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Ex1.xml" ContentType="application/vnd.ms-office.chartex+xml"/>
  <Override PartName="/xl/charts/style1.xml" ContentType="application/vnd.ms-office.chartstyle+xml"/>
  <Override PartName="/xl/charts/colors1.xml" ContentType="application/vnd.ms-office.chartcolorstyle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anacafegt.sharepoint.com/sites/AsistenciaTecnicaEsplecialistas/Documentos compartidos/General/Rentabilidad Sustentable/Formatos/"/>
    </mc:Choice>
  </mc:AlternateContent>
  <xr:revisionPtr revIDLastSave="211" documentId="8_{1ABE16A5-84BE-4262-8C2B-341D34AB78F4}" xr6:coauthVersionLast="47" xr6:coauthVersionMax="47" xr10:uidLastSave="{ECB8F480-B536-41F0-B77B-7278335E61FD}"/>
  <bookViews>
    <workbookView xWindow="-120" yWindow="-120" windowWidth="20730" windowHeight="11040" tabRatio="1000" activeTab="8" xr2:uid="{C5E45465-6A60-AC49-8C66-34EE8010895B}"/>
  </bookViews>
  <sheets>
    <sheet name="Inicio" sheetId="20" r:id="rId1"/>
    <sheet name="1" sheetId="31" r:id="rId2"/>
    <sheet name="2" sheetId="21" r:id="rId3"/>
    <sheet name="3" sheetId="3" r:id="rId4"/>
    <sheet name="4" sheetId="5" r:id="rId5"/>
    <sheet name="5" sheetId="24" r:id="rId6"/>
    <sheet name="6" sheetId="30" r:id="rId7"/>
    <sheet name="7" sheetId="19" r:id="rId8"/>
    <sheet name="8" sheetId="12" r:id="rId9"/>
    <sheet name="Diseño" sheetId="35" state="veryHidden" r:id="rId10"/>
    <sheet name="9" sheetId="37" r:id="rId11"/>
    <sheet name="10" sheetId="10" r:id="rId12"/>
    <sheet name="11" sheetId="33" r:id="rId13"/>
    <sheet name="12" sheetId="44" r:id="rId14"/>
    <sheet name="13" sheetId="45" r:id="rId15"/>
    <sheet name="14" sheetId="46" r:id="rId16"/>
    <sheet name="15" sheetId="47" r:id="rId17"/>
    <sheet name="16" sheetId="48" r:id="rId18"/>
    <sheet name="17" sheetId="49" r:id="rId19"/>
    <sheet name="18" sheetId="50" r:id="rId20"/>
    <sheet name="19" sheetId="51" r:id="rId21"/>
    <sheet name="20" sheetId="52" r:id="rId22"/>
    <sheet name="21" sheetId="53" r:id="rId23"/>
    <sheet name="22" sheetId="54" r:id="rId24"/>
  </sheets>
  <definedNames>
    <definedName name="_xlnm._FilterDatabase" localSheetId="6" hidden="1">'6'!$A$5:$M$166</definedName>
    <definedName name="_xlnm._FilterDatabase" localSheetId="7" hidden="1">'7'!$A$4:$M$326</definedName>
    <definedName name="_xlnm._FilterDatabase" localSheetId="10" hidden="1">'9'!$A$4:$F$19</definedName>
    <definedName name="_xlnm._FilterDatabase" localSheetId="9" hidden="1">Diseño!$A$48:$CG$160</definedName>
    <definedName name="_xlchart.v1.0" hidden="1">'10'!$B$25:$M$25</definedName>
    <definedName name="A1_A">Diseño!$FO$4:$FO$43</definedName>
    <definedName name="A1_A_L1">Diseño!$FO$4</definedName>
    <definedName name="A1_A_L10">Diseño!$FO$13</definedName>
    <definedName name="A1_A_L11">Diseño!$FO$14</definedName>
    <definedName name="A1_A_L12">Diseño!$FO$15</definedName>
    <definedName name="A1_A_L13">Diseño!$FO$16</definedName>
    <definedName name="A1_A_L14">Diseño!$FO$17</definedName>
    <definedName name="A1_A_L15">Diseño!$FO$18</definedName>
    <definedName name="A1_A_L16">Diseño!$FO$19</definedName>
    <definedName name="A1_A_L17">Diseño!$FO$20</definedName>
    <definedName name="A1_A_L18">Diseño!$FO$21</definedName>
    <definedName name="A1_A_L19">Diseño!$FO$22</definedName>
    <definedName name="A1_A_L2">Diseño!$FO$5</definedName>
    <definedName name="A1_A_L20">Diseño!$FO$23</definedName>
    <definedName name="A1_A_L21">Diseño!$FO$24</definedName>
    <definedName name="A1_A_L22">Diseño!$FO$25</definedName>
    <definedName name="A1_A_L23">Diseño!$FO$26</definedName>
    <definedName name="A1_A_L24">Diseño!$FO$27</definedName>
    <definedName name="A1_A_L25">Diseño!$FO$28</definedName>
    <definedName name="A1_A_L26">Diseño!$FO$29</definedName>
    <definedName name="A1_A_L27">Diseño!$FO$30</definedName>
    <definedName name="A1_A_L28">Diseño!$FO$31</definedName>
    <definedName name="A1_A_L29">Diseño!$FO$32</definedName>
    <definedName name="A1_A_L3">Diseño!$FO$6</definedName>
    <definedName name="A1_A_L30">Diseño!$FO$33</definedName>
    <definedName name="A1_A_L31">Diseño!$FO$34</definedName>
    <definedName name="A1_A_L32">Diseño!$FO$35</definedName>
    <definedName name="A1_A_L33">Diseño!$FO$36</definedName>
    <definedName name="A1_A_L34">Diseño!$FO$37</definedName>
    <definedName name="A1_A_L35">Diseño!$FO$38</definedName>
    <definedName name="A1_A_L36">Diseño!$FO$39</definedName>
    <definedName name="A1_A_L37">Diseño!$FO$40</definedName>
    <definedName name="A1_A_L38">Diseño!$FO$41</definedName>
    <definedName name="A1_A_L39">Diseño!$FO$42</definedName>
    <definedName name="A1_A_L4">Diseño!$FO$7</definedName>
    <definedName name="A1_A_L40">Diseño!$FO$43</definedName>
    <definedName name="A1_A_L5">Diseño!$FO$8</definedName>
    <definedName name="A1_A_L6">Diseño!$FO$9</definedName>
    <definedName name="A1_A_L7">Diseño!$FO$10</definedName>
    <definedName name="A1_A_L8">Diseño!$FO$11</definedName>
    <definedName name="A1_A_L9">Diseño!$FO$12</definedName>
    <definedName name="A1_B">Diseño!$FQ$4:$FQ$43</definedName>
    <definedName name="A1_B_L1">Diseño!$FQ$4</definedName>
    <definedName name="A1_B_L10">Diseño!$FQ$13</definedName>
    <definedName name="A1_B_L11">Diseño!$FQ$14</definedName>
    <definedName name="A1_B_L12">Diseño!$FQ$15</definedName>
    <definedName name="A1_B_L13">Diseño!$FQ$16</definedName>
    <definedName name="A1_B_L14">Diseño!$FQ$17</definedName>
    <definedName name="A1_B_L15">Diseño!$FQ$18</definedName>
    <definedName name="A1_B_L16">Diseño!$FQ$19</definedName>
    <definedName name="A1_B_L17">Diseño!$FQ$20</definedName>
    <definedName name="A1_B_L18">Diseño!$FQ$21</definedName>
    <definedName name="A1_B_L19">Diseño!$FQ$22</definedName>
    <definedName name="A1_B_L2">Diseño!$FQ$5</definedName>
    <definedName name="A1_B_L20">Diseño!$FQ$23</definedName>
    <definedName name="A1_B_L21">Diseño!$FQ$24</definedName>
    <definedName name="A1_B_L22">Diseño!$FQ$25</definedName>
    <definedName name="A1_B_L23">Diseño!$FQ$26</definedName>
    <definedName name="A1_B_L24">Diseño!$FQ$27</definedName>
    <definedName name="A1_B_L25">Diseño!$FQ$28</definedName>
    <definedName name="A1_B_L26">Diseño!$FQ$29</definedName>
    <definedName name="A1_B_L27">Diseño!$FQ$30</definedName>
    <definedName name="A1_B_L28">Diseño!$FQ$31</definedName>
    <definedName name="A1_B_L29">Diseño!$FQ$32</definedName>
    <definedName name="A1_B_L3">Diseño!$FQ$6</definedName>
    <definedName name="A1_B_L30">Diseño!$FQ$33</definedName>
    <definedName name="A1_B_L31">Diseño!$FQ$34</definedName>
    <definedName name="A1_B_L32">Diseño!$FQ$35</definedName>
    <definedName name="A1_B_L33">Diseño!$FQ$36</definedName>
    <definedName name="A1_B_L34">Diseño!$FQ$37</definedName>
    <definedName name="A1_B_L35">Diseño!$FQ$38</definedName>
    <definedName name="A1_B_L36">Diseño!$FQ$39</definedName>
    <definedName name="A1_B_L37">Diseño!$FQ$40</definedName>
    <definedName name="A1_B_L38">Diseño!$FQ$41</definedName>
    <definedName name="A1_B_L39">Diseño!$FQ$42</definedName>
    <definedName name="A1_B_L4">Diseño!$FQ$7</definedName>
    <definedName name="A1_B_L40">Diseño!$FQ$43</definedName>
    <definedName name="A1_B_L5">Diseño!$FQ$8</definedName>
    <definedName name="A1_B_L6">Diseño!$FQ$9</definedName>
    <definedName name="A1_B_L7">Diseño!$FQ$10</definedName>
    <definedName name="A1_B_L8">Diseño!$FQ$11</definedName>
    <definedName name="A1_B_L9">Diseño!$FQ$12</definedName>
    <definedName name="A1_C">Diseño!$FS$4:$FS$43</definedName>
    <definedName name="A1_C_L1">Diseño!$FS$4</definedName>
    <definedName name="A1_C_L10">Diseño!$FS$13</definedName>
    <definedName name="A1_C_L11">Diseño!$FS$14</definedName>
    <definedName name="A1_C_L12">Diseño!$FS$15</definedName>
    <definedName name="A1_C_L13">Diseño!$FS$16</definedName>
    <definedName name="A1_C_L14">Diseño!$FS$17</definedName>
    <definedName name="A1_C_L15">Diseño!$FS$18</definedName>
    <definedName name="A1_C_L16">Diseño!$FS$19</definedName>
    <definedName name="A1_C_L17">Diseño!$FS$20</definedName>
    <definedName name="A1_C_L18">Diseño!$FS$21</definedName>
    <definedName name="A1_C_L19">Diseño!$FS$22</definedName>
    <definedName name="A1_C_L2">Diseño!$FS$5</definedName>
    <definedName name="A1_C_L20">Diseño!$FS$23</definedName>
    <definedName name="A1_C_L21">Diseño!$FS$24</definedName>
    <definedName name="A1_C_L22">Diseño!$FS$25</definedName>
    <definedName name="A1_C_L23">Diseño!$FS$26</definedName>
    <definedName name="A1_C_L24">Diseño!$FS$27</definedName>
    <definedName name="A1_C_L25">Diseño!$FS$28</definedName>
    <definedName name="A1_C_L26">Diseño!$FS$29</definedName>
    <definedName name="A1_C_L27">Diseño!$FS$30</definedName>
    <definedName name="A1_C_L28">Diseño!$FS$31</definedName>
    <definedName name="A1_C_L29">Diseño!$FS$32</definedName>
    <definedName name="A1_C_L3">Diseño!$FS$6</definedName>
    <definedName name="A1_C_L30">Diseño!$FS$33</definedName>
    <definedName name="A1_C_L31">Diseño!$FS$34</definedName>
    <definedName name="A1_C_L32">Diseño!$FS$35</definedName>
    <definedName name="A1_C_L33">Diseño!$FS$36</definedName>
    <definedName name="A1_C_L34">Diseño!$FS$37</definedName>
    <definedName name="A1_C_L35">Diseño!$FS$38</definedName>
    <definedName name="A1_C_L36">Diseño!$FS$39</definedName>
    <definedName name="A1_C_L37">Diseño!$FS$40</definedName>
    <definedName name="A1_C_L38">Diseño!$FS$41</definedName>
    <definedName name="A1_C_L39">Diseño!$FS$42</definedName>
    <definedName name="A1_C_L4">Diseño!$FS$7</definedName>
    <definedName name="A1_C_L40">Diseño!$FS$43</definedName>
    <definedName name="A1_C_L5">Diseño!$FS$8</definedName>
    <definedName name="A1_C_L6">Diseño!$FS$9</definedName>
    <definedName name="A1_C_L7">Diseño!$FS$10</definedName>
    <definedName name="A1_C_L8">Diseño!$FS$11</definedName>
    <definedName name="A1_C_L9">Diseño!$FS$12</definedName>
    <definedName name="A1_D">Diseño!$FU$4:$FU$43</definedName>
    <definedName name="A1_D_L1">Diseño!$FU$4</definedName>
    <definedName name="A1_D_L10">Diseño!$FU$13</definedName>
    <definedName name="A1_D_L11">Diseño!$FU$14</definedName>
    <definedName name="A1_D_L12">Diseño!$FU$15</definedName>
    <definedName name="A1_D_L13">Diseño!$FU$16</definedName>
    <definedName name="A1_D_L14">Diseño!$FU$17</definedName>
    <definedName name="A1_D_L15">Diseño!$FU$18</definedName>
    <definedName name="A1_D_L16">Diseño!$FU$19</definedName>
    <definedName name="A1_D_L17">Diseño!$FU$20</definedName>
    <definedName name="A1_D_L18">Diseño!$FU$21</definedName>
    <definedName name="A1_D_L19">Diseño!$FU$22</definedName>
    <definedName name="A1_D_L2">Diseño!$FU$5</definedName>
    <definedName name="A1_D_L20">Diseño!$FU$23</definedName>
    <definedName name="A1_D_L21">Diseño!$FU$24</definedName>
    <definedName name="A1_D_L22">Diseño!$FU$25</definedName>
    <definedName name="A1_D_L23">Diseño!$FU$26</definedName>
    <definedName name="A1_D_L24">Diseño!$FU$27</definedName>
    <definedName name="A1_D_L25">Diseño!$FU$28</definedName>
    <definedName name="A1_D_L26">Diseño!$FU$29</definedName>
    <definedName name="A1_D_L27">Diseño!$FU$30</definedName>
    <definedName name="A1_D_L28">Diseño!$FU$31</definedName>
    <definedName name="A1_D_L29">Diseño!$FU$32</definedName>
    <definedName name="A1_D_L3">Diseño!$FU$6</definedName>
    <definedName name="A1_D_L30">Diseño!$FU$33</definedName>
    <definedName name="A1_D_L31">Diseño!$FU$34</definedName>
    <definedName name="A1_D_L32">Diseño!$FU$35</definedName>
    <definedName name="A1_D_L33">Diseño!$FU$36</definedName>
    <definedName name="A1_D_L34">Diseño!$FU$37</definedName>
    <definedName name="A1_D_L35">Diseño!$FU$38</definedName>
    <definedName name="A1_D_L36">Diseño!$FU$39</definedName>
    <definedName name="A1_D_L37">Diseño!$FU$40</definedName>
    <definedName name="A1_D_L38">Diseño!$FU$41</definedName>
    <definedName name="A1_D_L39">Diseño!$FU$42</definedName>
    <definedName name="A1_D_L4">Diseño!$FU$7</definedName>
    <definedName name="A1_D_L40">Diseño!$FU$43</definedName>
    <definedName name="A1_D_L5">Diseño!$FU$8</definedName>
    <definedName name="A1_D_L6">Diseño!$FU$9</definedName>
    <definedName name="A1_D_L7">Diseño!$FU$10</definedName>
    <definedName name="A1_D_L8">Diseño!$FU$11</definedName>
    <definedName name="A1_D_L9">Diseño!$FU$12</definedName>
    <definedName name="A1_L1">'1'!$G$5</definedName>
    <definedName name="A1_L10">'1'!$G$14</definedName>
    <definedName name="A1_L11">'1'!$G$15</definedName>
    <definedName name="A1_L12">'1'!$G$16</definedName>
    <definedName name="A1_L13">'1'!$G$17</definedName>
    <definedName name="A1_L14">'1'!$G$18</definedName>
    <definedName name="A1_L15">'1'!$G$19</definedName>
    <definedName name="A1_L16">'1'!$G$20</definedName>
    <definedName name="A1_L17">'1'!$G$21</definedName>
    <definedName name="A1_L18">'1'!$G$22</definedName>
    <definedName name="A1_L19">'1'!$G$23</definedName>
    <definedName name="A1_L2">'1'!$G$6</definedName>
    <definedName name="A1_L20">'1'!$G$24</definedName>
    <definedName name="A1_L21">'1'!$G$25</definedName>
    <definedName name="A1_L22">'1'!$G$26</definedName>
    <definedName name="A1_L23">'1'!$G$27</definedName>
    <definedName name="A1_L24">'1'!$G$28</definedName>
    <definedName name="A1_L25">'1'!$G$29</definedName>
    <definedName name="A1_L26">'1'!$G$30</definedName>
    <definedName name="A1_L27">'1'!$G$31</definedName>
    <definedName name="A1_L28">'1'!$G$32</definedName>
    <definedName name="A1_L29">'1'!$G$33</definedName>
    <definedName name="A1_L3">'1'!$G$7</definedName>
    <definedName name="A1_L30">'1'!$G$34</definedName>
    <definedName name="A1_L31">'1'!$G$35</definedName>
    <definedName name="A1_L32">'1'!$G$36</definedName>
    <definedName name="A1_L33">'1'!$G$37</definedName>
    <definedName name="A1_L34">'1'!$G$38</definedName>
    <definedName name="A1_L35">'1'!$G$39</definedName>
    <definedName name="A1_L36">'1'!$G$40</definedName>
    <definedName name="A1_L37">'1'!$G$41</definedName>
    <definedName name="A1_L38">'1'!$G$42</definedName>
    <definedName name="A1_L39">'1'!$G$43</definedName>
    <definedName name="A1_L4">'1'!$G$8</definedName>
    <definedName name="A1_L40">'1'!$G$44</definedName>
    <definedName name="A1_L5">'1'!$G$9</definedName>
    <definedName name="A1_L6">'1'!$G$10</definedName>
    <definedName name="A1_L7">'1'!$G$11</definedName>
    <definedName name="A1_L8">'1'!$G$12</definedName>
    <definedName name="A1_L9">'1'!$G$13</definedName>
    <definedName name="A1_X">Diseño!$GA$4:$GA$43</definedName>
    <definedName name="A1_X_L1">Diseño!$GA$4</definedName>
    <definedName name="A1_X_L10">Diseño!$GA$13</definedName>
    <definedName name="A1_X_L11">Diseño!$GA$14</definedName>
    <definedName name="A1_X_L12">Diseño!$GA$15</definedName>
    <definedName name="A1_X_L13">Diseño!$GA$16</definedName>
    <definedName name="A1_X_L14">Diseño!$GA$17</definedName>
    <definedName name="A1_X_L15">Diseño!$GA$18</definedName>
    <definedName name="A1_X_L16">Diseño!$GA$19</definedName>
    <definedName name="A1_X_L17">Diseño!$GA$20</definedName>
    <definedName name="A1_X_L18">Diseño!$GA$21</definedName>
    <definedName name="A1_X_L19">Diseño!$GA$22</definedName>
    <definedName name="A1_X_L2">Diseño!$GA$5</definedName>
    <definedName name="A1_X_L20">Diseño!$GA$23</definedName>
    <definedName name="A1_X_L21">Diseño!$GA$24</definedName>
    <definedName name="A1_X_L22">Diseño!$GA$25</definedName>
    <definedName name="A1_X_L23">Diseño!$GA$26</definedName>
    <definedName name="A1_X_L24">Diseño!$GA$27</definedName>
    <definedName name="A1_X_L25">Diseño!$GA$28</definedName>
    <definedName name="A1_X_L26">Diseño!$GA$29</definedName>
    <definedName name="A1_X_L27">Diseño!$GA$30</definedName>
    <definedName name="A1_X_L28">Diseño!$GA$31</definedName>
    <definedName name="A1_X_L29">Diseño!$GA$32</definedName>
    <definedName name="A1_X_L3">Diseño!$GA$6</definedName>
    <definedName name="A1_X_L30">Diseño!$GA$33</definedName>
    <definedName name="A1_X_L31">Diseño!$GA$34</definedName>
    <definedName name="A1_X_L32">Diseño!$GA$35</definedName>
    <definedName name="A1_X_L33">Diseño!$GA$36</definedName>
    <definedName name="A1_X_L34">Diseño!$GA$37</definedName>
    <definedName name="A1_X_L35">Diseño!$GA$38</definedName>
    <definedName name="A1_X_L36">Diseño!$GA$39</definedName>
    <definedName name="A1_X_L37">Diseño!$GA$40</definedName>
    <definedName name="A1_X_L38">Diseño!$GA$41</definedName>
    <definedName name="A1_X_L39">Diseño!$GA$42</definedName>
    <definedName name="A1_X_L4">Diseño!$GA$7</definedName>
    <definedName name="A1_X_L40">Diseño!$GA$43</definedName>
    <definedName name="A1_X_L5">Diseño!$GA$8</definedName>
    <definedName name="A1_X_L6">Diseño!$GA$9</definedName>
    <definedName name="A1_X_L7">Diseño!$GA$10</definedName>
    <definedName name="A1_X_L8">Diseño!$GA$11</definedName>
    <definedName name="A1_X_L9">Diseño!$GA$12</definedName>
    <definedName name="A1_Y">Diseño!$FW$4:$FW$43</definedName>
    <definedName name="A1_Y_L1">Diseño!$FW$4</definedName>
    <definedName name="A1_Y_L10">Diseño!$FW$13</definedName>
    <definedName name="A1_Y_L11">Diseño!$FW$14</definedName>
    <definedName name="A1_Y_L12">Diseño!$FW$15</definedName>
    <definedName name="A1_Y_L13">Diseño!$FW$16</definedName>
    <definedName name="A1_Y_L14">Diseño!$FW$17</definedName>
    <definedName name="A1_Y_L15">Diseño!$FW$18</definedName>
    <definedName name="A1_Y_L16">Diseño!$FW$19</definedName>
    <definedName name="A1_Y_L17">Diseño!$FW$20</definedName>
    <definedName name="A1_Y_L18">Diseño!$FW$21</definedName>
    <definedName name="A1_Y_L19">Diseño!$FW$22</definedName>
    <definedName name="A1_Y_L2">Diseño!$FW$5</definedName>
    <definedName name="A1_Y_L20">Diseño!$FW$23</definedName>
    <definedName name="A1_Y_L21">Diseño!$FW$24</definedName>
    <definedName name="A1_Y_L22">Diseño!$FW$25</definedName>
    <definedName name="A1_Y_L23">Diseño!$FW$26</definedName>
    <definedName name="A1_Y_L24">Diseño!$FW$27</definedName>
    <definedName name="A1_Y_L25">Diseño!$FW$28</definedName>
    <definedName name="A1_Y_L26">Diseño!$FW$29</definedName>
    <definedName name="A1_Y_L27">Diseño!$FW$30</definedName>
    <definedName name="A1_Y_L28">Diseño!$FW$31</definedName>
    <definedName name="A1_Y_L29">Diseño!$FW$32</definedName>
    <definedName name="A1_Y_L3">Diseño!$FW$6</definedName>
    <definedName name="A1_Y_L30">Diseño!$FW$33</definedName>
    <definedName name="A1_Y_L31">Diseño!$FW$34</definedName>
    <definedName name="A1_Y_L32">Diseño!$FW$35</definedName>
    <definedName name="A1_Y_L33">Diseño!$FW$36</definedName>
    <definedName name="A1_Y_L34">Diseño!$FW$37</definedName>
    <definedName name="A1_Y_L35">Diseño!$FW$38</definedName>
    <definedName name="A1_Y_L36">Diseño!$FW$39</definedName>
    <definedName name="A1_Y_L37">Diseño!$FW$40</definedName>
    <definedName name="A1_Y_L38">Diseño!$FW$41</definedName>
    <definedName name="A1_Y_L39">Diseño!$FW$42</definedName>
    <definedName name="A1_Y_L4">Diseño!$FW$7</definedName>
    <definedName name="A1_Y_L40">Diseño!$FW$43</definedName>
    <definedName name="A1_Y_L5">Diseño!$FW$8</definedName>
    <definedName name="A1_Y_L6">Diseño!$FW$9</definedName>
    <definedName name="A1_Y_L7">Diseño!$FW$10</definedName>
    <definedName name="A1_Y_L8">Diseño!$FW$11</definedName>
    <definedName name="A1_Y_L9">Diseño!$FW$12</definedName>
    <definedName name="A1_Z">Diseño!$FY$4:$FY$43</definedName>
    <definedName name="A1_Z_L1">Diseño!$FY$4</definedName>
    <definedName name="A1_Z_L10">Diseño!$FY$13</definedName>
    <definedName name="A1_Z_L11">Diseño!$FY$14</definedName>
    <definedName name="A1_Z_L12">Diseño!$FY$15</definedName>
    <definedName name="A1_Z_L13">Diseño!$FY$16</definedName>
    <definedName name="A1_Z_L14">Diseño!$FY$17</definedName>
    <definedName name="A1_Z_L15">Diseño!$FY$18</definedName>
    <definedName name="A1_Z_L16">Diseño!$FY$19</definedName>
    <definedName name="A1_Z_L17">Diseño!$FY$20</definedName>
    <definedName name="A1_Z_L18">Diseño!$FY$21</definedName>
    <definedName name="A1_Z_L19">Diseño!$FY$22</definedName>
    <definedName name="A1_Z_L2">Diseño!$FY$5</definedName>
    <definedName name="A1_Z_L20">Diseño!$FY$23</definedName>
    <definedName name="A1_Z_L21">Diseño!$FY$24</definedName>
    <definedName name="A1_Z_L22">Diseño!$FY$25</definedName>
    <definedName name="A1_Z_L23">Diseño!$FY$26</definedName>
    <definedName name="A1_Z_L24">Diseño!$FY$27</definedName>
    <definedName name="A1_Z_L25">Diseño!$FY$28</definedName>
    <definedName name="A1_Z_L26">Diseño!$FY$29</definedName>
    <definedName name="A1_Z_L27">Diseño!$FY$30</definedName>
    <definedName name="A1_Z_L28">Diseño!$FY$31</definedName>
    <definedName name="A1_Z_L29">Diseño!$FY$32</definedName>
    <definedName name="A1_Z_L3">Diseño!$FY$6</definedName>
    <definedName name="A1_Z_L30">Diseño!$FY$33</definedName>
    <definedName name="A1_Z_L31">Diseño!$FY$34</definedName>
    <definedName name="A1_Z_L32">Diseño!$FY$35</definedName>
    <definedName name="A1_Z_L33">Diseño!$FY$36</definedName>
    <definedName name="A1_Z_L34">Diseño!$FY$37</definedName>
    <definedName name="A1_Z_L35">Diseño!$FY$38</definedName>
    <definedName name="A1_Z_L36">Diseño!$FY$39</definedName>
    <definedName name="A1_Z_L37">Diseño!$FY$40</definedName>
    <definedName name="A1_Z_L38">Diseño!$FY$41</definedName>
    <definedName name="A1_Z_L39">Diseño!$FY$42</definedName>
    <definedName name="A1_Z_L4">Diseño!$FY$7</definedName>
    <definedName name="A1_Z_L40">Diseño!$FY$43</definedName>
    <definedName name="A1_Z_L5">Diseño!$FY$8</definedName>
    <definedName name="A1_Z_L6">Diseño!$FY$9</definedName>
    <definedName name="A1_Z_L7">Diseño!$FY$10</definedName>
    <definedName name="A1_Z_L8">Diseño!$FY$11</definedName>
    <definedName name="A1_Z_L9">Diseño!$FY$12</definedName>
    <definedName name="A10_A">Diseño!$KK$4:$KK$43</definedName>
    <definedName name="A10_A_L1">Diseño!$KK$4</definedName>
    <definedName name="A10_A_L10">Diseño!$KK$13</definedName>
    <definedName name="A10_A_L11">Diseño!$KK$14</definedName>
    <definedName name="A10_A_L12">Diseño!$KK$15</definedName>
    <definedName name="A10_A_L13">Diseño!$KK$16</definedName>
    <definedName name="A10_A_L14">Diseño!$KK$17</definedName>
    <definedName name="A10_A_L15">Diseño!$KK$18</definedName>
    <definedName name="A10_A_L16">Diseño!$KK$19</definedName>
    <definedName name="A10_A_L17">Diseño!$KK$20</definedName>
    <definedName name="A10_A_L18">Diseño!$KK$21</definedName>
    <definedName name="A10_A_L19">Diseño!$KK$22</definedName>
    <definedName name="A10_A_L2">Diseño!$KK$5</definedName>
    <definedName name="A10_A_L20">Diseño!$KK$23</definedName>
    <definedName name="A10_A_L21">Diseño!$KK$24</definedName>
    <definedName name="A10_A_L22">Diseño!$KK$25</definedName>
    <definedName name="A10_A_L23">Diseño!$KK$26</definedName>
    <definedName name="A10_A_L24">Diseño!$KK$27</definedName>
    <definedName name="A10_A_L25">Diseño!$KK$28</definedName>
    <definedName name="A10_A_L26">Diseño!$KK$29</definedName>
    <definedName name="A10_A_L27">Diseño!$KK$30</definedName>
    <definedName name="A10_A_L28">Diseño!$KK$31</definedName>
    <definedName name="A10_A_L29">Diseño!$KK$32</definedName>
    <definedName name="A10_A_L3">Diseño!$KK$6</definedName>
    <definedName name="A10_A_L30">Diseño!$KK$33</definedName>
    <definedName name="A10_A_L31">Diseño!$KK$34</definedName>
    <definedName name="A10_A_L32">Diseño!$KK$35</definedName>
    <definedName name="A10_A_L33">Diseño!$KK$36</definedName>
    <definedName name="A10_A_L34">Diseño!$KK$37</definedName>
    <definedName name="A10_A_L35">Diseño!$KK$38</definedName>
    <definedName name="A10_A_L36">Diseño!$KK$39</definedName>
    <definedName name="A10_A_L37">Diseño!$KK$40</definedName>
    <definedName name="A10_A_L38">Diseño!$KK$41</definedName>
    <definedName name="A10_A_L39">Diseño!$KK$42</definedName>
    <definedName name="A10_A_L4">Diseño!$KK$7</definedName>
    <definedName name="A10_A_L40">Diseño!$KK$43</definedName>
    <definedName name="A10_A_L5">Diseño!$KK$8</definedName>
    <definedName name="A10_A_L6">Diseño!$KK$9</definedName>
    <definedName name="A10_A_L7">Diseño!$KK$10</definedName>
    <definedName name="A10_A_L8">Diseño!$KK$11</definedName>
    <definedName name="A10_A_L9">Diseño!$KK$12</definedName>
    <definedName name="A10_B">Diseño!$KM$4:$KM$43</definedName>
    <definedName name="A10_B_L1">Diseño!$KM$4</definedName>
    <definedName name="A10_B_L10">Diseño!$KM$13</definedName>
    <definedName name="A10_B_L11">Diseño!$KM$14</definedName>
    <definedName name="A10_B_L12">Diseño!$KM$15</definedName>
    <definedName name="A10_B_L13">Diseño!$KM$16</definedName>
    <definedName name="A10_B_L14">Diseño!$KM$17</definedName>
    <definedName name="A10_B_L15">Diseño!$KM$18</definedName>
    <definedName name="A10_B_L16">Diseño!$KM$19</definedName>
    <definedName name="A10_B_L17">Diseño!$KM$20</definedName>
    <definedName name="A10_B_L18">Diseño!$KM$21</definedName>
    <definedName name="A10_B_L19">Diseño!$KM$22</definedName>
    <definedName name="A10_B_L2">Diseño!$KM$5</definedName>
    <definedName name="A10_B_L20">Diseño!$KM$23</definedName>
    <definedName name="A10_B_L21">Diseño!$KM$24</definedName>
    <definedName name="A10_B_L22">Diseño!$KM$25</definedName>
    <definedName name="A10_B_L23">Diseño!$KM$26</definedName>
    <definedName name="A10_B_L24">Diseño!$KM$27</definedName>
    <definedName name="A10_B_L25">Diseño!$KM$28</definedName>
    <definedName name="A10_B_L26">Diseño!$KM$29</definedName>
    <definedName name="A10_B_L27">Diseño!$KM$30</definedName>
    <definedName name="A10_B_L28">Diseño!$KM$31</definedName>
    <definedName name="A10_B_L29">Diseño!$KM$32</definedName>
    <definedName name="A10_B_L3">Diseño!$KM$6</definedName>
    <definedName name="A10_B_L30">Diseño!$KM$33</definedName>
    <definedName name="A10_B_L31">Diseño!$KM$34</definedName>
    <definedName name="A10_B_L32">Diseño!$KM$35</definedName>
    <definedName name="A10_B_L33">Diseño!$KM$36</definedName>
    <definedName name="A10_B_L34">Diseño!$KM$37</definedName>
    <definedName name="A10_B_L35">Diseño!$KM$38</definedName>
    <definedName name="A10_B_L36">Diseño!$KM$39</definedName>
    <definedName name="A10_B_L37">Diseño!$KM$40</definedName>
    <definedName name="A10_B_L38">Diseño!$KM$41</definedName>
    <definedName name="A10_B_L39">Diseño!$KM$42</definedName>
    <definedName name="A10_B_L4">Diseño!$KM$7</definedName>
    <definedName name="A10_B_L40">Diseño!$KM$43</definedName>
    <definedName name="A10_B_L5">Diseño!$KM$8</definedName>
    <definedName name="A10_B_L6">Diseño!$KM$9</definedName>
    <definedName name="A10_B_L7">Diseño!$KM$10</definedName>
    <definedName name="A10_B_L8">Diseño!$KM$11</definedName>
    <definedName name="A10_B_L9">Diseño!$KM$12</definedName>
    <definedName name="A10_C">Diseño!$KO$4:$KO$43</definedName>
    <definedName name="A10_C_L1">Diseño!$KO$4</definedName>
    <definedName name="A10_C_L10">Diseño!$KO$13</definedName>
    <definedName name="A10_C_L11">Diseño!$KO$14</definedName>
    <definedName name="A10_C_L12">Diseño!$KO$15</definedName>
    <definedName name="A10_C_L13">Diseño!$KO$16</definedName>
    <definedName name="A10_C_L14">Diseño!$KO$17</definedName>
    <definedName name="A10_C_L15">Diseño!$KO$18</definedName>
    <definedName name="A10_C_L16">Diseño!$KO$19</definedName>
    <definedName name="A10_C_L17">Diseño!$KO$20</definedName>
    <definedName name="A10_C_L18">Diseño!$KO$21</definedName>
    <definedName name="A10_C_L19">Diseño!$KO$22</definedName>
    <definedName name="A10_C_L2">Diseño!$KO$5</definedName>
    <definedName name="A10_C_L20">Diseño!$KO$23</definedName>
    <definedName name="A10_C_L21">Diseño!$KO$24</definedName>
    <definedName name="A10_C_L22">Diseño!$KO$25</definedName>
    <definedName name="A10_C_L23">Diseño!$KO$26</definedName>
    <definedName name="A10_C_L24">Diseño!$KO$27</definedName>
    <definedName name="A10_C_L25">Diseño!$KO$28</definedName>
    <definedName name="A10_C_L26">Diseño!$KO$29</definedName>
    <definedName name="A10_C_L27">Diseño!$KO$30</definedName>
    <definedName name="A10_C_L28">Diseño!$KO$31</definedName>
    <definedName name="A10_C_L29">Diseño!$KO$32</definedName>
    <definedName name="A10_C_L3">Diseño!$KO$6</definedName>
    <definedName name="A10_C_L30">Diseño!$KO$33</definedName>
    <definedName name="A10_C_L31">Diseño!$KO$34</definedName>
    <definedName name="A10_C_L32">Diseño!$KO$35</definedName>
    <definedName name="A10_C_L33">Diseño!$KO$36</definedName>
    <definedName name="A10_C_L34">Diseño!$KO$37</definedName>
    <definedName name="A10_C_L35">Diseño!$KO$38</definedName>
    <definedName name="A10_C_L36">Diseño!$KO$39</definedName>
    <definedName name="A10_C_L37">Diseño!$KO$40</definedName>
    <definedName name="A10_C_L38">Diseño!$KO$41</definedName>
    <definedName name="A10_C_L39">Diseño!$KO$42</definedName>
    <definedName name="A10_C_L4">Diseño!$KO$7</definedName>
    <definedName name="A10_C_L40">Diseño!$KO$43</definedName>
    <definedName name="A10_C_L5">Diseño!$KO$8</definedName>
    <definedName name="A10_C_L6">Diseño!$KO$9</definedName>
    <definedName name="A10_C_L7">Diseño!$KO$10</definedName>
    <definedName name="A10_C_L8">Diseño!$KO$11</definedName>
    <definedName name="A10_C_L9">Diseño!$KO$12</definedName>
    <definedName name="A10_D">Diseño!$KQ$4:$KQ$43</definedName>
    <definedName name="A10_D_L1">Diseño!$KQ$4</definedName>
    <definedName name="A10_D_L10">Diseño!$KQ$13</definedName>
    <definedName name="A10_D_L11">Diseño!$KQ$14</definedName>
    <definedName name="A10_D_L12">Diseño!$KQ$15</definedName>
    <definedName name="A10_D_L13">Diseño!$KQ$16</definedName>
    <definedName name="A10_D_L14">Diseño!$KQ$17</definedName>
    <definedName name="A10_D_L15">Diseño!$KQ$18</definedName>
    <definedName name="A10_D_L16">Diseño!$KQ$19</definedName>
    <definedName name="A10_D_L17">Diseño!$KQ$20</definedName>
    <definedName name="A10_D_L18">Diseño!$KQ$21</definedName>
    <definedName name="A10_D_L19">Diseño!$KQ$22</definedName>
    <definedName name="A10_D_L2">Diseño!$KQ$5</definedName>
    <definedName name="A10_D_L20">Diseño!$KQ$23</definedName>
    <definedName name="A10_D_L21">Diseño!$KQ$24</definedName>
    <definedName name="A10_D_L22">Diseño!$KQ$25</definedName>
    <definedName name="A10_D_L23">Diseño!$KQ$26</definedName>
    <definedName name="A10_D_L24">Diseño!$KQ$27</definedName>
    <definedName name="A10_D_L25">Diseño!$KQ$28</definedName>
    <definedName name="A10_D_L26">Diseño!$KQ$29</definedName>
    <definedName name="A10_D_L27">Diseño!$KQ$30</definedName>
    <definedName name="A10_D_L28">Diseño!$KQ$31</definedName>
    <definedName name="A10_D_L29">Diseño!$KQ$32</definedName>
    <definedName name="A10_D_L3">Diseño!$KQ$6</definedName>
    <definedName name="A10_D_L30">Diseño!$KQ$33</definedName>
    <definedName name="A10_D_L31">Diseño!$KQ$34</definedName>
    <definedName name="A10_D_L32">Diseño!$KQ$35</definedName>
    <definedName name="A10_D_L33">Diseño!$KQ$36</definedName>
    <definedName name="A10_D_L34">Diseño!$KQ$37</definedName>
    <definedName name="A10_D_L35">Diseño!$KQ$38</definedName>
    <definedName name="A10_D_L36">Diseño!$KQ$39</definedName>
    <definedName name="A10_D_L37">Diseño!$KQ$40</definedName>
    <definedName name="A10_D_L38">Diseño!$KQ$41</definedName>
    <definedName name="A10_D_L39">Diseño!$KQ$42</definedName>
    <definedName name="A10_D_L4">Diseño!$KQ$7</definedName>
    <definedName name="A10_D_L40">Diseño!$KQ$43</definedName>
    <definedName name="A10_D_L5">Diseño!$KQ$8</definedName>
    <definedName name="A10_D_L6">Diseño!$KQ$9</definedName>
    <definedName name="A10_D_L7">Diseño!$KQ$10</definedName>
    <definedName name="A10_D_L8">Diseño!$KQ$11</definedName>
    <definedName name="A10_D_L9">Diseño!$KQ$12</definedName>
    <definedName name="A10_L1">'1'!$P$5</definedName>
    <definedName name="A10_L10">'1'!$P$14</definedName>
    <definedName name="A10_L11">'1'!$P$15</definedName>
    <definedName name="A10_L12">'1'!$P$16</definedName>
    <definedName name="A10_L13">'1'!$P$17</definedName>
    <definedName name="A10_L14">'1'!$P$18</definedName>
    <definedName name="A10_L15">'1'!$P$19</definedName>
    <definedName name="A10_L16">'1'!$P$20</definedName>
    <definedName name="A10_L17">'1'!$P$21</definedName>
    <definedName name="A10_L18">'1'!$P$22</definedName>
    <definedName name="A10_L19">'1'!$P$23</definedName>
    <definedName name="A10_L2">'1'!$P$6</definedName>
    <definedName name="A10_L20">'1'!$P$24</definedName>
    <definedName name="A10_L21">'1'!$P$25</definedName>
    <definedName name="A10_L22">'1'!$P$26</definedName>
    <definedName name="A10_L23">'1'!$P$27</definedName>
    <definedName name="A10_L24">'1'!$P$28</definedName>
    <definedName name="A10_L25">'1'!$P$29</definedName>
    <definedName name="A10_L26">'1'!$P$30</definedName>
    <definedName name="A10_L27">'1'!$P$31</definedName>
    <definedName name="A10_L28">'1'!$P$32</definedName>
    <definedName name="A10_L29">'1'!$P$33</definedName>
    <definedName name="A10_L3">'1'!$P$7</definedName>
    <definedName name="A10_L30">'1'!$P$34</definedName>
    <definedName name="A10_L31">'1'!$P$35</definedName>
    <definedName name="A10_L32">'1'!$P$36</definedName>
    <definedName name="A10_L33">'1'!$P$37</definedName>
    <definedName name="A10_L34">'1'!$P$38</definedName>
    <definedName name="A10_L35">'1'!$P$39</definedName>
    <definedName name="A10_L36">'1'!$P$40</definedName>
    <definedName name="A10_L37">'1'!$P$41</definedName>
    <definedName name="A10_L38">'1'!$P$42</definedName>
    <definedName name="A10_L39">'1'!$P$43</definedName>
    <definedName name="A10_L4">'1'!$P$8</definedName>
    <definedName name="A10_L40">'1'!$P$44</definedName>
    <definedName name="A10_L5">'1'!$P$9</definedName>
    <definedName name="A10_L6">'1'!$P$10</definedName>
    <definedName name="A10_L7">'1'!$P$11</definedName>
    <definedName name="A10_L8">'1'!$P$12</definedName>
    <definedName name="A10_L9">'1'!$P$13</definedName>
    <definedName name="A10_X">Diseño!$KW$4:$KW$43</definedName>
    <definedName name="A10_X_L1">Diseño!$KW$4</definedName>
    <definedName name="A10_X_L10">Diseño!$KW$13</definedName>
    <definedName name="A10_X_L11">Diseño!$KW$14</definedName>
    <definedName name="A10_X_L12">Diseño!$KW$15</definedName>
    <definedName name="A10_X_L13">Diseño!$KW$16</definedName>
    <definedName name="A10_X_L14">Diseño!$KW$17</definedName>
    <definedName name="A10_X_L15">Diseño!$KW$18</definedName>
    <definedName name="A10_X_L16">Diseño!$KW$19</definedName>
    <definedName name="A10_X_L17">Diseño!$KW$20</definedName>
    <definedName name="A10_X_L18">Diseño!$KW$21</definedName>
    <definedName name="A10_X_L19">Diseño!$KW$22</definedName>
    <definedName name="A10_X_L2">Diseño!$KW$5</definedName>
    <definedName name="A10_X_L20">Diseño!$KW$23</definedName>
    <definedName name="A10_X_L21">Diseño!$KW$24</definedName>
    <definedName name="A10_X_L22">Diseño!$KW$25</definedName>
    <definedName name="A10_X_L23">Diseño!$KW$26</definedName>
    <definedName name="A10_X_L24">Diseño!$KW$27</definedName>
    <definedName name="A10_X_L25">Diseño!$KW$28</definedName>
    <definedName name="A10_X_L26">Diseño!$KW$29</definedName>
    <definedName name="A10_X_L27">Diseño!$KW$30</definedName>
    <definedName name="A10_X_L28">Diseño!$KW$31</definedName>
    <definedName name="A10_X_L29">Diseño!$KW$32</definedName>
    <definedName name="A10_X_L3">Diseño!$KW$6</definedName>
    <definedName name="A10_X_L30">Diseño!$KW$33</definedName>
    <definedName name="A10_X_L31">Diseño!$KW$34</definedName>
    <definedName name="A10_X_L32">Diseño!$KW$35</definedName>
    <definedName name="A10_X_L33">Diseño!$KW$36</definedName>
    <definedName name="A10_X_L34">Diseño!$KW$37</definedName>
    <definedName name="A10_X_L35">Diseño!$KW$38</definedName>
    <definedName name="A10_X_L36">Diseño!$KW$39</definedName>
    <definedName name="A10_X_L37">Diseño!$KW$40</definedName>
    <definedName name="A10_X_L38">Diseño!$KW$41</definedName>
    <definedName name="A10_X_L39">Diseño!$KW$42</definedName>
    <definedName name="A10_X_L4">Diseño!$KW$7</definedName>
    <definedName name="A10_X_L40">Diseño!$KW$43</definedName>
    <definedName name="A10_X_L5">Diseño!$KW$8</definedName>
    <definedName name="A10_X_L6">Diseño!$KW$9</definedName>
    <definedName name="A10_X_L7">Diseño!$KW$10</definedName>
    <definedName name="A10_X_L8">Diseño!$KW$11</definedName>
    <definedName name="A10_X_L9">Diseño!$KW$12</definedName>
    <definedName name="A10_Y">Diseño!$KS$4:$KS$43</definedName>
    <definedName name="A10_Y_L1">Diseño!$KS$4</definedName>
    <definedName name="A10_Y_L10">Diseño!$KS$13</definedName>
    <definedName name="A10_Y_L11">Diseño!$KS$14</definedName>
    <definedName name="A10_Y_L12">Diseño!$KS$15</definedName>
    <definedName name="A10_Y_L13">Diseño!$KS$16</definedName>
    <definedName name="A10_Y_L14">Diseño!$KS$17</definedName>
    <definedName name="A10_Y_L15">Diseño!$KS$18</definedName>
    <definedName name="A10_Y_L16">Diseño!$KS$19</definedName>
    <definedName name="A10_Y_L17">Diseño!$KS$20</definedName>
    <definedName name="A10_Y_L18">Diseño!$KS$21</definedName>
    <definedName name="A10_Y_L19">Diseño!$KS$22</definedName>
    <definedName name="A10_Y_L2">Diseño!$KS$5</definedName>
    <definedName name="A10_Y_L20">Diseño!$KS$23</definedName>
    <definedName name="A10_Y_L21">Diseño!$KS$24</definedName>
    <definedName name="A10_Y_L22">Diseño!$KS$25</definedName>
    <definedName name="A10_Y_L23">Diseño!$KS$26</definedName>
    <definedName name="A10_Y_L24">Diseño!$KS$27</definedName>
    <definedName name="A10_Y_L25">Diseño!$KS$28</definedName>
    <definedName name="A10_Y_L26">Diseño!$KS$29</definedName>
    <definedName name="A10_Y_L27">Diseño!$KS$30</definedName>
    <definedName name="A10_Y_L28">Diseño!$KS$31</definedName>
    <definedName name="A10_Y_L29">Diseño!$KS$32</definedName>
    <definedName name="A10_Y_L3">Diseño!$KS$6</definedName>
    <definedName name="A10_Y_L30">Diseño!$KS$33</definedName>
    <definedName name="A10_Y_L31">Diseño!$KS$34</definedName>
    <definedName name="A10_Y_L32">Diseño!$KS$35</definedName>
    <definedName name="A10_Y_L33">Diseño!$KS$36</definedName>
    <definedName name="A10_Y_L34">Diseño!$KS$37</definedName>
    <definedName name="A10_Y_L35">Diseño!$KS$38</definedName>
    <definedName name="A10_Y_L36">Diseño!$KS$39</definedName>
    <definedName name="A10_Y_L37">Diseño!$KS$40</definedName>
    <definedName name="A10_Y_L38">Diseño!$KS$41</definedName>
    <definedName name="A10_Y_L39">Diseño!$KS$42</definedName>
    <definedName name="A10_Y_L4">Diseño!$KS$7</definedName>
    <definedName name="A10_Y_L40">Diseño!$KS$43</definedName>
    <definedName name="A10_Y_L5">Diseño!$KS$8</definedName>
    <definedName name="A10_Y_L6">Diseño!$KS$9</definedName>
    <definedName name="A10_Y_L7">Diseño!$KS$10</definedName>
    <definedName name="A10_Y_L8">Diseño!$KS$11</definedName>
    <definedName name="A10_Y_L9">Diseño!$KS$12</definedName>
    <definedName name="A10_Z">Diseño!$KU$4:$KU$43</definedName>
    <definedName name="A10_Z_L1">Diseño!$KU$4</definedName>
    <definedName name="A10_Z_L10">Diseño!$KU$13</definedName>
    <definedName name="A10_Z_L11">Diseño!$KU$14</definedName>
    <definedName name="A10_Z_L12">Diseño!$KU$15</definedName>
    <definedName name="A10_Z_L13">Diseño!$KU$16</definedName>
    <definedName name="A10_Z_L14">Diseño!$KU$17</definedName>
    <definedName name="A10_Z_L15">Diseño!$KU$18</definedName>
    <definedName name="A10_Z_L16">Diseño!$KU$19</definedName>
    <definedName name="A10_Z_L17">Diseño!$KU$20</definedName>
    <definedName name="A10_Z_L18">Diseño!$KU$21</definedName>
    <definedName name="A10_Z_L19">Diseño!$KU$22</definedName>
    <definedName name="A10_Z_L2">Diseño!$KU$5</definedName>
    <definedName name="A10_Z_L20">Diseño!$KU$23</definedName>
    <definedName name="A10_Z_L21">Diseño!$KU$24</definedName>
    <definedName name="A10_Z_L22">Diseño!$KU$25</definedName>
    <definedName name="A10_Z_L23">Diseño!$KU$26</definedName>
    <definedName name="A10_Z_L24">Diseño!$KU$27</definedName>
    <definedName name="A10_Z_L25">Diseño!$KU$28</definedName>
    <definedName name="A10_Z_L26">Diseño!$KU$29</definedName>
    <definedName name="A10_Z_L27">Diseño!$KU$30</definedName>
    <definedName name="A10_Z_L28">Diseño!$KU$31</definedName>
    <definedName name="A10_Z_L29">Diseño!$KU$32</definedName>
    <definedName name="A10_Z_L3">Diseño!$KU$6</definedName>
    <definedName name="A10_Z_L30">Diseño!$KU$33</definedName>
    <definedName name="A10_Z_L31">Diseño!$KU$34</definedName>
    <definedName name="A10_Z_L32">Diseño!$KU$35</definedName>
    <definedName name="A10_Z_L33">Diseño!$KU$36</definedName>
    <definedName name="A10_Z_L34">Diseño!$KU$37</definedName>
    <definedName name="A10_Z_L35">Diseño!$KU$38</definedName>
    <definedName name="A10_Z_L36">Diseño!$KU$39</definedName>
    <definedName name="A10_Z_L37">Diseño!$KU$40</definedName>
    <definedName name="A10_Z_L38">Diseño!$KU$41</definedName>
    <definedName name="A10_Z_L39">Diseño!$KU$42</definedName>
    <definedName name="A10_Z_L4">Diseño!$KU$7</definedName>
    <definedName name="A10_Z_L40">Diseño!$KU$43</definedName>
    <definedName name="A10_Z_L5">Diseño!$KU$8</definedName>
    <definedName name="A10_Z_L6">Diseño!$KU$9</definedName>
    <definedName name="A10_Z_L7">Diseño!$KU$10</definedName>
    <definedName name="A10_Z_L8">Diseño!$KU$11</definedName>
    <definedName name="A10_Z_L9">Diseño!$KU$12</definedName>
    <definedName name="A11_A">Diseño!$KY$4:$KY$43</definedName>
    <definedName name="A11_A_L1">Diseño!$KY$4</definedName>
    <definedName name="A11_A_L10">Diseño!$KY$13</definedName>
    <definedName name="A11_A_L11">Diseño!$KY$14</definedName>
    <definedName name="A11_A_L12">Diseño!$KY$15</definedName>
    <definedName name="A11_A_L13">Diseño!$KY$16</definedName>
    <definedName name="A11_A_L14">Diseño!$KY$17</definedName>
    <definedName name="A11_A_L15">Diseño!$KY$18</definedName>
    <definedName name="A11_A_L16">Diseño!$KY$19</definedName>
    <definedName name="A11_A_L17">Diseño!$KY$20</definedName>
    <definedName name="A11_A_L18">Diseño!$KY$21</definedName>
    <definedName name="A11_A_L19">Diseño!$KY$22</definedName>
    <definedName name="A11_A_L2">Diseño!$KY$5</definedName>
    <definedName name="A11_A_L20">Diseño!$KY$23</definedName>
    <definedName name="A11_A_L21">Diseño!$KY$24</definedName>
    <definedName name="A11_A_L22">Diseño!$KY$25</definedName>
    <definedName name="A11_A_L23">Diseño!$KY$26</definedName>
    <definedName name="A11_A_L24">Diseño!$KY$27</definedName>
    <definedName name="A11_A_L25">Diseño!$KY$28</definedName>
    <definedName name="A11_A_L26">Diseño!$KY$29</definedName>
    <definedName name="A11_A_L27">Diseño!$KY$30</definedName>
    <definedName name="A11_A_L28">Diseño!$KY$31</definedName>
    <definedName name="A11_A_L29">Diseño!$KY$32</definedName>
    <definedName name="A11_A_L3">Diseño!$KY$6</definedName>
    <definedName name="A11_A_L30">Diseño!$KY$33</definedName>
    <definedName name="A11_A_L31">Diseño!$KY$34</definedName>
    <definedName name="A11_A_L32">Diseño!$KY$35</definedName>
    <definedName name="A11_A_L33">Diseño!$KY$36</definedName>
    <definedName name="A11_A_L34">Diseño!$KY$37</definedName>
    <definedName name="A11_A_L35">Diseño!$KY$38</definedName>
    <definedName name="A11_A_L36">Diseño!$KY$39</definedName>
    <definedName name="A11_A_L37">Diseño!$KY$40</definedName>
    <definedName name="A11_A_L38">Diseño!$KY$41</definedName>
    <definedName name="A11_A_L39">Diseño!$KY$42</definedName>
    <definedName name="A11_A_L4">Diseño!$KY$7</definedName>
    <definedName name="A11_A_L40">Diseño!$KY$43</definedName>
    <definedName name="A11_A_L5">Diseño!$KY$8</definedName>
    <definedName name="A11_A_L6">Diseño!$KY$9</definedName>
    <definedName name="A11_A_L7">Diseño!$KY$10</definedName>
    <definedName name="A11_A_L8">Diseño!$KY$11</definedName>
    <definedName name="A11_A_L9">Diseño!$KY$12</definedName>
    <definedName name="A11_B">Diseño!$LA$4:$LA$43</definedName>
    <definedName name="A11_B_L1">Diseño!$LA$4</definedName>
    <definedName name="A11_B_L10">Diseño!$LA$13</definedName>
    <definedName name="A11_B_L11">Diseño!$LA$14</definedName>
    <definedName name="A11_B_L12">Diseño!$LA$15</definedName>
    <definedName name="A11_B_L13">Diseño!$LA$16</definedName>
    <definedName name="A11_B_L14">Diseño!$LA$17</definedName>
    <definedName name="A11_B_L15">Diseño!$LA$18</definedName>
    <definedName name="A11_B_L16">Diseño!$LA$19</definedName>
    <definedName name="A11_B_L17">Diseño!$LA$20</definedName>
    <definedName name="A11_B_L18">Diseño!$LA$21</definedName>
    <definedName name="A11_B_L19">Diseño!$LA$22</definedName>
    <definedName name="A11_B_L2">Diseño!$LA$5</definedName>
    <definedName name="A11_B_L20">Diseño!$LA$23</definedName>
    <definedName name="A11_B_L21">Diseño!$LA$24</definedName>
    <definedName name="A11_B_L22">Diseño!$LA$25</definedName>
    <definedName name="A11_B_L23">Diseño!$LA$26</definedName>
    <definedName name="A11_B_L24">Diseño!$LA$27</definedName>
    <definedName name="A11_B_L25">Diseño!$LA$28</definedName>
    <definedName name="A11_B_L26">Diseño!$LA$29</definedName>
    <definedName name="A11_B_L27">Diseño!$LA$30</definedName>
    <definedName name="A11_B_L28">Diseño!$LA$31</definedName>
    <definedName name="A11_B_L29">Diseño!$LA$32</definedName>
    <definedName name="A11_B_L3">Diseño!$LA$6</definedName>
    <definedName name="A11_B_L30">Diseño!$LA$33</definedName>
    <definedName name="A11_B_L31">Diseño!$LA$34</definedName>
    <definedName name="A11_B_L32">Diseño!$LA$35</definedName>
    <definedName name="A11_B_L33">Diseño!$LA$36</definedName>
    <definedName name="A11_B_L34">Diseño!$LA$37</definedName>
    <definedName name="A11_B_L35">Diseño!$LA$38</definedName>
    <definedName name="A11_B_L36">Diseño!$LA$39</definedName>
    <definedName name="A11_B_L37">Diseño!$LA$40</definedName>
    <definedName name="A11_B_L38">Diseño!$LA$41</definedName>
    <definedName name="A11_B_L39">Diseño!$LA$42</definedName>
    <definedName name="A11_B_L4">Diseño!$LA$7</definedName>
    <definedName name="A11_B_L40">Diseño!$LA$43</definedName>
    <definedName name="A11_B_L5">Diseño!$LA$8</definedName>
    <definedName name="A11_B_L6">Diseño!$LA$9</definedName>
    <definedName name="A11_B_L7">Diseño!$LA$10</definedName>
    <definedName name="A11_B_L8">Diseño!$LA$11</definedName>
    <definedName name="A11_B_L9">Diseño!$LA$12</definedName>
    <definedName name="A11_C">Diseño!$LC$4:$LC$43</definedName>
    <definedName name="A11_C_L1">Diseño!$LC$4</definedName>
    <definedName name="A11_C_L10">Diseño!$LC$13</definedName>
    <definedName name="A11_C_L11">Diseño!$LC$14</definedName>
    <definedName name="A11_C_L12">Diseño!$LC$15</definedName>
    <definedName name="A11_C_L13">Diseño!$LC$16</definedName>
    <definedName name="A11_C_L14">Diseño!$LC$17</definedName>
    <definedName name="A11_C_L15">Diseño!$LC$18</definedName>
    <definedName name="A11_C_L16">Diseño!$LC$19</definedName>
    <definedName name="A11_C_L17">Diseño!$LC$20</definedName>
    <definedName name="A11_C_L18">Diseño!$LC$21</definedName>
    <definedName name="A11_C_L19">Diseño!$LC$22</definedName>
    <definedName name="A11_C_L2">Diseño!$LC$5</definedName>
    <definedName name="A11_C_L20">Diseño!$LC$23</definedName>
    <definedName name="A11_C_L21">Diseño!$LC$24</definedName>
    <definedName name="A11_C_L22">Diseño!$LC$25</definedName>
    <definedName name="A11_C_L23">Diseño!$LC$26</definedName>
    <definedName name="A11_C_L24">Diseño!$LC$27</definedName>
    <definedName name="A11_C_L25">Diseño!$LC$28</definedName>
    <definedName name="A11_C_L26">Diseño!$LC$29</definedName>
    <definedName name="A11_C_L27">Diseño!$LC$30</definedName>
    <definedName name="A11_C_L28">Diseño!$LC$31</definedName>
    <definedName name="A11_C_L29">Diseño!$LC$32</definedName>
    <definedName name="A11_C_L3">Diseño!$LC$6</definedName>
    <definedName name="A11_C_L30">Diseño!$LC$33</definedName>
    <definedName name="A11_C_L31">Diseño!$LC$34</definedName>
    <definedName name="A11_C_L32">Diseño!$LC$35</definedName>
    <definedName name="A11_C_L33">Diseño!$LC$36</definedName>
    <definedName name="A11_C_L34">Diseño!$LC$37</definedName>
    <definedName name="A11_C_L35">Diseño!$LC$38</definedName>
    <definedName name="A11_C_L36">Diseño!$LC$39</definedName>
    <definedName name="A11_C_L37">Diseño!$LC$40</definedName>
    <definedName name="A11_C_L38">Diseño!$LC$41</definedName>
    <definedName name="A11_C_L39">Diseño!$LC$42</definedName>
    <definedName name="A11_C_L4">Diseño!$LC$7</definedName>
    <definedName name="A11_C_L40">Diseño!$LC$43</definedName>
    <definedName name="A11_C_L5">Diseño!$LC$8</definedName>
    <definedName name="A11_C_L6">Diseño!$LC$9</definedName>
    <definedName name="A11_C_L7">Diseño!$LC$10</definedName>
    <definedName name="A11_C_L8">Diseño!$LC$11</definedName>
    <definedName name="A11_C_L9">Diseño!$LC$12</definedName>
    <definedName name="A11_D">Diseño!$LE$4:$LE$43</definedName>
    <definedName name="A11_D_L1">Diseño!$LE$4</definedName>
    <definedName name="A11_D_L10">Diseño!$LE$13</definedName>
    <definedName name="A11_D_L11">Diseño!$LE$14</definedName>
    <definedName name="A11_D_L12">Diseño!$LE$15</definedName>
    <definedName name="A11_D_L13">Diseño!$LE$16</definedName>
    <definedName name="A11_D_L14">Diseño!$LE$17</definedName>
    <definedName name="A11_D_L15">Diseño!$LE$18</definedName>
    <definedName name="A11_D_L16">Diseño!$LE$19</definedName>
    <definedName name="A11_D_L17">Diseño!$LE$20</definedName>
    <definedName name="A11_D_L18">Diseño!$LE$21</definedName>
    <definedName name="A11_D_L19">Diseño!$LE$22</definedName>
    <definedName name="A11_D_L2">Diseño!$LE$5</definedName>
    <definedName name="A11_D_L20">Diseño!$LE$23</definedName>
    <definedName name="A11_D_L21">Diseño!$LE$24</definedName>
    <definedName name="A11_D_L22">Diseño!$LE$25</definedName>
    <definedName name="A11_D_L23">Diseño!$LE$26</definedName>
    <definedName name="A11_D_L24">Diseño!$LE$27</definedName>
    <definedName name="A11_D_L25">Diseño!$LE$28</definedName>
    <definedName name="A11_D_L26">Diseño!$LE$29</definedName>
    <definedName name="A11_D_L27">Diseño!$LE$30</definedName>
    <definedName name="A11_D_L28">Diseño!$LE$31</definedName>
    <definedName name="A11_D_L29">Diseño!$LE$32</definedName>
    <definedName name="A11_D_L3">Diseño!$LE$6</definedName>
    <definedName name="A11_D_L30">Diseño!$LE$33</definedName>
    <definedName name="A11_D_L31">Diseño!$LE$34</definedName>
    <definedName name="A11_D_L32">Diseño!$LE$35</definedName>
    <definedName name="A11_D_L33">Diseño!$LE$36</definedName>
    <definedName name="A11_D_L34">Diseño!$LE$37</definedName>
    <definedName name="A11_D_L35">Diseño!$LE$38</definedName>
    <definedName name="A11_D_L36">Diseño!$LE$39</definedName>
    <definedName name="A11_D_L37">Diseño!$LE$40</definedName>
    <definedName name="A11_D_L38">Diseño!$LE$41</definedName>
    <definedName name="A11_D_L39">Diseño!$LE$42</definedName>
    <definedName name="A11_D_L4">Diseño!$LE$7</definedName>
    <definedName name="A11_D_L40">Diseño!$LE$43</definedName>
    <definedName name="A11_D_L5">Diseño!$LE$8</definedName>
    <definedName name="A11_D_L6">Diseño!$LE$9</definedName>
    <definedName name="A11_D_L7">Diseño!$LE$10</definedName>
    <definedName name="A11_D_L8">Diseño!$LE$11</definedName>
    <definedName name="A11_D_L9">Diseño!$LE$12</definedName>
    <definedName name="A11_L1">'1'!$Q$5</definedName>
    <definedName name="A11_L10">'1'!$Q$14</definedName>
    <definedName name="A11_L11">'1'!$Q$15</definedName>
    <definedName name="A11_L12">'1'!$Q$16</definedName>
    <definedName name="A11_L13">'1'!$Q$17</definedName>
    <definedName name="A11_L14">'1'!$Q$18</definedName>
    <definedName name="A11_L15">'1'!$Q$19</definedName>
    <definedName name="A11_L16">'1'!$Q$20</definedName>
    <definedName name="A11_L17">'1'!$Q$21</definedName>
    <definedName name="A11_L18">'1'!$Q$22</definedName>
    <definedName name="A11_L19">'1'!$Q$23</definedName>
    <definedName name="A11_L2">'1'!$Q$6</definedName>
    <definedName name="A11_L20">'1'!$Q$24</definedName>
    <definedName name="A11_L21">'1'!$Q$25</definedName>
    <definedName name="A11_L22">'1'!$Q$26</definedName>
    <definedName name="A11_L23">'1'!$Q$27</definedName>
    <definedName name="A11_L24">'1'!$Q$28</definedName>
    <definedName name="A11_L25">'1'!$Q$29</definedName>
    <definedName name="A11_L26">'1'!$Q$30</definedName>
    <definedName name="A11_L27">'1'!$Q$31</definedName>
    <definedName name="A11_L28">'1'!$Q$32</definedName>
    <definedName name="A11_L29">'1'!$Q$33</definedName>
    <definedName name="A11_L3">'1'!$Q$7</definedName>
    <definedName name="A11_L30">'1'!$Q$34</definedName>
    <definedName name="A11_L31">'1'!$Q$35</definedName>
    <definedName name="A11_L32">'1'!$Q$36</definedName>
    <definedName name="A11_L33">'1'!$Q$37</definedName>
    <definedName name="A11_L34">'1'!$Q$38</definedName>
    <definedName name="A11_L35">'1'!$Q$39</definedName>
    <definedName name="A11_L36">'1'!$Q$40</definedName>
    <definedName name="A11_L37">'1'!$Q$41</definedName>
    <definedName name="A11_L38">'1'!$Q$42</definedName>
    <definedName name="A11_L39">'1'!$Q$43</definedName>
    <definedName name="A11_L4">'1'!$Q$8</definedName>
    <definedName name="A11_L40">'1'!$Q$44</definedName>
    <definedName name="A11_L5">'1'!$Q$9</definedName>
    <definedName name="A11_L6">'1'!$Q$10</definedName>
    <definedName name="A11_L7">'1'!$Q$11</definedName>
    <definedName name="A11_L8">'1'!$Q$12</definedName>
    <definedName name="A11_L9">'1'!$Q$13</definedName>
    <definedName name="A11_X">Diseño!$LK$4:$LK$43</definedName>
    <definedName name="A11_X_L1">Diseño!$LK$4</definedName>
    <definedName name="A11_X_L10">Diseño!$LK$13</definedName>
    <definedName name="A11_X_L11">Diseño!$LK$14</definedName>
    <definedName name="A11_X_L12">Diseño!$LK$15</definedName>
    <definedName name="A11_X_L13">Diseño!$LK$16</definedName>
    <definedName name="A11_X_L14">Diseño!$LK$17</definedName>
    <definedName name="A11_X_L15">Diseño!$LK$18</definedName>
    <definedName name="A11_X_L16">Diseño!$LK$19</definedName>
    <definedName name="A11_X_L17">Diseño!$LK$20</definedName>
    <definedName name="A11_X_L18">Diseño!$LK$21</definedName>
    <definedName name="A11_X_L19">Diseño!$LK$22</definedName>
    <definedName name="A11_X_L2">Diseño!$LK$5</definedName>
    <definedName name="A11_X_L20">Diseño!$LK$23</definedName>
    <definedName name="A11_X_L21">Diseño!$LK$24</definedName>
    <definedName name="A11_X_L22">Diseño!$LK$25</definedName>
    <definedName name="A11_X_L23">Diseño!$LK$26</definedName>
    <definedName name="A11_X_L24">Diseño!$LK$27</definedName>
    <definedName name="A11_X_L25">Diseño!$LK$28</definedName>
    <definedName name="A11_X_L26">Diseño!$LK$29</definedName>
    <definedName name="A11_X_L27">Diseño!$LK$30</definedName>
    <definedName name="A11_X_L28">Diseño!$LK$31</definedName>
    <definedName name="A11_X_L29">Diseño!$LK$32</definedName>
    <definedName name="A11_X_L3">Diseño!$LK$6</definedName>
    <definedName name="A11_X_L30">Diseño!$LK$33</definedName>
    <definedName name="A11_X_L31">Diseño!$LK$34</definedName>
    <definedName name="A11_X_L32">Diseño!$LK$35</definedName>
    <definedName name="A11_X_L33">Diseño!$LK$36</definedName>
    <definedName name="A11_X_L34">Diseño!$LK$37</definedName>
    <definedName name="A11_X_L35">Diseño!$LK$38</definedName>
    <definedName name="A11_X_L36">Diseño!$LK$39</definedName>
    <definedName name="A11_X_L37">Diseño!$LK$40</definedName>
    <definedName name="A11_X_L38">Diseño!$LK$41</definedName>
    <definedName name="A11_X_L39">Diseño!$LK$42</definedName>
    <definedName name="A11_X_L4">Diseño!$LK$7</definedName>
    <definedName name="A11_X_L40">Diseño!$LK$43</definedName>
    <definedName name="A11_X_L5">Diseño!$LK$8</definedName>
    <definedName name="A11_X_L6">Diseño!$LK$9</definedName>
    <definedName name="A11_X_L7">Diseño!$LK$10</definedName>
    <definedName name="A11_X_L8">Diseño!$LK$11</definedName>
    <definedName name="A11_X_L9">Diseño!$LK$12</definedName>
    <definedName name="A11_Y">Diseño!$LG$4:$LG$43</definedName>
    <definedName name="A11_Y_L1">Diseño!$LG$4</definedName>
    <definedName name="A11_Y_L10">Diseño!$LG$13</definedName>
    <definedName name="A11_Y_L11">Diseño!$LG$14</definedName>
    <definedName name="A11_Y_L12">Diseño!$LG$15</definedName>
    <definedName name="A11_Y_L13">Diseño!$LG$16</definedName>
    <definedName name="A11_Y_L14">Diseño!$LG$17</definedName>
    <definedName name="A11_Y_L15">Diseño!$LG$18</definedName>
    <definedName name="A11_Y_L16">Diseño!$LG$19</definedName>
    <definedName name="A11_Y_L17">Diseño!$LG$20</definedName>
    <definedName name="A11_Y_L18">Diseño!$LG$21</definedName>
    <definedName name="A11_Y_L19">Diseño!$LG$22</definedName>
    <definedName name="A11_Y_L2">Diseño!$LG$5</definedName>
    <definedName name="A11_Y_L20">Diseño!$LG$23</definedName>
    <definedName name="A11_Y_L21">Diseño!$LG$24</definedName>
    <definedName name="A11_Y_L22">Diseño!$LG$25</definedName>
    <definedName name="A11_Y_L23">Diseño!$LG$26</definedName>
    <definedName name="A11_Y_L24">Diseño!$LG$27</definedName>
    <definedName name="A11_Y_L25">Diseño!$LG$28</definedName>
    <definedName name="A11_Y_L26">Diseño!$LG$29</definedName>
    <definedName name="A11_Y_L27">Diseño!$LG$30</definedName>
    <definedName name="A11_Y_L28">Diseño!$LG$31</definedName>
    <definedName name="A11_Y_L29">Diseño!$LG$32</definedName>
    <definedName name="A11_Y_L3">Diseño!$LG$6</definedName>
    <definedName name="A11_Y_L30">Diseño!$LG$33</definedName>
    <definedName name="A11_Y_L31">Diseño!$LG$34</definedName>
    <definedName name="A11_Y_L32">Diseño!$LG$35</definedName>
    <definedName name="A11_Y_L33">Diseño!$LG$36</definedName>
    <definedName name="A11_Y_L34">Diseño!$LG$37</definedName>
    <definedName name="A11_Y_L35">Diseño!$LG$38</definedName>
    <definedName name="A11_Y_L36">Diseño!$LG$39</definedName>
    <definedName name="A11_Y_L37">Diseño!$LG$40</definedName>
    <definedName name="A11_Y_L38">Diseño!$LG$41</definedName>
    <definedName name="A11_Y_L39">Diseño!$LG$42</definedName>
    <definedName name="A11_Y_L4">Diseño!$LG$7</definedName>
    <definedName name="A11_Y_L40">Diseño!$LG$43</definedName>
    <definedName name="A11_Y_L5">Diseño!$LG$8</definedName>
    <definedName name="A11_Y_L6">Diseño!$LG$9</definedName>
    <definedName name="A11_Y_L7">Diseño!$LG$10</definedName>
    <definedName name="A11_Y_L8">Diseño!$LG$11</definedName>
    <definedName name="A11_Y_L9">Diseño!$LG$12</definedName>
    <definedName name="A11_Z">Diseño!$LI$4:$LI$43</definedName>
    <definedName name="A11_Z_L1">Diseño!$LI$4</definedName>
    <definedName name="A11_Z_L10">Diseño!$LI$13</definedName>
    <definedName name="A11_Z_L11">Diseño!$LI$14</definedName>
    <definedName name="A11_Z_L12">Diseño!$LI$15</definedName>
    <definedName name="A11_Z_L13">Diseño!$LI$16</definedName>
    <definedName name="A11_Z_L14">Diseño!$LI$17</definedName>
    <definedName name="A11_Z_L15">Diseño!$LI$18</definedName>
    <definedName name="A11_Z_L16">Diseño!$LI$19</definedName>
    <definedName name="A11_Z_L17">Diseño!$LI$20</definedName>
    <definedName name="A11_Z_L18">Diseño!$LI$21</definedName>
    <definedName name="A11_Z_L19">Diseño!$LI$22</definedName>
    <definedName name="A11_Z_L2">Diseño!$LI$5</definedName>
    <definedName name="A11_Z_L20">Diseño!$LI$23</definedName>
    <definedName name="A11_Z_L21">Diseño!$LI$24</definedName>
    <definedName name="A11_Z_L22">Diseño!$LI$25</definedName>
    <definedName name="A11_Z_L23">Diseño!$LI$26</definedName>
    <definedName name="A11_Z_L24">Diseño!$LI$27</definedName>
    <definedName name="A11_Z_L25">Diseño!$LI$28</definedName>
    <definedName name="A11_Z_L26">Diseño!$LI$29</definedName>
    <definedName name="A11_Z_L27">Diseño!$LI$30</definedName>
    <definedName name="A11_Z_L28">Diseño!$LI$31</definedName>
    <definedName name="A11_Z_L29">Diseño!$LI$32</definedName>
    <definedName name="A11_Z_L3">Diseño!$LI$6</definedName>
    <definedName name="A11_Z_L30">Diseño!$LI$33</definedName>
    <definedName name="A11_Z_L31">Diseño!$LI$34</definedName>
    <definedName name="A11_Z_L32">Diseño!$LI$35</definedName>
    <definedName name="A11_Z_L33">Diseño!$LI$36</definedName>
    <definedName name="A11_Z_L34">Diseño!$LI$37</definedName>
    <definedName name="A11_Z_L35">Diseño!$LI$38</definedName>
    <definedName name="A11_Z_L36">Diseño!$LI$39</definedName>
    <definedName name="A11_Z_L37">Diseño!$LI$40</definedName>
    <definedName name="A11_Z_L38">Diseño!$LI$41</definedName>
    <definedName name="A11_Z_L39">Diseño!$LI$42</definedName>
    <definedName name="A11_Z_L4">Diseño!$LI$7</definedName>
    <definedName name="A11_Z_L40">Diseño!$LI$43</definedName>
    <definedName name="A11_Z_L5">Diseño!$LI$8</definedName>
    <definedName name="A11_Z_L6">Diseño!$LI$9</definedName>
    <definedName name="A11_Z_L7">Diseño!$LI$10</definedName>
    <definedName name="A11_Z_L8">Diseño!$LI$11</definedName>
    <definedName name="A11_Z_L9">Diseño!$LI$12</definedName>
    <definedName name="A12_A">Diseño!$LM$4:$LM$43</definedName>
    <definedName name="A12_A_L1">Diseño!$LM$4</definedName>
    <definedName name="A12_A_L10">Diseño!$LM$13</definedName>
    <definedName name="A12_A_L11">Diseño!$LM$14</definedName>
    <definedName name="A12_A_L12">Diseño!$LM$15</definedName>
    <definedName name="A12_A_L13">Diseño!$LM$16</definedName>
    <definedName name="A12_A_L14">Diseño!$LM$17</definedName>
    <definedName name="A12_A_L15">Diseño!$LM$18</definedName>
    <definedName name="A12_A_L16">Diseño!$LM$19</definedName>
    <definedName name="A12_A_L17">Diseño!$LM$20</definedName>
    <definedName name="A12_A_L18">Diseño!$LM$21</definedName>
    <definedName name="A12_A_L19">Diseño!$LM$22</definedName>
    <definedName name="A12_A_L2">Diseño!$LM$5</definedName>
    <definedName name="A12_A_L20">Diseño!$LM$23</definedName>
    <definedName name="A12_A_L21">Diseño!$LM$24</definedName>
    <definedName name="A12_A_L22">Diseño!$LM$25</definedName>
    <definedName name="A12_A_L23">Diseño!$LM$26</definedName>
    <definedName name="A12_A_L24">Diseño!$LM$27</definedName>
    <definedName name="A12_A_L25">Diseño!$LM$28</definedName>
    <definedName name="A12_A_L26">Diseño!$LM$29</definedName>
    <definedName name="A12_A_L27">Diseño!$LM$30</definedName>
    <definedName name="A12_A_L28">Diseño!$LM$31</definedName>
    <definedName name="A12_A_L29">Diseño!$LM$32</definedName>
    <definedName name="A12_A_L3">Diseño!$LM$6</definedName>
    <definedName name="A12_A_L30">Diseño!$LM$33</definedName>
    <definedName name="A12_A_L31">Diseño!$LM$34</definedName>
    <definedName name="A12_A_L32">Diseño!$LM$35</definedName>
    <definedName name="A12_A_L33">Diseño!$LM$36</definedName>
    <definedName name="A12_A_L34">Diseño!$LM$37</definedName>
    <definedName name="A12_A_L35">Diseño!$LM$38</definedName>
    <definedName name="A12_A_L36">Diseño!$LM$39</definedName>
    <definedName name="A12_A_L37">Diseño!$LM$40</definedName>
    <definedName name="A12_A_L38">Diseño!$LM$41</definedName>
    <definedName name="A12_A_L39">Diseño!$LM$42</definedName>
    <definedName name="A12_A_L4">Diseño!$LM$7</definedName>
    <definedName name="A12_A_L40">Diseño!$LM$43</definedName>
    <definedName name="A12_A_L5">Diseño!$LM$8</definedName>
    <definedName name="A12_A_L6">Diseño!$LM$9</definedName>
    <definedName name="A12_A_L7">Diseño!$LM$10</definedName>
    <definedName name="A12_A_L8">Diseño!$LM$11</definedName>
    <definedName name="A12_A_L9">Diseño!$LM$12</definedName>
    <definedName name="A12_B">Diseño!$LO$4:$LO$43</definedName>
    <definedName name="A12_B_L1">Diseño!$LO$4</definedName>
    <definedName name="A12_B_L10">Diseño!$LO$13</definedName>
    <definedName name="A12_B_L11">Diseño!$LO$14</definedName>
    <definedName name="A12_B_L12">Diseño!$LO$15</definedName>
    <definedName name="A12_B_L13">Diseño!$LO$16</definedName>
    <definedName name="A12_B_L14">Diseño!$LO$17</definedName>
    <definedName name="A12_B_L15">Diseño!$LO$18</definedName>
    <definedName name="A12_B_L16">Diseño!$LO$19</definedName>
    <definedName name="A12_B_L17">Diseño!$LO$20</definedName>
    <definedName name="A12_B_L18">Diseño!$LO$21</definedName>
    <definedName name="A12_B_L19">Diseño!$LO$22</definedName>
    <definedName name="A12_B_L2">Diseño!$LO$5</definedName>
    <definedName name="A12_B_L20">Diseño!$LO$23</definedName>
    <definedName name="A12_B_L21">Diseño!$LO$24</definedName>
    <definedName name="A12_B_L22">Diseño!$LO$25</definedName>
    <definedName name="A12_B_L23">Diseño!$LO$26</definedName>
    <definedName name="A12_B_L24">Diseño!$LO$27</definedName>
    <definedName name="A12_B_L25">Diseño!$LO$28</definedName>
    <definedName name="A12_B_L26">Diseño!$LO$29</definedName>
    <definedName name="A12_B_L27">Diseño!$LO$30</definedName>
    <definedName name="A12_B_L28">Diseño!$LO$31</definedName>
    <definedName name="A12_B_L29">Diseño!$LO$32</definedName>
    <definedName name="A12_B_L3">Diseño!$LO$6</definedName>
    <definedName name="A12_B_L30">Diseño!$LO$33</definedName>
    <definedName name="A12_B_L31">Diseño!$LO$34</definedName>
    <definedName name="A12_B_L32">Diseño!$LO$35</definedName>
    <definedName name="A12_B_L33">Diseño!$LO$36</definedName>
    <definedName name="A12_B_L34">Diseño!$LO$37</definedName>
    <definedName name="A12_B_L35">Diseño!$LO$38</definedName>
    <definedName name="A12_B_L36">Diseño!$LO$39</definedName>
    <definedName name="A12_B_L37">Diseño!$LO$40</definedName>
    <definedName name="A12_B_L38">Diseño!$LO$41</definedName>
    <definedName name="A12_B_L39">Diseño!$LO$42</definedName>
    <definedName name="A12_B_L4">Diseño!$LO$7</definedName>
    <definedName name="A12_B_L40">Diseño!$LO$43</definedName>
    <definedName name="A12_B_L5">Diseño!$LO$8</definedName>
    <definedName name="A12_B_L6">Diseño!$LO$9</definedName>
    <definedName name="A12_B_L7">Diseño!$LO$10</definedName>
    <definedName name="A12_B_L8">Diseño!$LO$11</definedName>
    <definedName name="A12_B_L9">Diseño!$LO$12</definedName>
    <definedName name="A12_C">Diseño!$LQ$4:$LQ$43</definedName>
    <definedName name="A12_C_L1">Diseño!$LQ$4</definedName>
    <definedName name="A12_C_L10">Diseño!$LQ$13</definedName>
    <definedName name="A12_C_L11">Diseño!$LQ$14</definedName>
    <definedName name="A12_C_L12">Diseño!$LQ$15</definedName>
    <definedName name="A12_C_L13">Diseño!$LQ$16</definedName>
    <definedName name="A12_C_L14">Diseño!$LQ$17</definedName>
    <definedName name="A12_C_L15">Diseño!$LQ$18</definedName>
    <definedName name="A12_C_L16">Diseño!$LQ$19</definedName>
    <definedName name="A12_C_L17">Diseño!$LQ$20</definedName>
    <definedName name="A12_C_L18">Diseño!$LQ$21</definedName>
    <definedName name="A12_C_L19">Diseño!$LQ$22</definedName>
    <definedName name="A12_C_L2">Diseño!$LQ$5</definedName>
    <definedName name="A12_C_L20">Diseño!$LQ$23</definedName>
    <definedName name="A12_C_L21">Diseño!$LQ$24</definedName>
    <definedName name="A12_C_L22">Diseño!$LQ$25</definedName>
    <definedName name="A12_C_L23">Diseño!$LQ$26</definedName>
    <definedName name="A12_C_L24">Diseño!$LQ$27</definedName>
    <definedName name="A12_C_L25">Diseño!$LQ$28</definedName>
    <definedName name="A12_C_L26">Diseño!$LQ$29</definedName>
    <definedName name="A12_C_L27">Diseño!$LQ$30</definedName>
    <definedName name="A12_C_L28">Diseño!$LQ$31</definedName>
    <definedName name="A12_C_L29">Diseño!$LQ$32</definedName>
    <definedName name="A12_C_L3">Diseño!$LQ$6</definedName>
    <definedName name="A12_C_L30">Diseño!$LQ$33</definedName>
    <definedName name="A12_C_L31">Diseño!$LQ$34</definedName>
    <definedName name="A12_C_L32">Diseño!$LQ$35</definedName>
    <definedName name="A12_C_L33">Diseño!$LQ$36</definedName>
    <definedName name="A12_C_L34">Diseño!$LQ$37</definedName>
    <definedName name="A12_C_L35">Diseño!$LQ$38</definedName>
    <definedName name="A12_C_L36">Diseño!$LQ$39</definedName>
    <definedName name="A12_C_L37">Diseño!$LQ$40</definedName>
    <definedName name="A12_C_L38">Diseño!$LQ$41</definedName>
    <definedName name="A12_C_L39">Diseño!$LQ$42</definedName>
    <definedName name="A12_C_L4">Diseño!$LQ$7</definedName>
    <definedName name="A12_C_L40">Diseño!$LQ$43</definedName>
    <definedName name="A12_C_L5">Diseño!$LQ$8</definedName>
    <definedName name="A12_C_L6">Diseño!$LQ$9</definedName>
    <definedName name="A12_C_L7">Diseño!$LQ$10</definedName>
    <definedName name="A12_C_L8">Diseño!$LQ$11</definedName>
    <definedName name="A12_C_L9">Diseño!$LQ$12</definedName>
    <definedName name="A12_D">Diseño!$LS$4:$LS$43</definedName>
    <definedName name="A12_D_L1">Diseño!$LS$4</definedName>
    <definedName name="A12_D_L10">Diseño!$LS$13</definedName>
    <definedName name="A12_D_L11">Diseño!$LS$14</definedName>
    <definedName name="A12_D_L12">Diseño!$LS$15</definedName>
    <definedName name="A12_D_L13">Diseño!$LS$16</definedName>
    <definedName name="A12_D_L14">Diseño!$LS$17</definedName>
    <definedName name="A12_D_L15">Diseño!$LS$18</definedName>
    <definedName name="A12_D_L16">Diseño!$LS$19</definedName>
    <definedName name="A12_D_L17">Diseño!$LS$20</definedName>
    <definedName name="A12_D_L18">Diseño!$LS$21</definedName>
    <definedName name="A12_D_L19">Diseño!$LS$22</definedName>
    <definedName name="A12_D_L2">Diseño!$LS$5</definedName>
    <definedName name="A12_D_L20">Diseño!$LS$23</definedName>
    <definedName name="A12_D_L21">Diseño!$LS$24</definedName>
    <definedName name="A12_D_L22">Diseño!$LS$25</definedName>
    <definedName name="A12_D_L23">Diseño!$LS$26</definedName>
    <definedName name="A12_D_L24">Diseño!$LS$27</definedName>
    <definedName name="A12_D_L25">Diseño!$LS$28</definedName>
    <definedName name="A12_D_L26">Diseño!$LS$29</definedName>
    <definedName name="A12_D_L27">Diseño!$LS$30</definedName>
    <definedName name="A12_D_L28">Diseño!$LS$31</definedName>
    <definedName name="A12_D_L29">Diseño!$LS$32</definedName>
    <definedName name="A12_D_L3">Diseño!$LS$6</definedName>
    <definedName name="A12_D_L30">Diseño!$LS$33</definedName>
    <definedName name="A12_D_L31">Diseño!$LS$34</definedName>
    <definedName name="A12_D_L32">Diseño!$LS$35</definedName>
    <definedName name="A12_D_L33">Diseño!$LS$36</definedName>
    <definedName name="A12_D_L34">Diseño!$LS$37</definedName>
    <definedName name="A12_D_L35">Diseño!$LS$38</definedName>
    <definedName name="A12_D_L36">Diseño!$LS$39</definedName>
    <definedName name="A12_D_L37">Diseño!$LS$40</definedName>
    <definedName name="A12_D_L38">Diseño!$LS$41</definedName>
    <definedName name="A12_D_L39">Diseño!$LS$42</definedName>
    <definedName name="A12_D_L4">Diseño!$LS$7</definedName>
    <definedName name="A12_D_L40">Diseño!$LS$43</definedName>
    <definedName name="A12_D_L5">Diseño!$LS$8</definedName>
    <definedName name="A12_D_L6">Diseño!$LS$9</definedName>
    <definedName name="A12_D_L7">Diseño!$LS$10</definedName>
    <definedName name="A12_D_L8">Diseño!$LS$11</definedName>
    <definedName name="A12_D_L9">Diseño!$LS$12</definedName>
    <definedName name="A12_L1">'1'!$R$5</definedName>
    <definedName name="A12_L10">'1'!$R$14</definedName>
    <definedName name="A12_L11">'1'!$R$15</definedName>
    <definedName name="A12_L12">'1'!$R$16</definedName>
    <definedName name="A12_L13">'1'!$R$17</definedName>
    <definedName name="A12_L14">'1'!$R$18</definedName>
    <definedName name="A12_L15">'1'!$R$19</definedName>
    <definedName name="A12_L16">'1'!$R$20</definedName>
    <definedName name="A12_L17">'1'!$R$21</definedName>
    <definedName name="A12_L18">'1'!$R$22</definedName>
    <definedName name="A12_L19">'1'!$R$23</definedName>
    <definedName name="A12_L2">'1'!$R$6</definedName>
    <definedName name="A12_L20">'1'!$R$24</definedName>
    <definedName name="A12_L21">'1'!$R$25</definedName>
    <definedName name="A12_L22">'1'!$R$26</definedName>
    <definedName name="A12_L23">'1'!$R$27</definedName>
    <definedName name="A12_L24">'1'!$R$28</definedName>
    <definedName name="A12_L25">'1'!$R$29</definedName>
    <definedName name="A12_L26">'1'!$R$30</definedName>
    <definedName name="A12_L27">'1'!$R$31</definedName>
    <definedName name="A12_L28">'1'!$R$32</definedName>
    <definedName name="A12_L29">'1'!$R$33</definedName>
    <definedName name="A12_L3">'1'!$R$7</definedName>
    <definedName name="A12_L30">'1'!$R$34</definedName>
    <definedName name="A12_L31">'1'!$R$35</definedName>
    <definedName name="A12_L32">'1'!$R$36</definedName>
    <definedName name="A12_L33">'1'!$R$37</definedName>
    <definedName name="A12_L34">'1'!$R$38</definedName>
    <definedName name="A12_L35">'1'!$R$39</definedName>
    <definedName name="A12_L36">'1'!$R$40</definedName>
    <definedName name="A12_L37">'1'!$R$41</definedName>
    <definedName name="A12_L38">'1'!$R$42</definedName>
    <definedName name="A12_L39">'1'!$R$43</definedName>
    <definedName name="A12_L4">'1'!$R$8</definedName>
    <definedName name="A12_L40">'1'!$R$44</definedName>
    <definedName name="A12_L5">'1'!$R$9</definedName>
    <definedName name="A12_L6">'1'!$R$10</definedName>
    <definedName name="A12_L7">'1'!$R$11</definedName>
    <definedName name="A12_L8">'1'!$R$12</definedName>
    <definedName name="A12_L9">'1'!$R$13</definedName>
    <definedName name="A12_X">Diseño!$LY$4:$LY$43</definedName>
    <definedName name="A12_X_L1">Diseño!$LY$4</definedName>
    <definedName name="A12_X_L10">Diseño!$LY$13</definedName>
    <definedName name="A12_X_L11">Diseño!$LY$14</definedName>
    <definedName name="A12_X_L12">Diseño!$LY$15</definedName>
    <definedName name="A12_X_L13">Diseño!$LY$16</definedName>
    <definedName name="A12_X_L14">Diseño!$LY$17</definedName>
    <definedName name="A12_X_L15">Diseño!$LY$18</definedName>
    <definedName name="A12_X_L16">Diseño!$LY$19</definedName>
    <definedName name="A12_X_L17">Diseño!$LY$20</definedName>
    <definedName name="A12_X_L18">Diseño!$LY$21</definedName>
    <definedName name="A12_X_L19">Diseño!$LY$22</definedName>
    <definedName name="A12_X_L2">Diseño!$LY$5</definedName>
    <definedName name="A12_X_L20">Diseño!$LY$23</definedName>
    <definedName name="A12_X_L21">Diseño!$LY$24</definedName>
    <definedName name="A12_X_L22">Diseño!$LY$25</definedName>
    <definedName name="A12_X_L23">Diseño!$LY$26</definedName>
    <definedName name="A12_X_L24">Diseño!$LY$27</definedName>
    <definedName name="A12_X_L25">Diseño!$LY$28</definedName>
    <definedName name="A12_X_L26">Diseño!$LY$29</definedName>
    <definedName name="A12_X_L27">Diseño!$LY$30</definedName>
    <definedName name="A12_X_L28">Diseño!$LY$31</definedName>
    <definedName name="A12_X_L29">Diseño!$LY$32</definedName>
    <definedName name="A12_X_L3">Diseño!$LY$6</definedName>
    <definedName name="A12_X_L30">Diseño!$LY$33</definedName>
    <definedName name="A12_X_L31">Diseño!$LY$34</definedName>
    <definedName name="A12_X_L32">Diseño!$LY$35</definedName>
    <definedName name="A12_X_L33">Diseño!$LY$36</definedName>
    <definedName name="A12_X_L34">Diseño!$LY$37</definedName>
    <definedName name="A12_X_L35">Diseño!$LY$38</definedName>
    <definedName name="A12_X_L36">Diseño!$LY$39</definedName>
    <definedName name="A12_X_L37">Diseño!$LY$40</definedName>
    <definedName name="A12_X_L38">Diseño!$LY$41</definedName>
    <definedName name="A12_X_L39">Diseño!$LY$42</definedName>
    <definedName name="A12_X_L4">Diseño!$LY$7</definedName>
    <definedName name="A12_X_L40">Diseño!$LY$43</definedName>
    <definedName name="A12_X_L5">Diseño!$LY$8</definedName>
    <definedName name="A12_X_L6">Diseño!$LY$9</definedName>
    <definedName name="A12_X_L7">Diseño!$LY$10</definedName>
    <definedName name="A12_X_L8">Diseño!$LY$11</definedName>
    <definedName name="A12_X_L9">Diseño!$LY$12</definedName>
    <definedName name="A12_Y">Diseño!$LU$4:$LU$43</definedName>
    <definedName name="A12_Y_L1">Diseño!$LU$4</definedName>
    <definedName name="A12_Y_L10">Diseño!$LU$13</definedName>
    <definedName name="A12_Y_L11">Diseño!$LU$14</definedName>
    <definedName name="A12_Y_L12">Diseño!$LU$15</definedName>
    <definedName name="A12_Y_L13">Diseño!$LU$16</definedName>
    <definedName name="A12_Y_L14">Diseño!$LU$17</definedName>
    <definedName name="A12_Y_L15">Diseño!$LU$18</definedName>
    <definedName name="A12_Y_L16">Diseño!$LU$19</definedName>
    <definedName name="A12_Y_L17">Diseño!$LU$20</definedName>
    <definedName name="A12_Y_L18">Diseño!$LU$21</definedName>
    <definedName name="A12_Y_L19">Diseño!$LU$22</definedName>
    <definedName name="A12_Y_L2">Diseño!$LU$5</definedName>
    <definedName name="A12_Y_L20">Diseño!$LU$23</definedName>
    <definedName name="A12_Y_L21">Diseño!$LU$24</definedName>
    <definedName name="A12_Y_L22">Diseño!$LU$25</definedName>
    <definedName name="A12_Y_L23">Diseño!$LU$26</definedName>
    <definedName name="A12_Y_L24">Diseño!$LU$27</definedName>
    <definedName name="A12_Y_L25">Diseño!$LU$28</definedName>
    <definedName name="A12_Y_L26">Diseño!$LU$29</definedName>
    <definedName name="A12_Y_L27">Diseño!$LU$30</definedName>
    <definedName name="A12_Y_L28">Diseño!$LU$31</definedName>
    <definedName name="A12_Y_L29">Diseño!$LU$32</definedName>
    <definedName name="A12_Y_L3">Diseño!$LU$6</definedName>
    <definedName name="A12_Y_L30">Diseño!$LU$33</definedName>
    <definedName name="A12_Y_L31">Diseño!$LU$34</definedName>
    <definedName name="A12_Y_L32">Diseño!$LU$35</definedName>
    <definedName name="A12_Y_L33">Diseño!$LU$36</definedName>
    <definedName name="A12_Y_L34">Diseño!$LU$37</definedName>
    <definedName name="A12_Y_L35">Diseño!$LU$38</definedName>
    <definedName name="A12_Y_L36">Diseño!$LU$39</definedName>
    <definedName name="A12_Y_L37">Diseño!$LU$40</definedName>
    <definedName name="A12_Y_L38">Diseño!$LU$41</definedName>
    <definedName name="A12_Y_L39">Diseño!$LU$42</definedName>
    <definedName name="A12_Y_L4">Diseño!$LU$7</definedName>
    <definedName name="A12_Y_L40">Diseño!$LU$43</definedName>
    <definedName name="A12_Y_L5">Diseño!$LU$8</definedName>
    <definedName name="A12_Y_L6">Diseño!$LU$9</definedName>
    <definedName name="A12_Y_L7">Diseño!$LU$10</definedName>
    <definedName name="A12_Y_L8">Diseño!$LU$11</definedName>
    <definedName name="A12_Y_L9">Diseño!$LU$12</definedName>
    <definedName name="A12_Z">Diseño!$LW$4:$LW$43</definedName>
    <definedName name="A12_Z_L1">Diseño!$LW$4</definedName>
    <definedName name="A12_Z_L10">Diseño!$LW$13</definedName>
    <definedName name="A12_Z_L11">Diseño!$LW$14</definedName>
    <definedName name="A12_Z_L12">Diseño!$LW$15</definedName>
    <definedName name="A12_Z_L13">Diseño!$LW$16</definedName>
    <definedName name="A12_Z_L14">Diseño!$LW$17</definedName>
    <definedName name="A12_Z_L15">Diseño!$LW$18</definedName>
    <definedName name="A12_Z_L16">Diseño!$LW$19</definedName>
    <definedName name="A12_Z_L17">Diseño!$LW$20</definedName>
    <definedName name="A12_Z_L18">Diseño!$LW$21</definedName>
    <definedName name="A12_Z_L19">Diseño!$LW$22</definedName>
    <definedName name="A12_Z_L2">Diseño!$LW$5</definedName>
    <definedName name="A12_Z_L20">Diseño!$LW$23</definedName>
    <definedName name="A12_Z_L21">Diseño!$LW$24</definedName>
    <definedName name="A12_Z_L22">Diseño!$LW$25</definedName>
    <definedName name="A12_Z_L23">Diseño!$LW$26</definedName>
    <definedName name="A12_Z_L24">Diseño!$LW$27</definedName>
    <definedName name="A12_Z_L25">Diseño!$LW$28</definedName>
    <definedName name="A12_Z_L26">Diseño!$LW$29</definedName>
    <definedName name="A12_Z_L27">Diseño!$LW$30</definedName>
    <definedName name="A12_Z_L28">Diseño!$LW$31</definedName>
    <definedName name="A12_Z_L29">Diseño!$LW$32</definedName>
    <definedName name="A12_Z_L3">Diseño!$LW$6</definedName>
    <definedName name="A12_Z_L30">Diseño!$LW$33</definedName>
    <definedName name="A12_Z_L31">Diseño!$LW$34</definedName>
    <definedName name="A12_Z_L32">Diseño!$LW$35</definedName>
    <definedName name="A12_Z_L33">Diseño!$LW$36</definedName>
    <definedName name="A12_Z_L34">Diseño!$LW$37</definedName>
    <definedName name="A12_Z_L35">Diseño!$LW$38</definedName>
    <definedName name="A12_Z_L36">Diseño!$LW$39</definedName>
    <definedName name="A12_Z_L37">Diseño!$LW$40</definedName>
    <definedName name="A12_Z_L38">Diseño!$LW$41</definedName>
    <definedName name="A12_Z_L39">Diseño!$LW$42</definedName>
    <definedName name="A12_Z_L4">Diseño!$LW$7</definedName>
    <definedName name="A12_Z_L40">Diseño!$LW$43</definedName>
    <definedName name="A12_Z_L5">Diseño!$LW$8</definedName>
    <definedName name="A12_Z_L6">Diseño!$LW$9</definedName>
    <definedName name="A12_Z_L7">Diseño!$LW$10</definedName>
    <definedName name="A12_Z_L8">Diseño!$LW$11</definedName>
    <definedName name="A12_Z_L9">Diseño!$LW$12</definedName>
    <definedName name="A2_A">Diseño!$GC$4:$GC$43</definedName>
    <definedName name="A2_A_L1">Diseño!$GC$4</definedName>
    <definedName name="A2_A_L10">Diseño!$GC$13</definedName>
    <definedName name="A2_A_L11">Diseño!$GC$14</definedName>
    <definedName name="A2_A_L12">Diseño!$GC$15</definedName>
    <definedName name="A2_A_L13">Diseño!$GC$16</definedName>
    <definedName name="A2_A_L14">Diseño!$GC$17</definedName>
    <definedName name="A2_A_L15">Diseño!$GC$18</definedName>
    <definedName name="A2_A_L16">Diseño!$GC$19</definedName>
    <definedName name="A2_A_L17">Diseño!$GC$20</definedName>
    <definedName name="A2_A_L18">Diseño!$GC$21</definedName>
    <definedName name="A2_A_L19">Diseño!$GC$22</definedName>
    <definedName name="A2_A_L2">Diseño!$GC$5</definedName>
    <definedName name="A2_A_L20">Diseño!$GC$23</definedName>
    <definedName name="A2_A_L21">Diseño!$GC$24</definedName>
    <definedName name="A2_A_L22">Diseño!$GC$25</definedName>
    <definedName name="A2_A_L23">Diseño!$GC$26</definedName>
    <definedName name="A2_A_L24">Diseño!$GC$27</definedName>
    <definedName name="A2_A_L25">Diseño!$GC$28</definedName>
    <definedName name="A2_A_L26">Diseño!$GC$29</definedName>
    <definedName name="A2_A_L27">Diseño!$GC$30</definedName>
    <definedName name="A2_A_L28">Diseño!$GC$31</definedName>
    <definedName name="A2_A_L29">Diseño!$GC$32</definedName>
    <definedName name="A2_A_L3">Diseño!$GC$6</definedName>
    <definedName name="A2_A_L30">Diseño!$GC$33</definedName>
    <definedName name="A2_A_L31">Diseño!$GC$34</definedName>
    <definedName name="A2_A_L32">Diseño!$GC$35</definedName>
    <definedName name="A2_A_L33">Diseño!$GC$36</definedName>
    <definedName name="A2_A_L34">Diseño!$GC$37</definedName>
    <definedName name="A2_A_L35">Diseño!$GC$38</definedName>
    <definedName name="A2_A_L36">Diseño!$GC$39</definedName>
    <definedName name="A2_A_L37">Diseño!$GC$40</definedName>
    <definedName name="A2_A_L38">Diseño!$GC$41</definedName>
    <definedName name="A2_A_L39">Diseño!$GC$42</definedName>
    <definedName name="A2_A_L4">Diseño!$GC$7</definedName>
    <definedName name="A2_A_L40">Diseño!$GC$43</definedName>
    <definedName name="A2_A_L5">Diseño!$GC$8</definedName>
    <definedName name="A2_A_L6">Diseño!$GC$9</definedName>
    <definedName name="A2_A_L7">Diseño!$GC$10</definedName>
    <definedName name="A2_A_L8">Diseño!$GC$11</definedName>
    <definedName name="A2_A_L9">Diseño!$GC$12</definedName>
    <definedName name="A2_B">Diseño!$GE$4:$GE$43</definedName>
    <definedName name="A2_B_L1">Diseño!$GE$4</definedName>
    <definedName name="A2_B_L10">Diseño!$GE$13</definedName>
    <definedName name="A2_B_L11">Diseño!$GE$14</definedName>
    <definedName name="A2_B_L12">Diseño!$GE$15</definedName>
    <definedName name="A2_B_L13">Diseño!$GE$16</definedName>
    <definedName name="A2_B_L14">Diseño!$GE$17</definedName>
    <definedName name="A2_B_L15">Diseño!$GE$18</definedName>
    <definedName name="A2_B_L16">Diseño!$GE$19</definedName>
    <definedName name="A2_B_L17">Diseño!$GE$20</definedName>
    <definedName name="A2_B_L18">Diseño!$GE$21</definedName>
    <definedName name="A2_B_L19">Diseño!$GE$22</definedName>
    <definedName name="A2_B_L2">Diseño!$GE$5</definedName>
    <definedName name="A2_B_L20">Diseño!$GE$23</definedName>
    <definedName name="A2_B_L21">Diseño!$GE$24</definedName>
    <definedName name="A2_B_L22">Diseño!$GE$25</definedName>
    <definedName name="A2_B_L23">Diseño!$GE$26</definedName>
    <definedName name="A2_B_L24">Diseño!$GE$27</definedName>
    <definedName name="A2_B_L25">Diseño!$GE$28</definedName>
    <definedName name="A2_B_L26">Diseño!$GE$29</definedName>
    <definedName name="A2_B_L27">Diseño!$GE$30</definedName>
    <definedName name="A2_B_L28">Diseño!$GE$31</definedName>
    <definedName name="A2_B_L29">Diseño!$GE$32</definedName>
    <definedName name="A2_B_L3">Diseño!$GE$6</definedName>
    <definedName name="A2_B_L30">Diseño!$GE$33</definedName>
    <definedName name="A2_B_L31">Diseño!$GE$34</definedName>
    <definedName name="A2_B_L32">Diseño!$GE$35</definedName>
    <definedName name="A2_B_L33">Diseño!$GE$36</definedName>
    <definedName name="A2_B_L34">Diseño!$GE$37</definedName>
    <definedName name="A2_B_L35">Diseño!$GE$38</definedName>
    <definedName name="A2_B_L36">Diseño!$GE$39</definedName>
    <definedName name="A2_B_L37">Diseño!$GE$40</definedName>
    <definedName name="A2_B_L38">Diseño!$GE$41</definedName>
    <definedName name="A2_B_L39">Diseño!$GE$42</definedName>
    <definedName name="A2_B_L4">Diseño!$GE$7</definedName>
    <definedName name="A2_B_L40">Diseño!$GE$43</definedName>
    <definedName name="A2_B_L5">Diseño!$GE$8</definedName>
    <definedName name="A2_B_L6">Diseño!$GE$9</definedName>
    <definedName name="A2_B_L7">Diseño!$GE$10</definedName>
    <definedName name="A2_B_L8">Diseño!$GE$11</definedName>
    <definedName name="A2_B_L9">Diseño!$GE$12</definedName>
    <definedName name="A2_C">Diseño!$GG$4:$GG$43</definedName>
    <definedName name="A2_C_L1">Diseño!$GG$4</definedName>
    <definedName name="A2_C_L10">Diseño!$GG$13</definedName>
    <definedName name="A2_C_L11">Diseño!$GG$14</definedName>
    <definedName name="A2_C_L12">Diseño!$GG$15</definedName>
    <definedName name="A2_C_L13">Diseño!$GG$16</definedName>
    <definedName name="A2_C_L14">Diseño!$GG$17</definedName>
    <definedName name="A2_C_L15">Diseño!$GG$18</definedName>
    <definedName name="A2_C_L16">Diseño!$GG$19</definedName>
    <definedName name="A2_C_L17">Diseño!$GG$20</definedName>
    <definedName name="A2_C_L18">Diseño!$GG$21</definedName>
    <definedName name="A2_C_L19">Diseño!$GG$22</definedName>
    <definedName name="A2_C_L2">Diseño!$GG$5</definedName>
    <definedName name="A2_C_L20">Diseño!$GG$23</definedName>
    <definedName name="A2_C_L21">Diseño!$GG$24</definedName>
    <definedName name="A2_C_L22">Diseño!$GG$25</definedName>
    <definedName name="A2_C_L23">Diseño!$GG$26</definedName>
    <definedName name="A2_C_L24">Diseño!$GG$27</definedName>
    <definedName name="A2_C_L25">Diseño!$GG$28</definedName>
    <definedName name="A2_C_L26">Diseño!$GG$29</definedName>
    <definedName name="A2_C_L27">Diseño!$GG$30</definedName>
    <definedName name="A2_C_L28">Diseño!$GG$31</definedName>
    <definedName name="A2_C_L29">Diseño!$GG$32</definedName>
    <definedName name="A2_C_L3">Diseño!$GG$6</definedName>
    <definedName name="A2_C_L30">Diseño!$GG$33</definedName>
    <definedName name="A2_C_L31">Diseño!$GG$34</definedName>
    <definedName name="A2_C_L32">Diseño!$GG$35</definedName>
    <definedName name="A2_C_L33">Diseño!$GG$36</definedName>
    <definedName name="A2_C_L34">Diseño!$GG$37</definedName>
    <definedName name="A2_C_L35">Diseño!$GG$38</definedName>
    <definedName name="A2_C_L36">Diseño!$GG$39</definedName>
    <definedName name="A2_C_L37">Diseño!$GG$40</definedName>
    <definedName name="A2_C_L38">Diseño!$GG$41</definedName>
    <definedName name="A2_C_L39">Diseño!$GG$42</definedName>
    <definedName name="A2_C_L4">Diseño!$GG$7</definedName>
    <definedName name="A2_C_L40">Diseño!$GG$43</definedName>
    <definedName name="A2_C_L5">Diseño!$GG$8</definedName>
    <definedName name="A2_C_L6">Diseño!$GG$9</definedName>
    <definedName name="A2_C_L7">Diseño!$GG$10</definedName>
    <definedName name="A2_C_L8">Diseño!$GG$11</definedName>
    <definedName name="A2_C_L9">Diseño!$GG$12</definedName>
    <definedName name="A2_D">Diseño!$GI$4:$GI$43</definedName>
    <definedName name="A2_D_L1">Diseño!$GI$4</definedName>
    <definedName name="A2_D_L10">Diseño!$GI$13</definedName>
    <definedName name="A2_D_L11">Diseño!$GI$14</definedName>
    <definedName name="A2_D_L12">Diseño!$GI$15</definedName>
    <definedName name="A2_D_L13">Diseño!$GI$16</definedName>
    <definedName name="A2_D_L14">Diseño!$GI$17</definedName>
    <definedName name="A2_D_L15">Diseño!$GI$18</definedName>
    <definedName name="A2_D_L16">Diseño!$GI$19</definedName>
    <definedName name="A2_D_L17">Diseño!$GI$20</definedName>
    <definedName name="A2_D_L18">Diseño!$GI$21</definedName>
    <definedName name="A2_D_L19">Diseño!$GI$22</definedName>
    <definedName name="A2_D_L2">Diseño!$GI$5</definedName>
    <definedName name="A2_D_L20">Diseño!$GI$23</definedName>
    <definedName name="A2_D_L21">Diseño!$GI$24</definedName>
    <definedName name="A2_D_L22">Diseño!$GI$25</definedName>
    <definedName name="A2_D_L23">Diseño!$GI$26</definedName>
    <definedName name="A2_D_L24">Diseño!$GI$27</definedName>
    <definedName name="A2_D_L25">Diseño!$GI$28</definedName>
    <definedName name="A2_D_L26">Diseño!$GI$29</definedName>
    <definedName name="A2_D_L27">Diseño!$GI$30</definedName>
    <definedName name="A2_D_L28">Diseño!$GI$31</definedName>
    <definedName name="A2_D_L29">Diseño!$GI$32</definedName>
    <definedName name="A2_D_L3">Diseño!$GI$6</definedName>
    <definedName name="A2_D_L30">Diseño!$GI$33</definedName>
    <definedName name="A2_D_L31">Diseño!$GI$34</definedName>
    <definedName name="A2_D_L32">Diseño!$GI$35</definedName>
    <definedName name="A2_D_L33">Diseño!$GI$36</definedName>
    <definedName name="A2_D_L34">Diseño!$GI$37</definedName>
    <definedName name="A2_D_L35">Diseño!$GI$38</definedName>
    <definedName name="A2_D_L36">Diseño!$GI$39</definedName>
    <definedName name="A2_D_L37">Diseño!$GI$40</definedName>
    <definedName name="A2_D_L38">Diseño!$GI$41</definedName>
    <definedName name="A2_D_L39">Diseño!$GI$42</definedName>
    <definedName name="A2_D_L4">Diseño!$GI$7</definedName>
    <definedName name="A2_D_L40">Diseño!$GI$43</definedName>
    <definedName name="A2_D_L5">Diseño!$GI$8</definedName>
    <definedName name="A2_D_L6">Diseño!$GI$9</definedName>
    <definedName name="A2_D_L7">Diseño!$GI$10</definedName>
    <definedName name="A2_D_L8">Diseño!$GI$11</definedName>
    <definedName name="A2_D_L9">Diseño!$GI$12</definedName>
    <definedName name="A2_L1">'1'!$H$5</definedName>
    <definedName name="A2_L10">'1'!$H$14</definedName>
    <definedName name="A2_L11">'1'!$H$15</definedName>
    <definedName name="A2_L12">'1'!$H$16</definedName>
    <definedName name="A2_L13">'1'!$H$17</definedName>
    <definedName name="A2_L14">'1'!$H$18</definedName>
    <definedName name="A2_L15">'1'!$H$19</definedName>
    <definedName name="A2_L16">'1'!$H$20</definedName>
    <definedName name="A2_L17">'1'!$H$21</definedName>
    <definedName name="A2_L18">'1'!$H$22</definedName>
    <definedName name="A2_L19">'1'!$H$23</definedName>
    <definedName name="A2_L2">'1'!$H$6</definedName>
    <definedName name="A2_L20">'1'!$H$24</definedName>
    <definedName name="A2_L21">'1'!$H$25</definedName>
    <definedName name="A2_L22">'1'!$H$26</definedName>
    <definedName name="A2_L23">'1'!$H$27</definedName>
    <definedName name="A2_L24">'1'!$H$28</definedName>
    <definedName name="A2_L25">'1'!$H$29</definedName>
    <definedName name="A2_L26">'1'!$H$30</definedName>
    <definedName name="A2_L27">'1'!$H$31</definedName>
    <definedName name="A2_L28">'1'!$H$32</definedName>
    <definedName name="A2_L29">'1'!$H$33</definedName>
    <definedName name="A2_L3">'1'!$H$7</definedName>
    <definedName name="A2_L30">'1'!$H$34</definedName>
    <definedName name="A2_L31">'1'!$H$35</definedName>
    <definedName name="A2_L32">'1'!$H$36</definedName>
    <definedName name="A2_L33">'1'!$H$37</definedName>
    <definedName name="A2_L34">'1'!$H$38</definedName>
    <definedName name="A2_L35">'1'!$H$39</definedName>
    <definedName name="A2_L36">'1'!$H$40</definedName>
    <definedName name="A2_L37">'1'!$H$41</definedName>
    <definedName name="A2_L38">'1'!$H$42</definedName>
    <definedName name="A2_L39">'1'!$H$43</definedName>
    <definedName name="A2_L4">'1'!$H$8</definedName>
    <definedName name="A2_L40">'1'!$H$44</definedName>
    <definedName name="A2_L5">'1'!$H$9</definedName>
    <definedName name="A2_L6">'1'!$H$10</definedName>
    <definedName name="A2_L7">'1'!$H$11</definedName>
    <definedName name="A2_L8">'1'!$H$12</definedName>
    <definedName name="A2_L9">'1'!$H$13</definedName>
    <definedName name="A2_X">Diseño!$GO$4:$GO$43</definedName>
    <definedName name="A2_X_L1">Diseño!$GO$4</definedName>
    <definedName name="A2_X_L10">Diseño!$GO$13</definedName>
    <definedName name="A2_X_L11">Diseño!$GO$14</definedName>
    <definedName name="A2_X_L12">Diseño!$GO$15</definedName>
    <definedName name="A2_X_L13">Diseño!$GO$16</definedName>
    <definedName name="A2_X_L14">Diseño!$GO$17</definedName>
    <definedName name="A2_X_L15">Diseño!$GO$18</definedName>
    <definedName name="A2_X_L16">Diseño!$GO$19</definedName>
    <definedName name="A2_X_L17">Diseño!$GO$20</definedName>
    <definedName name="A2_X_L18">Diseño!$GO$21</definedName>
    <definedName name="A2_X_L19">Diseño!$GO$22</definedName>
    <definedName name="A2_X_L2">Diseño!$GO$5</definedName>
    <definedName name="A2_X_L20">Diseño!$GO$23</definedName>
    <definedName name="A2_X_L21">Diseño!$GO$24</definedName>
    <definedName name="A2_X_L22">Diseño!$GO$25</definedName>
    <definedName name="A2_X_L23">Diseño!$GO$26</definedName>
    <definedName name="A2_X_L24">Diseño!$GO$27</definedName>
    <definedName name="A2_X_L25">Diseño!$GO$28</definedName>
    <definedName name="A2_X_L26">Diseño!$GO$29</definedName>
    <definedName name="A2_X_L27">Diseño!$GO$30</definedName>
    <definedName name="A2_X_L28">Diseño!$GO$31</definedName>
    <definedName name="A2_X_L29">Diseño!$GO$32</definedName>
    <definedName name="A2_X_L3">Diseño!$GO$6</definedName>
    <definedName name="A2_X_L30">Diseño!$GO$33</definedName>
    <definedName name="A2_X_L31">Diseño!$GO$34</definedName>
    <definedName name="A2_X_L32">Diseño!$GO$35</definedName>
    <definedName name="A2_X_L33">Diseño!$GO$36</definedName>
    <definedName name="A2_X_L34">Diseño!$GO$37</definedName>
    <definedName name="A2_X_L35">Diseño!$GO$38</definedName>
    <definedName name="A2_X_L36">Diseño!$GO$39</definedName>
    <definedName name="A2_X_L37">Diseño!$GO$40</definedName>
    <definedName name="A2_X_L38">Diseño!$GO$41</definedName>
    <definedName name="A2_X_L39">Diseño!$GO$42</definedName>
    <definedName name="A2_X_L4">Diseño!$GO$7</definedName>
    <definedName name="A2_X_L40">Diseño!$GO$43</definedName>
    <definedName name="A2_X_L5">Diseño!$GO$8</definedName>
    <definedName name="A2_X_L6">Diseño!$GO$9</definedName>
    <definedName name="A2_X_L7">Diseño!$GO$10</definedName>
    <definedName name="A2_X_L8">Diseño!$GO$11</definedName>
    <definedName name="A2_X_L9">Diseño!$GO$12</definedName>
    <definedName name="A2_Y">Diseño!$GK$4:$GK$43</definedName>
    <definedName name="A2_Y_L1">Diseño!$GK$4</definedName>
    <definedName name="A2_Y_L10">Diseño!$GK$13</definedName>
    <definedName name="A2_Y_L11">Diseño!$GK$14</definedName>
    <definedName name="A2_Y_L12">Diseño!$GK$15</definedName>
    <definedName name="A2_Y_L13">Diseño!$GK$16</definedName>
    <definedName name="A2_Y_L14">Diseño!$GK$17</definedName>
    <definedName name="A2_Y_L15">Diseño!$GK$18</definedName>
    <definedName name="A2_Y_L16">Diseño!$GK$19</definedName>
    <definedName name="A2_Y_L17">Diseño!$GK$20</definedName>
    <definedName name="A2_Y_L18">Diseño!$GK$21</definedName>
    <definedName name="A2_Y_L19">Diseño!$GK$22</definedName>
    <definedName name="A2_Y_L2">Diseño!$GK$5</definedName>
    <definedName name="A2_Y_L20">Diseño!$GK$23</definedName>
    <definedName name="A2_Y_L21">Diseño!$GK$24</definedName>
    <definedName name="A2_Y_L22">Diseño!$GK$25</definedName>
    <definedName name="A2_Y_L23">Diseño!$GK$26</definedName>
    <definedName name="A2_Y_L24">Diseño!$GK$27</definedName>
    <definedName name="A2_Y_L25">Diseño!$GK$28</definedName>
    <definedName name="A2_Y_L26">Diseño!$GK$29</definedName>
    <definedName name="A2_Y_L27">Diseño!$GK$30</definedName>
    <definedName name="A2_Y_L28">Diseño!$GK$31</definedName>
    <definedName name="A2_Y_L29">Diseño!$GK$32</definedName>
    <definedName name="A2_Y_L3">Diseño!$GK$6</definedName>
    <definedName name="A2_Y_L30">Diseño!$GK$33</definedName>
    <definedName name="A2_Y_L31">Diseño!$GK$34</definedName>
    <definedName name="A2_Y_L32">Diseño!$GK$35</definedName>
    <definedName name="A2_Y_L33">Diseño!$GK$36</definedName>
    <definedName name="A2_Y_L34">Diseño!$GK$37</definedName>
    <definedName name="A2_Y_L35">Diseño!$GK$38</definedName>
    <definedName name="A2_Y_L36">Diseño!$GK$39</definedName>
    <definedName name="A2_Y_L37">Diseño!$GK$40</definedName>
    <definedName name="A2_Y_L38">Diseño!$GK$41</definedName>
    <definedName name="A2_Y_L39">Diseño!$GK$42</definedName>
    <definedName name="A2_Y_L4">Diseño!$GK$7</definedName>
    <definedName name="A2_Y_L40">Diseño!$GK$43</definedName>
    <definedName name="A2_Y_L5">Diseño!$GK$8</definedName>
    <definedName name="A2_Y_L6">Diseño!$GK$9</definedName>
    <definedName name="A2_Y_L7">Diseño!$GK$10</definedName>
    <definedName name="A2_Y_L8">Diseño!$GK$11</definedName>
    <definedName name="A2_Y_L9">Diseño!$GK$12</definedName>
    <definedName name="A2_Z">Diseño!$GM$4:$GM$43</definedName>
    <definedName name="A2_Z_L1">Diseño!$GM$4</definedName>
    <definedName name="A2_Z_L10">Diseño!$GM$13</definedName>
    <definedName name="A2_Z_L11">Diseño!$GM$14</definedName>
    <definedName name="A2_Z_L12">Diseño!$GM$15</definedName>
    <definedName name="A2_Z_L13">Diseño!$GM$16</definedName>
    <definedName name="A2_Z_L14">Diseño!$GM$17</definedName>
    <definedName name="A2_Z_L15">Diseño!$GM$18</definedName>
    <definedName name="A2_Z_L16">Diseño!$GM$19</definedName>
    <definedName name="A2_Z_L17">Diseño!$GM$20</definedName>
    <definedName name="A2_Z_L18">Diseño!$GM$21</definedName>
    <definedName name="A2_Z_L19">Diseño!$GM$22</definedName>
    <definedName name="A2_Z_L2">Diseño!$GM$5</definedName>
    <definedName name="A2_Z_L20">Diseño!$GM$23</definedName>
    <definedName name="A2_Z_L21">Diseño!$GM$24</definedName>
    <definedName name="A2_Z_L22">Diseño!$GM$25</definedName>
    <definedName name="A2_Z_L23">Diseño!$GM$26</definedName>
    <definedName name="A2_Z_L24">Diseño!$GM$27</definedName>
    <definedName name="A2_Z_L25">Diseño!$GM$28</definedName>
    <definedName name="A2_Z_L26">Diseño!$GM$29</definedName>
    <definedName name="A2_Z_L27">Diseño!$GM$30</definedName>
    <definedName name="A2_Z_L28">Diseño!$GM$31</definedName>
    <definedName name="A2_Z_L29">Diseño!$GM$32</definedName>
    <definedName name="A2_Z_L3">Diseño!$GM$6</definedName>
    <definedName name="A2_Z_L30">Diseño!$GM$33</definedName>
    <definedName name="A2_Z_L31">Diseño!$GM$34</definedName>
    <definedName name="A2_Z_L32">Diseño!$GM$35</definedName>
    <definedName name="A2_Z_L33">Diseño!$GM$36</definedName>
    <definedName name="A2_Z_L34">Diseño!$GM$37</definedName>
    <definedName name="A2_Z_L35">Diseño!$GM$38</definedName>
    <definedName name="A2_Z_L36">Diseño!$GM$39</definedName>
    <definedName name="A2_Z_L37">Diseño!$GM$40</definedName>
    <definedName name="A2_Z_L38">Diseño!$GM$41</definedName>
    <definedName name="A2_Z_L39">Diseño!$GM$42</definedName>
    <definedName name="A2_Z_L4">Diseño!$GM$7</definedName>
    <definedName name="A2_Z_L40">Diseño!$GM$43</definedName>
    <definedName name="A2_Z_L5">Diseño!$GM$8</definedName>
    <definedName name="A2_Z_L6">Diseño!$GM$9</definedName>
    <definedName name="A2_Z_L7">Diseño!$GM$10</definedName>
    <definedName name="A2_Z_L8">Diseño!$GM$11</definedName>
    <definedName name="A2_Z_L9">Diseño!$GM$12</definedName>
    <definedName name="A3_A">Diseño!$GQ$4:$GQ$43</definedName>
    <definedName name="A3_A_L1">Diseño!$GQ$4</definedName>
    <definedName name="A3_A_L10">Diseño!$GQ$13</definedName>
    <definedName name="A3_A_L11">Diseño!$GQ$14</definedName>
    <definedName name="A3_A_L12">Diseño!$GQ$15</definedName>
    <definedName name="A3_A_L13">Diseño!$GQ$16</definedName>
    <definedName name="A3_A_L14">Diseño!$GQ$17</definedName>
    <definedName name="A3_A_L15">Diseño!$GQ$18</definedName>
    <definedName name="A3_A_L16">Diseño!$GQ$19</definedName>
    <definedName name="A3_A_L17">Diseño!$GQ$20</definedName>
    <definedName name="A3_A_L18">Diseño!$GQ$21</definedName>
    <definedName name="A3_A_L19">Diseño!$GQ$22</definedName>
    <definedName name="A3_A_L2">Diseño!$GQ$5</definedName>
    <definedName name="A3_A_L20">Diseño!$GQ$23</definedName>
    <definedName name="A3_A_L21">Diseño!$GQ$24</definedName>
    <definedName name="A3_A_L22">Diseño!$GQ$25</definedName>
    <definedName name="A3_A_L23">Diseño!$GQ$26</definedName>
    <definedName name="A3_A_L24">Diseño!$GQ$27</definedName>
    <definedName name="A3_A_L25">Diseño!$GQ$28</definedName>
    <definedName name="A3_A_L26">Diseño!$GQ$29</definedName>
    <definedName name="A3_A_L27">Diseño!$GQ$30</definedName>
    <definedName name="A3_A_L28">Diseño!$GQ$31</definedName>
    <definedName name="A3_A_L29">Diseño!$GQ$32</definedName>
    <definedName name="A3_A_L3">Diseño!$GQ$6</definedName>
    <definedName name="A3_A_L30">Diseño!$GQ$33</definedName>
    <definedName name="A3_A_L31">Diseño!$GQ$34</definedName>
    <definedName name="A3_A_L32">Diseño!$GQ$35</definedName>
    <definedName name="A3_A_L33">Diseño!$GQ$36</definedName>
    <definedName name="A3_A_L34">Diseño!$GQ$37</definedName>
    <definedName name="A3_A_L35">Diseño!$GQ$38</definedName>
    <definedName name="A3_A_L36">Diseño!$GQ$39</definedName>
    <definedName name="A3_A_L37">Diseño!$GQ$40</definedName>
    <definedName name="A3_A_L38">Diseño!$GQ$41</definedName>
    <definedName name="A3_A_L39">Diseño!$GQ$42</definedName>
    <definedName name="A3_A_L4">Diseño!$GQ$7</definedName>
    <definedName name="A3_A_L40">Diseño!$GQ$43</definedName>
    <definedName name="A3_A_L5">Diseño!$GQ$8</definedName>
    <definedName name="A3_A_L6">Diseño!$GQ$9</definedName>
    <definedName name="A3_A_L7">Diseño!$GQ$10</definedName>
    <definedName name="A3_A_L8">Diseño!$GQ$11</definedName>
    <definedName name="A3_A_L9">Diseño!$GQ$12</definedName>
    <definedName name="A3_B">Diseño!$GS$4:$GS$43</definedName>
    <definedName name="A3_B_L1">Diseño!$GS$4</definedName>
    <definedName name="A3_B_L10">Diseño!$GS$13</definedName>
    <definedName name="A3_B_L11">Diseño!$GS$14</definedName>
    <definedName name="A3_B_L12">Diseño!$GS$15</definedName>
    <definedName name="A3_B_L13">Diseño!$GS$16</definedName>
    <definedName name="A3_B_L14">Diseño!$GS$17</definedName>
    <definedName name="A3_B_L15">Diseño!$GS$18</definedName>
    <definedName name="A3_B_L16">Diseño!$GS$19</definedName>
    <definedName name="A3_B_L17">Diseño!$GS$20</definedName>
    <definedName name="A3_B_L18">Diseño!$GS$21</definedName>
    <definedName name="A3_B_L19">Diseño!$GS$22</definedName>
    <definedName name="A3_B_L2">Diseño!$GS$5</definedName>
    <definedName name="A3_B_L20">Diseño!$GS$23</definedName>
    <definedName name="A3_B_L21">Diseño!$GS$24</definedName>
    <definedName name="A3_B_L22">Diseño!$GS$25</definedName>
    <definedName name="A3_B_L23">Diseño!$GS$26</definedName>
    <definedName name="A3_B_L24">Diseño!$GS$27</definedName>
    <definedName name="A3_B_L25">Diseño!$GS$28</definedName>
    <definedName name="A3_B_L26">Diseño!$GS$29</definedName>
    <definedName name="A3_B_L27">Diseño!$GS$30</definedName>
    <definedName name="A3_B_L28">Diseño!$GS$31</definedName>
    <definedName name="A3_B_L29">Diseño!$GS$32</definedName>
    <definedName name="A3_B_L3">Diseño!$GS$6</definedName>
    <definedName name="A3_B_L30">Diseño!$GS$33</definedName>
    <definedName name="A3_B_L31">Diseño!$GS$34</definedName>
    <definedName name="A3_B_L32">Diseño!$GS$35</definedName>
    <definedName name="A3_B_L33">Diseño!$GS$36</definedName>
    <definedName name="A3_B_L34">Diseño!$GS$37</definedName>
    <definedName name="A3_B_L35">Diseño!$GS$38</definedName>
    <definedName name="A3_B_L36">Diseño!$GS$39</definedName>
    <definedName name="A3_B_L37">Diseño!$GS$40</definedName>
    <definedName name="A3_B_L38">Diseño!$GS$41</definedName>
    <definedName name="A3_B_L39">Diseño!$GS$42</definedName>
    <definedName name="A3_B_L4">Diseño!$GS$7</definedName>
    <definedName name="A3_B_L40">Diseño!$GS$43</definedName>
    <definedName name="A3_B_L5">Diseño!$GS$8</definedName>
    <definedName name="A3_B_L6">Diseño!$GS$9</definedName>
    <definedName name="A3_B_L7">Diseño!$GS$10</definedName>
    <definedName name="A3_B_L8">Diseño!$GS$11</definedName>
    <definedName name="A3_B_L9">Diseño!$GS$12</definedName>
    <definedName name="A3_C">Diseño!$GU$4:$GU$43</definedName>
    <definedName name="A3_C_L1">Diseño!$GU$4</definedName>
    <definedName name="A3_C_L10">Diseño!$GU$13</definedName>
    <definedName name="A3_C_L11">Diseño!$GU$14</definedName>
    <definedName name="A3_C_L12">Diseño!$GU$15</definedName>
    <definedName name="A3_C_L13">Diseño!$GU$16</definedName>
    <definedName name="A3_C_L14">Diseño!$GU$17</definedName>
    <definedName name="A3_C_L15">Diseño!$GU$18</definedName>
    <definedName name="A3_C_L16">Diseño!$GU$19</definedName>
    <definedName name="A3_C_L17">Diseño!$GU$20</definedName>
    <definedName name="A3_C_L18">Diseño!$GU$21</definedName>
    <definedName name="A3_C_L19">Diseño!$GU$22</definedName>
    <definedName name="A3_C_L2">Diseño!$GU$5</definedName>
    <definedName name="A3_C_L20">Diseño!$GU$23</definedName>
    <definedName name="A3_C_L21">Diseño!$GU$24</definedName>
    <definedName name="A3_C_L22">Diseño!$GU$25</definedName>
    <definedName name="A3_C_L23">Diseño!$GU$26</definedName>
    <definedName name="A3_C_L24">Diseño!$GU$27</definedName>
    <definedName name="A3_C_L25">Diseño!$GU$28</definedName>
    <definedName name="A3_C_L26">Diseño!$GU$29</definedName>
    <definedName name="A3_C_L27">Diseño!$GU$30</definedName>
    <definedName name="A3_C_L28">Diseño!$GU$31</definedName>
    <definedName name="A3_C_L29">Diseño!$GU$32</definedName>
    <definedName name="A3_C_L3">Diseño!$GU$6</definedName>
    <definedName name="A3_C_L30">Diseño!$GU$33</definedName>
    <definedName name="A3_C_L31">Diseño!$GU$34</definedName>
    <definedName name="A3_C_L32">Diseño!$GU$35</definedName>
    <definedName name="A3_C_L33">Diseño!$GU$36</definedName>
    <definedName name="A3_C_L34">Diseño!$GU$37</definedName>
    <definedName name="A3_C_L35">Diseño!$GU$38</definedName>
    <definedName name="A3_C_L36">Diseño!$GU$39</definedName>
    <definedName name="A3_C_L37">Diseño!$GU$40</definedName>
    <definedName name="A3_C_L38">Diseño!$GU$41</definedName>
    <definedName name="A3_C_L39">Diseño!$GU$42</definedName>
    <definedName name="A3_C_L4">Diseño!$GU$7</definedName>
    <definedName name="A3_C_L40">Diseño!$GU$43</definedName>
    <definedName name="A3_C_L5">Diseño!$GU$8</definedName>
    <definedName name="A3_C_L6">Diseño!$GU$9</definedName>
    <definedName name="A3_C_L7">Diseño!$GU$10</definedName>
    <definedName name="A3_C_L8">Diseño!$GU$11</definedName>
    <definedName name="A3_C_L9">Diseño!$GU$12</definedName>
    <definedName name="A3_D">Diseño!$GW$4:$GW$43</definedName>
    <definedName name="A3_D_L1">Diseño!$GW$4</definedName>
    <definedName name="A3_D_L10">Diseño!$GW$13</definedName>
    <definedName name="A3_D_L11">Diseño!$GW$14</definedName>
    <definedName name="A3_D_L12">Diseño!$GW$15</definedName>
    <definedName name="A3_D_L13">Diseño!$GW$16</definedName>
    <definedName name="A3_D_L14">Diseño!$GW$17</definedName>
    <definedName name="A3_D_L15">Diseño!$GW$18</definedName>
    <definedName name="A3_D_L16">Diseño!$GW$19</definedName>
    <definedName name="A3_D_L17">Diseño!$GW$20</definedName>
    <definedName name="A3_D_L18">Diseño!$GW$21</definedName>
    <definedName name="A3_D_L19">Diseño!$GW$22</definedName>
    <definedName name="A3_D_L2">Diseño!$GW$5</definedName>
    <definedName name="A3_D_L20">Diseño!$GW$23</definedName>
    <definedName name="A3_D_L21">Diseño!$GW$24</definedName>
    <definedName name="A3_D_L22">Diseño!$GW$25</definedName>
    <definedName name="A3_D_L23">Diseño!$GW$26</definedName>
    <definedName name="A3_D_L24">Diseño!$GW$27</definedName>
    <definedName name="A3_D_L25">Diseño!$GW$28</definedName>
    <definedName name="A3_D_L26">Diseño!$GW$29</definedName>
    <definedName name="A3_D_L27">Diseño!$GW$30</definedName>
    <definedName name="A3_D_L28">Diseño!$GW$31</definedName>
    <definedName name="A3_D_L29">Diseño!$GW$32</definedName>
    <definedName name="A3_D_L3">Diseño!$GW$6</definedName>
    <definedName name="A3_D_L30">Diseño!$GW$33</definedName>
    <definedName name="A3_D_L31">Diseño!$GW$34</definedName>
    <definedName name="A3_D_L32">Diseño!$GW$35</definedName>
    <definedName name="A3_D_L33">Diseño!$GW$36</definedName>
    <definedName name="A3_D_L34">Diseño!$GW$37</definedName>
    <definedName name="A3_D_L35">Diseño!$GW$38</definedName>
    <definedName name="A3_D_L36">Diseño!$GW$39</definedName>
    <definedName name="A3_D_L37">Diseño!$GW$40</definedName>
    <definedName name="A3_D_L38">Diseño!$GW$41</definedName>
    <definedName name="A3_D_L39">Diseño!$GW$42</definedName>
    <definedName name="A3_D_L4">Diseño!$GW$7</definedName>
    <definedName name="A3_D_L40">Diseño!$GW$43</definedName>
    <definedName name="A3_D_L5">Diseño!$GW$8</definedName>
    <definedName name="A3_D_L6">Diseño!$GW$9</definedName>
    <definedName name="A3_D_L7">Diseño!$GW$10</definedName>
    <definedName name="A3_D_L8">Diseño!$GW$11</definedName>
    <definedName name="A3_D_L9">Diseño!$GW$12</definedName>
    <definedName name="A3_L1">'1'!$I$5</definedName>
    <definedName name="A3_L10">'1'!$I$14</definedName>
    <definedName name="A3_L11">'1'!$I$15</definedName>
    <definedName name="A3_L12">'1'!$I$16</definedName>
    <definedName name="A3_L13">'1'!$I$17</definedName>
    <definedName name="A3_L14">'1'!$I$18</definedName>
    <definedName name="A3_L15">'1'!$I$19</definedName>
    <definedName name="A3_L16">'1'!$I$20</definedName>
    <definedName name="A3_L17">'1'!$I$21</definedName>
    <definedName name="A3_L18">'1'!$I$22</definedName>
    <definedName name="A3_L19">'1'!$I$23</definedName>
    <definedName name="A3_L2">'1'!$I$6</definedName>
    <definedName name="A3_L20">'1'!$I$24</definedName>
    <definedName name="A3_L21">'1'!$I$25</definedName>
    <definedName name="A3_L22">'1'!$I$26</definedName>
    <definedName name="A3_L23">'1'!$I$27</definedName>
    <definedName name="A3_L24">'1'!$I$28</definedName>
    <definedName name="A3_L25">'1'!$I$29</definedName>
    <definedName name="A3_L26">'1'!$I$30</definedName>
    <definedName name="A3_L27">'1'!$I$31</definedName>
    <definedName name="A3_L28">'1'!$I$32</definedName>
    <definedName name="A3_L29">'1'!$I$33</definedName>
    <definedName name="A3_L3">'1'!$I$7</definedName>
    <definedName name="A3_L30">'1'!$I$34</definedName>
    <definedName name="A3_L31">'1'!$I$35</definedName>
    <definedName name="A3_L32">'1'!$I$36</definedName>
    <definedName name="A3_L33">'1'!$I$37</definedName>
    <definedName name="A3_L34">'1'!$I$38</definedName>
    <definedName name="A3_L35">'1'!$I$39</definedName>
    <definedName name="A3_L36">'1'!$I$40</definedName>
    <definedName name="A3_L37">'1'!$I$41</definedName>
    <definedName name="A3_L38">'1'!$I$42</definedName>
    <definedName name="A3_L39">'1'!$I$43</definedName>
    <definedName name="A3_L4">'1'!$I$8</definedName>
    <definedName name="A3_L40">'1'!$I$44</definedName>
    <definedName name="A3_L5">'1'!$I$9</definedName>
    <definedName name="A3_L6">'1'!$I$10</definedName>
    <definedName name="A3_L7">'1'!$I$11</definedName>
    <definedName name="A3_L8">'1'!$I$12</definedName>
    <definedName name="A3_L9">'1'!$I$13</definedName>
    <definedName name="A3_X">Diseño!$HC$4:$HC$43</definedName>
    <definedName name="A3_X_L1">Diseño!$HC$4</definedName>
    <definedName name="A3_X_L10">Diseño!$HC$13</definedName>
    <definedName name="A3_X_L11">Diseño!$HC$14</definedName>
    <definedName name="A3_X_L12">Diseño!$HC$15</definedName>
    <definedName name="A3_X_L13">Diseño!$HC$16</definedName>
    <definedName name="A3_X_L14">Diseño!$HC$17</definedName>
    <definedName name="A3_X_L15">Diseño!$HC$18</definedName>
    <definedName name="A3_X_L16">Diseño!$HC$19</definedName>
    <definedName name="A3_X_L17">Diseño!$HC$20</definedName>
    <definedName name="A3_X_L18">Diseño!$HC$21</definedName>
    <definedName name="A3_X_L19">Diseño!$HC$22</definedName>
    <definedName name="A3_X_L2">Diseño!$HC$5</definedName>
    <definedName name="A3_X_L20">Diseño!$HC$23</definedName>
    <definedName name="A3_X_L21">Diseño!$HC$24</definedName>
    <definedName name="A3_X_L22">Diseño!$HC$25</definedName>
    <definedName name="A3_X_L23">Diseño!$HC$26</definedName>
    <definedName name="A3_X_L24">Diseño!$HC$27</definedName>
    <definedName name="A3_X_L25">Diseño!$HC$28</definedName>
    <definedName name="A3_X_L26">Diseño!$HC$29</definedName>
    <definedName name="A3_X_L27">Diseño!$HC$30</definedName>
    <definedName name="A3_X_L28">Diseño!$HC$31</definedName>
    <definedName name="A3_X_L29">Diseño!$HC$32</definedName>
    <definedName name="A3_X_L3">Diseño!$HC$6</definedName>
    <definedName name="A3_X_L30">Diseño!$HC$33</definedName>
    <definedName name="A3_X_L31">Diseño!$HC$34</definedName>
    <definedName name="A3_X_L32">Diseño!$HC$35</definedName>
    <definedName name="A3_X_L33">Diseño!$HC$36</definedName>
    <definedName name="A3_X_L34">Diseño!$HC$37</definedName>
    <definedName name="A3_X_L35">Diseño!$HC$38</definedName>
    <definedName name="A3_X_L36">Diseño!$HC$39</definedName>
    <definedName name="A3_X_L37">Diseño!$HC$40</definedName>
    <definedName name="A3_X_L38">Diseño!$HC$41</definedName>
    <definedName name="A3_X_L39">Diseño!$HC$42</definedName>
    <definedName name="A3_X_L4">Diseño!$HC$7</definedName>
    <definedName name="A3_X_L40">Diseño!$HC$43</definedName>
    <definedName name="A3_X_L5">Diseño!$HC$8</definedName>
    <definedName name="A3_X_L6">Diseño!$HC$9</definedName>
    <definedName name="A3_X_L7">Diseño!$HC$10</definedName>
    <definedName name="A3_X_L8">Diseño!$HC$11</definedName>
    <definedName name="A3_X_L9">Diseño!$HC$12</definedName>
    <definedName name="A3_Y">Diseño!$GY$4:$GY$43</definedName>
    <definedName name="A3_Y_L1">Diseño!$GY$4</definedName>
    <definedName name="A3_Y_L10">Diseño!$GY$13</definedName>
    <definedName name="A3_Y_L11">Diseño!$GY$14</definedName>
    <definedName name="A3_Y_L12">Diseño!$GY$15</definedName>
    <definedName name="A3_Y_L13">Diseño!$GY$16</definedName>
    <definedName name="A3_Y_L14">Diseño!$GY$17</definedName>
    <definedName name="A3_Y_L15">Diseño!$GY$18</definedName>
    <definedName name="A3_Y_L16">Diseño!$GY$19</definedName>
    <definedName name="A3_Y_L17">Diseño!$GY$20</definedName>
    <definedName name="A3_Y_L18">Diseño!$GY$21</definedName>
    <definedName name="A3_Y_L19">Diseño!$GY$22</definedName>
    <definedName name="A3_Y_L2">Diseño!$GY$5</definedName>
    <definedName name="A3_Y_L20">Diseño!$GY$23</definedName>
    <definedName name="A3_Y_L21">Diseño!$GY$24</definedName>
    <definedName name="A3_Y_L22">Diseño!$GY$25</definedName>
    <definedName name="A3_Y_L23">Diseño!$GY$26</definedName>
    <definedName name="A3_Y_L24">Diseño!$GY$27</definedName>
    <definedName name="A3_Y_L25">Diseño!$GY$28</definedName>
    <definedName name="A3_Y_L26">Diseño!$GY$29</definedName>
    <definedName name="A3_Y_L27">Diseño!$GY$30</definedName>
    <definedName name="A3_Y_L28">Diseño!$GY$31</definedName>
    <definedName name="A3_Y_L29">Diseño!$GY$32</definedName>
    <definedName name="A3_Y_L3">Diseño!$GY$6</definedName>
    <definedName name="A3_Y_L30">Diseño!$GY$33</definedName>
    <definedName name="A3_Y_L31">Diseño!$GY$34</definedName>
    <definedName name="A3_Y_L32">Diseño!$GY$35</definedName>
    <definedName name="A3_Y_L33">Diseño!$GY$36</definedName>
    <definedName name="A3_Y_L34">Diseño!$GY$37</definedName>
    <definedName name="A3_Y_L35">Diseño!$GY$38</definedName>
    <definedName name="A3_Y_L36">Diseño!$GY$39</definedName>
    <definedName name="A3_Y_L37">Diseño!$GY$40</definedName>
    <definedName name="A3_Y_L38">Diseño!$GY$41</definedName>
    <definedName name="A3_Y_L39">Diseño!$GY$42</definedName>
    <definedName name="A3_Y_L4">Diseño!$GY$7</definedName>
    <definedName name="A3_Y_L40">Diseño!$GY$43</definedName>
    <definedName name="A3_Y_L5">Diseño!$GY$8</definedName>
    <definedName name="A3_Y_L6">Diseño!$GY$9</definedName>
    <definedName name="A3_Y_L7">Diseño!$GY$10</definedName>
    <definedName name="A3_Y_L8">Diseño!$GY$11</definedName>
    <definedName name="A3_Y_L9">Diseño!$GY$12</definedName>
    <definedName name="A3_Z">Diseño!$HA$4:$HA$43</definedName>
    <definedName name="A3_Z_L1">Diseño!$HA$4</definedName>
    <definedName name="A3_Z_L10">Diseño!$HA$13</definedName>
    <definedName name="A3_Z_L11">Diseño!$HA$14</definedName>
    <definedName name="A3_Z_L12">Diseño!$HA$15</definedName>
    <definedName name="A3_Z_L13">Diseño!$HA$16</definedName>
    <definedName name="A3_Z_L14">Diseño!$HA$17</definedName>
    <definedName name="A3_Z_L15">Diseño!$HA$18</definedName>
    <definedName name="A3_Z_L16">Diseño!$HA$19</definedName>
    <definedName name="A3_Z_L17">Diseño!$HA$20</definedName>
    <definedName name="A3_Z_L18">Diseño!$HA$21</definedName>
    <definedName name="A3_Z_L19">Diseño!$HA$22</definedName>
    <definedName name="A3_Z_L2">Diseño!$HA$5</definedName>
    <definedName name="A3_Z_L20">Diseño!$HA$23</definedName>
    <definedName name="A3_Z_L21">Diseño!$HA$24</definedName>
    <definedName name="A3_Z_L22">Diseño!$HA$25</definedName>
    <definedName name="A3_Z_L23">Diseño!$HA$26</definedName>
    <definedName name="A3_Z_L24">Diseño!$HA$27</definedName>
    <definedName name="A3_Z_L25">Diseño!$HA$28</definedName>
    <definedName name="A3_Z_L26">Diseño!$HA$29</definedName>
    <definedName name="A3_Z_L27">Diseño!$HA$30</definedName>
    <definedName name="A3_Z_L28">Diseño!$HA$31</definedName>
    <definedName name="A3_Z_L29">Diseño!$HA$32</definedName>
    <definedName name="A3_Z_L3">Diseño!$HA$6</definedName>
    <definedName name="A3_Z_L30">Diseño!$HA$33</definedName>
    <definedName name="A3_Z_L31">Diseño!$HA$34</definedName>
    <definedName name="A3_Z_L32">Diseño!$HA$35</definedName>
    <definedName name="A3_Z_L33">Diseño!$HA$36</definedName>
    <definedName name="A3_Z_L34">Diseño!$HA$37</definedName>
    <definedName name="A3_Z_L35">Diseño!$HA$38</definedName>
    <definedName name="A3_Z_L36">Diseño!$HA$39</definedName>
    <definedName name="A3_Z_L37">Diseño!$HA$40</definedName>
    <definedName name="A3_Z_L38">Diseño!$HA$41</definedName>
    <definedName name="A3_Z_L39">Diseño!$HA$42</definedName>
    <definedName name="A3_Z_L4">Diseño!$HA$7</definedName>
    <definedName name="A3_Z_L40">Diseño!$HA$43</definedName>
    <definedName name="A3_Z_L5">Diseño!$HA$8</definedName>
    <definedName name="A3_Z_L6">Diseño!$HA$9</definedName>
    <definedName name="A3_Z_L7">Diseño!$HA$10</definedName>
    <definedName name="A3_Z_L8">Diseño!$HA$11</definedName>
    <definedName name="A3_Z_L9">Diseño!$HA$12</definedName>
    <definedName name="A4_A">Diseño!$HE$4:$HE$43</definedName>
    <definedName name="A4_A_L1">Diseño!$HE$4</definedName>
    <definedName name="A4_A_L10">Diseño!$HE$13</definedName>
    <definedName name="A4_A_L11">Diseño!$HE$14</definedName>
    <definedName name="A4_A_L12">Diseño!$HE$15</definedName>
    <definedName name="A4_A_L13">Diseño!$HE$16</definedName>
    <definedName name="A4_A_L14">Diseño!$HE$17</definedName>
    <definedName name="A4_A_L15">Diseño!$HE$18</definedName>
    <definedName name="A4_A_L16">Diseño!$HE$19</definedName>
    <definedName name="A4_A_L17">Diseño!$HE$20</definedName>
    <definedName name="A4_A_L18">Diseño!$HE$21</definedName>
    <definedName name="A4_A_L19">Diseño!$HE$22</definedName>
    <definedName name="A4_A_L2">Diseño!$HE$5</definedName>
    <definedName name="A4_A_L20">Diseño!$HE$23</definedName>
    <definedName name="A4_A_L21">Diseño!$HE$24</definedName>
    <definedName name="A4_A_L22">Diseño!$HE$25</definedName>
    <definedName name="A4_A_L23">Diseño!$HE$26</definedName>
    <definedName name="A4_A_L24">Diseño!$HE$27</definedName>
    <definedName name="A4_A_L25">Diseño!$HE$28</definedName>
    <definedName name="A4_A_L26">Diseño!$HE$29</definedName>
    <definedName name="A4_A_L27">Diseño!$HE$30</definedName>
    <definedName name="A4_A_L28">Diseño!$HE$31</definedName>
    <definedName name="A4_A_L29">Diseño!$HE$32</definedName>
    <definedName name="A4_A_L3">Diseño!$HE$6</definedName>
    <definedName name="A4_A_L30">Diseño!$HE$33</definedName>
    <definedName name="A4_A_L31">Diseño!$HE$34</definedName>
    <definedName name="A4_A_L32">Diseño!$HE$35</definedName>
    <definedName name="A4_A_L33">Diseño!$HE$36</definedName>
    <definedName name="A4_A_L34">Diseño!$HE$37</definedName>
    <definedName name="A4_A_L35">Diseño!$HE$38</definedName>
    <definedName name="A4_A_L36">Diseño!$HE$39</definedName>
    <definedName name="A4_A_L37">Diseño!$HE$40</definedName>
    <definedName name="A4_A_L38">Diseño!$HE$41</definedName>
    <definedName name="A4_A_L39">Diseño!$HE$42</definedName>
    <definedName name="A4_A_L4">Diseño!$HE$7</definedName>
    <definedName name="A4_A_L40">Diseño!$HE$43</definedName>
    <definedName name="A4_A_L5">Diseño!$HE$8</definedName>
    <definedName name="A4_A_L6">Diseño!$HE$9</definedName>
    <definedName name="A4_A_L7">Diseño!$HE$10</definedName>
    <definedName name="A4_A_L8">Diseño!$HE$11</definedName>
    <definedName name="A4_A_L9">Diseño!$HE$12</definedName>
    <definedName name="A4_B">Diseño!$HG$4:$HG$43</definedName>
    <definedName name="A4_B_L1">Diseño!$HG$4</definedName>
    <definedName name="A4_B_L10">Diseño!$HG$13</definedName>
    <definedName name="A4_B_L11">Diseño!$HG$14</definedName>
    <definedName name="A4_B_L12">Diseño!$HG$15</definedName>
    <definedName name="A4_B_L13">Diseño!$HG$16</definedName>
    <definedName name="A4_B_L14">Diseño!$HG$17</definedName>
    <definedName name="A4_B_L15">Diseño!$HG$18</definedName>
    <definedName name="A4_B_L16">Diseño!$HG$19</definedName>
    <definedName name="A4_B_L17">Diseño!$HG$20</definedName>
    <definedName name="A4_B_L18">Diseño!$HG$21</definedName>
    <definedName name="A4_B_L19">Diseño!$HG$22</definedName>
    <definedName name="A4_B_L2">Diseño!$HG$5</definedName>
    <definedName name="A4_B_L20">Diseño!$HG$23</definedName>
    <definedName name="A4_B_L21">Diseño!$HG$24</definedName>
    <definedName name="A4_B_L22">Diseño!$HG$25</definedName>
    <definedName name="A4_B_L23">Diseño!$HG$26</definedName>
    <definedName name="A4_B_L24">Diseño!$HG$27</definedName>
    <definedName name="A4_B_L25">Diseño!$HG$28</definedName>
    <definedName name="A4_B_L26">Diseño!$HG$29</definedName>
    <definedName name="A4_B_L27">Diseño!$HG$30</definedName>
    <definedName name="A4_B_L28">Diseño!$HG$31</definedName>
    <definedName name="A4_B_L29">Diseño!$HG$32</definedName>
    <definedName name="A4_B_L3">Diseño!$HG$6</definedName>
    <definedName name="A4_B_L30">Diseño!$HG$33</definedName>
    <definedName name="A4_B_L31">Diseño!$HG$34</definedName>
    <definedName name="A4_B_L32">Diseño!$HG$35</definedName>
    <definedName name="A4_B_L33">Diseño!$HG$36</definedName>
    <definedName name="A4_B_L34">Diseño!$HG$37</definedName>
    <definedName name="A4_B_L35">Diseño!$HG$38</definedName>
    <definedName name="A4_B_L36">Diseño!$HG$39</definedName>
    <definedName name="A4_B_L37">Diseño!$HG$40</definedName>
    <definedName name="A4_B_L38">Diseño!$HG$41</definedName>
    <definedName name="A4_B_L39">Diseño!$HG$42</definedName>
    <definedName name="A4_B_L4">Diseño!$HG$7</definedName>
    <definedName name="A4_B_L40">Diseño!$HG$43</definedName>
    <definedName name="A4_B_L5">Diseño!$HG$8</definedName>
    <definedName name="A4_B_L6">Diseño!$HG$9</definedName>
    <definedName name="A4_B_L7">Diseño!$HG$10</definedName>
    <definedName name="A4_B_L8">Diseño!$HG$11</definedName>
    <definedName name="A4_B_L9">Diseño!$HG$12</definedName>
    <definedName name="A4_C">Diseño!$HI$4:$HI$43</definedName>
    <definedName name="A4_C_L1">Diseño!$HI$4</definedName>
    <definedName name="A4_C_L10">Diseño!$HI$13</definedName>
    <definedName name="A4_C_L11">Diseño!$HI$14</definedName>
    <definedName name="A4_C_L12">Diseño!$HI$15</definedName>
    <definedName name="A4_C_L13">Diseño!$HI$16</definedName>
    <definedName name="A4_C_L14">Diseño!$HI$17</definedName>
    <definedName name="A4_C_L15">Diseño!$HI$18</definedName>
    <definedName name="A4_C_L16">Diseño!$HI$19</definedName>
    <definedName name="A4_C_L17">Diseño!$HI$20</definedName>
    <definedName name="A4_C_L18">Diseño!$HI$21</definedName>
    <definedName name="A4_C_L19">Diseño!$HI$22</definedName>
    <definedName name="A4_C_L2">Diseño!$HI$5</definedName>
    <definedName name="A4_C_L20">Diseño!$HI$23</definedName>
    <definedName name="A4_C_L21">Diseño!$HI$24</definedName>
    <definedName name="A4_C_L22">Diseño!$HI$25</definedName>
    <definedName name="A4_C_L23">Diseño!$HI$26</definedName>
    <definedName name="A4_C_L24">Diseño!$HI$27</definedName>
    <definedName name="A4_C_L25">Diseño!$HI$28</definedName>
    <definedName name="A4_C_L26">Diseño!$HI$29</definedName>
    <definedName name="A4_C_L27">Diseño!$HI$30</definedName>
    <definedName name="A4_C_L28">Diseño!$HI$31</definedName>
    <definedName name="A4_C_L29">Diseño!$HI$32</definedName>
    <definedName name="A4_C_L3">Diseño!$HI$6</definedName>
    <definedName name="A4_C_L30">Diseño!$HI$33</definedName>
    <definedName name="A4_C_L31">Diseño!$HI$34</definedName>
    <definedName name="A4_C_L32">Diseño!$HI$35</definedName>
    <definedName name="A4_C_L33">Diseño!$HI$36</definedName>
    <definedName name="A4_C_L34">Diseño!$HI$37</definedName>
    <definedName name="A4_C_L35">Diseño!$HI$38</definedName>
    <definedName name="A4_C_L36">Diseño!$HI$39</definedName>
    <definedName name="A4_C_L37">Diseño!$HI$40</definedName>
    <definedName name="A4_C_L38">Diseño!$HI$41</definedName>
    <definedName name="A4_C_L39">Diseño!$HI$42</definedName>
    <definedName name="A4_C_L4">Diseño!$HI$7</definedName>
    <definedName name="A4_C_L40">Diseño!$HI$43</definedName>
    <definedName name="A4_C_L5">Diseño!$HI$8</definedName>
    <definedName name="A4_C_L6">Diseño!$HI$9</definedName>
    <definedName name="A4_C_L7">Diseño!$HI$10</definedName>
    <definedName name="A4_C_L8">Diseño!$HI$11</definedName>
    <definedName name="A4_C_L9">Diseño!$HI$12</definedName>
    <definedName name="A4_D">Diseño!$HK$4:$HK$43</definedName>
    <definedName name="A4_D_L1">Diseño!$HK$4</definedName>
    <definedName name="A4_D_L10">Diseño!$HK$13</definedName>
    <definedName name="A4_D_L11">Diseño!$HK$14</definedName>
    <definedName name="A4_D_L12">Diseño!$HK$15</definedName>
    <definedName name="A4_D_L13">Diseño!$HK$16</definedName>
    <definedName name="A4_D_L14">Diseño!$HK$17</definedName>
    <definedName name="A4_D_L15">Diseño!$HK$18</definedName>
    <definedName name="A4_D_L16">Diseño!$HK$19</definedName>
    <definedName name="A4_D_L17">Diseño!$HK$20</definedName>
    <definedName name="A4_D_L18">Diseño!$HK$21</definedName>
    <definedName name="A4_D_L19">Diseño!$HK$22</definedName>
    <definedName name="A4_D_L2">Diseño!$HK$5</definedName>
    <definedName name="A4_D_L20">Diseño!$HK$23</definedName>
    <definedName name="A4_D_L21">Diseño!$HK$24</definedName>
    <definedName name="A4_D_L22">Diseño!$HK$25</definedName>
    <definedName name="A4_D_L23">Diseño!$HK$26</definedName>
    <definedName name="A4_D_L24">Diseño!$HK$27</definedName>
    <definedName name="A4_D_L25">Diseño!$HK$28</definedName>
    <definedName name="A4_D_L26">Diseño!$HK$29</definedName>
    <definedName name="A4_D_L27">Diseño!$HK$30</definedName>
    <definedName name="A4_D_L28">Diseño!$HK$31</definedName>
    <definedName name="A4_D_L29">Diseño!$HK$32</definedName>
    <definedName name="A4_D_L3">Diseño!$HK$6</definedName>
    <definedName name="A4_D_L30">Diseño!$HK$33</definedName>
    <definedName name="A4_D_L31">Diseño!$HK$34</definedName>
    <definedName name="A4_D_L32">Diseño!$HK$35</definedName>
    <definedName name="A4_D_L33">Diseño!$HK$36</definedName>
    <definedName name="A4_D_L34">Diseño!$HK$37</definedName>
    <definedName name="A4_D_L35">Diseño!$HK$38</definedName>
    <definedName name="A4_D_L36">Diseño!$HK$39</definedName>
    <definedName name="A4_D_L37">Diseño!$HK$40</definedName>
    <definedName name="A4_D_L38">Diseño!$HK$41</definedName>
    <definedName name="A4_D_L39">Diseño!$HK$42</definedName>
    <definedName name="A4_D_L4">Diseño!$HK$7</definedName>
    <definedName name="A4_D_L40">Diseño!$HK$43</definedName>
    <definedName name="A4_D_L5">Diseño!$HK$8</definedName>
    <definedName name="A4_D_L6">Diseño!$HK$9</definedName>
    <definedName name="A4_D_L7">Diseño!$HK$10</definedName>
    <definedName name="A4_D_L8">Diseño!$HK$11</definedName>
    <definedName name="A4_D_L9">Diseño!$HK$12</definedName>
    <definedName name="A4_L1">'1'!$J$5</definedName>
    <definedName name="A4_L10">'1'!$J$14</definedName>
    <definedName name="A4_L11">'1'!$J$15</definedName>
    <definedName name="A4_L12">'1'!$J$16</definedName>
    <definedName name="A4_L13">'1'!$J$17</definedName>
    <definedName name="A4_L14">'1'!$J$18</definedName>
    <definedName name="A4_L15">'1'!$J$19</definedName>
    <definedName name="A4_L16">'1'!$J$20</definedName>
    <definedName name="A4_L17">'1'!$J$21</definedName>
    <definedName name="A4_L18">'1'!$J$22</definedName>
    <definedName name="A4_L19">'1'!$J$23</definedName>
    <definedName name="A4_L2">'1'!$J$6</definedName>
    <definedName name="A4_L20">'1'!$J$24</definedName>
    <definedName name="A4_L21">'1'!$J$25</definedName>
    <definedName name="A4_L22">'1'!$J$26</definedName>
    <definedName name="A4_L23">'1'!$J$27</definedName>
    <definedName name="A4_L24">'1'!$J$28</definedName>
    <definedName name="A4_L25">'1'!$J$29</definedName>
    <definedName name="A4_L26">'1'!$J$30</definedName>
    <definedName name="A4_L27">'1'!$J$31</definedName>
    <definedName name="A4_L28">'1'!$J$32</definedName>
    <definedName name="A4_L29">'1'!$J$33</definedName>
    <definedName name="A4_L3">'1'!$J$7</definedName>
    <definedName name="A4_L30">'1'!$J$34</definedName>
    <definedName name="A4_L31">'1'!$J$35</definedName>
    <definedName name="A4_L32">'1'!$J$36</definedName>
    <definedName name="A4_L33">'1'!$J$37</definedName>
    <definedName name="A4_L34">'1'!$J$38</definedName>
    <definedName name="A4_L35">'1'!$J$39</definedName>
    <definedName name="A4_L36">'1'!$J$40</definedName>
    <definedName name="A4_L37">'1'!$J$41</definedName>
    <definedName name="A4_L38">'1'!$J$42</definedName>
    <definedName name="A4_L39">'1'!$J$43</definedName>
    <definedName name="A4_L4">'1'!$J$8</definedName>
    <definedName name="A4_L40">'1'!$J$44</definedName>
    <definedName name="A4_L5">'1'!$J$9</definedName>
    <definedName name="A4_L6">'1'!$J$10</definedName>
    <definedName name="A4_L7">'1'!$J$11</definedName>
    <definedName name="A4_L8">'1'!$J$12</definedName>
    <definedName name="A4_L9">'1'!$J$13</definedName>
    <definedName name="A4_X">Diseño!$HQ$4:$HQ$43</definedName>
    <definedName name="A4_X_L1">Diseño!$HQ$4</definedName>
    <definedName name="A4_X_L10">Diseño!$HQ$13</definedName>
    <definedName name="A4_X_L11">Diseño!$HQ$14</definedName>
    <definedName name="A4_X_L12">Diseño!$HQ$15</definedName>
    <definedName name="A4_X_L13">Diseño!$HQ$16</definedName>
    <definedName name="A4_X_L14">Diseño!$HQ$17</definedName>
    <definedName name="A4_X_L15">Diseño!$HQ$18</definedName>
    <definedName name="A4_X_L16">Diseño!$HQ$19</definedName>
    <definedName name="A4_X_L17">Diseño!$HQ$20</definedName>
    <definedName name="A4_X_L18">Diseño!$HQ$21</definedName>
    <definedName name="A4_X_L19">Diseño!$HQ$22</definedName>
    <definedName name="A4_X_L2">Diseño!$HQ$5</definedName>
    <definedName name="A4_X_L20">Diseño!$HQ$23</definedName>
    <definedName name="A4_X_L21">Diseño!$HQ$24</definedName>
    <definedName name="A4_X_L22">Diseño!$HQ$25</definedName>
    <definedName name="A4_X_L23">Diseño!$HQ$26</definedName>
    <definedName name="A4_X_L24">Diseño!$HQ$27</definedName>
    <definedName name="A4_X_L25">Diseño!$HQ$28</definedName>
    <definedName name="A4_X_L26">Diseño!$HQ$29</definedName>
    <definedName name="A4_X_L27">Diseño!$HQ$30</definedName>
    <definedName name="A4_X_L28">Diseño!$HQ$31</definedName>
    <definedName name="A4_X_L29">Diseño!$HQ$32</definedName>
    <definedName name="A4_X_L3">Diseño!$HQ$6</definedName>
    <definedName name="A4_X_L30">Diseño!$HQ$33</definedName>
    <definedName name="A4_X_L31">Diseño!$HQ$34</definedName>
    <definedName name="A4_X_L32">Diseño!$HQ$35</definedName>
    <definedName name="A4_X_L33">Diseño!$HQ$36</definedName>
    <definedName name="A4_X_L34">Diseño!$HQ$37</definedName>
    <definedName name="A4_X_L35">Diseño!$HQ$38</definedName>
    <definedName name="A4_X_L36">Diseño!$HQ$39</definedName>
    <definedName name="A4_X_L37">Diseño!$HQ$40</definedName>
    <definedName name="A4_X_L38">Diseño!$HQ$41</definedName>
    <definedName name="A4_X_L39">Diseño!$HQ$42</definedName>
    <definedName name="A4_X_L4">Diseño!$HQ$7</definedName>
    <definedName name="A4_X_L40">Diseño!$HQ$43</definedName>
    <definedName name="A4_X_L5">Diseño!$HQ$8</definedName>
    <definedName name="A4_X_L6">Diseño!$HQ$9</definedName>
    <definedName name="A4_X_L7">Diseño!$HQ$10</definedName>
    <definedName name="A4_X_L8">Diseño!$HQ$11</definedName>
    <definedName name="A4_X_L9">Diseño!$HQ$12</definedName>
    <definedName name="A4_Y">Diseño!$HM$4:$HM$43</definedName>
    <definedName name="A4_Y_L1">Diseño!$HM$4</definedName>
    <definedName name="A4_Y_L10">Diseño!$HM$13</definedName>
    <definedName name="A4_Y_L11">Diseño!$HM$14</definedName>
    <definedName name="A4_Y_L12">Diseño!$HM$15</definedName>
    <definedName name="A4_Y_L13">Diseño!$HM$16</definedName>
    <definedName name="A4_Y_L14">Diseño!$HM$17</definedName>
    <definedName name="A4_Y_L15">Diseño!$HM$18</definedName>
    <definedName name="A4_Y_L16">Diseño!$HM$19</definedName>
    <definedName name="A4_Y_L17">Diseño!$HM$20</definedName>
    <definedName name="A4_Y_L18">Diseño!$HM$21</definedName>
    <definedName name="A4_Y_L19">Diseño!$HM$22</definedName>
    <definedName name="A4_Y_L2">Diseño!$HM$5</definedName>
    <definedName name="A4_Y_L20">Diseño!$HM$23</definedName>
    <definedName name="A4_Y_L21">Diseño!$HM$24</definedName>
    <definedName name="A4_Y_L22">Diseño!$HM$25</definedName>
    <definedName name="A4_Y_L23">Diseño!$HM$26</definedName>
    <definedName name="A4_Y_L24">Diseño!$HM$27</definedName>
    <definedName name="A4_Y_L25">Diseño!$HM$28</definedName>
    <definedName name="A4_Y_L26">Diseño!$HM$29</definedName>
    <definedName name="A4_Y_L27">Diseño!$HM$30</definedName>
    <definedName name="A4_Y_L28">Diseño!$HM$31</definedName>
    <definedName name="A4_Y_L29">Diseño!$HM$32</definedName>
    <definedName name="A4_Y_L3">Diseño!$HM$6</definedName>
    <definedName name="A4_Y_L30">Diseño!$HM$33</definedName>
    <definedName name="A4_Y_L31">Diseño!$HM$34</definedName>
    <definedName name="A4_Y_L32">Diseño!$HM$35</definedName>
    <definedName name="A4_Y_L33">Diseño!$HM$36</definedName>
    <definedName name="A4_Y_L34">Diseño!$HM$37</definedName>
    <definedName name="A4_Y_L35">Diseño!$HM$38</definedName>
    <definedName name="A4_Y_L36">Diseño!$HM$39</definedName>
    <definedName name="A4_Y_L37">Diseño!$HM$40</definedName>
    <definedName name="A4_Y_L38">Diseño!$HM$41</definedName>
    <definedName name="A4_Y_L39">Diseño!$HM$42</definedName>
    <definedName name="A4_Y_L4">Diseño!$HM$7</definedName>
    <definedName name="A4_Y_L40">Diseño!$HM$43</definedName>
    <definedName name="A4_Y_L5">Diseño!$HM$8</definedName>
    <definedName name="A4_Y_L6">Diseño!$HM$9</definedName>
    <definedName name="A4_Y_L7">Diseño!$HM$10</definedName>
    <definedName name="A4_Y_L8">Diseño!$HM$11</definedName>
    <definedName name="A4_Y_L9">Diseño!$HM$12</definedName>
    <definedName name="A4_Z">Diseño!$HO$4:$HO$43</definedName>
    <definedName name="A4_Z_L1">Diseño!$HO$4</definedName>
    <definedName name="A4_Z_L10">Diseño!$HO$13</definedName>
    <definedName name="A4_Z_L11">Diseño!$HO$14</definedName>
    <definedName name="A4_Z_L12">Diseño!$HO$15</definedName>
    <definedName name="A4_Z_L13">Diseño!$HO$16</definedName>
    <definedName name="A4_Z_L14">Diseño!$HO$17</definedName>
    <definedName name="A4_Z_L15">Diseño!$HO$18</definedName>
    <definedName name="A4_Z_L16">Diseño!$HO$19</definedName>
    <definedName name="A4_Z_L17">Diseño!$HO$20</definedName>
    <definedName name="A4_Z_L18">Diseño!$HO$21</definedName>
    <definedName name="A4_Z_L19">Diseño!$HO$22</definedName>
    <definedName name="A4_Z_L2">Diseño!$HO$5</definedName>
    <definedName name="A4_Z_L20">Diseño!$HO$23</definedName>
    <definedName name="A4_Z_L21">Diseño!$HO$24</definedName>
    <definedName name="A4_Z_L22">Diseño!$HO$25</definedName>
    <definedName name="A4_Z_L23">Diseño!$HO$26</definedName>
    <definedName name="A4_Z_L24">Diseño!$HO$27</definedName>
    <definedName name="A4_Z_L25">Diseño!$HO$28</definedName>
    <definedName name="A4_Z_L26">Diseño!$HO$29</definedName>
    <definedName name="A4_Z_L27">Diseño!$HO$30</definedName>
    <definedName name="A4_Z_L28">Diseño!$HO$31</definedName>
    <definedName name="A4_Z_L29">Diseño!$HO$32</definedName>
    <definedName name="A4_Z_L3">Diseño!$HO$6</definedName>
    <definedName name="A4_Z_L30">Diseño!$HO$33</definedName>
    <definedName name="A4_Z_L31">Diseño!$HO$34</definedName>
    <definedName name="A4_Z_L32">Diseño!$HO$35</definedName>
    <definedName name="A4_Z_L33">Diseño!$HO$36</definedName>
    <definedName name="A4_Z_L34">Diseño!$HO$37</definedName>
    <definedName name="A4_Z_L35">Diseño!$HO$38</definedName>
    <definedName name="A4_Z_L36">Diseño!$HO$39</definedName>
    <definedName name="A4_Z_L37">Diseño!$HO$40</definedName>
    <definedName name="A4_Z_L38">Diseño!$HO$41</definedName>
    <definedName name="A4_Z_L39">Diseño!$HO$42</definedName>
    <definedName name="A4_Z_L4">Diseño!$HO$7</definedName>
    <definedName name="A4_Z_L40">Diseño!$HO$43</definedName>
    <definedName name="A4_Z_L5">Diseño!$HO$8</definedName>
    <definedName name="A4_Z_L6">Diseño!$HO$9</definedName>
    <definedName name="A4_Z_L7">Diseño!$HO$10</definedName>
    <definedName name="A4_Z_L8">Diseño!$HO$11</definedName>
    <definedName name="A4_Z_L9">Diseño!$HO$12</definedName>
    <definedName name="A5_A">Diseño!$HS$4:$HS$43</definedName>
    <definedName name="A5_A_L1">Diseño!$HS$4</definedName>
    <definedName name="A5_A_L10">Diseño!$HS$13</definedName>
    <definedName name="A5_A_L11">Diseño!$HS$14</definedName>
    <definedName name="A5_A_L12">Diseño!$HS$15</definedName>
    <definedName name="A5_A_L13">Diseño!$HS$16</definedName>
    <definedName name="A5_A_L14">Diseño!$HS$17</definedName>
    <definedName name="A5_A_L15">Diseño!$HS$18</definedName>
    <definedName name="A5_A_L16">Diseño!$HS$19</definedName>
    <definedName name="A5_A_L17">Diseño!$HS$20</definedName>
    <definedName name="A5_A_L18">Diseño!$HS$21</definedName>
    <definedName name="A5_A_L19">Diseño!$HS$22</definedName>
    <definedName name="A5_A_L2">Diseño!$HS$5</definedName>
    <definedName name="A5_A_L20">Diseño!$HS$23</definedName>
    <definedName name="A5_A_L21">Diseño!$HS$24</definedName>
    <definedName name="A5_A_L22">Diseño!$HS$25</definedName>
    <definedName name="A5_A_L23">Diseño!$HS$26</definedName>
    <definedName name="A5_A_L24">Diseño!$HS$27</definedName>
    <definedName name="A5_A_L25">Diseño!$HS$28</definedName>
    <definedName name="A5_A_L26">Diseño!$HS$29</definedName>
    <definedName name="A5_A_L27">Diseño!$HS$30</definedName>
    <definedName name="A5_A_L28">Diseño!$HS$31</definedName>
    <definedName name="A5_A_L29">Diseño!$HS$32</definedName>
    <definedName name="A5_A_L3">Diseño!$HS$6</definedName>
    <definedName name="A5_A_L30">Diseño!$HS$33</definedName>
    <definedName name="A5_A_L31">Diseño!$HS$34</definedName>
    <definedName name="A5_A_L32">Diseño!$HS$35</definedName>
    <definedName name="A5_A_L33">Diseño!$HS$36</definedName>
    <definedName name="A5_A_L34">Diseño!$HS$37</definedName>
    <definedName name="A5_A_L35">Diseño!$HS$38</definedName>
    <definedName name="A5_A_L36">Diseño!$HS$39</definedName>
    <definedName name="A5_A_L37">Diseño!$HS$40</definedName>
    <definedName name="A5_A_L38">Diseño!$HS$41</definedName>
    <definedName name="A5_A_L39">Diseño!$HS$42</definedName>
    <definedName name="A5_A_L4">Diseño!$HS$7</definedName>
    <definedName name="A5_A_L40">Diseño!$HS$43</definedName>
    <definedName name="A5_A_L5">Diseño!$HS$8</definedName>
    <definedName name="A5_A_L6">Diseño!$HS$9</definedName>
    <definedName name="A5_A_L7">Diseño!$HS$10</definedName>
    <definedName name="A5_A_L8">Diseño!$HS$11</definedName>
    <definedName name="A5_A_L9">Diseño!$HS$12</definedName>
    <definedName name="A5_B">Diseño!$HU$4:$HU$43</definedName>
    <definedName name="A5_B_L1">Diseño!$HU$4</definedName>
    <definedName name="A5_B_L10">Diseño!$HU$13</definedName>
    <definedName name="A5_B_L11">Diseño!$HU$14</definedName>
    <definedName name="A5_B_L12">Diseño!$HU$15</definedName>
    <definedName name="A5_B_L13">Diseño!$HU$16</definedName>
    <definedName name="A5_B_L14">Diseño!$HU$17</definedName>
    <definedName name="A5_B_L15">Diseño!$HU$18</definedName>
    <definedName name="A5_B_L16">Diseño!$HU$19</definedName>
    <definedName name="A5_B_L17">Diseño!$HU$20</definedName>
    <definedName name="A5_B_L18">Diseño!$HU$21</definedName>
    <definedName name="A5_B_L19">Diseño!$HU$22</definedName>
    <definedName name="A5_B_L2">Diseño!$HU$5</definedName>
    <definedName name="A5_B_L20">Diseño!$HU$23</definedName>
    <definedName name="A5_B_L21">Diseño!$HU$24</definedName>
    <definedName name="A5_B_L22">Diseño!$HU$25</definedName>
    <definedName name="A5_B_L23">Diseño!$HU$26</definedName>
    <definedName name="A5_B_L24">Diseño!$HU$27</definedName>
    <definedName name="A5_B_L25">Diseño!$HU$28</definedName>
    <definedName name="A5_B_L26">Diseño!$HU$29</definedName>
    <definedName name="A5_B_L27">Diseño!$HU$30</definedName>
    <definedName name="A5_B_L28">Diseño!$HU$31</definedName>
    <definedName name="A5_B_L29">Diseño!$HU$32</definedName>
    <definedName name="A5_B_L3">Diseño!$HU$6</definedName>
    <definedName name="A5_B_L30">Diseño!$HU$33</definedName>
    <definedName name="A5_B_L31">Diseño!$HU$34</definedName>
    <definedName name="A5_B_L32">Diseño!$HU$35</definedName>
    <definedName name="A5_B_L33">Diseño!$HU$36</definedName>
    <definedName name="A5_B_L34">Diseño!$HU$37</definedName>
    <definedName name="A5_B_L35">Diseño!$HU$38</definedName>
    <definedName name="A5_B_L36">Diseño!$HU$39</definedName>
    <definedName name="A5_B_L37">Diseño!$HU$40</definedName>
    <definedName name="A5_B_L38">Diseño!$HU$41</definedName>
    <definedName name="A5_B_L39">Diseño!$HU$42</definedName>
    <definedName name="A5_B_L4">Diseño!$HU$7</definedName>
    <definedName name="A5_B_L40">Diseño!$HU$43</definedName>
    <definedName name="A5_B_L5">Diseño!$HU$8</definedName>
    <definedName name="A5_B_L6">Diseño!$HU$9</definedName>
    <definedName name="A5_B_L7">Diseño!$HU$10</definedName>
    <definedName name="A5_B_L8">Diseño!$HU$11</definedName>
    <definedName name="A5_B_L9">Diseño!$HU$12</definedName>
    <definedName name="A5_C">Diseño!$HW$4:$HW$43</definedName>
    <definedName name="A5_C_L1">Diseño!$HW$4</definedName>
    <definedName name="A5_C_L10">Diseño!$HW$13</definedName>
    <definedName name="A5_C_L11">Diseño!$HW$14</definedName>
    <definedName name="A5_C_L12">Diseño!$HW$15</definedName>
    <definedName name="A5_C_L13">Diseño!$HW$16</definedName>
    <definedName name="A5_C_L14">Diseño!$HW$17</definedName>
    <definedName name="A5_C_L15">Diseño!$HW$18</definedName>
    <definedName name="A5_C_L16">Diseño!$HW$19</definedName>
    <definedName name="A5_C_L17">Diseño!$HW$20</definedName>
    <definedName name="A5_C_L18">Diseño!$HW$21</definedName>
    <definedName name="A5_C_L19">Diseño!$HW$22</definedName>
    <definedName name="A5_C_L2">Diseño!$HW$5</definedName>
    <definedName name="A5_C_L20">Diseño!$HW$23</definedName>
    <definedName name="A5_C_L21">Diseño!$HW$24</definedName>
    <definedName name="A5_C_L22">Diseño!$HW$25</definedName>
    <definedName name="A5_C_L23">Diseño!$HW$26</definedName>
    <definedName name="A5_C_L24">Diseño!$HW$27</definedName>
    <definedName name="A5_C_L25">Diseño!$HW$28</definedName>
    <definedName name="A5_C_L26">Diseño!$HW$29</definedName>
    <definedName name="A5_C_L27">Diseño!$HW$30</definedName>
    <definedName name="A5_C_L28">Diseño!$HW$31</definedName>
    <definedName name="A5_C_L29">Diseño!$HW$32</definedName>
    <definedName name="A5_C_L3">Diseño!$HW$6</definedName>
    <definedName name="A5_C_L30">Diseño!$HW$33</definedName>
    <definedName name="A5_C_L31">Diseño!$HW$34</definedName>
    <definedName name="A5_C_L32">Diseño!$HW$35</definedName>
    <definedName name="A5_C_L33">Diseño!$HW$36</definedName>
    <definedName name="A5_C_L34">Diseño!$HW$37</definedName>
    <definedName name="A5_C_L35">Diseño!$HW$38</definedName>
    <definedName name="A5_C_L36">Diseño!$HW$39</definedName>
    <definedName name="A5_C_L37">Diseño!$HW$40</definedName>
    <definedName name="A5_C_L38">Diseño!$HW$41</definedName>
    <definedName name="A5_C_L39">Diseño!$HW$42</definedName>
    <definedName name="A5_C_L4">Diseño!$HW$7</definedName>
    <definedName name="A5_C_L40">Diseño!$HW$43</definedName>
    <definedName name="A5_C_L5">Diseño!$HW$8</definedName>
    <definedName name="A5_C_L6">Diseño!$HW$9</definedName>
    <definedName name="A5_C_L7">Diseño!$HW$10</definedName>
    <definedName name="A5_C_L8">Diseño!$HW$11</definedName>
    <definedName name="A5_C_L9">Diseño!$HW$12</definedName>
    <definedName name="A5_D">Diseño!$HY$4:$HY$43</definedName>
    <definedName name="A5_D_L1">Diseño!$HY$4</definedName>
    <definedName name="A5_D_L10">Diseño!$HY$13</definedName>
    <definedName name="A5_D_L11">Diseño!$HY$14</definedName>
    <definedName name="A5_D_L12">Diseño!$HY$15</definedName>
    <definedName name="A5_D_L13">Diseño!$HY$16</definedName>
    <definedName name="A5_D_L14">Diseño!$HY$17</definedName>
    <definedName name="A5_D_L15">Diseño!$HY$18</definedName>
    <definedName name="A5_D_L16">Diseño!$HY$19</definedName>
    <definedName name="A5_D_L17">Diseño!$HY$20</definedName>
    <definedName name="A5_D_L18">Diseño!$HY$21</definedName>
    <definedName name="A5_D_L19">Diseño!$HY$22</definedName>
    <definedName name="A5_D_L2">Diseño!$HY$5</definedName>
    <definedName name="A5_D_L20">Diseño!$HY$23</definedName>
    <definedName name="A5_D_L21">Diseño!$HY$24</definedName>
    <definedName name="A5_D_L22">Diseño!$HY$25</definedName>
    <definedName name="A5_D_L23">Diseño!$HY$26</definedName>
    <definedName name="A5_D_L24">Diseño!$HY$27</definedName>
    <definedName name="A5_D_L25">Diseño!$HY$28</definedName>
    <definedName name="A5_D_L26">Diseño!$HY$29</definedName>
    <definedName name="A5_D_L27">Diseño!$HY$30</definedName>
    <definedName name="A5_D_L28">Diseño!$HY$31</definedName>
    <definedName name="A5_D_L29">Diseño!$HY$32</definedName>
    <definedName name="A5_D_L3">Diseño!$HY$6</definedName>
    <definedName name="A5_D_L30">Diseño!$HY$33</definedName>
    <definedName name="A5_D_L31">Diseño!$HY$34</definedName>
    <definedName name="A5_D_L32">Diseño!$HY$35</definedName>
    <definedName name="A5_D_L33">Diseño!$HY$36</definedName>
    <definedName name="A5_D_L34">Diseño!$HY$37</definedName>
    <definedName name="A5_D_L35">Diseño!$HY$38</definedName>
    <definedName name="A5_D_L36">Diseño!$HY$39</definedName>
    <definedName name="A5_D_L37">Diseño!$HY$40</definedName>
    <definedName name="A5_D_L38">Diseño!$HY$41</definedName>
    <definedName name="A5_D_L39">Diseño!$HY$42</definedName>
    <definedName name="A5_D_L4">Diseño!$HY$7</definedName>
    <definedName name="A5_D_L40">Diseño!$HY$43</definedName>
    <definedName name="A5_D_L5">Diseño!$HY$8</definedName>
    <definedName name="A5_D_L6">Diseño!$HY$9</definedName>
    <definedName name="A5_D_L7">Diseño!$HY$10</definedName>
    <definedName name="A5_D_L8">Diseño!$HY$11</definedName>
    <definedName name="A5_D_L9">Diseño!$HY$12</definedName>
    <definedName name="A5_L1">'1'!$K$5</definedName>
    <definedName name="A5_L10">'1'!$K$14</definedName>
    <definedName name="A5_L11">'1'!$K$15</definedName>
    <definedName name="A5_L12">'1'!$K$16</definedName>
    <definedName name="A5_L13">'1'!$K$17</definedName>
    <definedName name="A5_L14">'1'!$K$18</definedName>
    <definedName name="A5_L15">'1'!$K$19</definedName>
    <definedName name="A5_L16">'1'!$K$20</definedName>
    <definedName name="A5_L17">'1'!$K$21</definedName>
    <definedName name="A5_L18">'1'!$K$22</definedName>
    <definedName name="A5_L19">'1'!$K$23</definedName>
    <definedName name="A5_L2">'1'!$K$6</definedName>
    <definedName name="A5_L20">'1'!$K$24</definedName>
    <definedName name="A5_L21">'1'!$K$25</definedName>
    <definedName name="A5_L22">'1'!$K$26</definedName>
    <definedName name="A5_L23">'1'!$K$27</definedName>
    <definedName name="A5_L24">'1'!$K$28</definedName>
    <definedName name="A5_L25">'1'!$K$29</definedName>
    <definedName name="A5_L26">'1'!$K$30</definedName>
    <definedName name="A5_L27">'1'!$K$31</definedName>
    <definedName name="A5_L28">'1'!$K$32</definedName>
    <definedName name="A5_L29">'1'!$K$33</definedName>
    <definedName name="A5_L3">'1'!$K$7</definedName>
    <definedName name="A5_L30">'1'!$K$34</definedName>
    <definedName name="A5_L31">'1'!$K$35</definedName>
    <definedName name="A5_L32">'1'!$K$36</definedName>
    <definedName name="A5_L33">'1'!$K$37</definedName>
    <definedName name="A5_L34">'1'!$K$38</definedName>
    <definedName name="A5_L35">'1'!$K$39</definedName>
    <definedName name="A5_L36">'1'!$K$40</definedName>
    <definedName name="A5_L37">'1'!$K$41</definedName>
    <definedName name="A5_L38">'1'!$K$42</definedName>
    <definedName name="A5_L39">'1'!$K$43</definedName>
    <definedName name="A5_L4">'1'!$K$8</definedName>
    <definedName name="A5_L40">'1'!$K$44</definedName>
    <definedName name="A5_L5">'1'!$K$9</definedName>
    <definedName name="A5_L6">'1'!$K$10</definedName>
    <definedName name="A5_L7">'1'!$K$11</definedName>
    <definedName name="A5_L8">'1'!$K$12</definedName>
    <definedName name="A5_L9">'1'!$K$13</definedName>
    <definedName name="A5_X">Diseño!$IE$4:$IE$43</definedName>
    <definedName name="A5_X_L1">Diseño!$IE$4</definedName>
    <definedName name="A5_X_L10">Diseño!$IE$13</definedName>
    <definedName name="A5_X_L11">Diseño!$IE$14</definedName>
    <definedName name="A5_X_L12">Diseño!$IE$15</definedName>
    <definedName name="A5_X_L13">Diseño!$IE$16</definedName>
    <definedName name="A5_X_L14">Diseño!$IE$17</definedName>
    <definedName name="A5_X_L15">Diseño!$IE$18</definedName>
    <definedName name="A5_X_L16">Diseño!$IE$19</definedName>
    <definedName name="A5_X_L17">Diseño!$IE$20</definedName>
    <definedName name="A5_X_L18">Diseño!$IE$21</definedName>
    <definedName name="A5_X_L19">Diseño!$IE$22</definedName>
    <definedName name="A5_X_L2">Diseño!$IE$5</definedName>
    <definedName name="A5_X_L20">Diseño!$IE$23</definedName>
    <definedName name="A5_X_L21">Diseño!$IE$24</definedName>
    <definedName name="A5_X_L22">Diseño!$IE$25</definedName>
    <definedName name="A5_X_L23">Diseño!$IE$26</definedName>
    <definedName name="A5_X_L24">Diseño!$IE$27</definedName>
    <definedName name="A5_X_L25">Diseño!$IE$28</definedName>
    <definedName name="A5_X_L26">Diseño!$IE$29</definedName>
    <definedName name="A5_X_L27">Diseño!$IE$30</definedName>
    <definedName name="A5_X_L28">Diseño!$IE$31</definedName>
    <definedName name="A5_X_L29">Diseño!$IE$32</definedName>
    <definedName name="A5_X_L3">Diseño!$IE$6</definedName>
    <definedName name="A5_X_L30">Diseño!$IE$33</definedName>
    <definedName name="A5_X_L31">Diseño!$IE$34</definedName>
    <definedName name="A5_X_L32">Diseño!$IE$35</definedName>
    <definedName name="A5_X_L33">Diseño!$IE$36</definedName>
    <definedName name="A5_X_L34">Diseño!$IE$37</definedName>
    <definedName name="A5_X_L35">Diseño!$IE$38</definedName>
    <definedName name="A5_X_L36">Diseño!$IE$39</definedName>
    <definedName name="A5_X_L37">Diseño!$IE$40</definedName>
    <definedName name="A5_X_L38">Diseño!$IE$41</definedName>
    <definedName name="A5_X_L39">Diseño!$IE$42</definedName>
    <definedName name="A5_X_L4">Diseño!$IE$7</definedName>
    <definedName name="A5_X_L40">Diseño!$IE$43</definedName>
    <definedName name="A5_X_L5">Diseño!$IE$8</definedName>
    <definedName name="A5_X_L6">Diseño!$IE$9</definedName>
    <definedName name="A5_X_L7">Diseño!$IE$10</definedName>
    <definedName name="A5_X_L8">Diseño!$IE$11</definedName>
    <definedName name="A5_X_L9">Diseño!$IE$12</definedName>
    <definedName name="A5_Y">Diseño!$IA$4:$IA$43</definedName>
    <definedName name="A5_Y_L1">Diseño!$IA$4</definedName>
    <definedName name="A5_Y_L10">Diseño!$IA$13</definedName>
    <definedName name="A5_Y_L11">Diseño!$IA$14</definedName>
    <definedName name="A5_Y_L12">Diseño!$IA$15</definedName>
    <definedName name="A5_Y_L13">Diseño!$IA$16</definedName>
    <definedName name="A5_Y_L14">Diseño!$IA$17</definedName>
    <definedName name="A5_Y_L15">Diseño!$IA$18</definedName>
    <definedName name="A5_Y_L16">Diseño!$IA$19</definedName>
    <definedName name="A5_Y_L17">Diseño!$IA$20</definedName>
    <definedName name="A5_Y_L18">Diseño!$IA$21</definedName>
    <definedName name="A5_Y_L19">Diseño!$IA$22</definedName>
    <definedName name="A5_Y_L2">Diseño!$IA$5</definedName>
    <definedName name="A5_Y_L20">Diseño!$IA$23</definedName>
    <definedName name="A5_Y_L21">Diseño!$IA$24</definedName>
    <definedName name="A5_Y_L22">Diseño!$IA$25</definedName>
    <definedName name="A5_Y_L23">Diseño!$IA$26</definedName>
    <definedName name="A5_Y_L24">Diseño!$IA$27</definedName>
    <definedName name="A5_Y_L25">Diseño!$IA$28</definedName>
    <definedName name="A5_Y_L26">Diseño!$IA$29</definedName>
    <definedName name="A5_Y_L27">Diseño!$IA$30</definedName>
    <definedName name="A5_Y_L28">Diseño!$IA$31</definedName>
    <definedName name="A5_Y_L29">Diseño!$IA$32</definedName>
    <definedName name="A5_Y_L3">Diseño!$IA$6</definedName>
    <definedName name="A5_Y_L30">Diseño!$IA$33</definedName>
    <definedName name="A5_Y_L31">Diseño!$IA$34</definedName>
    <definedName name="A5_Y_L32">Diseño!$IA$35</definedName>
    <definedName name="A5_Y_L33">Diseño!$IA$36</definedName>
    <definedName name="A5_Y_L34">Diseño!$IA$37</definedName>
    <definedName name="A5_Y_L35">Diseño!$IA$38</definedName>
    <definedName name="A5_Y_L36">Diseño!$IA$39</definedName>
    <definedName name="A5_Y_L37">Diseño!$IA$40</definedName>
    <definedName name="A5_Y_L38">Diseño!$IA$41</definedName>
    <definedName name="A5_Y_L39">Diseño!$IA$42</definedName>
    <definedName name="A5_Y_L4">Diseño!$IA$7</definedName>
    <definedName name="A5_Y_L40">Diseño!$IA$43</definedName>
    <definedName name="A5_Y_L5">Diseño!$IA$8</definedName>
    <definedName name="A5_Y_L6">Diseño!$IA$9</definedName>
    <definedName name="A5_Y_L7">Diseño!$IA$10</definedName>
    <definedName name="A5_Y_L8">Diseño!$IA$11</definedName>
    <definedName name="A5_Y_L9">Diseño!$IA$12</definedName>
    <definedName name="A5_Z">Diseño!$IC$4:$IC$43</definedName>
    <definedName name="A5_Z_L1">Diseño!$IC$4</definedName>
    <definedName name="A5_Z_L10">Diseño!$IC$13</definedName>
    <definedName name="A5_Z_L11">Diseño!$IC$14</definedName>
    <definedName name="A5_Z_L12">Diseño!$IC$15</definedName>
    <definedName name="A5_Z_L13">Diseño!$IC$16</definedName>
    <definedName name="A5_Z_L14">Diseño!$IC$17</definedName>
    <definedName name="A5_Z_L15">Diseño!$IC$18</definedName>
    <definedName name="A5_Z_L16">Diseño!$IC$19</definedName>
    <definedName name="A5_Z_L17">Diseño!$IC$20</definedName>
    <definedName name="A5_Z_L18">Diseño!$IC$21</definedName>
    <definedName name="A5_Z_L19">Diseño!$IC$22</definedName>
    <definedName name="A5_Z_L2">Diseño!$IC$5</definedName>
    <definedName name="A5_Z_L20">Diseño!$IC$23</definedName>
    <definedName name="A5_Z_L21">Diseño!$IC$24</definedName>
    <definedName name="A5_Z_L22">Diseño!$IC$25</definedName>
    <definedName name="A5_Z_L23">Diseño!$IC$26</definedName>
    <definedName name="A5_Z_L24">Diseño!$IC$27</definedName>
    <definedName name="A5_Z_L25">Diseño!$IC$28</definedName>
    <definedName name="A5_Z_L26">Diseño!$IC$29</definedName>
    <definedName name="A5_Z_L27">Diseño!$IC$30</definedName>
    <definedName name="A5_Z_L28">Diseño!$IC$31</definedName>
    <definedName name="A5_Z_L29">Diseño!$IC$32</definedName>
    <definedName name="A5_Z_L3">Diseño!$IC$6</definedName>
    <definedName name="A5_Z_L30">Diseño!$IC$33</definedName>
    <definedName name="A5_Z_L31">Diseño!$IC$34</definedName>
    <definedName name="A5_Z_L32">Diseño!$IC$35</definedName>
    <definedName name="A5_Z_L33">Diseño!$IC$36</definedName>
    <definedName name="A5_Z_L34">Diseño!$IC$37</definedName>
    <definedName name="A5_Z_L35">Diseño!$IC$38</definedName>
    <definedName name="A5_Z_L36">Diseño!$IC$39</definedName>
    <definedName name="A5_Z_L37">Diseño!$IC$40</definedName>
    <definedName name="A5_Z_L38">Diseño!$IC$41</definedName>
    <definedName name="A5_Z_L39">Diseño!$IC$42</definedName>
    <definedName name="A5_Z_L4">Diseño!$IC$7</definedName>
    <definedName name="A5_Z_L40">Diseño!$IC$43</definedName>
    <definedName name="A5_Z_L5">Diseño!$IC$8</definedName>
    <definedName name="A5_Z_L6">Diseño!$IC$9</definedName>
    <definedName name="A5_Z_L7">Diseño!$IC$10</definedName>
    <definedName name="A5_Z_L8">Diseño!$IC$11</definedName>
    <definedName name="A5_Z_L9">Diseño!$IC$12</definedName>
    <definedName name="A6_A">Diseño!$IG$4:$IG$43</definedName>
    <definedName name="A6_A_L1">Diseño!$IG$4</definedName>
    <definedName name="A6_A_L10">Diseño!$IG$13</definedName>
    <definedName name="A6_A_L11">Diseño!$IG$14</definedName>
    <definedName name="A6_A_L12">Diseño!$IG$15</definedName>
    <definedName name="A6_A_L13">Diseño!$IG$16</definedName>
    <definedName name="A6_A_L14">Diseño!$IG$17</definedName>
    <definedName name="A6_A_L15">Diseño!$IG$18</definedName>
    <definedName name="A6_A_L16">Diseño!$IG$19</definedName>
    <definedName name="A6_A_L17">Diseño!$IG$20</definedName>
    <definedName name="A6_A_L18">Diseño!$IG$21</definedName>
    <definedName name="A6_A_L19">Diseño!$IG$22</definedName>
    <definedName name="A6_A_L2">Diseño!$IG$5</definedName>
    <definedName name="A6_A_L20">Diseño!$IG$23</definedName>
    <definedName name="A6_A_L21">Diseño!$IG$24</definedName>
    <definedName name="A6_A_L22">Diseño!$IG$25</definedName>
    <definedName name="A6_A_L23">Diseño!$IG$26</definedName>
    <definedName name="A6_A_L24">Diseño!$IG$27</definedName>
    <definedName name="A6_A_L25">Diseño!$IG$28</definedName>
    <definedName name="A6_A_L26">Diseño!$IG$29</definedName>
    <definedName name="A6_A_L27">Diseño!$IG$30</definedName>
    <definedName name="A6_A_L28">Diseño!$IG$31</definedName>
    <definedName name="A6_A_L29">Diseño!$IG$32</definedName>
    <definedName name="A6_A_L3">Diseño!$IG$6</definedName>
    <definedName name="A6_A_L30">Diseño!$IG$33</definedName>
    <definedName name="A6_A_L31">Diseño!$IG$34</definedName>
    <definedName name="A6_A_L32">Diseño!$IG$35</definedName>
    <definedName name="A6_A_L33">Diseño!$IG$36</definedName>
    <definedName name="A6_A_L34">Diseño!$IG$37</definedName>
    <definedName name="A6_A_L35">Diseño!$IG$38</definedName>
    <definedName name="A6_A_L36">Diseño!$IG$39</definedName>
    <definedName name="A6_A_L37">Diseño!$IG$40</definedName>
    <definedName name="A6_A_L38">Diseño!$IG$41</definedName>
    <definedName name="A6_A_L39">Diseño!$IG$42</definedName>
    <definedName name="A6_A_L4">Diseño!$IG$7</definedName>
    <definedName name="A6_A_L40">Diseño!$IG$43</definedName>
    <definedName name="A6_A_L5">Diseño!$IG$8</definedName>
    <definedName name="A6_A_L6">Diseño!$IG$9</definedName>
    <definedName name="A6_A_L7">Diseño!$IG$10</definedName>
    <definedName name="A6_A_L8">Diseño!$IG$11</definedName>
    <definedName name="A6_A_L9">Diseño!$IG$12</definedName>
    <definedName name="A6_B">Diseño!$II$4:$II$43</definedName>
    <definedName name="A6_B_L1">Diseño!$II$4</definedName>
    <definedName name="A6_B_L10">Diseño!$II$13</definedName>
    <definedName name="A6_B_L11">Diseño!$II$14</definedName>
    <definedName name="A6_B_L12">Diseño!$II$15</definedName>
    <definedName name="A6_B_L13">Diseño!$II$16</definedName>
    <definedName name="A6_B_L14">Diseño!$II$17</definedName>
    <definedName name="A6_B_L15">Diseño!$II$18</definedName>
    <definedName name="A6_B_L16">Diseño!$II$19</definedName>
    <definedName name="A6_B_L17">Diseño!$II$20</definedName>
    <definedName name="A6_B_L18">Diseño!$II$21</definedName>
    <definedName name="A6_B_L19">Diseño!$II$22</definedName>
    <definedName name="A6_B_L2">Diseño!$II$5</definedName>
    <definedName name="A6_B_L20">Diseño!$II$23</definedName>
    <definedName name="A6_B_L21">Diseño!$II$24</definedName>
    <definedName name="A6_B_L22">Diseño!$II$25</definedName>
    <definedName name="A6_B_L23">Diseño!$II$26</definedName>
    <definedName name="A6_B_L24">Diseño!$II$27</definedName>
    <definedName name="A6_B_L25">Diseño!$II$28</definedName>
    <definedName name="A6_B_L26">Diseño!$II$29</definedName>
    <definedName name="A6_B_L27">Diseño!$II$30</definedName>
    <definedName name="A6_B_L28">Diseño!$II$31</definedName>
    <definedName name="A6_B_L29">Diseño!$II$32</definedName>
    <definedName name="A6_B_L3">Diseño!$II$6</definedName>
    <definedName name="A6_B_L30">Diseño!$II$33</definedName>
    <definedName name="A6_B_L31">Diseño!$II$34</definedName>
    <definedName name="A6_B_L32">Diseño!$II$35</definedName>
    <definedName name="A6_B_L33">Diseño!$II$36</definedName>
    <definedName name="A6_B_L34">Diseño!$II$37</definedName>
    <definedName name="A6_B_L35">Diseño!$II$38</definedName>
    <definedName name="A6_B_L36">Diseño!$II$39</definedName>
    <definedName name="A6_B_L37">Diseño!$II$40</definedName>
    <definedName name="A6_B_L38">Diseño!$II$41</definedName>
    <definedName name="A6_B_L39">Diseño!$II$42</definedName>
    <definedName name="A6_B_L4">Diseño!$II$7</definedName>
    <definedName name="A6_B_L40">Diseño!$II$43</definedName>
    <definedName name="A6_B_L5">Diseño!$II$8</definedName>
    <definedName name="A6_B_L6">Diseño!$II$9</definedName>
    <definedName name="A6_B_L7">Diseño!$II$10</definedName>
    <definedName name="A6_B_L8">Diseño!$II$11</definedName>
    <definedName name="A6_B_L9">Diseño!$II$12</definedName>
    <definedName name="A6_C">Diseño!$IK$4:$IK$43</definedName>
    <definedName name="A6_C_L1">Diseño!$IK$4</definedName>
    <definedName name="A6_C_L10">Diseño!$IK$13</definedName>
    <definedName name="A6_C_L11">Diseño!$IK$14</definedName>
    <definedName name="A6_C_L12">Diseño!$IK$15</definedName>
    <definedName name="A6_C_L13">Diseño!$IK$16</definedName>
    <definedName name="A6_C_L14">Diseño!$IK$17</definedName>
    <definedName name="A6_C_L15">Diseño!$IK$18</definedName>
    <definedName name="A6_C_L16">Diseño!$IK$19</definedName>
    <definedName name="A6_C_L17">Diseño!$IK$20</definedName>
    <definedName name="A6_C_L18">Diseño!$IK$21</definedName>
    <definedName name="A6_C_L19">Diseño!$IK$22</definedName>
    <definedName name="A6_C_L2">Diseño!$IK$5</definedName>
    <definedName name="A6_C_L20">Diseño!$IK$23</definedName>
    <definedName name="A6_C_L21">Diseño!$IK$24</definedName>
    <definedName name="A6_C_L22">Diseño!$IK$25</definedName>
    <definedName name="A6_C_L23">Diseño!$IK$26</definedName>
    <definedName name="A6_C_L24">Diseño!$IK$27</definedName>
    <definedName name="A6_C_L25">Diseño!$IK$28</definedName>
    <definedName name="A6_C_L26">Diseño!$IK$29</definedName>
    <definedName name="A6_C_L27">Diseño!$IK$30</definedName>
    <definedName name="A6_C_L28">Diseño!$IK$31</definedName>
    <definedName name="A6_C_L29">Diseño!$IK$32</definedName>
    <definedName name="A6_C_L3">Diseño!$IK$6</definedName>
    <definedName name="A6_C_L30">Diseño!$IK$33</definedName>
    <definedName name="A6_C_L31">Diseño!$IK$34</definedName>
    <definedName name="A6_C_L32">Diseño!$IK$35</definedName>
    <definedName name="A6_C_L33">Diseño!$IK$36</definedName>
    <definedName name="A6_C_L34">Diseño!$IK$37</definedName>
    <definedName name="A6_C_L35">Diseño!$IK$38</definedName>
    <definedName name="A6_C_L36">Diseño!$IK$39</definedName>
    <definedName name="A6_C_L37">Diseño!$IK$40</definedName>
    <definedName name="A6_C_L38">Diseño!$IK$41</definedName>
    <definedName name="A6_C_L39">Diseño!$IK$42</definedName>
    <definedName name="A6_C_L4">Diseño!$IK$7</definedName>
    <definedName name="A6_C_L40">Diseño!$IK$43</definedName>
    <definedName name="A6_C_L5">Diseño!$IK$8</definedName>
    <definedName name="A6_C_L6">Diseño!$IK$9</definedName>
    <definedName name="A6_C_L7">Diseño!$IK$10</definedName>
    <definedName name="A6_C_L8">Diseño!$IK$11</definedName>
    <definedName name="A6_C_L9">Diseño!$IK$12</definedName>
    <definedName name="A6_D">Diseño!$IM$4:$IM$43</definedName>
    <definedName name="A6_D_L1">Diseño!$IM$4</definedName>
    <definedName name="A6_D_L10">Diseño!$IM$13</definedName>
    <definedName name="A6_D_L11">Diseño!$IM$14</definedName>
    <definedName name="A6_D_L12">Diseño!$IM$15</definedName>
    <definedName name="A6_D_L13">Diseño!$IM$16</definedName>
    <definedName name="A6_D_L14">Diseño!$IM$17</definedName>
    <definedName name="A6_D_L15">Diseño!$IM$18</definedName>
    <definedName name="A6_D_L16">Diseño!$IM$19</definedName>
    <definedName name="A6_D_L17">Diseño!$IM$20</definedName>
    <definedName name="A6_D_L18">Diseño!$IM$21</definedName>
    <definedName name="A6_D_L19">Diseño!$IM$22</definedName>
    <definedName name="A6_D_L2">Diseño!$IM$5</definedName>
    <definedName name="A6_D_L20">Diseño!$IM$23</definedName>
    <definedName name="A6_D_L21">Diseño!$IM$24</definedName>
    <definedName name="A6_D_L22">Diseño!$IM$25</definedName>
    <definedName name="A6_D_L23">Diseño!$IM$26</definedName>
    <definedName name="A6_D_L24">Diseño!$IM$27</definedName>
    <definedName name="A6_D_L25">Diseño!$IM$28</definedName>
    <definedName name="A6_D_L26">Diseño!$IM$29</definedName>
    <definedName name="A6_D_L27">Diseño!$IM$30</definedName>
    <definedName name="A6_D_L28">Diseño!$IM$31</definedName>
    <definedName name="A6_D_L29">Diseño!$IM$32</definedName>
    <definedName name="A6_D_L3">Diseño!$IM$6</definedName>
    <definedName name="A6_D_L30">Diseño!$IM$33</definedName>
    <definedName name="A6_D_L31">Diseño!$IM$34</definedName>
    <definedName name="A6_D_L32">Diseño!$IM$35</definedName>
    <definedName name="A6_D_L33">Diseño!$IM$36</definedName>
    <definedName name="A6_D_L34">Diseño!$IM$37</definedName>
    <definedName name="A6_D_L35">Diseño!$IM$38</definedName>
    <definedName name="A6_D_L36">Diseño!$IM$39</definedName>
    <definedName name="A6_D_L37">Diseño!$IM$40</definedName>
    <definedName name="A6_D_L38">Diseño!$IM$41</definedName>
    <definedName name="A6_D_L39">Diseño!$IM$42</definedName>
    <definedName name="A6_D_L4">Diseño!$IM$7</definedName>
    <definedName name="A6_D_L40">Diseño!$IM$43</definedName>
    <definedName name="A6_D_L5">Diseño!$IM$8</definedName>
    <definedName name="A6_D_L6">Diseño!$IM$9</definedName>
    <definedName name="A6_D_L7">Diseño!$IM$10</definedName>
    <definedName name="A6_D_L8">Diseño!$IM$11</definedName>
    <definedName name="A6_D_L9">Diseño!$IM$12</definedName>
    <definedName name="A6_L1">'1'!$L$5</definedName>
    <definedName name="A6_L10">'1'!$L$14</definedName>
    <definedName name="A6_L11">'1'!$L$15</definedName>
    <definedName name="A6_L12">'1'!$L$16</definedName>
    <definedName name="A6_L13">'1'!$L$17</definedName>
    <definedName name="A6_L14">'1'!$L$18</definedName>
    <definedName name="A6_L15">'1'!$L$19</definedName>
    <definedName name="A6_L16">'1'!$L$20</definedName>
    <definedName name="A6_L17">'1'!$L$21</definedName>
    <definedName name="A6_L18">'1'!$L$22</definedName>
    <definedName name="A6_L19">'1'!$L$23</definedName>
    <definedName name="A6_L2">'1'!$L$6</definedName>
    <definedName name="A6_L20">'1'!$L$24</definedName>
    <definedName name="A6_L21">'1'!$L$25</definedName>
    <definedName name="A6_L22">'1'!$L$26</definedName>
    <definedName name="A6_L23">'1'!$L$27</definedName>
    <definedName name="A6_L24">'1'!$L$28</definedName>
    <definedName name="A6_L25">'1'!$L$29</definedName>
    <definedName name="A6_L26">'1'!$L$30</definedName>
    <definedName name="A6_L27">'1'!$L$31</definedName>
    <definedName name="A6_L28">'1'!$L$32</definedName>
    <definedName name="A6_L29">'1'!$L$33</definedName>
    <definedName name="A6_L3">'1'!$L$7</definedName>
    <definedName name="A6_L30">'1'!$L$34</definedName>
    <definedName name="A6_L31">'1'!$L$35</definedName>
    <definedName name="A6_L32">'1'!$L$36</definedName>
    <definedName name="A6_L33">'1'!$L$37</definedName>
    <definedName name="A6_L34">'1'!$L$38</definedName>
    <definedName name="A6_L35">'1'!$L$39</definedName>
    <definedName name="A6_L36">'1'!$L$40</definedName>
    <definedName name="A6_L37">'1'!$L$41</definedName>
    <definedName name="A6_L38">'1'!$L$42</definedName>
    <definedName name="A6_L39">'1'!$L$43</definedName>
    <definedName name="A6_L4">'1'!$L$8</definedName>
    <definedName name="A6_L40">'1'!$L$44</definedName>
    <definedName name="A6_L5">'1'!$L$9</definedName>
    <definedName name="A6_L6">'1'!$L$10</definedName>
    <definedName name="A6_L7">'1'!$L$11</definedName>
    <definedName name="A6_L8">'1'!$L$12</definedName>
    <definedName name="A6_L9">'1'!$L$13</definedName>
    <definedName name="A6_X">Diseño!$IS$4:$IS$43</definedName>
    <definedName name="A6_X_L1">Diseño!$IS$4</definedName>
    <definedName name="A6_X_L10">Diseño!$IS$13</definedName>
    <definedName name="A6_X_L11">Diseño!$IS$14</definedName>
    <definedName name="A6_X_L12">Diseño!$IS$15</definedName>
    <definedName name="A6_X_L13">Diseño!$IS$16</definedName>
    <definedName name="A6_X_L14">Diseño!$IS$17</definedName>
    <definedName name="A6_X_L15">Diseño!$IS$18</definedName>
    <definedName name="A6_X_L16">Diseño!$IS$19</definedName>
    <definedName name="A6_X_L17">Diseño!$IS$20</definedName>
    <definedName name="A6_X_L18">Diseño!$IS$21</definedName>
    <definedName name="A6_X_L19">Diseño!$IS$22</definedName>
    <definedName name="A6_X_L2">Diseño!$IS$5</definedName>
    <definedName name="A6_X_L20">Diseño!$IS$23</definedName>
    <definedName name="A6_X_L21">Diseño!$IS$24</definedName>
    <definedName name="A6_X_L22">Diseño!$IS$25</definedName>
    <definedName name="A6_X_L23">Diseño!$IS$26</definedName>
    <definedName name="A6_X_L24">Diseño!$IS$27</definedName>
    <definedName name="A6_X_L25">Diseño!$IS$28</definedName>
    <definedName name="A6_X_L26">Diseño!$IS$29</definedName>
    <definedName name="A6_X_L27">Diseño!$IS$30</definedName>
    <definedName name="A6_X_L28">Diseño!$IS$31</definedName>
    <definedName name="A6_X_L29">Diseño!$IS$32</definedName>
    <definedName name="A6_X_L3">Diseño!$IS$6</definedName>
    <definedName name="A6_X_L30">Diseño!$IS$33</definedName>
    <definedName name="A6_X_L31">Diseño!$IS$34</definedName>
    <definedName name="A6_X_L32">Diseño!$IS$35</definedName>
    <definedName name="A6_X_L33">Diseño!$IS$36</definedName>
    <definedName name="A6_X_L34">Diseño!$IS$37</definedName>
    <definedName name="A6_X_L35">Diseño!$IS$38</definedName>
    <definedName name="A6_X_L36">Diseño!$IS$39</definedName>
    <definedName name="A6_X_L37">Diseño!$IS$40</definedName>
    <definedName name="A6_X_L38">Diseño!$IS$41</definedName>
    <definedName name="A6_X_L39">Diseño!$IS$42</definedName>
    <definedName name="A6_X_L4">Diseño!$IS$7</definedName>
    <definedName name="A6_X_L40">Diseño!$IS$43</definedName>
    <definedName name="A6_X_L5">Diseño!$IS$8</definedName>
    <definedName name="A6_X_L6">Diseño!$IS$9</definedName>
    <definedName name="A6_X_L7">Diseño!$IS$10</definedName>
    <definedName name="A6_X_L8">Diseño!$IS$11</definedName>
    <definedName name="A6_X_L9">Diseño!$IS$12</definedName>
    <definedName name="A6_Y">Diseño!$IO$4:$IO$43</definedName>
    <definedName name="A6_Y_L1">Diseño!$IO$4</definedName>
    <definedName name="A6_Y_L10">Diseño!$IO$13</definedName>
    <definedName name="A6_Y_L11">Diseño!$IO$14</definedName>
    <definedName name="A6_Y_L12">Diseño!$IO$15</definedName>
    <definedName name="A6_Y_L13">Diseño!$IO$16</definedName>
    <definedName name="A6_Y_L14">Diseño!$IO$17</definedName>
    <definedName name="A6_Y_L15">Diseño!$IO$18</definedName>
    <definedName name="A6_Y_L16">Diseño!$IO$19</definedName>
    <definedName name="A6_Y_L17">Diseño!$IO$20</definedName>
    <definedName name="A6_Y_L18">Diseño!$IO$21</definedName>
    <definedName name="A6_Y_L19">Diseño!$IO$22</definedName>
    <definedName name="A6_Y_L2">Diseño!$IO$5</definedName>
    <definedName name="A6_Y_L20">Diseño!$IO$23</definedName>
    <definedName name="A6_Y_L21">Diseño!$IO$24</definedName>
    <definedName name="A6_Y_L22">Diseño!$IO$25</definedName>
    <definedName name="A6_Y_L23">Diseño!$IO$26</definedName>
    <definedName name="A6_Y_L24">Diseño!$IO$27</definedName>
    <definedName name="A6_Y_L25">Diseño!$IO$28</definedName>
    <definedName name="A6_Y_L26">Diseño!$IO$29</definedName>
    <definedName name="A6_Y_L27">Diseño!$IO$30</definedName>
    <definedName name="A6_Y_L28">Diseño!$IO$31</definedName>
    <definedName name="A6_Y_L29">Diseño!$IO$32</definedName>
    <definedName name="A6_Y_L3">Diseño!$IO$6</definedName>
    <definedName name="A6_Y_L30">Diseño!$IO$33</definedName>
    <definedName name="A6_Y_L31">Diseño!$IO$34</definedName>
    <definedName name="A6_Y_L32">Diseño!$IO$35</definedName>
    <definedName name="A6_Y_L33">Diseño!$IO$36</definedName>
    <definedName name="A6_Y_L34">Diseño!$IO$37</definedName>
    <definedName name="A6_Y_L35">Diseño!$IO$38</definedName>
    <definedName name="A6_Y_L36">Diseño!$IO$39</definedName>
    <definedName name="A6_Y_L37">Diseño!$IO$40</definedName>
    <definedName name="A6_Y_L38">Diseño!$IO$41</definedName>
    <definedName name="A6_Y_L39">Diseño!$IO$42</definedName>
    <definedName name="A6_Y_L4">Diseño!$IO$7</definedName>
    <definedName name="A6_Y_L40">Diseño!$IO$43</definedName>
    <definedName name="A6_Y_L5">Diseño!$IO$8</definedName>
    <definedName name="A6_Y_L6">Diseño!$IO$9</definedName>
    <definedName name="A6_Y_L7">Diseño!$IO$10</definedName>
    <definedName name="A6_Y_L8">Diseño!$IO$11</definedName>
    <definedName name="A6_Y_L9">Diseño!$IO$12</definedName>
    <definedName name="A6_Z">Diseño!$IQ$4:$IQ$43</definedName>
    <definedName name="A6_Z_L1">Diseño!$IQ$4</definedName>
    <definedName name="A6_Z_L10">Diseño!$IQ$13</definedName>
    <definedName name="A6_Z_L11">Diseño!$IQ$14</definedName>
    <definedName name="A6_Z_L12">Diseño!$IQ$15</definedName>
    <definedName name="A6_Z_L13">Diseño!$IQ$16</definedName>
    <definedName name="A6_Z_L14">Diseño!$IQ$17</definedName>
    <definedName name="A6_Z_L15">Diseño!$IQ$18</definedName>
    <definedName name="A6_Z_L16">Diseño!$IQ$19</definedName>
    <definedName name="A6_Z_L17">Diseño!$IQ$20</definedName>
    <definedName name="A6_Z_L18">Diseño!$IQ$21</definedName>
    <definedName name="A6_Z_L19">Diseño!$IQ$22</definedName>
    <definedName name="A6_Z_L2">Diseño!$IQ$5</definedName>
    <definedName name="A6_Z_L20">Diseño!$IQ$23</definedName>
    <definedName name="A6_Z_L21">Diseño!$IQ$24</definedName>
    <definedName name="A6_Z_L22">Diseño!$IQ$25</definedName>
    <definedName name="A6_Z_L23">Diseño!$IQ$26</definedName>
    <definedName name="A6_Z_L24">Diseño!$IQ$27</definedName>
    <definedName name="A6_Z_L25">Diseño!$IQ$28</definedName>
    <definedName name="A6_Z_L26">Diseño!$IQ$29</definedName>
    <definedName name="A6_Z_L27">Diseño!$IQ$30</definedName>
    <definedName name="A6_Z_L28">Diseño!$IQ$31</definedName>
    <definedName name="A6_Z_L29">Diseño!$IQ$32</definedName>
    <definedName name="A6_Z_L3">Diseño!$IQ$6</definedName>
    <definedName name="A6_Z_L30">Diseño!$IQ$33</definedName>
    <definedName name="A6_Z_L31">Diseño!$IQ$34</definedName>
    <definedName name="A6_Z_L32">Diseño!$IQ$35</definedName>
    <definedName name="A6_Z_L33">Diseño!$IQ$36</definedName>
    <definedName name="A6_Z_L34">Diseño!$IQ$37</definedName>
    <definedName name="A6_Z_L35">Diseño!$IQ$38</definedName>
    <definedName name="A6_Z_L36">Diseño!$IQ$39</definedName>
    <definedName name="A6_Z_L37">Diseño!$IQ$40</definedName>
    <definedName name="A6_Z_L38">Diseño!$IQ$41</definedName>
    <definedName name="A6_Z_L39">Diseño!$IQ$42</definedName>
    <definedName name="A6_Z_L4">Diseño!$IQ$7</definedName>
    <definedName name="A6_Z_L40">Diseño!$IQ$43</definedName>
    <definedName name="A6_Z_L5">Diseño!$IQ$8</definedName>
    <definedName name="A6_Z_L6">Diseño!$IQ$9</definedName>
    <definedName name="A6_Z_L7">Diseño!$IQ$10</definedName>
    <definedName name="A6_Z_L8">Diseño!$IQ$11</definedName>
    <definedName name="A6_Z_L9">Diseño!$IQ$12</definedName>
    <definedName name="A7_A">Diseño!$IU$4:$IU$43</definedName>
    <definedName name="A7_A_L1">Diseño!$IU$4</definedName>
    <definedName name="A7_A_L10">Diseño!$IU$13</definedName>
    <definedName name="A7_A_L11">Diseño!$IU$14</definedName>
    <definedName name="A7_A_L12">Diseño!$IU$15</definedName>
    <definedName name="A7_A_L13">Diseño!$IU$16</definedName>
    <definedName name="A7_A_L14">Diseño!$IU$17</definedName>
    <definedName name="A7_A_L15">Diseño!$IU$18</definedName>
    <definedName name="A7_A_L16">Diseño!$IU$19</definedName>
    <definedName name="A7_A_L17">Diseño!$IU$20</definedName>
    <definedName name="A7_A_L18">Diseño!$IU$21</definedName>
    <definedName name="A7_A_L19">Diseño!$IU$22</definedName>
    <definedName name="A7_A_L2">Diseño!$IU$5</definedName>
    <definedName name="A7_A_L20">Diseño!$IU$23</definedName>
    <definedName name="A7_A_L21">Diseño!$IU$24</definedName>
    <definedName name="A7_A_L22">Diseño!$IU$25</definedName>
    <definedName name="A7_A_L23">Diseño!$IU$26</definedName>
    <definedName name="A7_A_L24">Diseño!$IU$27</definedName>
    <definedName name="A7_A_L25">Diseño!$IU$28</definedName>
    <definedName name="A7_A_L26">Diseño!$IU$29</definedName>
    <definedName name="A7_A_L27">Diseño!$IU$30</definedName>
    <definedName name="A7_A_L28">Diseño!$IU$31</definedName>
    <definedName name="A7_A_L29">Diseño!$IU$32</definedName>
    <definedName name="A7_A_L3">Diseño!$IU$6</definedName>
    <definedName name="A7_A_L30">Diseño!$IU$33</definedName>
    <definedName name="A7_A_L31">Diseño!$IU$34</definedName>
    <definedName name="A7_A_L32">Diseño!$IU$35</definedName>
    <definedName name="A7_A_L33">Diseño!$IU$36</definedName>
    <definedName name="A7_A_L34">Diseño!$IU$37</definedName>
    <definedName name="A7_A_L35">Diseño!$IU$38</definedName>
    <definedName name="A7_A_L36">Diseño!$IU$39</definedName>
    <definedName name="A7_A_L37">Diseño!$IU$40</definedName>
    <definedName name="A7_A_L38">Diseño!$IU$41</definedName>
    <definedName name="A7_A_L39">Diseño!$IU$42</definedName>
    <definedName name="A7_A_L4">Diseño!$IU$7</definedName>
    <definedName name="A7_A_L40">Diseño!$IU$43</definedName>
    <definedName name="A7_A_L5">Diseño!$IU$8</definedName>
    <definedName name="A7_A_L6">Diseño!$IU$9</definedName>
    <definedName name="A7_A_L7">Diseño!$IU$10</definedName>
    <definedName name="A7_A_L8">Diseño!$IU$11</definedName>
    <definedName name="A7_A_L9">Diseño!$IU$12</definedName>
    <definedName name="A7_B">Diseño!$IW$4:$IW$43</definedName>
    <definedName name="A7_B_L1">Diseño!$IW$4</definedName>
    <definedName name="A7_B_L10">Diseño!$IW$13</definedName>
    <definedName name="A7_B_L11">Diseño!$IW$14</definedName>
    <definedName name="A7_B_L12">Diseño!$IW$15</definedName>
    <definedName name="A7_B_L13">Diseño!$IW$16</definedName>
    <definedName name="A7_B_L14">Diseño!$IW$17</definedName>
    <definedName name="A7_B_L15">Diseño!$IW$18</definedName>
    <definedName name="A7_B_L16">Diseño!$IW$19</definedName>
    <definedName name="A7_B_L17">Diseño!$IW$20</definedName>
    <definedName name="A7_B_L18">Diseño!$IW$21</definedName>
    <definedName name="A7_B_L19">Diseño!$IW$22</definedName>
    <definedName name="A7_B_L2">Diseño!$IW$5</definedName>
    <definedName name="A7_B_L20">Diseño!$IW$23</definedName>
    <definedName name="A7_B_L21">Diseño!$IW$24</definedName>
    <definedName name="A7_B_L22">Diseño!$IW$25</definedName>
    <definedName name="A7_B_L23">Diseño!$IW$26</definedName>
    <definedName name="A7_B_L24">Diseño!$IW$27</definedName>
    <definedName name="A7_B_L25">Diseño!$IW$28</definedName>
    <definedName name="A7_B_L26">Diseño!$IW$29</definedName>
    <definedName name="A7_B_L27">Diseño!$IW$30</definedName>
    <definedName name="A7_B_L28">Diseño!$IW$31</definedName>
    <definedName name="A7_B_L29">Diseño!$IW$32</definedName>
    <definedName name="A7_B_L3">Diseño!$IW$6</definedName>
    <definedName name="A7_B_L30">Diseño!$IW$33</definedName>
    <definedName name="A7_B_L31">Diseño!$IW$34</definedName>
    <definedName name="A7_B_L32">Diseño!$IW$35</definedName>
    <definedName name="A7_B_L33">Diseño!$IW$36</definedName>
    <definedName name="A7_B_L34">Diseño!$IW$37</definedName>
    <definedName name="A7_B_L35">Diseño!$IW$38</definedName>
    <definedName name="A7_B_L36">Diseño!$IW$39</definedName>
    <definedName name="A7_B_L37">Diseño!$IW$40</definedName>
    <definedName name="A7_B_L38">Diseño!$IW$41</definedName>
    <definedName name="A7_B_L39">Diseño!$IW$42</definedName>
    <definedName name="A7_B_L4">Diseño!$IW$7</definedName>
    <definedName name="A7_B_L40">Diseño!$IW$43</definedName>
    <definedName name="A7_B_L5">Diseño!$IW$8</definedName>
    <definedName name="A7_B_L6">Diseño!$IW$9</definedName>
    <definedName name="A7_B_L7">Diseño!$IW$10</definedName>
    <definedName name="A7_B_L8">Diseño!$IW$11</definedName>
    <definedName name="A7_B_L9">Diseño!$IW$12</definedName>
    <definedName name="A7_C">Diseño!$IY$4:$IY$43</definedName>
    <definedName name="A7_C_L1">Diseño!$IY$4</definedName>
    <definedName name="A7_C_L10">Diseño!$IY$13</definedName>
    <definedName name="A7_C_L11">Diseño!$IY$14</definedName>
    <definedName name="A7_C_L12">Diseño!$IY$15</definedName>
    <definedName name="A7_C_L13">Diseño!$IY$16</definedName>
    <definedName name="A7_C_L14">Diseño!$IY$17</definedName>
    <definedName name="A7_C_L15">Diseño!$IY$18</definedName>
    <definedName name="A7_C_L16">Diseño!$IY$19</definedName>
    <definedName name="A7_C_L17">Diseño!$IY$20</definedName>
    <definedName name="A7_C_L18">Diseño!$IY$21</definedName>
    <definedName name="A7_C_L19">Diseño!$IY$22</definedName>
    <definedName name="A7_C_L2">Diseño!$IY$5</definedName>
    <definedName name="A7_C_L20">Diseño!$IY$23</definedName>
    <definedName name="A7_C_L21">Diseño!$IY$24</definedName>
    <definedName name="A7_C_L22">Diseño!$IY$25</definedName>
    <definedName name="A7_C_L23">Diseño!$IY$26</definedName>
    <definedName name="A7_C_L24">Diseño!$IY$27</definedName>
    <definedName name="A7_C_L25">Diseño!$IY$28</definedName>
    <definedName name="A7_C_L26">Diseño!$IY$29</definedName>
    <definedName name="A7_C_L27">Diseño!$IY$30</definedName>
    <definedName name="A7_C_L28">Diseño!$IY$31</definedName>
    <definedName name="A7_C_L29">Diseño!$IY$32</definedName>
    <definedName name="A7_C_L3">Diseño!$IY$6</definedName>
    <definedName name="A7_C_L30">Diseño!$IY$33</definedName>
    <definedName name="A7_C_L31">Diseño!$IY$34</definedName>
    <definedName name="A7_C_L32">Diseño!$IY$35</definedName>
    <definedName name="A7_C_L33">Diseño!$IY$36</definedName>
    <definedName name="A7_C_L34">Diseño!$IY$37</definedName>
    <definedName name="A7_C_L35">Diseño!$IY$38</definedName>
    <definedName name="A7_C_L36">Diseño!$IY$39</definedName>
    <definedName name="A7_C_L37">Diseño!$IY$40</definedName>
    <definedName name="A7_C_L38">Diseño!$IY$41</definedName>
    <definedName name="A7_C_L39">Diseño!$IY$42</definedName>
    <definedName name="A7_C_L4">Diseño!$IY$7</definedName>
    <definedName name="A7_C_L40">Diseño!$IY$43</definedName>
    <definedName name="A7_C_L5">Diseño!$IY$8</definedName>
    <definedName name="A7_C_L6">Diseño!$IY$9</definedName>
    <definedName name="A7_C_L7">Diseño!$IY$10</definedName>
    <definedName name="A7_C_L8">Diseño!$IY$11</definedName>
    <definedName name="A7_C_L9">Diseño!$IY$12</definedName>
    <definedName name="A7_D">Diseño!$JA$4:$JA$43</definedName>
    <definedName name="A7_D_L1">Diseño!$JA$4</definedName>
    <definedName name="A7_D_L10">Diseño!$JA$13</definedName>
    <definedName name="A7_D_L11">Diseño!$JA$14</definedName>
    <definedName name="A7_D_L12">Diseño!$JA$15</definedName>
    <definedName name="A7_D_L13">Diseño!$JA$16</definedName>
    <definedName name="A7_D_L14">Diseño!$JA$17</definedName>
    <definedName name="A7_D_L15">Diseño!$JA$18</definedName>
    <definedName name="A7_D_L16">Diseño!$JA$19</definedName>
    <definedName name="A7_D_L17">Diseño!$JA$20</definedName>
    <definedName name="A7_D_L18">Diseño!$JA$21</definedName>
    <definedName name="A7_D_L19">Diseño!$JA$22</definedName>
    <definedName name="A7_D_L2">Diseño!$JA$5</definedName>
    <definedName name="A7_D_L20">Diseño!$JA$23</definedName>
    <definedName name="A7_D_L21">Diseño!$JA$24</definedName>
    <definedName name="A7_D_L22">Diseño!$JA$25</definedName>
    <definedName name="A7_D_L23">Diseño!$JA$26</definedName>
    <definedName name="A7_D_L24">Diseño!$JA$27</definedName>
    <definedName name="A7_D_L25">Diseño!$JA$28</definedName>
    <definedName name="A7_D_L26">Diseño!$JA$29</definedName>
    <definedName name="A7_D_L27">Diseño!$JA$30</definedName>
    <definedName name="A7_D_L28">Diseño!$JA$31</definedName>
    <definedName name="A7_D_L29">Diseño!$JA$32</definedName>
    <definedName name="A7_D_L3">Diseño!$JA$6</definedName>
    <definedName name="A7_D_L30">Diseño!$JA$33</definedName>
    <definedName name="A7_D_L31">Diseño!$JA$34</definedName>
    <definedName name="A7_D_L32">Diseño!$JA$35</definedName>
    <definedName name="A7_D_L33">Diseño!$JA$36</definedName>
    <definedName name="A7_D_L34">Diseño!$JA$37</definedName>
    <definedName name="A7_D_L35">Diseño!$JA$38</definedName>
    <definedName name="A7_D_L36">Diseño!$JA$39</definedName>
    <definedName name="A7_D_L37">Diseño!$JA$40</definedName>
    <definedName name="A7_D_L38">Diseño!$JA$41</definedName>
    <definedName name="A7_D_L39">Diseño!$JA$42</definedName>
    <definedName name="A7_D_L4">Diseño!$JA$7</definedName>
    <definedName name="A7_D_L40">Diseño!$JA$43</definedName>
    <definedName name="A7_D_L5">Diseño!$JA$8</definedName>
    <definedName name="A7_D_L6">Diseño!$JA$9</definedName>
    <definedName name="A7_D_L7">Diseño!$JA$10</definedName>
    <definedName name="A7_D_L8">Diseño!$JA$11</definedName>
    <definedName name="A7_D_L9">Diseño!$JA$12</definedName>
    <definedName name="A7_L1">'1'!$M$5</definedName>
    <definedName name="A7_L10">'1'!$M$14</definedName>
    <definedName name="A7_L11">'1'!$M$15</definedName>
    <definedName name="A7_L12">'1'!$M$16</definedName>
    <definedName name="A7_L13">'1'!$M$17</definedName>
    <definedName name="A7_L14">'1'!$M$18</definedName>
    <definedName name="A7_L15">'1'!$M$19</definedName>
    <definedName name="A7_L16">'1'!$M$20</definedName>
    <definedName name="A7_L17">'1'!$M$21</definedName>
    <definedName name="A7_L18">'1'!$M$22</definedName>
    <definedName name="A7_L19">'1'!$M$23</definedName>
    <definedName name="A7_L2">'1'!$M$6</definedName>
    <definedName name="A7_L20">'1'!$M$24</definedName>
    <definedName name="A7_L21">'1'!$M$25</definedName>
    <definedName name="A7_L22">'1'!$M$26</definedName>
    <definedName name="A7_L23">'1'!$M$27</definedName>
    <definedName name="A7_L24">'1'!$M$28</definedName>
    <definedName name="A7_L25">'1'!$M$29</definedName>
    <definedName name="A7_L26">'1'!$M$30</definedName>
    <definedName name="A7_L27">'1'!$M$31</definedName>
    <definedName name="A7_L28">'1'!$M$32</definedName>
    <definedName name="A7_L29">'1'!$M$33</definedName>
    <definedName name="A7_L3">'1'!$M$7</definedName>
    <definedName name="A7_L30">'1'!$M$34</definedName>
    <definedName name="A7_L31">'1'!$M$35</definedName>
    <definedName name="A7_L32">'1'!$M$36</definedName>
    <definedName name="A7_L33">'1'!$M$37</definedName>
    <definedName name="A7_L34">'1'!$M$38</definedName>
    <definedName name="A7_L35">'1'!$M$39</definedName>
    <definedName name="A7_L36">'1'!$M$40</definedName>
    <definedName name="A7_L37">'1'!$M$41</definedName>
    <definedName name="A7_L38">'1'!$M$42</definedName>
    <definedName name="A7_L39">'1'!$M$43</definedName>
    <definedName name="A7_L4">'1'!$M$8</definedName>
    <definedName name="A7_L40">'1'!$M$44</definedName>
    <definedName name="A7_L5">'1'!$M$9</definedName>
    <definedName name="A7_L6">'1'!$M$10</definedName>
    <definedName name="A7_L7">'1'!$M$11</definedName>
    <definedName name="A7_L8">'1'!$M$12</definedName>
    <definedName name="A7_L9">'1'!$M$13</definedName>
    <definedName name="A7_X">Diseño!$JG$4:$JG$43</definedName>
    <definedName name="A7_X_L1">Diseño!$JG$4</definedName>
    <definedName name="A7_X_L10">Diseño!$JG$13</definedName>
    <definedName name="A7_X_L11">Diseño!$JG$14</definedName>
    <definedName name="A7_X_L12">Diseño!$JG$15</definedName>
    <definedName name="A7_X_L13">Diseño!$JG$16</definedName>
    <definedName name="A7_X_L14">Diseño!$JG$17</definedName>
    <definedName name="A7_X_L15">Diseño!$JG$18</definedName>
    <definedName name="A7_X_L16">Diseño!$JG$19</definedName>
    <definedName name="A7_X_L17">Diseño!$JG$20</definedName>
    <definedName name="A7_X_L18">Diseño!$JG$21</definedName>
    <definedName name="A7_X_L19">Diseño!$JG$22</definedName>
    <definedName name="A7_X_L2">Diseño!$JG$5</definedName>
    <definedName name="A7_X_L20">Diseño!$JG$23</definedName>
    <definedName name="A7_X_L21">Diseño!$JG$24</definedName>
    <definedName name="A7_X_L22">Diseño!$JG$25</definedName>
    <definedName name="A7_X_L23">Diseño!$JG$26</definedName>
    <definedName name="A7_X_L24">Diseño!$JG$27</definedName>
    <definedName name="A7_X_L25">Diseño!$JG$28</definedName>
    <definedName name="A7_X_L26">Diseño!$JG$29</definedName>
    <definedName name="A7_X_L27">Diseño!$JG$30</definedName>
    <definedName name="A7_X_L28">Diseño!$JG$31</definedName>
    <definedName name="A7_X_L29">Diseño!$JG$32</definedName>
    <definedName name="A7_X_L3">Diseño!$JG$6</definedName>
    <definedName name="A7_X_L30">Diseño!$JG$33</definedName>
    <definedName name="A7_X_L31">Diseño!$JG$34</definedName>
    <definedName name="A7_X_L32">Diseño!$JG$35</definedName>
    <definedName name="A7_X_L33">Diseño!$JG$36</definedName>
    <definedName name="A7_X_L34">Diseño!$JG$37</definedName>
    <definedName name="A7_X_L35">Diseño!$JG$38</definedName>
    <definedName name="A7_X_L36">Diseño!$JG$39</definedName>
    <definedName name="A7_X_L37">Diseño!$JG$40</definedName>
    <definedName name="A7_X_L38">Diseño!$JG$41</definedName>
    <definedName name="A7_X_L39">Diseño!$JG$42</definedName>
    <definedName name="A7_X_L4">Diseño!$JG$7</definedName>
    <definedName name="A7_X_L40">Diseño!$JG$43</definedName>
    <definedName name="A7_X_L5">Diseño!$JG$8</definedName>
    <definedName name="A7_X_L6">Diseño!$JG$9</definedName>
    <definedName name="A7_X_L7">Diseño!$JG$10</definedName>
    <definedName name="A7_X_L8">Diseño!$JG$11</definedName>
    <definedName name="A7_X_L9">Diseño!$JG$12</definedName>
    <definedName name="A7_Y">Diseño!$JC$4:$JC$43</definedName>
    <definedName name="A7_Y_L1">Diseño!$JC$4</definedName>
    <definedName name="A7_Y_L10">Diseño!$JC$13</definedName>
    <definedName name="A7_Y_L11">Diseño!$JC$14</definedName>
    <definedName name="A7_Y_L12">Diseño!$JC$15</definedName>
    <definedName name="A7_Y_L13">Diseño!$JC$16</definedName>
    <definedName name="A7_Y_L14">Diseño!$JC$17</definedName>
    <definedName name="A7_Y_L15">Diseño!$JC$18</definedName>
    <definedName name="A7_Y_L16">Diseño!$JC$19</definedName>
    <definedName name="A7_Y_L17">Diseño!$JC$20</definedName>
    <definedName name="A7_Y_L18">Diseño!$JC$21</definedName>
    <definedName name="A7_Y_L19">Diseño!$JC$22</definedName>
    <definedName name="A7_Y_L2">Diseño!$JC$5</definedName>
    <definedName name="A7_Y_L20">Diseño!$JC$23</definedName>
    <definedName name="A7_Y_L21">Diseño!$JC$24</definedName>
    <definedName name="A7_Y_L22">Diseño!$JC$25</definedName>
    <definedName name="A7_Y_L23">Diseño!$JC$26</definedName>
    <definedName name="A7_Y_L24">Diseño!$JC$27</definedName>
    <definedName name="A7_Y_L25">Diseño!$JC$28</definedName>
    <definedName name="A7_Y_L26">Diseño!$JC$29</definedName>
    <definedName name="A7_Y_L27">Diseño!$JC$30</definedName>
    <definedName name="A7_Y_L28">Diseño!$JC$31</definedName>
    <definedName name="A7_Y_L29">Diseño!$JC$32</definedName>
    <definedName name="A7_Y_L3">Diseño!$JC$6</definedName>
    <definedName name="A7_Y_L30">Diseño!$JC$33</definedName>
    <definedName name="A7_Y_L31">Diseño!$JC$34</definedName>
    <definedName name="A7_Y_L32">Diseño!$JC$35</definedName>
    <definedName name="A7_Y_L33">Diseño!$JC$36</definedName>
    <definedName name="A7_Y_L34">Diseño!$JC$37</definedName>
    <definedName name="A7_Y_L35">Diseño!$JC$38</definedName>
    <definedName name="A7_Y_L36">Diseño!$JC$39</definedName>
    <definedName name="A7_Y_L37">Diseño!$JC$40</definedName>
    <definedName name="A7_Y_L38">Diseño!$JC$41</definedName>
    <definedName name="A7_Y_L39">Diseño!$JC$42</definedName>
    <definedName name="A7_Y_L4">Diseño!$JC$7</definedName>
    <definedName name="A7_Y_L40">Diseño!$JC$43</definedName>
    <definedName name="A7_Y_L5">Diseño!$JC$8</definedName>
    <definedName name="A7_Y_L6">Diseño!$JC$9</definedName>
    <definedName name="A7_Y_L7">Diseño!$JC$10</definedName>
    <definedName name="A7_Y_L8">Diseño!$JC$11</definedName>
    <definedName name="A7_Y_L9">Diseño!$JC$12</definedName>
    <definedName name="A7_Z">Diseño!$JE$4:$JE$43</definedName>
    <definedName name="A7_Z_L1">Diseño!$JE$4</definedName>
    <definedName name="A7_Z_L10">Diseño!$JE$13</definedName>
    <definedName name="A7_Z_L11">Diseño!$JE$14</definedName>
    <definedName name="A7_Z_L12">Diseño!$JE$15</definedName>
    <definedName name="A7_Z_L13">Diseño!$JE$16</definedName>
    <definedName name="A7_Z_L14">Diseño!$JE$17</definedName>
    <definedName name="A7_Z_L15">Diseño!$JE$18</definedName>
    <definedName name="A7_Z_L16">Diseño!$JE$19</definedName>
    <definedName name="A7_Z_L17">Diseño!$JE$20</definedName>
    <definedName name="A7_Z_L18">Diseño!$JE$21</definedName>
    <definedName name="A7_Z_L19">Diseño!$JE$22</definedName>
    <definedName name="A7_Z_L2">Diseño!$JE$5</definedName>
    <definedName name="A7_Z_L20">Diseño!$JE$23</definedName>
    <definedName name="A7_Z_L21">Diseño!$JE$24</definedName>
    <definedName name="A7_Z_L22">Diseño!$JE$25</definedName>
    <definedName name="A7_Z_L23">Diseño!$JE$26</definedName>
    <definedName name="A7_Z_L24">Diseño!$JE$27</definedName>
    <definedName name="A7_Z_L25">Diseño!$JE$28</definedName>
    <definedName name="A7_Z_L26">Diseño!$JE$29</definedName>
    <definedName name="A7_Z_L27">Diseño!$JE$30</definedName>
    <definedName name="A7_Z_L28">Diseño!$JE$31</definedName>
    <definedName name="A7_Z_L29">Diseño!$JE$32</definedName>
    <definedName name="A7_Z_L3">Diseño!$JE$6</definedName>
    <definedName name="A7_Z_L30">Diseño!$JE$33</definedName>
    <definedName name="A7_Z_L31">Diseño!$JE$34</definedName>
    <definedName name="A7_Z_L32">Diseño!$JE$35</definedName>
    <definedName name="A7_Z_L33">Diseño!$JE$36</definedName>
    <definedName name="A7_Z_L34">Diseño!$JE$37</definedName>
    <definedName name="A7_Z_L35">Diseño!$JE$38</definedName>
    <definedName name="A7_Z_L36">Diseño!$JE$39</definedName>
    <definedName name="A7_Z_L37">Diseño!$JE$40</definedName>
    <definedName name="A7_Z_L38">Diseño!$JE$41</definedName>
    <definedName name="A7_Z_L39">Diseño!$JE$42</definedName>
    <definedName name="A7_Z_L4">Diseño!$JE$7</definedName>
    <definedName name="A7_Z_L40">Diseño!$JE$43</definedName>
    <definedName name="A7_Z_L5">Diseño!$JE$8</definedName>
    <definedName name="A7_Z_L6">Diseño!$JE$9</definedName>
    <definedName name="A7_Z_L7">Diseño!$JE$10</definedName>
    <definedName name="A7_Z_L8">Diseño!$JE$11</definedName>
    <definedName name="A7_Z_L9">Diseño!$JE$12</definedName>
    <definedName name="A8_A">Diseño!$JI$4:$JI$43</definedName>
    <definedName name="A8_A_L1">Diseño!$JI$4</definedName>
    <definedName name="A8_A_L10">Diseño!$JI$13</definedName>
    <definedName name="A8_A_L11">Diseño!$JI$14</definedName>
    <definedName name="A8_A_L12">Diseño!$JI$15</definedName>
    <definedName name="A8_A_L13">Diseño!$JI$16</definedName>
    <definedName name="A8_A_L14">Diseño!$JI$17</definedName>
    <definedName name="A8_A_L15">Diseño!$JI$18</definedName>
    <definedName name="A8_A_L16">Diseño!$JI$19</definedName>
    <definedName name="A8_A_L17">Diseño!$JI$20</definedName>
    <definedName name="A8_A_L18">Diseño!$JI$21</definedName>
    <definedName name="A8_A_L19">Diseño!$JI$22</definedName>
    <definedName name="A8_A_L2">Diseño!$JI$5</definedName>
    <definedName name="A8_A_L20">Diseño!$JI$23</definedName>
    <definedName name="A8_A_L21">Diseño!$JI$24</definedName>
    <definedName name="A8_A_L22">Diseño!$JI$25</definedName>
    <definedName name="A8_A_L23">Diseño!$JI$26</definedName>
    <definedName name="A8_A_L24">Diseño!$JI$27</definedName>
    <definedName name="A8_A_L25">Diseño!$JI$28</definedName>
    <definedName name="A8_A_L26">Diseño!$JI$29</definedName>
    <definedName name="A8_A_L27">Diseño!$JI$30</definedName>
    <definedName name="A8_A_L28">Diseño!$JI$31</definedName>
    <definedName name="A8_A_L29">Diseño!$JI$32</definedName>
    <definedName name="A8_A_L3">Diseño!$JI$6</definedName>
    <definedName name="A8_A_L30">Diseño!$JI$33</definedName>
    <definedName name="A8_A_L31">Diseño!$JI$34</definedName>
    <definedName name="A8_A_L32">Diseño!$JI$35</definedName>
    <definedName name="A8_A_L33">Diseño!$JI$36</definedName>
    <definedName name="A8_A_L34">Diseño!$JI$37</definedName>
    <definedName name="A8_A_L35">Diseño!$JI$38</definedName>
    <definedName name="A8_A_L36">Diseño!$JI$39</definedName>
    <definedName name="A8_A_L37">Diseño!$JI$40</definedName>
    <definedName name="A8_A_L38">Diseño!$JI$41</definedName>
    <definedName name="A8_A_L39">Diseño!$JI$42</definedName>
    <definedName name="A8_A_L4">Diseño!$JI$7</definedName>
    <definedName name="A8_A_L40">Diseño!$JI$43</definedName>
    <definedName name="A8_A_L5">Diseño!$JI$8</definedName>
    <definedName name="A8_A_L6">Diseño!$JI$9</definedName>
    <definedName name="A8_A_L7">Diseño!$JI$10</definedName>
    <definedName name="A8_A_L8">Diseño!$JI$11</definedName>
    <definedName name="A8_A_L9">Diseño!$JI$12</definedName>
    <definedName name="A8_B">Diseño!$JK$4:$JK$43</definedName>
    <definedName name="A8_B_L1">Diseño!$JK$4</definedName>
    <definedName name="A8_B_L10">Diseño!$JK$13</definedName>
    <definedName name="A8_B_L11">Diseño!$JK$14</definedName>
    <definedName name="A8_B_L12">Diseño!$JK$15</definedName>
    <definedName name="A8_B_L13">Diseño!$JK$16</definedName>
    <definedName name="A8_B_L14">Diseño!$JK$17</definedName>
    <definedName name="A8_B_L15">Diseño!$JK$18</definedName>
    <definedName name="A8_B_L16">Diseño!$JK$19</definedName>
    <definedName name="A8_B_L17">Diseño!$JK$20</definedName>
    <definedName name="A8_B_L18">Diseño!$JK$21</definedName>
    <definedName name="A8_B_L19">Diseño!$JK$22</definedName>
    <definedName name="A8_B_L2">Diseño!$JK$5</definedName>
    <definedName name="A8_B_L20">Diseño!$JK$23</definedName>
    <definedName name="A8_B_L21">Diseño!$JK$24</definedName>
    <definedName name="A8_B_L22">Diseño!$JK$25</definedName>
    <definedName name="A8_B_L23">Diseño!$JK$26</definedName>
    <definedName name="A8_B_L24">Diseño!$JK$27</definedName>
    <definedName name="A8_B_L25">Diseño!$JK$28</definedName>
    <definedName name="A8_B_L26">Diseño!$JK$29</definedName>
    <definedName name="A8_B_L27">Diseño!$JK$30</definedName>
    <definedName name="A8_B_L28">Diseño!$JK$31</definedName>
    <definedName name="A8_B_L29">Diseño!$JK$32</definedName>
    <definedName name="A8_B_L3">Diseño!$JK$6</definedName>
    <definedName name="A8_B_L30">Diseño!$JK$33</definedName>
    <definedName name="A8_B_L31">Diseño!$JK$34</definedName>
    <definedName name="A8_B_L32">Diseño!$JK$35</definedName>
    <definedName name="A8_B_L33">Diseño!$JK$36</definedName>
    <definedName name="A8_B_L34">Diseño!$JK$37</definedName>
    <definedName name="A8_B_L35">Diseño!$JK$38</definedName>
    <definedName name="A8_B_L36">Diseño!$JK$39</definedName>
    <definedName name="A8_B_L37">Diseño!$JK$40</definedName>
    <definedName name="A8_B_L38">Diseño!$JK$41</definedName>
    <definedName name="A8_B_L39">Diseño!$JK$42</definedName>
    <definedName name="A8_B_L4">Diseño!$JK$7</definedName>
    <definedName name="A8_B_L40">Diseño!$JK$43</definedName>
    <definedName name="A8_B_L5">Diseño!$JK$8</definedName>
    <definedName name="A8_B_L6">Diseño!$JK$9</definedName>
    <definedName name="A8_B_L7">Diseño!$JK$10</definedName>
    <definedName name="A8_B_L8">Diseño!$JK$11</definedName>
    <definedName name="A8_B_L9">Diseño!$JK$12</definedName>
    <definedName name="A8_C">Diseño!$JM$4:$JM$43</definedName>
    <definedName name="A8_C_L1">Diseño!$JM$4</definedName>
    <definedName name="A8_C_L10">Diseño!$JM$13</definedName>
    <definedName name="A8_C_L11">Diseño!$JM$14</definedName>
    <definedName name="A8_C_L12">Diseño!$JM$15</definedName>
    <definedName name="A8_C_L13">Diseño!$JM$16</definedName>
    <definedName name="A8_C_L14">Diseño!$JM$17</definedName>
    <definedName name="A8_C_L15">Diseño!$JM$18</definedName>
    <definedName name="A8_C_L16">Diseño!$JM$19</definedName>
    <definedName name="A8_C_L17">Diseño!$JM$20</definedName>
    <definedName name="A8_C_L18">Diseño!$JM$21</definedName>
    <definedName name="A8_C_L19">Diseño!$JM$22</definedName>
    <definedName name="A8_C_L2">Diseño!$JM$5</definedName>
    <definedName name="A8_C_L20">Diseño!$JM$23</definedName>
    <definedName name="A8_C_L21">Diseño!$JM$24</definedName>
    <definedName name="A8_C_L22">Diseño!$JM$25</definedName>
    <definedName name="A8_C_L23">Diseño!$JM$26</definedName>
    <definedName name="A8_C_L24">Diseño!$JM$27</definedName>
    <definedName name="A8_C_L25">Diseño!$JM$28</definedName>
    <definedName name="A8_C_L26">Diseño!$JM$29</definedName>
    <definedName name="A8_C_L27">Diseño!$JM$30</definedName>
    <definedName name="A8_C_L28">Diseño!$JM$31</definedName>
    <definedName name="A8_C_L29">Diseño!$JM$32</definedName>
    <definedName name="A8_C_L3">Diseño!$JM$6</definedName>
    <definedName name="A8_C_L30">Diseño!$JM$33</definedName>
    <definedName name="A8_C_L31">Diseño!$JM$34</definedName>
    <definedName name="A8_C_L32">Diseño!$JM$35</definedName>
    <definedName name="A8_C_L33">Diseño!$JM$36</definedName>
    <definedName name="A8_C_L34">Diseño!$JM$37</definedName>
    <definedName name="A8_C_L35">Diseño!$JM$38</definedName>
    <definedName name="A8_C_L36">Diseño!$JM$39</definedName>
    <definedName name="A8_C_L37">Diseño!$JM$40</definedName>
    <definedName name="A8_C_L38">Diseño!$JM$41</definedName>
    <definedName name="A8_C_L39">Diseño!$JM$42</definedName>
    <definedName name="A8_C_L4">Diseño!$JM$7</definedName>
    <definedName name="A8_C_L40">Diseño!$JM$43</definedName>
    <definedName name="A8_C_L5">Diseño!$JM$8</definedName>
    <definedName name="A8_C_L6">Diseño!$JM$9</definedName>
    <definedName name="A8_C_L7">Diseño!$JM$10</definedName>
    <definedName name="A8_C_L8">Diseño!$JM$11</definedName>
    <definedName name="A8_C_L9">Diseño!$JM$12</definedName>
    <definedName name="A8_D">Diseño!$JO$4:$JO$43</definedName>
    <definedName name="A8_D_L1">Diseño!$JO$4</definedName>
    <definedName name="A8_D_L10">Diseño!$JO$13</definedName>
    <definedName name="A8_D_L11">Diseño!$JO$14</definedName>
    <definedName name="A8_D_L12">Diseño!$JO$15</definedName>
    <definedName name="A8_D_L13">Diseño!$JO$16</definedName>
    <definedName name="A8_D_L14">Diseño!$JO$17</definedName>
    <definedName name="A8_D_L15">Diseño!$JO$18</definedName>
    <definedName name="A8_D_L16">Diseño!$JO$19</definedName>
    <definedName name="A8_D_L17">Diseño!$JO$20</definedName>
    <definedName name="A8_D_L18">Diseño!$JO$21</definedName>
    <definedName name="A8_D_L19">Diseño!$JO$22</definedName>
    <definedName name="A8_D_L2">Diseño!$JO$5</definedName>
    <definedName name="A8_D_L20">Diseño!$JO$23</definedName>
    <definedName name="A8_D_L21">Diseño!$JO$24</definedName>
    <definedName name="A8_D_L22">Diseño!$JO$25</definedName>
    <definedName name="A8_D_L23">Diseño!$JO$26</definedName>
    <definedName name="A8_D_L24">Diseño!$JO$27</definedName>
    <definedName name="A8_D_L25">Diseño!$JO$28</definedName>
    <definedName name="A8_D_L26">Diseño!$JO$29</definedName>
    <definedName name="A8_D_L27">Diseño!$JO$30</definedName>
    <definedName name="A8_D_L28">Diseño!$JO$31</definedName>
    <definedName name="A8_D_L29">Diseño!$JO$32</definedName>
    <definedName name="A8_D_L3">Diseño!$JO$6</definedName>
    <definedName name="A8_D_L30">Diseño!$JO$33</definedName>
    <definedName name="A8_D_L31">Diseño!$JO$34</definedName>
    <definedName name="A8_D_L32">Diseño!$JO$35</definedName>
    <definedName name="A8_D_L33">Diseño!$JO$36</definedName>
    <definedName name="A8_D_L34">Diseño!$JO$37</definedName>
    <definedName name="A8_D_L35">Diseño!$JO$38</definedName>
    <definedName name="A8_D_L36">Diseño!$JO$39</definedName>
    <definedName name="A8_D_L37">Diseño!$JO$40</definedName>
    <definedName name="A8_D_L38">Diseño!$JO$41</definedName>
    <definedName name="A8_D_L39">Diseño!$JO$42</definedName>
    <definedName name="A8_D_L4">Diseño!$JO$7</definedName>
    <definedName name="A8_D_L40">Diseño!$JO$43</definedName>
    <definedName name="A8_D_L5">Diseño!$JO$8</definedName>
    <definedName name="A8_D_L6">Diseño!$JO$9</definedName>
    <definedName name="A8_D_L7">Diseño!$JO$10</definedName>
    <definedName name="A8_D_L8">Diseño!$JO$11</definedName>
    <definedName name="A8_D_L9">Diseño!$JO$12</definedName>
    <definedName name="A8_L1">'1'!$N$5</definedName>
    <definedName name="A8_L10">'1'!$N$14</definedName>
    <definedName name="A8_L11">'1'!$N$15</definedName>
    <definedName name="A8_L12">'1'!$N$16</definedName>
    <definedName name="A8_L13">'1'!$N$17</definedName>
    <definedName name="A8_L14">'1'!$N$18</definedName>
    <definedName name="A8_L15">'1'!$N$19</definedName>
    <definedName name="A8_L16">'1'!$N$20</definedName>
    <definedName name="A8_L17">'1'!$N$21</definedName>
    <definedName name="A8_L18">'1'!$N$22</definedName>
    <definedName name="A8_L19">'1'!$N$23</definedName>
    <definedName name="A8_L2">'1'!$N$6</definedName>
    <definedName name="A8_L20">'1'!$N$24</definedName>
    <definedName name="A8_L21">'1'!$N$25</definedName>
    <definedName name="A8_L22">'1'!$N$26</definedName>
    <definedName name="A8_L23">'1'!$N$27</definedName>
    <definedName name="A8_L24">'1'!$N$28</definedName>
    <definedName name="A8_L25">'1'!$N$29</definedName>
    <definedName name="A8_L26">'1'!$N$30</definedName>
    <definedName name="A8_L27">'1'!$N$31</definedName>
    <definedName name="A8_L28">'1'!$N$32</definedName>
    <definedName name="A8_L29">'1'!$N$33</definedName>
    <definedName name="A8_L3">'1'!$N$7</definedName>
    <definedName name="A8_L30">'1'!$N$34</definedName>
    <definedName name="A8_L31">'1'!$N$35</definedName>
    <definedName name="A8_L32">'1'!$N$36</definedName>
    <definedName name="A8_L33">'1'!$N$37</definedName>
    <definedName name="A8_L34">'1'!$N$38</definedName>
    <definedName name="A8_L35">'1'!$N$39</definedName>
    <definedName name="A8_L36">'1'!$N$40</definedName>
    <definedName name="A8_L37">'1'!$N$41</definedName>
    <definedName name="A8_L38">'1'!$N$42</definedName>
    <definedName name="A8_L39">'1'!$N$43</definedName>
    <definedName name="A8_L4">'1'!$N$8</definedName>
    <definedName name="A8_L40">'1'!$N$44</definedName>
    <definedName name="A8_L5">'1'!$N$9</definedName>
    <definedName name="A8_L6">'1'!$N$10</definedName>
    <definedName name="A8_L7">'1'!$N$11</definedName>
    <definedName name="A8_L8">'1'!$N$12</definedName>
    <definedName name="A8_L9">'1'!$N$13</definedName>
    <definedName name="A8_X">Diseño!$JU$4:$JU$43</definedName>
    <definedName name="A8_X_L1">Diseño!$JU$4</definedName>
    <definedName name="A8_X_L10">Diseño!$JU$13</definedName>
    <definedName name="A8_X_L11">Diseño!$JU$14</definedName>
    <definedName name="A8_X_L12">Diseño!$JU$15</definedName>
    <definedName name="A8_X_L13">Diseño!$JU$16</definedName>
    <definedName name="A8_X_L14">Diseño!$JU$17</definedName>
    <definedName name="A8_X_L15">Diseño!$JU$18</definedName>
    <definedName name="A8_X_L16">Diseño!$JU$19</definedName>
    <definedName name="A8_X_L17">Diseño!$JU$20</definedName>
    <definedName name="A8_X_L18">Diseño!$JU$21</definedName>
    <definedName name="A8_X_L19">Diseño!$JU$22</definedName>
    <definedName name="A8_X_L2">Diseño!$JU$5</definedName>
    <definedName name="A8_X_L20">Diseño!$JU$23</definedName>
    <definedName name="A8_X_L21">Diseño!$JU$24</definedName>
    <definedName name="A8_X_L22">Diseño!$JU$25</definedName>
    <definedName name="A8_X_L23">Diseño!$JU$26</definedName>
    <definedName name="A8_X_L24">Diseño!$JU$27</definedName>
    <definedName name="A8_X_L25">Diseño!$JU$28</definedName>
    <definedName name="A8_X_L26">Diseño!$JU$29</definedName>
    <definedName name="A8_X_L27">Diseño!$JU$30</definedName>
    <definedName name="A8_X_L28">Diseño!$JU$31</definedName>
    <definedName name="A8_X_L29">Diseño!$JU$32</definedName>
    <definedName name="A8_X_L3">Diseño!$JU$6</definedName>
    <definedName name="A8_X_L30">Diseño!$JU$33</definedName>
    <definedName name="A8_X_L31">Diseño!$JU$34</definedName>
    <definedName name="A8_X_L32">Diseño!$JU$35</definedName>
    <definedName name="A8_X_L33">Diseño!$JU$36</definedName>
    <definedName name="A8_X_L34">Diseño!$JU$37</definedName>
    <definedName name="A8_X_L35">Diseño!$JU$38</definedName>
    <definedName name="A8_X_L36">Diseño!$JU$39</definedName>
    <definedName name="A8_X_L37">Diseño!$JU$40</definedName>
    <definedName name="A8_X_L38">Diseño!$JU$41</definedName>
    <definedName name="A8_X_L39">Diseño!$JU$42</definedName>
    <definedName name="A8_X_L4">Diseño!$JU$7</definedName>
    <definedName name="A8_X_L40">Diseño!$JU$43</definedName>
    <definedName name="A8_X_L5">Diseño!$JU$8</definedName>
    <definedName name="A8_X_L6">Diseño!$JU$9</definedName>
    <definedName name="A8_X_L7">Diseño!$JU$10</definedName>
    <definedName name="A8_X_L8">Diseño!$JU$11</definedName>
    <definedName name="A8_X_L9">Diseño!$JU$12</definedName>
    <definedName name="A8_Y">Diseño!$JQ$4:$JQ$43</definedName>
    <definedName name="A8_Y_L1">Diseño!$JQ$4</definedName>
    <definedName name="A8_Y_L10">Diseño!$JQ$13</definedName>
    <definedName name="A8_Y_L11">Diseño!$JQ$14</definedName>
    <definedName name="A8_Y_L12">Diseño!$JQ$15</definedName>
    <definedName name="A8_Y_L13">Diseño!$JQ$16</definedName>
    <definedName name="A8_Y_L14">Diseño!$JQ$17</definedName>
    <definedName name="A8_Y_L15">Diseño!$JQ$18</definedName>
    <definedName name="A8_Y_L16">Diseño!$JQ$19</definedName>
    <definedName name="A8_Y_L17">Diseño!$JQ$20</definedName>
    <definedName name="A8_Y_L18">Diseño!$JQ$21</definedName>
    <definedName name="A8_Y_L19">Diseño!$JQ$22</definedName>
    <definedName name="A8_Y_L2">Diseño!$JQ$5</definedName>
    <definedName name="A8_Y_L20">Diseño!$JQ$23</definedName>
    <definedName name="A8_Y_L21">Diseño!$JQ$24</definedName>
    <definedName name="A8_Y_L22">Diseño!$JQ$25</definedName>
    <definedName name="A8_Y_L23">Diseño!$JQ$26</definedName>
    <definedName name="A8_Y_L24">Diseño!$JQ$27</definedName>
    <definedName name="A8_Y_L25">Diseño!$JQ$28</definedName>
    <definedName name="A8_Y_L26">Diseño!$JQ$29</definedName>
    <definedName name="A8_Y_L27">Diseño!$JQ$30</definedName>
    <definedName name="A8_Y_L28">Diseño!$JQ$31</definedName>
    <definedName name="A8_Y_L29">Diseño!$JQ$32</definedName>
    <definedName name="A8_Y_L3">Diseño!$JQ$6</definedName>
    <definedName name="A8_Y_L30">Diseño!$JQ$33</definedName>
    <definedName name="A8_Y_L31">Diseño!$JQ$34</definedName>
    <definedName name="A8_Y_L32">Diseño!$JQ$35</definedName>
    <definedName name="A8_Y_L33">Diseño!$JQ$36</definedName>
    <definedName name="A8_Y_L34">Diseño!$JQ$37</definedName>
    <definedName name="A8_Y_L35">Diseño!$JQ$38</definedName>
    <definedName name="A8_Y_L36">Diseño!$JQ$39</definedName>
    <definedName name="A8_Y_L37">Diseño!$JQ$40</definedName>
    <definedName name="A8_Y_L38">Diseño!$JQ$41</definedName>
    <definedName name="A8_Y_L39">Diseño!$JQ$42</definedName>
    <definedName name="A8_Y_L4">Diseño!$JQ$7</definedName>
    <definedName name="A8_Y_L40">Diseño!$JQ$43</definedName>
    <definedName name="A8_Y_L5">Diseño!$JQ$8</definedName>
    <definedName name="A8_Y_L6">Diseño!$JQ$9</definedName>
    <definedName name="A8_Y_L7">Diseño!$JQ$10</definedName>
    <definedName name="A8_Y_L8">Diseño!$JQ$11</definedName>
    <definedName name="A8_Y_L9">Diseño!$JQ$12</definedName>
    <definedName name="A8_Z">Diseño!$JS$4:$JS$43</definedName>
    <definedName name="A8_Z_L1">Diseño!$JS$4</definedName>
    <definedName name="A8_Z_L10">Diseño!$JS$13</definedName>
    <definedName name="A8_Z_L11">Diseño!$JS$14</definedName>
    <definedName name="A8_Z_L12">Diseño!$JS$15</definedName>
    <definedName name="A8_Z_L13">Diseño!$JS$16</definedName>
    <definedName name="A8_Z_L14">Diseño!$JS$17</definedName>
    <definedName name="A8_Z_L15">Diseño!$JS$18</definedName>
    <definedName name="A8_Z_L16">Diseño!$JS$19</definedName>
    <definedName name="A8_Z_L17">Diseño!$JS$20</definedName>
    <definedName name="A8_Z_L18">Diseño!$JS$21</definedName>
    <definedName name="A8_Z_L19">Diseño!$JS$22</definedName>
    <definedName name="A8_Z_L2">Diseño!$JS$5</definedName>
    <definedName name="A8_Z_L20">Diseño!$JS$23</definedName>
    <definedName name="A8_Z_L21">Diseño!$JS$24</definedName>
    <definedName name="A8_Z_L22">Diseño!$JS$25</definedName>
    <definedName name="A8_Z_L23">Diseño!$JS$26</definedName>
    <definedName name="A8_Z_L24">Diseño!$JS$27</definedName>
    <definedName name="A8_Z_L25">Diseño!$JS$28</definedName>
    <definedName name="A8_Z_L26">Diseño!$JS$29</definedName>
    <definedName name="A8_Z_L27">Diseño!$JS$30</definedName>
    <definedName name="A8_Z_L28">Diseño!$JS$31</definedName>
    <definedName name="A8_Z_L29">Diseño!$JS$32</definedName>
    <definedName name="A8_Z_L3">Diseño!$JS$6</definedName>
    <definedName name="A8_Z_L30">Diseño!$JS$33</definedName>
    <definedName name="A8_Z_L31">Diseño!$JS$34</definedName>
    <definedName name="A8_Z_L32">Diseño!$JS$35</definedName>
    <definedName name="A8_Z_L33">Diseño!$JS$36</definedName>
    <definedName name="A8_Z_L34">Diseño!$JS$37</definedName>
    <definedName name="A8_Z_L35">Diseño!$JS$38</definedName>
    <definedName name="A8_Z_L36">Diseño!$JS$39</definedName>
    <definedName name="A8_Z_L37">Diseño!$JS$40</definedName>
    <definedName name="A8_Z_L38">Diseño!$JS$41</definedName>
    <definedName name="A8_Z_L39">Diseño!$JS$42</definedName>
    <definedName name="A8_Z_L4">Diseño!$JS$7</definedName>
    <definedName name="A8_Z_L40">Diseño!$JS$43</definedName>
    <definedName name="A8_Z_L5">Diseño!$JS$8</definedName>
    <definedName name="A8_Z_L6">Diseño!$JS$9</definedName>
    <definedName name="A8_Z_L7">Diseño!$JS$10</definedName>
    <definedName name="A8_Z_L8">Diseño!$JS$11</definedName>
    <definedName name="A8_Z_L9">Diseño!$JS$12</definedName>
    <definedName name="A9_A">Diseño!$JW$4:$JW$43</definedName>
    <definedName name="A9_A_L1">Diseño!$JW$4</definedName>
    <definedName name="A9_A_L10">Diseño!$JW$13</definedName>
    <definedName name="A9_A_L11">Diseño!$JW$14</definedName>
    <definedName name="A9_A_L12">Diseño!$JW$15</definedName>
    <definedName name="A9_A_L13">Diseño!$JW$16</definedName>
    <definedName name="A9_A_L14">Diseño!$JW$17</definedName>
    <definedName name="A9_A_L15">Diseño!$JW$18</definedName>
    <definedName name="A9_A_L16">Diseño!$JW$19</definedName>
    <definedName name="A9_A_L17">Diseño!$JW$20</definedName>
    <definedName name="A9_A_L18">Diseño!$JW$21</definedName>
    <definedName name="A9_A_L19">Diseño!$JW$22</definedName>
    <definedName name="A9_A_L2">Diseño!$JW$5</definedName>
    <definedName name="A9_A_L20">Diseño!$JW$23</definedName>
    <definedName name="A9_A_L21">Diseño!$JW$24</definedName>
    <definedName name="A9_A_L22">Diseño!$JW$25</definedName>
    <definedName name="A9_A_L23">Diseño!$JW$26</definedName>
    <definedName name="A9_A_L24">Diseño!$JW$27</definedName>
    <definedName name="A9_A_L25">Diseño!$JW$28</definedName>
    <definedName name="A9_A_L26">Diseño!$JW$29</definedName>
    <definedName name="A9_A_L27">Diseño!$JW$30</definedName>
    <definedName name="A9_A_L28">Diseño!$JW$31</definedName>
    <definedName name="A9_A_L29">Diseño!$JW$32</definedName>
    <definedName name="A9_A_L3">Diseño!$JW$6</definedName>
    <definedName name="A9_A_L30">Diseño!$JW$33</definedName>
    <definedName name="A9_A_L31">Diseño!$JW$34</definedName>
    <definedName name="A9_A_L32">Diseño!$JW$35</definedName>
    <definedName name="A9_A_L33">Diseño!$JW$36</definedName>
    <definedName name="A9_A_L34">Diseño!$JW$37</definedName>
    <definedName name="A9_A_L35">Diseño!$JW$38</definedName>
    <definedName name="A9_A_L36">Diseño!$JW$39</definedName>
    <definedName name="A9_A_L37">Diseño!$JW$40</definedName>
    <definedName name="A9_A_L38">Diseño!$JW$41</definedName>
    <definedName name="A9_A_L39">Diseño!$JW$42</definedName>
    <definedName name="A9_A_L4">Diseño!$JW$7</definedName>
    <definedName name="A9_A_L40">Diseño!$JW$43</definedName>
    <definedName name="A9_A_L5">Diseño!$JW$8</definedName>
    <definedName name="A9_A_L6">Diseño!$JW$9</definedName>
    <definedName name="A9_A_L7">Diseño!$JW$10</definedName>
    <definedName name="A9_A_L8">Diseño!$JW$11</definedName>
    <definedName name="A9_A_L9">Diseño!$JW$12</definedName>
    <definedName name="A9_B">Diseño!$JY$4:$JY$43</definedName>
    <definedName name="A9_B_L1">Diseño!$JY$4</definedName>
    <definedName name="A9_B_L10">Diseño!$JY$13</definedName>
    <definedName name="A9_B_L11">Diseño!$JY$14</definedName>
    <definedName name="A9_B_L12">Diseño!$JY$15</definedName>
    <definedName name="A9_B_L13">Diseño!$JY$16</definedName>
    <definedName name="A9_B_L14">Diseño!$JY$17</definedName>
    <definedName name="A9_B_L15">Diseño!$JY$18</definedName>
    <definedName name="A9_B_L16">Diseño!$JY$19</definedName>
    <definedName name="A9_B_L17">Diseño!$JY$20</definedName>
    <definedName name="A9_B_L18">Diseño!$JY$21</definedName>
    <definedName name="A9_B_L19">Diseño!$JY$22</definedName>
    <definedName name="A9_B_L2">Diseño!$JY$5</definedName>
    <definedName name="A9_B_L20">Diseño!$JY$23</definedName>
    <definedName name="A9_B_L21">Diseño!$JY$24</definedName>
    <definedName name="A9_B_L22">Diseño!$JY$25</definedName>
    <definedName name="A9_B_L23">Diseño!$JY$26</definedName>
    <definedName name="A9_B_L24">Diseño!$JY$27</definedName>
    <definedName name="A9_B_L25">Diseño!$JY$28</definedName>
    <definedName name="A9_B_L26">Diseño!$JY$29</definedName>
    <definedName name="A9_B_L27">Diseño!$JY$30</definedName>
    <definedName name="A9_B_L28">Diseño!$JY$31</definedName>
    <definedName name="A9_B_L29">Diseño!$JY$32</definedName>
    <definedName name="A9_B_L3">Diseño!$JY$6</definedName>
    <definedName name="A9_B_L30">Diseño!$JY$33</definedName>
    <definedName name="A9_B_L31">Diseño!$JY$34</definedName>
    <definedName name="A9_B_L32">Diseño!$JY$35</definedName>
    <definedName name="A9_B_L33">Diseño!$JY$36</definedName>
    <definedName name="A9_B_L34">Diseño!$JY$37</definedName>
    <definedName name="A9_B_L35">Diseño!$JY$38</definedName>
    <definedName name="A9_B_L36">Diseño!$JY$39</definedName>
    <definedName name="A9_B_L37">Diseño!$JY$40</definedName>
    <definedName name="A9_B_L38">Diseño!$JY$41</definedName>
    <definedName name="A9_B_L39">Diseño!$JY$42</definedName>
    <definedName name="A9_B_L4">Diseño!$JY$7</definedName>
    <definedName name="A9_B_L40">Diseño!$JY$43</definedName>
    <definedName name="A9_B_L5">Diseño!$JY$8</definedName>
    <definedName name="A9_B_L6">Diseño!$JY$9</definedName>
    <definedName name="A9_B_L7">Diseño!$JY$10</definedName>
    <definedName name="A9_B_L8">Diseño!$JY$11</definedName>
    <definedName name="A9_B_L9">Diseño!$JY$12</definedName>
    <definedName name="A9_C">Diseño!$KA$4:$KA$43</definedName>
    <definedName name="A9_C_L1">Diseño!$KA$4</definedName>
    <definedName name="A9_C_L10">Diseño!$KA$13</definedName>
    <definedName name="A9_C_L11">Diseño!$KA$14</definedName>
    <definedName name="A9_C_L12">Diseño!$KA$15</definedName>
    <definedName name="A9_C_L13">Diseño!$KA$16</definedName>
    <definedName name="A9_C_L14">Diseño!$KA$17</definedName>
    <definedName name="A9_C_L15">Diseño!$KA$18</definedName>
    <definedName name="A9_C_L16">Diseño!$KA$19</definedName>
    <definedName name="A9_C_L17">Diseño!$KA$20</definedName>
    <definedName name="A9_C_L18">Diseño!$KA$21</definedName>
    <definedName name="A9_C_L19">Diseño!$KA$22</definedName>
    <definedName name="A9_C_L2">Diseño!$KA$5</definedName>
    <definedName name="A9_C_L20">Diseño!$KA$23</definedName>
    <definedName name="A9_C_L21">Diseño!$KA$24</definedName>
    <definedName name="A9_C_L22">Diseño!$KA$25</definedName>
    <definedName name="A9_C_L23">Diseño!$KA$26</definedName>
    <definedName name="A9_C_L24">Diseño!$KA$27</definedName>
    <definedName name="A9_C_L25">Diseño!$KA$28</definedName>
    <definedName name="A9_C_L26">Diseño!$KA$29</definedName>
    <definedName name="A9_C_L27">Diseño!$KA$30</definedName>
    <definedName name="A9_C_L28">Diseño!$KA$31</definedName>
    <definedName name="A9_C_L29">Diseño!$KA$32</definedName>
    <definedName name="A9_C_L3">Diseño!$KA$6</definedName>
    <definedName name="A9_C_L30">Diseño!$KA$33</definedName>
    <definedName name="A9_C_L31">Diseño!$KA$34</definedName>
    <definedName name="A9_C_L32">Diseño!$KA$35</definedName>
    <definedName name="A9_C_L33">Diseño!$KA$36</definedName>
    <definedName name="A9_C_L34">Diseño!$KA$37</definedName>
    <definedName name="A9_C_L35">Diseño!$KA$38</definedName>
    <definedName name="A9_C_L36">Diseño!$KA$39</definedName>
    <definedName name="A9_C_L37">Diseño!$KA$40</definedName>
    <definedName name="A9_C_L38">Diseño!$KA$41</definedName>
    <definedName name="A9_C_L39">Diseño!$KA$42</definedName>
    <definedName name="A9_C_L4">Diseño!$KA$7</definedName>
    <definedName name="A9_C_L40">Diseño!$KA$43</definedName>
    <definedName name="A9_C_L5">Diseño!$KA$8</definedName>
    <definedName name="A9_C_L6">Diseño!$KA$9</definedName>
    <definedName name="A9_C_L7">Diseño!$KA$10</definedName>
    <definedName name="A9_C_L8">Diseño!$KA$11</definedName>
    <definedName name="A9_C_L9">Diseño!$KA$12</definedName>
    <definedName name="A9_D">Diseño!$KC$4:$KC$43</definedName>
    <definedName name="A9_D_L1">Diseño!$KC$4</definedName>
    <definedName name="A9_D_L10">Diseño!$KC$13</definedName>
    <definedName name="A9_D_L11">Diseño!$KC$14</definedName>
    <definedName name="A9_D_L12">Diseño!$KC$15</definedName>
    <definedName name="A9_D_L13">Diseño!$KC$16</definedName>
    <definedName name="A9_D_L14">Diseño!$KC$17</definedName>
    <definedName name="A9_D_L15">Diseño!$KC$18</definedName>
    <definedName name="A9_D_L16">Diseño!$KC$19</definedName>
    <definedName name="A9_D_L17">Diseño!$KC$20</definedName>
    <definedName name="A9_D_L18">Diseño!$KC$21</definedName>
    <definedName name="A9_D_L19">Diseño!$KC$22</definedName>
    <definedName name="A9_D_L2">Diseño!$KC$5</definedName>
    <definedName name="A9_D_L20">Diseño!$KC$23</definedName>
    <definedName name="A9_D_L21">Diseño!$KC$24</definedName>
    <definedName name="A9_D_L22">Diseño!$KC$25</definedName>
    <definedName name="A9_D_L23">Diseño!$KC$26</definedName>
    <definedName name="A9_D_L24">Diseño!$KC$27</definedName>
    <definedName name="A9_D_L25">Diseño!$KC$28</definedName>
    <definedName name="A9_D_L26">Diseño!$KC$29</definedName>
    <definedName name="A9_D_L27">Diseño!$KC$30</definedName>
    <definedName name="A9_D_L28">Diseño!$KC$31</definedName>
    <definedName name="A9_D_L29">Diseño!$KC$32</definedName>
    <definedName name="A9_D_L3">Diseño!$KC$6</definedName>
    <definedName name="A9_D_L30">Diseño!$KC$33</definedName>
    <definedName name="A9_D_L31">Diseño!$KC$34</definedName>
    <definedName name="A9_D_L32">Diseño!$KC$35</definedName>
    <definedName name="A9_D_L33">Diseño!$KC$36</definedName>
    <definedName name="A9_D_L34">Diseño!$KC$37</definedName>
    <definedName name="A9_D_L35">Diseño!$KC$38</definedName>
    <definedName name="A9_D_L36">Diseño!$KC$39</definedName>
    <definedName name="A9_D_L37">Diseño!$KC$40</definedName>
    <definedName name="A9_D_L38">Diseño!$KC$41</definedName>
    <definedName name="A9_D_L39">Diseño!$KC$42</definedName>
    <definedName name="A9_D_L4">Diseño!$KC$7</definedName>
    <definedName name="A9_D_L40">Diseño!$KC$43</definedName>
    <definedName name="A9_D_L5">Diseño!$KC$8</definedName>
    <definedName name="A9_D_L6">Diseño!$KC$9</definedName>
    <definedName name="A9_D_L7">Diseño!$KC$10</definedName>
    <definedName name="A9_D_L8">Diseño!$KC$11</definedName>
    <definedName name="A9_D_L9">Diseño!$KC$12</definedName>
    <definedName name="A9_L1">'1'!$O$5</definedName>
    <definedName name="A9_L10">'1'!$O$14</definedName>
    <definedName name="A9_L11">'1'!$O$15</definedName>
    <definedName name="A9_L12">'1'!$O$16</definedName>
    <definedName name="A9_L13">'1'!$O$17</definedName>
    <definedName name="A9_L14">'1'!$O$18</definedName>
    <definedName name="A9_L15">'1'!$O$19</definedName>
    <definedName name="A9_L16">'1'!$O$20</definedName>
    <definedName name="A9_L17">'1'!$O$21</definedName>
    <definedName name="A9_L18">'1'!$O$22</definedName>
    <definedName name="A9_L19">'1'!$O$23</definedName>
    <definedName name="A9_L2">'1'!$O$6</definedName>
    <definedName name="A9_L20">'1'!$O$24</definedName>
    <definedName name="A9_L21">'1'!$O$25</definedName>
    <definedName name="A9_L22">'1'!$O$26</definedName>
    <definedName name="A9_L23">'1'!$O$27</definedName>
    <definedName name="A9_L24">'1'!$O$28</definedName>
    <definedName name="A9_L25">'1'!$O$29</definedName>
    <definedName name="A9_L26">'1'!$O$30</definedName>
    <definedName name="A9_L27">'1'!$O$31</definedName>
    <definedName name="A9_L28">'1'!$O$32</definedName>
    <definedName name="A9_L29">'1'!$O$33</definedName>
    <definedName name="A9_L3">'1'!$O$7</definedName>
    <definedName name="A9_L30">'1'!$O$34</definedName>
    <definedName name="A9_L31">'1'!$O$35</definedName>
    <definedName name="A9_L32">'1'!$O$36</definedName>
    <definedName name="A9_L33">'1'!$O$37</definedName>
    <definedName name="A9_L34">'1'!$O$38</definedName>
    <definedName name="A9_L35">'1'!$O$39</definedName>
    <definedName name="A9_L36">'1'!$O$40</definedName>
    <definedName name="A9_L37">'1'!$O$41</definedName>
    <definedName name="A9_L38">'1'!$O$42</definedName>
    <definedName name="A9_L39">'1'!$O$43</definedName>
    <definedName name="A9_L4">'1'!$O$8</definedName>
    <definedName name="A9_L40">'1'!$O$44</definedName>
    <definedName name="A9_L5">'1'!$O$9</definedName>
    <definedName name="A9_L6">'1'!$O$10</definedName>
    <definedName name="A9_L7">'1'!$O$11</definedName>
    <definedName name="A9_L8">'1'!$O$12</definedName>
    <definedName name="A9_L9">'1'!$O$13</definedName>
    <definedName name="A9_X">Diseño!$KI$4:$KI$43</definedName>
    <definedName name="A9_X_L1">Diseño!$KI$4</definedName>
    <definedName name="A9_X_L10">Diseño!$KI$13</definedName>
    <definedName name="A9_X_L11">Diseño!$KI$14</definedName>
    <definedName name="A9_X_L12">Diseño!$KI$15</definedName>
    <definedName name="A9_X_L13">Diseño!$KI$16</definedName>
    <definedName name="A9_X_L14">Diseño!$KI$17</definedName>
    <definedName name="A9_X_L15">Diseño!$KI$18</definedName>
    <definedName name="A9_X_L16">Diseño!$KI$19</definedName>
    <definedName name="A9_X_L17">Diseño!$KI$20</definedName>
    <definedName name="A9_X_L18">Diseño!$KI$21</definedName>
    <definedName name="A9_X_L19">Diseño!$KI$22</definedName>
    <definedName name="A9_X_L2">Diseño!$KI$5</definedName>
    <definedName name="A9_X_L20">Diseño!$KI$23</definedName>
    <definedName name="A9_X_L21">Diseño!$KI$24</definedName>
    <definedName name="A9_X_L22">Diseño!$KI$25</definedName>
    <definedName name="A9_X_L23">Diseño!$KI$26</definedName>
    <definedName name="A9_X_L24">Diseño!$KI$27</definedName>
    <definedName name="A9_X_L25">Diseño!$KI$28</definedName>
    <definedName name="A9_X_L26">Diseño!$KI$29</definedName>
    <definedName name="A9_X_L27">Diseño!$KI$30</definedName>
    <definedName name="A9_X_L28">Diseño!$KI$31</definedName>
    <definedName name="A9_X_L29">Diseño!$KI$32</definedName>
    <definedName name="A9_X_L3">Diseño!$KI$6</definedName>
    <definedName name="A9_X_L30">Diseño!$KI$33</definedName>
    <definedName name="A9_X_L31">Diseño!$KI$34</definedName>
    <definedName name="A9_X_L32">Diseño!$KI$35</definedName>
    <definedName name="A9_X_L33">Diseño!$KI$36</definedName>
    <definedName name="A9_X_L34">Diseño!$KI$37</definedName>
    <definedName name="A9_X_L35">Diseño!$KI$38</definedName>
    <definedName name="A9_X_L36">Diseño!$KI$39</definedName>
    <definedName name="A9_X_L37">Diseño!$KI$40</definedName>
    <definedName name="A9_X_L38">Diseño!$KI$41</definedName>
    <definedName name="A9_X_L39">Diseño!$KI$42</definedName>
    <definedName name="A9_X_L4">Diseño!$KI$7</definedName>
    <definedName name="A9_X_L40">Diseño!$KI$43</definedName>
    <definedName name="A9_X_L5">Diseño!$KI$8</definedName>
    <definedName name="A9_X_L6">Diseño!$KI$9</definedName>
    <definedName name="A9_X_L7">Diseño!$KI$10</definedName>
    <definedName name="A9_X_L8">Diseño!$KI$11</definedName>
    <definedName name="A9_X_L9">Diseño!$KI$12</definedName>
    <definedName name="A9_Y">Diseño!$KE$4:$KE$43</definedName>
    <definedName name="A9_Y_L1">Diseño!$KE$4</definedName>
    <definedName name="A9_Y_L10">Diseño!$KE$13</definedName>
    <definedName name="A9_Y_L11">Diseño!$KE$14</definedName>
    <definedName name="A9_Y_L12">Diseño!$KE$15</definedName>
    <definedName name="A9_Y_L13">Diseño!$KE$16</definedName>
    <definedName name="A9_Y_L14">Diseño!$KE$17</definedName>
    <definedName name="A9_Y_L15">Diseño!$KE$18</definedName>
    <definedName name="A9_Y_L16">Diseño!$KE$19</definedName>
    <definedName name="A9_Y_L17">Diseño!$KE$20</definedName>
    <definedName name="A9_Y_L18">Diseño!$KE$21</definedName>
    <definedName name="A9_Y_L19">Diseño!$KE$22</definedName>
    <definedName name="A9_Y_L2">Diseño!$KE$5</definedName>
    <definedName name="A9_Y_L20">Diseño!$KE$23</definedName>
    <definedName name="A9_Y_L21">Diseño!$KE$24</definedName>
    <definedName name="A9_Y_L22">Diseño!$KE$25</definedName>
    <definedName name="A9_Y_L23">Diseño!$KE$26</definedName>
    <definedName name="A9_Y_L24">Diseño!$KE$27</definedName>
    <definedName name="A9_Y_L25">Diseño!$KE$28</definedName>
    <definedName name="A9_Y_L26">Diseño!$KE$29</definedName>
    <definedName name="A9_Y_L27">Diseño!$KE$30</definedName>
    <definedName name="A9_Y_L28">Diseño!$KE$31</definedName>
    <definedName name="A9_Y_L29">Diseño!$KE$32</definedName>
    <definedName name="A9_Y_L3">Diseño!$KE$6</definedName>
    <definedName name="A9_Y_L30">Diseño!$KE$33</definedName>
    <definedName name="A9_Y_L31">Diseño!$KE$34</definedName>
    <definedName name="A9_Y_L32">Diseño!$KE$35</definedName>
    <definedName name="A9_Y_L33">Diseño!$KE$36</definedName>
    <definedName name="A9_Y_L34">Diseño!$KE$37</definedName>
    <definedName name="A9_Y_L35">Diseño!$KE$38</definedName>
    <definedName name="A9_Y_L36">Diseño!$KE$39</definedName>
    <definedName name="A9_Y_L37">Diseño!$KE$40</definedName>
    <definedName name="A9_Y_L38">Diseño!$KE$41</definedName>
    <definedName name="A9_Y_L39">Diseño!$KE$42</definedName>
    <definedName name="A9_Y_L4">Diseño!$KE$7</definedName>
    <definedName name="A9_Y_L40">Diseño!$KE$43</definedName>
    <definedName name="A9_Y_L5">Diseño!$KE$8</definedName>
    <definedName name="A9_Y_L6">Diseño!$KE$9</definedName>
    <definedName name="A9_Y_L7">Diseño!$KE$10</definedName>
    <definedName name="A9_Y_L8">Diseño!$KE$11</definedName>
    <definedName name="A9_Y_L9">Diseño!$KE$12</definedName>
    <definedName name="A9_Z">Diseño!$KG$4:$KG$43</definedName>
    <definedName name="A9_Z_L1">Diseño!$KG$4</definedName>
    <definedName name="A9_Z_L10">Diseño!$KG$13</definedName>
    <definedName name="A9_Z_L11">Diseño!$KG$14</definedName>
    <definedName name="A9_Z_L12">Diseño!$KG$15</definedName>
    <definedName name="A9_Z_L13">Diseño!$KG$16</definedName>
    <definedName name="A9_Z_L14">Diseño!$KG$17</definedName>
    <definedName name="A9_Z_L15">Diseño!$KG$18</definedName>
    <definedName name="A9_Z_L16">Diseño!$KG$19</definedName>
    <definedName name="A9_Z_L17">Diseño!$KG$20</definedName>
    <definedName name="A9_Z_L18">Diseño!$KG$21</definedName>
    <definedName name="A9_Z_L19">Diseño!$KG$22</definedName>
    <definedName name="A9_Z_L2">Diseño!$KG$5</definedName>
    <definedName name="A9_Z_L20">Diseño!$KG$23</definedName>
    <definedName name="A9_Z_L21">Diseño!$KG$24</definedName>
    <definedName name="A9_Z_L22">Diseño!$KG$25</definedName>
    <definedName name="A9_Z_L23">Diseño!$KG$26</definedName>
    <definedName name="A9_Z_L24">Diseño!$KG$27</definedName>
    <definedName name="A9_Z_L25">Diseño!$KG$28</definedName>
    <definedName name="A9_Z_L26">Diseño!$KG$29</definedName>
    <definedName name="A9_Z_L27">Diseño!$KG$30</definedName>
    <definedName name="A9_Z_L28">Diseño!$KG$31</definedName>
    <definedName name="A9_Z_L29">Diseño!$KG$32</definedName>
    <definedName name="A9_Z_L3">Diseño!$KG$6</definedName>
    <definedName name="A9_Z_L30">Diseño!$KG$33</definedName>
    <definedName name="A9_Z_L31">Diseño!$KG$34</definedName>
    <definedName name="A9_Z_L32">Diseño!$KG$35</definedName>
    <definedName name="A9_Z_L33">Diseño!$KG$36</definedName>
    <definedName name="A9_Z_L34">Diseño!$KG$37</definedName>
    <definedName name="A9_Z_L35">Diseño!$KG$38</definedName>
    <definedName name="A9_Z_L36">Diseño!$KG$39</definedName>
    <definedName name="A9_Z_L37">Diseño!$KG$40</definedName>
    <definedName name="A9_Z_L38">Diseño!$KG$41</definedName>
    <definedName name="A9_Z_L39">Diseño!$KG$42</definedName>
    <definedName name="A9_Z_L4">Diseño!$KG$7</definedName>
    <definedName name="A9_Z_L40">Diseño!$KG$43</definedName>
    <definedName name="A9_Z_L5">Diseño!$KG$8</definedName>
    <definedName name="A9_Z_L6">Diseño!$KG$9</definedName>
    <definedName name="A9_Z_L7">Diseño!$KG$10</definedName>
    <definedName name="A9_Z_L8">Diseño!$KG$11</definedName>
    <definedName name="A9_Z_L9">Diseño!$KG$12</definedName>
    <definedName name="Admin_1">'4'!$B$17</definedName>
    <definedName name="Admin_10">'4'!$B$206</definedName>
    <definedName name="Admin_11">'4'!$B$227</definedName>
    <definedName name="Admin_12">'4'!$B$248</definedName>
    <definedName name="Admin_2">'4'!$B$38</definedName>
    <definedName name="Admin_3">'4'!$B$59</definedName>
    <definedName name="Admin_4">'4'!$B$80</definedName>
    <definedName name="Admin_5">'4'!$B$101</definedName>
    <definedName name="Admin_6">'4'!$B$122</definedName>
    <definedName name="Admin_7">'4'!$B$143</definedName>
    <definedName name="Admin_8">'4'!$B$164</definedName>
    <definedName name="Admin_9">'4'!$B$185</definedName>
    <definedName name="AE">'9'!$A$5:$A$80001</definedName>
    <definedName name="Año_Inicial">Inicio!$G$2</definedName>
    <definedName name="Años">'10'!$B$4:$M$4</definedName>
    <definedName name="Area">'1'!$U$9</definedName>
    <definedName name="Área_L1">'1'!$C$5</definedName>
    <definedName name="Área_L10">'1'!$C$14</definedName>
    <definedName name="Área_L11">'1'!$C$15</definedName>
    <definedName name="Área_L12">'1'!$C$16</definedName>
    <definedName name="Área_L13">'1'!$C$17</definedName>
    <definedName name="Área_L14">'1'!$C$18</definedName>
    <definedName name="Área_L15">'1'!$C$19</definedName>
    <definedName name="Área_L16">'1'!$C$20</definedName>
    <definedName name="Área_L17">'1'!$C$21</definedName>
    <definedName name="Área_L18">'1'!$C$22</definedName>
    <definedName name="Área_L19">'1'!$C$23</definedName>
    <definedName name="Área_L2">'1'!$C$6</definedName>
    <definedName name="Área_L20">'1'!$C$24</definedName>
    <definedName name="Área_L21">'1'!$C$25</definedName>
    <definedName name="Área_L22">'1'!$C$26</definedName>
    <definedName name="Área_L23">'1'!$C$27</definedName>
    <definedName name="Área_L24">'1'!$C$28</definedName>
    <definedName name="Área_L25">'1'!$C$29</definedName>
    <definedName name="Área_L26">'1'!$C$30</definedName>
    <definedName name="Área_L27">'1'!$C$31</definedName>
    <definedName name="Área_L28">'1'!$C$32</definedName>
    <definedName name="Área_L29">'1'!$C$33</definedName>
    <definedName name="Área_L3">'1'!$C$7</definedName>
    <definedName name="Área_L30">'1'!$C$34</definedName>
    <definedName name="Área_L31">'1'!$C$35</definedName>
    <definedName name="Área_L32">'1'!$C$36</definedName>
    <definedName name="Área_L33">'1'!$C$37</definedName>
    <definedName name="Área_L34">'1'!$C$38</definedName>
    <definedName name="Área_L35">'1'!$C$39</definedName>
    <definedName name="Área_L36">'1'!$C$40</definedName>
    <definedName name="Área_L37">'1'!$C$41</definedName>
    <definedName name="Área_L38">'1'!$C$42</definedName>
    <definedName name="Área_L39">'1'!$C$43</definedName>
    <definedName name="Área_L4">'1'!$C$8</definedName>
    <definedName name="Área_L40">'1'!$C$44</definedName>
    <definedName name="Área_L5">'1'!$C$9</definedName>
    <definedName name="Área_L6">'1'!$C$10</definedName>
    <definedName name="Área_L7">'1'!$C$11</definedName>
    <definedName name="Área_L8">'1'!$C$12</definedName>
    <definedName name="Área_L9">'1'!$C$13</definedName>
    <definedName name="Bloque_A1_A">'6'!$DI$4</definedName>
    <definedName name="Bloque_A1_B">'6'!$DJ$4</definedName>
    <definedName name="Bloque_A1_C">'6'!$DK$4</definedName>
    <definedName name="Bloque_A1_D">'6'!$DL$4</definedName>
    <definedName name="Bloque_A1_Y">'6'!$DM$4</definedName>
    <definedName name="Bloque_A10_A">'6'!$FB$4</definedName>
    <definedName name="Bloque_A10_B">'6'!$FC$4</definedName>
    <definedName name="Bloque_A10_C">'6'!$FD$4</definedName>
    <definedName name="Bloque_A10_D">'6'!$FE$4</definedName>
    <definedName name="Bloque_A10_Y">'6'!$FF$4</definedName>
    <definedName name="Bloque_A11_A">'6'!$FG$4</definedName>
    <definedName name="Bloque_A11_B">'6'!$FH$4</definedName>
    <definedName name="Bloque_A11_C">'6'!$FI$4</definedName>
    <definedName name="Bloque_A11_D">'6'!$FJ$4</definedName>
    <definedName name="Bloque_A11_Y">'6'!$FK$4</definedName>
    <definedName name="Bloque_A12_A">'6'!$FL$4</definedName>
    <definedName name="Bloque_A12_B">'6'!$FM$4</definedName>
    <definedName name="Bloque_A12_C">'6'!$FN$4</definedName>
    <definedName name="Bloque_A12_D">'6'!$FO$4</definedName>
    <definedName name="Bloque_A12_Y">'6'!$FP$4</definedName>
    <definedName name="Bloque_A2_A">'6'!$DN$4</definedName>
    <definedName name="Bloque_A2_B">'6'!$DO$4</definedName>
    <definedName name="Bloque_A2_C">'6'!$DP$4</definedName>
    <definedName name="Bloque_A2_D">'6'!$DQ$4</definedName>
    <definedName name="Bloque_A2_Y">'6'!$DR$4</definedName>
    <definedName name="Bloque_A3_A">'6'!$DS$4</definedName>
    <definedName name="Bloque_A3_B">'6'!$DT$4</definedName>
    <definedName name="Bloque_A3_C">'6'!$DU$4</definedName>
    <definedName name="Bloque_A3_D">'6'!$DV$4</definedName>
    <definedName name="Bloque_A3_Y">'6'!$DW$4</definedName>
    <definedName name="Bloque_A4_A">'6'!$DX$4</definedName>
    <definedName name="Bloque_A4_B">'6'!$DY$4</definedName>
    <definedName name="Bloque_A4_C">'6'!$DZ$4</definedName>
    <definedName name="Bloque_A4_D">'6'!$EA$4</definedName>
    <definedName name="Bloque_A4_Y">'6'!$EB$4</definedName>
    <definedName name="Bloque_A5_A">'6'!$EC$4</definedName>
    <definedName name="Bloque_A5_B">'6'!$ED$4</definedName>
    <definedName name="Bloque_A5_C">'6'!$EE$4</definedName>
    <definedName name="Bloque_A5_D">'6'!$EF$4</definedName>
    <definedName name="Bloque_A5_Y">'6'!$EG$4</definedName>
    <definedName name="Bloque_A6_A">'6'!$EH$4</definedName>
    <definedName name="Bloque_A6_B">'6'!$EI$4</definedName>
    <definedName name="Bloque_A6_C">'6'!$EJ$4</definedName>
    <definedName name="Bloque_A6_D">'6'!$EK$4</definedName>
    <definedName name="Bloque_A6_Y">'6'!$EL$4</definedName>
    <definedName name="Bloque_A7_A">'6'!$EM$4</definedName>
    <definedName name="Bloque_A7_B">'6'!$EN$4</definedName>
    <definedName name="Bloque_A7_C">'6'!$EO$4</definedName>
    <definedName name="Bloque_A7_D">'6'!$EP$4</definedName>
    <definedName name="Bloque_A7_Y">'6'!$EQ$4</definedName>
    <definedName name="Bloque_A8_A">'6'!$ER$4</definedName>
    <definedName name="Bloque_A8_B">'6'!$ES$4</definedName>
    <definedName name="Bloque_A8_C">'6'!$ET$4</definedName>
    <definedName name="Bloque_A8_D">'6'!$EU$4</definedName>
    <definedName name="Bloque_A8_Y">'6'!$EV$4</definedName>
    <definedName name="Bloque_A9_A">'6'!$EW$4</definedName>
    <definedName name="Bloque_A9_B">'6'!$EX$4</definedName>
    <definedName name="Bloque_A9_C">'6'!$EY$4</definedName>
    <definedName name="Bloque_A9_D">'6'!$EZ$4</definedName>
    <definedName name="Bloque_A9_Y">'6'!$FA$4</definedName>
    <definedName name="Ciclo">Inicio!$B$5</definedName>
    <definedName name="Coad_A">'3'!$AB$24</definedName>
    <definedName name="Coad_B">'3'!$AC$24</definedName>
    <definedName name="Coad_C">'3'!$AD$24</definedName>
    <definedName name="Coad_D">'3'!$AE$24</definedName>
    <definedName name="Coad_Y">'3'!$AF$24</definedName>
    <definedName name="Conservación_A">'3'!$AB$27</definedName>
    <definedName name="Conservación_B">'3'!$AC$27</definedName>
    <definedName name="Conservación_C">'3'!$AD$27</definedName>
    <definedName name="Conservación_D">'3'!$AE$27</definedName>
    <definedName name="Conservación_Y">'3'!$AF$27</definedName>
    <definedName name="Cosecha_y_Poscosecha" localSheetId="13">Ingresos[Cosecha_y_Poscosecha]</definedName>
    <definedName name="Cosecha_y_Poscosecha" localSheetId="14">Ingresos[Cosecha_y_Poscosecha]</definedName>
    <definedName name="Cosecha_y_Poscosecha" localSheetId="15">Ingresos[Cosecha_y_Poscosecha]</definedName>
    <definedName name="Cosecha_y_Poscosecha" localSheetId="16">Ingresos[Cosecha_y_Poscosecha]</definedName>
    <definedName name="Cosecha_y_Poscosecha" localSheetId="17">Ingresos[Cosecha_y_Poscosecha]</definedName>
    <definedName name="Cosecha_y_Poscosecha" localSheetId="18">Ingresos[Cosecha_y_Poscosecha]</definedName>
    <definedName name="Cosecha_y_Poscosecha" localSheetId="19">Ingresos[Cosecha_y_Poscosecha]</definedName>
    <definedName name="Cosecha_y_Poscosecha" localSheetId="20">Ingresos[Cosecha_y_Poscosecha]</definedName>
    <definedName name="Cosecha_y_Poscosecha" localSheetId="21">Ingresos[Cosecha_y_Poscosecha]</definedName>
    <definedName name="Cosecha_y_Poscosecha" localSheetId="22">Ingresos[Cosecha_y_Poscosecha]</definedName>
    <definedName name="Cosecha_y_Poscosecha" localSheetId="23">Ingresos[Cosecha_y_Poscosecha]</definedName>
    <definedName name="Cosecha_y_Poscosecha">Ingresos[Cosecha_y_Poscosecha]</definedName>
    <definedName name="CUI_Coadyuvantes">'2'!$B$10</definedName>
    <definedName name="CUI_Corte">'2'!$B$15</definedName>
    <definedName name="CUI_Enmienda">'2'!$B$6</definedName>
    <definedName name="CUI_Fertilizante">'2'!$B$5</definedName>
    <definedName name="CUI_Fungicida">'2'!$B$8</definedName>
    <definedName name="CUI_Herbicida">'2'!$B$7</definedName>
    <definedName name="CUI_Insecticida">'2'!$B$9</definedName>
    <definedName name="CUI_Jornal">'2'!$B$14</definedName>
    <definedName name="CUI_Otro_1">'2'!$B$11</definedName>
    <definedName name="CUI_Otro_2">'2'!$B$12</definedName>
    <definedName name="CUI_Otro_3">'2'!$B$13</definedName>
    <definedName name="CUI_Poscosecha">'2'!$B$16</definedName>
    <definedName name="D_L1">'1'!$F$5</definedName>
    <definedName name="D_L10">'1'!$F$14</definedName>
    <definedName name="D_L11">'1'!$F$15</definedName>
    <definedName name="D_L12">'1'!$F$16</definedName>
    <definedName name="D_L13">'1'!$F$17</definedName>
    <definedName name="D_L14">'1'!$F$18</definedName>
    <definedName name="D_L15">'1'!$F$19</definedName>
    <definedName name="D_L16">'1'!$F$20</definedName>
    <definedName name="D_L17">'1'!$F$21</definedName>
    <definedName name="D_L18">'1'!$F$22</definedName>
    <definedName name="D_L19">'1'!$F$23</definedName>
    <definedName name="D_L2">'1'!$F$6</definedName>
    <definedName name="D_L20">'1'!$F$24</definedName>
    <definedName name="D_L21">'1'!$F$25</definedName>
    <definedName name="D_L22">'1'!$F$26</definedName>
    <definedName name="D_L23">'1'!$F$27</definedName>
    <definedName name="D_L24">'1'!$F$28</definedName>
    <definedName name="D_L25">'1'!$F$29</definedName>
    <definedName name="D_L26">'1'!$F$30</definedName>
    <definedName name="D_L27">'1'!$F$31</definedName>
    <definedName name="D_L28">'1'!$F$32</definedName>
    <definedName name="D_L29">'1'!$F$33</definedName>
    <definedName name="D_L3">'1'!$F$7</definedName>
    <definedName name="D_L30">'1'!$F$34</definedName>
    <definedName name="D_L31">'1'!$F$35</definedName>
    <definedName name="D_L32">'1'!$F$36</definedName>
    <definedName name="D_L33">'1'!$F$37</definedName>
    <definedName name="D_L34">'1'!$F$38</definedName>
    <definedName name="D_L35">'1'!$F$39</definedName>
    <definedName name="D_L36">'1'!$F$40</definedName>
    <definedName name="D_L37">'1'!$F$41</definedName>
    <definedName name="D_L38">'1'!$F$42</definedName>
    <definedName name="D_L39">'1'!$F$43</definedName>
    <definedName name="D_L4">'1'!$F$8</definedName>
    <definedName name="D_L40">'1'!$F$44</definedName>
    <definedName name="D_L5">'1'!$F$9</definedName>
    <definedName name="D_L6">'1'!$F$10</definedName>
    <definedName name="D_L7">'1'!$F$11</definedName>
    <definedName name="D_L8">'1'!$F$12</definedName>
    <definedName name="D_L9">'1'!$F$13</definedName>
    <definedName name="Deshije_A">'3'!$AB$7</definedName>
    <definedName name="Deshije_B">'3'!$AC$7</definedName>
    <definedName name="Deshije_C">'3'!$AD$7</definedName>
    <definedName name="Deshije_D">'3'!$AE$7</definedName>
    <definedName name="Deshije_Y">'3'!$AF$7</definedName>
    <definedName name="Detalle">'9'!$D$5:$D$80001</definedName>
    <definedName name="Diseño">Inicio!$B$6</definedName>
    <definedName name="Enfermedades_A">'3'!$AB$22</definedName>
    <definedName name="Enfermedades_B">'3'!$AC$22</definedName>
    <definedName name="Enfermedades_C">'3'!$AD$22</definedName>
    <definedName name="Enfermedades_D">'3'!$AE$22</definedName>
    <definedName name="Enfermedades_Y">'3'!$AF$22</definedName>
    <definedName name="Enmienda_A">'3'!$AB$12</definedName>
    <definedName name="Enmienda_B">'3'!$AC$12</definedName>
    <definedName name="Enmienda_C">'3'!$AD$12</definedName>
    <definedName name="Enmienda_D">'3'!$AE$12</definedName>
    <definedName name="Enmienda_Y">'3'!$AF$12</definedName>
    <definedName name="Enmiendas_A">'3'!$AB$13</definedName>
    <definedName name="Enmiendas_B">'3'!$AC$13</definedName>
    <definedName name="Enmiendas_C">'3'!$AD$13</definedName>
    <definedName name="Enmiendas_D">'3'!$AE$13</definedName>
    <definedName name="Enmiendas_Y">'3'!$AF$13</definedName>
    <definedName name="Fertilizante_A">'3'!$AB$11</definedName>
    <definedName name="Fertilizante_B">'3'!$AC$11</definedName>
    <definedName name="Fertilizante_C">'3'!$AD$11</definedName>
    <definedName name="Fertilizante_D">'3'!$AE$11</definedName>
    <definedName name="Fertilizante_Y">'3'!$AF$11</definedName>
    <definedName name="Financiado">'10'!$B$53</definedName>
    <definedName name="Financiamiento">'10'!$B$51</definedName>
    <definedName name="Fungicida_A">'3'!$AB$23</definedName>
    <definedName name="Fungicida_B">'3'!$AC$23</definedName>
    <definedName name="Fungicida_C">'3'!$AD$23</definedName>
    <definedName name="Fungicida_D">'3'!$AE$23</definedName>
    <definedName name="Fungicida_Y">'3'!$AF$23</definedName>
    <definedName name="Gracia">'10'!$B$27</definedName>
    <definedName name="Ha">Inicio!$F$10</definedName>
    <definedName name="Herbicida_A">'3'!$AB$17</definedName>
    <definedName name="Herbicida_B">'3'!$AC$17</definedName>
    <definedName name="Herbicida_C">'3'!$AD$17</definedName>
    <definedName name="Herbicida_D">'3'!$AE$17</definedName>
    <definedName name="Herbicida_Y">'3'!$AF$17</definedName>
    <definedName name="Inferior">'2'!$B$35</definedName>
    <definedName name="Inflación_10">'2'!$D$44</definedName>
    <definedName name="Inflación_11">'2'!$D$45</definedName>
    <definedName name="Inflación_12">'2'!$D$46</definedName>
    <definedName name="Inflación_2">'2'!$D$36</definedName>
    <definedName name="Inflación_3">'2'!$D$37</definedName>
    <definedName name="Inflación_4">'2'!$D$38</definedName>
    <definedName name="Inflación_5">'2'!$D$39</definedName>
    <definedName name="Inflación_6">'2'!$D$40</definedName>
    <definedName name="Inflación_7">'2'!$D$41</definedName>
    <definedName name="Inflación_8">'2'!$D$42</definedName>
    <definedName name="Inflación_9">'2'!$D$43</definedName>
    <definedName name="Insecticida_A">'3'!$AB$20</definedName>
    <definedName name="Insecticida_B">'3'!$AC$20</definedName>
    <definedName name="Insecticida_C">'3'!$AD$20</definedName>
    <definedName name="Insecticida_D">'3'!$AE$20</definedName>
    <definedName name="Insecticida_Y">'3'!$AF$20</definedName>
    <definedName name="LI_A">'3'!$J$6</definedName>
    <definedName name="LI_B">'3'!$J$7</definedName>
    <definedName name="LI_C">'3'!$J$8</definedName>
    <definedName name="LI_D">'3'!$J$9</definedName>
    <definedName name="Limpias_A">'3'!$AB$15</definedName>
    <definedName name="Limpias_B">'3'!$AC$15</definedName>
    <definedName name="Limpias_C">'3'!$AD$15</definedName>
    <definedName name="Limpias_D">'3'!$AE$15</definedName>
    <definedName name="Limpias_Y">'3'!$AF$15</definedName>
    <definedName name="Lote">Diseño!$LY$4:$LY$43</definedName>
    <definedName name="Lote_1">'1'!$C$5</definedName>
    <definedName name="Lote_10">'1'!$C$14</definedName>
    <definedName name="Lote_11">'1'!$C$15</definedName>
    <definedName name="Lote_12">'1'!$C$16</definedName>
    <definedName name="Lote_13">'1'!$C$17</definedName>
    <definedName name="Lote_14">'1'!$C$18</definedName>
    <definedName name="Lote_15">'1'!$C$19</definedName>
    <definedName name="Lote_16">'1'!$C$20</definedName>
    <definedName name="Lote_17">'1'!$C$21</definedName>
    <definedName name="Lote_18">'1'!$C$22</definedName>
    <definedName name="Lote_19">'1'!$C$23</definedName>
    <definedName name="Lote_2">'1'!$C$6</definedName>
    <definedName name="Lote_20">'1'!$C$24</definedName>
    <definedName name="Lote_21">'1'!$C$25</definedName>
    <definedName name="Lote_22">'1'!$C$26</definedName>
    <definedName name="Lote_23">'1'!$C$27</definedName>
    <definedName name="Lote_24">'1'!$C$28</definedName>
    <definedName name="Lote_25">'1'!$C$29</definedName>
    <definedName name="Lote_26">'1'!$C$30</definedName>
    <definedName name="Lote_27">'1'!$C$31</definedName>
    <definedName name="Lote_28">'1'!$C$32</definedName>
    <definedName name="Lote_29">'1'!$C$33</definedName>
    <definedName name="Lote_3">'1'!$C$7</definedName>
    <definedName name="Lote_30">'1'!$C$34</definedName>
    <definedName name="Lote_31">'1'!$C$35</definedName>
    <definedName name="Lote_32">'1'!$C$36</definedName>
    <definedName name="Lote_33">'1'!$C$37</definedName>
    <definedName name="Lote_34">'1'!$C$38</definedName>
    <definedName name="Lote_35">'1'!$C$39</definedName>
    <definedName name="Lote_36">'1'!$C$40</definedName>
    <definedName name="Lote_37">'1'!$C$41</definedName>
    <definedName name="Lote_38">'1'!$C$42</definedName>
    <definedName name="Lote_39">'1'!$C$43</definedName>
    <definedName name="Lote_4">'1'!$C$8</definedName>
    <definedName name="Lote_40">'1'!$C$44</definedName>
    <definedName name="Lote_5">'1'!$C$9</definedName>
    <definedName name="Lote_6">'1'!$C$10</definedName>
    <definedName name="Lote_7">'1'!$C$11</definedName>
    <definedName name="Lote_8">'1'!$C$12</definedName>
    <definedName name="Lote_9">'1'!$C$13</definedName>
    <definedName name="Lote_Ex">'9'!$B$4:$B$80001</definedName>
    <definedName name="Lotes">'1'!$B$5:$B$44</definedName>
    <definedName name="Lotes_Cant.">'1'!$A$5:$A$44</definedName>
    <definedName name="LS_B">'3'!$K$7</definedName>
    <definedName name="LS_C">'3'!$K$8</definedName>
    <definedName name="LS_D">'3'!$K$9</definedName>
    <definedName name="Malezas_A">'3'!$AB$16</definedName>
    <definedName name="Malezas_B">'3'!$AC$16</definedName>
    <definedName name="Malezas_C">'3'!$AD$16</definedName>
    <definedName name="Malezas_D">'3'!$AE$16</definedName>
    <definedName name="Malezas_Y">'3'!$AF$16</definedName>
    <definedName name="MO_Conservación_A">'3'!$T$27</definedName>
    <definedName name="MO_Conservación_B">'3'!$U$27</definedName>
    <definedName name="MO_Conservación_C">'3'!$V$27</definedName>
    <definedName name="MO_Conservación_D">'3'!$W$27</definedName>
    <definedName name="MO_Conservación_Y">'3'!$X$27</definedName>
    <definedName name="MO_Deshije_A">'3'!$T$7</definedName>
    <definedName name="MO_Deshije_B">'3'!$U$7</definedName>
    <definedName name="MO_Deshije_C">'3'!$V$7</definedName>
    <definedName name="MO_Deshije_D">'3'!$W$7</definedName>
    <definedName name="MO_Deshije_Y">'3'!$X$7</definedName>
    <definedName name="MO_Enfermedades_A">'3'!$T$22</definedName>
    <definedName name="MO_Enfermedades_B">'3'!$U$22</definedName>
    <definedName name="MO_Enfermedades_C">'3'!$V$22</definedName>
    <definedName name="MO_Enfermedades_D">'3'!$W$22</definedName>
    <definedName name="MO_Enfermedades_Y">'3'!$X$22</definedName>
    <definedName name="MO_Enmiendas_A">'3'!$T$12</definedName>
    <definedName name="MO_Enmiendas_B">'3'!$U$12</definedName>
    <definedName name="MO_Enmiendas_C">'3'!$V$12</definedName>
    <definedName name="MO_Enmiendas_D">'3'!$W$12</definedName>
    <definedName name="MO_Enmiendas_Y">'3'!$X$12</definedName>
    <definedName name="MO_Limpias_A">'3'!$T$15</definedName>
    <definedName name="MO_Limpias_B">'3'!$U$15</definedName>
    <definedName name="MO_Limpias_C">'3'!$V$15</definedName>
    <definedName name="MO_Limpias_D">'3'!$W$15</definedName>
    <definedName name="MO_Limpias_Y">'3'!$X$19</definedName>
    <definedName name="MO_Nutrición_A">'3'!$T$9</definedName>
    <definedName name="MO_Nutrición_B">'3'!$U$9</definedName>
    <definedName name="MO_Nutrición_C">'3'!$V$9</definedName>
    <definedName name="MO_Nutrición_D">'3'!$W$9</definedName>
    <definedName name="MO_Nutrición_Y">'3'!$X$9</definedName>
    <definedName name="MO_Otros_A">'3'!$T$28</definedName>
    <definedName name="MO_Otros_B">'3'!$U$28</definedName>
    <definedName name="MO_Otros_C">'3'!$V$28</definedName>
    <definedName name="MO_Otros_D">'3'!$W$28</definedName>
    <definedName name="MO_Otros_Y">'3'!$X$28</definedName>
    <definedName name="MO_Plagas_A">'3'!$T$19</definedName>
    <definedName name="MO_Plagas_B">'3'!$U$19</definedName>
    <definedName name="MO_Plagas_C">'3'!$V$19</definedName>
    <definedName name="MO_Plagas_D">'3'!$W$19</definedName>
    <definedName name="MO_Poda_A">'3'!$T$6</definedName>
    <definedName name="MO_Poda_B">'3'!$U$6</definedName>
    <definedName name="MO_Poda_C">'3'!$V$6</definedName>
    <definedName name="MO_Poda_D">'3'!$W$6</definedName>
    <definedName name="MO_Poda_Y">'3'!$X$6</definedName>
    <definedName name="MO_Químico_A">'3'!$T$16</definedName>
    <definedName name="MO_Químico_B">'3'!$U$16</definedName>
    <definedName name="MO_Químico_C">'3'!$V$16</definedName>
    <definedName name="MO_Químico_D">'3'!$W$16</definedName>
    <definedName name="MO_Químico_Y">'3'!$X$16</definedName>
    <definedName name="MO_Sombra_A">'3'!$T$26</definedName>
    <definedName name="MO_Sombra_B">'3'!$U$26</definedName>
    <definedName name="MO_Sombra_C">'3'!$V$26</definedName>
    <definedName name="MO_Sombra_D">'3'!$W$26</definedName>
    <definedName name="MO_Sombra_Y">'3'!$X$26</definedName>
    <definedName name="Mz">Inicio!$F$9</definedName>
    <definedName name="N_L1">'1'!$B$5</definedName>
    <definedName name="N_L10">'1'!$B$14</definedName>
    <definedName name="N_L11">'1'!$B$15</definedName>
    <definedName name="N_L12">'1'!$B$16</definedName>
    <definedName name="N_L13">'1'!$B$17</definedName>
    <definedName name="N_L14">'1'!$B$18</definedName>
    <definedName name="N_L15">'1'!$B$19</definedName>
    <definedName name="N_L16">'1'!$B$20</definedName>
    <definedName name="N_L17">'1'!$B$21</definedName>
    <definedName name="N_L18">'1'!$B$22</definedName>
    <definedName name="N_L19">'1'!$B$23</definedName>
    <definedName name="N_L2">'1'!$B$6</definedName>
    <definedName name="N_L20">'1'!$B$24</definedName>
    <definedName name="N_L21">'1'!$B$25</definedName>
    <definedName name="N_L22">'1'!$B$26</definedName>
    <definedName name="N_L23">'1'!$B$27</definedName>
    <definedName name="N_L24">'1'!$B$28</definedName>
    <definedName name="N_L25">'1'!$B$29</definedName>
    <definedName name="N_L26">'1'!$B$30</definedName>
    <definedName name="N_L27">'1'!$B$31</definedName>
    <definedName name="N_L28">'1'!$B$32</definedName>
    <definedName name="N_L29">'1'!$B$33</definedName>
    <definedName name="N_L3">'1'!$B$7</definedName>
    <definedName name="N_L30">'1'!$B$34</definedName>
    <definedName name="N_L31">'1'!$B$35</definedName>
    <definedName name="N_L32">'1'!$B$36</definedName>
    <definedName name="N_L33">'1'!$B$37</definedName>
    <definedName name="N_L34">'1'!$B$38</definedName>
    <definedName name="N_L35">'1'!$B$39</definedName>
    <definedName name="N_L36">'1'!$B$40</definedName>
    <definedName name="N_L37">'1'!$B$41</definedName>
    <definedName name="N_L38">'1'!$B$42</definedName>
    <definedName name="N_L39">'1'!$B$43</definedName>
    <definedName name="N_L4">'1'!$B$8</definedName>
    <definedName name="N_L40">'1'!$B$44</definedName>
    <definedName name="N_L5">'1'!$B$9</definedName>
    <definedName name="N_L6">'1'!$B$10</definedName>
    <definedName name="N_L7">'1'!$B$11</definedName>
    <definedName name="N_L8">'1'!$B$12</definedName>
    <definedName name="N_L9">'1'!$B$13</definedName>
    <definedName name="Nutrición_A">'3'!$AB$9</definedName>
    <definedName name="Nutrición_B">'3'!$AC$9</definedName>
    <definedName name="Nutrición_C">'3'!$AD$9</definedName>
    <definedName name="Nutrición_D">'3'!$AE$9</definedName>
    <definedName name="Nutrición_Y">'3'!$AF$9</definedName>
    <definedName name="Oro">'2'!$B$18</definedName>
    <definedName name="Otras_A">'3'!$AB$28</definedName>
    <definedName name="Otras_B">'3'!$AC$28</definedName>
    <definedName name="Otras_C">'3'!$AD$28</definedName>
    <definedName name="Otras_D">'3'!$AE$28</definedName>
    <definedName name="Otras_Y">'3'!$AF$28</definedName>
    <definedName name="Otro_Insumo_2">'2'!$C$12</definedName>
    <definedName name="Otro_Insumo_3">'2'!$C$13</definedName>
    <definedName name="Otro1_A">'3'!$AB$29</definedName>
    <definedName name="Otro1_B">'3'!$AC$29</definedName>
    <definedName name="Otro1_C">'3'!$AD$29</definedName>
    <definedName name="Otro1_D">'3'!$AE$29</definedName>
    <definedName name="Otro1_Y">'3'!$AF$29</definedName>
    <definedName name="Otro2_A">'3'!$AB$30</definedName>
    <definedName name="Otro2_B">'3'!$AC$30</definedName>
    <definedName name="Otro2_C">'3'!$AD$30</definedName>
    <definedName name="Otro2_D">'3'!$AE$30</definedName>
    <definedName name="Otro2_Y">'3'!$AF$30</definedName>
    <definedName name="Otro3_A">'3'!$AB$31</definedName>
    <definedName name="Otro3_B">'3'!$AC$31</definedName>
    <definedName name="Otro3_C">'3'!$AD$31</definedName>
    <definedName name="Otro3_D">'3'!$AE$31</definedName>
    <definedName name="Otro3_Y">'3'!$AF$31</definedName>
    <definedName name="P_A1">Diseño!$MY$4:$MY$43</definedName>
    <definedName name="P_A1_L1">Diseño!$MY$4</definedName>
    <definedName name="P_A1_L10">Diseño!$MY$13</definedName>
    <definedName name="P_A1_L11">Diseño!$MY$14</definedName>
    <definedName name="P_A1_L12">Diseño!$MY$15</definedName>
    <definedName name="P_A1_L13">Diseño!$MY$16</definedName>
    <definedName name="P_A1_L14">Diseño!$MY$17</definedName>
    <definedName name="P_A1_L15">Diseño!$MY$18</definedName>
    <definedName name="P_A1_L16">Diseño!$MY$19</definedName>
    <definedName name="P_A1_L17">Diseño!$MY$20</definedName>
    <definedName name="P_A1_L18">Diseño!$MY$21</definedName>
    <definedName name="P_A1_L19">Diseño!$MY$22</definedName>
    <definedName name="P_A1_L2">Diseño!$MY$5</definedName>
    <definedName name="P_A1_L20">Diseño!$MY$23</definedName>
    <definedName name="P_A1_L21">Diseño!$MY$24</definedName>
    <definedName name="P_A1_L22">Diseño!$MY$25</definedName>
    <definedName name="P_A1_L23">Diseño!$MY$26</definedName>
    <definedName name="P_A1_L24">Diseño!$MY$27</definedName>
    <definedName name="P_A1_L25">Diseño!$MY$28</definedName>
    <definedName name="P_A1_L26">Diseño!$MY$29</definedName>
    <definedName name="P_A1_L27">Diseño!$MY$30</definedName>
    <definedName name="P_A1_L28">Diseño!$MY$31</definedName>
    <definedName name="P_A1_L29">Diseño!$MY$32</definedName>
    <definedName name="P_A1_L3">Diseño!$MY$6</definedName>
    <definedName name="P_A1_L30">Diseño!$MY$33</definedName>
    <definedName name="P_A1_L31">Diseño!$MY$34</definedName>
    <definedName name="P_A1_L32">Diseño!$MY$35</definedName>
    <definedName name="P_A1_L33">Diseño!$MY$36</definedName>
    <definedName name="P_A1_L34">Diseño!$MY$37</definedName>
    <definedName name="P_A1_L35">Diseño!$MY$38</definedName>
    <definedName name="P_A1_L36">Diseño!$MY$39</definedName>
    <definedName name="P_A1_L37">Diseño!$MY$40</definedName>
    <definedName name="P_A1_L38">Diseño!$MY$41</definedName>
    <definedName name="P_A1_L39">Diseño!$MY$42</definedName>
    <definedName name="P_A1_L4">Diseño!$MY$7</definedName>
    <definedName name="P_A1_L40">Diseño!$MY$43</definedName>
    <definedName name="P_A1_L5">Diseño!$MY$8</definedName>
    <definedName name="P_A1_L6">Diseño!$MY$9</definedName>
    <definedName name="P_A1_L7">Diseño!$MY$10</definedName>
    <definedName name="P_A1_L8">Diseño!$MY$11</definedName>
    <definedName name="P_A1_L9">Diseño!$MY$12</definedName>
    <definedName name="P_A10">Diseño!$NQ$4:$NQ$43</definedName>
    <definedName name="P_A10_L1">Diseño!$NQ$4</definedName>
    <definedName name="P_A10_L10">Diseño!$NQ$13</definedName>
    <definedName name="P_A10_L11">Diseño!$NQ$14</definedName>
    <definedName name="P_A10_L12">Diseño!$NQ$15</definedName>
    <definedName name="P_A10_L13">Diseño!$NQ$16</definedName>
    <definedName name="P_A10_L14">Diseño!$NQ$17</definedName>
    <definedName name="P_A10_L15">Diseño!$NQ$18</definedName>
    <definedName name="P_A10_L16">Diseño!$NQ$19</definedName>
    <definedName name="P_A10_L17">Diseño!$NQ$20</definedName>
    <definedName name="P_A10_L18">Diseño!$NQ$21</definedName>
    <definedName name="P_A10_L19">Diseño!$NQ$22</definedName>
    <definedName name="P_A10_L2">Diseño!$NQ$5</definedName>
    <definedName name="P_A10_L20">Diseño!$NQ$23</definedName>
    <definedName name="P_A10_L21">Diseño!$NQ$24</definedName>
    <definedName name="P_A10_L22">Diseño!$NQ$25</definedName>
    <definedName name="P_A10_L23">Diseño!$NQ$26</definedName>
    <definedName name="P_A10_L24">Diseño!$NQ$27</definedName>
    <definedName name="P_A10_L25">Diseño!$NQ$28</definedName>
    <definedName name="P_A10_L26">Diseño!$NQ$29</definedName>
    <definedName name="P_A10_L27">Diseño!$NQ$30</definedName>
    <definedName name="P_A10_L28">Diseño!$NQ$31</definedName>
    <definedName name="P_A10_L29">Diseño!$NQ$32</definedName>
    <definedName name="P_A10_L3">Diseño!$NQ$6</definedName>
    <definedName name="P_A10_L30">Diseño!$NQ$33</definedName>
    <definedName name="P_A10_L31">Diseño!$NQ$34</definedName>
    <definedName name="P_A10_L32">Diseño!$NQ$35</definedName>
    <definedName name="P_A10_L33">Diseño!$NQ$36</definedName>
    <definedName name="P_A10_L34">Diseño!$NQ$37</definedName>
    <definedName name="P_A10_L35">Diseño!$NQ$38</definedName>
    <definedName name="P_A10_L36">Diseño!$NQ$39</definedName>
    <definedName name="P_A10_L37">Diseño!$NQ$40</definedName>
    <definedName name="P_A10_L38">Diseño!$NQ$41</definedName>
    <definedName name="P_A10_L39">Diseño!$NQ$42</definedName>
    <definedName name="P_A10_L4">Diseño!$NQ$7</definedName>
    <definedName name="P_A10_L40">Diseño!$NQ$43</definedName>
    <definedName name="P_A10_L5">Diseño!$NQ$8</definedName>
    <definedName name="P_A10_L6">Diseño!$NQ$9</definedName>
    <definedName name="P_A10_L7">Diseño!$NQ$10</definedName>
    <definedName name="P_A10_L8">Diseño!$NQ$11</definedName>
    <definedName name="P_A10_L9">Diseño!$NQ$12</definedName>
    <definedName name="P_A11">Diseño!$NS$4:$NS$43</definedName>
    <definedName name="P_A11_L1">Diseño!$NS$4</definedName>
    <definedName name="P_A11_L10">Diseño!$NS$13</definedName>
    <definedName name="P_A11_L11">Diseño!$NS$14</definedName>
    <definedName name="P_A11_L12">Diseño!$NS$15</definedName>
    <definedName name="P_A11_L13">Diseño!$NS$16</definedName>
    <definedName name="P_A11_L14">Diseño!$NS$17</definedName>
    <definedName name="P_A11_L15">Diseño!$NS$18</definedName>
    <definedName name="P_A11_L16">Diseño!$NS$19</definedName>
    <definedName name="P_A11_L17">Diseño!$NS$20</definedName>
    <definedName name="P_A11_L18">Diseño!$NS$21</definedName>
    <definedName name="P_A11_L19">Diseño!$NS$22</definedName>
    <definedName name="P_A11_L2">Diseño!$NS$5</definedName>
    <definedName name="P_A11_L20">Diseño!$NS$23</definedName>
    <definedName name="P_A11_L21">Diseño!$NS$24</definedName>
    <definedName name="P_A11_L22">Diseño!$NS$25</definedName>
    <definedName name="P_A11_L23">Diseño!$NS$26</definedName>
    <definedName name="P_A11_L24">Diseño!$NS$27</definedName>
    <definedName name="P_A11_L25">Diseño!$NS$28</definedName>
    <definedName name="P_A11_L26">Diseño!$NS$29</definedName>
    <definedName name="P_A11_L27">Diseño!$NS$30</definedName>
    <definedName name="P_A11_L28">Diseño!$NS$31</definedName>
    <definedName name="P_A11_L29">Diseño!$NS$32</definedName>
    <definedName name="P_A11_L3">Diseño!$NS$6</definedName>
    <definedName name="P_A11_L30">Diseño!$NS$33</definedName>
    <definedName name="P_A11_L31">Diseño!$NS$34</definedName>
    <definedName name="P_A11_L32">Diseño!$NS$35</definedName>
    <definedName name="P_A11_L33">Diseño!$NS$36</definedName>
    <definedName name="P_A11_L34">Diseño!$NS$37</definedName>
    <definedName name="P_A11_L35">Diseño!$NS$38</definedName>
    <definedName name="P_A11_L36">Diseño!$NS$39</definedName>
    <definedName name="P_A11_L37">Diseño!$NS$40</definedName>
    <definedName name="P_A11_L38">Diseño!$NS$41</definedName>
    <definedName name="P_A11_L39">Diseño!$NS$42</definedName>
    <definedName name="P_A11_L4">Diseño!$NS$7</definedName>
    <definedName name="P_A11_L40">Diseño!$NS$43</definedName>
    <definedName name="P_A11_L5">Diseño!$NS$8</definedName>
    <definedName name="P_A11_L6">Diseño!$NS$9</definedName>
    <definedName name="P_A11_L7">Diseño!$NS$10</definedName>
    <definedName name="P_A11_L8">Diseño!$NS$11</definedName>
    <definedName name="P_A11_L9">Diseño!$NS$12</definedName>
    <definedName name="P_A12">Diseño!$NU$4:$NU$43</definedName>
    <definedName name="P_A12_L1">Diseño!$NU$4</definedName>
    <definedName name="P_A12_L10">Diseño!$NU$13</definedName>
    <definedName name="P_A12_L11">Diseño!$NU$14</definedName>
    <definedName name="P_A12_L12">Diseño!$NU$15</definedName>
    <definedName name="P_A12_L13">Diseño!$NU$16</definedName>
    <definedName name="P_A12_L14">Diseño!$NU$17</definedName>
    <definedName name="P_A12_L15">Diseño!$NU$18</definedName>
    <definedName name="P_A12_L16">Diseño!$NU$19</definedName>
    <definedName name="P_A12_L17">Diseño!$NU$20</definedName>
    <definedName name="P_A12_L18">Diseño!$NU$21</definedName>
    <definedName name="P_A12_L19">Diseño!$NU$22</definedName>
    <definedName name="P_A12_L2">Diseño!$NU$5</definedName>
    <definedName name="P_A12_L20">Diseño!$NU$23</definedName>
    <definedName name="P_A12_L21">Diseño!$NU$24</definedName>
    <definedName name="P_A12_L22">Diseño!$NU$25</definedName>
    <definedName name="P_A12_L23">Diseño!$NU$26</definedName>
    <definedName name="P_A12_L24">Diseño!$NU$27</definedName>
    <definedName name="P_A12_L25">Diseño!$NU$28</definedName>
    <definedName name="P_A12_L26">Diseño!$NU$29</definedName>
    <definedName name="P_A12_L27">Diseño!$NU$30</definedName>
    <definedName name="P_A12_L28">Diseño!$NU$31</definedName>
    <definedName name="P_A12_L29">Diseño!$NU$32</definedName>
    <definedName name="P_A12_L3">Diseño!$NU$6</definedName>
    <definedName name="P_A12_L30">Diseño!$NU$33</definedName>
    <definedName name="P_A12_L31">Diseño!$NU$34</definedName>
    <definedName name="P_A12_L32">Diseño!$NU$35</definedName>
    <definedName name="P_A12_L33">Diseño!$NU$36</definedName>
    <definedName name="P_A12_L34">Diseño!$NU$37</definedName>
    <definedName name="P_A12_L35">Diseño!$NU$38</definedName>
    <definedName name="P_A12_L36">Diseño!$NU$39</definedName>
    <definedName name="P_A12_L37">Diseño!$NU$40</definedName>
    <definedName name="P_A12_L38">Diseño!$NU$41</definedName>
    <definedName name="P_A12_L39">Diseño!$NU$42</definedName>
    <definedName name="P_A12_L4">Diseño!$NU$7</definedName>
    <definedName name="P_A12_L40">Diseño!$NU$43</definedName>
    <definedName name="P_A12_L5">Diseño!$NU$8</definedName>
    <definedName name="P_A12_L6">Diseño!$NU$9</definedName>
    <definedName name="P_A12_L7">Diseño!$NU$10</definedName>
    <definedName name="P_A12_L8">Diseño!$NU$11</definedName>
    <definedName name="P_A12_L9">Diseño!$NU$12</definedName>
    <definedName name="P_A2">Diseño!$NA$4:$NA$43</definedName>
    <definedName name="P_A2_L1">Diseño!$NA$4</definedName>
    <definedName name="P_A2_L10">Diseño!$NA$13</definedName>
    <definedName name="P_A2_L11">Diseño!$NA$14</definedName>
    <definedName name="P_A2_L12">Diseño!$NA$15</definedName>
    <definedName name="P_A2_L13">Diseño!$NA$16</definedName>
    <definedName name="P_A2_L14">Diseño!$NA$17</definedName>
    <definedName name="P_A2_L15">Diseño!$NA$18</definedName>
    <definedName name="P_A2_L16">Diseño!$NA$19</definedName>
    <definedName name="P_A2_L17">Diseño!$NA$20</definedName>
    <definedName name="P_A2_L18">Diseño!$NA$21</definedName>
    <definedName name="P_A2_L19">Diseño!$NA$22</definedName>
    <definedName name="P_A2_L2">Diseño!$NA$5</definedName>
    <definedName name="P_A2_L20">Diseño!$NA$23</definedName>
    <definedName name="P_A2_L21">Diseño!$NA$24</definedName>
    <definedName name="P_A2_L22">Diseño!$NA$25</definedName>
    <definedName name="P_A2_L23">Diseño!$NA$26</definedName>
    <definedName name="P_A2_L24">Diseño!$NA$27</definedName>
    <definedName name="P_A2_L25">Diseño!$NA$28</definedName>
    <definedName name="P_A2_L26">Diseño!$NA$29</definedName>
    <definedName name="P_A2_L27">Diseño!$NA$30</definedName>
    <definedName name="P_A2_L28">Diseño!$NA$31</definedName>
    <definedName name="P_A2_L29">Diseño!$NA$32</definedName>
    <definedName name="P_A2_L3">Diseño!$NA$6</definedName>
    <definedName name="P_A2_L30">Diseño!$NA$33</definedName>
    <definedName name="P_A2_L31">Diseño!$NA$34</definedName>
    <definedName name="P_A2_L32">Diseño!$NA$35</definedName>
    <definedName name="P_A2_L33">Diseño!$NA$36</definedName>
    <definedName name="P_A2_L34">Diseño!$NA$37</definedName>
    <definedName name="P_A2_L35">Diseño!$NA$38</definedName>
    <definedName name="P_A2_L36">Diseño!$NA$39</definedName>
    <definedName name="P_A2_L37">Diseño!$NA$40</definedName>
    <definedName name="P_A2_L38">Diseño!$NA$41</definedName>
    <definedName name="P_A2_L39">Diseño!$NA$42</definedName>
    <definedName name="P_A2_L4">Diseño!$NA$7</definedName>
    <definedName name="P_A2_L40">Diseño!$NA$43</definedName>
    <definedName name="P_A2_L5">Diseño!$NA$8</definedName>
    <definedName name="P_A2_L6">Diseño!$NA$9</definedName>
    <definedName name="P_A2_L7">Diseño!$NA$10</definedName>
    <definedName name="P_A2_L8">Diseño!$NA$11</definedName>
    <definedName name="P_A2_L9">Diseño!$NA$12</definedName>
    <definedName name="P_A3">Diseño!$NC$4:$NC$43</definedName>
    <definedName name="P_A3_L1">Diseño!$NC$4</definedName>
    <definedName name="P_A3_L10">Diseño!$NC$13</definedName>
    <definedName name="P_A3_L11">Diseño!$NC$14</definedName>
    <definedName name="P_A3_L12">Diseño!$NC$15</definedName>
    <definedName name="P_A3_L13">Diseño!$NC$16</definedName>
    <definedName name="P_A3_L14">Diseño!$NC$17</definedName>
    <definedName name="P_A3_L15">Diseño!$NC$18</definedName>
    <definedName name="P_A3_L16">Diseño!$NC$19</definedName>
    <definedName name="P_A3_L17">Diseño!$NC$20</definedName>
    <definedName name="P_A3_L18">Diseño!$NC$21</definedName>
    <definedName name="P_A3_L19">Diseño!$NC$22</definedName>
    <definedName name="P_A3_L2">Diseño!$NC$5</definedName>
    <definedName name="P_A3_L20">Diseño!$NC$23</definedName>
    <definedName name="P_A3_L21">Diseño!$NC$24</definedName>
    <definedName name="P_A3_L22">Diseño!$NC$25</definedName>
    <definedName name="P_A3_L23">Diseño!$NC$26</definedName>
    <definedName name="P_A3_L24">Diseño!$NC$27</definedName>
    <definedName name="P_A3_L25">Diseño!$NC$28</definedName>
    <definedName name="P_A3_L26">Diseño!$NC$29</definedName>
    <definedName name="P_A3_L27">Diseño!$NC$30</definedName>
    <definedName name="P_A3_L28">Diseño!$NC$31</definedName>
    <definedName name="P_A3_L29">Diseño!$NC$32</definedName>
    <definedName name="P_A3_L3">Diseño!$NC$6</definedName>
    <definedName name="P_A3_L30">Diseño!$NC$33</definedName>
    <definedName name="P_A3_L31">Diseño!$NC$34</definedName>
    <definedName name="P_A3_L32">Diseño!$NC$35</definedName>
    <definedName name="P_A3_L33">Diseño!$NC$36</definedName>
    <definedName name="P_A3_L34">Diseño!$NC$37</definedName>
    <definedName name="P_A3_L35">Diseño!$NC$38</definedName>
    <definedName name="P_A3_L36">Diseño!$NC$39</definedName>
    <definedName name="P_A3_L37">Diseño!$NC$40</definedName>
    <definedName name="P_A3_L38">Diseño!$NC$41</definedName>
    <definedName name="P_A3_L39">Diseño!$NC$42</definedName>
    <definedName name="P_A3_L4">Diseño!$NC$7</definedName>
    <definedName name="P_A3_L40">Diseño!$NC$43</definedName>
    <definedName name="P_A3_L5">Diseño!$NC$8</definedName>
    <definedName name="P_A3_L6">Diseño!$NC$9</definedName>
    <definedName name="P_A3_L7">Diseño!$NC$10</definedName>
    <definedName name="P_A3_L8">Diseño!$NC$11</definedName>
    <definedName name="P_A3_L9">Diseño!$NC$12</definedName>
    <definedName name="P_A4">Diseño!$NE$4:$NE$43</definedName>
    <definedName name="P_A4_L1">Diseño!$NE$4</definedName>
    <definedName name="P_A4_L10">Diseño!$NE$13</definedName>
    <definedName name="P_A4_L11">Diseño!$NE$14</definedName>
    <definedName name="P_A4_L12">Diseño!$NE$15</definedName>
    <definedName name="P_A4_L13">Diseño!$NE$16</definedName>
    <definedName name="P_A4_L14">Diseño!$NE$17</definedName>
    <definedName name="P_A4_L15">Diseño!$NE$18</definedName>
    <definedName name="P_A4_L16">Diseño!$NE$19</definedName>
    <definedName name="P_A4_L17">Diseño!$NE$20</definedName>
    <definedName name="P_A4_L18">Diseño!$NE$21</definedName>
    <definedName name="P_A4_L19">Diseño!$NE$22</definedName>
    <definedName name="P_A4_L2">Diseño!$NE$5</definedName>
    <definedName name="P_A4_L20">Diseño!$NE$23</definedName>
    <definedName name="P_A4_L21">Diseño!$NE$24</definedName>
    <definedName name="P_A4_L22">Diseño!$NE$25</definedName>
    <definedName name="P_A4_L23">Diseño!$NE$26</definedName>
    <definedName name="P_A4_L24">Diseño!$NE$27</definedName>
    <definedName name="P_A4_L25">Diseño!$NE$28</definedName>
    <definedName name="P_A4_L26">Diseño!$NE$29</definedName>
    <definedName name="P_A4_L27">Diseño!$NE$30</definedName>
    <definedName name="P_A4_L28">Diseño!$NE$31</definedName>
    <definedName name="P_A4_L29">Diseño!$NE$32</definedName>
    <definedName name="P_A4_L3">Diseño!$NE$6</definedName>
    <definedName name="P_A4_L30">Diseño!$NE$33</definedName>
    <definedName name="P_A4_L31">Diseño!$NE$34</definedName>
    <definedName name="P_A4_L32">Diseño!$NE$35</definedName>
    <definedName name="P_A4_L33">Diseño!$NE$36</definedName>
    <definedName name="P_A4_L34">Diseño!$NE$37</definedName>
    <definedName name="P_A4_L35">Diseño!$NE$38</definedName>
    <definedName name="P_A4_L36">Diseño!$NE$39</definedName>
    <definedName name="P_A4_L37">Diseño!$NE$40</definedName>
    <definedName name="P_A4_L38">Diseño!$NE$41</definedName>
    <definedName name="P_A4_L39">Diseño!$NE$42</definedName>
    <definedName name="P_A4_L4">Diseño!$NE$7</definedName>
    <definedName name="P_A4_L40">Diseño!$NE$43</definedName>
    <definedName name="P_A4_L5">Diseño!$NE$8</definedName>
    <definedName name="P_A4_L6">Diseño!$NE$9</definedName>
    <definedName name="P_A4_L7">Diseño!$NE$10</definedName>
    <definedName name="P_A4_L8">Diseño!$NE$11</definedName>
    <definedName name="P_A4_L9">Diseño!$NE$12</definedName>
    <definedName name="P_A5">Diseño!$NG$4:$NG$43</definedName>
    <definedName name="P_A5_L1">Diseño!$NG$4</definedName>
    <definedName name="P_A5_L10">Diseño!$NG$13</definedName>
    <definedName name="P_A5_L11">Diseño!$NG$14</definedName>
    <definedName name="P_A5_L12">Diseño!$NG$15</definedName>
    <definedName name="P_A5_L13">Diseño!$NG$16</definedName>
    <definedName name="P_A5_L14">Diseño!$NG$17</definedName>
    <definedName name="P_A5_L15">Diseño!$NG$18</definedName>
    <definedName name="P_A5_L16">Diseño!$NG$19</definedName>
    <definedName name="P_A5_L17">Diseño!$NG$20</definedName>
    <definedName name="P_A5_L18">Diseño!$NG$21</definedName>
    <definedName name="P_A5_L19">Diseño!$NG$22</definedName>
    <definedName name="P_A5_L2">Diseño!$NG$5</definedName>
    <definedName name="P_A5_L20">Diseño!$NG$23</definedName>
    <definedName name="P_A5_L21">Diseño!$NG$24</definedName>
    <definedName name="P_A5_L22">Diseño!$NG$25</definedName>
    <definedName name="P_A5_L23">Diseño!$NG$26</definedName>
    <definedName name="P_A5_L24">Diseño!$NG$27</definedName>
    <definedName name="P_A5_L25">Diseño!$NG$28</definedName>
    <definedName name="P_A5_L26">Diseño!$NG$29</definedName>
    <definedName name="P_A5_L27">Diseño!$NG$30</definedName>
    <definedName name="P_A5_L28">Diseño!$NG$31</definedName>
    <definedName name="P_A5_L29">Diseño!$NG$32</definedName>
    <definedName name="P_A5_L3">Diseño!$NG$6</definedName>
    <definedName name="P_A5_L30">Diseño!$NG$33</definedName>
    <definedName name="P_A5_L31">Diseño!$NG$34</definedName>
    <definedName name="P_A5_L32">Diseño!$NG$35</definedName>
    <definedName name="P_A5_L33">Diseño!$NG$36</definedName>
    <definedName name="P_A5_L34">Diseño!$NG$37</definedName>
    <definedName name="P_A5_L35">Diseño!$NG$38</definedName>
    <definedName name="P_A5_L36">Diseño!$NG$39</definedName>
    <definedName name="P_A5_L37">Diseño!$NG$40</definedName>
    <definedName name="P_A5_L38">Diseño!$NG$41</definedName>
    <definedName name="P_A5_L39">Diseño!$NG$42</definedName>
    <definedName name="P_A5_L4">Diseño!$NG$7</definedName>
    <definedName name="P_A5_L40">Diseño!$NG$43</definedName>
    <definedName name="P_A5_L5">Diseño!$NG$8</definedName>
    <definedName name="P_A5_L6">Diseño!$NG$9</definedName>
    <definedName name="P_A5_L7">Diseño!$NG$10</definedName>
    <definedName name="P_A5_L8">Diseño!$NG$11</definedName>
    <definedName name="P_A5_L9">Diseño!$NG$12</definedName>
    <definedName name="P_A6">Diseño!$NI$4:$NI$43</definedName>
    <definedName name="P_A6_L1">Diseño!$NI$4</definedName>
    <definedName name="P_A6_L10">Diseño!$NI$13</definedName>
    <definedName name="P_A6_L11">Diseño!$NI$14</definedName>
    <definedName name="P_A6_L12">Diseño!$NI$15</definedName>
    <definedName name="P_A6_L13">Diseño!$NI$16</definedName>
    <definedName name="P_A6_L14">Diseño!$NI$17</definedName>
    <definedName name="P_A6_L15">Diseño!$NI$18</definedName>
    <definedName name="P_A6_L16">Diseño!$NI$19</definedName>
    <definedName name="P_A6_L17">Diseño!$NI$20</definedName>
    <definedName name="P_A6_L18">Diseño!$NI$21</definedName>
    <definedName name="P_A6_L19">Diseño!$NI$22</definedName>
    <definedName name="P_A6_L2">Diseño!$NI$5</definedName>
    <definedName name="P_A6_L20">Diseño!$NI$23</definedName>
    <definedName name="P_A6_L21">Diseño!$NI$24</definedName>
    <definedName name="P_A6_L22">Diseño!$NI$25</definedName>
    <definedName name="P_A6_L23">Diseño!$NI$26</definedName>
    <definedName name="P_A6_L24">Diseño!$NI$27</definedName>
    <definedName name="P_A6_L25">Diseño!$NI$28</definedName>
    <definedName name="P_A6_L26">Diseño!$NI$29</definedName>
    <definedName name="P_A6_L27">Diseño!$NI$30</definedName>
    <definedName name="P_A6_L28">Diseño!$NI$31</definedName>
    <definedName name="P_A6_L29">Diseño!$NI$32</definedName>
    <definedName name="P_A6_L3">Diseño!$NI$6</definedName>
    <definedName name="P_A6_L30">Diseño!$NI$33</definedName>
    <definedName name="P_A6_L31">Diseño!$NI$34</definedName>
    <definedName name="P_A6_L32">Diseño!$NI$35</definedName>
    <definedName name="P_A6_L33">Diseño!$NI$36</definedName>
    <definedName name="P_A6_L34">Diseño!$NI$37</definedName>
    <definedName name="P_A6_L35">Diseño!$NI$38</definedName>
    <definedName name="P_A6_L36">Diseño!$NI$39</definedName>
    <definedName name="P_A6_L37">Diseño!$NI$40</definedName>
    <definedName name="P_A6_L38">Diseño!$NI$41</definedName>
    <definedName name="P_A6_L39">Diseño!$NI$42</definedName>
    <definedName name="P_A6_L4">Diseño!$NI$7</definedName>
    <definedName name="P_A6_L40">Diseño!$NI$43</definedName>
    <definedName name="P_A6_L5">Diseño!$NI$8</definedName>
    <definedName name="P_A6_L6">Diseño!$NI$9</definedName>
    <definedName name="P_A6_L7">Diseño!$NI$10</definedName>
    <definedName name="P_A6_L8">Diseño!$NI$11</definedName>
    <definedName name="P_A6_L9">Diseño!$NI$12</definedName>
    <definedName name="P_A7">Diseño!$NK$4:$NK$43</definedName>
    <definedName name="P_A7_L1">Diseño!$NK$4</definedName>
    <definedName name="P_A7_L10">Diseño!$NK$13</definedName>
    <definedName name="P_A7_L11">Diseño!$NK$14</definedName>
    <definedName name="P_A7_L12">Diseño!$NK$15</definedName>
    <definedName name="P_A7_L13">Diseño!$NK$16</definedName>
    <definedName name="P_A7_L14">Diseño!$NK$17</definedName>
    <definedName name="P_A7_L15">Diseño!$NK$18</definedName>
    <definedName name="P_A7_L16">Diseño!$NK$19</definedName>
    <definedName name="P_A7_L17">Diseño!$NK$20</definedName>
    <definedName name="P_A7_L18">Diseño!$NK$21</definedName>
    <definedName name="P_A7_L19">Diseño!$NK$22</definedName>
    <definedName name="P_A7_L2">Diseño!$NK$5</definedName>
    <definedName name="P_A7_L20">Diseño!$NK$23</definedName>
    <definedName name="P_A7_L21">Diseño!$NK$24</definedName>
    <definedName name="P_A7_L22">Diseño!$NK$25</definedName>
    <definedName name="P_A7_L23">Diseño!$NK$26</definedName>
    <definedName name="P_A7_L24">Diseño!$NK$27</definedName>
    <definedName name="P_A7_L25">Diseño!$NK$28</definedName>
    <definedName name="P_A7_L26">Diseño!$NK$29</definedName>
    <definedName name="P_A7_L27">Diseño!$NK$30</definedName>
    <definedName name="P_A7_L28">Diseño!$NK$31</definedName>
    <definedName name="P_A7_L29">Diseño!$NK$32</definedName>
    <definedName name="P_A7_L3">Diseño!$NK$6</definedName>
    <definedName name="P_A7_L30">Diseño!$NK$33</definedName>
    <definedName name="P_A7_L31">Diseño!$NK$34</definedName>
    <definedName name="P_A7_L32">Diseño!$NK$35</definedName>
    <definedName name="P_A7_L33">Diseño!$NK$36</definedName>
    <definedName name="P_A7_L34">Diseño!$NK$37</definedName>
    <definedName name="P_A7_L35">Diseño!$NK$38</definedName>
    <definedName name="P_A7_L36">Diseño!$NK$39</definedName>
    <definedName name="P_A7_L37">Diseño!$NK$40</definedName>
    <definedName name="P_A7_L38">Diseño!$NK$41</definedName>
    <definedName name="P_A7_L39">Diseño!$NK$42</definedName>
    <definedName name="P_A7_L4">Diseño!$NK$7</definedName>
    <definedName name="P_A7_L40">Diseño!$NK$43</definedName>
    <definedName name="P_A7_L5">Diseño!$NK$8</definedName>
    <definedName name="P_A7_L6">Diseño!$NK$9</definedName>
    <definedName name="P_A7_L7">Diseño!$NK$10</definedName>
    <definedName name="P_A7_L8">Diseño!$NK$11</definedName>
    <definedName name="P_A7_L9">Diseño!$NK$12</definedName>
    <definedName name="P_A8">Diseño!$NM$4:$NM$43</definedName>
    <definedName name="P_A8_L1">Diseño!$NM$4</definedName>
    <definedName name="P_A8_L10">Diseño!$NM$13</definedName>
    <definedName name="P_A8_L11">Diseño!$NM$14</definedName>
    <definedName name="P_A8_L12">Diseño!$NM$15</definedName>
    <definedName name="P_A8_L13">Diseño!$NM$16</definedName>
    <definedName name="P_A8_L14">Diseño!$NM$17</definedName>
    <definedName name="P_A8_L15">Diseño!$NM$18</definedName>
    <definedName name="P_A8_L16">Diseño!$NM$19</definedName>
    <definedName name="P_A8_L17">Diseño!$NM$20</definedName>
    <definedName name="P_A8_L18">Diseño!$NM$21</definedName>
    <definedName name="P_A8_L19">Diseño!$NM$22</definedName>
    <definedName name="P_A8_L2">Diseño!$NM$5</definedName>
    <definedName name="P_A8_L20">Diseño!$NM$23</definedName>
    <definedName name="P_A8_L21">Diseño!$NM$24</definedName>
    <definedName name="P_A8_L22">Diseño!$NM$25</definedName>
    <definedName name="P_A8_L23">Diseño!$NM$26</definedName>
    <definedName name="P_A8_L24">Diseño!$NM$27</definedName>
    <definedName name="P_A8_L25">Diseño!$NM$28</definedName>
    <definedName name="P_A8_L26">Diseño!$NM$29</definedName>
    <definedName name="P_A8_L27">Diseño!$NM$30</definedName>
    <definedName name="P_A8_L28">Diseño!$NM$31</definedName>
    <definedName name="P_A8_L29">Diseño!$NM$32</definedName>
    <definedName name="P_A8_L3">Diseño!$NM$6</definedName>
    <definedName name="P_A8_L30">Diseño!$NM$33</definedName>
    <definedName name="P_A8_L31">Diseño!$NM$34</definedName>
    <definedName name="P_A8_L32">Diseño!$NM$35</definedName>
    <definedName name="P_A8_L33">Diseño!$NM$36</definedName>
    <definedName name="P_A8_L34">Diseño!$NM$37</definedName>
    <definedName name="P_A8_L35">Diseño!$NM$38</definedName>
    <definedName name="P_A8_L36">Diseño!$NM$39</definedName>
    <definedName name="P_A8_L37">Diseño!$NM$40</definedName>
    <definedName name="P_A8_L38">Diseño!$NM$41</definedName>
    <definedName name="P_A8_L39">Diseño!$NM$42</definedName>
    <definedName name="P_A8_L4">Diseño!$NM$7</definedName>
    <definedName name="P_A8_L40">Diseño!$NM$43</definedName>
    <definedName name="P_A8_L5">Diseño!$NM$8</definedName>
    <definedName name="P_A8_L6">Diseño!$NM$9</definedName>
    <definedName name="P_A8_L7">Diseño!$NM$10</definedName>
    <definedName name="P_A8_L8">Diseño!$NM$11</definedName>
    <definedName name="P_A8_L9">Diseño!$NM$12</definedName>
    <definedName name="P_A9">Diseño!$NO$4:$NO$43</definedName>
    <definedName name="P_A9_L1">Diseño!$NO$4</definedName>
    <definedName name="P_A9_L10">Diseño!$NO$13</definedName>
    <definedName name="P_A9_L11">Diseño!$NO$14</definedName>
    <definedName name="P_A9_L12">Diseño!$NO$15</definedName>
    <definedName name="P_A9_L13">Diseño!$NO$16</definedName>
    <definedName name="P_A9_L14">Diseño!$NO$17</definedName>
    <definedName name="P_A9_L15">Diseño!$NO$18</definedName>
    <definedName name="P_A9_L16">Diseño!$NO$19</definedName>
    <definedName name="P_A9_L17">Diseño!$NO$20</definedName>
    <definedName name="P_A9_L18">Diseño!$NO$21</definedName>
    <definedName name="P_A9_L19">Diseño!$NO$22</definedName>
    <definedName name="P_A9_L2">Diseño!$NO$5</definedName>
    <definedName name="P_A9_L20">Diseño!$NO$23</definedName>
    <definedName name="P_A9_L21">Diseño!$NO$24</definedName>
    <definedName name="P_A9_L22">Diseño!$NO$25</definedName>
    <definedName name="P_A9_L23">Diseño!$NO$26</definedName>
    <definedName name="P_A9_L24">Diseño!$NO$27</definedName>
    <definedName name="P_A9_L25">Diseño!$NO$28</definedName>
    <definedName name="P_A9_L26">Diseño!$NO$29</definedName>
    <definedName name="P_A9_L27">Diseño!$NO$30</definedName>
    <definedName name="P_A9_L28">Diseño!$NO$31</definedName>
    <definedName name="P_A9_L29">Diseño!$NO$32</definedName>
    <definedName name="P_A9_L3">Diseño!$NO$6</definedName>
    <definedName name="P_A9_L30">Diseño!$NO$33</definedName>
    <definedName name="P_A9_L31">Diseño!$NO$34</definedName>
    <definedName name="P_A9_L32">Diseño!$NO$35</definedName>
    <definedName name="P_A9_L33">Diseño!$NO$36</definedName>
    <definedName name="P_A9_L34">Diseño!$NO$37</definedName>
    <definedName name="P_A9_L35">Diseño!$NO$38</definedName>
    <definedName name="P_A9_L36">Diseño!$NO$39</definedName>
    <definedName name="P_A9_L37">Diseño!$NO$40</definedName>
    <definedName name="P_A9_L38">Diseño!$NO$41</definedName>
    <definedName name="P_A9_L39">Diseño!$NO$42</definedName>
    <definedName name="P_A9_L4">Diseño!$NO$7</definedName>
    <definedName name="P_A9_L40">Diseño!$NO$43</definedName>
    <definedName name="P_A9_L5">Diseño!$NO$8</definedName>
    <definedName name="P_A9_L6">Diseño!$NO$9</definedName>
    <definedName name="P_A9_L7">Diseño!$NO$10</definedName>
    <definedName name="P_A9_L8">Diseño!$NO$11</definedName>
    <definedName name="P_A9_L9">Diseño!$NO$12</definedName>
    <definedName name="P_Inferior">'2'!$B$21</definedName>
    <definedName name="P_Primera">'2'!$B$19</definedName>
    <definedName name="P_Segunda">'2'!$B$20</definedName>
    <definedName name="Pergo">'2'!$B$17</definedName>
    <definedName name="Plagas_A">'3'!$AB$19</definedName>
    <definedName name="Plagas_B">'3'!$AC$19</definedName>
    <definedName name="Plagas_C">'3'!$AD$19</definedName>
    <definedName name="Plagas_D">'3'!$AE$19</definedName>
    <definedName name="Plagas_Y">'3'!$AF$19</definedName>
    <definedName name="Planta_A">'3'!$AB$33</definedName>
    <definedName name="Planta_B">'3'!$AC$33</definedName>
    <definedName name="Planta_C">'3'!$AD$33</definedName>
    <definedName name="Planta_D">'3'!$AE$33</definedName>
    <definedName name="Planta_Y">'3'!$AF$33</definedName>
    <definedName name="Planta_Z">'5'!$F$26</definedName>
    <definedName name="PlantaN">'5'!$F$26</definedName>
    <definedName name="Plantas_A_A1">Diseño!$FO$2</definedName>
    <definedName name="Plantas_A_A10">Diseño!$KK$2</definedName>
    <definedName name="Plantas_A_A11">Diseño!$KY$2</definedName>
    <definedName name="Plantas_A_A12">Diseño!$LM$2</definedName>
    <definedName name="Plantas_A_A2">Diseño!$GC$2</definedName>
    <definedName name="Plantas_A_A3">Diseño!$GQ$2</definedName>
    <definedName name="Plantas_A_A4">Diseño!$HE$2</definedName>
    <definedName name="Plantas_A_A5">Diseño!$HS$2</definedName>
    <definedName name="Plantas_A_A6">Diseño!$IG$2</definedName>
    <definedName name="Plantas_A_A7">Diseño!$IU$2</definedName>
    <definedName name="Plantas_A_A8">Diseño!$JI$2</definedName>
    <definedName name="Plantas_A_A9">Diseño!$JW$2</definedName>
    <definedName name="Plantas_B_A1">Diseño!$FQ$2</definedName>
    <definedName name="Plantas_B_A10">Diseño!$KM$2</definedName>
    <definedName name="Plantas_B_A11">Diseño!$LA$2</definedName>
    <definedName name="Plantas_B_A12">Diseño!$LO$2</definedName>
    <definedName name="Plantas_B_A2">Diseño!$GE$2</definedName>
    <definedName name="Plantas_B_A3">Diseño!$GS$2</definedName>
    <definedName name="Plantas_B_A4">Diseño!$HG$2</definedName>
    <definedName name="Plantas_B_A5">Diseño!$HU$2</definedName>
    <definedName name="Plantas_B_A6">Diseño!$II$2</definedName>
    <definedName name="Plantas_B_A7">Diseño!$IW$2</definedName>
    <definedName name="Plantas_B_A8">Diseño!$JK$2</definedName>
    <definedName name="Plantas_B_A9">Diseño!$JY$2</definedName>
    <definedName name="Plantas_C_A1">Diseño!$FS$2</definedName>
    <definedName name="Plantas_C_A10">Diseño!$KO$2</definedName>
    <definedName name="Plantas_C_A11">Diseño!$LC$2</definedName>
    <definedName name="Plantas_C_A12">Diseño!$LQ$2</definedName>
    <definedName name="Plantas_C_A2">Diseño!$GG$2</definedName>
    <definedName name="Plantas_C_A3">Diseño!$GU$2</definedName>
    <definedName name="Plantas_C_A4">Diseño!$HI$2</definedName>
    <definedName name="Plantas_C_A5">Diseño!$HW$2</definedName>
    <definedName name="Plantas_C_A6">Diseño!$IK$2</definedName>
    <definedName name="Plantas_C_A7">Diseño!$IY$2</definedName>
    <definedName name="Plantas_C_A8">Diseño!$JM$2</definedName>
    <definedName name="Plantas_C_A9">Diseño!$KA$2</definedName>
    <definedName name="Plantas_D_A1">Diseño!$FU$2</definedName>
    <definedName name="Plantas_D_A10">Diseño!$KQ$2</definedName>
    <definedName name="Plantas_D_A11">Diseño!$LE$2</definedName>
    <definedName name="Plantas_D_A12">Diseño!$LS$2</definedName>
    <definedName name="Plantas_D_A2">Diseño!$GI$2</definedName>
    <definedName name="Plantas_D_A3">Diseño!$GW$2</definedName>
    <definedName name="Plantas_D_A4">Diseño!$HK$2</definedName>
    <definedName name="Plantas_D_A5">Diseño!$HY$2</definedName>
    <definedName name="Plantas_D_A6">Diseño!$IM$2</definedName>
    <definedName name="Plantas_D_A7">Diseño!$JA$2</definedName>
    <definedName name="Plantas_D_A8">Diseño!$JO$2</definedName>
    <definedName name="Plantas_D_A9">Diseño!$KC$2</definedName>
    <definedName name="Plantas_X_A1">Diseño!$GA$2</definedName>
    <definedName name="Plantas_X_A10">Diseño!$KW$2</definedName>
    <definedName name="Plantas_X_A11">Diseño!$LK$2</definedName>
    <definedName name="Plantas_X_A12">Diseño!$LY$2</definedName>
    <definedName name="Plantas_X_A2">Diseño!$GO$2</definedName>
    <definedName name="Plantas_X_A3">Diseño!$HC$2</definedName>
    <definedName name="Plantas_X_A4">Diseño!$HQ$2</definedName>
    <definedName name="Plantas_X_A5">Diseño!$IE$2</definedName>
    <definedName name="Plantas_X_A6">Diseño!$IS$2</definedName>
    <definedName name="Plantas_X_A7">Diseño!$JG$2</definedName>
    <definedName name="Plantas_X_A8">Diseño!$JU$2</definedName>
    <definedName name="Plantas_X_A9">Diseño!$KI$2</definedName>
    <definedName name="Plantas_Y_A1">Diseño!$FW$2</definedName>
    <definedName name="Plantas_Y_A10">Diseño!$KS$2</definedName>
    <definedName name="Plantas_Y_A11">Diseño!$LG$2</definedName>
    <definedName name="Plantas_Y_A12">Diseño!$LU$2</definedName>
    <definedName name="Plantas_Y_A2">Diseño!$GK$2</definedName>
    <definedName name="Plantas_Y_A3">Diseño!$GY$2</definedName>
    <definedName name="Plantas_Y_A4">Diseño!$HM$2</definedName>
    <definedName name="Plantas_Y_A5">Diseño!$IA$2</definedName>
    <definedName name="Plantas_Y_A6">Diseño!$IO$2</definedName>
    <definedName name="Plantas_Y_A7">Diseño!$JC$2</definedName>
    <definedName name="Plantas_Y_A8">Diseño!$JQ$2</definedName>
    <definedName name="Plantas_Y_A9">Diseño!$KE$2</definedName>
    <definedName name="Plantas_Z_A1">Diseño!$FY$2</definedName>
    <definedName name="Plantas_Z_A10">Diseño!$KU$2</definedName>
    <definedName name="Plantas_Z_A11">Diseño!$LI$2</definedName>
    <definedName name="Plantas_Z_A12">Diseño!$LW$2</definedName>
    <definedName name="Plantas_Z_A2">Diseño!$GM$2</definedName>
    <definedName name="Plantas_Z_A3">Diseño!$HA$2</definedName>
    <definedName name="Plantas_Z_A4">Diseño!$HO$2</definedName>
    <definedName name="Plantas_Z_A5">Diseño!$IC$2</definedName>
    <definedName name="Plantas_Z_A6">Diseño!$IQ$2</definedName>
    <definedName name="Plantas_Z_A7">Diseño!$JE$2</definedName>
    <definedName name="Plantas_Z_A8">Diseño!$JS$2</definedName>
    <definedName name="Plantas_Z_A9">Diseño!$KG$2</definedName>
    <definedName name="Plazo">'10'!$B$54</definedName>
    <definedName name="Poda_A">'3'!$AB$6</definedName>
    <definedName name="Poda_B">'3'!$AC$6</definedName>
    <definedName name="Poda_C">'3'!$AD$6</definedName>
    <definedName name="Poda_D">'3'!$AE$6</definedName>
    <definedName name="Poda_Y">'3'!$AF$6</definedName>
    <definedName name="Precio_A1">'2'!$B$22</definedName>
    <definedName name="Precio_A10">'2'!$B$31</definedName>
    <definedName name="Precio_A11">'2'!$B$32</definedName>
    <definedName name="Precio_A12">'2'!$B$33</definedName>
    <definedName name="Precio_A2">'2'!$B$23</definedName>
    <definedName name="Precio_A3">'2'!$B$24</definedName>
    <definedName name="Precio_A4">'2'!$B$25</definedName>
    <definedName name="Precio_A5">'2'!$B$26</definedName>
    <definedName name="Precio_A6">'2'!$B$27</definedName>
    <definedName name="Precio_A7">'2'!$B$28</definedName>
    <definedName name="Precio_A8">'2'!$B$29</definedName>
    <definedName name="Precio_A9">'2'!$B$30</definedName>
    <definedName name="Prod">Diseño!$MY$4:$MY$43</definedName>
    <definedName name="Segunda">'2'!$B$34</definedName>
    <definedName name="Siembra_nueva">'5'!$E$26</definedName>
    <definedName name="Sombra_A">'3'!$AB$26</definedName>
    <definedName name="Sombra_B">'3'!$AC$26</definedName>
    <definedName name="Sombra_C">'3'!$AD$26</definedName>
    <definedName name="Sombra_D">'3'!$AE$26</definedName>
    <definedName name="Sombra_Y">'3'!$AF$26</definedName>
    <definedName name="Surco_A1_A">'7'!$DI$4</definedName>
    <definedName name="Surco_A1_B">'7'!$DJ$4</definedName>
    <definedName name="Surco_A1_C">'7'!$DK$4</definedName>
    <definedName name="Surco_A1_D">'7'!$DL$4</definedName>
    <definedName name="Surco_A1_Y">'7'!$DM$4</definedName>
    <definedName name="Surco_A10_A">'7'!$FB$4</definedName>
    <definedName name="Surco_A10_B">'7'!$FC$4</definedName>
    <definedName name="Surco_A10_C">'7'!$FD$4</definedName>
    <definedName name="Surco_A10_D">'7'!$FE$4</definedName>
    <definedName name="Surco_A10_Y">'7'!$FF$4</definedName>
    <definedName name="Surco_A11_A">'7'!$FG$4</definedName>
    <definedName name="Surco_A11_B">'7'!$FH$4</definedName>
    <definedName name="Surco_A11_C">'7'!$FI$4</definedName>
    <definedName name="Surco_A11_D">'7'!$FJ$4</definedName>
    <definedName name="Surco_A11_Y">'7'!$FK$4</definedName>
    <definedName name="Surco_A12_A">'7'!$FL$4</definedName>
    <definedName name="Surco_A12_B">'7'!$FM$4</definedName>
    <definedName name="Surco_A12_C">'7'!$FN$4</definedName>
    <definedName name="Surco_A12_D">'7'!$FO$4</definedName>
    <definedName name="Surco_A12_Y">'7'!$FP$4</definedName>
    <definedName name="Surco_A2_A">'7'!$DN$4</definedName>
    <definedName name="Surco_A2_B">'7'!$DO$4</definedName>
    <definedName name="Surco_A2_C">'7'!$DP$4</definedName>
    <definedName name="Surco_A2_D">'7'!$DQ$4</definedName>
    <definedName name="Surco_A2_Y">'7'!$DR$4</definedName>
    <definedName name="Surco_A3_A">'7'!$DS$4</definedName>
    <definedName name="Surco_A3_B">'7'!$DT$4</definedName>
    <definedName name="Surco_A3_C">'7'!$DU$4</definedName>
    <definedName name="Surco_A3_D">'7'!$DV$4</definedName>
    <definedName name="Surco_A3_Y">'7'!$DW$4</definedName>
    <definedName name="Surco_A4_A">'7'!$DX$4</definedName>
    <definedName name="Surco_A4_B">'7'!$DY$4</definedName>
    <definedName name="Surco_A4_C">'7'!$DZ$4</definedName>
    <definedName name="Surco_A4_D">'7'!$EA$4</definedName>
    <definedName name="Surco_A4_Y">'7'!$EB$4</definedName>
    <definedName name="Surco_A5_A">'7'!$EC$4</definedName>
    <definedName name="Surco_A5_B">'7'!$ED$4</definedName>
    <definedName name="Surco_A5_C">'7'!$EE$4</definedName>
    <definedName name="Surco_A5_D">'7'!$EF$4</definedName>
    <definedName name="Surco_A5_Y">'7'!$EG$4</definedName>
    <definedName name="Surco_A6_A">'7'!$EH$4</definedName>
    <definedName name="Surco_A6_B">'7'!$EI$4</definedName>
    <definedName name="Surco_A6_C">'7'!$EJ$4</definedName>
    <definedName name="Surco_A6_D">'7'!$EK$4</definedName>
    <definedName name="Surco_A6_Y">'7'!$EL$4</definedName>
    <definedName name="Surco_A7_A">'7'!$EM$4</definedName>
    <definedName name="Surco_A7_B">'7'!$EN$4</definedName>
    <definedName name="Surco_A7_C">'7'!$EO$4</definedName>
    <definedName name="Surco_A7_D">'7'!$EP$4</definedName>
    <definedName name="Surco_A7_Y">'7'!$EQ$4</definedName>
    <definedName name="Surco_A8_A">'7'!$ER$4</definedName>
    <definedName name="Surco_A8_B">'7'!$ES$4</definedName>
    <definedName name="Surco_A8_C">'7'!$ET$4</definedName>
    <definedName name="Surco_A8_D">'7'!$EU$4</definedName>
    <definedName name="Surco_A8_Y">'7'!$EV$4</definedName>
    <definedName name="Surco_A9_A">'7'!$EW$4</definedName>
    <definedName name="Surco_A9_B">'7'!$EX$4</definedName>
    <definedName name="Surco_A9_C">'7'!$EY$4</definedName>
    <definedName name="Surco_A9_D">'7'!$EZ$4</definedName>
    <definedName name="Surco_A9_Y">'7'!$FA$4</definedName>
    <definedName name="Tasa">'10'!$B$26</definedName>
    <definedName name="Tipo">Inicio!$D$5</definedName>
    <definedName name="UM">Inicio!$F$11</definedName>
    <definedName name="UMp">Inicio!$F$12</definedName>
    <definedName name="UMs">Inicio!$F$13</definedName>
    <definedName name="Up">Inicio!$B$3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16" i="20" l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E53" i="10"/>
  <c r="M15" i="10"/>
  <c r="L15" i="10"/>
  <c r="K15" i="10"/>
  <c r="J15" i="10"/>
  <c r="I15" i="10"/>
  <c r="H15" i="10"/>
  <c r="G15" i="10"/>
  <c r="F15" i="10"/>
  <c r="E15" i="10"/>
  <c r="C17" i="10"/>
  <c r="D15" i="10"/>
  <c r="C15" i="10"/>
  <c r="F54" i="10"/>
  <c r="F53" i="10"/>
  <c r="F52" i="10"/>
  <c r="E52" i="10"/>
  <c r="AW163" i="30"/>
  <c r="AW159" i="30"/>
  <c r="AW155" i="30"/>
  <c r="AW151" i="30"/>
  <c r="AW147" i="30"/>
  <c r="AW143" i="30"/>
  <c r="AW139" i="30"/>
  <c r="AW135" i="30"/>
  <c r="AW131" i="30"/>
  <c r="AW127" i="30"/>
  <c r="AW123" i="30"/>
  <c r="AW119" i="30"/>
  <c r="AW115" i="30"/>
  <c r="AW111" i="30"/>
  <c r="AW107" i="30"/>
  <c r="AW103" i="30"/>
  <c r="AW99" i="30"/>
  <c r="AW95" i="30"/>
  <c r="AW91" i="30"/>
  <c r="AW87" i="30"/>
  <c r="AW83" i="30"/>
  <c r="AW79" i="30"/>
  <c r="AW75" i="30"/>
  <c r="AW71" i="30"/>
  <c r="AW67" i="30"/>
  <c r="AW63" i="30"/>
  <c r="AW59" i="30"/>
  <c r="AW55" i="30"/>
  <c r="AW51" i="30"/>
  <c r="AW47" i="30"/>
  <c r="AW43" i="30"/>
  <c r="AW39" i="30"/>
  <c r="AW35" i="30"/>
  <c r="AW31" i="30"/>
  <c r="AW27" i="30"/>
  <c r="AW23" i="30"/>
  <c r="AW19" i="30"/>
  <c r="AW11" i="30"/>
  <c r="B44" i="50" l="1"/>
  <c r="B44" i="49"/>
  <c r="B44" i="48"/>
  <c r="B44" i="47"/>
  <c r="B44" i="46"/>
  <c r="B44" i="45"/>
  <c r="A8" i="54"/>
  <c r="A8" i="53"/>
  <c r="A8" i="52"/>
  <c r="A8" i="51"/>
  <c r="A8" i="50"/>
  <c r="A8" i="49"/>
  <c r="A8" i="48"/>
  <c r="A8" i="47"/>
  <c r="A8" i="46"/>
  <c r="A8" i="45"/>
  <c r="CO48" i="54"/>
  <c r="CM48" i="54"/>
  <c r="CO46" i="54"/>
  <c r="A38" i="54"/>
  <c r="A37" i="54"/>
  <c r="A36" i="54"/>
  <c r="A10" i="54"/>
  <c r="A9" i="54"/>
  <c r="CO48" i="53"/>
  <c r="CM48" i="53"/>
  <c r="CO46" i="53"/>
  <c r="A38" i="53"/>
  <c r="A37" i="53"/>
  <c r="A36" i="53"/>
  <c r="A10" i="53"/>
  <c r="A9" i="53"/>
  <c r="CO48" i="52"/>
  <c r="CM48" i="52"/>
  <c r="CO46" i="52"/>
  <c r="A38" i="52"/>
  <c r="A37" i="52"/>
  <c r="A36" i="52"/>
  <c r="A10" i="52"/>
  <c r="A9" i="52"/>
  <c r="CO48" i="51"/>
  <c r="CM48" i="51"/>
  <c r="CO46" i="51"/>
  <c r="A38" i="51"/>
  <c r="A37" i="51"/>
  <c r="A36" i="51"/>
  <c r="A10" i="51"/>
  <c r="A9" i="51"/>
  <c r="CO48" i="50"/>
  <c r="CM48" i="50"/>
  <c r="CO46" i="50"/>
  <c r="A38" i="50"/>
  <c r="A37" i="50"/>
  <c r="A36" i="50"/>
  <c r="A10" i="50"/>
  <c r="A9" i="50"/>
  <c r="CO48" i="49"/>
  <c r="CM48" i="49"/>
  <c r="CO46" i="49"/>
  <c r="A38" i="49"/>
  <c r="A37" i="49"/>
  <c r="A36" i="49"/>
  <c r="A10" i="49"/>
  <c r="A9" i="49"/>
  <c r="CO48" i="48"/>
  <c r="CM48" i="48"/>
  <c r="CO46" i="48"/>
  <c r="A38" i="48"/>
  <c r="A37" i="48"/>
  <c r="A36" i="48"/>
  <c r="A10" i="48"/>
  <c r="A9" i="48"/>
  <c r="CO48" i="47"/>
  <c r="CM48" i="47"/>
  <c r="CO46" i="47"/>
  <c r="A38" i="47"/>
  <c r="A37" i="47"/>
  <c r="A36" i="47"/>
  <c r="A10" i="47"/>
  <c r="A9" i="47"/>
  <c r="CO48" i="46"/>
  <c r="CM48" i="46"/>
  <c r="CO46" i="46"/>
  <c r="A38" i="46"/>
  <c r="A37" i="46"/>
  <c r="A36" i="46"/>
  <c r="A10" i="46"/>
  <c r="A9" i="46"/>
  <c r="CO48" i="45"/>
  <c r="CM48" i="45"/>
  <c r="CO46" i="45"/>
  <c r="A38" i="45"/>
  <c r="A37" i="45"/>
  <c r="A36" i="45"/>
  <c r="A10" i="45"/>
  <c r="A9" i="45"/>
  <c r="CF4" i="45"/>
  <c r="CD4" i="45"/>
  <c r="CB4" i="45"/>
  <c r="BZ4" i="45"/>
  <c r="BX4" i="45"/>
  <c r="BV4" i="45"/>
  <c r="BT4" i="45"/>
  <c r="BR4" i="45"/>
  <c r="BP4" i="45"/>
  <c r="BN4" i="45"/>
  <c r="BL4" i="45"/>
  <c r="BJ4" i="45"/>
  <c r="BH4" i="45"/>
  <c r="BF4" i="45"/>
  <c r="BD4" i="45"/>
  <c r="BB4" i="45"/>
  <c r="AZ4" i="45"/>
  <c r="AX4" i="45"/>
  <c r="AV4" i="45"/>
  <c r="AT4" i="45"/>
  <c r="AR4" i="45"/>
  <c r="AP4" i="45"/>
  <c r="AN4" i="45"/>
  <c r="AL4" i="45"/>
  <c r="AJ4" i="45"/>
  <c r="AH4" i="45"/>
  <c r="AF4" i="45"/>
  <c r="AD4" i="45"/>
  <c r="AB4" i="45"/>
  <c r="Z4" i="45"/>
  <c r="X4" i="45"/>
  <c r="V4" i="45"/>
  <c r="T4" i="45"/>
  <c r="R4" i="45"/>
  <c r="P4" i="45"/>
  <c r="N4" i="45"/>
  <c r="L4" i="45"/>
  <c r="J4" i="45"/>
  <c r="H4" i="45"/>
  <c r="F4" i="45"/>
  <c r="A8" i="44"/>
  <c r="B44" i="44" l="1"/>
  <c r="I22" i="10"/>
  <c r="H22" i="10"/>
  <c r="G22" i="10"/>
  <c r="G17" i="10"/>
  <c r="F22" i="10"/>
  <c r="E22" i="10"/>
  <c r="E17" i="10"/>
  <c r="D22" i="10"/>
  <c r="C22" i="10"/>
  <c r="A2" i="31"/>
  <c r="A2" i="30" l="1"/>
  <c r="CF4" i="54"/>
  <c r="CD4" i="54"/>
  <c r="CB4" i="54"/>
  <c r="BZ4" i="54"/>
  <c r="BX4" i="54"/>
  <c r="BV4" i="54"/>
  <c r="BT4" i="54"/>
  <c r="BR4" i="54"/>
  <c r="BP4" i="54"/>
  <c r="BN4" i="54"/>
  <c r="BL4" i="54"/>
  <c r="BJ4" i="54"/>
  <c r="BH4" i="54"/>
  <c r="BF4" i="54"/>
  <c r="BD4" i="54"/>
  <c r="BB4" i="54"/>
  <c r="AZ4" i="54"/>
  <c r="AX4" i="54"/>
  <c r="AV4" i="54"/>
  <c r="AT4" i="54"/>
  <c r="AR4" i="54"/>
  <c r="AP4" i="54"/>
  <c r="AN4" i="54"/>
  <c r="AL4" i="54"/>
  <c r="AJ4" i="54"/>
  <c r="AH4" i="54"/>
  <c r="AF4" i="54"/>
  <c r="AD4" i="54"/>
  <c r="AB4" i="54"/>
  <c r="Z4" i="54"/>
  <c r="X4" i="54"/>
  <c r="V4" i="54"/>
  <c r="T4" i="54"/>
  <c r="R4" i="54"/>
  <c r="P4" i="54"/>
  <c r="N4" i="54"/>
  <c r="L4" i="54"/>
  <c r="J4" i="54"/>
  <c r="H4" i="54"/>
  <c r="F4" i="54"/>
  <c r="CF4" i="53"/>
  <c r="CD4" i="53"/>
  <c r="CB4" i="53"/>
  <c r="BZ4" i="53"/>
  <c r="BX4" i="53"/>
  <c r="BV4" i="53"/>
  <c r="BT4" i="53"/>
  <c r="BR4" i="53"/>
  <c r="BP4" i="53"/>
  <c r="BN4" i="53"/>
  <c r="BL4" i="53"/>
  <c r="BJ4" i="53"/>
  <c r="BH4" i="53"/>
  <c r="BF4" i="53"/>
  <c r="BD4" i="53"/>
  <c r="BB4" i="53"/>
  <c r="AZ4" i="53"/>
  <c r="AX4" i="53"/>
  <c r="AV4" i="53"/>
  <c r="AT4" i="53"/>
  <c r="AR4" i="53"/>
  <c r="AP4" i="53"/>
  <c r="AN4" i="53"/>
  <c r="AL4" i="53"/>
  <c r="AJ4" i="53"/>
  <c r="AH4" i="53"/>
  <c r="AF4" i="53"/>
  <c r="AD4" i="53"/>
  <c r="AB4" i="53"/>
  <c r="Z4" i="53"/>
  <c r="X4" i="53"/>
  <c r="V4" i="53"/>
  <c r="T4" i="53"/>
  <c r="R4" i="53"/>
  <c r="P4" i="53"/>
  <c r="N4" i="53"/>
  <c r="L4" i="53"/>
  <c r="J4" i="53"/>
  <c r="H4" i="53"/>
  <c r="F4" i="53"/>
  <c r="CF4" i="52"/>
  <c r="CD4" i="52"/>
  <c r="CB4" i="52"/>
  <c r="BZ4" i="52"/>
  <c r="BX4" i="52"/>
  <c r="BV4" i="52"/>
  <c r="BT4" i="52"/>
  <c r="BR4" i="52"/>
  <c r="BP4" i="52"/>
  <c r="BN4" i="52"/>
  <c r="BL4" i="52"/>
  <c r="BJ4" i="52"/>
  <c r="BH4" i="52"/>
  <c r="BF4" i="52"/>
  <c r="BD4" i="52"/>
  <c r="BB4" i="52"/>
  <c r="AZ4" i="52"/>
  <c r="AX4" i="52"/>
  <c r="AV4" i="52"/>
  <c r="AT4" i="52"/>
  <c r="AR4" i="52"/>
  <c r="AP4" i="52"/>
  <c r="AN4" i="52"/>
  <c r="AL4" i="52"/>
  <c r="AJ4" i="52"/>
  <c r="AH4" i="52"/>
  <c r="AF4" i="52"/>
  <c r="AD4" i="52"/>
  <c r="AB4" i="52"/>
  <c r="Z4" i="52"/>
  <c r="X4" i="52"/>
  <c r="V4" i="52"/>
  <c r="T4" i="52"/>
  <c r="R4" i="52"/>
  <c r="P4" i="52"/>
  <c r="N4" i="52"/>
  <c r="L4" i="52"/>
  <c r="J4" i="52"/>
  <c r="H4" i="52"/>
  <c r="F4" i="52"/>
  <c r="CF4" i="51"/>
  <c r="CD4" i="51"/>
  <c r="CB4" i="51"/>
  <c r="BZ4" i="51"/>
  <c r="BX4" i="51"/>
  <c r="BV4" i="51"/>
  <c r="BT4" i="51"/>
  <c r="BR4" i="51"/>
  <c r="BP4" i="51"/>
  <c r="BN4" i="51"/>
  <c r="BL4" i="51"/>
  <c r="BJ4" i="51"/>
  <c r="BH4" i="51"/>
  <c r="BF4" i="51"/>
  <c r="BD4" i="51"/>
  <c r="BB4" i="51"/>
  <c r="AZ4" i="51"/>
  <c r="AX4" i="51"/>
  <c r="AV4" i="51"/>
  <c r="AT4" i="51"/>
  <c r="AR4" i="51"/>
  <c r="AP4" i="51"/>
  <c r="AN4" i="51"/>
  <c r="AL4" i="51"/>
  <c r="AJ4" i="51"/>
  <c r="AH4" i="51"/>
  <c r="AF4" i="51"/>
  <c r="AD4" i="51"/>
  <c r="AB4" i="51"/>
  <c r="Z4" i="51"/>
  <c r="X4" i="51"/>
  <c r="V4" i="51"/>
  <c r="T4" i="51"/>
  <c r="R4" i="51"/>
  <c r="P4" i="51"/>
  <c r="N4" i="51"/>
  <c r="L4" i="51"/>
  <c r="J4" i="51"/>
  <c r="H4" i="51"/>
  <c r="F4" i="51"/>
  <c r="CF4" i="50"/>
  <c r="CD4" i="50"/>
  <c r="CB4" i="50"/>
  <c r="BZ4" i="50"/>
  <c r="BX4" i="50"/>
  <c r="BV4" i="50"/>
  <c r="BT4" i="50"/>
  <c r="BR4" i="50"/>
  <c r="BP4" i="50"/>
  <c r="BN4" i="50"/>
  <c r="BL4" i="50"/>
  <c r="BJ4" i="50"/>
  <c r="BH4" i="50"/>
  <c r="BF4" i="50"/>
  <c r="BD4" i="50"/>
  <c r="BB4" i="50"/>
  <c r="AZ4" i="50"/>
  <c r="AX4" i="50"/>
  <c r="AV4" i="50"/>
  <c r="AT4" i="50"/>
  <c r="AR4" i="50"/>
  <c r="AP4" i="50"/>
  <c r="AN4" i="50"/>
  <c r="AL4" i="50"/>
  <c r="AJ4" i="50"/>
  <c r="AH4" i="50"/>
  <c r="AF4" i="50"/>
  <c r="AD4" i="50"/>
  <c r="AB4" i="50"/>
  <c r="Z4" i="50"/>
  <c r="X4" i="50"/>
  <c r="V4" i="50"/>
  <c r="T4" i="50"/>
  <c r="R4" i="50"/>
  <c r="P4" i="50"/>
  <c r="N4" i="50"/>
  <c r="L4" i="50"/>
  <c r="J4" i="50"/>
  <c r="H4" i="50"/>
  <c r="F4" i="50"/>
  <c r="CF4" i="49"/>
  <c r="CD4" i="49"/>
  <c r="CB4" i="49"/>
  <c r="BZ4" i="49"/>
  <c r="BX4" i="49"/>
  <c r="BV4" i="49"/>
  <c r="BT4" i="49"/>
  <c r="BR4" i="49"/>
  <c r="BP4" i="49"/>
  <c r="BN4" i="49"/>
  <c r="BL4" i="49"/>
  <c r="BJ4" i="49"/>
  <c r="BH4" i="49"/>
  <c r="BF4" i="49"/>
  <c r="BD4" i="49"/>
  <c r="BB4" i="49"/>
  <c r="AZ4" i="49"/>
  <c r="AX4" i="49"/>
  <c r="AV4" i="49"/>
  <c r="AT4" i="49"/>
  <c r="AR4" i="49"/>
  <c r="AP4" i="49"/>
  <c r="AN4" i="49"/>
  <c r="AL4" i="49"/>
  <c r="AJ4" i="49"/>
  <c r="AH4" i="49"/>
  <c r="AF4" i="49"/>
  <c r="AD4" i="49"/>
  <c r="AB4" i="49"/>
  <c r="Z4" i="49"/>
  <c r="X4" i="49"/>
  <c r="V4" i="49"/>
  <c r="T4" i="49"/>
  <c r="R4" i="49"/>
  <c r="P4" i="49"/>
  <c r="N4" i="49"/>
  <c r="L4" i="49"/>
  <c r="J4" i="49"/>
  <c r="H4" i="49"/>
  <c r="F4" i="49"/>
  <c r="CF4" i="48"/>
  <c r="CD4" i="48"/>
  <c r="CB4" i="48"/>
  <c r="BZ4" i="48"/>
  <c r="BX4" i="48"/>
  <c r="BV4" i="48"/>
  <c r="BT4" i="48"/>
  <c r="BR4" i="48"/>
  <c r="BP4" i="48"/>
  <c r="BN4" i="48"/>
  <c r="BL4" i="48"/>
  <c r="BJ4" i="48"/>
  <c r="BH4" i="48"/>
  <c r="BF4" i="48"/>
  <c r="BD4" i="48"/>
  <c r="BB4" i="48"/>
  <c r="AZ4" i="48"/>
  <c r="AX4" i="48"/>
  <c r="AV4" i="48"/>
  <c r="AT4" i="48"/>
  <c r="AR4" i="48"/>
  <c r="AP4" i="48"/>
  <c r="AN4" i="48"/>
  <c r="AL4" i="48"/>
  <c r="AJ4" i="48"/>
  <c r="AH4" i="48"/>
  <c r="AF4" i="48"/>
  <c r="AD4" i="48"/>
  <c r="AB4" i="48"/>
  <c r="Z4" i="48"/>
  <c r="X4" i="48"/>
  <c r="V4" i="48"/>
  <c r="T4" i="48"/>
  <c r="R4" i="48"/>
  <c r="P4" i="48"/>
  <c r="N4" i="48"/>
  <c r="L4" i="48"/>
  <c r="J4" i="48"/>
  <c r="H4" i="48"/>
  <c r="F4" i="48"/>
  <c r="CF4" i="47"/>
  <c r="CD4" i="47"/>
  <c r="CB4" i="47"/>
  <c r="BZ4" i="47"/>
  <c r="BX4" i="47"/>
  <c r="BV4" i="47"/>
  <c r="BT4" i="47"/>
  <c r="BR4" i="47"/>
  <c r="BP4" i="47"/>
  <c r="BN4" i="47"/>
  <c r="BL4" i="47"/>
  <c r="BJ4" i="47"/>
  <c r="BH4" i="47"/>
  <c r="BF4" i="47"/>
  <c r="BD4" i="47"/>
  <c r="BB4" i="47"/>
  <c r="AZ4" i="47"/>
  <c r="AX4" i="47"/>
  <c r="AV4" i="47"/>
  <c r="AT4" i="47"/>
  <c r="AR4" i="47"/>
  <c r="AP4" i="47"/>
  <c r="AN4" i="47"/>
  <c r="AL4" i="47"/>
  <c r="AJ4" i="47"/>
  <c r="AH4" i="47"/>
  <c r="AF4" i="47"/>
  <c r="AD4" i="47"/>
  <c r="AB4" i="47"/>
  <c r="Z4" i="47"/>
  <c r="X4" i="47"/>
  <c r="V4" i="47"/>
  <c r="T4" i="47"/>
  <c r="R4" i="47"/>
  <c r="P4" i="47"/>
  <c r="N4" i="47"/>
  <c r="L4" i="47"/>
  <c r="J4" i="47"/>
  <c r="H4" i="47"/>
  <c r="F4" i="47"/>
  <c r="CF4" i="46"/>
  <c r="CD4" i="46"/>
  <c r="CB4" i="46"/>
  <c r="BZ4" i="46"/>
  <c r="BX4" i="46"/>
  <c r="BV4" i="46"/>
  <c r="BT4" i="46"/>
  <c r="BR4" i="46"/>
  <c r="BP4" i="46"/>
  <c r="BN4" i="46"/>
  <c r="BL4" i="46"/>
  <c r="BJ4" i="46"/>
  <c r="BH4" i="46"/>
  <c r="BF4" i="46"/>
  <c r="BD4" i="46"/>
  <c r="BB4" i="46"/>
  <c r="AZ4" i="46"/>
  <c r="AX4" i="46"/>
  <c r="AV4" i="46"/>
  <c r="AT4" i="46"/>
  <c r="AR4" i="46"/>
  <c r="AP4" i="46"/>
  <c r="AN4" i="46"/>
  <c r="AL4" i="46"/>
  <c r="AJ4" i="46"/>
  <c r="AH4" i="46"/>
  <c r="AF4" i="46"/>
  <c r="AD4" i="46"/>
  <c r="AB4" i="46"/>
  <c r="Z4" i="46"/>
  <c r="X4" i="46"/>
  <c r="V4" i="46"/>
  <c r="T4" i="46"/>
  <c r="R4" i="46"/>
  <c r="P4" i="46"/>
  <c r="N4" i="46"/>
  <c r="L4" i="46"/>
  <c r="J4" i="46"/>
  <c r="H4" i="46"/>
  <c r="F4" i="46"/>
  <c r="CO48" i="44" l="1"/>
  <c r="CM48" i="44"/>
  <c r="CO46" i="44"/>
  <c r="A10" i="44"/>
  <c r="A9" i="44"/>
  <c r="CF4" i="44"/>
  <c r="CD4" i="44"/>
  <c r="CB4" i="44"/>
  <c r="BZ4" i="44"/>
  <c r="BX4" i="44"/>
  <c r="BV4" i="44"/>
  <c r="BT4" i="44"/>
  <c r="BR4" i="44"/>
  <c r="BP4" i="44"/>
  <c r="BN4" i="44"/>
  <c r="BL4" i="44"/>
  <c r="BJ4" i="44"/>
  <c r="BH4" i="44"/>
  <c r="BF4" i="44"/>
  <c r="BD4" i="44"/>
  <c r="BB4" i="44"/>
  <c r="AZ4" i="44"/>
  <c r="AX4" i="44"/>
  <c r="AV4" i="44"/>
  <c r="AT4" i="44"/>
  <c r="AR4" i="44"/>
  <c r="AP4" i="44"/>
  <c r="AN4" i="44"/>
  <c r="AL4" i="44"/>
  <c r="AJ4" i="44"/>
  <c r="AH4" i="44"/>
  <c r="AF4" i="44"/>
  <c r="AD4" i="44"/>
  <c r="AB4" i="44"/>
  <c r="Z4" i="44"/>
  <c r="X4" i="44"/>
  <c r="V4" i="44"/>
  <c r="T4" i="44"/>
  <c r="R4" i="44"/>
  <c r="P4" i="44"/>
  <c r="N4" i="44"/>
  <c r="L4" i="44"/>
  <c r="J4" i="44"/>
  <c r="H4" i="44"/>
  <c r="F4" i="44"/>
  <c r="CO48" i="33"/>
  <c r="CM48" i="33"/>
  <c r="AE8" i="31"/>
  <c r="F11" i="20" l="1"/>
  <c r="AG12" i="31"/>
  <c r="AG11" i="31"/>
  <c r="AG10" i="31"/>
  <c r="AG9" i="31"/>
  <c r="AG8" i="31"/>
  <c r="AG7" i="31"/>
  <c r="AG6" i="31"/>
  <c r="AG5" i="31"/>
  <c r="A2" i="37"/>
  <c r="AE10" i="31"/>
  <c r="AE9" i="31"/>
  <c r="F12" i="20" l="1"/>
  <c r="C4" i="31"/>
  <c r="W7" i="31"/>
  <c r="W8" i="31"/>
  <c r="W9" i="31"/>
  <c r="W10" i="31"/>
  <c r="W11" i="31"/>
  <c r="W12" i="31"/>
  <c r="W13" i="31"/>
  <c r="W14" i="31"/>
  <c r="W15" i="31"/>
  <c r="W16" i="31"/>
  <c r="W17" i="31"/>
  <c r="W18" i="31"/>
  <c r="W19" i="31"/>
  <c r="W20" i="31"/>
  <c r="W21" i="31"/>
  <c r="W22" i="31"/>
  <c r="W23" i="31"/>
  <c r="W24" i="31"/>
  <c r="W25" i="31"/>
  <c r="W26" i="31"/>
  <c r="W27" i="31"/>
  <c r="W28" i="31"/>
  <c r="W29" i="31"/>
  <c r="W30" i="31"/>
  <c r="W31" i="31"/>
  <c r="W32" i="31"/>
  <c r="W33" i="31"/>
  <c r="W34" i="31"/>
  <c r="W35" i="31"/>
  <c r="W36" i="31"/>
  <c r="W37" i="31"/>
  <c r="W38" i="31"/>
  <c r="W39" i="31"/>
  <c r="W40" i="31"/>
  <c r="W41" i="31"/>
  <c r="W42" i="31"/>
  <c r="W43" i="31"/>
  <c r="W44" i="31"/>
  <c r="W45" i="31"/>
  <c r="W6" i="31"/>
  <c r="A49" i="54" l="1"/>
  <c r="A49" i="53"/>
  <c r="A49" i="52"/>
  <c r="A49" i="51"/>
  <c r="A49" i="50"/>
  <c r="A49" i="49"/>
  <c r="A49" i="48"/>
  <c r="A49" i="47"/>
  <c r="A49" i="46"/>
  <c r="A49" i="45"/>
  <c r="A49" i="33"/>
  <c r="A49" i="44"/>
  <c r="A2" i="19"/>
  <c r="G2" i="20"/>
  <c r="C23" i="10"/>
  <c r="B256" i="5"/>
  <c r="B235" i="5"/>
  <c r="B214" i="5"/>
  <c r="B193" i="5"/>
  <c r="B172" i="5"/>
  <c r="B151" i="5"/>
  <c r="B130" i="5"/>
  <c r="B109" i="5"/>
  <c r="B88" i="5"/>
  <c r="B67" i="5"/>
  <c r="B46" i="5"/>
  <c r="B25" i="5"/>
  <c r="B22" i="10" s="1"/>
  <c r="A2" i="5"/>
  <c r="B15" i="10"/>
  <c r="A9" i="10"/>
  <c r="A8" i="10"/>
  <c r="A7" i="10"/>
  <c r="U9" i="31"/>
  <c r="B17" i="20" l="1"/>
  <c r="A2" i="54"/>
  <c r="CC43" i="54"/>
  <c r="AW43" i="54"/>
  <c r="Q43" i="54"/>
  <c r="BO41" i="54"/>
  <c r="AI41" i="54"/>
  <c r="CG40" i="54"/>
  <c r="CG7" i="54" s="1"/>
  <c r="BA40" i="54"/>
  <c r="BA7" i="54" s="1"/>
  <c r="U40" i="54"/>
  <c r="U7" i="54" s="1"/>
  <c r="BS38" i="54"/>
  <c r="AM38" i="54"/>
  <c r="G38" i="54"/>
  <c r="BE37" i="54"/>
  <c r="Y37" i="54"/>
  <c r="BW36" i="54"/>
  <c r="AQ36" i="54"/>
  <c r="K36" i="54"/>
  <c r="BI35" i="54"/>
  <c r="AC35" i="54"/>
  <c r="CA34" i="54"/>
  <c r="AU34" i="54"/>
  <c r="O34" i="54"/>
  <c r="BM33" i="54"/>
  <c r="CA43" i="54"/>
  <c r="AU43" i="54"/>
  <c r="O43" i="54"/>
  <c r="BM41" i="54"/>
  <c r="AG41" i="54"/>
  <c r="CE40" i="54"/>
  <c r="CE7" i="54" s="1"/>
  <c r="AY40" i="54"/>
  <c r="AY7" i="54" s="1"/>
  <c r="S40" i="54"/>
  <c r="S7" i="54" s="1"/>
  <c r="BQ38" i="54"/>
  <c r="AK38" i="54"/>
  <c r="C38" i="54"/>
  <c r="BC37" i="54"/>
  <c r="W37" i="54"/>
  <c r="BU36" i="54"/>
  <c r="AO36" i="54"/>
  <c r="I36" i="54"/>
  <c r="BG35" i="54"/>
  <c r="AA35" i="54"/>
  <c r="BY34" i="54"/>
  <c r="AS34" i="54"/>
  <c r="M34" i="54"/>
  <c r="CG43" i="54"/>
  <c r="BA43" i="54"/>
  <c r="U43" i="54"/>
  <c r="BS41" i="54"/>
  <c r="AM41" i="54"/>
  <c r="G41" i="54"/>
  <c r="BE40" i="54"/>
  <c r="BE7" i="54" s="1"/>
  <c r="Y40" i="54"/>
  <c r="Y7" i="54" s="1"/>
  <c r="BW38" i="54"/>
  <c r="AQ38" i="54"/>
  <c r="K38" i="54"/>
  <c r="BI37" i="54"/>
  <c r="AC37" i="54"/>
  <c r="CA36" i="54"/>
  <c r="AU36" i="54"/>
  <c r="O36" i="54"/>
  <c r="BM35" i="54"/>
  <c r="AG35" i="54"/>
  <c r="CE34" i="54"/>
  <c r="AY34" i="54"/>
  <c r="S34" i="54"/>
  <c r="BQ33" i="54"/>
  <c r="BG43" i="54"/>
  <c r="AA43" i="54"/>
  <c r="BY41" i="54"/>
  <c r="AS41" i="54"/>
  <c r="M41" i="54"/>
  <c r="BK40" i="54"/>
  <c r="BK7" i="54" s="1"/>
  <c r="AE40" i="54"/>
  <c r="AE7" i="54" s="1"/>
  <c r="CC38" i="54"/>
  <c r="AW38" i="54"/>
  <c r="Q38" i="54"/>
  <c r="BO37" i="54"/>
  <c r="AI37" i="54"/>
  <c r="CG36" i="54"/>
  <c r="BA36" i="54"/>
  <c r="U36" i="54"/>
  <c r="BS35" i="54"/>
  <c r="AM35" i="54"/>
  <c r="G35" i="54"/>
  <c r="BE34" i="54"/>
  <c r="Y34" i="54"/>
  <c r="BU43" i="54"/>
  <c r="AO43" i="54"/>
  <c r="I43" i="54"/>
  <c r="BG41" i="54"/>
  <c r="AA41" i="54"/>
  <c r="BY40" i="54"/>
  <c r="BY7" i="54" s="1"/>
  <c r="AS40" i="54"/>
  <c r="AS7" i="54" s="1"/>
  <c r="M40" i="54"/>
  <c r="M7" i="54" s="1"/>
  <c r="BK38" i="54"/>
  <c r="AE38" i="54"/>
  <c r="CC37" i="54"/>
  <c r="AW37" i="54"/>
  <c r="Q37" i="54"/>
  <c r="BO36" i="54"/>
  <c r="AI36" i="54"/>
  <c r="CG35" i="54"/>
  <c r="BA35" i="54"/>
  <c r="U35" i="54"/>
  <c r="BS34" i="54"/>
  <c r="AM34" i="54"/>
  <c r="G34" i="54"/>
  <c r="BE33" i="54"/>
  <c r="BS43" i="54"/>
  <c r="AM43" i="54"/>
  <c r="G43" i="54"/>
  <c r="BE41" i="54"/>
  <c r="Y41" i="54"/>
  <c r="BW40" i="54"/>
  <c r="BW7" i="54" s="1"/>
  <c r="AQ40" i="54"/>
  <c r="AQ7" i="54" s="1"/>
  <c r="K40" i="54"/>
  <c r="K7" i="54" s="1"/>
  <c r="BI38" i="54"/>
  <c r="AC38" i="54"/>
  <c r="CA37" i="54"/>
  <c r="AU37" i="54"/>
  <c r="O37" i="54"/>
  <c r="BM36" i="54"/>
  <c r="AG36" i="54"/>
  <c r="CE35" i="54"/>
  <c r="AY35" i="54"/>
  <c r="S35" i="54"/>
  <c r="BQ34" i="54"/>
  <c r="AK34" i="54"/>
  <c r="C34" i="54"/>
  <c r="BY43" i="54"/>
  <c r="AS43" i="54"/>
  <c r="M43" i="54"/>
  <c r="BK41" i="54"/>
  <c r="AE41" i="54"/>
  <c r="CC40" i="54"/>
  <c r="CC7" i="54" s="1"/>
  <c r="AW40" i="54"/>
  <c r="AW7" i="54" s="1"/>
  <c r="Q40" i="54"/>
  <c r="Q7" i="54" s="1"/>
  <c r="BO38" i="54"/>
  <c r="AI38" i="54"/>
  <c r="CG37" i="54"/>
  <c r="BA37" i="54"/>
  <c r="U37" i="54"/>
  <c r="BS36" i="54"/>
  <c r="AM36" i="54"/>
  <c r="G36" i="54"/>
  <c r="BE35" i="54"/>
  <c r="Y35" i="54"/>
  <c r="BW34" i="54"/>
  <c r="AQ34" i="54"/>
  <c r="K34" i="54"/>
  <c r="CE43" i="54"/>
  <c r="AY43" i="54"/>
  <c r="S43" i="54"/>
  <c r="BQ41" i="54"/>
  <c r="AK41" i="54"/>
  <c r="C41" i="54"/>
  <c r="BC40" i="54"/>
  <c r="BC7" i="54" s="1"/>
  <c r="W40" i="54"/>
  <c r="W7" i="54" s="1"/>
  <c r="BU38" i="54"/>
  <c r="AO38" i="54"/>
  <c r="I38" i="54"/>
  <c r="BG37" i="54"/>
  <c r="AA37" i="54"/>
  <c r="BY36" i="54"/>
  <c r="AS36" i="54"/>
  <c r="M36" i="54"/>
  <c r="BK35" i="54"/>
  <c r="AE35" i="54"/>
  <c r="CC34" i="54"/>
  <c r="AW34" i="54"/>
  <c r="Q34" i="54"/>
  <c r="BM43" i="54"/>
  <c r="AG43" i="54"/>
  <c r="CE41" i="54"/>
  <c r="AY41" i="54"/>
  <c r="S41" i="54"/>
  <c r="BQ40" i="54"/>
  <c r="BQ7" i="54" s="1"/>
  <c r="AK40" i="54"/>
  <c r="AK7" i="54" s="1"/>
  <c r="C40" i="54"/>
  <c r="BC38" i="54"/>
  <c r="W38" i="54"/>
  <c r="BU37" i="54"/>
  <c r="AO37" i="54"/>
  <c r="I37" i="54"/>
  <c r="BG36" i="54"/>
  <c r="AA36" i="54"/>
  <c r="BY35" i="54"/>
  <c r="AS35" i="54"/>
  <c r="M35" i="54"/>
  <c r="BK34" i="54"/>
  <c r="AE34" i="54"/>
  <c r="CC33" i="54"/>
  <c r="AW33" i="54"/>
  <c r="BK43" i="54"/>
  <c r="AE43" i="54"/>
  <c r="CC41" i="54"/>
  <c r="AW41" i="54"/>
  <c r="Q41" i="54"/>
  <c r="BO40" i="54"/>
  <c r="BO7" i="54" s="1"/>
  <c r="AI40" i="54"/>
  <c r="AI7" i="54" s="1"/>
  <c r="CG38" i="54"/>
  <c r="BA38" i="54"/>
  <c r="U38" i="54"/>
  <c r="BS37" i="54"/>
  <c r="AM37" i="54"/>
  <c r="G37" i="54"/>
  <c r="BE36" i="54"/>
  <c r="Y36" i="54"/>
  <c r="BW35" i="54"/>
  <c r="AQ35" i="54"/>
  <c r="K35" i="54"/>
  <c r="BI34" i="54"/>
  <c r="AC34" i="54"/>
  <c r="CA33" i="54"/>
  <c r="BQ43" i="54"/>
  <c r="AK43" i="54"/>
  <c r="C43" i="54"/>
  <c r="BC41" i="54"/>
  <c r="W41" i="54"/>
  <c r="BU40" i="54"/>
  <c r="BU7" i="54" s="1"/>
  <c r="AO40" i="54"/>
  <c r="AO7" i="54" s="1"/>
  <c r="I40" i="54"/>
  <c r="I7" i="54" s="1"/>
  <c r="BG38" i="54"/>
  <c r="AA38" i="54"/>
  <c r="BY37" i="54"/>
  <c r="AS37" i="54"/>
  <c r="M37" i="54"/>
  <c r="BK36" i="54"/>
  <c r="AE36" i="54"/>
  <c r="CC35" i="54"/>
  <c r="AW35" i="54"/>
  <c r="Q35" i="54"/>
  <c r="BO34" i="54"/>
  <c r="AI34" i="54"/>
  <c r="CG33" i="54"/>
  <c r="BW43" i="54"/>
  <c r="AQ43" i="54"/>
  <c r="K43" i="54"/>
  <c r="BI41" i="54"/>
  <c r="AC41" i="54"/>
  <c r="CA40" i="54"/>
  <c r="CA7" i="54" s="1"/>
  <c r="AU40" i="54"/>
  <c r="AU7" i="54" s="1"/>
  <c r="O40" i="54"/>
  <c r="O7" i="54" s="1"/>
  <c r="BM38" i="54"/>
  <c r="AG38" i="54"/>
  <c r="CE37" i="54"/>
  <c r="AY37" i="54"/>
  <c r="S37" i="54"/>
  <c r="BQ36" i="54"/>
  <c r="AK36" i="54"/>
  <c r="C36" i="54"/>
  <c r="BC35" i="54"/>
  <c r="W35" i="54"/>
  <c r="BU34" i="54"/>
  <c r="AO34" i="54"/>
  <c r="I34" i="54"/>
  <c r="BE43" i="54"/>
  <c r="Y43" i="54"/>
  <c r="BW41" i="54"/>
  <c r="AQ41" i="54"/>
  <c r="K41" i="54"/>
  <c r="BI40" i="54"/>
  <c r="BI7" i="54" s="1"/>
  <c r="AC40" i="54"/>
  <c r="AC7" i="54" s="1"/>
  <c r="CA38" i="54"/>
  <c r="AU38" i="54"/>
  <c r="O38" i="54"/>
  <c r="BM37" i="54"/>
  <c r="AG37" i="54"/>
  <c r="CE36" i="54"/>
  <c r="AY36" i="54"/>
  <c r="S36" i="54"/>
  <c r="BQ35" i="54"/>
  <c r="AK35" i="54"/>
  <c r="C35" i="54"/>
  <c r="BC34" i="54"/>
  <c r="W34" i="54"/>
  <c r="BU33" i="54"/>
  <c r="C44" i="54"/>
  <c r="BC43" i="54"/>
  <c r="W43" i="54"/>
  <c r="BU41" i="54"/>
  <c r="AO41" i="54"/>
  <c r="I41" i="54"/>
  <c r="BG40" i="54"/>
  <c r="BG7" i="54" s="1"/>
  <c r="AA40" i="54"/>
  <c r="AA7" i="54" s="1"/>
  <c r="BY38" i="54"/>
  <c r="AS38" i="54"/>
  <c r="M38" i="54"/>
  <c r="BK37" i="54"/>
  <c r="AE37" i="54"/>
  <c r="CC36" i="54"/>
  <c r="AW36" i="54"/>
  <c r="Q36" i="54"/>
  <c r="BO35" i="54"/>
  <c r="AI35" i="54"/>
  <c r="CG34" i="54"/>
  <c r="BA34" i="54"/>
  <c r="U34" i="54"/>
  <c r="BS33" i="54"/>
  <c r="BI43" i="54"/>
  <c r="AC43" i="54"/>
  <c r="CA41" i="54"/>
  <c r="AU41" i="54"/>
  <c r="O41" i="54"/>
  <c r="BM40" i="54"/>
  <c r="BM7" i="54" s="1"/>
  <c r="AG40" i="54"/>
  <c r="AG7" i="54" s="1"/>
  <c r="CE38" i="54"/>
  <c r="AY38" i="54"/>
  <c r="S38" i="54"/>
  <c r="BQ37" i="54"/>
  <c r="AK37" i="54"/>
  <c r="C37" i="54"/>
  <c r="BC36" i="54"/>
  <c r="W36" i="54"/>
  <c r="BU35" i="54"/>
  <c r="AO35" i="54"/>
  <c r="I35" i="54"/>
  <c r="BG34" i="54"/>
  <c r="AA34" i="54"/>
  <c r="BY33" i="54"/>
  <c r="BO43" i="54"/>
  <c r="AI43" i="54"/>
  <c r="CG41" i="54"/>
  <c r="BA41" i="54"/>
  <c r="U41" i="54"/>
  <c r="BS40" i="54"/>
  <c r="BS7" i="54" s="1"/>
  <c r="AM40" i="54"/>
  <c r="AM7" i="54" s="1"/>
  <c r="G40" i="54"/>
  <c r="G7" i="54" s="1"/>
  <c r="BE38" i="54"/>
  <c r="Y38" i="54"/>
  <c r="BW37" i="54"/>
  <c r="AQ37" i="54"/>
  <c r="K37" i="54"/>
  <c r="BI36" i="54"/>
  <c r="AC36" i="54"/>
  <c r="CA35" i="54"/>
  <c r="AU35" i="54"/>
  <c r="O35" i="54"/>
  <c r="BM34" i="54"/>
  <c r="AG34" i="54"/>
  <c r="CE33" i="54"/>
  <c r="BW33" i="54"/>
  <c r="AK33" i="54"/>
  <c r="C33" i="54"/>
  <c r="BC32" i="54"/>
  <c r="W32" i="54"/>
  <c r="BU30" i="54"/>
  <c r="AO30" i="54"/>
  <c r="I30" i="54"/>
  <c r="BG29" i="54"/>
  <c r="AA29" i="54"/>
  <c r="BY27" i="54"/>
  <c r="AS27" i="54"/>
  <c r="M27" i="54"/>
  <c r="BK26" i="54"/>
  <c r="AE26" i="54"/>
  <c r="CC24" i="54"/>
  <c r="AW24" i="54"/>
  <c r="Q24" i="54"/>
  <c r="BO23" i="54"/>
  <c r="AI23" i="54"/>
  <c r="CG22" i="54"/>
  <c r="BK33" i="54"/>
  <c r="AA33" i="54"/>
  <c r="BY32" i="54"/>
  <c r="AS32" i="54"/>
  <c r="M32" i="54"/>
  <c r="BK30" i="54"/>
  <c r="AE30" i="54"/>
  <c r="CC29" i="54"/>
  <c r="AW29" i="54"/>
  <c r="Q29" i="54"/>
  <c r="BO27" i="54"/>
  <c r="AI27" i="54"/>
  <c r="CG26" i="54"/>
  <c r="BA26" i="54"/>
  <c r="U26" i="54"/>
  <c r="BS24" i="54"/>
  <c r="AM24" i="54"/>
  <c r="G24" i="54"/>
  <c r="BE23" i="54"/>
  <c r="AY33" i="54"/>
  <c r="Q33" i="54"/>
  <c r="BO32" i="54"/>
  <c r="AI32" i="54"/>
  <c r="CG30" i="54"/>
  <c r="BA30" i="54"/>
  <c r="U30" i="54"/>
  <c r="BS29" i="54"/>
  <c r="AM29" i="54"/>
  <c r="G29" i="54"/>
  <c r="BE27" i="54"/>
  <c r="Y27" i="54"/>
  <c r="BW26" i="54"/>
  <c r="AQ26" i="54"/>
  <c r="K26" i="54"/>
  <c r="BI24" i="54"/>
  <c r="AC24" i="54"/>
  <c r="CA23" i="54"/>
  <c r="AU23" i="54"/>
  <c r="O23" i="54"/>
  <c r="BM22" i="54"/>
  <c r="BG33" i="54"/>
  <c r="W33" i="54"/>
  <c r="BU32" i="54"/>
  <c r="AO32" i="54"/>
  <c r="I32" i="54"/>
  <c r="BG30" i="54"/>
  <c r="AA30" i="54"/>
  <c r="BY29" i="54"/>
  <c r="AS29" i="54"/>
  <c r="M29" i="54"/>
  <c r="BK27" i="54"/>
  <c r="AE27" i="54"/>
  <c r="CC26" i="54"/>
  <c r="AW26" i="54"/>
  <c r="Q26" i="54"/>
  <c r="BO24" i="54"/>
  <c r="AI24" i="54"/>
  <c r="CG23" i="54"/>
  <c r="BA23" i="54"/>
  <c r="U23" i="54"/>
  <c r="BS22" i="54"/>
  <c r="AM22" i="54"/>
  <c r="AE22" i="54"/>
  <c r="CC20" i="54"/>
  <c r="AW20" i="54"/>
  <c r="BO33" i="54"/>
  <c r="AC33" i="54"/>
  <c r="CA32" i="54"/>
  <c r="AU32" i="54"/>
  <c r="O32" i="54"/>
  <c r="BM30" i="54"/>
  <c r="AG30" i="54"/>
  <c r="CE29" i="54"/>
  <c r="AY29" i="54"/>
  <c r="S29" i="54"/>
  <c r="BQ27" i="54"/>
  <c r="AK27" i="54"/>
  <c r="C27" i="54"/>
  <c r="BC26" i="54"/>
  <c r="W26" i="54"/>
  <c r="BU24" i="54"/>
  <c r="AO24" i="54"/>
  <c r="I24" i="54"/>
  <c r="BG23" i="54"/>
  <c r="AA23" i="54"/>
  <c r="BY22" i="54"/>
  <c r="BA33" i="54"/>
  <c r="S33" i="54"/>
  <c r="BQ32" i="54"/>
  <c r="AK32" i="54"/>
  <c r="C32" i="54"/>
  <c r="BC30" i="54"/>
  <c r="W30" i="54"/>
  <c r="BU29" i="54"/>
  <c r="AO29" i="54"/>
  <c r="I29" i="54"/>
  <c r="BG27" i="54"/>
  <c r="AA27" i="54"/>
  <c r="BY26" i="54"/>
  <c r="AS26" i="54"/>
  <c r="M26" i="54"/>
  <c r="BK24" i="54"/>
  <c r="AE24" i="54"/>
  <c r="CC23" i="54"/>
  <c r="AW23" i="54"/>
  <c r="AO33" i="54"/>
  <c r="I33" i="54"/>
  <c r="BG32" i="54"/>
  <c r="AA32" i="54"/>
  <c r="BY30" i="54"/>
  <c r="AS30" i="54"/>
  <c r="M30" i="54"/>
  <c r="BK29" i="54"/>
  <c r="AE29" i="54"/>
  <c r="CC27" i="54"/>
  <c r="AW27" i="54"/>
  <c r="Q27" i="54"/>
  <c r="BO26" i="54"/>
  <c r="AI26" i="54"/>
  <c r="CG24" i="54"/>
  <c r="BA24" i="54"/>
  <c r="U24" i="54"/>
  <c r="BS23" i="54"/>
  <c r="AM23" i="54"/>
  <c r="G23" i="54"/>
  <c r="BE22" i="54"/>
  <c r="AU33" i="54"/>
  <c r="O33" i="54"/>
  <c r="BM32" i="54"/>
  <c r="AG32" i="54"/>
  <c r="CE30" i="54"/>
  <c r="AY30" i="54"/>
  <c r="S30" i="54"/>
  <c r="BQ29" i="54"/>
  <c r="AK29" i="54"/>
  <c r="C29" i="54"/>
  <c r="BC27" i="54"/>
  <c r="W27" i="54"/>
  <c r="BU26" i="54"/>
  <c r="AO26" i="54"/>
  <c r="I26" i="54"/>
  <c r="BG24" i="54"/>
  <c r="AA24" i="54"/>
  <c r="BY23" i="54"/>
  <c r="AS23" i="54"/>
  <c r="M23" i="54"/>
  <c r="BK22" i="54"/>
  <c r="I23" i="54"/>
  <c r="W22" i="54"/>
  <c r="BU20" i="54"/>
  <c r="BC33" i="54"/>
  <c r="U33" i="54"/>
  <c r="BS32" i="54"/>
  <c r="AM32" i="54"/>
  <c r="G32" i="54"/>
  <c r="BE30" i="54"/>
  <c r="Y30" i="54"/>
  <c r="BW29" i="54"/>
  <c r="AQ29" i="54"/>
  <c r="K29" i="54"/>
  <c r="BI27" i="54"/>
  <c r="AC27" i="54"/>
  <c r="CA26" i="54"/>
  <c r="AU26" i="54"/>
  <c r="O26" i="54"/>
  <c r="BM24" i="54"/>
  <c r="AG24" i="54"/>
  <c r="CE23" i="54"/>
  <c r="AY23" i="54"/>
  <c r="S23" i="54"/>
  <c r="BQ22" i="54"/>
  <c r="AQ33" i="54"/>
  <c r="K33" i="54"/>
  <c r="BI32" i="54"/>
  <c r="AC32" i="54"/>
  <c r="CA30" i="54"/>
  <c r="AU30" i="54"/>
  <c r="O30" i="54"/>
  <c r="BM29" i="54"/>
  <c r="AG29" i="54"/>
  <c r="CE27" i="54"/>
  <c r="AY27" i="54"/>
  <c r="S27" i="54"/>
  <c r="BQ26" i="54"/>
  <c r="AK26" i="54"/>
  <c r="C26" i="54"/>
  <c r="BC24" i="54"/>
  <c r="W24" i="54"/>
  <c r="BU23" i="54"/>
  <c r="AO23" i="54"/>
  <c r="AG33" i="54"/>
  <c r="CE32" i="54"/>
  <c r="AY32" i="54"/>
  <c r="S32" i="54"/>
  <c r="BQ30" i="54"/>
  <c r="AK30" i="54"/>
  <c r="C30" i="54"/>
  <c r="BC29" i="54"/>
  <c r="W29" i="54"/>
  <c r="BU27" i="54"/>
  <c r="AO27" i="54"/>
  <c r="I27" i="54"/>
  <c r="BG26" i="54"/>
  <c r="AA26" i="54"/>
  <c r="BY24" i="54"/>
  <c r="AS24" i="54"/>
  <c r="M24" i="54"/>
  <c r="BK23" i="54"/>
  <c r="AE23" i="54"/>
  <c r="CC22" i="54"/>
  <c r="AW22" i="54"/>
  <c r="AM33" i="54"/>
  <c r="G33" i="54"/>
  <c r="BE32" i="54"/>
  <c r="Y32" i="54"/>
  <c r="BW30" i="54"/>
  <c r="AQ30" i="54"/>
  <c r="K30" i="54"/>
  <c r="BI29" i="54"/>
  <c r="AC29" i="54"/>
  <c r="CA27" i="54"/>
  <c r="AU27" i="54"/>
  <c r="O27" i="54"/>
  <c r="BM26" i="54"/>
  <c r="AG26" i="54"/>
  <c r="CE24" i="54"/>
  <c r="AY24" i="54"/>
  <c r="S24" i="54"/>
  <c r="BQ23" i="54"/>
  <c r="AK23" i="54"/>
  <c r="C23" i="54"/>
  <c r="BC22" i="54"/>
  <c r="BG22" i="54"/>
  <c r="O22" i="54"/>
  <c r="BM20" i="54"/>
  <c r="AS33" i="54"/>
  <c r="M33" i="54"/>
  <c r="BK32" i="54"/>
  <c r="AE32" i="54"/>
  <c r="CC30" i="54"/>
  <c r="AW30" i="54"/>
  <c r="Q30" i="54"/>
  <c r="BO29" i="54"/>
  <c r="AI29" i="54"/>
  <c r="CG27" i="54"/>
  <c r="BA27" i="54"/>
  <c r="U27" i="54"/>
  <c r="BS26" i="54"/>
  <c r="AM26" i="54"/>
  <c r="G26" i="54"/>
  <c r="BE24" i="54"/>
  <c r="Y24" i="54"/>
  <c r="BW23" i="54"/>
  <c r="AQ23" i="54"/>
  <c r="K23" i="54"/>
  <c r="BI22" i="54"/>
  <c r="AI33" i="54"/>
  <c r="CG32" i="54"/>
  <c r="BA32" i="54"/>
  <c r="U32" i="54"/>
  <c r="BS30" i="54"/>
  <c r="AM30" i="54"/>
  <c r="G30" i="54"/>
  <c r="BE29" i="54"/>
  <c r="Y29" i="54"/>
  <c r="BW27" i="54"/>
  <c r="AQ27" i="54"/>
  <c r="K27" i="54"/>
  <c r="BI26" i="54"/>
  <c r="AC26" i="54"/>
  <c r="CA24" i="54"/>
  <c r="AU24" i="54"/>
  <c r="O24" i="54"/>
  <c r="BM23" i="54"/>
  <c r="BI33" i="54"/>
  <c r="Y33" i="54"/>
  <c r="BW32" i="54"/>
  <c r="AQ32" i="54"/>
  <c r="K32" i="54"/>
  <c r="BI30" i="54"/>
  <c r="AC30" i="54"/>
  <c r="CA29" i="54"/>
  <c r="AU29" i="54"/>
  <c r="O29" i="54"/>
  <c r="BM27" i="54"/>
  <c r="AG27" i="54"/>
  <c r="CE26" i="54"/>
  <c r="AY26" i="54"/>
  <c r="S26" i="54"/>
  <c r="BQ24" i="54"/>
  <c r="AK24" i="54"/>
  <c r="C24" i="54"/>
  <c r="BC23" i="54"/>
  <c r="W23" i="54"/>
  <c r="BU22" i="54"/>
  <c r="AO22" i="54"/>
  <c r="AE33" i="54"/>
  <c r="CC32" i="54"/>
  <c r="AW32" i="54"/>
  <c r="Q32" i="54"/>
  <c r="BO30" i="54"/>
  <c r="AI30" i="54"/>
  <c r="CG29" i="54"/>
  <c r="BA29" i="54"/>
  <c r="U29" i="54"/>
  <c r="BS27" i="54"/>
  <c r="AM27" i="54"/>
  <c r="G27" i="54"/>
  <c r="BE26" i="54"/>
  <c r="Y26" i="54"/>
  <c r="BW24" i="54"/>
  <c r="AQ24" i="54"/>
  <c r="K24" i="54"/>
  <c r="BI23" i="54"/>
  <c r="AC23" i="54"/>
  <c r="CA22" i="54"/>
  <c r="AU22" i="54"/>
  <c r="AQ22" i="54"/>
  <c r="G22" i="54"/>
  <c r="BE20" i="54"/>
  <c r="AO20" i="54"/>
  <c r="I20" i="54"/>
  <c r="BG19" i="54"/>
  <c r="AA19" i="54"/>
  <c r="BY18" i="54"/>
  <c r="AS18" i="54"/>
  <c r="M18" i="54"/>
  <c r="BK17" i="54"/>
  <c r="AE17" i="54"/>
  <c r="CC15" i="54"/>
  <c r="AW15" i="54"/>
  <c r="Q15" i="54"/>
  <c r="BO14" i="54"/>
  <c r="AI14" i="54"/>
  <c r="CC43" i="53"/>
  <c r="AW43" i="53"/>
  <c r="Q43" i="53"/>
  <c r="BO41" i="53"/>
  <c r="AI41" i="53"/>
  <c r="BA22" i="54"/>
  <c r="M22" i="54"/>
  <c r="BK20" i="54"/>
  <c r="AE20" i="54"/>
  <c r="CC19" i="54"/>
  <c r="AW19" i="54"/>
  <c r="Q19" i="54"/>
  <c r="BO18" i="54"/>
  <c r="AI18" i="54"/>
  <c r="CG17" i="54"/>
  <c r="BA17" i="54"/>
  <c r="U17" i="54"/>
  <c r="BS15" i="54"/>
  <c r="AM15" i="54"/>
  <c r="G15" i="54"/>
  <c r="BE14" i="54"/>
  <c r="Y14" i="54"/>
  <c r="CA43" i="53"/>
  <c r="AU43" i="53"/>
  <c r="O43" i="53"/>
  <c r="BM41" i="53"/>
  <c r="AG41" i="53"/>
  <c r="AY22" i="54"/>
  <c r="K22" i="54"/>
  <c r="BI20" i="54"/>
  <c r="AC20" i="54"/>
  <c r="CA19" i="54"/>
  <c r="AU19" i="54"/>
  <c r="O19" i="54"/>
  <c r="BM18" i="54"/>
  <c r="AG18" i="54"/>
  <c r="CE17" i="54"/>
  <c r="AY17" i="54"/>
  <c r="S17" i="54"/>
  <c r="BQ15" i="54"/>
  <c r="AK15" i="54"/>
  <c r="C15" i="54"/>
  <c r="BC14" i="54"/>
  <c r="W14" i="54"/>
  <c r="BY43" i="53"/>
  <c r="AS43" i="53"/>
  <c r="M43" i="53"/>
  <c r="BK41" i="53"/>
  <c r="Q23" i="54"/>
  <c r="Y22" i="54"/>
  <c r="BW20" i="54"/>
  <c r="AQ20" i="54"/>
  <c r="K20" i="54"/>
  <c r="BI19" i="54"/>
  <c r="AC19" i="54"/>
  <c r="CA18" i="54"/>
  <c r="AU18" i="54"/>
  <c r="O18" i="54"/>
  <c r="BM17" i="54"/>
  <c r="AG17" i="54"/>
  <c r="CE15" i="54"/>
  <c r="AY15" i="54"/>
  <c r="S15" i="54"/>
  <c r="BQ14" i="54"/>
  <c r="AK14" i="54"/>
  <c r="C14" i="54"/>
  <c r="BG43" i="53"/>
  <c r="AA43" i="53"/>
  <c r="BY41" i="53"/>
  <c r="AS41" i="53"/>
  <c r="CE40" i="53"/>
  <c r="CE7" i="53" s="1"/>
  <c r="AY40" i="53"/>
  <c r="AY7" i="53" s="1"/>
  <c r="AG20" i="54"/>
  <c r="CE19" i="54"/>
  <c r="AY19" i="54"/>
  <c r="S19" i="54"/>
  <c r="BQ18" i="54"/>
  <c r="AK18" i="54"/>
  <c r="C18" i="54"/>
  <c r="BC17" i="54"/>
  <c r="W17" i="54"/>
  <c r="BU15" i="54"/>
  <c r="AO15" i="54"/>
  <c r="I15" i="54"/>
  <c r="BG14" i="54"/>
  <c r="AA14" i="54"/>
  <c r="BU43" i="53"/>
  <c r="AO43" i="53"/>
  <c r="I43" i="53"/>
  <c r="BG41" i="53"/>
  <c r="AA41" i="53"/>
  <c r="AK22" i="54"/>
  <c r="C22" i="54"/>
  <c r="BC20" i="54"/>
  <c r="W20" i="54"/>
  <c r="BU19" i="54"/>
  <c r="AO19" i="54"/>
  <c r="I19" i="54"/>
  <c r="BG18" i="54"/>
  <c r="AA18" i="54"/>
  <c r="BY17" i="54"/>
  <c r="AS17" i="54"/>
  <c r="M17" i="54"/>
  <c r="BK15" i="54"/>
  <c r="AE15" i="54"/>
  <c r="CC14" i="54"/>
  <c r="AW14" i="54"/>
  <c r="Q14" i="54"/>
  <c r="BS43" i="53"/>
  <c r="AM43" i="53"/>
  <c r="G43" i="53"/>
  <c r="BE41" i="53"/>
  <c r="Y41" i="53"/>
  <c r="AI22" i="54"/>
  <c r="CG20" i="54"/>
  <c r="BA20" i="54"/>
  <c r="U20" i="54"/>
  <c r="BS19" i="54"/>
  <c r="AM19" i="54"/>
  <c r="G19" i="54"/>
  <c r="BE18" i="54"/>
  <c r="Y18" i="54"/>
  <c r="BW17" i="54"/>
  <c r="AQ17" i="54"/>
  <c r="K17" i="54"/>
  <c r="BI15" i="54"/>
  <c r="AC15" i="54"/>
  <c r="CA14" i="54"/>
  <c r="AU14" i="54"/>
  <c r="O14" i="54"/>
  <c r="BQ43" i="53"/>
  <c r="AK43" i="53"/>
  <c r="C43" i="53"/>
  <c r="BC41" i="53"/>
  <c r="BO22" i="54"/>
  <c r="Q22" i="54"/>
  <c r="BO20" i="54"/>
  <c r="AI20" i="54"/>
  <c r="CG19" i="54"/>
  <c r="BA19" i="54"/>
  <c r="U19" i="54"/>
  <c r="BS18" i="54"/>
  <c r="AM18" i="54"/>
  <c r="G18" i="54"/>
  <c r="BE17" i="54"/>
  <c r="Y17" i="54"/>
  <c r="BW15" i="54"/>
  <c r="AQ15" i="54"/>
  <c r="K15" i="54"/>
  <c r="BI14" i="54"/>
  <c r="AC14" i="54"/>
  <c r="CE43" i="53"/>
  <c r="AY43" i="53"/>
  <c r="S43" i="53"/>
  <c r="BQ41" i="53"/>
  <c r="Y20" i="54"/>
  <c r="BW19" i="54"/>
  <c r="AQ19" i="54"/>
  <c r="K19" i="54"/>
  <c r="BI18" i="54"/>
  <c r="AC18" i="54"/>
  <c r="CA17" i="54"/>
  <c r="AU17" i="54"/>
  <c r="O17" i="54"/>
  <c r="BM15" i="54"/>
  <c r="AG15" i="54"/>
  <c r="CE14" i="54"/>
  <c r="AY14" i="54"/>
  <c r="S14" i="54"/>
  <c r="BM43" i="53"/>
  <c r="AG43" i="53"/>
  <c r="CE41" i="53"/>
  <c r="AY41" i="53"/>
  <c r="AG23" i="54"/>
  <c r="AC22" i="54"/>
  <c r="CA20" i="54"/>
  <c r="AU20" i="54"/>
  <c r="O20" i="54"/>
  <c r="BM19" i="54"/>
  <c r="AG19" i="54"/>
  <c r="CE18" i="54"/>
  <c r="AY18" i="54"/>
  <c r="S18" i="54"/>
  <c r="BQ17" i="54"/>
  <c r="AK17" i="54"/>
  <c r="C17" i="54"/>
  <c r="BC15" i="54"/>
  <c r="W15" i="54"/>
  <c r="BU14" i="54"/>
  <c r="AO14" i="54"/>
  <c r="I14" i="54"/>
  <c r="BK43" i="53"/>
  <c r="AE43" i="53"/>
  <c r="CC41" i="53"/>
  <c r="AW41" i="53"/>
  <c r="Y23" i="54"/>
  <c r="AA22" i="54"/>
  <c r="BY20" i="54"/>
  <c r="AS20" i="54"/>
  <c r="M20" i="54"/>
  <c r="BK19" i="54"/>
  <c r="AE19" i="54"/>
  <c r="CC18" i="54"/>
  <c r="AW18" i="54"/>
  <c r="Q18" i="54"/>
  <c r="BO17" i="54"/>
  <c r="AI17" i="54"/>
  <c r="CG15" i="54"/>
  <c r="BA15" i="54"/>
  <c r="U15" i="54"/>
  <c r="BS14" i="54"/>
  <c r="AM14" i="54"/>
  <c r="G14" i="54"/>
  <c r="BI43" i="53"/>
  <c r="AC43" i="53"/>
  <c r="CA41" i="53"/>
  <c r="AU41" i="53"/>
  <c r="AS22" i="54"/>
  <c r="I22" i="54"/>
  <c r="BG20" i="54"/>
  <c r="AA20" i="54"/>
  <c r="BY19" i="54"/>
  <c r="AS19" i="54"/>
  <c r="M19" i="54"/>
  <c r="BK18" i="54"/>
  <c r="AE18" i="54"/>
  <c r="CC17" i="54"/>
  <c r="AW17" i="54"/>
  <c r="Q17" i="54"/>
  <c r="BO15" i="54"/>
  <c r="AI15" i="54"/>
  <c r="CG14" i="54"/>
  <c r="BA14" i="54"/>
  <c r="U14" i="54"/>
  <c r="BW43" i="53"/>
  <c r="AQ43" i="53"/>
  <c r="K43" i="53"/>
  <c r="BI41" i="53"/>
  <c r="Q20" i="54"/>
  <c r="BO19" i="54"/>
  <c r="AI19" i="54"/>
  <c r="CG18" i="54"/>
  <c r="BA18" i="54"/>
  <c r="U18" i="54"/>
  <c r="BS17" i="54"/>
  <c r="AM17" i="54"/>
  <c r="G17" i="54"/>
  <c r="BE15" i="54"/>
  <c r="Y15" i="54"/>
  <c r="BW14" i="54"/>
  <c r="AQ14" i="54"/>
  <c r="K14" i="54"/>
  <c r="BE43" i="53"/>
  <c r="Y43" i="53"/>
  <c r="BW41" i="53"/>
  <c r="AQ41" i="53"/>
  <c r="CE22" i="54"/>
  <c r="U22" i="54"/>
  <c r="BS20" i="54"/>
  <c r="AM20" i="54"/>
  <c r="G20" i="54"/>
  <c r="BE19" i="54"/>
  <c r="Y19" i="54"/>
  <c r="BW18" i="54"/>
  <c r="AQ18" i="54"/>
  <c r="K18" i="54"/>
  <c r="BI17" i="54"/>
  <c r="AC17" i="54"/>
  <c r="CA15" i="54"/>
  <c r="AU15" i="54"/>
  <c r="O15" i="54"/>
  <c r="BM14" i="54"/>
  <c r="AG14" i="54"/>
  <c r="C44" i="53"/>
  <c r="BC43" i="53"/>
  <c r="W43" i="53"/>
  <c r="BU41" i="53"/>
  <c r="AO41" i="53"/>
  <c r="BW22" i="54"/>
  <c r="S22" i="54"/>
  <c r="BQ20" i="54"/>
  <c r="AK20" i="54"/>
  <c r="C20" i="54"/>
  <c r="BC19" i="54"/>
  <c r="W19" i="54"/>
  <c r="BU18" i="54"/>
  <c r="AO18" i="54"/>
  <c r="I18" i="54"/>
  <c r="BG17" i="54"/>
  <c r="AA17" i="54"/>
  <c r="BY15" i="54"/>
  <c r="AS15" i="54"/>
  <c r="M15" i="54"/>
  <c r="BK14" i="54"/>
  <c r="AE14" i="54"/>
  <c r="CG43" i="53"/>
  <c r="BA43" i="53"/>
  <c r="U43" i="53"/>
  <c r="BS41" i="53"/>
  <c r="AM41" i="53"/>
  <c r="AG22" i="54"/>
  <c r="CE20" i="54"/>
  <c r="AY20" i="54"/>
  <c r="S20" i="54"/>
  <c r="BQ19" i="54"/>
  <c r="AK19" i="54"/>
  <c r="C19" i="54"/>
  <c r="BC18" i="54"/>
  <c r="W18" i="54"/>
  <c r="BU17" i="54"/>
  <c r="AO17" i="54"/>
  <c r="I17" i="54"/>
  <c r="BG15" i="54"/>
  <c r="AA15" i="54"/>
  <c r="BY14" i="54"/>
  <c r="AS14" i="54"/>
  <c r="M14" i="54"/>
  <c r="BO43" i="53"/>
  <c r="AI43" i="53"/>
  <c r="CG41" i="53"/>
  <c r="BA41" i="53"/>
  <c r="I41" i="53"/>
  <c r="BG40" i="53"/>
  <c r="BG7" i="53" s="1"/>
  <c r="AC41" i="53"/>
  <c r="AQ40" i="53"/>
  <c r="AQ7" i="53" s="1"/>
  <c r="K40" i="53"/>
  <c r="K7" i="53" s="1"/>
  <c r="BI38" i="53"/>
  <c r="AC38" i="53"/>
  <c r="CA37" i="53"/>
  <c r="AU37" i="53"/>
  <c r="O37" i="53"/>
  <c r="BM36" i="53"/>
  <c r="AG36" i="53"/>
  <c r="CE35" i="53"/>
  <c r="AY35" i="53"/>
  <c r="S35" i="53"/>
  <c r="BQ34" i="53"/>
  <c r="AK34" i="53"/>
  <c r="C34" i="53"/>
  <c r="BC33" i="53"/>
  <c r="W33" i="53"/>
  <c r="BU32" i="53"/>
  <c r="AO32" i="53"/>
  <c r="I32" i="53"/>
  <c r="BG30" i="53"/>
  <c r="AA30" i="53"/>
  <c r="BY29" i="53"/>
  <c r="AS29" i="53"/>
  <c r="M29" i="53"/>
  <c r="BK27" i="53"/>
  <c r="AE27" i="53"/>
  <c r="CC26" i="53"/>
  <c r="AW26" i="53"/>
  <c r="Q26" i="53"/>
  <c r="BO24" i="53"/>
  <c r="AI24" i="53"/>
  <c r="CG23" i="53"/>
  <c r="BA23" i="53"/>
  <c r="U23" i="53"/>
  <c r="BS22" i="53"/>
  <c r="AM22" i="53"/>
  <c r="G22" i="53"/>
  <c r="BE20" i="53"/>
  <c r="G41" i="53"/>
  <c r="BE40" i="53"/>
  <c r="BE7" i="53" s="1"/>
  <c r="Y40" i="53"/>
  <c r="Y7" i="53" s="1"/>
  <c r="BW38" i="53"/>
  <c r="AQ38" i="53"/>
  <c r="K38" i="53"/>
  <c r="BI37" i="53"/>
  <c r="AC37" i="53"/>
  <c r="CA36" i="53"/>
  <c r="AU36" i="53"/>
  <c r="O36" i="53"/>
  <c r="BM35" i="53"/>
  <c r="AG35" i="53"/>
  <c r="CE34" i="53"/>
  <c r="AY34" i="53"/>
  <c r="S34" i="53"/>
  <c r="BQ33" i="53"/>
  <c r="AK33" i="53"/>
  <c r="C33" i="53"/>
  <c r="BC32" i="53"/>
  <c r="W32" i="53"/>
  <c r="BU30" i="53"/>
  <c r="AO30" i="53"/>
  <c r="I30" i="53"/>
  <c r="BG29" i="53"/>
  <c r="AA29" i="53"/>
  <c r="BY27" i="53"/>
  <c r="AS27" i="53"/>
  <c r="M27" i="53"/>
  <c r="BK26" i="53"/>
  <c r="AE26" i="53"/>
  <c r="CC24" i="53"/>
  <c r="AW24" i="53"/>
  <c r="Q24" i="53"/>
  <c r="BO23" i="53"/>
  <c r="AI23" i="53"/>
  <c r="CG22" i="53"/>
  <c r="BA22" i="53"/>
  <c r="U22" i="53"/>
  <c r="U41" i="53"/>
  <c r="BS40" i="53"/>
  <c r="BS7" i="53" s="1"/>
  <c r="AM40" i="53"/>
  <c r="AM7" i="53" s="1"/>
  <c r="G40" i="53"/>
  <c r="G7" i="53" s="1"/>
  <c r="BE38" i="53"/>
  <c r="Y38" i="53"/>
  <c r="BW37" i="53"/>
  <c r="AQ37" i="53"/>
  <c r="K37" i="53"/>
  <c r="Q41" i="53"/>
  <c r="AI40" i="53"/>
  <c r="AI7" i="53" s="1"/>
  <c r="CG38" i="53"/>
  <c r="BA38" i="53"/>
  <c r="U38" i="53"/>
  <c r="BS37" i="53"/>
  <c r="AM37" i="53"/>
  <c r="G37" i="53"/>
  <c r="BE36" i="53"/>
  <c r="Y36" i="53"/>
  <c r="BW35" i="53"/>
  <c r="AQ35" i="53"/>
  <c r="K35" i="53"/>
  <c r="BI34" i="53"/>
  <c r="AC34" i="53"/>
  <c r="CA33" i="53"/>
  <c r="AU33" i="53"/>
  <c r="O33" i="53"/>
  <c r="BM32" i="53"/>
  <c r="AG32" i="53"/>
  <c r="CE30" i="53"/>
  <c r="AY30" i="53"/>
  <c r="S30" i="53"/>
  <c r="BQ29" i="53"/>
  <c r="AK29" i="53"/>
  <c r="C29" i="53"/>
  <c r="BC27" i="53"/>
  <c r="W27" i="53"/>
  <c r="BU26" i="53"/>
  <c r="AO26" i="53"/>
  <c r="I26" i="53"/>
  <c r="BG24" i="53"/>
  <c r="AA24" i="53"/>
  <c r="BY23" i="53"/>
  <c r="AS23" i="53"/>
  <c r="M23" i="53"/>
  <c r="BK22" i="53"/>
  <c r="AE22" i="53"/>
  <c r="CC20" i="53"/>
  <c r="AW20" i="53"/>
  <c r="CC40" i="53"/>
  <c r="CC7" i="53" s="1"/>
  <c r="AW40" i="53"/>
  <c r="AW7" i="53" s="1"/>
  <c r="Q40" i="53"/>
  <c r="Q7" i="53" s="1"/>
  <c r="BO38" i="53"/>
  <c r="AI38" i="53"/>
  <c r="CG37" i="53"/>
  <c r="BA37" i="53"/>
  <c r="U37" i="53"/>
  <c r="BS36" i="53"/>
  <c r="AM36" i="53"/>
  <c r="G36" i="53"/>
  <c r="BE35" i="53"/>
  <c r="Y35" i="53"/>
  <c r="BW34" i="53"/>
  <c r="AQ34" i="53"/>
  <c r="K34" i="53"/>
  <c r="BI33" i="53"/>
  <c r="AC33" i="53"/>
  <c r="CA32" i="53"/>
  <c r="AU32" i="53"/>
  <c r="O32" i="53"/>
  <c r="BM30" i="53"/>
  <c r="AG30" i="53"/>
  <c r="CE29" i="53"/>
  <c r="AY29" i="53"/>
  <c r="S29" i="53"/>
  <c r="BQ27" i="53"/>
  <c r="AK27" i="53"/>
  <c r="C27" i="53"/>
  <c r="BC26" i="53"/>
  <c r="W26" i="53"/>
  <c r="BU24" i="53"/>
  <c r="AO24" i="53"/>
  <c r="I24" i="53"/>
  <c r="BG23" i="53"/>
  <c r="AA23" i="53"/>
  <c r="BY22" i="53"/>
  <c r="AS22" i="53"/>
  <c r="M22" i="53"/>
  <c r="M41" i="53"/>
  <c r="BK40" i="53"/>
  <c r="BK7" i="53" s="1"/>
  <c r="AE40" i="53"/>
  <c r="AE7" i="53" s="1"/>
  <c r="CC38" i="53"/>
  <c r="AW38" i="53"/>
  <c r="Q38" i="53"/>
  <c r="BO37" i="53"/>
  <c r="BW40" i="53"/>
  <c r="BW7" i="53" s="1"/>
  <c r="AA40" i="53"/>
  <c r="AA7" i="53" s="1"/>
  <c r="BY38" i="53"/>
  <c r="AS38" i="53"/>
  <c r="M38" i="53"/>
  <c r="BK37" i="53"/>
  <c r="AE37" i="53"/>
  <c r="CC36" i="53"/>
  <c r="AW36" i="53"/>
  <c r="Q36" i="53"/>
  <c r="BO35" i="53"/>
  <c r="AI35" i="53"/>
  <c r="CG34" i="53"/>
  <c r="BA34" i="53"/>
  <c r="U34" i="53"/>
  <c r="BS33" i="53"/>
  <c r="AM33" i="53"/>
  <c r="G33" i="53"/>
  <c r="BE32" i="53"/>
  <c r="Y32" i="53"/>
  <c r="BW30" i="53"/>
  <c r="AQ30" i="53"/>
  <c r="K30" i="53"/>
  <c r="BI29" i="53"/>
  <c r="AC29" i="53"/>
  <c r="CA27" i="53"/>
  <c r="AU27" i="53"/>
  <c r="O27" i="53"/>
  <c r="BM26" i="53"/>
  <c r="AG26" i="53"/>
  <c r="CE24" i="53"/>
  <c r="AY24" i="53"/>
  <c r="S24" i="53"/>
  <c r="BQ23" i="53"/>
  <c r="AK23" i="53"/>
  <c r="C23" i="53"/>
  <c r="BC22" i="53"/>
  <c r="W22" i="53"/>
  <c r="BU20" i="53"/>
  <c r="W41" i="53"/>
  <c r="BU40" i="53"/>
  <c r="BU7" i="53" s="1"/>
  <c r="AO40" i="53"/>
  <c r="AO7" i="53" s="1"/>
  <c r="I40" i="53"/>
  <c r="I7" i="53" s="1"/>
  <c r="BG38" i="53"/>
  <c r="AA38" i="53"/>
  <c r="BY37" i="53"/>
  <c r="AS37" i="53"/>
  <c r="M37" i="53"/>
  <c r="BK36" i="53"/>
  <c r="AE36" i="53"/>
  <c r="CC35" i="53"/>
  <c r="AW35" i="53"/>
  <c r="Q35" i="53"/>
  <c r="BO34" i="53"/>
  <c r="AI34" i="53"/>
  <c r="CG33" i="53"/>
  <c r="BA33" i="53"/>
  <c r="U33" i="53"/>
  <c r="BS32" i="53"/>
  <c r="AM32" i="53"/>
  <c r="G32" i="53"/>
  <c r="BE30" i="53"/>
  <c r="Y30" i="53"/>
  <c r="BW29" i="53"/>
  <c r="AQ29" i="53"/>
  <c r="K29" i="53"/>
  <c r="BI27" i="53"/>
  <c r="AC27" i="53"/>
  <c r="CA26" i="53"/>
  <c r="AU26" i="53"/>
  <c r="O26" i="53"/>
  <c r="BM24" i="53"/>
  <c r="AG24" i="53"/>
  <c r="CE23" i="53"/>
  <c r="AY23" i="53"/>
  <c r="S23" i="53"/>
  <c r="BQ22" i="53"/>
  <c r="AK22" i="53"/>
  <c r="C22" i="53"/>
  <c r="C41" i="53"/>
  <c r="BC40" i="53"/>
  <c r="BC7" i="53" s="1"/>
  <c r="W40" i="53"/>
  <c r="W7" i="53" s="1"/>
  <c r="BU38" i="53"/>
  <c r="AO38" i="53"/>
  <c r="I38" i="53"/>
  <c r="BO40" i="53"/>
  <c r="BO7" i="53" s="1"/>
  <c r="S40" i="53"/>
  <c r="S7" i="53" s="1"/>
  <c r="BQ38" i="53"/>
  <c r="AK38" i="53"/>
  <c r="C38" i="53"/>
  <c r="BC37" i="53"/>
  <c r="W37" i="53"/>
  <c r="BU36" i="53"/>
  <c r="AO36" i="53"/>
  <c r="I36" i="53"/>
  <c r="BG35" i="53"/>
  <c r="AA35" i="53"/>
  <c r="BY34" i="53"/>
  <c r="AS34" i="53"/>
  <c r="M34" i="53"/>
  <c r="BK33" i="53"/>
  <c r="AE33" i="53"/>
  <c r="CC32" i="53"/>
  <c r="AW32" i="53"/>
  <c r="Q32" i="53"/>
  <c r="BO30" i="53"/>
  <c r="AI30" i="53"/>
  <c r="CG29" i="53"/>
  <c r="BA29" i="53"/>
  <c r="U29" i="53"/>
  <c r="BS27" i="53"/>
  <c r="AM27" i="53"/>
  <c r="G27" i="53"/>
  <c r="BE26" i="53"/>
  <c r="Y26" i="53"/>
  <c r="BW24" i="53"/>
  <c r="AQ24" i="53"/>
  <c r="K24" i="53"/>
  <c r="BI23" i="53"/>
  <c r="AC23" i="53"/>
  <c r="CA22" i="53"/>
  <c r="AU22" i="53"/>
  <c r="O22" i="53"/>
  <c r="BM20" i="53"/>
  <c r="O41" i="53"/>
  <c r="BM40" i="53"/>
  <c r="BM7" i="53" s="1"/>
  <c r="AG40" i="53"/>
  <c r="AG7" i="53" s="1"/>
  <c r="CE38" i="53"/>
  <c r="AY38" i="53"/>
  <c r="S38" i="53"/>
  <c r="BQ37" i="53"/>
  <c r="AK37" i="53"/>
  <c r="C37" i="53"/>
  <c r="BC36" i="53"/>
  <c r="W36" i="53"/>
  <c r="BU35" i="53"/>
  <c r="AO35" i="53"/>
  <c r="I35" i="53"/>
  <c r="BG34" i="53"/>
  <c r="AA34" i="53"/>
  <c r="BY33" i="53"/>
  <c r="AS33" i="53"/>
  <c r="M33" i="53"/>
  <c r="BK32" i="53"/>
  <c r="AE32" i="53"/>
  <c r="CC30" i="53"/>
  <c r="AW30" i="53"/>
  <c r="Q30" i="53"/>
  <c r="BO29" i="53"/>
  <c r="AI29" i="53"/>
  <c r="CG27" i="53"/>
  <c r="BA27" i="53"/>
  <c r="U27" i="53"/>
  <c r="BS26" i="53"/>
  <c r="AM26" i="53"/>
  <c r="G26" i="53"/>
  <c r="BE24" i="53"/>
  <c r="Y24" i="53"/>
  <c r="BW23" i="53"/>
  <c r="AQ23" i="53"/>
  <c r="K23" i="53"/>
  <c r="BI22" i="53"/>
  <c r="AC22" i="53"/>
  <c r="AK41" i="53"/>
  <c r="CA40" i="53"/>
  <c r="CA7" i="53" s="1"/>
  <c r="AU40" i="53"/>
  <c r="AU7" i="53" s="1"/>
  <c r="O40" i="53"/>
  <c r="O7" i="53" s="1"/>
  <c r="BM38" i="53"/>
  <c r="AG38" i="53"/>
  <c r="CE37" i="53"/>
  <c r="AY37" i="53"/>
  <c r="S37" i="53"/>
  <c r="BG37" i="53"/>
  <c r="BY36" i="53"/>
  <c r="AS36" i="53"/>
  <c r="M36" i="53"/>
  <c r="BK35" i="53"/>
  <c r="AE35" i="53"/>
  <c r="CC34" i="53"/>
  <c r="AW34" i="53"/>
  <c r="Q34" i="53"/>
  <c r="BO33" i="53"/>
  <c r="AI33" i="53"/>
  <c r="CG32" i="53"/>
  <c r="BA32" i="53"/>
  <c r="U32" i="53"/>
  <c r="BS30" i="53"/>
  <c r="AM30" i="53"/>
  <c r="G30" i="53"/>
  <c r="BE29" i="53"/>
  <c r="Y29" i="53"/>
  <c r="BW27" i="53"/>
  <c r="AQ27" i="53"/>
  <c r="K27" i="53"/>
  <c r="BI26" i="53"/>
  <c r="AC26" i="53"/>
  <c r="CA24" i="53"/>
  <c r="AU24" i="53"/>
  <c r="O24" i="53"/>
  <c r="BM23" i="53"/>
  <c r="AG23" i="53"/>
  <c r="CE22" i="53"/>
  <c r="AY22" i="53"/>
  <c r="S22" i="53"/>
  <c r="BQ20" i="53"/>
  <c r="AK20" i="53"/>
  <c r="C20" i="53"/>
  <c r="CG40" i="53"/>
  <c r="CG7" i="53" s="1"/>
  <c r="BA40" i="53"/>
  <c r="BA7" i="53" s="1"/>
  <c r="U40" i="53"/>
  <c r="U7" i="53" s="1"/>
  <c r="BS38" i="53"/>
  <c r="AM38" i="53"/>
  <c r="G38" i="53"/>
  <c r="BE37" i="53"/>
  <c r="Y37" i="53"/>
  <c r="BW36" i="53"/>
  <c r="AQ36" i="53"/>
  <c r="K36" i="53"/>
  <c r="BI35" i="53"/>
  <c r="AC35" i="53"/>
  <c r="CA34" i="53"/>
  <c r="AU34" i="53"/>
  <c r="O34" i="53"/>
  <c r="BM33" i="53"/>
  <c r="AG33" i="53"/>
  <c r="CE32" i="53"/>
  <c r="AY32" i="53"/>
  <c r="S32" i="53"/>
  <c r="BQ30" i="53"/>
  <c r="AK30" i="53"/>
  <c r="C30" i="53"/>
  <c r="BC29" i="53"/>
  <c r="W29" i="53"/>
  <c r="BU27" i="53"/>
  <c r="AO27" i="53"/>
  <c r="I27" i="53"/>
  <c r="BG26" i="53"/>
  <c r="AA26" i="53"/>
  <c r="BY24" i="53"/>
  <c r="AS24" i="53"/>
  <c r="M24" i="53"/>
  <c r="BK23" i="53"/>
  <c r="AE23" i="53"/>
  <c r="CC22" i="53"/>
  <c r="AW22" i="53"/>
  <c r="Q22" i="53"/>
  <c r="BO20" i="53"/>
  <c r="AI20" i="53"/>
  <c r="CG19" i="53"/>
  <c r="AM20" i="53"/>
  <c r="BM19" i="53"/>
  <c r="AG19" i="53"/>
  <c r="Q20" i="53"/>
  <c r="BC19" i="53"/>
  <c r="W19" i="53"/>
  <c r="BU18" i="53"/>
  <c r="AO18" i="53"/>
  <c r="I18" i="53"/>
  <c r="BG17" i="53"/>
  <c r="AA17" i="53"/>
  <c r="BY15" i="53"/>
  <c r="AS15" i="53"/>
  <c r="M15" i="53"/>
  <c r="BK14" i="53"/>
  <c r="AE14" i="53"/>
  <c r="CE43" i="52"/>
  <c r="AY43" i="52"/>
  <c r="S43" i="52"/>
  <c r="BQ41" i="52"/>
  <c r="AK41" i="52"/>
  <c r="C41" i="52"/>
  <c r="BC40" i="52"/>
  <c r="BC7" i="52" s="1"/>
  <c r="W40" i="52"/>
  <c r="W7" i="52" s="1"/>
  <c r="BU38" i="52"/>
  <c r="AO38" i="52"/>
  <c r="I38" i="52"/>
  <c r="BG37" i="52"/>
  <c r="AA37" i="52"/>
  <c r="BY36" i="52"/>
  <c r="AS36" i="52"/>
  <c r="M36" i="52"/>
  <c r="BK35" i="52"/>
  <c r="AE35" i="52"/>
  <c r="CC34" i="52"/>
  <c r="AW34" i="52"/>
  <c r="Q34" i="52"/>
  <c r="BO33" i="52"/>
  <c r="AI33" i="52"/>
  <c r="CG32" i="52"/>
  <c r="BA32" i="52"/>
  <c r="AE20" i="53"/>
  <c r="BI19" i="53"/>
  <c r="AC19" i="53"/>
  <c r="CA18" i="53"/>
  <c r="AU18" i="53"/>
  <c r="O18" i="53"/>
  <c r="BM17" i="53"/>
  <c r="AG17" i="53"/>
  <c r="CE15" i="53"/>
  <c r="AY15" i="53"/>
  <c r="S15" i="53"/>
  <c r="BQ14" i="53"/>
  <c r="AK14" i="53"/>
  <c r="C14" i="53"/>
  <c r="BE43" i="52"/>
  <c r="Y43" i="52"/>
  <c r="BW41" i="52"/>
  <c r="AQ41" i="52"/>
  <c r="K41" i="52"/>
  <c r="BI40" i="52"/>
  <c r="BI7" i="52" s="1"/>
  <c r="AC40" i="52"/>
  <c r="AC7" i="52" s="1"/>
  <c r="CA38" i="52"/>
  <c r="AU38" i="52"/>
  <c r="O38" i="52"/>
  <c r="BM37" i="52"/>
  <c r="AG37" i="52"/>
  <c r="CE36" i="52"/>
  <c r="AY36" i="52"/>
  <c r="S36" i="52"/>
  <c r="BQ35" i="52"/>
  <c r="AK35" i="52"/>
  <c r="C35" i="52"/>
  <c r="BC34" i="52"/>
  <c r="W34" i="52"/>
  <c r="BU33" i="52"/>
  <c r="AO33" i="52"/>
  <c r="I33" i="52"/>
  <c r="BG32" i="52"/>
  <c r="AA32" i="52"/>
  <c r="BY30" i="52"/>
  <c r="AS30" i="52"/>
  <c r="M30" i="52"/>
  <c r="BS20" i="53"/>
  <c r="CA19" i="53"/>
  <c r="AQ19" i="53"/>
  <c r="K19" i="53"/>
  <c r="BI18" i="53"/>
  <c r="AC18" i="53"/>
  <c r="CA17" i="53"/>
  <c r="AU17" i="53"/>
  <c r="O17" i="53"/>
  <c r="BM15" i="53"/>
  <c r="AI37" i="53"/>
  <c r="BQ36" i="53"/>
  <c r="AK36" i="53"/>
  <c r="C36" i="53"/>
  <c r="BC35" i="53"/>
  <c r="W35" i="53"/>
  <c r="BU34" i="53"/>
  <c r="AO34" i="53"/>
  <c r="I34" i="53"/>
  <c r="BG33" i="53"/>
  <c r="AA33" i="53"/>
  <c r="BY32" i="53"/>
  <c r="AS32" i="53"/>
  <c r="M32" i="53"/>
  <c r="BK30" i="53"/>
  <c r="AE30" i="53"/>
  <c r="CC29" i="53"/>
  <c r="AW29" i="53"/>
  <c r="Q29" i="53"/>
  <c r="BO27" i="53"/>
  <c r="AI27" i="53"/>
  <c r="CG26" i="53"/>
  <c r="BA26" i="53"/>
  <c r="U26" i="53"/>
  <c r="BS24" i="53"/>
  <c r="AM24" i="53"/>
  <c r="G24" i="53"/>
  <c r="BE23" i="53"/>
  <c r="Y23" i="53"/>
  <c r="BW22" i="53"/>
  <c r="AQ22" i="53"/>
  <c r="K22" i="53"/>
  <c r="BI20" i="53"/>
  <c r="AC20" i="53"/>
  <c r="AE41" i="53"/>
  <c r="BY40" i="53"/>
  <c r="BY7" i="53" s="1"/>
  <c r="AS40" i="53"/>
  <c r="AS7" i="53" s="1"/>
  <c r="M40" i="53"/>
  <c r="M7" i="53" s="1"/>
  <c r="BK38" i="53"/>
  <c r="AE38" i="53"/>
  <c r="CC37" i="53"/>
  <c r="AW37" i="53"/>
  <c r="Q37" i="53"/>
  <c r="BO36" i="53"/>
  <c r="AI36" i="53"/>
  <c r="CG35" i="53"/>
  <c r="BA35" i="53"/>
  <c r="U35" i="53"/>
  <c r="BS34" i="53"/>
  <c r="AM34" i="53"/>
  <c r="G34" i="53"/>
  <c r="BE33" i="53"/>
  <c r="Y33" i="53"/>
  <c r="BW32" i="53"/>
  <c r="AQ32" i="53"/>
  <c r="K32" i="53"/>
  <c r="BI30" i="53"/>
  <c r="AC30" i="53"/>
  <c r="CA29" i="53"/>
  <c r="AU29" i="53"/>
  <c r="O29" i="53"/>
  <c r="BM27" i="53"/>
  <c r="AG27" i="53"/>
  <c r="CE26" i="53"/>
  <c r="AY26" i="53"/>
  <c r="S26" i="53"/>
  <c r="BQ24" i="53"/>
  <c r="AK24" i="53"/>
  <c r="C24" i="53"/>
  <c r="BC23" i="53"/>
  <c r="W23" i="53"/>
  <c r="BU22" i="53"/>
  <c r="AO22" i="53"/>
  <c r="I22" i="53"/>
  <c r="BG20" i="53"/>
  <c r="AA20" i="53"/>
  <c r="BY19" i="53"/>
  <c r="W20" i="53"/>
  <c r="BE19" i="53"/>
  <c r="Y19" i="53"/>
  <c r="CE19" i="53"/>
  <c r="AU19" i="53"/>
  <c r="O19" i="53"/>
  <c r="BM18" i="53"/>
  <c r="AG18" i="53"/>
  <c r="CE17" i="53"/>
  <c r="AY17" i="53"/>
  <c r="S17" i="53"/>
  <c r="BQ15" i="53"/>
  <c r="AK15" i="53"/>
  <c r="C15" i="53"/>
  <c r="BC14" i="53"/>
  <c r="W14" i="53"/>
  <c r="BW43" i="52"/>
  <c r="AQ43" i="52"/>
  <c r="K43" i="52"/>
  <c r="BI41" i="52"/>
  <c r="AC41" i="52"/>
  <c r="CA40" i="52"/>
  <c r="CA7" i="52" s="1"/>
  <c r="AU40" i="52"/>
  <c r="AU7" i="52" s="1"/>
  <c r="O40" i="52"/>
  <c r="O7" i="52" s="1"/>
  <c r="BM38" i="52"/>
  <c r="AG38" i="52"/>
  <c r="CE37" i="52"/>
  <c r="AY37" i="52"/>
  <c r="S37" i="52"/>
  <c r="BQ36" i="52"/>
  <c r="AK36" i="52"/>
  <c r="C36" i="52"/>
  <c r="BC35" i="52"/>
  <c r="W35" i="52"/>
  <c r="BU34" i="52"/>
  <c r="AO34" i="52"/>
  <c r="I34" i="52"/>
  <c r="BG33" i="52"/>
  <c r="AA33" i="52"/>
  <c r="BY32" i="52"/>
  <c r="AS32" i="52"/>
  <c r="O20" i="53"/>
  <c r="BA19" i="53"/>
  <c r="U19" i="53"/>
  <c r="BS18" i="53"/>
  <c r="AM18" i="53"/>
  <c r="G18" i="53"/>
  <c r="BE17" i="53"/>
  <c r="Y17" i="53"/>
  <c r="BW15" i="53"/>
  <c r="AQ15" i="53"/>
  <c r="K15" i="53"/>
  <c r="BI14" i="53"/>
  <c r="AC14" i="53"/>
  <c r="CC43" i="52"/>
  <c r="AW43" i="52"/>
  <c r="Q43" i="52"/>
  <c r="BO41" i="52"/>
  <c r="AI41" i="52"/>
  <c r="CG40" i="52"/>
  <c r="CG7" i="52" s="1"/>
  <c r="BA40" i="52"/>
  <c r="BA7" i="52" s="1"/>
  <c r="U40" i="52"/>
  <c r="U7" i="52" s="1"/>
  <c r="BS38" i="52"/>
  <c r="AM38" i="52"/>
  <c r="G38" i="52"/>
  <c r="BE37" i="52"/>
  <c r="Y37" i="52"/>
  <c r="BW36" i="52"/>
  <c r="AQ36" i="52"/>
  <c r="K36" i="52"/>
  <c r="BI35" i="52"/>
  <c r="AC35" i="52"/>
  <c r="CA34" i="52"/>
  <c r="AU34" i="52"/>
  <c r="O34" i="52"/>
  <c r="BM33" i="52"/>
  <c r="AG33" i="52"/>
  <c r="CE32" i="52"/>
  <c r="AY32" i="52"/>
  <c r="S32" i="52"/>
  <c r="BQ30" i="52"/>
  <c r="AK30" i="52"/>
  <c r="C30" i="52"/>
  <c r="AO20" i="53"/>
  <c r="BO19" i="53"/>
  <c r="AI19" i="53"/>
  <c r="CG18" i="53"/>
  <c r="BA18" i="53"/>
  <c r="U18" i="53"/>
  <c r="BS17" i="53"/>
  <c r="AM17" i="53"/>
  <c r="G17" i="53"/>
  <c r="BE15" i="53"/>
  <c r="AA37" i="53"/>
  <c r="BI36" i="53"/>
  <c r="AC36" i="53"/>
  <c r="CA35" i="53"/>
  <c r="AU35" i="53"/>
  <c r="O35" i="53"/>
  <c r="BM34" i="53"/>
  <c r="AG34" i="53"/>
  <c r="CE33" i="53"/>
  <c r="AY33" i="53"/>
  <c r="S33" i="53"/>
  <c r="BQ32" i="53"/>
  <c r="AK32" i="53"/>
  <c r="C32" i="53"/>
  <c r="BC30" i="53"/>
  <c r="W30" i="53"/>
  <c r="BU29" i="53"/>
  <c r="AO29" i="53"/>
  <c r="I29" i="53"/>
  <c r="BG27" i="53"/>
  <c r="AA27" i="53"/>
  <c r="BY26" i="53"/>
  <c r="AS26" i="53"/>
  <c r="M26" i="53"/>
  <c r="BK24" i="53"/>
  <c r="AE24" i="53"/>
  <c r="CC23" i="53"/>
  <c r="AW23" i="53"/>
  <c r="Q23" i="53"/>
  <c r="BO22" i="53"/>
  <c r="AI22" i="53"/>
  <c r="CG20" i="53"/>
  <c r="BA20" i="53"/>
  <c r="U20" i="53"/>
  <c r="S41" i="53"/>
  <c r="BQ40" i="53"/>
  <c r="BQ7" i="53" s="1"/>
  <c r="AK40" i="53"/>
  <c r="AK7" i="53" s="1"/>
  <c r="C40" i="53"/>
  <c r="BC38" i="53"/>
  <c r="W38" i="53"/>
  <c r="BU37" i="53"/>
  <c r="AO37" i="53"/>
  <c r="I37" i="53"/>
  <c r="BG36" i="53"/>
  <c r="AA36" i="53"/>
  <c r="BY35" i="53"/>
  <c r="AS35" i="53"/>
  <c r="M35" i="53"/>
  <c r="BK34" i="53"/>
  <c r="AE34" i="53"/>
  <c r="CC33" i="53"/>
  <c r="AW33" i="53"/>
  <c r="Q33" i="53"/>
  <c r="BO32" i="53"/>
  <c r="AI32" i="53"/>
  <c r="CG30" i="53"/>
  <c r="BA30" i="53"/>
  <c r="U30" i="53"/>
  <c r="BS29" i="53"/>
  <c r="AM29" i="53"/>
  <c r="G29" i="53"/>
  <c r="BE27" i="53"/>
  <c r="Y27" i="53"/>
  <c r="BW26" i="53"/>
  <c r="AQ26" i="53"/>
  <c r="K26" i="53"/>
  <c r="BI24" i="53"/>
  <c r="AC24" i="53"/>
  <c r="CA23" i="53"/>
  <c r="AU23" i="53"/>
  <c r="O23" i="53"/>
  <c r="BM22" i="53"/>
  <c r="AG22" i="53"/>
  <c r="CE20" i="53"/>
  <c r="AY20" i="53"/>
  <c r="S20" i="53"/>
  <c r="BQ19" i="53"/>
  <c r="G20" i="53"/>
  <c r="AW19" i="53"/>
  <c r="BC20" i="53"/>
  <c r="BU19" i="53"/>
  <c r="AM19" i="53"/>
  <c r="G19" i="53"/>
  <c r="BE18" i="53"/>
  <c r="Y18" i="53"/>
  <c r="BW17" i="53"/>
  <c r="AQ17" i="53"/>
  <c r="K17" i="53"/>
  <c r="BI15" i="53"/>
  <c r="AC15" i="53"/>
  <c r="CA14" i="53"/>
  <c r="AU14" i="53"/>
  <c r="O14" i="53"/>
  <c r="BO43" i="52"/>
  <c r="AI43" i="52"/>
  <c r="CG41" i="52"/>
  <c r="BA41" i="52"/>
  <c r="U41" i="52"/>
  <c r="BS40" i="52"/>
  <c r="BS7" i="52" s="1"/>
  <c r="AM40" i="52"/>
  <c r="AM7" i="52" s="1"/>
  <c r="G40" i="52"/>
  <c r="G7" i="52" s="1"/>
  <c r="BE38" i="52"/>
  <c r="Y38" i="52"/>
  <c r="BW37" i="52"/>
  <c r="AQ37" i="52"/>
  <c r="K37" i="52"/>
  <c r="BI36" i="52"/>
  <c r="AC36" i="52"/>
  <c r="CA35" i="52"/>
  <c r="AU35" i="52"/>
  <c r="O35" i="52"/>
  <c r="BM34" i="52"/>
  <c r="AG34" i="52"/>
  <c r="CE33" i="52"/>
  <c r="AY33" i="52"/>
  <c r="S33" i="52"/>
  <c r="BQ32" i="52"/>
  <c r="CA20" i="53"/>
  <c r="CC19" i="53"/>
  <c r="AS19" i="53"/>
  <c r="M19" i="53"/>
  <c r="BK18" i="53"/>
  <c r="AE18" i="53"/>
  <c r="CC17" i="53"/>
  <c r="AW17" i="53"/>
  <c r="Q17" i="53"/>
  <c r="BO15" i="53"/>
  <c r="AI15" i="53"/>
  <c r="CG14" i="53"/>
  <c r="BA14" i="53"/>
  <c r="U14" i="53"/>
  <c r="BU43" i="52"/>
  <c r="AO43" i="52"/>
  <c r="I43" i="52"/>
  <c r="BG41" i="52"/>
  <c r="AA41" i="52"/>
  <c r="BY40" i="52"/>
  <c r="BY7" i="52" s="1"/>
  <c r="AS40" i="52"/>
  <c r="AS7" i="52" s="1"/>
  <c r="M40" i="52"/>
  <c r="M7" i="52" s="1"/>
  <c r="BK38" i="52"/>
  <c r="AE38" i="52"/>
  <c r="CC37" i="52"/>
  <c r="AW37" i="52"/>
  <c r="Q37" i="52"/>
  <c r="BO36" i="52"/>
  <c r="AI36" i="52"/>
  <c r="CG35" i="52"/>
  <c r="BA35" i="52"/>
  <c r="U35" i="52"/>
  <c r="BS34" i="52"/>
  <c r="AM34" i="52"/>
  <c r="G34" i="52"/>
  <c r="BE33" i="52"/>
  <c r="Y33" i="52"/>
  <c r="BW32" i="52"/>
  <c r="AQ32" i="52"/>
  <c r="K32" i="52"/>
  <c r="BI30" i="52"/>
  <c r="AC30" i="52"/>
  <c r="CA29" i="52"/>
  <c r="Y20" i="53"/>
  <c r="BG19" i="53"/>
  <c r="AA19" i="53"/>
  <c r="BY18" i="53"/>
  <c r="AS18" i="53"/>
  <c r="M18" i="53"/>
  <c r="BK17" i="53"/>
  <c r="CG36" i="53"/>
  <c r="BA36" i="53"/>
  <c r="U36" i="53"/>
  <c r="BS35" i="53"/>
  <c r="AM35" i="53"/>
  <c r="G35" i="53"/>
  <c r="BE34" i="53"/>
  <c r="Y34" i="53"/>
  <c r="BW33" i="53"/>
  <c r="AQ33" i="53"/>
  <c r="K33" i="53"/>
  <c r="BI32" i="53"/>
  <c r="AC32" i="53"/>
  <c r="CA30" i="53"/>
  <c r="AU30" i="53"/>
  <c r="O30" i="53"/>
  <c r="BM29" i="53"/>
  <c r="AG29" i="53"/>
  <c r="CE27" i="53"/>
  <c r="AY27" i="53"/>
  <c r="S27" i="53"/>
  <c r="BQ26" i="53"/>
  <c r="AK26" i="53"/>
  <c r="C26" i="53"/>
  <c r="BC24" i="53"/>
  <c r="W24" i="53"/>
  <c r="BU23" i="53"/>
  <c r="AO23" i="53"/>
  <c r="I23" i="53"/>
  <c r="BG22" i="53"/>
  <c r="AA22" i="53"/>
  <c r="BY20" i="53"/>
  <c r="AS20" i="53"/>
  <c r="M20" i="53"/>
  <c r="K41" i="53"/>
  <c r="BI40" i="53"/>
  <c r="BI7" i="53" s="1"/>
  <c r="AC40" i="53"/>
  <c r="AC7" i="53" s="1"/>
  <c r="CA38" i="53"/>
  <c r="AU38" i="53"/>
  <c r="O38" i="53"/>
  <c r="BM37" i="53"/>
  <c r="AG37" i="53"/>
  <c r="CE36" i="53"/>
  <c r="AY36" i="53"/>
  <c r="S36" i="53"/>
  <c r="BQ35" i="53"/>
  <c r="AK35" i="53"/>
  <c r="C35" i="53"/>
  <c r="BC34" i="53"/>
  <c r="W34" i="53"/>
  <c r="BU33" i="53"/>
  <c r="AO33" i="53"/>
  <c r="I33" i="53"/>
  <c r="BG32" i="53"/>
  <c r="AA32" i="53"/>
  <c r="BY30" i="53"/>
  <c r="AS30" i="53"/>
  <c r="M30" i="53"/>
  <c r="BK29" i="53"/>
  <c r="AE29" i="53"/>
  <c r="CC27" i="53"/>
  <c r="AW27" i="53"/>
  <c r="Q27" i="53"/>
  <c r="BO26" i="53"/>
  <c r="AI26" i="53"/>
  <c r="CG24" i="53"/>
  <c r="BA24" i="53"/>
  <c r="U24" i="53"/>
  <c r="BS23" i="53"/>
  <c r="AM23" i="53"/>
  <c r="G23" i="53"/>
  <c r="BE22" i="53"/>
  <c r="Y22" i="53"/>
  <c r="BW20" i="53"/>
  <c r="AQ20" i="53"/>
  <c r="K20" i="53"/>
  <c r="BK20" i="53"/>
  <c r="BW19" i="53"/>
  <c r="AO19" i="53"/>
  <c r="AG20" i="53"/>
  <c r="BK19" i="53"/>
  <c r="AE19" i="53"/>
  <c r="CC18" i="53"/>
  <c r="AW18" i="53"/>
  <c r="Q18" i="53"/>
  <c r="BO17" i="53"/>
  <c r="AI17" i="53"/>
  <c r="CG15" i="53"/>
  <c r="BA15" i="53"/>
  <c r="U15" i="53"/>
  <c r="BS14" i="53"/>
  <c r="AM14" i="53"/>
  <c r="G14" i="53"/>
  <c r="BG43" i="52"/>
  <c r="AA43" i="52"/>
  <c r="BY41" i="52"/>
  <c r="AS41" i="52"/>
  <c r="M41" i="52"/>
  <c r="BK40" i="52"/>
  <c r="BK7" i="52" s="1"/>
  <c r="AE40" i="52"/>
  <c r="AE7" i="52" s="1"/>
  <c r="CC38" i="52"/>
  <c r="AW38" i="52"/>
  <c r="Q38" i="52"/>
  <c r="BO37" i="52"/>
  <c r="AI37" i="52"/>
  <c r="CG36" i="52"/>
  <c r="BA36" i="52"/>
  <c r="U36" i="52"/>
  <c r="BS35" i="52"/>
  <c r="AM35" i="52"/>
  <c r="G35" i="52"/>
  <c r="BE34" i="52"/>
  <c r="Y34" i="52"/>
  <c r="BW33" i="52"/>
  <c r="AQ33" i="52"/>
  <c r="K33" i="52"/>
  <c r="BI32" i="52"/>
  <c r="AU20" i="53"/>
  <c r="BS19" i="53"/>
  <c r="AK19" i="53"/>
  <c r="C19" i="53"/>
  <c r="BC18" i="53"/>
  <c r="W18" i="53"/>
  <c r="BU17" i="53"/>
  <c r="AO17" i="53"/>
  <c r="I17" i="53"/>
  <c r="BG15" i="53"/>
  <c r="AA15" i="53"/>
  <c r="BY14" i="53"/>
  <c r="AS14" i="53"/>
  <c r="M14" i="53"/>
  <c r="BM43" i="52"/>
  <c r="AG43" i="52"/>
  <c r="CE41" i="52"/>
  <c r="AY41" i="52"/>
  <c r="S41" i="52"/>
  <c r="BQ40" i="52"/>
  <c r="BQ7" i="52" s="1"/>
  <c r="AK40" i="52"/>
  <c r="AK7" i="52" s="1"/>
  <c r="C40" i="52"/>
  <c r="BC38" i="52"/>
  <c r="W38" i="52"/>
  <c r="BU37" i="52"/>
  <c r="AO37" i="52"/>
  <c r="I37" i="52"/>
  <c r="BG36" i="52"/>
  <c r="AA36" i="52"/>
  <c r="BY35" i="52"/>
  <c r="AS35" i="52"/>
  <c r="M35" i="52"/>
  <c r="BK34" i="52"/>
  <c r="AE34" i="52"/>
  <c r="CC33" i="52"/>
  <c r="AW33" i="52"/>
  <c r="Q33" i="52"/>
  <c r="BO32" i="52"/>
  <c r="AI32" i="52"/>
  <c r="CG30" i="52"/>
  <c r="BA30" i="52"/>
  <c r="U30" i="52"/>
  <c r="BS29" i="52"/>
  <c r="I20" i="53"/>
  <c r="AY19" i="53"/>
  <c r="S19" i="53"/>
  <c r="BQ18" i="53"/>
  <c r="AK18" i="53"/>
  <c r="C18" i="53"/>
  <c r="BC17" i="53"/>
  <c r="W17" i="53"/>
  <c r="BU15" i="53"/>
  <c r="AO15" i="53"/>
  <c r="AE17" i="53"/>
  <c r="Y15" i="53"/>
  <c r="BW14" i="53"/>
  <c r="AQ14" i="53"/>
  <c r="K14" i="53"/>
  <c r="BK43" i="52"/>
  <c r="AE43" i="52"/>
  <c r="CC41" i="52"/>
  <c r="AW41" i="52"/>
  <c r="Q41" i="52"/>
  <c r="BO40" i="52"/>
  <c r="BO7" i="52" s="1"/>
  <c r="AI40" i="52"/>
  <c r="AI7" i="52" s="1"/>
  <c r="CG38" i="52"/>
  <c r="BA38" i="52"/>
  <c r="U38" i="52"/>
  <c r="BS37" i="52"/>
  <c r="AM37" i="52"/>
  <c r="G37" i="52"/>
  <c r="BE36" i="52"/>
  <c r="Y36" i="52"/>
  <c r="BW35" i="52"/>
  <c r="AQ35" i="52"/>
  <c r="K35" i="52"/>
  <c r="BI34" i="52"/>
  <c r="AC34" i="52"/>
  <c r="CA33" i="52"/>
  <c r="AU33" i="52"/>
  <c r="O33" i="52"/>
  <c r="BM32" i="52"/>
  <c r="AG32" i="52"/>
  <c r="CE30" i="52"/>
  <c r="AY30" i="52"/>
  <c r="S30" i="52"/>
  <c r="AY18" i="53"/>
  <c r="C17" i="53"/>
  <c r="AO14" i="53"/>
  <c r="CA41" i="52"/>
  <c r="AG40" i="52"/>
  <c r="AG7" i="52" s="1"/>
  <c r="BQ37" i="52"/>
  <c r="W36" i="52"/>
  <c r="BG34" i="52"/>
  <c r="M33" i="52"/>
  <c r="C32" i="52"/>
  <c r="W30" i="52"/>
  <c r="BE29" i="52"/>
  <c r="Y29" i="52"/>
  <c r="BW27" i="52"/>
  <c r="AQ27" i="52"/>
  <c r="K27" i="52"/>
  <c r="BI26" i="52"/>
  <c r="AC26" i="52"/>
  <c r="CA24" i="52"/>
  <c r="AU24" i="52"/>
  <c r="O24" i="52"/>
  <c r="BM23" i="52"/>
  <c r="AG23" i="52"/>
  <c r="CE22" i="52"/>
  <c r="AY22" i="52"/>
  <c r="S22" i="52"/>
  <c r="BQ20" i="52"/>
  <c r="AK20" i="52"/>
  <c r="C20" i="52"/>
  <c r="BC19" i="52"/>
  <c r="W19" i="52"/>
  <c r="BU18" i="52"/>
  <c r="AO18" i="52"/>
  <c r="I18" i="52"/>
  <c r="BG17" i="52"/>
  <c r="AA17" i="52"/>
  <c r="BY15" i="52"/>
  <c r="AS15" i="52"/>
  <c r="M15" i="52"/>
  <c r="BK14" i="52"/>
  <c r="AE14" i="52"/>
  <c r="CE43" i="51"/>
  <c r="AY43" i="51"/>
  <c r="CG17" i="53"/>
  <c r="AM15" i="53"/>
  <c r="BY43" i="52"/>
  <c r="AE41" i="52"/>
  <c r="BO38" i="52"/>
  <c r="U37" i="52"/>
  <c r="BE35" i="52"/>
  <c r="K34" i="52"/>
  <c r="AU32" i="52"/>
  <c r="BK30" i="52"/>
  <c r="CC29" i="52"/>
  <c r="AS29" i="52"/>
  <c r="M29" i="52"/>
  <c r="BK27" i="52"/>
  <c r="AE27" i="52"/>
  <c r="CC26" i="52"/>
  <c r="AW26" i="52"/>
  <c r="Q26" i="52"/>
  <c r="BO24" i="52"/>
  <c r="AI24" i="52"/>
  <c r="CG23" i="52"/>
  <c r="BA23" i="52"/>
  <c r="U23" i="52"/>
  <c r="BS22" i="52"/>
  <c r="AM22" i="52"/>
  <c r="G22" i="52"/>
  <c r="BE20" i="52"/>
  <c r="Y20" i="52"/>
  <c r="BW19" i="52"/>
  <c r="AQ19" i="52"/>
  <c r="K19" i="52"/>
  <c r="BI18" i="52"/>
  <c r="AC18" i="52"/>
  <c r="CA17" i="52"/>
  <c r="AU17" i="52"/>
  <c r="O17" i="52"/>
  <c r="BM15" i="52"/>
  <c r="AG15" i="52"/>
  <c r="CE14" i="52"/>
  <c r="AY14" i="52"/>
  <c r="S14" i="52"/>
  <c r="BS43" i="51"/>
  <c r="AM43" i="51"/>
  <c r="G43" i="51"/>
  <c r="BE41" i="51"/>
  <c r="Y41" i="51"/>
  <c r="BW40" i="51"/>
  <c r="BW7" i="51" s="1"/>
  <c r="AQ40" i="51"/>
  <c r="AQ7" i="51" s="1"/>
  <c r="K40" i="51"/>
  <c r="K7" i="51" s="1"/>
  <c r="BG18" i="53"/>
  <c r="M17" i="53"/>
  <c r="AW14" i="53"/>
  <c r="C43" i="52"/>
  <c r="AO40" i="52"/>
  <c r="AO7" i="52" s="1"/>
  <c r="BY37" i="52"/>
  <c r="AE36" i="52"/>
  <c r="BO34" i="52"/>
  <c r="U33" i="52"/>
  <c r="G32" i="52"/>
  <c r="Y30" i="52"/>
  <c r="BG29" i="52"/>
  <c r="AA29" i="52"/>
  <c r="BY27" i="52"/>
  <c r="AS27" i="52"/>
  <c r="M27" i="52"/>
  <c r="BK26" i="52"/>
  <c r="AE26" i="52"/>
  <c r="CC24" i="52"/>
  <c r="AW24" i="52"/>
  <c r="Q24" i="52"/>
  <c r="BO23" i="52"/>
  <c r="AI23" i="52"/>
  <c r="CG22" i="52"/>
  <c r="BA22" i="52"/>
  <c r="U22" i="52"/>
  <c r="BS20" i="52"/>
  <c r="AM20" i="52"/>
  <c r="G20" i="52"/>
  <c r="BE19" i="52"/>
  <c r="Y19" i="52"/>
  <c r="BW18" i="52"/>
  <c r="AQ18" i="52"/>
  <c r="K18" i="52"/>
  <c r="BI17" i="52"/>
  <c r="AC17" i="52"/>
  <c r="CA15" i="52"/>
  <c r="AU15" i="52"/>
  <c r="O15" i="52"/>
  <c r="BM14" i="52"/>
  <c r="AG14" i="52"/>
  <c r="CG43" i="51"/>
  <c r="BA43" i="51"/>
  <c r="U43" i="51"/>
  <c r="BS41" i="51"/>
  <c r="AM41" i="51"/>
  <c r="CC15" i="53"/>
  <c r="Q15" i="53"/>
  <c r="BO14" i="53"/>
  <c r="AI14" i="53"/>
  <c r="C44" i="52"/>
  <c r="BC43" i="52"/>
  <c r="W43" i="52"/>
  <c r="BU41" i="52"/>
  <c r="AO41" i="52"/>
  <c r="I41" i="52"/>
  <c r="BG40" i="52"/>
  <c r="BG7" i="52" s="1"/>
  <c r="AA40" i="52"/>
  <c r="AA7" i="52" s="1"/>
  <c r="BY38" i="52"/>
  <c r="AS38" i="52"/>
  <c r="M38" i="52"/>
  <c r="BK37" i="52"/>
  <c r="AE37" i="52"/>
  <c r="CC36" i="52"/>
  <c r="AW36" i="52"/>
  <c r="Q36" i="52"/>
  <c r="BO35" i="52"/>
  <c r="AI35" i="52"/>
  <c r="CG34" i="52"/>
  <c r="BA34" i="52"/>
  <c r="U34" i="52"/>
  <c r="BS33" i="52"/>
  <c r="AM33" i="52"/>
  <c r="G33" i="52"/>
  <c r="BE32" i="52"/>
  <c r="Y32" i="52"/>
  <c r="BW30" i="52"/>
  <c r="AQ30" i="52"/>
  <c r="K30" i="52"/>
  <c r="S18" i="53"/>
  <c r="BC15" i="53"/>
  <c r="I14" i="53"/>
  <c r="AU41" i="52"/>
  <c r="CE38" i="52"/>
  <c r="AK37" i="52"/>
  <c r="BU35" i="52"/>
  <c r="AA34" i="52"/>
  <c r="BK32" i="52"/>
  <c r="BS30" i="52"/>
  <c r="G30" i="52"/>
  <c r="AW29" i="52"/>
  <c r="Q29" i="52"/>
  <c r="BO27" i="52"/>
  <c r="AI27" i="52"/>
  <c r="CG26" i="52"/>
  <c r="BA26" i="52"/>
  <c r="U26" i="52"/>
  <c r="BS24" i="52"/>
  <c r="AM24" i="52"/>
  <c r="G24" i="52"/>
  <c r="BE23" i="52"/>
  <c r="Y23" i="52"/>
  <c r="BW22" i="52"/>
  <c r="AQ22" i="52"/>
  <c r="K22" i="52"/>
  <c r="BI20" i="52"/>
  <c r="AC20" i="52"/>
  <c r="CA19" i="52"/>
  <c r="AU19" i="52"/>
  <c r="O19" i="52"/>
  <c r="BM18" i="52"/>
  <c r="AG18" i="52"/>
  <c r="CE17" i="52"/>
  <c r="AY17" i="52"/>
  <c r="S17" i="52"/>
  <c r="BQ15" i="52"/>
  <c r="AK15" i="52"/>
  <c r="C15" i="52"/>
  <c r="BC14" i="52"/>
  <c r="W14" i="52"/>
  <c r="BW43" i="51"/>
  <c r="Q19" i="53"/>
  <c r="BA17" i="53"/>
  <c r="G15" i="53"/>
  <c r="AS43" i="52"/>
  <c r="CC40" i="52"/>
  <c r="CC7" i="52" s="1"/>
  <c r="AI38" i="52"/>
  <c r="BS36" i="52"/>
  <c r="Y35" i="52"/>
  <c r="BI33" i="52"/>
  <c r="AC32" i="52"/>
  <c r="AU30" i="52"/>
  <c r="BQ29" i="52"/>
  <c r="AK29" i="52"/>
  <c r="C29" i="52"/>
  <c r="BC27" i="52"/>
  <c r="W27" i="52"/>
  <c r="BU26" i="52"/>
  <c r="AO26" i="52"/>
  <c r="I26" i="52"/>
  <c r="BG24" i="52"/>
  <c r="AA24" i="52"/>
  <c r="BY23" i="52"/>
  <c r="AS23" i="52"/>
  <c r="M23" i="52"/>
  <c r="BK22" i="52"/>
  <c r="AE22" i="52"/>
  <c r="CC20" i="52"/>
  <c r="AW20" i="52"/>
  <c r="Q20" i="52"/>
  <c r="BO19" i="52"/>
  <c r="AI19" i="52"/>
  <c r="CG18" i="52"/>
  <c r="BA18" i="52"/>
  <c r="U18" i="52"/>
  <c r="BS17" i="52"/>
  <c r="AM17" i="52"/>
  <c r="G17" i="52"/>
  <c r="BE15" i="52"/>
  <c r="Y15" i="52"/>
  <c r="BW14" i="52"/>
  <c r="AQ14" i="52"/>
  <c r="K14" i="52"/>
  <c r="BK43" i="51"/>
  <c r="AE43" i="51"/>
  <c r="CC41" i="51"/>
  <c r="AW41" i="51"/>
  <c r="Q41" i="51"/>
  <c r="BO40" i="51"/>
  <c r="BO7" i="51" s="1"/>
  <c r="AI40" i="51"/>
  <c r="AI7" i="51" s="1"/>
  <c r="CG38" i="51"/>
  <c r="AA18" i="53"/>
  <c r="BK15" i="53"/>
  <c r="Q14" i="53"/>
  <c r="BC41" i="52"/>
  <c r="I40" i="52"/>
  <c r="I7" i="52" s="1"/>
  <c r="AS37" i="52"/>
  <c r="CC35" i="52"/>
  <c r="AI34" i="52"/>
  <c r="BS32" i="52"/>
  <c r="BU30" i="52"/>
  <c r="I30" i="52"/>
  <c r="AY29" i="52"/>
  <c r="S29" i="52"/>
  <c r="BQ27" i="52"/>
  <c r="AK27" i="52"/>
  <c r="C27" i="52"/>
  <c r="BC26" i="52"/>
  <c r="W26" i="52"/>
  <c r="BU24" i="52"/>
  <c r="AO24" i="52"/>
  <c r="I24" i="52"/>
  <c r="BG23" i="52"/>
  <c r="AA23" i="52"/>
  <c r="BY22" i="52"/>
  <c r="AS22" i="52"/>
  <c r="M22" i="52"/>
  <c r="BK20" i="52"/>
  <c r="AE20" i="52"/>
  <c r="CC19" i="52"/>
  <c r="AW19" i="52"/>
  <c r="Q19" i="52"/>
  <c r="BO18" i="52"/>
  <c r="AI18" i="52"/>
  <c r="CG17" i="52"/>
  <c r="BA17" i="52"/>
  <c r="U17" i="52"/>
  <c r="BS15" i="52"/>
  <c r="AM15" i="52"/>
  <c r="G15" i="52"/>
  <c r="BE14" i="52"/>
  <c r="Y14" i="52"/>
  <c r="BY43" i="51"/>
  <c r="AW15" i="53"/>
  <c r="I15" i="53"/>
  <c r="BG14" i="53"/>
  <c r="AA14" i="53"/>
  <c r="CA43" i="52"/>
  <c r="AU43" i="52"/>
  <c r="O43" i="52"/>
  <c r="BM41" i="52"/>
  <c r="AG41" i="52"/>
  <c r="CE40" i="52"/>
  <c r="CE7" i="52" s="1"/>
  <c r="AY40" i="52"/>
  <c r="AY7" i="52" s="1"/>
  <c r="S40" i="52"/>
  <c r="S7" i="52" s="1"/>
  <c r="BQ38" i="52"/>
  <c r="AK38" i="52"/>
  <c r="C38" i="52"/>
  <c r="BC37" i="52"/>
  <c r="W37" i="52"/>
  <c r="BU36" i="52"/>
  <c r="AO36" i="52"/>
  <c r="I36" i="52"/>
  <c r="BG35" i="52"/>
  <c r="AA35" i="52"/>
  <c r="BY34" i="52"/>
  <c r="AS34" i="52"/>
  <c r="M34" i="52"/>
  <c r="BK33" i="52"/>
  <c r="AE33" i="52"/>
  <c r="CC32" i="52"/>
  <c r="AW32" i="52"/>
  <c r="Q32" i="52"/>
  <c r="BO30" i="52"/>
  <c r="AI30" i="52"/>
  <c r="CG29" i="52"/>
  <c r="BQ17" i="53"/>
  <c r="W15" i="53"/>
  <c r="BI43" i="52"/>
  <c r="O41" i="52"/>
  <c r="AY38" i="52"/>
  <c r="C37" i="52"/>
  <c r="AO35" i="52"/>
  <c r="BY33" i="52"/>
  <c r="AK32" i="52"/>
  <c r="BC30" i="52"/>
  <c r="BW29" i="52"/>
  <c r="AO29" i="52"/>
  <c r="I29" i="52"/>
  <c r="BG27" i="52"/>
  <c r="AA27" i="52"/>
  <c r="BY26" i="52"/>
  <c r="AS26" i="52"/>
  <c r="M26" i="52"/>
  <c r="BK24" i="52"/>
  <c r="AE24" i="52"/>
  <c r="CC23" i="52"/>
  <c r="AW23" i="52"/>
  <c r="Q23" i="52"/>
  <c r="BO22" i="52"/>
  <c r="AI22" i="52"/>
  <c r="CG20" i="52"/>
  <c r="BA20" i="52"/>
  <c r="U20" i="52"/>
  <c r="BS19" i="52"/>
  <c r="AM19" i="52"/>
  <c r="G19" i="52"/>
  <c r="BE18" i="52"/>
  <c r="Y18" i="52"/>
  <c r="BW17" i="52"/>
  <c r="AQ17" i="52"/>
  <c r="K17" i="52"/>
  <c r="BI15" i="52"/>
  <c r="AC15" i="52"/>
  <c r="CA14" i="52"/>
  <c r="AU14" i="52"/>
  <c r="O14" i="52"/>
  <c r="BO43" i="51"/>
  <c r="BO18" i="53"/>
  <c r="U17" i="53"/>
  <c r="BE14" i="53"/>
  <c r="M43" i="52"/>
  <c r="AW40" i="52"/>
  <c r="AW7" i="52" s="1"/>
  <c r="CG37" i="52"/>
  <c r="AM36" i="52"/>
  <c r="BW34" i="52"/>
  <c r="AC33" i="52"/>
  <c r="M32" i="52"/>
  <c r="AE30" i="52"/>
  <c r="BI29" i="52"/>
  <c r="AC29" i="52"/>
  <c r="CA27" i="52"/>
  <c r="AU27" i="52"/>
  <c r="O27" i="52"/>
  <c r="BM26" i="52"/>
  <c r="AG26" i="52"/>
  <c r="CE24" i="52"/>
  <c r="AY24" i="52"/>
  <c r="S24" i="52"/>
  <c r="BQ23" i="52"/>
  <c r="AK23" i="52"/>
  <c r="C23" i="52"/>
  <c r="BC22" i="52"/>
  <c r="W22" i="52"/>
  <c r="BU20" i="52"/>
  <c r="AO20" i="52"/>
  <c r="I20" i="52"/>
  <c r="BG19" i="52"/>
  <c r="AA19" i="52"/>
  <c r="BY18" i="52"/>
  <c r="AS18" i="52"/>
  <c r="M18" i="52"/>
  <c r="BK17" i="52"/>
  <c r="AE17" i="52"/>
  <c r="CC15" i="52"/>
  <c r="AW15" i="52"/>
  <c r="Q15" i="52"/>
  <c r="BO14" i="52"/>
  <c r="AI14" i="52"/>
  <c r="C44" i="51"/>
  <c r="BC43" i="51"/>
  <c r="W43" i="51"/>
  <c r="BU41" i="51"/>
  <c r="AO41" i="51"/>
  <c r="I41" i="51"/>
  <c r="BG40" i="51"/>
  <c r="BG7" i="51" s="1"/>
  <c r="AA40" i="51"/>
  <c r="AA7" i="51" s="1"/>
  <c r="BY38" i="51"/>
  <c r="BY17" i="53"/>
  <c r="AE15" i="53"/>
  <c r="BQ43" i="52"/>
  <c r="W41" i="52"/>
  <c r="BG38" i="52"/>
  <c r="M37" i="52"/>
  <c r="AW35" i="52"/>
  <c r="CG33" i="52"/>
  <c r="AM32" i="52"/>
  <c r="BE30" i="52"/>
  <c r="BY29" i="52"/>
  <c r="AQ29" i="52"/>
  <c r="K29" i="52"/>
  <c r="BI27" i="52"/>
  <c r="AC27" i="52"/>
  <c r="CA26" i="52"/>
  <c r="AU26" i="52"/>
  <c r="O26" i="52"/>
  <c r="BM24" i="52"/>
  <c r="AG24" i="52"/>
  <c r="CE23" i="52"/>
  <c r="AY23" i="52"/>
  <c r="S23" i="52"/>
  <c r="BQ22" i="52"/>
  <c r="AK22" i="52"/>
  <c r="C22" i="52"/>
  <c r="BC20" i="52"/>
  <c r="W20" i="52"/>
  <c r="BU19" i="52"/>
  <c r="AO19" i="52"/>
  <c r="I19" i="52"/>
  <c r="BG18" i="52"/>
  <c r="AA18" i="52"/>
  <c r="BY17" i="52"/>
  <c r="AS17" i="52"/>
  <c r="M17" i="52"/>
  <c r="BK15" i="52"/>
  <c r="AE15" i="52"/>
  <c r="CC14" i="52"/>
  <c r="AW14" i="52"/>
  <c r="Q14" i="52"/>
  <c r="BQ43" i="51"/>
  <c r="AG15" i="53"/>
  <c r="CE14" i="53"/>
  <c r="AY14" i="53"/>
  <c r="S14" i="53"/>
  <c r="BS43" i="52"/>
  <c r="AM43" i="52"/>
  <c r="G43" i="52"/>
  <c r="BE41" i="52"/>
  <c r="Y41" i="52"/>
  <c r="BW40" i="52"/>
  <c r="BW7" i="52" s="1"/>
  <c r="AQ40" i="52"/>
  <c r="AQ7" i="52" s="1"/>
  <c r="K40" i="52"/>
  <c r="K7" i="52" s="1"/>
  <c r="BI38" i="52"/>
  <c r="AC38" i="52"/>
  <c r="CA37" i="52"/>
  <c r="AU37" i="52"/>
  <c r="O37" i="52"/>
  <c r="BM36" i="52"/>
  <c r="AG36" i="52"/>
  <c r="CE35" i="52"/>
  <c r="AY35" i="52"/>
  <c r="S35" i="52"/>
  <c r="BQ34" i="52"/>
  <c r="AK34" i="52"/>
  <c r="C34" i="52"/>
  <c r="BC33" i="52"/>
  <c r="W33" i="52"/>
  <c r="BU32" i="52"/>
  <c r="AO32" i="52"/>
  <c r="I32" i="52"/>
  <c r="BG30" i="52"/>
  <c r="AA30" i="52"/>
  <c r="CE18" i="53"/>
  <c r="AK17" i="53"/>
  <c r="BU14" i="53"/>
  <c r="AC43" i="52"/>
  <c r="BM40" i="52"/>
  <c r="BM7" i="52" s="1"/>
  <c r="S38" i="52"/>
  <c r="BC36" i="52"/>
  <c r="I35" i="52"/>
  <c r="AS33" i="52"/>
  <c r="U32" i="52"/>
  <c r="AM30" i="52"/>
  <c r="BM29" i="52"/>
  <c r="AG29" i="52"/>
  <c r="CE27" i="52"/>
  <c r="AY27" i="52"/>
  <c r="S27" i="52"/>
  <c r="BQ26" i="52"/>
  <c r="AK26" i="52"/>
  <c r="C26" i="52"/>
  <c r="BC24" i="52"/>
  <c r="W24" i="52"/>
  <c r="BU23" i="52"/>
  <c r="AO23" i="52"/>
  <c r="I23" i="52"/>
  <c r="BG22" i="52"/>
  <c r="AA22" i="52"/>
  <c r="BY20" i="52"/>
  <c r="AS20" i="52"/>
  <c r="M20" i="52"/>
  <c r="BK19" i="52"/>
  <c r="AE19" i="52"/>
  <c r="CC18" i="52"/>
  <c r="AW18" i="52"/>
  <c r="Q18" i="52"/>
  <c r="BO17" i="52"/>
  <c r="AI17" i="52"/>
  <c r="CG15" i="52"/>
  <c r="BA15" i="52"/>
  <c r="U15" i="52"/>
  <c r="BS14" i="52"/>
  <c r="AM14" i="52"/>
  <c r="G14" i="52"/>
  <c r="BG43" i="51"/>
  <c r="AI18" i="53"/>
  <c r="BS15" i="53"/>
  <c r="Y14" i="53"/>
  <c r="BK41" i="52"/>
  <c r="Q40" i="52"/>
  <c r="Q7" i="52" s="1"/>
  <c r="BA37" i="52"/>
  <c r="G36" i="52"/>
  <c r="AQ34" i="52"/>
  <c r="CA32" i="52"/>
  <c r="CA30" i="52"/>
  <c r="O30" i="52"/>
  <c r="BA29" i="52"/>
  <c r="U29" i="52"/>
  <c r="BS27" i="52"/>
  <c r="AM27" i="52"/>
  <c r="G27" i="52"/>
  <c r="BE26" i="52"/>
  <c r="Y26" i="52"/>
  <c r="BW24" i="52"/>
  <c r="AQ24" i="52"/>
  <c r="K24" i="52"/>
  <c r="BI23" i="52"/>
  <c r="AC23" i="52"/>
  <c r="CA22" i="52"/>
  <c r="AU22" i="52"/>
  <c r="O22" i="52"/>
  <c r="BM20" i="52"/>
  <c r="AG20" i="52"/>
  <c r="CE19" i="52"/>
  <c r="AY19" i="52"/>
  <c r="S19" i="52"/>
  <c r="BQ18" i="52"/>
  <c r="AK18" i="52"/>
  <c r="C18" i="52"/>
  <c r="BC17" i="52"/>
  <c r="W17" i="52"/>
  <c r="BU15" i="52"/>
  <c r="AO15" i="52"/>
  <c r="I15" i="52"/>
  <c r="BG14" i="52"/>
  <c r="AA14" i="52"/>
  <c r="CA43" i="51"/>
  <c r="AU43" i="51"/>
  <c r="O43" i="51"/>
  <c r="BM41" i="51"/>
  <c r="AG41" i="51"/>
  <c r="CE40" i="51"/>
  <c r="CE7" i="51" s="1"/>
  <c r="AY40" i="51"/>
  <c r="AY7" i="51" s="1"/>
  <c r="S40" i="51"/>
  <c r="S7" i="51" s="1"/>
  <c r="I19" i="53"/>
  <c r="AS17" i="53"/>
  <c r="CC14" i="53"/>
  <c r="AK43" i="52"/>
  <c r="BU40" i="52"/>
  <c r="BU7" i="52" s="1"/>
  <c r="AA38" i="52"/>
  <c r="BK36" i="52"/>
  <c r="Q35" i="52"/>
  <c r="BA33" i="52"/>
  <c r="W32" i="52"/>
  <c r="AO30" i="52"/>
  <c r="BO29" i="52"/>
  <c r="AI29" i="52"/>
  <c r="CG27" i="52"/>
  <c r="BA27" i="52"/>
  <c r="U27" i="52"/>
  <c r="BS26" i="52"/>
  <c r="AM26" i="52"/>
  <c r="G26" i="52"/>
  <c r="BE24" i="52"/>
  <c r="Y24" i="52"/>
  <c r="BW23" i="52"/>
  <c r="AQ23" i="52"/>
  <c r="K23" i="52"/>
  <c r="BI22" i="52"/>
  <c r="AC22" i="52"/>
  <c r="CA20" i="52"/>
  <c r="AU20" i="52"/>
  <c r="O20" i="52"/>
  <c r="BM19" i="52"/>
  <c r="AG19" i="52"/>
  <c r="CE18" i="52"/>
  <c r="AY18" i="52"/>
  <c r="S18" i="52"/>
  <c r="BQ17" i="52"/>
  <c r="AK17" i="52"/>
  <c r="C17" i="52"/>
  <c r="BC15" i="52"/>
  <c r="W15" i="52"/>
  <c r="BU14" i="52"/>
  <c r="AO14" i="52"/>
  <c r="I14" i="52"/>
  <c r="BI43" i="51"/>
  <c r="AC43" i="51"/>
  <c r="CA41" i="51"/>
  <c r="AU41" i="51"/>
  <c r="AS43" i="51"/>
  <c r="BK41" i="51"/>
  <c r="O41" i="51"/>
  <c r="BM40" i="51"/>
  <c r="BM7" i="51" s="1"/>
  <c r="AG40" i="51"/>
  <c r="AG7" i="51" s="1"/>
  <c r="CE38" i="51"/>
  <c r="AM41" i="52"/>
  <c r="S34" i="52"/>
  <c r="AU29" i="52"/>
  <c r="CE26" i="52"/>
  <c r="AK24" i="52"/>
  <c r="BU22" i="52"/>
  <c r="AA20" i="52"/>
  <c r="BK18" i="52"/>
  <c r="Q17" i="52"/>
  <c r="BA14" i="52"/>
  <c r="AA43" i="51"/>
  <c r="AS41" i="51"/>
  <c r="BK40" i="51"/>
  <c r="BK7" i="51" s="1"/>
  <c r="CC38" i="51"/>
  <c r="AU38" i="51"/>
  <c r="O38" i="51"/>
  <c r="BM37" i="51"/>
  <c r="AG37" i="51"/>
  <c r="CE36" i="51"/>
  <c r="AY36" i="51"/>
  <c r="S36" i="51"/>
  <c r="BQ35" i="51"/>
  <c r="AK35" i="51"/>
  <c r="C35" i="51"/>
  <c r="BC34" i="51"/>
  <c r="W34" i="51"/>
  <c r="BU33" i="51"/>
  <c r="AO33" i="51"/>
  <c r="I33" i="51"/>
  <c r="BG32" i="51"/>
  <c r="AA32" i="51"/>
  <c r="BY30" i="51"/>
  <c r="AS30" i="51"/>
  <c r="M30" i="51"/>
  <c r="BK29" i="51"/>
  <c r="AE29" i="51"/>
  <c r="CC27" i="51"/>
  <c r="BI17" i="53"/>
  <c r="AQ38" i="52"/>
  <c r="AE32" i="52"/>
  <c r="G29" i="52"/>
  <c r="AQ26" i="52"/>
  <c r="CA23" i="52"/>
  <c r="AG22" i="52"/>
  <c r="BQ19" i="52"/>
  <c r="W18" i="52"/>
  <c r="BG15" i="52"/>
  <c r="M14" i="52"/>
  <c r="I43" i="51"/>
  <c r="AA41" i="51"/>
  <c r="AS40" i="51"/>
  <c r="AS7" i="51" s="1"/>
  <c r="BQ38" i="51"/>
  <c r="AK38" i="51"/>
  <c r="C38" i="51"/>
  <c r="BC37" i="51"/>
  <c r="W37" i="51"/>
  <c r="BU36" i="51"/>
  <c r="AO36" i="51"/>
  <c r="I36" i="51"/>
  <c r="BG35" i="51"/>
  <c r="AA35" i="51"/>
  <c r="BY34" i="51"/>
  <c r="AS34" i="51"/>
  <c r="M34" i="51"/>
  <c r="BK33" i="51"/>
  <c r="AE33" i="51"/>
  <c r="CC32" i="51"/>
  <c r="AW32" i="51"/>
  <c r="Q32" i="51"/>
  <c r="BO30" i="51"/>
  <c r="AI30" i="51"/>
  <c r="CG29" i="51"/>
  <c r="BA29" i="51"/>
  <c r="U29" i="51"/>
  <c r="BS27" i="51"/>
  <c r="AM27" i="51"/>
  <c r="G27" i="51"/>
  <c r="BE26" i="51"/>
  <c r="Y26" i="51"/>
  <c r="BW24" i="51"/>
  <c r="BM14" i="53"/>
  <c r="BM49" i="53" s="1"/>
  <c r="AU36" i="52"/>
  <c r="AG30" i="52"/>
  <c r="AW27" i="52"/>
  <c r="CG24" i="52"/>
  <c r="AM23" i="52"/>
  <c r="BW20" i="52"/>
  <c r="AC19" i="52"/>
  <c r="BM17" i="52"/>
  <c r="S15" i="52"/>
  <c r="BE43" i="51"/>
  <c r="BQ41" i="51"/>
  <c r="C41" i="51"/>
  <c r="W40" i="51"/>
  <c r="W7" i="51" s="1"/>
  <c r="BG38" i="51"/>
  <c r="AA38" i="51"/>
  <c r="BY37" i="51"/>
  <c r="AS37" i="51"/>
  <c r="M37" i="51"/>
  <c r="BK36" i="51"/>
  <c r="AE36" i="51"/>
  <c r="CC35" i="51"/>
  <c r="AW35" i="51"/>
  <c r="Q35" i="51"/>
  <c r="BO34" i="51"/>
  <c r="AI34" i="51"/>
  <c r="CG33" i="51"/>
  <c r="BA33" i="51"/>
  <c r="U33" i="51"/>
  <c r="BS32" i="51"/>
  <c r="AM32" i="51"/>
  <c r="G32" i="51"/>
  <c r="CA15" i="53"/>
  <c r="BI37" i="52"/>
  <c r="CC30" i="52"/>
  <c r="BU27" i="52"/>
  <c r="AA26" i="52"/>
  <c r="BK23" i="52"/>
  <c r="Q22" i="52"/>
  <c r="BA19" i="52"/>
  <c r="G18" i="52"/>
  <c r="AQ15" i="52"/>
  <c r="CC43" i="51"/>
  <c r="CE41" i="51"/>
  <c r="S41" i="51"/>
  <c r="AK40" i="51"/>
  <c r="AK7" i="51" s="1"/>
  <c r="BM38" i="51"/>
  <c r="AG38" i="51"/>
  <c r="CE37" i="51"/>
  <c r="AY37" i="51"/>
  <c r="S37" i="51"/>
  <c r="BQ36" i="51"/>
  <c r="AK36" i="51"/>
  <c r="BS35" i="51"/>
  <c r="Y34" i="51"/>
  <c r="BI32" i="51"/>
  <c r="AO30" i="51"/>
  <c r="BG29" i="51"/>
  <c r="BY27" i="51"/>
  <c r="AA27" i="51"/>
  <c r="BO26" i="51"/>
  <c r="W26" i="51"/>
  <c r="BK24" i="51"/>
  <c r="AE24" i="51"/>
  <c r="CC23" i="51"/>
  <c r="AW23" i="51"/>
  <c r="Q23" i="51"/>
  <c r="BO22" i="51"/>
  <c r="AI22" i="51"/>
  <c r="CG20" i="51"/>
  <c r="BA20" i="51"/>
  <c r="U20" i="51"/>
  <c r="BS19" i="51"/>
  <c r="AM19" i="51"/>
  <c r="AK43" i="51"/>
  <c r="BC41" i="51"/>
  <c r="G41" i="51"/>
  <c r="BE40" i="51"/>
  <c r="BE7" i="51" s="1"/>
  <c r="Y40" i="51"/>
  <c r="Y7" i="51" s="1"/>
  <c r="K18" i="53"/>
  <c r="BW38" i="52"/>
  <c r="BC32" i="52"/>
  <c r="O29" i="52"/>
  <c r="AY26" i="52"/>
  <c r="C24" i="52"/>
  <c r="AO22" i="52"/>
  <c r="BY19" i="52"/>
  <c r="AE18" i="52"/>
  <c r="BO15" i="52"/>
  <c r="U14" i="52"/>
  <c r="K43" i="51"/>
  <c r="AC41" i="51"/>
  <c r="AU40" i="51"/>
  <c r="AU7" i="51" s="1"/>
  <c r="BS38" i="51"/>
  <c r="AM38" i="51"/>
  <c r="G38" i="51"/>
  <c r="BE37" i="51"/>
  <c r="Y37" i="51"/>
  <c r="BW36" i="51"/>
  <c r="AQ36" i="51"/>
  <c r="K36" i="51"/>
  <c r="BI35" i="51"/>
  <c r="AC35" i="51"/>
  <c r="CA34" i="51"/>
  <c r="AU34" i="51"/>
  <c r="O34" i="51"/>
  <c r="BM33" i="51"/>
  <c r="AG33" i="51"/>
  <c r="CE32" i="51"/>
  <c r="AY32" i="51"/>
  <c r="S32" i="51"/>
  <c r="BQ30" i="51"/>
  <c r="AK30" i="51"/>
  <c r="C30" i="51"/>
  <c r="BC29" i="51"/>
  <c r="W29" i="51"/>
  <c r="BU27" i="51"/>
  <c r="O15" i="53"/>
  <c r="CA36" i="52"/>
  <c r="AW30" i="52"/>
  <c r="BE27" i="52"/>
  <c r="K26" i="52"/>
  <c r="AU23" i="52"/>
  <c r="CE20" i="52"/>
  <c r="AK19" i="52"/>
  <c r="BU17" i="52"/>
  <c r="AA15" i="52"/>
  <c r="BM43" i="51"/>
  <c r="BW41" i="51"/>
  <c r="K41" i="51"/>
  <c r="AC40" i="51"/>
  <c r="AC7" i="51" s="1"/>
  <c r="BI38" i="51"/>
  <c r="AC38" i="51"/>
  <c r="CA37" i="51"/>
  <c r="AU37" i="51"/>
  <c r="O37" i="51"/>
  <c r="BM36" i="51"/>
  <c r="AG36" i="51"/>
  <c r="CE35" i="51"/>
  <c r="AY35" i="51"/>
  <c r="S35" i="51"/>
  <c r="BQ34" i="51"/>
  <c r="AK34" i="51"/>
  <c r="C34" i="51"/>
  <c r="BC33" i="51"/>
  <c r="W33" i="51"/>
  <c r="BU32" i="51"/>
  <c r="AO32" i="51"/>
  <c r="I32" i="51"/>
  <c r="BG30" i="51"/>
  <c r="AA30" i="51"/>
  <c r="BY29" i="51"/>
  <c r="AS29" i="51"/>
  <c r="M29" i="51"/>
  <c r="BK27" i="51"/>
  <c r="AE27" i="51"/>
  <c r="CC26" i="51"/>
  <c r="AW26" i="51"/>
  <c r="Q26" i="51"/>
  <c r="BO24" i="51"/>
  <c r="U43" i="52"/>
  <c r="CE34" i="52"/>
  <c r="BK29" i="52"/>
  <c r="Q27" i="52"/>
  <c r="BA24" i="52"/>
  <c r="G23" i="52"/>
  <c r="AQ20" i="52"/>
  <c r="CA18" i="52"/>
  <c r="AG17" i="52"/>
  <c r="BQ14" i="52"/>
  <c r="AI43" i="51"/>
  <c r="BA41" i="51"/>
  <c r="BS40" i="51"/>
  <c r="BS7" i="51" s="1"/>
  <c r="G40" i="51"/>
  <c r="G7" i="51" s="1"/>
  <c r="AY38" i="51"/>
  <c r="S38" i="51"/>
  <c r="BQ37" i="51"/>
  <c r="AK37" i="51"/>
  <c r="C37" i="51"/>
  <c r="BC36" i="51"/>
  <c r="W36" i="51"/>
  <c r="BU35" i="51"/>
  <c r="AO35" i="51"/>
  <c r="I35" i="51"/>
  <c r="BG34" i="51"/>
  <c r="AA34" i="51"/>
  <c r="BY33" i="51"/>
  <c r="AS33" i="51"/>
  <c r="M33" i="51"/>
  <c r="BK32" i="51"/>
  <c r="AE32" i="51"/>
  <c r="CC30" i="51"/>
  <c r="AG14" i="53"/>
  <c r="AG49" i="53" s="1"/>
  <c r="O36" i="52"/>
  <c r="Q30" i="52"/>
  <c r="AO27" i="52"/>
  <c r="BY24" i="52"/>
  <c r="AE23" i="52"/>
  <c r="BO20" i="52"/>
  <c r="U19" i="52"/>
  <c r="BE17" i="52"/>
  <c r="K15" i="52"/>
  <c r="AW43" i="51"/>
  <c r="BO41" i="51"/>
  <c r="CG40" i="51"/>
  <c r="CG7" i="51" s="1"/>
  <c r="U40" i="51"/>
  <c r="U7" i="51" s="1"/>
  <c r="BE38" i="51"/>
  <c r="Y38" i="51"/>
  <c r="BW37" i="51"/>
  <c r="AQ37" i="51"/>
  <c r="K37" i="51"/>
  <c r="BI36" i="51"/>
  <c r="AC36" i="51"/>
  <c r="AM35" i="51"/>
  <c r="BW33" i="51"/>
  <c r="AC32" i="51"/>
  <c r="Y30" i="51"/>
  <c r="AQ29" i="51"/>
  <c r="BI27" i="51"/>
  <c r="Q27" i="51"/>
  <c r="BC26" i="51"/>
  <c r="M26" i="51"/>
  <c r="BC24" i="51"/>
  <c r="W24" i="51"/>
  <c r="BU23" i="51"/>
  <c r="AO23" i="51"/>
  <c r="I23" i="51"/>
  <c r="BG22" i="51"/>
  <c r="AA22" i="51"/>
  <c r="BY20" i="51"/>
  <c r="AS20" i="51"/>
  <c r="M20" i="51"/>
  <c r="BK19" i="51"/>
  <c r="AE19" i="51"/>
  <c r="CC18" i="51"/>
  <c r="AW18" i="51"/>
  <c r="Q18" i="51"/>
  <c r="BO17" i="51"/>
  <c r="AI17" i="51"/>
  <c r="CG15" i="51"/>
  <c r="BA15" i="51"/>
  <c r="U15" i="51"/>
  <c r="BS14" i="51"/>
  <c r="AM14" i="51"/>
  <c r="M43" i="51"/>
  <c r="AE41" i="51"/>
  <c r="CC40" i="51"/>
  <c r="CC7" i="51" s="1"/>
  <c r="AW40" i="51"/>
  <c r="AW7" i="51" s="1"/>
  <c r="Q40" i="51"/>
  <c r="Q7" i="51" s="1"/>
  <c r="AU15" i="53"/>
  <c r="AC37" i="52"/>
  <c r="BM30" i="52"/>
  <c r="BM27" i="52"/>
  <c r="S26" i="52"/>
  <c r="BC23" i="52"/>
  <c r="I22" i="52"/>
  <c r="AS19" i="52"/>
  <c r="CC17" i="52"/>
  <c r="AI15" i="52"/>
  <c r="BU43" i="51"/>
  <c r="BY41" i="51"/>
  <c r="M41" i="51"/>
  <c r="AE40" i="51"/>
  <c r="AE7" i="51" s="1"/>
  <c r="BK38" i="51"/>
  <c r="AE38" i="51"/>
  <c r="CC37" i="51"/>
  <c r="AW37" i="51"/>
  <c r="Q37" i="51"/>
  <c r="BO36" i="51"/>
  <c r="AI36" i="51"/>
  <c r="CG35" i="51"/>
  <c r="BA35" i="51"/>
  <c r="U35" i="51"/>
  <c r="BS34" i="51"/>
  <c r="AM34" i="51"/>
  <c r="G34" i="51"/>
  <c r="BE33" i="51"/>
  <c r="Y33" i="51"/>
  <c r="BW32" i="51"/>
  <c r="AQ32" i="51"/>
  <c r="K32" i="51"/>
  <c r="BI30" i="51"/>
  <c r="AC30" i="51"/>
  <c r="CA29" i="51"/>
  <c r="AU29" i="51"/>
  <c r="O29" i="51"/>
  <c r="BM27" i="51"/>
  <c r="BA43" i="52"/>
  <c r="AG35" i="52"/>
  <c r="BU29" i="52"/>
  <c r="Y27" i="52"/>
  <c r="BI24" i="52"/>
  <c r="O23" i="52"/>
  <c r="AY20" i="52"/>
  <c r="C19" i="52"/>
  <c r="AO17" i="52"/>
  <c r="BY14" i="52"/>
  <c r="AO43" i="51"/>
  <c r="BG41" i="51"/>
  <c r="BY40" i="51"/>
  <c r="BY7" i="51" s="1"/>
  <c r="M40" i="51"/>
  <c r="M7" i="51" s="1"/>
  <c r="BA38" i="51"/>
  <c r="U38" i="51"/>
  <c r="BS37" i="51"/>
  <c r="AM37" i="51"/>
  <c r="G37" i="51"/>
  <c r="BE36" i="51"/>
  <c r="Y36" i="51"/>
  <c r="BW35" i="51"/>
  <c r="AQ35" i="51"/>
  <c r="K35" i="51"/>
  <c r="BI34" i="51"/>
  <c r="AC34" i="51"/>
  <c r="CA33" i="51"/>
  <c r="AU33" i="51"/>
  <c r="O33" i="51"/>
  <c r="BM32" i="51"/>
  <c r="AG32" i="51"/>
  <c r="CE30" i="51"/>
  <c r="AY30" i="51"/>
  <c r="S30" i="51"/>
  <c r="BQ29" i="51"/>
  <c r="AK29" i="51"/>
  <c r="C29" i="51"/>
  <c r="BC27" i="51"/>
  <c r="W27" i="51"/>
  <c r="BU26" i="51"/>
  <c r="AO26" i="51"/>
  <c r="I26" i="51"/>
  <c r="BW18" i="53"/>
  <c r="BE40" i="52"/>
  <c r="BE7" i="52" s="1"/>
  <c r="AK33" i="52"/>
  <c r="AE29" i="52"/>
  <c r="BO26" i="52"/>
  <c r="U24" i="52"/>
  <c r="BE22" i="52"/>
  <c r="K20" i="52"/>
  <c r="AU18" i="52"/>
  <c r="CE15" i="52"/>
  <c r="AK14" i="52"/>
  <c r="S43" i="51"/>
  <c r="AK41" i="51"/>
  <c r="BC40" i="51"/>
  <c r="BC7" i="51" s="1"/>
  <c r="BW38" i="51"/>
  <c r="AQ38" i="51"/>
  <c r="K38" i="51"/>
  <c r="BI37" i="51"/>
  <c r="AC37" i="51"/>
  <c r="CA36" i="51"/>
  <c r="AU36" i="51"/>
  <c r="O36" i="51"/>
  <c r="BM35" i="51"/>
  <c r="AG35" i="51"/>
  <c r="CE34" i="51"/>
  <c r="AY34" i="51"/>
  <c r="S34" i="51"/>
  <c r="BQ33" i="51"/>
  <c r="AK33" i="51"/>
  <c r="C33" i="51"/>
  <c r="BC32" i="51"/>
  <c r="W32" i="51"/>
  <c r="BU30" i="51"/>
  <c r="BS41" i="52"/>
  <c r="AY34" i="52"/>
  <c r="BC29" i="52"/>
  <c r="I27" i="52"/>
  <c r="AS24" i="52"/>
  <c r="CC22" i="52"/>
  <c r="AI20" i="52"/>
  <c r="BS18" i="52"/>
  <c r="Y17" i="52"/>
  <c r="BI14" i="52"/>
  <c r="AG43" i="51"/>
  <c r="AY41" i="51"/>
  <c r="BQ40" i="51"/>
  <c r="BQ7" i="51" s="1"/>
  <c r="C40" i="51"/>
  <c r="AW38" i="51"/>
  <c r="Q38" i="51"/>
  <c r="BO37" i="51"/>
  <c r="AI37" i="51"/>
  <c r="CG36" i="51"/>
  <c r="BA36" i="51"/>
  <c r="U36" i="51"/>
  <c r="G35" i="51"/>
  <c r="AQ33" i="51"/>
  <c r="CA30" i="51"/>
  <c r="I30" i="51"/>
  <c r="AA29" i="51"/>
  <c r="AW27" i="51"/>
  <c r="C27" i="51"/>
  <c r="AS26" i="51"/>
  <c r="CG24" i="51"/>
  <c r="AU24" i="51"/>
  <c r="O24" i="51"/>
  <c r="BM23" i="51"/>
  <c r="AG23" i="51"/>
  <c r="CE22" i="51"/>
  <c r="AY22" i="51"/>
  <c r="S22" i="51"/>
  <c r="BQ20" i="51"/>
  <c r="AK20" i="51"/>
  <c r="C20" i="51"/>
  <c r="BC19" i="51"/>
  <c r="W19" i="51"/>
  <c r="C43" i="51"/>
  <c r="W41" i="51"/>
  <c r="BU40" i="51"/>
  <c r="BU7" i="51" s="1"/>
  <c r="AO40" i="51"/>
  <c r="AO7" i="51" s="1"/>
  <c r="I40" i="51"/>
  <c r="I7" i="51" s="1"/>
  <c r="CG43" i="52"/>
  <c r="BM35" i="52"/>
  <c r="CE29" i="52"/>
  <c r="AG27" i="52"/>
  <c r="BQ24" i="52"/>
  <c r="W23" i="52"/>
  <c r="BG20" i="52"/>
  <c r="M19" i="52"/>
  <c r="AW17" i="52"/>
  <c r="CG14" i="52"/>
  <c r="AQ43" i="51"/>
  <c r="BI41" i="51"/>
  <c r="CA40" i="51"/>
  <c r="CA7" i="51" s="1"/>
  <c r="O40" i="51"/>
  <c r="O7" i="51" s="1"/>
  <c r="BC38" i="51"/>
  <c r="W38" i="51"/>
  <c r="BU37" i="51"/>
  <c r="AO37" i="51"/>
  <c r="I37" i="51"/>
  <c r="BG36" i="51"/>
  <c r="AA36" i="51"/>
  <c r="BY35" i="51"/>
  <c r="AS35" i="51"/>
  <c r="M35" i="51"/>
  <c r="BK34" i="51"/>
  <c r="AE34" i="51"/>
  <c r="CC33" i="51"/>
  <c r="AW33" i="51"/>
  <c r="Q33" i="51"/>
  <c r="BO32" i="51"/>
  <c r="AI32" i="51"/>
  <c r="CG30" i="51"/>
  <c r="BA30" i="51"/>
  <c r="U30" i="51"/>
  <c r="BS29" i="51"/>
  <c r="AM29" i="51"/>
  <c r="G29" i="51"/>
  <c r="BE27" i="51"/>
  <c r="G41" i="52"/>
  <c r="BQ33" i="52"/>
  <c r="AM29" i="52"/>
  <c r="BW26" i="52"/>
  <c r="AC24" i="52"/>
  <c r="BM22" i="52"/>
  <c r="S20" i="52"/>
  <c r="BC18" i="52"/>
  <c r="I17" i="52"/>
  <c r="AS14" i="52"/>
  <c r="Y43" i="51"/>
  <c r="AQ41" i="51"/>
  <c r="BI40" i="51"/>
  <c r="BI7" i="51" s="1"/>
  <c r="CA38" i="51"/>
  <c r="AS38" i="51"/>
  <c r="M38" i="51"/>
  <c r="BK37" i="51"/>
  <c r="AE37" i="51"/>
  <c r="CC36" i="51"/>
  <c r="AW36" i="51"/>
  <c r="Q36" i="51"/>
  <c r="BO35" i="51"/>
  <c r="AI35" i="51"/>
  <c r="CG34" i="51"/>
  <c r="BA34" i="51"/>
  <c r="U34" i="51"/>
  <c r="BS33" i="51"/>
  <c r="AM33" i="51"/>
  <c r="G33" i="51"/>
  <c r="BE32" i="51"/>
  <c r="Y32" i="51"/>
  <c r="BW30" i="51"/>
  <c r="AQ30" i="51"/>
  <c r="K30" i="51"/>
  <c r="BI29" i="51"/>
  <c r="AC29" i="51"/>
  <c r="CA27" i="51"/>
  <c r="AU27" i="51"/>
  <c r="O27" i="51"/>
  <c r="BM26" i="51"/>
  <c r="AG26" i="51"/>
  <c r="CE24" i="51"/>
  <c r="AC17" i="53"/>
  <c r="K38" i="52"/>
  <c r="O32" i="52"/>
  <c r="CC27" i="52"/>
  <c r="AI26" i="52"/>
  <c r="BS23" i="52"/>
  <c r="Y22" i="52"/>
  <c r="BI19" i="52"/>
  <c r="O18" i="52"/>
  <c r="AY15" i="52"/>
  <c r="C14" i="52"/>
  <c r="CG41" i="51"/>
  <c r="U41" i="51"/>
  <c r="AM40" i="51"/>
  <c r="AM7" i="51" s="1"/>
  <c r="BO38" i="51"/>
  <c r="AI38" i="51"/>
  <c r="CG37" i="51"/>
  <c r="BA37" i="51"/>
  <c r="U37" i="51"/>
  <c r="BS36" i="51"/>
  <c r="AM36" i="51"/>
  <c r="G36" i="51"/>
  <c r="BE35" i="51"/>
  <c r="Y35" i="51"/>
  <c r="BW34" i="51"/>
  <c r="AQ34" i="51"/>
  <c r="K34" i="51"/>
  <c r="BI33" i="51"/>
  <c r="AC33" i="51"/>
  <c r="CA32" i="51"/>
  <c r="AU32" i="51"/>
  <c r="O32" i="51"/>
  <c r="AQ18" i="53"/>
  <c r="Y40" i="52"/>
  <c r="Y7" i="52" s="1"/>
  <c r="C33" i="52"/>
  <c r="W29" i="52"/>
  <c r="BG26" i="52"/>
  <c r="M24" i="52"/>
  <c r="AW22" i="52"/>
  <c r="CG19" i="52"/>
  <c r="AM18" i="52"/>
  <c r="AI41" i="51"/>
  <c r="I38" i="51"/>
  <c r="AS36" i="51"/>
  <c r="BE30" i="51"/>
  <c r="BY26" i="51"/>
  <c r="G24" i="51"/>
  <c r="AQ22" i="51"/>
  <c r="CA19" i="51"/>
  <c r="BU18" i="51"/>
  <c r="AG18" i="51"/>
  <c r="BW17" i="51"/>
  <c r="AA17" i="51"/>
  <c r="BQ15" i="51"/>
  <c r="AC15" i="51"/>
  <c r="BK14" i="51"/>
  <c r="W14" i="51"/>
  <c r="BW43" i="50"/>
  <c r="AQ43" i="50"/>
  <c r="K43" i="50"/>
  <c r="BI41" i="50"/>
  <c r="AC41" i="50"/>
  <c r="CA40" i="50"/>
  <c r="CA7" i="50" s="1"/>
  <c r="AU40" i="50"/>
  <c r="AU7" i="50" s="1"/>
  <c r="O40" i="50"/>
  <c r="O7" i="50" s="1"/>
  <c r="BM38" i="50"/>
  <c r="AG38" i="50"/>
  <c r="CE37" i="50"/>
  <c r="AY37" i="50"/>
  <c r="S37" i="50"/>
  <c r="BQ36" i="50"/>
  <c r="AK36" i="50"/>
  <c r="C36" i="50"/>
  <c r="BC35" i="50"/>
  <c r="W35" i="50"/>
  <c r="BU34" i="50"/>
  <c r="AO34" i="50"/>
  <c r="I34" i="50"/>
  <c r="BG33" i="50"/>
  <c r="AA33" i="50"/>
  <c r="BY32" i="50"/>
  <c r="AS32" i="50"/>
  <c r="M32" i="50"/>
  <c r="BK30" i="50"/>
  <c r="AE30" i="50"/>
  <c r="CC29" i="50"/>
  <c r="AW29" i="50"/>
  <c r="Q29" i="50"/>
  <c r="BO27" i="50"/>
  <c r="AI27" i="50"/>
  <c r="CG26" i="50"/>
  <c r="BA26" i="50"/>
  <c r="U26" i="50"/>
  <c r="BS24" i="50"/>
  <c r="AM24" i="50"/>
  <c r="G24" i="50"/>
  <c r="BE23" i="50"/>
  <c r="Y23" i="50"/>
  <c r="BW22" i="50"/>
  <c r="AQ22" i="50"/>
  <c r="K22" i="50"/>
  <c r="BI20" i="50"/>
  <c r="AC20" i="50"/>
  <c r="CA19" i="50"/>
  <c r="AU19" i="50"/>
  <c r="O19" i="50"/>
  <c r="BM18" i="50"/>
  <c r="AG18" i="50"/>
  <c r="CE17" i="50"/>
  <c r="AY17" i="50"/>
  <c r="S17" i="50"/>
  <c r="CC34" i="51"/>
  <c r="AI33" i="51"/>
  <c r="BS30" i="51"/>
  <c r="G30" i="51"/>
  <c r="Y29" i="51"/>
  <c r="AS27" i="51"/>
  <c r="CG26" i="51"/>
  <c r="AQ26" i="51"/>
  <c r="CC24" i="51"/>
  <c r="AS24" i="51"/>
  <c r="M24" i="51"/>
  <c r="BK23" i="51"/>
  <c r="AE23" i="51"/>
  <c r="CC22" i="51"/>
  <c r="AW22" i="51"/>
  <c r="Q22" i="51"/>
  <c r="BO20" i="51"/>
  <c r="AI20" i="51"/>
  <c r="CG19" i="51"/>
  <c r="BA19" i="51"/>
  <c r="U19" i="51"/>
  <c r="BS18" i="51"/>
  <c r="AM18" i="51"/>
  <c r="G18" i="51"/>
  <c r="BE17" i="51"/>
  <c r="Y17" i="51"/>
  <c r="BW15" i="51"/>
  <c r="AQ15" i="51"/>
  <c r="K15" i="51"/>
  <c r="BI14" i="51"/>
  <c r="AC14" i="51"/>
  <c r="CC43" i="50"/>
  <c r="AW43" i="50"/>
  <c r="Q43" i="50"/>
  <c r="BO41" i="50"/>
  <c r="AI41" i="50"/>
  <c r="CG40" i="50"/>
  <c r="CG7" i="50" s="1"/>
  <c r="BA40" i="50"/>
  <c r="BA7" i="50" s="1"/>
  <c r="U40" i="50"/>
  <c r="U7" i="50" s="1"/>
  <c r="BS38" i="50"/>
  <c r="AM38" i="50"/>
  <c r="G38" i="50"/>
  <c r="BE37" i="50"/>
  <c r="Y37" i="50"/>
  <c r="BW36" i="50"/>
  <c r="AQ36" i="50"/>
  <c r="K36" i="50"/>
  <c r="BI35" i="50"/>
  <c r="AC35" i="50"/>
  <c r="CA34" i="50"/>
  <c r="AU34" i="50"/>
  <c r="O34" i="50"/>
  <c r="BM33" i="50"/>
  <c r="AG33" i="50"/>
  <c r="CE32" i="50"/>
  <c r="AY32" i="50"/>
  <c r="S32" i="50"/>
  <c r="BQ30" i="50"/>
  <c r="AK30" i="50"/>
  <c r="C30" i="50"/>
  <c r="BC29" i="50"/>
  <c r="W29" i="50"/>
  <c r="BU27" i="50"/>
  <c r="AO27" i="50"/>
  <c r="I27" i="50"/>
  <c r="BG26" i="50"/>
  <c r="AA26" i="50"/>
  <c r="BY24" i="50"/>
  <c r="AS24" i="50"/>
  <c r="M24" i="50"/>
  <c r="BK23" i="50"/>
  <c r="AE23" i="50"/>
  <c r="CC22" i="50"/>
  <c r="AW22" i="50"/>
  <c r="Q22" i="50"/>
  <c r="BO20" i="50"/>
  <c r="AI20" i="50"/>
  <c r="CG19" i="50"/>
  <c r="BA19" i="50"/>
  <c r="U19" i="50"/>
  <c r="BS18" i="50"/>
  <c r="AM18" i="50"/>
  <c r="G18" i="50"/>
  <c r="BE17" i="50"/>
  <c r="BC35" i="51"/>
  <c r="I34" i="51"/>
  <c r="AS32" i="51"/>
  <c r="AG30" i="51"/>
  <c r="AY29" i="51"/>
  <c r="BQ27" i="51"/>
  <c r="U27" i="51"/>
  <c r="BI26" i="51"/>
  <c r="S26" i="51"/>
  <c r="BG24" i="51"/>
  <c r="AA24" i="51"/>
  <c r="BY23" i="51"/>
  <c r="AS23" i="51"/>
  <c r="M23" i="51"/>
  <c r="BK22" i="51"/>
  <c r="AE22" i="51"/>
  <c r="CC20" i="51"/>
  <c r="AW20" i="51"/>
  <c r="BW15" i="52"/>
  <c r="BA40" i="51"/>
  <c r="BA7" i="51" s="1"/>
  <c r="BG37" i="51"/>
  <c r="M36" i="51"/>
  <c r="BW29" i="51"/>
  <c r="AI26" i="51"/>
  <c r="BE23" i="51"/>
  <c r="K22" i="51"/>
  <c r="AU19" i="51"/>
  <c r="BM18" i="51"/>
  <c r="Y18" i="51"/>
  <c r="BG17" i="51"/>
  <c r="S17" i="51"/>
  <c r="BI15" i="51"/>
  <c r="M15" i="51"/>
  <c r="BC14" i="51"/>
  <c r="O14" i="51"/>
  <c r="BO43" i="50"/>
  <c r="AI43" i="50"/>
  <c r="CG41" i="50"/>
  <c r="BA41" i="50"/>
  <c r="U41" i="50"/>
  <c r="BS40" i="50"/>
  <c r="BS7" i="50" s="1"/>
  <c r="AM40" i="50"/>
  <c r="AM7" i="50" s="1"/>
  <c r="G40" i="50"/>
  <c r="G7" i="50" s="1"/>
  <c r="BE38" i="50"/>
  <c r="Y38" i="50"/>
  <c r="BW37" i="50"/>
  <c r="AQ37" i="50"/>
  <c r="K37" i="50"/>
  <c r="BI36" i="50"/>
  <c r="AC36" i="50"/>
  <c r="CA35" i="50"/>
  <c r="AU35" i="50"/>
  <c r="O35" i="50"/>
  <c r="BM34" i="50"/>
  <c r="AG34" i="50"/>
  <c r="CE33" i="50"/>
  <c r="AY33" i="50"/>
  <c r="S33" i="50"/>
  <c r="BQ32" i="50"/>
  <c r="AK32" i="50"/>
  <c r="C32" i="50"/>
  <c r="BC30" i="50"/>
  <c r="W30" i="50"/>
  <c r="BU29" i="50"/>
  <c r="AO29" i="50"/>
  <c r="I29" i="50"/>
  <c r="BG27" i="50"/>
  <c r="AA27" i="50"/>
  <c r="BY26" i="50"/>
  <c r="AS26" i="50"/>
  <c r="M26" i="50"/>
  <c r="BK24" i="50"/>
  <c r="AE24" i="50"/>
  <c r="CC23" i="50"/>
  <c r="AW23" i="50"/>
  <c r="Q23" i="50"/>
  <c r="BO22" i="50"/>
  <c r="AI22" i="50"/>
  <c r="CG20" i="50"/>
  <c r="BA20" i="50"/>
  <c r="U20" i="50"/>
  <c r="BS19" i="50"/>
  <c r="AM19" i="50"/>
  <c r="G19" i="50"/>
  <c r="BE18" i="50"/>
  <c r="Y18" i="50"/>
  <c r="BW17" i="50"/>
  <c r="AQ17" i="50"/>
  <c r="K17" i="50"/>
  <c r="AW34" i="51"/>
  <c r="CG32" i="51"/>
  <c r="BC30" i="51"/>
  <c r="BU29" i="51"/>
  <c r="I29" i="51"/>
  <c r="AI27" i="51"/>
  <c r="BW26" i="51"/>
  <c r="AE26" i="51"/>
  <c r="BS24" i="51"/>
  <c r="AK24" i="51"/>
  <c r="C24" i="51"/>
  <c r="BC23" i="51"/>
  <c r="W23" i="51"/>
  <c r="BU22" i="51"/>
  <c r="AO22" i="51"/>
  <c r="I22" i="51"/>
  <c r="BG20" i="51"/>
  <c r="AA20" i="51"/>
  <c r="BY19" i="51"/>
  <c r="AS19" i="51"/>
  <c r="M19" i="51"/>
  <c r="BK18" i="51"/>
  <c r="AE18" i="51"/>
  <c r="CC17" i="51"/>
  <c r="AW17" i="51"/>
  <c r="Q17" i="51"/>
  <c r="BO15" i="51"/>
  <c r="AI15" i="51"/>
  <c r="CG14" i="51"/>
  <c r="BA14" i="51"/>
  <c r="U14" i="51"/>
  <c r="BU43" i="50"/>
  <c r="AO43" i="50"/>
  <c r="I43" i="50"/>
  <c r="BG41" i="50"/>
  <c r="AA41" i="50"/>
  <c r="BY40" i="50"/>
  <c r="BY7" i="50" s="1"/>
  <c r="AS40" i="50"/>
  <c r="AS7" i="50" s="1"/>
  <c r="M40" i="50"/>
  <c r="M7" i="50" s="1"/>
  <c r="BK38" i="50"/>
  <c r="AE38" i="50"/>
  <c r="CC37" i="50"/>
  <c r="AW37" i="50"/>
  <c r="Q37" i="50"/>
  <c r="BO36" i="50"/>
  <c r="AI36" i="50"/>
  <c r="CG35" i="50"/>
  <c r="BA35" i="50"/>
  <c r="U35" i="50"/>
  <c r="BS34" i="50"/>
  <c r="AM34" i="50"/>
  <c r="G34" i="50"/>
  <c r="BE33" i="50"/>
  <c r="Y33" i="50"/>
  <c r="BW32" i="50"/>
  <c r="AQ32" i="50"/>
  <c r="K32" i="50"/>
  <c r="BI30" i="50"/>
  <c r="AC30" i="50"/>
  <c r="CA29" i="50"/>
  <c r="AU29" i="50"/>
  <c r="O29" i="50"/>
  <c r="BM27" i="50"/>
  <c r="AG27" i="50"/>
  <c r="CE26" i="50"/>
  <c r="AY26" i="50"/>
  <c r="S26" i="50"/>
  <c r="BQ24" i="50"/>
  <c r="AK24" i="50"/>
  <c r="C24" i="50"/>
  <c r="BC23" i="50"/>
  <c r="W23" i="50"/>
  <c r="BU22" i="50"/>
  <c r="AO22" i="50"/>
  <c r="I22" i="50"/>
  <c r="BG20" i="50"/>
  <c r="AA20" i="50"/>
  <c r="BY19" i="50"/>
  <c r="AS19" i="50"/>
  <c r="M19" i="50"/>
  <c r="BK18" i="50"/>
  <c r="AE18" i="50"/>
  <c r="CC17" i="50"/>
  <c r="AW17" i="50"/>
  <c r="W35" i="51"/>
  <c r="BG33" i="51"/>
  <c r="M32" i="51"/>
  <c r="Q30" i="51"/>
  <c r="AI29" i="51"/>
  <c r="BA27" i="51"/>
  <c r="K27" i="51"/>
  <c r="AY26" i="51"/>
  <c r="G26" i="51"/>
  <c r="AY24" i="51"/>
  <c r="S24" i="51"/>
  <c r="BQ23" i="51"/>
  <c r="AK23" i="51"/>
  <c r="C23" i="51"/>
  <c r="BC22" i="51"/>
  <c r="W22" i="51"/>
  <c r="AC14" i="52"/>
  <c r="BU38" i="51"/>
  <c r="AA37" i="51"/>
  <c r="BE34" i="51"/>
  <c r="K29" i="51"/>
  <c r="BU24" i="51"/>
  <c r="Y23" i="51"/>
  <c r="BI20" i="51"/>
  <c r="O19" i="51"/>
  <c r="BE18" i="51"/>
  <c r="I18" i="51"/>
  <c r="AY17" i="51"/>
  <c r="K17" i="51"/>
  <c r="AS15" i="51"/>
  <c r="C15" i="51"/>
  <c r="AU14" i="51"/>
  <c r="G14" i="51"/>
  <c r="BG43" i="50"/>
  <c r="AA43" i="50"/>
  <c r="BY41" i="50"/>
  <c r="AS41" i="50"/>
  <c r="M41" i="50"/>
  <c r="BK40" i="50"/>
  <c r="BK7" i="50" s="1"/>
  <c r="AE40" i="50"/>
  <c r="AE7" i="50" s="1"/>
  <c r="CC38" i="50"/>
  <c r="AW38" i="50"/>
  <c r="Q38" i="50"/>
  <c r="BO37" i="50"/>
  <c r="AI37" i="50"/>
  <c r="CG36" i="50"/>
  <c r="BA36" i="50"/>
  <c r="U36" i="50"/>
  <c r="BS35" i="50"/>
  <c r="AM35" i="50"/>
  <c r="G35" i="50"/>
  <c r="BE34" i="50"/>
  <c r="Y34" i="50"/>
  <c r="BW33" i="50"/>
  <c r="AQ33" i="50"/>
  <c r="K33" i="50"/>
  <c r="BI32" i="50"/>
  <c r="AC32" i="50"/>
  <c r="CA30" i="50"/>
  <c r="AU30" i="50"/>
  <c r="O30" i="50"/>
  <c r="BM29" i="50"/>
  <c r="AG29" i="50"/>
  <c r="CE27" i="50"/>
  <c r="AY27" i="50"/>
  <c r="S27" i="50"/>
  <c r="BQ26" i="50"/>
  <c r="AK26" i="50"/>
  <c r="C26" i="50"/>
  <c r="BC24" i="50"/>
  <c r="W24" i="50"/>
  <c r="BU23" i="50"/>
  <c r="AO23" i="50"/>
  <c r="I23" i="50"/>
  <c r="BG22" i="50"/>
  <c r="AA22" i="50"/>
  <c r="BY20" i="50"/>
  <c r="AS20" i="50"/>
  <c r="M20" i="50"/>
  <c r="BK19" i="50"/>
  <c r="AE19" i="50"/>
  <c r="CC18" i="50"/>
  <c r="AW18" i="50"/>
  <c r="Q18" i="50"/>
  <c r="BO17" i="50"/>
  <c r="AI17" i="50"/>
  <c r="BK35" i="51"/>
  <c r="Q34" i="51"/>
  <c r="BA32" i="51"/>
  <c r="AM30" i="51"/>
  <c r="BE29" i="51"/>
  <c r="BW27" i="51"/>
  <c r="Y27" i="51"/>
  <c r="BK26" i="51"/>
  <c r="U26" i="51"/>
  <c r="BI24" i="51"/>
  <c r="AC24" i="51"/>
  <c r="CA23" i="51"/>
  <c r="AU23" i="51"/>
  <c r="O23" i="51"/>
  <c r="BM22" i="51"/>
  <c r="AG22" i="51"/>
  <c r="CE20" i="51"/>
  <c r="AY20" i="51"/>
  <c r="S20" i="51"/>
  <c r="BQ19" i="51"/>
  <c r="AK19" i="51"/>
  <c r="C19" i="51"/>
  <c r="BC18" i="51"/>
  <c r="W18" i="51"/>
  <c r="BU17" i="51"/>
  <c r="AO17" i="51"/>
  <c r="I17" i="51"/>
  <c r="BG15" i="51"/>
  <c r="AA15" i="51"/>
  <c r="BY14" i="51"/>
  <c r="AS14" i="51"/>
  <c r="M14" i="51"/>
  <c r="BM43" i="50"/>
  <c r="AG43" i="50"/>
  <c r="CE41" i="50"/>
  <c r="AY41" i="50"/>
  <c r="S41" i="50"/>
  <c r="BQ40" i="50"/>
  <c r="BQ7" i="50" s="1"/>
  <c r="AK40" i="50"/>
  <c r="AK7" i="50" s="1"/>
  <c r="C40" i="50"/>
  <c r="BC38" i="50"/>
  <c r="W38" i="50"/>
  <c r="BU37" i="50"/>
  <c r="AO37" i="50"/>
  <c r="I37" i="50"/>
  <c r="BG36" i="50"/>
  <c r="AA36" i="50"/>
  <c r="BY35" i="50"/>
  <c r="AS35" i="50"/>
  <c r="M35" i="50"/>
  <c r="BK34" i="50"/>
  <c r="AE34" i="50"/>
  <c r="CC33" i="50"/>
  <c r="AW33" i="50"/>
  <c r="Q33" i="50"/>
  <c r="BO32" i="50"/>
  <c r="AI32" i="50"/>
  <c r="CG30" i="50"/>
  <c r="BA30" i="50"/>
  <c r="U30" i="50"/>
  <c r="BS29" i="50"/>
  <c r="AM29" i="50"/>
  <c r="G29" i="50"/>
  <c r="BE27" i="50"/>
  <c r="Y27" i="50"/>
  <c r="BW26" i="50"/>
  <c r="AQ26" i="50"/>
  <c r="K26" i="50"/>
  <c r="BI24" i="50"/>
  <c r="AC24" i="50"/>
  <c r="CA23" i="50"/>
  <c r="AU23" i="50"/>
  <c r="O23" i="50"/>
  <c r="BM22" i="50"/>
  <c r="AG22" i="50"/>
  <c r="CE20" i="50"/>
  <c r="AY20" i="50"/>
  <c r="S20" i="50"/>
  <c r="BQ19" i="50"/>
  <c r="AK19" i="50"/>
  <c r="C19" i="50"/>
  <c r="BC18" i="50"/>
  <c r="W18" i="50"/>
  <c r="BU17" i="50"/>
  <c r="AO17" i="50"/>
  <c r="BU34" i="51"/>
  <c r="AA33" i="51"/>
  <c r="BM30" i="51"/>
  <c r="CE29" i="51"/>
  <c r="S29" i="51"/>
  <c r="AQ27" i="51"/>
  <c r="CE26" i="51"/>
  <c r="AM26" i="51"/>
  <c r="CA24" i="51"/>
  <c r="AQ24" i="51"/>
  <c r="K24" i="51"/>
  <c r="BI23" i="51"/>
  <c r="AC23" i="51"/>
  <c r="CA22" i="51"/>
  <c r="AU22" i="51"/>
  <c r="Q43" i="51"/>
  <c r="AO38" i="51"/>
  <c r="BY36" i="51"/>
  <c r="K33" i="51"/>
  <c r="AK27" i="51"/>
  <c r="AM24" i="51"/>
  <c r="BW22" i="51"/>
  <c r="AC20" i="51"/>
  <c r="G19" i="51"/>
  <c r="AO18" i="51"/>
  <c r="CE17" i="51"/>
  <c r="AQ17" i="51"/>
  <c r="BY15" i="51"/>
  <c r="AK15" i="51"/>
  <c r="CA14" i="51"/>
  <c r="AE14" i="51"/>
  <c r="CE43" i="50"/>
  <c r="AY43" i="50"/>
  <c r="S43" i="50"/>
  <c r="BQ41" i="50"/>
  <c r="AK41" i="50"/>
  <c r="C41" i="50"/>
  <c r="BC40" i="50"/>
  <c r="BC7" i="50" s="1"/>
  <c r="W40" i="50"/>
  <c r="W7" i="50" s="1"/>
  <c r="BU38" i="50"/>
  <c r="AO38" i="50"/>
  <c r="I38" i="50"/>
  <c r="BG37" i="50"/>
  <c r="AA37" i="50"/>
  <c r="BY36" i="50"/>
  <c r="AS36" i="50"/>
  <c r="M36" i="50"/>
  <c r="BK35" i="50"/>
  <c r="AE35" i="50"/>
  <c r="CC34" i="50"/>
  <c r="AW34" i="50"/>
  <c r="Q34" i="50"/>
  <c r="BO33" i="50"/>
  <c r="AI33" i="50"/>
  <c r="CG32" i="50"/>
  <c r="BA32" i="50"/>
  <c r="U32" i="50"/>
  <c r="BS30" i="50"/>
  <c r="AM30" i="50"/>
  <c r="G30" i="50"/>
  <c r="BE29" i="50"/>
  <c r="Y29" i="50"/>
  <c r="BW27" i="50"/>
  <c r="AQ27" i="50"/>
  <c r="K27" i="50"/>
  <c r="BI26" i="50"/>
  <c r="AC26" i="50"/>
  <c r="CA24" i="50"/>
  <c r="AU24" i="50"/>
  <c r="O24" i="50"/>
  <c r="BM23" i="50"/>
  <c r="AG23" i="50"/>
  <c r="CE22" i="50"/>
  <c r="AY22" i="50"/>
  <c r="S22" i="50"/>
  <c r="BQ20" i="50"/>
  <c r="AK20" i="50"/>
  <c r="C20" i="50"/>
  <c r="BC19" i="50"/>
  <c r="W19" i="50"/>
  <c r="BU18" i="50"/>
  <c r="AO18" i="50"/>
  <c r="I18" i="50"/>
  <c r="BG17" i="50"/>
  <c r="AA17" i="50"/>
  <c r="AE35" i="51"/>
  <c r="BO33" i="51"/>
  <c r="U32" i="51"/>
  <c r="W30" i="51"/>
  <c r="AO29" i="51"/>
  <c r="BG27" i="51"/>
  <c r="M27" i="51"/>
  <c r="BA26" i="51"/>
  <c r="K26" i="51"/>
  <c r="BA24" i="51"/>
  <c r="U24" i="51"/>
  <c r="BS23" i="51"/>
  <c r="AM23" i="51"/>
  <c r="G23" i="51"/>
  <c r="BE22" i="51"/>
  <c r="Y22" i="51"/>
  <c r="BW20" i="51"/>
  <c r="AQ20" i="51"/>
  <c r="K20" i="51"/>
  <c r="BI19" i="51"/>
  <c r="AC19" i="51"/>
  <c r="CA18" i="51"/>
  <c r="AU18" i="51"/>
  <c r="O18" i="51"/>
  <c r="BM17" i="51"/>
  <c r="AG17" i="51"/>
  <c r="CE15" i="51"/>
  <c r="AY15" i="51"/>
  <c r="S15" i="51"/>
  <c r="BQ14" i="51"/>
  <c r="AK14" i="51"/>
  <c r="C14" i="51"/>
  <c r="BE43" i="50"/>
  <c r="Y43" i="50"/>
  <c r="BW41" i="50"/>
  <c r="AQ41" i="50"/>
  <c r="K41" i="50"/>
  <c r="BI40" i="50"/>
  <c r="BI7" i="50" s="1"/>
  <c r="AC40" i="50"/>
  <c r="AC7" i="50" s="1"/>
  <c r="CA38" i="50"/>
  <c r="AU38" i="50"/>
  <c r="O38" i="50"/>
  <c r="BM37" i="50"/>
  <c r="AG37" i="50"/>
  <c r="CE36" i="50"/>
  <c r="AY36" i="50"/>
  <c r="S36" i="50"/>
  <c r="BQ35" i="50"/>
  <c r="AK35" i="50"/>
  <c r="C35" i="50"/>
  <c r="BC34" i="50"/>
  <c r="W34" i="50"/>
  <c r="BU33" i="50"/>
  <c r="AO33" i="50"/>
  <c r="I33" i="50"/>
  <c r="BG32" i="50"/>
  <c r="AA32" i="50"/>
  <c r="BY30" i="50"/>
  <c r="AS30" i="50"/>
  <c r="M30" i="50"/>
  <c r="BK29" i="50"/>
  <c r="AE29" i="50"/>
  <c r="CC27" i="50"/>
  <c r="AW27" i="50"/>
  <c r="Q27" i="50"/>
  <c r="BO26" i="50"/>
  <c r="AI26" i="50"/>
  <c r="CG24" i="50"/>
  <c r="BA24" i="50"/>
  <c r="U24" i="50"/>
  <c r="BS23" i="50"/>
  <c r="AM23" i="50"/>
  <c r="G23" i="50"/>
  <c r="BE22" i="50"/>
  <c r="Y22" i="50"/>
  <c r="BW20" i="50"/>
  <c r="AQ20" i="50"/>
  <c r="K20" i="50"/>
  <c r="BI19" i="50"/>
  <c r="AC19" i="50"/>
  <c r="CA18" i="50"/>
  <c r="AU18" i="50"/>
  <c r="O18" i="50"/>
  <c r="BM17" i="50"/>
  <c r="C36" i="51"/>
  <c r="AO34" i="51"/>
  <c r="BY32" i="51"/>
  <c r="AW30" i="51"/>
  <c r="BO29" i="51"/>
  <c r="CG27" i="51"/>
  <c r="AG27" i="51"/>
  <c r="BS26" i="51"/>
  <c r="AC26" i="51"/>
  <c r="BQ24" i="51"/>
  <c r="AI24" i="51"/>
  <c r="CG23" i="51"/>
  <c r="BA23" i="51"/>
  <c r="U23" i="51"/>
  <c r="BS22" i="51"/>
  <c r="AM22" i="51"/>
  <c r="G22" i="51"/>
  <c r="BE20" i="51"/>
  <c r="O22" i="51"/>
  <c r="AG20" i="51"/>
  <c r="CE19" i="51"/>
  <c r="AY19" i="51"/>
  <c r="S19" i="51"/>
  <c r="BQ18" i="51"/>
  <c r="AK18" i="51"/>
  <c r="C18" i="51"/>
  <c r="BC17" i="51"/>
  <c r="W17" i="51"/>
  <c r="BU15" i="51"/>
  <c r="AO15" i="51"/>
  <c r="I15" i="51"/>
  <c r="BG14" i="51"/>
  <c r="AA14" i="51"/>
  <c r="CA43" i="50"/>
  <c r="AU43" i="50"/>
  <c r="O43" i="50"/>
  <c r="BM41" i="50"/>
  <c r="AG41" i="50"/>
  <c r="CE40" i="50"/>
  <c r="CE7" i="50" s="1"/>
  <c r="AY40" i="50"/>
  <c r="AY7" i="50" s="1"/>
  <c r="S40" i="50"/>
  <c r="S7" i="50" s="1"/>
  <c r="BQ38" i="50"/>
  <c r="AK38" i="50"/>
  <c r="C38" i="50"/>
  <c r="BC37" i="50"/>
  <c r="W37" i="50"/>
  <c r="BU36" i="50"/>
  <c r="AO36" i="50"/>
  <c r="I36" i="50"/>
  <c r="BG35" i="50"/>
  <c r="AA35" i="50"/>
  <c r="BY34" i="50"/>
  <c r="AS34" i="50"/>
  <c r="M34" i="50"/>
  <c r="BK33" i="50"/>
  <c r="AE33" i="50"/>
  <c r="CC32" i="50"/>
  <c r="AW32" i="50"/>
  <c r="Q32" i="50"/>
  <c r="BO30" i="50"/>
  <c r="AI30" i="50"/>
  <c r="CG29" i="50"/>
  <c r="BA29" i="50"/>
  <c r="U29" i="50"/>
  <c r="BS27" i="50"/>
  <c r="AM27" i="50"/>
  <c r="G27" i="50"/>
  <c r="BE26" i="50"/>
  <c r="Y26" i="50"/>
  <c r="BW24" i="50"/>
  <c r="AQ24" i="50"/>
  <c r="K24" i="50"/>
  <c r="BI23" i="50"/>
  <c r="AC23" i="50"/>
  <c r="CA22" i="50"/>
  <c r="AU22" i="50"/>
  <c r="O22" i="50"/>
  <c r="BM20" i="50"/>
  <c r="AG20" i="50"/>
  <c r="CE19" i="50"/>
  <c r="AY19" i="50"/>
  <c r="S19" i="50"/>
  <c r="BQ18" i="50"/>
  <c r="AK18" i="50"/>
  <c r="C18" i="50"/>
  <c r="BC17" i="50"/>
  <c r="BM34" i="51"/>
  <c r="S33" i="51"/>
  <c r="BK30" i="51"/>
  <c r="CC29" i="51"/>
  <c r="Q29" i="51"/>
  <c r="AO27" i="51"/>
  <c r="CA26" i="51"/>
  <c r="AK26" i="51"/>
  <c r="BY24" i="51"/>
  <c r="AO24" i="51"/>
  <c r="I24" i="51"/>
  <c r="BG23" i="51"/>
  <c r="AA23" i="51"/>
  <c r="BY22" i="51"/>
  <c r="AS22" i="51"/>
  <c r="M22" i="51"/>
  <c r="BK20" i="51"/>
  <c r="AE20" i="51"/>
  <c r="CC19" i="51"/>
  <c r="AW19" i="51"/>
  <c r="Q19" i="51"/>
  <c r="BO18" i="51"/>
  <c r="AI18" i="51"/>
  <c r="CG17" i="51"/>
  <c r="BA17" i="51"/>
  <c r="U17" i="51"/>
  <c r="BS15" i="51"/>
  <c r="AM15" i="51"/>
  <c r="G15" i="51"/>
  <c r="BE14" i="51"/>
  <c r="Y14" i="51"/>
  <c r="BY43" i="50"/>
  <c r="AS43" i="50"/>
  <c r="M43" i="50"/>
  <c r="BK41" i="50"/>
  <c r="AE41" i="50"/>
  <c r="CC40" i="50"/>
  <c r="CC7" i="50" s="1"/>
  <c r="AW40" i="50"/>
  <c r="AW7" i="50" s="1"/>
  <c r="Q40" i="50"/>
  <c r="Q7" i="50" s="1"/>
  <c r="BO38" i="50"/>
  <c r="AI38" i="50"/>
  <c r="CG37" i="50"/>
  <c r="BA37" i="50"/>
  <c r="U37" i="50"/>
  <c r="BS36" i="50"/>
  <c r="AM36" i="50"/>
  <c r="G36" i="50"/>
  <c r="BE35" i="50"/>
  <c r="Y35" i="50"/>
  <c r="BW34" i="50"/>
  <c r="AQ34" i="50"/>
  <c r="K34" i="50"/>
  <c r="BI33" i="50"/>
  <c r="AC33" i="50"/>
  <c r="CA32" i="50"/>
  <c r="AU32" i="50"/>
  <c r="O32" i="50"/>
  <c r="BM30" i="50"/>
  <c r="AG30" i="50"/>
  <c r="CE29" i="50"/>
  <c r="AY29" i="50"/>
  <c r="S29" i="50"/>
  <c r="BQ27" i="50"/>
  <c r="AK27" i="50"/>
  <c r="C27" i="50"/>
  <c r="BC26" i="50"/>
  <c r="W26" i="50"/>
  <c r="BU24" i="50"/>
  <c r="AO24" i="50"/>
  <c r="I24" i="50"/>
  <c r="BG23" i="50"/>
  <c r="AA23" i="50"/>
  <c r="BY22" i="50"/>
  <c r="AS22" i="50"/>
  <c r="M22" i="50"/>
  <c r="BK20" i="50"/>
  <c r="AE20" i="50"/>
  <c r="CC19" i="50"/>
  <c r="AW19" i="50"/>
  <c r="Q19" i="50"/>
  <c r="BO18" i="50"/>
  <c r="AI18" i="50"/>
  <c r="CG17" i="50"/>
  <c r="AS17" i="50"/>
  <c r="CE15" i="50"/>
  <c r="AY15" i="50"/>
  <c r="S15" i="50"/>
  <c r="BQ14" i="50"/>
  <c r="AK14" i="50"/>
  <c r="C14" i="50"/>
  <c r="BE43" i="49"/>
  <c r="Y43" i="49"/>
  <c r="BW41" i="49"/>
  <c r="AQ41" i="49"/>
  <c r="K41" i="49"/>
  <c r="BI40" i="49"/>
  <c r="BI7" i="49" s="1"/>
  <c r="AC40" i="49"/>
  <c r="AC7" i="49" s="1"/>
  <c r="CA38" i="49"/>
  <c r="AU38" i="49"/>
  <c r="O38" i="49"/>
  <c r="BM37" i="49"/>
  <c r="AG37" i="49"/>
  <c r="CE36" i="49"/>
  <c r="AY36" i="49"/>
  <c r="S36" i="49"/>
  <c r="BQ35" i="49"/>
  <c r="AK35" i="49"/>
  <c r="C35" i="49"/>
  <c r="BC34" i="49"/>
  <c r="W34" i="49"/>
  <c r="BU33" i="49"/>
  <c r="AO33" i="49"/>
  <c r="I33" i="49"/>
  <c r="BG32" i="49"/>
  <c r="AA32" i="49"/>
  <c r="BY30" i="49"/>
  <c r="AS30" i="49"/>
  <c r="M30" i="49"/>
  <c r="BK29" i="49"/>
  <c r="AE29" i="49"/>
  <c r="CC27" i="49"/>
  <c r="AW27" i="49"/>
  <c r="Q27" i="49"/>
  <c r="BO26" i="49"/>
  <c r="AI26" i="49"/>
  <c r="CG24" i="49"/>
  <c r="BA24" i="49"/>
  <c r="U24" i="49"/>
  <c r="BS23" i="49"/>
  <c r="AM23" i="49"/>
  <c r="G23" i="49"/>
  <c r="BE22" i="49"/>
  <c r="Y22" i="49"/>
  <c r="BW20" i="49"/>
  <c r="AQ20" i="49"/>
  <c r="K20" i="49"/>
  <c r="BI19" i="49"/>
  <c r="AC19" i="49"/>
  <c r="CA18" i="49"/>
  <c r="AU18" i="49"/>
  <c r="O18" i="49"/>
  <c r="BM17" i="49"/>
  <c r="AG17" i="49"/>
  <c r="CE15" i="49"/>
  <c r="AY15" i="49"/>
  <c r="S15" i="49"/>
  <c r="BQ14" i="49"/>
  <c r="AK14" i="49"/>
  <c r="C14" i="49"/>
  <c r="BE43" i="48"/>
  <c r="Y43" i="48"/>
  <c r="BW41" i="48"/>
  <c r="AQ41" i="48"/>
  <c r="K41" i="48"/>
  <c r="BI40" i="48"/>
  <c r="BI7" i="48" s="1"/>
  <c r="AC40" i="48"/>
  <c r="AC7" i="48" s="1"/>
  <c r="CA38" i="48"/>
  <c r="AU38" i="48"/>
  <c r="O38" i="48"/>
  <c r="BM37" i="48"/>
  <c r="AG37" i="48"/>
  <c r="CE36" i="48"/>
  <c r="AY36" i="48"/>
  <c r="S36" i="48"/>
  <c r="Q17" i="50"/>
  <c r="BM15" i="50"/>
  <c r="AG15" i="50"/>
  <c r="CE14" i="50"/>
  <c r="AY14" i="50"/>
  <c r="S14" i="50"/>
  <c r="BS43" i="49"/>
  <c r="AM43" i="49"/>
  <c r="G43" i="49"/>
  <c r="BE41" i="49"/>
  <c r="Y41" i="49"/>
  <c r="BW40" i="49"/>
  <c r="BW7" i="49" s="1"/>
  <c r="AQ40" i="49"/>
  <c r="AQ7" i="49" s="1"/>
  <c r="K40" i="49"/>
  <c r="K7" i="49" s="1"/>
  <c r="BI38" i="49"/>
  <c r="AC38" i="49"/>
  <c r="CA37" i="49"/>
  <c r="AU37" i="49"/>
  <c r="O37" i="49"/>
  <c r="BM36" i="49"/>
  <c r="AG36" i="49"/>
  <c r="CE35" i="49"/>
  <c r="AY35" i="49"/>
  <c r="S35" i="49"/>
  <c r="BQ34" i="49"/>
  <c r="AK34" i="49"/>
  <c r="C34" i="49"/>
  <c r="BC33" i="49"/>
  <c r="W33" i="49"/>
  <c r="BU32" i="49"/>
  <c r="AO32" i="49"/>
  <c r="I32" i="49"/>
  <c r="BG30" i="49"/>
  <c r="AA30" i="49"/>
  <c r="BY29" i="49"/>
  <c r="AS29" i="49"/>
  <c r="M29" i="49"/>
  <c r="BK27" i="49"/>
  <c r="AE27" i="49"/>
  <c r="CC26" i="49"/>
  <c r="AW26" i="49"/>
  <c r="Q26" i="49"/>
  <c r="BO24" i="49"/>
  <c r="AI24" i="49"/>
  <c r="CG23" i="49"/>
  <c r="BA23" i="49"/>
  <c r="U23" i="49"/>
  <c r="BS22" i="49"/>
  <c r="AM22" i="49"/>
  <c r="G22" i="49"/>
  <c r="BE20" i="49"/>
  <c r="Y20" i="49"/>
  <c r="BW19" i="49"/>
  <c r="AQ19" i="49"/>
  <c r="K19" i="49"/>
  <c r="BI18" i="49"/>
  <c r="AC18" i="49"/>
  <c r="CA17" i="49"/>
  <c r="AU17" i="49"/>
  <c r="O17" i="49"/>
  <c r="BM15" i="49"/>
  <c r="AG15" i="49"/>
  <c r="CE14" i="49"/>
  <c r="AY14" i="49"/>
  <c r="S14" i="49"/>
  <c r="BS43" i="48"/>
  <c r="AM43" i="48"/>
  <c r="G43" i="48"/>
  <c r="BE41" i="48"/>
  <c r="Y41" i="48"/>
  <c r="BW40" i="48"/>
  <c r="BW7" i="48" s="1"/>
  <c r="AQ40" i="48"/>
  <c r="AQ7" i="48" s="1"/>
  <c r="K40" i="48"/>
  <c r="K7" i="48" s="1"/>
  <c r="BI38" i="48"/>
  <c r="AC38" i="48"/>
  <c r="CA37" i="48"/>
  <c r="AU37" i="48"/>
  <c r="O37" i="48"/>
  <c r="BM36" i="48"/>
  <c r="AG36" i="48"/>
  <c r="BA17" i="50"/>
  <c r="C17" i="50"/>
  <c r="BC15" i="50"/>
  <c r="W15" i="50"/>
  <c r="BU14" i="50"/>
  <c r="AO14" i="50"/>
  <c r="I14" i="50"/>
  <c r="BI43" i="49"/>
  <c r="AC43" i="49"/>
  <c r="CA41" i="49"/>
  <c r="AU41" i="49"/>
  <c r="O41" i="49"/>
  <c r="BM40" i="49"/>
  <c r="BM7" i="49" s="1"/>
  <c r="AG40" i="49"/>
  <c r="AG7" i="49" s="1"/>
  <c r="CE38" i="49"/>
  <c r="AY38" i="49"/>
  <c r="S38" i="49"/>
  <c r="BQ37" i="49"/>
  <c r="AK37" i="49"/>
  <c r="C37" i="49"/>
  <c r="BC36" i="49"/>
  <c r="W36" i="49"/>
  <c r="BU35" i="49"/>
  <c r="AO35" i="49"/>
  <c r="I35" i="49"/>
  <c r="BG34" i="49"/>
  <c r="AA34" i="49"/>
  <c r="BY33" i="49"/>
  <c r="AS33" i="49"/>
  <c r="BU20" i="51"/>
  <c r="Y20" i="51"/>
  <c r="BW19" i="51"/>
  <c r="AQ19" i="51"/>
  <c r="K19" i="51"/>
  <c r="BI18" i="51"/>
  <c r="AC18" i="51"/>
  <c r="CA17" i="51"/>
  <c r="AU17" i="51"/>
  <c r="O17" i="51"/>
  <c r="BM15" i="51"/>
  <c r="AG15" i="51"/>
  <c r="CE14" i="51"/>
  <c r="AY14" i="51"/>
  <c r="S14" i="51"/>
  <c r="BS43" i="50"/>
  <c r="AM43" i="50"/>
  <c r="G43" i="50"/>
  <c r="BE41" i="50"/>
  <c r="Y41" i="50"/>
  <c r="BW40" i="50"/>
  <c r="BW7" i="50" s="1"/>
  <c r="AQ40" i="50"/>
  <c r="AQ7" i="50" s="1"/>
  <c r="K40" i="50"/>
  <c r="K7" i="50" s="1"/>
  <c r="BI38" i="50"/>
  <c r="AC38" i="50"/>
  <c r="CA37" i="50"/>
  <c r="AU37" i="50"/>
  <c r="O37" i="50"/>
  <c r="BM36" i="50"/>
  <c r="AG36" i="50"/>
  <c r="CE35" i="50"/>
  <c r="AY35" i="50"/>
  <c r="S35" i="50"/>
  <c r="BQ34" i="50"/>
  <c r="AK34" i="50"/>
  <c r="C34" i="50"/>
  <c r="BC33" i="50"/>
  <c r="W33" i="50"/>
  <c r="BU32" i="50"/>
  <c r="AO32" i="50"/>
  <c r="I32" i="50"/>
  <c r="BG30" i="50"/>
  <c r="AA30" i="50"/>
  <c r="BY29" i="50"/>
  <c r="AS29" i="50"/>
  <c r="M29" i="50"/>
  <c r="BK27" i="50"/>
  <c r="AE27" i="50"/>
  <c r="CC26" i="50"/>
  <c r="AW26" i="50"/>
  <c r="Q26" i="50"/>
  <c r="BO24" i="50"/>
  <c r="AI24" i="50"/>
  <c r="CG23" i="50"/>
  <c r="BA23" i="50"/>
  <c r="U23" i="50"/>
  <c r="BS22" i="50"/>
  <c r="AM22" i="50"/>
  <c r="G22" i="50"/>
  <c r="BE20" i="50"/>
  <c r="Y20" i="50"/>
  <c r="BW19" i="50"/>
  <c r="AQ19" i="50"/>
  <c r="K19" i="50"/>
  <c r="BI18" i="50"/>
  <c r="AC18" i="50"/>
  <c r="CA17" i="50"/>
  <c r="CA35" i="51"/>
  <c r="AG34" i="51"/>
  <c r="BQ32" i="51"/>
  <c r="AU30" i="51"/>
  <c r="BM29" i="51"/>
  <c r="CE27" i="51"/>
  <c r="AC27" i="51"/>
  <c r="BQ26" i="51"/>
  <c r="AA26" i="51"/>
  <c r="BM24" i="51"/>
  <c r="AG24" i="51"/>
  <c r="CE23" i="51"/>
  <c r="AY23" i="51"/>
  <c r="S23" i="51"/>
  <c r="BQ22" i="51"/>
  <c r="AK22" i="51"/>
  <c r="C22" i="51"/>
  <c r="BC20" i="51"/>
  <c r="W20" i="51"/>
  <c r="BU19" i="51"/>
  <c r="AO19" i="51"/>
  <c r="I19" i="51"/>
  <c r="BG18" i="51"/>
  <c r="AA18" i="51"/>
  <c r="BY17" i="51"/>
  <c r="AS17" i="51"/>
  <c r="M17" i="51"/>
  <c r="BK15" i="51"/>
  <c r="AE15" i="51"/>
  <c r="CC14" i="51"/>
  <c r="AW14" i="51"/>
  <c r="Q14" i="51"/>
  <c r="BQ43" i="50"/>
  <c r="AK43" i="50"/>
  <c r="C43" i="50"/>
  <c r="BC41" i="50"/>
  <c r="W41" i="50"/>
  <c r="BU40" i="50"/>
  <c r="BU7" i="50" s="1"/>
  <c r="AO40" i="50"/>
  <c r="AO7" i="50" s="1"/>
  <c r="I40" i="50"/>
  <c r="I7" i="50" s="1"/>
  <c r="BG38" i="50"/>
  <c r="AA38" i="50"/>
  <c r="BY37" i="50"/>
  <c r="AS37" i="50"/>
  <c r="M37" i="50"/>
  <c r="BK36" i="50"/>
  <c r="AE36" i="50"/>
  <c r="CC35" i="50"/>
  <c r="AW35" i="50"/>
  <c r="Q35" i="50"/>
  <c r="BO34" i="50"/>
  <c r="AI34" i="50"/>
  <c r="CG33" i="50"/>
  <c r="BA33" i="50"/>
  <c r="U33" i="50"/>
  <c r="BS32" i="50"/>
  <c r="AM32" i="50"/>
  <c r="G32" i="50"/>
  <c r="BE30" i="50"/>
  <c r="Y30" i="50"/>
  <c r="BW29" i="50"/>
  <c r="AQ29" i="50"/>
  <c r="K29" i="50"/>
  <c r="BI27" i="50"/>
  <c r="AC27" i="50"/>
  <c r="CA26" i="50"/>
  <c r="AU26" i="50"/>
  <c r="O26" i="50"/>
  <c r="BM24" i="50"/>
  <c r="AG24" i="50"/>
  <c r="CE23" i="50"/>
  <c r="AY23" i="50"/>
  <c r="S23" i="50"/>
  <c r="BQ22" i="50"/>
  <c r="AK22" i="50"/>
  <c r="C22" i="50"/>
  <c r="BC20" i="50"/>
  <c r="W20" i="50"/>
  <c r="BU19" i="50"/>
  <c r="AO19" i="50"/>
  <c r="I19" i="50"/>
  <c r="BG18" i="50"/>
  <c r="AA18" i="50"/>
  <c r="BY17" i="50"/>
  <c r="AE17" i="50"/>
  <c r="BW15" i="50"/>
  <c r="AQ15" i="50"/>
  <c r="K15" i="50"/>
  <c r="BI14" i="50"/>
  <c r="AC14" i="50"/>
  <c r="CC43" i="49"/>
  <c r="AW43" i="49"/>
  <c r="Q43" i="49"/>
  <c r="BO41" i="49"/>
  <c r="AI41" i="49"/>
  <c r="CG40" i="49"/>
  <c r="CG7" i="49" s="1"/>
  <c r="BA40" i="49"/>
  <c r="BA7" i="49" s="1"/>
  <c r="U40" i="49"/>
  <c r="U7" i="49" s="1"/>
  <c r="BS38" i="49"/>
  <c r="AM38" i="49"/>
  <c r="G38" i="49"/>
  <c r="BE37" i="49"/>
  <c r="Y37" i="49"/>
  <c r="BW36" i="49"/>
  <c r="AQ36" i="49"/>
  <c r="K36" i="49"/>
  <c r="BI35" i="49"/>
  <c r="AC35" i="49"/>
  <c r="CA34" i="49"/>
  <c r="AU34" i="49"/>
  <c r="O34" i="49"/>
  <c r="BM33" i="49"/>
  <c r="AG33" i="49"/>
  <c r="CE32" i="49"/>
  <c r="AY32" i="49"/>
  <c r="S32" i="49"/>
  <c r="BQ30" i="49"/>
  <c r="AK30" i="49"/>
  <c r="C30" i="49"/>
  <c r="BC29" i="49"/>
  <c r="W29" i="49"/>
  <c r="BU27" i="49"/>
  <c r="AO27" i="49"/>
  <c r="I27" i="49"/>
  <c r="BG26" i="49"/>
  <c r="AA26" i="49"/>
  <c r="BY24" i="49"/>
  <c r="AS24" i="49"/>
  <c r="M24" i="49"/>
  <c r="BK23" i="49"/>
  <c r="AE23" i="49"/>
  <c r="CC22" i="49"/>
  <c r="AW22" i="49"/>
  <c r="Q22" i="49"/>
  <c r="BO20" i="49"/>
  <c r="AI20" i="49"/>
  <c r="CG19" i="49"/>
  <c r="BA19" i="49"/>
  <c r="U19" i="49"/>
  <c r="BS18" i="49"/>
  <c r="AM18" i="49"/>
  <c r="G18" i="49"/>
  <c r="BE17" i="49"/>
  <c r="Y17" i="49"/>
  <c r="BW15" i="49"/>
  <c r="AQ15" i="49"/>
  <c r="K15" i="49"/>
  <c r="BI14" i="49"/>
  <c r="AC14" i="49"/>
  <c r="CC43" i="48"/>
  <c r="AW43" i="48"/>
  <c r="Q43" i="48"/>
  <c r="BO41" i="48"/>
  <c r="AI41" i="48"/>
  <c r="CG40" i="48"/>
  <c r="CG7" i="48" s="1"/>
  <c r="BA40" i="48"/>
  <c r="BA7" i="48" s="1"/>
  <c r="U40" i="48"/>
  <c r="U7" i="48" s="1"/>
  <c r="BS38" i="48"/>
  <c r="AM38" i="48"/>
  <c r="G38" i="48"/>
  <c r="BE37" i="48"/>
  <c r="Y37" i="48"/>
  <c r="BW36" i="48"/>
  <c r="AQ36" i="48"/>
  <c r="K36" i="48"/>
  <c r="G17" i="50"/>
  <c r="BE15" i="50"/>
  <c r="Y15" i="50"/>
  <c r="BW14" i="50"/>
  <c r="AQ14" i="50"/>
  <c r="K14" i="50"/>
  <c r="BK43" i="49"/>
  <c r="AE43" i="49"/>
  <c r="CC41" i="49"/>
  <c r="AW41" i="49"/>
  <c r="Q41" i="49"/>
  <c r="BO40" i="49"/>
  <c r="BO7" i="49" s="1"/>
  <c r="AI40" i="49"/>
  <c r="AI7" i="49" s="1"/>
  <c r="CG38" i="49"/>
  <c r="BA38" i="49"/>
  <c r="U38" i="49"/>
  <c r="BS37" i="49"/>
  <c r="AM37" i="49"/>
  <c r="G37" i="49"/>
  <c r="BE36" i="49"/>
  <c r="Y36" i="49"/>
  <c r="BW35" i="49"/>
  <c r="AQ35" i="49"/>
  <c r="K35" i="49"/>
  <c r="BI34" i="49"/>
  <c r="AC34" i="49"/>
  <c r="CA33" i="49"/>
  <c r="AU33" i="49"/>
  <c r="O33" i="49"/>
  <c r="BM32" i="49"/>
  <c r="AG32" i="49"/>
  <c r="CE30" i="49"/>
  <c r="AY30" i="49"/>
  <c r="S30" i="49"/>
  <c r="BQ29" i="49"/>
  <c r="AK29" i="49"/>
  <c r="C29" i="49"/>
  <c r="BC27" i="49"/>
  <c r="W27" i="49"/>
  <c r="BU26" i="49"/>
  <c r="AO26" i="49"/>
  <c r="I26" i="49"/>
  <c r="BG24" i="49"/>
  <c r="AA24" i="49"/>
  <c r="BY23" i="49"/>
  <c r="AS23" i="49"/>
  <c r="M23" i="49"/>
  <c r="BK22" i="49"/>
  <c r="AE22" i="49"/>
  <c r="CC20" i="49"/>
  <c r="AW20" i="49"/>
  <c r="Q20" i="49"/>
  <c r="BO19" i="49"/>
  <c r="AI19" i="49"/>
  <c r="CG18" i="49"/>
  <c r="BA18" i="49"/>
  <c r="U18" i="49"/>
  <c r="BS17" i="49"/>
  <c r="AM17" i="49"/>
  <c r="G17" i="49"/>
  <c r="BE15" i="49"/>
  <c r="Y15" i="49"/>
  <c r="BW14" i="49"/>
  <c r="AQ14" i="49"/>
  <c r="K14" i="49"/>
  <c r="BK43" i="48"/>
  <c r="AE43" i="48"/>
  <c r="CC41" i="48"/>
  <c r="AW41" i="48"/>
  <c r="Q41" i="48"/>
  <c r="BO40" i="48"/>
  <c r="BO7" i="48" s="1"/>
  <c r="AI40" i="48"/>
  <c r="AI7" i="48" s="1"/>
  <c r="CG38" i="48"/>
  <c r="BA38" i="48"/>
  <c r="U38" i="48"/>
  <c r="BS37" i="48"/>
  <c r="AM37" i="48"/>
  <c r="G37" i="48"/>
  <c r="BE36" i="48"/>
  <c r="Y36" i="48"/>
  <c r="AK17" i="50"/>
  <c r="CA15" i="50"/>
  <c r="AU15" i="50"/>
  <c r="O15" i="50"/>
  <c r="BM14" i="50"/>
  <c r="AG14" i="50"/>
  <c r="CG43" i="49"/>
  <c r="BA43" i="49"/>
  <c r="U43" i="49"/>
  <c r="BS41" i="49"/>
  <c r="AM41" i="49"/>
  <c r="G41" i="49"/>
  <c r="BE40" i="49"/>
  <c r="BE7" i="49" s="1"/>
  <c r="Y40" i="49"/>
  <c r="Y7" i="49" s="1"/>
  <c r="BW38" i="49"/>
  <c r="AQ38" i="49"/>
  <c r="K38" i="49"/>
  <c r="BI37" i="49"/>
  <c r="AC37" i="49"/>
  <c r="CA36" i="49"/>
  <c r="AU36" i="49"/>
  <c r="O36" i="49"/>
  <c r="BM35" i="49"/>
  <c r="AG35" i="49"/>
  <c r="CE34" i="49"/>
  <c r="AY34" i="49"/>
  <c r="S34" i="49"/>
  <c r="BQ33" i="49"/>
  <c r="AK33" i="49"/>
  <c r="BM20" i="51"/>
  <c r="Q20" i="51"/>
  <c r="BO19" i="51"/>
  <c r="AI19" i="51"/>
  <c r="CG18" i="51"/>
  <c r="BA18" i="51"/>
  <c r="U18" i="51"/>
  <c r="BS17" i="51"/>
  <c r="AM17" i="51"/>
  <c r="G17" i="51"/>
  <c r="BE15" i="51"/>
  <c r="Y15" i="51"/>
  <c r="BW14" i="51"/>
  <c r="AQ14" i="51"/>
  <c r="K14" i="51"/>
  <c r="BK43" i="50"/>
  <c r="AE43" i="50"/>
  <c r="CC41" i="50"/>
  <c r="AW41" i="50"/>
  <c r="Q41" i="50"/>
  <c r="BO40" i="50"/>
  <c r="BO7" i="50" s="1"/>
  <c r="AI40" i="50"/>
  <c r="AI7" i="50" s="1"/>
  <c r="CG38" i="50"/>
  <c r="BA38" i="50"/>
  <c r="U38" i="50"/>
  <c r="BS37" i="50"/>
  <c r="AM37" i="50"/>
  <c r="G37" i="50"/>
  <c r="BE36" i="50"/>
  <c r="Y36" i="50"/>
  <c r="BW35" i="50"/>
  <c r="AQ35" i="50"/>
  <c r="K35" i="50"/>
  <c r="BI34" i="50"/>
  <c r="AC34" i="50"/>
  <c r="CA33" i="50"/>
  <c r="AU33" i="50"/>
  <c r="O33" i="50"/>
  <c r="BM32" i="50"/>
  <c r="AG32" i="50"/>
  <c r="CE30" i="50"/>
  <c r="AY30" i="50"/>
  <c r="S30" i="50"/>
  <c r="BQ29" i="50"/>
  <c r="AK29" i="50"/>
  <c r="C29" i="50"/>
  <c r="BC27" i="50"/>
  <c r="W27" i="50"/>
  <c r="BU26" i="50"/>
  <c r="AO26" i="50"/>
  <c r="I26" i="50"/>
  <c r="BG24" i="50"/>
  <c r="AA24" i="50"/>
  <c r="BY23" i="50"/>
  <c r="AS23" i="50"/>
  <c r="M23" i="50"/>
  <c r="BK22" i="50"/>
  <c r="AE22" i="50"/>
  <c r="CC20" i="50"/>
  <c r="AW20" i="50"/>
  <c r="Q20" i="50"/>
  <c r="BO19" i="50"/>
  <c r="AI19" i="50"/>
  <c r="CG18" i="50"/>
  <c r="BA18" i="50"/>
  <c r="U18" i="50"/>
  <c r="BS17" i="50"/>
  <c r="AU35" i="51"/>
  <c r="CE33" i="51"/>
  <c r="AK32" i="51"/>
  <c r="AE30" i="51"/>
  <c r="AW29" i="51"/>
  <c r="BO27" i="51"/>
  <c r="S27" i="51"/>
  <c r="BG26" i="51"/>
  <c r="O26" i="51"/>
  <c r="BE24" i="51"/>
  <c r="Y24" i="51"/>
  <c r="BW23" i="51"/>
  <c r="AQ23" i="51"/>
  <c r="K23" i="51"/>
  <c r="BI22" i="51"/>
  <c r="AC22" i="51"/>
  <c r="CA20" i="51"/>
  <c r="AU20" i="51"/>
  <c r="O20" i="51"/>
  <c r="BM19" i="51"/>
  <c r="AG19" i="51"/>
  <c r="CE18" i="51"/>
  <c r="AY18" i="51"/>
  <c r="S18" i="51"/>
  <c r="BQ17" i="51"/>
  <c r="AK17" i="51"/>
  <c r="C17" i="51"/>
  <c r="BC15" i="51"/>
  <c r="W15" i="51"/>
  <c r="BU14" i="51"/>
  <c r="AO14" i="51"/>
  <c r="I14" i="51"/>
  <c r="BI43" i="50"/>
  <c r="AC43" i="50"/>
  <c r="CA41" i="50"/>
  <c r="AU41" i="50"/>
  <c r="O41" i="50"/>
  <c r="BM40" i="50"/>
  <c r="BM7" i="50" s="1"/>
  <c r="AG40" i="50"/>
  <c r="AG7" i="50" s="1"/>
  <c r="CE38" i="50"/>
  <c r="AY38" i="50"/>
  <c r="S38" i="50"/>
  <c r="BQ37" i="50"/>
  <c r="AK37" i="50"/>
  <c r="C37" i="50"/>
  <c r="BC36" i="50"/>
  <c r="W36" i="50"/>
  <c r="BU35" i="50"/>
  <c r="AO35" i="50"/>
  <c r="I35" i="50"/>
  <c r="BG34" i="50"/>
  <c r="AA34" i="50"/>
  <c r="BY33" i="50"/>
  <c r="AS33" i="50"/>
  <c r="M33" i="50"/>
  <c r="BK32" i="50"/>
  <c r="AE32" i="50"/>
  <c r="CC30" i="50"/>
  <c r="AW30" i="50"/>
  <c r="Q30" i="50"/>
  <c r="BO29" i="50"/>
  <c r="AI29" i="50"/>
  <c r="CG27" i="50"/>
  <c r="BA27" i="50"/>
  <c r="U27" i="50"/>
  <c r="BS26" i="50"/>
  <c r="AM26" i="50"/>
  <c r="G26" i="50"/>
  <c r="BE24" i="50"/>
  <c r="Y24" i="50"/>
  <c r="BW23" i="50"/>
  <c r="AQ23" i="50"/>
  <c r="K23" i="50"/>
  <c r="BI22" i="50"/>
  <c r="AC22" i="50"/>
  <c r="CA20" i="50"/>
  <c r="AU20" i="50"/>
  <c r="O20" i="50"/>
  <c r="BM19" i="50"/>
  <c r="AG19" i="50"/>
  <c r="CE18" i="50"/>
  <c r="AY18" i="50"/>
  <c r="S18" i="50"/>
  <c r="BQ17" i="50"/>
  <c r="U17" i="50"/>
  <c r="BO15" i="50"/>
  <c r="AI15" i="50"/>
  <c r="CG14" i="50"/>
  <c r="BA14" i="50"/>
  <c r="U14" i="50"/>
  <c r="BU43" i="49"/>
  <c r="AO43" i="49"/>
  <c r="I43" i="49"/>
  <c r="BG41" i="49"/>
  <c r="AA41" i="49"/>
  <c r="BY40" i="49"/>
  <c r="BY7" i="49" s="1"/>
  <c r="AS40" i="49"/>
  <c r="AS7" i="49" s="1"/>
  <c r="M40" i="49"/>
  <c r="M7" i="49" s="1"/>
  <c r="BK38" i="49"/>
  <c r="AE38" i="49"/>
  <c r="CC37" i="49"/>
  <c r="AW37" i="49"/>
  <c r="Q37" i="49"/>
  <c r="BO36" i="49"/>
  <c r="AI36" i="49"/>
  <c r="CG35" i="49"/>
  <c r="BA35" i="49"/>
  <c r="U35" i="49"/>
  <c r="BS34" i="49"/>
  <c r="AM34" i="49"/>
  <c r="G34" i="49"/>
  <c r="BE33" i="49"/>
  <c r="Y33" i="49"/>
  <c r="BW32" i="49"/>
  <c r="AQ32" i="49"/>
  <c r="K32" i="49"/>
  <c r="BI30" i="49"/>
  <c r="AC30" i="49"/>
  <c r="CA29" i="49"/>
  <c r="AU29" i="49"/>
  <c r="O29" i="49"/>
  <c r="BM27" i="49"/>
  <c r="AG27" i="49"/>
  <c r="CE26" i="49"/>
  <c r="AY26" i="49"/>
  <c r="S26" i="49"/>
  <c r="BQ24" i="49"/>
  <c r="AK24" i="49"/>
  <c r="C24" i="49"/>
  <c r="BC23" i="49"/>
  <c r="W23" i="49"/>
  <c r="BU22" i="49"/>
  <c r="AO22" i="49"/>
  <c r="I22" i="49"/>
  <c r="BG20" i="49"/>
  <c r="AA20" i="49"/>
  <c r="BY19" i="49"/>
  <c r="AS19" i="49"/>
  <c r="M19" i="49"/>
  <c r="BK18" i="49"/>
  <c r="AE18" i="49"/>
  <c r="CC17" i="49"/>
  <c r="AW17" i="49"/>
  <c r="Q17" i="49"/>
  <c r="BO15" i="49"/>
  <c r="AI15" i="49"/>
  <c r="CG14" i="49"/>
  <c r="BA14" i="49"/>
  <c r="U14" i="49"/>
  <c r="BU43" i="48"/>
  <c r="AO43" i="48"/>
  <c r="I43" i="48"/>
  <c r="BG41" i="48"/>
  <c r="AA41" i="48"/>
  <c r="BY40" i="48"/>
  <c r="BY7" i="48" s="1"/>
  <c r="AS40" i="48"/>
  <c r="AS7" i="48" s="1"/>
  <c r="M40" i="48"/>
  <c r="M7" i="48" s="1"/>
  <c r="BK38" i="48"/>
  <c r="AE38" i="48"/>
  <c r="CC37" i="48"/>
  <c r="AW37" i="48"/>
  <c r="Q37" i="48"/>
  <c r="BO36" i="48"/>
  <c r="AI36" i="48"/>
  <c r="AM17" i="50"/>
  <c r="CC15" i="50"/>
  <c r="AW15" i="50"/>
  <c r="Q15" i="50"/>
  <c r="BO14" i="50"/>
  <c r="AI14" i="50"/>
  <c r="C44" i="49"/>
  <c r="BC43" i="49"/>
  <c r="W43" i="49"/>
  <c r="BU41" i="49"/>
  <c r="AO41" i="49"/>
  <c r="I41" i="49"/>
  <c r="BG40" i="49"/>
  <c r="BG7" i="49" s="1"/>
  <c r="AA40" i="49"/>
  <c r="AA7" i="49" s="1"/>
  <c r="BY38" i="49"/>
  <c r="AS38" i="49"/>
  <c r="M38" i="49"/>
  <c r="BK37" i="49"/>
  <c r="AE37" i="49"/>
  <c r="CC36" i="49"/>
  <c r="AW36" i="49"/>
  <c r="Q36" i="49"/>
  <c r="BO35" i="49"/>
  <c r="AI35" i="49"/>
  <c r="CG34" i="49"/>
  <c r="BA34" i="49"/>
  <c r="U34" i="49"/>
  <c r="BS33" i="49"/>
  <c r="AM33" i="49"/>
  <c r="G33" i="49"/>
  <c r="BE32" i="49"/>
  <c r="Y32" i="49"/>
  <c r="BW30" i="49"/>
  <c r="AQ30" i="49"/>
  <c r="K30" i="49"/>
  <c r="BI29" i="49"/>
  <c r="AC29" i="49"/>
  <c r="CA27" i="49"/>
  <c r="AU27" i="49"/>
  <c r="O27" i="49"/>
  <c r="BM26" i="49"/>
  <c r="AG26" i="49"/>
  <c r="CE24" i="49"/>
  <c r="AY24" i="49"/>
  <c r="S24" i="49"/>
  <c r="BQ23" i="49"/>
  <c r="AK23" i="49"/>
  <c r="C23" i="49"/>
  <c r="BC22" i="49"/>
  <c r="W22" i="49"/>
  <c r="BU20" i="49"/>
  <c r="AO20" i="49"/>
  <c r="I20" i="49"/>
  <c r="BG19" i="49"/>
  <c r="AA19" i="49"/>
  <c r="BY18" i="49"/>
  <c r="AS18" i="49"/>
  <c r="M18" i="49"/>
  <c r="BK17" i="49"/>
  <c r="AE17" i="49"/>
  <c r="CC15" i="49"/>
  <c r="AW15" i="49"/>
  <c r="Q15" i="49"/>
  <c r="BO14" i="49"/>
  <c r="AI14" i="49"/>
  <c r="C44" i="48"/>
  <c r="BC43" i="48"/>
  <c r="W43" i="48"/>
  <c r="BU41" i="48"/>
  <c r="AO41" i="48"/>
  <c r="I41" i="48"/>
  <c r="BG40" i="48"/>
  <c r="BG7" i="48" s="1"/>
  <c r="AA40" i="48"/>
  <c r="AA7" i="48" s="1"/>
  <c r="BY38" i="48"/>
  <c r="AS38" i="48"/>
  <c r="M38" i="48"/>
  <c r="BK37" i="48"/>
  <c r="AE37" i="48"/>
  <c r="CC36" i="48"/>
  <c r="AW36" i="48"/>
  <c r="Q36" i="48"/>
  <c r="Y17" i="50"/>
  <c r="BS15" i="50"/>
  <c r="AM15" i="50"/>
  <c r="G15" i="50"/>
  <c r="BE14" i="50"/>
  <c r="Y14" i="50"/>
  <c r="BY43" i="49"/>
  <c r="AS43" i="49"/>
  <c r="M43" i="49"/>
  <c r="BK41" i="49"/>
  <c r="AE41" i="49"/>
  <c r="CC40" i="49"/>
  <c r="CC7" i="49" s="1"/>
  <c r="AW40" i="49"/>
  <c r="AW7" i="49" s="1"/>
  <c r="Q40" i="49"/>
  <c r="Q7" i="49" s="1"/>
  <c r="BO38" i="49"/>
  <c r="AI38" i="49"/>
  <c r="CG37" i="49"/>
  <c r="BA37" i="49"/>
  <c r="U37" i="49"/>
  <c r="BS36" i="49"/>
  <c r="AM36" i="49"/>
  <c r="G36" i="49"/>
  <c r="BE35" i="49"/>
  <c r="Y35" i="49"/>
  <c r="BW34" i="49"/>
  <c r="AQ34" i="49"/>
  <c r="K34" i="49"/>
  <c r="BI33" i="49"/>
  <c r="AC33" i="49"/>
  <c r="AO20" i="51"/>
  <c r="I20" i="51"/>
  <c r="BG19" i="51"/>
  <c r="AA19" i="51"/>
  <c r="BY18" i="51"/>
  <c r="AS18" i="51"/>
  <c r="M18" i="51"/>
  <c r="BK17" i="51"/>
  <c r="AE17" i="51"/>
  <c r="CC15" i="51"/>
  <c r="AW15" i="51"/>
  <c r="Q15" i="51"/>
  <c r="BO14" i="51"/>
  <c r="AI14" i="51"/>
  <c r="C44" i="50"/>
  <c r="BC43" i="50"/>
  <c r="W43" i="50"/>
  <c r="BU41" i="50"/>
  <c r="AO41" i="50"/>
  <c r="I41" i="50"/>
  <c r="BG40" i="50"/>
  <c r="BG7" i="50" s="1"/>
  <c r="AA40" i="50"/>
  <c r="AA7" i="50" s="1"/>
  <c r="BY38" i="50"/>
  <c r="AS38" i="50"/>
  <c r="M38" i="50"/>
  <c r="BK37" i="50"/>
  <c r="AE37" i="50"/>
  <c r="CC36" i="50"/>
  <c r="AW36" i="50"/>
  <c r="Q36" i="50"/>
  <c r="BO35" i="50"/>
  <c r="AI35" i="50"/>
  <c r="CG34" i="50"/>
  <c r="BA34" i="50"/>
  <c r="U34" i="50"/>
  <c r="BS33" i="50"/>
  <c r="AM33" i="50"/>
  <c r="G33" i="50"/>
  <c r="BE32" i="50"/>
  <c r="Y32" i="50"/>
  <c r="BW30" i="50"/>
  <c r="AQ30" i="50"/>
  <c r="K30" i="50"/>
  <c r="BI29" i="50"/>
  <c r="AC29" i="50"/>
  <c r="CA27" i="50"/>
  <c r="AU27" i="50"/>
  <c r="O27" i="50"/>
  <c r="BM26" i="50"/>
  <c r="AG26" i="50"/>
  <c r="CE24" i="50"/>
  <c r="AY24" i="50"/>
  <c r="S24" i="50"/>
  <c r="BQ23" i="50"/>
  <c r="AK23" i="50"/>
  <c r="C23" i="50"/>
  <c r="BC22" i="50"/>
  <c r="W22" i="50"/>
  <c r="BU20" i="50"/>
  <c r="AO20" i="50"/>
  <c r="I20" i="50"/>
  <c r="BG19" i="50"/>
  <c r="AA19" i="50"/>
  <c r="BY18" i="50"/>
  <c r="AS18" i="50"/>
  <c r="M18" i="50"/>
  <c r="BK17" i="50"/>
  <c r="O35" i="51"/>
  <c r="AY33" i="51"/>
  <c r="C32" i="51"/>
  <c r="O30" i="51"/>
  <c r="AG29" i="51"/>
  <c r="AY27" i="51"/>
  <c r="I27" i="51"/>
  <c r="AU26" i="51"/>
  <c r="C26" i="51"/>
  <c r="AW24" i="51"/>
  <c r="Q24" i="51"/>
  <c r="BO23" i="51"/>
  <c r="AI23" i="51"/>
  <c r="CG22" i="51"/>
  <c r="BA22" i="51"/>
  <c r="U22" i="51"/>
  <c r="BS20" i="51"/>
  <c r="AM20" i="51"/>
  <c r="G20" i="51"/>
  <c r="BE19" i="51"/>
  <c r="Y19" i="51"/>
  <c r="BW18" i="51"/>
  <c r="AQ18" i="51"/>
  <c r="K18" i="51"/>
  <c r="BI17" i="51"/>
  <c r="AC17" i="51"/>
  <c r="CA15" i="51"/>
  <c r="AU15" i="51"/>
  <c r="O15" i="51"/>
  <c r="BM14" i="51"/>
  <c r="AG14" i="51"/>
  <c r="CG43" i="50"/>
  <c r="BA43" i="50"/>
  <c r="U43" i="50"/>
  <c r="BS41" i="50"/>
  <c r="AM41" i="50"/>
  <c r="G41" i="50"/>
  <c r="BE40" i="50"/>
  <c r="BE7" i="50" s="1"/>
  <c r="Y40" i="50"/>
  <c r="Y7" i="50" s="1"/>
  <c r="BW38" i="50"/>
  <c r="AQ38" i="50"/>
  <c r="K38" i="50"/>
  <c r="BI37" i="50"/>
  <c r="AC37" i="50"/>
  <c r="CA36" i="50"/>
  <c r="AU36" i="50"/>
  <c r="O36" i="50"/>
  <c r="BM35" i="50"/>
  <c r="AG35" i="50"/>
  <c r="CE34" i="50"/>
  <c r="AY34" i="50"/>
  <c r="S34" i="50"/>
  <c r="BQ33" i="50"/>
  <c r="AK33" i="50"/>
  <c r="C33" i="50"/>
  <c r="BC32" i="50"/>
  <c r="W32" i="50"/>
  <c r="BU30" i="50"/>
  <c r="AO30" i="50"/>
  <c r="I30" i="50"/>
  <c r="BG29" i="50"/>
  <c r="AA29" i="50"/>
  <c r="BY27" i="50"/>
  <c r="AS27" i="50"/>
  <c r="M27" i="50"/>
  <c r="BK26" i="50"/>
  <c r="AE26" i="50"/>
  <c r="CC24" i="50"/>
  <c r="AW24" i="50"/>
  <c r="Q24" i="50"/>
  <c r="BO23" i="50"/>
  <c r="AI23" i="50"/>
  <c r="CG22" i="50"/>
  <c r="BA22" i="50"/>
  <c r="U22" i="50"/>
  <c r="BS20" i="50"/>
  <c r="AM20" i="50"/>
  <c r="G20" i="50"/>
  <c r="BE19" i="50"/>
  <c r="Y19" i="50"/>
  <c r="BW18" i="50"/>
  <c r="AQ18" i="50"/>
  <c r="K18" i="50"/>
  <c r="BI17" i="50"/>
  <c r="I17" i="50"/>
  <c r="BG15" i="50"/>
  <c r="AA15" i="50"/>
  <c r="BY14" i="50"/>
  <c r="AS14" i="50"/>
  <c r="M14" i="50"/>
  <c r="BM43" i="49"/>
  <c r="AG43" i="49"/>
  <c r="CE41" i="49"/>
  <c r="AY41" i="49"/>
  <c r="S41" i="49"/>
  <c r="BQ40" i="49"/>
  <c r="BQ7" i="49" s="1"/>
  <c r="AK40" i="49"/>
  <c r="AK7" i="49" s="1"/>
  <c r="C40" i="49"/>
  <c r="BC38" i="49"/>
  <c r="W38" i="49"/>
  <c r="BU37" i="49"/>
  <c r="AO37" i="49"/>
  <c r="I37" i="49"/>
  <c r="BG36" i="49"/>
  <c r="AA36" i="49"/>
  <c r="BY35" i="49"/>
  <c r="AS35" i="49"/>
  <c r="M35" i="49"/>
  <c r="BK34" i="49"/>
  <c r="AE34" i="49"/>
  <c r="CC33" i="49"/>
  <c r="AW33" i="49"/>
  <c r="Q33" i="49"/>
  <c r="BO32" i="49"/>
  <c r="AI32" i="49"/>
  <c r="CG30" i="49"/>
  <c r="BA30" i="49"/>
  <c r="U30" i="49"/>
  <c r="BS29" i="49"/>
  <c r="AM29" i="49"/>
  <c r="G29" i="49"/>
  <c r="BE27" i="49"/>
  <c r="Y27" i="49"/>
  <c r="BW26" i="49"/>
  <c r="AQ26" i="49"/>
  <c r="K26" i="49"/>
  <c r="BI24" i="49"/>
  <c r="AC24" i="49"/>
  <c r="CA23" i="49"/>
  <c r="AU23" i="49"/>
  <c r="O23" i="49"/>
  <c r="BM22" i="49"/>
  <c r="AG22" i="49"/>
  <c r="CE20" i="49"/>
  <c r="AY20" i="49"/>
  <c r="S20" i="49"/>
  <c r="BQ19" i="49"/>
  <c r="AK19" i="49"/>
  <c r="C19" i="49"/>
  <c r="BC18" i="49"/>
  <c r="W18" i="49"/>
  <c r="BU17" i="49"/>
  <c r="AO17" i="49"/>
  <c r="I17" i="49"/>
  <c r="BG15" i="49"/>
  <c r="AA15" i="49"/>
  <c r="BY14" i="49"/>
  <c r="AS14" i="49"/>
  <c r="M14" i="49"/>
  <c r="BM43" i="48"/>
  <c r="AG43" i="48"/>
  <c r="CE41" i="48"/>
  <c r="AY41" i="48"/>
  <c r="S41" i="48"/>
  <c r="BQ40" i="48"/>
  <c r="BQ7" i="48" s="1"/>
  <c r="AK40" i="48"/>
  <c r="AK7" i="48" s="1"/>
  <c r="C40" i="48"/>
  <c r="BC38" i="48"/>
  <c r="W38" i="48"/>
  <c r="BU37" i="48"/>
  <c r="AO37" i="48"/>
  <c r="I37" i="48"/>
  <c r="BG36" i="48"/>
  <c r="AA36" i="48"/>
  <c r="AC17" i="50"/>
  <c r="BU15" i="50"/>
  <c r="AO15" i="50"/>
  <c r="I15" i="50"/>
  <c r="BG14" i="50"/>
  <c r="AA14" i="50"/>
  <c r="CA43" i="49"/>
  <c r="AU43" i="49"/>
  <c r="O43" i="49"/>
  <c r="BM41" i="49"/>
  <c r="AG41" i="49"/>
  <c r="CE40" i="49"/>
  <c r="CE7" i="49" s="1"/>
  <c r="AY40" i="49"/>
  <c r="AY7" i="49" s="1"/>
  <c r="S40" i="49"/>
  <c r="S7" i="49" s="1"/>
  <c r="BQ38" i="49"/>
  <c r="AK38" i="49"/>
  <c r="C38" i="49"/>
  <c r="BC37" i="49"/>
  <c r="W37" i="49"/>
  <c r="BU36" i="49"/>
  <c r="AO36" i="49"/>
  <c r="I36" i="49"/>
  <c r="BG35" i="49"/>
  <c r="AA35" i="49"/>
  <c r="BY34" i="49"/>
  <c r="AS34" i="49"/>
  <c r="M34" i="49"/>
  <c r="BK33" i="49"/>
  <c r="AE33" i="49"/>
  <c r="CC32" i="49"/>
  <c r="AW32" i="49"/>
  <c r="Q32" i="49"/>
  <c r="BO30" i="49"/>
  <c r="AI30" i="49"/>
  <c r="CG29" i="49"/>
  <c r="BA29" i="49"/>
  <c r="U29" i="49"/>
  <c r="BS27" i="49"/>
  <c r="AM27" i="49"/>
  <c r="G27" i="49"/>
  <c r="BE26" i="49"/>
  <c r="Y26" i="49"/>
  <c r="BW24" i="49"/>
  <c r="AQ24" i="49"/>
  <c r="K24" i="49"/>
  <c r="BI23" i="49"/>
  <c r="AC23" i="49"/>
  <c r="CA22" i="49"/>
  <c r="AU22" i="49"/>
  <c r="O22" i="49"/>
  <c r="BM20" i="49"/>
  <c r="AG20" i="49"/>
  <c r="CE19" i="49"/>
  <c r="AY19" i="49"/>
  <c r="S19" i="49"/>
  <c r="BQ18" i="49"/>
  <c r="AK18" i="49"/>
  <c r="C18" i="49"/>
  <c r="BC17" i="49"/>
  <c r="W17" i="49"/>
  <c r="BU15" i="49"/>
  <c r="AO15" i="49"/>
  <c r="I15" i="49"/>
  <c r="BG14" i="49"/>
  <c r="AA14" i="49"/>
  <c r="CA43" i="48"/>
  <c r="AU43" i="48"/>
  <c r="O43" i="48"/>
  <c r="BM41" i="48"/>
  <c r="AG41" i="48"/>
  <c r="CE40" i="48"/>
  <c r="CE7" i="48" s="1"/>
  <c r="AY40" i="48"/>
  <c r="AY7" i="48" s="1"/>
  <c r="S40" i="48"/>
  <c r="S7" i="48" s="1"/>
  <c r="BQ38" i="48"/>
  <c r="AK38" i="48"/>
  <c r="C38" i="48"/>
  <c r="BC37" i="48"/>
  <c r="W37" i="48"/>
  <c r="BU36" i="48"/>
  <c r="AO36" i="48"/>
  <c r="I36" i="48"/>
  <c r="O17" i="50"/>
  <c r="BK15" i="50"/>
  <c r="AE15" i="50"/>
  <c r="CC14" i="50"/>
  <c r="CC49" i="50" s="1"/>
  <c r="AW14" i="50"/>
  <c r="Q14" i="50"/>
  <c r="BQ43" i="49"/>
  <c r="AK43" i="49"/>
  <c r="C43" i="49"/>
  <c r="BC41" i="49"/>
  <c r="W41" i="49"/>
  <c r="BU40" i="49"/>
  <c r="BU7" i="49" s="1"/>
  <c r="AO40" i="49"/>
  <c r="AO7" i="49" s="1"/>
  <c r="I40" i="49"/>
  <c r="I7" i="49" s="1"/>
  <c r="BG38" i="49"/>
  <c r="AA38" i="49"/>
  <c r="BY37" i="49"/>
  <c r="AS37" i="49"/>
  <c r="M37" i="49"/>
  <c r="BK36" i="49"/>
  <c r="AE36" i="49"/>
  <c r="CC35" i="49"/>
  <c r="AW35" i="49"/>
  <c r="Q35" i="49"/>
  <c r="BO34" i="49"/>
  <c r="AI34" i="49"/>
  <c r="CG33" i="49"/>
  <c r="BA33" i="49"/>
  <c r="U33" i="49"/>
  <c r="BS32" i="49"/>
  <c r="AM32" i="49"/>
  <c r="G32" i="49"/>
  <c r="BE30" i="49"/>
  <c r="Y30" i="49"/>
  <c r="BW29" i="49"/>
  <c r="AQ29" i="49"/>
  <c r="K29" i="49"/>
  <c r="BI27" i="49"/>
  <c r="AC27" i="49"/>
  <c r="CA26" i="49"/>
  <c r="AU26" i="49"/>
  <c r="O26" i="49"/>
  <c r="BM24" i="49"/>
  <c r="AG24" i="49"/>
  <c r="CE23" i="49"/>
  <c r="AY23" i="49"/>
  <c r="S23" i="49"/>
  <c r="BQ22" i="49"/>
  <c r="AK22" i="49"/>
  <c r="M17" i="50"/>
  <c r="BI15" i="50"/>
  <c r="AC15" i="50"/>
  <c r="CA14" i="50"/>
  <c r="AU14" i="50"/>
  <c r="O14" i="50"/>
  <c r="BO43" i="49"/>
  <c r="AI43" i="49"/>
  <c r="CG41" i="49"/>
  <c r="BA41" i="49"/>
  <c r="U41" i="49"/>
  <c r="BS40" i="49"/>
  <c r="BS7" i="49" s="1"/>
  <c r="AM40" i="49"/>
  <c r="AM7" i="49" s="1"/>
  <c r="G40" i="49"/>
  <c r="G7" i="49" s="1"/>
  <c r="BE38" i="49"/>
  <c r="Y38" i="49"/>
  <c r="BW37" i="49"/>
  <c r="AQ37" i="49"/>
  <c r="K37" i="49"/>
  <c r="BI36" i="49"/>
  <c r="AC36" i="49"/>
  <c r="CA35" i="49"/>
  <c r="AU35" i="49"/>
  <c r="O35" i="49"/>
  <c r="BM34" i="49"/>
  <c r="AG34" i="49"/>
  <c r="CE33" i="49"/>
  <c r="AY33" i="49"/>
  <c r="S33" i="49"/>
  <c r="BQ32" i="49"/>
  <c r="AK32" i="49"/>
  <c r="C32" i="49"/>
  <c r="BC30" i="49"/>
  <c r="W30" i="49"/>
  <c r="BU29" i="49"/>
  <c r="AO29" i="49"/>
  <c r="I29" i="49"/>
  <c r="BG27" i="49"/>
  <c r="AA27" i="49"/>
  <c r="BY26" i="49"/>
  <c r="AS26" i="49"/>
  <c r="M26" i="49"/>
  <c r="BK24" i="49"/>
  <c r="AE24" i="49"/>
  <c r="CC23" i="49"/>
  <c r="AW23" i="49"/>
  <c r="Q23" i="49"/>
  <c r="BO22" i="49"/>
  <c r="AI22" i="49"/>
  <c r="CG20" i="49"/>
  <c r="BA20" i="49"/>
  <c r="U20" i="49"/>
  <c r="BS19" i="49"/>
  <c r="AM19" i="49"/>
  <c r="G19" i="49"/>
  <c r="BE18" i="49"/>
  <c r="Y18" i="49"/>
  <c r="BW17" i="49"/>
  <c r="AQ17" i="49"/>
  <c r="K17" i="49"/>
  <c r="BI15" i="49"/>
  <c r="AC15" i="49"/>
  <c r="CA14" i="49"/>
  <c r="AU14" i="49"/>
  <c r="O14" i="49"/>
  <c r="BO43" i="48"/>
  <c r="AI43" i="48"/>
  <c r="CG41" i="48"/>
  <c r="BA41" i="48"/>
  <c r="U41" i="48"/>
  <c r="BS40" i="48"/>
  <c r="BS7" i="48" s="1"/>
  <c r="AM40" i="48"/>
  <c r="AM7" i="48" s="1"/>
  <c r="G40" i="48"/>
  <c r="G7" i="48" s="1"/>
  <c r="BE38" i="48"/>
  <c r="Y38" i="48"/>
  <c r="BW37" i="48"/>
  <c r="AQ37" i="48"/>
  <c r="K37" i="48"/>
  <c r="BI36" i="48"/>
  <c r="AC36" i="48"/>
  <c r="CA35" i="48"/>
  <c r="AU35" i="48"/>
  <c r="O35" i="48"/>
  <c r="BM34" i="48"/>
  <c r="AG34" i="48"/>
  <c r="AE20" i="49"/>
  <c r="BO18" i="49"/>
  <c r="U17" i="49"/>
  <c r="BE14" i="49"/>
  <c r="M43" i="48"/>
  <c r="AW40" i="48"/>
  <c r="AW7" i="48" s="1"/>
  <c r="CG37" i="48"/>
  <c r="AM36" i="48"/>
  <c r="BE35" i="48"/>
  <c r="M35" i="48"/>
  <c r="BA34" i="48"/>
  <c r="M34" i="48"/>
  <c r="BK33" i="48"/>
  <c r="AE33" i="48"/>
  <c r="CC32" i="48"/>
  <c r="AW32" i="48"/>
  <c r="Q32" i="48"/>
  <c r="BO30" i="48"/>
  <c r="AI30" i="48"/>
  <c r="CG29" i="48"/>
  <c r="BA29" i="48"/>
  <c r="U29" i="48"/>
  <c r="BS27" i="48"/>
  <c r="AM27" i="48"/>
  <c r="G27" i="48"/>
  <c r="BE26" i="48"/>
  <c r="Y26" i="48"/>
  <c r="BW24" i="48"/>
  <c r="AQ24" i="48"/>
  <c r="K24" i="48"/>
  <c r="BI23" i="48"/>
  <c r="AC23" i="48"/>
  <c r="CA22" i="48"/>
  <c r="AU22" i="48"/>
  <c r="O22" i="48"/>
  <c r="BM20" i="48"/>
  <c r="AG20" i="48"/>
  <c r="CE19" i="48"/>
  <c r="AY19" i="48"/>
  <c r="S19" i="48"/>
  <c r="BQ18" i="48"/>
  <c r="AK18" i="48"/>
  <c r="C18" i="48"/>
  <c r="BC17" i="48"/>
  <c r="W17" i="48"/>
  <c r="BU15" i="48"/>
  <c r="AO15" i="48"/>
  <c r="I15" i="48"/>
  <c r="BG14" i="48"/>
  <c r="AA14" i="48"/>
  <c r="CA43" i="47"/>
  <c r="AU43" i="47"/>
  <c r="O43" i="47"/>
  <c r="BM41" i="47"/>
  <c r="AG41" i="47"/>
  <c r="CE40" i="47"/>
  <c r="CE7" i="47" s="1"/>
  <c r="AY40" i="47"/>
  <c r="AY7" i="47" s="1"/>
  <c r="S40" i="47"/>
  <c r="S7" i="47" s="1"/>
  <c r="BQ38" i="47"/>
  <c r="AK38" i="47"/>
  <c r="C38" i="47"/>
  <c r="BC37" i="47"/>
  <c r="W37" i="47"/>
  <c r="BU36" i="47"/>
  <c r="AO36" i="47"/>
  <c r="I36" i="47"/>
  <c r="BG35" i="47"/>
  <c r="AA35" i="47"/>
  <c r="BY34" i="47"/>
  <c r="AS34" i="47"/>
  <c r="M34" i="47"/>
  <c r="BK33" i="47"/>
  <c r="AE33" i="47"/>
  <c r="CC32" i="47"/>
  <c r="AW32" i="47"/>
  <c r="Q32" i="47"/>
  <c r="BO30" i="47"/>
  <c r="AI30" i="47"/>
  <c r="CG29" i="47"/>
  <c r="BA29" i="47"/>
  <c r="U29" i="47"/>
  <c r="BS27" i="47"/>
  <c r="AM27" i="47"/>
  <c r="G27" i="47"/>
  <c r="BE26" i="47"/>
  <c r="C22" i="49"/>
  <c r="AO19" i="49"/>
  <c r="BY17" i="49"/>
  <c r="AE15" i="49"/>
  <c r="BQ43" i="48"/>
  <c r="W41" i="48"/>
  <c r="BG38" i="48"/>
  <c r="M37" i="48"/>
  <c r="BW35" i="48"/>
  <c r="AG35" i="48"/>
  <c r="BS34" i="48"/>
  <c r="AC34" i="48"/>
  <c r="BY33" i="48"/>
  <c r="AS33" i="48"/>
  <c r="M33" i="48"/>
  <c r="BK32" i="48"/>
  <c r="AE32" i="48"/>
  <c r="CC30" i="48"/>
  <c r="AW30" i="48"/>
  <c r="Q30" i="48"/>
  <c r="BO29" i="48"/>
  <c r="AI29" i="48"/>
  <c r="CG27" i="48"/>
  <c r="BA27" i="48"/>
  <c r="U27" i="48"/>
  <c r="BS26" i="48"/>
  <c r="AM26" i="48"/>
  <c r="G26" i="48"/>
  <c r="BE24" i="48"/>
  <c r="Y24" i="48"/>
  <c r="BW23" i="48"/>
  <c r="AQ23" i="48"/>
  <c r="K23" i="48"/>
  <c r="BI22" i="48"/>
  <c r="AC22" i="48"/>
  <c r="CA20" i="48"/>
  <c r="AU20" i="48"/>
  <c r="O20" i="48"/>
  <c r="BM19" i="48"/>
  <c r="AG19" i="48"/>
  <c r="CE18" i="48"/>
  <c r="AY18" i="48"/>
  <c r="S18" i="48"/>
  <c r="BQ17" i="48"/>
  <c r="AK17" i="48"/>
  <c r="C17" i="48"/>
  <c r="BC15" i="48"/>
  <c r="W15" i="48"/>
  <c r="BU14" i="48"/>
  <c r="AO14" i="48"/>
  <c r="I14" i="48"/>
  <c r="BI43" i="47"/>
  <c r="AC43" i="47"/>
  <c r="CA41" i="47"/>
  <c r="AU41" i="47"/>
  <c r="O41" i="47"/>
  <c r="BM40" i="47"/>
  <c r="BM7" i="47" s="1"/>
  <c r="AG40" i="47"/>
  <c r="AG7" i="47" s="1"/>
  <c r="CE38" i="47"/>
  <c r="AY38" i="47"/>
  <c r="S38" i="47"/>
  <c r="BQ37" i="47"/>
  <c r="AK37" i="47"/>
  <c r="C37" i="47"/>
  <c r="BC36" i="47"/>
  <c r="W36" i="47"/>
  <c r="BU35" i="47"/>
  <c r="AO35" i="47"/>
  <c r="I35" i="47"/>
  <c r="BG34" i="47"/>
  <c r="AA34" i="47"/>
  <c r="BY33" i="47"/>
  <c r="AS33" i="47"/>
  <c r="M33" i="47"/>
  <c r="BK32" i="47"/>
  <c r="AE32" i="47"/>
  <c r="CC30" i="47"/>
  <c r="AW30" i="47"/>
  <c r="Q30" i="47"/>
  <c r="BO29" i="47"/>
  <c r="AI29" i="47"/>
  <c r="CG27" i="47"/>
  <c r="BA27" i="47"/>
  <c r="U27" i="47"/>
  <c r="BS26" i="47"/>
  <c r="AM26" i="47"/>
  <c r="O20" i="49"/>
  <c r="AY18" i="49"/>
  <c r="C17" i="49"/>
  <c r="AO14" i="49"/>
  <c r="CA41" i="48"/>
  <c r="AG40" i="48"/>
  <c r="AG7" i="48" s="1"/>
  <c r="BQ37" i="48"/>
  <c r="W36" i="48"/>
  <c r="AY35" i="48"/>
  <c r="I35" i="48"/>
  <c r="AU34" i="48"/>
  <c r="I34" i="48"/>
  <c r="BG33" i="48"/>
  <c r="AA33" i="48"/>
  <c r="BY32" i="48"/>
  <c r="AS32" i="48"/>
  <c r="M32" i="48"/>
  <c r="BK30" i="48"/>
  <c r="AE30" i="48"/>
  <c r="CC29" i="48"/>
  <c r="AW29" i="48"/>
  <c r="Q29" i="48"/>
  <c r="BO27" i="48"/>
  <c r="AI27" i="48"/>
  <c r="CG26" i="48"/>
  <c r="BA26" i="48"/>
  <c r="U26" i="48"/>
  <c r="BS24" i="48"/>
  <c r="AM24" i="48"/>
  <c r="G24" i="48"/>
  <c r="BE23" i="48"/>
  <c r="Y23" i="48"/>
  <c r="BW22" i="48"/>
  <c r="AQ22" i="48"/>
  <c r="K22" i="48"/>
  <c r="BI20" i="48"/>
  <c r="AC20" i="48"/>
  <c r="CA19" i="48"/>
  <c r="AU19" i="48"/>
  <c r="O19" i="48"/>
  <c r="BM18" i="48"/>
  <c r="AG18" i="48"/>
  <c r="CE17" i="48"/>
  <c r="AY17" i="48"/>
  <c r="S17" i="48"/>
  <c r="BQ15" i="48"/>
  <c r="AK15" i="48"/>
  <c r="C15" i="48"/>
  <c r="BC14" i="48"/>
  <c r="W14" i="48"/>
  <c r="BW43" i="47"/>
  <c r="AQ43" i="47"/>
  <c r="K43" i="47"/>
  <c r="BI41" i="47"/>
  <c r="AC41" i="47"/>
  <c r="CA40" i="47"/>
  <c r="CA7" i="47" s="1"/>
  <c r="AU40" i="47"/>
  <c r="AU7" i="47" s="1"/>
  <c r="O40" i="47"/>
  <c r="O7" i="47" s="1"/>
  <c r="BM38" i="47"/>
  <c r="AG38" i="47"/>
  <c r="CE37" i="47"/>
  <c r="AY37" i="47"/>
  <c r="S37" i="47"/>
  <c r="BQ36" i="47"/>
  <c r="M33" i="49"/>
  <c r="BK32" i="49"/>
  <c r="AE32" i="49"/>
  <c r="CC30" i="49"/>
  <c r="AW30" i="49"/>
  <c r="Q30" i="49"/>
  <c r="BO29" i="49"/>
  <c r="AI29" i="49"/>
  <c r="CG27" i="49"/>
  <c r="BA27" i="49"/>
  <c r="U27" i="49"/>
  <c r="BS26" i="49"/>
  <c r="AM26" i="49"/>
  <c r="G26" i="49"/>
  <c r="BE24" i="49"/>
  <c r="Y24" i="49"/>
  <c r="BW23" i="49"/>
  <c r="AQ23" i="49"/>
  <c r="K23" i="49"/>
  <c r="BI22" i="49"/>
  <c r="AU17" i="50"/>
  <c r="CG15" i="50"/>
  <c r="BA15" i="50"/>
  <c r="U15" i="50"/>
  <c r="BS14" i="50"/>
  <c r="AM14" i="50"/>
  <c r="G14" i="50"/>
  <c r="BG43" i="49"/>
  <c r="AA43" i="49"/>
  <c r="BY41" i="49"/>
  <c r="AS41" i="49"/>
  <c r="M41" i="49"/>
  <c r="BK40" i="49"/>
  <c r="BK7" i="49" s="1"/>
  <c r="AE40" i="49"/>
  <c r="AE7" i="49" s="1"/>
  <c r="CC38" i="49"/>
  <c r="AW38" i="49"/>
  <c r="Q38" i="49"/>
  <c r="BO37" i="49"/>
  <c r="AI37" i="49"/>
  <c r="CG36" i="49"/>
  <c r="BA36" i="49"/>
  <c r="U36" i="49"/>
  <c r="BS35" i="49"/>
  <c r="AM35" i="49"/>
  <c r="G35" i="49"/>
  <c r="BE34" i="49"/>
  <c r="Y34" i="49"/>
  <c r="BW33" i="49"/>
  <c r="AQ33" i="49"/>
  <c r="K33" i="49"/>
  <c r="BI32" i="49"/>
  <c r="AC32" i="49"/>
  <c r="CA30" i="49"/>
  <c r="AU30" i="49"/>
  <c r="O30" i="49"/>
  <c r="BM29" i="49"/>
  <c r="AG29" i="49"/>
  <c r="CE27" i="49"/>
  <c r="AY27" i="49"/>
  <c r="S27" i="49"/>
  <c r="BQ26" i="49"/>
  <c r="AK26" i="49"/>
  <c r="C26" i="49"/>
  <c r="BC24" i="49"/>
  <c r="W24" i="49"/>
  <c r="BU23" i="49"/>
  <c r="AO23" i="49"/>
  <c r="I23" i="49"/>
  <c r="BG22" i="49"/>
  <c r="AA22" i="49"/>
  <c r="BY20" i="49"/>
  <c r="AS20" i="49"/>
  <c r="M20" i="49"/>
  <c r="BK19" i="49"/>
  <c r="AE19" i="49"/>
  <c r="CC18" i="49"/>
  <c r="AW18" i="49"/>
  <c r="Q18" i="49"/>
  <c r="BO17" i="49"/>
  <c r="AI17" i="49"/>
  <c r="CG15" i="49"/>
  <c r="BA15" i="49"/>
  <c r="U15" i="49"/>
  <c r="BS14" i="49"/>
  <c r="AM14" i="49"/>
  <c r="G14" i="49"/>
  <c r="BG43" i="48"/>
  <c r="AA43" i="48"/>
  <c r="BY41" i="48"/>
  <c r="AS41" i="48"/>
  <c r="M41" i="48"/>
  <c r="BK40" i="48"/>
  <c r="BK7" i="48" s="1"/>
  <c r="AE40" i="48"/>
  <c r="AE7" i="48" s="1"/>
  <c r="CC38" i="48"/>
  <c r="AW38" i="48"/>
  <c r="Q38" i="48"/>
  <c r="BO37" i="48"/>
  <c r="AI37" i="48"/>
  <c r="CG36" i="48"/>
  <c r="BA36" i="48"/>
  <c r="U36" i="48"/>
  <c r="BS35" i="48"/>
  <c r="AM35" i="48"/>
  <c r="G35" i="48"/>
  <c r="BE34" i="48"/>
  <c r="Y34" i="48"/>
  <c r="CC19" i="49"/>
  <c r="AI18" i="49"/>
  <c r="BS15" i="49"/>
  <c r="Y14" i="49"/>
  <c r="BK41" i="48"/>
  <c r="Q40" i="48"/>
  <c r="Q7" i="48" s="1"/>
  <c r="BA37" i="48"/>
  <c r="G36" i="48"/>
  <c r="AS35" i="48"/>
  <c r="CG34" i="48"/>
  <c r="AQ34" i="48"/>
  <c r="C34" i="48"/>
  <c r="BC33" i="48"/>
  <c r="W33" i="48"/>
  <c r="BU32" i="48"/>
  <c r="AO32" i="48"/>
  <c r="I32" i="48"/>
  <c r="BG30" i="48"/>
  <c r="AA30" i="48"/>
  <c r="BY29" i="48"/>
  <c r="AS29" i="48"/>
  <c r="M29" i="48"/>
  <c r="BK27" i="48"/>
  <c r="AE27" i="48"/>
  <c r="CC26" i="48"/>
  <c r="AW26" i="48"/>
  <c r="Q26" i="48"/>
  <c r="BO24" i="48"/>
  <c r="AI24" i="48"/>
  <c r="CG23" i="48"/>
  <c r="BA23" i="48"/>
  <c r="U23" i="48"/>
  <c r="BS22" i="48"/>
  <c r="AM22" i="48"/>
  <c r="G22" i="48"/>
  <c r="BE20" i="48"/>
  <c r="Y20" i="48"/>
  <c r="BW19" i="48"/>
  <c r="AQ19" i="48"/>
  <c r="K19" i="48"/>
  <c r="BI18" i="48"/>
  <c r="AC18" i="48"/>
  <c r="CA17" i="48"/>
  <c r="AU17" i="48"/>
  <c r="O17" i="48"/>
  <c r="BM15" i="48"/>
  <c r="AG15" i="48"/>
  <c r="CE14" i="48"/>
  <c r="AY14" i="48"/>
  <c r="S14" i="48"/>
  <c r="BS43" i="47"/>
  <c r="AM43" i="47"/>
  <c r="G43" i="47"/>
  <c r="BE41" i="47"/>
  <c r="Y41" i="47"/>
  <c r="BW40" i="47"/>
  <c r="BW7" i="47" s="1"/>
  <c r="AQ40" i="47"/>
  <c r="AQ7" i="47" s="1"/>
  <c r="K40" i="47"/>
  <c r="K7" i="47" s="1"/>
  <c r="BI38" i="47"/>
  <c r="AC38" i="47"/>
  <c r="CA37" i="47"/>
  <c r="AU37" i="47"/>
  <c r="O37" i="47"/>
  <c r="BM36" i="47"/>
  <c r="AG36" i="47"/>
  <c r="CE35" i="47"/>
  <c r="AY35" i="47"/>
  <c r="S35" i="47"/>
  <c r="BQ34" i="47"/>
  <c r="AK34" i="47"/>
  <c r="C34" i="47"/>
  <c r="BC33" i="47"/>
  <c r="W33" i="47"/>
  <c r="BU32" i="47"/>
  <c r="AO32" i="47"/>
  <c r="I32" i="47"/>
  <c r="BG30" i="47"/>
  <c r="AA30" i="47"/>
  <c r="BY29" i="47"/>
  <c r="AS29" i="47"/>
  <c r="M29" i="47"/>
  <c r="BK27" i="47"/>
  <c r="AE27" i="47"/>
  <c r="CC26" i="47"/>
  <c r="AW26" i="47"/>
  <c r="BC20" i="49"/>
  <c r="I19" i="49"/>
  <c r="AS17" i="49"/>
  <c r="CC14" i="49"/>
  <c r="AK43" i="48"/>
  <c r="BU40" i="48"/>
  <c r="BU7" i="48" s="1"/>
  <c r="AA38" i="48"/>
  <c r="BK36" i="48"/>
  <c r="BM35" i="48"/>
  <c r="U35" i="48"/>
  <c r="BI34" i="48"/>
  <c r="S34" i="48"/>
  <c r="BQ33" i="48"/>
  <c r="AK33" i="48"/>
  <c r="C33" i="48"/>
  <c r="BC32" i="48"/>
  <c r="W32" i="48"/>
  <c r="BU30" i="48"/>
  <c r="AO30" i="48"/>
  <c r="I30" i="48"/>
  <c r="BG29" i="48"/>
  <c r="AA29" i="48"/>
  <c r="BY27" i="48"/>
  <c r="AS27" i="48"/>
  <c r="M27" i="48"/>
  <c r="BK26" i="48"/>
  <c r="AE26" i="48"/>
  <c r="CC24" i="48"/>
  <c r="AW24" i="48"/>
  <c r="Q24" i="48"/>
  <c r="BO23" i="48"/>
  <c r="AI23" i="48"/>
  <c r="CG22" i="48"/>
  <c r="BA22" i="48"/>
  <c r="U22" i="48"/>
  <c r="BS20" i="48"/>
  <c r="AM20" i="48"/>
  <c r="G20" i="48"/>
  <c r="BE19" i="48"/>
  <c r="Y19" i="48"/>
  <c r="BW18" i="48"/>
  <c r="AQ18" i="48"/>
  <c r="K18" i="48"/>
  <c r="BI17" i="48"/>
  <c r="AC17" i="48"/>
  <c r="CA15" i="48"/>
  <c r="AU15" i="48"/>
  <c r="O15" i="48"/>
  <c r="BM14" i="48"/>
  <c r="AG14" i="48"/>
  <c r="CG43" i="47"/>
  <c r="BA43" i="47"/>
  <c r="U43" i="47"/>
  <c r="BS41" i="47"/>
  <c r="AM41" i="47"/>
  <c r="G41" i="47"/>
  <c r="BE40" i="47"/>
  <c r="BE7" i="47" s="1"/>
  <c r="Y40" i="47"/>
  <c r="Y7" i="47" s="1"/>
  <c r="BW38" i="47"/>
  <c r="AQ38" i="47"/>
  <c r="K38" i="47"/>
  <c r="BI37" i="47"/>
  <c r="AC37" i="47"/>
  <c r="CA36" i="47"/>
  <c r="AU36" i="47"/>
  <c r="O36" i="47"/>
  <c r="BM35" i="47"/>
  <c r="AG35" i="47"/>
  <c r="CE34" i="47"/>
  <c r="AY34" i="47"/>
  <c r="S34" i="47"/>
  <c r="BQ33" i="47"/>
  <c r="AK33" i="47"/>
  <c r="C33" i="47"/>
  <c r="BC32" i="47"/>
  <c r="W32" i="47"/>
  <c r="BU30" i="47"/>
  <c r="AO30" i="47"/>
  <c r="I30" i="47"/>
  <c r="BG29" i="47"/>
  <c r="AA29" i="47"/>
  <c r="BY27" i="47"/>
  <c r="AS27" i="47"/>
  <c r="M27" i="47"/>
  <c r="BK26" i="47"/>
  <c r="AC22" i="49"/>
  <c r="BM19" i="49"/>
  <c r="S18" i="49"/>
  <c r="BC15" i="49"/>
  <c r="I14" i="49"/>
  <c r="AU41" i="48"/>
  <c r="CE38" i="48"/>
  <c r="AK37" i="48"/>
  <c r="CE35" i="48"/>
  <c r="AO35" i="48"/>
  <c r="CA34" i="48"/>
  <c r="AK34" i="48"/>
  <c r="CE33" i="48"/>
  <c r="AY33" i="48"/>
  <c r="S33" i="48"/>
  <c r="BQ32" i="48"/>
  <c r="AK32" i="48"/>
  <c r="C32" i="48"/>
  <c r="BC30" i="48"/>
  <c r="W30" i="48"/>
  <c r="BU29" i="48"/>
  <c r="AO29" i="48"/>
  <c r="I29" i="48"/>
  <c r="BG27" i="48"/>
  <c r="AA27" i="48"/>
  <c r="BY26" i="48"/>
  <c r="AS26" i="48"/>
  <c r="M26" i="48"/>
  <c r="BK24" i="48"/>
  <c r="AE24" i="48"/>
  <c r="CC23" i="48"/>
  <c r="AW23" i="48"/>
  <c r="Q23" i="48"/>
  <c r="BO22" i="48"/>
  <c r="AI22" i="48"/>
  <c r="CG20" i="48"/>
  <c r="BA20" i="48"/>
  <c r="U20" i="48"/>
  <c r="BS19" i="48"/>
  <c r="AM19" i="48"/>
  <c r="G19" i="48"/>
  <c r="BE18" i="48"/>
  <c r="Y18" i="48"/>
  <c r="BW17" i="48"/>
  <c r="AQ17" i="48"/>
  <c r="K17" i="48"/>
  <c r="BI15" i="48"/>
  <c r="AC15" i="48"/>
  <c r="CA14" i="48"/>
  <c r="AU14" i="48"/>
  <c r="O14" i="48"/>
  <c r="BO43" i="47"/>
  <c r="AI43" i="47"/>
  <c r="CG41" i="47"/>
  <c r="BA41" i="47"/>
  <c r="U41" i="47"/>
  <c r="BS40" i="47"/>
  <c r="BS7" i="47" s="1"/>
  <c r="AM40" i="47"/>
  <c r="AM7" i="47" s="1"/>
  <c r="G40" i="47"/>
  <c r="G7" i="47" s="1"/>
  <c r="BE38" i="47"/>
  <c r="Y38" i="47"/>
  <c r="BW37" i="47"/>
  <c r="AQ37" i="47"/>
  <c r="K37" i="47"/>
  <c r="BI36" i="47"/>
  <c r="C33" i="49"/>
  <c r="BC32" i="49"/>
  <c r="W32" i="49"/>
  <c r="BU30" i="49"/>
  <c r="AO30" i="49"/>
  <c r="I30" i="49"/>
  <c r="BG29" i="49"/>
  <c r="AA29" i="49"/>
  <c r="BY27" i="49"/>
  <c r="AS27" i="49"/>
  <c r="M27" i="49"/>
  <c r="BK26" i="49"/>
  <c r="AE26" i="49"/>
  <c r="CC24" i="49"/>
  <c r="AW24" i="49"/>
  <c r="Q24" i="49"/>
  <c r="BO23" i="49"/>
  <c r="AI23" i="49"/>
  <c r="CG22" i="49"/>
  <c r="BA22" i="49"/>
  <c r="AG17" i="50"/>
  <c r="BY15" i="50"/>
  <c r="AS15" i="50"/>
  <c r="M15" i="50"/>
  <c r="BK14" i="50"/>
  <c r="AE14" i="50"/>
  <c r="CE43" i="49"/>
  <c r="AY43" i="49"/>
  <c r="S43" i="49"/>
  <c r="BQ41" i="49"/>
  <c r="AK41" i="49"/>
  <c r="C41" i="49"/>
  <c r="BC40" i="49"/>
  <c r="BC7" i="49" s="1"/>
  <c r="W40" i="49"/>
  <c r="W7" i="49" s="1"/>
  <c r="BU38" i="49"/>
  <c r="AO38" i="49"/>
  <c r="I38" i="49"/>
  <c r="BG37" i="49"/>
  <c r="AA37" i="49"/>
  <c r="BY36" i="49"/>
  <c r="AS36" i="49"/>
  <c r="M36" i="49"/>
  <c r="BK35" i="49"/>
  <c r="AE35" i="49"/>
  <c r="CC34" i="49"/>
  <c r="AW34" i="49"/>
  <c r="Q34" i="49"/>
  <c r="BO33" i="49"/>
  <c r="AI33" i="49"/>
  <c r="CG32" i="49"/>
  <c r="BA32" i="49"/>
  <c r="U32" i="49"/>
  <c r="BS30" i="49"/>
  <c r="AM30" i="49"/>
  <c r="G30" i="49"/>
  <c r="BE29" i="49"/>
  <c r="Y29" i="49"/>
  <c r="BW27" i="49"/>
  <c r="AQ27" i="49"/>
  <c r="K27" i="49"/>
  <c r="BI26" i="49"/>
  <c r="AC26" i="49"/>
  <c r="CA24" i="49"/>
  <c r="AU24" i="49"/>
  <c r="O24" i="49"/>
  <c r="BM23" i="49"/>
  <c r="AG23" i="49"/>
  <c r="CE22" i="49"/>
  <c r="AY22" i="49"/>
  <c r="S22" i="49"/>
  <c r="BQ20" i="49"/>
  <c r="AK20" i="49"/>
  <c r="C20" i="49"/>
  <c r="BC19" i="49"/>
  <c r="W19" i="49"/>
  <c r="BU18" i="49"/>
  <c r="AO18" i="49"/>
  <c r="I18" i="49"/>
  <c r="BG17" i="49"/>
  <c r="AA17" i="49"/>
  <c r="BY15" i="49"/>
  <c r="AS15" i="49"/>
  <c r="M15" i="49"/>
  <c r="BK14" i="49"/>
  <c r="AE14" i="49"/>
  <c r="CE43" i="48"/>
  <c r="AY43" i="48"/>
  <c r="S43" i="48"/>
  <c r="BQ41" i="48"/>
  <c r="AK41" i="48"/>
  <c r="C41" i="48"/>
  <c r="BC40" i="48"/>
  <c r="BC7" i="48" s="1"/>
  <c r="W40" i="48"/>
  <c r="W7" i="48" s="1"/>
  <c r="BU38" i="48"/>
  <c r="AO38" i="48"/>
  <c r="I38" i="48"/>
  <c r="BG37" i="48"/>
  <c r="AA37" i="48"/>
  <c r="BY36" i="48"/>
  <c r="AS36" i="48"/>
  <c r="M36" i="48"/>
  <c r="BK35" i="48"/>
  <c r="AE35" i="48"/>
  <c r="CC34" i="48"/>
  <c r="AW34" i="48"/>
  <c r="M22" i="49"/>
  <c r="AW19" i="49"/>
  <c r="CG17" i="49"/>
  <c r="AM15" i="49"/>
  <c r="BY43" i="48"/>
  <c r="AE41" i="48"/>
  <c r="BO38" i="48"/>
  <c r="U37" i="48"/>
  <c r="BY35" i="48"/>
  <c r="AI35" i="48"/>
  <c r="BW34" i="48"/>
  <c r="AE34" i="48"/>
  <c r="CA33" i="48"/>
  <c r="AU33" i="48"/>
  <c r="O33" i="48"/>
  <c r="BM32" i="48"/>
  <c r="AG32" i="48"/>
  <c r="CE30" i="48"/>
  <c r="AY30" i="48"/>
  <c r="S30" i="48"/>
  <c r="BQ29" i="48"/>
  <c r="AK29" i="48"/>
  <c r="C29" i="48"/>
  <c r="BC27" i="48"/>
  <c r="W27" i="48"/>
  <c r="BU26" i="48"/>
  <c r="AO26" i="48"/>
  <c r="I26" i="48"/>
  <c r="BG24" i="48"/>
  <c r="AA24" i="48"/>
  <c r="BY23" i="48"/>
  <c r="AS23" i="48"/>
  <c r="M23" i="48"/>
  <c r="BK22" i="48"/>
  <c r="AE22" i="48"/>
  <c r="CC20" i="48"/>
  <c r="AW20" i="48"/>
  <c r="Q20" i="48"/>
  <c r="BO19" i="48"/>
  <c r="AI19" i="48"/>
  <c r="CG18" i="48"/>
  <c r="BA18" i="48"/>
  <c r="U18" i="48"/>
  <c r="BS17" i="48"/>
  <c r="AM17" i="48"/>
  <c r="G17" i="48"/>
  <c r="BE15" i="48"/>
  <c r="Y15" i="48"/>
  <c r="BW14" i="48"/>
  <c r="AQ14" i="48"/>
  <c r="K14" i="48"/>
  <c r="BK43" i="47"/>
  <c r="AE43" i="47"/>
  <c r="CC41" i="47"/>
  <c r="AW41" i="47"/>
  <c r="Q41" i="47"/>
  <c r="BO40" i="47"/>
  <c r="BO7" i="47" s="1"/>
  <c r="AI40" i="47"/>
  <c r="AI7" i="47" s="1"/>
  <c r="CG38" i="47"/>
  <c r="BA38" i="47"/>
  <c r="U38" i="47"/>
  <c r="BS37" i="47"/>
  <c r="AM37" i="47"/>
  <c r="G37" i="47"/>
  <c r="BE36" i="47"/>
  <c r="Y36" i="47"/>
  <c r="BW35" i="47"/>
  <c r="AQ35" i="47"/>
  <c r="K35" i="47"/>
  <c r="BI34" i="47"/>
  <c r="AC34" i="47"/>
  <c r="CA33" i="47"/>
  <c r="AU33" i="47"/>
  <c r="O33" i="47"/>
  <c r="BM32" i="47"/>
  <c r="AG32" i="47"/>
  <c r="CE30" i="47"/>
  <c r="AY30" i="47"/>
  <c r="S30" i="47"/>
  <c r="BQ29" i="47"/>
  <c r="AK29" i="47"/>
  <c r="C29" i="47"/>
  <c r="BC27" i="47"/>
  <c r="W27" i="47"/>
  <c r="BU26" i="47"/>
  <c r="AO26" i="47"/>
  <c r="W20" i="49"/>
  <c r="BG18" i="49"/>
  <c r="M17" i="49"/>
  <c r="AW14" i="49"/>
  <c r="C43" i="48"/>
  <c r="AO40" i="48"/>
  <c r="AO7" i="48" s="1"/>
  <c r="BY37" i="48"/>
  <c r="AE36" i="48"/>
  <c r="BA35" i="48"/>
  <c r="K35" i="48"/>
  <c r="AY34" i="48"/>
  <c r="K34" i="48"/>
  <c r="BI33" i="48"/>
  <c r="AC33" i="48"/>
  <c r="CA32" i="48"/>
  <c r="AU32" i="48"/>
  <c r="O32" i="48"/>
  <c r="BM30" i="48"/>
  <c r="AG30" i="48"/>
  <c r="CE29" i="48"/>
  <c r="AY29" i="48"/>
  <c r="S29" i="48"/>
  <c r="BQ27" i="48"/>
  <c r="AK27" i="48"/>
  <c r="C27" i="48"/>
  <c r="BC26" i="48"/>
  <c r="W26" i="48"/>
  <c r="BU24" i="48"/>
  <c r="AO24" i="48"/>
  <c r="I24" i="48"/>
  <c r="BG23" i="48"/>
  <c r="AA23" i="48"/>
  <c r="BY22" i="48"/>
  <c r="AS22" i="48"/>
  <c r="M22" i="48"/>
  <c r="BK20" i="48"/>
  <c r="AE20" i="48"/>
  <c r="CC19" i="48"/>
  <c r="AW19" i="48"/>
  <c r="Q19" i="48"/>
  <c r="BO18" i="48"/>
  <c r="AI18" i="48"/>
  <c r="CG17" i="48"/>
  <c r="BA17" i="48"/>
  <c r="U17" i="48"/>
  <c r="BS15" i="48"/>
  <c r="AM15" i="48"/>
  <c r="G15" i="48"/>
  <c r="BE14" i="48"/>
  <c r="Y14" i="48"/>
  <c r="BY43" i="47"/>
  <c r="AS43" i="47"/>
  <c r="M43" i="47"/>
  <c r="BK41" i="47"/>
  <c r="AE41" i="47"/>
  <c r="CC40" i="47"/>
  <c r="CC7" i="47" s="1"/>
  <c r="AW40" i="47"/>
  <c r="AW7" i="47" s="1"/>
  <c r="Q40" i="47"/>
  <c r="Q7" i="47" s="1"/>
  <c r="BO38" i="47"/>
  <c r="AI38" i="47"/>
  <c r="CG37" i="47"/>
  <c r="BA37" i="47"/>
  <c r="U37" i="47"/>
  <c r="BS36" i="47"/>
  <c r="AM36" i="47"/>
  <c r="G36" i="47"/>
  <c r="BE35" i="47"/>
  <c r="Y35" i="47"/>
  <c r="BW34" i="47"/>
  <c r="AQ34" i="47"/>
  <c r="K34" i="47"/>
  <c r="BI33" i="47"/>
  <c r="AC33" i="47"/>
  <c r="CA32" i="47"/>
  <c r="AU32" i="47"/>
  <c r="O32" i="47"/>
  <c r="BM30" i="47"/>
  <c r="AG30" i="47"/>
  <c r="CE29" i="47"/>
  <c r="AY29" i="47"/>
  <c r="S29" i="47"/>
  <c r="BQ27" i="47"/>
  <c r="AK27" i="47"/>
  <c r="C27" i="47"/>
  <c r="BC26" i="47"/>
  <c r="CA20" i="49"/>
  <c r="AG19" i="49"/>
  <c r="BQ17" i="49"/>
  <c r="W15" i="49"/>
  <c r="BI43" i="48"/>
  <c r="O41" i="48"/>
  <c r="AY38" i="48"/>
  <c r="C37" i="48"/>
  <c r="BU35" i="48"/>
  <c r="AC35" i="48"/>
  <c r="BQ34" i="48"/>
  <c r="AA34" i="48"/>
  <c r="BW33" i="48"/>
  <c r="AQ33" i="48"/>
  <c r="K33" i="48"/>
  <c r="BI32" i="48"/>
  <c r="AC32" i="48"/>
  <c r="CA30" i="48"/>
  <c r="AU30" i="48"/>
  <c r="O30" i="48"/>
  <c r="BM29" i="48"/>
  <c r="AG29" i="48"/>
  <c r="CE27" i="48"/>
  <c r="AY27" i="48"/>
  <c r="S27" i="48"/>
  <c r="BQ26" i="48"/>
  <c r="AK26" i="48"/>
  <c r="C26" i="48"/>
  <c r="BC24" i="48"/>
  <c r="W24" i="48"/>
  <c r="BU23" i="48"/>
  <c r="AO23" i="48"/>
  <c r="I23" i="48"/>
  <c r="BG22" i="48"/>
  <c r="AA22" i="48"/>
  <c r="BY20" i="48"/>
  <c r="AS20" i="48"/>
  <c r="M20" i="48"/>
  <c r="BK19" i="48"/>
  <c r="AE19" i="48"/>
  <c r="CC18" i="48"/>
  <c r="AW18" i="48"/>
  <c r="Q18" i="48"/>
  <c r="BO17" i="48"/>
  <c r="AI17" i="48"/>
  <c r="CG15" i="48"/>
  <c r="BA15" i="48"/>
  <c r="U15" i="48"/>
  <c r="BS14" i="48"/>
  <c r="AM14" i="48"/>
  <c r="G14" i="48"/>
  <c r="BG43" i="47"/>
  <c r="AA43" i="47"/>
  <c r="BY41" i="47"/>
  <c r="AS41" i="47"/>
  <c r="M41" i="47"/>
  <c r="BK40" i="47"/>
  <c r="BK7" i="47" s="1"/>
  <c r="AE40" i="47"/>
  <c r="AE7" i="47" s="1"/>
  <c r="CC38" i="47"/>
  <c r="AW38" i="47"/>
  <c r="Q38" i="47"/>
  <c r="BO37" i="47"/>
  <c r="AI37" i="47"/>
  <c r="CG36" i="47"/>
  <c r="BA36" i="47"/>
  <c r="CA32" i="49"/>
  <c r="AU32" i="49"/>
  <c r="O32" i="49"/>
  <c r="BM30" i="49"/>
  <c r="AG30" i="49"/>
  <c r="CE29" i="49"/>
  <c r="AY29" i="49"/>
  <c r="S29" i="49"/>
  <c r="BQ27" i="49"/>
  <c r="AK27" i="49"/>
  <c r="C27" i="49"/>
  <c r="BC26" i="49"/>
  <c r="W26" i="49"/>
  <c r="BU24" i="49"/>
  <c r="AO24" i="49"/>
  <c r="I24" i="49"/>
  <c r="BG23" i="49"/>
  <c r="AA23" i="49"/>
  <c r="BY22" i="49"/>
  <c r="AS22" i="49"/>
  <c r="W17" i="50"/>
  <c r="BQ15" i="50"/>
  <c r="AK15" i="50"/>
  <c r="C15" i="50"/>
  <c r="BC14" i="50"/>
  <c r="BC49" i="50" s="1"/>
  <c r="W14" i="50"/>
  <c r="BW43" i="49"/>
  <c r="AQ43" i="49"/>
  <c r="K43" i="49"/>
  <c r="BI41" i="49"/>
  <c r="AC41" i="49"/>
  <c r="CA40" i="49"/>
  <c r="CA7" i="49" s="1"/>
  <c r="AU40" i="49"/>
  <c r="AU7" i="49" s="1"/>
  <c r="O40" i="49"/>
  <c r="O7" i="49" s="1"/>
  <c r="BM38" i="49"/>
  <c r="AG38" i="49"/>
  <c r="CE37" i="49"/>
  <c r="AY37" i="49"/>
  <c r="S37" i="49"/>
  <c r="BQ36" i="49"/>
  <c r="AK36" i="49"/>
  <c r="C36" i="49"/>
  <c r="BC35" i="49"/>
  <c r="W35" i="49"/>
  <c r="BU34" i="49"/>
  <c r="AO34" i="49"/>
  <c r="I34" i="49"/>
  <c r="BG33" i="49"/>
  <c r="AA33" i="49"/>
  <c r="BY32" i="49"/>
  <c r="AS32" i="49"/>
  <c r="M32" i="49"/>
  <c r="BK30" i="49"/>
  <c r="AE30" i="49"/>
  <c r="CC29" i="49"/>
  <c r="AW29" i="49"/>
  <c r="Q29" i="49"/>
  <c r="BO27" i="49"/>
  <c r="AI27" i="49"/>
  <c r="CG26" i="49"/>
  <c r="BA26" i="49"/>
  <c r="U26" i="49"/>
  <c r="BS24" i="49"/>
  <c r="AM24" i="49"/>
  <c r="G24" i="49"/>
  <c r="BE23" i="49"/>
  <c r="Y23" i="49"/>
  <c r="BW22" i="49"/>
  <c r="AQ22" i="49"/>
  <c r="K22" i="49"/>
  <c r="BI20" i="49"/>
  <c r="AC20" i="49"/>
  <c r="CA19" i="49"/>
  <c r="AU19" i="49"/>
  <c r="O19" i="49"/>
  <c r="BM18" i="49"/>
  <c r="AG18" i="49"/>
  <c r="CE17" i="49"/>
  <c r="AY17" i="49"/>
  <c r="S17" i="49"/>
  <c r="BQ15" i="49"/>
  <c r="AK15" i="49"/>
  <c r="C15" i="49"/>
  <c r="BC14" i="49"/>
  <c r="W14" i="49"/>
  <c r="BW43" i="48"/>
  <c r="AQ43" i="48"/>
  <c r="K43" i="48"/>
  <c r="BI41" i="48"/>
  <c r="AC41" i="48"/>
  <c r="CA40" i="48"/>
  <c r="CA7" i="48" s="1"/>
  <c r="AU40" i="48"/>
  <c r="AU7" i="48" s="1"/>
  <c r="O40" i="48"/>
  <c r="O7" i="48" s="1"/>
  <c r="BM38" i="48"/>
  <c r="AG38" i="48"/>
  <c r="CE37" i="48"/>
  <c r="AY37" i="48"/>
  <c r="S37" i="48"/>
  <c r="BQ36" i="48"/>
  <c r="AK36" i="48"/>
  <c r="C36" i="48"/>
  <c r="BC35" i="48"/>
  <c r="W35" i="48"/>
  <c r="BU34" i="48"/>
  <c r="AO34" i="48"/>
  <c r="BK20" i="49"/>
  <c r="Q19" i="49"/>
  <c r="BA17" i="49"/>
  <c r="G15" i="49"/>
  <c r="AS43" i="48"/>
  <c r="CC40" i="48"/>
  <c r="CC7" i="48" s="1"/>
  <c r="AI38" i="48"/>
  <c r="BS36" i="48"/>
  <c r="BO35" i="48"/>
  <c r="Y35" i="48"/>
  <c r="BK34" i="48"/>
  <c r="U34" i="48"/>
  <c r="BS33" i="48"/>
  <c r="AM33" i="48"/>
  <c r="G33" i="48"/>
  <c r="BE32" i="48"/>
  <c r="Y32" i="48"/>
  <c r="BW30" i="48"/>
  <c r="AQ30" i="48"/>
  <c r="K30" i="48"/>
  <c r="BI29" i="48"/>
  <c r="AC29" i="48"/>
  <c r="CA27" i="48"/>
  <c r="AU27" i="48"/>
  <c r="O27" i="48"/>
  <c r="BM26" i="48"/>
  <c r="AG26" i="48"/>
  <c r="CE24" i="48"/>
  <c r="AY24" i="48"/>
  <c r="S24" i="48"/>
  <c r="BQ23" i="48"/>
  <c r="AK23" i="48"/>
  <c r="C23" i="48"/>
  <c r="BC22" i="48"/>
  <c r="W22" i="48"/>
  <c r="BU20" i="48"/>
  <c r="AO20" i="48"/>
  <c r="I20" i="48"/>
  <c r="BG19" i="48"/>
  <c r="AA19" i="48"/>
  <c r="BY18" i="48"/>
  <c r="AS18" i="48"/>
  <c r="M18" i="48"/>
  <c r="BK17" i="48"/>
  <c r="AE17" i="48"/>
  <c r="CC15" i="48"/>
  <c r="AW15" i="48"/>
  <c r="Q15" i="48"/>
  <c r="BO14" i="48"/>
  <c r="AI14" i="48"/>
  <c r="C44" i="47"/>
  <c r="BC43" i="47"/>
  <c r="W43" i="47"/>
  <c r="BU41" i="47"/>
  <c r="AO41" i="47"/>
  <c r="I41" i="47"/>
  <c r="BG40" i="47"/>
  <c r="BG7" i="47" s="1"/>
  <c r="AA40" i="47"/>
  <c r="AA7" i="47" s="1"/>
  <c r="BY38" i="47"/>
  <c r="AS38" i="47"/>
  <c r="M38" i="47"/>
  <c r="BK37" i="47"/>
  <c r="AE37" i="47"/>
  <c r="CC36" i="47"/>
  <c r="AW36" i="47"/>
  <c r="Q36" i="47"/>
  <c r="BO35" i="47"/>
  <c r="AI35" i="47"/>
  <c r="CG34" i="47"/>
  <c r="BA34" i="47"/>
  <c r="U34" i="47"/>
  <c r="BS33" i="47"/>
  <c r="AM33" i="47"/>
  <c r="G33" i="47"/>
  <c r="BE32" i="47"/>
  <c r="Y32" i="47"/>
  <c r="BW30" i="47"/>
  <c r="AQ30" i="47"/>
  <c r="K30" i="47"/>
  <c r="BI29" i="47"/>
  <c r="AC29" i="47"/>
  <c r="CA27" i="47"/>
  <c r="AU27" i="47"/>
  <c r="O27" i="47"/>
  <c r="BM26" i="47"/>
  <c r="AG26" i="47"/>
  <c r="BU19" i="49"/>
  <c r="AA18" i="49"/>
  <c r="BK15" i="49"/>
  <c r="Q14" i="49"/>
  <c r="BC41" i="48"/>
  <c r="I40" i="48"/>
  <c r="I7" i="48" s="1"/>
  <c r="AS37" i="48"/>
  <c r="CG35" i="48"/>
  <c r="AQ35" i="48"/>
  <c r="CE34" i="48"/>
  <c r="AM34" i="48"/>
  <c r="CG33" i="48"/>
  <c r="BA33" i="48"/>
  <c r="U33" i="48"/>
  <c r="BS32" i="48"/>
  <c r="AM32" i="48"/>
  <c r="G32" i="48"/>
  <c r="BE30" i="48"/>
  <c r="Y30" i="48"/>
  <c r="BW29" i="48"/>
  <c r="AQ29" i="48"/>
  <c r="K29" i="48"/>
  <c r="BI27" i="48"/>
  <c r="AC27" i="48"/>
  <c r="CA26" i="48"/>
  <c r="AU26" i="48"/>
  <c r="O26" i="48"/>
  <c r="BM24" i="48"/>
  <c r="AG24" i="48"/>
  <c r="CE23" i="48"/>
  <c r="AY23" i="48"/>
  <c r="S23" i="48"/>
  <c r="BQ22" i="48"/>
  <c r="AK22" i="48"/>
  <c r="C22" i="48"/>
  <c r="BC20" i="48"/>
  <c r="W20" i="48"/>
  <c r="BU19" i="48"/>
  <c r="AO19" i="48"/>
  <c r="I19" i="48"/>
  <c r="BG18" i="48"/>
  <c r="AA18" i="48"/>
  <c r="BY17" i="48"/>
  <c r="AS17" i="48"/>
  <c r="M17" i="48"/>
  <c r="BK15" i="48"/>
  <c r="AE15" i="48"/>
  <c r="CC14" i="48"/>
  <c r="AW14" i="48"/>
  <c r="Q14" i="48"/>
  <c r="BQ43" i="47"/>
  <c r="AK43" i="47"/>
  <c r="C43" i="47"/>
  <c r="BC41" i="47"/>
  <c r="W41" i="47"/>
  <c r="BU40" i="47"/>
  <c r="BU7" i="47" s="1"/>
  <c r="AO40" i="47"/>
  <c r="AO7" i="47" s="1"/>
  <c r="I40" i="47"/>
  <c r="I7" i="47" s="1"/>
  <c r="BG38" i="47"/>
  <c r="AA38" i="47"/>
  <c r="BY37" i="47"/>
  <c r="AS37" i="47"/>
  <c r="M37" i="47"/>
  <c r="BK36" i="47"/>
  <c r="AE36" i="47"/>
  <c r="CC35" i="47"/>
  <c r="AW35" i="47"/>
  <c r="Q35" i="47"/>
  <c r="BO34" i="47"/>
  <c r="AI34" i="47"/>
  <c r="CG33" i="47"/>
  <c r="BA33" i="47"/>
  <c r="U33" i="47"/>
  <c r="BS32" i="47"/>
  <c r="AM32" i="47"/>
  <c r="G32" i="47"/>
  <c r="BE30" i="47"/>
  <c r="Y30" i="47"/>
  <c r="BW29" i="47"/>
  <c r="AQ29" i="47"/>
  <c r="K29" i="47"/>
  <c r="BI27" i="47"/>
  <c r="AC27" i="47"/>
  <c r="CA26" i="47"/>
  <c r="AU26" i="47"/>
  <c r="AU20" i="49"/>
  <c r="CE18" i="49"/>
  <c r="AK17" i="49"/>
  <c r="BU14" i="49"/>
  <c r="AC43" i="48"/>
  <c r="BM40" i="48"/>
  <c r="BM7" i="48" s="1"/>
  <c r="S38" i="48"/>
  <c r="BC36" i="48"/>
  <c r="BI35" i="48"/>
  <c r="S35" i="48"/>
  <c r="BG34" i="48"/>
  <c r="Q34" i="48"/>
  <c r="BO33" i="48"/>
  <c r="AI33" i="48"/>
  <c r="CG32" i="48"/>
  <c r="BA32" i="48"/>
  <c r="U32" i="48"/>
  <c r="BS30" i="48"/>
  <c r="AM30" i="48"/>
  <c r="G30" i="48"/>
  <c r="BE29" i="48"/>
  <c r="Y29" i="48"/>
  <c r="BW27" i="48"/>
  <c r="AQ27" i="48"/>
  <c r="K27" i="48"/>
  <c r="BI26" i="48"/>
  <c r="AC26" i="48"/>
  <c r="CA24" i="48"/>
  <c r="AU24" i="48"/>
  <c r="O24" i="48"/>
  <c r="BM23" i="48"/>
  <c r="AG23" i="48"/>
  <c r="CE22" i="48"/>
  <c r="AY22" i="48"/>
  <c r="S22" i="48"/>
  <c r="BQ20" i="48"/>
  <c r="AK20" i="48"/>
  <c r="C20" i="48"/>
  <c r="BC19" i="48"/>
  <c r="W19" i="48"/>
  <c r="BU18" i="48"/>
  <c r="AO18" i="48"/>
  <c r="I18" i="48"/>
  <c r="BG17" i="48"/>
  <c r="AA17" i="48"/>
  <c r="BY15" i="48"/>
  <c r="AS15" i="48"/>
  <c r="M15" i="48"/>
  <c r="BK14" i="48"/>
  <c r="AE14" i="48"/>
  <c r="CE43" i="47"/>
  <c r="AY43" i="47"/>
  <c r="S43" i="47"/>
  <c r="BQ41" i="47"/>
  <c r="AK41" i="47"/>
  <c r="C41" i="47"/>
  <c r="BC40" i="47"/>
  <c r="BC7" i="47" s="1"/>
  <c r="W40" i="47"/>
  <c r="W7" i="47" s="1"/>
  <c r="BU38" i="47"/>
  <c r="AO38" i="47"/>
  <c r="I38" i="47"/>
  <c r="BG37" i="47"/>
  <c r="AA37" i="47"/>
  <c r="BY36" i="47"/>
  <c r="AS36" i="47"/>
  <c r="AK36" i="47"/>
  <c r="C36" i="47"/>
  <c r="BC35" i="47"/>
  <c r="W35" i="47"/>
  <c r="BU34" i="47"/>
  <c r="AO34" i="47"/>
  <c r="I34" i="47"/>
  <c r="BG33" i="47"/>
  <c r="AA33" i="47"/>
  <c r="BY32" i="47"/>
  <c r="AS32" i="47"/>
  <c r="M32" i="47"/>
  <c r="BK30" i="47"/>
  <c r="AE30" i="47"/>
  <c r="CC29" i="47"/>
  <c r="AW29" i="47"/>
  <c r="Q29" i="47"/>
  <c r="BO27" i="47"/>
  <c r="AI27" i="47"/>
  <c r="CG26" i="47"/>
  <c r="AM20" i="49"/>
  <c r="BW18" i="49"/>
  <c r="AC17" i="49"/>
  <c r="BM14" i="49"/>
  <c r="U43" i="48"/>
  <c r="BE40" i="48"/>
  <c r="BE7" i="48" s="1"/>
  <c r="K38" i="48"/>
  <c r="AU36" i="48"/>
  <c r="BG35" i="48"/>
  <c r="Q35" i="48"/>
  <c r="BC34" i="48"/>
  <c r="O34" i="48"/>
  <c r="BM33" i="48"/>
  <c r="AG33" i="48"/>
  <c r="CE32" i="48"/>
  <c r="AY32" i="48"/>
  <c r="S32" i="48"/>
  <c r="BQ30" i="48"/>
  <c r="AK30" i="48"/>
  <c r="C30" i="48"/>
  <c r="BC29" i="48"/>
  <c r="W29" i="48"/>
  <c r="BU27" i="48"/>
  <c r="AO27" i="48"/>
  <c r="I27" i="48"/>
  <c r="BG26" i="48"/>
  <c r="AA26" i="48"/>
  <c r="BY24" i="48"/>
  <c r="AS24" i="48"/>
  <c r="M24" i="48"/>
  <c r="BK23" i="48"/>
  <c r="AE23" i="48"/>
  <c r="CC22" i="48"/>
  <c r="AW22" i="48"/>
  <c r="Q22" i="48"/>
  <c r="BO20" i="48"/>
  <c r="AI20" i="48"/>
  <c r="CG19" i="48"/>
  <c r="BA19" i="48"/>
  <c r="U19" i="48"/>
  <c r="BS18" i="48"/>
  <c r="AM18" i="48"/>
  <c r="G18" i="48"/>
  <c r="BE17" i="48"/>
  <c r="Y17" i="48"/>
  <c r="BW15" i="48"/>
  <c r="AQ15" i="48"/>
  <c r="K15" i="48"/>
  <c r="BI14" i="48"/>
  <c r="AC14" i="48"/>
  <c r="CC43" i="47"/>
  <c r="AW43" i="47"/>
  <c r="Q43" i="47"/>
  <c r="BO41" i="47"/>
  <c r="AI41" i="47"/>
  <c r="CG40" i="47"/>
  <c r="CG7" i="47" s="1"/>
  <c r="BA40" i="47"/>
  <c r="BA7" i="47" s="1"/>
  <c r="U40" i="47"/>
  <c r="U7" i="47" s="1"/>
  <c r="BS38" i="47"/>
  <c r="AM38" i="47"/>
  <c r="G38" i="47"/>
  <c r="BE37" i="47"/>
  <c r="Y37" i="47"/>
  <c r="BW36" i="47"/>
  <c r="AQ36" i="47"/>
  <c r="K36" i="47"/>
  <c r="BI35" i="47"/>
  <c r="AC35" i="47"/>
  <c r="CA34" i="47"/>
  <c r="AU34" i="47"/>
  <c r="O34" i="47"/>
  <c r="BM33" i="47"/>
  <c r="AG33" i="47"/>
  <c r="CE32" i="47"/>
  <c r="AY32" i="47"/>
  <c r="S32" i="47"/>
  <c r="BQ30" i="47"/>
  <c r="AK30" i="47"/>
  <c r="C30" i="47"/>
  <c r="BC29" i="47"/>
  <c r="W29" i="47"/>
  <c r="BU27" i="47"/>
  <c r="AO27" i="47"/>
  <c r="BW26" i="47"/>
  <c r="U26" i="47"/>
  <c r="BS24" i="47"/>
  <c r="AM24" i="47"/>
  <c r="G24" i="47"/>
  <c r="BE23" i="47"/>
  <c r="Y23" i="47"/>
  <c r="BW22" i="47"/>
  <c r="AQ22" i="47"/>
  <c r="K22" i="47"/>
  <c r="BI20" i="47"/>
  <c r="AC20" i="47"/>
  <c r="CA19" i="47"/>
  <c r="AU19" i="47"/>
  <c r="O19" i="47"/>
  <c r="BM18" i="47"/>
  <c r="AG18" i="47"/>
  <c r="CE17" i="47"/>
  <c r="AY17" i="47"/>
  <c r="S17" i="47"/>
  <c r="BQ15" i="47"/>
  <c r="AK15" i="47"/>
  <c r="C15" i="47"/>
  <c r="BC14" i="47"/>
  <c r="W14" i="47"/>
  <c r="BW43" i="46"/>
  <c r="AQ43" i="46"/>
  <c r="K43" i="46"/>
  <c r="BI41" i="46"/>
  <c r="AC41" i="46"/>
  <c r="CA40" i="46"/>
  <c r="CA7" i="46" s="1"/>
  <c r="AU40" i="46"/>
  <c r="AU7" i="46" s="1"/>
  <c r="O40" i="46"/>
  <c r="O7" i="46" s="1"/>
  <c r="BM38" i="46"/>
  <c r="AG38" i="46"/>
  <c r="CE37" i="46"/>
  <c r="AY37" i="46"/>
  <c r="S37" i="46"/>
  <c r="BQ36" i="46"/>
  <c r="AK36" i="46"/>
  <c r="C36" i="46"/>
  <c r="BC35" i="46"/>
  <c r="W35" i="46"/>
  <c r="BU34" i="46"/>
  <c r="AO34" i="46"/>
  <c r="I34" i="46"/>
  <c r="BG33" i="46"/>
  <c r="AA33" i="46"/>
  <c r="BY32" i="46"/>
  <c r="AS32" i="46"/>
  <c r="M32" i="46"/>
  <c r="BK30" i="46"/>
  <c r="AE30" i="46"/>
  <c r="CC29" i="46"/>
  <c r="AW29" i="46"/>
  <c r="Q29" i="46"/>
  <c r="BO27" i="46"/>
  <c r="AI27" i="46"/>
  <c r="CG26" i="46"/>
  <c r="BA26" i="46"/>
  <c r="U26" i="46"/>
  <c r="BS24" i="46"/>
  <c r="AM24" i="46"/>
  <c r="G24" i="46"/>
  <c r="BE23" i="46"/>
  <c r="Y23" i="46"/>
  <c r="BW22" i="46"/>
  <c r="AQ22" i="46"/>
  <c r="K22" i="46"/>
  <c r="BI20" i="46"/>
  <c r="AC20" i="46"/>
  <c r="CA19" i="46"/>
  <c r="AU19" i="46"/>
  <c r="O19" i="46"/>
  <c r="BM18" i="46"/>
  <c r="AG18" i="46"/>
  <c r="CE17" i="46"/>
  <c r="AY17" i="46"/>
  <c r="S17" i="46"/>
  <c r="BQ15" i="46"/>
  <c r="AK15" i="46"/>
  <c r="C15" i="46"/>
  <c r="BC14" i="46"/>
  <c r="W14" i="46"/>
  <c r="BW43" i="45"/>
  <c r="AQ43" i="45"/>
  <c r="AK26" i="47"/>
  <c r="CG24" i="47"/>
  <c r="BA24" i="47"/>
  <c r="U24" i="47"/>
  <c r="BS23" i="47"/>
  <c r="AM23" i="47"/>
  <c r="G23" i="47"/>
  <c r="BE22" i="47"/>
  <c r="Y22" i="47"/>
  <c r="BW20" i="47"/>
  <c r="AQ20" i="47"/>
  <c r="K20" i="47"/>
  <c r="BI19" i="47"/>
  <c r="AC19" i="47"/>
  <c r="CA18" i="47"/>
  <c r="AU18" i="47"/>
  <c r="O18" i="47"/>
  <c r="BM17" i="47"/>
  <c r="AG17" i="47"/>
  <c r="CE15" i="47"/>
  <c r="AY15" i="47"/>
  <c r="S15" i="47"/>
  <c r="BQ14" i="47"/>
  <c r="AK14" i="47"/>
  <c r="C14" i="47"/>
  <c r="BE43" i="46"/>
  <c r="Y43" i="46"/>
  <c r="BW41" i="46"/>
  <c r="AQ41" i="46"/>
  <c r="K41" i="46"/>
  <c r="BI40" i="46"/>
  <c r="BI7" i="46" s="1"/>
  <c r="AC40" i="46"/>
  <c r="AC7" i="46" s="1"/>
  <c r="CA38" i="46"/>
  <c r="AU38" i="46"/>
  <c r="O38" i="46"/>
  <c r="BM37" i="46"/>
  <c r="AG37" i="46"/>
  <c r="CE36" i="46"/>
  <c r="AY36" i="46"/>
  <c r="S36" i="46"/>
  <c r="BQ35" i="46"/>
  <c r="AK35" i="46"/>
  <c r="C35" i="46"/>
  <c r="BC34" i="46"/>
  <c r="W34" i="46"/>
  <c r="BU33" i="46"/>
  <c r="AO33" i="46"/>
  <c r="I33" i="46"/>
  <c r="BG32" i="46"/>
  <c r="AA32" i="46"/>
  <c r="BY30" i="46"/>
  <c r="AS30" i="46"/>
  <c r="M30" i="46"/>
  <c r="BK29" i="46"/>
  <c r="AE29" i="46"/>
  <c r="CC27" i="46"/>
  <c r="AW27" i="46"/>
  <c r="Q27" i="46"/>
  <c r="BO26" i="46"/>
  <c r="AI26" i="46"/>
  <c r="CG24" i="46"/>
  <c r="BA24" i="46"/>
  <c r="U24" i="46"/>
  <c r="BS23" i="46"/>
  <c r="AM23" i="46"/>
  <c r="G23" i="46"/>
  <c r="BE22" i="46"/>
  <c r="Y22" i="46"/>
  <c r="BW20" i="46"/>
  <c r="AQ20" i="46"/>
  <c r="K20" i="46"/>
  <c r="BI19" i="46"/>
  <c r="AC19" i="46"/>
  <c r="CA18" i="46"/>
  <c r="AU18" i="46"/>
  <c r="O18" i="46"/>
  <c r="BM17" i="46"/>
  <c r="AG17" i="46"/>
  <c r="CE15" i="46"/>
  <c r="AY15" i="46"/>
  <c r="S15" i="46"/>
  <c r="BQ14" i="46"/>
  <c r="AK14" i="46"/>
  <c r="C14" i="46"/>
  <c r="BE43" i="45"/>
  <c r="Y43" i="45"/>
  <c r="BW41" i="45"/>
  <c r="AI26" i="47"/>
  <c r="CE24" i="47"/>
  <c r="AY24" i="47"/>
  <c r="S24" i="47"/>
  <c r="BQ23" i="47"/>
  <c r="AK23" i="47"/>
  <c r="C23" i="47"/>
  <c r="BC22" i="47"/>
  <c r="W22" i="47"/>
  <c r="BU20" i="47"/>
  <c r="AO20" i="47"/>
  <c r="I20" i="47"/>
  <c r="BG19" i="47"/>
  <c r="AA19" i="47"/>
  <c r="BY18" i="47"/>
  <c r="AS18" i="47"/>
  <c r="M18" i="47"/>
  <c r="BK17" i="47"/>
  <c r="AE17" i="47"/>
  <c r="CC15" i="47"/>
  <c r="AW15" i="47"/>
  <c r="Q15" i="47"/>
  <c r="BO14" i="47"/>
  <c r="AI14" i="47"/>
  <c r="C44" i="46"/>
  <c r="BC43" i="46"/>
  <c r="W43" i="46"/>
  <c r="BU41" i="46"/>
  <c r="AO41" i="46"/>
  <c r="I41" i="46"/>
  <c r="BG40" i="46"/>
  <c r="BG7" i="46" s="1"/>
  <c r="AA40" i="46"/>
  <c r="AA7" i="46" s="1"/>
  <c r="BY38" i="46"/>
  <c r="AS38" i="46"/>
  <c r="M38" i="46"/>
  <c r="BK37" i="46"/>
  <c r="AE37" i="46"/>
  <c r="CC36" i="46"/>
  <c r="AW36" i="46"/>
  <c r="Q36" i="46"/>
  <c r="BO35" i="46"/>
  <c r="AI35" i="46"/>
  <c r="CG34" i="46"/>
  <c r="BA34" i="46"/>
  <c r="U34" i="46"/>
  <c r="BS33" i="46"/>
  <c r="AM33" i="46"/>
  <c r="G33" i="46"/>
  <c r="BE32" i="46"/>
  <c r="Y32" i="46"/>
  <c r="BW30" i="46"/>
  <c r="AQ30" i="46"/>
  <c r="K30" i="46"/>
  <c r="BI29" i="46"/>
  <c r="AC29" i="46"/>
  <c r="CA27" i="46"/>
  <c r="AU27" i="46"/>
  <c r="O27" i="46"/>
  <c r="BM26" i="46"/>
  <c r="AG26" i="46"/>
  <c r="CE24" i="46"/>
  <c r="AY24" i="46"/>
  <c r="S24" i="46"/>
  <c r="BQ23" i="46"/>
  <c r="AK23" i="46"/>
  <c r="C23" i="46"/>
  <c r="AC36" i="47"/>
  <c r="CA35" i="47"/>
  <c r="AU35" i="47"/>
  <c r="O35" i="47"/>
  <c r="BM34" i="47"/>
  <c r="AG34" i="47"/>
  <c r="CE33" i="47"/>
  <c r="AY33" i="47"/>
  <c r="S33" i="47"/>
  <c r="BQ32" i="47"/>
  <c r="AK32" i="47"/>
  <c r="C32" i="47"/>
  <c r="BC30" i="47"/>
  <c r="W30" i="47"/>
  <c r="BU29" i="47"/>
  <c r="AO29" i="47"/>
  <c r="I29" i="47"/>
  <c r="BG27" i="47"/>
  <c r="AA27" i="47"/>
  <c r="BY26" i="47"/>
  <c r="G20" i="49"/>
  <c r="AQ18" i="49"/>
  <c r="CA15" i="49"/>
  <c r="AG14" i="49"/>
  <c r="BS41" i="48"/>
  <c r="Y40" i="48"/>
  <c r="Y7" i="48" s="1"/>
  <c r="BI37" i="48"/>
  <c r="O36" i="48"/>
  <c r="AW35" i="48"/>
  <c r="C35" i="48"/>
  <c r="AS34" i="48"/>
  <c r="G34" i="48"/>
  <c r="BE33" i="48"/>
  <c r="Y33" i="48"/>
  <c r="BW32" i="48"/>
  <c r="AQ32" i="48"/>
  <c r="K32" i="48"/>
  <c r="BI30" i="48"/>
  <c r="AC30" i="48"/>
  <c r="CA29" i="48"/>
  <c r="AU29" i="48"/>
  <c r="O29" i="48"/>
  <c r="BM27" i="48"/>
  <c r="AG27" i="48"/>
  <c r="CE26" i="48"/>
  <c r="AY26" i="48"/>
  <c r="S26" i="48"/>
  <c r="BQ24" i="48"/>
  <c r="AK24" i="48"/>
  <c r="C24" i="48"/>
  <c r="BC23" i="48"/>
  <c r="W23" i="48"/>
  <c r="BU22" i="48"/>
  <c r="AO22" i="48"/>
  <c r="I22" i="48"/>
  <c r="BG20" i="48"/>
  <c r="AA20" i="48"/>
  <c r="BY19" i="48"/>
  <c r="AS19" i="48"/>
  <c r="M19" i="48"/>
  <c r="BK18" i="48"/>
  <c r="AE18" i="48"/>
  <c r="CC17" i="48"/>
  <c r="AW17" i="48"/>
  <c r="Q17" i="48"/>
  <c r="BO15" i="48"/>
  <c r="AI15" i="48"/>
  <c r="CG14" i="48"/>
  <c r="BA14" i="48"/>
  <c r="U14" i="48"/>
  <c r="BU43" i="47"/>
  <c r="AO43" i="47"/>
  <c r="I43" i="47"/>
  <c r="BG41" i="47"/>
  <c r="AA41" i="47"/>
  <c r="BY40" i="47"/>
  <c r="BY7" i="47" s="1"/>
  <c r="AS40" i="47"/>
  <c r="AS7" i="47" s="1"/>
  <c r="M40" i="47"/>
  <c r="M7" i="47" s="1"/>
  <c r="BK38" i="47"/>
  <c r="AE38" i="47"/>
  <c r="CC37" i="47"/>
  <c r="AW37" i="47"/>
  <c r="Q37" i="47"/>
  <c r="BO36" i="47"/>
  <c r="AI36" i="47"/>
  <c r="CG35" i="47"/>
  <c r="BA35" i="47"/>
  <c r="U35" i="47"/>
  <c r="BS34" i="47"/>
  <c r="AM34" i="47"/>
  <c r="G34" i="47"/>
  <c r="BE33" i="47"/>
  <c r="Y33" i="47"/>
  <c r="BW32" i="47"/>
  <c r="AQ32" i="47"/>
  <c r="K32" i="47"/>
  <c r="BI30" i="47"/>
  <c r="AC30" i="47"/>
  <c r="CA29" i="47"/>
  <c r="AU29" i="47"/>
  <c r="O29" i="47"/>
  <c r="BM27" i="47"/>
  <c r="AG27" i="47"/>
  <c r="BG26" i="47"/>
  <c r="M26" i="47"/>
  <c r="BK24" i="47"/>
  <c r="AE24" i="47"/>
  <c r="CC23" i="47"/>
  <c r="AW23" i="47"/>
  <c r="Q23" i="47"/>
  <c r="BO22" i="47"/>
  <c r="AI22" i="47"/>
  <c r="CG20" i="47"/>
  <c r="BA20" i="47"/>
  <c r="U20" i="47"/>
  <c r="BS19" i="47"/>
  <c r="AM19" i="47"/>
  <c r="G19" i="47"/>
  <c r="BE18" i="47"/>
  <c r="Y18" i="47"/>
  <c r="BW17" i="47"/>
  <c r="AQ17" i="47"/>
  <c r="K17" i="47"/>
  <c r="BI15" i="47"/>
  <c r="AC15" i="47"/>
  <c r="CA14" i="47"/>
  <c r="AU14" i="47"/>
  <c r="O14" i="47"/>
  <c r="BO43" i="46"/>
  <c r="AI43" i="46"/>
  <c r="CG41" i="46"/>
  <c r="BA41" i="46"/>
  <c r="U41" i="46"/>
  <c r="BS40" i="46"/>
  <c r="BS7" i="46" s="1"/>
  <c r="AM40" i="46"/>
  <c r="AM7" i="46" s="1"/>
  <c r="G40" i="46"/>
  <c r="G7" i="46" s="1"/>
  <c r="BE38" i="46"/>
  <c r="Y38" i="46"/>
  <c r="BW37" i="46"/>
  <c r="AQ37" i="46"/>
  <c r="K37" i="46"/>
  <c r="BI36" i="46"/>
  <c r="AC36" i="46"/>
  <c r="CA35" i="46"/>
  <c r="AU35" i="46"/>
  <c r="O35" i="46"/>
  <c r="BM34" i="46"/>
  <c r="AG34" i="46"/>
  <c r="CE33" i="46"/>
  <c r="AY33" i="46"/>
  <c r="S33" i="46"/>
  <c r="BQ32" i="46"/>
  <c r="AK32" i="46"/>
  <c r="C32" i="46"/>
  <c r="BC30" i="46"/>
  <c r="W30" i="46"/>
  <c r="BU29" i="46"/>
  <c r="AO29" i="46"/>
  <c r="I29" i="46"/>
  <c r="BG27" i="46"/>
  <c r="AA27" i="46"/>
  <c r="BY26" i="46"/>
  <c r="AS26" i="46"/>
  <c r="M26" i="46"/>
  <c r="BK24" i="46"/>
  <c r="AE24" i="46"/>
  <c r="CC23" i="46"/>
  <c r="AW23" i="46"/>
  <c r="Q23" i="46"/>
  <c r="BO22" i="46"/>
  <c r="AI22" i="46"/>
  <c r="CG20" i="46"/>
  <c r="BA20" i="46"/>
  <c r="U20" i="46"/>
  <c r="BS19" i="46"/>
  <c r="AM19" i="46"/>
  <c r="G19" i="46"/>
  <c r="BE18" i="46"/>
  <c r="Y18" i="46"/>
  <c r="BW17" i="46"/>
  <c r="AQ17" i="46"/>
  <c r="K17" i="46"/>
  <c r="BI15" i="46"/>
  <c r="AC15" i="46"/>
  <c r="CA14" i="46"/>
  <c r="AU14" i="46"/>
  <c r="O14" i="46"/>
  <c r="BO43" i="45"/>
  <c r="AI43" i="45"/>
  <c r="AA26" i="47"/>
  <c r="BY24" i="47"/>
  <c r="AS24" i="47"/>
  <c r="M24" i="47"/>
  <c r="BK23" i="47"/>
  <c r="AE23" i="47"/>
  <c r="CC22" i="47"/>
  <c r="AW22" i="47"/>
  <c r="Q22" i="47"/>
  <c r="BO20" i="47"/>
  <c r="AI20" i="47"/>
  <c r="CG19" i="47"/>
  <c r="BA19" i="47"/>
  <c r="U19" i="47"/>
  <c r="BS18" i="47"/>
  <c r="AM18" i="47"/>
  <c r="G18" i="47"/>
  <c r="BE17" i="47"/>
  <c r="Y17" i="47"/>
  <c r="BW15" i="47"/>
  <c r="AQ15" i="47"/>
  <c r="K15" i="47"/>
  <c r="BI14" i="47"/>
  <c r="AC14" i="47"/>
  <c r="CC43" i="46"/>
  <c r="AW43" i="46"/>
  <c r="Q43" i="46"/>
  <c r="BO41" i="46"/>
  <c r="AI41" i="46"/>
  <c r="CG40" i="46"/>
  <c r="CG7" i="46" s="1"/>
  <c r="BA40" i="46"/>
  <c r="BA7" i="46" s="1"/>
  <c r="U40" i="46"/>
  <c r="U7" i="46" s="1"/>
  <c r="BS38" i="46"/>
  <c r="AM38" i="46"/>
  <c r="G38" i="46"/>
  <c r="BE37" i="46"/>
  <c r="Y37" i="46"/>
  <c r="BW36" i="46"/>
  <c r="AQ36" i="46"/>
  <c r="K36" i="46"/>
  <c r="BI35" i="46"/>
  <c r="AC35" i="46"/>
  <c r="CA34" i="46"/>
  <c r="AU34" i="46"/>
  <c r="O34" i="46"/>
  <c r="BM33" i="46"/>
  <c r="AG33" i="46"/>
  <c r="CE32" i="46"/>
  <c r="AY32" i="46"/>
  <c r="S32" i="46"/>
  <c r="BQ30" i="46"/>
  <c r="AK30" i="46"/>
  <c r="C30" i="46"/>
  <c r="BC29" i="46"/>
  <c r="W29" i="46"/>
  <c r="BU27" i="46"/>
  <c r="AO27" i="46"/>
  <c r="I27" i="46"/>
  <c r="BG26" i="46"/>
  <c r="AA26" i="46"/>
  <c r="BY24" i="46"/>
  <c r="AS24" i="46"/>
  <c r="M24" i="46"/>
  <c r="BK23" i="46"/>
  <c r="AE23" i="46"/>
  <c r="CC22" i="46"/>
  <c r="AW22" i="46"/>
  <c r="Q22" i="46"/>
  <c r="BO20" i="46"/>
  <c r="AI20" i="46"/>
  <c r="CG19" i="46"/>
  <c r="BA19" i="46"/>
  <c r="U19" i="46"/>
  <c r="BS18" i="46"/>
  <c r="AM18" i="46"/>
  <c r="G18" i="46"/>
  <c r="BE17" i="46"/>
  <c r="Y17" i="46"/>
  <c r="BW15" i="46"/>
  <c r="AQ15" i="46"/>
  <c r="K15" i="46"/>
  <c r="BI14" i="46"/>
  <c r="AC14" i="46"/>
  <c r="CC43" i="45"/>
  <c r="AW43" i="45"/>
  <c r="Q43" i="45"/>
  <c r="I27" i="47"/>
  <c r="Y26" i="47"/>
  <c r="BW24" i="47"/>
  <c r="AQ24" i="47"/>
  <c r="K24" i="47"/>
  <c r="BI23" i="47"/>
  <c r="AC23" i="47"/>
  <c r="CA22" i="47"/>
  <c r="AU22" i="47"/>
  <c r="O22" i="47"/>
  <c r="BM20" i="47"/>
  <c r="AG20" i="47"/>
  <c r="CE19" i="47"/>
  <c r="AY19" i="47"/>
  <c r="S19" i="47"/>
  <c r="BQ18" i="47"/>
  <c r="AK18" i="47"/>
  <c r="C18" i="47"/>
  <c r="BC17" i="47"/>
  <c r="W17" i="47"/>
  <c r="BU15" i="47"/>
  <c r="AO15" i="47"/>
  <c r="I15" i="47"/>
  <c r="BG14" i="47"/>
  <c r="AA14" i="47"/>
  <c r="CA43" i="46"/>
  <c r="AU43" i="46"/>
  <c r="O43" i="46"/>
  <c r="BM41" i="46"/>
  <c r="AG41" i="46"/>
  <c r="CE40" i="46"/>
  <c r="CE7" i="46" s="1"/>
  <c r="AY40" i="46"/>
  <c r="AY7" i="46" s="1"/>
  <c r="S40" i="46"/>
  <c r="S7" i="46" s="1"/>
  <c r="BQ38" i="46"/>
  <c r="AK38" i="46"/>
  <c r="C38" i="46"/>
  <c r="BC37" i="46"/>
  <c r="W37" i="46"/>
  <c r="BU36" i="46"/>
  <c r="AO36" i="46"/>
  <c r="I36" i="46"/>
  <c r="BG35" i="46"/>
  <c r="AA35" i="46"/>
  <c r="BY34" i="46"/>
  <c r="AS34" i="46"/>
  <c r="M34" i="46"/>
  <c r="BK33" i="46"/>
  <c r="AE33" i="46"/>
  <c r="CC32" i="46"/>
  <c r="AW32" i="46"/>
  <c r="Q32" i="46"/>
  <c r="BO30" i="46"/>
  <c r="AI30" i="46"/>
  <c r="CG29" i="46"/>
  <c r="BA29" i="46"/>
  <c r="U29" i="46"/>
  <c r="BS27" i="46"/>
  <c r="AM27" i="46"/>
  <c r="G27" i="46"/>
  <c r="BE26" i="46"/>
  <c r="Y26" i="46"/>
  <c r="BW24" i="46"/>
  <c r="AQ24" i="46"/>
  <c r="K24" i="46"/>
  <c r="BI23" i="46"/>
  <c r="AC23" i="46"/>
  <c r="CA22" i="46"/>
  <c r="U36" i="47"/>
  <c r="BS35" i="47"/>
  <c r="AM35" i="47"/>
  <c r="G35" i="47"/>
  <c r="BE34" i="47"/>
  <c r="Y34" i="47"/>
  <c r="BW33" i="47"/>
  <c r="AQ33" i="47"/>
  <c r="K33" i="47"/>
  <c r="BI32" i="47"/>
  <c r="AC32" i="47"/>
  <c r="CA30" i="47"/>
  <c r="AU30" i="47"/>
  <c r="O30" i="47"/>
  <c r="BM29" i="47"/>
  <c r="AG29" i="47"/>
  <c r="CE27" i="47"/>
  <c r="AY27" i="47"/>
  <c r="S27" i="47"/>
  <c r="U22" i="49"/>
  <c r="BE19" i="49"/>
  <c r="K18" i="49"/>
  <c r="AU15" i="49"/>
  <c r="CG43" i="48"/>
  <c r="AM41" i="48"/>
  <c r="BW38" i="48"/>
  <c r="AC37" i="48"/>
  <c r="CC35" i="48"/>
  <c r="AK35" i="48"/>
  <c r="BY34" i="48"/>
  <c r="AI34" i="48"/>
  <c r="CC33" i="48"/>
  <c r="AW33" i="48"/>
  <c r="Q33" i="48"/>
  <c r="BO32" i="48"/>
  <c r="AI32" i="48"/>
  <c r="CG30" i="48"/>
  <c r="BA30" i="48"/>
  <c r="U30" i="48"/>
  <c r="BS29" i="48"/>
  <c r="AM29" i="48"/>
  <c r="G29" i="48"/>
  <c r="BE27" i="48"/>
  <c r="Y27" i="48"/>
  <c r="BW26" i="48"/>
  <c r="AQ26" i="48"/>
  <c r="K26" i="48"/>
  <c r="BI24" i="48"/>
  <c r="AC24" i="48"/>
  <c r="CA23" i="48"/>
  <c r="AU23" i="48"/>
  <c r="O23" i="48"/>
  <c r="BM22" i="48"/>
  <c r="AG22" i="48"/>
  <c r="CE20" i="48"/>
  <c r="AY20" i="48"/>
  <c r="S20" i="48"/>
  <c r="BQ19" i="48"/>
  <c r="AK19" i="48"/>
  <c r="C19" i="48"/>
  <c r="BC18" i="48"/>
  <c r="W18" i="48"/>
  <c r="BU17" i="48"/>
  <c r="AO17" i="48"/>
  <c r="I17" i="48"/>
  <c r="BG15" i="48"/>
  <c r="AA15" i="48"/>
  <c r="BY14" i="48"/>
  <c r="AS14" i="48"/>
  <c r="M14" i="48"/>
  <c r="BM43" i="47"/>
  <c r="AG43" i="47"/>
  <c r="CE41" i="47"/>
  <c r="AY41" i="47"/>
  <c r="S41" i="47"/>
  <c r="BQ40" i="47"/>
  <c r="BQ7" i="47" s="1"/>
  <c r="AK40" i="47"/>
  <c r="AK7" i="47" s="1"/>
  <c r="C40" i="47"/>
  <c r="BC38" i="47"/>
  <c r="W38" i="47"/>
  <c r="BU37" i="47"/>
  <c r="AO37" i="47"/>
  <c r="I37" i="47"/>
  <c r="BG36" i="47"/>
  <c r="AA36" i="47"/>
  <c r="BY35" i="47"/>
  <c r="AS35" i="47"/>
  <c r="M35" i="47"/>
  <c r="BK34" i="47"/>
  <c r="AE34" i="47"/>
  <c r="CC33" i="47"/>
  <c r="AW33" i="47"/>
  <c r="Q33" i="47"/>
  <c r="BO32" i="47"/>
  <c r="AI32" i="47"/>
  <c r="CG30" i="47"/>
  <c r="BA30" i="47"/>
  <c r="U30" i="47"/>
  <c r="BS29" i="47"/>
  <c r="AM29" i="47"/>
  <c r="G29" i="47"/>
  <c r="BE27" i="47"/>
  <c r="Y27" i="47"/>
  <c r="AQ26" i="47"/>
  <c r="C26" i="47"/>
  <c r="BC24" i="47"/>
  <c r="W24" i="47"/>
  <c r="BU23" i="47"/>
  <c r="AO23" i="47"/>
  <c r="I23" i="47"/>
  <c r="BG22" i="47"/>
  <c r="AA22" i="47"/>
  <c r="BY20" i="47"/>
  <c r="AS20" i="47"/>
  <c r="M20" i="47"/>
  <c r="BK19" i="47"/>
  <c r="AE19" i="47"/>
  <c r="CC18" i="47"/>
  <c r="AW18" i="47"/>
  <c r="Q18" i="47"/>
  <c r="BO17" i="47"/>
  <c r="AI17" i="47"/>
  <c r="CG15" i="47"/>
  <c r="BA15" i="47"/>
  <c r="U15" i="47"/>
  <c r="BS14" i="47"/>
  <c r="AM14" i="47"/>
  <c r="G14" i="47"/>
  <c r="BG43" i="46"/>
  <c r="AA43" i="46"/>
  <c r="BY41" i="46"/>
  <c r="AS41" i="46"/>
  <c r="M41" i="46"/>
  <c r="BK40" i="46"/>
  <c r="BK7" i="46" s="1"/>
  <c r="AE40" i="46"/>
  <c r="AE7" i="46" s="1"/>
  <c r="CC38" i="46"/>
  <c r="AW38" i="46"/>
  <c r="Q38" i="46"/>
  <c r="BO37" i="46"/>
  <c r="AI37" i="46"/>
  <c r="CG36" i="46"/>
  <c r="BA36" i="46"/>
  <c r="U36" i="46"/>
  <c r="BS35" i="46"/>
  <c r="AM35" i="46"/>
  <c r="G35" i="46"/>
  <c r="BE34" i="46"/>
  <c r="Y34" i="46"/>
  <c r="BW33" i="46"/>
  <c r="AQ33" i="46"/>
  <c r="K33" i="46"/>
  <c r="BI32" i="46"/>
  <c r="AC32" i="46"/>
  <c r="CA30" i="46"/>
  <c r="AU30" i="46"/>
  <c r="O30" i="46"/>
  <c r="BM29" i="46"/>
  <c r="AG29" i="46"/>
  <c r="CE27" i="46"/>
  <c r="AY27" i="46"/>
  <c r="S27" i="46"/>
  <c r="BQ26" i="46"/>
  <c r="AK26" i="46"/>
  <c r="C26" i="46"/>
  <c r="BC24" i="46"/>
  <c r="W24" i="46"/>
  <c r="BU23" i="46"/>
  <c r="AO23" i="46"/>
  <c r="I23" i="46"/>
  <c r="BG22" i="46"/>
  <c r="AA22" i="46"/>
  <c r="BY20" i="46"/>
  <c r="AS20" i="46"/>
  <c r="M20" i="46"/>
  <c r="BK19" i="46"/>
  <c r="AE19" i="46"/>
  <c r="CC18" i="46"/>
  <c r="AW18" i="46"/>
  <c r="Q18" i="46"/>
  <c r="BO17" i="46"/>
  <c r="AI17" i="46"/>
  <c r="CG15" i="46"/>
  <c r="BA15" i="46"/>
  <c r="U15" i="46"/>
  <c r="BS14" i="46"/>
  <c r="AM14" i="46"/>
  <c r="G14" i="46"/>
  <c r="BG43" i="45"/>
  <c r="BQ26" i="47"/>
  <c r="S26" i="47"/>
  <c r="BQ24" i="47"/>
  <c r="AK24" i="47"/>
  <c r="C24" i="47"/>
  <c r="BC23" i="47"/>
  <c r="W23" i="47"/>
  <c r="BU22" i="47"/>
  <c r="AO22" i="47"/>
  <c r="I22" i="47"/>
  <c r="BG20" i="47"/>
  <c r="AA20" i="47"/>
  <c r="BY19" i="47"/>
  <c r="AS19" i="47"/>
  <c r="M19" i="47"/>
  <c r="BK18" i="47"/>
  <c r="AE18" i="47"/>
  <c r="CC17" i="47"/>
  <c r="AW17" i="47"/>
  <c r="Q17" i="47"/>
  <c r="BO15" i="47"/>
  <c r="AI15" i="47"/>
  <c r="CG14" i="47"/>
  <c r="BA14" i="47"/>
  <c r="U14" i="47"/>
  <c r="BU43" i="46"/>
  <c r="AO43" i="46"/>
  <c r="I43" i="46"/>
  <c r="BG41" i="46"/>
  <c r="AA41" i="46"/>
  <c r="BY40" i="46"/>
  <c r="BY7" i="46" s="1"/>
  <c r="AS40" i="46"/>
  <c r="AS7" i="46" s="1"/>
  <c r="M40" i="46"/>
  <c r="M7" i="46" s="1"/>
  <c r="BK38" i="46"/>
  <c r="AE38" i="46"/>
  <c r="CC37" i="46"/>
  <c r="AW37" i="46"/>
  <c r="Q37" i="46"/>
  <c r="BO36" i="46"/>
  <c r="AI36" i="46"/>
  <c r="CG35" i="46"/>
  <c r="BA35" i="46"/>
  <c r="U35" i="46"/>
  <c r="BS34" i="46"/>
  <c r="AM34" i="46"/>
  <c r="G34" i="46"/>
  <c r="BE33" i="46"/>
  <c r="Y33" i="46"/>
  <c r="BW32" i="46"/>
  <c r="AQ32" i="46"/>
  <c r="K32" i="46"/>
  <c r="BI30" i="46"/>
  <c r="AC30" i="46"/>
  <c r="CA29" i="46"/>
  <c r="AU29" i="46"/>
  <c r="O29" i="46"/>
  <c r="BM27" i="46"/>
  <c r="AG27" i="46"/>
  <c r="CE26" i="46"/>
  <c r="AY26" i="46"/>
  <c r="S26" i="46"/>
  <c r="BQ24" i="46"/>
  <c r="AK24" i="46"/>
  <c r="C24" i="46"/>
  <c r="BC23" i="46"/>
  <c r="W23" i="46"/>
  <c r="BU22" i="46"/>
  <c r="AO22" i="46"/>
  <c r="I22" i="46"/>
  <c r="BG20" i="46"/>
  <c r="AA20" i="46"/>
  <c r="BY19" i="46"/>
  <c r="AS19" i="46"/>
  <c r="M19" i="46"/>
  <c r="BK18" i="46"/>
  <c r="AE18" i="46"/>
  <c r="CC17" i="46"/>
  <c r="AW17" i="46"/>
  <c r="Q17" i="46"/>
  <c r="BO15" i="46"/>
  <c r="AI15" i="46"/>
  <c r="CG14" i="46"/>
  <c r="BA14" i="46"/>
  <c r="U14" i="46"/>
  <c r="BU43" i="45"/>
  <c r="AO43" i="45"/>
  <c r="I43" i="45"/>
  <c r="BO26" i="47"/>
  <c r="Q26" i="47"/>
  <c r="BO24" i="47"/>
  <c r="AI24" i="47"/>
  <c r="CG23" i="47"/>
  <c r="BA23" i="47"/>
  <c r="U23" i="47"/>
  <c r="BS22" i="47"/>
  <c r="AM22" i="47"/>
  <c r="G22" i="47"/>
  <c r="BE20" i="47"/>
  <c r="Y20" i="47"/>
  <c r="BW19" i="47"/>
  <c r="AQ19" i="47"/>
  <c r="K19" i="47"/>
  <c r="BI18" i="47"/>
  <c r="AC18" i="47"/>
  <c r="CA17" i="47"/>
  <c r="AU17" i="47"/>
  <c r="O17" i="47"/>
  <c r="BM15" i="47"/>
  <c r="AG15" i="47"/>
  <c r="CE14" i="47"/>
  <c r="AY14" i="47"/>
  <c r="S14" i="47"/>
  <c r="BS43" i="46"/>
  <c r="AM43" i="46"/>
  <c r="G43" i="46"/>
  <c r="BE41" i="46"/>
  <c r="Y41" i="46"/>
  <c r="BW40" i="46"/>
  <c r="BW7" i="46" s="1"/>
  <c r="AQ40" i="46"/>
  <c r="AQ7" i="46" s="1"/>
  <c r="K40" i="46"/>
  <c r="K7" i="46" s="1"/>
  <c r="BI38" i="46"/>
  <c r="AC38" i="46"/>
  <c r="CA37" i="46"/>
  <c r="AU37" i="46"/>
  <c r="O37" i="46"/>
  <c r="BM36" i="46"/>
  <c r="AG36" i="46"/>
  <c r="CE35" i="46"/>
  <c r="AY35" i="46"/>
  <c r="S35" i="46"/>
  <c r="BQ34" i="46"/>
  <c r="AK34" i="46"/>
  <c r="C34" i="46"/>
  <c r="BC33" i="46"/>
  <c r="W33" i="46"/>
  <c r="BU32" i="46"/>
  <c r="AO32" i="46"/>
  <c r="I32" i="46"/>
  <c r="BG30" i="46"/>
  <c r="AA30" i="46"/>
  <c r="BY29" i="46"/>
  <c r="AS29" i="46"/>
  <c r="M29" i="46"/>
  <c r="BK27" i="46"/>
  <c r="AE27" i="46"/>
  <c r="CC26" i="46"/>
  <c r="AW26" i="46"/>
  <c r="Q26" i="46"/>
  <c r="BO24" i="46"/>
  <c r="AI24" i="46"/>
  <c r="CG23" i="46"/>
  <c r="BA23" i="46"/>
  <c r="U23" i="46"/>
  <c r="M36" i="47"/>
  <c r="BK35" i="47"/>
  <c r="AE35" i="47"/>
  <c r="CC34" i="47"/>
  <c r="AW34" i="47"/>
  <c r="Q34" i="47"/>
  <c r="BO33" i="47"/>
  <c r="AI33" i="47"/>
  <c r="CG32" i="47"/>
  <c r="BA32" i="47"/>
  <c r="U32" i="47"/>
  <c r="BS30" i="47"/>
  <c r="AM30" i="47"/>
  <c r="G30" i="47"/>
  <c r="BE29" i="47"/>
  <c r="Y29" i="47"/>
  <c r="BW27" i="47"/>
  <c r="AQ27" i="47"/>
  <c r="K27" i="47"/>
  <c r="BS20" i="49"/>
  <c r="Y19" i="49"/>
  <c r="BI17" i="49"/>
  <c r="O15" i="49"/>
  <c r="BA43" i="48"/>
  <c r="G41" i="48"/>
  <c r="AQ38" i="48"/>
  <c r="CA36" i="48"/>
  <c r="BQ35" i="48"/>
  <c r="AA35" i="48"/>
  <c r="BO34" i="48"/>
  <c r="W34" i="48"/>
  <c r="BU33" i="48"/>
  <c r="AO33" i="48"/>
  <c r="I33" i="48"/>
  <c r="BG32" i="48"/>
  <c r="AA32" i="48"/>
  <c r="BY30" i="48"/>
  <c r="AS30" i="48"/>
  <c r="M30" i="48"/>
  <c r="BK29" i="48"/>
  <c r="AE29" i="48"/>
  <c r="CC27" i="48"/>
  <c r="AW27" i="48"/>
  <c r="Q27" i="48"/>
  <c r="BO26" i="48"/>
  <c r="AI26" i="48"/>
  <c r="CG24" i="48"/>
  <c r="BA24" i="48"/>
  <c r="U24" i="48"/>
  <c r="BS23" i="48"/>
  <c r="AM23" i="48"/>
  <c r="G23" i="48"/>
  <c r="BE22" i="48"/>
  <c r="Y22" i="48"/>
  <c r="BW20" i="48"/>
  <c r="AQ20" i="48"/>
  <c r="K20" i="48"/>
  <c r="BI19" i="48"/>
  <c r="AC19" i="48"/>
  <c r="CA18" i="48"/>
  <c r="AU18" i="48"/>
  <c r="O18" i="48"/>
  <c r="BM17" i="48"/>
  <c r="AG17" i="48"/>
  <c r="CE15" i="48"/>
  <c r="AY15" i="48"/>
  <c r="S15" i="48"/>
  <c r="BQ14" i="48"/>
  <c r="AK14" i="48"/>
  <c r="C14" i="48"/>
  <c r="BE43" i="47"/>
  <c r="Y43" i="47"/>
  <c r="BW41" i="47"/>
  <c r="AQ41" i="47"/>
  <c r="K41" i="47"/>
  <c r="BI40" i="47"/>
  <c r="BI7" i="47" s="1"/>
  <c r="AC40" i="47"/>
  <c r="AC7" i="47" s="1"/>
  <c r="CA38" i="47"/>
  <c r="AU38" i="47"/>
  <c r="O38" i="47"/>
  <c r="BM37" i="47"/>
  <c r="AG37" i="47"/>
  <c r="CE36" i="47"/>
  <c r="AY36" i="47"/>
  <c r="S36" i="47"/>
  <c r="BQ35" i="47"/>
  <c r="AK35" i="47"/>
  <c r="C35" i="47"/>
  <c r="BC34" i="47"/>
  <c r="W34" i="47"/>
  <c r="BU33" i="47"/>
  <c r="AO33" i="47"/>
  <c r="I33" i="47"/>
  <c r="BG32" i="47"/>
  <c r="AA32" i="47"/>
  <c r="BY30" i="47"/>
  <c r="AS30" i="47"/>
  <c r="M30" i="47"/>
  <c r="BK29" i="47"/>
  <c r="AE29" i="47"/>
  <c r="CC27" i="47"/>
  <c r="AW27" i="47"/>
  <c r="Q27" i="47"/>
  <c r="AC26" i="47"/>
  <c r="CA24" i="47"/>
  <c r="AU24" i="47"/>
  <c r="O24" i="47"/>
  <c r="BM23" i="47"/>
  <c r="AG23" i="47"/>
  <c r="CE22" i="47"/>
  <c r="AY22" i="47"/>
  <c r="S22" i="47"/>
  <c r="BQ20" i="47"/>
  <c r="AK20" i="47"/>
  <c r="C20" i="47"/>
  <c r="BC19" i="47"/>
  <c r="W19" i="47"/>
  <c r="BU18" i="47"/>
  <c r="AO18" i="47"/>
  <c r="I18" i="47"/>
  <c r="BG17" i="47"/>
  <c r="AA17" i="47"/>
  <c r="BY15" i="47"/>
  <c r="AS15" i="47"/>
  <c r="M15" i="47"/>
  <c r="BK14" i="47"/>
  <c r="AE14" i="47"/>
  <c r="CE43" i="46"/>
  <c r="AY43" i="46"/>
  <c r="S43" i="46"/>
  <c r="BQ41" i="46"/>
  <c r="AK41" i="46"/>
  <c r="C41" i="46"/>
  <c r="BC40" i="46"/>
  <c r="BC7" i="46" s="1"/>
  <c r="W40" i="46"/>
  <c r="W7" i="46" s="1"/>
  <c r="BU38" i="46"/>
  <c r="AO38" i="46"/>
  <c r="I38" i="46"/>
  <c r="BG37" i="46"/>
  <c r="AA37" i="46"/>
  <c r="BY36" i="46"/>
  <c r="AS36" i="46"/>
  <c r="M36" i="46"/>
  <c r="BK35" i="46"/>
  <c r="AE35" i="46"/>
  <c r="CC34" i="46"/>
  <c r="AW34" i="46"/>
  <c r="Q34" i="46"/>
  <c r="BO33" i="46"/>
  <c r="AI33" i="46"/>
  <c r="CG32" i="46"/>
  <c r="BA32" i="46"/>
  <c r="U32" i="46"/>
  <c r="BS30" i="46"/>
  <c r="AM30" i="46"/>
  <c r="G30" i="46"/>
  <c r="BE29" i="46"/>
  <c r="Y29" i="46"/>
  <c r="BW27" i="46"/>
  <c r="AQ27" i="46"/>
  <c r="K27" i="46"/>
  <c r="BI26" i="46"/>
  <c r="AC26" i="46"/>
  <c r="CA24" i="46"/>
  <c r="AU24" i="46"/>
  <c r="O24" i="46"/>
  <c r="BM23" i="46"/>
  <c r="AG23" i="46"/>
  <c r="CE22" i="46"/>
  <c r="AY22" i="46"/>
  <c r="S22" i="46"/>
  <c r="BQ20" i="46"/>
  <c r="AK20" i="46"/>
  <c r="C20" i="46"/>
  <c r="BC19" i="46"/>
  <c r="W19" i="46"/>
  <c r="BU18" i="46"/>
  <c r="AO18" i="46"/>
  <c r="I18" i="46"/>
  <c r="BG17" i="46"/>
  <c r="AA17" i="46"/>
  <c r="BY15" i="46"/>
  <c r="AS15" i="46"/>
  <c r="M15" i="46"/>
  <c r="BK14" i="46"/>
  <c r="AE14" i="46"/>
  <c r="CE43" i="45"/>
  <c r="AY43" i="45"/>
  <c r="BA26" i="47"/>
  <c r="K26" i="47"/>
  <c r="BI24" i="47"/>
  <c r="AC24" i="47"/>
  <c r="CA23" i="47"/>
  <c r="AU23" i="47"/>
  <c r="O23" i="47"/>
  <c r="BM22" i="47"/>
  <c r="AG22" i="47"/>
  <c r="CE20" i="47"/>
  <c r="AY20" i="47"/>
  <c r="S20" i="47"/>
  <c r="BQ19" i="47"/>
  <c r="AK19" i="47"/>
  <c r="C19" i="47"/>
  <c r="BC18" i="47"/>
  <c r="W18" i="47"/>
  <c r="BU17" i="47"/>
  <c r="AO17" i="47"/>
  <c r="I17" i="47"/>
  <c r="BG15" i="47"/>
  <c r="AA15" i="47"/>
  <c r="BY14" i="47"/>
  <c r="AS14" i="47"/>
  <c r="M14" i="47"/>
  <c r="BM43" i="46"/>
  <c r="AG43" i="46"/>
  <c r="CE41" i="46"/>
  <c r="AY41" i="46"/>
  <c r="S41" i="46"/>
  <c r="BQ40" i="46"/>
  <c r="BQ7" i="46" s="1"/>
  <c r="AK40" i="46"/>
  <c r="AK7" i="46" s="1"/>
  <c r="C40" i="46"/>
  <c r="BC38" i="46"/>
  <c r="W38" i="46"/>
  <c r="BU37" i="46"/>
  <c r="AO37" i="46"/>
  <c r="I37" i="46"/>
  <c r="BG36" i="46"/>
  <c r="AA36" i="46"/>
  <c r="BY35" i="46"/>
  <c r="AS35" i="46"/>
  <c r="M35" i="46"/>
  <c r="BK34" i="46"/>
  <c r="AE34" i="46"/>
  <c r="CC33" i="46"/>
  <c r="AW33" i="46"/>
  <c r="Q33" i="46"/>
  <c r="BO32" i="46"/>
  <c r="AI32" i="46"/>
  <c r="CG30" i="46"/>
  <c r="BA30" i="46"/>
  <c r="U30" i="46"/>
  <c r="BS29" i="46"/>
  <c r="AM29" i="46"/>
  <c r="G29" i="46"/>
  <c r="BE27" i="46"/>
  <c r="Y27" i="46"/>
  <c r="BW26" i="46"/>
  <c r="AQ26" i="46"/>
  <c r="K26" i="46"/>
  <c r="BI24" i="46"/>
  <c r="AC24" i="46"/>
  <c r="CA23" i="46"/>
  <c r="AU23" i="46"/>
  <c r="O23" i="46"/>
  <c r="BM22" i="46"/>
  <c r="AG22" i="46"/>
  <c r="CE20" i="46"/>
  <c r="AY20" i="46"/>
  <c r="S20" i="46"/>
  <c r="BQ19" i="46"/>
  <c r="AK19" i="46"/>
  <c r="C19" i="46"/>
  <c r="BC18" i="46"/>
  <c r="W18" i="46"/>
  <c r="BU17" i="46"/>
  <c r="AO17" i="46"/>
  <c r="I17" i="46"/>
  <c r="BG15" i="46"/>
  <c r="AA15" i="46"/>
  <c r="BY14" i="46"/>
  <c r="AS14" i="46"/>
  <c r="M14" i="46"/>
  <c r="BM43" i="45"/>
  <c r="AG43" i="45"/>
  <c r="CE41" i="45"/>
  <c r="AY26" i="47"/>
  <c r="I26" i="47"/>
  <c r="BG24" i="47"/>
  <c r="AA24" i="47"/>
  <c r="BY23" i="47"/>
  <c r="AS23" i="47"/>
  <c r="M23" i="47"/>
  <c r="BK22" i="47"/>
  <c r="AE22" i="47"/>
  <c r="CC20" i="47"/>
  <c r="AW20" i="47"/>
  <c r="Q20" i="47"/>
  <c r="BO19" i="47"/>
  <c r="AI19" i="47"/>
  <c r="CG18" i="47"/>
  <c r="BA18" i="47"/>
  <c r="U18" i="47"/>
  <c r="BS17" i="47"/>
  <c r="AM17" i="47"/>
  <c r="G17" i="47"/>
  <c r="BE15" i="47"/>
  <c r="Y15" i="47"/>
  <c r="BW14" i="47"/>
  <c r="AQ14" i="47"/>
  <c r="K14" i="47"/>
  <c r="BK43" i="46"/>
  <c r="AE43" i="46"/>
  <c r="CC41" i="46"/>
  <c r="AW41" i="46"/>
  <c r="Q41" i="46"/>
  <c r="BO40" i="46"/>
  <c r="BO7" i="46" s="1"/>
  <c r="AI40" i="46"/>
  <c r="AI7" i="46" s="1"/>
  <c r="CG38" i="46"/>
  <c r="BA38" i="46"/>
  <c r="U38" i="46"/>
  <c r="BS37" i="46"/>
  <c r="AM37" i="46"/>
  <c r="G37" i="46"/>
  <c r="BE36" i="46"/>
  <c r="Y36" i="46"/>
  <c r="BW35" i="46"/>
  <c r="AQ35" i="46"/>
  <c r="K35" i="46"/>
  <c r="BI34" i="46"/>
  <c r="AC34" i="46"/>
  <c r="CA33" i="46"/>
  <c r="AU33" i="46"/>
  <c r="O33" i="46"/>
  <c r="BM32" i="46"/>
  <c r="AG32" i="46"/>
  <c r="CE30" i="46"/>
  <c r="AY30" i="46"/>
  <c r="S30" i="46"/>
  <c r="BQ29" i="46"/>
  <c r="AK29" i="46"/>
  <c r="C29" i="46"/>
  <c r="BC27" i="46"/>
  <c r="W27" i="46"/>
  <c r="BU26" i="46"/>
  <c r="AO26" i="46"/>
  <c r="I26" i="46"/>
  <c r="BG24" i="46"/>
  <c r="AA24" i="46"/>
  <c r="BY23" i="46"/>
  <c r="AS23" i="46"/>
  <c r="M23" i="46"/>
  <c r="BS22" i="46"/>
  <c r="AM22" i="46"/>
  <c r="G22" i="46"/>
  <c r="BE20" i="46"/>
  <c r="Y20" i="46"/>
  <c r="BW19" i="46"/>
  <c r="AQ19" i="46"/>
  <c r="K19" i="46"/>
  <c r="BI18" i="46"/>
  <c r="AC18" i="46"/>
  <c r="CA17" i="46"/>
  <c r="AU17" i="46"/>
  <c r="O17" i="46"/>
  <c r="BM15" i="46"/>
  <c r="AG15" i="46"/>
  <c r="CE14" i="46"/>
  <c r="AY14" i="46"/>
  <c r="S14" i="46"/>
  <c r="BS43" i="45"/>
  <c r="CE26" i="47"/>
  <c r="W26" i="47"/>
  <c r="BU24" i="47"/>
  <c r="AO24" i="47"/>
  <c r="I24" i="47"/>
  <c r="BG23" i="47"/>
  <c r="AA23" i="47"/>
  <c r="BY22" i="47"/>
  <c r="AS22" i="47"/>
  <c r="M22" i="47"/>
  <c r="BK20" i="47"/>
  <c r="AE20" i="47"/>
  <c r="CC19" i="47"/>
  <c r="AW19" i="47"/>
  <c r="Q19" i="47"/>
  <c r="BO18" i="47"/>
  <c r="AI18" i="47"/>
  <c r="CG17" i="47"/>
  <c r="BA17" i="47"/>
  <c r="U17" i="47"/>
  <c r="BS15" i="47"/>
  <c r="AM15" i="47"/>
  <c r="G15" i="47"/>
  <c r="BE14" i="47"/>
  <c r="Y14" i="47"/>
  <c r="BY43" i="46"/>
  <c r="AS43" i="46"/>
  <c r="M43" i="46"/>
  <c r="BK41" i="46"/>
  <c r="AE41" i="46"/>
  <c r="CC40" i="46"/>
  <c r="CC7" i="46" s="1"/>
  <c r="AW40" i="46"/>
  <c r="AW7" i="46" s="1"/>
  <c r="Q40" i="46"/>
  <c r="Q7" i="46" s="1"/>
  <c r="BO38" i="46"/>
  <c r="AI38" i="46"/>
  <c r="CG37" i="46"/>
  <c r="BA37" i="46"/>
  <c r="U37" i="46"/>
  <c r="BS36" i="46"/>
  <c r="AM36" i="46"/>
  <c r="G36" i="46"/>
  <c r="BE35" i="46"/>
  <c r="Y35" i="46"/>
  <c r="BW34" i="46"/>
  <c r="AQ34" i="46"/>
  <c r="K34" i="46"/>
  <c r="BI33" i="46"/>
  <c r="AC33" i="46"/>
  <c r="CA32" i="46"/>
  <c r="AU32" i="46"/>
  <c r="O32" i="46"/>
  <c r="BM30" i="46"/>
  <c r="AG30" i="46"/>
  <c r="CE29" i="46"/>
  <c r="AY29" i="46"/>
  <c r="S29" i="46"/>
  <c r="BQ27" i="46"/>
  <c r="AK27" i="46"/>
  <c r="C27" i="46"/>
  <c r="BC26" i="46"/>
  <c r="W26" i="46"/>
  <c r="BU24" i="46"/>
  <c r="AO24" i="46"/>
  <c r="I24" i="46"/>
  <c r="BG23" i="46"/>
  <c r="AA23" i="46"/>
  <c r="BY22" i="46"/>
  <c r="AS22" i="46"/>
  <c r="M22" i="46"/>
  <c r="BK20" i="46"/>
  <c r="AE20" i="46"/>
  <c r="CC19" i="46"/>
  <c r="AW19" i="46"/>
  <c r="Q19" i="46"/>
  <c r="BO18" i="46"/>
  <c r="AI18" i="46"/>
  <c r="CG17" i="46"/>
  <c r="BA17" i="46"/>
  <c r="U17" i="46"/>
  <c r="BS15" i="46"/>
  <c r="AM15" i="46"/>
  <c r="G15" i="46"/>
  <c r="BE14" i="46"/>
  <c r="Y14" i="46"/>
  <c r="BY43" i="45"/>
  <c r="AS43" i="45"/>
  <c r="O43" i="45"/>
  <c r="BG41" i="45"/>
  <c r="AA41" i="45"/>
  <c r="BY40" i="45"/>
  <c r="BY7" i="45" s="1"/>
  <c r="AS40" i="45"/>
  <c r="AS7" i="45" s="1"/>
  <c r="M40" i="45"/>
  <c r="M7" i="45" s="1"/>
  <c r="BK38" i="45"/>
  <c r="AE38" i="45"/>
  <c r="CC37" i="45"/>
  <c r="AW37" i="45"/>
  <c r="Q37" i="45"/>
  <c r="BO36" i="45"/>
  <c r="AI36" i="45"/>
  <c r="CG35" i="45"/>
  <c r="BA35" i="45"/>
  <c r="U35" i="45"/>
  <c r="BS34" i="45"/>
  <c r="AM34" i="45"/>
  <c r="G34" i="45"/>
  <c r="BE33" i="45"/>
  <c r="Y33" i="45"/>
  <c r="BW32" i="45"/>
  <c r="AQ32" i="45"/>
  <c r="K32" i="45"/>
  <c r="BI30" i="45"/>
  <c r="AC30" i="45"/>
  <c r="CA29" i="45"/>
  <c r="AU29" i="45"/>
  <c r="O29" i="45"/>
  <c r="BM27" i="45"/>
  <c r="AG27" i="45"/>
  <c r="CE26" i="45"/>
  <c r="AY26" i="45"/>
  <c r="S26" i="45"/>
  <c r="BQ24" i="45"/>
  <c r="AK24" i="45"/>
  <c r="C24" i="45"/>
  <c r="BC23" i="45"/>
  <c r="W23" i="45"/>
  <c r="BU22" i="45"/>
  <c r="AO22" i="45"/>
  <c r="I22" i="45"/>
  <c r="BG20" i="45"/>
  <c r="AA20" i="45"/>
  <c r="BY19" i="45"/>
  <c r="AS19" i="45"/>
  <c r="M19" i="45"/>
  <c r="BK18" i="45"/>
  <c r="AE18" i="45"/>
  <c r="CC17" i="45"/>
  <c r="AW17" i="45"/>
  <c r="Q17" i="45"/>
  <c r="BO15" i="45"/>
  <c r="AI15" i="45"/>
  <c r="CG14" i="45"/>
  <c r="BA14" i="45"/>
  <c r="U14" i="45"/>
  <c r="M43" i="45"/>
  <c r="BE41" i="45"/>
  <c r="Y41" i="45"/>
  <c r="BW40" i="45"/>
  <c r="BW7" i="45" s="1"/>
  <c r="AQ40" i="45"/>
  <c r="AQ7" i="45" s="1"/>
  <c r="K40" i="45"/>
  <c r="K7" i="45" s="1"/>
  <c r="BI38" i="45"/>
  <c r="AC38" i="45"/>
  <c r="CA37" i="45"/>
  <c r="AU37" i="45"/>
  <c r="O37" i="45"/>
  <c r="BM36" i="45"/>
  <c r="AG36" i="45"/>
  <c r="CE35" i="45"/>
  <c r="AY35" i="45"/>
  <c r="S35" i="45"/>
  <c r="BQ34" i="45"/>
  <c r="AK34" i="45"/>
  <c r="C34" i="45"/>
  <c r="BC33" i="45"/>
  <c r="W33" i="45"/>
  <c r="BU32" i="45"/>
  <c r="AO32" i="45"/>
  <c r="I32" i="45"/>
  <c r="BG30" i="45"/>
  <c r="AA30" i="45"/>
  <c r="BY29" i="45"/>
  <c r="AS29" i="45"/>
  <c r="M29" i="45"/>
  <c r="BK27" i="45"/>
  <c r="AE27" i="45"/>
  <c r="CC26" i="45"/>
  <c r="AW26" i="45"/>
  <c r="Q26" i="45"/>
  <c r="BO24" i="45"/>
  <c r="AI24" i="45"/>
  <c r="CG23" i="45"/>
  <c r="BA23" i="45"/>
  <c r="U23" i="45"/>
  <c r="BS22" i="45"/>
  <c r="AM22" i="45"/>
  <c r="G22" i="45"/>
  <c r="BE20" i="45"/>
  <c r="Y20" i="45"/>
  <c r="BW19" i="45"/>
  <c r="AQ19" i="45"/>
  <c r="K19" i="45"/>
  <c r="BI18" i="45"/>
  <c r="AC18" i="45"/>
  <c r="CA17" i="45"/>
  <c r="AU17" i="45"/>
  <c r="O17" i="45"/>
  <c r="BM15" i="45"/>
  <c r="AG15" i="45"/>
  <c r="CE14" i="45"/>
  <c r="AY14" i="45"/>
  <c r="S14" i="45"/>
  <c r="K43" i="45"/>
  <c r="BC41" i="45"/>
  <c r="W41" i="45"/>
  <c r="BU40" i="45"/>
  <c r="BU7" i="45" s="1"/>
  <c r="AO40" i="45"/>
  <c r="AO7" i="45" s="1"/>
  <c r="I40" i="45"/>
  <c r="I7" i="45" s="1"/>
  <c r="BG38" i="45"/>
  <c r="AA38" i="45"/>
  <c r="BY37" i="45"/>
  <c r="AS37" i="45"/>
  <c r="M37" i="45"/>
  <c r="BK36" i="45"/>
  <c r="AE36" i="45"/>
  <c r="CC35" i="45"/>
  <c r="AW35" i="45"/>
  <c r="Q35" i="45"/>
  <c r="BO34" i="45"/>
  <c r="AI34" i="45"/>
  <c r="CG33" i="45"/>
  <c r="BA33" i="45"/>
  <c r="U33" i="45"/>
  <c r="BS32" i="45"/>
  <c r="AM32" i="45"/>
  <c r="G32" i="45"/>
  <c r="BE30" i="45"/>
  <c r="Y30" i="45"/>
  <c r="BW29" i="45"/>
  <c r="AQ29" i="45"/>
  <c r="K29" i="45"/>
  <c r="BI27" i="45"/>
  <c r="AC27" i="45"/>
  <c r="CA26" i="45"/>
  <c r="AU26" i="45"/>
  <c r="O26" i="45"/>
  <c r="BM24" i="45"/>
  <c r="AG24" i="45"/>
  <c r="CE23" i="45"/>
  <c r="AY23" i="45"/>
  <c r="S23" i="45"/>
  <c r="BQ22" i="45"/>
  <c r="AK22" i="45"/>
  <c r="C22" i="45"/>
  <c r="BC20" i="45"/>
  <c r="W20" i="45"/>
  <c r="BU19" i="45"/>
  <c r="AO19" i="45"/>
  <c r="I19" i="45"/>
  <c r="BG18" i="45"/>
  <c r="AA18" i="45"/>
  <c r="BY17" i="45"/>
  <c r="AS17" i="45"/>
  <c r="M17" i="45"/>
  <c r="BK15" i="45"/>
  <c r="AE15" i="45"/>
  <c r="CC14" i="45"/>
  <c r="AW14" i="45"/>
  <c r="Q14" i="45"/>
  <c r="G43" i="45"/>
  <c r="BA41" i="45"/>
  <c r="U41" i="45"/>
  <c r="BS40" i="45"/>
  <c r="BS7" i="45" s="1"/>
  <c r="AM40" i="45"/>
  <c r="AM7" i="45" s="1"/>
  <c r="G40" i="45"/>
  <c r="G7" i="45" s="1"/>
  <c r="BE38" i="45"/>
  <c r="Y38" i="45"/>
  <c r="BW37" i="45"/>
  <c r="AQ37" i="45"/>
  <c r="K37" i="45"/>
  <c r="BI36" i="45"/>
  <c r="AC36" i="45"/>
  <c r="CA35" i="45"/>
  <c r="AU35" i="45"/>
  <c r="O35" i="45"/>
  <c r="BM34" i="45"/>
  <c r="AG34" i="45"/>
  <c r="CE33" i="45"/>
  <c r="AY33" i="45"/>
  <c r="S33" i="45"/>
  <c r="BQ32" i="45"/>
  <c r="AK32" i="45"/>
  <c r="C32" i="45"/>
  <c r="BC30" i="45"/>
  <c r="W30" i="45"/>
  <c r="BU29" i="45"/>
  <c r="AO29" i="45"/>
  <c r="I29" i="45"/>
  <c r="BG27" i="45"/>
  <c r="AA27" i="45"/>
  <c r="BY26" i="45"/>
  <c r="AS26" i="45"/>
  <c r="M26" i="45"/>
  <c r="BK24" i="45"/>
  <c r="AE24" i="45"/>
  <c r="CC23" i="45"/>
  <c r="AW23" i="45"/>
  <c r="Q23" i="45"/>
  <c r="BO22" i="45"/>
  <c r="AI22" i="45"/>
  <c r="CG20" i="45"/>
  <c r="BA20" i="45"/>
  <c r="U20" i="45"/>
  <c r="BS19" i="45"/>
  <c r="AM19" i="45"/>
  <c r="G19" i="45"/>
  <c r="BE18" i="45"/>
  <c r="Y18" i="45"/>
  <c r="BW17" i="45"/>
  <c r="AQ17" i="45"/>
  <c r="K17" i="45"/>
  <c r="BI15" i="45"/>
  <c r="AC15" i="45"/>
  <c r="CA14" i="45"/>
  <c r="AU14" i="45"/>
  <c r="O14" i="45"/>
  <c r="BK22" i="46"/>
  <c r="AE22" i="46"/>
  <c r="CC20" i="46"/>
  <c r="AW20" i="46"/>
  <c r="Q20" i="46"/>
  <c r="BO19" i="46"/>
  <c r="AI19" i="46"/>
  <c r="CG18" i="46"/>
  <c r="BA18" i="46"/>
  <c r="U18" i="46"/>
  <c r="BS17" i="46"/>
  <c r="AM17" i="46"/>
  <c r="G17" i="46"/>
  <c r="BE15" i="46"/>
  <c r="Y15" i="46"/>
  <c r="BW14" i="46"/>
  <c r="AQ14" i="46"/>
  <c r="K14" i="46"/>
  <c r="BK43" i="45"/>
  <c r="BI26" i="47"/>
  <c r="O26" i="47"/>
  <c r="BM24" i="47"/>
  <c r="AG24" i="47"/>
  <c r="CE23" i="47"/>
  <c r="AY23" i="47"/>
  <c r="S23" i="47"/>
  <c r="BQ22" i="47"/>
  <c r="AK22" i="47"/>
  <c r="C22" i="47"/>
  <c r="BC20" i="47"/>
  <c r="W20" i="47"/>
  <c r="BU19" i="47"/>
  <c r="AO19" i="47"/>
  <c r="I19" i="47"/>
  <c r="BG18" i="47"/>
  <c r="AA18" i="47"/>
  <c r="BY17" i="47"/>
  <c r="AS17" i="47"/>
  <c r="M17" i="47"/>
  <c r="BK15" i="47"/>
  <c r="AE15" i="47"/>
  <c r="CC14" i="47"/>
  <c r="AW14" i="47"/>
  <c r="Q14" i="47"/>
  <c r="BQ43" i="46"/>
  <c r="AK43" i="46"/>
  <c r="C43" i="46"/>
  <c r="BC41" i="46"/>
  <c r="W41" i="46"/>
  <c r="BU40" i="46"/>
  <c r="BU7" i="46" s="1"/>
  <c r="AO40" i="46"/>
  <c r="AO7" i="46" s="1"/>
  <c r="I40" i="46"/>
  <c r="I7" i="46" s="1"/>
  <c r="BG38" i="46"/>
  <c r="AA38" i="46"/>
  <c r="BY37" i="46"/>
  <c r="AS37" i="46"/>
  <c r="M37" i="46"/>
  <c r="BK36" i="46"/>
  <c r="AE36" i="46"/>
  <c r="CC35" i="46"/>
  <c r="AW35" i="46"/>
  <c r="Q35" i="46"/>
  <c r="BO34" i="46"/>
  <c r="AI34" i="46"/>
  <c r="CG33" i="46"/>
  <c r="BA33" i="46"/>
  <c r="U33" i="46"/>
  <c r="BS32" i="46"/>
  <c r="AM32" i="46"/>
  <c r="G32" i="46"/>
  <c r="BE30" i="46"/>
  <c r="Y30" i="46"/>
  <c r="BW29" i="46"/>
  <c r="AQ29" i="46"/>
  <c r="K29" i="46"/>
  <c r="BI27" i="46"/>
  <c r="AC27" i="46"/>
  <c r="CA26" i="46"/>
  <c r="AU26" i="46"/>
  <c r="O26" i="46"/>
  <c r="BM24" i="46"/>
  <c r="AG24" i="46"/>
  <c r="CE23" i="46"/>
  <c r="AY23" i="46"/>
  <c r="S23" i="46"/>
  <c r="BQ22" i="46"/>
  <c r="AK22" i="46"/>
  <c r="C22" i="46"/>
  <c r="BC20" i="46"/>
  <c r="W20" i="46"/>
  <c r="BU19" i="46"/>
  <c r="AO19" i="46"/>
  <c r="I19" i="46"/>
  <c r="BG18" i="46"/>
  <c r="AA18" i="46"/>
  <c r="BY17" i="46"/>
  <c r="AS17" i="46"/>
  <c r="M17" i="46"/>
  <c r="BK15" i="46"/>
  <c r="AE15" i="46"/>
  <c r="CC14" i="46"/>
  <c r="AW14" i="46"/>
  <c r="Q14" i="46"/>
  <c r="BQ43" i="45"/>
  <c r="AK43" i="45"/>
  <c r="C43" i="45"/>
  <c r="AY41" i="45"/>
  <c r="S41" i="45"/>
  <c r="BQ40" i="45"/>
  <c r="BQ7" i="45" s="1"/>
  <c r="AK40" i="45"/>
  <c r="AK7" i="45" s="1"/>
  <c r="C40" i="45"/>
  <c r="BC38" i="45"/>
  <c r="W38" i="45"/>
  <c r="BU37" i="45"/>
  <c r="AO37" i="45"/>
  <c r="I37" i="45"/>
  <c r="BG36" i="45"/>
  <c r="AA36" i="45"/>
  <c r="BY35" i="45"/>
  <c r="AS35" i="45"/>
  <c r="M35" i="45"/>
  <c r="BK34" i="45"/>
  <c r="AE34" i="45"/>
  <c r="CC33" i="45"/>
  <c r="AW33" i="45"/>
  <c r="Q33" i="45"/>
  <c r="BO32" i="45"/>
  <c r="AI32" i="45"/>
  <c r="CG30" i="45"/>
  <c r="BA30" i="45"/>
  <c r="U30" i="45"/>
  <c r="BS29" i="45"/>
  <c r="AM29" i="45"/>
  <c r="G29" i="45"/>
  <c r="BE27" i="45"/>
  <c r="Y27" i="45"/>
  <c r="BW26" i="45"/>
  <c r="AQ26" i="45"/>
  <c r="K26" i="45"/>
  <c r="BI24" i="45"/>
  <c r="AC24" i="45"/>
  <c r="CA23" i="45"/>
  <c r="AU23" i="45"/>
  <c r="O23" i="45"/>
  <c r="BM22" i="45"/>
  <c r="AG22" i="45"/>
  <c r="CE20" i="45"/>
  <c r="AY20" i="45"/>
  <c r="S20" i="45"/>
  <c r="BQ19" i="45"/>
  <c r="AK19" i="45"/>
  <c r="C19" i="45"/>
  <c r="BC18" i="45"/>
  <c r="W18" i="45"/>
  <c r="BU17" i="45"/>
  <c r="AO17" i="45"/>
  <c r="I17" i="45"/>
  <c r="BG15" i="45"/>
  <c r="AA15" i="45"/>
  <c r="BY14" i="45"/>
  <c r="AS14" i="45"/>
  <c r="M14" i="45"/>
  <c r="CG41" i="45"/>
  <c r="AW41" i="45"/>
  <c r="Q41" i="45"/>
  <c r="BO40" i="45"/>
  <c r="BO7" i="45" s="1"/>
  <c r="AI40" i="45"/>
  <c r="AI7" i="45" s="1"/>
  <c r="CG38" i="45"/>
  <c r="BA38" i="45"/>
  <c r="U38" i="45"/>
  <c r="BS37" i="45"/>
  <c r="AM37" i="45"/>
  <c r="G37" i="45"/>
  <c r="BE36" i="45"/>
  <c r="Y36" i="45"/>
  <c r="BW35" i="45"/>
  <c r="AQ35" i="45"/>
  <c r="K35" i="45"/>
  <c r="BI34" i="45"/>
  <c r="AC34" i="45"/>
  <c r="CA33" i="45"/>
  <c r="AU33" i="45"/>
  <c r="O33" i="45"/>
  <c r="BM32" i="45"/>
  <c r="AG32" i="45"/>
  <c r="CE30" i="45"/>
  <c r="AY30" i="45"/>
  <c r="S30" i="45"/>
  <c r="BQ29" i="45"/>
  <c r="AK29" i="45"/>
  <c r="C29" i="45"/>
  <c r="BC27" i="45"/>
  <c r="W27" i="45"/>
  <c r="BU26" i="45"/>
  <c r="AO26" i="45"/>
  <c r="I26" i="45"/>
  <c r="BG24" i="45"/>
  <c r="AA24" i="45"/>
  <c r="BY23" i="45"/>
  <c r="AS23" i="45"/>
  <c r="M23" i="45"/>
  <c r="BK22" i="45"/>
  <c r="AE22" i="45"/>
  <c r="CC20" i="45"/>
  <c r="AW20" i="45"/>
  <c r="Q20" i="45"/>
  <c r="BO19" i="45"/>
  <c r="AI19" i="45"/>
  <c r="CG18" i="45"/>
  <c r="BA18" i="45"/>
  <c r="U18" i="45"/>
  <c r="BS17" i="45"/>
  <c r="AM17" i="45"/>
  <c r="G17" i="45"/>
  <c r="BE15" i="45"/>
  <c r="Y15" i="45"/>
  <c r="BW14" i="45"/>
  <c r="AQ14" i="45"/>
  <c r="K14" i="45"/>
  <c r="CC41" i="45"/>
  <c r="AU41" i="45"/>
  <c r="O41" i="45"/>
  <c r="BM40" i="45"/>
  <c r="BM7" i="45" s="1"/>
  <c r="AG40" i="45"/>
  <c r="AG7" i="45" s="1"/>
  <c r="CE38" i="45"/>
  <c r="AY38" i="45"/>
  <c r="S38" i="45"/>
  <c r="BQ37" i="45"/>
  <c r="AK37" i="45"/>
  <c r="C37" i="45"/>
  <c r="BC36" i="45"/>
  <c r="W36" i="45"/>
  <c r="BU35" i="45"/>
  <c r="AO35" i="45"/>
  <c r="I35" i="45"/>
  <c r="BG34" i="45"/>
  <c r="AA34" i="45"/>
  <c r="BY33" i="45"/>
  <c r="AS33" i="45"/>
  <c r="M33" i="45"/>
  <c r="BK32" i="45"/>
  <c r="AE32" i="45"/>
  <c r="CC30" i="45"/>
  <c r="AW30" i="45"/>
  <c r="Q30" i="45"/>
  <c r="BO29" i="45"/>
  <c r="AI29" i="45"/>
  <c r="CG27" i="45"/>
  <c r="BA27" i="45"/>
  <c r="U27" i="45"/>
  <c r="BS26" i="45"/>
  <c r="AM26" i="45"/>
  <c r="G26" i="45"/>
  <c r="BE24" i="45"/>
  <c r="Y24" i="45"/>
  <c r="BW23" i="45"/>
  <c r="AQ23" i="45"/>
  <c r="K23" i="45"/>
  <c r="BI22" i="45"/>
  <c r="AC22" i="45"/>
  <c r="CA20" i="45"/>
  <c r="AU20" i="45"/>
  <c r="O20" i="45"/>
  <c r="BM19" i="45"/>
  <c r="AG19" i="45"/>
  <c r="CE18" i="45"/>
  <c r="AY18" i="45"/>
  <c r="S18" i="45"/>
  <c r="BQ17" i="45"/>
  <c r="AK17" i="45"/>
  <c r="C17" i="45"/>
  <c r="BC15" i="45"/>
  <c r="W15" i="45"/>
  <c r="BU14" i="45"/>
  <c r="AO14" i="45"/>
  <c r="I14" i="45"/>
  <c r="CA41" i="45"/>
  <c r="AS41" i="45"/>
  <c r="M41" i="45"/>
  <c r="BK40" i="45"/>
  <c r="BK7" i="45" s="1"/>
  <c r="AE40" i="45"/>
  <c r="AE7" i="45" s="1"/>
  <c r="CC38" i="45"/>
  <c r="AW38" i="45"/>
  <c r="Q38" i="45"/>
  <c r="BO37" i="45"/>
  <c r="AI37" i="45"/>
  <c r="CG36" i="45"/>
  <c r="BA36" i="45"/>
  <c r="U36" i="45"/>
  <c r="BS35" i="45"/>
  <c r="AM35" i="45"/>
  <c r="G35" i="45"/>
  <c r="BE34" i="45"/>
  <c r="Y34" i="45"/>
  <c r="BW33" i="45"/>
  <c r="AQ33" i="45"/>
  <c r="K33" i="45"/>
  <c r="BI32" i="45"/>
  <c r="AC32" i="45"/>
  <c r="CA30" i="45"/>
  <c r="AU30" i="45"/>
  <c r="O30" i="45"/>
  <c r="BM29" i="45"/>
  <c r="AG29" i="45"/>
  <c r="CE27" i="45"/>
  <c r="AY27" i="45"/>
  <c r="S27" i="45"/>
  <c r="BQ26" i="45"/>
  <c r="AK26" i="45"/>
  <c r="C26" i="45"/>
  <c r="BC24" i="45"/>
  <c r="W24" i="45"/>
  <c r="BU23" i="45"/>
  <c r="AO23" i="45"/>
  <c r="I23" i="45"/>
  <c r="BG22" i="45"/>
  <c r="AA22" i="45"/>
  <c r="BY20" i="45"/>
  <c r="AS20" i="45"/>
  <c r="M20" i="45"/>
  <c r="BK19" i="45"/>
  <c r="AE19" i="45"/>
  <c r="CC18" i="45"/>
  <c r="AW18" i="45"/>
  <c r="Q18" i="45"/>
  <c r="BO17" i="45"/>
  <c r="AI17" i="45"/>
  <c r="CG15" i="45"/>
  <c r="BA15" i="45"/>
  <c r="U15" i="45"/>
  <c r="BS14" i="45"/>
  <c r="AM14" i="45"/>
  <c r="G14" i="45"/>
  <c r="BC22" i="46"/>
  <c r="W22" i="46"/>
  <c r="BU20" i="46"/>
  <c r="AO20" i="46"/>
  <c r="I20" i="46"/>
  <c r="BG19" i="46"/>
  <c r="AA19" i="46"/>
  <c r="BY18" i="46"/>
  <c r="AS18" i="46"/>
  <c r="M18" i="46"/>
  <c r="BK17" i="46"/>
  <c r="AE17" i="46"/>
  <c r="CC15" i="46"/>
  <c r="AW15" i="46"/>
  <c r="Q15" i="46"/>
  <c r="BO14" i="46"/>
  <c r="AI14" i="46"/>
  <c r="C44" i="45"/>
  <c r="BC43" i="45"/>
  <c r="AS26" i="47"/>
  <c r="G26" i="47"/>
  <c r="BE24" i="47"/>
  <c r="Y24" i="47"/>
  <c r="BW23" i="47"/>
  <c r="AQ23" i="47"/>
  <c r="K23" i="47"/>
  <c r="BI22" i="47"/>
  <c r="AC22" i="47"/>
  <c r="CA20" i="47"/>
  <c r="AU20" i="47"/>
  <c r="O20" i="47"/>
  <c r="BM19" i="47"/>
  <c r="AG19" i="47"/>
  <c r="CE18" i="47"/>
  <c r="AY18" i="47"/>
  <c r="S18" i="47"/>
  <c r="BQ17" i="47"/>
  <c r="AK17" i="47"/>
  <c r="C17" i="47"/>
  <c r="BC15" i="47"/>
  <c r="W15" i="47"/>
  <c r="BU14" i="47"/>
  <c r="AO14" i="47"/>
  <c r="I14" i="47"/>
  <c r="BI43" i="46"/>
  <c r="AC43" i="46"/>
  <c r="CA41" i="46"/>
  <c r="AU41" i="46"/>
  <c r="O41" i="46"/>
  <c r="BM40" i="46"/>
  <c r="BM7" i="46" s="1"/>
  <c r="AG40" i="46"/>
  <c r="AG7" i="46" s="1"/>
  <c r="CE38" i="46"/>
  <c r="AY38" i="46"/>
  <c r="S38" i="46"/>
  <c r="BQ37" i="46"/>
  <c r="AK37" i="46"/>
  <c r="C37" i="46"/>
  <c r="BC36" i="46"/>
  <c r="W36" i="46"/>
  <c r="BU35" i="46"/>
  <c r="AO35" i="46"/>
  <c r="I35" i="46"/>
  <c r="BG34" i="46"/>
  <c r="AA34" i="46"/>
  <c r="BY33" i="46"/>
  <c r="AS33" i="46"/>
  <c r="M33" i="46"/>
  <c r="BK32" i="46"/>
  <c r="AE32" i="46"/>
  <c r="CC30" i="46"/>
  <c r="AW30" i="46"/>
  <c r="Q30" i="46"/>
  <c r="BO29" i="46"/>
  <c r="AI29" i="46"/>
  <c r="CG27" i="46"/>
  <c r="BA27" i="46"/>
  <c r="U27" i="46"/>
  <c r="BS26" i="46"/>
  <c r="AM26" i="46"/>
  <c r="G26" i="46"/>
  <c r="BE24" i="46"/>
  <c r="Y24" i="46"/>
  <c r="BW23" i="46"/>
  <c r="AQ23" i="46"/>
  <c r="K23" i="46"/>
  <c r="BI22" i="46"/>
  <c r="AC22" i="46"/>
  <c r="CA20" i="46"/>
  <c r="AU20" i="46"/>
  <c r="O20" i="46"/>
  <c r="BM19" i="46"/>
  <c r="AG19" i="46"/>
  <c r="CE18" i="46"/>
  <c r="AY18" i="46"/>
  <c r="S18" i="46"/>
  <c r="BQ17" i="46"/>
  <c r="AK17" i="46"/>
  <c r="C17" i="46"/>
  <c r="BC15" i="46"/>
  <c r="W15" i="46"/>
  <c r="BU14" i="46"/>
  <c r="AO14" i="46"/>
  <c r="I14" i="46"/>
  <c r="BI43" i="45"/>
  <c r="AC43" i="45"/>
  <c r="BY41" i="45"/>
  <c r="AQ41" i="45"/>
  <c r="K41" i="45"/>
  <c r="BI40" i="45"/>
  <c r="BI7" i="45" s="1"/>
  <c r="AC40" i="45"/>
  <c r="AC7" i="45" s="1"/>
  <c r="CA38" i="45"/>
  <c r="AU38" i="45"/>
  <c r="O38" i="45"/>
  <c r="BM37" i="45"/>
  <c r="AG37" i="45"/>
  <c r="CE36" i="45"/>
  <c r="AY36" i="45"/>
  <c r="S36" i="45"/>
  <c r="BQ35" i="45"/>
  <c r="AK35" i="45"/>
  <c r="C35" i="45"/>
  <c r="BC34" i="45"/>
  <c r="W34" i="45"/>
  <c r="BU33" i="45"/>
  <c r="AO33" i="45"/>
  <c r="I33" i="45"/>
  <c r="BG32" i="45"/>
  <c r="AA32" i="45"/>
  <c r="BY30" i="45"/>
  <c r="AS30" i="45"/>
  <c r="M30" i="45"/>
  <c r="BK29" i="45"/>
  <c r="AE29" i="45"/>
  <c r="CC27" i="45"/>
  <c r="AW27" i="45"/>
  <c r="Q27" i="45"/>
  <c r="BO26" i="45"/>
  <c r="AI26" i="45"/>
  <c r="CG24" i="45"/>
  <c r="BA24" i="45"/>
  <c r="U24" i="45"/>
  <c r="BS23" i="45"/>
  <c r="AM23" i="45"/>
  <c r="G23" i="45"/>
  <c r="BE22" i="45"/>
  <c r="Y22" i="45"/>
  <c r="BW20" i="45"/>
  <c r="AQ20" i="45"/>
  <c r="K20" i="45"/>
  <c r="BI19" i="45"/>
  <c r="AC19" i="45"/>
  <c r="CA18" i="45"/>
  <c r="AU18" i="45"/>
  <c r="O18" i="45"/>
  <c r="BM17" i="45"/>
  <c r="AG17" i="45"/>
  <c r="CE15" i="45"/>
  <c r="AY15" i="45"/>
  <c r="S15" i="45"/>
  <c r="BQ14" i="45"/>
  <c r="AK14" i="45"/>
  <c r="C14" i="45"/>
  <c r="BU41" i="45"/>
  <c r="AO41" i="45"/>
  <c r="I41" i="45"/>
  <c r="BG40" i="45"/>
  <c r="BG7" i="45" s="1"/>
  <c r="AA40" i="45"/>
  <c r="AA7" i="45" s="1"/>
  <c r="BY38" i="45"/>
  <c r="AS38" i="45"/>
  <c r="M38" i="45"/>
  <c r="BK37" i="45"/>
  <c r="AE37" i="45"/>
  <c r="CC36" i="45"/>
  <c r="AW36" i="45"/>
  <c r="Q36" i="45"/>
  <c r="BO35" i="45"/>
  <c r="AI35" i="45"/>
  <c r="CG34" i="45"/>
  <c r="BA34" i="45"/>
  <c r="U34" i="45"/>
  <c r="BS33" i="45"/>
  <c r="AM33" i="45"/>
  <c r="G33" i="45"/>
  <c r="BE32" i="45"/>
  <c r="Y32" i="45"/>
  <c r="BW30" i="45"/>
  <c r="AQ30" i="45"/>
  <c r="K30" i="45"/>
  <c r="BI29" i="45"/>
  <c r="AC29" i="45"/>
  <c r="CA27" i="45"/>
  <c r="AU27" i="45"/>
  <c r="O27" i="45"/>
  <c r="BM26" i="45"/>
  <c r="AG26" i="45"/>
  <c r="CE24" i="45"/>
  <c r="AY24" i="45"/>
  <c r="S24" i="45"/>
  <c r="BQ23" i="45"/>
  <c r="AK23" i="45"/>
  <c r="C23" i="45"/>
  <c r="BC22" i="45"/>
  <c r="W22" i="45"/>
  <c r="BU20" i="45"/>
  <c r="AO20" i="45"/>
  <c r="I20" i="45"/>
  <c r="BG19" i="45"/>
  <c r="AA19" i="45"/>
  <c r="BY18" i="45"/>
  <c r="AS18" i="45"/>
  <c r="M18" i="45"/>
  <c r="BK17" i="45"/>
  <c r="AE17" i="45"/>
  <c r="CC15" i="45"/>
  <c r="AW15" i="45"/>
  <c r="Q15" i="45"/>
  <c r="BO14" i="45"/>
  <c r="AI14" i="45"/>
  <c r="AM43" i="45"/>
  <c r="BS41" i="45"/>
  <c r="AM41" i="45"/>
  <c r="G41" i="45"/>
  <c r="BE40" i="45"/>
  <c r="BE7" i="45" s="1"/>
  <c r="Y40" i="45"/>
  <c r="Y7" i="45" s="1"/>
  <c r="BW38" i="45"/>
  <c r="AQ38" i="45"/>
  <c r="K38" i="45"/>
  <c r="BI37" i="45"/>
  <c r="AC37" i="45"/>
  <c r="CA36" i="45"/>
  <c r="AU36" i="45"/>
  <c r="O36" i="45"/>
  <c r="BM35" i="45"/>
  <c r="AG35" i="45"/>
  <c r="CE34" i="45"/>
  <c r="AY34" i="45"/>
  <c r="S34" i="45"/>
  <c r="BQ33" i="45"/>
  <c r="AK33" i="45"/>
  <c r="C33" i="45"/>
  <c r="BC32" i="45"/>
  <c r="W32" i="45"/>
  <c r="BU30" i="45"/>
  <c r="AO30" i="45"/>
  <c r="I30" i="45"/>
  <c r="BG29" i="45"/>
  <c r="AA29" i="45"/>
  <c r="BY27" i="45"/>
  <c r="AS27" i="45"/>
  <c r="M27" i="45"/>
  <c r="BK26" i="45"/>
  <c r="AE26" i="45"/>
  <c r="CC24" i="45"/>
  <c r="AW24" i="45"/>
  <c r="Q24" i="45"/>
  <c r="BO23" i="45"/>
  <c r="AI23" i="45"/>
  <c r="CG22" i="45"/>
  <c r="BA22" i="45"/>
  <c r="U22" i="45"/>
  <c r="BS20" i="45"/>
  <c r="AM20" i="45"/>
  <c r="G20" i="45"/>
  <c r="BE19" i="45"/>
  <c r="Y19" i="45"/>
  <c r="BW18" i="45"/>
  <c r="AQ18" i="45"/>
  <c r="K18" i="45"/>
  <c r="BI17" i="45"/>
  <c r="AC17" i="45"/>
  <c r="CA15" i="45"/>
  <c r="AU15" i="45"/>
  <c r="O15" i="45"/>
  <c r="BM14" i="45"/>
  <c r="AG14" i="45"/>
  <c r="AE43" i="45"/>
  <c r="BQ41" i="45"/>
  <c r="AK41" i="45"/>
  <c r="C41" i="45"/>
  <c r="BC40" i="45"/>
  <c r="BC7" i="45" s="1"/>
  <c r="W40" i="45"/>
  <c r="W7" i="45" s="1"/>
  <c r="BU38" i="45"/>
  <c r="AO38" i="45"/>
  <c r="I38" i="45"/>
  <c r="BG37" i="45"/>
  <c r="AA37" i="45"/>
  <c r="BY36" i="45"/>
  <c r="AS36" i="45"/>
  <c r="M36" i="45"/>
  <c r="BK35" i="45"/>
  <c r="AE35" i="45"/>
  <c r="CC34" i="45"/>
  <c r="AW34" i="45"/>
  <c r="Q34" i="45"/>
  <c r="BO33" i="45"/>
  <c r="AI33" i="45"/>
  <c r="CG32" i="45"/>
  <c r="BA32" i="45"/>
  <c r="U32" i="45"/>
  <c r="BS30" i="45"/>
  <c r="AM30" i="45"/>
  <c r="G30" i="45"/>
  <c r="BE29" i="45"/>
  <c r="Y29" i="45"/>
  <c r="BW27" i="45"/>
  <c r="AQ27" i="45"/>
  <c r="K27" i="45"/>
  <c r="BI26" i="45"/>
  <c r="AC26" i="45"/>
  <c r="CA24" i="45"/>
  <c r="AU24" i="45"/>
  <c r="O24" i="45"/>
  <c r="BM23" i="45"/>
  <c r="AG23" i="45"/>
  <c r="CE22" i="45"/>
  <c r="AY22" i="45"/>
  <c r="S22" i="45"/>
  <c r="BQ20" i="45"/>
  <c r="AK20" i="45"/>
  <c r="C20" i="45"/>
  <c r="BC19" i="45"/>
  <c r="W19" i="45"/>
  <c r="BU18" i="45"/>
  <c r="AO18" i="45"/>
  <c r="I18" i="45"/>
  <c r="BG17" i="45"/>
  <c r="AA17" i="45"/>
  <c r="BY15" i="45"/>
  <c r="AS15" i="45"/>
  <c r="M15" i="45"/>
  <c r="BK14" i="45"/>
  <c r="AE14" i="45"/>
  <c r="C43" i="44"/>
  <c r="AU22" i="46"/>
  <c r="O22" i="46"/>
  <c r="BM20" i="46"/>
  <c r="AG20" i="46"/>
  <c r="CE19" i="46"/>
  <c r="AY19" i="46"/>
  <c r="S19" i="46"/>
  <c r="BQ18" i="46"/>
  <c r="AK18" i="46"/>
  <c r="C18" i="46"/>
  <c r="BC17" i="46"/>
  <c r="W17" i="46"/>
  <c r="BU15" i="46"/>
  <c r="AO15" i="46"/>
  <c r="I15" i="46"/>
  <c r="BG14" i="46"/>
  <c r="AA14" i="46"/>
  <c r="CA43" i="45"/>
  <c r="AU43" i="45"/>
  <c r="AE26" i="47"/>
  <c r="CC24" i="47"/>
  <c r="AW24" i="47"/>
  <c r="Q24" i="47"/>
  <c r="BO23" i="47"/>
  <c r="AI23" i="47"/>
  <c r="CG22" i="47"/>
  <c r="BA22" i="47"/>
  <c r="U22" i="47"/>
  <c r="BS20" i="47"/>
  <c r="AM20" i="47"/>
  <c r="G20" i="47"/>
  <c r="BE19" i="47"/>
  <c r="Y19" i="47"/>
  <c r="BW18" i="47"/>
  <c r="AQ18" i="47"/>
  <c r="K18" i="47"/>
  <c r="BI17" i="47"/>
  <c r="AC17" i="47"/>
  <c r="CA15" i="47"/>
  <c r="AU15" i="47"/>
  <c r="O15" i="47"/>
  <c r="BM14" i="47"/>
  <c r="BM49" i="47" s="1"/>
  <c r="AG14" i="47"/>
  <c r="CG43" i="46"/>
  <c r="BA43" i="46"/>
  <c r="U43" i="46"/>
  <c r="BS41" i="46"/>
  <c r="AM41" i="46"/>
  <c r="G41" i="46"/>
  <c r="BE40" i="46"/>
  <c r="BE7" i="46" s="1"/>
  <c r="Y40" i="46"/>
  <c r="Y7" i="46" s="1"/>
  <c r="BW38" i="46"/>
  <c r="AQ38" i="46"/>
  <c r="K38" i="46"/>
  <c r="BI37" i="46"/>
  <c r="AC37" i="46"/>
  <c r="CA36" i="46"/>
  <c r="AU36" i="46"/>
  <c r="O36" i="46"/>
  <c r="BM35" i="46"/>
  <c r="AG35" i="46"/>
  <c r="CE34" i="46"/>
  <c r="AY34" i="46"/>
  <c r="S34" i="46"/>
  <c r="BQ33" i="46"/>
  <c r="AK33" i="46"/>
  <c r="C33" i="46"/>
  <c r="BC32" i="46"/>
  <c r="W32" i="46"/>
  <c r="BU30" i="46"/>
  <c r="AO30" i="46"/>
  <c r="I30" i="46"/>
  <c r="BG29" i="46"/>
  <c r="AA29" i="46"/>
  <c r="BY27" i="46"/>
  <c r="AS27" i="46"/>
  <c r="M27" i="46"/>
  <c r="BK26" i="46"/>
  <c r="AE26" i="46"/>
  <c r="CC24" i="46"/>
  <c r="AW24" i="46"/>
  <c r="Q24" i="46"/>
  <c r="BO23" i="46"/>
  <c r="AI23" i="46"/>
  <c r="CG22" i="46"/>
  <c r="BA22" i="46"/>
  <c r="U22" i="46"/>
  <c r="BS20" i="46"/>
  <c r="AM20" i="46"/>
  <c r="G20" i="46"/>
  <c r="BE19" i="46"/>
  <c r="Y19" i="46"/>
  <c r="BW18" i="46"/>
  <c r="AQ18" i="46"/>
  <c r="K18" i="46"/>
  <c r="BI17" i="46"/>
  <c r="AC17" i="46"/>
  <c r="CA15" i="46"/>
  <c r="AU15" i="46"/>
  <c r="O15" i="46"/>
  <c r="BM14" i="46"/>
  <c r="AG14" i="46"/>
  <c r="CG43" i="45"/>
  <c r="BA43" i="45"/>
  <c r="AA43" i="45"/>
  <c r="BO41" i="45"/>
  <c r="AI41" i="45"/>
  <c r="CG40" i="45"/>
  <c r="CG7" i="45" s="1"/>
  <c r="BA40" i="45"/>
  <c r="BA7" i="45" s="1"/>
  <c r="U40" i="45"/>
  <c r="U7" i="45" s="1"/>
  <c r="BS38" i="45"/>
  <c r="AM38" i="45"/>
  <c r="G38" i="45"/>
  <c r="BE37" i="45"/>
  <c r="Y37" i="45"/>
  <c r="BW36" i="45"/>
  <c r="AQ36" i="45"/>
  <c r="K36" i="45"/>
  <c r="BI35" i="45"/>
  <c r="AC35" i="45"/>
  <c r="CA34" i="45"/>
  <c r="AU34" i="45"/>
  <c r="O34" i="45"/>
  <c r="BM33" i="45"/>
  <c r="AG33" i="45"/>
  <c r="CE32" i="45"/>
  <c r="AY32" i="45"/>
  <c r="S32" i="45"/>
  <c r="BQ30" i="45"/>
  <c r="AK30" i="45"/>
  <c r="C30" i="45"/>
  <c r="BC29" i="45"/>
  <c r="W29" i="45"/>
  <c r="BU27" i="45"/>
  <c r="AO27" i="45"/>
  <c r="I27" i="45"/>
  <c r="BG26" i="45"/>
  <c r="AA26" i="45"/>
  <c r="BY24" i="45"/>
  <c r="AS24" i="45"/>
  <c r="M24" i="45"/>
  <c r="BK23" i="45"/>
  <c r="AE23" i="45"/>
  <c r="CC22" i="45"/>
  <c r="AW22" i="45"/>
  <c r="Q22" i="45"/>
  <c r="BO20" i="45"/>
  <c r="AI20" i="45"/>
  <c r="CG19" i="45"/>
  <c r="BA19" i="45"/>
  <c r="U19" i="45"/>
  <c r="BS18" i="45"/>
  <c r="AM18" i="45"/>
  <c r="G18" i="45"/>
  <c r="BE17" i="45"/>
  <c r="Y17" i="45"/>
  <c r="BW15" i="45"/>
  <c r="AQ15" i="45"/>
  <c r="K15" i="45"/>
  <c r="BI14" i="45"/>
  <c r="AC14" i="45"/>
  <c r="W43" i="45"/>
  <c r="BM41" i="45"/>
  <c r="AG41" i="45"/>
  <c r="CE40" i="45"/>
  <c r="CE7" i="45" s="1"/>
  <c r="AY40" i="45"/>
  <c r="AY7" i="45" s="1"/>
  <c r="S40" i="45"/>
  <c r="S7" i="45" s="1"/>
  <c r="BQ38" i="45"/>
  <c r="AK38" i="45"/>
  <c r="C38" i="45"/>
  <c r="BC37" i="45"/>
  <c r="W37" i="45"/>
  <c r="BU36" i="45"/>
  <c r="AO36" i="45"/>
  <c r="I36" i="45"/>
  <c r="BG35" i="45"/>
  <c r="AA35" i="45"/>
  <c r="BY34" i="45"/>
  <c r="AS34" i="45"/>
  <c r="M34" i="45"/>
  <c r="BK33" i="45"/>
  <c r="AE33" i="45"/>
  <c r="CC32" i="45"/>
  <c r="AW32" i="45"/>
  <c r="Q32" i="45"/>
  <c r="BO30" i="45"/>
  <c r="AI30" i="45"/>
  <c r="CG29" i="45"/>
  <c r="BA29" i="45"/>
  <c r="U29" i="45"/>
  <c r="BS27" i="45"/>
  <c r="AM27" i="45"/>
  <c r="G27" i="45"/>
  <c r="BE26" i="45"/>
  <c r="Y26" i="45"/>
  <c r="BW24" i="45"/>
  <c r="AQ24" i="45"/>
  <c r="K24" i="45"/>
  <c r="BI23" i="45"/>
  <c r="AC23" i="45"/>
  <c r="CA22" i="45"/>
  <c r="AU22" i="45"/>
  <c r="O22" i="45"/>
  <c r="BM20" i="45"/>
  <c r="AG20" i="45"/>
  <c r="CE19" i="45"/>
  <c r="AY19" i="45"/>
  <c r="S19" i="45"/>
  <c r="BQ18" i="45"/>
  <c r="AK18" i="45"/>
  <c r="C18" i="45"/>
  <c r="BC17" i="45"/>
  <c r="W17" i="45"/>
  <c r="BU15" i="45"/>
  <c r="AO15" i="45"/>
  <c r="I15" i="45"/>
  <c r="BG14" i="45"/>
  <c r="AA14" i="45"/>
  <c r="U43" i="45"/>
  <c r="BK41" i="45"/>
  <c r="AE41" i="45"/>
  <c r="CC40" i="45"/>
  <c r="CC7" i="45" s="1"/>
  <c r="AW40" i="45"/>
  <c r="AW7" i="45" s="1"/>
  <c r="Q40" i="45"/>
  <c r="Q7" i="45" s="1"/>
  <c r="BO38" i="45"/>
  <c r="AI38" i="45"/>
  <c r="CG37" i="45"/>
  <c r="BA37" i="45"/>
  <c r="U37" i="45"/>
  <c r="BS36" i="45"/>
  <c r="AM36" i="45"/>
  <c r="G36" i="45"/>
  <c r="BE35" i="45"/>
  <c r="Y35" i="45"/>
  <c r="BW34" i="45"/>
  <c r="AQ34" i="45"/>
  <c r="K34" i="45"/>
  <c r="BI33" i="45"/>
  <c r="AC33" i="45"/>
  <c r="CA32" i="45"/>
  <c r="AU32" i="45"/>
  <c r="O32" i="45"/>
  <c r="BM30" i="45"/>
  <c r="AG30" i="45"/>
  <c r="CE29" i="45"/>
  <c r="AY29" i="45"/>
  <c r="S29" i="45"/>
  <c r="BQ27" i="45"/>
  <c r="AK27" i="45"/>
  <c r="C27" i="45"/>
  <c r="BC26" i="45"/>
  <c r="W26" i="45"/>
  <c r="BU24" i="45"/>
  <c r="AO24" i="45"/>
  <c r="I24" i="45"/>
  <c r="BG23" i="45"/>
  <c r="AA23" i="45"/>
  <c r="BY22" i="45"/>
  <c r="AS22" i="45"/>
  <c r="M22" i="45"/>
  <c r="BK20" i="45"/>
  <c r="AE20" i="45"/>
  <c r="CC19" i="45"/>
  <c r="AW19" i="45"/>
  <c r="Q19" i="45"/>
  <c r="BO18" i="45"/>
  <c r="AI18" i="45"/>
  <c r="CG17" i="45"/>
  <c r="BA17" i="45"/>
  <c r="U17" i="45"/>
  <c r="BS15" i="45"/>
  <c r="AM15" i="45"/>
  <c r="G15" i="45"/>
  <c r="BE14" i="45"/>
  <c r="Y14" i="45"/>
  <c r="S43" i="45"/>
  <c r="BI41" i="45"/>
  <c r="AC41" i="45"/>
  <c r="CA40" i="45"/>
  <c r="CA7" i="45" s="1"/>
  <c r="AU40" i="45"/>
  <c r="AU7" i="45" s="1"/>
  <c r="O40" i="45"/>
  <c r="O7" i="45" s="1"/>
  <c r="BM38" i="45"/>
  <c r="AG38" i="45"/>
  <c r="CE37" i="45"/>
  <c r="AY37" i="45"/>
  <c r="S37" i="45"/>
  <c r="BQ36" i="45"/>
  <c r="AK36" i="45"/>
  <c r="C36" i="45"/>
  <c r="BC35" i="45"/>
  <c r="W35" i="45"/>
  <c r="BU34" i="45"/>
  <c r="AO34" i="45"/>
  <c r="I34" i="45"/>
  <c r="BG33" i="45"/>
  <c r="AA33" i="45"/>
  <c r="BY32" i="45"/>
  <c r="AS32" i="45"/>
  <c r="M32" i="45"/>
  <c r="BK30" i="45"/>
  <c r="AE30" i="45"/>
  <c r="CC29" i="45"/>
  <c r="AW29" i="45"/>
  <c r="Q29" i="45"/>
  <c r="BO27" i="45"/>
  <c r="AI27" i="45"/>
  <c r="CG26" i="45"/>
  <c r="BA26" i="45"/>
  <c r="U26" i="45"/>
  <c r="BS24" i="45"/>
  <c r="AM24" i="45"/>
  <c r="G24" i="45"/>
  <c r="BE23" i="45"/>
  <c r="Y23" i="45"/>
  <c r="BW22" i="45"/>
  <c r="AQ22" i="45"/>
  <c r="K22" i="45"/>
  <c r="BI20" i="45"/>
  <c r="AC20" i="45"/>
  <c r="CA19" i="45"/>
  <c r="AU19" i="45"/>
  <c r="O19" i="45"/>
  <c r="BM18" i="45"/>
  <c r="AG18" i="45"/>
  <c r="CE17" i="45"/>
  <c r="AY17" i="45"/>
  <c r="S17" i="45"/>
  <c r="BQ15" i="45"/>
  <c r="AK15" i="45"/>
  <c r="C15" i="45"/>
  <c r="BC14" i="45"/>
  <c r="W14" i="45"/>
  <c r="A2" i="47"/>
  <c r="A2" i="48"/>
  <c r="A2" i="50"/>
  <c r="A2" i="49"/>
  <c r="A2" i="52"/>
  <c r="A2" i="53"/>
  <c r="D18" i="20"/>
  <c r="B18" i="20"/>
  <c r="A2" i="51"/>
  <c r="D16" i="20"/>
  <c r="B13" i="20"/>
  <c r="A2" i="44"/>
  <c r="B16" i="20"/>
  <c r="D14" i="20"/>
  <c r="D17" i="20"/>
  <c r="D15" i="20"/>
  <c r="A2" i="46"/>
  <c r="B14" i="20"/>
  <c r="A2" i="45"/>
  <c r="B15" i="20"/>
  <c r="D13" i="20"/>
  <c r="A2" i="33"/>
  <c r="CG15" i="44"/>
  <c r="BY19" i="44"/>
  <c r="BQ14" i="44"/>
  <c r="BI23" i="44"/>
  <c r="BI43" i="44"/>
  <c r="BA35" i="44"/>
  <c r="AS30" i="44"/>
  <c r="AK38" i="44"/>
  <c r="AC29" i="44"/>
  <c r="U37" i="44"/>
  <c r="M27" i="44"/>
  <c r="W17" i="44"/>
  <c r="CE30" i="44"/>
  <c r="BG37" i="44"/>
  <c r="AI22" i="44"/>
  <c r="K19" i="44"/>
  <c r="CG27" i="44"/>
  <c r="BY41" i="44"/>
  <c r="BQ32" i="44"/>
  <c r="BI32" i="44"/>
  <c r="BA15" i="44"/>
  <c r="AS19" i="44"/>
  <c r="AK14" i="44"/>
  <c r="AC23" i="44"/>
  <c r="AC43" i="44"/>
  <c r="U35" i="44"/>
  <c r="M30" i="44"/>
  <c r="CA35" i="44"/>
  <c r="W29" i="44"/>
  <c r="BW34" i="44"/>
  <c r="AY18" i="44"/>
  <c r="AA20" i="44"/>
  <c r="K36" i="44"/>
  <c r="CG37" i="44"/>
  <c r="BY27" i="44"/>
  <c r="BQ36" i="44"/>
  <c r="BI22" i="44"/>
  <c r="BA20" i="44"/>
  <c r="AS15" i="44"/>
  <c r="AK15" i="44"/>
  <c r="AC14" i="44"/>
  <c r="U18" i="44"/>
  <c r="U43" i="44"/>
  <c r="M35" i="44"/>
  <c r="CA19" i="44"/>
  <c r="BW40" i="44"/>
  <c r="BW7" i="44" s="1"/>
  <c r="BW8" i="44" s="1"/>
  <c r="AY29" i="44"/>
  <c r="AA27" i="44"/>
  <c r="CG41" i="44"/>
  <c r="BY26" i="44"/>
  <c r="BQ22" i="44"/>
  <c r="BI20" i="44"/>
  <c r="BA19" i="44"/>
  <c r="AS14" i="44"/>
  <c r="AK18" i="44"/>
  <c r="AK43" i="44"/>
  <c r="AC40" i="44"/>
  <c r="AC7" i="44" s="1"/>
  <c r="AC8" i="44" s="1"/>
  <c r="U30" i="44"/>
  <c r="M38" i="44"/>
  <c r="W27" i="44"/>
  <c r="BW18" i="44"/>
  <c r="AY27" i="44"/>
  <c r="AI43" i="44"/>
  <c r="K40" i="44"/>
  <c r="K7" i="44" s="1"/>
  <c r="K8" i="44" s="1"/>
  <c r="CG24" i="44"/>
  <c r="BY34" i="44"/>
  <c r="BQ37" i="44"/>
  <c r="BI33" i="44"/>
  <c r="BA41" i="44"/>
  <c r="AS26" i="44"/>
  <c r="AK22" i="44"/>
  <c r="AC20" i="44"/>
  <c r="U19" i="44"/>
  <c r="M14" i="44"/>
  <c r="CA37" i="44"/>
  <c r="BO22" i="44"/>
  <c r="AQ19" i="44"/>
  <c r="AA26" i="44"/>
  <c r="CG30" i="44"/>
  <c r="BY38" i="44"/>
  <c r="BQ34" i="44"/>
  <c r="BI37" i="44"/>
  <c r="BA27" i="44"/>
  <c r="AS41" i="44"/>
  <c r="AK32" i="44"/>
  <c r="AC32" i="44"/>
  <c r="U15" i="44"/>
  <c r="M19" i="44"/>
  <c r="CA43" i="44"/>
  <c r="BO27" i="44"/>
  <c r="AQ24" i="44"/>
  <c r="S14" i="44"/>
  <c r="AE29" i="44"/>
  <c r="CG34" i="44"/>
  <c r="BY29" i="44"/>
  <c r="BQ33" i="44"/>
  <c r="BI41" i="44"/>
  <c r="BA36" i="44"/>
  <c r="AS22" i="44"/>
  <c r="AK26" i="44"/>
  <c r="AC15" i="44"/>
  <c r="U14" i="44"/>
  <c r="M23" i="44"/>
  <c r="CA36" i="44"/>
  <c r="BO14" i="44"/>
  <c r="AY32" i="44"/>
  <c r="AA38" i="44"/>
  <c r="CG26" i="44"/>
  <c r="BY18" i="44"/>
  <c r="BY40" i="44"/>
  <c r="BY7" i="44" s="1"/>
  <c r="BY8" i="44" s="1"/>
  <c r="BQ35" i="44"/>
  <c r="BI24" i="44"/>
  <c r="BA34" i="44"/>
  <c r="AS29" i="44"/>
  <c r="AK33" i="44"/>
  <c r="AC41" i="44"/>
  <c r="U22" i="44"/>
  <c r="M17" i="44"/>
  <c r="BC40" i="44"/>
  <c r="BC7" i="44" s="1"/>
  <c r="BC8" i="44" s="1"/>
  <c r="CE27" i="44"/>
  <c r="BO43" i="44"/>
  <c r="AQ40" i="44"/>
  <c r="AQ7" i="44" s="1"/>
  <c r="AQ8" i="44" s="1"/>
  <c r="S29" i="44"/>
  <c r="CG14" i="44"/>
  <c r="BY32" i="44"/>
  <c r="BQ23" i="44"/>
  <c r="BQ40" i="44"/>
  <c r="BQ7" i="44" s="1"/>
  <c r="BQ8" i="44" s="1"/>
  <c r="BI30" i="44"/>
  <c r="BA24" i="44"/>
  <c r="AS34" i="44"/>
  <c r="AK37" i="44"/>
  <c r="AC33" i="44"/>
  <c r="U41" i="44"/>
  <c r="M22" i="44"/>
  <c r="BC41" i="44"/>
  <c r="CE18" i="44"/>
  <c r="BG20" i="44"/>
  <c r="AQ36" i="44"/>
  <c r="S30" i="44"/>
  <c r="CG18" i="44"/>
  <c r="CG43" i="44"/>
  <c r="BY35" i="44"/>
  <c r="BQ24" i="44"/>
  <c r="BI38" i="44"/>
  <c r="BA29" i="44"/>
  <c r="AS33" i="44"/>
  <c r="AK27" i="44"/>
  <c r="AC36" i="44"/>
  <c r="U36" i="44"/>
  <c r="M20" i="44"/>
  <c r="BC14" i="44"/>
  <c r="CE14" i="44"/>
  <c r="BO26" i="44"/>
  <c r="AQ34" i="44"/>
  <c r="S18" i="44"/>
  <c r="CG20" i="44"/>
  <c r="BY15" i="44"/>
  <c r="BQ15" i="44"/>
  <c r="BI14" i="44"/>
  <c r="BA18" i="44"/>
  <c r="BA43" i="44"/>
  <c r="AS35" i="44"/>
  <c r="AK24" i="44"/>
  <c r="AC38" i="44"/>
  <c r="U29" i="44"/>
  <c r="M33" i="44"/>
  <c r="W18" i="44"/>
  <c r="CE32" i="44"/>
  <c r="BG38" i="44"/>
  <c r="AI27" i="44"/>
  <c r="K24" i="44"/>
  <c r="CG17" i="44"/>
  <c r="BY17" i="44"/>
  <c r="BQ20" i="44"/>
  <c r="BI19" i="44"/>
  <c r="BA26" i="44"/>
  <c r="AS18" i="44"/>
  <c r="AS40" i="44"/>
  <c r="AS7" i="44" s="1"/>
  <c r="AS8" i="44" s="1"/>
  <c r="AK35" i="44"/>
  <c r="AC24" i="44"/>
  <c r="U34" i="44"/>
  <c r="M29" i="44"/>
  <c r="W19" i="44"/>
  <c r="BW19" i="44"/>
  <c r="BG26" i="44"/>
  <c r="AI38" i="44"/>
  <c r="K18" i="44"/>
  <c r="CG29" i="44"/>
  <c r="BY33" i="44"/>
  <c r="BQ27" i="44"/>
  <c r="BI36" i="44"/>
  <c r="BA17" i="44"/>
  <c r="AS17" i="44"/>
  <c r="AK20" i="44"/>
  <c r="AC19" i="44"/>
  <c r="U23" i="44"/>
  <c r="M18" i="44"/>
  <c r="M40" i="44"/>
  <c r="M7" i="44" s="1"/>
  <c r="CA30" i="44"/>
  <c r="BW36" i="44"/>
  <c r="AY30" i="44"/>
  <c r="AA37" i="44"/>
  <c r="BU22" i="44"/>
  <c r="BU41" i="44"/>
  <c r="BM30" i="44"/>
  <c r="AW23" i="44"/>
  <c r="AW33" i="44"/>
  <c r="AG40" i="44"/>
  <c r="AG7" i="44" s="1"/>
  <c r="AG8" i="44" s="1"/>
  <c r="Y14" i="44"/>
  <c r="I15" i="44"/>
  <c r="I26" i="44"/>
  <c r="BS26" i="44"/>
  <c r="BK19" i="44"/>
  <c r="BK38" i="44"/>
  <c r="AM36" i="44"/>
  <c r="O15" i="44"/>
  <c r="G17" i="44"/>
  <c r="G27" i="44"/>
  <c r="CC15" i="44"/>
  <c r="CC26" i="44"/>
  <c r="BE29" i="44"/>
  <c r="AO17" i="44"/>
  <c r="AO36" i="44"/>
  <c r="Q43" i="44"/>
  <c r="AU30" i="44"/>
  <c r="AE23" i="44"/>
  <c r="AE37" i="44"/>
  <c r="CA18" i="44"/>
  <c r="CA29" i="44"/>
  <c r="BC26" i="44"/>
  <c r="W23" i="44"/>
  <c r="W34" i="44"/>
  <c r="CE17" i="44"/>
  <c r="CE36" i="44"/>
  <c r="BW38" i="44"/>
  <c r="BO18" i="44"/>
  <c r="BG14" i="44"/>
  <c r="BG30" i="44"/>
  <c r="AY23" i="44"/>
  <c r="AQ27" i="44"/>
  <c r="AQ43" i="44"/>
  <c r="AI37" i="44"/>
  <c r="AA24" i="44"/>
  <c r="AA32" i="44"/>
  <c r="S34" i="44"/>
  <c r="K33" i="44"/>
  <c r="K41" i="44"/>
  <c r="BU15" i="44"/>
  <c r="BU26" i="44"/>
  <c r="BM19" i="44"/>
  <c r="AW17" i="44"/>
  <c r="AW36" i="44"/>
  <c r="AG24" i="44"/>
  <c r="Y22" i="44"/>
  <c r="Y33" i="44"/>
  <c r="I35" i="44"/>
  <c r="BS35" i="44"/>
  <c r="BK23" i="44"/>
  <c r="BK37" i="44"/>
  <c r="AM43" i="44"/>
  <c r="O14" i="44"/>
  <c r="O38" i="44"/>
  <c r="G32" i="44"/>
  <c r="CC30" i="44"/>
  <c r="BE23" i="44"/>
  <c r="BE43" i="44"/>
  <c r="AO43" i="44"/>
  <c r="Q19" i="44"/>
  <c r="AU24" i="44"/>
  <c r="AE17" i="44"/>
  <c r="AE43" i="44"/>
  <c r="C40" i="44"/>
  <c r="C7" i="44" s="1"/>
  <c r="C8" i="44" s="1"/>
  <c r="C38" i="44"/>
  <c r="C33" i="44"/>
  <c r="C22" i="44"/>
  <c r="C20" i="44"/>
  <c r="C32" i="33"/>
  <c r="C40" i="33"/>
  <c r="C35" i="33"/>
  <c r="C14" i="33"/>
  <c r="C18" i="33"/>
  <c r="C29" i="33"/>
  <c r="C27" i="33"/>
  <c r="CG23" i="44"/>
  <c r="CG38" i="44"/>
  <c r="BY36" i="44"/>
  <c r="BQ19" i="44"/>
  <c r="BQ30" i="44"/>
  <c r="BI27" i="44"/>
  <c r="BA32" i="44"/>
  <c r="BA40" i="44"/>
  <c r="BA7" i="44" s="1"/>
  <c r="BA8" i="44" s="1"/>
  <c r="AS37" i="44"/>
  <c r="AK17" i="44"/>
  <c r="AC18" i="44"/>
  <c r="AC34" i="44"/>
  <c r="U17" i="44"/>
  <c r="M32" i="44"/>
  <c r="M24" i="44"/>
  <c r="CA15" i="44"/>
  <c r="BC24" i="44"/>
  <c r="BC33" i="44"/>
  <c r="W20" i="44"/>
  <c r="CE24" i="44"/>
  <c r="BW15" i="44"/>
  <c r="BW26" i="44"/>
  <c r="BO29" i="44"/>
  <c r="BG17" i="44"/>
  <c r="BG36" i="44"/>
  <c r="AY38" i="44"/>
  <c r="AQ17" i="44"/>
  <c r="AI19" i="44"/>
  <c r="AI35" i="44"/>
  <c r="AA23" i="44"/>
  <c r="S15" i="44"/>
  <c r="S40" i="44"/>
  <c r="S7" i="44" s="1"/>
  <c r="S8" i="44" s="1"/>
  <c r="K37" i="44"/>
  <c r="BU18" i="44"/>
  <c r="BU33" i="44"/>
  <c r="BM40" i="44"/>
  <c r="BM7" i="44" s="1"/>
  <c r="BM8" i="44" s="1"/>
  <c r="AW14" i="44"/>
  <c r="AG15" i="44"/>
  <c r="AG32" i="44"/>
  <c r="Y29" i="44"/>
  <c r="I17" i="44"/>
  <c r="I36" i="44"/>
  <c r="BS36" i="44"/>
  <c r="BK35" i="44"/>
  <c r="AM22" i="44"/>
  <c r="AM27" i="44"/>
  <c r="O30" i="44"/>
  <c r="G18" i="44"/>
  <c r="G37" i="44"/>
  <c r="CC17" i="44"/>
  <c r="CC36" i="44"/>
  <c r="BE24" i="44"/>
  <c r="AO29" i="44"/>
  <c r="AO27" i="44"/>
  <c r="Q30" i="44"/>
  <c r="AU26" i="44"/>
  <c r="AE14" i="44"/>
  <c r="AE34" i="44"/>
  <c r="CA20" i="44"/>
  <c r="BC22" i="44"/>
  <c r="BC37" i="44"/>
  <c r="W40" i="44"/>
  <c r="W7" i="44" s="1"/>
  <c r="W8" i="44" s="1"/>
  <c r="CE37" i="44"/>
  <c r="BW20" i="44"/>
  <c r="BW32" i="44"/>
  <c r="BO34" i="44"/>
  <c r="BG22" i="44"/>
  <c r="BG41" i="44"/>
  <c r="AY43" i="44"/>
  <c r="AQ22" i="44"/>
  <c r="AI33" i="44"/>
  <c r="AI40" i="44"/>
  <c r="AI7" i="44" s="1"/>
  <c r="AI8" i="44" s="1"/>
  <c r="AA33" i="44"/>
  <c r="S20" i="44"/>
  <c r="S26" i="44"/>
  <c r="K29" i="44"/>
  <c r="BU23" i="44"/>
  <c r="BU37" i="44"/>
  <c r="BM26" i="44"/>
  <c r="AW19" i="44"/>
  <c r="AG20" i="44"/>
  <c r="AG36" i="44"/>
  <c r="Y38" i="44"/>
  <c r="I22" i="44"/>
  <c r="I41" i="44"/>
  <c r="BS24" i="44"/>
  <c r="BS41" i="44"/>
  <c r="BK15" i="44"/>
  <c r="AM24" i="44"/>
  <c r="AM33" i="44"/>
  <c r="O40" i="44"/>
  <c r="O7" i="44" s="1"/>
  <c r="O8" i="44" s="1"/>
  <c r="G23" i="44"/>
  <c r="G29" i="44"/>
  <c r="CC22" i="44"/>
  <c r="CC41" i="44"/>
  <c r="BE30" i="44"/>
  <c r="AO18" i="44"/>
  <c r="AO33" i="44"/>
  <c r="Q35" i="44"/>
  <c r="AU32" i="44"/>
  <c r="AE19" i="44"/>
  <c r="AE38" i="44"/>
  <c r="BE20" i="44"/>
  <c r="Q17" i="44"/>
  <c r="CG35" i="44"/>
  <c r="BY30" i="44"/>
  <c r="BQ38" i="44"/>
  <c r="BI29" i="44"/>
  <c r="BA37" i="44"/>
  <c r="AS27" i="44"/>
  <c r="AK36" i="44"/>
  <c r="AC22" i="44"/>
  <c r="U20" i="44"/>
  <c r="M36" i="44"/>
  <c r="BC30" i="44"/>
  <c r="BO38" i="44"/>
  <c r="AQ18" i="44"/>
  <c r="S27" i="44"/>
  <c r="BU34" i="44"/>
  <c r="BM15" i="44"/>
  <c r="BM32" i="44"/>
  <c r="AW34" i="44"/>
  <c r="AG29" i="44"/>
  <c r="AG41" i="44"/>
  <c r="Y24" i="44"/>
  <c r="I29" i="44"/>
  <c r="I27" i="44"/>
  <c r="BS17" i="44"/>
  <c r="BS27" i="44"/>
  <c r="BK20" i="44"/>
  <c r="AM18" i="44"/>
  <c r="AM37" i="44"/>
  <c r="O26" i="44"/>
  <c r="G14" i="44"/>
  <c r="G34" i="44"/>
  <c r="CC18" i="44"/>
  <c r="CC27" i="44"/>
  <c r="BE35" i="44"/>
  <c r="AO23" i="44"/>
  <c r="AO37" i="44"/>
  <c r="Q40" i="44"/>
  <c r="Q7" i="44" s="1"/>
  <c r="Q8" i="44" s="1"/>
  <c r="AU36" i="44"/>
  <c r="AE24" i="44"/>
  <c r="CA24" i="44"/>
  <c r="BC17" i="44"/>
  <c r="BC27" i="44"/>
  <c r="W15" i="44"/>
  <c r="CE23" i="44"/>
  <c r="BW27" i="44"/>
  <c r="BW43" i="44"/>
  <c r="BO37" i="44"/>
  <c r="BG24" i="44"/>
  <c r="BG32" i="44"/>
  <c r="AY34" i="44"/>
  <c r="AQ33" i="44"/>
  <c r="AQ41" i="44"/>
  <c r="AI30" i="44"/>
  <c r="AA18" i="44"/>
  <c r="S19" i="44"/>
  <c r="S35" i="44"/>
  <c r="K23" i="44"/>
  <c r="BU29" i="44"/>
  <c r="BU27" i="44"/>
  <c r="BM35" i="44"/>
  <c r="AW29" i="44"/>
  <c r="AW37" i="44"/>
  <c r="AG26" i="44"/>
  <c r="Y19" i="44"/>
  <c r="I20" i="44"/>
  <c r="I32" i="44"/>
  <c r="BS32" i="44"/>
  <c r="BK24" i="44"/>
  <c r="AM17" i="44"/>
  <c r="AM41" i="44"/>
  <c r="O20" i="44"/>
  <c r="G22" i="44"/>
  <c r="G33" i="44"/>
  <c r="CC20" i="44"/>
  <c r="CC32" i="44"/>
  <c r="BE38" i="44"/>
  <c r="AO22" i="44"/>
  <c r="AO41" i="44"/>
  <c r="Q24" i="44"/>
  <c r="AU40" i="44"/>
  <c r="AU7" i="44" s="1"/>
  <c r="AU8" i="44" s="1"/>
  <c r="AE30" i="44"/>
  <c r="C35" i="44"/>
  <c r="C34" i="44"/>
  <c r="C27" i="44"/>
  <c r="C17" i="44"/>
  <c r="C15" i="44"/>
  <c r="C26" i="33"/>
  <c r="C36" i="44"/>
  <c r="C34" i="33"/>
  <c r="C17" i="33"/>
  <c r="C24" i="33"/>
  <c r="C15" i="33"/>
  <c r="C20" i="33"/>
  <c r="CG32" i="44"/>
  <c r="CG40" i="44"/>
  <c r="CG7" i="44" s="1"/>
  <c r="CG8" i="44" s="1"/>
  <c r="BY37" i="44"/>
  <c r="BQ17" i="44"/>
  <c r="BI18" i="44"/>
  <c r="BI34" i="44"/>
  <c r="BA22" i="44"/>
  <c r="AS32" i="44"/>
  <c r="AS24" i="44"/>
  <c r="AK41" i="44"/>
  <c r="AC26" i="44"/>
  <c r="AC35" i="44"/>
  <c r="U33" i="44"/>
  <c r="M15" i="44"/>
  <c r="M43" i="44"/>
  <c r="CA26" i="44"/>
  <c r="BC23" i="44"/>
  <c r="BC34" i="44"/>
  <c r="W36" i="44"/>
  <c r="CE38" i="44"/>
  <c r="BW17" i="44"/>
  <c r="BO19" i="44"/>
  <c r="BO35" i="44"/>
  <c r="BG23" i="44"/>
  <c r="AY15" i="44"/>
  <c r="AY40" i="44"/>
  <c r="AY7" i="44" s="1"/>
  <c r="AY8" i="44" s="1"/>
  <c r="AQ37" i="44"/>
  <c r="AI20" i="44"/>
  <c r="AI36" i="44"/>
  <c r="AA29" i="44"/>
  <c r="S22" i="44"/>
  <c r="S41" i="44"/>
  <c r="K30" i="44"/>
  <c r="BU19" i="44"/>
  <c r="BM29" i="44"/>
  <c r="BM41" i="44"/>
  <c r="AW43" i="44"/>
  <c r="AG22" i="44"/>
  <c r="AG27" i="44"/>
  <c r="Y35" i="44"/>
  <c r="I23" i="44"/>
  <c r="I37" i="44"/>
  <c r="BS18" i="44"/>
  <c r="BS37" i="44"/>
  <c r="BK26" i="44"/>
  <c r="AM14" i="44"/>
  <c r="AM34" i="44"/>
  <c r="O36" i="44"/>
  <c r="G30" i="44"/>
  <c r="CC29" i="44"/>
  <c r="CC37" i="44"/>
  <c r="BE26" i="44"/>
  <c r="AO14" i="44"/>
  <c r="Q20" i="44"/>
  <c r="Q32" i="44"/>
  <c r="AU22" i="44"/>
  <c r="AU27" i="44"/>
  <c r="AE15" i="44"/>
  <c r="CA32" i="44"/>
  <c r="BC35" i="44"/>
  <c r="BC38" i="44"/>
  <c r="W41" i="44"/>
  <c r="CE43" i="44"/>
  <c r="BW22" i="44"/>
  <c r="BO33" i="44"/>
  <c r="BO40" i="44"/>
  <c r="BO7" i="44" s="1"/>
  <c r="BO8" i="44" s="1"/>
  <c r="BG33" i="44"/>
  <c r="AY20" i="44"/>
  <c r="AY26" i="44"/>
  <c r="AQ29" i="44"/>
  <c r="AI17" i="44"/>
  <c r="AI41" i="44"/>
  <c r="AA34" i="44"/>
  <c r="S33" i="44"/>
  <c r="K14" i="44"/>
  <c r="K35" i="44"/>
  <c r="BU38" i="44"/>
  <c r="BM17" i="44"/>
  <c r="BM43" i="44"/>
  <c r="AW24" i="44"/>
  <c r="AG34" i="44"/>
  <c r="AG33" i="44"/>
  <c r="Y40" i="44"/>
  <c r="Y7" i="44" s="1"/>
  <c r="Y8" i="44" s="1"/>
  <c r="I34" i="44"/>
  <c r="BS23" i="44"/>
  <c r="BS29" i="44"/>
  <c r="BK32" i="44"/>
  <c r="AM19" i="44"/>
  <c r="AM38" i="44"/>
  <c r="O41" i="44"/>
  <c r="G15" i="44"/>
  <c r="BE32" i="44"/>
  <c r="AO19" i="44"/>
  <c r="AU33" i="44"/>
  <c r="CG19" i="44"/>
  <c r="BY14" i="44"/>
  <c r="BQ18" i="44"/>
  <c r="BQ43" i="44"/>
  <c r="BI40" i="44"/>
  <c r="BI7" i="44" s="1"/>
  <c r="BI8" i="44" s="1"/>
  <c r="BA30" i="44"/>
  <c r="AS38" i="44"/>
  <c r="AK34" i="44"/>
  <c r="AC37" i="44"/>
  <c r="U27" i="44"/>
  <c r="M41" i="44"/>
  <c r="BC43" i="44"/>
  <c r="CE29" i="44"/>
  <c r="BG27" i="44"/>
  <c r="AI14" i="44"/>
  <c r="S32" i="44"/>
  <c r="BU24" i="44"/>
  <c r="BM22" i="44"/>
  <c r="BM27" i="44"/>
  <c r="AW30" i="44"/>
  <c r="AG18" i="44"/>
  <c r="AG37" i="44"/>
  <c r="Y26" i="44"/>
  <c r="I14" i="44"/>
  <c r="BS14" i="44"/>
  <c r="BS34" i="44"/>
  <c r="BK36" i="44"/>
  <c r="AM30" i="44"/>
  <c r="O22" i="44"/>
  <c r="O27" i="44"/>
  <c r="G20" i="44"/>
  <c r="CC19" i="44"/>
  <c r="BE34" i="44"/>
  <c r="BE36" i="44"/>
  <c r="AO38" i="44"/>
  <c r="Q22" i="44"/>
  <c r="Q41" i="44"/>
  <c r="AU17" i="44"/>
  <c r="AU37" i="44"/>
  <c r="AE40" i="44"/>
  <c r="AE7" i="44" s="1"/>
  <c r="AE8" i="44" s="1"/>
  <c r="CA40" i="44"/>
  <c r="CA7" i="44" s="1"/>
  <c r="CA8" i="44" s="1"/>
  <c r="BC18" i="44"/>
  <c r="BC29" i="44"/>
  <c r="W32" i="44"/>
  <c r="CE34" i="44"/>
  <c r="BW33" i="44"/>
  <c r="BW41" i="44"/>
  <c r="BO30" i="44"/>
  <c r="BG18" i="44"/>
  <c r="AY19" i="44"/>
  <c r="AY35" i="44"/>
  <c r="AQ23" i="44"/>
  <c r="AI15" i="44"/>
  <c r="AI32" i="44"/>
  <c r="AA43" i="44"/>
  <c r="S17" i="44"/>
  <c r="S36" i="44"/>
  <c r="K38" i="44"/>
  <c r="BU14" i="44"/>
  <c r="BM20" i="44"/>
  <c r="BM36" i="44"/>
  <c r="AW38" i="44"/>
  <c r="AG17" i="44"/>
  <c r="AG43" i="44"/>
  <c r="Y30" i="44"/>
  <c r="I18" i="44"/>
  <c r="I33" i="44"/>
  <c r="BS22" i="44"/>
  <c r="BS33" i="44"/>
  <c r="BK40" i="44"/>
  <c r="BK7" i="44" s="1"/>
  <c r="BK8" i="44" s="1"/>
  <c r="AM23" i="44"/>
  <c r="AM29" i="44"/>
  <c r="O32" i="44"/>
  <c r="G19" i="44"/>
  <c r="G38" i="44"/>
  <c r="CC23" i="44"/>
  <c r="CC33" i="44"/>
  <c r="BE40" i="44"/>
  <c r="BE7" i="44" s="1"/>
  <c r="BE8" i="44" s="1"/>
  <c r="AO34" i="44"/>
  <c r="Q15" i="44"/>
  <c r="Q26" i="44"/>
  <c r="AU41" i="44"/>
  <c r="AE35" i="44"/>
  <c r="C30" i="44"/>
  <c r="C29" i="44"/>
  <c r="C41" i="44"/>
  <c r="C43" i="33"/>
  <c r="C41" i="33"/>
  <c r="C19" i="44"/>
  <c r="C18" i="44"/>
  <c r="C33" i="33"/>
  <c r="C23" i="44"/>
  <c r="C23" i="33"/>
  <c r="C30" i="33"/>
  <c r="CG22" i="44"/>
  <c r="BY23" i="44"/>
  <c r="BY24" i="44"/>
  <c r="BQ41" i="44"/>
  <c r="BI26" i="44"/>
  <c r="BI35" i="44"/>
  <c r="BA33" i="44"/>
  <c r="AS20" i="44"/>
  <c r="AS43" i="44"/>
  <c r="AK29" i="44"/>
  <c r="AC17" i="44"/>
  <c r="U26" i="44"/>
  <c r="U38" i="44"/>
  <c r="M26" i="44"/>
  <c r="CA22" i="44"/>
  <c r="CA27" i="44"/>
  <c r="BC15" i="44"/>
  <c r="W30" i="44"/>
  <c r="W37" i="44"/>
  <c r="CE15" i="44"/>
  <c r="CE40" i="44"/>
  <c r="CE7" i="44" s="1"/>
  <c r="CE8" i="44" s="1"/>
  <c r="BW37" i="44"/>
  <c r="BO20" i="44"/>
  <c r="BO36" i="44"/>
  <c r="BG29" i="44"/>
  <c r="AY22" i="44"/>
  <c r="AY41" i="44"/>
  <c r="AQ30" i="44"/>
  <c r="AI23" i="44"/>
  <c r="AA19" i="44"/>
  <c r="AA35" i="44"/>
  <c r="S24" i="44"/>
  <c r="K15" i="44"/>
  <c r="K26" i="44"/>
  <c r="BU35" i="44"/>
  <c r="BM18" i="44"/>
  <c r="BM37" i="44"/>
  <c r="AW40" i="44"/>
  <c r="AW7" i="44" s="1"/>
  <c r="AW8" i="44" s="1"/>
  <c r="AG14" i="44"/>
  <c r="Y15" i="44"/>
  <c r="Y36" i="44"/>
  <c r="I38" i="44"/>
  <c r="BS30" i="44"/>
  <c r="BK17" i="44"/>
  <c r="BK43" i="44"/>
  <c r="AM20" i="44"/>
  <c r="O17" i="44"/>
  <c r="O37" i="44"/>
  <c r="G40" i="44"/>
  <c r="G7" i="44" s="1"/>
  <c r="G8" i="44" s="1"/>
  <c r="CC38" i="44"/>
  <c r="BE17" i="44"/>
  <c r="BE27" i="44"/>
  <c r="AO30" i="44"/>
  <c r="Q23" i="44"/>
  <c r="Q33" i="44"/>
  <c r="AU23" i="44"/>
  <c r="AU34" i="44"/>
  <c r="AE32" i="44"/>
  <c r="CA17" i="44"/>
  <c r="CA33" i="44"/>
  <c r="BC20" i="44"/>
  <c r="W24" i="44"/>
  <c r="W43" i="44"/>
  <c r="CE20" i="44"/>
  <c r="CE26" i="44"/>
  <c r="BW29" i="44"/>
  <c r="BO17" i="44"/>
  <c r="BO41" i="44"/>
  <c r="BG34" i="44"/>
  <c r="AY33" i="44"/>
  <c r="AQ14" i="44"/>
  <c r="AQ35" i="44"/>
  <c r="AI24" i="44"/>
  <c r="AA15" i="44"/>
  <c r="AA40" i="44"/>
  <c r="AA7" i="44" s="1"/>
  <c r="AA8" i="44" s="1"/>
  <c r="S37" i="44"/>
  <c r="K20" i="44"/>
  <c r="K32" i="44"/>
  <c r="BU40" i="44"/>
  <c r="BU7" i="44" s="1"/>
  <c r="BU8" i="44" s="1"/>
  <c r="BM23" i="44"/>
  <c r="AW15" i="44"/>
  <c r="AW26" i="44"/>
  <c r="AG19" i="44"/>
  <c r="Y34" i="44"/>
  <c r="Y41" i="44"/>
  <c r="I24" i="44"/>
  <c r="BS15" i="44"/>
  <c r="BK22" i="44"/>
  <c r="BK27" i="44"/>
  <c r="AM35" i="44"/>
  <c r="O18" i="44"/>
  <c r="O29" i="44"/>
  <c r="G43" i="44"/>
  <c r="CC43" i="44"/>
  <c r="BE22" i="44"/>
  <c r="BE33" i="44"/>
  <c r="AO35" i="44"/>
  <c r="Q29" i="44"/>
  <c r="Q37" i="44"/>
  <c r="AU14" i="44"/>
  <c r="AU38" i="44"/>
  <c r="AE36" i="44"/>
  <c r="AE20" i="44"/>
  <c r="CG36" i="44"/>
  <c r="BY22" i="44"/>
  <c r="BQ26" i="44"/>
  <c r="BI15" i="44"/>
  <c r="BA14" i="44"/>
  <c r="AS23" i="44"/>
  <c r="AK23" i="44"/>
  <c r="AK40" i="44"/>
  <c r="AK7" i="44" s="1"/>
  <c r="AK8" i="44" s="1"/>
  <c r="AC30" i="44"/>
  <c r="U24" i="44"/>
  <c r="M34" i="44"/>
  <c r="W26" i="44"/>
  <c r="BW24" i="44"/>
  <c r="AY14" i="44"/>
  <c r="AI26" i="44"/>
  <c r="K34" i="44"/>
  <c r="BU43" i="44"/>
  <c r="BM14" i="44"/>
  <c r="AW20" i="44"/>
  <c r="AW32" i="44"/>
  <c r="AG38" i="44"/>
  <c r="Y17" i="44"/>
  <c r="Y27" i="44"/>
  <c r="I30" i="44"/>
  <c r="BS20" i="44"/>
  <c r="BK18" i="44"/>
  <c r="BK33" i="44"/>
  <c r="AM40" i="44"/>
  <c r="AM7" i="44" s="1"/>
  <c r="AM8" i="44" s="1"/>
  <c r="O23" i="44"/>
  <c r="O34" i="44"/>
  <c r="G26" i="44"/>
  <c r="CC24" i="44"/>
  <c r="BE18" i="44"/>
  <c r="BE37" i="44"/>
  <c r="AO40" i="44"/>
  <c r="AO7" i="44" s="1"/>
  <c r="AO8" i="44" s="1"/>
  <c r="Q14" i="44"/>
  <c r="AU19" i="44"/>
  <c r="AU43" i="44"/>
  <c r="AE41" i="44"/>
  <c r="CA41" i="44"/>
  <c r="BC19" i="44"/>
  <c r="W22" i="44"/>
  <c r="W33" i="44"/>
  <c r="CE19" i="44"/>
  <c r="CE35" i="44"/>
  <c r="BW23" i="44"/>
  <c r="BO15" i="44"/>
  <c r="BO32" i="44"/>
  <c r="BG43" i="44"/>
  <c r="AY17" i="44"/>
  <c r="AY36" i="44"/>
  <c r="AQ38" i="44"/>
  <c r="AI18" i="44"/>
  <c r="AA14" i="44"/>
  <c r="AA30" i="44"/>
  <c r="S23" i="44"/>
  <c r="K27" i="44"/>
  <c r="K43" i="44"/>
  <c r="BU30" i="44"/>
  <c r="BM34" i="44"/>
  <c r="BM33" i="44"/>
  <c r="AW35" i="44"/>
  <c r="AG23" i="44"/>
  <c r="Y20" i="44"/>
  <c r="Y32" i="44"/>
  <c r="I19" i="44"/>
  <c r="BS19" i="44"/>
  <c r="BS38" i="44"/>
  <c r="BK41" i="44"/>
  <c r="AM15" i="44"/>
  <c r="O35" i="44"/>
  <c r="O33" i="44"/>
  <c r="G35" i="44"/>
  <c r="CC34" i="44"/>
  <c r="BE15" i="44"/>
  <c r="BE41" i="44"/>
  <c r="AO24" i="44"/>
  <c r="Q18" i="44"/>
  <c r="Q27" i="44"/>
  <c r="AU18" i="44"/>
  <c r="AU29" i="44"/>
  <c r="AE26" i="44"/>
  <c r="C44" i="44"/>
  <c r="C24" i="44"/>
  <c r="C37" i="44"/>
  <c r="C32" i="44"/>
  <c r="C26" i="44"/>
  <c r="C36" i="33"/>
  <c r="C14" i="44"/>
  <c r="C44" i="33"/>
  <c r="C19" i="33"/>
  <c r="C37" i="33"/>
  <c r="C22" i="33"/>
  <c r="C38" i="33"/>
  <c r="CG33" i="44"/>
  <c r="BY20" i="44"/>
  <c r="BY43" i="44"/>
  <c r="BQ29" i="44"/>
  <c r="BI17" i="44"/>
  <c r="BA23" i="44"/>
  <c r="BA38" i="44"/>
  <c r="AS36" i="44"/>
  <c r="AK19" i="44"/>
  <c r="AK30" i="44"/>
  <c r="AC27" i="44"/>
  <c r="U32" i="44"/>
  <c r="U40" i="44"/>
  <c r="U7" i="44" s="1"/>
  <c r="U8" i="44" s="1"/>
  <c r="M37" i="44"/>
  <c r="CA23" i="44"/>
  <c r="CA34" i="44"/>
  <c r="BC32" i="44"/>
  <c r="W35" i="44"/>
  <c r="W38" i="44"/>
  <c r="CE22" i="44"/>
  <c r="CE41" i="44"/>
  <c r="BW30" i="44"/>
  <c r="BO23" i="44"/>
  <c r="BG19" i="44"/>
  <c r="BG35" i="44"/>
  <c r="AY24" i="44"/>
  <c r="AQ15" i="44"/>
  <c r="AQ26" i="44"/>
  <c r="AI29" i="44"/>
  <c r="AA17" i="44"/>
  <c r="AA36" i="44"/>
  <c r="S38" i="44"/>
  <c r="K17" i="44"/>
  <c r="BU20" i="44"/>
  <c r="BU32" i="44"/>
  <c r="BM38" i="44"/>
  <c r="AW22" i="44"/>
  <c r="AW41" i="44"/>
  <c r="AG30" i="44"/>
  <c r="Y18" i="44"/>
  <c r="Y37" i="44"/>
  <c r="I40" i="44"/>
  <c r="I7" i="44" s="1"/>
  <c r="BS40" i="44"/>
  <c r="BS7" i="44" s="1"/>
  <c r="BS8" i="44" s="1"/>
  <c r="BK30" i="44"/>
  <c r="BK29" i="44"/>
  <c r="AM26" i="44"/>
  <c r="O19" i="44"/>
  <c r="O43" i="44"/>
  <c r="G36" i="44"/>
  <c r="CC35" i="44"/>
  <c r="BE14" i="44"/>
  <c r="AO15" i="44"/>
  <c r="AO26" i="44"/>
  <c r="Q34" i="44"/>
  <c r="AU15" i="44"/>
  <c r="AE22" i="44"/>
  <c r="AE27" i="44"/>
  <c r="CA14" i="44"/>
  <c r="CA38" i="44"/>
  <c r="BC36" i="44"/>
  <c r="W14" i="44"/>
  <c r="CE33" i="44"/>
  <c r="BW14" i="44"/>
  <c r="BW35" i="44"/>
  <c r="BO24" i="44"/>
  <c r="BG15" i="44"/>
  <c r="BG40" i="44"/>
  <c r="BG7" i="44" s="1"/>
  <c r="BG8" i="44" s="1"/>
  <c r="AY37" i="44"/>
  <c r="AQ20" i="44"/>
  <c r="AQ32" i="44"/>
  <c r="AI34" i="44"/>
  <c r="AA22" i="44"/>
  <c r="AA41" i="44"/>
  <c r="S43" i="44"/>
  <c r="K22" i="44"/>
  <c r="BU17" i="44"/>
  <c r="BU36" i="44"/>
  <c r="BM24" i="44"/>
  <c r="AW18" i="44"/>
  <c r="AW27" i="44"/>
  <c r="AG35" i="44"/>
  <c r="Y23" i="44"/>
  <c r="Y43" i="44"/>
  <c r="I43" i="44"/>
  <c r="BS43" i="44"/>
  <c r="BK14" i="44"/>
  <c r="BK34" i="44"/>
  <c r="AM32" i="44"/>
  <c r="O24" i="44"/>
  <c r="G24" i="44"/>
  <c r="G41" i="44"/>
  <c r="CC40" i="44"/>
  <c r="CC7" i="44" s="1"/>
  <c r="CC8" i="44" s="1"/>
  <c r="BE19" i="44"/>
  <c r="AO20" i="44"/>
  <c r="AO32" i="44"/>
  <c r="Q38" i="44"/>
  <c r="AU20" i="44"/>
  <c r="AE18" i="44"/>
  <c r="AE33" i="44"/>
  <c r="CC14" i="44"/>
  <c r="Q36" i="44"/>
  <c r="AU35" i="44"/>
  <c r="D12" i="20"/>
  <c r="E33" i="3"/>
  <c r="D33" i="3"/>
  <c r="C33" i="3"/>
  <c r="B33" i="3"/>
  <c r="CO46" i="33"/>
  <c r="DG7" i="30"/>
  <c r="DG163" i="30"/>
  <c r="DF163" i="30"/>
  <c r="DE163" i="30"/>
  <c r="DG159" i="30"/>
  <c r="DF159" i="30"/>
  <c r="DE159" i="30"/>
  <c r="DG155" i="30"/>
  <c r="DF155" i="30"/>
  <c r="DE155" i="30"/>
  <c r="DG151" i="30"/>
  <c r="DF151" i="30"/>
  <c r="DE151" i="30"/>
  <c r="DG147" i="30"/>
  <c r="DF147" i="30"/>
  <c r="DE147" i="30"/>
  <c r="DG143" i="30"/>
  <c r="DF143" i="30"/>
  <c r="DE143" i="30"/>
  <c r="DG139" i="30"/>
  <c r="DF139" i="30"/>
  <c r="DE139" i="30"/>
  <c r="DG135" i="30"/>
  <c r="DF135" i="30"/>
  <c r="DE135" i="30"/>
  <c r="DG131" i="30"/>
  <c r="DF131" i="30"/>
  <c r="DE131" i="30"/>
  <c r="DG127" i="30"/>
  <c r="DF127" i="30"/>
  <c r="DE127" i="30"/>
  <c r="DG123" i="30"/>
  <c r="DF123" i="30"/>
  <c r="DE123" i="30"/>
  <c r="DG119" i="30"/>
  <c r="DF119" i="30"/>
  <c r="DE119" i="30"/>
  <c r="DG115" i="30"/>
  <c r="DF115" i="30"/>
  <c r="DE115" i="30"/>
  <c r="DG111" i="30"/>
  <c r="DF111" i="30"/>
  <c r="DE111" i="30"/>
  <c r="DG107" i="30"/>
  <c r="DF107" i="30"/>
  <c r="DE107" i="30"/>
  <c r="DG103" i="30"/>
  <c r="DF103" i="30"/>
  <c r="DE103" i="30"/>
  <c r="DG99" i="30"/>
  <c r="DF99" i="30"/>
  <c r="DE99" i="30"/>
  <c r="DG95" i="30"/>
  <c r="DF95" i="30"/>
  <c r="DE95" i="30"/>
  <c r="DG91" i="30"/>
  <c r="DF91" i="30"/>
  <c r="DE91" i="30"/>
  <c r="DG87" i="30"/>
  <c r="DF87" i="30"/>
  <c r="DE87" i="30"/>
  <c r="DG83" i="30"/>
  <c r="DF83" i="30"/>
  <c r="DE83" i="30"/>
  <c r="DG79" i="30"/>
  <c r="DF79" i="30"/>
  <c r="DE79" i="30"/>
  <c r="DG75" i="30"/>
  <c r="DF75" i="30"/>
  <c r="DE75" i="30"/>
  <c r="DG71" i="30"/>
  <c r="DF71" i="30"/>
  <c r="DE71" i="30"/>
  <c r="DG67" i="30"/>
  <c r="DF67" i="30"/>
  <c r="DE67" i="30"/>
  <c r="DG63" i="30"/>
  <c r="DF63" i="30"/>
  <c r="DE63" i="30"/>
  <c r="DG59" i="30"/>
  <c r="DF59" i="30"/>
  <c r="DE59" i="30"/>
  <c r="DG55" i="30"/>
  <c r="DF55" i="30"/>
  <c r="DE55" i="30"/>
  <c r="DG51" i="30"/>
  <c r="DF51" i="30"/>
  <c r="DE51" i="30"/>
  <c r="DG47" i="30"/>
  <c r="DF47" i="30"/>
  <c r="DE47" i="30"/>
  <c r="DG43" i="30"/>
  <c r="DF43" i="30"/>
  <c r="DE43" i="30"/>
  <c r="DG39" i="30"/>
  <c r="DF39" i="30"/>
  <c r="DE39" i="30"/>
  <c r="DG35" i="30"/>
  <c r="DF35" i="30"/>
  <c r="DE35" i="30"/>
  <c r="DG31" i="30"/>
  <c r="DF31" i="30"/>
  <c r="DE31" i="30"/>
  <c r="DG27" i="30"/>
  <c r="DF27" i="30"/>
  <c r="DE27" i="30"/>
  <c r="DG23" i="30"/>
  <c r="DF23" i="30"/>
  <c r="DE23" i="30"/>
  <c r="DG19" i="30"/>
  <c r="DF19" i="30"/>
  <c r="DE19" i="30"/>
  <c r="DG15" i="30"/>
  <c r="DF15" i="30"/>
  <c r="DE15" i="30"/>
  <c r="DG11" i="30"/>
  <c r="DF11" i="30"/>
  <c r="DE11" i="30"/>
  <c r="DF7" i="30"/>
  <c r="DE7" i="30"/>
  <c r="CZ163" i="30"/>
  <c r="CY163" i="30"/>
  <c r="CX163" i="30"/>
  <c r="CZ159" i="30"/>
  <c r="CY159" i="30"/>
  <c r="CX159" i="30"/>
  <c r="CZ155" i="30"/>
  <c r="CY155" i="30"/>
  <c r="CX155" i="30"/>
  <c r="CZ151" i="30"/>
  <c r="CY151" i="30"/>
  <c r="CX151" i="30"/>
  <c r="CZ147" i="30"/>
  <c r="CY147" i="30"/>
  <c r="CX147" i="30"/>
  <c r="CZ143" i="30"/>
  <c r="CY143" i="30"/>
  <c r="CX143" i="30"/>
  <c r="CZ139" i="30"/>
  <c r="CY139" i="30"/>
  <c r="CX139" i="30"/>
  <c r="CZ135" i="30"/>
  <c r="CY135" i="30"/>
  <c r="CX135" i="30"/>
  <c r="CZ131" i="30"/>
  <c r="CY131" i="30"/>
  <c r="CX131" i="30"/>
  <c r="CZ127" i="30"/>
  <c r="CY127" i="30"/>
  <c r="CX127" i="30"/>
  <c r="CZ123" i="30"/>
  <c r="CY123" i="30"/>
  <c r="CX123" i="30"/>
  <c r="CZ119" i="30"/>
  <c r="CY119" i="30"/>
  <c r="CX119" i="30"/>
  <c r="CZ115" i="30"/>
  <c r="CY115" i="30"/>
  <c r="CX115" i="30"/>
  <c r="CZ111" i="30"/>
  <c r="CY111" i="30"/>
  <c r="CX111" i="30"/>
  <c r="CZ107" i="30"/>
  <c r="CY107" i="30"/>
  <c r="CX107" i="30"/>
  <c r="CZ103" i="30"/>
  <c r="CY103" i="30"/>
  <c r="CX103" i="30"/>
  <c r="CZ99" i="30"/>
  <c r="CY99" i="30"/>
  <c r="CX99" i="30"/>
  <c r="CZ95" i="30"/>
  <c r="CY95" i="30"/>
  <c r="CX95" i="30"/>
  <c r="CZ91" i="30"/>
  <c r="CY91" i="30"/>
  <c r="CX91" i="30"/>
  <c r="CZ87" i="30"/>
  <c r="CY87" i="30"/>
  <c r="CX87" i="30"/>
  <c r="CZ83" i="30"/>
  <c r="CY83" i="30"/>
  <c r="CX83" i="30"/>
  <c r="CZ79" i="30"/>
  <c r="CY79" i="30"/>
  <c r="CX79" i="30"/>
  <c r="CZ75" i="30"/>
  <c r="CY75" i="30"/>
  <c r="CX75" i="30"/>
  <c r="CZ71" i="30"/>
  <c r="CY71" i="30"/>
  <c r="CX71" i="30"/>
  <c r="CZ67" i="30"/>
  <c r="CY67" i="30"/>
  <c r="CX67" i="30"/>
  <c r="CZ63" i="30"/>
  <c r="CY63" i="30"/>
  <c r="CX63" i="30"/>
  <c r="CZ59" i="30"/>
  <c r="CY59" i="30"/>
  <c r="CX59" i="30"/>
  <c r="CZ55" i="30"/>
  <c r="CY55" i="30"/>
  <c r="CX55" i="30"/>
  <c r="CZ51" i="30"/>
  <c r="CY51" i="30"/>
  <c r="CX51" i="30"/>
  <c r="CZ47" i="30"/>
  <c r="CY47" i="30"/>
  <c r="CX47" i="30"/>
  <c r="CZ43" i="30"/>
  <c r="CY43" i="30"/>
  <c r="CX43" i="30"/>
  <c r="CZ39" i="30"/>
  <c r="CY39" i="30"/>
  <c r="CX39" i="30"/>
  <c r="CZ35" i="30"/>
  <c r="CY35" i="30"/>
  <c r="CX35" i="30"/>
  <c r="CZ31" i="30"/>
  <c r="CY31" i="30"/>
  <c r="CX31" i="30"/>
  <c r="CZ27" i="30"/>
  <c r="CY27" i="30"/>
  <c r="CX27" i="30"/>
  <c r="CZ23" i="30"/>
  <c r="CY23" i="30"/>
  <c r="CX23" i="30"/>
  <c r="CZ19" i="30"/>
  <c r="CY19" i="30"/>
  <c r="CX19" i="30"/>
  <c r="CZ15" i="30"/>
  <c r="CY15" i="30"/>
  <c r="CX15" i="30"/>
  <c r="CZ11" i="30"/>
  <c r="CY11" i="30"/>
  <c r="CX11" i="30"/>
  <c r="CZ7" i="30"/>
  <c r="CY7" i="30"/>
  <c r="CX7" i="30"/>
  <c r="CS7" i="30"/>
  <c r="CR7" i="30"/>
  <c r="CQ7" i="30"/>
  <c r="CL163" i="30"/>
  <c r="CK163" i="30"/>
  <c r="CJ163" i="30"/>
  <c r="CL159" i="30"/>
  <c r="CK159" i="30"/>
  <c r="CJ159" i="30"/>
  <c r="CL155" i="30"/>
  <c r="CK155" i="30"/>
  <c r="CJ155" i="30"/>
  <c r="CL151" i="30"/>
  <c r="CK151" i="30"/>
  <c r="CJ151" i="30"/>
  <c r="CL147" i="30"/>
  <c r="CK147" i="30"/>
  <c r="CJ147" i="30"/>
  <c r="CL143" i="30"/>
  <c r="CK143" i="30"/>
  <c r="CJ143" i="30"/>
  <c r="CL139" i="30"/>
  <c r="CK139" i="30"/>
  <c r="CJ139" i="30"/>
  <c r="CL135" i="30"/>
  <c r="CK135" i="30"/>
  <c r="CJ135" i="30"/>
  <c r="CL131" i="30"/>
  <c r="CK131" i="30"/>
  <c r="CJ131" i="30"/>
  <c r="CL127" i="30"/>
  <c r="CK127" i="30"/>
  <c r="CJ127" i="30"/>
  <c r="CL123" i="30"/>
  <c r="CK123" i="30"/>
  <c r="CJ123" i="30"/>
  <c r="CL119" i="30"/>
  <c r="CK119" i="30"/>
  <c r="CJ119" i="30"/>
  <c r="CL115" i="30"/>
  <c r="CK115" i="30"/>
  <c r="CJ115" i="30"/>
  <c r="CL111" i="30"/>
  <c r="CK111" i="30"/>
  <c r="CJ111" i="30"/>
  <c r="CL107" i="30"/>
  <c r="CK107" i="30"/>
  <c r="CJ107" i="30"/>
  <c r="CL103" i="30"/>
  <c r="CK103" i="30"/>
  <c r="CJ103" i="30"/>
  <c r="CL99" i="30"/>
  <c r="CK99" i="30"/>
  <c r="CJ99" i="30"/>
  <c r="CL95" i="30"/>
  <c r="CK95" i="30"/>
  <c r="CJ95" i="30"/>
  <c r="CL91" i="30"/>
  <c r="CK91" i="30"/>
  <c r="CJ91" i="30"/>
  <c r="CL87" i="30"/>
  <c r="CK87" i="30"/>
  <c r="CJ87" i="30"/>
  <c r="CL83" i="30"/>
  <c r="CK83" i="30"/>
  <c r="CJ83" i="30"/>
  <c r="CL79" i="30"/>
  <c r="CK79" i="30"/>
  <c r="CJ79" i="30"/>
  <c r="CL75" i="30"/>
  <c r="CK75" i="30"/>
  <c r="CJ75" i="30"/>
  <c r="CL71" i="30"/>
  <c r="CK71" i="30"/>
  <c r="CJ71" i="30"/>
  <c r="CL67" i="30"/>
  <c r="CK67" i="30"/>
  <c r="CJ67" i="30"/>
  <c r="CL63" i="30"/>
  <c r="CK63" i="30"/>
  <c r="CJ63" i="30"/>
  <c r="CL59" i="30"/>
  <c r="CK59" i="30"/>
  <c r="CJ59" i="30"/>
  <c r="CL55" i="30"/>
  <c r="CK55" i="30"/>
  <c r="CJ55" i="30"/>
  <c r="CL51" i="30"/>
  <c r="CK51" i="30"/>
  <c r="CJ51" i="30"/>
  <c r="CL47" i="30"/>
  <c r="CK47" i="30"/>
  <c r="CJ47" i="30"/>
  <c r="CL43" i="30"/>
  <c r="CK43" i="30"/>
  <c r="CJ43" i="30"/>
  <c r="CL39" i="30"/>
  <c r="CK39" i="30"/>
  <c r="CJ39" i="30"/>
  <c r="CL35" i="30"/>
  <c r="CK35" i="30"/>
  <c r="CJ35" i="30"/>
  <c r="CL31" i="30"/>
  <c r="CK31" i="30"/>
  <c r="CJ31" i="30"/>
  <c r="CL27" i="30"/>
  <c r="CK27" i="30"/>
  <c r="CJ27" i="30"/>
  <c r="CL23" i="30"/>
  <c r="CK23" i="30"/>
  <c r="CJ23" i="30"/>
  <c r="CL19" i="30"/>
  <c r="CK19" i="30"/>
  <c r="CJ19" i="30"/>
  <c r="CL15" i="30"/>
  <c r="CK15" i="30"/>
  <c r="CJ15" i="30"/>
  <c r="CL11" i="30"/>
  <c r="CK11" i="30"/>
  <c r="CJ11" i="30"/>
  <c r="CL7" i="30"/>
  <c r="CK7" i="30"/>
  <c r="CJ7" i="30"/>
  <c r="CE163" i="30"/>
  <c r="CD163" i="30"/>
  <c r="CC163" i="30"/>
  <c r="CE159" i="30"/>
  <c r="CD159" i="30"/>
  <c r="CC159" i="30"/>
  <c r="CE155" i="30"/>
  <c r="CD155" i="30"/>
  <c r="CC155" i="30"/>
  <c r="CE151" i="30"/>
  <c r="CD151" i="30"/>
  <c r="CC151" i="30"/>
  <c r="CE147" i="30"/>
  <c r="CD147" i="30"/>
  <c r="CC147" i="30"/>
  <c r="CE143" i="30"/>
  <c r="CD143" i="30"/>
  <c r="CC143" i="30"/>
  <c r="CE139" i="30"/>
  <c r="CD139" i="30"/>
  <c r="CC139" i="30"/>
  <c r="CE135" i="30"/>
  <c r="CD135" i="30"/>
  <c r="CC135" i="30"/>
  <c r="CE131" i="30"/>
  <c r="CD131" i="30"/>
  <c r="CC131" i="30"/>
  <c r="CE127" i="30"/>
  <c r="CD127" i="30"/>
  <c r="CC127" i="30"/>
  <c r="CE123" i="30"/>
  <c r="CD123" i="30"/>
  <c r="CC123" i="30"/>
  <c r="CE119" i="30"/>
  <c r="CD119" i="30"/>
  <c r="CC119" i="30"/>
  <c r="CE115" i="30"/>
  <c r="CD115" i="30"/>
  <c r="CC115" i="30"/>
  <c r="CE111" i="30"/>
  <c r="CD111" i="30"/>
  <c r="CC111" i="30"/>
  <c r="CE107" i="30"/>
  <c r="CD107" i="30"/>
  <c r="CC107" i="30"/>
  <c r="CE103" i="30"/>
  <c r="CD103" i="30"/>
  <c r="CC103" i="30"/>
  <c r="CE99" i="30"/>
  <c r="CD99" i="30"/>
  <c r="CC99" i="30"/>
  <c r="CE95" i="30"/>
  <c r="CD95" i="30"/>
  <c r="CC95" i="30"/>
  <c r="CE91" i="30"/>
  <c r="CD91" i="30"/>
  <c r="CC91" i="30"/>
  <c r="CE87" i="30"/>
  <c r="CD87" i="30"/>
  <c r="CC87" i="30"/>
  <c r="CE83" i="30"/>
  <c r="CD83" i="30"/>
  <c r="CC83" i="30"/>
  <c r="CE79" i="30"/>
  <c r="CD79" i="30"/>
  <c r="CC79" i="30"/>
  <c r="CE75" i="30"/>
  <c r="CD75" i="30"/>
  <c r="CC75" i="30"/>
  <c r="CE71" i="30"/>
  <c r="CD71" i="30"/>
  <c r="CC71" i="30"/>
  <c r="CE67" i="30"/>
  <c r="CD67" i="30"/>
  <c r="CC67" i="30"/>
  <c r="CE63" i="30"/>
  <c r="CD63" i="30"/>
  <c r="CC63" i="30"/>
  <c r="CE59" i="30"/>
  <c r="CD59" i="30"/>
  <c r="CC59" i="30"/>
  <c r="CE55" i="30"/>
  <c r="CD55" i="30"/>
  <c r="CC55" i="30"/>
  <c r="CE51" i="30"/>
  <c r="CD51" i="30"/>
  <c r="CC51" i="30"/>
  <c r="CE47" i="30"/>
  <c r="CD47" i="30"/>
  <c r="CC47" i="30"/>
  <c r="CE43" i="30"/>
  <c r="CD43" i="30"/>
  <c r="CC43" i="30"/>
  <c r="CE39" i="30"/>
  <c r="CD39" i="30"/>
  <c r="CC39" i="30"/>
  <c r="CE35" i="30"/>
  <c r="CD35" i="30"/>
  <c r="CC35" i="30"/>
  <c r="CE31" i="30"/>
  <c r="CD31" i="30"/>
  <c r="CC31" i="30"/>
  <c r="CE27" i="30"/>
  <c r="CD27" i="30"/>
  <c r="CC27" i="30"/>
  <c r="CE23" i="30"/>
  <c r="CD23" i="30"/>
  <c r="CC23" i="30"/>
  <c r="CE19" i="30"/>
  <c r="CD19" i="30"/>
  <c r="CC19" i="30"/>
  <c r="CE15" i="30"/>
  <c r="CD15" i="30"/>
  <c r="CC15" i="30"/>
  <c r="CE11" i="30"/>
  <c r="CD11" i="30"/>
  <c r="CC11" i="30"/>
  <c r="CE7" i="30"/>
  <c r="CD7" i="30"/>
  <c r="CC7" i="30"/>
  <c r="BX163" i="30"/>
  <c r="BW163" i="30"/>
  <c r="BV163" i="30"/>
  <c r="BX159" i="30"/>
  <c r="BW159" i="30"/>
  <c r="BV159" i="30"/>
  <c r="BX155" i="30"/>
  <c r="BW155" i="30"/>
  <c r="BV155" i="30"/>
  <c r="BX151" i="30"/>
  <c r="BW151" i="30"/>
  <c r="BV151" i="30"/>
  <c r="BX147" i="30"/>
  <c r="BW147" i="30"/>
  <c r="BV147" i="30"/>
  <c r="BX143" i="30"/>
  <c r="BW143" i="30"/>
  <c r="BV143" i="30"/>
  <c r="BX139" i="30"/>
  <c r="BW139" i="30"/>
  <c r="BV139" i="30"/>
  <c r="BX135" i="30"/>
  <c r="BW135" i="30"/>
  <c r="BV135" i="30"/>
  <c r="BX131" i="30"/>
  <c r="BW131" i="30"/>
  <c r="BV131" i="30"/>
  <c r="BX127" i="30"/>
  <c r="BW127" i="30"/>
  <c r="BV127" i="30"/>
  <c r="BX123" i="30"/>
  <c r="BW123" i="30"/>
  <c r="BV123" i="30"/>
  <c r="BX119" i="30"/>
  <c r="BW119" i="30"/>
  <c r="BV119" i="30"/>
  <c r="BX115" i="30"/>
  <c r="BW115" i="30"/>
  <c r="BV115" i="30"/>
  <c r="BX111" i="30"/>
  <c r="BW111" i="30"/>
  <c r="BV111" i="30"/>
  <c r="BX107" i="30"/>
  <c r="BW107" i="30"/>
  <c r="BV107" i="30"/>
  <c r="BX103" i="30"/>
  <c r="BW103" i="30"/>
  <c r="BV103" i="30"/>
  <c r="BX99" i="30"/>
  <c r="BW99" i="30"/>
  <c r="BV99" i="30"/>
  <c r="BX95" i="30"/>
  <c r="BW95" i="30"/>
  <c r="BV95" i="30"/>
  <c r="BX91" i="30"/>
  <c r="BW91" i="30"/>
  <c r="BV91" i="30"/>
  <c r="BX87" i="30"/>
  <c r="BW87" i="30"/>
  <c r="BV87" i="30"/>
  <c r="BX83" i="30"/>
  <c r="BW83" i="30"/>
  <c r="BV83" i="30"/>
  <c r="BX79" i="30"/>
  <c r="BW79" i="30"/>
  <c r="BV79" i="30"/>
  <c r="BX75" i="30"/>
  <c r="BW75" i="30"/>
  <c r="BV75" i="30"/>
  <c r="BX71" i="30"/>
  <c r="BW71" i="30"/>
  <c r="BV71" i="30"/>
  <c r="BX67" i="30"/>
  <c r="BW67" i="30"/>
  <c r="BV67" i="30"/>
  <c r="BX63" i="30"/>
  <c r="BW63" i="30"/>
  <c r="BV63" i="30"/>
  <c r="BX59" i="30"/>
  <c r="BW59" i="30"/>
  <c r="BV59" i="30"/>
  <c r="BX55" i="30"/>
  <c r="BW55" i="30"/>
  <c r="BV55" i="30"/>
  <c r="BX51" i="30"/>
  <c r="BW51" i="30"/>
  <c r="BV51" i="30"/>
  <c r="BX47" i="30"/>
  <c r="BW47" i="30"/>
  <c r="BV47" i="30"/>
  <c r="BX43" i="30"/>
  <c r="BW43" i="30"/>
  <c r="BV43" i="30"/>
  <c r="BX39" i="30"/>
  <c r="BW39" i="30"/>
  <c r="BV39" i="30"/>
  <c r="BX35" i="30"/>
  <c r="BW35" i="30"/>
  <c r="BV35" i="30"/>
  <c r="BX31" i="30"/>
  <c r="BW31" i="30"/>
  <c r="BV31" i="30"/>
  <c r="BX27" i="30"/>
  <c r="BW27" i="30"/>
  <c r="BV27" i="30"/>
  <c r="BX23" i="30"/>
  <c r="BW23" i="30"/>
  <c r="BV23" i="30"/>
  <c r="BX19" i="30"/>
  <c r="BW19" i="30"/>
  <c r="BV19" i="30"/>
  <c r="BX15" i="30"/>
  <c r="BW15" i="30"/>
  <c r="BV15" i="30"/>
  <c r="BX11" i="30"/>
  <c r="BW11" i="30"/>
  <c r="BV11" i="30"/>
  <c r="BX7" i="30"/>
  <c r="BW7" i="30"/>
  <c r="BV7" i="30"/>
  <c r="BQ163" i="30"/>
  <c r="BP163" i="30"/>
  <c r="BO163" i="30"/>
  <c r="BQ159" i="30"/>
  <c r="BP159" i="30"/>
  <c r="BO159" i="30"/>
  <c r="BQ155" i="30"/>
  <c r="BP155" i="30"/>
  <c r="BO155" i="30"/>
  <c r="BQ151" i="30"/>
  <c r="BP151" i="30"/>
  <c r="BO151" i="30"/>
  <c r="BQ147" i="30"/>
  <c r="BP147" i="30"/>
  <c r="BO147" i="30"/>
  <c r="BQ143" i="30"/>
  <c r="BP143" i="30"/>
  <c r="BO143" i="30"/>
  <c r="BQ139" i="30"/>
  <c r="BP139" i="30"/>
  <c r="BO139" i="30"/>
  <c r="BQ135" i="30"/>
  <c r="BP135" i="30"/>
  <c r="BO135" i="30"/>
  <c r="BQ131" i="30"/>
  <c r="BP131" i="30"/>
  <c r="BO131" i="30"/>
  <c r="BQ127" i="30"/>
  <c r="BP127" i="30"/>
  <c r="BO127" i="30"/>
  <c r="BQ123" i="30"/>
  <c r="BP123" i="30"/>
  <c r="BO123" i="30"/>
  <c r="BQ119" i="30"/>
  <c r="BP119" i="30"/>
  <c r="BO119" i="30"/>
  <c r="BQ115" i="30"/>
  <c r="BP115" i="30"/>
  <c r="BO115" i="30"/>
  <c r="BQ111" i="30"/>
  <c r="BP111" i="30"/>
  <c r="BO111" i="30"/>
  <c r="BQ107" i="30"/>
  <c r="BP107" i="30"/>
  <c r="BO107" i="30"/>
  <c r="BQ103" i="30"/>
  <c r="BP103" i="30"/>
  <c r="BO103" i="30"/>
  <c r="BQ99" i="30"/>
  <c r="BP99" i="30"/>
  <c r="BO99" i="30"/>
  <c r="BQ95" i="30"/>
  <c r="BP95" i="30"/>
  <c r="BO95" i="30"/>
  <c r="BQ91" i="30"/>
  <c r="BP91" i="30"/>
  <c r="BO91" i="30"/>
  <c r="BQ87" i="30"/>
  <c r="BP87" i="30"/>
  <c r="BO87" i="30"/>
  <c r="BQ83" i="30"/>
  <c r="BP83" i="30"/>
  <c r="BO83" i="30"/>
  <c r="BQ79" i="30"/>
  <c r="BP79" i="30"/>
  <c r="BO79" i="30"/>
  <c r="BQ75" i="30"/>
  <c r="BP75" i="30"/>
  <c r="BO75" i="30"/>
  <c r="BQ71" i="30"/>
  <c r="BP71" i="30"/>
  <c r="BO71" i="30"/>
  <c r="BQ67" i="30"/>
  <c r="BP67" i="30"/>
  <c r="BO67" i="30"/>
  <c r="BQ63" i="30"/>
  <c r="BP63" i="30"/>
  <c r="BO63" i="30"/>
  <c r="BQ59" i="30"/>
  <c r="BP59" i="30"/>
  <c r="BO59" i="30"/>
  <c r="BQ55" i="30"/>
  <c r="BP55" i="30"/>
  <c r="BO55" i="30"/>
  <c r="BQ51" i="30"/>
  <c r="BP51" i="30"/>
  <c r="BO51" i="30"/>
  <c r="BQ47" i="30"/>
  <c r="BP47" i="30"/>
  <c r="BO47" i="30"/>
  <c r="BQ43" i="30"/>
  <c r="BP43" i="30"/>
  <c r="BO43" i="30"/>
  <c r="BQ39" i="30"/>
  <c r="BP39" i="30"/>
  <c r="BO39" i="30"/>
  <c r="BQ35" i="30"/>
  <c r="BP35" i="30"/>
  <c r="BO35" i="30"/>
  <c r="BQ31" i="30"/>
  <c r="BP31" i="30"/>
  <c r="BO31" i="30"/>
  <c r="BQ27" i="30"/>
  <c r="BP27" i="30"/>
  <c r="BO27" i="30"/>
  <c r="BQ23" i="30"/>
  <c r="BP23" i="30"/>
  <c r="BO23" i="30"/>
  <c r="BQ19" i="30"/>
  <c r="BP19" i="30"/>
  <c r="BO19" i="30"/>
  <c r="BQ15" i="30"/>
  <c r="BP15" i="30"/>
  <c r="BO15" i="30"/>
  <c r="BQ11" i="30"/>
  <c r="BP11" i="30"/>
  <c r="BO11" i="30"/>
  <c r="BQ7" i="30"/>
  <c r="BP7" i="30"/>
  <c r="BO7" i="30"/>
  <c r="BJ163" i="30"/>
  <c r="BI163" i="30"/>
  <c r="BH163" i="30"/>
  <c r="BJ159" i="30"/>
  <c r="BI159" i="30"/>
  <c r="BH159" i="30"/>
  <c r="BJ155" i="30"/>
  <c r="BI155" i="30"/>
  <c r="BH155" i="30"/>
  <c r="BJ151" i="30"/>
  <c r="BI151" i="30"/>
  <c r="BH151" i="30"/>
  <c r="BJ147" i="30"/>
  <c r="BI147" i="30"/>
  <c r="BH147" i="30"/>
  <c r="BJ143" i="30"/>
  <c r="BI143" i="30"/>
  <c r="BH143" i="30"/>
  <c r="BJ139" i="30"/>
  <c r="BI139" i="30"/>
  <c r="BH139" i="30"/>
  <c r="BJ135" i="30"/>
  <c r="BI135" i="30"/>
  <c r="BH135" i="30"/>
  <c r="BJ131" i="30"/>
  <c r="BI131" i="30"/>
  <c r="BH131" i="30"/>
  <c r="BJ127" i="30"/>
  <c r="BI127" i="30"/>
  <c r="BH127" i="30"/>
  <c r="BJ123" i="30"/>
  <c r="BI123" i="30"/>
  <c r="BH123" i="30"/>
  <c r="BJ119" i="30"/>
  <c r="BI119" i="30"/>
  <c r="BH119" i="30"/>
  <c r="BJ115" i="30"/>
  <c r="BI115" i="30"/>
  <c r="BH115" i="30"/>
  <c r="BJ111" i="30"/>
  <c r="BI111" i="30"/>
  <c r="BH111" i="30"/>
  <c r="BJ107" i="30"/>
  <c r="BI107" i="30"/>
  <c r="BH107" i="30"/>
  <c r="BJ103" i="30"/>
  <c r="BI103" i="30"/>
  <c r="BH103" i="30"/>
  <c r="BJ99" i="30"/>
  <c r="BI99" i="30"/>
  <c r="BH99" i="30"/>
  <c r="BJ95" i="30"/>
  <c r="BI95" i="30"/>
  <c r="BH95" i="30"/>
  <c r="BJ91" i="30"/>
  <c r="BI91" i="30"/>
  <c r="BH91" i="30"/>
  <c r="BJ87" i="30"/>
  <c r="BI87" i="30"/>
  <c r="BH87" i="30"/>
  <c r="BJ83" i="30"/>
  <c r="BI83" i="30"/>
  <c r="BH83" i="30"/>
  <c r="BJ79" i="30"/>
  <c r="BI79" i="30"/>
  <c r="BH79" i="30"/>
  <c r="BJ75" i="30"/>
  <c r="BI75" i="30"/>
  <c r="BH75" i="30"/>
  <c r="BJ71" i="30"/>
  <c r="BI71" i="30"/>
  <c r="BH71" i="30"/>
  <c r="BJ67" i="30"/>
  <c r="BI67" i="30"/>
  <c r="BH67" i="30"/>
  <c r="BJ63" i="30"/>
  <c r="BI63" i="30"/>
  <c r="BH63" i="30"/>
  <c r="BJ59" i="30"/>
  <c r="BI59" i="30"/>
  <c r="BH59" i="30"/>
  <c r="BJ55" i="30"/>
  <c r="BI55" i="30"/>
  <c r="BH55" i="30"/>
  <c r="BJ51" i="30"/>
  <c r="BI51" i="30"/>
  <c r="BH51" i="30"/>
  <c r="BJ47" i="30"/>
  <c r="BI47" i="30"/>
  <c r="BH47" i="30"/>
  <c r="BJ43" i="30"/>
  <c r="BI43" i="30"/>
  <c r="BH43" i="30"/>
  <c r="BJ39" i="30"/>
  <c r="BI39" i="30"/>
  <c r="BH39" i="30"/>
  <c r="BJ35" i="30"/>
  <c r="BI35" i="30"/>
  <c r="BH35" i="30"/>
  <c r="BJ31" i="30"/>
  <c r="BI31" i="30"/>
  <c r="BH31" i="30"/>
  <c r="BJ27" i="30"/>
  <c r="BI27" i="30"/>
  <c r="BH27" i="30"/>
  <c r="BJ23" i="30"/>
  <c r="BI23" i="30"/>
  <c r="BH23" i="30"/>
  <c r="BJ19" i="30"/>
  <c r="BI19" i="30"/>
  <c r="BH19" i="30"/>
  <c r="BJ15" i="30"/>
  <c r="BI15" i="30"/>
  <c r="BH15" i="30"/>
  <c r="BJ11" i="30"/>
  <c r="BI11" i="30"/>
  <c r="BH11" i="30"/>
  <c r="BJ7" i="30"/>
  <c r="BI7" i="30"/>
  <c r="BH7" i="30"/>
  <c r="BC163" i="30"/>
  <c r="BB163" i="30"/>
  <c r="BA163" i="30"/>
  <c r="BC159" i="30"/>
  <c r="BB159" i="30"/>
  <c r="BA159" i="30"/>
  <c r="BC155" i="30"/>
  <c r="BB155" i="30"/>
  <c r="BA155" i="30"/>
  <c r="BC151" i="30"/>
  <c r="BB151" i="30"/>
  <c r="BA151" i="30"/>
  <c r="BC147" i="30"/>
  <c r="BB147" i="30"/>
  <c r="BA147" i="30"/>
  <c r="BC143" i="30"/>
  <c r="BB143" i="30"/>
  <c r="BA143" i="30"/>
  <c r="BC139" i="30"/>
  <c r="BB139" i="30"/>
  <c r="BA139" i="30"/>
  <c r="BC135" i="30"/>
  <c r="BB135" i="30"/>
  <c r="BA135" i="30"/>
  <c r="BC131" i="30"/>
  <c r="BB131" i="30"/>
  <c r="BA131" i="30"/>
  <c r="BC127" i="30"/>
  <c r="BB127" i="30"/>
  <c r="BA127" i="30"/>
  <c r="BC123" i="30"/>
  <c r="BB123" i="30"/>
  <c r="BA123" i="30"/>
  <c r="BC119" i="30"/>
  <c r="BB119" i="30"/>
  <c r="BA119" i="30"/>
  <c r="BC115" i="30"/>
  <c r="BB115" i="30"/>
  <c r="BA115" i="30"/>
  <c r="BC111" i="30"/>
  <c r="BB111" i="30"/>
  <c r="BA111" i="30"/>
  <c r="BC107" i="30"/>
  <c r="BB107" i="30"/>
  <c r="BA107" i="30"/>
  <c r="BC103" i="30"/>
  <c r="BB103" i="30"/>
  <c r="BA103" i="30"/>
  <c r="BC99" i="30"/>
  <c r="BB99" i="30"/>
  <c r="BA99" i="30"/>
  <c r="BC95" i="30"/>
  <c r="BB95" i="30"/>
  <c r="BA95" i="30"/>
  <c r="BC91" i="30"/>
  <c r="BB91" i="30"/>
  <c r="BA91" i="30"/>
  <c r="BC87" i="30"/>
  <c r="BB87" i="30"/>
  <c r="BA87" i="30"/>
  <c r="BC83" i="30"/>
  <c r="BB83" i="30"/>
  <c r="BA83" i="30"/>
  <c r="BC79" i="30"/>
  <c r="BB79" i="30"/>
  <c r="BA79" i="30"/>
  <c r="BC75" i="30"/>
  <c r="BB75" i="30"/>
  <c r="BA75" i="30"/>
  <c r="BC71" i="30"/>
  <c r="BB71" i="30"/>
  <c r="BA71" i="30"/>
  <c r="BC67" i="30"/>
  <c r="BB67" i="30"/>
  <c r="BA67" i="30"/>
  <c r="BC63" i="30"/>
  <c r="BB63" i="30"/>
  <c r="BA63" i="30"/>
  <c r="BC59" i="30"/>
  <c r="BB59" i="30"/>
  <c r="BA59" i="30"/>
  <c r="BC55" i="30"/>
  <c r="BB55" i="30"/>
  <c r="BA55" i="30"/>
  <c r="BC51" i="30"/>
  <c r="BB51" i="30"/>
  <c r="BA51" i="30"/>
  <c r="BC47" i="30"/>
  <c r="BB47" i="30"/>
  <c r="BA47" i="30"/>
  <c r="BC43" i="30"/>
  <c r="BB43" i="30"/>
  <c r="BA43" i="30"/>
  <c r="BC39" i="30"/>
  <c r="BB39" i="30"/>
  <c r="BA39" i="30"/>
  <c r="BC35" i="30"/>
  <c r="BB35" i="30"/>
  <c r="BA35" i="30"/>
  <c r="BC31" i="30"/>
  <c r="BB31" i="30"/>
  <c r="BA31" i="30"/>
  <c r="BC27" i="30"/>
  <c r="BB27" i="30"/>
  <c r="BA27" i="30"/>
  <c r="BC23" i="30"/>
  <c r="BB23" i="30"/>
  <c r="BA23" i="30"/>
  <c r="BC19" i="30"/>
  <c r="BB19" i="30"/>
  <c r="BA19" i="30"/>
  <c r="BC15" i="30"/>
  <c r="BB15" i="30"/>
  <c r="BA15" i="30"/>
  <c r="BC11" i="30"/>
  <c r="BB11" i="30"/>
  <c r="BA11" i="30"/>
  <c r="BC7" i="30"/>
  <c r="BB7" i="30"/>
  <c r="AV163" i="30"/>
  <c r="AU163" i="30"/>
  <c r="AV159" i="30"/>
  <c r="AU159" i="30"/>
  <c r="AV155" i="30"/>
  <c r="AU155" i="30"/>
  <c r="AV151" i="30"/>
  <c r="AU151" i="30"/>
  <c r="AV147" i="30"/>
  <c r="AU147" i="30"/>
  <c r="AV143" i="30"/>
  <c r="AU143" i="30"/>
  <c r="AV139" i="30"/>
  <c r="AU139" i="30"/>
  <c r="AV135" i="30"/>
  <c r="AU135" i="30"/>
  <c r="AV131" i="30"/>
  <c r="AU131" i="30"/>
  <c r="AV127" i="30"/>
  <c r="AU127" i="30"/>
  <c r="AV123" i="30"/>
  <c r="AU123" i="30"/>
  <c r="AV119" i="30"/>
  <c r="AU119" i="30"/>
  <c r="AV115" i="30"/>
  <c r="AU115" i="30"/>
  <c r="AV111" i="30"/>
  <c r="AU111" i="30"/>
  <c r="AV107" i="30"/>
  <c r="AU107" i="30"/>
  <c r="AV103" i="30"/>
  <c r="AU103" i="30"/>
  <c r="AV99" i="30"/>
  <c r="AU99" i="30"/>
  <c r="AV95" i="30"/>
  <c r="AU95" i="30"/>
  <c r="AV91" i="30"/>
  <c r="AU91" i="30"/>
  <c r="AV87" i="30"/>
  <c r="AU87" i="30"/>
  <c r="AV83" i="30"/>
  <c r="AU83" i="30"/>
  <c r="AV79" i="30"/>
  <c r="AU79" i="30"/>
  <c r="AV75" i="30"/>
  <c r="AU75" i="30"/>
  <c r="AV71" i="30"/>
  <c r="AU71" i="30"/>
  <c r="AV67" i="30"/>
  <c r="AU67" i="30"/>
  <c r="AV63" i="30"/>
  <c r="AU63" i="30"/>
  <c r="AV59" i="30"/>
  <c r="AU59" i="30"/>
  <c r="AV55" i="30"/>
  <c r="AU55" i="30"/>
  <c r="AV51" i="30"/>
  <c r="AU51" i="30"/>
  <c r="AV47" i="30"/>
  <c r="AU47" i="30"/>
  <c r="AV43" i="30"/>
  <c r="AU43" i="30"/>
  <c r="AV39" i="30"/>
  <c r="AU39" i="30"/>
  <c r="AV35" i="30"/>
  <c r="AU35" i="30"/>
  <c r="AV31" i="30"/>
  <c r="AU31" i="30"/>
  <c r="AV27" i="30"/>
  <c r="AU27" i="30"/>
  <c r="AV23" i="30"/>
  <c r="AU23" i="30"/>
  <c r="AV19" i="30"/>
  <c r="AU19" i="30"/>
  <c r="AV15" i="30"/>
  <c r="AU15" i="30"/>
  <c r="AV11" i="30"/>
  <c r="AU11" i="30"/>
  <c r="AV7" i="30"/>
  <c r="AT7" i="30"/>
  <c r="AO163" i="30"/>
  <c r="AN163" i="30"/>
  <c r="AM163" i="30"/>
  <c r="AO159" i="30"/>
  <c r="AN159" i="30"/>
  <c r="AM159" i="30"/>
  <c r="AO155" i="30"/>
  <c r="AN155" i="30"/>
  <c r="AM155" i="30"/>
  <c r="AO151" i="30"/>
  <c r="AN151" i="30"/>
  <c r="AM151" i="30"/>
  <c r="AO147" i="30"/>
  <c r="AN147" i="30"/>
  <c r="AM147" i="30"/>
  <c r="AO143" i="30"/>
  <c r="AN143" i="30"/>
  <c r="AM143" i="30"/>
  <c r="AO139" i="30"/>
  <c r="AN139" i="30"/>
  <c r="AM139" i="30"/>
  <c r="AO135" i="30"/>
  <c r="AN135" i="30"/>
  <c r="AM135" i="30"/>
  <c r="AO131" i="30"/>
  <c r="AN131" i="30"/>
  <c r="AM131" i="30"/>
  <c r="AO127" i="30"/>
  <c r="AN127" i="30"/>
  <c r="AM127" i="30"/>
  <c r="AO123" i="30"/>
  <c r="AN123" i="30"/>
  <c r="AM123" i="30"/>
  <c r="AO119" i="30"/>
  <c r="AN119" i="30"/>
  <c r="AM119" i="30"/>
  <c r="AO115" i="30"/>
  <c r="AN115" i="30"/>
  <c r="AM115" i="30"/>
  <c r="AO111" i="30"/>
  <c r="AN111" i="30"/>
  <c r="AM111" i="30"/>
  <c r="AO107" i="30"/>
  <c r="AN107" i="30"/>
  <c r="AM107" i="30"/>
  <c r="AO103" i="30"/>
  <c r="AN103" i="30"/>
  <c r="AM103" i="30"/>
  <c r="AO99" i="30"/>
  <c r="AN99" i="30"/>
  <c r="AM99" i="30"/>
  <c r="AO95" i="30"/>
  <c r="AN95" i="30"/>
  <c r="AM95" i="30"/>
  <c r="AO91" i="30"/>
  <c r="AN91" i="30"/>
  <c r="AM91" i="30"/>
  <c r="AO87" i="30"/>
  <c r="AN87" i="30"/>
  <c r="AM87" i="30"/>
  <c r="AO83" i="30"/>
  <c r="AN83" i="30"/>
  <c r="AM83" i="30"/>
  <c r="AO79" i="30"/>
  <c r="AN79" i="30"/>
  <c r="AM79" i="30"/>
  <c r="AO75" i="30"/>
  <c r="AN75" i="30"/>
  <c r="AM75" i="30"/>
  <c r="AO71" i="30"/>
  <c r="AN71" i="30"/>
  <c r="AM71" i="30"/>
  <c r="AO67" i="30"/>
  <c r="AN67" i="30"/>
  <c r="AM67" i="30"/>
  <c r="AO63" i="30"/>
  <c r="AN63" i="30"/>
  <c r="AM63" i="30"/>
  <c r="AO59" i="30"/>
  <c r="AN59" i="30"/>
  <c r="AM59" i="30"/>
  <c r="AO55" i="30"/>
  <c r="AN55" i="30"/>
  <c r="AM55" i="30"/>
  <c r="AO51" i="30"/>
  <c r="AN51" i="30"/>
  <c r="AM51" i="30"/>
  <c r="AO47" i="30"/>
  <c r="AN47" i="30"/>
  <c r="AM47" i="30"/>
  <c r="AO43" i="30"/>
  <c r="AN43" i="30"/>
  <c r="AM43" i="30"/>
  <c r="AO39" i="30"/>
  <c r="AN39" i="30"/>
  <c r="AM39" i="30"/>
  <c r="AO35" i="30"/>
  <c r="AN35" i="30"/>
  <c r="AM35" i="30"/>
  <c r="AO31" i="30"/>
  <c r="AN31" i="30"/>
  <c r="AM31" i="30"/>
  <c r="AO27" i="30"/>
  <c r="AN27" i="30"/>
  <c r="AM27" i="30"/>
  <c r="AO23" i="30"/>
  <c r="AN23" i="30"/>
  <c r="AM23" i="30"/>
  <c r="AO19" i="30"/>
  <c r="AN19" i="30"/>
  <c r="AM19" i="30"/>
  <c r="AO15" i="30"/>
  <c r="AM15" i="30"/>
  <c r="AO11" i="30"/>
  <c r="AM11" i="30"/>
  <c r="AO7" i="30"/>
  <c r="AN7" i="30"/>
  <c r="AM7" i="30"/>
  <c r="AH163" i="30"/>
  <c r="AG163" i="30"/>
  <c r="AF163" i="30"/>
  <c r="AH159" i="30"/>
  <c r="AG159" i="30"/>
  <c r="AF159" i="30"/>
  <c r="AH155" i="30"/>
  <c r="AG155" i="30"/>
  <c r="AF155" i="30"/>
  <c r="AH151" i="30"/>
  <c r="AG151" i="30"/>
  <c r="AF151" i="30"/>
  <c r="AH147" i="30"/>
  <c r="AG147" i="30"/>
  <c r="AF147" i="30"/>
  <c r="AH143" i="30"/>
  <c r="AG143" i="30"/>
  <c r="AF143" i="30"/>
  <c r="AH139" i="30"/>
  <c r="AG139" i="30"/>
  <c r="AF139" i="30"/>
  <c r="AH135" i="30"/>
  <c r="AG135" i="30"/>
  <c r="AF135" i="30"/>
  <c r="AH131" i="30"/>
  <c r="AG131" i="30"/>
  <c r="AF131" i="30"/>
  <c r="AH127" i="30"/>
  <c r="AG127" i="30"/>
  <c r="AF127" i="30"/>
  <c r="AH123" i="30"/>
  <c r="AG123" i="30"/>
  <c r="AF123" i="30"/>
  <c r="AH119" i="30"/>
  <c r="AG119" i="30"/>
  <c r="AF119" i="30"/>
  <c r="AH115" i="30"/>
  <c r="AG115" i="30"/>
  <c r="AF115" i="30"/>
  <c r="AH111" i="30"/>
  <c r="AG111" i="30"/>
  <c r="AF111" i="30"/>
  <c r="AH107" i="30"/>
  <c r="AG107" i="30"/>
  <c r="AF107" i="30"/>
  <c r="AH103" i="30"/>
  <c r="AG103" i="30"/>
  <c r="AF103" i="30"/>
  <c r="AH99" i="30"/>
  <c r="AG99" i="30"/>
  <c r="AF99" i="30"/>
  <c r="AH95" i="30"/>
  <c r="AG95" i="30"/>
  <c r="AF95" i="30"/>
  <c r="AH91" i="30"/>
  <c r="AG91" i="30"/>
  <c r="AF91" i="30"/>
  <c r="AH87" i="30"/>
  <c r="AG87" i="30"/>
  <c r="AF87" i="30"/>
  <c r="AH83" i="30"/>
  <c r="AG83" i="30"/>
  <c r="AF83" i="30"/>
  <c r="AH79" i="30"/>
  <c r="AG79" i="30"/>
  <c r="AF79" i="30"/>
  <c r="AH75" i="30"/>
  <c r="AG75" i="30"/>
  <c r="AF75" i="30"/>
  <c r="AH71" i="30"/>
  <c r="AG71" i="30"/>
  <c r="AF71" i="30"/>
  <c r="AH67" i="30"/>
  <c r="AG67" i="30"/>
  <c r="AF67" i="30"/>
  <c r="AH63" i="30"/>
  <c r="AG63" i="30"/>
  <c r="AF63" i="30"/>
  <c r="AH59" i="30"/>
  <c r="AG59" i="30"/>
  <c r="AF59" i="30"/>
  <c r="AH55" i="30"/>
  <c r="AG55" i="30"/>
  <c r="AF55" i="30"/>
  <c r="AH51" i="30"/>
  <c r="AG51" i="30"/>
  <c r="AF51" i="30"/>
  <c r="AH47" i="30"/>
  <c r="AG47" i="30"/>
  <c r="AF47" i="30"/>
  <c r="AH43" i="30"/>
  <c r="AG43" i="30"/>
  <c r="AF43" i="30"/>
  <c r="AH39" i="30"/>
  <c r="AG39" i="30"/>
  <c r="AF39" i="30"/>
  <c r="AH35" i="30"/>
  <c r="AG35" i="30"/>
  <c r="AF35" i="30"/>
  <c r="AH31" i="30"/>
  <c r="AG31" i="30"/>
  <c r="AF31" i="30"/>
  <c r="AH27" i="30"/>
  <c r="AG27" i="30"/>
  <c r="AF27" i="30"/>
  <c r="AH23" i="30"/>
  <c r="AG23" i="30"/>
  <c r="AF23" i="30"/>
  <c r="AH19" i="30"/>
  <c r="AG19" i="30"/>
  <c r="AF19" i="30"/>
  <c r="AH15" i="30"/>
  <c r="AG15" i="30"/>
  <c r="AF15" i="30"/>
  <c r="AH11" i="30"/>
  <c r="AG11" i="30"/>
  <c r="AF11" i="30"/>
  <c r="AF7" i="30"/>
  <c r="AH7" i="30"/>
  <c r="AG7" i="30"/>
  <c r="Z4" i="33"/>
  <c r="X4" i="33"/>
  <c r="DE325" i="19"/>
  <c r="DE324" i="19"/>
  <c r="DE323" i="19"/>
  <c r="DE322" i="19"/>
  <c r="DE321" i="19"/>
  <c r="DE317" i="19"/>
  <c r="DE316" i="19"/>
  <c r="DE315" i="19"/>
  <c r="DE314" i="19"/>
  <c r="DE313" i="19"/>
  <c r="DE309" i="19"/>
  <c r="DE308" i="19"/>
  <c r="DE307" i="19"/>
  <c r="DE306" i="19"/>
  <c r="DE305" i="19"/>
  <c r="DE301" i="19"/>
  <c r="DE300" i="19"/>
  <c r="DE299" i="19"/>
  <c r="DE298" i="19"/>
  <c r="DE297" i="19"/>
  <c r="DE293" i="19"/>
  <c r="DE292" i="19"/>
  <c r="DE291" i="19"/>
  <c r="DE290" i="19"/>
  <c r="DE289" i="19"/>
  <c r="DE285" i="19"/>
  <c r="DE284" i="19"/>
  <c r="DE283" i="19"/>
  <c r="DE282" i="19"/>
  <c r="DE281" i="19"/>
  <c r="DE277" i="19"/>
  <c r="DE276" i="19"/>
  <c r="DE275" i="19"/>
  <c r="DE274" i="19"/>
  <c r="DE273" i="19"/>
  <c r="DE269" i="19"/>
  <c r="DE268" i="19"/>
  <c r="DE267" i="19"/>
  <c r="DE266" i="19"/>
  <c r="DE265" i="19"/>
  <c r="DE261" i="19"/>
  <c r="DE260" i="19"/>
  <c r="DE259" i="19"/>
  <c r="DE258" i="19"/>
  <c r="DE257" i="19"/>
  <c r="DE253" i="19"/>
  <c r="DE252" i="19"/>
  <c r="DE251" i="19"/>
  <c r="DE250" i="19"/>
  <c r="DE249" i="19"/>
  <c r="DE245" i="19"/>
  <c r="DE244" i="19"/>
  <c r="DE243" i="19"/>
  <c r="DE242" i="19"/>
  <c r="DE241" i="19"/>
  <c r="DE237" i="19"/>
  <c r="DE236" i="19"/>
  <c r="DE235" i="19"/>
  <c r="DE234" i="19"/>
  <c r="DE233" i="19"/>
  <c r="DE229" i="19"/>
  <c r="DE228" i="19"/>
  <c r="DE227" i="19"/>
  <c r="DE226" i="19"/>
  <c r="DE225" i="19"/>
  <c r="DE221" i="19"/>
  <c r="DE220" i="19"/>
  <c r="DE219" i="19"/>
  <c r="DE218" i="19"/>
  <c r="DE217" i="19"/>
  <c r="DE213" i="19"/>
  <c r="DE212" i="19"/>
  <c r="DE211" i="19"/>
  <c r="DE210" i="19"/>
  <c r="DE209" i="19"/>
  <c r="DE205" i="19"/>
  <c r="DE204" i="19"/>
  <c r="DE203" i="19"/>
  <c r="DE202" i="19"/>
  <c r="DE201" i="19"/>
  <c r="DE197" i="19"/>
  <c r="DE196" i="19"/>
  <c r="DE195" i="19"/>
  <c r="DE194" i="19"/>
  <c r="DE193" i="19"/>
  <c r="DE189" i="19"/>
  <c r="DE188" i="19"/>
  <c r="DE187" i="19"/>
  <c r="DE186" i="19"/>
  <c r="DE185" i="19"/>
  <c r="DE181" i="19"/>
  <c r="DE180" i="19"/>
  <c r="DE179" i="19"/>
  <c r="DE178" i="19"/>
  <c r="DE177" i="19"/>
  <c r="DE173" i="19"/>
  <c r="DE172" i="19"/>
  <c r="DE171" i="19"/>
  <c r="DE170" i="19"/>
  <c r="DE169" i="19"/>
  <c r="DE165" i="19"/>
  <c r="DE164" i="19"/>
  <c r="DE163" i="19"/>
  <c r="DE162" i="19"/>
  <c r="DE161" i="19"/>
  <c r="DE157" i="19"/>
  <c r="DE156" i="19"/>
  <c r="DE155" i="19"/>
  <c r="DE154" i="19"/>
  <c r="DE153" i="19"/>
  <c r="DE149" i="19"/>
  <c r="DE148" i="19"/>
  <c r="DE147" i="19"/>
  <c r="DE146" i="19"/>
  <c r="DE145" i="19"/>
  <c r="DE141" i="19"/>
  <c r="DE140" i="19"/>
  <c r="DE139" i="19"/>
  <c r="DE138" i="19"/>
  <c r="DE137" i="19"/>
  <c r="DE133" i="19"/>
  <c r="DE132" i="19"/>
  <c r="DE131" i="19"/>
  <c r="DE130" i="19"/>
  <c r="DE129" i="19"/>
  <c r="DE125" i="19"/>
  <c r="DE124" i="19"/>
  <c r="DE123" i="19"/>
  <c r="DE122" i="19"/>
  <c r="DE121" i="19"/>
  <c r="DE117" i="19"/>
  <c r="DE116" i="19"/>
  <c r="DE115" i="19"/>
  <c r="DE114" i="19"/>
  <c r="DE113" i="19"/>
  <c r="DE109" i="19"/>
  <c r="DE108" i="19"/>
  <c r="DE107" i="19"/>
  <c r="DE106" i="19"/>
  <c r="DE105" i="19"/>
  <c r="DE101" i="19"/>
  <c r="DE100" i="19"/>
  <c r="DE99" i="19"/>
  <c r="DE98" i="19"/>
  <c r="DE97" i="19"/>
  <c r="DE93" i="19"/>
  <c r="DE92" i="19"/>
  <c r="DE91" i="19"/>
  <c r="DE90" i="19"/>
  <c r="DE89" i="19"/>
  <c r="DE85" i="19"/>
  <c r="DE84" i="19"/>
  <c r="DE83" i="19"/>
  <c r="DE82" i="19"/>
  <c r="DE81" i="19"/>
  <c r="DE77" i="19"/>
  <c r="DE76" i="19"/>
  <c r="DE75" i="19"/>
  <c r="DE74" i="19"/>
  <c r="DE73" i="19"/>
  <c r="DE69" i="19"/>
  <c r="DE68" i="19"/>
  <c r="DE67" i="19"/>
  <c r="DE66" i="19"/>
  <c r="DE65" i="19"/>
  <c r="DE61" i="19"/>
  <c r="DE60" i="19"/>
  <c r="DE59" i="19"/>
  <c r="DE58" i="19"/>
  <c r="DE57" i="19"/>
  <c r="DE53" i="19"/>
  <c r="DE52" i="19"/>
  <c r="DE51" i="19"/>
  <c r="DE50" i="19"/>
  <c r="DE49" i="19"/>
  <c r="DE45" i="19"/>
  <c r="DE44" i="19"/>
  <c r="DE43" i="19"/>
  <c r="DE42" i="19"/>
  <c r="DE41" i="19"/>
  <c r="DE37" i="19"/>
  <c r="DE36" i="19"/>
  <c r="DE35" i="19"/>
  <c r="DE34" i="19"/>
  <c r="DE33" i="19"/>
  <c r="DE29" i="19"/>
  <c r="DE28" i="19"/>
  <c r="DE27" i="19"/>
  <c r="DE26" i="19"/>
  <c r="DE25" i="19"/>
  <c r="DE21" i="19"/>
  <c r="DE20" i="19"/>
  <c r="DE19" i="19"/>
  <c r="DE18" i="19"/>
  <c r="DE17" i="19"/>
  <c r="DE13" i="19"/>
  <c r="DE12" i="19"/>
  <c r="DE11" i="19"/>
  <c r="DE10" i="19"/>
  <c r="DE9" i="19"/>
  <c r="DA325" i="19"/>
  <c r="DA324" i="19"/>
  <c r="DA323" i="19"/>
  <c r="DG321" i="19"/>
  <c r="DF321" i="19"/>
  <c r="DA321" i="19"/>
  <c r="DA317" i="19"/>
  <c r="DA316" i="19"/>
  <c r="DA315" i="19"/>
  <c r="DG313" i="19"/>
  <c r="DF313" i="19"/>
  <c r="DA313" i="19"/>
  <c r="DA309" i="19"/>
  <c r="DA308" i="19"/>
  <c r="DA307" i="19"/>
  <c r="DA306" i="19"/>
  <c r="DG305" i="19"/>
  <c r="DF305" i="19"/>
  <c r="DA305" i="19"/>
  <c r="DA301" i="19"/>
  <c r="DA300" i="19"/>
  <c r="DA298" i="19"/>
  <c r="DG297" i="19"/>
  <c r="DF297" i="19"/>
  <c r="DA297" i="19"/>
  <c r="DA293" i="19"/>
  <c r="DA292" i="19"/>
  <c r="DA291" i="19"/>
  <c r="DG289" i="19"/>
  <c r="DF289" i="19"/>
  <c r="DA289" i="19"/>
  <c r="DA285" i="19"/>
  <c r="DA284" i="19"/>
  <c r="DA283" i="19"/>
  <c r="DG281" i="19"/>
  <c r="DF281" i="19"/>
  <c r="DA281" i="19"/>
  <c r="DA277" i="19"/>
  <c r="DA276" i="19"/>
  <c r="DA275" i="19"/>
  <c r="DA274" i="19"/>
  <c r="DG273" i="19"/>
  <c r="DF273" i="19"/>
  <c r="DA273" i="19"/>
  <c r="DA269" i="19"/>
  <c r="DA268" i="19"/>
  <c r="DA267" i="19"/>
  <c r="DA266" i="19"/>
  <c r="DG265" i="19"/>
  <c r="DF265" i="19"/>
  <c r="DA265" i="19"/>
  <c r="DA261" i="19"/>
  <c r="DA260" i="19"/>
  <c r="DA259" i="19"/>
  <c r="DA258" i="19"/>
  <c r="DG257" i="19"/>
  <c r="DF257" i="19"/>
  <c r="DA257" i="19"/>
  <c r="DA253" i="19"/>
  <c r="DA252" i="19"/>
  <c r="DA250" i="19"/>
  <c r="DG249" i="19"/>
  <c r="DF249" i="19"/>
  <c r="DA249" i="19"/>
  <c r="DA245" i="19"/>
  <c r="DA244" i="19"/>
  <c r="DA243" i="19"/>
  <c r="DG241" i="19"/>
  <c r="DF241" i="19"/>
  <c r="DA241" i="19"/>
  <c r="DA237" i="19"/>
  <c r="DA236" i="19"/>
  <c r="DA235" i="19"/>
  <c r="DG233" i="19"/>
  <c r="DF233" i="19"/>
  <c r="DA233" i="19"/>
  <c r="DA229" i="19"/>
  <c r="DA228" i="19"/>
  <c r="DA227" i="19"/>
  <c r="DA226" i="19"/>
  <c r="DG225" i="19"/>
  <c r="DF225" i="19"/>
  <c r="DA225" i="19"/>
  <c r="DA221" i="19"/>
  <c r="DA220" i="19"/>
  <c r="DA219" i="19"/>
  <c r="DA218" i="19"/>
  <c r="DG217" i="19"/>
  <c r="DF217" i="19"/>
  <c r="DA217" i="19"/>
  <c r="DA213" i="19"/>
  <c r="DA212" i="19"/>
  <c r="DA211" i="19"/>
  <c r="DA210" i="19"/>
  <c r="DG209" i="19"/>
  <c r="DF209" i="19"/>
  <c r="DA209" i="19"/>
  <c r="DA205" i="19"/>
  <c r="DA204" i="19"/>
  <c r="DA203" i="19"/>
  <c r="DA202" i="19"/>
  <c r="DG201" i="19"/>
  <c r="DF201" i="19"/>
  <c r="DA201" i="19"/>
  <c r="DA197" i="19"/>
  <c r="DA196" i="19"/>
  <c r="DA195" i="19"/>
  <c r="DA194" i="19"/>
  <c r="DG193" i="19"/>
  <c r="DF193" i="19"/>
  <c r="DA193" i="19"/>
  <c r="DA189" i="19"/>
  <c r="DA188" i="19"/>
  <c r="DA186" i="19"/>
  <c r="DG185" i="19"/>
  <c r="DF185" i="19"/>
  <c r="DA185" i="19"/>
  <c r="DA181" i="19"/>
  <c r="DA180" i="19"/>
  <c r="DA179" i="19"/>
  <c r="DA178" i="19"/>
  <c r="DG177" i="19"/>
  <c r="DF177" i="19"/>
  <c r="DA177" i="19"/>
  <c r="DA173" i="19"/>
  <c r="DA172" i="19"/>
  <c r="DA170" i="19"/>
  <c r="DG169" i="19"/>
  <c r="DF169" i="19"/>
  <c r="DA169" i="19"/>
  <c r="DA165" i="19"/>
  <c r="DA164" i="19"/>
  <c r="DA163" i="19"/>
  <c r="DA162" i="19"/>
  <c r="DG161" i="19"/>
  <c r="DF161" i="19"/>
  <c r="DA161" i="19"/>
  <c r="DA157" i="19"/>
  <c r="DA156" i="19"/>
  <c r="DA155" i="19"/>
  <c r="DA154" i="19"/>
  <c r="DG153" i="19"/>
  <c r="DF153" i="19"/>
  <c r="DA153" i="19"/>
  <c r="DA149" i="19"/>
  <c r="DA148" i="19"/>
  <c r="DA146" i="19"/>
  <c r="DG145" i="19"/>
  <c r="DF145" i="19"/>
  <c r="DA145" i="19"/>
  <c r="DA141" i="19"/>
  <c r="DA140" i="19"/>
  <c r="DA139" i="19"/>
  <c r="DG137" i="19"/>
  <c r="DF137" i="19"/>
  <c r="DA137" i="19"/>
  <c r="DA133" i="19"/>
  <c r="DA132" i="19"/>
  <c r="DA131" i="19"/>
  <c r="DG129" i="19"/>
  <c r="DF129" i="19"/>
  <c r="DA129" i="19"/>
  <c r="DA125" i="19"/>
  <c r="DA124" i="19"/>
  <c r="DA123" i="19"/>
  <c r="DG121" i="19"/>
  <c r="DF121" i="19"/>
  <c r="DA121" i="19"/>
  <c r="DA117" i="19"/>
  <c r="DA116" i="19"/>
  <c r="DA115" i="19"/>
  <c r="DG113" i="19"/>
  <c r="DF113" i="19"/>
  <c r="DA113" i="19"/>
  <c r="DA109" i="19"/>
  <c r="DA108" i="19"/>
  <c r="DA107" i="19"/>
  <c r="DG105" i="19"/>
  <c r="DF105" i="19"/>
  <c r="DA105" i="19"/>
  <c r="DA101" i="19"/>
  <c r="DA100" i="19"/>
  <c r="DA99" i="19"/>
  <c r="DA98" i="19"/>
  <c r="DG97" i="19"/>
  <c r="DF97" i="19"/>
  <c r="DA97" i="19"/>
  <c r="DA93" i="19"/>
  <c r="DA92" i="19"/>
  <c r="DA91" i="19"/>
  <c r="DG89" i="19"/>
  <c r="DF89" i="19"/>
  <c r="DA89" i="19"/>
  <c r="DA85" i="19"/>
  <c r="DA84" i="19"/>
  <c r="DA82" i="19"/>
  <c r="DG81" i="19"/>
  <c r="DF81" i="19"/>
  <c r="DA81" i="19"/>
  <c r="DA77" i="19"/>
  <c r="DA76" i="19"/>
  <c r="DA74" i="19"/>
  <c r="DG73" i="19"/>
  <c r="DF73" i="19"/>
  <c r="DA73" i="19"/>
  <c r="DA69" i="19"/>
  <c r="DA68" i="19"/>
  <c r="DA67" i="19"/>
  <c r="DG65" i="19"/>
  <c r="DF65" i="19"/>
  <c r="DA65" i="19"/>
  <c r="DA61" i="19"/>
  <c r="DA60" i="19"/>
  <c r="DA59" i="19"/>
  <c r="DG57" i="19"/>
  <c r="DF57" i="19"/>
  <c r="DA57" i="19"/>
  <c r="DA53" i="19"/>
  <c r="DA52" i="19"/>
  <c r="DA51" i="19"/>
  <c r="DA50" i="19"/>
  <c r="DG49" i="19"/>
  <c r="DF49" i="19"/>
  <c r="DA45" i="19"/>
  <c r="DA44" i="19"/>
  <c r="DA43" i="19"/>
  <c r="DA42" i="19"/>
  <c r="DG41" i="19"/>
  <c r="DF41" i="19"/>
  <c r="DA41" i="19"/>
  <c r="DA37" i="19"/>
  <c r="DA36" i="19"/>
  <c r="DA35" i="19"/>
  <c r="DA34" i="19"/>
  <c r="DG33" i="19"/>
  <c r="DF33" i="19"/>
  <c r="DA33" i="19"/>
  <c r="DA29" i="19"/>
  <c r="DA28" i="19"/>
  <c r="DG25" i="19"/>
  <c r="DF25" i="19"/>
  <c r="DB21" i="19"/>
  <c r="DA21" i="19"/>
  <c r="DB20" i="19"/>
  <c r="DA20" i="19"/>
  <c r="DB19" i="19"/>
  <c r="DA19" i="19"/>
  <c r="DB18" i="19"/>
  <c r="DA18" i="19"/>
  <c r="DG17" i="19"/>
  <c r="DF17" i="19"/>
  <c r="DA13" i="19"/>
  <c r="DA12" i="19"/>
  <c r="DA11" i="19"/>
  <c r="DG9" i="19"/>
  <c r="DF9" i="19"/>
  <c r="CX325" i="19"/>
  <c r="CX324" i="19"/>
  <c r="CX323" i="19"/>
  <c r="CX322" i="19"/>
  <c r="CX321" i="19"/>
  <c r="CX317" i="19"/>
  <c r="CX316" i="19"/>
  <c r="CX315" i="19"/>
  <c r="CX314" i="19"/>
  <c r="CX313" i="19"/>
  <c r="CX309" i="19"/>
  <c r="CX308" i="19"/>
  <c r="CX307" i="19"/>
  <c r="CX306" i="19"/>
  <c r="CX305" i="19"/>
  <c r="CX301" i="19"/>
  <c r="CX300" i="19"/>
  <c r="CX299" i="19"/>
  <c r="CX298" i="19"/>
  <c r="CX297" i="19"/>
  <c r="CX293" i="19"/>
  <c r="CX292" i="19"/>
  <c r="CX291" i="19"/>
  <c r="CX290" i="19"/>
  <c r="CX289" i="19"/>
  <c r="CX285" i="19"/>
  <c r="CX284" i="19"/>
  <c r="CX283" i="19"/>
  <c r="CX282" i="19"/>
  <c r="CX281" i="19"/>
  <c r="CX277" i="19"/>
  <c r="CX276" i="19"/>
  <c r="CX275" i="19"/>
  <c r="CX274" i="19"/>
  <c r="CX273" i="19"/>
  <c r="CX269" i="19"/>
  <c r="CX268" i="19"/>
  <c r="CX267" i="19"/>
  <c r="CX266" i="19"/>
  <c r="CX265" i="19"/>
  <c r="CX261" i="19"/>
  <c r="CX260" i="19"/>
  <c r="CX259" i="19"/>
  <c r="CX258" i="19"/>
  <c r="CX257" i="19"/>
  <c r="CX253" i="19"/>
  <c r="CX252" i="19"/>
  <c r="CX251" i="19"/>
  <c r="CX250" i="19"/>
  <c r="CX249" i="19"/>
  <c r="CX245" i="19"/>
  <c r="CX244" i="19"/>
  <c r="CX243" i="19"/>
  <c r="CX242" i="19"/>
  <c r="CX241" i="19"/>
  <c r="CX237" i="19"/>
  <c r="CX236" i="19"/>
  <c r="CX235" i="19"/>
  <c r="CX234" i="19"/>
  <c r="CX233" i="19"/>
  <c r="CX229" i="19"/>
  <c r="CX228" i="19"/>
  <c r="CX227" i="19"/>
  <c r="CX226" i="19"/>
  <c r="CX225" i="19"/>
  <c r="CX221" i="19"/>
  <c r="CX220" i="19"/>
  <c r="CX219" i="19"/>
  <c r="CX218" i="19"/>
  <c r="CX217" i="19"/>
  <c r="CX213" i="19"/>
  <c r="CX212" i="19"/>
  <c r="CX211" i="19"/>
  <c r="CX210" i="19"/>
  <c r="CX209" i="19"/>
  <c r="CX205" i="19"/>
  <c r="CX204" i="19"/>
  <c r="CX203" i="19"/>
  <c r="CX202" i="19"/>
  <c r="CX201" i="19"/>
  <c r="CX197" i="19"/>
  <c r="CX196" i="19"/>
  <c r="CX195" i="19"/>
  <c r="CX194" i="19"/>
  <c r="CX193" i="19"/>
  <c r="CX189" i="19"/>
  <c r="CX188" i="19"/>
  <c r="CX187" i="19"/>
  <c r="CX186" i="19"/>
  <c r="CX185" i="19"/>
  <c r="CX181" i="19"/>
  <c r="CX180" i="19"/>
  <c r="CX179" i="19"/>
  <c r="CX178" i="19"/>
  <c r="CX177" i="19"/>
  <c r="CX173" i="19"/>
  <c r="CX172" i="19"/>
  <c r="CX171" i="19"/>
  <c r="CX170" i="19"/>
  <c r="CX169" i="19"/>
  <c r="CX165" i="19"/>
  <c r="CX164" i="19"/>
  <c r="CX163" i="19"/>
  <c r="CX162" i="19"/>
  <c r="CX161" i="19"/>
  <c r="CX157" i="19"/>
  <c r="CX156" i="19"/>
  <c r="CX155" i="19"/>
  <c r="CX154" i="19"/>
  <c r="CX153" i="19"/>
  <c r="CX149" i="19"/>
  <c r="CX148" i="19"/>
  <c r="CX147" i="19"/>
  <c r="CX146" i="19"/>
  <c r="CX145" i="19"/>
  <c r="CX141" i="19"/>
  <c r="CX140" i="19"/>
  <c r="CX139" i="19"/>
  <c r="CX138" i="19"/>
  <c r="CX137" i="19"/>
  <c r="CX133" i="19"/>
  <c r="CX132" i="19"/>
  <c r="CX131" i="19"/>
  <c r="CX130" i="19"/>
  <c r="CX129" i="19"/>
  <c r="CX125" i="19"/>
  <c r="CX124" i="19"/>
  <c r="CX123" i="19"/>
  <c r="CX122" i="19"/>
  <c r="CX121" i="19"/>
  <c r="CX117" i="19"/>
  <c r="CX116" i="19"/>
  <c r="CX115" i="19"/>
  <c r="CX114" i="19"/>
  <c r="CX113" i="19"/>
  <c r="CX109" i="19"/>
  <c r="CX108" i="19"/>
  <c r="CX107" i="19"/>
  <c r="CX106" i="19"/>
  <c r="CX105" i="19"/>
  <c r="CX101" i="19"/>
  <c r="CX100" i="19"/>
  <c r="CX99" i="19"/>
  <c r="CX98" i="19"/>
  <c r="CX97" i="19"/>
  <c r="CX93" i="19"/>
  <c r="CX92" i="19"/>
  <c r="CX91" i="19"/>
  <c r="CX90" i="19"/>
  <c r="CX89" i="19"/>
  <c r="CX85" i="19"/>
  <c r="CX84" i="19"/>
  <c r="CX83" i="19"/>
  <c r="CX82" i="19"/>
  <c r="CX81" i="19"/>
  <c r="CX77" i="19"/>
  <c r="CX76" i="19"/>
  <c r="CX75" i="19"/>
  <c r="CX74" i="19"/>
  <c r="CX73" i="19"/>
  <c r="CX69" i="19"/>
  <c r="CX68" i="19"/>
  <c r="CX67" i="19"/>
  <c r="CX66" i="19"/>
  <c r="CX65" i="19"/>
  <c r="CX61" i="19"/>
  <c r="CX60" i="19"/>
  <c r="CX59" i="19"/>
  <c r="CX58" i="19"/>
  <c r="CX57" i="19"/>
  <c r="CX53" i="19"/>
  <c r="CX52" i="19"/>
  <c r="CX51" i="19"/>
  <c r="CX50" i="19"/>
  <c r="CX49" i="19"/>
  <c r="CX45" i="19"/>
  <c r="CX44" i="19"/>
  <c r="CX43" i="19"/>
  <c r="CX42" i="19"/>
  <c r="CX41" i="19"/>
  <c r="CX37" i="19"/>
  <c r="CX36" i="19"/>
  <c r="CX35" i="19"/>
  <c r="CX34" i="19"/>
  <c r="CX33" i="19"/>
  <c r="CX29" i="19"/>
  <c r="CX28" i="19"/>
  <c r="CX27" i="19"/>
  <c r="CX26" i="19"/>
  <c r="CX25" i="19"/>
  <c r="CX21" i="19"/>
  <c r="CX20" i="19"/>
  <c r="CX19" i="19"/>
  <c r="CX18" i="19"/>
  <c r="CX17" i="19"/>
  <c r="CX13" i="19"/>
  <c r="CX12" i="19"/>
  <c r="CX11" i="19"/>
  <c r="CX10" i="19"/>
  <c r="CX9" i="19"/>
  <c r="CT325" i="19"/>
  <c r="CT324" i="19"/>
  <c r="CT323" i="19"/>
  <c r="CT322" i="19"/>
  <c r="CZ321" i="19"/>
  <c r="CY321" i="19"/>
  <c r="CT317" i="19"/>
  <c r="CT316" i="19"/>
  <c r="CT315" i="19"/>
  <c r="CT314" i="19"/>
  <c r="CZ313" i="19"/>
  <c r="CY313" i="19"/>
  <c r="CT309" i="19"/>
  <c r="CT308" i="19"/>
  <c r="CT307" i="19"/>
  <c r="CT306" i="19"/>
  <c r="CZ305" i="19"/>
  <c r="CY305" i="19"/>
  <c r="CT305" i="19"/>
  <c r="CT301" i="19"/>
  <c r="CT300" i="19"/>
  <c r="CT299" i="19"/>
  <c r="CZ297" i="19"/>
  <c r="CY297" i="19"/>
  <c r="CT297" i="19"/>
  <c r="CT293" i="19"/>
  <c r="CT292" i="19"/>
  <c r="CT291" i="19"/>
  <c r="CT290" i="19"/>
  <c r="CZ289" i="19"/>
  <c r="CY289" i="19"/>
  <c r="CT285" i="19"/>
  <c r="CT284" i="19"/>
  <c r="CT283" i="19"/>
  <c r="CT282" i="19"/>
  <c r="CZ281" i="19"/>
  <c r="CY281" i="19"/>
  <c r="CT277" i="19"/>
  <c r="CT276" i="19"/>
  <c r="CT275" i="19"/>
  <c r="CT274" i="19"/>
  <c r="CZ273" i="19"/>
  <c r="CY273" i="19"/>
  <c r="CT273" i="19"/>
  <c r="CT269" i="19"/>
  <c r="CT268" i="19"/>
  <c r="CT267" i="19"/>
  <c r="CT266" i="19"/>
  <c r="CZ265" i="19"/>
  <c r="CY265" i="19"/>
  <c r="CT265" i="19"/>
  <c r="CT261" i="19"/>
  <c r="CT260" i="19"/>
  <c r="CT259" i="19"/>
  <c r="CT258" i="19"/>
  <c r="CZ257" i="19"/>
  <c r="CY257" i="19"/>
  <c r="CT257" i="19"/>
  <c r="CT253" i="19"/>
  <c r="CT252" i="19"/>
  <c r="CT251" i="19"/>
  <c r="CZ249" i="19"/>
  <c r="CY249" i="19"/>
  <c r="CT249" i="19"/>
  <c r="CT245" i="19"/>
  <c r="CT244" i="19"/>
  <c r="CT243" i="19"/>
  <c r="CT242" i="19"/>
  <c r="CZ241" i="19"/>
  <c r="CY241" i="19"/>
  <c r="CT237" i="19"/>
  <c r="CT236" i="19"/>
  <c r="CT234" i="19"/>
  <c r="CZ233" i="19"/>
  <c r="CY233" i="19"/>
  <c r="CT233" i="19"/>
  <c r="CT229" i="19"/>
  <c r="CT228" i="19"/>
  <c r="CT227" i="19"/>
  <c r="CT226" i="19"/>
  <c r="CZ225" i="19"/>
  <c r="CY225" i="19"/>
  <c r="CT225" i="19"/>
  <c r="CT221" i="19"/>
  <c r="CT220" i="19"/>
  <c r="CT219" i="19"/>
  <c r="CT218" i="19"/>
  <c r="CZ217" i="19"/>
  <c r="CY217" i="19"/>
  <c r="CT217" i="19"/>
  <c r="CT213" i="19"/>
  <c r="CT212" i="19"/>
  <c r="CT211" i="19"/>
  <c r="CT210" i="19"/>
  <c r="CZ209" i="19"/>
  <c r="CY209" i="19"/>
  <c r="CT209" i="19"/>
  <c r="CT205" i="19"/>
  <c r="CT204" i="19"/>
  <c r="CT203" i="19"/>
  <c r="CT202" i="19"/>
  <c r="CZ201" i="19"/>
  <c r="CY201" i="19"/>
  <c r="CT201" i="19"/>
  <c r="CT197" i="19"/>
  <c r="CT196" i="19"/>
  <c r="CT195" i="19"/>
  <c r="CT194" i="19"/>
  <c r="CZ193" i="19"/>
  <c r="CY193" i="19"/>
  <c r="CT193" i="19"/>
  <c r="CT189" i="19"/>
  <c r="CT188" i="19"/>
  <c r="CT187" i="19"/>
  <c r="CZ185" i="19"/>
  <c r="CY185" i="19"/>
  <c r="CT185" i="19"/>
  <c r="CT181" i="19"/>
  <c r="CT180" i="19"/>
  <c r="CT179" i="19"/>
  <c r="CT178" i="19"/>
  <c r="CZ177" i="19"/>
  <c r="CY177" i="19"/>
  <c r="CT177" i="19"/>
  <c r="CT173" i="19"/>
  <c r="CT172" i="19"/>
  <c r="CT171" i="19"/>
  <c r="CZ169" i="19"/>
  <c r="CY169" i="19"/>
  <c r="CT169" i="19"/>
  <c r="CT165" i="19"/>
  <c r="CT164" i="19"/>
  <c r="CT163" i="19"/>
  <c r="CT162" i="19"/>
  <c r="CZ161" i="19"/>
  <c r="CY161" i="19"/>
  <c r="CT161" i="19"/>
  <c r="CT157" i="19"/>
  <c r="CT156" i="19"/>
  <c r="CT155" i="19"/>
  <c r="CT154" i="19"/>
  <c r="CZ153" i="19"/>
  <c r="CY153" i="19"/>
  <c r="CT153" i="19"/>
  <c r="CT149" i="19"/>
  <c r="CT148" i="19"/>
  <c r="CT147" i="19"/>
  <c r="CZ145" i="19"/>
  <c r="CY145" i="19"/>
  <c r="CT145" i="19"/>
  <c r="CT141" i="19"/>
  <c r="CT140" i="19"/>
  <c r="CT139" i="19"/>
  <c r="CT138" i="19"/>
  <c r="CZ137" i="19"/>
  <c r="CY137" i="19"/>
  <c r="CT133" i="19"/>
  <c r="CT132" i="19"/>
  <c r="CT131" i="19"/>
  <c r="CT130" i="19"/>
  <c r="CZ129" i="19"/>
  <c r="CY129" i="19"/>
  <c r="CT125" i="19"/>
  <c r="CT124" i="19"/>
  <c r="CT123" i="19"/>
  <c r="CT122" i="19"/>
  <c r="CZ121" i="19"/>
  <c r="CY121" i="19"/>
  <c r="CT117" i="19"/>
  <c r="CT116" i="19"/>
  <c r="CT115" i="19"/>
  <c r="CT114" i="19"/>
  <c r="CZ113" i="19"/>
  <c r="CY113" i="19"/>
  <c r="CT109" i="19"/>
  <c r="CT108" i="19"/>
  <c r="CT107" i="19"/>
  <c r="CT106" i="19"/>
  <c r="CZ105" i="19"/>
  <c r="CY105" i="19"/>
  <c r="CT101" i="19"/>
  <c r="CT100" i="19"/>
  <c r="CT99" i="19"/>
  <c r="CT98" i="19"/>
  <c r="CZ97" i="19"/>
  <c r="CY97" i="19"/>
  <c r="CT97" i="19"/>
  <c r="CT93" i="19"/>
  <c r="CT92" i="19"/>
  <c r="CT91" i="19"/>
  <c r="CT90" i="19"/>
  <c r="CZ89" i="19"/>
  <c r="CY89" i="19"/>
  <c r="CT85" i="19"/>
  <c r="CT84" i="19"/>
  <c r="CT83" i="19"/>
  <c r="CZ81" i="19"/>
  <c r="CY81" i="19"/>
  <c r="CT81" i="19"/>
  <c r="CT77" i="19"/>
  <c r="CT76" i="19"/>
  <c r="CT75" i="19"/>
  <c r="CZ73" i="19"/>
  <c r="CY73" i="19"/>
  <c r="CT73" i="19"/>
  <c r="CT69" i="19"/>
  <c r="CT68" i="19"/>
  <c r="CT67" i="19"/>
  <c r="CT66" i="19"/>
  <c r="CZ65" i="19"/>
  <c r="CY65" i="19"/>
  <c r="CT61" i="19"/>
  <c r="CT60" i="19"/>
  <c r="CT59" i="19"/>
  <c r="CT58" i="19"/>
  <c r="CZ57" i="19"/>
  <c r="CY57" i="19"/>
  <c r="CT53" i="19"/>
  <c r="CT52" i="19"/>
  <c r="CT50" i="19"/>
  <c r="CZ49" i="19"/>
  <c r="CY49" i="19"/>
  <c r="CT49" i="19"/>
  <c r="CT45" i="19"/>
  <c r="CT44" i="19"/>
  <c r="CT43" i="19"/>
  <c r="CT42" i="19"/>
  <c r="CZ41" i="19"/>
  <c r="CY41" i="19"/>
  <c r="CT41" i="19"/>
  <c r="CT37" i="19"/>
  <c r="CT36" i="19"/>
  <c r="CT35" i="19"/>
  <c r="CT34" i="19"/>
  <c r="CZ33" i="19"/>
  <c r="CY33" i="19"/>
  <c r="CT33" i="19"/>
  <c r="CT29" i="19"/>
  <c r="CT28" i="19"/>
  <c r="CZ25" i="19"/>
  <c r="CY25" i="19"/>
  <c r="CU21" i="19"/>
  <c r="CT21" i="19"/>
  <c r="CU20" i="19"/>
  <c r="CT20" i="19"/>
  <c r="CU19" i="19"/>
  <c r="CT19" i="19"/>
  <c r="CU18" i="19"/>
  <c r="CT18" i="19"/>
  <c r="CZ17" i="19"/>
  <c r="CY17" i="19"/>
  <c r="CT13" i="19"/>
  <c r="CT12" i="19"/>
  <c r="CT10" i="19"/>
  <c r="CZ9" i="19"/>
  <c r="CY9" i="19"/>
  <c r="CQ325" i="19"/>
  <c r="CQ324" i="19"/>
  <c r="CQ323" i="19"/>
  <c r="CQ322" i="19"/>
  <c r="CQ321" i="19"/>
  <c r="CQ317" i="19"/>
  <c r="CQ316" i="19"/>
  <c r="CQ315" i="19"/>
  <c r="CQ314" i="19"/>
  <c r="CQ313" i="19"/>
  <c r="CQ309" i="19"/>
  <c r="CQ308" i="19"/>
  <c r="CQ307" i="19"/>
  <c r="CQ306" i="19"/>
  <c r="CQ305" i="19"/>
  <c r="CQ301" i="19"/>
  <c r="CQ300" i="19"/>
  <c r="CQ299" i="19"/>
  <c r="CQ298" i="19"/>
  <c r="CQ297" i="19"/>
  <c r="CQ293" i="19"/>
  <c r="CQ292" i="19"/>
  <c r="CQ291" i="19"/>
  <c r="CQ290" i="19"/>
  <c r="CQ289" i="19"/>
  <c r="CQ285" i="19"/>
  <c r="CQ284" i="19"/>
  <c r="CQ283" i="19"/>
  <c r="CQ282" i="19"/>
  <c r="CQ281" i="19"/>
  <c r="CQ277" i="19"/>
  <c r="CQ276" i="19"/>
  <c r="CQ275" i="19"/>
  <c r="CQ274" i="19"/>
  <c r="CQ273" i="19"/>
  <c r="CQ269" i="19"/>
  <c r="CQ268" i="19"/>
  <c r="CQ267" i="19"/>
  <c r="CQ266" i="19"/>
  <c r="CQ265" i="19"/>
  <c r="CQ261" i="19"/>
  <c r="CQ260" i="19"/>
  <c r="CQ259" i="19"/>
  <c r="CQ258" i="19"/>
  <c r="CQ257" i="19"/>
  <c r="CQ253" i="19"/>
  <c r="CQ252" i="19"/>
  <c r="CQ251" i="19"/>
  <c r="CQ250" i="19"/>
  <c r="CQ249" i="19"/>
  <c r="CQ245" i="19"/>
  <c r="CQ244" i="19"/>
  <c r="CQ243" i="19"/>
  <c r="CQ242" i="19"/>
  <c r="CQ241" i="19"/>
  <c r="CQ237" i="19"/>
  <c r="CQ236" i="19"/>
  <c r="CQ235" i="19"/>
  <c r="CQ234" i="19"/>
  <c r="CQ233" i="19"/>
  <c r="CQ229" i="19"/>
  <c r="CQ228" i="19"/>
  <c r="CQ227" i="19"/>
  <c r="CQ226" i="19"/>
  <c r="CQ225" i="19"/>
  <c r="CQ221" i="19"/>
  <c r="CQ220" i="19"/>
  <c r="CQ219" i="19"/>
  <c r="CQ218" i="19"/>
  <c r="CQ217" i="19"/>
  <c r="CQ213" i="19"/>
  <c r="CQ212" i="19"/>
  <c r="CQ211" i="19"/>
  <c r="CQ210" i="19"/>
  <c r="CQ209" i="19"/>
  <c r="CQ205" i="19"/>
  <c r="CQ204" i="19"/>
  <c r="CQ203" i="19"/>
  <c r="CQ202" i="19"/>
  <c r="CQ201" i="19"/>
  <c r="CQ197" i="19"/>
  <c r="CQ196" i="19"/>
  <c r="CQ195" i="19"/>
  <c r="CQ194" i="19"/>
  <c r="CQ193" i="19"/>
  <c r="CQ189" i="19"/>
  <c r="CQ188" i="19"/>
  <c r="CQ187" i="19"/>
  <c r="CQ186" i="19"/>
  <c r="CQ185" i="19"/>
  <c r="CQ181" i="19"/>
  <c r="CQ180" i="19"/>
  <c r="CQ179" i="19"/>
  <c r="CQ178" i="19"/>
  <c r="CQ177" i="19"/>
  <c r="CQ173" i="19"/>
  <c r="CQ172" i="19"/>
  <c r="CQ171" i="19"/>
  <c r="CQ170" i="19"/>
  <c r="CQ169" i="19"/>
  <c r="CQ165" i="19"/>
  <c r="CQ164" i="19"/>
  <c r="CQ163" i="19"/>
  <c r="CQ162" i="19"/>
  <c r="CQ161" i="19"/>
  <c r="CQ157" i="19"/>
  <c r="CQ156" i="19"/>
  <c r="CQ155" i="19"/>
  <c r="CQ154" i="19"/>
  <c r="CQ153" i="19"/>
  <c r="CQ149" i="19"/>
  <c r="CQ148" i="19"/>
  <c r="CQ147" i="19"/>
  <c r="CQ146" i="19"/>
  <c r="CQ145" i="19"/>
  <c r="CQ141" i="19"/>
  <c r="CQ140" i="19"/>
  <c r="CQ139" i="19"/>
  <c r="CQ138" i="19"/>
  <c r="CQ137" i="19"/>
  <c r="CQ133" i="19"/>
  <c r="CQ132" i="19"/>
  <c r="CQ131" i="19"/>
  <c r="CQ130" i="19"/>
  <c r="CQ129" i="19"/>
  <c r="CQ125" i="19"/>
  <c r="CQ124" i="19"/>
  <c r="CQ123" i="19"/>
  <c r="CQ122" i="19"/>
  <c r="CQ121" i="19"/>
  <c r="CQ117" i="19"/>
  <c r="CQ116" i="19"/>
  <c r="CQ115" i="19"/>
  <c r="CQ114" i="19"/>
  <c r="CQ113" i="19"/>
  <c r="CQ109" i="19"/>
  <c r="CQ108" i="19"/>
  <c r="CQ107" i="19"/>
  <c r="CQ106" i="19"/>
  <c r="CQ105" i="19"/>
  <c r="CQ101" i="19"/>
  <c r="CQ100" i="19"/>
  <c r="CQ99" i="19"/>
  <c r="CQ98" i="19"/>
  <c r="CQ97" i="19"/>
  <c r="CQ93" i="19"/>
  <c r="CQ92" i="19"/>
  <c r="CQ91" i="19"/>
  <c r="CQ90" i="19"/>
  <c r="CQ89" i="19"/>
  <c r="CQ85" i="19"/>
  <c r="CQ84" i="19"/>
  <c r="CQ83" i="19"/>
  <c r="CQ82" i="19"/>
  <c r="CQ81" i="19"/>
  <c r="CQ77" i="19"/>
  <c r="CQ76" i="19"/>
  <c r="CQ75" i="19"/>
  <c r="CQ74" i="19"/>
  <c r="CQ73" i="19"/>
  <c r="CQ69" i="19"/>
  <c r="CQ68" i="19"/>
  <c r="CQ67" i="19"/>
  <c r="CQ66" i="19"/>
  <c r="CQ65" i="19"/>
  <c r="CQ61" i="19"/>
  <c r="CQ60" i="19"/>
  <c r="CQ59" i="19"/>
  <c r="CQ58" i="19"/>
  <c r="CQ57" i="19"/>
  <c r="CQ53" i="19"/>
  <c r="CQ52" i="19"/>
  <c r="CQ51" i="19"/>
  <c r="CQ50" i="19"/>
  <c r="CQ49" i="19"/>
  <c r="CQ45" i="19"/>
  <c r="CQ44" i="19"/>
  <c r="CQ43" i="19"/>
  <c r="CQ42" i="19"/>
  <c r="CQ41" i="19"/>
  <c r="CQ37" i="19"/>
  <c r="CQ36" i="19"/>
  <c r="CQ35" i="19"/>
  <c r="CQ34" i="19"/>
  <c r="CQ33" i="19"/>
  <c r="CQ29" i="19"/>
  <c r="CQ28" i="19"/>
  <c r="CQ27" i="19"/>
  <c r="CQ26" i="19"/>
  <c r="CQ25" i="19"/>
  <c r="CQ21" i="19"/>
  <c r="CQ20" i="19"/>
  <c r="CQ19" i="19"/>
  <c r="CQ18" i="19"/>
  <c r="CQ17" i="19"/>
  <c r="CQ13" i="19"/>
  <c r="CQ12" i="19"/>
  <c r="CQ11" i="19"/>
  <c r="CQ10" i="19"/>
  <c r="CQ9" i="19"/>
  <c r="CM325" i="19"/>
  <c r="CM324" i="19"/>
  <c r="CM322" i="19"/>
  <c r="CS321" i="19"/>
  <c r="CR321" i="19"/>
  <c r="CM321" i="19"/>
  <c r="CM317" i="19"/>
  <c r="CM316" i="19"/>
  <c r="CM314" i="19"/>
  <c r="CS313" i="19"/>
  <c r="CR313" i="19"/>
  <c r="CM313" i="19"/>
  <c r="CM309" i="19"/>
  <c r="CM308" i="19"/>
  <c r="CM307" i="19"/>
  <c r="CM306" i="19"/>
  <c r="CS305" i="19"/>
  <c r="CR305" i="19"/>
  <c r="CM305" i="19"/>
  <c r="CM301" i="19"/>
  <c r="CM300" i="19"/>
  <c r="CM299" i="19"/>
  <c r="CM298" i="19"/>
  <c r="CS297" i="19"/>
  <c r="CR297" i="19"/>
  <c r="CM293" i="19"/>
  <c r="CM292" i="19"/>
  <c r="CM290" i="19"/>
  <c r="CS289" i="19"/>
  <c r="CR289" i="19"/>
  <c r="CM289" i="19"/>
  <c r="CM285" i="19"/>
  <c r="CM284" i="19"/>
  <c r="CM282" i="19"/>
  <c r="CS281" i="19"/>
  <c r="CR281" i="19"/>
  <c r="CM281" i="19"/>
  <c r="CM277" i="19"/>
  <c r="CM276" i="19"/>
  <c r="CM275" i="19"/>
  <c r="CM274" i="19"/>
  <c r="CS273" i="19"/>
  <c r="CR273" i="19"/>
  <c r="CM273" i="19"/>
  <c r="CM269" i="19"/>
  <c r="CM268" i="19"/>
  <c r="CM267" i="19"/>
  <c r="CM266" i="19"/>
  <c r="CS265" i="19"/>
  <c r="CR265" i="19"/>
  <c r="CM265" i="19"/>
  <c r="CM261" i="19"/>
  <c r="CM260" i="19"/>
  <c r="CM259" i="19"/>
  <c r="CM258" i="19"/>
  <c r="CS257" i="19"/>
  <c r="CR257" i="19"/>
  <c r="CM257" i="19"/>
  <c r="CM253" i="19"/>
  <c r="CM252" i="19"/>
  <c r="CM251" i="19"/>
  <c r="CM250" i="19"/>
  <c r="CS249" i="19"/>
  <c r="CR249" i="19"/>
  <c r="CM245" i="19"/>
  <c r="CM244" i="19"/>
  <c r="CM242" i="19"/>
  <c r="CS241" i="19"/>
  <c r="CR241" i="19"/>
  <c r="CM241" i="19"/>
  <c r="CM237" i="19"/>
  <c r="CM236" i="19"/>
  <c r="CM235" i="19"/>
  <c r="CM234" i="19"/>
  <c r="CS233" i="19"/>
  <c r="CR233" i="19"/>
  <c r="CM229" i="19"/>
  <c r="CM228" i="19"/>
  <c r="CM227" i="19"/>
  <c r="CM226" i="19"/>
  <c r="CS225" i="19"/>
  <c r="CR225" i="19"/>
  <c r="CM225" i="19"/>
  <c r="CM221" i="19"/>
  <c r="CM220" i="19"/>
  <c r="CM219" i="19"/>
  <c r="CM218" i="19"/>
  <c r="CS217" i="19"/>
  <c r="CR217" i="19"/>
  <c r="CM217" i="19"/>
  <c r="CM213" i="19"/>
  <c r="CM212" i="19"/>
  <c r="CM211" i="19"/>
  <c r="CM210" i="19"/>
  <c r="CS209" i="19"/>
  <c r="CR209" i="19"/>
  <c r="CM209" i="19"/>
  <c r="CM205" i="19"/>
  <c r="CM204" i="19"/>
  <c r="CM203" i="19"/>
  <c r="CM202" i="19"/>
  <c r="CS201" i="19"/>
  <c r="CR201" i="19"/>
  <c r="CM201" i="19"/>
  <c r="CM197" i="19"/>
  <c r="CM196" i="19"/>
  <c r="CM195" i="19"/>
  <c r="CM194" i="19"/>
  <c r="CS193" i="19"/>
  <c r="CR193" i="19"/>
  <c r="CM193" i="19"/>
  <c r="CM189" i="19"/>
  <c r="CM188" i="19"/>
  <c r="CM187" i="19"/>
  <c r="CM186" i="19"/>
  <c r="CS185" i="19"/>
  <c r="CR185" i="19"/>
  <c r="CM181" i="19"/>
  <c r="CM180" i="19"/>
  <c r="CM179" i="19"/>
  <c r="CM178" i="19"/>
  <c r="CS177" i="19"/>
  <c r="CR177" i="19"/>
  <c r="CM177" i="19"/>
  <c r="CM173" i="19"/>
  <c r="CM172" i="19"/>
  <c r="CM171" i="19"/>
  <c r="CM170" i="19"/>
  <c r="CS169" i="19"/>
  <c r="CR169" i="19"/>
  <c r="CM165" i="19"/>
  <c r="CM164" i="19"/>
  <c r="CM163" i="19"/>
  <c r="CM162" i="19"/>
  <c r="CS161" i="19"/>
  <c r="CR161" i="19"/>
  <c r="CM161" i="19"/>
  <c r="CM157" i="19"/>
  <c r="CM156" i="19"/>
  <c r="CM155" i="19"/>
  <c r="CM154" i="19"/>
  <c r="CS153" i="19"/>
  <c r="CR153" i="19"/>
  <c r="CM153" i="19"/>
  <c r="CM149" i="19"/>
  <c r="CM148" i="19"/>
  <c r="CM147" i="19"/>
  <c r="CM146" i="19"/>
  <c r="CS145" i="19"/>
  <c r="CR145" i="19"/>
  <c r="CM141" i="19"/>
  <c r="CM140" i="19"/>
  <c r="CM138" i="19"/>
  <c r="CS137" i="19"/>
  <c r="CR137" i="19"/>
  <c r="CM137" i="19"/>
  <c r="CM133" i="19"/>
  <c r="CM132" i="19"/>
  <c r="CM130" i="19"/>
  <c r="CS129" i="19"/>
  <c r="CR129" i="19"/>
  <c r="CM129" i="19"/>
  <c r="CM125" i="19"/>
  <c r="CM124" i="19"/>
  <c r="CM122" i="19"/>
  <c r="CS121" i="19"/>
  <c r="CR121" i="19"/>
  <c r="CM121" i="19"/>
  <c r="CM117" i="19"/>
  <c r="CM116" i="19"/>
  <c r="CM114" i="19"/>
  <c r="CS113" i="19"/>
  <c r="CR113" i="19"/>
  <c r="CM113" i="19"/>
  <c r="CM109" i="19"/>
  <c r="CM108" i="19"/>
  <c r="CM106" i="19"/>
  <c r="CS105" i="19"/>
  <c r="CR105" i="19"/>
  <c r="CM105" i="19"/>
  <c r="CM101" i="19"/>
  <c r="CM100" i="19"/>
  <c r="CM99" i="19"/>
  <c r="CM98" i="19"/>
  <c r="CS97" i="19"/>
  <c r="CR97" i="19"/>
  <c r="CM97" i="19"/>
  <c r="CM93" i="19"/>
  <c r="CM92" i="19"/>
  <c r="CM90" i="19"/>
  <c r="CS89" i="19"/>
  <c r="CR89" i="19"/>
  <c r="CM89" i="19"/>
  <c r="CM85" i="19"/>
  <c r="CM84" i="19"/>
  <c r="CM83" i="19"/>
  <c r="CM82" i="19"/>
  <c r="CS81" i="19"/>
  <c r="CR81" i="19"/>
  <c r="CM77" i="19"/>
  <c r="CM76" i="19"/>
  <c r="CM75" i="19"/>
  <c r="CM74" i="19"/>
  <c r="CS73" i="19"/>
  <c r="CR73" i="19"/>
  <c r="CM69" i="19"/>
  <c r="CM68" i="19"/>
  <c r="CM66" i="19"/>
  <c r="CS65" i="19"/>
  <c r="CR65" i="19"/>
  <c r="CM65" i="19"/>
  <c r="CM61" i="19"/>
  <c r="CM60" i="19"/>
  <c r="CM58" i="19"/>
  <c r="CS57" i="19"/>
  <c r="CR57" i="19"/>
  <c r="CM57" i="19"/>
  <c r="CM53" i="19"/>
  <c r="CM52" i="19"/>
  <c r="CM51" i="19"/>
  <c r="CS49" i="19"/>
  <c r="CR49" i="19"/>
  <c r="CM49" i="19"/>
  <c r="CM45" i="19"/>
  <c r="CM44" i="19"/>
  <c r="CM43" i="19"/>
  <c r="CM42" i="19"/>
  <c r="CS41" i="19"/>
  <c r="CR41" i="19"/>
  <c r="CM41" i="19"/>
  <c r="CM37" i="19"/>
  <c r="CM36" i="19"/>
  <c r="CM35" i="19"/>
  <c r="CM34" i="19"/>
  <c r="CS33" i="19"/>
  <c r="CR33" i="19"/>
  <c r="CM33" i="19"/>
  <c r="CM29" i="19"/>
  <c r="CM28" i="19"/>
  <c r="CS25" i="19"/>
  <c r="CR25" i="19"/>
  <c r="CN21" i="19"/>
  <c r="CM21" i="19"/>
  <c r="CN20" i="19"/>
  <c r="CM20" i="19"/>
  <c r="CN19" i="19"/>
  <c r="CM19" i="19"/>
  <c r="CN18" i="19"/>
  <c r="CM18" i="19"/>
  <c r="CS17" i="19"/>
  <c r="CR17" i="19"/>
  <c r="CM13" i="19"/>
  <c r="CM12" i="19"/>
  <c r="CS9" i="19"/>
  <c r="CR9" i="19"/>
  <c r="CK9" i="19"/>
  <c r="CF325" i="19"/>
  <c r="CF324" i="19"/>
  <c r="CF323" i="19"/>
  <c r="CL321" i="19"/>
  <c r="CK321" i="19"/>
  <c r="CF321" i="19"/>
  <c r="CF317" i="19"/>
  <c r="CF316" i="19"/>
  <c r="CF315" i="19"/>
  <c r="CL313" i="19"/>
  <c r="CK313" i="19"/>
  <c r="CF313" i="19"/>
  <c r="CF309" i="19"/>
  <c r="CF308" i="19"/>
  <c r="CF307" i="19"/>
  <c r="CF306" i="19"/>
  <c r="CL305" i="19"/>
  <c r="CK305" i="19"/>
  <c r="CF305" i="19"/>
  <c r="CF301" i="19"/>
  <c r="CF300" i="19"/>
  <c r="CF298" i="19"/>
  <c r="CL297" i="19"/>
  <c r="CK297" i="19"/>
  <c r="CF297" i="19"/>
  <c r="CF293" i="19"/>
  <c r="CF292" i="19"/>
  <c r="CF291" i="19"/>
  <c r="CL289" i="19"/>
  <c r="CK289" i="19"/>
  <c r="CF289" i="19"/>
  <c r="CF285" i="19"/>
  <c r="CF284" i="19"/>
  <c r="CF283" i="19"/>
  <c r="CL281" i="19"/>
  <c r="CK281" i="19"/>
  <c r="CF281" i="19"/>
  <c r="CF277" i="19"/>
  <c r="CF276" i="19"/>
  <c r="CF275" i="19"/>
  <c r="CF274" i="19"/>
  <c r="CL273" i="19"/>
  <c r="CK273" i="19"/>
  <c r="CF273" i="19"/>
  <c r="CF269" i="19"/>
  <c r="CF268" i="19"/>
  <c r="CF267" i="19"/>
  <c r="CF266" i="19"/>
  <c r="CL265" i="19"/>
  <c r="CK265" i="19"/>
  <c r="CF265" i="19"/>
  <c r="CF261" i="19"/>
  <c r="CF260" i="19"/>
  <c r="CF259" i="19"/>
  <c r="CF258" i="19"/>
  <c r="CL257" i="19"/>
  <c r="CK257" i="19"/>
  <c r="CF257" i="19"/>
  <c r="CF253" i="19"/>
  <c r="CF252" i="19"/>
  <c r="CF250" i="19"/>
  <c r="CL249" i="19"/>
  <c r="CK249" i="19"/>
  <c r="CF249" i="19"/>
  <c r="CF245" i="19"/>
  <c r="CF244" i="19"/>
  <c r="CF243" i="19"/>
  <c r="CL241" i="19"/>
  <c r="CK241" i="19"/>
  <c r="CF241" i="19"/>
  <c r="CF237" i="19"/>
  <c r="CF236" i="19"/>
  <c r="CF235" i="19"/>
  <c r="CL233" i="19"/>
  <c r="CK233" i="19"/>
  <c r="CF233" i="19"/>
  <c r="CF229" i="19"/>
  <c r="CF228" i="19"/>
  <c r="CF227" i="19"/>
  <c r="CF226" i="19"/>
  <c r="CL225" i="19"/>
  <c r="CK225" i="19"/>
  <c r="CF225" i="19"/>
  <c r="CF221" i="19"/>
  <c r="CF220" i="19"/>
  <c r="CF219" i="19"/>
  <c r="CF218" i="19"/>
  <c r="CL217" i="19"/>
  <c r="CK217" i="19"/>
  <c r="CF217" i="19"/>
  <c r="CF213" i="19"/>
  <c r="CF212" i="19"/>
  <c r="CF211" i="19"/>
  <c r="CF210" i="19"/>
  <c r="CL209" i="19"/>
  <c r="CK209" i="19"/>
  <c r="CF209" i="19"/>
  <c r="CF205" i="19"/>
  <c r="CF204" i="19"/>
  <c r="CF203" i="19"/>
  <c r="CF202" i="19"/>
  <c r="CL201" i="19"/>
  <c r="CK201" i="19"/>
  <c r="CF201" i="19"/>
  <c r="CF197" i="19"/>
  <c r="CF196" i="19"/>
  <c r="CF195" i="19"/>
  <c r="CF194" i="19"/>
  <c r="CL193" i="19"/>
  <c r="CK193" i="19"/>
  <c r="CF193" i="19"/>
  <c r="CF189" i="19"/>
  <c r="CF188" i="19"/>
  <c r="CF186" i="19"/>
  <c r="CL185" i="19"/>
  <c r="CK185" i="19"/>
  <c r="CF185" i="19"/>
  <c r="CF181" i="19"/>
  <c r="CF180" i="19"/>
  <c r="CF179" i="19"/>
  <c r="CF178" i="19"/>
  <c r="CL177" i="19"/>
  <c r="CK177" i="19"/>
  <c r="CF177" i="19"/>
  <c r="CF173" i="19"/>
  <c r="CF172" i="19"/>
  <c r="CF170" i="19"/>
  <c r="CL169" i="19"/>
  <c r="CK169" i="19"/>
  <c r="CF169" i="19"/>
  <c r="CF165" i="19"/>
  <c r="CF164" i="19"/>
  <c r="CF163" i="19"/>
  <c r="CF162" i="19"/>
  <c r="CL161" i="19"/>
  <c r="CK161" i="19"/>
  <c r="CF161" i="19"/>
  <c r="CF157" i="19"/>
  <c r="CF156" i="19"/>
  <c r="CF155" i="19"/>
  <c r="CF154" i="19"/>
  <c r="CL153" i="19"/>
  <c r="CK153" i="19"/>
  <c r="CF153" i="19"/>
  <c r="CF149" i="19"/>
  <c r="CF148" i="19"/>
  <c r="CF146" i="19"/>
  <c r="CL145" i="19"/>
  <c r="CK145" i="19"/>
  <c r="CF145" i="19"/>
  <c r="CF141" i="19"/>
  <c r="CF140" i="19"/>
  <c r="CF139" i="19"/>
  <c r="CL137" i="19"/>
  <c r="CK137" i="19"/>
  <c r="CF137" i="19"/>
  <c r="CF133" i="19"/>
  <c r="CF132" i="19"/>
  <c r="CF131" i="19"/>
  <c r="CL129" i="19"/>
  <c r="CK129" i="19"/>
  <c r="CF129" i="19"/>
  <c r="CF125" i="19"/>
  <c r="CF124" i="19"/>
  <c r="CF123" i="19"/>
  <c r="CL121" i="19"/>
  <c r="CK121" i="19"/>
  <c r="CF121" i="19"/>
  <c r="CF117" i="19"/>
  <c r="CF116" i="19"/>
  <c r="CF115" i="19"/>
  <c r="CL113" i="19"/>
  <c r="CK113" i="19"/>
  <c r="CF113" i="19"/>
  <c r="CF109" i="19"/>
  <c r="CF108" i="19"/>
  <c r="CF107" i="19"/>
  <c r="CL105" i="19"/>
  <c r="CK105" i="19"/>
  <c r="CF105" i="19"/>
  <c r="CF101" i="19"/>
  <c r="CF100" i="19"/>
  <c r="CF99" i="19"/>
  <c r="CF98" i="19"/>
  <c r="CL97" i="19"/>
  <c r="CK97" i="19"/>
  <c r="CF97" i="19"/>
  <c r="CF93" i="19"/>
  <c r="CF92" i="19"/>
  <c r="CF91" i="19"/>
  <c r="CL89" i="19"/>
  <c r="CK89" i="19"/>
  <c r="CF89" i="19"/>
  <c r="CF85" i="19"/>
  <c r="CF84" i="19"/>
  <c r="CF82" i="19"/>
  <c r="CL81" i="19"/>
  <c r="CK81" i="19"/>
  <c r="CF81" i="19"/>
  <c r="CF77" i="19"/>
  <c r="CF76" i="19"/>
  <c r="CF74" i="19"/>
  <c r="CL73" i="19"/>
  <c r="CK73" i="19"/>
  <c r="CF73" i="19"/>
  <c r="CF69" i="19"/>
  <c r="CF68" i="19"/>
  <c r="CF67" i="19"/>
  <c r="CL65" i="19"/>
  <c r="CK65" i="19"/>
  <c r="CF65" i="19"/>
  <c r="CF61" i="19"/>
  <c r="CF60" i="19"/>
  <c r="CF59" i="19"/>
  <c r="CL57" i="19"/>
  <c r="CK57" i="19"/>
  <c r="CF57" i="19"/>
  <c r="CF53" i="19"/>
  <c r="CF52" i="19"/>
  <c r="CF51" i="19"/>
  <c r="CF50" i="19"/>
  <c r="CL49" i="19"/>
  <c r="CK49" i="19"/>
  <c r="CF45" i="19"/>
  <c r="CF44" i="19"/>
  <c r="CF43" i="19"/>
  <c r="CF42" i="19"/>
  <c r="CL41" i="19"/>
  <c r="CK41" i="19"/>
  <c r="CF41" i="19"/>
  <c r="CF37" i="19"/>
  <c r="CF36" i="19"/>
  <c r="CF35" i="19"/>
  <c r="CF34" i="19"/>
  <c r="CL33" i="19"/>
  <c r="CK33" i="19"/>
  <c r="CF33" i="19"/>
  <c r="CF29" i="19"/>
  <c r="CF28" i="19"/>
  <c r="CL25" i="19"/>
  <c r="CK25" i="19"/>
  <c r="CG21" i="19"/>
  <c r="CF21" i="19"/>
  <c r="CG20" i="19"/>
  <c r="CF20" i="19"/>
  <c r="CG19" i="19"/>
  <c r="CF19" i="19"/>
  <c r="CG18" i="19"/>
  <c r="CF18" i="19"/>
  <c r="CL17" i="19"/>
  <c r="CK17" i="19"/>
  <c r="CF13" i="19"/>
  <c r="CF12" i="19"/>
  <c r="CF11" i="19"/>
  <c r="CL9" i="19"/>
  <c r="CJ325" i="19"/>
  <c r="CJ324" i="19"/>
  <c r="CJ323" i="19"/>
  <c r="CJ322" i="19"/>
  <c r="CJ321" i="19"/>
  <c r="CJ317" i="19"/>
  <c r="CJ316" i="19"/>
  <c r="CJ315" i="19"/>
  <c r="CJ314" i="19"/>
  <c r="CJ313" i="19"/>
  <c r="CJ309" i="19"/>
  <c r="CJ308" i="19"/>
  <c r="CJ307" i="19"/>
  <c r="CJ306" i="19"/>
  <c r="CJ305" i="19"/>
  <c r="CJ301" i="19"/>
  <c r="CJ300" i="19"/>
  <c r="CJ299" i="19"/>
  <c r="CJ298" i="19"/>
  <c r="CJ297" i="19"/>
  <c r="CJ293" i="19"/>
  <c r="CJ292" i="19"/>
  <c r="CJ291" i="19"/>
  <c r="CJ290" i="19"/>
  <c r="CJ289" i="19"/>
  <c r="CJ285" i="19"/>
  <c r="CJ284" i="19"/>
  <c r="CJ283" i="19"/>
  <c r="CJ282" i="19"/>
  <c r="CJ281" i="19"/>
  <c r="CJ277" i="19"/>
  <c r="CJ276" i="19"/>
  <c r="CJ275" i="19"/>
  <c r="CJ274" i="19"/>
  <c r="CJ273" i="19"/>
  <c r="CJ269" i="19"/>
  <c r="CJ268" i="19"/>
  <c r="CJ267" i="19"/>
  <c r="CJ266" i="19"/>
  <c r="CJ265" i="19"/>
  <c r="CJ261" i="19"/>
  <c r="CJ260" i="19"/>
  <c r="CJ259" i="19"/>
  <c r="CJ258" i="19"/>
  <c r="CJ257" i="19"/>
  <c r="CJ253" i="19"/>
  <c r="CJ252" i="19"/>
  <c r="CJ251" i="19"/>
  <c r="CJ250" i="19"/>
  <c r="CJ249" i="19"/>
  <c r="CJ245" i="19"/>
  <c r="CJ244" i="19"/>
  <c r="CJ243" i="19"/>
  <c r="CJ242" i="19"/>
  <c r="CJ241" i="19"/>
  <c r="CJ237" i="19"/>
  <c r="CJ236" i="19"/>
  <c r="CJ235" i="19"/>
  <c r="CJ234" i="19"/>
  <c r="CJ233" i="19"/>
  <c r="CJ229" i="19"/>
  <c r="CJ228" i="19"/>
  <c r="CJ227" i="19"/>
  <c r="CJ226" i="19"/>
  <c r="CJ225" i="19"/>
  <c r="CJ221" i="19"/>
  <c r="CJ220" i="19"/>
  <c r="CJ219" i="19"/>
  <c r="CJ218" i="19"/>
  <c r="CJ217" i="19"/>
  <c r="CJ213" i="19"/>
  <c r="CJ212" i="19"/>
  <c r="CJ211" i="19"/>
  <c r="CJ210" i="19"/>
  <c r="CJ209" i="19"/>
  <c r="CJ205" i="19"/>
  <c r="CJ204" i="19"/>
  <c r="CJ203" i="19"/>
  <c r="CJ202" i="19"/>
  <c r="CJ201" i="19"/>
  <c r="CJ197" i="19"/>
  <c r="CJ196" i="19"/>
  <c r="CJ195" i="19"/>
  <c r="CJ194" i="19"/>
  <c r="CJ193" i="19"/>
  <c r="CJ189" i="19"/>
  <c r="CJ188" i="19"/>
  <c r="CJ187" i="19"/>
  <c r="CJ186" i="19"/>
  <c r="CJ185" i="19"/>
  <c r="CJ181" i="19"/>
  <c r="CJ180" i="19"/>
  <c r="CJ179" i="19"/>
  <c r="CJ178" i="19"/>
  <c r="CJ177" i="19"/>
  <c r="CJ173" i="19"/>
  <c r="CJ172" i="19"/>
  <c r="CJ171" i="19"/>
  <c r="CJ170" i="19"/>
  <c r="CJ169" i="19"/>
  <c r="CJ165" i="19"/>
  <c r="CJ164" i="19"/>
  <c r="CJ163" i="19"/>
  <c r="CJ162" i="19"/>
  <c r="CJ161" i="19"/>
  <c r="CJ157" i="19"/>
  <c r="CJ156" i="19"/>
  <c r="CJ155" i="19"/>
  <c r="CJ154" i="19"/>
  <c r="CJ153" i="19"/>
  <c r="CJ149" i="19"/>
  <c r="CJ148" i="19"/>
  <c r="CJ147" i="19"/>
  <c r="CJ146" i="19"/>
  <c r="CJ145" i="19"/>
  <c r="CJ141" i="19"/>
  <c r="CJ140" i="19"/>
  <c r="CJ139" i="19"/>
  <c r="CJ138" i="19"/>
  <c r="CJ137" i="19"/>
  <c r="CJ133" i="19"/>
  <c r="CJ132" i="19"/>
  <c r="CJ131" i="19"/>
  <c r="CJ130" i="19"/>
  <c r="CJ129" i="19"/>
  <c r="CJ125" i="19"/>
  <c r="CJ124" i="19"/>
  <c r="CJ123" i="19"/>
  <c r="CJ122" i="19"/>
  <c r="CJ121" i="19"/>
  <c r="CJ117" i="19"/>
  <c r="CJ116" i="19"/>
  <c r="CJ115" i="19"/>
  <c r="CJ114" i="19"/>
  <c r="CJ113" i="19"/>
  <c r="CJ109" i="19"/>
  <c r="CJ108" i="19"/>
  <c r="CJ107" i="19"/>
  <c r="CJ106" i="19"/>
  <c r="CJ105" i="19"/>
  <c r="CJ101" i="19"/>
  <c r="CJ100" i="19"/>
  <c r="CJ99" i="19"/>
  <c r="CJ98" i="19"/>
  <c r="CJ97" i="19"/>
  <c r="CJ93" i="19"/>
  <c r="CJ92" i="19"/>
  <c r="CJ91" i="19"/>
  <c r="CJ90" i="19"/>
  <c r="CJ89" i="19"/>
  <c r="CJ85" i="19"/>
  <c r="CJ84" i="19"/>
  <c r="CJ83" i="19"/>
  <c r="CJ82" i="19"/>
  <c r="CJ81" i="19"/>
  <c r="CJ77" i="19"/>
  <c r="CJ76" i="19"/>
  <c r="CJ75" i="19"/>
  <c r="CJ74" i="19"/>
  <c r="CJ73" i="19"/>
  <c r="CJ69" i="19"/>
  <c r="CJ68" i="19"/>
  <c r="CJ67" i="19"/>
  <c r="CJ66" i="19"/>
  <c r="CJ65" i="19"/>
  <c r="CJ61" i="19"/>
  <c r="CJ60" i="19"/>
  <c r="CJ59" i="19"/>
  <c r="CJ58" i="19"/>
  <c r="CJ57" i="19"/>
  <c r="CJ53" i="19"/>
  <c r="CJ52" i="19"/>
  <c r="CJ51" i="19"/>
  <c r="CJ50" i="19"/>
  <c r="CJ49" i="19"/>
  <c r="CJ45" i="19"/>
  <c r="CJ44" i="19"/>
  <c r="CJ43" i="19"/>
  <c r="CJ42" i="19"/>
  <c r="CJ41" i="19"/>
  <c r="CJ37" i="19"/>
  <c r="CJ36" i="19"/>
  <c r="CJ35" i="19"/>
  <c r="CJ34" i="19"/>
  <c r="CJ33" i="19"/>
  <c r="CJ29" i="19"/>
  <c r="CJ28" i="19"/>
  <c r="CJ27" i="19"/>
  <c r="CJ26" i="19"/>
  <c r="CJ25" i="19"/>
  <c r="CJ21" i="19"/>
  <c r="CJ20" i="19"/>
  <c r="CJ19" i="19"/>
  <c r="CJ18" i="19"/>
  <c r="CJ17" i="19"/>
  <c r="CJ13" i="19"/>
  <c r="CJ12" i="19"/>
  <c r="CJ11" i="19"/>
  <c r="CJ10" i="19"/>
  <c r="CJ9" i="19"/>
  <c r="CC9" i="19"/>
  <c r="CC325" i="19"/>
  <c r="CC324" i="19"/>
  <c r="CC323" i="19"/>
  <c r="CC322" i="19"/>
  <c r="CC321" i="19"/>
  <c r="CC317" i="19"/>
  <c r="CC316" i="19"/>
  <c r="CC315" i="19"/>
  <c r="CC314" i="19"/>
  <c r="CC313" i="19"/>
  <c r="CC309" i="19"/>
  <c r="CC308" i="19"/>
  <c r="CC307" i="19"/>
  <c r="CC306" i="19"/>
  <c r="CC305" i="19"/>
  <c r="CC301" i="19"/>
  <c r="CC300" i="19"/>
  <c r="CC299" i="19"/>
  <c r="CC298" i="19"/>
  <c r="CC297" i="19"/>
  <c r="CC293" i="19"/>
  <c r="CC292" i="19"/>
  <c r="CC291" i="19"/>
  <c r="CC290" i="19"/>
  <c r="CC289" i="19"/>
  <c r="CC285" i="19"/>
  <c r="CC284" i="19"/>
  <c r="CC283" i="19"/>
  <c r="CC282" i="19"/>
  <c r="CC281" i="19"/>
  <c r="CC277" i="19"/>
  <c r="CC276" i="19"/>
  <c r="CC275" i="19"/>
  <c r="CC274" i="19"/>
  <c r="CC273" i="19"/>
  <c r="CC269" i="19"/>
  <c r="CC268" i="19"/>
  <c r="CC267" i="19"/>
  <c r="CC266" i="19"/>
  <c r="CC265" i="19"/>
  <c r="CC261" i="19"/>
  <c r="CC260" i="19"/>
  <c r="CC259" i="19"/>
  <c r="CC258" i="19"/>
  <c r="CC257" i="19"/>
  <c r="CC253" i="19"/>
  <c r="CC252" i="19"/>
  <c r="CC251" i="19"/>
  <c r="CC250" i="19"/>
  <c r="CC249" i="19"/>
  <c r="CC245" i="19"/>
  <c r="CC244" i="19"/>
  <c r="CC243" i="19"/>
  <c r="CC242" i="19"/>
  <c r="CC241" i="19"/>
  <c r="CC237" i="19"/>
  <c r="CC236" i="19"/>
  <c r="CC235" i="19"/>
  <c r="CC234" i="19"/>
  <c r="CC233" i="19"/>
  <c r="CC229" i="19"/>
  <c r="CC228" i="19"/>
  <c r="CC227" i="19"/>
  <c r="CC226" i="19"/>
  <c r="CC225" i="19"/>
  <c r="CC221" i="19"/>
  <c r="CC220" i="19"/>
  <c r="CC219" i="19"/>
  <c r="CC218" i="19"/>
  <c r="CC217" i="19"/>
  <c r="CC213" i="19"/>
  <c r="CC212" i="19"/>
  <c r="CC211" i="19"/>
  <c r="CC210" i="19"/>
  <c r="CC209" i="19"/>
  <c r="CC205" i="19"/>
  <c r="CC204" i="19"/>
  <c r="CC203" i="19"/>
  <c r="CC202" i="19"/>
  <c r="CC201" i="19"/>
  <c r="CC197" i="19"/>
  <c r="CC196" i="19"/>
  <c r="CC195" i="19"/>
  <c r="CC194" i="19"/>
  <c r="CC193" i="19"/>
  <c r="CC189" i="19"/>
  <c r="CC188" i="19"/>
  <c r="CC187" i="19"/>
  <c r="CC186" i="19"/>
  <c r="CC185" i="19"/>
  <c r="CC181" i="19"/>
  <c r="CC180" i="19"/>
  <c r="CC179" i="19"/>
  <c r="CC178" i="19"/>
  <c r="CC177" i="19"/>
  <c r="CC173" i="19"/>
  <c r="CC172" i="19"/>
  <c r="CC171" i="19"/>
  <c r="CC170" i="19"/>
  <c r="CC169" i="19"/>
  <c r="CC165" i="19"/>
  <c r="CC164" i="19"/>
  <c r="CC163" i="19"/>
  <c r="CC162" i="19"/>
  <c r="CC161" i="19"/>
  <c r="CC157" i="19"/>
  <c r="CC156" i="19"/>
  <c r="CC155" i="19"/>
  <c r="CC154" i="19"/>
  <c r="CC153" i="19"/>
  <c r="CC149" i="19"/>
  <c r="CC148" i="19"/>
  <c r="CC147" i="19"/>
  <c r="CC146" i="19"/>
  <c r="CC145" i="19"/>
  <c r="CC141" i="19"/>
  <c r="CC140" i="19"/>
  <c r="CC139" i="19"/>
  <c r="CC138" i="19"/>
  <c r="CC137" i="19"/>
  <c r="CC133" i="19"/>
  <c r="CC132" i="19"/>
  <c r="CC131" i="19"/>
  <c r="CC130" i="19"/>
  <c r="CC129" i="19"/>
  <c r="CC125" i="19"/>
  <c r="CC124" i="19"/>
  <c r="CC123" i="19"/>
  <c r="CC122" i="19"/>
  <c r="CC121" i="19"/>
  <c r="CC117" i="19"/>
  <c r="CC116" i="19"/>
  <c r="CC115" i="19"/>
  <c r="CC114" i="19"/>
  <c r="CC113" i="19"/>
  <c r="CC109" i="19"/>
  <c r="CC108" i="19"/>
  <c r="CC107" i="19"/>
  <c r="CC106" i="19"/>
  <c r="CC105" i="19"/>
  <c r="CC101" i="19"/>
  <c r="CC100" i="19"/>
  <c r="CC99" i="19"/>
  <c r="CC98" i="19"/>
  <c r="CC97" i="19"/>
  <c r="CC93" i="19"/>
  <c r="CC92" i="19"/>
  <c r="CC91" i="19"/>
  <c r="CC90" i="19"/>
  <c r="CC89" i="19"/>
  <c r="CC85" i="19"/>
  <c r="CC84" i="19"/>
  <c r="CC83" i="19"/>
  <c r="CC82" i="19"/>
  <c r="CC81" i="19"/>
  <c r="CC77" i="19"/>
  <c r="CC76" i="19"/>
  <c r="CC75" i="19"/>
  <c r="CC74" i="19"/>
  <c r="CC73" i="19"/>
  <c r="CC69" i="19"/>
  <c r="CC68" i="19"/>
  <c r="CC67" i="19"/>
  <c r="CC66" i="19"/>
  <c r="CC65" i="19"/>
  <c r="CC61" i="19"/>
  <c r="CC60" i="19"/>
  <c r="CC59" i="19"/>
  <c r="CC58" i="19"/>
  <c r="CC57" i="19"/>
  <c r="CC53" i="19"/>
  <c r="CC52" i="19"/>
  <c r="CC51" i="19"/>
  <c r="CC50" i="19"/>
  <c r="CC49" i="19"/>
  <c r="CC45" i="19"/>
  <c r="CC44" i="19"/>
  <c r="CC43" i="19"/>
  <c r="CC42" i="19"/>
  <c r="CC41" i="19"/>
  <c r="CC37" i="19"/>
  <c r="CC36" i="19"/>
  <c r="CC35" i="19"/>
  <c r="CC34" i="19"/>
  <c r="CC33" i="19"/>
  <c r="CC29" i="19"/>
  <c r="CC28" i="19"/>
  <c r="CC27" i="19"/>
  <c r="CC26" i="19"/>
  <c r="CC25" i="19"/>
  <c r="CC21" i="19"/>
  <c r="CC20" i="19"/>
  <c r="CC19" i="19"/>
  <c r="CC18" i="19"/>
  <c r="CC17" i="19"/>
  <c r="CC13" i="19"/>
  <c r="CC12" i="19"/>
  <c r="CC11" i="19"/>
  <c r="CC10" i="19"/>
  <c r="BV9" i="19"/>
  <c r="BX9" i="19"/>
  <c r="BY325" i="19"/>
  <c r="BY324" i="19"/>
  <c r="BY323" i="19"/>
  <c r="BY322" i="19"/>
  <c r="CE321" i="19"/>
  <c r="CD321" i="19"/>
  <c r="BY317" i="19"/>
  <c r="BY316" i="19"/>
  <c r="BY315" i="19"/>
  <c r="BY314" i="19"/>
  <c r="CE313" i="19"/>
  <c r="CD313" i="19"/>
  <c r="BY309" i="19"/>
  <c r="BY308" i="19"/>
  <c r="BY307" i="19"/>
  <c r="BY306" i="19"/>
  <c r="CE305" i="19"/>
  <c r="CD305" i="19"/>
  <c r="BY305" i="19"/>
  <c r="BY301" i="19"/>
  <c r="BY300" i="19"/>
  <c r="BY299" i="19"/>
  <c r="CE297" i="19"/>
  <c r="CD297" i="19"/>
  <c r="BY297" i="19"/>
  <c r="BY293" i="19"/>
  <c r="BY292" i="19"/>
  <c r="BY291" i="19"/>
  <c r="BY290" i="19"/>
  <c r="CE289" i="19"/>
  <c r="CD289" i="19"/>
  <c r="BY285" i="19"/>
  <c r="BY284" i="19"/>
  <c r="BY283" i="19"/>
  <c r="BY282" i="19"/>
  <c r="CE281" i="19"/>
  <c r="CD281" i="19"/>
  <c r="BY277" i="19"/>
  <c r="BY276" i="19"/>
  <c r="BY275" i="19"/>
  <c r="BY274" i="19"/>
  <c r="CE273" i="19"/>
  <c r="CD273" i="19"/>
  <c r="BY273" i="19"/>
  <c r="BY269" i="19"/>
  <c r="BY268" i="19"/>
  <c r="BY267" i="19"/>
  <c r="BY266" i="19"/>
  <c r="CE265" i="19"/>
  <c r="CD265" i="19"/>
  <c r="BY265" i="19"/>
  <c r="BY261" i="19"/>
  <c r="BY260" i="19"/>
  <c r="BY259" i="19"/>
  <c r="BY258" i="19"/>
  <c r="CE257" i="19"/>
  <c r="CD257" i="19"/>
  <c r="BY257" i="19"/>
  <c r="BY253" i="19"/>
  <c r="BY252" i="19"/>
  <c r="BY251" i="19"/>
  <c r="CE249" i="19"/>
  <c r="CD249" i="19"/>
  <c r="BY249" i="19"/>
  <c r="BY245" i="19"/>
  <c r="BY244" i="19"/>
  <c r="BY243" i="19"/>
  <c r="BY242" i="19"/>
  <c r="CE241" i="19"/>
  <c r="CD241" i="19"/>
  <c r="BY237" i="19"/>
  <c r="BY236" i="19"/>
  <c r="BY234" i="19"/>
  <c r="CE233" i="19"/>
  <c r="CD233" i="19"/>
  <c r="BY233" i="19"/>
  <c r="BY229" i="19"/>
  <c r="BY228" i="19"/>
  <c r="BY227" i="19"/>
  <c r="BY226" i="19"/>
  <c r="CE225" i="19"/>
  <c r="CD225" i="19"/>
  <c r="BY225" i="19"/>
  <c r="BY221" i="19"/>
  <c r="BY220" i="19"/>
  <c r="BY219" i="19"/>
  <c r="BY218" i="19"/>
  <c r="CE217" i="19"/>
  <c r="CD217" i="19"/>
  <c r="BY217" i="19"/>
  <c r="BY213" i="19"/>
  <c r="BY212" i="19"/>
  <c r="BY211" i="19"/>
  <c r="BY210" i="19"/>
  <c r="CE209" i="19"/>
  <c r="CD209" i="19"/>
  <c r="BY209" i="19"/>
  <c r="BY205" i="19"/>
  <c r="BY204" i="19"/>
  <c r="BY203" i="19"/>
  <c r="BY202" i="19"/>
  <c r="CE201" i="19"/>
  <c r="CD201" i="19"/>
  <c r="BY201" i="19"/>
  <c r="BY197" i="19"/>
  <c r="BY196" i="19"/>
  <c r="BY195" i="19"/>
  <c r="BY194" i="19"/>
  <c r="CE193" i="19"/>
  <c r="CD193" i="19"/>
  <c r="BY193" i="19"/>
  <c r="BY189" i="19"/>
  <c r="BY188" i="19"/>
  <c r="BY187" i="19"/>
  <c r="CE185" i="19"/>
  <c r="CD185" i="19"/>
  <c r="BY185" i="19"/>
  <c r="BY181" i="19"/>
  <c r="BY180" i="19"/>
  <c r="BY179" i="19"/>
  <c r="BY178" i="19"/>
  <c r="CE177" i="19"/>
  <c r="CD177" i="19"/>
  <c r="BY177" i="19"/>
  <c r="BY173" i="19"/>
  <c r="BY172" i="19"/>
  <c r="BY171" i="19"/>
  <c r="CE169" i="19"/>
  <c r="CD169" i="19"/>
  <c r="BY169" i="19"/>
  <c r="BY165" i="19"/>
  <c r="BY164" i="19"/>
  <c r="BY163" i="19"/>
  <c r="BY162" i="19"/>
  <c r="CE161" i="19"/>
  <c r="CD161" i="19"/>
  <c r="BY161" i="19"/>
  <c r="BY157" i="19"/>
  <c r="BY156" i="19"/>
  <c r="BY155" i="19"/>
  <c r="BY154" i="19"/>
  <c r="CE153" i="19"/>
  <c r="CD153" i="19"/>
  <c r="BY153" i="19"/>
  <c r="BY149" i="19"/>
  <c r="BY148" i="19"/>
  <c r="BY147" i="19"/>
  <c r="CE145" i="19"/>
  <c r="CD145" i="19"/>
  <c r="BY145" i="19"/>
  <c r="BY141" i="19"/>
  <c r="BY140" i="19"/>
  <c r="BY139" i="19"/>
  <c r="BY138" i="19"/>
  <c r="CE137" i="19"/>
  <c r="CD137" i="19"/>
  <c r="BY133" i="19"/>
  <c r="BY132" i="19"/>
  <c r="BY131" i="19"/>
  <c r="BY130" i="19"/>
  <c r="CE129" i="19"/>
  <c r="CD129" i="19"/>
  <c r="BY125" i="19"/>
  <c r="BY124" i="19"/>
  <c r="BY123" i="19"/>
  <c r="BY122" i="19"/>
  <c r="CE121" i="19"/>
  <c r="CD121" i="19"/>
  <c r="BY117" i="19"/>
  <c r="BY116" i="19"/>
  <c r="BY115" i="19"/>
  <c r="BY114" i="19"/>
  <c r="CE113" i="19"/>
  <c r="CD113" i="19"/>
  <c r="BY109" i="19"/>
  <c r="BY108" i="19"/>
  <c r="BY107" i="19"/>
  <c r="BY106" i="19"/>
  <c r="CE105" i="19"/>
  <c r="CD105" i="19"/>
  <c r="BY101" i="19"/>
  <c r="BY100" i="19"/>
  <c r="BY99" i="19"/>
  <c r="BY98" i="19"/>
  <c r="CE97" i="19"/>
  <c r="CD97" i="19"/>
  <c r="BY97" i="19"/>
  <c r="BY93" i="19"/>
  <c r="BY92" i="19"/>
  <c r="BY91" i="19"/>
  <c r="BY90" i="19"/>
  <c r="CE89" i="19"/>
  <c r="CD89" i="19"/>
  <c r="BY85" i="19"/>
  <c r="BY84" i="19"/>
  <c r="BY83" i="19"/>
  <c r="CE81" i="19"/>
  <c r="CD81" i="19"/>
  <c r="BY81" i="19"/>
  <c r="BY77" i="19"/>
  <c r="BY76" i="19"/>
  <c r="BY75" i="19"/>
  <c r="CE73" i="19"/>
  <c r="CD73" i="19"/>
  <c r="BY73" i="19"/>
  <c r="BY69" i="19"/>
  <c r="BY68" i="19"/>
  <c r="BY67" i="19"/>
  <c r="BY66" i="19"/>
  <c r="CE65" i="19"/>
  <c r="CD65" i="19"/>
  <c r="BY61" i="19"/>
  <c r="BY60" i="19"/>
  <c r="BY59" i="19"/>
  <c r="BY58" i="19"/>
  <c r="CE57" i="19"/>
  <c r="CD57" i="19"/>
  <c r="BY53" i="19"/>
  <c r="BY52" i="19"/>
  <c r="BY50" i="19"/>
  <c r="CE49" i="19"/>
  <c r="CD49" i="19"/>
  <c r="BY49" i="19"/>
  <c r="BY45" i="19"/>
  <c r="BY44" i="19"/>
  <c r="BY43" i="19"/>
  <c r="BY42" i="19"/>
  <c r="CE41" i="19"/>
  <c r="CD41" i="19"/>
  <c r="BY41" i="19"/>
  <c r="BY37" i="19"/>
  <c r="BY36" i="19"/>
  <c r="BY35" i="19"/>
  <c r="BY34" i="19"/>
  <c r="CE33" i="19"/>
  <c r="CD33" i="19"/>
  <c r="BY33" i="19"/>
  <c r="BY29" i="19"/>
  <c r="BY28" i="19"/>
  <c r="CE25" i="19"/>
  <c r="CD25" i="19"/>
  <c r="BZ21" i="19"/>
  <c r="BY21" i="19"/>
  <c r="BZ20" i="19"/>
  <c r="BY20" i="19"/>
  <c r="BZ19" i="19"/>
  <c r="BY19" i="19"/>
  <c r="BZ18" i="19"/>
  <c r="BY18" i="19"/>
  <c r="CE17" i="19"/>
  <c r="CD17" i="19"/>
  <c r="BY13" i="19"/>
  <c r="BY12" i="19"/>
  <c r="BY10" i="19"/>
  <c r="CE9" i="19"/>
  <c r="CD9" i="19"/>
  <c r="BR325" i="19"/>
  <c r="BR324" i="19"/>
  <c r="BR322" i="19"/>
  <c r="BX321" i="19"/>
  <c r="BW321" i="19"/>
  <c r="BR321" i="19"/>
  <c r="BR317" i="19"/>
  <c r="BR316" i="19"/>
  <c r="BR314" i="19"/>
  <c r="BX313" i="19"/>
  <c r="BW313" i="19"/>
  <c r="BR313" i="19"/>
  <c r="BR309" i="19"/>
  <c r="BR308" i="19"/>
  <c r="BR307" i="19"/>
  <c r="BR306" i="19"/>
  <c r="BX305" i="19"/>
  <c r="BW305" i="19"/>
  <c r="BR305" i="19"/>
  <c r="BR301" i="19"/>
  <c r="BR300" i="19"/>
  <c r="BR299" i="19"/>
  <c r="BR298" i="19"/>
  <c r="BX297" i="19"/>
  <c r="BW297" i="19"/>
  <c r="BR293" i="19"/>
  <c r="BR292" i="19"/>
  <c r="BR290" i="19"/>
  <c r="BX289" i="19"/>
  <c r="BW289" i="19"/>
  <c r="BR289" i="19"/>
  <c r="BR285" i="19"/>
  <c r="BR284" i="19"/>
  <c r="BR282" i="19"/>
  <c r="BX281" i="19"/>
  <c r="BW281" i="19"/>
  <c r="BR281" i="19"/>
  <c r="BR277" i="19"/>
  <c r="BR276" i="19"/>
  <c r="BR275" i="19"/>
  <c r="BR274" i="19"/>
  <c r="BX273" i="19"/>
  <c r="BW273" i="19"/>
  <c r="BR273" i="19"/>
  <c r="BR269" i="19"/>
  <c r="BR268" i="19"/>
  <c r="BR267" i="19"/>
  <c r="BR266" i="19"/>
  <c r="BX265" i="19"/>
  <c r="BW265" i="19"/>
  <c r="BR265" i="19"/>
  <c r="BR261" i="19"/>
  <c r="BR260" i="19"/>
  <c r="BR259" i="19"/>
  <c r="BR258" i="19"/>
  <c r="BX257" i="19"/>
  <c r="BW257" i="19"/>
  <c r="BR257" i="19"/>
  <c r="BR253" i="19"/>
  <c r="BR252" i="19"/>
  <c r="BR251" i="19"/>
  <c r="BR250" i="19"/>
  <c r="BX249" i="19"/>
  <c r="BW249" i="19"/>
  <c r="BR245" i="19"/>
  <c r="BR244" i="19"/>
  <c r="BR242" i="19"/>
  <c r="BX241" i="19"/>
  <c r="BW241" i="19"/>
  <c r="BR241" i="19"/>
  <c r="BR237" i="19"/>
  <c r="BR236" i="19"/>
  <c r="BR235" i="19"/>
  <c r="BR234" i="19"/>
  <c r="BX233" i="19"/>
  <c r="BW233" i="19"/>
  <c r="BR229" i="19"/>
  <c r="BR228" i="19"/>
  <c r="BR227" i="19"/>
  <c r="BR226" i="19"/>
  <c r="BX225" i="19"/>
  <c r="BW225" i="19"/>
  <c r="BR225" i="19"/>
  <c r="BR221" i="19"/>
  <c r="BR220" i="19"/>
  <c r="BR219" i="19"/>
  <c r="BR218" i="19"/>
  <c r="BX217" i="19"/>
  <c r="BW217" i="19"/>
  <c r="BR217" i="19"/>
  <c r="BR213" i="19"/>
  <c r="BR212" i="19"/>
  <c r="BR211" i="19"/>
  <c r="BR210" i="19"/>
  <c r="BX209" i="19"/>
  <c r="BW209" i="19"/>
  <c r="BR209" i="19"/>
  <c r="BR205" i="19"/>
  <c r="BR204" i="19"/>
  <c r="BR203" i="19"/>
  <c r="BR202" i="19"/>
  <c r="BX201" i="19"/>
  <c r="BW201" i="19"/>
  <c r="BR201" i="19"/>
  <c r="BR197" i="19"/>
  <c r="BR196" i="19"/>
  <c r="BR195" i="19"/>
  <c r="BR194" i="19"/>
  <c r="BX193" i="19"/>
  <c r="BW193" i="19"/>
  <c r="BR193" i="19"/>
  <c r="BR189" i="19"/>
  <c r="BR188" i="19"/>
  <c r="BR187" i="19"/>
  <c r="BR186" i="19"/>
  <c r="BX185" i="19"/>
  <c r="BW185" i="19"/>
  <c r="BR181" i="19"/>
  <c r="BR180" i="19"/>
  <c r="BR179" i="19"/>
  <c r="BR178" i="19"/>
  <c r="BX177" i="19"/>
  <c r="BW177" i="19"/>
  <c r="BR177" i="19"/>
  <c r="BR173" i="19"/>
  <c r="BR172" i="19"/>
  <c r="BR171" i="19"/>
  <c r="BR170" i="19"/>
  <c r="BX169" i="19"/>
  <c r="BW169" i="19"/>
  <c r="BR165" i="19"/>
  <c r="BR164" i="19"/>
  <c r="BR163" i="19"/>
  <c r="BR162" i="19"/>
  <c r="BX161" i="19"/>
  <c r="BW161" i="19"/>
  <c r="BR161" i="19"/>
  <c r="BR157" i="19"/>
  <c r="BR156" i="19"/>
  <c r="BR155" i="19"/>
  <c r="BR154" i="19"/>
  <c r="BX153" i="19"/>
  <c r="BW153" i="19"/>
  <c r="BR153" i="19"/>
  <c r="BR149" i="19"/>
  <c r="BR148" i="19"/>
  <c r="BR147" i="19"/>
  <c r="BR146" i="19"/>
  <c r="BX145" i="19"/>
  <c r="BW145" i="19"/>
  <c r="BR141" i="19"/>
  <c r="BR140" i="19"/>
  <c r="BR138" i="19"/>
  <c r="BX137" i="19"/>
  <c r="BW137" i="19"/>
  <c r="BR137" i="19"/>
  <c r="BR133" i="19"/>
  <c r="BR132" i="19"/>
  <c r="BR130" i="19"/>
  <c r="BX129" i="19"/>
  <c r="BW129" i="19"/>
  <c r="BR129" i="19"/>
  <c r="BR125" i="19"/>
  <c r="BR124" i="19"/>
  <c r="BR122" i="19"/>
  <c r="BX121" i="19"/>
  <c r="BW121" i="19"/>
  <c r="BR121" i="19"/>
  <c r="BR117" i="19"/>
  <c r="BR116" i="19"/>
  <c r="BR114" i="19"/>
  <c r="BX113" i="19"/>
  <c r="BW113" i="19"/>
  <c r="BR113" i="19"/>
  <c r="BR109" i="19"/>
  <c r="BR108" i="19"/>
  <c r="BR106" i="19"/>
  <c r="BX105" i="19"/>
  <c r="BW105" i="19"/>
  <c r="BR105" i="19"/>
  <c r="BR101" i="19"/>
  <c r="BR100" i="19"/>
  <c r="BR99" i="19"/>
  <c r="BR98" i="19"/>
  <c r="BX97" i="19"/>
  <c r="BW97" i="19"/>
  <c r="BR97" i="19"/>
  <c r="BR93" i="19"/>
  <c r="BR92" i="19"/>
  <c r="BR90" i="19"/>
  <c r="BX89" i="19"/>
  <c r="BW89" i="19"/>
  <c r="BR89" i="19"/>
  <c r="BR85" i="19"/>
  <c r="BR84" i="19"/>
  <c r="BR83" i="19"/>
  <c r="BR82" i="19"/>
  <c r="BX81" i="19"/>
  <c r="BW81" i="19"/>
  <c r="BR77" i="19"/>
  <c r="BR76" i="19"/>
  <c r="BR75" i="19"/>
  <c r="BR74" i="19"/>
  <c r="BX73" i="19"/>
  <c r="BW73" i="19"/>
  <c r="BR69" i="19"/>
  <c r="BR68" i="19"/>
  <c r="BR66" i="19"/>
  <c r="BX65" i="19"/>
  <c r="BW65" i="19"/>
  <c r="BR65" i="19"/>
  <c r="BR61" i="19"/>
  <c r="BR60" i="19"/>
  <c r="BR58" i="19"/>
  <c r="BX57" i="19"/>
  <c r="BW57" i="19"/>
  <c r="BR57" i="19"/>
  <c r="BR53" i="19"/>
  <c r="BR52" i="19"/>
  <c r="BR51" i="19"/>
  <c r="BX49" i="19"/>
  <c r="BW49" i="19"/>
  <c r="BR49" i="19"/>
  <c r="BR45" i="19"/>
  <c r="BR44" i="19"/>
  <c r="BR43" i="19"/>
  <c r="BR42" i="19"/>
  <c r="BX41" i="19"/>
  <c r="BW41" i="19"/>
  <c r="BR41" i="19"/>
  <c r="BR37" i="19"/>
  <c r="BR36" i="19"/>
  <c r="BR35" i="19"/>
  <c r="BR34" i="19"/>
  <c r="BX33" i="19"/>
  <c r="BW33" i="19"/>
  <c r="BR33" i="19"/>
  <c r="BR29" i="19"/>
  <c r="BR28" i="19"/>
  <c r="BX25" i="19"/>
  <c r="BW25" i="19"/>
  <c r="BS21" i="19"/>
  <c r="BR21" i="19"/>
  <c r="BS20" i="19"/>
  <c r="BR20" i="19"/>
  <c r="BS19" i="19"/>
  <c r="BR19" i="19"/>
  <c r="BS18" i="19"/>
  <c r="BR18" i="19"/>
  <c r="BX17" i="19"/>
  <c r="BW17" i="19"/>
  <c r="BR13" i="19"/>
  <c r="BR12" i="19"/>
  <c r="BW9" i="19"/>
  <c r="BV325" i="19"/>
  <c r="BV324" i="19"/>
  <c r="BV323" i="19"/>
  <c r="BV322" i="19"/>
  <c r="BV321" i="19"/>
  <c r="BV317" i="19"/>
  <c r="BV316" i="19"/>
  <c r="BV315" i="19"/>
  <c r="BV314" i="19"/>
  <c r="BV313" i="19"/>
  <c r="BV309" i="19"/>
  <c r="BV308" i="19"/>
  <c r="BV307" i="19"/>
  <c r="BV306" i="19"/>
  <c r="BV305" i="19"/>
  <c r="BV301" i="19"/>
  <c r="BV300" i="19"/>
  <c r="BV299" i="19"/>
  <c r="BV298" i="19"/>
  <c r="BV297" i="19"/>
  <c r="BV293" i="19"/>
  <c r="BV292" i="19"/>
  <c r="BV291" i="19"/>
  <c r="BV290" i="19"/>
  <c r="BV289" i="19"/>
  <c r="BV285" i="19"/>
  <c r="BV284" i="19"/>
  <c r="BV283" i="19"/>
  <c r="BV282" i="19"/>
  <c r="BV281" i="19"/>
  <c r="BV277" i="19"/>
  <c r="BV276" i="19"/>
  <c r="BV275" i="19"/>
  <c r="BV274" i="19"/>
  <c r="BV273" i="19"/>
  <c r="BV269" i="19"/>
  <c r="BV268" i="19"/>
  <c r="BV267" i="19"/>
  <c r="BV266" i="19"/>
  <c r="BV265" i="19"/>
  <c r="BV261" i="19"/>
  <c r="BV260" i="19"/>
  <c r="BV259" i="19"/>
  <c r="BV258" i="19"/>
  <c r="BV257" i="19"/>
  <c r="BV253" i="19"/>
  <c r="BV252" i="19"/>
  <c r="BV251" i="19"/>
  <c r="BV250" i="19"/>
  <c r="BV249" i="19"/>
  <c r="BV245" i="19"/>
  <c r="BV244" i="19"/>
  <c r="BV243" i="19"/>
  <c r="BV242" i="19"/>
  <c r="BV241" i="19"/>
  <c r="BV237" i="19"/>
  <c r="BV236" i="19"/>
  <c r="BV235" i="19"/>
  <c r="BV234" i="19"/>
  <c r="BV233" i="19"/>
  <c r="BV229" i="19"/>
  <c r="BV228" i="19"/>
  <c r="BV227" i="19"/>
  <c r="BV226" i="19"/>
  <c r="BV225" i="19"/>
  <c r="BV221" i="19"/>
  <c r="BV220" i="19"/>
  <c r="BV219" i="19"/>
  <c r="BV218" i="19"/>
  <c r="BV217" i="19"/>
  <c r="BV213" i="19"/>
  <c r="BV212" i="19"/>
  <c r="BV211" i="19"/>
  <c r="BV210" i="19"/>
  <c r="BV209" i="19"/>
  <c r="BV205" i="19"/>
  <c r="BV204" i="19"/>
  <c r="BV203" i="19"/>
  <c r="BV202" i="19"/>
  <c r="BV201" i="19"/>
  <c r="BV197" i="19"/>
  <c r="BV196" i="19"/>
  <c r="BV195" i="19"/>
  <c r="BV194" i="19"/>
  <c r="BV193" i="19"/>
  <c r="BV189" i="19"/>
  <c r="BV188" i="19"/>
  <c r="BV187" i="19"/>
  <c r="BV186" i="19"/>
  <c r="BV185" i="19"/>
  <c r="BV181" i="19"/>
  <c r="BV180" i="19"/>
  <c r="BV179" i="19"/>
  <c r="BV178" i="19"/>
  <c r="BV177" i="19"/>
  <c r="BV173" i="19"/>
  <c r="BV172" i="19"/>
  <c r="BV171" i="19"/>
  <c r="BV170" i="19"/>
  <c r="BV169" i="19"/>
  <c r="BV165" i="19"/>
  <c r="BV164" i="19"/>
  <c r="BV163" i="19"/>
  <c r="BV162" i="19"/>
  <c r="BV161" i="19"/>
  <c r="BV157" i="19"/>
  <c r="BV156" i="19"/>
  <c r="BV155" i="19"/>
  <c r="BV154" i="19"/>
  <c r="BV153" i="19"/>
  <c r="BV149" i="19"/>
  <c r="BV148" i="19"/>
  <c r="BV147" i="19"/>
  <c r="BV146" i="19"/>
  <c r="BV145" i="19"/>
  <c r="BV141" i="19"/>
  <c r="BV140" i="19"/>
  <c r="BV139" i="19"/>
  <c r="BV138" i="19"/>
  <c r="BV137" i="19"/>
  <c r="BV133" i="19"/>
  <c r="BV132" i="19"/>
  <c r="BV131" i="19"/>
  <c r="BV130" i="19"/>
  <c r="BV129" i="19"/>
  <c r="BV125" i="19"/>
  <c r="BV124" i="19"/>
  <c r="BV123" i="19"/>
  <c r="BV122" i="19"/>
  <c r="BV121" i="19"/>
  <c r="BV117" i="19"/>
  <c r="BV116" i="19"/>
  <c r="BV115" i="19"/>
  <c r="BV114" i="19"/>
  <c r="BV113" i="19"/>
  <c r="BV109" i="19"/>
  <c r="BV108" i="19"/>
  <c r="BV107" i="19"/>
  <c r="BV106" i="19"/>
  <c r="BV105" i="19"/>
  <c r="BV101" i="19"/>
  <c r="BV100" i="19"/>
  <c r="BV99" i="19"/>
  <c r="BV98" i="19"/>
  <c r="BV97" i="19"/>
  <c r="BV93" i="19"/>
  <c r="BV92" i="19"/>
  <c r="BV91" i="19"/>
  <c r="BV90" i="19"/>
  <c r="BV89" i="19"/>
  <c r="BV85" i="19"/>
  <c r="BV84" i="19"/>
  <c r="BV83" i="19"/>
  <c r="BV82" i="19"/>
  <c r="BV81" i="19"/>
  <c r="BV77" i="19"/>
  <c r="BV76" i="19"/>
  <c r="BV75" i="19"/>
  <c r="BV74" i="19"/>
  <c r="BV73" i="19"/>
  <c r="BV69" i="19"/>
  <c r="BV68" i="19"/>
  <c r="BV67" i="19"/>
  <c r="BV66" i="19"/>
  <c r="BV65" i="19"/>
  <c r="BV61" i="19"/>
  <c r="BV60" i="19"/>
  <c r="BV59" i="19"/>
  <c r="BV58" i="19"/>
  <c r="BV57" i="19"/>
  <c r="BV53" i="19"/>
  <c r="BV52" i="19"/>
  <c r="BV51" i="19"/>
  <c r="BV50" i="19"/>
  <c r="BV49" i="19"/>
  <c r="BV45" i="19"/>
  <c r="BV44" i="19"/>
  <c r="BV43" i="19"/>
  <c r="BV42" i="19"/>
  <c r="BV41" i="19"/>
  <c r="BV37" i="19"/>
  <c r="BV36" i="19"/>
  <c r="BV35" i="19"/>
  <c r="BV34" i="19"/>
  <c r="BV33" i="19"/>
  <c r="BV29" i="19"/>
  <c r="BV28" i="19"/>
  <c r="BV27" i="19"/>
  <c r="BV26" i="19"/>
  <c r="BV25" i="19"/>
  <c r="BV21" i="19"/>
  <c r="BV20" i="19"/>
  <c r="BV19" i="19"/>
  <c r="BV18" i="19"/>
  <c r="BV17" i="19"/>
  <c r="BV13" i="19"/>
  <c r="BV12" i="19"/>
  <c r="BV11" i="19"/>
  <c r="BV10" i="19"/>
  <c r="BH325" i="19"/>
  <c r="BH324" i="19"/>
  <c r="BH323" i="19"/>
  <c r="BH322" i="19"/>
  <c r="BH321" i="19"/>
  <c r="BH317" i="19"/>
  <c r="BH316" i="19"/>
  <c r="BH315" i="19"/>
  <c r="BH314" i="19"/>
  <c r="BH313" i="19"/>
  <c r="BH309" i="19"/>
  <c r="BH308" i="19"/>
  <c r="BH307" i="19"/>
  <c r="BH306" i="19"/>
  <c r="BH305" i="19"/>
  <c r="BH301" i="19"/>
  <c r="BH300" i="19"/>
  <c r="BH299" i="19"/>
  <c r="BH298" i="19"/>
  <c r="BH297" i="19"/>
  <c r="BH293" i="19"/>
  <c r="BH292" i="19"/>
  <c r="BH291" i="19"/>
  <c r="BH290" i="19"/>
  <c r="BH289" i="19"/>
  <c r="BH285" i="19"/>
  <c r="BH284" i="19"/>
  <c r="BH283" i="19"/>
  <c r="BH282" i="19"/>
  <c r="BH281" i="19"/>
  <c r="BH277" i="19"/>
  <c r="BH276" i="19"/>
  <c r="BH275" i="19"/>
  <c r="BH274" i="19"/>
  <c r="BH273" i="19"/>
  <c r="BH269" i="19"/>
  <c r="BH268" i="19"/>
  <c r="BH267" i="19"/>
  <c r="BH266" i="19"/>
  <c r="BH265" i="19"/>
  <c r="BH261" i="19"/>
  <c r="BH260" i="19"/>
  <c r="BH259" i="19"/>
  <c r="BH258" i="19"/>
  <c r="BH257" i="19"/>
  <c r="BH253" i="19"/>
  <c r="BH252" i="19"/>
  <c r="BH251" i="19"/>
  <c r="BH250" i="19"/>
  <c r="BH249" i="19"/>
  <c r="BH245" i="19"/>
  <c r="BH244" i="19"/>
  <c r="BH243" i="19"/>
  <c r="BH242" i="19"/>
  <c r="BH241" i="19"/>
  <c r="BH237" i="19"/>
  <c r="BH236" i="19"/>
  <c r="BH235" i="19"/>
  <c r="BH234" i="19"/>
  <c r="BH233" i="19"/>
  <c r="BH229" i="19"/>
  <c r="BH228" i="19"/>
  <c r="BH227" i="19"/>
  <c r="BH226" i="19"/>
  <c r="BH225" i="19"/>
  <c r="BH221" i="19"/>
  <c r="BH220" i="19"/>
  <c r="BH219" i="19"/>
  <c r="BH218" i="19"/>
  <c r="BH217" i="19"/>
  <c r="BH213" i="19"/>
  <c r="BH212" i="19"/>
  <c r="BH211" i="19"/>
  <c r="BH210" i="19"/>
  <c r="BH209" i="19"/>
  <c r="BH205" i="19"/>
  <c r="BH204" i="19"/>
  <c r="BH203" i="19"/>
  <c r="BH202" i="19"/>
  <c r="BH201" i="19"/>
  <c r="BH197" i="19"/>
  <c r="BH196" i="19"/>
  <c r="BH195" i="19"/>
  <c r="BH194" i="19"/>
  <c r="BH193" i="19"/>
  <c r="BH189" i="19"/>
  <c r="BH188" i="19"/>
  <c r="BH187" i="19"/>
  <c r="BH186" i="19"/>
  <c r="BH185" i="19"/>
  <c r="BH181" i="19"/>
  <c r="BH180" i="19"/>
  <c r="BH179" i="19"/>
  <c r="BH178" i="19"/>
  <c r="BH177" i="19"/>
  <c r="BH173" i="19"/>
  <c r="BH172" i="19"/>
  <c r="BH171" i="19"/>
  <c r="BH170" i="19"/>
  <c r="BH169" i="19"/>
  <c r="BH165" i="19"/>
  <c r="BH164" i="19"/>
  <c r="BH163" i="19"/>
  <c r="BH162" i="19"/>
  <c r="BH161" i="19"/>
  <c r="BH157" i="19"/>
  <c r="BH156" i="19"/>
  <c r="BH155" i="19"/>
  <c r="BH154" i="19"/>
  <c r="BH153" i="19"/>
  <c r="BH149" i="19"/>
  <c r="BH148" i="19"/>
  <c r="BH147" i="19"/>
  <c r="BH146" i="19"/>
  <c r="BH145" i="19"/>
  <c r="BH141" i="19"/>
  <c r="BH140" i="19"/>
  <c r="BH139" i="19"/>
  <c r="BH138" i="19"/>
  <c r="BH137" i="19"/>
  <c r="BH133" i="19"/>
  <c r="BH132" i="19"/>
  <c r="BH131" i="19"/>
  <c r="BH130" i="19"/>
  <c r="BH129" i="19"/>
  <c r="BH125" i="19"/>
  <c r="BH124" i="19"/>
  <c r="BH123" i="19"/>
  <c r="BH122" i="19"/>
  <c r="BH121" i="19"/>
  <c r="BH117" i="19"/>
  <c r="BH116" i="19"/>
  <c r="BH115" i="19"/>
  <c r="BH114" i="19"/>
  <c r="BH113" i="19"/>
  <c r="BH109" i="19"/>
  <c r="BH108" i="19"/>
  <c r="BH107" i="19"/>
  <c r="BH106" i="19"/>
  <c r="BH105" i="19"/>
  <c r="BH101" i="19"/>
  <c r="BH100" i="19"/>
  <c r="BH99" i="19"/>
  <c r="BH98" i="19"/>
  <c r="BH97" i="19"/>
  <c r="BH93" i="19"/>
  <c r="BH92" i="19"/>
  <c r="BH91" i="19"/>
  <c r="BH90" i="19"/>
  <c r="BH89" i="19"/>
  <c r="BH85" i="19"/>
  <c r="BH84" i="19"/>
  <c r="BH83" i="19"/>
  <c r="BH82" i="19"/>
  <c r="BH81" i="19"/>
  <c r="BH77" i="19"/>
  <c r="BH76" i="19"/>
  <c r="BH75" i="19"/>
  <c r="BH74" i="19"/>
  <c r="BH73" i="19"/>
  <c r="BH69" i="19"/>
  <c r="BH68" i="19"/>
  <c r="BH67" i="19"/>
  <c r="BH66" i="19"/>
  <c r="BH65" i="19"/>
  <c r="BH61" i="19"/>
  <c r="BH60" i="19"/>
  <c r="BH59" i="19"/>
  <c r="BH58" i="19"/>
  <c r="BH57" i="19"/>
  <c r="BH53" i="19"/>
  <c r="BH52" i="19"/>
  <c r="BH51" i="19"/>
  <c r="BH50" i="19"/>
  <c r="BH49" i="19"/>
  <c r="BH45" i="19"/>
  <c r="BH44" i="19"/>
  <c r="BH43" i="19"/>
  <c r="BH42" i="19"/>
  <c r="BH41" i="19"/>
  <c r="BH37" i="19"/>
  <c r="BH36" i="19"/>
  <c r="BH35" i="19"/>
  <c r="BH34" i="19"/>
  <c r="BH33" i="19"/>
  <c r="BH29" i="19"/>
  <c r="BH28" i="19"/>
  <c r="BH27" i="19"/>
  <c r="BH26" i="19"/>
  <c r="BH25" i="19"/>
  <c r="BH21" i="19"/>
  <c r="BH20" i="19"/>
  <c r="BH19" i="19"/>
  <c r="BH18" i="19"/>
  <c r="BH17" i="19"/>
  <c r="BH13" i="19"/>
  <c r="BH12" i="19"/>
  <c r="BH11" i="19"/>
  <c r="BH10" i="19"/>
  <c r="BH9" i="19"/>
  <c r="BO325" i="19"/>
  <c r="BO324" i="19"/>
  <c r="BO323" i="19"/>
  <c r="BO322" i="19"/>
  <c r="BO321" i="19"/>
  <c r="BO317" i="19"/>
  <c r="BO316" i="19"/>
  <c r="BO315" i="19"/>
  <c r="BO314" i="19"/>
  <c r="BO313" i="19"/>
  <c r="BO309" i="19"/>
  <c r="BO308" i="19"/>
  <c r="BO307" i="19"/>
  <c r="BO306" i="19"/>
  <c r="BO305" i="19"/>
  <c r="BO301" i="19"/>
  <c r="BO300" i="19"/>
  <c r="BO299" i="19"/>
  <c r="BO298" i="19"/>
  <c r="BO297" i="19"/>
  <c r="BO293" i="19"/>
  <c r="BO292" i="19"/>
  <c r="BO291" i="19"/>
  <c r="BO290" i="19"/>
  <c r="BO289" i="19"/>
  <c r="BO285" i="19"/>
  <c r="BO284" i="19"/>
  <c r="BO283" i="19"/>
  <c r="BO282" i="19"/>
  <c r="BO281" i="19"/>
  <c r="BO277" i="19"/>
  <c r="BO276" i="19"/>
  <c r="BO275" i="19"/>
  <c r="BO274" i="19"/>
  <c r="BO273" i="19"/>
  <c r="BO269" i="19"/>
  <c r="BO268" i="19"/>
  <c r="BO267" i="19"/>
  <c r="BO266" i="19"/>
  <c r="BO265" i="19"/>
  <c r="BO261" i="19"/>
  <c r="BO260" i="19"/>
  <c r="BO259" i="19"/>
  <c r="BO258" i="19"/>
  <c r="BO257" i="19"/>
  <c r="BO253" i="19"/>
  <c r="BO252" i="19"/>
  <c r="BO251" i="19"/>
  <c r="BO250" i="19"/>
  <c r="BO249" i="19"/>
  <c r="BO245" i="19"/>
  <c r="BO244" i="19"/>
  <c r="BO243" i="19"/>
  <c r="BO242" i="19"/>
  <c r="BO241" i="19"/>
  <c r="BO237" i="19"/>
  <c r="BO236" i="19"/>
  <c r="BO235" i="19"/>
  <c r="BO234" i="19"/>
  <c r="BO233" i="19"/>
  <c r="BO229" i="19"/>
  <c r="BO228" i="19"/>
  <c r="BO227" i="19"/>
  <c r="BO226" i="19"/>
  <c r="BO225" i="19"/>
  <c r="BO221" i="19"/>
  <c r="BO220" i="19"/>
  <c r="BO219" i="19"/>
  <c r="BO218" i="19"/>
  <c r="BO217" i="19"/>
  <c r="BO213" i="19"/>
  <c r="BO212" i="19"/>
  <c r="BO211" i="19"/>
  <c r="BO210" i="19"/>
  <c r="BO209" i="19"/>
  <c r="BO205" i="19"/>
  <c r="BO204" i="19"/>
  <c r="BO203" i="19"/>
  <c r="BO202" i="19"/>
  <c r="BO201" i="19"/>
  <c r="BO197" i="19"/>
  <c r="BO196" i="19"/>
  <c r="BO195" i="19"/>
  <c r="BO194" i="19"/>
  <c r="BO193" i="19"/>
  <c r="BO189" i="19"/>
  <c r="BO188" i="19"/>
  <c r="BO187" i="19"/>
  <c r="BO186" i="19"/>
  <c r="BO185" i="19"/>
  <c r="BO181" i="19"/>
  <c r="BO180" i="19"/>
  <c r="BO179" i="19"/>
  <c r="BO178" i="19"/>
  <c r="BO177" i="19"/>
  <c r="BO173" i="19"/>
  <c r="BO172" i="19"/>
  <c r="BO171" i="19"/>
  <c r="BO170" i="19"/>
  <c r="BO169" i="19"/>
  <c r="BO165" i="19"/>
  <c r="BO164" i="19"/>
  <c r="BO163" i="19"/>
  <c r="BO162" i="19"/>
  <c r="BO161" i="19"/>
  <c r="BO157" i="19"/>
  <c r="BO156" i="19"/>
  <c r="BO155" i="19"/>
  <c r="BO154" i="19"/>
  <c r="BO153" i="19"/>
  <c r="BO149" i="19"/>
  <c r="BO148" i="19"/>
  <c r="BO147" i="19"/>
  <c r="BO146" i="19"/>
  <c r="BO145" i="19"/>
  <c r="BO141" i="19"/>
  <c r="BO140" i="19"/>
  <c r="BO139" i="19"/>
  <c r="BO138" i="19"/>
  <c r="BO137" i="19"/>
  <c r="BO133" i="19"/>
  <c r="BO132" i="19"/>
  <c r="BO131" i="19"/>
  <c r="BO130" i="19"/>
  <c r="BO129" i="19"/>
  <c r="BO125" i="19"/>
  <c r="BO124" i="19"/>
  <c r="BO123" i="19"/>
  <c r="BO122" i="19"/>
  <c r="BO121" i="19"/>
  <c r="BO117" i="19"/>
  <c r="BO116" i="19"/>
  <c r="BO115" i="19"/>
  <c r="BO114" i="19"/>
  <c r="BO113" i="19"/>
  <c r="BO109" i="19"/>
  <c r="BO108" i="19"/>
  <c r="BO107" i="19"/>
  <c r="BO106" i="19"/>
  <c r="BO105" i="19"/>
  <c r="BO101" i="19"/>
  <c r="BO100" i="19"/>
  <c r="BO99" i="19"/>
  <c r="BO98" i="19"/>
  <c r="BO97" i="19"/>
  <c r="BO93" i="19"/>
  <c r="BO92" i="19"/>
  <c r="BO91" i="19"/>
  <c r="BO90" i="19"/>
  <c r="BO89" i="19"/>
  <c r="BO85" i="19"/>
  <c r="BO84" i="19"/>
  <c r="BO83" i="19"/>
  <c r="BO82" i="19"/>
  <c r="BO81" i="19"/>
  <c r="BO77" i="19"/>
  <c r="BO76" i="19"/>
  <c r="BO75" i="19"/>
  <c r="BO74" i="19"/>
  <c r="BO73" i="19"/>
  <c r="BO69" i="19"/>
  <c r="BO68" i="19"/>
  <c r="BO67" i="19"/>
  <c r="BO66" i="19"/>
  <c r="BO65" i="19"/>
  <c r="BO61" i="19"/>
  <c r="BO60" i="19"/>
  <c r="BO59" i="19"/>
  <c r="BO58" i="19"/>
  <c r="BO57" i="19"/>
  <c r="BO53" i="19"/>
  <c r="BO52" i="19"/>
  <c r="BO51" i="19"/>
  <c r="BO50" i="19"/>
  <c r="BO49" i="19"/>
  <c r="BO45" i="19"/>
  <c r="BO44" i="19"/>
  <c r="BO43" i="19"/>
  <c r="BO42" i="19"/>
  <c r="BO41" i="19"/>
  <c r="BO37" i="19"/>
  <c r="BO36" i="19"/>
  <c r="BO35" i="19"/>
  <c r="BO34" i="19"/>
  <c r="BO33" i="19"/>
  <c r="BO29" i="19"/>
  <c r="BO28" i="19"/>
  <c r="BO27" i="19"/>
  <c r="BO26" i="19"/>
  <c r="BO25" i="19"/>
  <c r="BO21" i="19"/>
  <c r="BO20" i="19"/>
  <c r="BO19" i="19"/>
  <c r="BO18" i="19"/>
  <c r="BO17" i="19"/>
  <c r="BO13" i="19"/>
  <c r="BO12" i="19"/>
  <c r="BO11" i="19"/>
  <c r="BO10" i="19"/>
  <c r="BO9" i="19"/>
  <c r="BK325" i="19"/>
  <c r="BK324" i="19"/>
  <c r="BK323" i="19"/>
  <c r="BQ321" i="19"/>
  <c r="BP321" i="19"/>
  <c r="BK321" i="19"/>
  <c r="BK317" i="19"/>
  <c r="BK316" i="19"/>
  <c r="BK315" i="19"/>
  <c r="BQ313" i="19"/>
  <c r="BP313" i="19"/>
  <c r="BK313" i="19"/>
  <c r="BK309" i="19"/>
  <c r="BK308" i="19"/>
  <c r="BK307" i="19"/>
  <c r="BK306" i="19"/>
  <c r="BQ305" i="19"/>
  <c r="BP305" i="19"/>
  <c r="BK305" i="19"/>
  <c r="BK301" i="19"/>
  <c r="BK300" i="19"/>
  <c r="BK298" i="19"/>
  <c r="BQ297" i="19"/>
  <c r="BP297" i="19"/>
  <c r="BK297" i="19"/>
  <c r="BK293" i="19"/>
  <c r="BK292" i="19"/>
  <c r="BK291" i="19"/>
  <c r="BQ289" i="19"/>
  <c r="BP289" i="19"/>
  <c r="BK289" i="19"/>
  <c r="BK285" i="19"/>
  <c r="BK284" i="19"/>
  <c r="BK283" i="19"/>
  <c r="BQ281" i="19"/>
  <c r="BP281" i="19"/>
  <c r="BK281" i="19"/>
  <c r="BK277" i="19"/>
  <c r="BK276" i="19"/>
  <c r="BK275" i="19"/>
  <c r="BK274" i="19"/>
  <c r="BQ273" i="19"/>
  <c r="BP273" i="19"/>
  <c r="BK273" i="19"/>
  <c r="BK269" i="19"/>
  <c r="BK268" i="19"/>
  <c r="BK267" i="19"/>
  <c r="BK266" i="19"/>
  <c r="BQ265" i="19"/>
  <c r="BP265" i="19"/>
  <c r="BK265" i="19"/>
  <c r="BK261" i="19"/>
  <c r="BK260" i="19"/>
  <c r="BK259" i="19"/>
  <c r="BK258" i="19"/>
  <c r="BQ257" i="19"/>
  <c r="BP257" i="19"/>
  <c r="BK257" i="19"/>
  <c r="BK253" i="19"/>
  <c r="BK252" i="19"/>
  <c r="BK250" i="19"/>
  <c r="BQ249" i="19"/>
  <c r="BP249" i="19"/>
  <c r="BK249" i="19"/>
  <c r="BK245" i="19"/>
  <c r="BK244" i="19"/>
  <c r="BK243" i="19"/>
  <c r="BQ241" i="19"/>
  <c r="BP241" i="19"/>
  <c r="BK241" i="19"/>
  <c r="BK237" i="19"/>
  <c r="BK236" i="19"/>
  <c r="BK235" i="19"/>
  <c r="BQ233" i="19"/>
  <c r="BP233" i="19"/>
  <c r="BK233" i="19"/>
  <c r="BK229" i="19"/>
  <c r="BK228" i="19"/>
  <c r="BK227" i="19"/>
  <c r="BK226" i="19"/>
  <c r="BQ225" i="19"/>
  <c r="BP225" i="19"/>
  <c r="BK225" i="19"/>
  <c r="BK221" i="19"/>
  <c r="BK220" i="19"/>
  <c r="BK219" i="19"/>
  <c r="BK218" i="19"/>
  <c r="BQ217" i="19"/>
  <c r="BP217" i="19"/>
  <c r="BK217" i="19"/>
  <c r="BK213" i="19"/>
  <c r="BK212" i="19"/>
  <c r="BK211" i="19"/>
  <c r="BK210" i="19"/>
  <c r="BQ209" i="19"/>
  <c r="BP209" i="19"/>
  <c r="BK209" i="19"/>
  <c r="BK205" i="19"/>
  <c r="BK204" i="19"/>
  <c r="BK203" i="19"/>
  <c r="BK202" i="19"/>
  <c r="BQ201" i="19"/>
  <c r="BP201" i="19"/>
  <c r="BK201" i="19"/>
  <c r="BK197" i="19"/>
  <c r="BK196" i="19"/>
  <c r="BK195" i="19"/>
  <c r="BK194" i="19"/>
  <c r="BQ193" i="19"/>
  <c r="BP193" i="19"/>
  <c r="BK193" i="19"/>
  <c r="BK189" i="19"/>
  <c r="BK188" i="19"/>
  <c r="BK186" i="19"/>
  <c r="BQ185" i="19"/>
  <c r="BP185" i="19"/>
  <c r="BK185" i="19"/>
  <c r="BK181" i="19"/>
  <c r="BK180" i="19"/>
  <c r="BK179" i="19"/>
  <c r="BK178" i="19"/>
  <c r="BQ177" i="19"/>
  <c r="BP177" i="19"/>
  <c r="BK177" i="19"/>
  <c r="BK173" i="19"/>
  <c r="BK172" i="19"/>
  <c r="BK170" i="19"/>
  <c r="BQ169" i="19"/>
  <c r="BP169" i="19"/>
  <c r="BK169" i="19"/>
  <c r="BK165" i="19"/>
  <c r="BK164" i="19"/>
  <c r="BK163" i="19"/>
  <c r="BK162" i="19"/>
  <c r="BQ161" i="19"/>
  <c r="BP161" i="19"/>
  <c r="BK161" i="19"/>
  <c r="BK157" i="19"/>
  <c r="BK156" i="19"/>
  <c r="BK155" i="19"/>
  <c r="BK154" i="19"/>
  <c r="BQ153" i="19"/>
  <c r="BP153" i="19"/>
  <c r="BK153" i="19"/>
  <c r="BK149" i="19"/>
  <c r="BK148" i="19"/>
  <c r="BK146" i="19"/>
  <c r="BQ145" i="19"/>
  <c r="BP145" i="19"/>
  <c r="BK145" i="19"/>
  <c r="BK141" i="19"/>
  <c r="BK140" i="19"/>
  <c r="BK139" i="19"/>
  <c r="BQ137" i="19"/>
  <c r="BP137" i="19"/>
  <c r="BK137" i="19"/>
  <c r="BK133" i="19"/>
  <c r="BK132" i="19"/>
  <c r="BK131" i="19"/>
  <c r="BQ129" i="19"/>
  <c r="BP129" i="19"/>
  <c r="BK129" i="19"/>
  <c r="BK125" i="19"/>
  <c r="BK124" i="19"/>
  <c r="BK123" i="19"/>
  <c r="BQ121" i="19"/>
  <c r="BP121" i="19"/>
  <c r="BK121" i="19"/>
  <c r="BK117" i="19"/>
  <c r="BK116" i="19"/>
  <c r="BK115" i="19"/>
  <c r="BQ113" i="19"/>
  <c r="BP113" i="19"/>
  <c r="BK113" i="19"/>
  <c r="BK109" i="19"/>
  <c r="BK108" i="19"/>
  <c r="BK107" i="19"/>
  <c r="BQ105" i="19"/>
  <c r="BP105" i="19"/>
  <c r="BK105" i="19"/>
  <c r="BK101" i="19"/>
  <c r="BK100" i="19"/>
  <c r="BK99" i="19"/>
  <c r="BK98" i="19"/>
  <c r="BQ97" i="19"/>
  <c r="BP97" i="19"/>
  <c r="BK97" i="19"/>
  <c r="BK93" i="19"/>
  <c r="BK92" i="19"/>
  <c r="BK91" i="19"/>
  <c r="BQ89" i="19"/>
  <c r="BP89" i="19"/>
  <c r="BK89" i="19"/>
  <c r="BK85" i="19"/>
  <c r="BK84" i="19"/>
  <c r="BK82" i="19"/>
  <c r="BQ81" i="19"/>
  <c r="BP81" i="19"/>
  <c r="BK81" i="19"/>
  <c r="BK77" i="19"/>
  <c r="BK76" i="19"/>
  <c r="BK74" i="19"/>
  <c r="BQ73" i="19"/>
  <c r="BP73" i="19"/>
  <c r="BK73" i="19"/>
  <c r="BK69" i="19"/>
  <c r="BK68" i="19"/>
  <c r="BK67" i="19"/>
  <c r="BQ65" i="19"/>
  <c r="BP65" i="19"/>
  <c r="BK65" i="19"/>
  <c r="BK61" i="19"/>
  <c r="BK60" i="19"/>
  <c r="BK59" i="19"/>
  <c r="BQ57" i="19"/>
  <c r="BP57" i="19"/>
  <c r="BK57" i="19"/>
  <c r="BK53" i="19"/>
  <c r="BK52" i="19"/>
  <c r="BK51" i="19"/>
  <c r="BK50" i="19"/>
  <c r="BQ49" i="19"/>
  <c r="BP49" i="19"/>
  <c r="BK45" i="19"/>
  <c r="BK44" i="19"/>
  <c r="BK43" i="19"/>
  <c r="BK42" i="19"/>
  <c r="BQ41" i="19"/>
  <c r="BP41" i="19"/>
  <c r="BK41" i="19"/>
  <c r="BK37" i="19"/>
  <c r="BK36" i="19"/>
  <c r="BK35" i="19"/>
  <c r="BK34" i="19"/>
  <c r="BQ33" i="19"/>
  <c r="BP33" i="19"/>
  <c r="BK33" i="19"/>
  <c r="BK29" i="19"/>
  <c r="BK28" i="19"/>
  <c r="BQ25" i="19"/>
  <c r="BP25" i="19"/>
  <c r="BL21" i="19"/>
  <c r="BK21" i="19"/>
  <c r="BL20" i="19"/>
  <c r="BK20" i="19"/>
  <c r="BL19" i="19"/>
  <c r="BK19" i="19"/>
  <c r="BL18" i="19"/>
  <c r="BK18" i="19"/>
  <c r="BQ17" i="19"/>
  <c r="BP17" i="19"/>
  <c r="BK13" i="19"/>
  <c r="BK12" i="19"/>
  <c r="BK11" i="19"/>
  <c r="BQ9" i="19"/>
  <c r="BP9" i="19"/>
  <c r="BD325" i="19"/>
  <c r="BD324" i="19"/>
  <c r="BD323" i="19"/>
  <c r="BD322" i="19"/>
  <c r="BJ321" i="19"/>
  <c r="BI321" i="19"/>
  <c r="BD317" i="19"/>
  <c r="BD316" i="19"/>
  <c r="BD315" i="19"/>
  <c r="BD314" i="19"/>
  <c r="BJ313" i="19"/>
  <c r="BI313" i="19"/>
  <c r="BD309" i="19"/>
  <c r="BD308" i="19"/>
  <c r="BD307" i="19"/>
  <c r="BD306" i="19"/>
  <c r="BJ305" i="19"/>
  <c r="BI305" i="19"/>
  <c r="BD305" i="19"/>
  <c r="BD301" i="19"/>
  <c r="BD300" i="19"/>
  <c r="BD299" i="19"/>
  <c r="BJ297" i="19"/>
  <c r="BI297" i="19"/>
  <c r="BD297" i="19"/>
  <c r="BD293" i="19"/>
  <c r="BD292" i="19"/>
  <c r="BD291" i="19"/>
  <c r="BD290" i="19"/>
  <c r="BJ289" i="19"/>
  <c r="BI289" i="19"/>
  <c r="BD285" i="19"/>
  <c r="BD284" i="19"/>
  <c r="BD283" i="19"/>
  <c r="BD282" i="19"/>
  <c r="BJ281" i="19"/>
  <c r="BI281" i="19"/>
  <c r="BD277" i="19"/>
  <c r="BD276" i="19"/>
  <c r="BD275" i="19"/>
  <c r="BD274" i="19"/>
  <c r="BJ273" i="19"/>
  <c r="BI273" i="19"/>
  <c r="BD273" i="19"/>
  <c r="BD269" i="19"/>
  <c r="BD268" i="19"/>
  <c r="BD267" i="19"/>
  <c r="BD266" i="19"/>
  <c r="BJ265" i="19"/>
  <c r="BI265" i="19"/>
  <c r="BD265" i="19"/>
  <c r="BD261" i="19"/>
  <c r="BD260" i="19"/>
  <c r="BD259" i="19"/>
  <c r="BD258" i="19"/>
  <c r="BJ257" i="19"/>
  <c r="BI257" i="19"/>
  <c r="BD257" i="19"/>
  <c r="BD253" i="19"/>
  <c r="BD252" i="19"/>
  <c r="BD251" i="19"/>
  <c r="BJ249" i="19"/>
  <c r="BI249" i="19"/>
  <c r="BD249" i="19"/>
  <c r="BD245" i="19"/>
  <c r="BD244" i="19"/>
  <c r="BD243" i="19"/>
  <c r="BD242" i="19"/>
  <c r="BJ241" i="19"/>
  <c r="BI241" i="19"/>
  <c r="BD237" i="19"/>
  <c r="BD236" i="19"/>
  <c r="BD234" i="19"/>
  <c r="BJ233" i="19"/>
  <c r="BI233" i="19"/>
  <c r="BD233" i="19"/>
  <c r="BD229" i="19"/>
  <c r="BD228" i="19"/>
  <c r="BD227" i="19"/>
  <c r="BD226" i="19"/>
  <c r="BJ225" i="19"/>
  <c r="BI225" i="19"/>
  <c r="BD225" i="19"/>
  <c r="BD221" i="19"/>
  <c r="BD220" i="19"/>
  <c r="BD219" i="19"/>
  <c r="BD218" i="19"/>
  <c r="BJ217" i="19"/>
  <c r="BI217" i="19"/>
  <c r="BD217" i="19"/>
  <c r="BD213" i="19"/>
  <c r="BD212" i="19"/>
  <c r="BD211" i="19"/>
  <c r="BD210" i="19"/>
  <c r="BJ209" i="19"/>
  <c r="BI209" i="19"/>
  <c r="BD209" i="19"/>
  <c r="BD205" i="19"/>
  <c r="BD204" i="19"/>
  <c r="BD203" i="19"/>
  <c r="BD202" i="19"/>
  <c r="BJ201" i="19"/>
  <c r="BI201" i="19"/>
  <c r="BD201" i="19"/>
  <c r="BD197" i="19"/>
  <c r="BD196" i="19"/>
  <c r="BD195" i="19"/>
  <c r="BD194" i="19"/>
  <c r="BJ193" i="19"/>
  <c r="BI193" i="19"/>
  <c r="BD193" i="19"/>
  <c r="BD189" i="19"/>
  <c r="BD188" i="19"/>
  <c r="BD187" i="19"/>
  <c r="BJ185" i="19"/>
  <c r="BI185" i="19"/>
  <c r="BD185" i="19"/>
  <c r="BD181" i="19"/>
  <c r="BD180" i="19"/>
  <c r="BD179" i="19"/>
  <c r="BD178" i="19"/>
  <c r="BJ177" i="19"/>
  <c r="BI177" i="19"/>
  <c r="BD177" i="19"/>
  <c r="BD173" i="19"/>
  <c r="BD172" i="19"/>
  <c r="BD171" i="19"/>
  <c r="BJ169" i="19"/>
  <c r="BI169" i="19"/>
  <c r="BD169" i="19"/>
  <c r="BD165" i="19"/>
  <c r="BD164" i="19"/>
  <c r="BD163" i="19"/>
  <c r="BD162" i="19"/>
  <c r="BJ161" i="19"/>
  <c r="BI161" i="19"/>
  <c r="BD161" i="19"/>
  <c r="BD157" i="19"/>
  <c r="BD156" i="19"/>
  <c r="BD155" i="19"/>
  <c r="BD154" i="19"/>
  <c r="BJ153" i="19"/>
  <c r="BI153" i="19"/>
  <c r="BD153" i="19"/>
  <c r="BD149" i="19"/>
  <c r="BD148" i="19"/>
  <c r="BD147" i="19"/>
  <c r="BJ145" i="19"/>
  <c r="BI145" i="19"/>
  <c r="BD145" i="19"/>
  <c r="BD141" i="19"/>
  <c r="BD140" i="19"/>
  <c r="BD139" i="19"/>
  <c r="BD138" i="19"/>
  <c r="BJ137" i="19"/>
  <c r="BI137" i="19"/>
  <c r="BD133" i="19"/>
  <c r="BD132" i="19"/>
  <c r="BD131" i="19"/>
  <c r="BD130" i="19"/>
  <c r="BJ129" i="19"/>
  <c r="BI129" i="19"/>
  <c r="BD125" i="19"/>
  <c r="BD124" i="19"/>
  <c r="BD123" i="19"/>
  <c r="BD122" i="19"/>
  <c r="BJ121" i="19"/>
  <c r="BI121" i="19"/>
  <c r="BD117" i="19"/>
  <c r="BD116" i="19"/>
  <c r="BD115" i="19"/>
  <c r="BD114" i="19"/>
  <c r="BJ113" i="19"/>
  <c r="BI113" i="19"/>
  <c r="BD109" i="19"/>
  <c r="BD108" i="19"/>
  <c r="BD107" i="19"/>
  <c r="BD106" i="19"/>
  <c r="BJ105" i="19"/>
  <c r="BI105" i="19"/>
  <c r="BD101" i="19"/>
  <c r="BD100" i="19"/>
  <c r="BD99" i="19"/>
  <c r="BD98" i="19"/>
  <c r="BJ97" i="19"/>
  <c r="BI97" i="19"/>
  <c r="BD97" i="19"/>
  <c r="BD93" i="19"/>
  <c r="BD92" i="19"/>
  <c r="BD91" i="19"/>
  <c r="BD90" i="19"/>
  <c r="BJ89" i="19"/>
  <c r="BI89" i="19"/>
  <c r="BD85" i="19"/>
  <c r="BD84" i="19"/>
  <c r="BD83" i="19"/>
  <c r="BJ81" i="19"/>
  <c r="BI81" i="19"/>
  <c r="BD81" i="19"/>
  <c r="BD77" i="19"/>
  <c r="BD76" i="19"/>
  <c r="BD75" i="19"/>
  <c r="BJ73" i="19"/>
  <c r="BI73" i="19"/>
  <c r="BD73" i="19"/>
  <c r="BD69" i="19"/>
  <c r="BD68" i="19"/>
  <c r="BD67" i="19"/>
  <c r="BD66" i="19"/>
  <c r="BJ65" i="19"/>
  <c r="BI65" i="19"/>
  <c r="BD61" i="19"/>
  <c r="BD60" i="19"/>
  <c r="BD59" i="19"/>
  <c r="BD58" i="19"/>
  <c r="BJ57" i="19"/>
  <c r="BI57" i="19"/>
  <c r="BD53" i="19"/>
  <c r="BD52" i="19"/>
  <c r="BD50" i="19"/>
  <c r="BJ49" i="19"/>
  <c r="BI49" i="19"/>
  <c r="BD49" i="19"/>
  <c r="BD45" i="19"/>
  <c r="BD44" i="19"/>
  <c r="BD43" i="19"/>
  <c r="BD42" i="19"/>
  <c r="BJ41" i="19"/>
  <c r="BI41" i="19"/>
  <c r="BD41" i="19"/>
  <c r="BD37" i="19"/>
  <c r="BD36" i="19"/>
  <c r="BD35" i="19"/>
  <c r="BD34" i="19"/>
  <c r="BJ33" i="19"/>
  <c r="BI33" i="19"/>
  <c r="BD33" i="19"/>
  <c r="BD29" i="19"/>
  <c r="BD28" i="19"/>
  <c r="BJ25" i="19"/>
  <c r="BI25" i="19"/>
  <c r="BE21" i="19"/>
  <c r="BD21" i="19"/>
  <c r="BE20" i="19"/>
  <c r="BD20" i="19"/>
  <c r="BE19" i="19"/>
  <c r="BD19" i="19"/>
  <c r="BE18" i="19"/>
  <c r="BD18" i="19"/>
  <c r="BJ17" i="19"/>
  <c r="BI17" i="19"/>
  <c r="BD13" i="19"/>
  <c r="BD12" i="19"/>
  <c r="BJ9" i="19"/>
  <c r="BI9" i="19"/>
  <c r="AW325" i="19"/>
  <c r="AW324" i="19"/>
  <c r="AW322" i="19"/>
  <c r="BC321" i="19"/>
  <c r="BB321" i="19"/>
  <c r="AW321" i="19"/>
  <c r="AW317" i="19"/>
  <c r="AW316" i="19"/>
  <c r="AW314" i="19"/>
  <c r="BC313" i="19"/>
  <c r="BB313" i="19"/>
  <c r="AW313" i="19"/>
  <c r="AW309" i="19"/>
  <c r="AW308" i="19"/>
  <c r="AW307" i="19"/>
  <c r="AW306" i="19"/>
  <c r="BC305" i="19"/>
  <c r="BB305" i="19"/>
  <c r="AW305" i="19"/>
  <c r="AW301" i="19"/>
  <c r="AW300" i="19"/>
  <c r="AW299" i="19"/>
  <c r="AW298" i="19"/>
  <c r="BC297" i="19"/>
  <c r="BB297" i="19"/>
  <c r="AW293" i="19"/>
  <c r="AW292" i="19"/>
  <c r="AW290" i="19"/>
  <c r="BC289" i="19"/>
  <c r="BB289" i="19"/>
  <c r="AW289" i="19"/>
  <c r="AW285" i="19"/>
  <c r="AW284" i="19"/>
  <c r="BC281" i="19"/>
  <c r="BB281" i="19"/>
  <c r="AW277" i="19"/>
  <c r="AW276" i="19"/>
  <c r="AW275" i="19"/>
  <c r="AW274" i="19"/>
  <c r="BC273" i="19"/>
  <c r="BB273" i="19"/>
  <c r="AW273" i="19"/>
  <c r="AW269" i="19"/>
  <c r="AW268" i="19"/>
  <c r="AW267" i="19"/>
  <c r="AW266" i="19"/>
  <c r="BC265" i="19"/>
  <c r="BB265" i="19"/>
  <c r="AW265" i="19"/>
  <c r="AW261" i="19"/>
  <c r="AW260" i="19"/>
  <c r="AW259" i="19"/>
  <c r="AW258" i="19"/>
  <c r="BC257" i="19"/>
  <c r="BB257" i="19"/>
  <c r="AW257" i="19"/>
  <c r="AW253" i="19"/>
  <c r="AW252" i="19"/>
  <c r="AW251" i="19"/>
  <c r="AW250" i="19"/>
  <c r="BC249" i="19"/>
  <c r="BB249" i="19"/>
  <c r="AW245" i="19"/>
  <c r="AW244" i="19"/>
  <c r="AW242" i="19"/>
  <c r="BC241" i="19"/>
  <c r="BB241" i="19"/>
  <c r="AW241" i="19"/>
  <c r="AW237" i="19"/>
  <c r="AW236" i="19"/>
  <c r="AW235" i="19"/>
  <c r="AW234" i="19"/>
  <c r="BC233" i="19"/>
  <c r="BB233" i="19"/>
  <c r="AW233" i="19"/>
  <c r="AW229" i="19"/>
  <c r="AW228" i="19"/>
  <c r="AW227" i="19"/>
  <c r="AW226" i="19"/>
  <c r="BC225" i="19"/>
  <c r="BB225" i="19"/>
  <c r="AW225" i="19"/>
  <c r="AW221" i="19"/>
  <c r="AW220" i="19"/>
  <c r="AW219" i="19"/>
  <c r="AW218" i="19"/>
  <c r="BC217" i="19"/>
  <c r="BB217" i="19"/>
  <c r="AW217" i="19"/>
  <c r="AW213" i="19"/>
  <c r="AW212" i="19"/>
  <c r="AW211" i="19"/>
  <c r="AW210" i="19"/>
  <c r="BC209" i="19"/>
  <c r="BB209" i="19"/>
  <c r="AW209" i="19"/>
  <c r="AW205" i="19"/>
  <c r="AW204" i="19"/>
  <c r="AW203" i="19"/>
  <c r="AW202" i="19"/>
  <c r="BC201" i="19"/>
  <c r="BB201" i="19"/>
  <c r="AW201" i="19"/>
  <c r="AW197" i="19"/>
  <c r="AW196" i="19"/>
  <c r="AW195" i="19"/>
  <c r="AW194" i="19"/>
  <c r="BC193" i="19"/>
  <c r="BB193" i="19"/>
  <c r="AW193" i="19"/>
  <c r="AW189" i="19"/>
  <c r="AW188" i="19"/>
  <c r="AW187" i="19"/>
  <c r="AW186" i="19"/>
  <c r="BC185" i="19"/>
  <c r="BB185" i="19"/>
  <c r="AW181" i="19"/>
  <c r="AW180" i="19"/>
  <c r="AW179" i="19"/>
  <c r="AW178" i="19"/>
  <c r="BC177" i="19"/>
  <c r="BB177" i="19"/>
  <c r="AW177" i="19"/>
  <c r="AW173" i="19"/>
  <c r="AW172" i="19"/>
  <c r="AW171" i="19"/>
  <c r="AW170" i="19"/>
  <c r="BC169" i="19"/>
  <c r="BB169" i="19"/>
  <c r="AW169" i="19"/>
  <c r="AW165" i="19"/>
  <c r="AW164" i="19"/>
  <c r="AW163" i="19"/>
  <c r="AW162" i="19"/>
  <c r="BC161" i="19"/>
  <c r="BB161" i="19"/>
  <c r="AW161" i="19"/>
  <c r="AW157" i="19"/>
  <c r="AW156" i="19"/>
  <c r="AW155" i="19"/>
  <c r="AW154" i="19"/>
  <c r="BC153" i="19"/>
  <c r="BB153" i="19"/>
  <c r="AW153" i="19"/>
  <c r="AW149" i="19"/>
  <c r="AW148" i="19"/>
  <c r="AW147" i="19"/>
  <c r="AW146" i="19"/>
  <c r="BC145" i="19"/>
  <c r="BB145" i="19"/>
  <c r="AW141" i="19"/>
  <c r="AW140" i="19"/>
  <c r="AW139" i="19"/>
  <c r="AW138" i="19"/>
  <c r="BC137" i="19"/>
  <c r="BB137" i="19"/>
  <c r="AW137" i="19"/>
  <c r="AW133" i="19"/>
  <c r="AW132" i="19"/>
  <c r="AW131" i="19"/>
  <c r="AW130" i="19"/>
  <c r="BC129" i="19"/>
  <c r="BB129" i="19"/>
  <c r="AW129" i="19"/>
  <c r="AW125" i="19"/>
  <c r="AW124" i="19"/>
  <c r="AW123" i="19"/>
  <c r="AW122" i="19"/>
  <c r="BC121" i="19"/>
  <c r="BB121" i="19"/>
  <c r="AW121" i="19"/>
  <c r="AW117" i="19"/>
  <c r="AW116" i="19"/>
  <c r="AW114" i="19"/>
  <c r="BC113" i="19"/>
  <c r="BB113" i="19"/>
  <c r="AW113" i="19"/>
  <c r="AW109" i="19"/>
  <c r="AW108" i="19"/>
  <c r="AW107" i="19"/>
  <c r="AW106" i="19"/>
  <c r="BC105" i="19"/>
  <c r="BB105" i="19"/>
  <c r="AW105" i="19"/>
  <c r="AW101" i="19"/>
  <c r="AW100" i="19"/>
  <c r="AW99" i="19"/>
  <c r="AW98" i="19"/>
  <c r="BC97" i="19"/>
  <c r="BB97" i="19"/>
  <c r="AW97" i="19"/>
  <c r="AW93" i="19"/>
  <c r="AW92" i="19"/>
  <c r="AW90" i="19"/>
  <c r="BC89" i="19"/>
  <c r="BB89" i="19"/>
  <c r="AW89" i="19"/>
  <c r="AW85" i="19"/>
  <c r="AW84" i="19"/>
  <c r="AW83" i="19"/>
  <c r="AW82" i="19"/>
  <c r="BC81" i="19"/>
  <c r="BB81" i="19"/>
  <c r="AW77" i="19"/>
  <c r="AW76" i="19"/>
  <c r="BC73" i="19"/>
  <c r="BB73" i="19"/>
  <c r="AW69" i="19"/>
  <c r="AW68" i="19"/>
  <c r="AW66" i="19"/>
  <c r="BC65" i="19"/>
  <c r="BB65" i="19"/>
  <c r="AW65" i="19"/>
  <c r="AW61" i="19"/>
  <c r="AW60" i="19"/>
  <c r="AW58" i="19"/>
  <c r="BC57" i="19"/>
  <c r="BB57" i="19"/>
  <c r="AW57" i="19"/>
  <c r="AW53" i="19"/>
  <c r="AW52" i="19"/>
  <c r="AW51" i="19"/>
  <c r="BC49" i="19"/>
  <c r="BB49" i="19"/>
  <c r="AW49" i="19"/>
  <c r="AW45" i="19"/>
  <c r="AW44" i="19"/>
  <c r="AW43" i="19"/>
  <c r="AW42" i="19"/>
  <c r="BC41" i="19"/>
  <c r="BB41" i="19"/>
  <c r="AW41" i="19"/>
  <c r="AW37" i="19"/>
  <c r="AW36" i="19"/>
  <c r="AW35" i="19"/>
  <c r="AW34" i="19"/>
  <c r="BC33" i="19"/>
  <c r="BB33" i="19"/>
  <c r="AW33" i="19"/>
  <c r="AW29" i="19"/>
  <c r="AW28" i="19"/>
  <c r="AW27" i="19"/>
  <c r="BC25" i="19"/>
  <c r="BB25" i="19"/>
  <c r="AX21" i="19"/>
  <c r="AW21" i="19"/>
  <c r="AX20" i="19"/>
  <c r="AW20" i="19"/>
  <c r="AX19" i="19"/>
  <c r="AW19" i="19"/>
  <c r="AX18" i="19"/>
  <c r="AW18" i="19"/>
  <c r="BC17" i="19"/>
  <c r="BB17" i="19"/>
  <c r="AW13" i="19"/>
  <c r="AW12" i="19"/>
  <c r="BC9" i="19"/>
  <c r="BB9" i="19"/>
  <c r="AW9" i="19"/>
  <c r="BA325" i="19"/>
  <c r="BA324" i="19"/>
  <c r="BA323" i="19"/>
  <c r="BA322" i="19"/>
  <c r="BA321" i="19"/>
  <c r="BA317" i="19"/>
  <c r="BA316" i="19"/>
  <c r="BA315" i="19"/>
  <c r="BA314" i="19"/>
  <c r="BA313" i="19"/>
  <c r="BA309" i="19"/>
  <c r="BA308" i="19"/>
  <c r="BA307" i="19"/>
  <c r="BA306" i="19"/>
  <c r="BA305" i="19"/>
  <c r="BA301" i="19"/>
  <c r="BA300" i="19"/>
  <c r="BA299" i="19"/>
  <c r="BA298" i="19"/>
  <c r="BA297" i="19"/>
  <c r="BA293" i="19"/>
  <c r="BA292" i="19"/>
  <c r="BA291" i="19"/>
  <c r="BA290" i="19"/>
  <c r="BA289" i="19"/>
  <c r="BA285" i="19"/>
  <c r="BA284" i="19"/>
  <c r="BA283" i="19"/>
  <c r="BA282" i="19"/>
  <c r="BA281" i="19"/>
  <c r="BA277" i="19"/>
  <c r="BA276" i="19"/>
  <c r="BA275" i="19"/>
  <c r="BA274" i="19"/>
  <c r="BA273" i="19"/>
  <c r="BA269" i="19"/>
  <c r="BA268" i="19"/>
  <c r="BA267" i="19"/>
  <c r="BA266" i="19"/>
  <c r="BA265" i="19"/>
  <c r="BA261" i="19"/>
  <c r="BA260" i="19"/>
  <c r="BA259" i="19"/>
  <c r="BA258" i="19"/>
  <c r="BA257" i="19"/>
  <c r="BA253" i="19"/>
  <c r="BA252" i="19"/>
  <c r="BA251" i="19"/>
  <c r="BA250" i="19"/>
  <c r="BA249" i="19"/>
  <c r="BA245" i="19"/>
  <c r="BA244" i="19"/>
  <c r="BA243" i="19"/>
  <c r="BA242" i="19"/>
  <c r="BA241" i="19"/>
  <c r="BA237" i="19"/>
  <c r="BA236" i="19"/>
  <c r="BA235" i="19"/>
  <c r="BA234" i="19"/>
  <c r="BA233" i="19"/>
  <c r="BA229" i="19"/>
  <c r="BA228" i="19"/>
  <c r="BA227" i="19"/>
  <c r="BA226" i="19"/>
  <c r="BA225" i="19"/>
  <c r="BA221" i="19"/>
  <c r="BA220" i="19"/>
  <c r="BA219" i="19"/>
  <c r="BA218" i="19"/>
  <c r="BA217" i="19"/>
  <c r="BA213" i="19"/>
  <c r="BA212" i="19"/>
  <c r="BA211" i="19"/>
  <c r="BA210" i="19"/>
  <c r="BA209" i="19"/>
  <c r="BA205" i="19"/>
  <c r="BA204" i="19"/>
  <c r="BA203" i="19"/>
  <c r="BA202" i="19"/>
  <c r="BA201" i="19"/>
  <c r="BA197" i="19"/>
  <c r="BA196" i="19"/>
  <c r="BA195" i="19"/>
  <c r="BA194" i="19"/>
  <c r="BA193" i="19"/>
  <c r="BA189" i="19"/>
  <c r="BA188" i="19"/>
  <c r="BA187" i="19"/>
  <c r="BA186" i="19"/>
  <c r="BA185" i="19"/>
  <c r="BA181" i="19"/>
  <c r="BA180" i="19"/>
  <c r="BA179" i="19"/>
  <c r="BA178" i="19"/>
  <c r="BA177" i="19"/>
  <c r="BA173" i="19"/>
  <c r="BA172" i="19"/>
  <c r="BA171" i="19"/>
  <c r="BA170" i="19"/>
  <c r="BA169" i="19"/>
  <c r="BA165" i="19"/>
  <c r="BA164" i="19"/>
  <c r="BA163" i="19"/>
  <c r="BA162" i="19"/>
  <c r="BA161" i="19"/>
  <c r="BA157" i="19"/>
  <c r="BA156" i="19"/>
  <c r="BA155" i="19"/>
  <c r="BA154" i="19"/>
  <c r="BA153" i="19"/>
  <c r="BA149" i="19"/>
  <c r="BA148" i="19"/>
  <c r="BA147" i="19"/>
  <c r="BA146" i="19"/>
  <c r="BA145" i="19"/>
  <c r="BA141" i="19"/>
  <c r="BA140" i="19"/>
  <c r="BA139" i="19"/>
  <c r="BA138" i="19"/>
  <c r="BA137" i="19"/>
  <c r="BA133" i="19"/>
  <c r="BA132" i="19"/>
  <c r="BA131" i="19"/>
  <c r="BA130" i="19"/>
  <c r="BA129" i="19"/>
  <c r="BA125" i="19"/>
  <c r="BA124" i="19"/>
  <c r="BA123" i="19"/>
  <c r="BA122" i="19"/>
  <c r="BA121" i="19"/>
  <c r="BA117" i="19"/>
  <c r="BA116" i="19"/>
  <c r="BA115" i="19"/>
  <c r="BA114" i="19"/>
  <c r="BA113" i="19"/>
  <c r="BA109" i="19"/>
  <c r="BA108" i="19"/>
  <c r="BA107" i="19"/>
  <c r="BA106" i="19"/>
  <c r="BA105" i="19"/>
  <c r="BA101" i="19"/>
  <c r="BA100" i="19"/>
  <c r="BA99" i="19"/>
  <c r="BA98" i="19"/>
  <c r="BA97" i="19"/>
  <c r="BA93" i="19"/>
  <c r="BA92" i="19"/>
  <c r="BA91" i="19"/>
  <c r="BA90" i="19"/>
  <c r="BA89" i="19"/>
  <c r="BA85" i="19"/>
  <c r="BA84" i="19"/>
  <c r="BA83" i="19"/>
  <c r="BA82" i="19"/>
  <c r="BA81" i="19"/>
  <c r="BA77" i="19"/>
  <c r="BA76" i="19"/>
  <c r="BA75" i="19"/>
  <c r="BA74" i="19"/>
  <c r="BA73" i="19"/>
  <c r="BA69" i="19"/>
  <c r="BA68" i="19"/>
  <c r="BA67" i="19"/>
  <c r="BA66" i="19"/>
  <c r="BA65" i="19"/>
  <c r="BA61" i="19"/>
  <c r="BA60" i="19"/>
  <c r="BA59" i="19"/>
  <c r="BA58" i="19"/>
  <c r="BA57" i="19"/>
  <c r="BA53" i="19"/>
  <c r="BA52" i="19"/>
  <c r="BA51" i="19"/>
  <c r="BA50" i="19"/>
  <c r="BA49" i="19"/>
  <c r="BA45" i="19"/>
  <c r="BA44" i="19"/>
  <c r="BA43" i="19"/>
  <c r="BA42" i="19"/>
  <c r="BA41" i="19"/>
  <c r="BA37" i="19"/>
  <c r="BA36" i="19"/>
  <c r="BA35" i="19"/>
  <c r="BA34" i="19"/>
  <c r="BA33" i="19"/>
  <c r="BA29" i="19"/>
  <c r="BA28" i="19"/>
  <c r="BA27" i="19"/>
  <c r="BA26" i="19"/>
  <c r="BA25" i="19"/>
  <c r="BA21" i="19"/>
  <c r="BA20" i="19"/>
  <c r="BA19" i="19"/>
  <c r="BA18" i="19"/>
  <c r="BA17" i="19"/>
  <c r="AM325" i="19"/>
  <c r="AM324" i="19"/>
  <c r="AM323" i="19"/>
  <c r="AM322" i="19"/>
  <c r="AM321" i="19"/>
  <c r="AM317" i="19"/>
  <c r="AM316" i="19"/>
  <c r="AM315" i="19"/>
  <c r="AM314" i="19"/>
  <c r="AM313" i="19"/>
  <c r="AM309" i="19"/>
  <c r="AM308" i="19"/>
  <c r="AM307" i="19"/>
  <c r="AM306" i="19"/>
  <c r="AM305" i="19"/>
  <c r="AM301" i="19"/>
  <c r="AM300" i="19"/>
  <c r="AM299" i="19"/>
  <c r="AM298" i="19"/>
  <c r="AM297" i="19"/>
  <c r="AM293" i="19"/>
  <c r="AM292" i="19"/>
  <c r="AM291" i="19"/>
  <c r="AM290" i="19"/>
  <c r="AM289" i="19"/>
  <c r="AM285" i="19"/>
  <c r="AM284" i="19"/>
  <c r="AM283" i="19"/>
  <c r="AM282" i="19"/>
  <c r="AM281" i="19"/>
  <c r="AM277" i="19"/>
  <c r="AM276" i="19"/>
  <c r="AM275" i="19"/>
  <c r="AM274" i="19"/>
  <c r="AM273" i="19"/>
  <c r="AM269" i="19"/>
  <c r="AM268" i="19"/>
  <c r="AM267" i="19"/>
  <c r="AM266" i="19"/>
  <c r="AM265" i="19"/>
  <c r="AM261" i="19"/>
  <c r="AM260" i="19"/>
  <c r="AM259" i="19"/>
  <c r="AM258" i="19"/>
  <c r="AM257" i="19"/>
  <c r="AM253" i="19"/>
  <c r="AM252" i="19"/>
  <c r="AM251" i="19"/>
  <c r="AM250" i="19"/>
  <c r="AM249" i="19"/>
  <c r="AM245" i="19"/>
  <c r="AM244" i="19"/>
  <c r="AM243" i="19"/>
  <c r="AM242" i="19"/>
  <c r="AM241" i="19"/>
  <c r="AM237" i="19"/>
  <c r="AM236" i="19"/>
  <c r="AM235" i="19"/>
  <c r="AM234" i="19"/>
  <c r="AM233" i="19"/>
  <c r="AM229" i="19"/>
  <c r="AM228" i="19"/>
  <c r="AM227" i="19"/>
  <c r="AM226" i="19"/>
  <c r="AM225" i="19"/>
  <c r="AM221" i="19"/>
  <c r="AM220" i="19"/>
  <c r="AM219" i="19"/>
  <c r="AM218" i="19"/>
  <c r="AM217" i="19"/>
  <c r="AM213" i="19"/>
  <c r="AM212" i="19"/>
  <c r="AM211" i="19"/>
  <c r="AM210" i="19"/>
  <c r="AM209" i="19"/>
  <c r="AM205" i="19"/>
  <c r="AM204" i="19"/>
  <c r="AM203" i="19"/>
  <c r="AM202" i="19"/>
  <c r="AM201" i="19"/>
  <c r="AM197" i="19"/>
  <c r="AM196" i="19"/>
  <c r="AM195" i="19"/>
  <c r="AM194" i="19"/>
  <c r="AM193" i="19"/>
  <c r="AM189" i="19"/>
  <c r="AM188" i="19"/>
  <c r="AM187" i="19"/>
  <c r="AM186" i="19"/>
  <c r="AM185" i="19"/>
  <c r="AM181" i="19"/>
  <c r="AM180" i="19"/>
  <c r="AM179" i="19"/>
  <c r="AM178" i="19"/>
  <c r="AM177" i="19"/>
  <c r="AM173" i="19"/>
  <c r="AM172" i="19"/>
  <c r="AM171" i="19"/>
  <c r="AM170" i="19"/>
  <c r="AM169" i="19"/>
  <c r="AM165" i="19"/>
  <c r="AM164" i="19"/>
  <c r="AM163" i="19"/>
  <c r="AM162" i="19"/>
  <c r="AM161" i="19"/>
  <c r="AM157" i="19"/>
  <c r="AM156" i="19"/>
  <c r="AM155" i="19"/>
  <c r="AM154" i="19"/>
  <c r="AM153" i="19"/>
  <c r="AM149" i="19"/>
  <c r="AM148" i="19"/>
  <c r="AM147" i="19"/>
  <c r="AM146" i="19"/>
  <c r="AM145" i="19"/>
  <c r="AM141" i="19"/>
  <c r="AM140" i="19"/>
  <c r="AM139" i="19"/>
  <c r="AM138" i="19"/>
  <c r="AM137" i="19"/>
  <c r="AM133" i="19"/>
  <c r="AM132" i="19"/>
  <c r="AM131" i="19"/>
  <c r="AM130" i="19"/>
  <c r="AM129" i="19"/>
  <c r="AM125" i="19"/>
  <c r="AM124" i="19"/>
  <c r="AM123" i="19"/>
  <c r="AM122" i="19"/>
  <c r="AM121" i="19"/>
  <c r="AM117" i="19"/>
  <c r="AM116" i="19"/>
  <c r="AM115" i="19"/>
  <c r="AM114" i="19"/>
  <c r="AM113" i="19"/>
  <c r="AM109" i="19"/>
  <c r="AM108" i="19"/>
  <c r="AM107" i="19"/>
  <c r="AM106" i="19"/>
  <c r="AM105" i="19"/>
  <c r="AM101" i="19"/>
  <c r="AM100" i="19"/>
  <c r="AM99" i="19"/>
  <c r="AM98" i="19"/>
  <c r="AM97" i="19"/>
  <c r="AM93" i="19"/>
  <c r="AM92" i="19"/>
  <c r="AM91" i="19"/>
  <c r="AM90" i="19"/>
  <c r="AM89" i="19"/>
  <c r="AM85" i="19"/>
  <c r="AM84" i="19"/>
  <c r="AM83" i="19"/>
  <c r="AM82" i="19"/>
  <c r="AM81" i="19"/>
  <c r="AM77" i="19"/>
  <c r="AM76" i="19"/>
  <c r="AM75" i="19"/>
  <c r="AM74" i="19"/>
  <c r="AM73" i="19"/>
  <c r="AM69" i="19"/>
  <c r="AM68" i="19"/>
  <c r="AM67" i="19"/>
  <c r="AM66" i="19"/>
  <c r="AM65" i="19"/>
  <c r="AM61" i="19"/>
  <c r="AM60" i="19"/>
  <c r="AM59" i="19"/>
  <c r="AM58" i="19"/>
  <c r="AM57" i="19"/>
  <c r="AM53" i="19"/>
  <c r="AM52" i="19"/>
  <c r="AM51" i="19"/>
  <c r="AM50" i="19"/>
  <c r="AM49" i="19"/>
  <c r="AM45" i="19"/>
  <c r="AM44" i="19"/>
  <c r="AM43" i="19"/>
  <c r="AM42" i="19"/>
  <c r="AM41" i="19"/>
  <c r="AM37" i="19"/>
  <c r="AM36" i="19"/>
  <c r="AM35" i="19"/>
  <c r="AM34" i="19"/>
  <c r="AM33" i="19"/>
  <c r="AM29" i="19"/>
  <c r="AM28" i="19"/>
  <c r="AM27" i="19"/>
  <c r="AM26" i="19"/>
  <c r="AM25" i="19"/>
  <c r="AM21" i="19"/>
  <c r="AM20" i="19"/>
  <c r="AM19" i="19"/>
  <c r="AM18" i="19"/>
  <c r="AM17" i="19"/>
  <c r="AM13" i="19"/>
  <c r="AM12" i="19"/>
  <c r="AM11" i="19"/>
  <c r="AM10" i="19"/>
  <c r="AM9" i="19"/>
  <c r="AF325" i="19"/>
  <c r="AF324" i="19"/>
  <c r="AF323" i="19"/>
  <c r="AF322" i="19"/>
  <c r="AF321" i="19"/>
  <c r="AF317" i="19"/>
  <c r="AF316" i="19"/>
  <c r="AF315" i="19"/>
  <c r="AF314" i="19"/>
  <c r="AF313" i="19"/>
  <c r="AF309" i="19"/>
  <c r="AF308" i="19"/>
  <c r="AF307" i="19"/>
  <c r="AF306" i="19"/>
  <c r="AF305" i="19"/>
  <c r="AF301" i="19"/>
  <c r="AF300" i="19"/>
  <c r="AF299" i="19"/>
  <c r="AF298" i="19"/>
  <c r="AF297" i="19"/>
  <c r="AF293" i="19"/>
  <c r="AF292" i="19"/>
  <c r="AF291" i="19"/>
  <c r="AF290" i="19"/>
  <c r="AF289" i="19"/>
  <c r="AF285" i="19"/>
  <c r="AF284" i="19"/>
  <c r="AF283" i="19"/>
  <c r="AF282" i="19"/>
  <c r="AF281" i="19"/>
  <c r="AF277" i="19"/>
  <c r="AF276" i="19"/>
  <c r="AF275" i="19"/>
  <c r="AF274" i="19"/>
  <c r="AF273" i="19"/>
  <c r="AF269" i="19"/>
  <c r="AF268" i="19"/>
  <c r="AF267" i="19"/>
  <c r="AF266" i="19"/>
  <c r="AF265" i="19"/>
  <c r="AF261" i="19"/>
  <c r="AF260" i="19"/>
  <c r="AF259" i="19"/>
  <c r="AF258" i="19"/>
  <c r="AF257" i="19"/>
  <c r="AF253" i="19"/>
  <c r="AF252" i="19"/>
  <c r="AF251" i="19"/>
  <c r="AF250" i="19"/>
  <c r="AF249" i="19"/>
  <c r="AF245" i="19"/>
  <c r="AF244" i="19"/>
  <c r="AF243" i="19"/>
  <c r="AF242" i="19"/>
  <c r="AF241" i="19"/>
  <c r="AF237" i="19"/>
  <c r="AF236" i="19"/>
  <c r="AF235" i="19"/>
  <c r="AF234" i="19"/>
  <c r="AF233" i="19"/>
  <c r="AF229" i="19"/>
  <c r="AF228" i="19"/>
  <c r="AF227" i="19"/>
  <c r="AF226" i="19"/>
  <c r="AF225" i="19"/>
  <c r="AF221" i="19"/>
  <c r="AF220" i="19"/>
  <c r="AF219" i="19"/>
  <c r="AF218" i="19"/>
  <c r="AF217" i="19"/>
  <c r="AF213" i="19"/>
  <c r="AF212" i="19"/>
  <c r="AF211" i="19"/>
  <c r="AF210" i="19"/>
  <c r="AF209" i="19"/>
  <c r="AF205" i="19"/>
  <c r="AF204" i="19"/>
  <c r="AF203" i="19"/>
  <c r="AF202" i="19"/>
  <c r="AF201" i="19"/>
  <c r="AF197" i="19"/>
  <c r="AF196" i="19"/>
  <c r="AF195" i="19"/>
  <c r="AF194" i="19"/>
  <c r="AF193" i="19"/>
  <c r="AF189" i="19"/>
  <c r="AF188" i="19"/>
  <c r="AF187" i="19"/>
  <c r="AF186" i="19"/>
  <c r="AF185" i="19"/>
  <c r="AF181" i="19"/>
  <c r="AF180" i="19"/>
  <c r="AF179" i="19"/>
  <c r="AF178" i="19"/>
  <c r="AF177" i="19"/>
  <c r="AF173" i="19"/>
  <c r="AF172" i="19"/>
  <c r="AF171" i="19"/>
  <c r="AF170" i="19"/>
  <c r="AF169" i="19"/>
  <c r="AF165" i="19"/>
  <c r="AF164" i="19"/>
  <c r="AF163" i="19"/>
  <c r="AF162" i="19"/>
  <c r="AF161" i="19"/>
  <c r="AF157" i="19"/>
  <c r="AF156" i="19"/>
  <c r="AF155" i="19"/>
  <c r="AF154" i="19"/>
  <c r="AF153" i="19"/>
  <c r="AF149" i="19"/>
  <c r="AF148" i="19"/>
  <c r="AF147" i="19"/>
  <c r="AF146" i="19"/>
  <c r="AF145" i="19"/>
  <c r="AF141" i="19"/>
  <c r="AF140" i="19"/>
  <c r="AF139" i="19"/>
  <c r="AF138" i="19"/>
  <c r="AF137" i="19"/>
  <c r="AF133" i="19"/>
  <c r="AF132" i="19"/>
  <c r="AF131" i="19"/>
  <c r="AF130" i="19"/>
  <c r="AF129" i="19"/>
  <c r="AF125" i="19"/>
  <c r="AF124" i="19"/>
  <c r="AF123" i="19"/>
  <c r="AF122" i="19"/>
  <c r="AF121" i="19"/>
  <c r="AF117" i="19"/>
  <c r="AF116" i="19"/>
  <c r="AF115" i="19"/>
  <c r="AF114" i="19"/>
  <c r="AF113" i="19"/>
  <c r="AF109" i="19"/>
  <c r="AF108" i="19"/>
  <c r="AF107" i="19"/>
  <c r="AF106" i="19"/>
  <c r="AF105" i="19"/>
  <c r="AF101" i="19"/>
  <c r="AF100" i="19"/>
  <c r="AF99" i="19"/>
  <c r="AF98" i="19"/>
  <c r="AF97" i="19"/>
  <c r="AF93" i="19"/>
  <c r="AF92" i="19"/>
  <c r="AF91" i="19"/>
  <c r="AF90" i="19"/>
  <c r="AF89" i="19"/>
  <c r="AF85" i="19"/>
  <c r="AF84" i="19"/>
  <c r="AF83" i="19"/>
  <c r="AF82" i="19"/>
  <c r="AF81" i="19"/>
  <c r="AF77" i="19"/>
  <c r="AF76" i="19"/>
  <c r="AF75" i="19"/>
  <c r="AF74" i="19"/>
  <c r="AF73" i="19"/>
  <c r="AF61" i="19"/>
  <c r="AF60" i="19"/>
  <c r="AF59" i="19"/>
  <c r="AF58" i="19"/>
  <c r="AF57" i="19"/>
  <c r="AF53" i="19"/>
  <c r="AF52" i="19"/>
  <c r="AF51" i="19"/>
  <c r="AF50" i="19"/>
  <c r="AF49" i="19"/>
  <c r="AF45" i="19"/>
  <c r="AF44" i="19"/>
  <c r="AF43" i="19"/>
  <c r="AF42" i="19"/>
  <c r="AF41" i="19"/>
  <c r="AF37" i="19"/>
  <c r="AF36" i="19"/>
  <c r="AF35" i="19"/>
  <c r="AF34" i="19"/>
  <c r="AF33" i="19"/>
  <c r="AK49" i="48" l="1"/>
  <c r="I49" i="51"/>
  <c r="BQ49" i="48"/>
  <c r="AW49" i="50"/>
  <c r="AK49" i="52"/>
  <c r="AS49" i="52"/>
  <c r="Q49" i="50"/>
  <c r="S49" i="53"/>
  <c r="CG49" i="52"/>
  <c r="BI49" i="52"/>
  <c r="AI49" i="54"/>
  <c r="CC49" i="53"/>
  <c r="BU49" i="53"/>
  <c r="BY49" i="52"/>
  <c r="AY49" i="53"/>
  <c r="BE49" i="53"/>
  <c r="AC49" i="52"/>
  <c r="Y49" i="53"/>
  <c r="BG49" i="53"/>
  <c r="CC49" i="47"/>
  <c r="BE49" i="47"/>
  <c r="AS49" i="48"/>
  <c r="CA49" i="50"/>
  <c r="BM49" i="51"/>
  <c r="AO49" i="51"/>
  <c r="AG49" i="47"/>
  <c r="U49" i="48"/>
  <c r="BU49" i="51"/>
  <c r="AG49" i="46"/>
  <c r="AO49" i="47"/>
  <c r="Q49" i="47"/>
  <c r="BA49" i="48"/>
  <c r="BC49" i="49"/>
  <c r="AE49" i="49"/>
  <c r="BK49" i="50"/>
  <c r="AM49" i="50"/>
  <c r="W49" i="45"/>
  <c r="BI49" i="48"/>
  <c r="AA49" i="50"/>
  <c r="BU49" i="49"/>
  <c r="BM49" i="46"/>
  <c r="BU49" i="47"/>
  <c r="AW49" i="47"/>
  <c r="M49" i="48"/>
  <c r="CG49" i="48"/>
  <c r="AG49" i="49"/>
  <c r="AC49" i="48"/>
  <c r="BS49" i="50"/>
  <c r="BY49" i="54"/>
  <c r="AO49" i="53"/>
  <c r="BM49" i="49"/>
  <c r="AE49" i="50"/>
  <c r="G49" i="50"/>
  <c r="I49" i="47"/>
  <c r="K49" i="54"/>
  <c r="BS49" i="49"/>
  <c r="BO49" i="54"/>
  <c r="BC49" i="45"/>
  <c r="BY49" i="48"/>
  <c r="W49" i="49"/>
  <c r="BG49" i="50"/>
  <c r="U49" i="52"/>
  <c r="CE49" i="53"/>
  <c r="Q49" i="53"/>
  <c r="BA49" i="54"/>
  <c r="BK49" i="54"/>
  <c r="G49" i="54"/>
  <c r="BU49" i="54"/>
  <c r="BE49" i="45"/>
  <c r="O49" i="50"/>
  <c r="AA49" i="53"/>
  <c r="BM49" i="54"/>
  <c r="CG49" i="54"/>
  <c r="AY49" i="54"/>
  <c r="O9" i="45"/>
  <c r="O8" i="45"/>
  <c r="O10" i="45"/>
  <c r="BG49" i="45"/>
  <c r="CE9" i="45"/>
  <c r="CE8" i="45"/>
  <c r="CE10" i="45"/>
  <c r="AC49" i="45"/>
  <c r="BA8" i="45"/>
  <c r="BA10" i="45"/>
  <c r="BA9" i="45"/>
  <c r="AA49" i="46"/>
  <c r="BM49" i="45"/>
  <c r="AI49" i="45"/>
  <c r="BG10" i="45"/>
  <c r="BG9" i="45"/>
  <c r="BG8" i="45"/>
  <c r="C45" i="45"/>
  <c r="C49" i="45"/>
  <c r="AC10" i="45"/>
  <c r="AC9" i="45"/>
  <c r="AC8" i="45"/>
  <c r="AO49" i="46"/>
  <c r="BM9" i="46"/>
  <c r="BM8" i="46"/>
  <c r="BM10" i="46"/>
  <c r="D44" i="45"/>
  <c r="BS49" i="45"/>
  <c r="AO49" i="45"/>
  <c r="BM9" i="45"/>
  <c r="BM8" i="45"/>
  <c r="BM10" i="45"/>
  <c r="K49" i="45"/>
  <c r="AI9" i="45"/>
  <c r="AI10" i="45"/>
  <c r="AI8" i="45"/>
  <c r="C7" i="45"/>
  <c r="Q49" i="46"/>
  <c r="AO10" i="46"/>
  <c r="AO8" i="46"/>
  <c r="AO9" i="46"/>
  <c r="AU49" i="45"/>
  <c r="BS10" i="45"/>
  <c r="BS8" i="45"/>
  <c r="BS9" i="45"/>
  <c r="Q49" i="45"/>
  <c r="AO10" i="45"/>
  <c r="AO9" i="45"/>
  <c r="AO8" i="45"/>
  <c r="K9" i="45"/>
  <c r="K8" i="45"/>
  <c r="K10" i="45"/>
  <c r="CG49" i="45"/>
  <c r="Q10" i="46"/>
  <c r="Q8" i="46"/>
  <c r="Q9" i="46"/>
  <c r="Y49" i="47"/>
  <c r="CE49" i="46"/>
  <c r="C7" i="46"/>
  <c r="M49" i="47"/>
  <c r="BK49" i="46"/>
  <c r="AC10" i="47"/>
  <c r="AC9" i="47"/>
  <c r="AC8" i="47"/>
  <c r="BW9" i="46"/>
  <c r="BW10" i="46"/>
  <c r="BW8" i="46"/>
  <c r="CE49" i="47"/>
  <c r="CG49" i="46"/>
  <c r="AM49" i="46"/>
  <c r="BK10" i="46"/>
  <c r="BK9" i="46"/>
  <c r="BK8" i="46"/>
  <c r="BS49" i="47"/>
  <c r="C7" i="47"/>
  <c r="S9" i="46"/>
  <c r="S10" i="46"/>
  <c r="S8" i="46"/>
  <c r="AA49" i="47"/>
  <c r="AC49" i="46"/>
  <c r="BA9" i="46"/>
  <c r="BA8" i="46"/>
  <c r="BA10" i="46"/>
  <c r="BI49" i="47"/>
  <c r="G8" i="46"/>
  <c r="G9" i="46"/>
  <c r="G10" i="46"/>
  <c r="O49" i="47"/>
  <c r="BY10" i="47"/>
  <c r="BY9" i="47"/>
  <c r="BY8" i="47"/>
  <c r="C45" i="47"/>
  <c r="C49" i="47"/>
  <c r="BC49" i="46"/>
  <c r="CA8" i="46"/>
  <c r="CA10" i="46"/>
  <c r="CA9" i="46"/>
  <c r="U8" i="47"/>
  <c r="U9" i="47"/>
  <c r="U10" i="47"/>
  <c r="BE9" i="48"/>
  <c r="BE8" i="48"/>
  <c r="BE10" i="48"/>
  <c r="BU8" i="47"/>
  <c r="BU9" i="47"/>
  <c r="BU10" i="47"/>
  <c r="CC49" i="48"/>
  <c r="Q49" i="49"/>
  <c r="AA9" i="47"/>
  <c r="AA10" i="47"/>
  <c r="AA8" i="47"/>
  <c r="AI49" i="48"/>
  <c r="CC10" i="48"/>
  <c r="CC9" i="48"/>
  <c r="CC8" i="48"/>
  <c r="CA9" i="48"/>
  <c r="CA8" i="48"/>
  <c r="CA10" i="48"/>
  <c r="AW9" i="47"/>
  <c r="AW10" i="47"/>
  <c r="AW8" i="47"/>
  <c r="BE49" i="48"/>
  <c r="K49" i="48"/>
  <c r="BC8" i="48"/>
  <c r="BC9" i="48"/>
  <c r="BC10" i="48"/>
  <c r="BK49" i="49"/>
  <c r="BS9" i="47"/>
  <c r="BS10" i="47"/>
  <c r="BS8" i="47"/>
  <c r="CA49" i="48"/>
  <c r="I49" i="49"/>
  <c r="Y9" i="47"/>
  <c r="Y10" i="47"/>
  <c r="Y8" i="47"/>
  <c r="AG49" i="48"/>
  <c r="BU8" i="48"/>
  <c r="BU9" i="48"/>
  <c r="BU10" i="48"/>
  <c r="AE9" i="48"/>
  <c r="AE10" i="48"/>
  <c r="AE8" i="48"/>
  <c r="AM49" i="49"/>
  <c r="BK10" i="49"/>
  <c r="BK8" i="49"/>
  <c r="BK9" i="49"/>
  <c r="AU9" i="47"/>
  <c r="AU10" i="47"/>
  <c r="AU8" i="47"/>
  <c r="BC49" i="48"/>
  <c r="I49" i="48"/>
  <c r="CE9" i="47"/>
  <c r="CE10" i="47"/>
  <c r="CE8" i="47"/>
  <c r="BE49" i="49"/>
  <c r="G8" i="48"/>
  <c r="G10" i="48"/>
  <c r="G9" i="48"/>
  <c r="O49" i="49"/>
  <c r="AM9" i="49"/>
  <c r="AM8" i="49"/>
  <c r="AM10" i="49"/>
  <c r="AU49" i="50"/>
  <c r="I8" i="49"/>
  <c r="I9" i="49"/>
  <c r="I10" i="49"/>
  <c r="CE10" i="48"/>
  <c r="CE8" i="48"/>
  <c r="CE9" i="48"/>
  <c r="BQ10" i="48"/>
  <c r="BQ8" i="48"/>
  <c r="BQ9" i="48"/>
  <c r="BY49" i="49"/>
  <c r="Y8" i="50"/>
  <c r="Y10" i="50"/>
  <c r="Y9" i="50"/>
  <c r="AG49" i="51"/>
  <c r="AA8" i="50"/>
  <c r="AA10" i="50"/>
  <c r="AA9" i="50"/>
  <c r="AI49" i="51"/>
  <c r="BG10" i="48"/>
  <c r="BG8" i="48"/>
  <c r="BG9" i="48"/>
  <c r="BO49" i="49"/>
  <c r="AS10" i="48"/>
  <c r="AS9" i="48"/>
  <c r="AS8" i="48"/>
  <c r="BA49" i="49"/>
  <c r="BY9" i="49"/>
  <c r="BY8" i="49"/>
  <c r="BY10" i="49"/>
  <c r="CG49" i="50"/>
  <c r="K49" i="51"/>
  <c r="AI9" i="48"/>
  <c r="AI10" i="48"/>
  <c r="AI8" i="48"/>
  <c r="AQ49" i="49"/>
  <c r="BO10" i="49"/>
  <c r="BO9" i="49"/>
  <c r="BO8" i="49"/>
  <c r="BW49" i="50"/>
  <c r="U10" i="48"/>
  <c r="U9" i="48"/>
  <c r="U8" i="48"/>
  <c r="AC49" i="49"/>
  <c r="BA9" i="49"/>
  <c r="BA8" i="49"/>
  <c r="BA10" i="49"/>
  <c r="BI49" i="50"/>
  <c r="BM10" i="49"/>
  <c r="BM9" i="49"/>
  <c r="BM8" i="49"/>
  <c r="BU49" i="50"/>
  <c r="K9" i="48"/>
  <c r="K10" i="48"/>
  <c r="K8" i="48"/>
  <c r="S49" i="49"/>
  <c r="AQ9" i="49"/>
  <c r="AQ8" i="49"/>
  <c r="AQ10" i="49"/>
  <c r="AY49" i="50"/>
  <c r="C45" i="49"/>
  <c r="C49" i="49"/>
  <c r="AC8" i="49"/>
  <c r="AC9" i="49"/>
  <c r="AC10" i="49"/>
  <c r="AK49" i="50"/>
  <c r="CC10" i="50"/>
  <c r="CC9" i="50"/>
  <c r="CC8" i="50"/>
  <c r="CE8" i="50"/>
  <c r="CE10" i="50"/>
  <c r="CE9" i="50"/>
  <c r="AC8" i="50"/>
  <c r="AC10" i="50"/>
  <c r="AC9" i="50"/>
  <c r="AK49" i="51"/>
  <c r="BK9" i="50"/>
  <c r="BK8" i="50"/>
  <c r="BK10" i="50"/>
  <c r="M9" i="50"/>
  <c r="M8" i="50"/>
  <c r="M10" i="50"/>
  <c r="U49" i="51"/>
  <c r="BA10" i="51"/>
  <c r="BA8" i="51"/>
  <c r="BA9" i="51"/>
  <c r="CA9" i="50"/>
  <c r="CA8" i="50"/>
  <c r="CA10" i="50"/>
  <c r="C49" i="52"/>
  <c r="C45" i="52"/>
  <c r="BI10" i="51"/>
  <c r="BI9" i="51"/>
  <c r="BI8" i="51"/>
  <c r="AO9" i="51"/>
  <c r="AO10" i="51"/>
  <c r="AO8" i="51"/>
  <c r="C7" i="51"/>
  <c r="BY8" i="51"/>
  <c r="BY10" i="51"/>
  <c r="BY9" i="51"/>
  <c r="AW9" i="51"/>
  <c r="AW8" i="51"/>
  <c r="AW10" i="51"/>
  <c r="AM49" i="51"/>
  <c r="M49" i="52"/>
  <c r="BU49" i="52"/>
  <c r="S8" i="51"/>
  <c r="S10" i="51"/>
  <c r="S9" i="51"/>
  <c r="AA49" i="52"/>
  <c r="Q10" i="52"/>
  <c r="Q8" i="52"/>
  <c r="Q9" i="52"/>
  <c r="BS49" i="52"/>
  <c r="K9" i="52"/>
  <c r="K8" i="52"/>
  <c r="K10" i="52"/>
  <c r="BG9" i="51"/>
  <c r="BG10" i="51"/>
  <c r="BG8" i="51"/>
  <c r="BO49" i="52"/>
  <c r="AY8" i="52"/>
  <c r="AY10" i="52"/>
  <c r="AY9" i="52"/>
  <c r="Y49" i="52"/>
  <c r="I10" i="52"/>
  <c r="I9" i="52"/>
  <c r="I8" i="52"/>
  <c r="W49" i="52"/>
  <c r="BM49" i="52"/>
  <c r="K10" i="51"/>
  <c r="K9" i="51"/>
  <c r="K8" i="51"/>
  <c r="S49" i="52"/>
  <c r="BK49" i="52"/>
  <c r="K49" i="53"/>
  <c r="C7" i="52"/>
  <c r="M49" i="53"/>
  <c r="BK8" i="52"/>
  <c r="BK10" i="52"/>
  <c r="BK9" i="52"/>
  <c r="BS49" i="53"/>
  <c r="AS8" i="52"/>
  <c r="AS10" i="52"/>
  <c r="AS9" i="52"/>
  <c r="BA49" i="53"/>
  <c r="C7" i="53"/>
  <c r="AU8" i="52"/>
  <c r="AU10" i="52"/>
  <c r="AU9" i="52"/>
  <c r="BC49" i="53"/>
  <c r="BY8" i="53"/>
  <c r="BY10" i="53"/>
  <c r="BY9" i="53"/>
  <c r="BI10" i="52"/>
  <c r="BI8" i="52"/>
  <c r="BI9" i="52"/>
  <c r="BQ49" i="53"/>
  <c r="U9" i="53"/>
  <c r="U10" i="53"/>
  <c r="U8" i="53"/>
  <c r="AU9" i="53"/>
  <c r="AU10" i="53"/>
  <c r="AU8" i="53"/>
  <c r="BM9" i="53"/>
  <c r="BM10" i="53"/>
  <c r="BM8" i="53"/>
  <c r="BO8" i="53"/>
  <c r="BO9" i="53"/>
  <c r="BO10" i="53"/>
  <c r="W10" i="53"/>
  <c r="W8" i="53"/>
  <c r="W9" i="53"/>
  <c r="AO8" i="53"/>
  <c r="AO9" i="53"/>
  <c r="AO10" i="53"/>
  <c r="AA10" i="53"/>
  <c r="AA9" i="53"/>
  <c r="AA8" i="53"/>
  <c r="BG10" i="53"/>
  <c r="BG8" i="53"/>
  <c r="BG9" i="53"/>
  <c r="AQ49" i="54"/>
  <c r="BS49" i="54"/>
  <c r="I49" i="54"/>
  <c r="CE49" i="54"/>
  <c r="AC49" i="54"/>
  <c r="AW49" i="54"/>
  <c r="CE10" i="53"/>
  <c r="CE8" i="53"/>
  <c r="CE9" i="53"/>
  <c r="BC49" i="54"/>
  <c r="AM9" i="54"/>
  <c r="AM10" i="54"/>
  <c r="AM8" i="54"/>
  <c r="AC10" i="54"/>
  <c r="AC8" i="54"/>
  <c r="AC9" i="54"/>
  <c r="O9" i="54"/>
  <c r="O10" i="54"/>
  <c r="O8" i="54"/>
  <c r="BO9" i="54"/>
  <c r="BO8" i="54"/>
  <c r="BO10" i="54"/>
  <c r="C7" i="54"/>
  <c r="CC10" i="54"/>
  <c r="CC9" i="54"/>
  <c r="CC8" i="54"/>
  <c r="AQ10" i="54"/>
  <c r="AQ8" i="54"/>
  <c r="AQ9" i="54"/>
  <c r="BE10" i="54"/>
  <c r="BE8" i="54"/>
  <c r="BE9" i="54"/>
  <c r="S10" i="54"/>
  <c r="S8" i="54"/>
  <c r="S9" i="54"/>
  <c r="CG8" i="54"/>
  <c r="CG9" i="54"/>
  <c r="CG10" i="54"/>
  <c r="AU8" i="45"/>
  <c r="AU10" i="45"/>
  <c r="AU9" i="45"/>
  <c r="Q8" i="45"/>
  <c r="Q10" i="45"/>
  <c r="Q9" i="45"/>
  <c r="BI49" i="45"/>
  <c r="CG8" i="45"/>
  <c r="CG10" i="45"/>
  <c r="CG9" i="45"/>
  <c r="BG49" i="46"/>
  <c r="W8" i="45"/>
  <c r="W9" i="45"/>
  <c r="W10" i="45"/>
  <c r="BO49" i="45"/>
  <c r="AK49" i="45"/>
  <c r="BI10" i="45"/>
  <c r="BI9" i="45"/>
  <c r="BI8" i="45"/>
  <c r="BU49" i="46"/>
  <c r="AI49" i="46"/>
  <c r="BU49" i="45"/>
  <c r="AQ49" i="45"/>
  <c r="BO9" i="45"/>
  <c r="BO8" i="45"/>
  <c r="BO10" i="45"/>
  <c r="M49" i="45"/>
  <c r="AK8" i="45"/>
  <c r="AK9" i="45"/>
  <c r="AK10" i="45"/>
  <c r="AW49" i="46"/>
  <c r="BU9" i="46"/>
  <c r="BU8" i="46"/>
  <c r="BU10" i="46"/>
  <c r="K49" i="46"/>
  <c r="CA49" i="45"/>
  <c r="AW49" i="45"/>
  <c r="BU8" i="45"/>
  <c r="BU9" i="45"/>
  <c r="BU10" i="45"/>
  <c r="S49" i="45"/>
  <c r="AQ9" i="45"/>
  <c r="AQ8" i="45"/>
  <c r="AQ10" i="45"/>
  <c r="M8" i="45"/>
  <c r="M10" i="45"/>
  <c r="M9" i="45"/>
  <c r="Y49" i="46"/>
  <c r="AW9" i="46"/>
  <c r="AW8" i="46"/>
  <c r="AW10" i="46"/>
  <c r="K49" i="47"/>
  <c r="M49" i="46"/>
  <c r="AK8" i="46"/>
  <c r="AK10" i="46"/>
  <c r="AK9" i="46"/>
  <c r="AS49" i="47"/>
  <c r="BI9" i="47"/>
  <c r="BI8" i="47"/>
  <c r="BI10" i="47"/>
  <c r="M9" i="46"/>
  <c r="M8" i="46"/>
  <c r="M10" i="46"/>
  <c r="U49" i="47"/>
  <c r="BS49" i="46"/>
  <c r="AK8" i="47"/>
  <c r="AK10" i="47"/>
  <c r="AK9" i="47"/>
  <c r="AY9" i="46"/>
  <c r="AY10" i="46"/>
  <c r="AY8" i="46"/>
  <c r="BG49" i="47"/>
  <c r="BI49" i="46"/>
  <c r="CG10" i="46"/>
  <c r="CG8" i="46"/>
  <c r="CG9" i="46"/>
  <c r="O49" i="46"/>
  <c r="AM9" i="46"/>
  <c r="AM10" i="46"/>
  <c r="AM8" i="46"/>
  <c r="AU49" i="47"/>
  <c r="D44" i="46"/>
  <c r="C49" i="46"/>
  <c r="C45" i="46"/>
  <c r="AC8" i="46"/>
  <c r="AC10" i="46"/>
  <c r="AC9" i="46"/>
  <c r="AK49" i="47"/>
  <c r="BA9" i="47"/>
  <c r="BA10" i="47"/>
  <c r="BA8" i="47"/>
  <c r="W9" i="47"/>
  <c r="W10" i="47"/>
  <c r="W8" i="47"/>
  <c r="AE49" i="48"/>
  <c r="BM10" i="48"/>
  <c r="BM8" i="48"/>
  <c r="BM9" i="48"/>
  <c r="BG10" i="47"/>
  <c r="BG8" i="47"/>
  <c r="BG9" i="47"/>
  <c r="BO49" i="48"/>
  <c r="O8" i="49"/>
  <c r="O10" i="49"/>
  <c r="O9" i="49"/>
  <c r="W49" i="50"/>
  <c r="G49" i="48"/>
  <c r="CC10" i="47"/>
  <c r="CC9" i="47"/>
  <c r="CC8" i="47"/>
  <c r="AW49" i="49"/>
  <c r="AI10" i="47"/>
  <c r="AI9" i="47"/>
  <c r="AI8" i="47"/>
  <c r="AQ49" i="48"/>
  <c r="BE9" i="47"/>
  <c r="BE8" i="47"/>
  <c r="BE10" i="47"/>
  <c r="BM49" i="48"/>
  <c r="K9" i="47"/>
  <c r="K8" i="47"/>
  <c r="K10" i="47"/>
  <c r="S49" i="48"/>
  <c r="Q9" i="48"/>
  <c r="Q10" i="48"/>
  <c r="Q8" i="48"/>
  <c r="BK10" i="48"/>
  <c r="BK9" i="48"/>
  <c r="BK8" i="48"/>
  <c r="CA9" i="47"/>
  <c r="CA10" i="47"/>
  <c r="CA8" i="47"/>
  <c r="AO49" i="49"/>
  <c r="AG10" i="47"/>
  <c r="AG8" i="47"/>
  <c r="AG9" i="47"/>
  <c r="AO49" i="48"/>
  <c r="AM9" i="48"/>
  <c r="AM10" i="48"/>
  <c r="AM8" i="48"/>
  <c r="AU49" i="49"/>
  <c r="BS10" i="49"/>
  <c r="BS9" i="49"/>
  <c r="BS8" i="49"/>
  <c r="AO8" i="49"/>
  <c r="AO10" i="49"/>
  <c r="AO9" i="49"/>
  <c r="S9" i="49"/>
  <c r="S10" i="49"/>
  <c r="S8" i="49"/>
  <c r="C7" i="49"/>
  <c r="M49" i="50"/>
  <c r="BE8" i="50"/>
  <c r="BE10" i="50"/>
  <c r="BE9" i="50"/>
  <c r="BG10" i="50"/>
  <c r="BG9" i="50"/>
  <c r="BG8" i="50"/>
  <c r="BO49" i="51"/>
  <c r="Q8" i="49"/>
  <c r="Q10" i="49"/>
  <c r="Q9" i="49"/>
  <c r="Y49" i="50"/>
  <c r="D44" i="49"/>
  <c r="BY9" i="48"/>
  <c r="BY8" i="48"/>
  <c r="BY10" i="48"/>
  <c r="CG49" i="49"/>
  <c r="AG8" i="50"/>
  <c r="AG10" i="50"/>
  <c r="AG9" i="50"/>
  <c r="AI9" i="50"/>
  <c r="AI8" i="50"/>
  <c r="AI10" i="50"/>
  <c r="AQ49" i="51"/>
  <c r="BO8" i="48"/>
  <c r="BO9" i="48"/>
  <c r="BO10" i="48"/>
  <c r="BW49" i="49"/>
  <c r="BA9" i="48"/>
  <c r="BA10" i="48"/>
  <c r="BA8" i="48"/>
  <c r="BI49" i="49"/>
  <c r="CG9" i="49"/>
  <c r="CG8" i="49"/>
  <c r="CG10" i="49"/>
  <c r="I8" i="50"/>
  <c r="I9" i="50"/>
  <c r="I10" i="50"/>
  <c r="Q49" i="51"/>
  <c r="K8" i="50"/>
  <c r="K10" i="50"/>
  <c r="K9" i="50"/>
  <c r="S49" i="51"/>
  <c r="AQ9" i="48"/>
  <c r="AQ10" i="48"/>
  <c r="AQ8" i="48"/>
  <c r="AY49" i="49"/>
  <c r="BW9" i="49"/>
  <c r="BW8" i="49"/>
  <c r="BW10" i="49"/>
  <c r="CE49" i="50"/>
  <c r="AC8" i="48"/>
  <c r="AC10" i="48"/>
  <c r="AC9" i="48"/>
  <c r="AK49" i="49"/>
  <c r="BI9" i="49"/>
  <c r="BI10" i="49"/>
  <c r="BI8" i="49"/>
  <c r="BQ49" i="50"/>
  <c r="BI10" i="50"/>
  <c r="BI9" i="50"/>
  <c r="BI8" i="50"/>
  <c r="BQ49" i="51"/>
  <c r="W9" i="50"/>
  <c r="W8" i="50"/>
  <c r="W10" i="50"/>
  <c r="AE49" i="51"/>
  <c r="C7" i="50"/>
  <c r="M49" i="51"/>
  <c r="AS8" i="50"/>
  <c r="AS10" i="50"/>
  <c r="AS9" i="50"/>
  <c r="BA49" i="51"/>
  <c r="G10" i="50"/>
  <c r="G8" i="50"/>
  <c r="G9" i="50"/>
  <c r="O49" i="51"/>
  <c r="U10" i="50"/>
  <c r="U9" i="50"/>
  <c r="U8" i="50"/>
  <c r="AC49" i="51"/>
  <c r="Y10" i="52"/>
  <c r="Y9" i="52"/>
  <c r="Y8" i="52"/>
  <c r="AM8" i="51"/>
  <c r="AM10" i="51"/>
  <c r="AM9" i="51"/>
  <c r="O8" i="51"/>
  <c r="O9" i="51"/>
  <c r="O10" i="51"/>
  <c r="BU9" i="51"/>
  <c r="BU10" i="51"/>
  <c r="BU8" i="51"/>
  <c r="BQ10" i="51"/>
  <c r="BQ8" i="51"/>
  <c r="BQ9" i="51"/>
  <c r="BC10" i="51"/>
  <c r="BC8" i="51"/>
  <c r="BC9" i="51"/>
  <c r="BE9" i="52"/>
  <c r="BE10" i="52"/>
  <c r="BE8" i="52"/>
  <c r="AE9" i="51"/>
  <c r="AE10" i="51"/>
  <c r="AE8" i="51"/>
  <c r="CC8" i="51"/>
  <c r="CC10" i="51"/>
  <c r="CC9" i="51"/>
  <c r="BS49" i="51"/>
  <c r="AC10" i="51"/>
  <c r="AC8" i="51"/>
  <c r="AC9" i="51"/>
  <c r="Y9" i="51"/>
  <c r="Y8" i="51"/>
  <c r="Y10" i="51"/>
  <c r="AS9" i="51"/>
  <c r="AS10" i="51"/>
  <c r="AS8" i="51"/>
  <c r="AG10" i="51"/>
  <c r="AG8" i="51"/>
  <c r="AG9" i="51"/>
  <c r="AY10" i="51"/>
  <c r="AY9" i="51"/>
  <c r="AY8" i="51"/>
  <c r="BG49" i="52"/>
  <c r="AQ8" i="52"/>
  <c r="AQ10" i="52"/>
  <c r="AQ9" i="52"/>
  <c r="Q49" i="52"/>
  <c r="O49" i="52"/>
  <c r="CE10" i="52"/>
  <c r="CE9" i="52"/>
  <c r="CE8" i="52"/>
  <c r="BE49" i="52"/>
  <c r="K49" i="52"/>
  <c r="BC49" i="52"/>
  <c r="AW49" i="53"/>
  <c r="AQ8" i="51"/>
  <c r="AQ10" i="51"/>
  <c r="AQ9" i="51"/>
  <c r="AY49" i="52"/>
  <c r="AI9" i="52"/>
  <c r="AI10" i="52"/>
  <c r="AI8" i="52"/>
  <c r="AQ49" i="53"/>
  <c r="AK9" i="52"/>
  <c r="AK8" i="52"/>
  <c r="AK10" i="52"/>
  <c r="AS49" i="53"/>
  <c r="BY8" i="52"/>
  <c r="BY9" i="52"/>
  <c r="BY10" i="52"/>
  <c r="CG49" i="53"/>
  <c r="G9" i="52"/>
  <c r="G8" i="52"/>
  <c r="G10" i="52"/>
  <c r="O49" i="53"/>
  <c r="AK9" i="53"/>
  <c r="AK8" i="53"/>
  <c r="AK10" i="53"/>
  <c r="U9" i="52"/>
  <c r="U8" i="52"/>
  <c r="U10" i="52"/>
  <c r="AC49" i="53"/>
  <c r="CA8" i="52"/>
  <c r="CA10" i="52"/>
  <c r="CA9" i="52"/>
  <c r="W9" i="52"/>
  <c r="W8" i="52"/>
  <c r="W10" i="52"/>
  <c r="AE49" i="53"/>
  <c r="BA10" i="53"/>
  <c r="BA8" i="53"/>
  <c r="BA9" i="53"/>
  <c r="CA10" i="53"/>
  <c r="CA8" i="53"/>
  <c r="CA9" i="53"/>
  <c r="BC8" i="53"/>
  <c r="BC9" i="53"/>
  <c r="BC10" i="53"/>
  <c r="BU9" i="53"/>
  <c r="BU10" i="53"/>
  <c r="BU8" i="53"/>
  <c r="BW8" i="53"/>
  <c r="BW9" i="53"/>
  <c r="BW10" i="53"/>
  <c r="Q9" i="53"/>
  <c r="Q8" i="53"/>
  <c r="Q10" i="53"/>
  <c r="G10" i="53"/>
  <c r="G8" i="53"/>
  <c r="G9" i="53"/>
  <c r="Y10" i="53"/>
  <c r="Y8" i="53"/>
  <c r="Y9" i="53"/>
  <c r="K8" i="53"/>
  <c r="K9" i="53"/>
  <c r="K10" i="53"/>
  <c r="BW49" i="54"/>
  <c r="U49" i="54"/>
  <c r="AE49" i="54"/>
  <c r="AO49" i="54"/>
  <c r="BI49" i="54"/>
  <c r="O49" i="54"/>
  <c r="CC49" i="54"/>
  <c r="AA49" i="54"/>
  <c r="C45" i="54"/>
  <c r="C49" i="54"/>
  <c r="Y49" i="54"/>
  <c r="BS10" i="54"/>
  <c r="BS9" i="54"/>
  <c r="BS8" i="54"/>
  <c r="AG9" i="54"/>
  <c r="AG10" i="54"/>
  <c r="AG8" i="54"/>
  <c r="BI8" i="54"/>
  <c r="BI9" i="54"/>
  <c r="BI10" i="54"/>
  <c r="AU8" i="54"/>
  <c r="AU10" i="54"/>
  <c r="AU9" i="54"/>
  <c r="I10" i="54"/>
  <c r="I9" i="54"/>
  <c r="I8" i="54"/>
  <c r="AK9" i="54"/>
  <c r="AK8" i="54"/>
  <c r="AK10" i="54"/>
  <c r="W10" i="54"/>
  <c r="W8" i="54"/>
  <c r="W9" i="54"/>
  <c r="BW8" i="54"/>
  <c r="BW9" i="54"/>
  <c r="BW10" i="54"/>
  <c r="M8" i="54"/>
  <c r="M9" i="54"/>
  <c r="M10" i="54"/>
  <c r="AY8" i="54"/>
  <c r="AY9" i="54"/>
  <c r="AY10" i="54"/>
  <c r="CA10" i="45"/>
  <c r="CA9" i="45"/>
  <c r="CA8" i="45"/>
  <c r="Y49" i="45"/>
  <c r="AW8" i="45"/>
  <c r="AW9" i="45"/>
  <c r="AW10" i="45"/>
  <c r="S10" i="45"/>
  <c r="S9" i="45"/>
  <c r="S8" i="45"/>
  <c r="Y8" i="46"/>
  <c r="Y10" i="46"/>
  <c r="Y9" i="46"/>
  <c r="AE49" i="45"/>
  <c r="BC9" i="45"/>
  <c r="BC10" i="45"/>
  <c r="BC8" i="45"/>
  <c r="Y10" i="45"/>
  <c r="Y8" i="45"/>
  <c r="Y9" i="45"/>
  <c r="BQ49" i="45"/>
  <c r="BO49" i="46"/>
  <c r="G49" i="45"/>
  <c r="AE10" i="45"/>
  <c r="AE8" i="45"/>
  <c r="AE9" i="45"/>
  <c r="BW49" i="45"/>
  <c r="AS49" i="45"/>
  <c r="BQ8" i="45"/>
  <c r="BQ10" i="45"/>
  <c r="BQ9" i="45"/>
  <c r="CC49" i="46"/>
  <c r="AQ49" i="46"/>
  <c r="G9" i="45"/>
  <c r="G10" i="45"/>
  <c r="G8" i="45"/>
  <c r="CC49" i="45"/>
  <c r="AY49" i="45"/>
  <c r="BW8" i="45"/>
  <c r="BW10" i="45"/>
  <c r="BW9" i="45"/>
  <c r="U49" i="45"/>
  <c r="AS8" i="45"/>
  <c r="AS10" i="45"/>
  <c r="AS9" i="45"/>
  <c r="BE49" i="46"/>
  <c r="CC8" i="46"/>
  <c r="CC10" i="46"/>
  <c r="CC9" i="46"/>
  <c r="S49" i="46"/>
  <c r="AI10" i="46"/>
  <c r="AI8" i="46"/>
  <c r="AI9" i="46"/>
  <c r="AQ49" i="47"/>
  <c r="AS49" i="46"/>
  <c r="BQ10" i="46"/>
  <c r="BQ9" i="46"/>
  <c r="BQ8" i="46"/>
  <c r="BY49" i="47"/>
  <c r="W10" i="46"/>
  <c r="W8" i="46"/>
  <c r="W9" i="46"/>
  <c r="AE49" i="47"/>
  <c r="K8" i="46"/>
  <c r="K10" i="46"/>
  <c r="K9" i="46"/>
  <c r="S49" i="47"/>
  <c r="U49" i="46"/>
  <c r="AS10" i="46"/>
  <c r="AS8" i="46"/>
  <c r="AS9" i="46"/>
  <c r="BA49" i="47"/>
  <c r="G49" i="47"/>
  <c r="BQ10" i="47"/>
  <c r="BQ9" i="47"/>
  <c r="BQ8" i="47"/>
  <c r="CE10" i="46"/>
  <c r="CE8" i="46"/>
  <c r="CE9" i="46"/>
  <c r="AU49" i="46"/>
  <c r="BS10" i="46"/>
  <c r="BS9" i="46"/>
  <c r="BS8" i="46"/>
  <c r="CA49" i="47"/>
  <c r="M9" i="47"/>
  <c r="M10" i="47"/>
  <c r="M8" i="47"/>
  <c r="Y10" i="48"/>
  <c r="Y8" i="48"/>
  <c r="Y9" i="48"/>
  <c r="AA9" i="46"/>
  <c r="AA8" i="46"/>
  <c r="AA10" i="46"/>
  <c r="AI49" i="47"/>
  <c r="AK49" i="46"/>
  <c r="BI8" i="46"/>
  <c r="BI9" i="46"/>
  <c r="BI10" i="46"/>
  <c r="BQ49" i="47"/>
  <c r="O10" i="46"/>
  <c r="O9" i="46"/>
  <c r="O8" i="46"/>
  <c r="W49" i="47"/>
  <c r="CG8" i="47"/>
  <c r="CG9" i="47"/>
  <c r="CG10" i="47"/>
  <c r="BC9" i="47"/>
  <c r="BC10" i="47"/>
  <c r="BC8" i="47"/>
  <c r="BK49" i="48"/>
  <c r="I8" i="47"/>
  <c r="I9" i="47"/>
  <c r="I10" i="47"/>
  <c r="Q49" i="48"/>
  <c r="I10" i="48"/>
  <c r="I8" i="48"/>
  <c r="I9" i="48"/>
  <c r="O9" i="48"/>
  <c r="O10" i="48"/>
  <c r="O8" i="48"/>
  <c r="AU8" i="49"/>
  <c r="AU9" i="49"/>
  <c r="AU10" i="49"/>
  <c r="AE9" i="47"/>
  <c r="AE10" i="47"/>
  <c r="AE8" i="47"/>
  <c r="AM49" i="48"/>
  <c r="BO9" i="47"/>
  <c r="BO8" i="47"/>
  <c r="BO10" i="47"/>
  <c r="BW49" i="48"/>
  <c r="W9" i="49"/>
  <c r="W8" i="49"/>
  <c r="W10" i="49"/>
  <c r="G8" i="47"/>
  <c r="G10" i="47"/>
  <c r="G9" i="47"/>
  <c r="O49" i="48"/>
  <c r="CC49" i="49"/>
  <c r="AQ8" i="47"/>
  <c r="AQ10" i="47"/>
  <c r="AQ9" i="47"/>
  <c r="AY49" i="48"/>
  <c r="BM10" i="47"/>
  <c r="BM8" i="47"/>
  <c r="BM9" i="47"/>
  <c r="BU49" i="48"/>
  <c r="S8" i="47"/>
  <c r="S10" i="47"/>
  <c r="S9" i="47"/>
  <c r="AA49" i="48"/>
  <c r="AW10" i="48"/>
  <c r="AW9" i="48"/>
  <c r="AW8" i="48"/>
  <c r="BS9" i="48"/>
  <c r="BS10" i="48"/>
  <c r="BS8" i="48"/>
  <c r="CA49" i="49"/>
  <c r="BU9" i="49"/>
  <c r="BU10" i="49"/>
  <c r="BU8" i="49"/>
  <c r="S10" i="48"/>
  <c r="S9" i="48"/>
  <c r="S8" i="48"/>
  <c r="AA49" i="49"/>
  <c r="AY8" i="49"/>
  <c r="AY10" i="49"/>
  <c r="AY9" i="49"/>
  <c r="C7" i="48"/>
  <c r="M49" i="49"/>
  <c r="AK8" i="49"/>
  <c r="AK9" i="49"/>
  <c r="AK10" i="49"/>
  <c r="AS49" i="50"/>
  <c r="AW10" i="49"/>
  <c r="AW9" i="49"/>
  <c r="AW8" i="49"/>
  <c r="BE49" i="50"/>
  <c r="D44" i="48"/>
  <c r="AA9" i="49"/>
  <c r="AA10" i="49"/>
  <c r="AA8" i="49"/>
  <c r="AI49" i="50"/>
  <c r="M9" i="49"/>
  <c r="M10" i="49"/>
  <c r="M8" i="49"/>
  <c r="U49" i="50"/>
  <c r="BM10" i="50"/>
  <c r="BM9" i="50"/>
  <c r="BM8" i="50"/>
  <c r="BO9" i="50"/>
  <c r="BO8" i="50"/>
  <c r="BO10" i="50"/>
  <c r="BW49" i="51"/>
  <c r="Y10" i="49"/>
  <c r="Y9" i="49"/>
  <c r="Y8" i="49"/>
  <c r="AG49" i="50"/>
  <c r="K49" i="50"/>
  <c r="CG9" i="48"/>
  <c r="CG10" i="48"/>
  <c r="CG8" i="48"/>
  <c r="AO9" i="50"/>
  <c r="AO8" i="50"/>
  <c r="AO10" i="50"/>
  <c r="AW49" i="51"/>
  <c r="AQ10" i="50"/>
  <c r="AQ9" i="50"/>
  <c r="AQ8" i="50"/>
  <c r="AY49" i="51"/>
  <c r="I49" i="50"/>
  <c r="BW9" i="48"/>
  <c r="BW10" i="48"/>
  <c r="BW8" i="48"/>
  <c r="CE49" i="49"/>
  <c r="BI10" i="48"/>
  <c r="BI9" i="48"/>
  <c r="BI8" i="48"/>
  <c r="BQ49" i="49"/>
  <c r="Q9" i="50"/>
  <c r="Q8" i="50"/>
  <c r="Q10" i="50"/>
  <c r="Y49" i="51"/>
  <c r="S9" i="50"/>
  <c r="S8" i="50"/>
  <c r="S10" i="50"/>
  <c r="AA49" i="51"/>
  <c r="BC8" i="50"/>
  <c r="BC9" i="50"/>
  <c r="BC10" i="50"/>
  <c r="CA49" i="51"/>
  <c r="AK10" i="50"/>
  <c r="AK9" i="50"/>
  <c r="AK8" i="50"/>
  <c r="AS49" i="51"/>
  <c r="G49" i="51"/>
  <c r="BY10" i="50"/>
  <c r="BY9" i="50"/>
  <c r="BY8" i="50"/>
  <c r="CG49" i="51"/>
  <c r="AM10" i="50"/>
  <c r="AM9" i="50"/>
  <c r="AM8" i="50"/>
  <c r="BC49" i="51"/>
  <c r="BA9" i="50"/>
  <c r="BA8" i="50"/>
  <c r="BA10" i="50"/>
  <c r="BI49" i="51"/>
  <c r="O8" i="50"/>
  <c r="O9" i="50"/>
  <c r="O10" i="50"/>
  <c r="W49" i="51"/>
  <c r="CA9" i="51"/>
  <c r="CA10" i="51"/>
  <c r="CA8" i="51"/>
  <c r="U10" i="51"/>
  <c r="U8" i="51"/>
  <c r="U9" i="51"/>
  <c r="G9" i="51"/>
  <c r="G10" i="51"/>
  <c r="G8" i="51"/>
  <c r="BQ49" i="52"/>
  <c r="BE10" i="51"/>
  <c r="BE8" i="51"/>
  <c r="BE9" i="51"/>
  <c r="AK10" i="51"/>
  <c r="AK8" i="51"/>
  <c r="AK9" i="51"/>
  <c r="W8" i="51"/>
  <c r="W9" i="51"/>
  <c r="W10" i="51"/>
  <c r="BA49" i="52"/>
  <c r="BM8" i="51"/>
  <c r="BM9" i="51"/>
  <c r="BM10" i="51"/>
  <c r="I49" i="52"/>
  <c r="CE10" i="51"/>
  <c r="CE8" i="51"/>
  <c r="CE9" i="51"/>
  <c r="G49" i="52"/>
  <c r="BW10" i="52"/>
  <c r="BW9" i="52"/>
  <c r="BW8" i="52"/>
  <c r="AW49" i="52"/>
  <c r="AU49" i="52"/>
  <c r="AI8" i="51"/>
  <c r="AI9" i="51"/>
  <c r="AI10" i="51"/>
  <c r="AQ49" i="52"/>
  <c r="CC10" i="52"/>
  <c r="CC9" i="52"/>
  <c r="CC8" i="52"/>
  <c r="I49" i="53"/>
  <c r="AA10" i="52"/>
  <c r="AA8" i="52"/>
  <c r="AA9" i="52"/>
  <c r="AI49" i="53"/>
  <c r="BW10" i="51"/>
  <c r="BW9" i="51"/>
  <c r="BW8" i="51"/>
  <c r="CE49" i="52"/>
  <c r="BO8" i="52"/>
  <c r="BO9" i="52"/>
  <c r="BO10" i="52"/>
  <c r="BW49" i="53"/>
  <c r="BQ9" i="52"/>
  <c r="BQ10" i="52"/>
  <c r="BQ8" i="52"/>
  <c r="BY49" i="53"/>
  <c r="G49" i="53"/>
  <c r="AC10" i="53"/>
  <c r="AC9" i="53"/>
  <c r="AC8" i="53"/>
  <c r="AM8" i="52"/>
  <c r="AM10" i="52"/>
  <c r="AM9" i="52"/>
  <c r="AU49" i="53"/>
  <c r="BQ8" i="53"/>
  <c r="BQ9" i="53"/>
  <c r="BQ10" i="53"/>
  <c r="BA8" i="52"/>
  <c r="BA10" i="52"/>
  <c r="BA9" i="52"/>
  <c r="BI49" i="53"/>
  <c r="M9" i="53"/>
  <c r="M8" i="53"/>
  <c r="M10" i="53"/>
  <c r="C49" i="53"/>
  <c r="C45" i="53"/>
  <c r="BC8" i="52"/>
  <c r="BC9" i="52"/>
  <c r="BC10" i="52"/>
  <c r="BK49" i="53"/>
  <c r="CG8" i="53"/>
  <c r="CG10" i="53"/>
  <c r="CG9" i="53"/>
  <c r="AE10" i="53"/>
  <c r="AE8" i="53"/>
  <c r="AE9" i="53"/>
  <c r="AW9" i="53"/>
  <c r="AW8" i="53"/>
  <c r="AW10" i="53"/>
  <c r="AI10" i="53"/>
  <c r="AI8" i="53"/>
  <c r="AI9" i="53"/>
  <c r="AM8" i="53"/>
  <c r="AM9" i="53"/>
  <c r="AM10" i="53"/>
  <c r="BE8" i="53"/>
  <c r="BE10" i="53"/>
  <c r="BE9" i="53"/>
  <c r="AQ10" i="53"/>
  <c r="AQ8" i="53"/>
  <c r="AQ9" i="53"/>
  <c r="M49" i="54"/>
  <c r="AG49" i="54"/>
  <c r="S49" i="54"/>
  <c r="AU49" i="54"/>
  <c r="BG49" i="54"/>
  <c r="AK49" i="54"/>
  <c r="BE49" i="54"/>
  <c r="BM10" i="54"/>
  <c r="BM8" i="54"/>
  <c r="BM9" i="54"/>
  <c r="AA9" i="54"/>
  <c r="AA10" i="54"/>
  <c r="AA8" i="54"/>
  <c r="CA10" i="54"/>
  <c r="CA9" i="54"/>
  <c r="CA8" i="54"/>
  <c r="AO9" i="54"/>
  <c r="AO8" i="54"/>
  <c r="AO10" i="54"/>
  <c r="BQ9" i="54"/>
  <c r="BQ8" i="54"/>
  <c r="BQ10" i="54"/>
  <c r="BC10" i="54"/>
  <c r="BC9" i="54"/>
  <c r="BC8" i="54"/>
  <c r="Q8" i="54"/>
  <c r="Q9" i="54"/>
  <c r="Q10" i="54"/>
  <c r="AS8" i="54"/>
  <c r="AS9" i="54"/>
  <c r="AS10" i="54"/>
  <c r="AE8" i="54"/>
  <c r="AE10" i="54"/>
  <c r="AE9" i="54"/>
  <c r="CE9" i="54"/>
  <c r="CE8" i="54"/>
  <c r="CE10" i="54"/>
  <c r="U9" i="54"/>
  <c r="U10" i="54"/>
  <c r="U8" i="54"/>
  <c r="CC10" i="45"/>
  <c r="CC9" i="45"/>
  <c r="CC8" i="45"/>
  <c r="AA49" i="45"/>
  <c r="AY9" i="45"/>
  <c r="AY8" i="45"/>
  <c r="AY10" i="45"/>
  <c r="U8" i="45"/>
  <c r="U10" i="45"/>
  <c r="U9" i="45"/>
  <c r="BE10" i="46"/>
  <c r="BE8" i="46"/>
  <c r="BE9" i="46"/>
  <c r="BK49" i="45"/>
  <c r="AG49" i="45"/>
  <c r="BE8" i="45"/>
  <c r="BE10" i="45"/>
  <c r="BE9" i="45"/>
  <c r="AA8" i="45"/>
  <c r="AA10" i="45"/>
  <c r="AA9" i="45"/>
  <c r="I49" i="46"/>
  <c r="AG10" i="46"/>
  <c r="AG9" i="46"/>
  <c r="AG8" i="46"/>
  <c r="AM49" i="45"/>
  <c r="BK8" i="45"/>
  <c r="BK9" i="45"/>
  <c r="BK10" i="45"/>
  <c r="I49" i="45"/>
  <c r="AG10" i="45"/>
  <c r="AG8" i="45"/>
  <c r="AG9" i="45"/>
  <c r="BY49" i="45"/>
  <c r="I10" i="46"/>
  <c r="I8" i="46"/>
  <c r="I9" i="46"/>
  <c r="BW49" i="46"/>
  <c r="O49" i="45"/>
  <c r="AM9" i="45"/>
  <c r="AM8" i="45"/>
  <c r="AM10" i="45"/>
  <c r="I10" i="45"/>
  <c r="I8" i="45"/>
  <c r="I9" i="45"/>
  <c r="CE49" i="45"/>
  <c r="BA49" i="45"/>
  <c r="BY8" i="45"/>
  <c r="BY10" i="45"/>
  <c r="BY9" i="45"/>
  <c r="AY49" i="46"/>
  <c r="BO8" i="46"/>
  <c r="BO9" i="46"/>
  <c r="BO10" i="46"/>
  <c r="BW49" i="47"/>
  <c r="BY49" i="46"/>
  <c r="AE49" i="46"/>
  <c r="BC10" i="46"/>
  <c r="BC8" i="46"/>
  <c r="BC9" i="46"/>
  <c r="BK49" i="47"/>
  <c r="C45" i="48"/>
  <c r="C49" i="48"/>
  <c r="AQ10" i="46"/>
  <c r="AQ9" i="46"/>
  <c r="AQ8" i="46"/>
  <c r="AY49" i="47"/>
  <c r="BA49" i="46"/>
  <c r="BY8" i="46"/>
  <c r="BY9" i="46"/>
  <c r="BY10" i="46"/>
  <c r="CG49" i="47"/>
  <c r="G49" i="46"/>
  <c r="AE9" i="46"/>
  <c r="AE8" i="46"/>
  <c r="AE10" i="46"/>
  <c r="AM49" i="47"/>
  <c r="U9" i="46"/>
  <c r="U10" i="46"/>
  <c r="U8" i="46"/>
  <c r="AC49" i="47"/>
  <c r="CA49" i="46"/>
  <c r="AS10" i="47"/>
  <c r="AS8" i="47"/>
  <c r="AS9" i="47"/>
  <c r="BG10" i="46"/>
  <c r="BG8" i="46"/>
  <c r="BG9" i="46"/>
  <c r="BO49" i="47"/>
  <c r="BQ49" i="46"/>
  <c r="W49" i="46"/>
  <c r="AU8" i="46"/>
  <c r="AU10" i="46"/>
  <c r="AU9" i="46"/>
  <c r="BC49" i="47"/>
  <c r="AO10" i="47"/>
  <c r="AO9" i="47"/>
  <c r="AO8" i="47"/>
  <c r="AW49" i="48"/>
  <c r="D44" i="47"/>
  <c r="AU8" i="48"/>
  <c r="AU10" i="48"/>
  <c r="AU9" i="48"/>
  <c r="CA9" i="49"/>
  <c r="CA8" i="49"/>
  <c r="CA10" i="49"/>
  <c r="BK9" i="47"/>
  <c r="BK8" i="47"/>
  <c r="BK10" i="47"/>
  <c r="BS49" i="48"/>
  <c r="Q9" i="47"/>
  <c r="Q10" i="47"/>
  <c r="Q8" i="47"/>
  <c r="Y49" i="48"/>
  <c r="AO10" i="48"/>
  <c r="AO8" i="48"/>
  <c r="AO9" i="48"/>
  <c r="W9" i="48"/>
  <c r="W10" i="48"/>
  <c r="W8" i="48"/>
  <c r="BC8" i="49"/>
  <c r="BC10" i="49"/>
  <c r="BC9" i="49"/>
  <c r="AM8" i="47"/>
  <c r="AM9" i="47"/>
  <c r="AM10" i="47"/>
  <c r="AU49" i="48"/>
  <c r="BW8" i="47"/>
  <c r="BW9" i="47"/>
  <c r="BW10" i="47"/>
  <c r="CE49" i="48"/>
  <c r="Y49" i="49"/>
  <c r="G49" i="49"/>
  <c r="AE10" i="49"/>
  <c r="AE8" i="49"/>
  <c r="AE9" i="49"/>
  <c r="O10" i="47"/>
  <c r="O9" i="47"/>
  <c r="O8" i="47"/>
  <c r="W49" i="48"/>
  <c r="AG10" i="48"/>
  <c r="AG9" i="48"/>
  <c r="AG8" i="48"/>
  <c r="AY10" i="47"/>
  <c r="AY8" i="47"/>
  <c r="AY9" i="47"/>
  <c r="BG49" i="48"/>
  <c r="G9" i="49"/>
  <c r="G10" i="49"/>
  <c r="G8" i="49"/>
  <c r="AY9" i="48"/>
  <c r="AY10" i="48"/>
  <c r="AY8" i="48"/>
  <c r="BG49" i="49"/>
  <c r="CE10" i="49"/>
  <c r="CE9" i="49"/>
  <c r="CE8" i="49"/>
  <c r="AK9" i="48"/>
  <c r="AK10" i="48"/>
  <c r="AK8" i="48"/>
  <c r="AS49" i="49"/>
  <c r="BQ10" i="49"/>
  <c r="BQ8" i="49"/>
  <c r="BQ9" i="49"/>
  <c r="BY49" i="50"/>
  <c r="D44" i="50"/>
  <c r="CC10" i="49"/>
  <c r="CC8" i="49"/>
  <c r="CC9" i="49"/>
  <c r="AA9" i="48"/>
  <c r="AA8" i="48"/>
  <c r="AA10" i="48"/>
  <c r="AI49" i="49"/>
  <c r="BG8" i="49"/>
  <c r="BG10" i="49"/>
  <c r="BG9" i="49"/>
  <c r="BO49" i="50"/>
  <c r="M8" i="48"/>
  <c r="M10" i="48"/>
  <c r="M9" i="48"/>
  <c r="U49" i="49"/>
  <c r="AS10" i="49"/>
  <c r="AS8" i="49"/>
  <c r="AS9" i="49"/>
  <c r="BA49" i="50"/>
  <c r="BE8" i="49"/>
  <c r="BE10" i="49"/>
  <c r="BE9" i="49"/>
  <c r="BM49" i="50"/>
  <c r="K49" i="49"/>
  <c r="AI8" i="49"/>
  <c r="AI10" i="49"/>
  <c r="AI9" i="49"/>
  <c r="AQ49" i="50"/>
  <c r="U10" i="49"/>
  <c r="U9" i="49"/>
  <c r="U8" i="49"/>
  <c r="AC49" i="50"/>
  <c r="BU9" i="50"/>
  <c r="BU10" i="50"/>
  <c r="BU8" i="50"/>
  <c r="CC49" i="51"/>
  <c r="BW9" i="50"/>
  <c r="BW8" i="50"/>
  <c r="BW10" i="50"/>
  <c r="CE49" i="51"/>
  <c r="AG10" i="49"/>
  <c r="AG8" i="49"/>
  <c r="AG9" i="49"/>
  <c r="AO49" i="50"/>
  <c r="K10" i="49"/>
  <c r="K9" i="49"/>
  <c r="K8" i="49"/>
  <c r="S49" i="50"/>
  <c r="C49" i="50"/>
  <c r="C45" i="50"/>
  <c r="AW8" i="50"/>
  <c r="AW10" i="50"/>
  <c r="AW9" i="50"/>
  <c r="BE49" i="51"/>
  <c r="AY9" i="50"/>
  <c r="AY8" i="50"/>
  <c r="AY10" i="50"/>
  <c r="BG49" i="51"/>
  <c r="C49" i="51"/>
  <c r="C45" i="51"/>
  <c r="BQ9" i="50"/>
  <c r="BQ8" i="50"/>
  <c r="BQ10" i="50"/>
  <c r="BY49" i="51"/>
  <c r="AE8" i="50"/>
  <c r="AE9" i="50"/>
  <c r="AE10" i="50"/>
  <c r="AU49" i="51"/>
  <c r="BS10" i="50"/>
  <c r="BS8" i="50"/>
  <c r="BS9" i="50"/>
  <c r="CG9" i="50"/>
  <c r="CG8" i="50"/>
  <c r="CG10" i="50"/>
  <c r="AU8" i="50"/>
  <c r="AU9" i="50"/>
  <c r="AU10" i="50"/>
  <c r="BK49" i="51"/>
  <c r="I10" i="51"/>
  <c r="I9" i="51"/>
  <c r="I8" i="51"/>
  <c r="M9" i="51"/>
  <c r="M8" i="51"/>
  <c r="M10" i="51"/>
  <c r="Q9" i="51"/>
  <c r="Q8" i="51"/>
  <c r="Q10" i="51"/>
  <c r="CG8" i="51"/>
  <c r="CG9" i="51"/>
  <c r="CG10" i="51"/>
  <c r="BS10" i="51"/>
  <c r="BS9" i="51"/>
  <c r="BS8" i="51"/>
  <c r="AU8" i="51"/>
  <c r="AU9" i="51"/>
  <c r="AU10" i="51"/>
  <c r="BK9" i="51"/>
  <c r="BK10" i="51"/>
  <c r="BK8" i="51"/>
  <c r="AO49" i="52"/>
  <c r="BU10" i="52"/>
  <c r="BU8" i="52"/>
  <c r="BU9" i="52"/>
  <c r="AM49" i="52"/>
  <c r="BM9" i="52"/>
  <c r="BM10" i="52"/>
  <c r="BM8" i="52"/>
  <c r="CC49" i="52"/>
  <c r="AA10" i="51"/>
  <c r="AA8" i="51"/>
  <c r="AA9" i="51"/>
  <c r="AI49" i="52"/>
  <c r="AW8" i="52"/>
  <c r="AW9" i="52"/>
  <c r="AW10" i="52"/>
  <c r="CA49" i="52"/>
  <c r="S9" i="52"/>
  <c r="S8" i="52"/>
  <c r="S10" i="52"/>
  <c r="BO9" i="51"/>
  <c r="BO10" i="51"/>
  <c r="BO8" i="51"/>
  <c r="BW49" i="52"/>
  <c r="BG10" i="52"/>
  <c r="BG9" i="52"/>
  <c r="BG8" i="52"/>
  <c r="BO49" i="53"/>
  <c r="AG49" i="52"/>
  <c r="AO9" i="52"/>
  <c r="AO8" i="52"/>
  <c r="AO10" i="52"/>
  <c r="AE49" i="52"/>
  <c r="AG9" i="52"/>
  <c r="AG8" i="52"/>
  <c r="AG10" i="52"/>
  <c r="AE9" i="52"/>
  <c r="AE8" i="52"/>
  <c r="AE10" i="52"/>
  <c r="AM49" i="53"/>
  <c r="BI9" i="53"/>
  <c r="BI8" i="53"/>
  <c r="BI10" i="53"/>
  <c r="M9" i="52"/>
  <c r="M10" i="52"/>
  <c r="M8" i="52"/>
  <c r="U49" i="53"/>
  <c r="BS9" i="52"/>
  <c r="BS10" i="52"/>
  <c r="BS8" i="52"/>
  <c r="CA49" i="53"/>
  <c r="CG8" i="52"/>
  <c r="CG9" i="52"/>
  <c r="CG10" i="52"/>
  <c r="O9" i="52"/>
  <c r="O8" i="52"/>
  <c r="O10" i="52"/>
  <c r="W49" i="53"/>
  <c r="AS8" i="53"/>
  <c r="AS10" i="53"/>
  <c r="AS9" i="53"/>
  <c r="AC9" i="52"/>
  <c r="AC10" i="52"/>
  <c r="AC8" i="52"/>
  <c r="AK49" i="53"/>
  <c r="O8" i="53"/>
  <c r="O9" i="53"/>
  <c r="O10" i="53"/>
  <c r="AG8" i="53"/>
  <c r="AG9" i="53"/>
  <c r="AG10" i="53"/>
  <c r="S9" i="53"/>
  <c r="S8" i="53"/>
  <c r="S10" i="53"/>
  <c r="I10" i="53"/>
  <c r="I8" i="53"/>
  <c r="I9" i="53"/>
  <c r="BK10" i="53"/>
  <c r="BK8" i="53"/>
  <c r="BK9" i="53"/>
  <c r="CC10" i="53"/>
  <c r="CC9" i="53"/>
  <c r="CC8" i="53"/>
  <c r="BS9" i="53"/>
  <c r="BS10" i="53"/>
  <c r="BS8" i="53"/>
  <c r="AS49" i="54"/>
  <c r="AM49" i="54"/>
  <c r="CA49" i="54"/>
  <c r="Q49" i="54"/>
  <c r="AY10" i="53"/>
  <c r="AY8" i="53"/>
  <c r="AY9" i="53"/>
  <c r="BQ49" i="54"/>
  <c r="W49" i="54"/>
  <c r="G8" i="54"/>
  <c r="G9" i="54"/>
  <c r="G10" i="54"/>
  <c r="BG10" i="54"/>
  <c r="BG8" i="54"/>
  <c r="BG9" i="54"/>
  <c r="BU9" i="54"/>
  <c r="BU10" i="54"/>
  <c r="BU8" i="54"/>
  <c r="AI9" i="54"/>
  <c r="AI8" i="54"/>
  <c r="AI10" i="54"/>
  <c r="AW8" i="54"/>
  <c r="AW10" i="54"/>
  <c r="AW9" i="54"/>
  <c r="K9" i="54"/>
  <c r="K8" i="54"/>
  <c r="K10" i="54"/>
  <c r="BY10" i="54"/>
  <c r="BY8" i="54"/>
  <c r="BY9" i="54"/>
  <c r="BK10" i="54"/>
  <c r="BK9" i="54"/>
  <c r="BK8" i="54"/>
  <c r="Y10" i="54"/>
  <c r="Y8" i="54"/>
  <c r="Y9" i="54"/>
  <c r="BA10" i="54"/>
  <c r="BA8" i="54"/>
  <c r="BA9" i="54"/>
  <c r="I8" i="44"/>
  <c r="I10" i="44"/>
  <c r="I9" i="44"/>
  <c r="M8" i="44"/>
  <c r="M10" i="44"/>
  <c r="M9" i="44"/>
  <c r="C10" i="44"/>
  <c r="BW49" i="44"/>
  <c r="C9" i="44"/>
  <c r="BE49" i="44"/>
  <c r="AY49" i="44"/>
  <c r="CA49" i="44"/>
  <c r="Q49" i="44"/>
  <c r="BA49" i="44"/>
  <c r="BG10" i="44"/>
  <c r="BG9" i="44"/>
  <c r="W49" i="44"/>
  <c r="BS10" i="44"/>
  <c r="BS9" i="44"/>
  <c r="AA49" i="44"/>
  <c r="AO10" i="44"/>
  <c r="AO9" i="44"/>
  <c r="AM10" i="44"/>
  <c r="AM9" i="44"/>
  <c r="BM49" i="44"/>
  <c r="AK10" i="44"/>
  <c r="AK9" i="44"/>
  <c r="AI49" i="44"/>
  <c r="Y10" i="44"/>
  <c r="Y9" i="44"/>
  <c r="CG9" i="44"/>
  <c r="CG10" i="44"/>
  <c r="AU9" i="44"/>
  <c r="AU10" i="44"/>
  <c r="G49" i="44"/>
  <c r="S9" i="44"/>
  <c r="S10" i="44"/>
  <c r="BG49" i="44"/>
  <c r="AS10" i="44"/>
  <c r="AS9" i="44"/>
  <c r="BI49" i="44"/>
  <c r="CE49" i="44"/>
  <c r="BQ10" i="44"/>
  <c r="BQ9" i="44"/>
  <c r="BO49" i="44"/>
  <c r="S49" i="44"/>
  <c r="BW9" i="44"/>
  <c r="BW10" i="44"/>
  <c r="AK49" i="44"/>
  <c r="U10" i="44"/>
  <c r="U9" i="44"/>
  <c r="C49" i="44"/>
  <c r="C45" i="44"/>
  <c r="CE9" i="44"/>
  <c r="CE10" i="44"/>
  <c r="K49" i="44"/>
  <c r="AO49" i="44"/>
  <c r="AM49" i="44"/>
  <c r="Q10" i="44"/>
  <c r="Q9" i="44"/>
  <c r="O10" i="44"/>
  <c r="O9" i="44"/>
  <c r="BA10" i="44"/>
  <c r="BA9" i="44"/>
  <c r="C49" i="33"/>
  <c r="AQ9" i="44"/>
  <c r="AQ10" i="44"/>
  <c r="BC10" i="44"/>
  <c r="BC9" i="44"/>
  <c r="U49" i="44"/>
  <c r="AS49" i="44"/>
  <c r="CC49" i="44"/>
  <c r="BK49" i="44"/>
  <c r="AU49" i="44"/>
  <c r="BU9" i="44"/>
  <c r="BU10" i="44"/>
  <c r="G10" i="44"/>
  <c r="G9" i="44"/>
  <c r="AG49" i="44"/>
  <c r="BE10" i="44"/>
  <c r="BE9" i="44"/>
  <c r="BK9" i="44"/>
  <c r="BK10" i="44"/>
  <c r="BU49" i="44"/>
  <c r="I49" i="44"/>
  <c r="BY49" i="44"/>
  <c r="BO10" i="44"/>
  <c r="BO9" i="44"/>
  <c r="AI10" i="44"/>
  <c r="AI9" i="44"/>
  <c r="W10" i="44"/>
  <c r="W9" i="44"/>
  <c r="AW49" i="44"/>
  <c r="O49" i="44"/>
  <c r="Y49" i="44"/>
  <c r="BC49" i="44"/>
  <c r="BY10" i="44"/>
  <c r="BY9" i="44"/>
  <c r="K10" i="44"/>
  <c r="K9" i="44"/>
  <c r="AC10" i="44"/>
  <c r="AC9" i="44"/>
  <c r="AC49" i="44"/>
  <c r="BQ49" i="44"/>
  <c r="CC10" i="44"/>
  <c r="CC9" i="44"/>
  <c r="AA10" i="44"/>
  <c r="AA9" i="44"/>
  <c r="AQ49" i="44"/>
  <c r="AW9" i="44"/>
  <c r="AW10" i="44"/>
  <c r="CA10" i="44"/>
  <c r="CA9" i="44"/>
  <c r="AE10" i="44"/>
  <c r="AE9" i="44"/>
  <c r="BS49" i="44"/>
  <c r="BI10" i="44"/>
  <c r="BI9" i="44"/>
  <c r="AY10" i="44"/>
  <c r="AY9" i="44"/>
  <c r="AE49" i="44"/>
  <c r="BM10" i="44"/>
  <c r="BM9" i="44"/>
  <c r="AG10" i="44"/>
  <c r="AG9" i="44"/>
  <c r="CG49" i="44"/>
  <c r="M49" i="44"/>
  <c r="AA43" i="33"/>
  <c r="AA37" i="33"/>
  <c r="AA33" i="33"/>
  <c r="AA27" i="33"/>
  <c r="AA41" i="33"/>
  <c r="AA36" i="33"/>
  <c r="AA35" i="33"/>
  <c r="AA34" i="33"/>
  <c r="AA20" i="33"/>
  <c r="AA15" i="33"/>
  <c r="AA19" i="33"/>
  <c r="AA14" i="33"/>
  <c r="AA18" i="33"/>
  <c r="AA38" i="33"/>
  <c r="AA26" i="33"/>
  <c r="AA24" i="33"/>
  <c r="AA23" i="33"/>
  <c r="AA40" i="33"/>
  <c r="AA32" i="33"/>
  <c r="AA17" i="33"/>
  <c r="AA29" i="33"/>
  <c r="AA30" i="33"/>
  <c r="AA22" i="33"/>
  <c r="Y38" i="33"/>
  <c r="Y34" i="33"/>
  <c r="Y29" i="33"/>
  <c r="Y23" i="33"/>
  <c r="Y43" i="33"/>
  <c r="Y41" i="33"/>
  <c r="Y40" i="33"/>
  <c r="Y33" i="33"/>
  <c r="Y32" i="33"/>
  <c r="Y30" i="33"/>
  <c r="Y22" i="33"/>
  <c r="Y17" i="33"/>
  <c r="Y20" i="33"/>
  <c r="Y15" i="33"/>
  <c r="Y37" i="33"/>
  <c r="Y36" i="33"/>
  <c r="Y35" i="33"/>
  <c r="Y14" i="33"/>
  <c r="Y19" i="33"/>
  <c r="Y26" i="33"/>
  <c r="Y27" i="33"/>
  <c r="Y24" i="33"/>
  <c r="Y18" i="33"/>
  <c r="AF21" i="19"/>
  <c r="AF20" i="19"/>
  <c r="AF19" i="19"/>
  <c r="AF18" i="19"/>
  <c r="AF17" i="19"/>
  <c r="X6" i="3"/>
  <c r="E6" i="24"/>
  <c r="X16" i="3"/>
  <c r="W16" i="3"/>
  <c r="V16" i="3"/>
  <c r="U16" i="3"/>
  <c r="T16" i="3"/>
  <c r="X15" i="3"/>
  <c r="W15" i="3"/>
  <c r="V15" i="3"/>
  <c r="U15" i="3"/>
  <c r="T15" i="3"/>
  <c r="E5" i="24"/>
  <c r="A10" i="33"/>
  <c r="A9" i="33"/>
  <c r="A8" i="33"/>
  <c r="X31" i="3"/>
  <c r="X30" i="3"/>
  <c r="X29" i="3"/>
  <c r="X24" i="3"/>
  <c r="X20" i="3"/>
  <c r="X23" i="3"/>
  <c r="X17" i="3"/>
  <c r="X13" i="3"/>
  <c r="X11" i="3"/>
  <c r="X28" i="3"/>
  <c r="X27" i="3"/>
  <c r="X26" i="3"/>
  <c r="X22" i="3"/>
  <c r="X19" i="3"/>
  <c r="X12" i="3"/>
  <c r="X9" i="3"/>
  <c r="X7" i="3"/>
  <c r="D26" i="24"/>
  <c r="CC11" i="53" l="1"/>
  <c r="BG11" i="52"/>
  <c r="BE11" i="45"/>
  <c r="U11" i="45"/>
  <c r="AG11" i="52"/>
  <c r="AW11" i="50"/>
  <c r="AI11" i="54"/>
  <c r="BK11" i="53"/>
  <c r="AS11" i="53"/>
  <c r="AO11" i="52"/>
  <c r="AU11" i="51"/>
  <c r="BS11" i="53"/>
  <c r="BS11" i="51"/>
  <c r="I11" i="51"/>
  <c r="K11" i="49"/>
  <c r="BU11" i="50"/>
  <c r="U11" i="49"/>
  <c r="AY11" i="49"/>
  <c r="BU11" i="49"/>
  <c r="G11" i="47"/>
  <c r="I11" i="47"/>
  <c r="CA11" i="52"/>
  <c r="AQ11" i="52"/>
  <c r="CC11" i="51"/>
  <c r="AS11" i="50"/>
  <c r="AW11" i="48"/>
  <c r="AE11" i="47"/>
  <c r="O11" i="46"/>
  <c r="BQ11" i="46"/>
  <c r="AI11" i="52"/>
  <c r="CE11" i="52"/>
  <c r="AE11" i="51"/>
  <c r="BU11" i="51"/>
  <c r="BY11" i="48"/>
  <c r="BE11" i="49"/>
  <c r="M11" i="48"/>
  <c r="AO11" i="47"/>
  <c r="AQ11" i="46"/>
  <c r="BC11" i="46"/>
  <c r="CC11" i="45"/>
  <c r="AI11" i="53"/>
  <c r="BA11" i="52"/>
  <c r="AC11" i="53"/>
  <c r="CA11" i="51"/>
  <c r="AM11" i="50"/>
  <c r="BS11" i="52"/>
  <c r="M11" i="52"/>
  <c r="AY11" i="48"/>
  <c r="Q11" i="47"/>
  <c r="BQ11" i="52"/>
  <c r="BW11" i="51"/>
  <c r="CC11" i="52"/>
  <c r="AM11" i="54"/>
  <c r="Y11" i="47"/>
  <c r="AW11" i="49"/>
  <c r="BA11" i="53"/>
  <c r="W11" i="52"/>
  <c r="CE11" i="51"/>
  <c r="AK11" i="51"/>
  <c r="AK11" i="50"/>
  <c r="BI11" i="48"/>
  <c r="BW11" i="48"/>
  <c r="BO11" i="51"/>
  <c r="S11" i="52"/>
  <c r="AA11" i="51"/>
  <c r="BU11" i="52"/>
  <c r="S11" i="49"/>
  <c r="Q11" i="48"/>
  <c r="AI11" i="47"/>
  <c r="CC11" i="47"/>
  <c r="W11" i="47"/>
  <c r="CG11" i="46"/>
  <c r="AY11" i="46"/>
  <c r="BI11" i="47"/>
  <c r="AQ11" i="45"/>
  <c r="BI11" i="45"/>
  <c r="AU11" i="53"/>
  <c r="AI11" i="45"/>
  <c r="AY11" i="47"/>
  <c r="BC11" i="49"/>
  <c r="CA11" i="49"/>
  <c r="AU11" i="48"/>
  <c r="Q11" i="51"/>
  <c r="BS11" i="50"/>
  <c r="BQ11" i="50"/>
  <c r="BQ11" i="45"/>
  <c r="AE11" i="45"/>
  <c r="BC11" i="45"/>
  <c r="AW11" i="45"/>
  <c r="I11" i="54"/>
  <c r="CG11" i="48"/>
  <c r="BM11" i="50"/>
  <c r="M11" i="49"/>
  <c r="AA11" i="49"/>
  <c r="BO11" i="49"/>
  <c r="BY11" i="49"/>
  <c r="BG11" i="48"/>
  <c r="BQ11" i="48"/>
  <c r="BI11" i="51"/>
  <c r="AC11" i="49"/>
  <c r="CE11" i="47"/>
  <c r="BS11" i="47"/>
  <c r="BE11" i="48"/>
  <c r="U11" i="47"/>
  <c r="BY11" i="47"/>
  <c r="AC11" i="47"/>
  <c r="BQ11" i="49"/>
  <c r="AE11" i="46"/>
  <c r="BO11" i="46"/>
  <c r="BY11" i="45"/>
  <c r="I11" i="45"/>
  <c r="I11" i="46"/>
  <c r="AG11" i="45"/>
  <c r="BE11" i="46"/>
  <c r="U11" i="54"/>
  <c r="BE11" i="53"/>
  <c r="CE11" i="46"/>
  <c r="AS11" i="46"/>
  <c r="AY11" i="54"/>
  <c r="BI11" i="50"/>
  <c r="BI11" i="49"/>
  <c r="AQ11" i="48"/>
  <c r="CG11" i="49"/>
  <c r="BA11" i="48"/>
  <c r="BG11" i="50"/>
  <c r="AG11" i="47"/>
  <c r="O11" i="49"/>
  <c r="BG11" i="53"/>
  <c r="U11" i="53"/>
  <c r="AO11" i="51"/>
  <c r="M11" i="50"/>
  <c r="K11" i="48"/>
  <c r="BM11" i="49"/>
  <c r="BS11" i="45"/>
  <c r="AO11" i="46"/>
  <c r="BM11" i="46"/>
  <c r="CE11" i="45"/>
  <c r="O11" i="45"/>
  <c r="BK11" i="54"/>
  <c r="BY11" i="54"/>
  <c r="I11" i="53"/>
  <c r="AC11" i="52"/>
  <c r="O11" i="52"/>
  <c r="CG11" i="52"/>
  <c r="BM11" i="52"/>
  <c r="BK11" i="51"/>
  <c r="M11" i="51"/>
  <c r="AU11" i="50"/>
  <c r="AY11" i="50"/>
  <c r="AI11" i="49"/>
  <c r="AS11" i="49"/>
  <c r="AA11" i="48"/>
  <c r="CE11" i="49"/>
  <c r="AG11" i="48"/>
  <c r="O11" i="47"/>
  <c r="AE11" i="49"/>
  <c r="BG11" i="46"/>
  <c r="U11" i="46"/>
  <c r="AM11" i="45"/>
  <c r="AG11" i="46"/>
  <c r="AE11" i="54"/>
  <c r="AS11" i="54"/>
  <c r="BC11" i="54"/>
  <c r="BQ11" i="54"/>
  <c r="AA11" i="54"/>
  <c r="BM11" i="54"/>
  <c r="AM11" i="53"/>
  <c r="AE11" i="53"/>
  <c r="CG11" i="53"/>
  <c r="BC11" i="52"/>
  <c r="AA11" i="52"/>
  <c r="W11" i="51"/>
  <c r="G11" i="51"/>
  <c r="U11" i="51"/>
  <c r="O11" i="50"/>
  <c r="S11" i="50"/>
  <c r="Q11" i="50"/>
  <c r="AQ11" i="50"/>
  <c r="Y11" i="49"/>
  <c r="C9" i="48"/>
  <c r="C10" i="48"/>
  <c r="C8" i="48"/>
  <c r="M11" i="47"/>
  <c r="BS11" i="46"/>
  <c r="CC11" i="46"/>
  <c r="AS11" i="45"/>
  <c r="BW11" i="45"/>
  <c r="Y11" i="45"/>
  <c r="Y11" i="46"/>
  <c r="CA11" i="45"/>
  <c r="M11" i="54"/>
  <c r="AK11" i="54"/>
  <c r="AG11" i="54"/>
  <c r="Y11" i="53"/>
  <c r="BC11" i="53"/>
  <c r="U11" i="52"/>
  <c r="BY11" i="52"/>
  <c r="AQ11" i="51"/>
  <c r="AC11" i="51"/>
  <c r="BQ11" i="51"/>
  <c r="G11" i="50"/>
  <c r="C8" i="50"/>
  <c r="C9" i="50"/>
  <c r="C10" i="50"/>
  <c r="AC11" i="48"/>
  <c r="K11" i="50"/>
  <c r="I11" i="50"/>
  <c r="BO11" i="48"/>
  <c r="Q11" i="49"/>
  <c r="AO11" i="49"/>
  <c r="BK11" i="48"/>
  <c r="K11" i="47"/>
  <c r="BE11" i="47"/>
  <c r="BM11" i="48"/>
  <c r="AC11" i="46"/>
  <c r="AK11" i="47"/>
  <c r="M11" i="46"/>
  <c r="AK11" i="46"/>
  <c r="AW11" i="46"/>
  <c r="BU11" i="45"/>
  <c r="CG11" i="54"/>
  <c r="AQ11" i="54"/>
  <c r="BO11" i="54"/>
  <c r="W11" i="53"/>
  <c r="BO11" i="53"/>
  <c r="BI11" i="52"/>
  <c r="BY11" i="53"/>
  <c r="AU11" i="52"/>
  <c r="C9" i="52"/>
  <c r="C8" i="52"/>
  <c r="C10" i="52"/>
  <c r="AY11" i="52"/>
  <c r="BK11" i="50"/>
  <c r="CE11" i="50"/>
  <c r="AA11" i="50"/>
  <c r="Y11" i="50"/>
  <c r="AE11" i="48"/>
  <c r="BM11" i="45"/>
  <c r="BG11" i="49"/>
  <c r="G11" i="49"/>
  <c r="CE11" i="54"/>
  <c r="CA11" i="54"/>
  <c r="AQ11" i="53"/>
  <c r="AW11" i="53"/>
  <c r="M11" i="53"/>
  <c r="BQ11" i="53"/>
  <c r="AM11" i="52"/>
  <c r="BO11" i="52"/>
  <c r="AI11" i="51"/>
  <c r="BW11" i="52"/>
  <c r="BE11" i="51"/>
  <c r="BC11" i="50"/>
  <c r="AO11" i="50"/>
  <c r="BO11" i="50"/>
  <c r="S11" i="48"/>
  <c r="S11" i="45"/>
  <c r="W11" i="54"/>
  <c r="AS11" i="51"/>
  <c r="Y11" i="51"/>
  <c r="BE11" i="52"/>
  <c r="BC11" i="51"/>
  <c r="BS11" i="49"/>
  <c r="AM11" i="48"/>
  <c r="CA11" i="47"/>
  <c r="BG11" i="47"/>
  <c r="M11" i="45"/>
  <c r="BU11" i="46"/>
  <c r="BO11" i="45"/>
  <c r="AU11" i="45"/>
  <c r="BE11" i="54"/>
  <c r="C8" i="54"/>
  <c r="C9" i="54"/>
  <c r="C10" i="54"/>
  <c r="CE11" i="53"/>
  <c r="AA11" i="53"/>
  <c r="BM11" i="53"/>
  <c r="K11" i="51"/>
  <c r="K11" i="52"/>
  <c r="S11" i="51"/>
  <c r="AW11" i="51"/>
  <c r="BY11" i="51"/>
  <c r="BA11" i="51"/>
  <c r="AC11" i="50"/>
  <c r="CC11" i="50"/>
  <c r="AQ11" i="49"/>
  <c r="BA11" i="49"/>
  <c r="U11" i="48"/>
  <c r="AI11" i="48"/>
  <c r="AM11" i="49"/>
  <c r="AU11" i="47"/>
  <c r="BK11" i="49"/>
  <c r="BU11" i="48"/>
  <c r="AW11" i="47"/>
  <c r="CA11" i="48"/>
  <c r="BA11" i="46"/>
  <c r="S11" i="46"/>
  <c r="C8" i="47"/>
  <c r="C9" i="47"/>
  <c r="C10" i="47"/>
  <c r="BW11" i="46"/>
  <c r="AO11" i="45"/>
  <c r="AC11" i="45"/>
  <c r="Y11" i="54"/>
  <c r="O11" i="53"/>
  <c r="BI11" i="53"/>
  <c r="AE11" i="52"/>
  <c r="AW11" i="52"/>
  <c r="CG11" i="50"/>
  <c r="AE11" i="50"/>
  <c r="BK11" i="45"/>
  <c r="AA11" i="45"/>
  <c r="BY11" i="50"/>
  <c r="AK11" i="49"/>
  <c r="BS11" i="48"/>
  <c r="BM11" i="47"/>
  <c r="W11" i="49"/>
  <c r="BO11" i="47"/>
  <c r="AU11" i="49"/>
  <c r="BC11" i="47"/>
  <c r="Y11" i="48"/>
  <c r="W11" i="46"/>
  <c r="BI11" i="54"/>
  <c r="K11" i="53"/>
  <c r="Q11" i="53"/>
  <c r="BW11" i="53"/>
  <c r="CA11" i="53"/>
  <c r="AM11" i="51"/>
  <c r="C8" i="49"/>
  <c r="C9" i="49"/>
  <c r="C10" i="49"/>
  <c r="BA11" i="47"/>
  <c r="AM11" i="46"/>
  <c r="AK11" i="45"/>
  <c r="W11" i="45"/>
  <c r="CG11" i="45"/>
  <c r="Q11" i="45"/>
  <c r="S11" i="54"/>
  <c r="CC11" i="54"/>
  <c r="O11" i="54"/>
  <c r="AC11" i="54"/>
  <c r="AO11" i="53"/>
  <c r="C10" i="53"/>
  <c r="C9" i="53"/>
  <c r="C8" i="53"/>
  <c r="AS11" i="52"/>
  <c r="BK11" i="52"/>
  <c r="I11" i="52"/>
  <c r="BG11" i="51"/>
  <c r="Q11" i="52"/>
  <c r="CA11" i="50"/>
  <c r="AS11" i="48"/>
  <c r="CE11" i="48"/>
  <c r="I11" i="49"/>
  <c r="G11" i="48"/>
  <c r="BC11" i="48"/>
  <c r="BU11" i="47"/>
  <c r="G11" i="46"/>
  <c r="C9" i="46"/>
  <c r="C8" i="46"/>
  <c r="C10" i="46"/>
  <c r="C8" i="45"/>
  <c r="C10" i="45"/>
  <c r="C9" i="45"/>
  <c r="BA11" i="54"/>
  <c r="K11" i="54"/>
  <c r="AW11" i="54"/>
  <c r="BU11" i="54"/>
  <c r="BG11" i="54"/>
  <c r="G11" i="54"/>
  <c r="AY11" i="53"/>
  <c r="S11" i="53"/>
  <c r="AG11" i="53"/>
  <c r="CG11" i="51"/>
  <c r="AG11" i="49"/>
  <c r="BW11" i="50"/>
  <c r="CC11" i="49"/>
  <c r="AK11" i="48"/>
  <c r="BW11" i="47"/>
  <c r="AM11" i="47"/>
  <c r="W11" i="48"/>
  <c r="AO11" i="48"/>
  <c r="BK11" i="47"/>
  <c r="AU11" i="46"/>
  <c r="AS11" i="47"/>
  <c r="BY11" i="46"/>
  <c r="AY11" i="45"/>
  <c r="Q11" i="54"/>
  <c r="AO11" i="54"/>
  <c r="BM11" i="51"/>
  <c r="BA11" i="50"/>
  <c r="S11" i="47"/>
  <c r="AQ11" i="47"/>
  <c r="O11" i="48"/>
  <c r="I11" i="48"/>
  <c r="CG11" i="47"/>
  <c r="BI11" i="46"/>
  <c r="AA11" i="46"/>
  <c r="BQ11" i="47"/>
  <c r="K11" i="46"/>
  <c r="AI11" i="46"/>
  <c r="G11" i="45"/>
  <c r="BW11" i="54"/>
  <c r="AU11" i="54"/>
  <c r="BS11" i="54"/>
  <c r="G11" i="53"/>
  <c r="BU11" i="53"/>
  <c r="AK11" i="53"/>
  <c r="G11" i="52"/>
  <c r="AK11" i="52"/>
  <c r="AY11" i="51"/>
  <c r="AG11" i="51"/>
  <c r="O11" i="51"/>
  <c r="Y11" i="52"/>
  <c r="U11" i="50"/>
  <c r="W11" i="50"/>
  <c r="BW11" i="49"/>
  <c r="AI11" i="50"/>
  <c r="AG11" i="50"/>
  <c r="BE11" i="50"/>
  <c r="C10" i="51"/>
  <c r="C8" i="51"/>
  <c r="C9" i="51"/>
  <c r="CC11" i="48"/>
  <c r="AA11" i="47"/>
  <c r="CA11" i="46"/>
  <c r="BK11" i="46"/>
  <c r="Q11" i="46"/>
  <c r="K11" i="45"/>
  <c r="BG11" i="45"/>
  <c r="BA11" i="45"/>
  <c r="C11" i="44"/>
  <c r="C46" i="44" s="1"/>
  <c r="CA11" i="44"/>
  <c r="AO11" i="44"/>
  <c r="BW11" i="44"/>
  <c r="M11" i="44"/>
  <c r="BQ11" i="44"/>
  <c r="U11" i="44"/>
  <c r="BC11" i="44"/>
  <c r="AQ11" i="44"/>
  <c r="BY11" i="44"/>
  <c r="AI11" i="44"/>
  <c r="G11" i="44"/>
  <c r="AS11" i="44"/>
  <c r="AU11" i="44"/>
  <c r="BU11" i="44"/>
  <c r="AG11" i="44"/>
  <c r="AY11" i="44"/>
  <c r="AA11" i="44"/>
  <c r="I11" i="44"/>
  <c r="BI11" i="44"/>
  <c r="AE11" i="44"/>
  <c r="CC11" i="44"/>
  <c r="K11" i="44"/>
  <c r="BE11" i="44"/>
  <c r="BA11" i="44"/>
  <c r="Y11" i="44"/>
  <c r="AK11" i="44"/>
  <c r="AM11" i="44"/>
  <c r="BS11" i="44"/>
  <c r="BG11" i="44"/>
  <c r="BM11" i="44"/>
  <c r="AW11" i="44"/>
  <c r="AC11" i="44"/>
  <c r="W11" i="44"/>
  <c r="BO11" i="44"/>
  <c r="BK11" i="44"/>
  <c r="O11" i="44"/>
  <c r="Q11" i="44"/>
  <c r="CE11" i="44"/>
  <c r="S11" i="44"/>
  <c r="CG11" i="44"/>
  <c r="AA49" i="33"/>
  <c r="Y49" i="33"/>
  <c r="CF4" i="33"/>
  <c r="CD4" i="33"/>
  <c r="CB4" i="33"/>
  <c r="BZ4" i="33"/>
  <c r="BX4" i="33"/>
  <c r="BV4" i="33"/>
  <c r="BT4" i="33"/>
  <c r="BR4" i="33"/>
  <c r="BP4" i="33"/>
  <c r="BN4" i="33"/>
  <c r="BL4" i="33"/>
  <c r="BJ4" i="33"/>
  <c r="BH4" i="33"/>
  <c r="BF4" i="33"/>
  <c r="BD4" i="33"/>
  <c r="BB4" i="33"/>
  <c r="AZ4" i="33"/>
  <c r="AX4" i="33"/>
  <c r="AV4" i="33"/>
  <c r="AT4" i="33"/>
  <c r="AR4" i="33"/>
  <c r="AP4" i="33"/>
  <c r="AN4" i="33"/>
  <c r="AL4" i="33"/>
  <c r="AJ4" i="33"/>
  <c r="AH4" i="33"/>
  <c r="AF4" i="33"/>
  <c r="AD4" i="33"/>
  <c r="AB4" i="33"/>
  <c r="V4" i="33"/>
  <c r="T4" i="33"/>
  <c r="R4" i="33"/>
  <c r="P4" i="33"/>
  <c r="N4" i="33"/>
  <c r="L4" i="33"/>
  <c r="J4" i="33"/>
  <c r="H4" i="33"/>
  <c r="DR21" i="19"/>
  <c r="AI21" i="19"/>
  <c r="DN21" i="19" s="1"/>
  <c r="AI20" i="19"/>
  <c r="DN20" i="19" s="1"/>
  <c r="AI18" i="19"/>
  <c r="DN18" i="19" s="1"/>
  <c r="F4" i="33"/>
  <c r="AT325" i="19"/>
  <c r="DW325" i="19" s="1"/>
  <c r="AP325" i="19"/>
  <c r="DS325" i="19" s="1"/>
  <c r="AT324" i="19"/>
  <c r="DW324" i="19" s="1"/>
  <c r="AP324" i="19"/>
  <c r="DS324" i="19" s="1"/>
  <c r="AT323" i="19"/>
  <c r="DW323" i="19" s="1"/>
  <c r="AP323" i="19"/>
  <c r="DS323" i="19" s="1"/>
  <c r="AT322" i="19"/>
  <c r="DW322" i="19" s="1"/>
  <c r="AV321" i="19"/>
  <c r="DB43" i="35" s="1"/>
  <c r="AU321" i="19"/>
  <c r="DA43" i="35" s="1"/>
  <c r="AT321" i="19"/>
  <c r="AP321" i="19"/>
  <c r="AT317" i="19"/>
  <c r="DW317" i="19" s="1"/>
  <c r="AP317" i="19"/>
  <c r="DS317" i="19" s="1"/>
  <c r="AT316" i="19"/>
  <c r="DW316" i="19" s="1"/>
  <c r="AP316" i="19"/>
  <c r="DS316" i="19" s="1"/>
  <c r="AT315" i="19"/>
  <c r="DW315" i="19" s="1"/>
  <c r="AP315" i="19"/>
  <c r="DS315" i="19" s="1"/>
  <c r="AT314" i="19"/>
  <c r="DW314" i="19" s="1"/>
  <c r="AV313" i="19"/>
  <c r="DB42" i="35" s="1"/>
  <c r="AU313" i="19"/>
  <c r="DA42" i="35" s="1"/>
  <c r="AT313" i="19"/>
  <c r="AP313" i="19"/>
  <c r="AT309" i="19"/>
  <c r="DW309" i="19" s="1"/>
  <c r="AP309" i="19"/>
  <c r="DS309" i="19" s="1"/>
  <c r="AT308" i="19"/>
  <c r="DW308" i="19" s="1"/>
  <c r="AP308" i="19"/>
  <c r="DS308" i="19" s="1"/>
  <c r="AT307" i="19"/>
  <c r="DW307" i="19" s="1"/>
  <c r="AP307" i="19"/>
  <c r="DS307" i="19" s="1"/>
  <c r="AT306" i="19"/>
  <c r="DW306" i="19" s="1"/>
  <c r="AP306" i="19"/>
  <c r="DS306" i="19" s="1"/>
  <c r="AV305" i="19"/>
  <c r="DB41" i="35" s="1"/>
  <c r="AU305" i="19"/>
  <c r="DA41" i="35" s="1"/>
  <c r="AT305" i="19"/>
  <c r="AP305" i="19"/>
  <c r="AT301" i="19"/>
  <c r="DW301" i="19" s="1"/>
  <c r="AP301" i="19"/>
  <c r="DS301" i="19" s="1"/>
  <c r="AT300" i="19"/>
  <c r="DW300" i="19" s="1"/>
  <c r="AP300" i="19"/>
  <c r="DS300" i="19" s="1"/>
  <c r="AT299" i="19"/>
  <c r="DW299" i="19" s="1"/>
  <c r="AT298" i="19"/>
  <c r="DW298" i="19" s="1"/>
  <c r="AV297" i="19"/>
  <c r="DB40" i="35" s="1"/>
  <c r="AU297" i="19"/>
  <c r="DA40" i="35" s="1"/>
  <c r="AT297" i="19"/>
  <c r="AT293" i="19"/>
  <c r="DW293" i="19" s="1"/>
  <c r="AP293" i="19"/>
  <c r="DS293" i="19" s="1"/>
  <c r="AT292" i="19"/>
  <c r="DW292" i="19" s="1"/>
  <c r="AP292" i="19"/>
  <c r="DS292" i="19" s="1"/>
  <c r="AT291" i="19"/>
  <c r="DW291" i="19" s="1"/>
  <c r="AT290" i="19"/>
  <c r="DW290" i="19" s="1"/>
  <c r="AV289" i="19"/>
  <c r="DB39" i="35" s="1"/>
  <c r="AU289" i="19"/>
  <c r="DA39" i="35" s="1"/>
  <c r="AT289" i="19"/>
  <c r="AP289" i="19"/>
  <c r="AT285" i="19"/>
  <c r="DW285" i="19" s="1"/>
  <c r="AP285" i="19"/>
  <c r="DS285" i="19" s="1"/>
  <c r="AT284" i="19"/>
  <c r="DW284" i="19" s="1"/>
  <c r="AP284" i="19"/>
  <c r="DS284" i="19" s="1"/>
  <c r="AT283" i="19"/>
  <c r="DW283" i="19" s="1"/>
  <c r="AP283" i="19"/>
  <c r="DS283" i="19" s="1"/>
  <c r="AT282" i="19"/>
  <c r="DW282" i="19" s="1"/>
  <c r="AP282" i="19"/>
  <c r="DS282" i="19" s="1"/>
  <c r="AV281" i="19"/>
  <c r="DB38" i="35" s="1"/>
  <c r="AU281" i="19"/>
  <c r="DA38" i="35" s="1"/>
  <c r="AT281" i="19"/>
  <c r="AP281" i="19"/>
  <c r="AT277" i="19"/>
  <c r="DW277" i="19" s="1"/>
  <c r="AP277" i="19"/>
  <c r="DS277" i="19" s="1"/>
  <c r="AT276" i="19"/>
  <c r="DW276" i="19" s="1"/>
  <c r="AP276" i="19"/>
  <c r="DS276" i="19" s="1"/>
  <c r="AT275" i="19"/>
  <c r="DW275" i="19" s="1"/>
  <c r="AP275" i="19"/>
  <c r="DS275" i="19" s="1"/>
  <c r="AT274" i="19"/>
  <c r="DW274" i="19" s="1"/>
  <c r="AP274" i="19"/>
  <c r="DS274" i="19" s="1"/>
  <c r="AV273" i="19"/>
  <c r="DB37" i="35" s="1"/>
  <c r="AU273" i="19"/>
  <c r="DA37" i="35" s="1"/>
  <c r="AT273" i="19"/>
  <c r="AP273" i="19"/>
  <c r="AT269" i="19"/>
  <c r="DW269" i="19" s="1"/>
  <c r="AP269" i="19"/>
  <c r="DS269" i="19" s="1"/>
  <c r="AT268" i="19"/>
  <c r="DW268" i="19" s="1"/>
  <c r="AP268" i="19"/>
  <c r="DS268" i="19" s="1"/>
  <c r="AT267" i="19"/>
  <c r="DW267" i="19" s="1"/>
  <c r="AP267" i="19"/>
  <c r="DS267" i="19" s="1"/>
  <c r="AT266" i="19"/>
  <c r="DW266" i="19" s="1"/>
  <c r="AP266" i="19"/>
  <c r="DS266" i="19" s="1"/>
  <c r="AV265" i="19"/>
  <c r="DB36" i="35" s="1"/>
  <c r="AU265" i="19"/>
  <c r="DA36" i="35" s="1"/>
  <c r="AT265" i="19"/>
  <c r="AP265" i="19"/>
  <c r="AT261" i="19"/>
  <c r="DW261" i="19" s="1"/>
  <c r="AP261" i="19"/>
  <c r="DS261" i="19" s="1"/>
  <c r="AT260" i="19"/>
  <c r="DW260" i="19" s="1"/>
  <c r="AP260" i="19"/>
  <c r="DS260" i="19" s="1"/>
  <c r="AT259" i="19"/>
  <c r="DW259" i="19" s="1"/>
  <c r="AP259" i="19"/>
  <c r="DS259" i="19" s="1"/>
  <c r="AT258" i="19"/>
  <c r="DW258" i="19" s="1"/>
  <c r="AP258" i="19"/>
  <c r="DS258" i="19" s="1"/>
  <c r="AV257" i="19"/>
  <c r="DB35" i="35" s="1"/>
  <c r="AU257" i="19"/>
  <c r="DA35" i="35" s="1"/>
  <c r="AT257" i="19"/>
  <c r="AP257" i="19"/>
  <c r="AT253" i="19"/>
  <c r="DW253" i="19" s="1"/>
  <c r="AP253" i="19"/>
  <c r="DS253" i="19" s="1"/>
  <c r="AT252" i="19"/>
  <c r="DW252" i="19" s="1"/>
  <c r="AP252" i="19"/>
  <c r="DS252" i="19" s="1"/>
  <c r="AT251" i="19"/>
  <c r="DW251" i="19" s="1"/>
  <c r="AT250" i="19"/>
  <c r="DW250" i="19" s="1"/>
  <c r="AP250" i="19"/>
  <c r="DS250" i="19" s="1"/>
  <c r="AV249" i="19"/>
  <c r="DB34" i="35" s="1"/>
  <c r="AU249" i="19"/>
  <c r="DA34" i="35" s="1"/>
  <c r="AT249" i="19"/>
  <c r="AP249" i="19"/>
  <c r="AT245" i="19"/>
  <c r="DW245" i="19" s="1"/>
  <c r="AP245" i="19"/>
  <c r="DS245" i="19" s="1"/>
  <c r="AT244" i="19"/>
  <c r="DW244" i="19" s="1"/>
  <c r="AP244" i="19"/>
  <c r="DS244" i="19" s="1"/>
  <c r="AT243" i="19"/>
  <c r="DW243" i="19" s="1"/>
  <c r="AT242" i="19"/>
  <c r="DW242" i="19" s="1"/>
  <c r="AV241" i="19"/>
  <c r="DB33" i="35" s="1"/>
  <c r="AU241" i="19"/>
  <c r="DA33" i="35" s="1"/>
  <c r="AT241" i="19"/>
  <c r="AP241" i="19"/>
  <c r="AT237" i="19"/>
  <c r="DW237" i="19" s="1"/>
  <c r="AP237" i="19"/>
  <c r="DS237" i="19" s="1"/>
  <c r="AT236" i="19"/>
  <c r="DW236" i="19" s="1"/>
  <c r="AP236" i="19"/>
  <c r="DS236" i="19" s="1"/>
  <c r="AT235" i="19"/>
  <c r="DW235" i="19" s="1"/>
  <c r="AP235" i="19"/>
  <c r="DS235" i="19" s="1"/>
  <c r="AT234" i="19"/>
  <c r="DW234" i="19" s="1"/>
  <c r="AP234" i="19"/>
  <c r="DS234" i="19" s="1"/>
  <c r="AV233" i="19"/>
  <c r="DB32" i="35" s="1"/>
  <c r="AU233" i="19"/>
  <c r="DA32" i="35" s="1"/>
  <c r="AT233" i="19"/>
  <c r="AP233" i="19"/>
  <c r="AT229" i="19"/>
  <c r="DW229" i="19" s="1"/>
  <c r="AP229" i="19"/>
  <c r="DS229" i="19" s="1"/>
  <c r="AT228" i="19"/>
  <c r="DW228" i="19" s="1"/>
  <c r="AP228" i="19"/>
  <c r="DS228" i="19" s="1"/>
  <c r="AT227" i="19"/>
  <c r="DW227" i="19" s="1"/>
  <c r="AP227" i="19"/>
  <c r="DS227" i="19" s="1"/>
  <c r="AT226" i="19"/>
  <c r="DW226" i="19" s="1"/>
  <c r="AP226" i="19"/>
  <c r="DS226" i="19" s="1"/>
  <c r="AV225" i="19"/>
  <c r="DB31" i="35" s="1"/>
  <c r="AU225" i="19"/>
  <c r="DA31" i="35" s="1"/>
  <c r="AT225" i="19"/>
  <c r="AP225" i="19"/>
  <c r="AT221" i="19"/>
  <c r="DW221" i="19" s="1"/>
  <c r="AP221" i="19"/>
  <c r="DS221" i="19" s="1"/>
  <c r="AT220" i="19"/>
  <c r="DW220" i="19" s="1"/>
  <c r="AP220" i="19"/>
  <c r="DS220" i="19" s="1"/>
  <c r="AT219" i="19"/>
  <c r="DW219" i="19" s="1"/>
  <c r="AP219" i="19"/>
  <c r="DS219" i="19" s="1"/>
  <c r="AT218" i="19"/>
  <c r="DW218" i="19" s="1"/>
  <c r="AP218" i="19"/>
  <c r="DS218" i="19" s="1"/>
  <c r="AV217" i="19"/>
  <c r="DB30" i="35" s="1"/>
  <c r="AU217" i="19"/>
  <c r="DA30" i="35" s="1"/>
  <c r="AT217" i="19"/>
  <c r="AP217" i="19"/>
  <c r="AT213" i="19"/>
  <c r="DW213" i="19" s="1"/>
  <c r="AP213" i="19"/>
  <c r="DS213" i="19" s="1"/>
  <c r="AT212" i="19"/>
  <c r="DW212" i="19" s="1"/>
  <c r="AP212" i="19"/>
  <c r="DS212" i="19" s="1"/>
  <c r="AT211" i="19"/>
  <c r="DW211" i="19" s="1"/>
  <c r="AP211" i="19"/>
  <c r="DS211" i="19" s="1"/>
  <c r="AT210" i="19"/>
  <c r="DW210" i="19" s="1"/>
  <c r="AP210" i="19"/>
  <c r="DS210" i="19" s="1"/>
  <c r="AV209" i="19"/>
  <c r="DB29" i="35" s="1"/>
  <c r="AU209" i="19"/>
  <c r="DA29" i="35" s="1"/>
  <c r="AT209" i="19"/>
  <c r="AP209" i="19"/>
  <c r="AT205" i="19"/>
  <c r="DW205" i="19" s="1"/>
  <c r="AP205" i="19"/>
  <c r="DS205" i="19" s="1"/>
  <c r="AT204" i="19"/>
  <c r="DW204" i="19" s="1"/>
  <c r="AP204" i="19"/>
  <c r="DS204" i="19" s="1"/>
  <c r="AT203" i="19"/>
  <c r="DW203" i="19" s="1"/>
  <c r="AP203" i="19"/>
  <c r="DS203" i="19" s="1"/>
  <c r="AT202" i="19"/>
  <c r="DW202" i="19" s="1"/>
  <c r="AP202" i="19"/>
  <c r="DS202" i="19" s="1"/>
  <c r="AV201" i="19"/>
  <c r="DB28" i="35" s="1"/>
  <c r="AU201" i="19"/>
  <c r="DA28" i="35" s="1"/>
  <c r="AT201" i="19"/>
  <c r="AP201" i="19"/>
  <c r="AT197" i="19"/>
  <c r="DW197" i="19" s="1"/>
  <c r="AP197" i="19"/>
  <c r="DS197" i="19" s="1"/>
  <c r="AT196" i="19"/>
  <c r="DW196" i="19" s="1"/>
  <c r="AP196" i="19"/>
  <c r="DS196" i="19" s="1"/>
  <c r="AT195" i="19"/>
  <c r="DW195" i="19" s="1"/>
  <c r="AP195" i="19"/>
  <c r="DS195" i="19" s="1"/>
  <c r="AT194" i="19"/>
  <c r="DW194" i="19" s="1"/>
  <c r="AP194" i="19"/>
  <c r="DS194" i="19" s="1"/>
  <c r="AV193" i="19"/>
  <c r="DB27" i="35" s="1"/>
  <c r="AU193" i="19"/>
  <c r="DA27" i="35" s="1"/>
  <c r="AT193" i="19"/>
  <c r="AP193" i="19"/>
  <c r="AT189" i="19"/>
  <c r="DW189" i="19" s="1"/>
  <c r="AP189" i="19"/>
  <c r="DS189" i="19" s="1"/>
  <c r="AT188" i="19"/>
  <c r="DW188" i="19" s="1"/>
  <c r="AP188" i="19"/>
  <c r="DS188" i="19" s="1"/>
  <c r="AT187" i="19"/>
  <c r="DW187" i="19" s="1"/>
  <c r="AT186" i="19"/>
  <c r="DW186" i="19" s="1"/>
  <c r="AP186" i="19"/>
  <c r="DS186" i="19" s="1"/>
  <c r="AV185" i="19"/>
  <c r="DB26" i="35" s="1"/>
  <c r="AU185" i="19"/>
  <c r="DA26" i="35" s="1"/>
  <c r="AT185" i="19"/>
  <c r="AP185" i="19"/>
  <c r="AT181" i="19"/>
  <c r="DW181" i="19" s="1"/>
  <c r="AP181" i="19"/>
  <c r="DS181" i="19" s="1"/>
  <c r="AT180" i="19"/>
  <c r="DW180" i="19" s="1"/>
  <c r="AP180" i="19"/>
  <c r="DS180" i="19" s="1"/>
  <c r="AT179" i="19"/>
  <c r="DW179" i="19" s="1"/>
  <c r="AP179" i="19"/>
  <c r="DS179" i="19" s="1"/>
  <c r="AT178" i="19"/>
  <c r="DW178" i="19" s="1"/>
  <c r="AP178" i="19"/>
  <c r="DS178" i="19" s="1"/>
  <c r="AV177" i="19"/>
  <c r="DB25" i="35" s="1"/>
  <c r="AU177" i="19"/>
  <c r="DA25" i="35" s="1"/>
  <c r="AT177" i="19"/>
  <c r="AP177" i="19"/>
  <c r="AT173" i="19"/>
  <c r="DW173" i="19" s="1"/>
  <c r="AP173" i="19"/>
  <c r="DS173" i="19" s="1"/>
  <c r="AT172" i="19"/>
  <c r="DW172" i="19" s="1"/>
  <c r="AP172" i="19"/>
  <c r="DS172" i="19" s="1"/>
  <c r="AT171" i="19"/>
  <c r="DW171" i="19" s="1"/>
  <c r="AP171" i="19"/>
  <c r="DS171" i="19" s="1"/>
  <c r="AT170" i="19"/>
  <c r="DW170" i="19" s="1"/>
  <c r="AP170" i="19"/>
  <c r="DS170" i="19" s="1"/>
  <c r="AV169" i="19"/>
  <c r="DB24" i="35" s="1"/>
  <c r="AU169" i="19"/>
  <c r="DA24" i="35" s="1"/>
  <c r="AT169" i="19"/>
  <c r="AP169" i="19"/>
  <c r="AT165" i="19"/>
  <c r="DW165" i="19" s="1"/>
  <c r="AP165" i="19"/>
  <c r="DS165" i="19" s="1"/>
  <c r="AT164" i="19"/>
  <c r="DW164" i="19" s="1"/>
  <c r="AP164" i="19"/>
  <c r="DS164" i="19" s="1"/>
  <c r="AT163" i="19"/>
  <c r="DW163" i="19" s="1"/>
  <c r="AP163" i="19"/>
  <c r="DS163" i="19" s="1"/>
  <c r="AT162" i="19"/>
  <c r="DW162" i="19" s="1"/>
  <c r="AP162" i="19"/>
  <c r="DS162" i="19" s="1"/>
  <c r="AV161" i="19"/>
  <c r="DB23" i="35" s="1"/>
  <c r="AU161" i="19"/>
  <c r="DA23" i="35" s="1"/>
  <c r="AT161" i="19"/>
  <c r="AP161" i="19"/>
  <c r="AT157" i="19"/>
  <c r="DW157" i="19" s="1"/>
  <c r="AP157" i="19"/>
  <c r="DS157" i="19" s="1"/>
  <c r="AT156" i="19"/>
  <c r="DW156" i="19" s="1"/>
  <c r="AP156" i="19"/>
  <c r="DS156" i="19" s="1"/>
  <c r="AT155" i="19"/>
  <c r="DW155" i="19" s="1"/>
  <c r="AP155" i="19"/>
  <c r="DS155" i="19" s="1"/>
  <c r="AT154" i="19"/>
  <c r="DW154" i="19" s="1"/>
  <c r="AP154" i="19"/>
  <c r="DS154" i="19" s="1"/>
  <c r="AV153" i="19"/>
  <c r="DB22" i="35" s="1"/>
  <c r="AU153" i="19"/>
  <c r="DA22" i="35" s="1"/>
  <c r="AT153" i="19"/>
  <c r="AP153" i="19"/>
  <c r="AT149" i="19"/>
  <c r="DW149" i="19" s="1"/>
  <c r="AP149" i="19"/>
  <c r="DS149" i="19" s="1"/>
  <c r="AT148" i="19"/>
  <c r="DW148" i="19" s="1"/>
  <c r="AP148" i="19"/>
  <c r="DS148" i="19" s="1"/>
  <c r="AT147" i="19"/>
  <c r="DW147" i="19" s="1"/>
  <c r="AT146" i="19"/>
  <c r="DW146" i="19" s="1"/>
  <c r="AV145" i="19"/>
  <c r="DB21" i="35" s="1"/>
  <c r="AU145" i="19"/>
  <c r="DA21" i="35" s="1"/>
  <c r="AT145" i="19"/>
  <c r="AT141" i="19"/>
  <c r="DW141" i="19" s="1"/>
  <c r="AP141" i="19"/>
  <c r="DS141" i="19" s="1"/>
  <c r="AT140" i="19"/>
  <c r="DW140" i="19" s="1"/>
  <c r="AP140" i="19"/>
  <c r="DS140" i="19" s="1"/>
  <c r="AT139" i="19"/>
  <c r="DW139" i="19" s="1"/>
  <c r="AP139" i="19"/>
  <c r="DS139" i="19" s="1"/>
  <c r="AT138" i="19"/>
  <c r="DW138" i="19" s="1"/>
  <c r="AP138" i="19"/>
  <c r="DS138" i="19" s="1"/>
  <c r="AV137" i="19"/>
  <c r="DB20" i="35" s="1"/>
  <c r="AU137" i="19"/>
  <c r="DA20" i="35" s="1"/>
  <c r="AT137" i="19"/>
  <c r="AP137" i="19"/>
  <c r="AT133" i="19"/>
  <c r="DW133" i="19" s="1"/>
  <c r="AP133" i="19"/>
  <c r="DS133" i="19" s="1"/>
  <c r="AT132" i="19"/>
  <c r="DW132" i="19" s="1"/>
  <c r="AP132" i="19"/>
  <c r="DS132" i="19" s="1"/>
  <c r="AT131" i="19"/>
  <c r="DW131" i="19" s="1"/>
  <c r="AP131" i="19"/>
  <c r="DS131" i="19" s="1"/>
  <c r="AT130" i="19"/>
  <c r="DW130" i="19" s="1"/>
  <c r="AP130" i="19"/>
  <c r="DS130" i="19" s="1"/>
  <c r="AV129" i="19"/>
  <c r="DB19" i="35" s="1"/>
  <c r="AU129" i="19"/>
  <c r="DA19" i="35" s="1"/>
  <c r="AT129" i="19"/>
  <c r="AP129" i="19"/>
  <c r="AT125" i="19"/>
  <c r="DW125" i="19" s="1"/>
  <c r="AP125" i="19"/>
  <c r="DS125" i="19" s="1"/>
  <c r="AT124" i="19"/>
  <c r="DW124" i="19" s="1"/>
  <c r="AP124" i="19"/>
  <c r="DS124" i="19" s="1"/>
  <c r="AT123" i="19"/>
  <c r="DW123" i="19" s="1"/>
  <c r="AP123" i="19"/>
  <c r="DS123" i="19" s="1"/>
  <c r="AT122" i="19"/>
  <c r="DW122" i="19" s="1"/>
  <c r="AP122" i="19"/>
  <c r="DS122" i="19" s="1"/>
  <c r="AV121" i="19"/>
  <c r="DB18" i="35" s="1"/>
  <c r="AU121" i="19"/>
  <c r="DA18" i="35" s="1"/>
  <c r="AT121" i="19"/>
  <c r="AP121" i="19"/>
  <c r="AT117" i="19"/>
  <c r="DW117" i="19" s="1"/>
  <c r="AP117" i="19"/>
  <c r="DS117" i="19" s="1"/>
  <c r="AT116" i="19"/>
  <c r="DW116" i="19" s="1"/>
  <c r="AP116" i="19"/>
  <c r="DS116" i="19" s="1"/>
  <c r="AT115" i="19"/>
  <c r="DW115" i="19" s="1"/>
  <c r="AP115" i="19"/>
  <c r="DS115" i="19" s="1"/>
  <c r="AT114" i="19"/>
  <c r="DW114" i="19" s="1"/>
  <c r="AP114" i="19"/>
  <c r="DS114" i="19" s="1"/>
  <c r="AV113" i="19"/>
  <c r="DB17" i="35" s="1"/>
  <c r="AU113" i="19"/>
  <c r="DA17" i="35" s="1"/>
  <c r="AT113" i="19"/>
  <c r="AP113" i="19"/>
  <c r="AT109" i="19"/>
  <c r="DW109" i="19" s="1"/>
  <c r="AP109" i="19"/>
  <c r="DS109" i="19" s="1"/>
  <c r="AT108" i="19"/>
  <c r="DW108" i="19" s="1"/>
  <c r="AP108" i="19"/>
  <c r="DS108" i="19" s="1"/>
  <c r="AT107" i="19"/>
  <c r="DW107" i="19" s="1"/>
  <c r="AP107" i="19"/>
  <c r="DS107" i="19" s="1"/>
  <c r="AT106" i="19"/>
  <c r="DW106" i="19" s="1"/>
  <c r="AP106" i="19"/>
  <c r="DS106" i="19" s="1"/>
  <c r="AV105" i="19"/>
  <c r="DB16" i="35" s="1"/>
  <c r="AU105" i="19"/>
  <c r="DA16" i="35" s="1"/>
  <c r="AT105" i="19"/>
  <c r="AP105" i="19"/>
  <c r="AT101" i="19"/>
  <c r="DW101" i="19" s="1"/>
  <c r="AP101" i="19"/>
  <c r="DS101" i="19" s="1"/>
  <c r="AT100" i="19"/>
  <c r="DW100" i="19" s="1"/>
  <c r="AP100" i="19"/>
  <c r="DS100" i="19" s="1"/>
  <c r="AT99" i="19"/>
  <c r="DW99" i="19" s="1"/>
  <c r="AP99" i="19"/>
  <c r="DS99" i="19" s="1"/>
  <c r="AT98" i="19"/>
  <c r="DW98" i="19" s="1"/>
  <c r="AP98" i="19"/>
  <c r="DS98" i="19" s="1"/>
  <c r="AV97" i="19"/>
  <c r="DB15" i="35" s="1"/>
  <c r="AU97" i="19"/>
  <c r="DA15" i="35" s="1"/>
  <c r="AT97" i="19"/>
  <c r="AP97" i="19"/>
  <c r="AT93" i="19"/>
  <c r="DW93" i="19" s="1"/>
  <c r="AP93" i="19"/>
  <c r="DS93" i="19" s="1"/>
  <c r="AT92" i="19"/>
  <c r="DW92" i="19" s="1"/>
  <c r="AP92" i="19"/>
  <c r="DS92" i="19" s="1"/>
  <c r="AT91" i="19"/>
  <c r="DW91" i="19" s="1"/>
  <c r="AP91" i="19"/>
  <c r="DS91" i="19" s="1"/>
  <c r="AT90" i="19"/>
  <c r="DW90" i="19" s="1"/>
  <c r="AV89" i="19"/>
  <c r="DB14" i="35" s="1"/>
  <c r="AU89" i="19"/>
  <c r="DA14" i="35" s="1"/>
  <c r="AT89" i="19"/>
  <c r="AP89" i="19"/>
  <c r="AT85" i="19"/>
  <c r="DW85" i="19" s="1"/>
  <c r="AP85" i="19"/>
  <c r="DS85" i="19" s="1"/>
  <c r="AT84" i="19"/>
  <c r="DW84" i="19" s="1"/>
  <c r="AP84" i="19"/>
  <c r="DS84" i="19" s="1"/>
  <c r="AT83" i="19"/>
  <c r="DW83" i="19" s="1"/>
  <c r="AP83" i="19"/>
  <c r="DS83" i="19" s="1"/>
  <c r="AT82" i="19"/>
  <c r="DW82" i="19" s="1"/>
  <c r="AP82" i="19"/>
  <c r="DS82" i="19" s="1"/>
  <c r="AV81" i="19"/>
  <c r="DB13" i="35" s="1"/>
  <c r="AU81" i="19"/>
  <c r="DA13" i="35" s="1"/>
  <c r="AT81" i="19"/>
  <c r="AP81" i="19"/>
  <c r="AT77" i="19"/>
  <c r="DW77" i="19" s="1"/>
  <c r="AP77" i="19"/>
  <c r="DS77" i="19" s="1"/>
  <c r="AT76" i="19"/>
  <c r="DW76" i="19" s="1"/>
  <c r="AP76" i="19"/>
  <c r="DS76" i="19" s="1"/>
  <c r="AT75" i="19"/>
  <c r="DW75" i="19" s="1"/>
  <c r="AP75" i="19"/>
  <c r="DS75" i="19" s="1"/>
  <c r="AT74" i="19"/>
  <c r="DW74" i="19" s="1"/>
  <c r="AP74" i="19"/>
  <c r="DS74" i="19" s="1"/>
  <c r="AV73" i="19"/>
  <c r="DB12" i="35" s="1"/>
  <c r="AU73" i="19"/>
  <c r="DA12" i="35" s="1"/>
  <c r="AT73" i="19"/>
  <c r="AP73" i="19"/>
  <c r="AT69" i="19"/>
  <c r="DW69" i="19" s="1"/>
  <c r="AP69" i="19"/>
  <c r="DS69" i="19" s="1"/>
  <c r="AT68" i="19"/>
  <c r="DW68" i="19" s="1"/>
  <c r="AP68" i="19"/>
  <c r="DS68" i="19" s="1"/>
  <c r="AT67" i="19"/>
  <c r="DW67" i="19" s="1"/>
  <c r="AP67" i="19"/>
  <c r="DS67" i="19" s="1"/>
  <c r="AT66" i="19"/>
  <c r="DW66" i="19" s="1"/>
  <c r="AP66" i="19"/>
  <c r="DS66" i="19" s="1"/>
  <c r="AV65" i="19"/>
  <c r="DB11" i="35" s="1"/>
  <c r="AU65" i="19"/>
  <c r="DA11" i="35" s="1"/>
  <c r="AT65" i="19"/>
  <c r="AP65" i="19"/>
  <c r="AT61" i="19"/>
  <c r="DW61" i="19" s="1"/>
  <c r="AP61" i="19"/>
  <c r="DS61" i="19" s="1"/>
  <c r="AT60" i="19"/>
  <c r="DW60" i="19" s="1"/>
  <c r="AP60" i="19"/>
  <c r="DS60" i="19" s="1"/>
  <c r="AT59" i="19"/>
  <c r="DW59" i="19" s="1"/>
  <c r="AP59" i="19"/>
  <c r="DS59" i="19" s="1"/>
  <c r="AT58" i="19"/>
  <c r="DW58" i="19" s="1"/>
  <c r="AP58" i="19"/>
  <c r="DS58" i="19" s="1"/>
  <c r="AV57" i="19"/>
  <c r="DB10" i="35" s="1"/>
  <c r="AU57" i="19"/>
  <c r="DA10" i="35" s="1"/>
  <c r="AT57" i="19"/>
  <c r="AP57" i="19"/>
  <c r="AT53" i="19"/>
  <c r="DW53" i="19" s="1"/>
  <c r="AP53" i="19"/>
  <c r="DS53" i="19" s="1"/>
  <c r="AT52" i="19"/>
  <c r="DW52" i="19" s="1"/>
  <c r="AP52" i="19"/>
  <c r="DS52" i="19" s="1"/>
  <c r="AT51" i="19"/>
  <c r="DW51" i="19" s="1"/>
  <c r="AP51" i="19"/>
  <c r="DS51" i="19" s="1"/>
  <c r="AT50" i="19"/>
  <c r="DW50" i="19" s="1"/>
  <c r="AP50" i="19"/>
  <c r="DS50" i="19" s="1"/>
  <c r="AV49" i="19"/>
  <c r="DB9" i="35" s="1"/>
  <c r="AU49" i="19"/>
  <c r="DA9" i="35" s="1"/>
  <c r="AT49" i="19"/>
  <c r="AP49" i="19"/>
  <c r="AT45" i="19"/>
  <c r="DW45" i="19" s="1"/>
  <c r="AP45" i="19"/>
  <c r="DS45" i="19" s="1"/>
  <c r="AT44" i="19"/>
  <c r="DW44" i="19" s="1"/>
  <c r="AP44" i="19"/>
  <c r="DS44" i="19" s="1"/>
  <c r="AT43" i="19"/>
  <c r="DW43" i="19" s="1"/>
  <c r="AP43" i="19"/>
  <c r="DS43" i="19" s="1"/>
  <c r="AT42" i="19"/>
  <c r="DW42" i="19" s="1"/>
  <c r="AP42" i="19"/>
  <c r="DS42" i="19" s="1"/>
  <c r="AV41" i="19"/>
  <c r="DB8" i="35" s="1"/>
  <c r="AU41" i="19"/>
  <c r="DA8" i="35" s="1"/>
  <c r="AT41" i="19"/>
  <c r="AP41" i="19"/>
  <c r="AT37" i="19"/>
  <c r="DW37" i="19" s="1"/>
  <c r="AP37" i="19"/>
  <c r="DS37" i="19" s="1"/>
  <c r="AT36" i="19"/>
  <c r="DW36" i="19" s="1"/>
  <c r="AP36" i="19"/>
  <c r="DS36" i="19" s="1"/>
  <c r="AT35" i="19"/>
  <c r="DW35" i="19" s="1"/>
  <c r="AP35" i="19"/>
  <c r="DS35" i="19" s="1"/>
  <c r="AT34" i="19"/>
  <c r="DW34" i="19" s="1"/>
  <c r="AP34" i="19"/>
  <c r="DS34" i="19" s="1"/>
  <c r="AV33" i="19"/>
  <c r="DB7" i="35" s="1"/>
  <c r="AU33" i="19"/>
  <c r="DA7" i="35" s="1"/>
  <c r="AT33" i="19"/>
  <c r="AP33" i="19"/>
  <c r="AT29" i="19"/>
  <c r="DW29" i="19" s="1"/>
  <c r="AP29" i="19"/>
  <c r="DS29" i="19" s="1"/>
  <c r="AT28" i="19"/>
  <c r="DW28" i="19" s="1"/>
  <c r="AP28" i="19"/>
  <c r="DS28" i="19" s="1"/>
  <c r="AT27" i="19"/>
  <c r="DW27" i="19" s="1"/>
  <c r="AT26" i="19"/>
  <c r="DW26" i="19" s="1"/>
  <c r="AP26" i="19"/>
  <c r="DS26" i="19" s="1"/>
  <c r="AV25" i="19"/>
  <c r="DB6" i="35" s="1"/>
  <c r="AU25" i="19"/>
  <c r="DA6" i="35" s="1"/>
  <c r="AT25" i="19"/>
  <c r="AT21" i="19"/>
  <c r="DW21" i="19" s="1"/>
  <c r="AQ21" i="19"/>
  <c r="DT21" i="19" s="1"/>
  <c r="AP21" i="19"/>
  <c r="DS21" i="19" s="1"/>
  <c r="AT20" i="19"/>
  <c r="DW20" i="19" s="1"/>
  <c r="AQ20" i="19"/>
  <c r="DT20" i="19" s="1"/>
  <c r="AP20" i="19"/>
  <c r="DS20" i="19" s="1"/>
  <c r="AT19" i="19"/>
  <c r="DW19" i="19" s="1"/>
  <c r="AQ19" i="19"/>
  <c r="DT19" i="19" s="1"/>
  <c r="AP19" i="19"/>
  <c r="DS19" i="19" s="1"/>
  <c r="AT18" i="19"/>
  <c r="DW18" i="19" s="1"/>
  <c r="AQ18" i="19"/>
  <c r="DT18" i="19" s="1"/>
  <c r="AP18" i="19"/>
  <c r="DS18" i="19" s="1"/>
  <c r="AV17" i="19"/>
  <c r="DB5" i="35" s="1"/>
  <c r="AU17" i="19"/>
  <c r="DA5" i="35" s="1"/>
  <c r="AT17" i="19"/>
  <c r="AT13" i="19"/>
  <c r="DW13" i="19" s="1"/>
  <c r="AT12" i="19"/>
  <c r="DW12" i="19" s="1"/>
  <c r="AP12" i="19"/>
  <c r="DS12" i="19" s="1"/>
  <c r="AT11" i="19"/>
  <c r="DW11" i="19" s="1"/>
  <c r="AP11" i="19"/>
  <c r="DS11" i="19" s="1"/>
  <c r="AT10" i="19"/>
  <c r="DW10" i="19" s="1"/>
  <c r="AP10" i="19"/>
  <c r="DS10" i="19" s="1"/>
  <c r="AV9" i="19"/>
  <c r="DB4" i="35" s="1"/>
  <c r="AT9" i="19"/>
  <c r="DR325" i="19"/>
  <c r="AI325" i="19"/>
  <c r="DN325" i="19" s="1"/>
  <c r="DR324" i="19"/>
  <c r="AI324" i="19"/>
  <c r="DN324" i="19" s="1"/>
  <c r="DR323" i="19"/>
  <c r="AI323" i="19"/>
  <c r="DN323" i="19" s="1"/>
  <c r="DR322" i="19"/>
  <c r="AI322" i="19"/>
  <c r="DN322" i="19" s="1"/>
  <c r="AO321" i="19"/>
  <c r="CU43" i="35" s="1"/>
  <c r="AN321" i="19"/>
  <c r="CT43" i="35" s="1"/>
  <c r="DR317" i="19"/>
  <c r="AI317" i="19"/>
  <c r="DN317" i="19" s="1"/>
  <c r="DR316" i="19"/>
  <c r="AI316" i="19"/>
  <c r="DN316" i="19" s="1"/>
  <c r="DR315" i="19"/>
  <c r="AI315" i="19"/>
  <c r="DN315" i="19" s="1"/>
  <c r="DR314" i="19"/>
  <c r="AI314" i="19"/>
  <c r="DN314" i="19" s="1"/>
  <c r="AO313" i="19"/>
  <c r="CU42" i="35" s="1"/>
  <c r="AN313" i="19"/>
  <c r="CT42" i="35" s="1"/>
  <c r="DR309" i="19"/>
  <c r="AI309" i="19"/>
  <c r="DN309" i="19" s="1"/>
  <c r="DR308" i="19"/>
  <c r="AI308" i="19"/>
  <c r="DN308" i="19" s="1"/>
  <c r="DR307" i="19"/>
  <c r="AI307" i="19"/>
  <c r="DN307" i="19" s="1"/>
  <c r="DR306" i="19"/>
  <c r="AI306" i="19"/>
  <c r="DN306" i="19" s="1"/>
  <c r="AO305" i="19"/>
  <c r="CU41" i="35" s="1"/>
  <c r="AN305" i="19"/>
  <c r="CT41" i="35" s="1"/>
  <c r="AI305" i="19"/>
  <c r="DR301" i="19"/>
  <c r="AI301" i="19"/>
  <c r="DN301" i="19" s="1"/>
  <c r="DR300" i="19"/>
  <c r="AI300" i="19"/>
  <c r="DN300" i="19" s="1"/>
  <c r="DR299" i="19"/>
  <c r="AI299" i="19"/>
  <c r="DN299" i="19" s="1"/>
  <c r="DR298" i="19"/>
  <c r="AI298" i="19"/>
  <c r="DN298" i="19" s="1"/>
  <c r="AO297" i="19"/>
  <c r="CU40" i="35" s="1"/>
  <c r="AN297" i="19"/>
  <c r="CT40" i="35" s="1"/>
  <c r="AI297" i="19"/>
  <c r="DR293" i="19"/>
  <c r="AI293" i="19"/>
  <c r="DN293" i="19" s="1"/>
  <c r="DR292" i="19"/>
  <c r="AI292" i="19"/>
  <c r="DN292" i="19" s="1"/>
  <c r="DR291" i="19"/>
  <c r="AI291" i="19"/>
  <c r="DN291" i="19" s="1"/>
  <c r="DR290" i="19"/>
  <c r="AI290" i="19"/>
  <c r="DN290" i="19" s="1"/>
  <c r="AO289" i="19"/>
  <c r="CU39" i="35" s="1"/>
  <c r="AN289" i="19"/>
  <c r="CT39" i="35" s="1"/>
  <c r="AI289" i="19"/>
  <c r="DR285" i="19"/>
  <c r="AI285" i="19"/>
  <c r="DN285" i="19" s="1"/>
  <c r="DR284" i="19"/>
  <c r="AI284" i="19"/>
  <c r="DN284" i="19" s="1"/>
  <c r="DR283" i="19"/>
  <c r="AI283" i="19"/>
  <c r="DN283" i="19" s="1"/>
  <c r="DR282" i="19"/>
  <c r="AI282" i="19"/>
  <c r="DN282" i="19" s="1"/>
  <c r="AO281" i="19"/>
  <c r="CU38" i="35" s="1"/>
  <c r="AN281" i="19"/>
  <c r="CT38" i="35" s="1"/>
  <c r="AI281" i="19"/>
  <c r="DR277" i="19"/>
  <c r="AI277" i="19"/>
  <c r="DN277" i="19" s="1"/>
  <c r="DR276" i="19"/>
  <c r="AI276" i="19"/>
  <c r="DN276" i="19" s="1"/>
  <c r="DR275" i="19"/>
  <c r="AI275" i="19"/>
  <c r="DN275" i="19" s="1"/>
  <c r="DR274" i="19"/>
  <c r="AI274" i="19"/>
  <c r="DN274" i="19" s="1"/>
  <c r="AO273" i="19"/>
  <c r="CU37" i="35" s="1"/>
  <c r="AN273" i="19"/>
  <c r="CT37" i="35" s="1"/>
  <c r="AI273" i="19"/>
  <c r="DR269" i="19"/>
  <c r="AI269" i="19"/>
  <c r="DN269" i="19" s="1"/>
  <c r="DR268" i="19"/>
  <c r="AI268" i="19"/>
  <c r="DN268" i="19" s="1"/>
  <c r="DR267" i="19"/>
  <c r="AI267" i="19"/>
  <c r="DN267" i="19" s="1"/>
  <c r="DR266" i="19"/>
  <c r="AI266" i="19"/>
  <c r="DN266" i="19" s="1"/>
  <c r="AO265" i="19"/>
  <c r="CU36" i="35" s="1"/>
  <c r="AN265" i="19"/>
  <c r="CT36" i="35" s="1"/>
  <c r="AI265" i="19"/>
  <c r="DR261" i="19"/>
  <c r="AI261" i="19"/>
  <c r="DN261" i="19" s="1"/>
  <c r="DR260" i="19"/>
  <c r="AI260" i="19"/>
  <c r="DN260" i="19" s="1"/>
  <c r="DR259" i="19"/>
  <c r="AI259" i="19"/>
  <c r="DN259" i="19" s="1"/>
  <c r="DR258" i="19"/>
  <c r="AI258" i="19"/>
  <c r="DN258" i="19" s="1"/>
  <c r="AO257" i="19"/>
  <c r="CU35" i="35" s="1"/>
  <c r="AN257" i="19"/>
  <c r="CT35" i="35" s="1"/>
  <c r="AI257" i="19"/>
  <c r="DR253" i="19"/>
  <c r="AI253" i="19"/>
  <c r="DN253" i="19" s="1"/>
  <c r="DR252" i="19"/>
  <c r="AI252" i="19"/>
  <c r="DN252" i="19" s="1"/>
  <c r="DR251" i="19"/>
  <c r="AI251" i="19"/>
  <c r="DN251" i="19" s="1"/>
  <c r="DR250" i="19"/>
  <c r="AI250" i="19"/>
  <c r="DN250" i="19" s="1"/>
  <c r="AO249" i="19"/>
  <c r="CU34" i="35" s="1"/>
  <c r="AN249" i="19"/>
  <c r="CT34" i="35" s="1"/>
  <c r="AI249" i="19"/>
  <c r="DR245" i="19"/>
  <c r="AI245" i="19"/>
  <c r="DN245" i="19" s="1"/>
  <c r="DR244" i="19"/>
  <c r="AI244" i="19"/>
  <c r="DN244" i="19" s="1"/>
  <c r="DR243" i="19"/>
  <c r="AI243" i="19"/>
  <c r="DN243" i="19" s="1"/>
  <c r="DR242" i="19"/>
  <c r="AI242" i="19"/>
  <c r="DN242" i="19" s="1"/>
  <c r="AO241" i="19"/>
  <c r="CU33" i="35" s="1"/>
  <c r="AN241" i="19"/>
  <c r="CT33" i="35" s="1"/>
  <c r="AI241" i="19"/>
  <c r="DR237" i="19"/>
  <c r="AI237" i="19"/>
  <c r="DN237" i="19" s="1"/>
  <c r="DR236" i="19"/>
  <c r="AI236" i="19"/>
  <c r="DN236" i="19" s="1"/>
  <c r="DR235" i="19"/>
  <c r="AI235" i="19"/>
  <c r="DN235" i="19" s="1"/>
  <c r="DR234" i="19"/>
  <c r="AI234" i="19"/>
  <c r="DN234" i="19" s="1"/>
  <c r="AO233" i="19"/>
  <c r="CU32" i="35" s="1"/>
  <c r="AN233" i="19"/>
  <c r="CT32" i="35" s="1"/>
  <c r="AI233" i="19"/>
  <c r="DR229" i="19"/>
  <c r="AI229" i="19"/>
  <c r="DN229" i="19" s="1"/>
  <c r="DR228" i="19"/>
  <c r="AI228" i="19"/>
  <c r="DN228" i="19" s="1"/>
  <c r="DR227" i="19"/>
  <c r="AI227" i="19"/>
  <c r="DN227" i="19" s="1"/>
  <c r="DR226" i="19"/>
  <c r="AI226" i="19"/>
  <c r="DN226" i="19" s="1"/>
  <c r="AO225" i="19"/>
  <c r="CU31" i="35" s="1"/>
  <c r="AN225" i="19"/>
  <c r="CT31" i="35" s="1"/>
  <c r="AI225" i="19"/>
  <c r="DR221" i="19"/>
  <c r="AI221" i="19"/>
  <c r="DN221" i="19" s="1"/>
  <c r="DR220" i="19"/>
  <c r="AI220" i="19"/>
  <c r="DN220" i="19" s="1"/>
  <c r="DR219" i="19"/>
  <c r="AI219" i="19"/>
  <c r="DN219" i="19" s="1"/>
  <c r="DR218" i="19"/>
  <c r="AI218" i="19"/>
  <c r="DN218" i="19" s="1"/>
  <c r="AO217" i="19"/>
  <c r="CU30" i="35" s="1"/>
  <c r="AN217" i="19"/>
  <c r="CT30" i="35" s="1"/>
  <c r="AI217" i="19"/>
  <c r="DR213" i="19"/>
  <c r="AI213" i="19"/>
  <c r="DN213" i="19" s="1"/>
  <c r="DR212" i="19"/>
  <c r="AI212" i="19"/>
  <c r="DN212" i="19" s="1"/>
  <c r="DR211" i="19"/>
  <c r="AI211" i="19"/>
  <c r="DN211" i="19" s="1"/>
  <c r="DR210" i="19"/>
  <c r="AI210" i="19"/>
  <c r="DN210" i="19" s="1"/>
  <c r="AO209" i="19"/>
  <c r="CU29" i="35" s="1"/>
  <c r="AN209" i="19"/>
  <c r="CT29" i="35" s="1"/>
  <c r="AI209" i="19"/>
  <c r="DR205" i="19"/>
  <c r="AI205" i="19"/>
  <c r="DN205" i="19" s="1"/>
  <c r="DR204" i="19"/>
  <c r="AI204" i="19"/>
  <c r="DN204" i="19" s="1"/>
  <c r="DR203" i="19"/>
  <c r="AI203" i="19"/>
  <c r="DN203" i="19" s="1"/>
  <c r="DR202" i="19"/>
  <c r="AI202" i="19"/>
  <c r="DN202" i="19" s="1"/>
  <c r="AO201" i="19"/>
  <c r="CU28" i="35" s="1"/>
  <c r="AN201" i="19"/>
  <c r="CT28" i="35" s="1"/>
  <c r="AI201" i="19"/>
  <c r="DR197" i="19"/>
  <c r="AI197" i="19"/>
  <c r="DN197" i="19" s="1"/>
  <c r="DR196" i="19"/>
  <c r="AI196" i="19"/>
  <c r="DN196" i="19" s="1"/>
  <c r="DR195" i="19"/>
  <c r="AI195" i="19"/>
  <c r="DN195" i="19" s="1"/>
  <c r="DR194" i="19"/>
  <c r="AI194" i="19"/>
  <c r="DN194" i="19" s="1"/>
  <c r="AO193" i="19"/>
  <c r="CU27" i="35" s="1"/>
  <c r="AN193" i="19"/>
  <c r="CT27" i="35" s="1"/>
  <c r="AI193" i="19"/>
  <c r="DR189" i="19"/>
  <c r="AI189" i="19"/>
  <c r="DN189" i="19" s="1"/>
  <c r="DR188" i="19"/>
  <c r="AI188" i="19"/>
  <c r="DN188" i="19" s="1"/>
  <c r="DR187" i="19"/>
  <c r="AI187" i="19"/>
  <c r="DN187" i="19" s="1"/>
  <c r="DR186" i="19"/>
  <c r="AI186" i="19"/>
  <c r="DN186" i="19" s="1"/>
  <c r="AO185" i="19"/>
  <c r="CU26" i="35" s="1"/>
  <c r="AN185" i="19"/>
  <c r="CT26" i="35" s="1"/>
  <c r="AI185" i="19"/>
  <c r="DR181" i="19"/>
  <c r="AI181" i="19"/>
  <c r="DN181" i="19" s="1"/>
  <c r="DR180" i="19"/>
  <c r="AI180" i="19"/>
  <c r="DN180" i="19" s="1"/>
  <c r="DR179" i="19"/>
  <c r="AI179" i="19"/>
  <c r="DN179" i="19" s="1"/>
  <c r="DR178" i="19"/>
  <c r="AI178" i="19"/>
  <c r="DN178" i="19" s="1"/>
  <c r="AO177" i="19"/>
  <c r="CU25" i="35" s="1"/>
  <c r="AN177" i="19"/>
  <c r="CT25" i="35" s="1"/>
  <c r="AI177" i="19"/>
  <c r="DR173" i="19"/>
  <c r="AI173" i="19"/>
  <c r="DN173" i="19" s="1"/>
  <c r="DR172" i="19"/>
  <c r="AI172" i="19"/>
  <c r="DN172" i="19" s="1"/>
  <c r="DR171" i="19"/>
  <c r="AI171" i="19"/>
  <c r="DN171" i="19" s="1"/>
  <c r="DR170" i="19"/>
  <c r="AI170" i="19"/>
  <c r="DN170" i="19" s="1"/>
  <c r="AO169" i="19"/>
  <c r="CU24" i="35" s="1"/>
  <c r="AN169" i="19"/>
  <c r="CT24" i="35" s="1"/>
  <c r="AI169" i="19"/>
  <c r="DR165" i="19"/>
  <c r="AI165" i="19"/>
  <c r="DN165" i="19" s="1"/>
  <c r="DR164" i="19"/>
  <c r="AI164" i="19"/>
  <c r="DN164" i="19" s="1"/>
  <c r="DR163" i="19"/>
  <c r="AI163" i="19"/>
  <c r="DN163" i="19" s="1"/>
  <c r="DR162" i="19"/>
  <c r="AI162" i="19"/>
  <c r="DN162" i="19" s="1"/>
  <c r="AO161" i="19"/>
  <c r="CU23" i="35" s="1"/>
  <c r="AN161" i="19"/>
  <c r="CT23" i="35" s="1"/>
  <c r="AI161" i="19"/>
  <c r="DR157" i="19"/>
  <c r="AI157" i="19"/>
  <c r="DN157" i="19" s="1"/>
  <c r="DR156" i="19"/>
  <c r="AI156" i="19"/>
  <c r="DN156" i="19" s="1"/>
  <c r="DR155" i="19"/>
  <c r="AI155" i="19"/>
  <c r="DN155" i="19" s="1"/>
  <c r="DR154" i="19"/>
  <c r="AI154" i="19"/>
  <c r="DN154" i="19" s="1"/>
  <c r="AO153" i="19"/>
  <c r="CU22" i="35" s="1"/>
  <c r="AN153" i="19"/>
  <c r="CT22" i="35" s="1"/>
  <c r="AI153" i="19"/>
  <c r="DR149" i="19"/>
  <c r="AI149" i="19"/>
  <c r="DN149" i="19" s="1"/>
  <c r="DR148" i="19"/>
  <c r="AI148" i="19"/>
  <c r="DN148" i="19" s="1"/>
  <c r="DR147" i="19"/>
  <c r="AI147" i="19"/>
  <c r="DN147" i="19" s="1"/>
  <c r="DR146" i="19"/>
  <c r="AI146" i="19"/>
  <c r="DN146" i="19" s="1"/>
  <c r="AO145" i="19"/>
  <c r="CU21" i="35" s="1"/>
  <c r="AN145" i="19"/>
  <c r="CT21" i="35" s="1"/>
  <c r="AI145" i="19"/>
  <c r="DR141" i="19"/>
  <c r="AI141" i="19"/>
  <c r="DN141" i="19" s="1"/>
  <c r="DR140" i="19"/>
  <c r="AI140" i="19"/>
  <c r="DN140" i="19" s="1"/>
  <c r="DR139" i="19"/>
  <c r="AI139" i="19"/>
  <c r="DN139" i="19" s="1"/>
  <c r="DR138" i="19"/>
  <c r="AI138" i="19"/>
  <c r="DN138" i="19" s="1"/>
  <c r="AO137" i="19"/>
  <c r="CU20" i="35" s="1"/>
  <c r="AN137" i="19"/>
  <c r="CT20" i="35" s="1"/>
  <c r="AI137" i="19"/>
  <c r="DR133" i="19"/>
  <c r="AI133" i="19"/>
  <c r="DN133" i="19" s="1"/>
  <c r="DR132" i="19"/>
  <c r="AI132" i="19"/>
  <c r="DN132" i="19" s="1"/>
  <c r="DR131" i="19"/>
  <c r="AI131" i="19"/>
  <c r="DN131" i="19" s="1"/>
  <c r="DR130" i="19"/>
  <c r="AI130" i="19"/>
  <c r="DN130" i="19" s="1"/>
  <c r="AO129" i="19"/>
  <c r="CU19" i="35" s="1"/>
  <c r="AN129" i="19"/>
  <c r="CT19" i="35" s="1"/>
  <c r="AI129" i="19"/>
  <c r="DR125" i="19"/>
  <c r="AI125" i="19"/>
  <c r="DN125" i="19" s="1"/>
  <c r="DR124" i="19"/>
  <c r="AI124" i="19"/>
  <c r="DN124" i="19" s="1"/>
  <c r="DR123" i="19"/>
  <c r="AI123" i="19"/>
  <c r="DN123" i="19" s="1"/>
  <c r="DR122" i="19"/>
  <c r="AI122" i="19"/>
  <c r="DN122" i="19" s="1"/>
  <c r="AO121" i="19"/>
  <c r="CU18" i="35" s="1"/>
  <c r="AN121" i="19"/>
  <c r="CT18" i="35" s="1"/>
  <c r="AI121" i="19"/>
  <c r="DR117" i="19"/>
  <c r="AI117" i="19"/>
  <c r="DN117" i="19" s="1"/>
  <c r="DR116" i="19"/>
  <c r="AI116" i="19"/>
  <c r="DN116" i="19" s="1"/>
  <c r="DR115" i="19"/>
  <c r="AI115" i="19"/>
  <c r="DN115" i="19" s="1"/>
  <c r="DR114" i="19"/>
  <c r="AI114" i="19"/>
  <c r="DN114" i="19" s="1"/>
  <c r="AO113" i="19"/>
  <c r="CU17" i="35" s="1"/>
  <c r="AN113" i="19"/>
  <c r="CT17" i="35" s="1"/>
  <c r="AI113" i="19"/>
  <c r="DR109" i="19"/>
  <c r="AI109" i="19"/>
  <c r="DN109" i="19" s="1"/>
  <c r="DR108" i="19"/>
  <c r="AI108" i="19"/>
  <c r="DN108" i="19" s="1"/>
  <c r="DR107" i="19"/>
  <c r="AI107" i="19"/>
  <c r="DN107" i="19" s="1"/>
  <c r="DR106" i="19"/>
  <c r="AI106" i="19"/>
  <c r="DN106" i="19" s="1"/>
  <c r="AO105" i="19"/>
  <c r="CU16" i="35" s="1"/>
  <c r="AN105" i="19"/>
  <c r="CT16" i="35" s="1"/>
  <c r="AI105" i="19"/>
  <c r="DR101" i="19"/>
  <c r="AI101" i="19"/>
  <c r="DN101" i="19" s="1"/>
  <c r="DR100" i="19"/>
  <c r="AI100" i="19"/>
  <c r="DN100" i="19" s="1"/>
  <c r="DR99" i="19"/>
  <c r="AI99" i="19"/>
  <c r="DN99" i="19" s="1"/>
  <c r="DR98" i="19"/>
  <c r="AI98" i="19"/>
  <c r="DN98" i="19" s="1"/>
  <c r="AO97" i="19"/>
  <c r="CU15" i="35" s="1"/>
  <c r="AN97" i="19"/>
  <c r="CT15" i="35" s="1"/>
  <c r="AI97" i="19"/>
  <c r="DR93" i="19"/>
  <c r="AI93" i="19"/>
  <c r="DN93" i="19" s="1"/>
  <c r="DR92" i="19"/>
  <c r="AI92" i="19"/>
  <c r="DN92" i="19" s="1"/>
  <c r="DR91" i="19"/>
  <c r="AI91" i="19"/>
  <c r="DN91" i="19" s="1"/>
  <c r="DR90" i="19"/>
  <c r="AI90" i="19"/>
  <c r="DN90" i="19" s="1"/>
  <c r="AO89" i="19"/>
  <c r="CU14" i="35" s="1"/>
  <c r="AN89" i="19"/>
  <c r="CT14" i="35" s="1"/>
  <c r="DR85" i="19"/>
  <c r="AI85" i="19"/>
  <c r="DN85" i="19" s="1"/>
  <c r="DR84" i="19"/>
  <c r="AI84" i="19"/>
  <c r="DN84" i="19" s="1"/>
  <c r="DR83" i="19"/>
  <c r="DR82" i="19"/>
  <c r="AO81" i="19"/>
  <c r="CU13" i="35" s="1"/>
  <c r="AN81" i="19"/>
  <c r="CT13" i="35" s="1"/>
  <c r="AI81" i="19"/>
  <c r="DR77" i="19"/>
  <c r="AI77" i="19"/>
  <c r="DN77" i="19" s="1"/>
  <c r="DR76" i="19"/>
  <c r="AI76" i="19"/>
  <c r="DN76" i="19" s="1"/>
  <c r="DR75" i="19"/>
  <c r="AI75" i="19"/>
  <c r="DN75" i="19" s="1"/>
  <c r="DR74" i="19"/>
  <c r="AI74" i="19"/>
  <c r="DN74" i="19" s="1"/>
  <c r="AO73" i="19"/>
  <c r="CU12" i="35" s="1"/>
  <c r="AN73" i="19"/>
  <c r="CT12" i="35" s="1"/>
  <c r="AI73" i="19"/>
  <c r="DR69" i="19"/>
  <c r="AI69" i="19"/>
  <c r="DN69" i="19" s="1"/>
  <c r="DR68" i="19"/>
  <c r="AI68" i="19"/>
  <c r="DN68" i="19" s="1"/>
  <c r="DR67" i="19"/>
  <c r="AI67" i="19"/>
  <c r="DN67" i="19" s="1"/>
  <c r="DR66" i="19"/>
  <c r="AI66" i="19"/>
  <c r="DN66" i="19" s="1"/>
  <c r="AO65" i="19"/>
  <c r="CU11" i="35" s="1"/>
  <c r="AN65" i="19"/>
  <c r="CT11" i="35" s="1"/>
  <c r="AI65" i="19"/>
  <c r="DR61" i="19"/>
  <c r="AI61" i="19"/>
  <c r="DN61" i="19" s="1"/>
  <c r="DR60" i="19"/>
  <c r="AI60" i="19"/>
  <c r="DN60" i="19" s="1"/>
  <c r="DR59" i="19"/>
  <c r="AI59" i="19"/>
  <c r="DN59" i="19" s="1"/>
  <c r="DR58" i="19"/>
  <c r="AI58" i="19"/>
  <c r="DN58" i="19" s="1"/>
  <c r="AO57" i="19"/>
  <c r="CU10" i="35" s="1"/>
  <c r="AN57" i="19"/>
  <c r="CT10" i="35" s="1"/>
  <c r="AI57" i="19"/>
  <c r="DR53" i="19"/>
  <c r="AI53" i="19"/>
  <c r="DN53" i="19" s="1"/>
  <c r="DR52" i="19"/>
  <c r="AI52" i="19"/>
  <c r="DN52" i="19" s="1"/>
  <c r="DR51" i="19"/>
  <c r="AI51" i="19"/>
  <c r="DN51" i="19" s="1"/>
  <c r="DR50" i="19"/>
  <c r="AI50" i="19"/>
  <c r="DN50" i="19" s="1"/>
  <c r="AO49" i="19"/>
  <c r="CU9" i="35" s="1"/>
  <c r="AN49" i="19"/>
  <c r="CT9" i="35" s="1"/>
  <c r="AI49" i="19"/>
  <c r="DR45" i="19"/>
  <c r="AI45" i="19"/>
  <c r="DN45" i="19" s="1"/>
  <c r="DR44" i="19"/>
  <c r="AI44" i="19"/>
  <c r="DN44" i="19" s="1"/>
  <c r="DR43" i="19"/>
  <c r="AI43" i="19"/>
  <c r="DN43" i="19" s="1"/>
  <c r="DR42" i="19"/>
  <c r="AI42" i="19"/>
  <c r="DN42" i="19" s="1"/>
  <c r="AO41" i="19"/>
  <c r="CU8" i="35" s="1"/>
  <c r="AN41" i="19"/>
  <c r="CT8" i="35" s="1"/>
  <c r="AI41" i="19"/>
  <c r="DR37" i="19"/>
  <c r="AI37" i="19"/>
  <c r="DN37" i="19" s="1"/>
  <c r="DR36" i="19"/>
  <c r="AI36" i="19"/>
  <c r="DN36" i="19" s="1"/>
  <c r="DR35" i="19"/>
  <c r="AI35" i="19"/>
  <c r="DN35" i="19" s="1"/>
  <c r="DR34" i="19"/>
  <c r="AI34" i="19"/>
  <c r="DN34" i="19" s="1"/>
  <c r="AO33" i="19"/>
  <c r="CU7" i="35" s="1"/>
  <c r="AN33" i="19"/>
  <c r="CT7" i="35" s="1"/>
  <c r="AI33" i="19"/>
  <c r="DR29" i="19"/>
  <c r="AI29" i="19"/>
  <c r="DN29" i="19" s="1"/>
  <c r="DR28" i="19"/>
  <c r="AI28" i="19"/>
  <c r="DN28" i="19" s="1"/>
  <c r="DR27" i="19"/>
  <c r="AI27" i="19"/>
  <c r="DN27" i="19" s="1"/>
  <c r="DR26" i="19"/>
  <c r="AI26" i="19"/>
  <c r="DN26" i="19" s="1"/>
  <c r="AO25" i="19"/>
  <c r="CU6" i="35" s="1"/>
  <c r="AN25" i="19"/>
  <c r="CT6" i="35" s="1"/>
  <c r="AI25" i="19"/>
  <c r="DR20" i="19"/>
  <c r="AN17" i="19"/>
  <c r="CT5" i="35" s="1"/>
  <c r="DR17" i="19"/>
  <c r="AI17" i="19"/>
  <c r="DR13" i="19"/>
  <c r="AI13" i="19"/>
  <c r="DN13" i="19" s="1"/>
  <c r="DR12" i="19"/>
  <c r="AI12" i="19"/>
  <c r="DN12" i="19" s="1"/>
  <c r="DR11" i="19"/>
  <c r="DR10" i="19"/>
  <c r="AN9" i="19"/>
  <c r="CT4" i="35" s="1"/>
  <c r="AI9" i="19"/>
  <c r="C11" i="49" l="1"/>
  <c r="C11" i="53"/>
  <c r="C11" i="54"/>
  <c r="C11" i="50"/>
  <c r="C11" i="51"/>
  <c r="C11" i="45"/>
  <c r="C11" i="46"/>
  <c r="C11" i="47"/>
  <c r="C11" i="52"/>
  <c r="C11" i="48"/>
  <c r="G41" i="33"/>
  <c r="G40" i="33"/>
  <c r="G35" i="33"/>
  <c r="G30" i="33"/>
  <c r="G24" i="33"/>
  <c r="G38" i="33"/>
  <c r="G37" i="33"/>
  <c r="G36" i="33"/>
  <c r="G18" i="33"/>
  <c r="G22" i="33"/>
  <c r="G17" i="33"/>
  <c r="G43" i="33"/>
  <c r="G23" i="33"/>
  <c r="G15" i="33"/>
  <c r="G29" i="33"/>
  <c r="G27" i="33"/>
  <c r="G26" i="33"/>
  <c r="G20" i="33"/>
  <c r="G34" i="33"/>
  <c r="G19" i="33"/>
  <c r="G32" i="33"/>
  <c r="G33" i="33"/>
  <c r="G14" i="33"/>
  <c r="O41" i="33"/>
  <c r="O40" i="33"/>
  <c r="O35" i="33"/>
  <c r="O30" i="33"/>
  <c r="O24" i="33"/>
  <c r="O38" i="33"/>
  <c r="O43" i="33"/>
  <c r="O34" i="33"/>
  <c r="O33" i="33"/>
  <c r="O32" i="33"/>
  <c r="O18" i="33"/>
  <c r="O17" i="33"/>
  <c r="O37" i="33"/>
  <c r="O36" i="33"/>
  <c r="O22" i="33"/>
  <c r="O23" i="33"/>
  <c r="O20" i="33"/>
  <c r="O15" i="33"/>
  <c r="O14" i="33"/>
  <c r="O26" i="33"/>
  <c r="O27" i="33"/>
  <c r="O29" i="33"/>
  <c r="O19" i="33"/>
  <c r="W41" i="33"/>
  <c r="W40" i="33"/>
  <c r="W35" i="33"/>
  <c r="W30" i="33"/>
  <c r="W24" i="33"/>
  <c r="W38" i="33"/>
  <c r="W29" i="33"/>
  <c r="W27" i="33"/>
  <c r="W26" i="33"/>
  <c r="W18" i="33"/>
  <c r="W22" i="33"/>
  <c r="W15" i="33"/>
  <c r="W34" i="33"/>
  <c r="W33" i="33"/>
  <c r="W32" i="33"/>
  <c r="W17" i="33"/>
  <c r="W37" i="33"/>
  <c r="W36" i="33"/>
  <c r="W20" i="33"/>
  <c r="W43" i="33"/>
  <c r="W23" i="33"/>
  <c r="W19" i="33"/>
  <c r="W14" i="33"/>
  <c r="AI43" i="33"/>
  <c r="AI37" i="33"/>
  <c r="AI33" i="33"/>
  <c r="AI27" i="33"/>
  <c r="AI41" i="33"/>
  <c r="AI38" i="33"/>
  <c r="AI32" i="33"/>
  <c r="AI30" i="33"/>
  <c r="AI29" i="33"/>
  <c r="AI20" i="33"/>
  <c r="AI15" i="33"/>
  <c r="AI19" i="33"/>
  <c r="AI14" i="33"/>
  <c r="AI40" i="33"/>
  <c r="AI36" i="33"/>
  <c r="AI35" i="33"/>
  <c r="AI34" i="33"/>
  <c r="AI18" i="33"/>
  <c r="AI23" i="33"/>
  <c r="AI24" i="33"/>
  <c r="AI22" i="33"/>
  <c r="AI26" i="33"/>
  <c r="AI17" i="33"/>
  <c r="AQ43" i="33"/>
  <c r="AQ37" i="33"/>
  <c r="AQ33" i="33"/>
  <c r="AQ27" i="33"/>
  <c r="AQ41" i="33"/>
  <c r="AQ26" i="33"/>
  <c r="AQ24" i="33"/>
  <c r="AQ23" i="33"/>
  <c r="AQ20" i="33"/>
  <c r="AQ15" i="33"/>
  <c r="AQ19" i="33"/>
  <c r="AQ14" i="33"/>
  <c r="AQ18" i="33"/>
  <c r="AQ32" i="33"/>
  <c r="AQ30" i="33"/>
  <c r="AQ29" i="33"/>
  <c r="AQ38" i="33"/>
  <c r="AQ36" i="33"/>
  <c r="AQ35" i="33"/>
  <c r="AQ34" i="33"/>
  <c r="AQ17" i="33"/>
  <c r="AQ22" i="33"/>
  <c r="AQ40" i="33"/>
  <c r="AY43" i="33"/>
  <c r="AY37" i="33"/>
  <c r="AY33" i="33"/>
  <c r="AY27" i="33"/>
  <c r="AY41" i="33"/>
  <c r="AY38" i="33"/>
  <c r="AY20" i="33"/>
  <c r="AY15" i="33"/>
  <c r="AY23" i="33"/>
  <c r="AY18" i="33"/>
  <c r="AY40" i="33"/>
  <c r="AY26" i="33"/>
  <c r="AY24" i="33"/>
  <c r="AY19" i="33"/>
  <c r="AY14" i="33"/>
  <c r="AY32" i="33"/>
  <c r="AY30" i="33"/>
  <c r="AY29" i="33"/>
  <c r="AY34" i="33"/>
  <c r="AY22" i="33"/>
  <c r="AY35" i="33"/>
  <c r="AY17" i="33"/>
  <c r="AY36" i="33"/>
  <c r="BG43" i="33"/>
  <c r="BG37" i="33"/>
  <c r="BG33" i="33"/>
  <c r="BG27" i="33"/>
  <c r="BG41" i="33"/>
  <c r="BG36" i="33"/>
  <c r="BG35" i="33"/>
  <c r="BG34" i="33"/>
  <c r="BG20" i="33"/>
  <c r="BG15" i="33"/>
  <c r="BG19" i="33"/>
  <c r="BG14" i="33"/>
  <c r="BG38" i="33"/>
  <c r="BG26" i="33"/>
  <c r="BG24" i="33"/>
  <c r="BG23" i="33"/>
  <c r="BG18" i="33"/>
  <c r="BG30" i="33"/>
  <c r="BG17" i="33"/>
  <c r="BG32" i="33"/>
  <c r="BG40" i="33"/>
  <c r="BG29" i="33"/>
  <c r="BG22" i="33"/>
  <c r="BO43" i="33"/>
  <c r="BO37" i="33"/>
  <c r="BO33" i="33"/>
  <c r="BO27" i="33"/>
  <c r="BO41" i="33"/>
  <c r="BO38" i="33"/>
  <c r="BO32" i="33"/>
  <c r="BO30" i="33"/>
  <c r="BO29" i="33"/>
  <c r="BO20" i="33"/>
  <c r="BO15" i="33"/>
  <c r="BO19" i="33"/>
  <c r="BO14" i="33"/>
  <c r="BO18" i="33"/>
  <c r="BO40" i="33"/>
  <c r="BO36" i="33"/>
  <c r="BO35" i="33"/>
  <c r="BO34" i="33"/>
  <c r="BO26" i="33"/>
  <c r="BO23" i="33"/>
  <c r="BO22" i="33"/>
  <c r="BO24" i="33"/>
  <c r="BO17" i="33"/>
  <c r="BW43" i="33"/>
  <c r="BW37" i="33"/>
  <c r="BW33" i="33"/>
  <c r="BW27" i="33"/>
  <c r="BW41" i="33"/>
  <c r="BW26" i="33"/>
  <c r="BW24" i="33"/>
  <c r="BW23" i="33"/>
  <c r="BW20" i="33"/>
  <c r="BW15" i="33"/>
  <c r="BW32" i="33"/>
  <c r="BW30" i="33"/>
  <c r="BW29" i="33"/>
  <c r="BW19" i="33"/>
  <c r="BW14" i="33"/>
  <c r="BW38" i="33"/>
  <c r="BW36" i="33"/>
  <c r="BW35" i="33"/>
  <c r="BW34" i="33"/>
  <c r="BW18" i="33"/>
  <c r="BW40" i="33"/>
  <c r="BW22" i="33"/>
  <c r="BW17" i="33"/>
  <c r="CE43" i="33"/>
  <c r="CE37" i="33"/>
  <c r="CE33" i="33"/>
  <c r="CE27" i="33"/>
  <c r="CE41" i="33"/>
  <c r="CE38" i="33"/>
  <c r="CE20" i="33"/>
  <c r="CE15" i="33"/>
  <c r="CE24" i="33"/>
  <c r="CE23" i="33"/>
  <c r="CE19" i="33"/>
  <c r="CE14" i="33"/>
  <c r="CE40" i="33"/>
  <c r="CE26" i="33"/>
  <c r="CE18" i="33"/>
  <c r="CE32" i="33"/>
  <c r="CE30" i="33"/>
  <c r="CE29" i="33"/>
  <c r="CE22" i="33"/>
  <c r="CE34" i="33"/>
  <c r="CE17" i="33"/>
  <c r="CE35" i="33"/>
  <c r="CE36" i="33"/>
  <c r="I38" i="33"/>
  <c r="I34" i="33"/>
  <c r="I29" i="33"/>
  <c r="I23" i="33"/>
  <c r="I43" i="33"/>
  <c r="I40" i="33"/>
  <c r="I22" i="33"/>
  <c r="I17" i="33"/>
  <c r="I24" i="33"/>
  <c r="I15" i="33"/>
  <c r="I27" i="33"/>
  <c r="I26" i="33"/>
  <c r="I20" i="33"/>
  <c r="I41" i="33"/>
  <c r="I33" i="33"/>
  <c r="I32" i="33"/>
  <c r="I30" i="33"/>
  <c r="I19" i="33"/>
  <c r="I14" i="33"/>
  <c r="I35" i="33"/>
  <c r="I18" i="33"/>
  <c r="I36" i="33"/>
  <c r="I37" i="33"/>
  <c r="Q38" i="33"/>
  <c r="Q34" i="33"/>
  <c r="Q29" i="33"/>
  <c r="Q23" i="33"/>
  <c r="Q43" i="33"/>
  <c r="Q37" i="33"/>
  <c r="Q36" i="33"/>
  <c r="Q35" i="33"/>
  <c r="Q22" i="33"/>
  <c r="Q17" i="33"/>
  <c r="Q20" i="33"/>
  <c r="Q14" i="33"/>
  <c r="Q41" i="33"/>
  <c r="Q15" i="33"/>
  <c r="Q40" i="33"/>
  <c r="Q27" i="33"/>
  <c r="Q26" i="33"/>
  <c r="Q24" i="33"/>
  <c r="Q19" i="33"/>
  <c r="Q30" i="33"/>
  <c r="Q18" i="33"/>
  <c r="Q32" i="33"/>
  <c r="Q33" i="33"/>
  <c r="AC43" i="33"/>
  <c r="AC41" i="33"/>
  <c r="AC36" i="33"/>
  <c r="AC32" i="33"/>
  <c r="AC26" i="33"/>
  <c r="AC40" i="33"/>
  <c r="AC37" i="33"/>
  <c r="AC19" i="33"/>
  <c r="AC14" i="33"/>
  <c r="AC24" i="33"/>
  <c r="AC23" i="33"/>
  <c r="AC38" i="33"/>
  <c r="AC18" i="33"/>
  <c r="AC30" i="33"/>
  <c r="AC29" i="33"/>
  <c r="AC27" i="33"/>
  <c r="AC22" i="33"/>
  <c r="AC17" i="33"/>
  <c r="AC20" i="33"/>
  <c r="AC15" i="33"/>
  <c r="AC33" i="33"/>
  <c r="AC34" i="33"/>
  <c r="AC35" i="33"/>
  <c r="AK43" i="33"/>
  <c r="AK41" i="33"/>
  <c r="AK36" i="33"/>
  <c r="AK32" i="33"/>
  <c r="AK26" i="33"/>
  <c r="AK40" i="33"/>
  <c r="AK35" i="33"/>
  <c r="AK34" i="33"/>
  <c r="AK33" i="33"/>
  <c r="AK19" i="33"/>
  <c r="AK14" i="33"/>
  <c r="AK18" i="33"/>
  <c r="AK17" i="33"/>
  <c r="AK37" i="33"/>
  <c r="AK24" i="33"/>
  <c r="AK23" i="33"/>
  <c r="AK22" i="33"/>
  <c r="AK38" i="33"/>
  <c r="AK27" i="33"/>
  <c r="AK15" i="33"/>
  <c r="AK29" i="33"/>
  <c r="AK30" i="33"/>
  <c r="AK20" i="33"/>
  <c r="AS43" i="33"/>
  <c r="AS41" i="33"/>
  <c r="AS36" i="33"/>
  <c r="AS32" i="33"/>
  <c r="AS26" i="33"/>
  <c r="AS40" i="33"/>
  <c r="AS37" i="33"/>
  <c r="AS30" i="33"/>
  <c r="AS29" i="33"/>
  <c r="AS27" i="33"/>
  <c r="AS19" i="33"/>
  <c r="AS14" i="33"/>
  <c r="AS18" i="33"/>
  <c r="AS38" i="33"/>
  <c r="AS35" i="33"/>
  <c r="AS34" i="33"/>
  <c r="AS33" i="33"/>
  <c r="AS17" i="33"/>
  <c r="AS22" i="33"/>
  <c r="AS23" i="33"/>
  <c r="AS24" i="33"/>
  <c r="AS20" i="33"/>
  <c r="AS15" i="33"/>
  <c r="BA43" i="33"/>
  <c r="BA41" i="33"/>
  <c r="BA36" i="33"/>
  <c r="BA32" i="33"/>
  <c r="BA26" i="33"/>
  <c r="BA40" i="33"/>
  <c r="BA24" i="33"/>
  <c r="BA23" i="33"/>
  <c r="BA19" i="33"/>
  <c r="BA14" i="33"/>
  <c r="BA17" i="33"/>
  <c r="BA30" i="33"/>
  <c r="BA29" i="33"/>
  <c r="BA27" i="33"/>
  <c r="BA18" i="33"/>
  <c r="BA37" i="33"/>
  <c r="BA35" i="33"/>
  <c r="BA34" i="33"/>
  <c r="BA33" i="33"/>
  <c r="BA22" i="33"/>
  <c r="BA20" i="33"/>
  <c r="BA15" i="33"/>
  <c r="BA38" i="33"/>
  <c r="BI43" i="33"/>
  <c r="BI41" i="33"/>
  <c r="BI36" i="33"/>
  <c r="BI32" i="33"/>
  <c r="BI26" i="33"/>
  <c r="BI40" i="33"/>
  <c r="BI37" i="33"/>
  <c r="BI19" i="33"/>
  <c r="BI14" i="33"/>
  <c r="BI23" i="33"/>
  <c r="BI18" i="33"/>
  <c r="BI38" i="33"/>
  <c r="BI24" i="33"/>
  <c r="BI30" i="33"/>
  <c r="BI29" i="33"/>
  <c r="BI27" i="33"/>
  <c r="BI22" i="33"/>
  <c r="BI17" i="33"/>
  <c r="BI35" i="33"/>
  <c r="BI20" i="33"/>
  <c r="BI15" i="33"/>
  <c r="BI33" i="33"/>
  <c r="BI34" i="33"/>
  <c r="BQ43" i="33"/>
  <c r="BQ41" i="33"/>
  <c r="BQ36" i="33"/>
  <c r="BQ32" i="33"/>
  <c r="BQ26" i="33"/>
  <c r="BQ40" i="33"/>
  <c r="BQ35" i="33"/>
  <c r="BQ34" i="33"/>
  <c r="BQ33" i="33"/>
  <c r="BQ19" i="33"/>
  <c r="BQ14" i="33"/>
  <c r="BQ18" i="33"/>
  <c r="BQ17" i="33"/>
  <c r="BQ37" i="33"/>
  <c r="BQ24" i="33"/>
  <c r="BQ23" i="33"/>
  <c r="BQ22" i="33"/>
  <c r="BQ15" i="33"/>
  <c r="BQ27" i="33"/>
  <c r="BQ38" i="33"/>
  <c r="BQ29" i="33"/>
  <c r="BQ30" i="33"/>
  <c r="BQ20" i="33"/>
  <c r="BY43" i="33"/>
  <c r="BY41" i="33"/>
  <c r="BY36" i="33"/>
  <c r="BY32" i="33"/>
  <c r="BY26" i="33"/>
  <c r="BY40" i="33"/>
  <c r="BY37" i="33"/>
  <c r="BY30" i="33"/>
  <c r="BY29" i="33"/>
  <c r="BY27" i="33"/>
  <c r="BY19" i="33"/>
  <c r="BY14" i="33"/>
  <c r="BY17" i="33"/>
  <c r="BY38" i="33"/>
  <c r="BY35" i="33"/>
  <c r="BY34" i="33"/>
  <c r="BY33" i="33"/>
  <c r="BY18" i="33"/>
  <c r="BY22" i="33"/>
  <c r="BY23" i="33"/>
  <c r="BY24" i="33"/>
  <c r="BY20" i="33"/>
  <c r="BY15" i="33"/>
  <c r="CG43" i="33"/>
  <c r="CG41" i="33"/>
  <c r="CG36" i="33"/>
  <c r="CG32" i="33"/>
  <c r="CG26" i="33"/>
  <c r="CG40" i="33"/>
  <c r="CG24" i="33"/>
  <c r="CG23" i="33"/>
  <c r="CG19" i="33"/>
  <c r="CG14" i="33"/>
  <c r="CG18" i="33"/>
  <c r="CG30" i="33"/>
  <c r="CG29" i="33"/>
  <c r="CG27" i="33"/>
  <c r="CG37" i="33"/>
  <c r="CG35" i="33"/>
  <c r="CG34" i="33"/>
  <c r="CG33" i="33"/>
  <c r="CG22" i="33"/>
  <c r="CG17" i="33"/>
  <c r="CG38" i="33"/>
  <c r="CG20" i="33"/>
  <c r="CG15" i="33"/>
  <c r="K43" i="33"/>
  <c r="K37" i="33"/>
  <c r="K33" i="33"/>
  <c r="K27" i="33"/>
  <c r="K41" i="33"/>
  <c r="K26" i="33"/>
  <c r="K24" i="33"/>
  <c r="K23" i="33"/>
  <c r="K20" i="33"/>
  <c r="K15" i="33"/>
  <c r="K14" i="33"/>
  <c r="K18" i="33"/>
  <c r="K32" i="33"/>
  <c r="K30" i="33"/>
  <c r="K29" i="33"/>
  <c r="K19" i="33"/>
  <c r="K38" i="33"/>
  <c r="K36" i="33"/>
  <c r="K35" i="33"/>
  <c r="K34" i="33"/>
  <c r="K40" i="33"/>
  <c r="K22" i="33"/>
  <c r="K17" i="33"/>
  <c r="S43" i="33"/>
  <c r="S37" i="33"/>
  <c r="S33" i="33"/>
  <c r="S27" i="33"/>
  <c r="S41" i="33"/>
  <c r="S38" i="33"/>
  <c r="S20" i="33"/>
  <c r="S15" i="33"/>
  <c r="S23" i="33"/>
  <c r="S19" i="33"/>
  <c r="S14" i="33"/>
  <c r="S18" i="33"/>
  <c r="S40" i="33"/>
  <c r="S26" i="33"/>
  <c r="S24" i="33"/>
  <c r="S32" i="33"/>
  <c r="S30" i="33"/>
  <c r="S29" i="33"/>
  <c r="S35" i="33"/>
  <c r="S22" i="33"/>
  <c r="S36" i="33"/>
  <c r="S17" i="33"/>
  <c r="S34" i="33"/>
  <c r="AE41" i="33"/>
  <c r="AE40" i="33"/>
  <c r="AE35" i="33"/>
  <c r="AE30" i="33"/>
  <c r="AE24" i="33"/>
  <c r="AE38" i="33"/>
  <c r="AE23" i="33"/>
  <c r="AE18" i="33"/>
  <c r="AE17" i="33"/>
  <c r="AE29" i="33"/>
  <c r="AE27" i="33"/>
  <c r="AE26" i="33"/>
  <c r="AE22" i="33"/>
  <c r="AE15" i="33"/>
  <c r="AE43" i="33"/>
  <c r="AE34" i="33"/>
  <c r="AE33" i="33"/>
  <c r="AE32" i="33"/>
  <c r="AE20" i="33"/>
  <c r="AE36" i="33"/>
  <c r="AE37" i="33"/>
  <c r="AE19" i="33"/>
  <c r="AE14" i="33"/>
  <c r="AM41" i="33"/>
  <c r="AM40" i="33"/>
  <c r="AM35" i="33"/>
  <c r="AM30" i="33"/>
  <c r="AM24" i="33"/>
  <c r="AM38" i="33"/>
  <c r="AM36" i="33"/>
  <c r="AM18" i="33"/>
  <c r="AM22" i="33"/>
  <c r="AM15" i="33"/>
  <c r="AM43" i="33"/>
  <c r="AM37" i="33"/>
  <c r="AM23" i="33"/>
  <c r="AM17" i="33"/>
  <c r="AM29" i="33"/>
  <c r="AM27" i="33"/>
  <c r="AM26" i="33"/>
  <c r="AM20" i="33"/>
  <c r="AM33" i="33"/>
  <c r="AM19" i="33"/>
  <c r="AM34" i="33"/>
  <c r="AM14" i="33"/>
  <c r="AM32" i="33"/>
  <c r="AU41" i="33"/>
  <c r="AU40" i="33"/>
  <c r="AU35" i="33"/>
  <c r="AU30" i="33"/>
  <c r="AU24" i="33"/>
  <c r="AU38" i="33"/>
  <c r="AU43" i="33"/>
  <c r="AU34" i="33"/>
  <c r="AU33" i="33"/>
  <c r="AU32" i="33"/>
  <c r="AU18" i="33"/>
  <c r="AU22" i="33"/>
  <c r="AU17" i="33"/>
  <c r="AU36" i="33"/>
  <c r="AU23" i="33"/>
  <c r="AU20" i="33"/>
  <c r="AU15" i="33"/>
  <c r="AU37" i="33"/>
  <c r="AU29" i="33"/>
  <c r="AU14" i="33"/>
  <c r="AU26" i="33"/>
  <c r="AU27" i="33"/>
  <c r="AU19" i="33"/>
  <c r="BC41" i="33"/>
  <c r="BC40" i="33"/>
  <c r="BC35" i="33"/>
  <c r="BC30" i="33"/>
  <c r="BC24" i="33"/>
  <c r="BC38" i="33"/>
  <c r="BC29" i="33"/>
  <c r="BC27" i="33"/>
  <c r="BC26" i="33"/>
  <c r="BC18" i="33"/>
  <c r="BC17" i="33"/>
  <c r="BC15" i="33"/>
  <c r="BC37" i="33"/>
  <c r="BC34" i="33"/>
  <c r="BC33" i="33"/>
  <c r="BC32" i="33"/>
  <c r="BC22" i="33"/>
  <c r="BC36" i="33"/>
  <c r="BC20" i="33"/>
  <c r="BC43" i="33"/>
  <c r="BC19" i="33"/>
  <c r="BC23" i="33"/>
  <c r="BC14" i="33"/>
  <c r="BK41" i="33"/>
  <c r="BK40" i="33"/>
  <c r="BK35" i="33"/>
  <c r="BK30" i="33"/>
  <c r="BK24" i="33"/>
  <c r="BK38" i="33"/>
  <c r="BK23" i="33"/>
  <c r="BK18" i="33"/>
  <c r="BK22" i="33"/>
  <c r="BK17" i="33"/>
  <c r="BK29" i="33"/>
  <c r="BK27" i="33"/>
  <c r="BK26" i="33"/>
  <c r="BK15" i="33"/>
  <c r="BK43" i="33"/>
  <c r="BK34" i="33"/>
  <c r="BK33" i="33"/>
  <c r="BK32" i="33"/>
  <c r="BK20" i="33"/>
  <c r="BK14" i="33"/>
  <c r="BK36" i="33"/>
  <c r="BK19" i="33"/>
  <c r="BK37" i="33"/>
  <c r="BS41" i="33"/>
  <c r="BS40" i="33"/>
  <c r="BS35" i="33"/>
  <c r="BS30" i="33"/>
  <c r="BS24" i="33"/>
  <c r="BS38" i="33"/>
  <c r="BS36" i="33"/>
  <c r="BS18" i="33"/>
  <c r="BS22" i="33"/>
  <c r="BS43" i="33"/>
  <c r="BS37" i="33"/>
  <c r="BS23" i="33"/>
  <c r="BS17" i="33"/>
  <c r="BS29" i="33"/>
  <c r="BS27" i="33"/>
  <c r="BS26" i="33"/>
  <c r="BS20" i="33"/>
  <c r="BS15" i="33"/>
  <c r="BS32" i="33"/>
  <c r="BS19" i="33"/>
  <c r="BS14" i="33"/>
  <c r="BS33" i="33"/>
  <c r="BS34" i="33"/>
  <c r="CA41" i="33"/>
  <c r="CA40" i="33"/>
  <c r="CA35" i="33"/>
  <c r="CA30" i="33"/>
  <c r="CA24" i="33"/>
  <c r="CA38" i="33"/>
  <c r="CA43" i="33"/>
  <c r="CA34" i="33"/>
  <c r="CA33" i="33"/>
  <c r="CA32" i="33"/>
  <c r="CA18" i="33"/>
  <c r="CA17" i="33"/>
  <c r="CA15" i="33"/>
  <c r="CA36" i="33"/>
  <c r="CA22" i="33"/>
  <c r="CA23" i="33"/>
  <c r="CA20" i="33"/>
  <c r="CA27" i="33"/>
  <c r="CA14" i="33"/>
  <c r="CA29" i="33"/>
  <c r="CA37" i="33"/>
  <c r="CA26" i="33"/>
  <c r="CA19" i="33"/>
  <c r="M43" i="33"/>
  <c r="M41" i="33"/>
  <c r="M36" i="33"/>
  <c r="M32" i="33"/>
  <c r="M26" i="33"/>
  <c r="M40" i="33"/>
  <c r="M30" i="33"/>
  <c r="M29" i="33"/>
  <c r="M27" i="33"/>
  <c r="M19" i="33"/>
  <c r="M14" i="33"/>
  <c r="M18" i="33"/>
  <c r="M38" i="33"/>
  <c r="M35" i="33"/>
  <c r="M34" i="33"/>
  <c r="M33" i="33"/>
  <c r="M17" i="33"/>
  <c r="M37" i="33"/>
  <c r="M22" i="33"/>
  <c r="M24" i="33"/>
  <c r="M20" i="33"/>
  <c r="M23" i="33"/>
  <c r="M15" i="33"/>
  <c r="U43" i="33"/>
  <c r="U41" i="33"/>
  <c r="U36" i="33"/>
  <c r="U32" i="33"/>
  <c r="U26" i="33"/>
  <c r="U40" i="33"/>
  <c r="U24" i="33"/>
  <c r="U23" i="33"/>
  <c r="U19" i="33"/>
  <c r="U14" i="33"/>
  <c r="U18" i="33"/>
  <c r="U17" i="33"/>
  <c r="U30" i="33"/>
  <c r="U29" i="33"/>
  <c r="U27" i="33"/>
  <c r="U35" i="33"/>
  <c r="U34" i="33"/>
  <c r="U33" i="33"/>
  <c r="U22" i="33"/>
  <c r="U38" i="33"/>
  <c r="U20" i="33"/>
  <c r="U37" i="33"/>
  <c r="U15" i="33"/>
  <c r="AG38" i="33"/>
  <c r="AG34" i="33"/>
  <c r="AG29" i="33"/>
  <c r="AG23" i="33"/>
  <c r="AG43" i="33"/>
  <c r="AG37" i="33"/>
  <c r="AG27" i="33"/>
  <c r="AG26" i="33"/>
  <c r="AG24" i="33"/>
  <c r="AG22" i="33"/>
  <c r="AG17" i="33"/>
  <c r="AG14" i="33"/>
  <c r="AG33" i="33"/>
  <c r="AG32" i="33"/>
  <c r="AG30" i="33"/>
  <c r="AG20" i="33"/>
  <c r="AG15" i="33"/>
  <c r="AG40" i="33"/>
  <c r="AG36" i="33"/>
  <c r="AG35" i="33"/>
  <c r="AG19" i="33"/>
  <c r="AG18" i="33"/>
  <c r="AG41" i="33"/>
  <c r="AO38" i="33"/>
  <c r="AO34" i="33"/>
  <c r="AO29" i="33"/>
  <c r="AO23" i="33"/>
  <c r="AO43" i="33"/>
  <c r="AO37" i="33"/>
  <c r="AO40" i="33"/>
  <c r="AO22" i="33"/>
  <c r="AO17" i="33"/>
  <c r="AO20" i="33"/>
  <c r="AO15" i="33"/>
  <c r="AO27" i="33"/>
  <c r="AO26" i="33"/>
  <c r="AO24" i="33"/>
  <c r="AO41" i="33"/>
  <c r="AO33" i="33"/>
  <c r="AO32" i="33"/>
  <c r="AO30" i="33"/>
  <c r="AO19" i="33"/>
  <c r="AO14" i="33"/>
  <c r="AO18" i="33"/>
  <c r="AO35" i="33"/>
  <c r="AO36" i="33"/>
  <c r="AW38" i="33"/>
  <c r="AW34" i="33"/>
  <c r="AW29" i="33"/>
  <c r="AW23" i="33"/>
  <c r="AW43" i="33"/>
  <c r="AW37" i="33"/>
  <c r="AW36" i="33"/>
  <c r="AW35" i="33"/>
  <c r="AW22" i="33"/>
  <c r="AW17" i="33"/>
  <c r="AW15" i="33"/>
  <c r="AW14" i="33"/>
  <c r="AW41" i="33"/>
  <c r="AW20" i="33"/>
  <c r="AW40" i="33"/>
  <c r="AW27" i="33"/>
  <c r="AW26" i="33"/>
  <c r="AW24" i="33"/>
  <c r="AW19" i="33"/>
  <c r="AW18" i="33"/>
  <c r="AW30" i="33"/>
  <c r="AW32" i="33"/>
  <c r="AW33" i="33"/>
  <c r="BE38" i="33"/>
  <c r="BE34" i="33"/>
  <c r="BE29" i="33"/>
  <c r="BE23" i="33"/>
  <c r="BE43" i="33"/>
  <c r="BE37" i="33"/>
  <c r="BE41" i="33"/>
  <c r="BE40" i="33"/>
  <c r="BE33" i="33"/>
  <c r="BE32" i="33"/>
  <c r="BE30" i="33"/>
  <c r="BE22" i="33"/>
  <c r="BE17" i="33"/>
  <c r="BE20" i="33"/>
  <c r="BE36" i="33"/>
  <c r="BE35" i="33"/>
  <c r="BE15" i="33"/>
  <c r="BE14" i="33"/>
  <c r="BE19" i="33"/>
  <c r="BE24" i="33"/>
  <c r="BE26" i="33"/>
  <c r="BE27" i="33"/>
  <c r="BE18" i="33"/>
  <c r="BM38" i="33"/>
  <c r="BM34" i="33"/>
  <c r="BM29" i="33"/>
  <c r="BM23" i="33"/>
  <c r="BM43" i="33"/>
  <c r="BM37" i="33"/>
  <c r="BM27" i="33"/>
  <c r="BM26" i="33"/>
  <c r="BM24" i="33"/>
  <c r="BM22" i="33"/>
  <c r="BM17" i="33"/>
  <c r="BM20" i="33"/>
  <c r="BM15" i="33"/>
  <c r="BM33" i="33"/>
  <c r="BM32" i="33"/>
  <c r="BM30" i="33"/>
  <c r="BM40" i="33"/>
  <c r="BM36" i="33"/>
  <c r="BM35" i="33"/>
  <c r="BM19" i="33"/>
  <c r="BM14" i="33"/>
  <c r="BM41" i="33"/>
  <c r="BM18" i="33"/>
  <c r="BU38" i="33"/>
  <c r="BU34" i="33"/>
  <c r="BU29" i="33"/>
  <c r="BU23" i="33"/>
  <c r="BU43" i="33"/>
  <c r="BU37" i="33"/>
  <c r="BU40" i="33"/>
  <c r="BU22" i="33"/>
  <c r="BU17" i="33"/>
  <c r="BU15" i="33"/>
  <c r="BU14" i="33"/>
  <c r="BU27" i="33"/>
  <c r="BU26" i="33"/>
  <c r="BU24" i="33"/>
  <c r="BU20" i="33"/>
  <c r="BU41" i="33"/>
  <c r="BU33" i="33"/>
  <c r="BU32" i="33"/>
  <c r="BU30" i="33"/>
  <c r="BU19" i="33"/>
  <c r="BU36" i="33"/>
  <c r="BU18" i="33"/>
  <c r="BU35" i="33"/>
  <c r="CC38" i="33"/>
  <c r="CC34" i="33"/>
  <c r="CC29" i="33"/>
  <c r="CC23" i="33"/>
  <c r="CC43" i="33"/>
  <c r="CC37" i="33"/>
  <c r="CC36" i="33"/>
  <c r="CC35" i="33"/>
  <c r="CC22" i="33"/>
  <c r="CC17" i="33"/>
  <c r="CC20" i="33"/>
  <c r="CC14" i="33"/>
  <c r="CC41" i="33"/>
  <c r="CC15" i="33"/>
  <c r="CC40" i="33"/>
  <c r="CC27" i="33"/>
  <c r="CC26" i="33"/>
  <c r="CC24" i="33"/>
  <c r="CC19" i="33"/>
  <c r="CC33" i="33"/>
  <c r="CC18" i="33"/>
  <c r="CC30" i="33"/>
  <c r="CC32" i="33"/>
  <c r="DR41" i="19"/>
  <c r="CS8" i="35"/>
  <c r="DR57" i="19"/>
  <c r="CS10" i="35"/>
  <c r="DR97" i="19"/>
  <c r="CS15" i="35"/>
  <c r="DR121" i="19"/>
  <c r="CS18" i="35"/>
  <c r="DR25" i="19"/>
  <c r="CS6" i="35"/>
  <c r="DR73" i="19"/>
  <c r="CS12" i="35"/>
  <c r="DR137" i="19"/>
  <c r="CS20" i="35"/>
  <c r="DR153" i="19"/>
  <c r="CS22" i="35"/>
  <c r="DR161" i="19"/>
  <c r="CS23" i="35"/>
  <c r="DR217" i="19"/>
  <c r="CS30" i="35"/>
  <c r="DR257" i="19"/>
  <c r="CS35" i="35"/>
  <c r="DR321" i="19"/>
  <c r="CS43" i="35"/>
  <c r="DW17" i="19"/>
  <c r="CZ5" i="35"/>
  <c r="DW33" i="19"/>
  <c r="CZ7" i="35"/>
  <c r="DW49" i="19"/>
  <c r="CZ9" i="35"/>
  <c r="DW121" i="19"/>
  <c r="CZ18" i="35"/>
  <c r="DW169" i="19"/>
  <c r="CZ24" i="35"/>
  <c r="DW201" i="19"/>
  <c r="CZ28" i="35"/>
  <c r="DW209" i="19"/>
  <c r="CZ29" i="35"/>
  <c r="DW249" i="19"/>
  <c r="CZ34" i="35"/>
  <c r="DW273" i="19"/>
  <c r="CZ37" i="35"/>
  <c r="DR89" i="19"/>
  <c r="CS14" i="35"/>
  <c r="DR169" i="19"/>
  <c r="CS24" i="35"/>
  <c r="DR201" i="19"/>
  <c r="CS28" i="35"/>
  <c r="DR9" i="19"/>
  <c r="CS4" i="35"/>
  <c r="DR105" i="19"/>
  <c r="CS16" i="35"/>
  <c r="DR113" i="19"/>
  <c r="CS17" i="35"/>
  <c r="DR145" i="19"/>
  <c r="CS21" i="35"/>
  <c r="DR209" i="19"/>
  <c r="CS29" i="35"/>
  <c r="DR249" i="19"/>
  <c r="CS34" i="35"/>
  <c r="DR305" i="19"/>
  <c r="CS41" i="35"/>
  <c r="DW9" i="19"/>
  <c r="CZ4" i="35"/>
  <c r="DW25" i="19"/>
  <c r="CZ6" i="35"/>
  <c r="DW41" i="19"/>
  <c r="CZ8" i="35"/>
  <c r="DW81" i="19"/>
  <c r="CZ13" i="35"/>
  <c r="DW89" i="19"/>
  <c r="CZ14" i="35"/>
  <c r="DW129" i="19"/>
  <c r="CZ19" i="35"/>
  <c r="DW145" i="19"/>
  <c r="CZ21" i="35"/>
  <c r="DW281" i="19"/>
  <c r="CZ38" i="35"/>
  <c r="DW289" i="19"/>
  <c r="CZ39" i="35"/>
  <c r="DW305" i="19"/>
  <c r="CZ41" i="35"/>
  <c r="DW321" i="19"/>
  <c r="CZ43" i="35"/>
  <c r="CS5" i="35"/>
  <c r="DR81" i="19"/>
  <c r="CS13" i="35"/>
  <c r="DR241" i="19"/>
  <c r="CS33" i="35"/>
  <c r="DR273" i="19"/>
  <c r="CS37" i="35"/>
  <c r="DR281" i="19"/>
  <c r="CS38" i="35"/>
  <c r="DR297" i="19"/>
  <c r="CS40" i="35"/>
  <c r="DR313" i="19"/>
  <c r="CS42" i="35"/>
  <c r="DW57" i="19"/>
  <c r="CZ10" i="35"/>
  <c r="DW73" i="19"/>
  <c r="CZ12" i="35"/>
  <c r="DW137" i="19"/>
  <c r="CZ20" i="35"/>
  <c r="DW153" i="19"/>
  <c r="CZ22" i="35"/>
  <c r="DW161" i="19"/>
  <c r="CZ23" i="35"/>
  <c r="DW177" i="19"/>
  <c r="CZ25" i="35"/>
  <c r="DW217" i="19"/>
  <c r="CZ30" i="35"/>
  <c r="DW233" i="19"/>
  <c r="CZ32" i="35"/>
  <c r="DW257" i="19"/>
  <c r="CZ35" i="35"/>
  <c r="DW265" i="19"/>
  <c r="CZ36" i="35"/>
  <c r="DR49" i="19"/>
  <c r="CS9" i="35"/>
  <c r="DR33" i="19"/>
  <c r="CS7" i="35"/>
  <c r="DR65" i="19"/>
  <c r="CS11" i="35"/>
  <c r="DR129" i="19"/>
  <c r="CS19" i="35"/>
  <c r="DR177" i="19"/>
  <c r="CS25" i="35"/>
  <c r="DR185" i="19"/>
  <c r="CS26" i="35"/>
  <c r="DR193" i="19"/>
  <c r="CS27" i="35"/>
  <c r="DR225" i="19"/>
  <c r="CS31" i="35"/>
  <c r="DR233" i="19"/>
  <c r="CS32" i="35"/>
  <c r="DR265" i="19"/>
  <c r="CS36" i="35"/>
  <c r="DR289" i="19"/>
  <c r="CS39" i="35"/>
  <c r="DW65" i="19"/>
  <c r="CZ11" i="35"/>
  <c r="DW97" i="19"/>
  <c r="CZ15" i="35"/>
  <c r="DW105" i="19"/>
  <c r="CZ16" i="35"/>
  <c r="DW113" i="19"/>
  <c r="CZ17" i="35"/>
  <c r="DW185" i="19"/>
  <c r="CZ26" i="35"/>
  <c r="DW193" i="19"/>
  <c r="CZ27" i="35"/>
  <c r="DW225" i="19"/>
  <c r="CZ31" i="35"/>
  <c r="DW241" i="19"/>
  <c r="CZ33" i="35"/>
  <c r="DW297" i="19"/>
  <c r="CZ40" i="35"/>
  <c r="DW313" i="19"/>
  <c r="CZ42" i="35"/>
  <c r="DN17" i="19"/>
  <c r="DS33" i="19"/>
  <c r="CV7" i="35"/>
  <c r="DS49" i="19"/>
  <c r="CV9" i="35"/>
  <c r="DS65" i="19"/>
  <c r="CV11" i="35"/>
  <c r="DS81" i="19"/>
  <c r="CV13" i="35"/>
  <c r="DS97" i="19"/>
  <c r="CV15" i="35"/>
  <c r="DS113" i="19"/>
  <c r="CV17" i="35"/>
  <c r="DS129" i="19"/>
  <c r="CV19" i="35"/>
  <c r="DS161" i="19"/>
  <c r="CV23" i="35"/>
  <c r="DS177" i="19"/>
  <c r="CV25" i="35"/>
  <c r="DS193" i="19"/>
  <c r="CV27" i="35"/>
  <c r="DS209" i="19"/>
  <c r="CV29" i="35"/>
  <c r="DS225" i="19"/>
  <c r="CV31" i="35"/>
  <c r="DS241" i="19"/>
  <c r="DS257" i="19"/>
  <c r="CV35" i="35"/>
  <c r="DS273" i="19"/>
  <c r="CV37" i="35"/>
  <c r="DS289" i="19"/>
  <c r="DS305" i="19"/>
  <c r="CV41" i="35"/>
  <c r="DS321" i="19"/>
  <c r="DN9" i="19"/>
  <c r="DN25" i="19"/>
  <c r="CO6" i="35"/>
  <c r="DN41" i="19"/>
  <c r="CO8" i="35"/>
  <c r="DN57" i="19"/>
  <c r="CO10" i="35"/>
  <c r="DN73" i="19"/>
  <c r="CO12" i="35"/>
  <c r="DN105" i="19"/>
  <c r="CO16" i="35"/>
  <c r="DN121" i="19"/>
  <c r="CO18" i="35"/>
  <c r="DN137" i="19"/>
  <c r="CO20" i="35"/>
  <c r="DN153" i="19"/>
  <c r="CO22" i="35"/>
  <c r="DN169" i="19"/>
  <c r="CO24" i="35"/>
  <c r="DN185" i="19"/>
  <c r="CO26" i="35"/>
  <c r="DN201" i="19"/>
  <c r="CO28" i="35"/>
  <c r="DN217" i="19"/>
  <c r="CO30" i="35"/>
  <c r="DN233" i="19"/>
  <c r="CO32" i="35"/>
  <c r="DN249" i="19"/>
  <c r="CO34" i="35"/>
  <c r="DN265" i="19"/>
  <c r="CO36" i="35"/>
  <c r="DN281" i="19"/>
  <c r="CO38" i="35"/>
  <c r="DN297" i="19"/>
  <c r="CO40" i="35"/>
  <c r="DN49" i="19"/>
  <c r="CO9" i="35"/>
  <c r="DS41" i="19"/>
  <c r="CV8" i="35"/>
  <c r="DS57" i="19"/>
  <c r="CV10" i="35"/>
  <c r="DS73" i="19"/>
  <c r="CV12" i="35"/>
  <c r="DS89" i="19"/>
  <c r="DS105" i="19"/>
  <c r="CV16" i="35"/>
  <c r="DS121" i="19"/>
  <c r="CV18" i="35"/>
  <c r="DS137" i="19"/>
  <c r="CV20" i="35"/>
  <c r="DS153" i="19"/>
  <c r="CV22" i="35"/>
  <c r="DS169" i="19"/>
  <c r="CV24" i="35"/>
  <c r="DS185" i="19"/>
  <c r="DS201" i="19"/>
  <c r="CV28" i="35"/>
  <c r="DS217" i="19"/>
  <c r="CV30" i="35"/>
  <c r="DS233" i="19"/>
  <c r="CV32" i="35"/>
  <c r="DS249" i="19"/>
  <c r="DS265" i="19"/>
  <c r="CV36" i="35"/>
  <c r="DS281" i="19"/>
  <c r="CV38" i="35"/>
  <c r="DS313" i="19"/>
  <c r="DN33" i="19"/>
  <c r="CO7" i="35"/>
  <c r="DN65" i="19"/>
  <c r="CO11" i="35"/>
  <c r="DN81" i="19"/>
  <c r="DN97" i="19"/>
  <c r="CO15" i="35"/>
  <c r="DN113" i="19"/>
  <c r="CO17" i="35"/>
  <c r="DN129" i="19"/>
  <c r="CO19" i="35"/>
  <c r="DN145" i="19"/>
  <c r="CO21" i="35"/>
  <c r="DN161" i="19"/>
  <c r="CO23" i="35"/>
  <c r="DN177" i="19"/>
  <c r="CO25" i="35"/>
  <c r="DN193" i="19"/>
  <c r="CO27" i="35"/>
  <c r="DN209" i="19"/>
  <c r="CO29" i="35"/>
  <c r="DN225" i="19"/>
  <c r="CO31" i="35"/>
  <c r="DN241" i="19"/>
  <c r="CO33" i="35"/>
  <c r="DN257" i="19"/>
  <c r="CO35" i="35"/>
  <c r="DN273" i="19"/>
  <c r="CO37" i="35"/>
  <c r="DN289" i="19"/>
  <c r="CO39" i="35"/>
  <c r="DN305" i="19"/>
  <c r="CO41" i="35"/>
  <c r="FP325" i="19"/>
  <c r="FL325" i="19"/>
  <c r="FP324" i="19"/>
  <c r="FL324" i="19"/>
  <c r="FP323" i="19"/>
  <c r="FL323" i="19"/>
  <c r="FP322" i="19"/>
  <c r="FM43" i="35"/>
  <c r="FL43" i="35"/>
  <c r="FP317" i="19"/>
  <c r="FL317" i="19"/>
  <c r="FP316" i="19"/>
  <c r="FL316" i="19"/>
  <c r="FP315" i="19"/>
  <c r="FL315" i="19"/>
  <c r="FP314" i="19"/>
  <c r="FM42" i="35"/>
  <c r="FL42" i="35"/>
  <c r="FP309" i="19"/>
  <c r="FL309" i="19"/>
  <c r="FP308" i="19"/>
  <c r="FL308" i="19"/>
  <c r="FP307" i="19"/>
  <c r="FL307" i="19"/>
  <c r="FP306" i="19"/>
  <c r="FL306" i="19"/>
  <c r="FM41" i="35"/>
  <c r="FL41" i="35"/>
  <c r="FP301" i="19"/>
  <c r="FL301" i="19"/>
  <c r="FP300" i="19"/>
  <c r="FL300" i="19"/>
  <c r="FP299" i="19"/>
  <c r="FP298" i="19"/>
  <c r="FL298" i="19"/>
  <c r="FM40" i="35"/>
  <c r="FL40" i="35"/>
  <c r="FP293" i="19"/>
  <c r="FL293" i="19"/>
  <c r="FP292" i="19"/>
  <c r="FL292" i="19"/>
  <c r="FP291" i="19"/>
  <c r="FL291" i="19"/>
  <c r="FP290" i="19"/>
  <c r="FM39" i="35"/>
  <c r="FL39" i="35"/>
  <c r="FP285" i="19"/>
  <c r="FL285" i="19"/>
  <c r="FP284" i="19"/>
  <c r="FL284" i="19"/>
  <c r="FP283" i="19"/>
  <c r="FL283" i="19"/>
  <c r="FP282" i="19"/>
  <c r="FM38" i="35"/>
  <c r="FL38" i="35"/>
  <c r="FP277" i="19"/>
  <c r="FL277" i="19"/>
  <c r="FP276" i="19"/>
  <c r="FL276" i="19"/>
  <c r="FP275" i="19"/>
  <c r="FL275" i="19"/>
  <c r="FP274" i="19"/>
  <c r="FL274" i="19"/>
  <c r="FM37" i="35"/>
  <c r="FL37" i="35"/>
  <c r="FP269" i="19"/>
  <c r="FL269" i="19"/>
  <c r="FP268" i="19"/>
  <c r="FL268" i="19"/>
  <c r="FP267" i="19"/>
  <c r="FL267" i="19"/>
  <c r="FP266" i="19"/>
  <c r="FL266" i="19"/>
  <c r="FM36" i="35"/>
  <c r="FL36" i="35"/>
  <c r="FP261" i="19"/>
  <c r="FL261" i="19"/>
  <c r="FP260" i="19"/>
  <c r="FL260" i="19"/>
  <c r="FP259" i="19"/>
  <c r="FL259" i="19"/>
  <c r="FP258" i="19"/>
  <c r="FL258" i="19"/>
  <c r="FM35" i="35"/>
  <c r="FL35" i="35"/>
  <c r="FP253" i="19"/>
  <c r="FL253" i="19"/>
  <c r="FP252" i="19"/>
  <c r="FL252" i="19"/>
  <c r="FP251" i="19"/>
  <c r="FP250" i="19"/>
  <c r="FL250" i="19"/>
  <c r="FM34" i="35"/>
  <c r="FL34" i="35"/>
  <c r="FP245" i="19"/>
  <c r="FL245" i="19"/>
  <c r="FP244" i="19"/>
  <c r="FL244" i="19"/>
  <c r="FP243" i="19"/>
  <c r="FL243" i="19"/>
  <c r="FP242" i="19"/>
  <c r="FM33" i="35"/>
  <c r="FL33" i="35"/>
  <c r="FP237" i="19"/>
  <c r="FL237" i="19"/>
  <c r="FP236" i="19"/>
  <c r="FL236" i="19"/>
  <c r="FP235" i="19"/>
  <c r="FL235" i="19"/>
  <c r="FP234" i="19"/>
  <c r="FM32" i="35"/>
  <c r="FL32" i="35"/>
  <c r="FP229" i="19"/>
  <c r="FL229" i="19"/>
  <c r="FP228" i="19"/>
  <c r="FL228" i="19"/>
  <c r="FP227" i="19"/>
  <c r="FL227" i="19"/>
  <c r="FP226" i="19"/>
  <c r="FL226" i="19"/>
  <c r="FM31" i="35"/>
  <c r="FL31" i="35"/>
  <c r="FP221" i="19"/>
  <c r="FL221" i="19"/>
  <c r="FP220" i="19"/>
  <c r="FL220" i="19"/>
  <c r="FP219" i="19"/>
  <c r="FL219" i="19"/>
  <c r="FP218" i="19"/>
  <c r="FL218" i="19"/>
  <c r="FM30" i="35"/>
  <c r="FL30" i="35"/>
  <c r="FP213" i="19"/>
  <c r="FL213" i="19"/>
  <c r="FP212" i="19"/>
  <c r="FL212" i="19"/>
  <c r="FP211" i="19"/>
  <c r="FL211" i="19"/>
  <c r="FP210" i="19"/>
  <c r="FL210" i="19"/>
  <c r="FM29" i="35"/>
  <c r="FL29" i="35"/>
  <c r="FP205" i="19"/>
  <c r="FL205" i="19"/>
  <c r="FP204" i="19"/>
  <c r="FL204" i="19"/>
  <c r="FP203" i="19"/>
  <c r="FL203" i="19"/>
  <c r="FP202" i="19"/>
  <c r="FL202" i="19"/>
  <c r="FM28" i="35"/>
  <c r="FL28" i="35"/>
  <c r="FP197" i="19"/>
  <c r="FL197" i="19"/>
  <c r="FP196" i="19"/>
  <c r="FL196" i="19"/>
  <c r="FP195" i="19"/>
  <c r="FL195" i="19"/>
  <c r="FP194" i="19"/>
  <c r="FL194" i="19"/>
  <c r="FM27" i="35"/>
  <c r="FL27" i="35"/>
  <c r="FP189" i="19"/>
  <c r="FL189" i="19"/>
  <c r="FP188" i="19"/>
  <c r="FL188" i="19"/>
  <c r="FP187" i="19"/>
  <c r="FP186" i="19"/>
  <c r="FL186" i="19"/>
  <c r="FM26" i="35"/>
  <c r="FL26" i="35"/>
  <c r="FP181" i="19"/>
  <c r="FL181" i="19"/>
  <c r="FP180" i="19"/>
  <c r="FL180" i="19"/>
  <c r="FP179" i="19"/>
  <c r="FL179" i="19"/>
  <c r="FP178" i="19"/>
  <c r="FL178" i="19"/>
  <c r="FM25" i="35"/>
  <c r="FL25" i="35"/>
  <c r="FP173" i="19"/>
  <c r="FL173" i="19"/>
  <c r="FP172" i="19"/>
  <c r="FL172" i="19"/>
  <c r="FP171" i="19"/>
  <c r="FP170" i="19"/>
  <c r="FL170" i="19"/>
  <c r="FM24" i="35"/>
  <c r="FL24" i="35"/>
  <c r="FP165" i="19"/>
  <c r="FL165" i="19"/>
  <c r="FP164" i="19"/>
  <c r="FL164" i="19"/>
  <c r="FP163" i="19"/>
  <c r="FL163" i="19"/>
  <c r="FP162" i="19"/>
  <c r="FL162" i="19"/>
  <c r="FM23" i="35"/>
  <c r="FL23" i="35"/>
  <c r="FP157" i="19"/>
  <c r="FL157" i="19"/>
  <c r="FP156" i="19"/>
  <c r="FL156" i="19"/>
  <c r="FP155" i="19"/>
  <c r="FL155" i="19"/>
  <c r="FP154" i="19"/>
  <c r="FL154" i="19"/>
  <c r="FM22" i="35"/>
  <c r="FL22" i="35"/>
  <c r="FP149" i="19"/>
  <c r="FL149" i="19"/>
  <c r="FP148" i="19"/>
  <c r="FL148" i="19"/>
  <c r="FP147" i="19"/>
  <c r="FP146" i="19"/>
  <c r="FL146" i="19"/>
  <c r="FM21" i="35"/>
  <c r="FL21" i="35"/>
  <c r="FP141" i="19"/>
  <c r="FL141" i="19"/>
  <c r="FP140" i="19"/>
  <c r="FL140" i="19"/>
  <c r="FP139" i="19"/>
  <c r="FL139" i="19"/>
  <c r="FP138" i="19"/>
  <c r="FM20" i="35"/>
  <c r="FL20" i="35"/>
  <c r="FP133" i="19"/>
  <c r="FL133" i="19"/>
  <c r="FP132" i="19"/>
  <c r="FL132" i="19"/>
  <c r="FP131" i="19"/>
  <c r="FL131" i="19"/>
  <c r="FP130" i="19"/>
  <c r="FM19" i="35"/>
  <c r="FL19" i="35"/>
  <c r="FP125" i="19"/>
  <c r="FL125" i="19"/>
  <c r="FP124" i="19"/>
  <c r="FL124" i="19"/>
  <c r="FP123" i="19"/>
  <c r="FL123" i="19"/>
  <c r="FP122" i="19"/>
  <c r="FM18" i="35"/>
  <c r="FL18" i="35"/>
  <c r="FP117" i="19"/>
  <c r="FL117" i="19"/>
  <c r="FP116" i="19"/>
  <c r="FL116" i="19"/>
  <c r="FP115" i="19"/>
  <c r="FL115" i="19"/>
  <c r="FP114" i="19"/>
  <c r="FM17" i="35"/>
  <c r="FL17" i="35"/>
  <c r="FP109" i="19"/>
  <c r="FL109" i="19"/>
  <c r="FP108" i="19"/>
  <c r="FL108" i="19"/>
  <c r="FP107" i="19"/>
  <c r="FL107" i="19"/>
  <c r="FP106" i="19"/>
  <c r="FM16" i="35"/>
  <c r="FL16" i="35"/>
  <c r="FP101" i="19"/>
  <c r="FL101" i="19"/>
  <c r="FP100" i="19"/>
  <c r="FL100" i="19"/>
  <c r="FP99" i="19"/>
  <c r="FL99" i="19"/>
  <c r="FP98" i="19"/>
  <c r="FL98" i="19"/>
  <c r="FM15" i="35"/>
  <c r="FL15" i="35"/>
  <c r="FP93" i="19"/>
  <c r="FL93" i="19"/>
  <c r="FP92" i="19"/>
  <c r="FL92" i="19"/>
  <c r="FP91" i="19"/>
  <c r="FL91" i="19"/>
  <c r="FP90" i="19"/>
  <c r="FM14" i="35"/>
  <c r="FL14" i="35"/>
  <c r="FP85" i="19"/>
  <c r="FL85" i="19"/>
  <c r="FP84" i="19"/>
  <c r="FL84" i="19"/>
  <c r="FP83" i="19"/>
  <c r="FP82" i="19"/>
  <c r="FL82" i="19"/>
  <c r="FM13" i="35"/>
  <c r="FL13" i="35"/>
  <c r="FP77" i="19"/>
  <c r="FL77" i="19"/>
  <c r="FP76" i="19"/>
  <c r="FL76" i="19"/>
  <c r="FP75" i="19"/>
  <c r="FP74" i="19"/>
  <c r="FL74" i="19"/>
  <c r="FM12" i="35"/>
  <c r="FL12" i="35"/>
  <c r="FP69" i="19"/>
  <c r="FL69" i="19"/>
  <c r="FP68" i="19"/>
  <c r="FL68" i="19"/>
  <c r="FP67" i="19"/>
  <c r="FL67" i="19"/>
  <c r="FP66" i="19"/>
  <c r="FM11" i="35"/>
  <c r="FL11" i="35"/>
  <c r="FP61" i="19"/>
  <c r="FL61" i="19"/>
  <c r="FP60" i="19"/>
  <c r="FL60" i="19"/>
  <c r="FP59" i="19"/>
  <c r="FL59" i="19"/>
  <c r="FP58" i="19"/>
  <c r="FM10" i="35"/>
  <c r="FL10" i="35"/>
  <c r="FP53" i="19"/>
  <c r="FL53" i="19"/>
  <c r="FP52" i="19"/>
  <c r="FL52" i="19"/>
  <c r="FP51" i="19"/>
  <c r="FL51" i="19"/>
  <c r="FP50" i="19"/>
  <c r="FL50" i="19"/>
  <c r="FM9" i="35"/>
  <c r="FL9" i="35"/>
  <c r="FP45" i="19"/>
  <c r="FL45" i="19"/>
  <c r="FP44" i="19"/>
  <c r="FL44" i="19"/>
  <c r="FP43" i="19"/>
  <c r="FL43" i="19"/>
  <c r="FP42" i="19"/>
  <c r="FL42" i="19"/>
  <c r="FM8" i="35"/>
  <c r="FL8" i="35"/>
  <c r="FP37" i="19"/>
  <c r="FL37" i="19"/>
  <c r="FP36" i="19"/>
  <c r="FL36" i="19"/>
  <c r="FP35" i="19"/>
  <c r="FL35" i="19"/>
  <c r="FP34" i="19"/>
  <c r="FL34" i="19"/>
  <c r="FM7" i="35"/>
  <c r="FL7" i="35"/>
  <c r="FP29" i="19"/>
  <c r="FL29" i="19"/>
  <c r="FP28" i="19"/>
  <c r="FL28" i="19"/>
  <c r="FP27" i="19"/>
  <c r="FP26" i="19"/>
  <c r="FM6" i="35"/>
  <c r="FL6" i="35"/>
  <c r="FP21" i="19"/>
  <c r="FM21" i="19"/>
  <c r="FL21" i="19"/>
  <c r="FP20" i="19"/>
  <c r="FM20" i="19"/>
  <c r="FL20" i="19"/>
  <c r="FP19" i="19"/>
  <c r="FM19" i="19"/>
  <c r="FL19" i="19"/>
  <c r="FP18" i="19"/>
  <c r="FM18" i="19"/>
  <c r="FL18" i="19"/>
  <c r="FM5" i="35"/>
  <c r="FL5" i="35"/>
  <c r="FP13" i="19"/>
  <c r="FL13" i="19"/>
  <c r="FP12" i="19"/>
  <c r="FL12" i="19"/>
  <c r="FP11" i="19"/>
  <c r="FL11" i="19"/>
  <c r="FP10" i="19"/>
  <c r="FM4" i="35"/>
  <c r="FL4" i="35"/>
  <c r="FK325" i="19"/>
  <c r="FG325" i="19"/>
  <c r="FK324" i="19"/>
  <c r="FG324" i="19"/>
  <c r="FK323" i="19"/>
  <c r="FG323" i="19"/>
  <c r="FK322" i="19"/>
  <c r="FG322" i="19"/>
  <c r="FF43" i="35"/>
  <c r="FE43" i="35"/>
  <c r="FK317" i="19"/>
  <c r="FG317" i="19"/>
  <c r="FK316" i="19"/>
  <c r="FG316" i="19"/>
  <c r="FK315" i="19"/>
  <c r="FG315" i="19"/>
  <c r="FK314" i="19"/>
  <c r="FG314" i="19"/>
  <c r="FF42" i="35"/>
  <c r="FE42" i="35"/>
  <c r="FK309" i="19"/>
  <c r="FG309" i="19"/>
  <c r="FK308" i="19"/>
  <c r="FG308" i="19"/>
  <c r="FK307" i="19"/>
  <c r="FG307" i="19"/>
  <c r="FK306" i="19"/>
  <c r="FG306" i="19"/>
  <c r="FF41" i="35"/>
  <c r="FE41" i="35"/>
  <c r="FK301" i="19"/>
  <c r="FG301" i="19"/>
  <c r="FK300" i="19"/>
  <c r="FG300" i="19"/>
  <c r="FK299" i="19"/>
  <c r="FG299" i="19"/>
  <c r="FK298" i="19"/>
  <c r="FF40" i="35"/>
  <c r="FE40" i="35"/>
  <c r="FK293" i="19"/>
  <c r="FG293" i="19"/>
  <c r="FK292" i="19"/>
  <c r="FG292" i="19"/>
  <c r="FK291" i="19"/>
  <c r="FG291" i="19"/>
  <c r="FK290" i="19"/>
  <c r="FG290" i="19"/>
  <c r="FF39" i="35"/>
  <c r="FE39" i="35"/>
  <c r="FK285" i="19"/>
  <c r="FG285" i="19"/>
  <c r="FK284" i="19"/>
  <c r="FG284" i="19"/>
  <c r="FK283" i="19"/>
  <c r="FG283" i="19"/>
  <c r="FK282" i="19"/>
  <c r="FG282" i="19"/>
  <c r="FF38" i="35"/>
  <c r="FE38" i="35"/>
  <c r="FK277" i="19"/>
  <c r="FG277" i="19"/>
  <c r="FK276" i="19"/>
  <c r="FG276" i="19"/>
  <c r="FK275" i="19"/>
  <c r="FG275" i="19"/>
  <c r="FK274" i="19"/>
  <c r="FG274" i="19"/>
  <c r="FF37" i="35"/>
  <c r="FE37" i="35"/>
  <c r="FK269" i="19"/>
  <c r="FG269" i="19"/>
  <c r="FK268" i="19"/>
  <c r="FG268" i="19"/>
  <c r="FK267" i="19"/>
  <c r="FG267" i="19"/>
  <c r="FK266" i="19"/>
  <c r="FG266" i="19"/>
  <c r="FF36" i="35"/>
  <c r="FE36" i="35"/>
  <c r="FK261" i="19"/>
  <c r="FG261" i="19"/>
  <c r="FK260" i="19"/>
  <c r="FG260" i="19"/>
  <c r="FK259" i="19"/>
  <c r="FG259" i="19"/>
  <c r="FK258" i="19"/>
  <c r="FG258" i="19"/>
  <c r="FF35" i="35"/>
  <c r="FE35" i="35"/>
  <c r="FK253" i="19"/>
  <c r="FG253" i="19"/>
  <c r="FK252" i="19"/>
  <c r="FG252" i="19"/>
  <c r="FK251" i="19"/>
  <c r="FG251" i="19"/>
  <c r="FK250" i="19"/>
  <c r="FF34" i="35"/>
  <c r="FE34" i="35"/>
  <c r="FK245" i="19"/>
  <c r="FG245" i="19"/>
  <c r="FK244" i="19"/>
  <c r="FG244" i="19"/>
  <c r="FK243" i="19"/>
  <c r="FG243" i="19"/>
  <c r="FK242" i="19"/>
  <c r="FG242" i="19"/>
  <c r="FF33" i="35"/>
  <c r="FE33" i="35"/>
  <c r="FK237" i="19"/>
  <c r="FG237" i="19"/>
  <c r="FK236" i="19"/>
  <c r="FG236" i="19"/>
  <c r="FK235" i="19"/>
  <c r="FK234" i="19"/>
  <c r="FG234" i="19"/>
  <c r="FF32" i="35"/>
  <c r="FE32" i="35"/>
  <c r="FK229" i="19"/>
  <c r="FG229" i="19"/>
  <c r="FK228" i="19"/>
  <c r="FG228" i="19"/>
  <c r="FK227" i="19"/>
  <c r="FG227" i="19"/>
  <c r="FK226" i="19"/>
  <c r="FG226" i="19"/>
  <c r="FF31" i="35"/>
  <c r="FE31" i="35"/>
  <c r="FK221" i="19"/>
  <c r="FG221" i="19"/>
  <c r="FK220" i="19"/>
  <c r="FG220" i="19"/>
  <c r="FK219" i="19"/>
  <c r="FG219" i="19"/>
  <c r="FK218" i="19"/>
  <c r="FG218" i="19"/>
  <c r="FF30" i="35"/>
  <c r="FE30" i="35"/>
  <c r="FK213" i="19"/>
  <c r="FG213" i="19"/>
  <c r="FK212" i="19"/>
  <c r="FG212" i="19"/>
  <c r="FK211" i="19"/>
  <c r="FG211" i="19"/>
  <c r="FK210" i="19"/>
  <c r="FG210" i="19"/>
  <c r="FF29" i="35"/>
  <c r="FE29" i="35"/>
  <c r="FK205" i="19"/>
  <c r="FG205" i="19"/>
  <c r="FK204" i="19"/>
  <c r="FG204" i="19"/>
  <c r="FK203" i="19"/>
  <c r="FG203" i="19"/>
  <c r="FK202" i="19"/>
  <c r="FG202" i="19"/>
  <c r="FF28" i="35"/>
  <c r="FE28" i="35"/>
  <c r="FK197" i="19"/>
  <c r="FG197" i="19"/>
  <c r="FK196" i="19"/>
  <c r="FG196" i="19"/>
  <c r="FK195" i="19"/>
  <c r="FG195" i="19"/>
  <c r="FK194" i="19"/>
  <c r="FG194" i="19"/>
  <c r="FF27" i="35"/>
  <c r="FE27" i="35"/>
  <c r="FK189" i="19"/>
  <c r="FG189" i="19"/>
  <c r="FK188" i="19"/>
  <c r="FG188" i="19"/>
  <c r="FK187" i="19"/>
  <c r="FG187" i="19"/>
  <c r="FK186" i="19"/>
  <c r="FF26" i="35"/>
  <c r="FE26" i="35"/>
  <c r="FK181" i="19"/>
  <c r="FG181" i="19"/>
  <c r="FK180" i="19"/>
  <c r="FG180" i="19"/>
  <c r="FK179" i="19"/>
  <c r="FG179" i="19"/>
  <c r="FK178" i="19"/>
  <c r="FG178" i="19"/>
  <c r="FF25" i="35"/>
  <c r="FE25" i="35"/>
  <c r="FK173" i="19"/>
  <c r="FG173" i="19"/>
  <c r="FK172" i="19"/>
  <c r="FG172" i="19"/>
  <c r="FK171" i="19"/>
  <c r="FG171" i="19"/>
  <c r="FK170" i="19"/>
  <c r="FF24" i="35"/>
  <c r="FE24" i="35"/>
  <c r="FK165" i="19"/>
  <c r="FG165" i="19"/>
  <c r="FK164" i="19"/>
  <c r="FG164" i="19"/>
  <c r="FK163" i="19"/>
  <c r="FG163" i="19"/>
  <c r="FK162" i="19"/>
  <c r="FG162" i="19"/>
  <c r="FF23" i="35"/>
  <c r="FE23" i="35"/>
  <c r="FK157" i="19"/>
  <c r="FG157" i="19"/>
  <c r="FK156" i="19"/>
  <c r="FG156" i="19"/>
  <c r="FK155" i="19"/>
  <c r="FG155" i="19"/>
  <c r="FK154" i="19"/>
  <c r="FG154" i="19"/>
  <c r="FF22" i="35"/>
  <c r="FE22" i="35"/>
  <c r="FK149" i="19"/>
  <c r="FG149" i="19"/>
  <c r="FK148" i="19"/>
  <c r="FG148" i="19"/>
  <c r="FK147" i="19"/>
  <c r="FG147" i="19"/>
  <c r="FK146" i="19"/>
  <c r="FF21" i="35"/>
  <c r="FE21" i="35"/>
  <c r="FK141" i="19"/>
  <c r="FG141" i="19"/>
  <c r="FK140" i="19"/>
  <c r="FG140" i="19"/>
  <c r="FK139" i="19"/>
  <c r="FG139" i="19"/>
  <c r="FK138" i="19"/>
  <c r="FG138" i="19"/>
  <c r="FF20" i="35"/>
  <c r="FE20" i="35"/>
  <c r="FK133" i="19"/>
  <c r="FG133" i="19"/>
  <c r="FK132" i="19"/>
  <c r="FG132" i="19"/>
  <c r="FK131" i="19"/>
  <c r="FG131" i="19"/>
  <c r="FK130" i="19"/>
  <c r="FG130" i="19"/>
  <c r="FF19" i="35"/>
  <c r="FE19" i="35"/>
  <c r="FK125" i="19"/>
  <c r="FG125" i="19"/>
  <c r="FK124" i="19"/>
  <c r="FG124" i="19"/>
  <c r="FK123" i="19"/>
  <c r="FG123" i="19"/>
  <c r="FK122" i="19"/>
  <c r="FG122" i="19"/>
  <c r="FF18" i="35"/>
  <c r="FE18" i="35"/>
  <c r="FK117" i="19"/>
  <c r="FG117" i="19"/>
  <c r="FK116" i="19"/>
  <c r="FG116" i="19"/>
  <c r="FK115" i="19"/>
  <c r="FG115" i="19"/>
  <c r="FK114" i="19"/>
  <c r="FG114" i="19"/>
  <c r="FF17" i="35"/>
  <c r="FE17" i="35"/>
  <c r="FK109" i="19"/>
  <c r="FG109" i="19"/>
  <c r="FK108" i="19"/>
  <c r="FG108" i="19"/>
  <c r="FK107" i="19"/>
  <c r="FG107" i="19"/>
  <c r="FK106" i="19"/>
  <c r="FG106" i="19"/>
  <c r="FF16" i="35"/>
  <c r="FE16" i="35"/>
  <c r="FK101" i="19"/>
  <c r="FG101" i="19"/>
  <c r="FK100" i="19"/>
  <c r="FG100" i="19"/>
  <c r="FK99" i="19"/>
  <c r="FG99" i="19"/>
  <c r="FK98" i="19"/>
  <c r="FG98" i="19"/>
  <c r="FF15" i="35"/>
  <c r="FE15" i="35"/>
  <c r="FK93" i="19"/>
  <c r="FG93" i="19"/>
  <c r="FK92" i="19"/>
  <c r="FG92" i="19"/>
  <c r="FK91" i="19"/>
  <c r="FG91" i="19"/>
  <c r="FK90" i="19"/>
  <c r="FG90" i="19"/>
  <c r="FF14" i="35"/>
  <c r="FE14" i="35"/>
  <c r="FK85" i="19"/>
  <c r="FG85" i="19"/>
  <c r="FK84" i="19"/>
  <c r="FG84" i="19"/>
  <c r="FK83" i="19"/>
  <c r="FG83" i="19"/>
  <c r="FK82" i="19"/>
  <c r="FF13" i="35"/>
  <c r="FE13" i="35"/>
  <c r="FK77" i="19"/>
  <c r="FG77" i="19"/>
  <c r="FK76" i="19"/>
  <c r="FG76" i="19"/>
  <c r="FK75" i="19"/>
  <c r="FG75" i="19"/>
  <c r="FK74" i="19"/>
  <c r="FF12" i="35"/>
  <c r="FE12" i="35"/>
  <c r="FK69" i="19"/>
  <c r="FG69" i="19"/>
  <c r="FK68" i="19"/>
  <c r="FG68" i="19"/>
  <c r="FK67" i="19"/>
  <c r="FG67" i="19"/>
  <c r="FK66" i="19"/>
  <c r="FG66" i="19"/>
  <c r="FF11" i="35"/>
  <c r="FE11" i="35"/>
  <c r="FK61" i="19"/>
  <c r="FG61" i="19"/>
  <c r="FK60" i="19"/>
  <c r="FG60" i="19"/>
  <c r="FK59" i="19"/>
  <c r="FG59" i="19"/>
  <c r="FK58" i="19"/>
  <c r="FG58" i="19"/>
  <c r="FF10" i="35"/>
  <c r="FE10" i="35"/>
  <c r="FK53" i="19"/>
  <c r="FG53" i="19"/>
  <c r="FK52" i="19"/>
  <c r="FG52" i="19"/>
  <c r="FK51" i="19"/>
  <c r="FK50" i="19"/>
  <c r="FG50" i="19"/>
  <c r="FF9" i="35"/>
  <c r="FE9" i="35"/>
  <c r="FK45" i="19"/>
  <c r="FG45" i="19"/>
  <c r="FK44" i="19"/>
  <c r="FG44" i="19"/>
  <c r="FK43" i="19"/>
  <c r="FG43" i="19"/>
  <c r="FK42" i="19"/>
  <c r="FG42" i="19"/>
  <c r="FF8" i="35"/>
  <c r="FE8" i="35"/>
  <c r="FK37" i="19"/>
  <c r="FG37" i="19"/>
  <c r="FK36" i="19"/>
  <c r="FG36" i="19"/>
  <c r="FK35" i="19"/>
  <c r="FG35" i="19"/>
  <c r="FK34" i="19"/>
  <c r="FG34" i="19"/>
  <c r="FF7" i="35"/>
  <c r="FE7" i="35"/>
  <c r="FK29" i="19"/>
  <c r="FG29" i="19"/>
  <c r="FK28" i="19"/>
  <c r="FG28" i="19"/>
  <c r="FK27" i="19"/>
  <c r="FK26" i="19"/>
  <c r="FF6" i="35"/>
  <c r="FE6" i="35"/>
  <c r="FK21" i="19"/>
  <c r="FH21" i="19"/>
  <c r="FG21" i="19"/>
  <c r="FK20" i="19"/>
  <c r="FH20" i="19"/>
  <c r="FG20" i="19"/>
  <c r="FK19" i="19"/>
  <c r="FH19" i="19"/>
  <c r="FG19" i="19"/>
  <c r="FK18" i="19"/>
  <c r="FH18" i="19"/>
  <c r="FG18" i="19"/>
  <c r="FF5" i="35"/>
  <c r="FE5" i="35"/>
  <c r="FK13" i="19"/>
  <c r="FG13" i="19"/>
  <c r="FK12" i="19"/>
  <c r="FG12" i="19"/>
  <c r="FK11" i="19"/>
  <c r="FK10" i="19"/>
  <c r="FG10" i="19"/>
  <c r="FF4" i="35"/>
  <c r="FE4" i="35"/>
  <c r="FF325" i="19"/>
  <c r="FB325" i="19"/>
  <c r="FF324" i="19"/>
  <c r="FB324" i="19"/>
  <c r="FF323" i="19"/>
  <c r="FF322" i="19"/>
  <c r="FB322" i="19"/>
  <c r="EY43" i="35"/>
  <c r="EX43" i="35"/>
  <c r="FF317" i="19"/>
  <c r="FB317" i="19"/>
  <c r="FF316" i="19"/>
  <c r="FB316" i="19"/>
  <c r="FF315" i="19"/>
  <c r="FF314" i="19"/>
  <c r="FB314" i="19"/>
  <c r="EY42" i="35"/>
  <c r="EX42" i="35"/>
  <c r="FF309" i="19"/>
  <c r="FB309" i="19"/>
  <c r="FF308" i="19"/>
  <c r="FB308" i="19"/>
  <c r="FF307" i="19"/>
  <c r="FB307" i="19"/>
  <c r="FF306" i="19"/>
  <c r="FB306" i="19"/>
  <c r="EY41" i="35"/>
  <c r="EX41" i="35"/>
  <c r="FF301" i="19"/>
  <c r="FB301" i="19"/>
  <c r="FF300" i="19"/>
  <c r="FB300" i="19"/>
  <c r="FF299" i="19"/>
  <c r="FB299" i="19"/>
  <c r="FF298" i="19"/>
  <c r="FB298" i="19"/>
  <c r="EY40" i="35"/>
  <c r="EX40" i="35"/>
  <c r="FF293" i="19"/>
  <c r="FB293" i="19"/>
  <c r="FF292" i="19"/>
  <c r="FB292" i="19"/>
  <c r="FF291" i="19"/>
  <c r="FF290" i="19"/>
  <c r="FB290" i="19"/>
  <c r="EY39" i="35"/>
  <c r="EX39" i="35"/>
  <c r="FF285" i="19"/>
  <c r="FB285" i="19"/>
  <c r="FF284" i="19"/>
  <c r="FB284" i="19"/>
  <c r="FF283" i="19"/>
  <c r="FF282" i="19"/>
  <c r="FB282" i="19"/>
  <c r="EY38" i="35"/>
  <c r="EX38" i="35"/>
  <c r="FF277" i="19"/>
  <c r="FB277" i="19"/>
  <c r="FF276" i="19"/>
  <c r="FB276" i="19"/>
  <c r="FF275" i="19"/>
  <c r="FB275" i="19"/>
  <c r="FF274" i="19"/>
  <c r="FB274" i="19"/>
  <c r="EY37" i="35"/>
  <c r="EX37" i="35"/>
  <c r="FF269" i="19"/>
  <c r="FB269" i="19"/>
  <c r="FF268" i="19"/>
  <c r="FB268" i="19"/>
  <c r="FF267" i="19"/>
  <c r="FB267" i="19"/>
  <c r="FF266" i="19"/>
  <c r="FB266" i="19"/>
  <c r="EY36" i="35"/>
  <c r="EX36" i="35"/>
  <c r="FF261" i="19"/>
  <c r="FB261" i="19"/>
  <c r="FF260" i="19"/>
  <c r="FB260" i="19"/>
  <c r="FF259" i="19"/>
  <c r="FB259" i="19"/>
  <c r="FF258" i="19"/>
  <c r="FB258" i="19"/>
  <c r="EY35" i="35"/>
  <c r="EX35" i="35"/>
  <c r="FF253" i="19"/>
  <c r="FB253" i="19"/>
  <c r="FF252" i="19"/>
  <c r="FB252" i="19"/>
  <c r="FF251" i="19"/>
  <c r="FB251" i="19"/>
  <c r="FF250" i="19"/>
  <c r="FB250" i="19"/>
  <c r="EY34" i="35"/>
  <c r="EX34" i="35"/>
  <c r="FF245" i="19"/>
  <c r="FB245" i="19"/>
  <c r="FF244" i="19"/>
  <c r="FB244" i="19"/>
  <c r="FF243" i="19"/>
  <c r="FF242" i="19"/>
  <c r="FB242" i="19"/>
  <c r="EY33" i="35"/>
  <c r="EX33" i="35"/>
  <c r="FF237" i="19"/>
  <c r="FB237" i="19"/>
  <c r="FF236" i="19"/>
  <c r="FB236" i="19"/>
  <c r="FF235" i="19"/>
  <c r="FB235" i="19"/>
  <c r="FF234" i="19"/>
  <c r="FB234" i="19"/>
  <c r="EY32" i="35"/>
  <c r="EX32" i="35"/>
  <c r="FF229" i="19"/>
  <c r="FB229" i="19"/>
  <c r="FF228" i="19"/>
  <c r="FB228" i="19"/>
  <c r="FF227" i="19"/>
  <c r="FB227" i="19"/>
  <c r="FF226" i="19"/>
  <c r="FB226" i="19"/>
  <c r="EY31" i="35"/>
  <c r="EX31" i="35"/>
  <c r="FF221" i="19"/>
  <c r="FB221" i="19"/>
  <c r="FF220" i="19"/>
  <c r="FB220" i="19"/>
  <c r="FF219" i="19"/>
  <c r="FB219" i="19"/>
  <c r="FF218" i="19"/>
  <c r="FB218" i="19"/>
  <c r="EY30" i="35"/>
  <c r="EX30" i="35"/>
  <c r="FF213" i="19"/>
  <c r="FB213" i="19"/>
  <c r="FF212" i="19"/>
  <c r="FB212" i="19"/>
  <c r="FF211" i="19"/>
  <c r="FB211" i="19"/>
  <c r="FF210" i="19"/>
  <c r="FB210" i="19"/>
  <c r="EY29" i="35"/>
  <c r="EX29" i="35"/>
  <c r="FF205" i="19"/>
  <c r="FB205" i="19"/>
  <c r="FF204" i="19"/>
  <c r="FB204" i="19"/>
  <c r="FF203" i="19"/>
  <c r="FB203" i="19"/>
  <c r="FF202" i="19"/>
  <c r="FB202" i="19"/>
  <c r="EY28" i="35"/>
  <c r="EX28" i="35"/>
  <c r="FF197" i="19"/>
  <c r="FB197" i="19"/>
  <c r="FF196" i="19"/>
  <c r="FB196" i="19"/>
  <c r="FF195" i="19"/>
  <c r="FB195" i="19"/>
  <c r="FF194" i="19"/>
  <c r="FB194" i="19"/>
  <c r="EY27" i="35"/>
  <c r="EX27" i="35"/>
  <c r="FF189" i="19"/>
  <c r="FB189" i="19"/>
  <c r="FF188" i="19"/>
  <c r="FB188" i="19"/>
  <c r="FF187" i="19"/>
  <c r="FB187" i="19"/>
  <c r="FF186" i="19"/>
  <c r="FB186" i="19"/>
  <c r="EY26" i="35"/>
  <c r="EX26" i="35"/>
  <c r="FF181" i="19"/>
  <c r="FB181" i="19"/>
  <c r="FF180" i="19"/>
  <c r="FB180" i="19"/>
  <c r="FF179" i="19"/>
  <c r="FB179" i="19"/>
  <c r="FF178" i="19"/>
  <c r="FB178" i="19"/>
  <c r="EY25" i="35"/>
  <c r="EX25" i="35"/>
  <c r="FF173" i="19"/>
  <c r="FB173" i="19"/>
  <c r="FF172" i="19"/>
  <c r="FB172" i="19"/>
  <c r="FF171" i="19"/>
  <c r="FB171" i="19"/>
  <c r="FF170" i="19"/>
  <c r="FB170" i="19"/>
  <c r="EY24" i="35"/>
  <c r="EX24" i="35"/>
  <c r="FF165" i="19"/>
  <c r="FB165" i="19"/>
  <c r="FF164" i="19"/>
  <c r="FB164" i="19"/>
  <c r="FF163" i="19"/>
  <c r="FB163" i="19"/>
  <c r="FF162" i="19"/>
  <c r="FB162" i="19"/>
  <c r="EY23" i="35"/>
  <c r="EX23" i="35"/>
  <c r="FF157" i="19"/>
  <c r="FB157" i="19"/>
  <c r="FF156" i="19"/>
  <c r="FB156" i="19"/>
  <c r="FF155" i="19"/>
  <c r="FB155" i="19"/>
  <c r="FF154" i="19"/>
  <c r="FB154" i="19"/>
  <c r="EY22" i="35"/>
  <c r="EX22" i="35"/>
  <c r="FF149" i="19"/>
  <c r="FB149" i="19"/>
  <c r="FF148" i="19"/>
  <c r="FB148" i="19"/>
  <c r="FF147" i="19"/>
  <c r="FB147" i="19"/>
  <c r="FF146" i="19"/>
  <c r="FB146" i="19"/>
  <c r="EY21" i="35"/>
  <c r="EX21" i="35"/>
  <c r="FF141" i="19"/>
  <c r="FB141" i="19"/>
  <c r="FF140" i="19"/>
  <c r="FB140" i="19"/>
  <c r="FF139" i="19"/>
  <c r="FF138" i="19"/>
  <c r="FB138" i="19"/>
  <c r="EY20" i="35"/>
  <c r="EX20" i="35"/>
  <c r="FF133" i="19"/>
  <c r="FB133" i="19"/>
  <c r="FF132" i="19"/>
  <c r="FB132" i="19"/>
  <c r="FF131" i="19"/>
  <c r="FF130" i="19"/>
  <c r="FB130" i="19"/>
  <c r="EY19" i="35"/>
  <c r="EX19" i="35"/>
  <c r="FF125" i="19"/>
  <c r="FB125" i="19"/>
  <c r="FF124" i="19"/>
  <c r="FB124" i="19"/>
  <c r="FF123" i="19"/>
  <c r="FF122" i="19"/>
  <c r="FB122" i="19"/>
  <c r="EY18" i="35"/>
  <c r="EX18" i="35"/>
  <c r="FF117" i="19"/>
  <c r="FB117" i="19"/>
  <c r="FF116" i="19"/>
  <c r="FB116" i="19"/>
  <c r="FF115" i="19"/>
  <c r="FF114" i="19"/>
  <c r="FB114" i="19"/>
  <c r="EY17" i="35"/>
  <c r="EX17" i="35"/>
  <c r="FF109" i="19"/>
  <c r="FB109" i="19"/>
  <c r="FF108" i="19"/>
  <c r="FB108" i="19"/>
  <c r="FF107" i="19"/>
  <c r="FF106" i="19"/>
  <c r="FB106" i="19"/>
  <c r="EY16" i="35"/>
  <c r="EX16" i="35"/>
  <c r="FF101" i="19"/>
  <c r="FB101" i="19"/>
  <c r="FF100" i="19"/>
  <c r="FB100" i="19"/>
  <c r="FF99" i="19"/>
  <c r="FB99" i="19"/>
  <c r="FF98" i="19"/>
  <c r="FB98" i="19"/>
  <c r="EY15" i="35"/>
  <c r="EX15" i="35"/>
  <c r="FF93" i="19"/>
  <c r="FB93" i="19"/>
  <c r="FF92" i="19"/>
  <c r="FB92" i="19"/>
  <c r="FF91" i="19"/>
  <c r="FF90" i="19"/>
  <c r="FB90" i="19"/>
  <c r="EY14" i="35"/>
  <c r="EX14" i="35"/>
  <c r="FF85" i="19"/>
  <c r="FB85" i="19"/>
  <c r="FF84" i="19"/>
  <c r="FB84" i="19"/>
  <c r="FF83" i="19"/>
  <c r="FB83" i="19"/>
  <c r="FF82" i="19"/>
  <c r="FB82" i="19"/>
  <c r="EY13" i="35"/>
  <c r="EX13" i="35"/>
  <c r="FF77" i="19"/>
  <c r="FB77" i="19"/>
  <c r="FF76" i="19"/>
  <c r="FB76" i="19"/>
  <c r="FF75" i="19"/>
  <c r="FB75" i="19"/>
  <c r="FF74" i="19"/>
  <c r="FB74" i="19"/>
  <c r="EY12" i="35"/>
  <c r="EX12" i="35"/>
  <c r="FF69" i="19"/>
  <c r="FB69" i="19"/>
  <c r="FF68" i="19"/>
  <c r="FB68" i="19"/>
  <c r="FF67" i="19"/>
  <c r="FF66" i="19"/>
  <c r="FB66" i="19"/>
  <c r="EY11" i="35"/>
  <c r="EX11" i="35"/>
  <c r="FF61" i="19"/>
  <c r="FB61" i="19"/>
  <c r="FF60" i="19"/>
  <c r="FB60" i="19"/>
  <c r="FF59" i="19"/>
  <c r="FF58" i="19"/>
  <c r="FB58" i="19"/>
  <c r="EY10" i="35"/>
  <c r="EX10" i="35"/>
  <c r="FF53" i="19"/>
  <c r="FB53" i="19"/>
  <c r="FF52" i="19"/>
  <c r="FB52" i="19"/>
  <c r="FF51" i="19"/>
  <c r="FB51" i="19"/>
  <c r="FF50" i="19"/>
  <c r="EY9" i="35"/>
  <c r="EX9" i="35"/>
  <c r="FF45" i="19"/>
  <c r="FB45" i="19"/>
  <c r="FF44" i="19"/>
  <c r="FB44" i="19"/>
  <c r="FF43" i="19"/>
  <c r="FB43" i="19"/>
  <c r="FF42" i="19"/>
  <c r="FB42" i="19"/>
  <c r="EY8" i="35"/>
  <c r="EX8" i="35"/>
  <c r="FF37" i="19"/>
  <c r="FB37" i="19"/>
  <c r="FF36" i="19"/>
  <c r="FB36" i="19"/>
  <c r="FF35" i="19"/>
  <c r="FB35" i="19"/>
  <c r="FF34" i="19"/>
  <c r="FB34" i="19"/>
  <c r="EY7" i="35"/>
  <c r="EX7" i="35"/>
  <c r="FF29" i="19"/>
  <c r="FB29" i="19"/>
  <c r="FF28" i="19"/>
  <c r="FB28" i="19"/>
  <c r="FF27" i="19"/>
  <c r="FF26" i="19"/>
  <c r="EY6" i="35"/>
  <c r="EX6" i="35"/>
  <c r="FF21" i="19"/>
  <c r="FC21" i="19"/>
  <c r="FB21" i="19"/>
  <c r="FF20" i="19"/>
  <c r="FC20" i="19"/>
  <c r="FB20" i="19"/>
  <c r="FF19" i="19"/>
  <c r="FC19" i="19"/>
  <c r="FB19" i="19"/>
  <c r="FF18" i="19"/>
  <c r="FC18" i="19"/>
  <c r="FB18" i="19"/>
  <c r="EY5" i="35"/>
  <c r="EX5" i="35"/>
  <c r="FF13" i="19"/>
  <c r="FB13" i="19"/>
  <c r="FF12" i="19"/>
  <c r="FB12" i="19"/>
  <c r="FF11" i="19"/>
  <c r="FF10" i="19"/>
  <c r="EY4" i="35"/>
  <c r="EX4" i="35"/>
  <c r="FA325" i="19"/>
  <c r="EW325" i="19"/>
  <c r="FA324" i="19"/>
  <c r="EW324" i="19"/>
  <c r="FA323" i="19"/>
  <c r="EW323" i="19"/>
  <c r="FA322" i="19"/>
  <c r="ER43" i="35"/>
  <c r="EQ43" i="35"/>
  <c r="FA317" i="19"/>
  <c r="EW317" i="19"/>
  <c r="FA316" i="19"/>
  <c r="EW316" i="19"/>
  <c r="FA315" i="19"/>
  <c r="EW315" i="19"/>
  <c r="FA314" i="19"/>
  <c r="ER42" i="35"/>
  <c r="EQ42" i="35"/>
  <c r="FA309" i="19"/>
  <c r="EW309" i="19"/>
  <c r="FA308" i="19"/>
  <c r="EW308" i="19"/>
  <c r="FA307" i="19"/>
  <c r="EW307" i="19"/>
  <c r="FA306" i="19"/>
  <c r="EW306" i="19"/>
  <c r="ER41" i="35"/>
  <c r="EQ41" i="35"/>
  <c r="FA301" i="19"/>
  <c r="EW301" i="19"/>
  <c r="FA300" i="19"/>
  <c r="EW300" i="19"/>
  <c r="FA299" i="19"/>
  <c r="FA298" i="19"/>
  <c r="EW298" i="19"/>
  <c r="ER40" i="35"/>
  <c r="EQ40" i="35"/>
  <c r="FA293" i="19"/>
  <c r="EW293" i="19"/>
  <c r="FA292" i="19"/>
  <c r="EW292" i="19"/>
  <c r="FA291" i="19"/>
  <c r="EW291" i="19"/>
  <c r="FA290" i="19"/>
  <c r="ER39" i="35"/>
  <c r="EQ39" i="35"/>
  <c r="FA285" i="19"/>
  <c r="EW285" i="19"/>
  <c r="FA284" i="19"/>
  <c r="EW284" i="19"/>
  <c r="FA283" i="19"/>
  <c r="EW283" i="19"/>
  <c r="FA282" i="19"/>
  <c r="ER38" i="35"/>
  <c r="EQ38" i="35"/>
  <c r="FA277" i="19"/>
  <c r="EW277" i="19"/>
  <c r="FA276" i="19"/>
  <c r="EW276" i="19"/>
  <c r="FA275" i="19"/>
  <c r="EW275" i="19"/>
  <c r="FA274" i="19"/>
  <c r="EW274" i="19"/>
  <c r="ER37" i="35"/>
  <c r="EQ37" i="35"/>
  <c r="FA269" i="19"/>
  <c r="EW269" i="19"/>
  <c r="FA268" i="19"/>
  <c r="EW268" i="19"/>
  <c r="FA267" i="19"/>
  <c r="EW267" i="19"/>
  <c r="FA266" i="19"/>
  <c r="EW266" i="19"/>
  <c r="ER36" i="35"/>
  <c r="EQ36" i="35"/>
  <c r="FA261" i="19"/>
  <c r="EW261" i="19"/>
  <c r="FA260" i="19"/>
  <c r="EW260" i="19"/>
  <c r="FA259" i="19"/>
  <c r="EW259" i="19"/>
  <c r="FA258" i="19"/>
  <c r="EW258" i="19"/>
  <c r="ER35" i="35"/>
  <c r="EQ35" i="35"/>
  <c r="FA253" i="19"/>
  <c r="EW253" i="19"/>
  <c r="FA252" i="19"/>
  <c r="EW252" i="19"/>
  <c r="FA251" i="19"/>
  <c r="FA250" i="19"/>
  <c r="EW250" i="19"/>
  <c r="ER34" i="35"/>
  <c r="EQ34" i="35"/>
  <c r="FA245" i="19"/>
  <c r="EW245" i="19"/>
  <c r="FA244" i="19"/>
  <c r="EW244" i="19"/>
  <c r="FA243" i="19"/>
  <c r="EW243" i="19"/>
  <c r="FA242" i="19"/>
  <c r="ER33" i="35"/>
  <c r="EQ33" i="35"/>
  <c r="FA237" i="19"/>
  <c r="EW237" i="19"/>
  <c r="FA236" i="19"/>
  <c r="EW236" i="19"/>
  <c r="FA235" i="19"/>
  <c r="EW235" i="19"/>
  <c r="FA234" i="19"/>
  <c r="ER32" i="35"/>
  <c r="EQ32" i="35"/>
  <c r="FA229" i="19"/>
  <c r="EW229" i="19"/>
  <c r="FA228" i="19"/>
  <c r="EW228" i="19"/>
  <c r="FA227" i="19"/>
  <c r="EW227" i="19"/>
  <c r="FA226" i="19"/>
  <c r="EW226" i="19"/>
  <c r="ER31" i="35"/>
  <c r="EQ31" i="35"/>
  <c r="FA221" i="19"/>
  <c r="EW221" i="19"/>
  <c r="FA220" i="19"/>
  <c r="EW220" i="19"/>
  <c r="FA219" i="19"/>
  <c r="EW219" i="19"/>
  <c r="FA218" i="19"/>
  <c r="EW218" i="19"/>
  <c r="ER30" i="35"/>
  <c r="EQ30" i="35"/>
  <c r="FA213" i="19"/>
  <c r="EW213" i="19"/>
  <c r="FA212" i="19"/>
  <c r="EW212" i="19"/>
  <c r="FA211" i="19"/>
  <c r="EW211" i="19"/>
  <c r="FA210" i="19"/>
  <c r="EW210" i="19"/>
  <c r="ER29" i="35"/>
  <c r="EQ29" i="35"/>
  <c r="FA205" i="19"/>
  <c r="EW205" i="19"/>
  <c r="FA204" i="19"/>
  <c r="EW204" i="19"/>
  <c r="FA203" i="19"/>
  <c r="EW203" i="19"/>
  <c r="FA202" i="19"/>
  <c r="EW202" i="19"/>
  <c r="ER28" i="35"/>
  <c r="EQ28" i="35"/>
  <c r="FA197" i="19"/>
  <c r="EW197" i="19"/>
  <c r="FA196" i="19"/>
  <c r="EW196" i="19"/>
  <c r="FA195" i="19"/>
  <c r="EW195" i="19"/>
  <c r="FA194" i="19"/>
  <c r="EW194" i="19"/>
  <c r="ER27" i="35"/>
  <c r="EQ27" i="35"/>
  <c r="FA189" i="19"/>
  <c r="EW189" i="19"/>
  <c r="FA188" i="19"/>
  <c r="EW188" i="19"/>
  <c r="FA187" i="19"/>
  <c r="FA186" i="19"/>
  <c r="EW186" i="19"/>
  <c r="ER26" i="35"/>
  <c r="EQ26" i="35"/>
  <c r="FA181" i="19"/>
  <c r="EW181" i="19"/>
  <c r="FA180" i="19"/>
  <c r="EW180" i="19"/>
  <c r="FA179" i="19"/>
  <c r="EW179" i="19"/>
  <c r="FA178" i="19"/>
  <c r="EW178" i="19"/>
  <c r="ER25" i="35"/>
  <c r="EQ25" i="35"/>
  <c r="FA173" i="19"/>
  <c r="EW173" i="19"/>
  <c r="FA172" i="19"/>
  <c r="EW172" i="19"/>
  <c r="FA171" i="19"/>
  <c r="FA170" i="19"/>
  <c r="EW170" i="19"/>
  <c r="ER24" i="35"/>
  <c r="EQ24" i="35"/>
  <c r="FA165" i="19"/>
  <c r="EW165" i="19"/>
  <c r="FA164" i="19"/>
  <c r="EW164" i="19"/>
  <c r="FA163" i="19"/>
  <c r="EW163" i="19"/>
  <c r="FA162" i="19"/>
  <c r="EW162" i="19"/>
  <c r="ER23" i="35"/>
  <c r="EQ23" i="35"/>
  <c r="FA157" i="19"/>
  <c r="EW157" i="19"/>
  <c r="FA156" i="19"/>
  <c r="EW156" i="19"/>
  <c r="FA155" i="19"/>
  <c r="EW155" i="19"/>
  <c r="FA154" i="19"/>
  <c r="EW154" i="19"/>
  <c r="ER22" i="35"/>
  <c r="EQ22" i="35"/>
  <c r="FA149" i="19"/>
  <c r="EW149" i="19"/>
  <c r="FA148" i="19"/>
  <c r="EW148" i="19"/>
  <c r="FA147" i="19"/>
  <c r="FA146" i="19"/>
  <c r="EW146" i="19"/>
  <c r="ER21" i="35"/>
  <c r="EQ21" i="35"/>
  <c r="FA141" i="19"/>
  <c r="EW141" i="19"/>
  <c r="FA140" i="19"/>
  <c r="EW140" i="19"/>
  <c r="FA139" i="19"/>
  <c r="EW139" i="19"/>
  <c r="FA138" i="19"/>
  <c r="ER20" i="35"/>
  <c r="EQ20" i="35"/>
  <c r="FA133" i="19"/>
  <c r="EW133" i="19"/>
  <c r="FA132" i="19"/>
  <c r="EW132" i="19"/>
  <c r="FA131" i="19"/>
  <c r="EW131" i="19"/>
  <c r="FA130" i="19"/>
  <c r="ER19" i="35"/>
  <c r="EQ19" i="35"/>
  <c r="FA125" i="19"/>
  <c r="EW125" i="19"/>
  <c r="FA124" i="19"/>
  <c r="EW124" i="19"/>
  <c r="FA123" i="19"/>
  <c r="EW123" i="19"/>
  <c r="FA122" i="19"/>
  <c r="ER18" i="35"/>
  <c r="EQ18" i="35"/>
  <c r="FA117" i="19"/>
  <c r="EW117" i="19"/>
  <c r="FA116" i="19"/>
  <c r="EW116" i="19"/>
  <c r="FA115" i="19"/>
  <c r="EW115" i="19"/>
  <c r="FA114" i="19"/>
  <c r="ER17" i="35"/>
  <c r="EQ17" i="35"/>
  <c r="FA109" i="19"/>
  <c r="EW109" i="19"/>
  <c r="FA108" i="19"/>
  <c r="EW108" i="19"/>
  <c r="FA107" i="19"/>
  <c r="EW107" i="19"/>
  <c r="FA106" i="19"/>
  <c r="ER16" i="35"/>
  <c r="EQ16" i="35"/>
  <c r="FA101" i="19"/>
  <c r="EW101" i="19"/>
  <c r="FA100" i="19"/>
  <c r="EW100" i="19"/>
  <c r="FA99" i="19"/>
  <c r="EW99" i="19"/>
  <c r="FA98" i="19"/>
  <c r="EW98" i="19"/>
  <c r="ER15" i="35"/>
  <c r="EQ15" i="35"/>
  <c r="FA93" i="19"/>
  <c r="EW93" i="19"/>
  <c r="FA92" i="19"/>
  <c r="EW92" i="19"/>
  <c r="FA91" i="19"/>
  <c r="EW91" i="19"/>
  <c r="FA90" i="19"/>
  <c r="ER14" i="35"/>
  <c r="EQ14" i="35"/>
  <c r="FA85" i="19"/>
  <c r="EW85" i="19"/>
  <c r="FA84" i="19"/>
  <c r="EW84" i="19"/>
  <c r="FA83" i="19"/>
  <c r="FA82" i="19"/>
  <c r="EW82" i="19"/>
  <c r="ER13" i="35"/>
  <c r="EQ13" i="35"/>
  <c r="FA77" i="19"/>
  <c r="EW77" i="19"/>
  <c r="FA76" i="19"/>
  <c r="EW76" i="19"/>
  <c r="FA75" i="19"/>
  <c r="FA74" i="19"/>
  <c r="EW74" i="19"/>
  <c r="ER12" i="35"/>
  <c r="EQ12" i="35"/>
  <c r="FA69" i="19"/>
  <c r="EW69" i="19"/>
  <c r="FA68" i="19"/>
  <c r="EW68" i="19"/>
  <c r="FA67" i="19"/>
  <c r="EW67" i="19"/>
  <c r="FA66" i="19"/>
  <c r="ER11" i="35"/>
  <c r="EQ11" i="35"/>
  <c r="FA61" i="19"/>
  <c r="EW61" i="19"/>
  <c r="FA60" i="19"/>
  <c r="EW60" i="19"/>
  <c r="FA59" i="19"/>
  <c r="EW59" i="19"/>
  <c r="FA58" i="19"/>
  <c r="ER10" i="35"/>
  <c r="EQ10" i="35"/>
  <c r="FA53" i="19"/>
  <c r="EW53" i="19"/>
  <c r="FA52" i="19"/>
  <c r="EW52" i="19"/>
  <c r="FA51" i="19"/>
  <c r="EW51" i="19"/>
  <c r="FA50" i="19"/>
  <c r="EW50" i="19"/>
  <c r="ER9" i="35"/>
  <c r="EQ9" i="35"/>
  <c r="FA45" i="19"/>
  <c r="EW45" i="19"/>
  <c r="FA44" i="19"/>
  <c r="EW44" i="19"/>
  <c r="FA43" i="19"/>
  <c r="EW43" i="19"/>
  <c r="FA42" i="19"/>
  <c r="EW42" i="19"/>
  <c r="ER8" i="35"/>
  <c r="EQ8" i="35"/>
  <c r="FA37" i="19"/>
  <c r="EW37" i="19"/>
  <c r="FA36" i="19"/>
  <c r="EW36" i="19"/>
  <c r="FA35" i="19"/>
  <c r="EW35" i="19"/>
  <c r="FA34" i="19"/>
  <c r="EW34" i="19"/>
  <c r="ER7" i="35"/>
  <c r="EQ7" i="35"/>
  <c r="FA29" i="19"/>
  <c r="EW29" i="19"/>
  <c r="FA28" i="19"/>
  <c r="EW28" i="19"/>
  <c r="FA27" i="19"/>
  <c r="FA26" i="19"/>
  <c r="ER6" i="35"/>
  <c r="EQ6" i="35"/>
  <c r="FA21" i="19"/>
  <c r="EX21" i="19"/>
  <c r="EW21" i="19"/>
  <c r="FA20" i="19"/>
  <c r="EX20" i="19"/>
  <c r="EW20" i="19"/>
  <c r="FA19" i="19"/>
  <c r="EX19" i="19"/>
  <c r="EW19" i="19"/>
  <c r="FA18" i="19"/>
  <c r="EX18" i="19"/>
  <c r="EW18" i="19"/>
  <c r="ER5" i="35"/>
  <c r="EQ5" i="35"/>
  <c r="FA13" i="19"/>
  <c r="EW13" i="19"/>
  <c r="FA12" i="19"/>
  <c r="EW12" i="19"/>
  <c r="FA11" i="19"/>
  <c r="EW11" i="19"/>
  <c r="FA10" i="19"/>
  <c r="ER4" i="35"/>
  <c r="EQ4" i="35"/>
  <c r="EV325" i="19"/>
  <c r="ER325" i="19"/>
  <c r="EV324" i="19"/>
  <c r="ER324" i="19"/>
  <c r="EV323" i="19"/>
  <c r="ER323" i="19"/>
  <c r="EV322" i="19"/>
  <c r="ER322" i="19"/>
  <c r="EK43" i="35"/>
  <c r="EJ43" i="35"/>
  <c r="EV317" i="19"/>
  <c r="ER317" i="19"/>
  <c r="EV316" i="19"/>
  <c r="ER316" i="19"/>
  <c r="EV315" i="19"/>
  <c r="ER315" i="19"/>
  <c r="EV314" i="19"/>
  <c r="ER314" i="19"/>
  <c r="EK42" i="35"/>
  <c r="EJ42" i="35"/>
  <c r="EV309" i="19"/>
  <c r="ER309" i="19"/>
  <c r="EV308" i="19"/>
  <c r="ER308" i="19"/>
  <c r="EV307" i="19"/>
  <c r="ER307" i="19"/>
  <c r="EV306" i="19"/>
  <c r="ER306" i="19"/>
  <c r="EK41" i="35"/>
  <c r="EJ41" i="35"/>
  <c r="EV301" i="19"/>
  <c r="ER301" i="19"/>
  <c r="EV300" i="19"/>
  <c r="ER300" i="19"/>
  <c r="EV299" i="19"/>
  <c r="ER299" i="19"/>
  <c r="EV298" i="19"/>
  <c r="EK40" i="35"/>
  <c r="EJ40" i="35"/>
  <c r="EV293" i="19"/>
  <c r="ER293" i="19"/>
  <c r="EV292" i="19"/>
  <c r="ER292" i="19"/>
  <c r="EV291" i="19"/>
  <c r="ER291" i="19"/>
  <c r="EV290" i="19"/>
  <c r="ER290" i="19"/>
  <c r="EK39" i="35"/>
  <c r="EJ39" i="35"/>
  <c r="EV285" i="19"/>
  <c r="ER285" i="19"/>
  <c r="EV284" i="19"/>
  <c r="ER284" i="19"/>
  <c r="EV283" i="19"/>
  <c r="ER283" i="19"/>
  <c r="EV282" i="19"/>
  <c r="ER282" i="19"/>
  <c r="EK38" i="35"/>
  <c r="EJ38" i="35"/>
  <c r="EV277" i="19"/>
  <c r="ER277" i="19"/>
  <c r="EV276" i="19"/>
  <c r="ER276" i="19"/>
  <c r="EV275" i="19"/>
  <c r="ER275" i="19"/>
  <c r="EV274" i="19"/>
  <c r="ER274" i="19"/>
  <c r="EK37" i="35"/>
  <c r="EJ37" i="35"/>
  <c r="EV269" i="19"/>
  <c r="ER269" i="19"/>
  <c r="EV268" i="19"/>
  <c r="ER268" i="19"/>
  <c r="EV267" i="19"/>
  <c r="ER267" i="19"/>
  <c r="EV266" i="19"/>
  <c r="ER266" i="19"/>
  <c r="EK36" i="35"/>
  <c r="EJ36" i="35"/>
  <c r="EV261" i="19"/>
  <c r="ER261" i="19"/>
  <c r="EV260" i="19"/>
  <c r="ER260" i="19"/>
  <c r="EV259" i="19"/>
  <c r="ER259" i="19"/>
  <c r="EV258" i="19"/>
  <c r="ER258" i="19"/>
  <c r="EK35" i="35"/>
  <c r="EJ35" i="35"/>
  <c r="EV253" i="19"/>
  <c r="ER253" i="19"/>
  <c r="EV252" i="19"/>
  <c r="ER252" i="19"/>
  <c r="EV251" i="19"/>
  <c r="ER251" i="19"/>
  <c r="EV250" i="19"/>
  <c r="EK34" i="35"/>
  <c r="EJ34" i="35"/>
  <c r="EV245" i="19"/>
  <c r="ER245" i="19"/>
  <c r="EV244" i="19"/>
  <c r="ER244" i="19"/>
  <c r="EV243" i="19"/>
  <c r="ER243" i="19"/>
  <c r="EV242" i="19"/>
  <c r="ER242" i="19"/>
  <c r="EK33" i="35"/>
  <c r="EJ33" i="35"/>
  <c r="EV237" i="19"/>
  <c r="ER237" i="19"/>
  <c r="EV236" i="19"/>
  <c r="ER236" i="19"/>
  <c r="EV235" i="19"/>
  <c r="EV234" i="19"/>
  <c r="ER234" i="19"/>
  <c r="EK32" i="35"/>
  <c r="EJ32" i="35"/>
  <c r="EV229" i="19"/>
  <c r="ER229" i="19"/>
  <c r="EV228" i="19"/>
  <c r="ER228" i="19"/>
  <c r="EV227" i="19"/>
  <c r="ER227" i="19"/>
  <c r="EV226" i="19"/>
  <c r="ER226" i="19"/>
  <c r="EK31" i="35"/>
  <c r="EJ31" i="35"/>
  <c r="EV221" i="19"/>
  <c r="ER221" i="19"/>
  <c r="EV220" i="19"/>
  <c r="ER220" i="19"/>
  <c r="EV219" i="19"/>
  <c r="ER219" i="19"/>
  <c r="EV218" i="19"/>
  <c r="ER218" i="19"/>
  <c r="EK30" i="35"/>
  <c r="EJ30" i="35"/>
  <c r="EV213" i="19"/>
  <c r="ER213" i="19"/>
  <c r="EV212" i="19"/>
  <c r="ER212" i="19"/>
  <c r="EV211" i="19"/>
  <c r="ER211" i="19"/>
  <c r="EV210" i="19"/>
  <c r="ER210" i="19"/>
  <c r="EK29" i="35"/>
  <c r="EJ29" i="35"/>
  <c r="EV205" i="19"/>
  <c r="ER205" i="19"/>
  <c r="EV204" i="19"/>
  <c r="ER204" i="19"/>
  <c r="EV203" i="19"/>
  <c r="ER203" i="19"/>
  <c r="EV202" i="19"/>
  <c r="ER202" i="19"/>
  <c r="EK28" i="35"/>
  <c r="EJ28" i="35"/>
  <c r="EV197" i="19"/>
  <c r="ER197" i="19"/>
  <c r="EV196" i="19"/>
  <c r="ER196" i="19"/>
  <c r="EV195" i="19"/>
  <c r="ER195" i="19"/>
  <c r="EV194" i="19"/>
  <c r="ER194" i="19"/>
  <c r="EK27" i="35"/>
  <c r="EJ27" i="35"/>
  <c r="EV189" i="19"/>
  <c r="ER189" i="19"/>
  <c r="EV188" i="19"/>
  <c r="ER188" i="19"/>
  <c r="EV187" i="19"/>
  <c r="ER187" i="19"/>
  <c r="EV186" i="19"/>
  <c r="EK26" i="35"/>
  <c r="EJ26" i="35"/>
  <c r="EV181" i="19"/>
  <c r="ER181" i="19"/>
  <c r="EV180" i="19"/>
  <c r="ER180" i="19"/>
  <c r="EV179" i="19"/>
  <c r="ER179" i="19"/>
  <c r="EV178" i="19"/>
  <c r="ER178" i="19"/>
  <c r="EK25" i="35"/>
  <c r="EJ25" i="35"/>
  <c r="EV173" i="19"/>
  <c r="ER173" i="19"/>
  <c r="EV172" i="19"/>
  <c r="ER172" i="19"/>
  <c r="EV171" i="19"/>
  <c r="ER171" i="19"/>
  <c r="EV170" i="19"/>
  <c r="EK24" i="35"/>
  <c r="EJ24" i="35"/>
  <c r="EV165" i="19"/>
  <c r="ER165" i="19"/>
  <c r="EV164" i="19"/>
  <c r="ER164" i="19"/>
  <c r="EV163" i="19"/>
  <c r="ER163" i="19"/>
  <c r="EV162" i="19"/>
  <c r="ER162" i="19"/>
  <c r="EK23" i="35"/>
  <c r="EJ23" i="35"/>
  <c r="EV157" i="19"/>
  <c r="ER157" i="19"/>
  <c r="EV156" i="19"/>
  <c r="ER156" i="19"/>
  <c r="EV155" i="19"/>
  <c r="ER155" i="19"/>
  <c r="EV154" i="19"/>
  <c r="ER154" i="19"/>
  <c r="EK22" i="35"/>
  <c r="EJ22" i="35"/>
  <c r="EV149" i="19"/>
  <c r="ER149" i="19"/>
  <c r="EV148" i="19"/>
  <c r="ER148" i="19"/>
  <c r="EV147" i="19"/>
  <c r="ER147" i="19"/>
  <c r="EV146" i="19"/>
  <c r="EK21" i="35"/>
  <c r="EJ21" i="35"/>
  <c r="EV141" i="19"/>
  <c r="ER141" i="19"/>
  <c r="EV140" i="19"/>
  <c r="ER140" i="19"/>
  <c r="EV139" i="19"/>
  <c r="ER139" i="19"/>
  <c r="EV138" i="19"/>
  <c r="ER138" i="19"/>
  <c r="EK20" i="35"/>
  <c r="EJ20" i="35"/>
  <c r="EV133" i="19"/>
  <c r="ER133" i="19"/>
  <c r="EV132" i="19"/>
  <c r="ER132" i="19"/>
  <c r="EV131" i="19"/>
  <c r="ER131" i="19"/>
  <c r="EV130" i="19"/>
  <c r="ER130" i="19"/>
  <c r="EK19" i="35"/>
  <c r="EJ19" i="35"/>
  <c r="EV125" i="19"/>
  <c r="ER125" i="19"/>
  <c r="EV124" i="19"/>
  <c r="ER124" i="19"/>
  <c r="EV123" i="19"/>
  <c r="ER123" i="19"/>
  <c r="EV122" i="19"/>
  <c r="ER122" i="19"/>
  <c r="EK18" i="35"/>
  <c r="EJ18" i="35"/>
  <c r="EV117" i="19"/>
  <c r="ER117" i="19"/>
  <c r="EV116" i="19"/>
  <c r="ER116" i="19"/>
  <c r="EV115" i="19"/>
  <c r="ER115" i="19"/>
  <c r="EV114" i="19"/>
  <c r="ER114" i="19"/>
  <c r="EK17" i="35"/>
  <c r="EJ17" i="35"/>
  <c r="EV109" i="19"/>
  <c r="ER109" i="19"/>
  <c r="EV108" i="19"/>
  <c r="ER108" i="19"/>
  <c r="EV107" i="19"/>
  <c r="ER107" i="19"/>
  <c r="EV106" i="19"/>
  <c r="ER106" i="19"/>
  <c r="EK16" i="35"/>
  <c r="EJ16" i="35"/>
  <c r="EV101" i="19"/>
  <c r="ER101" i="19"/>
  <c r="EV100" i="19"/>
  <c r="ER100" i="19"/>
  <c r="EV99" i="19"/>
  <c r="ER99" i="19"/>
  <c r="EV98" i="19"/>
  <c r="ER98" i="19"/>
  <c r="EK15" i="35"/>
  <c r="EJ15" i="35"/>
  <c r="EV93" i="19"/>
  <c r="ER93" i="19"/>
  <c r="EV92" i="19"/>
  <c r="ER92" i="19"/>
  <c r="EV91" i="19"/>
  <c r="ER91" i="19"/>
  <c r="EV90" i="19"/>
  <c r="ER90" i="19"/>
  <c r="EK14" i="35"/>
  <c r="EJ14" i="35"/>
  <c r="EV85" i="19"/>
  <c r="ER85" i="19"/>
  <c r="EV84" i="19"/>
  <c r="ER84" i="19"/>
  <c r="EV83" i="19"/>
  <c r="ER83" i="19"/>
  <c r="EV82" i="19"/>
  <c r="EK13" i="35"/>
  <c r="EJ13" i="35"/>
  <c r="EV77" i="19"/>
  <c r="ER77" i="19"/>
  <c r="EV76" i="19"/>
  <c r="ER76" i="19"/>
  <c r="EV75" i="19"/>
  <c r="ER75" i="19"/>
  <c r="EV74" i="19"/>
  <c r="EK12" i="35"/>
  <c r="EJ12" i="35"/>
  <c r="EV69" i="19"/>
  <c r="ER69" i="19"/>
  <c r="EV68" i="19"/>
  <c r="ER68" i="19"/>
  <c r="EV67" i="19"/>
  <c r="ER67" i="19"/>
  <c r="EV66" i="19"/>
  <c r="ER66" i="19"/>
  <c r="EK11" i="35"/>
  <c r="EJ11" i="35"/>
  <c r="EV61" i="19"/>
  <c r="ER61" i="19"/>
  <c r="EV60" i="19"/>
  <c r="ER60" i="19"/>
  <c r="EV59" i="19"/>
  <c r="ER59" i="19"/>
  <c r="EV58" i="19"/>
  <c r="ER58" i="19"/>
  <c r="EK10" i="35"/>
  <c r="EJ10" i="35"/>
  <c r="EV53" i="19"/>
  <c r="ER53" i="19"/>
  <c r="EV52" i="19"/>
  <c r="ER52" i="19"/>
  <c r="EV51" i="19"/>
  <c r="EV50" i="19"/>
  <c r="ER50" i="19"/>
  <c r="EK9" i="35"/>
  <c r="EJ9" i="35"/>
  <c r="EV45" i="19"/>
  <c r="ER45" i="19"/>
  <c r="EV44" i="19"/>
  <c r="ER44" i="19"/>
  <c r="EV43" i="19"/>
  <c r="ER43" i="19"/>
  <c r="EV42" i="19"/>
  <c r="ER42" i="19"/>
  <c r="EK8" i="35"/>
  <c r="EJ8" i="35"/>
  <c r="EV37" i="19"/>
  <c r="ER37" i="19"/>
  <c r="EV36" i="19"/>
  <c r="ER36" i="19"/>
  <c r="EV35" i="19"/>
  <c r="ER35" i="19"/>
  <c r="EV34" i="19"/>
  <c r="ER34" i="19"/>
  <c r="EK7" i="35"/>
  <c r="EJ7" i="35"/>
  <c r="EV29" i="19"/>
  <c r="ER29" i="19"/>
  <c r="EV28" i="19"/>
  <c r="ER28" i="19"/>
  <c r="EV27" i="19"/>
  <c r="EV26" i="19"/>
  <c r="EK6" i="35"/>
  <c r="EJ6" i="35"/>
  <c r="EV21" i="19"/>
  <c r="ES21" i="19"/>
  <c r="ER21" i="19"/>
  <c r="EV20" i="19"/>
  <c r="ES20" i="19"/>
  <c r="ER20" i="19"/>
  <c r="EV19" i="19"/>
  <c r="ES19" i="19"/>
  <c r="ER19" i="19"/>
  <c r="EV18" i="19"/>
  <c r="ES18" i="19"/>
  <c r="ER18" i="19"/>
  <c r="EK5" i="35"/>
  <c r="EJ5" i="35"/>
  <c r="EV13" i="19"/>
  <c r="ER13" i="19"/>
  <c r="EV12" i="19"/>
  <c r="ER12" i="19"/>
  <c r="EV11" i="19"/>
  <c r="EV10" i="19"/>
  <c r="ER10" i="19"/>
  <c r="EK4" i="35"/>
  <c r="EJ4" i="35"/>
  <c r="EQ325" i="19"/>
  <c r="EM325" i="19"/>
  <c r="EQ324" i="19"/>
  <c r="EM324" i="19"/>
  <c r="EQ323" i="19"/>
  <c r="EQ322" i="19"/>
  <c r="EM322" i="19"/>
  <c r="ED43" i="35"/>
  <c r="EC43" i="35"/>
  <c r="EQ317" i="19"/>
  <c r="EM317" i="19"/>
  <c r="EQ316" i="19"/>
  <c r="EM316" i="19"/>
  <c r="EQ315" i="19"/>
  <c r="EQ314" i="19"/>
  <c r="EM314" i="19"/>
  <c r="ED42" i="35"/>
  <c r="EC42" i="35"/>
  <c r="EQ309" i="19"/>
  <c r="EM309" i="19"/>
  <c r="EQ308" i="19"/>
  <c r="EM308" i="19"/>
  <c r="EQ307" i="19"/>
  <c r="EM307" i="19"/>
  <c r="EQ306" i="19"/>
  <c r="EM306" i="19"/>
  <c r="ED41" i="35"/>
  <c r="EC41" i="35"/>
  <c r="EQ301" i="19"/>
  <c r="EM301" i="19"/>
  <c r="EQ300" i="19"/>
  <c r="EM300" i="19"/>
  <c r="EQ299" i="19"/>
  <c r="EM299" i="19"/>
  <c r="EQ298" i="19"/>
  <c r="EM298" i="19"/>
  <c r="ED40" i="35"/>
  <c r="EC40" i="35"/>
  <c r="EQ293" i="19"/>
  <c r="EM293" i="19"/>
  <c r="EQ292" i="19"/>
  <c r="EM292" i="19"/>
  <c r="EQ291" i="19"/>
  <c r="EQ290" i="19"/>
  <c r="EM290" i="19"/>
  <c r="ED39" i="35"/>
  <c r="EC39" i="35"/>
  <c r="EQ285" i="19"/>
  <c r="EM285" i="19"/>
  <c r="EQ284" i="19"/>
  <c r="EM284" i="19"/>
  <c r="EQ283" i="19"/>
  <c r="EQ282" i="19"/>
  <c r="EM282" i="19"/>
  <c r="ED38" i="35"/>
  <c r="EC38" i="35"/>
  <c r="EQ277" i="19"/>
  <c r="EM277" i="19"/>
  <c r="EQ276" i="19"/>
  <c r="EM276" i="19"/>
  <c r="EQ275" i="19"/>
  <c r="EM275" i="19"/>
  <c r="EQ274" i="19"/>
  <c r="EM274" i="19"/>
  <c r="ED37" i="35"/>
  <c r="EC37" i="35"/>
  <c r="EQ269" i="19"/>
  <c r="EM269" i="19"/>
  <c r="EQ268" i="19"/>
  <c r="EM268" i="19"/>
  <c r="EQ267" i="19"/>
  <c r="EM267" i="19"/>
  <c r="EQ266" i="19"/>
  <c r="EM266" i="19"/>
  <c r="ED36" i="35"/>
  <c r="EC36" i="35"/>
  <c r="EQ261" i="19"/>
  <c r="EM261" i="19"/>
  <c r="EQ260" i="19"/>
  <c r="EM260" i="19"/>
  <c r="EQ259" i="19"/>
  <c r="EM259" i="19"/>
  <c r="EQ258" i="19"/>
  <c r="EM258" i="19"/>
  <c r="ED35" i="35"/>
  <c r="EC35" i="35"/>
  <c r="EQ253" i="19"/>
  <c r="EM253" i="19"/>
  <c r="EQ252" i="19"/>
  <c r="EM252" i="19"/>
  <c r="EQ251" i="19"/>
  <c r="EM251" i="19"/>
  <c r="EQ250" i="19"/>
  <c r="EM250" i="19"/>
  <c r="ED34" i="35"/>
  <c r="EC34" i="35"/>
  <c r="EQ245" i="19"/>
  <c r="EM245" i="19"/>
  <c r="EQ244" i="19"/>
  <c r="EM244" i="19"/>
  <c r="EQ243" i="19"/>
  <c r="EQ242" i="19"/>
  <c r="EM242" i="19"/>
  <c r="ED33" i="35"/>
  <c r="EC33" i="35"/>
  <c r="EQ237" i="19"/>
  <c r="EM237" i="19"/>
  <c r="EQ236" i="19"/>
  <c r="EM236" i="19"/>
  <c r="EQ235" i="19"/>
  <c r="EM235" i="19"/>
  <c r="EQ234" i="19"/>
  <c r="EM234" i="19"/>
  <c r="ED32" i="35"/>
  <c r="EC32" i="35"/>
  <c r="EQ229" i="19"/>
  <c r="EM229" i="19"/>
  <c r="EQ228" i="19"/>
  <c r="EM228" i="19"/>
  <c r="EQ227" i="19"/>
  <c r="EM227" i="19"/>
  <c r="EQ226" i="19"/>
  <c r="EM226" i="19"/>
  <c r="ED31" i="35"/>
  <c r="EC31" i="35"/>
  <c r="EQ221" i="19"/>
  <c r="EM221" i="19"/>
  <c r="EQ220" i="19"/>
  <c r="EM220" i="19"/>
  <c r="EQ219" i="19"/>
  <c r="EM219" i="19"/>
  <c r="EQ218" i="19"/>
  <c r="EM218" i="19"/>
  <c r="ED30" i="35"/>
  <c r="EC30" i="35"/>
  <c r="EQ213" i="19"/>
  <c r="EM213" i="19"/>
  <c r="EQ212" i="19"/>
  <c r="EM212" i="19"/>
  <c r="EQ211" i="19"/>
  <c r="EM211" i="19"/>
  <c r="EQ210" i="19"/>
  <c r="EM210" i="19"/>
  <c r="ED29" i="35"/>
  <c r="EC29" i="35"/>
  <c r="EQ205" i="19"/>
  <c r="EM205" i="19"/>
  <c r="EQ204" i="19"/>
  <c r="EM204" i="19"/>
  <c r="EQ203" i="19"/>
  <c r="EM203" i="19"/>
  <c r="EQ202" i="19"/>
  <c r="EM202" i="19"/>
  <c r="ED28" i="35"/>
  <c r="EC28" i="35"/>
  <c r="EQ197" i="19"/>
  <c r="EM197" i="19"/>
  <c r="EQ196" i="19"/>
  <c r="EM196" i="19"/>
  <c r="EQ195" i="19"/>
  <c r="EM195" i="19"/>
  <c r="EQ194" i="19"/>
  <c r="EM194" i="19"/>
  <c r="ED27" i="35"/>
  <c r="EC27" i="35"/>
  <c r="EQ189" i="19"/>
  <c r="EM189" i="19"/>
  <c r="EQ188" i="19"/>
  <c r="EM188" i="19"/>
  <c r="EQ187" i="19"/>
  <c r="EM187" i="19"/>
  <c r="EQ186" i="19"/>
  <c r="EM186" i="19"/>
  <c r="ED26" i="35"/>
  <c r="EC26" i="35"/>
  <c r="EQ181" i="19"/>
  <c r="EM181" i="19"/>
  <c r="EQ180" i="19"/>
  <c r="EM180" i="19"/>
  <c r="EQ179" i="19"/>
  <c r="EM179" i="19"/>
  <c r="EQ178" i="19"/>
  <c r="EM178" i="19"/>
  <c r="ED25" i="35"/>
  <c r="EC25" i="35"/>
  <c r="EQ173" i="19"/>
  <c r="EM173" i="19"/>
  <c r="EQ172" i="19"/>
  <c r="EM172" i="19"/>
  <c r="EQ171" i="19"/>
  <c r="EM171" i="19"/>
  <c r="EQ170" i="19"/>
  <c r="EM170" i="19"/>
  <c r="ED24" i="35"/>
  <c r="EC24" i="35"/>
  <c r="EQ165" i="19"/>
  <c r="EM165" i="19"/>
  <c r="EQ164" i="19"/>
  <c r="EM164" i="19"/>
  <c r="EQ163" i="19"/>
  <c r="EM163" i="19"/>
  <c r="EQ162" i="19"/>
  <c r="EM162" i="19"/>
  <c r="ED23" i="35"/>
  <c r="EC23" i="35"/>
  <c r="EQ157" i="19"/>
  <c r="EM157" i="19"/>
  <c r="EQ156" i="19"/>
  <c r="EM156" i="19"/>
  <c r="EQ155" i="19"/>
  <c r="EM155" i="19"/>
  <c r="EQ154" i="19"/>
  <c r="EM154" i="19"/>
  <c r="ED22" i="35"/>
  <c r="EC22" i="35"/>
  <c r="EQ149" i="19"/>
  <c r="EM149" i="19"/>
  <c r="EQ148" i="19"/>
  <c r="EM148" i="19"/>
  <c r="EQ147" i="19"/>
  <c r="EM147" i="19"/>
  <c r="EQ146" i="19"/>
  <c r="EM146" i="19"/>
  <c r="ED21" i="35"/>
  <c r="EC21" i="35"/>
  <c r="EQ141" i="19"/>
  <c r="EM141" i="19"/>
  <c r="EQ140" i="19"/>
  <c r="EM140" i="19"/>
  <c r="EQ139" i="19"/>
  <c r="EQ138" i="19"/>
  <c r="EM138" i="19"/>
  <c r="ED20" i="35"/>
  <c r="EC20" i="35"/>
  <c r="EQ133" i="19"/>
  <c r="EM133" i="19"/>
  <c r="EQ132" i="19"/>
  <c r="EM132" i="19"/>
  <c r="EQ131" i="19"/>
  <c r="EQ130" i="19"/>
  <c r="EM130" i="19"/>
  <c r="ED19" i="35"/>
  <c r="EC19" i="35"/>
  <c r="EQ125" i="19"/>
  <c r="EM125" i="19"/>
  <c r="EQ124" i="19"/>
  <c r="EM124" i="19"/>
  <c r="EQ123" i="19"/>
  <c r="EQ122" i="19"/>
  <c r="EM122" i="19"/>
  <c r="ED18" i="35"/>
  <c r="EC18" i="35"/>
  <c r="EQ117" i="19"/>
  <c r="EM117" i="19"/>
  <c r="EQ116" i="19"/>
  <c r="EM116" i="19"/>
  <c r="EQ115" i="19"/>
  <c r="EQ114" i="19"/>
  <c r="EM114" i="19"/>
  <c r="ED17" i="35"/>
  <c r="EC17" i="35"/>
  <c r="EQ109" i="19"/>
  <c r="EM109" i="19"/>
  <c r="EQ108" i="19"/>
  <c r="EM108" i="19"/>
  <c r="EQ107" i="19"/>
  <c r="EQ106" i="19"/>
  <c r="EM106" i="19"/>
  <c r="ED16" i="35"/>
  <c r="EC16" i="35"/>
  <c r="EQ101" i="19"/>
  <c r="EM101" i="19"/>
  <c r="EQ100" i="19"/>
  <c r="EM100" i="19"/>
  <c r="EQ99" i="19"/>
  <c r="EM99" i="19"/>
  <c r="EQ98" i="19"/>
  <c r="EM98" i="19"/>
  <c r="ED15" i="35"/>
  <c r="EC15" i="35"/>
  <c r="EQ93" i="19"/>
  <c r="EM93" i="19"/>
  <c r="EQ92" i="19"/>
  <c r="EM92" i="19"/>
  <c r="EQ91" i="19"/>
  <c r="EQ90" i="19"/>
  <c r="EM90" i="19"/>
  <c r="ED14" i="35"/>
  <c r="EC14" i="35"/>
  <c r="EQ85" i="19"/>
  <c r="EM85" i="19"/>
  <c r="EQ84" i="19"/>
  <c r="EM84" i="19"/>
  <c r="EQ83" i="19"/>
  <c r="EM83" i="19"/>
  <c r="EQ82" i="19"/>
  <c r="EM82" i="19"/>
  <c r="ED13" i="35"/>
  <c r="EC13" i="35"/>
  <c r="EQ77" i="19"/>
  <c r="EM77" i="19"/>
  <c r="EQ76" i="19"/>
  <c r="EM76" i="19"/>
  <c r="EQ75" i="19"/>
  <c r="EM75" i="19"/>
  <c r="EQ74" i="19"/>
  <c r="EM74" i="19"/>
  <c r="ED12" i="35"/>
  <c r="EC12" i="35"/>
  <c r="EQ69" i="19"/>
  <c r="EM69" i="19"/>
  <c r="EQ68" i="19"/>
  <c r="EM68" i="19"/>
  <c r="EQ67" i="19"/>
  <c r="EQ66" i="19"/>
  <c r="EM66" i="19"/>
  <c r="ED11" i="35"/>
  <c r="EC11" i="35"/>
  <c r="EQ61" i="19"/>
  <c r="EM61" i="19"/>
  <c r="EQ60" i="19"/>
  <c r="EM60" i="19"/>
  <c r="EQ59" i="19"/>
  <c r="EQ58" i="19"/>
  <c r="EM58" i="19"/>
  <c r="ED10" i="35"/>
  <c r="EC10" i="35"/>
  <c r="EQ53" i="19"/>
  <c r="EM53" i="19"/>
  <c r="EQ52" i="19"/>
  <c r="EM52" i="19"/>
  <c r="EQ51" i="19"/>
  <c r="EM51" i="19"/>
  <c r="EQ50" i="19"/>
  <c r="ED9" i="35"/>
  <c r="EC9" i="35"/>
  <c r="EQ45" i="19"/>
  <c r="EM45" i="19"/>
  <c r="EQ44" i="19"/>
  <c r="EM44" i="19"/>
  <c r="EQ43" i="19"/>
  <c r="EM43" i="19"/>
  <c r="EQ42" i="19"/>
  <c r="EM42" i="19"/>
  <c r="ED8" i="35"/>
  <c r="EC8" i="35"/>
  <c r="EQ37" i="19"/>
  <c r="EM37" i="19"/>
  <c r="EQ36" i="19"/>
  <c r="EM36" i="19"/>
  <c r="EQ35" i="19"/>
  <c r="EM35" i="19"/>
  <c r="EQ34" i="19"/>
  <c r="EM34" i="19"/>
  <c r="ED7" i="35"/>
  <c r="EC7" i="35"/>
  <c r="EQ29" i="19"/>
  <c r="EM29" i="19"/>
  <c r="EQ28" i="19"/>
  <c r="EM28" i="19"/>
  <c r="EQ27" i="19"/>
  <c r="EQ26" i="19"/>
  <c r="ED6" i="35"/>
  <c r="EC6" i="35"/>
  <c r="EQ21" i="19"/>
  <c r="EN21" i="19"/>
  <c r="EM21" i="19"/>
  <c r="EQ20" i="19"/>
  <c r="EN20" i="19"/>
  <c r="EM20" i="19"/>
  <c r="EQ19" i="19"/>
  <c r="EN19" i="19"/>
  <c r="EM19" i="19"/>
  <c r="EQ18" i="19"/>
  <c r="EN18" i="19"/>
  <c r="EM18" i="19"/>
  <c r="ED5" i="35"/>
  <c r="EC5" i="35"/>
  <c r="EQ13" i="19"/>
  <c r="EM13" i="19"/>
  <c r="EQ12" i="19"/>
  <c r="EM12" i="19"/>
  <c r="EQ11" i="19"/>
  <c r="EQ10" i="19"/>
  <c r="ED4" i="35"/>
  <c r="EC4" i="35"/>
  <c r="EL325" i="19"/>
  <c r="EH325" i="19"/>
  <c r="EL324" i="19"/>
  <c r="EH324" i="19"/>
  <c r="EL323" i="19"/>
  <c r="EH323" i="19"/>
  <c r="EL322" i="19"/>
  <c r="DW43" i="35"/>
  <c r="DV43" i="35"/>
  <c r="EL317" i="19"/>
  <c r="EH317" i="19"/>
  <c r="EL316" i="19"/>
  <c r="EH316" i="19"/>
  <c r="EL315" i="19"/>
  <c r="EH315" i="19"/>
  <c r="EL314" i="19"/>
  <c r="DW42" i="35"/>
  <c r="DV42" i="35"/>
  <c r="EL309" i="19"/>
  <c r="EH309" i="19"/>
  <c r="EL308" i="19"/>
  <c r="EH308" i="19"/>
  <c r="EL307" i="19"/>
  <c r="EH307" i="19"/>
  <c r="EL306" i="19"/>
  <c r="EH306" i="19"/>
  <c r="DW41" i="35"/>
  <c r="DV41" i="35"/>
  <c r="EL301" i="19"/>
  <c r="EH301" i="19"/>
  <c r="EL300" i="19"/>
  <c r="EH300" i="19"/>
  <c r="EL299" i="19"/>
  <c r="EL298" i="19"/>
  <c r="EH298" i="19"/>
  <c r="DW40" i="35"/>
  <c r="DV40" i="35"/>
  <c r="EL293" i="19"/>
  <c r="EH293" i="19"/>
  <c r="EL292" i="19"/>
  <c r="EH292" i="19"/>
  <c r="EL291" i="19"/>
  <c r="EH291" i="19"/>
  <c r="EL290" i="19"/>
  <c r="DW39" i="35"/>
  <c r="DV39" i="35"/>
  <c r="EL285" i="19"/>
  <c r="EH285" i="19"/>
  <c r="EL284" i="19"/>
  <c r="EH284" i="19"/>
  <c r="EL283" i="19"/>
  <c r="EH283" i="19"/>
  <c r="EL282" i="19"/>
  <c r="DW38" i="35"/>
  <c r="DV38" i="35"/>
  <c r="EL277" i="19"/>
  <c r="EH277" i="19"/>
  <c r="EL276" i="19"/>
  <c r="EH276" i="19"/>
  <c r="EL275" i="19"/>
  <c r="EH275" i="19"/>
  <c r="EL274" i="19"/>
  <c r="EH274" i="19"/>
  <c r="DW37" i="35"/>
  <c r="DV37" i="35"/>
  <c r="EL269" i="19"/>
  <c r="EH269" i="19"/>
  <c r="EL268" i="19"/>
  <c r="EH268" i="19"/>
  <c r="EL267" i="19"/>
  <c r="EH267" i="19"/>
  <c r="EL266" i="19"/>
  <c r="EH266" i="19"/>
  <c r="DW36" i="35"/>
  <c r="DV36" i="35"/>
  <c r="EL261" i="19"/>
  <c r="EH261" i="19"/>
  <c r="EL260" i="19"/>
  <c r="EH260" i="19"/>
  <c r="EL259" i="19"/>
  <c r="EH259" i="19"/>
  <c r="EL258" i="19"/>
  <c r="EH258" i="19"/>
  <c r="DW35" i="35"/>
  <c r="DV35" i="35"/>
  <c r="EL253" i="19"/>
  <c r="EH253" i="19"/>
  <c r="EL252" i="19"/>
  <c r="EH252" i="19"/>
  <c r="EL251" i="19"/>
  <c r="EL250" i="19"/>
  <c r="EH250" i="19"/>
  <c r="DW34" i="35"/>
  <c r="DV34" i="35"/>
  <c r="EL245" i="19"/>
  <c r="EH245" i="19"/>
  <c r="EL244" i="19"/>
  <c r="EH244" i="19"/>
  <c r="EL243" i="19"/>
  <c r="EH243" i="19"/>
  <c r="EL242" i="19"/>
  <c r="DW33" i="35"/>
  <c r="DV33" i="35"/>
  <c r="EL237" i="19"/>
  <c r="EH237" i="19"/>
  <c r="EL236" i="19"/>
  <c r="EH236" i="19"/>
  <c r="EL235" i="19"/>
  <c r="EH235" i="19"/>
  <c r="EL234" i="19"/>
  <c r="DW32" i="35"/>
  <c r="DV32" i="35"/>
  <c r="EL229" i="19"/>
  <c r="EH229" i="19"/>
  <c r="EL228" i="19"/>
  <c r="EH228" i="19"/>
  <c r="EL227" i="19"/>
  <c r="EH227" i="19"/>
  <c r="EL226" i="19"/>
  <c r="EH226" i="19"/>
  <c r="DW31" i="35"/>
  <c r="DV31" i="35"/>
  <c r="EL221" i="19"/>
  <c r="EH221" i="19"/>
  <c r="EL220" i="19"/>
  <c r="EH220" i="19"/>
  <c r="EL219" i="19"/>
  <c r="EH219" i="19"/>
  <c r="EL218" i="19"/>
  <c r="EH218" i="19"/>
  <c r="DW30" i="35"/>
  <c r="DV30" i="35"/>
  <c r="EL213" i="19"/>
  <c r="EH213" i="19"/>
  <c r="EL212" i="19"/>
  <c r="EH212" i="19"/>
  <c r="EL211" i="19"/>
  <c r="EH211" i="19"/>
  <c r="EL210" i="19"/>
  <c r="EH210" i="19"/>
  <c r="DW29" i="35"/>
  <c r="DV29" i="35"/>
  <c r="EL205" i="19"/>
  <c r="EH205" i="19"/>
  <c r="EL204" i="19"/>
  <c r="EH204" i="19"/>
  <c r="EL203" i="19"/>
  <c r="EH203" i="19"/>
  <c r="EL202" i="19"/>
  <c r="EH202" i="19"/>
  <c r="DW28" i="35"/>
  <c r="DV28" i="35"/>
  <c r="EL197" i="19"/>
  <c r="EH197" i="19"/>
  <c r="EL196" i="19"/>
  <c r="EH196" i="19"/>
  <c r="EL195" i="19"/>
  <c r="EH195" i="19"/>
  <c r="EL194" i="19"/>
  <c r="EH194" i="19"/>
  <c r="DW27" i="35"/>
  <c r="DV27" i="35"/>
  <c r="EL189" i="19"/>
  <c r="EH189" i="19"/>
  <c r="EL188" i="19"/>
  <c r="EH188" i="19"/>
  <c r="EL187" i="19"/>
  <c r="EL186" i="19"/>
  <c r="EH186" i="19"/>
  <c r="DW26" i="35"/>
  <c r="DV26" i="35"/>
  <c r="EL181" i="19"/>
  <c r="EH181" i="19"/>
  <c r="EL180" i="19"/>
  <c r="EH180" i="19"/>
  <c r="EL179" i="19"/>
  <c r="EH179" i="19"/>
  <c r="EL178" i="19"/>
  <c r="EH178" i="19"/>
  <c r="DW25" i="35"/>
  <c r="DV25" i="35"/>
  <c r="EL173" i="19"/>
  <c r="EH173" i="19"/>
  <c r="EL172" i="19"/>
  <c r="EH172" i="19"/>
  <c r="EL171" i="19"/>
  <c r="EL170" i="19"/>
  <c r="EH170" i="19"/>
  <c r="DW24" i="35"/>
  <c r="DV24" i="35"/>
  <c r="EL165" i="19"/>
  <c r="EH165" i="19"/>
  <c r="EL164" i="19"/>
  <c r="EH164" i="19"/>
  <c r="EL163" i="19"/>
  <c r="EH163" i="19"/>
  <c r="EL162" i="19"/>
  <c r="EH162" i="19"/>
  <c r="DW23" i="35"/>
  <c r="DV23" i="35"/>
  <c r="EL157" i="19"/>
  <c r="EH157" i="19"/>
  <c r="EL156" i="19"/>
  <c r="EH156" i="19"/>
  <c r="EL155" i="19"/>
  <c r="EH155" i="19"/>
  <c r="EL154" i="19"/>
  <c r="EH154" i="19"/>
  <c r="DW22" i="35"/>
  <c r="DV22" i="35"/>
  <c r="EL149" i="19"/>
  <c r="EH149" i="19"/>
  <c r="EL148" i="19"/>
  <c r="EH148" i="19"/>
  <c r="EL147" i="19"/>
  <c r="EL146" i="19"/>
  <c r="EH146" i="19"/>
  <c r="DW21" i="35"/>
  <c r="DV21" i="35"/>
  <c r="EL141" i="19"/>
  <c r="EH141" i="19"/>
  <c r="EL140" i="19"/>
  <c r="EH140" i="19"/>
  <c r="EL139" i="19"/>
  <c r="EH139" i="19"/>
  <c r="EL138" i="19"/>
  <c r="DW20" i="35"/>
  <c r="DV20" i="35"/>
  <c r="EL133" i="19"/>
  <c r="EH133" i="19"/>
  <c r="EL132" i="19"/>
  <c r="EH132" i="19"/>
  <c r="EL131" i="19"/>
  <c r="EH131" i="19"/>
  <c r="EL130" i="19"/>
  <c r="DW19" i="35"/>
  <c r="DV19" i="35"/>
  <c r="EL125" i="19"/>
  <c r="EH125" i="19"/>
  <c r="EL124" i="19"/>
  <c r="EH124" i="19"/>
  <c r="EL123" i="19"/>
  <c r="EH123" i="19"/>
  <c r="EL122" i="19"/>
  <c r="DW18" i="35"/>
  <c r="DV18" i="35"/>
  <c r="EL117" i="19"/>
  <c r="EH117" i="19"/>
  <c r="EL116" i="19"/>
  <c r="EH116" i="19"/>
  <c r="EL115" i="19"/>
  <c r="EH115" i="19"/>
  <c r="EL114" i="19"/>
  <c r="DW17" i="35"/>
  <c r="DV17" i="35"/>
  <c r="EL109" i="19"/>
  <c r="EH109" i="19"/>
  <c r="EL108" i="19"/>
  <c r="EH108" i="19"/>
  <c r="EL107" i="19"/>
  <c r="EH107" i="19"/>
  <c r="EL106" i="19"/>
  <c r="DW16" i="35"/>
  <c r="DV16" i="35"/>
  <c r="EL101" i="19"/>
  <c r="EH101" i="19"/>
  <c r="EL100" i="19"/>
  <c r="EH100" i="19"/>
  <c r="EL99" i="19"/>
  <c r="EH99" i="19"/>
  <c r="EL98" i="19"/>
  <c r="EH98" i="19"/>
  <c r="DW15" i="35"/>
  <c r="DV15" i="35"/>
  <c r="EL93" i="19"/>
  <c r="EH93" i="19"/>
  <c r="EL92" i="19"/>
  <c r="EH92" i="19"/>
  <c r="EL91" i="19"/>
  <c r="EH91" i="19"/>
  <c r="EL90" i="19"/>
  <c r="DW14" i="35"/>
  <c r="DV14" i="35"/>
  <c r="EL85" i="19"/>
  <c r="EH85" i="19"/>
  <c r="EL84" i="19"/>
  <c r="EH84" i="19"/>
  <c r="EL83" i="19"/>
  <c r="EL82" i="19"/>
  <c r="EH82" i="19"/>
  <c r="DW13" i="35"/>
  <c r="DV13" i="35"/>
  <c r="EL77" i="19"/>
  <c r="EH77" i="19"/>
  <c r="EL76" i="19"/>
  <c r="EH76" i="19"/>
  <c r="EL75" i="19"/>
  <c r="EL74" i="19"/>
  <c r="EH74" i="19"/>
  <c r="DW12" i="35"/>
  <c r="DV12" i="35"/>
  <c r="EL69" i="19"/>
  <c r="EH69" i="19"/>
  <c r="EL68" i="19"/>
  <c r="EH68" i="19"/>
  <c r="EL67" i="19"/>
  <c r="EH67" i="19"/>
  <c r="EL66" i="19"/>
  <c r="DW11" i="35"/>
  <c r="DV11" i="35"/>
  <c r="EL61" i="19"/>
  <c r="EH61" i="19"/>
  <c r="EL60" i="19"/>
  <c r="EH60" i="19"/>
  <c r="EL59" i="19"/>
  <c r="EH59" i="19"/>
  <c r="EL58" i="19"/>
  <c r="DW10" i="35"/>
  <c r="DV10" i="35"/>
  <c r="EL53" i="19"/>
  <c r="EH53" i="19"/>
  <c r="EL52" i="19"/>
  <c r="EH52" i="19"/>
  <c r="EL51" i="19"/>
  <c r="EH51" i="19"/>
  <c r="EL50" i="19"/>
  <c r="EH50" i="19"/>
  <c r="DW9" i="35"/>
  <c r="DV9" i="35"/>
  <c r="EL45" i="19"/>
  <c r="EH45" i="19"/>
  <c r="EL44" i="19"/>
  <c r="EH44" i="19"/>
  <c r="EL43" i="19"/>
  <c r="EH43" i="19"/>
  <c r="EL42" i="19"/>
  <c r="EH42" i="19"/>
  <c r="DW8" i="35"/>
  <c r="DV8" i="35"/>
  <c r="EL37" i="19"/>
  <c r="EH37" i="19"/>
  <c r="EL36" i="19"/>
  <c r="EH36" i="19"/>
  <c r="EL35" i="19"/>
  <c r="EH35" i="19"/>
  <c r="EL34" i="19"/>
  <c r="EH34" i="19"/>
  <c r="DW7" i="35"/>
  <c r="DV7" i="35"/>
  <c r="EL29" i="19"/>
  <c r="EH29" i="19"/>
  <c r="EL28" i="19"/>
  <c r="EH28" i="19"/>
  <c r="EL27" i="19"/>
  <c r="EL26" i="19"/>
  <c r="DW6" i="35"/>
  <c r="DV6" i="35"/>
  <c r="EL21" i="19"/>
  <c r="EI21" i="19"/>
  <c r="EH21" i="19"/>
  <c r="EL20" i="19"/>
  <c r="EI20" i="19"/>
  <c r="EH20" i="19"/>
  <c r="EL19" i="19"/>
  <c r="EI19" i="19"/>
  <c r="EH19" i="19"/>
  <c r="EL18" i="19"/>
  <c r="EI18" i="19"/>
  <c r="EH18" i="19"/>
  <c r="DW5" i="35"/>
  <c r="DV5" i="35"/>
  <c r="EL13" i="19"/>
  <c r="EH13" i="19"/>
  <c r="EL12" i="19"/>
  <c r="EH12" i="19"/>
  <c r="EL11" i="19"/>
  <c r="EH11" i="19"/>
  <c r="EL10" i="19"/>
  <c r="DW4" i="35"/>
  <c r="DV4" i="35"/>
  <c r="EG325" i="19"/>
  <c r="EC325" i="19"/>
  <c r="EG324" i="19"/>
  <c r="EC324" i="19"/>
  <c r="EG323" i="19"/>
  <c r="EC323" i="19"/>
  <c r="EG322" i="19"/>
  <c r="EC322" i="19"/>
  <c r="DP43" i="35"/>
  <c r="DO43" i="35"/>
  <c r="EG317" i="19"/>
  <c r="EC317" i="19"/>
  <c r="EG316" i="19"/>
  <c r="EC316" i="19"/>
  <c r="EG315" i="19"/>
  <c r="EC315" i="19"/>
  <c r="EG314" i="19"/>
  <c r="EC314" i="19"/>
  <c r="DP42" i="35"/>
  <c r="DO42" i="35"/>
  <c r="EG309" i="19"/>
  <c r="EC309" i="19"/>
  <c r="EG308" i="19"/>
  <c r="EC308" i="19"/>
  <c r="EG307" i="19"/>
  <c r="EC307" i="19"/>
  <c r="EG306" i="19"/>
  <c r="EC306" i="19"/>
  <c r="DP41" i="35"/>
  <c r="DO41" i="35"/>
  <c r="EG301" i="19"/>
  <c r="EC301" i="19"/>
  <c r="EG300" i="19"/>
  <c r="EC300" i="19"/>
  <c r="EG299" i="19"/>
  <c r="EC299" i="19"/>
  <c r="EG298" i="19"/>
  <c r="DP40" i="35"/>
  <c r="DO40" i="35"/>
  <c r="EG293" i="19"/>
  <c r="EC293" i="19"/>
  <c r="EG292" i="19"/>
  <c r="EC292" i="19"/>
  <c r="EG291" i="19"/>
  <c r="EC291" i="19"/>
  <c r="EG290" i="19"/>
  <c r="EC290" i="19"/>
  <c r="DP39" i="35"/>
  <c r="DO39" i="35"/>
  <c r="EG285" i="19"/>
  <c r="EC285" i="19"/>
  <c r="EG284" i="19"/>
  <c r="EC284" i="19"/>
  <c r="EG283" i="19"/>
  <c r="EC283" i="19"/>
  <c r="EG282" i="19"/>
  <c r="EC282" i="19"/>
  <c r="DP38" i="35"/>
  <c r="DO38" i="35"/>
  <c r="EG277" i="19"/>
  <c r="EC277" i="19"/>
  <c r="EG276" i="19"/>
  <c r="EC276" i="19"/>
  <c r="EG275" i="19"/>
  <c r="EC275" i="19"/>
  <c r="EG274" i="19"/>
  <c r="EC274" i="19"/>
  <c r="DP37" i="35"/>
  <c r="DO37" i="35"/>
  <c r="EG269" i="19"/>
  <c r="EC269" i="19"/>
  <c r="EG268" i="19"/>
  <c r="EC268" i="19"/>
  <c r="EG267" i="19"/>
  <c r="EC267" i="19"/>
  <c r="EG266" i="19"/>
  <c r="EC266" i="19"/>
  <c r="DP36" i="35"/>
  <c r="DO36" i="35"/>
  <c r="EG261" i="19"/>
  <c r="EC261" i="19"/>
  <c r="EG260" i="19"/>
  <c r="EC260" i="19"/>
  <c r="EG259" i="19"/>
  <c r="EC259" i="19"/>
  <c r="EG258" i="19"/>
  <c r="EC258" i="19"/>
  <c r="DP35" i="35"/>
  <c r="DO35" i="35"/>
  <c r="EG253" i="19"/>
  <c r="EC253" i="19"/>
  <c r="EG252" i="19"/>
  <c r="EC252" i="19"/>
  <c r="EG251" i="19"/>
  <c r="EC251" i="19"/>
  <c r="EG250" i="19"/>
  <c r="DP34" i="35"/>
  <c r="DO34" i="35"/>
  <c r="EG245" i="19"/>
  <c r="EC245" i="19"/>
  <c r="EG244" i="19"/>
  <c r="EC244" i="19"/>
  <c r="EG243" i="19"/>
  <c r="EC243" i="19"/>
  <c r="EG242" i="19"/>
  <c r="EC242" i="19"/>
  <c r="DP33" i="35"/>
  <c r="DO33" i="35"/>
  <c r="EG237" i="19"/>
  <c r="EC237" i="19"/>
  <c r="EG236" i="19"/>
  <c r="EC236" i="19"/>
  <c r="EG235" i="19"/>
  <c r="EG234" i="19"/>
  <c r="EC234" i="19"/>
  <c r="DP32" i="35"/>
  <c r="DO32" i="35"/>
  <c r="EG229" i="19"/>
  <c r="EC229" i="19"/>
  <c r="EG228" i="19"/>
  <c r="EC228" i="19"/>
  <c r="EG227" i="19"/>
  <c r="EC227" i="19"/>
  <c r="EG226" i="19"/>
  <c r="EC226" i="19"/>
  <c r="DP31" i="35"/>
  <c r="DO31" i="35"/>
  <c r="EG221" i="19"/>
  <c r="EC221" i="19"/>
  <c r="EG220" i="19"/>
  <c r="EC220" i="19"/>
  <c r="EG219" i="19"/>
  <c r="EC219" i="19"/>
  <c r="EG218" i="19"/>
  <c r="EC218" i="19"/>
  <c r="DP30" i="35"/>
  <c r="DO30" i="35"/>
  <c r="EG213" i="19"/>
  <c r="EC213" i="19"/>
  <c r="EG212" i="19"/>
  <c r="EC212" i="19"/>
  <c r="EG211" i="19"/>
  <c r="EC211" i="19"/>
  <c r="EG210" i="19"/>
  <c r="EC210" i="19"/>
  <c r="DP29" i="35"/>
  <c r="DO29" i="35"/>
  <c r="EG205" i="19"/>
  <c r="EC205" i="19"/>
  <c r="EG204" i="19"/>
  <c r="EC204" i="19"/>
  <c r="EG203" i="19"/>
  <c r="EC203" i="19"/>
  <c r="EG202" i="19"/>
  <c r="EC202" i="19"/>
  <c r="DP28" i="35"/>
  <c r="DO28" i="35"/>
  <c r="EG197" i="19"/>
  <c r="EC197" i="19"/>
  <c r="EG196" i="19"/>
  <c r="EC196" i="19"/>
  <c r="EG195" i="19"/>
  <c r="EC195" i="19"/>
  <c r="EG194" i="19"/>
  <c r="EC194" i="19"/>
  <c r="DP27" i="35"/>
  <c r="DO27" i="35"/>
  <c r="EG189" i="19"/>
  <c r="EC189" i="19"/>
  <c r="EG188" i="19"/>
  <c r="EC188" i="19"/>
  <c r="EG187" i="19"/>
  <c r="EC187" i="19"/>
  <c r="EG186" i="19"/>
  <c r="DP26" i="35"/>
  <c r="DO26" i="35"/>
  <c r="EG181" i="19"/>
  <c r="EC181" i="19"/>
  <c r="EG180" i="19"/>
  <c r="EC180" i="19"/>
  <c r="EG179" i="19"/>
  <c r="EC179" i="19"/>
  <c r="EG178" i="19"/>
  <c r="EC178" i="19"/>
  <c r="DP25" i="35"/>
  <c r="DO25" i="35"/>
  <c r="EG173" i="19"/>
  <c r="EC173" i="19"/>
  <c r="EG172" i="19"/>
  <c r="EC172" i="19"/>
  <c r="EG171" i="19"/>
  <c r="EC171" i="19"/>
  <c r="EG170" i="19"/>
  <c r="DP24" i="35"/>
  <c r="DO24" i="35"/>
  <c r="EG165" i="19"/>
  <c r="EC165" i="19"/>
  <c r="EG164" i="19"/>
  <c r="EC164" i="19"/>
  <c r="EG163" i="19"/>
  <c r="EC163" i="19"/>
  <c r="EG162" i="19"/>
  <c r="EC162" i="19"/>
  <c r="DP23" i="35"/>
  <c r="DO23" i="35"/>
  <c r="EG157" i="19"/>
  <c r="EC157" i="19"/>
  <c r="EG156" i="19"/>
  <c r="EC156" i="19"/>
  <c r="EG155" i="19"/>
  <c r="EC155" i="19"/>
  <c r="EG154" i="19"/>
  <c r="EC154" i="19"/>
  <c r="DP22" i="35"/>
  <c r="DO22" i="35"/>
  <c r="EG149" i="19"/>
  <c r="EC149" i="19"/>
  <c r="EG148" i="19"/>
  <c r="EC148" i="19"/>
  <c r="EG147" i="19"/>
  <c r="EC147" i="19"/>
  <c r="EG146" i="19"/>
  <c r="DP21" i="35"/>
  <c r="DO21" i="35"/>
  <c r="EG141" i="19"/>
  <c r="EC141" i="19"/>
  <c r="EG140" i="19"/>
  <c r="EC140" i="19"/>
  <c r="EG139" i="19"/>
  <c r="EC139" i="19"/>
  <c r="EG138" i="19"/>
  <c r="EC138" i="19"/>
  <c r="DP20" i="35"/>
  <c r="DO20" i="35"/>
  <c r="EG133" i="19"/>
  <c r="EC133" i="19"/>
  <c r="EG132" i="19"/>
  <c r="EC132" i="19"/>
  <c r="EG131" i="19"/>
  <c r="EC131" i="19"/>
  <c r="EG130" i="19"/>
  <c r="EC130" i="19"/>
  <c r="DP19" i="35"/>
  <c r="DO19" i="35"/>
  <c r="EG125" i="19"/>
  <c r="EC125" i="19"/>
  <c r="EG124" i="19"/>
  <c r="EC124" i="19"/>
  <c r="EG123" i="19"/>
  <c r="EC123" i="19"/>
  <c r="EG122" i="19"/>
  <c r="EC122" i="19"/>
  <c r="DP18" i="35"/>
  <c r="DO18" i="35"/>
  <c r="EG117" i="19"/>
  <c r="EC117" i="19"/>
  <c r="EG116" i="19"/>
  <c r="EC116" i="19"/>
  <c r="EG115" i="19"/>
  <c r="EC115" i="19"/>
  <c r="EG114" i="19"/>
  <c r="EC114" i="19"/>
  <c r="DP17" i="35"/>
  <c r="DO17" i="35"/>
  <c r="EG109" i="19"/>
  <c r="EC109" i="19"/>
  <c r="EG108" i="19"/>
  <c r="EC108" i="19"/>
  <c r="EG107" i="19"/>
  <c r="EC107" i="19"/>
  <c r="EG106" i="19"/>
  <c r="EC106" i="19"/>
  <c r="DP16" i="35"/>
  <c r="DO16" i="35"/>
  <c r="EG101" i="19"/>
  <c r="EC101" i="19"/>
  <c r="EG100" i="19"/>
  <c r="EC100" i="19"/>
  <c r="EG99" i="19"/>
  <c r="EC99" i="19"/>
  <c r="EG98" i="19"/>
  <c r="EC98" i="19"/>
  <c r="DP15" i="35"/>
  <c r="DO15" i="35"/>
  <c r="EG93" i="19"/>
  <c r="EC93" i="19"/>
  <c r="EG92" i="19"/>
  <c r="EC92" i="19"/>
  <c r="EG91" i="19"/>
  <c r="EC91" i="19"/>
  <c r="EG90" i="19"/>
  <c r="EC90" i="19"/>
  <c r="DP14" i="35"/>
  <c r="DO14" i="35"/>
  <c r="EG85" i="19"/>
  <c r="EC85" i="19"/>
  <c r="EG84" i="19"/>
  <c r="EC84" i="19"/>
  <c r="EG83" i="19"/>
  <c r="EC83" i="19"/>
  <c r="EG82" i="19"/>
  <c r="DP13" i="35"/>
  <c r="DO13" i="35"/>
  <c r="EG77" i="19"/>
  <c r="EC77" i="19"/>
  <c r="EG76" i="19"/>
  <c r="EC76" i="19"/>
  <c r="EG75" i="19"/>
  <c r="EC75" i="19"/>
  <c r="EG74" i="19"/>
  <c r="DP12" i="35"/>
  <c r="DO12" i="35"/>
  <c r="EG69" i="19"/>
  <c r="EC69" i="19"/>
  <c r="EG68" i="19"/>
  <c r="EC68" i="19"/>
  <c r="EG67" i="19"/>
  <c r="EC67" i="19"/>
  <c r="EG66" i="19"/>
  <c r="EC66" i="19"/>
  <c r="DP11" i="35"/>
  <c r="DO11" i="35"/>
  <c r="EG61" i="19"/>
  <c r="EC61" i="19"/>
  <c r="EG60" i="19"/>
  <c r="EC60" i="19"/>
  <c r="EG59" i="19"/>
  <c r="EC59" i="19"/>
  <c r="EG58" i="19"/>
  <c r="EC58" i="19"/>
  <c r="DP10" i="35"/>
  <c r="DO10" i="35"/>
  <c r="EG53" i="19"/>
  <c r="EC53" i="19"/>
  <c r="EG52" i="19"/>
  <c r="EC52" i="19"/>
  <c r="EG51" i="19"/>
  <c r="EG50" i="19"/>
  <c r="EC50" i="19"/>
  <c r="DP9" i="35"/>
  <c r="DO9" i="35"/>
  <c r="EG45" i="19"/>
  <c r="EC45" i="19"/>
  <c r="EG44" i="19"/>
  <c r="EC44" i="19"/>
  <c r="EG43" i="19"/>
  <c r="EC43" i="19"/>
  <c r="EG42" i="19"/>
  <c r="EC42" i="19"/>
  <c r="DP8" i="35"/>
  <c r="DO8" i="35"/>
  <c r="EG37" i="19"/>
  <c r="EC37" i="19"/>
  <c r="EG36" i="19"/>
  <c r="EC36" i="19"/>
  <c r="EG35" i="19"/>
  <c r="EC35" i="19"/>
  <c r="EG34" i="19"/>
  <c r="EC34" i="19"/>
  <c r="DP7" i="35"/>
  <c r="DO7" i="35"/>
  <c r="EG29" i="19"/>
  <c r="EC29" i="19"/>
  <c r="EG28" i="19"/>
  <c r="EC28" i="19"/>
  <c r="EG27" i="19"/>
  <c r="EG26" i="19"/>
  <c r="DP6" i="35"/>
  <c r="DO6" i="35"/>
  <c r="EG21" i="19"/>
  <c r="ED21" i="19"/>
  <c r="EC21" i="19"/>
  <c r="EG20" i="19"/>
  <c r="ED20" i="19"/>
  <c r="EC20" i="19"/>
  <c r="EG19" i="19"/>
  <c r="ED19" i="19"/>
  <c r="EC19" i="19"/>
  <c r="EG18" i="19"/>
  <c r="ED18" i="19"/>
  <c r="EC18" i="19"/>
  <c r="DP5" i="35"/>
  <c r="DO5" i="35"/>
  <c r="EG13" i="19"/>
  <c r="EC13" i="19"/>
  <c r="EG12" i="19"/>
  <c r="EC12" i="19"/>
  <c r="EG11" i="19"/>
  <c r="EG10" i="19"/>
  <c r="DP4" i="35"/>
  <c r="DO4" i="35"/>
  <c r="EB325" i="19"/>
  <c r="DX325" i="19"/>
  <c r="EB324" i="19"/>
  <c r="DX324" i="19"/>
  <c r="EB323" i="19"/>
  <c r="EB322" i="19"/>
  <c r="DX322" i="19"/>
  <c r="DI43" i="35"/>
  <c r="DH43" i="35"/>
  <c r="EB317" i="19"/>
  <c r="DX317" i="19"/>
  <c r="EB316" i="19"/>
  <c r="DX316" i="19"/>
  <c r="EB315" i="19"/>
  <c r="EB314" i="19"/>
  <c r="DX314" i="19"/>
  <c r="DI42" i="35"/>
  <c r="DH42" i="35"/>
  <c r="EB309" i="19"/>
  <c r="DX309" i="19"/>
  <c r="EB308" i="19"/>
  <c r="DX308" i="19"/>
  <c r="EB307" i="19"/>
  <c r="DX307" i="19"/>
  <c r="EB306" i="19"/>
  <c r="DX306" i="19"/>
  <c r="DI41" i="35"/>
  <c r="DH41" i="35"/>
  <c r="EB301" i="19"/>
  <c r="DX301" i="19"/>
  <c r="EB300" i="19"/>
  <c r="DX300" i="19"/>
  <c r="EB299" i="19"/>
  <c r="DX299" i="19"/>
  <c r="EB298" i="19"/>
  <c r="DX298" i="19"/>
  <c r="DI40" i="35"/>
  <c r="DH40" i="35"/>
  <c r="EB293" i="19"/>
  <c r="DX293" i="19"/>
  <c r="EB292" i="19"/>
  <c r="DX292" i="19"/>
  <c r="EB291" i="19"/>
  <c r="EB290" i="19"/>
  <c r="DX290" i="19"/>
  <c r="DI39" i="35"/>
  <c r="DH39" i="35"/>
  <c r="EB285" i="19"/>
  <c r="DX285" i="19"/>
  <c r="EB284" i="19"/>
  <c r="DX284" i="19"/>
  <c r="EB283" i="19"/>
  <c r="EB282" i="19"/>
  <c r="DI38" i="35"/>
  <c r="DH38" i="35"/>
  <c r="EB277" i="19"/>
  <c r="DX277" i="19"/>
  <c r="EB276" i="19"/>
  <c r="DX276" i="19"/>
  <c r="EB275" i="19"/>
  <c r="DX275" i="19"/>
  <c r="EB274" i="19"/>
  <c r="DX274" i="19"/>
  <c r="DI37" i="35"/>
  <c r="DH37" i="35"/>
  <c r="EB269" i="19"/>
  <c r="DX269" i="19"/>
  <c r="EB268" i="19"/>
  <c r="DX268" i="19"/>
  <c r="EB267" i="19"/>
  <c r="DX267" i="19"/>
  <c r="EB266" i="19"/>
  <c r="DX266" i="19"/>
  <c r="DI36" i="35"/>
  <c r="DH36" i="35"/>
  <c r="EB261" i="19"/>
  <c r="DX261" i="19"/>
  <c r="EB260" i="19"/>
  <c r="DX260" i="19"/>
  <c r="EB259" i="19"/>
  <c r="DX259" i="19"/>
  <c r="EB258" i="19"/>
  <c r="DX258" i="19"/>
  <c r="DI35" i="35"/>
  <c r="DH35" i="35"/>
  <c r="EB253" i="19"/>
  <c r="DX253" i="19"/>
  <c r="EB252" i="19"/>
  <c r="DX252" i="19"/>
  <c r="EB251" i="19"/>
  <c r="DX251" i="19"/>
  <c r="EB250" i="19"/>
  <c r="DX250" i="19"/>
  <c r="DI34" i="35"/>
  <c r="DH34" i="35"/>
  <c r="EB245" i="19"/>
  <c r="DX245" i="19"/>
  <c r="EB244" i="19"/>
  <c r="DX244" i="19"/>
  <c r="EB243" i="19"/>
  <c r="EB242" i="19"/>
  <c r="DX242" i="19"/>
  <c r="DI33" i="35"/>
  <c r="DH33" i="35"/>
  <c r="EB237" i="19"/>
  <c r="DX237" i="19"/>
  <c r="EB236" i="19"/>
  <c r="DX236" i="19"/>
  <c r="EB235" i="19"/>
  <c r="DX235" i="19"/>
  <c r="EB234" i="19"/>
  <c r="DX234" i="19"/>
  <c r="DI32" i="35"/>
  <c r="DH32" i="35"/>
  <c r="EB229" i="19"/>
  <c r="DX229" i="19"/>
  <c r="EB228" i="19"/>
  <c r="DX228" i="19"/>
  <c r="EB227" i="19"/>
  <c r="DX227" i="19"/>
  <c r="EB226" i="19"/>
  <c r="DX226" i="19"/>
  <c r="DI31" i="35"/>
  <c r="DH31" i="35"/>
  <c r="EB221" i="19"/>
  <c r="DX221" i="19"/>
  <c r="EB220" i="19"/>
  <c r="DX220" i="19"/>
  <c r="EB219" i="19"/>
  <c r="DX219" i="19"/>
  <c r="EB218" i="19"/>
  <c r="DX218" i="19"/>
  <c r="DI30" i="35"/>
  <c r="DH30" i="35"/>
  <c r="EB213" i="19"/>
  <c r="DX213" i="19"/>
  <c r="EB212" i="19"/>
  <c r="DX212" i="19"/>
  <c r="EB211" i="19"/>
  <c r="DX211" i="19"/>
  <c r="EB210" i="19"/>
  <c r="DX210" i="19"/>
  <c r="DI29" i="35"/>
  <c r="DH29" i="35"/>
  <c r="EB205" i="19"/>
  <c r="DX205" i="19"/>
  <c r="EB204" i="19"/>
  <c r="DX204" i="19"/>
  <c r="EB203" i="19"/>
  <c r="DX203" i="19"/>
  <c r="EB202" i="19"/>
  <c r="DX202" i="19"/>
  <c r="DI28" i="35"/>
  <c r="DH28" i="35"/>
  <c r="EB197" i="19"/>
  <c r="DX197" i="19"/>
  <c r="EB196" i="19"/>
  <c r="DX196" i="19"/>
  <c r="EB195" i="19"/>
  <c r="DX195" i="19"/>
  <c r="EB194" i="19"/>
  <c r="DX194" i="19"/>
  <c r="DI27" i="35"/>
  <c r="DH27" i="35"/>
  <c r="EB189" i="19"/>
  <c r="DX189" i="19"/>
  <c r="EB188" i="19"/>
  <c r="DX188" i="19"/>
  <c r="EB187" i="19"/>
  <c r="DX187" i="19"/>
  <c r="EB186" i="19"/>
  <c r="DX186" i="19"/>
  <c r="DI26" i="35"/>
  <c r="DH26" i="35"/>
  <c r="EB181" i="19"/>
  <c r="DX181" i="19"/>
  <c r="EB180" i="19"/>
  <c r="DX180" i="19"/>
  <c r="EB179" i="19"/>
  <c r="DX179" i="19"/>
  <c r="EB178" i="19"/>
  <c r="DX178" i="19"/>
  <c r="DI25" i="35"/>
  <c r="DH25" i="35"/>
  <c r="EB173" i="19"/>
  <c r="DX173" i="19"/>
  <c r="EB172" i="19"/>
  <c r="DX172" i="19"/>
  <c r="EB171" i="19"/>
  <c r="DX171" i="19"/>
  <c r="EB170" i="19"/>
  <c r="DX170" i="19"/>
  <c r="DI24" i="35"/>
  <c r="DH24" i="35"/>
  <c r="EB165" i="19"/>
  <c r="DX165" i="19"/>
  <c r="EB164" i="19"/>
  <c r="DX164" i="19"/>
  <c r="EB163" i="19"/>
  <c r="DX163" i="19"/>
  <c r="EB162" i="19"/>
  <c r="DX162" i="19"/>
  <c r="DI23" i="35"/>
  <c r="DH23" i="35"/>
  <c r="EB157" i="19"/>
  <c r="DX157" i="19"/>
  <c r="EB156" i="19"/>
  <c r="DX156" i="19"/>
  <c r="EB155" i="19"/>
  <c r="DX155" i="19"/>
  <c r="EB154" i="19"/>
  <c r="DX154" i="19"/>
  <c r="DI22" i="35"/>
  <c r="DH22" i="35"/>
  <c r="EB149" i="19"/>
  <c r="DX149" i="19"/>
  <c r="EB148" i="19"/>
  <c r="DX148" i="19"/>
  <c r="EB147" i="19"/>
  <c r="DX147" i="19"/>
  <c r="EB146" i="19"/>
  <c r="DX146" i="19"/>
  <c r="DI21" i="35"/>
  <c r="DH21" i="35"/>
  <c r="EB141" i="19"/>
  <c r="DX141" i="19"/>
  <c r="EB140" i="19"/>
  <c r="DX140" i="19"/>
  <c r="EB139" i="19"/>
  <c r="DX139" i="19"/>
  <c r="EB138" i="19"/>
  <c r="DX138" i="19"/>
  <c r="DI20" i="35"/>
  <c r="DH20" i="35"/>
  <c r="EB133" i="19"/>
  <c r="DX133" i="19"/>
  <c r="EB132" i="19"/>
  <c r="DX132" i="19"/>
  <c r="EB131" i="19"/>
  <c r="DX131" i="19"/>
  <c r="EB130" i="19"/>
  <c r="DX130" i="19"/>
  <c r="DI19" i="35"/>
  <c r="DH19" i="35"/>
  <c r="EB125" i="19"/>
  <c r="DX125" i="19"/>
  <c r="EB124" i="19"/>
  <c r="DX124" i="19"/>
  <c r="EB123" i="19"/>
  <c r="DX123" i="19"/>
  <c r="EB122" i="19"/>
  <c r="DX122" i="19"/>
  <c r="DI18" i="35"/>
  <c r="DH18" i="35"/>
  <c r="EB117" i="19"/>
  <c r="DX117" i="19"/>
  <c r="EB116" i="19"/>
  <c r="DX116" i="19"/>
  <c r="EB115" i="19"/>
  <c r="EB114" i="19"/>
  <c r="DX114" i="19"/>
  <c r="DI17" i="35"/>
  <c r="DH17" i="35"/>
  <c r="EB109" i="19"/>
  <c r="DX109" i="19"/>
  <c r="EB108" i="19"/>
  <c r="DX108" i="19"/>
  <c r="EB107" i="19"/>
  <c r="DX107" i="19"/>
  <c r="EB106" i="19"/>
  <c r="DX106" i="19"/>
  <c r="DI16" i="35"/>
  <c r="DH16" i="35"/>
  <c r="EB101" i="19"/>
  <c r="DX101" i="19"/>
  <c r="EB100" i="19"/>
  <c r="DX100" i="19"/>
  <c r="EB99" i="19"/>
  <c r="DX99" i="19"/>
  <c r="EB98" i="19"/>
  <c r="DX98" i="19"/>
  <c r="DI15" i="35"/>
  <c r="DH15" i="35"/>
  <c r="EB93" i="19"/>
  <c r="DX93" i="19"/>
  <c r="EB92" i="19"/>
  <c r="DX92" i="19"/>
  <c r="EB91" i="19"/>
  <c r="EB90" i="19"/>
  <c r="DX90" i="19"/>
  <c r="DI14" i="35"/>
  <c r="DH14" i="35"/>
  <c r="EB85" i="19"/>
  <c r="DX85" i="19"/>
  <c r="EB84" i="19"/>
  <c r="DX84" i="19"/>
  <c r="EB83" i="19"/>
  <c r="DX83" i="19"/>
  <c r="EB82" i="19"/>
  <c r="DX82" i="19"/>
  <c r="DI13" i="35"/>
  <c r="DH13" i="35"/>
  <c r="EB77" i="19"/>
  <c r="DX77" i="19"/>
  <c r="EB76" i="19"/>
  <c r="DX76" i="19"/>
  <c r="EB75" i="19"/>
  <c r="EB74" i="19"/>
  <c r="DI12" i="35"/>
  <c r="DH12" i="35"/>
  <c r="EB69" i="19"/>
  <c r="DX69" i="19"/>
  <c r="EB68" i="19"/>
  <c r="DX68" i="19"/>
  <c r="EB67" i="19"/>
  <c r="EB66" i="19"/>
  <c r="DX66" i="19"/>
  <c r="DI11" i="35"/>
  <c r="DH11" i="35"/>
  <c r="EB61" i="19"/>
  <c r="DX61" i="19"/>
  <c r="EB60" i="19"/>
  <c r="DX60" i="19"/>
  <c r="EB59" i="19"/>
  <c r="EB58" i="19"/>
  <c r="DX58" i="19"/>
  <c r="DI10" i="35"/>
  <c r="DH10" i="35"/>
  <c r="EB53" i="19"/>
  <c r="DX53" i="19"/>
  <c r="EB52" i="19"/>
  <c r="DX52" i="19"/>
  <c r="EB51" i="19"/>
  <c r="DX51" i="19"/>
  <c r="EB50" i="19"/>
  <c r="DI9" i="35"/>
  <c r="DH9" i="35"/>
  <c r="EB45" i="19"/>
  <c r="DX45" i="19"/>
  <c r="EB44" i="19"/>
  <c r="DX44" i="19"/>
  <c r="EB43" i="19"/>
  <c r="DX43" i="19"/>
  <c r="EB42" i="19"/>
  <c r="DX42" i="19"/>
  <c r="DI8" i="35"/>
  <c r="DH8" i="35"/>
  <c r="EB37" i="19"/>
  <c r="DX37" i="19"/>
  <c r="EB36" i="19"/>
  <c r="DX36" i="19"/>
  <c r="EB35" i="19"/>
  <c r="DX35" i="19"/>
  <c r="EB34" i="19"/>
  <c r="DX34" i="19"/>
  <c r="DI7" i="35"/>
  <c r="DH7" i="35"/>
  <c r="EB29" i="19"/>
  <c r="DX29" i="19"/>
  <c r="EB28" i="19"/>
  <c r="DX28" i="19"/>
  <c r="EB27" i="19"/>
  <c r="DX27" i="19"/>
  <c r="EB26" i="19"/>
  <c r="DI6" i="35"/>
  <c r="DH6" i="35"/>
  <c r="EB21" i="19"/>
  <c r="DY21" i="19"/>
  <c r="DX21" i="19"/>
  <c r="EB20" i="19"/>
  <c r="DY20" i="19"/>
  <c r="DX20" i="19"/>
  <c r="EB19" i="19"/>
  <c r="DY19" i="19"/>
  <c r="DX19" i="19"/>
  <c r="EB18" i="19"/>
  <c r="DY18" i="19"/>
  <c r="DX18" i="19"/>
  <c r="DI5" i="35"/>
  <c r="DH5" i="35"/>
  <c r="DX13" i="19"/>
  <c r="DX12" i="19"/>
  <c r="DI4" i="35"/>
  <c r="DH4" i="35"/>
  <c r="C46" i="48" l="1"/>
  <c r="C46" i="45"/>
  <c r="C46" i="47"/>
  <c r="C46" i="50"/>
  <c r="C46" i="53"/>
  <c r="C46" i="51"/>
  <c r="C46" i="49"/>
  <c r="C46" i="52"/>
  <c r="C46" i="46"/>
  <c r="C46" i="54"/>
  <c r="BG49" i="33"/>
  <c r="BU49" i="33"/>
  <c r="AO49" i="33"/>
  <c r="U49" i="33"/>
  <c r="CG49" i="33"/>
  <c r="BA49" i="33"/>
  <c r="CA49" i="33"/>
  <c r="AU49" i="33"/>
  <c r="BM49" i="33"/>
  <c r="AG49" i="33"/>
  <c r="BS49" i="33"/>
  <c r="AM49" i="33"/>
  <c r="S49" i="33"/>
  <c r="BY49" i="33"/>
  <c r="AS49" i="33"/>
  <c r="BO49" i="33"/>
  <c r="AI49" i="33"/>
  <c r="CC49" i="33"/>
  <c r="AW49" i="33"/>
  <c r="BC49" i="33"/>
  <c r="BI49" i="33"/>
  <c r="AC49" i="33"/>
  <c r="I49" i="33"/>
  <c r="BW49" i="33"/>
  <c r="AQ49" i="33"/>
  <c r="W49" i="33"/>
  <c r="BE49" i="33"/>
  <c r="BK49" i="33"/>
  <c r="AE49" i="33"/>
  <c r="BQ49" i="33"/>
  <c r="AK49" i="33"/>
  <c r="CE49" i="33"/>
  <c r="AY49" i="33"/>
  <c r="O49" i="33"/>
  <c r="Q49" i="33"/>
  <c r="M49" i="33"/>
  <c r="G49" i="33"/>
  <c r="K49" i="33"/>
  <c r="DW4" i="19"/>
  <c r="EB81" i="19"/>
  <c r="DG13" i="35"/>
  <c r="EB185" i="19"/>
  <c r="DG26" i="35"/>
  <c r="EB249" i="19"/>
  <c r="DG34" i="35"/>
  <c r="EB73" i="19"/>
  <c r="DG12" i="35"/>
  <c r="EB217" i="19"/>
  <c r="DG30" i="35"/>
  <c r="EB289" i="19"/>
  <c r="DG39" i="35"/>
  <c r="EB297" i="19"/>
  <c r="DG40" i="35"/>
  <c r="EB305" i="19"/>
  <c r="DG41" i="35"/>
  <c r="EG17" i="19"/>
  <c r="DN5" i="35"/>
  <c r="EG33" i="19"/>
  <c r="DN7" i="35"/>
  <c r="EG49" i="19"/>
  <c r="DN9" i="35"/>
  <c r="EG89" i="19"/>
  <c r="DN14" i="35"/>
  <c r="EG97" i="19"/>
  <c r="DN15" i="35"/>
  <c r="EG193" i="19"/>
  <c r="DN27" i="35"/>
  <c r="EG225" i="19"/>
  <c r="DN31" i="35"/>
  <c r="EG233" i="19"/>
  <c r="DN32" i="35"/>
  <c r="EG249" i="19"/>
  <c r="DN34" i="35"/>
  <c r="EG289" i="19"/>
  <c r="DN39" i="35"/>
  <c r="EG321" i="19"/>
  <c r="DN43" i="35"/>
  <c r="EL9" i="19"/>
  <c r="DU4" i="35"/>
  <c r="EL41" i="19"/>
  <c r="DU8" i="35"/>
  <c r="EL73" i="19"/>
  <c r="DU12" i="35"/>
  <c r="EL145" i="19"/>
  <c r="DU21" i="35"/>
  <c r="EL185" i="19"/>
  <c r="DU26" i="35"/>
  <c r="EL209" i="19"/>
  <c r="DU29" i="35"/>
  <c r="EL241" i="19"/>
  <c r="DU33" i="35"/>
  <c r="EL297" i="19"/>
  <c r="DU40" i="35"/>
  <c r="EL321" i="19"/>
  <c r="DU43" i="35"/>
  <c r="EQ9" i="19"/>
  <c r="EB4" i="35"/>
  <c r="EQ17" i="19"/>
  <c r="EB5" i="35"/>
  <c r="EQ33" i="19"/>
  <c r="EB7" i="35"/>
  <c r="EQ65" i="19"/>
  <c r="EB11" i="35"/>
  <c r="EQ105" i="19"/>
  <c r="EB16" i="35"/>
  <c r="EQ121" i="19"/>
  <c r="EB18" i="35"/>
  <c r="EQ137" i="19"/>
  <c r="EB20" i="35"/>
  <c r="EQ145" i="19"/>
  <c r="EB21" i="35"/>
  <c r="EQ153" i="19"/>
  <c r="EB22" i="35"/>
  <c r="EQ161" i="19"/>
  <c r="EB23" i="35"/>
  <c r="EQ177" i="19"/>
  <c r="EB25" i="35"/>
  <c r="EQ193" i="19"/>
  <c r="EB27" i="35"/>
  <c r="EQ225" i="19"/>
  <c r="EB31" i="35"/>
  <c r="EQ281" i="19"/>
  <c r="EB38" i="35"/>
  <c r="EQ313" i="19"/>
  <c r="EB42" i="35"/>
  <c r="EV25" i="19"/>
  <c r="EI6" i="35"/>
  <c r="EV41" i="19"/>
  <c r="EI8" i="35"/>
  <c r="EV81" i="19"/>
  <c r="EI13" i="35"/>
  <c r="EV105" i="19"/>
  <c r="EI16" i="35"/>
  <c r="EV121" i="19"/>
  <c r="EI18" i="35"/>
  <c r="EV137" i="19"/>
  <c r="EI20" i="35"/>
  <c r="EV169" i="19"/>
  <c r="EI24" i="35"/>
  <c r="EV209" i="19"/>
  <c r="EI29" i="35"/>
  <c r="EV289" i="19"/>
  <c r="EI39" i="35"/>
  <c r="FA49" i="19"/>
  <c r="EP9" i="35"/>
  <c r="FA73" i="19"/>
  <c r="EP12" i="35"/>
  <c r="FA113" i="19"/>
  <c r="EP17" i="35"/>
  <c r="FA129" i="19"/>
  <c r="EP19" i="35"/>
  <c r="FA217" i="19"/>
  <c r="EP30" i="35"/>
  <c r="FA233" i="19"/>
  <c r="EP32" i="35"/>
  <c r="FA249" i="19"/>
  <c r="EP34" i="35"/>
  <c r="FA273" i="19"/>
  <c r="EP37" i="35"/>
  <c r="FA289" i="19"/>
  <c r="EP39" i="35"/>
  <c r="FA305" i="19"/>
  <c r="EP41" i="35"/>
  <c r="FA321" i="19"/>
  <c r="EP43" i="35"/>
  <c r="FF9" i="19"/>
  <c r="EW4" i="35"/>
  <c r="FF17" i="19"/>
  <c r="EW5" i="35"/>
  <c r="FF105" i="19"/>
  <c r="EW16" i="35"/>
  <c r="FF121" i="19"/>
  <c r="EW18" i="35"/>
  <c r="FF137" i="19"/>
  <c r="EW20" i="35"/>
  <c r="FF145" i="19"/>
  <c r="EW21" i="35"/>
  <c r="FF153" i="19"/>
  <c r="EW22" i="35"/>
  <c r="FF161" i="19"/>
  <c r="EW23" i="35"/>
  <c r="FF185" i="19"/>
  <c r="EW26" i="35"/>
  <c r="FF193" i="19"/>
  <c r="EW27" i="35"/>
  <c r="FF225" i="19"/>
  <c r="EW31" i="35"/>
  <c r="FF265" i="19"/>
  <c r="EW36" i="35"/>
  <c r="FF289" i="19"/>
  <c r="EW39" i="35"/>
  <c r="FF297" i="19"/>
  <c r="EW40" i="35"/>
  <c r="FF305" i="19"/>
  <c r="EW41" i="35"/>
  <c r="FK9" i="19"/>
  <c r="FD4" i="35"/>
  <c r="FK73" i="19"/>
  <c r="FD12" i="35"/>
  <c r="FK113" i="19"/>
  <c r="FD17" i="35"/>
  <c r="FK129" i="19"/>
  <c r="FD19" i="35"/>
  <c r="FK153" i="19"/>
  <c r="FD22" i="35"/>
  <c r="FK161" i="19"/>
  <c r="FD23" i="35"/>
  <c r="FK177" i="19"/>
  <c r="FD25" i="35"/>
  <c r="FK193" i="19"/>
  <c r="FD27" i="35"/>
  <c r="FK225" i="19"/>
  <c r="FD31" i="35"/>
  <c r="FK233" i="19"/>
  <c r="FD32" i="35"/>
  <c r="FK249" i="19"/>
  <c r="FD34" i="35"/>
  <c r="FK289" i="19"/>
  <c r="FD39" i="35"/>
  <c r="FK321" i="19"/>
  <c r="FD43" i="35"/>
  <c r="FP9" i="19"/>
  <c r="FK4" i="35"/>
  <c r="FP33" i="19"/>
  <c r="FK7" i="35"/>
  <c r="FP49" i="19"/>
  <c r="FK9" i="35"/>
  <c r="FP73" i="19"/>
  <c r="FK12" i="35"/>
  <c r="FP113" i="19"/>
  <c r="FK17" i="35"/>
  <c r="FP129" i="19"/>
  <c r="FK19" i="35"/>
  <c r="FP177" i="19"/>
  <c r="FK25" i="35"/>
  <c r="FP201" i="19"/>
  <c r="FK28" i="35"/>
  <c r="FP233" i="19"/>
  <c r="FK32" i="35"/>
  <c r="FP249" i="19"/>
  <c r="FK34" i="35"/>
  <c r="FP273" i="19"/>
  <c r="FK37" i="35"/>
  <c r="FP281" i="19"/>
  <c r="FK38" i="35"/>
  <c r="EB17" i="19"/>
  <c r="DG5" i="35"/>
  <c r="EB57" i="19"/>
  <c r="DG10" i="35"/>
  <c r="EB193" i="19"/>
  <c r="DG27" i="35"/>
  <c r="EB257" i="19"/>
  <c r="DG35" i="35"/>
  <c r="EB281" i="19"/>
  <c r="DG38" i="35"/>
  <c r="EB41" i="19"/>
  <c r="DG8" i="35"/>
  <c r="EB49" i="19"/>
  <c r="DG9" i="35"/>
  <c r="EB105" i="19"/>
  <c r="DG16" i="35"/>
  <c r="EB113" i="19"/>
  <c r="DG17" i="35"/>
  <c r="EB121" i="19"/>
  <c r="DG18" i="35"/>
  <c r="EB145" i="19"/>
  <c r="DG21" i="35"/>
  <c r="EB153" i="19"/>
  <c r="DG22" i="35"/>
  <c r="EB161" i="19"/>
  <c r="DG23" i="35"/>
  <c r="EB177" i="19"/>
  <c r="DG25" i="35"/>
  <c r="EB209" i="19"/>
  <c r="DG29" i="35"/>
  <c r="EB273" i="19"/>
  <c r="DG37" i="35"/>
  <c r="EB321" i="19"/>
  <c r="DG43" i="35"/>
  <c r="EG41" i="19"/>
  <c r="DN8" i="35"/>
  <c r="EG65" i="19"/>
  <c r="DN11" i="35"/>
  <c r="EG81" i="19"/>
  <c r="DN13" i="35"/>
  <c r="EG105" i="19"/>
  <c r="DN16" i="35"/>
  <c r="EG121" i="19"/>
  <c r="DN18" i="35"/>
  <c r="EG137" i="19"/>
  <c r="DN20" i="35"/>
  <c r="EG169" i="19"/>
  <c r="DN24" i="35"/>
  <c r="EG185" i="19"/>
  <c r="DN26" i="35"/>
  <c r="EG201" i="19"/>
  <c r="DN28" i="35"/>
  <c r="EG209" i="19"/>
  <c r="DN29" i="35"/>
  <c r="EG257" i="19"/>
  <c r="DN35" i="35"/>
  <c r="EG265" i="19"/>
  <c r="DN36" i="35"/>
  <c r="EG297" i="19"/>
  <c r="DN40" i="35"/>
  <c r="EL33" i="19"/>
  <c r="DU7" i="35"/>
  <c r="EL113" i="19"/>
  <c r="DU17" i="35"/>
  <c r="EL129" i="19"/>
  <c r="DU19" i="35"/>
  <c r="EL177" i="19"/>
  <c r="DU25" i="35"/>
  <c r="EL201" i="19"/>
  <c r="DU28" i="35"/>
  <c r="EL233" i="19"/>
  <c r="DU32" i="35"/>
  <c r="EL249" i="19"/>
  <c r="DU34" i="35"/>
  <c r="EL273" i="19"/>
  <c r="DU37" i="35"/>
  <c r="EL281" i="19"/>
  <c r="DU38" i="35"/>
  <c r="EQ41" i="19"/>
  <c r="EB8" i="35"/>
  <c r="EQ49" i="19"/>
  <c r="EB9" i="35"/>
  <c r="EQ73" i="19"/>
  <c r="EB12" i="35"/>
  <c r="EQ97" i="19"/>
  <c r="EB15" i="35"/>
  <c r="EQ201" i="19"/>
  <c r="EB28" i="35"/>
  <c r="EQ209" i="19"/>
  <c r="EB29" i="35"/>
  <c r="EQ233" i="19"/>
  <c r="EB32" i="35"/>
  <c r="EQ241" i="19"/>
  <c r="EB33" i="35"/>
  <c r="EQ249" i="19"/>
  <c r="EB34" i="35"/>
  <c r="EQ257" i="19"/>
  <c r="EB35" i="35"/>
  <c r="EQ265" i="19"/>
  <c r="EB36" i="35"/>
  <c r="EV9" i="19"/>
  <c r="EI4" i="35"/>
  <c r="EV33" i="19"/>
  <c r="EI7" i="35"/>
  <c r="EV65" i="19"/>
  <c r="EI11" i="35"/>
  <c r="EV145" i="19"/>
  <c r="EI21" i="35"/>
  <c r="EV177" i="19"/>
  <c r="EI25" i="35"/>
  <c r="EV185" i="19"/>
  <c r="EI26" i="35"/>
  <c r="EV201" i="19"/>
  <c r="EI28" i="35"/>
  <c r="EV241" i="19"/>
  <c r="EI33" i="35"/>
  <c r="EV273" i="19"/>
  <c r="EI37" i="35"/>
  <c r="EV297" i="19"/>
  <c r="EI40" i="35"/>
  <c r="EV321" i="19"/>
  <c r="EI43" i="35"/>
  <c r="FA9" i="19"/>
  <c r="EP4" i="35"/>
  <c r="FA57" i="19"/>
  <c r="EP10" i="35"/>
  <c r="FA89" i="19"/>
  <c r="EP14" i="35"/>
  <c r="FA153" i="19"/>
  <c r="EP22" i="35"/>
  <c r="FA161" i="19"/>
  <c r="EP23" i="35"/>
  <c r="FA177" i="19"/>
  <c r="EP25" i="35"/>
  <c r="FA193" i="19"/>
  <c r="EP27" i="35"/>
  <c r="FA225" i="19"/>
  <c r="EP31" i="35"/>
  <c r="FA297" i="19"/>
  <c r="EP40" i="35"/>
  <c r="FF65" i="19"/>
  <c r="EW11" i="35"/>
  <c r="FF73" i="19"/>
  <c r="EW12" i="35"/>
  <c r="FF97" i="19"/>
  <c r="EW15" i="35"/>
  <c r="FF217" i="19"/>
  <c r="EW30" i="35"/>
  <c r="FF233" i="19"/>
  <c r="EW32" i="35"/>
  <c r="FF241" i="19"/>
  <c r="EW33" i="35"/>
  <c r="FF249" i="19"/>
  <c r="EW34" i="35"/>
  <c r="FF257" i="19"/>
  <c r="EW35" i="35"/>
  <c r="FF321" i="19"/>
  <c r="EW43" i="35"/>
  <c r="FK17" i="19"/>
  <c r="FD5" i="35"/>
  <c r="FK33" i="19"/>
  <c r="FD7" i="35"/>
  <c r="FK49" i="19"/>
  <c r="FD9" i="35"/>
  <c r="FK57" i="19"/>
  <c r="FD10" i="35"/>
  <c r="FK89" i="19"/>
  <c r="FD14" i="35"/>
  <c r="FK97" i="19"/>
  <c r="FD15" i="35"/>
  <c r="FK201" i="19"/>
  <c r="FD28" i="35"/>
  <c r="FK209" i="19"/>
  <c r="FD29" i="35"/>
  <c r="FK257" i="19"/>
  <c r="FD35" i="35"/>
  <c r="FK265" i="19"/>
  <c r="FD36" i="35"/>
  <c r="FK297" i="19"/>
  <c r="FD40" i="35"/>
  <c r="FP17" i="19"/>
  <c r="FK5" i="35"/>
  <c r="FP57" i="19"/>
  <c r="FK10" i="35"/>
  <c r="FP89" i="19"/>
  <c r="FK14" i="35"/>
  <c r="FP153" i="19"/>
  <c r="FK22" i="35"/>
  <c r="FP161" i="19"/>
  <c r="FK23" i="35"/>
  <c r="FP193" i="19"/>
  <c r="FK27" i="35"/>
  <c r="FP225" i="19"/>
  <c r="FK31" i="35"/>
  <c r="FP265" i="19"/>
  <c r="FK36" i="35"/>
  <c r="FP305" i="19"/>
  <c r="FK41" i="35"/>
  <c r="FP313" i="19"/>
  <c r="FK42" i="35"/>
  <c r="EB137" i="19"/>
  <c r="DG20" i="35"/>
  <c r="EB225" i="19"/>
  <c r="DG31" i="35"/>
  <c r="EB25" i="19"/>
  <c r="DG6" i="35"/>
  <c r="EB33" i="19"/>
  <c r="DG7" i="35"/>
  <c r="EB65" i="19"/>
  <c r="DG11" i="35"/>
  <c r="EB97" i="19"/>
  <c r="DG15" i="35"/>
  <c r="EB129" i="19"/>
  <c r="DG19" i="35"/>
  <c r="EB169" i="19"/>
  <c r="DG24" i="35"/>
  <c r="EB201" i="19"/>
  <c r="DG28" i="35"/>
  <c r="EB233" i="19"/>
  <c r="DG32" i="35"/>
  <c r="EB241" i="19"/>
  <c r="DG33" i="35"/>
  <c r="EB265" i="19"/>
  <c r="DG36" i="35"/>
  <c r="EG25" i="19"/>
  <c r="DN6" i="35"/>
  <c r="EG57" i="19"/>
  <c r="DN10" i="35"/>
  <c r="EG73" i="19"/>
  <c r="DN12" i="35"/>
  <c r="EG145" i="19"/>
  <c r="DN21" i="35"/>
  <c r="EG281" i="19"/>
  <c r="DN38" i="35"/>
  <c r="EG313" i="19"/>
  <c r="DN42" i="35"/>
  <c r="EL17" i="19"/>
  <c r="DU5" i="35"/>
  <c r="EL49" i="19"/>
  <c r="DU9" i="35"/>
  <c r="EL65" i="19"/>
  <c r="DU11" i="35"/>
  <c r="EL89" i="19"/>
  <c r="DU14" i="35"/>
  <c r="EL153" i="19"/>
  <c r="DU22" i="35"/>
  <c r="EL161" i="19"/>
  <c r="DU23" i="35"/>
  <c r="EL193" i="19"/>
  <c r="DU27" i="35"/>
  <c r="EL225" i="19"/>
  <c r="DU31" i="35"/>
  <c r="EL265" i="19"/>
  <c r="DU36" i="35"/>
  <c r="EL305" i="19"/>
  <c r="DU41" i="35"/>
  <c r="EL313" i="19"/>
  <c r="DU42" i="35"/>
  <c r="EQ57" i="19"/>
  <c r="EB10" i="35"/>
  <c r="EQ113" i="19"/>
  <c r="EB17" i="35"/>
  <c r="EQ129" i="19"/>
  <c r="EB19" i="35"/>
  <c r="EQ289" i="19"/>
  <c r="EB39" i="35"/>
  <c r="EQ297" i="19"/>
  <c r="EB40" i="35"/>
  <c r="EQ321" i="19"/>
  <c r="EB43" i="35"/>
  <c r="EV17" i="19"/>
  <c r="EI5" i="35"/>
  <c r="EV73" i="19"/>
  <c r="EI12" i="35"/>
  <c r="EV113" i="19"/>
  <c r="EI17" i="35"/>
  <c r="EV129" i="19"/>
  <c r="EI19" i="35"/>
  <c r="EV153" i="19"/>
  <c r="EI22" i="35"/>
  <c r="EV161" i="19"/>
  <c r="EI23" i="35"/>
  <c r="EV193" i="19"/>
  <c r="EI27" i="35"/>
  <c r="EV225" i="19"/>
  <c r="EI31" i="35"/>
  <c r="EV233" i="19"/>
  <c r="EI32" i="35"/>
  <c r="EV249" i="19"/>
  <c r="EI34" i="35"/>
  <c r="EV265" i="19"/>
  <c r="EI36" i="35"/>
  <c r="EV281" i="19"/>
  <c r="EI38" i="35"/>
  <c r="EV305" i="19"/>
  <c r="EI41" i="35"/>
  <c r="FA17" i="19"/>
  <c r="EP5" i="35"/>
  <c r="FA33" i="19"/>
  <c r="EP7" i="35"/>
  <c r="FA81" i="19"/>
  <c r="EP13" i="35"/>
  <c r="FA97" i="19"/>
  <c r="EP15" i="35"/>
  <c r="FA105" i="19"/>
  <c r="EP16" i="35"/>
  <c r="FA121" i="19"/>
  <c r="EP18" i="35"/>
  <c r="FA137" i="19"/>
  <c r="EP20" i="35"/>
  <c r="FA169" i="19"/>
  <c r="EP24" i="35"/>
  <c r="FA185" i="19"/>
  <c r="EP26" i="35"/>
  <c r="FA201" i="19"/>
  <c r="EP28" i="35"/>
  <c r="FA209" i="19"/>
  <c r="EP29" i="35"/>
  <c r="FA257" i="19"/>
  <c r="EP35" i="35"/>
  <c r="FA265" i="19"/>
  <c r="EP36" i="35"/>
  <c r="FA281" i="19"/>
  <c r="EP38" i="35"/>
  <c r="FA313" i="19"/>
  <c r="EP42" i="35"/>
  <c r="FF41" i="19"/>
  <c r="EW8" i="35"/>
  <c r="FF49" i="19"/>
  <c r="EW9" i="35"/>
  <c r="FF113" i="19"/>
  <c r="EW17" i="35"/>
  <c r="FF129" i="19"/>
  <c r="EW19" i="35"/>
  <c r="FF209" i="19"/>
  <c r="EW29" i="35"/>
  <c r="FF281" i="19"/>
  <c r="EW38" i="35"/>
  <c r="FK41" i="19"/>
  <c r="FD8" i="35"/>
  <c r="FK81" i="19"/>
  <c r="FD13" i="35"/>
  <c r="FK105" i="19"/>
  <c r="FD16" i="35"/>
  <c r="FK121" i="19"/>
  <c r="FD18" i="35"/>
  <c r="FK137" i="19"/>
  <c r="FD20" i="35"/>
  <c r="FK169" i="19"/>
  <c r="FD24" i="35"/>
  <c r="FK185" i="19"/>
  <c r="FD26" i="35"/>
  <c r="FK281" i="19"/>
  <c r="FD38" i="35"/>
  <c r="FK313" i="19"/>
  <c r="FD42" i="35"/>
  <c r="FP25" i="19"/>
  <c r="FK6" i="35"/>
  <c r="FP81" i="19"/>
  <c r="FK13" i="35"/>
  <c r="FP97" i="19"/>
  <c r="FK15" i="35"/>
  <c r="FP105" i="19"/>
  <c r="FK16" i="35"/>
  <c r="FP121" i="19"/>
  <c r="FK18" i="35"/>
  <c r="FP137" i="19"/>
  <c r="FK20" i="35"/>
  <c r="FP169" i="19"/>
  <c r="FK24" i="35"/>
  <c r="FP217" i="19"/>
  <c r="FK30" i="35"/>
  <c r="FP257" i="19"/>
  <c r="FK35" i="35"/>
  <c r="FP289" i="19"/>
  <c r="FK39" i="35"/>
  <c r="EB89" i="19"/>
  <c r="DG14" i="35"/>
  <c r="EB313" i="19"/>
  <c r="DG42" i="35"/>
  <c r="EG9" i="19"/>
  <c r="DN4" i="35"/>
  <c r="EG113" i="19"/>
  <c r="DN17" i="35"/>
  <c r="EG129" i="19"/>
  <c r="DN19" i="35"/>
  <c r="EG153" i="19"/>
  <c r="DN22" i="35"/>
  <c r="EG161" i="19"/>
  <c r="DN23" i="35"/>
  <c r="EG177" i="19"/>
  <c r="DN25" i="35"/>
  <c r="EG217" i="19"/>
  <c r="DN30" i="35"/>
  <c r="EG241" i="19"/>
  <c r="DN33" i="35"/>
  <c r="EG273" i="19"/>
  <c r="DN37" i="35"/>
  <c r="EG305" i="19"/>
  <c r="DN41" i="35"/>
  <c r="EL25" i="19"/>
  <c r="DU6" i="35"/>
  <c r="EL57" i="19"/>
  <c r="DU10" i="35"/>
  <c r="EL81" i="19"/>
  <c r="DU13" i="35"/>
  <c r="EL97" i="19"/>
  <c r="DU15" i="35"/>
  <c r="EL105" i="19"/>
  <c r="DU16" i="35"/>
  <c r="EL121" i="19"/>
  <c r="DU18" i="35"/>
  <c r="EL137" i="19"/>
  <c r="DU20" i="35"/>
  <c r="EL169" i="19"/>
  <c r="DU24" i="35"/>
  <c r="EL217" i="19"/>
  <c r="DU30" i="35"/>
  <c r="EL257" i="19"/>
  <c r="DU35" i="35"/>
  <c r="EL289" i="19"/>
  <c r="DU39" i="35"/>
  <c r="EQ25" i="19"/>
  <c r="EB6" i="35"/>
  <c r="EQ81" i="19"/>
  <c r="EB13" i="35"/>
  <c r="EQ89" i="19"/>
  <c r="EB14" i="35"/>
  <c r="EQ169" i="19"/>
  <c r="EB24" i="35"/>
  <c r="EQ185" i="19"/>
  <c r="EB26" i="35"/>
  <c r="EQ217" i="19"/>
  <c r="EB30" i="35"/>
  <c r="EQ273" i="19"/>
  <c r="EB37" i="35"/>
  <c r="EQ305" i="19"/>
  <c r="EB41" i="35"/>
  <c r="EV49" i="19"/>
  <c r="EI9" i="35"/>
  <c r="EV57" i="19"/>
  <c r="EI10" i="35"/>
  <c r="EV89" i="19"/>
  <c r="EI14" i="35"/>
  <c r="EV97" i="19"/>
  <c r="EI15" i="35"/>
  <c r="EV217" i="19"/>
  <c r="EI30" i="35"/>
  <c r="EV257" i="19"/>
  <c r="EI35" i="35"/>
  <c r="EV313" i="19"/>
  <c r="EI42" i="35"/>
  <c r="FA25" i="19"/>
  <c r="EP6" i="35"/>
  <c r="FA41" i="19"/>
  <c r="EP8" i="35"/>
  <c r="FA65" i="19"/>
  <c r="EP11" i="35"/>
  <c r="FA145" i="19"/>
  <c r="EP21" i="35"/>
  <c r="FA241" i="19"/>
  <c r="EP33" i="35"/>
  <c r="FF25" i="19"/>
  <c r="EW6" i="35"/>
  <c r="FF33" i="19"/>
  <c r="EW7" i="35"/>
  <c r="FF57" i="19"/>
  <c r="EW10" i="35"/>
  <c r="FF81" i="19"/>
  <c r="EW13" i="35"/>
  <c r="FF89" i="19"/>
  <c r="EW14" i="35"/>
  <c r="FF169" i="19"/>
  <c r="EW24" i="35"/>
  <c r="FF177" i="19"/>
  <c r="EW25" i="35"/>
  <c r="FF201" i="19"/>
  <c r="EW28" i="35"/>
  <c r="FF273" i="19"/>
  <c r="EW37" i="35"/>
  <c r="FF313" i="19"/>
  <c r="EW42" i="35"/>
  <c r="FK25" i="19"/>
  <c r="FD6" i="35"/>
  <c r="FK65" i="19"/>
  <c r="FD11" i="35"/>
  <c r="FK145" i="19"/>
  <c r="FD21" i="35"/>
  <c r="FK217" i="19"/>
  <c r="FD30" i="35"/>
  <c r="FK241" i="19"/>
  <c r="FD33" i="35"/>
  <c r="FK273" i="19"/>
  <c r="FD37" i="35"/>
  <c r="FK305" i="19"/>
  <c r="FD41" i="35"/>
  <c r="FP41" i="19"/>
  <c r="FK8" i="35"/>
  <c r="FP65" i="19"/>
  <c r="FK11" i="35"/>
  <c r="FP145" i="19"/>
  <c r="FK21" i="35"/>
  <c r="FP185" i="19"/>
  <c r="FK26" i="35"/>
  <c r="FP209" i="19"/>
  <c r="FK29" i="35"/>
  <c r="FP241" i="19"/>
  <c r="FK33" i="35"/>
  <c r="FP297" i="19"/>
  <c r="FK40" i="35"/>
  <c r="FP321" i="19"/>
  <c r="FK43" i="35"/>
  <c r="EC33" i="19"/>
  <c r="DJ7" i="35"/>
  <c r="EC49" i="19"/>
  <c r="EC81" i="19"/>
  <c r="EC97" i="19"/>
  <c r="DJ15" i="35"/>
  <c r="EC145" i="19"/>
  <c r="EC161" i="19"/>
  <c r="DJ23" i="35"/>
  <c r="EC177" i="19"/>
  <c r="DJ25" i="35"/>
  <c r="EC193" i="19"/>
  <c r="DJ27" i="35"/>
  <c r="EC209" i="19"/>
  <c r="DJ29" i="35"/>
  <c r="EC225" i="19"/>
  <c r="DJ31" i="35"/>
  <c r="EC257" i="19"/>
  <c r="DJ35" i="35"/>
  <c r="EC273" i="19"/>
  <c r="DJ37" i="35"/>
  <c r="EC305" i="19"/>
  <c r="DJ41" i="35"/>
  <c r="EM41" i="19"/>
  <c r="DX8" i="35"/>
  <c r="EM57" i="19"/>
  <c r="EM89" i="19"/>
  <c r="EM105" i="19"/>
  <c r="EM121" i="19"/>
  <c r="EM137" i="19"/>
  <c r="EM153" i="19"/>
  <c r="DX22" i="35"/>
  <c r="EM201" i="19"/>
  <c r="DX28" i="35"/>
  <c r="EM217" i="19"/>
  <c r="DX30" i="35"/>
  <c r="EM265" i="19"/>
  <c r="DX36" i="35"/>
  <c r="EM281" i="19"/>
  <c r="EM313" i="19"/>
  <c r="EW33" i="19"/>
  <c r="EL7" i="35"/>
  <c r="EW65" i="19"/>
  <c r="EW81" i="19"/>
  <c r="EW97" i="19"/>
  <c r="EL15" i="35"/>
  <c r="EW113" i="19"/>
  <c r="EW129" i="19"/>
  <c r="EW145" i="19"/>
  <c r="EW161" i="19"/>
  <c r="EL23" i="35"/>
  <c r="EW177" i="19"/>
  <c r="EL25" i="35"/>
  <c r="EW193" i="19"/>
  <c r="EL27" i="35"/>
  <c r="EW209" i="19"/>
  <c r="EL29" i="35"/>
  <c r="EW225" i="19"/>
  <c r="EL31" i="35"/>
  <c r="EW241" i="19"/>
  <c r="EW257" i="19"/>
  <c r="EL35" i="35"/>
  <c r="EW273" i="19"/>
  <c r="EL37" i="35"/>
  <c r="EW289" i="19"/>
  <c r="EW305" i="19"/>
  <c r="EL41" i="35"/>
  <c r="EW321" i="19"/>
  <c r="FG41" i="19"/>
  <c r="EZ8" i="35"/>
  <c r="FG73" i="19"/>
  <c r="FG153" i="19"/>
  <c r="EZ22" i="35"/>
  <c r="FG169" i="19"/>
  <c r="FG185" i="19"/>
  <c r="FG201" i="19"/>
  <c r="EZ28" i="35"/>
  <c r="FG217" i="19"/>
  <c r="EZ30" i="35"/>
  <c r="FG233" i="19"/>
  <c r="FG249" i="19"/>
  <c r="FG265" i="19"/>
  <c r="EZ36" i="35"/>
  <c r="FG297" i="19"/>
  <c r="DX33" i="19"/>
  <c r="DC7" i="35"/>
  <c r="DX49" i="19"/>
  <c r="DX65" i="19"/>
  <c r="DX97" i="19"/>
  <c r="DC15" i="35"/>
  <c r="DX113" i="19"/>
  <c r="DX129" i="19"/>
  <c r="DC19" i="35"/>
  <c r="DX161" i="19"/>
  <c r="DC23" i="35"/>
  <c r="DX177" i="19"/>
  <c r="DC25" i="35"/>
  <c r="DX193" i="19"/>
  <c r="DC27" i="35"/>
  <c r="DX209" i="19"/>
  <c r="DC29" i="35"/>
  <c r="DX225" i="19"/>
  <c r="DC31" i="35"/>
  <c r="DX241" i="19"/>
  <c r="DX257" i="19"/>
  <c r="DC35" i="35"/>
  <c r="DX273" i="19"/>
  <c r="DC37" i="35"/>
  <c r="DX289" i="19"/>
  <c r="DX305" i="19"/>
  <c r="DC41" i="35"/>
  <c r="DX321" i="19"/>
  <c r="EH41" i="19"/>
  <c r="DQ8" i="35"/>
  <c r="EH57" i="19"/>
  <c r="EH73" i="19"/>
  <c r="EH89" i="19"/>
  <c r="EH105" i="19"/>
  <c r="EH121" i="19"/>
  <c r="EH137" i="19"/>
  <c r="EH153" i="19"/>
  <c r="DQ22" i="35"/>
  <c r="EH169" i="19"/>
  <c r="EH185" i="19"/>
  <c r="EH201" i="19"/>
  <c r="DQ28" i="35"/>
  <c r="EH217" i="19"/>
  <c r="DQ30" i="35"/>
  <c r="EH233" i="19"/>
  <c r="EH249" i="19"/>
  <c r="EH265" i="19"/>
  <c r="DQ36" i="35"/>
  <c r="EH281" i="19"/>
  <c r="EH297" i="19"/>
  <c r="EH313" i="19"/>
  <c r="ER33" i="19"/>
  <c r="EE7" i="35"/>
  <c r="ER49" i="19"/>
  <c r="ER81" i="19"/>
  <c r="ER97" i="19"/>
  <c r="EE15" i="35"/>
  <c r="ER145" i="19"/>
  <c r="ER161" i="19"/>
  <c r="EE23" i="35"/>
  <c r="ER177" i="19"/>
  <c r="EE25" i="35"/>
  <c r="ER193" i="19"/>
  <c r="EE27" i="35"/>
  <c r="ER209" i="19"/>
  <c r="EE29" i="35"/>
  <c r="ER225" i="19"/>
  <c r="EE31" i="35"/>
  <c r="ER257" i="19"/>
  <c r="EE35" i="35"/>
  <c r="ER273" i="19"/>
  <c r="EE37" i="35"/>
  <c r="ER305" i="19"/>
  <c r="EE41" i="35"/>
  <c r="FB41" i="19"/>
  <c r="ES8" i="35"/>
  <c r="FB57" i="19"/>
  <c r="FB89" i="19"/>
  <c r="FB105" i="19"/>
  <c r="FB121" i="19"/>
  <c r="FB137" i="19"/>
  <c r="FB153" i="19"/>
  <c r="ES22" i="35"/>
  <c r="FB201" i="19"/>
  <c r="ES28" i="35"/>
  <c r="FB217" i="19"/>
  <c r="ES30" i="35"/>
  <c r="FB265" i="19"/>
  <c r="ES36" i="35"/>
  <c r="FB281" i="19"/>
  <c r="FB313" i="19"/>
  <c r="FL33" i="19"/>
  <c r="FG7" i="35"/>
  <c r="FL65" i="19"/>
  <c r="FL81" i="19"/>
  <c r="FL97" i="19"/>
  <c r="FG15" i="35"/>
  <c r="FL113" i="19"/>
  <c r="FL129" i="19"/>
  <c r="FL145" i="19"/>
  <c r="FL161" i="19"/>
  <c r="FG23" i="35"/>
  <c r="FL177" i="19"/>
  <c r="FG25" i="35"/>
  <c r="FL193" i="19"/>
  <c r="FG27" i="35"/>
  <c r="FL209" i="19"/>
  <c r="FG29" i="35"/>
  <c r="FL225" i="19"/>
  <c r="FG31" i="35"/>
  <c r="FL241" i="19"/>
  <c r="FL257" i="19"/>
  <c r="FG35" i="35"/>
  <c r="FL273" i="19"/>
  <c r="FG37" i="35"/>
  <c r="FL289" i="19"/>
  <c r="FL305" i="19"/>
  <c r="FG41" i="35"/>
  <c r="FL321" i="19"/>
  <c r="EC41" i="19"/>
  <c r="DJ8" i="35"/>
  <c r="EC73" i="19"/>
  <c r="EC153" i="19"/>
  <c r="DJ22" i="35"/>
  <c r="EC169" i="19"/>
  <c r="EC185" i="19"/>
  <c r="EC201" i="19"/>
  <c r="DJ28" i="35"/>
  <c r="EC217" i="19"/>
  <c r="DJ30" i="35"/>
  <c r="EC233" i="19"/>
  <c r="EC249" i="19"/>
  <c r="EC265" i="19"/>
  <c r="DJ36" i="35"/>
  <c r="EC297" i="19"/>
  <c r="EM33" i="19"/>
  <c r="DX7" i="35"/>
  <c r="EM49" i="19"/>
  <c r="EM65" i="19"/>
  <c r="EM97" i="19"/>
  <c r="DX15" i="35"/>
  <c r="EM113" i="19"/>
  <c r="EM129" i="19"/>
  <c r="EM161" i="19"/>
  <c r="DX23" i="35"/>
  <c r="EM177" i="19"/>
  <c r="DX25" i="35"/>
  <c r="EM193" i="19"/>
  <c r="DX27" i="35"/>
  <c r="EM209" i="19"/>
  <c r="DX29" i="35"/>
  <c r="EM225" i="19"/>
  <c r="DX31" i="35"/>
  <c r="EM241" i="19"/>
  <c r="EM257" i="19"/>
  <c r="DX35" i="35"/>
  <c r="EM273" i="19"/>
  <c r="DX37" i="35"/>
  <c r="EM289" i="19"/>
  <c r="EM305" i="19"/>
  <c r="DX41" i="35"/>
  <c r="EM321" i="19"/>
  <c r="EW41" i="19"/>
  <c r="EL8" i="35"/>
  <c r="EW57" i="19"/>
  <c r="EW73" i="19"/>
  <c r="EW89" i="19"/>
  <c r="EW105" i="19"/>
  <c r="EW121" i="19"/>
  <c r="EW137" i="19"/>
  <c r="EW153" i="19"/>
  <c r="EL22" i="35"/>
  <c r="EW169" i="19"/>
  <c r="EW185" i="19"/>
  <c r="EW201" i="19"/>
  <c r="EL28" i="35"/>
  <c r="EW217" i="19"/>
  <c r="EL30" i="35"/>
  <c r="EW233" i="19"/>
  <c r="EW249" i="19"/>
  <c r="EW265" i="19"/>
  <c r="EL36" i="35"/>
  <c r="EW281" i="19"/>
  <c r="EW297" i="19"/>
  <c r="EW313" i="19"/>
  <c r="FG33" i="19"/>
  <c r="EZ7" i="35"/>
  <c r="FG49" i="19"/>
  <c r="FG81" i="19"/>
  <c r="FG97" i="19"/>
  <c r="EZ15" i="35"/>
  <c r="FG145" i="19"/>
  <c r="FG161" i="19"/>
  <c r="EZ23" i="35"/>
  <c r="FG177" i="19"/>
  <c r="EZ25" i="35"/>
  <c r="FG193" i="19"/>
  <c r="EZ27" i="35"/>
  <c r="FG209" i="19"/>
  <c r="EZ29" i="35"/>
  <c r="FG225" i="19"/>
  <c r="EZ31" i="35"/>
  <c r="FG257" i="19"/>
  <c r="EZ35" i="35"/>
  <c r="FG273" i="19"/>
  <c r="EZ37" i="35"/>
  <c r="FG305" i="19"/>
  <c r="EZ41" i="35"/>
  <c r="DX9" i="19"/>
  <c r="DX41" i="19"/>
  <c r="DC8" i="35"/>
  <c r="DX57" i="19"/>
  <c r="DX89" i="19"/>
  <c r="DX105" i="19"/>
  <c r="DC16" i="35"/>
  <c r="DX121" i="19"/>
  <c r="DC18" i="35"/>
  <c r="DX137" i="19"/>
  <c r="DC20" i="35"/>
  <c r="DX153" i="19"/>
  <c r="DC22" i="35"/>
  <c r="DX169" i="19"/>
  <c r="DC24" i="35"/>
  <c r="DX201" i="19"/>
  <c r="DC28" i="35"/>
  <c r="DX217" i="19"/>
  <c r="DC30" i="35"/>
  <c r="DX233" i="19"/>
  <c r="DC32" i="35"/>
  <c r="DX265" i="19"/>
  <c r="DC36" i="35"/>
  <c r="DX313" i="19"/>
  <c r="EH33" i="19"/>
  <c r="DQ7" i="35"/>
  <c r="EH65" i="19"/>
  <c r="EH81" i="19"/>
  <c r="EH97" i="19"/>
  <c r="DQ15" i="35"/>
  <c r="EH113" i="19"/>
  <c r="EH129" i="19"/>
  <c r="EH145" i="19"/>
  <c r="EH161" i="19"/>
  <c r="DQ23" i="35"/>
  <c r="EH177" i="19"/>
  <c r="DQ25" i="35"/>
  <c r="EH193" i="19"/>
  <c r="DQ27" i="35"/>
  <c r="EH209" i="19"/>
  <c r="DQ29" i="35"/>
  <c r="EH225" i="19"/>
  <c r="DQ31" i="35"/>
  <c r="EH241" i="19"/>
  <c r="EH257" i="19"/>
  <c r="DQ35" i="35"/>
  <c r="EH273" i="19"/>
  <c r="DQ37" i="35"/>
  <c r="EH289" i="19"/>
  <c r="EH305" i="19"/>
  <c r="DQ41" i="35"/>
  <c r="EH321" i="19"/>
  <c r="ER41" i="19"/>
  <c r="EE8" i="35"/>
  <c r="ER73" i="19"/>
  <c r="ER153" i="19"/>
  <c r="EE22" i="35"/>
  <c r="ER169" i="19"/>
  <c r="ER185" i="19"/>
  <c r="ER201" i="19"/>
  <c r="EE28" i="35"/>
  <c r="ER217" i="19"/>
  <c r="EE30" i="35"/>
  <c r="ER233" i="19"/>
  <c r="ER249" i="19"/>
  <c r="ER265" i="19"/>
  <c r="EE36" i="35"/>
  <c r="ER297" i="19"/>
  <c r="FB33" i="19"/>
  <c r="ES7" i="35"/>
  <c r="FB49" i="19"/>
  <c r="FB65" i="19"/>
  <c r="FB97" i="19"/>
  <c r="ES15" i="35"/>
  <c r="FB113" i="19"/>
  <c r="FB129" i="19"/>
  <c r="FB161" i="19"/>
  <c r="ES23" i="35"/>
  <c r="FB177" i="19"/>
  <c r="ES25" i="35"/>
  <c r="FB193" i="19"/>
  <c r="ES27" i="35"/>
  <c r="FB209" i="19"/>
  <c r="ES29" i="35"/>
  <c r="FB225" i="19"/>
  <c r="ES31" i="35"/>
  <c r="FB241" i="19"/>
  <c r="FB257" i="19"/>
  <c r="ES35" i="35"/>
  <c r="FB273" i="19"/>
  <c r="ES37" i="35"/>
  <c r="FB289" i="19"/>
  <c r="FB305" i="19"/>
  <c r="ES41" i="35"/>
  <c r="FB321" i="19"/>
  <c r="FL41" i="19"/>
  <c r="FG8" i="35"/>
  <c r="FL57" i="19"/>
  <c r="FL73" i="19"/>
  <c r="FL89" i="19"/>
  <c r="FL105" i="19"/>
  <c r="FL121" i="19"/>
  <c r="FL137" i="19"/>
  <c r="FL153" i="19"/>
  <c r="FG22" i="35"/>
  <c r="FL169" i="19"/>
  <c r="FL185" i="19"/>
  <c r="FL201" i="19"/>
  <c r="FG28" i="35"/>
  <c r="FL217" i="19"/>
  <c r="FG30" i="35"/>
  <c r="FL233" i="19"/>
  <c r="FL249" i="19"/>
  <c r="FL265" i="19"/>
  <c r="FG36" i="35"/>
  <c r="FL281" i="19"/>
  <c r="FL297" i="19"/>
  <c r="FL313" i="19"/>
  <c r="EG4" i="19" l="1"/>
  <c r="FA4" i="19"/>
  <c r="FP4" i="19"/>
  <c r="FK4" i="19"/>
  <c r="EQ4" i="19"/>
  <c r="EL4" i="19"/>
  <c r="EV4" i="19"/>
  <c r="FF4" i="19"/>
  <c r="DM325" i="19"/>
  <c r="DM324" i="19"/>
  <c r="DM323" i="19"/>
  <c r="DM322" i="19"/>
  <c r="DM317" i="19"/>
  <c r="DM316" i="19"/>
  <c r="DM315" i="19"/>
  <c r="DM314" i="19"/>
  <c r="DM309" i="19"/>
  <c r="DM308" i="19"/>
  <c r="DM307" i="19"/>
  <c r="DM306" i="19"/>
  <c r="DM301" i="19"/>
  <c r="DM300" i="19"/>
  <c r="DM299" i="19"/>
  <c r="DM298" i="19"/>
  <c r="DM293" i="19"/>
  <c r="DM292" i="19"/>
  <c r="DM291" i="19"/>
  <c r="DM290" i="19"/>
  <c r="DM285" i="19"/>
  <c r="DM284" i="19"/>
  <c r="DM283" i="19"/>
  <c r="DM282" i="19"/>
  <c r="DM277" i="19"/>
  <c r="DM276" i="19"/>
  <c r="DM275" i="19"/>
  <c r="DM274" i="19"/>
  <c r="DM269" i="19"/>
  <c r="DM268" i="19"/>
  <c r="DM267" i="19"/>
  <c r="DM266" i="19"/>
  <c r="DM261" i="19"/>
  <c r="DM260" i="19"/>
  <c r="DM259" i="19"/>
  <c r="DM258" i="19"/>
  <c r="DM253" i="19"/>
  <c r="DM252" i="19"/>
  <c r="DM251" i="19"/>
  <c r="DM250" i="19"/>
  <c r="DM245" i="19"/>
  <c r="DM244" i="19"/>
  <c r="DM243" i="19"/>
  <c r="DM242" i="19"/>
  <c r="DM237" i="19"/>
  <c r="DM236" i="19"/>
  <c r="DM235" i="19"/>
  <c r="DM234" i="19"/>
  <c r="DM229" i="19"/>
  <c r="DM228" i="19"/>
  <c r="DM227" i="19"/>
  <c r="DM226" i="19"/>
  <c r="DM221" i="19"/>
  <c r="DM220" i="19"/>
  <c r="DM219" i="19"/>
  <c r="DM218" i="19"/>
  <c r="DM213" i="19"/>
  <c r="DM212" i="19"/>
  <c r="DM211" i="19"/>
  <c r="DM210" i="19"/>
  <c r="DM205" i="19"/>
  <c r="DM204" i="19"/>
  <c r="DM203" i="19"/>
  <c r="DM202" i="19"/>
  <c r="DM197" i="19"/>
  <c r="DM196" i="19"/>
  <c r="DM195" i="19"/>
  <c r="DM194" i="19"/>
  <c r="DM189" i="19"/>
  <c r="DM188" i="19"/>
  <c r="DM187" i="19"/>
  <c r="DM186" i="19"/>
  <c r="DM181" i="19"/>
  <c r="DM180" i="19"/>
  <c r="DM179" i="19"/>
  <c r="DM178" i="19"/>
  <c r="DM173" i="19"/>
  <c r="DM172" i="19"/>
  <c r="DM171" i="19"/>
  <c r="DM170" i="19"/>
  <c r="DM165" i="19"/>
  <c r="DM164" i="19"/>
  <c r="DM163" i="19"/>
  <c r="DM162" i="19"/>
  <c r="DM157" i="19"/>
  <c r="DM156" i="19"/>
  <c r="DM155" i="19"/>
  <c r="DM154" i="19"/>
  <c r="DM149" i="19"/>
  <c r="DM148" i="19"/>
  <c r="DM147" i="19"/>
  <c r="DM146" i="19"/>
  <c r="DM141" i="19"/>
  <c r="DM140" i="19"/>
  <c r="DM139" i="19"/>
  <c r="DM138" i="19"/>
  <c r="DM133" i="19"/>
  <c r="DM132" i="19"/>
  <c r="DM131" i="19"/>
  <c r="DM130" i="19"/>
  <c r="DM125" i="19"/>
  <c r="DM124" i="19"/>
  <c r="DM123" i="19"/>
  <c r="DM122" i="19"/>
  <c r="DM117" i="19"/>
  <c r="DM116" i="19"/>
  <c r="DM115" i="19"/>
  <c r="DM114" i="19"/>
  <c r="DM109" i="19"/>
  <c r="DM108" i="19"/>
  <c r="DM107" i="19"/>
  <c r="DM106" i="19"/>
  <c r="DM101" i="19"/>
  <c r="DM100" i="19"/>
  <c r="DM99" i="19"/>
  <c r="DM98" i="19"/>
  <c r="AG97" i="19"/>
  <c r="CM15" i="35" s="1"/>
  <c r="DM93" i="19"/>
  <c r="DM92" i="19"/>
  <c r="DM91" i="19"/>
  <c r="DM90" i="19"/>
  <c r="DM85" i="19"/>
  <c r="DM84" i="19"/>
  <c r="DM83" i="19"/>
  <c r="DM82" i="19"/>
  <c r="DM77" i="19"/>
  <c r="DM76" i="19"/>
  <c r="DM75" i="19"/>
  <c r="DM74" i="19"/>
  <c r="AH321" i="19"/>
  <c r="CN43" i="35" s="1"/>
  <c r="AG321" i="19"/>
  <c r="CM43" i="35" s="1"/>
  <c r="AH313" i="19"/>
  <c r="CN42" i="35" s="1"/>
  <c r="AG313" i="19"/>
  <c r="CM42" i="35" s="1"/>
  <c r="AH305" i="19"/>
  <c r="CN41" i="35" s="1"/>
  <c r="AG305" i="19"/>
  <c r="CM41" i="35" s="1"/>
  <c r="AH297" i="19"/>
  <c r="CN40" i="35" s="1"/>
  <c r="AG297" i="19"/>
  <c r="CM40" i="35" s="1"/>
  <c r="AH289" i="19"/>
  <c r="CN39" i="35" s="1"/>
  <c r="AG289" i="19"/>
  <c r="CM39" i="35" s="1"/>
  <c r="AH281" i="19"/>
  <c r="CN38" i="35" s="1"/>
  <c r="AG281" i="19"/>
  <c r="CM38" i="35" s="1"/>
  <c r="AH273" i="19"/>
  <c r="CN37" i="35" s="1"/>
  <c r="AG273" i="19"/>
  <c r="CM37" i="35" s="1"/>
  <c r="AH265" i="19"/>
  <c r="CN36" i="35" s="1"/>
  <c r="AG265" i="19"/>
  <c r="CM36" i="35" s="1"/>
  <c r="AH257" i="19"/>
  <c r="CN35" i="35" s="1"/>
  <c r="AG257" i="19"/>
  <c r="CM35" i="35" s="1"/>
  <c r="AH249" i="19"/>
  <c r="CN34" i="35" s="1"/>
  <c r="AG249" i="19"/>
  <c r="CM34" i="35" s="1"/>
  <c r="AH241" i="19"/>
  <c r="CN33" i="35" s="1"/>
  <c r="AG241" i="19"/>
  <c r="CM33" i="35" s="1"/>
  <c r="AH233" i="19"/>
  <c r="CN32" i="35" s="1"/>
  <c r="AG233" i="19"/>
  <c r="CM32" i="35" s="1"/>
  <c r="AH225" i="19"/>
  <c r="CN31" i="35" s="1"/>
  <c r="AG225" i="19"/>
  <c r="CM31" i="35" s="1"/>
  <c r="AH217" i="19"/>
  <c r="CN30" i="35" s="1"/>
  <c r="AG217" i="19"/>
  <c r="CM30" i="35" s="1"/>
  <c r="AH209" i="19"/>
  <c r="CN29" i="35" s="1"/>
  <c r="AG209" i="19"/>
  <c r="CM29" i="35" s="1"/>
  <c r="AH201" i="19"/>
  <c r="CN28" i="35" s="1"/>
  <c r="AG201" i="19"/>
  <c r="CM28" i="35" s="1"/>
  <c r="AH193" i="19"/>
  <c r="CN27" i="35" s="1"/>
  <c r="AG193" i="19"/>
  <c r="CM27" i="35" s="1"/>
  <c r="AH185" i="19"/>
  <c r="CN26" i="35" s="1"/>
  <c r="AG185" i="19"/>
  <c r="CM26" i="35" s="1"/>
  <c r="AH177" i="19"/>
  <c r="CN25" i="35" s="1"/>
  <c r="AG177" i="19"/>
  <c r="CM25" i="35" s="1"/>
  <c r="AH169" i="19"/>
  <c r="CN24" i="35" s="1"/>
  <c r="AG169" i="19"/>
  <c r="CM24" i="35" s="1"/>
  <c r="AH161" i="19"/>
  <c r="CN23" i="35" s="1"/>
  <c r="AG161" i="19"/>
  <c r="CM23" i="35" s="1"/>
  <c r="AH153" i="19"/>
  <c r="CN22" i="35" s="1"/>
  <c r="AG153" i="19"/>
  <c r="CM22" i="35" s="1"/>
  <c r="AH145" i="19"/>
  <c r="CN21" i="35" s="1"/>
  <c r="AG145" i="19"/>
  <c r="CM21" i="35" s="1"/>
  <c r="AH137" i="19"/>
  <c r="CN20" i="35" s="1"/>
  <c r="AG137" i="19"/>
  <c r="CM20" i="35" s="1"/>
  <c r="AH129" i="19"/>
  <c r="CN19" i="35" s="1"/>
  <c r="AG129" i="19"/>
  <c r="CM19" i="35" s="1"/>
  <c r="AH121" i="19"/>
  <c r="CN18" i="35" s="1"/>
  <c r="AG121" i="19"/>
  <c r="CM18" i="35" s="1"/>
  <c r="AH113" i="19"/>
  <c r="CN17" i="35" s="1"/>
  <c r="AG113" i="19"/>
  <c r="CM17" i="35" s="1"/>
  <c r="AH105" i="19"/>
  <c r="CN16" i="35" s="1"/>
  <c r="AG105" i="19"/>
  <c r="CM16" i="35" s="1"/>
  <c r="AH97" i="19"/>
  <c r="CN15" i="35" s="1"/>
  <c r="AH89" i="19"/>
  <c r="CN14" i="35" s="1"/>
  <c r="AG89" i="19"/>
  <c r="CM14" i="35" s="1"/>
  <c r="AH81" i="19"/>
  <c r="CN13" i="35" s="1"/>
  <c r="AG81" i="19"/>
  <c r="CM13" i="35" s="1"/>
  <c r="AH73" i="19"/>
  <c r="CN12" i="35" s="1"/>
  <c r="AG73" i="19"/>
  <c r="CM12" i="35" s="1"/>
  <c r="AH65" i="19"/>
  <c r="CN11" i="35" s="1"/>
  <c r="AG65" i="19"/>
  <c r="CM11" i="35" s="1"/>
  <c r="DM61" i="19"/>
  <c r="DM60" i="19"/>
  <c r="DM59" i="19"/>
  <c r="DM58" i="19"/>
  <c r="AG57" i="19"/>
  <c r="CM10" i="35" s="1"/>
  <c r="AH57" i="19"/>
  <c r="CN10" i="35" s="1"/>
  <c r="DM53" i="19"/>
  <c r="DM52" i="19"/>
  <c r="DM51" i="19"/>
  <c r="DM50" i="19"/>
  <c r="AH49" i="19"/>
  <c r="CN9" i="35" s="1"/>
  <c r="AG49" i="19"/>
  <c r="CM9" i="35" s="1"/>
  <c r="DM45" i="19"/>
  <c r="DM44" i="19"/>
  <c r="DM43" i="19"/>
  <c r="DM42" i="19"/>
  <c r="DM37" i="19"/>
  <c r="DM36" i="19"/>
  <c r="DM35" i="19"/>
  <c r="DM34" i="19"/>
  <c r="AH41" i="19"/>
  <c r="CN8" i="35" s="1"/>
  <c r="AG41" i="19"/>
  <c r="CM8" i="35" s="1"/>
  <c r="AG33" i="19"/>
  <c r="CM7" i="35" s="1"/>
  <c r="AH25" i="19"/>
  <c r="CN6" i="35" s="1"/>
  <c r="AG25" i="19"/>
  <c r="CM6" i="35" s="1"/>
  <c r="AG17" i="19"/>
  <c r="CM5" i="35" s="1"/>
  <c r="DM21" i="19"/>
  <c r="AH9" i="19"/>
  <c r="CN4" i="35" s="1"/>
  <c r="AG9" i="19"/>
  <c r="CM4" i="35" s="1"/>
  <c r="CG43" i="35"/>
  <c r="LY43" i="35" s="1"/>
  <c r="CF43" i="35"/>
  <c r="LW43" i="35" s="1"/>
  <c r="DA163" i="30"/>
  <c r="CA43" i="35" s="1"/>
  <c r="BZ43" i="35"/>
  <c r="LK43" i="35" s="1"/>
  <c r="BY43" i="35"/>
  <c r="LI43" i="35" s="1"/>
  <c r="BX43" i="35"/>
  <c r="LG43" i="35" s="1"/>
  <c r="CT163" i="30"/>
  <c r="CS163" i="30"/>
  <c r="BS43" i="35" s="1"/>
  <c r="KW43" i="35" s="1"/>
  <c r="CR163" i="30"/>
  <c r="BR43" i="35" s="1"/>
  <c r="KU43" i="35" s="1"/>
  <c r="CQ163" i="30"/>
  <c r="CM163" i="30"/>
  <c r="BM43" i="35" s="1"/>
  <c r="BL43" i="35"/>
  <c r="KI43" i="35" s="1"/>
  <c r="BK43" i="35"/>
  <c r="KG43" i="35" s="1"/>
  <c r="BJ43" i="35"/>
  <c r="KE43" i="35" s="1"/>
  <c r="CF163" i="30"/>
  <c r="BE43" i="35"/>
  <c r="JU43" i="35" s="1"/>
  <c r="BD43" i="35"/>
  <c r="JS43" i="35" s="1"/>
  <c r="BC43" i="35"/>
  <c r="JQ43" i="35" s="1"/>
  <c r="BY163" i="30"/>
  <c r="AY43" i="35" s="1"/>
  <c r="AX43" i="35"/>
  <c r="JG43" i="35" s="1"/>
  <c r="AW43" i="35"/>
  <c r="JE43" i="35" s="1"/>
  <c r="AV43" i="35"/>
  <c r="JC43" i="35" s="1"/>
  <c r="CG42" i="35"/>
  <c r="LY42" i="35" s="1"/>
  <c r="CF42" i="35"/>
  <c r="LW42" i="35" s="1"/>
  <c r="DA159" i="30"/>
  <c r="BZ42" i="35"/>
  <c r="LK42" i="35" s="1"/>
  <c r="BY42" i="35"/>
  <c r="LI42" i="35" s="1"/>
  <c r="BX42" i="35"/>
  <c r="LG42" i="35" s="1"/>
  <c r="CT159" i="30"/>
  <c r="BT42" i="35" s="1"/>
  <c r="CS159" i="30"/>
  <c r="BS42" i="35" s="1"/>
  <c r="KW42" i="35" s="1"/>
  <c r="CR159" i="30"/>
  <c r="BR42" i="35" s="1"/>
  <c r="KU42" i="35" s="1"/>
  <c r="CQ159" i="30"/>
  <c r="CM159" i="30"/>
  <c r="BL42" i="35"/>
  <c r="KI42" i="35" s="1"/>
  <c r="BK42" i="35"/>
  <c r="KG42" i="35" s="1"/>
  <c r="BJ42" i="35"/>
  <c r="KE42" i="35" s="1"/>
  <c r="CF159" i="30"/>
  <c r="BF42" i="35" s="1"/>
  <c r="BE42" i="35"/>
  <c r="JU42" i="35" s="1"/>
  <c r="BD42" i="35"/>
  <c r="JS42" i="35" s="1"/>
  <c r="BY159" i="30"/>
  <c r="AY42" i="35" s="1"/>
  <c r="AX42" i="35"/>
  <c r="JG42" i="35" s="1"/>
  <c r="AW42" i="35"/>
  <c r="JE42" i="35" s="1"/>
  <c r="AV42" i="35"/>
  <c r="JC42" i="35" s="1"/>
  <c r="CG41" i="35"/>
  <c r="LY41" i="35" s="1"/>
  <c r="CF41" i="35"/>
  <c r="LW41" i="35" s="1"/>
  <c r="CE41" i="35"/>
  <c r="LU41" i="35" s="1"/>
  <c r="DA155" i="30"/>
  <c r="BZ41" i="35"/>
  <c r="LK41" i="35" s="1"/>
  <c r="BY41" i="35"/>
  <c r="LI41" i="35" s="1"/>
  <c r="BX41" i="35"/>
  <c r="LG41" i="35" s="1"/>
  <c r="CT155" i="30"/>
  <c r="BT41" i="35" s="1"/>
  <c r="KY41" i="35" s="1"/>
  <c r="CS155" i="30"/>
  <c r="BS41" i="35" s="1"/>
  <c r="KW41" i="35" s="1"/>
  <c r="CR155" i="30"/>
  <c r="BR41" i="35" s="1"/>
  <c r="KU41" i="35" s="1"/>
  <c r="CQ155" i="30"/>
  <c r="BQ41" i="35" s="1"/>
  <c r="KS41" i="35" s="1"/>
  <c r="CM155" i="30"/>
  <c r="BL41" i="35"/>
  <c r="KI41" i="35" s="1"/>
  <c r="BK41" i="35"/>
  <c r="KG41" i="35" s="1"/>
  <c r="CF155" i="30"/>
  <c r="BF41" i="35" s="1"/>
  <c r="JW41" i="35" s="1"/>
  <c r="BE41" i="35"/>
  <c r="JU41" i="35" s="1"/>
  <c r="BD41" i="35"/>
  <c r="JS41" i="35" s="1"/>
  <c r="BC41" i="35"/>
  <c r="JQ41" i="35" s="1"/>
  <c r="BY155" i="30"/>
  <c r="AX41" i="35"/>
  <c r="JG41" i="35" s="1"/>
  <c r="AW41" i="35"/>
  <c r="JE41" i="35" s="1"/>
  <c r="CG40" i="35"/>
  <c r="LY40" i="35" s="1"/>
  <c r="CF40" i="35"/>
  <c r="LW40" i="35" s="1"/>
  <c r="CE40" i="35"/>
  <c r="LU40" i="35" s="1"/>
  <c r="DA151" i="30"/>
  <c r="BZ40" i="35"/>
  <c r="LK40" i="35" s="1"/>
  <c r="BY40" i="35"/>
  <c r="LI40" i="35" s="1"/>
  <c r="CT151" i="30"/>
  <c r="CS151" i="30"/>
  <c r="BS40" i="35" s="1"/>
  <c r="KW40" i="35" s="1"/>
  <c r="CR151" i="30"/>
  <c r="BR40" i="35" s="1"/>
  <c r="KU40" i="35" s="1"/>
  <c r="CQ151" i="30"/>
  <c r="BQ40" i="35" s="1"/>
  <c r="KS40" i="35" s="1"/>
  <c r="CM151" i="30"/>
  <c r="BM40" i="35" s="1"/>
  <c r="BL40" i="35"/>
  <c r="KI40" i="35" s="1"/>
  <c r="BK40" i="35"/>
  <c r="KG40" i="35" s="1"/>
  <c r="CF151" i="30"/>
  <c r="BE40" i="35"/>
  <c r="JU40" i="35" s="1"/>
  <c r="BD40" i="35"/>
  <c r="JS40" i="35" s="1"/>
  <c r="BC40" i="35"/>
  <c r="JQ40" i="35" s="1"/>
  <c r="BY151" i="30"/>
  <c r="AY40" i="35" s="1"/>
  <c r="AX40" i="35"/>
  <c r="JG40" i="35" s="1"/>
  <c r="AW40" i="35"/>
  <c r="JE40" i="35" s="1"/>
  <c r="CG39" i="35"/>
  <c r="LY39" i="35" s="1"/>
  <c r="CF39" i="35"/>
  <c r="LW39" i="35" s="1"/>
  <c r="DA147" i="30"/>
  <c r="CA39" i="35" s="1"/>
  <c r="BZ39" i="35"/>
  <c r="LK39" i="35" s="1"/>
  <c r="BY39" i="35"/>
  <c r="LI39" i="35" s="1"/>
  <c r="BX39" i="35"/>
  <c r="LG39" i="35" s="1"/>
  <c r="CT147" i="30"/>
  <c r="CS147" i="30"/>
  <c r="BS39" i="35" s="1"/>
  <c r="KW39" i="35" s="1"/>
  <c r="CR147" i="30"/>
  <c r="BR39" i="35" s="1"/>
  <c r="KU39" i="35" s="1"/>
  <c r="CQ147" i="30"/>
  <c r="BQ39" i="35" s="1"/>
  <c r="KS39" i="35" s="1"/>
  <c r="CM147" i="30"/>
  <c r="BM39" i="35" s="1"/>
  <c r="BL39" i="35"/>
  <c r="KI39" i="35" s="1"/>
  <c r="BK39" i="35"/>
  <c r="KG39" i="35" s="1"/>
  <c r="BJ39" i="35"/>
  <c r="KE39" i="35" s="1"/>
  <c r="CF147" i="30"/>
  <c r="BE39" i="35"/>
  <c r="JU39" i="35" s="1"/>
  <c r="BD39" i="35"/>
  <c r="JS39" i="35" s="1"/>
  <c r="BC39" i="35"/>
  <c r="JQ39" i="35" s="1"/>
  <c r="BY147" i="30"/>
  <c r="AY39" i="35" s="1"/>
  <c r="AX39" i="35"/>
  <c r="JG39" i="35" s="1"/>
  <c r="AW39" i="35"/>
  <c r="JE39" i="35" s="1"/>
  <c r="AV39" i="35"/>
  <c r="JC39" i="35" s="1"/>
  <c r="CG38" i="35"/>
  <c r="LY38" i="35" s="1"/>
  <c r="CF38" i="35"/>
  <c r="LW38" i="35" s="1"/>
  <c r="DA143" i="30"/>
  <c r="CA38" i="35" s="1"/>
  <c r="BZ38" i="35"/>
  <c r="LK38" i="35" s="1"/>
  <c r="BY38" i="35"/>
  <c r="LI38" i="35" s="1"/>
  <c r="BX38" i="35"/>
  <c r="LG38" i="35" s="1"/>
  <c r="CT143" i="30"/>
  <c r="BT38" i="35" s="1"/>
  <c r="CS143" i="30"/>
  <c r="BS38" i="35" s="1"/>
  <c r="KW38" i="35" s="1"/>
  <c r="CR143" i="30"/>
  <c r="BR38" i="35" s="1"/>
  <c r="KU38" i="35" s="1"/>
  <c r="CQ143" i="30"/>
  <c r="CM143" i="30"/>
  <c r="BM38" i="35" s="1"/>
  <c r="BL38" i="35"/>
  <c r="KI38" i="35" s="1"/>
  <c r="BK38" i="35"/>
  <c r="KG38" i="35" s="1"/>
  <c r="BJ38" i="35"/>
  <c r="KE38" i="35" s="1"/>
  <c r="CF143" i="30"/>
  <c r="BF38" i="35" s="1"/>
  <c r="BE38" i="35"/>
  <c r="JU38" i="35" s="1"/>
  <c r="BD38" i="35"/>
  <c r="JS38" i="35" s="1"/>
  <c r="BY143" i="30"/>
  <c r="AX38" i="35"/>
  <c r="JG38" i="35" s="1"/>
  <c r="AW38" i="35"/>
  <c r="JE38" i="35" s="1"/>
  <c r="AV38" i="35"/>
  <c r="JC38" i="35" s="1"/>
  <c r="CG37" i="35"/>
  <c r="LY37" i="35" s="1"/>
  <c r="CF37" i="35"/>
  <c r="LW37" i="35" s="1"/>
  <c r="CE37" i="35"/>
  <c r="LU37" i="35" s="1"/>
  <c r="DA139" i="30"/>
  <c r="BZ37" i="35"/>
  <c r="LK37" i="35" s="1"/>
  <c r="BY37" i="35"/>
  <c r="LI37" i="35" s="1"/>
  <c r="CT139" i="30"/>
  <c r="BT37" i="35" s="1"/>
  <c r="KY37" i="35" s="1"/>
  <c r="CS139" i="30"/>
  <c r="BS37" i="35" s="1"/>
  <c r="KW37" i="35" s="1"/>
  <c r="CR139" i="30"/>
  <c r="BR37" i="35" s="1"/>
  <c r="KU37" i="35" s="1"/>
  <c r="CQ139" i="30"/>
  <c r="BQ37" i="35" s="1"/>
  <c r="KS37" i="35" s="1"/>
  <c r="CM139" i="30"/>
  <c r="BL37" i="35"/>
  <c r="KI37" i="35" s="1"/>
  <c r="BK37" i="35"/>
  <c r="KG37" i="35" s="1"/>
  <c r="CF139" i="30"/>
  <c r="BF37" i="35" s="1"/>
  <c r="JW37" i="35" s="1"/>
  <c r="BE37" i="35"/>
  <c r="JU37" i="35" s="1"/>
  <c r="BD37" i="35"/>
  <c r="JS37" i="35" s="1"/>
  <c r="BC37" i="35"/>
  <c r="JQ37" i="35" s="1"/>
  <c r="BY139" i="30"/>
  <c r="AX37" i="35"/>
  <c r="JG37" i="35" s="1"/>
  <c r="AW37" i="35"/>
  <c r="JE37" i="35" s="1"/>
  <c r="AV37" i="35"/>
  <c r="JC37" i="35" s="1"/>
  <c r="CG36" i="35"/>
  <c r="LY36" i="35" s="1"/>
  <c r="CF36" i="35"/>
  <c r="LW36" i="35" s="1"/>
  <c r="CE36" i="35"/>
  <c r="LU36" i="35" s="1"/>
  <c r="DA135" i="30"/>
  <c r="CA36" i="35" s="1"/>
  <c r="LM36" i="35" s="1"/>
  <c r="BZ36" i="35"/>
  <c r="LK36" i="35" s="1"/>
  <c r="BY36" i="35"/>
  <c r="LI36" i="35" s="1"/>
  <c r="CT135" i="30"/>
  <c r="CS135" i="30"/>
  <c r="BS36" i="35" s="1"/>
  <c r="KW36" i="35" s="1"/>
  <c r="CR135" i="30"/>
  <c r="BR36" i="35" s="1"/>
  <c r="KU36" i="35" s="1"/>
  <c r="CQ135" i="30"/>
  <c r="BQ36" i="35" s="1"/>
  <c r="KS36" i="35" s="1"/>
  <c r="CM135" i="30"/>
  <c r="BM36" i="35" s="1"/>
  <c r="KK36" i="35" s="1"/>
  <c r="BL36" i="35"/>
  <c r="KI36" i="35" s="1"/>
  <c r="BK36" i="35"/>
  <c r="KG36" i="35" s="1"/>
  <c r="BJ36" i="35"/>
  <c r="KE36" i="35" s="1"/>
  <c r="CF135" i="30"/>
  <c r="BE36" i="35"/>
  <c r="JU36" i="35" s="1"/>
  <c r="BD36" i="35"/>
  <c r="JS36" i="35" s="1"/>
  <c r="BC36" i="35"/>
  <c r="JQ36" i="35" s="1"/>
  <c r="BY135" i="30"/>
  <c r="AX36" i="35"/>
  <c r="JG36" i="35" s="1"/>
  <c r="AW36" i="35"/>
  <c r="JE36" i="35" s="1"/>
  <c r="CG35" i="35"/>
  <c r="LY35" i="35" s="1"/>
  <c r="CF35" i="35"/>
  <c r="LW35" i="35" s="1"/>
  <c r="DA131" i="30"/>
  <c r="CA35" i="35" s="1"/>
  <c r="LM35" i="35" s="1"/>
  <c r="BZ35" i="35"/>
  <c r="LK35" i="35" s="1"/>
  <c r="BY35" i="35"/>
  <c r="LI35" i="35" s="1"/>
  <c r="BX35" i="35"/>
  <c r="LG35" i="35" s="1"/>
  <c r="CT131" i="30"/>
  <c r="CS131" i="30"/>
  <c r="BS35" i="35" s="1"/>
  <c r="KW35" i="35" s="1"/>
  <c r="CR131" i="30"/>
  <c r="BR35" i="35" s="1"/>
  <c r="KU35" i="35" s="1"/>
  <c r="CQ131" i="30"/>
  <c r="CM131" i="30"/>
  <c r="BM35" i="35" s="1"/>
  <c r="KK35" i="35" s="1"/>
  <c r="BL35" i="35"/>
  <c r="KI35" i="35" s="1"/>
  <c r="BK35" i="35"/>
  <c r="KG35" i="35" s="1"/>
  <c r="BJ35" i="35"/>
  <c r="KE35" i="35" s="1"/>
  <c r="CF131" i="30"/>
  <c r="BE35" i="35"/>
  <c r="JU35" i="35" s="1"/>
  <c r="BD35" i="35"/>
  <c r="JS35" i="35" s="1"/>
  <c r="BY131" i="30"/>
  <c r="AY35" i="35" s="1"/>
  <c r="JI35" i="35" s="1"/>
  <c r="AX35" i="35"/>
  <c r="JG35" i="35" s="1"/>
  <c r="AW35" i="35"/>
  <c r="JE35" i="35" s="1"/>
  <c r="AV35" i="35"/>
  <c r="JC35" i="35" s="1"/>
  <c r="CG34" i="35"/>
  <c r="LY34" i="35" s="1"/>
  <c r="CF34" i="35"/>
  <c r="LW34" i="35" s="1"/>
  <c r="DA127" i="30"/>
  <c r="BZ34" i="35"/>
  <c r="LK34" i="35" s="1"/>
  <c r="BY34" i="35"/>
  <c r="LI34" i="35" s="1"/>
  <c r="BX34" i="35"/>
  <c r="LG34" i="35" s="1"/>
  <c r="CT127" i="30"/>
  <c r="BT34" i="35" s="1"/>
  <c r="CS127" i="30"/>
  <c r="BS34" i="35" s="1"/>
  <c r="KW34" i="35" s="1"/>
  <c r="CR127" i="30"/>
  <c r="BR34" i="35" s="1"/>
  <c r="KU34" i="35" s="1"/>
  <c r="CQ127" i="30"/>
  <c r="CM127" i="30"/>
  <c r="BL34" i="35"/>
  <c r="KI34" i="35" s="1"/>
  <c r="BK34" i="35"/>
  <c r="KG34" i="35" s="1"/>
  <c r="BJ34" i="35"/>
  <c r="KE34" i="35" s="1"/>
  <c r="CF127" i="30"/>
  <c r="BF34" i="35" s="1"/>
  <c r="BE34" i="35"/>
  <c r="JU34" i="35" s="1"/>
  <c r="BD34" i="35"/>
  <c r="JS34" i="35" s="1"/>
  <c r="BY127" i="30"/>
  <c r="AX34" i="35"/>
  <c r="JG34" i="35" s="1"/>
  <c r="AW34" i="35"/>
  <c r="JE34" i="35" s="1"/>
  <c r="AV34" i="35"/>
  <c r="JC34" i="35" s="1"/>
  <c r="CG33" i="35"/>
  <c r="LY33" i="35" s="1"/>
  <c r="CF33" i="35"/>
  <c r="LW33" i="35" s="1"/>
  <c r="CE33" i="35"/>
  <c r="LU33" i="35" s="1"/>
  <c r="DA123" i="30"/>
  <c r="BZ33" i="35"/>
  <c r="LK33" i="35" s="1"/>
  <c r="BY33" i="35"/>
  <c r="LI33" i="35" s="1"/>
  <c r="CT123" i="30"/>
  <c r="BT33" i="35" s="1"/>
  <c r="CS123" i="30"/>
  <c r="BS33" i="35" s="1"/>
  <c r="KW33" i="35" s="1"/>
  <c r="CR123" i="30"/>
  <c r="BR33" i="35" s="1"/>
  <c r="KU33" i="35" s="1"/>
  <c r="CQ123" i="30"/>
  <c r="BQ33" i="35" s="1"/>
  <c r="KS33" i="35" s="1"/>
  <c r="CM123" i="30"/>
  <c r="BL33" i="35"/>
  <c r="KI33" i="35" s="1"/>
  <c r="BK33" i="35"/>
  <c r="KG33" i="35" s="1"/>
  <c r="CF123" i="30"/>
  <c r="BF33" i="35" s="1"/>
  <c r="BE33" i="35"/>
  <c r="JU33" i="35" s="1"/>
  <c r="BD33" i="35"/>
  <c r="JS33" i="35" s="1"/>
  <c r="BC33" i="35"/>
  <c r="JQ33" i="35" s="1"/>
  <c r="BY123" i="30"/>
  <c r="AX33" i="35"/>
  <c r="JG33" i="35" s="1"/>
  <c r="AW33" i="35"/>
  <c r="JE33" i="35" s="1"/>
  <c r="CG32" i="35"/>
  <c r="LY32" i="35" s="1"/>
  <c r="CF32" i="35"/>
  <c r="LW32" i="35" s="1"/>
  <c r="CE32" i="35"/>
  <c r="LU32" i="35" s="1"/>
  <c r="DA119" i="30"/>
  <c r="CA32" i="35" s="1"/>
  <c r="BZ32" i="35"/>
  <c r="LK32" i="35" s="1"/>
  <c r="BY32" i="35"/>
  <c r="LI32" i="35" s="1"/>
  <c r="CT119" i="30"/>
  <c r="CS119" i="30"/>
  <c r="BS32" i="35" s="1"/>
  <c r="KW32" i="35" s="1"/>
  <c r="CR119" i="30"/>
  <c r="BR32" i="35" s="1"/>
  <c r="KU32" i="35" s="1"/>
  <c r="CQ119" i="30"/>
  <c r="BQ32" i="35" s="1"/>
  <c r="KS32" i="35" s="1"/>
  <c r="CM119" i="30"/>
  <c r="BM32" i="35" s="1"/>
  <c r="BL32" i="35"/>
  <c r="KI32" i="35" s="1"/>
  <c r="BK32" i="35"/>
  <c r="KG32" i="35" s="1"/>
  <c r="CF119" i="30"/>
  <c r="BE32" i="35"/>
  <c r="JU32" i="35" s="1"/>
  <c r="BD32" i="35"/>
  <c r="JS32" i="35" s="1"/>
  <c r="BC32" i="35"/>
  <c r="JQ32" i="35" s="1"/>
  <c r="BY119" i="30"/>
  <c r="AY32" i="35" s="1"/>
  <c r="AX32" i="35"/>
  <c r="JG32" i="35" s="1"/>
  <c r="AW32" i="35"/>
  <c r="JE32" i="35" s="1"/>
  <c r="CG31" i="35"/>
  <c r="LY31" i="35" s="1"/>
  <c r="CF31" i="35"/>
  <c r="LW31" i="35" s="1"/>
  <c r="DA115" i="30"/>
  <c r="CA31" i="35" s="1"/>
  <c r="LM31" i="35" s="1"/>
  <c r="BZ31" i="35"/>
  <c r="LK31" i="35" s="1"/>
  <c r="BY31" i="35"/>
  <c r="LI31" i="35" s="1"/>
  <c r="BX31" i="35"/>
  <c r="LG31" i="35" s="1"/>
  <c r="CT115" i="30"/>
  <c r="CS115" i="30"/>
  <c r="BS31" i="35" s="1"/>
  <c r="KW31" i="35" s="1"/>
  <c r="CR115" i="30"/>
  <c r="BR31" i="35" s="1"/>
  <c r="KU31" i="35" s="1"/>
  <c r="CQ115" i="30"/>
  <c r="CM115" i="30"/>
  <c r="BM31" i="35" s="1"/>
  <c r="KK31" i="35" s="1"/>
  <c r="BL31" i="35"/>
  <c r="KI31" i="35" s="1"/>
  <c r="BK31" i="35"/>
  <c r="KG31" i="35" s="1"/>
  <c r="BJ31" i="35"/>
  <c r="KE31" i="35" s="1"/>
  <c r="CF115" i="30"/>
  <c r="BE31" i="35"/>
  <c r="JU31" i="35" s="1"/>
  <c r="BD31" i="35"/>
  <c r="JS31" i="35" s="1"/>
  <c r="BY115" i="30"/>
  <c r="AY31" i="35" s="1"/>
  <c r="JI31" i="35" s="1"/>
  <c r="AX31" i="35"/>
  <c r="JG31" i="35" s="1"/>
  <c r="AW31" i="35"/>
  <c r="JE31" i="35" s="1"/>
  <c r="AV31" i="35"/>
  <c r="JC31" i="35" s="1"/>
  <c r="CG30" i="35"/>
  <c r="LY30" i="35" s="1"/>
  <c r="CF30" i="35"/>
  <c r="LW30" i="35" s="1"/>
  <c r="DA111" i="30"/>
  <c r="BZ30" i="35"/>
  <c r="LK30" i="35" s="1"/>
  <c r="BY30" i="35"/>
  <c r="LI30" i="35" s="1"/>
  <c r="BX30" i="35"/>
  <c r="LG30" i="35" s="1"/>
  <c r="CT111" i="30"/>
  <c r="BT30" i="35" s="1"/>
  <c r="KY30" i="35" s="1"/>
  <c r="CS111" i="30"/>
  <c r="BS30" i="35" s="1"/>
  <c r="KW30" i="35" s="1"/>
  <c r="CR111" i="30"/>
  <c r="BR30" i="35" s="1"/>
  <c r="KU30" i="35" s="1"/>
  <c r="CQ111" i="30"/>
  <c r="CM111" i="30"/>
  <c r="BL30" i="35"/>
  <c r="KI30" i="35" s="1"/>
  <c r="BK30" i="35"/>
  <c r="KG30" i="35" s="1"/>
  <c r="BJ30" i="35"/>
  <c r="KE30" i="35" s="1"/>
  <c r="CF111" i="30"/>
  <c r="BF30" i="35" s="1"/>
  <c r="JW30" i="35" s="1"/>
  <c r="BE30" i="35"/>
  <c r="JU30" i="35" s="1"/>
  <c r="BD30" i="35"/>
  <c r="JS30" i="35" s="1"/>
  <c r="BY111" i="30"/>
  <c r="AX30" i="35"/>
  <c r="JG30" i="35" s="1"/>
  <c r="AW30" i="35"/>
  <c r="JE30" i="35" s="1"/>
  <c r="AV30" i="35"/>
  <c r="JC30" i="35" s="1"/>
  <c r="CG29" i="35"/>
  <c r="LY29" i="35" s="1"/>
  <c r="CF29" i="35"/>
  <c r="LW29" i="35" s="1"/>
  <c r="CE29" i="35"/>
  <c r="LU29" i="35" s="1"/>
  <c r="DA107" i="30"/>
  <c r="BZ29" i="35"/>
  <c r="LK29" i="35" s="1"/>
  <c r="BY29" i="35"/>
  <c r="LI29" i="35" s="1"/>
  <c r="CT107" i="30"/>
  <c r="BT29" i="35" s="1"/>
  <c r="KY29" i="35" s="1"/>
  <c r="CS107" i="30"/>
  <c r="BS29" i="35" s="1"/>
  <c r="KW29" i="35" s="1"/>
  <c r="CR107" i="30"/>
  <c r="BR29" i="35" s="1"/>
  <c r="KU29" i="35" s="1"/>
  <c r="CQ107" i="30"/>
  <c r="BQ29" i="35" s="1"/>
  <c r="KS29" i="35" s="1"/>
  <c r="CM107" i="30"/>
  <c r="BL29" i="35"/>
  <c r="KI29" i="35" s="1"/>
  <c r="BK29" i="35"/>
  <c r="KG29" i="35" s="1"/>
  <c r="BJ29" i="35"/>
  <c r="KE29" i="35" s="1"/>
  <c r="CF107" i="30"/>
  <c r="BF29" i="35" s="1"/>
  <c r="JW29" i="35" s="1"/>
  <c r="BE29" i="35"/>
  <c r="JU29" i="35" s="1"/>
  <c r="BD29" i="35"/>
  <c r="JS29" i="35" s="1"/>
  <c r="BC29" i="35"/>
  <c r="JQ29" i="35" s="1"/>
  <c r="BY107" i="30"/>
  <c r="AX29" i="35"/>
  <c r="JG29" i="35" s="1"/>
  <c r="AW29" i="35"/>
  <c r="JE29" i="35" s="1"/>
  <c r="CG28" i="35"/>
  <c r="LY28" i="35" s="1"/>
  <c r="CF28" i="35"/>
  <c r="LW28" i="35" s="1"/>
  <c r="CE28" i="35"/>
  <c r="LU28" i="35" s="1"/>
  <c r="DA103" i="30"/>
  <c r="CA28" i="35" s="1"/>
  <c r="LM28" i="35" s="1"/>
  <c r="BZ28" i="35"/>
  <c r="LK28" i="35" s="1"/>
  <c r="BY28" i="35"/>
  <c r="LI28" i="35" s="1"/>
  <c r="CT103" i="30"/>
  <c r="CS103" i="30"/>
  <c r="BS28" i="35" s="1"/>
  <c r="KW28" i="35" s="1"/>
  <c r="CR103" i="30"/>
  <c r="BR28" i="35" s="1"/>
  <c r="KU28" i="35" s="1"/>
  <c r="CQ103" i="30"/>
  <c r="BQ28" i="35" s="1"/>
  <c r="KS28" i="35" s="1"/>
  <c r="CM103" i="30"/>
  <c r="BM28" i="35" s="1"/>
  <c r="KK28" i="35" s="1"/>
  <c r="BL28" i="35"/>
  <c r="KI28" i="35" s="1"/>
  <c r="BK28" i="35"/>
  <c r="KG28" i="35" s="1"/>
  <c r="CF103" i="30"/>
  <c r="BE28" i="35"/>
  <c r="JU28" i="35" s="1"/>
  <c r="BD28" i="35"/>
  <c r="JS28" i="35" s="1"/>
  <c r="BC28" i="35"/>
  <c r="JQ28" i="35" s="1"/>
  <c r="BY103" i="30"/>
  <c r="AY28" i="35" s="1"/>
  <c r="JI28" i="35" s="1"/>
  <c r="AX28" i="35"/>
  <c r="JG28" i="35" s="1"/>
  <c r="AW28" i="35"/>
  <c r="JE28" i="35" s="1"/>
  <c r="CG27" i="35"/>
  <c r="LY27" i="35" s="1"/>
  <c r="CF27" i="35"/>
  <c r="LW27" i="35" s="1"/>
  <c r="DA99" i="30"/>
  <c r="CA27" i="35" s="1"/>
  <c r="LM27" i="35" s="1"/>
  <c r="BZ27" i="35"/>
  <c r="LK27" i="35" s="1"/>
  <c r="BY27" i="35"/>
  <c r="LI27" i="35" s="1"/>
  <c r="BX27" i="35"/>
  <c r="LG27" i="35" s="1"/>
  <c r="CT99" i="30"/>
  <c r="CS99" i="30"/>
  <c r="BS27" i="35" s="1"/>
  <c r="KW27" i="35" s="1"/>
  <c r="CR99" i="30"/>
  <c r="BR27" i="35" s="1"/>
  <c r="KU27" i="35" s="1"/>
  <c r="CQ99" i="30"/>
  <c r="BQ27" i="35" s="1"/>
  <c r="KS27" i="35" s="1"/>
  <c r="CM99" i="30"/>
  <c r="BM27" i="35" s="1"/>
  <c r="KK27" i="35" s="1"/>
  <c r="BL27" i="35"/>
  <c r="KI27" i="35" s="1"/>
  <c r="BK27" i="35"/>
  <c r="KG27" i="35" s="1"/>
  <c r="BJ27" i="35"/>
  <c r="KE27" i="35" s="1"/>
  <c r="CF99" i="30"/>
  <c r="BF27" i="35" s="1"/>
  <c r="JW27" i="35" s="1"/>
  <c r="BE27" i="35"/>
  <c r="JU27" i="35" s="1"/>
  <c r="BD27" i="35"/>
  <c r="JS27" i="35" s="1"/>
  <c r="BY99" i="30"/>
  <c r="AY27" i="35" s="1"/>
  <c r="JI27" i="35" s="1"/>
  <c r="AX27" i="35"/>
  <c r="JG27" i="35" s="1"/>
  <c r="AW27" i="35"/>
  <c r="JE27" i="35" s="1"/>
  <c r="AV27" i="35"/>
  <c r="JC27" i="35" s="1"/>
  <c r="CG26" i="35"/>
  <c r="LY26" i="35" s="1"/>
  <c r="CF26" i="35"/>
  <c r="LW26" i="35" s="1"/>
  <c r="DA95" i="30"/>
  <c r="BZ26" i="35"/>
  <c r="LK26" i="35" s="1"/>
  <c r="BY26" i="35"/>
  <c r="LI26" i="35" s="1"/>
  <c r="BX26" i="35"/>
  <c r="LG26" i="35" s="1"/>
  <c r="CT95" i="30"/>
  <c r="BT26" i="35" s="1"/>
  <c r="CS95" i="30"/>
  <c r="BS26" i="35" s="1"/>
  <c r="KW26" i="35" s="1"/>
  <c r="CR95" i="30"/>
  <c r="BR26" i="35" s="1"/>
  <c r="KU26" i="35" s="1"/>
  <c r="CQ95" i="30"/>
  <c r="CM95" i="30"/>
  <c r="BL26" i="35"/>
  <c r="KI26" i="35" s="1"/>
  <c r="BK26" i="35"/>
  <c r="KG26" i="35" s="1"/>
  <c r="BJ26" i="35"/>
  <c r="KE26" i="35" s="1"/>
  <c r="CF95" i="30"/>
  <c r="BF26" i="35" s="1"/>
  <c r="BE26" i="35"/>
  <c r="JU26" i="35" s="1"/>
  <c r="BD26" i="35"/>
  <c r="JS26" i="35" s="1"/>
  <c r="BY95" i="30"/>
  <c r="AX26" i="35"/>
  <c r="JG26" i="35" s="1"/>
  <c r="AW26" i="35"/>
  <c r="JE26" i="35" s="1"/>
  <c r="AV26" i="35"/>
  <c r="JC26" i="35" s="1"/>
  <c r="CG25" i="35"/>
  <c r="LY25" i="35" s="1"/>
  <c r="CF25" i="35"/>
  <c r="LW25" i="35" s="1"/>
  <c r="CE25" i="35"/>
  <c r="LU25" i="35" s="1"/>
  <c r="DA91" i="30"/>
  <c r="BZ25" i="35"/>
  <c r="LK25" i="35" s="1"/>
  <c r="BY25" i="35"/>
  <c r="LI25" i="35" s="1"/>
  <c r="BX25" i="35"/>
  <c r="LG25" i="35" s="1"/>
  <c r="CT91" i="30"/>
  <c r="BT25" i="35" s="1"/>
  <c r="KY25" i="35" s="1"/>
  <c r="CS91" i="30"/>
  <c r="BS25" i="35" s="1"/>
  <c r="KW25" i="35" s="1"/>
  <c r="CR91" i="30"/>
  <c r="BR25" i="35" s="1"/>
  <c r="KU25" i="35" s="1"/>
  <c r="CQ91" i="30"/>
  <c r="BQ25" i="35" s="1"/>
  <c r="KS25" i="35" s="1"/>
  <c r="CM91" i="30"/>
  <c r="BL25" i="35"/>
  <c r="KI25" i="35" s="1"/>
  <c r="BK25" i="35"/>
  <c r="KG25" i="35" s="1"/>
  <c r="CF91" i="30"/>
  <c r="BF25" i="35" s="1"/>
  <c r="JW25" i="35" s="1"/>
  <c r="BE25" i="35"/>
  <c r="JU25" i="35" s="1"/>
  <c r="BD25" i="35"/>
  <c r="JS25" i="35" s="1"/>
  <c r="BC25" i="35"/>
  <c r="JQ25" i="35" s="1"/>
  <c r="BY91" i="30"/>
  <c r="AX25" i="35"/>
  <c r="JG25" i="35" s="1"/>
  <c r="AW25" i="35"/>
  <c r="JE25" i="35" s="1"/>
  <c r="CG24" i="35"/>
  <c r="LY24" i="35" s="1"/>
  <c r="CF24" i="35"/>
  <c r="LW24" i="35" s="1"/>
  <c r="CE24" i="35"/>
  <c r="LU24" i="35" s="1"/>
  <c r="DA87" i="30"/>
  <c r="BZ24" i="35"/>
  <c r="LK24" i="35" s="1"/>
  <c r="BY24" i="35"/>
  <c r="LI24" i="35" s="1"/>
  <c r="CT87" i="30"/>
  <c r="CS87" i="30"/>
  <c r="BS24" i="35" s="1"/>
  <c r="KW24" i="35" s="1"/>
  <c r="CR87" i="30"/>
  <c r="BR24" i="35" s="1"/>
  <c r="KU24" i="35" s="1"/>
  <c r="CQ87" i="30"/>
  <c r="BQ24" i="35" s="1"/>
  <c r="KS24" i="35" s="1"/>
  <c r="CM87" i="30"/>
  <c r="BM24" i="35" s="1"/>
  <c r="BL24" i="35"/>
  <c r="KI24" i="35" s="1"/>
  <c r="BK24" i="35"/>
  <c r="KG24" i="35" s="1"/>
  <c r="CF87" i="30"/>
  <c r="BE24" i="35"/>
  <c r="JU24" i="35" s="1"/>
  <c r="BD24" i="35"/>
  <c r="JS24" i="35" s="1"/>
  <c r="BC24" i="35"/>
  <c r="JQ24" i="35" s="1"/>
  <c r="BY87" i="30"/>
  <c r="AY24" i="35" s="1"/>
  <c r="AX24" i="35"/>
  <c r="JG24" i="35" s="1"/>
  <c r="AW24" i="35"/>
  <c r="JE24" i="35" s="1"/>
  <c r="CG23" i="35"/>
  <c r="LY23" i="35" s="1"/>
  <c r="CF23" i="35"/>
  <c r="LW23" i="35" s="1"/>
  <c r="CE23" i="35"/>
  <c r="LU23" i="35" s="1"/>
  <c r="DA83" i="30"/>
  <c r="CA23" i="35" s="1"/>
  <c r="LM23" i="35" s="1"/>
  <c r="BZ23" i="35"/>
  <c r="LK23" i="35" s="1"/>
  <c r="BY23" i="35"/>
  <c r="LI23" i="35" s="1"/>
  <c r="BX23" i="35"/>
  <c r="LG23" i="35" s="1"/>
  <c r="CT83" i="30"/>
  <c r="CS83" i="30"/>
  <c r="BS23" i="35" s="1"/>
  <c r="KW23" i="35" s="1"/>
  <c r="CR83" i="30"/>
  <c r="BR23" i="35" s="1"/>
  <c r="KU23" i="35" s="1"/>
  <c r="CQ83" i="30"/>
  <c r="CM83" i="30"/>
  <c r="BM23" i="35" s="1"/>
  <c r="KK23" i="35" s="1"/>
  <c r="BL23" i="35"/>
  <c r="KI23" i="35" s="1"/>
  <c r="BK23" i="35"/>
  <c r="KG23" i="35" s="1"/>
  <c r="BJ23" i="35"/>
  <c r="KE23" i="35" s="1"/>
  <c r="CF83" i="30"/>
  <c r="BE23" i="35"/>
  <c r="JU23" i="35" s="1"/>
  <c r="BD23" i="35"/>
  <c r="JS23" i="35" s="1"/>
  <c r="BY83" i="30"/>
  <c r="AY23" i="35" s="1"/>
  <c r="JI23" i="35" s="1"/>
  <c r="AX23" i="35"/>
  <c r="JG23" i="35" s="1"/>
  <c r="AW23" i="35"/>
  <c r="JE23" i="35" s="1"/>
  <c r="AV23" i="35"/>
  <c r="JC23" i="35" s="1"/>
  <c r="CG22" i="35"/>
  <c r="LY22" i="35" s="1"/>
  <c r="CF22" i="35"/>
  <c r="LW22" i="35" s="1"/>
  <c r="DA79" i="30"/>
  <c r="BZ22" i="35"/>
  <c r="LK22" i="35" s="1"/>
  <c r="BY22" i="35"/>
  <c r="LI22" i="35" s="1"/>
  <c r="BX22" i="35"/>
  <c r="LG22" i="35" s="1"/>
  <c r="CT79" i="30"/>
  <c r="BT22" i="35" s="1"/>
  <c r="KY22" i="35" s="1"/>
  <c r="CS79" i="30"/>
  <c r="BS22" i="35" s="1"/>
  <c r="KW22" i="35" s="1"/>
  <c r="CR79" i="30"/>
  <c r="BR22" i="35" s="1"/>
  <c r="KU22" i="35" s="1"/>
  <c r="CQ79" i="30"/>
  <c r="CM79" i="30"/>
  <c r="BL22" i="35"/>
  <c r="KI22" i="35" s="1"/>
  <c r="BK22" i="35"/>
  <c r="KG22" i="35" s="1"/>
  <c r="BJ22" i="35"/>
  <c r="KE22" i="35" s="1"/>
  <c r="CF79" i="30"/>
  <c r="BF22" i="35" s="1"/>
  <c r="JW22" i="35" s="1"/>
  <c r="BE22" i="35"/>
  <c r="JU22" i="35" s="1"/>
  <c r="BD22" i="35"/>
  <c r="JS22" i="35" s="1"/>
  <c r="BY79" i="30"/>
  <c r="AY22" i="35" s="1"/>
  <c r="JI22" i="35" s="1"/>
  <c r="AX22" i="35"/>
  <c r="JG22" i="35" s="1"/>
  <c r="AW22" i="35"/>
  <c r="JE22" i="35" s="1"/>
  <c r="AV22" i="35"/>
  <c r="JC22" i="35" s="1"/>
  <c r="CG21" i="35"/>
  <c r="LY21" i="35" s="1"/>
  <c r="CF21" i="35"/>
  <c r="LW21" i="35" s="1"/>
  <c r="CE21" i="35"/>
  <c r="LU21" i="35" s="1"/>
  <c r="DA75" i="30"/>
  <c r="BZ21" i="35"/>
  <c r="LK21" i="35" s="1"/>
  <c r="BY21" i="35"/>
  <c r="LI21" i="35" s="1"/>
  <c r="CT75" i="30"/>
  <c r="BT21" i="35" s="1"/>
  <c r="CS75" i="30"/>
  <c r="BS21" i="35" s="1"/>
  <c r="KW21" i="35" s="1"/>
  <c r="CR75" i="30"/>
  <c r="BR21" i="35" s="1"/>
  <c r="KU21" i="35" s="1"/>
  <c r="CQ75" i="30"/>
  <c r="BQ21" i="35" s="1"/>
  <c r="KS21" i="35" s="1"/>
  <c r="CM75" i="30"/>
  <c r="BL21" i="35"/>
  <c r="KI21" i="35" s="1"/>
  <c r="BK21" i="35"/>
  <c r="KG21" i="35" s="1"/>
  <c r="CF75" i="30"/>
  <c r="BF21" i="35" s="1"/>
  <c r="BE21" i="35"/>
  <c r="JU21" i="35" s="1"/>
  <c r="BD21" i="35"/>
  <c r="JS21" i="35" s="1"/>
  <c r="BC21" i="35"/>
  <c r="JQ21" i="35" s="1"/>
  <c r="BY75" i="30"/>
  <c r="AX21" i="35"/>
  <c r="JG21" i="35" s="1"/>
  <c r="AW21" i="35"/>
  <c r="JE21" i="35" s="1"/>
  <c r="CG20" i="35"/>
  <c r="LY20" i="35" s="1"/>
  <c r="CF20" i="35"/>
  <c r="LW20" i="35" s="1"/>
  <c r="CE20" i="35"/>
  <c r="LU20" i="35" s="1"/>
  <c r="DA71" i="30"/>
  <c r="CA20" i="35" s="1"/>
  <c r="BZ20" i="35"/>
  <c r="LK20" i="35" s="1"/>
  <c r="BY20" i="35"/>
  <c r="LI20" i="35" s="1"/>
  <c r="CT71" i="30"/>
  <c r="BT20" i="35" s="1"/>
  <c r="CS71" i="30"/>
  <c r="BS20" i="35" s="1"/>
  <c r="KW20" i="35" s="1"/>
  <c r="CR71" i="30"/>
  <c r="BR20" i="35" s="1"/>
  <c r="KU20" i="35" s="1"/>
  <c r="CQ71" i="30"/>
  <c r="BQ20" i="35" s="1"/>
  <c r="KS20" i="35" s="1"/>
  <c r="CM71" i="30"/>
  <c r="BM20" i="35" s="1"/>
  <c r="BL20" i="35"/>
  <c r="KI20" i="35" s="1"/>
  <c r="BK20" i="35"/>
  <c r="KG20" i="35" s="1"/>
  <c r="CF71" i="30"/>
  <c r="BF20" i="35" s="1"/>
  <c r="BE20" i="35"/>
  <c r="JU20" i="35" s="1"/>
  <c r="BD20" i="35"/>
  <c r="JS20" i="35" s="1"/>
  <c r="BC20" i="35"/>
  <c r="JQ20" i="35" s="1"/>
  <c r="BY71" i="30"/>
  <c r="AY20" i="35" s="1"/>
  <c r="AX20" i="35"/>
  <c r="JG20" i="35" s="1"/>
  <c r="AW20" i="35"/>
  <c r="JE20" i="35" s="1"/>
  <c r="CG19" i="35"/>
  <c r="LY19" i="35" s="1"/>
  <c r="CF19" i="35"/>
  <c r="LW19" i="35" s="1"/>
  <c r="DA67" i="30"/>
  <c r="CA19" i="35" s="1"/>
  <c r="BZ19" i="35"/>
  <c r="LK19" i="35" s="1"/>
  <c r="BY19" i="35"/>
  <c r="LI19" i="35" s="1"/>
  <c r="BX19" i="35"/>
  <c r="LG19" i="35" s="1"/>
  <c r="CT67" i="30"/>
  <c r="CS67" i="30"/>
  <c r="BS19" i="35" s="1"/>
  <c r="KW19" i="35" s="1"/>
  <c r="CR67" i="30"/>
  <c r="BR19" i="35" s="1"/>
  <c r="KU19" i="35" s="1"/>
  <c r="CQ67" i="30"/>
  <c r="BQ19" i="35" s="1"/>
  <c r="KS19" i="35" s="1"/>
  <c r="CM67" i="30"/>
  <c r="BM19" i="35" s="1"/>
  <c r="BL19" i="35"/>
  <c r="KI19" i="35" s="1"/>
  <c r="BK19" i="35"/>
  <c r="KG19" i="35" s="1"/>
  <c r="BJ19" i="35"/>
  <c r="KE19" i="35" s="1"/>
  <c r="CF67" i="30"/>
  <c r="BE19" i="35"/>
  <c r="JU19" i="35" s="1"/>
  <c r="BD19" i="35"/>
  <c r="JS19" i="35" s="1"/>
  <c r="BY67" i="30"/>
  <c r="AY19" i="35" s="1"/>
  <c r="AX19" i="35"/>
  <c r="JG19" i="35" s="1"/>
  <c r="AW19" i="35"/>
  <c r="JE19" i="35" s="1"/>
  <c r="AV19" i="35"/>
  <c r="JC19" i="35" s="1"/>
  <c r="CG18" i="35"/>
  <c r="LY18" i="35" s="1"/>
  <c r="CF18" i="35"/>
  <c r="LW18" i="35" s="1"/>
  <c r="DA63" i="30"/>
  <c r="CA18" i="35" s="1"/>
  <c r="BZ18" i="35"/>
  <c r="LK18" i="35" s="1"/>
  <c r="BY18" i="35"/>
  <c r="LI18" i="35" s="1"/>
  <c r="BX18" i="35"/>
  <c r="LG18" i="35" s="1"/>
  <c r="CT63" i="30"/>
  <c r="BT18" i="35" s="1"/>
  <c r="CS63" i="30"/>
  <c r="BS18" i="35" s="1"/>
  <c r="KW18" i="35" s="1"/>
  <c r="CR63" i="30"/>
  <c r="BR18" i="35" s="1"/>
  <c r="KU18" i="35" s="1"/>
  <c r="CQ63" i="30"/>
  <c r="CM63" i="30"/>
  <c r="BL18" i="35"/>
  <c r="KI18" i="35" s="1"/>
  <c r="BK18" i="35"/>
  <c r="KG18" i="35" s="1"/>
  <c r="BJ18" i="35"/>
  <c r="KE18" i="35" s="1"/>
  <c r="CF63" i="30"/>
  <c r="BE18" i="35"/>
  <c r="JU18" i="35" s="1"/>
  <c r="BD18" i="35"/>
  <c r="JS18" i="35" s="1"/>
  <c r="BY63" i="30"/>
  <c r="AY18" i="35" s="1"/>
  <c r="AX18" i="35"/>
  <c r="JG18" i="35" s="1"/>
  <c r="AW18" i="35"/>
  <c r="JE18" i="35" s="1"/>
  <c r="AV18" i="35"/>
  <c r="JC18" i="35" s="1"/>
  <c r="CG17" i="35"/>
  <c r="LY17" i="35" s="1"/>
  <c r="CF17" i="35"/>
  <c r="LW17" i="35" s="1"/>
  <c r="CE17" i="35"/>
  <c r="LU17" i="35" s="1"/>
  <c r="DA59" i="30"/>
  <c r="BZ17" i="35"/>
  <c r="LK17" i="35" s="1"/>
  <c r="BY17" i="35"/>
  <c r="LI17" i="35" s="1"/>
  <c r="BX17" i="35"/>
  <c r="LG17" i="35" s="1"/>
  <c r="CT59" i="30"/>
  <c r="BT17" i="35" s="1"/>
  <c r="CS59" i="30"/>
  <c r="BS17" i="35" s="1"/>
  <c r="KW17" i="35" s="1"/>
  <c r="CR59" i="30"/>
  <c r="BR17" i="35" s="1"/>
  <c r="KU17" i="35" s="1"/>
  <c r="CQ59" i="30"/>
  <c r="BQ17" i="35" s="1"/>
  <c r="KS17" i="35" s="1"/>
  <c r="CM59" i="30"/>
  <c r="BL17" i="35"/>
  <c r="KI17" i="35" s="1"/>
  <c r="BK17" i="35"/>
  <c r="KG17" i="35" s="1"/>
  <c r="CF59" i="30"/>
  <c r="BF17" i="35" s="1"/>
  <c r="BE17" i="35"/>
  <c r="JU17" i="35" s="1"/>
  <c r="BD17" i="35"/>
  <c r="JS17" i="35" s="1"/>
  <c r="BC17" i="35"/>
  <c r="JQ17" i="35" s="1"/>
  <c r="BY59" i="30"/>
  <c r="AX17" i="35"/>
  <c r="JG17" i="35" s="1"/>
  <c r="AW17" i="35"/>
  <c r="JE17" i="35" s="1"/>
  <c r="CG16" i="35"/>
  <c r="LY16" i="35" s="1"/>
  <c r="CF16" i="35"/>
  <c r="LW16" i="35" s="1"/>
  <c r="CE16" i="35"/>
  <c r="LU16" i="35" s="1"/>
  <c r="DA55" i="30"/>
  <c r="CA16" i="35" s="1"/>
  <c r="BZ16" i="35"/>
  <c r="LK16" i="35" s="1"/>
  <c r="BY16" i="35"/>
  <c r="LI16" i="35" s="1"/>
  <c r="CT55" i="30"/>
  <c r="BT16" i="35" s="1"/>
  <c r="CS55" i="30"/>
  <c r="BS16" i="35" s="1"/>
  <c r="KW16" i="35" s="1"/>
  <c r="CR55" i="30"/>
  <c r="BR16" i="35" s="1"/>
  <c r="KU16" i="35" s="1"/>
  <c r="CQ55" i="30"/>
  <c r="BQ16" i="35" s="1"/>
  <c r="KS16" i="35" s="1"/>
  <c r="CM55" i="30"/>
  <c r="BM16" i="35" s="1"/>
  <c r="BL16" i="35"/>
  <c r="KI16" i="35" s="1"/>
  <c r="BK16" i="35"/>
  <c r="KG16" i="35" s="1"/>
  <c r="CF55" i="30"/>
  <c r="BF16" i="35" s="1"/>
  <c r="BE16" i="35"/>
  <c r="JU16" i="35" s="1"/>
  <c r="BD16" i="35"/>
  <c r="JS16" i="35" s="1"/>
  <c r="BC16" i="35"/>
  <c r="JQ16" i="35" s="1"/>
  <c r="BY55" i="30"/>
  <c r="AY16" i="35" s="1"/>
  <c r="AX16" i="35"/>
  <c r="JG16" i="35" s="1"/>
  <c r="AW16" i="35"/>
  <c r="JE16" i="35" s="1"/>
  <c r="CG15" i="35"/>
  <c r="LY15" i="35" s="1"/>
  <c r="CF15" i="35"/>
  <c r="LW15" i="35" s="1"/>
  <c r="CE15" i="35"/>
  <c r="LU15" i="35" s="1"/>
  <c r="DA51" i="30"/>
  <c r="CA15" i="35" s="1"/>
  <c r="LM15" i="35" s="1"/>
  <c r="BZ15" i="35"/>
  <c r="LK15" i="35" s="1"/>
  <c r="BY15" i="35"/>
  <c r="LI15" i="35" s="1"/>
  <c r="BX15" i="35"/>
  <c r="LG15" i="35" s="1"/>
  <c r="CT51" i="30"/>
  <c r="CS51" i="30"/>
  <c r="BS15" i="35" s="1"/>
  <c r="KW15" i="35" s="1"/>
  <c r="CR51" i="30"/>
  <c r="BR15" i="35" s="1"/>
  <c r="KU15" i="35" s="1"/>
  <c r="CQ51" i="30"/>
  <c r="BQ15" i="35" s="1"/>
  <c r="KS15" i="35" s="1"/>
  <c r="CM51" i="30"/>
  <c r="BM15" i="35" s="1"/>
  <c r="KK15" i="35" s="1"/>
  <c r="BL15" i="35"/>
  <c r="KI15" i="35" s="1"/>
  <c r="BK15" i="35"/>
  <c r="KG15" i="35" s="1"/>
  <c r="BJ15" i="35"/>
  <c r="KE15" i="35" s="1"/>
  <c r="CF51" i="30"/>
  <c r="BE15" i="35"/>
  <c r="JU15" i="35" s="1"/>
  <c r="BD15" i="35"/>
  <c r="JS15" i="35" s="1"/>
  <c r="BC15" i="35"/>
  <c r="JQ15" i="35" s="1"/>
  <c r="BY51" i="30"/>
  <c r="AY15" i="35" s="1"/>
  <c r="JI15" i="35" s="1"/>
  <c r="AX15" i="35"/>
  <c r="JG15" i="35" s="1"/>
  <c r="AW15" i="35"/>
  <c r="JE15" i="35" s="1"/>
  <c r="AV15" i="35"/>
  <c r="JC15" i="35" s="1"/>
  <c r="CG14" i="35"/>
  <c r="LY14" i="35" s="1"/>
  <c r="CF14" i="35"/>
  <c r="LW14" i="35" s="1"/>
  <c r="DA47" i="30"/>
  <c r="CA14" i="35" s="1"/>
  <c r="BZ14" i="35"/>
  <c r="LK14" i="35" s="1"/>
  <c r="BY14" i="35"/>
  <c r="LI14" i="35" s="1"/>
  <c r="BX14" i="35"/>
  <c r="LG14" i="35" s="1"/>
  <c r="CT47" i="30"/>
  <c r="BT14" i="35" s="1"/>
  <c r="CS47" i="30"/>
  <c r="BS14" i="35" s="1"/>
  <c r="KW14" i="35" s="1"/>
  <c r="CR47" i="30"/>
  <c r="BR14" i="35" s="1"/>
  <c r="KU14" i="35" s="1"/>
  <c r="CQ47" i="30"/>
  <c r="CM47" i="30"/>
  <c r="BM14" i="35" s="1"/>
  <c r="BL14" i="35"/>
  <c r="KI14" i="35" s="1"/>
  <c r="BK14" i="35"/>
  <c r="KG14" i="35" s="1"/>
  <c r="BJ14" i="35"/>
  <c r="KE14" i="35" s="1"/>
  <c r="CF47" i="30"/>
  <c r="BF14" i="35" s="1"/>
  <c r="BE14" i="35"/>
  <c r="JU14" i="35" s="1"/>
  <c r="BD14" i="35"/>
  <c r="JS14" i="35" s="1"/>
  <c r="BY47" i="30"/>
  <c r="AY14" i="35" s="1"/>
  <c r="AX14" i="35"/>
  <c r="JG14" i="35" s="1"/>
  <c r="AW14" i="35"/>
  <c r="JE14" i="35" s="1"/>
  <c r="AV14" i="35"/>
  <c r="JC14" i="35" s="1"/>
  <c r="CG13" i="35"/>
  <c r="LY13" i="35" s="1"/>
  <c r="CF13" i="35"/>
  <c r="LW13" i="35" s="1"/>
  <c r="CE13" i="35"/>
  <c r="LU13" i="35" s="1"/>
  <c r="DA43" i="30"/>
  <c r="BZ13" i="35"/>
  <c r="LK13" i="35" s="1"/>
  <c r="BY13" i="35"/>
  <c r="LI13" i="35" s="1"/>
  <c r="BX13" i="35"/>
  <c r="LG13" i="35" s="1"/>
  <c r="CT43" i="30"/>
  <c r="BT13" i="35" s="1"/>
  <c r="CS43" i="30"/>
  <c r="BS13" i="35" s="1"/>
  <c r="KW13" i="35" s="1"/>
  <c r="CR43" i="30"/>
  <c r="BR13" i="35" s="1"/>
  <c r="KU13" i="35" s="1"/>
  <c r="CQ43" i="30"/>
  <c r="BQ13" i="35" s="1"/>
  <c r="KS13" i="35" s="1"/>
  <c r="CM43" i="30"/>
  <c r="BL13" i="35"/>
  <c r="KI13" i="35" s="1"/>
  <c r="BK13" i="35"/>
  <c r="KG13" i="35" s="1"/>
  <c r="BJ13" i="35"/>
  <c r="KE13" i="35" s="1"/>
  <c r="CF43" i="30"/>
  <c r="BF13" i="35" s="1"/>
  <c r="BE13" i="35"/>
  <c r="JU13" i="35" s="1"/>
  <c r="BD13" i="35"/>
  <c r="JS13" i="35" s="1"/>
  <c r="BC13" i="35"/>
  <c r="JQ13" i="35" s="1"/>
  <c r="BY43" i="30"/>
  <c r="AX13" i="35"/>
  <c r="JG13" i="35" s="1"/>
  <c r="AW13" i="35"/>
  <c r="JE13" i="35" s="1"/>
  <c r="AV13" i="35"/>
  <c r="JC13" i="35" s="1"/>
  <c r="CG12" i="35"/>
  <c r="LY12" i="35" s="1"/>
  <c r="CF12" i="35"/>
  <c r="LW12" i="35" s="1"/>
  <c r="CE12" i="35"/>
  <c r="LU12" i="35" s="1"/>
  <c r="DA39" i="30"/>
  <c r="CA12" i="35" s="1"/>
  <c r="BZ12" i="35"/>
  <c r="LK12" i="35" s="1"/>
  <c r="BY12" i="35"/>
  <c r="LI12" i="35" s="1"/>
  <c r="CT39" i="30"/>
  <c r="BT12" i="35" s="1"/>
  <c r="CS39" i="30"/>
  <c r="BS12" i="35" s="1"/>
  <c r="KW12" i="35" s="1"/>
  <c r="CR39" i="30"/>
  <c r="BR12" i="35" s="1"/>
  <c r="KU12" i="35" s="1"/>
  <c r="CQ39" i="30"/>
  <c r="BQ12" i="35" s="1"/>
  <c r="KS12" i="35" s="1"/>
  <c r="CM39" i="30"/>
  <c r="BM12" i="35" s="1"/>
  <c r="BL12" i="35"/>
  <c r="KI12" i="35" s="1"/>
  <c r="BK12" i="35"/>
  <c r="KG12" i="35" s="1"/>
  <c r="CF39" i="30"/>
  <c r="BF12" i="35" s="1"/>
  <c r="BE12" i="35"/>
  <c r="JU12" i="35" s="1"/>
  <c r="BD12" i="35"/>
  <c r="JS12" i="35" s="1"/>
  <c r="BC12" i="35"/>
  <c r="JQ12" i="35" s="1"/>
  <c r="BY39" i="30"/>
  <c r="AY12" i="35" s="1"/>
  <c r="AX12" i="35"/>
  <c r="JG12" i="35" s="1"/>
  <c r="AW12" i="35"/>
  <c r="JE12" i="35" s="1"/>
  <c r="CG11" i="35"/>
  <c r="LY11" i="35" s="1"/>
  <c r="CF11" i="35"/>
  <c r="LW11" i="35" s="1"/>
  <c r="CE11" i="35"/>
  <c r="LU11" i="35" s="1"/>
  <c r="DA35" i="30"/>
  <c r="CA11" i="35" s="1"/>
  <c r="BZ11" i="35"/>
  <c r="LK11" i="35" s="1"/>
  <c r="BY11" i="35"/>
  <c r="LI11" i="35" s="1"/>
  <c r="BX11" i="35"/>
  <c r="LG11" i="35" s="1"/>
  <c r="CT35" i="30"/>
  <c r="CS35" i="30"/>
  <c r="BS11" i="35" s="1"/>
  <c r="KW11" i="35" s="1"/>
  <c r="CR35" i="30"/>
  <c r="BR11" i="35" s="1"/>
  <c r="KU11" i="35" s="1"/>
  <c r="CQ35" i="30"/>
  <c r="BQ11" i="35" s="1"/>
  <c r="KS11" i="35" s="1"/>
  <c r="CM35" i="30"/>
  <c r="BM11" i="35" s="1"/>
  <c r="BL11" i="35"/>
  <c r="KI11" i="35" s="1"/>
  <c r="BK11" i="35"/>
  <c r="KG11" i="35" s="1"/>
  <c r="BJ11" i="35"/>
  <c r="KE11" i="35" s="1"/>
  <c r="CF35" i="30"/>
  <c r="BE11" i="35"/>
  <c r="JU11" i="35" s="1"/>
  <c r="BD11" i="35"/>
  <c r="JS11" i="35" s="1"/>
  <c r="BC11" i="35"/>
  <c r="JQ11" i="35" s="1"/>
  <c r="BY35" i="30"/>
  <c r="AY11" i="35" s="1"/>
  <c r="AX11" i="35"/>
  <c r="JG11" i="35" s="1"/>
  <c r="AW11" i="35"/>
  <c r="JE11" i="35" s="1"/>
  <c r="AV11" i="35"/>
  <c r="JC11" i="35" s="1"/>
  <c r="CG10" i="35"/>
  <c r="LY10" i="35" s="1"/>
  <c r="CF10" i="35"/>
  <c r="LW10" i="35" s="1"/>
  <c r="DA31" i="30"/>
  <c r="CA10" i="35" s="1"/>
  <c r="BZ10" i="35"/>
  <c r="LK10" i="35" s="1"/>
  <c r="BY10" i="35"/>
  <c r="LI10" i="35" s="1"/>
  <c r="BX10" i="35"/>
  <c r="LG10" i="35" s="1"/>
  <c r="CT31" i="30"/>
  <c r="BT10" i="35" s="1"/>
  <c r="CS31" i="30"/>
  <c r="BS10" i="35" s="1"/>
  <c r="KW10" i="35" s="1"/>
  <c r="CR31" i="30"/>
  <c r="BR10" i="35" s="1"/>
  <c r="KU10" i="35" s="1"/>
  <c r="CQ31" i="30"/>
  <c r="CM31" i="30"/>
  <c r="BM10" i="35" s="1"/>
  <c r="BL10" i="35"/>
  <c r="KI10" i="35" s="1"/>
  <c r="BK10" i="35"/>
  <c r="KG10" i="35" s="1"/>
  <c r="BJ10" i="35"/>
  <c r="KE10" i="35" s="1"/>
  <c r="CF31" i="30"/>
  <c r="BF10" i="35" s="1"/>
  <c r="BE10" i="35"/>
  <c r="JU10" i="35" s="1"/>
  <c r="BD10" i="35"/>
  <c r="JS10" i="35" s="1"/>
  <c r="BY31" i="30"/>
  <c r="AY10" i="35" s="1"/>
  <c r="AX10" i="35"/>
  <c r="JG10" i="35" s="1"/>
  <c r="AW10" i="35"/>
  <c r="JE10" i="35" s="1"/>
  <c r="AV10" i="35"/>
  <c r="JC10" i="35" s="1"/>
  <c r="CG9" i="35"/>
  <c r="LY9" i="35" s="1"/>
  <c r="CF9" i="35"/>
  <c r="LW9" i="35" s="1"/>
  <c r="CE9" i="35"/>
  <c r="LU9" i="35" s="1"/>
  <c r="DA27" i="30"/>
  <c r="BZ9" i="35"/>
  <c r="LK9" i="35" s="1"/>
  <c r="BY9" i="35"/>
  <c r="LI9" i="35" s="1"/>
  <c r="BX9" i="35"/>
  <c r="LG9" i="35" s="1"/>
  <c r="CT27" i="30"/>
  <c r="BT9" i="35" s="1"/>
  <c r="CS27" i="30"/>
  <c r="BS9" i="35" s="1"/>
  <c r="KW9" i="35" s="1"/>
  <c r="CR27" i="30"/>
  <c r="BR9" i="35" s="1"/>
  <c r="KU9" i="35" s="1"/>
  <c r="CQ27" i="30"/>
  <c r="BQ9" i="35" s="1"/>
  <c r="KS9" i="35" s="1"/>
  <c r="CM27" i="30"/>
  <c r="BL9" i="35"/>
  <c r="KI9" i="35" s="1"/>
  <c r="BK9" i="35"/>
  <c r="KG9" i="35" s="1"/>
  <c r="BJ9" i="35"/>
  <c r="KE9" i="35" s="1"/>
  <c r="CF27" i="30"/>
  <c r="BF9" i="35" s="1"/>
  <c r="BE9" i="35"/>
  <c r="JU9" i="35" s="1"/>
  <c r="BD9" i="35"/>
  <c r="JS9" i="35" s="1"/>
  <c r="BC9" i="35"/>
  <c r="JQ9" i="35" s="1"/>
  <c r="BY27" i="30"/>
  <c r="AX9" i="35"/>
  <c r="JG9" i="35" s="1"/>
  <c r="AW9" i="35"/>
  <c r="JE9" i="35" s="1"/>
  <c r="AV9" i="35"/>
  <c r="JC9" i="35" s="1"/>
  <c r="CG8" i="35"/>
  <c r="LY8" i="35" s="1"/>
  <c r="CF8" i="35"/>
  <c r="LW8" i="35" s="1"/>
  <c r="CE8" i="35"/>
  <c r="LU8" i="35" s="1"/>
  <c r="DA23" i="30"/>
  <c r="BZ8" i="35"/>
  <c r="LK8" i="35" s="1"/>
  <c r="BY8" i="35"/>
  <c r="LI8" i="35" s="1"/>
  <c r="CT23" i="30"/>
  <c r="BT8" i="35" s="1"/>
  <c r="KY8" i="35" s="1"/>
  <c r="CS23" i="30"/>
  <c r="BS8" i="35" s="1"/>
  <c r="KW8" i="35" s="1"/>
  <c r="CR23" i="30"/>
  <c r="BR8" i="35" s="1"/>
  <c r="KU8" i="35" s="1"/>
  <c r="CQ23" i="30"/>
  <c r="BQ8" i="35" s="1"/>
  <c r="KS8" i="35" s="1"/>
  <c r="CM23" i="30"/>
  <c r="BL8" i="35"/>
  <c r="KI8" i="35" s="1"/>
  <c r="BK8" i="35"/>
  <c r="KG8" i="35" s="1"/>
  <c r="CF23" i="30"/>
  <c r="BF8" i="35" s="1"/>
  <c r="JW8" i="35" s="1"/>
  <c r="BE8" i="35"/>
  <c r="JU8" i="35" s="1"/>
  <c r="BD8" i="35"/>
  <c r="JS8" i="35" s="1"/>
  <c r="BC8" i="35"/>
  <c r="JQ8" i="35" s="1"/>
  <c r="BY23" i="30"/>
  <c r="AX8" i="35"/>
  <c r="JG8" i="35" s="1"/>
  <c r="AW8" i="35"/>
  <c r="JE8" i="35" s="1"/>
  <c r="CG7" i="35"/>
  <c r="LY7" i="35" s="1"/>
  <c r="CF7" i="35"/>
  <c r="LW7" i="35" s="1"/>
  <c r="CE7" i="35"/>
  <c r="LU7" i="35" s="1"/>
  <c r="DA19" i="30"/>
  <c r="CA7" i="35" s="1"/>
  <c r="LM7" i="35" s="1"/>
  <c r="BZ7" i="35"/>
  <c r="LK7" i="35" s="1"/>
  <c r="BY7" i="35"/>
  <c r="LI7" i="35" s="1"/>
  <c r="BX7" i="35"/>
  <c r="LG7" i="35" s="1"/>
  <c r="CT19" i="30"/>
  <c r="CS19" i="30"/>
  <c r="BS7" i="35" s="1"/>
  <c r="KW7" i="35" s="1"/>
  <c r="CR19" i="30"/>
  <c r="BR7" i="35" s="1"/>
  <c r="KU7" i="35" s="1"/>
  <c r="CQ19" i="30"/>
  <c r="BQ7" i="35" s="1"/>
  <c r="KS7" i="35" s="1"/>
  <c r="CM19" i="30"/>
  <c r="BM7" i="35" s="1"/>
  <c r="KK7" i="35" s="1"/>
  <c r="BL7" i="35"/>
  <c r="KI7" i="35" s="1"/>
  <c r="BK7" i="35"/>
  <c r="KG7" i="35" s="1"/>
  <c r="BJ7" i="35"/>
  <c r="KE7" i="35" s="1"/>
  <c r="BE7" i="35"/>
  <c r="JU7" i="35" s="1"/>
  <c r="BD7" i="35"/>
  <c r="JS7" i="35" s="1"/>
  <c r="BC7" i="35"/>
  <c r="JQ7" i="35" s="1"/>
  <c r="BY19" i="30"/>
  <c r="AY7" i="35" s="1"/>
  <c r="JI7" i="35" s="1"/>
  <c r="AX7" i="35"/>
  <c r="JG7" i="35" s="1"/>
  <c r="AW7" i="35"/>
  <c r="JE7" i="35" s="1"/>
  <c r="AV7" i="35"/>
  <c r="JC7" i="35" s="1"/>
  <c r="CG6" i="35"/>
  <c r="LY6" i="35" s="1"/>
  <c r="CF6" i="35"/>
  <c r="LW6" i="35" s="1"/>
  <c r="DA15" i="30"/>
  <c r="BZ6" i="35"/>
  <c r="LK6" i="35" s="1"/>
  <c r="BY6" i="35"/>
  <c r="LI6" i="35" s="1"/>
  <c r="BX6" i="35"/>
  <c r="LG6" i="35" s="1"/>
  <c r="CS15" i="30"/>
  <c r="BS6" i="35" s="1"/>
  <c r="KW6" i="35" s="1"/>
  <c r="CR15" i="30"/>
  <c r="BR6" i="35" s="1"/>
  <c r="KU6" i="35" s="1"/>
  <c r="CQ15" i="30"/>
  <c r="BL6" i="35"/>
  <c r="KI6" i="35" s="1"/>
  <c r="BK6" i="35"/>
  <c r="KG6" i="35" s="1"/>
  <c r="BJ6" i="35"/>
  <c r="KE6" i="35" s="1"/>
  <c r="CF15" i="30"/>
  <c r="BF6" i="35" s="1"/>
  <c r="BE6" i="35"/>
  <c r="JU6" i="35" s="1"/>
  <c r="BD6" i="35"/>
  <c r="JS6" i="35" s="1"/>
  <c r="AX6" i="35"/>
  <c r="JG6" i="35" s="1"/>
  <c r="AW6" i="35"/>
  <c r="JE6" i="35" s="1"/>
  <c r="AV6" i="35"/>
  <c r="JC6" i="35" s="1"/>
  <c r="CG5" i="35"/>
  <c r="LY5" i="35" s="1"/>
  <c r="CF5" i="35"/>
  <c r="LW5" i="35" s="1"/>
  <c r="CE5" i="35"/>
  <c r="LU5" i="35" s="1"/>
  <c r="BZ5" i="35"/>
  <c r="LK5" i="35" s="1"/>
  <c r="BY5" i="35"/>
  <c r="LI5" i="35" s="1"/>
  <c r="BX5" i="35"/>
  <c r="LG5" i="35" s="1"/>
  <c r="CS11" i="30"/>
  <c r="BS5" i="35" s="1"/>
  <c r="KW5" i="35" s="1"/>
  <c r="CR11" i="30"/>
  <c r="BR5" i="35" s="1"/>
  <c r="KU5" i="35" s="1"/>
  <c r="CQ11" i="30"/>
  <c r="BQ5" i="35" s="1"/>
  <c r="KS5" i="35" s="1"/>
  <c r="CM11" i="30"/>
  <c r="BL5" i="35"/>
  <c r="KI5" i="35" s="1"/>
  <c r="BK5" i="35"/>
  <c r="KG5" i="35" s="1"/>
  <c r="BE5" i="35"/>
  <c r="JU5" i="35" s="1"/>
  <c r="BD5" i="35"/>
  <c r="JS5" i="35" s="1"/>
  <c r="BC5" i="35"/>
  <c r="JQ5" i="35" s="1"/>
  <c r="AX5" i="35"/>
  <c r="JG5" i="35" s="1"/>
  <c r="AW5" i="35"/>
  <c r="JE5" i="35" s="1"/>
  <c r="AV5" i="35"/>
  <c r="JC5" i="35" s="1"/>
  <c r="AQ43" i="35"/>
  <c r="IS43" i="35" s="1"/>
  <c r="AP43" i="35"/>
  <c r="IQ43" i="35" s="1"/>
  <c r="AQ42" i="35"/>
  <c r="IS42" i="35" s="1"/>
  <c r="AP42" i="35"/>
  <c r="IQ42" i="35" s="1"/>
  <c r="AQ41" i="35"/>
  <c r="IS41" i="35" s="1"/>
  <c r="AP41" i="35"/>
  <c r="IQ41" i="35" s="1"/>
  <c r="AQ40" i="35"/>
  <c r="IS40" i="35" s="1"/>
  <c r="AP40" i="35"/>
  <c r="IQ40" i="35" s="1"/>
  <c r="AQ39" i="35"/>
  <c r="IS39" i="35" s="1"/>
  <c r="AP39" i="35"/>
  <c r="IQ39" i="35" s="1"/>
  <c r="AQ38" i="35"/>
  <c r="IS38" i="35" s="1"/>
  <c r="AP38" i="35"/>
  <c r="IQ38" i="35" s="1"/>
  <c r="AQ37" i="35"/>
  <c r="IS37" i="35" s="1"/>
  <c r="AP37" i="35"/>
  <c r="IQ37" i="35" s="1"/>
  <c r="AQ36" i="35"/>
  <c r="IS36" i="35" s="1"/>
  <c r="AP36" i="35"/>
  <c r="IQ36" i="35" s="1"/>
  <c r="AQ35" i="35"/>
  <c r="IS35" i="35" s="1"/>
  <c r="AP35" i="35"/>
  <c r="IQ35" i="35" s="1"/>
  <c r="AQ34" i="35"/>
  <c r="IS34" i="35" s="1"/>
  <c r="AP34" i="35"/>
  <c r="IQ34" i="35" s="1"/>
  <c r="AQ33" i="35"/>
  <c r="IS33" i="35" s="1"/>
  <c r="AP33" i="35"/>
  <c r="IQ33" i="35" s="1"/>
  <c r="AQ32" i="35"/>
  <c r="IS32" i="35" s="1"/>
  <c r="AP32" i="35"/>
  <c r="IQ32" i="35" s="1"/>
  <c r="AQ31" i="35"/>
  <c r="IS31" i="35" s="1"/>
  <c r="AP31" i="35"/>
  <c r="IQ31" i="35" s="1"/>
  <c r="AQ30" i="35"/>
  <c r="IS30" i="35" s="1"/>
  <c r="AP30" i="35"/>
  <c r="IQ30" i="35" s="1"/>
  <c r="AQ29" i="35"/>
  <c r="IS29" i="35" s="1"/>
  <c r="AP29" i="35"/>
  <c r="IQ29" i="35" s="1"/>
  <c r="AQ28" i="35"/>
  <c r="IS28" i="35" s="1"/>
  <c r="AP28" i="35"/>
  <c r="IQ28" i="35" s="1"/>
  <c r="AQ27" i="35"/>
  <c r="IS27" i="35" s="1"/>
  <c r="AP27" i="35"/>
  <c r="IQ27" i="35" s="1"/>
  <c r="AQ26" i="35"/>
  <c r="IS26" i="35" s="1"/>
  <c r="AP26" i="35"/>
  <c r="IQ26" i="35" s="1"/>
  <c r="AQ25" i="35"/>
  <c r="IS25" i="35" s="1"/>
  <c r="AP25" i="35"/>
  <c r="IQ25" i="35" s="1"/>
  <c r="AQ24" i="35"/>
  <c r="IS24" i="35" s="1"/>
  <c r="AP24" i="35"/>
  <c r="IQ24" i="35" s="1"/>
  <c r="AQ23" i="35"/>
  <c r="IS23" i="35" s="1"/>
  <c r="AP23" i="35"/>
  <c r="IQ23" i="35" s="1"/>
  <c r="AQ22" i="35"/>
  <c r="IS22" i="35" s="1"/>
  <c r="AP22" i="35"/>
  <c r="IQ22" i="35" s="1"/>
  <c r="AQ21" i="35"/>
  <c r="IS21" i="35" s="1"/>
  <c r="AP21" i="35"/>
  <c r="IQ21" i="35" s="1"/>
  <c r="AQ20" i="35"/>
  <c r="IS20" i="35" s="1"/>
  <c r="AP20" i="35"/>
  <c r="IQ20" i="35" s="1"/>
  <c r="AQ19" i="35"/>
  <c r="IS19" i="35" s="1"/>
  <c r="AP19" i="35"/>
  <c r="IQ19" i="35" s="1"/>
  <c r="AQ18" i="35"/>
  <c r="IS18" i="35" s="1"/>
  <c r="AP18" i="35"/>
  <c r="IQ18" i="35" s="1"/>
  <c r="AQ17" i="35"/>
  <c r="IS17" i="35" s="1"/>
  <c r="AP17" i="35"/>
  <c r="IQ17" i="35" s="1"/>
  <c r="AQ16" i="35"/>
  <c r="IS16" i="35" s="1"/>
  <c r="AP16" i="35"/>
  <c r="IQ16" i="35" s="1"/>
  <c r="AQ15" i="35"/>
  <c r="IS15" i="35" s="1"/>
  <c r="AP15" i="35"/>
  <c r="IQ15" i="35" s="1"/>
  <c r="AQ14" i="35"/>
  <c r="IS14" i="35" s="1"/>
  <c r="AP14" i="35"/>
  <c r="IQ14" i="35" s="1"/>
  <c r="AQ13" i="35"/>
  <c r="IS13" i="35" s="1"/>
  <c r="AP13" i="35"/>
  <c r="IQ13" i="35" s="1"/>
  <c r="AQ12" i="35"/>
  <c r="IS12" i="35" s="1"/>
  <c r="AP12" i="35"/>
  <c r="IQ12" i="35" s="1"/>
  <c r="AQ11" i="35"/>
  <c r="IS11" i="35" s="1"/>
  <c r="AP11" i="35"/>
  <c r="IQ11" i="35" s="1"/>
  <c r="AQ10" i="35"/>
  <c r="IS10" i="35" s="1"/>
  <c r="AP10" i="35"/>
  <c r="IQ10" i="35" s="1"/>
  <c r="AQ9" i="35"/>
  <c r="IS9" i="35" s="1"/>
  <c r="AP9" i="35"/>
  <c r="IQ9" i="35" s="1"/>
  <c r="AQ8" i="35"/>
  <c r="IS8" i="35" s="1"/>
  <c r="AP8" i="35"/>
  <c r="IQ8" i="35" s="1"/>
  <c r="AQ7" i="35"/>
  <c r="IS7" i="35" s="1"/>
  <c r="AP7" i="35"/>
  <c r="IQ7" i="35" s="1"/>
  <c r="AQ6" i="35"/>
  <c r="IS6" i="35" s="1"/>
  <c r="AP6" i="35"/>
  <c r="IQ6" i="35" s="1"/>
  <c r="AQ5" i="35"/>
  <c r="IS5" i="35" s="1"/>
  <c r="AP5" i="35"/>
  <c r="IQ5" i="35" s="1"/>
  <c r="AJ43" i="35"/>
  <c r="IE43" i="35" s="1"/>
  <c r="AI43" i="35"/>
  <c r="IC43" i="35" s="1"/>
  <c r="AJ42" i="35"/>
  <c r="IE42" i="35" s="1"/>
  <c r="AI42" i="35"/>
  <c r="IC42" i="35" s="1"/>
  <c r="AJ41" i="35"/>
  <c r="IE41" i="35" s="1"/>
  <c r="AI41" i="35"/>
  <c r="IC41" i="35" s="1"/>
  <c r="AJ40" i="35"/>
  <c r="IE40" i="35" s="1"/>
  <c r="AI40" i="35"/>
  <c r="IC40" i="35" s="1"/>
  <c r="AJ39" i="35"/>
  <c r="IE39" i="35" s="1"/>
  <c r="AI39" i="35"/>
  <c r="IC39" i="35" s="1"/>
  <c r="AJ38" i="35"/>
  <c r="IE38" i="35" s="1"/>
  <c r="AI38" i="35"/>
  <c r="IC38" i="35" s="1"/>
  <c r="AJ37" i="35"/>
  <c r="IE37" i="35" s="1"/>
  <c r="AI37" i="35"/>
  <c r="IC37" i="35" s="1"/>
  <c r="AJ36" i="35"/>
  <c r="IE36" i="35" s="1"/>
  <c r="AI36" i="35"/>
  <c r="IC36" i="35" s="1"/>
  <c r="AJ35" i="35"/>
  <c r="IE35" i="35" s="1"/>
  <c r="AI35" i="35"/>
  <c r="IC35" i="35" s="1"/>
  <c r="AJ34" i="35"/>
  <c r="IE34" i="35" s="1"/>
  <c r="AI34" i="35"/>
  <c r="IC34" i="35" s="1"/>
  <c r="AJ33" i="35"/>
  <c r="IE33" i="35" s="1"/>
  <c r="AI33" i="35"/>
  <c r="IC33" i="35" s="1"/>
  <c r="AJ32" i="35"/>
  <c r="IE32" i="35" s="1"/>
  <c r="AI32" i="35"/>
  <c r="IC32" i="35" s="1"/>
  <c r="AJ31" i="35"/>
  <c r="IE31" i="35" s="1"/>
  <c r="AI31" i="35"/>
  <c r="IC31" i="35" s="1"/>
  <c r="AJ30" i="35"/>
  <c r="IE30" i="35" s="1"/>
  <c r="AI30" i="35"/>
  <c r="IC30" i="35" s="1"/>
  <c r="AJ29" i="35"/>
  <c r="IE29" i="35" s="1"/>
  <c r="AI29" i="35"/>
  <c r="IC29" i="35" s="1"/>
  <c r="AJ28" i="35"/>
  <c r="IE28" i="35" s="1"/>
  <c r="AI28" i="35"/>
  <c r="IC28" i="35" s="1"/>
  <c r="AJ27" i="35"/>
  <c r="IE27" i="35" s="1"/>
  <c r="AI27" i="35"/>
  <c r="IC27" i="35" s="1"/>
  <c r="AJ26" i="35"/>
  <c r="IE26" i="35" s="1"/>
  <c r="AI26" i="35"/>
  <c r="IC26" i="35" s="1"/>
  <c r="AJ25" i="35"/>
  <c r="IE25" i="35" s="1"/>
  <c r="AI25" i="35"/>
  <c r="IC25" i="35" s="1"/>
  <c r="AJ24" i="35"/>
  <c r="IE24" i="35" s="1"/>
  <c r="AI24" i="35"/>
  <c r="IC24" i="35" s="1"/>
  <c r="AJ23" i="35"/>
  <c r="IE23" i="35" s="1"/>
  <c r="AI23" i="35"/>
  <c r="IC23" i="35" s="1"/>
  <c r="AJ22" i="35"/>
  <c r="IE22" i="35" s="1"/>
  <c r="AI22" i="35"/>
  <c r="IC22" i="35" s="1"/>
  <c r="AJ21" i="35"/>
  <c r="IE21" i="35" s="1"/>
  <c r="AI21" i="35"/>
  <c r="IC21" i="35" s="1"/>
  <c r="AJ20" i="35"/>
  <c r="IE20" i="35" s="1"/>
  <c r="AI20" i="35"/>
  <c r="IC20" i="35" s="1"/>
  <c r="AJ19" i="35"/>
  <c r="IE19" i="35" s="1"/>
  <c r="AI19" i="35"/>
  <c r="IC19" i="35" s="1"/>
  <c r="AJ18" i="35"/>
  <c r="IE18" i="35" s="1"/>
  <c r="AI18" i="35"/>
  <c r="IC18" i="35" s="1"/>
  <c r="AJ17" i="35"/>
  <c r="IE17" i="35" s="1"/>
  <c r="AI17" i="35"/>
  <c r="IC17" i="35" s="1"/>
  <c r="AJ16" i="35"/>
  <c r="IE16" i="35" s="1"/>
  <c r="AI16" i="35"/>
  <c r="IC16" i="35" s="1"/>
  <c r="AJ15" i="35"/>
  <c r="IE15" i="35" s="1"/>
  <c r="AI15" i="35"/>
  <c r="IC15" i="35" s="1"/>
  <c r="AJ14" i="35"/>
  <c r="IE14" i="35" s="1"/>
  <c r="AI14" i="35"/>
  <c r="IC14" i="35" s="1"/>
  <c r="AJ13" i="35"/>
  <c r="IE13" i="35" s="1"/>
  <c r="AI13" i="35"/>
  <c r="IC13" i="35" s="1"/>
  <c r="AJ12" i="35"/>
  <c r="IE12" i="35" s="1"/>
  <c r="AI12" i="35"/>
  <c r="IC12" i="35" s="1"/>
  <c r="AJ11" i="35"/>
  <c r="IE11" i="35" s="1"/>
  <c r="AI11" i="35"/>
  <c r="IC11" i="35" s="1"/>
  <c r="AJ10" i="35"/>
  <c r="IE10" i="35" s="1"/>
  <c r="AI10" i="35"/>
  <c r="IC10" i="35" s="1"/>
  <c r="AJ9" i="35"/>
  <c r="IE9" i="35" s="1"/>
  <c r="AI9" i="35"/>
  <c r="IC9" i="35" s="1"/>
  <c r="AJ8" i="35"/>
  <c r="IE8" i="35" s="1"/>
  <c r="AI8" i="35"/>
  <c r="IC8" i="35" s="1"/>
  <c r="AJ7" i="35"/>
  <c r="IE7" i="35" s="1"/>
  <c r="AI7" i="35"/>
  <c r="IC7" i="35" s="1"/>
  <c r="AJ6" i="35"/>
  <c r="IE6" i="35" s="1"/>
  <c r="AI6" i="35"/>
  <c r="IC6" i="35" s="1"/>
  <c r="AJ5" i="35"/>
  <c r="IE5" i="35" s="1"/>
  <c r="AI5" i="35"/>
  <c r="IC5" i="35" s="1"/>
  <c r="AC43" i="35"/>
  <c r="HQ43" i="35" s="1"/>
  <c r="AB43" i="35"/>
  <c r="HO43" i="35" s="1"/>
  <c r="AC42" i="35"/>
  <c r="HQ42" i="35" s="1"/>
  <c r="AB42" i="35"/>
  <c r="HO42" i="35" s="1"/>
  <c r="AC41" i="35"/>
  <c r="HQ41" i="35" s="1"/>
  <c r="AB41" i="35"/>
  <c r="HO41" i="35" s="1"/>
  <c r="AC40" i="35"/>
  <c r="HQ40" i="35" s="1"/>
  <c r="AB40" i="35"/>
  <c r="HO40" i="35" s="1"/>
  <c r="AC39" i="35"/>
  <c r="HQ39" i="35" s="1"/>
  <c r="AB39" i="35"/>
  <c r="HO39" i="35" s="1"/>
  <c r="AC38" i="35"/>
  <c r="HQ38" i="35" s="1"/>
  <c r="AB38" i="35"/>
  <c r="HO38" i="35" s="1"/>
  <c r="AC37" i="35"/>
  <c r="HQ37" i="35" s="1"/>
  <c r="AB37" i="35"/>
  <c r="HO37" i="35" s="1"/>
  <c r="AC36" i="35"/>
  <c r="HQ36" i="35" s="1"/>
  <c r="AB36" i="35"/>
  <c r="HO36" i="35" s="1"/>
  <c r="AC35" i="35"/>
  <c r="HQ35" i="35" s="1"/>
  <c r="AB35" i="35"/>
  <c r="HO35" i="35" s="1"/>
  <c r="AC34" i="35"/>
  <c r="HQ34" i="35" s="1"/>
  <c r="AB34" i="35"/>
  <c r="HO34" i="35" s="1"/>
  <c r="AC33" i="35"/>
  <c r="HQ33" i="35" s="1"/>
  <c r="AB33" i="35"/>
  <c r="HO33" i="35" s="1"/>
  <c r="AC32" i="35"/>
  <c r="HQ32" i="35" s="1"/>
  <c r="AB32" i="35"/>
  <c r="HO32" i="35" s="1"/>
  <c r="AC31" i="35"/>
  <c r="HQ31" i="35" s="1"/>
  <c r="AB31" i="35"/>
  <c r="HO31" i="35" s="1"/>
  <c r="AC30" i="35"/>
  <c r="HQ30" i="35" s="1"/>
  <c r="AB30" i="35"/>
  <c r="HO30" i="35" s="1"/>
  <c r="AC29" i="35"/>
  <c r="HQ29" i="35" s="1"/>
  <c r="AB29" i="35"/>
  <c r="HO29" i="35" s="1"/>
  <c r="AC28" i="35"/>
  <c r="HQ28" i="35" s="1"/>
  <c r="AB28" i="35"/>
  <c r="HO28" i="35" s="1"/>
  <c r="AC27" i="35"/>
  <c r="HQ27" i="35" s="1"/>
  <c r="AB27" i="35"/>
  <c r="HO27" i="35" s="1"/>
  <c r="AC26" i="35"/>
  <c r="HQ26" i="35" s="1"/>
  <c r="AB26" i="35"/>
  <c r="HO26" i="35" s="1"/>
  <c r="AC25" i="35"/>
  <c r="HQ25" i="35" s="1"/>
  <c r="AB25" i="35"/>
  <c r="HO25" i="35" s="1"/>
  <c r="AC24" i="35"/>
  <c r="HQ24" i="35" s="1"/>
  <c r="AB24" i="35"/>
  <c r="HO24" i="35" s="1"/>
  <c r="AC23" i="35"/>
  <c r="HQ23" i="35" s="1"/>
  <c r="AB23" i="35"/>
  <c r="HO23" i="35" s="1"/>
  <c r="AC22" i="35"/>
  <c r="HQ22" i="35" s="1"/>
  <c r="AB22" i="35"/>
  <c r="HO22" i="35" s="1"/>
  <c r="AC21" i="35"/>
  <c r="HQ21" i="35" s="1"/>
  <c r="AB21" i="35"/>
  <c r="HO21" i="35" s="1"/>
  <c r="AC20" i="35"/>
  <c r="HQ20" i="35" s="1"/>
  <c r="AB20" i="35"/>
  <c r="HO20" i="35" s="1"/>
  <c r="AC19" i="35"/>
  <c r="HQ19" i="35" s="1"/>
  <c r="AB19" i="35"/>
  <c r="HO19" i="35" s="1"/>
  <c r="AC18" i="35"/>
  <c r="HQ18" i="35" s="1"/>
  <c r="AB18" i="35"/>
  <c r="HO18" i="35" s="1"/>
  <c r="AC17" i="35"/>
  <c r="HQ17" i="35" s="1"/>
  <c r="AB17" i="35"/>
  <c r="HO17" i="35" s="1"/>
  <c r="AC16" i="35"/>
  <c r="HQ16" i="35" s="1"/>
  <c r="AB16" i="35"/>
  <c r="HO16" i="35" s="1"/>
  <c r="AC15" i="35"/>
  <c r="HQ15" i="35" s="1"/>
  <c r="AB15" i="35"/>
  <c r="HO15" i="35" s="1"/>
  <c r="AC14" i="35"/>
  <c r="HQ14" i="35" s="1"/>
  <c r="AB14" i="35"/>
  <c r="HO14" i="35" s="1"/>
  <c r="AC13" i="35"/>
  <c r="HQ13" i="35" s="1"/>
  <c r="AB13" i="35"/>
  <c r="HO13" i="35" s="1"/>
  <c r="AC12" i="35"/>
  <c r="HQ12" i="35" s="1"/>
  <c r="AB12" i="35"/>
  <c r="HO12" i="35" s="1"/>
  <c r="AC11" i="35"/>
  <c r="HQ11" i="35" s="1"/>
  <c r="AB11" i="35"/>
  <c r="HO11" i="35" s="1"/>
  <c r="AC10" i="35"/>
  <c r="HQ10" i="35" s="1"/>
  <c r="AB10" i="35"/>
  <c r="HO10" i="35" s="1"/>
  <c r="AC9" i="35"/>
  <c r="HQ9" i="35" s="1"/>
  <c r="AB9" i="35"/>
  <c r="HO9" i="35" s="1"/>
  <c r="AC8" i="35"/>
  <c r="HQ8" i="35" s="1"/>
  <c r="AB8" i="35"/>
  <c r="HO8" i="35" s="1"/>
  <c r="AC7" i="35"/>
  <c r="HQ7" i="35" s="1"/>
  <c r="AB7" i="35"/>
  <c r="HO7" i="35" s="1"/>
  <c r="AC6" i="35"/>
  <c r="HQ6" i="35" s="1"/>
  <c r="AB6" i="35"/>
  <c r="HO6" i="35" s="1"/>
  <c r="AC5" i="35"/>
  <c r="HQ5" i="35" s="1"/>
  <c r="AB5" i="35"/>
  <c r="HO5" i="35" s="1"/>
  <c r="V43" i="35"/>
  <c r="HC43" i="35" s="1"/>
  <c r="U43" i="35"/>
  <c r="HA43" i="35" s="1"/>
  <c r="V42" i="35"/>
  <c r="HC42" i="35" s="1"/>
  <c r="U42" i="35"/>
  <c r="HA42" i="35" s="1"/>
  <c r="V41" i="35"/>
  <c r="HC41" i="35" s="1"/>
  <c r="U41" i="35"/>
  <c r="HA41" i="35" s="1"/>
  <c r="V40" i="35"/>
  <c r="HC40" i="35" s="1"/>
  <c r="U40" i="35"/>
  <c r="HA40" i="35" s="1"/>
  <c r="V39" i="35"/>
  <c r="HC39" i="35" s="1"/>
  <c r="U39" i="35"/>
  <c r="HA39" i="35" s="1"/>
  <c r="V38" i="35"/>
  <c r="HC38" i="35" s="1"/>
  <c r="U38" i="35"/>
  <c r="HA38" i="35" s="1"/>
  <c r="V37" i="35"/>
  <c r="HC37" i="35" s="1"/>
  <c r="U37" i="35"/>
  <c r="HA37" i="35" s="1"/>
  <c r="V36" i="35"/>
  <c r="HC36" i="35" s="1"/>
  <c r="U36" i="35"/>
  <c r="HA36" i="35" s="1"/>
  <c r="V35" i="35"/>
  <c r="HC35" i="35" s="1"/>
  <c r="U35" i="35"/>
  <c r="HA35" i="35" s="1"/>
  <c r="V34" i="35"/>
  <c r="HC34" i="35" s="1"/>
  <c r="U34" i="35"/>
  <c r="HA34" i="35" s="1"/>
  <c r="V33" i="35"/>
  <c r="HC33" i="35" s="1"/>
  <c r="U33" i="35"/>
  <c r="HA33" i="35" s="1"/>
  <c r="V32" i="35"/>
  <c r="HC32" i="35" s="1"/>
  <c r="U32" i="35"/>
  <c r="HA32" i="35" s="1"/>
  <c r="V31" i="35"/>
  <c r="HC31" i="35" s="1"/>
  <c r="U31" i="35"/>
  <c r="HA31" i="35" s="1"/>
  <c r="V30" i="35"/>
  <c r="HC30" i="35" s="1"/>
  <c r="U30" i="35"/>
  <c r="HA30" i="35" s="1"/>
  <c r="V29" i="35"/>
  <c r="HC29" i="35" s="1"/>
  <c r="U29" i="35"/>
  <c r="HA29" i="35" s="1"/>
  <c r="V28" i="35"/>
  <c r="HC28" i="35" s="1"/>
  <c r="U28" i="35"/>
  <c r="HA28" i="35" s="1"/>
  <c r="V27" i="35"/>
  <c r="HC27" i="35" s="1"/>
  <c r="U27" i="35"/>
  <c r="HA27" i="35" s="1"/>
  <c r="V26" i="35"/>
  <c r="HC26" i="35" s="1"/>
  <c r="U26" i="35"/>
  <c r="HA26" i="35" s="1"/>
  <c r="V25" i="35"/>
  <c r="HC25" i="35" s="1"/>
  <c r="U25" i="35"/>
  <c r="HA25" i="35" s="1"/>
  <c r="V24" i="35"/>
  <c r="HC24" i="35" s="1"/>
  <c r="U24" i="35"/>
  <c r="HA24" i="35" s="1"/>
  <c r="V23" i="35"/>
  <c r="HC23" i="35" s="1"/>
  <c r="U23" i="35"/>
  <c r="HA23" i="35" s="1"/>
  <c r="V22" i="35"/>
  <c r="HC22" i="35" s="1"/>
  <c r="U22" i="35"/>
  <c r="HA22" i="35" s="1"/>
  <c r="V21" i="35"/>
  <c r="HC21" i="35" s="1"/>
  <c r="U21" i="35"/>
  <c r="HA21" i="35" s="1"/>
  <c r="V20" i="35"/>
  <c r="HC20" i="35" s="1"/>
  <c r="U20" i="35"/>
  <c r="HA20" i="35" s="1"/>
  <c r="V19" i="35"/>
  <c r="HC19" i="35" s="1"/>
  <c r="U19" i="35"/>
  <c r="HA19" i="35" s="1"/>
  <c r="V18" i="35"/>
  <c r="HC18" i="35" s="1"/>
  <c r="U18" i="35"/>
  <c r="HA18" i="35" s="1"/>
  <c r="V17" i="35"/>
  <c r="HC17" i="35" s="1"/>
  <c r="U17" i="35"/>
  <c r="HA17" i="35" s="1"/>
  <c r="V16" i="35"/>
  <c r="HC16" i="35" s="1"/>
  <c r="U16" i="35"/>
  <c r="HA16" i="35" s="1"/>
  <c r="V15" i="35"/>
  <c r="HC15" i="35" s="1"/>
  <c r="U15" i="35"/>
  <c r="HA15" i="35" s="1"/>
  <c r="V14" i="35"/>
  <c r="HC14" i="35" s="1"/>
  <c r="U14" i="35"/>
  <c r="HA14" i="35" s="1"/>
  <c r="V13" i="35"/>
  <c r="HC13" i="35" s="1"/>
  <c r="U13" i="35"/>
  <c r="HA13" i="35" s="1"/>
  <c r="V12" i="35"/>
  <c r="HC12" i="35" s="1"/>
  <c r="U12" i="35"/>
  <c r="HA12" i="35" s="1"/>
  <c r="V11" i="35"/>
  <c r="HC11" i="35" s="1"/>
  <c r="U11" i="35"/>
  <c r="HA11" i="35" s="1"/>
  <c r="V10" i="35"/>
  <c r="HC10" i="35" s="1"/>
  <c r="U10" i="35"/>
  <c r="HA10" i="35" s="1"/>
  <c r="V9" i="35"/>
  <c r="HC9" i="35" s="1"/>
  <c r="U9" i="35"/>
  <c r="HA9" i="35" s="1"/>
  <c r="V8" i="35"/>
  <c r="HC8" i="35" s="1"/>
  <c r="U8" i="35"/>
  <c r="HA8" i="35" s="1"/>
  <c r="V7" i="35"/>
  <c r="HC7" i="35" s="1"/>
  <c r="U7" i="35"/>
  <c r="HA7" i="35" s="1"/>
  <c r="V6" i="35"/>
  <c r="HC6" i="35" s="1"/>
  <c r="U6" i="35"/>
  <c r="HA6" i="35" s="1"/>
  <c r="V5" i="35"/>
  <c r="HC5" i="35" s="1"/>
  <c r="U5" i="35"/>
  <c r="HA5" i="35" s="1"/>
  <c r="O43" i="35"/>
  <c r="GO43" i="35" s="1"/>
  <c r="N43" i="35"/>
  <c r="GM43" i="35" s="1"/>
  <c r="O42" i="35"/>
  <c r="GO42" i="35" s="1"/>
  <c r="N42" i="35"/>
  <c r="GM42" i="35" s="1"/>
  <c r="O41" i="35"/>
  <c r="GO41" i="35" s="1"/>
  <c r="N41" i="35"/>
  <c r="GM41" i="35" s="1"/>
  <c r="O40" i="35"/>
  <c r="GO40" i="35" s="1"/>
  <c r="N40" i="35"/>
  <c r="GM40" i="35" s="1"/>
  <c r="O39" i="35"/>
  <c r="GO39" i="35" s="1"/>
  <c r="N39" i="35"/>
  <c r="GM39" i="35" s="1"/>
  <c r="O38" i="35"/>
  <c r="GO38" i="35" s="1"/>
  <c r="N38" i="35"/>
  <c r="GM38" i="35" s="1"/>
  <c r="O37" i="35"/>
  <c r="GO37" i="35" s="1"/>
  <c r="N37" i="35"/>
  <c r="GM37" i="35" s="1"/>
  <c r="O36" i="35"/>
  <c r="GO36" i="35" s="1"/>
  <c r="N36" i="35"/>
  <c r="GM36" i="35" s="1"/>
  <c r="O35" i="35"/>
  <c r="GO35" i="35" s="1"/>
  <c r="N35" i="35"/>
  <c r="GM35" i="35" s="1"/>
  <c r="O34" i="35"/>
  <c r="GO34" i="35" s="1"/>
  <c r="N34" i="35"/>
  <c r="GM34" i="35" s="1"/>
  <c r="O33" i="35"/>
  <c r="GO33" i="35" s="1"/>
  <c r="N33" i="35"/>
  <c r="GM33" i="35" s="1"/>
  <c r="O32" i="35"/>
  <c r="GO32" i="35" s="1"/>
  <c r="N32" i="35"/>
  <c r="GM32" i="35" s="1"/>
  <c r="O31" i="35"/>
  <c r="GO31" i="35" s="1"/>
  <c r="N31" i="35"/>
  <c r="GM31" i="35" s="1"/>
  <c r="O30" i="35"/>
  <c r="GO30" i="35" s="1"/>
  <c r="N30" i="35"/>
  <c r="GM30" i="35" s="1"/>
  <c r="O29" i="35"/>
  <c r="GO29" i="35" s="1"/>
  <c r="N29" i="35"/>
  <c r="GM29" i="35" s="1"/>
  <c r="O28" i="35"/>
  <c r="GO28" i="35" s="1"/>
  <c r="N28" i="35"/>
  <c r="GM28" i="35" s="1"/>
  <c r="O27" i="35"/>
  <c r="GO27" i="35" s="1"/>
  <c r="N27" i="35"/>
  <c r="GM27" i="35" s="1"/>
  <c r="O26" i="35"/>
  <c r="GO26" i="35" s="1"/>
  <c r="N26" i="35"/>
  <c r="GM26" i="35" s="1"/>
  <c r="O25" i="35"/>
  <c r="GO25" i="35" s="1"/>
  <c r="N25" i="35"/>
  <c r="GM25" i="35" s="1"/>
  <c r="O24" i="35"/>
  <c r="GO24" i="35" s="1"/>
  <c r="N24" i="35"/>
  <c r="GM24" i="35" s="1"/>
  <c r="O23" i="35"/>
  <c r="GO23" i="35" s="1"/>
  <c r="N23" i="35"/>
  <c r="GM23" i="35" s="1"/>
  <c r="O22" i="35"/>
  <c r="GO22" i="35" s="1"/>
  <c r="N22" i="35"/>
  <c r="GM22" i="35" s="1"/>
  <c r="O21" i="35"/>
  <c r="GO21" i="35" s="1"/>
  <c r="N21" i="35"/>
  <c r="GM21" i="35" s="1"/>
  <c r="O20" i="35"/>
  <c r="GO20" i="35" s="1"/>
  <c r="N20" i="35"/>
  <c r="GM20" i="35" s="1"/>
  <c r="O19" i="35"/>
  <c r="GO19" i="35" s="1"/>
  <c r="N19" i="35"/>
  <c r="GM19" i="35" s="1"/>
  <c r="O18" i="35"/>
  <c r="GO18" i="35" s="1"/>
  <c r="N18" i="35"/>
  <c r="GM18" i="35" s="1"/>
  <c r="O17" i="35"/>
  <c r="GO17" i="35" s="1"/>
  <c r="N17" i="35"/>
  <c r="GM17" i="35" s="1"/>
  <c r="O16" i="35"/>
  <c r="GO16" i="35" s="1"/>
  <c r="N16" i="35"/>
  <c r="GM16" i="35" s="1"/>
  <c r="O15" i="35"/>
  <c r="GO15" i="35" s="1"/>
  <c r="N15" i="35"/>
  <c r="GM15" i="35" s="1"/>
  <c r="O14" i="35"/>
  <c r="GO14" i="35" s="1"/>
  <c r="N14" i="35"/>
  <c r="GM14" i="35" s="1"/>
  <c r="O13" i="35"/>
  <c r="GO13" i="35" s="1"/>
  <c r="N13" i="35"/>
  <c r="GM13" i="35" s="1"/>
  <c r="O12" i="35"/>
  <c r="GO12" i="35" s="1"/>
  <c r="N12" i="35"/>
  <c r="GM12" i="35" s="1"/>
  <c r="O11" i="35"/>
  <c r="GO11" i="35" s="1"/>
  <c r="N11" i="35"/>
  <c r="GM11" i="35" s="1"/>
  <c r="O10" i="35"/>
  <c r="GO10" i="35" s="1"/>
  <c r="N10" i="35"/>
  <c r="GM10" i="35" s="1"/>
  <c r="O9" i="35"/>
  <c r="GO9" i="35" s="1"/>
  <c r="N9" i="35"/>
  <c r="GM9" i="35" s="1"/>
  <c r="O8" i="35"/>
  <c r="GO8" i="35" s="1"/>
  <c r="N8" i="35"/>
  <c r="GM8" i="35" s="1"/>
  <c r="O7" i="35"/>
  <c r="GO7" i="35" s="1"/>
  <c r="N7" i="35"/>
  <c r="GM7" i="35" s="1"/>
  <c r="O6" i="35"/>
  <c r="GO6" i="35" s="1"/>
  <c r="O5" i="35"/>
  <c r="N4" i="35"/>
  <c r="GM4" i="35" s="1"/>
  <c r="H43" i="35"/>
  <c r="G43" i="35"/>
  <c r="H42" i="35"/>
  <c r="G42" i="35"/>
  <c r="H41" i="35"/>
  <c r="G41" i="35"/>
  <c r="H40" i="35"/>
  <c r="G40" i="35"/>
  <c r="H39" i="35"/>
  <c r="G39" i="35"/>
  <c r="H38" i="35"/>
  <c r="G38" i="35"/>
  <c r="H37" i="35"/>
  <c r="G37" i="35"/>
  <c r="H36" i="35"/>
  <c r="G36" i="35"/>
  <c r="H35" i="35"/>
  <c r="G35" i="35"/>
  <c r="H34" i="35"/>
  <c r="G34" i="35"/>
  <c r="H33" i="35"/>
  <c r="G33" i="35"/>
  <c r="H32" i="35"/>
  <c r="G32" i="35"/>
  <c r="H31" i="35"/>
  <c r="G31" i="35"/>
  <c r="H30" i="35"/>
  <c r="G30" i="35"/>
  <c r="H29" i="35"/>
  <c r="G29" i="35"/>
  <c r="H28" i="35"/>
  <c r="G28" i="35"/>
  <c r="H27" i="35"/>
  <c r="G27" i="35"/>
  <c r="H26" i="35"/>
  <c r="G26" i="35"/>
  <c r="H25" i="35"/>
  <c r="G25" i="35"/>
  <c r="H24" i="35"/>
  <c r="G24" i="35"/>
  <c r="H23" i="35"/>
  <c r="G23" i="35"/>
  <c r="H22" i="35"/>
  <c r="G22" i="35"/>
  <c r="H21" i="35"/>
  <c r="G21" i="35"/>
  <c r="H20" i="35"/>
  <c r="G20" i="35"/>
  <c r="H19" i="35"/>
  <c r="G19" i="35"/>
  <c r="H18" i="35"/>
  <c r="G18" i="35"/>
  <c r="H17" i="35"/>
  <c r="G17" i="35"/>
  <c r="H16" i="35"/>
  <c r="G16" i="35"/>
  <c r="H15" i="35"/>
  <c r="G15" i="35"/>
  <c r="H14" i="35"/>
  <c r="G14" i="35"/>
  <c r="H13" i="35"/>
  <c r="G13" i="35"/>
  <c r="H12" i="35"/>
  <c r="G12" i="35"/>
  <c r="H11" i="35"/>
  <c r="G11" i="35"/>
  <c r="H10" i="35"/>
  <c r="G10" i="35"/>
  <c r="H9" i="35"/>
  <c r="G9" i="35"/>
  <c r="H8" i="35"/>
  <c r="G8" i="35"/>
  <c r="H7" i="35"/>
  <c r="G7" i="35"/>
  <c r="H6" i="35"/>
  <c r="G6" i="35"/>
  <c r="H5" i="35"/>
  <c r="G5" i="35"/>
  <c r="CG4" i="35"/>
  <c r="LY4" i="35" s="1"/>
  <c r="CF4" i="35"/>
  <c r="LW4" i="35" s="1"/>
  <c r="BZ4" i="35"/>
  <c r="LK4" i="35" s="1"/>
  <c r="BY4" i="35"/>
  <c r="LI4" i="35" s="1"/>
  <c r="BS4" i="35"/>
  <c r="KW4" i="35" s="1"/>
  <c r="BR4" i="35"/>
  <c r="KU4" i="35" s="1"/>
  <c r="BL4" i="35"/>
  <c r="KI4" i="35" s="1"/>
  <c r="BK4" i="35"/>
  <c r="KG4" i="35" s="1"/>
  <c r="BE4" i="35"/>
  <c r="JU4" i="35" s="1"/>
  <c r="BD4" i="35"/>
  <c r="JS4" i="35" s="1"/>
  <c r="AX4" i="35"/>
  <c r="JG4" i="35" s="1"/>
  <c r="AW4" i="35"/>
  <c r="JE4" i="35" s="1"/>
  <c r="AQ4" i="35"/>
  <c r="IS4" i="35" s="1"/>
  <c r="AP4" i="35"/>
  <c r="IQ4" i="35" s="1"/>
  <c r="AJ4" i="35"/>
  <c r="IE4" i="35" s="1"/>
  <c r="AI4" i="35"/>
  <c r="IC4" i="35" s="1"/>
  <c r="AC4" i="35"/>
  <c r="HQ4" i="35" s="1"/>
  <c r="AB4" i="35"/>
  <c r="HO4" i="35" s="1"/>
  <c r="V4" i="35"/>
  <c r="HC4" i="35" s="1"/>
  <c r="G4" i="35"/>
  <c r="FK163" i="30"/>
  <c r="FA163" i="30"/>
  <c r="EQ163" i="30"/>
  <c r="BR163" i="30"/>
  <c r="BK163" i="30"/>
  <c r="BD163" i="30"/>
  <c r="AP163" i="30"/>
  <c r="AI163" i="30"/>
  <c r="FK159" i="30"/>
  <c r="FA159" i="30"/>
  <c r="EQ159" i="30"/>
  <c r="BR159" i="30"/>
  <c r="BK159" i="30"/>
  <c r="BD159" i="30"/>
  <c r="AP159" i="30"/>
  <c r="AI159" i="30"/>
  <c r="FP155" i="30"/>
  <c r="FK155" i="30"/>
  <c r="EV155" i="30"/>
  <c r="BR155" i="30"/>
  <c r="BK155" i="30"/>
  <c r="BD155" i="30"/>
  <c r="AP155" i="30"/>
  <c r="AI155" i="30"/>
  <c r="FP151" i="30"/>
  <c r="EV151" i="30"/>
  <c r="BR151" i="30"/>
  <c r="BK151" i="30"/>
  <c r="BD151" i="30"/>
  <c r="AP151" i="30"/>
  <c r="AI151" i="30"/>
  <c r="FK147" i="30"/>
  <c r="FA147" i="30"/>
  <c r="EQ147" i="30"/>
  <c r="BR147" i="30"/>
  <c r="BK147" i="30"/>
  <c r="BD147" i="30"/>
  <c r="AP147" i="30"/>
  <c r="AI147" i="30"/>
  <c r="FK143" i="30"/>
  <c r="FA143" i="30"/>
  <c r="EQ143" i="30"/>
  <c r="BR143" i="30"/>
  <c r="BK143" i="30"/>
  <c r="BD143" i="30"/>
  <c r="AP143" i="30"/>
  <c r="AI143" i="30"/>
  <c r="FP139" i="30"/>
  <c r="EV139" i="30"/>
  <c r="EQ139" i="30"/>
  <c r="BR139" i="30"/>
  <c r="BK139" i="30"/>
  <c r="BD139" i="30"/>
  <c r="AP139" i="30"/>
  <c r="AI139" i="30"/>
  <c r="FP135" i="30"/>
  <c r="FA135" i="30"/>
  <c r="EV135" i="30"/>
  <c r="BR135" i="30"/>
  <c r="BK135" i="30"/>
  <c r="BD135" i="30"/>
  <c r="AP135" i="30"/>
  <c r="AI135" i="30"/>
  <c r="FK131" i="30"/>
  <c r="FA131" i="30"/>
  <c r="EQ131" i="30"/>
  <c r="BR131" i="30"/>
  <c r="BK131" i="30"/>
  <c r="BD131" i="30"/>
  <c r="AP131" i="30"/>
  <c r="AI131" i="30"/>
  <c r="FK127" i="30"/>
  <c r="FA127" i="30"/>
  <c r="EQ127" i="30"/>
  <c r="BR127" i="30"/>
  <c r="BK127" i="30"/>
  <c r="BD127" i="30"/>
  <c r="AP127" i="30"/>
  <c r="AI127" i="30"/>
  <c r="FP123" i="30"/>
  <c r="BR123" i="30"/>
  <c r="BK123" i="30"/>
  <c r="BD123" i="30"/>
  <c r="AP123" i="30"/>
  <c r="AI123" i="30"/>
  <c r="BR119" i="30"/>
  <c r="BK119" i="30"/>
  <c r="BD119" i="30"/>
  <c r="AP119" i="30"/>
  <c r="AI119" i="30"/>
  <c r="EQ115" i="30"/>
  <c r="BR115" i="30"/>
  <c r="BK115" i="30"/>
  <c r="BD115" i="30"/>
  <c r="AP115" i="30"/>
  <c r="AI115" i="30"/>
  <c r="EQ111" i="30"/>
  <c r="BR111" i="30"/>
  <c r="BK111" i="30"/>
  <c r="BD111" i="30"/>
  <c r="AP111" i="30"/>
  <c r="AI111" i="30"/>
  <c r="EV107" i="30"/>
  <c r="BR107" i="30"/>
  <c r="BK107" i="30"/>
  <c r="BD107" i="30"/>
  <c r="AP107" i="30"/>
  <c r="AI107" i="30"/>
  <c r="FP103" i="30"/>
  <c r="EV103" i="30"/>
  <c r="BR103" i="30"/>
  <c r="BK103" i="30"/>
  <c r="BD103" i="30"/>
  <c r="AP103" i="30"/>
  <c r="AI103" i="30"/>
  <c r="FK99" i="30"/>
  <c r="FA99" i="30"/>
  <c r="EQ99" i="30"/>
  <c r="BR99" i="30"/>
  <c r="BK99" i="30"/>
  <c r="BD99" i="30"/>
  <c r="AP99" i="30"/>
  <c r="AI99" i="30"/>
  <c r="FK95" i="30"/>
  <c r="FA95" i="30"/>
  <c r="EQ95" i="30"/>
  <c r="BR95" i="30"/>
  <c r="BK95" i="30"/>
  <c r="BD95" i="30"/>
  <c r="AP95" i="30"/>
  <c r="AI95" i="30"/>
  <c r="BR91" i="30"/>
  <c r="BK91" i="30"/>
  <c r="BD91" i="30"/>
  <c r="AP91" i="30"/>
  <c r="AI91" i="30"/>
  <c r="BR87" i="30"/>
  <c r="BK87" i="30"/>
  <c r="BD87" i="30"/>
  <c r="AP87" i="30"/>
  <c r="AI87" i="30"/>
  <c r="FK83" i="30"/>
  <c r="FA83" i="30"/>
  <c r="EQ83" i="30"/>
  <c r="BR83" i="30"/>
  <c r="BK83" i="30"/>
  <c r="BD83" i="30"/>
  <c r="AP83" i="30"/>
  <c r="AI83" i="30"/>
  <c r="FK79" i="30"/>
  <c r="FA79" i="30"/>
  <c r="EQ79" i="30"/>
  <c r="BR79" i="30"/>
  <c r="BK79" i="30"/>
  <c r="BD79" i="30"/>
  <c r="AP79" i="30"/>
  <c r="AI79" i="30"/>
  <c r="FP75" i="30"/>
  <c r="EV75" i="30"/>
  <c r="BR75" i="30"/>
  <c r="BK75" i="30"/>
  <c r="BD75" i="30"/>
  <c r="AP75" i="30"/>
  <c r="AI75" i="30"/>
  <c r="FP71" i="30"/>
  <c r="BR71" i="30"/>
  <c r="BK71" i="30"/>
  <c r="BD71" i="30"/>
  <c r="AP71" i="30"/>
  <c r="AI71" i="30"/>
  <c r="FK67" i="30"/>
  <c r="FA67" i="30"/>
  <c r="EQ67" i="30"/>
  <c r="BR67" i="30"/>
  <c r="BK67" i="30"/>
  <c r="BD67" i="30"/>
  <c r="AP67" i="30"/>
  <c r="AI67" i="30"/>
  <c r="FK63" i="30"/>
  <c r="EQ63" i="30"/>
  <c r="BR63" i="30"/>
  <c r="BK63" i="30"/>
  <c r="BD63" i="30"/>
  <c r="AP63" i="30"/>
  <c r="AI63" i="30"/>
  <c r="EV59" i="30"/>
  <c r="BR59" i="30"/>
  <c r="BK59" i="30"/>
  <c r="BD59" i="30"/>
  <c r="AP59" i="30"/>
  <c r="AI59" i="30"/>
  <c r="FP55" i="30"/>
  <c r="BR55" i="30"/>
  <c r="BK55" i="30"/>
  <c r="BD55" i="30"/>
  <c r="AP55" i="30"/>
  <c r="AI55" i="30"/>
  <c r="FP51" i="30"/>
  <c r="FK51" i="30"/>
  <c r="FA51" i="30"/>
  <c r="EV51" i="30"/>
  <c r="EQ51" i="30"/>
  <c r="BR51" i="30"/>
  <c r="BK51" i="30"/>
  <c r="BD51" i="30"/>
  <c r="AP51" i="30"/>
  <c r="AI51" i="30"/>
  <c r="FK47" i="30"/>
  <c r="FA47" i="30"/>
  <c r="EQ47" i="30"/>
  <c r="BR47" i="30"/>
  <c r="BK47" i="30"/>
  <c r="BD47" i="30"/>
  <c r="AP47" i="30"/>
  <c r="AI47" i="30"/>
  <c r="FA43" i="30"/>
  <c r="EV43" i="30"/>
  <c r="BR43" i="30"/>
  <c r="BK43" i="30"/>
  <c r="BD43" i="30"/>
  <c r="AP43" i="30"/>
  <c r="AI43" i="30"/>
  <c r="BR39" i="30"/>
  <c r="BK39" i="30"/>
  <c r="BD39" i="30"/>
  <c r="AP39" i="30"/>
  <c r="AI39" i="30"/>
  <c r="FK35" i="30"/>
  <c r="FA35" i="30"/>
  <c r="EQ35" i="30"/>
  <c r="BR35" i="30"/>
  <c r="BK35" i="30"/>
  <c r="BD35" i="30"/>
  <c r="AP35" i="30"/>
  <c r="AI35" i="30"/>
  <c r="EQ31" i="30"/>
  <c r="BR31" i="30"/>
  <c r="BK31" i="30"/>
  <c r="BD31" i="30"/>
  <c r="AP31" i="30"/>
  <c r="AI31" i="30"/>
  <c r="FP27" i="30"/>
  <c r="FA27" i="30"/>
  <c r="EV27" i="30"/>
  <c r="EQ27" i="30"/>
  <c r="BR27" i="30"/>
  <c r="BK27" i="30"/>
  <c r="BD27" i="30"/>
  <c r="AP27" i="30"/>
  <c r="AI27" i="30"/>
  <c r="FP23" i="30"/>
  <c r="EV23" i="30"/>
  <c r="BR23" i="30"/>
  <c r="BK23" i="30"/>
  <c r="BD23" i="30"/>
  <c r="AP23" i="30"/>
  <c r="AI23" i="30"/>
  <c r="FP19" i="30"/>
  <c r="FK19" i="30"/>
  <c r="FA19" i="30"/>
  <c r="EV19" i="30"/>
  <c r="EQ19" i="30"/>
  <c r="BR19" i="30"/>
  <c r="BK19" i="30"/>
  <c r="BD19" i="30"/>
  <c r="AP19" i="30"/>
  <c r="AI19" i="30"/>
  <c r="FK15" i="30"/>
  <c r="FA15" i="30"/>
  <c r="EQ15" i="30"/>
  <c r="BK15" i="30"/>
  <c r="AP15" i="30"/>
  <c r="AI15" i="30"/>
  <c r="FP11" i="30"/>
  <c r="EV11" i="30"/>
  <c r="BR11" i="30"/>
  <c r="AI11" i="30"/>
  <c r="CT7" i="30"/>
  <c r="BY7" i="30"/>
  <c r="AP7" i="30"/>
  <c r="FF151" i="30" l="1"/>
  <c r="FF135" i="30"/>
  <c r="FB87" i="30"/>
  <c r="EW159" i="30"/>
  <c r="FF107" i="30"/>
  <c r="FB151" i="30"/>
  <c r="EW143" i="30"/>
  <c r="FF71" i="30"/>
  <c r="FF139" i="30"/>
  <c r="FB135" i="30"/>
  <c r="FF119" i="30"/>
  <c r="FF155" i="30"/>
  <c r="FF75" i="30"/>
  <c r="FF103" i="30"/>
  <c r="ER151" i="30"/>
  <c r="FF51" i="30"/>
  <c r="FL103" i="30"/>
  <c r="FF11" i="30"/>
  <c r="FF19" i="30"/>
  <c r="FF23" i="30"/>
  <c r="FF59" i="30"/>
  <c r="IS2" i="35"/>
  <c r="CO47" i="48" s="1"/>
  <c r="FF27" i="30"/>
  <c r="JG2" i="35"/>
  <c r="CO47" i="49" s="1"/>
  <c r="KI2" i="35"/>
  <c r="CO47" i="51" s="1"/>
  <c r="LK2" i="35"/>
  <c r="CO47" i="53" s="1"/>
  <c r="IE2" i="35"/>
  <c r="CO47" i="47" s="1"/>
  <c r="JU2" i="35"/>
  <c r="CO47" i="50" s="1"/>
  <c r="KW2" i="35"/>
  <c r="CO47" i="52" s="1"/>
  <c r="LY2" i="35"/>
  <c r="CO47" i="54" s="1"/>
  <c r="IC2" i="35"/>
  <c r="JE2" i="35"/>
  <c r="KG2" i="35"/>
  <c r="LI2" i="35"/>
  <c r="HO2" i="35"/>
  <c r="IQ2" i="35"/>
  <c r="JS2" i="35"/>
  <c r="KU2" i="35"/>
  <c r="LW2" i="35"/>
  <c r="HQ2" i="35"/>
  <c r="CO47" i="46" s="1"/>
  <c r="HC2" i="35"/>
  <c r="CO47" i="45" s="1"/>
  <c r="GA6" i="35"/>
  <c r="FY7" i="35"/>
  <c r="GA9" i="35"/>
  <c r="GA11" i="35"/>
  <c r="FY13" i="35"/>
  <c r="GA15" i="35"/>
  <c r="GA17" i="35"/>
  <c r="GA19" i="35"/>
  <c r="GA21" i="35"/>
  <c r="GA23" i="35"/>
  <c r="GA25" i="35"/>
  <c r="GA27" i="35"/>
  <c r="GA29" i="35"/>
  <c r="GA31" i="35"/>
  <c r="GA33" i="35"/>
  <c r="GA35" i="35"/>
  <c r="GA37" i="35"/>
  <c r="GA39" i="35"/>
  <c r="GA41" i="35"/>
  <c r="GA43" i="35"/>
  <c r="FY15" i="35"/>
  <c r="FY8" i="35"/>
  <c r="FY10" i="35"/>
  <c r="GA13" i="35"/>
  <c r="FY16" i="35"/>
  <c r="FY18" i="35"/>
  <c r="FY20" i="35"/>
  <c r="FY22" i="35"/>
  <c r="FY24" i="35"/>
  <c r="FY26" i="35"/>
  <c r="FY28" i="35"/>
  <c r="FY30" i="35"/>
  <c r="FY32" i="35"/>
  <c r="FY34" i="35"/>
  <c r="FY36" i="35"/>
  <c r="FY38" i="35"/>
  <c r="FY40" i="35"/>
  <c r="FY42" i="35"/>
  <c r="FY5" i="35"/>
  <c r="GA8" i="35"/>
  <c r="FY12" i="35"/>
  <c r="FY14" i="35"/>
  <c r="GA16" i="35"/>
  <c r="GA18" i="35"/>
  <c r="GA20" i="35"/>
  <c r="GA22" i="35"/>
  <c r="GA24" i="35"/>
  <c r="GA26" i="35"/>
  <c r="GA28" i="35"/>
  <c r="GA30" i="35"/>
  <c r="GA32" i="35"/>
  <c r="GA34" i="35"/>
  <c r="GA36" i="35"/>
  <c r="GA38" i="35"/>
  <c r="GA40" i="35"/>
  <c r="GA42" i="35"/>
  <c r="FY4" i="35"/>
  <c r="FY6" i="35"/>
  <c r="FY9" i="35"/>
  <c r="GA10" i="35"/>
  <c r="FY11" i="35"/>
  <c r="GA12" i="35"/>
  <c r="GA14" i="35"/>
  <c r="FY17" i="35"/>
  <c r="FY19" i="35"/>
  <c r="FY21" i="35"/>
  <c r="FY23" i="35"/>
  <c r="FY25" i="35"/>
  <c r="FY27" i="35"/>
  <c r="FY29" i="35"/>
  <c r="FY31" i="35"/>
  <c r="FY33" i="35"/>
  <c r="FY35" i="35"/>
  <c r="FY37" i="35"/>
  <c r="FY39" i="35"/>
  <c r="FY41" i="35"/>
  <c r="FY43" i="35"/>
  <c r="ER35" i="30"/>
  <c r="FL47" i="30"/>
  <c r="FG71" i="30"/>
  <c r="FB19" i="30"/>
  <c r="FB55" i="30"/>
  <c r="FB147" i="30"/>
  <c r="FG23" i="30"/>
  <c r="EW39" i="30"/>
  <c r="ER47" i="30"/>
  <c r="ER79" i="30"/>
  <c r="EW23" i="30"/>
  <c r="FG111" i="30"/>
  <c r="FB119" i="30"/>
  <c r="FB163" i="30"/>
  <c r="FG39" i="30"/>
  <c r="FB47" i="30"/>
  <c r="EW107" i="30"/>
  <c r="FG123" i="30"/>
  <c r="FB131" i="30"/>
  <c r="FG139" i="30"/>
  <c r="FG31" i="30"/>
  <c r="FB39" i="30"/>
  <c r="FL55" i="30"/>
  <c r="ER71" i="30"/>
  <c r="FG143" i="30"/>
  <c r="EW47" i="30"/>
  <c r="FG47" i="30"/>
  <c r="ER55" i="30"/>
  <c r="ER87" i="30"/>
  <c r="BM8" i="35"/>
  <c r="KK8" i="35" s="1"/>
  <c r="FB23" i="30"/>
  <c r="BF18" i="35"/>
  <c r="EW63" i="30"/>
  <c r="CA24" i="35"/>
  <c r="FL87" i="30"/>
  <c r="AY36" i="35"/>
  <c r="JI36" i="35" s="1"/>
  <c r="ER135" i="30"/>
  <c r="CA40" i="35"/>
  <c r="FL151" i="30"/>
  <c r="EW75" i="30"/>
  <c r="FB83" i="30"/>
  <c r="ER115" i="30"/>
  <c r="EV39" i="30"/>
  <c r="FP39" i="30"/>
  <c r="FF39" i="30"/>
  <c r="FA31" i="30"/>
  <c r="FK31" i="30"/>
  <c r="BJ21" i="35"/>
  <c r="KE21" i="35" s="1"/>
  <c r="FA75" i="30"/>
  <c r="BX21" i="35"/>
  <c r="LG21" i="35" s="1"/>
  <c r="FK75" i="30"/>
  <c r="BM22" i="35"/>
  <c r="KK22" i="35" s="1"/>
  <c r="FB79" i="30"/>
  <c r="CA22" i="35"/>
  <c r="LM22" i="35" s="1"/>
  <c r="FL79" i="30"/>
  <c r="BC23" i="35"/>
  <c r="JQ23" i="35" s="1"/>
  <c r="EV83" i="30"/>
  <c r="BQ23" i="35"/>
  <c r="KS23" i="35" s="1"/>
  <c r="FF83" i="30"/>
  <c r="BF24" i="35"/>
  <c r="EW87" i="30"/>
  <c r="BT24" i="35"/>
  <c r="FG87" i="30"/>
  <c r="AV25" i="35"/>
  <c r="JC25" i="35" s="1"/>
  <c r="EQ91" i="30"/>
  <c r="BJ25" i="35"/>
  <c r="KE25" i="35" s="1"/>
  <c r="FA91" i="30"/>
  <c r="AY26" i="35"/>
  <c r="ER95" i="30"/>
  <c r="BM26" i="35"/>
  <c r="FB95" i="30"/>
  <c r="CA26" i="35"/>
  <c r="FL95" i="30"/>
  <c r="BC27" i="35"/>
  <c r="JQ27" i="35" s="1"/>
  <c r="EV99" i="30"/>
  <c r="CE27" i="35"/>
  <c r="LU27" i="35" s="1"/>
  <c r="FP99" i="30"/>
  <c r="BF28" i="35"/>
  <c r="JW28" i="35" s="1"/>
  <c r="EW103" i="30"/>
  <c r="BT28" i="35"/>
  <c r="KY28" i="35" s="1"/>
  <c r="FG103" i="30"/>
  <c r="AV29" i="35"/>
  <c r="JC29" i="35" s="1"/>
  <c r="EQ107" i="30"/>
  <c r="BX29" i="35"/>
  <c r="LG29" i="35" s="1"/>
  <c r="FK107" i="30"/>
  <c r="AY30" i="35"/>
  <c r="JI30" i="35" s="1"/>
  <c r="ER111" i="30"/>
  <c r="BM30" i="35"/>
  <c r="KK30" i="35" s="1"/>
  <c r="FB111" i="30"/>
  <c r="CA30" i="35"/>
  <c r="LM30" i="35" s="1"/>
  <c r="FL111" i="30"/>
  <c r="BC31" i="35"/>
  <c r="JQ31" i="35" s="1"/>
  <c r="EV115" i="30"/>
  <c r="BQ31" i="35"/>
  <c r="KS31" i="35" s="1"/>
  <c r="FF115" i="30"/>
  <c r="CE31" i="35"/>
  <c r="LU31" i="35" s="1"/>
  <c r="FP115" i="30"/>
  <c r="BF32" i="35"/>
  <c r="EW119" i="30"/>
  <c r="BT32" i="35"/>
  <c r="FG119" i="30"/>
  <c r="AV33" i="35"/>
  <c r="JC33" i="35" s="1"/>
  <c r="EQ123" i="30"/>
  <c r="BJ33" i="35"/>
  <c r="KE33" i="35" s="1"/>
  <c r="FA123" i="30"/>
  <c r="BX33" i="35"/>
  <c r="LG33" i="35" s="1"/>
  <c r="FK123" i="30"/>
  <c r="AY34" i="35"/>
  <c r="ER127" i="30"/>
  <c r="BM34" i="35"/>
  <c r="FB127" i="30"/>
  <c r="CA34" i="35"/>
  <c r="FL127" i="30"/>
  <c r="BC35" i="35"/>
  <c r="JQ35" i="35" s="1"/>
  <c r="EV131" i="30"/>
  <c r="BQ35" i="35"/>
  <c r="KS35" i="35" s="1"/>
  <c r="FF131" i="30"/>
  <c r="CE35" i="35"/>
  <c r="LU35" i="35" s="1"/>
  <c r="FP131" i="30"/>
  <c r="BF36" i="35"/>
  <c r="JW36" i="35" s="1"/>
  <c r="EW135" i="30"/>
  <c r="BT36" i="35"/>
  <c r="KY36" i="35" s="1"/>
  <c r="FG135" i="30"/>
  <c r="BJ37" i="35"/>
  <c r="KE37" i="35" s="1"/>
  <c r="FA139" i="30"/>
  <c r="BX37" i="35"/>
  <c r="LG37" i="35" s="1"/>
  <c r="FK139" i="30"/>
  <c r="ER63" i="30"/>
  <c r="FF99" i="30"/>
  <c r="BJ17" i="35"/>
  <c r="KE17" i="35" s="1"/>
  <c r="FA59" i="30"/>
  <c r="BC19" i="35"/>
  <c r="JQ19" i="35" s="1"/>
  <c r="EV67" i="30"/>
  <c r="CE19" i="35"/>
  <c r="LU19" i="35" s="1"/>
  <c r="FP67" i="30"/>
  <c r="AV21" i="35"/>
  <c r="JC21" i="35" s="1"/>
  <c r="EQ75" i="30"/>
  <c r="FK59" i="30"/>
  <c r="FP83" i="30"/>
  <c r="FK91" i="30"/>
  <c r="AV17" i="35"/>
  <c r="JC17" i="35" s="1"/>
  <c r="EQ59" i="30"/>
  <c r="BM18" i="35"/>
  <c r="FB63" i="30"/>
  <c r="FF67" i="30"/>
  <c r="FA107" i="30"/>
  <c r="CE39" i="35"/>
  <c r="LU39" i="35" s="1"/>
  <c r="FP147" i="30"/>
  <c r="AV41" i="35"/>
  <c r="JC41" i="35" s="1"/>
  <c r="EQ155" i="30"/>
  <c r="BM42" i="35"/>
  <c r="FB159" i="30"/>
  <c r="ER159" i="30"/>
  <c r="BT40" i="35"/>
  <c r="FG151" i="30"/>
  <c r="BQ43" i="35"/>
  <c r="KS43" i="35" s="1"/>
  <c r="FF163" i="30"/>
  <c r="CE43" i="35"/>
  <c r="LU43" i="35" s="1"/>
  <c r="FP163" i="30"/>
  <c r="FL143" i="30"/>
  <c r="EV147" i="30"/>
  <c r="AY38" i="35"/>
  <c r="ER143" i="30"/>
  <c r="BF40" i="35"/>
  <c r="EW151" i="30"/>
  <c r="BJ41" i="35"/>
  <c r="KE41" i="35" s="1"/>
  <c r="FA155" i="30"/>
  <c r="CA42" i="35"/>
  <c r="FL159" i="30"/>
  <c r="FB143" i="30"/>
  <c r="FF147" i="30"/>
  <c r="EV163" i="30"/>
  <c r="FP59" i="30"/>
  <c r="FA63" i="30"/>
  <c r="FL67" i="30"/>
  <c r="EV71" i="30"/>
  <c r="FL71" i="30"/>
  <c r="EW79" i="30"/>
  <c r="FG79" i="30"/>
  <c r="EV87" i="30"/>
  <c r="FF87" i="30"/>
  <c r="FP87" i="30"/>
  <c r="EV91" i="30"/>
  <c r="FF91" i="30"/>
  <c r="FP91" i="30"/>
  <c r="FG95" i="30"/>
  <c r="ER103" i="30"/>
  <c r="FB103" i="30"/>
  <c r="FP107" i="30"/>
  <c r="FA111" i="30"/>
  <c r="FK111" i="30"/>
  <c r="FA115" i="30"/>
  <c r="FK115" i="30"/>
  <c r="EV119" i="30"/>
  <c r="FP119" i="30"/>
  <c r="EV123" i="30"/>
  <c r="FF123" i="30"/>
  <c r="EW127" i="30"/>
  <c r="FG127" i="30"/>
  <c r="FG55" i="30"/>
  <c r="EW55" i="30"/>
  <c r="EQ43" i="30"/>
  <c r="FK43" i="30"/>
  <c r="EV35" i="30"/>
  <c r="FF35" i="30"/>
  <c r="FP35" i="30"/>
  <c r="FB31" i="30"/>
  <c r="FL31" i="30"/>
  <c r="ER31" i="30"/>
  <c r="FK27" i="30"/>
  <c r="EQ11" i="30"/>
  <c r="FK11" i="30"/>
  <c r="FB51" i="30"/>
  <c r="EW59" i="30"/>
  <c r="FL63" i="30"/>
  <c r="ER67" i="30"/>
  <c r="EW71" i="30"/>
  <c r="FG91" i="30"/>
  <c r="FB99" i="30"/>
  <c r="FG155" i="30"/>
  <c r="FL19" i="30"/>
  <c r="FB35" i="30"/>
  <c r="FB67" i="30"/>
  <c r="FG75" i="30"/>
  <c r="ER83" i="30"/>
  <c r="FL83" i="30"/>
  <c r="FG107" i="30"/>
  <c r="FB115" i="30"/>
  <c r="ER131" i="30"/>
  <c r="FL131" i="30"/>
  <c r="ER147" i="30"/>
  <c r="FL147" i="30"/>
  <c r="FL163" i="30"/>
  <c r="ER19" i="30"/>
  <c r="FL35" i="30"/>
  <c r="EW43" i="30"/>
  <c r="FG43" i="30"/>
  <c r="ER51" i="30"/>
  <c r="FL51" i="30"/>
  <c r="FG59" i="30"/>
  <c r="EW91" i="30"/>
  <c r="ER99" i="30"/>
  <c r="FL99" i="30"/>
  <c r="FL115" i="30"/>
  <c r="EW123" i="30"/>
  <c r="EW139" i="30"/>
  <c r="EW155" i="30"/>
  <c r="ER163" i="30"/>
  <c r="EV55" i="30"/>
  <c r="FF55" i="30"/>
  <c r="EW99" i="30"/>
  <c r="DM83" i="30"/>
  <c r="F23" i="35"/>
  <c r="DM131" i="30"/>
  <c r="F35" i="35"/>
  <c r="EB11" i="30"/>
  <c r="AA5" i="35"/>
  <c r="HM5" i="35" s="1"/>
  <c r="EG15" i="30"/>
  <c r="AH6" i="35"/>
  <c r="IA6" i="35" s="1"/>
  <c r="EL59" i="30"/>
  <c r="AO17" i="35"/>
  <c r="IO17" i="35" s="1"/>
  <c r="EL63" i="30"/>
  <c r="AO18" i="35"/>
  <c r="IO18" i="35" s="1"/>
  <c r="EB83" i="30"/>
  <c r="AA23" i="35"/>
  <c r="HM23" i="35" s="1"/>
  <c r="EG87" i="30"/>
  <c r="AH24" i="35"/>
  <c r="IA24" i="35" s="1"/>
  <c r="EL107" i="30"/>
  <c r="AO29" i="35"/>
  <c r="IO29" i="35" s="1"/>
  <c r="EG111" i="30"/>
  <c r="AH30" i="35"/>
  <c r="IA30" i="35" s="1"/>
  <c r="EV15" i="30"/>
  <c r="BC6" i="35"/>
  <c r="JQ6" i="35" s="1"/>
  <c r="FF15" i="30"/>
  <c r="BQ6" i="35"/>
  <c r="KS6" i="35" s="1"/>
  <c r="FP15" i="30"/>
  <c r="CE6" i="35"/>
  <c r="LU6" i="35" s="1"/>
  <c r="EV47" i="30"/>
  <c r="BC14" i="35"/>
  <c r="JQ14" i="35" s="1"/>
  <c r="FF47" i="30"/>
  <c r="BQ14" i="35"/>
  <c r="KS14" i="35" s="1"/>
  <c r="FP47" i="30"/>
  <c r="CE14" i="35"/>
  <c r="LU14" i="35" s="1"/>
  <c r="EQ55" i="30"/>
  <c r="AV16" i="35"/>
  <c r="JC16" i="35" s="1"/>
  <c r="FA55" i="30"/>
  <c r="BJ16" i="35"/>
  <c r="KE16" i="35" s="1"/>
  <c r="FK55" i="30"/>
  <c r="BX16" i="35"/>
  <c r="LG16" i="35" s="1"/>
  <c r="EV63" i="30"/>
  <c r="BC18" i="35"/>
  <c r="JQ18" i="35" s="1"/>
  <c r="FF63" i="30"/>
  <c r="BQ18" i="35"/>
  <c r="KS18" i="35" s="1"/>
  <c r="FP63" i="30"/>
  <c r="CE18" i="35"/>
  <c r="LU18" i="35" s="1"/>
  <c r="EQ71" i="30"/>
  <c r="AV20" i="35"/>
  <c r="JC20" i="35" s="1"/>
  <c r="FA71" i="30"/>
  <c r="BJ20" i="35"/>
  <c r="KE20" i="35" s="1"/>
  <c r="FK71" i="30"/>
  <c r="BX20" i="35"/>
  <c r="LG20" i="35" s="1"/>
  <c r="EV79" i="30"/>
  <c r="BC22" i="35"/>
  <c r="JQ22" i="35" s="1"/>
  <c r="FF79" i="30"/>
  <c r="BQ22" i="35"/>
  <c r="KS22" i="35" s="1"/>
  <c r="FP79" i="30"/>
  <c r="CE22" i="35"/>
  <c r="LU22" i="35" s="1"/>
  <c r="EQ87" i="30"/>
  <c r="AV24" i="35"/>
  <c r="JC24" i="35" s="1"/>
  <c r="FA87" i="30"/>
  <c r="BJ24" i="35"/>
  <c r="KE24" i="35" s="1"/>
  <c r="FK87" i="30"/>
  <c r="BX24" i="35"/>
  <c r="LG24" i="35" s="1"/>
  <c r="EV95" i="30"/>
  <c r="BC26" i="35"/>
  <c r="JQ26" i="35" s="1"/>
  <c r="FF95" i="30"/>
  <c r="BQ26" i="35"/>
  <c r="KS26" i="35" s="1"/>
  <c r="FP95" i="30"/>
  <c r="CE26" i="35"/>
  <c r="LU26" i="35" s="1"/>
  <c r="EQ103" i="30"/>
  <c r="AV28" i="35"/>
  <c r="JC28" i="35" s="1"/>
  <c r="FA103" i="30"/>
  <c r="BJ28" i="35"/>
  <c r="KE28" i="35" s="1"/>
  <c r="FK103" i="30"/>
  <c r="BX28" i="35"/>
  <c r="LG28" i="35" s="1"/>
  <c r="EV111" i="30"/>
  <c r="BC30" i="35"/>
  <c r="JQ30" i="35" s="1"/>
  <c r="FF111" i="30"/>
  <c r="BQ30" i="35"/>
  <c r="KS30" i="35" s="1"/>
  <c r="FP111" i="30"/>
  <c r="CE30" i="35"/>
  <c r="LU30" i="35" s="1"/>
  <c r="EQ119" i="30"/>
  <c r="AV32" i="35"/>
  <c r="JC32" i="35" s="1"/>
  <c r="FA119" i="30"/>
  <c r="BJ32" i="35"/>
  <c r="KE32" i="35" s="1"/>
  <c r="FK119" i="30"/>
  <c r="BX32" i="35"/>
  <c r="LG32" i="35" s="1"/>
  <c r="EV127" i="30"/>
  <c r="BC34" i="35"/>
  <c r="JQ34" i="35" s="1"/>
  <c r="FF127" i="30"/>
  <c r="BQ34" i="35"/>
  <c r="KS34" i="35" s="1"/>
  <c r="FP127" i="30"/>
  <c r="CE34" i="35"/>
  <c r="LU34" i="35" s="1"/>
  <c r="EQ135" i="30"/>
  <c r="AV36" i="35"/>
  <c r="JC36" i="35" s="1"/>
  <c r="FK135" i="30"/>
  <c r="BX36" i="35"/>
  <c r="LG36" i="35" s="1"/>
  <c r="EV143" i="30"/>
  <c r="BC38" i="35"/>
  <c r="JQ38" i="35" s="1"/>
  <c r="FF143" i="30"/>
  <c r="BQ38" i="35"/>
  <c r="KS38" i="35" s="1"/>
  <c r="FP143" i="30"/>
  <c r="CE38" i="35"/>
  <c r="LU38" i="35" s="1"/>
  <c r="EQ151" i="30"/>
  <c r="AV40" i="35"/>
  <c r="JC40" i="35" s="1"/>
  <c r="FA151" i="30"/>
  <c r="BJ40" i="35"/>
  <c r="KE40" i="35" s="1"/>
  <c r="FK151" i="30"/>
  <c r="BX40" i="35"/>
  <c r="LG40" i="35" s="1"/>
  <c r="EV159" i="30"/>
  <c r="BC42" i="35"/>
  <c r="JQ42" i="35" s="1"/>
  <c r="FF159" i="30"/>
  <c r="BQ42" i="35"/>
  <c r="KS42" i="35" s="1"/>
  <c r="FP159" i="30"/>
  <c r="CE42" i="35"/>
  <c r="LU42" i="35" s="1"/>
  <c r="DM51" i="30"/>
  <c r="F15" i="35"/>
  <c r="DM99" i="30"/>
  <c r="F27" i="35"/>
  <c r="DM163" i="30"/>
  <c r="F43" i="35"/>
  <c r="DR11" i="30"/>
  <c r="M5" i="35"/>
  <c r="GK5" i="35" s="1"/>
  <c r="EL11" i="30"/>
  <c r="AO5" i="35"/>
  <c r="IO5" i="35" s="1"/>
  <c r="EB15" i="30"/>
  <c r="AA6" i="35"/>
  <c r="HM6" i="35" s="1"/>
  <c r="EB59" i="30"/>
  <c r="AA17" i="35"/>
  <c r="HM17" i="35" s="1"/>
  <c r="EB63" i="30"/>
  <c r="AA18" i="35"/>
  <c r="HM18" i="35" s="1"/>
  <c r="EL83" i="30"/>
  <c r="AO23" i="35"/>
  <c r="IO23" i="35" s="1"/>
  <c r="EL87" i="30"/>
  <c r="AO24" i="35"/>
  <c r="IO24" i="35" s="1"/>
  <c r="DR99" i="30"/>
  <c r="M27" i="35"/>
  <c r="GK27" i="35" s="1"/>
  <c r="EG107" i="30"/>
  <c r="AH29" i="35"/>
  <c r="IA29" i="35" s="1"/>
  <c r="EB111" i="30"/>
  <c r="AA30" i="35"/>
  <c r="HM30" i="35" s="1"/>
  <c r="DR131" i="30"/>
  <c r="M35" i="35"/>
  <c r="GK35" i="35" s="1"/>
  <c r="DR135" i="30"/>
  <c r="M36" i="35"/>
  <c r="GK36" i="35" s="1"/>
  <c r="DR147" i="30"/>
  <c r="M39" i="35"/>
  <c r="GK39" i="35" s="1"/>
  <c r="DR151" i="30"/>
  <c r="M40" i="35"/>
  <c r="GK40" i="35" s="1"/>
  <c r="DM55" i="30"/>
  <c r="F16" i="35"/>
  <c r="DM103" i="30"/>
  <c r="F28" i="35"/>
  <c r="DM135" i="30"/>
  <c r="F36" i="35"/>
  <c r="FF7" i="30"/>
  <c r="BQ4" i="35"/>
  <c r="KS4" i="35" s="1"/>
  <c r="EL71" i="30"/>
  <c r="AO20" i="35"/>
  <c r="IO20" i="35" s="1"/>
  <c r="EG99" i="30"/>
  <c r="AH27" i="35"/>
  <c r="IA27" i="35" s="1"/>
  <c r="EL131" i="30"/>
  <c r="AO35" i="35"/>
  <c r="IO35" i="35" s="1"/>
  <c r="EG135" i="30"/>
  <c r="AH36" i="35"/>
  <c r="IA36" i="35" s="1"/>
  <c r="EG147" i="30"/>
  <c r="AH39" i="35"/>
  <c r="IA39" i="35" s="1"/>
  <c r="EG151" i="30"/>
  <c r="AH40" i="35"/>
  <c r="IA40" i="35" s="1"/>
  <c r="FA11" i="30"/>
  <c r="BJ5" i="35"/>
  <c r="KE5" i="35" s="1"/>
  <c r="DM67" i="30"/>
  <c r="F19" i="35"/>
  <c r="DM147" i="30"/>
  <c r="F39" i="35"/>
  <c r="EL15" i="30"/>
  <c r="AO6" i="35"/>
  <c r="IO6" i="35" s="1"/>
  <c r="EG59" i="30"/>
  <c r="AH17" i="35"/>
  <c r="IA17" i="35" s="1"/>
  <c r="EG63" i="30"/>
  <c r="AH18" i="35"/>
  <c r="IA18" i="35" s="1"/>
  <c r="DR71" i="30"/>
  <c r="M20" i="35"/>
  <c r="GK20" i="35" s="1"/>
  <c r="EG83" i="30"/>
  <c r="AH23" i="35"/>
  <c r="IA23" i="35" s="1"/>
  <c r="EB87" i="30"/>
  <c r="AA24" i="35"/>
  <c r="HM24" i="35" s="1"/>
  <c r="EB107" i="30"/>
  <c r="AA29" i="35"/>
  <c r="HM29" i="35" s="1"/>
  <c r="EL111" i="30"/>
  <c r="AO30" i="35"/>
  <c r="IO30" i="35" s="1"/>
  <c r="DM7" i="30"/>
  <c r="F4" i="35"/>
  <c r="DM71" i="30"/>
  <c r="F20" i="35"/>
  <c r="DM87" i="30"/>
  <c r="F24" i="35"/>
  <c r="DM119" i="30"/>
  <c r="F32" i="35"/>
  <c r="DM151" i="30"/>
  <c r="F40" i="35"/>
  <c r="EL7" i="30"/>
  <c r="AO4" i="35"/>
  <c r="IO4" i="35" s="1"/>
  <c r="DR51" i="30"/>
  <c r="M15" i="35"/>
  <c r="GK15" i="35" s="1"/>
  <c r="DR55" i="30"/>
  <c r="M16" i="35"/>
  <c r="GK16" i="35" s="1"/>
  <c r="EB71" i="30"/>
  <c r="AA20" i="35"/>
  <c r="HM20" i="35" s="1"/>
  <c r="EG71" i="30"/>
  <c r="AH20" i="35"/>
  <c r="IA20" i="35" s="1"/>
  <c r="DR79" i="30"/>
  <c r="M22" i="35"/>
  <c r="GK22" i="35" s="1"/>
  <c r="DR91" i="30"/>
  <c r="M25" i="35"/>
  <c r="GK25" i="35" s="1"/>
  <c r="DR95" i="30"/>
  <c r="M26" i="35"/>
  <c r="GK26" i="35" s="1"/>
  <c r="EB99" i="30"/>
  <c r="AA27" i="35"/>
  <c r="HM27" i="35" s="1"/>
  <c r="EL99" i="30"/>
  <c r="AO27" i="35"/>
  <c r="IO27" i="35" s="1"/>
  <c r="DR103" i="30"/>
  <c r="M28" i="35"/>
  <c r="GK28" i="35" s="1"/>
  <c r="DR119" i="30"/>
  <c r="M32" i="35"/>
  <c r="GK32" i="35" s="1"/>
  <c r="DR127" i="30"/>
  <c r="M34" i="35"/>
  <c r="GK34" i="35" s="1"/>
  <c r="EB131" i="30"/>
  <c r="AA35" i="35"/>
  <c r="HM35" i="35" s="1"/>
  <c r="EG131" i="30"/>
  <c r="AH35" i="35"/>
  <c r="IA35" i="35" s="1"/>
  <c r="EB135" i="30"/>
  <c r="AA36" i="35"/>
  <c r="HM36" i="35" s="1"/>
  <c r="EL135" i="30"/>
  <c r="AO36" i="35"/>
  <c r="IO36" i="35" s="1"/>
  <c r="DR143" i="30"/>
  <c r="M38" i="35"/>
  <c r="GK38" i="35" s="1"/>
  <c r="EB147" i="30"/>
  <c r="AA39" i="35"/>
  <c r="HM39" i="35" s="1"/>
  <c r="EL147" i="30"/>
  <c r="AO39" i="35"/>
  <c r="IO39" i="35" s="1"/>
  <c r="EB151" i="30"/>
  <c r="AA40" i="35"/>
  <c r="HM40" i="35" s="1"/>
  <c r="EL151" i="30"/>
  <c r="AO40" i="35"/>
  <c r="IO40" i="35" s="1"/>
  <c r="DR163" i="30"/>
  <c r="M43" i="35"/>
  <c r="GK43" i="35" s="1"/>
  <c r="DM11" i="30"/>
  <c r="F5" i="35"/>
  <c r="DM59" i="30"/>
  <c r="F17" i="35"/>
  <c r="DM75" i="30"/>
  <c r="F21" i="35"/>
  <c r="DM91" i="30"/>
  <c r="F25" i="35"/>
  <c r="DM107" i="30"/>
  <c r="F29" i="35"/>
  <c r="DM123" i="30"/>
  <c r="F33" i="35"/>
  <c r="DM139" i="30"/>
  <c r="F37" i="35"/>
  <c r="DM155" i="30"/>
  <c r="F41" i="35"/>
  <c r="DR7" i="30"/>
  <c r="M4" i="35"/>
  <c r="GK4" i="35" s="1"/>
  <c r="EG7" i="30"/>
  <c r="AH4" i="35"/>
  <c r="IA4" i="35" s="1"/>
  <c r="FA7" i="30"/>
  <c r="BJ4" i="35"/>
  <c r="KE4" i="35" s="1"/>
  <c r="DR47" i="30"/>
  <c r="M14" i="35"/>
  <c r="GK14" i="35" s="1"/>
  <c r="EB51" i="30"/>
  <c r="AA15" i="35"/>
  <c r="HM15" i="35" s="1"/>
  <c r="EG51" i="30"/>
  <c r="AH15" i="35"/>
  <c r="IA15" i="35" s="1"/>
  <c r="EL51" i="30"/>
  <c r="AO15" i="35"/>
  <c r="IO15" i="35" s="1"/>
  <c r="EB55" i="30"/>
  <c r="AA16" i="35"/>
  <c r="HM16" i="35" s="1"/>
  <c r="EG55" i="30"/>
  <c r="AH16" i="35"/>
  <c r="IA16" i="35" s="1"/>
  <c r="EL55" i="30"/>
  <c r="AO16" i="35"/>
  <c r="IO16" i="35" s="1"/>
  <c r="DR67" i="30"/>
  <c r="M19" i="35"/>
  <c r="GK19" i="35" s="1"/>
  <c r="DR75" i="30"/>
  <c r="M21" i="35"/>
  <c r="GK21" i="35" s="1"/>
  <c r="EB79" i="30"/>
  <c r="AA22" i="35"/>
  <c r="HM22" i="35" s="1"/>
  <c r="EG79" i="30"/>
  <c r="AH22" i="35"/>
  <c r="IA22" i="35" s="1"/>
  <c r="EL79" i="30"/>
  <c r="AO22" i="35"/>
  <c r="IO22" i="35" s="1"/>
  <c r="EB91" i="30"/>
  <c r="AA25" i="35"/>
  <c r="HM25" i="35" s="1"/>
  <c r="EG91" i="30"/>
  <c r="AH25" i="35"/>
  <c r="IA25" i="35" s="1"/>
  <c r="EL91" i="30"/>
  <c r="AO25" i="35"/>
  <c r="IO25" i="35" s="1"/>
  <c r="EB95" i="30"/>
  <c r="AA26" i="35"/>
  <c r="HM26" i="35" s="1"/>
  <c r="EG95" i="30"/>
  <c r="AH26" i="35"/>
  <c r="IA26" i="35" s="1"/>
  <c r="EL95" i="30"/>
  <c r="AO26" i="35"/>
  <c r="IO26" i="35" s="1"/>
  <c r="EB103" i="30"/>
  <c r="AA28" i="35"/>
  <c r="HM28" i="35" s="1"/>
  <c r="EG103" i="30"/>
  <c r="AH28" i="35"/>
  <c r="IA28" i="35" s="1"/>
  <c r="EL103" i="30"/>
  <c r="AO28" i="35"/>
  <c r="IO28" i="35" s="1"/>
  <c r="DR115" i="30"/>
  <c r="M31" i="35"/>
  <c r="GK31" i="35" s="1"/>
  <c r="EB119" i="30"/>
  <c r="AA32" i="35"/>
  <c r="HM32" i="35" s="1"/>
  <c r="EG119" i="30"/>
  <c r="AH32" i="35"/>
  <c r="IA32" i="35" s="1"/>
  <c r="EL119" i="30"/>
  <c r="AO32" i="35"/>
  <c r="IO32" i="35" s="1"/>
  <c r="DR123" i="30"/>
  <c r="M33" i="35"/>
  <c r="GK33" i="35" s="1"/>
  <c r="EB127" i="30"/>
  <c r="AA34" i="35"/>
  <c r="HM34" i="35" s="1"/>
  <c r="EG127" i="30"/>
  <c r="AH34" i="35"/>
  <c r="IA34" i="35" s="1"/>
  <c r="EL127" i="30"/>
  <c r="AO34" i="35"/>
  <c r="IO34" i="35" s="1"/>
  <c r="DR139" i="30"/>
  <c r="M37" i="35"/>
  <c r="GK37" i="35" s="1"/>
  <c r="EB143" i="30"/>
  <c r="AA38" i="35"/>
  <c r="HM38" i="35" s="1"/>
  <c r="EG143" i="30"/>
  <c r="AH38" i="35"/>
  <c r="IA38" i="35" s="1"/>
  <c r="EL143" i="30"/>
  <c r="AO38" i="35"/>
  <c r="IO38" i="35" s="1"/>
  <c r="DR155" i="30"/>
  <c r="M41" i="35"/>
  <c r="GK41" i="35" s="1"/>
  <c r="DR159" i="30"/>
  <c r="M42" i="35"/>
  <c r="GK42" i="35" s="1"/>
  <c r="EB163" i="30"/>
  <c r="AA43" i="35"/>
  <c r="HM43" i="35" s="1"/>
  <c r="EG163" i="30"/>
  <c r="AH43" i="35"/>
  <c r="IA43" i="35" s="1"/>
  <c r="EL163" i="30"/>
  <c r="AO43" i="35"/>
  <c r="IO43" i="35" s="1"/>
  <c r="DM115" i="30"/>
  <c r="F31" i="35"/>
  <c r="DW7" i="30"/>
  <c r="T4" i="35"/>
  <c r="GY4" i="35" s="1"/>
  <c r="EQ7" i="30"/>
  <c r="AV4" i="35"/>
  <c r="JC4" i="35" s="1"/>
  <c r="FK7" i="30"/>
  <c r="BX4" i="35"/>
  <c r="LG4" i="35" s="1"/>
  <c r="EG11" i="30"/>
  <c r="AH5" i="35"/>
  <c r="IA5" i="35" s="1"/>
  <c r="DM15" i="30"/>
  <c r="F6" i="35"/>
  <c r="DM47" i="30"/>
  <c r="F14" i="35"/>
  <c r="DM63" i="30"/>
  <c r="F18" i="35"/>
  <c r="DM79" i="30"/>
  <c r="F22" i="35"/>
  <c r="DM95" i="30"/>
  <c r="F26" i="35"/>
  <c r="DM111" i="30"/>
  <c r="F30" i="35"/>
  <c r="DM127" i="30"/>
  <c r="F34" i="35"/>
  <c r="DM143" i="30"/>
  <c r="F38" i="35"/>
  <c r="DM159" i="30"/>
  <c r="F42" i="35"/>
  <c r="EV7" i="30"/>
  <c r="BC4" i="35"/>
  <c r="JQ4" i="35" s="1"/>
  <c r="FP7" i="30"/>
  <c r="CE4" i="35"/>
  <c r="LU4" i="35" s="1"/>
  <c r="DR15" i="30"/>
  <c r="M6" i="35"/>
  <c r="GK6" i="35" s="1"/>
  <c r="EB47" i="30"/>
  <c r="AA14" i="35"/>
  <c r="HM14" i="35" s="1"/>
  <c r="EG47" i="30"/>
  <c r="AH14" i="35"/>
  <c r="IA14" i="35" s="1"/>
  <c r="EL47" i="30"/>
  <c r="AO14" i="35"/>
  <c r="IO14" i="35" s="1"/>
  <c r="DR59" i="30"/>
  <c r="M17" i="35"/>
  <c r="GK17" i="35" s="1"/>
  <c r="DR63" i="30"/>
  <c r="M18" i="35"/>
  <c r="GK18" i="35" s="1"/>
  <c r="EB67" i="30"/>
  <c r="AA19" i="35"/>
  <c r="HM19" i="35" s="1"/>
  <c r="EG67" i="30"/>
  <c r="AH19" i="35"/>
  <c r="IA19" i="35" s="1"/>
  <c r="EL67" i="30"/>
  <c r="AO19" i="35"/>
  <c r="IO19" i="35" s="1"/>
  <c r="EB75" i="30"/>
  <c r="AA21" i="35"/>
  <c r="HM21" i="35" s="1"/>
  <c r="EG75" i="30"/>
  <c r="AH21" i="35"/>
  <c r="IA21" i="35" s="1"/>
  <c r="EL75" i="30"/>
  <c r="AO21" i="35"/>
  <c r="IO21" i="35" s="1"/>
  <c r="DR83" i="30"/>
  <c r="M23" i="35"/>
  <c r="GK23" i="35" s="1"/>
  <c r="DR87" i="30"/>
  <c r="M24" i="35"/>
  <c r="GK24" i="35" s="1"/>
  <c r="DR107" i="30"/>
  <c r="M29" i="35"/>
  <c r="GK29" i="35" s="1"/>
  <c r="DR111" i="30"/>
  <c r="M30" i="35"/>
  <c r="GK30" i="35" s="1"/>
  <c r="EB115" i="30"/>
  <c r="AA31" i="35"/>
  <c r="HM31" i="35" s="1"/>
  <c r="EG115" i="30"/>
  <c r="AH31" i="35"/>
  <c r="IA31" i="35" s="1"/>
  <c r="EL115" i="30"/>
  <c r="AO31" i="35"/>
  <c r="IO31" i="35" s="1"/>
  <c r="EB123" i="30"/>
  <c r="AA33" i="35"/>
  <c r="HM33" i="35" s="1"/>
  <c r="EG123" i="30"/>
  <c r="AH33" i="35"/>
  <c r="IA33" i="35" s="1"/>
  <c r="EL123" i="30"/>
  <c r="AO33" i="35"/>
  <c r="IO33" i="35" s="1"/>
  <c r="EB139" i="30"/>
  <c r="AA37" i="35"/>
  <c r="HM37" i="35" s="1"/>
  <c r="EG139" i="30"/>
  <c r="AH37" i="35"/>
  <c r="IA37" i="35" s="1"/>
  <c r="EL139" i="30"/>
  <c r="AO37" i="35"/>
  <c r="IO37" i="35" s="1"/>
  <c r="EB155" i="30"/>
  <c r="AA41" i="35"/>
  <c r="HM41" i="35" s="1"/>
  <c r="EG155" i="30"/>
  <c r="AH41" i="35"/>
  <c r="IA41" i="35" s="1"/>
  <c r="EL155" i="30"/>
  <c r="AO41" i="35"/>
  <c r="IO41" i="35" s="1"/>
  <c r="EB159" i="30"/>
  <c r="AA42" i="35"/>
  <c r="HM42" i="35" s="1"/>
  <c r="EG159" i="30"/>
  <c r="AH42" i="35"/>
  <c r="IA42" i="35" s="1"/>
  <c r="EL159" i="30"/>
  <c r="AO42" i="35"/>
  <c r="IO42" i="35" s="1"/>
  <c r="EB43" i="30"/>
  <c r="AA13" i="35"/>
  <c r="HM13" i="35" s="1"/>
  <c r="EG43" i="30"/>
  <c r="AH13" i="35"/>
  <c r="IA13" i="35" s="1"/>
  <c r="EL43" i="30"/>
  <c r="AO13" i="35"/>
  <c r="IO13" i="35" s="1"/>
  <c r="FF43" i="30"/>
  <c r="DR43" i="30"/>
  <c r="M13" i="35"/>
  <c r="GK13" i="35" s="1"/>
  <c r="DM43" i="30"/>
  <c r="F13" i="35"/>
  <c r="FP43" i="30"/>
  <c r="EQ39" i="30"/>
  <c r="AV12" i="35"/>
  <c r="JC12" i="35" s="1"/>
  <c r="FA39" i="30"/>
  <c r="BJ12" i="35"/>
  <c r="KE12" i="35" s="1"/>
  <c r="FK39" i="30"/>
  <c r="BX12" i="35"/>
  <c r="LG12" i="35" s="1"/>
  <c r="DM39" i="30"/>
  <c r="F12" i="35"/>
  <c r="DR39" i="30"/>
  <c r="M12" i="35"/>
  <c r="GK12" i="35" s="1"/>
  <c r="EB39" i="30"/>
  <c r="AA12" i="35"/>
  <c r="HM12" i="35" s="1"/>
  <c r="EG39" i="30"/>
  <c r="AH12" i="35"/>
  <c r="IA12" i="35" s="1"/>
  <c r="EL39" i="30"/>
  <c r="AO12" i="35"/>
  <c r="IO12" i="35" s="1"/>
  <c r="EB35" i="30"/>
  <c r="AA11" i="35"/>
  <c r="HM11" i="35" s="1"/>
  <c r="EG35" i="30"/>
  <c r="AH11" i="35"/>
  <c r="IA11" i="35" s="1"/>
  <c r="EL35" i="30"/>
  <c r="AO11" i="35"/>
  <c r="IO11" i="35" s="1"/>
  <c r="DM35" i="30"/>
  <c r="F11" i="35"/>
  <c r="DR35" i="30"/>
  <c r="M11" i="35"/>
  <c r="GK11" i="35" s="1"/>
  <c r="DM31" i="30"/>
  <c r="F10" i="35"/>
  <c r="EV31" i="30"/>
  <c r="BC10" i="35"/>
  <c r="JQ10" i="35" s="1"/>
  <c r="FF31" i="30"/>
  <c r="BQ10" i="35"/>
  <c r="KS10" i="35" s="1"/>
  <c r="FP31" i="30"/>
  <c r="CE10" i="35"/>
  <c r="LU10" i="35" s="1"/>
  <c r="DR31" i="30"/>
  <c r="M10" i="35"/>
  <c r="GK10" i="35" s="1"/>
  <c r="EB31" i="30"/>
  <c r="AA10" i="35"/>
  <c r="HM10" i="35" s="1"/>
  <c r="EG31" i="30"/>
  <c r="AH10" i="35"/>
  <c r="IA10" i="35" s="1"/>
  <c r="EL31" i="30"/>
  <c r="AO10" i="35"/>
  <c r="IO10" i="35" s="1"/>
  <c r="DM27" i="30"/>
  <c r="F9" i="35"/>
  <c r="DR27" i="30"/>
  <c r="M9" i="35"/>
  <c r="GK9" i="35" s="1"/>
  <c r="FG27" i="30"/>
  <c r="EB27" i="30"/>
  <c r="AA9" i="35"/>
  <c r="HM9" i="35" s="1"/>
  <c r="EG27" i="30"/>
  <c r="AH9" i="35"/>
  <c r="IA9" i="35" s="1"/>
  <c r="EL27" i="30"/>
  <c r="AO9" i="35"/>
  <c r="IO9" i="35" s="1"/>
  <c r="EW27" i="30"/>
  <c r="DR23" i="30"/>
  <c r="M8" i="35"/>
  <c r="GK8" i="35" s="1"/>
  <c r="EB23" i="30"/>
  <c r="AA8" i="35"/>
  <c r="HM8" i="35" s="1"/>
  <c r="EG23" i="30"/>
  <c r="AH8" i="35"/>
  <c r="IA8" i="35" s="1"/>
  <c r="EL23" i="30"/>
  <c r="AO8" i="35"/>
  <c r="IO8" i="35" s="1"/>
  <c r="EQ23" i="30"/>
  <c r="AV8" i="35"/>
  <c r="JC8" i="35" s="1"/>
  <c r="FA23" i="30"/>
  <c r="BJ8" i="35"/>
  <c r="KE8" i="35" s="1"/>
  <c r="FK23" i="30"/>
  <c r="BX8" i="35"/>
  <c r="LG8" i="35" s="1"/>
  <c r="DM23" i="30"/>
  <c r="F8" i="35"/>
  <c r="DM19" i="30"/>
  <c r="F7" i="35"/>
  <c r="DR19" i="30"/>
  <c r="M7" i="35"/>
  <c r="GK7" i="35" s="1"/>
  <c r="EB19" i="30"/>
  <c r="AA7" i="35"/>
  <c r="HM7" i="35" s="1"/>
  <c r="EG19" i="30"/>
  <c r="AH7" i="35"/>
  <c r="IA7" i="35" s="1"/>
  <c r="EL19" i="30"/>
  <c r="AO7" i="35"/>
  <c r="IO7" i="35" s="1"/>
  <c r="DM41" i="19"/>
  <c r="CL8" i="35"/>
  <c r="DM49" i="19"/>
  <c r="CL9" i="35"/>
  <c r="DM57" i="19"/>
  <c r="CL10" i="35"/>
  <c r="DM129" i="19"/>
  <c r="CL19" i="35"/>
  <c r="DM209" i="19"/>
  <c r="CL29" i="35"/>
  <c r="DM217" i="19"/>
  <c r="CL30" i="35"/>
  <c r="DM225" i="19"/>
  <c r="CL31" i="35"/>
  <c r="DM241" i="19"/>
  <c r="CL33" i="35"/>
  <c r="DM249" i="19"/>
  <c r="CL34" i="35"/>
  <c r="DM97" i="19"/>
  <c r="CL15" i="35"/>
  <c r="DM121" i="19"/>
  <c r="CL18" i="35"/>
  <c r="DM233" i="19"/>
  <c r="CL32" i="35"/>
  <c r="DM257" i="19"/>
  <c r="CL35" i="35"/>
  <c r="DM273" i="19"/>
  <c r="CL37" i="35"/>
  <c r="DM17" i="19"/>
  <c r="DM81" i="19"/>
  <c r="CL13" i="35"/>
  <c r="DM105" i="19"/>
  <c r="CL16" i="35"/>
  <c r="DM113" i="19"/>
  <c r="CL17" i="35"/>
  <c r="DM145" i="19"/>
  <c r="CL21" i="35"/>
  <c r="DM153" i="19"/>
  <c r="CL22" i="35"/>
  <c r="DM265" i="19"/>
  <c r="CL36" i="35"/>
  <c r="DM281" i="19"/>
  <c r="CL38" i="35"/>
  <c r="DM289" i="19"/>
  <c r="CL39" i="35"/>
  <c r="DM297" i="19"/>
  <c r="CL40" i="35"/>
  <c r="DM305" i="19"/>
  <c r="CL41" i="35"/>
  <c r="DM313" i="19"/>
  <c r="CL42" i="35"/>
  <c r="DM321" i="19"/>
  <c r="CL43" i="35"/>
  <c r="DM33" i="19"/>
  <c r="CL7" i="35"/>
  <c r="DM73" i="19"/>
  <c r="CL12" i="35"/>
  <c r="FW12" i="35" s="1"/>
  <c r="DM89" i="19"/>
  <c r="CL14" i="35"/>
  <c r="DM137" i="19"/>
  <c r="CL20" i="35"/>
  <c r="DM161" i="19"/>
  <c r="CL23" i="35"/>
  <c r="FW23" i="35" s="1"/>
  <c r="DM169" i="19"/>
  <c r="CL24" i="35"/>
  <c r="DM177" i="19"/>
  <c r="CL25" i="35"/>
  <c r="DM185" i="19"/>
  <c r="CL26" i="35"/>
  <c r="DM193" i="19"/>
  <c r="CL27" i="35"/>
  <c r="DM201" i="19"/>
  <c r="CL28" i="35"/>
  <c r="ER39" i="30"/>
  <c r="FL39" i="30"/>
  <c r="FG63" i="30"/>
  <c r="FB71" i="30"/>
  <c r="EW95" i="30"/>
  <c r="EW111" i="30"/>
  <c r="ER119" i="30"/>
  <c r="FL119" i="30"/>
  <c r="FL135" i="30"/>
  <c r="FG159" i="30"/>
  <c r="EW15" i="30"/>
  <c r="EW31" i="30"/>
  <c r="EH15" i="30"/>
  <c r="AK6" i="35"/>
  <c r="ER7" i="30"/>
  <c r="AY4" i="35"/>
  <c r="DX19" i="30"/>
  <c r="W7" i="35"/>
  <c r="HE7" i="35" s="1"/>
  <c r="EH19" i="30"/>
  <c r="AK7" i="35"/>
  <c r="IG7" i="35" s="1"/>
  <c r="EM23" i="30"/>
  <c r="AR8" i="35"/>
  <c r="IU8" i="35" s="1"/>
  <c r="DN63" i="30"/>
  <c r="I18" i="35"/>
  <c r="GC18" i="35" s="1"/>
  <c r="DN71" i="30"/>
  <c r="I20" i="35"/>
  <c r="GC20" i="35" s="1"/>
  <c r="EH75" i="30"/>
  <c r="AK21" i="35"/>
  <c r="EM11" i="30"/>
  <c r="AR5" i="35"/>
  <c r="DN15" i="30"/>
  <c r="I6" i="35"/>
  <c r="GC6" i="35" s="1"/>
  <c r="DS15" i="30"/>
  <c r="P6" i="35"/>
  <c r="DN27" i="30"/>
  <c r="I9" i="35"/>
  <c r="GC9" i="35" s="1"/>
  <c r="DS27" i="30"/>
  <c r="P9" i="35"/>
  <c r="GQ9" i="35" s="1"/>
  <c r="DN31" i="30"/>
  <c r="I10" i="35"/>
  <c r="GC10" i="35" s="1"/>
  <c r="DS31" i="30"/>
  <c r="P10" i="35"/>
  <c r="GQ10" i="35" s="1"/>
  <c r="DN35" i="30"/>
  <c r="I11" i="35"/>
  <c r="GC11" i="35" s="1"/>
  <c r="DS35" i="30"/>
  <c r="P11" i="35"/>
  <c r="GQ11" i="35" s="1"/>
  <c r="DN39" i="30"/>
  <c r="I12" i="35"/>
  <c r="GC12" i="35" s="1"/>
  <c r="DS39" i="30"/>
  <c r="P12" i="35"/>
  <c r="GQ12" i="35" s="1"/>
  <c r="DX43" i="30"/>
  <c r="W13" i="35"/>
  <c r="EC43" i="30"/>
  <c r="AD13" i="35"/>
  <c r="EH43" i="30"/>
  <c r="AK13" i="35"/>
  <c r="EM43" i="30"/>
  <c r="AR13" i="35"/>
  <c r="DX47" i="30"/>
  <c r="W14" i="35"/>
  <c r="EC47" i="30"/>
  <c r="AD14" i="35"/>
  <c r="EH47" i="30"/>
  <c r="AK14" i="35"/>
  <c r="EM47" i="30"/>
  <c r="AR14" i="35"/>
  <c r="DX51" i="30"/>
  <c r="W15" i="35"/>
  <c r="HE15" i="35" s="1"/>
  <c r="EC51" i="30"/>
  <c r="AD15" i="35"/>
  <c r="HS15" i="35" s="1"/>
  <c r="EH51" i="30"/>
  <c r="AK15" i="35"/>
  <c r="IG15" i="35" s="1"/>
  <c r="EM51" i="30"/>
  <c r="AR15" i="35"/>
  <c r="IU15" i="35" s="1"/>
  <c r="DX55" i="30"/>
  <c r="W16" i="35"/>
  <c r="HE16" i="35" s="1"/>
  <c r="EC55" i="30"/>
  <c r="AD16" i="35"/>
  <c r="EH55" i="30"/>
  <c r="AK16" i="35"/>
  <c r="EM55" i="30"/>
  <c r="AR16" i="35"/>
  <c r="DN91" i="30"/>
  <c r="I25" i="35"/>
  <c r="GC25" i="35" s="1"/>
  <c r="DS91" i="30"/>
  <c r="P25" i="35"/>
  <c r="GQ25" i="35" s="1"/>
  <c r="DN95" i="30"/>
  <c r="I26" i="35"/>
  <c r="GC26" i="35" s="1"/>
  <c r="DS95" i="30"/>
  <c r="P26" i="35"/>
  <c r="DN99" i="30"/>
  <c r="I27" i="35"/>
  <c r="GC27" i="35" s="1"/>
  <c r="DS99" i="30"/>
  <c r="P27" i="35"/>
  <c r="GQ27" i="35" s="1"/>
  <c r="DN107" i="30"/>
  <c r="I29" i="35"/>
  <c r="GC29" i="35" s="1"/>
  <c r="DS107" i="30"/>
  <c r="P29" i="35"/>
  <c r="GQ29" i="35" s="1"/>
  <c r="DN111" i="30"/>
  <c r="I30" i="35"/>
  <c r="GC30" i="35" s="1"/>
  <c r="DS111" i="30"/>
  <c r="P30" i="35"/>
  <c r="GQ30" i="35" s="1"/>
  <c r="DN115" i="30"/>
  <c r="I31" i="35"/>
  <c r="GC31" i="35" s="1"/>
  <c r="DS115" i="30"/>
  <c r="P31" i="35"/>
  <c r="GQ31" i="35" s="1"/>
  <c r="DN119" i="30"/>
  <c r="I32" i="35"/>
  <c r="GC32" i="35" s="1"/>
  <c r="DS119" i="30"/>
  <c r="P32" i="35"/>
  <c r="GQ32" i="35" s="1"/>
  <c r="DX123" i="30"/>
  <c r="W33" i="35"/>
  <c r="EC123" i="30"/>
  <c r="AD33" i="35"/>
  <c r="EH123" i="30"/>
  <c r="AK33" i="35"/>
  <c r="EM123" i="30"/>
  <c r="AR33" i="35"/>
  <c r="DX127" i="30"/>
  <c r="W34" i="35"/>
  <c r="EC127" i="30"/>
  <c r="AD34" i="35"/>
  <c r="EH127" i="30"/>
  <c r="AK34" i="35"/>
  <c r="EM127" i="30"/>
  <c r="AR34" i="35"/>
  <c r="DX131" i="30"/>
  <c r="W35" i="35"/>
  <c r="HE35" i="35" s="1"/>
  <c r="EC131" i="30"/>
  <c r="AD35" i="35"/>
  <c r="HS35" i="35" s="1"/>
  <c r="EH131" i="30"/>
  <c r="AK35" i="35"/>
  <c r="IG35" i="35" s="1"/>
  <c r="EM131" i="30"/>
  <c r="AR35" i="35"/>
  <c r="IU35" i="35" s="1"/>
  <c r="DX135" i="30"/>
  <c r="W36" i="35"/>
  <c r="HE36" i="35" s="1"/>
  <c r="EC135" i="30"/>
  <c r="AD36" i="35"/>
  <c r="HS36" i="35" s="1"/>
  <c r="EH135" i="30"/>
  <c r="AK36" i="35"/>
  <c r="IG36" i="35" s="1"/>
  <c r="EM135" i="30"/>
  <c r="AR36" i="35"/>
  <c r="IU36" i="35" s="1"/>
  <c r="DX139" i="30"/>
  <c r="W37" i="35"/>
  <c r="HE37" i="35" s="1"/>
  <c r="EC139" i="30"/>
  <c r="AD37" i="35"/>
  <c r="HS37" i="35" s="1"/>
  <c r="EH139" i="30"/>
  <c r="AK37" i="35"/>
  <c r="IG37" i="35" s="1"/>
  <c r="EM139" i="30"/>
  <c r="AR37" i="35"/>
  <c r="IU37" i="35" s="1"/>
  <c r="DX143" i="30"/>
  <c r="W38" i="35"/>
  <c r="EC143" i="30"/>
  <c r="AD38" i="35"/>
  <c r="EH143" i="30"/>
  <c r="AK38" i="35"/>
  <c r="EM143" i="30"/>
  <c r="AR38" i="35"/>
  <c r="DX147" i="30"/>
  <c r="W39" i="35"/>
  <c r="EC147" i="30"/>
  <c r="AD39" i="35"/>
  <c r="EH147" i="30"/>
  <c r="AK39" i="35"/>
  <c r="EM147" i="30"/>
  <c r="AR39" i="35"/>
  <c r="DX151" i="30"/>
  <c r="W40" i="35"/>
  <c r="EC151" i="30"/>
  <c r="AD40" i="35"/>
  <c r="EH151" i="30"/>
  <c r="AK40" i="35"/>
  <c r="EM151" i="30"/>
  <c r="AR40" i="35"/>
  <c r="FB11" i="30"/>
  <c r="BM5" i="35"/>
  <c r="FG19" i="30"/>
  <c r="BT7" i="35"/>
  <c r="KY7" i="35" s="1"/>
  <c r="ER27" i="30"/>
  <c r="AY9" i="35"/>
  <c r="FB27" i="30"/>
  <c r="BM9" i="35"/>
  <c r="FL27" i="30"/>
  <c r="CA9" i="35"/>
  <c r="EW35" i="30"/>
  <c r="BF11" i="35"/>
  <c r="FG35" i="30"/>
  <c r="BT11" i="35"/>
  <c r="ER43" i="30"/>
  <c r="AY13" i="35"/>
  <c r="FB43" i="30"/>
  <c r="BM13" i="35"/>
  <c r="FL43" i="30"/>
  <c r="CA13" i="35"/>
  <c r="EW51" i="30"/>
  <c r="BF15" i="35"/>
  <c r="JW15" i="35" s="1"/>
  <c r="FG51" i="30"/>
  <c r="BT15" i="35"/>
  <c r="KY15" i="35" s="1"/>
  <c r="ER59" i="30"/>
  <c r="AY17" i="35"/>
  <c r="FB59" i="30"/>
  <c r="BM17" i="35"/>
  <c r="FL59" i="30"/>
  <c r="CA17" i="35"/>
  <c r="EW67" i="30"/>
  <c r="BF19" i="35"/>
  <c r="FG67" i="30"/>
  <c r="BT19" i="35"/>
  <c r="ER75" i="30"/>
  <c r="AY21" i="35"/>
  <c r="FB75" i="30"/>
  <c r="BM21" i="35"/>
  <c r="FL75" i="30"/>
  <c r="CA21" i="35"/>
  <c r="EW83" i="30"/>
  <c r="BF23" i="35"/>
  <c r="JW23" i="35" s="1"/>
  <c r="FG83" i="30"/>
  <c r="BT23" i="35"/>
  <c r="KY23" i="35" s="1"/>
  <c r="ER91" i="30"/>
  <c r="AY25" i="35"/>
  <c r="JI25" i="35" s="1"/>
  <c r="FB91" i="30"/>
  <c r="BM25" i="35"/>
  <c r="KK25" i="35" s="1"/>
  <c r="FL91" i="30"/>
  <c r="CA25" i="35"/>
  <c r="LM25" i="35" s="1"/>
  <c r="FG99" i="30"/>
  <c r="BT27" i="35"/>
  <c r="KY27" i="35" s="1"/>
  <c r="ER107" i="30"/>
  <c r="AY29" i="35"/>
  <c r="JI29" i="35" s="1"/>
  <c r="FB107" i="30"/>
  <c r="BM29" i="35"/>
  <c r="KK29" i="35" s="1"/>
  <c r="FL107" i="30"/>
  <c r="CA29" i="35"/>
  <c r="LM29" i="35" s="1"/>
  <c r="EW115" i="30"/>
  <c r="BF31" i="35"/>
  <c r="JW31" i="35" s="1"/>
  <c r="FG115" i="30"/>
  <c r="BT31" i="35"/>
  <c r="KY31" i="35" s="1"/>
  <c r="ER123" i="30"/>
  <c r="AY33" i="35"/>
  <c r="FB123" i="30"/>
  <c r="BM33" i="35"/>
  <c r="FL123" i="30"/>
  <c r="CA33" i="35"/>
  <c r="EW131" i="30"/>
  <c r="BF35" i="35"/>
  <c r="JW35" i="35" s="1"/>
  <c r="FG131" i="30"/>
  <c r="BT35" i="35"/>
  <c r="KY35" i="35" s="1"/>
  <c r="ER139" i="30"/>
  <c r="AY37" i="35"/>
  <c r="JI37" i="35" s="1"/>
  <c r="FB139" i="30"/>
  <c r="BM37" i="35"/>
  <c r="KK37" i="35" s="1"/>
  <c r="FL139" i="30"/>
  <c r="CA37" i="35"/>
  <c r="LM37" i="35" s="1"/>
  <c r="EW147" i="30"/>
  <c r="BF39" i="35"/>
  <c r="FG147" i="30"/>
  <c r="BT39" i="35"/>
  <c r="ER155" i="30"/>
  <c r="AY41" i="35"/>
  <c r="JI41" i="35" s="1"/>
  <c r="FB155" i="30"/>
  <c r="BM41" i="35"/>
  <c r="KK41" i="35" s="1"/>
  <c r="FL155" i="30"/>
  <c r="CA41" i="35"/>
  <c r="LM41" i="35" s="1"/>
  <c r="EW163" i="30"/>
  <c r="BF43" i="35"/>
  <c r="FG163" i="30"/>
  <c r="BT43" i="35"/>
  <c r="DS19" i="30"/>
  <c r="P7" i="35"/>
  <c r="GQ7" i="35" s="1"/>
  <c r="DS23" i="30"/>
  <c r="P8" i="35"/>
  <c r="GQ8" i="35" s="1"/>
  <c r="DX27" i="30"/>
  <c r="W9" i="35"/>
  <c r="EC27" i="30"/>
  <c r="AD9" i="35"/>
  <c r="EH27" i="30"/>
  <c r="AK9" i="35"/>
  <c r="EM27" i="30"/>
  <c r="AR9" i="35"/>
  <c r="DX31" i="30"/>
  <c r="W10" i="35"/>
  <c r="EC31" i="30"/>
  <c r="AD10" i="35"/>
  <c r="EH31" i="30"/>
  <c r="AK10" i="35"/>
  <c r="EM31" i="30"/>
  <c r="AR10" i="35"/>
  <c r="DX35" i="30"/>
  <c r="W11" i="35"/>
  <c r="EC35" i="30"/>
  <c r="AD11" i="35"/>
  <c r="EH35" i="30"/>
  <c r="AK11" i="35"/>
  <c r="EM35" i="30"/>
  <c r="AR11" i="35"/>
  <c r="DX39" i="30"/>
  <c r="W12" i="35"/>
  <c r="EC39" i="30"/>
  <c r="AD12" i="35"/>
  <c r="EH39" i="30"/>
  <c r="AK12" i="35"/>
  <c r="EM39" i="30"/>
  <c r="AR12" i="35"/>
  <c r="DN75" i="30"/>
  <c r="I21" i="35"/>
  <c r="GC21" i="35" s="1"/>
  <c r="DS75" i="30"/>
  <c r="P21" i="35"/>
  <c r="DN79" i="30"/>
  <c r="I22" i="35"/>
  <c r="GC22" i="35" s="1"/>
  <c r="DS79" i="30"/>
  <c r="P22" i="35"/>
  <c r="GQ22" i="35" s="1"/>
  <c r="DN83" i="30"/>
  <c r="I23" i="35"/>
  <c r="GC23" i="35" s="1"/>
  <c r="DS83" i="30"/>
  <c r="P23" i="35"/>
  <c r="GQ23" i="35" s="1"/>
  <c r="DN87" i="30"/>
  <c r="I24" i="35"/>
  <c r="GC24" i="35" s="1"/>
  <c r="DS87" i="30"/>
  <c r="P24" i="35"/>
  <c r="GQ24" i="35" s="1"/>
  <c r="DX91" i="30"/>
  <c r="W25" i="35"/>
  <c r="HE25" i="35" s="1"/>
  <c r="EC91" i="30"/>
  <c r="AD25" i="35"/>
  <c r="HS25" i="35" s="1"/>
  <c r="EH91" i="30"/>
  <c r="AK25" i="35"/>
  <c r="IG25" i="35" s="1"/>
  <c r="EM91" i="30"/>
  <c r="AR25" i="35"/>
  <c r="IU25" i="35" s="1"/>
  <c r="DX95" i="30"/>
  <c r="W26" i="35"/>
  <c r="EC95" i="30"/>
  <c r="AD26" i="35"/>
  <c r="EH95" i="30"/>
  <c r="AK26" i="35"/>
  <c r="EM95" i="30"/>
  <c r="AR26" i="35"/>
  <c r="DX99" i="30"/>
  <c r="W27" i="35"/>
  <c r="HE27" i="35" s="1"/>
  <c r="EC99" i="30"/>
  <c r="AD27" i="35"/>
  <c r="HS27" i="35" s="1"/>
  <c r="EH99" i="30"/>
  <c r="AK27" i="35"/>
  <c r="IG27" i="35" s="1"/>
  <c r="EM99" i="30"/>
  <c r="AR27" i="35"/>
  <c r="IU27" i="35" s="1"/>
  <c r="DN103" i="30"/>
  <c r="I28" i="35"/>
  <c r="GC28" i="35" s="1"/>
  <c r="DS103" i="30"/>
  <c r="P28" i="35"/>
  <c r="GQ28" i="35" s="1"/>
  <c r="DX107" i="30"/>
  <c r="W29" i="35"/>
  <c r="HE29" i="35" s="1"/>
  <c r="EC107" i="30"/>
  <c r="AD29" i="35"/>
  <c r="HS29" i="35" s="1"/>
  <c r="EH107" i="30"/>
  <c r="AK29" i="35"/>
  <c r="IG29" i="35" s="1"/>
  <c r="EM107" i="30"/>
  <c r="AR29" i="35"/>
  <c r="IU29" i="35" s="1"/>
  <c r="DX111" i="30"/>
  <c r="W30" i="35"/>
  <c r="HE30" i="35" s="1"/>
  <c r="EC111" i="30"/>
  <c r="AD30" i="35"/>
  <c r="HS30" i="35" s="1"/>
  <c r="EH111" i="30"/>
  <c r="AK30" i="35"/>
  <c r="IG30" i="35" s="1"/>
  <c r="EM111" i="30"/>
  <c r="AR30" i="35"/>
  <c r="IU30" i="35" s="1"/>
  <c r="DX115" i="30"/>
  <c r="W31" i="35"/>
  <c r="HE31" i="35" s="1"/>
  <c r="EC115" i="30"/>
  <c r="AD31" i="35"/>
  <c r="HS31" i="35" s="1"/>
  <c r="EH115" i="30"/>
  <c r="AK31" i="35"/>
  <c r="IG31" i="35" s="1"/>
  <c r="EM115" i="30"/>
  <c r="AR31" i="35"/>
  <c r="IU31" i="35" s="1"/>
  <c r="DX119" i="30"/>
  <c r="W32" i="35"/>
  <c r="HE32" i="35" s="1"/>
  <c r="EC119" i="30"/>
  <c r="AD32" i="35"/>
  <c r="EH119" i="30"/>
  <c r="AK32" i="35"/>
  <c r="EM119" i="30"/>
  <c r="AR32" i="35"/>
  <c r="FL15" i="30"/>
  <c r="CA6" i="35"/>
  <c r="DS7" i="30"/>
  <c r="P4" i="35"/>
  <c r="DN19" i="30"/>
  <c r="I7" i="35"/>
  <c r="GC7" i="35" s="1"/>
  <c r="EC19" i="30"/>
  <c r="AD7" i="35"/>
  <c r="HS7" i="35" s="1"/>
  <c r="EC23" i="30"/>
  <c r="AD8" i="35"/>
  <c r="HS8" i="35" s="1"/>
  <c r="DN59" i="30"/>
  <c r="I17" i="35"/>
  <c r="GC17" i="35" s="1"/>
  <c r="DS63" i="30"/>
  <c r="P18" i="35"/>
  <c r="GQ18" i="35" s="1"/>
  <c r="DS67" i="30"/>
  <c r="P19" i="35"/>
  <c r="GQ19" i="35" s="1"/>
  <c r="DX75" i="30"/>
  <c r="W21" i="35"/>
  <c r="EC75" i="30"/>
  <c r="AD21" i="35"/>
  <c r="DX79" i="30"/>
  <c r="W22" i="35"/>
  <c r="HE22" i="35" s="1"/>
  <c r="EC79" i="30"/>
  <c r="AD22" i="35"/>
  <c r="HS22" i="35" s="1"/>
  <c r="EH79" i="30"/>
  <c r="AK22" i="35"/>
  <c r="IG22" i="35" s="1"/>
  <c r="EM79" i="30"/>
  <c r="AR22" i="35"/>
  <c r="IU22" i="35" s="1"/>
  <c r="DX83" i="30"/>
  <c r="W23" i="35"/>
  <c r="HE23" i="35" s="1"/>
  <c r="EC83" i="30"/>
  <c r="AD23" i="35"/>
  <c r="HS23" i="35" s="1"/>
  <c r="EH83" i="30"/>
  <c r="AK23" i="35"/>
  <c r="IG23" i="35" s="1"/>
  <c r="EM83" i="30"/>
  <c r="AR23" i="35"/>
  <c r="IU23" i="35" s="1"/>
  <c r="DX87" i="30"/>
  <c r="W24" i="35"/>
  <c r="HE24" i="35" s="1"/>
  <c r="EC87" i="30"/>
  <c r="AD24" i="35"/>
  <c r="EH87" i="30"/>
  <c r="AK24" i="35"/>
  <c r="EM87" i="30"/>
  <c r="AR24" i="35"/>
  <c r="DX103" i="30"/>
  <c r="W28" i="35"/>
  <c r="HE28" i="35" s="1"/>
  <c r="EC103" i="30"/>
  <c r="AD28" i="35"/>
  <c r="HS28" i="35" s="1"/>
  <c r="EH103" i="30"/>
  <c r="AK28" i="35"/>
  <c r="IG28" i="35" s="1"/>
  <c r="EM103" i="30"/>
  <c r="AR28" i="35"/>
  <c r="IU28" i="35" s="1"/>
  <c r="DN155" i="30"/>
  <c r="I41" i="35"/>
  <c r="GC41" i="35" s="1"/>
  <c r="DS155" i="30"/>
  <c r="P41" i="35"/>
  <c r="GQ41" i="35" s="1"/>
  <c r="DN159" i="30"/>
  <c r="I42" i="35"/>
  <c r="DS159" i="30"/>
  <c r="P42" i="35"/>
  <c r="DN163" i="30"/>
  <c r="I43" i="35"/>
  <c r="DS163" i="30"/>
  <c r="P43" i="35"/>
  <c r="DN23" i="30"/>
  <c r="I8" i="35"/>
  <c r="GC8" i="35" s="1"/>
  <c r="FG7" i="30"/>
  <c r="BT4" i="35"/>
  <c r="EM19" i="30"/>
  <c r="AR7" i="35"/>
  <c r="IU7" i="35" s="1"/>
  <c r="DX23" i="30"/>
  <c r="W8" i="35"/>
  <c r="HE8" i="35" s="1"/>
  <c r="EH23" i="30"/>
  <c r="AK8" i="35"/>
  <c r="IG8" i="35" s="1"/>
  <c r="DS59" i="30"/>
  <c r="P17" i="35"/>
  <c r="GQ17" i="35" s="1"/>
  <c r="DN67" i="30"/>
  <c r="I19" i="35"/>
  <c r="GC19" i="35" s="1"/>
  <c r="DS71" i="30"/>
  <c r="P20" i="35"/>
  <c r="GQ20" i="35" s="1"/>
  <c r="EM75" i="30"/>
  <c r="AR21" i="35"/>
  <c r="DN11" i="30"/>
  <c r="I5" i="35"/>
  <c r="DX11" i="30"/>
  <c r="W5" i="35"/>
  <c r="DN43" i="30"/>
  <c r="I13" i="35"/>
  <c r="DS43" i="30"/>
  <c r="P13" i="35"/>
  <c r="GQ13" i="35" s="1"/>
  <c r="DN47" i="30"/>
  <c r="I14" i="35"/>
  <c r="DS47" i="30"/>
  <c r="P14" i="35"/>
  <c r="DN51" i="30"/>
  <c r="I15" i="35"/>
  <c r="GC15" i="35" s="1"/>
  <c r="DS51" i="30"/>
  <c r="P15" i="35"/>
  <c r="GQ15" i="35" s="1"/>
  <c r="DN55" i="30"/>
  <c r="I16" i="35"/>
  <c r="GC16" i="35" s="1"/>
  <c r="DS55" i="30"/>
  <c r="P16" i="35"/>
  <c r="GQ16" i="35" s="1"/>
  <c r="DX59" i="30"/>
  <c r="W17" i="35"/>
  <c r="EC59" i="30"/>
  <c r="AD17" i="35"/>
  <c r="EH59" i="30"/>
  <c r="AK17" i="35"/>
  <c r="EM59" i="30"/>
  <c r="AR17" i="35"/>
  <c r="DX63" i="30"/>
  <c r="W18" i="35"/>
  <c r="HE18" i="35" s="1"/>
  <c r="EC63" i="30"/>
  <c r="AD18" i="35"/>
  <c r="EH63" i="30"/>
  <c r="AK18" i="35"/>
  <c r="EM63" i="30"/>
  <c r="AR18" i="35"/>
  <c r="DX67" i="30"/>
  <c r="W19" i="35"/>
  <c r="HE19" i="35" s="1"/>
  <c r="EC67" i="30"/>
  <c r="AD19" i="35"/>
  <c r="EH67" i="30"/>
  <c r="AK19" i="35"/>
  <c r="EM67" i="30"/>
  <c r="AR19" i="35"/>
  <c r="DX71" i="30"/>
  <c r="W20" i="35"/>
  <c r="HE20" i="35" s="1"/>
  <c r="EC71" i="30"/>
  <c r="AD20" i="35"/>
  <c r="EH71" i="30"/>
  <c r="AK20" i="35"/>
  <c r="EM71" i="30"/>
  <c r="AR20" i="35"/>
  <c r="DN123" i="30"/>
  <c r="I33" i="35"/>
  <c r="GC33" i="35" s="1"/>
  <c r="DS123" i="30"/>
  <c r="P33" i="35"/>
  <c r="DN127" i="30"/>
  <c r="I34" i="35"/>
  <c r="GC34" i="35" s="1"/>
  <c r="DS127" i="30"/>
  <c r="P34" i="35"/>
  <c r="DN131" i="30"/>
  <c r="I35" i="35"/>
  <c r="GC35" i="35" s="1"/>
  <c r="DS131" i="30"/>
  <c r="P35" i="35"/>
  <c r="GQ35" i="35" s="1"/>
  <c r="DN135" i="30"/>
  <c r="I36" i="35"/>
  <c r="GC36" i="35" s="1"/>
  <c r="DS135" i="30"/>
  <c r="P36" i="35"/>
  <c r="GQ36" i="35" s="1"/>
  <c r="DN139" i="30"/>
  <c r="I37" i="35"/>
  <c r="GC37" i="35" s="1"/>
  <c r="DS139" i="30"/>
  <c r="P37" i="35"/>
  <c r="GQ37" i="35" s="1"/>
  <c r="DN143" i="30"/>
  <c r="I38" i="35"/>
  <c r="GC38" i="35" s="1"/>
  <c r="DS143" i="30"/>
  <c r="P38" i="35"/>
  <c r="GQ38" i="35" s="1"/>
  <c r="DN147" i="30"/>
  <c r="I39" i="35"/>
  <c r="GC39" i="35" s="1"/>
  <c r="DS147" i="30"/>
  <c r="P39" i="35"/>
  <c r="DN151" i="30"/>
  <c r="I40" i="35"/>
  <c r="GC40" i="35" s="1"/>
  <c r="DS151" i="30"/>
  <c r="P40" i="35"/>
  <c r="DX155" i="30"/>
  <c r="W41" i="35"/>
  <c r="HE41" i="35" s="1"/>
  <c r="EC155" i="30"/>
  <c r="AD41" i="35"/>
  <c r="HS41" i="35" s="1"/>
  <c r="EH155" i="30"/>
  <c r="AK41" i="35"/>
  <c r="IG41" i="35" s="1"/>
  <c r="EM155" i="30"/>
  <c r="AR41" i="35"/>
  <c r="IU41" i="35" s="1"/>
  <c r="DX159" i="30"/>
  <c r="W42" i="35"/>
  <c r="EC159" i="30"/>
  <c r="AD42" i="35"/>
  <c r="EH159" i="30"/>
  <c r="AK42" i="35"/>
  <c r="EM159" i="30"/>
  <c r="AR42" i="35"/>
  <c r="DX163" i="30"/>
  <c r="W43" i="35"/>
  <c r="EC163" i="30"/>
  <c r="AD43" i="35"/>
  <c r="EH163" i="30"/>
  <c r="AK43" i="35"/>
  <c r="EM163" i="30"/>
  <c r="AR43" i="35"/>
  <c r="ER23" i="30"/>
  <c r="AY8" i="35"/>
  <c r="JI8" i="35" s="1"/>
  <c r="FL23" i="30"/>
  <c r="CA8" i="35"/>
  <c r="LM8" i="35" s="1"/>
  <c r="DM20" i="19"/>
  <c r="CM47" i="54" l="1"/>
  <c r="CM47" i="46"/>
  <c r="CM47" i="47"/>
  <c r="CM47" i="48"/>
  <c r="CM47" i="49"/>
  <c r="CM47" i="52"/>
  <c r="CM47" i="53"/>
  <c r="CM47" i="50"/>
  <c r="CM47" i="51"/>
  <c r="FW35" i="35"/>
  <c r="FW27" i="35"/>
  <c r="FW15" i="35"/>
  <c r="FW10" i="35"/>
  <c r="FW9" i="35"/>
  <c r="FW28" i="35"/>
  <c r="FW26" i="35"/>
  <c r="FW24" i="35"/>
  <c r="FW20" i="35"/>
  <c r="FW43" i="35"/>
  <c r="FW41" i="35"/>
  <c r="FW39" i="35"/>
  <c r="FW36" i="35"/>
  <c r="FW21" i="35"/>
  <c r="FW16" i="35"/>
  <c r="FW25" i="35"/>
  <c r="FW14" i="35"/>
  <c r="FW7" i="35"/>
  <c r="FW42" i="35"/>
  <c r="FW40" i="35"/>
  <c r="FW38" i="35"/>
  <c r="FW22" i="35"/>
  <c r="FW17" i="35"/>
  <c r="FY2" i="35"/>
  <c r="LU2" i="35"/>
  <c r="FW13" i="35"/>
  <c r="JQ2" i="35"/>
  <c r="KS2" i="35"/>
  <c r="FW37" i="35"/>
  <c r="FW32" i="35"/>
  <c r="FW34" i="35"/>
  <c r="FW31" i="35"/>
  <c r="FW29" i="35"/>
  <c r="FW8" i="35"/>
  <c r="LG2" i="35"/>
  <c r="KE2" i="35"/>
  <c r="GK2" i="35"/>
  <c r="IO2" i="35"/>
  <c r="FW18" i="35"/>
  <c r="FW33" i="35"/>
  <c r="FW30" i="35"/>
  <c r="FW19" i="35"/>
  <c r="JC2" i="35"/>
  <c r="IA2" i="35"/>
  <c r="FK4" i="30"/>
  <c r="CN7" i="53" s="1"/>
  <c r="FF4" i="30"/>
  <c r="CN7" i="52" s="1"/>
  <c r="EQ4" i="30"/>
  <c r="CN7" i="49" s="1"/>
  <c r="FA4" i="30"/>
  <c r="CN7" i="51" s="1"/>
  <c r="FP4" i="30"/>
  <c r="CN7" i="54" s="1"/>
  <c r="EV4" i="30"/>
  <c r="CN7" i="50" s="1"/>
  <c r="DM4" i="30"/>
  <c r="EL4" i="30"/>
  <c r="CN7" i="48" s="1"/>
  <c r="DR4" i="30"/>
  <c r="EG4" i="30"/>
  <c r="CN7" i="47" s="1"/>
  <c r="A2" i="12"/>
  <c r="CN8" i="49" l="1"/>
  <c r="CN10" i="49"/>
  <c r="CN9" i="49"/>
  <c r="CN41" i="49"/>
  <c r="CN40" i="49"/>
  <c r="CN48" i="49"/>
  <c r="CN47" i="54"/>
  <c r="CN48" i="51"/>
  <c r="CN40" i="51"/>
  <c r="CN41" i="51"/>
  <c r="CN47" i="48"/>
  <c r="CN10" i="48"/>
  <c r="CN9" i="48"/>
  <c r="CN8" i="48"/>
  <c r="CN41" i="48"/>
  <c r="CN48" i="48"/>
  <c r="CN40" i="48"/>
  <c r="CN9" i="50"/>
  <c r="CN10" i="50"/>
  <c r="CN8" i="50"/>
  <c r="CN48" i="50"/>
  <c r="CN41" i="50"/>
  <c r="CN40" i="50"/>
  <c r="CN48" i="52"/>
  <c r="CN41" i="52"/>
  <c r="CN40" i="52"/>
  <c r="CN47" i="47"/>
  <c r="CN47" i="51"/>
  <c r="CN47" i="52"/>
  <c r="CN9" i="47"/>
  <c r="CN8" i="47"/>
  <c r="CN10" i="47"/>
  <c r="CN41" i="47"/>
  <c r="CN40" i="47"/>
  <c r="CN48" i="47"/>
  <c r="CN48" i="54"/>
  <c r="CN41" i="54"/>
  <c r="CN40" i="54"/>
  <c r="CN41" i="53"/>
  <c r="CN40" i="53"/>
  <c r="CN48" i="53"/>
  <c r="CN47" i="49"/>
  <c r="CN47" i="53"/>
  <c r="CN47" i="50"/>
  <c r="CN47" i="44"/>
  <c r="CM47" i="33"/>
  <c r="CN11" i="50" l="1"/>
  <c r="CN11" i="48"/>
  <c r="CN11" i="49"/>
  <c r="CN11" i="47"/>
  <c r="K9" i="3"/>
  <c r="J4" i="3"/>
  <c r="W11" i="3" l="1"/>
  <c r="V11" i="3"/>
  <c r="U11" i="3"/>
  <c r="T11" i="3"/>
  <c r="A2" i="3"/>
  <c r="K8" i="3"/>
  <c r="K7" i="3"/>
  <c r="DB325" i="19" l="1"/>
  <c r="FM325" i="19" s="1"/>
  <c r="DB321" i="19"/>
  <c r="FM321" i="19" s="1"/>
  <c r="DB316" i="19"/>
  <c r="FM316" i="19" s="1"/>
  <c r="DB309" i="19"/>
  <c r="FM309" i="19" s="1"/>
  <c r="DB307" i="19"/>
  <c r="FM307" i="19" s="1"/>
  <c r="DB301" i="19"/>
  <c r="FM301" i="19" s="1"/>
  <c r="DB299" i="19"/>
  <c r="DB292" i="19"/>
  <c r="FM292" i="19" s="1"/>
  <c r="DB285" i="19"/>
  <c r="FM285" i="19" s="1"/>
  <c r="DB281" i="19"/>
  <c r="FM281" i="19" s="1"/>
  <c r="DB276" i="19"/>
  <c r="FM276" i="19" s="1"/>
  <c r="DB274" i="19"/>
  <c r="FM274" i="19" s="1"/>
  <c r="DB273" i="19"/>
  <c r="DB268" i="19"/>
  <c r="FM268" i="19" s="1"/>
  <c r="DB266" i="19"/>
  <c r="FM266" i="19" s="1"/>
  <c r="DB265" i="19"/>
  <c r="DB260" i="19"/>
  <c r="FM260" i="19" s="1"/>
  <c r="DB258" i="19"/>
  <c r="FM258" i="19" s="1"/>
  <c r="DB257" i="19"/>
  <c r="DB252" i="19"/>
  <c r="FM252" i="19" s="1"/>
  <c r="DB245" i="19"/>
  <c r="FM245" i="19" s="1"/>
  <c r="DB241" i="19"/>
  <c r="FM241" i="19" s="1"/>
  <c r="DB236" i="19"/>
  <c r="FM236" i="19" s="1"/>
  <c r="DB234" i="19"/>
  <c r="DB229" i="19"/>
  <c r="FM229" i="19" s="1"/>
  <c r="DB227" i="19"/>
  <c r="FM227" i="19" s="1"/>
  <c r="DB221" i="19"/>
  <c r="FM221" i="19" s="1"/>
  <c r="DB219" i="19"/>
  <c r="FM219" i="19" s="1"/>
  <c r="DB213" i="19"/>
  <c r="FM213" i="19" s="1"/>
  <c r="DB211" i="19"/>
  <c r="FM211" i="19" s="1"/>
  <c r="DB205" i="19"/>
  <c r="FM205" i="19" s="1"/>
  <c r="DB203" i="19"/>
  <c r="FM203" i="19" s="1"/>
  <c r="DB197" i="19"/>
  <c r="FM197" i="19" s="1"/>
  <c r="DB195" i="19"/>
  <c r="FM195" i="19" s="1"/>
  <c r="DB189" i="19"/>
  <c r="FM189" i="19" s="1"/>
  <c r="DB187" i="19"/>
  <c r="DB180" i="19"/>
  <c r="FM180" i="19" s="1"/>
  <c r="DB178" i="19"/>
  <c r="FM178" i="19" s="1"/>
  <c r="DB177" i="19"/>
  <c r="DB172" i="19"/>
  <c r="FM172" i="19" s="1"/>
  <c r="DB165" i="19"/>
  <c r="FM165" i="19" s="1"/>
  <c r="DB163" i="19"/>
  <c r="FM163" i="19" s="1"/>
  <c r="DB157" i="19"/>
  <c r="FM157" i="19" s="1"/>
  <c r="DB155" i="19"/>
  <c r="FM155" i="19" s="1"/>
  <c r="DB149" i="19"/>
  <c r="FM149" i="19" s="1"/>
  <c r="DB147" i="19"/>
  <c r="DB140" i="19"/>
  <c r="FM140" i="19" s="1"/>
  <c r="DB133" i="19"/>
  <c r="FM133" i="19" s="1"/>
  <c r="DB129" i="19"/>
  <c r="FM129" i="19" s="1"/>
  <c r="DB124" i="19"/>
  <c r="FM124" i="19" s="1"/>
  <c r="DB117" i="19"/>
  <c r="FM117" i="19" s="1"/>
  <c r="DB113" i="19"/>
  <c r="FM113" i="19" s="1"/>
  <c r="DB108" i="19"/>
  <c r="FM108" i="19" s="1"/>
  <c r="DB101" i="19"/>
  <c r="FM101" i="19" s="1"/>
  <c r="DB99" i="19"/>
  <c r="FM99" i="19" s="1"/>
  <c r="DB93" i="19"/>
  <c r="FM93" i="19" s="1"/>
  <c r="DB89" i="19"/>
  <c r="FM89" i="19" s="1"/>
  <c r="DB84" i="19"/>
  <c r="FM84" i="19" s="1"/>
  <c r="DB77" i="19"/>
  <c r="FM77" i="19" s="1"/>
  <c r="DB75" i="19"/>
  <c r="DB68" i="19"/>
  <c r="FM68" i="19" s="1"/>
  <c r="DB61" i="19"/>
  <c r="FM61" i="19" s="1"/>
  <c r="DB57" i="19"/>
  <c r="FM57" i="19" s="1"/>
  <c r="DB52" i="19"/>
  <c r="FM52" i="19" s="1"/>
  <c r="DB45" i="19"/>
  <c r="FM45" i="19" s="1"/>
  <c r="DB43" i="19"/>
  <c r="FM43" i="19" s="1"/>
  <c r="DB37" i="19"/>
  <c r="FM37" i="19" s="1"/>
  <c r="DB35" i="19"/>
  <c r="FM35" i="19" s="1"/>
  <c r="DB29" i="19"/>
  <c r="FM29" i="19" s="1"/>
  <c r="DB27" i="19"/>
  <c r="DB12" i="19"/>
  <c r="FM12" i="19" s="1"/>
  <c r="CU324" i="19"/>
  <c r="FH324" i="19" s="1"/>
  <c r="CU317" i="19"/>
  <c r="FH317" i="19" s="1"/>
  <c r="CU315" i="19"/>
  <c r="FH315" i="19" s="1"/>
  <c r="CU308" i="19"/>
  <c r="FH308" i="19" s="1"/>
  <c r="CU306" i="19"/>
  <c r="FH306" i="19" s="1"/>
  <c r="CU305" i="19"/>
  <c r="CU300" i="19"/>
  <c r="FH300" i="19" s="1"/>
  <c r="CU293" i="19"/>
  <c r="FH293" i="19" s="1"/>
  <c r="CU291" i="19"/>
  <c r="FH291" i="19" s="1"/>
  <c r="CU284" i="19"/>
  <c r="FH284" i="19" s="1"/>
  <c r="CU277" i="19"/>
  <c r="FH277" i="19" s="1"/>
  <c r="CU275" i="19"/>
  <c r="FH275" i="19" s="1"/>
  <c r="DB322" i="19"/>
  <c r="DB298" i="19"/>
  <c r="FM298" i="19" s="1"/>
  <c r="DB282" i="19"/>
  <c r="DB242" i="19"/>
  <c r="DB186" i="19"/>
  <c r="FM186" i="19" s="1"/>
  <c r="DB146" i="19"/>
  <c r="FM146" i="19" s="1"/>
  <c r="DB130" i="19"/>
  <c r="DB114" i="19"/>
  <c r="DB90" i="19"/>
  <c r="DB74" i="19"/>
  <c r="FM74" i="19" s="1"/>
  <c r="DB58" i="19"/>
  <c r="DB26" i="19"/>
  <c r="FM26" i="19" s="1"/>
  <c r="DB9" i="19"/>
  <c r="FM9" i="19" s="1"/>
  <c r="CU313" i="19"/>
  <c r="CU289" i="19"/>
  <c r="DB324" i="19"/>
  <c r="FM324" i="19" s="1"/>
  <c r="DB317" i="19"/>
  <c r="FM317" i="19" s="1"/>
  <c r="DB313" i="19"/>
  <c r="FM313" i="19" s="1"/>
  <c r="DB308" i="19"/>
  <c r="FM308" i="19" s="1"/>
  <c r="DB306" i="19"/>
  <c r="FM306" i="19" s="1"/>
  <c r="DB305" i="19"/>
  <c r="DB300" i="19"/>
  <c r="FM300" i="19" s="1"/>
  <c r="DB293" i="19"/>
  <c r="FM293" i="19" s="1"/>
  <c r="DB289" i="19"/>
  <c r="FM289" i="19" s="1"/>
  <c r="DB284" i="19"/>
  <c r="FM284" i="19" s="1"/>
  <c r="DB277" i="19"/>
  <c r="FM277" i="19" s="1"/>
  <c r="DB275" i="19"/>
  <c r="FM275" i="19" s="1"/>
  <c r="DB269" i="19"/>
  <c r="FM269" i="19" s="1"/>
  <c r="DB267" i="19"/>
  <c r="FM267" i="19" s="1"/>
  <c r="DB261" i="19"/>
  <c r="FM261" i="19" s="1"/>
  <c r="DB259" i="19"/>
  <c r="FM259" i="19" s="1"/>
  <c r="DB253" i="19"/>
  <c r="FM253" i="19" s="1"/>
  <c r="DB251" i="19"/>
  <c r="DB244" i="19"/>
  <c r="FM244" i="19" s="1"/>
  <c r="DB237" i="19"/>
  <c r="FM237" i="19" s="1"/>
  <c r="DB235" i="19"/>
  <c r="FM235" i="19" s="1"/>
  <c r="DB228" i="19"/>
  <c r="FM228" i="19" s="1"/>
  <c r="DB226" i="19"/>
  <c r="FM226" i="19" s="1"/>
  <c r="DB225" i="19"/>
  <c r="DB220" i="19"/>
  <c r="FM220" i="19" s="1"/>
  <c r="DB218" i="19"/>
  <c r="FM218" i="19" s="1"/>
  <c r="DB217" i="19"/>
  <c r="DB212" i="19"/>
  <c r="FM212" i="19" s="1"/>
  <c r="DB210" i="19"/>
  <c r="FM210" i="19" s="1"/>
  <c r="DB209" i="19"/>
  <c r="DB204" i="19"/>
  <c r="FM204" i="19" s="1"/>
  <c r="DB202" i="19"/>
  <c r="FM202" i="19" s="1"/>
  <c r="DB201" i="19"/>
  <c r="DB196" i="19"/>
  <c r="FM196" i="19" s="1"/>
  <c r="DB194" i="19"/>
  <c r="FM194" i="19" s="1"/>
  <c r="DB193" i="19"/>
  <c r="DB188" i="19"/>
  <c r="FM188" i="19" s="1"/>
  <c r="DB181" i="19"/>
  <c r="FM181" i="19" s="1"/>
  <c r="DB179" i="19"/>
  <c r="FM179" i="19" s="1"/>
  <c r="DB173" i="19"/>
  <c r="FM173" i="19" s="1"/>
  <c r="DB171" i="19"/>
  <c r="DB164" i="19"/>
  <c r="FM164" i="19" s="1"/>
  <c r="DB162" i="19"/>
  <c r="FM162" i="19" s="1"/>
  <c r="DB161" i="19"/>
  <c r="DB156" i="19"/>
  <c r="FM156" i="19" s="1"/>
  <c r="DB154" i="19"/>
  <c r="FM154" i="19" s="1"/>
  <c r="DB153" i="19"/>
  <c r="DB148" i="19"/>
  <c r="FM148" i="19" s="1"/>
  <c r="DB141" i="19"/>
  <c r="FM141" i="19" s="1"/>
  <c r="DB137" i="19"/>
  <c r="FM137" i="19" s="1"/>
  <c r="DB132" i="19"/>
  <c r="FM132" i="19" s="1"/>
  <c r="DB125" i="19"/>
  <c r="FM125" i="19" s="1"/>
  <c r="DB121" i="19"/>
  <c r="FM121" i="19" s="1"/>
  <c r="DB116" i="19"/>
  <c r="FM116" i="19" s="1"/>
  <c r="DB109" i="19"/>
  <c r="FM109" i="19" s="1"/>
  <c r="DB105" i="19"/>
  <c r="FM105" i="19" s="1"/>
  <c r="DB100" i="19"/>
  <c r="FM100" i="19" s="1"/>
  <c r="DB98" i="19"/>
  <c r="FM98" i="19" s="1"/>
  <c r="DB97" i="19"/>
  <c r="DB92" i="19"/>
  <c r="FM92" i="19" s="1"/>
  <c r="DB85" i="19"/>
  <c r="FM85" i="19" s="1"/>
  <c r="DB83" i="19"/>
  <c r="DB76" i="19"/>
  <c r="FM76" i="19" s="1"/>
  <c r="DB69" i="19"/>
  <c r="FM69" i="19" s="1"/>
  <c r="DB65" i="19"/>
  <c r="FM65" i="19" s="1"/>
  <c r="DB60" i="19"/>
  <c r="FM60" i="19" s="1"/>
  <c r="DB53" i="19"/>
  <c r="FM53" i="19" s="1"/>
  <c r="DB51" i="19"/>
  <c r="FM51" i="19" s="1"/>
  <c r="DB44" i="19"/>
  <c r="FM44" i="19" s="1"/>
  <c r="DB42" i="19"/>
  <c r="FM42" i="19" s="1"/>
  <c r="DB41" i="19"/>
  <c r="DB36" i="19"/>
  <c r="FM36" i="19" s="1"/>
  <c r="DB34" i="19"/>
  <c r="FM34" i="19" s="1"/>
  <c r="DB33" i="19"/>
  <c r="DB28" i="19"/>
  <c r="FM28" i="19" s="1"/>
  <c r="DB13" i="19"/>
  <c r="FM13" i="19" s="1"/>
  <c r="CU325" i="19"/>
  <c r="FH325" i="19" s="1"/>
  <c r="CU323" i="19"/>
  <c r="FH323" i="19" s="1"/>
  <c r="CU316" i="19"/>
  <c r="FH316" i="19" s="1"/>
  <c r="CU309" i="19"/>
  <c r="FH309" i="19" s="1"/>
  <c r="CU307" i="19"/>
  <c r="FH307" i="19" s="1"/>
  <c r="CU301" i="19"/>
  <c r="FH301" i="19" s="1"/>
  <c r="CU297" i="19"/>
  <c r="FH297" i="19" s="1"/>
  <c r="CU292" i="19"/>
  <c r="FH292" i="19" s="1"/>
  <c r="CU285" i="19"/>
  <c r="FH285" i="19" s="1"/>
  <c r="DB314" i="19"/>
  <c r="DB290" i="19"/>
  <c r="DB250" i="19"/>
  <c r="FM250" i="19" s="1"/>
  <c r="DB170" i="19"/>
  <c r="FM170" i="19" s="1"/>
  <c r="DB138" i="19"/>
  <c r="DB122" i="19"/>
  <c r="DB106" i="19"/>
  <c r="DB82" i="19"/>
  <c r="FM82" i="19" s="1"/>
  <c r="DB66" i="19"/>
  <c r="DB49" i="19"/>
  <c r="CU321" i="19"/>
  <c r="CU298" i="19"/>
  <c r="CU281" i="19"/>
  <c r="CU269" i="19"/>
  <c r="FH269" i="19" s="1"/>
  <c r="CU267" i="19"/>
  <c r="FH267" i="19" s="1"/>
  <c r="CU261" i="19"/>
  <c r="FH261" i="19" s="1"/>
  <c r="CU259" i="19"/>
  <c r="FH259" i="19" s="1"/>
  <c r="CU253" i="19"/>
  <c r="FH253" i="19" s="1"/>
  <c r="CU249" i="19"/>
  <c r="FH249" i="19" s="1"/>
  <c r="CU244" i="19"/>
  <c r="FH244" i="19" s="1"/>
  <c r="CU237" i="19"/>
  <c r="FH237" i="19" s="1"/>
  <c r="CU235" i="19"/>
  <c r="CU233" i="19"/>
  <c r="FH233" i="19" s="1"/>
  <c r="CU228" i="19"/>
  <c r="FH228" i="19" s="1"/>
  <c r="CU226" i="19"/>
  <c r="FH226" i="19" s="1"/>
  <c r="CU225" i="19"/>
  <c r="CU220" i="19"/>
  <c r="FH220" i="19" s="1"/>
  <c r="CU218" i="19"/>
  <c r="FH218" i="19" s="1"/>
  <c r="CU217" i="19"/>
  <c r="CU212" i="19"/>
  <c r="FH212" i="19" s="1"/>
  <c r="CU210" i="19"/>
  <c r="FH210" i="19" s="1"/>
  <c r="CU209" i="19"/>
  <c r="CU204" i="19"/>
  <c r="FH204" i="19" s="1"/>
  <c r="CU202" i="19"/>
  <c r="FH202" i="19" s="1"/>
  <c r="CU201" i="19"/>
  <c r="CU196" i="19"/>
  <c r="FH196" i="19" s="1"/>
  <c r="CU194" i="19"/>
  <c r="FH194" i="19" s="1"/>
  <c r="CU193" i="19"/>
  <c r="CU188" i="19"/>
  <c r="FH188" i="19" s="1"/>
  <c r="CU181" i="19"/>
  <c r="FH181" i="19" s="1"/>
  <c r="CU179" i="19"/>
  <c r="FH179" i="19" s="1"/>
  <c r="CU173" i="19"/>
  <c r="FH173" i="19" s="1"/>
  <c r="CU169" i="19"/>
  <c r="FH169" i="19" s="1"/>
  <c r="CU164" i="19"/>
  <c r="FH164" i="19" s="1"/>
  <c r="CU162" i="19"/>
  <c r="FH162" i="19" s="1"/>
  <c r="CU161" i="19"/>
  <c r="CU156" i="19"/>
  <c r="FH156" i="19" s="1"/>
  <c r="CU154" i="19"/>
  <c r="FH154" i="19" s="1"/>
  <c r="CU153" i="19"/>
  <c r="CU148" i="19"/>
  <c r="FH148" i="19" s="1"/>
  <c r="CU141" i="19"/>
  <c r="FH141" i="19" s="1"/>
  <c r="CU139" i="19"/>
  <c r="FH139" i="19" s="1"/>
  <c r="CU132" i="19"/>
  <c r="FH132" i="19" s="1"/>
  <c r="CU125" i="19"/>
  <c r="FH125" i="19" s="1"/>
  <c r="CU123" i="19"/>
  <c r="FH123" i="19" s="1"/>
  <c r="CU116" i="19"/>
  <c r="FH116" i="19" s="1"/>
  <c r="CU109" i="19"/>
  <c r="FH109" i="19" s="1"/>
  <c r="CU107" i="19"/>
  <c r="FH107" i="19" s="1"/>
  <c r="CU100" i="19"/>
  <c r="FH100" i="19" s="1"/>
  <c r="CU98" i="19"/>
  <c r="FH98" i="19" s="1"/>
  <c r="CU97" i="19"/>
  <c r="CU92" i="19"/>
  <c r="FH92" i="19" s="1"/>
  <c r="CU85" i="19"/>
  <c r="FH85" i="19" s="1"/>
  <c r="CU81" i="19"/>
  <c r="FH81" i="19" s="1"/>
  <c r="CU76" i="19"/>
  <c r="FH76" i="19" s="1"/>
  <c r="CU69" i="19"/>
  <c r="FH69" i="19" s="1"/>
  <c r="CU67" i="19"/>
  <c r="FH67" i="19" s="1"/>
  <c r="CU60" i="19"/>
  <c r="FH60" i="19" s="1"/>
  <c r="CU53" i="19"/>
  <c r="FH53" i="19" s="1"/>
  <c r="CU51" i="19"/>
  <c r="CU44" i="19"/>
  <c r="FH44" i="19" s="1"/>
  <c r="CU42" i="19"/>
  <c r="FH42" i="19" s="1"/>
  <c r="CU41" i="19"/>
  <c r="CU36" i="19"/>
  <c r="FH36" i="19" s="1"/>
  <c r="CU34" i="19"/>
  <c r="FH34" i="19" s="1"/>
  <c r="CU33" i="19"/>
  <c r="CU28" i="19"/>
  <c r="FH28" i="19" s="1"/>
  <c r="CU17" i="19"/>
  <c r="CN324" i="19"/>
  <c r="FC324" i="19" s="1"/>
  <c r="CN317" i="19"/>
  <c r="FC317" i="19" s="1"/>
  <c r="CN315" i="19"/>
  <c r="CN308" i="19"/>
  <c r="FC308" i="19" s="1"/>
  <c r="CN306" i="19"/>
  <c r="FC306" i="19" s="1"/>
  <c r="CN305" i="19"/>
  <c r="CN300" i="19"/>
  <c r="FC300" i="19" s="1"/>
  <c r="CN293" i="19"/>
  <c r="FC293" i="19" s="1"/>
  <c r="CN291" i="19"/>
  <c r="CN284" i="19"/>
  <c r="FC284" i="19" s="1"/>
  <c r="CN277" i="19"/>
  <c r="FC277" i="19" s="1"/>
  <c r="CN275" i="19"/>
  <c r="FC275" i="19" s="1"/>
  <c r="CN269" i="19"/>
  <c r="FC269" i="19" s="1"/>
  <c r="CN267" i="19"/>
  <c r="FC267" i="19" s="1"/>
  <c r="CN261" i="19"/>
  <c r="FC261" i="19" s="1"/>
  <c r="CN259" i="19"/>
  <c r="FC259" i="19" s="1"/>
  <c r="CN253" i="19"/>
  <c r="FC253" i="19" s="1"/>
  <c r="CN251" i="19"/>
  <c r="FC251" i="19" s="1"/>
  <c r="CN244" i="19"/>
  <c r="FC244" i="19" s="1"/>
  <c r="CN237" i="19"/>
  <c r="FC237" i="19" s="1"/>
  <c r="CU283" i="19"/>
  <c r="FH283" i="19" s="1"/>
  <c r="CU250" i="19"/>
  <c r="CU170" i="19"/>
  <c r="CU137" i="19"/>
  <c r="CU121" i="19"/>
  <c r="CU105" i="19"/>
  <c r="CU82" i="19"/>
  <c r="CU65" i="19"/>
  <c r="CU50" i="19"/>
  <c r="FH50" i="19" s="1"/>
  <c r="CU25" i="19"/>
  <c r="FH25" i="19" s="1"/>
  <c r="CU13" i="19"/>
  <c r="FH13" i="19" s="1"/>
  <c r="CU11" i="19"/>
  <c r="FH11" i="19" s="1"/>
  <c r="CU9" i="19"/>
  <c r="CN314" i="19"/>
  <c r="FC314" i="19" s="1"/>
  <c r="CN290" i="19"/>
  <c r="FC290" i="19" s="1"/>
  <c r="CN249" i="19"/>
  <c r="CN234" i="19"/>
  <c r="FC234" i="19" s="1"/>
  <c r="CN233" i="19"/>
  <c r="CU274" i="19"/>
  <c r="FH274" i="19" s="1"/>
  <c r="CU273" i="19"/>
  <c r="CU268" i="19"/>
  <c r="FH268" i="19" s="1"/>
  <c r="CU266" i="19"/>
  <c r="FH266" i="19" s="1"/>
  <c r="CU265" i="19"/>
  <c r="CU260" i="19"/>
  <c r="FH260" i="19" s="1"/>
  <c r="CU258" i="19"/>
  <c r="FH258" i="19" s="1"/>
  <c r="CU257" i="19"/>
  <c r="CU252" i="19"/>
  <c r="FH252" i="19" s="1"/>
  <c r="CU245" i="19"/>
  <c r="FH245" i="19" s="1"/>
  <c r="CU243" i="19"/>
  <c r="FH243" i="19" s="1"/>
  <c r="CU236" i="19"/>
  <c r="FH236" i="19" s="1"/>
  <c r="CU229" i="19"/>
  <c r="FH229" i="19" s="1"/>
  <c r="CU227" i="19"/>
  <c r="FH227" i="19" s="1"/>
  <c r="CU221" i="19"/>
  <c r="FH221" i="19" s="1"/>
  <c r="CU219" i="19"/>
  <c r="FH219" i="19" s="1"/>
  <c r="CU213" i="19"/>
  <c r="FH213" i="19" s="1"/>
  <c r="CU211" i="19"/>
  <c r="FH211" i="19" s="1"/>
  <c r="CU205" i="19"/>
  <c r="FH205" i="19" s="1"/>
  <c r="CU203" i="19"/>
  <c r="FH203" i="19" s="1"/>
  <c r="CU197" i="19"/>
  <c r="FH197" i="19" s="1"/>
  <c r="CU195" i="19"/>
  <c r="FH195" i="19" s="1"/>
  <c r="CU189" i="19"/>
  <c r="FH189" i="19" s="1"/>
  <c r="CU185" i="19"/>
  <c r="FH185" i="19" s="1"/>
  <c r="CU180" i="19"/>
  <c r="FH180" i="19" s="1"/>
  <c r="CU178" i="19"/>
  <c r="FH178" i="19" s="1"/>
  <c r="CU177" i="19"/>
  <c r="CU172" i="19"/>
  <c r="FH172" i="19" s="1"/>
  <c r="CU165" i="19"/>
  <c r="FH165" i="19" s="1"/>
  <c r="CU163" i="19"/>
  <c r="FH163" i="19" s="1"/>
  <c r="CU157" i="19"/>
  <c r="FH157" i="19" s="1"/>
  <c r="CU155" i="19"/>
  <c r="FH155" i="19" s="1"/>
  <c r="CU149" i="19"/>
  <c r="FH149" i="19" s="1"/>
  <c r="CU145" i="19"/>
  <c r="FH145" i="19" s="1"/>
  <c r="CU140" i="19"/>
  <c r="FH140" i="19" s="1"/>
  <c r="CU133" i="19"/>
  <c r="FH133" i="19" s="1"/>
  <c r="CU131" i="19"/>
  <c r="FH131" i="19" s="1"/>
  <c r="CU124" i="19"/>
  <c r="FH124" i="19" s="1"/>
  <c r="CU117" i="19"/>
  <c r="FH117" i="19" s="1"/>
  <c r="CU115" i="19"/>
  <c r="FH115" i="19" s="1"/>
  <c r="CU108" i="19"/>
  <c r="FH108" i="19" s="1"/>
  <c r="CU101" i="19"/>
  <c r="FH101" i="19" s="1"/>
  <c r="CU99" i="19"/>
  <c r="FH99" i="19" s="1"/>
  <c r="CU93" i="19"/>
  <c r="FH93" i="19" s="1"/>
  <c r="CU91" i="19"/>
  <c r="FH91" i="19" s="1"/>
  <c r="CU84" i="19"/>
  <c r="FH84" i="19" s="1"/>
  <c r="CU77" i="19"/>
  <c r="FH77" i="19" s="1"/>
  <c r="CU73" i="19"/>
  <c r="FH73" i="19" s="1"/>
  <c r="CU68" i="19"/>
  <c r="FH68" i="19" s="1"/>
  <c r="CU61" i="19"/>
  <c r="FH61" i="19" s="1"/>
  <c r="CU59" i="19"/>
  <c r="FH59" i="19" s="1"/>
  <c r="CU52" i="19"/>
  <c r="FH52" i="19" s="1"/>
  <c r="CU45" i="19"/>
  <c r="FH45" i="19" s="1"/>
  <c r="CU43" i="19"/>
  <c r="FH43" i="19" s="1"/>
  <c r="CU37" i="19"/>
  <c r="FH37" i="19" s="1"/>
  <c r="CU35" i="19"/>
  <c r="FH35" i="19" s="1"/>
  <c r="CU29" i="19"/>
  <c r="FH29" i="19" s="1"/>
  <c r="CU26" i="19"/>
  <c r="CN325" i="19"/>
  <c r="FC325" i="19" s="1"/>
  <c r="CN323" i="19"/>
  <c r="CN316" i="19"/>
  <c r="FC316" i="19" s="1"/>
  <c r="CN309" i="19"/>
  <c r="FC309" i="19" s="1"/>
  <c r="CN307" i="19"/>
  <c r="FC307" i="19" s="1"/>
  <c r="CN301" i="19"/>
  <c r="FC301" i="19" s="1"/>
  <c r="CN299" i="19"/>
  <c r="FC299" i="19" s="1"/>
  <c r="CN292" i="19"/>
  <c r="FC292" i="19" s="1"/>
  <c r="CN285" i="19"/>
  <c r="FC285" i="19" s="1"/>
  <c r="CN283" i="19"/>
  <c r="CN276" i="19"/>
  <c r="FC276" i="19" s="1"/>
  <c r="CN274" i="19"/>
  <c r="FC274" i="19" s="1"/>
  <c r="CN273" i="19"/>
  <c r="CN268" i="19"/>
  <c r="FC268" i="19" s="1"/>
  <c r="CN266" i="19"/>
  <c r="FC266" i="19" s="1"/>
  <c r="CN265" i="19"/>
  <c r="CN260" i="19"/>
  <c r="FC260" i="19" s="1"/>
  <c r="CN258" i="19"/>
  <c r="FC258" i="19" s="1"/>
  <c r="CN257" i="19"/>
  <c r="CN252" i="19"/>
  <c r="FC252" i="19" s="1"/>
  <c r="CN245" i="19"/>
  <c r="FC245" i="19" s="1"/>
  <c r="CN243" i="19"/>
  <c r="CN236" i="19"/>
  <c r="FC236" i="19" s="1"/>
  <c r="CU276" i="19"/>
  <c r="FH276" i="19" s="1"/>
  <c r="CU241" i="19"/>
  <c r="CU186" i="19"/>
  <c r="CU146" i="19"/>
  <c r="CU129" i="19"/>
  <c r="CU113" i="19"/>
  <c r="CU89" i="19"/>
  <c r="CU74" i="19"/>
  <c r="CU57" i="19"/>
  <c r="CU12" i="19"/>
  <c r="FH12" i="19" s="1"/>
  <c r="CN322" i="19"/>
  <c r="FC322" i="19" s="1"/>
  <c r="CN297" i="19"/>
  <c r="CN282" i="19"/>
  <c r="FC282" i="19" s="1"/>
  <c r="CN242" i="19"/>
  <c r="FC242" i="19" s="1"/>
  <c r="CN229" i="19"/>
  <c r="FC229" i="19" s="1"/>
  <c r="CN227" i="19"/>
  <c r="FC227" i="19" s="1"/>
  <c r="CN221" i="19"/>
  <c r="FC221" i="19" s="1"/>
  <c r="CN219" i="19"/>
  <c r="FC219" i="19" s="1"/>
  <c r="CN213" i="19"/>
  <c r="FC213" i="19" s="1"/>
  <c r="CN211" i="19"/>
  <c r="FC211" i="19" s="1"/>
  <c r="CN205" i="19"/>
  <c r="FC205" i="19" s="1"/>
  <c r="CN203" i="19"/>
  <c r="FC203" i="19" s="1"/>
  <c r="CN197" i="19"/>
  <c r="FC197" i="19" s="1"/>
  <c r="CN195" i="19"/>
  <c r="FC195" i="19" s="1"/>
  <c r="CN189" i="19"/>
  <c r="FC189" i="19" s="1"/>
  <c r="CN187" i="19"/>
  <c r="FC187" i="19" s="1"/>
  <c r="CN180" i="19"/>
  <c r="FC180" i="19" s="1"/>
  <c r="CN178" i="19"/>
  <c r="FC178" i="19" s="1"/>
  <c r="CN177" i="19"/>
  <c r="CN172" i="19"/>
  <c r="FC172" i="19" s="1"/>
  <c r="CN165" i="19"/>
  <c r="FC165" i="19" s="1"/>
  <c r="CN163" i="19"/>
  <c r="FC163" i="19" s="1"/>
  <c r="CN157" i="19"/>
  <c r="FC157" i="19" s="1"/>
  <c r="CN155" i="19"/>
  <c r="FC155" i="19" s="1"/>
  <c r="CN149" i="19"/>
  <c r="FC149" i="19" s="1"/>
  <c r="CN147" i="19"/>
  <c r="FC147" i="19" s="1"/>
  <c r="CN140" i="19"/>
  <c r="FC140" i="19" s="1"/>
  <c r="CN133" i="19"/>
  <c r="FC133" i="19" s="1"/>
  <c r="CN131" i="19"/>
  <c r="CN124" i="19"/>
  <c r="FC124" i="19" s="1"/>
  <c r="CN117" i="19"/>
  <c r="FC117" i="19" s="1"/>
  <c r="CN115" i="19"/>
  <c r="CN108" i="19"/>
  <c r="FC108" i="19" s="1"/>
  <c r="CN101" i="19"/>
  <c r="FC101" i="19" s="1"/>
  <c r="CN99" i="19"/>
  <c r="FC99" i="19" s="1"/>
  <c r="CN93" i="19"/>
  <c r="FC93" i="19" s="1"/>
  <c r="CN91" i="19"/>
  <c r="CN84" i="19"/>
  <c r="FC84" i="19" s="1"/>
  <c r="CN77" i="19"/>
  <c r="FC77" i="19" s="1"/>
  <c r="CN75" i="19"/>
  <c r="FC75" i="19" s="1"/>
  <c r="CN68" i="19"/>
  <c r="FC68" i="19" s="1"/>
  <c r="CN61" i="19"/>
  <c r="FC61" i="19" s="1"/>
  <c r="CN59" i="19"/>
  <c r="CN52" i="19"/>
  <c r="FC52" i="19" s="1"/>
  <c r="CN45" i="19"/>
  <c r="FC45" i="19" s="1"/>
  <c r="CN43" i="19"/>
  <c r="FC43" i="19" s="1"/>
  <c r="CN37" i="19"/>
  <c r="FC37" i="19" s="1"/>
  <c r="CN35" i="19"/>
  <c r="FC35" i="19" s="1"/>
  <c r="CN29" i="19"/>
  <c r="FC29" i="19" s="1"/>
  <c r="CN27" i="19"/>
  <c r="FC27" i="19" s="1"/>
  <c r="CN10" i="19"/>
  <c r="FC10" i="19" s="1"/>
  <c r="CG325" i="19"/>
  <c r="EX325" i="19" s="1"/>
  <c r="CG321" i="19"/>
  <c r="EX321" i="19" s="1"/>
  <c r="CG316" i="19"/>
  <c r="EX316" i="19" s="1"/>
  <c r="CG309" i="19"/>
  <c r="EX309" i="19" s="1"/>
  <c r="CG307" i="19"/>
  <c r="EX307" i="19" s="1"/>
  <c r="CG301" i="19"/>
  <c r="EX301" i="19" s="1"/>
  <c r="CG299" i="19"/>
  <c r="CG292" i="19"/>
  <c r="EX292" i="19" s="1"/>
  <c r="CG285" i="19"/>
  <c r="EX285" i="19" s="1"/>
  <c r="CG281" i="19"/>
  <c r="EX281" i="19" s="1"/>
  <c r="CG276" i="19"/>
  <c r="EX276" i="19" s="1"/>
  <c r="CG274" i="19"/>
  <c r="EX274" i="19" s="1"/>
  <c r="CG273" i="19"/>
  <c r="CG268" i="19"/>
  <c r="EX268" i="19" s="1"/>
  <c r="CG266" i="19"/>
  <c r="EX266" i="19" s="1"/>
  <c r="CG265" i="19"/>
  <c r="CG260" i="19"/>
  <c r="EX260" i="19" s="1"/>
  <c r="CG258" i="19"/>
  <c r="EX258" i="19" s="1"/>
  <c r="CG257" i="19"/>
  <c r="CG252" i="19"/>
  <c r="EX252" i="19" s="1"/>
  <c r="CG245" i="19"/>
  <c r="EX245" i="19" s="1"/>
  <c r="CG241" i="19"/>
  <c r="EX241" i="19" s="1"/>
  <c r="CG236" i="19"/>
  <c r="EX236" i="19" s="1"/>
  <c r="CG234" i="19"/>
  <c r="CG229" i="19"/>
  <c r="EX229" i="19" s="1"/>
  <c r="CG227" i="19"/>
  <c r="EX227" i="19" s="1"/>
  <c r="CG221" i="19"/>
  <c r="EX221" i="19" s="1"/>
  <c r="CG219" i="19"/>
  <c r="EX219" i="19" s="1"/>
  <c r="CG213" i="19"/>
  <c r="EX213" i="19" s="1"/>
  <c r="CG211" i="19"/>
  <c r="EX211" i="19" s="1"/>
  <c r="CG205" i="19"/>
  <c r="EX205" i="19" s="1"/>
  <c r="CG203" i="19"/>
  <c r="EX203" i="19" s="1"/>
  <c r="CG197" i="19"/>
  <c r="EX197" i="19" s="1"/>
  <c r="CG195" i="19"/>
  <c r="EX195" i="19" s="1"/>
  <c r="CG189" i="19"/>
  <c r="EX189" i="19" s="1"/>
  <c r="CG187" i="19"/>
  <c r="CG180" i="19"/>
  <c r="EX180" i="19" s="1"/>
  <c r="CG178" i="19"/>
  <c r="EX178" i="19" s="1"/>
  <c r="CG177" i="19"/>
  <c r="CG172" i="19"/>
  <c r="EX172" i="19" s="1"/>
  <c r="CG165" i="19"/>
  <c r="EX165" i="19" s="1"/>
  <c r="CG163" i="19"/>
  <c r="EX163" i="19" s="1"/>
  <c r="CG157" i="19"/>
  <c r="EX157" i="19" s="1"/>
  <c r="CG155" i="19"/>
  <c r="EX155" i="19" s="1"/>
  <c r="CG149" i="19"/>
  <c r="EX149" i="19" s="1"/>
  <c r="CG147" i="19"/>
  <c r="CG140" i="19"/>
  <c r="EX140" i="19" s="1"/>
  <c r="CG133" i="19"/>
  <c r="EX133" i="19" s="1"/>
  <c r="CG129" i="19"/>
  <c r="EX129" i="19" s="1"/>
  <c r="CG124" i="19"/>
  <c r="EX124" i="19" s="1"/>
  <c r="CG117" i="19"/>
  <c r="EX117" i="19" s="1"/>
  <c r="CG113" i="19"/>
  <c r="EX113" i="19" s="1"/>
  <c r="CG108" i="19"/>
  <c r="EX108" i="19" s="1"/>
  <c r="CG101" i="19"/>
  <c r="EX101" i="19" s="1"/>
  <c r="CG99" i="19"/>
  <c r="EX99" i="19" s="1"/>
  <c r="CG93" i="19"/>
  <c r="EX93" i="19" s="1"/>
  <c r="CG89" i="19"/>
  <c r="EX89" i="19" s="1"/>
  <c r="CG84" i="19"/>
  <c r="EX84" i="19" s="1"/>
  <c r="CG77" i="19"/>
  <c r="EX77" i="19" s="1"/>
  <c r="CG75" i="19"/>
  <c r="CG68" i="19"/>
  <c r="EX68" i="19" s="1"/>
  <c r="CG61" i="19"/>
  <c r="EX61" i="19" s="1"/>
  <c r="CG57" i="19"/>
  <c r="EX57" i="19" s="1"/>
  <c r="CG52" i="19"/>
  <c r="EX52" i="19" s="1"/>
  <c r="CG45" i="19"/>
  <c r="EX45" i="19" s="1"/>
  <c r="CG43" i="19"/>
  <c r="EX43" i="19" s="1"/>
  <c r="CG37" i="19"/>
  <c r="EX37" i="19" s="1"/>
  <c r="CG35" i="19"/>
  <c r="EX35" i="19" s="1"/>
  <c r="CG29" i="19"/>
  <c r="EX29" i="19" s="1"/>
  <c r="CG27" i="19"/>
  <c r="CG12" i="19"/>
  <c r="EX12" i="19" s="1"/>
  <c r="BZ321" i="19"/>
  <c r="BZ298" i="19"/>
  <c r="BZ281" i="19"/>
  <c r="BZ241" i="19"/>
  <c r="BZ186" i="19"/>
  <c r="BZ146" i="19"/>
  <c r="BZ129" i="19"/>
  <c r="BZ113" i="19"/>
  <c r="BZ89" i="19"/>
  <c r="BZ74" i="19"/>
  <c r="CN185" i="19"/>
  <c r="CN145" i="19"/>
  <c r="CN130" i="19"/>
  <c r="FC130" i="19" s="1"/>
  <c r="CN114" i="19"/>
  <c r="FC114" i="19" s="1"/>
  <c r="CN90" i="19"/>
  <c r="FC90" i="19" s="1"/>
  <c r="CN73" i="19"/>
  <c r="CN58" i="19"/>
  <c r="FC58" i="19" s="1"/>
  <c r="CN12" i="19"/>
  <c r="FC12" i="19" s="1"/>
  <c r="CG322" i="19"/>
  <c r="CG298" i="19"/>
  <c r="EX298" i="19" s="1"/>
  <c r="CG282" i="19"/>
  <c r="CG242" i="19"/>
  <c r="CG186" i="19"/>
  <c r="EX186" i="19" s="1"/>
  <c r="CG146" i="19"/>
  <c r="EX146" i="19" s="1"/>
  <c r="CG130" i="19"/>
  <c r="CG114" i="19"/>
  <c r="CG90" i="19"/>
  <c r="CG74" i="19"/>
  <c r="EX74" i="19" s="1"/>
  <c r="CG58" i="19"/>
  <c r="CG26" i="19"/>
  <c r="EX26" i="19" s="1"/>
  <c r="BZ324" i="19"/>
  <c r="ES324" i="19" s="1"/>
  <c r="BZ317" i="19"/>
  <c r="ES317" i="19" s="1"/>
  <c r="BZ315" i="19"/>
  <c r="ES315" i="19" s="1"/>
  <c r="BZ308" i="19"/>
  <c r="ES308" i="19" s="1"/>
  <c r="BZ306" i="19"/>
  <c r="ES306" i="19" s="1"/>
  <c r="BZ305" i="19"/>
  <c r="BZ300" i="19"/>
  <c r="ES300" i="19" s="1"/>
  <c r="BZ293" i="19"/>
  <c r="ES293" i="19" s="1"/>
  <c r="BZ291" i="19"/>
  <c r="ES291" i="19" s="1"/>
  <c r="BZ284" i="19"/>
  <c r="ES284" i="19" s="1"/>
  <c r="BZ277" i="19"/>
  <c r="ES277" i="19" s="1"/>
  <c r="BZ275" i="19"/>
  <c r="ES275" i="19" s="1"/>
  <c r="BZ269" i="19"/>
  <c r="ES269" i="19" s="1"/>
  <c r="BZ267" i="19"/>
  <c r="ES267" i="19" s="1"/>
  <c r="BZ261" i="19"/>
  <c r="ES261" i="19" s="1"/>
  <c r="BZ259" i="19"/>
  <c r="ES259" i="19" s="1"/>
  <c r="BZ253" i="19"/>
  <c r="ES253" i="19" s="1"/>
  <c r="BZ249" i="19"/>
  <c r="ES249" i="19" s="1"/>
  <c r="BZ244" i="19"/>
  <c r="ES244" i="19" s="1"/>
  <c r="BZ237" i="19"/>
  <c r="ES237" i="19" s="1"/>
  <c r="BZ235" i="19"/>
  <c r="BZ233" i="19"/>
  <c r="ES233" i="19" s="1"/>
  <c r="BZ228" i="19"/>
  <c r="ES228" i="19" s="1"/>
  <c r="BZ226" i="19"/>
  <c r="ES226" i="19" s="1"/>
  <c r="BZ225" i="19"/>
  <c r="BZ220" i="19"/>
  <c r="ES220" i="19" s="1"/>
  <c r="BZ218" i="19"/>
  <c r="ES218" i="19" s="1"/>
  <c r="BZ217" i="19"/>
  <c r="BZ212" i="19"/>
  <c r="ES212" i="19" s="1"/>
  <c r="BZ210" i="19"/>
  <c r="ES210" i="19" s="1"/>
  <c r="BZ209" i="19"/>
  <c r="BZ204" i="19"/>
  <c r="ES204" i="19" s="1"/>
  <c r="BZ202" i="19"/>
  <c r="ES202" i="19" s="1"/>
  <c r="BZ201" i="19"/>
  <c r="BZ196" i="19"/>
  <c r="ES196" i="19" s="1"/>
  <c r="BZ194" i="19"/>
  <c r="ES194" i="19" s="1"/>
  <c r="BZ193" i="19"/>
  <c r="BZ188" i="19"/>
  <c r="ES188" i="19" s="1"/>
  <c r="BZ181" i="19"/>
  <c r="ES181" i="19" s="1"/>
  <c r="BZ179" i="19"/>
  <c r="ES179" i="19" s="1"/>
  <c r="BZ173" i="19"/>
  <c r="ES173" i="19" s="1"/>
  <c r="BZ169" i="19"/>
  <c r="ES169" i="19" s="1"/>
  <c r="BZ164" i="19"/>
  <c r="ES164" i="19" s="1"/>
  <c r="BZ162" i="19"/>
  <c r="ES162" i="19" s="1"/>
  <c r="BZ161" i="19"/>
  <c r="BZ156" i="19"/>
  <c r="ES156" i="19" s="1"/>
  <c r="BZ154" i="19"/>
  <c r="ES154" i="19" s="1"/>
  <c r="BZ153" i="19"/>
  <c r="BZ148" i="19"/>
  <c r="ES148" i="19" s="1"/>
  <c r="BZ141" i="19"/>
  <c r="ES141" i="19" s="1"/>
  <c r="BZ139" i="19"/>
  <c r="ES139" i="19" s="1"/>
  <c r="BZ132" i="19"/>
  <c r="ES132" i="19" s="1"/>
  <c r="BZ125" i="19"/>
  <c r="ES125" i="19" s="1"/>
  <c r="BZ123" i="19"/>
  <c r="ES123" i="19" s="1"/>
  <c r="BZ116" i="19"/>
  <c r="ES116" i="19" s="1"/>
  <c r="BZ109" i="19"/>
  <c r="ES109" i="19" s="1"/>
  <c r="BZ107" i="19"/>
  <c r="ES107" i="19" s="1"/>
  <c r="BZ100" i="19"/>
  <c r="ES100" i="19" s="1"/>
  <c r="BZ98" i="19"/>
  <c r="ES98" i="19" s="1"/>
  <c r="BZ97" i="19"/>
  <c r="BZ92" i="19"/>
  <c r="ES92" i="19" s="1"/>
  <c r="BZ85" i="19"/>
  <c r="ES85" i="19" s="1"/>
  <c r="BZ81" i="19"/>
  <c r="ES81" i="19" s="1"/>
  <c r="BZ76" i="19"/>
  <c r="ES76" i="19" s="1"/>
  <c r="BZ69" i="19"/>
  <c r="ES69" i="19" s="1"/>
  <c r="CN228" i="19"/>
  <c r="FC228" i="19" s="1"/>
  <c r="CN226" i="19"/>
  <c r="FC226" i="19" s="1"/>
  <c r="CN225" i="19"/>
  <c r="CN220" i="19"/>
  <c r="FC220" i="19" s="1"/>
  <c r="CN218" i="19"/>
  <c r="FC218" i="19" s="1"/>
  <c r="CN217" i="19"/>
  <c r="CN212" i="19"/>
  <c r="FC212" i="19" s="1"/>
  <c r="CN210" i="19"/>
  <c r="FC210" i="19" s="1"/>
  <c r="CN209" i="19"/>
  <c r="CN204" i="19"/>
  <c r="FC204" i="19" s="1"/>
  <c r="CN202" i="19"/>
  <c r="FC202" i="19" s="1"/>
  <c r="CN201" i="19"/>
  <c r="CN196" i="19"/>
  <c r="FC196" i="19" s="1"/>
  <c r="CN194" i="19"/>
  <c r="FC194" i="19" s="1"/>
  <c r="CN193" i="19"/>
  <c r="CN188" i="19"/>
  <c r="FC188" i="19" s="1"/>
  <c r="CN181" i="19"/>
  <c r="FC181" i="19" s="1"/>
  <c r="CN179" i="19"/>
  <c r="FC179" i="19" s="1"/>
  <c r="CN173" i="19"/>
  <c r="FC173" i="19" s="1"/>
  <c r="CN171" i="19"/>
  <c r="FC171" i="19" s="1"/>
  <c r="CN164" i="19"/>
  <c r="FC164" i="19" s="1"/>
  <c r="CN162" i="19"/>
  <c r="FC162" i="19" s="1"/>
  <c r="CN161" i="19"/>
  <c r="CN156" i="19"/>
  <c r="FC156" i="19" s="1"/>
  <c r="CN154" i="19"/>
  <c r="FC154" i="19" s="1"/>
  <c r="CN153" i="19"/>
  <c r="CN148" i="19"/>
  <c r="FC148" i="19" s="1"/>
  <c r="CN141" i="19"/>
  <c r="FC141" i="19" s="1"/>
  <c r="CN139" i="19"/>
  <c r="CN132" i="19"/>
  <c r="FC132" i="19" s="1"/>
  <c r="CN125" i="19"/>
  <c r="FC125" i="19" s="1"/>
  <c r="CN123" i="19"/>
  <c r="CN116" i="19"/>
  <c r="FC116" i="19" s="1"/>
  <c r="CN109" i="19"/>
  <c r="FC109" i="19" s="1"/>
  <c r="CN107" i="19"/>
  <c r="CN100" i="19"/>
  <c r="FC100" i="19" s="1"/>
  <c r="CN98" i="19"/>
  <c r="FC98" i="19" s="1"/>
  <c r="CN97" i="19"/>
  <c r="CN92" i="19"/>
  <c r="FC92" i="19" s="1"/>
  <c r="CN85" i="19"/>
  <c r="FC85" i="19" s="1"/>
  <c r="CN83" i="19"/>
  <c r="FC83" i="19" s="1"/>
  <c r="CN76" i="19"/>
  <c r="FC76" i="19" s="1"/>
  <c r="CN69" i="19"/>
  <c r="FC69" i="19" s="1"/>
  <c r="CN67" i="19"/>
  <c r="CN60" i="19"/>
  <c r="FC60" i="19" s="1"/>
  <c r="CN53" i="19"/>
  <c r="FC53" i="19" s="1"/>
  <c r="CN49" i="19"/>
  <c r="FC49" i="19" s="1"/>
  <c r="CN44" i="19"/>
  <c r="FC44" i="19" s="1"/>
  <c r="CN42" i="19"/>
  <c r="FC42" i="19" s="1"/>
  <c r="CN41" i="19"/>
  <c r="CN36" i="19"/>
  <c r="FC36" i="19" s="1"/>
  <c r="CN34" i="19"/>
  <c r="FC34" i="19" s="1"/>
  <c r="CN33" i="19"/>
  <c r="CN28" i="19"/>
  <c r="FC28" i="19" s="1"/>
  <c r="CN17" i="19"/>
  <c r="CG324" i="19"/>
  <c r="EX324" i="19" s="1"/>
  <c r="CG317" i="19"/>
  <c r="EX317" i="19" s="1"/>
  <c r="CG313" i="19"/>
  <c r="EX313" i="19" s="1"/>
  <c r="CG308" i="19"/>
  <c r="EX308" i="19" s="1"/>
  <c r="CG306" i="19"/>
  <c r="EX306" i="19" s="1"/>
  <c r="CG305" i="19"/>
  <c r="CG300" i="19"/>
  <c r="EX300" i="19" s="1"/>
  <c r="CG293" i="19"/>
  <c r="EX293" i="19" s="1"/>
  <c r="CG289" i="19"/>
  <c r="EX289" i="19" s="1"/>
  <c r="CG284" i="19"/>
  <c r="EX284" i="19" s="1"/>
  <c r="CG277" i="19"/>
  <c r="EX277" i="19" s="1"/>
  <c r="CG275" i="19"/>
  <c r="EX275" i="19" s="1"/>
  <c r="CG269" i="19"/>
  <c r="EX269" i="19" s="1"/>
  <c r="CG267" i="19"/>
  <c r="EX267" i="19" s="1"/>
  <c r="CG261" i="19"/>
  <c r="EX261" i="19" s="1"/>
  <c r="CG259" i="19"/>
  <c r="EX259" i="19" s="1"/>
  <c r="CG253" i="19"/>
  <c r="EX253" i="19" s="1"/>
  <c r="CG251" i="19"/>
  <c r="CG244" i="19"/>
  <c r="EX244" i="19" s="1"/>
  <c r="CG237" i="19"/>
  <c r="EX237" i="19" s="1"/>
  <c r="CG235" i="19"/>
  <c r="EX235" i="19" s="1"/>
  <c r="CG228" i="19"/>
  <c r="EX228" i="19" s="1"/>
  <c r="CG226" i="19"/>
  <c r="EX226" i="19" s="1"/>
  <c r="CG225" i="19"/>
  <c r="CG220" i="19"/>
  <c r="EX220" i="19" s="1"/>
  <c r="CG218" i="19"/>
  <c r="EX218" i="19" s="1"/>
  <c r="CG217" i="19"/>
  <c r="CG212" i="19"/>
  <c r="EX212" i="19" s="1"/>
  <c r="CG210" i="19"/>
  <c r="EX210" i="19" s="1"/>
  <c r="CG209" i="19"/>
  <c r="CG204" i="19"/>
  <c r="EX204" i="19" s="1"/>
  <c r="CG202" i="19"/>
  <c r="EX202" i="19" s="1"/>
  <c r="CG201" i="19"/>
  <c r="CG196" i="19"/>
  <c r="EX196" i="19" s="1"/>
  <c r="CG194" i="19"/>
  <c r="EX194" i="19" s="1"/>
  <c r="CG193" i="19"/>
  <c r="CG188" i="19"/>
  <c r="EX188" i="19" s="1"/>
  <c r="CG181" i="19"/>
  <c r="EX181" i="19" s="1"/>
  <c r="CG179" i="19"/>
  <c r="EX179" i="19" s="1"/>
  <c r="CG173" i="19"/>
  <c r="EX173" i="19" s="1"/>
  <c r="CG171" i="19"/>
  <c r="CG164" i="19"/>
  <c r="EX164" i="19" s="1"/>
  <c r="CG162" i="19"/>
  <c r="EX162" i="19" s="1"/>
  <c r="CG161" i="19"/>
  <c r="CG156" i="19"/>
  <c r="EX156" i="19" s="1"/>
  <c r="CG154" i="19"/>
  <c r="EX154" i="19" s="1"/>
  <c r="CG153" i="19"/>
  <c r="CG148" i="19"/>
  <c r="EX148" i="19" s="1"/>
  <c r="CG141" i="19"/>
  <c r="EX141" i="19" s="1"/>
  <c r="CG137" i="19"/>
  <c r="EX137" i="19" s="1"/>
  <c r="CG132" i="19"/>
  <c r="EX132" i="19" s="1"/>
  <c r="CG125" i="19"/>
  <c r="EX125" i="19" s="1"/>
  <c r="CG121" i="19"/>
  <c r="EX121" i="19" s="1"/>
  <c r="CG116" i="19"/>
  <c r="EX116" i="19" s="1"/>
  <c r="CG109" i="19"/>
  <c r="EX109" i="19" s="1"/>
  <c r="CG105" i="19"/>
  <c r="EX105" i="19" s="1"/>
  <c r="CG100" i="19"/>
  <c r="EX100" i="19" s="1"/>
  <c r="CG98" i="19"/>
  <c r="EX98" i="19" s="1"/>
  <c r="CG97" i="19"/>
  <c r="CG92" i="19"/>
  <c r="EX92" i="19" s="1"/>
  <c r="CG85" i="19"/>
  <c r="EX85" i="19" s="1"/>
  <c r="CG83" i="19"/>
  <c r="CG76" i="19"/>
  <c r="EX76" i="19" s="1"/>
  <c r="CG69" i="19"/>
  <c r="EX69" i="19" s="1"/>
  <c r="CG65" i="19"/>
  <c r="EX65" i="19" s="1"/>
  <c r="CG60" i="19"/>
  <c r="EX60" i="19" s="1"/>
  <c r="CG53" i="19"/>
  <c r="EX53" i="19" s="1"/>
  <c r="CG51" i="19"/>
  <c r="EX51" i="19" s="1"/>
  <c r="CG44" i="19"/>
  <c r="EX44" i="19" s="1"/>
  <c r="CG42" i="19"/>
  <c r="EX42" i="19" s="1"/>
  <c r="CG41" i="19"/>
  <c r="CG36" i="19"/>
  <c r="EX36" i="19" s="1"/>
  <c r="CG34" i="19"/>
  <c r="EX34" i="19" s="1"/>
  <c r="CG33" i="19"/>
  <c r="CG28" i="19"/>
  <c r="EX28" i="19" s="1"/>
  <c r="CG13" i="19"/>
  <c r="EX13" i="19" s="1"/>
  <c r="BZ313" i="19"/>
  <c r="BZ289" i="19"/>
  <c r="BZ250" i="19"/>
  <c r="BZ170" i="19"/>
  <c r="BZ137" i="19"/>
  <c r="BZ121" i="19"/>
  <c r="BZ105" i="19"/>
  <c r="BZ82" i="19"/>
  <c r="CN169" i="19"/>
  <c r="CN138" i="19"/>
  <c r="FC138" i="19" s="1"/>
  <c r="CN122" i="19"/>
  <c r="FC122" i="19" s="1"/>
  <c r="CN106" i="19"/>
  <c r="FC106" i="19" s="1"/>
  <c r="CN81" i="19"/>
  <c r="CN66" i="19"/>
  <c r="FC66" i="19" s="1"/>
  <c r="CN50" i="19"/>
  <c r="CN25" i="19"/>
  <c r="CN13" i="19"/>
  <c r="FC13" i="19" s="1"/>
  <c r="CN11" i="19"/>
  <c r="CG314" i="19"/>
  <c r="CG290" i="19"/>
  <c r="CG250" i="19"/>
  <c r="EX250" i="19" s="1"/>
  <c r="CG170" i="19"/>
  <c r="EX170" i="19" s="1"/>
  <c r="CG138" i="19"/>
  <c r="CG122" i="19"/>
  <c r="CG106" i="19"/>
  <c r="CG82" i="19"/>
  <c r="EX82" i="19" s="1"/>
  <c r="CG66" i="19"/>
  <c r="CG49" i="19"/>
  <c r="CG10" i="19"/>
  <c r="BZ325" i="19"/>
  <c r="ES325" i="19" s="1"/>
  <c r="BZ323" i="19"/>
  <c r="ES323" i="19" s="1"/>
  <c r="BZ316" i="19"/>
  <c r="ES316" i="19" s="1"/>
  <c r="BZ309" i="19"/>
  <c r="ES309" i="19" s="1"/>
  <c r="BZ307" i="19"/>
  <c r="ES307" i="19" s="1"/>
  <c r="BZ301" i="19"/>
  <c r="ES301" i="19" s="1"/>
  <c r="BZ297" i="19"/>
  <c r="ES297" i="19" s="1"/>
  <c r="BZ292" i="19"/>
  <c r="ES292" i="19" s="1"/>
  <c r="BZ285" i="19"/>
  <c r="ES285" i="19" s="1"/>
  <c r="BZ283" i="19"/>
  <c r="ES283" i="19" s="1"/>
  <c r="BZ276" i="19"/>
  <c r="ES276" i="19" s="1"/>
  <c r="BZ274" i="19"/>
  <c r="ES274" i="19" s="1"/>
  <c r="BZ273" i="19"/>
  <c r="BZ268" i="19"/>
  <c r="ES268" i="19" s="1"/>
  <c r="BZ266" i="19"/>
  <c r="ES266" i="19" s="1"/>
  <c r="BZ265" i="19"/>
  <c r="BZ260" i="19"/>
  <c r="ES260" i="19" s="1"/>
  <c r="BZ258" i="19"/>
  <c r="ES258" i="19" s="1"/>
  <c r="BZ257" i="19"/>
  <c r="BZ252" i="19"/>
  <c r="ES252" i="19" s="1"/>
  <c r="BZ245" i="19"/>
  <c r="ES245" i="19" s="1"/>
  <c r="BZ243" i="19"/>
  <c r="ES243" i="19" s="1"/>
  <c r="BZ236" i="19"/>
  <c r="ES236" i="19" s="1"/>
  <c r="BZ229" i="19"/>
  <c r="ES229" i="19" s="1"/>
  <c r="BZ227" i="19"/>
  <c r="ES227" i="19" s="1"/>
  <c r="BZ221" i="19"/>
  <c r="ES221" i="19" s="1"/>
  <c r="BZ219" i="19"/>
  <c r="ES219" i="19" s="1"/>
  <c r="BZ213" i="19"/>
  <c r="ES213" i="19" s="1"/>
  <c r="BZ211" i="19"/>
  <c r="ES211" i="19" s="1"/>
  <c r="BZ205" i="19"/>
  <c r="ES205" i="19" s="1"/>
  <c r="BZ203" i="19"/>
  <c r="ES203" i="19" s="1"/>
  <c r="BZ197" i="19"/>
  <c r="ES197" i="19" s="1"/>
  <c r="BZ195" i="19"/>
  <c r="ES195" i="19" s="1"/>
  <c r="BZ189" i="19"/>
  <c r="ES189" i="19" s="1"/>
  <c r="BZ185" i="19"/>
  <c r="ES185" i="19" s="1"/>
  <c r="BZ180" i="19"/>
  <c r="ES180" i="19" s="1"/>
  <c r="BZ178" i="19"/>
  <c r="ES178" i="19" s="1"/>
  <c r="BZ177" i="19"/>
  <c r="BZ172" i="19"/>
  <c r="ES172" i="19" s="1"/>
  <c r="BZ165" i="19"/>
  <c r="ES165" i="19" s="1"/>
  <c r="BZ163" i="19"/>
  <c r="ES163" i="19" s="1"/>
  <c r="BZ157" i="19"/>
  <c r="ES157" i="19" s="1"/>
  <c r="BZ155" i="19"/>
  <c r="ES155" i="19" s="1"/>
  <c r="BZ149" i="19"/>
  <c r="ES149" i="19" s="1"/>
  <c r="BZ145" i="19"/>
  <c r="ES145" i="19" s="1"/>
  <c r="BZ140" i="19"/>
  <c r="ES140" i="19" s="1"/>
  <c r="BZ133" i="19"/>
  <c r="ES133" i="19" s="1"/>
  <c r="BZ131" i="19"/>
  <c r="ES131" i="19" s="1"/>
  <c r="BZ124" i="19"/>
  <c r="ES124" i="19" s="1"/>
  <c r="BZ117" i="19"/>
  <c r="ES117" i="19" s="1"/>
  <c r="BZ115" i="19"/>
  <c r="ES115" i="19" s="1"/>
  <c r="BZ108" i="19"/>
  <c r="ES108" i="19" s="1"/>
  <c r="BZ101" i="19"/>
  <c r="ES101" i="19" s="1"/>
  <c r="BZ99" i="19"/>
  <c r="ES99" i="19" s="1"/>
  <c r="BZ93" i="19"/>
  <c r="ES93" i="19" s="1"/>
  <c r="BZ91" i="19"/>
  <c r="ES91" i="19" s="1"/>
  <c r="BZ84" i="19"/>
  <c r="ES84" i="19" s="1"/>
  <c r="BZ77" i="19"/>
  <c r="ES77" i="19" s="1"/>
  <c r="BZ73" i="19"/>
  <c r="ES73" i="19" s="1"/>
  <c r="BZ68" i="19"/>
  <c r="ES68" i="19" s="1"/>
  <c r="BZ61" i="19"/>
  <c r="ES61" i="19" s="1"/>
  <c r="BZ67" i="19"/>
  <c r="ES67" i="19" s="1"/>
  <c r="BZ50" i="19"/>
  <c r="ES50" i="19" s="1"/>
  <c r="BZ25" i="19"/>
  <c r="ES25" i="19" s="1"/>
  <c r="BZ13" i="19"/>
  <c r="ES13" i="19" s="1"/>
  <c r="BZ11" i="19"/>
  <c r="ES11" i="19" s="1"/>
  <c r="BZ9" i="19"/>
  <c r="BS314" i="19"/>
  <c r="EN314" i="19" s="1"/>
  <c r="BS290" i="19"/>
  <c r="EN290" i="19" s="1"/>
  <c r="BS249" i="19"/>
  <c r="BS234" i="19"/>
  <c r="EN234" i="19" s="1"/>
  <c r="BS233" i="19"/>
  <c r="BS169" i="19"/>
  <c r="BS138" i="19"/>
  <c r="EN138" i="19" s="1"/>
  <c r="BS122" i="19"/>
  <c r="EN122" i="19" s="1"/>
  <c r="BS106" i="19"/>
  <c r="EN106" i="19" s="1"/>
  <c r="BS81" i="19"/>
  <c r="BS66" i="19"/>
  <c r="EN66" i="19" s="1"/>
  <c r="BS50" i="19"/>
  <c r="BS25" i="19"/>
  <c r="BZ65" i="19"/>
  <c r="BZ59" i="19"/>
  <c r="ES59" i="19" s="1"/>
  <c r="BZ52" i="19"/>
  <c r="ES52" i="19" s="1"/>
  <c r="BZ45" i="19"/>
  <c r="ES45" i="19" s="1"/>
  <c r="BZ43" i="19"/>
  <c r="ES43" i="19" s="1"/>
  <c r="BZ37" i="19"/>
  <c r="ES37" i="19" s="1"/>
  <c r="BZ35" i="19"/>
  <c r="ES35" i="19" s="1"/>
  <c r="BZ29" i="19"/>
  <c r="ES29" i="19" s="1"/>
  <c r="BZ26" i="19"/>
  <c r="BS325" i="19"/>
  <c r="EN325" i="19" s="1"/>
  <c r="BS323" i="19"/>
  <c r="BS316" i="19"/>
  <c r="EN316" i="19" s="1"/>
  <c r="BS309" i="19"/>
  <c r="EN309" i="19" s="1"/>
  <c r="BS307" i="19"/>
  <c r="EN307" i="19" s="1"/>
  <c r="BS301" i="19"/>
  <c r="EN301" i="19" s="1"/>
  <c r="BS299" i="19"/>
  <c r="EN299" i="19" s="1"/>
  <c r="BS292" i="19"/>
  <c r="EN292" i="19" s="1"/>
  <c r="BS285" i="19"/>
  <c r="EN285" i="19" s="1"/>
  <c r="BS283" i="19"/>
  <c r="BS276" i="19"/>
  <c r="EN276" i="19" s="1"/>
  <c r="BS274" i="19"/>
  <c r="EN274" i="19" s="1"/>
  <c r="BS273" i="19"/>
  <c r="BS268" i="19"/>
  <c r="EN268" i="19" s="1"/>
  <c r="BS266" i="19"/>
  <c r="EN266" i="19" s="1"/>
  <c r="BS265" i="19"/>
  <c r="BS260" i="19"/>
  <c r="EN260" i="19" s="1"/>
  <c r="BS258" i="19"/>
  <c r="EN258" i="19" s="1"/>
  <c r="BS257" i="19"/>
  <c r="BS252" i="19"/>
  <c r="EN252" i="19" s="1"/>
  <c r="BS245" i="19"/>
  <c r="EN245" i="19" s="1"/>
  <c r="BS243" i="19"/>
  <c r="BS236" i="19"/>
  <c r="EN236" i="19" s="1"/>
  <c r="BS229" i="19"/>
  <c r="EN229" i="19" s="1"/>
  <c r="BS227" i="19"/>
  <c r="EN227" i="19" s="1"/>
  <c r="BS221" i="19"/>
  <c r="EN221" i="19" s="1"/>
  <c r="BS219" i="19"/>
  <c r="EN219" i="19" s="1"/>
  <c r="BS213" i="19"/>
  <c r="EN213" i="19" s="1"/>
  <c r="BS211" i="19"/>
  <c r="EN211" i="19" s="1"/>
  <c r="BS205" i="19"/>
  <c r="EN205" i="19" s="1"/>
  <c r="BS203" i="19"/>
  <c r="EN203" i="19" s="1"/>
  <c r="BS197" i="19"/>
  <c r="EN197" i="19" s="1"/>
  <c r="BS195" i="19"/>
  <c r="EN195" i="19" s="1"/>
  <c r="BS189" i="19"/>
  <c r="EN189" i="19" s="1"/>
  <c r="BS187" i="19"/>
  <c r="EN187" i="19" s="1"/>
  <c r="BS180" i="19"/>
  <c r="EN180" i="19" s="1"/>
  <c r="BS178" i="19"/>
  <c r="EN178" i="19" s="1"/>
  <c r="BS177" i="19"/>
  <c r="BS172" i="19"/>
  <c r="EN172" i="19" s="1"/>
  <c r="BS165" i="19"/>
  <c r="EN165" i="19" s="1"/>
  <c r="BS163" i="19"/>
  <c r="EN163" i="19" s="1"/>
  <c r="BS157" i="19"/>
  <c r="EN157" i="19" s="1"/>
  <c r="BS155" i="19"/>
  <c r="EN155" i="19" s="1"/>
  <c r="BS149" i="19"/>
  <c r="EN149" i="19" s="1"/>
  <c r="BS147" i="19"/>
  <c r="EN147" i="19" s="1"/>
  <c r="BS140" i="19"/>
  <c r="EN140" i="19" s="1"/>
  <c r="BS133" i="19"/>
  <c r="EN133" i="19" s="1"/>
  <c r="BS131" i="19"/>
  <c r="BS124" i="19"/>
  <c r="EN124" i="19" s="1"/>
  <c r="BS117" i="19"/>
  <c r="EN117" i="19" s="1"/>
  <c r="BS115" i="19"/>
  <c r="BS108" i="19"/>
  <c r="EN108" i="19" s="1"/>
  <c r="BS101" i="19"/>
  <c r="EN101" i="19" s="1"/>
  <c r="BS99" i="19"/>
  <c r="EN99" i="19" s="1"/>
  <c r="BS93" i="19"/>
  <c r="EN93" i="19" s="1"/>
  <c r="BS91" i="19"/>
  <c r="BS84" i="19"/>
  <c r="EN84" i="19" s="1"/>
  <c r="BS77" i="19"/>
  <c r="EN77" i="19" s="1"/>
  <c r="BS75" i="19"/>
  <c r="EN75" i="19" s="1"/>
  <c r="BS68" i="19"/>
  <c r="EN68" i="19" s="1"/>
  <c r="BS61" i="19"/>
  <c r="EN61" i="19" s="1"/>
  <c r="BS59" i="19"/>
  <c r="BS52" i="19"/>
  <c r="EN52" i="19" s="1"/>
  <c r="BS45" i="19"/>
  <c r="EN45" i="19" s="1"/>
  <c r="BS43" i="19"/>
  <c r="EN43" i="19" s="1"/>
  <c r="BS37" i="19"/>
  <c r="EN37" i="19" s="1"/>
  <c r="BS35" i="19"/>
  <c r="EN35" i="19" s="1"/>
  <c r="BS29" i="19"/>
  <c r="EN29" i="19" s="1"/>
  <c r="BS27" i="19"/>
  <c r="EN27" i="19" s="1"/>
  <c r="BS10" i="19"/>
  <c r="EN10" i="19" s="1"/>
  <c r="BZ57" i="19"/>
  <c r="BZ12" i="19"/>
  <c r="ES12" i="19" s="1"/>
  <c r="BS322" i="19"/>
  <c r="EN322" i="19" s="1"/>
  <c r="BS297" i="19"/>
  <c r="BS282" i="19"/>
  <c r="EN282" i="19" s="1"/>
  <c r="BS242" i="19"/>
  <c r="EN242" i="19" s="1"/>
  <c r="BS185" i="19"/>
  <c r="BS145" i="19"/>
  <c r="BS130" i="19"/>
  <c r="EN130" i="19" s="1"/>
  <c r="BS114" i="19"/>
  <c r="EN114" i="19" s="1"/>
  <c r="BS90" i="19"/>
  <c r="EN90" i="19" s="1"/>
  <c r="BS73" i="19"/>
  <c r="BS58" i="19"/>
  <c r="EN58" i="19" s="1"/>
  <c r="BS12" i="19"/>
  <c r="EN12" i="19" s="1"/>
  <c r="BZ60" i="19"/>
  <c r="ES60" i="19" s="1"/>
  <c r="BZ53" i="19"/>
  <c r="ES53" i="19" s="1"/>
  <c r="BZ51" i="19"/>
  <c r="BZ44" i="19"/>
  <c r="ES44" i="19" s="1"/>
  <c r="BZ42" i="19"/>
  <c r="ES42" i="19" s="1"/>
  <c r="BZ41" i="19"/>
  <c r="BZ36" i="19"/>
  <c r="ES36" i="19" s="1"/>
  <c r="BZ34" i="19"/>
  <c r="ES34" i="19" s="1"/>
  <c r="BZ33" i="19"/>
  <c r="BZ28" i="19"/>
  <c r="ES28" i="19" s="1"/>
  <c r="BZ17" i="19"/>
  <c r="BS324" i="19"/>
  <c r="EN324" i="19" s="1"/>
  <c r="BS317" i="19"/>
  <c r="EN317" i="19" s="1"/>
  <c r="BS315" i="19"/>
  <c r="BS308" i="19"/>
  <c r="EN308" i="19" s="1"/>
  <c r="BS306" i="19"/>
  <c r="EN306" i="19" s="1"/>
  <c r="BS305" i="19"/>
  <c r="BS300" i="19"/>
  <c r="EN300" i="19" s="1"/>
  <c r="BS293" i="19"/>
  <c r="EN293" i="19" s="1"/>
  <c r="BS291" i="19"/>
  <c r="BS284" i="19"/>
  <c r="EN284" i="19" s="1"/>
  <c r="BS277" i="19"/>
  <c r="EN277" i="19" s="1"/>
  <c r="BS275" i="19"/>
  <c r="EN275" i="19" s="1"/>
  <c r="BS269" i="19"/>
  <c r="EN269" i="19" s="1"/>
  <c r="BS267" i="19"/>
  <c r="EN267" i="19" s="1"/>
  <c r="BS261" i="19"/>
  <c r="EN261" i="19" s="1"/>
  <c r="BS259" i="19"/>
  <c r="EN259" i="19" s="1"/>
  <c r="BS253" i="19"/>
  <c r="EN253" i="19" s="1"/>
  <c r="BS251" i="19"/>
  <c r="EN251" i="19" s="1"/>
  <c r="BS244" i="19"/>
  <c r="EN244" i="19" s="1"/>
  <c r="BS237" i="19"/>
  <c r="EN237" i="19" s="1"/>
  <c r="BS228" i="19"/>
  <c r="EN228" i="19" s="1"/>
  <c r="BS226" i="19"/>
  <c r="EN226" i="19" s="1"/>
  <c r="BS225" i="19"/>
  <c r="BS220" i="19"/>
  <c r="EN220" i="19" s="1"/>
  <c r="BS218" i="19"/>
  <c r="EN218" i="19" s="1"/>
  <c r="BS217" i="19"/>
  <c r="BS212" i="19"/>
  <c r="EN212" i="19" s="1"/>
  <c r="BS210" i="19"/>
  <c r="EN210" i="19" s="1"/>
  <c r="BS209" i="19"/>
  <c r="BS204" i="19"/>
  <c r="EN204" i="19" s="1"/>
  <c r="BS202" i="19"/>
  <c r="EN202" i="19" s="1"/>
  <c r="BS201" i="19"/>
  <c r="BS196" i="19"/>
  <c r="EN196" i="19" s="1"/>
  <c r="BS194" i="19"/>
  <c r="EN194" i="19" s="1"/>
  <c r="BS193" i="19"/>
  <c r="BS188" i="19"/>
  <c r="EN188" i="19" s="1"/>
  <c r="BS181" i="19"/>
  <c r="EN181" i="19" s="1"/>
  <c r="BS179" i="19"/>
  <c r="EN179" i="19" s="1"/>
  <c r="BS173" i="19"/>
  <c r="EN173" i="19" s="1"/>
  <c r="BS171" i="19"/>
  <c r="EN171" i="19" s="1"/>
  <c r="BS164" i="19"/>
  <c r="EN164" i="19" s="1"/>
  <c r="BS162" i="19"/>
  <c r="EN162" i="19" s="1"/>
  <c r="BS161" i="19"/>
  <c r="BS156" i="19"/>
  <c r="EN156" i="19" s="1"/>
  <c r="BS154" i="19"/>
  <c r="EN154" i="19" s="1"/>
  <c r="BS153" i="19"/>
  <c r="BS148" i="19"/>
  <c r="EN148" i="19" s="1"/>
  <c r="BS141" i="19"/>
  <c r="EN141" i="19" s="1"/>
  <c r="BS139" i="19"/>
  <c r="BS132" i="19"/>
  <c r="EN132" i="19" s="1"/>
  <c r="BS125" i="19"/>
  <c r="EN125" i="19" s="1"/>
  <c r="BS123" i="19"/>
  <c r="BS116" i="19"/>
  <c r="EN116" i="19" s="1"/>
  <c r="BS109" i="19"/>
  <c r="EN109" i="19" s="1"/>
  <c r="BS107" i="19"/>
  <c r="BS100" i="19"/>
  <c r="EN100" i="19" s="1"/>
  <c r="BS98" i="19"/>
  <c r="EN98" i="19" s="1"/>
  <c r="BS97" i="19"/>
  <c r="BS92" i="19"/>
  <c r="EN92" i="19" s="1"/>
  <c r="BS85" i="19"/>
  <c r="EN85" i="19" s="1"/>
  <c r="BS83" i="19"/>
  <c r="EN83" i="19" s="1"/>
  <c r="BS76" i="19"/>
  <c r="EN76" i="19" s="1"/>
  <c r="BS69" i="19"/>
  <c r="EN69" i="19" s="1"/>
  <c r="BS67" i="19"/>
  <c r="BS60" i="19"/>
  <c r="EN60" i="19" s="1"/>
  <c r="BS53" i="19"/>
  <c r="EN53" i="19" s="1"/>
  <c r="BS49" i="19"/>
  <c r="EN49" i="19" s="1"/>
  <c r="BS44" i="19"/>
  <c r="EN44" i="19" s="1"/>
  <c r="BS42" i="19"/>
  <c r="EN42" i="19" s="1"/>
  <c r="BS41" i="19"/>
  <c r="BS36" i="19"/>
  <c r="EN36" i="19" s="1"/>
  <c r="BS34" i="19"/>
  <c r="EN34" i="19" s="1"/>
  <c r="BS33" i="19"/>
  <c r="BS28" i="19"/>
  <c r="EN28" i="19" s="1"/>
  <c r="BS17" i="19"/>
  <c r="BS11" i="19"/>
  <c r="BL314" i="19"/>
  <c r="BL290" i="19"/>
  <c r="BL250" i="19"/>
  <c r="EI250" i="19" s="1"/>
  <c r="BL170" i="19"/>
  <c r="EI170" i="19" s="1"/>
  <c r="BL138" i="19"/>
  <c r="BL122" i="19"/>
  <c r="BL106" i="19"/>
  <c r="BL82" i="19"/>
  <c r="EI82" i="19" s="1"/>
  <c r="BL66" i="19"/>
  <c r="BL49" i="19"/>
  <c r="BL10" i="19"/>
  <c r="BE321" i="19"/>
  <c r="BE298" i="19"/>
  <c r="BE281" i="19"/>
  <c r="BE241" i="19"/>
  <c r="BE186" i="19"/>
  <c r="BE146" i="19"/>
  <c r="BE129" i="19"/>
  <c r="BE113" i="19"/>
  <c r="BE89" i="19"/>
  <c r="BE74" i="19"/>
  <c r="BE57" i="19"/>
  <c r="BE12" i="19"/>
  <c r="ED12" i="19" s="1"/>
  <c r="BE9" i="19"/>
  <c r="AX314" i="19"/>
  <c r="DY314" i="19" s="1"/>
  <c r="AX290" i="19"/>
  <c r="DY290" i="19" s="1"/>
  <c r="AX276" i="19"/>
  <c r="DY276" i="19" s="1"/>
  <c r="AX274" i="19"/>
  <c r="DY274" i="19" s="1"/>
  <c r="AX273" i="19"/>
  <c r="AX268" i="19"/>
  <c r="DY268" i="19" s="1"/>
  <c r="AX266" i="19"/>
  <c r="DY266" i="19" s="1"/>
  <c r="AX265" i="19"/>
  <c r="AX260" i="19"/>
  <c r="DY260" i="19" s="1"/>
  <c r="AX258" i="19"/>
  <c r="DY258" i="19" s="1"/>
  <c r="AX257" i="19"/>
  <c r="AX252" i="19"/>
  <c r="DY252" i="19" s="1"/>
  <c r="AX245" i="19"/>
  <c r="DY245" i="19" s="1"/>
  <c r="AX243" i="19"/>
  <c r="AX236" i="19"/>
  <c r="DY236" i="19" s="1"/>
  <c r="AX234" i="19"/>
  <c r="DY234" i="19" s="1"/>
  <c r="BS13" i="19"/>
  <c r="EN13" i="19" s="1"/>
  <c r="BL325" i="19"/>
  <c r="EI325" i="19" s="1"/>
  <c r="BL321" i="19"/>
  <c r="EI321" i="19" s="1"/>
  <c r="BL316" i="19"/>
  <c r="EI316" i="19" s="1"/>
  <c r="BL309" i="19"/>
  <c r="EI309" i="19" s="1"/>
  <c r="BL307" i="19"/>
  <c r="EI307" i="19" s="1"/>
  <c r="BL301" i="19"/>
  <c r="EI301" i="19" s="1"/>
  <c r="BL299" i="19"/>
  <c r="BL292" i="19"/>
  <c r="EI292" i="19" s="1"/>
  <c r="BL285" i="19"/>
  <c r="EI285" i="19" s="1"/>
  <c r="BL281" i="19"/>
  <c r="EI281" i="19" s="1"/>
  <c r="BL276" i="19"/>
  <c r="EI276" i="19" s="1"/>
  <c r="BL274" i="19"/>
  <c r="EI274" i="19" s="1"/>
  <c r="BL273" i="19"/>
  <c r="BL268" i="19"/>
  <c r="EI268" i="19" s="1"/>
  <c r="BL266" i="19"/>
  <c r="EI266" i="19" s="1"/>
  <c r="BL265" i="19"/>
  <c r="BL260" i="19"/>
  <c r="EI260" i="19" s="1"/>
  <c r="BL258" i="19"/>
  <c r="EI258" i="19" s="1"/>
  <c r="BL257" i="19"/>
  <c r="BL252" i="19"/>
  <c r="EI252" i="19" s="1"/>
  <c r="BL245" i="19"/>
  <c r="EI245" i="19" s="1"/>
  <c r="BL241" i="19"/>
  <c r="EI241" i="19" s="1"/>
  <c r="BL236" i="19"/>
  <c r="EI236" i="19" s="1"/>
  <c r="BL234" i="19"/>
  <c r="BL229" i="19"/>
  <c r="EI229" i="19" s="1"/>
  <c r="BL227" i="19"/>
  <c r="EI227" i="19" s="1"/>
  <c r="BL221" i="19"/>
  <c r="EI221" i="19" s="1"/>
  <c r="BL219" i="19"/>
  <c r="EI219" i="19" s="1"/>
  <c r="BL213" i="19"/>
  <c r="EI213" i="19" s="1"/>
  <c r="BL211" i="19"/>
  <c r="EI211" i="19" s="1"/>
  <c r="BL205" i="19"/>
  <c r="EI205" i="19" s="1"/>
  <c r="BL203" i="19"/>
  <c r="EI203" i="19" s="1"/>
  <c r="BL197" i="19"/>
  <c r="EI197" i="19" s="1"/>
  <c r="BL195" i="19"/>
  <c r="EI195" i="19" s="1"/>
  <c r="BL189" i="19"/>
  <c r="EI189" i="19" s="1"/>
  <c r="BL187" i="19"/>
  <c r="BL180" i="19"/>
  <c r="EI180" i="19" s="1"/>
  <c r="BL178" i="19"/>
  <c r="EI178" i="19" s="1"/>
  <c r="BL177" i="19"/>
  <c r="BL172" i="19"/>
  <c r="EI172" i="19" s="1"/>
  <c r="BL165" i="19"/>
  <c r="EI165" i="19" s="1"/>
  <c r="BL163" i="19"/>
  <c r="EI163" i="19" s="1"/>
  <c r="BL157" i="19"/>
  <c r="EI157" i="19" s="1"/>
  <c r="BL155" i="19"/>
  <c r="EI155" i="19" s="1"/>
  <c r="BL149" i="19"/>
  <c r="EI149" i="19" s="1"/>
  <c r="BL147" i="19"/>
  <c r="BL140" i="19"/>
  <c r="EI140" i="19" s="1"/>
  <c r="BL133" i="19"/>
  <c r="EI133" i="19" s="1"/>
  <c r="BL129" i="19"/>
  <c r="EI129" i="19" s="1"/>
  <c r="BL124" i="19"/>
  <c r="EI124" i="19" s="1"/>
  <c r="BL117" i="19"/>
  <c r="EI117" i="19" s="1"/>
  <c r="BL113" i="19"/>
  <c r="EI113" i="19" s="1"/>
  <c r="BL108" i="19"/>
  <c r="EI108" i="19" s="1"/>
  <c r="BL101" i="19"/>
  <c r="EI101" i="19" s="1"/>
  <c r="BL99" i="19"/>
  <c r="EI99" i="19" s="1"/>
  <c r="BL93" i="19"/>
  <c r="EI93" i="19" s="1"/>
  <c r="BL89" i="19"/>
  <c r="EI89" i="19" s="1"/>
  <c r="BL84" i="19"/>
  <c r="EI84" i="19" s="1"/>
  <c r="BL77" i="19"/>
  <c r="EI77" i="19" s="1"/>
  <c r="BL75" i="19"/>
  <c r="BL68" i="19"/>
  <c r="EI68" i="19" s="1"/>
  <c r="BL61" i="19"/>
  <c r="EI61" i="19" s="1"/>
  <c r="BL57" i="19"/>
  <c r="EI57" i="19" s="1"/>
  <c r="BL52" i="19"/>
  <c r="EI52" i="19" s="1"/>
  <c r="BL45" i="19"/>
  <c r="EI45" i="19" s="1"/>
  <c r="BL43" i="19"/>
  <c r="EI43" i="19" s="1"/>
  <c r="BL37" i="19"/>
  <c r="EI37" i="19" s="1"/>
  <c r="BL35" i="19"/>
  <c r="EI35" i="19" s="1"/>
  <c r="BL29" i="19"/>
  <c r="EI29" i="19" s="1"/>
  <c r="BL27" i="19"/>
  <c r="BL12" i="19"/>
  <c r="EI12" i="19" s="1"/>
  <c r="BE324" i="19"/>
  <c r="ED324" i="19" s="1"/>
  <c r="BE317" i="19"/>
  <c r="ED317" i="19" s="1"/>
  <c r="BE315" i="19"/>
  <c r="ED315" i="19" s="1"/>
  <c r="BE308" i="19"/>
  <c r="ED308" i="19" s="1"/>
  <c r="BE306" i="19"/>
  <c r="ED306" i="19" s="1"/>
  <c r="BE305" i="19"/>
  <c r="BE300" i="19"/>
  <c r="ED300" i="19" s="1"/>
  <c r="BE293" i="19"/>
  <c r="ED293" i="19" s="1"/>
  <c r="BE291" i="19"/>
  <c r="ED291" i="19" s="1"/>
  <c r="BE284" i="19"/>
  <c r="ED284" i="19" s="1"/>
  <c r="BE277" i="19"/>
  <c r="ED277" i="19" s="1"/>
  <c r="BE275" i="19"/>
  <c r="ED275" i="19" s="1"/>
  <c r="BE269" i="19"/>
  <c r="ED269" i="19" s="1"/>
  <c r="BE267" i="19"/>
  <c r="ED267" i="19" s="1"/>
  <c r="BE261" i="19"/>
  <c r="ED261" i="19" s="1"/>
  <c r="BE259" i="19"/>
  <c r="ED259" i="19" s="1"/>
  <c r="BE253" i="19"/>
  <c r="ED253" i="19" s="1"/>
  <c r="BE249" i="19"/>
  <c r="ED249" i="19" s="1"/>
  <c r="BE244" i="19"/>
  <c r="ED244" i="19" s="1"/>
  <c r="BE237" i="19"/>
  <c r="ED237" i="19" s="1"/>
  <c r="BE235" i="19"/>
  <c r="BE233" i="19"/>
  <c r="ED233" i="19" s="1"/>
  <c r="BE228" i="19"/>
  <c r="ED228" i="19" s="1"/>
  <c r="BE226" i="19"/>
  <c r="ED226" i="19" s="1"/>
  <c r="BE225" i="19"/>
  <c r="BE220" i="19"/>
  <c r="ED220" i="19" s="1"/>
  <c r="BE218" i="19"/>
  <c r="ED218" i="19" s="1"/>
  <c r="BE217" i="19"/>
  <c r="BE212" i="19"/>
  <c r="ED212" i="19" s="1"/>
  <c r="BE210" i="19"/>
  <c r="ED210" i="19" s="1"/>
  <c r="BE209" i="19"/>
  <c r="BE204" i="19"/>
  <c r="ED204" i="19" s="1"/>
  <c r="BE202" i="19"/>
  <c r="ED202" i="19" s="1"/>
  <c r="BE201" i="19"/>
  <c r="BE196" i="19"/>
  <c r="ED196" i="19" s="1"/>
  <c r="BE194" i="19"/>
  <c r="ED194" i="19" s="1"/>
  <c r="BE193" i="19"/>
  <c r="BE188" i="19"/>
  <c r="ED188" i="19" s="1"/>
  <c r="BE181" i="19"/>
  <c r="ED181" i="19" s="1"/>
  <c r="BE179" i="19"/>
  <c r="ED179" i="19" s="1"/>
  <c r="BE173" i="19"/>
  <c r="ED173" i="19" s="1"/>
  <c r="BE169" i="19"/>
  <c r="ED169" i="19" s="1"/>
  <c r="BE164" i="19"/>
  <c r="ED164" i="19" s="1"/>
  <c r="BE162" i="19"/>
  <c r="ED162" i="19" s="1"/>
  <c r="BE161" i="19"/>
  <c r="BE156" i="19"/>
  <c r="ED156" i="19" s="1"/>
  <c r="BE154" i="19"/>
  <c r="ED154" i="19" s="1"/>
  <c r="BE153" i="19"/>
  <c r="BE148" i="19"/>
  <c r="ED148" i="19" s="1"/>
  <c r="BE141" i="19"/>
  <c r="ED141" i="19" s="1"/>
  <c r="BE139" i="19"/>
  <c r="ED139" i="19" s="1"/>
  <c r="BE132" i="19"/>
  <c r="ED132" i="19" s="1"/>
  <c r="BE125" i="19"/>
  <c r="ED125" i="19" s="1"/>
  <c r="BE123" i="19"/>
  <c r="ED123" i="19" s="1"/>
  <c r="BE116" i="19"/>
  <c r="ED116" i="19" s="1"/>
  <c r="BE109" i="19"/>
  <c r="ED109" i="19" s="1"/>
  <c r="BE107" i="19"/>
  <c r="ED107" i="19" s="1"/>
  <c r="BE100" i="19"/>
  <c r="ED100" i="19" s="1"/>
  <c r="BE98" i="19"/>
  <c r="ED98" i="19" s="1"/>
  <c r="BE97" i="19"/>
  <c r="BE92" i="19"/>
  <c r="ED92" i="19" s="1"/>
  <c r="BE85" i="19"/>
  <c r="ED85" i="19" s="1"/>
  <c r="BE81" i="19"/>
  <c r="ED81" i="19" s="1"/>
  <c r="BE76" i="19"/>
  <c r="ED76" i="19" s="1"/>
  <c r="BE69" i="19"/>
  <c r="ED69" i="19" s="1"/>
  <c r="BE67" i="19"/>
  <c r="ED67" i="19" s="1"/>
  <c r="BE60" i="19"/>
  <c r="ED60" i="19" s="1"/>
  <c r="BE53" i="19"/>
  <c r="ED53" i="19" s="1"/>
  <c r="BE51" i="19"/>
  <c r="BE44" i="19"/>
  <c r="ED44" i="19" s="1"/>
  <c r="BE42" i="19"/>
  <c r="ED42" i="19" s="1"/>
  <c r="BE41" i="19"/>
  <c r="BE36" i="19"/>
  <c r="ED36" i="19" s="1"/>
  <c r="BE34" i="19"/>
  <c r="ED34" i="19" s="1"/>
  <c r="BE33" i="19"/>
  <c r="BE28" i="19"/>
  <c r="ED28" i="19" s="1"/>
  <c r="BE17" i="19"/>
  <c r="AX325" i="19"/>
  <c r="DY325" i="19" s="1"/>
  <c r="AX323" i="19"/>
  <c r="AX316" i="19"/>
  <c r="DY316" i="19" s="1"/>
  <c r="AX309" i="19"/>
  <c r="DY309" i="19" s="1"/>
  <c r="AX307" i="19"/>
  <c r="DY307" i="19" s="1"/>
  <c r="AX301" i="19"/>
  <c r="DY301" i="19" s="1"/>
  <c r="AX299" i="19"/>
  <c r="DY299" i="19" s="1"/>
  <c r="AX292" i="19"/>
  <c r="DY292" i="19" s="1"/>
  <c r="AX285" i="19"/>
  <c r="DY285" i="19" s="1"/>
  <c r="AX283" i="19"/>
  <c r="AX281" i="19"/>
  <c r="AX242" i="19"/>
  <c r="DY242" i="19" s="1"/>
  <c r="AX229" i="19"/>
  <c r="DY229" i="19" s="1"/>
  <c r="AX227" i="19"/>
  <c r="DY227" i="19" s="1"/>
  <c r="AX221" i="19"/>
  <c r="DY221" i="19" s="1"/>
  <c r="AX219" i="19"/>
  <c r="DY219" i="19" s="1"/>
  <c r="AX213" i="19"/>
  <c r="DY213" i="19" s="1"/>
  <c r="AX211" i="19"/>
  <c r="DY211" i="19" s="1"/>
  <c r="AX205" i="19"/>
  <c r="DY205" i="19" s="1"/>
  <c r="AX203" i="19"/>
  <c r="DY203" i="19" s="1"/>
  <c r="AX197" i="19"/>
  <c r="DY197" i="19" s="1"/>
  <c r="BL322" i="19"/>
  <c r="BL298" i="19"/>
  <c r="EI298" i="19" s="1"/>
  <c r="BL282" i="19"/>
  <c r="BL242" i="19"/>
  <c r="BL186" i="19"/>
  <c r="EI186" i="19" s="1"/>
  <c r="BL146" i="19"/>
  <c r="EI146" i="19" s="1"/>
  <c r="BL130" i="19"/>
  <c r="BL114" i="19"/>
  <c r="BL90" i="19"/>
  <c r="BL74" i="19"/>
  <c r="EI74" i="19" s="1"/>
  <c r="BL58" i="19"/>
  <c r="BL26" i="19"/>
  <c r="EI26" i="19" s="1"/>
  <c r="BE313" i="19"/>
  <c r="BE289" i="19"/>
  <c r="BE250" i="19"/>
  <c r="BE170" i="19"/>
  <c r="BE137" i="19"/>
  <c r="BE121" i="19"/>
  <c r="BE105" i="19"/>
  <c r="BE82" i="19"/>
  <c r="BE65" i="19"/>
  <c r="BE50" i="19"/>
  <c r="ED50" i="19" s="1"/>
  <c r="BE25" i="19"/>
  <c r="ED25" i="19" s="1"/>
  <c r="BE13" i="19"/>
  <c r="ED13" i="19" s="1"/>
  <c r="AX322" i="19"/>
  <c r="DY322" i="19" s="1"/>
  <c r="AX297" i="19"/>
  <c r="AX282" i="19"/>
  <c r="AX277" i="19"/>
  <c r="DY277" i="19" s="1"/>
  <c r="AX275" i="19"/>
  <c r="DY275" i="19" s="1"/>
  <c r="AX269" i="19"/>
  <c r="DY269" i="19" s="1"/>
  <c r="AX267" i="19"/>
  <c r="DY267" i="19" s="1"/>
  <c r="AX261" i="19"/>
  <c r="DY261" i="19" s="1"/>
  <c r="AX259" i="19"/>
  <c r="DY259" i="19" s="1"/>
  <c r="AX253" i="19"/>
  <c r="DY253" i="19" s="1"/>
  <c r="AX251" i="19"/>
  <c r="DY251" i="19" s="1"/>
  <c r="AX244" i="19"/>
  <c r="DY244" i="19" s="1"/>
  <c r="AX237" i="19"/>
  <c r="DY237" i="19" s="1"/>
  <c r="AX235" i="19"/>
  <c r="DY235" i="19" s="1"/>
  <c r="BL324" i="19"/>
  <c r="EI324" i="19" s="1"/>
  <c r="BL317" i="19"/>
  <c r="EI317" i="19" s="1"/>
  <c r="BL313" i="19"/>
  <c r="EI313" i="19" s="1"/>
  <c r="BL308" i="19"/>
  <c r="EI308" i="19" s="1"/>
  <c r="BL306" i="19"/>
  <c r="EI306" i="19" s="1"/>
  <c r="BL305" i="19"/>
  <c r="BL300" i="19"/>
  <c r="EI300" i="19" s="1"/>
  <c r="BL293" i="19"/>
  <c r="EI293" i="19" s="1"/>
  <c r="BL289" i="19"/>
  <c r="EI289" i="19" s="1"/>
  <c r="BL284" i="19"/>
  <c r="EI284" i="19" s="1"/>
  <c r="BL277" i="19"/>
  <c r="EI277" i="19" s="1"/>
  <c r="BL275" i="19"/>
  <c r="EI275" i="19" s="1"/>
  <c r="BL269" i="19"/>
  <c r="EI269" i="19" s="1"/>
  <c r="BL267" i="19"/>
  <c r="EI267" i="19" s="1"/>
  <c r="BL261" i="19"/>
  <c r="EI261" i="19" s="1"/>
  <c r="BL259" i="19"/>
  <c r="EI259" i="19" s="1"/>
  <c r="BL253" i="19"/>
  <c r="EI253" i="19" s="1"/>
  <c r="BL251" i="19"/>
  <c r="BL244" i="19"/>
  <c r="EI244" i="19" s="1"/>
  <c r="BL237" i="19"/>
  <c r="EI237" i="19" s="1"/>
  <c r="BL235" i="19"/>
  <c r="EI235" i="19" s="1"/>
  <c r="BL228" i="19"/>
  <c r="EI228" i="19" s="1"/>
  <c r="BL226" i="19"/>
  <c r="EI226" i="19" s="1"/>
  <c r="BL225" i="19"/>
  <c r="BL220" i="19"/>
  <c r="EI220" i="19" s="1"/>
  <c r="BL218" i="19"/>
  <c r="EI218" i="19" s="1"/>
  <c r="BL217" i="19"/>
  <c r="BL212" i="19"/>
  <c r="EI212" i="19" s="1"/>
  <c r="BL210" i="19"/>
  <c r="EI210" i="19" s="1"/>
  <c r="BL209" i="19"/>
  <c r="BL204" i="19"/>
  <c r="EI204" i="19" s="1"/>
  <c r="BL202" i="19"/>
  <c r="EI202" i="19" s="1"/>
  <c r="BL201" i="19"/>
  <c r="BL196" i="19"/>
  <c r="EI196" i="19" s="1"/>
  <c r="BL194" i="19"/>
  <c r="EI194" i="19" s="1"/>
  <c r="BL193" i="19"/>
  <c r="BL188" i="19"/>
  <c r="EI188" i="19" s="1"/>
  <c r="BL181" i="19"/>
  <c r="EI181" i="19" s="1"/>
  <c r="BL179" i="19"/>
  <c r="EI179" i="19" s="1"/>
  <c r="BL173" i="19"/>
  <c r="EI173" i="19" s="1"/>
  <c r="BL171" i="19"/>
  <c r="BL164" i="19"/>
  <c r="EI164" i="19" s="1"/>
  <c r="BL162" i="19"/>
  <c r="EI162" i="19" s="1"/>
  <c r="BL161" i="19"/>
  <c r="BL156" i="19"/>
  <c r="EI156" i="19" s="1"/>
  <c r="BL154" i="19"/>
  <c r="EI154" i="19" s="1"/>
  <c r="BL153" i="19"/>
  <c r="BL148" i="19"/>
  <c r="EI148" i="19" s="1"/>
  <c r="BL141" i="19"/>
  <c r="EI141" i="19" s="1"/>
  <c r="BL137" i="19"/>
  <c r="EI137" i="19" s="1"/>
  <c r="BL132" i="19"/>
  <c r="EI132" i="19" s="1"/>
  <c r="BL125" i="19"/>
  <c r="EI125" i="19" s="1"/>
  <c r="BL121" i="19"/>
  <c r="EI121" i="19" s="1"/>
  <c r="BL116" i="19"/>
  <c r="EI116" i="19" s="1"/>
  <c r="BL109" i="19"/>
  <c r="EI109" i="19" s="1"/>
  <c r="BL105" i="19"/>
  <c r="EI105" i="19" s="1"/>
  <c r="BL100" i="19"/>
  <c r="EI100" i="19" s="1"/>
  <c r="BL98" i="19"/>
  <c r="EI98" i="19" s="1"/>
  <c r="BL97" i="19"/>
  <c r="BL92" i="19"/>
  <c r="EI92" i="19" s="1"/>
  <c r="BL85" i="19"/>
  <c r="EI85" i="19" s="1"/>
  <c r="BL83" i="19"/>
  <c r="BL76" i="19"/>
  <c r="EI76" i="19" s="1"/>
  <c r="BL69" i="19"/>
  <c r="EI69" i="19" s="1"/>
  <c r="BL65" i="19"/>
  <c r="EI65" i="19" s="1"/>
  <c r="BL60" i="19"/>
  <c r="EI60" i="19" s="1"/>
  <c r="BL53" i="19"/>
  <c r="EI53" i="19" s="1"/>
  <c r="BL51" i="19"/>
  <c r="EI51" i="19" s="1"/>
  <c r="BL44" i="19"/>
  <c r="EI44" i="19" s="1"/>
  <c r="BL42" i="19"/>
  <c r="EI42" i="19" s="1"/>
  <c r="BL41" i="19"/>
  <c r="BL36" i="19"/>
  <c r="EI36" i="19" s="1"/>
  <c r="BL34" i="19"/>
  <c r="EI34" i="19" s="1"/>
  <c r="BL33" i="19"/>
  <c r="BL28" i="19"/>
  <c r="EI28" i="19" s="1"/>
  <c r="BL13" i="19"/>
  <c r="EI13" i="19" s="1"/>
  <c r="BE325" i="19"/>
  <c r="ED325" i="19" s="1"/>
  <c r="BE323" i="19"/>
  <c r="ED323" i="19" s="1"/>
  <c r="BE316" i="19"/>
  <c r="ED316" i="19" s="1"/>
  <c r="BE309" i="19"/>
  <c r="ED309" i="19" s="1"/>
  <c r="BE307" i="19"/>
  <c r="ED307" i="19" s="1"/>
  <c r="BE301" i="19"/>
  <c r="ED301" i="19" s="1"/>
  <c r="BE297" i="19"/>
  <c r="ED297" i="19" s="1"/>
  <c r="BE292" i="19"/>
  <c r="ED292" i="19" s="1"/>
  <c r="BE285" i="19"/>
  <c r="ED285" i="19" s="1"/>
  <c r="BE283" i="19"/>
  <c r="ED283" i="19" s="1"/>
  <c r="BE276" i="19"/>
  <c r="ED276" i="19" s="1"/>
  <c r="BE274" i="19"/>
  <c r="ED274" i="19" s="1"/>
  <c r="BE273" i="19"/>
  <c r="BE268" i="19"/>
  <c r="ED268" i="19" s="1"/>
  <c r="BE266" i="19"/>
  <c r="ED266" i="19" s="1"/>
  <c r="BE265" i="19"/>
  <c r="BE260" i="19"/>
  <c r="ED260" i="19" s="1"/>
  <c r="BE258" i="19"/>
  <c r="ED258" i="19" s="1"/>
  <c r="BE257" i="19"/>
  <c r="BE252" i="19"/>
  <c r="ED252" i="19" s="1"/>
  <c r="BE245" i="19"/>
  <c r="ED245" i="19" s="1"/>
  <c r="BE243" i="19"/>
  <c r="ED243" i="19" s="1"/>
  <c r="BE236" i="19"/>
  <c r="ED236" i="19" s="1"/>
  <c r="BE229" i="19"/>
  <c r="ED229" i="19" s="1"/>
  <c r="BE227" i="19"/>
  <c r="ED227" i="19" s="1"/>
  <c r="BE221" i="19"/>
  <c r="ED221" i="19" s="1"/>
  <c r="BE219" i="19"/>
  <c r="ED219" i="19" s="1"/>
  <c r="BE213" i="19"/>
  <c r="ED213" i="19" s="1"/>
  <c r="BE211" i="19"/>
  <c r="ED211" i="19" s="1"/>
  <c r="BE205" i="19"/>
  <c r="ED205" i="19" s="1"/>
  <c r="BE203" i="19"/>
  <c r="ED203" i="19" s="1"/>
  <c r="BE197" i="19"/>
  <c r="ED197" i="19" s="1"/>
  <c r="BE195" i="19"/>
  <c r="ED195" i="19" s="1"/>
  <c r="BE189" i="19"/>
  <c r="ED189" i="19" s="1"/>
  <c r="BE185" i="19"/>
  <c r="ED185" i="19" s="1"/>
  <c r="BE180" i="19"/>
  <c r="ED180" i="19" s="1"/>
  <c r="BE178" i="19"/>
  <c r="ED178" i="19" s="1"/>
  <c r="BE177" i="19"/>
  <c r="BE172" i="19"/>
  <c r="ED172" i="19" s="1"/>
  <c r="BE165" i="19"/>
  <c r="ED165" i="19" s="1"/>
  <c r="BE163" i="19"/>
  <c r="ED163" i="19" s="1"/>
  <c r="BE157" i="19"/>
  <c r="ED157" i="19" s="1"/>
  <c r="BE155" i="19"/>
  <c r="ED155" i="19" s="1"/>
  <c r="BE149" i="19"/>
  <c r="ED149" i="19" s="1"/>
  <c r="BE145" i="19"/>
  <c r="ED145" i="19" s="1"/>
  <c r="BE140" i="19"/>
  <c r="ED140" i="19" s="1"/>
  <c r="BE133" i="19"/>
  <c r="ED133" i="19" s="1"/>
  <c r="BE131" i="19"/>
  <c r="ED131" i="19" s="1"/>
  <c r="BE124" i="19"/>
  <c r="ED124" i="19" s="1"/>
  <c r="BE117" i="19"/>
  <c r="ED117" i="19" s="1"/>
  <c r="BE115" i="19"/>
  <c r="ED115" i="19" s="1"/>
  <c r="BE108" i="19"/>
  <c r="ED108" i="19" s="1"/>
  <c r="BE101" i="19"/>
  <c r="ED101" i="19" s="1"/>
  <c r="BE99" i="19"/>
  <c r="ED99" i="19" s="1"/>
  <c r="BE93" i="19"/>
  <c r="ED93" i="19" s="1"/>
  <c r="BE91" i="19"/>
  <c r="ED91" i="19" s="1"/>
  <c r="BE84" i="19"/>
  <c r="ED84" i="19" s="1"/>
  <c r="BE77" i="19"/>
  <c r="ED77" i="19" s="1"/>
  <c r="BE73" i="19"/>
  <c r="ED73" i="19" s="1"/>
  <c r="BE68" i="19"/>
  <c r="ED68" i="19" s="1"/>
  <c r="BE61" i="19"/>
  <c r="ED61" i="19" s="1"/>
  <c r="BE59" i="19"/>
  <c r="ED59" i="19" s="1"/>
  <c r="BE52" i="19"/>
  <c r="ED52" i="19" s="1"/>
  <c r="BE45" i="19"/>
  <c r="ED45" i="19" s="1"/>
  <c r="BE43" i="19"/>
  <c r="ED43" i="19" s="1"/>
  <c r="BE37" i="19"/>
  <c r="ED37" i="19" s="1"/>
  <c r="BE35" i="19"/>
  <c r="ED35" i="19" s="1"/>
  <c r="BE29" i="19"/>
  <c r="ED29" i="19" s="1"/>
  <c r="BE26" i="19"/>
  <c r="AX324" i="19"/>
  <c r="DY324" i="19" s="1"/>
  <c r="AX317" i="19"/>
  <c r="DY317" i="19" s="1"/>
  <c r="AX315" i="19"/>
  <c r="AX308" i="19"/>
  <c r="DY308" i="19" s="1"/>
  <c r="AX306" i="19"/>
  <c r="DY306" i="19" s="1"/>
  <c r="AX305" i="19"/>
  <c r="AX300" i="19"/>
  <c r="DY300" i="19" s="1"/>
  <c r="AX293" i="19"/>
  <c r="DY293" i="19" s="1"/>
  <c r="AX291" i="19"/>
  <c r="AX284" i="19"/>
  <c r="DY284" i="19" s="1"/>
  <c r="AX249" i="19"/>
  <c r="AX228" i="19"/>
  <c r="DY228" i="19" s="1"/>
  <c r="AX226" i="19"/>
  <c r="DY226" i="19" s="1"/>
  <c r="AX225" i="19"/>
  <c r="AX220" i="19"/>
  <c r="DY220" i="19" s="1"/>
  <c r="AX218" i="19"/>
  <c r="DY218" i="19" s="1"/>
  <c r="AX217" i="19"/>
  <c r="AX212" i="19"/>
  <c r="DY212" i="19" s="1"/>
  <c r="AX210" i="19"/>
  <c r="DY210" i="19" s="1"/>
  <c r="AX209" i="19"/>
  <c r="AX204" i="19"/>
  <c r="DY204" i="19" s="1"/>
  <c r="AX202" i="19"/>
  <c r="DY202" i="19" s="1"/>
  <c r="AX201" i="19"/>
  <c r="AX196" i="19"/>
  <c r="DY196" i="19" s="1"/>
  <c r="AX194" i="19"/>
  <c r="DY194" i="19" s="1"/>
  <c r="AX165" i="19"/>
  <c r="DY165" i="19" s="1"/>
  <c r="AX163" i="19"/>
  <c r="DY163" i="19" s="1"/>
  <c r="AX157" i="19"/>
  <c r="DY157" i="19" s="1"/>
  <c r="AX155" i="19"/>
  <c r="DY155" i="19" s="1"/>
  <c r="AX149" i="19"/>
  <c r="DY149" i="19" s="1"/>
  <c r="AX147" i="19"/>
  <c r="DY147" i="19" s="1"/>
  <c r="AX140" i="19"/>
  <c r="DY140" i="19" s="1"/>
  <c r="AX138" i="19"/>
  <c r="DY138" i="19" s="1"/>
  <c r="AX137" i="19"/>
  <c r="AX132" i="19"/>
  <c r="DY132" i="19" s="1"/>
  <c r="AX130" i="19"/>
  <c r="DY130" i="19" s="1"/>
  <c r="AX129" i="19"/>
  <c r="AX124" i="19"/>
  <c r="DY124" i="19" s="1"/>
  <c r="AX122" i="19"/>
  <c r="DY122" i="19" s="1"/>
  <c r="AX121" i="19"/>
  <c r="AX116" i="19"/>
  <c r="DY116" i="19" s="1"/>
  <c r="AX109" i="19"/>
  <c r="DY109" i="19" s="1"/>
  <c r="AX90" i="19"/>
  <c r="DY90" i="19" s="1"/>
  <c r="AX74" i="19"/>
  <c r="AX69" i="19"/>
  <c r="DY69" i="19" s="1"/>
  <c r="AX67" i="19"/>
  <c r="AX60" i="19"/>
  <c r="DY60" i="19" s="1"/>
  <c r="AX53" i="19"/>
  <c r="DY53" i="19" s="1"/>
  <c r="AX49" i="19"/>
  <c r="DY49" i="19" s="1"/>
  <c r="AX44" i="19"/>
  <c r="DY44" i="19" s="1"/>
  <c r="AX42" i="19"/>
  <c r="DY42" i="19" s="1"/>
  <c r="AX41" i="19"/>
  <c r="AX36" i="19"/>
  <c r="DY36" i="19" s="1"/>
  <c r="AX34" i="19"/>
  <c r="DY34" i="19" s="1"/>
  <c r="AX33" i="19"/>
  <c r="AX28" i="19"/>
  <c r="DY28" i="19" s="1"/>
  <c r="AX17" i="19"/>
  <c r="AX189" i="19"/>
  <c r="DY189" i="19" s="1"/>
  <c r="AX187" i="19"/>
  <c r="DY187" i="19" s="1"/>
  <c r="AX180" i="19"/>
  <c r="DY180" i="19" s="1"/>
  <c r="AX178" i="19"/>
  <c r="DY178" i="19" s="1"/>
  <c r="AX177" i="19"/>
  <c r="AX172" i="19"/>
  <c r="DY172" i="19" s="1"/>
  <c r="AX145" i="19"/>
  <c r="AX106" i="19"/>
  <c r="DY106" i="19" s="1"/>
  <c r="AX105" i="19"/>
  <c r="DY105" i="19" s="1"/>
  <c r="AX100" i="19"/>
  <c r="DY100" i="19" s="1"/>
  <c r="AX98" i="19"/>
  <c r="DY98" i="19" s="1"/>
  <c r="AX97" i="19"/>
  <c r="AX92" i="19"/>
  <c r="DY92" i="19" s="1"/>
  <c r="AX85" i="19"/>
  <c r="DY85" i="19" s="1"/>
  <c r="AX83" i="19"/>
  <c r="DY83" i="19" s="1"/>
  <c r="AX76" i="19"/>
  <c r="DY76" i="19" s="1"/>
  <c r="AX66" i="19"/>
  <c r="DY66" i="19" s="1"/>
  <c r="AX50" i="19"/>
  <c r="AX25" i="19"/>
  <c r="AX13" i="19"/>
  <c r="DY13" i="19" s="1"/>
  <c r="AX10" i="19"/>
  <c r="DY10" i="19" s="1"/>
  <c r="AX195" i="19"/>
  <c r="DY195" i="19" s="1"/>
  <c r="AX185" i="19"/>
  <c r="AX164" i="19"/>
  <c r="DY164" i="19" s="1"/>
  <c r="AX162" i="19"/>
  <c r="DY162" i="19" s="1"/>
  <c r="AX161" i="19"/>
  <c r="AX156" i="19"/>
  <c r="DY156" i="19" s="1"/>
  <c r="AX154" i="19"/>
  <c r="DY154" i="19" s="1"/>
  <c r="AX153" i="19"/>
  <c r="AX148" i="19"/>
  <c r="DY148" i="19" s="1"/>
  <c r="AX141" i="19"/>
  <c r="DY141" i="19" s="1"/>
  <c r="AX139" i="19"/>
  <c r="DY139" i="19" s="1"/>
  <c r="AX133" i="19"/>
  <c r="DY133" i="19" s="1"/>
  <c r="AX131" i="19"/>
  <c r="DY131" i="19" s="1"/>
  <c r="AX125" i="19"/>
  <c r="DY125" i="19" s="1"/>
  <c r="AX123" i="19"/>
  <c r="DY123" i="19" s="1"/>
  <c r="AX117" i="19"/>
  <c r="DY117" i="19" s="1"/>
  <c r="AX115" i="19"/>
  <c r="AX108" i="19"/>
  <c r="DY108" i="19" s="1"/>
  <c r="AX81" i="19"/>
  <c r="AX68" i="19"/>
  <c r="DY68" i="19" s="1"/>
  <c r="AX61" i="19"/>
  <c r="DY61" i="19" s="1"/>
  <c r="AX59" i="19"/>
  <c r="AX52" i="19"/>
  <c r="DY52" i="19" s="1"/>
  <c r="AX45" i="19"/>
  <c r="DY45" i="19" s="1"/>
  <c r="AX43" i="19"/>
  <c r="DY43" i="19" s="1"/>
  <c r="AX37" i="19"/>
  <c r="DY37" i="19" s="1"/>
  <c r="AX35" i="19"/>
  <c r="DY35" i="19" s="1"/>
  <c r="AX29" i="19"/>
  <c r="DY29" i="19" s="1"/>
  <c r="AX193" i="19"/>
  <c r="AX188" i="19"/>
  <c r="DY188" i="19" s="1"/>
  <c r="AX181" i="19"/>
  <c r="DY181" i="19" s="1"/>
  <c r="AX179" i="19"/>
  <c r="DY179" i="19" s="1"/>
  <c r="AX173" i="19"/>
  <c r="DY173" i="19" s="1"/>
  <c r="AX114" i="19"/>
  <c r="DY114" i="19" s="1"/>
  <c r="AX101" i="19"/>
  <c r="DY101" i="19" s="1"/>
  <c r="AX99" i="19"/>
  <c r="DY99" i="19" s="1"/>
  <c r="AX93" i="19"/>
  <c r="DY93" i="19" s="1"/>
  <c r="AX91" i="19"/>
  <c r="AX84" i="19"/>
  <c r="DY84" i="19" s="1"/>
  <c r="AX77" i="19"/>
  <c r="DY77" i="19" s="1"/>
  <c r="AX75" i="19"/>
  <c r="AX73" i="19"/>
  <c r="AX58" i="19"/>
  <c r="DY58" i="19" s="1"/>
  <c r="AX12" i="19"/>
  <c r="DY12" i="19" s="1"/>
  <c r="AQ324" i="19"/>
  <c r="DT324" i="19" s="1"/>
  <c r="AQ321" i="19"/>
  <c r="DT321" i="19" s="1"/>
  <c r="AQ308" i="19"/>
  <c r="DT308" i="19" s="1"/>
  <c r="AQ292" i="19"/>
  <c r="DT292" i="19" s="1"/>
  <c r="AQ277" i="19"/>
  <c r="DT277" i="19" s="1"/>
  <c r="AQ268" i="19"/>
  <c r="DT268" i="19" s="1"/>
  <c r="AQ259" i="19"/>
  <c r="DT259" i="19" s="1"/>
  <c r="AQ257" i="19"/>
  <c r="AQ244" i="19"/>
  <c r="DT244" i="19" s="1"/>
  <c r="AQ235" i="19"/>
  <c r="DT235" i="19" s="1"/>
  <c r="AQ227" i="19"/>
  <c r="DT227" i="19" s="1"/>
  <c r="AQ225" i="19"/>
  <c r="AQ218" i="19"/>
  <c r="DT218" i="19" s="1"/>
  <c r="AQ213" i="19"/>
  <c r="DT213" i="19" s="1"/>
  <c r="AQ204" i="19"/>
  <c r="DT204" i="19" s="1"/>
  <c r="AQ195" i="19"/>
  <c r="DT195" i="19" s="1"/>
  <c r="AQ193" i="19"/>
  <c r="AQ180" i="19"/>
  <c r="DT180" i="19" s="1"/>
  <c r="AQ171" i="19"/>
  <c r="DT171" i="19" s="1"/>
  <c r="AQ169" i="19"/>
  <c r="AQ162" i="19"/>
  <c r="DT162" i="19" s="1"/>
  <c r="AQ157" i="19"/>
  <c r="DT157" i="19" s="1"/>
  <c r="AQ148" i="19"/>
  <c r="DT148" i="19" s="1"/>
  <c r="AQ141" i="19"/>
  <c r="DT141" i="19" s="1"/>
  <c r="AQ132" i="19"/>
  <c r="DT132" i="19" s="1"/>
  <c r="AQ123" i="19"/>
  <c r="DT123" i="19" s="1"/>
  <c r="AQ121" i="19"/>
  <c r="AQ113" i="19"/>
  <c r="DT113" i="19" s="1"/>
  <c r="AQ105" i="19"/>
  <c r="DT105" i="19" s="1"/>
  <c r="AQ98" i="19"/>
  <c r="DT98" i="19" s="1"/>
  <c r="AQ93" i="19"/>
  <c r="DT93" i="19" s="1"/>
  <c r="AQ76" i="19"/>
  <c r="DT76" i="19" s="1"/>
  <c r="AQ65" i="19"/>
  <c r="DT65" i="19" s="1"/>
  <c r="AQ57" i="19"/>
  <c r="DT57" i="19" s="1"/>
  <c r="AQ50" i="19"/>
  <c r="DT50" i="19" s="1"/>
  <c r="AQ45" i="19"/>
  <c r="DT45" i="19" s="1"/>
  <c r="AQ36" i="19"/>
  <c r="DT36" i="19" s="1"/>
  <c r="AQ325" i="19"/>
  <c r="DT325" i="19" s="1"/>
  <c r="AQ309" i="19"/>
  <c r="DT309" i="19" s="1"/>
  <c r="AQ300" i="19"/>
  <c r="DT300" i="19" s="1"/>
  <c r="AQ293" i="19"/>
  <c r="DT293" i="19" s="1"/>
  <c r="AQ284" i="19"/>
  <c r="DT284" i="19" s="1"/>
  <c r="AQ274" i="19"/>
  <c r="DT274" i="19" s="1"/>
  <c r="AQ269" i="19"/>
  <c r="DT269" i="19" s="1"/>
  <c r="AQ260" i="19"/>
  <c r="DT260" i="19" s="1"/>
  <c r="AQ245" i="19"/>
  <c r="DT245" i="19" s="1"/>
  <c r="AQ236" i="19"/>
  <c r="DT236" i="19" s="1"/>
  <c r="AQ228" i="19"/>
  <c r="DT228" i="19" s="1"/>
  <c r="AQ219" i="19"/>
  <c r="DT219" i="19" s="1"/>
  <c r="AQ217" i="19"/>
  <c r="AQ210" i="19"/>
  <c r="DT210" i="19" s="1"/>
  <c r="AQ205" i="19"/>
  <c r="DT205" i="19" s="1"/>
  <c r="AQ196" i="19"/>
  <c r="DT196" i="19" s="1"/>
  <c r="AQ181" i="19"/>
  <c r="DT181" i="19" s="1"/>
  <c r="AQ172" i="19"/>
  <c r="DT172" i="19" s="1"/>
  <c r="AQ163" i="19"/>
  <c r="DT163" i="19" s="1"/>
  <c r="AQ161" i="19"/>
  <c r="AQ154" i="19"/>
  <c r="DT154" i="19" s="1"/>
  <c r="AQ149" i="19"/>
  <c r="DT149" i="19" s="1"/>
  <c r="AQ138" i="19"/>
  <c r="DT138" i="19" s="1"/>
  <c r="AQ133" i="19"/>
  <c r="DT133" i="19" s="1"/>
  <c r="AQ124" i="19"/>
  <c r="DT124" i="19" s="1"/>
  <c r="AQ115" i="19"/>
  <c r="DT115" i="19" s="1"/>
  <c r="AQ99" i="19"/>
  <c r="DT99" i="19" s="1"/>
  <c r="AQ97" i="19"/>
  <c r="AQ84" i="19"/>
  <c r="DT84" i="19" s="1"/>
  <c r="AQ77" i="19"/>
  <c r="DT77" i="19" s="1"/>
  <c r="AQ67" i="19"/>
  <c r="DT67" i="19" s="1"/>
  <c r="AQ59" i="19"/>
  <c r="DT59" i="19" s="1"/>
  <c r="AQ51" i="19"/>
  <c r="DT51" i="19" s="1"/>
  <c r="AQ49" i="19"/>
  <c r="AQ42" i="19"/>
  <c r="DT42" i="19" s="1"/>
  <c r="AQ37" i="19"/>
  <c r="DT37" i="19" s="1"/>
  <c r="AQ28" i="19"/>
  <c r="DT28" i="19" s="1"/>
  <c r="AQ316" i="19"/>
  <c r="DT316" i="19" s="1"/>
  <c r="AQ313" i="19"/>
  <c r="DT313" i="19" s="1"/>
  <c r="AQ306" i="19"/>
  <c r="DT306" i="19" s="1"/>
  <c r="AQ301" i="19"/>
  <c r="DT301" i="19" s="1"/>
  <c r="AQ285" i="19"/>
  <c r="DT285" i="19" s="1"/>
  <c r="AQ275" i="19"/>
  <c r="DT275" i="19" s="1"/>
  <c r="AQ273" i="19"/>
  <c r="AQ266" i="19"/>
  <c r="DT266" i="19" s="1"/>
  <c r="AQ261" i="19"/>
  <c r="DT261" i="19" s="1"/>
  <c r="AQ252" i="19"/>
  <c r="DT252" i="19" s="1"/>
  <c r="AQ250" i="19"/>
  <c r="DT250" i="19" s="1"/>
  <c r="AQ237" i="19"/>
  <c r="DT237" i="19" s="1"/>
  <c r="AQ229" i="19"/>
  <c r="DT229" i="19" s="1"/>
  <c r="AQ220" i="19"/>
  <c r="DT220" i="19" s="1"/>
  <c r="AQ211" i="19"/>
  <c r="DT211" i="19" s="1"/>
  <c r="AQ209" i="19"/>
  <c r="AQ202" i="19"/>
  <c r="DT202" i="19" s="1"/>
  <c r="AQ197" i="19"/>
  <c r="DT197" i="19" s="1"/>
  <c r="AQ188" i="19"/>
  <c r="DT188" i="19" s="1"/>
  <c r="AQ186" i="19"/>
  <c r="DT186" i="19" s="1"/>
  <c r="AQ178" i="19"/>
  <c r="DT178" i="19" s="1"/>
  <c r="AQ173" i="19"/>
  <c r="DT173" i="19" s="1"/>
  <c r="AQ164" i="19"/>
  <c r="DT164" i="19" s="1"/>
  <c r="AQ155" i="19"/>
  <c r="DT155" i="19" s="1"/>
  <c r="AQ153" i="19"/>
  <c r="AQ139" i="19"/>
  <c r="DT139" i="19" s="1"/>
  <c r="AQ137" i="19"/>
  <c r="AQ130" i="19"/>
  <c r="DT130" i="19" s="1"/>
  <c r="AQ125" i="19"/>
  <c r="DT125" i="19" s="1"/>
  <c r="AQ116" i="19"/>
  <c r="DT116" i="19" s="1"/>
  <c r="AQ108" i="19"/>
  <c r="DT108" i="19" s="1"/>
  <c r="AQ100" i="19"/>
  <c r="DT100" i="19" s="1"/>
  <c r="AQ85" i="19"/>
  <c r="DT85" i="19" s="1"/>
  <c r="AQ82" i="19"/>
  <c r="DT82" i="19" s="1"/>
  <c r="AQ68" i="19"/>
  <c r="DT68" i="19" s="1"/>
  <c r="AQ60" i="19"/>
  <c r="DT60" i="19" s="1"/>
  <c r="AQ52" i="19"/>
  <c r="DT52" i="19" s="1"/>
  <c r="AQ43" i="19"/>
  <c r="DT43" i="19" s="1"/>
  <c r="AQ41" i="19"/>
  <c r="AQ34" i="19"/>
  <c r="DT34" i="19" s="1"/>
  <c r="AQ29" i="19"/>
  <c r="DT29" i="19" s="1"/>
  <c r="AQ12" i="19"/>
  <c r="DT12" i="19" s="1"/>
  <c r="AQ9" i="19"/>
  <c r="DT9" i="19" s="1"/>
  <c r="AJ20" i="19"/>
  <c r="DO20" i="19" s="1"/>
  <c r="AQ317" i="19"/>
  <c r="DT317" i="19" s="1"/>
  <c r="AQ307" i="19"/>
  <c r="DT307" i="19" s="1"/>
  <c r="AQ305" i="19"/>
  <c r="AQ289" i="19"/>
  <c r="DT289" i="19" s="1"/>
  <c r="AQ276" i="19"/>
  <c r="DT276" i="19" s="1"/>
  <c r="AQ267" i="19"/>
  <c r="DT267" i="19" s="1"/>
  <c r="AQ265" i="19"/>
  <c r="AQ258" i="19"/>
  <c r="DT258" i="19" s="1"/>
  <c r="AQ253" i="19"/>
  <c r="DT253" i="19" s="1"/>
  <c r="AQ241" i="19"/>
  <c r="DT241" i="19" s="1"/>
  <c r="AQ233" i="19"/>
  <c r="DT233" i="19" s="1"/>
  <c r="AQ226" i="19"/>
  <c r="DT226" i="19" s="1"/>
  <c r="AQ221" i="19"/>
  <c r="DT221" i="19" s="1"/>
  <c r="AQ212" i="19"/>
  <c r="DT212" i="19" s="1"/>
  <c r="AQ203" i="19"/>
  <c r="DT203" i="19" s="1"/>
  <c r="AQ201" i="19"/>
  <c r="AQ194" i="19"/>
  <c r="DT194" i="19" s="1"/>
  <c r="AQ189" i="19"/>
  <c r="DT189" i="19" s="1"/>
  <c r="AQ179" i="19"/>
  <c r="DT179" i="19" s="1"/>
  <c r="AQ177" i="19"/>
  <c r="AQ170" i="19"/>
  <c r="DT170" i="19" s="1"/>
  <c r="AQ165" i="19"/>
  <c r="DT165" i="19" s="1"/>
  <c r="AQ156" i="19"/>
  <c r="DT156" i="19" s="1"/>
  <c r="AQ140" i="19"/>
  <c r="DT140" i="19" s="1"/>
  <c r="AQ131" i="19"/>
  <c r="DT131" i="19" s="1"/>
  <c r="AQ129" i="19"/>
  <c r="AQ122" i="19"/>
  <c r="DT122" i="19" s="1"/>
  <c r="AQ117" i="19"/>
  <c r="DT117" i="19" s="1"/>
  <c r="AQ109" i="19"/>
  <c r="DT109" i="19" s="1"/>
  <c r="AQ106" i="19"/>
  <c r="DT106" i="19" s="1"/>
  <c r="AQ101" i="19"/>
  <c r="DT101" i="19" s="1"/>
  <c r="AQ92" i="19"/>
  <c r="DT92" i="19" s="1"/>
  <c r="AQ89" i="19"/>
  <c r="DT89" i="19" s="1"/>
  <c r="AQ69" i="19"/>
  <c r="DT69" i="19" s="1"/>
  <c r="AQ61" i="19"/>
  <c r="DT61" i="19" s="1"/>
  <c r="AQ53" i="19"/>
  <c r="DT53" i="19" s="1"/>
  <c r="AQ44" i="19"/>
  <c r="DT44" i="19" s="1"/>
  <c r="AQ35" i="19"/>
  <c r="DT35" i="19" s="1"/>
  <c r="AQ33" i="19"/>
  <c r="CG163" i="30"/>
  <c r="DB159" i="30"/>
  <c r="CU155" i="30"/>
  <c r="CG147" i="30"/>
  <c r="DB143" i="30"/>
  <c r="CN139" i="30"/>
  <c r="CG139" i="30"/>
  <c r="BZ135" i="30"/>
  <c r="CN131" i="30"/>
  <c r="DB127" i="30"/>
  <c r="CN123" i="30"/>
  <c r="CG123" i="30"/>
  <c r="DB119" i="30"/>
  <c r="CU119" i="30"/>
  <c r="DB115" i="30"/>
  <c r="CN111" i="30"/>
  <c r="BZ107" i="30"/>
  <c r="CN103" i="30"/>
  <c r="CG103" i="30"/>
  <c r="CU99" i="30"/>
  <c r="CG95" i="30"/>
  <c r="BZ95" i="30"/>
  <c r="DB91" i="30"/>
  <c r="BZ87" i="30"/>
  <c r="CU83" i="30"/>
  <c r="CG79" i="30"/>
  <c r="BZ79" i="30"/>
  <c r="DB75" i="30"/>
  <c r="CU75" i="30"/>
  <c r="CG67" i="30"/>
  <c r="BZ67" i="30"/>
  <c r="CU63" i="30"/>
  <c r="CN59" i="30"/>
  <c r="CG59" i="30"/>
  <c r="DB55" i="30"/>
  <c r="CU55" i="30"/>
  <c r="CG51" i="30"/>
  <c r="DB47" i="30"/>
  <c r="CU43" i="30"/>
  <c r="CN39" i="30"/>
  <c r="CG39" i="30"/>
  <c r="DB35" i="30"/>
  <c r="BZ35" i="30"/>
  <c r="CU31" i="30"/>
  <c r="CN27" i="30"/>
  <c r="BZ23" i="30"/>
  <c r="CU19" i="30"/>
  <c r="CU15" i="30"/>
  <c r="CN15" i="30"/>
  <c r="CG15" i="30"/>
  <c r="BS163" i="30"/>
  <c r="BE163" i="30"/>
  <c r="AQ159" i="30"/>
  <c r="BL155" i="30"/>
  <c r="AX155" i="30"/>
  <c r="BL151" i="30"/>
  <c r="AX151" i="30"/>
  <c r="BS143" i="30"/>
  <c r="BE143" i="30"/>
  <c r="AQ139" i="30"/>
  <c r="BL135" i="30"/>
  <c r="AX135" i="30"/>
  <c r="BS127" i="30"/>
  <c r="BE127" i="30"/>
  <c r="AQ119" i="30"/>
  <c r="BS115" i="30"/>
  <c r="BE115" i="30"/>
  <c r="BL107" i="30"/>
  <c r="AX107" i="30"/>
  <c r="BL103" i="30"/>
  <c r="AX103" i="30"/>
  <c r="BS95" i="30"/>
  <c r="BE95" i="30"/>
  <c r="BL91" i="30"/>
  <c r="AX91" i="30"/>
  <c r="BS87" i="30"/>
  <c r="BE87" i="30"/>
  <c r="AQ83" i="30"/>
  <c r="BL79" i="30"/>
  <c r="AX79" i="30"/>
  <c r="BL75" i="30"/>
  <c r="AX75" i="30"/>
  <c r="AQ71" i="30"/>
  <c r="BL67" i="30"/>
  <c r="AX67" i="30"/>
  <c r="BL63" i="30"/>
  <c r="AX63" i="30"/>
  <c r="AQ59" i="30"/>
  <c r="BS55" i="30"/>
  <c r="BE55" i="30"/>
  <c r="BS47" i="30"/>
  <c r="BE47" i="30"/>
  <c r="BS43" i="30"/>
  <c r="BE43" i="30"/>
  <c r="BL39" i="30"/>
  <c r="AX39" i="30"/>
  <c r="BL31" i="30"/>
  <c r="AX31" i="30"/>
  <c r="BS27" i="30"/>
  <c r="BE27" i="30"/>
  <c r="BS23" i="30"/>
  <c r="BE23" i="30"/>
  <c r="BS11" i="30"/>
  <c r="AX11" i="30"/>
  <c r="DB163" i="30"/>
  <c r="BZ163" i="30"/>
  <c r="CU159" i="30"/>
  <c r="CN155" i="30"/>
  <c r="CG155" i="30"/>
  <c r="DB151" i="30"/>
  <c r="CU151" i="30"/>
  <c r="DB147" i="30"/>
  <c r="BZ147" i="30"/>
  <c r="CU143" i="30"/>
  <c r="BZ139" i="30"/>
  <c r="DB135" i="30"/>
  <c r="CU135" i="30"/>
  <c r="CG131" i="30"/>
  <c r="BZ131" i="30"/>
  <c r="CU127" i="30"/>
  <c r="BZ123" i="30"/>
  <c r="CN119" i="30"/>
  <c r="CG119" i="30"/>
  <c r="CU115" i="30"/>
  <c r="CG111" i="30"/>
  <c r="BZ111" i="30"/>
  <c r="DB107" i="30"/>
  <c r="CU107" i="30"/>
  <c r="BZ103" i="30"/>
  <c r="CN99" i="30"/>
  <c r="DB95" i="30"/>
  <c r="CU91" i="30"/>
  <c r="CN83" i="30"/>
  <c r="DB79" i="30"/>
  <c r="CN75" i="30"/>
  <c r="CG75" i="30"/>
  <c r="DB71" i="30"/>
  <c r="CU71" i="30"/>
  <c r="DB67" i="30"/>
  <c r="CN63" i="30"/>
  <c r="BZ59" i="30"/>
  <c r="CN55" i="30"/>
  <c r="CG55" i="30"/>
  <c r="DB51" i="30"/>
  <c r="BZ51" i="30"/>
  <c r="CU47" i="30"/>
  <c r="CN43" i="30"/>
  <c r="BZ39" i="30"/>
  <c r="CU35" i="30"/>
  <c r="CN31" i="30"/>
  <c r="CG27" i="30"/>
  <c r="CN19" i="30"/>
  <c r="BS159" i="30"/>
  <c r="BE159" i="30"/>
  <c r="AQ155" i="30"/>
  <c r="AQ151" i="30"/>
  <c r="BL147" i="30"/>
  <c r="AX147" i="30"/>
  <c r="BS139" i="30"/>
  <c r="BE139" i="30"/>
  <c r="AQ135" i="30"/>
  <c r="BL131" i="30"/>
  <c r="AX131" i="30"/>
  <c r="BL123" i="30"/>
  <c r="AX123" i="30"/>
  <c r="BS119" i="30"/>
  <c r="BE119" i="30"/>
  <c r="BL111" i="30"/>
  <c r="AX111" i="30"/>
  <c r="AQ107" i="30"/>
  <c r="AQ103" i="30"/>
  <c r="BL99" i="30"/>
  <c r="AX99" i="30"/>
  <c r="AQ91" i="30"/>
  <c r="BS83" i="30"/>
  <c r="BE83" i="30"/>
  <c r="AQ79" i="30"/>
  <c r="AQ75" i="30"/>
  <c r="BS71" i="30"/>
  <c r="BE71" i="30"/>
  <c r="AQ67" i="30"/>
  <c r="AQ63" i="30"/>
  <c r="BS59" i="30"/>
  <c r="BE59" i="30"/>
  <c r="BL51" i="30"/>
  <c r="AX51" i="30"/>
  <c r="AQ39" i="30"/>
  <c r="BL35" i="30"/>
  <c r="AX35" i="30"/>
  <c r="AQ31" i="30"/>
  <c r="BL19" i="30"/>
  <c r="AX19" i="30"/>
  <c r="BE15" i="30"/>
  <c r="AQ11" i="30"/>
  <c r="CN7" i="30"/>
  <c r="BS7" i="30"/>
  <c r="CU163" i="30"/>
  <c r="CN159" i="30"/>
  <c r="BZ155" i="30"/>
  <c r="CN151" i="30"/>
  <c r="CG151" i="30"/>
  <c r="CU147" i="30"/>
  <c r="CN143" i="30"/>
  <c r="CN135" i="30"/>
  <c r="DB131" i="30"/>
  <c r="CN127" i="30"/>
  <c r="BZ119" i="30"/>
  <c r="CN115" i="30"/>
  <c r="DB111" i="30"/>
  <c r="CN107" i="30"/>
  <c r="CG99" i="30"/>
  <c r="BZ99" i="30"/>
  <c r="CU95" i="30"/>
  <c r="CN91" i="30"/>
  <c r="CG91" i="30"/>
  <c r="DB87" i="30"/>
  <c r="CU87" i="30"/>
  <c r="CG83" i="30"/>
  <c r="BZ83" i="30"/>
  <c r="CU79" i="30"/>
  <c r="BZ75" i="30"/>
  <c r="CN71" i="30"/>
  <c r="CG71" i="30"/>
  <c r="CU67" i="30"/>
  <c r="CG63" i="30"/>
  <c r="BZ63" i="30"/>
  <c r="DB59" i="30"/>
  <c r="BZ55" i="30"/>
  <c r="CU51" i="30"/>
  <c r="CN47" i="30"/>
  <c r="CG43" i="30"/>
  <c r="CN35" i="30"/>
  <c r="CG31" i="30"/>
  <c r="BZ31" i="30"/>
  <c r="DB27" i="30"/>
  <c r="BZ27" i="30"/>
  <c r="DB23" i="30"/>
  <c r="CU23" i="30"/>
  <c r="CG19" i="30"/>
  <c r="DB11" i="30"/>
  <c r="CU11" i="30"/>
  <c r="CN11" i="30"/>
  <c r="CG11" i="30"/>
  <c r="BZ11" i="30"/>
  <c r="BL163" i="30"/>
  <c r="AX163" i="30"/>
  <c r="BS155" i="30"/>
  <c r="BE155" i="30"/>
  <c r="BS151" i="30"/>
  <c r="BE151" i="30"/>
  <c r="AQ147" i="30"/>
  <c r="BL143" i="30"/>
  <c r="AX143" i="30"/>
  <c r="BS135" i="30"/>
  <c r="BE135" i="30"/>
  <c r="AQ131" i="30"/>
  <c r="BL127" i="30"/>
  <c r="AX127" i="30"/>
  <c r="AQ123" i="30"/>
  <c r="BL115" i="30"/>
  <c r="AX115" i="30"/>
  <c r="AQ111" i="30"/>
  <c r="BS107" i="30"/>
  <c r="BE107" i="30"/>
  <c r="BS103" i="30"/>
  <c r="BE103" i="30"/>
  <c r="AQ99" i="30"/>
  <c r="BL95" i="30"/>
  <c r="AX95" i="30"/>
  <c r="BS91" i="30"/>
  <c r="BE91" i="30"/>
  <c r="BL87" i="30"/>
  <c r="AX87" i="30"/>
  <c r="BS79" i="30"/>
  <c r="BE79" i="30"/>
  <c r="BS75" i="30"/>
  <c r="BE75" i="30"/>
  <c r="BS67" i="30"/>
  <c r="BE67" i="30"/>
  <c r="BS63" i="30"/>
  <c r="BE63" i="30"/>
  <c r="BL55" i="30"/>
  <c r="AX55" i="30"/>
  <c r="AQ51" i="30"/>
  <c r="BL47" i="30"/>
  <c r="AX47" i="30"/>
  <c r="BL43" i="30"/>
  <c r="AX43" i="30"/>
  <c r="BS39" i="30"/>
  <c r="BE39" i="30"/>
  <c r="AQ35" i="30"/>
  <c r="BS31" i="30"/>
  <c r="BE31" i="30"/>
  <c r="BL27" i="30"/>
  <c r="AX27" i="30"/>
  <c r="BL23" i="30"/>
  <c r="AX23" i="30"/>
  <c r="AQ19" i="30"/>
  <c r="AX15" i="30"/>
  <c r="BL11" i="30"/>
  <c r="CG7" i="30"/>
  <c r="BL7" i="30"/>
  <c r="CN163" i="30"/>
  <c r="CG159" i="30"/>
  <c r="BZ159" i="30"/>
  <c r="DB155" i="30"/>
  <c r="BZ151" i="30"/>
  <c r="CN147" i="30"/>
  <c r="CG143" i="30"/>
  <c r="BZ143" i="30"/>
  <c r="DB139" i="30"/>
  <c r="CU139" i="30"/>
  <c r="CG135" i="30"/>
  <c r="CU131" i="30"/>
  <c r="CG127" i="30"/>
  <c r="BZ127" i="30"/>
  <c r="DB123" i="30"/>
  <c r="CU123" i="30"/>
  <c r="CG115" i="30"/>
  <c r="BZ115" i="30"/>
  <c r="CU111" i="30"/>
  <c r="CG107" i="30"/>
  <c r="DB103" i="30"/>
  <c r="CU103" i="30"/>
  <c r="DB99" i="30"/>
  <c r="CN95" i="30"/>
  <c r="BZ91" i="30"/>
  <c r="CN87" i="30"/>
  <c r="CG87" i="30"/>
  <c r="DB83" i="30"/>
  <c r="CN79" i="30"/>
  <c r="BZ71" i="30"/>
  <c r="CN67" i="30"/>
  <c r="DB63" i="30"/>
  <c r="CU59" i="30"/>
  <c r="CN51" i="30"/>
  <c r="CG47" i="30"/>
  <c r="BZ47" i="30"/>
  <c r="DB43" i="30"/>
  <c r="BZ43" i="30"/>
  <c r="DB39" i="30"/>
  <c r="CU39" i="30"/>
  <c r="CG35" i="30"/>
  <c r="DB31" i="30"/>
  <c r="CU27" i="30"/>
  <c r="CN23" i="30"/>
  <c r="CG23" i="30"/>
  <c r="DB19" i="30"/>
  <c r="AQ163" i="30"/>
  <c r="BL159" i="30"/>
  <c r="AX159" i="30"/>
  <c r="BS147" i="30"/>
  <c r="BE147" i="30"/>
  <c r="AQ143" i="30"/>
  <c r="BL139" i="30"/>
  <c r="AX139" i="30"/>
  <c r="BS131" i="30"/>
  <c r="BE131" i="30"/>
  <c r="AQ127" i="30"/>
  <c r="BS123" i="30"/>
  <c r="BE123" i="30"/>
  <c r="BL119" i="30"/>
  <c r="AX119" i="30"/>
  <c r="AQ115" i="30"/>
  <c r="BS111" i="30"/>
  <c r="BE111" i="30"/>
  <c r="BS99" i="30"/>
  <c r="BE99" i="30"/>
  <c r="AQ95" i="30"/>
  <c r="AQ87" i="30"/>
  <c r="BL83" i="30"/>
  <c r="AX83" i="30"/>
  <c r="BL71" i="30"/>
  <c r="AX71" i="30"/>
  <c r="BL59" i="30"/>
  <c r="AX59" i="30"/>
  <c r="AQ55" i="30"/>
  <c r="BS51" i="30"/>
  <c r="BE51" i="30"/>
  <c r="AQ47" i="30"/>
  <c r="AQ43" i="30"/>
  <c r="BS35" i="30"/>
  <c r="BE35" i="30"/>
  <c r="AQ27" i="30"/>
  <c r="AQ23" i="30"/>
  <c r="BS19" i="30"/>
  <c r="BE19" i="30"/>
  <c r="AQ15" i="30"/>
  <c r="BE11" i="30"/>
  <c r="DB7" i="30"/>
  <c r="BZ7" i="30"/>
  <c r="F4" i="31"/>
  <c r="AC11" i="19"/>
  <c r="DJ11" i="19" s="1"/>
  <c r="AQ322" i="19"/>
  <c r="AQ291" i="19"/>
  <c r="DT291" i="19" s="1"/>
  <c r="AQ290" i="19"/>
  <c r="AQ13" i="19"/>
  <c r="AQ314" i="19"/>
  <c r="AQ251" i="19"/>
  <c r="AQ27" i="19"/>
  <c r="A33" i="3"/>
  <c r="F44" i="31"/>
  <c r="F40" i="31"/>
  <c r="F36" i="31"/>
  <c r="F32" i="31"/>
  <c r="F28" i="31"/>
  <c r="F24" i="31"/>
  <c r="F20" i="31"/>
  <c r="F16" i="31"/>
  <c r="F12" i="31"/>
  <c r="F8" i="31"/>
  <c r="F5" i="31"/>
  <c r="F43" i="31"/>
  <c r="F35" i="31"/>
  <c r="F19" i="31"/>
  <c r="F6" i="31"/>
  <c r="F42" i="31"/>
  <c r="F38" i="31"/>
  <c r="F34" i="31"/>
  <c r="F30" i="31"/>
  <c r="F26" i="31"/>
  <c r="F22" i="31"/>
  <c r="F18" i="31"/>
  <c r="F14" i="31"/>
  <c r="F10" i="31"/>
  <c r="F13" i="20"/>
  <c r="B10" i="20" s="1"/>
  <c r="F39" i="31"/>
  <c r="F27" i="31"/>
  <c r="F15" i="31"/>
  <c r="F7" i="31"/>
  <c r="F41" i="31"/>
  <c r="F37" i="31"/>
  <c r="F33" i="31"/>
  <c r="F29" i="31"/>
  <c r="F25" i="31"/>
  <c r="F21" i="31"/>
  <c r="F17" i="31"/>
  <c r="F13" i="31"/>
  <c r="F9" i="31"/>
  <c r="F31" i="31"/>
  <c r="F23" i="31"/>
  <c r="F11" i="31"/>
  <c r="ED35" i="30" l="1"/>
  <c r="AE11" i="35"/>
  <c r="AL17" i="35"/>
  <c r="EI59" i="30"/>
  <c r="DT127" i="30"/>
  <c r="Q34" i="35"/>
  <c r="X42" i="35"/>
  <c r="DY159" i="30"/>
  <c r="CB13" i="35"/>
  <c r="FM43" i="30"/>
  <c r="AZ25" i="35"/>
  <c r="ES91" i="30"/>
  <c r="EX127" i="30"/>
  <c r="BG34" i="35"/>
  <c r="BN43" i="35"/>
  <c r="FC163" i="30"/>
  <c r="Q11" i="35"/>
  <c r="DT35" i="30"/>
  <c r="ED67" i="30"/>
  <c r="AE19" i="35"/>
  <c r="EN107" i="30"/>
  <c r="AS29" i="35"/>
  <c r="AE36" i="35"/>
  <c r="ED135" i="30"/>
  <c r="BG5" i="35"/>
  <c r="EX11" i="30"/>
  <c r="BG13" i="35"/>
  <c r="EX43" i="30"/>
  <c r="BG25" i="35"/>
  <c r="EX91" i="30"/>
  <c r="BN38" i="35"/>
  <c r="FC143" i="30"/>
  <c r="EI19" i="30"/>
  <c r="AL7" i="35"/>
  <c r="EN83" i="30"/>
  <c r="AS23" i="35"/>
  <c r="ED11" i="30"/>
  <c r="AE5" i="35"/>
  <c r="DT23" i="30"/>
  <c r="Q8" i="35"/>
  <c r="Q13" i="35"/>
  <c r="DT43" i="30"/>
  <c r="DT55" i="30"/>
  <c r="Q16" i="35"/>
  <c r="AL20" i="35"/>
  <c r="EI71" i="30"/>
  <c r="DT95" i="30"/>
  <c r="Q26" i="35"/>
  <c r="EN111" i="30"/>
  <c r="AS30" i="35"/>
  <c r="AE33" i="35"/>
  <c r="ED123" i="30"/>
  <c r="AS35" i="35"/>
  <c r="EN131" i="30"/>
  <c r="ED147" i="30"/>
  <c r="AE39" i="35"/>
  <c r="DT163" i="30"/>
  <c r="Q43" i="35"/>
  <c r="BU9" i="35"/>
  <c r="FH27" i="30"/>
  <c r="CB12" i="35"/>
  <c r="FM39" i="30"/>
  <c r="BG14" i="35"/>
  <c r="EX47" i="30"/>
  <c r="BN19" i="35"/>
  <c r="FC67" i="30"/>
  <c r="BG24" i="35"/>
  <c r="EX87" i="30"/>
  <c r="CB27" i="35"/>
  <c r="FM99" i="30"/>
  <c r="BU30" i="35"/>
  <c r="FH111" i="30"/>
  <c r="CB33" i="35"/>
  <c r="FM123" i="30"/>
  <c r="BG36" i="35"/>
  <c r="EX135" i="30"/>
  <c r="EX143" i="30"/>
  <c r="BG38" i="35"/>
  <c r="AZ42" i="35"/>
  <c r="ES159" i="30"/>
  <c r="EX7" i="30"/>
  <c r="BG4" i="35"/>
  <c r="DY23" i="30"/>
  <c r="X8" i="35"/>
  <c r="ED31" i="30"/>
  <c r="AE10" i="35"/>
  <c r="EN39" i="30"/>
  <c r="AS12" i="35"/>
  <c r="AL14" i="35"/>
  <c r="EI47" i="30"/>
  <c r="ED63" i="30"/>
  <c r="AE18" i="35"/>
  <c r="ED75" i="30"/>
  <c r="AE21" i="35"/>
  <c r="DY87" i="30"/>
  <c r="X24" i="35"/>
  <c r="DY95" i="30"/>
  <c r="X26" i="35"/>
  <c r="EN103" i="30"/>
  <c r="AS28" i="35"/>
  <c r="DY115" i="30"/>
  <c r="X31" i="35"/>
  <c r="EI127" i="30"/>
  <c r="AL34" i="35"/>
  <c r="DY143" i="30"/>
  <c r="X38" i="35"/>
  <c r="EN151" i="30"/>
  <c r="AS40" i="35"/>
  <c r="AL43" i="35"/>
  <c r="EI163" i="30"/>
  <c r="BU5" i="35"/>
  <c r="FH11" i="30"/>
  <c r="CB8" i="35"/>
  <c r="FM23" i="30"/>
  <c r="BG10" i="35"/>
  <c r="EX31" i="30"/>
  <c r="BU15" i="35"/>
  <c r="FH51" i="30"/>
  <c r="BG18" i="35"/>
  <c r="EX63" i="30"/>
  <c r="AZ21" i="35"/>
  <c r="ES75" i="30"/>
  <c r="BU24" i="35"/>
  <c r="FH87" i="30"/>
  <c r="FH95" i="30"/>
  <c r="BU26" i="35"/>
  <c r="CB30" i="35"/>
  <c r="FM111" i="30"/>
  <c r="CB35" i="35"/>
  <c r="FM131" i="30"/>
  <c r="BG40" i="35"/>
  <c r="EX151" i="30"/>
  <c r="FH163" i="30"/>
  <c r="BU43" i="35"/>
  <c r="AE6" i="35"/>
  <c r="ED15" i="30"/>
  <c r="DY35" i="30"/>
  <c r="X11" i="35"/>
  <c r="AL15" i="35"/>
  <c r="EI51" i="30"/>
  <c r="DT67" i="30"/>
  <c r="Q19" i="35"/>
  <c r="DT79" i="30"/>
  <c r="Q22" i="35"/>
  <c r="DY99" i="30"/>
  <c r="X27" i="35"/>
  <c r="DY111" i="30"/>
  <c r="X30" i="35"/>
  <c r="DY123" i="30"/>
  <c r="X33" i="35"/>
  <c r="DT135" i="30"/>
  <c r="Q36" i="35"/>
  <c r="EI147" i="30"/>
  <c r="AL39" i="35"/>
  <c r="EN159" i="30"/>
  <c r="AS42" i="35"/>
  <c r="BU11" i="35"/>
  <c r="FH35" i="30"/>
  <c r="AZ15" i="35"/>
  <c r="ES51" i="30"/>
  <c r="AZ17" i="35"/>
  <c r="ES59" i="30"/>
  <c r="CB20" i="35"/>
  <c r="FM71" i="30"/>
  <c r="BN23" i="35"/>
  <c r="FC83" i="30"/>
  <c r="ES103" i="30"/>
  <c r="AZ28" i="35"/>
  <c r="EX111" i="30"/>
  <c r="BG30" i="35"/>
  <c r="AZ33" i="35"/>
  <c r="ES123" i="30"/>
  <c r="BU36" i="35"/>
  <c r="FH135" i="30"/>
  <c r="AZ39" i="35"/>
  <c r="ES147" i="30"/>
  <c r="BG41" i="35"/>
  <c r="EX155" i="30"/>
  <c r="CB43" i="35"/>
  <c r="FM163" i="30"/>
  <c r="EN23" i="30"/>
  <c r="AS8" i="35"/>
  <c r="EI31" i="30"/>
  <c r="AL10" i="35"/>
  <c r="EN43" i="30"/>
  <c r="AS13" i="35"/>
  <c r="EN55" i="30"/>
  <c r="AS16" i="35"/>
  <c r="X19" i="35"/>
  <c r="DY67" i="30"/>
  <c r="EI75" i="30"/>
  <c r="AL21" i="35"/>
  <c r="ED87" i="30"/>
  <c r="AE24" i="35"/>
  <c r="ED95" i="30"/>
  <c r="AE26" i="35"/>
  <c r="DY107" i="30"/>
  <c r="X29" i="35"/>
  <c r="Q32" i="35"/>
  <c r="DT119" i="30"/>
  <c r="EI135" i="30"/>
  <c r="AL36" i="35"/>
  <c r="DY151" i="30"/>
  <c r="X40" i="35"/>
  <c r="DT159" i="30"/>
  <c r="Q42" i="35"/>
  <c r="BN6" i="35"/>
  <c r="FC15" i="30"/>
  <c r="BN9" i="35"/>
  <c r="FC27" i="30"/>
  <c r="BG12" i="35"/>
  <c r="EX39" i="30"/>
  <c r="BG15" i="35"/>
  <c r="EX51" i="30"/>
  <c r="BN17" i="35"/>
  <c r="FC59" i="30"/>
  <c r="BU21" i="35"/>
  <c r="FH75" i="30"/>
  <c r="BU23" i="35"/>
  <c r="FH83" i="30"/>
  <c r="BG26" i="35"/>
  <c r="EX95" i="30"/>
  <c r="AZ29" i="35"/>
  <c r="ES107" i="30"/>
  <c r="FM119" i="30"/>
  <c r="CB32" i="35"/>
  <c r="BN35" i="35"/>
  <c r="FC131" i="30"/>
  <c r="CB38" i="35"/>
  <c r="FM143" i="30"/>
  <c r="BG43" i="35"/>
  <c r="EX163" i="30"/>
  <c r="DT177" i="19"/>
  <c r="CW25" i="35"/>
  <c r="DT201" i="19"/>
  <c r="CW28" i="35"/>
  <c r="DT209" i="19"/>
  <c r="CW29" i="35"/>
  <c r="DT217" i="19"/>
  <c r="CW30" i="35"/>
  <c r="DD8" i="35"/>
  <c r="DY41" i="19"/>
  <c r="DY121" i="19"/>
  <c r="DD18" i="35"/>
  <c r="DY209" i="19"/>
  <c r="DD29" i="35"/>
  <c r="ED273" i="19"/>
  <c r="DK37" i="35"/>
  <c r="EI201" i="19"/>
  <c r="DR28" i="35"/>
  <c r="ED17" i="19"/>
  <c r="DK5" i="35"/>
  <c r="ED161" i="19"/>
  <c r="DK23" i="35"/>
  <c r="ED193" i="19"/>
  <c r="DK27" i="35"/>
  <c r="ED225" i="19"/>
  <c r="DK31" i="35"/>
  <c r="EI265" i="19"/>
  <c r="DR36" i="35"/>
  <c r="DD37" i="35"/>
  <c r="DY273" i="19"/>
  <c r="EN33" i="19"/>
  <c r="DY7" i="35"/>
  <c r="EN209" i="19"/>
  <c r="DY29" i="35"/>
  <c r="DY36" i="35"/>
  <c r="EN265" i="19"/>
  <c r="EF37" i="35"/>
  <c r="ES273" i="19"/>
  <c r="EX33" i="19"/>
  <c r="EM7" i="35"/>
  <c r="EX209" i="19"/>
  <c r="EM29" i="35"/>
  <c r="EM41" i="35"/>
  <c r="EX305" i="19"/>
  <c r="FC33" i="19"/>
  <c r="ET7" i="35"/>
  <c r="FC209" i="19"/>
  <c r="ET29" i="35"/>
  <c r="ES201" i="19"/>
  <c r="EF28" i="35"/>
  <c r="ES305" i="19"/>
  <c r="EF41" i="35"/>
  <c r="EX177" i="19"/>
  <c r="EM25" i="35"/>
  <c r="EX257" i="19"/>
  <c r="EM35" i="35"/>
  <c r="FC257" i="19"/>
  <c r="ET35" i="35"/>
  <c r="FH265" i="19"/>
  <c r="FA36" i="35"/>
  <c r="FH41" i="19"/>
  <c r="FA8" i="35"/>
  <c r="FH97" i="19"/>
  <c r="FA15" i="35"/>
  <c r="FA22" i="35"/>
  <c r="FH153" i="19"/>
  <c r="FH217" i="19"/>
  <c r="FA30" i="35"/>
  <c r="FH7" i="35"/>
  <c r="FM33" i="19"/>
  <c r="FM209" i="19"/>
  <c r="FH29" i="35"/>
  <c r="FM305" i="19"/>
  <c r="FH41" i="35"/>
  <c r="FM265" i="19"/>
  <c r="FH36" i="35"/>
  <c r="DT15" i="30"/>
  <c r="Q6" i="35"/>
  <c r="Q9" i="35"/>
  <c r="DT27" i="30"/>
  <c r="DT47" i="30"/>
  <c r="Q14" i="35"/>
  <c r="X17" i="35"/>
  <c r="DY59" i="30"/>
  <c r="DY83" i="30"/>
  <c r="X23" i="35"/>
  <c r="ED99" i="30"/>
  <c r="AE27" i="35"/>
  <c r="HU27" i="35" s="1"/>
  <c r="DT115" i="30"/>
  <c r="Q31" i="35"/>
  <c r="AS33" i="35"/>
  <c r="EN123" i="30"/>
  <c r="DY139" i="30"/>
  <c r="X37" i="35"/>
  <c r="EN147" i="30"/>
  <c r="AS39" i="35"/>
  <c r="CB7" i="35"/>
  <c r="FM19" i="30"/>
  <c r="CB10" i="35"/>
  <c r="FM31" i="30"/>
  <c r="AZ13" i="35"/>
  <c r="ES43" i="30"/>
  <c r="BN15" i="35"/>
  <c r="FC51" i="30"/>
  <c r="AZ20" i="35"/>
  <c r="ES71" i="30"/>
  <c r="FC87" i="30"/>
  <c r="BN24" i="35"/>
  <c r="BU28" i="35"/>
  <c r="FH103" i="30"/>
  <c r="AZ31" i="35"/>
  <c r="ES115" i="30"/>
  <c r="AZ34" i="35"/>
  <c r="ES127" i="30"/>
  <c r="BU37" i="35"/>
  <c r="FH139" i="30"/>
  <c r="BN39" i="35"/>
  <c r="FC147" i="30"/>
  <c r="EX159" i="30"/>
  <c r="BG42" i="35"/>
  <c r="AL5" i="35"/>
  <c r="EI11" i="30"/>
  <c r="EI23" i="30"/>
  <c r="AL8" i="35"/>
  <c r="AS10" i="35"/>
  <c r="EN31" i="30"/>
  <c r="X13" i="35"/>
  <c r="DY43" i="30"/>
  <c r="Q15" i="35"/>
  <c r="DT51" i="30"/>
  <c r="EN63" i="30"/>
  <c r="AS18" i="35"/>
  <c r="EN75" i="30"/>
  <c r="AS21" i="35"/>
  <c r="EI87" i="30"/>
  <c r="AL24" i="35"/>
  <c r="EI95" i="30"/>
  <c r="AL26" i="35"/>
  <c r="ED107" i="30"/>
  <c r="AE29" i="35"/>
  <c r="EI115" i="30"/>
  <c r="AL31" i="35"/>
  <c r="Q35" i="35"/>
  <c r="DT131" i="30"/>
  <c r="EI143" i="30"/>
  <c r="AL38" i="35"/>
  <c r="ED155" i="30"/>
  <c r="AE41" i="35"/>
  <c r="AZ5" i="35"/>
  <c r="ES11" i="30"/>
  <c r="CB5" i="35"/>
  <c r="FM11" i="30"/>
  <c r="AZ9" i="35"/>
  <c r="ES27" i="30"/>
  <c r="BN11" i="35"/>
  <c r="FC35" i="30"/>
  <c r="AZ16" i="35"/>
  <c r="ES55" i="30"/>
  <c r="BU19" i="35"/>
  <c r="FH67" i="30"/>
  <c r="FH79" i="30"/>
  <c r="BU22" i="35"/>
  <c r="CB24" i="35"/>
  <c r="FM87" i="30"/>
  <c r="AZ27" i="35"/>
  <c r="ES99" i="30"/>
  <c r="BN31" i="35"/>
  <c r="FC115" i="30"/>
  <c r="BN36" i="35"/>
  <c r="FC135" i="30"/>
  <c r="BN40" i="35"/>
  <c r="FC151" i="30"/>
  <c r="AS4" i="35"/>
  <c r="EN7" i="30"/>
  <c r="DY19" i="30"/>
  <c r="X7" i="35"/>
  <c r="EI35" i="30"/>
  <c r="AL11" i="35"/>
  <c r="ED59" i="30"/>
  <c r="AE17" i="35"/>
  <c r="ED71" i="30"/>
  <c r="AE20" i="35"/>
  <c r="ED83" i="30"/>
  <c r="AE23" i="35"/>
  <c r="EI99" i="30"/>
  <c r="AL27" i="35"/>
  <c r="EI111" i="30"/>
  <c r="AL30" i="35"/>
  <c r="EI123" i="30"/>
  <c r="AL33" i="35"/>
  <c r="AE37" i="35"/>
  <c r="ED139" i="30"/>
  <c r="DT151" i="30"/>
  <c r="Q40" i="35"/>
  <c r="BN7" i="35"/>
  <c r="FC19" i="30"/>
  <c r="AZ12" i="35"/>
  <c r="ES39" i="30"/>
  <c r="CB15" i="35"/>
  <c r="FM51" i="30"/>
  <c r="BN18" i="35"/>
  <c r="FC63" i="30"/>
  <c r="BG21" i="35"/>
  <c r="EX75" i="30"/>
  <c r="BU25" i="35"/>
  <c r="FH91" i="30"/>
  <c r="BU29" i="35"/>
  <c r="FH107" i="30"/>
  <c r="BU31" i="35"/>
  <c r="FH115" i="30"/>
  <c r="BU34" i="35"/>
  <c r="FH127" i="30"/>
  <c r="FM135" i="30"/>
  <c r="CB36" i="35"/>
  <c r="CB39" i="35"/>
  <c r="FM147" i="30"/>
  <c r="BN41" i="35"/>
  <c r="FC155" i="30"/>
  <c r="X5" i="35"/>
  <c r="DY11" i="30"/>
  <c r="ED27" i="30"/>
  <c r="AE9" i="35"/>
  <c r="DY39" i="30"/>
  <c r="X12" i="35"/>
  <c r="ED47" i="30"/>
  <c r="AE14" i="35"/>
  <c r="DT59" i="30"/>
  <c r="Q17" i="35"/>
  <c r="AL19" i="35"/>
  <c r="EI67" i="30"/>
  <c r="DY79" i="30"/>
  <c r="X22" i="35"/>
  <c r="EN87" i="30"/>
  <c r="AS24" i="35"/>
  <c r="EN95" i="30"/>
  <c r="AS26" i="35"/>
  <c r="EI107" i="30"/>
  <c r="AL29" i="35"/>
  <c r="AE34" i="35"/>
  <c r="ED127" i="30"/>
  <c r="Q37" i="35"/>
  <c r="DT139" i="30"/>
  <c r="EI151" i="30"/>
  <c r="AL40" i="35"/>
  <c r="ED163" i="30"/>
  <c r="AE43" i="35"/>
  <c r="BU6" i="35"/>
  <c r="FH15" i="30"/>
  <c r="FH31" i="30"/>
  <c r="BU10" i="35"/>
  <c r="FC39" i="30"/>
  <c r="BN12" i="35"/>
  <c r="BU16" i="35"/>
  <c r="FH55" i="30"/>
  <c r="FH63" i="30"/>
  <c r="BU18" i="35"/>
  <c r="CB21" i="35"/>
  <c r="FM75" i="30"/>
  <c r="AZ24" i="35"/>
  <c r="ES87" i="30"/>
  <c r="BU27" i="35"/>
  <c r="FH99" i="30"/>
  <c r="BN30" i="35"/>
  <c r="FC111" i="30"/>
  <c r="BG33" i="35"/>
  <c r="EX123" i="30"/>
  <c r="ES135" i="30"/>
  <c r="AZ36" i="35"/>
  <c r="BG39" i="35"/>
  <c r="EX147" i="30"/>
  <c r="DT33" i="19"/>
  <c r="CW7" i="35"/>
  <c r="DT265" i="19"/>
  <c r="CW36" i="35"/>
  <c r="CW41" i="35"/>
  <c r="DT305" i="19"/>
  <c r="CW8" i="35"/>
  <c r="DT41" i="19"/>
  <c r="DT137" i="19"/>
  <c r="CW20" i="35"/>
  <c r="DT273" i="19"/>
  <c r="CW37" i="35"/>
  <c r="DT97" i="19"/>
  <c r="CW15" i="35"/>
  <c r="CW23" i="35"/>
  <c r="DT161" i="19"/>
  <c r="CW27" i="35"/>
  <c r="DT193" i="19"/>
  <c r="DD27" i="35"/>
  <c r="DY193" i="19"/>
  <c r="DD23" i="35"/>
  <c r="DY161" i="19"/>
  <c r="DY33" i="19"/>
  <c r="DD7" i="35"/>
  <c r="DY201" i="19"/>
  <c r="DD28" i="35"/>
  <c r="DK36" i="35"/>
  <c r="ED265" i="19"/>
  <c r="EI161" i="19"/>
  <c r="DR23" i="35"/>
  <c r="EI193" i="19"/>
  <c r="DR27" i="35"/>
  <c r="EI225" i="19"/>
  <c r="DR31" i="35"/>
  <c r="ED41" i="19"/>
  <c r="DK8" i="35"/>
  <c r="ED97" i="19"/>
  <c r="DK15" i="35"/>
  <c r="ED153" i="19"/>
  <c r="DK22" i="35"/>
  <c r="DK30" i="35"/>
  <c r="ED217" i="19"/>
  <c r="EI177" i="19"/>
  <c r="DR25" i="35"/>
  <c r="DR35" i="35"/>
  <c r="EI257" i="19"/>
  <c r="DY265" i="19"/>
  <c r="DD36" i="35"/>
  <c r="DY28" i="35"/>
  <c r="EN201" i="19"/>
  <c r="EF5" i="35"/>
  <c r="ES17" i="19"/>
  <c r="EN257" i="19"/>
  <c r="DY35" i="35"/>
  <c r="ES265" i="19"/>
  <c r="EF36" i="35"/>
  <c r="EX201" i="19"/>
  <c r="EM28" i="35"/>
  <c r="FC201" i="19"/>
  <c r="ET28" i="35"/>
  <c r="EF23" i="35"/>
  <c r="ES161" i="19"/>
  <c r="EF27" i="35"/>
  <c r="ES193" i="19"/>
  <c r="EF31" i="35"/>
  <c r="ES225" i="19"/>
  <c r="FH257" i="19"/>
  <c r="FA35" i="35"/>
  <c r="FC305" i="19"/>
  <c r="ET41" i="35"/>
  <c r="FH33" i="19"/>
  <c r="FA7" i="35"/>
  <c r="FH209" i="19"/>
  <c r="FA29" i="35"/>
  <c r="FM201" i="19"/>
  <c r="FH28" i="35"/>
  <c r="FM177" i="19"/>
  <c r="FH25" i="35"/>
  <c r="FM257" i="19"/>
  <c r="FH35" i="35"/>
  <c r="AZ4" i="35"/>
  <c r="ES7" i="30"/>
  <c r="ED51" i="30"/>
  <c r="AE15" i="35"/>
  <c r="EN99" i="30"/>
  <c r="AS27" i="35"/>
  <c r="EI139" i="30"/>
  <c r="AL37" i="35"/>
  <c r="BG11" i="35"/>
  <c r="EX35" i="30"/>
  <c r="BN22" i="35"/>
  <c r="FC79" i="30"/>
  <c r="BG31" i="35"/>
  <c r="EX115" i="30"/>
  <c r="ES151" i="30"/>
  <c r="AZ40" i="35"/>
  <c r="DY27" i="30"/>
  <c r="X9" i="35"/>
  <c r="X16" i="35"/>
  <c r="DY55" i="30"/>
  <c r="ED91" i="30"/>
  <c r="AE25" i="35"/>
  <c r="Q33" i="35"/>
  <c r="DT123" i="30"/>
  <c r="EN155" i="30"/>
  <c r="AS41" i="35"/>
  <c r="CB9" i="35"/>
  <c r="FM27" i="30"/>
  <c r="BG20" i="35"/>
  <c r="EX71" i="30"/>
  <c r="BG27" i="35"/>
  <c r="EX99" i="30"/>
  <c r="ES119" i="30"/>
  <c r="AZ32" i="35"/>
  <c r="FC7" i="30"/>
  <c r="BN4" i="35"/>
  <c r="EN59" i="30"/>
  <c r="AS17" i="35"/>
  <c r="EN71" i="30"/>
  <c r="AS20" i="35"/>
  <c r="ED119" i="30"/>
  <c r="AE32" i="35"/>
  <c r="DY131" i="30"/>
  <c r="X35" i="35"/>
  <c r="AS37" i="35"/>
  <c r="EN139" i="30"/>
  <c r="DT155" i="30"/>
  <c r="Q41" i="35"/>
  <c r="BG9" i="35"/>
  <c r="EX27" i="30"/>
  <c r="BN13" i="35"/>
  <c r="FC43" i="30"/>
  <c r="BG16" i="35"/>
  <c r="EX55" i="30"/>
  <c r="CB19" i="35"/>
  <c r="FM67" i="30"/>
  <c r="BN21" i="35"/>
  <c r="FC75" i="30"/>
  <c r="CB26" i="35"/>
  <c r="FM95" i="30"/>
  <c r="CB29" i="35"/>
  <c r="FM107" i="30"/>
  <c r="BG32" i="35"/>
  <c r="EX119" i="30"/>
  <c r="AZ35" i="35"/>
  <c r="ES131" i="30"/>
  <c r="AZ37" i="35"/>
  <c r="ES139" i="30"/>
  <c r="BU40" i="35"/>
  <c r="FH151" i="30"/>
  <c r="BU42" i="35"/>
  <c r="FH159" i="30"/>
  <c r="EN11" i="30"/>
  <c r="AS5" i="35"/>
  <c r="EN27" i="30"/>
  <c r="AS9" i="35"/>
  <c r="EI39" i="30"/>
  <c r="AL12" i="35"/>
  <c r="EN47" i="30"/>
  <c r="AS14" i="35"/>
  <c r="X18" i="35"/>
  <c r="DY63" i="30"/>
  <c r="DT71" i="30"/>
  <c r="Q20" i="35"/>
  <c r="EI79" i="30"/>
  <c r="AL22" i="35"/>
  <c r="DY91" i="30"/>
  <c r="X25" i="35"/>
  <c r="DY103" i="30"/>
  <c r="X28" i="35"/>
  <c r="HG28" i="35" s="1"/>
  <c r="ED115" i="30"/>
  <c r="AE31" i="35"/>
  <c r="HU31" i="35" s="1"/>
  <c r="AS34" i="35"/>
  <c r="EN127" i="30"/>
  <c r="AE38" i="35"/>
  <c r="ED143" i="30"/>
  <c r="X41" i="35"/>
  <c r="DY155" i="30"/>
  <c r="EN163" i="30"/>
  <c r="AS43" i="35"/>
  <c r="BU7" i="35"/>
  <c r="FH19" i="30"/>
  <c r="AZ11" i="35"/>
  <c r="ES35" i="30"/>
  <c r="BU13" i="35"/>
  <c r="FH43" i="30"/>
  <c r="CB16" i="35"/>
  <c r="FM55" i="30"/>
  <c r="AZ19" i="35"/>
  <c r="ES67" i="30"/>
  <c r="AZ22" i="35"/>
  <c r="ES79" i="30"/>
  <c r="CB25" i="35"/>
  <c r="FM91" i="30"/>
  <c r="BG28" i="35"/>
  <c r="EX103" i="30"/>
  <c r="CB31" i="35"/>
  <c r="FM115" i="30"/>
  <c r="BN33" i="35"/>
  <c r="FC123" i="30"/>
  <c r="BG37" i="35"/>
  <c r="EX139" i="30"/>
  <c r="BU41" i="35"/>
  <c r="FH155" i="30"/>
  <c r="DT129" i="19"/>
  <c r="CW19" i="35"/>
  <c r="DT169" i="19"/>
  <c r="CW24" i="35"/>
  <c r="CW31" i="35"/>
  <c r="DT225" i="19"/>
  <c r="DT257" i="19"/>
  <c r="CW35" i="35"/>
  <c r="DY153" i="19"/>
  <c r="DD22" i="35"/>
  <c r="DY177" i="19"/>
  <c r="DD25" i="35"/>
  <c r="DY137" i="19"/>
  <c r="DD20" i="35"/>
  <c r="DD31" i="35"/>
  <c r="DY225" i="19"/>
  <c r="DY305" i="19"/>
  <c r="DD41" i="35"/>
  <c r="ED257" i="19"/>
  <c r="DK35" i="35"/>
  <c r="DR8" i="35"/>
  <c r="EI41" i="19"/>
  <c r="EI97" i="19"/>
  <c r="DR15" i="35"/>
  <c r="EI153" i="19"/>
  <c r="DR22" i="35"/>
  <c r="EI217" i="19"/>
  <c r="DR30" i="35"/>
  <c r="ED33" i="19"/>
  <c r="DK7" i="35"/>
  <c r="ED209" i="19"/>
  <c r="DK29" i="35"/>
  <c r="DY257" i="19"/>
  <c r="DD35" i="35"/>
  <c r="DY23" i="35"/>
  <c r="EN161" i="19"/>
  <c r="DY27" i="35"/>
  <c r="EN193" i="19"/>
  <c r="DY31" i="35"/>
  <c r="EN225" i="19"/>
  <c r="ES41" i="19"/>
  <c r="EF8" i="35"/>
  <c r="EN177" i="19"/>
  <c r="DY25" i="35"/>
  <c r="ES257" i="19"/>
  <c r="EF35" i="35"/>
  <c r="EM23" i="35"/>
  <c r="EX161" i="19"/>
  <c r="EM27" i="35"/>
  <c r="EX193" i="19"/>
  <c r="EM31" i="35"/>
  <c r="EX225" i="19"/>
  <c r="FC161" i="19"/>
  <c r="ET23" i="35"/>
  <c r="FC193" i="19"/>
  <c r="ET27" i="35"/>
  <c r="FC225" i="19"/>
  <c r="ET31" i="35"/>
  <c r="ES97" i="19"/>
  <c r="EF15" i="35"/>
  <c r="ES153" i="19"/>
  <c r="EF22" i="35"/>
  <c r="ES217" i="19"/>
  <c r="EF30" i="35"/>
  <c r="EX273" i="19"/>
  <c r="EM37" i="35"/>
  <c r="FC273" i="19"/>
  <c r="ET37" i="35"/>
  <c r="FH177" i="19"/>
  <c r="FA25" i="35"/>
  <c r="FA28" i="35"/>
  <c r="FH201" i="19"/>
  <c r="FM161" i="19"/>
  <c r="FH23" i="35"/>
  <c r="FM193" i="19"/>
  <c r="FH27" i="35"/>
  <c r="FM225" i="19"/>
  <c r="FH31" i="35"/>
  <c r="AE7" i="35"/>
  <c r="ED19" i="30"/>
  <c r="EI83" i="30"/>
  <c r="AL23" i="35"/>
  <c r="II23" i="35" s="1"/>
  <c r="DY119" i="30"/>
  <c r="X32" i="35"/>
  <c r="BG8" i="35"/>
  <c r="EX23" i="30"/>
  <c r="BU17" i="35"/>
  <c r="FH59" i="30"/>
  <c r="FM103" i="30"/>
  <c r="CB28" i="35"/>
  <c r="CB37" i="35"/>
  <c r="FM139" i="30"/>
  <c r="DY15" i="30"/>
  <c r="X6" i="35"/>
  <c r="AL13" i="35"/>
  <c r="EI43" i="30"/>
  <c r="ED79" i="30"/>
  <c r="AE22" i="35"/>
  <c r="Q27" i="35"/>
  <c r="DT99" i="30"/>
  <c r="Q39" i="35"/>
  <c r="DT147" i="30"/>
  <c r="BG7" i="35"/>
  <c r="EX19" i="30"/>
  <c r="CB17" i="35"/>
  <c r="FM59" i="30"/>
  <c r="AZ23" i="35"/>
  <c r="ES83" i="30"/>
  <c r="AZ41" i="35"/>
  <c r="ES155" i="30"/>
  <c r="DT39" i="30"/>
  <c r="Q12" i="35"/>
  <c r="DT103" i="30"/>
  <c r="Q28" i="35"/>
  <c r="GS28" i="35" s="1"/>
  <c r="CB4" i="35"/>
  <c r="FM7" i="30"/>
  <c r="EN19" i="30"/>
  <c r="AS7" i="35"/>
  <c r="IW7" i="35" s="1"/>
  <c r="AS11" i="35"/>
  <c r="EN35" i="30"/>
  <c r="EN51" i="30"/>
  <c r="AS15" i="35"/>
  <c r="X20" i="35"/>
  <c r="DY71" i="30"/>
  <c r="DT87" i="30"/>
  <c r="Q24" i="35"/>
  <c r="ED111" i="30"/>
  <c r="AE30" i="35"/>
  <c r="EI119" i="30"/>
  <c r="AL32" i="35"/>
  <c r="AE35" i="35"/>
  <c r="ED131" i="30"/>
  <c r="DT143" i="30"/>
  <c r="Q38" i="35"/>
  <c r="AL42" i="35"/>
  <c r="EI159" i="30"/>
  <c r="FC23" i="30"/>
  <c r="BN8" i="35"/>
  <c r="BU12" i="35"/>
  <c r="FH39" i="30"/>
  <c r="AZ14" i="35"/>
  <c r="ES47" i="30"/>
  <c r="CB18" i="35"/>
  <c r="FM63" i="30"/>
  <c r="CB23" i="35"/>
  <c r="FM83" i="30"/>
  <c r="BN26" i="35"/>
  <c r="FC95" i="30"/>
  <c r="BG29" i="35"/>
  <c r="EX107" i="30"/>
  <c r="BU33" i="35"/>
  <c r="FH123" i="30"/>
  <c r="BU35" i="35"/>
  <c r="FH131" i="30"/>
  <c r="AZ38" i="35"/>
  <c r="ES143" i="30"/>
  <c r="CB41" i="35"/>
  <c r="FM155" i="30"/>
  <c r="EI7" i="30"/>
  <c r="AL4" i="35"/>
  <c r="DT19" i="30"/>
  <c r="Q7" i="35"/>
  <c r="EI27" i="30"/>
  <c r="AL9" i="35"/>
  <c r="ED39" i="30"/>
  <c r="AE12" i="35"/>
  <c r="X14" i="35"/>
  <c r="DY47" i="30"/>
  <c r="AL16" i="35"/>
  <c r="EI55" i="30"/>
  <c r="EN67" i="30"/>
  <c r="AS19" i="35"/>
  <c r="EN79" i="30"/>
  <c r="AS22" i="35"/>
  <c r="EN91" i="30"/>
  <c r="AS25" i="35"/>
  <c r="ED103" i="30"/>
  <c r="AE28" i="35"/>
  <c r="Q30" i="35"/>
  <c r="DT111" i="30"/>
  <c r="DY127" i="30"/>
  <c r="X34" i="35"/>
  <c r="AS36" i="35"/>
  <c r="IW36" i="35" s="1"/>
  <c r="EN135" i="30"/>
  <c r="ED151" i="30"/>
  <c r="AE40" i="35"/>
  <c r="X43" i="35"/>
  <c r="DY163" i="30"/>
  <c r="FC11" i="30"/>
  <c r="BN5" i="35"/>
  <c r="BU8" i="35"/>
  <c r="FH23" i="30"/>
  <c r="AZ10" i="35"/>
  <c r="ES31" i="30"/>
  <c r="BN14" i="35"/>
  <c r="FC47" i="30"/>
  <c r="AZ18" i="35"/>
  <c r="ES63" i="30"/>
  <c r="FC71" i="30"/>
  <c r="BN20" i="35"/>
  <c r="BG23" i="35"/>
  <c r="EX83" i="30"/>
  <c r="BN25" i="35"/>
  <c r="FC91" i="30"/>
  <c r="BN29" i="35"/>
  <c r="FC107" i="30"/>
  <c r="BN34" i="35"/>
  <c r="FC127" i="30"/>
  <c r="BU39" i="35"/>
  <c r="FH147" i="30"/>
  <c r="BN42" i="35"/>
  <c r="FC159" i="30"/>
  <c r="DT11" i="30"/>
  <c r="Q5" i="35"/>
  <c r="DT31" i="30"/>
  <c r="Q10" i="35"/>
  <c r="X15" i="35"/>
  <c r="DY51" i="30"/>
  <c r="DT63" i="30"/>
  <c r="Q18" i="35"/>
  <c r="DT75" i="30"/>
  <c r="Q21" i="35"/>
  <c r="Q25" i="35"/>
  <c r="DT91" i="30"/>
  <c r="DT107" i="30"/>
  <c r="Q29" i="35"/>
  <c r="EN119" i="30"/>
  <c r="AS32" i="35"/>
  <c r="EI131" i="30"/>
  <c r="AL35" i="35"/>
  <c r="DY147" i="30"/>
  <c r="X39" i="35"/>
  <c r="ED159" i="30"/>
  <c r="AE42" i="35"/>
  <c r="BN10" i="35"/>
  <c r="FC31" i="30"/>
  <c r="FH47" i="30"/>
  <c r="BU14" i="35"/>
  <c r="FC55" i="30"/>
  <c r="BN16" i="35"/>
  <c r="BU20" i="35"/>
  <c r="FH71" i="30"/>
  <c r="CB22" i="35"/>
  <c r="FM79" i="30"/>
  <c r="BN27" i="35"/>
  <c r="FC99" i="30"/>
  <c r="AZ30" i="35"/>
  <c r="ES111" i="30"/>
  <c r="BN32" i="35"/>
  <c r="FC119" i="30"/>
  <c r="BG35" i="35"/>
  <c r="EX131" i="30"/>
  <c r="BU38" i="35"/>
  <c r="FH143" i="30"/>
  <c r="FM151" i="30"/>
  <c r="CB40" i="35"/>
  <c r="AZ43" i="35"/>
  <c r="ES163" i="30"/>
  <c r="ED23" i="30"/>
  <c r="AE8" i="35"/>
  <c r="DY31" i="30"/>
  <c r="X10" i="35"/>
  <c r="ED43" i="30"/>
  <c r="AE13" i="35"/>
  <c r="ED55" i="30"/>
  <c r="AE16" i="35"/>
  <c r="AL18" i="35"/>
  <c r="EI63" i="30"/>
  <c r="DY75" i="30"/>
  <c r="X21" i="35"/>
  <c r="DT83" i="30"/>
  <c r="Q23" i="35"/>
  <c r="EI91" i="30"/>
  <c r="AL25" i="35"/>
  <c r="EI103" i="30"/>
  <c r="AL28" i="35"/>
  <c r="II28" i="35" s="1"/>
  <c r="EN115" i="30"/>
  <c r="AS31" i="35"/>
  <c r="DY135" i="30"/>
  <c r="X36" i="35"/>
  <c r="AS38" i="35"/>
  <c r="EN143" i="30"/>
  <c r="AL41" i="35"/>
  <c r="EI155" i="30"/>
  <c r="EX15" i="30"/>
  <c r="BG6" i="35"/>
  <c r="AZ8" i="35"/>
  <c r="ES23" i="30"/>
  <c r="CB11" i="35"/>
  <c r="FM35" i="30"/>
  <c r="CB14" i="35"/>
  <c r="FM47" i="30"/>
  <c r="BG17" i="35"/>
  <c r="EX59" i="30"/>
  <c r="BG19" i="35"/>
  <c r="EX67" i="30"/>
  <c r="BG22" i="35"/>
  <c r="EX79" i="30"/>
  <c r="AZ26" i="35"/>
  <c r="ES95" i="30"/>
  <c r="BN28" i="35"/>
  <c r="FC103" i="30"/>
  <c r="BU32" i="35"/>
  <c r="FH119" i="30"/>
  <c r="CB34" i="35"/>
  <c r="FM127" i="30"/>
  <c r="BN37" i="35"/>
  <c r="FC139" i="30"/>
  <c r="CB42" i="35"/>
  <c r="FM159" i="30"/>
  <c r="DT153" i="19"/>
  <c r="CW22" i="35"/>
  <c r="CW9" i="35"/>
  <c r="DT49" i="19"/>
  <c r="DT121" i="19"/>
  <c r="CW18" i="35"/>
  <c r="DD15" i="35"/>
  <c r="DY97" i="19"/>
  <c r="DY129" i="19"/>
  <c r="DD19" i="35"/>
  <c r="DY217" i="19"/>
  <c r="DD30" i="35"/>
  <c r="ED177" i="19"/>
  <c r="DK25" i="35"/>
  <c r="EI33" i="19"/>
  <c r="DR7" i="35"/>
  <c r="EI209" i="19"/>
  <c r="DR29" i="35"/>
  <c r="EI305" i="19"/>
  <c r="DR41" i="35"/>
  <c r="ED201" i="19"/>
  <c r="DK28" i="35"/>
  <c r="ED305" i="19"/>
  <c r="DK41" i="35"/>
  <c r="EI273" i="19"/>
  <c r="DR37" i="35"/>
  <c r="DY8" i="35"/>
  <c r="EN41" i="19"/>
  <c r="EN97" i="19"/>
  <c r="DY15" i="35"/>
  <c r="EN153" i="19"/>
  <c r="DY22" i="35"/>
  <c r="EN217" i="19"/>
  <c r="DY30" i="35"/>
  <c r="EN305" i="19"/>
  <c r="DY41" i="35"/>
  <c r="ES33" i="19"/>
  <c r="EF7" i="35"/>
  <c r="DY37" i="35"/>
  <c r="EN273" i="19"/>
  <c r="ES177" i="19"/>
  <c r="EF25" i="35"/>
  <c r="EM8" i="35"/>
  <c r="EX41" i="19"/>
  <c r="EM15" i="35"/>
  <c r="EX97" i="19"/>
  <c r="EX153" i="19"/>
  <c r="EM22" i="35"/>
  <c r="EX217" i="19"/>
  <c r="EM30" i="35"/>
  <c r="FC41" i="19"/>
  <c r="ET8" i="35"/>
  <c r="FC97" i="19"/>
  <c r="ET15" i="35"/>
  <c r="FC153" i="19"/>
  <c r="ET22" i="35"/>
  <c r="FC217" i="19"/>
  <c r="ET30" i="35"/>
  <c r="ES209" i="19"/>
  <c r="EF29" i="35"/>
  <c r="EX265" i="19"/>
  <c r="EM36" i="35"/>
  <c r="FC177" i="19"/>
  <c r="ET25" i="35"/>
  <c r="FC265" i="19"/>
  <c r="ET36" i="35"/>
  <c r="FA37" i="35"/>
  <c r="FH273" i="19"/>
  <c r="FA5" i="35"/>
  <c r="FH17" i="19"/>
  <c r="FA23" i="35"/>
  <c r="FH161" i="19"/>
  <c r="FA27" i="35"/>
  <c r="FH193" i="19"/>
  <c r="FA31" i="35"/>
  <c r="FH225" i="19"/>
  <c r="FH8" i="35"/>
  <c r="FM41" i="19"/>
  <c r="FM97" i="19"/>
  <c r="FH15" i="35"/>
  <c r="FM153" i="19"/>
  <c r="FH22" i="35"/>
  <c r="FM217" i="19"/>
  <c r="FH30" i="35"/>
  <c r="FH305" i="19"/>
  <c r="FA41" i="35"/>
  <c r="FH37" i="35"/>
  <c r="FM273" i="19"/>
  <c r="A2" i="24"/>
  <c r="ED113" i="19"/>
  <c r="ED241" i="19"/>
  <c r="ED321" i="19"/>
  <c r="EN115" i="19"/>
  <c r="EN233" i="19"/>
  <c r="EN297" i="19"/>
  <c r="EX49" i="19"/>
  <c r="EX106" i="19"/>
  <c r="EX187" i="19"/>
  <c r="EX299" i="19"/>
  <c r="FH82" i="19"/>
  <c r="FH137" i="19"/>
  <c r="DY81" i="19"/>
  <c r="EI83" i="19"/>
  <c r="EI242" i="19"/>
  <c r="ES26" i="19"/>
  <c r="ES129" i="19"/>
  <c r="ES241" i="19"/>
  <c r="ES321" i="19"/>
  <c r="FC73" i="19"/>
  <c r="FC185" i="19"/>
  <c r="FC291" i="19"/>
  <c r="FM27" i="19"/>
  <c r="FM90" i="19"/>
  <c r="FM171" i="19"/>
  <c r="FM282" i="19"/>
  <c r="ED105" i="19"/>
  <c r="ED281" i="19"/>
  <c r="EN59" i="19"/>
  <c r="EN123" i="19"/>
  <c r="EN315" i="19"/>
  <c r="EX130" i="19"/>
  <c r="EX322" i="19"/>
  <c r="FH74" i="19"/>
  <c r="FH186" i="19"/>
  <c r="FH289" i="19"/>
  <c r="DY249" i="19"/>
  <c r="EI27" i="19"/>
  <c r="EI138" i="19"/>
  <c r="EI251" i="19"/>
  <c r="ES51" i="19"/>
  <c r="ES105" i="19"/>
  <c r="ES281" i="19"/>
  <c r="FC59" i="19"/>
  <c r="FC123" i="19"/>
  <c r="FC315" i="19"/>
  <c r="FM130" i="19"/>
  <c r="FM322" i="19"/>
  <c r="DT314" i="19"/>
  <c r="ED129" i="19"/>
  <c r="ED250" i="19"/>
  <c r="EN25" i="19"/>
  <c r="EN131" i="19"/>
  <c r="EN243" i="19"/>
  <c r="EN323" i="19"/>
  <c r="EX58" i="19"/>
  <c r="EX122" i="19"/>
  <c r="EX234" i="19"/>
  <c r="EX314" i="19"/>
  <c r="FH9" i="19"/>
  <c r="FH89" i="19"/>
  <c r="FH146" i="19"/>
  <c r="DY145" i="19"/>
  <c r="EI114" i="19"/>
  <c r="EI290" i="19"/>
  <c r="ES65" i="19"/>
  <c r="ES170" i="19"/>
  <c r="ES250" i="19"/>
  <c r="FC25" i="19"/>
  <c r="FC115" i="19"/>
  <c r="FC233" i="19"/>
  <c r="FC297" i="19"/>
  <c r="FM49" i="19"/>
  <c r="FM106" i="19"/>
  <c r="FM187" i="19"/>
  <c r="FM299" i="19"/>
  <c r="ED121" i="19"/>
  <c r="ED313" i="19"/>
  <c r="EN81" i="19"/>
  <c r="EN139" i="19"/>
  <c r="EX66" i="19"/>
  <c r="EX147" i="19"/>
  <c r="FH113" i="19"/>
  <c r="FH235" i="19"/>
  <c r="FH298" i="19"/>
  <c r="DY291" i="19"/>
  <c r="EI90" i="19"/>
  <c r="EI171" i="19"/>
  <c r="EI282" i="19"/>
  <c r="ES57" i="19"/>
  <c r="ES121" i="19"/>
  <c r="ES313" i="19"/>
  <c r="FC81" i="19"/>
  <c r="FC139" i="19"/>
  <c r="FM66" i="19"/>
  <c r="FM147" i="19"/>
  <c r="DT322" i="19"/>
  <c r="ED170" i="19"/>
  <c r="ED289" i="19"/>
  <c r="EN50" i="19"/>
  <c r="EN169" i="19"/>
  <c r="EN249" i="19"/>
  <c r="EX10" i="19"/>
  <c r="EX75" i="19"/>
  <c r="EX138" i="19"/>
  <c r="EX251" i="19"/>
  <c r="FH51" i="19"/>
  <c r="FH105" i="19"/>
  <c r="FH281" i="19"/>
  <c r="DY315" i="19"/>
  <c r="EI130" i="19"/>
  <c r="EI322" i="19"/>
  <c r="ES74" i="19"/>
  <c r="ES186" i="19"/>
  <c r="ES289" i="19"/>
  <c r="FC50" i="19"/>
  <c r="FC131" i="19"/>
  <c r="FC243" i="19"/>
  <c r="FC323" i="19"/>
  <c r="FM58" i="19"/>
  <c r="FM122" i="19"/>
  <c r="FM234" i="19"/>
  <c r="FM314" i="19"/>
  <c r="ED82" i="19"/>
  <c r="ED137" i="19"/>
  <c r="EN11" i="19"/>
  <c r="EN91" i="19"/>
  <c r="EN145" i="19"/>
  <c r="EX83" i="19"/>
  <c r="EX242" i="19"/>
  <c r="FH26" i="19"/>
  <c r="FH129" i="19"/>
  <c r="FH241" i="19"/>
  <c r="FH321" i="19"/>
  <c r="DY297" i="19"/>
  <c r="EI106" i="19"/>
  <c r="EI187" i="19"/>
  <c r="EI299" i="19"/>
  <c r="ES82" i="19"/>
  <c r="ES137" i="19"/>
  <c r="FC11" i="19"/>
  <c r="FC91" i="19"/>
  <c r="FC145" i="19"/>
  <c r="FM83" i="19"/>
  <c r="FM242" i="19"/>
  <c r="DT27" i="19"/>
  <c r="DT13" i="19"/>
  <c r="ED26" i="19"/>
  <c r="ED235" i="19"/>
  <c r="ED298" i="19"/>
  <c r="EN67" i="19"/>
  <c r="EN185" i="19"/>
  <c r="EN291" i="19"/>
  <c r="EX27" i="19"/>
  <c r="EX90" i="19"/>
  <c r="EX171" i="19"/>
  <c r="EX282" i="19"/>
  <c r="FH57" i="19"/>
  <c r="FH121" i="19"/>
  <c r="FH313" i="19"/>
  <c r="EI147" i="19"/>
  <c r="ES113" i="19"/>
  <c r="ES235" i="19"/>
  <c r="ES298" i="19"/>
  <c r="FC67" i="19"/>
  <c r="FC169" i="19"/>
  <c r="FC249" i="19"/>
  <c r="FM75" i="19"/>
  <c r="FM138" i="19"/>
  <c r="FM251" i="19"/>
  <c r="ED89" i="19"/>
  <c r="ED146" i="19"/>
  <c r="EN17" i="19"/>
  <c r="DY5" i="35"/>
  <c r="EN107" i="19"/>
  <c r="EN283" i="19"/>
  <c r="EX114" i="19"/>
  <c r="EX290" i="19"/>
  <c r="FH65" i="19"/>
  <c r="FH170" i="19"/>
  <c r="FH250" i="19"/>
  <c r="DY25" i="19"/>
  <c r="DY323" i="19"/>
  <c r="EI122" i="19"/>
  <c r="EI234" i="19"/>
  <c r="EI314" i="19"/>
  <c r="ES9" i="19"/>
  <c r="ES89" i="19"/>
  <c r="ES146" i="19"/>
  <c r="FC17" i="19"/>
  <c r="ET5" i="35"/>
  <c r="KM5" i="35" s="1"/>
  <c r="FC107" i="19"/>
  <c r="FC283" i="19"/>
  <c r="FM114" i="19"/>
  <c r="FM290" i="19"/>
  <c r="DT251" i="19"/>
  <c r="DT290" i="19"/>
  <c r="CW39" i="35"/>
  <c r="GS39" i="35" s="1"/>
  <c r="O11" i="30" a="1"/>
  <c r="O11" i="30" s="1"/>
  <c r="AC11" i="30" s="1"/>
  <c r="C5" i="35" s="1"/>
  <c r="O7" i="30" a="1"/>
  <c r="O7" i="30" s="1"/>
  <c r="AD7" i="30" s="1"/>
  <c r="D4" i="35" s="1"/>
  <c r="K10" i="3"/>
  <c r="AF13" i="3" s="1"/>
  <c r="J10" i="3"/>
  <c r="A27" i="3"/>
  <c r="A16" i="3"/>
  <c r="A6" i="3"/>
  <c r="A26" i="3"/>
  <c r="A15" i="3"/>
  <c r="A9" i="3"/>
  <c r="A22" i="3"/>
  <c r="A19" i="3"/>
  <c r="A7" i="3"/>
  <c r="GS41" i="35" l="1"/>
  <c r="HU8" i="35"/>
  <c r="II35" i="35"/>
  <c r="IW31" i="35"/>
  <c r="GS23" i="35"/>
  <c r="JK23" i="35"/>
  <c r="GS27" i="35"/>
  <c r="GS7" i="35"/>
  <c r="HU30" i="35"/>
  <c r="IW25" i="35"/>
  <c r="GS24" i="35"/>
  <c r="HU23" i="35"/>
  <c r="KM28" i="35"/>
  <c r="LO41" i="35"/>
  <c r="JY29" i="35"/>
  <c r="KM37" i="35"/>
  <c r="HU35" i="35"/>
  <c r="II25" i="35"/>
  <c r="GS29" i="35"/>
  <c r="LO28" i="35"/>
  <c r="LA35" i="35"/>
  <c r="KM7" i="35"/>
  <c r="HG36" i="35"/>
  <c r="JK30" i="35"/>
  <c r="GS25" i="35"/>
  <c r="LA8" i="35"/>
  <c r="JK37" i="35"/>
  <c r="LO7" i="35"/>
  <c r="IW5" i="35"/>
  <c r="HU22" i="35"/>
  <c r="KM27" i="35"/>
  <c r="KM29" i="35"/>
  <c r="JK41" i="35"/>
  <c r="LA7" i="35"/>
  <c r="HG18" i="35"/>
  <c r="LO29" i="35"/>
  <c r="HU37" i="35"/>
  <c r="JK8" i="35"/>
  <c r="JY35" i="35"/>
  <c r="GS30" i="35"/>
  <c r="HG20" i="35"/>
  <c r="JY7" i="35"/>
  <c r="HU7" i="35"/>
  <c r="JY28" i="35"/>
  <c r="HU28" i="35"/>
  <c r="IW15" i="35"/>
  <c r="IW27" i="35"/>
  <c r="JK36" i="35"/>
  <c r="HG7" i="35"/>
  <c r="JK28" i="35"/>
  <c r="LO22" i="35"/>
  <c r="JY27" i="35"/>
  <c r="GS37" i="35"/>
  <c r="JY41" i="35"/>
  <c r="IW22" i="35"/>
  <c r="KM8" i="35"/>
  <c r="II22" i="35"/>
  <c r="IW41" i="35"/>
  <c r="HU25" i="35"/>
  <c r="HG22" i="35"/>
  <c r="II30" i="35"/>
  <c r="HU41" i="35"/>
  <c r="HU29" i="35"/>
  <c r="II8" i="35"/>
  <c r="GS36" i="35"/>
  <c r="HG30" i="35"/>
  <c r="GS22" i="35"/>
  <c r="IW28" i="35"/>
  <c r="HG8" i="35"/>
  <c r="GS8" i="35"/>
  <c r="IW23" i="35"/>
  <c r="JY22" i="35"/>
  <c r="HG15" i="35"/>
  <c r="JY23" i="35"/>
  <c r="LO23" i="35"/>
  <c r="JY8" i="35"/>
  <c r="JY37" i="35"/>
  <c r="LO31" i="35"/>
  <c r="LO25" i="35"/>
  <c r="HG41" i="35"/>
  <c r="JK35" i="35"/>
  <c r="IW37" i="35"/>
  <c r="JY31" i="35"/>
  <c r="KM30" i="35"/>
  <c r="LA29" i="35"/>
  <c r="LO15" i="35"/>
  <c r="KM31" i="35"/>
  <c r="GS35" i="35"/>
  <c r="LA37" i="35"/>
  <c r="JK31" i="35"/>
  <c r="KM15" i="35"/>
  <c r="GS9" i="35"/>
  <c r="KM35" i="35"/>
  <c r="JK29" i="35"/>
  <c r="LA23" i="35"/>
  <c r="JK15" i="35"/>
  <c r="II15" i="35"/>
  <c r="LO30" i="35"/>
  <c r="LA5" i="35"/>
  <c r="JY36" i="35"/>
  <c r="LA30" i="35"/>
  <c r="HU36" i="35"/>
  <c r="JK25" i="35"/>
  <c r="GS18" i="35"/>
  <c r="HG25" i="35"/>
  <c r="GS20" i="35"/>
  <c r="HG35" i="35"/>
  <c r="II37" i="35"/>
  <c r="HU15" i="35"/>
  <c r="II29" i="35"/>
  <c r="LO36" i="35"/>
  <c r="II27" i="35"/>
  <c r="LA22" i="35"/>
  <c r="II31" i="35"/>
  <c r="HG37" i="35"/>
  <c r="GS31" i="35"/>
  <c r="HG23" i="35"/>
  <c r="II36" i="35"/>
  <c r="HG29" i="35"/>
  <c r="IW8" i="35"/>
  <c r="JY30" i="35"/>
  <c r="HG27" i="35"/>
  <c r="GS19" i="35"/>
  <c r="HG31" i="35"/>
  <c r="IW30" i="35"/>
  <c r="HU5" i="35"/>
  <c r="II7" i="35"/>
  <c r="IW29" i="35"/>
  <c r="II41" i="35"/>
  <c r="KM25" i="35"/>
  <c r="LO37" i="35"/>
  <c r="LA41" i="35"/>
  <c r="JK22" i="35"/>
  <c r="FC4" i="30"/>
  <c r="KM22" i="35"/>
  <c r="LA27" i="35"/>
  <c r="KM41" i="35"/>
  <c r="LA31" i="35"/>
  <c r="LA25" i="35"/>
  <c r="KM36" i="35"/>
  <c r="JK27" i="35"/>
  <c r="JK5" i="35"/>
  <c r="GS15" i="35"/>
  <c r="LA28" i="35"/>
  <c r="JY15" i="35"/>
  <c r="HG19" i="35"/>
  <c r="LA36" i="35"/>
  <c r="KM23" i="35"/>
  <c r="LO35" i="35"/>
  <c r="LA15" i="35"/>
  <c r="LO8" i="35"/>
  <c r="EX4" i="30"/>
  <c r="LO27" i="35"/>
  <c r="IW35" i="35"/>
  <c r="JY25" i="35"/>
  <c r="CN20" i="54"/>
  <c r="CN20" i="53"/>
  <c r="CN20" i="50"/>
  <c r="CN20" i="48"/>
  <c r="CN20" i="51"/>
  <c r="CN20" i="52"/>
  <c r="CN20" i="49"/>
  <c r="CN20" i="47"/>
  <c r="AC7" i="30"/>
  <c r="C4" i="35" s="1"/>
  <c r="AE7" i="30"/>
  <c r="E4" i="35" s="1"/>
  <c r="CN20" i="44"/>
  <c r="AE11" i="30"/>
  <c r="E5" i="35" s="1"/>
  <c r="AB11" i="30"/>
  <c r="B5" i="35" s="1"/>
  <c r="AF11" i="3"/>
  <c r="AC11" i="3"/>
  <c r="AD11" i="3"/>
  <c r="AE11" i="3"/>
  <c r="AB11" i="3"/>
  <c r="AH17" i="19"/>
  <c r="CN5" i="35" s="1"/>
  <c r="GA5" i="35" s="1"/>
  <c r="AH33" i="19"/>
  <c r="CN7" i="35" s="1"/>
  <c r="GA7" i="35" s="1"/>
  <c r="AF6" i="3"/>
  <c r="AF22" i="3"/>
  <c r="AF27" i="3"/>
  <c r="AF20" i="3"/>
  <c r="AF23" i="3"/>
  <c r="AF31" i="3"/>
  <c r="AF24" i="3"/>
  <c r="AF17" i="3"/>
  <c r="AF9" i="3"/>
  <c r="AF30" i="3"/>
  <c r="AF16" i="3"/>
  <c r="AF12" i="3"/>
  <c r="AF29" i="3"/>
  <c r="AF19" i="3"/>
  <c r="AF7" i="3"/>
  <c r="AF26" i="3"/>
  <c r="AF15" i="3"/>
  <c r="AF28" i="3"/>
  <c r="AD11" i="30"/>
  <c r="O17" i="19"/>
  <c r="AC17" i="19" s="1"/>
  <c r="O10" i="19"/>
  <c r="H4" i="35"/>
  <c r="GA4" i="35" s="1"/>
  <c r="AB7" i="30"/>
  <c r="L5" i="3"/>
  <c r="B10" i="3" s="1"/>
  <c r="L7" i="3"/>
  <c r="D10" i="3" s="1"/>
  <c r="L6" i="3"/>
  <c r="C10" i="3" s="1"/>
  <c r="D36" i="21"/>
  <c r="B227" i="5"/>
  <c r="B206" i="5"/>
  <c r="B185" i="5"/>
  <c r="B164" i="5"/>
  <c r="B143" i="5"/>
  <c r="B122" i="5"/>
  <c r="B101" i="5"/>
  <c r="B80" i="5"/>
  <c r="B59" i="5"/>
  <c r="B38" i="5"/>
  <c r="A2" i="21"/>
  <c r="CN18" i="52" l="1"/>
  <c r="CN18" i="53"/>
  <c r="CN18" i="50"/>
  <c r="CN18" i="54"/>
  <c r="CN18" i="47"/>
  <c r="CN18" i="48"/>
  <c r="CN18" i="51"/>
  <c r="CN18" i="49"/>
  <c r="CN22" i="48"/>
  <c r="CN22" i="47"/>
  <c r="CN22" i="51"/>
  <c r="CN22" i="52"/>
  <c r="CN22" i="53"/>
  <c r="CN22" i="50"/>
  <c r="CN22" i="54"/>
  <c r="CN22" i="49"/>
  <c r="CN35" i="54"/>
  <c r="CN35" i="53"/>
  <c r="CN35" i="50"/>
  <c r="CN35" i="47"/>
  <c r="CN35" i="48"/>
  <c r="CN35" i="51"/>
  <c r="CN35" i="52"/>
  <c r="CN35" i="49"/>
  <c r="CN33" i="48"/>
  <c r="CN33" i="51"/>
  <c r="CN33" i="52"/>
  <c r="CN33" i="53"/>
  <c r="CN33" i="49"/>
  <c r="CN33" i="50"/>
  <c r="CN33" i="47"/>
  <c r="CN33" i="54"/>
  <c r="CN32" i="47"/>
  <c r="CN32" i="49"/>
  <c r="CN32" i="50"/>
  <c r="CN32" i="48"/>
  <c r="CN32" i="51"/>
  <c r="CN32" i="52"/>
  <c r="CN32" i="54"/>
  <c r="CN32" i="53"/>
  <c r="CN24" i="53"/>
  <c r="CN24" i="50"/>
  <c r="CN24" i="49"/>
  <c r="CN24" i="54"/>
  <c r="CN24" i="47"/>
  <c r="CN24" i="48"/>
  <c r="CN24" i="51"/>
  <c r="CN24" i="52"/>
  <c r="CN27" i="48"/>
  <c r="CN27" i="51"/>
  <c r="CN27" i="52"/>
  <c r="CN27" i="49"/>
  <c r="CN27" i="53"/>
  <c r="CN27" i="47"/>
  <c r="CN27" i="54"/>
  <c r="CN27" i="50"/>
  <c r="CN34" i="49"/>
  <c r="CN34" i="52"/>
  <c r="CN34" i="54"/>
  <c r="CN34" i="53"/>
  <c r="CN34" i="50"/>
  <c r="CN34" i="51"/>
  <c r="CN34" i="47"/>
  <c r="CN34" i="48"/>
  <c r="CN26" i="47"/>
  <c r="CN26" i="48"/>
  <c r="CN26" i="51"/>
  <c r="CN26" i="52"/>
  <c r="CN26" i="49"/>
  <c r="CN26" i="50"/>
  <c r="CN26" i="54"/>
  <c r="CN26" i="53"/>
  <c r="CN37" i="48"/>
  <c r="CN37" i="51"/>
  <c r="CN37" i="52"/>
  <c r="CN37" i="50"/>
  <c r="CN37" i="49"/>
  <c r="CN37" i="47"/>
  <c r="CN37" i="54"/>
  <c r="CN37" i="53"/>
  <c r="CN38" i="49"/>
  <c r="CN38" i="51"/>
  <c r="CN38" i="54"/>
  <c r="CN38" i="53"/>
  <c r="CN38" i="50"/>
  <c r="CN38" i="52"/>
  <c r="CN38" i="47"/>
  <c r="CN38" i="48"/>
  <c r="CN29" i="49"/>
  <c r="CN29" i="54"/>
  <c r="CN29" i="53"/>
  <c r="CN29" i="50"/>
  <c r="CN29" i="51"/>
  <c r="CN29" i="47"/>
  <c r="CN29" i="48"/>
  <c r="CN29" i="52"/>
  <c r="CN19" i="47"/>
  <c r="CN19" i="53"/>
  <c r="CN19" i="50"/>
  <c r="CN19" i="54"/>
  <c r="CN19" i="49"/>
  <c r="CN19" i="48"/>
  <c r="CN19" i="51"/>
  <c r="CN19" i="52"/>
  <c r="CN15" i="54"/>
  <c r="CN15" i="48"/>
  <c r="CN15" i="51"/>
  <c r="CN15" i="52"/>
  <c r="CN15" i="49"/>
  <c r="CN15" i="53"/>
  <c r="CN15" i="50"/>
  <c r="CN15" i="47"/>
  <c r="CN23" i="51"/>
  <c r="CN23" i="47"/>
  <c r="CN23" i="53"/>
  <c r="CN23" i="50"/>
  <c r="CN23" i="49"/>
  <c r="CN23" i="48"/>
  <c r="CN23" i="52"/>
  <c r="CN23" i="54"/>
  <c r="CN36" i="47"/>
  <c r="CN36" i="53"/>
  <c r="CN36" i="48"/>
  <c r="CN36" i="51"/>
  <c r="CN36" i="52"/>
  <c r="CN36" i="54"/>
  <c r="CN36" i="49"/>
  <c r="CN36" i="50"/>
  <c r="CN17" i="48"/>
  <c r="CN17" i="51"/>
  <c r="CN17" i="52"/>
  <c r="CN17" i="49"/>
  <c r="CN17" i="54"/>
  <c r="CN17" i="47"/>
  <c r="CN17" i="53"/>
  <c r="CN17" i="50"/>
  <c r="CN30" i="54"/>
  <c r="CN30" i="53"/>
  <c r="CN30" i="50"/>
  <c r="CN30" i="47"/>
  <c r="CN30" i="49"/>
  <c r="CN30" i="48"/>
  <c r="CN30" i="51"/>
  <c r="CN30" i="52"/>
  <c r="CN14" i="49"/>
  <c r="CN14" i="53"/>
  <c r="CN14" i="50"/>
  <c r="CN14" i="54"/>
  <c r="CN14" i="47"/>
  <c r="CN14" i="48"/>
  <c r="CN14" i="51"/>
  <c r="CN14" i="52"/>
  <c r="D37" i="21"/>
  <c r="B4" i="3"/>
  <c r="CI4" i="45" s="1"/>
  <c r="A11" i="10"/>
  <c r="D4" i="3"/>
  <c r="C4" i="3"/>
  <c r="CN26" i="44"/>
  <c r="CN38" i="44"/>
  <c r="CN36" i="44"/>
  <c r="CN30" i="44"/>
  <c r="CN32" i="44"/>
  <c r="CN24" i="44"/>
  <c r="CN15" i="44"/>
  <c r="CN35" i="44"/>
  <c r="CN18" i="44"/>
  <c r="CN22" i="44"/>
  <c r="CN33" i="44"/>
  <c r="CN27" i="44"/>
  <c r="CN34" i="44"/>
  <c r="CN37" i="44"/>
  <c r="CN29" i="44"/>
  <c r="CN19" i="44"/>
  <c r="CN23" i="44"/>
  <c r="CN17" i="44"/>
  <c r="CN14" i="44"/>
  <c r="DJ17" i="19"/>
  <c r="A13" i="10"/>
  <c r="A12" i="10"/>
  <c r="AD17" i="19"/>
  <c r="DK17" i="19" s="1"/>
  <c r="AB17" i="19"/>
  <c r="DI17" i="19" s="1"/>
  <c r="AF10" i="19"/>
  <c r="DM10" i="19" s="1"/>
  <c r="AE10" i="19"/>
  <c r="DL10" i="19" s="1"/>
  <c r="AF33" i="3"/>
  <c r="AB10" i="19"/>
  <c r="DI10" i="19" s="1"/>
  <c r="GA2" i="35"/>
  <c r="AD10" i="19"/>
  <c r="DK10" i="19" s="1"/>
  <c r="AC10" i="19"/>
  <c r="DJ10" i="19" s="1"/>
  <c r="DI7" i="30"/>
  <c r="B4" i="35"/>
  <c r="D5" i="35"/>
  <c r="AE17" i="19"/>
  <c r="N7" i="3"/>
  <c r="M7" i="3"/>
  <c r="M6" i="3"/>
  <c r="N6" i="3"/>
  <c r="M5" i="3"/>
  <c r="N5" i="3"/>
  <c r="A162" i="30"/>
  <c r="A158" i="30"/>
  <c r="A154" i="30"/>
  <c r="A150" i="30"/>
  <c r="A146" i="30"/>
  <c r="A142" i="30"/>
  <c r="A138" i="30"/>
  <c r="A134" i="30"/>
  <c r="A130" i="30"/>
  <c r="A126" i="30"/>
  <c r="A122" i="30"/>
  <c r="A118" i="30"/>
  <c r="A114" i="30"/>
  <c r="A110" i="30"/>
  <c r="A106" i="30"/>
  <c r="A102" i="30"/>
  <c r="A98" i="30"/>
  <c r="A94" i="30"/>
  <c r="A90" i="30"/>
  <c r="A86" i="30"/>
  <c r="A82" i="30"/>
  <c r="A78" i="30"/>
  <c r="A74" i="30"/>
  <c r="A70" i="30"/>
  <c r="A66" i="30"/>
  <c r="A62" i="30"/>
  <c r="A58" i="30"/>
  <c r="A54" i="30"/>
  <c r="A50" i="30"/>
  <c r="A46" i="30"/>
  <c r="A42" i="30"/>
  <c r="A38" i="30"/>
  <c r="A34" i="30"/>
  <c r="A30" i="30"/>
  <c r="A26" i="30"/>
  <c r="A22" i="30"/>
  <c r="A18" i="30"/>
  <c r="A14" i="30"/>
  <c r="A10" i="30"/>
  <c r="A6" i="30"/>
  <c r="A318" i="19"/>
  <c r="A310" i="19"/>
  <c r="A302" i="19"/>
  <c r="A294" i="19"/>
  <c r="A286" i="19"/>
  <c r="A278" i="19"/>
  <c r="A270" i="19"/>
  <c r="A262" i="19"/>
  <c r="A254" i="19"/>
  <c r="A246" i="19"/>
  <c r="A238" i="19"/>
  <c r="A230" i="19"/>
  <c r="A222" i="19"/>
  <c r="A214" i="19"/>
  <c r="A206" i="19"/>
  <c r="A198" i="19"/>
  <c r="A190" i="19"/>
  <c r="A182" i="19"/>
  <c r="A174" i="19"/>
  <c r="A166" i="19"/>
  <c r="A158" i="19"/>
  <c r="A150" i="19"/>
  <c r="A142" i="19"/>
  <c r="A134" i="19"/>
  <c r="A126" i="19"/>
  <c r="A118" i="19"/>
  <c r="A110" i="19"/>
  <c r="A102" i="19"/>
  <c r="A94" i="19"/>
  <c r="A86" i="19"/>
  <c r="A78" i="19"/>
  <c r="A70" i="19"/>
  <c r="A62" i="19"/>
  <c r="A54" i="19"/>
  <c r="A46" i="19"/>
  <c r="A38" i="19"/>
  <c r="A30" i="19"/>
  <c r="A22" i="19"/>
  <c r="A14" i="19"/>
  <c r="A6" i="19"/>
  <c r="C16" i="10" l="1"/>
  <c r="K16" i="10"/>
  <c r="J16" i="10"/>
  <c r="G16" i="10"/>
  <c r="F16" i="10"/>
  <c r="M16" i="10"/>
  <c r="I16" i="10"/>
  <c r="L16" i="10"/>
  <c r="H16" i="10"/>
  <c r="CI4" i="54"/>
  <c r="CJ4" i="54"/>
  <c r="CJ4" i="45"/>
  <c r="CK4" i="54"/>
  <c r="CK4" i="45"/>
  <c r="D38" i="21"/>
  <c r="D17" i="10"/>
  <c r="CI4" i="52"/>
  <c r="CI4" i="53"/>
  <c r="CK4" i="52"/>
  <c r="CK4" i="53"/>
  <c r="CJ4" i="52"/>
  <c r="CJ4" i="53"/>
  <c r="CJ4" i="50"/>
  <c r="CJ4" i="51"/>
  <c r="CI4" i="50"/>
  <c r="CI4" i="51"/>
  <c r="CK4" i="50"/>
  <c r="CK4" i="51"/>
  <c r="CJ4" i="48"/>
  <c r="CJ4" i="49"/>
  <c r="CI4" i="48"/>
  <c r="CI4" i="49"/>
  <c r="CK4" i="48"/>
  <c r="CK4" i="49"/>
  <c r="CI4" i="46"/>
  <c r="CI4" i="47"/>
  <c r="CJ4" i="46"/>
  <c r="CJ4" i="47"/>
  <c r="CK4" i="46"/>
  <c r="CK4" i="47"/>
  <c r="CI4" i="44"/>
  <c r="CJ4" i="44"/>
  <c r="CK4" i="44"/>
  <c r="CJ4" i="33"/>
  <c r="CO47" i="33"/>
  <c r="CK4" i="33"/>
  <c r="CI4" i="33"/>
  <c r="DL17" i="19"/>
  <c r="EI10" i="19"/>
  <c r="DY17" i="19"/>
  <c r="DD5" i="35"/>
  <c r="HG5" i="35" s="1"/>
  <c r="D54" i="10"/>
  <c r="D55" i="10"/>
  <c r="F55" i="10" s="1"/>
  <c r="D56" i="10"/>
  <c r="F56" i="10" s="1"/>
  <c r="D57" i="10"/>
  <c r="F57" i="10" s="1"/>
  <c r="D58" i="10"/>
  <c r="F58" i="10" s="1"/>
  <c r="D59" i="10"/>
  <c r="F59" i="10" s="1"/>
  <c r="D60" i="10"/>
  <c r="F60" i="10" s="1"/>
  <c r="D61" i="10"/>
  <c r="F61" i="10" s="1"/>
  <c r="D62" i="10"/>
  <c r="F62" i="10" s="1"/>
  <c r="D63" i="10"/>
  <c r="F63" i="10" s="1"/>
  <c r="B23" i="10"/>
  <c r="B56" i="10" l="1"/>
  <c r="D39" i="21"/>
  <c r="A6" i="31"/>
  <c r="A7" i="31" s="1"/>
  <c r="A8" i="31" s="1"/>
  <c r="A9" i="31" s="1"/>
  <c r="A10" i="31" s="1"/>
  <c r="A11" i="31" s="1"/>
  <c r="A12" i="31" s="1"/>
  <c r="A13" i="31" s="1"/>
  <c r="A14" i="31" s="1"/>
  <c r="A15" i="31" s="1"/>
  <c r="A16" i="31" s="1"/>
  <c r="A17" i="31" s="1"/>
  <c r="A18" i="31" s="1"/>
  <c r="A19" i="31" s="1"/>
  <c r="A20" i="31" s="1"/>
  <c r="A21" i="31" s="1"/>
  <c r="A22" i="31" s="1"/>
  <c r="A23" i="31" s="1"/>
  <c r="A24" i="31" s="1"/>
  <c r="A25" i="31" s="1"/>
  <c r="A26" i="31" s="1"/>
  <c r="A27" i="31" s="1"/>
  <c r="A28" i="31" s="1"/>
  <c r="A29" i="31" s="1"/>
  <c r="A30" i="31" s="1"/>
  <c r="A31" i="31" s="1"/>
  <c r="A32" i="31" s="1"/>
  <c r="A33" i="31" s="1"/>
  <c r="A34" i="31" s="1"/>
  <c r="A35" i="31" s="1"/>
  <c r="A36" i="31" s="1"/>
  <c r="A37" i="31" s="1"/>
  <c r="A38" i="31" s="1"/>
  <c r="A39" i="31" s="1"/>
  <c r="A40" i="31" s="1"/>
  <c r="A41" i="31" s="1"/>
  <c r="A42" i="31" s="1"/>
  <c r="A43" i="31" s="1"/>
  <c r="A44" i="31" s="1"/>
  <c r="D40" i="21" l="1"/>
  <c r="F17" i="10"/>
  <c r="B248" i="5"/>
  <c r="T17" i="3"/>
  <c r="AB17" i="3" s="1"/>
  <c r="A325" i="19"/>
  <c r="A324" i="19"/>
  <c r="A323" i="19"/>
  <c r="A317" i="19"/>
  <c r="A316" i="19"/>
  <c r="A315" i="19"/>
  <c r="A309" i="19"/>
  <c r="A308" i="19"/>
  <c r="A307" i="19"/>
  <c r="A301" i="19"/>
  <c r="A300" i="19"/>
  <c r="A299" i="19"/>
  <c r="A293" i="19"/>
  <c r="A292" i="19"/>
  <c r="A291" i="19"/>
  <c r="A285" i="19"/>
  <c r="A284" i="19"/>
  <c r="A283" i="19"/>
  <c r="A277" i="19"/>
  <c r="A276" i="19"/>
  <c r="A275" i="19"/>
  <c r="A269" i="19"/>
  <c r="A268" i="19"/>
  <c r="A267" i="19"/>
  <c r="A261" i="19"/>
  <c r="A260" i="19"/>
  <c r="A259" i="19"/>
  <c r="A253" i="19"/>
  <c r="A252" i="19"/>
  <c r="A251" i="19"/>
  <c r="A245" i="19"/>
  <c r="A244" i="19"/>
  <c r="A243" i="19"/>
  <c r="A237" i="19"/>
  <c r="A236" i="19"/>
  <c r="A235" i="19"/>
  <c r="A229" i="19"/>
  <c r="A228" i="19"/>
  <c r="A227" i="19"/>
  <c r="A221" i="19"/>
  <c r="A220" i="19"/>
  <c r="A219" i="19"/>
  <c r="A213" i="19"/>
  <c r="A212" i="19"/>
  <c r="A211" i="19"/>
  <c r="A205" i="19"/>
  <c r="A204" i="19"/>
  <c r="A203" i="19"/>
  <c r="A197" i="19"/>
  <c r="A196" i="19"/>
  <c r="A195" i="19"/>
  <c r="A189" i="19"/>
  <c r="A188" i="19"/>
  <c r="A187" i="19"/>
  <c r="A181" i="19"/>
  <c r="A180" i="19"/>
  <c r="A179" i="19"/>
  <c r="A173" i="19"/>
  <c r="A172" i="19"/>
  <c r="A171" i="19"/>
  <c r="A165" i="19"/>
  <c r="A164" i="19"/>
  <c r="A163" i="19"/>
  <c r="A157" i="19"/>
  <c r="A156" i="19"/>
  <c r="A155" i="19"/>
  <c r="A149" i="19"/>
  <c r="A148" i="19"/>
  <c r="A147" i="19"/>
  <c r="A141" i="19"/>
  <c r="A140" i="19"/>
  <c r="A139" i="19"/>
  <c r="A133" i="19"/>
  <c r="A132" i="19"/>
  <c r="A131" i="19"/>
  <c r="A125" i="19"/>
  <c r="A124" i="19"/>
  <c r="A123" i="19"/>
  <c r="A117" i="19"/>
  <c r="A116" i="19"/>
  <c r="A115" i="19"/>
  <c r="A109" i="19"/>
  <c r="A108" i="19"/>
  <c r="A107" i="19"/>
  <c r="A101" i="19"/>
  <c r="A100" i="19"/>
  <c r="A99" i="19"/>
  <c r="A93" i="19"/>
  <c r="A92" i="19"/>
  <c r="A91" i="19"/>
  <c r="A85" i="19"/>
  <c r="A84" i="19"/>
  <c r="A83" i="19"/>
  <c r="A77" i="19"/>
  <c r="A76" i="19"/>
  <c r="A75" i="19"/>
  <c r="A69" i="19"/>
  <c r="A68" i="19"/>
  <c r="A67" i="19"/>
  <c r="A61" i="19"/>
  <c r="A60" i="19"/>
  <c r="A59" i="19"/>
  <c r="A53" i="19"/>
  <c r="A52" i="19"/>
  <c r="A51" i="19"/>
  <c r="A45" i="19"/>
  <c r="A44" i="19"/>
  <c r="A43" i="19"/>
  <c r="A37" i="19"/>
  <c r="A36" i="19"/>
  <c r="A35" i="19"/>
  <c r="A29" i="19"/>
  <c r="A28" i="19"/>
  <c r="A27" i="19"/>
  <c r="A21" i="19"/>
  <c r="A20" i="19"/>
  <c r="A19" i="19"/>
  <c r="A13" i="19"/>
  <c r="A12" i="19"/>
  <c r="A11" i="19"/>
  <c r="D41" i="21" l="1"/>
  <c r="O13" i="19"/>
  <c r="AB13" i="19" s="1"/>
  <c r="DI13" i="19" s="1"/>
  <c r="O11" i="19"/>
  <c r="AB11" i="19" s="1"/>
  <c r="DI11" i="19" s="1"/>
  <c r="O12" i="19"/>
  <c r="L8" i="3"/>
  <c r="G31" i="3"/>
  <c r="G30" i="3"/>
  <c r="G29" i="3"/>
  <c r="G24" i="3"/>
  <c r="G20" i="3"/>
  <c r="G23" i="3"/>
  <c r="G17" i="3"/>
  <c r="G13" i="3"/>
  <c r="G11" i="3"/>
  <c r="G28" i="3"/>
  <c r="G27" i="3"/>
  <c r="G26" i="3"/>
  <c r="G22" i="3"/>
  <c r="G19" i="3"/>
  <c r="G16" i="3"/>
  <c r="G15" i="3"/>
  <c r="G12" i="3"/>
  <c r="G9" i="3"/>
  <c r="G7" i="3"/>
  <c r="G6" i="3"/>
  <c r="O55" i="30"/>
  <c r="E4" i="3" l="1"/>
  <c r="CL4" i="45" s="1"/>
  <c r="E10" i="3"/>
  <c r="AC55" i="30"/>
  <c r="C16" i="35" s="1"/>
  <c r="AD55" i="30"/>
  <c r="D16" i="35" s="1"/>
  <c r="D42" i="21"/>
  <c r="H17" i="10"/>
  <c r="AF12" i="19"/>
  <c r="DM12" i="19" s="1"/>
  <c r="AC12" i="19"/>
  <c r="DJ12" i="19" s="1"/>
  <c r="A14" i="10"/>
  <c r="AE55" i="30"/>
  <c r="E16" i="35" s="1"/>
  <c r="AB55" i="30"/>
  <c r="B16" i="35" s="1"/>
  <c r="AF11" i="19"/>
  <c r="DM11" i="19" s="1"/>
  <c r="AE11" i="19"/>
  <c r="DL11" i="19" s="1"/>
  <c r="AD13" i="19"/>
  <c r="DK13" i="19" s="1"/>
  <c r="AF13" i="19"/>
  <c r="DM13" i="19" s="1"/>
  <c r="AB12" i="19"/>
  <c r="DI12" i="19" s="1"/>
  <c r="AE12" i="19"/>
  <c r="DL12" i="19" s="1"/>
  <c r="AC13" i="19"/>
  <c r="AD12" i="19"/>
  <c r="DK12" i="19" s="1"/>
  <c r="AD11" i="19"/>
  <c r="DK11" i="19" s="1"/>
  <c r="AE13" i="19"/>
  <c r="DL13" i="19" s="1"/>
  <c r="N8" i="3"/>
  <c r="M8" i="3"/>
  <c r="CL4" i="54" l="1"/>
  <c r="D43" i="21"/>
  <c r="I17" i="10"/>
  <c r="CL4" i="52"/>
  <c r="CL4" i="53"/>
  <c r="CL4" i="50"/>
  <c r="CL4" i="51"/>
  <c r="CL4" i="48"/>
  <c r="CL4" i="49"/>
  <c r="CL4" i="46"/>
  <c r="CL4" i="47"/>
  <c r="CL4" i="44"/>
  <c r="CL4" i="33"/>
  <c r="DJ13" i="19"/>
  <c r="DL55" i="30"/>
  <c r="DJ55" i="30"/>
  <c r="DJ11" i="30"/>
  <c r="DI11" i="30"/>
  <c r="B44" i="51" l="1"/>
  <c r="D44" i="51" s="1"/>
  <c r="J22" i="10"/>
  <c r="CN9" i="51"/>
  <c r="CN8" i="51"/>
  <c r="CN10" i="51"/>
  <c r="D44" i="21"/>
  <c r="J17" i="10"/>
  <c r="DJ7" i="30"/>
  <c r="CN11" i="51" l="1"/>
  <c r="B44" i="52"/>
  <c r="D44" i="52" s="1"/>
  <c r="K22" i="10"/>
  <c r="CN8" i="52"/>
  <c r="CN10" i="52"/>
  <c r="CN9" i="52"/>
  <c r="D45" i="21"/>
  <c r="K17" i="10"/>
  <c r="U24" i="3"/>
  <c r="AC24" i="3" s="1"/>
  <c r="A13" i="21"/>
  <c r="A12" i="21"/>
  <c r="A11" i="21"/>
  <c r="W31" i="3"/>
  <c r="AE31" i="3" s="1"/>
  <c r="V31" i="3"/>
  <c r="AD31" i="3" s="1"/>
  <c r="U31" i="3"/>
  <c r="AC31" i="3" s="1"/>
  <c r="T31" i="3"/>
  <c r="AB31" i="3" s="1"/>
  <c r="W30" i="3"/>
  <c r="AE30" i="3" s="1"/>
  <c r="V30" i="3"/>
  <c r="AD30" i="3" s="1"/>
  <c r="U30" i="3"/>
  <c r="AC30" i="3" s="1"/>
  <c r="T30" i="3"/>
  <c r="AB30" i="3" s="1"/>
  <c r="W29" i="3"/>
  <c r="AE29" i="3" s="1"/>
  <c r="V29" i="3"/>
  <c r="AD29" i="3" s="1"/>
  <c r="U29" i="3"/>
  <c r="AC29" i="3" s="1"/>
  <c r="T29" i="3"/>
  <c r="AB29" i="3" s="1"/>
  <c r="W24" i="3"/>
  <c r="AE24" i="3" s="1"/>
  <c r="V24" i="3"/>
  <c r="AD24" i="3" s="1"/>
  <c r="T24" i="3"/>
  <c r="AB24" i="3" s="1"/>
  <c r="CN11" i="52" l="1"/>
  <c r="B44" i="53"/>
  <c r="D44" i="53" s="1"/>
  <c r="L22" i="10"/>
  <c r="CN9" i="53"/>
  <c r="CN10" i="53"/>
  <c r="CN8" i="53"/>
  <c r="CN11" i="53" s="1"/>
  <c r="D46" i="21"/>
  <c r="L17" i="10"/>
  <c r="A36" i="44"/>
  <c r="A37" i="44"/>
  <c r="A38" i="44"/>
  <c r="A37" i="33"/>
  <c r="A36" i="33"/>
  <c r="A38" i="33"/>
  <c r="DK55" i="30"/>
  <c r="X51" i="30"/>
  <c r="CO51" i="30" s="1"/>
  <c r="R51" i="30"/>
  <c r="O51" i="30"/>
  <c r="Z67" i="30"/>
  <c r="DC67" i="30" s="1"/>
  <c r="P67" i="30"/>
  <c r="AK67" i="30" s="1"/>
  <c r="T67" i="30"/>
  <c r="Z115" i="30"/>
  <c r="DC115" i="30" s="1"/>
  <c r="P115" i="30"/>
  <c r="AK115" i="30" s="1"/>
  <c r="O115" i="30"/>
  <c r="Z147" i="30"/>
  <c r="DC147" i="30" s="1"/>
  <c r="T147" i="30"/>
  <c r="Q147" i="30"/>
  <c r="AR147" i="30" s="1"/>
  <c r="P19" i="30"/>
  <c r="AL19" i="30" s="1"/>
  <c r="U19" i="30"/>
  <c r="T35" i="30"/>
  <c r="Y35" i="30"/>
  <c r="CV35" i="30" s="1"/>
  <c r="S35" i="30"/>
  <c r="V83" i="30"/>
  <c r="CA83" i="30" s="1"/>
  <c r="T83" i="30"/>
  <c r="Y83" i="30"/>
  <c r="CV83" i="30" s="1"/>
  <c r="V99" i="30"/>
  <c r="CA99" i="30" s="1"/>
  <c r="W99" i="30"/>
  <c r="CH99" i="30" s="1"/>
  <c r="X99" i="30"/>
  <c r="CO99" i="30" s="1"/>
  <c r="V131" i="30"/>
  <c r="CA131" i="30" s="1"/>
  <c r="Y131" i="30"/>
  <c r="CV131" i="30" s="1"/>
  <c r="O131" i="30"/>
  <c r="V163" i="30"/>
  <c r="CA163" i="30" s="1"/>
  <c r="O163" i="30"/>
  <c r="W163" i="30"/>
  <c r="CH163" i="30" s="1"/>
  <c r="P7" i="30"/>
  <c r="AI7" i="30" s="1"/>
  <c r="T7" i="30"/>
  <c r="Y7" i="30"/>
  <c r="U7" i="30"/>
  <c r="BR7" i="30" s="1"/>
  <c r="P27" i="30"/>
  <c r="AK27" i="30" s="1"/>
  <c r="Z27" i="30"/>
  <c r="DC27" i="30" s="1"/>
  <c r="W27" i="30"/>
  <c r="CH27" i="30" s="1"/>
  <c r="Q27" i="30"/>
  <c r="Y27" i="30"/>
  <c r="CV27" i="30" s="1"/>
  <c r="V27" i="30"/>
  <c r="CA27" i="30" s="1"/>
  <c r="P43" i="30"/>
  <c r="AK43" i="30" s="1"/>
  <c r="Z43" i="30"/>
  <c r="V43" i="30"/>
  <c r="CA43" i="30" s="1"/>
  <c r="Y43" i="30"/>
  <c r="CV43" i="30" s="1"/>
  <c r="R43" i="30"/>
  <c r="W43" i="30"/>
  <c r="CH43" i="30" s="1"/>
  <c r="P59" i="30"/>
  <c r="AK59" i="30" s="1"/>
  <c r="Z59" i="30"/>
  <c r="DC59" i="30" s="1"/>
  <c r="W59" i="30"/>
  <c r="CH59" i="30" s="1"/>
  <c r="Q59" i="30"/>
  <c r="AR59" i="30" s="1"/>
  <c r="S59" i="30"/>
  <c r="V59" i="30"/>
  <c r="CA59" i="30" s="1"/>
  <c r="R75" i="30"/>
  <c r="X75" i="30"/>
  <c r="CO75" i="30" s="1"/>
  <c r="P75" i="30"/>
  <c r="AK75" i="30" s="1"/>
  <c r="Q75" i="30"/>
  <c r="AR75" i="30" s="1"/>
  <c r="T75" i="30"/>
  <c r="O75" i="30"/>
  <c r="R91" i="30"/>
  <c r="X91" i="30"/>
  <c r="CO91" i="30" s="1"/>
  <c r="Q91" i="30"/>
  <c r="AR91" i="30" s="1"/>
  <c r="P91" i="30"/>
  <c r="AK91" i="30" s="1"/>
  <c r="U91" i="30"/>
  <c r="T91" i="30"/>
  <c r="R107" i="30"/>
  <c r="X107" i="30"/>
  <c r="CO107" i="30" s="1"/>
  <c r="Y107" i="30"/>
  <c r="CV107" i="30" s="1"/>
  <c r="P107" i="30"/>
  <c r="AK107" i="30" s="1"/>
  <c r="U107" i="30"/>
  <c r="Z123" i="30"/>
  <c r="DC123" i="30" s="1"/>
  <c r="X123" i="30"/>
  <c r="CO123" i="30" s="1"/>
  <c r="S123" i="30"/>
  <c r="Y123" i="30"/>
  <c r="CV123" i="30" s="1"/>
  <c r="P123" i="30"/>
  <c r="AK123" i="30" s="1"/>
  <c r="W123" i="30"/>
  <c r="CH123" i="30" s="1"/>
  <c r="Z139" i="30"/>
  <c r="DC139" i="30" s="1"/>
  <c r="W139" i="30"/>
  <c r="CH139" i="30" s="1"/>
  <c r="Q139" i="30"/>
  <c r="AR139" i="30" s="1"/>
  <c r="U139" i="30"/>
  <c r="T139" i="30"/>
  <c r="Z155" i="30"/>
  <c r="DC155" i="30" s="1"/>
  <c r="V155" i="30"/>
  <c r="CA155" i="30" s="1"/>
  <c r="Q155" i="30"/>
  <c r="AR155" i="30" s="1"/>
  <c r="T155" i="30"/>
  <c r="O155" i="30"/>
  <c r="S155" i="30"/>
  <c r="Z7" i="30"/>
  <c r="Q7" i="30"/>
  <c r="AS7" i="30" s="1"/>
  <c r="T11" i="30"/>
  <c r="X11" i="30"/>
  <c r="CO11" i="30" s="1"/>
  <c r="X23" i="30"/>
  <c r="CO23" i="30" s="1"/>
  <c r="X39" i="30"/>
  <c r="CO39" i="30" s="1"/>
  <c r="V39" i="30"/>
  <c r="CA39" i="30" s="1"/>
  <c r="Q39" i="30"/>
  <c r="AR39" i="30" s="1"/>
  <c r="R39" i="30"/>
  <c r="Y39" i="30"/>
  <c r="CV39" i="30" s="1"/>
  <c r="T55" i="30"/>
  <c r="P55" i="30"/>
  <c r="AK55" i="30" s="1"/>
  <c r="U55" i="30"/>
  <c r="Z55" i="30"/>
  <c r="DC55" i="30" s="1"/>
  <c r="Y55" i="30"/>
  <c r="CV55" i="30" s="1"/>
  <c r="W55" i="30"/>
  <c r="CH55" i="30" s="1"/>
  <c r="R71" i="30"/>
  <c r="Y71" i="30"/>
  <c r="CV71" i="30" s="1"/>
  <c r="U71" i="30"/>
  <c r="S71" i="30"/>
  <c r="P71" i="30"/>
  <c r="AK71" i="30" s="1"/>
  <c r="Z87" i="30"/>
  <c r="DC87" i="30" s="1"/>
  <c r="Y87" i="30"/>
  <c r="CV87" i="30" s="1"/>
  <c r="T87" i="30"/>
  <c r="P87" i="30"/>
  <c r="AK87" i="30" s="1"/>
  <c r="S87" i="30"/>
  <c r="Z103" i="30"/>
  <c r="DC103" i="30" s="1"/>
  <c r="V103" i="30"/>
  <c r="CA103" i="30" s="1"/>
  <c r="T103" i="30"/>
  <c r="O103" i="30"/>
  <c r="S103" i="30"/>
  <c r="W103" i="30"/>
  <c r="CH103" i="30" s="1"/>
  <c r="V119" i="30"/>
  <c r="CA119" i="30" s="1"/>
  <c r="R119" i="30"/>
  <c r="O119" i="30"/>
  <c r="S119" i="30"/>
  <c r="X119" i="30"/>
  <c r="CO119" i="30" s="1"/>
  <c r="U119" i="30"/>
  <c r="R135" i="30"/>
  <c r="X135" i="30"/>
  <c r="CO135" i="30" s="1"/>
  <c r="P135" i="30"/>
  <c r="AK135" i="30" s="1"/>
  <c r="Y135" i="30"/>
  <c r="CV135" i="30" s="1"/>
  <c r="U135" i="30"/>
  <c r="Q135" i="30"/>
  <c r="AR135" i="30" s="1"/>
  <c r="R151" i="30"/>
  <c r="X151" i="30"/>
  <c r="CO151" i="30" s="1"/>
  <c r="Q151" i="30"/>
  <c r="AR151" i="30" s="1"/>
  <c r="W151" i="30"/>
  <c r="CH151" i="30" s="1"/>
  <c r="T151" i="30"/>
  <c r="P151" i="30"/>
  <c r="AK151" i="30" s="1"/>
  <c r="S23" i="30"/>
  <c r="W11" i="30"/>
  <c r="P103" i="30"/>
  <c r="AK103" i="30" s="1"/>
  <c r="R163" i="30"/>
  <c r="R159" i="30"/>
  <c r="R155" i="30"/>
  <c r="Z151" i="30"/>
  <c r="DC151" i="30" s="1"/>
  <c r="V147" i="30"/>
  <c r="CA147" i="30" s="1"/>
  <c r="R143" i="30"/>
  <c r="O139" i="30"/>
  <c r="Z135" i="30"/>
  <c r="DC135" i="30" s="1"/>
  <c r="R131" i="30"/>
  <c r="R127" i="30"/>
  <c r="V123" i="30"/>
  <c r="CA123" i="30" s="1"/>
  <c r="W119" i="30"/>
  <c r="CH119" i="30" s="1"/>
  <c r="V115" i="30"/>
  <c r="CA115" i="30" s="1"/>
  <c r="R111" i="30"/>
  <c r="Z107" i="30"/>
  <c r="DC107" i="30" s="1"/>
  <c r="R103" i="30"/>
  <c r="R99" i="30"/>
  <c r="R95" i="30"/>
  <c r="Z91" i="30"/>
  <c r="DC91" i="30" s="1"/>
  <c r="U87" i="30"/>
  <c r="R83" i="30"/>
  <c r="R79" i="30"/>
  <c r="Z75" i="30"/>
  <c r="DC75" i="30" s="1"/>
  <c r="Z71" i="30"/>
  <c r="DC71" i="30" s="1"/>
  <c r="V67" i="30"/>
  <c r="CA67" i="30" s="1"/>
  <c r="P63" i="30"/>
  <c r="AK63" i="30" s="1"/>
  <c r="X59" i="30"/>
  <c r="CO59" i="30" s="1"/>
  <c r="S55" i="30"/>
  <c r="T51" i="30"/>
  <c r="P47" i="30"/>
  <c r="AK47" i="30" s="1"/>
  <c r="X43" i="30"/>
  <c r="CO43" i="30" s="1"/>
  <c r="P35" i="30"/>
  <c r="AK35" i="30" s="1"/>
  <c r="P31" i="30"/>
  <c r="AK31" i="30" s="1"/>
  <c r="X27" i="30"/>
  <c r="CO27" i="30" s="1"/>
  <c r="X19" i="30"/>
  <c r="CO19" i="30" s="1"/>
  <c r="X15" i="30"/>
  <c r="P11" i="30"/>
  <c r="M17" i="10" l="1"/>
  <c r="B44" i="54"/>
  <c r="D44" i="54" s="1"/>
  <c r="M22" i="10"/>
  <c r="CN8" i="54"/>
  <c r="CN10" i="54"/>
  <c r="CN9" i="54"/>
  <c r="BO13" i="35"/>
  <c r="FD43" i="30"/>
  <c r="CC21" i="35"/>
  <c r="FN75" i="30"/>
  <c r="BO9" i="35"/>
  <c r="FD27" i="30"/>
  <c r="AZ79" i="30"/>
  <c r="Z22" i="35" s="1"/>
  <c r="AY79" i="30"/>
  <c r="AZ95" i="30"/>
  <c r="AY95" i="30"/>
  <c r="AZ111" i="30"/>
  <c r="AY111" i="30"/>
  <c r="AZ127" i="30"/>
  <c r="Z34" i="35" s="1"/>
  <c r="AY127" i="30"/>
  <c r="AZ143" i="30"/>
  <c r="EA143" i="30" s="1"/>
  <c r="AY143" i="30"/>
  <c r="AZ159" i="30"/>
  <c r="AY159" i="30"/>
  <c r="BG23" i="30"/>
  <c r="BF23" i="30"/>
  <c r="DU151" i="30"/>
  <c r="R40" i="35"/>
  <c r="BU135" i="30"/>
  <c r="EP135" i="30" s="1"/>
  <c r="BT135" i="30"/>
  <c r="AZ135" i="30"/>
  <c r="AY135" i="30"/>
  <c r="AC119" i="30"/>
  <c r="C32" i="35" s="1"/>
  <c r="AD119" i="30"/>
  <c r="D32" i="35" s="1"/>
  <c r="BG103" i="30"/>
  <c r="EF103" i="30" s="1"/>
  <c r="BF103" i="30"/>
  <c r="FN103" i="30"/>
  <c r="CC28" i="35"/>
  <c r="BV24" i="35"/>
  <c r="FI87" i="30"/>
  <c r="BU71" i="30"/>
  <c r="BT71" i="30"/>
  <c r="FI55" i="30"/>
  <c r="BV16" i="35"/>
  <c r="BN55" i="30"/>
  <c r="AN16" i="35" s="1"/>
  <c r="BM55" i="30"/>
  <c r="BA12" i="35"/>
  <c r="ET39" i="30"/>
  <c r="AC155" i="30"/>
  <c r="C41" i="35" s="1"/>
  <c r="AD155" i="30"/>
  <c r="CC41" i="35"/>
  <c r="FN155" i="30"/>
  <c r="EY139" i="30"/>
  <c r="BH37" i="35"/>
  <c r="FI123" i="30"/>
  <c r="BV33" i="35"/>
  <c r="BU107" i="30"/>
  <c r="BT107" i="30"/>
  <c r="AZ107" i="30"/>
  <c r="Z29" i="35" s="1"/>
  <c r="AY107" i="30"/>
  <c r="R25" i="35"/>
  <c r="DU91" i="30"/>
  <c r="BN75" i="30"/>
  <c r="BM75" i="30"/>
  <c r="AZ75" i="30"/>
  <c r="AY75" i="30"/>
  <c r="EY59" i="30"/>
  <c r="BH17" i="35"/>
  <c r="AZ43" i="30"/>
  <c r="EA43" i="30" s="1"/>
  <c r="AY43" i="30"/>
  <c r="EY27" i="30"/>
  <c r="BH9" i="35"/>
  <c r="AC163" i="30"/>
  <c r="DJ163" i="30" s="1"/>
  <c r="AD163" i="30"/>
  <c r="D43" i="35" s="1"/>
  <c r="ET131" i="30"/>
  <c r="BA35" i="35"/>
  <c r="BV23" i="35"/>
  <c r="FI83" i="30"/>
  <c r="BV11" i="35"/>
  <c r="FI35" i="30"/>
  <c r="R39" i="35"/>
  <c r="DU147" i="30"/>
  <c r="FN67" i="30"/>
  <c r="CC19" i="35"/>
  <c r="BN51" i="30"/>
  <c r="EK51" i="30" s="1"/>
  <c r="BM51" i="30"/>
  <c r="ET67" i="30"/>
  <c r="BA19" i="35"/>
  <c r="AZ83" i="30"/>
  <c r="AY83" i="30"/>
  <c r="AZ99" i="30"/>
  <c r="EA99" i="30" s="1"/>
  <c r="AY99" i="30"/>
  <c r="ET115" i="30"/>
  <c r="BA31" i="35"/>
  <c r="AZ131" i="30"/>
  <c r="AY131" i="30"/>
  <c r="ET147" i="30"/>
  <c r="BA39" i="35"/>
  <c r="AZ163" i="30"/>
  <c r="EA163" i="30" s="1"/>
  <c r="AY163" i="30"/>
  <c r="BO40" i="35"/>
  <c r="FD151" i="30"/>
  <c r="BV36" i="35"/>
  <c r="FI135" i="30"/>
  <c r="BU119" i="30"/>
  <c r="EP119" i="30" s="1"/>
  <c r="BT119" i="30"/>
  <c r="AZ119" i="30"/>
  <c r="EA119" i="30" s="1"/>
  <c r="AY119" i="30"/>
  <c r="AC103" i="30"/>
  <c r="C28" i="35" s="1"/>
  <c r="AD103" i="30"/>
  <c r="BG87" i="30"/>
  <c r="BF87" i="30"/>
  <c r="CC24" i="35"/>
  <c r="FN87" i="30"/>
  <c r="BV20" i="35"/>
  <c r="FI71" i="30"/>
  <c r="CC16" i="35"/>
  <c r="FN55" i="30"/>
  <c r="BV12" i="35"/>
  <c r="FI39" i="30"/>
  <c r="BO12" i="35"/>
  <c r="FD39" i="30"/>
  <c r="BN155" i="30"/>
  <c r="EK155" i="30" s="1"/>
  <c r="BM155" i="30"/>
  <c r="BN139" i="30"/>
  <c r="EK139" i="30" s="1"/>
  <c r="BM139" i="30"/>
  <c r="CC37" i="35"/>
  <c r="FN139" i="30"/>
  <c r="BG123" i="30"/>
  <c r="BF123" i="30"/>
  <c r="BN91" i="30"/>
  <c r="EK91" i="30" s="1"/>
  <c r="BM91" i="30"/>
  <c r="BO25" i="35"/>
  <c r="FD91" i="30"/>
  <c r="DU75" i="30"/>
  <c r="R21" i="35"/>
  <c r="BA17" i="35"/>
  <c r="ET59" i="30"/>
  <c r="CC17" i="35"/>
  <c r="FN59" i="30"/>
  <c r="FI43" i="30"/>
  <c r="BV13" i="35"/>
  <c r="BA9" i="35"/>
  <c r="ET27" i="30"/>
  <c r="CC9" i="35"/>
  <c r="FN27" i="30"/>
  <c r="BA43" i="35"/>
  <c r="ET163" i="30"/>
  <c r="FD99" i="30"/>
  <c r="BO27" i="35"/>
  <c r="BN83" i="30"/>
  <c r="BM83" i="30"/>
  <c r="BN35" i="30"/>
  <c r="BM35" i="30"/>
  <c r="BN147" i="30"/>
  <c r="AN39" i="35" s="1"/>
  <c r="BM147" i="30"/>
  <c r="FN115" i="30"/>
  <c r="CC31" i="35"/>
  <c r="AC51" i="30"/>
  <c r="C15" i="35" s="1"/>
  <c r="AD51" i="30"/>
  <c r="AJ11" i="30"/>
  <c r="J5" i="35" s="1"/>
  <c r="AK11" i="30"/>
  <c r="BG55" i="30"/>
  <c r="AG16" i="35" s="1"/>
  <c r="BF55" i="30"/>
  <c r="FN71" i="30"/>
  <c r="CC20" i="35"/>
  <c r="BU87" i="30"/>
  <c r="BT87" i="30"/>
  <c r="AZ103" i="30"/>
  <c r="AY103" i="30"/>
  <c r="EY119" i="30"/>
  <c r="BH32" i="35"/>
  <c r="CC36" i="35"/>
  <c r="FN135" i="30"/>
  <c r="CC40" i="35"/>
  <c r="FN151" i="30"/>
  <c r="BN151" i="30"/>
  <c r="BM151" i="30"/>
  <c r="AZ151" i="30"/>
  <c r="EA151" i="30" s="1"/>
  <c r="AY151" i="30"/>
  <c r="BO32" i="35"/>
  <c r="FD119" i="30"/>
  <c r="BA32" i="35"/>
  <c r="ET119" i="30"/>
  <c r="BN103" i="30"/>
  <c r="BM103" i="30"/>
  <c r="AZ71" i="30"/>
  <c r="Z20" i="35" s="1"/>
  <c r="AY71" i="30"/>
  <c r="BU55" i="30"/>
  <c r="EP55" i="30" s="1"/>
  <c r="BT55" i="30"/>
  <c r="AZ39" i="30"/>
  <c r="AY39" i="30"/>
  <c r="BO8" i="35"/>
  <c r="FD23" i="30"/>
  <c r="DU155" i="30"/>
  <c r="R41" i="35"/>
  <c r="BU139" i="30"/>
  <c r="BT139" i="30"/>
  <c r="EY123" i="30"/>
  <c r="BH33" i="35"/>
  <c r="BO33" i="35"/>
  <c r="FD123" i="30"/>
  <c r="FI107" i="30"/>
  <c r="BV29" i="35"/>
  <c r="BU91" i="30"/>
  <c r="EP91" i="30" s="1"/>
  <c r="BT91" i="30"/>
  <c r="AZ91" i="30"/>
  <c r="AY91" i="30"/>
  <c r="BG59" i="30"/>
  <c r="BF59" i="30"/>
  <c r="BA13" i="35"/>
  <c r="ET43" i="30"/>
  <c r="FI27" i="30"/>
  <c r="BV9" i="35"/>
  <c r="AC131" i="30"/>
  <c r="C35" i="35" s="1"/>
  <c r="AD131" i="30"/>
  <c r="D35" i="35" s="1"/>
  <c r="BH27" i="35"/>
  <c r="EY99" i="30"/>
  <c r="ET83" i="30"/>
  <c r="BA23" i="35"/>
  <c r="FN147" i="30"/>
  <c r="CC39" i="35"/>
  <c r="BN67" i="30"/>
  <c r="BM67" i="30"/>
  <c r="AZ51" i="30"/>
  <c r="AY51" i="30"/>
  <c r="FD19" i="30"/>
  <c r="BO7" i="35"/>
  <c r="BO17" i="35"/>
  <c r="FD59" i="30"/>
  <c r="CC25" i="35"/>
  <c r="FN91" i="30"/>
  <c r="CC29" i="35"/>
  <c r="FN107" i="30"/>
  <c r="BA33" i="35"/>
  <c r="ET123" i="30"/>
  <c r="AC139" i="30"/>
  <c r="C37" i="35" s="1"/>
  <c r="AD139" i="30"/>
  <c r="D37" i="35" s="1"/>
  <c r="AZ155" i="30"/>
  <c r="AY155" i="30"/>
  <c r="BH40" i="35"/>
  <c r="EY151" i="30"/>
  <c r="DU135" i="30"/>
  <c r="R36" i="35"/>
  <c r="BO36" i="35"/>
  <c r="FD135" i="30"/>
  <c r="BG119" i="30"/>
  <c r="BF119" i="30"/>
  <c r="BH28" i="35"/>
  <c r="EY103" i="30"/>
  <c r="BA28" i="35"/>
  <c r="ET103" i="30"/>
  <c r="BN87" i="30"/>
  <c r="EK87" i="30" s="1"/>
  <c r="BM87" i="30"/>
  <c r="BG71" i="30"/>
  <c r="BF71" i="30"/>
  <c r="BH16" i="35"/>
  <c r="EY55" i="30"/>
  <c r="DU39" i="30"/>
  <c r="R12" i="35"/>
  <c r="BO5" i="35"/>
  <c r="FD11" i="30"/>
  <c r="BG155" i="30"/>
  <c r="BF155" i="30"/>
  <c r="BA41" i="35"/>
  <c r="ET155" i="30"/>
  <c r="R37" i="35"/>
  <c r="DU139" i="30"/>
  <c r="CC33" i="35"/>
  <c r="FN123" i="30"/>
  <c r="BO29" i="35"/>
  <c r="FD107" i="30"/>
  <c r="AC75" i="30"/>
  <c r="DJ75" i="30" s="1"/>
  <c r="AD75" i="30"/>
  <c r="D21" i="35" s="1"/>
  <c r="BO21" i="35"/>
  <c r="FD75" i="30"/>
  <c r="DU59" i="30"/>
  <c r="R17" i="35"/>
  <c r="EY43" i="30"/>
  <c r="BH13" i="35"/>
  <c r="DD43" i="30"/>
  <c r="CD13" i="35" s="1"/>
  <c r="DC43" i="30"/>
  <c r="AS27" i="30"/>
  <c r="DV27" i="30" s="1"/>
  <c r="AR27" i="30"/>
  <c r="BH43" i="35"/>
  <c r="EY163" i="30"/>
  <c r="BV35" i="35"/>
  <c r="FI131" i="30"/>
  <c r="ET99" i="30"/>
  <c r="BA27" i="35"/>
  <c r="BG35" i="30"/>
  <c r="AG11" i="35" s="1"/>
  <c r="BF35" i="30"/>
  <c r="AC115" i="30"/>
  <c r="C31" i="35" s="1"/>
  <c r="AD115" i="30"/>
  <c r="D31" i="35" s="1"/>
  <c r="FD51" i="30"/>
  <c r="BO15" i="35"/>
  <c r="CO15" i="30"/>
  <c r="BO6" i="35" s="1"/>
  <c r="CM15" i="30"/>
  <c r="BM11" i="30"/>
  <c r="AM5" i="35" s="1"/>
  <c r="BK11" i="30"/>
  <c r="CH11" i="30"/>
  <c r="BH5" i="35" s="1"/>
  <c r="CF11" i="30"/>
  <c r="BN7" i="30"/>
  <c r="AN4" i="35" s="1"/>
  <c r="BK7" i="30"/>
  <c r="DD7" i="30"/>
  <c r="CD4" i="35" s="1"/>
  <c r="DA7" i="30"/>
  <c r="EM7" i="30"/>
  <c r="AR4" i="35"/>
  <c r="DN7" i="30"/>
  <c r="I4" i="35"/>
  <c r="DV7" i="30"/>
  <c r="S4" i="35"/>
  <c r="CW7" i="30"/>
  <c r="BW4" i="35" s="1"/>
  <c r="CU7" i="30"/>
  <c r="AT75" i="30"/>
  <c r="T21" i="35" s="1"/>
  <c r="GY21" i="35" s="1"/>
  <c r="AS75" i="30"/>
  <c r="AT155" i="30"/>
  <c r="AS155" i="30"/>
  <c r="BU19" i="30"/>
  <c r="EP19" i="30" s="1"/>
  <c r="BT19" i="30"/>
  <c r="AT39" i="30"/>
  <c r="T12" i="35" s="1"/>
  <c r="GY12" i="35" s="1"/>
  <c r="AS39" i="30"/>
  <c r="AT139" i="30"/>
  <c r="DW139" i="30" s="1"/>
  <c r="AS139" i="30"/>
  <c r="AT59" i="30"/>
  <c r="T17" i="35" s="1"/>
  <c r="GY17" i="35" s="1"/>
  <c r="AS59" i="30"/>
  <c r="AT151" i="30"/>
  <c r="T40" i="35" s="1"/>
  <c r="GY40" i="35" s="1"/>
  <c r="AS151" i="30"/>
  <c r="AT91" i="30"/>
  <c r="T25" i="35" s="1"/>
  <c r="GY25" i="35" s="1"/>
  <c r="AS91" i="30"/>
  <c r="AT147" i="30"/>
  <c r="DW147" i="30" s="1"/>
  <c r="AS147" i="30"/>
  <c r="AT135" i="30"/>
  <c r="T36" i="35" s="1"/>
  <c r="GY36" i="35" s="1"/>
  <c r="AS135" i="30"/>
  <c r="AQ7" i="30"/>
  <c r="Q4" i="35" s="1"/>
  <c r="AR7" i="30"/>
  <c r="AJ7" i="30"/>
  <c r="J4" i="35" s="1"/>
  <c r="AO9" i="19"/>
  <c r="CU4" i="35" s="1"/>
  <c r="AU7" i="30"/>
  <c r="U4" i="35" s="1"/>
  <c r="AU9" i="19"/>
  <c r="DA4" i="35" s="1"/>
  <c r="DP135" i="30"/>
  <c r="K36" i="35"/>
  <c r="DP87" i="30"/>
  <c r="K24" i="35"/>
  <c r="DP71" i="30"/>
  <c r="K20" i="35"/>
  <c r="DJ155" i="30"/>
  <c r="K13" i="35"/>
  <c r="DP43" i="30"/>
  <c r="DP67" i="30"/>
  <c r="K19" i="35"/>
  <c r="DP55" i="30"/>
  <c r="K16" i="35"/>
  <c r="K29" i="35"/>
  <c r="DP107" i="30"/>
  <c r="C43" i="35"/>
  <c r="DP115" i="30"/>
  <c r="K31" i="35"/>
  <c r="DP47" i="30"/>
  <c r="K14" i="35"/>
  <c r="DP31" i="30"/>
  <c r="K10" i="35"/>
  <c r="K28" i="35"/>
  <c r="DP103" i="30"/>
  <c r="DJ119" i="30"/>
  <c r="DP75" i="30"/>
  <c r="K21" i="35"/>
  <c r="DP59" i="30"/>
  <c r="K17" i="35"/>
  <c r="K9" i="35"/>
  <c r="DP27" i="30"/>
  <c r="K18" i="35"/>
  <c r="DP63" i="30"/>
  <c r="K11" i="35"/>
  <c r="DP35" i="30"/>
  <c r="DP151" i="30"/>
  <c r="K40" i="35"/>
  <c r="DP123" i="30"/>
  <c r="K33" i="35"/>
  <c r="DP91" i="30"/>
  <c r="K25" i="35"/>
  <c r="C21" i="35"/>
  <c r="AL31" i="30"/>
  <c r="DQ31" i="30" s="1"/>
  <c r="AJ31" i="30"/>
  <c r="AE139" i="30"/>
  <c r="E37" i="35" s="1"/>
  <c r="AB139" i="30"/>
  <c r="AL135" i="30"/>
  <c r="DQ135" i="30" s="1"/>
  <c r="AJ135" i="30"/>
  <c r="AL87" i="30"/>
  <c r="DQ87" i="30" s="1"/>
  <c r="AJ87" i="30"/>
  <c r="AL71" i="30"/>
  <c r="DQ71" i="30" s="1"/>
  <c r="AJ71" i="30"/>
  <c r="AE155" i="30"/>
  <c r="E41" i="35" s="1"/>
  <c r="AB155" i="30"/>
  <c r="AL43" i="30"/>
  <c r="L13" i="35" s="1"/>
  <c r="AJ43" i="30"/>
  <c r="AE115" i="30"/>
  <c r="E31" i="35" s="1"/>
  <c r="AB115" i="30"/>
  <c r="AL67" i="30"/>
  <c r="L19" i="35" s="1"/>
  <c r="AJ67" i="30"/>
  <c r="AL47" i="30"/>
  <c r="L14" i="35" s="1"/>
  <c r="AJ47" i="30"/>
  <c r="AL63" i="30"/>
  <c r="DQ63" i="30" s="1"/>
  <c r="AJ63" i="30"/>
  <c r="AL55" i="30"/>
  <c r="L16" i="35" s="1"/>
  <c r="AJ55" i="30"/>
  <c r="AL107" i="30"/>
  <c r="L29" i="35" s="1"/>
  <c r="AJ107" i="30"/>
  <c r="AE163" i="30"/>
  <c r="E43" i="35" s="1"/>
  <c r="AB163" i="30"/>
  <c r="AL115" i="30"/>
  <c r="DQ115" i="30" s="1"/>
  <c r="AJ115" i="30"/>
  <c r="AL103" i="30"/>
  <c r="DQ103" i="30" s="1"/>
  <c r="AJ103" i="30"/>
  <c r="AE119" i="30"/>
  <c r="E32" i="35" s="1"/>
  <c r="AB119" i="30"/>
  <c r="AL75" i="30"/>
  <c r="DQ75" i="30" s="1"/>
  <c r="AJ75" i="30"/>
  <c r="AL59" i="30"/>
  <c r="DQ59" i="30" s="1"/>
  <c r="AJ59" i="30"/>
  <c r="AL27" i="30"/>
  <c r="L9" i="35" s="1"/>
  <c r="AJ27" i="30"/>
  <c r="AE51" i="30"/>
  <c r="E15" i="35" s="1"/>
  <c r="AB51" i="30"/>
  <c r="AL35" i="30"/>
  <c r="L11" i="35" s="1"/>
  <c r="AJ35" i="30"/>
  <c r="AL151" i="30"/>
  <c r="DQ151" i="30" s="1"/>
  <c r="AJ151" i="30"/>
  <c r="AE103" i="30"/>
  <c r="E28" i="35" s="1"/>
  <c r="AB103" i="30"/>
  <c r="AL123" i="30"/>
  <c r="L33" i="35" s="1"/>
  <c r="AJ123" i="30"/>
  <c r="AL91" i="30"/>
  <c r="DQ91" i="30" s="1"/>
  <c r="AJ91" i="30"/>
  <c r="AE75" i="30"/>
  <c r="E21" i="35" s="1"/>
  <c r="AB75" i="30"/>
  <c r="AE131" i="30"/>
  <c r="E35" i="35" s="1"/>
  <c r="AB131" i="30"/>
  <c r="Q51" i="19"/>
  <c r="AT27" i="30"/>
  <c r="DW135" i="30"/>
  <c r="DW151" i="30"/>
  <c r="T41" i="35"/>
  <c r="GY41" i="35" s="1"/>
  <c r="DW155" i="30"/>
  <c r="DQ19" i="30"/>
  <c r="L7" i="35"/>
  <c r="AN11" i="30"/>
  <c r="N5" i="35" s="1"/>
  <c r="GM5" i="35" s="1"/>
  <c r="AO17" i="19"/>
  <c r="CU5" i="35" s="1"/>
  <c r="GO5" i="35" s="1"/>
  <c r="AL7" i="30"/>
  <c r="AK19" i="30"/>
  <c r="K7" i="35" s="1"/>
  <c r="AJ19" i="30"/>
  <c r="EA155" i="30"/>
  <c r="Z41" i="35"/>
  <c r="EK151" i="30"/>
  <c r="AN40" i="35"/>
  <c r="EK103" i="30"/>
  <c r="AN28" i="35"/>
  <c r="EA71" i="30"/>
  <c r="AU16" i="35"/>
  <c r="EA39" i="30"/>
  <c r="Z12" i="35"/>
  <c r="EP107" i="30"/>
  <c r="AU29" i="35"/>
  <c r="EK75" i="30"/>
  <c r="AN21" i="35"/>
  <c r="EA75" i="30"/>
  <c r="Z21" i="35"/>
  <c r="EA95" i="30"/>
  <c r="Z26" i="35"/>
  <c r="EA111" i="30"/>
  <c r="Z30" i="35"/>
  <c r="EA159" i="30"/>
  <c r="Z42" i="35"/>
  <c r="EF119" i="30"/>
  <c r="AG32" i="35"/>
  <c r="EF71" i="30"/>
  <c r="AG20" i="35"/>
  <c r="AN41" i="35"/>
  <c r="AN37" i="35"/>
  <c r="EF123" i="30"/>
  <c r="AG33" i="35"/>
  <c r="EA83" i="30"/>
  <c r="Z23" i="35"/>
  <c r="EA131" i="30"/>
  <c r="Z35" i="35"/>
  <c r="AU36" i="35"/>
  <c r="EA135" i="30"/>
  <c r="Z36" i="35"/>
  <c r="EP71" i="30"/>
  <c r="AU20" i="35"/>
  <c r="EP139" i="30"/>
  <c r="AU37" i="35"/>
  <c r="EA91" i="30"/>
  <c r="Z25" i="35"/>
  <c r="EF59" i="30"/>
  <c r="AG17" i="35"/>
  <c r="EK83" i="30"/>
  <c r="AN23" i="35"/>
  <c r="EK35" i="30"/>
  <c r="AN11" i="35"/>
  <c r="EF23" i="30"/>
  <c r="AG8" i="35"/>
  <c r="AN15" i="35"/>
  <c r="Z27" i="35"/>
  <c r="EP87" i="30"/>
  <c r="AU24" i="35"/>
  <c r="EA103" i="30"/>
  <c r="Z28" i="35"/>
  <c r="AU32" i="35"/>
  <c r="Z32" i="35"/>
  <c r="EF87" i="30"/>
  <c r="AG24" i="35"/>
  <c r="EF155" i="30"/>
  <c r="AG41" i="35"/>
  <c r="EK67" i="30"/>
  <c r="AN19" i="35"/>
  <c r="EA51" i="30"/>
  <c r="Z15" i="35"/>
  <c r="CP59" i="30"/>
  <c r="CP119" i="30"/>
  <c r="CB119" i="30"/>
  <c r="CP23" i="30"/>
  <c r="DC7" i="30"/>
  <c r="Z10" i="19"/>
  <c r="Z13" i="19"/>
  <c r="Z11" i="19"/>
  <c r="DC11" i="19" s="1"/>
  <c r="FN11" i="19" s="1"/>
  <c r="Z12" i="19"/>
  <c r="DD155" i="30"/>
  <c r="CI139" i="30"/>
  <c r="CW123" i="30"/>
  <c r="CI59" i="30"/>
  <c r="CI27" i="30"/>
  <c r="CV7" i="30"/>
  <c r="Y10" i="19"/>
  <c r="CV10" i="19" s="1"/>
  <c r="Y13" i="19"/>
  <c r="Y11" i="19"/>
  <c r="CT11" i="19" s="1"/>
  <c r="FG11" i="19" s="1"/>
  <c r="Y12" i="19"/>
  <c r="CI163" i="30"/>
  <c r="CW131" i="30"/>
  <c r="CB99" i="30"/>
  <c r="CP51" i="30"/>
  <c r="CP19" i="30"/>
  <c r="DD75" i="30"/>
  <c r="CI151" i="30"/>
  <c r="CP135" i="30"/>
  <c r="CI103" i="30"/>
  <c r="CB103" i="30"/>
  <c r="CI55" i="30"/>
  <c r="X17" i="19"/>
  <c r="CO17" i="19" s="1"/>
  <c r="CP11" i="30"/>
  <c r="DD139" i="30"/>
  <c r="CP91" i="30"/>
  <c r="CB59" i="30"/>
  <c r="DD59" i="30"/>
  <c r="CW43" i="30"/>
  <c r="CB27" i="30"/>
  <c r="DD27" i="30"/>
  <c r="BM7" i="30"/>
  <c r="T10" i="19"/>
  <c r="BM10" i="19" s="1"/>
  <c r="EJ10" i="19" s="1"/>
  <c r="T13" i="19"/>
  <c r="T11" i="19"/>
  <c r="BM11" i="19" s="1"/>
  <c r="EJ11" i="19" s="1"/>
  <c r="T12" i="19"/>
  <c r="CB131" i="30"/>
  <c r="CW83" i="30"/>
  <c r="CW35" i="30"/>
  <c r="DD67" i="30"/>
  <c r="CP27" i="30"/>
  <c r="CB67" i="30"/>
  <c r="CB115" i="30"/>
  <c r="CB147" i="30"/>
  <c r="DD103" i="30"/>
  <c r="CW87" i="30"/>
  <c r="CW55" i="30"/>
  <c r="CB39" i="30"/>
  <c r="BN11" i="30"/>
  <c r="T17" i="19"/>
  <c r="CI123" i="30"/>
  <c r="CP123" i="30"/>
  <c r="CW107" i="30"/>
  <c r="CB43" i="30"/>
  <c r="CW27" i="30"/>
  <c r="AK7" i="30"/>
  <c r="O4" i="35"/>
  <c r="P10" i="19"/>
  <c r="P13" i="19"/>
  <c r="AL13" i="19" s="1"/>
  <c r="DQ13" i="19" s="1"/>
  <c r="P11" i="19"/>
  <c r="P12" i="19"/>
  <c r="AK12" i="19" s="1"/>
  <c r="DP12" i="19" s="1"/>
  <c r="CB163" i="30"/>
  <c r="CP99" i="30"/>
  <c r="DD115" i="30"/>
  <c r="CP43" i="30"/>
  <c r="DD91" i="30"/>
  <c r="DD107" i="30"/>
  <c r="CB123" i="30"/>
  <c r="AL11" i="30"/>
  <c r="P17" i="19"/>
  <c r="AK17" i="19" s="1"/>
  <c r="DP17" i="19" s="1"/>
  <c r="CP15" i="30"/>
  <c r="DD71" i="30"/>
  <c r="CI119" i="30"/>
  <c r="DD135" i="30"/>
  <c r="DD151" i="30"/>
  <c r="W17" i="19"/>
  <c r="CI11" i="30"/>
  <c r="CP151" i="30"/>
  <c r="CW135" i="30"/>
  <c r="DD87" i="30"/>
  <c r="CW71" i="30"/>
  <c r="DD55" i="30"/>
  <c r="CW39" i="30"/>
  <c r="CP39" i="30"/>
  <c r="Q10" i="19"/>
  <c r="AS10" i="19" s="1"/>
  <c r="DV10" i="19" s="1"/>
  <c r="Q13" i="19"/>
  <c r="AR13" i="19" s="1"/>
  <c r="DU13" i="19" s="1"/>
  <c r="Q11" i="19"/>
  <c r="AQ11" i="19" s="1"/>
  <c r="DT11" i="19" s="1"/>
  <c r="Q12" i="19"/>
  <c r="CB155" i="30"/>
  <c r="DD123" i="30"/>
  <c r="CP107" i="30"/>
  <c r="CP75" i="30"/>
  <c r="CI43" i="30"/>
  <c r="U10" i="19"/>
  <c r="BR10" i="19" s="1"/>
  <c r="EM10" i="19" s="1"/>
  <c r="U13" i="19"/>
  <c r="U11" i="19"/>
  <c r="BT11" i="19" s="1"/>
  <c r="EO11" i="19" s="1"/>
  <c r="U12" i="19"/>
  <c r="CI99" i="30"/>
  <c r="CB83" i="30"/>
  <c r="DD147" i="30"/>
  <c r="BU7" i="30"/>
  <c r="BT7" i="30"/>
  <c r="Z83" i="19"/>
  <c r="DC83" i="19" s="1"/>
  <c r="FN83" i="19" s="1"/>
  <c r="FO43" i="30"/>
  <c r="P35" i="19"/>
  <c r="AJ35" i="19" s="1"/>
  <c r="R147" i="19"/>
  <c r="O201" i="19"/>
  <c r="AC201" i="19" s="1"/>
  <c r="W82" i="19"/>
  <c r="S307" i="19"/>
  <c r="T299" i="19"/>
  <c r="BM299" i="19" s="1"/>
  <c r="EJ299" i="19" s="1"/>
  <c r="P139" i="19"/>
  <c r="AK139" i="19" s="1"/>
  <c r="DP139" i="19" s="1"/>
  <c r="O227" i="19"/>
  <c r="AC227" i="19" s="1"/>
  <c r="DJ227" i="19" s="1"/>
  <c r="S42" i="19"/>
  <c r="P19" i="19"/>
  <c r="W19" i="19"/>
  <c r="S66" i="19"/>
  <c r="BF66" i="19" s="1"/>
  <c r="W51" i="19"/>
  <c r="R75" i="19"/>
  <c r="AY75" i="19" s="1"/>
  <c r="DZ75" i="19" s="1"/>
  <c r="U34" i="19"/>
  <c r="U33" i="19"/>
  <c r="U35" i="19"/>
  <c r="X25" i="19"/>
  <c r="CO25" i="19" s="1"/>
  <c r="FD25" i="19" s="1"/>
  <c r="X26" i="19"/>
  <c r="P34" i="19"/>
  <c r="AJ34" i="19" s="1"/>
  <c r="DO34" i="19" s="1"/>
  <c r="P33" i="19"/>
  <c r="AJ33" i="19" s="1"/>
  <c r="DO33" i="19" s="1"/>
  <c r="X27" i="19"/>
  <c r="CO27" i="19" s="1"/>
  <c r="FD27" i="19" s="1"/>
  <c r="X34" i="19"/>
  <c r="X33" i="19"/>
  <c r="X35" i="19"/>
  <c r="P18" i="19"/>
  <c r="AL18" i="19" s="1"/>
  <c r="DQ18" i="19" s="1"/>
  <c r="X18" i="19"/>
  <c r="T18" i="19"/>
  <c r="X19" i="19"/>
  <c r="W18" i="19"/>
  <c r="T19" i="19"/>
  <c r="P61" i="19"/>
  <c r="AK61" i="19" s="1"/>
  <c r="DP61" i="19" s="1"/>
  <c r="P93" i="19"/>
  <c r="AK93" i="19" s="1"/>
  <c r="DP93" i="19" s="1"/>
  <c r="S141" i="19"/>
  <c r="Z141" i="19"/>
  <c r="R141" i="19"/>
  <c r="U141" i="19"/>
  <c r="P141" i="19"/>
  <c r="AK141" i="19" s="1"/>
  <c r="DP141" i="19" s="1"/>
  <c r="Y141" i="19"/>
  <c r="S173" i="19"/>
  <c r="Z173" i="19"/>
  <c r="U173" i="19"/>
  <c r="T173" i="19"/>
  <c r="P173" i="19"/>
  <c r="AK173" i="19" s="1"/>
  <c r="DP173" i="19" s="1"/>
  <c r="Y173" i="19"/>
  <c r="R221" i="19"/>
  <c r="Z269" i="19"/>
  <c r="R269" i="19"/>
  <c r="U269" i="19"/>
  <c r="X269" i="19"/>
  <c r="Q269" i="19"/>
  <c r="P269" i="19"/>
  <c r="AK269" i="19" s="1"/>
  <c r="DP269" i="19" s="1"/>
  <c r="Y269" i="19"/>
  <c r="U36" i="19"/>
  <c r="X36" i="19"/>
  <c r="P36" i="19"/>
  <c r="AK36" i="19" s="1"/>
  <c r="DP36" i="19" s="1"/>
  <c r="Y68" i="19"/>
  <c r="T68" i="19"/>
  <c r="P68" i="19"/>
  <c r="AK68" i="19" s="1"/>
  <c r="DP68" i="19" s="1"/>
  <c r="S68" i="19"/>
  <c r="Z132" i="19"/>
  <c r="V132" i="19"/>
  <c r="P132" i="19"/>
  <c r="AK132" i="19" s="1"/>
  <c r="DP132" i="19" s="1"/>
  <c r="T132" i="19"/>
  <c r="Z180" i="19"/>
  <c r="R180" i="19"/>
  <c r="Q180" i="19"/>
  <c r="X180" i="19"/>
  <c r="P180" i="19"/>
  <c r="AK180" i="19" s="1"/>
  <c r="DP180" i="19" s="1"/>
  <c r="U180" i="19"/>
  <c r="T180" i="19"/>
  <c r="Z212" i="19"/>
  <c r="R212" i="19"/>
  <c r="Y212" i="19"/>
  <c r="X212" i="19"/>
  <c r="P212" i="19"/>
  <c r="AK212" i="19" s="1"/>
  <c r="DP212" i="19" s="1"/>
  <c r="U212" i="19"/>
  <c r="O260" i="19"/>
  <c r="AD260" i="19" s="1"/>
  <c r="DK260" i="19" s="1"/>
  <c r="V260" i="19"/>
  <c r="R260" i="19"/>
  <c r="Y260" i="19"/>
  <c r="S308" i="19"/>
  <c r="O308" i="19"/>
  <c r="AD308" i="19" s="1"/>
  <c r="DK308" i="19" s="1"/>
  <c r="Z308" i="19"/>
  <c r="V308" i="19"/>
  <c r="R308" i="19"/>
  <c r="Q308" i="19"/>
  <c r="T308" i="19"/>
  <c r="X29" i="19"/>
  <c r="V77" i="19"/>
  <c r="R77" i="19"/>
  <c r="X77" i="19"/>
  <c r="Q77" i="19"/>
  <c r="Y77" i="19"/>
  <c r="P125" i="19"/>
  <c r="AK125" i="19" s="1"/>
  <c r="DP125" i="19" s="1"/>
  <c r="W205" i="19"/>
  <c r="S205" i="19"/>
  <c r="O205" i="19"/>
  <c r="AD205" i="19" s="1"/>
  <c r="DK205" i="19" s="1"/>
  <c r="Z205" i="19"/>
  <c r="V205" i="19"/>
  <c r="R205" i="19"/>
  <c r="T205" i="19"/>
  <c r="P205" i="19"/>
  <c r="AK205" i="19" s="1"/>
  <c r="DP205" i="19" s="1"/>
  <c r="R253" i="19"/>
  <c r="W301" i="19"/>
  <c r="Z301" i="19"/>
  <c r="R301" i="19"/>
  <c r="T301" i="19"/>
  <c r="Q301" i="19"/>
  <c r="X301" i="19"/>
  <c r="P301" i="19"/>
  <c r="AK301" i="19" s="1"/>
  <c r="DP301" i="19" s="1"/>
  <c r="Y52" i="19"/>
  <c r="Q52" i="19"/>
  <c r="X52" i="19"/>
  <c r="P52" i="19"/>
  <c r="AK52" i="19" s="1"/>
  <c r="DP52" i="19" s="1"/>
  <c r="V52" i="19"/>
  <c r="Z52" i="19"/>
  <c r="W52" i="19"/>
  <c r="O100" i="19"/>
  <c r="AD100" i="19" s="1"/>
  <c r="DK100" i="19" s="1"/>
  <c r="R100" i="19"/>
  <c r="X100" i="19"/>
  <c r="T100" i="19"/>
  <c r="V164" i="19"/>
  <c r="R164" i="19"/>
  <c r="Y164" i="19"/>
  <c r="T164" i="19"/>
  <c r="O228" i="19"/>
  <c r="AD228" i="19" s="1"/>
  <c r="DK228" i="19" s="1"/>
  <c r="Z228" i="19"/>
  <c r="V228" i="19"/>
  <c r="P228" i="19"/>
  <c r="AK228" i="19" s="1"/>
  <c r="DP228" i="19" s="1"/>
  <c r="W276" i="19"/>
  <c r="O276" i="19"/>
  <c r="AD276" i="19" s="1"/>
  <c r="DK276" i="19" s="1"/>
  <c r="Z276" i="19"/>
  <c r="Q276" i="19"/>
  <c r="U276" i="19"/>
  <c r="T276" i="19"/>
  <c r="W324" i="19"/>
  <c r="O324" i="19"/>
  <c r="AD324" i="19" s="1"/>
  <c r="DK324" i="19" s="1"/>
  <c r="V324" i="19"/>
  <c r="R324" i="19"/>
  <c r="X21" i="19"/>
  <c r="T21" i="19"/>
  <c r="P21" i="19"/>
  <c r="AK21" i="19" s="1"/>
  <c r="DP21" i="19" s="1"/>
  <c r="W21" i="19"/>
  <c r="U37" i="19"/>
  <c r="X37" i="19"/>
  <c r="P37" i="19"/>
  <c r="AK37" i="19" s="1"/>
  <c r="DP37" i="19" s="1"/>
  <c r="Y53" i="19"/>
  <c r="Q53" i="19"/>
  <c r="X53" i="19"/>
  <c r="P53" i="19"/>
  <c r="AK53" i="19" s="1"/>
  <c r="DP53" i="19" s="1"/>
  <c r="Z53" i="19"/>
  <c r="W53" i="19"/>
  <c r="V53" i="19"/>
  <c r="T69" i="19"/>
  <c r="P69" i="19"/>
  <c r="AK69" i="19" s="1"/>
  <c r="DP69" i="19" s="1"/>
  <c r="Y69" i="19"/>
  <c r="S69" i="19"/>
  <c r="W85" i="19"/>
  <c r="Z85" i="19"/>
  <c r="V85" i="19"/>
  <c r="R85" i="19"/>
  <c r="P85" i="19"/>
  <c r="AK85" i="19" s="1"/>
  <c r="DP85" i="19" s="1"/>
  <c r="Y85" i="19"/>
  <c r="X85" i="19"/>
  <c r="O101" i="19"/>
  <c r="AD101" i="19" s="1"/>
  <c r="DK101" i="19" s="1"/>
  <c r="R101" i="19"/>
  <c r="T101" i="19"/>
  <c r="X101" i="19"/>
  <c r="W117" i="19"/>
  <c r="S117" i="19"/>
  <c r="Z117" i="19"/>
  <c r="V117" i="19"/>
  <c r="P117" i="19"/>
  <c r="AK117" i="19" s="1"/>
  <c r="DP117" i="19" s="1"/>
  <c r="X117" i="19"/>
  <c r="Q117" i="19"/>
  <c r="Z133" i="19"/>
  <c r="V133" i="19"/>
  <c r="T133" i="19"/>
  <c r="P133" i="19"/>
  <c r="AK133" i="19" s="1"/>
  <c r="DP133" i="19" s="1"/>
  <c r="O149" i="19"/>
  <c r="AD149" i="19" s="1"/>
  <c r="DK149" i="19" s="1"/>
  <c r="Z149" i="19"/>
  <c r="R149" i="19"/>
  <c r="T149" i="19"/>
  <c r="P149" i="19"/>
  <c r="AK149" i="19" s="1"/>
  <c r="DP149" i="19" s="1"/>
  <c r="X149" i="19"/>
  <c r="Q149" i="19"/>
  <c r="V165" i="19"/>
  <c r="R165" i="19"/>
  <c r="T165" i="19"/>
  <c r="Y165" i="19"/>
  <c r="Z181" i="19"/>
  <c r="R181" i="19"/>
  <c r="U181" i="19"/>
  <c r="T181" i="19"/>
  <c r="P181" i="19"/>
  <c r="AK181" i="19" s="1"/>
  <c r="DP181" i="19" s="1"/>
  <c r="X181" i="19"/>
  <c r="Q181" i="19"/>
  <c r="W197" i="19"/>
  <c r="V197" i="19"/>
  <c r="R197" i="19"/>
  <c r="X197" i="19"/>
  <c r="Z213" i="19"/>
  <c r="R213" i="19"/>
  <c r="U213" i="19"/>
  <c r="P213" i="19"/>
  <c r="AK213" i="19" s="1"/>
  <c r="DP213" i="19" s="1"/>
  <c r="Y213" i="19"/>
  <c r="X213" i="19"/>
  <c r="O229" i="19"/>
  <c r="AD229" i="19" s="1"/>
  <c r="DK229" i="19" s="1"/>
  <c r="Z229" i="19"/>
  <c r="V229" i="19"/>
  <c r="P229" i="19"/>
  <c r="AK229" i="19" s="1"/>
  <c r="DP229" i="19" s="1"/>
  <c r="W245" i="19"/>
  <c r="S245" i="19"/>
  <c r="Z245" i="19"/>
  <c r="V245" i="19"/>
  <c r="P245" i="19"/>
  <c r="AK245" i="19" s="1"/>
  <c r="DP245" i="19" s="1"/>
  <c r="Y245" i="19"/>
  <c r="X245" i="19"/>
  <c r="O261" i="19"/>
  <c r="AD261" i="19" s="1"/>
  <c r="DK261" i="19" s="1"/>
  <c r="V261" i="19"/>
  <c r="R261" i="19"/>
  <c r="Y261" i="19"/>
  <c r="W277" i="19"/>
  <c r="O277" i="19"/>
  <c r="AD277" i="19" s="1"/>
  <c r="DK277" i="19" s="1"/>
  <c r="Z277" i="19"/>
  <c r="U277" i="19"/>
  <c r="T277" i="19"/>
  <c r="Q277" i="19"/>
  <c r="Z293" i="19"/>
  <c r="V293" i="19"/>
  <c r="T293" i="19"/>
  <c r="Q293" i="19"/>
  <c r="S309" i="19"/>
  <c r="O309" i="19"/>
  <c r="AD309" i="19" s="1"/>
  <c r="DK309" i="19" s="1"/>
  <c r="Z309" i="19"/>
  <c r="V309" i="19"/>
  <c r="R309" i="19"/>
  <c r="T309" i="19"/>
  <c r="Q309" i="19"/>
  <c r="W325" i="19"/>
  <c r="O325" i="19"/>
  <c r="AD325" i="19" s="1"/>
  <c r="DK325" i="19" s="1"/>
  <c r="V325" i="19"/>
  <c r="R325" i="19"/>
  <c r="X45" i="19"/>
  <c r="S45" i="19"/>
  <c r="W109" i="19"/>
  <c r="S109" i="19"/>
  <c r="O109" i="19"/>
  <c r="AD109" i="19" s="1"/>
  <c r="DK109" i="19" s="1"/>
  <c r="Z109" i="19"/>
  <c r="U109" i="19"/>
  <c r="T109" i="19"/>
  <c r="P109" i="19"/>
  <c r="AK109" i="19" s="1"/>
  <c r="DP109" i="19" s="1"/>
  <c r="Y109" i="19"/>
  <c r="R157" i="19"/>
  <c r="R189" i="19"/>
  <c r="W237" i="19"/>
  <c r="S237" i="19"/>
  <c r="O237" i="19"/>
  <c r="AD237" i="19" s="1"/>
  <c r="DK237" i="19" s="1"/>
  <c r="V237" i="19"/>
  <c r="R237" i="19"/>
  <c r="U237" i="19"/>
  <c r="X237" i="19"/>
  <c r="R285" i="19"/>
  <c r="R317" i="19"/>
  <c r="X20" i="19"/>
  <c r="T20" i="19"/>
  <c r="P20" i="19"/>
  <c r="W20" i="19"/>
  <c r="W84" i="19"/>
  <c r="Z84" i="19"/>
  <c r="V84" i="19"/>
  <c r="R84" i="19"/>
  <c r="Y84" i="19"/>
  <c r="X84" i="19"/>
  <c r="P84" i="19"/>
  <c r="AK84" i="19" s="1"/>
  <c r="DP84" i="19" s="1"/>
  <c r="W116" i="19"/>
  <c r="S116" i="19"/>
  <c r="Z116" i="19"/>
  <c r="V116" i="19"/>
  <c r="Q116" i="19"/>
  <c r="X116" i="19"/>
  <c r="P116" i="19"/>
  <c r="AK116" i="19" s="1"/>
  <c r="DP116" i="19" s="1"/>
  <c r="O148" i="19"/>
  <c r="AD148" i="19" s="1"/>
  <c r="DK148" i="19" s="1"/>
  <c r="Z148" i="19"/>
  <c r="R148" i="19"/>
  <c r="Q148" i="19"/>
  <c r="X148" i="19"/>
  <c r="P148" i="19"/>
  <c r="AK148" i="19" s="1"/>
  <c r="DP148" i="19" s="1"/>
  <c r="T148" i="19"/>
  <c r="W196" i="19"/>
  <c r="V196" i="19"/>
  <c r="R196" i="19"/>
  <c r="X196" i="19"/>
  <c r="W244" i="19"/>
  <c r="S244" i="19"/>
  <c r="Z244" i="19"/>
  <c r="V244" i="19"/>
  <c r="Y244" i="19"/>
  <c r="X244" i="19"/>
  <c r="P244" i="19"/>
  <c r="AK244" i="19" s="1"/>
  <c r="DP244" i="19" s="1"/>
  <c r="Z292" i="19"/>
  <c r="V292" i="19"/>
  <c r="Q292" i="19"/>
  <c r="T292" i="19"/>
  <c r="X28" i="19"/>
  <c r="X44" i="19"/>
  <c r="S44" i="19"/>
  <c r="P60" i="19"/>
  <c r="AK60" i="19" s="1"/>
  <c r="DP60" i="19" s="1"/>
  <c r="V76" i="19"/>
  <c r="R76" i="19"/>
  <c r="Y76" i="19"/>
  <c r="Q76" i="19"/>
  <c r="X76" i="19"/>
  <c r="P92" i="19"/>
  <c r="AK92" i="19" s="1"/>
  <c r="DP92" i="19" s="1"/>
  <c r="W108" i="19"/>
  <c r="S108" i="19"/>
  <c r="O108" i="19"/>
  <c r="AD108" i="19" s="1"/>
  <c r="DK108" i="19" s="1"/>
  <c r="Z108" i="19"/>
  <c r="Y108" i="19"/>
  <c r="P108" i="19"/>
  <c r="AK108" i="19" s="1"/>
  <c r="DP108" i="19" s="1"/>
  <c r="T108" i="19"/>
  <c r="U108" i="19"/>
  <c r="P124" i="19"/>
  <c r="AK124" i="19" s="1"/>
  <c r="DP124" i="19" s="1"/>
  <c r="S140" i="19"/>
  <c r="Z140" i="19"/>
  <c r="R140" i="19"/>
  <c r="Y140" i="19"/>
  <c r="P140" i="19"/>
  <c r="AK140" i="19" s="1"/>
  <c r="DP140" i="19" s="1"/>
  <c r="U140" i="19"/>
  <c r="R156" i="19"/>
  <c r="S172" i="19"/>
  <c r="Z172" i="19"/>
  <c r="Y172" i="19"/>
  <c r="P172" i="19"/>
  <c r="AK172" i="19" s="1"/>
  <c r="DP172" i="19" s="1"/>
  <c r="T172" i="19"/>
  <c r="U172" i="19"/>
  <c r="R188" i="19"/>
  <c r="W204" i="19"/>
  <c r="S204" i="19"/>
  <c r="O204" i="19"/>
  <c r="AD204" i="19" s="1"/>
  <c r="DK204" i="19" s="1"/>
  <c r="Z204" i="19"/>
  <c r="V204" i="19"/>
  <c r="R204" i="19"/>
  <c r="P204" i="19"/>
  <c r="AK204" i="19" s="1"/>
  <c r="DP204" i="19" s="1"/>
  <c r="T204" i="19"/>
  <c r="R220" i="19"/>
  <c r="W236" i="19"/>
  <c r="S236" i="19"/>
  <c r="O236" i="19"/>
  <c r="AD236" i="19" s="1"/>
  <c r="DK236" i="19" s="1"/>
  <c r="V236" i="19"/>
  <c r="R236" i="19"/>
  <c r="X236" i="19"/>
  <c r="U236" i="19"/>
  <c r="R252" i="19"/>
  <c r="Z268" i="19"/>
  <c r="R268" i="19"/>
  <c r="Y268" i="19"/>
  <c r="Q268" i="19"/>
  <c r="X268" i="19"/>
  <c r="P268" i="19"/>
  <c r="AK268" i="19" s="1"/>
  <c r="DP268" i="19" s="1"/>
  <c r="U268" i="19"/>
  <c r="R284" i="19"/>
  <c r="W300" i="19"/>
  <c r="Z300" i="19"/>
  <c r="R300" i="19"/>
  <c r="Q300" i="19"/>
  <c r="X300" i="19"/>
  <c r="P300" i="19"/>
  <c r="AK300" i="19" s="1"/>
  <c r="DP300" i="19" s="1"/>
  <c r="T300" i="19"/>
  <c r="R316" i="19"/>
  <c r="W193" i="19"/>
  <c r="W274" i="19"/>
  <c r="W49" i="19"/>
  <c r="CH49" i="19" s="1"/>
  <c r="EY49" i="19" s="1"/>
  <c r="T147" i="19"/>
  <c r="BM147" i="19" s="1"/>
  <c r="EJ147" i="19" s="1"/>
  <c r="V235" i="19"/>
  <c r="CA235" i="19" s="1"/>
  <c r="ET235" i="19" s="1"/>
  <c r="U107" i="19"/>
  <c r="BT107" i="19" s="1"/>
  <c r="EO107" i="19" s="1"/>
  <c r="Z307" i="19"/>
  <c r="W115" i="19"/>
  <c r="CH115" i="19" s="1"/>
  <c r="T203" i="19"/>
  <c r="V195" i="19"/>
  <c r="X41" i="19"/>
  <c r="R211" i="19"/>
  <c r="R83" i="19"/>
  <c r="R299" i="19"/>
  <c r="R139" i="19"/>
  <c r="Y243" i="19"/>
  <c r="Z9" i="19"/>
  <c r="DA9" i="19" s="1"/>
  <c r="FL9" i="19" s="1"/>
  <c r="S114" i="19"/>
  <c r="BF114" i="19" s="1"/>
  <c r="X267" i="19"/>
  <c r="T9" i="19"/>
  <c r="Q115" i="19"/>
  <c r="O145" i="19"/>
  <c r="AD145" i="19" s="1"/>
  <c r="O259" i="19"/>
  <c r="AC259" i="19" s="1"/>
  <c r="DJ259" i="19" s="1"/>
  <c r="P299" i="19"/>
  <c r="AL299" i="19" s="1"/>
  <c r="DQ299" i="19" s="1"/>
  <c r="R235" i="19"/>
  <c r="O233" i="19"/>
  <c r="AD233" i="19" s="1"/>
  <c r="DK233" i="19" s="1"/>
  <c r="Z171" i="19"/>
  <c r="DC171" i="19" s="1"/>
  <c r="FN171" i="19" s="1"/>
  <c r="O273" i="19"/>
  <c r="U179" i="19"/>
  <c r="U267" i="19"/>
  <c r="W297" i="19"/>
  <c r="CH297" i="19" s="1"/>
  <c r="S234" i="19"/>
  <c r="BF234" i="19" s="1"/>
  <c r="T307" i="19"/>
  <c r="Z275" i="19"/>
  <c r="T179" i="19"/>
  <c r="V51" i="19"/>
  <c r="CA51" i="19" s="1"/>
  <c r="ET51" i="19" s="1"/>
  <c r="W234" i="19"/>
  <c r="CH234" i="19" s="1"/>
  <c r="EY234" i="19" s="1"/>
  <c r="W202" i="19"/>
  <c r="T171" i="19"/>
  <c r="BM171" i="19" s="1"/>
  <c r="EJ171" i="19" s="1"/>
  <c r="O275" i="19"/>
  <c r="Y83" i="19"/>
  <c r="CV83" i="19" s="1"/>
  <c r="U171" i="19"/>
  <c r="S137" i="19"/>
  <c r="BF137" i="19" s="1"/>
  <c r="EE137" i="19" s="1"/>
  <c r="Y211" i="19"/>
  <c r="Q307" i="19"/>
  <c r="T275" i="19"/>
  <c r="Z131" i="19"/>
  <c r="DC131" i="19" s="1"/>
  <c r="Z203" i="19"/>
  <c r="Y171" i="19"/>
  <c r="CV171" i="19" s="1"/>
  <c r="P107" i="19"/>
  <c r="AK107" i="19" s="1"/>
  <c r="DP107" i="19" s="1"/>
  <c r="Q9" i="19"/>
  <c r="AP9" i="19" s="1"/>
  <c r="DS9" i="19" s="1"/>
  <c r="S305" i="19"/>
  <c r="X147" i="19"/>
  <c r="U9" i="19"/>
  <c r="O258" i="19"/>
  <c r="AC258" i="19" s="1"/>
  <c r="DJ258" i="19" s="1"/>
  <c r="R99" i="19"/>
  <c r="W233" i="19"/>
  <c r="CH233" i="19" s="1"/>
  <c r="W235" i="19"/>
  <c r="V203" i="19"/>
  <c r="W242" i="19"/>
  <c r="CH242" i="19" s="1"/>
  <c r="EY242" i="19" s="1"/>
  <c r="X195" i="19"/>
  <c r="S115" i="19"/>
  <c r="W243" i="19"/>
  <c r="CH243" i="19" s="1"/>
  <c r="P147" i="19"/>
  <c r="AL147" i="19" s="1"/>
  <c r="DQ147" i="19" s="1"/>
  <c r="V115" i="19"/>
  <c r="Q299" i="19"/>
  <c r="P203" i="19"/>
  <c r="AJ203" i="19" s="1"/>
  <c r="T291" i="19"/>
  <c r="BM291" i="19" s="1"/>
  <c r="S201" i="19"/>
  <c r="S105" i="19"/>
  <c r="BF105" i="19" s="1"/>
  <c r="EE105" i="19" s="1"/>
  <c r="Y9" i="19"/>
  <c r="CV9" i="19" s="1"/>
  <c r="FI9" i="19" s="1"/>
  <c r="O226" i="19"/>
  <c r="AC226" i="19" s="1"/>
  <c r="DJ226" i="19" s="1"/>
  <c r="P131" i="19"/>
  <c r="AK131" i="19" s="1"/>
  <c r="DP131" i="19" s="1"/>
  <c r="X99" i="19"/>
  <c r="P89" i="19"/>
  <c r="P90" i="19"/>
  <c r="AL90" i="19" s="1"/>
  <c r="DQ90" i="19" s="1"/>
  <c r="P91" i="19"/>
  <c r="AK91" i="19" s="1"/>
  <c r="DP91" i="19" s="1"/>
  <c r="R185" i="19"/>
  <c r="AY185" i="19" s="1"/>
  <c r="DZ185" i="19" s="1"/>
  <c r="R186" i="19"/>
  <c r="AY186" i="19" s="1"/>
  <c r="R187" i="19"/>
  <c r="R281" i="19"/>
  <c r="AY281" i="19" s="1"/>
  <c r="R282" i="19"/>
  <c r="AY282" i="19" s="1"/>
  <c r="DZ282" i="19" s="1"/>
  <c r="R283" i="19"/>
  <c r="AY283" i="19" s="1"/>
  <c r="DZ283" i="19" s="1"/>
  <c r="T98" i="19"/>
  <c r="T97" i="19"/>
  <c r="T99" i="19"/>
  <c r="R193" i="19"/>
  <c r="R194" i="19"/>
  <c r="R195" i="19"/>
  <c r="V290" i="19"/>
  <c r="CA290" i="19" s="1"/>
  <c r="V289" i="19"/>
  <c r="CA289" i="19" s="1"/>
  <c r="ET289" i="19" s="1"/>
  <c r="V291" i="19"/>
  <c r="P121" i="19"/>
  <c r="AJ121" i="19" s="1"/>
  <c r="DO121" i="19" s="1"/>
  <c r="P122" i="19"/>
  <c r="AJ122" i="19" s="1"/>
  <c r="DO122" i="19" s="1"/>
  <c r="P123" i="19"/>
  <c r="AK123" i="19" s="1"/>
  <c r="DP123" i="19" s="1"/>
  <c r="R218" i="19"/>
  <c r="R217" i="19"/>
  <c r="R219" i="19"/>
  <c r="R314" i="19"/>
  <c r="R313" i="19"/>
  <c r="AY313" i="19" s="1"/>
  <c r="R315" i="19"/>
  <c r="AY315" i="19" s="1"/>
  <c r="DZ315" i="19" s="1"/>
  <c r="P65" i="19"/>
  <c r="AL65" i="19" s="1"/>
  <c r="DQ65" i="19" s="1"/>
  <c r="P66" i="19"/>
  <c r="AJ66" i="19" s="1"/>
  <c r="DO66" i="19" s="1"/>
  <c r="P67" i="19"/>
  <c r="AK67" i="19" s="1"/>
  <c r="DP67" i="19" s="1"/>
  <c r="R161" i="19"/>
  <c r="R162" i="19"/>
  <c r="R163" i="19"/>
  <c r="R257" i="19"/>
  <c r="R258" i="19"/>
  <c r="R259" i="19"/>
  <c r="Z138" i="19"/>
  <c r="DC138" i="19" s="1"/>
  <c r="FN138" i="19" s="1"/>
  <c r="Z137" i="19"/>
  <c r="Z139" i="19"/>
  <c r="DC139" i="19" s="1"/>
  <c r="R201" i="19"/>
  <c r="R202" i="19"/>
  <c r="R203" i="19"/>
  <c r="Z266" i="19"/>
  <c r="Z265" i="19"/>
  <c r="Z267" i="19"/>
  <c r="Z297" i="19"/>
  <c r="DC297" i="19" s="1"/>
  <c r="Z298" i="19"/>
  <c r="Z299" i="19"/>
  <c r="DC299" i="19" s="1"/>
  <c r="FN299" i="19" s="1"/>
  <c r="P57" i="19"/>
  <c r="AL57" i="19" s="1"/>
  <c r="DQ57" i="19" s="1"/>
  <c r="P58" i="19"/>
  <c r="AJ58" i="19" s="1"/>
  <c r="DO58" i="19" s="1"/>
  <c r="P59" i="19"/>
  <c r="AK59" i="19" s="1"/>
  <c r="DP59" i="19" s="1"/>
  <c r="R153" i="19"/>
  <c r="R154" i="19"/>
  <c r="R155" i="19"/>
  <c r="R250" i="19"/>
  <c r="AY250" i="19" s="1"/>
  <c r="R249" i="19"/>
  <c r="AY249" i="19" s="1"/>
  <c r="DZ249" i="19" s="1"/>
  <c r="R251" i="19"/>
  <c r="V130" i="19"/>
  <c r="CA130" i="19" s="1"/>
  <c r="V129" i="19"/>
  <c r="CA129" i="19" s="1"/>
  <c r="ET129" i="19" s="1"/>
  <c r="V131" i="19"/>
  <c r="V226" i="19"/>
  <c r="V225" i="19"/>
  <c r="V227" i="19"/>
  <c r="R322" i="19"/>
  <c r="R321" i="19"/>
  <c r="AY321" i="19" s="1"/>
  <c r="R323" i="19"/>
  <c r="AY323" i="19" s="1"/>
  <c r="DZ323" i="19" s="1"/>
  <c r="X49" i="19"/>
  <c r="X50" i="19"/>
  <c r="CO50" i="19" s="1"/>
  <c r="FD50" i="19" s="1"/>
  <c r="X51" i="19"/>
  <c r="CO51" i="19" s="1"/>
  <c r="X82" i="19"/>
  <c r="CO82" i="19" s="1"/>
  <c r="X81" i="19"/>
  <c r="CO81" i="19" s="1"/>
  <c r="FD81" i="19" s="1"/>
  <c r="X83" i="19"/>
  <c r="X113" i="19"/>
  <c r="CO113" i="19" s="1"/>
  <c r="X114" i="19"/>
  <c r="X115" i="19"/>
  <c r="CO115" i="19" s="1"/>
  <c r="FD115" i="19" s="1"/>
  <c r="Z145" i="19"/>
  <c r="DC145" i="19" s="1"/>
  <c r="Z146" i="19"/>
  <c r="Z147" i="19"/>
  <c r="DC147" i="19" s="1"/>
  <c r="FN147" i="19" s="1"/>
  <c r="Z177" i="19"/>
  <c r="Z178" i="19"/>
  <c r="Z179" i="19"/>
  <c r="Z209" i="19"/>
  <c r="Z210" i="19"/>
  <c r="Z211" i="19"/>
  <c r="V242" i="19"/>
  <c r="CA242" i="19" s="1"/>
  <c r="V241" i="19"/>
  <c r="CA241" i="19" s="1"/>
  <c r="ET241" i="19" s="1"/>
  <c r="V243" i="19"/>
  <c r="R305" i="19"/>
  <c r="R306" i="19"/>
  <c r="R307" i="19"/>
  <c r="S241" i="19"/>
  <c r="BF241" i="19" s="1"/>
  <c r="EE241" i="19" s="1"/>
  <c r="W106" i="19"/>
  <c r="CH106" i="19" s="1"/>
  <c r="EY106" i="19" s="1"/>
  <c r="Q297" i="19"/>
  <c r="Q298" i="19"/>
  <c r="U265" i="19"/>
  <c r="U266" i="19"/>
  <c r="R265" i="19"/>
  <c r="R266" i="19"/>
  <c r="Z201" i="19"/>
  <c r="Z202" i="19"/>
  <c r="Y170" i="19"/>
  <c r="CV170" i="19" s="1"/>
  <c r="FI170" i="19" s="1"/>
  <c r="Y169" i="19"/>
  <c r="U138" i="19"/>
  <c r="U137" i="19"/>
  <c r="BT137" i="19" s="1"/>
  <c r="Y105" i="19"/>
  <c r="CV105" i="19" s="1"/>
  <c r="FI105" i="19" s="1"/>
  <c r="Y106" i="19"/>
  <c r="CV106" i="19" s="1"/>
  <c r="T106" i="19"/>
  <c r="BM106" i="19" s="1"/>
  <c r="EJ106" i="19" s="1"/>
  <c r="T105" i="19"/>
  <c r="V74" i="19"/>
  <c r="CA74" i="19" s="1"/>
  <c r="ET74" i="19" s="1"/>
  <c r="V73" i="19"/>
  <c r="Q306" i="19"/>
  <c r="Q305" i="19"/>
  <c r="U273" i="19"/>
  <c r="U274" i="19"/>
  <c r="X241" i="19"/>
  <c r="CO241" i="19" s="1"/>
  <c r="X242" i="19"/>
  <c r="Y209" i="19"/>
  <c r="Y210" i="19"/>
  <c r="U178" i="19"/>
  <c r="U177" i="19"/>
  <c r="R177" i="19"/>
  <c r="R178" i="19"/>
  <c r="T145" i="19"/>
  <c r="BM145" i="19" s="1"/>
  <c r="T146" i="19"/>
  <c r="R146" i="19"/>
  <c r="AY146" i="19" s="1"/>
  <c r="R145" i="19"/>
  <c r="AY145" i="19" s="1"/>
  <c r="DZ145" i="19" s="1"/>
  <c r="W114" i="19"/>
  <c r="CH114" i="19" s="1"/>
  <c r="EY114" i="19" s="1"/>
  <c r="R82" i="19"/>
  <c r="AY82" i="19" s="1"/>
  <c r="R81" i="19"/>
  <c r="AY81" i="19" s="1"/>
  <c r="DZ81" i="19" s="1"/>
  <c r="P81" i="19"/>
  <c r="AK81" i="19" s="1"/>
  <c r="P82" i="19"/>
  <c r="Y50" i="19"/>
  <c r="Y49" i="19"/>
  <c r="CV49" i="19" s="1"/>
  <c r="P50" i="19"/>
  <c r="AK50" i="19" s="1"/>
  <c r="DP50" i="19" s="1"/>
  <c r="P49" i="19"/>
  <c r="AJ49" i="19" s="1"/>
  <c r="DO49" i="19" s="1"/>
  <c r="P297" i="19"/>
  <c r="AL297" i="19" s="1"/>
  <c r="DQ297" i="19" s="1"/>
  <c r="P298" i="19"/>
  <c r="AL298" i="19" s="1"/>
  <c r="DQ298" i="19" s="1"/>
  <c r="X297" i="19"/>
  <c r="CO297" i="19" s="1"/>
  <c r="FD297" i="19" s="1"/>
  <c r="X298" i="19"/>
  <c r="CO298" i="19" s="1"/>
  <c r="Y265" i="19"/>
  <c r="Y266" i="19"/>
  <c r="U233" i="19"/>
  <c r="BT233" i="19" s="1"/>
  <c r="EO233" i="19" s="1"/>
  <c r="U234" i="19"/>
  <c r="R234" i="19"/>
  <c r="R233" i="19"/>
  <c r="AY233" i="19" s="1"/>
  <c r="Z169" i="19"/>
  <c r="DC169" i="19" s="1"/>
  <c r="Z170" i="19"/>
  <c r="S138" i="19"/>
  <c r="BF138" i="19" s="1"/>
  <c r="Y137" i="19"/>
  <c r="CV137" i="19" s="1"/>
  <c r="FI137" i="19" s="1"/>
  <c r="Y138" i="19"/>
  <c r="CV138" i="19" s="1"/>
  <c r="Z106" i="19"/>
  <c r="DC106" i="19" s="1"/>
  <c r="FN106" i="19" s="1"/>
  <c r="Z105" i="19"/>
  <c r="P106" i="19"/>
  <c r="AJ106" i="19" s="1"/>
  <c r="DO106" i="19" s="1"/>
  <c r="P105" i="19"/>
  <c r="AL105" i="19" s="1"/>
  <c r="DQ105" i="19" s="1"/>
  <c r="Y73" i="19"/>
  <c r="Y74" i="19"/>
  <c r="CV74" i="19" s="1"/>
  <c r="FI74" i="19" s="1"/>
  <c r="Q74" i="19"/>
  <c r="AS74" i="19" s="1"/>
  <c r="DV74" i="19" s="1"/>
  <c r="Q73" i="19"/>
  <c r="AS73" i="19" s="1"/>
  <c r="DV73" i="19" s="1"/>
  <c r="X73" i="19"/>
  <c r="CO73" i="19" s="1"/>
  <c r="FD73" i="19" s="1"/>
  <c r="X74" i="19"/>
  <c r="CO74" i="19" s="1"/>
  <c r="U235" i="19"/>
  <c r="BT235" i="19" s="1"/>
  <c r="S306" i="19"/>
  <c r="V306" i="19"/>
  <c r="V305" i="19"/>
  <c r="Q274" i="19"/>
  <c r="Q273" i="19"/>
  <c r="P242" i="19"/>
  <c r="AL242" i="19" s="1"/>
  <c r="DQ242" i="19" s="1"/>
  <c r="P241" i="19"/>
  <c r="AL241" i="19" s="1"/>
  <c r="DQ241" i="19" s="1"/>
  <c r="Z241" i="19"/>
  <c r="Z242" i="19"/>
  <c r="DC242" i="19" s="1"/>
  <c r="FN242" i="19" s="1"/>
  <c r="X209" i="19"/>
  <c r="X210" i="19"/>
  <c r="P177" i="19"/>
  <c r="AJ177" i="19" s="1"/>
  <c r="DO177" i="19" s="1"/>
  <c r="P178" i="19"/>
  <c r="AJ178" i="19" s="1"/>
  <c r="DO178" i="19" s="1"/>
  <c r="X177" i="19"/>
  <c r="X178" i="19"/>
  <c r="Q145" i="19"/>
  <c r="Q146" i="19"/>
  <c r="V114" i="19"/>
  <c r="CA114" i="19" s="1"/>
  <c r="V113" i="19"/>
  <c r="CA113" i="19" s="1"/>
  <c r="ET113" i="19" s="1"/>
  <c r="Z113" i="19"/>
  <c r="Z114" i="19"/>
  <c r="DC114" i="19" s="1"/>
  <c r="FN114" i="19" s="1"/>
  <c r="Y82" i="19"/>
  <c r="CV82" i="19" s="1"/>
  <c r="FI82" i="19" s="1"/>
  <c r="Y81" i="19"/>
  <c r="V49" i="19"/>
  <c r="CA49" i="19" s="1"/>
  <c r="V50" i="19"/>
  <c r="Z50" i="19"/>
  <c r="DC50" i="19" s="1"/>
  <c r="Z49" i="19"/>
  <c r="DC49" i="19" s="1"/>
  <c r="FN49" i="19" s="1"/>
  <c r="O322" i="19"/>
  <c r="AD322" i="19" s="1"/>
  <c r="DK322" i="19" s="1"/>
  <c r="O321" i="19"/>
  <c r="V258" i="19"/>
  <c r="V257" i="19"/>
  <c r="Y161" i="19"/>
  <c r="Y162" i="19"/>
  <c r="T161" i="19"/>
  <c r="T162" i="19"/>
  <c r="V162" i="19"/>
  <c r="V161" i="19"/>
  <c r="Y66" i="19"/>
  <c r="CV66" i="19" s="1"/>
  <c r="Y65" i="19"/>
  <c r="CV65" i="19" s="1"/>
  <c r="FI65" i="19" s="1"/>
  <c r="T66" i="19"/>
  <c r="BM66" i="19" s="1"/>
  <c r="EJ66" i="19" s="1"/>
  <c r="T65" i="19"/>
  <c r="Q290" i="19"/>
  <c r="AR290" i="19" s="1"/>
  <c r="DU290" i="19" s="1"/>
  <c r="Q289" i="19"/>
  <c r="Z290" i="19"/>
  <c r="DC290" i="19" s="1"/>
  <c r="FN290" i="19" s="1"/>
  <c r="Z289" i="19"/>
  <c r="P225" i="19"/>
  <c r="AJ225" i="19" s="1"/>
  <c r="DO225" i="19" s="1"/>
  <c r="P226" i="19"/>
  <c r="AJ226" i="19" s="1"/>
  <c r="DO226" i="19" s="1"/>
  <c r="T130" i="19"/>
  <c r="BM130" i="19" s="1"/>
  <c r="EJ130" i="19" s="1"/>
  <c r="T129" i="19"/>
  <c r="Z129" i="19"/>
  <c r="Z130" i="19"/>
  <c r="DC130" i="19" s="1"/>
  <c r="FN130" i="19" s="1"/>
  <c r="W159" i="30"/>
  <c r="Q143" i="30"/>
  <c r="AR143" i="30" s="1"/>
  <c r="V143" i="30"/>
  <c r="V127" i="30"/>
  <c r="U111" i="30"/>
  <c r="S95" i="30"/>
  <c r="V95" i="30"/>
  <c r="Y79" i="30"/>
  <c r="CV79" i="30" s="1"/>
  <c r="U63" i="30"/>
  <c r="BT63" i="30" s="1"/>
  <c r="T63" i="30"/>
  <c r="BM63" i="30" s="1"/>
  <c r="W47" i="30"/>
  <c r="CH47" i="30" s="1"/>
  <c r="O31" i="30"/>
  <c r="T31" i="30"/>
  <c r="BM31" i="30" s="1"/>
  <c r="T15" i="30"/>
  <c r="BM15" i="30" s="1"/>
  <c r="Q275" i="19"/>
  <c r="Q147" i="19"/>
  <c r="X211" i="19"/>
  <c r="O147" i="19"/>
  <c r="AD147" i="19" s="1"/>
  <c r="DK147" i="19" s="1"/>
  <c r="W83" i="19"/>
  <c r="CH83" i="19" s="1"/>
  <c r="EY83" i="19" s="1"/>
  <c r="O202" i="19"/>
  <c r="AC202" i="19" s="1"/>
  <c r="DJ202" i="19" s="1"/>
  <c r="S169" i="19"/>
  <c r="P201" i="19"/>
  <c r="AJ201" i="19" s="1"/>
  <c r="DO201" i="19" s="1"/>
  <c r="P202" i="19"/>
  <c r="AJ202" i="19" s="1"/>
  <c r="DO202" i="19" s="1"/>
  <c r="T298" i="19"/>
  <c r="T297" i="19"/>
  <c r="BM297" i="19" s="1"/>
  <c r="R297" i="19"/>
  <c r="AY297" i="19" s="1"/>
  <c r="DZ297" i="19" s="1"/>
  <c r="R298" i="19"/>
  <c r="AY298" i="19" s="1"/>
  <c r="P265" i="19"/>
  <c r="AJ265" i="19" s="1"/>
  <c r="DO265" i="19" s="1"/>
  <c r="P266" i="19"/>
  <c r="AJ266" i="19" s="1"/>
  <c r="DO266" i="19" s="1"/>
  <c r="X234" i="19"/>
  <c r="X233" i="19"/>
  <c r="CO233" i="19" s="1"/>
  <c r="FD233" i="19" s="1"/>
  <c r="V233" i="19"/>
  <c r="V234" i="19"/>
  <c r="CA234" i="19" s="1"/>
  <c r="T202" i="19"/>
  <c r="T201" i="19"/>
  <c r="P169" i="19"/>
  <c r="AK169" i="19" s="1"/>
  <c r="P170" i="19"/>
  <c r="AK170" i="19" s="1"/>
  <c r="DP170" i="19" s="1"/>
  <c r="P138" i="19"/>
  <c r="AJ138" i="19" s="1"/>
  <c r="DO138" i="19" s="1"/>
  <c r="P137" i="19"/>
  <c r="AJ137" i="19" s="1"/>
  <c r="DO137" i="19" s="1"/>
  <c r="R137" i="19"/>
  <c r="R138" i="19"/>
  <c r="U105" i="19"/>
  <c r="BT105" i="19" s="1"/>
  <c r="U106" i="19"/>
  <c r="R73" i="19"/>
  <c r="AY73" i="19" s="1"/>
  <c r="R74" i="19"/>
  <c r="AY74" i="19" s="1"/>
  <c r="DZ74" i="19" s="1"/>
  <c r="X42" i="19"/>
  <c r="Z306" i="19"/>
  <c r="Z305" i="19"/>
  <c r="Y241" i="19"/>
  <c r="CV241" i="19" s="1"/>
  <c r="FI241" i="19" s="1"/>
  <c r="Y242" i="19"/>
  <c r="CV242" i="19" s="1"/>
  <c r="U210" i="19"/>
  <c r="U209" i="19"/>
  <c r="R209" i="19"/>
  <c r="R210" i="19"/>
  <c r="Q178" i="19"/>
  <c r="Q177" i="19"/>
  <c r="P146" i="19"/>
  <c r="AL146" i="19" s="1"/>
  <c r="DQ146" i="19" s="1"/>
  <c r="P145" i="19"/>
  <c r="AL145" i="19" s="1"/>
  <c r="DQ145" i="19" s="1"/>
  <c r="P113" i="19"/>
  <c r="AL113" i="19" s="1"/>
  <c r="DQ113" i="19" s="1"/>
  <c r="P114" i="19"/>
  <c r="AJ114" i="19" s="1"/>
  <c r="DO114" i="19" s="1"/>
  <c r="V81" i="19"/>
  <c r="V82" i="19"/>
  <c r="CA82" i="19" s="1"/>
  <c r="ET82" i="19" s="1"/>
  <c r="T163" i="30"/>
  <c r="Q131" i="30"/>
  <c r="AR131" i="30" s="1"/>
  <c r="Z131" i="30"/>
  <c r="DC131" i="30" s="1"/>
  <c r="P99" i="30"/>
  <c r="AK99" i="30" s="1"/>
  <c r="S83" i="30"/>
  <c r="P83" i="30"/>
  <c r="AK83" i="30" s="1"/>
  <c r="O35" i="30"/>
  <c r="X35" i="30"/>
  <c r="CO35" i="30" s="1"/>
  <c r="W19" i="30"/>
  <c r="CH19" i="30" s="1"/>
  <c r="P147" i="30"/>
  <c r="AK147" i="30" s="1"/>
  <c r="W115" i="30"/>
  <c r="CH115" i="30" s="1"/>
  <c r="U115" i="30"/>
  <c r="X67" i="30"/>
  <c r="CO67" i="30" s="1"/>
  <c r="U67" i="30"/>
  <c r="Y51" i="30"/>
  <c r="U51" i="30"/>
  <c r="W51" i="30"/>
  <c r="CH51" i="30" s="1"/>
  <c r="V19" i="30"/>
  <c r="P159" i="30"/>
  <c r="AK159" i="30" s="1"/>
  <c r="O143" i="30"/>
  <c r="Z143" i="30"/>
  <c r="Q127" i="30"/>
  <c r="AR127" i="30" s="1"/>
  <c r="P111" i="30"/>
  <c r="AK111" i="30" s="1"/>
  <c r="Z111" i="30"/>
  <c r="Q95" i="30"/>
  <c r="AR95" i="30" s="1"/>
  <c r="O79" i="30"/>
  <c r="Z79" i="30"/>
  <c r="DC79" i="30" s="1"/>
  <c r="S63" i="30"/>
  <c r="BF63" i="30" s="1"/>
  <c r="O47" i="30"/>
  <c r="X47" i="30"/>
  <c r="CO47" i="30" s="1"/>
  <c r="S31" i="30"/>
  <c r="O15" i="30"/>
  <c r="V15" i="30"/>
  <c r="CA15" i="30" s="1"/>
  <c r="V7" i="30"/>
  <c r="CB7" i="30" s="1"/>
  <c r="W7" i="30"/>
  <c r="O23" i="30"/>
  <c r="V23" i="30"/>
  <c r="Q23" i="30"/>
  <c r="AR23" i="30" s="1"/>
  <c r="Z23" i="30"/>
  <c r="U23" i="30"/>
  <c r="R23" i="30"/>
  <c r="W23" i="30"/>
  <c r="CH23" i="30" s="1"/>
  <c r="O39" i="30"/>
  <c r="U39" i="30"/>
  <c r="BT39" i="30" s="1"/>
  <c r="U169" i="19"/>
  <c r="BT169" i="19" s="1"/>
  <c r="EO169" i="19" s="1"/>
  <c r="U170" i="19"/>
  <c r="BT170" i="19" s="1"/>
  <c r="W107" i="19"/>
  <c r="CH107" i="19" s="1"/>
  <c r="O99" i="19"/>
  <c r="AC99" i="19" s="1"/>
  <c r="DJ99" i="19" s="1"/>
  <c r="U139" i="19"/>
  <c r="BT139" i="19" s="1"/>
  <c r="EO139" i="19" s="1"/>
  <c r="O307" i="19"/>
  <c r="U275" i="19"/>
  <c r="W275" i="19"/>
  <c r="U211" i="19"/>
  <c r="X179" i="19"/>
  <c r="R179" i="19"/>
  <c r="P115" i="19"/>
  <c r="AK115" i="19" s="1"/>
  <c r="DP115" i="19" s="1"/>
  <c r="P83" i="19"/>
  <c r="Y51" i="19"/>
  <c r="CV51" i="19" s="1"/>
  <c r="FI51" i="19" s="1"/>
  <c r="T131" i="19"/>
  <c r="BM131" i="19" s="1"/>
  <c r="X299" i="19"/>
  <c r="R267" i="19"/>
  <c r="O235" i="19"/>
  <c r="S203" i="19"/>
  <c r="S107" i="19"/>
  <c r="Y107" i="19"/>
  <c r="V75" i="19"/>
  <c r="CA75" i="19" s="1"/>
  <c r="T163" i="19"/>
  <c r="T67" i="19"/>
  <c r="BM67" i="19" s="1"/>
  <c r="Y67" i="19"/>
  <c r="O305" i="19"/>
  <c r="W273" i="19"/>
  <c r="O257" i="19"/>
  <c r="AC257" i="19" s="1"/>
  <c r="W241" i="19"/>
  <c r="S242" i="19"/>
  <c r="BF242" i="19" s="1"/>
  <c r="S233" i="19"/>
  <c r="O234" i="19"/>
  <c r="AD234" i="19" s="1"/>
  <c r="DK234" i="19" s="1"/>
  <c r="O225" i="19"/>
  <c r="AC225" i="19" s="1"/>
  <c r="W201" i="19"/>
  <c r="S202" i="19"/>
  <c r="O146" i="19"/>
  <c r="AD146" i="19" s="1"/>
  <c r="DK146" i="19" s="1"/>
  <c r="W113" i="19"/>
  <c r="S106" i="19"/>
  <c r="BF106" i="19" s="1"/>
  <c r="O97" i="19"/>
  <c r="AC97" i="19" s="1"/>
  <c r="S65" i="19"/>
  <c r="BF65" i="19" s="1"/>
  <c r="EE65" i="19" s="1"/>
  <c r="P9" i="19"/>
  <c r="AL9" i="19" s="1"/>
  <c r="DQ9" i="19" s="1"/>
  <c r="Q71" i="30"/>
  <c r="Y23" i="30"/>
  <c r="CV23" i="30" s="1"/>
  <c r="U151" i="30"/>
  <c r="Y151" i="30"/>
  <c r="V151" i="30"/>
  <c r="T135" i="30"/>
  <c r="W135" i="30"/>
  <c r="V135" i="30"/>
  <c r="CA135" i="30" s="1"/>
  <c r="P119" i="30"/>
  <c r="AK119" i="30" s="1"/>
  <c r="T119" i="30"/>
  <c r="Z119" i="30"/>
  <c r="DC119" i="30" s="1"/>
  <c r="Q103" i="30"/>
  <c r="Y103" i="30"/>
  <c r="Q87" i="30"/>
  <c r="W87" i="30"/>
  <c r="R87" i="30"/>
  <c r="X71" i="30"/>
  <c r="O71" i="30"/>
  <c r="V71" i="30"/>
  <c r="CA71" i="30" s="1"/>
  <c r="Q55" i="30"/>
  <c r="AR55" i="30" s="1"/>
  <c r="X55" i="30"/>
  <c r="S39" i="30"/>
  <c r="BF39" i="30" s="1"/>
  <c r="P39" i="30"/>
  <c r="AK39" i="30" s="1"/>
  <c r="T23" i="30"/>
  <c r="R19" i="30"/>
  <c r="X155" i="30"/>
  <c r="CO155" i="30" s="1"/>
  <c r="W155" i="30"/>
  <c r="CH155" i="30" s="1"/>
  <c r="P139" i="30"/>
  <c r="AK139" i="30" s="1"/>
  <c r="S139" i="30"/>
  <c r="BF139" i="30" s="1"/>
  <c r="R139" i="30"/>
  <c r="AY139" i="30" s="1"/>
  <c r="T123" i="30"/>
  <c r="O123" i="30"/>
  <c r="R123" i="30"/>
  <c r="AY123" i="30" s="1"/>
  <c r="Q107" i="30"/>
  <c r="AR107" i="30" s="1"/>
  <c r="T107" i="30"/>
  <c r="V107" i="30"/>
  <c r="CA107" i="30" s="1"/>
  <c r="O91" i="30"/>
  <c r="Y91" i="30"/>
  <c r="CV91" i="30" s="1"/>
  <c r="V91" i="30"/>
  <c r="CA91" i="30" s="1"/>
  <c r="Y75" i="30"/>
  <c r="W75" i="30"/>
  <c r="CH75" i="30" s="1"/>
  <c r="V75" i="30"/>
  <c r="CA75" i="30" s="1"/>
  <c r="R59" i="30"/>
  <c r="O59" i="30"/>
  <c r="T59" i="30"/>
  <c r="BM59" i="30" s="1"/>
  <c r="S43" i="30"/>
  <c r="BF43" i="30" s="1"/>
  <c r="O43" i="30"/>
  <c r="T43" i="30"/>
  <c r="R27" i="30"/>
  <c r="AY27" i="30" s="1"/>
  <c r="O27" i="30"/>
  <c r="T27" i="30"/>
  <c r="S7" i="30"/>
  <c r="BF7" i="30" s="1"/>
  <c r="S163" i="30"/>
  <c r="BF163" i="30" s="1"/>
  <c r="Q163" i="30"/>
  <c r="AR163" i="30" s="1"/>
  <c r="Y163" i="30"/>
  <c r="CV163" i="30" s="1"/>
  <c r="W131" i="30"/>
  <c r="CH131" i="30" s="1"/>
  <c r="T131" i="30"/>
  <c r="U131" i="30"/>
  <c r="BT131" i="30" s="1"/>
  <c r="Q99" i="30"/>
  <c r="AR99" i="30" s="1"/>
  <c r="T99" i="30"/>
  <c r="U99" i="30"/>
  <c r="O83" i="30"/>
  <c r="X83" i="30"/>
  <c r="CO83" i="30" s="1"/>
  <c r="U83" i="30"/>
  <c r="Q35" i="30"/>
  <c r="AR35" i="30" s="1"/>
  <c r="Z35" i="30"/>
  <c r="W35" i="30"/>
  <c r="CH35" i="30" s="1"/>
  <c r="S19" i="30"/>
  <c r="S147" i="30"/>
  <c r="BF147" i="30" s="1"/>
  <c r="W147" i="30"/>
  <c r="CH147" i="30" s="1"/>
  <c r="R147" i="30"/>
  <c r="S115" i="30"/>
  <c r="Q115" i="30"/>
  <c r="AR115" i="30" s="1"/>
  <c r="R115" i="30"/>
  <c r="AY115" i="30" s="1"/>
  <c r="O67" i="30"/>
  <c r="S67" i="30"/>
  <c r="BF67" i="30" s="1"/>
  <c r="R67" i="30"/>
  <c r="Q51" i="30"/>
  <c r="AR51" i="30" s="1"/>
  <c r="S51" i="30"/>
  <c r="BF51" i="30" s="1"/>
  <c r="P51" i="30"/>
  <c r="AK51" i="30" s="1"/>
  <c r="T159" i="30"/>
  <c r="BM159" i="30" s="1"/>
  <c r="S159" i="30"/>
  <c r="U159" i="30"/>
  <c r="X143" i="30"/>
  <c r="CO143" i="30" s="1"/>
  <c r="W143" i="30"/>
  <c r="U143" i="30"/>
  <c r="T127" i="30"/>
  <c r="BM127" i="30" s="1"/>
  <c r="U127" i="30"/>
  <c r="BT127" i="30" s="1"/>
  <c r="W127" i="30"/>
  <c r="CH127" i="30" s="1"/>
  <c r="S111" i="30"/>
  <c r="X111" i="30"/>
  <c r="CO111" i="30" s="1"/>
  <c r="W111" i="30"/>
  <c r="P95" i="30"/>
  <c r="AK95" i="30" s="1"/>
  <c r="O95" i="30"/>
  <c r="W95" i="30"/>
  <c r="CH95" i="30" s="1"/>
  <c r="T79" i="30"/>
  <c r="BM79" i="30" s="1"/>
  <c r="X79" i="30"/>
  <c r="CO79" i="30" s="1"/>
  <c r="W79" i="30"/>
  <c r="CH79" i="30" s="1"/>
  <c r="O63" i="30"/>
  <c r="V63" i="30"/>
  <c r="Y63" i="30"/>
  <c r="CV63" i="30" s="1"/>
  <c r="U47" i="30"/>
  <c r="V47" i="30"/>
  <c r="Y47" i="30"/>
  <c r="CV47" i="30" s="1"/>
  <c r="W31" i="30"/>
  <c r="CH31" i="30" s="1"/>
  <c r="Q31" i="30"/>
  <c r="AR31" i="30" s="1"/>
  <c r="Y31" i="30"/>
  <c r="S15" i="30"/>
  <c r="BD15" i="30" s="1"/>
  <c r="U15" i="30"/>
  <c r="Q15" i="30"/>
  <c r="AS15" i="30" s="1"/>
  <c r="Y155" i="30"/>
  <c r="CV155" i="30" s="1"/>
  <c r="W298" i="19"/>
  <c r="Q266" i="19"/>
  <c r="Q265" i="19"/>
  <c r="X265" i="19"/>
  <c r="X266" i="19"/>
  <c r="V201" i="19"/>
  <c r="V202" i="19"/>
  <c r="T170" i="19"/>
  <c r="T169" i="19"/>
  <c r="BM169" i="19" s="1"/>
  <c r="T305" i="19"/>
  <c r="T306" i="19"/>
  <c r="T274" i="19"/>
  <c r="T273" i="19"/>
  <c r="Z273" i="19"/>
  <c r="Z274" i="19"/>
  <c r="P209" i="19"/>
  <c r="AJ209" i="19" s="1"/>
  <c r="DO209" i="19" s="1"/>
  <c r="P210" i="19"/>
  <c r="AJ210" i="19" s="1"/>
  <c r="DO210" i="19" s="1"/>
  <c r="T178" i="19"/>
  <c r="T177" i="19"/>
  <c r="X146" i="19"/>
  <c r="CO146" i="19" s="1"/>
  <c r="X145" i="19"/>
  <c r="CO145" i="19" s="1"/>
  <c r="FD145" i="19" s="1"/>
  <c r="Q114" i="19"/>
  <c r="AS114" i="19" s="1"/>
  <c r="DV114" i="19" s="1"/>
  <c r="Q113" i="19"/>
  <c r="Z81" i="19"/>
  <c r="DC81" i="19" s="1"/>
  <c r="Z82" i="19"/>
  <c r="Q49" i="19"/>
  <c r="Q50" i="19"/>
  <c r="W322" i="19"/>
  <c r="CH322" i="19" s="1"/>
  <c r="EY322" i="19" s="1"/>
  <c r="W321" i="19"/>
  <c r="V321" i="19"/>
  <c r="CA321" i="19" s="1"/>
  <c r="ET321" i="19" s="1"/>
  <c r="V322" i="19"/>
  <c r="CA322" i="19" s="1"/>
  <c r="Y258" i="19"/>
  <c r="Y257" i="19"/>
  <c r="X193" i="19"/>
  <c r="X194" i="19"/>
  <c r="V194" i="19"/>
  <c r="V193" i="19"/>
  <c r="T289" i="19"/>
  <c r="T290" i="19"/>
  <c r="BM290" i="19" s="1"/>
  <c r="EJ290" i="19" s="1"/>
  <c r="Z226" i="19"/>
  <c r="Z225" i="19"/>
  <c r="P129" i="19"/>
  <c r="AJ129" i="19" s="1"/>
  <c r="DO129" i="19" s="1"/>
  <c r="P130" i="19"/>
  <c r="AJ130" i="19" s="1"/>
  <c r="DO130" i="19" s="1"/>
  <c r="R98" i="19"/>
  <c r="R97" i="19"/>
  <c r="X97" i="19"/>
  <c r="X98" i="19"/>
  <c r="Q159" i="30"/>
  <c r="V159" i="30"/>
  <c r="CA159" i="30" s="1"/>
  <c r="T143" i="30"/>
  <c r="Y127" i="30"/>
  <c r="CV127" i="30" s="1"/>
  <c r="X127" i="30"/>
  <c r="CO127" i="30" s="1"/>
  <c r="T111" i="30"/>
  <c r="V111" i="30"/>
  <c r="CA111" i="30" s="1"/>
  <c r="T95" i="30"/>
  <c r="U79" i="30"/>
  <c r="BT79" i="30" s="1"/>
  <c r="V79" i="30"/>
  <c r="Z63" i="30"/>
  <c r="R47" i="30"/>
  <c r="AY47" i="30" s="1"/>
  <c r="T47" i="30"/>
  <c r="Z31" i="30"/>
  <c r="Z15" i="30"/>
  <c r="DC15" i="30" s="1"/>
  <c r="R15" i="30"/>
  <c r="AY15" i="30" s="1"/>
  <c r="Y19" i="30"/>
  <c r="CV19" i="30" s="1"/>
  <c r="Q19" i="30"/>
  <c r="Z227" i="19"/>
  <c r="P243" i="19"/>
  <c r="AL243" i="19" s="1"/>
  <c r="DQ243" i="19" s="1"/>
  <c r="P179" i="19"/>
  <c r="AJ179" i="19" s="1"/>
  <c r="Z115" i="19"/>
  <c r="DC115" i="19" s="1"/>
  <c r="Z51" i="19"/>
  <c r="W299" i="19"/>
  <c r="CH299" i="19" s="1"/>
  <c r="EY299" i="19" s="1"/>
  <c r="Y267" i="19"/>
  <c r="O203" i="19"/>
  <c r="AC203" i="19" s="1"/>
  <c r="DJ203" i="19" s="1"/>
  <c r="S171" i="19"/>
  <c r="BF171" i="19" s="1"/>
  <c r="Z107" i="19"/>
  <c r="DC107" i="19" s="1"/>
  <c r="Y75" i="19"/>
  <c r="CV75" i="19" s="1"/>
  <c r="Z291" i="19"/>
  <c r="DC291" i="19" s="1"/>
  <c r="Y163" i="19"/>
  <c r="P163" i="30"/>
  <c r="AK163" i="30" s="1"/>
  <c r="Z163" i="30"/>
  <c r="DC163" i="30" s="1"/>
  <c r="P131" i="30"/>
  <c r="AK131" i="30" s="1"/>
  <c r="Y99" i="30"/>
  <c r="CV99" i="30" s="1"/>
  <c r="Z99" i="30"/>
  <c r="Z83" i="30"/>
  <c r="DC83" i="30" s="1"/>
  <c r="R35" i="30"/>
  <c r="O19" i="30"/>
  <c r="X147" i="30"/>
  <c r="CO147" i="30" s="1"/>
  <c r="Y147" i="30"/>
  <c r="CV147" i="30" s="1"/>
  <c r="T115" i="30"/>
  <c r="W67" i="30"/>
  <c r="CH67" i="30" s="1"/>
  <c r="X159" i="30"/>
  <c r="CO159" i="30" s="1"/>
  <c r="Z159" i="30"/>
  <c r="P143" i="30"/>
  <c r="AK143" i="30" s="1"/>
  <c r="S127" i="30"/>
  <c r="BF127" i="30" s="1"/>
  <c r="Z127" i="30"/>
  <c r="Q111" i="30"/>
  <c r="AR111" i="30" s="1"/>
  <c r="Y95" i="30"/>
  <c r="CV95" i="30" s="1"/>
  <c r="Z95" i="30"/>
  <c r="Q79" i="30"/>
  <c r="AR79" i="30" s="1"/>
  <c r="Q63" i="30"/>
  <c r="AR63" i="30" s="1"/>
  <c r="X63" i="30"/>
  <c r="CO63" i="30" s="1"/>
  <c r="S47" i="30"/>
  <c r="BF47" i="30" s="1"/>
  <c r="U31" i="30"/>
  <c r="BT31" i="30" s="1"/>
  <c r="X31" i="30"/>
  <c r="P15" i="30"/>
  <c r="V11" i="30"/>
  <c r="Y11" i="30"/>
  <c r="U11" i="30"/>
  <c r="BT11" i="30" s="1"/>
  <c r="Q11" i="30"/>
  <c r="Z11" i="30"/>
  <c r="S11" i="30"/>
  <c r="O274" i="19"/>
  <c r="P227" i="19"/>
  <c r="AJ227" i="19" s="1"/>
  <c r="Y259" i="19"/>
  <c r="V307" i="19"/>
  <c r="Z243" i="19"/>
  <c r="DC243" i="19" s="1"/>
  <c r="S243" i="19"/>
  <c r="X243" i="19"/>
  <c r="CO243" i="19" s="1"/>
  <c r="FD243" i="19" s="1"/>
  <c r="P211" i="19"/>
  <c r="AJ211" i="19" s="1"/>
  <c r="Q179" i="19"/>
  <c r="V83" i="19"/>
  <c r="CA83" i="19" s="1"/>
  <c r="P51" i="19"/>
  <c r="AJ51" i="19" s="1"/>
  <c r="V259" i="19"/>
  <c r="X75" i="19"/>
  <c r="P267" i="19"/>
  <c r="AJ267" i="19" s="1"/>
  <c r="Q267" i="19"/>
  <c r="S235" i="19"/>
  <c r="BF235" i="19" s="1"/>
  <c r="EE235" i="19" s="1"/>
  <c r="X235" i="19"/>
  <c r="CO235" i="19" s="1"/>
  <c r="W203" i="19"/>
  <c r="P171" i="19"/>
  <c r="AK171" i="19" s="1"/>
  <c r="DP171" i="19" s="1"/>
  <c r="Y139" i="19"/>
  <c r="S139" i="19"/>
  <c r="T107" i="19"/>
  <c r="BM107" i="19" s="1"/>
  <c r="Q75" i="19"/>
  <c r="AS75" i="19" s="1"/>
  <c r="DV75" i="19" s="1"/>
  <c r="X43" i="19"/>
  <c r="S43" i="19"/>
  <c r="Q291" i="19"/>
  <c r="AR291" i="19" s="1"/>
  <c r="DU291" i="19" s="1"/>
  <c r="V163" i="19"/>
  <c r="W323" i="19"/>
  <c r="CH323" i="19" s="1"/>
  <c r="O323" i="19"/>
  <c r="AD323" i="19" s="1"/>
  <c r="DK323" i="19" s="1"/>
  <c r="V323" i="19"/>
  <c r="W195" i="19"/>
  <c r="S67" i="19"/>
  <c r="O306" i="19"/>
  <c r="W194" i="19"/>
  <c r="W50" i="19"/>
  <c r="CH50" i="19" s="1"/>
  <c r="S170" i="19"/>
  <c r="BF170" i="19" s="1"/>
  <c r="EE170" i="19" s="1"/>
  <c r="S113" i="19"/>
  <c r="BF113" i="19" s="1"/>
  <c r="EE113" i="19" s="1"/>
  <c r="W105" i="19"/>
  <c r="O98" i="19"/>
  <c r="AC98" i="19" s="1"/>
  <c r="DJ98" i="19" s="1"/>
  <c r="W81" i="19"/>
  <c r="CH81" i="19" s="1"/>
  <c r="S41" i="19"/>
  <c r="R11" i="30"/>
  <c r="AY11" i="30" s="1"/>
  <c r="O151" i="30"/>
  <c r="S151" i="30"/>
  <c r="BF151" i="30" s="1"/>
  <c r="O135" i="30"/>
  <c r="S135" i="30"/>
  <c r="BF135" i="30" s="1"/>
  <c r="Q119" i="30"/>
  <c r="Y119" i="30"/>
  <c r="CV119" i="30" s="1"/>
  <c r="U103" i="30"/>
  <c r="X103" i="30"/>
  <c r="X87" i="30"/>
  <c r="O87" i="30"/>
  <c r="V87" i="30"/>
  <c r="CA87" i="30" s="1"/>
  <c r="W71" i="30"/>
  <c r="T71" i="30"/>
  <c r="R55" i="30"/>
  <c r="AY55" i="30" s="1"/>
  <c r="V55" i="30"/>
  <c r="W39" i="30"/>
  <c r="Z39" i="30"/>
  <c r="T39" i="30"/>
  <c r="BM39" i="30" s="1"/>
  <c r="P23" i="30"/>
  <c r="AK23" i="30" s="1"/>
  <c r="W107" i="30"/>
  <c r="CH107" i="30" s="1"/>
  <c r="P155" i="30"/>
  <c r="AK155" i="30" s="1"/>
  <c r="U155" i="30"/>
  <c r="X139" i="30"/>
  <c r="Y139" i="30"/>
  <c r="V139" i="30"/>
  <c r="CA139" i="30" s="1"/>
  <c r="Q123" i="30"/>
  <c r="U123" i="30"/>
  <c r="O107" i="30"/>
  <c r="S107" i="30"/>
  <c r="W91" i="30"/>
  <c r="CH91" i="30" s="1"/>
  <c r="S91" i="30"/>
  <c r="U75" i="30"/>
  <c r="S75" i="30"/>
  <c r="Y59" i="30"/>
  <c r="CV59" i="30" s="1"/>
  <c r="U59" i="30"/>
  <c r="BT59" i="30" s="1"/>
  <c r="Q43" i="30"/>
  <c r="AR43" i="30" s="1"/>
  <c r="U43" i="30"/>
  <c r="S27" i="30"/>
  <c r="U27" i="30"/>
  <c r="BT27" i="30" s="1"/>
  <c r="X7" i="30"/>
  <c r="U163" i="30"/>
  <c r="X163" i="30"/>
  <c r="CO163" i="30" s="1"/>
  <c r="X131" i="30"/>
  <c r="CO131" i="30" s="1"/>
  <c r="S131" i="30"/>
  <c r="S99" i="30"/>
  <c r="BF99" i="30" s="1"/>
  <c r="O99" i="30"/>
  <c r="Q83" i="30"/>
  <c r="AR83" i="30" s="1"/>
  <c r="W83" i="30"/>
  <c r="CH83" i="30" s="1"/>
  <c r="V35" i="30"/>
  <c r="U35" i="30"/>
  <c r="Z19" i="30"/>
  <c r="DC19" i="30" s="1"/>
  <c r="T19" i="30"/>
  <c r="U147" i="30"/>
  <c r="O147" i="30"/>
  <c r="Y115" i="30"/>
  <c r="X115" i="30"/>
  <c r="CO115" i="30" s="1"/>
  <c r="Q67" i="30"/>
  <c r="AR67" i="30" s="1"/>
  <c r="Y67" i="30"/>
  <c r="V51" i="30"/>
  <c r="CA51" i="30" s="1"/>
  <c r="Z51" i="30"/>
  <c r="DC51" i="30" s="1"/>
  <c r="Y159" i="30"/>
  <c r="CV159" i="30" s="1"/>
  <c r="O159" i="30"/>
  <c r="Y143" i="30"/>
  <c r="CV143" i="30" s="1"/>
  <c r="S143" i="30"/>
  <c r="O127" i="30"/>
  <c r="P127" i="30"/>
  <c r="AK127" i="30" s="1"/>
  <c r="Y111" i="30"/>
  <c r="CV111" i="30" s="1"/>
  <c r="O111" i="30"/>
  <c r="U95" i="30"/>
  <c r="X95" i="30"/>
  <c r="CO95" i="30" s="1"/>
  <c r="P79" i="30"/>
  <c r="AK79" i="30" s="1"/>
  <c r="S79" i="30"/>
  <c r="W63" i="30"/>
  <c r="R63" i="30"/>
  <c r="AY63" i="30" s="1"/>
  <c r="Z47" i="30"/>
  <c r="Q47" i="30"/>
  <c r="V31" i="30"/>
  <c r="R31" i="30"/>
  <c r="AY31" i="30" s="1"/>
  <c r="W15" i="30"/>
  <c r="Y15" i="30"/>
  <c r="R7" i="30"/>
  <c r="AY7" i="30" s="1"/>
  <c r="DK131" i="30" l="1"/>
  <c r="DO11" i="30"/>
  <c r="DJ51" i="30"/>
  <c r="DK75" i="30"/>
  <c r="DJ131" i="30"/>
  <c r="CN11" i="54"/>
  <c r="FO7" i="30"/>
  <c r="T37" i="35"/>
  <c r="GY37" i="35" s="1"/>
  <c r="CH20" i="19"/>
  <c r="EY20" i="19" s="1"/>
  <c r="CI20" i="19"/>
  <c r="EZ20" i="19" s="1"/>
  <c r="CO21" i="19"/>
  <c r="FD21" i="19" s="1"/>
  <c r="CP21" i="19"/>
  <c r="FE21" i="19" s="1"/>
  <c r="CO19" i="19"/>
  <c r="FD19" i="19" s="1"/>
  <c r="CP19" i="19"/>
  <c r="FE19" i="19" s="1"/>
  <c r="Z38" i="35"/>
  <c r="EA79" i="30"/>
  <c r="EA107" i="30"/>
  <c r="DJ103" i="30"/>
  <c r="DJ115" i="30"/>
  <c r="CH21" i="19"/>
  <c r="EY21" i="19" s="1"/>
  <c r="CI21" i="19"/>
  <c r="EZ21" i="19" s="1"/>
  <c r="BM21" i="19"/>
  <c r="EJ21" i="19" s="1"/>
  <c r="BN21" i="19"/>
  <c r="EK21" i="19" s="1"/>
  <c r="EK55" i="30"/>
  <c r="BM18" i="19"/>
  <c r="EJ18" i="19" s="1"/>
  <c r="BN18" i="19"/>
  <c r="EK18" i="19" s="1"/>
  <c r="EK147" i="30"/>
  <c r="EF35" i="30"/>
  <c r="BM19" i="19"/>
  <c r="EJ19" i="19" s="1"/>
  <c r="BN19" i="19"/>
  <c r="EK19" i="19" s="1"/>
  <c r="CH18" i="19"/>
  <c r="EY18" i="19" s="1"/>
  <c r="CI18" i="19"/>
  <c r="EZ18" i="19" s="1"/>
  <c r="BM20" i="19"/>
  <c r="EJ20" i="19" s="1"/>
  <c r="BN20" i="19"/>
  <c r="EK20" i="19" s="1"/>
  <c r="CO18" i="19"/>
  <c r="FD18" i="19" s="1"/>
  <c r="CP18" i="19"/>
  <c r="FE18" i="19" s="1"/>
  <c r="CH19" i="19"/>
  <c r="EY19" i="19" s="1"/>
  <c r="CI19" i="19"/>
  <c r="EZ19" i="19" s="1"/>
  <c r="AU25" i="35"/>
  <c r="AG28" i="35"/>
  <c r="AN24" i="35"/>
  <c r="EA127" i="30"/>
  <c r="Z13" i="35"/>
  <c r="Z40" i="35"/>
  <c r="CO20" i="19"/>
  <c r="FD20" i="19" s="1"/>
  <c r="CP20" i="19"/>
  <c r="FE20" i="19" s="1"/>
  <c r="EF55" i="30"/>
  <c r="Z43" i="35"/>
  <c r="DK139" i="30"/>
  <c r="S9" i="35"/>
  <c r="AN25" i="35"/>
  <c r="EY11" i="30"/>
  <c r="EJ11" i="30"/>
  <c r="DK163" i="30"/>
  <c r="DJ139" i="30"/>
  <c r="DK119" i="30"/>
  <c r="DK115" i="30"/>
  <c r="FD15" i="30"/>
  <c r="BO26" i="35"/>
  <c r="FD95" i="30"/>
  <c r="CW67" i="30"/>
  <c r="BW19" i="35" s="1"/>
  <c r="CV67" i="30"/>
  <c r="AC99" i="30"/>
  <c r="C27" i="35" s="1"/>
  <c r="AD99" i="30"/>
  <c r="D27" i="35" s="1"/>
  <c r="BG27" i="30"/>
  <c r="BF27" i="30"/>
  <c r="EJ39" i="30"/>
  <c r="AM12" i="35"/>
  <c r="EE151" i="30"/>
  <c r="AF40" i="35"/>
  <c r="BD11" i="30"/>
  <c r="AD5" i="35" s="1"/>
  <c r="BF11" i="30"/>
  <c r="EO31" i="30"/>
  <c r="AT10" i="35"/>
  <c r="DU79" i="30"/>
  <c r="R22" i="35"/>
  <c r="DD127" i="30"/>
  <c r="CD34" i="35" s="1"/>
  <c r="DC127" i="30"/>
  <c r="FD159" i="30"/>
  <c r="BO42" i="35"/>
  <c r="FD147" i="30"/>
  <c r="BO39" i="35"/>
  <c r="DD99" i="30"/>
  <c r="CD27" i="35" s="1"/>
  <c r="DC99" i="30"/>
  <c r="DZ15" i="30"/>
  <c r="Y6" i="35"/>
  <c r="Y14" i="35"/>
  <c r="DZ47" i="30"/>
  <c r="BN95" i="30"/>
  <c r="BM95" i="30"/>
  <c r="FI127" i="30"/>
  <c r="BV34" i="35"/>
  <c r="DU31" i="30"/>
  <c r="R10" i="35"/>
  <c r="BU47" i="30"/>
  <c r="EP47" i="30" s="1"/>
  <c r="BT47" i="30"/>
  <c r="EY79" i="30"/>
  <c r="BH22" i="35"/>
  <c r="AC95" i="30"/>
  <c r="AD95" i="30"/>
  <c r="D26" i="35" s="1"/>
  <c r="BG111" i="30"/>
  <c r="EF111" i="30" s="1"/>
  <c r="BF111" i="30"/>
  <c r="BU143" i="30"/>
  <c r="EP143" i="30" s="1"/>
  <c r="BT143" i="30"/>
  <c r="BG159" i="30"/>
  <c r="BF159" i="30"/>
  <c r="DU51" i="30"/>
  <c r="R15" i="35"/>
  <c r="DZ115" i="30"/>
  <c r="Y31" i="35"/>
  <c r="BH39" i="35"/>
  <c r="EY147" i="30"/>
  <c r="DD35" i="30"/>
  <c r="CD11" i="35" s="1"/>
  <c r="DC35" i="30"/>
  <c r="AC83" i="30"/>
  <c r="AD83" i="30"/>
  <c r="EO131" i="30"/>
  <c r="AT35" i="35"/>
  <c r="DU163" i="30"/>
  <c r="R43" i="35"/>
  <c r="AC27" i="30"/>
  <c r="C9" i="35" s="1"/>
  <c r="AD27" i="30"/>
  <c r="D9" i="35" s="1"/>
  <c r="EE43" i="30"/>
  <c r="AF13" i="35"/>
  <c r="BA21" i="35"/>
  <c r="ET75" i="30"/>
  <c r="FI91" i="30"/>
  <c r="BV25" i="35"/>
  <c r="R29" i="35"/>
  <c r="DU107" i="30"/>
  <c r="Y37" i="35"/>
  <c r="DZ139" i="30"/>
  <c r="BO41" i="35"/>
  <c r="FD155" i="30"/>
  <c r="EE39" i="30"/>
  <c r="AF12" i="35"/>
  <c r="AC71" i="30"/>
  <c r="AD71" i="30"/>
  <c r="D20" i="35" s="1"/>
  <c r="AS87" i="30"/>
  <c r="AR87" i="30"/>
  <c r="BN119" i="30"/>
  <c r="AN32" i="35" s="1"/>
  <c r="BM119" i="30"/>
  <c r="BN135" i="30"/>
  <c r="EK135" i="30" s="1"/>
  <c r="BM135" i="30"/>
  <c r="BV8" i="35"/>
  <c r="FI23" i="30"/>
  <c r="AC39" i="30"/>
  <c r="C12" i="35" s="1"/>
  <c r="AD39" i="30"/>
  <c r="DD23" i="30"/>
  <c r="CD8" i="35" s="1"/>
  <c r="DC23" i="30"/>
  <c r="BG31" i="30"/>
  <c r="EF31" i="30" s="1"/>
  <c r="BF31" i="30"/>
  <c r="CC22" i="35"/>
  <c r="FN79" i="30"/>
  <c r="CW51" i="30"/>
  <c r="BW15" i="35" s="1"/>
  <c r="CV51" i="30"/>
  <c r="BH31" i="35"/>
  <c r="EY115" i="30"/>
  <c r="AC35" i="30"/>
  <c r="C11" i="35" s="1"/>
  <c r="AD35" i="30"/>
  <c r="FN131" i="30"/>
  <c r="CC35" i="35"/>
  <c r="EJ31" i="30"/>
  <c r="AM10" i="35"/>
  <c r="AT18" i="35"/>
  <c r="EO63" i="30"/>
  <c r="BU111" i="30"/>
  <c r="EP111" i="30" s="1"/>
  <c r="BT111" i="30"/>
  <c r="CI159" i="30"/>
  <c r="BI42" i="35" s="1"/>
  <c r="CH159" i="30"/>
  <c r="CC13" i="35"/>
  <c r="FN43" i="30"/>
  <c r="EJ87" i="30"/>
  <c r="G89" i="30" s="1"/>
  <c r="AM24" i="35"/>
  <c r="DZ51" i="30"/>
  <c r="E53" i="30" s="1"/>
  <c r="Y15" i="35"/>
  <c r="AF17" i="35"/>
  <c r="EE59" i="30"/>
  <c r="EO91" i="30"/>
  <c r="H92" i="30" s="1"/>
  <c r="MF25" i="35" s="1"/>
  <c r="AT25" i="35"/>
  <c r="EO139" i="30"/>
  <c r="H141" i="30" s="1"/>
  <c r="AT37" i="35"/>
  <c r="EO55" i="30"/>
  <c r="H57" i="30" s="1"/>
  <c r="AT16" i="35"/>
  <c r="EJ103" i="30"/>
  <c r="G105" i="30" s="1"/>
  <c r="AM28" i="35"/>
  <c r="AM40" i="35"/>
  <c r="EJ151" i="30"/>
  <c r="G153" i="30" s="1"/>
  <c r="DZ103" i="30"/>
  <c r="E104" i="30" s="1"/>
  <c r="MC28" i="35" s="1"/>
  <c r="Y28" i="35"/>
  <c r="K5" i="35"/>
  <c r="DP11" i="30"/>
  <c r="EJ35" i="30"/>
  <c r="AM11" i="35"/>
  <c r="EE123" i="30"/>
  <c r="F125" i="30" s="1"/>
  <c r="AF33" i="35"/>
  <c r="AM37" i="35"/>
  <c r="EJ139" i="30"/>
  <c r="G141" i="30" s="1"/>
  <c r="D28" i="35"/>
  <c r="DK103" i="30"/>
  <c r="AT32" i="35"/>
  <c r="EO119" i="30"/>
  <c r="H120" i="30" s="1"/>
  <c r="MF32" i="35" s="1"/>
  <c r="DZ83" i="30"/>
  <c r="Y23" i="35"/>
  <c r="EJ51" i="30"/>
  <c r="G52" i="30" s="1"/>
  <c r="ME15" i="35" s="1"/>
  <c r="AM15" i="35"/>
  <c r="Y13" i="35"/>
  <c r="DZ43" i="30"/>
  <c r="E44" i="30" s="1"/>
  <c r="MC13" i="35" s="1"/>
  <c r="DZ75" i="30"/>
  <c r="Y21" i="35"/>
  <c r="AT29" i="35"/>
  <c r="EO107" i="30"/>
  <c r="H108" i="30" s="1"/>
  <c r="MF29" i="35" s="1"/>
  <c r="D41" i="35"/>
  <c r="DK155" i="30"/>
  <c r="EJ55" i="30"/>
  <c r="G56" i="30" s="1"/>
  <c r="ME16" i="35" s="1"/>
  <c r="AM16" i="35"/>
  <c r="AT20" i="35"/>
  <c r="EO71" i="30"/>
  <c r="H73" i="30" s="1"/>
  <c r="EO135" i="30"/>
  <c r="H136" i="30" s="1"/>
  <c r="MF36" i="35" s="1"/>
  <c r="AT36" i="35"/>
  <c r="EE23" i="30"/>
  <c r="F24" i="30" s="1"/>
  <c r="MD8" i="35" s="1"/>
  <c r="AF8" i="35"/>
  <c r="Y38" i="35"/>
  <c r="DZ143" i="30"/>
  <c r="E145" i="30" s="1"/>
  <c r="DZ111" i="30"/>
  <c r="E113" i="30" s="1"/>
  <c r="Y30" i="35"/>
  <c r="DZ79" i="30"/>
  <c r="E81" i="30" s="1"/>
  <c r="Y22" i="35"/>
  <c r="AC147" i="30"/>
  <c r="C39" i="35" s="1"/>
  <c r="AD147" i="30"/>
  <c r="D39" i="35" s="1"/>
  <c r="FI59" i="30"/>
  <c r="BV17" i="35"/>
  <c r="AS123" i="30"/>
  <c r="AR123" i="30"/>
  <c r="BV32" i="35"/>
  <c r="FI119" i="30"/>
  <c r="DZ7" i="30"/>
  <c r="Y4" i="35"/>
  <c r="CB31" i="30"/>
  <c r="BB10" i="35" s="1"/>
  <c r="CA31" i="30"/>
  <c r="CI63" i="30"/>
  <c r="BI18" i="35" s="1"/>
  <c r="CH63" i="30"/>
  <c r="BU95" i="30"/>
  <c r="BT95" i="30"/>
  <c r="AC127" i="30"/>
  <c r="C34" i="35" s="1"/>
  <c r="AD127" i="30"/>
  <c r="D34" i="35" s="1"/>
  <c r="BV42" i="35"/>
  <c r="FI159" i="30"/>
  <c r="DU67" i="30"/>
  <c r="R19" i="35"/>
  <c r="BU147" i="30"/>
  <c r="BT147" i="30"/>
  <c r="CB35" i="30"/>
  <c r="BB11" i="35" s="1"/>
  <c r="CA35" i="30"/>
  <c r="EE99" i="30"/>
  <c r="AF27" i="35"/>
  <c r="BU163" i="30"/>
  <c r="BT163" i="30"/>
  <c r="BU43" i="30"/>
  <c r="BT43" i="30"/>
  <c r="BG75" i="30"/>
  <c r="EF75" i="30" s="1"/>
  <c r="BF75" i="30"/>
  <c r="BG107" i="30"/>
  <c r="AG29" i="35" s="1"/>
  <c r="BF107" i="30"/>
  <c r="BA37" i="35"/>
  <c r="ET139" i="30"/>
  <c r="DD39" i="30"/>
  <c r="CD12" i="35" s="1"/>
  <c r="DC39" i="30"/>
  <c r="BN71" i="30"/>
  <c r="EK71" i="30" s="1"/>
  <c r="BM71" i="30"/>
  <c r="CP87" i="30"/>
  <c r="BP24" i="35" s="1"/>
  <c r="CO87" i="30"/>
  <c r="AS119" i="30"/>
  <c r="AR119" i="30"/>
  <c r="AC151" i="30"/>
  <c r="AD151" i="30"/>
  <c r="D40" i="35" s="1"/>
  <c r="BY11" i="30"/>
  <c r="ER11" i="30" s="1"/>
  <c r="CA11" i="30"/>
  <c r="EE47" i="30"/>
  <c r="AF14" i="35"/>
  <c r="DD95" i="30"/>
  <c r="CD26" i="35" s="1"/>
  <c r="DC95" i="30"/>
  <c r="EE127" i="30"/>
  <c r="AF34" i="35"/>
  <c r="BH19" i="35"/>
  <c r="EY67" i="30"/>
  <c r="BV27" i="35"/>
  <c r="FI99" i="30"/>
  <c r="FN15" i="30"/>
  <c r="CC6" i="35"/>
  <c r="DD63" i="30"/>
  <c r="CD18" i="35" s="1"/>
  <c r="DC63" i="30"/>
  <c r="BA30" i="35"/>
  <c r="ET111" i="30"/>
  <c r="BN143" i="30"/>
  <c r="EK143" i="30" s="1"/>
  <c r="BM143" i="30"/>
  <c r="BR15" i="30"/>
  <c r="BT15" i="30"/>
  <c r="BH10" i="35"/>
  <c r="EY31" i="30"/>
  <c r="BV18" i="35"/>
  <c r="FI63" i="30"/>
  <c r="BO22" i="35"/>
  <c r="FD79" i="30"/>
  <c r="EY127" i="30"/>
  <c r="BH34" i="35"/>
  <c r="CI143" i="30"/>
  <c r="BI38" i="35" s="1"/>
  <c r="CH143" i="30"/>
  <c r="AM42" i="35"/>
  <c r="EJ159" i="30"/>
  <c r="AZ67" i="30"/>
  <c r="EA67" i="30" s="1"/>
  <c r="AY67" i="30"/>
  <c r="R31" i="35"/>
  <c r="DU115" i="30"/>
  <c r="EE147" i="30"/>
  <c r="AF39" i="35"/>
  <c r="R11" i="35"/>
  <c r="DU35" i="30"/>
  <c r="BU99" i="30"/>
  <c r="AU27" i="35" s="1"/>
  <c r="BT99" i="30"/>
  <c r="BN131" i="30"/>
  <c r="AN35" i="35" s="1"/>
  <c r="BM131" i="30"/>
  <c r="EE163" i="30"/>
  <c r="AF43" i="35"/>
  <c r="DZ27" i="30"/>
  <c r="Y9" i="35"/>
  <c r="EJ59" i="30"/>
  <c r="AM17" i="35"/>
  <c r="EY75" i="30"/>
  <c r="BH21" i="35"/>
  <c r="AC91" i="30"/>
  <c r="AD91" i="30"/>
  <c r="D25" i="35" s="1"/>
  <c r="Y33" i="35"/>
  <c r="DZ123" i="30"/>
  <c r="EE139" i="30"/>
  <c r="AF37" i="35"/>
  <c r="CP55" i="30"/>
  <c r="BP16" i="35" s="1"/>
  <c r="CO55" i="30"/>
  <c r="CP71" i="30"/>
  <c r="BP20" i="35" s="1"/>
  <c r="CO71" i="30"/>
  <c r="CW103" i="30"/>
  <c r="BW28" i="35" s="1"/>
  <c r="CV103" i="30"/>
  <c r="CB151" i="30"/>
  <c r="BB40" i="35" s="1"/>
  <c r="CA151" i="30"/>
  <c r="AS71" i="30"/>
  <c r="AR71" i="30"/>
  <c r="EY23" i="30"/>
  <c r="BH8" i="35"/>
  <c r="DU23" i="30"/>
  <c r="R8" i="35"/>
  <c r="BO14" i="35"/>
  <c r="FD47" i="30"/>
  <c r="AC79" i="30"/>
  <c r="AD79" i="30"/>
  <c r="D22" i="35" s="1"/>
  <c r="DU127" i="30"/>
  <c r="R34" i="35"/>
  <c r="BZ19" i="30"/>
  <c r="AZ7" i="35" s="1"/>
  <c r="JK7" i="35" s="1"/>
  <c r="CA19" i="30"/>
  <c r="BU67" i="30"/>
  <c r="AU19" i="35" s="1"/>
  <c r="BT67" i="30"/>
  <c r="R35" i="35"/>
  <c r="DU131" i="30"/>
  <c r="AC31" i="30"/>
  <c r="C10" i="35" s="1"/>
  <c r="AD31" i="30"/>
  <c r="BV22" i="35"/>
  <c r="FI79" i="30"/>
  <c r="CB127" i="30"/>
  <c r="BB34" i="35" s="1"/>
  <c r="CA127" i="30"/>
  <c r="DZ63" i="30"/>
  <c r="Y18" i="35"/>
  <c r="BO43" i="35"/>
  <c r="FD163" i="30"/>
  <c r="DZ55" i="30"/>
  <c r="Y16" i="35"/>
  <c r="AC87" i="30"/>
  <c r="C24" i="35" s="1"/>
  <c r="AD87" i="30"/>
  <c r="D24" i="35" s="1"/>
  <c r="AS47" i="30"/>
  <c r="AR47" i="30"/>
  <c r="BG79" i="30"/>
  <c r="BF79" i="30"/>
  <c r="AC111" i="30"/>
  <c r="DJ111" i="30" s="1"/>
  <c r="AD111" i="30"/>
  <c r="D30" i="35" s="1"/>
  <c r="BG143" i="30"/>
  <c r="AG38" i="35" s="1"/>
  <c r="BF143" i="30"/>
  <c r="FN51" i="30"/>
  <c r="CC15" i="35"/>
  <c r="FD115" i="30"/>
  <c r="BO31" i="35"/>
  <c r="BH23" i="35"/>
  <c r="EY83" i="30"/>
  <c r="BG131" i="30"/>
  <c r="AG35" i="35" s="1"/>
  <c r="BF131" i="30"/>
  <c r="DU43" i="30"/>
  <c r="R13" i="35"/>
  <c r="BU75" i="30"/>
  <c r="BT75" i="30"/>
  <c r="AC107" i="30"/>
  <c r="C29" i="35" s="1"/>
  <c r="AD107" i="30"/>
  <c r="D29" i="35" s="1"/>
  <c r="CW139" i="30"/>
  <c r="BW37" i="35" s="1"/>
  <c r="CV139" i="30"/>
  <c r="EY107" i="30"/>
  <c r="BH29" i="35"/>
  <c r="CI39" i="30"/>
  <c r="BI12" i="35" s="1"/>
  <c r="CH39" i="30"/>
  <c r="CI71" i="30"/>
  <c r="BI20" i="35" s="1"/>
  <c r="CH71" i="30"/>
  <c r="CP103" i="30"/>
  <c r="BP28" i="35" s="1"/>
  <c r="CO103" i="30"/>
  <c r="EE135" i="30"/>
  <c r="AF36" i="35"/>
  <c r="BO18" i="35"/>
  <c r="FD63" i="30"/>
  <c r="BV26" i="35"/>
  <c r="FI95" i="30"/>
  <c r="BN115" i="30"/>
  <c r="EK115" i="30" s="1"/>
  <c r="BM115" i="30"/>
  <c r="AZ35" i="30"/>
  <c r="AY35" i="30"/>
  <c r="DD31" i="30"/>
  <c r="CD10" i="35" s="1"/>
  <c r="DC31" i="30"/>
  <c r="CB79" i="30"/>
  <c r="BB22" i="35" s="1"/>
  <c r="CA79" i="30"/>
  <c r="BN111" i="30"/>
  <c r="AN30" i="35" s="1"/>
  <c r="BM111" i="30"/>
  <c r="BA42" i="35"/>
  <c r="ET159" i="30"/>
  <c r="BV14" i="35"/>
  <c r="FI47" i="30"/>
  <c r="CB63" i="30"/>
  <c r="BB18" i="35" s="1"/>
  <c r="CA63" i="30"/>
  <c r="EJ79" i="30"/>
  <c r="AM22" i="35"/>
  <c r="CI111" i="30"/>
  <c r="BI30" i="35" s="1"/>
  <c r="CH111" i="30"/>
  <c r="EO127" i="30"/>
  <c r="AT34" i="35"/>
  <c r="BO38" i="35"/>
  <c r="FD143" i="30"/>
  <c r="AF19" i="35"/>
  <c r="EE67" i="30"/>
  <c r="BG115" i="30"/>
  <c r="BF115" i="30"/>
  <c r="BG19" i="30"/>
  <c r="BF19" i="30"/>
  <c r="BU83" i="30"/>
  <c r="EP83" i="30" s="1"/>
  <c r="BT83" i="30"/>
  <c r="BN99" i="30"/>
  <c r="AN27" i="35" s="1"/>
  <c r="BM99" i="30"/>
  <c r="BH35" i="35"/>
  <c r="EY131" i="30"/>
  <c r="BN43" i="30"/>
  <c r="BM43" i="30"/>
  <c r="AC59" i="30"/>
  <c r="AD59" i="30"/>
  <c r="CW75" i="30"/>
  <c r="BW21" i="35" s="1"/>
  <c r="CV75" i="30"/>
  <c r="BA29" i="35"/>
  <c r="ET107" i="30"/>
  <c r="AC123" i="30"/>
  <c r="AD123" i="30"/>
  <c r="D33" i="35" s="1"/>
  <c r="BN23" i="30"/>
  <c r="EK23" i="30" s="1"/>
  <c r="BM23" i="30"/>
  <c r="R16" i="35"/>
  <c r="DU55" i="30"/>
  <c r="AZ87" i="30"/>
  <c r="AY87" i="30"/>
  <c r="AS103" i="30"/>
  <c r="AR103" i="30"/>
  <c r="BA36" i="35"/>
  <c r="ET135" i="30"/>
  <c r="CW151" i="30"/>
  <c r="BW40" i="35" s="1"/>
  <c r="CV151" i="30"/>
  <c r="AZ23" i="30"/>
  <c r="AY23" i="30"/>
  <c r="CB23" i="30"/>
  <c r="BB8" i="35" s="1"/>
  <c r="CA23" i="30"/>
  <c r="BA6" i="35"/>
  <c r="ET15" i="30"/>
  <c r="AC47" i="30"/>
  <c r="C14" i="35" s="1"/>
  <c r="AD47" i="30"/>
  <c r="DU95" i="30"/>
  <c r="R26" i="35"/>
  <c r="DD143" i="30"/>
  <c r="CD38" i="35" s="1"/>
  <c r="DC143" i="30"/>
  <c r="BH15" i="35"/>
  <c r="EY51" i="30"/>
  <c r="FD67" i="30"/>
  <c r="BO19" i="35"/>
  <c r="BH7" i="35"/>
  <c r="EY19" i="30"/>
  <c r="BG83" i="30"/>
  <c r="BF83" i="30"/>
  <c r="BN163" i="30"/>
  <c r="EK163" i="30" s="1"/>
  <c r="BM163" i="30"/>
  <c r="BH14" i="35"/>
  <c r="EY47" i="30"/>
  <c r="CB95" i="30"/>
  <c r="BB26" i="35" s="1"/>
  <c r="CA95" i="30"/>
  <c r="CB143" i="30"/>
  <c r="BB38" i="35" s="1"/>
  <c r="CA143" i="30"/>
  <c r="E105" i="30"/>
  <c r="G37" i="30"/>
  <c r="F61" i="30"/>
  <c r="E85" i="30"/>
  <c r="E76" i="30"/>
  <c r="MC21" i="35" s="1"/>
  <c r="EE35" i="30"/>
  <c r="AF11" i="35"/>
  <c r="DU27" i="30"/>
  <c r="R9" i="35"/>
  <c r="EE155" i="30"/>
  <c r="F157" i="30" s="1"/>
  <c r="AF41" i="35"/>
  <c r="AF20" i="35"/>
  <c r="EE71" i="30"/>
  <c r="F73" i="30" s="1"/>
  <c r="AF32" i="35"/>
  <c r="EE119" i="30"/>
  <c r="F121" i="30" s="1"/>
  <c r="Y41" i="35"/>
  <c r="DZ155" i="30"/>
  <c r="E157" i="30" s="1"/>
  <c r="EJ67" i="30"/>
  <c r="G69" i="30" s="1"/>
  <c r="AM19" i="35"/>
  <c r="DZ91" i="30"/>
  <c r="E93" i="30" s="1"/>
  <c r="Y25" i="35"/>
  <c r="DZ39" i="30"/>
  <c r="E40" i="30" s="1"/>
  <c r="MC12" i="35" s="1"/>
  <c r="Y12" i="35"/>
  <c r="DZ71" i="30"/>
  <c r="E73" i="30" s="1"/>
  <c r="Y20" i="35"/>
  <c r="Y40" i="35"/>
  <c r="DZ151" i="30"/>
  <c r="E152" i="30" s="1"/>
  <c r="MC40" i="35" s="1"/>
  <c r="EO87" i="30"/>
  <c r="H88" i="30" s="1"/>
  <c r="MF24" i="35" s="1"/>
  <c r="AT24" i="35"/>
  <c r="EE55" i="30"/>
  <c r="F56" i="30" s="1"/>
  <c r="MD16" i="35" s="1"/>
  <c r="AF16" i="35"/>
  <c r="D15" i="35"/>
  <c r="DK51" i="30"/>
  <c r="AM39" i="35"/>
  <c r="EJ147" i="30"/>
  <c r="G148" i="30" s="1"/>
  <c r="ME39" i="35" s="1"/>
  <c r="EJ83" i="30"/>
  <c r="G84" i="30" s="1"/>
  <c r="ME23" i="35" s="1"/>
  <c r="AM23" i="35"/>
  <c r="EJ91" i="30"/>
  <c r="G93" i="30" s="1"/>
  <c r="AM25" i="35"/>
  <c r="AM41" i="35"/>
  <c r="EJ155" i="30"/>
  <c r="G157" i="30" s="1"/>
  <c r="EE87" i="30"/>
  <c r="F88" i="30" s="1"/>
  <c r="MD24" i="35" s="1"/>
  <c r="AF24" i="35"/>
  <c r="DZ119" i="30"/>
  <c r="E121" i="30" s="1"/>
  <c r="Y32" i="35"/>
  <c r="Y43" i="35"/>
  <c r="DZ163" i="30"/>
  <c r="E165" i="30" s="1"/>
  <c r="Y35" i="35"/>
  <c r="DZ131" i="30"/>
  <c r="E133" i="30" s="1"/>
  <c r="DZ99" i="30"/>
  <c r="E101" i="30" s="1"/>
  <c r="Y27" i="35"/>
  <c r="EJ75" i="30"/>
  <c r="G76" i="30" s="1"/>
  <c r="ME21" i="35" s="1"/>
  <c r="AM21" i="35"/>
  <c r="DZ107" i="30"/>
  <c r="E109" i="30" s="1"/>
  <c r="Y29" i="35"/>
  <c r="EE103" i="30"/>
  <c r="F104" i="30" s="1"/>
  <c r="MD28" i="35" s="1"/>
  <c r="AF28" i="35"/>
  <c r="Y36" i="35"/>
  <c r="DZ135" i="30"/>
  <c r="E137" i="30" s="1"/>
  <c r="Y42" i="35"/>
  <c r="DZ159" i="30"/>
  <c r="E161" i="30" s="1"/>
  <c r="Y34" i="35"/>
  <c r="DZ127" i="30"/>
  <c r="E129" i="30" s="1"/>
  <c r="DZ95" i="30"/>
  <c r="E97" i="30" s="1"/>
  <c r="Y26" i="35"/>
  <c r="DZ31" i="30"/>
  <c r="Y10" i="35"/>
  <c r="AC159" i="30"/>
  <c r="C42" i="35" s="1"/>
  <c r="AD159" i="30"/>
  <c r="D42" i="35" s="1"/>
  <c r="BU35" i="30"/>
  <c r="EP35" i="30" s="1"/>
  <c r="BT35" i="30"/>
  <c r="EY91" i="30"/>
  <c r="BH25" i="35"/>
  <c r="BU155" i="30"/>
  <c r="EP155" i="30" s="1"/>
  <c r="BT155" i="30"/>
  <c r="CI15" i="30"/>
  <c r="BI6" i="35" s="1"/>
  <c r="CH15" i="30"/>
  <c r="DD47" i="30"/>
  <c r="CD14" i="35" s="1"/>
  <c r="DC47" i="30"/>
  <c r="FI111" i="30"/>
  <c r="BV30" i="35"/>
  <c r="BV38" i="35"/>
  <c r="FI143" i="30"/>
  <c r="ET51" i="30"/>
  <c r="BA15" i="35"/>
  <c r="CW115" i="30"/>
  <c r="BW31" i="35" s="1"/>
  <c r="CV115" i="30"/>
  <c r="DU83" i="30"/>
  <c r="R23" i="35"/>
  <c r="FD131" i="30"/>
  <c r="BO35" i="35"/>
  <c r="EO27" i="30"/>
  <c r="AT9" i="35"/>
  <c r="AT17" i="35"/>
  <c r="EO59" i="30"/>
  <c r="BG91" i="30"/>
  <c r="EF91" i="30" s="1"/>
  <c r="BF91" i="30"/>
  <c r="BU123" i="30"/>
  <c r="EP123" i="30" s="1"/>
  <c r="BT123" i="30"/>
  <c r="CP139" i="30"/>
  <c r="BP37" i="35" s="1"/>
  <c r="CO139" i="30"/>
  <c r="CB55" i="30"/>
  <c r="BB16" i="35" s="1"/>
  <c r="CA55" i="30"/>
  <c r="ET87" i="30"/>
  <c r="BA24" i="35"/>
  <c r="BU103" i="30"/>
  <c r="EP103" i="30" s="1"/>
  <c r="BT103" i="30"/>
  <c r="AC135" i="30"/>
  <c r="C36" i="35" s="1"/>
  <c r="AD135" i="30"/>
  <c r="CP31" i="30"/>
  <c r="BP10" i="35" s="1"/>
  <c r="CO31" i="30"/>
  <c r="DU63" i="30"/>
  <c r="R18" i="35"/>
  <c r="DU111" i="30"/>
  <c r="R30" i="35"/>
  <c r="DD159" i="30"/>
  <c r="CD42" i="35" s="1"/>
  <c r="DC159" i="30"/>
  <c r="BV39" i="35"/>
  <c r="FI147" i="30"/>
  <c r="FN83" i="30"/>
  <c r="CC23" i="35"/>
  <c r="CC43" i="35"/>
  <c r="FN163" i="30"/>
  <c r="BN47" i="30"/>
  <c r="BM47" i="30"/>
  <c r="EO79" i="30"/>
  <c r="AT22" i="35"/>
  <c r="BO34" i="35"/>
  <c r="FD127" i="30"/>
  <c r="AS159" i="30"/>
  <c r="DV159" i="30" s="1"/>
  <c r="AR159" i="30"/>
  <c r="BV41" i="35"/>
  <c r="FI155" i="30"/>
  <c r="CW31" i="30"/>
  <c r="BW10" i="35" s="1"/>
  <c r="CV31" i="30"/>
  <c r="CB47" i="30"/>
  <c r="BB14" i="35" s="1"/>
  <c r="CA47" i="30"/>
  <c r="AC63" i="30"/>
  <c r="C18" i="35" s="1"/>
  <c r="AD63" i="30"/>
  <c r="EY95" i="30"/>
  <c r="BH26" i="35"/>
  <c r="BO30" i="35"/>
  <c r="FD111" i="30"/>
  <c r="AM34" i="35"/>
  <c r="EJ127" i="30"/>
  <c r="BU159" i="30"/>
  <c r="EP159" i="30" s="1"/>
  <c r="BT159" i="30"/>
  <c r="EE51" i="30"/>
  <c r="AF15" i="35"/>
  <c r="AC67" i="30"/>
  <c r="C19" i="35" s="1"/>
  <c r="AD67" i="30"/>
  <c r="D19" i="35" s="1"/>
  <c r="AZ147" i="30"/>
  <c r="EA147" i="30" s="1"/>
  <c r="AY147" i="30"/>
  <c r="BH11" i="35"/>
  <c r="EY35" i="30"/>
  <c r="FD83" i="30"/>
  <c r="BO23" i="35"/>
  <c r="R27" i="35"/>
  <c r="DU99" i="30"/>
  <c r="BV43" i="35"/>
  <c r="FI163" i="30"/>
  <c r="BN27" i="30"/>
  <c r="EK27" i="30" s="1"/>
  <c r="BM27" i="30"/>
  <c r="AC43" i="30"/>
  <c r="C13" i="35" s="1"/>
  <c r="AD43" i="30"/>
  <c r="AZ59" i="30"/>
  <c r="EA59" i="30" s="1"/>
  <c r="AY59" i="30"/>
  <c r="BA25" i="35"/>
  <c r="ET91" i="30"/>
  <c r="BN107" i="30"/>
  <c r="EK107" i="30" s="1"/>
  <c r="BM107" i="30"/>
  <c r="BN123" i="30"/>
  <c r="BM123" i="30"/>
  <c r="BH41" i="35"/>
  <c r="EY155" i="30"/>
  <c r="ET71" i="30"/>
  <c r="BA20" i="35"/>
  <c r="CI87" i="30"/>
  <c r="BI24" i="35" s="1"/>
  <c r="CH87" i="30"/>
  <c r="CC32" i="35"/>
  <c r="FN119" i="30"/>
  <c r="CI135" i="30"/>
  <c r="BI36" i="35" s="1"/>
  <c r="CH135" i="30"/>
  <c r="BU151" i="30"/>
  <c r="AU40" i="35" s="1"/>
  <c r="BT151" i="30"/>
  <c r="EO39" i="30"/>
  <c r="AT12" i="35"/>
  <c r="BU23" i="30"/>
  <c r="BT23" i="30"/>
  <c r="AC23" i="30"/>
  <c r="C8" i="35" s="1"/>
  <c r="AD23" i="30"/>
  <c r="D8" i="35" s="1"/>
  <c r="AF18" i="35"/>
  <c r="EE63" i="30"/>
  <c r="DD111" i="30"/>
  <c r="CD30" i="35" s="1"/>
  <c r="DC111" i="30"/>
  <c r="AC143" i="30"/>
  <c r="C38" i="35" s="1"/>
  <c r="AD143" i="30"/>
  <c r="D38" i="35" s="1"/>
  <c r="BU51" i="30"/>
  <c r="AU15" i="35" s="1"/>
  <c r="BT51" i="30"/>
  <c r="BU115" i="30"/>
  <c r="AU31" i="35" s="1"/>
  <c r="BT115" i="30"/>
  <c r="FD35" i="30"/>
  <c r="BO11" i="35"/>
  <c r="EJ15" i="30"/>
  <c r="AM6" i="35"/>
  <c r="EJ63" i="30"/>
  <c r="AM18" i="35"/>
  <c r="BG95" i="30"/>
  <c r="EF95" i="30" s="1"/>
  <c r="BF95" i="30"/>
  <c r="DU143" i="30"/>
  <c r="R38" i="35"/>
  <c r="CP75" i="19"/>
  <c r="CO75" i="19"/>
  <c r="FD75" i="19" s="1"/>
  <c r="CI105" i="19"/>
  <c r="CH105" i="19"/>
  <c r="EY105" i="19" s="1"/>
  <c r="CB323" i="19"/>
  <c r="CA323" i="19"/>
  <c r="ET323" i="19" s="1"/>
  <c r="BG243" i="19"/>
  <c r="BF243" i="19"/>
  <c r="EE243" i="19" s="1"/>
  <c r="CI321" i="19"/>
  <c r="CH321" i="19"/>
  <c r="EY321" i="19" s="1"/>
  <c r="DD82" i="19"/>
  <c r="DC82" i="19"/>
  <c r="FN82" i="19" s="1"/>
  <c r="CI298" i="19"/>
  <c r="CH298" i="19"/>
  <c r="EY298" i="19" s="1"/>
  <c r="CI113" i="19"/>
  <c r="CH113" i="19"/>
  <c r="EY113" i="19" s="1"/>
  <c r="CI241" i="19"/>
  <c r="CH241" i="19"/>
  <c r="EY241" i="19" s="1"/>
  <c r="CW67" i="19"/>
  <c r="CV67" i="19"/>
  <c r="FI67" i="19" s="1"/>
  <c r="CW107" i="19"/>
  <c r="CV107" i="19"/>
  <c r="FI107" i="19" s="1"/>
  <c r="BU106" i="19"/>
  <c r="BT106" i="19"/>
  <c r="EO106" i="19" s="1"/>
  <c r="DD129" i="19"/>
  <c r="DC129" i="19"/>
  <c r="FN129" i="19" s="1"/>
  <c r="CW73" i="19"/>
  <c r="CV73" i="19"/>
  <c r="FI73" i="19" s="1"/>
  <c r="DD170" i="19"/>
  <c r="DC170" i="19"/>
  <c r="FN170" i="19" s="1"/>
  <c r="BU234" i="19"/>
  <c r="BT234" i="19"/>
  <c r="EO234" i="19" s="1"/>
  <c r="BU138" i="19"/>
  <c r="BT138" i="19"/>
  <c r="EO138" i="19" s="1"/>
  <c r="CB243" i="19"/>
  <c r="CA243" i="19"/>
  <c r="ET243" i="19" s="1"/>
  <c r="CP49" i="19"/>
  <c r="CO49" i="19"/>
  <c r="FD49" i="19" s="1"/>
  <c r="DD298" i="19"/>
  <c r="DC298" i="19"/>
  <c r="FN298" i="19" s="1"/>
  <c r="DZ281" i="19"/>
  <c r="CB115" i="19"/>
  <c r="CA115" i="19"/>
  <c r="ET115" i="19" s="1"/>
  <c r="CP147" i="19"/>
  <c r="CO147" i="19"/>
  <c r="FD147" i="19" s="1"/>
  <c r="AZ83" i="19"/>
  <c r="AY83" i="19"/>
  <c r="DZ83" i="19" s="1"/>
  <c r="AZ316" i="19"/>
  <c r="AY316" i="19"/>
  <c r="DZ316" i="19" s="1"/>
  <c r="AS300" i="19"/>
  <c r="AR300" i="19"/>
  <c r="DU300" i="19" s="1"/>
  <c r="AZ284" i="19"/>
  <c r="AY284" i="19"/>
  <c r="DZ284" i="19" s="1"/>
  <c r="AS268" i="19"/>
  <c r="DV268" i="19" s="1"/>
  <c r="AR268" i="19"/>
  <c r="DU268" i="19" s="1"/>
  <c r="AZ252" i="19"/>
  <c r="AY252" i="19"/>
  <c r="DZ252" i="19" s="1"/>
  <c r="CB236" i="19"/>
  <c r="EU236" i="19" s="1"/>
  <c r="CA236" i="19"/>
  <c r="ET236" i="19" s="1"/>
  <c r="AZ220" i="19"/>
  <c r="AY220" i="19"/>
  <c r="DZ220" i="19" s="1"/>
  <c r="CB204" i="19"/>
  <c r="CA204" i="19"/>
  <c r="ET204" i="19" s="1"/>
  <c r="CI204" i="19"/>
  <c r="CH204" i="19"/>
  <c r="EY204" i="19" s="1"/>
  <c r="AZ156" i="19"/>
  <c r="AY156" i="19"/>
  <c r="DZ156" i="19" s="1"/>
  <c r="AZ140" i="19"/>
  <c r="AY140" i="19"/>
  <c r="DZ140" i="19" s="1"/>
  <c r="BU108" i="19"/>
  <c r="EP108" i="19" s="1"/>
  <c r="BT108" i="19"/>
  <c r="EO108" i="19" s="1"/>
  <c r="DD108" i="19"/>
  <c r="FO108" i="19" s="1"/>
  <c r="DC108" i="19"/>
  <c r="FN108" i="19" s="1"/>
  <c r="AZ76" i="19"/>
  <c r="AY76" i="19"/>
  <c r="DZ76" i="19" s="1"/>
  <c r="CP44" i="19"/>
  <c r="CO44" i="19"/>
  <c r="FD44" i="19" s="1"/>
  <c r="CB292" i="19"/>
  <c r="CA292" i="19"/>
  <c r="ET292" i="19" s="1"/>
  <c r="CW244" i="19"/>
  <c r="CV244" i="19"/>
  <c r="FI244" i="19" s="1"/>
  <c r="CI244" i="19"/>
  <c r="CH244" i="19"/>
  <c r="EY244" i="19" s="1"/>
  <c r="CI196" i="19"/>
  <c r="CH196" i="19"/>
  <c r="EY196" i="19" s="1"/>
  <c r="AS148" i="19"/>
  <c r="DV148" i="19" s="1"/>
  <c r="AR148" i="19"/>
  <c r="DU148" i="19" s="1"/>
  <c r="DD116" i="19"/>
  <c r="DC116" i="19"/>
  <c r="FN116" i="19" s="1"/>
  <c r="CP84" i="19"/>
  <c r="CO84" i="19"/>
  <c r="FD84" i="19" s="1"/>
  <c r="DD84" i="19"/>
  <c r="DC84" i="19"/>
  <c r="FN84" i="19" s="1"/>
  <c r="CP237" i="19"/>
  <c r="FE237" i="19" s="1"/>
  <c r="CO237" i="19"/>
  <c r="FD237" i="19" s="1"/>
  <c r="AZ157" i="19"/>
  <c r="AY157" i="19"/>
  <c r="DZ157" i="19" s="1"/>
  <c r="BU109" i="19"/>
  <c r="EP109" i="19" s="1"/>
  <c r="BT109" i="19"/>
  <c r="EO109" i="19" s="1"/>
  <c r="CI109" i="19"/>
  <c r="EZ109" i="19" s="1"/>
  <c r="CH109" i="19"/>
  <c r="EY109" i="19" s="1"/>
  <c r="CB325" i="19"/>
  <c r="EU325" i="19" s="1"/>
  <c r="CA325" i="19"/>
  <c r="ET325" i="19" s="1"/>
  <c r="BN309" i="19"/>
  <c r="EK309" i="19" s="1"/>
  <c r="BM309" i="19"/>
  <c r="EJ309" i="19" s="1"/>
  <c r="CB293" i="19"/>
  <c r="CA293" i="19"/>
  <c r="ET293" i="19" s="1"/>
  <c r="BU277" i="19"/>
  <c r="EP277" i="19" s="1"/>
  <c r="BT277" i="19"/>
  <c r="EO277" i="19" s="1"/>
  <c r="CW261" i="19"/>
  <c r="FJ261" i="19" s="1"/>
  <c r="CV261" i="19"/>
  <c r="FI261" i="19" s="1"/>
  <c r="CP245" i="19"/>
  <c r="CO245" i="19"/>
  <c r="FD245" i="19" s="1"/>
  <c r="DD245" i="19"/>
  <c r="DC245" i="19"/>
  <c r="FN245" i="19" s="1"/>
  <c r="CB229" i="19"/>
  <c r="EU229" i="19" s="1"/>
  <c r="CA229" i="19"/>
  <c r="ET229" i="19" s="1"/>
  <c r="CW213" i="19"/>
  <c r="CV213" i="19"/>
  <c r="FI213" i="19" s="1"/>
  <c r="DD213" i="19"/>
  <c r="DC213" i="19"/>
  <c r="FN213" i="19" s="1"/>
  <c r="CI197" i="19"/>
  <c r="CH197" i="19"/>
  <c r="EY197" i="19" s="1"/>
  <c r="BN181" i="19"/>
  <c r="BM181" i="19"/>
  <c r="EJ181" i="19" s="1"/>
  <c r="CW165" i="19"/>
  <c r="CV165" i="19"/>
  <c r="FI165" i="19" s="1"/>
  <c r="AS149" i="19"/>
  <c r="DV149" i="19" s="1"/>
  <c r="AR149" i="19"/>
  <c r="DU149" i="19" s="1"/>
  <c r="AZ149" i="19"/>
  <c r="EA149" i="19" s="1"/>
  <c r="AY149" i="19"/>
  <c r="DZ149" i="19" s="1"/>
  <c r="BN133" i="19"/>
  <c r="BM133" i="19"/>
  <c r="EJ133" i="19" s="1"/>
  <c r="CP117" i="19"/>
  <c r="CO117" i="19"/>
  <c r="FD117" i="19" s="1"/>
  <c r="BG117" i="19"/>
  <c r="BF117" i="19"/>
  <c r="EE117" i="19" s="1"/>
  <c r="AZ101" i="19"/>
  <c r="EA101" i="19" s="1"/>
  <c r="AY101" i="19"/>
  <c r="DZ101" i="19" s="1"/>
  <c r="CI85" i="19"/>
  <c r="CH85" i="19"/>
  <c r="EY85" i="19" s="1"/>
  <c r="BN69" i="19"/>
  <c r="BM69" i="19"/>
  <c r="EJ69" i="19" s="1"/>
  <c r="CB324" i="19"/>
  <c r="EU324" i="19" s="1"/>
  <c r="CA324" i="19"/>
  <c r="ET324" i="19" s="1"/>
  <c r="BU276" i="19"/>
  <c r="EP276" i="19" s="1"/>
  <c r="BT276" i="19"/>
  <c r="EO276" i="19" s="1"/>
  <c r="CI276" i="19"/>
  <c r="EZ276" i="19" s="1"/>
  <c r="CH276" i="19"/>
  <c r="EY276" i="19" s="1"/>
  <c r="CB164" i="19"/>
  <c r="CA164" i="19"/>
  <c r="ET164" i="19" s="1"/>
  <c r="AZ301" i="19"/>
  <c r="AY301" i="19"/>
  <c r="DZ301" i="19" s="1"/>
  <c r="DD205" i="19"/>
  <c r="FO205" i="19" s="1"/>
  <c r="DC205" i="19"/>
  <c r="FN205" i="19" s="1"/>
  <c r="AZ77" i="19"/>
  <c r="AY77" i="19"/>
  <c r="DZ77" i="19" s="1"/>
  <c r="AS308" i="19"/>
  <c r="DV308" i="19" s="1"/>
  <c r="AR308" i="19"/>
  <c r="DU308" i="19" s="1"/>
  <c r="CB260" i="19"/>
  <c r="CA260" i="19"/>
  <c r="ET260" i="19" s="1"/>
  <c r="CP212" i="19"/>
  <c r="CO212" i="19"/>
  <c r="FD212" i="19" s="1"/>
  <c r="BN180" i="19"/>
  <c r="BM180" i="19"/>
  <c r="EJ180" i="19" s="1"/>
  <c r="AS180" i="19"/>
  <c r="DV180" i="19" s="1"/>
  <c r="AR180" i="19"/>
  <c r="DU180" i="19" s="1"/>
  <c r="CP36" i="19"/>
  <c r="CO36" i="19"/>
  <c r="FD36" i="19" s="1"/>
  <c r="AS269" i="19"/>
  <c r="DV269" i="19" s="1"/>
  <c r="AR269" i="19"/>
  <c r="DU269" i="19" s="1"/>
  <c r="DD269" i="19"/>
  <c r="DC269" i="19"/>
  <c r="FN269" i="19" s="1"/>
  <c r="BN173" i="19"/>
  <c r="BM173" i="19"/>
  <c r="EJ173" i="19" s="1"/>
  <c r="CW141" i="19"/>
  <c r="CV141" i="19"/>
  <c r="FI141" i="19" s="1"/>
  <c r="DD141" i="19"/>
  <c r="DC141" i="19"/>
  <c r="FN141" i="19" s="1"/>
  <c r="CM26" i="19"/>
  <c r="FB26" i="19" s="1"/>
  <c r="CO26" i="19"/>
  <c r="BU13" i="19"/>
  <c r="EP13" i="19" s="1"/>
  <c r="BT13" i="19"/>
  <c r="EO13" i="19" s="1"/>
  <c r="FD17" i="19"/>
  <c r="CW12" i="19"/>
  <c r="FJ12" i="19" s="1"/>
  <c r="CV12" i="19"/>
  <c r="FI12" i="19" s="1"/>
  <c r="DD13" i="19"/>
  <c r="FO13" i="19" s="1"/>
  <c r="DC13" i="19"/>
  <c r="FN13" i="19" s="1"/>
  <c r="DD289" i="19"/>
  <c r="DC289" i="19"/>
  <c r="FN289" i="19" s="1"/>
  <c r="AS146" i="19"/>
  <c r="DV146" i="19" s="1"/>
  <c r="AR146" i="19"/>
  <c r="DU146" i="19" s="1"/>
  <c r="CP114" i="19"/>
  <c r="CO114" i="19"/>
  <c r="FD114" i="19" s="1"/>
  <c r="CW243" i="19"/>
  <c r="CV243" i="19"/>
  <c r="FI243" i="19" s="1"/>
  <c r="BN300" i="19"/>
  <c r="BM300" i="19"/>
  <c r="EJ300" i="19" s="1"/>
  <c r="AZ300" i="19"/>
  <c r="AY300" i="19"/>
  <c r="DZ300" i="19" s="1"/>
  <c r="BU268" i="19"/>
  <c r="BT268" i="19"/>
  <c r="EO268" i="19" s="1"/>
  <c r="CW268" i="19"/>
  <c r="CV268" i="19"/>
  <c r="FI268" i="19" s="1"/>
  <c r="BU236" i="19"/>
  <c r="EP236" i="19" s="1"/>
  <c r="BT236" i="19"/>
  <c r="EO236" i="19" s="1"/>
  <c r="BN204" i="19"/>
  <c r="BM204" i="19"/>
  <c r="EJ204" i="19" s="1"/>
  <c r="DD204" i="19"/>
  <c r="DC204" i="19"/>
  <c r="FN204" i="19" s="1"/>
  <c r="AZ188" i="19"/>
  <c r="AY188" i="19"/>
  <c r="DZ188" i="19" s="1"/>
  <c r="CW172" i="19"/>
  <c r="CV172" i="19"/>
  <c r="FI172" i="19" s="1"/>
  <c r="BU140" i="19"/>
  <c r="BT140" i="19"/>
  <c r="EO140" i="19" s="1"/>
  <c r="DD140" i="19"/>
  <c r="DC140" i="19"/>
  <c r="FN140" i="19" s="1"/>
  <c r="BN108" i="19"/>
  <c r="EK108" i="19" s="1"/>
  <c r="BM108" i="19"/>
  <c r="EJ108" i="19" s="1"/>
  <c r="CP76" i="19"/>
  <c r="CO76" i="19"/>
  <c r="FD76" i="19" s="1"/>
  <c r="CB76" i="19"/>
  <c r="CA76" i="19"/>
  <c r="ET76" i="19" s="1"/>
  <c r="CP28" i="19"/>
  <c r="CO28" i="19"/>
  <c r="FD28" i="19" s="1"/>
  <c r="DD292" i="19"/>
  <c r="DC292" i="19"/>
  <c r="FN292" i="19" s="1"/>
  <c r="CB244" i="19"/>
  <c r="CA244" i="19"/>
  <c r="ET244" i="19" s="1"/>
  <c r="CP196" i="19"/>
  <c r="CO196" i="19"/>
  <c r="FD196" i="19" s="1"/>
  <c r="BN148" i="19"/>
  <c r="EK148" i="19" s="1"/>
  <c r="BM148" i="19"/>
  <c r="EJ148" i="19" s="1"/>
  <c r="AZ148" i="19"/>
  <c r="AY148" i="19"/>
  <c r="DZ148" i="19" s="1"/>
  <c r="CP116" i="19"/>
  <c r="CO116" i="19"/>
  <c r="FD116" i="19" s="1"/>
  <c r="BG116" i="19"/>
  <c r="BF116" i="19"/>
  <c r="EE116" i="19" s="1"/>
  <c r="CW84" i="19"/>
  <c r="CV84" i="19"/>
  <c r="FI84" i="19" s="1"/>
  <c r="CI84" i="19"/>
  <c r="CH84" i="19"/>
  <c r="EY84" i="19" s="1"/>
  <c r="BU237" i="19"/>
  <c r="EP237" i="19" s="1"/>
  <c r="BT237" i="19"/>
  <c r="EO237" i="19" s="1"/>
  <c r="BG237" i="19"/>
  <c r="EF237" i="19" s="1"/>
  <c r="BF237" i="19"/>
  <c r="EE237" i="19" s="1"/>
  <c r="CW109" i="19"/>
  <c r="FJ109" i="19" s="1"/>
  <c r="CV109" i="19"/>
  <c r="FI109" i="19" s="1"/>
  <c r="DD109" i="19"/>
  <c r="FO109" i="19" s="1"/>
  <c r="DC109" i="19"/>
  <c r="FN109" i="19" s="1"/>
  <c r="BG45" i="19"/>
  <c r="BF45" i="19"/>
  <c r="EE45" i="19" s="1"/>
  <c r="AZ309" i="19"/>
  <c r="EA309" i="19" s="1"/>
  <c r="AY309" i="19"/>
  <c r="DZ309" i="19" s="1"/>
  <c r="BG309" i="19"/>
  <c r="EF309" i="19" s="1"/>
  <c r="BF309" i="19"/>
  <c r="EE309" i="19" s="1"/>
  <c r="DD293" i="19"/>
  <c r="DC293" i="19"/>
  <c r="FN293" i="19" s="1"/>
  <c r="DD277" i="19"/>
  <c r="FO277" i="19" s="1"/>
  <c r="DC277" i="19"/>
  <c r="FN277" i="19" s="1"/>
  <c r="AZ261" i="19"/>
  <c r="EA261" i="19" s="1"/>
  <c r="AY261" i="19"/>
  <c r="DZ261" i="19" s="1"/>
  <c r="CW245" i="19"/>
  <c r="CV245" i="19"/>
  <c r="FI245" i="19" s="1"/>
  <c r="BG245" i="19"/>
  <c r="BF245" i="19"/>
  <c r="EE245" i="19" s="1"/>
  <c r="DD229" i="19"/>
  <c r="FO229" i="19" s="1"/>
  <c r="DC229" i="19"/>
  <c r="FN229" i="19" s="1"/>
  <c r="CP197" i="19"/>
  <c r="CO197" i="19"/>
  <c r="FD197" i="19" s="1"/>
  <c r="AS181" i="19"/>
  <c r="DV181" i="19" s="1"/>
  <c r="AR181" i="19"/>
  <c r="DU181" i="19" s="1"/>
  <c r="BU181" i="19"/>
  <c r="BT181" i="19"/>
  <c r="EO181" i="19" s="1"/>
  <c r="BN165" i="19"/>
  <c r="BM165" i="19"/>
  <c r="EJ165" i="19" s="1"/>
  <c r="CP149" i="19"/>
  <c r="FE149" i="19" s="1"/>
  <c r="CO149" i="19"/>
  <c r="FD149" i="19" s="1"/>
  <c r="DD149" i="19"/>
  <c r="FO149" i="19" s="1"/>
  <c r="DC149" i="19"/>
  <c r="FN149" i="19" s="1"/>
  <c r="CB133" i="19"/>
  <c r="CA133" i="19"/>
  <c r="ET133" i="19" s="1"/>
  <c r="CI117" i="19"/>
  <c r="CH117" i="19"/>
  <c r="EY117" i="19" s="1"/>
  <c r="AZ85" i="19"/>
  <c r="AY85" i="19"/>
  <c r="DZ85" i="19" s="1"/>
  <c r="BG69" i="19"/>
  <c r="BF69" i="19"/>
  <c r="EE69" i="19" s="1"/>
  <c r="CB53" i="19"/>
  <c r="CA53" i="19"/>
  <c r="ET53" i="19" s="1"/>
  <c r="CP53" i="19"/>
  <c r="CO53" i="19"/>
  <c r="FD53" i="19" s="1"/>
  <c r="CP37" i="19"/>
  <c r="CO37" i="19"/>
  <c r="FD37" i="19" s="1"/>
  <c r="AS276" i="19"/>
  <c r="DV276" i="19" s="1"/>
  <c r="AR276" i="19"/>
  <c r="DU276" i="19" s="1"/>
  <c r="BN164" i="19"/>
  <c r="BM164" i="19"/>
  <c r="EJ164" i="19" s="1"/>
  <c r="BN100" i="19"/>
  <c r="BM100" i="19"/>
  <c r="EJ100" i="19" s="1"/>
  <c r="CI52" i="19"/>
  <c r="CH52" i="19"/>
  <c r="EY52" i="19" s="1"/>
  <c r="CP52" i="19"/>
  <c r="CO52" i="19"/>
  <c r="FD52" i="19" s="1"/>
  <c r="CP301" i="19"/>
  <c r="CO301" i="19"/>
  <c r="FD301" i="19" s="1"/>
  <c r="DD301" i="19"/>
  <c r="DC301" i="19"/>
  <c r="FN301" i="19" s="1"/>
  <c r="BN205" i="19"/>
  <c r="EK205" i="19" s="1"/>
  <c r="BM205" i="19"/>
  <c r="EJ205" i="19" s="1"/>
  <c r="CW77" i="19"/>
  <c r="CV77" i="19"/>
  <c r="FI77" i="19" s="1"/>
  <c r="CB77" i="19"/>
  <c r="CA77" i="19"/>
  <c r="ET77" i="19" s="1"/>
  <c r="AZ308" i="19"/>
  <c r="AY308" i="19"/>
  <c r="DZ308" i="19" s="1"/>
  <c r="BG308" i="19"/>
  <c r="EF308" i="19" s="1"/>
  <c r="BF308" i="19"/>
  <c r="EE308" i="19" s="1"/>
  <c r="CW212" i="19"/>
  <c r="CV212" i="19"/>
  <c r="FI212" i="19" s="1"/>
  <c r="BU180" i="19"/>
  <c r="BT180" i="19"/>
  <c r="EO180" i="19" s="1"/>
  <c r="AZ180" i="19"/>
  <c r="AY180" i="19"/>
  <c r="DZ180" i="19" s="1"/>
  <c r="CB132" i="19"/>
  <c r="CA132" i="19"/>
  <c r="ET132" i="19" s="1"/>
  <c r="BN68" i="19"/>
  <c r="BM68" i="19"/>
  <c r="EJ68" i="19" s="1"/>
  <c r="BU36" i="19"/>
  <c r="BT36" i="19"/>
  <c r="EO36" i="19" s="1"/>
  <c r="CP269" i="19"/>
  <c r="CO269" i="19"/>
  <c r="FD269" i="19" s="1"/>
  <c r="AZ221" i="19"/>
  <c r="AY221" i="19"/>
  <c r="DZ221" i="19" s="1"/>
  <c r="BU173" i="19"/>
  <c r="BT173" i="19"/>
  <c r="EO173" i="19" s="1"/>
  <c r="BG141" i="19"/>
  <c r="BF141" i="19"/>
  <c r="EE141" i="19" s="1"/>
  <c r="AZ147" i="19"/>
  <c r="AY147" i="19"/>
  <c r="DZ147" i="19" s="1"/>
  <c r="BK17" i="19"/>
  <c r="DQ5" i="35" s="1"/>
  <c r="BM17" i="19"/>
  <c r="BN13" i="19"/>
  <c r="EK13" i="19" s="1"/>
  <c r="BM13" i="19"/>
  <c r="EJ13" i="19" s="1"/>
  <c r="DB10" i="19"/>
  <c r="FM10" i="19" s="1"/>
  <c r="DC10" i="19"/>
  <c r="FN10" i="19" s="1"/>
  <c r="AS51" i="19"/>
  <c r="DV51" i="19" s="1"/>
  <c r="AR51" i="19"/>
  <c r="DU51" i="19" s="1"/>
  <c r="BN170" i="19"/>
  <c r="BM170" i="19"/>
  <c r="EJ170" i="19" s="1"/>
  <c r="CP299" i="19"/>
  <c r="CO299" i="19"/>
  <c r="FD299" i="19" s="1"/>
  <c r="CP234" i="19"/>
  <c r="CO234" i="19"/>
  <c r="FD234" i="19" s="1"/>
  <c r="BN129" i="19"/>
  <c r="BM129" i="19"/>
  <c r="EJ129" i="19" s="1"/>
  <c r="CW169" i="19"/>
  <c r="CV169" i="19"/>
  <c r="FI169" i="19" s="1"/>
  <c r="AS298" i="19"/>
  <c r="DV298" i="19" s="1"/>
  <c r="AR298" i="19"/>
  <c r="DU298" i="19" s="1"/>
  <c r="BG67" i="19"/>
  <c r="BF67" i="19"/>
  <c r="EE67" i="19" s="1"/>
  <c r="CW139" i="19"/>
  <c r="CV139" i="19"/>
  <c r="FI139" i="19" s="1"/>
  <c r="AS113" i="19"/>
  <c r="DV113" i="19" s="1"/>
  <c r="AR113" i="19"/>
  <c r="DU113" i="19" s="1"/>
  <c r="BG233" i="19"/>
  <c r="BF233" i="19"/>
  <c r="EE233" i="19" s="1"/>
  <c r="CB81" i="19"/>
  <c r="CA81" i="19"/>
  <c r="ET81" i="19" s="1"/>
  <c r="AZ138" i="19"/>
  <c r="AY138" i="19"/>
  <c r="DZ138" i="19" s="1"/>
  <c r="BG169" i="19"/>
  <c r="BF169" i="19"/>
  <c r="EE169" i="19" s="1"/>
  <c r="DD113" i="19"/>
  <c r="DC113" i="19"/>
  <c r="FN113" i="19" s="1"/>
  <c r="AS145" i="19"/>
  <c r="DV145" i="19" s="1"/>
  <c r="AR145" i="19"/>
  <c r="DD241" i="19"/>
  <c r="DC241" i="19"/>
  <c r="FN241" i="19" s="1"/>
  <c r="AS297" i="19"/>
  <c r="DV297" i="19" s="1"/>
  <c r="AR297" i="19"/>
  <c r="DD146" i="19"/>
  <c r="DC146" i="19"/>
  <c r="FN146" i="19" s="1"/>
  <c r="AZ251" i="19"/>
  <c r="AY251" i="19"/>
  <c r="DZ251" i="19" s="1"/>
  <c r="AZ314" i="19"/>
  <c r="AY314" i="19"/>
  <c r="DZ314" i="19" s="1"/>
  <c r="DD300" i="19"/>
  <c r="DC300" i="19"/>
  <c r="FN300" i="19" s="1"/>
  <c r="AZ268" i="19"/>
  <c r="AY268" i="19"/>
  <c r="DZ268" i="19" s="1"/>
  <c r="CP236" i="19"/>
  <c r="FE236" i="19" s="1"/>
  <c r="CO236" i="19"/>
  <c r="FD236" i="19" s="1"/>
  <c r="BG236" i="19"/>
  <c r="EF236" i="19" s="1"/>
  <c r="BF236" i="19"/>
  <c r="EE236" i="19" s="1"/>
  <c r="BU172" i="19"/>
  <c r="BT172" i="19"/>
  <c r="EO172" i="19" s="1"/>
  <c r="DD172" i="19"/>
  <c r="DC172" i="19"/>
  <c r="FN172" i="19" s="1"/>
  <c r="BG140" i="19"/>
  <c r="BF140" i="19"/>
  <c r="EE140" i="19" s="1"/>
  <c r="BG108" i="19"/>
  <c r="EF108" i="19" s="1"/>
  <c r="BF108" i="19"/>
  <c r="EE108" i="19" s="1"/>
  <c r="AS76" i="19"/>
  <c r="DV76" i="19" s="1"/>
  <c r="AR76" i="19"/>
  <c r="DU76" i="19" s="1"/>
  <c r="BN292" i="19"/>
  <c r="BM292" i="19"/>
  <c r="EJ292" i="19" s="1"/>
  <c r="DD244" i="19"/>
  <c r="DC244" i="19"/>
  <c r="FN244" i="19" s="1"/>
  <c r="AZ196" i="19"/>
  <c r="AY196" i="19"/>
  <c r="DZ196" i="19" s="1"/>
  <c r="DD148" i="19"/>
  <c r="FO148" i="19" s="1"/>
  <c r="DC148" i="19"/>
  <c r="FN148" i="19" s="1"/>
  <c r="AS116" i="19"/>
  <c r="DV116" i="19" s="1"/>
  <c r="AR116" i="19"/>
  <c r="DU116" i="19" s="1"/>
  <c r="CI116" i="19"/>
  <c r="CH116" i="19"/>
  <c r="EY116" i="19" s="1"/>
  <c r="AZ84" i="19"/>
  <c r="AY84" i="19"/>
  <c r="DZ84" i="19" s="1"/>
  <c r="AZ317" i="19"/>
  <c r="AY317" i="19"/>
  <c r="DZ317" i="19" s="1"/>
  <c r="AZ237" i="19"/>
  <c r="EA237" i="19" s="1"/>
  <c r="AY237" i="19"/>
  <c r="DZ237" i="19" s="1"/>
  <c r="CI237" i="19"/>
  <c r="EZ237" i="19" s="1"/>
  <c r="CH237" i="19"/>
  <c r="EY237" i="19" s="1"/>
  <c r="CP45" i="19"/>
  <c r="CO45" i="19"/>
  <c r="FD45" i="19" s="1"/>
  <c r="CI325" i="19"/>
  <c r="EZ325" i="19" s="1"/>
  <c r="CH325" i="19"/>
  <c r="EY325" i="19" s="1"/>
  <c r="CB309" i="19"/>
  <c r="EU309" i="19" s="1"/>
  <c r="CA309" i="19"/>
  <c r="ET309" i="19" s="1"/>
  <c r="AS293" i="19"/>
  <c r="DV293" i="19" s="1"/>
  <c r="AR293" i="19"/>
  <c r="DU293" i="19" s="1"/>
  <c r="AS277" i="19"/>
  <c r="DV277" i="19" s="1"/>
  <c r="AR277" i="19"/>
  <c r="DU277" i="19" s="1"/>
  <c r="CB261" i="19"/>
  <c r="EU261" i="19" s="1"/>
  <c r="CA261" i="19"/>
  <c r="ET261" i="19" s="1"/>
  <c r="CI245" i="19"/>
  <c r="CH245" i="19"/>
  <c r="EY245" i="19" s="1"/>
  <c r="BU213" i="19"/>
  <c r="BT213" i="19"/>
  <c r="EO213" i="19" s="1"/>
  <c r="AZ197" i="19"/>
  <c r="AY197" i="19"/>
  <c r="DZ197" i="19" s="1"/>
  <c r="CP181" i="19"/>
  <c r="CO181" i="19"/>
  <c r="FD181" i="19" s="1"/>
  <c r="AZ181" i="19"/>
  <c r="AY181" i="19"/>
  <c r="DZ181" i="19" s="1"/>
  <c r="AZ165" i="19"/>
  <c r="AY165" i="19"/>
  <c r="DZ165" i="19" s="1"/>
  <c r="DD133" i="19"/>
  <c r="DC133" i="19"/>
  <c r="FN133" i="19" s="1"/>
  <c r="CB117" i="19"/>
  <c r="CA117" i="19"/>
  <c r="ET117" i="19" s="1"/>
  <c r="CP101" i="19"/>
  <c r="FE101" i="19" s="1"/>
  <c r="CO101" i="19"/>
  <c r="FD101" i="19" s="1"/>
  <c r="CP85" i="19"/>
  <c r="CO85" i="19"/>
  <c r="FD85" i="19" s="1"/>
  <c r="CB85" i="19"/>
  <c r="CA85" i="19"/>
  <c r="ET85" i="19" s="1"/>
  <c r="CW69" i="19"/>
  <c r="CV69" i="19"/>
  <c r="FI69" i="19" s="1"/>
  <c r="CI53" i="19"/>
  <c r="CH53" i="19"/>
  <c r="EY53" i="19" s="1"/>
  <c r="AS53" i="19"/>
  <c r="DV53" i="19" s="1"/>
  <c r="AR53" i="19"/>
  <c r="DU53" i="19" s="1"/>
  <c r="BU37" i="19"/>
  <c r="BT37" i="19"/>
  <c r="EO37" i="19" s="1"/>
  <c r="CI324" i="19"/>
  <c r="EZ324" i="19" s="1"/>
  <c r="CH324" i="19"/>
  <c r="EY324" i="19" s="1"/>
  <c r="DD276" i="19"/>
  <c r="DC276" i="19"/>
  <c r="FN276" i="19" s="1"/>
  <c r="CB228" i="19"/>
  <c r="CA228" i="19"/>
  <c r="ET228" i="19" s="1"/>
  <c r="CW164" i="19"/>
  <c r="CV164" i="19"/>
  <c r="FI164" i="19" s="1"/>
  <c r="CP100" i="19"/>
  <c r="CO100" i="19"/>
  <c r="FD100" i="19" s="1"/>
  <c r="DD52" i="19"/>
  <c r="DC52" i="19"/>
  <c r="FN52" i="19" s="1"/>
  <c r="AS52" i="19"/>
  <c r="DV52" i="19" s="1"/>
  <c r="AR52" i="19"/>
  <c r="DU52" i="19" s="1"/>
  <c r="AS301" i="19"/>
  <c r="DV301" i="19" s="1"/>
  <c r="AR301" i="19"/>
  <c r="DU301" i="19" s="1"/>
  <c r="CI301" i="19"/>
  <c r="CH301" i="19"/>
  <c r="EY301" i="19" s="1"/>
  <c r="AZ205" i="19"/>
  <c r="EA205" i="19" s="1"/>
  <c r="AY205" i="19"/>
  <c r="DZ205" i="19" s="1"/>
  <c r="BG205" i="19"/>
  <c r="EF205" i="19" s="1"/>
  <c r="BF205" i="19"/>
  <c r="EE205" i="19" s="1"/>
  <c r="AS77" i="19"/>
  <c r="DV77" i="19" s="1"/>
  <c r="AR77" i="19"/>
  <c r="DU77" i="19" s="1"/>
  <c r="CP29" i="19"/>
  <c r="CO29" i="19"/>
  <c r="FD29" i="19" s="1"/>
  <c r="CB308" i="19"/>
  <c r="CA308" i="19"/>
  <c r="ET308" i="19" s="1"/>
  <c r="CW260" i="19"/>
  <c r="CV260" i="19"/>
  <c r="FI260" i="19" s="1"/>
  <c r="BU212" i="19"/>
  <c r="BT212" i="19"/>
  <c r="EO212" i="19" s="1"/>
  <c r="AZ212" i="19"/>
  <c r="AY212" i="19"/>
  <c r="DZ212" i="19" s="1"/>
  <c r="DD180" i="19"/>
  <c r="DC180" i="19"/>
  <c r="FN180" i="19" s="1"/>
  <c r="DD132" i="19"/>
  <c r="DC132" i="19"/>
  <c r="FN132" i="19" s="1"/>
  <c r="CW68" i="19"/>
  <c r="CV68" i="19"/>
  <c r="FI68" i="19" s="1"/>
  <c r="CW269" i="19"/>
  <c r="CV269" i="19"/>
  <c r="FI269" i="19" s="1"/>
  <c r="BU269" i="19"/>
  <c r="BT269" i="19"/>
  <c r="EO269" i="19" s="1"/>
  <c r="CW173" i="19"/>
  <c r="CV173" i="19"/>
  <c r="FI173" i="19" s="1"/>
  <c r="DD173" i="19"/>
  <c r="DC173" i="19"/>
  <c r="FN173" i="19" s="1"/>
  <c r="BU141" i="19"/>
  <c r="BT141" i="19"/>
  <c r="EO141" i="19" s="1"/>
  <c r="CI51" i="19"/>
  <c r="CH51" i="19"/>
  <c r="EY51" i="19" s="1"/>
  <c r="BU12" i="19"/>
  <c r="EP12" i="19" s="1"/>
  <c r="BT12" i="19"/>
  <c r="EO12" i="19" s="1"/>
  <c r="CW13" i="19"/>
  <c r="FJ13" i="19" s="1"/>
  <c r="CV13" i="19"/>
  <c r="FI13" i="19" s="1"/>
  <c r="DD12" i="19"/>
  <c r="FO12" i="19" s="1"/>
  <c r="DC12" i="19"/>
  <c r="FN12" i="19" s="1"/>
  <c r="DW91" i="30"/>
  <c r="EK7" i="30"/>
  <c r="BG139" i="19"/>
  <c r="BF139" i="19"/>
  <c r="EE139" i="19" s="1"/>
  <c r="BG107" i="19"/>
  <c r="BF107" i="19"/>
  <c r="EE107" i="19" s="1"/>
  <c r="BN65" i="19"/>
  <c r="BM65" i="19"/>
  <c r="EJ65" i="19" s="1"/>
  <c r="CB50" i="19"/>
  <c r="CA50" i="19"/>
  <c r="ET50" i="19" s="1"/>
  <c r="CB73" i="19"/>
  <c r="CA73" i="19"/>
  <c r="ET73" i="19" s="1"/>
  <c r="DD137" i="19"/>
  <c r="DC137" i="19"/>
  <c r="FN137" i="19" s="1"/>
  <c r="CB291" i="19"/>
  <c r="CA291" i="19"/>
  <c r="ET291" i="19" s="1"/>
  <c r="AZ187" i="19"/>
  <c r="AY187" i="19"/>
  <c r="DZ187" i="19" s="1"/>
  <c r="DD51" i="19"/>
  <c r="DC51" i="19"/>
  <c r="FN51" i="19" s="1"/>
  <c r="BN289" i="19"/>
  <c r="BM289" i="19"/>
  <c r="EJ289" i="19" s="1"/>
  <c r="DZ73" i="19"/>
  <c r="CB233" i="19"/>
  <c r="CA233" i="19"/>
  <c r="ET233" i="19" s="1"/>
  <c r="BN298" i="19"/>
  <c r="BM298" i="19"/>
  <c r="EJ298" i="19" s="1"/>
  <c r="AS147" i="19"/>
  <c r="DV147" i="19" s="1"/>
  <c r="AR147" i="19"/>
  <c r="DU147" i="19" s="1"/>
  <c r="AS289" i="19"/>
  <c r="DV289" i="19" s="1"/>
  <c r="AR289" i="19"/>
  <c r="CW81" i="19"/>
  <c r="CV81" i="19"/>
  <c r="FI81" i="19" s="1"/>
  <c r="DD105" i="19"/>
  <c r="DC105" i="19"/>
  <c r="FN105" i="19" s="1"/>
  <c r="AZ234" i="19"/>
  <c r="AY234" i="19"/>
  <c r="DZ234" i="19" s="1"/>
  <c r="CW50" i="19"/>
  <c r="CV50" i="19"/>
  <c r="FI50" i="19" s="1"/>
  <c r="BN146" i="19"/>
  <c r="BM146" i="19"/>
  <c r="EJ146" i="19" s="1"/>
  <c r="CP242" i="19"/>
  <c r="CO242" i="19"/>
  <c r="FD242" i="19" s="1"/>
  <c r="BN105" i="19"/>
  <c r="BM105" i="19"/>
  <c r="EJ105" i="19" s="1"/>
  <c r="CP83" i="19"/>
  <c r="CO83" i="19"/>
  <c r="FD83" i="19" s="1"/>
  <c r="AZ322" i="19"/>
  <c r="AY322" i="19"/>
  <c r="DZ322" i="19" s="1"/>
  <c r="CB131" i="19"/>
  <c r="CA131" i="19"/>
  <c r="ET131" i="19" s="1"/>
  <c r="AS299" i="19"/>
  <c r="DV299" i="19" s="1"/>
  <c r="AR299" i="19"/>
  <c r="DU299" i="19" s="1"/>
  <c r="BG115" i="19"/>
  <c r="BF115" i="19"/>
  <c r="EE115" i="19" s="1"/>
  <c r="CI235" i="19"/>
  <c r="CH235" i="19"/>
  <c r="EY235" i="19" s="1"/>
  <c r="BR9" i="19"/>
  <c r="EM9" i="19" s="1"/>
  <c r="BT9" i="19"/>
  <c r="BU171" i="19"/>
  <c r="BT171" i="19"/>
  <c r="EO171" i="19" s="1"/>
  <c r="DK145" i="19"/>
  <c r="CJ21" i="35"/>
  <c r="FS21" i="35" s="1"/>
  <c r="AZ299" i="19"/>
  <c r="AY299" i="19"/>
  <c r="DZ299" i="19" s="1"/>
  <c r="CP300" i="19"/>
  <c r="CO300" i="19"/>
  <c r="FD300" i="19" s="1"/>
  <c r="CI300" i="19"/>
  <c r="CH300" i="19"/>
  <c r="EY300" i="19" s="1"/>
  <c r="CP268" i="19"/>
  <c r="CO268" i="19"/>
  <c r="FD268" i="19" s="1"/>
  <c r="DD268" i="19"/>
  <c r="DC268" i="19"/>
  <c r="FN268" i="19" s="1"/>
  <c r="AZ236" i="19"/>
  <c r="EA236" i="19" s="1"/>
  <c r="AY236" i="19"/>
  <c r="DZ236" i="19" s="1"/>
  <c r="CI236" i="19"/>
  <c r="EZ236" i="19" s="1"/>
  <c r="CH236" i="19"/>
  <c r="EY236" i="19" s="1"/>
  <c r="AZ204" i="19"/>
  <c r="AY204" i="19"/>
  <c r="DZ204" i="19" s="1"/>
  <c r="BG204" i="19"/>
  <c r="BF204" i="19"/>
  <c r="EE204" i="19" s="1"/>
  <c r="BN172" i="19"/>
  <c r="BM172" i="19"/>
  <c r="EJ172" i="19" s="1"/>
  <c r="BG172" i="19"/>
  <c r="BF172" i="19"/>
  <c r="EE172" i="19" s="1"/>
  <c r="CW140" i="19"/>
  <c r="CV140" i="19"/>
  <c r="FI140" i="19" s="1"/>
  <c r="CW108" i="19"/>
  <c r="FJ108" i="19" s="1"/>
  <c r="CV108" i="19"/>
  <c r="FI108" i="19" s="1"/>
  <c r="CI108" i="19"/>
  <c r="EZ108" i="19" s="1"/>
  <c r="CH108" i="19"/>
  <c r="EY108" i="19" s="1"/>
  <c r="CW76" i="19"/>
  <c r="CV76" i="19"/>
  <c r="FI76" i="19" s="1"/>
  <c r="BG44" i="19"/>
  <c r="BF44" i="19"/>
  <c r="EE44" i="19" s="1"/>
  <c r="AS292" i="19"/>
  <c r="DV292" i="19" s="1"/>
  <c r="AR292" i="19"/>
  <c r="DU292" i="19" s="1"/>
  <c r="CP244" i="19"/>
  <c r="CO244" i="19"/>
  <c r="FD244" i="19" s="1"/>
  <c r="BG244" i="19"/>
  <c r="BF244" i="19"/>
  <c r="EE244" i="19" s="1"/>
  <c r="CB196" i="19"/>
  <c r="CA196" i="19"/>
  <c r="ET196" i="19" s="1"/>
  <c r="CP148" i="19"/>
  <c r="FE148" i="19" s="1"/>
  <c r="CO148" i="19"/>
  <c r="FD148" i="19" s="1"/>
  <c r="CB116" i="19"/>
  <c r="CA116" i="19"/>
  <c r="ET116" i="19" s="1"/>
  <c r="CB84" i="19"/>
  <c r="CA84" i="19"/>
  <c r="ET84" i="19" s="1"/>
  <c r="AL20" i="19"/>
  <c r="DQ20" i="19" s="1"/>
  <c r="AK20" i="19"/>
  <c r="DP20" i="19" s="1"/>
  <c r="AZ285" i="19"/>
  <c r="AY285" i="19"/>
  <c r="DZ285" i="19" s="1"/>
  <c r="CB237" i="19"/>
  <c r="EU237" i="19" s="1"/>
  <c r="CA237" i="19"/>
  <c r="ET237" i="19" s="1"/>
  <c r="AZ189" i="19"/>
  <c r="AY189" i="19"/>
  <c r="DZ189" i="19" s="1"/>
  <c r="BN109" i="19"/>
  <c r="EK109" i="19" s="1"/>
  <c r="BM109" i="19"/>
  <c r="EJ109" i="19" s="1"/>
  <c r="BG109" i="19"/>
  <c r="EF109" i="19" s="1"/>
  <c r="BF109" i="19"/>
  <c r="EE109" i="19" s="1"/>
  <c r="AZ325" i="19"/>
  <c r="EA325" i="19" s="1"/>
  <c r="AY325" i="19"/>
  <c r="DZ325" i="19" s="1"/>
  <c r="AS309" i="19"/>
  <c r="DV309" i="19" s="1"/>
  <c r="AR309" i="19"/>
  <c r="DU309" i="19" s="1"/>
  <c r="DD309" i="19"/>
  <c r="FO309" i="19" s="1"/>
  <c r="DC309" i="19"/>
  <c r="FN309" i="19" s="1"/>
  <c r="BN293" i="19"/>
  <c r="BM293" i="19"/>
  <c r="EJ293" i="19" s="1"/>
  <c r="BN277" i="19"/>
  <c r="EK277" i="19" s="1"/>
  <c r="BM277" i="19"/>
  <c r="EJ277" i="19" s="1"/>
  <c r="CI277" i="19"/>
  <c r="EZ277" i="19" s="1"/>
  <c r="CH277" i="19"/>
  <c r="EY277" i="19" s="1"/>
  <c r="CB245" i="19"/>
  <c r="CA245" i="19"/>
  <c r="ET245" i="19" s="1"/>
  <c r="CP213" i="19"/>
  <c r="CO213" i="19"/>
  <c r="FD213" i="19" s="1"/>
  <c r="AZ213" i="19"/>
  <c r="AY213" i="19"/>
  <c r="DZ213" i="19" s="1"/>
  <c r="CB197" i="19"/>
  <c r="CA197" i="19"/>
  <c r="ET197" i="19" s="1"/>
  <c r="DD181" i="19"/>
  <c r="DC181" i="19"/>
  <c r="FN181" i="19" s="1"/>
  <c r="CB165" i="19"/>
  <c r="CA165" i="19"/>
  <c r="ET165" i="19" s="1"/>
  <c r="BN149" i="19"/>
  <c r="EK149" i="19" s="1"/>
  <c r="BM149" i="19"/>
  <c r="EJ149" i="19" s="1"/>
  <c r="AS117" i="19"/>
  <c r="DV117" i="19" s="1"/>
  <c r="AR117" i="19"/>
  <c r="DU117" i="19" s="1"/>
  <c r="DD117" i="19"/>
  <c r="DC117" i="19"/>
  <c r="FN117" i="19" s="1"/>
  <c r="BN101" i="19"/>
  <c r="EK101" i="19" s="1"/>
  <c r="BM101" i="19"/>
  <c r="EJ101" i="19" s="1"/>
  <c r="CW85" i="19"/>
  <c r="CV85" i="19"/>
  <c r="FI85" i="19" s="1"/>
  <c r="DD85" i="19"/>
  <c r="DC85" i="19"/>
  <c r="FN85" i="19" s="1"/>
  <c r="DD53" i="19"/>
  <c r="DC53" i="19"/>
  <c r="FN53" i="19" s="1"/>
  <c r="CW53" i="19"/>
  <c r="CV53" i="19"/>
  <c r="FI53" i="19" s="1"/>
  <c r="AZ324" i="19"/>
  <c r="EA324" i="19" s="1"/>
  <c r="AY324" i="19"/>
  <c r="DZ324" i="19" s="1"/>
  <c r="BN276" i="19"/>
  <c r="BM276" i="19"/>
  <c r="EJ276" i="19" s="1"/>
  <c r="DD228" i="19"/>
  <c r="DC228" i="19"/>
  <c r="FN228" i="19" s="1"/>
  <c r="AZ164" i="19"/>
  <c r="AY164" i="19"/>
  <c r="DZ164" i="19" s="1"/>
  <c r="AZ100" i="19"/>
  <c r="AY100" i="19"/>
  <c r="DZ100" i="19" s="1"/>
  <c r="CB52" i="19"/>
  <c r="CA52" i="19"/>
  <c r="ET52" i="19" s="1"/>
  <c r="CW52" i="19"/>
  <c r="CV52" i="19"/>
  <c r="FI52" i="19" s="1"/>
  <c r="BN301" i="19"/>
  <c r="BM301" i="19"/>
  <c r="EJ301" i="19" s="1"/>
  <c r="AZ253" i="19"/>
  <c r="AY253" i="19"/>
  <c r="DZ253" i="19" s="1"/>
  <c r="CB205" i="19"/>
  <c r="EU205" i="19" s="1"/>
  <c r="CA205" i="19"/>
  <c r="ET205" i="19" s="1"/>
  <c r="CI205" i="19"/>
  <c r="EZ205" i="19" s="1"/>
  <c r="CH205" i="19"/>
  <c r="EY205" i="19" s="1"/>
  <c r="CP77" i="19"/>
  <c r="CO77" i="19"/>
  <c r="FD77" i="19" s="1"/>
  <c r="BN308" i="19"/>
  <c r="BM308" i="19"/>
  <c r="EJ308" i="19" s="1"/>
  <c r="DD308" i="19"/>
  <c r="DC308" i="19"/>
  <c r="FN308" i="19" s="1"/>
  <c r="AZ260" i="19"/>
  <c r="AY260" i="19"/>
  <c r="DZ260" i="19" s="1"/>
  <c r="DD212" i="19"/>
  <c r="DC212" i="19"/>
  <c r="FN212" i="19" s="1"/>
  <c r="CP180" i="19"/>
  <c r="CO180" i="19"/>
  <c r="FD180" i="19" s="1"/>
  <c r="BN132" i="19"/>
  <c r="BM132" i="19"/>
  <c r="EJ132" i="19" s="1"/>
  <c r="BG68" i="19"/>
  <c r="BF68" i="19"/>
  <c r="EE68" i="19" s="1"/>
  <c r="AZ269" i="19"/>
  <c r="AY269" i="19"/>
  <c r="DZ269" i="19" s="1"/>
  <c r="BG173" i="19"/>
  <c r="BF173" i="19"/>
  <c r="EE173" i="19" s="1"/>
  <c r="AZ141" i="19"/>
  <c r="AY141" i="19"/>
  <c r="DZ141" i="19" s="1"/>
  <c r="CI82" i="19"/>
  <c r="CH82" i="19"/>
  <c r="EY82" i="19" s="1"/>
  <c r="CF17" i="19"/>
  <c r="EL5" i="35" s="1"/>
  <c r="CH17" i="19"/>
  <c r="BN12" i="19"/>
  <c r="EK12" i="19" s="1"/>
  <c r="BM12" i="19"/>
  <c r="EJ12" i="19" s="1"/>
  <c r="CV15" i="30"/>
  <c r="BV6" i="35" s="1"/>
  <c r="CT15" i="30"/>
  <c r="AZ15" i="30"/>
  <c r="AW15" i="30"/>
  <c r="EM15" i="30"/>
  <c r="EM4" i="30" s="1"/>
  <c r="AR6" i="35"/>
  <c r="AJ15" i="30"/>
  <c r="J6" i="35" s="1"/>
  <c r="AK15" i="30"/>
  <c r="EC15" i="30"/>
  <c r="AD6" i="35"/>
  <c r="BZ15" i="30"/>
  <c r="ES15" i="30" s="1"/>
  <c r="BY15" i="30"/>
  <c r="BM6" i="35"/>
  <c r="FB15" i="30"/>
  <c r="AC15" i="30"/>
  <c r="C6" i="35" s="1"/>
  <c r="AD15" i="30"/>
  <c r="D6" i="35" s="1"/>
  <c r="CP27" i="19"/>
  <c r="CM27" i="19"/>
  <c r="FB27" i="19" s="1"/>
  <c r="AS11" i="30"/>
  <c r="DV11" i="30" s="1"/>
  <c r="AP11" i="30"/>
  <c r="BF5" i="35"/>
  <c r="EW11" i="30"/>
  <c r="AL19" i="19"/>
  <c r="DQ19" i="19" s="1"/>
  <c r="AK19" i="19"/>
  <c r="DP19" i="19" s="1"/>
  <c r="AL17" i="19"/>
  <c r="DQ17" i="19" s="1"/>
  <c r="AJ17" i="19"/>
  <c r="DO17" i="19" s="1"/>
  <c r="CV11" i="30"/>
  <c r="FI11" i="30" s="1"/>
  <c r="CT11" i="30"/>
  <c r="EH11" i="30"/>
  <c r="AK5" i="35"/>
  <c r="DC11" i="30"/>
  <c r="FN11" i="30" s="1"/>
  <c r="DA11" i="30"/>
  <c r="CA4" i="35"/>
  <c r="FL7" i="30"/>
  <c r="BM9" i="19"/>
  <c r="EJ9" i="19" s="1"/>
  <c r="BK9" i="19"/>
  <c r="EH9" i="19" s="1"/>
  <c r="DN4" i="30"/>
  <c r="CP7" i="30"/>
  <c r="FE7" i="30" s="1"/>
  <c r="CM7" i="30"/>
  <c r="CI7" i="30"/>
  <c r="EZ7" i="30" s="1"/>
  <c r="CF7" i="30"/>
  <c r="EH7" i="30"/>
  <c r="AK4" i="35"/>
  <c r="AZ7" i="30"/>
  <c r="Z4" i="35" s="1"/>
  <c r="AW7" i="30"/>
  <c r="DO7" i="30"/>
  <c r="T39" i="35"/>
  <c r="GY39" i="35" s="1"/>
  <c r="DW59" i="30"/>
  <c r="AR19" i="30"/>
  <c r="R7" i="35" s="1"/>
  <c r="AS19" i="30"/>
  <c r="S6" i="35"/>
  <c r="DV15" i="30"/>
  <c r="FJ7" i="30"/>
  <c r="AT67" i="30"/>
  <c r="DW67" i="30" s="1"/>
  <c r="AS67" i="30"/>
  <c r="AT115" i="30"/>
  <c r="DW115" i="30" s="1"/>
  <c r="AS115" i="30"/>
  <c r="AT35" i="30"/>
  <c r="DW35" i="30" s="1"/>
  <c r="AS35" i="30"/>
  <c r="AZ19" i="30"/>
  <c r="Z7" i="35" s="1"/>
  <c r="AY19" i="30"/>
  <c r="S20" i="35"/>
  <c r="DV71" i="30"/>
  <c r="AT127" i="30"/>
  <c r="T34" i="35" s="1"/>
  <c r="GY34" i="35" s="1"/>
  <c r="AS127" i="30"/>
  <c r="AU7" i="35"/>
  <c r="S36" i="35"/>
  <c r="DV135" i="30"/>
  <c r="D137" i="30" s="1"/>
  <c r="DV59" i="30"/>
  <c r="S17" i="35"/>
  <c r="FH7" i="30"/>
  <c r="FH4" i="30" s="1"/>
  <c r="BU4" i="35"/>
  <c r="FN19" i="30"/>
  <c r="CC7" i="35"/>
  <c r="AT99" i="30"/>
  <c r="AS99" i="30"/>
  <c r="BN15" i="30"/>
  <c r="EK15" i="30" s="1"/>
  <c r="BL15" i="30"/>
  <c r="DW75" i="30"/>
  <c r="DW39" i="30"/>
  <c r="AT5" i="35"/>
  <c r="EO11" i="30"/>
  <c r="EO19" i="30"/>
  <c r="H21" i="30" s="1"/>
  <c r="AT7" i="35"/>
  <c r="AT79" i="30"/>
  <c r="T22" i="35" s="1"/>
  <c r="GY22" i="35" s="1"/>
  <c r="AS79" i="30"/>
  <c r="AT107" i="30"/>
  <c r="T29" i="35" s="1"/>
  <c r="GY29" i="35" s="1"/>
  <c r="AS107" i="30"/>
  <c r="AT83" i="30"/>
  <c r="T23" i="35" s="1"/>
  <c r="GY23" i="35" s="1"/>
  <c r="AS83" i="30"/>
  <c r="AT111" i="30"/>
  <c r="DW111" i="30" s="1"/>
  <c r="AS111" i="30"/>
  <c r="BV7" i="35"/>
  <c r="FI19" i="30"/>
  <c r="AT143" i="30"/>
  <c r="T38" i="35" s="1"/>
  <c r="GY38" i="35" s="1"/>
  <c r="AS143" i="30"/>
  <c r="DV147" i="30"/>
  <c r="D148" i="30" s="1"/>
  <c r="MB39" i="35" s="1"/>
  <c r="S39" i="35"/>
  <c r="DV139" i="30"/>
  <c r="D141" i="30" s="1"/>
  <c r="S37" i="35"/>
  <c r="DV155" i="30"/>
  <c r="D157" i="30" s="1"/>
  <c r="S41" i="35"/>
  <c r="AT31" i="30"/>
  <c r="DW31" i="30" s="1"/>
  <c r="AS31" i="30"/>
  <c r="Y5" i="35"/>
  <c r="DZ11" i="30"/>
  <c r="AT15" i="30"/>
  <c r="T6" i="35" s="1"/>
  <c r="GY6" i="35" s="1"/>
  <c r="AR15" i="30"/>
  <c r="AT51" i="30"/>
  <c r="DW51" i="30" s="1"/>
  <c r="AS51" i="30"/>
  <c r="AT163" i="30"/>
  <c r="DW163" i="30" s="1"/>
  <c r="AS163" i="30"/>
  <c r="DV87" i="30"/>
  <c r="S24" i="35"/>
  <c r="S32" i="35"/>
  <c r="DV119" i="30"/>
  <c r="DD15" i="30"/>
  <c r="CD6" i="35" s="1"/>
  <c r="DB15" i="30"/>
  <c r="BU15" i="30"/>
  <c r="EP15" i="30" s="1"/>
  <c r="BS15" i="30"/>
  <c r="AT131" i="30"/>
  <c r="T35" i="35" s="1"/>
  <c r="GY35" i="35" s="1"/>
  <c r="AS131" i="30"/>
  <c r="DV91" i="30"/>
  <c r="S25" i="35"/>
  <c r="S12" i="35"/>
  <c r="DV39" i="30"/>
  <c r="S21" i="35"/>
  <c r="DV75" i="30"/>
  <c r="AT63" i="30"/>
  <c r="DW63" i="30" s="1"/>
  <c r="AS63" i="30"/>
  <c r="S40" i="35"/>
  <c r="DV151" i="30"/>
  <c r="DV123" i="30"/>
  <c r="S33" i="35"/>
  <c r="DV47" i="30"/>
  <c r="S14" i="35"/>
  <c r="BN19" i="30"/>
  <c r="EK19" i="30" s="1"/>
  <c r="BM19" i="30"/>
  <c r="AT43" i="30"/>
  <c r="T13" i="35" s="1"/>
  <c r="GY13" i="35" s="1"/>
  <c r="AS43" i="30"/>
  <c r="AT11" i="30"/>
  <c r="AR11" i="30"/>
  <c r="BG15" i="30"/>
  <c r="EF15" i="30" s="1"/>
  <c r="BF15" i="30"/>
  <c r="EE7" i="30"/>
  <c r="AF4" i="35"/>
  <c r="AT55" i="30"/>
  <c r="T16" i="35" s="1"/>
  <c r="GY16" i="35" s="1"/>
  <c r="AS55" i="30"/>
  <c r="DV103" i="30"/>
  <c r="S28" i="35"/>
  <c r="AT95" i="30"/>
  <c r="T26" i="35" s="1"/>
  <c r="GY26" i="35" s="1"/>
  <c r="AS95" i="30"/>
  <c r="CI19" i="30"/>
  <c r="BI7" i="35" s="1"/>
  <c r="CF19" i="30"/>
  <c r="AT23" i="30"/>
  <c r="T8" i="35" s="1"/>
  <c r="GY8" i="35" s="1"/>
  <c r="AS23" i="30"/>
  <c r="AL21" i="19"/>
  <c r="DQ21" i="19" s="1"/>
  <c r="AJ21" i="19"/>
  <c r="DO21" i="19" s="1"/>
  <c r="GO4" i="35"/>
  <c r="GO2" i="35" s="1"/>
  <c r="CO47" i="44" s="1"/>
  <c r="DT7" i="30"/>
  <c r="DT4" i="30" s="1"/>
  <c r="BU10" i="19"/>
  <c r="EP10" i="19" s="1"/>
  <c r="BT10" i="19"/>
  <c r="EO10" i="19" s="1"/>
  <c r="DD9" i="19"/>
  <c r="DC9" i="19"/>
  <c r="CW11" i="19"/>
  <c r="FJ11" i="19" s="1"/>
  <c r="CV11" i="19"/>
  <c r="FI11" i="19" s="1"/>
  <c r="BA7" i="30"/>
  <c r="AX7" i="30"/>
  <c r="DU7" i="30"/>
  <c r="R4" i="35"/>
  <c r="FI10" i="19"/>
  <c r="AJ10" i="19"/>
  <c r="DO10" i="19" s="1"/>
  <c r="AI10" i="19"/>
  <c r="DN10" i="19" s="1"/>
  <c r="L10" i="35"/>
  <c r="HA4" i="35"/>
  <c r="BN9" i="19"/>
  <c r="BL9" i="19"/>
  <c r="EI9" i="19" s="1"/>
  <c r="DQ47" i="30"/>
  <c r="DL51" i="30"/>
  <c r="L18" i="35"/>
  <c r="L17" i="35"/>
  <c r="DL155" i="30"/>
  <c r="L40" i="35"/>
  <c r="DQ67" i="30"/>
  <c r="L24" i="35"/>
  <c r="DQ35" i="30"/>
  <c r="L31" i="35"/>
  <c r="DL119" i="30"/>
  <c r="DQ123" i="30"/>
  <c r="E153" i="30"/>
  <c r="L20" i="35"/>
  <c r="DL139" i="30"/>
  <c r="DQ43" i="30"/>
  <c r="DQ27" i="30"/>
  <c r="DQ107" i="30"/>
  <c r="DL75" i="30"/>
  <c r="DL131" i="30"/>
  <c r="DQ55" i="30"/>
  <c r="DL103" i="30"/>
  <c r="L21" i="35"/>
  <c r="L28" i="35"/>
  <c r="L36" i="35"/>
  <c r="DL115" i="30"/>
  <c r="DL163" i="30"/>
  <c r="E77" i="30"/>
  <c r="DP19" i="30"/>
  <c r="AB306" i="19"/>
  <c r="DI306" i="19" s="1"/>
  <c r="AC306" i="19"/>
  <c r="DJ306" i="19" s="1"/>
  <c r="DP143" i="30"/>
  <c r="K38" i="35"/>
  <c r="K43" i="35"/>
  <c r="DP163" i="30"/>
  <c r="DJ63" i="30"/>
  <c r="DP51" i="30"/>
  <c r="K15" i="35"/>
  <c r="C25" i="35"/>
  <c r="DJ91" i="30"/>
  <c r="C20" i="35"/>
  <c r="DJ71" i="30"/>
  <c r="K27" i="35"/>
  <c r="DP99" i="30"/>
  <c r="AB147" i="19"/>
  <c r="DI147" i="19" s="1"/>
  <c r="AC147" i="19"/>
  <c r="DJ147" i="19" s="1"/>
  <c r="AB322" i="19"/>
  <c r="DI322" i="19" s="1"/>
  <c r="AC322" i="19"/>
  <c r="DJ322" i="19" s="1"/>
  <c r="DP81" i="19"/>
  <c r="AB275" i="19"/>
  <c r="DI275" i="19" s="1"/>
  <c r="AC275" i="19"/>
  <c r="DJ275" i="19" s="1"/>
  <c r="AB273" i="19"/>
  <c r="DI273" i="19" s="1"/>
  <c r="AC273" i="19"/>
  <c r="AB145" i="19"/>
  <c r="DI145" i="19" s="1"/>
  <c r="AC145" i="19"/>
  <c r="AB237" i="19"/>
  <c r="DI237" i="19" s="1"/>
  <c r="AC237" i="19"/>
  <c r="DJ237" i="19" s="1"/>
  <c r="AB261" i="19"/>
  <c r="DI261" i="19" s="1"/>
  <c r="AC261" i="19"/>
  <c r="DJ261" i="19" s="1"/>
  <c r="AB260" i="19"/>
  <c r="DI260" i="19" s="1"/>
  <c r="AC260" i="19"/>
  <c r="DJ260" i="19" s="1"/>
  <c r="DJ201" i="19"/>
  <c r="C40" i="35"/>
  <c r="DJ151" i="30"/>
  <c r="AE323" i="19"/>
  <c r="DL323" i="19" s="1"/>
  <c r="AC323" i="19"/>
  <c r="DJ323" i="19" s="1"/>
  <c r="AB274" i="19"/>
  <c r="DI274" i="19" s="1"/>
  <c r="AC274" i="19"/>
  <c r="DJ274" i="19" s="1"/>
  <c r="AB19" i="30"/>
  <c r="DI19" i="30" s="1"/>
  <c r="AC19" i="30"/>
  <c r="C7" i="35" s="1"/>
  <c r="C26" i="35"/>
  <c r="DJ95" i="30"/>
  <c r="C17" i="35"/>
  <c r="DJ59" i="30"/>
  <c r="C33" i="35"/>
  <c r="DJ123" i="30"/>
  <c r="DP139" i="30"/>
  <c r="K37" i="35"/>
  <c r="DP119" i="30"/>
  <c r="K32" i="35"/>
  <c r="DJ225" i="19"/>
  <c r="AB305" i="19"/>
  <c r="DI305" i="19" s="1"/>
  <c r="AC305" i="19"/>
  <c r="AB307" i="19"/>
  <c r="DI307" i="19" s="1"/>
  <c r="AC307" i="19"/>
  <c r="DJ307" i="19" s="1"/>
  <c r="DJ15" i="30"/>
  <c r="AL89" i="19"/>
  <c r="DQ89" i="19" s="1"/>
  <c r="AK89" i="19"/>
  <c r="DP89" i="19" s="1"/>
  <c r="AS9" i="19"/>
  <c r="DV9" i="19" s="1"/>
  <c r="AR9" i="19"/>
  <c r="DU9" i="19" s="1"/>
  <c r="AB236" i="19"/>
  <c r="DI236" i="19" s="1"/>
  <c r="AC236" i="19"/>
  <c r="DJ236" i="19" s="1"/>
  <c r="AB108" i="19"/>
  <c r="DI108" i="19" s="1"/>
  <c r="AC108" i="19"/>
  <c r="DJ108" i="19" s="1"/>
  <c r="AB309" i="19"/>
  <c r="DI309" i="19" s="1"/>
  <c r="AC309" i="19"/>
  <c r="DJ309" i="19" s="1"/>
  <c r="AB276" i="19"/>
  <c r="DI276" i="19" s="1"/>
  <c r="AC276" i="19"/>
  <c r="DJ276" i="19" s="1"/>
  <c r="DP79" i="30"/>
  <c r="K22" i="35"/>
  <c r="DP127" i="30"/>
  <c r="K34" i="35"/>
  <c r="DP131" i="30"/>
  <c r="K35" i="35"/>
  <c r="K26" i="35"/>
  <c r="DP95" i="30"/>
  <c r="C23" i="35"/>
  <c r="DJ83" i="30"/>
  <c r="AB146" i="19"/>
  <c r="DI146" i="19" s="1"/>
  <c r="AC146" i="19"/>
  <c r="DJ146" i="19" s="1"/>
  <c r="AB234" i="19"/>
  <c r="DI234" i="19" s="1"/>
  <c r="AC234" i="19"/>
  <c r="DJ234" i="19" s="1"/>
  <c r="DJ257" i="19"/>
  <c r="AL83" i="19"/>
  <c r="DQ83" i="19" s="1"/>
  <c r="AK83" i="19"/>
  <c r="DP83" i="19" s="1"/>
  <c r="DP111" i="30"/>
  <c r="K30" i="35"/>
  <c r="DP159" i="30"/>
  <c r="K42" i="35"/>
  <c r="DP147" i="30"/>
  <c r="K39" i="35"/>
  <c r="DP83" i="30"/>
  <c r="K23" i="35"/>
  <c r="AB204" i="19"/>
  <c r="DI204" i="19" s="1"/>
  <c r="AC204" i="19"/>
  <c r="DJ204" i="19" s="1"/>
  <c r="AB148" i="19"/>
  <c r="DI148" i="19" s="1"/>
  <c r="AC148" i="19"/>
  <c r="DJ148" i="19" s="1"/>
  <c r="AB109" i="19"/>
  <c r="DI109" i="19" s="1"/>
  <c r="AC109" i="19"/>
  <c r="DJ109" i="19" s="1"/>
  <c r="AB325" i="19"/>
  <c r="DI325" i="19" s="1"/>
  <c r="AC325" i="19"/>
  <c r="DJ325" i="19" s="1"/>
  <c r="AB101" i="19"/>
  <c r="DI101" i="19" s="1"/>
  <c r="AC101" i="19"/>
  <c r="DJ101" i="19" s="1"/>
  <c r="AB228" i="19"/>
  <c r="DI228" i="19" s="1"/>
  <c r="AC228" i="19"/>
  <c r="DJ228" i="19" s="1"/>
  <c r="AB100" i="19"/>
  <c r="DI100" i="19" s="1"/>
  <c r="AC100" i="19"/>
  <c r="DJ100" i="19" s="1"/>
  <c r="DP155" i="30"/>
  <c r="K41" i="35"/>
  <c r="DP23" i="30"/>
  <c r="K8" i="35"/>
  <c r="DP39" i="30"/>
  <c r="K12" i="35"/>
  <c r="DJ97" i="19"/>
  <c r="C22" i="35"/>
  <c r="DJ79" i="30"/>
  <c r="CQ24" i="35"/>
  <c r="GG24" i="35" s="1"/>
  <c r="DP169" i="19"/>
  <c r="AL82" i="19"/>
  <c r="DQ82" i="19" s="1"/>
  <c r="AK82" i="19"/>
  <c r="DP82" i="19" s="1"/>
  <c r="AB233" i="19"/>
  <c r="DI233" i="19" s="1"/>
  <c r="AC233" i="19"/>
  <c r="DJ233" i="19" s="1"/>
  <c r="AB277" i="19"/>
  <c r="DI277" i="19" s="1"/>
  <c r="AC277" i="19"/>
  <c r="DJ277" i="19" s="1"/>
  <c r="AB229" i="19"/>
  <c r="DI229" i="19" s="1"/>
  <c r="AC229" i="19"/>
  <c r="DJ229" i="19" s="1"/>
  <c r="AB149" i="19"/>
  <c r="DI149" i="19" s="1"/>
  <c r="AC149" i="19"/>
  <c r="DJ149" i="19" s="1"/>
  <c r="AB324" i="19"/>
  <c r="DI324" i="19" s="1"/>
  <c r="AC324" i="19"/>
  <c r="DJ324" i="19" s="1"/>
  <c r="AB205" i="19"/>
  <c r="DI205" i="19" s="1"/>
  <c r="AC205" i="19"/>
  <c r="DJ205" i="19" s="1"/>
  <c r="AB308" i="19"/>
  <c r="DI308" i="19" s="1"/>
  <c r="AC308" i="19"/>
  <c r="DJ308" i="19" s="1"/>
  <c r="AL11" i="19"/>
  <c r="DQ11" i="19" s="1"/>
  <c r="AK11" i="19"/>
  <c r="DP11" i="19" s="1"/>
  <c r="L25" i="35"/>
  <c r="AE127" i="30"/>
  <c r="E34" i="35" s="1"/>
  <c r="AB127" i="30"/>
  <c r="AE111" i="30"/>
  <c r="E30" i="35" s="1"/>
  <c r="AB111" i="30"/>
  <c r="AL143" i="30"/>
  <c r="L38" i="35" s="1"/>
  <c r="AJ143" i="30"/>
  <c r="AL163" i="30"/>
  <c r="DQ163" i="30" s="1"/>
  <c r="AJ163" i="30"/>
  <c r="AE63" i="30"/>
  <c r="E18" i="35" s="1"/>
  <c r="AB63" i="30"/>
  <c r="AL51" i="30"/>
  <c r="DQ51" i="30" s="1"/>
  <c r="AJ51" i="30"/>
  <c r="AE91" i="30"/>
  <c r="E25" i="35" s="1"/>
  <c r="AB91" i="30"/>
  <c r="AE71" i="30"/>
  <c r="E20" i="35" s="1"/>
  <c r="AB71" i="30"/>
  <c r="AE47" i="30"/>
  <c r="E14" i="35" s="1"/>
  <c r="AB47" i="30"/>
  <c r="AL99" i="30"/>
  <c r="DQ99" i="30" s="1"/>
  <c r="AJ99" i="30"/>
  <c r="B35" i="35"/>
  <c r="DI131" i="30"/>
  <c r="B21" i="35"/>
  <c r="DI75" i="30"/>
  <c r="DO123" i="30"/>
  <c r="J33" i="35"/>
  <c r="B28" i="35"/>
  <c r="DI103" i="30"/>
  <c r="J9" i="35"/>
  <c r="DO27" i="30"/>
  <c r="DO75" i="30"/>
  <c r="C76" i="30" s="1"/>
  <c r="MA21" i="35" s="1"/>
  <c r="J21" i="35"/>
  <c r="J28" i="35"/>
  <c r="DO103" i="30"/>
  <c r="C104" i="30" s="1"/>
  <c r="MA28" i="35" s="1"/>
  <c r="B43" i="35"/>
  <c r="DI163" i="30"/>
  <c r="J29" i="35"/>
  <c r="DO107" i="30"/>
  <c r="J16" i="35"/>
  <c r="DO55" i="30"/>
  <c r="J14" i="35"/>
  <c r="DO47" i="30"/>
  <c r="B31" i="35"/>
  <c r="DI115" i="30"/>
  <c r="J13" i="35"/>
  <c r="DO43" i="30"/>
  <c r="J20" i="35"/>
  <c r="DO71" i="30"/>
  <c r="DO135" i="30"/>
  <c r="C137" i="30" s="1"/>
  <c r="J36" i="35"/>
  <c r="B37" i="35"/>
  <c r="DI139" i="30"/>
  <c r="AE99" i="30"/>
  <c r="E27" i="35" s="1"/>
  <c r="AB99" i="30"/>
  <c r="AE151" i="30"/>
  <c r="E40" i="35" s="1"/>
  <c r="AB151" i="30"/>
  <c r="AE95" i="30"/>
  <c r="E26" i="35" s="1"/>
  <c r="AB95" i="30"/>
  <c r="AE67" i="30"/>
  <c r="E19" i="35" s="1"/>
  <c r="AB67" i="30"/>
  <c r="AE59" i="30"/>
  <c r="E17" i="35" s="1"/>
  <c r="AB59" i="30"/>
  <c r="B17" i="35" s="1"/>
  <c r="AE123" i="30"/>
  <c r="E33" i="35" s="1"/>
  <c r="AB123" i="30"/>
  <c r="AL139" i="30"/>
  <c r="DQ139" i="30" s="1"/>
  <c r="AJ139" i="30"/>
  <c r="AL119" i="30"/>
  <c r="DQ119" i="30" s="1"/>
  <c r="AJ119" i="30"/>
  <c r="AE23" i="30"/>
  <c r="E8" i="35" s="1"/>
  <c r="AB23" i="30"/>
  <c r="AE143" i="30"/>
  <c r="E38" i="35" s="1"/>
  <c r="AB143" i="30"/>
  <c r="AE35" i="30"/>
  <c r="E11" i="35" s="1"/>
  <c r="AB35" i="30"/>
  <c r="G104" i="30"/>
  <c r="ME28" i="35" s="1"/>
  <c r="AE147" i="30"/>
  <c r="E39" i="35" s="1"/>
  <c r="AB147" i="30"/>
  <c r="AE107" i="30"/>
  <c r="E29" i="35" s="1"/>
  <c r="AB107" i="30"/>
  <c r="AE87" i="30"/>
  <c r="E24" i="35" s="1"/>
  <c r="AB87" i="30"/>
  <c r="AL79" i="30"/>
  <c r="DQ79" i="30" s="1"/>
  <c r="AJ79" i="30"/>
  <c r="AL127" i="30"/>
  <c r="DQ127" i="30" s="1"/>
  <c r="AJ127" i="30"/>
  <c r="AE159" i="30"/>
  <c r="E42" i="35" s="1"/>
  <c r="AB159" i="30"/>
  <c r="AL131" i="30"/>
  <c r="L35" i="35" s="1"/>
  <c r="AJ131" i="30"/>
  <c r="AL95" i="30"/>
  <c r="L26" i="35" s="1"/>
  <c r="AJ95" i="30"/>
  <c r="AE83" i="30"/>
  <c r="E23" i="35" s="1"/>
  <c r="AB83" i="30"/>
  <c r="AE43" i="30"/>
  <c r="E13" i="35" s="1"/>
  <c r="AB43" i="30"/>
  <c r="AE39" i="30"/>
  <c r="E12" i="35" s="1"/>
  <c r="AB39" i="30"/>
  <c r="AL111" i="30"/>
  <c r="L30" i="35" s="1"/>
  <c r="AJ111" i="30"/>
  <c r="AL159" i="30"/>
  <c r="DQ159" i="30" s="1"/>
  <c r="AJ159" i="30"/>
  <c r="AL147" i="30"/>
  <c r="DQ147" i="30" s="1"/>
  <c r="AJ147" i="30"/>
  <c r="AL83" i="30"/>
  <c r="DQ83" i="30" s="1"/>
  <c r="AJ83" i="30"/>
  <c r="J25" i="35"/>
  <c r="DO91" i="30"/>
  <c r="C93" i="30" s="1"/>
  <c r="DO151" i="30"/>
  <c r="C153" i="30" s="1"/>
  <c r="J40" i="35"/>
  <c r="DO35" i="30"/>
  <c r="J11" i="35"/>
  <c r="B15" i="35"/>
  <c r="DI51" i="30"/>
  <c r="J17" i="35"/>
  <c r="DO59" i="30"/>
  <c r="C60" i="30" s="1"/>
  <c r="MA17" i="35" s="1"/>
  <c r="B32" i="35"/>
  <c r="DI119" i="30"/>
  <c r="DO115" i="30"/>
  <c r="C116" i="30" s="1"/>
  <c r="MA31" i="35" s="1"/>
  <c r="J31" i="35"/>
  <c r="DO63" i="30"/>
  <c r="C65" i="30" s="1"/>
  <c r="J18" i="35"/>
  <c r="DO67" i="30"/>
  <c r="J19" i="35"/>
  <c r="B41" i="35"/>
  <c r="DI155" i="30"/>
  <c r="DO87" i="30"/>
  <c r="C89" i="30" s="1"/>
  <c r="J24" i="35"/>
  <c r="J10" i="35"/>
  <c r="DO31" i="30"/>
  <c r="C33" i="30" s="1"/>
  <c r="AL155" i="30"/>
  <c r="L41" i="35" s="1"/>
  <c r="AJ155" i="30"/>
  <c r="AL23" i="30"/>
  <c r="DQ23" i="30" s="1"/>
  <c r="AJ23" i="30"/>
  <c r="AE135" i="30"/>
  <c r="E36" i="35" s="1"/>
  <c r="AB135" i="30"/>
  <c r="AE27" i="30"/>
  <c r="E9" i="35" s="1"/>
  <c r="AB27" i="30"/>
  <c r="AL39" i="30"/>
  <c r="DQ39" i="30" s="1"/>
  <c r="AJ39" i="30"/>
  <c r="AE79" i="30"/>
  <c r="E22" i="35" s="1"/>
  <c r="AB79" i="30"/>
  <c r="AE31" i="30"/>
  <c r="E10" i="35" s="1"/>
  <c r="AB31" i="30"/>
  <c r="E120" i="30"/>
  <c r="MC32" i="35" s="1"/>
  <c r="F60" i="30"/>
  <c r="MD17" i="35" s="1"/>
  <c r="H72" i="30"/>
  <c r="MF20" i="35" s="1"/>
  <c r="AL170" i="19"/>
  <c r="DQ170" i="19" s="1"/>
  <c r="AJ170" i="19"/>
  <c r="DO170" i="19" s="1"/>
  <c r="AL109" i="19"/>
  <c r="DQ109" i="19" s="1"/>
  <c r="AJ109" i="19"/>
  <c r="DO109" i="19" s="1"/>
  <c r="AL213" i="19"/>
  <c r="DQ213" i="19" s="1"/>
  <c r="AJ213" i="19"/>
  <c r="DO213" i="19" s="1"/>
  <c r="AL117" i="19"/>
  <c r="DQ117" i="19" s="1"/>
  <c r="AJ117" i="19"/>
  <c r="DO117" i="19" s="1"/>
  <c r="AL301" i="19"/>
  <c r="DQ301" i="19" s="1"/>
  <c r="AJ301" i="19"/>
  <c r="DO301" i="19" s="1"/>
  <c r="AL205" i="19"/>
  <c r="DQ205" i="19" s="1"/>
  <c r="AJ205" i="19"/>
  <c r="DO205" i="19" s="1"/>
  <c r="AL125" i="19"/>
  <c r="DQ125" i="19" s="1"/>
  <c r="AJ125" i="19"/>
  <c r="DO125" i="19" s="1"/>
  <c r="AL141" i="19"/>
  <c r="DQ141" i="19" s="1"/>
  <c r="AJ141" i="19"/>
  <c r="DO141" i="19" s="1"/>
  <c r="AL169" i="19"/>
  <c r="DQ169" i="19" s="1"/>
  <c r="AJ169" i="19"/>
  <c r="DO169" i="19" s="1"/>
  <c r="AL245" i="19"/>
  <c r="DQ245" i="19" s="1"/>
  <c r="AJ245" i="19"/>
  <c r="DO245" i="19" s="1"/>
  <c r="AL149" i="19"/>
  <c r="DQ149" i="19" s="1"/>
  <c r="AJ149" i="19"/>
  <c r="DO149" i="19" s="1"/>
  <c r="AL93" i="19"/>
  <c r="DQ93" i="19" s="1"/>
  <c r="AJ93" i="19"/>
  <c r="DO93" i="19" s="1"/>
  <c r="AL50" i="19"/>
  <c r="DQ50" i="19" s="1"/>
  <c r="AJ50" i="19"/>
  <c r="DO50" i="19" s="1"/>
  <c r="AL81" i="19"/>
  <c r="DQ81" i="19" s="1"/>
  <c r="AJ81" i="19"/>
  <c r="DO81" i="19" s="1"/>
  <c r="AL229" i="19"/>
  <c r="DQ229" i="19" s="1"/>
  <c r="AJ229" i="19"/>
  <c r="DO229" i="19" s="1"/>
  <c r="AL181" i="19"/>
  <c r="DQ181" i="19" s="1"/>
  <c r="AJ181" i="19"/>
  <c r="DO181" i="19" s="1"/>
  <c r="AL133" i="19"/>
  <c r="DQ133" i="19" s="1"/>
  <c r="AJ133" i="19"/>
  <c r="DO133" i="19" s="1"/>
  <c r="AL69" i="19"/>
  <c r="DQ69" i="19" s="1"/>
  <c r="AJ69" i="19"/>
  <c r="DO69" i="19" s="1"/>
  <c r="AL269" i="19"/>
  <c r="DQ269" i="19" s="1"/>
  <c r="AJ269" i="19"/>
  <c r="DO269" i="19" s="1"/>
  <c r="AL173" i="19"/>
  <c r="DQ173" i="19" s="1"/>
  <c r="AJ173" i="19"/>
  <c r="DO173" i="19" s="1"/>
  <c r="AL61" i="19"/>
  <c r="DQ61" i="19" s="1"/>
  <c r="AJ61" i="19"/>
  <c r="DO61" i="19" s="1"/>
  <c r="G36" i="30"/>
  <c r="ME11" i="35" s="1"/>
  <c r="AL85" i="19"/>
  <c r="DQ85" i="19" s="1"/>
  <c r="AJ85" i="19"/>
  <c r="DO85" i="19" s="1"/>
  <c r="AL53" i="19"/>
  <c r="DQ53" i="19" s="1"/>
  <c r="AJ53" i="19"/>
  <c r="DO53" i="19" s="1"/>
  <c r="AL37" i="19"/>
  <c r="DQ37" i="19" s="1"/>
  <c r="AJ37" i="19"/>
  <c r="DO37" i="19" s="1"/>
  <c r="DO179" i="19"/>
  <c r="AL59" i="19"/>
  <c r="DQ59" i="19" s="1"/>
  <c r="AJ59" i="19"/>
  <c r="DO59" i="19" s="1"/>
  <c r="AL67" i="19"/>
  <c r="DQ67" i="19" s="1"/>
  <c r="AJ67" i="19"/>
  <c r="DO67" i="19" s="1"/>
  <c r="AL123" i="19"/>
  <c r="DQ123" i="19" s="1"/>
  <c r="AJ123" i="19"/>
  <c r="AL107" i="19"/>
  <c r="DQ107" i="19" s="1"/>
  <c r="AJ107" i="19"/>
  <c r="DO107" i="19" s="1"/>
  <c r="AL300" i="19"/>
  <c r="DQ300" i="19" s="1"/>
  <c r="AJ300" i="19"/>
  <c r="DO300" i="19" s="1"/>
  <c r="AL268" i="19"/>
  <c r="DQ268" i="19" s="1"/>
  <c r="AJ268" i="19"/>
  <c r="DO268" i="19" s="1"/>
  <c r="AL204" i="19"/>
  <c r="DQ204" i="19" s="1"/>
  <c r="AJ204" i="19"/>
  <c r="DO204" i="19" s="1"/>
  <c r="AL140" i="19"/>
  <c r="DQ140" i="19" s="1"/>
  <c r="AJ140" i="19"/>
  <c r="DO140" i="19" s="1"/>
  <c r="AL108" i="19"/>
  <c r="DQ108" i="19" s="1"/>
  <c r="AJ108" i="19"/>
  <c r="DO108" i="19" s="1"/>
  <c r="AL60" i="19"/>
  <c r="DQ60" i="19" s="1"/>
  <c r="AJ60" i="19"/>
  <c r="DO60" i="19" s="1"/>
  <c r="AL84" i="19"/>
  <c r="DQ84" i="19" s="1"/>
  <c r="AJ84" i="19"/>
  <c r="DO84" i="19" s="1"/>
  <c r="AL52" i="19"/>
  <c r="DQ52" i="19" s="1"/>
  <c r="AJ52" i="19"/>
  <c r="DO52" i="19" s="1"/>
  <c r="AL212" i="19"/>
  <c r="DQ212" i="19" s="1"/>
  <c r="AJ212" i="19"/>
  <c r="DO212" i="19" s="1"/>
  <c r="AL36" i="19"/>
  <c r="DQ36" i="19" s="1"/>
  <c r="AJ36" i="19"/>
  <c r="DO36" i="19" s="1"/>
  <c r="AL139" i="19"/>
  <c r="DQ139" i="19" s="1"/>
  <c r="AJ139" i="19"/>
  <c r="AL171" i="19"/>
  <c r="DQ171" i="19" s="1"/>
  <c r="AJ171" i="19"/>
  <c r="AL115" i="19"/>
  <c r="DQ115" i="19" s="1"/>
  <c r="AJ115" i="19"/>
  <c r="DO115" i="19" s="1"/>
  <c r="AL91" i="19"/>
  <c r="DQ91" i="19" s="1"/>
  <c r="AJ91" i="19"/>
  <c r="DO91" i="19" s="1"/>
  <c r="AL131" i="19"/>
  <c r="DQ131" i="19" s="1"/>
  <c r="AJ131" i="19"/>
  <c r="DO203" i="19"/>
  <c r="AL124" i="19"/>
  <c r="DQ124" i="19" s="1"/>
  <c r="AJ124" i="19"/>
  <c r="DO124" i="19" s="1"/>
  <c r="AL116" i="19"/>
  <c r="DQ116" i="19" s="1"/>
  <c r="AJ116" i="19"/>
  <c r="DO116" i="19" s="1"/>
  <c r="AL228" i="19"/>
  <c r="DQ228" i="19" s="1"/>
  <c r="AJ228" i="19"/>
  <c r="DO228" i="19" s="1"/>
  <c r="AL132" i="19"/>
  <c r="DQ132" i="19" s="1"/>
  <c r="AJ132" i="19"/>
  <c r="DO132" i="19" s="1"/>
  <c r="AL68" i="19"/>
  <c r="DQ68" i="19" s="1"/>
  <c r="AJ68" i="19"/>
  <c r="DO68" i="19" s="1"/>
  <c r="DO267" i="19"/>
  <c r="DO211" i="19"/>
  <c r="AL172" i="19"/>
  <c r="DQ172" i="19" s="1"/>
  <c r="AJ172" i="19"/>
  <c r="DO172" i="19" s="1"/>
  <c r="AL92" i="19"/>
  <c r="DQ92" i="19" s="1"/>
  <c r="AJ92" i="19"/>
  <c r="DO92" i="19" s="1"/>
  <c r="DO51" i="19"/>
  <c r="DO227" i="19"/>
  <c r="AL244" i="19"/>
  <c r="DQ244" i="19" s="1"/>
  <c r="AJ244" i="19"/>
  <c r="DO244" i="19" s="1"/>
  <c r="AL148" i="19"/>
  <c r="DQ148" i="19" s="1"/>
  <c r="AJ148" i="19"/>
  <c r="DO148" i="19" s="1"/>
  <c r="AL180" i="19"/>
  <c r="DQ180" i="19" s="1"/>
  <c r="AJ180" i="19"/>
  <c r="DO180" i="19" s="1"/>
  <c r="DO35" i="19"/>
  <c r="E84" i="30"/>
  <c r="MC23" i="35" s="1"/>
  <c r="E136" i="30"/>
  <c r="MC36" i="35" s="1"/>
  <c r="E144" i="30"/>
  <c r="MC38" i="35" s="1"/>
  <c r="E80" i="30"/>
  <c r="MC22" i="35" s="1"/>
  <c r="AE257" i="19"/>
  <c r="DL257" i="19" s="1"/>
  <c r="AB257" i="19"/>
  <c r="DI257" i="19" s="1"/>
  <c r="AD97" i="19"/>
  <c r="DK97" i="19" s="1"/>
  <c r="AB97" i="19"/>
  <c r="DI97" i="19" s="1"/>
  <c r="AE321" i="19"/>
  <c r="DL321" i="19" s="1"/>
  <c r="AB321" i="19"/>
  <c r="DI321" i="19" s="1"/>
  <c r="AE258" i="19"/>
  <c r="DL258" i="19" s="1"/>
  <c r="AB258" i="19"/>
  <c r="DI258" i="19" s="1"/>
  <c r="AD98" i="19"/>
  <c r="DK98" i="19" s="1"/>
  <c r="AB98" i="19"/>
  <c r="DI98" i="19" s="1"/>
  <c r="AE226" i="19"/>
  <c r="DL226" i="19" s="1"/>
  <c r="AB226" i="19"/>
  <c r="DI226" i="19" s="1"/>
  <c r="AE201" i="19"/>
  <c r="DL201" i="19" s="1"/>
  <c r="AB201" i="19"/>
  <c r="DI201" i="19" s="1"/>
  <c r="AE225" i="19"/>
  <c r="DL225" i="19" s="1"/>
  <c r="AB225" i="19"/>
  <c r="DI225" i="19" s="1"/>
  <c r="AE202" i="19"/>
  <c r="DL202" i="19" s="1"/>
  <c r="AB202" i="19"/>
  <c r="DI202" i="19" s="1"/>
  <c r="AE203" i="19"/>
  <c r="DL203" i="19" s="1"/>
  <c r="AB203" i="19"/>
  <c r="AE259" i="19"/>
  <c r="DL259" i="19" s="1"/>
  <c r="AB259" i="19"/>
  <c r="AE235" i="19"/>
  <c r="DL235" i="19" s="1"/>
  <c r="AB235" i="19"/>
  <c r="AE227" i="19"/>
  <c r="DL227" i="19" s="1"/>
  <c r="AB227" i="19"/>
  <c r="BD7" i="30"/>
  <c r="EC7" i="30" s="1"/>
  <c r="BG7" i="30"/>
  <c r="BB4" i="35"/>
  <c r="EU7" i="30"/>
  <c r="Q92" i="19"/>
  <c r="AT47" i="30"/>
  <c r="DW27" i="30"/>
  <c r="T9" i="35"/>
  <c r="GY9" i="35" s="1"/>
  <c r="AD19" i="30"/>
  <c r="D7" i="35" s="1"/>
  <c r="AE19" i="30"/>
  <c r="E7" i="35" s="1"/>
  <c r="AB15" i="30"/>
  <c r="B6" i="35" s="1"/>
  <c r="AE15" i="30"/>
  <c r="E6" i="35" s="1"/>
  <c r="Q36" i="19"/>
  <c r="AT19" i="30"/>
  <c r="T11" i="35"/>
  <c r="GY11" i="35" s="1"/>
  <c r="T19" i="35"/>
  <c r="GY19" i="35" s="1"/>
  <c r="Q172" i="19"/>
  <c r="AT87" i="30"/>
  <c r="Q140" i="19"/>
  <c r="AT71" i="30"/>
  <c r="Q237" i="19"/>
  <c r="AT119" i="30"/>
  <c r="T30" i="35"/>
  <c r="GY30" i="35" s="1"/>
  <c r="DW99" i="30"/>
  <c r="T27" i="35"/>
  <c r="GY27" i="35" s="1"/>
  <c r="Q244" i="19"/>
  <c r="AT123" i="30"/>
  <c r="T43" i="35"/>
  <c r="GY43" i="35" s="1"/>
  <c r="Q204" i="19"/>
  <c r="AT103" i="30"/>
  <c r="Q316" i="19"/>
  <c r="AT159" i="30"/>
  <c r="DW107" i="30"/>
  <c r="D152" i="30"/>
  <c r="MB40" i="35" s="1"/>
  <c r="D153" i="30"/>
  <c r="AL15" i="30"/>
  <c r="DQ15" i="30" s="1"/>
  <c r="AN15" i="30"/>
  <c r="N6" i="35" s="1"/>
  <c r="GM6" i="35" s="1"/>
  <c r="DQ7" i="30"/>
  <c r="L4" i="35"/>
  <c r="CG81" i="19"/>
  <c r="CI81" i="19"/>
  <c r="EZ81" i="19" s="1"/>
  <c r="BF41" i="19"/>
  <c r="BG41" i="19"/>
  <c r="EF41" i="19" s="1"/>
  <c r="BD113" i="19"/>
  <c r="BG113" i="19"/>
  <c r="EF113" i="19" s="1"/>
  <c r="AY98" i="19"/>
  <c r="DZ98" i="19" s="1"/>
  <c r="AZ98" i="19"/>
  <c r="EA98" i="19" s="1"/>
  <c r="DC226" i="19"/>
  <c r="FN226" i="19" s="1"/>
  <c r="DD226" i="19"/>
  <c r="FO226" i="19" s="1"/>
  <c r="CA193" i="19"/>
  <c r="CB193" i="19"/>
  <c r="EU193" i="19" s="1"/>
  <c r="CV257" i="19"/>
  <c r="CW257" i="19"/>
  <c r="FJ257" i="19" s="1"/>
  <c r="BM177" i="19"/>
  <c r="BN177" i="19"/>
  <c r="EK177" i="19" s="1"/>
  <c r="DC274" i="19"/>
  <c r="FN274" i="19" s="1"/>
  <c r="DD274" i="19"/>
  <c r="FO274" i="19" s="1"/>
  <c r="BM306" i="19"/>
  <c r="EJ306" i="19" s="1"/>
  <c r="BN306" i="19"/>
  <c r="EK306" i="19" s="1"/>
  <c r="CO265" i="19"/>
  <c r="CP265" i="19"/>
  <c r="FE265" i="19" s="1"/>
  <c r="BD65" i="19"/>
  <c r="BG65" i="19"/>
  <c r="EF65" i="19" s="1"/>
  <c r="BY82" i="19"/>
  <c r="CB82" i="19"/>
  <c r="EU82" i="19" s="1"/>
  <c r="AY210" i="19"/>
  <c r="AZ210" i="19"/>
  <c r="EA210" i="19" s="1"/>
  <c r="CU242" i="19"/>
  <c r="CW242" i="19"/>
  <c r="FJ242" i="19" s="1"/>
  <c r="AW74" i="19"/>
  <c r="AZ74" i="19"/>
  <c r="EA74" i="19" s="1"/>
  <c r="BZ234" i="19"/>
  <c r="CB234" i="19"/>
  <c r="EU234" i="19" s="1"/>
  <c r="AK266" i="19"/>
  <c r="DP266" i="19" s="1"/>
  <c r="AL266" i="19"/>
  <c r="DQ266" i="19" s="1"/>
  <c r="BL297" i="19"/>
  <c r="BN297" i="19"/>
  <c r="EK297" i="19" s="1"/>
  <c r="AK202" i="19"/>
  <c r="DP202" i="19" s="1"/>
  <c r="AL202" i="19"/>
  <c r="DQ202" i="19" s="1"/>
  <c r="AK225" i="19"/>
  <c r="AL225" i="19"/>
  <c r="DQ225" i="19" s="1"/>
  <c r="AP290" i="19"/>
  <c r="DS290" i="19" s="1"/>
  <c r="AS290" i="19"/>
  <c r="DV290" i="19" s="1"/>
  <c r="CU66" i="19"/>
  <c r="CW66" i="19"/>
  <c r="FJ66" i="19" s="1"/>
  <c r="BM161" i="19"/>
  <c r="BN161" i="19"/>
  <c r="CA258" i="19"/>
  <c r="ET258" i="19" s="1"/>
  <c r="CB258" i="19"/>
  <c r="EU258" i="19" s="1"/>
  <c r="DA114" i="19"/>
  <c r="DD114" i="19"/>
  <c r="FO114" i="19" s="1"/>
  <c r="AK178" i="19"/>
  <c r="DP178" i="19" s="1"/>
  <c r="AL178" i="19"/>
  <c r="DQ178" i="19" s="1"/>
  <c r="DA242" i="19"/>
  <c r="DD242" i="19"/>
  <c r="FO242" i="19" s="1"/>
  <c r="BF306" i="19"/>
  <c r="EE306" i="19" s="1"/>
  <c r="BG306" i="19"/>
  <c r="EF306" i="19" s="1"/>
  <c r="CN74" i="19"/>
  <c r="CP74" i="19"/>
  <c r="FE74" i="19" s="1"/>
  <c r="CT74" i="19"/>
  <c r="CW74" i="19"/>
  <c r="FJ74" i="19" s="1"/>
  <c r="BE138" i="19"/>
  <c r="BG138" i="19"/>
  <c r="EF138" i="19" s="1"/>
  <c r="CV265" i="19"/>
  <c r="CW265" i="19"/>
  <c r="AX82" i="19"/>
  <c r="AZ82" i="19"/>
  <c r="EA82" i="19" s="1"/>
  <c r="BT177" i="19"/>
  <c r="BU177" i="19"/>
  <c r="BK106" i="19"/>
  <c r="BN106" i="19"/>
  <c r="EK106" i="19" s="1"/>
  <c r="DC201" i="19"/>
  <c r="DD201" i="19"/>
  <c r="FO201" i="19" s="1"/>
  <c r="BT265" i="19"/>
  <c r="BU265" i="19"/>
  <c r="BY241" i="19"/>
  <c r="CB241" i="19"/>
  <c r="EU241" i="19" s="1"/>
  <c r="DC209" i="19"/>
  <c r="DD209" i="19"/>
  <c r="FO209" i="19" s="1"/>
  <c r="CN82" i="19"/>
  <c r="CP82" i="19"/>
  <c r="FE82" i="19" s="1"/>
  <c r="AX321" i="19"/>
  <c r="AZ321" i="19"/>
  <c r="EA321" i="19" s="1"/>
  <c r="CA226" i="19"/>
  <c r="ET226" i="19" s="1"/>
  <c r="CB226" i="19"/>
  <c r="EU226" i="19" s="1"/>
  <c r="AX250" i="19"/>
  <c r="AZ250" i="19"/>
  <c r="EA250" i="19" s="1"/>
  <c r="DC266" i="19"/>
  <c r="DD266" i="19"/>
  <c r="FO266" i="19" s="1"/>
  <c r="AY257" i="19"/>
  <c r="AZ257" i="19"/>
  <c r="EA257" i="19" s="1"/>
  <c r="BZ290" i="19"/>
  <c r="CB290" i="19"/>
  <c r="EU290" i="19" s="1"/>
  <c r="AW282" i="19"/>
  <c r="AZ282" i="19"/>
  <c r="EA282" i="19" s="1"/>
  <c r="AW185" i="19"/>
  <c r="AZ185" i="19"/>
  <c r="EA185" i="19" s="1"/>
  <c r="CH202" i="19"/>
  <c r="EY202" i="19" s="1"/>
  <c r="CI202" i="19"/>
  <c r="EZ202" i="19" s="1"/>
  <c r="BE234" i="19"/>
  <c r="BG234" i="19"/>
  <c r="EF234" i="19" s="1"/>
  <c r="BE114" i="19"/>
  <c r="BG114" i="19"/>
  <c r="EF114" i="19" s="1"/>
  <c r="CH193" i="19"/>
  <c r="CI193" i="19"/>
  <c r="CM25" i="19"/>
  <c r="CP25" i="19"/>
  <c r="FE25" i="19" s="1"/>
  <c r="BK10" i="19"/>
  <c r="BN10" i="19"/>
  <c r="EK10" i="19" s="1"/>
  <c r="CU10" i="19"/>
  <c r="FA4" i="35" s="1"/>
  <c r="CW10" i="19"/>
  <c r="FJ10" i="19" s="1"/>
  <c r="BD170" i="19"/>
  <c r="BG170" i="19"/>
  <c r="EF170" i="19" s="1"/>
  <c r="CO98" i="19"/>
  <c r="FD98" i="19" s="1"/>
  <c r="CP98" i="19"/>
  <c r="FE98" i="19" s="1"/>
  <c r="BK290" i="19"/>
  <c r="BN290" i="19"/>
  <c r="EK290" i="19" s="1"/>
  <c r="CA194" i="19"/>
  <c r="CB194" i="19"/>
  <c r="EU194" i="19" s="1"/>
  <c r="CV258" i="19"/>
  <c r="FI258" i="19" s="1"/>
  <c r="CW258" i="19"/>
  <c r="FJ258" i="19" s="1"/>
  <c r="CF322" i="19"/>
  <c r="CI322" i="19"/>
  <c r="EZ322" i="19" s="1"/>
  <c r="AR49" i="19"/>
  <c r="DU49" i="19" s="1"/>
  <c r="AS49" i="19"/>
  <c r="DV49" i="19" s="1"/>
  <c r="BM178" i="19"/>
  <c r="BN178" i="19"/>
  <c r="EK178" i="19" s="1"/>
  <c r="DC273" i="19"/>
  <c r="DD273" i="19"/>
  <c r="FO273" i="19" s="1"/>
  <c r="BM305" i="19"/>
  <c r="BN305" i="19"/>
  <c r="EK305" i="19" s="1"/>
  <c r="CA202" i="19"/>
  <c r="ET202" i="19" s="1"/>
  <c r="CB202" i="19"/>
  <c r="EU202" i="19" s="1"/>
  <c r="BF202" i="19"/>
  <c r="EE202" i="19" s="1"/>
  <c r="BG202" i="19"/>
  <c r="EF202" i="19" s="1"/>
  <c r="CH273" i="19"/>
  <c r="CI273" i="19"/>
  <c r="BS170" i="19"/>
  <c r="BU170" i="19"/>
  <c r="EP170" i="19" s="1"/>
  <c r="AY209" i="19"/>
  <c r="AZ209" i="19"/>
  <c r="EA209" i="19" s="1"/>
  <c r="CT241" i="19"/>
  <c r="CW241" i="19"/>
  <c r="FJ241" i="19" s="1"/>
  <c r="AW73" i="19"/>
  <c r="AZ73" i="19"/>
  <c r="EA73" i="19" s="1"/>
  <c r="AY137" i="19"/>
  <c r="AZ137" i="19"/>
  <c r="AK265" i="19"/>
  <c r="DP265" i="19" s="1"/>
  <c r="AL265" i="19"/>
  <c r="DQ265" i="19" s="1"/>
  <c r="AK201" i="19"/>
  <c r="AL201" i="19"/>
  <c r="DQ201" i="19" s="1"/>
  <c r="CA161" i="19"/>
  <c r="CB161" i="19"/>
  <c r="CV162" i="19"/>
  <c r="CW162" i="19"/>
  <c r="BZ49" i="19"/>
  <c r="CB49" i="19"/>
  <c r="EU49" i="19" s="1"/>
  <c r="AK177" i="19"/>
  <c r="DP177" i="19" s="1"/>
  <c r="AL177" i="19"/>
  <c r="DQ177" i="19" s="1"/>
  <c r="CM73" i="19"/>
  <c r="CP73" i="19"/>
  <c r="FE73" i="19" s="1"/>
  <c r="DA106" i="19"/>
  <c r="DD106" i="19"/>
  <c r="FO106" i="19" s="1"/>
  <c r="CN298" i="19"/>
  <c r="CP298" i="19"/>
  <c r="FE298" i="19" s="1"/>
  <c r="CF114" i="19"/>
  <c r="CI114" i="19"/>
  <c r="EZ114" i="19" s="1"/>
  <c r="BL145" i="19"/>
  <c r="BN145" i="19"/>
  <c r="EK145" i="19" s="1"/>
  <c r="BT178" i="19"/>
  <c r="BU178" i="19"/>
  <c r="CN241" i="19"/>
  <c r="CP241" i="19"/>
  <c r="FE241" i="19" s="1"/>
  <c r="CU106" i="19"/>
  <c r="CW106" i="19"/>
  <c r="FJ106" i="19" s="1"/>
  <c r="AY266" i="19"/>
  <c r="AZ266" i="19"/>
  <c r="EA266" i="19" s="1"/>
  <c r="AY306" i="19"/>
  <c r="DZ306" i="19" s="1"/>
  <c r="AZ306" i="19"/>
  <c r="EA306" i="19" s="1"/>
  <c r="BZ242" i="19"/>
  <c r="CB242" i="19"/>
  <c r="EU242" i="19" s="1"/>
  <c r="CN113" i="19"/>
  <c r="CP113" i="19"/>
  <c r="FE113" i="19" s="1"/>
  <c r="DB297" i="19"/>
  <c r="DD297" i="19"/>
  <c r="FO297" i="19" s="1"/>
  <c r="AK66" i="19"/>
  <c r="DP66" i="19" s="1"/>
  <c r="AL66" i="19"/>
  <c r="DQ66" i="19" s="1"/>
  <c r="BM97" i="19"/>
  <c r="BN97" i="19"/>
  <c r="EK97" i="19" s="1"/>
  <c r="AW281" i="19"/>
  <c r="AZ281" i="19"/>
  <c r="EA281" i="19" s="1"/>
  <c r="BF305" i="19"/>
  <c r="BG305" i="19"/>
  <c r="CG297" i="19"/>
  <c r="CI297" i="19"/>
  <c r="EZ297" i="19" s="1"/>
  <c r="AK33" i="19"/>
  <c r="DP33" i="19" s="1"/>
  <c r="AL33" i="19"/>
  <c r="DQ33" i="19" s="1"/>
  <c r="BF42" i="19"/>
  <c r="BG42" i="19"/>
  <c r="EF42" i="19" s="1"/>
  <c r="BL17" i="19"/>
  <c r="EI17" i="19" s="1"/>
  <c r="BN17" i="19"/>
  <c r="CG50" i="19"/>
  <c r="CI50" i="19"/>
  <c r="EZ50" i="19" s="1"/>
  <c r="CO97" i="19"/>
  <c r="CP97" i="19"/>
  <c r="FE97" i="19" s="1"/>
  <c r="AK129" i="19"/>
  <c r="DP129" i="19" s="1"/>
  <c r="AL129" i="19"/>
  <c r="DQ129" i="19" s="1"/>
  <c r="CO194" i="19"/>
  <c r="CP194" i="19"/>
  <c r="FE194" i="19" s="1"/>
  <c r="BZ322" i="19"/>
  <c r="CB322" i="19"/>
  <c r="EU322" i="19" s="1"/>
  <c r="CM145" i="19"/>
  <c r="CP145" i="19"/>
  <c r="FE145" i="19" s="1"/>
  <c r="AK210" i="19"/>
  <c r="DP210" i="19" s="1"/>
  <c r="AL210" i="19"/>
  <c r="DQ210" i="19" s="1"/>
  <c r="BM273" i="19"/>
  <c r="BN273" i="19"/>
  <c r="EK273" i="19" s="1"/>
  <c r="CA201" i="19"/>
  <c r="CB201" i="19"/>
  <c r="EU201" i="19" s="1"/>
  <c r="BE106" i="19"/>
  <c r="BG106" i="19"/>
  <c r="EF106" i="19" s="1"/>
  <c r="CH201" i="19"/>
  <c r="CI201" i="19"/>
  <c r="EZ201" i="19" s="1"/>
  <c r="BE242" i="19"/>
  <c r="BG242" i="19"/>
  <c r="EF242" i="19" s="1"/>
  <c r="BR169" i="19"/>
  <c r="BU169" i="19"/>
  <c r="EP169" i="19" s="1"/>
  <c r="BT209" i="19"/>
  <c r="BU209" i="19"/>
  <c r="DC305" i="19"/>
  <c r="DD305" i="19"/>
  <c r="FO305" i="19" s="1"/>
  <c r="AK137" i="19"/>
  <c r="DP137" i="19" s="1"/>
  <c r="AL137" i="19"/>
  <c r="DQ137" i="19" s="1"/>
  <c r="BM201" i="19"/>
  <c r="BN201" i="19"/>
  <c r="EK201" i="19" s="1"/>
  <c r="CM233" i="19"/>
  <c r="CP233" i="19"/>
  <c r="FE233" i="19" s="1"/>
  <c r="AX298" i="19"/>
  <c r="AZ298" i="19"/>
  <c r="EA298" i="19" s="1"/>
  <c r="BK130" i="19"/>
  <c r="BN130" i="19"/>
  <c r="EK130" i="19" s="1"/>
  <c r="DA290" i="19"/>
  <c r="DD290" i="19"/>
  <c r="FO290" i="19" s="1"/>
  <c r="BK66" i="19"/>
  <c r="BN66" i="19"/>
  <c r="EK66" i="19" s="1"/>
  <c r="CA162" i="19"/>
  <c r="CB162" i="19"/>
  <c r="CV161" i="19"/>
  <c r="CW161" i="19"/>
  <c r="DA49" i="19"/>
  <c r="DD49" i="19"/>
  <c r="FO49" i="19" s="1"/>
  <c r="BY113" i="19"/>
  <c r="CB113" i="19"/>
  <c r="EU113" i="19" s="1"/>
  <c r="CO178" i="19"/>
  <c r="CP178" i="19"/>
  <c r="FE178" i="19" s="1"/>
  <c r="CO210" i="19"/>
  <c r="CP210" i="19"/>
  <c r="FE210" i="19" s="1"/>
  <c r="CA305" i="19"/>
  <c r="CB305" i="19"/>
  <c r="EU305" i="19" s="1"/>
  <c r="CU138" i="19"/>
  <c r="CW138" i="19"/>
  <c r="FJ138" i="19" s="1"/>
  <c r="DB169" i="19"/>
  <c r="DD169" i="19"/>
  <c r="FO169" i="19" s="1"/>
  <c r="BR233" i="19"/>
  <c r="BU233" i="19"/>
  <c r="EP233" i="19" s="1"/>
  <c r="CM297" i="19"/>
  <c r="CP297" i="19"/>
  <c r="FE297" i="19" s="1"/>
  <c r="AW145" i="19"/>
  <c r="AZ145" i="19"/>
  <c r="EA145" i="19" s="1"/>
  <c r="AY178" i="19"/>
  <c r="AZ178" i="19"/>
  <c r="EA178" i="19" s="1"/>
  <c r="CV210" i="19"/>
  <c r="CW210" i="19"/>
  <c r="BT274" i="19"/>
  <c r="EO274" i="19" s="1"/>
  <c r="BU274" i="19"/>
  <c r="EP274" i="19" s="1"/>
  <c r="BY74" i="19"/>
  <c r="CB74" i="19"/>
  <c r="EU74" i="19" s="1"/>
  <c r="CT105" i="19"/>
  <c r="CW105" i="19"/>
  <c r="FJ105" i="19" s="1"/>
  <c r="CT170" i="19"/>
  <c r="CW170" i="19"/>
  <c r="FJ170" i="19" s="1"/>
  <c r="AY265" i="19"/>
  <c r="AZ265" i="19"/>
  <c r="EA265" i="19" s="1"/>
  <c r="CF106" i="19"/>
  <c r="CI106" i="19"/>
  <c r="EZ106" i="19" s="1"/>
  <c r="AY305" i="19"/>
  <c r="AZ305" i="19"/>
  <c r="EA305" i="19" s="1"/>
  <c r="DC178" i="19"/>
  <c r="DD178" i="19"/>
  <c r="FO178" i="19" s="1"/>
  <c r="DB145" i="19"/>
  <c r="DD145" i="19"/>
  <c r="FO145" i="19" s="1"/>
  <c r="CM50" i="19"/>
  <c r="CP50" i="19"/>
  <c r="FE50" i="19" s="1"/>
  <c r="BY129" i="19"/>
  <c r="CB129" i="19"/>
  <c r="EU129" i="19" s="1"/>
  <c r="AY154" i="19"/>
  <c r="AZ154" i="19"/>
  <c r="EA154" i="19" s="1"/>
  <c r="AY202" i="19"/>
  <c r="DZ202" i="19" s="1"/>
  <c r="AZ202" i="19"/>
  <c r="EA202" i="19" s="1"/>
  <c r="DA138" i="19"/>
  <c r="DD138" i="19"/>
  <c r="FO138" i="19" s="1"/>
  <c r="AY162" i="19"/>
  <c r="AZ162" i="19"/>
  <c r="AY217" i="19"/>
  <c r="AZ217" i="19"/>
  <c r="EA217" i="19" s="1"/>
  <c r="AK121" i="19"/>
  <c r="DP121" i="19" s="1"/>
  <c r="AL121" i="19"/>
  <c r="DQ121" i="19" s="1"/>
  <c r="AY194" i="19"/>
  <c r="AZ194" i="19"/>
  <c r="EA194" i="19" s="1"/>
  <c r="BM98" i="19"/>
  <c r="EJ98" i="19" s="1"/>
  <c r="BN98" i="19"/>
  <c r="EK98" i="19" s="1"/>
  <c r="CT9" i="19"/>
  <c r="CW9" i="19"/>
  <c r="FJ9" i="19" s="1"/>
  <c r="BD105" i="19"/>
  <c r="BG105" i="19"/>
  <c r="EF105" i="19" s="1"/>
  <c r="CF242" i="19"/>
  <c r="CI242" i="19"/>
  <c r="EZ242" i="19" s="1"/>
  <c r="BD137" i="19"/>
  <c r="BG137" i="19"/>
  <c r="EF137" i="19" s="1"/>
  <c r="CF49" i="19"/>
  <c r="CI49" i="19"/>
  <c r="EZ49" i="19" s="1"/>
  <c r="CO33" i="19"/>
  <c r="CP33" i="19"/>
  <c r="FE33" i="19" s="1"/>
  <c r="AK34" i="19"/>
  <c r="DP34" i="19" s="1"/>
  <c r="AL34" i="19"/>
  <c r="DQ34" i="19" s="1"/>
  <c r="BT33" i="19"/>
  <c r="BU33" i="19"/>
  <c r="BE66" i="19"/>
  <c r="BG66" i="19"/>
  <c r="EF66" i="19" s="1"/>
  <c r="CM17" i="19"/>
  <c r="ES5" i="35" s="1"/>
  <c r="KK5" i="35" s="1"/>
  <c r="CP17" i="19"/>
  <c r="DA10" i="19"/>
  <c r="FG4" i="35" s="1"/>
  <c r="DD10" i="19"/>
  <c r="FO10" i="19" s="1"/>
  <c r="CH194" i="19"/>
  <c r="CI194" i="19"/>
  <c r="AY97" i="19"/>
  <c r="AZ97" i="19"/>
  <c r="EA97" i="19" s="1"/>
  <c r="DC225" i="19"/>
  <c r="DD225" i="19"/>
  <c r="FO225" i="19" s="1"/>
  <c r="CO193" i="19"/>
  <c r="CP193" i="19"/>
  <c r="FE193" i="19" s="1"/>
  <c r="BY321" i="19"/>
  <c r="CB321" i="19"/>
  <c r="EU321" i="19" s="1"/>
  <c r="DB81" i="19"/>
  <c r="DD81" i="19"/>
  <c r="FO81" i="19" s="1"/>
  <c r="CN146" i="19"/>
  <c r="CP146" i="19"/>
  <c r="FE146" i="19" s="1"/>
  <c r="AK209" i="19"/>
  <c r="DP209" i="19" s="1"/>
  <c r="AL209" i="19"/>
  <c r="DQ209" i="19" s="1"/>
  <c r="BM274" i="19"/>
  <c r="EJ274" i="19" s="1"/>
  <c r="BN274" i="19"/>
  <c r="EK274" i="19" s="1"/>
  <c r="BL169" i="19"/>
  <c r="BN169" i="19"/>
  <c r="EK169" i="19" s="1"/>
  <c r="CO266" i="19"/>
  <c r="CP266" i="19"/>
  <c r="FE266" i="19" s="1"/>
  <c r="BT210" i="19"/>
  <c r="BU210" i="19"/>
  <c r="DC306" i="19"/>
  <c r="FN306" i="19" s="1"/>
  <c r="DD306" i="19"/>
  <c r="FO306" i="19" s="1"/>
  <c r="CO42" i="19"/>
  <c r="CP42" i="19"/>
  <c r="FE42" i="19" s="1"/>
  <c r="BS105" i="19"/>
  <c r="BU105" i="19"/>
  <c r="EP105" i="19" s="1"/>
  <c r="BM202" i="19"/>
  <c r="EJ202" i="19" s="1"/>
  <c r="BN202" i="19"/>
  <c r="EK202" i="19" s="1"/>
  <c r="AW297" i="19"/>
  <c r="AZ297" i="19"/>
  <c r="EA297" i="19" s="1"/>
  <c r="DA130" i="19"/>
  <c r="DD130" i="19"/>
  <c r="FO130" i="19" s="1"/>
  <c r="AK226" i="19"/>
  <c r="DP226" i="19" s="1"/>
  <c r="AL226" i="19"/>
  <c r="DQ226" i="19" s="1"/>
  <c r="CT65" i="19"/>
  <c r="CW65" i="19"/>
  <c r="FJ65" i="19" s="1"/>
  <c r="BM162" i="19"/>
  <c r="BN162" i="19"/>
  <c r="CA257" i="19"/>
  <c r="CB257" i="19"/>
  <c r="EU257" i="19" s="1"/>
  <c r="DB50" i="19"/>
  <c r="DD50" i="19"/>
  <c r="FO50" i="19" s="1"/>
  <c r="CT82" i="19"/>
  <c r="CW82" i="19"/>
  <c r="FJ82" i="19" s="1"/>
  <c r="BZ114" i="19"/>
  <c r="CB114" i="19"/>
  <c r="EU114" i="19" s="1"/>
  <c r="CO177" i="19"/>
  <c r="CP177" i="19"/>
  <c r="FE177" i="19" s="1"/>
  <c r="CO209" i="19"/>
  <c r="CP209" i="19"/>
  <c r="FE209" i="19" s="1"/>
  <c r="CA306" i="19"/>
  <c r="ET306" i="19" s="1"/>
  <c r="CB306" i="19"/>
  <c r="EU306" i="19" s="1"/>
  <c r="AK106" i="19"/>
  <c r="DP106" i="19" s="1"/>
  <c r="AL106" i="19"/>
  <c r="DQ106" i="19" s="1"/>
  <c r="CT137" i="19"/>
  <c r="CW137" i="19"/>
  <c r="FJ137" i="19" s="1"/>
  <c r="AX233" i="19"/>
  <c r="AZ233" i="19"/>
  <c r="EA233" i="19" s="1"/>
  <c r="CV266" i="19"/>
  <c r="CW266" i="19"/>
  <c r="CU49" i="19"/>
  <c r="CW49" i="19"/>
  <c r="FJ49" i="19" s="1"/>
  <c r="AW81" i="19"/>
  <c r="AZ81" i="19"/>
  <c r="EA81" i="19" s="1"/>
  <c r="AX146" i="19"/>
  <c r="AZ146" i="19"/>
  <c r="EA146" i="19" s="1"/>
  <c r="AY177" i="19"/>
  <c r="AZ177" i="19"/>
  <c r="EA177" i="19" s="1"/>
  <c r="CV209" i="19"/>
  <c r="CW209" i="19"/>
  <c r="BT273" i="19"/>
  <c r="BU273" i="19"/>
  <c r="BS137" i="19"/>
  <c r="BU137" i="19"/>
  <c r="EP137" i="19" s="1"/>
  <c r="DC202" i="19"/>
  <c r="FN202" i="19" s="1"/>
  <c r="DD202" i="19"/>
  <c r="FO202" i="19" s="1"/>
  <c r="BT266" i="19"/>
  <c r="BU266" i="19"/>
  <c r="BD241" i="19"/>
  <c r="BG241" i="19"/>
  <c r="EF241" i="19" s="1"/>
  <c r="DC210" i="19"/>
  <c r="DD210" i="19"/>
  <c r="FO210" i="19" s="1"/>
  <c r="DC177" i="19"/>
  <c r="DD177" i="19"/>
  <c r="FO177" i="19" s="1"/>
  <c r="CM81" i="19"/>
  <c r="CP81" i="19"/>
  <c r="FE81" i="19" s="1"/>
  <c r="CA225" i="19"/>
  <c r="CB225" i="19"/>
  <c r="EU225" i="19" s="1"/>
  <c r="BZ130" i="19"/>
  <c r="CB130" i="19"/>
  <c r="EU130" i="19" s="1"/>
  <c r="AW249" i="19"/>
  <c r="AZ249" i="19"/>
  <c r="EA249" i="19" s="1"/>
  <c r="AY153" i="19"/>
  <c r="AZ153" i="19"/>
  <c r="EA153" i="19" s="1"/>
  <c r="DC265" i="19"/>
  <c r="DD265" i="19"/>
  <c r="FO265" i="19" s="1"/>
  <c r="AY201" i="19"/>
  <c r="AZ201" i="19"/>
  <c r="EA201" i="19" s="1"/>
  <c r="AY258" i="19"/>
  <c r="DZ258" i="19" s="1"/>
  <c r="AZ258" i="19"/>
  <c r="EA258" i="19" s="1"/>
  <c r="AY161" i="19"/>
  <c r="AZ161" i="19"/>
  <c r="AX313" i="19"/>
  <c r="AZ313" i="19"/>
  <c r="EA313" i="19" s="1"/>
  <c r="AY218" i="19"/>
  <c r="AZ218" i="19"/>
  <c r="EA218" i="19" s="1"/>
  <c r="BY289" i="19"/>
  <c r="CB289" i="19"/>
  <c r="EU289" i="19" s="1"/>
  <c r="AY193" i="19"/>
  <c r="AZ193" i="19"/>
  <c r="EA193" i="19" s="1"/>
  <c r="AX186" i="19"/>
  <c r="AZ186" i="19"/>
  <c r="EA186" i="19" s="1"/>
  <c r="BF201" i="19"/>
  <c r="BG201" i="19"/>
  <c r="EF201" i="19" s="1"/>
  <c r="CG233" i="19"/>
  <c r="CI233" i="19"/>
  <c r="EZ233" i="19" s="1"/>
  <c r="BS9" i="19"/>
  <c r="BU9" i="19"/>
  <c r="EP9" i="19" s="1"/>
  <c r="CF234" i="19"/>
  <c r="CI234" i="19"/>
  <c r="EZ234" i="19" s="1"/>
  <c r="CO41" i="19"/>
  <c r="CP41" i="19"/>
  <c r="FE41" i="19" s="1"/>
  <c r="CH274" i="19"/>
  <c r="EY274" i="19" s="1"/>
  <c r="CI274" i="19"/>
  <c r="EZ274" i="19" s="1"/>
  <c r="CO34" i="19"/>
  <c r="CP34" i="19"/>
  <c r="FE34" i="19" s="1"/>
  <c r="CN26" i="19"/>
  <c r="CP26" i="19"/>
  <c r="FE26" i="19" s="1"/>
  <c r="BT34" i="19"/>
  <c r="BU34" i="19"/>
  <c r="CG17" i="19"/>
  <c r="EX17" i="19" s="1"/>
  <c r="CI17" i="19"/>
  <c r="AP291" i="19"/>
  <c r="DS291" i="19" s="1"/>
  <c r="AS291" i="19"/>
  <c r="DV291" i="19" s="1"/>
  <c r="DC227" i="19"/>
  <c r="FN227" i="19" s="1"/>
  <c r="DD227" i="19"/>
  <c r="FO227" i="19" s="1"/>
  <c r="BT211" i="19"/>
  <c r="BU211" i="19"/>
  <c r="AY307" i="19"/>
  <c r="DZ307" i="19" s="1"/>
  <c r="AZ307" i="19"/>
  <c r="EA307" i="19" s="1"/>
  <c r="DA147" i="19"/>
  <c r="DD147" i="19"/>
  <c r="FO147" i="19" s="1"/>
  <c r="DB139" i="19"/>
  <c r="DD139" i="19"/>
  <c r="FO139" i="19" s="1"/>
  <c r="BM99" i="19"/>
  <c r="EJ99" i="19" s="1"/>
  <c r="BN99" i="19"/>
  <c r="EK99" i="19" s="1"/>
  <c r="CO99" i="19"/>
  <c r="FD99" i="19" s="1"/>
  <c r="CP99" i="19"/>
  <c r="FE99" i="19" s="1"/>
  <c r="BL291" i="19"/>
  <c r="BN291" i="19"/>
  <c r="EK291" i="19" s="1"/>
  <c r="AY99" i="19"/>
  <c r="DZ99" i="19" s="1"/>
  <c r="AZ99" i="19"/>
  <c r="EA99" i="19" s="1"/>
  <c r="DB131" i="19"/>
  <c r="DD131" i="19"/>
  <c r="FO131" i="19" s="1"/>
  <c r="BY51" i="19"/>
  <c r="CB51" i="19"/>
  <c r="EU51" i="19" s="1"/>
  <c r="BM179" i="19"/>
  <c r="BN179" i="19"/>
  <c r="EK179" i="19" s="1"/>
  <c r="BT179" i="19"/>
  <c r="BU179" i="19"/>
  <c r="BM203" i="19"/>
  <c r="EJ203" i="19" s="1"/>
  <c r="BN203" i="19"/>
  <c r="EK203" i="19" s="1"/>
  <c r="DC307" i="19"/>
  <c r="FN307" i="19" s="1"/>
  <c r="DD307" i="19"/>
  <c r="FO307" i="19" s="1"/>
  <c r="BR107" i="19"/>
  <c r="BU107" i="19"/>
  <c r="EP107" i="19" s="1"/>
  <c r="AW75" i="19"/>
  <c r="AZ75" i="19"/>
  <c r="EA75" i="19" s="1"/>
  <c r="BF307" i="19"/>
  <c r="EE307" i="19" s="1"/>
  <c r="BG307" i="19"/>
  <c r="EF307" i="19" s="1"/>
  <c r="DA83" i="19"/>
  <c r="DD83" i="19"/>
  <c r="FO83" i="19" s="1"/>
  <c r="DB11" i="19"/>
  <c r="DD11" i="19"/>
  <c r="FO11" i="19" s="1"/>
  <c r="CG323" i="19"/>
  <c r="CI323" i="19"/>
  <c r="EZ323" i="19" s="1"/>
  <c r="BM163" i="19"/>
  <c r="BN163" i="19"/>
  <c r="DB243" i="19"/>
  <c r="DD243" i="19"/>
  <c r="FO243" i="19" s="1"/>
  <c r="CH275" i="19"/>
  <c r="EY275" i="19" s="1"/>
  <c r="CI275" i="19"/>
  <c r="EZ275" i="19" s="1"/>
  <c r="CG107" i="19"/>
  <c r="CI107" i="19"/>
  <c r="EZ107" i="19" s="1"/>
  <c r="CF83" i="19"/>
  <c r="CI83" i="19"/>
  <c r="EZ83" i="19" s="1"/>
  <c r="DC179" i="19"/>
  <c r="DD179" i="19"/>
  <c r="FO179" i="19" s="1"/>
  <c r="CN51" i="19"/>
  <c r="CP51" i="19"/>
  <c r="FE51" i="19" s="1"/>
  <c r="AY155" i="19"/>
  <c r="AZ155" i="19"/>
  <c r="EA155" i="19" s="1"/>
  <c r="AY203" i="19"/>
  <c r="DZ203" i="19" s="1"/>
  <c r="AZ203" i="19"/>
  <c r="EA203" i="19" s="1"/>
  <c r="AY163" i="19"/>
  <c r="AZ163" i="19"/>
  <c r="AY219" i="19"/>
  <c r="AZ219" i="19"/>
  <c r="EA219" i="19" s="1"/>
  <c r="AY195" i="19"/>
  <c r="AZ195" i="19"/>
  <c r="EA195" i="19" s="1"/>
  <c r="AK203" i="19"/>
  <c r="DP203" i="19" s="1"/>
  <c r="AL203" i="19"/>
  <c r="DQ203" i="19" s="1"/>
  <c r="CO195" i="19"/>
  <c r="CP195" i="19"/>
  <c r="FE195" i="19" s="1"/>
  <c r="CU171" i="19"/>
  <c r="CW171" i="19"/>
  <c r="FJ171" i="19" s="1"/>
  <c r="BM275" i="19"/>
  <c r="EJ275" i="19" s="1"/>
  <c r="BN275" i="19"/>
  <c r="EK275" i="19" s="1"/>
  <c r="CV211" i="19"/>
  <c r="CW211" i="19"/>
  <c r="CU83" i="19"/>
  <c r="CW83" i="19"/>
  <c r="FJ83" i="19" s="1"/>
  <c r="DC275" i="19"/>
  <c r="FN275" i="19" s="1"/>
  <c r="DD275" i="19"/>
  <c r="FO275" i="19" s="1"/>
  <c r="AY211" i="19"/>
  <c r="AZ211" i="19"/>
  <c r="EA211" i="19" s="1"/>
  <c r="BY235" i="19"/>
  <c r="CB235" i="19"/>
  <c r="EU235" i="19" s="1"/>
  <c r="CO35" i="19"/>
  <c r="CP35" i="19"/>
  <c r="FE35" i="19" s="1"/>
  <c r="BT35" i="19"/>
  <c r="BU35" i="19"/>
  <c r="BK299" i="19"/>
  <c r="BN299" i="19"/>
  <c r="EK299" i="19" s="1"/>
  <c r="CO43" i="19"/>
  <c r="CP43" i="19"/>
  <c r="FE43" i="19" s="1"/>
  <c r="BD235" i="19"/>
  <c r="BG235" i="19"/>
  <c r="EF235" i="19" s="1"/>
  <c r="BZ83" i="19"/>
  <c r="CB83" i="19"/>
  <c r="EU83" i="19" s="1"/>
  <c r="BE171" i="19"/>
  <c r="BG171" i="19"/>
  <c r="EF171" i="19" s="1"/>
  <c r="AK179" i="19"/>
  <c r="DP179" i="19" s="1"/>
  <c r="AL179" i="19"/>
  <c r="DQ179" i="19" s="1"/>
  <c r="AY267" i="19"/>
  <c r="AZ267" i="19"/>
  <c r="EA267" i="19" s="1"/>
  <c r="BL131" i="19"/>
  <c r="BN131" i="19"/>
  <c r="EK131" i="19" s="1"/>
  <c r="CH195" i="19"/>
  <c r="CI195" i="19"/>
  <c r="BL107" i="19"/>
  <c r="BN107" i="19"/>
  <c r="EK107" i="19" s="1"/>
  <c r="CH203" i="19"/>
  <c r="EY203" i="19" s="1"/>
  <c r="CI203" i="19"/>
  <c r="EZ203" i="19" s="1"/>
  <c r="AK267" i="19"/>
  <c r="DP267" i="19" s="1"/>
  <c r="AL267" i="19"/>
  <c r="DQ267" i="19" s="1"/>
  <c r="CA259" i="19"/>
  <c r="ET259" i="19" s="1"/>
  <c r="CB259" i="19"/>
  <c r="EU259" i="19" s="1"/>
  <c r="AK211" i="19"/>
  <c r="DP211" i="19" s="1"/>
  <c r="AL211" i="19"/>
  <c r="DQ211" i="19" s="1"/>
  <c r="CA307" i="19"/>
  <c r="ET307" i="19" s="1"/>
  <c r="CB307" i="19"/>
  <c r="EU307" i="19" s="1"/>
  <c r="CV259" i="19"/>
  <c r="FI259" i="19" s="1"/>
  <c r="CW259" i="19"/>
  <c r="FJ259" i="19" s="1"/>
  <c r="CU75" i="19"/>
  <c r="CW75" i="19"/>
  <c r="FJ75" i="19" s="1"/>
  <c r="CV267" i="19"/>
  <c r="CW267" i="19"/>
  <c r="BL67" i="19"/>
  <c r="BN67" i="19"/>
  <c r="EK67" i="19" s="1"/>
  <c r="BF203" i="19"/>
  <c r="EE203" i="19" s="1"/>
  <c r="BG203" i="19"/>
  <c r="EF203" i="19" s="1"/>
  <c r="AY179" i="19"/>
  <c r="AZ179" i="19"/>
  <c r="EA179" i="19" s="1"/>
  <c r="BT275" i="19"/>
  <c r="EO275" i="19" s="1"/>
  <c r="BU275" i="19"/>
  <c r="EP275" i="19" s="1"/>
  <c r="BR139" i="19"/>
  <c r="BU139" i="19"/>
  <c r="EP139" i="19" s="1"/>
  <c r="DC211" i="19"/>
  <c r="DD211" i="19"/>
  <c r="FO211" i="19" s="1"/>
  <c r="CA227" i="19"/>
  <c r="ET227" i="19" s="1"/>
  <c r="CB227" i="19"/>
  <c r="EU227" i="19" s="1"/>
  <c r="DC267" i="19"/>
  <c r="DD267" i="19"/>
  <c r="FO267" i="19" s="1"/>
  <c r="AY259" i="19"/>
  <c r="DZ259" i="19" s="1"/>
  <c r="AZ259" i="19"/>
  <c r="EA259" i="19" s="1"/>
  <c r="AW315" i="19"/>
  <c r="AZ315" i="19"/>
  <c r="EA315" i="19" s="1"/>
  <c r="CA203" i="19"/>
  <c r="ET203" i="19" s="1"/>
  <c r="CB203" i="19"/>
  <c r="EU203" i="19" s="1"/>
  <c r="DC203" i="19"/>
  <c r="FN203" i="19" s="1"/>
  <c r="DD203" i="19"/>
  <c r="FO203" i="19" s="1"/>
  <c r="BM307" i="19"/>
  <c r="EJ307" i="19" s="1"/>
  <c r="BN307" i="19"/>
  <c r="EK307" i="19" s="1"/>
  <c r="BT267" i="19"/>
  <c r="BU267" i="19"/>
  <c r="CO267" i="19"/>
  <c r="CP267" i="19"/>
  <c r="FE267" i="19" s="1"/>
  <c r="CA195" i="19"/>
  <c r="CB195" i="19"/>
  <c r="EU195" i="19" s="1"/>
  <c r="BK147" i="19"/>
  <c r="BN147" i="19"/>
  <c r="EK147" i="19" s="1"/>
  <c r="BL11" i="19"/>
  <c r="EI11" i="19" s="1"/>
  <c r="BN11" i="19"/>
  <c r="EK11" i="19" s="1"/>
  <c r="DB291" i="19"/>
  <c r="DD291" i="19"/>
  <c r="FO291" i="19" s="1"/>
  <c r="CA163" i="19"/>
  <c r="CB163" i="19"/>
  <c r="BF43" i="19"/>
  <c r="BG43" i="19"/>
  <c r="EF43" i="19" s="1"/>
  <c r="CN235" i="19"/>
  <c r="CP235" i="19"/>
  <c r="FE235" i="19" s="1"/>
  <c r="AK51" i="19"/>
  <c r="DP51" i="19" s="1"/>
  <c r="AL51" i="19"/>
  <c r="DQ51" i="19" s="1"/>
  <c r="CM243" i="19"/>
  <c r="CP243" i="19"/>
  <c r="FE243" i="19" s="1"/>
  <c r="AK227" i="19"/>
  <c r="DP227" i="19" s="1"/>
  <c r="AL227" i="19"/>
  <c r="DQ227" i="19" s="1"/>
  <c r="CV163" i="19"/>
  <c r="CW163" i="19"/>
  <c r="DB107" i="19"/>
  <c r="DD107" i="19"/>
  <c r="FO107" i="19" s="1"/>
  <c r="CF299" i="19"/>
  <c r="CI299" i="19"/>
  <c r="EZ299" i="19" s="1"/>
  <c r="DB115" i="19"/>
  <c r="DD115" i="19"/>
  <c r="FO115" i="19" s="1"/>
  <c r="BZ75" i="19"/>
  <c r="CB75" i="19"/>
  <c r="EU75" i="19" s="1"/>
  <c r="CT51" i="19"/>
  <c r="CW51" i="19"/>
  <c r="FJ51" i="19" s="1"/>
  <c r="CO179" i="19"/>
  <c r="CP179" i="19"/>
  <c r="FE179" i="19" s="1"/>
  <c r="CO211" i="19"/>
  <c r="CP211" i="19"/>
  <c r="FE211" i="19" s="1"/>
  <c r="BS235" i="19"/>
  <c r="BU235" i="19"/>
  <c r="EP235" i="19" s="1"/>
  <c r="CM115" i="19"/>
  <c r="CP115" i="19"/>
  <c r="FE115" i="19" s="1"/>
  <c r="AW323" i="19"/>
  <c r="AZ323" i="19"/>
  <c r="EA323" i="19" s="1"/>
  <c r="DA299" i="19"/>
  <c r="DD299" i="19"/>
  <c r="FO299" i="19" s="1"/>
  <c r="AW283" i="19"/>
  <c r="AZ283" i="19"/>
  <c r="EA283" i="19" s="1"/>
  <c r="CG243" i="19"/>
  <c r="CI243" i="19"/>
  <c r="EZ243" i="19" s="1"/>
  <c r="BK171" i="19"/>
  <c r="BN171" i="19"/>
  <c r="EK171" i="19" s="1"/>
  <c r="DA171" i="19"/>
  <c r="DD171" i="19"/>
  <c r="FO171" i="19" s="1"/>
  <c r="AY235" i="19"/>
  <c r="DZ235" i="19" s="1"/>
  <c r="AZ235" i="19"/>
  <c r="EA235" i="19" s="1"/>
  <c r="AY139" i="19"/>
  <c r="AZ139" i="19"/>
  <c r="EA139" i="19" s="1"/>
  <c r="CG115" i="19"/>
  <c r="CI115" i="19"/>
  <c r="EZ115" i="19" s="1"/>
  <c r="AK35" i="19"/>
  <c r="DP35" i="19" s="1"/>
  <c r="AL35" i="19"/>
  <c r="DQ35" i="19" s="1"/>
  <c r="BR11" i="19"/>
  <c r="EM11" i="19" s="1"/>
  <c r="BU11" i="19"/>
  <c r="EP11" i="19" s="1"/>
  <c r="AR11" i="19"/>
  <c r="DU11" i="19" s="1"/>
  <c r="AS11" i="19"/>
  <c r="DV11" i="19" s="1"/>
  <c r="AD99" i="19"/>
  <c r="DK99" i="19" s="1"/>
  <c r="AB99" i="19"/>
  <c r="E156" i="30"/>
  <c r="MC41" i="35" s="1"/>
  <c r="F124" i="30"/>
  <c r="MD33" i="35" s="1"/>
  <c r="H137" i="30"/>
  <c r="E128" i="30"/>
  <c r="MC34" i="35" s="1"/>
  <c r="G152" i="30"/>
  <c r="ME40" i="35" s="1"/>
  <c r="F105" i="30"/>
  <c r="H93" i="30"/>
  <c r="G149" i="30"/>
  <c r="H121" i="30"/>
  <c r="H89" i="30"/>
  <c r="AS266" i="19"/>
  <c r="DV266" i="19" s="1"/>
  <c r="AR266" i="19"/>
  <c r="DU266" i="19" s="1"/>
  <c r="AS177" i="19"/>
  <c r="DV177" i="19" s="1"/>
  <c r="AR177" i="19"/>
  <c r="AQ147" i="19"/>
  <c r="DT147" i="19" s="1"/>
  <c r="AP147" i="19"/>
  <c r="DS147" i="19" s="1"/>
  <c r="AK241" i="19"/>
  <c r="DP241" i="19" s="1"/>
  <c r="AJ241" i="19"/>
  <c r="AQ297" i="19"/>
  <c r="DT297" i="19" s="1"/>
  <c r="AP297" i="19"/>
  <c r="AK147" i="19"/>
  <c r="DP147" i="19" s="1"/>
  <c r="AJ147" i="19"/>
  <c r="DO147" i="19" s="1"/>
  <c r="AS307" i="19"/>
  <c r="DV307" i="19" s="1"/>
  <c r="AR307" i="19"/>
  <c r="DU307" i="19" s="1"/>
  <c r="AS178" i="19"/>
  <c r="DV178" i="19" s="1"/>
  <c r="AR178" i="19"/>
  <c r="DU178" i="19" s="1"/>
  <c r="AL138" i="19"/>
  <c r="DQ138" i="19" s="1"/>
  <c r="AK138" i="19"/>
  <c r="DP138" i="19" s="1"/>
  <c r="AK242" i="19"/>
  <c r="DP242" i="19" s="1"/>
  <c r="AJ242" i="19"/>
  <c r="DO242" i="19" s="1"/>
  <c r="AK298" i="19"/>
  <c r="DP298" i="19" s="1"/>
  <c r="AJ298" i="19"/>
  <c r="DO298" i="19" s="1"/>
  <c r="AK145" i="19"/>
  <c r="DP145" i="19" s="1"/>
  <c r="AJ145" i="19"/>
  <c r="AQ146" i="19"/>
  <c r="DT146" i="19" s="1"/>
  <c r="AP146" i="19"/>
  <c r="DS146" i="19" s="1"/>
  <c r="AS273" i="19"/>
  <c r="DV273" i="19" s="1"/>
  <c r="AR273" i="19"/>
  <c r="AK297" i="19"/>
  <c r="DP297" i="19" s="1"/>
  <c r="AJ297" i="19"/>
  <c r="AS305" i="19"/>
  <c r="DV305" i="19" s="1"/>
  <c r="AR305" i="19"/>
  <c r="AQ299" i="19"/>
  <c r="DT299" i="19" s="1"/>
  <c r="AP299" i="19"/>
  <c r="DS299" i="19" s="1"/>
  <c r="AK299" i="19"/>
  <c r="DP299" i="19" s="1"/>
  <c r="AJ299" i="19"/>
  <c r="DO299" i="19" s="1"/>
  <c r="AS267" i="19"/>
  <c r="DV267" i="19" s="1"/>
  <c r="AR267" i="19"/>
  <c r="DU267" i="19" s="1"/>
  <c r="AS179" i="19"/>
  <c r="DV179" i="19" s="1"/>
  <c r="AR179" i="19"/>
  <c r="DU179" i="19" s="1"/>
  <c r="AK243" i="19"/>
  <c r="DP243" i="19" s="1"/>
  <c r="AJ243" i="19"/>
  <c r="DO243" i="19" s="1"/>
  <c r="AL130" i="19"/>
  <c r="DQ130" i="19" s="1"/>
  <c r="AK130" i="19"/>
  <c r="DP130" i="19" s="1"/>
  <c r="AS265" i="19"/>
  <c r="DV265" i="19" s="1"/>
  <c r="AR265" i="19"/>
  <c r="AK146" i="19"/>
  <c r="DP146" i="19" s="1"/>
  <c r="AJ146" i="19"/>
  <c r="DO146" i="19" s="1"/>
  <c r="AS275" i="19"/>
  <c r="DV275" i="19" s="1"/>
  <c r="AR275" i="19"/>
  <c r="DU275" i="19" s="1"/>
  <c r="AQ145" i="19"/>
  <c r="AP145" i="19"/>
  <c r="AS274" i="19"/>
  <c r="DV274" i="19" s="1"/>
  <c r="AR274" i="19"/>
  <c r="DU274" i="19" s="1"/>
  <c r="AS306" i="19"/>
  <c r="DV306" i="19" s="1"/>
  <c r="AR306" i="19"/>
  <c r="DU306" i="19" s="1"/>
  <c r="AQ298" i="19"/>
  <c r="DT298" i="19" s="1"/>
  <c r="AP298" i="19"/>
  <c r="DS298" i="19" s="1"/>
  <c r="AL122" i="19"/>
  <c r="AK122" i="19"/>
  <c r="DP122" i="19" s="1"/>
  <c r="AL114" i="19"/>
  <c r="AK114" i="19"/>
  <c r="DP114" i="19" s="1"/>
  <c r="AK113" i="19"/>
  <c r="DP113" i="19" s="1"/>
  <c r="AJ113" i="19"/>
  <c r="AS115" i="19"/>
  <c r="DV115" i="19" s="1"/>
  <c r="AR115" i="19"/>
  <c r="DU115" i="19" s="1"/>
  <c r="AR114" i="19"/>
  <c r="DU114" i="19" s="1"/>
  <c r="AQ114" i="19"/>
  <c r="AK9" i="19"/>
  <c r="DP9" i="19" s="1"/>
  <c r="AJ9" i="19"/>
  <c r="DO9" i="19" s="1"/>
  <c r="AR10" i="19"/>
  <c r="DU10" i="19" s="1"/>
  <c r="AQ10" i="19"/>
  <c r="AR74" i="19"/>
  <c r="DU74" i="19" s="1"/>
  <c r="AQ74" i="19"/>
  <c r="DT74" i="19" s="1"/>
  <c r="AJ89" i="19"/>
  <c r="DO89" i="19" s="1"/>
  <c r="AI89" i="19"/>
  <c r="AS50" i="19"/>
  <c r="AR50" i="19"/>
  <c r="DU50" i="19" s="1"/>
  <c r="AJ83" i="19"/>
  <c r="DO83" i="19" s="1"/>
  <c r="AI83" i="19"/>
  <c r="DN83" i="19" s="1"/>
  <c r="AR75" i="19"/>
  <c r="DU75" i="19" s="1"/>
  <c r="AQ75" i="19"/>
  <c r="DT75" i="19" s="1"/>
  <c r="AL49" i="19"/>
  <c r="DQ49" i="19" s="1"/>
  <c r="AK49" i="19"/>
  <c r="DP49" i="19" s="1"/>
  <c r="AJ82" i="19"/>
  <c r="DO82" i="19" s="1"/>
  <c r="AI82" i="19"/>
  <c r="AL58" i="19"/>
  <c r="DQ58" i="19" s="1"/>
  <c r="AK58" i="19"/>
  <c r="DP58" i="19" s="1"/>
  <c r="DO19" i="30"/>
  <c r="J7" i="35"/>
  <c r="AR73" i="19"/>
  <c r="DU73" i="19" s="1"/>
  <c r="AQ73" i="19"/>
  <c r="AK105" i="19"/>
  <c r="DP105" i="19" s="1"/>
  <c r="AJ105" i="19"/>
  <c r="AK57" i="19"/>
  <c r="DP57" i="19" s="1"/>
  <c r="AJ57" i="19"/>
  <c r="AK65" i="19"/>
  <c r="DP65" i="19" s="1"/>
  <c r="AJ65" i="19"/>
  <c r="AK90" i="19"/>
  <c r="DP90" i="19" s="1"/>
  <c r="AJ90" i="19"/>
  <c r="DO90" i="19" s="1"/>
  <c r="AK18" i="19"/>
  <c r="DP18" i="19" s="1"/>
  <c r="AJ18" i="19"/>
  <c r="DO18" i="19" s="1"/>
  <c r="AJ19" i="19"/>
  <c r="DO19" i="19" s="1"/>
  <c r="AI19" i="19"/>
  <c r="AD306" i="19"/>
  <c r="DK306" i="19" s="1"/>
  <c r="AD275" i="19"/>
  <c r="DK275" i="19" s="1"/>
  <c r="AD273" i="19"/>
  <c r="AD274" i="19"/>
  <c r="DK274" i="19" s="1"/>
  <c r="AD305" i="19"/>
  <c r="AC235" i="19"/>
  <c r="AD307" i="19"/>
  <c r="DK307" i="19" s="1"/>
  <c r="AC321" i="19"/>
  <c r="AP13" i="19"/>
  <c r="CV4" i="35" s="1"/>
  <c r="GQ4" i="35" s="1"/>
  <c r="AS13" i="19"/>
  <c r="DV13" i="19" s="1"/>
  <c r="AR12" i="19"/>
  <c r="DU12" i="19" s="1"/>
  <c r="AS12" i="19"/>
  <c r="DV12" i="19" s="1"/>
  <c r="AJ12" i="19"/>
  <c r="DO12" i="19" s="1"/>
  <c r="AL12" i="19"/>
  <c r="DQ12" i="19" s="1"/>
  <c r="AL10" i="19"/>
  <c r="DQ10" i="19" s="1"/>
  <c r="AK10" i="19"/>
  <c r="DP10" i="19" s="1"/>
  <c r="AI11" i="19"/>
  <c r="DN11" i="19" s="1"/>
  <c r="AJ11" i="19"/>
  <c r="DO11" i="19" s="1"/>
  <c r="AK13" i="19"/>
  <c r="DP13" i="19" s="1"/>
  <c r="AJ13" i="19"/>
  <c r="DO13" i="19" s="1"/>
  <c r="EF79" i="30"/>
  <c r="AG22" i="35"/>
  <c r="EF159" i="30"/>
  <c r="AG42" i="35"/>
  <c r="EK43" i="30"/>
  <c r="AN13" i="35"/>
  <c r="EP23" i="30"/>
  <c r="AU8" i="35"/>
  <c r="FO147" i="30"/>
  <c r="M148" i="30" s="1"/>
  <c r="MK39" i="35" s="1"/>
  <c r="CD39" i="35"/>
  <c r="EU83" i="30"/>
  <c r="I85" i="30" s="1"/>
  <c r="BB23" i="35"/>
  <c r="FO123" i="30"/>
  <c r="M125" i="30" s="1"/>
  <c r="CD33" i="35"/>
  <c r="FJ71" i="30"/>
  <c r="L73" i="30" s="1"/>
  <c r="BW20" i="35"/>
  <c r="FO71" i="30"/>
  <c r="M72" i="30" s="1"/>
  <c r="MK20" i="35" s="1"/>
  <c r="CD20" i="35"/>
  <c r="FE43" i="30"/>
  <c r="K45" i="30" s="1"/>
  <c r="BP13" i="35"/>
  <c r="FE99" i="30"/>
  <c r="K101" i="30" s="1"/>
  <c r="BP27" i="35"/>
  <c r="EU43" i="30"/>
  <c r="I45" i="30" s="1"/>
  <c r="BB13" i="35"/>
  <c r="FJ87" i="30"/>
  <c r="L88" i="30" s="1"/>
  <c r="MJ24" i="35" s="1"/>
  <c r="BW24" i="35"/>
  <c r="EU147" i="30"/>
  <c r="I148" i="30" s="1"/>
  <c r="MG39" i="35" s="1"/>
  <c r="BB39" i="35"/>
  <c r="EJ7" i="30"/>
  <c r="AM4" i="35"/>
  <c r="FO59" i="30"/>
  <c r="M60" i="30" s="1"/>
  <c r="MK17" i="35" s="1"/>
  <c r="CD17" i="35"/>
  <c r="FE11" i="30"/>
  <c r="K13" i="30" s="1"/>
  <c r="BP5" i="35"/>
  <c r="EZ103" i="30"/>
  <c r="J104" i="30" s="1"/>
  <c r="MH28" i="35" s="1"/>
  <c r="BI28" i="35"/>
  <c r="FE51" i="30"/>
  <c r="K52" i="30" s="1"/>
  <c r="MI15" i="35" s="1"/>
  <c r="BP15" i="35"/>
  <c r="FI7" i="30"/>
  <c r="BV4" i="35"/>
  <c r="EZ139" i="30"/>
  <c r="J141" i="30" s="1"/>
  <c r="BI37" i="35"/>
  <c r="EU119" i="30"/>
  <c r="I121" i="30" s="1"/>
  <c r="BB32" i="35"/>
  <c r="EP147" i="30"/>
  <c r="AU39" i="35"/>
  <c r="EP163" i="30"/>
  <c r="AU43" i="35"/>
  <c r="EF27" i="30"/>
  <c r="AG9" i="35"/>
  <c r="EA35" i="30"/>
  <c r="Z11" i="35"/>
  <c r="AN29" i="35"/>
  <c r="EK123" i="30"/>
  <c r="AN33" i="35"/>
  <c r="EA87" i="30"/>
  <c r="Z24" i="35"/>
  <c r="EZ99" i="30"/>
  <c r="J101" i="30" s="1"/>
  <c r="BI27" i="35"/>
  <c r="EZ43" i="30"/>
  <c r="J45" i="30" s="1"/>
  <c r="BI13" i="35"/>
  <c r="EU155" i="30"/>
  <c r="I157" i="30" s="1"/>
  <c r="BB41" i="35"/>
  <c r="FE39" i="30"/>
  <c r="K41" i="30" s="1"/>
  <c r="BP12" i="35"/>
  <c r="FO87" i="30"/>
  <c r="M89" i="30" s="1"/>
  <c r="CD24" i="35"/>
  <c r="EZ11" i="30"/>
  <c r="BI5" i="35"/>
  <c r="FO151" i="30"/>
  <c r="M153" i="30" s="1"/>
  <c r="CD40" i="35"/>
  <c r="FE15" i="30"/>
  <c r="BP6" i="35"/>
  <c r="EU123" i="30"/>
  <c r="I125" i="30" s="1"/>
  <c r="BB33" i="35"/>
  <c r="FO115" i="30"/>
  <c r="M117" i="30" s="1"/>
  <c r="CD31" i="35"/>
  <c r="EU163" i="30"/>
  <c r="I165" i="30" s="1"/>
  <c r="BB43" i="35"/>
  <c r="FJ107" i="30"/>
  <c r="L109" i="30" s="1"/>
  <c r="BW29" i="35"/>
  <c r="EK11" i="30"/>
  <c r="AN5" i="35"/>
  <c r="FO103" i="30"/>
  <c r="M104" i="30" s="1"/>
  <c r="MK28" i="35" s="1"/>
  <c r="CD28" i="35"/>
  <c r="EU115" i="30"/>
  <c r="I116" i="30" s="1"/>
  <c r="MG31" i="35" s="1"/>
  <c r="BB31" i="35"/>
  <c r="FO67" i="30"/>
  <c r="M68" i="30" s="1"/>
  <c r="MK19" i="35" s="1"/>
  <c r="CD19" i="35"/>
  <c r="FJ35" i="30"/>
  <c r="L37" i="30" s="1"/>
  <c r="BW11" i="35"/>
  <c r="FO27" i="30"/>
  <c r="M28" i="30" s="1"/>
  <c r="MK9" i="35" s="1"/>
  <c r="CD9" i="35"/>
  <c r="EU59" i="30"/>
  <c r="I61" i="30" s="1"/>
  <c r="BB17" i="35"/>
  <c r="FE135" i="30"/>
  <c r="K136" i="30" s="1"/>
  <c r="MI36" i="35" s="1"/>
  <c r="BP36" i="35"/>
  <c r="EU99" i="30"/>
  <c r="I101" i="30" s="1"/>
  <c r="BB27" i="35"/>
  <c r="EZ27" i="30"/>
  <c r="J29" i="30" s="1"/>
  <c r="BI9" i="35"/>
  <c r="FO155" i="30"/>
  <c r="M157" i="30" s="1"/>
  <c r="CD41" i="35"/>
  <c r="FE119" i="30"/>
  <c r="K121" i="30" s="1"/>
  <c r="BP32" i="35"/>
  <c r="FE59" i="30"/>
  <c r="K61" i="30" s="1"/>
  <c r="BP17" i="35"/>
  <c r="EP43" i="30"/>
  <c r="AU13" i="35"/>
  <c r="EK47" i="30"/>
  <c r="AN14" i="35"/>
  <c r="EK131" i="30"/>
  <c r="EP151" i="30"/>
  <c r="EF83" i="30"/>
  <c r="AG23" i="35"/>
  <c r="EO7" i="30"/>
  <c r="AT4" i="35"/>
  <c r="FE75" i="30"/>
  <c r="K77" i="30" s="1"/>
  <c r="BP21" i="35"/>
  <c r="FJ39" i="30"/>
  <c r="L41" i="30" s="1"/>
  <c r="BW12" i="35"/>
  <c r="FJ135" i="30"/>
  <c r="L137" i="30" s="1"/>
  <c r="BW36" i="35"/>
  <c r="FO135" i="30"/>
  <c r="M137" i="30" s="1"/>
  <c r="CD36" i="35"/>
  <c r="FO107" i="30"/>
  <c r="M109" i="30" s="1"/>
  <c r="CD29" i="35"/>
  <c r="DP7" i="30"/>
  <c r="K4" i="35"/>
  <c r="FE123" i="30"/>
  <c r="K125" i="30" s="1"/>
  <c r="BP33" i="35"/>
  <c r="EU39" i="30"/>
  <c r="I41" i="30" s="1"/>
  <c r="BB12" i="35"/>
  <c r="EU67" i="30"/>
  <c r="I69" i="30" s="1"/>
  <c r="BB19" i="35"/>
  <c r="FJ83" i="30"/>
  <c r="L85" i="30" s="1"/>
  <c r="BW23" i="35"/>
  <c r="EU27" i="30"/>
  <c r="I29" i="30" s="1"/>
  <c r="BB9" i="35"/>
  <c r="FE91" i="30"/>
  <c r="K93" i="30" s="1"/>
  <c r="BP25" i="35"/>
  <c r="EZ55" i="30"/>
  <c r="J57" i="30" s="1"/>
  <c r="BI16" i="35"/>
  <c r="EZ151" i="30"/>
  <c r="J152" i="30" s="1"/>
  <c r="MH40" i="35" s="1"/>
  <c r="BI40" i="35"/>
  <c r="FO75" i="30"/>
  <c r="M76" i="30" s="1"/>
  <c r="MK21" i="35" s="1"/>
  <c r="CD21" i="35"/>
  <c r="FJ131" i="30"/>
  <c r="L133" i="30" s="1"/>
  <c r="BW35" i="35"/>
  <c r="EZ59" i="30"/>
  <c r="J61" i="30" s="1"/>
  <c r="BI17" i="35"/>
  <c r="FN7" i="30"/>
  <c r="CC4" i="35"/>
  <c r="EP95" i="30"/>
  <c r="AU26" i="35"/>
  <c r="EP75" i="30"/>
  <c r="AU21" i="35"/>
  <c r="EA15" i="30"/>
  <c r="Z6" i="35"/>
  <c r="EK95" i="30"/>
  <c r="AN26" i="35"/>
  <c r="AU42" i="35"/>
  <c r="EF115" i="30"/>
  <c r="AG31" i="35"/>
  <c r="EF19" i="30"/>
  <c r="AG7" i="35"/>
  <c r="EK119" i="30"/>
  <c r="EA23" i="30"/>
  <c r="Z8" i="35"/>
  <c r="DV300" i="19"/>
  <c r="EP7" i="30"/>
  <c r="AU4" i="35"/>
  <c r="FE107" i="30"/>
  <c r="K108" i="30" s="1"/>
  <c r="MI29" i="35" s="1"/>
  <c r="BP29" i="35"/>
  <c r="FO55" i="30"/>
  <c r="M56" i="30" s="1"/>
  <c r="MK16" i="35" s="1"/>
  <c r="CD16" i="35"/>
  <c r="FE151" i="30"/>
  <c r="K152" i="30" s="1"/>
  <c r="MI40" i="35" s="1"/>
  <c r="BP40" i="35"/>
  <c r="EZ119" i="30"/>
  <c r="J120" i="30" s="1"/>
  <c r="MH32" i="35" s="1"/>
  <c r="BI32" i="35"/>
  <c r="DQ11" i="30"/>
  <c r="L5" i="35"/>
  <c r="FO91" i="30"/>
  <c r="M93" i="30" s="1"/>
  <c r="CD25" i="35"/>
  <c r="FJ27" i="30"/>
  <c r="L29" i="30" s="1"/>
  <c r="BW9" i="35"/>
  <c r="EZ123" i="30"/>
  <c r="J125" i="30" s="1"/>
  <c r="BI33" i="35"/>
  <c r="FJ55" i="30"/>
  <c r="L57" i="30" s="1"/>
  <c r="BW16" i="35"/>
  <c r="FE27" i="30"/>
  <c r="K29" i="30" s="1"/>
  <c r="BP9" i="35"/>
  <c r="EU131" i="30"/>
  <c r="I133" i="30" s="1"/>
  <c r="BB35" i="35"/>
  <c r="FJ43" i="30"/>
  <c r="L45" i="30" s="1"/>
  <c r="BW13" i="35"/>
  <c r="FO139" i="30"/>
  <c r="M141" i="30" s="1"/>
  <c r="CD37" i="35"/>
  <c r="EU103" i="30"/>
  <c r="I105" i="30" s="1"/>
  <c r="BB28" i="35"/>
  <c r="FE19" i="30"/>
  <c r="K21" i="30" s="1"/>
  <c r="BP7" i="35"/>
  <c r="EZ163" i="30"/>
  <c r="J164" i="30" s="1"/>
  <c r="MH43" i="35" s="1"/>
  <c r="BI43" i="35"/>
  <c r="FJ123" i="30"/>
  <c r="L125" i="30" s="1"/>
  <c r="BW33" i="35"/>
  <c r="FE23" i="30"/>
  <c r="K25" i="30" s="1"/>
  <c r="BP8" i="35"/>
  <c r="Q17" i="19"/>
  <c r="M45" i="30"/>
  <c r="M44" i="30"/>
  <c r="MK13" i="35" s="1"/>
  <c r="R10" i="19"/>
  <c r="R13" i="19"/>
  <c r="AY13" i="19" s="1"/>
  <c r="DZ13" i="19" s="1"/>
  <c r="R11" i="19"/>
  <c r="AY11" i="19" s="1"/>
  <c r="DZ11" i="19" s="1"/>
  <c r="R12" i="19"/>
  <c r="AY12" i="19" s="1"/>
  <c r="DZ12" i="19" s="1"/>
  <c r="DD19" i="30"/>
  <c r="CB87" i="30"/>
  <c r="CW147" i="30"/>
  <c r="CW19" i="30"/>
  <c r="CP143" i="30"/>
  <c r="CW23" i="30"/>
  <c r="CP47" i="30"/>
  <c r="CB11" i="30"/>
  <c r="V17" i="19"/>
  <c r="CA17" i="19" s="1"/>
  <c r="DD83" i="30"/>
  <c r="CP127" i="30"/>
  <c r="CW47" i="30"/>
  <c r="CW91" i="30"/>
  <c r="CP155" i="30"/>
  <c r="DD119" i="30"/>
  <c r="CA7" i="30"/>
  <c r="V10" i="19"/>
  <c r="CA10" i="19" s="1"/>
  <c r="V13" i="19"/>
  <c r="V11" i="19"/>
  <c r="BY11" i="19" s="1"/>
  <c r="ER11" i="19" s="1"/>
  <c r="V12" i="19"/>
  <c r="CW79" i="30"/>
  <c r="CP163" i="30"/>
  <c r="CO7" i="30"/>
  <c r="X10" i="19"/>
  <c r="CM10" i="19" s="1"/>
  <c r="FB10" i="19" s="1"/>
  <c r="X13" i="19"/>
  <c r="X11" i="19"/>
  <c r="CO11" i="19" s="1"/>
  <c r="FD11" i="19" s="1"/>
  <c r="X12" i="19"/>
  <c r="CW119" i="30"/>
  <c r="CP63" i="30"/>
  <c r="CW95" i="30"/>
  <c r="CP147" i="30"/>
  <c r="CW127" i="30"/>
  <c r="CW155" i="30"/>
  <c r="CI95" i="30"/>
  <c r="CP111" i="30"/>
  <c r="CI131" i="30"/>
  <c r="CI75" i="30"/>
  <c r="CB15" i="30"/>
  <c r="CP35" i="30"/>
  <c r="CI47" i="30"/>
  <c r="CB51" i="30"/>
  <c r="CB139" i="30"/>
  <c r="DD11" i="30"/>
  <c r="Z17" i="19"/>
  <c r="CB75" i="30"/>
  <c r="CB71" i="30"/>
  <c r="CI51" i="30"/>
  <c r="CW143" i="30"/>
  <c r="AZ11" i="30"/>
  <c r="R17" i="19"/>
  <c r="AY17" i="19" s="1"/>
  <c r="BU11" i="30"/>
  <c r="U17" i="19"/>
  <c r="BT17" i="19" s="1"/>
  <c r="CI67" i="30"/>
  <c r="CW99" i="30"/>
  <c r="CB111" i="30"/>
  <c r="CI79" i="30"/>
  <c r="CI35" i="30"/>
  <c r="CP83" i="30"/>
  <c r="CW163" i="30"/>
  <c r="BE7" i="30"/>
  <c r="S10" i="19"/>
  <c r="S13" i="19"/>
  <c r="S11" i="19"/>
  <c r="S12" i="19"/>
  <c r="CB107" i="30"/>
  <c r="CI115" i="30"/>
  <c r="DD131" i="30"/>
  <c r="CW159" i="30"/>
  <c r="CP131" i="30"/>
  <c r="DD163" i="30"/>
  <c r="CI23" i="30"/>
  <c r="CP67" i="30"/>
  <c r="CW15" i="30"/>
  <c r="CW111" i="30"/>
  <c r="CP95" i="30"/>
  <c r="DD51" i="30"/>
  <c r="CP115" i="30"/>
  <c r="CI83" i="30"/>
  <c r="CW59" i="30"/>
  <c r="CI91" i="30"/>
  <c r="CI107" i="30"/>
  <c r="BG11" i="30"/>
  <c r="S17" i="19"/>
  <c r="BF17" i="19" s="1"/>
  <c r="CW11" i="30"/>
  <c r="Y17" i="19"/>
  <c r="CV17" i="19" s="1"/>
  <c r="CP159" i="30"/>
  <c r="CB159" i="30"/>
  <c r="CI31" i="30"/>
  <c r="CW63" i="30"/>
  <c r="CP79" i="30"/>
  <c r="CI127" i="30"/>
  <c r="CI147" i="30"/>
  <c r="CB91" i="30"/>
  <c r="CI155" i="30"/>
  <c r="CB135" i="30"/>
  <c r="CH7" i="30"/>
  <c r="W10" i="19"/>
  <c r="CH10" i="19" s="1"/>
  <c r="EY10" i="19" s="1"/>
  <c r="W13" i="19"/>
  <c r="W11" i="19"/>
  <c r="CH11" i="19" s="1"/>
  <c r="EY11" i="19" s="1"/>
  <c r="W12" i="19"/>
  <c r="DD79" i="30"/>
  <c r="CB19" i="30"/>
  <c r="AE146" i="19"/>
  <c r="DL146" i="19" s="1"/>
  <c r="AE234" i="19"/>
  <c r="DL234" i="19" s="1"/>
  <c r="AD257" i="19"/>
  <c r="AE204" i="19"/>
  <c r="EA148" i="19"/>
  <c r="AE148" i="19"/>
  <c r="DL148" i="19" s="1"/>
  <c r="AE109" i="19"/>
  <c r="DL109" i="19" s="1"/>
  <c r="AE325" i="19"/>
  <c r="DL325" i="19" s="1"/>
  <c r="AE101" i="19"/>
  <c r="DL101" i="19" s="1"/>
  <c r="AE228" i="19"/>
  <c r="AE100" i="19"/>
  <c r="DL100" i="19" s="1"/>
  <c r="AD203" i="19"/>
  <c r="DK203" i="19" s="1"/>
  <c r="AE97" i="19"/>
  <c r="AD321" i="19"/>
  <c r="AD258" i="19"/>
  <c r="DK258" i="19" s="1"/>
  <c r="AE233" i="19"/>
  <c r="AE277" i="19"/>
  <c r="DL277" i="19" s="1"/>
  <c r="AE229" i="19"/>
  <c r="DL229" i="19" s="1"/>
  <c r="AE149" i="19"/>
  <c r="DL149" i="19" s="1"/>
  <c r="AE324" i="19"/>
  <c r="DL324" i="19" s="1"/>
  <c r="AE205" i="19"/>
  <c r="DL205" i="19" s="1"/>
  <c r="AE308" i="19"/>
  <c r="DL308" i="19" s="1"/>
  <c r="AE98" i="19"/>
  <c r="DL98" i="19" s="1"/>
  <c r="AE306" i="19"/>
  <c r="DL306" i="19" s="1"/>
  <c r="AE147" i="19"/>
  <c r="DL147" i="19" s="1"/>
  <c r="AE322" i="19"/>
  <c r="AD226" i="19"/>
  <c r="DK226" i="19" s="1"/>
  <c r="AE275" i="19"/>
  <c r="DL275" i="19" s="1"/>
  <c r="AE273" i="19"/>
  <c r="AD259" i="19"/>
  <c r="DK259" i="19" s="1"/>
  <c r="AE145" i="19"/>
  <c r="AE237" i="19"/>
  <c r="DL237" i="19" s="1"/>
  <c r="AE261" i="19"/>
  <c r="DL261" i="19" s="1"/>
  <c r="AE260" i="19"/>
  <c r="AD201" i="19"/>
  <c r="AB323" i="19"/>
  <c r="AE274" i="19"/>
  <c r="DL274" i="19" s="1"/>
  <c r="AD225" i="19"/>
  <c r="AE305" i="19"/>
  <c r="AD235" i="19"/>
  <c r="AE307" i="19"/>
  <c r="DL307" i="19" s="1"/>
  <c r="AE99" i="19"/>
  <c r="DL99" i="19" s="1"/>
  <c r="AD202" i="19"/>
  <c r="DK202" i="19" s="1"/>
  <c r="AE236" i="19"/>
  <c r="DL236" i="19" s="1"/>
  <c r="AE108" i="19"/>
  <c r="DL108" i="19" s="1"/>
  <c r="AE309" i="19"/>
  <c r="DL309" i="19" s="1"/>
  <c r="AE276" i="19"/>
  <c r="DL276" i="19" s="1"/>
  <c r="AD227" i="19"/>
  <c r="DK227" i="19" s="1"/>
  <c r="R60" i="19"/>
  <c r="AZ31" i="30"/>
  <c r="R124" i="19"/>
  <c r="AZ63" i="30"/>
  <c r="W77" i="19"/>
  <c r="EZ39" i="30"/>
  <c r="W140" i="19"/>
  <c r="X204" i="19"/>
  <c r="S268" i="19"/>
  <c r="BG135" i="30"/>
  <c r="U60" i="19"/>
  <c r="BU31" i="30"/>
  <c r="Z253" i="19"/>
  <c r="Z61" i="19"/>
  <c r="FO31" i="30"/>
  <c r="V156" i="19"/>
  <c r="S101" i="19"/>
  <c r="BG51" i="30"/>
  <c r="Y148" i="19"/>
  <c r="FJ75" i="30"/>
  <c r="X108" i="19"/>
  <c r="FE55" i="30"/>
  <c r="X140" i="19"/>
  <c r="FE71" i="30"/>
  <c r="Y204" i="19"/>
  <c r="FJ103" i="30"/>
  <c r="V300" i="19"/>
  <c r="EU151" i="30"/>
  <c r="U76" i="19"/>
  <c r="BU39" i="30"/>
  <c r="S124" i="19"/>
  <c r="BG63" i="30"/>
  <c r="Z220" i="19"/>
  <c r="Y100" i="19"/>
  <c r="FJ51" i="30"/>
  <c r="V252" i="19"/>
  <c r="W28" i="19"/>
  <c r="EZ15" i="30"/>
  <c r="Z92" i="19"/>
  <c r="FO47" i="30"/>
  <c r="V60" i="19"/>
  <c r="EU31" i="30"/>
  <c r="W124" i="19"/>
  <c r="EZ63" i="30"/>
  <c r="Y229" i="19"/>
  <c r="V108" i="19"/>
  <c r="EU55" i="30"/>
  <c r="S93" i="19"/>
  <c r="BG47" i="30"/>
  <c r="Z189" i="19"/>
  <c r="FO95" i="30"/>
  <c r="S252" i="19"/>
  <c r="BG127" i="30"/>
  <c r="U156" i="19"/>
  <c r="BU79" i="30"/>
  <c r="W285" i="19"/>
  <c r="EZ143" i="30"/>
  <c r="T316" i="19"/>
  <c r="BN159" i="30"/>
  <c r="R228" i="19"/>
  <c r="AZ115" i="30"/>
  <c r="Z68" i="19"/>
  <c r="FO35" i="30"/>
  <c r="U261" i="19"/>
  <c r="BU131" i="30"/>
  <c r="Y300" i="19"/>
  <c r="Z45" i="19"/>
  <c r="V188" i="19"/>
  <c r="EU95" i="30"/>
  <c r="V284" i="19"/>
  <c r="EU143" i="30"/>
  <c r="Y133" i="19"/>
  <c r="Y276" i="19"/>
  <c r="T77" i="19"/>
  <c r="BN39" i="30"/>
  <c r="R108" i="19"/>
  <c r="AZ55" i="30"/>
  <c r="S300" i="19"/>
  <c r="BG151" i="30"/>
  <c r="Z196" i="19"/>
  <c r="FO99" i="30"/>
  <c r="R93" i="19"/>
  <c r="AZ47" i="30"/>
  <c r="V124" i="19"/>
  <c r="T156" i="19"/>
  <c r="BN79" i="30"/>
  <c r="W220" i="19"/>
  <c r="U252" i="19"/>
  <c r="BU127" i="30"/>
  <c r="S293" i="19"/>
  <c r="BG147" i="30"/>
  <c r="S325" i="19"/>
  <c r="BG163" i="30"/>
  <c r="S84" i="19"/>
  <c r="BG43" i="30"/>
  <c r="R277" i="19"/>
  <c r="AZ139" i="30"/>
  <c r="W172" i="19"/>
  <c r="EZ87" i="30"/>
  <c r="W268" i="19"/>
  <c r="EZ135" i="30"/>
  <c r="W37" i="19"/>
  <c r="T124" i="19"/>
  <c r="BN63" i="30"/>
  <c r="V69" i="19"/>
  <c r="S197" i="19"/>
  <c r="BG99" i="30"/>
  <c r="U52" i="19"/>
  <c r="BU27" i="30"/>
  <c r="U116" i="19"/>
  <c r="BU59" i="30"/>
  <c r="X277" i="19"/>
  <c r="FE139" i="30"/>
  <c r="Z77" i="19"/>
  <c r="FO39" i="30"/>
  <c r="X172" i="19"/>
  <c r="X60" i="19"/>
  <c r="Z317" i="19"/>
  <c r="FO159" i="30"/>
  <c r="Z29" i="19"/>
  <c r="Z124" i="19"/>
  <c r="FO63" i="30"/>
  <c r="Y61" i="19"/>
  <c r="V93" i="19"/>
  <c r="T252" i="19"/>
  <c r="BN127" i="30"/>
  <c r="S133" i="19"/>
  <c r="BG67" i="30"/>
  <c r="R53" i="19"/>
  <c r="AZ27" i="30"/>
  <c r="T116" i="19"/>
  <c r="BN59" i="30"/>
  <c r="R245" i="19"/>
  <c r="AZ123" i="30"/>
  <c r="S276" i="19"/>
  <c r="BG139" i="30"/>
  <c r="S77" i="19"/>
  <c r="BG39" i="30"/>
  <c r="V44" i="19"/>
  <c r="EU23" i="30"/>
  <c r="Z284" i="19"/>
  <c r="FO143" i="30"/>
  <c r="T60" i="19"/>
  <c r="BN31" i="30"/>
  <c r="U124" i="19"/>
  <c r="BU63" i="30"/>
  <c r="W317" i="19"/>
  <c r="EZ159" i="30"/>
  <c r="O284" i="19"/>
  <c r="AD284" i="19" s="1"/>
  <c r="DK284" i="19" s="1"/>
  <c r="O245" i="19"/>
  <c r="AD245" i="19" s="1"/>
  <c r="DK245" i="19" s="1"/>
  <c r="O84" i="19"/>
  <c r="AD84" i="19" s="1"/>
  <c r="DK84" i="19" s="1"/>
  <c r="O77" i="19"/>
  <c r="AC77" i="19" s="1"/>
  <c r="DJ77" i="19" s="1"/>
  <c r="O28" i="19"/>
  <c r="O69" i="19"/>
  <c r="O60" i="19"/>
  <c r="AD60" i="19" s="1"/>
  <c r="DK60" i="19" s="1"/>
  <c r="O188" i="19"/>
  <c r="AD188" i="19" s="1"/>
  <c r="DK188" i="19" s="1"/>
  <c r="O132" i="19"/>
  <c r="AD132" i="19" s="1"/>
  <c r="DK132" i="19" s="1"/>
  <c r="O45" i="19"/>
  <c r="AD45" i="19" s="1"/>
  <c r="DK45" i="19" s="1"/>
  <c r="O92" i="19"/>
  <c r="AD92" i="19" s="1"/>
  <c r="DK92" i="19" s="1"/>
  <c r="P188" i="19"/>
  <c r="AK188" i="19" s="1"/>
  <c r="DP188" i="19" s="1"/>
  <c r="P77" i="19"/>
  <c r="AK77" i="19" s="1"/>
  <c r="DP77" i="19" s="1"/>
  <c r="P220" i="19"/>
  <c r="AK220" i="19" s="1"/>
  <c r="DP220" i="19" s="1"/>
  <c r="P164" i="19"/>
  <c r="AK164" i="19" s="1"/>
  <c r="DP164" i="19" s="1"/>
  <c r="Q29" i="19"/>
  <c r="Y28" i="19"/>
  <c r="R28" i="19"/>
  <c r="P285" i="19"/>
  <c r="AK285" i="19" s="1"/>
  <c r="DP285" i="19" s="1"/>
  <c r="P236" i="19"/>
  <c r="AK236" i="19" s="1"/>
  <c r="DP236" i="19" s="1"/>
  <c r="S76" i="19"/>
  <c r="O317" i="19"/>
  <c r="AD317" i="19" s="1"/>
  <c r="DK317" i="19" s="1"/>
  <c r="R92" i="19"/>
  <c r="P76" i="19"/>
  <c r="AK76" i="19" s="1"/>
  <c r="DP76" i="19" s="1"/>
  <c r="Z44" i="19"/>
  <c r="Y237" i="19"/>
  <c r="O116" i="19"/>
  <c r="AD116" i="19" s="1"/>
  <c r="DK116" i="19" s="1"/>
  <c r="W189" i="19"/>
  <c r="U205" i="19"/>
  <c r="O125" i="19"/>
  <c r="AD125" i="19" s="1"/>
  <c r="DK125" i="19" s="1"/>
  <c r="U132" i="19"/>
  <c r="U197" i="19"/>
  <c r="Q21" i="19"/>
  <c r="O141" i="19"/>
  <c r="AD141" i="19" s="1"/>
  <c r="DK141" i="19" s="1"/>
  <c r="U292" i="19"/>
  <c r="Q109" i="19"/>
  <c r="V45" i="19"/>
  <c r="S52" i="19"/>
  <c r="S53" i="19"/>
  <c r="Y21" i="19"/>
  <c r="Y20" i="19"/>
  <c r="Q125" i="19"/>
  <c r="W132" i="19"/>
  <c r="W133" i="19"/>
  <c r="O36" i="19"/>
  <c r="AD36" i="19" s="1"/>
  <c r="DK36" i="19" s="1"/>
  <c r="V221" i="19"/>
  <c r="X221" i="19"/>
  <c r="U317" i="19"/>
  <c r="P100" i="19"/>
  <c r="AK100" i="19" s="1"/>
  <c r="DP100" i="19" s="1"/>
  <c r="P101" i="19"/>
  <c r="AK101" i="19" s="1"/>
  <c r="DP101" i="19" s="1"/>
  <c r="S228" i="19"/>
  <c r="U164" i="19"/>
  <c r="W260" i="19"/>
  <c r="W261" i="19"/>
  <c r="T117" i="19"/>
  <c r="O180" i="19"/>
  <c r="AD180" i="19" s="1"/>
  <c r="DK180" i="19" s="1"/>
  <c r="S277" i="19"/>
  <c r="T237" i="19"/>
  <c r="R45" i="19"/>
  <c r="R44" i="19"/>
  <c r="W100" i="19"/>
  <c r="W101" i="19"/>
  <c r="T28" i="19"/>
  <c r="T29" i="19"/>
  <c r="V316" i="19"/>
  <c r="V220" i="19"/>
  <c r="V92" i="19"/>
  <c r="W76" i="19"/>
  <c r="Q20" i="19"/>
  <c r="Q285" i="19"/>
  <c r="P237" i="19"/>
  <c r="AK237" i="19" s="1"/>
  <c r="DP237" i="19" s="1"/>
  <c r="Y157" i="19"/>
  <c r="P45" i="19"/>
  <c r="AK45" i="19" s="1"/>
  <c r="DP45" i="19" s="1"/>
  <c r="S29" i="19"/>
  <c r="R125" i="19"/>
  <c r="W212" i="19"/>
  <c r="W213" i="19"/>
  <c r="Q165" i="19"/>
  <c r="Q164" i="19"/>
  <c r="U85" i="19"/>
  <c r="U84" i="19"/>
  <c r="S212" i="19"/>
  <c r="S213" i="19"/>
  <c r="P308" i="19"/>
  <c r="AK308" i="19" s="1"/>
  <c r="DP308" i="19" s="1"/>
  <c r="V173" i="19"/>
  <c r="O269" i="19"/>
  <c r="AD269" i="19" s="1"/>
  <c r="DK269" i="19" s="1"/>
  <c r="V20" i="19"/>
  <c r="Q157" i="19"/>
  <c r="T228" i="19"/>
  <c r="T229" i="19"/>
  <c r="R69" i="19"/>
  <c r="R68" i="19"/>
  <c r="T221" i="19"/>
  <c r="W157" i="19"/>
  <c r="S221" i="19"/>
  <c r="S317" i="19"/>
  <c r="S100" i="19"/>
  <c r="R293" i="19"/>
  <c r="X165" i="19"/>
  <c r="X164" i="19"/>
  <c r="Y324" i="19"/>
  <c r="Y325" i="19"/>
  <c r="V212" i="19"/>
  <c r="V213" i="19"/>
  <c r="P277" i="19"/>
  <c r="AK277" i="19" s="1"/>
  <c r="DP277" i="19" s="1"/>
  <c r="R36" i="19"/>
  <c r="R37" i="19"/>
  <c r="X141" i="19"/>
  <c r="U45" i="19"/>
  <c r="U44" i="19"/>
  <c r="P196" i="19"/>
  <c r="AK196" i="19" s="1"/>
  <c r="DP196" i="19" s="1"/>
  <c r="P197" i="19"/>
  <c r="AK197" i="19" s="1"/>
  <c r="DP197" i="19" s="1"/>
  <c r="T61" i="19"/>
  <c r="U221" i="19"/>
  <c r="Z316" i="19"/>
  <c r="U284" i="19"/>
  <c r="Z252" i="19"/>
  <c r="Q236" i="19"/>
  <c r="U220" i="19"/>
  <c r="U188" i="19"/>
  <c r="Z188" i="19"/>
  <c r="Z156" i="19"/>
  <c r="Q108" i="19"/>
  <c r="U92" i="19"/>
  <c r="R292" i="19"/>
  <c r="X285" i="19"/>
  <c r="Q189" i="19"/>
  <c r="P157" i="19"/>
  <c r="AK157" i="19" s="1"/>
  <c r="DP157" i="19" s="1"/>
  <c r="P309" i="19"/>
  <c r="AK309" i="19" s="1"/>
  <c r="DP309" i="19" s="1"/>
  <c r="U229" i="19"/>
  <c r="S165" i="19"/>
  <c r="U228" i="19"/>
  <c r="W36" i="19"/>
  <c r="P221" i="19"/>
  <c r="AK221" i="19" s="1"/>
  <c r="DP221" i="19" s="1"/>
  <c r="Z93" i="19"/>
  <c r="S181" i="19"/>
  <c r="S180" i="19"/>
  <c r="T141" i="19"/>
  <c r="U21" i="19"/>
  <c r="U20" i="19"/>
  <c r="P325" i="19"/>
  <c r="AK325" i="19" s="1"/>
  <c r="DP325" i="19" s="1"/>
  <c r="P324" i="19"/>
  <c r="AK324" i="19" s="1"/>
  <c r="DP324" i="19" s="1"/>
  <c r="V125" i="19"/>
  <c r="Q68" i="19"/>
  <c r="Q69" i="19"/>
  <c r="X229" i="19"/>
  <c r="X228" i="19"/>
  <c r="Y29" i="19"/>
  <c r="S157" i="19"/>
  <c r="O293" i="19"/>
  <c r="AD293" i="19" s="1"/>
  <c r="DK293" i="19" s="1"/>
  <c r="O197" i="19"/>
  <c r="AD197" i="19" s="1"/>
  <c r="DK197" i="19" s="1"/>
  <c r="Q85" i="19"/>
  <c r="O173" i="19"/>
  <c r="AD173" i="19" s="1"/>
  <c r="DK173" i="19" s="1"/>
  <c r="S301" i="19"/>
  <c r="DL11" i="30"/>
  <c r="O21" i="19"/>
  <c r="Y292" i="19"/>
  <c r="Z164" i="19"/>
  <c r="Z165" i="19"/>
  <c r="T93" i="19"/>
  <c r="X253" i="19"/>
  <c r="W61" i="19"/>
  <c r="X157" i="19"/>
  <c r="W253" i="19"/>
  <c r="T317" i="19"/>
  <c r="Q100" i="19"/>
  <c r="Q101" i="19"/>
  <c r="W292" i="19"/>
  <c r="W293" i="19"/>
  <c r="O164" i="19"/>
  <c r="AD164" i="19" s="1"/>
  <c r="DK164" i="19" s="1"/>
  <c r="O165" i="19"/>
  <c r="AD165" i="19" s="1"/>
  <c r="DK165" i="19" s="1"/>
  <c r="Q324" i="19"/>
  <c r="T52" i="19"/>
  <c r="T53" i="19"/>
  <c r="T213" i="19"/>
  <c r="T212" i="19"/>
  <c r="W308" i="19"/>
  <c r="W309" i="19"/>
  <c r="T45" i="19"/>
  <c r="R173" i="19"/>
  <c r="V269" i="19"/>
  <c r="O29" i="19"/>
  <c r="Z221" i="19"/>
  <c r="Z260" i="19"/>
  <c r="Z261" i="19"/>
  <c r="O61" i="19"/>
  <c r="AD61" i="19" s="1"/>
  <c r="DK61" i="19" s="1"/>
  <c r="V253" i="19"/>
  <c r="U316" i="19"/>
  <c r="O316" i="19"/>
  <c r="AD316" i="19" s="1"/>
  <c r="DK316" i="19" s="1"/>
  <c r="T284" i="19"/>
  <c r="O252" i="19"/>
  <c r="AD252" i="19" s="1"/>
  <c r="DK252" i="19" s="1"/>
  <c r="Y236" i="19"/>
  <c r="T220" i="19"/>
  <c r="O220" i="19"/>
  <c r="AD220" i="19" s="1"/>
  <c r="DK220" i="19" s="1"/>
  <c r="T188" i="19"/>
  <c r="O156" i="19"/>
  <c r="AD156" i="19" s="1"/>
  <c r="DK156" i="19" s="1"/>
  <c r="O124" i="19"/>
  <c r="AD124" i="19" s="1"/>
  <c r="DK124" i="19" s="1"/>
  <c r="T92" i="19"/>
  <c r="W60" i="19"/>
  <c r="Q60" i="19"/>
  <c r="P44" i="19"/>
  <c r="AK44" i="19" s="1"/>
  <c r="DP44" i="19" s="1"/>
  <c r="Z28" i="19"/>
  <c r="P317" i="19"/>
  <c r="AK317" i="19" s="1"/>
  <c r="DP317" i="19" s="1"/>
  <c r="T285" i="19"/>
  <c r="X189" i="19"/>
  <c r="Q45" i="19"/>
  <c r="Q325" i="19"/>
  <c r="Y293" i="19"/>
  <c r="Y101" i="19"/>
  <c r="V21" i="19"/>
  <c r="P276" i="19"/>
  <c r="AK276" i="19" s="1"/>
  <c r="DP276" i="19" s="1"/>
  <c r="P253" i="19"/>
  <c r="AK253" i="19" s="1"/>
  <c r="DP253" i="19" s="1"/>
  <c r="U93" i="19"/>
  <c r="Q132" i="19"/>
  <c r="Q133" i="19"/>
  <c r="X125" i="19"/>
  <c r="Y181" i="19"/>
  <c r="V36" i="19"/>
  <c r="V37" i="19"/>
  <c r="W164" i="19"/>
  <c r="W165" i="19"/>
  <c r="W141" i="19"/>
  <c r="Y228" i="19"/>
  <c r="W29" i="19"/>
  <c r="Y285" i="19"/>
  <c r="S196" i="19"/>
  <c r="U117" i="19"/>
  <c r="U245" i="19"/>
  <c r="U244" i="19"/>
  <c r="X173" i="19"/>
  <c r="O301" i="19"/>
  <c r="AD301" i="19" s="1"/>
  <c r="DK301" i="19" s="1"/>
  <c r="P28" i="19"/>
  <c r="AK28" i="19" s="1"/>
  <c r="DP28" i="19" s="1"/>
  <c r="P29" i="19"/>
  <c r="AK29" i="19" s="1"/>
  <c r="DP29" i="19" s="1"/>
  <c r="Y189" i="19"/>
  <c r="X293" i="19"/>
  <c r="X292" i="19"/>
  <c r="Z197" i="19"/>
  <c r="Y253" i="19"/>
  <c r="Y93" i="19"/>
  <c r="T157" i="19"/>
  <c r="U253" i="19"/>
  <c r="R133" i="19"/>
  <c r="R132" i="19"/>
  <c r="S292" i="19"/>
  <c r="S324" i="19"/>
  <c r="O52" i="19"/>
  <c r="AD52" i="19" s="1"/>
  <c r="DK52" i="19" s="1"/>
  <c r="O53" i="19"/>
  <c r="AD53" i="19" s="1"/>
  <c r="DK53" i="19" s="1"/>
  <c r="V148" i="19"/>
  <c r="V149" i="19"/>
  <c r="Q212" i="19"/>
  <c r="Q213" i="19"/>
  <c r="X308" i="19"/>
  <c r="X309" i="19"/>
  <c r="W173" i="19"/>
  <c r="W269" i="19"/>
  <c r="Y45" i="19"/>
  <c r="S61" i="19"/>
  <c r="Q261" i="19"/>
  <c r="Q260" i="19"/>
  <c r="W93" i="19"/>
  <c r="V285" i="19"/>
  <c r="P316" i="19"/>
  <c r="AK316" i="19" s="1"/>
  <c r="DP316" i="19" s="1"/>
  <c r="S316" i="19"/>
  <c r="P284" i="19"/>
  <c r="AK284" i="19" s="1"/>
  <c r="DP284" i="19" s="1"/>
  <c r="S284" i="19"/>
  <c r="P252" i="19"/>
  <c r="AK252" i="19" s="1"/>
  <c r="DP252" i="19" s="1"/>
  <c r="S220" i="19"/>
  <c r="S188" i="19"/>
  <c r="R172" i="19"/>
  <c r="P156" i="19"/>
  <c r="AK156" i="19" s="1"/>
  <c r="DP156" i="19" s="1"/>
  <c r="S156" i="19"/>
  <c r="S92" i="19"/>
  <c r="T44" i="19"/>
  <c r="S28" i="19"/>
  <c r="O196" i="19"/>
  <c r="AD196" i="19" s="1"/>
  <c r="DK196" i="19" s="1"/>
  <c r="O20" i="19"/>
  <c r="X317" i="19"/>
  <c r="U285" i="19"/>
  <c r="T189" i="19"/>
  <c r="Z157" i="19"/>
  <c r="U325" i="19"/>
  <c r="O181" i="19"/>
  <c r="AD181" i="19" s="1"/>
  <c r="DK181" i="19" s="1"/>
  <c r="R117" i="19"/>
  <c r="U324" i="19"/>
  <c r="R52" i="19"/>
  <c r="U77" i="19"/>
  <c r="Y180" i="19"/>
  <c r="O221" i="19"/>
  <c r="AD221" i="19" s="1"/>
  <c r="DK221" i="19" s="1"/>
  <c r="V61" i="19"/>
  <c r="U53" i="19"/>
  <c r="S85" i="19"/>
  <c r="V141" i="19"/>
  <c r="U309" i="19"/>
  <c r="Z101" i="19"/>
  <c r="Z100" i="19"/>
  <c r="T37" i="19"/>
  <c r="T36" i="19"/>
  <c r="S260" i="19"/>
  <c r="Y116" i="19"/>
  <c r="Y117" i="19"/>
  <c r="Q245" i="19"/>
  <c r="X205" i="19"/>
  <c r="S20" i="19"/>
  <c r="S21" i="19"/>
  <c r="X61" i="19"/>
  <c r="Q221" i="19"/>
  <c r="Y196" i="19"/>
  <c r="Z125" i="19"/>
  <c r="Y308" i="19"/>
  <c r="Y309" i="19"/>
  <c r="T253" i="19"/>
  <c r="S132" i="19"/>
  <c r="S36" i="19"/>
  <c r="S37" i="19"/>
  <c r="T197" i="19"/>
  <c r="W149" i="19"/>
  <c r="R244" i="19"/>
  <c r="Q173" i="19"/>
  <c r="T269" i="19"/>
  <c r="Q141" i="19"/>
  <c r="X93" i="19"/>
  <c r="Q253" i="19"/>
  <c r="X133" i="19"/>
  <c r="X132" i="19"/>
  <c r="T324" i="19"/>
  <c r="T325" i="19"/>
  <c r="T125" i="19"/>
  <c r="X316" i="19"/>
  <c r="W316" i="19"/>
  <c r="X284" i="19"/>
  <c r="W284" i="19"/>
  <c r="V268" i="19"/>
  <c r="X252" i="19"/>
  <c r="W252" i="19"/>
  <c r="X220" i="19"/>
  <c r="X188" i="19"/>
  <c r="W188" i="19"/>
  <c r="V172" i="19"/>
  <c r="X156" i="19"/>
  <c r="W156" i="19"/>
  <c r="V140" i="19"/>
  <c r="X124" i="19"/>
  <c r="X92" i="19"/>
  <c r="W92" i="19"/>
  <c r="Z60" i="19"/>
  <c r="Y60" i="19"/>
  <c r="V28" i="19"/>
  <c r="O292" i="19"/>
  <c r="AD292" i="19" s="1"/>
  <c r="DK292" i="19" s="1"/>
  <c r="R116" i="19"/>
  <c r="Q84" i="19"/>
  <c r="U189" i="19"/>
  <c r="O157" i="19"/>
  <c r="AD157" i="19" s="1"/>
  <c r="DK157" i="19" s="1"/>
  <c r="U293" i="19"/>
  <c r="O213" i="19"/>
  <c r="AD213" i="19" s="1"/>
  <c r="DK213" i="19" s="1"/>
  <c r="U133" i="19"/>
  <c r="U101" i="19"/>
  <c r="S164" i="19"/>
  <c r="O253" i="19"/>
  <c r="AD253" i="19" s="1"/>
  <c r="DK253" i="19" s="1"/>
  <c r="U308" i="19"/>
  <c r="X276" i="19"/>
  <c r="R29" i="19"/>
  <c r="Q228" i="19"/>
  <c r="Q229" i="19"/>
  <c r="R276" i="19"/>
  <c r="W45" i="19"/>
  <c r="P165" i="19"/>
  <c r="AK165" i="19" s="1"/>
  <c r="DP165" i="19" s="1"/>
  <c r="Y317" i="19"/>
  <c r="V101" i="19"/>
  <c r="V100" i="19"/>
  <c r="Z36" i="19"/>
  <c r="X261" i="19"/>
  <c r="X260" i="19"/>
  <c r="S149" i="19"/>
  <c r="V276" i="19"/>
  <c r="V277" i="19"/>
  <c r="V109" i="19"/>
  <c r="Z21" i="19"/>
  <c r="Z20" i="19"/>
  <c r="U61" i="19"/>
  <c r="P261" i="19"/>
  <c r="AK261" i="19" s="1"/>
  <c r="DP261" i="19" s="1"/>
  <c r="P260" i="19"/>
  <c r="AK260" i="19" s="1"/>
  <c r="DP260" i="19" s="1"/>
  <c r="Q37" i="19"/>
  <c r="V157" i="19"/>
  <c r="Q28" i="19"/>
  <c r="O189" i="19"/>
  <c r="AD189" i="19" s="1"/>
  <c r="DK189" i="19" s="1"/>
  <c r="O133" i="19"/>
  <c r="AD133" i="19" s="1"/>
  <c r="DK133" i="19" s="1"/>
  <c r="W68" i="19"/>
  <c r="W69" i="19"/>
  <c r="Q197" i="19"/>
  <c r="Q196" i="19"/>
  <c r="T85" i="19"/>
  <c r="T84" i="19"/>
  <c r="Y149" i="19"/>
  <c r="O244" i="19"/>
  <c r="AD244" i="19" s="1"/>
  <c r="DK244" i="19" s="1"/>
  <c r="X109" i="19"/>
  <c r="Y205" i="19"/>
  <c r="V301" i="19"/>
  <c r="O93" i="19"/>
  <c r="AD93" i="19" s="1"/>
  <c r="DK93" i="19" s="1"/>
  <c r="Z285" i="19"/>
  <c r="X69" i="19"/>
  <c r="X68" i="19"/>
  <c r="U125" i="19"/>
  <c r="Q284" i="19"/>
  <c r="Q252" i="19"/>
  <c r="Z236" i="19"/>
  <c r="Q220" i="19"/>
  <c r="U204" i="19"/>
  <c r="Q188" i="19"/>
  <c r="Q156" i="19"/>
  <c r="Q124" i="19"/>
  <c r="Z76" i="19"/>
  <c r="S60" i="19"/>
  <c r="O44" i="19"/>
  <c r="AD44" i="19" s="1"/>
  <c r="DK44" i="19" s="1"/>
  <c r="Q44" i="19"/>
  <c r="T196" i="19"/>
  <c r="S148" i="19"/>
  <c r="V317" i="19"/>
  <c r="S285" i="19"/>
  <c r="Z237" i="19"/>
  <c r="S261" i="19"/>
  <c r="S229" i="19"/>
  <c r="Z69" i="19"/>
  <c r="O37" i="19"/>
  <c r="AD37" i="19" s="1"/>
  <c r="DK37" i="19" s="1"/>
  <c r="O212" i="19"/>
  <c r="AD212" i="19" s="1"/>
  <c r="DK212" i="19" s="1"/>
  <c r="V68" i="19"/>
  <c r="Q61" i="19"/>
  <c r="Y221" i="19"/>
  <c r="R21" i="19"/>
  <c r="R20" i="19"/>
  <c r="W221" i="19"/>
  <c r="T260" i="19"/>
  <c r="T261" i="19"/>
  <c r="P292" i="19"/>
  <c r="AK292" i="19" s="1"/>
  <c r="DP292" i="19" s="1"/>
  <c r="P293" i="19"/>
  <c r="AK293" i="19" s="1"/>
  <c r="DP293" i="19" s="1"/>
  <c r="V189" i="19"/>
  <c r="W181" i="19"/>
  <c r="W180" i="19"/>
  <c r="S269" i="19"/>
  <c r="W125" i="19"/>
  <c r="R61" i="19"/>
  <c r="Q93" i="19"/>
  <c r="Y132" i="19"/>
  <c r="U69" i="19"/>
  <c r="U68" i="19"/>
  <c r="X325" i="19"/>
  <c r="X324" i="19"/>
  <c r="U149" i="19"/>
  <c r="U148" i="19"/>
  <c r="Y277" i="19"/>
  <c r="R109" i="19"/>
  <c r="S253" i="19"/>
  <c r="Z325" i="19"/>
  <c r="Z324" i="19"/>
  <c r="Y36" i="19"/>
  <c r="Y37" i="19"/>
  <c r="U157" i="19"/>
  <c r="Q317" i="19"/>
  <c r="U29" i="19"/>
  <c r="Y125" i="19"/>
  <c r="P189" i="19"/>
  <c r="AK189" i="19" s="1"/>
  <c r="DP189" i="19" s="1"/>
  <c r="R229" i="19"/>
  <c r="U260" i="19"/>
  <c r="V180" i="19"/>
  <c r="V181" i="19"/>
  <c r="T245" i="19"/>
  <c r="T244" i="19"/>
  <c r="Q205" i="19"/>
  <c r="Y301" i="19"/>
  <c r="S125" i="19"/>
  <c r="O285" i="19"/>
  <c r="AD285" i="19" s="1"/>
  <c r="DK285" i="19" s="1"/>
  <c r="W228" i="19"/>
  <c r="W229" i="19"/>
  <c r="O68" i="19"/>
  <c r="Y316" i="19"/>
  <c r="U300" i="19"/>
  <c r="O300" i="19"/>
  <c r="AD300" i="19" s="1"/>
  <c r="DK300" i="19" s="1"/>
  <c r="Y284" i="19"/>
  <c r="T268" i="19"/>
  <c r="O268" i="19"/>
  <c r="AD268" i="19" s="1"/>
  <c r="DK268" i="19" s="1"/>
  <c r="Y252" i="19"/>
  <c r="T236" i="19"/>
  <c r="Y220" i="19"/>
  <c r="Y188" i="19"/>
  <c r="O172" i="19"/>
  <c r="AD172" i="19" s="1"/>
  <c r="DK172" i="19" s="1"/>
  <c r="Y156" i="19"/>
  <c r="T140" i="19"/>
  <c r="O140" i="19"/>
  <c r="AD140" i="19" s="1"/>
  <c r="DK140" i="19" s="1"/>
  <c r="Y124" i="19"/>
  <c r="Y92" i="19"/>
  <c r="T76" i="19"/>
  <c r="O76" i="19"/>
  <c r="AC76" i="19" s="1"/>
  <c r="DJ76" i="19" s="1"/>
  <c r="W44" i="19"/>
  <c r="Y44" i="19"/>
  <c r="U28" i="19"/>
  <c r="U196" i="19"/>
  <c r="W148" i="19"/>
  <c r="S189" i="19"/>
  <c r="Y197" i="19"/>
  <c r="U165" i="19"/>
  <c r="O117" i="19"/>
  <c r="AD117" i="19" s="1"/>
  <c r="DK117" i="19" s="1"/>
  <c r="O85" i="19"/>
  <c r="AD85" i="19" s="1"/>
  <c r="DK85" i="19" s="1"/>
  <c r="Z37" i="19"/>
  <c r="U100" i="19"/>
  <c r="U301" i="19"/>
  <c r="V29" i="19"/>
  <c r="DJ27" i="30"/>
  <c r="DJ39" i="30"/>
  <c r="W26" i="19"/>
  <c r="CH26" i="19" s="1"/>
  <c r="EY26" i="19" s="1"/>
  <c r="W25" i="19"/>
  <c r="W27" i="19"/>
  <c r="CH27" i="19" s="1"/>
  <c r="EY27" i="19" s="1"/>
  <c r="P25" i="19"/>
  <c r="AK25" i="19" s="1"/>
  <c r="DP25" i="19" s="1"/>
  <c r="P26" i="19"/>
  <c r="AL26" i="19" s="1"/>
  <c r="DQ26" i="19" s="1"/>
  <c r="P27" i="19"/>
  <c r="AL27" i="19" s="1"/>
  <c r="DQ27" i="19" s="1"/>
  <c r="R26" i="19"/>
  <c r="R25" i="19"/>
  <c r="AY25" i="19" s="1"/>
  <c r="DZ25" i="19" s="1"/>
  <c r="R27" i="19"/>
  <c r="AY27" i="19" s="1"/>
  <c r="DZ27" i="19" s="1"/>
  <c r="S26" i="19"/>
  <c r="BF26" i="19" s="1"/>
  <c r="EE26" i="19" s="1"/>
  <c r="S25" i="19"/>
  <c r="BF25" i="19" s="1"/>
  <c r="EE25" i="19" s="1"/>
  <c r="S27" i="19"/>
  <c r="T34" i="19"/>
  <c r="T33" i="19"/>
  <c r="T35" i="19"/>
  <c r="Z26" i="19"/>
  <c r="DC26" i="19" s="1"/>
  <c r="FN26" i="19" s="1"/>
  <c r="Z25" i="19"/>
  <c r="Z27" i="19"/>
  <c r="DC27" i="19" s="1"/>
  <c r="FN27" i="19" s="1"/>
  <c r="S34" i="19"/>
  <c r="S33" i="19"/>
  <c r="S35" i="19"/>
  <c r="V33" i="19"/>
  <c r="V34" i="19"/>
  <c r="V35" i="19"/>
  <c r="Z33" i="19"/>
  <c r="Z34" i="19"/>
  <c r="Z35" i="19"/>
  <c r="Q34" i="19"/>
  <c r="Q33" i="19"/>
  <c r="Q35" i="19"/>
  <c r="Q26" i="19"/>
  <c r="AR26" i="19" s="1"/>
  <c r="DU26" i="19" s="1"/>
  <c r="Q25" i="19"/>
  <c r="Q27" i="19"/>
  <c r="AR27" i="19" s="1"/>
  <c r="DU27" i="19" s="1"/>
  <c r="R33" i="19"/>
  <c r="R34" i="19"/>
  <c r="R35" i="19"/>
  <c r="W34" i="19"/>
  <c r="W33" i="19"/>
  <c r="W35" i="19"/>
  <c r="T25" i="19"/>
  <c r="T26" i="19"/>
  <c r="BM26" i="19" s="1"/>
  <c r="EJ26" i="19" s="1"/>
  <c r="T27" i="19"/>
  <c r="BM27" i="19" s="1"/>
  <c r="EJ27" i="19" s="1"/>
  <c r="Y26" i="19"/>
  <c r="CV26" i="19" s="1"/>
  <c r="FI26" i="19" s="1"/>
  <c r="Y25" i="19"/>
  <c r="CV25" i="19" s="1"/>
  <c r="FI25" i="19" s="1"/>
  <c r="Y27" i="19"/>
  <c r="Y34" i="19"/>
  <c r="Y33" i="19"/>
  <c r="Y35" i="19"/>
  <c r="U26" i="19"/>
  <c r="U25" i="19"/>
  <c r="BT25" i="19" s="1"/>
  <c r="EO25" i="19" s="1"/>
  <c r="U27" i="19"/>
  <c r="BT27" i="19" s="1"/>
  <c r="EO27" i="19" s="1"/>
  <c r="V26" i="19"/>
  <c r="CA26" i="19" s="1"/>
  <c r="ET26" i="19" s="1"/>
  <c r="V25" i="19"/>
  <c r="CA25" i="19" s="1"/>
  <c r="ET25" i="19" s="1"/>
  <c r="V27" i="19"/>
  <c r="O25" i="19"/>
  <c r="O26" i="19"/>
  <c r="O27" i="19"/>
  <c r="O33" i="19"/>
  <c r="AC33" i="19" s="1"/>
  <c r="O34" i="19"/>
  <c r="AC34" i="19" s="1"/>
  <c r="DJ34" i="19" s="1"/>
  <c r="O35" i="19"/>
  <c r="AC35" i="19" s="1"/>
  <c r="DJ35" i="19" s="1"/>
  <c r="Z18" i="19"/>
  <c r="Z19" i="19"/>
  <c r="V18" i="19"/>
  <c r="V19" i="19"/>
  <c r="Q18" i="19"/>
  <c r="Q19" i="19"/>
  <c r="DK11" i="30"/>
  <c r="O18" i="19"/>
  <c r="O19" i="19"/>
  <c r="R18" i="19"/>
  <c r="R19" i="19"/>
  <c r="U18" i="19"/>
  <c r="U19" i="19"/>
  <c r="S18" i="19"/>
  <c r="S19" i="19"/>
  <c r="Y18" i="19"/>
  <c r="Y19" i="19"/>
  <c r="DK7" i="30"/>
  <c r="DL7" i="30"/>
  <c r="DK123" i="30"/>
  <c r="DK71" i="30"/>
  <c r="DJ31" i="30"/>
  <c r="DK79" i="30"/>
  <c r="DK27" i="30"/>
  <c r="DI55" i="30"/>
  <c r="DK23" i="30"/>
  <c r="DJ47" i="30"/>
  <c r="R9" i="19"/>
  <c r="U185" i="19"/>
  <c r="BT185" i="19" s="1"/>
  <c r="EO185" i="19" s="1"/>
  <c r="U186" i="19"/>
  <c r="BT186" i="19" s="1"/>
  <c r="U187" i="19"/>
  <c r="Q162" i="19"/>
  <c r="Q163" i="19"/>
  <c r="Q161" i="19"/>
  <c r="U81" i="19"/>
  <c r="BT81" i="19" s="1"/>
  <c r="EO81" i="19" s="1"/>
  <c r="U82" i="19"/>
  <c r="BT82" i="19" s="1"/>
  <c r="U83" i="19"/>
  <c r="V273" i="19"/>
  <c r="V274" i="19"/>
  <c r="V275" i="19"/>
  <c r="P41" i="19"/>
  <c r="AJ41" i="19" s="1"/>
  <c r="DO41" i="19" s="1"/>
  <c r="P42" i="19"/>
  <c r="AJ42" i="19" s="1"/>
  <c r="DO42" i="19" s="1"/>
  <c r="P43" i="19"/>
  <c r="AJ43" i="19" s="1"/>
  <c r="U201" i="19"/>
  <c r="U202" i="19"/>
  <c r="U203" i="19"/>
  <c r="Q122" i="19"/>
  <c r="Q121" i="19"/>
  <c r="Q123" i="19"/>
  <c r="W129" i="19"/>
  <c r="W130" i="19"/>
  <c r="CH130" i="19" s="1"/>
  <c r="EY130" i="19" s="1"/>
  <c r="W131" i="19"/>
  <c r="CH131" i="19" s="1"/>
  <c r="T186" i="19"/>
  <c r="T185" i="19"/>
  <c r="BM185" i="19" s="1"/>
  <c r="T187" i="19"/>
  <c r="BM187" i="19" s="1"/>
  <c r="EJ187" i="19" s="1"/>
  <c r="U90" i="19"/>
  <c r="U89" i="19"/>
  <c r="BT89" i="19" s="1"/>
  <c r="U91" i="19"/>
  <c r="BT91" i="19" s="1"/>
  <c r="EO91" i="19" s="1"/>
  <c r="O187" i="19"/>
  <c r="O186" i="19"/>
  <c r="AD186" i="19" s="1"/>
  <c r="DK186" i="19" s="1"/>
  <c r="O185" i="19"/>
  <c r="AD185" i="19" s="1"/>
  <c r="DK185" i="19" s="1"/>
  <c r="S314" i="19"/>
  <c r="BF314" i="19" s="1"/>
  <c r="S315" i="19"/>
  <c r="S313" i="19"/>
  <c r="BF313" i="19" s="1"/>
  <c r="EE313" i="19" s="1"/>
  <c r="S98" i="19"/>
  <c r="S99" i="19"/>
  <c r="S97" i="19"/>
  <c r="Q194" i="19"/>
  <c r="Q193" i="19"/>
  <c r="Q195" i="19"/>
  <c r="T82" i="19"/>
  <c r="T81" i="19"/>
  <c r="BM81" i="19" s="1"/>
  <c r="T83" i="19"/>
  <c r="BM83" i="19" s="1"/>
  <c r="EJ83" i="19" s="1"/>
  <c r="V210" i="19"/>
  <c r="V209" i="19"/>
  <c r="V211" i="19"/>
  <c r="P273" i="19"/>
  <c r="AJ273" i="19" s="1"/>
  <c r="DO273" i="19" s="1"/>
  <c r="P274" i="19"/>
  <c r="AJ274" i="19" s="1"/>
  <c r="DO274" i="19" s="1"/>
  <c r="P275" i="19"/>
  <c r="AJ275" i="19" s="1"/>
  <c r="O138" i="19"/>
  <c r="AD138" i="19" s="1"/>
  <c r="DK138" i="19" s="1"/>
  <c r="O139" i="19"/>
  <c r="AC139" i="19" s="1"/>
  <c r="DJ139" i="19" s="1"/>
  <c r="O137" i="19"/>
  <c r="T234" i="19"/>
  <c r="BM234" i="19" s="1"/>
  <c r="EJ234" i="19" s="1"/>
  <c r="T233" i="19"/>
  <c r="BM233" i="19" s="1"/>
  <c r="T235" i="19"/>
  <c r="Q138" i="19"/>
  <c r="Q137" i="19"/>
  <c r="Q139" i="19"/>
  <c r="Q42" i="19"/>
  <c r="Q41" i="19"/>
  <c r="Q43" i="19"/>
  <c r="S58" i="19"/>
  <c r="BF58" i="19" s="1"/>
  <c r="S59" i="19"/>
  <c r="S57" i="19"/>
  <c r="BF57" i="19" s="1"/>
  <c r="EE57" i="19" s="1"/>
  <c r="P217" i="19"/>
  <c r="AJ217" i="19" s="1"/>
  <c r="DO217" i="19" s="1"/>
  <c r="P218" i="19"/>
  <c r="AJ218" i="19" s="1"/>
  <c r="DO218" i="19" s="1"/>
  <c r="P219" i="19"/>
  <c r="AJ219" i="19" s="1"/>
  <c r="P313" i="19"/>
  <c r="P314" i="19"/>
  <c r="AL314" i="19" s="1"/>
  <c r="DQ314" i="19" s="1"/>
  <c r="P315" i="19"/>
  <c r="AK315" i="19" s="1"/>
  <c r="DP315" i="19" s="1"/>
  <c r="U129" i="19"/>
  <c r="BT129" i="19" s="1"/>
  <c r="U130" i="19"/>
  <c r="U131" i="19"/>
  <c r="BT131" i="19" s="1"/>
  <c r="EO131" i="19" s="1"/>
  <c r="Q258" i="19"/>
  <c r="Q257" i="19"/>
  <c r="Q259" i="19"/>
  <c r="S187" i="19"/>
  <c r="BF187" i="19" s="1"/>
  <c r="S186" i="19"/>
  <c r="BF186" i="19" s="1"/>
  <c r="EE186" i="19" s="1"/>
  <c r="S185" i="19"/>
  <c r="R58" i="19"/>
  <c r="R57" i="19"/>
  <c r="AY57" i="19" s="1"/>
  <c r="R59" i="19"/>
  <c r="AY59" i="19" s="1"/>
  <c r="DZ59" i="19" s="1"/>
  <c r="R121" i="19"/>
  <c r="R122" i="19"/>
  <c r="R123" i="19"/>
  <c r="X186" i="19"/>
  <c r="CO186" i="19" s="1"/>
  <c r="X185" i="19"/>
  <c r="CO185" i="19" s="1"/>
  <c r="FD185" i="19" s="1"/>
  <c r="X187" i="19"/>
  <c r="P249" i="19"/>
  <c r="AL249" i="19" s="1"/>
  <c r="DQ249" i="19" s="1"/>
  <c r="P250" i="19"/>
  <c r="AL250" i="19" s="1"/>
  <c r="DQ250" i="19" s="1"/>
  <c r="P251" i="19"/>
  <c r="AL251" i="19" s="1"/>
  <c r="DQ251" i="19" s="1"/>
  <c r="O315" i="19"/>
  <c r="AD315" i="19" s="1"/>
  <c r="DK315" i="19" s="1"/>
  <c r="O313" i="19"/>
  <c r="O314" i="19"/>
  <c r="AD314" i="19" s="1"/>
  <c r="DK314" i="19" s="1"/>
  <c r="Z97" i="19"/>
  <c r="Z98" i="19"/>
  <c r="Z99" i="19"/>
  <c r="X225" i="19"/>
  <c r="X226" i="19"/>
  <c r="X227" i="19"/>
  <c r="W162" i="19"/>
  <c r="W161" i="19"/>
  <c r="W163" i="19"/>
  <c r="S257" i="19"/>
  <c r="S259" i="19"/>
  <c r="S258" i="19"/>
  <c r="S50" i="19"/>
  <c r="S51" i="19"/>
  <c r="BF51" i="19" s="1"/>
  <c r="EE51" i="19" s="1"/>
  <c r="S49" i="19"/>
  <c r="BF49" i="19" s="1"/>
  <c r="Y114" i="19"/>
  <c r="CV114" i="19" s="1"/>
  <c r="Y113" i="19"/>
  <c r="CV113" i="19" s="1"/>
  <c r="FI113" i="19" s="1"/>
  <c r="Y115" i="19"/>
  <c r="W178" i="19"/>
  <c r="W177" i="19"/>
  <c r="W179" i="19"/>
  <c r="Q242" i="19"/>
  <c r="Q241" i="19"/>
  <c r="Q243" i="19"/>
  <c r="U305" i="19"/>
  <c r="U306" i="19"/>
  <c r="U307" i="19"/>
  <c r="W210" i="19"/>
  <c r="W211" i="19"/>
  <c r="W209" i="19"/>
  <c r="W74" i="19"/>
  <c r="W75" i="19"/>
  <c r="CH75" i="19" s="1"/>
  <c r="EY75" i="19" s="1"/>
  <c r="W73" i="19"/>
  <c r="CH73" i="19" s="1"/>
  <c r="W137" i="19"/>
  <c r="W138" i="19"/>
  <c r="CH138" i="19" s="1"/>
  <c r="EY138" i="19" s="1"/>
  <c r="W139" i="19"/>
  <c r="CH139" i="19" s="1"/>
  <c r="X202" i="19"/>
  <c r="X201" i="19"/>
  <c r="X203" i="19"/>
  <c r="S265" i="19"/>
  <c r="S267" i="19"/>
  <c r="S266" i="19"/>
  <c r="X121" i="19"/>
  <c r="CO121" i="19" s="1"/>
  <c r="X122" i="19"/>
  <c r="X123" i="19"/>
  <c r="CO123" i="19" s="1"/>
  <c r="FD123" i="19" s="1"/>
  <c r="Y186" i="19"/>
  <c r="CV186" i="19" s="1"/>
  <c r="FI186" i="19" s="1"/>
  <c r="Y185" i="19"/>
  <c r="Y187" i="19"/>
  <c r="CV187" i="19" s="1"/>
  <c r="P282" i="19"/>
  <c r="AK282" i="19" s="1"/>
  <c r="DP282" i="19" s="1"/>
  <c r="P281" i="19"/>
  <c r="AK281" i="19" s="1"/>
  <c r="P283" i="19"/>
  <c r="AK283" i="19" s="1"/>
  <c r="DP283" i="19" s="1"/>
  <c r="X289" i="19"/>
  <c r="CO289" i="19" s="1"/>
  <c r="X290" i="19"/>
  <c r="X291" i="19"/>
  <c r="CO291" i="19" s="1"/>
  <c r="FD291" i="19" s="1"/>
  <c r="Z194" i="19"/>
  <c r="Z193" i="19"/>
  <c r="Z195" i="19"/>
  <c r="P321" i="19"/>
  <c r="P322" i="19"/>
  <c r="AL322" i="19" s="1"/>
  <c r="DQ322" i="19" s="1"/>
  <c r="P323" i="19"/>
  <c r="AK323" i="19" s="1"/>
  <c r="DP323" i="19" s="1"/>
  <c r="T89" i="19"/>
  <c r="T90" i="19"/>
  <c r="BM90" i="19" s="1"/>
  <c r="EJ90" i="19" s="1"/>
  <c r="T91" i="19"/>
  <c r="BM91" i="19" s="1"/>
  <c r="U154" i="19"/>
  <c r="U153" i="19"/>
  <c r="U155" i="19"/>
  <c r="X249" i="19"/>
  <c r="CO249" i="19" s="1"/>
  <c r="FD249" i="19" s="1"/>
  <c r="X250" i="19"/>
  <c r="CO250" i="19" s="1"/>
  <c r="X251" i="19"/>
  <c r="Q314" i="19"/>
  <c r="AR314" i="19" s="1"/>
  <c r="DU314" i="19" s="1"/>
  <c r="Q313" i="19"/>
  <c r="Q315" i="19"/>
  <c r="AS315" i="19" s="1"/>
  <c r="DV315" i="19" s="1"/>
  <c r="Y306" i="19"/>
  <c r="Y305" i="19"/>
  <c r="Y307" i="19"/>
  <c r="Y57" i="19"/>
  <c r="CV57" i="19" s="1"/>
  <c r="FI57" i="19" s="1"/>
  <c r="Y58" i="19"/>
  <c r="CV58" i="19" s="1"/>
  <c r="Y59" i="19"/>
  <c r="V90" i="19"/>
  <c r="CA90" i="19" s="1"/>
  <c r="V89" i="19"/>
  <c r="CA89" i="19" s="1"/>
  <c r="ET89" i="19" s="1"/>
  <c r="V91" i="19"/>
  <c r="O121" i="19"/>
  <c r="O122" i="19"/>
  <c r="AD122" i="19" s="1"/>
  <c r="DK122" i="19" s="1"/>
  <c r="O123" i="19"/>
  <c r="AC123" i="19" s="1"/>
  <c r="DJ123" i="19" s="1"/>
  <c r="W186" i="19"/>
  <c r="W187" i="19"/>
  <c r="CH187" i="19" s="1"/>
  <c r="EY187" i="19" s="1"/>
  <c r="W185" i="19"/>
  <c r="CH185" i="19" s="1"/>
  <c r="X217" i="19"/>
  <c r="X218" i="19"/>
  <c r="X219" i="19"/>
  <c r="T250" i="19"/>
  <c r="T249" i="19"/>
  <c r="BM249" i="19" s="1"/>
  <c r="T251" i="19"/>
  <c r="BM251" i="19" s="1"/>
  <c r="EJ251" i="19" s="1"/>
  <c r="U313" i="19"/>
  <c r="BT313" i="19" s="1"/>
  <c r="U314" i="19"/>
  <c r="U315" i="19"/>
  <c r="BT315" i="19" s="1"/>
  <c r="EO315" i="19" s="1"/>
  <c r="P97" i="19"/>
  <c r="AJ97" i="19" s="1"/>
  <c r="DO97" i="19" s="1"/>
  <c r="P98" i="19"/>
  <c r="AJ98" i="19" s="1"/>
  <c r="DO98" i="19" s="1"/>
  <c r="P99" i="19"/>
  <c r="AJ99" i="19" s="1"/>
  <c r="S130" i="19"/>
  <c r="BF130" i="19" s="1"/>
  <c r="S131" i="19"/>
  <c r="S129" i="19"/>
  <c r="BF129" i="19" s="1"/>
  <c r="EE129" i="19" s="1"/>
  <c r="S225" i="19"/>
  <c r="S227" i="19"/>
  <c r="S226" i="19"/>
  <c r="U162" i="19"/>
  <c r="U161" i="19"/>
  <c r="U163" i="19"/>
  <c r="T194" i="19"/>
  <c r="T193" i="19"/>
  <c r="T195" i="19"/>
  <c r="W259" i="19"/>
  <c r="W258" i="19"/>
  <c r="W257" i="19"/>
  <c r="R49" i="19"/>
  <c r="R50" i="19"/>
  <c r="AY50" i="19" s="1"/>
  <c r="DZ50" i="19" s="1"/>
  <c r="R51" i="19"/>
  <c r="AY51" i="19" s="1"/>
  <c r="T114" i="19"/>
  <c r="BM114" i="19" s="1"/>
  <c r="EJ114" i="19" s="1"/>
  <c r="T113" i="19"/>
  <c r="T115" i="19"/>
  <c r="BM115" i="19" s="1"/>
  <c r="W145" i="19"/>
  <c r="CH145" i="19" s="1"/>
  <c r="W147" i="19"/>
  <c r="CH147" i="19" s="1"/>
  <c r="EY147" i="19" s="1"/>
  <c r="W146" i="19"/>
  <c r="O178" i="19"/>
  <c r="O179" i="19"/>
  <c r="O177" i="19"/>
  <c r="R241" i="19"/>
  <c r="AY241" i="19" s="1"/>
  <c r="R242" i="19"/>
  <c r="R243" i="19"/>
  <c r="AY243" i="19" s="1"/>
  <c r="DZ243" i="19" s="1"/>
  <c r="S273" i="19"/>
  <c r="S275" i="19"/>
  <c r="S274" i="19"/>
  <c r="S74" i="19"/>
  <c r="BF74" i="19" s="1"/>
  <c r="EE74" i="19" s="1"/>
  <c r="S75" i="19"/>
  <c r="BF75" i="19" s="1"/>
  <c r="S73" i="19"/>
  <c r="V137" i="19"/>
  <c r="CA137" i="19" s="1"/>
  <c r="ET137" i="19" s="1"/>
  <c r="V138" i="19"/>
  <c r="CA138" i="19" s="1"/>
  <c r="V139" i="19"/>
  <c r="W170" i="19"/>
  <c r="W169" i="19"/>
  <c r="CH169" i="19" s="1"/>
  <c r="W171" i="19"/>
  <c r="CH171" i="19" s="1"/>
  <c r="EY171" i="19" s="1"/>
  <c r="Z233" i="19"/>
  <c r="DC233" i="19" s="1"/>
  <c r="Z234" i="19"/>
  <c r="DC234" i="19" s="1"/>
  <c r="FN234" i="19" s="1"/>
  <c r="Z235" i="19"/>
  <c r="W266" i="19"/>
  <c r="W265" i="19"/>
  <c r="W267" i="19"/>
  <c r="U297" i="19"/>
  <c r="BT297" i="19" s="1"/>
  <c r="EO297" i="19" s="1"/>
  <c r="U298" i="19"/>
  <c r="BT298" i="19" s="1"/>
  <c r="U299" i="19"/>
  <c r="Y43" i="19"/>
  <c r="Y42" i="19"/>
  <c r="Y41" i="19"/>
  <c r="O74" i="19"/>
  <c r="AC74" i="19" s="1"/>
  <c r="DJ74" i="19" s="1"/>
  <c r="O73" i="19"/>
  <c r="AC73" i="19" s="1"/>
  <c r="O75" i="19"/>
  <c r="AC75" i="19" s="1"/>
  <c r="DJ75" i="19" s="1"/>
  <c r="Z42" i="19"/>
  <c r="Z43" i="19"/>
  <c r="Z41" i="19"/>
  <c r="W9" i="19"/>
  <c r="S122" i="19"/>
  <c r="BF122" i="19" s="1"/>
  <c r="S123" i="19"/>
  <c r="S121" i="19"/>
  <c r="BF121" i="19" s="1"/>
  <c r="EE121" i="19" s="1"/>
  <c r="Z217" i="19"/>
  <c r="Z218" i="19"/>
  <c r="Z219" i="19"/>
  <c r="O282" i="19"/>
  <c r="AD282" i="19" s="1"/>
  <c r="DK282" i="19" s="1"/>
  <c r="O281" i="19"/>
  <c r="AD281" i="19" s="1"/>
  <c r="O283" i="19"/>
  <c r="AD283" i="19" s="1"/>
  <c r="DK283" i="19" s="1"/>
  <c r="Y98" i="19"/>
  <c r="Y97" i="19"/>
  <c r="Y99" i="19"/>
  <c r="W227" i="19"/>
  <c r="W226" i="19"/>
  <c r="W225" i="19"/>
  <c r="O66" i="19"/>
  <c r="O65" i="19"/>
  <c r="O67" i="19"/>
  <c r="AE67" i="19" s="1"/>
  <c r="DL67" i="19" s="1"/>
  <c r="Z257" i="19"/>
  <c r="Z258" i="19"/>
  <c r="Z259" i="19"/>
  <c r="W90" i="19"/>
  <c r="CH90" i="19" s="1"/>
  <c r="EY90" i="19" s="1"/>
  <c r="W89" i="19"/>
  <c r="W91" i="19"/>
  <c r="CH91" i="19" s="1"/>
  <c r="V186" i="19"/>
  <c r="CA186" i="19" s="1"/>
  <c r="ET186" i="19" s="1"/>
  <c r="V185" i="19"/>
  <c r="V187" i="19"/>
  <c r="CA187" i="19" s="1"/>
  <c r="V282" i="19"/>
  <c r="CA282" i="19" s="1"/>
  <c r="V281" i="19"/>
  <c r="CA281" i="19" s="1"/>
  <c r="ET281" i="19" s="1"/>
  <c r="V283" i="19"/>
  <c r="W122" i="19"/>
  <c r="CH122" i="19" s="1"/>
  <c r="EY122" i="19" s="1"/>
  <c r="W123" i="19"/>
  <c r="CH123" i="19" s="1"/>
  <c r="W121" i="19"/>
  <c r="O249" i="19"/>
  <c r="AC249" i="19" s="1"/>
  <c r="O251" i="19"/>
  <c r="AC251" i="19" s="1"/>
  <c r="DJ251" i="19" s="1"/>
  <c r="O250" i="19"/>
  <c r="AC250" i="19" s="1"/>
  <c r="DJ250" i="19" s="1"/>
  <c r="Y225" i="19"/>
  <c r="Y226" i="19"/>
  <c r="Y227" i="19"/>
  <c r="X257" i="19"/>
  <c r="X258" i="19"/>
  <c r="X259" i="19"/>
  <c r="S146" i="19"/>
  <c r="BF146" i="19" s="1"/>
  <c r="EE146" i="19" s="1"/>
  <c r="S145" i="19"/>
  <c r="S147" i="19"/>
  <c r="BF147" i="19" s="1"/>
  <c r="P305" i="19"/>
  <c r="AJ305" i="19" s="1"/>
  <c r="DO305" i="19" s="1"/>
  <c r="P306" i="19"/>
  <c r="AJ306" i="19" s="1"/>
  <c r="DO306" i="19" s="1"/>
  <c r="P307" i="19"/>
  <c r="AJ307" i="19" s="1"/>
  <c r="V106" i="19"/>
  <c r="CA106" i="19" s="1"/>
  <c r="V105" i="19"/>
  <c r="CA105" i="19" s="1"/>
  <c r="ET105" i="19" s="1"/>
  <c r="V107" i="19"/>
  <c r="X57" i="19"/>
  <c r="CO57" i="19" s="1"/>
  <c r="X58" i="19"/>
  <c r="X59" i="19"/>
  <c r="CO59" i="19" s="1"/>
  <c r="FD59" i="19" s="1"/>
  <c r="Z313" i="19"/>
  <c r="Z314" i="19"/>
  <c r="DC314" i="19" s="1"/>
  <c r="FN314" i="19" s="1"/>
  <c r="Z315" i="19"/>
  <c r="DC315" i="19" s="1"/>
  <c r="R89" i="19"/>
  <c r="AY89" i="19" s="1"/>
  <c r="R90" i="19"/>
  <c r="R91" i="19"/>
  <c r="AY91" i="19" s="1"/>
  <c r="DZ91" i="19" s="1"/>
  <c r="S219" i="19"/>
  <c r="S217" i="19"/>
  <c r="S218" i="19"/>
  <c r="O130" i="19"/>
  <c r="AD130" i="19" s="1"/>
  <c r="DK130" i="19" s="1"/>
  <c r="O131" i="19"/>
  <c r="AC131" i="19" s="1"/>
  <c r="DJ131" i="19" s="1"/>
  <c r="O129" i="19"/>
  <c r="X161" i="19"/>
  <c r="X162" i="19"/>
  <c r="X163" i="19"/>
  <c r="S9" i="19"/>
  <c r="BF9" i="19" s="1"/>
  <c r="EE9" i="19" s="1"/>
  <c r="Y145" i="19"/>
  <c r="Y146" i="19"/>
  <c r="CV146" i="19" s="1"/>
  <c r="FI146" i="19" s="1"/>
  <c r="Y147" i="19"/>
  <c r="CV147" i="19" s="1"/>
  <c r="X105" i="19"/>
  <c r="CO105" i="19" s="1"/>
  <c r="X106" i="19"/>
  <c r="X107" i="19"/>
  <c r="CO107" i="19" s="1"/>
  <c r="FD107" i="19" s="1"/>
  <c r="Q90" i="19"/>
  <c r="Q89" i="19"/>
  <c r="Q91" i="19"/>
  <c r="AS91" i="19" s="1"/>
  <c r="DV91" i="19" s="1"/>
  <c r="S153" i="19"/>
  <c r="S155" i="19"/>
  <c r="S154" i="19"/>
  <c r="O218" i="19"/>
  <c r="O219" i="19"/>
  <c r="O217" i="19"/>
  <c r="S282" i="19"/>
  <c r="BF282" i="19" s="1"/>
  <c r="S281" i="19"/>
  <c r="BF281" i="19" s="1"/>
  <c r="EE281" i="19" s="1"/>
  <c r="S283" i="19"/>
  <c r="Y130" i="19"/>
  <c r="CV130" i="19" s="1"/>
  <c r="Y129" i="19"/>
  <c r="CV129" i="19" s="1"/>
  <c r="FI129" i="19" s="1"/>
  <c r="Y131" i="19"/>
  <c r="O289" i="19"/>
  <c r="AD289" i="19" s="1"/>
  <c r="O290" i="19"/>
  <c r="AD290" i="19" s="1"/>
  <c r="DK290" i="19" s="1"/>
  <c r="O291" i="19"/>
  <c r="AD291" i="19" s="1"/>
  <c r="DK291" i="19" s="1"/>
  <c r="U65" i="19"/>
  <c r="BT65" i="19" s="1"/>
  <c r="U66" i="19"/>
  <c r="U67" i="19"/>
  <c r="BT67" i="19" s="1"/>
  <c r="EO67" i="19" s="1"/>
  <c r="O193" i="19"/>
  <c r="O195" i="19"/>
  <c r="O194" i="19"/>
  <c r="X322" i="19"/>
  <c r="X321" i="19"/>
  <c r="CO321" i="19" s="1"/>
  <c r="X323" i="19"/>
  <c r="CO323" i="19" s="1"/>
  <c r="FD323" i="19" s="1"/>
  <c r="X9" i="19"/>
  <c r="Q82" i="19"/>
  <c r="Q81" i="19"/>
  <c r="AS81" i="19" s="1"/>
  <c r="DV81" i="19" s="1"/>
  <c r="Q83" i="19"/>
  <c r="AR83" i="19" s="1"/>
  <c r="DU83" i="19" s="1"/>
  <c r="U145" i="19"/>
  <c r="BT145" i="19" s="1"/>
  <c r="EO145" i="19" s="1"/>
  <c r="U146" i="19"/>
  <c r="BT146" i="19" s="1"/>
  <c r="U147" i="19"/>
  <c r="O209" i="19"/>
  <c r="AD209" i="19" s="1"/>
  <c r="O210" i="19"/>
  <c r="AD210" i="19" s="1"/>
  <c r="DK210" i="19" s="1"/>
  <c r="O211" i="19"/>
  <c r="AD211" i="19" s="1"/>
  <c r="DK211" i="19" s="1"/>
  <c r="Y274" i="19"/>
  <c r="Y273" i="19"/>
  <c r="Y275" i="19"/>
  <c r="T74" i="19"/>
  <c r="T73" i="19"/>
  <c r="BM73" i="19" s="1"/>
  <c r="T75" i="19"/>
  <c r="BM75" i="19" s="1"/>
  <c r="EJ75" i="19" s="1"/>
  <c r="R105" i="19"/>
  <c r="R106" i="19"/>
  <c r="R107" i="19"/>
  <c r="AY107" i="19" s="1"/>
  <c r="O170" i="19"/>
  <c r="O171" i="19"/>
  <c r="O169" i="19"/>
  <c r="Y234" i="19"/>
  <c r="CV234" i="19" s="1"/>
  <c r="Y233" i="19"/>
  <c r="Y235" i="19"/>
  <c r="CV235" i="19" s="1"/>
  <c r="FI235" i="19" s="1"/>
  <c r="S298" i="19"/>
  <c r="BF298" i="19" s="1"/>
  <c r="EE298" i="19" s="1"/>
  <c r="S297" i="19"/>
  <c r="S299" i="19"/>
  <c r="BF299" i="19" s="1"/>
  <c r="U57" i="19"/>
  <c r="BT57" i="19" s="1"/>
  <c r="U58" i="19"/>
  <c r="U59" i="19"/>
  <c r="BT59" i="19" s="1"/>
  <c r="EO59" i="19" s="1"/>
  <c r="Q153" i="19"/>
  <c r="Q154" i="19"/>
  <c r="Q155" i="19"/>
  <c r="Z249" i="19"/>
  <c r="DC249" i="19" s="1"/>
  <c r="Z250" i="19"/>
  <c r="Z251" i="19"/>
  <c r="DC251" i="19" s="1"/>
  <c r="FN251" i="19" s="1"/>
  <c r="X313" i="19"/>
  <c r="CO313" i="19" s="1"/>
  <c r="X314" i="19"/>
  <c r="X315" i="19"/>
  <c r="CO315" i="19" s="1"/>
  <c r="FD315" i="19" s="1"/>
  <c r="T226" i="19"/>
  <c r="T225" i="19"/>
  <c r="T227" i="19"/>
  <c r="R66" i="19"/>
  <c r="R65" i="19"/>
  <c r="AY65" i="19" s="1"/>
  <c r="R67" i="19"/>
  <c r="AY67" i="19" s="1"/>
  <c r="DZ67" i="19" s="1"/>
  <c r="P257" i="19"/>
  <c r="AJ257" i="19" s="1"/>
  <c r="DO257" i="19" s="1"/>
  <c r="P258" i="19"/>
  <c r="AJ258" i="19" s="1"/>
  <c r="DO258" i="19" s="1"/>
  <c r="P259" i="19"/>
  <c r="AJ259" i="19" s="1"/>
  <c r="Z121" i="19"/>
  <c r="Z122" i="19"/>
  <c r="DC122" i="19" s="1"/>
  <c r="FN122" i="19" s="1"/>
  <c r="Z123" i="19"/>
  <c r="DC123" i="19" s="1"/>
  <c r="V218" i="19"/>
  <c r="V217" i="19"/>
  <c r="V219" i="19"/>
  <c r="T282" i="19"/>
  <c r="BM282" i="19" s="1"/>
  <c r="EJ282" i="19" s="1"/>
  <c r="T281" i="19"/>
  <c r="T283" i="19"/>
  <c r="BM283" i="19" s="1"/>
  <c r="W58" i="19"/>
  <c r="CH58" i="19" s="1"/>
  <c r="EY58" i="19" s="1"/>
  <c r="W57" i="19"/>
  <c r="W59" i="19"/>
  <c r="CH59" i="19" s="1"/>
  <c r="Y122" i="19"/>
  <c r="CV122" i="19" s="1"/>
  <c r="Y121" i="19"/>
  <c r="CV121" i="19" s="1"/>
  <c r="FI121" i="19" s="1"/>
  <c r="Y123" i="19"/>
  <c r="X153" i="19"/>
  <c r="X154" i="19"/>
  <c r="X155" i="19"/>
  <c r="P185" i="19"/>
  <c r="AJ185" i="19" s="1"/>
  <c r="DO185" i="19" s="1"/>
  <c r="P186" i="19"/>
  <c r="AK186" i="19" s="1"/>
  <c r="DP186" i="19" s="1"/>
  <c r="P187" i="19"/>
  <c r="AL187" i="19" s="1"/>
  <c r="DQ187" i="19" s="1"/>
  <c r="W250" i="19"/>
  <c r="W251" i="19"/>
  <c r="CH251" i="19" s="1"/>
  <c r="EY251" i="19" s="1"/>
  <c r="W249" i="19"/>
  <c r="CH249" i="19" s="1"/>
  <c r="W282" i="19"/>
  <c r="CH282" i="19" s="1"/>
  <c r="EY282" i="19" s="1"/>
  <c r="W281" i="19"/>
  <c r="W283" i="19"/>
  <c r="CH283" i="19" s="1"/>
  <c r="T313" i="19"/>
  <c r="T314" i="19"/>
  <c r="BM314" i="19" s="1"/>
  <c r="EJ314" i="19" s="1"/>
  <c r="T315" i="19"/>
  <c r="BM315" i="19" s="1"/>
  <c r="Q97" i="19"/>
  <c r="Q98" i="19"/>
  <c r="Q99" i="19"/>
  <c r="R225" i="19"/>
  <c r="R226" i="19"/>
  <c r="R227" i="19"/>
  <c r="W289" i="19"/>
  <c r="W291" i="19"/>
  <c r="CH291" i="19" s="1"/>
  <c r="W290" i="19"/>
  <c r="CH290" i="19" s="1"/>
  <c r="EY290" i="19" s="1"/>
  <c r="Z65" i="19"/>
  <c r="Z66" i="19"/>
  <c r="DC66" i="19" s="1"/>
  <c r="FN66" i="19" s="1"/>
  <c r="Z67" i="19"/>
  <c r="DC67" i="19" s="1"/>
  <c r="O161" i="19"/>
  <c r="O162" i="19"/>
  <c r="O163" i="19"/>
  <c r="U258" i="19"/>
  <c r="U257" i="19"/>
  <c r="U259" i="19"/>
  <c r="Q322" i="19"/>
  <c r="AR322" i="19" s="1"/>
  <c r="DU322" i="19" s="1"/>
  <c r="Q321" i="19"/>
  <c r="Q323" i="19"/>
  <c r="AS323" i="19" s="1"/>
  <c r="DV323" i="19" s="1"/>
  <c r="T49" i="19"/>
  <c r="BM49" i="19" s="1"/>
  <c r="EJ49" i="19" s="1"/>
  <c r="T50" i="19"/>
  <c r="BM50" i="19" s="1"/>
  <c r="T51" i="19"/>
  <c r="O82" i="19"/>
  <c r="O81" i="19"/>
  <c r="O83" i="19"/>
  <c r="R113" i="19"/>
  <c r="AY113" i="19" s="1"/>
  <c r="R114" i="19"/>
  <c r="R115" i="19"/>
  <c r="AY115" i="19" s="1"/>
  <c r="DZ115" i="19" s="1"/>
  <c r="V178" i="19"/>
  <c r="V177" i="19"/>
  <c r="V179" i="19"/>
  <c r="T209" i="19"/>
  <c r="T210" i="19"/>
  <c r="T211" i="19"/>
  <c r="T241" i="19"/>
  <c r="T242" i="19"/>
  <c r="BM242" i="19" s="1"/>
  <c r="EJ242" i="19" s="1"/>
  <c r="T243" i="19"/>
  <c r="BM243" i="19" s="1"/>
  <c r="W306" i="19"/>
  <c r="W307" i="19"/>
  <c r="W305" i="19"/>
  <c r="T41" i="19"/>
  <c r="T43" i="19"/>
  <c r="T42" i="19"/>
  <c r="Q106" i="19"/>
  <c r="Q105" i="19"/>
  <c r="Q107" i="19"/>
  <c r="AS107" i="19" s="1"/>
  <c r="DV107" i="19" s="1"/>
  <c r="X138" i="19"/>
  <c r="X139" i="19"/>
  <c r="CO139" i="19" s="1"/>
  <c r="FD139" i="19" s="1"/>
  <c r="X137" i="19"/>
  <c r="CO137" i="19" s="1"/>
  <c r="Y202" i="19"/>
  <c r="Y201" i="19"/>
  <c r="Y203" i="19"/>
  <c r="P233" i="19"/>
  <c r="AK233" i="19" s="1"/>
  <c r="DP233" i="19" s="1"/>
  <c r="P234" i="19"/>
  <c r="AJ234" i="19" s="1"/>
  <c r="DO234" i="19" s="1"/>
  <c r="P235" i="19"/>
  <c r="AL235" i="19" s="1"/>
  <c r="DQ235" i="19" s="1"/>
  <c r="V298" i="19"/>
  <c r="CA298" i="19" s="1"/>
  <c r="ET298" i="19" s="1"/>
  <c r="V297" i="19"/>
  <c r="V299" i="19"/>
  <c r="CA299" i="19" s="1"/>
  <c r="R41" i="19"/>
  <c r="R43" i="19"/>
  <c r="R42" i="19"/>
  <c r="V41" i="19"/>
  <c r="V42" i="19"/>
  <c r="V43" i="19"/>
  <c r="V9" i="19"/>
  <c r="CA9" i="19" s="1"/>
  <c r="ET9" i="19" s="1"/>
  <c r="X89" i="19"/>
  <c r="CO89" i="19" s="1"/>
  <c r="X90" i="19"/>
  <c r="X91" i="19"/>
  <c r="CO91" i="19" s="1"/>
  <c r="FD91" i="19" s="1"/>
  <c r="O154" i="19"/>
  <c r="AC154" i="19" s="1"/>
  <c r="DJ154" i="19" s="1"/>
  <c r="O153" i="19"/>
  <c r="AC153" i="19" s="1"/>
  <c r="O155" i="19"/>
  <c r="AC155" i="19" s="1"/>
  <c r="DJ155" i="19" s="1"/>
  <c r="Q249" i="19"/>
  <c r="AS249" i="19" s="1"/>
  <c r="DV249" i="19" s="1"/>
  <c r="Q250" i="19"/>
  <c r="Q251" i="19"/>
  <c r="AR251" i="19" s="1"/>
  <c r="DU251" i="19" s="1"/>
  <c r="W98" i="19"/>
  <c r="W99" i="19"/>
  <c r="W97" i="19"/>
  <c r="X130" i="19"/>
  <c r="X129" i="19"/>
  <c r="CO129" i="19" s="1"/>
  <c r="X131" i="19"/>
  <c r="CO131" i="19" s="1"/>
  <c r="FD131" i="19" s="1"/>
  <c r="S161" i="19"/>
  <c r="S162" i="19"/>
  <c r="S163" i="19"/>
  <c r="T321" i="19"/>
  <c r="T322" i="19"/>
  <c r="BM322" i="19" s="1"/>
  <c r="EJ322" i="19" s="1"/>
  <c r="T323" i="19"/>
  <c r="BM323" i="19" s="1"/>
  <c r="T57" i="19"/>
  <c r="T59" i="19"/>
  <c r="BM59" i="19" s="1"/>
  <c r="T58" i="19"/>
  <c r="BM58" i="19" s="1"/>
  <c r="EJ58" i="19" s="1"/>
  <c r="U122" i="19"/>
  <c r="U121" i="19"/>
  <c r="BT121" i="19" s="1"/>
  <c r="U123" i="19"/>
  <c r="BT123" i="19" s="1"/>
  <c r="EO123" i="19" s="1"/>
  <c r="U217" i="19"/>
  <c r="U218" i="19"/>
  <c r="U219" i="19"/>
  <c r="W314" i="19"/>
  <c r="CH314" i="19" s="1"/>
  <c r="EY314" i="19" s="1"/>
  <c r="W315" i="19"/>
  <c r="CH315" i="19" s="1"/>
  <c r="W313" i="19"/>
  <c r="V58" i="19"/>
  <c r="CA58" i="19" s="1"/>
  <c r="V57" i="19"/>
  <c r="CA57" i="19" s="1"/>
  <c r="ET57" i="19" s="1"/>
  <c r="V59" i="19"/>
  <c r="Y314" i="19"/>
  <c r="CV314" i="19" s="1"/>
  <c r="Y313" i="19"/>
  <c r="CV313" i="19" s="1"/>
  <c r="FI313" i="19" s="1"/>
  <c r="Y315" i="19"/>
  <c r="V98" i="19"/>
  <c r="V97" i="19"/>
  <c r="V99" i="19"/>
  <c r="S211" i="19"/>
  <c r="S210" i="19"/>
  <c r="S209" i="19"/>
  <c r="V169" i="19"/>
  <c r="V170" i="19"/>
  <c r="CA170" i="19" s="1"/>
  <c r="ET170" i="19" s="1"/>
  <c r="V171" i="19"/>
  <c r="CA171" i="19" s="1"/>
  <c r="O267" i="19"/>
  <c r="O266" i="19"/>
  <c r="O265" i="19"/>
  <c r="Q217" i="19"/>
  <c r="Q218" i="19"/>
  <c r="Q219" i="19"/>
  <c r="Y193" i="19"/>
  <c r="Y194" i="19"/>
  <c r="Y195" i="19"/>
  <c r="Y250" i="19"/>
  <c r="CV250" i="19" s="1"/>
  <c r="FI250" i="19" s="1"/>
  <c r="Y249" i="19"/>
  <c r="Y251" i="19"/>
  <c r="CV251" i="19" s="1"/>
  <c r="Q58" i="19"/>
  <c r="AS58" i="19" s="1"/>
  <c r="DV58" i="19" s="1"/>
  <c r="Q57" i="19"/>
  <c r="Q59" i="19"/>
  <c r="W155" i="19"/>
  <c r="W154" i="19"/>
  <c r="W153" i="19"/>
  <c r="U282" i="19"/>
  <c r="U281" i="19"/>
  <c r="BT281" i="19" s="1"/>
  <c r="U283" i="19"/>
  <c r="BT283" i="19" s="1"/>
  <c r="EO283" i="19" s="1"/>
  <c r="R289" i="19"/>
  <c r="AY289" i="19" s="1"/>
  <c r="R290" i="19"/>
  <c r="R291" i="19"/>
  <c r="AY291" i="19" s="1"/>
  <c r="DZ291" i="19" s="1"/>
  <c r="W66" i="19"/>
  <c r="CH66" i="19" s="1"/>
  <c r="EY66" i="19" s="1"/>
  <c r="W67" i="19"/>
  <c r="CH67" i="19" s="1"/>
  <c r="W65" i="19"/>
  <c r="Y321" i="19"/>
  <c r="CV321" i="19" s="1"/>
  <c r="FI321" i="19" s="1"/>
  <c r="Y322" i="19"/>
  <c r="CV322" i="19" s="1"/>
  <c r="Y323" i="19"/>
  <c r="O115" i="19"/>
  <c r="O114" i="19"/>
  <c r="AD114" i="19" s="1"/>
  <c r="DK114" i="19" s="1"/>
  <c r="O113" i="19"/>
  <c r="O243" i="19"/>
  <c r="AD243" i="19" s="1"/>
  <c r="DK243" i="19" s="1"/>
  <c r="O242" i="19"/>
  <c r="AD242" i="19" s="1"/>
  <c r="DK242" i="19" s="1"/>
  <c r="O241" i="19"/>
  <c r="AD241" i="19" s="1"/>
  <c r="Q170" i="19"/>
  <c r="Q169" i="19"/>
  <c r="Q171" i="19"/>
  <c r="T265" i="19"/>
  <c r="T266" i="19"/>
  <c r="T267" i="19"/>
  <c r="W43" i="19"/>
  <c r="W42" i="19"/>
  <c r="W41" i="19"/>
  <c r="O9" i="19"/>
  <c r="AC9" i="19" s="1"/>
  <c r="Z154" i="19"/>
  <c r="Z153" i="19"/>
  <c r="Z155" i="19"/>
  <c r="P290" i="19"/>
  <c r="AL290" i="19" s="1"/>
  <c r="DQ290" i="19" s="1"/>
  <c r="P289" i="19"/>
  <c r="AL289" i="19" s="1"/>
  <c r="DQ289" i="19" s="1"/>
  <c r="P291" i="19"/>
  <c r="AL291" i="19" s="1"/>
  <c r="DQ291" i="19" s="1"/>
  <c r="P162" i="19"/>
  <c r="AJ162" i="19" s="1"/>
  <c r="DO162" i="19" s="1"/>
  <c r="P161" i="19"/>
  <c r="AJ161" i="19" s="1"/>
  <c r="DO161" i="19" s="1"/>
  <c r="P163" i="19"/>
  <c r="AJ163" i="19" s="1"/>
  <c r="T121" i="19"/>
  <c r="T122" i="19"/>
  <c r="BM122" i="19" s="1"/>
  <c r="EJ122" i="19" s="1"/>
  <c r="T123" i="19"/>
  <c r="BM123" i="19" s="1"/>
  <c r="Q282" i="19"/>
  <c r="AS282" i="19" s="1"/>
  <c r="DV282" i="19" s="1"/>
  <c r="Q281" i="19"/>
  <c r="AS281" i="19" s="1"/>
  <c r="DV281" i="19" s="1"/>
  <c r="Q283" i="19"/>
  <c r="AS283" i="19" s="1"/>
  <c r="DV283" i="19" s="1"/>
  <c r="Z89" i="19"/>
  <c r="Z90" i="19"/>
  <c r="DC90" i="19" s="1"/>
  <c r="FN90" i="19" s="1"/>
  <c r="Z91" i="19"/>
  <c r="DC91" i="19" s="1"/>
  <c r="P154" i="19"/>
  <c r="AJ154" i="19" s="1"/>
  <c r="DO154" i="19" s="1"/>
  <c r="P153" i="19"/>
  <c r="AJ153" i="19" s="1"/>
  <c r="DO153" i="19" s="1"/>
  <c r="P155" i="19"/>
  <c r="AJ155" i="19" s="1"/>
  <c r="Y218" i="19"/>
  <c r="Y217" i="19"/>
  <c r="Y219" i="19"/>
  <c r="Y282" i="19"/>
  <c r="CV282" i="19" s="1"/>
  <c r="Y281" i="19"/>
  <c r="CV281" i="19" s="1"/>
  <c r="FI281" i="19" s="1"/>
  <c r="Y283" i="19"/>
  <c r="Q130" i="19"/>
  <c r="Q129" i="19"/>
  <c r="Q131" i="19"/>
  <c r="U289" i="19"/>
  <c r="BT289" i="19" s="1"/>
  <c r="U290" i="19"/>
  <c r="U291" i="19"/>
  <c r="BT291" i="19" s="1"/>
  <c r="EO291" i="19" s="1"/>
  <c r="V66" i="19"/>
  <c r="CA66" i="19" s="1"/>
  <c r="V65" i="19"/>
  <c r="CA65" i="19" s="1"/>
  <c r="ET65" i="19" s="1"/>
  <c r="V67" i="19"/>
  <c r="S193" i="19"/>
  <c r="S195" i="19"/>
  <c r="S194" i="19"/>
  <c r="U321" i="19"/>
  <c r="BT321" i="19" s="1"/>
  <c r="U322" i="19"/>
  <c r="U323" i="19"/>
  <c r="BT323" i="19" s="1"/>
  <c r="EO323" i="19" s="1"/>
  <c r="U50" i="19"/>
  <c r="BT50" i="19" s="1"/>
  <c r="EO50" i="19" s="1"/>
  <c r="U49" i="19"/>
  <c r="U51" i="19"/>
  <c r="BT51" i="19" s="1"/>
  <c r="U113" i="19"/>
  <c r="BT113" i="19" s="1"/>
  <c r="U114" i="19"/>
  <c r="U115" i="19"/>
  <c r="BT115" i="19" s="1"/>
  <c r="EO115" i="19" s="1"/>
  <c r="S178" i="19"/>
  <c r="S179" i="19"/>
  <c r="S177" i="19"/>
  <c r="U242" i="19"/>
  <c r="U241" i="19"/>
  <c r="BT241" i="19" s="1"/>
  <c r="U243" i="19"/>
  <c r="BT243" i="19" s="1"/>
  <c r="EO243" i="19" s="1"/>
  <c r="X274" i="19"/>
  <c r="X273" i="19"/>
  <c r="X275" i="19"/>
  <c r="Z74" i="19"/>
  <c r="Z73" i="19"/>
  <c r="DC73" i="19" s="1"/>
  <c r="Z75" i="19"/>
  <c r="DC75" i="19" s="1"/>
  <c r="FN75" i="19" s="1"/>
  <c r="T138" i="19"/>
  <c r="BM138" i="19" s="1"/>
  <c r="EJ138" i="19" s="1"/>
  <c r="T137" i="19"/>
  <c r="T139" i="19"/>
  <c r="BM139" i="19" s="1"/>
  <c r="X170" i="19"/>
  <c r="CO170" i="19" s="1"/>
  <c r="X169" i="19"/>
  <c r="CO169" i="19" s="1"/>
  <c r="FD169" i="19" s="1"/>
  <c r="X171" i="19"/>
  <c r="Q234" i="19"/>
  <c r="AS234" i="19" s="1"/>
  <c r="DV234" i="19" s="1"/>
  <c r="Q233" i="19"/>
  <c r="Q235" i="19"/>
  <c r="O297" i="19"/>
  <c r="AD297" i="19" s="1"/>
  <c r="O299" i="19"/>
  <c r="AD299" i="19" s="1"/>
  <c r="DK299" i="19" s="1"/>
  <c r="O298" i="19"/>
  <c r="AD298" i="19" s="1"/>
  <c r="DK298" i="19" s="1"/>
  <c r="S90" i="19"/>
  <c r="BF90" i="19" s="1"/>
  <c r="S89" i="19"/>
  <c r="BF89" i="19" s="1"/>
  <c r="EE89" i="19" s="1"/>
  <c r="S91" i="19"/>
  <c r="Z185" i="19"/>
  <c r="DC185" i="19" s="1"/>
  <c r="Z186" i="19"/>
  <c r="Z187" i="19"/>
  <c r="DC187" i="19" s="1"/>
  <c r="FN187" i="19" s="1"/>
  <c r="S249" i="19"/>
  <c r="S251" i="19"/>
  <c r="BF251" i="19" s="1"/>
  <c r="S250" i="19"/>
  <c r="BF250" i="19" s="1"/>
  <c r="EE250" i="19" s="1"/>
  <c r="Y290" i="19"/>
  <c r="CV290" i="19" s="1"/>
  <c r="Y289" i="19"/>
  <c r="CV289" i="19" s="1"/>
  <c r="FI289" i="19" s="1"/>
  <c r="Y291" i="19"/>
  <c r="Z161" i="19"/>
  <c r="Z162" i="19"/>
  <c r="Z163" i="19"/>
  <c r="Z322" i="19"/>
  <c r="DC322" i="19" s="1"/>
  <c r="FN322" i="19" s="1"/>
  <c r="Z321" i="19"/>
  <c r="Z323" i="19"/>
  <c r="DC323" i="19" s="1"/>
  <c r="Z58" i="19"/>
  <c r="DC58" i="19" s="1"/>
  <c r="FN58" i="19" s="1"/>
  <c r="Z57" i="19"/>
  <c r="Z59" i="19"/>
  <c r="DC59" i="19" s="1"/>
  <c r="V153" i="19"/>
  <c r="V154" i="19"/>
  <c r="V155" i="19"/>
  <c r="T218" i="19"/>
  <c r="T217" i="19"/>
  <c r="T219" i="19"/>
  <c r="V313" i="19"/>
  <c r="CA313" i="19" s="1"/>
  <c r="ET313" i="19" s="1"/>
  <c r="V314" i="19"/>
  <c r="CA314" i="19" s="1"/>
  <c r="V315" i="19"/>
  <c r="Y89" i="19"/>
  <c r="CV89" i="19" s="1"/>
  <c r="FI89" i="19" s="1"/>
  <c r="Y90" i="19"/>
  <c r="CV90" i="19" s="1"/>
  <c r="Y91" i="19"/>
  <c r="V122" i="19"/>
  <c r="CA122" i="19" s="1"/>
  <c r="V121" i="19"/>
  <c r="CA121" i="19" s="1"/>
  <c r="ET121" i="19" s="1"/>
  <c r="V123" i="19"/>
  <c r="T154" i="19"/>
  <c r="T153" i="19"/>
  <c r="T155" i="19"/>
  <c r="W219" i="19"/>
  <c r="W218" i="19"/>
  <c r="W217" i="19"/>
  <c r="U250" i="19"/>
  <c r="BT250" i="19" s="1"/>
  <c r="U249" i="19"/>
  <c r="BT249" i="19" s="1"/>
  <c r="EO249" i="19" s="1"/>
  <c r="U251" i="19"/>
  <c r="X281" i="19"/>
  <c r="CO281" i="19" s="1"/>
  <c r="X282" i="19"/>
  <c r="X283" i="19"/>
  <c r="CO283" i="19" s="1"/>
  <c r="FD283" i="19" s="1"/>
  <c r="R129" i="19"/>
  <c r="R130" i="19"/>
  <c r="R131" i="19"/>
  <c r="Q226" i="19"/>
  <c r="Q225" i="19"/>
  <c r="Q227" i="19"/>
  <c r="S289" i="19"/>
  <c r="BF289" i="19" s="1"/>
  <c r="EE289" i="19" s="1"/>
  <c r="S290" i="19"/>
  <c r="BF290" i="19" s="1"/>
  <c r="S291" i="19"/>
  <c r="Q66" i="19"/>
  <c r="AS66" i="19" s="1"/>
  <c r="DV66" i="19" s="1"/>
  <c r="Q65" i="19"/>
  <c r="Q67" i="19"/>
  <c r="U194" i="19"/>
  <c r="U193" i="19"/>
  <c r="U195" i="19"/>
  <c r="T257" i="19"/>
  <c r="T258" i="19"/>
  <c r="T259" i="19"/>
  <c r="S322" i="19"/>
  <c r="BF322" i="19" s="1"/>
  <c r="S321" i="19"/>
  <c r="BF321" i="19" s="1"/>
  <c r="EE321" i="19" s="1"/>
  <c r="S323" i="19"/>
  <c r="O49" i="19"/>
  <c r="AC49" i="19" s="1"/>
  <c r="O50" i="19"/>
  <c r="O51" i="19"/>
  <c r="AC51" i="19" s="1"/>
  <c r="DJ51" i="19" s="1"/>
  <c r="S83" i="19"/>
  <c r="BF83" i="19" s="1"/>
  <c r="S82" i="19"/>
  <c r="BF82" i="19" s="1"/>
  <c r="EE82" i="19" s="1"/>
  <c r="S81" i="19"/>
  <c r="V146" i="19"/>
  <c r="CA146" i="19" s="1"/>
  <c r="ET146" i="19" s="1"/>
  <c r="V145" i="19"/>
  <c r="V147" i="19"/>
  <c r="CA147" i="19" s="1"/>
  <c r="Y178" i="19"/>
  <c r="Y177" i="19"/>
  <c r="Y179" i="19"/>
  <c r="Q210" i="19"/>
  <c r="Q209" i="19"/>
  <c r="Q211" i="19"/>
  <c r="R274" i="19"/>
  <c r="R273" i="19"/>
  <c r="R275" i="19"/>
  <c r="X305" i="19"/>
  <c r="X306" i="19"/>
  <c r="X307" i="19"/>
  <c r="P73" i="19"/>
  <c r="AK73" i="19" s="1"/>
  <c r="P74" i="19"/>
  <c r="AK74" i="19" s="1"/>
  <c r="DP74" i="19" s="1"/>
  <c r="P75" i="19"/>
  <c r="AK75" i="19" s="1"/>
  <c r="DP75" i="19" s="1"/>
  <c r="O106" i="19"/>
  <c r="AC106" i="19" s="1"/>
  <c r="DJ106" i="19" s="1"/>
  <c r="O107" i="19"/>
  <c r="AC107" i="19" s="1"/>
  <c r="DJ107" i="19" s="1"/>
  <c r="O105" i="19"/>
  <c r="R169" i="19"/>
  <c r="AY169" i="19" s="1"/>
  <c r="R170" i="19"/>
  <c r="AY170" i="19" s="1"/>
  <c r="R171" i="19"/>
  <c r="AY171" i="19" s="1"/>
  <c r="Q202" i="19"/>
  <c r="Q201" i="19"/>
  <c r="Q203" i="19"/>
  <c r="V266" i="19"/>
  <c r="V265" i="19"/>
  <c r="V267" i="19"/>
  <c r="Y298" i="19"/>
  <c r="CV298" i="19" s="1"/>
  <c r="FI298" i="19" s="1"/>
  <c r="Y297" i="19"/>
  <c r="Y299" i="19"/>
  <c r="CV299" i="19" s="1"/>
  <c r="U74" i="19"/>
  <c r="BT74" i="19" s="1"/>
  <c r="U73" i="19"/>
  <c r="BT73" i="19" s="1"/>
  <c r="EO73" i="19" s="1"/>
  <c r="U75" i="19"/>
  <c r="U42" i="19"/>
  <c r="U43" i="19"/>
  <c r="U41" i="19"/>
  <c r="O42" i="19"/>
  <c r="AC42" i="19" s="1"/>
  <c r="DJ42" i="19" s="1"/>
  <c r="O43" i="19"/>
  <c r="AC43" i="19" s="1"/>
  <c r="DJ43" i="19" s="1"/>
  <c r="O41" i="19"/>
  <c r="AC41" i="19" s="1"/>
  <c r="O90" i="19"/>
  <c r="AC90" i="19" s="1"/>
  <c r="DJ90" i="19" s="1"/>
  <c r="O89" i="19"/>
  <c r="O91" i="19"/>
  <c r="AE91" i="19" s="1"/>
  <c r="DL91" i="19" s="1"/>
  <c r="Q186" i="19"/>
  <c r="Q185" i="19"/>
  <c r="AS185" i="19" s="1"/>
  <c r="DV185" i="19" s="1"/>
  <c r="Q187" i="19"/>
  <c r="Z282" i="19"/>
  <c r="DC282" i="19" s="1"/>
  <c r="FN282" i="19" s="1"/>
  <c r="Z281" i="19"/>
  <c r="Z283" i="19"/>
  <c r="DC283" i="19" s="1"/>
  <c r="U97" i="19"/>
  <c r="U98" i="19"/>
  <c r="U99" i="19"/>
  <c r="U226" i="19"/>
  <c r="U225" i="19"/>
  <c r="U227" i="19"/>
  <c r="X65" i="19"/>
  <c r="CO65" i="19" s="1"/>
  <c r="X66" i="19"/>
  <c r="X67" i="19"/>
  <c r="CO67" i="19" s="1"/>
  <c r="FD67" i="19" s="1"/>
  <c r="P194" i="19"/>
  <c r="AJ194" i="19" s="1"/>
  <c r="DO194" i="19" s="1"/>
  <c r="P193" i="19"/>
  <c r="AJ193" i="19" s="1"/>
  <c r="DO193" i="19" s="1"/>
  <c r="P195" i="19"/>
  <c r="AJ195" i="19" s="1"/>
  <c r="O58" i="19"/>
  <c r="AC58" i="19" s="1"/>
  <c r="DJ58" i="19" s="1"/>
  <c r="O59" i="19"/>
  <c r="O57" i="19"/>
  <c r="Y153" i="19"/>
  <c r="Y154" i="19"/>
  <c r="Y155" i="19"/>
  <c r="V249" i="19"/>
  <c r="V250" i="19"/>
  <c r="CA250" i="19" s="1"/>
  <c r="ET250" i="19" s="1"/>
  <c r="V251" i="19"/>
  <c r="CA251" i="19" s="1"/>
  <c r="E7" i="24"/>
  <c r="E25" i="24"/>
  <c r="E24" i="24"/>
  <c r="E23" i="24"/>
  <c r="E22" i="24"/>
  <c r="E21" i="24"/>
  <c r="E20" i="24"/>
  <c r="E19" i="24"/>
  <c r="E18" i="24"/>
  <c r="E17" i="24"/>
  <c r="E16" i="24"/>
  <c r="E15" i="24"/>
  <c r="E14" i="24"/>
  <c r="E13" i="24"/>
  <c r="E12" i="24"/>
  <c r="E11" i="24"/>
  <c r="E10" i="24"/>
  <c r="E9" i="24"/>
  <c r="E8" i="24"/>
  <c r="DJ43" i="30" l="1"/>
  <c r="E45" i="30"/>
  <c r="DK99" i="30"/>
  <c r="E92" i="30"/>
  <c r="MC25" i="35" s="1"/>
  <c r="DJ135" i="30"/>
  <c r="DJ159" i="30"/>
  <c r="DJ143" i="30"/>
  <c r="G77" i="30"/>
  <c r="G85" i="30"/>
  <c r="DJ107" i="30"/>
  <c r="DO15" i="30"/>
  <c r="FI15" i="30"/>
  <c r="FO111" i="30"/>
  <c r="AN9" i="35"/>
  <c r="AU33" i="35"/>
  <c r="S42" i="35"/>
  <c r="F89" i="30"/>
  <c r="F37" i="30"/>
  <c r="AU28" i="35"/>
  <c r="AU41" i="35"/>
  <c r="EA19" i="30"/>
  <c r="E100" i="30"/>
  <c r="MC27" i="35" s="1"/>
  <c r="F156" i="30"/>
  <c r="MD41" i="35" s="1"/>
  <c r="EH17" i="19"/>
  <c r="AY19" i="19"/>
  <c r="DZ19" i="19" s="1"/>
  <c r="AZ19" i="19"/>
  <c r="EA19" i="19" s="1"/>
  <c r="AU30" i="35"/>
  <c r="AU38" i="35"/>
  <c r="E132" i="30"/>
  <c r="MC35" i="35" s="1"/>
  <c r="DC18" i="19"/>
  <c r="FN18" i="19" s="1"/>
  <c r="DD18" i="19"/>
  <c r="FO18" i="19" s="1"/>
  <c r="CV21" i="19"/>
  <c r="FI21" i="19" s="1"/>
  <c r="CW21" i="19"/>
  <c r="FJ21" i="19" s="1"/>
  <c r="EK99" i="30"/>
  <c r="EK111" i="30"/>
  <c r="DJ99" i="30"/>
  <c r="AU14" i="35"/>
  <c r="G156" i="30"/>
  <c r="ME41" i="35" s="1"/>
  <c r="DW55" i="30"/>
  <c r="DK151" i="30"/>
  <c r="DK67" i="30"/>
  <c r="BF19" i="19"/>
  <c r="EE19" i="19" s="1"/>
  <c r="BG19" i="19"/>
  <c r="EF19" i="19" s="1"/>
  <c r="EP99" i="30"/>
  <c r="EF107" i="30"/>
  <c r="EP67" i="30"/>
  <c r="EF131" i="30"/>
  <c r="EF143" i="30"/>
  <c r="E96" i="30"/>
  <c r="MC26" i="35" s="1"/>
  <c r="DW43" i="30"/>
  <c r="C30" i="35"/>
  <c r="D61" i="30"/>
  <c r="D92" i="30"/>
  <c r="MB25" i="35" s="1"/>
  <c r="DC20" i="19"/>
  <c r="FN20" i="19" s="1"/>
  <c r="DD20" i="19"/>
  <c r="FO20" i="19" s="1"/>
  <c r="CV18" i="19"/>
  <c r="FI18" i="19" s="1"/>
  <c r="CW18" i="19"/>
  <c r="FJ18" i="19" s="1"/>
  <c r="EP115" i="30"/>
  <c r="ES19" i="30"/>
  <c r="ES4" i="30" s="1"/>
  <c r="F57" i="30"/>
  <c r="DK95" i="30"/>
  <c r="BF18" i="19"/>
  <c r="EE18" i="19" s="1"/>
  <c r="BG18" i="19"/>
  <c r="EF18" i="19" s="1"/>
  <c r="AR19" i="19"/>
  <c r="DU19" i="19" s="1"/>
  <c r="AS19" i="19"/>
  <c r="DV19" i="19" s="1"/>
  <c r="AY20" i="19"/>
  <c r="DZ20" i="19" s="1"/>
  <c r="AZ20" i="19"/>
  <c r="EA20" i="19" s="1"/>
  <c r="AR20" i="19"/>
  <c r="DU20" i="19" s="1"/>
  <c r="AS20" i="19"/>
  <c r="DV20" i="19" s="1"/>
  <c r="FE103" i="30"/>
  <c r="Z19" i="35"/>
  <c r="AG10" i="35"/>
  <c r="Z17" i="35"/>
  <c r="AN31" i="35"/>
  <c r="AN38" i="35"/>
  <c r="D149" i="30"/>
  <c r="F25" i="30"/>
  <c r="EU5" i="35"/>
  <c r="KO5" i="35" s="1"/>
  <c r="CA18" i="19"/>
  <c r="ET18" i="19" s="1"/>
  <c r="CB18" i="19"/>
  <c r="EU18" i="19" s="1"/>
  <c r="AY18" i="19"/>
  <c r="DZ18" i="19" s="1"/>
  <c r="AZ18" i="19"/>
  <c r="EA18" i="19" s="1"/>
  <c r="CV20" i="19"/>
  <c r="FI20" i="19" s="1"/>
  <c r="CW20" i="19"/>
  <c r="FJ20" i="19" s="1"/>
  <c r="E52" i="30"/>
  <c r="MC15" i="35" s="1"/>
  <c r="DW23" i="30"/>
  <c r="CV19" i="19"/>
  <c r="FI19" i="19" s="1"/>
  <c r="CW19" i="19"/>
  <c r="FJ19" i="19" s="1"/>
  <c r="BF21" i="19"/>
  <c r="EE21" i="19" s="1"/>
  <c r="BG21" i="19"/>
  <c r="EF21" i="19" s="1"/>
  <c r="BF20" i="19"/>
  <c r="EE20" i="19" s="1"/>
  <c r="BG20" i="19"/>
  <c r="EF20" i="19" s="1"/>
  <c r="CA20" i="19"/>
  <c r="ET20" i="19" s="1"/>
  <c r="CB20" i="19"/>
  <c r="EU20" i="19" s="1"/>
  <c r="DJ35" i="30"/>
  <c r="BT19" i="19"/>
  <c r="EO19" i="19" s="1"/>
  <c r="BU19" i="19"/>
  <c r="EP19" i="19" s="1"/>
  <c r="AR18" i="19"/>
  <c r="DU18" i="19" s="1"/>
  <c r="AS18" i="19"/>
  <c r="DV18" i="19" s="1"/>
  <c r="AY21" i="19"/>
  <c r="DZ21" i="19" s="1"/>
  <c r="AZ21" i="19"/>
  <c r="EA21" i="19" s="1"/>
  <c r="BT20" i="19"/>
  <c r="EO20" i="19" s="1"/>
  <c r="BU20" i="19"/>
  <c r="EP20" i="19" s="1"/>
  <c r="EU35" i="30"/>
  <c r="EU127" i="30"/>
  <c r="AN36" i="35"/>
  <c r="Z39" i="35"/>
  <c r="G53" i="30"/>
  <c r="G57" i="30"/>
  <c r="DJ87" i="30"/>
  <c r="CA21" i="19"/>
  <c r="ET21" i="19" s="1"/>
  <c r="CB21" i="19"/>
  <c r="EU21" i="19" s="1"/>
  <c r="DC19" i="19"/>
  <c r="FN19" i="19" s="1"/>
  <c r="DD19" i="19"/>
  <c r="FO19" i="19" s="1"/>
  <c r="DC21" i="19"/>
  <c r="FN21" i="19" s="1"/>
  <c r="DD21" i="19"/>
  <c r="FO21" i="19" s="1"/>
  <c r="AR21" i="19"/>
  <c r="DU21" i="19" s="1"/>
  <c r="AS21" i="19"/>
  <c r="DV21" i="19" s="1"/>
  <c r="H56" i="30"/>
  <c r="MF16" i="35" s="1"/>
  <c r="FE87" i="30"/>
  <c r="DK107" i="30"/>
  <c r="DK91" i="30"/>
  <c r="BT18" i="19"/>
  <c r="EO18" i="19" s="1"/>
  <c r="BU18" i="19"/>
  <c r="EP18" i="19" s="1"/>
  <c r="CA19" i="19"/>
  <c r="ET19" i="19" s="1"/>
  <c r="CB19" i="19"/>
  <c r="EU19" i="19" s="1"/>
  <c r="BT21" i="19"/>
  <c r="EO21" i="19" s="1"/>
  <c r="BU21" i="19"/>
  <c r="EP21" i="19" s="1"/>
  <c r="FJ139" i="30"/>
  <c r="FJ151" i="30"/>
  <c r="FO127" i="30"/>
  <c r="EZ71" i="30"/>
  <c r="H109" i="30"/>
  <c r="FH4" i="35"/>
  <c r="LO4" i="35" s="1"/>
  <c r="D140" i="30"/>
  <c r="MB37" i="35" s="1"/>
  <c r="BP4" i="35"/>
  <c r="CY21" i="35"/>
  <c r="GW21" i="35" s="1"/>
  <c r="AN43" i="35"/>
  <c r="E164" i="30"/>
  <c r="MC43" i="35" s="1"/>
  <c r="DK87" i="30"/>
  <c r="DK15" i="30"/>
  <c r="DJ23" i="30"/>
  <c r="EU63" i="30"/>
  <c r="AG30" i="35"/>
  <c r="F72" i="30"/>
  <c r="MD20" i="35" s="1"/>
  <c r="E108" i="30"/>
  <c r="MC29" i="35" s="1"/>
  <c r="H140" i="30"/>
  <c r="MF37" i="35" s="1"/>
  <c r="DK127" i="30"/>
  <c r="DK147" i="30"/>
  <c r="EU47" i="30"/>
  <c r="FO23" i="30"/>
  <c r="FJ115" i="30"/>
  <c r="EU79" i="30"/>
  <c r="EP51" i="30"/>
  <c r="AN8" i="35"/>
  <c r="AU11" i="35"/>
  <c r="AG26" i="35"/>
  <c r="E160" i="30"/>
  <c r="MC42" i="35" s="1"/>
  <c r="G88" i="30"/>
  <c r="ME24" i="35" s="1"/>
  <c r="DJ127" i="30"/>
  <c r="DE12" i="35"/>
  <c r="HI12" i="35" s="1"/>
  <c r="DK111" i="30"/>
  <c r="DK143" i="30"/>
  <c r="FE31" i="30"/>
  <c r="AU23" i="35"/>
  <c r="D60" i="30"/>
  <c r="MB17" i="35" s="1"/>
  <c r="G140" i="30"/>
  <c r="ME37" i="35" s="1"/>
  <c r="D93" i="30"/>
  <c r="FJ31" i="30"/>
  <c r="AG21" i="35"/>
  <c r="AU6" i="35"/>
  <c r="AG25" i="35"/>
  <c r="AN20" i="35"/>
  <c r="F36" i="30"/>
  <c r="MD11" i="35" s="1"/>
  <c r="DJ147" i="30"/>
  <c r="DK159" i="30"/>
  <c r="E41" i="30"/>
  <c r="E72" i="30"/>
  <c r="MC20" i="35" s="1"/>
  <c r="G92" i="30"/>
  <c r="ME25" i="35" s="1"/>
  <c r="DW143" i="30"/>
  <c r="C13" i="30"/>
  <c r="EC11" i="30"/>
  <c r="EC4" i="30" s="1"/>
  <c r="IG5" i="35"/>
  <c r="G12" i="30"/>
  <c r="ME5" i="35" s="1"/>
  <c r="AY5" i="35"/>
  <c r="EW17" i="19"/>
  <c r="LA4" i="35"/>
  <c r="BI4" i="35"/>
  <c r="LM4" i="35"/>
  <c r="D76" i="30"/>
  <c r="MB21" i="35" s="1"/>
  <c r="DQ4" i="35"/>
  <c r="IG4" i="35" s="1"/>
  <c r="CR5" i="35"/>
  <c r="GI5" i="35" s="1"/>
  <c r="T10" i="35"/>
  <c r="GY10" i="35" s="1"/>
  <c r="D136" i="30"/>
  <c r="MB36" i="35" s="1"/>
  <c r="DW79" i="30"/>
  <c r="K17" i="30"/>
  <c r="D156" i="30"/>
  <c r="MB41" i="35" s="1"/>
  <c r="H20" i="30"/>
  <c r="MF7" i="35" s="1"/>
  <c r="D77" i="30"/>
  <c r="J12" i="30"/>
  <c r="MH5" i="35" s="1"/>
  <c r="F120" i="30"/>
  <c r="MD32" i="35" s="1"/>
  <c r="E112" i="30"/>
  <c r="MC30" i="35" s="1"/>
  <c r="EZ111" i="30"/>
  <c r="FJ67" i="30"/>
  <c r="DJ67" i="30"/>
  <c r="G68" i="30"/>
  <c r="ME19" i="35" s="1"/>
  <c r="EE95" i="30"/>
  <c r="F97" i="30" s="1"/>
  <c r="AF26" i="35"/>
  <c r="AT31" i="35"/>
  <c r="EO115" i="30"/>
  <c r="EO23" i="30"/>
  <c r="H24" i="30" s="1"/>
  <c r="MF8" i="35" s="1"/>
  <c r="AT8" i="35"/>
  <c r="EO151" i="30"/>
  <c r="H153" i="30" s="1"/>
  <c r="AT40" i="35"/>
  <c r="AM33" i="35"/>
  <c r="EJ123" i="30"/>
  <c r="G124" i="30" s="1"/>
  <c r="ME33" i="35" s="1"/>
  <c r="D13" i="35"/>
  <c r="DK43" i="30"/>
  <c r="Y39" i="35"/>
  <c r="DZ147" i="30"/>
  <c r="E149" i="30" s="1"/>
  <c r="BA14" i="35"/>
  <c r="ET47" i="30"/>
  <c r="I49" i="30" s="1"/>
  <c r="EJ47" i="30"/>
  <c r="G49" i="30" s="1"/>
  <c r="AM14" i="35"/>
  <c r="CC42" i="35"/>
  <c r="FN159" i="30"/>
  <c r="M160" i="30" s="1"/>
  <c r="MK42" i="35" s="1"/>
  <c r="D36" i="35"/>
  <c r="DK135" i="30"/>
  <c r="BO37" i="35"/>
  <c r="FD139" i="30"/>
  <c r="K141" i="30" s="1"/>
  <c r="EE91" i="30"/>
  <c r="F93" i="30" s="1"/>
  <c r="AF25" i="35"/>
  <c r="EY15" i="30"/>
  <c r="J16" i="30" s="1"/>
  <c r="MH6" i="35" s="1"/>
  <c r="BH6" i="35"/>
  <c r="BH42" i="35"/>
  <c r="EY159" i="30"/>
  <c r="J160" i="30" s="1"/>
  <c r="MH42" i="35" s="1"/>
  <c r="CC8" i="35"/>
  <c r="FN23" i="30"/>
  <c r="EJ119" i="30"/>
  <c r="G121" i="30" s="1"/>
  <c r="AM32" i="35"/>
  <c r="FN35" i="30"/>
  <c r="M36" i="30" s="1"/>
  <c r="MK11" i="35" s="1"/>
  <c r="CC11" i="35"/>
  <c r="EE159" i="30"/>
  <c r="F160" i="30" s="1"/>
  <c r="MD42" i="35" s="1"/>
  <c r="AF42" i="35"/>
  <c r="AF30" i="35"/>
  <c r="EE111" i="30"/>
  <c r="F113" i="30" s="1"/>
  <c r="EJ95" i="30"/>
  <c r="G96" i="30" s="1"/>
  <c r="ME26" i="35" s="1"/>
  <c r="AM26" i="35"/>
  <c r="CC34" i="35"/>
  <c r="FN127" i="30"/>
  <c r="EE27" i="30"/>
  <c r="F29" i="30" s="1"/>
  <c r="AF9" i="35"/>
  <c r="BV19" i="35"/>
  <c r="FI67" i="30"/>
  <c r="BA26" i="35"/>
  <c r="ET95" i="30"/>
  <c r="I97" i="30" s="1"/>
  <c r="AM43" i="35"/>
  <c r="EJ163" i="30"/>
  <c r="G165" i="30" s="1"/>
  <c r="DZ23" i="30"/>
  <c r="E25" i="30" s="1"/>
  <c r="Y8" i="35"/>
  <c r="DZ87" i="30"/>
  <c r="E89" i="30" s="1"/>
  <c r="Y24" i="35"/>
  <c r="EJ23" i="30"/>
  <c r="G24" i="30" s="1"/>
  <c r="ME8" i="35" s="1"/>
  <c r="AM8" i="35"/>
  <c r="D17" i="35"/>
  <c r="DK59" i="30"/>
  <c r="EO83" i="30"/>
  <c r="H84" i="30" s="1"/>
  <c r="MF23" i="35" s="1"/>
  <c r="AT23" i="35"/>
  <c r="AF31" i="35"/>
  <c r="EE115" i="30"/>
  <c r="F116" i="30" s="1"/>
  <c r="MD31" i="35" s="1"/>
  <c r="BH30" i="35"/>
  <c r="EY111" i="30"/>
  <c r="J112" i="30" s="1"/>
  <c r="MH30" i="35" s="1"/>
  <c r="BA18" i="35"/>
  <c r="ET63" i="30"/>
  <c r="BA22" i="35"/>
  <c r="ET79" i="30"/>
  <c r="DZ35" i="30"/>
  <c r="E37" i="30" s="1"/>
  <c r="Y11" i="35"/>
  <c r="BH20" i="35"/>
  <c r="EY71" i="30"/>
  <c r="R14" i="35"/>
  <c r="DU47" i="30"/>
  <c r="ET19" i="30"/>
  <c r="BA7" i="35"/>
  <c r="DU71" i="30"/>
  <c r="R20" i="35"/>
  <c r="BV28" i="35"/>
  <c r="FI103" i="30"/>
  <c r="L104" i="30" s="1"/>
  <c r="MJ28" i="35" s="1"/>
  <c r="BO16" i="35"/>
  <c r="FD55" i="30"/>
  <c r="K57" i="30" s="1"/>
  <c r="AM35" i="35"/>
  <c r="EJ131" i="30"/>
  <c r="G133" i="30" s="1"/>
  <c r="EO15" i="30"/>
  <c r="AT6" i="35"/>
  <c r="CC26" i="35"/>
  <c r="FN95" i="30"/>
  <c r="M96" i="30" s="1"/>
  <c r="MK26" i="35" s="1"/>
  <c r="BA5" i="35"/>
  <c r="ET11" i="30"/>
  <c r="DU119" i="30"/>
  <c r="R32" i="35"/>
  <c r="EJ71" i="30"/>
  <c r="G72" i="30" s="1"/>
  <c r="ME20" i="35" s="1"/>
  <c r="AM20" i="35"/>
  <c r="EE75" i="30"/>
  <c r="F77" i="30" s="1"/>
  <c r="AF21" i="35"/>
  <c r="EO163" i="30"/>
  <c r="H165" i="30" s="1"/>
  <c r="AT43" i="35"/>
  <c r="ET35" i="30"/>
  <c r="BA11" i="35"/>
  <c r="BH18" i="35"/>
  <c r="EY63" i="30"/>
  <c r="J65" i="30" s="1"/>
  <c r="R33" i="35"/>
  <c r="DU123" i="30"/>
  <c r="H117" i="30"/>
  <c r="AT15" i="35"/>
  <c r="EO51" i="30"/>
  <c r="H53" i="30" s="1"/>
  <c r="CC30" i="35"/>
  <c r="FN111" i="30"/>
  <c r="M113" i="30" s="1"/>
  <c r="BH36" i="35"/>
  <c r="EY135" i="30"/>
  <c r="J137" i="30" s="1"/>
  <c r="BH24" i="35"/>
  <c r="EY87" i="30"/>
  <c r="EJ107" i="30"/>
  <c r="G109" i="30" s="1"/>
  <c r="AM29" i="35"/>
  <c r="DZ59" i="30"/>
  <c r="E60" i="30" s="1"/>
  <c r="MC17" i="35" s="1"/>
  <c r="Y17" i="35"/>
  <c r="EJ27" i="30"/>
  <c r="G29" i="30" s="1"/>
  <c r="AM9" i="35"/>
  <c r="EO159" i="30"/>
  <c r="H160" i="30" s="1"/>
  <c r="MF42" i="35" s="1"/>
  <c r="AT42" i="35"/>
  <c r="D18" i="35"/>
  <c r="DK63" i="30"/>
  <c r="BV10" i="35"/>
  <c r="FI31" i="30"/>
  <c r="DU159" i="30"/>
  <c r="R42" i="35"/>
  <c r="BO10" i="35"/>
  <c r="FD31" i="30"/>
  <c r="EO103" i="30"/>
  <c r="H105" i="30" s="1"/>
  <c r="AT28" i="35"/>
  <c r="BA16" i="35"/>
  <c r="ET55" i="30"/>
  <c r="EO123" i="30"/>
  <c r="H125" i="30" s="1"/>
  <c r="AT33" i="35"/>
  <c r="BV31" i="35"/>
  <c r="FI115" i="30"/>
  <c r="CC14" i="35"/>
  <c r="FN47" i="30"/>
  <c r="EO155" i="30"/>
  <c r="H157" i="30" s="1"/>
  <c r="AT41" i="35"/>
  <c r="EO35" i="30"/>
  <c r="H37" i="30" s="1"/>
  <c r="AT11" i="35"/>
  <c r="AT30" i="35"/>
  <c r="EO111" i="30"/>
  <c r="H112" i="30" s="1"/>
  <c r="MF30" i="35" s="1"/>
  <c r="D11" i="35"/>
  <c r="DK35" i="30"/>
  <c r="BV15" i="35"/>
  <c r="FI51" i="30"/>
  <c r="EE31" i="30"/>
  <c r="F33" i="30" s="1"/>
  <c r="AF10" i="35"/>
  <c r="D12" i="35"/>
  <c r="DK39" i="30"/>
  <c r="AM36" i="35"/>
  <c r="EJ135" i="30"/>
  <c r="G136" i="30" s="1"/>
  <c r="ME36" i="35" s="1"/>
  <c r="DU87" i="30"/>
  <c r="R24" i="35"/>
  <c r="D23" i="35"/>
  <c r="DK83" i="30"/>
  <c r="EO143" i="30"/>
  <c r="H144" i="30" s="1"/>
  <c r="MF38" i="35" s="1"/>
  <c r="AT38" i="35"/>
  <c r="EO47" i="30"/>
  <c r="H49" i="30" s="1"/>
  <c r="AT14" i="35"/>
  <c r="FN99" i="30"/>
  <c r="M101" i="30" s="1"/>
  <c r="CC27" i="35"/>
  <c r="EE11" i="30"/>
  <c r="AF5" i="35"/>
  <c r="E36" i="30"/>
  <c r="MC11" i="35" s="1"/>
  <c r="H25" i="30"/>
  <c r="CC5" i="35"/>
  <c r="JW5" i="35"/>
  <c r="BA38" i="35"/>
  <c r="ET143" i="30"/>
  <c r="EE83" i="30"/>
  <c r="F85" i="30" s="1"/>
  <c r="AF23" i="35"/>
  <c r="CC38" i="35"/>
  <c r="FN143" i="30"/>
  <c r="M145" i="30" s="1"/>
  <c r="D14" i="35"/>
  <c r="DK47" i="30"/>
  <c r="BA8" i="35"/>
  <c r="ET23" i="30"/>
  <c r="BV40" i="35"/>
  <c r="FI151" i="30"/>
  <c r="L153" i="30" s="1"/>
  <c r="DU103" i="30"/>
  <c r="R28" i="35"/>
  <c r="FI75" i="30"/>
  <c r="BV21" i="35"/>
  <c r="EJ43" i="30"/>
  <c r="G45" i="30" s="1"/>
  <c r="AM13" i="35"/>
  <c r="EJ99" i="30"/>
  <c r="G100" i="30" s="1"/>
  <c r="ME27" i="35" s="1"/>
  <c r="AM27" i="35"/>
  <c r="EE19" i="30"/>
  <c r="F20" i="30" s="1"/>
  <c r="MD7" i="35" s="1"/>
  <c r="AF7" i="35"/>
  <c r="EJ111" i="30"/>
  <c r="G113" i="30" s="1"/>
  <c r="AM30" i="35"/>
  <c r="CC10" i="35"/>
  <c r="FN31" i="30"/>
  <c r="EJ115" i="30"/>
  <c r="G117" i="30" s="1"/>
  <c r="AM31" i="35"/>
  <c r="FD103" i="30"/>
  <c r="BO28" i="35"/>
  <c r="BH12" i="35"/>
  <c r="EY39" i="30"/>
  <c r="FI139" i="30"/>
  <c r="BV37" i="35"/>
  <c r="EO75" i="30"/>
  <c r="H77" i="30" s="1"/>
  <c r="AT21" i="35"/>
  <c r="EE131" i="30"/>
  <c r="F133" i="30" s="1"/>
  <c r="AF35" i="35"/>
  <c r="EE143" i="30"/>
  <c r="AF38" i="35"/>
  <c r="EE79" i="30"/>
  <c r="F80" i="30" s="1"/>
  <c r="MD22" i="35" s="1"/>
  <c r="AF22" i="35"/>
  <c r="BA34" i="35"/>
  <c r="ET127" i="30"/>
  <c r="I129" i="30" s="1"/>
  <c r="D10" i="35"/>
  <c r="DK31" i="30"/>
  <c r="AT19" i="35"/>
  <c r="EO67" i="30"/>
  <c r="BA40" i="35"/>
  <c r="ET151" i="30"/>
  <c r="BO20" i="35"/>
  <c r="FD71" i="30"/>
  <c r="K73" i="30" s="1"/>
  <c r="EO99" i="30"/>
  <c r="AT27" i="35"/>
  <c r="DZ67" i="30"/>
  <c r="E69" i="30" s="1"/>
  <c r="Y19" i="35"/>
  <c r="BH38" i="35"/>
  <c r="EY143" i="30"/>
  <c r="AM38" i="35"/>
  <c r="EJ143" i="30"/>
  <c r="G145" i="30" s="1"/>
  <c r="CC18" i="35"/>
  <c r="FN63" i="30"/>
  <c r="M65" i="30" s="1"/>
  <c r="FD87" i="30"/>
  <c r="BO24" i="35"/>
  <c r="CC12" i="35"/>
  <c r="FN39" i="30"/>
  <c r="AF29" i="35"/>
  <c r="EE107" i="30"/>
  <c r="F108" i="30" s="1"/>
  <c r="MD29" i="35" s="1"/>
  <c r="EO43" i="30"/>
  <c r="H45" i="30" s="1"/>
  <c r="AT13" i="35"/>
  <c r="EO147" i="30"/>
  <c r="H149" i="30" s="1"/>
  <c r="AT39" i="35"/>
  <c r="EO95" i="30"/>
  <c r="H96" i="30" s="1"/>
  <c r="MF26" i="35" s="1"/>
  <c r="AT26" i="35"/>
  <c r="BA10" i="35"/>
  <c r="ET31" i="30"/>
  <c r="I33" i="30" s="1"/>
  <c r="CY40" i="35"/>
  <c r="GW40" i="35" s="1"/>
  <c r="CY12" i="35"/>
  <c r="GW12" i="35" s="1"/>
  <c r="CB123" i="19"/>
  <c r="CA123" i="19"/>
  <c r="ET123" i="19" s="1"/>
  <c r="DD57" i="19"/>
  <c r="DC57" i="19"/>
  <c r="FN57" i="19" s="1"/>
  <c r="CW291" i="19"/>
  <c r="CV291" i="19"/>
  <c r="FI291" i="19" s="1"/>
  <c r="BU242" i="19"/>
  <c r="BT242" i="19"/>
  <c r="EO242" i="19" s="1"/>
  <c r="BU49" i="19"/>
  <c r="BT49" i="19"/>
  <c r="EO49" i="19" s="1"/>
  <c r="CB67" i="19"/>
  <c r="CA67" i="19"/>
  <c r="ET67" i="19" s="1"/>
  <c r="BU290" i="19"/>
  <c r="BT290" i="19"/>
  <c r="EO290" i="19" s="1"/>
  <c r="DD89" i="19"/>
  <c r="DC89" i="19"/>
  <c r="FN89" i="19" s="1"/>
  <c r="CW323" i="19"/>
  <c r="FJ323" i="19" s="1"/>
  <c r="CV323" i="19"/>
  <c r="FI323" i="19" s="1"/>
  <c r="AS57" i="19"/>
  <c r="AR57" i="19"/>
  <c r="DU57" i="19" s="1"/>
  <c r="CB169" i="19"/>
  <c r="CA169" i="19"/>
  <c r="ET169" i="19" s="1"/>
  <c r="BN57" i="19"/>
  <c r="BM57" i="19"/>
  <c r="EJ57" i="19" s="1"/>
  <c r="CP90" i="19"/>
  <c r="CO90" i="19"/>
  <c r="FD90" i="19" s="1"/>
  <c r="CP138" i="19"/>
  <c r="CO138" i="19"/>
  <c r="FD138" i="19" s="1"/>
  <c r="BN241" i="19"/>
  <c r="BM241" i="19"/>
  <c r="EJ241" i="19" s="1"/>
  <c r="AZ114" i="19"/>
  <c r="AY114" i="19"/>
  <c r="DZ114" i="19" s="1"/>
  <c r="CW123" i="19"/>
  <c r="CV123" i="19"/>
  <c r="FI123" i="19" s="1"/>
  <c r="CI57" i="19"/>
  <c r="CH57" i="19"/>
  <c r="EY57" i="19" s="1"/>
  <c r="AZ66" i="19"/>
  <c r="AY66" i="19"/>
  <c r="DZ66" i="19" s="1"/>
  <c r="DD250" i="19"/>
  <c r="DC250" i="19"/>
  <c r="FN250" i="19" s="1"/>
  <c r="CW233" i="19"/>
  <c r="FJ233" i="19" s="1"/>
  <c r="CV233" i="19"/>
  <c r="FI233" i="19" s="1"/>
  <c r="DK209" i="19"/>
  <c r="CJ29" i="35"/>
  <c r="FS29" i="35" s="1"/>
  <c r="CW131" i="19"/>
  <c r="CV131" i="19"/>
  <c r="FI131" i="19" s="1"/>
  <c r="CP106" i="19"/>
  <c r="CO106" i="19"/>
  <c r="FD106" i="19" s="1"/>
  <c r="CW145" i="19"/>
  <c r="FJ145" i="19" s="1"/>
  <c r="CV145" i="19"/>
  <c r="FI145" i="19" s="1"/>
  <c r="AZ90" i="19"/>
  <c r="AY90" i="19"/>
  <c r="DZ90" i="19" s="1"/>
  <c r="DD313" i="19"/>
  <c r="DC313" i="19"/>
  <c r="FN313" i="19" s="1"/>
  <c r="CB107" i="19"/>
  <c r="CA107" i="19"/>
  <c r="ET107" i="19" s="1"/>
  <c r="CI89" i="19"/>
  <c r="CH89" i="19"/>
  <c r="EY89" i="19" s="1"/>
  <c r="CI170" i="19"/>
  <c r="CH170" i="19"/>
  <c r="EY170" i="19" s="1"/>
  <c r="BG73" i="19"/>
  <c r="BF73" i="19"/>
  <c r="EE73" i="19" s="1"/>
  <c r="CI146" i="19"/>
  <c r="EZ146" i="19" s="1"/>
  <c r="CH146" i="19"/>
  <c r="EY146" i="19" s="1"/>
  <c r="BN113" i="19"/>
  <c r="BM113" i="19"/>
  <c r="EJ113" i="19" s="1"/>
  <c r="AZ49" i="19"/>
  <c r="AY49" i="19"/>
  <c r="DZ49" i="19" s="1"/>
  <c r="BU314" i="19"/>
  <c r="BT314" i="19"/>
  <c r="EO314" i="19" s="1"/>
  <c r="BN250" i="19"/>
  <c r="BM250" i="19"/>
  <c r="EJ250" i="19" s="1"/>
  <c r="AS313" i="19"/>
  <c r="DV313" i="19" s="1"/>
  <c r="AR313" i="19"/>
  <c r="DU313" i="19" s="1"/>
  <c r="CW185" i="19"/>
  <c r="CV185" i="19"/>
  <c r="FI185" i="19" s="1"/>
  <c r="CI74" i="19"/>
  <c r="CH74" i="19"/>
  <c r="EY74" i="19" s="1"/>
  <c r="AS241" i="19"/>
  <c r="DV241" i="19" s="1"/>
  <c r="AR241" i="19"/>
  <c r="AS137" i="19"/>
  <c r="DV137" i="19" s="1"/>
  <c r="AR137" i="19"/>
  <c r="DU137" i="19" s="1"/>
  <c r="BN82" i="19"/>
  <c r="BM82" i="19"/>
  <c r="EJ82" i="19" s="1"/>
  <c r="BG315" i="19"/>
  <c r="BF315" i="19"/>
  <c r="EE315" i="19" s="1"/>
  <c r="BU187" i="19"/>
  <c r="BT187" i="19"/>
  <c r="EO187" i="19" s="1"/>
  <c r="BY27" i="19"/>
  <c r="ER27" i="19" s="1"/>
  <c r="CA27" i="19"/>
  <c r="CF25" i="19"/>
  <c r="EW25" i="19" s="1"/>
  <c r="CH25" i="19"/>
  <c r="DD37" i="19"/>
  <c r="FO37" i="19" s="1"/>
  <c r="DC37" i="19"/>
  <c r="FN37" i="19" s="1"/>
  <c r="CW197" i="19"/>
  <c r="FJ197" i="19" s="1"/>
  <c r="CV197" i="19"/>
  <c r="FI197" i="19" s="1"/>
  <c r="BU28" i="19"/>
  <c r="EP28" i="19" s="1"/>
  <c r="BT28" i="19"/>
  <c r="EO28" i="19" s="1"/>
  <c r="BN76" i="19"/>
  <c r="BM76" i="19"/>
  <c r="EJ76" i="19" s="1"/>
  <c r="BN140" i="19"/>
  <c r="EK140" i="19" s="1"/>
  <c r="BM140" i="19"/>
  <c r="EJ140" i="19" s="1"/>
  <c r="CW220" i="19"/>
  <c r="FJ220" i="19" s="1"/>
  <c r="CV220" i="19"/>
  <c r="FI220" i="19" s="1"/>
  <c r="BN268" i="19"/>
  <c r="BM268" i="19"/>
  <c r="EJ268" i="19" s="1"/>
  <c r="CW316" i="19"/>
  <c r="CV316" i="19"/>
  <c r="FI316" i="19" s="1"/>
  <c r="BN244" i="19"/>
  <c r="EK244" i="19" s="1"/>
  <c r="BM244" i="19"/>
  <c r="EJ244" i="19" s="1"/>
  <c r="BU260" i="19"/>
  <c r="EP260" i="19" s="1"/>
  <c r="BT260" i="19"/>
  <c r="EO260" i="19" s="1"/>
  <c r="BU29" i="19"/>
  <c r="EP29" i="19" s="1"/>
  <c r="BT29" i="19"/>
  <c r="EO29" i="19" s="1"/>
  <c r="CW36" i="19"/>
  <c r="CV36" i="19"/>
  <c r="FI36" i="19" s="1"/>
  <c r="AZ109" i="19"/>
  <c r="EA109" i="19" s="1"/>
  <c r="AY109" i="19"/>
  <c r="DZ109" i="19" s="1"/>
  <c r="CP324" i="19"/>
  <c r="FE324" i="19" s="1"/>
  <c r="CO324" i="19"/>
  <c r="FD324" i="19" s="1"/>
  <c r="CW132" i="19"/>
  <c r="FJ132" i="19" s="1"/>
  <c r="CV132" i="19"/>
  <c r="FI132" i="19" s="1"/>
  <c r="BG269" i="19"/>
  <c r="BF269" i="19"/>
  <c r="EE269" i="19" s="1"/>
  <c r="CI221" i="19"/>
  <c r="EZ221" i="19" s="1"/>
  <c r="CH221" i="19"/>
  <c r="EY221" i="19" s="1"/>
  <c r="AS61" i="19"/>
  <c r="DV61" i="19" s="1"/>
  <c r="AR61" i="19"/>
  <c r="DU61" i="19" s="1"/>
  <c r="DD69" i="19"/>
  <c r="FO69" i="19" s="1"/>
  <c r="DC69" i="19"/>
  <c r="FN69" i="19" s="1"/>
  <c r="BG285" i="19"/>
  <c r="BF285" i="19"/>
  <c r="EE285" i="19" s="1"/>
  <c r="AS44" i="19"/>
  <c r="DV44" i="19" s="1"/>
  <c r="AR44" i="19"/>
  <c r="DU44" i="19" s="1"/>
  <c r="AS124" i="19"/>
  <c r="DV124" i="19" s="1"/>
  <c r="AR124" i="19"/>
  <c r="DU124" i="19" s="1"/>
  <c r="AS220" i="19"/>
  <c r="DV220" i="19" s="1"/>
  <c r="AR220" i="19"/>
  <c r="DU220" i="19" s="1"/>
  <c r="BU125" i="19"/>
  <c r="BT125" i="19"/>
  <c r="EO125" i="19" s="1"/>
  <c r="AS196" i="19"/>
  <c r="DV196" i="19" s="1"/>
  <c r="AR196" i="19"/>
  <c r="DU196" i="19" s="1"/>
  <c r="AS37" i="19"/>
  <c r="DV37" i="19" s="1"/>
  <c r="AR37" i="19"/>
  <c r="DU37" i="19" s="1"/>
  <c r="CB276" i="19"/>
  <c r="EU276" i="19" s="1"/>
  <c r="CA276" i="19"/>
  <c r="ET276" i="19" s="1"/>
  <c r="DD36" i="19"/>
  <c r="DC36" i="19"/>
  <c r="FN36" i="19" s="1"/>
  <c r="AS228" i="19"/>
  <c r="DV228" i="19" s="1"/>
  <c r="AR228" i="19"/>
  <c r="DU228" i="19" s="1"/>
  <c r="AS84" i="19"/>
  <c r="DV84" i="19" s="1"/>
  <c r="AR84" i="19"/>
  <c r="DU84" i="19" s="1"/>
  <c r="CW60" i="19"/>
  <c r="FJ60" i="19" s="1"/>
  <c r="CV60" i="19"/>
  <c r="FI60" i="19" s="1"/>
  <c r="CP124" i="19"/>
  <c r="CO124" i="19"/>
  <c r="FD124" i="19" s="1"/>
  <c r="CB172" i="19"/>
  <c r="EU172" i="19" s="1"/>
  <c r="CA172" i="19"/>
  <c r="ET172" i="19" s="1"/>
  <c r="CI252" i="19"/>
  <c r="EZ252" i="19" s="1"/>
  <c r="CH252" i="19"/>
  <c r="EY252" i="19" s="1"/>
  <c r="CP284" i="19"/>
  <c r="FE284" i="19" s="1"/>
  <c r="CO284" i="19"/>
  <c r="FD284" i="19" s="1"/>
  <c r="BN325" i="19"/>
  <c r="EK325" i="19" s="1"/>
  <c r="BM325" i="19"/>
  <c r="EJ325" i="19" s="1"/>
  <c r="AS253" i="19"/>
  <c r="DV253" i="19" s="1"/>
  <c r="AR253" i="19"/>
  <c r="DU253" i="19" s="1"/>
  <c r="AS173" i="19"/>
  <c r="DV173" i="19" s="1"/>
  <c r="AR173" i="19"/>
  <c r="DU173" i="19" s="1"/>
  <c r="BG37" i="19"/>
  <c r="EF37" i="19" s="1"/>
  <c r="BF37" i="19"/>
  <c r="EE37" i="19" s="1"/>
  <c r="CW309" i="19"/>
  <c r="FJ309" i="19" s="1"/>
  <c r="CV309" i="19"/>
  <c r="FI309" i="19" s="1"/>
  <c r="AS221" i="19"/>
  <c r="DV221" i="19" s="1"/>
  <c r="AR221" i="19"/>
  <c r="DU221" i="19" s="1"/>
  <c r="CP205" i="19"/>
  <c r="FE205" i="19" s="1"/>
  <c r="CO205" i="19"/>
  <c r="FD205" i="19" s="1"/>
  <c r="BG260" i="19"/>
  <c r="EF260" i="19" s="1"/>
  <c r="BF260" i="19"/>
  <c r="EE260" i="19" s="1"/>
  <c r="DD101" i="19"/>
  <c r="FO101" i="19" s="1"/>
  <c r="DC101" i="19"/>
  <c r="FN101" i="19" s="1"/>
  <c r="BU53" i="19"/>
  <c r="EP53" i="19" s="1"/>
  <c r="BT53" i="19"/>
  <c r="EO53" i="19" s="1"/>
  <c r="BU77" i="19"/>
  <c r="EP77" i="19" s="1"/>
  <c r="BT77" i="19"/>
  <c r="EO77" i="19" s="1"/>
  <c r="BU285" i="19"/>
  <c r="EP285" i="19" s="1"/>
  <c r="BT285" i="19"/>
  <c r="EO285" i="19" s="1"/>
  <c r="BG28" i="19"/>
  <c r="BF28" i="19"/>
  <c r="EE28" i="19" s="1"/>
  <c r="AS261" i="19"/>
  <c r="DV261" i="19" s="1"/>
  <c r="AR261" i="19"/>
  <c r="DU261" i="19" s="1"/>
  <c r="CI173" i="19"/>
  <c r="EZ173" i="19" s="1"/>
  <c r="CH173" i="19"/>
  <c r="EY173" i="19" s="1"/>
  <c r="AS212" i="19"/>
  <c r="DV212" i="19" s="1"/>
  <c r="AR212" i="19"/>
  <c r="DU212" i="19" s="1"/>
  <c r="AZ133" i="19"/>
  <c r="AY133" i="19"/>
  <c r="DZ133" i="19" s="1"/>
  <c r="CW253" i="19"/>
  <c r="FJ253" i="19" s="1"/>
  <c r="CV253" i="19"/>
  <c r="FI253" i="19" s="1"/>
  <c r="CW189" i="19"/>
  <c r="FJ189" i="19" s="1"/>
  <c r="CV189" i="19"/>
  <c r="FI189" i="19" s="1"/>
  <c r="CP173" i="19"/>
  <c r="FE173" i="19" s="1"/>
  <c r="CO173" i="19"/>
  <c r="FD173" i="19" s="1"/>
  <c r="BG196" i="19"/>
  <c r="BF196" i="19"/>
  <c r="EE196" i="19" s="1"/>
  <c r="CI141" i="19"/>
  <c r="EZ141" i="19" s="1"/>
  <c r="CH141" i="19"/>
  <c r="EY141" i="19" s="1"/>
  <c r="CB36" i="19"/>
  <c r="CA36" i="19"/>
  <c r="ET36" i="19" s="1"/>
  <c r="AS132" i="19"/>
  <c r="DV132" i="19" s="1"/>
  <c r="AR132" i="19"/>
  <c r="DU132" i="19" s="1"/>
  <c r="AS45" i="19"/>
  <c r="DV45" i="19" s="1"/>
  <c r="AR45" i="19"/>
  <c r="DU45" i="19" s="1"/>
  <c r="DD28" i="19"/>
  <c r="FO28" i="19" s="1"/>
  <c r="DC28" i="19"/>
  <c r="FN28" i="19" s="1"/>
  <c r="BN92" i="19"/>
  <c r="EK92" i="19" s="1"/>
  <c r="BM92" i="19"/>
  <c r="EJ92" i="19" s="1"/>
  <c r="BN284" i="19"/>
  <c r="EK284" i="19" s="1"/>
  <c r="BM284" i="19"/>
  <c r="EJ284" i="19" s="1"/>
  <c r="AC29" i="19"/>
  <c r="DJ29" i="19" s="1"/>
  <c r="AD29" i="19"/>
  <c r="DK29" i="19" s="1"/>
  <c r="CI309" i="19"/>
  <c r="EZ309" i="19" s="1"/>
  <c r="CH309" i="19"/>
  <c r="EY309" i="19" s="1"/>
  <c r="BN53" i="19"/>
  <c r="EK53" i="19" s="1"/>
  <c r="BM53" i="19"/>
  <c r="EJ53" i="19" s="1"/>
  <c r="AS100" i="19"/>
  <c r="DV100" i="19" s="1"/>
  <c r="AR100" i="19"/>
  <c r="DU100" i="19" s="1"/>
  <c r="CI61" i="19"/>
  <c r="CH61" i="19"/>
  <c r="EY61" i="19" s="1"/>
  <c r="DD164" i="19"/>
  <c r="FO164" i="19" s="1"/>
  <c r="DC164" i="19"/>
  <c r="FN164" i="19" s="1"/>
  <c r="BG301" i="19"/>
  <c r="EF301" i="19" s="1"/>
  <c r="BF301" i="19"/>
  <c r="EE301" i="19" s="1"/>
  <c r="CP229" i="19"/>
  <c r="FE229" i="19" s="1"/>
  <c r="CO229" i="19"/>
  <c r="FD229" i="19" s="1"/>
  <c r="BN141" i="19"/>
  <c r="BM141" i="19"/>
  <c r="EJ141" i="19" s="1"/>
  <c r="BU229" i="19"/>
  <c r="EP229" i="19" s="1"/>
  <c r="BT229" i="19"/>
  <c r="EO229" i="19" s="1"/>
  <c r="CP285" i="19"/>
  <c r="FE285" i="19" s="1"/>
  <c r="CO285" i="19"/>
  <c r="FD285" i="19" s="1"/>
  <c r="DD156" i="19"/>
  <c r="DC156" i="19"/>
  <c r="FN156" i="19" s="1"/>
  <c r="AS236" i="19"/>
  <c r="DV236" i="19" s="1"/>
  <c r="AR236" i="19"/>
  <c r="DU236" i="19" s="1"/>
  <c r="BU221" i="19"/>
  <c r="EP221" i="19" s="1"/>
  <c r="BT221" i="19"/>
  <c r="EO221" i="19" s="1"/>
  <c r="BU44" i="19"/>
  <c r="BT44" i="19"/>
  <c r="EO44" i="19" s="1"/>
  <c r="AZ36" i="19"/>
  <c r="AY36" i="19"/>
  <c r="DZ36" i="19" s="1"/>
  <c r="CW325" i="19"/>
  <c r="FJ325" i="19" s="1"/>
  <c r="CV325" i="19"/>
  <c r="FI325" i="19" s="1"/>
  <c r="AZ293" i="19"/>
  <c r="EA293" i="19" s="1"/>
  <c r="AY293" i="19"/>
  <c r="DZ293" i="19" s="1"/>
  <c r="CI157" i="19"/>
  <c r="EZ157" i="19" s="1"/>
  <c r="CH157" i="19"/>
  <c r="EY157" i="19" s="1"/>
  <c r="BN229" i="19"/>
  <c r="EK229" i="19" s="1"/>
  <c r="BM229" i="19"/>
  <c r="EJ229" i="19" s="1"/>
  <c r="BG212" i="19"/>
  <c r="BF212" i="19"/>
  <c r="EE212" i="19" s="1"/>
  <c r="AS165" i="19"/>
  <c r="DV165" i="19" s="1"/>
  <c r="AR165" i="19"/>
  <c r="DU165" i="19" s="1"/>
  <c r="BG29" i="19"/>
  <c r="EF29" i="19" s="1"/>
  <c r="BF29" i="19"/>
  <c r="EE29" i="19" s="1"/>
  <c r="AS285" i="19"/>
  <c r="DV285" i="19" s="1"/>
  <c r="AR285" i="19"/>
  <c r="DU285" i="19" s="1"/>
  <c r="CB220" i="19"/>
  <c r="CA220" i="19"/>
  <c r="ET220" i="19" s="1"/>
  <c r="CI101" i="19"/>
  <c r="EZ101" i="19" s="1"/>
  <c r="CH101" i="19"/>
  <c r="EY101" i="19" s="1"/>
  <c r="BN237" i="19"/>
  <c r="EK237" i="19" s="1"/>
  <c r="BM237" i="19"/>
  <c r="EJ237" i="19" s="1"/>
  <c r="CI261" i="19"/>
  <c r="EZ261" i="19" s="1"/>
  <c r="CH261" i="19"/>
  <c r="EY261" i="19" s="1"/>
  <c r="CB221" i="19"/>
  <c r="CA221" i="19"/>
  <c r="ET221" i="19" s="1"/>
  <c r="AS125" i="19"/>
  <c r="DV125" i="19" s="1"/>
  <c r="AR125" i="19"/>
  <c r="DU125" i="19" s="1"/>
  <c r="BG52" i="19"/>
  <c r="EF52" i="19" s="1"/>
  <c r="BF52" i="19"/>
  <c r="EE52" i="19" s="1"/>
  <c r="CW237" i="19"/>
  <c r="FJ237" i="19" s="1"/>
  <c r="CV237" i="19"/>
  <c r="FI237" i="19" s="1"/>
  <c r="AZ28" i="19"/>
  <c r="AY28" i="19"/>
  <c r="DZ28" i="19" s="1"/>
  <c r="AC69" i="19"/>
  <c r="DJ69" i="19" s="1"/>
  <c r="AD69" i="19"/>
  <c r="DK69" i="19" s="1"/>
  <c r="DD29" i="19"/>
  <c r="FO29" i="19" s="1"/>
  <c r="DC29" i="19"/>
  <c r="FN29" i="19" s="1"/>
  <c r="CP60" i="19"/>
  <c r="FE60" i="19" s="1"/>
  <c r="CO60" i="19"/>
  <c r="FD60" i="19" s="1"/>
  <c r="DD77" i="19"/>
  <c r="DC77" i="19"/>
  <c r="FN77" i="19" s="1"/>
  <c r="BU116" i="19"/>
  <c r="EP116" i="19" s="1"/>
  <c r="BT116" i="19"/>
  <c r="EO116" i="19" s="1"/>
  <c r="BG197" i="19"/>
  <c r="EF197" i="19" s="1"/>
  <c r="BF197" i="19"/>
  <c r="EE197" i="19" s="1"/>
  <c r="BN124" i="19"/>
  <c r="EK124" i="19" s="1"/>
  <c r="BM124" i="19"/>
  <c r="EJ124" i="19" s="1"/>
  <c r="FI17" i="19"/>
  <c r="BD10" i="19"/>
  <c r="EC10" i="19" s="1"/>
  <c r="BF10" i="19"/>
  <c r="EE10" i="19" s="1"/>
  <c r="CP13" i="19"/>
  <c r="FE13" i="19" s="1"/>
  <c r="CO13" i="19"/>
  <c r="FD13" i="19" s="1"/>
  <c r="ET17" i="19"/>
  <c r="AS204" i="19"/>
  <c r="DV204" i="19" s="1"/>
  <c r="AR204" i="19"/>
  <c r="DU204" i="19" s="1"/>
  <c r="AS140" i="19"/>
  <c r="DV140" i="19" s="1"/>
  <c r="AR140" i="19"/>
  <c r="DU140" i="19" s="1"/>
  <c r="EN5" i="35"/>
  <c r="KA5" i="35" s="1"/>
  <c r="EY17" i="19"/>
  <c r="AS187" i="19"/>
  <c r="DV187" i="19" s="1"/>
  <c r="AR187" i="19"/>
  <c r="DU187" i="19" s="1"/>
  <c r="BU75" i="19"/>
  <c r="BT75" i="19"/>
  <c r="EO75" i="19" s="1"/>
  <c r="CW297" i="19"/>
  <c r="CV297" i="19"/>
  <c r="FI297" i="19" s="1"/>
  <c r="BG81" i="19"/>
  <c r="BF81" i="19"/>
  <c r="EE81" i="19" s="1"/>
  <c r="AS65" i="19"/>
  <c r="DV65" i="19" s="1"/>
  <c r="AR65" i="19"/>
  <c r="DU65" i="19" s="1"/>
  <c r="CP282" i="19"/>
  <c r="CO282" i="19"/>
  <c r="FD282" i="19" s="1"/>
  <c r="BG249" i="19"/>
  <c r="BF249" i="19"/>
  <c r="EE249" i="19" s="1"/>
  <c r="BG91" i="19"/>
  <c r="BF91" i="19"/>
  <c r="EE91" i="19" s="1"/>
  <c r="BU114" i="19"/>
  <c r="BT114" i="19"/>
  <c r="EO114" i="19" s="1"/>
  <c r="CW283" i="19"/>
  <c r="CV283" i="19"/>
  <c r="FI283" i="19" s="1"/>
  <c r="CI313" i="19"/>
  <c r="CH313" i="19"/>
  <c r="EY313" i="19" s="1"/>
  <c r="BU122" i="19"/>
  <c r="BT122" i="19"/>
  <c r="EO122" i="19" s="1"/>
  <c r="CP130" i="19"/>
  <c r="CO130" i="19"/>
  <c r="FD130" i="19" s="1"/>
  <c r="BN51" i="19"/>
  <c r="BM51" i="19"/>
  <c r="EJ51" i="19" s="1"/>
  <c r="AS321" i="19"/>
  <c r="DV321" i="19" s="1"/>
  <c r="AR321" i="19"/>
  <c r="DU321" i="19" s="1"/>
  <c r="CI281" i="19"/>
  <c r="CH281" i="19"/>
  <c r="EY281" i="19" s="1"/>
  <c r="CI250" i="19"/>
  <c r="CH250" i="19"/>
  <c r="EY250" i="19" s="1"/>
  <c r="CP314" i="19"/>
  <c r="CO314" i="19"/>
  <c r="FD314" i="19" s="1"/>
  <c r="BG297" i="19"/>
  <c r="BF297" i="19"/>
  <c r="EE297" i="19" s="1"/>
  <c r="BU147" i="19"/>
  <c r="EP147" i="19" s="1"/>
  <c r="BT147" i="19"/>
  <c r="EO147" i="19" s="1"/>
  <c r="AS89" i="19"/>
  <c r="DV89" i="19" s="1"/>
  <c r="AR89" i="19"/>
  <c r="DU89" i="19" s="1"/>
  <c r="CB283" i="19"/>
  <c r="CA283" i="19"/>
  <c r="ET283" i="19" s="1"/>
  <c r="CB185" i="19"/>
  <c r="CA185" i="19"/>
  <c r="ET185" i="19" s="1"/>
  <c r="BG123" i="19"/>
  <c r="BF123" i="19"/>
  <c r="EE123" i="19" s="1"/>
  <c r="BU299" i="19"/>
  <c r="BT299" i="19"/>
  <c r="EO299" i="19" s="1"/>
  <c r="CB139" i="19"/>
  <c r="CA139" i="19"/>
  <c r="ET139" i="19" s="1"/>
  <c r="CW59" i="19"/>
  <c r="CV59" i="19"/>
  <c r="FI59" i="19" s="1"/>
  <c r="CI137" i="19"/>
  <c r="CH137" i="19"/>
  <c r="EY137" i="19" s="1"/>
  <c r="AS242" i="19"/>
  <c r="DV242" i="19" s="1"/>
  <c r="AR242" i="19"/>
  <c r="DU242" i="19" s="1"/>
  <c r="CW115" i="19"/>
  <c r="CV115" i="19"/>
  <c r="FI115" i="19" s="1"/>
  <c r="CP187" i="19"/>
  <c r="CO187" i="19"/>
  <c r="FD187" i="19" s="1"/>
  <c r="AZ122" i="19"/>
  <c r="EA122" i="19" s="1"/>
  <c r="AY122" i="19"/>
  <c r="DZ122" i="19" s="1"/>
  <c r="AZ58" i="19"/>
  <c r="AY58" i="19"/>
  <c r="DZ58" i="19" s="1"/>
  <c r="BU130" i="19"/>
  <c r="BT130" i="19"/>
  <c r="EO130" i="19" s="1"/>
  <c r="CI129" i="19"/>
  <c r="CH129" i="19"/>
  <c r="EY129" i="19" s="1"/>
  <c r="BR26" i="19"/>
  <c r="EM26" i="19" s="1"/>
  <c r="BT26" i="19"/>
  <c r="CT27" i="19"/>
  <c r="FG27" i="19" s="1"/>
  <c r="CV27" i="19"/>
  <c r="DA25" i="19"/>
  <c r="FL25" i="19" s="1"/>
  <c r="DC25" i="19"/>
  <c r="CB29" i="19"/>
  <c r="CA29" i="19"/>
  <c r="ET29" i="19" s="1"/>
  <c r="BG189" i="19"/>
  <c r="EF189" i="19" s="1"/>
  <c r="BF189" i="19"/>
  <c r="EE189" i="19" s="1"/>
  <c r="CW44" i="19"/>
  <c r="CV44" i="19"/>
  <c r="FI44" i="19" s="1"/>
  <c r="CW92" i="19"/>
  <c r="FJ92" i="19" s="1"/>
  <c r="CV92" i="19"/>
  <c r="FI92" i="19" s="1"/>
  <c r="CW156" i="19"/>
  <c r="CV156" i="19"/>
  <c r="FI156" i="19" s="1"/>
  <c r="BN236" i="19"/>
  <c r="EK236" i="19" s="1"/>
  <c r="BM236" i="19"/>
  <c r="EJ236" i="19" s="1"/>
  <c r="CW284" i="19"/>
  <c r="FJ284" i="19" s="1"/>
  <c r="CV284" i="19"/>
  <c r="FI284" i="19" s="1"/>
  <c r="AC68" i="19"/>
  <c r="DJ68" i="19" s="1"/>
  <c r="AD68" i="19"/>
  <c r="DK68" i="19" s="1"/>
  <c r="BG125" i="19"/>
  <c r="BF125" i="19"/>
  <c r="EE125" i="19" s="1"/>
  <c r="BN245" i="19"/>
  <c r="EK245" i="19" s="1"/>
  <c r="BM245" i="19"/>
  <c r="EJ245" i="19" s="1"/>
  <c r="AZ229" i="19"/>
  <c r="EA229" i="19" s="1"/>
  <c r="AY229" i="19"/>
  <c r="DZ229" i="19" s="1"/>
  <c r="AS317" i="19"/>
  <c r="DV317" i="19" s="1"/>
  <c r="AR317" i="19"/>
  <c r="DU317" i="19" s="1"/>
  <c r="DD324" i="19"/>
  <c r="FO324" i="19" s="1"/>
  <c r="DC324" i="19"/>
  <c r="FN324" i="19" s="1"/>
  <c r="CW277" i="19"/>
  <c r="FJ277" i="19" s="1"/>
  <c r="CV277" i="19"/>
  <c r="FI277" i="19" s="1"/>
  <c r="CP325" i="19"/>
  <c r="FE325" i="19" s="1"/>
  <c r="CO325" i="19"/>
  <c r="FD325" i="19" s="1"/>
  <c r="AS93" i="19"/>
  <c r="DV93" i="19" s="1"/>
  <c r="AR93" i="19"/>
  <c r="DU93" i="19" s="1"/>
  <c r="CI180" i="19"/>
  <c r="CH180" i="19"/>
  <c r="EY180" i="19" s="1"/>
  <c r="CB68" i="19"/>
  <c r="EU68" i="19" s="1"/>
  <c r="CA68" i="19"/>
  <c r="ET68" i="19" s="1"/>
  <c r="BG229" i="19"/>
  <c r="EF229" i="19" s="1"/>
  <c r="BF229" i="19"/>
  <c r="EE229" i="19" s="1"/>
  <c r="CB317" i="19"/>
  <c r="EU317" i="19" s="1"/>
  <c r="CA317" i="19"/>
  <c r="ET317" i="19" s="1"/>
  <c r="AS156" i="19"/>
  <c r="AR156" i="19"/>
  <c r="DU156" i="19" s="1"/>
  <c r="DD236" i="19"/>
  <c r="FO236" i="19" s="1"/>
  <c r="DC236" i="19"/>
  <c r="FN236" i="19" s="1"/>
  <c r="CP68" i="19"/>
  <c r="FE68" i="19" s="1"/>
  <c r="CO68" i="19"/>
  <c r="FD68" i="19" s="1"/>
  <c r="CB301" i="19"/>
  <c r="EU301" i="19" s="1"/>
  <c r="CA301" i="19"/>
  <c r="ET301" i="19" s="1"/>
  <c r="CW149" i="19"/>
  <c r="FJ149" i="19" s="1"/>
  <c r="CV149" i="19"/>
  <c r="FI149" i="19" s="1"/>
  <c r="AS197" i="19"/>
  <c r="DV197" i="19" s="1"/>
  <c r="AR197" i="19"/>
  <c r="DU197" i="19" s="1"/>
  <c r="BG149" i="19"/>
  <c r="EF149" i="19" s="1"/>
  <c r="BF149" i="19"/>
  <c r="EE149" i="19" s="1"/>
  <c r="CB100" i="19"/>
  <c r="EU100" i="19" s="1"/>
  <c r="CA100" i="19"/>
  <c r="ET100" i="19" s="1"/>
  <c r="CI45" i="19"/>
  <c r="CH45" i="19"/>
  <c r="EY45" i="19" s="1"/>
  <c r="AZ29" i="19"/>
  <c r="EA29" i="19" s="1"/>
  <c r="AY29" i="19"/>
  <c r="DZ29" i="19" s="1"/>
  <c r="BG164" i="19"/>
  <c r="BF164" i="19"/>
  <c r="EE164" i="19" s="1"/>
  <c r="BU293" i="19"/>
  <c r="EP293" i="19" s="1"/>
  <c r="BT293" i="19"/>
  <c r="EO293" i="19" s="1"/>
  <c r="AZ116" i="19"/>
  <c r="AY116" i="19"/>
  <c r="DZ116" i="19" s="1"/>
  <c r="DD60" i="19"/>
  <c r="FO60" i="19" s="1"/>
  <c r="DC60" i="19"/>
  <c r="FN60" i="19" s="1"/>
  <c r="CB140" i="19"/>
  <c r="EU140" i="19" s="1"/>
  <c r="CA140" i="19"/>
  <c r="ET140" i="19" s="1"/>
  <c r="CI188" i="19"/>
  <c r="EZ188" i="19" s="1"/>
  <c r="CH188" i="19"/>
  <c r="EY188" i="19" s="1"/>
  <c r="CP252" i="19"/>
  <c r="FE252" i="19" s="1"/>
  <c r="CO252" i="19"/>
  <c r="FD252" i="19" s="1"/>
  <c r="CI316" i="19"/>
  <c r="EZ316" i="19" s="1"/>
  <c r="CH316" i="19"/>
  <c r="EY316" i="19" s="1"/>
  <c r="BN324" i="19"/>
  <c r="EK324" i="19" s="1"/>
  <c r="BM324" i="19"/>
  <c r="EJ324" i="19" s="1"/>
  <c r="CP93" i="19"/>
  <c r="FE93" i="19" s="1"/>
  <c r="CO93" i="19"/>
  <c r="FD93" i="19" s="1"/>
  <c r="AZ244" i="19"/>
  <c r="EA244" i="19" s="1"/>
  <c r="AY244" i="19"/>
  <c r="DZ244" i="19" s="1"/>
  <c r="BG36" i="19"/>
  <c r="EF36" i="19" s="1"/>
  <c r="BF36" i="19"/>
  <c r="EE36" i="19" s="1"/>
  <c r="CW308" i="19"/>
  <c r="FJ308" i="19" s="1"/>
  <c r="CV308" i="19"/>
  <c r="FI308" i="19" s="1"/>
  <c r="CP61" i="19"/>
  <c r="FE61" i="19" s="1"/>
  <c r="CO61" i="19"/>
  <c r="FD61" i="19" s="1"/>
  <c r="AS245" i="19"/>
  <c r="DV245" i="19" s="1"/>
  <c r="AR245" i="19"/>
  <c r="DU245" i="19" s="1"/>
  <c r="BN36" i="19"/>
  <c r="BM36" i="19"/>
  <c r="EJ36" i="19" s="1"/>
  <c r="BU309" i="19"/>
  <c r="EP309" i="19" s="1"/>
  <c r="BT309" i="19"/>
  <c r="EO309" i="19" s="1"/>
  <c r="CB61" i="19"/>
  <c r="EU61" i="19" s="1"/>
  <c r="CA61" i="19"/>
  <c r="ET61" i="19" s="1"/>
  <c r="AZ52" i="19"/>
  <c r="EA52" i="19" s="1"/>
  <c r="AY52" i="19"/>
  <c r="DZ52" i="19" s="1"/>
  <c r="BU325" i="19"/>
  <c r="EP325" i="19" s="1"/>
  <c r="BT325" i="19"/>
  <c r="EO325" i="19" s="1"/>
  <c r="CP317" i="19"/>
  <c r="FE317" i="19" s="1"/>
  <c r="CO317" i="19"/>
  <c r="FD317" i="19" s="1"/>
  <c r="BN44" i="19"/>
  <c r="BM44" i="19"/>
  <c r="EJ44" i="19" s="1"/>
  <c r="AZ172" i="19"/>
  <c r="AY172" i="19"/>
  <c r="DZ172" i="19" s="1"/>
  <c r="BG284" i="19"/>
  <c r="EF284" i="19" s="1"/>
  <c r="BF284" i="19"/>
  <c r="EE284" i="19" s="1"/>
  <c r="CB285" i="19"/>
  <c r="EU285" i="19" s="1"/>
  <c r="CA285" i="19"/>
  <c r="ET285" i="19" s="1"/>
  <c r="BG61" i="19"/>
  <c r="EF61" i="19" s="1"/>
  <c r="BF61" i="19"/>
  <c r="EE61" i="19" s="1"/>
  <c r="CP309" i="19"/>
  <c r="FE309" i="19" s="1"/>
  <c r="CO309" i="19"/>
  <c r="FD309" i="19" s="1"/>
  <c r="CB149" i="19"/>
  <c r="EU149" i="19" s="1"/>
  <c r="CA149" i="19"/>
  <c r="ET149" i="19" s="1"/>
  <c r="BG324" i="19"/>
  <c r="EF324" i="19" s="1"/>
  <c r="BF324" i="19"/>
  <c r="EE324" i="19" s="1"/>
  <c r="BU253" i="19"/>
  <c r="EP253" i="19" s="1"/>
  <c r="BT253" i="19"/>
  <c r="EO253" i="19" s="1"/>
  <c r="DD197" i="19"/>
  <c r="FO197" i="19" s="1"/>
  <c r="DC197" i="19"/>
  <c r="FN197" i="19" s="1"/>
  <c r="BU244" i="19"/>
  <c r="EP244" i="19" s="1"/>
  <c r="BT244" i="19"/>
  <c r="EO244" i="19" s="1"/>
  <c r="CW285" i="19"/>
  <c r="FJ285" i="19" s="1"/>
  <c r="CV285" i="19"/>
  <c r="FI285" i="19" s="1"/>
  <c r="CI165" i="19"/>
  <c r="EZ165" i="19" s="1"/>
  <c r="CH165" i="19"/>
  <c r="EY165" i="19" s="1"/>
  <c r="CW181" i="19"/>
  <c r="FJ181" i="19" s="1"/>
  <c r="CV181" i="19"/>
  <c r="FI181" i="19" s="1"/>
  <c r="BU93" i="19"/>
  <c r="EP93" i="19" s="1"/>
  <c r="BT93" i="19"/>
  <c r="EO93" i="19" s="1"/>
  <c r="CW101" i="19"/>
  <c r="FJ101" i="19" s="1"/>
  <c r="CV101" i="19"/>
  <c r="FI101" i="19" s="1"/>
  <c r="CP189" i="19"/>
  <c r="FE189" i="19" s="1"/>
  <c r="CO189" i="19"/>
  <c r="FD189" i="19" s="1"/>
  <c r="BN220" i="19"/>
  <c r="BM220" i="19"/>
  <c r="EJ220" i="19" s="1"/>
  <c r="DD261" i="19"/>
  <c r="FO261" i="19" s="1"/>
  <c r="DC261" i="19"/>
  <c r="FN261" i="19" s="1"/>
  <c r="CB269" i="19"/>
  <c r="EU269" i="19" s="1"/>
  <c r="CA269" i="19"/>
  <c r="ET269" i="19" s="1"/>
  <c r="CI308" i="19"/>
  <c r="EZ308" i="19" s="1"/>
  <c r="CH308" i="19"/>
  <c r="EY308" i="19" s="1"/>
  <c r="BN52" i="19"/>
  <c r="EK52" i="19" s="1"/>
  <c r="BM52" i="19"/>
  <c r="EJ52" i="19" s="1"/>
  <c r="CI293" i="19"/>
  <c r="EZ293" i="19" s="1"/>
  <c r="CH293" i="19"/>
  <c r="EY293" i="19" s="1"/>
  <c r="BN317" i="19"/>
  <c r="EK317" i="19" s="1"/>
  <c r="BM317" i="19"/>
  <c r="EJ317" i="19" s="1"/>
  <c r="CP253" i="19"/>
  <c r="FE253" i="19" s="1"/>
  <c r="CO253" i="19"/>
  <c r="FD253" i="19" s="1"/>
  <c r="CW292" i="19"/>
  <c r="CV292" i="19"/>
  <c r="FI292" i="19" s="1"/>
  <c r="BG157" i="19"/>
  <c r="EF157" i="19" s="1"/>
  <c r="BF157" i="19"/>
  <c r="EE157" i="19" s="1"/>
  <c r="AS69" i="19"/>
  <c r="DV69" i="19" s="1"/>
  <c r="AR69" i="19"/>
  <c r="DU69" i="19" s="1"/>
  <c r="BG180" i="19"/>
  <c r="EF180" i="19" s="1"/>
  <c r="BF180" i="19"/>
  <c r="EE180" i="19" s="1"/>
  <c r="CI36" i="19"/>
  <c r="EZ36" i="19" s="1"/>
  <c r="CH36" i="19"/>
  <c r="EY36" i="19" s="1"/>
  <c r="AZ292" i="19"/>
  <c r="EA292" i="19" s="1"/>
  <c r="AY292" i="19"/>
  <c r="DZ292" i="19" s="1"/>
  <c r="DD188" i="19"/>
  <c r="FO188" i="19" s="1"/>
  <c r="DC188" i="19"/>
  <c r="FN188" i="19" s="1"/>
  <c r="DD252" i="19"/>
  <c r="FO252" i="19" s="1"/>
  <c r="DC252" i="19"/>
  <c r="FN252" i="19" s="1"/>
  <c r="BN61" i="19"/>
  <c r="EK61" i="19" s="1"/>
  <c r="BM61" i="19"/>
  <c r="EJ61" i="19" s="1"/>
  <c r="BU45" i="19"/>
  <c r="EP45" i="19" s="1"/>
  <c r="BT45" i="19"/>
  <c r="EO45" i="19" s="1"/>
  <c r="CW324" i="19"/>
  <c r="FJ324" i="19" s="1"/>
  <c r="CV324" i="19"/>
  <c r="FI324" i="19" s="1"/>
  <c r="BG100" i="19"/>
  <c r="EF100" i="19" s="1"/>
  <c r="BF100" i="19"/>
  <c r="EE100" i="19" s="1"/>
  <c r="BN221" i="19"/>
  <c r="EK221" i="19" s="1"/>
  <c r="BM221" i="19"/>
  <c r="EJ221" i="19" s="1"/>
  <c r="BN228" i="19"/>
  <c r="EK228" i="19" s="1"/>
  <c r="BM228" i="19"/>
  <c r="EJ228" i="19" s="1"/>
  <c r="CB173" i="19"/>
  <c r="EU173" i="19" s="1"/>
  <c r="CA173" i="19"/>
  <c r="ET173" i="19" s="1"/>
  <c r="BU84" i="19"/>
  <c r="EP84" i="19" s="1"/>
  <c r="BT84" i="19"/>
  <c r="EO84" i="19" s="1"/>
  <c r="CI213" i="19"/>
  <c r="EZ213" i="19" s="1"/>
  <c r="CH213" i="19"/>
  <c r="EY213" i="19" s="1"/>
  <c r="CB316" i="19"/>
  <c r="EU316" i="19" s="1"/>
  <c r="CA316" i="19"/>
  <c r="ET316" i="19" s="1"/>
  <c r="CI100" i="19"/>
  <c r="CH100" i="19"/>
  <c r="EY100" i="19" s="1"/>
  <c r="BG277" i="19"/>
  <c r="EF277" i="19" s="1"/>
  <c r="BF277" i="19"/>
  <c r="EE277" i="19" s="1"/>
  <c r="CI260" i="19"/>
  <c r="CH260" i="19"/>
  <c r="EY260" i="19" s="1"/>
  <c r="CB45" i="19"/>
  <c r="EU45" i="19" s="1"/>
  <c r="CA45" i="19"/>
  <c r="ET45" i="19" s="1"/>
  <c r="BU205" i="19"/>
  <c r="EP205" i="19" s="1"/>
  <c r="BT205" i="19"/>
  <c r="EO205" i="19" s="1"/>
  <c r="DD44" i="19"/>
  <c r="DC44" i="19"/>
  <c r="FN44" i="19" s="1"/>
  <c r="BG76" i="19"/>
  <c r="EF76" i="19" s="1"/>
  <c r="BF76" i="19"/>
  <c r="EE76" i="19" s="1"/>
  <c r="CW28" i="19"/>
  <c r="FJ28" i="19" s="1"/>
  <c r="CV28" i="19"/>
  <c r="FI28" i="19" s="1"/>
  <c r="AC28" i="19"/>
  <c r="DJ28" i="19" s="1"/>
  <c r="AD28" i="19"/>
  <c r="DK28" i="19" s="1"/>
  <c r="BU124" i="19"/>
  <c r="EP124" i="19" s="1"/>
  <c r="BT124" i="19"/>
  <c r="EO124" i="19" s="1"/>
  <c r="DD284" i="19"/>
  <c r="FO284" i="19" s="1"/>
  <c r="DC284" i="19"/>
  <c r="FN284" i="19" s="1"/>
  <c r="BG77" i="19"/>
  <c r="EF77" i="19" s="1"/>
  <c r="BF77" i="19"/>
  <c r="EE77" i="19" s="1"/>
  <c r="AZ245" i="19"/>
  <c r="EA245" i="19" s="1"/>
  <c r="AY245" i="19"/>
  <c r="DZ245" i="19" s="1"/>
  <c r="AZ53" i="19"/>
  <c r="EA53" i="19" s="1"/>
  <c r="AY53" i="19"/>
  <c r="DZ53" i="19" s="1"/>
  <c r="BN252" i="19"/>
  <c r="EK252" i="19" s="1"/>
  <c r="BM252" i="19"/>
  <c r="EJ252" i="19" s="1"/>
  <c r="CW61" i="19"/>
  <c r="FJ61" i="19" s="1"/>
  <c r="CV61" i="19"/>
  <c r="FI61" i="19" s="1"/>
  <c r="CI37" i="19"/>
  <c r="EZ37" i="19" s="1"/>
  <c r="CH37" i="19"/>
  <c r="EY37" i="19" s="1"/>
  <c r="CI172" i="19"/>
  <c r="EZ172" i="19" s="1"/>
  <c r="CH172" i="19"/>
  <c r="EY172" i="19" s="1"/>
  <c r="BG84" i="19"/>
  <c r="BF84" i="19"/>
  <c r="EE84" i="19" s="1"/>
  <c r="BG293" i="19"/>
  <c r="EF293" i="19" s="1"/>
  <c r="BF293" i="19"/>
  <c r="EE293" i="19" s="1"/>
  <c r="CI220" i="19"/>
  <c r="EZ220" i="19" s="1"/>
  <c r="CH220" i="19"/>
  <c r="EY220" i="19" s="1"/>
  <c r="CB124" i="19"/>
  <c r="EU124" i="19" s="1"/>
  <c r="CA124" i="19"/>
  <c r="ET124" i="19" s="1"/>
  <c r="DD196" i="19"/>
  <c r="DC196" i="19"/>
  <c r="FN196" i="19" s="1"/>
  <c r="AZ108" i="19"/>
  <c r="EA108" i="19" s="1"/>
  <c r="AY108" i="19"/>
  <c r="DZ108" i="19" s="1"/>
  <c r="CW276" i="19"/>
  <c r="FJ276" i="19" s="1"/>
  <c r="CV276" i="19"/>
  <c r="FI276" i="19" s="1"/>
  <c r="CB284" i="19"/>
  <c r="EU284" i="19" s="1"/>
  <c r="CA284" i="19"/>
  <c r="ET284" i="19" s="1"/>
  <c r="DD45" i="19"/>
  <c r="FO45" i="19" s="1"/>
  <c r="DC45" i="19"/>
  <c r="FN45" i="19" s="1"/>
  <c r="BU261" i="19"/>
  <c r="EP261" i="19" s="1"/>
  <c r="BT261" i="19"/>
  <c r="EO261" i="19" s="1"/>
  <c r="AZ228" i="19"/>
  <c r="EA228" i="19" s="1"/>
  <c r="AY228" i="19"/>
  <c r="DZ228" i="19" s="1"/>
  <c r="CI285" i="19"/>
  <c r="EZ285" i="19" s="1"/>
  <c r="CH285" i="19"/>
  <c r="EY285" i="19" s="1"/>
  <c r="BG252" i="19"/>
  <c r="EF252" i="19" s="1"/>
  <c r="BF252" i="19"/>
  <c r="EE252" i="19" s="1"/>
  <c r="BG93" i="19"/>
  <c r="EF93" i="19" s="1"/>
  <c r="BF93" i="19"/>
  <c r="EE93" i="19" s="1"/>
  <c r="CW229" i="19"/>
  <c r="FJ229" i="19" s="1"/>
  <c r="CV229" i="19"/>
  <c r="FI229" i="19" s="1"/>
  <c r="CB60" i="19"/>
  <c r="EU60" i="19" s="1"/>
  <c r="CA60" i="19"/>
  <c r="ET60" i="19" s="1"/>
  <c r="CI28" i="19"/>
  <c r="EZ28" i="19" s="1"/>
  <c r="CH28" i="19"/>
  <c r="EY28" i="19" s="1"/>
  <c r="CW100" i="19"/>
  <c r="FJ100" i="19" s="1"/>
  <c r="CV100" i="19"/>
  <c r="FI100" i="19" s="1"/>
  <c r="BG124" i="19"/>
  <c r="EF124" i="19" s="1"/>
  <c r="BF124" i="19"/>
  <c r="EE124" i="19" s="1"/>
  <c r="CB300" i="19"/>
  <c r="EU300" i="19" s="1"/>
  <c r="CA300" i="19"/>
  <c r="ET300" i="19" s="1"/>
  <c r="CP140" i="19"/>
  <c r="CO140" i="19"/>
  <c r="FD140" i="19" s="1"/>
  <c r="CW148" i="19"/>
  <c r="FJ148" i="19" s="1"/>
  <c r="CV148" i="19"/>
  <c r="FI148" i="19" s="1"/>
  <c r="CB156" i="19"/>
  <c r="CA156" i="19"/>
  <c r="ET156" i="19" s="1"/>
  <c r="DD253" i="19"/>
  <c r="FO253" i="19" s="1"/>
  <c r="DC253" i="19"/>
  <c r="FN253" i="19" s="1"/>
  <c r="BG268" i="19"/>
  <c r="BF268" i="19"/>
  <c r="EE268" i="19" s="1"/>
  <c r="CI140" i="19"/>
  <c r="EZ140" i="19" s="1"/>
  <c r="CH140" i="19"/>
  <c r="EY140" i="19" s="1"/>
  <c r="AZ124" i="19"/>
  <c r="EA124" i="19" s="1"/>
  <c r="AY124" i="19"/>
  <c r="DZ124" i="19" s="1"/>
  <c r="CI12" i="19"/>
  <c r="EZ12" i="19" s="1"/>
  <c r="CH12" i="19"/>
  <c r="EY12" i="19" s="1"/>
  <c r="BG12" i="19"/>
  <c r="EF12" i="19" s="1"/>
  <c r="BF12" i="19"/>
  <c r="EE12" i="19" s="1"/>
  <c r="EO17" i="19"/>
  <c r="DA17" i="19"/>
  <c r="FL17" i="19" s="1"/>
  <c r="DC17" i="19"/>
  <c r="CB12" i="19"/>
  <c r="EU12" i="19" s="1"/>
  <c r="CA12" i="19"/>
  <c r="ET12" i="19" s="1"/>
  <c r="AS316" i="19"/>
  <c r="DV316" i="19" s="1"/>
  <c r="AR316" i="19"/>
  <c r="DU316" i="19" s="1"/>
  <c r="AZ6" i="35"/>
  <c r="CP66" i="19"/>
  <c r="CO66" i="19"/>
  <c r="FD66" i="19" s="1"/>
  <c r="AZ130" i="19"/>
  <c r="EA130" i="19" s="1"/>
  <c r="AY130" i="19"/>
  <c r="DZ130" i="19" s="1"/>
  <c r="CB315" i="19"/>
  <c r="CA315" i="19"/>
  <c r="ET315" i="19" s="1"/>
  <c r="CJ40" i="35"/>
  <c r="FS40" i="35" s="1"/>
  <c r="DK297" i="19"/>
  <c r="CP171" i="19"/>
  <c r="CO171" i="19"/>
  <c r="FD171" i="19" s="1"/>
  <c r="BN137" i="19"/>
  <c r="BM137" i="19"/>
  <c r="EJ137" i="19" s="1"/>
  <c r="DD74" i="19"/>
  <c r="DC74" i="19"/>
  <c r="FN74" i="19" s="1"/>
  <c r="BN121" i="19"/>
  <c r="BM121" i="19"/>
  <c r="EJ121" i="19" s="1"/>
  <c r="CJ33" i="35"/>
  <c r="FS33" i="35" s="1"/>
  <c r="DK241" i="19"/>
  <c r="CB59" i="19"/>
  <c r="CA59" i="19"/>
  <c r="ET59" i="19" s="1"/>
  <c r="AS250" i="19"/>
  <c r="DV250" i="19" s="1"/>
  <c r="AR250" i="19"/>
  <c r="DU250" i="19" s="1"/>
  <c r="CB297" i="19"/>
  <c r="CA297" i="19"/>
  <c r="ET297" i="19" s="1"/>
  <c r="AS105" i="19"/>
  <c r="DV105" i="19" s="1"/>
  <c r="AR105" i="19"/>
  <c r="DU105" i="19" s="1"/>
  <c r="CI289" i="19"/>
  <c r="CH289" i="19"/>
  <c r="EY289" i="19" s="1"/>
  <c r="DD121" i="19"/>
  <c r="DC121" i="19"/>
  <c r="FN121" i="19" s="1"/>
  <c r="BU58" i="19"/>
  <c r="BT58" i="19"/>
  <c r="EO58" i="19" s="1"/>
  <c r="AZ106" i="19"/>
  <c r="AY106" i="19"/>
  <c r="DZ106" i="19" s="1"/>
  <c r="BN74" i="19"/>
  <c r="BM74" i="19"/>
  <c r="EJ74" i="19" s="1"/>
  <c r="AS82" i="19"/>
  <c r="DV82" i="19" s="1"/>
  <c r="AR82" i="19"/>
  <c r="DU82" i="19" s="1"/>
  <c r="CP322" i="19"/>
  <c r="FE322" i="19" s="1"/>
  <c r="CO322" i="19"/>
  <c r="FD322" i="19" s="1"/>
  <c r="AS90" i="19"/>
  <c r="DV90" i="19" s="1"/>
  <c r="AR90" i="19"/>
  <c r="DU90" i="19" s="1"/>
  <c r="CP58" i="19"/>
  <c r="CO58" i="19"/>
  <c r="FD58" i="19" s="1"/>
  <c r="CI121" i="19"/>
  <c r="CH121" i="19"/>
  <c r="EY121" i="19" s="1"/>
  <c r="BG131" i="19"/>
  <c r="BF131" i="19"/>
  <c r="EE131" i="19" s="1"/>
  <c r="CI186" i="19"/>
  <c r="CH186" i="19"/>
  <c r="EY186" i="19" s="1"/>
  <c r="CB91" i="19"/>
  <c r="CA91" i="19"/>
  <c r="ET91" i="19" s="1"/>
  <c r="CP251" i="19"/>
  <c r="CO251" i="19"/>
  <c r="FD251" i="19" s="1"/>
  <c r="BN89" i="19"/>
  <c r="BM89" i="19"/>
  <c r="EJ89" i="19" s="1"/>
  <c r="CP290" i="19"/>
  <c r="CO290" i="19"/>
  <c r="FD290" i="19" s="1"/>
  <c r="BG50" i="19"/>
  <c r="BF50" i="19"/>
  <c r="EE50" i="19" s="1"/>
  <c r="BG185" i="19"/>
  <c r="BF185" i="19"/>
  <c r="EE185" i="19" s="1"/>
  <c r="BG59" i="19"/>
  <c r="BF59" i="19"/>
  <c r="EE59" i="19" s="1"/>
  <c r="BN235" i="19"/>
  <c r="EK235" i="19" s="1"/>
  <c r="BM235" i="19"/>
  <c r="EJ235" i="19" s="1"/>
  <c r="BN186" i="19"/>
  <c r="BM186" i="19"/>
  <c r="EJ186" i="19" s="1"/>
  <c r="BU83" i="19"/>
  <c r="BT83" i="19"/>
  <c r="EO83" i="19" s="1"/>
  <c r="BK25" i="19"/>
  <c r="EH25" i="19" s="1"/>
  <c r="BM25" i="19"/>
  <c r="BD27" i="19"/>
  <c r="EC27" i="19" s="1"/>
  <c r="BF27" i="19"/>
  <c r="BU301" i="19"/>
  <c r="EP301" i="19" s="1"/>
  <c r="BT301" i="19"/>
  <c r="EO301" i="19" s="1"/>
  <c r="CI148" i="19"/>
  <c r="EZ148" i="19" s="1"/>
  <c r="CH148" i="19"/>
  <c r="EY148" i="19" s="1"/>
  <c r="CI44" i="19"/>
  <c r="CH44" i="19"/>
  <c r="EY44" i="19" s="1"/>
  <c r="CW124" i="19"/>
  <c r="FJ124" i="19" s="1"/>
  <c r="CV124" i="19"/>
  <c r="FI124" i="19" s="1"/>
  <c r="CW252" i="19"/>
  <c r="FJ252" i="19" s="1"/>
  <c r="CV252" i="19"/>
  <c r="FI252" i="19" s="1"/>
  <c r="CI229" i="19"/>
  <c r="EZ229" i="19" s="1"/>
  <c r="CH229" i="19"/>
  <c r="EY229" i="19" s="1"/>
  <c r="CW301" i="19"/>
  <c r="FJ301" i="19" s="1"/>
  <c r="CV301" i="19"/>
  <c r="FI301" i="19" s="1"/>
  <c r="CB181" i="19"/>
  <c r="EU181" i="19" s="1"/>
  <c r="CA181" i="19"/>
  <c r="ET181" i="19" s="1"/>
  <c r="BU157" i="19"/>
  <c r="EP157" i="19" s="1"/>
  <c r="BT157" i="19"/>
  <c r="EO157" i="19" s="1"/>
  <c r="DD325" i="19"/>
  <c r="FO325" i="19" s="1"/>
  <c r="DC325" i="19"/>
  <c r="FN325" i="19" s="1"/>
  <c r="BU148" i="19"/>
  <c r="EP148" i="19" s="1"/>
  <c r="BT148" i="19"/>
  <c r="EO148" i="19" s="1"/>
  <c r="BU68" i="19"/>
  <c r="EP68" i="19" s="1"/>
  <c r="BT68" i="19"/>
  <c r="EO68" i="19" s="1"/>
  <c r="AZ61" i="19"/>
  <c r="EA61" i="19" s="1"/>
  <c r="AY61" i="19"/>
  <c r="DZ61" i="19" s="1"/>
  <c r="CI181" i="19"/>
  <c r="EZ181" i="19" s="1"/>
  <c r="CH181" i="19"/>
  <c r="EY181" i="19" s="1"/>
  <c r="BN261" i="19"/>
  <c r="EK261" i="19" s="1"/>
  <c r="BM261" i="19"/>
  <c r="EJ261" i="19" s="1"/>
  <c r="BG261" i="19"/>
  <c r="EF261" i="19" s="1"/>
  <c r="BF261" i="19"/>
  <c r="EE261" i="19" s="1"/>
  <c r="BG148" i="19"/>
  <c r="EF148" i="19" s="1"/>
  <c r="BF148" i="19"/>
  <c r="EE148" i="19" s="1"/>
  <c r="BG60" i="19"/>
  <c r="EF60" i="19" s="1"/>
  <c r="BF60" i="19"/>
  <c r="EE60" i="19" s="1"/>
  <c r="AS188" i="19"/>
  <c r="DV188" i="19" s="1"/>
  <c r="AR188" i="19"/>
  <c r="DU188" i="19" s="1"/>
  <c r="AS252" i="19"/>
  <c r="DV252" i="19" s="1"/>
  <c r="AR252" i="19"/>
  <c r="DU252" i="19" s="1"/>
  <c r="CP69" i="19"/>
  <c r="FE69" i="19" s="1"/>
  <c r="CO69" i="19"/>
  <c r="FD69" i="19" s="1"/>
  <c r="CW205" i="19"/>
  <c r="FJ205" i="19" s="1"/>
  <c r="CV205" i="19"/>
  <c r="FI205" i="19" s="1"/>
  <c r="BN84" i="19"/>
  <c r="EK84" i="19" s="1"/>
  <c r="BM84" i="19"/>
  <c r="EJ84" i="19" s="1"/>
  <c r="CI69" i="19"/>
  <c r="EZ69" i="19" s="1"/>
  <c r="CH69" i="19"/>
  <c r="EY69" i="19" s="1"/>
  <c r="AS28" i="19"/>
  <c r="DV28" i="19" s="1"/>
  <c r="AR28" i="19"/>
  <c r="DU28" i="19" s="1"/>
  <c r="CB109" i="19"/>
  <c r="EU109" i="19" s="1"/>
  <c r="CA109" i="19"/>
  <c r="ET109" i="19" s="1"/>
  <c r="CP260" i="19"/>
  <c r="FE260" i="19" s="1"/>
  <c r="CO260" i="19"/>
  <c r="FD260" i="19" s="1"/>
  <c r="CB101" i="19"/>
  <c r="EU101" i="19" s="1"/>
  <c r="CA101" i="19"/>
  <c r="ET101" i="19" s="1"/>
  <c r="AZ276" i="19"/>
  <c r="EA276" i="19" s="1"/>
  <c r="AY276" i="19"/>
  <c r="DZ276" i="19" s="1"/>
  <c r="CP276" i="19"/>
  <c r="FE276" i="19" s="1"/>
  <c r="CO276" i="19"/>
  <c r="FD276" i="19" s="1"/>
  <c r="BU101" i="19"/>
  <c r="EP101" i="19" s="1"/>
  <c r="BT101" i="19"/>
  <c r="EO101" i="19" s="1"/>
  <c r="CI92" i="19"/>
  <c r="EZ92" i="19" s="1"/>
  <c r="CH92" i="19"/>
  <c r="EY92" i="19" s="1"/>
  <c r="CI156" i="19"/>
  <c r="CH156" i="19"/>
  <c r="EY156" i="19" s="1"/>
  <c r="CP188" i="19"/>
  <c r="FE188" i="19" s="1"/>
  <c r="CO188" i="19"/>
  <c r="FD188" i="19" s="1"/>
  <c r="CB268" i="19"/>
  <c r="CA268" i="19"/>
  <c r="ET268" i="19" s="1"/>
  <c r="CP316" i="19"/>
  <c r="FE316" i="19" s="1"/>
  <c r="CO316" i="19"/>
  <c r="FD316" i="19" s="1"/>
  <c r="CP132" i="19"/>
  <c r="CO132" i="19"/>
  <c r="FD132" i="19" s="1"/>
  <c r="AS141" i="19"/>
  <c r="DV141" i="19" s="1"/>
  <c r="AR141" i="19"/>
  <c r="DU141" i="19" s="1"/>
  <c r="CI149" i="19"/>
  <c r="EZ149" i="19" s="1"/>
  <c r="CH149" i="19"/>
  <c r="EY149" i="19" s="1"/>
  <c r="BG132" i="19"/>
  <c r="EF132" i="19" s="1"/>
  <c r="BF132" i="19"/>
  <c r="EE132" i="19" s="1"/>
  <c r="DD125" i="19"/>
  <c r="FO125" i="19" s="1"/>
  <c r="DC125" i="19"/>
  <c r="FN125" i="19" s="1"/>
  <c r="CW117" i="19"/>
  <c r="FJ117" i="19" s="1"/>
  <c r="CV117" i="19"/>
  <c r="FI117" i="19" s="1"/>
  <c r="BN37" i="19"/>
  <c r="EK37" i="19" s="1"/>
  <c r="BM37" i="19"/>
  <c r="EJ37" i="19" s="1"/>
  <c r="CB141" i="19"/>
  <c r="EU141" i="19" s="1"/>
  <c r="CA141" i="19"/>
  <c r="ET141" i="19" s="1"/>
  <c r="BU324" i="19"/>
  <c r="EP324" i="19" s="1"/>
  <c r="BT324" i="19"/>
  <c r="EO324" i="19" s="1"/>
  <c r="DD157" i="19"/>
  <c r="FO157" i="19" s="1"/>
  <c r="DC157" i="19"/>
  <c r="FN157" i="19" s="1"/>
  <c r="AC20" i="19"/>
  <c r="DJ20" i="19" s="1"/>
  <c r="AD20" i="19"/>
  <c r="DK20" i="19" s="1"/>
  <c r="BG92" i="19"/>
  <c r="EF92" i="19" s="1"/>
  <c r="BF92" i="19"/>
  <c r="EE92" i="19" s="1"/>
  <c r="BG188" i="19"/>
  <c r="EF188" i="19" s="1"/>
  <c r="BF188" i="19"/>
  <c r="EE188" i="19" s="1"/>
  <c r="CI93" i="19"/>
  <c r="EZ93" i="19" s="1"/>
  <c r="CH93" i="19"/>
  <c r="EY93" i="19" s="1"/>
  <c r="CW45" i="19"/>
  <c r="FJ45" i="19" s="1"/>
  <c r="CV45" i="19"/>
  <c r="FI45" i="19" s="1"/>
  <c r="CP308" i="19"/>
  <c r="FE308" i="19" s="1"/>
  <c r="CO308" i="19"/>
  <c r="FD308" i="19" s="1"/>
  <c r="CB148" i="19"/>
  <c r="EU148" i="19" s="1"/>
  <c r="CA148" i="19"/>
  <c r="ET148" i="19" s="1"/>
  <c r="BG292" i="19"/>
  <c r="EF292" i="19" s="1"/>
  <c r="BF292" i="19"/>
  <c r="EE292" i="19" s="1"/>
  <c r="BN157" i="19"/>
  <c r="EK157" i="19" s="1"/>
  <c r="BM157" i="19"/>
  <c r="EJ157" i="19" s="1"/>
  <c r="CP292" i="19"/>
  <c r="FE292" i="19" s="1"/>
  <c r="CO292" i="19"/>
  <c r="FD292" i="19" s="1"/>
  <c r="BU245" i="19"/>
  <c r="EP245" i="19" s="1"/>
  <c r="BT245" i="19"/>
  <c r="EO245" i="19" s="1"/>
  <c r="CI29" i="19"/>
  <c r="EZ29" i="19" s="1"/>
  <c r="CH29" i="19"/>
  <c r="EY29" i="19" s="1"/>
  <c r="CI164" i="19"/>
  <c r="EZ164" i="19" s="1"/>
  <c r="CH164" i="19"/>
  <c r="EY164" i="19" s="1"/>
  <c r="CP125" i="19"/>
  <c r="FE125" i="19" s="1"/>
  <c r="CO125" i="19"/>
  <c r="FD125" i="19" s="1"/>
  <c r="CW293" i="19"/>
  <c r="FJ293" i="19" s="1"/>
  <c r="CV293" i="19"/>
  <c r="FI293" i="19" s="1"/>
  <c r="BN285" i="19"/>
  <c r="EK285" i="19" s="1"/>
  <c r="BM285" i="19"/>
  <c r="EJ285" i="19" s="1"/>
  <c r="AS60" i="19"/>
  <c r="DV60" i="19" s="1"/>
  <c r="AR60" i="19"/>
  <c r="DU60" i="19" s="1"/>
  <c r="CW236" i="19"/>
  <c r="FJ236" i="19" s="1"/>
  <c r="CV236" i="19"/>
  <c r="FI236" i="19" s="1"/>
  <c r="BU316" i="19"/>
  <c r="EP316" i="19" s="1"/>
  <c r="BT316" i="19"/>
  <c r="EO316" i="19" s="1"/>
  <c r="DD260" i="19"/>
  <c r="FO260" i="19" s="1"/>
  <c r="DC260" i="19"/>
  <c r="FN260" i="19" s="1"/>
  <c r="AZ173" i="19"/>
  <c r="EA173" i="19" s="1"/>
  <c r="AY173" i="19"/>
  <c r="DZ173" i="19" s="1"/>
  <c r="BN212" i="19"/>
  <c r="BM212" i="19"/>
  <c r="EJ212" i="19" s="1"/>
  <c r="AS324" i="19"/>
  <c r="DV324" i="19" s="1"/>
  <c r="AR324" i="19"/>
  <c r="DU324" i="19" s="1"/>
  <c r="CI292" i="19"/>
  <c r="EZ292" i="19" s="1"/>
  <c r="CH292" i="19"/>
  <c r="EY292" i="19" s="1"/>
  <c r="CI253" i="19"/>
  <c r="EZ253" i="19" s="1"/>
  <c r="CH253" i="19"/>
  <c r="EY253" i="19" s="1"/>
  <c r="BN93" i="19"/>
  <c r="EK93" i="19" s="1"/>
  <c r="BM93" i="19"/>
  <c r="EJ93" i="19" s="1"/>
  <c r="AC21" i="19"/>
  <c r="DJ21" i="19" s="1"/>
  <c r="AD21" i="19"/>
  <c r="DK21" i="19" s="1"/>
  <c r="AS85" i="19"/>
  <c r="DV85" i="19" s="1"/>
  <c r="AR85" i="19"/>
  <c r="DU85" i="19" s="1"/>
  <c r="CW29" i="19"/>
  <c r="FJ29" i="19" s="1"/>
  <c r="CV29" i="19"/>
  <c r="FI29" i="19" s="1"/>
  <c r="AS68" i="19"/>
  <c r="DV68" i="19" s="1"/>
  <c r="AR68" i="19"/>
  <c r="DU68" i="19" s="1"/>
  <c r="BG181" i="19"/>
  <c r="EF181" i="19" s="1"/>
  <c r="BF181" i="19"/>
  <c r="EE181" i="19" s="1"/>
  <c r="BU228" i="19"/>
  <c r="EP228" i="19" s="1"/>
  <c r="BT228" i="19"/>
  <c r="EO228" i="19" s="1"/>
  <c r="BU92" i="19"/>
  <c r="EP92" i="19" s="1"/>
  <c r="BT92" i="19"/>
  <c r="EO92" i="19" s="1"/>
  <c r="BU188" i="19"/>
  <c r="EP188" i="19" s="1"/>
  <c r="BT188" i="19"/>
  <c r="EO188" i="19" s="1"/>
  <c r="BU284" i="19"/>
  <c r="EP284" i="19" s="1"/>
  <c r="BT284" i="19"/>
  <c r="EO284" i="19" s="1"/>
  <c r="CP141" i="19"/>
  <c r="FE141" i="19" s="1"/>
  <c r="CO141" i="19"/>
  <c r="FD141" i="19" s="1"/>
  <c r="CB213" i="19"/>
  <c r="EU213" i="19" s="1"/>
  <c r="CA213" i="19"/>
  <c r="ET213" i="19" s="1"/>
  <c r="CP164" i="19"/>
  <c r="FE164" i="19" s="1"/>
  <c r="CO164" i="19"/>
  <c r="FD164" i="19" s="1"/>
  <c r="BG317" i="19"/>
  <c r="EF317" i="19" s="1"/>
  <c r="BF317" i="19"/>
  <c r="EE317" i="19" s="1"/>
  <c r="AZ68" i="19"/>
  <c r="EA68" i="19" s="1"/>
  <c r="AY68" i="19"/>
  <c r="DZ68" i="19" s="1"/>
  <c r="AS157" i="19"/>
  <c r="DV157" i="19" s="1"/>
  <c r="AR157" i="19"/>
  <c r="DU157" i="19" s="1"/>
  <c r="BU85" i="19"/>
  <c r="EP85" i="19" s="1"/>
  <c r="BT85" i="19"/>
  <c r="EO85" i="19" s="1"/>
  <c r="CI212" i="19"/>
  <c r="EZ212" i="19" s="1"/>
  <c r="CH212" i="19"/>
  <c r="EY212" i="19" s="1"/>
  <c r="CW157" i="19"/>
  <c r="FJ157" i="19" s="1"/>
  <c r="CV157" i="19"/>
  <c r="FI157" i="19" s="1"/>
  <c r="CI76" i="19"/>
  <c r="EZ76" i="19" s="1"/>
  <c r="CH76" i="19"/>
  <c r="EY76" i="19" s="1"/>
  <c r="BN29" i="19"/>
  <c r="EK29" i="19" s="1"/>
  <c r="BM29" i="19"/>
  <c r="EJ29" i="19" s="1"/>
  <c r="AZ44" i="19"/>
  <c r="AY44" i="19"/>
  <c r="DZ44" i="19" s="1"/>
  <c r="BU164" i="19"/>
  <c r="EP164" i="19" s="1"/>
  <c r="BT164" i="19"/>
  <c r="EO164" i="19" s="1"/>
  <c r="BU317" i="19"/>
  <c r="EP317" i="19" s="1"/>
  <c r="BT317" i="19"/>
  <c r="EO317" i="19" s="1"/>
  <c r="CI133" i="19"/>
  <c r="EZ133" i="19" s="1"/>
  <c r="CH133" i="19"/>
  <c r="EY133" i="19" s="1"/>
  <c r="AS109" i="19"/>
  <c r="DV109" i="19" s="1"/>
  <c r="AR109" i="19"/>
  <c r="DU109" i="19" s="1"/>
  <c r="BU197" i="19"/>
  <c r="EP197" i="19" s="1"/>
  <c r="BT197" i="19"/>
  <c r="EO197" i="19" s="1"/>
  <c r="CI189" i="19"/>
  <c r="EZ189" i="19" s="1"/>
  <c r="CH189" i="19"/>
  <c r="EY189" i="19" s="1"/>
  <c r="AS29" i="19"/>
  <c r="DV29" i="19" s="1"/>
  <c r="AR29" i="19"/>
  <c r="DU29" i="19" s="1"/>
  <c r="DD317" i="19"/>
  <c r="FO317" i="19" s="1"/>
  <c r="DC317" i="19"/>
  <c r="FN317" i="19" s="1"/>
  <c r="CP172" i="19"/>
  <c r="FE172" i="19" s="1"/>
  <c r="CO172" i="19"/>
  <c r="FD172" i="19" s="1"/>
  <c r="CP277" i="19"/>
  <c r="FE277" i="19" s="1"/>
  <c r="CO277" i="19"/>
  <c r="FD277" i="19" s="1"/>
  <c r="BU52" i="19"/>
  <c r="EP52" i="19" s="1"/>
  <c r="BT52" i="19"/>
  <c r="EO52" i="19" s="1"/>
  <c r="CB69" i="19"/>
  <c r="EU69" i="19" s="1"/>
  <c r="CA69" i="19"/>
  <c r="ET69" i="19" s="1"/>
  <c r="EE17" i="19"/>
  <c r="CP12" i="19"/>
  <c r="FE12" i="19" s="1"/>
  <c r="CO12" i="19"/>
  <c r="FD12" i="19" s="1"/>
  <c r="AS244" i="19"/>
  <c r="DV244" i="19" s="1"/>
  <c r="AR244" i="19"/>
  <c r="DU244" i="19" s="1"/>
  <c r="AS172" i="19"/>
  <c r="DV172" i="19" s="1"/>
  <c r="AR172" i="19"/>
  <c r="DU172" i="19" s="1"/>
  <c r="DU289" i="19"/>
  <c r="CX39" i="35"/>
  <c r="GU39" i="35" s="1"/>
  <c r="DU297" i="19"/>
  <c r="CX40" i="35"/>
  <c r="GU40" i="35" s="1"/>
  <c r="DU145" i="19"/>
  <c r="CX21" i="35"/>
  <c r="GU21" i="35" s="1"/>
  <c r="EJ17" i="19"/>
  <c r="DS5" i="35"/>
  <c r="IK5" i="35" s="1"/>
  <c r="DE38" i="35"/>
  <c r="HI38" i="35" s="1"/>
  <c r="CB249" i="19"/>
  <c r="CA249" i="19"/>
  <c r="ET249" i="19" s="1"/>
  <c r="DD281" i="19"/>
  <c r="DC281" i="19"/>
  <c r="FN281" i="19" s="1"/>
  <c r="CB145" i="19"/>
  <c r="EU145" i="19" s="1"/>
  <c r="CA145" i="19"/>
  <c r="ET145" i="19" s="1"/>
  <c r="BG323" i="19"/>
  <c r="EF323" i="19" s="1"/>
  <c r="BF323" i="19"/>
  <c r="EE323" i="19" s="1"/>
  <c r="BG291" i="19"/>
  <c r="BF291" i="19"/>
  <c r="EE291" i="19" s="1"/>
  <c r="BU251" i="19"/>
  <c r="BT251" i="19"/>
  <c r="EO251" i="19" s="1"/>
  <c r="CW91" i="19"/>
  <c r="CV91" i="19"/>
  <c r="FI91" i="19" s="1"/>
  <c r="DD321" i="19"/>
  <c r="FO321" i="19" s="1"/>
  <c r="DC321" i="19"/>
  <c r="FN321" i="19" s="1"/>
  <c r="DD186" i="19"/>
  <c r="DC186" i="19"/>
  <c r="FN186" i="19" s="1"/>
  <c r="AS235" i="19"/>
  <c r="DV235" i="19" s="1"/>
  <c r="AR235" i="19"/>
  <c r="DU235" i="19" s="1"/>
  <c r="BU322" i="19"/>
  <c r="BT322" i="19"/>
  <c r="EO322" i="19" s="1"/>
  <c r="AS129" i="19"/>
  <c r="DV129" i="19" s="1"/>
  <c r="AR129" i="19"/>
  <c r="DU129" i="19" s="1"/>
  <c r="CI65" i="19"/>
  <c r="CH65" i="19"/>
  <c r="EY65" i="19" s="1"/>
  <c r="AZ290" i="19"/>
  <c r="AY290" i="19"/>
  <c r="DZ290" i="19" s="1"/>
  <c r="BU282" i="19"/>
  <c r="BT282" i="19"/>
  <c r="EO282" i="19" s="1"/>
  <c r="CW249" i="19"/>
  <c r="CV249" i="19"/>
  <c r="FI249" i="19" s="1"/>
  <c r="CW315" i="19"/>
  <c r="CV315" i="19"/>
  <c r="FI315" i="19" s="1"/>
  <c r="BN321" i="19"/>
  <c r="EK321" i="19" s="1"/>
  <c r="BM321" i="19"/>
  <c r="EJ321" i="19" s="1"/>
  <c r="DD65" i="19"/>
  <c r="DC65" i="19"/>
  <c r="FN65" i="19" s="1"/>
  <c r="BN313" i="19"/>
  <c r="BM313" i="19"/>
  <c r="EJ313" i="19" s="1"/>
  <c r="BN281" i="19"/>
  <c r="BM281" i="19"/>
  <c r="EJ281" i="19" s="1"/>
  <c r="CM9" i="19"/>
  <c r="FB9" i="19" s="1"/>
  <c r="CO9" i="19"/>
  <c r="BU66" i="19"/>
  <c r="BT66" i="19"/>
  <c r="EO66" i="19" s="1"/>
  <c r="DK289" i="19"/>
  <c r="CJ39" i="35"/>
  <c r="FS39" i="35" s="1"/>
  <c r="BG283" i="19"/>
  <c r="BF283" i="19"/>
  <c r="EE283" i="19" s="1"/>
  <c r="BG145" i="19"/>
  <c r="EF145" i="19" s="1"/>
  <c r="BF145" i="19"/>
  <c r="EE145" i="19" s="1"/>
  <c r="CJ38" i="35"/>
  <c r="FS38" i="35" s="1"/>
  <c r="DK281" i="19"/>
  <c r="DD235" i="19"/>
  <c r="DC235" i="19"/>
  <c r="FN235" i="19" s="1"/>
  <c r="AZ242" i="19"/>
  <c r="AY242" i="19"/>
  <c r="DZ242" i="19" s="1"/>
  <c r="CP122" i="19"/>
  <c r="CO122" i="19"/>
  <c r="FD122" i="19" s="1"/>
  <c r="AS243" i="19"/>
  <c r="DV243" i="19" s="1"/>
  <c r="AR243" i="19"/>
  <c r="DU243" i="19" s="1"/>
  <c r="BU90" i="19"/>
  <c r="BT90" i="19"/>
  <c r="EO90" i="19" s="1"/>
  <c r="AS121" i="19"/>
  <c r="DV121" i="19" s="1"/>
  <c r="AR121" i="19"/>
  <c r="DU121" i="19" s="1"/>
  <c r="BA9" i="19"/>
  <c r="EB9" i="19" s="1"/>
  <c r="AY9" i="19"/>
  <c r="AW26" i="19"/>
  <c r="DX26" i="19" s="1"/>
  <c r="AY26" i="19"/>
  <c r="BU100" i="19"/>
  <c r="EP100" i="19" s="1"/>
  <c r="BT100" i="19"/>
  <c r="EO100" i="19" s="1"/>
  <c r="BU165" i="19"/>
  <c r="EP165" i="19" s="1"/>
  <c r="BT165" i="19"/>
  <c r="EO165" i="19" s="1"/>
  <c r="BU196" i="19"/>
  <c r="EP196" i="19" s="1"/>
  <c r="BT196" i="19"/>
  <c r="EO196" i="19" s="1"/>
  <c r="CW188" i="19"/>
  <c r="FJ188" i="19" s="1"/>
  <c r="CV188" i="19"/>
  <c r="FI188" i="19" s="1"/>
  <c r="BU300" i="19"/>
  <c r="EP300" i="19" s="1"/>
  <c r="BT300" i="19"/>
  <c r="EO300" i="19" s="1"/>
  <c r="CI228" i="19"/>
  <c r="EZ228" i="19" s="1"/>
  <c r="CH228" i="19"/>
  <c r="EY228" i="19" s="1"/>
  <c r="AS205" i="19"/>
  <c r="DV205" i="19" s="1"/>
  <c r="AR205" i="19"/>
  <c r="DU205" i="19" s="1"/>
  <c r="CB180" i="19"/>
  <c r="CA180" i="19"/>
  <c r="ET180" i="19" s="1"/>
  <c r="CW125" i="19"/>
  <c r="FJ125" i="19" s="1"/>
  <c r="CV125" i="19"/>
  <c r="FI125" i="19" s="1"/>
  <c r="CW37" i="19"/>
  <c r="FJ37" i="19" s="1"/>
  <c r="CV37" i="19"/>
  <c r="FI37" i="19" s="1"/>
  <c r="BG253" i="19"/>
  <c r="EF253" i="19" s="1"/>
  <c r="BF253" i="19"/>
  <c r="EE253" i="19" s="1"/>
  <c r="BU149" i="19"/>
  <c r="EP149" i="19" s="1"/>
  <c r="BT149" i="19"/>
  <c r="EO149" i="19" s="1"/>
  <c r="BU69" i="19"/>
  <c r="EP69" i="19" s="1"/>
  <c r="BT69" i="19"/>
  <c r="EO69" i="19" s="1"/>
  <c r="CI125" i="19"/>
  <c r="EZ125" i="19" s="1"/>
  <c r="CH125" i="19"/>
  <c r="EY125" i="19" s="1"/>
  <c r="CB189" i="19"/>
  <c r="EU189" i="19" s="1"/>
  <c r="CA189" i="19"/>
  <c r="ET189" i="19" s="1"/>
  <c r="BN260" i="19"/>
  <c r="EK260" i="19" s="1"/>
  <c r="BM260" i="19"/>
  <c r="EJ260" i="19" s="1"/>
  <c r="CW221" i="19"/>
  <c r="FJ221" i="19" s="1"/>
  <c r="CV221" i="19"/>
  <c r="FI221" i="19" s="1"/>
  <c r="DD237" i="19"/>
  <c r="FO237" i="19" s="1"/>
  <c r="DC237" i="19"/>
  <c r="FN237" i="19" s="1"/>
  <c r="BN196" i="19"/>
  <c r="BM196" i="19"/>
  <c r="EJ196" i="19" s="1"/>
  <c r="DD76" i="19"/>
  <c r="FO76" i="19" s="1"/>
  <c r="DC76" i="19"/>
  <c r="FN76" i="19" s="1"/>
  <c r="BU204" i="19"/>
  <c r="EP204" i="19" s="1"/>
  <c r="BT204" i="19"/>
  <c r="EO204" i="19" s="1"/>
  <c r="AS284" i="19"/>
  <c r="DV284" i="19" s="1"/>
  <c r="AR284" i="19"/>
  <c r="DU284" i="19" s="1"/>
  <c r="DD285" i="19"/>
  <c r="FO285" i="19" s="1"/>
  <c r="DC285" i="19"/>
  <c r="FN285" i="19" s="1"/>
  <c r="CP109" i="19"/>
  <c r="FE109" i="19" s="1"/>
  <c r="CO109" i="19"/>
  <c r="FD109" i="19" s="1"/>
  <c r="BN85" i="19"/>
  <c r="EK85" i="19" s="1"/>
  <c r="BM85" i="19"/>
  <c r="EJ85" i="19" s="1"/>
  <c r="CI68" i="19"/>
  <c r="EZ68" i="19" s="1"/>
  <c r="CH68" i="19"/>
  <c r="EY68" i="19" s="1"/>
  <c r="CB157" i="19"/>
  <c r="EU157" i="19" s="1"/>
  <c r="CA157" i="19"/>
  <c r="ET157" i="19" s="1"/>
  <c r="BU61" i="19"/>
  <c r="EP61" i="19" s="1"/>
  <c r="BT61" i="19"/>
  <c r="EO61" i="19" s="1"/>
  <c r="CB277" i="19"/>
  <c r="EU277" i="19" s="1"/>
  <c r="CA277" i="19"/>
  <c r="ET277" i="19" s="1"/>
  <c r="CP261" i="19"/>
  <c r="FE261" i="19" s="1"/>
  <c r="CO261" i="19"/>
  <c r="FD261" i="19" s="1"/>
  <c r="CW317" i="19"/>
  <c r="FJ317" i="19" s="1"/>
  <c r="CV317" i="19"/>
  <c r="FI317" i="19" s="1"/>
  <c r="AS229" i="19"/>
  <c r="DV229" i="19" s="1"/>
  <c r="AR229" i="19"/>
  <c r="DU229" i="19" s="1"/>
  <c r="BU308" i="19"/>
  <c r="EP308" i="19" s="1"/>
  <c r="BT308" i="19"/>
  <c r="EO308" i="19" s="1"/>
  <c r="BU133" i="19"/>
  <c r="EP133" i="19" s="1"/>
  <c r="BT133" i="19"/>
  <c r="EO133" i="19" s="1"/>
  <c r="BU189" i="19"/>
  <c r="EP189" i="19" s="1"/>
  <c r="BT189" i="19"/>
  <c r="EO189" i="19" s="1"/>
  <c r="CB28" i="19"/>
  <c r="EU28" i="19" s="1"/>
  <c r="CA28" i="19"/>
  <c r="ET28" i="19" s="1"/>
  <c r="CP92" i="19"/>
  <c r="FE92" i="19" s="1"/>
  <c r="CO92" i="19"/>
  <c r="FD92" i="19" s="1"/>
  <c r="CP156" i="19"/>
  <c r="CO156" i="19"/>
  <c r="FD156" i="19" s="1"/>
  <c r="CP220" i="19"/>
  <c r="CO220" i="19"/>
  <c r="FD220" i="19" s="1"/>
  <c r="CI284" i="19"/>
  <c r="EZ284" i="19" s="1"/>
  <c r="CH284" i="19"/>
  <c r="EY284" i="19" s="1"/>
  <c r="BN125" i="19"/>
  <c r="BM125" i="19"/>
  <c r="EJ125" i="19" s="1"/>
  <c r="CP133" i="19"/>
  <c r="FE133" i="19" s="1"/>
  <c r="CO133" i="19"/>
  <c r="FD133" i="19" s="1"/>
  <c r="BN269" i="19"/>
  <c r="EK269" i="19" s="1"/>
  <c r="BM269" i="19"/>
  <c r="EJ269" i="19" s="1"/>
  <c r="BN197" i="19"/>
  <c r="EK197" i="19" s="1"/>
  <c r="BM197" i="19"/>
  <c r="EJ197" i="19" s="1"/>
  <c r="BN253" i="19"/>
  <c r="EK253" i="19" s="1"/>
  <c r="BM253" i="19"/>
  <c r="EJ253" i="19" s="1"/>
  <c r="CW196" i="19"/>
  <c r="FJ196" i="19" s="1"/>
  <c r="CV196" i="19"/>
  <c r="FI196" i="19" s="1"/>
  <c r="CW116" i="19"/>
  <c r="FJ116" i="19" s="1"/>
  <c r="CV116" i="19"/>
  <c r="FI116" i="19" s="1"/>
  <c r="DD100" i="19"/>
  <c r="FO100" i="19" s="1"/>
  <c r="DC100" i="19"/>
  <c r="FN100" i="19" s="1"/>
  <c r="BG85" i="19"/>
  <c r="EF85" i="19" s="1"/>
  <c r="BF85" i="19"/>
  <c r="EE85" i="19" s="1"/>
  <c r="CW180" i="19"/>
  <c r="FJ180" i="19" s="1"/>
  <c r="CV180" i="19"/>
  <c r="FI180" i="19" s="1"/>
  <c r="AZ117" i="19"/>
  <c r="EA117" i="19" s="1"/>
  <c r="AY117" i="19"/>
  <c r="DZ117" i="19" s="1"/>
  <c r="BN189" i="19"/>
  <c r="EK189" i="19" s="1"/>
  <c r="BM189" i="19"/>
  <c r="EJ189" i="19" s="1"/>
  <c r="BG156" i="19"/>
  <c r="BF156" i="19"/>
  <c r="EE156" i="19" s="1"/>
  <c r="BG220" i="19"/>
  <c r="EF220" i="19" s="1"/>
  <c r="BF220" i="19"/>
  <c r="EE220" i="19" s="1"/>
  <c r="BG316" i="19"/>
  <c r="EF316" i="19" s="1"/>
  <c r="BF316" i="19"/>
  <c r="EE316" i="19" s="1"/>
  <c r="AS260" i="19"/>
  <c r="DV260" i="19" s="1"/>
  <c r="AR260" i="19"/>
  <c r="DU260" i="19" s="1"/>
  <c r="CI269" i="19"/>
  <c r="EZ269" i="19" s="1"/>
  <c r="CH269" i="19"/>
  <c r="EY269" i="19" s="1"/>
  <c r="AS213" i="19"/>
  <c r="DV213" i="19" s="1"/>
  <c r="AR213" i="19"/>
  <c r="DU213" i="19" s="1"/>
  <c r="AZ132" i="19"/>
  <c r="EA132" i="19" s="1"/>
  <c r="AY132" i="19"/>
  <c r="DZ132" i="19" s="1"/>
  <c r="CW93" i="19"/>
  <c r="FJ93" i="19" s="1"/>
  <c r="CV93" i="19"/>
  <c r="FI93" i="19" s="1"/>
  <c r="CP293" i="19"/>
  <c r="FE293" i="19" s="1"/>
  <c r="CO293" i="19"/>
  <c r="FD293" i="19" s="1"/>
  <c r="BU117" i="19"/>
  <c r="EP117" i="19" s="1"/>
  <c r="BT117" i="19"/>
  <c r="EO117" i="19" s="1"/>
  <c r="CW228" i="19"/>
  <c r="FJ228" i="19" s="1"/>
  <c r="CV228" i="19"/>
  <c r="FI228" i="19" s="1"/>
  <c r="CB37" i="19"/>
  <c r="EU37" i="19" s="1"/>
  <c r="CA37" i="19"/>
  <c r="ET37" i="19" s="1"/>
  <c r="AS133" i="19"/>
  <c r="DV133" i="19" s="1"/>
  <c r="AR133" i="19"/>
  <c r="DU133" i="19" s="1"/>
  <c r="AS325" i="19"/>
  <c r="DV325" i="19" s="1"/>
  <c r="AR325" i="19"/>
  <c r="DU325" i="19" s="1"/>
  <c r="CI60" i="19"/>
  <c r="EZ60" i="19" s="1"/>
  <c r="CH60" i="19"/>
  <c r="EY60" i="19" s="1"/>
  <c r="BN188" i="19"/>
  <c r="EK188" i="19" s="1"/>
  <c r="BM188" i="19"/>
  <c r="EJ188" i="19" s="1"/>
  <c r="CB253" i="19"/>
  <c r="EU253" i="19" s="1"/>
  <c r="CA253" i="19"/>
  <c r="ET253" i="19" s="1"/>
  <c r="DD221" i="19"/>
  <c r="FO221" i="19" s="1"/>
  <c r="DC221" i="19"/>
  <c r="FN221" i="19" s="1"/>
  <c r="BN45" i="19"/>
  <c r="EK45" i="19" s="1"/>
  <c r="BM45" i="19"/>
  <c r="EJ45" i="19" s="1"/>
  <c r="BN213" i="19"/>
  <c r="EK213" i="19" s="1"/>
  <c r="BM213" i="19"/>
  <c r="EJ213" i="19" s="1"/>
  <c r="AS101" i="19"/>
  <c r="DV101" i="19" s="1"/>
  <c r="AR101" i="19"/>
  <c r="DU101" i="19" s="1"/>
  <c r="CP157" i="19"/>
  <c r="FE157" i="19" s="1"/>
  <c r="CO157" i="19"/>
  <c r="FD157" i="19" s="1"/>
  <c r="DD165" i="19"/>
  <c r="FO165" i="19" s="1"/>
  <c r="DC165" i="19"/>
  <c r="FN165" i="19" s="1"/>
  <c r="CP228" i="19"/>
  <c r="FE228" i="19" s="1"/>
  <c r="CO228" i="19"/>
  <c r="FD228" i="19" s="1"/>
  <c r="CB125" i="19"/>
  <c r="EU125" i="19" s="1"/>
  <c r="CA125" i="19"/>
  <c r="ET125" i="19" s="1"/>
  <c r="DD93" i="19"/>
  <c r="FO93" i="19" s="1"/>
  <c r="DC93" i="19"/>
  <c r="FN93" i="19" s="1"/>
  <c r="BG165" i="19"/>
  <c r="BF165" i="19"/>
  <c r="EE165" i="19" s="1"/>
  <c r="AS189" i="19"/>
  <c r="DV189" i="19" s="1"/>
  <c r="AR189" i="19"/>
  <c r="DU189" i="19" s="1"/>
  <c r="AS108" i="19"/>
  <c r="DV108" i="19" s="1"/>
  <c r="AR108" i="19"/>
  <c r="DU108" i="19" s="1"/>
  <c r="BU220" i="19"/>
  <c r="EP220" i="19" s="1"/>
  <c r="BT220" i="19"/>
  <c r="EO220" i="19" s="1"/>
  <c r="DD316" i="19"/>
  <c r="FO316" i="19" s="1"/>
  <c r="DC316" i="19"/>
  <c r="FN316" i="19" s="1"/>
  <c r="AZ37" i="19"/>
  <c r="EA37" i="19" s="1"/>
  <c r="AY37" i="19"/>
  <c r="DZ37" i="19" s="1"/>
  <c r="CB212" i="19"/>
  <c r="CA212" i="19"/>
  <c r="ET212" i="19" s="1"/>
  <c r="CP165" i="19"/>
  <c r="FE165" i="19" s="1"/>
  <c r="CO165" i="19"/>
  <c r="FD165" i="19" s="1"/>
  <c r="BG221" i="19"/>
  <c r="EF221" i="19" s="1"/>
  <c r="BF221" i="19"/>
  <c r="EE221" i="19" s="1"/>
  <c r="AZ69" i="19"/>
  <c r="EA69" i="19" s="1"/>
  <c r="AY69" i="19"/>
  <c r="DZ69" i="19" s="1"/>
  <c r="BG213" i="19"/>
  <c r="EF213" i="19" s="1"/>
  <c r="BF213" i="19"/>
  <c r="EE213" i="19" s="1"/>
  <c r="AS164" i="19"/>
  <c r="DV164" i="19" s="1"/>
  <c r="AR164" i="19"/>
  <c r="DU164" i="19" s="1"/>
  <c r="AZ125" i="19"/>
  <c r="EA125" i="19" s="1"/>
  <c r="AY125" i="19"/>
  <c r="DZ125" i="19" s="1"/>
  <c r="CB92" i="19"/>
  <c r="EU92" i="19" s="1"/>
  <c r="CA92" i="19"/>
  <c r="ET92" i="19" s="1"/>
  <c r="BN28" i="19"/>
  <c r="EK28" i="19" s="1"/>
  <c r="BM28" i="19"/>
  <c r="EJ28" i="19" s="1"/>
  <c r="AZ45" i="19"/>
  <c r="EA45" i="19" s="1"/>
  <c r="AY45" i="19"/>
  <c r="DZ45" i="19" s="1"/>
  <c r="BN117" i="19"/>
  <c r="EK117" i="19" s="1"/>
  <c r="BM117" i="19"/>
  <c r="EJ117" i="19" s="1"/>
  <c r="BG228" i="19"/>
  <c r="EF228" i="19" s="1"/>
  <c r="BF228" i="19"/>
  <c r="EE228" i="19" s="1"/>
  <c r="CP221" i="19"/>
  <c r="CO221" i="19"/>
  <c r="FD221" i="19" s="1"/>
  <c r="CI132" i="19"/>
  <c r="EZ132" i="19" s="1"/>
  <c r="CH132" i="19"/>
  <c r="EY132" i="19" s="1"/>
  <c r="BG53" i="19"/>
  <c r="EF53" i="19" s="1"/>
  <c r="BF53" i="19"/>
  <c r="EE53" i="19" s="1"/>
  <c r="BU292" i="19"/>
  <c r="EP292" i="19" s="1"/>
  <c r="BT292" i="19"/>
  <c r="EO292" i="19" s="1"/>
  <c r="BU132" i="19"/>
  <c r="EP132" i="19" s="1"/>
  <c r="BT132" i="19"/>
  <c r="EO132" i="19" s="1"/>
  <c r="AZ92" i="19"/>
  <c r="EA92" i="19" s="1"/>
  <c r="AY92" i="19"/>
  <c r="DZ92" i="19" s="1"/>
  <c r="CI317" i="19"/>
  <c r="EZ317" i="19" s="1"/>
  <c r="CH317" i="19"/>
  <c r="EY317" i="19" s="1"/>
  <c r="BN60" i="19"/>
  <c r="EK60" i="19" s="1"/>
  <c r="BM60" i="19"/>
  <c r="EJ60" i="19" s="1"/>
  <c r="CB44" i="19"/>
  <c r="CA44" i="19"/>
  <c r="ET44" i="19" s="1"/>
  <c r="BG276" i="19"/>
  <c r="EF276" i="19" s="1"/>
  <c r="BF276" i="19"/>
  <c r="EE276" i="19" s="1"/>
  <c r="BN116" i="19"/>
  <c r="EK116" i="19" s="1"/>
  <c r="BM116" i="19"/>
  <c r="EJ116" i="19" s="1"/>
  <c r="BG133" i="19"/>
  <c r="EF133" i="19" s="1"/>
  <c r="BF133" i="19"/>
  <c r="EE133" i="19" s="1"/>
  <c r="CB93" i="19"/>
  <c r="EU93" i="19" s="1"/>
  <c r="CA93" i="19"/>
  <c r="ET93" i="19" s="1"/>
  <c r="DD124" i="19"/>
  <c r="FO124" i="19" s="1"/>
  <c r="DC124" i="19"/>
  <c r="FN124" i="19" s="1"/>
  <c r="CI268" i="19"/>
  <c r="EZ268" i="19" s="1"/>
  <c r="CH268" i="19"/>
  <c r="EY268" i="19" s="1"/>
  <c r="AZ277" i="19"/>
  <c r="EA277" i="19" s="1"/>
  <c r="AY277" i="19"/>
  <c r="DZ277" i="19" s="1"/>
  <c r="BG325" i="19"/>
  <c r="EF325" i="19" s="1"/>
  <c r="BF325" i="19"/>
  <c r="EE325" i="19" s="1"/>
  <c r="BU252" i="19"/>
  <c r="EP252" i="19" s="1"/>
  <c r="BT252" i="19"/>
  <c r="EO252" i="19" s="1"/>
  <c r="BN156" i="19"/>
  <c r="BM156" i="19"/>
  <c r="EJ156" i="19" s="1"/>
  <c r="AZ93" i="19"/>
  <c r="EA93" i="19" s="1"/>
  <c r="AY93" i="19"/>
  <c r="DZ93" i="19" s="1"/>
  <c r="BG300" i="19"/>
  <c r="EF300" i="19" s="1"/>
  <c r="BF300" i="19"/>
  <c r="EE300" i="19" s="1"/>
  <c r="BN77" i="19"/>
  <c r="EK77" i="19" s="1"/>
  <c r="BM77" i="19"/>
  <c r="EJ77" i="19" s="1"/>
  <c r="CW133" i="19"/>
  <c r="FJ133" i="19" s="1"/>
  <c r="CV133" i="19"/>
  <c r="FI133" i="19" s="1"/>
  <c r="CB188" i="19"/>
  <c r="EU188" i="19" s="1"/>
  <c r="CA188" i="19"/>
  <c r="ET188" i="19" s="1"/>
  <c r="CW300" i="19"/>
  <c r="FJ300" i="19" s="1"/>
  <c r="CV300" i="19"/>
  <c r="FI300" i="19" s="1"/>
  <c r="DD68" i="19"/>
  <c r="FO68" i="19" s="1"/>
  <c r="DC68" i="19"/>
  <c r="FN68" i="19" s="1"/>
  <c r="BN316" i="19"/>
  <c r="EK316" i="19" s="1"/>
  <c r="BM316" i="19"/>
  <c r="EJ316" i="19" s="1"/>
  <c r="BU156" i="19"/>
  <c r="BT156" i="19"/>
  <c r="EO156" i="19" s="1"/>
  <c r="DD189" i="19"/>
  <c r="FO189" i="19" s="1"/>
  <c r="DC189" i="19"/>
  <c r="FN189" i="19" s="1"/>
  <c r="CB108" i="19"/>
  <c r="EU108" i="19" s="1"/>
  <c r="CA108" i="19"/>
  <c r="ET108" i="19" s="1"/>
  <c r="CI124" i="19"/>
  <c r="EZ124" i="19" s="1"/>
  <c r="CH124" i="19"/>
  <c r="EY124" i="19" s="1"/>
  <c r="DD92" i="19"/>
  <c r="FO92" i="19" s="1"/>
  <c r="DC92" i="19"/>
  <c r="FN92" i="19" s="1"/>
  <c r="CB252" i="19"/>
  <c r="EU252" i="19" s="1"/>
  <c r="CA252" i="19"/>
  <c r="ET252" i="19" s="1"/>
  <c r="DD220" i="19"/>
  <c r="DC220" i="19"/>
  <c r="FN220" i="19" s="1"/>
  <c r="BU76" i="19"/>
  <c r="EP76" i="19" s="1"/>
  <c r="BT76" i="19"/>
  <c r="EO76" i="19" s="1"/>
  <c r="CW204" i="19"/>
  <c r="FJ204" i="19" s="1"/>
  <c r="CV204" i="19"/>
  <c r="FI204" i="19" s="1"/>
  <c r="CP108" i="19"/>
  <c r="FE108" i="19" s="1"/>
  <c r="CO108" i="19"/>
  <c r="FD108" i="19" s="1"/>
  <c r="BG101" i="19"/>
  <c r="EF101" i="19" s="1"/>
  <c r="BF101" i="19"/>
  <c r="EE101" i="19" s="1"/>
  <c r="DD61" i="19"/>
  <c r="FO61" i="19" s="1"/>
  <c r="DC61" i="19"/>
  <c r="FN61" i="19" s="1"/>
  <c r="BU60" i="19"/>
  <c r="EP60" i="19" s="1"/>
  <c r="BT60" i="19"/>
  <c r="EO60" i="19" s="1"/>
  <c r="CP204" i="19"/>
  <c r="FE204" i="19" s="1"/>
  <c r="CO204" i="19"/>
  <c r="FD204" i="19" s="1"/>
  <c r="CI77" i="19"/>
  <c r="EZ77" i="19" s="1"/>
  <c r="CH77" i="19"/>
  <c r="EY77" i="19" s="1"/>
  <c r="AZ60" i="19"/>
  <c r="EA60" i="19" s="1"/>
  <c r="AY60" i="19"/>
  <c r="DZ60" i="19" s="1"/>
  <c r="CI13" i="19"/>
  <c r="EZ13" i="19" s="1"/>
  <c r="CH13" i="19"/>
  <c r="EY13" i="19" s="1"/>
  <c r="BG13" i="19"/>
  <c r="EF13" i="19" s="1"/>
  <c r="BF13" i="19"/>
  <c r="EE13" i="19" s="1"/>
  <c r="DZ17" i="19"/>
  <c r="CB13" i="19"/>
  <c r="EU13" i="19" s="1"/>
  <c r="CA13" i="19"/>
  <c r="ET13" i="19" s="1"/>
  <c r="AS237" i="19"/>
  <c r="DV237" i="19" s="1"/>
  <c r="AR237" i="19"/>
  <c r="DU237" i="19" s="1"/>
  <c r="AS36" i="19"/>
  <c r="DV36" i="19" s="1"/>
  <c r="AR36" i="19"/>
  <c r="DU36" i="19" s="1"/>
  <c r="AS92" i="19"/>
  <c r="DV92" i="19" s="1"/>
  <c r="AR92" i="19"/>
  <c r="DU92" i="19" s="1"/>
  <c r="DS4" i="35"/>
  <c r="IK4" i="35" s="1"/>
  <c r="BV5" i="35"/>
  <c r="EH4" i="30"/>
  <c r="EA7" i="30"/>
  <c r="DU19" i="30"/>
  <c r="S5" i="35"/>
  <c r="CW25" i="19"/>
  <c r="CT25" i="19"/>
  <c r="FG25" i="19" s="1"/>
  <c r="AS25" i="19"/>
  <c r="DV25" i="19" s="1"/>
  <c r="AP25" i="19"/>
  <c r="DS25" i="19" s="1"/>
  <c r="DD26" i="19"/>
  <c r="DA26" i="19"/>
  <c r="FL26" i="19" s="1"/>
  <c r="DX15" i="30"/>
  <c r="W6" i="35"/>
  <c r="BU27" i="19"/>
  <c r="BR27" i="19"/>
  <c r="EM27" i="19" s="1"/>
  <c r="AS26" i="19"/>
  <c r="DV26" i="19" s="1"/>
  <c r="AQ26" i="19"/>
  <c r="DT26" i="19" s="1"/>
  <c r="BG25" i="19"/>
  <c r="BD25" i="19"/>
  <c r="EC25" i="19" s="1"/>
  <c r="E16" i="30"/>
  <c r="MC6" i="35" s="1"/>
  <c r="BT6" i="35"/>
  <c r="FG15" i="30"/>
  <c r="CB25" i="19"/>
  <c r="BY25" i="19"/>
  <c r="ER25" i="19" s="1"/>
  <c r="BN26" i="19"/>
  <c r="BK26" i="19"/>
  <c r="EH26" i="19" s="1"/>
  <c r="AZ27" i="19"/>
  <c r="AX27" i="19"/>
  <c r="DY27" i="19" s="1"/>
  <c r="CI26" i="19"/>
  <c r="CF26" i="19"/>
  <c r="EW26" i="19" s="1"/>
  <c r="AY6" i="35"/>
  <c r="ER15" i="30"/>
  <c r="ER4" i="30" s="1"/>
  <c r="K6" i="35"/>
  <c r="DP15" i="30"/>
  <c r="C16" i="30" s="1"/>
  <c r="MA6" i="35" s="1"/>
  <c r="CW17" i="19"/>
  <c r="CT17" i="19"/>
  <c r="CB17" i="19"/>
  <c r="EU17" i="19" s="1"/>
  <c r="BY17" i="19"/>
  <c r="BG17" i="19"/>
  <c r="EF17" i="19" s="1"/>
  <c r="BD17" i="19"/>
  <c r="FL11" i="30"/>
  <c r="FL4" i="30" s="1"/>
  <c r="CA5" i="35"/>
  <c r="BT5" i="35"/>
  <c r="FG11" i="30"/>
  <c r="DS11" i="30"/>
  <c r="DS4" i="30" s="1"/>
  <c r="P5" i="35"/>
  <c r="AS17" i="19"/>
  <c r="DV17" i="19" s="1"/>
  <c r="AP17" i="19"/>
  <c r="BM4" i="35"/>
  <c r="FB7" i="30"/>
  <c r="FB4" i="30" s="1"/>
  <c r="BE11" i="19"/>
  <c r="ED11" i="19" s="1"/>
  <c r="BD11" i="19"/>
  <c r="EC11" i="19" s="1"/>
  <c r="BA11" i="19"/>
  <c r="EB11" i="19" s="1"/>
  <c r="AX11" i="19"/>
  <c r="DY11" i="19" s="1"/>
  <c r="CH9" i="19"/>
  <c r="EY9" i="19" s="1"/>
  <c r="CF9" i="19"/>
  <c r="EW9" i="19" s="1"/>
  <c r="DX7" i="30"/>
  <c r="W4" i="35"/>
  <c r="EW7" i="30"/>
  <c r="BF4" i="35"/>
  <c r="BA10" i="19"/>
  <c r="EB10" i="19" s="1"/>
  <c r="AW10" i="19"/>
  <c r="DX10" i="19" s="1"/>
  <c r="D40" i="30"/>
  <c r="MB12" i="35" s="1"/>
  <c r="HA2" i="35"/>
  <c r="AG6" i="35"/>
  <c r="D41" i="30"/>
  <c r="DV19" i="30"/>
  <c r="S7" i="35"/>
  <c r="T31" i="35"/>
  <c r="GY31" i="35" s="1"/>
  <c r="DW15" i="30"/>
  <c r="AN7" i="35"/>
  <c r="AN6" i="35"/>
  <c r="FO15" i="30"/>
  <c r="EZ19" i="30"/>
  <c r="D8" i="30"/>
  <c r="MB4" i="35" s="1"/>
  <c r="EE15" i="30"/>
  <c r="AF6" i="35"/>
  <c r="DU15" i="30"/>
  <c r="R6" i="35"/>
  <c r="DV107" i="30"/>
  <c r="D108" i="30" s="1"/>
  <c r="MB29" i="35" s="1"/>
  <c r="S29" i="35"/>
  <c r="EI15" i="30"/>
  <c r="EI4" i="30" s="1"/>
  <c r="AL6" i="35"/>
  <c r="DV83" i="30"/>
  <c r="S23" i="35"/>
  <c r="DW127" i="30"/>
  <c r="DW83" i="30"/>
  <c r="DW131" i="30"/>
  <c r="Y7" i="35"/>
  <c r="DZ19" i="30"/>
  <c r="E20" i="30" s="1"/>
  <c r="MC7" i="35" s="1"/>
  <c r="DV67" i="30"/>
  <c r="D68" i="30" s="1"/>
  <c r="MB19" i="35" s="1"/>
  <c r="S19" i="35"/>
  <c r="DV63" i="30"/>
  <c r="D64" i="30" s="1"/>
  <c r="MB18" i="35" s="1"/>
  <c r="S18" i="35"/>
  <c r="T15" i="35"/>
  <c r="GY15" i="35" s="1"/>
  <c r="DU11" i="30"/>
  <c r="R5" i="35"/>
  <c r="EN15" i="30"/>
  <c r="EN4" i="30" s="1"/>
  <c r="AS6" i="35"/>
  <c r="DV79" i="30"/>
  <c r="S22" i="35"/>
  <c r="DV99" i="30"/>
  <c r="D101" i="30" s="1"/>
  <c r="S27" i="35"/>
  <c r="EJ19" i="30"/>
  <c r="G21" i="30" s="1"/>
  <c r="AM7" i="35"/>
  <c r="DV143" i="30"/>
  <c r="D144" i="30" s="1"/>
  <c r="MB38" i="35" s="1"/>
  <c r="S38" i="35"/>
  <c r="T18" i="35"/>
  <c r="GY18" i="35" s="1"/>
  <c r="DW95" i="30"/>
  <c r="DV35" i="30"/>
  <c r="D37" i="30" s="1"/>
  <c r="S11" i="35"/>
  <c r="DV51" i="30"/>
  <c r="D53" i="30" s="1"/>
  <c r="S15" i="35"/>
  <c r="EW19" i="30"/>
  <c r="BF7" i="35"/>
  <c r="JW7" i="35" s="1"/>
  <c r="DV55" i="30"/>
  <c r="S16" i="35"/>
  <c r="S13" i="35"/>
  <c r="DV43" i="30"/>
  <c r="D44" i="30" s="1"/>
  <c r="MB13" i="35" s="1"/>
  <c r="CB6" i="35"/>
  <c r="FM15" i="30"/>
  <c r="FM4" i="30" s="1"/>
  <c r="S43" i="35"/>
  <c r="DV163" i="30"/>
  <c r="D164" i="30" s="1"/>
  <c r="MB43" i="35" s="1"/>
  <c r="DV31" i="30"/>
  <c r="D32" i="30" s="1"/>
  <c r="MB10" i="35" s="1"/>
  <c r="S10" i="35"/>
  <c r="S30" i="35"/>
  <c r="DV111" i="30"/>
  <c r="D112" i="30" s="1"/>
  <c r="MB30" i="35" s="1"/>
  <c r="DV95" i="30"/>
  <c r="S26" i="35"/>
  <c r="DV131" i="30"/>
  <c r="S35" i="35"/>
  <c r="DV127" i="30"/>
  <c r="S34" i="35"/>
  <c r="DV115" i="30"/>
  <c r="D116" i="30" s="1"/>
  <c r="MB31" i="35" s="1"/>
  <c r="S31" i="35"/>
  <c r="S8" i="35"/>
  <c r="DV23" i="30"/>
  <c r="FH10" i="19"/>
  <c r="CI15" i="35"/>
  <c r="FQ15" i="35" s="1"/>
  <c r="FB4" i="35"/>
  <c r="LC4" i="35" s="1"/>
  <c r="DY7" i="30"/>
  <c r="DY4" i="30" s="1"/>
  <c r="X4" i="35"/>
  <c r="D9" i="30"/>
  <c r="CB11" i="19"/>
  <c r="EU11" i="19" s="1"/>
  <c r="CA11" i="19"/>
  <c r="ET11" i="19" s="1"/>
  <c r="CP10" i="19"/>
  <c r="FE10" i="19" s="1"/>
  <c r="CO10" i="19"/>
  <c r="FD10" i="19" s="1"/>
  <c r="ET10" i="19"/>
  <c r="FN9" i="19"/>
  <c r="FI4" i="35"/>
  <c r="LQ4" i="35" s="1"/>
  <c r="DJ9" i="19"/>
  <c r="CI4" i="35"/>
  <c r="FQ4" i="35" s="1"/>
  <c r="DL143" i="30"/>
  <c r="L15" i="35"/>
  <c r="C48" i="30"/>
  <c r="MA14" i="35" s="1"/>
  <c r="DR4" i="35"/>
  <c r="II4" i="35" s="1"/>
  <c r="DQ143" i="30"/>
  <c r="DL135" i="30"/>
  <c r="C36" i="30"/>
  <c r="MA11" i="35" s="1"/>
  <c r="AZ13" i="19"/>
  <c r="EA13" i="19" s="1"/>
  <c r="BA13" i="19"/>
  <c r="EB13" i="19" s="1"/>
  <c r="AZ12" i="19"/>
  <c r="EA12" i="19" s="1"/>
  <c r="BA12" i="19"/>
  <c r="EB12" i="19" s="1"/>
  <c r="CI9" i="19"/>
  <c r="CG9" i="19"/>
  <c r="EX9" i="19" s="1"/>
  <c r="B157" i="30"/>
  <c r="B52" i="30"/>
  <c r="LZ15" i="35" s="1"/>
  <c r="CW21" i="35"/>
  <c r="GS21" i="35" s="1"/>
  <c r="B120" i="30"/>
  <c r="LZ32" i="35" s="1"/>
  <c r="B116" i="30"/>
  <c r="LZ31" i="35" s="1"/>
  <c r="B7" i="35"/>
  <c r="DL31" i="30"/>
  <c r="DL35" i="30"/>
  <c r="C68" i="30"/>
  <c r="MA19" i="35" s="1"/>
  <c r="DL123" i="30"/>
  <c r="DL47" i="30"/>
  <c r="DI59" i="30"/>
  <c r="DL107" i="30"/>
  <c r="DI15" i="30"/>
  <c r="L6" i="35"/>
  <c r="C88" i="30"/>
  <c r="MA24" i="35" s="1"/>
  <c r="B141" i="30"/>
  <c r="AD4" i="35"/>
  <c r="C77" i="30"/>
  <c r="DL87" i="30"/>
  <c r="DQ155" i="30"/>
  <c r="C108" i="30"/>
  <c r="MA29" i="35" s="1"/>
  <c r="DQ111" i="30"/>
  <c r="DL67" i="30"/>
  <c r="C124" i="30"/>
  <c r="MA33" i="35" s="1"/>
  <c r="L27" i="35"/>
  <c r="C64" i="30"/>
  <c r="MA18" i="35" s="1"/>
  <c r="L42" i="35"/>
  <c r="B77" i="30"/>
  <c r="B165" i="30"/>
  <c r="C29" i="30"/>
  <c r="CR40" i="35"/>
  <c r="GI40" i="35" s="1"/>
  <c r="C56" i="30"/>
  <c r="MA16" i="35" s="1"/>
  <c r="B133" i="30"/>
  <c r="B132" i="30"/>
  <c r="LZ35" i="35" s="1"/>
  <c r="C136" i="30"/>
  <c r="MA36" i="35" s="1"/>
  <c r="DK19" i="30"/>
  <c r="DL99" i="30"/>
  <c r="DL79" i="30"/>
  <c r="C69" i="30"/>
  <c r="DL83" i="30"/>
  <c r="DL71" i="30"/>
  <c r="L39" i="35"/>
  <c r="L37" i="35"/>
  <c r="DL43" i="30"/>
  <c r="DL63" i="30"/>
  <c r="C125" i="30"/>
  <c r="B117" i="30"/>
  <c r="B104" i="30"/>
  <c r="LZ28" i="35" s="1"/>
  <c r="DL95" i="30"/>
  <c r="B140" i="30"/>
  <c r="LZ37" i="35" s="1"/>
  <c r="DL27" i="30"/>
  <c r="DL151" i="30"/>
  <c r="DL111" i="30"/>
  <c r="B164" i="30"/>
  <c r="LZ43" i="35" s="1"/>
  <c r="L12" i="35"/>
  <c r="CR21" i="35"/>
  <c r="GI21" i="35" s="1"/>
  <c r="C37" i="30"/>
  <c r="B105" i="30"/>
  <c r="DJ19" i="30"/>
  <c r="CH37" i="35"/>
  <c r="FO37" i="35" s="1"/>
  <c r="DL39" i="30"/>
  <c r="DL91" i="30"/>
  <c r="DL19" i="30"/>
  <c r="CR17" i="35"/>
  <c r="GI17" i="35" s="1"/>
  <c r="C28" i="30"/>
  <c r="MA9" i="35" s="1"/>
  <c r="C152" i="30"/>
  <c r="MA40" i="35" s="1"/>
  <c r="CR13" i="35"/>
  <c r="GI13" i="35" s="1"/>
  <c r="DL23" i="30"/>
  <c r="DL59" i="30"/>
  <c r="B156" i="30"/>
  <c r="LZ41" i="35" s="1"/>
  <c r="L8" i="35"/>
  <c r="DQ131" i="30"/>
  <c r="L32" i="35"/>
  <c r="L43" i="35"/>
  <c r="CR18" i="35"/>
  <c r="GI18" i="35" s="1"/>
  <c r="CI35" i="35"/>
  <c r="FQ35" i="35" s="1"/>
  <c r="DL147" i="30"/>
  <c r="DL159" i="30"/>
  <c r="B53" i="30"/>
  <c r="B121" i="30"/>
  <c r="K53" i="30"/>
  <c r="DQ95" i="30"/>
  <c r="C61" i="30"/>
  <c r="FC4" i="35"/>
  <c r="LE4" i="35" s="1"/>
  <c r="C92" i="30"/>
  <c r="MA25" i="35" s="1"/>
  <c r="DL15" i="30"/>
  <c r="DL127" i="30"/>
  <c r="CY9" i="35"/>
  <c r="GW9" i="35" s="1"/>
  <c r="C32" i="30"/>
  <c r="MA10" i="35" s="1"/>
  <c r="CQ36" i="35"/>
  <c r="GG36" i="35" s="1"/>
  <c r="C9" i="30"/>
  <c r="FL10" i="19"/>
  <c r="CR11" i="35"/>
  <c r="GI11" i="35" s="1"/>
  <c r="C105" i="30"/>
  <c r="B76" i="30"/>
  <c r="LZ21" i="35" s="1"/>
  <c r="CR14" i="35"/>
  <c r="GI14" i="35" s="1"/>
  <c r="CR24" i="35"/>
  <c r="GI24" i="35" s="1"/>
  <c r="L23" i="35"/>
  <c r="L34" i="35"/>
  <c r="L22" i="35"/>
  <c r="CR33" i="35"/>
  <c r="GI33" i="35" s="1"/>
  <c r="CH41" i="35"/>
  <c r="FO41" i="35" s="1"/>
  <c r="CH21" i="35"/>
  <c r="FO21" i="35" s="1"/>
  <c r="CR16" i="35"/>
  <c r="GI16" i="35" s="1"/>
  <c r="AB243" i="19"/>
  <c r="DI243" i="19" s="1"/>
  <c r="AC243" i="19"/>
  <c r="DJ243" i="19" s="1"/>
  <c r="AB265" i="19"/>
  <c r="DI265" i="19" s="1"/>
  <c r="AC265" i="19"/>
  <c r="AB163" i="19"/>
  <c r="DI163" i="19" s="1"/>
  <c r="AC163" i="19"/>
  <c r="DJ163" i="19" s="1"/>
  <c r="AB210" i="19"/>
  <c r="DI210" i="19" s="1"/>
  <c r="AC210" i="19"/>
  <c r="DJ210" i="19" s="1"/>
  <c r="DJ41" i="19"/>
  <c r="DJ49" i="19"/>
  <c r="AB298" i="19"/>
  <c r="DI298" i="19" s="1"/>
  <c r="AC298" i="19"/>
  <c r="DJ298" i="19" s="1"/>
  <c r="AB242" i="19"/>
  <c r="DI242" i="19" s="1"/>
  <c r="AC242" i="19"/>
  <c r="DJ242" i="19" s="1"/>
  <c r="DJ153" i="19"/>
  <c r="AB169" i="19"/>
  <c r="DI169" i="19" s="1"/>
  <c r="AC169" i="19"/>
  <c r="AB211" i="19"/>
  <c r="DI211" i="19" s="1"/>
  <c r="AC211" i="19"/>
  <c r="DJ211" i="19" s="1"/>
  <c r="AB193" i="19"/>
  <c r="DI193" i="19" s="1"/>
  <c r="AC193" i="19"/>
  <c r="AB291" i="19"/>
  <c r="DI291" i="19" s="1"/>
  <c r="AC291" i="19"/>
  <c r="DJ291" i="19" s="1"/>
  <c r="AB130" i="19"/>
  <c r="DI130" i="19" s="1"/>
  <c r="AC130" i="19"/>
  <c r="DJ130" i="19" s="1"/>
  <c r="AB66" i="19"/>
  <c r="DI66" i="19" s="1"/>
  <c r="AC66" i="19"/>
  <c r="DJ66" i="19" s="1"/>
  <c r="AB282" i="19"/>
  <c r="DI282" i="19" s="1"/>
  <c r="AC282" i="19"/>
  <c r="DJ282" i="19" s="1"/>
  <c r="DJ73" i="19"/>
  <c r="CI12" i="35"/>
  <c r="FQ12" i="35" s="1"/>
  <c r="AB179" i="19"/>
  <c r="DI179" i="19" s="1"/>
  <c r="AC179" i="19"/>
  <c r="DJ179" i="19" s="1"/>
  <c r="AB121" i="19"/>
  <c r="DI121" i="19" s="1"/>
  <c r="AC121" i="19"/>
  <c r="AB138" i="19"/>
  <c r="DI138" i="19" s="1"/>
  <c r="AC138" i="19"/>
  <c r="DJ138" i="19" s="1"/>
  <c r="AB185" i="19"/>
  <c r="DI185" i="19" s="1"/>
  <c r="AC185" i="19"/>
  <c r="AE19" i="19"/>
  <c r="DL19" i="19" s="1"/>
  <c r="AC19" i="19"/>
  <c r="DJ19" i="19" s="1"/>
  <c r="DJ33" i="19"/>
  <c r="AB25" i="19"/>
  <c r="DI25" i="19" s="1"/>
  <c r="AC25" i="19"/>
  <c r="AB117" i="19"/>
  <c r="DI117" i="19" s="1"/>
  <c r="AC117" i="19"/>
  <c r="DJ117" i="19" s="1"/>
  <c r="AB212" i="19"/>
  <c r="DI212" i="19" s="1"/>
  <c r="AC212" i="19"/>
  <c r="DJ212" i="19" s="1"/>
  <c r="AB44" i="19"/>
  <c r="DI44" i="19" s="1"/>
  <c r="AC44" i="19"/>
  <c r="DJ44" i="19" s="1"/>
  <c r="AB301" i="19"/>
  <c r="DI301" i="19" s="1"/>
  <c r="AC301" i="19"/>
  <c r="DJ301" i="19" s="1"/>
  <c r="AB156" i="19"/>
  <c r="DI156" i="19" s="1"/>
  <c r="AC156" i="19"/>
  <c r="DJ156" i="19" s="1"/>
  <c r="AB165" i="19"/>
  <c r="DI165" i="19" s="1"/>
  <c r="AC165" i="19"/>
  <c r="DJ165" i="19" s="1"/>
  <c r="AB197" i="19"/>
  <c r="DI197" i="19" s="1"/>
  <c r="AC197" i="19"/>
  <c r="DJ197" i="19" s="1"/>
  <c r="AB141" i="19"/>
  <c r="DI141" i="19" s="1"/>
  <c r="AC141" i="19"/>
  <c r="DJ141" i="19" s="1"/>
  <c r="AB116" i="19"/>
  <c r="DI116" i="19" s="1"/>
  <c r="AC116" i="19"/>
  <c r="DJ116" i="19" s="1"/>
  <c r="AB92" i="19"/>
  <c r="DI92" i="19" s="1"/>
  <c r="AC92" i="19"/>
  <c r="DJ92" i="19" s="1"/>
  <c r="AB188" i="19"/>
  <c r="DI188" i="19" s="1"/>
  <c r="AC188" i="19"/>
  <c r="DJ188" i="19" s="1"/>
  <c r="AB60" i="19"/>
  <c r="DI60" i="19" s="1"/>
  <c r="AC60" i="19"/>
  <c r="DJ60" i="19" s="1"/>
  <c r="AB284" i="19"/>
  <c r="DI284" i="19" s="1"/>
  <c r="AC284" i="19"/>
  <c r="DJ284" i="19" s="1"/>
  <c r="BG11" i="19"/>
  <c r="EF11" i="19" s="1"/>
  <c r="BF11" i="19"/>
  <c r="DJ305" i="19"/>
  <c r="CI41" i="35"/>
  <c r="FQ41" i="35" s="1"/>
  <c r="CI21" i="35"/>
  <c r="FQ21" i="35" s="1"/>
  <c r="DJ145" i="19"/>
  <c r="CI37" i="35"/>
  <c r="FQ37" i="35" s="1"/>
  <c r="DJ273" i="19"/>
  <c r="AB171" i="19"/>
  <c r="DI171" i="19" s="1"/>
  <c r="AC171" i="19"/>
  <c r="DJ171" i="19" s="1"/>
  <c r="DJ249" i="19"/>
  <c r="AB314" i="19"/>
  <c r="DI314" i="19" s="1"/>
  <c r="AC314" i="19"/>
  <c r="DJ314" i="19" s="1"/>
  <c r="AB186" i="19"/>
  <c r="DI186" i="19" s="1"/>
  <c r="AC186" i="19"/>
  <c r="DJ186" i="19" s="1"/>
  <c r="AB18" i="19"/>
  <c r="DI18" i="19" s="1"/>
  <c r="AC18" i="19"/>
  <c r="AB285" i="19"/>
  <c r="DI285" i="19" s="1"/>
  <c r="AC285" i="19"/>
  <c r="DJ285" i="19" s="1"/>
  <c r="AB37" i="19"/>
  <c r="DI37" i="19" s="1"/>
  <c r="AC37" i="19"/>
  <c r="DJ37" i="19" s="1"/>
  <c r="AB181" i="19"/>
  <c r="DI181" i="19" s="1"/>
  <c r="AC181" i="19"/>
  <c r="DJ181" i="19" s="1"/>
  <c r="AB53" i="19"/>
  <c r="DI53" i="19" s="1"/>
  <c r="AC53" i="19"/>
  <c r="DJ53" i="19" s="1"/>
  <c r="AB252" i="19"/>
  <c r="DI252" i="19" s="1"/>
  <c r="AC252" i="19"/>
  <c r="DJ252" i="19" s="1"/>
  <c r="AB164" i="19"/>
  <c r="DI164" i="19" s="1"/>
  <c r="AC164" i="19"/>
  <c r="DJ164" i="19" s="1"/>
  <c r="AB269" i="19"/>
  <c r="DI269" i="19" s="1"/>
  <c r="AC269" i="19"/>
  <c r="DJ269" i="19" s="1"/>
  <c r="AB125" i="19"/>
  <c r="DI125" i="19" s="1"/>
  <c r="AC125" i="19"/>
  <c r="DJ125" i="19" s="1"/>
  <c r="AB45" i="19"/>
  <c r="DI45" i="19" s="1"/>
  <c r="AC45" i="19"/>
  <c r="DJ45" i="19" s="1"/>
  <c r="AB84" i="19"/>
  <c r="DI84" i="19" s="1"/>
  <c r="AC84" i="19"/>
  <c r="DJ84" i="19" s="1"/>
  <c r="AB299" i="19"/>
  <c r="DI299" i="19" s="1"/>
  <c r="AC299" i="19"/>
  <c r="DJ299" i="19" s="1"/>
  <c r="AB217" i="19"/>
  <c r="DI217" i="19" s="1"/>
  <c r="AC217" i="19"/>
  <c r="AB178" i="19"/>
  <c r="DI178" i="19" s="1"/>
  <c r="AC178" i="19"/>
  <c r="DJ178" i="19" s="1"/>
  <c r="AB57" i="19"/>
  <c r="DI57" i="19" s="1"/>
  <c r="AC57" i="19"/>
  <c r="DJ57" i="19" s="1"/>
  <c r="CQ12" i="35"/>
  <c r="GG12" i="35" s="1"/>
  <c r="DP73" i="19"/>
  <c r="AB297" i="19"/>
  <c r="DI297" i="19" s="1"/>
  <c r="AC297" i="19"/>
  <c r="AB113" i="19"/>
  <c r="DI113" i="19" s="1"/>
  <c r="AC113" i="19"/>
  <c r="DJ113" i="19" s="1"/>
  <c r="AB266" i="19"/>
  <c r="DI266" i="19" s="1"/>
  <c r="AC266" i="19"/>
  <c r="DJ266" i="19" s="1"/>
  <c r="AB162" i="19"/>
  <c r="DI162" i="19" s="1"/>
  <c r="AC162" i="19"/>
  <c r="DJ162" i="19" s="1"/>
  <c r="AB170" i="19"/>
  <c r="DI170" i="19" s="1"/>
  <c r="AC170" i="19"/>
  <c r="DJ170" i="19" s="1"/>
  <c r="AB209" i="19"/>
  <c r="DI209" i="19" s="1"/>
  <c r="AC209" i="19"/>
  <c r="AB194" i="19"/>
  <c r="DI194" i="19" s="1"/>
  <c r="AC194" i="19"/>
  <c r="DJ194" i="19" s="1"/>
  <c r="AB289" i="19"/>
  <c r="DI289" i="19" s="1"/>
  <c r="AC289" i="19"/>
  <c r="AB219" i="19"/>
  <c r="DI219" i="19" s="1"/>
  <c r="AC219" i="19"/>
  <c r="DJ219" i="19" s="1"/>
  <c r="AB129" i="19"/>
  <c r="DI129" i="19" s="1"/>
  <c r="AC129" i="19"/>
  <c r="AB283" i="19"/>
  <c r="DI283" i="19" s="1"/>
  <c r="AC283" i="19"/>
  <c r="DJ283" i="19" s="1"/>
  <c r="CQ38" i="35"/>
  <c r="GG38" i="35" s="1"/>
  <c r="DP281" i="19"/>
  <c r="AJ313" i="19"/>
  <c r="DO313" i="19" s="1"/>
  <c r="AK313" i="19"/>
  <c r="DP313" i="19" s="1"/>
  <c r="AB137" i="19"/>
  <c r="DI137" i="19" s="1"/>
  <c r="AC137" i="19"/>
  <c r="AB187" i="19"/>
  <c r="DI187" i="19" s="1"/>
  <c r="AC187" i="19"/>
  <c r="DJ187" i="19" s="1"/>
  <c r="AB27" i="19"/>
  <c r="DI27" i="19" s="1"/>
  <c r="AC27" i="19"/>
  <c r="DJ27" i="19" s="1"/>
  <c r="AB172" i="19"/>
  <c r="DI172" i="19" s="1"/>
  <c r="AC172" i="19"/>
  <c r="DJ172" i="19" s="1"/>
  <c r="AB300" i="19"/>
  <c r="DI300" i="19" s="1"/>
  <c r="AC300" i="19"/>
  <c r="DJ300" i="19" s="1"/>
  <c r="AB189" i="19"/>
  <c r="DI189" i="19" s="1"/>
  <c r="AC189" i="19"/>
  <c r="DJ189" i="19" s="1"/>
  <c r="AB157" i="19"/>
  <c r="DI157" i="19" s="1"/>
  <c r="AC157" i="19"/>
  <c r="DJ157" i="19" s="1"/>
  <c r="AB52" i="19"/>
  <c r="DI52" i="19" s="1"/>
  <c r="AC52" i="19"/>
  <c r="DJ52" i="19" s="1"/>
  <c r="AB220" i="19"/>
  <c r="DI220" i="19" s="1"/>
  <c r="AC220" i="19"/>
  <c r="DJ220" i="19" s="1"/>
  <c r="AB293" i="19"/>
  <c r="DI293" i="19" s="1"/>
  <c r="AC293" i="19"/>
  <c r="DJ293" i="19" s="1"/>
  <c r="AB245" i="19"/>
  <c r="DI245" i="19" s="1"/>
  <c r="AC245" i="19"/>
  <c r="DJ245" i="19" s="1"/>
  <c r="AZ10" i="19"/>
  <c r="EA10" i="19" s="1"/>
  <c r="AY10" i="19"/>
  <c r="DZ10" i="19" s="1"/>
  <c r="CI28" i="35"/>
  <c r="FQ28" i="35" s="1"/>
  <c r="CQ13" i="35"/>
  <c r="GG13" i="35" s="1"/>
  <c r="AB105" i="19"/>
  <c r="DI105" i="19" s="1"/>
  <c r="AC105" i="19"/>
  <c r="AB290" i="19"/>
  <c r="DI290" i="19" s="1"/>
  <c r="AC290" i="19"/>
  <c r="DJ290" i="19" s="1"/>
  <c r="AB50" i="19"/>
  <c r="DI50" i="19" s="1"/>
  <c r="AC50" i="19"/>
  <c r="DJ50" i="19" s="1"/>
  <c r="AB241" i="19"/>
  <c r="DI241" i="19" s="1"/>
  <c r="AC241" i="19"/>
  <c r="AB114" i="19"/>
  <c r="DI114" i="19" s="1"/>
  <c r="AC114" i="19"/>
  <c r="DJ114" i="19" s="1"/>
  <c r="AB267" i="19"/>
  <c r="DI267" i="19" s="1"/>
  <c r="AC267" i="19"/>
  <c r="DJ267" i="19" s="1"/>
  <c r="AB161" i="19"/>
  <c r="DI161" i="19" s="1"/>
  <c r="AC161" i="19"/>
  <c r="AB195" i="19"/>
  <c r="DI195" i="19" s="1"/>
  <c r="AC195" i="19"/>
  <c r="DJ195" i="19" s="1"/>
  <c r="AB218" i="19"/>
  <c r="DI218" i="19" s="1"/>
  <c r="AC218" i="19"/>
  <c r="DJ218" i="19" s="1"/>
  <c r="AB65" i="19"/>
  <c r="DI65" i="19" s="1"/>
  <c r="AC65" i="19"/>
  <c r="DJ65" i="19" s="1"/>
  <c r="AB281" i="19"/>
  <c r="DI281" i="19" s="1"/>
  <c r="AC281" i="19"/>
  <c r="AB177" i="19"/>
  <c r="DI177" i="19" s="1"/>
  <c r="AC177" i="19"/>
  <c r="AB122" i="19"/>
  <c r="DI122" i="19" s="1"/>
  <c r="AC122" i="19"/>
  <c r="DJ122" i="19" s="1"/>
  <c r="AJ321" i="19"/>
  <c r="DO321" i="19" s="1"/>
  <c r="AK321" i="19"/>
  <c r="DP321" i="19" s="1"/>
  <c r="AE315" i="19"/>
  <c r="DL315" i="19" s="1"/>
  <c r="AC315" i="19"/>
  <c r="DJ315" i="19" s="1"/>
  <c r="AB26" i="19"/>
  <c r="DI26" i="19" s="1"/>
  <c r="AC26" i="19"/>
  <c r="DJ26" i="19" s="1"/>
  <c r="AB85" i="19"/>
  <c r="DI85" i="19" s="1"/>
  <c r="AC85" i="19"/>
  <c r="DJ85" i="19" s="1"/>
  <c r="AB140" i="19"/>
  <c r="DI140" i="19" s="1"/>
  <c r="AC140" i="19"/>
  <c r="DJ140" i="19" s="1"/>
  <c r="AB268" i="19"/>
  <c r="DI268" i="19" s="1"/>
  <c r="AC268" i="19"/>
  <c r="DJ268" i="19" s="1"/>
  <c r="AB93" i="19"/>
  <c r="DI93" i="19" s="1"/>
  <c r="AC93" i="19"/>
  <c r="DJ93" i="19" s="1"/>
  <c r="AB244" i="19"/>
  <c r="DI244" i="19" s="1"/>
  <c r="AC244" i="19"/>
  <c r="DJ244" i="19" s="1"/>
  <c r="AB133" i="19"/>
  <c r="DI133" i="19" s="1"/>
  <c r="AC133" i="19"/>
  <c r="DJ133" i="19" s="1"/>
  <c r="AB253" i="19"/>
  <c r="DI253" i="19" s="1"/>
  <c r="AC253" i="19"/>
  <c r="DJ253" i="19" s="1"/>
  <c r="AB213" i="19"/>
  <c r="DI213" i="19" s="1"/>
  <c r="AC213" i="19"/>
  <c r="DJ213" i="19" s="1"/>
  <c r="AB292" i="19"/>
  <c r="DI292" i="19" s="1"/>
  <c r="AC292" i="19"/>
  <c r="DJ292" i="19" s="1"/>
  <c r="AB221" i="19"/>
  <c r="DI221" i="19" s="1"/>
  <c r="AC221" i="19"/>
  <c r="DJ221" i="19" s="1"/>
  <c r="AB196" i="19"/>
  <c r="DI196" i="19" s="1"/>
  <c r="AC196" i="19"/>
  <c r="DJ196" i="19" s="1"/>
  <c r="AB124" i="19"/>
  <c r="DI124" i="19" s="1"/>
  <c r="AC124" i="19"/>
  <c r="DJ124" i="19" s="1"/>
  <c r="AB316" i="19"/>
  <c r="DI316" i="19" s="1"/>
  <c r="AC316" i="19"/>
  <c r="DJ316" i="19" s="1"/>
  <c r="AB61" i="19"/>
  <c r="DI61" i="19" s="1"/>
  <c r="AC61" i="19"/>
  <c r="DJ61" i="19" s="1"/>
  <c r="AB173" i="19"/>
  <c r="DI173" i="19" s="1"/>
  <c r="AC173" i="19"/>
  <c r="DJ173" i="19" s="1"/>
  <c r="AB180" i="19"/>
  <c r="DI180" i="19" s="1"/>
  <c r="AC180" i="19"/>
  <c r="DJ180" i="19" s="1"/>
  <c r="AB36" i="19"/>
  <c r="DI36" i="19" s="1"/>
  <c r="AC36" i="19"/>
  <c r="DJ36" i="19" s="1"/>
  <c r="AB317" i="19"/>
  <c r="DI317" i="19" s="1"/>
  <c r="AC317" i="19"/>
  <c r="DJ317" i="19" s="1"/>
  <c r="AB132" i="19"/>
  <c r="DI132" i="19" s="1"/>
  <c r="AC132" i="19"/>
  <c r="DJ132" i="19" s="1"/>
  <c r="CI31" i="35"/>
  <c r="FQ31" i="35" s="1"/>
  <c r="DR5" i="35"/>
  <c r="II5" i="35" s="1"/>
  <c r="EM5" i="35"/>
  <c r="JY5" i="35" s="1"/>
  <c r="FM11" i="19"/>
  <c r="C57" i="30"/>
  <c r="CQ28" i="35"/>
  <c r="GG28" i="35" s="1"/>
  <c r="CQ31" i="35"/>
  <c r="GG31" i="35" s="1"/>
  <c r="C109" i="30"/>
  <c r="DP201" i="19"/>
  <c r="C199" i="19" s="1"/>
  <c r="C200" i="19" s="1"/>
  <c r="DP225" i="19"/>
  <c r="C223" i="19" s="1"/>
  <c r="EH10" i="19"/>
  <c r="FB17" i="19"/>
  <c r="CQ29" i="35"/>
  <c r="GG29" i="35" s="1"/>
  <c r="B10" i="35"/>
  <c r="DI31" i="30"/>
  <c r="B22" i="35"/>
  <c r="DI79" i="30"/>
  <c r="B36" i="35"/>
  <c r="DI135" i="30"/>
  <c r="DO155" i="30"/>
  <c r="J41" i="35"/>
  <c r="B11" i="35"/>
  <c r="DI35" i="30"/>
  <c r="B38" i="35"/>
  <c r="DI143" i="30"/>
  <c r="B33" i="35"/>
  <c r="DI123" i="30"/>
  <c r="B26" i="35"/>
  <c r="DI95" i="30"/>
  <c r="B40" i="35"/>
  <c r="DI151" i="30"/>
  <c r="B27" i="35"/>
  <c r="DI99" i="30"/>
  <c r="C45" i="30"/>
  <c r="C44" i="30"/>
  <c r="MA13" i="35" s="1"/>
  <c r="B20" i="35"/>
  <c r="DI71" i="30"/>
  <c r="J15" i="35"/>
  <c r="DO51" i="30"/>
  <c r="C53" i="30" s="1"/>
  <c r="B18" i="35"/>
  <c r="DI63" i="30"/>
  <c r="DO143" i="30"/>
  <c r="J38" i="35"/>
  <c r="B30" i="35"/>
  <c r="DI111" i="30"/>
  <c r="DO83" i="30"/>
  <c r="C85" i="30" s="1"/>
  <c r="J23" i="35"/>
  <c r="DO159" i="30"/>
  <c r="C161" i="30" s="1"/>
  <c r="J42" i="35"/>
  <c r="B12" i="35"/>
  <c r="DI39" i="30"/>
  <c r="DO95" i="30"/>
  <c r="J26" i="35"/>
  <c r="DO127" i="30"/>
  <c r="C129" i="30" s="1"/>
  <c r="J34" i="35"/>
  <c r="J22" i="35"/>
  <c r="DO79" i="30"/>
  <c r="C81" i="30" s="1"/>
  <c r="B24" i="35"/>
  <c r="DI87" i="30"/>
  <c r="B29" i="35"/>
  <c r="DI107" i="30"/>
  <c r="DO39" i="30"/>
  <c r="C41" i="30" s="1"/>
  <c r="J12" i="35"/>
  <c r="B9" i="35"/>
  <c r="DI27" i="30"/>
  <c r="DO23" i="30"/>
  <c r="C25" i="30" s="1"/>
  <c r="J8" i="35"/>
  <c r="B8" i="35"/>
  <c r="DI23" i="30"/>
  <c r="DO119" i="30"/>
  <c r="C121" i="30" s="1"/>
  <c r="J32" i="35"/>
  <c r="DO139" i="30"/>
  <c r="C141" i="30" s="1"/>
  <c r="J37" i="35"/>
  <c r="B19" i="35"/>
  <c r="DI67" i="30"/>
  <c r="C72" i="30"/>
  <c r="MA20" i="35" s="1"/>
  <c r="C73" i="30"/>
  <c r="DO99" i="30"/>
  <c r="C100" i="30" s="1"/>
  <c r="MA27" i="35" s="1"/>
  <c r="J27" i="35"/>
  <c r="B14" i="35"/>
  <c r="DI47" i="30"/>
  <c r="B25" i="35"/>
  <c r="DI91" i="30"/>
  <c r="DO163" i="30"/>
  <c r="C165" i="30" s="1"/>
  <c r="J43" i="35"/>
  <c r="B34" i="35"/>
  <c r="DI127" i="30"/>
  <c r="CP36" i="35"/>
  <c r="GE36" i="35" s="1"/>
  <c r="DO147" i="30"/>
  <c r="C149" i="30" s="1"/>
  <c r="J39" i="35"/>
  <c r="J30" i="35"/>
  <c r="DO111" i="30"/>
  <c r="B13" i="35"/>
  <c r="DI43" i="30"/>
  <c r="B23" i="35"/>
  <c r="DI83" i="30"/>
  <c r="DO131" i="30"/>
  <c r="J35" i="35"/>
  <c r="B42" i="35"/>
  <c r="DI159" i="30"/>
  <c r="B39" i="35"/>
  <c r="DI147" i="30"/>
  <c r="C49" i="30"/>
  <c r="C117" i="30"/>
  <c r="CP9" i="35"/>
  <c r="GE9" i="35" s="1"/>
  <c r="CP31" i="35"/>
  <c r="GE31" i="35" s="1"/>
  <c r="CP29" i="35"/>
  <c r="GE29" i="35" s="1"/>
  <c r="CV39" i="35"/>
  <c r="GQ39" i="35" s="1"/>
  <c r="CP7" i="35"/>
  <c r="GE7" i="35" s="1"/>
  <c r="CP28" i="35"/>
  <c r="GE28" i="35" s="1"/>
  <c r="AL233" i="19"/>
  <c r="DQ233" i="19" s="1"/>
  <c r="AJ233" i="19"/>
  <c r="DO233" i="19" s="1"/>
  <c r="AL186" i="19"/>
  <c r="DQ186" i="19" s="1"/>
  <c r="AJ186" i="19"/>
  <c r="DO186" i="19" s="1"/>
  <c r="AL73" i="19"/>
  <c r="DQ73" i="19" s="1"/>
  <c r="AJ73" i="19"/>
  <c r="DO73" i="19" s="1"/>
  <c r="AL281" i="19"/>
  <c r="DQ281" i="19" s="1"/>
  <c r="AJ281" i="19"/>
  <c r="DO281" i="19" s="1"/>
  <c r="AL189" i="19"/>
  <c r="DQ189" i="19" s="1"/>
  <c r="AJ189" i="19"/>
  <c r="DO189" i="19" s="1"/>
  <c r="AL29" i="19"/>
  <c r="DQ29" i="19" s="1"/>
  <c r="AJ29" i="19"/>
  <c r="DO29" i="19" s="1"/>
  <c r="AL157" i="19"/>
  <c r="DQ157" i="19" s="1"/>
  <c r="AJ157" i="19"/>
  <c r="DO157" i="19" s="1"/>
  <c r="AL277" i="19"/>
  <c r="DQ277" i="19" s="1"/>
  <c r="AJ277" i="19"/>
  <c r="DO277" i="19" s="1"/>
  <c r="AL101" i="19"/>
  <c r="DQ101" i="19" s="1"/>
  <c r="AJ101" i="19"/>
  <c r="DO101" i="19" s="1"/>
  <c r="AL285" i="19"/>
  <c r="DQ285" i="19" s="1"/>
  <c r="AJ285" i="19"/>
  <c r="DO285" i="19" s="1"/>
  <c r="AL74" i="19"/>
  <c r="DQ74" i="19" s="1"/>
  <c r="AJ74" i="19"/>
  <c r="DO74" i="19" s="1"/>
  <c r="AL282" i="19"/>
  <c r="DQ282" i="19" s="1"/>
  <c r="AJ282" i="19"/>
  <c r="DO282" i="19" s="1"/>
  <c r="AL293" i="19"/>
  <c r="DQ293" i="19" s="1"/>
  <c r="AJ293" i="19"/>
  <c r="DO293" i="19" s="1"/>
  <c r="AL165" i="19"/>
  <c r="DQ165" i="19" s="1"/>
  <c r="AJ165" i="19"/>
  <c r="DO165" i="19" s="1"/>
  <c r="AL317" i="19"/>
  <c r="DQ317" i="19" s="1"/>
  <c r="AJ317" i="19"/>
  <c r="DO317" i="19" s="1"/>
  <c r="AL237" i="19"/>
  <c r="DQ237" i="19" s="1"/>
  <c r="AJ237" i="19"/>
  <c r="DO237" i="19" s="1"/>
  <c r="AL25" i="19"/>
  <c r="DQ25" i="19" s="1"/>
  <c r="AJ25" i="19"/>
  <c r="DO25" i="19" s="1"/>
  <c r="AL261" i="19"/>
  <c r="DQ261" i="19" s="1"/>
  <c r="AJ261" i="19"/>
  <c r="DO261" i="19" s="1"/>
  <c r="AL221" i="19"/>
  <c r="DQ221" i="19" s="1"/>
  <c r="AJ221" i="19"/>
  <c r="DO221" i="19" s="1"/>
  <c r="AL309" i="19"/>
  <c r="DQ309" i="19" s="1"/>
  <c r="AJ309" i="19"/>
  <c r="DO309" i="19" s="1"/>
  <c r="AL253" i="19"/>
  <c r="DQ253" i="19" s="1"/>
  <c r="AJ253" i="19"/>
  <c r="DO253" i="19" s="1"/>
  <c r="AL325" i="19"/>
  <c r="DQ325" i="19" s="1"/>
  <c r="AJ325" i="19"/>
  <c r="DO325" i="19" s="1"/>
  <c r="AL197" i="19"/>
  <c r="DQ197" i="19" s="1"/>
  <c r="AJ197" i="19"/>
  <c r="DO197" i="19" s="1"/>
  <c r="AL45" i="19"/>
  <c r="DQ45" i="19" s="1"/>
  <c r="AJ45" i="19"/>
  <c r="DO45" i="19" s="1"/>
  <c r="AL77" i="19"/>
  <c r="DQ77" i="19" s="1"/>
  <c r="AJ77" i="19"/>
  <c r="DO77" i="19" s="1"/>
  <c r="DO307" i="19"/>
  <c r="DO219" i="19"/>
  <c r="AL260" i="19"/>
  <c r="DQ260" i="19" s="1"/>
  <c r="AJ260" i="19"/>
  <c r="DO260" i="19" s="1"/>
  <c r="AL28" i="19"/>
  <c r="DQ28" i="19" s="1"/>
  <c r="AJ28" i="19"/>
  <c r="DO28" i="19" s="1"/>
  <c r="AL44" i="19"/>
  <c r="DQ44" i="19" s="1"/>
  <c r="AJ44" i="19"/>
  <c r="DO44" i="19" s="1"/>
  <c r="AL100" i="19"/>
  <c r="DQ100" i="19" s="1"/>
  <c r="AJ100" i="19"/>
  <c r="DO100" i="19" s="1"/>
  <c r="AL164" i="19"/>
  <c r="DQ164" i="19" s="1"/>
  <c r="AJ164" i="19"/>
  <c r="DO164" i="19" s="1"/>
  <c r="DO139" i="19"/>
  <c r="C135" i="19" s="1"/>
  <c r="C136" i="19" s="1"/>
  <c r="CP20" i="35"/>
  <c r="GE20" i="35" s="1"/>
  <c r="DO123" i="19"/>
  <c r="CP18" i="35"/>
  <c r="GE18" i="35" s="1"/>
  <c r="CP25" i="35"/>
  <c r="GE25" i="35" s="1"/>
  <c r="DO195" i="19"/>
  <c r="AL75" i="19"/>
  <c r="DQ75" i="19" s="1"/>
  <c r="AJ75" i="19"/>
  <c r="DO155" i="19"/>
  <c r="DO163" i="19"/>
  <c r="AL315" i="19"/>
  <c r="DQ315" i="19" s="1"/>
  <c r="AJ315" i="19"/>
  <c r="DO315" i="19" s="1"/>
  <c r="AL292" i="19"/>
  <c r="DQ292" i="19" s="1"/>
  <c r="AJ292" i="19"/>
  <c r="DO292" i="19" s="1"/>
  <c r="AL156" i="19"/>
  <c r="DQ156" i="19" s="1"/>
  <c r="AJ156" i="19"/>
  <c r="DO156" i="19" s="1"/>
  <c r="AL252" i="19"/>
  <c r="DQ252" i="19" s="1"/>
  <c r="AJ252" i="19"/>
  <c r="DO252" i="19" s="1"/>
  <c r="AL316" i="19"/>
  <c r="DQ316" i="19" s="1"/>
  <c r="AJ316" i="19"/>
  <c r="DO316" i="19" s="1"/>
  <c r="AL324" i="19"/>
  <c r="DQ324" i="19" s="1"/>
  <c r="AJ324" i="19"/>
  <c r="DO324" i="19" s="1"/>
  <c r="AL308" i="19"/>
  <c r="DQ308" i="19" s="1"/>
  <c r="AJ308" i="19"/>
  <c r="DO308" i="19" s="1"/>
  <c r="AL220" i="19"/>
  <c r="DQ220" i="19" s="1"/>
  <c r="AJ220" i="19"/>
  <c r="DO220" i="19" s="1"/>
  <c r="AL188" i="19"/>
  <c r="DQ188" i="19" s="1"/>
  <c r="AJ188" i="19"/>
  <c r="DO188" i="19" s="1"/>
  <c r="AL323" i="19"/>
  <c r="DQ323" i="19" s="1"/>
  <c r="AJ323" i="19"/>
  <c r="DO323" i="19" s="1"/>
  <c r="AL283" i="19"/>
  <c r="DQ283" i="19" s="1"/>
  <c r="AJ283" i="19"/>
  <c r="DO43" i="19"/>
  <c r="AL236" i="19"/>
  <c r="DQ236" i="19" s="1"/>
  <c r="AJ236" i="19"/>
  <c r="DO236" i="19" s="1"/>
  <c r="DO131" i="19"/>
  <c r="C127" i="19" s="1"/>
  <c r="MM19" i="35" s="1"/>
  <c r="CP19" i="35"/>
  <c r="GE19" i="35" s="1"/>
  <c r="DO171" i="19"/>
  <c r="C167" i="19" s="1"/>
  <c r="CP24" i="35"/>
  <c r="GE24" i="35" s="1"/>
  <c r="DO259" i="19"/>
  <c r="DO99" i="19"/>
  <c r="DO275" i="19"/>
  <c r="AL284" i="19"/>
  <c r="DQ284" i="19" s="1"/>
  <c r="AJ284" i="19"/>
  <c r="DO284" i="19" s="1"/>
  <c r="AL276" i="19"/>
  <c r="DQ276" i="19" s="1"/>
  <c r="AJ276" i="19"/>
  <c r="DO276" i="19" s="1"/>
  <c r="AL196" i="19"/>
  <c r="DQ196" i="19" s="1"/>
  <c r="AJ196" i="19"/>
  <c r="DO196" i="19" s="1"/>
  <c r="AL76" i="19"/>
  <c r="DQ76" i="19" s="1"/>
  <c r="AJ76" i="19"/>
  <c r="DO76" i="19" s="1"/>
  <c r="GM2" i="35"/>
  <c r="AF69" i="19"/>
  <c r="DM69" i="19" s="1"/>
  <c r="AB69" i="19"/>
  <c r="DI69" i="19" s="1"/>
  <c r="AE21" i="19"/>
  <c r="DL21" i="19" s="1"/>
  <c r="AB21" i="19"/>
  <c r="DI21" i="19" s="1"/>
  <c r="AD77" i="19"/>
  <c r="DK77" i="19" s="1"/>
  <c r="AB77" i="19"/>
  <c r="DI77" i="19" s="1"/>
  <c r="AF68" i="19"/>
  <c r="DM68" i="19" s="1"/>
  <c r="AB68" i="19"/>
  <c r="DI68" i="19" s="1"/>
  <c r="AE20" i="19"/>
  <c r="DL20" i="19" s="1"/>
  <c r="AB20" i="19"/>
  <c r="DI20" i="19" s="1"/>
  <c r="AD76" i="19"/>
  <c r="DK76" i="19" s="1"/>
  <c r="AB76" i="19"/>
  <c r="DI76" i="19" s="1"/>
  <c r="AD90" i="19"/>
  <c r="DK90" i="19" s="1"/>
  <c r="AB90" i="19"/>
  <c r="DI90" i="19" s="1"/>
  <c r="AE81" i="19"/>
  <c r="DL81" i="19" s="1"/>
  <c r="AB81" i="19"/>
  <c r="DI81" i="19" s="1"/>
  <c r="AE250" i="19"/>
  <c r="DL250" i="19" s="1"/>
  <c r="AB250" i="19"/>
  <c r="DI250" i="19" s="1"/>
  <c r="AD34" i="19"/>
  <c r="DK34" i="19" s="1"/>
  <c r="AB34" i="19"/>
  <c r="DI34" i="19" s="1"/>
  <c r="AD106" i="19"/>
  <c r="DK106" i="19" s="1"/>
  <c r="AB106" i="19"/>
  <c r="DI106" i="19" s="1"/>
  <c r="AD58" i="19"/>
  <c r="DK58" i="19" s="1"/>
  <c r="AB58" i="19"/>
  <c r="DI58" i="19" s="1"/>
  <c r="AE41" i="19"/>
  <c r="DL41" i="19" s="1"/>
  <c r="AB41" i="19"/>
  <c r="DI41" i="19" s="1"/>
  <c r="AD49" i="19"/>
  <c r="DK49" i="19" s="1"/>
  <c r="AB49" i="19"/>
  <c r="DI49" i="19" s="1"/>
  <c r="AE153" i="19"/>
  <c r="DL153" i="19" s="1"/>
  <c r="AB153" i="19"/>
  <c r="DI153" i="19" s="1"/>
  <c r="AE82" i="19"/>
  <c r="DL82" i="19" s="1"/>
  <c r="AB82" i="19"/>
  <c r="DI82" i="19" s="1"/>
  <c r="AD73" i="19"/>
  <c r="DK73" i="19" s="1"/>
  <c r="AB73" i="19"/>
  <c r="DI73" i="19" s="1"/>
  <c r="AD33" i="19"/>
  <c r="DK33" i="19" s="1"/>
  <c r="AB33" i="19"/>
  <c r="DI33" i="19" s="1"/>
  <c r="AE154" i="19"/>
  <c r="DL154" i="19" s="1"/>
  <c r="AB154" i="19"/>
  <c r="DI154" i="19" s="1"/>
  <c r="AE249" i="19"/>
  <c r="DL249" i="19" s="1"/>
  <c r="AB249" i="19"/>
  <c r="DI249" i="19" s="1"/>
  <c r="AD74" i="19"/>
  <c r="DK74" i="19" s="1"/>
  <c r="AB74" i="19"/>
  <c r="DI74" i="19" s="1"/>
  <c r="AE89" i="19"/>
  <c r="DL89" i="19" s="1"/>
  <c r="AB89" i="19"/>
  <c r="DI89" i="19" s="1"/>
  <c r="AE42" i="19"/>
  <c r="DL42" i="19" s="1"/>
  <c r="AB42" i="19"/>
  <c r="DI42" i="19" s="1"/>
  <c r="AE313" i="19"/>
  <c r="DL313" i="19" s="1"/>
  <c r="AB313" i="19"/>
  <c r="DI313" i="19" s="1"/>
  <c r="AE155" i="19"/>
  <c r="DL155" i="19" s="1"/>
  <c r="AB155" i="19"/>
  <c r="AE131" i="19"/>
  <c r="DL131" i="19" s="1"/>
  <c r="AB131" i="19"/>
  <c r="AE139" i="19"/>
  <c r="DL139" i="19" s="1"/>
  <c r="AB139" i="19"/>
  <c r="DI259" i="19"/>
  <c r="CH35" i="35"/>
  <c r="FO35" i="35" s="1"/>
  <c r="AE115" i="19"/>
  <c r="DL115" i="19" s="1"/>
  <c r="AB115" i="19"/>
  <c r="AE251" i="19"/>
  <c r="DL251" i="19" s="1"/>
  <c r="AB251" i="19"/>
  <c r="DI227" i="19"/>
  <c r="CH31" i="35"/>
  <c r="FO31" i="35" s="1"/>
  <c r="DI235" i="19"/>
  <c r="CH32" i="35"/>
  <c r="FO32" i="35" s="1"/>
  <c r="DI203" i="19"/>
  <c r="CH28" i="35"/>
  <c r="FO28" i="35" s="1"/>
  <c r="AE123" i="19"/>
  <c r="DL123" i="19" s="1"/>
  <c r="AB123" i="19"/>
  <c r="CR25" i="35"/>
  <c r="GI25" i="35" s="1"/>
  <c r="EA4" i="35"/>
  <c r="JA4" i="35" s="1"/>
  <c r="CR31" i="35"/>
  <c r="GI31" i="35" s="1"/>
  <c r="CJ15" i="35"/>
  <c r="FS15" i="35" s="1"/>
  <c r="DQ122" i="19"/>
  <c r="CR28" i="35"/>
  <c r="GI28" i="35" s="1"/>
  <c r="AB59" i="19"/>
  <c r="DI59" i="19" s="1"/>
  <c r="AE59" i="19"/>
  <c r="DL59" i="19" s="1"/>
  <c r="CQ21" i="35"/>
  <c r="GG21" i="35" s="1"/>
  <c r="DX4" i="35"/>
  <c r="IU4" i="35" s="1"/>
  <c r="AG4" i="35"/>
  <c r="EF7" i="30"/>
  <c r="G9" i="30"/>
  <c r="CQ7" i="35"/>
  <c r="GG7" i="35" s="1"/>
  <c r="DW19" i="30"/>
  <c r="T7" i="35"/>
  <c r="GY7" i="35" s="1"/>
  <c r="DW47" i="30"/>
  <c r="T14" i="35"/>
  <c r="GY14" i="35" s="1"/>
  <c r="D28" i="30"/>
  <c r="MB9" i="35" s="1"/>
  <c r="D29" i="30"/>
  <c r="T42" i="35"/>
  <c r="GY42" i="35" s="1"/>
  <c r="DW159" i="30"/>
  <c r="T28" i="35"/>
  <c r="GY28" i="35" s="1"/>
  <c r="DW103" i="30"/>
  <c r="T33" i="35"/>
  <c r="GY33" i="35" s="1"/>
  <c r="DW123" i="30"/>
  <c r="DW119" i="30"/>
  <c r="T32" i="35"/>
  <c r="GY32" i="35" s="1"/>
  <c r="DW71" i="30"/>
  <c r="T20" i="35"/>
  <c r="GY20" i="35" s="1"/>
  <c r="T24" i="35"/>
  <c r="GY24" i="35" s="1"/>
  <c r="DW87" i="30"/>
  <c r="AF9" i="19"/>
  <c r="DM9" i="19" s="1"/>
  <c r="AB9" i="19"/>
  <c r="AB75" i="19"/>
  <c r="DI75" i="19" s="1"/>
  <c r="AD75" i="19"/>
  <c r="DK75" i="19" s="1"/>
  <c r="DT145" i="19"/>
  <c r="CQ25" i="35"/>
  <c r="GG25" i="35" s="1"/>
  <c r="CR7" i="35"/>
  <c r="GI7" i="35" s="1"/>
  <c r="CR29" i="35"/>
  <c r="GI29" i="35" s="1"/>
  <c r="CR36" i="35"/>
  <c r="GI36" i="35" s="1"/>
  <c r="CY39" i="35"/>
  <c r="GW39" i="35" s="1"/>
  <c r="CV153" i="19"/>
  <c r="CW153" i="19"/>
  <c r="FJ153" i="19" s="1"/>
  <c r="AK193" i="19"/>
  <c r="DP193" i="19" s="1"/>
  <c r="AL193" i="19"/>
  <c r="DQ193" i="19" s="1"/>
  <c r="CN65" i="19"/>
  <c r="CP65" i="19"/>
  <c r="FE65" i="19" s="1"/>
  <c r="BT226" i="19"/>
  <c r="EO226" i="19" s="1"/>
  <c r="BU226" i="19"/>
  <c r="EP226" i="19" s="1"/>
  <c r="DA282" i="19"/>
  <c r="DD282" i="19"/>
  <c r="FO282" i="19" s="1"/>
  <c r="BT42" i="19"/>
  <c r="EO42" i="19" s="1"/>
  <c r="BU42" i="19"/>
  <c r="EP42" i="19" s="1"/>
  <c r="CA265" i="19"/>
  <c r="CB265" i="19"/>
  <c r="EU265" i="19" s="1"/>
  <c r="AR202" i="19"/>
  <c r="DU202" i="19" s="1"/>
  <c r="AS202" i="19"/>
  <c r="DV202" i="19" s="1"/>
  <c r="CO306" i="19"/>
  <c r="FD306" i="19" s="1"/>
  <c r="CP306" i="19"/>
  <c r="FE306" i="19" s="1"/>
  <c r="AY274" i="19"/>
  <c r="DZ274" i="19" s="1"/>
  <c r="AZ274" i="19"/>
  <c r="EA274" i="19" s="1"/>
  <c r="BD321" i="19"/>
  <c r="EC321" i="19" s="1"/>
  <c r="BG321" i="19"/>
  <c r="EF321" i="19" s="1"/>
  <c r="BM257" i="19"/>
  <c r="EJ257" i="19" s="1"/>
  <c r="BN257" i="19"/>
  <c r="EK257" i="19" s="1"/>
  <c r="CN281" i="19"/>
  <c r="CP281" i="19"/>
  <c r="FE281" i="19" s="1"/>
  <c r="CH217" i="19"/>
  <c r="CI217" i="19"/>
  <c r="BM153" i="19"/>
  <c r="BN153" i="19"/>
  <c r="EK153" i="19" s="1"/>
  <c r="BZ122" i="19"/>
  <c r="CB122" i="19"/>
  <c r="EU122" i="19" s="1"/>
  <c r="BY313" i="19"/>
  <c r="CB313" i="19"/>
  <c r="EU313" i="19" s="1"/>
  <c r="DA322" i="19"/>
  <c r="FL322" i="19" s="1"/>
  <c r="DD322" i="19"/>
  <c r="FO322" i="19" s="1"/>
  <c r="DB73" i="19"/>
  <c r="DD73" i="19"/>
  <c r="FO73" i="19" s="1"/>
  <c r="CO274" i="19"/>
  <c r="FD274" i="19" s="1"/>
  <c r="CP274" i="19"/>
  <c r="FE274" i="19" s="1"/>
  <c r="BF177" i="19"/>
  <c r="BG177" i="19"/>
  <c r="BR50" i="19"/>
  <c r="BU50" i="19"/>
  <c r="EP50" i="19" s="1"/>
  <c r="BS321" i="19"/>
  <c r="DY43" i="35" s="1"/>
  <c r="IW43" i="35" s="1"/>
  <c r="BU321" i="19"/>
  <c r="EP321" i="19" s="1"/>
  <c r="AR130" i="19"/>
  <c r="DU130" i="19" s="1"/>
  <c r="AS130" i="19"/>
  <c r="DV130" i="19" s="1"/>
  <c r="AK153" i="19"/>
  <c r="DP153" i="19" s="1"/>
  <c r="AL153" i="19"/>
  <c r="DQ153" i="19" s="1"/>
  <c r="CT321" i="19"/>
  <c r="FG321" i="19" s="1"/>
  <c r="CW321" i="19"/>
  <c r="FJ321" i="19" s="1"/>
  <c r="BY170" i="19"/>
  <c r="CB170" i="19"/>
  <c r="EU170" i="19" s="1"/>
  <c r="BF210" i="19"/>
  <c r="EE210" i="19" s="1"/>
  <c r="BG210" i="19"/>
  <c r="EF210" i="19" s="1"/>
  <c r="CA97" i="19"/>
  <c r="ET97" i="19" s="1"/>
  <c r="CB97" i="19"/>
  <c r="EU97" i="19" s="1"/>
  <c r="BY57" i="19"/>
  <c r="CB57" i="19"/>
  <c r="EU57" i="19" s="1"/>
  <c r="BT218" i="19"/>
  <c r="EO218" i="19" s="1"/>
  <c r="BU218" i="19"/>
  <c r="EP218" i="19" s="1"/>
  <c r="BF162" i="19"/>
  <c r="EE162" i="19" s="1"/>
  <c r="BG162" i="19"/>
  <c r="EF162" i="19" s="1"/>
  <c r="CN129" i="19"/>
  <c r="CP129" i="19"/>
  <c r="FE129" i="19" s="1"/>
  <c r="CH98" i="19"/>
  <c r="EY98" i="19" s="1"/>
  <c r="CI98" i="19"/>
  <c r="EZ98" i="19" s="1"/>
  <c r="BY9" i="19"/>
  <c r="CB9" i="19"/>
  <c r="EU9" i="19" s="1"/>
  <c r="AY42" i="19"/>
  <c r="DZ42" i="19" s="1"/>
  <c r="AZ42" i="19"/>
  <c r="EA42" i="19" s="1"/>
  <c r="CN137" i="19"/>
  <c r="CP137" i="19"/>
  <c r="FE137" i="19" s="1"/>
  <c r="BM41" i="19"/>
  <c r="BN41" i="19"/>
  <c r="EK41" i="19" s="1"/>
  <c r="CH306" i="19"/>
  <c r="EY306" i="19" s="1"/>
  <c r="CI306" i="19"/>
  <c r="EZ306" i="19" s="1"/>
  <c r="CA177" i="19"/>
  <c r="CB177" i="19"/>
  <c r="EU177" i="19" s="1"/>
  <c r="AX113" i="19"/>
  <c r="DY113" i="19" s="1"/>
  <c r="AZ113" i="19"/>
  <c r="EA113" i="19" s="1"/>
  <c r="AP322" i="19"/>
  <c r="DS322" i="19" s="1"/>
  <c r="AS322" i="19"/>
  <c r="DV322" i="19" s="1"/>
  <c r="DA66" i="19"/>
  <c r="DD66" i="19"/>
  <c r="FO66" i="19" s="1"/>
  <c r="CF290" i="19"/>
  <c r="CI290" i="19"/>
  <c r="EZ290" i="19" s="1"/>
  <c r="AY226" i="19"/>
  <c r="DZ226" i="19" s="1"/>
  <c r="AZ226" i="19"/>
  <c r="EA226" i="19" s="1"/>
  <c r="AR97" i="19"/>
  <c r="DU97" i="19" s="1"/>
  <c r="AS97" i="19"/>
  <c r="DV97" i="19" s="1"/>
  <c r="CG249" i="19"/>
  <c r="CI249" i="19"/>
  <c r="EZ249" i="19" s="1"/>
  <c r="CO153" i="19"/>
  <c r="CP153" i="19"/>
  <c r="FE153" i="19" s="1"/>
  <c r="DA122" i="19"/>
  <c r="DD122" i="19"/>
  <c r="FO122" i="19" s="1"/>
  <c r="CN313" i="19"/>
  <c r="CP313" i="19"/>
  <c r="FE313" i="19" s="1"/>
  <c r="AY105" i="19"/>
  <c r="AZ105" i="19"/>
  <c r="EA105" i="19" s="1"/>
  <c r="BR145" i="19"/>
  <c r="DX21" i="35" s="1"/>
  <c r="IU21" i="35" s="1"/>
  <c r="BU145" i="19"/>
  <c r="EP145" i="19" s="1"/>
  <c r="CN9" i="19"/>
  <c r="CP9" i="19"/>
  <c r="FE9" i="19" s="1"/>
  <c r="CU130" i="19"/>
  <c r="CW130" i="19"/>
  <c r="FJ130" i="19" s="1"/>
  <c r="CN105" i="19"/>
  <c r="CP105" i="19"/>
  <c r="FE105" i="19" s="1"/>
  <c r="BD9" i="19"/>
  <c r="BG9" i="19"/>
  <c r="EF9" i="19" s="1"/>
  <c r="BF218" i="19"/>
  <c r="EE218" i="19" s="1"/>
  <c r="BG218" i="19"/>
  <c r="EF218" i="19" s="1"/>
  <c r="AK305" i="19"/>
  <c r="DP305" i="19" s="1"/>
  <c r="AL305" i="19"/>
  <c r="DQ305" i="19" s="1"/>
  <c r="CO258" i="19"/>
  <c r="FD258" i="19" s="1"/>
  <c r="CP258" i="19"/>
  <c r="FE258" i="19" s="1"/>
  <c r="BZ282" i="19"/>
  <c r="CB282" i="19"/>
  <c r="EU282" i="19" s="1"/>
  <c r="DC257" i="19"/>
  <c r="FN257" i="19" s="1"/>
  <c r="DD257" i="19"/>
  <c r="FO257" i="19" s="1"/>
  <c r="BR297" i="19"/>
  <c r="BU297" i="19"/>
  <c r="EP297" i="19" s="1"/>
  <c r="CG169" i="19"/>
  <c r="CI169" i="19"/>
  <c r="EZ169" i="19" s="1"/>
  <c r="BY137" i="19"/>
  <c r="CB137" i="19"/>
  <c r="EU137" i="19" s="1"/>
  <c r="BF274" i="19"/>
  <c r="EE274" i="19" s="1"/>
  <c r="BG274" i="19"/>
  <c r="EF274" i="19" s="1"/>
  <c r="AW50" i="19"/>
  <c r="AZ50" i="19"/>
  <c r="EA50" i="19" s="1"/>
  <c r="CH257" i="19"/>
  <c r="EY257" i="19" s="1"/>
  <c r="CI257" i="19"/>
  <c r="EZ257" i="19" s="1"/>
  <c r="BM193" i="19"/>
  <c r="BN193" i="19"/>
  <c r="EK193" i="19" s="1"/>
  <c r="BT162" i="19"/>
  <c r="EO162" i="19" s="1"/>
  <c r="BU162" i="19"/>
  <c r="EP162" i="19" s="1"/>
  <c r="BE130" i="19"/>
  <c r="BG130" i="19"/>
  <c r="EF130" i="19" s="1"/>
  <c r="CO218" i="19"/>
  <c r="FD218" i="19" s="1"/>
  <c r="CP218" i="19"/>
  <c r="FE218" i="19" s="1"/>
  <c r="CU58" i="19"/>
  <c r="CW58" i="19"/>
  <c r="FJ58" i="19" s="1"/>
  <c r="CV306" i="19"/>
  <c r="FI306" i="19" s="1"/>
  <c r="CW306" i="19"/>
  <c r="FJ306" i="19" s="1"/>
  <c r="CN250" i="19"/>
  <c r="CP250" i="19"/>
  <c r="FE250" i="19" s="1"/>
  <c r="BT154" i="19"/>
  <c r="EO154" i="19" s="1"/>
  <c r="BU154" i="19"/>
  <c r="EP154" i="19" s="1"/>
  <c r="DC193" i="19"/>
  <c r="DD193" i="19"/>
  <c r="FO193" i="19" s="1"/>
  <c r="CN121" i="19"/>
  <c r="CP121" i="19"/>
  <c r="FE121" i="19" s="1"/>
  <c r="BF266" i="19"/>
  <c r="EE266" i="19" s="1"/>
  <c r="BG266" i="19"/>
  <c r="EF266" i="19" s="1"/>
  <c r="CO201" i="19"/>
  <c r="FD201" i="19" s="1"/>
  <c r="CP201" i="19"/>
  <c r="FE201" i="19" s="1"/>
  <c r="CH209" i="19"/>
  <c r="CI209" i="19"/>
  <c r="CH178" i="19"/>
  <c r="EY178" i="19" s="1"/>
  <c r="CI178" i="19"/>
  <c r="EZ178" i="19" s="1"/>
  <c r="BE49" i="19"/>
  <c r="ED49" i="19" s="1"/>
  <c r="BG49" i="19"/>
  <c r="EF49" i="19" s="1"/>
  <c r="CH162" i="19"/>
  <c r="EY162" i="19" s="1"/>
  <c r="CI162" i="19"/>
  <c r="EZ162" i="19" s="1"/>
  <c r="CN186" i="19"/>
  <c r="CP186" i="19"/>
  <c r="FE186" i="19" s="1"/>
  <c r="BS129" i="19"/>
  <c r="BU129" i="19"/>
  <c r="EP129" i="19" s="1"/>
  <c r="AK217" i="19"/>
  <c r="DP217" i="19" s="1"/>
  <c r="AL217" i="19"/>
  <c r="DQ217" i="19" s="1"/>
  <c r="BK234" i="19"/>
  <c r="DQ32" i="35" s="1"/>
  <c r="IG32" i="35" s="1"/>
  <c r="BN234" i="19"/>
  <c r="EK234" i="19" s="1"/>
  <c r="BL81" i="19"/>
  <c r="BN81" i="19"/>
  <c r="EK81" i="19" s="1"/>
  <c r="BF97" i="19"/>
  <c r="EE97" i="19" s="1"/>
  <c r="BG97" i="19"/>
  <c r="EF97" i="19" s="1"/>
  <c r="BD313" i="19"/>
  <c r="BG313" i="19"/>
  <c r="EF313" i="19" s="1"/>
  <c r="BL185" i="19"/>
  <c r="BN185" i="19"/>
  <c r="EK185" i="19" s="1"/>
  <c r="CV33" i="19"/>
  <c r="CW33" i="19"/>
  <c r="CT26" i="19"/>
  <c r="CW26" i="19"/>
  <c r="FJ26" i="19" s="1"/>
  <c r="AY34" i="19"/>
  <c r="DZ34" i="19" s="1"/>
  <c r="AZ34" i="19"/>
  <c r="EA34" i="19" s="1"/>
  <c r="CA34" i="19"/>
  <c r="ET34" i="19" s="1"/>
  <c r="CB34" i="19"/>
  <c r="EU34" i="19" s="1"/>
  <c r="BF34" i="19"/>
  <c r="EE34" i="19" s="1"/>
  <c r="BG34" i="19"/>
  <c r="EF34" i="19" s="1"/>
  <c r="AX26" i="19"/>
  <c r="AZ26" i="19"/>
  <c r="EA26" i="19" s="1"/>
  <c r="CF10" i="19"/>
  <c r="CI10" i="19"/>
  <c r="EZ10" i="19" s="1"/>
  <c r="BR17" i="19"/>
  <c r="EM17" i="19" s="1"/>
  <c r="BU17" i="19"/>
  <c r="EZ17" i="19"/>
  <c r="EO5" i="35"/>
  <c r="KC5" i="35" s="1"/>
  <c r="EK17" i="19"/>
  <c r="DT5" i="35"/>
  <c r="IM5" i="35" s="1"/>
  <c r="CA266" i="19"/>
  <c r="ET266" i="19" s="1"/>
  <c r="CB266" i="19"/>
  <c r="EU266" i="19" s="1"/>
  <c r="CO305" i="19"/>
  <c r="FD305" i="19" s="1"/>
  <c r="CP305" i="19"/>
  <c r="FE305" i="19" s="1"/>
  <c r="CV177" i="19"/>
  <c r="CW177" i="19"/>
  <c r="BY146" i="19"/>
  <c r="ER146" i="19" s="1"/>
  <c r="CB146" i="19"/>
  <c r="EU146" i="19" s="1"/>
  <c r="BE322" i="19"/>
  <c r="DK43" i="35" s="1"/>
  <c r="HU43" i="35" s="1"/>
  <c r="BG322" i="19"/>
  <c r="EF322" i="19" s="1"/>
  <c r="AR225" i="19"/>
  <c r="DU225" i="19" s="1"/>
  <c r="AS225" i="19"/>
  <c r="DV225" i="19" s="1"/>
  <c r="AY129" i="19"/>
  <c r="DZ129" i="19" s="1"/>
  <c r="AZ129" i="19"/>
  <c r="CH218" i="19"/>
  <c r="EY218" i="19" s="1"/>
  <c r="CI218" i="19"/>
  <c r="EZ218" i="19" s="1"/>
  <c r="BM154" i="19"/>
  <c r="EJ154" i="19" s="1"/>
  <c r="BN154" i="19"/>
  <c r="EK154" i="19" s="1"/>
  <c r="CA154" i="19"/>
  <c r="ET154" i="19" s="1"/>
  <c r="CB154" i="19"/>
  <c r="EU154" i="19" s="1"/>
  <c r="DA58" i="19"/>
  <c r="DD58" i="19"/>
  <c r="FO58" i="19" s="1"/>
  <c r="BD89" i="19"/>
  <c r="BG89" i="19"/>
  <c r="EF89" i="19" s="1"/>
  <c r="BS113" i="19"/>
  <c r="BU113" i="19"/>
  <c r="EP113" i="19" s="1"/>
  <c r="BF194" i="19"/>
  <c r="EE194" i="19" s="1"/>
  <c r="BG194" i="19"/>
  <c r="EF194" i="19" s="1"/>
  <c r="BY65" i="19"/>
  <c r="CB65" i="19"/>
  <c r="EU65" i="19" s="1"/>
  <c r="BS289" i="19"/>
  <c r="BU289" i="19"/>
  <c r="EP289" i="19" s="1"/>
  <c r="CV217" i="19"/>
  <c r="CW217" i="19"/>
  <c r="AK154" i="19"/>
  <c r="DP154" i="19" s="1"/>
  <c r="AL154" i="19"/>
  <c r="DQ154" i="19" s="1"/>
  <c r="CH41" i="19"/>
  <c r="CI41" i="19"/>
  <c r="EZ41" i="19" s="1"/>
  <c r="BM266" i="19"/>
  <c r="EJ266" i="19" s="1"/>
  <c r="BN266" i="19"/>
  <c r="EK266" i="19" s="1"/>
  <c r="AX289" i="19"/>
  <c r="AZ289" i="19"/>
  <c r="EA289" i="19" s="1"/>
  <c r="CH153" i="19"/>
  <c r="CI153" i="19"/>
  <c r="EZ153" i="19" s="1"/>
  <c r="CV194" i="19"/>
  <c r="FI194" i="19" s="1"/>
  <c r="CW194" i="19"/>
  <c r="FJ194" i="19" s="1"/>
  <c r="CA98" i="19"/>
  <c r="ET98" i="19" s="1"/>
  <c r="CB98" i="19"/>
  <c r="EU98" i="19" s="1"/>
  <c r="CT313" i="19"/>
  <c r="CW313" i="19"/>
  <c r="FJ313" i="19" s="1"/>
  <c r="BZ58" i="19"/>
  <c r="CB58" i="19"/>
  <c r="EU58" i="19" s="1"/>
  <c r="BT217" i="19"/>
  <c r="BU217" i="19"/>
  <c r="BK58" i="19"/>
  <c r="BN58" i="19"/>
  <c r="EK58" i="19" s="1"/>
  <c r="BK322" i="19"/>
  <c r="EH322" i="19" s="1"/>
  <c r="BN322" i="19"/>
  <c r="EK322" i="19" s="1"/>
  <c r="BF161" i="19"/>
  <c r="BG161" i="19"/>
  <c r="BY298" i="19"/>
  <c r="CB298" i="19"/>
  <c r="EU298" i="19" s="1"/>
  <c r="AR106" i="19"/>
  <c r="DU106" i="19" s="1"/>
  <c r="AS106" i="19"/>
  <c r="DV106" i="19" s="1"/>
  <c r="BM210" i="19"/>
  <c r="EJ210" i="19" s="1"/>
  <c r="BN210" i="19"/>
  <c r="EK210" i="19" s="1"/>
  <c r="CA178" i="19"/>
  <c r="ET178" i="19" s="1"/>
  <c r="CB178" i="19"/>
  <c r="EU178" i="19" s="1"/>
  <c r="BL50" i="19"/>
  <c r="EI50" i="19" s="1"/>
  <c r="BN50" i="19"/>
  <c r="EK50" i="19" s="1"/>
  <c r="AY225" i="19"/>
  <c r="DZ225" i="19" s="1"/>
  <c r="AZ225" i="19"/>
  <c r="EA225" i="19" s="1"/>
  <c r="CA217" i="19"/>
  <c r="CB217" i="19"/>
  <c r="EU217" i="19" s="1"/>
  <c r="AX65" i="19"/>
  <c r="DY65" i="19" s="1"/>
  <c r="AZ65" i="19"/>
  <c r="EA65" i="19" s="1"/>
  <c r="BM225" i="19"/>
  <c r="EJ225" i="19" s="1"/>
  <c r="BN225" i="19"/>
  <c r="EK225" i="19" s="1"/>
  <c r="AR154" i="19"/>
  <c r="DU154" i="19" s="1"/>
  <c r="AS154" i="19"/>
  <c r="DV154" i="19" s="1"/>
  <c r="BS57" i="19"/>
  <c r="BU57" i="19"/>
  <c r="EP57" i="19" s="1"/>
  <c r="CV273" i="19"/>
  <c r="FI273" i="19" s="1"/>
  <c r="CW273" i="19"/>
  <c r="FJ273" i="19" s="1"/>
  <c r="BF153" i="19"/>
  <c r="BG153" i="19"/>
  <c r="EF153" i="19" s="1"/>
  <c r="CO162" i="19"/>
  <c r="FD162" i="19" s="1"/>
  <c r="CP162" i="19"/>
  <c r="FE162" i="19" s="1"/>
  <c r="BF217" i="19"/>
  <c r="BG217" i="19"/>
  <c r="CO257" i="19"/>
  <c r="FD257" i="19" s="1"/>
  <c r="CP257" i="19"/>
  <c r="FE257" i="19" s="1"/>
  <c r="CH225" i="19"/>
  <c r="EY225" i="19" s="1"/>
  <c r="CI225" i="19"/>
  <c r="EZ225" i="19" s="1"/>
  <c r="CV97" i="19"/>
  <c r="FI97" i="19" s="1"/>
  <c r="CW97" i="19"/>
  <c r="FJ97" i="19" s="1"/>
  <c r="DC218" i="19"/>
  <c r="FN218" i="19" s="1"/>
  <c r="DD218" i="19"/>
  <c r="FO218" i="19" s="1"/>
  <c r="BE122" i="19"/>
  <c r="BG122" i="19"/>
  <c r="EF122" i="19" s="1"/>
  <c r="DC42" i="19"/>
  <c r="FN42" i="19" s="1"/>
  <c r="DD42" i="19"/>
  <c r="FO42" i="19" s="1"/>
  <c r="CV41" i="19"/>
  <c r="CW41" i="19"/>
  <c r="FJ41" i="19" s="1"/>
  <c r="DA234" i="19"/>
  <c r="FL234" i="19" s="1"/>
  <c r="DD234" i="19"/>
  <c r="FO234" i="19" s="1"/>
  <c r="AX241" i="19"/>
  <c r="DY241" i="19" s="1"/>
  <c r="AZ241" i="19"/>
  <c r="EA241" i="19" s="1"/>
  <c r="CH258" i="19"/>
  <c r="EY258" i="19" s="1"/>
  <c r="CI258" i="19"/>
  <c r="EZ258" i="19" s="1"/>
  <c r="BM194" i="19"/>
  <c r="EJ194" i="19" s="1"/>
  <c r="BN194" i="19"/>
  <c r="EK194" i="19" s="1"/>
  <c r="BF225" i="19"/>
  <c r="EE225" i="19" s="1"/>
  <c r="BG225" i="19"/>
  <c r="EF225" i="19" s="1"/>
  <c r="BL249" i="19"/>
  <c r="BN249" i="19"/>
  <c r="EK249" i="19" s="1"/>
  <c r="CO217" i="19"/>
  <c r="CP217" i="19"/>
  <c r="FE217" i="19" s="1"/>
  <c r="BY89" i="19"/>
  <c r="CB89" i="19"/>
  <c r="EU89" i="19" s="1"/>
  <c r="CT57" i="19"/>
  <c r="CW57" i="19"/>
  <c r="FJ57" i="19" s="1"/>
  <c r="CM249" i="19"/>
  <c r="CP249" i="19"/>
  <c r="FE249" i="19" s="1"/>
  <c r="DC194" i="19"/>
  <c r="FN194" i="19" s="1"/>
  <c r="DD194" i="19"/>
  <c r="FO194" i="19" s="1"/>
  <c r="CN289" i="19"/>
  <c r="CP289" i="19"/>
  <c r="FE289" i="19" s="1"/>
  <c r="CT186" i="19"/>
  <c r="CW186" i="19"/>
  <c r="FJ186" i="19" s="1"/>
  <c r="CO202" i="19"/>
  <c r="FD202" i="19" s="1"/>
  <c r="CP202" i="19"/>
  <c r="FE202" i="19" s="1"/>
  <c r="CG73" i="19"/>
  <c r="CI73" i="19"/>
  <c r="EZ73" i="19" s="1"/>
  <c r="BT306" i="19"/>
  <c r="EO306" i="19" s="1"/>
  <c r="BU306" i="19"/>
  <c r="EP306" i="19" s="1"/>
  <c r="BF257" i="19"/>
  <c r="EE257" i="19" s="1"/>
  <c r="BG257" i="19"/>
  <c r="EF257" i="19" s="1"/>
  <c r="DC98" i="19"/>
  <c r="FN98" i="19" s="1"/>
  <c r="DD98" i="19"/>
  <c r="FO98" i="19" s="1"/>
  <c r="AX57" i="19"/>
  <c r="DY57" i="19" s="1"/>
  <c r="AZ57" i="19"/>
  <c r="EA57" i="19" s="1"/>
  <c r="BD186" i="19"/>
  <c r="BG186" i="19"/>
  <c r="EF186" i="19" s="1"/>
  <c r="AI313" i="19"/>
  <c r="DN313" i="19" s="1"/>
  <c r="AL313" i="19"/>
  <c r="DQ313" i="19" s="1"/>
  <c r="BD57" i="19"/>
  <c r="BG57" i="19"/>
  <c r="EF57" i="19" s="1"/>
  <c r="AR41" i="19"/>
  <c r="DU41" i="19" s="1"/>
  <c r="AS41" i="19"/>
  <c r="DV41" i="19" s="1"/>
  <c r="AR138" i="19"/>
  <c r="DU138" i="19" s="1"/>
  <c r="AS138" i="19"/>
  <c r="DV138" i="19" s="1"/>
  <c r="CA209" i="19"/>
  <c r="CB209" i="19"/>
  <c r="EU209" i="19" s="1"/>
  <c r="CF130" i="19"/>
  <c r="CI130" i="19"/>
  <c r="EZ130" i="19" s="1"/>
  <c r="AK42" i="19"/>
  <c r="DP42" i="19" s="1"/>
  <c r="AL42" i="19"/>
  <c r="DQ42" i="19" s="1"/>
  <c r="BS82" i="19"/>
  <c r="BU82" i="19"/>
  <c r="EP82" i="19" s="1"/>
  <c r="BS186" i="19"/>
  <c r="BU186" i="19"/>
  <c r="EP186" i="19" s="1"/>
  <c r="BR25" i="19"/>
  <c r="BU25" i="19"/>
  <c r="EP25" i="19" s="1"/>
  <c r="CV34" i="19"/>
  <c r="FI34" i="19" s="1"/>
  <c r="CW34" i="19"/>
  <c r="FJ34" i="19" s="1"/>
  <c r="CH33" i="19"/>
  <c r="CI33" i="19"/>
  <c r="AY33" i="19"/>
  <c r="AZ33" i="19"/>
  <c r="EA33" i="19" s="1"/>
  <c r="DC34" i="19"/>
  <c r="FN34" i="19" s="1"/>
  <c r="DD34" i="19"/>
  <c r="FO34" i="19" s="1"/>
  <c r="CA33" i="19"/>
  <c r="CB33" i="19"/>
  <c r="EU33" i="19" s="1"/>
  <c r="BM33" i="19"/>
  <c r="BN33" i="19"/>
  <c r="EK33" i="19" s="1"/>
  <c r="BD26" i="19"/>
  <c r="BG26" i="19"/>
  <c r="EF26" i="19" s="1"/>
  <c r="CG25" i="19"/>
  <c r="CI25" i="19"/>
  <c r="EZ25" i="19" s="1"/>
  <c r="BY250" i="19"/>
  <c r="CB250" i="19"/>
  <c r="EU250" i="19" s="1"/>
  <c r="CT298" i="19"/>
  <c r="CW298" i="19"/>
  <c r="FJ298" i="19" s="1"/>
  <c r="CV178" i="19"/>
  <c r="FI178" i="19" s="1"/>
  <c r="CW178" i="19"/>
  <c r="FJ178" i="19" s="1"/>
  <c r="BT193" i="19"/>
  <c r="BU193" i="19"/>
  <c r="BE290" i="19"/>
  <c r="BG290" i="19"/>
  <c r="EF290" i="19" s="1"/>
  <c r="AR226" i="19"/>
  <c r="DU226" i="19" s="1"/>
  <c r="AS226" i="19"/>
  <c r="DV226" i="19" s="1"/>
  <c r="BR249" i="19"/>
  <c r="BU249" i="19"/>
  <c r="EP249" i="19" s="1"/>
  <c r="CU90" i="19"/>
  <c r="CW90" i="19"/>
  <c r="FJ90" i="19" s="1"/>
  <c r="BM217" i="19"/>
  <c r="BN217" i="19"/>
  <c r="EK217" i="19" s="1"/>
  <c r="CA153" i="19"/>
  <c r="CB153" i="19"/>
  <c r="EU153" i="19" s="1"/>
  <c r="DC162" i="19"/>
  <c r="FN162" i="19" s="1"/>
  <c r="DD162" i="19"/>
  <c r="FO162" i="19" s="1"/>
  <c r="CT289" i="19"/>
  <c r="CW289" i="19"/>
  <c r="FJ289" i="19" s="1"/>
  <c r="BD250" i="19"/>
  <c r="BG250" i="19"/>
  <c r="EF250" i="19" s="1"/>
  <c r="BE90" i="19"/>
  <c r="BG90" i="19"/>
  <c r="EF90" i="19" s="1"/>
  <c r="CM169" i="19"/>
  <c r="CP169" i="19"/>
  <c r="FE169" i="19" s="1"/>
  <c r="BK138" i="19"/>
  <c r="BN138" i="19"/>
  <c r="EK138" i="19" s="1"/>
  <c r="BS241" i="19"/>
  <c r="BU241" i="19"/>
  <c r="EP241" i="19" s="1"/>
  <c r="BF178" i="19"/>
  <c r="EE178" i="19" s="1"/>
  <c r="BG178" i="19"/>
  <c r="EF178" i="19" s="1"/>
  <c r="BZ66" i="19"/>
  <c r="CB66" i="19"/>
  <c r="EU66" i="19" s="1"/>
  <c r="CT281" i="19"/>
  <c r="CW281" i="19"/>
  <c r="FJ281" i="19" s="1"/>
  <c r="CV218" i="19"/>
  <c r="FI218" i="19" s="1"/>
  <c r="CW218" i="19"/>
  <c r="FJ218" i="19" s="1"/>
  <c r="DC153" i="19"/>
  <c r="DD153" i="19"/>
  <c r="FO153" i="19" s="1"/>
  <c r="CH42" i="19"/>
  <c r="EY42" i="19" s="1"/>
  <c r="CI42" i="19"/>
  <c r="EZ42" i="19" s="1"/>
  <c r="BM265" i="19"/>
  <c r="BN265" i="19"/>
  <c r="EK265" i="19" s="1"/>
  <c r="CH154" i="19"/>
  <c r="EY154" i="19" s="1"/>
  <c r="CI154" i="19"/>
  <c r="EZ154" i="19" s="1"/>
  <c r="CV193" i="19"/>
  <c r="CW193" i="19"/>
  <c r="CU314" i="19"/>
  <c r="CW314" i="19"/>
  <c r="FJ314" i="19" s="1"/>
  <c r="CF314" i="19"/>
  <c r="CI314" i="19"/>
  <c r="EZ314" i="19" s="1"/>
  <c r="CH97" i="19"/>
  <c r="EY97" i="19" s="1"/>
  <c r="CI97" i="19"/>
  <c r="EZ97" i="19" s="1"/>
  <c r="CA42" i="19"/>
  <c r="ET42" i="19" s="1"/>
  <c r="CB42" i="19"/>
  <c r="EU42" i="19" s="1"/>
  <c r="AY41" i="19"/>
  <c r="AZ41" i="19"/>
  <c r="EA41" i="19" s="1"/>
  <c r="CV201" i="19"/>
  <c r="FI201" i="19" s="1"/>
  <c r="CW201" i="19"/>
  <c r="FJ201" i="19" s="1"/>
  <c r="BM42" i="19"/>
  <c r="EJ42" i="19" s="1"/>
  <c r="BN42" i="19"/>
  <c r="EK42" i="19" s="1"/>
  <c r="CH305" i="19"/>
  <c r="EY305" i="19" s="1"/>
  <c r="CI305" i="19"/>
  <c r="EZ305" i="19" s="1"/>
  <c r="BK242" i="19"/>
  <c r="BN242" i="19"/>
  <c r="EK242" i="19" s="1"/>
  <c r="BM209" i="19"/>
  <c r="BN209" i="19"/>
  <c r="EK209" i="19" s="1"/>
  <c r="BK49" i="19"/>
  <c r="BN49" i="19"/>
  <c r="EK49" i="19" s="1"/>
  <c r="BT257" i="19"/>
  <c r="EO257" i="19" s="1"/>
  <c r="BU257" i="19"/>
  <c r="EP257" i="19" s="1"/>
  <c r="CT121" i="19"/>
  <c r="CW121" i="19"/>
  <c r="FJ121" i="19" s="1"/>
  <c r="CF58" i="19"/>
  <c r="CI58" i="19"/>
  <c r="EZ58" i="19" s="1"/>
  <c r="CA218" i="19"/>
  <c r="ET218" i="19" s="1"/>
  <c r="CB218" i="19"/>
  <c r="EU218" i="19" s="1"/>
  <c r="AK258" i="19"/>
  <c r="DP258" i="19" s="1"/>
  <c r="AL258" i="19"/>
  <c r="DQ258" i="19" s="1"/>
  <c r="BM226" i="19"/>
  <c r="EJ226" i="19" s="1"/>
  <c r="BN226" i="19"/>
  <c r="EK226" i="19" s="1"/>
  <c r="AR153" i="19"/>
  <c r="DU153" i="19" s="1"/>
  <c r="AS153" i="19"/>
  <c r="DV153" i="19" s="1"/>
  <c r="CU234" i="19"/>
  <c r="FA32" i="35" s="1"/>
  <c r="LA32" i="35" s="1"/>
  <c r="CW234" i="19"/>
  <c r="FJ234" i="19" s="1"/>
  <c r="BL73" i="19"/>
  <c r="EI73" i="19" s="1"/>
  <c r="BN73" i="19"/>
  <c r="EK73" i="19" s="1"/>
  <c r="CV274" i="19"/>
  <c r="FI274" i="19" s="1"/>
  <c r="CW274" i="19"/>
  <c r="FJ274" i="19" s="1"/>
  <c r="BS65" i="19"/>
  <c r="BU65" i="19"/>
  <c r="EP65" i="19" s="1"/>
  <c r="BD281" i="19"/>
  <c r="BG281" i="19"/>
  <c r="EF281" i="19" s="1"/>
  <c r="CT146" i="19"/>
  <c r="FG146" i="19" s="1"/>
  <c r="CW146" i="19"/>
  <c r="FJ146" i="19" s="1"/>
  <c r="CO161" i="19"/>
  <c r="CP161" i="19"/>
  <c r="BY105" i="19"/>
  <c r="CB105" i="19"/>
  <c r="EU105" i="19" s="1"/>
  <c r="CV226" i="19"/>
  <c r="FI226" i="19" s="1"/>
  <c r="CW226" i="19"/>
  <c r="FJ226" i="19" s="1"/>
  <c r="CF90" i="19"/>
  <c r="CI90" i="19"/>
  <c r="EZ90" i="19" s="1"/>
  <c r="AE65" i="19"/>
  <c r="DL65" i="19" s="1"/>
  <c r="AF65" i="19"/>
  <c r="DM65" i="19" s="1"/>
  <c r="CH226" i="19"/>
  <c r="EY226" i="19" s="1"/>
  <c r="CI226" i="19"/>
  <c r="EZ226" i="19" s="1"/>
  <c r="CV98" i="19"/>
  <c r="FI98" i="19" s="1"/>
  <c r="CW98" i="19"/>
  <c r="FJ98" i="19" s="1"/>
  <c r="DC217" i="19"/>
  <c r="DD217" i="19"/>
  <c r="FO217" i="19" s="1"/>
  <c r="CV42" i="19"/>
  <c r="FI42" i="19" s="1"/>
  <c r="CW42" i="19"/>
  <c r="FJ42" i="19" s="1"/>
  <c r="CH265" i="19"/>
  <c r="CI265" i="19"/>
  <c r="DB233" i="19"/>
  <c r="FH32" i="35" s="1"/>
  <c r="LO32" i="35" s="1"/>
  <c r="DD233" i="19"/>
  <c r="FO233" i="19" s="1"/>
  <c r="BF273" i="19"/>
  <c r="EE273" i="19" s="1"/>
  <c r="BG273" i="19"/>
  <c r="EF273" i="19" s="1"/>
  <c r="BK114" i="19"/>
  <c r="BN114" i="19"/>
  <c r="EK114" i="19" s="1"/>
  <c r="BD129" i="19"/>
  <c r="BG129" i="19"/>
  <c r="EF129" i="19" s="1"/>
  <c r="AK98" i="19"/>
  <c r="DP98" i="19" s="1"/>
  <c r="AL98" i="19"/>
  <c r="DQ98" i="19" s="1"/>
  <c r="CG185" i="19"/>
  <c r="CI185" i="19"/>
  <c r="EZ185" i="19" s="1"/>
  <c r="BZ90" i="19"/>
  <c r="CB90" i="19"/>
  <c r="EU90" i="19" s="1"/>
  <c r="AP314" i="19"/>
  <c r="CV42" i="35" s="1"/>
  <c r="GQ42" i="35" s="1"/>
  <c r="AS314" i="19"/>
  <c r="DV314" i="19" s="1"/>
  <c r="BK90" i="19"/>
  <c r="BN90" i="19"/>
  <c r="EK90" i="19" s="1"/>
  <c r="AI321" i="19"/>
  <c r="CO43" i="35" s="1"/>
  <c r="GC43" i="35" s="1"/>
  <c r="AL321" i="19"/>
  <c r="DQ321" i="19" s="1"/>
  <c r="BF265" i="19"/>
  <c r="BG265" i="19"/>
  <c r="CH210" i="19"/>
  <c r="EY210" i="19" s="1"/>
  <c r="CI210" i="19"/>
  <c r="EZ210" i="19" s="1"/>
  <c r="BT305" i="19"/>
  <c r="EO305" i="19" s="1"/>
  <c r="BU305" i="19"/>
  <c r="EP305" i="19" s="1"/>
  <c r="CT113" i="19"/>
  <c r="CW113" i="19"/>
  <c r="FJ113" i="19" s="1"/>
  <c r="CO226" i="19"/>
  <c r="FD226" i="19" s="1"/>
  <c r="CP226" i="19"/>
  <c r="FE226" i="19" s="1"/>
  <c r="DC97" i="19"/>
  <c r="FN97" i="19" s="1"/>
  <c r="DD97" i="19"/>
  <c r="FO97" i="19" s="1"/>
  <c r="AR257" i="19"/>
  <c r="DU257" i="19" s="1"/>
  <c r="AS257" i="19"/>
  <c r="DV257" i="19" s="1"/>
  <c r="AR42" i="19"/>
  <c r="DU42" i="19" s="1"/>
  <c r="AS42" i="19"/>
  <c r="DV42" i="19" s="1"/>
  <c r="AK274" i="19"/>
  <c r="DP274" i="19" s="1"/>
  <c r="AL274" i="19"/>
  <c r="DQ274" i="19" s="1"/>
  <c r="CA210" i="19"/>
  <c r="ET210" i="19" s="1"/>
  <c r="CB210" i="19"/>
  <c r="EU210" i="19" s="1"/>
  <c r="BF98" i="19"/>
  <c r="EE98" i="19" s="1"/>
  <c r="BG98" i="19"/>
  <c r="EF98" i="19" s="1"/>
  <c r="BE314" i="19"/>
  <c r="BG314" i="19"/>
  <c r="EF314" i="19" s="1"/>
  <c r="BT202" i="19"/>
  <c r="EO202" i="19" s="1"/>
  <c r="BU202" i="19"/>
  <c r="EP202" i="19" s="1"/>
  <c r="AK41" i="19"/>
  <c r="DP41" i="19" s="1"/>
  <c r="AL41" i="19"/>
  <c r="DQ41" i="19" s="1"/>
  <c r="CA274" i="19"/>
  <c r="ET274" i="19" s="1"/>
  <c r="CB274" i="19"/>
  <c r="EU274" i="19" s="1"/>
  <c r="BR81" i="19"/>
  <c r="BU81" i="19"/>
  <c r="EP81" i="19" s="1"/>
  <c r="BR185" i="19"/>
  <c r="BU185" i="19"/>
  <c r="EP185" i="19" s="1"/>
  <c r="AF26" i="19"/>
  <c r="DM26" i="19" s="1"/>
  <c r="AE26" i="19"/>
  <c r="DL26" i="19" s="1"/>
  <c r="BS26" i="19"/>
  <c r="BU26" i="19"/>
  <c r="EP26" i="19" s="1"/>
  <c r="CH34" i="19"/>
  <c r="EY34" i="19" s="1"/>
  <c r="CI34" i="19"/>
  <c r="EZ34" i="19" s="1"/>
  <c r="DC33" i="19"/>
  <c r="DD33" i="19"/>
  <c r="FO33" i="19" s="1"/>
  <c r="DB25" i="19"/>
  <c r="DD25" i="19"/>
  <c r="FO25" i="19" s="1"/>
  <c r="BM34" i="19"/>
  <c r="EJ34" i="19" s="1"/>
  <c r="BN34" i="19"/>
  <c r="EK34" i="19" s="1"/>
  <c r="AW17" i="19"/>
  <c r="DC5" i="35" s="1"/>
  <c r="HE5" i="35" s="1"/>
  <c r="AZ17" i="19"/>
  <c r="EV5" i="35"/>
  <c r="KQ5" i="35" s="1"/>
  <c r="H47" i="52" s="1"/>
  <c r="FE17" i="19"/>
  <c r="AK194" i="19"/>
  <c r="DP194" i="19" s="1"/>
  <c r="AL194" i="19"/>
  <c r="DQ194" i="19" s="1"/>
  <c r="BT98" i="19"/>
  <c r="EO98" i="19" s="1"/>
  <c r="BU98" i="19"/>
  <c r="EP98" i="19" s="1"/>
  <c r="BT41" i="19"/>
  <c r="BU41" i="19"/>
  <c r="EP41" i="19" s="1"/>
  <c r="BR73" i="19"/>
  <c r="BU73" i="19"/>
  <c r="EP73" i="19" s="1"/>
  <c r="AX170" i="19"/>
  <c r="DY170" i="19" s="1"/>
  <c r="AZ170" i="19"/>
  <c r="EA170" i="19" s="1"/>
  <c r="CV154" i="19"/>
  <c r="FI154" i="19" s="1"/>
  <c r="CW154" i="19"/>
  <c r="FJ154" i="19" s="1"/>
  <c r="BT225" i="19"/>
  <c r="EO225" i="19" s="1"/>
  <c r="BU225" i="19"/>
  <c r="EP225" i="19" s="1"/>
  <c r="BT97" i="19"/>
  <c r="EO97" i="19" s="1"/>
  <c r="BU97" i="19"/>
  <c r="EP97" i="19" s="1"/>
  <c r="BS74" i="19"/>
  <c r="EN74" i="19" s="1"/>
  <c r="BU74" i="19"/>
  <c r="EP74" i="19" s="1"/>
  <c r="AR201" i="19"/>
  <c r="DU201" i="19" s="1"/>
  <c r="AS201" i="19"/>
  <c r="DV201" i="19" s="1"/>
  <c r="AX169" i="19"/>
  <c r="AZ169" i="19"/>
  <c r="EA169" i="19" s="1"/>
  <c r="AY273" i="19"/>
  <c r="DZ273" i="19" s="1"/>
  <c r="AZ273" i="19"/>
  <c r="EA273" i="19" s="1"/>
  <c r="BD82" i="19"/>
  <c r="BG82" i="19"/>
  <c r="EF82" i="19" s="1"/>
  <c r="BM258" i="19"/>
  <c r="EJ258" i="19" s="1"/>
  <c r="BN258" i="19"/>
  <c r="EK258" i="19" s="1"/>
  <c r="BT194" i="19"/>
  <c r="EO194" i="19" s="1"/>
  <c r="BU194" i="19"/>
  <c r="EP194" i="19" s="1"/>
  <c r="BD289" i="19"/>
  <c r="BG289" i="19"/>
  <c r="EF289" i="19" s="1"/>
  <c r="BS250" i="19"/>
  <c r="BU250" i="19"/>
  <c r="EP250" i="19" s="1"/>
  <c r="BY121" i="19"/>
  <c r="CB121" i="19"/>
  <c r="EU121" i="19" s="1"/>
  <c r="CT89" i="19"/>
  <c r="CW89" i="19"/>
  <c r="FJ89" i="19" s="1"/>
  <c r="BZ314" i="19"/>
  <c r="CB314" i="19"/>
  <c r="EU314" i="19" s="1"/>
  <c r="BM218" i="19"/>
  <c r="EJ218" i="19" s="1"/>
  <c r="BN218" i="19"/>
  <c r="EK218" i="19" s="1"/>
  <c r="DC161" i="19"/>
  <c r="DD161" i="19"/>
  <c r="CU290" i="19"/>
  <c r="CW290" i="19"/>
  <c r="FJ290" i="19" s="1"/>
  <c r="DB185" i="19"/>
  <c r="DD185" i="19"/>
  <c r="FO185" i="19" s="1"/>
  <c r="AR233" i="19"/>
  <c r="DU233" i="19" s="1"/>
  <c r="AS233" i="19"/>
  <c r="DV233" i="19" s="1"/>
  <c r="CN170" i="19"/>
  <c r="CP170" i="19"/>
  <c r="FE170" i="19" s="1"/>
  <c r="CO273" i="19"/>
  <c r="FD273" i="19" s="1"/>
  <c r="CP273" i="19"/>
  <c r="FE273" i="19" s="1"/>
  <c r="BF193" i="19"/>
  <c r="BG193" i="19"/>
  <c r="CU282" i="19"/>
  <c r="CW282" i="19"/>
  <c r="FJ282" i="19" s="1"/>
  <c r="DA90" i="19"/>
  <c r="DD90" i="19"/>
  <c r="FO90" i="19" s="1"/>
  <c r="BK122" i="19"/>
  <c r="BN122" i="19"/>
  <c r="EK122" i="19" s="1"/>
  <c r="DC154" i="19"/>
  <c r="FN154" i="19" s="1"/>
  <c r="DD154" i="19"/>
  <c r="FO154" i="19" s="1"/>
  <c r="CU322" i="19"/>
  <c r="FH322" i="19" s="1"/>
  <c r="CW322" i="19"/>
  <c r="FJ322" i="19" s="1"/>
  <c r="CF66" i="19"/>
  <c r="CI66" i="19"/>
  <c r="EZ66" i="19" s="1"/>
  <c r="BS281" i="19"/>
  <c r="BU281" i="19"/>
  <c r="EP281" i="19" s="1"/>
  <c r="CT250" i="19"/>
  <c r="CW250" i="19"/>
  <c r="FJ250" i="19" s="1"/>
  <c r="BF209" i="19"/>
  <c r="BG209" i="19"/>
  <c r="BS121" i="19"/>
  <c r="BU121" i="19"/>
  <c r="EP121" i="19" s="1"/>
  <c r="CN89" i="19"/>
  <c r="CP89" i="19"/>
  <c r="FE89" i="19" s="1"/>
  <c r="CA41" i="19"/>
  <c r="CB41" i="19"/>
  <c r="EU41" i="19" s="1"/>
  <c r="AK234" i="19"/>
  <c r="DP234" i="19" s="1"/>
  <c r="AL234" i="19"/>
  <c r="DQ234" i="19" s="1"/>
  <c r="CV202" i="19"/>
  <c r="FI202" i="19" s="1"/>
  <c r="CW202" i="19"/>
  <c r="FJ202" i="19" s="1"/>
  <c r="BT258" i="19"/>
  <c r="EO258" i="19" s="1"/>
  <c r="BU258" i="19"/>
  <c r="EP258" i="19" s="1"/>
  <c r="AR98" i="19"/>
  <c r="DU98" i="19" s="1"/>
  <c r="AS98" i="19"/>
  <c r="DV98" i="19" s="1"/>
  <c r="BK314" i="19"/>
  <c r="BN314" i="19"/>
  <c r="EK314" i="19" s="1"/>
  <c r="CF282" i="19"/>
  <c r="CI282" i="19"/>
  <c r="EZ282" i="19" s="1"/>
  <c r="CO154" i="19"/>
  <c r="FD154" i="19" s="1"/>
  <c r="CP154" i="19"/>
  <c r="FE154" i="19" s="1"/>
  <c r="CU122" i="19"/>
  <c r="CW122" i="19"/>
  <c r="FJ122" i="19" s="1"/>
  <c r="BK282" i="19"/>
  <c r="BN282" i="19"/>
  <c r="EK282" i="19" s="1"/>
  <c r="AK257" i="19"/>
  <c r="DP257" i="19" s="1"/>
  <c r="AL257" i="19"/>
  <c r="DQ257" i="19" s="1"/>
  <c r="DB249" i="19"/>
  <c r="DD249" i="19"/>
  <c r="FO249" i="19" s="1"/>
  <c r="BD298" i="19"/>
  <c r="BG298" i="19"/>
  <c r="EF298" i="19" s="1"/>
  <c r="BS146" i="19"/>
  <c r="EN146" i="19" s="1"/>
  <c r="BU146" i="19"/>
  <c r="EP146" i="19" s="1"/>
  <c r="CN321" i="19"/>
  <c r="FC321" i="19" s="1"/>
  <c r="CP321" i="19"/>
  <c r="FE321" i="19" s="1"/>
  <c r="CT129" i="19"/>
  <c r="CW129" i="19"/>
  <c r="FJ129" i="19" s="1"/>
  <c r="BE282" i="19"/>
  <c r="BG282" i="19"/>
  <c r="EF282" i="19" s="1"/>
  <c r="BF154" i="19"/>
  <c r="EE154" i="19" s="1"/>
  <c r="BG154" i="19"/>
  <c r="EF154" i="19" s="1"/>
  <c r="AX89" i="19"/>
  <c r="DY89" i="19" s="1"/>
  <c r="AZ89" i="19"/>
  <c r="EA89" i="19" s="1"/>
  <c r="DA314" i="19"/>
  <c r="DD314" i="19"/>
  <c r="FO314" i="19" s="1"/>
  <c r="CN57" i="19"/>
  <c r="CP57" i="19"/>
  <c r="FE57" i="19" s="1"/>
  <c r="BZ106" i="19"/>
  <c r="CB106" i="19"/>
  <c r="EU106" i="19" s="1"/>
  <c r="AK306" i="19"/>
  <c r="DP306" i="19" s="1"/>
  <c r="AL306" i="19"/>
  <c r="DQ306" i="19" s="1"/>
  <c r="BD146" i="19"/>
  <c r="EC146" i="19" s="1"/>
  <c r="BG146" i="19"/>
  <c r="EF146" i="19" s="1"/>
  <c r="CV225" i="19"/>
  <c r="FI225" i="19" s="1"/>
  <c r="CW225" i="19"/>
  <c r="FJ225" i="19" s="1"/>
  <c r="CF122" i="19"/>
  <c r="CI122" i="19"/>
  <c r="EZ122" i="19" s="1"/>
  <c r="BY281" i="19"/>
  <c r="CB281" i="19"/>
  <c r="EU281" i="19" s="1"/>
  <c r="BY186" i="19"/>
  <c r="CB186" i="19"/>
  <c r="EU186" i="19" s="1"/>
  <c r="DC258" i="19"/>
  <c r="FN258" i="19" s="1"/>
  <c r="DD258" i="19"/>
  <c r="FO258" i="19" s="1"/>
  <c r="AD66" i="19"/>
  <c r="DK66" i="19" s="1"/>
  <c r="AF66" i="19"/>
  <c r="DM66" i="19" s="1"/>
  <c r="BD121" i="19"/>
  <c r="BG121" i="19"/>
  <c r="EF121" i="19" s="1"/>
  <c r="DC41" i="19"/>
  <c r="DD41" i="19"/>
  <c r="FO41" i="19" s="1"/>
  <c r="BS298" i="19"/>
  <c r="BU298" i="19"/>
  <c r="EP298" i="19" s="1"/>
  <c r="CH266" i="19"/>
  <c r="EY266" i="19" s="1"/>
  <c r="CI266" i="19"/>
  <c r="EZ266" i="19" s="1"/>
  <c r="BZ138" i="19"/>
  <c r="CB138" i="19"/>
  <c r="EU138" i="19" s="1"/>
  <c r="BD74" i="19"/>
  <c r="BG74" i="19"/>
  <c r="EF74" i="19" s="1"/>
  <c r="CG145" i="19"/>
  <c r="EX145" i="19" s="1"/>
  <c r="CI145" i="19"/>
  <c r="EZ145" i="19" s="1"/>
  <c r="BT161" i="19"/>
  <c r="BU161" i="19"/>
  <c r="BF226" i="19"/>
  <c r="EE226" i="19" s="1"/>
  <c r="BG226" i="19"/>
  <c r="EF226" i="19" s="1"/>
  <c r="AK97" i="19"/>
  <c r="DP97" i="19" s="1"/>
  <c r="AL97" i="19"/>
  <c r="DQ97" i="19" s="1"/>
  <c r="BS313" i="19"/>
  <c r="BU313" i="19"/>
  <c r="EP313" i="19" s="1"/>
  <c r="CV305" i="19"/>
  <c r="FI305" i="19" s="1"/>
  <c r="CW305" i="19"/>
  <c r="FJ305" i="19" s="1"/>
  <c r="BT153" i="19"/>
  <c r="BU153" i="19"/>
  <c r="EP153" i="19" s="1"/>
  <c r="CF138" i="19"/>
  <c r="CI138" i="19"/>
  <c r="EZ138" i="19" s="1"/>
  <c r="CH177" i="19"/>
  <c r="CI177" i="19"/>
  <c r="CU114" i="19"/>
  <c r="CW114" i="19"/>
  <c r="FJ114" i="19" s="1"/>
  <c r="BF258" i="19"/>
  <c r="EE258" i="19" s="1"/>
  <c r="BG258" i="19"/>
  <c r="EF258" i="19" s="1"/>
  <c r="CH161" i="19"/>
  <c r="CI161" i="19"/>
  <c r="CO225" i="19"/>
  <c r="FD225" i="19" s="1"/>
  <c r="CP225" i="19"/>
  <c r="FE225" i="19" s="1"/>
  <c r="CM185" i="19"/>
  <c r="CP185" i="19"/>
  <c r="FE185" i="19" s="1"/>
  <c r="AY121" i="19"/>
  <c r="DZ121" i="19" s="1"/>
  <c r="AZ121" i="19"/>
  <c r="AR258" i="19"/>
  <c r="DU258" i="19" s="1"/>
  <c r="AS258" i="19"/>
  <c r="DV258" i="19" s="1"/>
  <c r="AK218" i="19"/>
  <c r="DP218" i="19" s="1"/>
  <c r="AL218" i="19"/>
  <c r="DQ218" i="19" s="1"/>
  <c r="BE58" i="19"/>
  <c r="ED58" i="19" s="1"/>
  <c r="BG58" i="19"/>
  <c r="EF58" i="19" s="1"/>
  <c r="BL233" i="19"/>
  <c r="EI233" i="19" s="1"/>
  <c r="BN233" i="19"/>
  <c r="EK233" i="19" s="1"/>
  <c r="AK273" i="19"/>
  <c r="DP273" i="19" s="1"/>
  <c r="AL273" i="19"/>
  <c r="DQ273" i="19" s="1"/>
  <c r="BS89" i="19"/>
  <c r="BU89" i="19"/>
  <c r="EP89" i="19" s="1"/>
  <c r="AR122" i="19"/>
  <c r="DU122" i="19" s="1"/>
  <c r="AS122" i="19"/>
  <c r="DV122" i="19" s="1"/>
  <c r="BT201" i="19"/>
  <c r="EO201" i="19" s="1"/>
  <c r="BU201" i="19"/>
  <c r="EP201" i="19" s="1"/>
  <c r="CA273" i="19"/>
  <c r="ET273" i="19" s="1"/>
  <c r="CB273" i="19"/>
  <c r="EU273" i="19" s="1"/>
  <c r="AX9" i="19"/>
  <c r="AZ9" i="19"/>
  <c r="EA9" i="19" s="1"/>
  <c r="AF25" i="19"/>
  <c r="AE25" i="19"/>
  <c r="DL25" i="19" s="1"/>
  <c r="BY26" i="19"/>
  <c r="CB26" i="19"/>
  <c r="EU26" i="19" s="1"/>
  <c r="BL25" i="19"/>
  <c r="BN25" i="19"/>
  <c r="EK25" i="19" s="1"/>
  <c r="BF33" i="19"/>
  <c r="BG33" i="19"/>
  <c r="AW25" i="19"/>
  <c r="AZ25" i="19"/>
  <c r="EA25" i="19" s="1"/>
  <c r="BE10" i="19"/>
  <c r="ED10" i="19" s="1"/>
  <c r="BG10" i="19"/>
  <c r="EF10" i="19" s="1"/>
  <c r="DB17" i="19"/>
  <c r="DD17" i="19"/>
  <c r="BZ10" i="19"/>
  <c r="ES10" i="19" s="1"/>
  <c r="CB10" i="19"/>
  <c r="EU10" i="19" s="1"/>
  <c r="BT227" i="19"/>
  <c r="EO227" i="19" s="1"/>
  <c r="BU227" i="19"/>
  <c r="EP227" i="19" s="1"/>
  <c r="DB323" i="19"/>
  <c r="FM323" i="19" s="1"/>
  <c r="DD323" i="19"/>
  <c r="CO275" i="19"/>
  <c r="FD275" i="19" s="1"/>
  <c r="CP275" i="19"/>
  <c r="FE275" i="19" s="1"/>
  <c r="BF195" i="19"/>
  <c r="EE195" i="19" s="1"/>
  <c r="BG195" i="19"/>
  <c r="EF195" i="19" s="1"/>
  <c r="BR283" i="19"/>
  <c r="BU283" i="19"/>
  <c r="EP283" i="19" s="1"/>
  <c r="AW115" i="19"/>
  <c r="AZ115" i="19"/>
  <c r="EA115" i="19" s="1"/>
  <c r="CM315" i="19"/>
  <c r="CP315" i="19"/>
  <c r="FE315" i="19" s="1"/>
  <c r="BF219" i="19"/>
  <c r="EE219" i="19" s="1"/>
  <c r="BG219" i="19"/>
  <c r="EF219" i="19" s="1"/>
  <c r="BE75" i="19"/>
  <c r="ED75" i="19" s="1"/>
  <c r="BG75" i="19"/>
  <c r="EF75" i="19" s="1"/>
  <c r="BT163" i="19"/>
  <c r="EO163" i="19" s="1"/>
  <c r="BU163" i="19"/>
  <c r="EP163" i="19" s="1"/>
  <c r="BT155" i="19"/>
  <c r="EO155" i="19" s="1"/>
  <c r="BU155" i="19"/>
  <c r="EP155" i="19" s="1"/>
  <c r="CM123" i="19"/>
  <c r="CP123" i="19"/>
  <c r="FE123" i="19" s="1"/>
  <c r="AP27" i="19"/>
  <c r="DS27" i="19" s="1"/>
  <c r="AS27" i="19"/>
  <c r="DV27" i="19" s="1"/>
  <c r="AB43" i="19"/>
  <c r="DI43" i="19" s="1"/>
  <c r="AE43" i="19"/>
  <c r="DL43" i="19" s="1"/>
  <c r="BE83" i="19"/>
  <c r="BG83" i="19"/>
  <c r="EF83" i="19" s="1"/>
  <c r="BT99" i="19"/>
  <c r="EO99" i="19" s="1"/>
  <c r="BU99" i="19"/>
  <c r="EP99" i="19" s="1"/>
  <c r="AX171" i="19"/>
  <c r="DY171" i="19" s="1"/>
  <c r="AZ171" i="19"/>
  <c r="EA171" i="19" s="1"/>
  <c r="AB107" i="19"/>
  <c r="DI107" i="19" s="1"/>
  <c r="AE107" i="19"/>
  <c r="DL107" i="19" s="1"/>
  <c r="AB51" i="19"/>
  <c r="DI51" i="19" s="1"/>
  <c r="AE51" i="19"/>
  <c r="DL51" i="19" s="1"/>
  <c r="BT195" i="19"/>
  <c r="EO195" i="19" s="1"/>
  <c r="BU195" i="19"/>
  <c r="EP195" i="19" s="1"/>
  <c r="BM219" i="19"/>
  <c r="EJ219" i="19" s="1"/>
  <c r="BN219" i="19"/>
  <c r="EK219" i="19" s="1"/>
  <c r="DC163" i="19"/>
  <c r="FN163" i="19" s="1"/>
  <c r="DD163" i="19"/>
  <c r="FO163" i="19" s="1"/>
  <c r="DA187" i="19"/>
  <c r="DD187" i="19"/>
  <c r="FO187" i="19" s="1"/>
  <c r="BR243" i="19"/>
  <c r="BU243" i="19"/>
  <c r="EP243" i="19" s="1"/>
  <c r="BF179" i="19"/>
  <c r="EE179" i="19" s="1"/>
  <c r="BG179" i="19"/>
  <c r="EF179" i="19" s="1"/>
  <c r="DC155" i="19"/>
  <c r="FN155" i="19" s="1"/>
  <c r="DD155" i="19"/>
  <c r="FO155" i="19" s="1"/>
  <c r="CU251" i="19"/>
  <c r="CW251" i="19"/>
  <c r="FJ251" i="19" s="1"/>
  <c r="BF211" i="19"/>
  <c r="EE211" i="19" s="1"/>
  <c r="BG211" i="19"/>
  <c r="EF211" i="19" s="1"/>
  <c r="CG315" i="19"/>
  <c r="CI315" i="19"/>
  <c r="EZ315" i="19" s="1"/>
  <c r="CM91" i="19"/>
  <c r="CP91" i="19"/>
  <c r="FE91" i="19" s="1"/>
  <c r="CA43" i="19"/>
  <c r="ET43" i="19" s="1"/>
  <c r="CB43" i="19"/>
  <c r="EU43" i="19" s="1"/>
  <c r="AY43" i="19"/>
  <c r="DZ43" i="19" s="1"/>
  <c r="AZ43" i="19"/>
  <c r="EA43" i="19" s="1"/>
  <c r="CV203" i="19"/>
  <c r="FI203" i="19" s="1"/>
  <c r="CW203" i="19"/>
  <c r="FJ203" i="19" s="1"/>
  <c r="CM139" i="19"/>
  <c r="CP139" i="19"/>
  <c r="FE139" i="19" s="1"/>
  <c r="BL243" i="19"/>
  <c r="BN243" i="19"/>
  <c r="EK243" i="19" s="1"/>
  <c r="AB83" i="19"/>
  <c r="DI83" i="19" s="1"/>
  <c r="AE83" i="19"/>
  <c r="DL83" i="19" s="1"/>
  <c r="BT259" i="19"/>
  <c r="EO259" i="19" s="1"/>
  <c r="BU259" i="19"/>
  <c r="EP259" i="19" s="1"/>
  <c r="CG291" i="19"/>
  <c r="CI291" i="19"/>
  <c r="EZ291" i="19" s="1"/>
  <c r="CG283" i="19"/>
  <c r="CI283" i="19"/>
  <c r="EZ283" i="19" s="1"/>
  <c r="CF251" i="19"/>
  <c r="CI251" i="19"/>
  <c r="EZ251" i="19" s="1"/>
  <c r="BL283" i="19"/>
  <c r="BN283" i="19"/>
  <c r="EK283" i="19" s="1"/>
  <c r="AK259" i="19"/>
  <c r="DP259" i="19" s="1"/>
  <c r="AL259" i="19"/>
  <c r="DQ259" i="19" s="1"/>
  <c r="DA251" i="19"/>
  <c r="DD251" i="19"/>
  <c r="FO251" i="19" s="1"/>
  <c r="BE299" i="19"/>
  <c r="BG299" i="19"/>
  <c r="EF299" i="19" s="1"/>
  <c r="BK75" i="19"/>
  <c r="BN75" i="19"/>
  <c r="EK75" i="19" s="1"/>
  <c r="AQ83" i="19"/>
  <c r="DT83" i="19" s="1"/>
  <c r="AS83" i="19"/>
  <c r="DV83" i="19" s="1"/>
  <c r="CU147" i="19"/>
  <c r="FH147" i="19" s="1"/>
  <c r="CW147" i="19"/>
  <c r="FJ147" i="19" s="1"/>
  <c r="AW91" i="19"/>
  <c r="AZ91" i="19"/>
  <c r="EA91" i="19" s="1"/>
  <c r="CM59" i="19"/>
  <c r="CP59" i="19"/>
  <c r="FE59" i="19" s="1"/>
  <c r="BE147" i="19"/>
  <c r="ED147" i="19" s="1"/>
  <c r="BG147" i="19"/>
  <c r="EF147" i="19" s="1"/>
  <c r="CV227" i="19"/>
  <c r="FI227" i="19" s="1"/>
  <c r="CW227" i="19"/>
  <c r="FJ227" i="19" s="1"/>
  <c r="BZ187" i="19"/>
  <c r="CB187" i="19"/>
  <c r="EU187" i="19" s="1"/>
  <c r="CH267" i="19"/>
  <c r="EY267" i="19" s="1"/>
  <c r="CI267" i="19"/>
  <c r="EZ267" i="19" s="1"/>
  <c r="BF275" i="19"/>
  <c r="EE275" i="19" s="1"/>
  <c r="BG275" i="19"/>
  <c r="EF275" i="19" s="1"/>
  <c r="AK99" i="19"/>
  <c r="DP99" i="19" s="1"/>
  <c r="AL99" i="19"/>
  <c r="DQ99" i="19" s="1"/>
  <c r="BR315" i="19"/>
  <c r="BU315" i="19"/>
  <c r="EP315" i="19" s="1"/>
  <c r="BL91" i="19"/>
  <c r="BN91" i="19"/>
  <c r="EK91" i="19" s="1"/>
  <c r="BF267" i="19"/>
  <c r="EE267" i="19" s="1"/>
  <c r="BG267" i="19"/>
  <c r="EF267" i="19" s="1"/>
  <c r="CH211" i="19"/>
  <c r="EY211" i="19" s="1"/>
  <c r="CI211" i="19"/>
  <c r="EZ211" i="19" s="1"/>
  <c r="BD51" i="19"/>
  <c r="BG51" i="19"/>
  <c r="EF51" i="19" s="1"/>
  <c r="CO227" i="19"/>
  <c r="FD227" i="19" s="1"/>
  <c r="CP227" i="19"/>
  <c r="FE227" i="19" s="1"/>
  <c r="AY123" i="19"/>
  <c r="AZ123" i="19"/>
  <c r="EA123" i="19" s="1"/>
  <c r="AR259" i="19"/>
  <c r="DU259" i="19" s="1"/>
  <c r="AS259" i="19"/>
  <c r="DV259" i="19" s="1"/>
  <c r="AK275" i="19"/>
  <c r="DP275" i="19" s="1"/>
  <c r="AL275" i="19"/>
  <c r="DQ275" i="19" s="1"/>
  <c r="BF99" i="19"/>
  <c r="EE99" i="19" s="1"/>
  <c r="BG99" i="19"/>
  <c r="EF99" i="19" s="1"/>
  <c r="BT203" i="19"/>
  <c r="EO203" i="19" s="1"/>
  <c r="BU203" i="19"/>
  <c r="EP203" i="19" s="1"/>
  <c r="CA275" i="19"/>
  <c r="ET275" i="19" s="1"/>
  <c r="CB275" i="19"/>
  <c r="EU275" i="19" s="1"/>
  <c r="AF27" i="19"/>
  <c r="DM27" i="19" s="1"/>
  <c r="AE27" i="19"/>
  <c r="DL27" i="19" s="1"/>
  <c r="BZ27" i="19"/>
  <c r="CB27" i="19"/>
  <c r="EU27" i="19" s="1"/>
  <c r="BK27" i="19"/>
  <c r="BN27" i="19"/>
  <c r="EK27" i="19" s="1"/>
  <c r="DA27" i="19"/>
  <c r="DD27" i="19"/>
  <c r="FO27" i="19" s="1"/>
  <c r="DB283" i="19"/>
  <c r="DD283" i="19"/>
  <c r="FO283" i="19" s="1"/>
  <c r="AR203" i="19"/>
  <c r="DU203" i="19" s="1"/>
  <c r="AS203" i="19"/>
  <c r="DV203" i="19" s="1"/>
  <c r="CM283" i="19"/>
  <c r="CP283" i="19"/>
  <c r="FE283" i="19" s="1"/>
  <c r="BS51" i="19"/>
  <c r="BU51" i="19"/>
  <c r="EP51" i="19" s="1"/>
  <c r="DB91" i="19"/>
  <c r="DD91" i="19"/>
  <c r="FO91" i="19" s="1"/>
  <c r="BL123" i="19"/>
  <c r="BN123" i="19"/>
  <c r="EK123" i="19" s="1"/>
  <c r="BL59" i="19"/>
  <c r="EI59" i="19" s="1"/>
  <c r="BN59" i="19"/>
  <c r="EK59" i="19" s="1"/>
  <c r="DC259" i="19"/>
  <c r="FN259" i="19" s="1"/>
  <c r="DD259" i="19"/>
  <c r="FO259" i="19" s="1"/>
  <c r="CH259" i="19"/>
  <c r="EY259" i="19" s="1"/>
  <c r="CI259" i="19"/>
  <c r="EZ259" i="19" s="1"/>
  <c r="CV307" i="19"/>
  <c r="FI307" i="19" s="1"/>
  <c r="CW307" i="19"/>
  <c r="FJ307" i="19" s="1"/>
  <c r="CF75" i="19"/>
  <c r="CI75" i="19"/>
  <c r="EZ75" i="19" s="1"/>
  <c r="CH163" i="19"/>
  <c r="EY163" i="19" s="1"/>
  <c r="CI163" i="19"/>
  <c r="EZ163" i="19" s="1"/>
  <c r="BE187" i="19"/>
  <c r="ED187" i="19" s="1"/>
  <c r="BG187" i="19"/>
  <c r="EF187" i="19" s="1"/>
  <c r="BR131" i="19"/>
  <c r="BU131" i="19"/>
  <c r="EP131" i="19" s="1"/>
  <c r="AK219" i="19"/>
  <c r="DP219" i="19" s="1"/>
  <c r="AL219" i="19"/>
  <c r="DQ219" i="19" s="1"/>
  <c r="BR91" i="19"/>
  <c r="BU91" i="19"/>
  <c r="EP91" i="19" s="1"/>
  <c r="CM11" i="19"/>
  <c r="CP11" i="19"/>
  <c r="FE11" i="19" s="1"/>
  <c r="AW11" i="19"/>
  <c r="DX11" i="19" s="1"/>
  <c r="AZ11" i="19"/>
  <c r="CM67" i="19"/>
  <c r="CP67" i="19"/>
  <c r="FE67" i="19" s="1"/>
  <c r="CH219" i="19"/>
  <c r="EY219" i="19" s="1"/>
  <c r="CI219" i="19"/>
  <c r="EZ219" i="19" s="1"/>
  <c r="CG67" i="19"/>
  <c r="CI67" i="19"/>
  <c r="EZ67" i="19" s="1"/>
  <c r="AX107" i="19"/>
  <c r="AZ107" i="19"/>
  <c r="EA107" i="19" s="1"/>
  <c r="CM107" i="19"/>
  <c r="CP107" i="19"/>
  <c r="FE107" i="19" s="1"/>
  <c r="AK307" i="19"/>
  <c r="DP307" i="19" s="1"/>
  <c r="AL307" i="19"/>
  <c r="DQ307" i="19" s="1"/>
  <c r="CG123" i="19"/>
  <c r="CI123" i="19"/>
  <c r="EZ123" i="19" s="1"/>
  <c r="CH179" i="19"/>
  <c r="EY179" i="19" s="1"/>
  <c r="CI179" i="19"/>
  <c r="EZ179" i="19" s="1"/>
  <c r="BF35" i="19"/>
  <c r="EE35" i="19" s="1"/>
  <c r="BG35" i="19"/>
  <c r="EF35" i="19" s="1"/>
  <c r="BZ251" i="19"/>
  <c r="CB251" i="19"/>
  <c r="EU251" i="19" s="1"/>
  <c r="AK195" i="19"/>
  <c r="DP195" i="19" s="1"/>
  <c r="AL195" i="19"/>
  <c r="DQ195" i="19" s="1"/>
  <c r="BT43" i="19"/>
  <c r="EO43" i="19" s="1"/>
  <c r="BU43" i="19"/>
  <c r="EP43" i="19" s="1"/>
  <c r="CA267" i="19"/>
  <c r="ET267" i="19" s="1"/>
  <c r="CB267" i="19"/>
  <c r="EU267" i="19" s="1"/>
  <c r="CO307" i="19"/>
  <c r="FD307" i="19" s="1"/>
  <c r="CP307" i="19"/>
  <c r="FE307" i="19" s="1"/>
  <c r="BZ147" i="19"/>
  <c r="EF21" i="35" s="1"/>
  <c r="JK21" i="35" s="1"/>
  <c r="CB147" i="19"/>
  <c r="EU147" i="19" s="1"/>
  <c r="AY131" i="19"/>
  <c r="AZ131" i="19"/>
  <c r="EA131" i="19" s="1"/>
  <c r="BM155" i="19"/>
  <c r="EJ155" i="19" s="1"/>
  <c r="BN155" i="19"/>
  <c r="EK155" i="19" s="1"/>
  <c r="DB59" i="19"/>
  <c r="DD59" i="19"/>
  <c r="FO59" i="19" s="1"/>
  <c r="BE251" i="19"/>
  <c r="BG251" i="19"/>
  <c r="EF251" i="19" s="1"/>
  <c r="DA75" i="19"/>
  <c r="DD75" i="19"/>
  <c r="FO75" i="19" s="1"/>
  <c r="BR115" i="19"/>
  <c r="BU115" i="19"/>
  <c r="EP115" i="19" s="1"/>
  <c r="BR291" i="19"/>
  <c r="BU291" i="19"/>
  <c r="EP291" i="19" s="1"/>
  <c r="AK155" i="19"/>
  <c r="DP155" i="19" s="1"/>
  <c r="AL155" i="19"/>
  <c r="DQ155" i="19" s="1"/>
  <c r="CH43" i="19"/>
  <c r="EY43" i="19" s="1"/>
  <c r="CI43" i="19"/>
  <c r="EZ43" i="19" s="1"/>
  <c r="AW291" i="19"/>
  <c r="AZ291" i="19"/>
  <c r="EA291" i="19" s="1"/>
  <c r="CH155" i="19"/>
  <c r="EY155" i="19" s="1"/>
  <c r="CI155" i="19"/>
  <c r="EZ155" i="19" s="1"/>
  <c r="BZ171" i="19"/>
  <c r="CB171" i="19"/>
  <c r="EU171" i="19" s="1"/>
  <c r="CA99" i="19"/>
  <c r="ET99" i="19" s="1"/>
  <c r="CB99" i="19"/>
  <c r="EU99" i="19" s="1"/>
  <c r="BT219" i="19"/>
  <c r="EO219" i="19" s="1"/>
  <c r="BU219" i="19"/>
  <c r="EP219" i="19" s="1"/>
  <c r="BF163" i="19"/>
  <c r="EE163" i="19" s="1"/>
  <c r="BG163" i="19"/>
  <c r="EF163" i="19" s="1"/>
  <c r="CM131" i="19"/>
  <c r="CP131" i="19"/>
  <c r="FE131" i="19" s="1"/>
  <c r="CH99" i="19"/>
  <c r="EY99" i="19" s="1"/>
  <c r="CI99" i="19"/>
  <c r="EZ99" i="19" s="1"/>
  <c r="AP251" i="19"/>
  <c r="CV34" i="35" s="1"/>
  <c r="GQ34" i="35" s="1"/>
  <c r="AS251" i="19"/>
  <c r="DV251" i="19" s="1"/>
  <c r="BZ299" i="19"/>
  <c r="CB299" i="19"/>
  <c r="EU299" i="19" s="1"/>
  <c r="BM43" i="19"/>
  <c r="EJ43" i="19" s="1"/>
  <c r="BN43" i="19"/>
  <c r="EK43" i="19" s="1"/>
  <c r="CH307" i="19"/>
  <c r="EY307" i="19" s="1"/>
  <c r="CI307" i="19"/>
  <c r="EZ307" i="19" s="1"/>
  <c r="CA179" i="19"/>
  <c r="ET179" i="19" s="1"/>
  <c r="CB179" i="19"/>
  <c r="EU179" i="19" s="1"/>
  <c r="DB67" i="19"/>
  <c r="DD67" i="19"/>
  <c r="FO67" i="19" s="1"/>
  <c r="AY227" i="19"/>
  <c r="DZ227" i="19" s="1"/>
  <c r="AZ227" i="19"/>
  <c r="EA227" i="19" s="1"/>
  <c r="DB123" i="19"/>
  <c r="DD123" i="19"/>
  <c r="FO123" i="19" s="1"/>
  <c r="BR59" i="19"/>
  <c r="BU59" i="19"/>
  <c r="EP59" i="19" s="1"/>
  <c r="CO259" i="19"/>
  <c r="FD259" i="19" s="1"/>
  <c r="CP259" i="19"/>
  <c r="FE259" i="19" s="1"/>
  <c r="CH227" i="19"/>
  <c r="EY227" i="19" s="1"/>
  <c r="CI227" i="19"/>
  <c r="EZ227" i="19" s="1"/>
  <c r="CV43" i="19"/>
  <c r="FI43" i="19" s="1"/>
  <c r="CW43" i="19"/>
  <c r="FJ43" i="19" s="1"/>
  <c r="CF171" i="19"/>
  <c r="CI171" i="19"/>
  <c r="EZ171" i="19" s="1"/>
  <c r="AW243" i="19"/>
  <c r="AZ243" i="19"/>
  <c r="EA243" i="19" s="1"/>
  <c r="AX51" i="19"/>
  <c r="DY51" i="19" s="1"/>
  <c r="AZ51" i="19"/>
  <c r="EA51" i="19" s="1"/>
  <c r="BM195" i="19"/>
  <c r="EJ195" i="19" s="1"/>
  <c r="BN195" i="19"/>
  <c r="EK195" i="19" s="1"/>
  <c r="CO219" i="19"/>
  <c r="FD219" i="19" s="1"/>
  <c r="CP219" i="19"/>
  <c r="FE219" i="19" s="1"/>
  <c r="CF187" i="19"/>
  <c r="CI187" i="19"/>
  <c r="EZ187" i="19" s="1"/>
  <c r="DC195" i="19"/>
  <c r="FN195" i="19" s="1"/>
  <c r="DD195" i="19"/>
  <c r="FO195" i="19" s="1"/>
  <c r="CM291" i="19"/>
  <c r="CP291" i="19"/>
  <c r="FE291" i="19" s="1"/>
  <c r="CU187" i="19"/>
  <c r="CW187" i="19"/>
  <c r="FJ187" i="19" s="1"/>
  <c r="CO203" i="19"/>
  <c r="FD203" i="19" s="1"/>
  <c r="CP203" i="19"/>
  <c r="FE203" i="19" s="1"/>
  <c r="BK83" i="19"/>
  <c r="BN83" i="19"/>
  <c r="EK83" i="19" s="1"/>
  <c r="BK187" i="19"/>
  <c r="BN187" i="19"/>
  <c r="EK187" i="19" s="1"/>
  <c r="CV35" i="19"/>
  <c r="FI35" i="19" s="1"/>
  <c r="CW35" i="19"/>
  <c r="FJ35" i="19" s="1"/>
  <c r="AY35" i="19"/>
  <c r="DZ35" i="19" s="1"/>
  <c r="AZ35" i="19"/>
  <c r="EA35" i="19" s="1"/>
  <c r="CA35" i="19"/>
  <c r="ET35" i="19" s="1"/>
  <c r="CB35" i="19"/>
  <c r="EU35" i="19" s="1"/>
  <c r="BE27" i="19"/>
  <c r="BG27" i="19"/>
  <c r="EF27" i="19" s="1"/>
  <c r="CG11" i="19"/>
  <c r="EX11" i="19" s="1"/>
  <c r="CI11" i="19"/>
  <c r="EZ11" i="19" s="1"/>
  <c r="CV155" i="19"/>
  <c r="FI155" i="19" s="1"/>
  <c r="CW155" i="19"/>
  <c r="FJ155" i="19" s="1"/>
  <c r="AY275" i="19"/>
  <c r="DZ275" i="19" s="1"/>
  <c r="AZ275" i="19"/>
  <c r="EA275" i="19" s="1"/>
  <c r="BM259" i="19"/>
  <c r="EJ259" i="19" s="1"/>
  <c r="BN259" i="19"/>
  <c r="EK259" i="19" s="1"/>
  <c r="BR323" i="19"/>
  <c r="EM323" i="19" s="1"/>
  <c r="BU323" i="19"/>
  <c r="EP323" i="19" s="1"/>
  <c r="BR123" i="19"/>
  <c r="BU123" i="19"/>
  <c r="EP123" i="19" s="1"/>
  <c r="AR99" i="19"/>
  <c r="DU99" i="19" s="1"/>
  <c r="AS99" i="19"/>
  <c r="DV99" i="19" s="1"/>
  <c r="BL315" i="19"/>
  <c r="BN315" i="19"/>
  <c r="EK315" i="19" s="1"/>
  <c r="CO155" i="19"/>
  <c r="FD155" i="19" s="1"/>
  <c r="CP155" i="19"/>
  <c r="FE155" i="19" s="1"/>
  <c r="CM323" i="19"/>
  <c r="FB323" i="19" s="1"/>
  <c r="CP323" i="19"/>
  <c r="FE323" i="19" s="1"/>
  <c r="DB315" i="19"/>
  <c r="DD315" i="19"/>
  <c r="FO315" i="19" s="1"/>
  <c r="CF147" i="19"/>
  <c r="EW147" i="19" s="1"/>
  <c r="CI147" i="19"/>
  <c r="EZ147" i="19" s="1"/>
  <c r="CG139" i="19"/>
  <c r="CI139" i="19"/>
  <c r="EZ139" i="19" s="1"/>
  <c r="CU27" i="19"/>
  <c r="CW27" i="19"/>
  <c r="FJ27" i="19" s="1"/>
  <c r="CU299" i="19"/>
  <c r="CW299" i="19"/>
  <c r="FJ299" i="19" s="1"/>
  <c r="CV179" i="19"/>
  <c r="FI179" i="19" s="1"/>
  <c r="CW179" i="19"/>
  <c r="FJ179" i="19" s="1"/>
  <c r="AR67" i="19"/>
  <c r="DU67" i="19" s="1"/>
  <c r="AS67" i="19"/>
  <c r="DV67" i="19" s="1"/>
  <c r="AR227" i="19"/>
  <c r="DU227" i="19" s="1"/>
  <c r="AS227" i="19"/>
  <c r="DV227" i="19" s="1"/>
  <c r="CA155" i="19"/>
  <c r="ET155" i="19" s="1"/>
  <c r="CB155" i="19"/>
  <c r="EU155" i="19" s="1"/>
  <c r="BL139" i="19"/>
  <c r="BN139" i="19"/>
  <c r="EK139" i="19" s="1"/>
  <c r="CV219" i="19"/>
  <c r="FI219" i="19" s="1"/>
  <c r="CW219" i="19"/>
  <c r="FJ219" i="19" s="1"/>
  <c r="BM267" i="19"/>
  <c r="EJ267" i="19" s="1"/>
  <c r="BN267" i="19"/>
  <c r="EK267" i="19" s="1"/>
  <c r="CV195" i="19"/>
  <c r="FI195" i="19" s="1"/>
  <c r="CW195" i="19"/>
  <c r="FJ195" i="19" s="1"/>
  <c r="BL323" i="19"/>
  <c r="DR43" i="35" s="1"/>
  <c r="II43" i="35" s="1"/>
  <c r="BN323" i="19"/>
  <c r="EK323" i="19" s="1"/>
  <c r="BM211" i="19"/>
  <c r="EJ211" i="19" s="1"/>
  <c r="BN211" i="19"/>
  <c r="EK211" i="19" s="1"/>
  <c r="CG59" i="19"/>
  <c r="CI59" i="19"/>
  <c r="EZ59" i="19" s="1"/>
  <c r="CA219" i="19"/>
  <c r="ET219" i="19" s="1"/>
  <c r="CB219" i="19"/>
  <c r="EU219" i="19" s="1"/>
  <c r="AW67" i="19"/>
  <c r="AZ67" i="19"/>
  <c r="EA67" i="19" s="1"/>
  <c r="BM227" i="19"/>
  <c r="EJ227" i="19" s="1"/>
  <c r="BN227" i="19"/>
  <c r="EK227" i="19" s="1"/>
  <c r="AR155" i="19"/>
  <c r="DU155" i="19" s="1"/>
  <c r="AS155" i="19"/>
  <c r="DV155" i="19" s="1"/>
  <c r="CT235" i="19"/>
  <c r="FG235" i="19" s="1"/>
  <c r="CW235" i="19"/>
  <c r="FJ235" i="19" s="1"/>
  <c r="CV275" i="19"/>
  <c r="FI275" i="19" s="1"/>
  <c r="CW275" i="19"/>
  <c r="FJ275" i="19" s="1"/>
  <c r="BR67" i="19"/>
  <c r="BU67" i="19"/>
  <c r="EP67" i="19" s="1"/>
  <c r="BF155" i="19"/>
  <c r="EE155" i="19" s="1"/>
  <c r="BG155" i="19"/>
  <c r="EF155" i="19" s="1"/>
  <c r="CO163" i="19"/>
  <c r="FD163" i="19" s="1"/>
  <c r="CP163" i="19"/>
  <c r="FE163" i="19" s="1"/>
  <c r="CG91" i="19"/>
  <c r="CI91" i="19"/>
  <c r="EZ91" i="19" s="1"/>
  <c r="CV99" i="19"/>
  <c r="FI99" i="19" s="1"/>
  <c r="CW99" i="19"/>
  <c r="FJ99" i="19" s="1"/>
  <c r="DC219" i="19"/>
  <c r="FN219" i="19" s="1"/>
  <c r="DD219" i="19"/>
  <c r="FO219" i="19" s="1"/>
  <c r="DC43" i="19"/>
  <c r="FN43" i="19" s="1"/>
  <c r="DD43" i="19"/>
  <c r="FO43" i="19" s="1"/>
  <c r="BL115" i="19"/>
  <c r="BN115" i="19"/>
  <c r="EK115" i="19" s="1"/>
  <c r="BF227" i="19"/>
  <c r="EE227" i="19" s="1"/>
  <c r="BG227" i="19"/>
  <c r="EF227" i="19" s="1"/>
  <c r="BK251" i="19"/>
  <c r="BN251" i="19"/>
  <c r="EK251" i="19" s="1"/>
  <c r="BT307" i="19"/>
  <c r="EO307" i="19" s="1"/>
  <c r="BU307" i="19"/>
  <c r="EP307" i="19" s="1"/>
  <c r="BF259" i="19"/>
  <c r="EE259" i="19" s="1"/>
  <c r="BG259" i="19"/>
  <c r="EF259" i="19" s="1"/>
  <c r="DC99" i="19"/>
  <c r="FN99" i="19" s="1"/>
  <c r="DD99" i="19"/>
  <c r="FO99" i="19" s="1"/>
  <c r="AW59" i="19"/>
  <c r="AZ59" i="19"/>
  <c r="EA59" i="19" s="1"/>
  <c r="AR43" i="19"/>
  <c r="DU43" i="19" s="1"/>
  <c r="AS43" i="19"/>
  <c r="DV43" i="19" s="1"/>
  <c r="CA211" i="19"/>
  <c r="ET211" i="19" s="1"/>
  <c r="CB211" i="19"/>
  <c r="EU211" i="19" s="1"/>
  <c r="CG131" i="19"/>
  <c r="CI131" i="19"/>
  <c r="EZ131" i="19" s="1"/>
  <c r="AK43" i="19"/>
  <c r="DP43" i="19" s="1"/>
  <c r="AL43" i="19"/>
  <c r="DQ43" i="19" s="1"/>
  <c r="CH35" i="19"/>
  <c r="EY35" i="19" s="1"/>
  <c r="CI35" i="19"/>
  <c r="EZ35" i="19" s="1"/>
  <c r="DC35" i="19"/>
  <c r="FN35" i="19" s="1"/>
  <c r="DD35" i="19"/>
  <c r="FO35" i="19" s="1"/>
  <c r="BM35" i="19"/>
  <c r="EJ35" i="19" s="1"/>
  <c r="BN35" i="19"/>
  <c r="EK35" i="19" s="1"/>
  <c r="CF27" i="19"/>
  <c r="CI27" i="19"/>
  <c r="EZ27" i="19" s="1"/>
  <c r="AB19" i="19"/>
  <c r="AD19" i="19"/>
  <c r="DK19" i="19" s="1"/>
  <c r="AB91" i="19"/>
  <c r="DI91" i="19" s="1"/>
  <c r="AD91" i="19"/>
  <c r="DK91" i="19" s="1"/>
  <c r="AB67" i="19"/>
  <c r="DI67" i="19" s="1"/>
  <c r="AF67" i="19"/>
  <c r="AE29" i="19"/>
  <c r="DL29" i="19" s="1"/>
  <c r="AF29" i="19"/>
  <c r="DM29" i="19" s="1"/>
  <c r="AE18" i="19"/>
  <c r="DL18" i="19" s="1"/>
  <c r="AD18" i="19"/>
  <c r="AE28" i="19"/>
  <c r="DL28" i="19" s="1"/>
  <c r="AF28" i="19"/>
  <c r="DM28" i="19" s="1"/>
  <c r="AD35" i="19"/>
  <c r="DK35" i="19" s="1"/>
  <c r="AB35" i="19"/>
  <c r="DI99" i="19"/>
  <c r="CH15" i="35"/>
  <c r="FO15" i="35" s="1"/>
  <c r="E26" i="24"/>
  <c r="F26" i="24" s="1"/>
  <c r="F43" i="45" s="1"/>
  <c r="DS13" i="19"/>
  <c r="CQ40" i="35"/>
  <c r="GG40" i="35" s="1"/>
  <c r="J13" i="30"/>
  <c r="I164" i="30"/>
  <c r="MG43" i="35" s="1"/>
  <c r="J44" i="30"/>
  <c r="MH13" i="35" s="1"/>
  <c r="J28" i="30"/>
  <c r="MH9" i="35" s="1"/>
  <c r="I124" i="30"/>
  <c r="MG33" i="35" s="1"/>
  <c r="K40" i="30"/>
  <c r="MI12" i="35" s="1"/>
  <c r="M152" i="30"/>
  <c r="MK40" i="35" s="1"/>
  <c r="CR20" i="35"/>
  <c r="GI20" i="35" s="1"/>
  <c r="I149" i="30"/>
  <c r="H36" i="30"/>
  <c r="MF11" i="35" s="1"/>
  <c r="M73" i="30"/>
  <c r="M61" i="30"/>
  <c r="G44" i="30"/>
  <c r="ME13" i="35" s="1"/>
  <c r="CQ16" i="35"/>
  <c r="GG16" i="35" s="1"/>
  <c r="M29" i="30"/>
  <c r="DV50" i="19"/>
  <c r="D47" i="19" s="1"/>
  <c r="D48" i="19" s="1"/>
  <c r="F96" i="30"/>
  <c r="MD26" i="35" s="1"/>
  <c r="M69" i="30"/>
  <c r="M105" i="30"/>
  <c r="K120" i="30"/>
  <c r="MI32" i="35" s="1"/>
  <c r="K137" i="30"/>
  <c r="L36" i="30"/>
  <c r="MJ11" i="35" s="1"/>
  <c r="C263" i="19"/>
  <c r="MM36" i="35" s="1"/>
  <c r="I117" i="30"/>
  <c r="M149" i="30"/>
  <c r="L89" i="30"/>
  <c r="CR19" i="35"/>
  <c r="GI19" i="35" s="1"/>
  <c r="CY37" i="35"/>
  <c r="GW37" i="35" s="1"/>
  <c r="DQ114" i="19"/>
  <c r="G8" i="30"/>
  <c r="ME4" i="35" s="1"/>
  <c r="J105" i="30"/>
  <c r="K12" i="30"/>
  <c r="MI5" i="35" s="1"/>
  <c r="I100" i="30"/>
  <c r="MG27" i="35" s="1"/>
  <c r="I60" i="30"/>
  <c r="MG17" i="35" s="1"/>
  <c r="L108" i="30"/>
  <c r="MJ29" i="35" s="1"/>
  <c r="L72" i="30"/>
  <c r="MJ20" i="35" s="1"/>
  <c r="I84" i="30"/>
  <c r="MG23" i="35" s="1"/>
  <c r="G13" i="30"/>
  <c r="M156" i="30"/>
  <c r="MK41" i="35" s="1"/>
  <c r="K44" i="30"/>
  <c r="MI13" i="35" s="1"/>
  <c r="M124" i="30"/>
  <c r="MK33" i="35" s="1"/>
  <c r="G137" i="30"/>
  <c r="CO4" i="35"/>
  <c r="GC4" i="35" s="1"/>
  <c r="L40" i="30"/>
  <c r="MJ12" i="35" s="1"/>
  <c r="F81" i="30"/>
  <c r="CQ11" i="35"/>
  <c r="GG11" i="35" s="1"/>
  <c r="G125" i="30"/>
  <c r="K76" i="30"/>
  <c r="MI21" i="35" s="1"/>
  <c r="K60" i="30"/>
  <c r="MI17" i="35" s="1"/>
  <c r="F32" i="30"/>
  <c r="MD10" i="35" s="1"/>
  <c r="K109" i="30"/>
  <c r="CQ18" i="35"/>
  <c r="GG18" i="35" s="1"/>
  <c r="CQ20" i="35"/>
  <c r="GG20" i="35" s="1"/>
  <c r="C175" i="19"/>
  <c r="MM25" i="35" s="1"/>
  <c r="CQ9" i="35"/>
  <c r="GG9" i="35" s="1"/>
  <c r="C12" i="30"/>
  <c r="MA5" i="35" s="1"/>
  <c r="C31" i="19"/>
  <c r="C32" i="19" s="1"/>
  <c r="J165" i="30"/>
  <c r="H97" i="30"/>
  <c r="M116" i="30"/>
  <c r="MK31" i="35" s="1"/>
  <c r="K16" i="30"/>
  <c r="MI6" i="35" s="1"/>
  <c r="J100" i="30"/>
  <c r="MH27" i="35" s="1"/>
  <c r="CW40" i="35"/>
  <c r="GS40" i="35" s="1"/>
  <c r="CQ33" i="35"/>
  <c r="GG33" i="35" s="1"/>
  <c r="CY25" i="35"/>
  <c r="GW25" i="35" s="1"/>
  <c r="C8" i="30"/>
  <c r="MA4" i="35" s="1"/>
  <c r="M88" i="30"/>
  <c r="MK24" i="35" s="1"/>
  <c r="H116" i="30"/>
  <c r="MF31" i="35" s="1"/>
  <c r="G97" i="30"/>
  <c r="CY36" i="35"/>
  <c r="GW36" i="35" s="1"/>
  <c r="CY41" i="35"/>
  <c r="GW41" i="35" s="1"/>
  <c r="I156" i="30"/>
  <c r="MG41" i="35" s="1"/>
  <c r="H164" i="30"/>
  <c r="MF43" i="35" s="1"/>
  <c r="H124" i="30"/>
  <c r="MF33" i="35" s="1"/>
  <c r="C207" i="19"/>
  <c r="MM29" i="35" s="1"/>
  <c r="K153" i="30"/>
  <c r="G164" i="30"/>
  <c r="ME43" i="35" s="1"/>
  <c r="CX12" i="35"/>
  <c r="GU12" i="35" s="1"/>
  <c r="CP4" i="35"/>
  <c r="GE4" i="35" s="1"/>
  <c r="D287" i="19"/>
  <c r="D288" i="19" s="1"/>
  <c r="CY17" i="35"/>
  <c r="GW17" i="35" s="1"/>
  <c r="J121" i="30"/>
  <c r="M57" i="30"/>
  <c r="E17" i="30"/>
  <c r="M108" i="30"/>
  <c r="MK29" i="35" s="1"/>
  <c r="F112" i="30"/>
  <c r="MD30" i="35" s="1"/>
  <c r="L132" i="30"/>
  <c r="MJ35" i="35" s="1"/>
  <c r="CQ17" i="35"/>
  <c r="GG17" i="35" s="1"/>
  <c r="CP5" i="35"/>
  <c r="GE5" i="35" s="1"/>
  <c r="J153" i="30"/>
  <c r="F84" i="30"/>
  <c r="MD23" i="35" s="1"/>
  <c r="H148" i="30"/>
  <c r="MF39" i="35" s="1"/>
  <c r="M77" i="30"/>
  <c r="H9" i="30"/>
  <c r="I120" i="30"/>
  <c r="MG32" i="35" s="1"/>
  <c r="J140" i="30"/>
  <c r="MH37" i="35" s="1"/>
  <c r="K100" i="30"/>
  <c r="MI27" i="35" s="1"/>
  <c r="G132" i="30"/>
  <c r="ME35" i="35" s="1"/>
  <c r="H8" i="30"/>
  <c r="MF4" i="35" s="1"/>
  <c r="CR9" i="35"/>
  <c r="GI9" i="35" s="1"/>
  <c r="CX17" i="35"/>
  <c r="GU17" i="35" s="1"/>
  <c r="M136" i="30"/>
  <c r="MK36" i="35" s="1"/>
  <c r="L136" i="30"/>
  <c r="MJ36" i="35" s="1"/>
  <c r="CQ14" i="35"/>
  <c r="GG14" i="35" s="1"/>
  <c r="CQ19" i="35"/>
  <c r="GG19" i="35" s="1"/>
  <c r="CQ10" i="35"/>
  <c r="GG10" i="35" s="1"/>
  <c r="CR10" i="35"/>
  <c r="GI10" i="35" s="1"/>
  <c r="G28" i="30"/>
  <c r="ME9" i="35" s="1"/>
  <c r="AK26" i="19"/>
  <c r="DP26" i="19" s="1"/>
  <c r="AJ26" i="19"/>
  <c r="AR25" i="19"/>
  <c r="DU25" i="19" s="1"/>
  <c r="AQ25" i="19"/>
  <c r="AK27" i="19"/>
  <c r="DP27" i="19" s="1"/>
  <c r="AJ27" i="19"/>
  <c r="DO27" i="19" s="1"/>
  <c r="CQ5" i="35"/>
  <c r="GG5" i="35" s="1"/>
  <c r="AR185" i="19"/>
  <c r="DU185" i="19" s="1"/>
  <c r="AQ185" i="19"/>
  <c r="DT185" i="19" s="1"/>
  <c r="AS209" i="19"/>
  <c r="DV209" i="19" s="1"/>
  <c r="AR209" i="19"/>
  <c r="AS131" i="19"/>
  <c r="DV131" i="19" s="1"/>
  <c r="AR131" i="19"/>
  <c r="DU131" i="19" s="1"/>
  <c r="AK289" i="19"/>
  <c r="DP289" i="19" s="1"/>
  <c r="AJ289" i="19"/>
  <c r="AS217" i="19"/>
  <c r="DV217" i="19" s="1"/>
  <c r="AR217" i="19"/>
  <c r="AK235" i="19"/>
  <c r="DP235" i="19" s="1"/>
  <c r="AJ235" i="19"/>
  <c r="AR323" i="19"/>
  <c r="DU323" i="19" s="1"/>
  <c r="AQ323" i="19"/>
  <c r="AS194" i="19"/>
  <c r="DV194" i="19" s="1"/>
  <c r="AR194" i="19"/>
  <c r="DU194" i="19" s="1"/>
  <c r="AS161" i="19"/>
  <c r="DV161" i="19" s="1"/>
  <c r="AR161" i="19"/>
  <c r="DS145" i="19"/>
  <c r="CV21" i="35"/>
  <c r="GQ21" i="35" s="1"/>
  <c r="DU265" i="19"/>
  <c r="D263" i="19" s="1"/>
  <c r="D264" i="19" s="1"/>
  <c r="CX36" i="35"/>
  <c r="GU36" i="35" s="1"/>
  <c r="DO297" i="19"/>
  <c r="C295" i="19" s="1"/>
  <c r="C296" i="19" s="1"/>
  <c r="CP40" i="35"/>
  <c r="GE40" i="35" s="1"/>
  <c r="CV40" i="35"/>
  <c r="GQ40" i="35" s="1"/>
  <c r="DS297" i="19"/>
  <c r="DO241" i="19"/>
  <c r="C239" i="19" s="1"/>
  <c r="C240" i="19" s="1"/>
  <c r="CP33" i="35"/>
  <c r="GE33" i="35" s="1"/>
  <c r="AS186" i="19"/>
  <c r="DV186" i="19" s="1"/>
  <c r="AR186" i="19"/>
  <c r="DU186" i="19" s="1"/>
  <c r="AS210" i="19"/>
  <c r="DV210" i="19" s="1"/>
  <c r="AR210" i="19"/>
  <c r="DU210" i="19" s="1"/>
  <c r="AR283" i="19"/>
  <c r="DU283" i="19" s="1"/>
  <c r="AQ283" i="19"/>
  <c r="DT283" i="19" s="1"/>
  <c r="AL163" i="19"/>
  <c r="DQ163" i="19" s="1"/>
  <c r="AK163" i="19"/>
  <c r="DP163" i="19" s="1"/>
  <c r="AK290" i="19"/>
  <c r="DP290" i="19" s="1"/>
  <c r="AJ290" i="19"/>
  <c r="DO290" i="19" s="1"/>
  <c r="AS171" i="19"/>
  <c r="DV171" i="19" s="1"/>
  <c r="AR171" i="19"/>
  <c r="DU171" i="19" s="1"/>
  <c r="AK187" i="19"/>
  <c r="DP187" i="19" s="1"/>
  <c r="AJ187" i="19"/>
  <c r="AQ243" i="19"/>
  <c r="DT243" i="19" s="1"/>
  <c r="AP243" i="19"/>
  <c r="DS243" i="19" s="1"/>
  <c r="AK251" i="19"/>
  <c r="DP251" i="19" s="1"/>
  <c r="AJ251" i="19"/>
  <c r="DO251" i="19" s="1"/>
  <c r="AS139" i="19"/>
  <c r="DV139" i="19" s="1"/>
  <c r="AR139" i="19"/>
  <c r="DU139" i="19" s="1"/>
  <c r="AS163" i="19"/>
  <c r="DV163" i="19" s="1"/>
  <c r="AR163" i="19"/>
  <c r="DU163" i="19" s="1"/>
  <c r="AR234" i="19"/>
  <c r="DU234" i="19" s="1"/>
  <c r="AQ234" i="19"/>
  <c r="AR281" i="19"/>
  <c r="DU281" i="19" s="1"/>
  <c r="AQ281" i="19"/>
  <c r="AL161" i="19"/>
  <c r="DQ161" i="19" s="1"/>
  <c r="AK161" i="19"/>
  <c r="AS169" i="19"/>
  <c r="DV169" i="19" s="1"/>
  <c r="AR169" i="19"/>
  <c r="AS219" i="19"/>
  <c r="DV219" i="19" s="1"/>
  <c r="AR219" i="19"/>
  <c r="DU219" i="19" s="1"/>
  <c r="AR315" i="19"/>
  <c r="DU315" i="19" s="1"/>
  <c r="AQ315" i="19"/>
  <c r="AK250" i="19"/>
  <c r="DP250" i="19" s="1"/>
  <c r="AJ250" i="19"/>
  <c r="DO250" i="19" s="1"/>
  <c r="AK314" i="19"/>
  <c r="DP314" i="19" s="1"/>
  <c r="AJ314" i="19"/>
  <c r="AS195" i="19"/>
  <c r="DV195" i="19" s="1"/>
  <c r="AR195" i="19"/>
  <c r="DU195" i="19" s="1"/>
  <c r="AS162" i="19"/>
  <c r="DV162" i="19" s="1"/>
  <c r="AR162" i="19"/>
  <c r="DU162" i="19" s="1"/>
  <c r="DU305" i="19"/>
  <c r="D303" i="19" s="1"/>
  <c r="CX41" i="35"/>
  <c r="GU41" i="35" s="1"/>
  <c r="DU273" i="19"/>
  <c r="D271" i="19" s="1"/>
  <c r="CX37" i="35"/>
  <c r="GU37" i="35" s="1"/>
  <c r="DO145" i="19"/>
  <c r="C143" i="19" s="1"/>
  <c r="CP21" i="35"/>
  <c r="GE21" i="35" s="1"/>
  <c r="DU177" i="19"/>
  <c r="D175" i="19" s="1"/>
  <c r="D176" i="19" s="1"/>
  <c r="CX25" i="35"/>
  <c r="GU25" i="35" s="1"/>
  <c r="AQ187" i="19"/>
  <c r="DT187" i="19" s="1"/>
  <c r="AP187" i="19"/>
  <c r="AS211" i="19"/>
  <c r="DV211" i="19" s="1"/>
  <c r="AR211" i="19"/>
  <c r="DU211" i="19" s="1"/>
  <c r="AR282" i="19"/>
  <c r="DU282" i="19" s="1"/>
  <c r="AQ282" i="19"/>
  <c r="DT282" i="19" s="1"/>
  <c r="AL162" i="19"/>
  <c r="DQ162" i="19" s="1"/>
  <c r="AK162" i="19"/>
  <c r="DP162" i="19" s="1"/>
  <c r="AK291" i="19"/>
  <c r="DP291" i="19" s="1"/>
  <c r="AJ291" i="19"/>
  <c r="DO291" i="19" s="1"/>
  <c r="AS170" i="19"/>
  <c r="DV170" i="19" s="1"/>
  <c r="AR170" i="19"/>
  <c r="DU170" i="19" s="1"/>
  <c r="AS218" i="19"/>
  <c r="DV218" i="19" s="1"/>
  <c r="AR218" i="19"/>
  <c r="DU218" i="19" s="1"/>
  <c r="AR249" i="19"/>
  <c r="DU249" i="19" s="1"/>
  <c r="AQ249" i="19"/>
  <c r="AL185" i="19"/>
  <c r="DQ185" i="19" s="1"/>
  <c r="AK185" i="19"/>
  <c r="DP185" i="19" s="1"/>
  <c r="AK322" i="19"/>
  <c r="DP322" i="19" s="1"/>
  <c r="AJ322" i="19"/>
  <c r="AQ242" i="19"/>
  <c r="DT242" i="19" s="1"/>
  <c r="AP242" i="19"/>
  <c r="AK249" i="19"/>
  <c r="DP249" i="19" s="1"/>
  <c r="AJ249" i="19"/>
  <c r="AS193" i="19"/>
  <c r="AR193" i="19"/>
  <c r="AS123" i="19"/>
  <c r="DV123" i="19" s="1"/>
  <c r="AR123" i="19"/>
  <c r="DU123" i="19" s="1"/>
  <c r="DT114" i="19"/>
  <c r="D111" i="19" s="1"/>
  <c r="MN17" i="35" s="1"/>
  <c r="NC17" i="35" s="1"/>
  <c r="CW17" i="35"/>
  <c r="GS17" i="35" s="1"/>
  <c r="DO113" i="19"/>
  <c r="CP17" i="35"/>
  <c r="GE17" i="35" s="1"/>
  <c r="H52" i="30"/>
  <c r="MF15" i="35" s="1"/>
  <c r="I44" i="30"/>
  <c r="MG13" i="35" s="1"/>
  <c r="L44" i="30"/>
  <c r="MJ13" i="35" s="1"/>
  <c r="CP13" i="35"/>
  <c r="GE13" i="35" s="1"/>
  <c r="L28" i="30"/>
  <c r="MJ9" i="35" s="1"/>
  <c r="I28" i="30"/>
  <c r="MG9" i="35" s="1"/>
  <c r="CX9" i="35"/>
  <c r="GU9" i="35" s="1"/>
  <c r="K20" i="30"/>
  <c r="MI7" i="35" s="1"/>
  <c r="CR4" i="35"/>
  <c r="GI4" i="35" s="1"/>
  <c r="CX4" i="35"/>
  <c r="GU4" i="35" s="1"/>
  <c r="DT10" i="19"/>
  <c r="CW4" i="35"/>
  <c r="GS4" i="35" s="1"/>
  <c r="AR107" i="19"/>
  <c r="DU107" i="19" s="1"/>
  <c r="AQ107" i="19"/>
  <c r="AS34" i="19"/>
  <c r="DV34" i="19" s="1"/>
  <c r="AR34" i="19"/>
  <c r="DU34" i="19" s="1"/>
  <c r="CP10" i="35"/>
  <c r="GE10" i="35" s="1"/>
  <c r="DO57" i="19"/>
  <c r="C55" i="19" s="1"/>
  <c r="C56" i="19" s="1"/>
  <c r="DT73" i="19"/>
  <c r="D71" i="19" s="1"/>
  <c r="MN12" i="35" s="1"/>
  <c r="NC12" i="35" s="1"/>
  <c r="CW12" i="35"/>
  <c r="GS12" i="35" s="1"/>
  <c r="CO14" i="35"/>
  <c r="GC14" i="35" s="1"/>
  <c r="DN89" i="19"/>
  <c r="C87" i="19" s="1"/>
  <c r="MM14" i="35" s="1"/>
  <c r="AS59" i="19"/>
  <c r="DV59" i="19" s="1"/>
  <c r="AR59" i="19"/>
  <c r="DU59" i="19" s="1"/>
  <c r="AQ90" i="19"/>
  <c r="DT90" i="19" s="1"/>
  <c r="AP90" i="19"/>
  <c r="AS35" i="19"/>
  <c r="DV35" i="19" s="1"/>
  <c r="AR35" i="19"/>
  <c r="DU35" i="19" s="1"/>
  <c r="CP14" i="35"/>
  <c r="GE14" i="35" s="1"/>
  <c r="DO65" i="19"/>
  <c r="C63" i="19" s="1"/>
  <c r="MM11" i="35" s="1"/>
  <c r="NA11" i="35" s="1"/>
  <c r="CP11" i="35"/>
  <c r="GE11" i="35" s="1"/>
  <c r="CP16" i="35"/>
  <c r="GE16" i="35" s="1"/>
  <c r="DO105" i="19"/>
  <c r="C103" i="19" s="1"/>
  <c r="DN82" i="19"/>
  <c r="C79" i="19" s="1"/>
  <c r="C80" i="19" s="1"/>
  <c r="CO13" i="35"/>
  <c r="GC13" i="35" s="1"/>
  <c r="AR66" i="19"/>
  <c r="AQ66" i="19"/>
  <c r="AR58" i="19"/>
  <c r="DU58" i="19" s="1"/>
  <c r="AQ58" i="19"/>
  <c r="AR81" i="19"/>
  <c r="DU81" i="19" s="1"/>
  <c r="AQ81" i="19"/>
  <c r="DT81" i="19" s="1"/>
  <c r="AR91" i="19"/>
  <c r="DU91" i="19" s="1"/>
  <c r="AQ91" i="19"/>
  <c r="DT91" i="19" s="1"/>
  <c r="AS33" i="19"/>
  <c r="DV33" i="19" s="1"/>
  <c r="AR33" i="19"/>
  <c r="C21" i="30"/>
  <c r="C20" i="30"/>
  <c r="MA7" i="35" s="1"/>
  <c r="DN19" i="19"/>
  <c r="CO5" i="35"/>
  <c r="GC5" i="35" s="1"/>
  <c r="AR17" i="19"/>
  <c r="AQ17" i="19"/>
  <c r="AC115" i="19"/>
  <c r="AC82" i="19"/>
  <c r="DJ82" i="19" s="1"/>
  <c r="AD169" i="19"/>
  <c r="FI211" i="19"/>
  <c r="EO211" i="19"/>
  <c r="AD193" i="19"/>
  <c r="ED66" i="19"/>
  <c r="DX282" i="19"/>
  <c r="EO179" i="19"/>
  <c r="AD179" i="19"/>
  <c r="DK179" i="19" s="1"/>
  <c r="AD121" i="19"/>
  <c r="DK121" i="19" s="1"/>
  <c r="ES234" i="19"/>
  <c r="EF32" i="35"/>
  <c r="JK32" i="35" s="1"/>
  <c r="DJ321" i="19"/>
  <c r="CI43" i="35"/>
  <c r="FQ43" i="35" s="1"/>
  <c r="FC235" i="19"/>
  <c r="ET32" i="35"/>
  <c r="KM32" i="35" s="1"/>
  <c r="EX323" i="19"/>
  <c r="EM43" i="35"/>
  <c r="JY43" i="35" s="1"/>
  <c r="DD32" i="35"/>
  <c r="HG32" i="35" s="1"/>
  <c r="DY233" i="19"/>
  <c r="EI145" i="19"/>
  <c r="DR21" i="35"/>
  <c r="II21" i="35" s="1"/>
  <c r="DZ37" i="35"/>
  <c r="IY37" i="35" s="1"/>
  <c r="EO273" i="19"/>
  <c r="AD105" i="19"/>
  <c r="DK105" i="19" s="1"/>
  <c r="AD265" i="19"/>
  <c r="FI163" i="19"/>
  <c r="EJ163" i="19"/>
  <c r="ET163" i="19"/>
  <c r="DZ163" i="19"/>
  <c r="AD163" i="19"/>
  <c r="DK163" i="19" s="1"/>
  <c r="AD171" i="19"/>
  <c r="DK171" i="19" s="1"/>
  <c r="FI210" i="19"/>
  <c r="EO210" i="19"/>
  <c r="AD217" i="19"/>
  <c r="DX74" i="19"/>
  <c r="EO178" i="19"/>
  <c r="AD178" i="19"/>
  <c r="DK178" i="19" s="1"/>
  <c r="DY186" i="19"/>
  <c r="EO35" i="19"/>
  <c r="DY146" i="19"/>
  <c r="DD21" i="35"/>
  <c r="HG21" i="35" s="1"/>
  <c r="DY321" i="19"/>
  <c r="DD43" i="35"/>
  <c r="HG43" i="35" s="1"/>
  <c r="DK305" i="19"/>
  <c r="CJ41" i="35"/>
  <c r="FS41" i="35" s="1"/>
  <c r="FM145" i="19"/>
  <c r="FH21" i="35"/>
  <c r="LO21" i="35" s="1"/>
  <c r="EN37" i="35"/>
  <c r="KA37" i="35" s="1"/>
  <c r="EY273" i="19"/>
  <c r="AD57" i="19"/>
  <c r="DK57" i="19" s="1"/>
  <c r="AC89" i="19"/>
  <c r="DJ89" i="19" s="1"/>
  <c r="AD113" i="19"/>
  <c r="DK113" i="19" s="1"/>
  <c r="FI266" i="19"/>
  <c r="EO266" i="19"/>
  <c r="AD266" i="19"/>
  <c r="DK266" i="19" s="1"/>
  <c r="AC83" i="19"/>
  <c r="DJ83" i="19" s="1"/>
  <c r="FI162" i="19"/>
  <c r="EJ162" i="19"/>
  <c r="ET162" i="19"/>
  <c r="DZ162" i="19"/>
  <c r="AD162" i="19"/>
  <c r="DK162" i="19" s="1"/>
  <c r="AD170" i="19"/>
  <c r="DK170" i="19" s="1"/>
  <c r="EY194" i="19"/>
  <c r="AD194" i="19"/>
  <c r="DK194" i="19" s="1"/>
  <c r="AD219" i="19"/>
  <c r="DK219" i="19" s="1"/>
  <c r="AD129" i="19"/>
  <c r="DK129" i="19" s="1"/>
  <c r="EI67" i="19"/>
  <c r="AC67" i="19"/>
  <c r="DX283" i="19"/>
  <c r="AC313" i="19"/>
  <c r="DZ137" i="19"/>
  <c r="AD137" i="19"/>
  <c r="DK137" i="19" s="1"/>
  <c r="AD187" i="19"/>
  <c r="ED234" i="19"/>
  <c r="DK32" i="35"/>
  <c r="HU32" i="35" s="1"/>
  <c r="DJ235" i="19"/>
  <c r="CI32" i="35"/>
  <c r="FQ32" i="35" s="1"/>
  <c r="DL41" i="35"/>
  <c r="HW41" i="35" s="1"/>
  <c r="EE305" i="19"/>
  <c r="EX233" i="19"/>
  <c r="EM32" i="35"/>
  <c r="JY32" i="35" s="1"/>
  <c r="DK273" i="19"/>
  <c r="CJ37" i="35"/>
  <c r="FS37" i="35" s="1"/>
  <c r="AC59" i="19"/>
  <c r="AD50" i="19"/>
  <c r="DK50" i="19" s="1"/>
  <c r="FI267" i="19"/>
  <c r="EO267" i="19"/>
  <c r="AD267" i="19"/>
  <c r="DK267" i="19" s="1"/>
  <c r="AC81" i="19"/>
  <c r="AD161" i="19"/>
  <c r="EY195" i="19"/>
  <c r="AD195" i="19"/>
  <c r="DK195" i="19" s="1"/>
  <c r="AD218" i="19"/>
  <c r="DK218" i="19" s="1"/>
  <c r="DX75" i="19"/>
  <c r="AD177" i="19"/>
  <c r="EO34" i="19"/>
  <c r="FC146" i="19"/>
  <c r="ET21" i="35"/>
  <c r="KM21" i="35" s="1"/>
  <c r="EN235" i="19"/>
  <c r="DY32" i="35"/>
  <c r="IW32" i="35" s="1"/>
  <c r="ES322" i="19"/>
  <c r="EF43" i="35"/>
  <c r="JK43" i="35" s="1"/>
  <c r="C47" i="19"/>
  <c r="C48" i="19" s="1"/>
  <c r="CY4" i="35"/>
  <c r="GW4" i="35" s="1"/>
  <c r="CQ4" i="35"/>
  <c r="GG4" i="35" s="1"/>
  <c r="H68" i="30"/>
  <c r="MF19" i="35" s="1"/>
  <c r="DW11" i="30"/>
  <c r="T5" i="35"/>
  <c r="GY5" i="35" s="1"/>
  <c r="EB7" i="30"/>
  <c r="EB4" i="30" s="1"/>
  <c r="AA4" i="35"/>
  <c r="K24" i="30"/>
  <c r="MI8" i="35" s="1"/>
  <c r="L124" i="30"/>
  <c r="MJ33" i="35" s="1"/>
  <c r="I104" i="30"/>
  <c r="MG28" i="35" s="1"/>
  <c r="M140" i="30"/>
  <c r="MK37" i="35" s="1"/>
  <c r="I132" i="30"/>
  <c r="MG35" i="35" s="1"/>
  <c r="K28" i="30"/>
  <c r="MI9" i="35" s="1"/>
  <c r="L56" i="30"/>
  <c r="MJ16" i="35" s="1"/>
  <c r="J124" i="30"/>
  <c r="MH33" i="35" s="1"/>
  <c r="M92" i="30"/>
  <c r="MK25" i="35" s="1"/>
  <c r="J60" i="30"/>
  <c r="MH17" i="35" s="1"/>
  <c r="J56" i="30"/>
  <c r="MH16" i="35" s="1"/>
  <c r="K92" i="30"/>
  <c r="MI25" i="35" s="1"/>
  <c r="L84" i="30"/>
  <c r="MJ23" i="35" s="1"/>
  <c r="I68" i="30"/>
  <c r="MG19" i="35" s="1"/>
  <c r="I40" i="30"/>
  <c r="MG12" i="35" s="1"/>
  <c r="K124" i="30"/>
  <c r="MI33" i="35" s="1"/>
  <c r="E68" i="30"/>
  <c r="MC19" i="35" s="1"/>
  <c r="C7" i="19"/>
  <c r="EP63" i="30"/>
  <c r="H64" i="30" s="1"/>
  <c r="MF18" i="35" s="1"/>
  <c r="AU18" i="35"/>
  <c r="EA123" i="30"/>
  <c r="E125" i="30" s="1"/>
  <c r="Z33" i="35"/>
  <c r="EA27" i="30"/>
  <c r="E29" i="30" s="1"/>
  <c r="Z9" i="35"/>
  <c r="EP59" i="30"/>
  <c r="H60" i="30" s="1"/>
  <c r="MF17" i="35" s="1"/>
  <c r="AU17" i="35"/>
  <c r="EF99" i="30"/>
  <c r="F101" i="30" s="1"/>
  <c r="AG27" i="35"/>
  <c r="EK63" i="30"/>
  <c r="G64" i="30" s="1"/>
  <c r="ME18" i="35" s="1"/>
  <c r="AN18" i="35"/>
  <c r="EA139" i="30"/>
  <c r="E141" i="30" s="1"/>
  <c r="Z37" i="35"/>
  <c r="EF163" i="30"/>
  <c r="F165" i="30" s="1"/>
  <c r="AG43" i="35"/>
  <c r="EA55" i="30"/>
  <c r="E56" i="30" s="1"/>
  <c r="MC16" i="35" s="1"/>
  <c r="Z16" i="35"/>
  <c r="EK159" i="30"/>
  <c r="G161" i="30" s="1"/>
  <c r="AN42" i="35"/>
  <c r="EP79" i="30"/>
  <c r="H81" i="30" s="1"/>
  <c r="AU22" i="35"/>
  <c r="EP39" i="30"/>
  <c r="H41" i="30" s="1"/>
  <c r="AU12" i="35"/>
  <c r="EP31" i="30"/>
  <c r="H32" i="30" s="1"/>
  <c r="MF10" i="35" s="1"/>
  <c r="AU10" i="35"/>
  <c r="EA31" i="30"/>
  <c r="E33" i="30" s="1"/>
  <c r="Z10" i="35"/>
  <c r="DZ305" i="19"/>
  <c r="DE41" i="35"/>
  <c r="HI41" i="35" s="1"/>
  <c r="DX323" i="19"/>
  <c r="DC43" i="35"/>
  <c r="HE43" i="35" s="1"/>
  <c r="DZ201" i="19"/>
  <c r="DE28" i="35"/>
  <c r="HI28" i="35" s="1"/>
  <c r="DZ321" i="19"/>
  <c r="DE43" i="35"/>
  <c r="HI43" i="35" s="1"/>
  <c r="EA100" i="19"/>
  <c r="DF15" i="35"/>
  <c r="HK15" i="35" s="1"/>
  <c r="EA204" i="19"/>
  <c r="DF28" i="35"/>
  <c r="HK28" i="35" s="1"/>
  <c r="DZ257" i="19"/>
  <c r="DE35" i="35"/>
  <c r="HI35" i="35" s="1"/>
  <c r="DZ146" i="19"/>
  <c r="DE21" i="35"/>
  <c r="HI21" i="35" s="1"/>
  <c r="FO276" i="19"/>
  <c r="FJ37" i="35"/>
  <c r="LS37" i="35" s="1"/>
  <c r="EO235" i="19"/>
  <c r="DZ32" i="35"/>
  <c r="IY32" i="35" s="1"/>
  <c r="FO235" i="19"/>
  <c r="FN323" i="19"/>
  <c r="EU260" i="19"/>
  <c r="EH35" i="35"/>
  <c r="JO35" i="35" s="1"/>
  <c r="FL147" i="19"/>
  <c r="FG21" i="35"/>
  <c r="LM21" i="35" s="1"/>
  <c r="EU308" i="19"/>
  <c r="EH41" i="35"/>
  <c r="JO41" i="35" s="1"/>
  <c r="FO308" i="19"/>
  <c r="FJ41" i="35"/>
  <c r="LS41" i="35" s="1"/>
  <c r="EU228" i="19"/>
  <c r="EH31" i="35"/>
  <c r="JO31" i="35" s="1"/>
  <c r="FO228" i="19"/>
  <c r="FJ31" i="35"/>
  <c r="LS31" i="35" s="1"/>
  <c r="EU204" i="19"/>
  <c r="EH28" i="35"/>
  <c r="JO28" i="35" s="1"/>
  <c r="FO204" i="19"/>
  <c r="FJ28" i="35"/>
  <c r="LS28" i="35" s="1"/>
  <c r="FN305" i="19"/>
  <c r="FI41" i="35"/>
  <c r="LQ41" i="35" s="1"/>
  <c r="FN225" i="19"/>
  <c r="FI31" i="35"/>
  <c r="LQ31" i="35" s="1"/>
  <c r="FN201" i="19"/>
  <c r="FI28" i="35"/>
  <c r="LQ28" i="35" s="1"/>
  <c r="FN145" i="19"/>
  <c r="FI21" i="35"/>
  <c r="LQ21" i="35" s="1"/>
  <c r="EP273" i="19"/>
  <c r="EA37" i="35"/>
  <c r="JA37" i="35" s="1"/>
  <c r="FN273" i="19"/>
  <c r="FI37" i="35"/>
  <c r="LQ37" i="35" s="1"/>
  <c r="EP322" i="19"/>
  <c r="EU233" i="19"/>
  <c r="EH32" i="35"/>
  <c r="JO32" i="35" s="1"/>
  <c r="FN233" i="19"/>
  <c r="ER321" i="19"/>
  <c r="EE43" i="35"/>
  <c r="JI43" i="35" s="1"/>
  <c r="EP234" i="19"/>
  <c r="EA32" i="35"/>
  <c r="JA32" i="35" s="1"/>
  <c r="FO146" i="19"/>
  <c r="FJ21" i="35"/>
  <c r="LS21" i="35" s="1"/>
  <c r="EY7" i="30"/>
  <c r="BH4" i="35"/>
  <c r="EZ127" i="30"/>
  <c r="J129" i="30" s="1"/>
  <c r="BI34" i="35"/>
  <c r="EU159" i="30"/>
  <c r="I161" i="30" s="1"/>
  <c r="BB42" i="35"/>
  <c r="FJ11" i="30"/>
  <c r="BW5" i="35"/>
  <c r="FE115" i="30"/>
  <c r="K116" i="30" s="1"/>
  <c r="MI31" i="35" s="1"/>
  <c r="BP31" i="35"/>
  <c r="FE95" i="30"/>
  <c r="K97" i="30" s="1"/>
  <c r="BP26" i="35"/>
  <c r="EZ23" i="30"/>
  <c r="J25" i="30" s="1"/>
  <c r="BI8" i="35"/>
  <c r="FE131" i="30"/>
  <c r="K133" i="30" s="1"/>
  <c r="BP35" i="35"/>
  <c r="FJ99" i="30"/>
  <c r="L101" i="30" s="1"/>
  <c r="BW27" i="35"/>
  <c r="EP11" i="30"/>
  <c r="H12" i="30" s="1"/>
  <c r="MF5" i="35" s="1"/>
  <c r="AU5" i="35"/>
  <c r="EU71" i="30"/>
  <c r="I73" i="30" s="1"/>
  <c r="BB20" i="35"/>
  <c r="EZ75" i="30"/>
  <c r="J77" i="30" s="1"/>
  <c r="BI21" i="35"/>
  <c r="FE63" i="30"/>
  <c r="K65" i="30" s="1"/>
  <c r="BP18" i="35"/>
  <c r="FJ79" i="30"/>
  <c r="L81" i="30" s="1"/>
  <c r="BW22" i="35"/>
  <c r="FE127" i="30"/>
  <c r="K129" i="30" s="1"/>
  <c r="BP34" i="35"/>
  <c r="FE143" i="30"/>
  <c r="K145" i="30" s="1"/>
  <c r="BP38" i="35"/>
  <c r="FO19" i="30"/>
  <c r="M20" i="30" s="1"/>
  <c r="MK7" i="35" s="1"/>
  <c r="CD7" i="35"/>
  <c r="DV156" i="19"/>
  <c r="DK235" i="19"/>
  <c r="CJ32" i="35"/>
  <c r="FS32" i="35" s="1"/>
  <c r="DK225" i="19"/>
  <c r="CJ31" i="35"/>
  <c r="FS31" i="35" s="1"/>
  <c r="DL260" i="19"/>
  <c r="CK35" i="35"/>
  <c r="FU35" i="35" s="1"/>
  <c r="DL145" i="19"/>
  <c r="CK21" i="35"/>
  <c r="FU21" i="35" s="1"/>
  <c r="DL322" i="19"/>
  <c r="CK43" i="35"/>
  <c r="FU43" i="35" s="1"/>
  <c r="DL233" i="19"/>
  <c r="CK32" i="35"/>
  <c r="FU32" i="35" s="1"/>
  <c r="DL97" i="19"/>
  <c r="CK15" i="35"/>
  <c r="FU15" i="35" s="1"/>
  <c r="DL228" i="19"/>
  <c r="CK31" i="35"/>
  <c r="FU31" i="35" s="1"/>
  <c r="FD235" i="19"/>
  <c r="EU32" i="35"/>
  <c r="KO32" i="35" s="1"/>
  <c r="EJ323" i="19"/>
  <c r="EY323" i="19"/>
  <c r="EN43" i="35"/>
  <c r="KA43" i="35" s="1"/>
  <c r="EZ260" i="19"/>
  <c r="EE147" i="19"/>
  <c r="FE147" i="19"/>
  <c r="EV21" i="35"/>
  <c r="KQ21" i="35" s="1"/>
  <c r="EK100" i="19"/>
  <c r="DT15" i="35"/>
  <c r="IM15" i="35" s="1"/>
  <c r="EZ100" i="19"/>
  <c r="EF204" i="19"/>
  <c r="DM28" i="35"/>
  <c r="HY28" i="35" s="1"/>
  <c r="EZ204" i="19"/>
  <c r="EO28" i="35"/>
  <c r="KC28" i="35" s="1"/>
  <c r="EJ305" i="19"/>
  <c r="DS41" i="35"/>
  <c r="IK41" i="35" s="1"/>
  <c r="EJ201" i="19"/>
  <c r="DS28" i="35"/>
  <c r="IK28" i="35" s="1"/>
  <c r="EJ145" i="19"/>
  <c r="DS21" i="35"/>
  <c r="IK21" i="35" s="1"/>
  <c r="EY145" i="19"/>
  <c r="EJ273" i="19"/>
  <c r="DS37" i="35"/>
  <c r="IK37" i="35" s="1"/>
  <c r="EE322" i="19"/>
  <c r="EJ233" i="19"/>
  <c r="EY233" i="19"/>
  <c r="EN32" i="35"/>
  <c r="KA32" i="35" s="1"/>
  <c r="FD321" i="19"/>
  <c r="EJ97" i="19"/>
  <c r="DS15" i="35"/>
  <c r="IK15" i="35" s="1"/>
  <c r="FD97" i="19"/>
  <c r="EU15" i="35"/>
  <c r="KO15" i="35" s="1"/>
  <c r="EE234" i="19"/>
  <c r="DL32" i="35"/>
  <c r="HW32" i="35" s="1"/>
  <c r="FE234" i="19"/>
  <c r="EV32" i="35"/>
  <c r="KQ32" i="35" s="1"/>
  <c r="EK146" i="19"/>
  <c r="DT21" i="35"/>
  <c r="IM21" i="35" s="1"/>
  <c r="EZ147" i="30"/>
  <c r="J149" i="30" s="1"/>
  <c r="BI39" i="35"/>
  <c r="FE79" i="30"/>
  <c r="K81" i="30" s="1"/>
  <c r="BP22" i="35"/>
  <c r="EZ91" i="30"/>
  <c r="J93" i="30" s="1"/>
  <c r="BI25" i="35"/>
  <c r="FO51" i="30"/>
  <c r="M53" i="30" s="1"/>
  <c r="CD15" i="35"/>
  <c r="FJ111" i="30"/>
  <c r="L113" i="30" s="1"/>
  <c r="BW30" i="35"/>
  <c r="FO163" i="30"/>
  <c r="M165" i="30" s="1"/>
  <c r="CD43" i="35"/>
  <c r="FJ159" i="30"/>
  <c r="L161" i="30" s="1"/>
  <c r="BW42" i="35"/>
  <c r="FJ163" i="30"/>
  <c r="L165" i="30" s="1"/>
  <c r="BW43" i="35"/>
  <c r="EU75" i="30"/>
  <c r="I77" i="30" s="1"/>
  <c r="BB21" i="35"/>
  <c r="EU15" i="30"/>
  <c r="BB6" i="35"/>
  <c r="FE111" i="30"/>
  <c r="K113" i="30" s="1"/>
  <c r="BP30" i="35"/>
  <c r="FJ127" i="30"/>
  <c r="L129" i="30" s="1"/>
  <c r="BW34" i="35"/>
  <c r="FJ119" i="30"/>
  <c r="L121" i="30" s="1"/>
  <c r="BW32" i="35"/>
  <c r="FE155" i="30"/>
  <c r="K157" i="30" s="1"/>
  <c r="BP41" i="35"/>
  <c r="FO83" i="30"/>
  <c r="M85" i="30" s="1"/>
  <c r="CD23" i="35"/>
  <c r="FE47" i="30"/>
  <c r="K48" i="30" s="1"/>
  <c r="MI14" i="35" s="1"/>
  <c r="BP14" i="35"/>
  <c r="FJ19" i="30"/>
  <c r="L20" i="30" s="1"/>
  <c r="MJ7" i="35" s="1"/>
  <c r="BW7" i="35"/>
  <c r="L8" i="30"/>
  <c r="MJ4" i="35" s="1"/>
  <c r="L9" i="30"/>
  <c r="EK31" i="30"/>
  <c r="G33" i="30" s="1"/>
  <c r="AN10" i="35"/>
  <c r="EF39" i="30"/>
  <c r="F41" i="30" s="1"/>
  <c r="AG12" i="35"/>
  <c r="EF139" i="30"/>
  <c r="F141" i="30" s="1"/>
  <c r="AG37" i="35"/>
  <c r="EK59" i="30"/>
  <c r="G61" i="30" s="1"/>
  <c r="AN17" i="35"/>
  <c r="EF67" i="30"/>
  <c r="F68" i="30" s="1"/>
  <c r="MD19" i="35" s="1"/>
  <c r="AG19" i="35"/>
  <c r="EK127" i="30"/>
  <c r="G128" i="30" s="1"/>
  <c r="ME34" i="35" s="1"/>
  <c r="AN34" i="35"/>
  <c r="EP27" i="30"/>
  <c r="H29" i="30" s="1"/>
  <c r="AU9" i="35"/>
  <c r="EF43" i="30"/>
  <c r="F45" i="30" s="1"/>
  <c r="AG13" i="35"/>
  <c r="EF147" i="30"/>
  <c r="F148" i="30" s="1"/>
  <c r="MD39" i="35" s="1"/>
  <c r="AG39" i="35"/>
  <c r="EP127" i="30"/>
  <c r="H129" i="30" s="1"/>
  <c r="AU34" i="35"/>
  <c r="EK79" i="30"/>
  <c r="G80" i="30" s="1"/>
  <c r="ME22" i="35" s="1"/>
  <c r="AN22" i="35"/>
  <c r="EA47" i="30"/>
  <c r="E48" i="30" s="1"/>
  <c r="MC14" i="35" s="1"/>
  <c r="Z14" i="35"/>
  <c r="EF151" i="30"/>
  <c r="F152" i="30" s="1"/>
  <c r="MD40" i="35" s="1"/>
  <c r="AG40" i="35"/>
  <c r="EK39" i="30"/>
  <c r="G41" i="30" s="1"/>
  <c r="AN12" i="35"/>
  <c r="EP131" i="30"/>
  <c r="H132" i="30" s="1"/>
  <c r="MF35" i="35" s="1"/>
  <c r="AU35" i="35"/>
  <c r="EA115" i="30"/>
  <c r="E117" i="30" s="1"/>
  <c r="Z31" i="35"/>
  <c r="EF127" i="30"/>
  <c r="F129" i="30" s="1"/>
  <c r="AG34" i="35"/>
  <c r="EF47" i="30"/>
  <c r="F49" i="30" s="1"/>
  <c r="AG14" i="35"/>
  <c r="EF63" i="30"/>
  <c r="F65" i="30" s="1"/>
  <c r="AG18" i="35"/>
  <c r="EF51" i="30"/>
  <c r="F53" i="30" s="1"/>
  <c r="AG15" i="35"/>
  <c r="EF135" i="30"/>
  <c r="F137" i="30" s="1"/>
  <c r="AG36" i="35"/>
  <c r="EA63" i="30"/>
  <c r="E65" i="30" s="1"/>
  <c r="Z18" i="35"/>
  <c r="EA260" i="19"/>
  <c r="DF35" i="35"/>
  <c r="HK35" i="35" s="1"/>
  <c r="DX145" i="19"/>
  <c r="DC21" i="35"/>
  <c r="HE21" i="35" s="1"/>
  <c r="EA322" i="19"/>
  <c r="DF43" i="35"/>
  <c r="HK43" i="35" s="1"/>
  <c r="EA147" i="19"/>
  <c r="DF21" i="35"/>
  <c r="HK21" i="35" s="1"/>
  <c r="EA308" i="19"/>
  <c r="DF41" i="35"/>
  <c r="HK41" i="35" s="1"/>
  <c r="DZ233" i="19"/>
  <c r="DE32" i="35"/>
  <c r="HI32" i="35" s="1"/>
  <c r="DZ97" i="19"/>
  <c r="DE15" i="35"/>
  <c r="HI15" i="35" s="1"/>
  <c r="EA234" i="19"/>
  <c r="DF32" i="35"/>
  <c r="HK32" i="35" s="1"/>
  <c r="EK276" i="19"/>
  <c r="DT37" i="35"/>
  <c r="IM37" i="35" s="1"/>
  <c r="EC235" i="19"/>
  <c r="DJ32" i="35"/>
  <c r="HS32" i="35" s="1"/>
  <c r="EZ235" i="19"/>
  <c r="EO32" i="35"/>
  <c r="KC32" i="35" s="1"/>
  <c r="EU323" i="19"/>
  <c r="EH43" i="35"/>
  <c r="JO43" i="35" s="1"/>
  <c r="EH147" i="19"/>
  <c r="DQ21" i="35"/>
  <c r="IG21" i="35" s="1"/>
  <c r="EK308" i="19"/>
  <c r="DT41" i="35"/>
  <c r="IM41" i="35" s="1"/>
  <c r="FE100" i="19"/>
  <c r="EV15" i="35"/>
  <c r="KQ15" i="35" s="1"/>
  <c r="EK204" i="19"/>
  <c r="DT28" i="35"/>
  <c r="IM28" i="35" s="1"/>
  <c r="EF305" i="19"/>
  <c r="DM41" i="35"/>
  <c r="HY41" i="35" s="1"/>
  <c r="EE201" i="19"/>
  <c r="DL28" i="35"/>
  <c r="HW28" i="35" s="1"/>
  <c r="EY201" i="19"/>
  <c r="EN28" i="35"/>
  <c r="KA28" i="35" s="1"/>
  <c r="FB145" i="19"/>
  <c r="ES21" i="35"/>
  <c r="KK21" i="35" s="1"/>
  <c r="EZ273" i="19"/>
  <c r="EO37" i="35"/>
  <c r="KC37" i="35" s="1"/>
  <c r="EW322" i="19"/>
  <c r="EL43" i="35"/>
  <c r="JW43" i="35" s="1"/>
  <c r="EF233" i="19"/>
  <c r="DM32" i="35"/>
  <c r="HY32" i="35" s="1"/>
  <c r="FB233" i="19"/>
  <c r="ES32" i="35"/>
  <c r="KK32" i="35" s="1"/>
  <c r="EZ321" i="19"/>
  <c r="EO43" i="35"/>
  <c r="KC43" i="35" s="1"/>
  <c r="EW234" i="19"/>
  <c r="EL32" i="35"/>
  <c r="JW32" i="35" s="1"/>
  <c r="FD146" i="19"/>
  <c r="EU21" i="35"/>
  <c r="KO21" i="35" s="1"/>
  <c r="EU19" i="30"/>
  <c r="BB7" i="35"/>
  <c r="EZ155" i="30"/>
  <c r="J156" i="30" s="1"/>
  <c r="MH41" i="35" s="1"/>
  <c r="BI41" i="35"/>
  <c r="FJ63" i="30"/>
  <c r="L64" i="30" s="1"/>
  <c r="MJ18" i="35" s="1"/>
  <c r="BW18" i="35"/>
  <c r="FE159" i="30"/>
  <c r="K160" i="30" s="1"/>
  <c r="MI42" i="35" s="1"/>
  <c r="BP42" i="35"/>
  <c r="EF11" i="30"/>
  <c r="AG5" i="35"/>
  <c r="FJ59" i="30"/>
  <c r="L61" i="30" s="1"/>
  <c r="BW17" i="35"/>
  <c r="FJ15" i="30"/>
  <c r="BW6" i="35"/>
  <c r="FO131" i="30"/>
  <c r="M133" i="30" s="1"/>
  <c r="CD35" i="35"/>
  <c r="EU107" i="30"/>
  <c r="I109" i="30" s="1"/>
  <c r="BB29" i="35"/>
  <c r="FE83" i="30"/>
  <c r="K85" i="30" s="1"/>
  <c r="BP23" i="35"/>
  <c r="EZ79" i="30"/>
  <c r="J81" i="30" s="1"/>
  <c r="BI22" i="35"/>
  <c r="EZ67" i="30"/>
  <c r="J69" i="30" s="1"/>
  <c r="BI19" i="35"/>
  <c r="EA11" i="30"/>
  <c r="E12" i="30" s="1"/>
  <c r="MC5" i="35" s="1"/>
  <c r="Z5" i="35"/>
  <c r="FJ143" i="30"/>
  <c r="L144" i="30" s="1"/>
  <c r="MJ38" i="35" s="1"/>
  <c r="BW38" i="35"/>
  <c r="EU139" i="30"/>
  <c r="I141" i="30" s="1"/>
  <c r="BB37" i="35"/>
  <c r="EZ47" i="30"/>
  <c r="J48" i="30" s="1"/>
  <c r="MH14" i="35" s="1"/>
  <c r="BI14" i="35"/>
  <c r="EZ131" i="30"/>
  <c r="J132" i="30" s="1"/>
  <c r="MH35" i="35" s="1"/>
  <c r="BI35" i="35"/>
  <c r="EZ95" i="30"/>
  <c r="J97" i="30" s="1"/>
  <c r="BI26" i="35"/>
  <c r="FE147" i="30"/>
  <c r="K148" i="30" s="1"/>
  <c r="MI39" i="35" s="1"/>
  <c r="BP39" i="35"/>
  <c r="FD7" i="30"/>
  <c r="BO4" i="35"/>
  <c r="ET7" i="30"/>
  <c r="BA4" i="35"/>
  <c r="FJ91" i="30"/>
  <c r="L93" i="30" s="1"/>
  <c r="BW25" i="35"/>
  <c r="FJ23" i="30"/>
  <c r="L24" i="30" s="1"/>
  <c r="MJ8" i="35" s="1"/>
  <c r="BW8" i="35"/>
  <c r="FJ147" i="30"/>
  <c r="L148" i="30" s="1"/>
  <c r="MJ39" i="35" s="1"/>
  <c r="BW39" i="35"/>
  <c r="M8" i="30"/>
  <c r="MK4" i="35" s="1"/>
  <c r="M9" i="30"/>
  <c r="DV57" i="19"/>
  <c r="B12" i="30"/>
  <c r="LZ5" i="35" s="1"/>
  <c r="DL305" i="19"/>
  <c r="CK41" i="35"/>
  <c r="FU41" i="35" s="1"/>
  <c r="DI323" i="19"/>
  <c r="CH43" i="35"/>
  <c r="FO43" i="35" s="1"/>
  <c r="DK201" i="19"/>
  <c r="CJ28" i="35"/>
  <c r="FS28" i="35" s="1"/>
  <c r="DL273" i="19"/>
  <c r="CK37" i="35"/>
  <c r="FU37" i="35" s="1"/>
  <c r="DK321" i="19"/>
  <c r="CJ43" i="35"/>
  <c r="FS43" i="35" s="1"/>
  <c r="DL204" i="19"/>
  <c r="CK28" i="35"/>
  <c r="FU28" i="35" s="1"/>
  <c r="DK257" i="19"/>
  <c r="CJ35" i="35"/>
  <c r="FS35" i="35" s="1"/>
  <c r="ER235" i="19"/>
  <c r="EE32" i="35"/>
  <c r="JI32" i="35" s="1"/>
  <c r="FJ260" i="19"/>
  <c r="FC35" i="35"/>
  <c r="LE35" i="35" s="1"/>
  <c r="ET147" i="19"/>
  <c r="FI147" i="19"/>
  <c r="ET305" i="19"/>
  <c r="EG41" i="35"/>
  <c r="JM41" i="35" s="1"/>
  <c r="ET225" i="19"/>
  <c r="EG31" i="35"/>
  <c r="JM31" i="35" s="1"/>
  <c r="ET201" i="19"/>
  <c r="EG28" i="35"/>
  <c r="JM28" i="35" s="1"/>
  <c r="ET322" i="19"/>
  <c r="EG43" i="35"/>
  <c r="JM43" i="35" s="1"/>
  <c r="FI322" i="19"/>
  <c r="EM233" i="19"/>
  <c r="DX32" i="35"/>
  <c r="IU32" i="35" s="1"/>
  <c r="EO321" i="19"/>
  <c r="ET257" i="19"/>
  <c r="EG35" i="35"/>
  <c r="JM35" i="35" s="1"/>
  <c r="FI257" i="19"/>
  <c r="FB35" i="35"/>
  <c r="LC35" i="35" s="1"/>
  <c r="ET234" i="19"/>
  <c r="EG32" i="35"/>
  <c r="JM32" i="35" s="1"/>
  <c r="FI234" i="19"/>
  <c r="EO146" i="19"/>
  <c r="FO79" i="30"/>
  <c r="M81" i="30" s="1"/>
  <c r="CD22" i="35"/>
  <c r="EU135" i="30"/>
  <c r="I136" i="30" s="1"/>
  <c r="MG36" i="35" s="1"/>
  <c r="BB36" i="35"/>
  <c r="EU91" i="30"/>
  <c r="I93" i="30" s="1"/>
  <c r="BB25" i="35"/>
  <c r="EZ31" i="30"/>
  <c r="J32" i="30" s="1"/>
  <c r="MH10" i="35" s="1"/>
  <c r="BI10" i="35"/>
  <c r="EZ107" i="30"/>
  <c r="J109" i="30" s="1"/>
  <c r="BI29" i="35"/>
  <c r="EZ83" i="30"/>
  <c r="J85" i="30" s="1"/>
  <c r="BI23" i="35"/>
  <c r="FE67" i="30"/>
  <c r="K69" i="30" s="1"/>
  <c r="BP19" i="35"/>
  <c r="EZ115" i="30"/>
  <c r="J116" i="30" s="1"/>
  <c r="MH31" i="35" s="1"/>
  <c r="BI31" i="35"/>
  <c r="ED7" i="30"/>
  <c r="ED4" i="30" s="1"/>
  <c r="AE4" i="35"/>
  <c r="EZ35" i="30"/>
  <c r="J37" i="30" s="1"/>
  <c r="BI11" i="35"/>
  <c r="EU111" i="30"/>
  <c r="I112" i="30" s="1"/>
  <c r="MG30" i="35" s="1"/>
  <c r="BB30" i="35"/>
  <c r="EZ51" i="30"/>
  <c r="J52" i="30" s="1"/>
  <c r="MH15" i="35" s="1"/>
  <c r="BI15" i="35"/>
  <c r="FO11" i="30"/>
  <c r="CD5" i="35"/>
  <c r="EU51" i="30"/>
  <c r="I53" i="30" s="1"/>
  <c r="BB15" i="35"/>
  <c r="FE35" i="30"/>
  <c r="K36" i="30" s="1"/>
  <c r="MI11" i="35" s="1"/>
  <c r="BP11" i="35"/>
  <c r="FJ155" i="30"/>
  <c r="L157" i="30" s="1"/>
  <c r="BW41" i="35"/>
  <c r="FJ95" i="30"/>
  <c r="L97" i="30" s="1"/>
  <c r="BW26" i="35"/>
  <c r="FE163" i="30"/>
  <c r="K164" i="30" s="1"/>
  <c r="MI43" i="35" s="1"/>
  <c r="BP43" i="35"/>
  <c r="FO119" i="30"/>
  <c r="M121" i="30" s="1"/>
  <c r="CD32" i="35"/>
  <c r="FJ47" i="30"/>
  <c r="L49" i="30" s="1"/>
  <c r="BW14" i="35"/>
  <c r="EU11" i="30"/>
  <c r="BB5" i="35"/>
  <c r="EU87" i="30"/>
  <c r="I88" i="30" s="1"/>
  <c r="MG24" i="35" s="1"/>
  <c r="BB24" i="35"/>
  <c r="L33" i="30"/>
  <c r="M161" i="30"/>
  <c r="J89" i="30"/>
  <c r="J88" i="30"/>
  <c r="MH24" i="35" s="1"/>
  <c r="I145" i="30"/>
  <c r="I144" i="30"/>
  <c r="MG38" i="35" s="1"/>
  <c r="J145" i="30"/>
  <c r="J144" i="30"/>
  <c r="MH38" i="35" s="1"/>
  <c r="M49" i="30"/>
  <c r="M48" i="30"/>
  <c r="MK14" i="35" s="1"/>
  <c r="L53" i="30"/>
  <c r="L52" i="30"/>
  <c r="MJ15" i="35" s="1"/>
  <c r="I153" i="30"/>
  <c r="I152" i="30"/>
  <c r="MG40" i="35" s="1"/>
  <c r="L77" i="30"/>
  <c r="L76" i="30"/>
  <c r="MJ21" i="35" s="1"/>
  <c r="M33" i="30"/>
  <c r="M32" i="30"/>
  <c r="MK10" i="35" s="1"/>
  <c r="M129" i="30"/>
  <c r="M128" i="30"/>
  <c r="MK34" i="35" s="1"/>
  <c r="K140" i="30"/>
  <c r="MI37" i="35" s="1"/>
  <c r="B57" i="30"/>
  <c r="B56" i="30"/>
  <c r="LZ16" i="35" s="1"/>
  <c r="I25" i="30"/>
  <c r="I24" i="30"/>
  <c r="MG8" i="35" s="1"/>
  <c r="M41" i="30"/>
  <c r="M40" i="30"/>
  <c r="MK12" i="35" s="1"/>
  <c r="L141" i="30"/>
  <c r="L140" i="30"/>
  <c r="MJ37" i="35" s="1"/>
  <c r="M25" i="30"/>
  <c r="M24" i="30"/>
  <c r="MK8" i="35" s="1"/>
  <c r="M37" i="30"/>
  <c r="M97" i="30"/>
  <c r="I57" i="30"/>
  <c r="I56" i="30"/>
  <c r="MG16" i="35" s="1"/>
  <c r="J17" i="30"/>
  <c r="L105" i="30"/>
  <c r="K105" i="30"/>
  <c r="K104" i="30"/>
  <c r="MI28" i="35" s="1"/>
  <c r="J41" i="30"/>
  <c r="J40" i="30"/>
  <c r="MH12" i="35" s="1"/>
  <c r="B8" i="30"/>
  <c r="LZ4" i="35" s="1"/>
  <c r="FD42" i="19"/>
  <c r="EE42" i="19"/>
  <c r="FD34" i="19"/>
  <c r="EP34" i="19"/>
  <c r="FN266" i="19"/>
  <c r="FJ266" i="19"/>
  <c r="FD266" i="19"/>
  <c r="EP266" i="19"/>
  <c r="FJ162" i="19"/>
  <c r="EU162" i="19"/>
  <c r="EK162" i="19"/>
  <c r="FD194" i="19"/>
  <c r="EZ194" i="19"/>
  <c r="ET194" i="19"/>
  <c r="AE9" i="19"/>
  <c r="FN210" i="19"/>
  <c r="FJ210" i="19"/>
  <c r="FD210" i="19"/>
  <c r="EP210" i="19"/>
  <c r="FN178" i="19"/>
  <c r="FD178" i="19"/>
  <c r="EP178" i="19"/>
  <c r="EJ178" i="19"/>
  <c r="FO52" i="19"/>
  <c r="FJ52" i="19"/>
  <c r="FE52" i="19"/>
  <c r="EZ52" i="19"/>
  <c r="EU52" i="19"/>
  <c r="FO293" i="19"/>
  <c r="EU293" i="19"/>
  <c r="EK293" i="19"/>
  <c r="FJ69" i="19"/>
  <c r="EK69" i="19"/>
  <c r="EF69" i="19"/>
  <c r="FO172" i="19"/>
  <c r="FJ172" i="19"/>
  <c r="EP172" i="19"/>
  <c r="EK172" i="19"/>
  <c r="EF172" i="19"/>
  <c r="FO300" i="19"/>
  <c r="FE300" i="19"/>
  <c r="EZ300" i="19"/>
  <c r="EK300" i="19"/>
  <c r="FE45" i="19"/>
  <c r="EZ45" i="19"/>
  <c r="EF45" i="19"/>
  <c r="FO84" i="19"/>
  <c r="FJ84" i="19"/>
  <c r="FE84" i="19"/>
  <c r="EZ84" i="19"/>
  <c r="EU84" i="19"/>
  <c r="EF84" i="19"/>
  <c r="FN267" i="19"/>
  <c r="FJ267" i="19"/>
  <c r="FD267" i="19"/>
  <c r="EP267" i="19"/>
  <c r="EZ195" i="19"/>
  <c r="FD195" i="19"/>
  <c r="ET195" i="19"/>
  <c r="FO85" i="19"/>
  <c r="FJ85" i="19"/>
  <c r="FE85" i="19"/>
  <c r="EZ85" i="19"/>
  <c r="EU85" i="19"/>
  <c r="FJ76" i="19"/>
  <c r="FE76" i="19"/>
  <c r="EU76" i="19"/>
  <c r="EK76" i="19"/>
  <c r="FO140" i="19"/>
  <c r="FJ140" i="19"/>
  <c r="FE140" i="19"/>
  <c r="EP140" i="19"/>
  <c r="EF140" i="19"/>
  <c r="FJ268" i="19"/>
  <c r="EP268" i="19"/>
  <c r="EF268" i="19"/>
  <c r="FO244" i="19"/>
  <c r="FJ244" i="19"/>
  <c r="FE244" i="19"/>
  <c r="EZ244" i="19"/>
  <c r="EU244" i="19"/>
  <c r="EF244" i="19"/>
  <c r="FO133" i="19"/>
  <c r="EU133" i="19"/>
  <c r="EK133" i="19"/>
  <c r="FO213" i="19"/>
  <c r="FJ213" i="19"/>
  <c r="FE213" i="19"/>
  <c r="EP213" i="19"/>
  <c r="FO292" i="19"/>
  <c r="FJ292" i="19"/>
  <c r="EU292" i="19"/>
  <c r="EK292" i="19"/>
  <c r="FE221" i="19"/>
  <c r="EU221" i="19"/>
  <c r="EZ196" i="19"/>
  <c r="EF196" i="19"/>
  <c r="FE124" i="19"/>
  <c r="FJ316" i="19"/>
  <c r="EZ61" i="19"/>
  <c r="FO173" i="19"/>
  <c r="FJ173" i="19"/>
  <c r="EP173" i="19"/>
  <c r="EK173" i="19"/>
  <c r="EF173" i="19"/>
  <c r="EZ180" i="19"/>
  <c r="EP180" i="19"/>
  <c r="FJ36" i="19"/>
  <c r="EP36" i="19"/>
  <c r="FN211" i="19"/>
  <c r="FJ211" i="19"/>
  <c r="FD211" i="19"/>
  <c r="EP211" i="19"/>
  <c r="FN179" i="19"/>
  <c r="FD179" i="19"/>
  <c r="EP179" i="19"/>
  <c r="EJ179" i="19"/>
  <c r="FO117" i="19"/>
  <c r="FE117" i="19"/>
  <c r="EZ117" i="19"/>
  <c r="EU117" i="19"/>
  <c r="EF117" i="19"/>
  <c r="FJ212" i="19"/>
  <c r="EP212" i="19"/>
  <c r="EF212" i="19"/>
  <c r="FO301" i="19"/>
  <c r="FE301" i="19"/>
  <c r="EZ301" i="19"/>
  <c r="EK301" i="19"/>
  <c r="FE29" i="19"/>
  <c r="EU29" i="19"/>
  <c r="FJ165" i="19"/>
  <c r="EU165" i="19"/>
  <c r="EK165" i="19"/>
  <c r="EF165" i="19"/>
  <c r="FE197" i="19"/>
  <c r="EZ197" i="19"/>
  <c r="EU197" i="19"/>
  <c r="FO141" i="19"/>
  <c r="FJ141" i="19"/>
  <c r="EP141" i="19"/>
  <c r="EK141" i="19"/>
  <c r="EF141" i="19"/>
  <c r="FO116" i="19"/>
  <c r="FE116" i="19"/>
  <c r="EZ116" i="19"/>
  <c r="EU116" i="19"/>
  <c r="EF116" i="19"/>
  <c r="FO132" i="19"/>
  <c r="FE132" i="19"/>
  <c r="EU132" i="19"/>
  <c r="EK132" i="19"/>
  <c r="FE28" i="19"/>
  <c r="EF28" i="19"/>
  <c r="FO245" i="19"/>
  <c r="FJ245" i="19"/>
  <c r="FE245" i="19"/>
  <c r="EZ245" i="19"/>
  <c r="EU245" i="19"/>
  <c r="EF245" i="19"/>
  <c r="FD43" i="19"/>
  <c r="EE43" i="19"/>
  <c r="FJ163" i="19"/>
  <c r="EU163" i="19"/>
  <c r="EK163" i="19"/>
  <c r="FD35" i="19"/>
  <c r="EP35" i="19"/>
  <c r="FJ68" i="19"/>
  <c r="EK68" i="19"/>
  <c r="EF68" i="19"/>
  <c r="EF285" i="19"/>
  <c r="FE37" i="19"/>
  <c r="EP37" i="19"/>
  <c r="FO181" i="19"/>
  <c r="FE181" i="19"/>
  <c r="EP181" i="19"/>
  <c r="EK181" i="19"/>
  <c r="FO53" i="19"/>
  <c r="FJ53" i="19"/>
  <c r="FE53" i="19"/>
  <c r="EZ53" i="19"/>
  <c r="EU53" i="19"/>
  <c r="FJ164" i="19"/>
  <c r="EU164" i="19"/>
  <c r="EK164" i="19"/>
  <c r="EF164" i="19"/>
  <c r="FO269" i="19"/>
  <c r="FJ269" i="19"/>
  <c r="FE269" i="19"/>
  <c r="EP269" i="19"/>
  <c r="EF269" i="19"/>
  <c r="EP125" i="19"/>
  <c r="EK125" i="19"/>
  <c r="EF125" i="19"/>
  <c r="FO77" i="19"/>
  <c r="FJ77" i="19"/>
  <c r="FE77" i="19"/>
  <c r="EU77" i="19"/>
  <c r="AE57" i="19"/>
  <c r="AD89" i="19"/>
  <c r="DZ107" i="19"/>
  <c r="AD107" i="19"/>
  <c r="DZ170" i="19"/>
  <c r="AE170" i="19"/>
  <c r="DL170" i="19" s="1"/>
  <c r="AE129" i="19"/>
  <c r="AD67" i="19"/>
  <c r="DK67" i="19" s="1"/>
  <c r="AE187" i="19"/>
  <c r="DL187" i="19" s="1"/>
  <c r="AD27" i="19"/>
  <c r="DK27" i="19" s="1"/>
  <c r="EA189" i="19"/>
  <c r="AE189" i="19"/>
  <c r="DL189" i="19" s="1"/>
  <c r="EA157" i="19"/>
  <c r="AE157" i="19"/>
  <c r="DL157" i="19" s="1"/>
  <c r="AE52" i="19"/>
  <c r="DL52" i="19" s="1"/>
  <c r="AE220" i="19"/>
  <c r="DL220" i="19" s="1"/>
  <c r="AE293" i="19"/>
  <c r="DL293" i="19" s="1"/>
  <c r="AE45" i="19"/>
  <c r="DL45" i="19" s="1"/>
  <c r="AE69" i="19"/>
  <c r="DL69" i="19" s="1"/>
  <c r="EA84" i="19"/>
  <c r="AE84" i="19"/>
  <c r="AE297" i="19"/>
  <c r="AE209" i="19"/>
  <c r="AE289" i="19"/>
  <c r="DY283" i="19"/>
  <c r="AE283" i="19"/>
  <c r="DL283" i="19" s="1"/>
  <c r="AD123" i="19"/>
  <c r="AD313" i="19"/>
  <c r="AE137" i="19"/>
  <c r="AE172" i="19"/>
  <c r="DL172" i="19" s="1"/>
  <c r="EA300" i="19"/>
  <c r="AE300" i="19"/>
  <c r="DL300" i="19" s="1"/>
  <c r="AD59" i="19"/>
  <c r="AE90" i="19"/>
  <c r="AE106" i="19"/>
  <c r="DL106" i="19" s="1"/>
  <c r="AE50" i="19"/>
  <c r="DL50" i="19" s="1"/>
  <c r="AE241" i="19"/>
  <c r="AE114" i="19"/>
  <c r="DL114" i="19" s="1"/>
  <c r="DZ267" i="19"/>
  <c r="AE267" i="19"/>
  <c r="DL267" i="19" s="1"/>
  <c r="DZ155" i="19"/>
  <c r="AD155" i="19"/>
  <c r="DK155" i="19" s="1"/>
  <c r="AD81" i="19"/>
  <c r="AE161" i="19"/>
  <c r="DZ195" i="19"/>
  <c r="AE195" i="19"/>
  <c r="DL195" i="19" s="1"/>
  <c r="DZ218" i="19"/>
  <c r="AE218" i="19"/>
  <c r="DL218" i="19" s="1"/>
  <c r="AD131" i="19"/>
  <c r="AD250" i="19"/>
  <c r="DK250" i="19" s="1"/>
  <c r="AD65" i="19"/>
  <c r="AE281" i="19"/>
  <c r="DY75" i="19"/>
  <c r="AE75" i="19"/>
  <c r="DL75" i="19" s="1"/>
  <c r="AE177" i="19"/>
  <c r="AE122" i="19"/>
  <c r="DL122" i="19" s="1"/>
  <c r="AB315" i="19"/>
  <c r="AD139" i="19"/>
  <c r="AE34" i="19"/>
  <c r="DL34" i="19" s="1"/>
  <c r="AD26" i="19"/>
  <c r="DK26" i="19" s="1"/>
  <c r="EA85" i="19"/>
  <c r="AE85" i="19"/>
  <c r="DL85" i="19" s="1"/>
  <c r="AE76" i="19"/>
  <c r="DL76" i="19" s="1"/>
  <c r="EA140" i="19"/>
  <c r="AE140" i="19"/>
  <c r="DL140" i="19" s="1"/>
  <c r="AE268" i="19"/>
  <c r="DL268" i="19" s="1"/>
  <c r="AE93" i="19"/>
  <c r="DL93" i="19" s="1"/>
  <c r="AE244" i="19"/>
  <c r="DL244" i="19" s="1"/>
  <c r="EA133" i="19"/>
  <c r="AE133" i="19"/>
  <c r="DL133" i="19" s="1"/>
  <c r="EA253" i="19"/>
  <c r="AE253" i="19"/>
  <c r="DL253" i="19" s="1"/>
  <c r="EA213" i="19"/>
  <c r="AE213" i="19"/>
  <c r="DL213" i="19" s="1"/>
  <c r="AE292" i="19"/>
  <c r="DL292" i="19" s="1"/>
  <c r="EA221" i="19"/>
  <c r="AE221" i="19"/>
  <c r="DL221" i="19" s="1"/>
  <c r="AE196" i="19"/>
  <c r="DL196" i="19" s="1"/>
  <c r="AE124" i="19"/>
  <c r="DL124" i="19" s="1"/>
  <c r="EA316" i="19"/>
  <c r="AE316" i="19"/>
  <c r="DL316" i="19" s="1"/>
  <c r="AE61" i="19"/>
  <c r="DL61" i="19" s="1"/>
  <c r="AE173" i="19"/>
  <c r="DL173" i="19" s="1"/>
  <c r="AE180" i="19"/>
  <c r="DL180" i="19" s="1"/>
  <c r="AE36" i="19"/>
  <c r="DL36" i="19" s="1"/>
  <c r="EA317" i="19"/>
  <c r="AE317" i="19"/>
  <c r="DL317" i="19" s="1"/>
  <c r="AE284" i="19"/>
  <c r="DL284" i="19" s="1"/>
  <c r="AD42" i="19"/>
  <c r="DK42" i="19" s="1"/>
  <c r="EA162" i="19"/>
  <c r="AE162" i="19"/>
  <c r="DL162" i="19" s="1"/>
  <c r="DZ194" i="19"/>
  <c r="AE194" i="19"/>
  <c r="DL194" i="19" s="1"/>
  <c r="AD41" i="19"/>
  <c r="AE49" i="19"/>
  <c r="AE298" i="19"/>
  <c r="DL298" i="19" s="1"/>
  <c r="AE242" i="19"/>
  <c r="DL242" i="19" s="1"/>
  <c r="AD115" i="19"/>
  <c r="AD153" i="19"/>
  <c r="AD82" i="19"/>
  <c r="DK82" i="19" s="1"/>
  <c r="AE169" i="19"/>
  <c r="DZ211" i="19"/>
  <c r="AE211" i="19"/>
  <c r="DL211" i="19" s="1"/>
  <c r="AE193" i="19"/>
  <c r="AE291" i="19"/>
  <c r="DL291" i="19" s="1"/>
  <c r="AE130" i="19"/>
  <c r="DL130" i="19" s="1"/>
  <c r="AD251" i="19"/>
  <c r="DK251" i="19" s="1"/>
  <c r="AE66" i="19"/>
  <c r="DY282" i="19"/>
  <c r="AE282" i="19"/>
  <c r="DL282" i="19" s="1"/>
  <c r="AE73" i="19"/>
  <c r="DZ179" i="19"/>
  <c r="AE179" i="19"/>
  <c r="DL179" i="19" s="1"/>
  <c r="AE121" i="19"/>
  <c r="EA138" i="19"/>
  <c r="AE138" i="19"/>
  <c r="DL138" i="19" s="1"/>
  <c r="AE185" i="19"/>
  <c r="AE33" i="19"/>
  <c r="AD25" i="19"/>
  <c r="AE117" i="19"/>
  <c r="DL117" i="19" s="1"/>
  <c r="AE212" i="19"/>
  <c r="DL212" i="19" s="1"/>
  <c r="AE44" i="19"/>
  <c r="EA301" i="19"/>
  <c r="AE301" i="19"/>
  <c r="DL301" i="19" s="1"/>
  <c r="AE156" i="19"/>
  <c r="AB29" i="19"/>
  <c r="DI29" i="19" s="1"/>
  <c r="EA165" i="19"/>
  <c r="AE165" i="19"/>
  <c r="DL165" i="19" s="1"/>
  <c r="EA197" i="19"/>
  <c r="AE197" i="19"/>
  <c r="DL197" i="19" s="1"/>
  <c r="EA141" i="19"/>
  <c r="AE141" i="19"/>
  <c r="DL141" i="19" s="1"/>
  <c r="EA116" i="19"/>
  <c r="AE116" i="19"/>
  <c r="DL116" i="19" s="1"/>
  <c r="AE132" i="19"/>
  <c r="DL132" i="19" s="1"/>
  <c r="AB28" i="19"/>
  <c r="EA28" i="19"/>
  <c r="AE245" i="19"/>
  <c r="DL245" i="19" s="1"/>
  <c r="AD51" i="19"/>
  <c r="AE113" i="19"/>
  <c r="DZ266" i="19"/>
  <c r="AE266" i="19"/>
  <c r="DL266" i="19" s="1"/>
  <c r="AD83" i="19"/>
  <c r="DK83" i="19" s="1"/>
  <c r="DZ219" i="19"/>
  <c r="AE219" i="19"/>
  <c r="DL219" i="19" s="1"/>
  <c r="AE58" i="19"/>
  <c r="DL58" i="19" s="1"/>
  <c r="AC91" i="19"/>
  <c r="AD43" i="19"/>
  <c r="DK43" i="19" s="1"/>
  <c r="AE105" i="19"/>
  <c r="AE299" i="19"/>
  <c r="DL299" i="19" s="1"/>
  <c r="AD9" i="19"/>
  <c r="AE243" i="19"/>
  <c r="DL243" i="19" s="1"/>
  <c r="AE265" i="19"/>
  <c r="DZ154" i="19"/>
  <c r="AD154" i="19"/>
  <c r="DK154" i="19" s="1"/>
  <c r="EA163" i="19"/>
  <c r="AE163" i="19"/>
  <c r="DL163" i="19" s="1"/>
  <c r="DZ171" i="19"/>
  <c r="AE171" i="19"/>
  <c r="DL171" i="19" s="1"/>
  <c r="DZ210" i="19"/>
  <c r="AE210" i="19"/>
  <c r="DL210" i="19" s="1"/>
  <c r="AE290" i="19"/>
  <c r="DL290" i="19" s="1"/>
  <c r="AE217" i="19"/>
  <c r="AD249" i="19"/>
  <c r="DY74" i="19"/>
  <c r="AE74" i="19"/>
  <c r="DL74" i="19" s="1"/>
  <c r="DZ178" i="19"/>
  <c r="AE178" i="19"/>
  <c r="DL178" i="19" s="1"/>
  <c r="AE314" i="19"/>
  <c r="AE186" i="19"/>
  <c r="DL186" i="19" s="1"/>
  <c r="AE35" i="19"/>
  <c r="DL35" i="19" s="1"/>
  <c r="AE68" i="19"/>
  <c r="DL68" i="19" s="1"/>
  <c r="EA285" i="19"/>
  <c r="AE285" i="19"/>
  <c r="DL285" i="19" s="1"/>
  <c r="AE37" i="19"/>
  <c r="DL37" i="19" s="1"/>
  <c r="EA181" i="19"/>
  <c r="AE181" i="19"/>
  <c r="DL181" i="19" s="1"/>
  <c r="AE53" i="19"/>
  <c r="DL53" i="19" s="1"/>
  <c r="EA252" i="19"/>
  <c r="AE252" i="19"/>
  <c r="EA164" i="19"/>
  <c r="AE164" i="19"/>
  <c r="DL164" i="19" s="1"/>
  <c r="EA269" i="19"/>
  <c r="AE269" i="19"/>
  <c r="DL269" i="19" s="1"/>
  <c r="AE125" i="19"/>
  <c r="DL125" i="19" s="1"/>
  <c r="AE92" i="19"/>
  <c r="DL92" i="19" s="1"/>
  <c r="EA188" i="19"/>
  <c r="AE188" i="19"/>
  <c r="DL188" i="19" s="1"/>
  <c r="AE60" i="19"/>
  <c r="DL60" i="19" s="1"/>
  <c r="EA77" i="19"/>
  <c r="AE77" i="19"/>
  <c r="DL77" i="19" s="1"/>
  <c r="B13" i="30"/>
  <c r="B9" i="30"/>
  <c r="L68" i="30" l="1"/>
  <c r="MJ19" i="35" s="1"/>
  <c r="J72" i="30"/>
  <c r="MH20" i="35" s="1"/>
  <c r="E148" i="30"/>
  <c r="MC39" i="35" s="1"/>
  <c r="H85" i="30"/>
  <c r="J161" i="30"/>
  <c r="I21" i="30"/>
  <c r="C17" i="30"/>
  <c r="J73" i="30"/>
  <c r="E24" i="30"/>
  <c r="MC8" i="35" s="1"/>
  <c r="H161" i="30"/>
  <c r="G17" i="30"/>
  <c r="D128" i="30"/>
  <c r="MB34" i="35" s="1"/>
  <c r="K89" i="30"/>
  <c r="I37" i="30"/>
  <c r="F144" i="30"/>
  <c r="MD38" i="35" s="1"/>
  <c r="H145" i="30"/>
  <c r="DE5" i="35"/>
  <c r="HI5" i="35" s="1"/>
  <c r="L69" i="30"/>
  <c r="H101" i="30"/>
  <c r="K33" i="30"/>
  <c r="E88" i="30"/>
  <c r="MC24" i="35" s="1"/>
  <c r="DZ5" i="35"/>
  <c r="IY5" i="35" s="1"/>
  <c r="J64" i="30"/>
  <c r="MH18" i="35" s="1"/>
  <c r="H113" i="30"/>
  <c r="G73" i="30"/>
  <c r="F92" i="30"/>
  <c r="MD25" i="35" s="1"/>
  <c r="I48" i="30"/>
  <c r="MG14" i="35" s="1"/>
  <c r="K88" i="30"/>
  <c r="MI24" i="35" s="1"/>
  <c r="CY38" i="35"/>
  <c r="GW38" i="35" s="1"/>
  <c r="H152" i="30"/>
  <c r="MF40" i="35" s="1"/>
  <c r="H76" i="30"/>
  <c r="MF21" i="35" s="1"/>
  <c r="G101" i="30"/>
  <c r="F76" i="30"/>
  <c r="MD21" i="35" s="1"/>
  <c r="D56" i="30"/>
  <c r="MB16" i="35" s="1"/>
  <c r="DL5" i="35"/>
  <c r="HW5" i="35" s="1"/>
  <c r="FB5" i="35"/>
  <c r="LC5" i="35" s="1"/>
  <c r="L117" i="30"/>
  <c r="K32" i="30"/>
  <c r="MI10" i="35" s="1"/>
  <c r="I36" i="30"/>
  <c r="MG11" i="35" s="1"/>
  <c r="H44" i="30"/>
  <c r="MF13" i="35" s="1"/>
  <c r="K72" i="30"/>
  <c r="MI20" i="35" s="1"/>
  <c r="FD4" i="30"/>
  <c r="FC5" i="35"/>
  <c r="LE5" i="35" s="1"/>
  <c r="G120" i="30"/>
  <c r="ME32" i="35" s="1"/>
  <c r="I65" i="30"/>
  <c r="G25" i="30"/>
  <c r="J136" i="30"/>
  <c r="MH36" i="35" s="1"/>
  <c r="EG5" i="35"/>
  <c r="JM5" i="35" s="1"/>
  <c r="H69" i="30"/>
  <c r="H100" i="30"/>
  <c r="MF27" i="35" s="1"/>
  <c r="F21" i="30"/>
  <c r="L17" i="30"/>
  <c r="CX5" i="35"/>
  <c r="GU5" i="35" s="1"/>
  <c r="F117" i="30"/>
  <c r="F132" i="30"/>
  <c r="MD35" i="35" s="1"/>
  <c r="G48" i="30"/>
  <c r="ME14" i="35" s="1"/>
  <c r="D45" i="30"/>
  <c r="D25" i="30"/>
  <c r="F145" i="30"/>
  <c r="L32" i="30"/>
  <c r="MJ10" i="35" s="1"/>
  <c r="I81" i="30"/>
  <c r="CY14" i="35"/>
  <c r="GW14" i="35" s="1"/>
  <c r="FB21" i="35"/>
  <c r="LC21" i="35" s="1"/>
  <c r="CY33" i="35"/>
  <c r="GW33" i="35" s="1"/>
  <c r="F109" i="30"/>
  <c r="F161" i="30"/>
  <c r="I80" i="30"/>
  <c r="MG22" i="35" s="1"/>
  <c r="I32" i="30"/>
  <c r="MG10" i="35" s="1"/>
  <c r="M100" i="30"/>
  <c r="MK27" i="35" s="1"/>
  <c r="M144" i="30"/>
  <c r="MK38" i="35" s="1"/>
  <c r="DZ21" i="35"/>
  <c r="IY21" i="35" s="1"/>
  <c r="EN21" i="35"/>
  <c r="KA21" i="35" s="1"/>
  <c r="E61" i="30"/>
  <c r="F28" i="30"/>
  <c r="MD9" i="35" s="1"/>
  <c r="H48" i="30"/>
  <c r="MF14" i="35" s="1"/>
  <c r="D80" i="30"/>
  <c r="MB22" i="35" s="1"/>
  <c r="FG4" i="30"/>
  <c r="K56" i="30"/>
  <c r="MI16" i="35" s="1"/>
  <c r="I96" i="30"/>
  <c r="MG26" i="35" s="1"/>
  <c r="I64" i="30"/>
  <c r="MG18" i="35" s="1"/>
  <c r="I16" i="30"/>
  <c r="MG6" i="35" s="1"/>
  <c r="G144" i="30"/>
  <c r="ME38" i="35" s="1"/>
  <c r="G108" i="30"/>
  <c r="ME29" i="35" s="1"/>
  <c r="DK4" i="30"/>
  <c r="M64" i="30"/>
  <c r="MK18" i="35" s="1"/>
  <c r="I128" i="30"/>
  <c r="MG34" i="35" s="1"/>
  <c r="L152" i="30"/>
  <c r="MJ40" i="35" s="1"/>
  <c r="DS32" i="35"/>
  <c r="IK32" i="35" s="1"/>
  <c r="J113" i="30"/>
  <c r="DL21" i="35"/>
  <c r="HW21" i="35" s="1"/>
  <c r="H156" i="30"/>
  <c r="MF41" i="35" s="1"/>
  <c r="H104" i="30"/>
  <c r="MF28" i="35" s="1"/>
  <c r="L13" i="30"/>
  <c r="M12" i="30"/>
  <c r="MK5" i="35" s="1"/>
  <c r="FJ17" i="19"/>
  <c r="G15" i="19"/>
  <c r="G16" i="19" s="1"/>
  <c r="FG5" i="35"/>
  <c r="LM5" i="35" s="1"/>
  <c r="F13" i="30"/>
  <c r="EE4" i="30"/>
  <c r="ES4" i="35"/>
  <c r="KK4" i="35" s="1"/>
  <c r="D133" i="30"/>
  <c r="I13" i="30"/>
  <c r="ET4" i="30"/>
  <c r="J15" i="19"/>
  <c r="MT5" i="35" s="1"/>
  <c r="NO5" i="35" s="1"/>
  <c r="EL4" i="35"/>
  <c r="JW4" i="35" s="1"/>
  <c r="D129" i="30"/>
  <c r="FN4" i="30"/>
  <c r="L116" i="30"/>
  <c r="MJ31" i="35" s="1"/>
  <c r="G116" i="30"/>
  <c r="ME31" i="35" s="1"/>
  <c r="FI4" i="30"/>
  <c r="M112" i="30"/>
  <c r="MK30" i="35" s="1"/>
  <c r="G112" i="30"/>
  <c r="ME30" i="35" s="1"/>
  <c r="EO4" i="30"/>
  <c r="EY4" i="30"/>
  <c r="EW4" i="30"/>
  <c r="EN4" i="35"/>
  <c r="KA4" i="35" s="1"/>
  <c r="DL43" i="35"/>
  <c r="HW43" i="35" s="1"/>
  <c r="FI43" i="35"/>
  <c r="LQ43" i="35" s="1"/>
  <c r="EH5" i="35"/>
  <c r="JO5" i="35" s="1"/>
  <c r="DM5" i="35"/>
  <c r="HY5" i="35" s="1"/>
  <c r="CY5" i="35"/>
  <c r="GW5" i="35" s="1"/>
  <c r="FB32" i="35"/>
  <c r="LC32" i="35" s="1"/>
  <c r="EG21" i="35"/>
  <c r="JM21" i="35" s="1"/>
  <c r="EU43" i="35"/>
  <c r="KO43" i="35" s="1"/>
  <c r="DS43" i="35"/>
  <c r="IK43" i="35" s="1"/>
  <c r="DZ43" i="35"/>
  <c r="IY43" i="35" s="1"/>
  <c r="FB43" i="35"/>
  <c r="LC43" i="35" s="1"/>
  <c r="FI32" i="35"/>
  <c r="LQ32" i="35" s="1"/>
  <c r="D295" i="19"/>
  <c r="D296" i="19" s="1"/>
  <c r="DU241" i="19"/>
  <c r="CX33" i="35"/>
  <c r="GU33" i="35" s="1"/>
  <c r="FN17" i="19"/>
  <c r="FI5" i="35"/>
  <c r="LQ5" i="35" s="1"/>
  <c r="DX4" i="30"/>
  <c r="B5" i="30"/>
  <c r="D84" i="30"/>
  <c r="MB23" i="35" s="1"/>
  <c r="C5" i="30"/>
  <c r="ER17" i="19"/>
  <c r="I15" i="19" s="1"/>
  <c r="EE5" i="35"/>
  <c r="JI5" i="35" s="1"/>
  <c r="DS17" i="19"/>
  <c r="CV5" i="35"/>
  <c r="GQ5" i="35" s="1"/>
  <c r="FG17" i="19"/>
  <c r="EZ5" i="35"/>
  <c r="KY5" i="35" s="1"/>
  <c r="EC17" i="19"/>
  <c r="F15" i="19" s="1"/>
  <c r="DJ5" i="35"/>
  <c r="HS5" i="35" s="1"/>
  <c r="MM4" i="35"/>
  <c r="NA4" i="35" s="1"/>
  <c r="D100" i="30"/>
  <c r="MB27" i="35" s="1"/>
  <c r="D132" i="30"/>
  <c r="MB35" i="35" s="1"/>
  <c r="D145" i="30"/>
  <c r="D36" i="30"/>
  <c r="MB11" i="35" s="1"/>
  <c r="NA19" i="35"/>
  <c r="AJ10" i="44" s="1"/>
  <c r="BB47" i="50"/>
  <c r="BB19" i="50"/>
  <c r="BB36" i="50"/>
  <c r="BB37" i="50"/>
  <c r="BB38" i="50"/>
  <c r="BB35" i="50"/>
  <c r="BB47" i="47"/>
  <c r="BB19" i="47"/>
  <c r="BB36" i="47"/>
  <c r="BB37" i="47"/>
  <c r="BB38" i="47"/>
  <c r="BB35" i="47"/>
  <c r="AB47" i="48"/>
  <c r="AB19" i="48"/>
  <c r="AB36" i="48"/>
  <c r="AB37" i="48"/>
  <c r="AB38" i="48"/>
  <c r="AB35" i="48"/>
  <c r="BT47" i="51"/>
  <c r="BT19" i="51"/>
  <c r="BT36" i="51"/>
  <c r="BT37" i="51"/>
  <c r="BT38" i="51"/>
  <c r="BT35" i="51"/>
  <c r="P47" i="45"/>
  <c r="P19" i="45"/>
  <c r="P37" i="45"/>
  <c r="P36" i="45"/>
  <c r="P38" i="45"/>
  <c r="P35" i="45"/>
  <c r="BP47" i="50"/>
  <c r="BP19" i="50"/>
  <c r="BP37" i="50"/>
  <c r="BP36" i="50"/>
  <c r="BP38" i="50"/>
  <c r="BP35" i="50"/>
  <c r="CB47" i="50"/>
  <c r="CB19" i="50"/>
  <c r="CB37" i="50"/>
  <c r="CB36" i="50"/>
  <c r="CB35" i="50"/>
  <c r="CB38" i="50"/>
  <c r="AB47" i="46"/>
  <c r="AB19" i="46"/>
  <c r="AB37" i="46"/>
  <c r="AB36" i="46"/>
  <c r="AB38" i="46"/>
  <c r="AB35" i="46"/>
  <c r="BT47" i="54"/>
  <c r="BT19" i="54"/>
  <c r="BT36" i="54"/>
  <c r="BT38" i="54"/>
  <c r="BT37" i="54"/>
  <c r="BT35" i="54"/>
  <c r="BB47" i="48"/>
  <c r="BB19" i="48"/>
  <c r="BB36" i="48"/>
  <c r="BB37" i="48"/>
  <c r="BB38" i="48"/>
  <c r="BB35" i="48"/>
  <c r="BH47" i="54"/>
  <c r="BH19" i="54"/>
  <c r="BH37" i="54"/>
  <c r="BH36" i="54"/>
  <c r="BH38" i="54"/>
  <c r="BH35" i="54"/>
  <c r="CB47" i="45"/>
  <c r="CB19" i="45"/>
  <c r="CB36" i="45"/>
  <c r="CB37" i="45"/>
  <c r="CB38" i="45"/>
  <c r="CB35" i="45"/>
  <c r="BB47" i="51"/>
  <c r="BB19" i="51"/>
  <c r="BB36" i="51"/>
  <c r="BB37" i="51"/>
  <c r="BB38" i="51"/>
  <c r="BB35" i="51"/>
  <c r="AB47" i="52"/>
  <c r="AB19" i="52"/>
  <c r="AB37" i="52"/>
  <c r="AB36" i="52"/>
  <c r="AB38" i="52"/>
  <c r="AB35" i="52"/>
  <c r="BT47" i="49"/>
  <c r="BT19" i="49"/>
  <c r="BT36" i="49"/>
  <c r="BT37" i="49"/>
  <c r="BT38" i="49"/>
  <c r="BT35" i="49"/>
  <c r="BP47" i="53"/>
  <c r="BP19" i="53"/>
  <c r="BP37" i="53"/>
  <c r="BP38" i="53"/>
  <c r="BP36" i="53"/>
  <c r="BP35" i="53"/>
  <c r="BH47" i="50"/>
  <c r="BH19" i="50"/>
  <c r="BH36" i="50"/>
  <c r="BH37" i="50"/>
  <c r="BH35" i="50"/>
  <c r="BH38" i="50"/>
  <c r="CB47" i="47"/>
  <c r="CB19" i="47"/>
  <c r="CB36" i="47"/>
  <c r="CB37" i="47"/>
  <c r="CB38" i="47"/>
  <c r="CB35" i="47"/>
  <c r="BT47" i="48"/>
  <c r="BT19" i="48"/>
  <c r="BT36" i="48"/>
  <c r="BT37" i="48"/>
  <c r="BT35" i="48"/>
  <c r="BT38" i="48"/>
  <c r="CB47" i="48"/>
  <c r="CB19" i="48"/>
  <c r="CB36" i="48"/>
  <c r="CB37" i="48"/>
  <c r="CB35" i="48"/>
  <c r="CB38" i="48"/>
  <c r="BB47" i="54"/>
  <c r="BB19" i="54"/>
  <c r="BB36" i="54"/>
  <c r="BB37" i="54"/>
  <c r="BB38" i="54"/>
  <c r="BB35" i="54"/>
  <c r="CB47" i="54"/>
  <c r="CB19" i="54"/>
  <c r="CB38" i="54"/>
  <c r="CB37" i="54"/>
  <c r="CB36" i="54"/>
  <c r="CB35" i="54"/>
  <c r="BP47" i="46"/>
  <c r="BP19" i="46"/>
  <c r="BP37" i="46"/>
  <c r="BP36" i="46"/>
  <c r="BP38" i="46"/>
  <c r="BP35" i="46"/>
  <c r="BB47" i="46"/>
  <c r="BB19" i="46"/>
  <c r="BB36" i="46"/>
  <c r="BB37" i="46"/>
  <c r="BB35" i="46"/>
  <c r="BB38" i="46"/>
  <c r="CB47" i="46"/>
  <c r="CB19" i="46"/>
  <c r="CB36" i="46"/>
  <c r="CB37" i="46"/>
  <c r="CB38" i="46"/>
  <c r="CB35" i="46"/>
  <c r="AV47" i="45"/>
  <c r="AV19" i="45"/>
  <c r="AV37" i="45"/>
  <c r="AV36" i="45"/>
  <c r="AV38" i="45"/>
  <c r="AV35" i="45"/>
  <c r="BT47" i="45"/>
  <c r="BT19" i="45"/>
  <c r="BT36" i="45"/>
  <c r="BT37" i="45"/>
  <c r="BT38" i="45"/>
  <c r="BT35" i="45"/>
  <c r="BR47" i="45"/>
  <c r="BR19" i="45"/>
  <c r="BR37" i="45"/>
  <c r="BR36" i="45"/>
  <c r="BR38" i="45"/>
  <c r="BR35" i="45"/>
  <c r="Z19" i="44"/>
  <c r="Z36" i="44"/>
  <c r="Z37" i="44"/>
  <c r="Z38" i="44"/>
  <c r="Z35" i="44"/>
  <c r="AL19" i="44"/>
  <c r="AL37" i="44"/>
  <c r="AL36" i="44"/>
  <c r="AL38" i="44"/>
  <c r="AL35" i="44"/>
  <c r="BB19" i="44"/>
  <c r="BB36" i="44"/>
  <c r="BB37" i="44"/>
  <c r="BB38" i="44"/>
  <c r="BB35" i="44"/>
  <c r="BH19" i="44"/>
  <c r="BH37" i="44"/>
  <c r="BH36" i="44"/>
  <c r="BH38" i="44"/>
  <c r="BH35" i="44"/>
  <c r="BJ47" i="50"/>
  <c r="BJ19" i="50"/>
  <c r="BJ36" i="50"/>
  <c r="BJ37" i="50"/>
  <c r="BJ38" i="50"/>
  <c r="BJ35" i="50"/>
  <c r="BJ47" i="47"/>
  <c r="BJ19" i="47"/>
  <c r="BJ37" i="47"/>
  <c r="BJ36" i="47"/>
  <c r="BJ38" i="47"/>
  <c r="BJ35" i="47"/>
  <c r="R19" i="44"/>
  <c r="R36" i="44"/>
  <c r="R37" i="44"/>
  <c r="R38" i="44"/>
  <c r="R35" i="44"/>
  <c r="BZ47" i="45"/>
  <c r="BZ19" i="45"/>
  <c r="BZ36" i="45"/>
  <c r="BZ37" i="45"/>
  <c r="BZ38" i="45"/>
  <c r="BZ35" i="45"/>
  <c r="BJ47" i="49"/>
  <c r="BJ19" i="49"/>
  <c r="BJ38" i="49"/>
  <c r="BJ36" i="49"/>
  <c r="BJ37" i="49"/>
  <c r="BJ35" i="49"/>
  <c r="CF47" i="50"/>
  <c r="CF19" i="50"/>
  <c r="CF37" i="50"/>
  <c r="CF36" i="50"/>
  <c r="CF38" i="50"/>
  <c r="CF35" i="50"/>
  <c r="CF47" i="46"/>
  <c r="CF19" i="46"/>
  <c r="CF36" i="46"/>
  <c r="CF37" i="46"/>
  <c r="CF38" i="46"/>
  <c r="CF35" i="46"/>
  <c r="AD19" i="44"/>
  <c r="AD36" i="44"/>
  <c r="AD37" i="44"/>
  <c r="AD38" i="44"/>
  <c r="AD35" i="44"/>
  <c r="V47" i="45"/>
  <c r="V19" i="45"/>
  <c r="V36" i="45"/>
  <c r="V37" i="45"/>
  <c r="V38" i="45"/>
  <c r="V35" i="45"/>
  <c r="AF47" i="45"/>
  <c r="AF19" i="45"/>
  <c r="AF36" i="45"/>
  <c r="AF37" i="45"/>
  <c r="AF38" i="45"/>
  <c r="AF35" i="45"/>
  <c r="AN19" i="44"/>
  <c r="AN36" i="44"/>
  <c r="AN37" i="44"/>
  <c r="AN35" i="44"/>
  <c r="AN38" i="44"/>
  <c r="BL19" i="44"/>
  <c r="BL36" i="44"/>
  <c r="BL37" i="44"/>
  <c r="BL38" i="44"/>
  <c r="BL35" i="44"/>
  <c r="BZ19" i="44"/>
  <c r="BZ36" i="44"/>
  <c r="BZ37" i="44"/>
  <c r="BZ35" i="44"/>
  <c r="BZ38" i="44"/>
  <c r="AN47" i="45"/>
  <c r="AN19" i="45"/>
  <c r="AN36" i="45"/>
  <c r="AN37" i="45"/>
  <c r="AN38" i="45"/>
  <c r="AN35" i="45"/>
  <c r="AJ19" i="44"/>
  <c r="AJ36" i="44"/>
  <c r="AJ37" i="44"/>
  <c r="AJ35" i="44"/>
  <c r="AJ38" i="44"/>
  <c r="AV19" i="44"/>
  <c r="AV36" i="44"/>
  <c r="AV37" i="44"/>
  <c r="AV38" i="44"/>
  <c r="AV35" i="44"/>
  <c r="L19" i="44"/>
  <c r="L37" i="44"/>
  <c r="L36" i="44"/>
  <c r="L38" i="44"/>
  <c r="L35" i="44"/>
  <c r="P19" i="44"/>
  <c r="P36" i="44"/>
  <c r="P37" i="44"/>
  <c r="P38" i="44"/>
  <c r="P35" i="44"/>
  <c r="AN47" i="46"/>
  <c r="AN19" i="46"/>
  <c r="AN36" i="46"/>
  <c r="AN37" i="46"/>
  <c r="AN38" i="46"/>
  <c r="AN35" i="46"/>
  <c r="BJ47" i="46"/>
  <c r="BJ19" i="46"/>
  <c r="BJ37" i="46"/>
  <c r="BJ36" i="46"/>
  <c r="BJ38" i="46"/>
  <c r="BJ35" i="46"/>
  <c r="V41" i="45"/>
  <c r="V40" i="45"/>
  <c r="V10" i="45"/>
  <c r="V7" i="45"/>
  <c r="V9" i="45"/>
  <c r="V8" i="45"/>
  <c r="AJ40" i="44"/>
  <c r="AH19" i="44"/>
  <c r="AH37" i="44"/>
  <c r="AH36" i="44"/>
  <c r="AH38" i="44"/>
  <c r="AH35" i="44"/>
  <c r="BX47" i="45"/>
  <c r="BX19" i="45"/>
  <c r="BX36" i="45"/>
  <c r="BX37" i="45"/>
  <c r="BX38" i="45"/>
  <c r="BX35" i="45"/>
  <c r="BR19" i="44"/>
  <c r="BR37" i="44"/>
  <c r="BR36" i="44"/>
  <c r="BR38" i="44"/>
  <c r="BR35" i="44"/>
  <c r="BJ47" i="51"/>
  <c r="BJ19" i="51"/>
  <c r="BJ37" i="51"/>
  <c r="BJ36" i="51"/>
  <c r="BJ38" i="51"/>
  <c r="BJ35" i="51"/>
  <c r="X19" i="44"/>
  <c r="X36" i="44"/>
  <c r="X37" i="44"/>
  <c r="X35" i="44"/>
  <c r="X38" i="44"/>
  <c r="T19" i="44"/>
  <c r="T36" i="44"/>
  <c r="T37" i="44"/>
  <c r="T38" i="44"/>
  <c r="T35" i="44"/>
  <c r="AF40" i="45"/>
  <c r="AF10" i="45"/>
  <c r="AF9" i="45"/>
  <c r="AF41" i="45"/>
  <c r="AF7" i="45"/>
  <c r="AF8" i="45"/>
  <c r="BJ47" i="52"/>
  <c r="BJ19" i="52"/>
  <c r="BJ36" i="52"/>
  <c r="BJ38" i="52"/>
  <c r="BJ37" i="52"/>
  <c r="BJ35" i="52"/>
  <c r="CF47" i="51"/>
  <c r="CF19" i="51"/>
  <c r="CF36" i="51"/>
  <c r="CF37" i="51"/>
  <c r="CF38" i="51"/>
  <c r="CF35" i="51"/>
  <c r="AN47" i="52"/>
  <c r="AN19" i="52"/>
  <c r="AN36" i="52"/>
  <c r="AN37" i="52"/>
  <c r="AN38" i="52"/>
  <c r="AN35" i="52"/>
  <c r="AN47" i="48"/>
  <c r="AN19" i="48"/>
  <c r="AN37" i="48"/>
  <c r="AN38" i="48"/>
  <c r="AN36" i="48"/>
  <c r="AN35" i="48"/>
  <c r="AN47" i="54"/>
  <c r="AN19" i="54"/>
  <c r="AN36" i="54"/>
  <c r="AN37" i="54"/>
  <c r="AN38" i="54"/>
  <c r="AN35" i="54"/>
  <c r="T9" i="44"/>
  <c r="T41" i="44"/>
  <c r="T40" i="44"/>
  <c r="T10" i="44"/>
  <c r="T8" i="44"/>
  <c r="AF19" i="44"/>
  <c r="AF36" i="44"/>
  <c r="AF37" i="44"/>
  <c r="AF38" i="44"/>
  <c r="AF35" i="44"/>
  <c r="AT19" i="44"/>
  <c r="AT37" i="44"/>
  <c r="AT36" i="44"/>
  <c r="AT38" i="44"/>
  <c r="AT35" i="44"/>
  <c r="BD19" i="44"/>
  <c r="BD36" i="44"/>
  <c r="BD37" i="44"/>
  <c r="BD38" i="44"/>
  <c r="BD35" i="44"/>
  <c r="H19" i="44"/>
  <c r="H37" i="44"/>
  <c r="H36" i="44"/>
  <c r="H35" i="44"/>
  <c r="H38" i="44"/>
  <c r="H47" i="48"/>
  <c r="H19" i="48"/>
  <c r="H36" i="48"/>
  <c r="H38" i="48"/>
  <c r="H37" i="48"/>
  <c r="H35" i="48"/>
  <c r="H35" i="52"/>
  <c r="H38" i="52"/>
  <c r="H37" i="52"/>
  <c r="H19" i="52"/>
  <c r="H47" i="51"/>
  <c r="H19" i="51"/>
  <c r="H37" i="51"/>
  <c r="H38" i="51"/>
  <c r="H35" i="51"/>
  <c r="H36" i="51"/>
  <c r="H36" i="52"/>
  <c r="J43" i="44"/>
  <c r="F19" i="45"/>
  <c r="F47" i="45"/>
  <c r="F36" i="45"/>
  <c r="AD43" i="44"/>
  <c r="BZ43" i="44"/>
  <c r="H43" i="49"/>
  <c r="J43" i="49"/>
  <c r="J43" i="53"/>
  <c r="L43" i="50"/>
  <c r="N43" i="52"/>
  <c r="P43" i="52"/>
  <c r="R43" i="50"/>
  <c r="T43" i="50"/>
  <c r="T43" i="54"/>
  <c r="V43" i="53"/>
  <c r="AF43" i="52"/>
  <c r="AH43" i="50"/>
  <c r="AL43" i="49"/>
  <c r="AN43" i="50"/>
  <c r="AP43" i="51"/>
  <c r="AR43" i="49"/>
  <c r="AV43" i="51"/>
  <c r="AX43" i="51"/>
  <c r="AZ43" i="49"/>
  <c r="BB43" i="50"/>
  <c r="BD43" i="49"/>
  <c r="BF43" i="49"/>
  <c r="BH43" i="50"/>
  <c r="BJ43" i="51"/>
  <c r="BP43" i="51"/>
  <c r="BR43" i="54"/>
  <c r="BZ43" i="49"/>
  <c r="CB43" i="50"/>
  <c r="AL43" i="44"/>
  <c r="H43" i="45"/>
  <c r="AB43" i="45"/>
  <c r="AZ43" i="45"/>
  <c r="BP43" i="45"/>
  <c r="N43" i="46"/>
  <c r="AL43" i="46"/>
  <c r="BF43" i="46"/>
  <c r="CD43" i="46"/>
  <c r="X43" i="47"/>
  <c r="AZ43" i="47"/>
  <c r="BP43" i="47"/>
  <c r="N43" i="48"/>
  <c r="AL43" i="48"/>
  <c r="BJ43" i="48"/>
  <c r="BZ43" i="48"/>
  <c r="N43" i="49"/>
  <c r="AB43" i="50"/>
  <c r="AF43" i="49"/>
  <c r="AH43" i="54"/>
  <c r="AR43" i="53"/>
  <c r="BH43" i="49"/>
  <c r="BR43" i="49"/>
  <c r="BZ43" i="51"/>
  <c r="L43" i="44"/>
  <c r="AB43" i="44"/>
  <c r="AR43" i="44"/>
  <c r="BH43" i="44"/>
  <c r="BX43" i="44"/>
  <c r="V43" i="44"/>
  <c r="BR43" i="44"/>
  <c r="AF43" i="45"/>
  <c r="AV43" i="45"/>
  <c r="BT43" i="45"/>
  <c r="R43" i="46"/>
  <c r="AP43" i="46"/>
  <c r="H43" i="47"/>
  <c r="AB43" i="47"/>
  <c r="BT43" i="47"/>
  <c r="R43" i="48"/>
  <c r="AH43" i="48"/>
  <c r="BF43" i="48"/>
  <c r="CD43" i="48"/>
  <c r="N43" i="54"/>
  <c r="Z43" i="50"/>
  <c r="AJ43" i="50"/>
  <c r="AR43" i="51"/>
  <c r="AZ43" i="53"/>
  <c r="BF43" i="53"/>
  <c r="BJ43" i="53"/>
  <c r="BR43" i="51"/>
  <c r="BT43" i="54"/>
  <c r="CB43" i="52"/>
  <c r="CF43" i="50"/>
  <c r="F43" i="48"/>
  <c r="F43" i="44"/>
  <c r="X43" i="45"/>
  <c r="AH43" i="46"/>
  <c r="T43" i="47"/>
  <c r="BX43" i="47"/>
  <c r="BB43" i="48"/>
  <c r="R43" i="49"/>
  <c r="Z43" i="52"/>
  <c r="AT43" i="49"/>
  <c r="BJ43" i="50"/>
  <c r="BX43" i="50"/>
  <c r="CD43" i="52"/>
  <c r="BD43" i="44"/>
  <c r="AH43" i="45"/>
  <c r="BF43" i="45"/>
  <c r="L43" i="46"/>
  <c r="AJ43" i="46"/>
  <c r="AZ43" i="46"/>
  <c r="BP43" i="46"/>
  <c r="CF43" i="46"/>
  <c r="AD43" i="47"/>
  <c r="AT43" i="47"/>
  <c r="BJ43" i="47"/>
  <c r="H43" i="48"/>
  <c r="AF43" i="48"/>
  <c r="BD43" i="48"/>
  <c r="CB43" i="48"/>
  <c r="H43" i="50"/>
  <c r="N43" i="53"/>
  <c r="Z43" i="53"/>
  <c r="AF43" i="50"/>
  <c r="AN43" i="51"/>
  <c r="AT43" i="50"/>
  <c r="AZ43" i="52"/>
  <c r="BJ43" i="54"/>
  <c r="BP43" i="54"/>
  <c r="BR43" i="52"/>
  <c r="BX43" i="51"/>
  <c r="CF43" i="51"/>
  <c r="BF43" i="44"/>
  <c r="AD43" i="46"/>
  <c r="BL43" i="47"/>
  <c r="F43" i="46"/>
  <c r="F43" i="54"/>
  <c r="N43" i="51"/>
  <c r="P43" i="51"/>
  <c r="R43" i="51"/>
  <c r="T43" i="53"/>
  <c r="V43" i="54"/>
  <c r="AH43" i="51"/>
  <c r="AJ43" i="49"/>
  <c r="AT43" i="51"/>
  <c r="BB43" i="54"/>
  <c r="BL43" i="51"/>
  <c r="BT43" i="51"/>
  <c r="BZ43" i="50"/>
  <c r="AP43" i="44"/>
  <c r="L43" i="45"/>
  <c r="AR43" i="45"/>
  <c r="BX43" i="45"/>
  <c r="V43" i="46"/>
  <c r="BB43" i="46"/>
  <c r="BZ43" i="46"/>
  <c r="BD43" i="47"/>
  <c r="J43" i="48"/>
  <c r="AP43" i="48"/>
  <c r="BN43" i="48"/>
  <c r="L43" i="49"/>
  <c r="R43" i="54"/>
  <c r="X43" i="52"/>
  <c r="AB43" i="54"/>
  <c r="AN43" i="52"/>
  <c r="AZ43" i="51"/>
  <c r="BF43" i="51"/>
  <c r="BL43" i="54"/>
  <c r="BV43" i="50"/>
  <c r="CB43" i="54"/>
  <c r="CF43" i="52"/>
  <c r="AX43" i="44"/>
  <c r="P43" i="44"/>
  <c r="AF43" i="44"/>
  <c r="AV43" i="44"/>
  <c r="BL43" i="44"/>
  <c r="CB43" i="44"/>
  <c r="AD43" i="45"/>
  <c r="BJ43" i="45"/>
  <c r="H43" i="46"/>
  <c r="P43" i="46"/>
  <c r="X43" i="46"/>
  <c r="AF43" i="46"/>
  <c r="AN43" i="46"/>
  <c r="AV43" i="46"/>
  <c r="BD43" i="46"/>
  <c r="BL43" i="46"/>
  <c r="BT43" i="46"/>
  <c r="CB43" i="46"/>
  <c r="J43" i="47"/>
  <c r="R43" i="47"/>
  <c r="Z43" i="47"/>
  <c r="AH43" i="47"/>
  <c r="AP43" i="47"/>
  <c r="AX43" i="47"/>
  <c r="BF43" i="47"/>
  <c r="BN43" i="47"/>
  <c r="BV43" i="47"/>
  <c r="CD43" i="47"/>
  <c r="L43" i="48"/>
  <c r="AB43" i="48"/>
  <c r="AR43" i="48"/>
  <c r="AZ43" i="48"/>
  <c r="BH43" i="48"/>
  <c r="BP43" i="48"/>
  <c r="BX43" i="48"/>
  <c r="H43" i="51"/>
  <c r="L43" i="51"/>
  <c r="N43" i="50"/>
  <c r="V43" i="51"/>
  <c r="X43" i="51"/>
  <c r="Z43" i="51"/>
  <c r="AB43" i="49"/>
  <c r="AB43" i="53"/>
  <c r="AD43" i="54"/>
  <c r="AJ43" i="51"/>
  <c r="AL43" i="52"/>
  <c r="AP43" i="49"/>
  <c r="AR43" i="50"/>
  <c r="AR43" i="54"/>
  <c r="AT43" i="53"/>
  <c r="AX43" i="49"/>
  <c r="AZ43" i="50"/>
  <c r="BB43" i="51"/>
  <c r="BF43" i="50"/>
  <c r="BJ43" i="49"/>
  <c r="BL43" i="50"/>
  <c r="BN43" i="51"/>
  <c r="BP43" i="49"/>
  <c r="BR43" i="50"/>
  <c r="BT43" i="50"/>
  <c r="BV43" i="51"/>
  <c r="BX43" i="49"/>
  <c r="BX43" i="53"/>
  <c r="CB43" i="51"/>
  <c r="CD43" i="51"/>
  <c r="CF43" i="49"/>
  <c r="CF43" i="53"/>
  <c r="AH43" i="44"/>
  <c r="CD43" i="44"/>
  <c r="BJ43" i="46"/>
  <c r="AV43" i="47"/>
  <c r="F43" i="50"/>
  <c r="J43" i="51"/>
  <c r="P43" i="49"/>
  <c r="P43" i="53"/>
  <c r="R43" i="53"/>
  <c r="T43" i="51"/>
  <c r="V43" i="49"/>
  <c r="Z43" i="49"/>
  <c r="AD43" i="52"/>
  <c r="AF43" i="53"/>
  <c r="AH43" i="53"/>
  <c r="AJ43" i="54"/>
  <c r="AL43" i="53"/>
  <c r="AN43" i="54"/>
  <c r="AP43" i="52"/>
  <c r="AV43" i="52"/>
  <c r="AX43" i="50"/>
  <c r="BB43" i="49"/>
  <c r="BD43" i="50"/>
  <c r="BH43" i="51"/>
  <c r="BJ43" i="52"/>
  <c r="BN43" i="49"/>
  <c r="BP43" i="50"/>
  <c r="BR43" i="53"/>
  <c r="BV43" i="49"/>
  <c r="BX43" i="54"/>
  <c r="BZ43" i="53"/>
  <c r="CD43" i="49"/>
  <c r="CF43" i="54"/>
  <c r="BN43" i="44"/>
  <c r="J43" i="46"/>
  <c r="BN43" i="46"/>
  <c r="AR43" i="47"/>
  <c r="V43" i="48"/>
  <c r="H43" i="52"/>
  <c r="V43" i="52"/>
  <c r="AD43" i="53"/>
  <c r="BB43" i="52"/>
  <c r="BN43" i="52"/>
  <c r="F43" i="51"/>
  <c r="Z43" i="44"/>
  <c r="BV43" i="44"/>
  <c r="BT43" i="44"/>
  <c r="R43" i="45"/>
  <c r="AP43" i="45"/>
  <c r="BN43" i="45"/>
  <c r="CD43" i="45"/>
  <c r="AB43" i="46"/>
  <c r="AR43" i="46"/>
  <c r="BX43" i="46"/>
  <c r="V43" i="47"/>
  <c r="BB43" i="47"/>
  <c r="BZ43" i="47"/>
  <c r="P43" i="48"/>
  <c r="AN43" i="48"/>
  <c r="BL43" i="48"/>
  <c r="H43" i="54"/>
  <c r="X43" i="49"/>
  <c r="AB43" i="51"/>
  <c r="AJ43" i="53"/>
  <c r="AR43" i="52"/>
  <c r="AX43" i="54"/>
  <c r="BF43" i="52"/>
  <c r="BN43" i="53"/>
  <c r="BT43" i="53"/>
  <c r="BZ43" i="52"/>
  <c r="CD43" i="53"/>
  <c r="Z43" i="54"/>
  <c r="AL43" i="50"/>
  <c r="AP43" i="50"/>
  <c r="AX43" i="52"/>
  <c r="BH43" i="53"/>
  <c r="BN43" i="54"/>
  <c r="BV43" i="54"/>
  <c r="CD43" i="54"/>
  <c r="BB43" i="44"/>
  <c r="AF43" i="47"/>
  <c r="H43" i="53"/>
  <c r="J43" i="50"/>
  <c r="J43" i="54"/>
  <c r="L43" i="53"/>
  <c r="P43" i="50"/>
  <c r="P43" i="54"/>
  <c r="R43" i="52"/>
  <c r="T43" i="52"/>
  <c r="V43" i="50"/>
  <c r="AD43" i="51"/>
  <c r="AF43" i="54"/>
  <c r="AH43" i="52"/>
  <c r="AL43" i="54"/>
  <c r="AN43" i="53"/>
  <c r="AP43" i="53"/>
  <c r="AT43" i="52"/>
  <c r="AV43" i="53"/>
  <c r="AX43" i="53"/>
  <c r="AZ43" i="54"/>
  <c r="BB43" i="53"/>
  <c r="BD43" i="51"/>
  <c r="BF43" i="54"/>
  <c r="BH43" i="52"/>
  <c r="BL43" i="52"/>
  <c r="BP43" i="53"/>
  <c r="BT43" i="52"/>
  <c r="BZ43" i="54"/>
  <c r="R43" i="44"/>
  <c r="BJ43" i="44"/>
  <c r="T43" i="45"/>
  <c r="AN43" i="45"/>
  <c r="BH43" i="45"/>
  <c r="CF43" i="45"/>
  <c r="Z43" i="46"/>
  <c r="AX43" i="46"/>
  <c r="BV43" i="46"/>
  <c r="L43" i="47"/>
  <c r="AJ43" i="47"/>
  <c r="BH43" i="47"/>
  <c r="CB43" i="47"/>
  <c r="Z43" i="48"/>
  <c r="AT43" i="48"/>
  <c r="BV43" i="48"/>
  <c r="J43" i="52"/>
  <c r="X43" i="50"/>
  <c r="AD43" i="50"/>
  <c r="AH43" i="49"/>
  <c r="AJ43" i="52"/>
  <c r="AV43" i="50"/>
  <c r="BN43" i="50"/>
  <c r="BX43" i="52"/>
  <c r="F43" i="47"/>
  <c r="T43" i="44"/>
  <c r="AJ43" i="44"/>
  <c r="AZ43" i="44"/>
  <c r="BP43" i="44"/>
  <c r="CF43" i="44"/>
  <c r="N43" i="45"/>
  <c r="V43" i="45"/>
  <c r="AL43" i="45"/>
  <c r="AT43" i="45"/>
  <c r="BB43" i="45"/>
  <c r="BR43" i="45"/>
  <c r="BZ43" i="45"/>
  <c r="T43" i="48"/>
  <c r="AJ43" i="48"/>
  <c r="CF43" i="48"/>
  <c r="AT43" i="44"/>
  <c r="P43" i="45"/>
  <c r="AJ43" i="45"/>
  <c r="BL43" i="45"/>
  <c r="CB43" i="45"/>
  <c r="AT43" i="46"/>
  <c r="BR43" i="46"/>
  <c r="P43" i="47"/>
  <c r="AN43" i="47"/>
  <c r="CF43" i="47"/>
  <c r="AD43" i="48"/>
  <c r="AX43" i="48"/>
  <c r="BR43" i="48"/>
  <c r="L43" i="52"/>
  <c r="X43" i="54"/>
  <c r="AB43" i="52"/>
  <c r="AL43" i="51"/>
  <c r="AT43" i="54"/>
  <c r="BD43" i="53"/>
  <c r="BH43" i="54"/>
  <c r="BL43" i="49"/>
  <c r="BT43" i="49"/>
  <c r="BV43" i="52"/>
  <c r="CD43" i="50"/>
  <c r="F43" i="49"/>
  <c r="F43" i="52"/>
  <c r="BD43" i="45"/>
  <c r="F43" i="53"/>
  <c r="X43" i="44"/>
  <c r="AN43" i="44"/>
  <c r="J43" i="45"/>
  <c r="Z43" i="45"/>
  <c r="AX43" i="45"/>
  <c r="BV43" i="45"/>
  <c r="T43" i="46"/>
  <c r="BH43" i="46"/>
  <c r="N43" i="47"/>
  <c r="AL43" i="47"/>
  <c r="BR43" i="47"/>
  <c r="X43" i="48"/>
  <c r="AV43" i="48"/>
  <c r="BT43" i="48"/>
  <c r="L43" i="54"/>
  <c r="X43" i="53"/>
  <c r="AD43" i="49"/>
  <c r="AP43" i="54"/>
  <c r="AV43" i="49"/>
  <c r="BD43" i="54"/>
  <c r="BL43" i="53"/>
  <c r="BV43" i="53"/>
  <c r="CB43" i="53"/>
  <c r="N43" i="44"/>
  <c r="T43" i="49"/>
  <c r="AF43" i="51"/>
  <c r="AN43" i="49"/>
  <c r="AV43" i="54"/>
  <c r="BD43" i="52"/>
  <c r="BP43" i="52"/>
  <c r="CB43" i="49"/>
  <c r="CM43" i="54"/>
  <c r="B43" i="54" s="1"/>
  <c r="CM43" i="47"/>
  <c r="CM43" i="49"/>
  <c r="B43" i="49" s="1"/>
  <c r="CM43" i="53"/>
  <c r="B43" i="53" s="1"/>
  <c r="CM43" i="51"/>
  <c r="B43" i="51" s="1"/>
  <c r="CM43" i="46"/>
  <c r="B43" i="46" s="1"/>
  <c r="CM43" i="48"/>
  <c r="B43" i="48" s="1"/>
  <c r="CM43" i="52"/>
  <c r="B43" i="52" s="1"/>
  <c r="CM43" i="50"/>
  <c r="B43" i="50" s="1"/>
  <c r="H43" i="44"/>
  <c r="F37" i="45"/>
  <c r="F35" i="45"/>
  <c r="CM43" i="45"/>
  <c r="B43" i="45" s="1"/>
  <c r="CM47" i="45"/>
  <c r="F36" i="44"/>
  <c r="F19" i="44"/>
  <c r="F35" i="44"/>
  <c r="F38" i="44"/>
  <c r="F37" i="44"/>
  <c r="CM43" i="44"/>
  <c r="F38" i="45"/>
  <c r="D69" i="30"/>
  <c r="D85" i="30"/>
  <c r="D57" i="30"/>
  <c r="D97" i="30"/>
  <c r="D33" i="30"/>
  <c r="D24" i="30"/>
  <c r="MB8" i="35" s="1"/>
  <c r="D165" i="30"/>
  <c r="D81" i="30"/>
  <c r="B144" i="30"/>
  <c r="LZ38" i="35" s="1"/>
  <c r="C96" i="30"/>
  <c r="MA26" i="35" s="1"/>
  <c r="DU4" i="30"/>
  <c r="J20" i="30"/>
  <c r="MH7" i="35" s="1"/>
  <c r="J21" i="30"/>
  <c r="F16" i="30"/>
  <c r="MD6" i="35" s="1"/>
  <c r="G16" i="30"/>
  <c r="ME6" i="35" s="1"/>
  <c r="F17" i="30"/>
  <c r="H17" i="30"/>
  <c r="D13" i="30"/>
  <c r="E21" i="30"/>
  <c r="DZ4" i="30"/>
  <c r="D17" i="30"/>
  <c r="M16" i="30"/>
  <c r="MK6" i="35" s="1"/>
  <c r="D65" i="30"/>
  <c r="D96" i="30"/>
  <c r="MB26" i="35" s="1"/>
  <c r="D16" i="30"/>
  <c r="MB6" i="35" s="1"/>
  <c r="M17" i="30"/>
  <c r="D117" i="30"/>
  <c r="D113" i="30"/>
  <c r="D52" i="30"/>
  <c r="MB15" i="35" s="1"/>
  <c r="G20" i="30"/>
  <c r="ME7" i="35" s="1"/>
  <c r="H16" i="30"/>
  <c r="MF6" i="35" s="1"/>
  <c r="EJ4" i="30"/>
  <c r="D109" i="30"/>
  <c r="DV4" i="30"/>
  <c r="NA36" i="35"/>
  <c r="NA29" i="35"/>
  <c r="C97" i="30"/>
  <c r="B88" i="30"/>
  <c r="LZ24" i="35" s="1"/>
  <c r="NA14" i="35"/>
  <c r="NA25" i="35"/>
  <c r="B40" i="30"/>
  <c r="LZ12" i="35" s="1"/>
  <c r="B136" i="30"/>
  <c r="LZ36" i="35" s="1"/>
  <c r="C133" i="30"/>
  <c r="B100" i="30"/>
  <c r="LZ27" i="35" s="1"/>
  <c r="EG4" i="35"/>
  <c r="JM4" i="35" s="1"/>
  <c r="B17" i="30"/>
  <c r="C145" i="30"/>
  <c r="FC43" i="35"/>
  <c r="LE43" i="35" s="1"/>
  <c r="EM4" i="35"/>
  <c r="JY4" i="35" s="1"/>
  <c r="B61" i="30"/>
  <c r="C157" i="30"/>
  <c r="B16" i="30"/>
  <c r="LZ6" i="35" s="1"/>
  <c r="B44" i="30"/>
  <c r="LZ13" i="35" s="1"/>
  <c r="DG4" i="35"/>
  <c r="HM4" i="35" s="1"/>
  <c r="HM2" i="35" s="1"/>
  <c r="EB4" i="19"/>
  <c r="CN7" i="46" s="1"/>
  <c r="B32" i="30"/>
  <c r="LZ10" i="35" s="1"/>
  <c r="B45" i="30"/>
  <c r="B124" i="30"/>
  <c r="LZ33" i="35" s="1"/>
  <c r="B60" i="30"/>
  <c r="LZ17" i="35" s="1"/>
  <c r="C164" i="30"/>
  <c r="MA43" i="35" s="1"/>
  <c r="B160" i="30"/>
  <c r="LZ42" i="35" s="1"/>
  <c r="B49" i="30"/>
  <c r="B161" i="30"/>
  <c r="C140" i="30"/>
  <c r="MA37" i="35" s="1"/>
  <c r="C160" i="30"/>
  <c r="MA42" i="35" s="1"/>
  <c r="B37" i="30"/>
  <c r="EA28" i="35"/>
  <c r="JA28" i="35" s="1"/>
  <c r="C156" i="30"/>
  <c r="MA41" i="35" s="1"/>
  <c r="B25" i="30"/>
  <c r="B108" i="30"/>
  <c r="LZ29" i="35" s="1"/>
  <c r="B81" i="30"/>
  <c r="C128" i="30"/>
  <c r="MA34" i="35" s="1"/>
  <c r="C119" i="19"/>
  <c r="C112" i="30"/>
  <c r="MA30" i="35" s="1"/>
  <c r="C144" i="30"/>
  <c r="MA38" i="35" s="1"/>
  <c r="B128" i="30"/>
  <c r="LZ34" i="35" s="1"/>
  <c r="B92" i="30"/>
  <c r="LZ25" i="35" s="1"/>
  <c r="B68" i="30"/>
  <c r="LZ19" i="35" s="1"/>
  <c r="B112" i="30"/>
  <c r="LZ30" i="35" s="1"/>
  <c r="B72" i="30"/>
  <c r="LZ20" i="35" s="1"/>
  <c r="B97" i="30"/>
  <c r="B149" i="30"/>
  <c r="B21" i="30"/>
  <c r="B41" i="30"/>
  <c r="DQ43" i="35"/>
  <c r="IG43" i="35" s="1"/>
  <c r="B129" i="30"/>
  <c r="B125" i="30"/>
  <c r="B89" i="30"/>
  <c r="FG32" i="35"/>
  <c r="LM32" i="35" s="1"/>
  <c r="EH234" i="19"/>
  <c r="G231" i="19" s="1"/>
  <c r="CV43" i="35"/>
  <c r="GQ43" i="35" s="1"/>
  <c r="B36" i="30"/>
  <c r="LZ11" i="35" s="1"/>
  <c r="B20" i="30"/>
  <c r="LZ7" i="35" s="1"/>
  <c r="B73" i="30"/>
  <c r="B148" i="30"/>
  <c r="LZ39" i="35" s="1"/>
  <c r="B113" i="30"/>
  <c r="B93" i="30"/>
  <c r="B33" i="30"/>
  <c r="CY43" i="35"/>
  <c r="GW43" i="35" s="1"/>
  <c r="CL4" i="35"/>
  <c r="FW4" i="35" s="1"/>
  <c r="CY13" i="35"/>
  <c r="GW13" i="35" s="1"/>
  <c r="B69" i="30"/>
  <c r="B95" i="19"/>
  <c r="B96" i="19" s="1"/>
  <c r="EZ43" i="35"/>
  <c r="KY43" i="35" s="1"/>
  <c r="EM145" i="19"/>
  <c r="H143" i="19" s="1"/>
  <c r="B143" i="19"/>
  <c r="B144" i="19" s="1"/>
  <c r="DS314" i="19"/>
  <c r="C40" i="30"/>
  <c r="MA12" i="35" s="1"/>
  <c r="K15" i="19"/>
  <c r="K16" i="19" s="1"/>
  <c r="B153" i="30"/>
  <c r="B65" i="30"/>
  <c r="B85" i="30"/>
  <c r="CM47" i="44"/>
  <c r="D12" i="30"/>
  <c r="MB5" i="35" s="1"/>
  <c r="FB15" i="35"/>
  <c r="LC15" i="35" s="1"/>
  <c r="DX43" i="35"/>
  <c r="IU43" i="35" s="1"/>
  <c r="CO42" i="35"/>
  <c r="GC42" i="35" s="1"/>
  <c r="EN35" i="35"/>
  <c r="KA35" i="35" s="1"/>
  <c r="CQ22" i="35"/>
  <c r="GG22" i="35" s="1"/>
  <c r="DJ43" i="35"/>
  <c r="HS43" i="35" s="1"/>
  <c r="EU37" i="35"/>
  <c r="KO37" i="35" s="1"/>
  <c r="B80" i="30"/>
  <c r="LZ22" i="35" s="1"/>
  <c r="B48" i="30"/>
  <c r="LZ14" i="35" s="1"/>
  <c r="BN43" i="33"/>
  <c r="BP43" i="33"/>
  <c r="F43" i="33"/>
  <c r="AD43" i="33"/>
  <c r="BL43" i="33"/>
  <c r="BV43" i="33"/>
  <c r="V43" i="33"/>
  <c r="BB43" i="33"/>
  <c r="BD43" i="33"/>
  <c r="J43" i="33"/>
  <c r="CD43" i="33"/>
  <c r="AX43" i="33"/>
  <c r="N43" i="33"/>
  <c r="CF43" i="33"/>
  <c r="AZ43" i="33"/>
  <c r="T43" i="33"/>
  <c r="H43" i="33"/>
  <c r="BZ43" i="33"/>
  <c r="AT43" i="33"/>
  <c r="AB43" i="33"/>
  <c r="CB43" i="33"/>
  <c r="AV43" i="33"/>
  <c r="Z43" i="33"/>
  <c r="BF43" i="33"/>
  <c r="L43" i="33"/>
  <c r="BH43" i="33"/>
  <c r="P43" i="33"/>
  <c r="BR43" i="33"/>
  <c r="AL43" i="33"/>
  <c r="X43" i="33"/>
  <c r="BT43" i="33"/>
  <c r="AN43" i="33"/>
  <c r="AH43" i="33"/>
  <c r="AJ43" i="33"/>
  <c r="BJ43" i="33"/>
  <c r="AF43" i="33"/>
  <c r="AP43" i="33"/>
  <c r="BX43" i="33"/>
  <c r="AR43" i="33"/>
  <c r="R43" i="33"/>
  <c r="C52" i="30"/>
  <c r="MA15" i="35" s="1"/>
  <c r="AB38" i="33"/>
  <c r="AB37" i="33"/>
  <c r="AB36" i="33"/>
  <c r="AB35" i="33"/>
  <c r="AB19" i="33"/>
  <c r="AB47" i="33"/>
  <c r="BJ36" i="33"/>
  <c r="BJ35" i="33"/>
  <c r="BJ19" i="33"/>
  <c r="BJ47" i="33"/>
  <c r="BJ38" i="33"/>
  <c r="BJ37" i="33"/>
  <c r="BP37" i="33"/>
  <c r="BP38" i="33"/>
  <c r="BP36" i="33"/>
  <c r="BP35" i="33"/>
  <c r="BP19" i="33"/>
  <c r="BP47" i="33"/>
  <c r="AN47" i="33"/>
  <c r="AN38" i="33"/>
  <c r="AN35" i="33"/>
  <c r="AN19" i="33"/>
  <c r="AN37" i="33"/>
  <c r="AN36" i="33"/>
  <c r="BT47" i="33"/>
  <c r="BT38" i="33"/>
  <c r="BT37" i="33"/>
  <c r="BT36" i="33"/>
  <c r="BT35" i="33"/>
  <c r="BT19" i="33"/>
  <c r="B24" i="30"/>
  <c r="LZ8" i="35" s="1"/>
  <c r="EZ21" i="35"/>
  <c r="KY21" i="35" s="1"/>
  <c r="FB31" i="35"/>
  <c r="LC31" i="35" s="1"/>
  <c r="CX15" i="35"/>
  <c r="GU15" i="35" s="1"/>
  <c r="FG43" i="35"/>
  <c r="LM43" i="35" s="1"/>
  <c r="C80" i="30"/>
  <c r="MA22" i="35" s="1"/>
  <c r="B152" i="30"/>
  <c r="LZ40" i="35" s="1"/>
  <c r="B84" i="30"/>
  <c r="LZ23" i="35" s="1"/>
  <c r="B64" i="30"/>
  <c r="LZ18" i="35" s="1"/>
  <c r="CF47" i="33"/>
  <c r="CF36" i="33"/>
  <c r="CF35" i="33"/>
  <c r="CF19" i="33"/>
  <c r="CF37" i="33"/>
  <c r="CF38" i="33"/>
  <c r="B109" i="30"/>
  <c r="B137" i="30"/>
  <c r="EE21" i="35"/>
  <c r="JI21" i="35" s="1"/>
  <c r="C24" i="30"/>
  <c r="MA8" i="35" s="1"/>
  <c r="BB47" i="33"/>
  <c r="BB36" i="33"/>
  <c r="BB35" i="33"/>
  <c r="BB19" i="33"/>
  <c r="BB37" i="33"/>
  <c r="BB38" i="33"/>
  <c r="BH38" i="33"/>
  <c r="BH36" i="33"/>
  <c r="BH35" i="33"/>
  <c r="BH19" i="33"/>
  <c r="BH47" i="33"/>
  <c r="BH37" i="33"/>
  <c r="CH39" i="35"/>
  <c r="FO39" i="35" s="1"/>
  <c r="CB47" i="33"/>
  <c r="CB38" i="33"/>
  <c r="CB37" i="33"/>
  <c r="CB19" i="33"/>
  <c r="CB36" i="33"/>
  <c r="CB35" i="33"/>
  <c r="AD47" i="44"/>
  <c r="AV47" i="44"/>
  <c r="CY35" i="35"/>
  <c r="GW35" i="35" s="1"/>
  <c r="X47" i="44"/>
  <c r="T47" i="44"/>
  <c r="BL47" i="44"/>
  <c r="BZ47" i="44"/>
  <c r="F47" i="44"/>
  <c r="CH26" i="35"/>
  <c r="FO26" i="35" s="1"/>
  <c r="AT47" i="44"/>
  <c r="AL47" i="44"/>
  <c r="BD47" i="44"/>
  <c r="AF47" i="44"/>
  <c r="BB47" i="44"/>
  <c r="BH47" i="44"/>
  <c r="BR47" i="44"/>
  <c r="T7" i="44"/>
  <c r="CR27" i="35"/>
  <c r="GI27" i="35" s="1"/>
  <c r="EO41" i="35"/>
  <c r="KC41" i="35" s="1"/>
  <c r="CJ12" i="35"/>
  <c r="FS12" i="35" s="1"/>
  <c r="H47" i="44"/>
  <c r="Z47" i="44"/>
  <c r="R47" i="44"/>
  <c r="AN47" i="44"/>
  <c r="C120" i="30"/>
  <c r="MA32" i="35" s="1"/>
  <c r="CH24" i="35"/>
  <c r="FO24" i="35" s="1"/>
  <c r="AJ47" i="44"/>
  <c r="AH47" i="44"/>
  <c r="L47" i="44"/>
  <c r="P47" i="44"/>
  <c r="B96" i="30"/>
  <c r="LZ26" i="35" s="1"/>
  <c r="CR6" i="35"/>
  <c r="GI6" i="35" s="1"/>
  <c r="CQ41" i="35"/>
  <c r="GG41" i="35" s="1"/>
  <c r="EG15" i="35"/>
  <c r="JM15" i="35" s="1"/>
  <c r="EV35" i="35"/>
  <c r="KQ35" i="35" s="1"/>
  <c r="C132" i="30"/>
  <c r="MA35" i="35" s="1"/>
  <c r="B29" i="30"/>
  <c r="EV28" i="35"/>
  <c r="KQ28" i="35" s="1"/>
  <c r="EL21" i="35"/>
  <c r="JW21" i="35" s="1"/>
  <c r="EU28" i="35"/>
  <c r="KO28" i="35" s="1"/>
  <c r="CR22" i="35"/>
  <c r="GI22" i="35" s="1"/>
  <c r="C113" i="30"/>
  <c r="EN321" i="19"/>
  <c r="H319" i="19" s="1"/>
  <c r="EI323" i="19"/>
  <c r="G319" i="19" s="1"/>
  <c r="MQ43" i="35" s="1"/>
  <c r="NI43" i="35" s="1"/>
  <c r="DX5" i="35"/>
  <c r="IU5" i="35" s="1"/>
  <c r="CH40" i="35"/>
  <c r="FO40" i="35" s="1"/>
  <c r="CH29" i="35"/>
  <c r="FO29" i="35" s="1"/>
  <c r="CH36" i="35"/>
  <c r="FO36" i="35" s="1"/>
  <c r="DP4" i="30"/>
  <c r="FC37" i="35"/>
  <c r="LE37" i="35" s="1"/>
  <c r="CR42" i="35"/>
  <c r="GI42" i="35" s="1"/>
  <c r="B145" i="30"/>
  <c r="FC41" i="35"/>
  <c r="LE41" i="35" s="1"/>
  <c r="CY42" i="35"/>
  <c r="GW42" i="35" s="1"/>
  <c r="EV41" i="35"/>
  <c r="KQ41" i="35" s="1"/>
  <c r="DM43" i="35"/>
  <c r="HY43" i="35" s="1"/>
  <c r="CR43" i="35"/>
  <c r="GI43" i="35" s="1"/>
  <c r="CR32" i="35"/>
  <c r="GI32" i="35" s="1"/>
  <c r="EA43" i="35"/>
  <c r="JA43" i="35" s="1"/>
  <c r="CR35" i="35"/>
  <c r="GI35" i="35" s="1"/>
  <c r="GY2" i="35"/>
  <c r="C148" i="30"/>
  <c r="MA39" i="35" s="1"/>
  <c r="CH5" i="35"/>
  <c r="FO5" i="35" s="1"/>
  <c r="FC21" i="35"/>
  <c r="LE21" i="35" s="1"/>
  <c r="FC31" i="35"/>
  <c r="LE31" i="35" s="1"/>
  <c r="EA15" i="35"/>
  <c r="JA15" i="35" s="1"/>
  <c r="EA35" i="35"/>
  <c r="JA35" i="35" s="1"/>
  <c r="CR37" i="35"/>
  <c r="GI37" i="35" s="1"/>
  <c r="DM37" i="35"/>
  <c r="HY37" i="35" s="1"/>
  <c r="DF31" i="35"/>
  <c r="HK31" i="35" s="1"/>
  <c r="CR34" i="35"/>
  <c r="GI34" i="35" s="1"/>
  <c r="EA41" i="35"/>
  <c r="JA41" i="35" s="1"/>
  <c r="FJ32" i="35"/>
  <c r="LS32" i="35" s="1"/>
  <c r="B28" i="30"/>
  <c r="LZ9" i="35" s="1"/>
  <c r="C84" i="30"/>
  <c r="MA23" i="35" s="1"/>
  <c r="CH38" i="35"/>
  <c r="FO38" i="35" s="1"/>
  <c r="CH30" i="35"/>
  <c r="FO30" i="35" s="1"/>
  <c r="CH23" i="35"/>
  <c r="FO23" i="35" s="1"/>
  <c r="CH33" i="35"/>
  <c r="FO33" i="35" s="1"/>
  <c r="CH25" i="35"/>
  <c r="FO25" i="35" s="1"/>
  <c r="CH27" i="35"/>
  <c r="FO27" i="35" s="1"/>
  <c r="B101" i="30"/>
  <c r="CR38" i="35"/>
  <c r="GI38" i="35" s="1"/>
  <c r="CR12" i="35"/>
  <c r="GI12" i="35" s="1"/>
  <c r="EV37" i="35"/>
  <c r="KQ37" i="35" s="1"/>
  <c r="CY16" i="35"/>
  <c r="GW16" i="35" s="1"/>
  <c r="DT32" i="35"/>
  <c r="IM32" i="35" s="1"/>
  <c r="CR39" i="35"/>
  <c r="GI39" i="35" s="1"/>
  <c r="CY32" i="35"/>
  <c r="GW32" i="35" s="1"/>
  <c r="EA21" i="35"/>
  <c r="JA21" i="35" s="1"/>
  <c r="CY31" i="35"/>
  <c r="GW31" i="35" s="1"/>
  <c r="C111" i="19"/>
  <c r="C112" i="19" s="1"/>
  <c r="C101" i="30"/>
  <c r="CH12" i="35"/>
  <c r="FO12" i="35" s="1"/>
  <c r="CH10" i="35"/>
  <c r="FO10" i="35" s="1"/>
  <c r="CP15" i="35"/>
  <c r="GE15" i="35" s="1"/>
  <c r="CP35" i="35"/>
  <c r="GE35" i="35" s="1"/>
  <c r="L255" i="19"/>
  <c r="MV35" i="35" s="1"/>
  <c r="NS35" i="35" s="1"/>
  <c r="CJ7" i="35"/>
  <c r="FS7" i="35" s="1"/>
  <c r="DJ4" i="30"/>
  <c r="CX28" i="35"/>
  <c r="GU28" i="35" s="1"/>
  <c r="DI4" i="30"/>
  <c r="DL31" i="35"/>
  <c r="HW31" i="35" s="1"/>
  <c r="DN321" i="19"/>
  <c r="FM233" i="19"/>
  <c r="M231" i="19" s="1"/>
  <c r="FH234" i="19"/>
  <c r="L231" i="19" s="1"/>
  <c r="MV32" i="35" s="1"/>
  <c r="ED322" i="19"/>
  <c r="F319" i="19" s="1"/>
  <c r="F320" i="19" s="1"/>
  <c r="DY21" i="35"/>
  <c r="IW21" i="35" s="1"/>
  <c r="FA43" i="35"/>
  <c r="LA43" i="35" s="1"/>
  <c r="DX17" i="19"/>
  <c r="CX31" i="35"/>
  <c r="GU31" i="35" s="1"/>
  <c r="DL15" i="35"/>
  <c r="HW15" i="35" s="1"/>
  <c r="EU35" i="35"/>
  <c r="KO35" i="35" s="1"/>
  <c r="M199" i="19"/>
  <c r="M200" i="19" s="1"/>
  <c r="ES43" i="35"/>
  <c r="KK43" i="35" s="1"/>
  <c r="CK5" i="35"/>
  <c r="FU5" i="35" s="1"/>
  <c r="FA21" i="35"/>
  <c r="LA21" i="35" s="1"/>
  <c r="DC4" i="35"/>
  <c r="HE4" i="35" s="1"/>
  <c r="EN15" i="35"/>
  <c r="KA15" i="35" s="1"/>
  <c r="DE31" i="35"/>
  <c r="HI31" i="35" s="1"/>
  <c r="DS35" i="35"/>
  <c r="IK35" i="35" s="1"/>
  <c r="EU41" i="35"/>
  <c r="KO41" i="35" s="1"/>
  <c r="FI35" i="35"/>
  <c r="LQ35" i="35" s="1"/>
  <c r="DZ15" i="35"/>
  <c r="IY15" i="35" s="1"/>
  <c r="FH43" i="35"/>
  <c r="LO43" i="35" s="1"/>
  <c r="EZ32" i="35"/>
  <c r="KY32" i="35" s="1"/>
  <c r="CX8" i="35"/>
  <c r="GU8" i="35" s="1"/>
  <c r="EN31" i="35"/>
  <c r="KA31" i="35" s="1"/>
  <c r="CQ27" i="35"/>
  <c r="GG27" i="35" s="1"/>
  <c r="DZ31" i="35"/>
  <c r="IY31" i="35" s="1"/>
  <c r="CV6" i="35"/>
  <c r="GQ6" i="35" s="1"/>
  <c r="D143" i="19"/>
  <c r="D144" i="19" s="1"/>
  <c r="CR41" i="35"/>
  <c r="GI41" i="35" s="1"/>
  <c r="DS251" i="19"/>
  <c r="CR15" i="35"/>
  <c r="GI15" i="35" s="1"/>
  <c r="DK21" i="35"/>
  <c r="HU21" i="35" s="1"/>
  <c r="FB11" i="19"/>
  <c r="M255" i="19"/>
  <c r="MW35" i="35" s="1"/>
  <c r="F95" i="19"/>
  <c r="MP15" i="35" s="1"/>
  <c r="CI33" i="35"/>
  <c r="FQ33" i="35" s="1"/>
  <c r="DJ241" i="19"/>
  <c r="DJ289" i="19"/>
  <c r="CI39" i="35"/>
  <c r="FQ39" i="35" s="1"/>
  <c r="DJ18" i="19"/>
  <c r="CI5" i="35"/>
  <c r="FQ5" i="35" s="1"/>
  <c r="CI34" i="35"/>
  <c r="FQ34" i="35" s="1"/>
  <c r="EE11" i="19"/>
  <c r="DL4" i="35"/>
  <c r="HW4" i="35" s="1"/>
  <c r="CI7" i="35"/>
  <c r="FQ7" i="35" s="1"/>
  <c r="CI26" i="35"/>
  <c r="FQ26" i="35" s="1"/>
  <c r="DJ185" i="19"/>
  <c r="DJ121" i="19"/>
  <c r="CI18" i="35"/>
  <c r="FQ18" i="35" s="1"/>
  <c r="L199" i="19"/>
  <c r="L223" i="19"/>
  <c r="MV31" i="35" s="1"/>
  <c r="NS31" i="35" s="1"/>
  <c r="CI22" i="35"/>
  <c r="FQ22" i="35" s="1"/>
  <c r="CI25" i="35"/>
  <c r="FQ25" i="35" s="1"/>
  <c r="DJ177" i="19"/>
  <c r="DJ281" i="19"/>
  <c r="CI38" i="35"/>
  <c r="FQ38" i="35" s="1"/>
  <c r="CI23" i="35"/>
  <c r="FQ23" i="35" s="1"/>
  <c r="DJ161" i="19"/>
  <c r="DJ105" i="19"/>
  <c r="CI16" i="35"/>
  <c r="FQ16" i="35" s="1"/>
  <c r="CI20" i="35"/>
  <c r="FQ20" i="35" s="1"/>
  <c r="DJ137" i="19"/>
  <c r="DJ129" i="19"/>
  <c r="CI19" i="35"/>
  <c r="FQ19" i="35" s="1"/>
  <c r="DJ209" i="19"/>
  <c r="CI29" i="35"/>
  <c r="FQ29" i="35" s="1"/>
  <c r="DJ297" i="19"/>
  <c r="CI40" i="35"/>
  <c r="FQ40" i="35" s="1"/>
  <c r="CI30" i="35"/>
  <c r="FQ30" i="35" s="1"/>
  <c r="DJ217" i="19"/>
  <c r="DJ25" i="19"/>
  <c r="CI6" i="35"/>
  <c r="FQ6" i="35" s="1"/>
  <c r="CI27" i="35"/>
  <c r="FQ27" i="35" s="1"/>
  <c r="DJ193" i="19"/>
  <c r="CI24" i="35"/>
  <c r="FQ24" i="35" s="1"/>
  <c r="DJ169" i="19"/>
  <c r="CI9" i="35"/>
  <c r="FQ9" i="35" s="1"/>
  <c r="CI8" i="35"/>
  <c r="FQ8" i="35" s="1"/>
  <c r="DJ265" i="19"/>
  <c r="CI36" i="35"/>
  <c r="FQ36" i="35" s="1"/>
  <c r="EG37" i="35"/>
  <c r="JM37" i="35" s="1"/>
  <c r="CQ37" i="35"/>
  <c r="GG37" i="35" s="1"/>
  <c r="CQ15" i="35"/>
  <c r="GG15" i="35" s="1"/>
  <c r="C168" i="19"/>
  <c r="MM24" i="35"/>
  <c r="NA24" i="35" s="1"/>
  <c r="CP8" i="35"/>
  <c r="GE8" i="35" s="1"/>
  <c r="EA31" i="35"/>
  <c r="JA31" i="35" s="1"/>
  <c r="EV31" i="35"/>
  <c r="KQ31" i="35" s="1"/>
  <c r="DF37" i="35"/>
  <c r="HK37" i="35" s="1"/>
  <c r="CY15" i="35"/>
  <c r="GW15" i="35" s="1"/>
  <c r="EO31" i="35"/>
  <c r="KC31" i="35" s="1"/>
  <c r="CQ35" i="35"/>
  <c r="GG35" i="35" s="1"/>
  <c r="EH21" i="35"/>
  <c r="JO21" i="35" s="1"/>
  <c r="EM21" i="35"/>
  <c r="JY21" i="35" s="1"/>
  <c r="DJ21" i="35"/>
  <c r="HS21" i="35" s="1"/>
  <c r="DL35" i="35"/>
  <c r="HW35" i="35" s="1"/>
  <c r="CY6" i="35"/>
  <c r="GW6" i="35" s="1"/>
  <c r="EU31" i="35"/>
  <c r="KO31" i="35" s="1"/>
  <c r="CR30" i="35"/>
  <c r="GI30" i="35" s="1"/>
  <c r="FJ15" i="35"/>
  <c r="LS15" i="35" s="1"/>
  <c r="CY8" i="35"/>
  <c r="GW8" i="35" s="1"/>
  <c r="DR32" i="35"/>
  <c r="II32" i="35" s="1"/>
  <c r="EF4" i="35"/>
  <c r="JK4" i="35" s="1"/>
  <c r="FC32" i="35"/>
  <c r="LE32" i="35" s="1"/>
  <c r="FB28" i="35"/>
  <c r="LC28" i="35" s="1"/>
  <c r="FC28" i="35"/>
  <c r="LE28" i="35" s="1"/>
  <c r="CY11" i="35"/>
  <c r="GW11" i="35" s="1"/>
  <c r="DM21" i="35"/>
  <c r="HY21" i="35" s="1"/>
  <c r="DT31" i="35"/>
  <c r="IM31" i="35" s="1"/>
  <c r="CQ30" i="35"/>
  <c r="GG30" i="35" s="1"/>
  <c r="CY34" i="35"/>
  <c r="GW34" i="35" s="1"/>
  <c r="EO35" i="35"/>
  <c r="KC35" i="35" s="1"/>
  <c r="EH37" i="35"/>
  <c r="JO37" i="35" s="1"/>
  <c r="CR8" i="35"/>
  <c r="GI8" i="35" s="1"/>
  <c r="EV4" i="35"/>
  <c r="KQ4" i="35" s="1"/>
  <c r="M223" i="19"/>
  <c r="MW31" i="35" s="1"/>
  <c r="NU31" i="35" s="1"/>
  <c r="DL37" i="35"/>
  <c r="HW37" i="35" s="1"/>
  <c r="FC15" i="35"/>
  <c r="LE15" i="35" s="1"/>
  <c r="DT43" i="35"/>
  <c r="IM43" i="35" s="1"/>
  <c r="DM15" i="35"/>
  <c r="HY15" i="35" s="1"/>
  <c r="DT35" i="35"/>
  <c r="IM35" i="35" s="1"/>
  <c r="EO15" i="35"/>
  <c r="KC15" i="35" s="1"/>
  <c r="CY22" i="35"/>
  <c r="GW22" i="35" s="1"/>
  <c r="D199" i="19"/>
  <c r="DZ35" i="35"/>
  <c r="IY35" i="35" s="1"/>
  <c r="DZ28" i="35"/>
  <c r="IY28" i="35" s="1"/>
  <c r="L95" i="19"/>
  <c r="MV15" i="35" s="1"/>
  <c r="NS15" i="35" s="1"/>
  <c r="EO21" i="35"/>
  <c r="KC21" i="35" s="1"/>
  <c r="EV43" i="35"/>
  <c r="KQ43" i="35" s="1"/>
  <c r="ET43" i="35"/>
  <c r="KM43" i="35" s="1"/>
  <c r="EW10" i="19"/>
  <c r="DM31" i="35"/>
  <c r="HY31" i="35" s="1"/>
  <c r="DM35" i="35"/>
  <c r="HY35" i="35" s="1"/>
  <c r="CY28" i="35"/>
  <c r="GW28" i="35" s="1"/>
  <c r="EH15" i="35"/>
  <c r="JO15" i="35" s="1"/>
  <c r="FJ35" i="35"/>
  <c r="LS35" i="35" s="1"/>
  <c r="EA11" i="19"/>
  <c r="DF4" i="35"/>
  <c r="HK4" i="35" s="1"/>
  <c r="FO323" i="19"/>
  <c r="M319" i="19" s="1"/>
  <c r="M320" i="19" s="1"/>
  <c r="FJ43" i="35"/>
  <c r="LS43" i="35" s="1"/>
  <c r="FM17" i="19"/>
  <c r="FH5" i="35"/>
  <c r="LO5" i="35" s="1"/>
  <c r="M271" i="19"/>
  <c r="M272" i="19" s="1"/>
  <c r="DZ41" i="35"/>
  <c r="IY41" i="35" s="1"/>
  <c r="FB37" i="35"/>
  <c r="LC37" i="35" s="1"/>
  <c r="FB41" i="35"/>
  <c r="LC41" i="35" s="1"/>
  <c r="CP23" i="35"/>
  <c r="GE23" i="35" s="1"/>
  <c r="CX22" i="35"/>
  <c r="GU22" i="35" s="1"/>
  <c r="CM43" i="33"/>
  <c r="B43" i="33" s="1"/>
  <c r="D43" i="33" s="1"/>
  <c r="DO4" i="30"/>
  <c r="M303" i="19"/>
  <c r="M304" i="19" s="1"/>
  <c r="CP22" i="35"/>
  <c r="GE22" i="35" s="1"/>
  <c r="C151" i="19"/>
  <c r="G95" i="19"/>
  <c r="MQ15" i="35" s="1"/>
  <c r="NI15" i="35" s="1"/>
  <c r="C208" i="19"/>
  <c r="DO75" i="19"/>
  <c r="C71" i="19" s="1"/>
  <c r="CP12" i="35"/>
  <c r="GE12" i="35" s="1"/>
  <c r="CP41" i="35"/>
  <c r="GE41" i="35" s="1"/>
  <c r="DO283" i="19"/>
  <c r="C279" i="19" s="1"/>
  <c r="C280" i="19" s="1"/>
  <c r="CP38" i="35"/>
  <c r="GE38" i="35" s="1"/>
  <c r="CP37" i="35"/>
  <c r="GE37" i="35" s="1"/>
  <c r="CP27" i="35"/>
  <c r="GE27" i="35" s="1"/>
  <c r="CP30" i="35"/>
  <c r="GE30" i="35" s="1"/>
  <c r="CQ8" i="35"/>
  <c r="GG8" i="35" s="1"/>
  <c r="DE37" i="35"/>
  <c r="HI37" i="35" s="1"/>
  <c r="ES147" i="19"/>
  <c r="I143" i="19" s="1"/>
  <c r="CX11" i="35"/>
  <c r="GU11" i="35" s="1"/>
  <c r="CH13" i="35"/>
  <c r="FO13" i="35" s="1"/>
  <c r="FI15" i="35"/>
  <c r="LQ15" i="35" s="1"/>
  <c r="CH9" i="35"/>
  <c r="FO9" i="35" s="1"/>
  <c r="CH14" i="35"/>
  <c r="FO14" i="35" s="1"/>
  <c r="DS31" i="35"/>
  <c r="IK31" i="35" s="1"/>
  <c r="M95" i="19"/>
  <c r="M96" i="19" s="1"/>
  <c r="CX35" i="35"/>
  <c r="GU35" i="35" s="1"/>
  <c r="CH16" i="35"/>
  <c r="FO16" i="35" s="1"/>
  <c r="DI251" i="19"/>
  <c r="CH34" i="35"/>
  <c r="FO34" i="35" s="1"/>
  <c r="DI131" i="19"/>
  <c r="CH19" i="35"/>
  <c r="FO19" i="35" s="1"/>
  <c r="DI123" i="19"/>
  <c r="CH18" i="35"/>
  <c r="FO18" i="35" s="1"/>
  <c r="DI115" i="19"/>
  <c r="CH17" i="35"/>
  <c r="FO17" i="35" s="1"/>
  <c r="DI139" i="19"/>
  <c r="CH20" i="35"/>
  <c r="FO20" i="35" s="1"/>
  <c r="DI155" i="19"/>
  <c r="CH22" i="35"/>
  <c r="FO22" i="35" s="1"/>
  <c r="C88" i="19"/>
  <c r="DI19" i="19"/>
  <c r="CH8" i="35"/>
  <c r="FO8" i="35" s="1"/>
  <c r="DM4" i="35"/>
  <c r="HY4" i="35" s="1"/>
  <c r="EN41" i="35"/>
  <c r="KA41" i="35" s="1"/>
  <c r="EH4" i="35"/>
  <c r="JO4" i="35" s="1"/>
  <c r="D20" i="30"/>
  <c r="MB7" i="35" s="1"/>
  <c r="D21" i="30"/>
  <c r="D48" i="30"/>
  <c r="MB14" i="35" s="1"/>
  <c r="D49" i="30"/>
  <c r="D121" i="30"/>
  <c r="D120" i="30"/>
  <c r="MB32" i="35" s="1"/>
  <c r="FE4" i="30"/>
  <c r="D125" i="30"/>
  <c r="D124" i="30"/>
  <c r="MB33" i="35" s="1"/>
  <c r="FJ4" i="30"/>
  <c r="D72" i="30"/>
  <c r="MB20" i="35" s="1"/>
  <c r="D73" i="30"/>
  <c r="D89" i="30"/>
  <c r="D88" i="30"/>
  <c r="MB24" i="35" s="1"/>
  <c r="D104" i="30"/>
  <c r="MB28" i="35" s="1"/>
  <c r="D105" i="30"/>
  <c r="D160" i="30"/>
  <c r="MB42" i="35" s="1"/>
  <c r="D161" i="30"/>
  <c r="FO4" i="30"/>
  <c r="DQ4" i="30"/>
  <c r="DQ4" i="19"/>
  <c r="EF4" i="30"/>
  <c r="EU4" i="30"/>
  <c r="EA4" i="30"/>
  <c r="EP4" i="30"/>
  <c r="EK4" i="30"/>
  <c r="DL4" i="30"/>
  <c r="EZ4" i="30"/>
  <c r="DW4" i="30"/>
  <c r="CN7" i="45" s="1"/>
  <c r="DI9" i="19"/>
  <c r="CH4" i="35"/>
  <c r="FO4" i="35" s="1"/>
  <c r="D7" i="19"/>
  <c r="CH11" i="35"/>
  <c r="FO11" i="35" s="1"/>
  <c r="CK6" i="35"/>
  <c r="FU6" i="35" s="1"/>
  <c r="DF5" i="35"/>
  <c r="HK5" i="35" s="1"/>
  <c r="H37" i="46" s="1"/>
  <c r="EA17" i="19"/>
  <c r="EP17" i="19"/>
  <c r="EA5" i="35"/>
  <c r="JA5" i="35" s="1"/>
  <c r="FO17" i="19"/>
  <c r="FJ5" i="35"/>
  <c r="LS5" i="35" s="1"/>
  <c r="DM67" i="19"/>
  <c r="CL11" i="35"/>
  <c r="FW11" i="35" s="1"/>
  <c r="DK18" i="19"/>
  <c r="CJ5" i="35"/>
  <c r="FS5" i="35" s="1"/>
  <c r="DI35" i="19"/>
  <c r="CH7" i="35"/>
  <c r="FO7" i="35" s="1"/>
  <c r="G32" i="30"/>
  <c r="ME10" i="35" s="1"/>
  <c r="CX43" i="35"/>
  <c r="GU43" i="35" s="1"/>
  <c r="CQ43" i="35"/>
  <c r="GG43" i="35" s="1"/>
  <c r="C128" i="19"/>
  <c r="CX32" i="35"/>
  <c r="GU32" i="35" s="1"/>
  <c r="CY26" i="35"/>
  <c r="GW26" i="35" s="1"/>
  <c r="C264" i="19"/>
  <c r="J117" i="30"/>
  <c r="L164" i="30"/>
  <c r="MJ43" i="35" s="1"/>
  <c r="CR26" i="35"/>
  <c r="GI26" i="35" s="1"/>
  <c r="CQ34" i="35"/>
  <c r="GG34" i="35" s="1"/>
  <c r="C303" i="19"/>
  <c r="C304" i="19" s="1"/>
  <c r="DU66" i="19"/>
  <c r="CY18" i="35"/>
  <c r="GW18" i="35" s="1"/>
  <c r="MM28" i="35"/>
  <c r="NA28" i="35" s="1"/>
  <c r="MM7" i="35"/>
  <c r="NA7" i="35" s="1"/>
  <c r="CY27" i="35"/>
  <c r="GW27" i="35" s="1"/>
  <c r="M84" i="30"/>
  <c r="MK23" i="35" s="1"/>
  <c r="L303" i="19"/>
  <c r="L304" i="19" s="1"/>
  <c r="E231" i="19"/>
  <c r="E232" i="19" s="1"/>
  <c r="C176" i="19"/>
  <c r="CY30" i="35"/>
  <c r="GW30" i="35" s="1"/>
  <c r="MN39" i="35"/>
  <c r="NC39" i="35" s="1"/>
  <c r="F128" i="30"/>
  <c r="MD34" i="35" s="1"/>
  <c r="CX14" i="35"/>
  <c r="GU14" i="35" s="1"/>
  <c r="E13" i="30"/>
  <c r="I72" i="30"/>
  <c r="MG20" i="35" s="1"/>
  <c r="F52" i="30"/>
  <c r="MD15" i="35" s="1"/>
  <c r="F44" i="30"/>
  <c r="MD13" i="35" s="1"/>
  <c r="CY10" i="35"/>
  <c r="GW10" i="35" s="1"/>
  <c r="CX19" i="35"/>
  <c r="GU19" i="35" s="1"/>
  <c r="MM20" i="35"/>
  <c r="NA20" i="35" s="1"/>
  <c r="L65" i="30"/>
  <c r="E116" i="30"/>
  <c r="MC31" i="35" s="1"/>
  <c r="L128" i="30"/>
  <c r="MJ34" i="35" s="1"/>
  <c r="MN9" i="35"/>
  <c r="NC9" i="35" s="1"/>
  <c r="D72" i="19"/>
  <c r="K144" i="30"/>
  <c r="MI38" i="35" s="1"/>
  <c r="D112" i="19"/>
  <c r="C64" i="19"/>
  <c r="J68" i="30"/>
  <c r="MH19" i="35" s="1"/>
  <c r="H133" i="30"/>
  <c r="F149" i="30"/>
  <c r="DV193" i="19"/>
  <c r="DV4" i="19" s="1"/>
  <c r="CW33" i="35"/>
  <c r="GS33" i="35" s="1"/>
  <c r="CY19" i="35"/>
  <c r="GW19" i="35" s="1"/>
  <c r="M132" i="30"/>
  <c r="MK35" i="35" s="1"/>
  <c r="F153" i="30"/>
  <c r="I17" i="30"/>
  <c r="CR23" i="35"/>
  <c r="GI23" i="35" s="1"/>
  <c r="H65" i="30"/>
  <c r="L149" i="30"/>
  <c r="K161" i="30"/>
  <c r="H33" i="30"/>
  <c r="CY29" i="35"/>
  <c r="GW29" i="35" s="1"/>
  <c r="L319" i="19"/>
  <c r="L320" i="19" s="1"/>
  <c r="B303" i="19"/>
  <c r="ML41" i="35" s="1"/>
  <c r="MY41" i="35" s="1"/>
  <c r="DU17" i="19"/>
  <c r="CQ39" i="35"/>
  <c r="GG39" i="35" s="1"/>
  <c r="MN36" i="35"/>
  <c r="NC36" i="35" s="1"/>
  <c r="MN25" i="35"/>
  <c r="NC25" i="35" s="1"/>
  <c r="MM13" i="35"/>
  <c r="NA13" i="35" s="1"/>
  <c r="CX34" i="35"/>
  <c r="GU34" i="35" s="1"/>
  <c r="CY20" i="35"/>
  <c r="GW20" i="35" s="1"/>
  <c r="CQ42" i="35"/>
  <c r="GG42" i="35" s="1"/>
  <c r="CX42" i="35"/>
  <c r="GU42" i="35" s="1"/>
  <c r="CY24" i="35"/>
  <c r="GW24" i="35" s="1"/>
  <c r="CX38" i="35"/>
  <c r="GU38" i="35" s="1"/>
  <c r="CQ32" i="35"/>
  <c r="GG32" i="35" s="1"/>
  <c r="CY23" i="35"/>
  <c r="GW23" i="35" s="1"/>
  <c r="MM33" i="35"/>
  <c r="NA33" i="35" s="1"/>
  <c r="MM40" i="35"/>
  <c r="NA40" i="35" s="1"/>
  <c r="F303" i="19"/>
  <c r="F304" i="19" s="1"/>
  <c r="H271" i="19"/>
  <c r="MR37" i="35" s="1"/>
  <c r="NK37" i="35" s="1"/>
  <c r="I137" i="30"/>
  <c r="J96" i="30"/>
  <c r="MH26" i="35" s="1"/>
  <c r="K112" i="30"/>
  <c r="MI30" i="35" s="1"/>
  <c r="CX16" i="35"/>
  <c r="GU16" i="35" s="1"/>
  <c r="CW26" i="35"/>
  <c r="GS26" i="35" s="1"/>
  <c r="J319" i="19"/>
  <c r="J320" i="19" s="1"/>
  <c r="J303" i="19"/>
  <c r="J304" i="19" s="1"/>
  <c r="K143" i="19"/>
  <c r="K144" i="19" s="1"/>
  <c r="H13" i="30"/>
  <c r="M21" i="30"/>
  <c r="J133" i="30"/>
  <c r="CQ6" i="35"/>
  <c r="GG6" i="35" s="1"/>
  <c r="H61" i="30"/>
  <c r="K84" i="30"/>
  <c r="MI23" i="35" s="1"/>
  <c r="L60" i="30"/>
  <c r="MJ17" i="35" s="1"/>
  <c r="J157" i="30"/>
  <c r="E64" i="30"/>
  <c r="MC18" i="35" s="1"/>
  <c r="G129" i="30"/>
  <c r="F140" i="30"/>
  <c r="MD37" i="35" s="1"/>
  <c r="I76" i="30"/>
  <c r="MG21" i="35" s="1"/>
  <c r="M164" i="30"/>
  <c r="MK43" i="35" s="1"/>
  <c r="J148" i="30"/>
  <c r="MH39" i="35" s="1"/>
  <c r="L271" i="19"/>
  <c r="L272" i="19" s="1"/>
  <c r="F255" i="19"/>
  <c r="MP35" i="35" s="1"/>
  <c r="NG35" i="35" s="1"/>
  <c r="F199" i="19"/>
  <c r="F200" i="19" s="1"/>
  <c r="F223" i="19"/>
  <c r="MP31" i="35" s="1"/>
  <c r="NG31" i="35" s="1"/>
  <c r="K255" i="19"/>
  <c r="K256" i="19" s="1"/>
  <c r="J231" i="19"/>
  <c r="J232" i="19" s="1"/>
  <c r="K199" i="19"/>
  <c r="K200" i="19" s="1"/>
  <c r="K303" i="19"/>
  <c r="K304" i="19" s="1"/>
  <c r="J199" i="19"/>
  <c r="J200" i="19" s="1"/>
  <c r="CX26" i="35"/>
  <c r="GU26" i="35" s="1"/>
  <c r="J271" i="19"/>
  <c r="J272" i="19" s="1"/>
  <c r="G143" i="19"/>
  <c r="MQ21" i="35" s="1"/>
  <c r="NI21" i="35" s="1"/>
  <c r="K117" i="30"/>
  <c r="G65" i="30"/>
  <c r="K165" i="30"/>
  <c r="K149" i="30"/>
  <c r="L145" i="30"/>
  <c r="G81" i="30"/>
  <c r="F69" i="30"/>
  <c r="L21" i="30"/>
  <c r="F12" i="30"/>
  <c r="MD5" i="35" s="1"/>
  <c r="L12" i="30"/>
  <c r="MJ5" i="35" s="1"/>
  <c r="J24" i="30"/>
  <c r="MH8" i="35" s="1"/>
  <c r="J128" i="30"/>
  <c r="MH34" i="35" s="1"/>
  <c r="E32" i="30"/>
  <c r="MC10" i="35" s="1"/>
  <c r="G160" i="30"/>
  <c r="ME42" i="35" s="1"/>
  <c r="F164" i="30"/>
  <c r="MD43" i="35" s="1"/>
  <c r="E28" i="30"/>
  <c r="MC9" i="35" s="1"/>
  <c r="L92" i="30"/>
  <c r="MJ25" i="35" s="1"/>
  <c r="I140" i="30"/>
  <c r="MG37" i="35" s="1"/>
  <c r="F136" i="30"/>
  <c r="MD36" i="35" s="1"/>
  <c r="H128" i="30"/>
  <c r="MF34" i="35" s="1"/>
  <c r="L120" i="30"/>
  <c r="MJ32" i="35" s="1"/>
  <c r="L112" i="30"/>
  <c r="MJ30" i="35" s="1"/>
  <c r="K80" i="30"/>
  <c r="MI22" i="35" s="1"/>
  <c r="B271" i="19"/>
  <c r="B272" i="19" s="1"/>
  <c r="D127" i="19"/>
  <c r="D128" i="19" s="1"/>
  <c r="CX6" i="35"/>
  <c r="GU6" i="35" s="1"/>
  <c r="K64" i="30"/>
  <c r="MI18" i="35" s="1"/>
  <c r="J80" i="30"/>
  <c r="MH22" i="35" s="1"/>
  <c r="I108" i="30"/>
  <c r="MG29" i="35" s="1"/>
  <c r="L16" i="30"/>
  <c r="MJ6" i="35" s="1"/>
  <c r="I20" i="30"/>
  <c r="MG7" i="35" s="1"/>
  <c r="F64" i="30"/>
  <c r="MD18" i="35" s="1"/>
  <c r="G60" i="30"/>
  <c r="ME17" i="35" s="1"/>
  <c r="K156" i="30"/>
  <c r="MI41" i="35" s="1"/>
  <c r="L160" i="30"/>
  <c r="MJ42" i="35" s="1"/>
  <c r="J92" i="30"/>
  <c r="MH25" i="35" s="1"/>
  <c r="J95" i="19"/>
  <c r="J96" i="19" s="1"/>
  <c r="H303" i="19"/>
  <c r="MR41" i="35" s="1"/>
  <c r="NK41" i="35" s="1"/>
  <c r="CX20" i="35"/>
  <c r="GU20" i="35" s="1"/>
  <c r="M5" i="30"/>
  <c r="M52" i="30"/>
  <c r="MK15" i="35" s="1"/>
  <c r="L48" i="30"/>
  <c r="MJ14" i="35" s="1"/>
  <c r="CW13" i="35"/>
  <c r="GS13" i="35" s="1"/>
  <c r="DT25" i="19"/>
  <c r="D23" i="19" s="1"/>
  <c r="CW6" i="35"/>
  <c r="GS6" i="35" s="1"/>
  <c r="DO26" i="19"/>
  <c r="CP6" i="35"/>
  <c r="GE6" i="35" s="1"/>
  <c r="D5" i="30"/>
  <c r="D272" i="19"/>
  <c r="MN37" i="35"/>
  <c r="NC37" i="35" s="1"/>
  <c r="C144" i="19"/>
  <c r="MM21" i="35"/>
  <c r="NA21" i="35" s="1"/>
  <c r="D304" i="19"/>
  <c r="MN41" i="35"/>
  <c r="NC41" i="35" s="1"/>
  <c r="DO249" i="19"/>
  <c r="C247" i="19" s="1"/>
  <c r="CP34" i="35"/>
  <c r="GE34" i="35" s="1"/>
  <c r="DO322" i="19"/>
  <c r="CP43" i="35"/>
  <c r="GE43" i="35" s="1"/>
  <c r="DS187" i="19"/>
  <c r="D183" i="19" s="1"/>
  <c r="CV26" i="35"/>
  <c r="GQ26" i="35" s="1"/>
  <c r="DU169" i="19"/>
  <c r="D167" i="19" s="1"/>
  <c r="CX24" i="35"/>
  <c r="GU24" i="35" s="1"/>
  <c r="DT281" i="19"/>
  <c r="D279" i="19" s="1"/>
  <c r="CW38" i="35"/>
  <c r="GS38" i="35" s="1"/>
  <c r="DT234" i="19"/>
  <c r="D231" i="19" s="1"/>
  <c r="D232" i="19" s="1"/>
  <c r="CW32" i="35"/>
  <c r="GS32" i="35" s="1"/>
  <c r="DU161" i="19"/>
  <c r="D159" i="19" s="1"/>
  <c r="CX23" i="35"/>
  <c r="GU23" i="35" s="1"/>
  <c r="DO235" i="19"/>
  <c r="C231" i="19" s="1"/>
  <c r="C232" i="19" s="1"/>
  <c r="CP32" i="35"/>
  <c r="GE32" i="35" s="1"/>
  <c r="DU217" i="19"/>
  <c r="D215" i="19" s="1"/>
  <c r="CX30" i="35"/>
  <c r="GU30" i="35" s="1"/>
  <c r="DU209" i="19"/>
  <c r="D207" i="19" s="1"/>
  <c r="CX29" i="35"/>
  <c r="GU29" i="35" s="1"/>
  <c r="L156" i="30"/>
  <c r="MJ41" i="35" s="1"/>
  <c r="J84" i="30"/>
  <c r="MH23" i="35" s="1"/>
  <c r="J255" i="19"/>
  <c r="J256" i="19" s="1"/>
  <c r="J223" i="19"/>
  <c r="MT31" i="35" s="1"/>
  <c r="NO31" i="35" s="1"/>
  <c r="C215" i="19"/>
  <c r="MM30" i="35" s="1"/>
  <c r="B231" i="19"/>
  <c r="B232" i="19" s="1"/>
  <c r="K231" i="19"/>
  <c r="K232" i="19" s="1"/>
  <c r="DU193" i="19"/>
  <c r="CX27" i="35"/>
  <c r="GU27" i="35" s="1"/>
  <c r="DS242" i="19"/>
  <c r="CV33" i="35"/>
  <c r="GQ33" i="35" s="1"/>
  <c r="DT249" i="19"/>
  <c r="CW34" i="35"/>
  <c r="GS34" i="35" s="1"/>
  <c r="DO314" i="19"/>
  <c r="C311" i="19" s="1"/>
  <c r="CP42" i="35"/>
  <c r="GE42" i="35" s="1"/>
  <c r="DT315" i="19"/>
  <c r="CW42" i="35"/>
  <c r="GS42" i="35" s="1"/>
  <c r="DP161" i="19"/>
  <c r="C159" i="19" s="1"/>
  <c r="C160" i="19" s="1"/>
  <c r="CQ23" i="35"/>
  <c r="GG23" i="35" s="1"/>
  <c r="DO187" i="19"/>
  <c r="C183" i="19" s="1"/>
  <c r="CP26" i="35"/>
  <c r="GE26" i="35" s="1"/>
  <c r="DT323" i="19"/>
  <c r="D319" i="19" s="1"/>
  <c r="CW43" i="35"/>
  <c r="GS43" i="35" s="1"/>
  <c r="DO289" i="19"/>
  <c r="C287" i="19" s="1"/>
  <c r="CP39" i="35"/>
  <c r="GE39" i="35" s="1"/>
  <c r="F271" i="19"/>
  <c r="MP37" i="35" s="1"/>
  <c r="CX18" i="35"/>
  <c r="GU18" i="35" s="1"/>
  <c r="CQ26" i="35"/>
  <c r="GG26" i="35" s="1"/>
  <c r="E57" i="30"/>
  <c r="D95" i="19"/>
  <c r="D96" i="19" s="1"/>
  <c r="K95" i="19"/>
  <c r="K96" i="19" s="1"/>
  <c r="CW14" i="35"/>
  <c r="GS14" i="35" s="1"/>
  <c r="G40" i="30"/>
  <c r="ME12" i="35" s="1"/>
  <c r="F40" i="30"/>
  <c r="MD12" i="35" s="1"/>
  <c r="K5" i="30"/>
  <c r="J36" i="30"/>
  <c r="MH11" i="35" s="1"/>
  <c r="MM10" i="35"/>
  <c r="NA10" i="35" s="1"/>
  <c r="MM9" i="35"/>
  <c r="NA9" i="35" s="1"/>
  <c r="L5" i="30"/>
  <c r="C39" i="19"/>
  <c r="C40" i="19" s="1"/>
  <c r="L25" i="30"/>
  <c r="J49" i="30"/>
  <c r="F48" i="30"/>
  <c r="MD14" i="35" s="1"/>
  <c r="K49" i="30"/>
  <c r="F5" i="30"/>
  <c r="DT58" i="19"/>
  <c r="D55" i="19" s="1"/>
  <c r="CW10" i="35"/>
  <c r="GS10" i="35" s="1"/>
  <c r="H28" i="30"/>
  <c r="MF9" i="35" s="1"/>
  <c r="CY7" i="35"/>
  <c r="GW7" i="35" s="1"/>
  <c r="CX13" i="35"/>
  <c r="GU13" i="35" s="1"/>
  <c r="CX10" i="35"/>
  <c r="GU10" i="35" s="1"/>
  <c r="DS90" i="19"/>
  <c r="D87" i="19" s="1"/>
  <c r="CV14" i="35"/>
  <c r="GQ14" i="35" s="1"/>
  <c r="DT107" i="19"/>
  <c r="D103" i="19" s="1"/>
  <c r="CW16" i="35"/>
  <c r="GS16" i="35" s="1"/>
  <c r="E49" i="30"/>
  <c r="DU33" i="19"/>
  <c r="D31" i="19" s="1"/>
  <c r="CX7" i="35"/>
  <c r="GU7" i="35" s="1"/>
  <c r="DT66" i="19"/>
  <c r="CW11" i="35"/>
  <c r="GS11" i="35" s="1"/>
  <c r="DT17" i="19"/>
  <c r="CW5" i="35"/>
  <c r="GS5" i="35" s="1"/>
  <c r="DY26" i="19"/>
  <c r="DD6" i="35"/>
  <c r="HG6" i="35" s="1"/>
  <c r="EI139" i="19"/>
  <c r="DR20" i="35"/>
  <c r="II20" i="35" s="1"/>
  <c r="EI315" i="19"/>
  <c r="DR42" i="35"/>
  <c r="II42" i="35" s="1"/>
  <c r="ED122" i="19"/>
  <c r="DK18" i="35"/>
  <c r="HU18" i="35" s="1"/>
  <c r="EE177" i="19"/>
  <c r="DL25" i="35"/>
  <c r="HW25" i="35" s="1"/>
  <c r="FH75" i="19"/>
  <c r="FA12" i="35"/>
  <c r="LA12" i="35" s="1"/>
  <c r="DY250" i="19"/>
  <c r="DD34" i="35"/>
  <c r="HG34" i="35" s="1"/>
  <c r="EX131" i="19"/>
  <c r="EM19" i="35"/>
  <c r="JY19" i="35" s="1"/>
  <c r="DK161" i="19"/>
  <c r="CJ23" i="35"/>
  <c r="FS23" i="35" s="1"/>
  <c r="DS23" i="35"/>
  <c r="IK23" i="35" s="1"/>
  <c r="EJ161" i="19"/>
  <c r="FN161" i="19"/>
  <c r="FI23" i="35"/>
  <c r="LQ23" i="35" s="1"/>
  <c r="EX81" i="19"/>
  <c r="EM13" i="35"/>
  <c r="JY13" i="35" s="1"/>
  <c r="FH114" i="19"/>
  <c r="FA17" i="35"/>
  <c r="LA17" i="35" s="1"/>
  <c r="FC241" i="19"/>
  <c r="ET33" i="35"/>
  <c r="KM33" i="35" s="1"/>
  <c r="EX50" i="19"/>
  <c r="EM9" i="35"/>
  <c r="JY9" i="35" s="1"/>
  <c r="FH106" i="19"/>
  <c r="FA16" i="35"/>
  <c r="LA16" i="35" s="1"/>
  <c r="DJ59" i="19"/>
  <c r="CI10" i="35"/>
  <c r="FQ10" i="35" s="1"/>
  <c r="FM59" i="19"/>
  <c r="FH10" i="35"/>
  <c r="LO10" i="35" s="1"/>
  <c r="ES27" i="19"/>
  <c r="EF6" i="35"/>
  <c r="JK6" i="35" s="1"/>
  <c r="ES187" i="19"/>
  <c r="EF26" i="35"/>
  <c r="JK26" i="35" s="1"/>
  <c r="FC137" i="19"/>
  <c r="ET20" i="35"/>
  <c r="KM20" i="35" s="1"/>
  <c r="EN313" i="19"/>
  <c r="DY42" i="35"/>
  <c r="IW42" i="35" s="1"/>
  <c r="FM123" i="19"/>
  <c r="FH18" i="35"/>
  <c r="LO18" i="35" s="1"/>
  <c r="FM283" i="19"/>
  <c r="FH38" i="35"/>
  <c r="LO38" i="35" s="1"/>
  <c r="EX67" i="19"/>
  <c r="EM11" i="35"/>
  <c r="JY11" i="35" s="1"/>
  <c r="EN129" i="19"/>
  <c r="DY19" i="35"/>
  <c r="IW19" i="35" s="1"/>
  <c r="FC289" i="19"/>
  <c r="ET39" i="35"/>
  <c r="KM39" i="35" s="1"/>
  <c r="FI209" i="19"/>
  <c r="FB29" i="35"/>
  <c r="LC29" i="35" s="1"/>
  <c r="FH83" i="19"/>
  <c r="FA13" i="35"/>
  <c r="LA13" i="35" s="1"/>
  <c r="EN113" i="19"/>
  <c r="DY17" i="35"/>
  <c r="IW17" i="35" s="1"/>
  <c r="EX297" i="19"/>
  <c r="EM40" i="35"/>
  <c r="JY40" i="35" s="1"/>
  <c r="FC51" i="19"/>
  <c r="ET9" i="35"/>
  <c r="KM9" i="35" s="1"/>
  <c r="FM107" i="19"/>
  <c r="FH16" i="35"/>
  <c r="LO16" i="35" s="1"/>
  <c r="FC89" i="19"/>
  <c r="ET14" i="35"/>
  <c r="KM14" i="35" s="1"/>
  <c r="EN57" i="19"/>
  <c r="DY10" i="35"/>
  <c r="IW10" i="35" s="1"/>
  <c r="EC186" i="19"/>
  <c r="DJ26" i="35"/>
  <c r="HS26" i="35" s="1"/>
  <c r="FH314" i="19"/>
  <c r="FA42" i="35"/>
  <c r="LA42" i="35" s="1"/>
  <c r="FM249" i="19"/>
  <c r="FH34" i="35"/>
  <c r="LO34" i="35" s="1"/>
  <c r="EY217" i="19"/>
  <c r="EN30" i="35"/>
  <c r="KA30" i="35" s="1"/>
  <c r="ES290" i="19"/>
  <c r="EF39" i="35"/>
  <c r="JK39" i="35" s="1"/>
  <c r="ES171" i="19"/>
  <c r="EF24" i="35"/>
  <c r="JK24" i="35" s="1"/>
  <c r="CJ36" i="35"/>
  <c r="FS36" i="35" s="1"/>
  <c r="DK265" i="19"/>
  <c r="EY265" i="19"/>
  <c r="EN36" i="35"/>
  <c r="KA36" i="35" s="1"/>
  <c r="FM243" i="19"/>
  <c r="FH33" i="35"/>
  <c r="LO33" i="35" s="1"/>
  <c r="ED299" i="19"/>
  <c r="DK40" i="35"/>
  <c r="HU40" i="35" s="1"/>
  <c r="FM91" i="19"/>
  <c r="FH14" i="35"/>
  <c r="LO14" i="35" s="1"/>
  <c r="DZ7" i="35"/>
  <c r="IY7" i="35" s="1"/>
  <c r="EO33" i="19"/>
  <c r="EX185" i="19"/>
  <c r="EM26" i="35"/>
  <c r="JY26" i="35" s="1"/>
  <c r="DX73" i="19"/>
  <c r="DC12" i="35"/>
  <c r="HE12" i="35" s="1"/>
  <c r="FM73" i="19"/>
  <c r="FH12" i="35"/>
  <c r="LO12" i="35" s="1"/>
  <c r="FH282" i="19"/>
  <c r="FA38" i="35"/>
  <c r="LA38" i="35" s="1"/>
  <c r="FH66" i="19"/>
  <c r="FA11" i="35"/>
  <c r="LA11" i="35" s="1"/>
  <c r="ED130" i="19"/>
  <c r="DK19" i="35"/>
  <c r="HU19" i="35" s="1"/>
  <c r="EI291" i="19"/>
  <c r="DR39" i="35"/>
  <c r="II39" i="35" s="1"/>
  <c r="EO193" i="19"/>
  <c r="DZ27" i="35"/>
  <c r="IY27" i="35" s="1"/>
  <c r="DY169" i="19"/>
  <c r="DD24" i="35"/>
  <c r="HG24" i="35" s="1"/>
  <c r="DJ115" i="19"/>
  <c r="CI17" i="35"/>
  <c r="FQ17" i="35" s="1"/>
  <c r="FM115" i="19"/>
  <c r="FH17" i="35"/>
  <c r="LO17" i="35" s="1"/>
  <c r="DY298" i="19"/>
  <c r="DD40" i="35"/>
  <c r="HG40" i="35" s="1"/>
  <c r="DQ9" i="35"/>
  <c r="IG9" i="35" s="1"/>
  <c r="EH49" i="19"/>
  <c r="ES58" i="19"/>
  <c r="EF10" i="35"/>
  <c r="JK10" i="35" s="1"/>
  <c r="F231" i="19"/>
  <c r="F232" i="19" s="1"/>
  <c r="EN26" i="19"/>
  <c r="DY6" i="35"/>
  <c r="IW6" i="35" s="1"/>
  <c r="EX139" i="19"/>
  <c r="EM20" i="35"/>
  <c r="JY20" i="35" s="1"/>
  <c r="EX315" i="19"/>
  <c r="EM42" i="35"/>
  <c r="JY42" i="35" s="1"/>
  <c r="ES122" i="19"/>
  <c r="EF18" i="35"/>
  <c r="JK18" i="35" s="1"/>
  <c r="EO177" i="19"/>
  <c r="DZ25" i="35"/>
  <c r="IY25" i="35" s="1"/>
  <c r="ES75" i="19"/>
  <c r="EF12" i="35"/>
  <c r="JK12" i="35" s="1"/>
  <c r="DC38" i="35"/>
  <c r="HE38" i="35" s="1"/>
  <c r="DX281" i="19"/>
  <c r="EN65" i="19"/>
  <c r="DY11" i="35"/>
  <c r="IW11" i="35" s="1"/>
  <c r="EN250" i="19"/>
  <c r="DY34" i="35"/>
  <c r="IW34" i="35" s="1"/>
  <c r="FM131" i="19"/>
  <c r="FH19" i="35"/>
  <c r="LO19" i="35" s="1"/>
  <c r="DE23" i="35"/>
  <c r="HI23" i="35" s="1"/>
  <c r="DZ161" i="19"/>
  <c r="EO161" i="19"/>
  <c r="DZ23" i="35"/>
  <c r="IY23" i="35" s="1"/>
  <c r="FI161" i="19"/>
  <c r="FB23" i="35"/>
  <c r="LC23" i="35" s="1"/>
  <c r="FM81" i="19"/>
  <c r="FH13" i="35"/>
  <c r="LO13" i="35" s="1"/>
  <c r="ES114" i="19"/>
  <c r="EF17" i="35"/>
  <c r="JK17" i="35" s="1"/>
  <c r="FM50" i="19"/>
  <c r="FH9" i="35"/>
  <c r="LO9" i="35" s="1"/>
  <c r="ES90" i="19"/>
  <c r="EF14" i="35"/>
  <c r="JK14" i="35" s="1"/>
  <c r="DX59" i="19"/>
  <c r="DC10" i="35"/>
  <c r="HE10" i="35" s="1"/>
  <c r="FH27" i="19"/>
  <c r="FA6" i="35"/>
  <c r="LA6" i="35" s="1"/>
  <c r="FH187" i="19"/>
  <c r="FA26" i="35"/>
  <c r="LA26" i="35" s="1"/>
  <c r="EN137" i="19"/>
  <c r="DY20" i="35"/>
  <c r="IW20" i="35" s="1"/>
  <c r="FC313" i="19"/>
  <c r="ET42" i="35"/>
  <c r="KM42" i="35" s="1"/>
  <c r="DJ67" i="19"/>
  <c r="CI11" i="35"/>
  <c r="FQ11" i="35" s="1"/>
  <c r="FM67" i="19"/>
  <c r="FH11" i="35"/>
  <c r="LO11" i="35" s="1"/>
  <c r="FC129" i="19"/>
  <c r="ET19" i="35"/>
  <c r="KM19" i="35" s="1"/>
  <c r="EN289" i="19"/>
  <c r="DY39" i="35"/>
  <c r="IW39" i="35" s="1"/>
  <c r="EE209" i="19"/>
  <c r="DL29" i="35"/>
  <c r="HW29" i="35" s="1"/>
  <c r="EN170" i="19"/>
  <c r="DY24" i="35"/>
  <c r="IW24" i="35" s="1"/>
  <c r="FC113" i="19"/>
  <c r="ET17" i="35"/>
  <c r="KM17" i="35" s="1"/>
  <c r="DY107" i="19"/>
  <c r="DD16" i="35"/>
  <c r="HG16" i="35" s="1"/>
  <c r="FC57" i="19"/>
  <c r="ET10" i="35"/>
  <c r="KM10" i="35" s="1"/>
  <c r="EN186" i="19"/>
  <c r="DY26" i="35"/>
  <c r="IW26" i="35" s="1"/>
  <c r="ES314" i="19"/>
  <c r="EF42" i="35"/>
  <c r="JK42" i="35" s="1"/>
  <c r="FC74" i="19"/>
  <c r="ET12" i="35"/>
  <c r="KM12" i="35" s="1"/>
  <c r="DK217" i="19"/>
  <c r="CJ30" i="35"/>
  <c r="FS30" i="35" s="1"/>
  <c r="FI217" i="19"/>
  <c r="FB30" i="35"/>
  <c r="LC30" i="35" s="1"/>
  <c r="FH171" i="19"/>
  <c r="FA24" i="35"/>
  <c r="LA24" i="35" s="1"/>
  <c r="DZ36" i="35"/>
  <c r="IY36" i="35" s="1"/>
  <c r="EO265" i="19"/>
  <c r="DX243" i="19"/>
  <c r="DC33" i="35"/>
  <c r="HE33" i="35" s="1"/>
  <c r="ES299" i="19"/>
  <c r="EF40" i="35"/>
  <c r="JK40" i="35" s="1"/>
  <c r="EN105" i="19"/>
  <c r="DY16" i="35"/>
  <c r="IW16" i="35" s="1"/>
  <c r="EI91" i="19"/>
  <c r="DR14" i="35"/>
  <c r="II14" i="35" s="1"/>
  <c r="EI25" i="19"/>
  <c r="DR6" i="35"/>
  <c r="II6" i="35" s="1"/>
  <c r="DL7" i="35"/>
  <c r="HW7" i="35" s="1"/>
  <c r="EE33" i="19"/>
  <c r="DC26" i="35"/>
  <c r="HE26" i="35" s="1"/>
  <c r="DX185" i="19"/>
  <c r="ED138" i="19"/>
  <c r="DK20" i="35"/>
  <c r="HU20" i="35" s="1"/>
  <c r="EN121" i="19"/>
  <c r="DY18" i="35"/>
  <c r="IW18" i="35" s="1"/>
  <c r="ED251" i="19"/>
  <c r="DK34" i="35"/>
  <c r="HU34" i="35" s="1"/>
  <c r="FH130" i="19"/>
  <c r="FA19" i="35"/>
  <c r="LA19" i="35" s="1"/>
  <c r="EX291" i="19"/>
  <c r="EM39" i="35"/>
  <c r="JY39" i="35" s="1"/>
  <c r="EY193" i="19"/>
  <c r="EN27" i="35"/>
  <c r="KA27" i="35" s="1"/>
  <c r="EI169" i="19"/>
  <c r="DR24" i="35"/>
  <c r="II24" i="35" s="1"/>
  <c r="DY82" i="19"/>
  <c r="DD13" i="35"/>
  <c r="HG13" i="35" s="1"/>
  <c r="DX115" i="19"/>
  <c r="DC17" i="35"/>
  <c r="HE17" i="35" s="1"/>
  <c r="ES242" i="19"/>
  <c r="EF33" i="35"/>
  <c r="JK33" i="35" s="1"/>
  <c r="EN298" i="19"/>
  <c r="DY40" i="35"/>
  <c r="IW40" i="35" s="1"/>
  <c r="FH49" i="19"/>
  <c r="FA9" i="35"/>
  <c r="LA9" i="35" s="1"/>
  <c r="FC26" i="19"/>
  <c r="ET6" i="35"/>
  <c r="KM6" i="35" s="1"/>
  <c r="FM139" i="19"/>
  <c r="FH20" i="35"/>
  <c r="LO20" i="35" s="1"/>
  <c r="FH122" i="19"/>
  <c r="FA18" i="35"/>
  <c r="LA18" i="35" s="1"/>
  <c r="EN25" i="35"/>
  <c r="KA25" i="35" s="1"/>
  <c r="EY177" i="19"/>
  <c r="EN281" i="19"/>
  <c r="DY38" i="35"/>
  <c r="IW38" i="35" s="1"/>
  <c r="EC65" i="19"/>
  <c r="DJ11" i="35"/>
  <c r="HS11" i="35" s="1"/>
  <c r="FC250" i="19"/>
  <c r="ET34" i="35"/>
  <c r="KM34" i="35" s="1"/>
  <c r="EU23" i="35"/>
  <c r="KO23" i="35" s="1"/>
  <c r="FD161" i="19"/>
  <c r="ET161" i="19"/>
  <c r="EG23" i="35"/>
  <c r="JM23" i="35" s="1"/>
  <c r="DJ81" i="19"/>
  <c r="CI13" i="35"/>
  <c r="FQ13" i="35" s="1"/>
  <c r="DX50" i="19"/>
  <c r="DC9" i="35"/>
  <c r="HE9" i="35" s="1"/>
  <c r="ED106" i="19"/>
  <c r="DK16" i="35"/>
  <c r="HU16" i="35" s="1"/>
  <c r="ED90" i="19"/>
  <c r="DK14" i="35"/>
  <c r="HU14" i="35" s="1"/>
  <c r="DK187" i="19"/>
  <c r="CJ26" i="35"/>
  <c r="FS26" i="35" s="1"/>
  <c r="DJ313" i="19"/>
  <c r="CI42" i="35"/>
  <c r="FQ42" i="35" s="1"/>
  <c r="EI123" i="19"/>
  <c r="DR18" i="35"/>
  <c r="II18" i="35" s="1"/>
  <c r="EI283" i="19"/>
  <c r="DR38" i="35"/>
  <c r="II38" i="35" s="1"/>
  <c r="DX67" i="19"/>
  <c r="DC11" i="35"/>
  <c r="HE11" i="35" s="1"/>
  <c r="EY209" i="19"/>
  <c r="EN29" i="35"/>
  <c r="KA29" i="35" s="1"/>
  <c r="FC170" i="19"/>
  <c r="ET24" i="35"/>
  <c r="KM24" i="35" s="1"/>
  <c r="ED83" i="19"/>
  <c r="DK13" i="35"/>
  <c r="HU13" i="35" s="1"/>
  <c r="FM297" i="19"/>
  <c r="FH40" i="35"/>
  <c r="LO40" i="35" s="1"/>
  <c r="EC51" i="19"/>
  <c r="DJ9" i="35"/>
  <c r="HS9" i="35" s="1"/>
  <c r="EI107" i="19"/>
  <c r="DR16" i="35"/>
  <c r="II16" i="35" s="1"/>
  <c r="FC186" i="19"/>
  <c r="ET26" i="35"/>
  <c r="KM26" i="35" s="1"/>
  <c r="EI249" i="19"/>
  <c r="DR34" i="35"/>
  <c r="II34" i="35" s="1"/>
  <c r="EO217" i="19"/>
  <c r="DZ30" i="35"/>
  <c r="IY30" i="35" s="1"/>
  <c r="FH290" i="19"/>
  <c r="FA39" i="35"/>
  <c r="LA39" i="35" s="1"/>
  <c r="FI265" i="19"/>
  <c r="FB36" i="35"/>
  <c r="LC36" i="35" s="1"/>
  <c r="EI243" i="19"/>
  <c r="DR33" i="35"/>
  <c r="II33" i="35" s="1"/>
  <c r="FH299" i="19"/>
  <c r="FA40" i="35"/>
  <c r="LA40" i="35" s="1"/>
  <c r="FC105" i="19"/>
  <c r="ET16" i="35"/>
  <c r="KM16" i="35" s="1"/>
  <c r="EX91" i="19"/>
  <c r="EM14" i="35"/>
  <c r="JY14" i="35" s="1"/>
  <c r="EX25" i="19"/>
  <c r="EM6" i="35"/>
  <c r="JY6" i="35" s="1"/>
  <c r="FB7" i="35"/>
  <c r="LC7" i="35" s="1"/>
  <c r="FI33" i="19"/>
  <c r="FM185" i="19"/>
  <c r="FH26" i="35"/>
  <c r="LO26" i="35" s="1"/>
  <c r="ES138" i="19"/>
  <c r="EF20" i="35"/>
  <c r="JK20" i="35" s="1"/>
  <c r="FC121" i="19"/>
  <c r="ET18" i="35"/>
  <c r="KM18" i="35" s="1"/>
  <c r="EM73" i="19"/>
  <c r="DX12" i="35"/>
  <c r="IU12" i="35" s="1"/>
  <c r="ED282" i="19"/>
  <c r="DK38" i="35"/>
  <c r="HU38" i="35" s="1"/>
  <c r="EH66" i="19"/>
  <c r="DQ11" i="35"/>
  <c r="IG11" i="35" s="1"/>
  <c r="ES251" i="19"/>
  <c r="EF34" i="35"/>
  <c r="JK34" i="35" s="1"/>
  <c r="ES130" i="19"/>
  <c r="EF19" i="35"/>
  <c r="JK19" i="35" s="1"/>
  <c r="DK193" i="19"/>
  <c r="CJ27" i="35"/>
  <c r="FS27" i="35" s="1"/>
  <c r="FB27" i="35"/>
  <c r="LC27" i="35" s="1"/>
  <c r="FI193" i="19"/>
  <c r="EX169" i="19"/>
  <c r="EM24" i="35"/>
  <c r="JY24" i="35" s="1"/>
  <c r="FC82" i="19"/>
  <c r="ET13" i="35"/>
  <c r="KM13" i="35" s="1"/>
  <c r="EI115" i="19"/>
  <c r="DR17" i="35"/>
  <c r="II17" i="35" s="1"/>
  <c r="ED242" i="19"/>
  <c r="DK33" i="35"/>
  <c r="HU33" i="35" s="1"/>
  <c r="FC298" i="19"/>
  <c r="ET40" i="35"/>
  <c r="KM40" i="35" s="1"/>
  <c r="EH58" i="19"/>
  <c r="DQ10" i="35"/>
  <c r="IG10" i="35" s="1"/>
  <c r="FM315" i="19"/>
  <c r="FH42" i="35"/>
  <c r="LO42" i="35" s="1"/>
  <c r="DK177" i="19"/>
  <c r="CJ25" i="35"/>
  <c r="FS25" i="35" s="1"/>
  <c r="FI177" i="19"/>
  <c r="FB25" i="35"/>
  <c r="LC25" i="35" s="1"/>
  <c r="EH75" i="19"/>
  <c r="DQ12" i="35"/>
  <c r="IG12" i="35" s="1"/>
  <c r="FC281" i="19"/>
  <c r="ET38" i="35"/>
  <c r="KM38" i="35" s="1"/>
  <c r="FC65" i="19"/>
  <c r="ET11" i="35"/>
  <c r="KM11" i="35" s="1"/>
  <c r="EI131" i="19"/>
  <c r="DR19" i="35"/>
  <c r="II19" i="35" s="1"/>
  <c r="DL23" i="35"/>
  <c r="HW23" i="35" s="1"/>
  <c r="EE161" i="19"/>
  <c r="EY161" i="19"/>
  <c r="EN23" i="35"/>
  <c r="KA23" i="35" s="1"/>
  <c r="EI81" i="19"/>
  <c r="DR13" i="35"/>
  <c r="II13" i="35" s="1"/>
  <c r="ED114" i="19"/>
  <c r="DK17" i="35"/>
  <c r="HU17" i="35" s="1"/>
  <c r="EN241" i="19"/>
  <c r="DY33" i="35"/>
  <c r="IW33" i="35" s="1"/>
  <c r="ES106" i="19"/>
  <c r="EF16" i="35"/>
  <c r="JK16" i="35" s="1"/>
  <c r="FH90" i="19"/>
  <c r="FA14" i="35"/>
  <c r="LA14" i="35" s="1"/>
  <c r="EX59" i="19"/>
  <c r="EM10" i="35"/>
  <c r="JY10" i="35" s="1"/>
  <c r="ED27" i="19"/>
  <c r="DK6" i="35"/>
  <c r="HU6" i="35" s="1"/>
  <c r="DY313" i="19"/>
  <c r="DD42" i="35"/>
  <c r="HG42" i="35" s="1"/>
  <c r="EX123" i="19"/>
  <c r="EM18" i="35"/>
  <c r="JY18" i="35" s="1"/>
  <c r="EX283" i="19"/>
  <c r="EM38" i="35"/>
  <c r="JY38" i="35" s="1"/>
  <c r="DY289" i="19"/>
  <c r="DD39" i="35"/>
  <c r="HG39" i="35" s="1"/>
  <c r="EO209" i="19"/>
  <c r="DZ29" i="35"/>
  <c r="IY29" i="35" s="1"/>
  <c r="ES83" i="19"/>
  <c r="EF13" i="35"/>
  <c r="JK13" i="35" s="1"/>
  <c r="EI297" i="19"/>
  <c r="DR40" i="35"/>
  <c r="II40" i="35" s="1"/>
  <c r="EN51" i="19"/>
  <c r="DY9" i="35"/>
  <c r="IW9" i="35" s="1"/>
  <c r="EX107" i="19"/>
  <c r="EM16" i="35"/>
  <c r="JY16" i="35" s="1"/>
  <c r="EN89" i="19"/>
  <c r="DY14" i="35"/>
  <c r="IW14" i="35" s="1"/>
  <c r="DJ10" i="35"/>
  <c r="HS10" i="35" s="1"/>
  <c r="EC57" i="19"/>
  <c r="ED314" i="19"/>
  <c r="DK42" i="35"/>
  <c r="HU42" i="35" s="1"/>
  <c r="EC74" i="19"/>
  <c r="DJ12" i="35"/>
  <c r="HS12" i="35" s="1"/>
  <c r="EX249" i="19"/>
  <c r="EM34" i="35"/>
  <c r="JY34" i="35" s="1"/>
  <c r="DL30" i="35"/>
  <c r="HW30" i="35" s="1"/>
  <c r="EE217" i="19"/>
  <c r="ED290" i="19"/>
  <c r="DK39" i="35"/>
  <c r="HU39" i="35" s="1"/>
  <c r="ED171" i="19"/>
  <c r="DK24" i="35"/>
  <c r="HU24" i="35" s="1"/>
  <c r="DL36" i="35"/>
  <c r="HW36" i="35" s="1"/>
  <c r="EE265" i="19"/>
  <c r="EX243" i="19"/>
  <c r="EM33" i="35"/>
  <c r="JY33" i="35" s="1"/>
  <c r="DX91" i="19"/>
  <c r="DC14" i="35"/>
  <c r="HE14" i="35" s="1"/>
  <c r="FM25" i="19"/>
  <c r="FH6" i="35"/>
  <c r="LO6" i="35" s="1"/>
  <c r="EN7" i="35"/>
  <c r="KA7" i="35" s="1"/>
  <c r="EY33" i="19"/>
  <c r="EI185" i="19"/>
  <c r="DR26" i="35"/>
  <c r="II26" i="35" s="1"/>
  <c r="FH138" i="19"/>
  <c r="FA20" i="35"/>
  <c r="LA20" i="35" s="1"/>
  <c r="EX73" i="19"/>
  <c r="EM12" i="35"/>
  <c r="JY12" i="35" s="1"/>
  <c r="ES282" i="19"/>
  <c r="EF38" i="35"/>
  <c r="JK38" i="35" s="1"/>
  <c r="ES66" i="19"/>
  <c r="EF11" i="35"/>
  <c r="JK11" i="35" s="1"/>
  <c r="FH251" i="19"/>
  <c r="FA34" i="35"/>
  <c r="LA34" i="35" s="1"/>
  <c r="FM291" i="19"/>
  <c r="FH39" i="35"/>
  <c r="LO39" i="35" s="1"/>
  <c r="EE193" i="19"/>
  <c r="DL27" i="35"/>
  <c r="HW27" i="35" s="1"/>
  <c r="DK169" i="19"/>
  <c r="CJ24" i="35"/>
  <c r="FS24" i="35" s="1"/>
  <c r="FM169" i="19"/>
  <c r="FH24" i="35"/>
  <c r="LO24" i="35" s="1"/>
  <c r="EN82" i="19"/>
  <c r="DY13" i="35"/>
  <c r="IW13" i="35" s="1"/>
  <c r="EX115" i="19"/>
  <c r="EM17" i="35"/>
  <c r="JY17" i="35" s="1"/>
  <c r="FH242" i="19"/>
  <c r="FA33" i="35"/>
  <c r="LA33" i="35" s="1"/>
  <c r="ES49" i="19"/>
  <c r="EF9" i="35"/>
  <c r="JK9" i="35" s="1"/>
  <c r="FH58" i="19"/>
  <c r="FA10" i="35"/>
  <c r="LA10" i="35" s="1"/>
  <c r="FC9" i="19"/>
  <c r="ET4" i="35"/>
  <c r="KM4" i="35" s="1"/>
  <c r="EN9" i="19"/>
  <c r="DY4" i="35"/>
  <c r="IW4" i="35" s="1"/>
  <c r="DY9" i="19"/>
  <c r="DD4" i="35"/>
  <c r="HG4" i="35" s="1"/>
  <c r="EC9" i="19"/>
  <c r="DJ4" i="35"/>
  <c r="HS4" i="35" s="1"/>
  <c r="G5" i="30"/>
  <c r="M13" i="30"/>
  <c r="J76" i="30"/>
  <c r="MH21" i="35" s="1"/>
  <c r="F100" i="30"/>
  <c r="MD27" i="35" s="1"/>
  <c r="K37" i="30"/>
  <c r="J33" i="30"/>
  <c r="L80" i="30"/>
  <c r="MJ22" i="35" s="1"/>
  <c r="I89" i="30"/>
  <c r="K128" i="30"/>
  <c r="MI34" i="35" s="1"/>
  <c r="I160" i="30"/>
  <c r="MG42" i="35" s="1"/>
  <c r="I113" i="30"/>
  <c r="E223" i="19"/>
  <c r="MO31" i="35" s="1"/>
  <c r="C191" i="19"/>
  <c r="MM27" i="35" s="1"/>
  <c r="NA27" i="35" s="1"/>
  <c r="E5" i="30"/>
  <c r="E255" i="19"/>
  <c r="MO35" i="35" s="1"/>
  <c r="NE35" i="35" s="1"/>
  <c r="I231" i="19"/>
  <c r="MS32" i="35" s="1"/>
  <c r="NM32" i="35" s="1"/>
  <c r="J53" i="30"/>
  <c r="C224" i="19"/>
  <c r="MM31" i="35"/>
  <c r="NA31" i="35" s="1"/>
  <c r="C104" i="19"/>
  <c r="MM16" i="35"/>
  <c r="NA16" i="35" s="1"/>
  <c r="F143" i="19"/>
  <c r="G255" i="19"/>
  <c r="G271" i="19"/>
  <c r="G199" i="19"/>
  <c r="G223" i="19"/>
  <c r="G303" i="19"/>
  <c r="C271" i="19"/>
  <c r="D135" i="19"/>
  <c r="K271" i="19"/>
  <c r="J143" i="19"/>
  <c r="K223" i="19"/>
  <c r="B223" i="19"/>
  <c r="B255" i="19"/>
  <c r="B319" i="19"/>
  <c r="J5" i="30"/>
  <c r="H255" i="19"/>
  <c r="H95" i="19"/>
  <c r="I319" i="19"/>
  <c r="H199" i="19"/>
  <c r="H223" i="19"/>
  <c r="E143" i="19"/>
  <c r="E319" i="19"/>
  <c r="C255" i="19"/>
  <c r="M120" i="30"/>
  <c r="MK32" i="35" s="1"/>
  <c r="L96" i="30"/>
  <c r="MJ26" i="35" s="1"/>
  <c r="I52" i="30"/>
  <c r="MG15" i="35" s="1"/>
  <c r="K68" i="30"/>
  <c r="MI19" i="35" s="1"/>
  <c r="J108" i="30"/>
  <c r="MH29" i="35" s="1"/>
  <c r="I92" i="30"/>
  <c r="MG25" i="35" s="1"/>
  <c r="M80" i="30"/>
  <c r="MK22" i="35" s="1"/>
  <c r="E8" i="30"/>
  <c r="MC4" i="35" s="1"/>
  <c r="E9" i="30"/>
  <c r="H5" i="30"/>
  <c r="I5" i="30"/>
  <c r="I12" i="30"/>
  <c r="MG5" i="35" s="1"/>
  <c r="L100" i="30"/>
  <c r="MJ27" i="35" s="1"/>
  <c r="K132" i="30"/>
  <c r="MI35" i="35" s="1"/>
  <c r="K96" i="30"/>
  <c r="MI26" i="35" s="1"/>
  <c r="H40" i="30"/>
  <c r="MF12" i="35" s="1"/>
  <c r="H80" i="30"/>
  <c r="MF22" i="35" s="1"/>
  <c r="E140" i="30"/>
  <c r="MC37" i="35" s="1"/>
  <c r="E124" i="30"/>
  <c r="MC33" i="35" s="1"/>
  <c r="L143" i="19"/>
  <c r="B199" i="19"/>
  <c r="M143" i="19"/>
  <c r="E95" i="19"/>
  <c r="E199" i="19"/>
  <c r="C95" i="19"/>
  <c r="D223" i="19"/>
  <c r="D39" i="19"/>
  <c r="D255" i="19"/>
  <c r="D79" i="19"/>
  <c r="H231" i="19"/>
  <c r="I199" i="19"/>
  <c r="I223" i="19"/>
  <c r="I95" i="19"/>
  <c r="I303" i="19"/>
  <c r="I255" i="19"/>
  <c r="K319" i="19"/>
  <c r="I271" i="19"/>
  <c r="E271" i="19"/>
  <c r="E303" i="19"/>
  <c r="D119" i="19"/>
  <c r="D151" i="19"/>
  <c r="C8" i="19"/>
  <c r="DL113" i="19"/>
  <c r="CK17" i="35"/>
  <c r="FU17" i="35" s="1"/>
  <c r="DK153" i="19"/>
  <c r="CJ22" i="35"/>
  <c r="FS22" i="35" s="1"/>
  <c r="EA314" i="19"/>
  <c r="DF42" i="35"/>
  <c r="HK42" i="35" s="1"/>
  <c r="DZ217" i="19"/>
  <c r="DE30" i="35"/>
  <c r="HI30" i="35" s="1"/>
  <c r="DZ265" i="19"/>
  <c r="DE36" i="35"/>
  <c r="HI36" i="35" s="1"/>
  <c r="EA299" i="19"/>
  <c r="DF40" i="35"/>
  <c r="HK40" i="35" s="1"/>
  <c r="EA58" i="19"/>
  <c r="DF10" i="35"/>
  <c r="HK10" i="35" s="1"/>
  <c r="DZ113" i="19"/>
  <c r="DE17" i="35"/>
  <c r="HI17" i="35" s="1"/>
  <c r="DK51" i="19"/>
  <c r="CJ9" i="35"/>
  <c r="FS9" i="35" s="1"/>
  <c r="DI28" i="19"/>
  <c r="CH6" i="35"/>
  <c r="FO6" i="35" s="1"/>
  <c r="EA212" i="19"/>
  <c r="DF29" i="35"/>
  <c r="HK29" i="35" s="1"/>
  <c r="DX25" i="19"/>
  <c r="DC6" i="35"/>
  <c r="HE6" i="35" s="1"/>
  <c r="DY185" i="19"/>
  <c r="DD26" i="35"/>
  <c r="HG26" i="35" s="1"/>
  <c r="EA251" i="19"/>
  <c r="DF34" i="35"/>
  <c r="HK34" i="35" s="1"/>
  <c r="DZ82" i="19"/>
  <c r="DE13" i="35"/>
  <c r="HI13" i="35" s="1"/>
  <c r="DZ153" i="19"/>
  <c r="DE22" i="35"/>
  <c r="HI22" i="35" s="1"/>
  <c r="DY115" i="19"/>
  <c r="DD17" i="35"/>
  <c r="HG17" i="35" s="1"/>
  <c r="EA49" i="19"/>
  <c r="DF9" i="35"/>
  <c r="HK9" i="35" s="1"/>
  <c r="DZ41" i="19"/>
  <c r="DE8" i="35"/>
  <c r="HI8" i="35" s="1"/>
  <c r="EA180" i="19"/>
  <c r="DF25" i="35"/>
  <c r="HK25" i="35" s="1"/>
  <c r="EA196" i="19"/>
  <c r="DF27" i="35"/>
  <c r="HK27" i="35" s="1"/>
  <c r="DZ139" i="19"/>
  <c r="DE20" i="35"/>
  <c r="HI20" i="35" s="1"/>
  <c r="DZ65" i="19"/>
  <c r="DE11" i="35"/>
  <c r="HI11" i="35" s="1"/>
  <c r="DZ131" i="19"/>
  <c r="DE19" i="35"/>
  <c r="HI19" i="35" s="1"/>
  <c r="EA161" i="19"/>
  <c r="DF23" i="35"/>
  <c r="HK23" i="35" s="1"/>
  <c r="DX81" i="19"/>
  <c r="DC13" i="35"/>
  <c r="HE13" i="35" s="1"/>
  <c r="EA114" i="19"/>
  <c r="DF17" i="35"/>
  <c r="HK17" i="35" s="1"/>
  <c r="DY50" i="19"/>
  <c r="DD9" i="35"/>
  <c r="HG9" i="35" s="1"/>
  <c r="EA106" i="19"/>
  <c r="DF16" i="35"/>
  <c r="HK16" i="35" s="1"/>
  <c r="DK59" i="19"/>
  <c r="CJ10" i="35"/>
  <c r="FS10" i="35" s="1"/>
  <c r="EA172" i="19"/>
  <c r="DF24" i="35"/>
  <c r="HK24" i="35" s="1"/>
  <c r="DZ209" i="19"/>
  <c r="DE29" i="35"/>
  <c r="HI29" i="35" s="1"/>
  <c r="EA129" i="19"/>
  <c r="DF19" i="35"/>
  <c r="HK19" i="35" s="1"/>
  <c r="DZ57" i="19"/>
  <c r="DE10" i="35"/>
  <c r="HI10" i="35" s="1"/>
  <c r="ET171" i="19"/>
  <c r="EG24" i="35"/>
  <c r="JM24" i="35" s="1"/>
  <c r="FL171" i="19"/>
  <c r="FG24" i="35"/>
  <c r="LM24" i="35" s="1"/>
  <c r="EU243" i="19"/>
  <c r="EH33" i="35"/>
  <c r="JO33" i="35" s="1"/>
  <c r="FN243" i="19"/>
  <c r="FI33" i="35"/>
  <c r="LQ33" i="35" s="1"/>
  <c r="ET299" i="19"/>
  <c r="EG40" i="35"/>
  <c r="JM40" i="35" s="1"/>
  <c r="FL299" i="19"/>
  <c r="FG40" i="35"/>
  <c r="LM40" i="35" s="1"/>
  <c r="EM91" i="19"/>
  <c r="DX14" i="35"/>
  <c r="IU14" i="35" s="1"/>
  <c r="FN91" i="19"/>
  <c r="FI14" i="35"/>
  <c r="LQ14" i="35" s="1"/>
  <c r="EU115" i="19"/>
  <c r="EH17" i="35"/>
  <c r="JO17" i="35" s="1"/>
  <c r="FN115" i="19"/>
  <c r="FI17" i="35"/>
  <c r="LQ17" i="35" s="1"/>
  <c r="EU156" i="19"/>
  <c r="EH22" i="35"/>
  <c r="JO22" i="35" s="1"/>
  <c r="FO156" i="19"/>
  <c r="FJ22" i="35"/>
  <c r="LS22" i="35" s="1"/>
  <c r="EU44" i="19"/>
  <c r="EH8" i="35"/>
  <c r="JO8" i="35" s="1"/>
  <c r="FO44" i="19"/>
  <c r="FJ8" i="35"/>
  <c r="LS8" i="35" s="1"/>
  <c r="EU212" i="19"/>
  <c r="EH29" i="35"/>
  <c r="JO29" i="35" s="1"/>
  <c r="FO212" i="19"/>
  <c r="FJ29" i="35"/>
  <c r="LS29" i="35" s="1"/>
  <c r="EP251" i="19"/>
  <c r="EA34" i="35"/>
  <c r="JA34" i="35" s="1"/>
  <c r="FL251" i="19"/>
  <c r="FG34" i="35"/>
  <c r="LM34" i="35" s="1"/>
  <c r="FB291" i="19"/>
  <c r="ES39" i="35"/>
  <c r="KK39" i="35" s="1"/>
  <c r="FN291" i="19"/>
  <c r="FI39" i="35"/>
  <c r="LQ39" i="35" s="1"/>
  <c r="EP83" i="19"/>
  <c r="EA13" i="35"/>
  <c r="JA13" i="35" s="1"/>
  <c r="FL83" i="19"/>
  <c r="FG13" i="35"/>
  <c r="LM13" i="35" s="1"/>
  <c r="EM107" i="19"/>
  <c r="DX16" i="35"/>
  <c r="IU16" i="35" s="1"/>
  <c r="FN107" i="19"/>
  <c r="FI16" i="35"/>
  <c r="LQ16" i="35" s="1"/>
  <c r="EU36" i="19"/>
  <c r="EH7" i="35"/>
  <c r="JO7" i="35" s="1"/>
  <c r="FO36" i="19"/>
  <c r="FJ7" i="35"/>
  <c r="LS7" i="35" s="1"/>
  <c r="EU180" i="19"/>
  <c r="EH25" i="35"/>
  <c r="JO25" i="35" s="1"/>
  <c r="FO180" i="19"/>
  <c r="FJ25" i="35"/>
  <c r="LS25" i="35" s="1"/>
  <c r="FO196" i="19"/>
  <c r="FJ27" i="35"/>
  <c r="LS27" i="35" s="1"/>
  <c r="EU268" i="19"/>
  <c r="EH36" i="35"/>
  <c r="JO36" i="35" s="1"/>
  <c r="FO268" i="19"/>
  <c r="FJ36" i="35"/>
  <c r="LS36" i="35" s="1"/>
  <c r="EM139" i="19"/>
  <c r="DX20" i="35"/>
  <c r="IU20" i="35" s="1"/>
  <c r="FN139" i="19"/>
  <c r="FI20" i="35"/>
  <c r="LQ20" i="35" s="1"/>
  <c r="EM315" i="19"/>
  <c r="DX42" i="35"/>
  <c r="IU42" i="35" s="1"/>
  <c r="FN315" i="19"/>
  <c r="FI42" i="35"/>
  <c r="LQ42" i="35" s="1"/>
  <c r="ET75" i="19"/>
  <c r="EG12" i="35"/>
  <c r="JM12" i="35" s="1"/>
  <c r="FL75" i="19"/>
  <c r="FG12" i="35"/>
  <c r="LM12" i="35" s="1"/>
  <c r="EM131" i="19"/>
  <c r="DX19" i="35"/>
  <c r="IU19" i="35" s="1"/>
  <c r="FN131" i="19"/>
  <c r="FI19" i="35"/>
  <c r="LQ19" i="35" s="1"/>
  <c r="EM59" i="19"/>
  <c r="DX10" i="35"/>
  <c r="IU10" i="35" s="1"/>
  <c r="FN59" i="19"/>
  <c r="FI10" i="35"/>
  <c r="LQ10" i="35" s="1"/>
  <c r="EU220" i="19"/>
  <c r="EH30" i="35"/>
  <c r="JO30" i="35" s="1"/>
  <c r="FO220" i="19"/>
  <c r="FJ30" i="35"/>
  <c r="LS30" i="35" s="1"/>
  <c r="EP187" i="19"/>
  <c r="EA26" i="35"/>
  <c r="JA26" i="35" s="1"/>
  <c r="FL187" i="19"/>
  <c r="FG26" i="35"/>
  <c r="LM26" i="35" s="1"/>
  <c r="EM123" i="19"/>
  <c r="DX18" i="35"/>
  <c r="IU18" i="35" s="1"/>
  <c r="FN123" i="19"/>
  <c r="FI18" i="35"/>
  <c r="LQ18" i="35" s="1"/>
  <c r="EM283" i="19"/>
  <c r="DX38" i="35"/>
  <c r="IU38" i="35" s="1"/>
  <c r="FN283" i="19"/>
  <c r="FI38" i="35"/>
  <c r="LQ38" i="35" s="1"/>
  <c r="EM67" i="19"/>
  <c r="DX11" i="35"/>
  <c r="IU11" i="35" s="1"/>
  <c r="FN67" i="19"/>
  <c r="FI11" i="35"/>
  <c r="LQ11" i="35" s="1"/>
  <c r="EP27" i="19"/>
  <c r="EA6" i="35"/>
  <c r="JA6" i="35" s="1"/>
  <c r="FL27" i="19"/>
  <c r="FG6" i="35"/>
  <c r="LM6" i="35" s="1"/>
  <c r="EO51" i="19"/>
  <c r="DZ9" i="35"/>
  <c r="IY9" i="35" s="1"/>
  <c r="FO51" i="19"/>
  <c r="FJ9" i="35"/>
  <c r="LS9" i="35" s="1"/>
  <c r="ER186" i="19"/>
  <c r="EE26" i="35"/>
  <c r="JI26" i="35" s="1"/>
  <c r="FO186" i="19"/>
  <c r="FJ26" i="35"/>
  <c r="LS26" i="35" s="1"/>
  <c r="EP314" i="19"/>
  <c r="EA42" i="35"/>
  <c r="JA42" i="35" s="1"/>
  <c r="FL314" i="19"/>
  <c r="FG42" i="35"/>
  <c r="LM42" i="35" s="1"/>
  <c r="EO74" i="19"/>
  <c r="DZ12" i="35"/>
  <c r="IY12" i="35" s="1"/>
  <c r="FO74" i="19"/>
  <c r="FJ12" i="35"/>
  <c r="LS12" i="35" s="1"/>
  <c r="EU249" i="19"/>
  <c r="EH34" i="35"/>
  <c r="JO34" i="35" s="1"/>
  <c r="FN249" i="19"/>
  <c r="FI34" i="35"/>
  <c r="LQ34" i="35" s="1"/>
  <c r="EP217" i="19"/>
  <c r="EA30" i="35"/>
  <c r="JA30" i="35" s="1"/>
  <c r="FN217" i="19"/>
  <c r="FI30" i="35"/>
  <c r="LQ30" i="35" s="1"/>
  <c r="EP290" i="19"/>
  <c r="EA39" i="35"/>
  <c r="JA39" i="35" s="1"/>
  <c r="FL290" i="19"/>
  <c r="FG39" i="35"/>
  <c r="LM39" i="35" s="1"/>
  <c r="EP265" i="19"/>
  <c r="EA36" i="35"/>
  <c r="JA36" i="35" s="1"/>
  <c r="FN265" i="19"/>
  <c r="FI36" i="35"/>
  <c r="LQ36" i="35" s="1"/>
  <c r="EK9" i="19"/>
  <c r="DT4" i="35"/>
  <c r="IM4" i="35" s="1"/>
  <c r="F38" i="48" s="1"/>
  <c r="FG9" i="19"/>
  <c r="EZ4" i="35"/>
  <c r="KY4" i="35" s="1"/>
  <c r="EO105" i="19"/>
  <c r="DZ16" i="35"/>
  <c r="IY16" i="35" s="1"/>
  <c r="FG105" i="19"/>
  <c r="EZ16" i="35"/>
  <c r="KY16" i="35" s="1"/>
  <c r="ET209" i="19"/>
  <c r="EG29" i="35"/>
  <c r="JM29" i="35" s="1"/>
  <c r="FJ209" i="19"/>
  <c r="FC29" i="35"/>
  <c r="LE29" i="35" s="1"/>
  <c r="EO113" i="19"/>
  <c r="DZ17" i="35"/>
  <c r="IY17" i="35" s="1"/>
  <c r="FG113" i="19"/>
  <c r="EZ17" i="35"/>
  <c r="KY17" i="35" s="1"/>
  <c r="EF25" i="19"/>
  <c r="DM6" i="35"/>
  <c r="HY6" i="35" s="1"/>
  <c r="FJ25" i="19"/>
  <c r="FC6" i="35"/>
  <c r="LE6" i="35" s="1"/>
  <c r="EF33" i="19"/>
  <c r="DM7" i="35"/>
  <c r="HY7" i="35" s="1"/>
  <c r="FJ33" i="19"/>
  <c r="FC7" i="35"/>
  <c r="LE7" i="35" s="1"/>
  <c r="EM185" i="19"/>
  <c r="DX26" i="35"/>
  <c r="IU26" i="35" s="1"/>
  <c r="FJ185" i="19"/>
  <c r="FC26" i="35"/>
  <c r="LE26" i="35" s="1"/>
  <c r="ET138" i="19"/>
  <c r="EG20" i="35"/>
  <c r="JM20" i="35" s="1"/>
  <c r="FI138" i="19"/>
  <c r="FB20" i="35"/>
  <c r="LC20" i="35" s="1"/>
  <c r="EO121" i="19"/>
  <c r="DZ18" i="35"/>
  <c r="IY18" i="35" s="1"/>
  <c r="FG121" i="19"/>
  <c r="EZ18" i="35"/>
  <c r="KY18" i="35" s="1"/>
  <c r="EN73" i="19"/>
  <c r="DY12" i="35"/>
  <c r="IW12" i="35" s="1"/>
  <c r="FJ73" i="19"/>
  <c r="FC12" i="35"/>
  <c r="LE12" i="35" s="1"/>
  <c r="ET282" i="19"/>
  <c r="EG38" i="35"/>
  <c r="JM38" i="35" s="1"/>
  <c r="FI282" i="19"/>
  <c r="FB38" i="35"/>
  <c r="LC38" i="35" s="1"/>
  <c r="EI66" i="19"/>
  <c r="DR11" i="35"/>
  <c r="II11" i="35" s="1"/>
  <c r="FI66" i="19"/>
  <c r="FB11" i="35"/>
  <c r="LC11" i="35" s="1"/>
  <c r="ET130" i="19"/>
  <c r="EG19" i="35"/>
  <c r="JM19" i="35" s="1"/>
  <c r="FI130" i="19"/>
  <c r="FB19" i="35"/>
  <c r="LC19" i="35" s="1"/>
  <c r="ET193" i="19"/>
  <c r="EG27" i="35"/>
  <c r="JM27" i="35" s="1"/>
  <c r="FJ193" i="19"/>
  <c r="FC27" i="35"/>
  <c r="LE27" i="35" s="1"/>
  <c r="EM169" i="19"/>
  <c r="DX24" i="35"/>
  <c r="IU24" i="35" s="1"/>
  <c r="FJ169" i="19"/>
  <c r="FC24" i="35"/>
  <c r="LE24" i="35" s="1"/>
  <c r="EO82" i="19"/>
  <c r="DZ13" i="35"/>
  <c r="IY13" i="35" s="1"/>
  <c r="FG82" i="19"/>
  <c r="EZ13" i="35"/>
  <c r="KY13" i="35" s="1"/>
  <c r="ET153" i="19"/>
  <c r="EG22" i="35"/>
  <c r="JM22" i="35" s="1"/>
  <c r="FI153" i="19"/>
  <c r="FB22" i="35"/>
  <c r="LC22" i="35" s="1"/>
  <c r="ET242" i="19"/>
  <c r="EG33" i="35"/>
  <c r="JM33" i="35" s="1"/>
  <c r="FI242" i="19"/>
  <c r="FB33" i="35"/>
  <c r="LC33" i="35" s="1"/>
  <c r="EO298" i="19"/>
  <c r="DZ40" i="35"/>
  <c r="IY40" i="35" s="1"/>
  <c r="FG298" i="19"/>
  <c r="EZ40" i="35"/>
  <c r="KY40" i="35" s="1"/>
  <c r="EE49" i="19"/>
  <c r="DL9" i="35"/>
  <c r="HW9" i="35" s="1"/>
  <c r="FI49" i="19"/>
  <c r="FB9" i="35"/>
  <c r="LC9" i="35" s="1"/>
  <c r="EE41" i="19"/>
  <c r="DL8" i="35"/>
  <c r="HW8" i="35" s="1"/>
  <c r="FI41" i="19"/>
  <c r="FB8" i="35"/>
  <c r="LC8" i="35" s="1"/>
  <c r="EI58" i="19"/>
  <c r="DR10" i="35"/>
  <c r="II10" i="35" s="1"/>
  <c r="FI58" i="19"/>
  <c r="FB10" i="35"/>
  <c r="LC10" i="35" s="1"/>
  <c r="EO313" i="19"/>
  <c r="DZ42" i="35"/>
  <c r="IY42" i="35" s="1"/>
  <c r="FG313" i="19"/>
  <c r="EZ42" i="35"/>
  <c r="KY42" i="35" s="1"/>
  <c r="EO170" i="19"/>
  <c r="DZ24" i="35"/>
  <c r="IY24" i="35" s="1"/>
  <c r="FG170" i="19"/>
  <c r="EZ24" i="35"/>
  <c r="KY24" i="35" s="1"/>
  <c r="EM297" i="19"/>
  <c r="DX40" i="35"/>
  <c r="IU40" i="35" s="1"/>
  <c r="FJ297" i="19"/>
  <c r="FC40" i="35"/>
  <c r="LE40" i="35" s="1"/>
  <c r="EO26" i="19"/>
  <c r="DZ6" i="35"/>
  <c r="IY6" i="35" s="1"/>
  <c r="FG26" i="19"/>
  <c r="EZ6" i="35"/>
  <c r="KY6" i="35" s="1"/>
  <c r="ET122" i="19"/>
  <c r="EG18" i="35"/>
  <c r="JM18" i="35" s="1"/>
  <c r="FI122" i="19"/>
  <c r="FB18" i="35"/>
  <c r="LC18" i="35" s="1"/>
  <c r="ET177" i="19"/>
  <c r="EG25" i="35"/>
  <c r="JM25" i="35" s="1"/>
  <c r="FJ177" i="19"/>
  <c r="FC25" i="35"/>
  <c r="LE25" i="35" s="1"/>
  <c r="EO281" i="19"/>
  <c r="DZ38" i="35"/>
  <c r="IY38" i="35" s="1"/>
  <c r="FG281" i="19"/>
  <c r="EZ38" i="35"/>
  <c r="KY38" i="35" s="1"/>
  <c r="EK65" i="19"/>
  <c r="DT11" i="35"/>
  <c r="IM11" i="35" s="1"/>
  <c r="FG65" i="19"/>
  <c r="EZ11" i="35"/>
  <c r="KY11" i="35" s="1"/>
  <c r="EO250" i="19"/>
  <c r="DZ34" i="35"/>
  <c r="IY34" i="35" s="1"/>
  <c r="FG250" i="19"/>
  <c r="EZ34" i="35"/>
  <c r="KY34" i="35" s="1"/>
  <c r="EU161" i="19"/>
  <c r="EH23" i="35"/>
  <c r="JO23" i="35" s="1"/>
  <c r="FJ161" i="19"/>
  <c r="FC23" i="35"/>
  <c r="LE23" i="35" s="1"/>
  <c r="EM81" i="19"/>
  <c r="DX13" i="35"/>
  <c r="IU13" i="35" s="1"/>
  <c r="FJ81" i="19"/>
  <c r="FC13" i="35"/>
  <c r="LE13" i="35" s="1"/>
  <c r="ET114" i="19"/>
  <c r="EG17" i="35"/>
  <c r="JM17" i="35" s="1"/>
  <c r="FI114" i="19"/>
  <c r="FB17" i="35"/>
  <c r="LC17" i="35" s="1"/>
  <c r="EO241" i="19"/>
  <c r="DZ33" i="35"/>
  <c r="IY33" i="35" s="1"/>
  <c r="FG241" i="19"/>
  <c r="EZ33" i="35"/>
  <c r="KY33" i="35" s="1"/>
  <c r="EF50" i="19"/>
  <c r="DM9" i="35"/>
  <c r="HY9" i="35" s="1"/>
  <c r="FJ50" i="19"/>
  <c r="FC9" i="35"/>
  <c r="LE9" i="35" s="1"/>
  <c r="ET106" i="19"/>
  <c r="EG16" i="35"/>
  <c r="JM16" i="35" s="1"/>
  <c r="FI106" i="19"/>
  <c r="FB16" i="35"/>
  <c r="LC16" i="35" s="1"/>
  <c r="ET90" i="19"/>
  <c r="EG14" i="35"/>
  <c r="JM14" i="35" s="1"/>
  <c r="FI90" i="19"/>
  <c r="FB14" i="35"/>
  <c r="LC14" i="35" s="1"/>
  <c r="EO289" i="19"/>
  <c r="DZ39" i="35"/>
  <c r="IY39" i="35" s="1"/>
  <c r="FG289" i="19"/>
  <c r="EZ39" i="35"/>
  <c r="KY39" i="35" s="1"/>
  <c r="EK57" i="19"/>
  <c r="DT10" i="35"/>
  <c r="IM10" i="35" s="1"/>
  <c r="FG57" i="19"/>
  <c r="EZ10" i="35"/>
  <c r="KY10" i="35" s="1"/>
  <c r="EO137" i="19"/>
  <c r="DZ20" i="35"/>
  <c r="IY20" i="35" s="1"/>
  <c r="FG137" i="19"/>
  <c r="EZ20" i="35"/>
  <c r="KY20" i="35" s="1"/>
  <c r="EO129" i="19"/>
  <c r="DZ19" i="35"/>
  <c r="IY19" i="35" s="1"/>
  <c r="FG129" i="19"/>
  <c r="EZ19" i="35"/>
  <c r="KY19" i="35" s="1"/>
  <c r="EK89" i="19"/>
  <c r="DT14" i="35"/>
  <c r="IM14" i="35" s="1"/>
  <c r="FG89" i="19"/>
  <c r="EZ14" i="35"/>
  <c r="KY14" i="35" s="1"/>
  <c r="K8" i="30"/>
  <c r="MI4" i="35" s="1"/>
  <c r="K9" i="30"/>
  <c r="DL252" i="19"/>
  <c r="CK34" i="35"/>
  <c r="FU34" i="35" s="1"/>
  <c r="DK249" i="19"/>
  <c r="CJ34" i="35"/>
  <c r="FS34" i="35" s="1"/>
  <c r="DK9" i="19"/>
  <c r="CJ4" i="35"/>
  <c r="FS4" i="35" s="1"/>
  <c r="DL105" i="19"/>
  <c r="CK16" i="35"/>
  <c r="FU16" i="35" s="1"/>
  <c r="DJ91" i="19"/>
  <c r="CI14" i="35"/>
  <c r="FQ14" i="35" s="1"/>
  <c r="DL156" i="19"/>
  <c r="CK22" i="35"/>
  <c r="FU22" i="35" s="1"/>
  <c r="EA44" i="19"/>
  <c r="DF8" i="35"/>
  <c r="HK8" i="35" s="1"/>
  <c r="DL33" i="19"/>
  <c r="CK7" i="35"/>
  <c r="FU7" i="35" s="1"/>
  <c r="DL121" i="19"/>
  <c r="CK18" i="35"/>
  <c r="FU18" i="35" s="1"/>
  <c r="DL73" i="19"/>
  <c r="B71" i="19" s="1"/>
  <c r="CK12" i="35"/>
  <c r="FU12" i="35" s="1"/>
  <c r="DL66" i="19"/>
  <c r="CK11" i="35"/>
  <c r="FU11" i="35" s="1"/>
  <c r="DL193" i="19"/>
  <c r="CK27" i="35"/>
  <c r="FU27" i="35" s="1"/>
  <c r="DL169" i="19"/>
  <c r="CK24" i="35"/>
  <c r="FU24" i="35" s="1"/>
  <c r="EA36" i="19"/>
  <c r="DF7" i="35"/>
  <c r="HK7" i="35" s="1"/>
  <c r="DI315" i="19"/>
  <c r="CH42" i="35"/>
  <c r="FO42" i="35" s="1"/>
  <c r="DL177" i="19"/>
  <c r="CK25" i="35"/>
  <c r="FU25" i="35" s="1"/>
  <c r="DL281" i="19"/>
  <c r="CK38" i="35"/>
  <c r="FU38" i="35" s="1"/>
  <c r="DL241" i="19"/>
  <c r="CK33" i="35"/>
  <c r="FU33" i="35" s="1"/>
  <c r="DL90" i="19"/>
  <c r="CK14" i="35"/>
  <c r="FU14" i="35" s="1"/>
  <c r="DL137" i="19"/>
  <c r="CK20" i="35"/>
  <c r="FU20" i="35" s="1"/>
  <c r="DK313" i="19"/>
  <c r="CJ42" i="35"/>
  <c r="FS42" i="35" s="1"/>
  <c r="DK123" i="19"/>
  <c r="CJ18" i="35"/>
  <c r="FS18" i="35" s="1"/>
  <c r="DL289" i="19"/>
  <c r="CK39" i="35"/>
  <c r="FU39" i="35" s="1"/>
  <c r="DL297" i="19"/>
  <c r="CK40" i="35"/>
  <c r="FU40" i="35" s="1"/>
  <c r="DL84" i="19"/>
  <c r="CK13" i="35"/>
  <c r="FU13" i="35" s="1"/>
  <c r="DK89" i="19"/>
  <c r="CJ14" i="35"/>
  <c r="FS14" i="35" s="1"/>
  <c r="EE171" i="19"/>
  <c r="DL24" i="35"/>
  <c r="HW24" i="35" s="1"/>
  <c r="FE171" i="19"/>
  <c r="EV24" i="35"/>
  <c r="KQ24" i="35" s="1"/>
  <c r="EJ243" i="19"/>
  <c r="DS33" i="35"/>
  <c r="IK33" i="35" s="1"/>
  <c r="EY243" i="19"/>
  <c r="EN33" i="35"/>
  <c r="KA33" i="35" s="1"/>
  <c r="EE299" i="19"/>
  <c r="DL40" i="35"/>
  <c r="HW40" i="35" s="1"/>
  <c r="FE299" i="19"/>
  <c r="EV40" i="35"/>
  <c r="KQ40" i="35" s="1"/>
  <c r="EF91" i="19"/>
  <c r="DM14" i="35"/>
  <c r="HY14" i="35" s="1"/>
  <c r="FB91" i="19"/>
  <c r="ES14" i="35"/>
  <c r="KK14" i="35" s="1"/>
  <c r="EJ115" i="19"/>
  <c r="DS17" i="35"/>
  <c r="IK17" i="35" s="1"/>
  <c r="EY115" i="19"/>
  <c r="EN17" i="35"/>
  <c r="KA17" i="35" s="1"/>
  <c r="EF156" i="19"/>
  <c r="DM22" i="35"/>
  <c r="HY22" i="35" s="1"/>
  <c r="EZ156" i="19"/>
  <c r="EO22" i="35"/>
  <c r="KC22" i="35" s="1"/>
  <c r="EF44" i="19"/>
  <c r="DM8" i="35"/>
  <c r="HY8" i="35" s="1"/>
  <c r="EZ44" i="19"/>
  <c r="EO8" i="35"/>
  <c r="KC8" i="35" s="1"/>
  <c r="EH251" i="19"/>
  <c r="DQ34" i="35"/>
  <c r="IG34" i="35" s="1"/>
  <c r="FE251" i="19"/>
  <c r="EV34" i="35"/>
  <c r="KQ34" i="35" s="1"/>
  <c r="EJ291" i="19"/>
  <c r="DS39" i="35"/>
  <c r="IK39" i="35" s="1"/>
  <c r="EY291" i="19"/>
  <c r="EN39" i="35"/>
  <c r="KA39" i="35" s="1"/>
  <c r="EE83" i="19"/>
  <c r="DL13" i="35"/>
  <c r="HW13" i="35" s="1"/>
  <c r="FE83" i="19"/>
  <c r="EV13" i="35"/>
  <c r="KQ13" i="35" s="1"/>
  <c r="EJ107" i="19"/>
  <c r="DS16" i="35"/>
  <c r="IK16" i="35" s="1"/>
  <c r="EY107" i="19"/>
  <c r="EN16" i="35"/>
  <c r="KA16" i="35" s="1"/>
  <c r="EK36" i="19"/>
  <c r="DT7" i="35"/>
  <c r="IM7" i="35" s="1"/>
  <c r="EU196" i="19"/>
  <c r="EH27" i="35"/>
  <c r="JO27" i="35" s="1"/>
  <c r="EJ139" i="19"/>
  <c r="DS20" i="35"/>
  <c r="IK20" i="35" s="1"/>
  <c r="EY139" i="19"/>
  <c r="EN20" i="35"/>
  <c r="KA20" i="35" s="1"/>
  <c r="EF315" i="19"/>
  <c r="DM42" i="35"/>
  <c r="HY42" i="35" s="1"/>
  <c r="FB315" i="19"/>
  <c r="ES42" i="35"/>
  <c r="KK42" i="35" s="1"/>
  <c r="EI75" i="19"/>
  <c r="DR12" i="35"/>
  <c r="II12" i="35" s="1"/>
  <c r="FE75" i="19"/>
  <c r="EV12" i="35"/>
  <c r="KQ12" i="35" s="1"/>
  <c r="EJ131" i="19"/>
  <c r="DS19" i="35"/>
  <c r="IK19" i="35" s="1"/>
  <c r="FB131" i="19"/>
  <c r="ES19" i="35"/>
  <c r="KK19" i="35" s="1"/>
  <c r="EF59" i="19"/>
  <c r="DM10" i="35"/>
  <c r="HY10" i="35" s="1"/>
  <c r="FB59" i="19"/>
  <c r="ES10" i="35"/>
  <c r="KK10" i="35" s="1"/>
  <c r="EH187" i="19"/>
  <c r="DQ26" i="35"/>
  <c r="IG26" i="35" s="1"/>
  <c r="FE187" i="19"/>
  <c r="EV26" i="35"/>
  <c r="KQ26" i="35" s="1"/>
  <c r="EF123" i="19"/>
  <c r="DM18" i="35"/>
  <c r="HY18" i="35" s="1"/>
  <c r="FB123" i="19"/>
  <c r="ES18" i="35"/>
  <c r="KK18" i="35" s="1"/>
  <c r="EF283" i="19"/>
  <c r="DM38" i="35"/>
  <c r="HY38" i="35" s="1"/>
  <c r="FB283" i="19"/>
  <c r="ES38" i="35"/>
  <c r="KK38" i="35" s="1"/>
  <c r="EJ67" i="19"/>
  <c r="DS11" i="35"/>
  <c r="IK11" i="35" s="1"/>
  <c r="FB67" i="19"/>
  <c r="ES11" i="35"/>
  <c r="KK11" i="35" s="1"/>
  <c r="EH27" i="19"/>
  <c r="DQ6" i="35"/>
  <c r="IG6" i="35" s="1"/>
  <c r="FE27" i="19"/>
  <c r="EV6" i="35"/>
  <c r="KQ6" i="35" s="1"/>
  <c r="EK51" i="19"/>
  <c r="DT9" i="35"/>
  <c r="IM9" i="35" s="1"/>
  <c r="FD51" i="19"/>
  <c r="EU9" i="35"/>
  <c r="KO9" i="35" s="1"/>
  <c r="EK186" i="19"/>
  <c r="DT26" i="35"/>
  <c r="IM26" i="35" s="1"/>
  <c r="EZ186" i="19"/>
  <c r="EO26" i="35"/>
  <c r="KC26" i="35" s="1"/>
  <c r="EE314" i="19"/>
  <c r="DL42" i="35"/>
  <c r="HW42" i="35" s="1"/>
  <c r="FE314" i="19"/>
  <c r="EV42" i="35"/>
  <c r="KQ42" i="35" s="1"/>
  <c r="EK74" i="19"/>
  <c r="DT12" i="35"/>
  <c r="IM12" i="35" s="1"/>
  <c r="ER74" i="19"/>
  <c r="EE12" i="35"/>
  <c r="JI12" i="35" s="1"/>
  <c r="EJ249" i="19"/>
  <c r="DS34" i="35"/>
  <c r="IK34" i="35" s="1"/>
  <c r="EY249" i="19"/>
  <c r="EN34" i="35"/>
  <c r="KA34" i="35" s="1"/>
  <c r="EJ217" i="19"/>
  <c r="DS30" i="35"/>
  <c r="IK30" i="35" s="1"/>
  <c r="FD217" i="19"/>
  <c r="EU30" i="35"/>
  <c r="KO30" i="35" s="1"/>
  <c r="EE290" i="19"/>
  <c r="DL39" i="35"/>
  <c r="HW39" i="35" s="1"/>
  <c r="FE290" i="19"/>
  <c r="EV39" i="35"/>
  <c r="KQ39" i="35" s="1"/>
  <c r="EJ265" i="19"/>
  <c r="DS36" i="35"/>
  <c r="IK36" i="35" s="1"/>
  <c r="FD265" i="19"/>
  <c r="EU36" i="35"/>
  <c r="KO36" i="35" s="1"/>
  <c r="EO9" i="19"/>
  <c r="DZ4" i="35"/>
  <c r="IY4" i="35" s="1"/>
  <c r="ER9" i="19"/>
  <c r="EE4" i="35"/>
  <c r="JI4" i="35" s="1"/>
  <c r="FO9" i="19"/>
  <c r="FJ4" i="35"/>
  <c r="LS4" i="35" s="1"/>
  <c r="F38" i="54" s="1"/>
  <c r="ER105" i="19"/>
  <c r="EE16" i="35"/>
  <c r="JI16" i="35" s="1"/>
  <c r="FO105" i="19"/>
  <c r="FJ16" i="35"/>
  <c r="LS16" i="35" s="1"/>
  <c r="EP209" i="19"/>
  <c r="EA29" i="35"/>
  <c r="JA29" i="35" s="1"/>
  <c r="FN209" i="19"/>
  <c r="FI29" i="35"/>
  <c r="LQ29" i="35" s="1"/>
  <c r="ER113" i="19"/>
  <c r="EE17" i="35"/>
  <c r="JI17" i="35" s="1"/>
  <c r="FO113" i="19"/>
  <c r="FJ17" i="35"/>
  <c r="LS17" i="35" s="1"/>
  <c r="EY25" i="19"/>
  <c r="EN6" i="35"/>
  <c r="KA6" i="35" s="1"/>
  <c r="FN25" i="19"/>
  <c r="FI6" i="35"/>
  <c r="LQ6" i="35" s="1"/>
  <c r="ET33" i="19"/>
  <c r="EG7" i="35"/>
  <c r="JM7" i="35" s="1"/>
  <c r="FN33" i="19"/>
  <c r="FI7" i="35"/>
  <c r="LQ7" i="35" s="1"/>
  <c r="EU185" i="19"/>
  <c r="EH26" i="35"/>
  <c r="JO26" i="35" s="1"/>
  <c r="FN185" i="19"/>
  <c r="FI26" i="35"/>
  <c r="LQ26" i="35" s="1"/>
  <c r="EP138" i="19"/>
  <c r="EA20" i="35"/>
  <c r="JA20" i="35" s="1"/>
  <c r="FL138" i="19"/>
  <c r="FG20" i="35"/>
  <c r="LM20" i="35" s="1"/>
  <c r="ER121" i="19"/>
  <c r="EE18" i="35"/>
  <c r="JI18" i="35" s="1"/>
  <c r="FO121" i="19"/>
  <c r="FJ18" i="35"/>
  <c r="LS18" i="35" s="1"/>
  <c r="EY73" i="19"/>
  <c r="EN12" i="35"/>
  <c r="KA12" i="35" s="1"/>
  <c r="FN73" i="19"/>
  <c r="FI12" i="35"/>
  <c r="LQ12" i="35" s="1"/>
  <c r="EP282" i="19"/>
  <c r="EA38" i="35"/>
  <c r="JA38" i="35" s="1"/>
  <c r="FL282" i="19"/>
  <c r="FG38" i="35"/>
  <c r="LM38" i="35" s="1"/>
  <c r="ET66" i="19"/>
  <c r="EG11" i="35"/>
  <c r="JM11" i="35" s="1"/>
  <c r="FL66" i="19"/>
  <c r="FG11" i="35"/>
  <c r="LM11" i="35" s="1"/>
  <c r="EP130" i="19"/>
  <c r="EA19" i="35"/>
  <c r="JA19" i="35" s="1"/>
  <c r="FL130" i="19"/>
  <c r="FG19" i="35"/>
  <c r="LM19" i="35" s="1"/>
  <c r="EP193" i="19"/>
  <c r="EA27" i="35"/>
  <c r="JA27" i="35" s="1"/>
  <c r="FN193" i="19"/>
  <c r="FI27" i="35"/>
  <c r="LQ27" i="35" s="1"/>
  <c r="EU169" i="19"/>
  <c r="EH24" i="35"/>
  <c r="JO24" i="35" s="1"/>
  <c r="FN169" i="19"/>
  <c r="FI24" i="35"/>
  <c r="LQ24" i="35" s="1"/>
  <c r="ER82" i="19"/>
  <c r="EE13" i="35"/>
  <c r="JI13" i="35" s="1"/>
  <c r="FO82" i="19"/>
  <c r="FJ13" i="35"/>
  <c r="LS13" i="35" s="1"/>
  <c r="EO153" i="19"/>
  <c r="DZ22" i="35"/>
  <c r="IY22" i="35" s="1"/>
  <c r="FN153" i="19"/>
  <c r="FI22" i="35"/>
  <c r="LQ22" i="35" s="1"/>
  <c r="EP242" i="19"/>
  <c r="EA33" i="35"/>
  <c r="JA33" i="35" s="1"/>
  <c r="FL242" i="19"/>
  <c r="FG33" i="35"/>
  <c r="LM33" i="35" s="1"/>
  <c r="ER298" i="19"/>
  <c r="EE40" i="35"/>
  <c r="JI40" i="35" s="1"/>
  <c r="FO298" i="19"/>
  <c r="FJ40" i="35"/>
  <c r="LS40" i="35" s="1"/>
  <c r="ET49" i="19"/>
  <c r="EG9" i="35"/>
  <c r="JM9" i="35" s="1"/>
  <c r="FL49" i="19"/>
  <c r="FG9" i="35"/>
  <c r="LM9" i="35" s="1"/>
  <c r="EY41" i="19"/>
  <c r="EN8" i="35"/>
  <c r="KA8" i="35" s="1"/>
  <c r="FN41" i="19"/>
  <c r="FI8" i="35"/>
  <c r="LQ8" i="35" s="1"/>
  <c r="ET58" i="19"/>
  <c r="EG10" i="35"/>
  <c r="JM10" i="35" s="1"/>
  <c r="FL58" i="19"/>
  <c r="FG10" i="35"/>
  <c r="LM10" i="35" s="1"/>
  <c r="ER313" i="19"/>
  <c r="EE42" i="35"/>
  <c r="JI42" i="35" s="1"/>
  <c r="FO313" i="19"/>
  <c r="FJ42" i="35"/>
  <c r="LS42" i="35" s="1"/>
  <c r="ER170" i="19"/>
  <c r="EE24" i="35"/>
  <c r="JI24" i="35" s="1"/>
  <c r="FO170" i="19"/>
  <c r="FJ24" i="35"/>
  <c r="LS24" i="35" s="1"/>
  <c r="EU297" i="19"/>
  <c r="EH40" i="35"/>
  <c r="JO40" i="35" s="1"/>
  <c r="FN297" i="19"/>
  <c r="FI40" i="35"/>
  <c r="LQ40" i="35" s="1"/>
  <c r="EZ26" i="19"/>
  <c r="EO6" i="35"/>
  <c r="KC6" i="35" s="1"/>
  <c r="FO26" i="19"/>
  <c r="FJ6" i="35"/>
  <c r="LS6" i="35" s="1"/>
  <c r="EP122" i="19"/>
  <c r="EA18" i="35"/>
  <c r="JA18" i="35" s="1"/>
  <c r="FL122" i="19"/>
  <c r="FG18" i="35"/>
  <c r="LM18" i="35" s="1"/>
  <c r="EP177" i="19"/>
  <c r="EA25" i="35"/>
  <c r="JA25" i="35" s="1"/>
  <c r="FN177" i="19"/>
  <c r="FI25" i="35"/>
  <c r="LQ25" i="35" s="1"/>
  <c r="ER281" i="19"/>
  <c r="EE38" i="35"/>
  <c r="JI38" i="35" s="1"/>
  <c r="FO281" i="19"/>
  <c r="FJ38" i="35"/>
  <c r="LS38" i="35" s="1"/>
  <c r="EZ65" i="19"/>
  <c r="EO11" i="35"/>
  <c r="KC11" i="35" s="1"/>
  <c r="FO65" i="19"/>
  <c r="FJ11" i="35"/>
  <c r="LS11" i="35" s="1"/>
  <c r="ER250" i="19"/>
  <c r="EE34" i="35"/>
  <c r="JI34" i="35" s="1"/>
  <c r="FO250" i="19"/>
  <c r="FJ34" i="35"/>
  <c r="LS34" i="35" s="1"/>
  <c r="EP161" i="19"/>
  <c r="EA23" i="35"/>
  <c r="JA23" i="35" s="1"/>
  <c r="FO161" i="19"/>
  <c r="FJ23" i="35"/>
  <c r="LS23" i="35" s="1"/>
  <c r="EU81" i="19"/>
  <c r="EH13" i="35"/>
  <c r="JO13" i="35" s="1"/>
  <c r="FN81" i="19"/>
  <c r="FI13" i="35"/>
  <c r="LQ13" i="35" s="1"/>
  <c r="EP114" i="19"/>
  <c r="EA17" i="35"/>
  <c r="JA17" i="35" s="1"/>
  <c r="FL114" i="19"/>
  <c r="FG17" i="35"/>
  <c r="LM17" i="35" s="1"/>
  <c r="ER241" i="19"/>
  <c r="EE33" i="35"/>
  <c r="JI33" i="35" s="1"/>
  <c r="FO241" i="19"/>
  <c r="FJ33" i="35"/>
  <c r="LS33" i="35" s="1"/>
  <c r="EU50" i="19"/>
  <c r="EH9" i="35"/>
  <c r="JO9" i="35" s="1"/>
  <c r="FN50" i="19"/>
  <c r="FI9" i="35"/>
  <c r="LQ9" i="35" s="1"/>
  <c r="EP106" i="19"/>
  <c r="EA16" i="35"/>
  <c r="JA16" i="35" s="1"/>
  <c r="FL106" i="19"/>
  <c r="FG16" i="35"/>
  <c r="LM16" i="35" s="1"/>
  <c r="EP90" i="19"/>
  <c r="EA14" i="35"/>
  <c r="JA14" i="35" s="1"/>
  <c r="FL90" i="19"/>
  <c r="FG14" i="35"/>
  <c r="LM14" i="35" s="1"/>
  <c r="ER289" i="19"/>
  <c r="EE39" i="35"/>
  <c r="JI39" i="35" s="1"/>
  <c r="FO289" i="19"/>
  <c r="FJ39" i="35"/>
  <c r="LS39" i="35" s="1"/>
  <c r="EZ57" i="19"/>
  <c r="EO10" i="35"/>
  <c r="KC10" i="35" s="1"/>
  <c r="FO57" i="19"/>
  <c r="FJ10" i="35"/>
  <c r="LS10" i="35" s="1"/>
  <c r="ER137" i="19"/>
  <c r="EE20" i="35"/>
  <c r="JI20" i="35" s="1"/>
  <c r="FO137" i="19"/>
  <c r="FJ20" i="35"/>
  <c r="LS20" i="35" s="1"/>
  <c r="ER129" i="19"/>
  <c r="EE19" i="35"/>
  <c r="JI19" i="35" s="1"/>
  <c r="FO129" i="19"/>
  <c r="FJ19" i="35"/>
  <c r="LS19" i="35" s="1"/>
  <c r="ER89" i="19"/>
  <c r="EE14" i="35"/>
  <c r="JI14" i="35" s="1"/>
  <c r="FO89" i="19"/>
  <c r="FJ14" i="35"/>
  <c r="LS14" i="35" s="1"/>
  <c r="DL314" i="19"/>
  <c r="CK42" i="35"/>
  <c r="FU42" i="35" s="1"/>
  <c r="DL265" i="19"/>
  <c r="CK36" i="35"/>
  <c r="FU36" i="35" s="1"/>
  <c r="DZ51" i="19"/>
  <c r="DE9" i="35"/>
  <c r="HI9" i="35" s="1"/>
  <c r="DL185" i="19"/>
  <c r="CK26" i="35"/>
  <c r="FU26" i="35" s="1"/>
  <c r="DZ186" i="19"/>
  <c r="DE26" i="35"/>
  <c r="HI26" i="35" s="1"/>
  <c r="DX249" i="19"/>
  <c r="DC34" i="35"/>
  <c r="HE34" i="35" s="1"/>
  <c r="EA290" i="19"/>
  <c r="DF39" i="35"/>
  <c r="HK39" i="35" s="1"/>
  <c r="DY243" i="19"/>
  <c r="DD33" i="35"/>
  <c r="HG33" i="35" s="1"/>
  <c r="DZ9" i="19"/>
  <c r="DE4" i="35"/>
  <c r="HI4" i="35" s="1"/>
  <c r="DZ105" i="19"/>
  <c r="DE16" i="35"/>
  <c r="HI16" i="35" s="1"/>
  <c r="DY91" i="19"/>
  <c r="DD14" i="35"/>
  <c r="HG14" i="35" s="1"/>
  <c r="EA83" i="19"/>
  <c r="DF13" i="35"/>
  <c r="HK13" i="35" s="1"/>
  <c r="EA156" i="19"/>
  <c r="DF22" i="35"/>
  <c r="HK22" i="35" s="1"/>
  <c r="DL44" i="19"/>
  <c r="CK8" i="35"/>
  <c r="FU8" i="35" s="1"/>
  <c r="DZ33" i="19"/>
  <c r="DE7" i="35"/>
  <c r="HI7" i="35" s="1"/>
  <c r="EA121" i="19"/>
  <c r="DF18" i="35"/>
  <c r="HK18" i="35" s="1"/>
  <c r="DY73" i="19"/>
  <c r="DD12" i="35"/>
  <c r="HG12" i="35" s="1"/>
  <c r="EA66" i="19"/>
  <c r="DF11" i="35"/>
  <c r="HK11" i="35" s="1"/>
  <c r="DX291" i="19"/>
  <c r="DC39" i="35"/>
  <c r="HE39" i="35" s="1"/>
  <c r="DZ193" i="19"/>
  <c r="DE27" i="35"/>
  <c r="HI27" i="35" s="1"/>
  <c r="DZ169" i="19"/>
  <c r="DE24" i="35"/>
  <c r="HI24" i="35" s="1"/>
  <c r="EA242" i="19"/>
  <c r="DF33" i="35"/>
  <c r="HK33" i="35" s="1"/>
  <c r="DZ298" i="19"/>
  <c r="DE40" i="35"/>
  <c r="HI40" i="35" s="1"/>
  <c r="EA284" i="19"/>
  <c r="DF38" i="35"/>
  <c r="HK38" i="35" s="1"/>
  <c r="EA268" i="19"/>
  <c r="DF36" i="35"/>
  <c r="HK36" i="35" s="1"/>
  <c r="EA76" i="19"/>
  <c r="DF12" i="35"/>
  <c r="HK12" i="35" s="1"/>
  <c r="DZ26" i="19"/>
  <c r="DE6" i="35"/>
  <c r="HI6" i="35" s="1"/>
  <c r="DX315" i="19"/>
  <c r="DC42" i="35"/>
  <c r="HE42" i="35" s="1"/>
  <c r="DZ177" i="19"/>
  <c r="DE25" i="35"/>
  <c r="HI25" i="35" s="1"/>
  <c r="DY281" i="19"/>
  <c r="DD38" i="35"/>
  <c r="HG38" i="35" s="1"/>
  <c r="DZ250" i="19"/>
  <c r="DE34" i="35"/>
  <c r="HI34" i="35" s="1"/>
  <c r="DZ241" i="19"/>
  <c r="DE33" i="35"/>
  <c r="HI33" i="35" s="1"/>
  <c r="EA90" i="19"/>
  <c r="DF14" i="35"/>
  <c r="HK14" i="35" s="1"/>
  <c r="EA137" i="19"/>
  <c r="DF20" i="35"/>
  <c r="HK20" i="35" s="1"/>
  <c r="DZ313" i="19"/>
  <c r="DE42" i="35"/>
  <c r="HI42" i="35" s="1"/>
  <c r="DZ123" i="19"/>
  <c r="DE18" i="35"/>
  <c r="HI18" i="35" s="1"/>
  <c r="DZ289" i="19"/>
  <c r="DE39" i="35"/>
  <c r="HI39" i="35" s="1"/>
  <c r="DX297" i="19"/>
  <c r="DC40" i="35"/>
  <c r="HE40" i="35" s="1"/>
  <c r="EA220" i="19"/>
  <c r="DF30" i="35"/>
  <c r="HK30" i="35" s="1"/>
  <c r="EA187" i="19"/>
  <c r="DF26" i="35"/>
  <c r="HK26" i="35" s="1"/>
  <c r="DY67" i="19"/>
  <c r="DD11" i="35"/>
  <c r="HG11" i="35" s="1"/>
  <c r="DZ89" i="19"/>
  <c r="DE14" i="35"/>
  <c r="HI14" i="35" s="1"/>
  <c r="EH171" i="19"/>
  <c r="DQ24" i="35"/>
  <c r="IG24" i="35" s="1"/>
  <c r="EW171" i="19"/>
  <c r="EL24" i="35"/>
  <c r="JW24" i="35" s="1"/>
  <c r="EF243" i="19"/>
  <c r="DM33" i="35"/>
  <c r="HY33" i="35" s="1"/>
  <c r="FB243" i="19"/>
  <c r="ES33" i="35"/>
  <c r="KK33" i="35" s="1"/>
  <c r="EH299" i="19"/>
  <c r="DQ40" i="35"/>
  <c r="IG40" i="35" s="1"/>
  <c r="EW299" i="19"/>
  <c r="EL40" i="35"/>
  <c r="JW40" i="35" s="1"/>
  <c r="EJ91" i="19"/>
  <c r="DS14" i="35"/>
  <c r="IK14" i="35" s="1"/>
  <c r="EY91" i="19"/>
  <c r="EN14" i="35"/>
  <c r="KA14" i="35" s="1"/>
  <c r="EF115" i="19"/>
  <c r="DM17" i="35"/>
  <c r="HY17" i="35" s="1"/>
  <c r="FB115" i="19"/>
  <c r="ES17" i="35"/>
  <c r="KK17" i="35" s="1"/>
  <c r="EK156" i="19"/>
  <c r="DT22" i="35"/>
  <c r="IM22" i="35" s="1"/>
  <c r="FE156" i="19"/>
  <c r="EV22" i="35"/>
  <c r="KQ22" i="35" s="1"/>
  <c r="EK44" i="19"/>
  <c r="DT8" i="35"/>
  <c r="IM8" i="35" s="1"/>
  <c r="FE44" i="19"/>
  <c r="EV8" i="35"/>
  <c r="KQ8" i="35" s="1"/>
  <c r="EK212" i="19"/>
  <c r="DT29" i="35"/>
  <c r="IM29" i="35" s="1"/>
  <c r="FE212" i="19"/>
  <c r="EV29" i="35"/>
  <c r="KQ29" i="35" s="1"/>
  <c r="EE251" i="19"/>
  <c r="DL34" i="35"/>
  <c r="HW34" i="35" s="1"/>
  <c r="EW251" i="19"/>
  <c r="EL34" i="35"/>
  <c r="JW34" i="35" s="1"/>
  <c r="EF291" i="19"/>
  <c r="DM39" i="35"/>
  <c r="HY39" i="35" s="1"/>
  <c r="EU291" i="19"/>
  <c r="EH39" i="35"/>
  <c r="JO39" i="35" s="1"/>
  <c r="EH83" i="19"/>
  <c r="DQ13" i="35"/>
  <c r="IG13" i="35" s="1"/>
  <c r="EW83" i="19"/>
  <c r="EL13" i="35"/>
  <c r="JW13" i="35" s="1"/>
  <c r="EF107" i="19"/>
  <c r="DM16" i="35"/>
  <c r="HY16" i="35" s="1"/>
  <c r="FB107" i="19"/>
  <c r="ES16" i="35"/>
  <c r="KK16" i="35" s="1"/>
  <c r="FE36" i="19"/>
  <c r="EV7" i="35"/>
  <c r="KQ7" i="35" s="1"/>
  <c r="EK180" i="19"/>
  <c r="DT25" i="35"/>
  <c r="IM25" i="35" s="1"/>
  <c r="FE180" i="19"/>
  <c r="EV25" i="35"/>
  <c r="KQ25" i="35" s="1"/>
  <c r="EK196" i="19"/>
  <c r="DT27" i="35"/>
  <c r="IM27" i="35" s="1"/>
  <c r="FE196" i="19"/>
  <c r="EV27" i="35"/>
  <c r="KQ27" i="35" s="1"/>
  <c r="EK268" i="19"/>
  <c r="DT36" i="35"/>
  <c r="IM36" i="35" s="1"/>
  <c r="FE268" i="19"/>
  <c r="EV36" i="35"/>
  <c r="KQ36" i="35" s="1"/>
  <c r="EF139" i="19"/>
  <c r="DM20" i="35"/>
  <c r="HY20" i="35" s="1"/>
  <c r="FB139" i="19"/>
  <c r="ES20" i="35"/>
  <c r="KK20" i="35" s="1"/>
  <c r="EJ315" i="19"/>
  <c r="DS42" i="35"/>
  <c r="IK42" i="35" s="1"/>
  <c r="EY315" i="19"/>
  <c r="EN42" i="35"/>
  <c r="KA42" i="35" s="1"/>
  <c r="EE75" i="19"/>
  <c r="DL12" i="35"/>
  <c r="HW12" i="35" s="1"/>
  <c r="EW75" i="19"/>
  <c r="EL12" i="35"/>
  <c r="JW12" i="35" s="1"/>
  <c r="EF131" i="19"/>
  <c r="DM19" i="35"/>
  <c r="HY19" i="35" s="1"/>
  <c r="EY131" i="19"/>
  <c r="EN19" i="35"/>
  <c r="KA19" i="35" s="1"/>
  <c r="EJ59" i="19"/>
  <c r="DS10" i="35"/>
  <c r="IK10" i="35" s="1"/>
  <c r="EY59" i="19"/>
  <c r="EN10" i="35"/>
  <c r="KA10" i="35" s="1"/>
  <c r="EK220" i="19"/>
  <c r="DT30" i="35"/>
  <c r="IM30" i="35" s="1"/>
  <c r="FE220" i="19"/>
  <c r="EV30" i="35"/>
  <c r="KQ30" i="35" s="1"/>
  <c r="EE187" i="19"/>
  <c r="DL26" i="35"/>
  <c r="HW26" i="35" s="1"/>
  <c r="EW187" i="19"/>
  <c r="EL26" i="35"/>
  <c r="JW26" i="35" s="1"/>
  <c r="EJ123" i="19"/>
  <c r="DS18" i="35"/>
  <c r="IK18" i="35" s="1"/>
  <c r="EY123" i="19"/>
  <c r="EN18" i="35"/>
  <c r="KA18" i="35" s="1"/>
  <c r="EJ283" i="19"/>
  <c r="DS38" i="35"/>
  <c r="IK38" i="35" s="1"/>
  <c r="EY283" i="19"/>
  <c r="EN38" i="35"/>
  <c r="KA38" i="35" s="1"/>
  <c r="EF67" i="19"/>
  <c r="DM11" i="35"/>
  <c r="HY11" i="35" s="1"/>
  <c r="EY67" i="19"/>
  <c r="EN11" i="35"/>
  <c r="KA11" i="35" s="1"/>
  <c r="EE27" i="19"/>
  <c r="DL6" i="35"/>
  <c r="HW6" i="35" s="1"/>
  <c r="EW27" i="19"/>
  <c r="EL6" i="35"/>
  <c r="JW6" i="35" s="1"/>
  <c r="ED51" i="19"/>
  <c r="DK9" i="35"/>
  <c r="HU9" i="35" s="1"/>
  <c r="EZ51" i="19"/>
  <c r="EO9" i="35"/>
  <c r="KC9" i="35" s="1"/>
  <c r="ED186" i="19"/>
  <c r="DK26" i="35"/>
  <c r="HU26" i="35" s="1"/>
  <c r="FD186" i="19"/>
  <c r="EU26" i="35"/>
  <c r="KO26" i="35" s="1"/>
  <c r="EH314" i="19"/>
  <c r="DQ42" i="35"/>
  <c r="IG42" i="35" s="1"/>
  <c r="EW314" i="19"/>
  <c r="EL42" i="35"/>
  <c r="JW42" i="35" s="1"/>
  <c r="ED74" i="19"/>
  <c r="DK12" i="35"/>
  <c r="HU12" i="35" s="1"/>
  <c r="FD74" i="19"/>
  <c r="EU12" i="35"/>
  <c r="KO12" i="35" s="1"/>
  <c r="EF249" i="19"/>
  <c r="DM34" i="35"/>
  <c r="HY34" i="35" s="1"/>
  <c r="FB249" i="19"/>
  <c r="ES34" i="35"/>
  <c r="KK34" i="35" s="1"/>
  <c r="EF217" i="19"/>
  <c r="DM30" i="35"/>
  <c r="HY30" i="35" s="1"/>
  <c r="EZ217" i="19"/>
  <c r="EO30" i="35"/>
  <c r="KC30" i="35" s="1"/>
  <c r="EH290" i="19"/>
  <c r="DQ39" i="35"/>
  <c r="IG39" i="35" s="1"/>
  <c r="EW290" i="19"/>
  <c r="EL39" i="35"/>
  <c r="JW39" i="35" s="1"/>
  <c r="EF265" i="19"/>
  <c r="DM36" i="35"/>
  <c r="HY36" i="35" s="1"/>
  <c r="EZ265" i="19"/>
  <c r="EO36" i="35"/>
  <c r="KC36" i="35" s="1"/>
  <c r="DL9" i="19"/>
  <c r="CK4" i="35"/>
  <c r="FU4" i="35" s="1"/>
  <c r="EZ9" i="19"/>
  <c r="EO4" i="35"/>
  <c r="KC4" i="35" s="1"/>
  <c r="EC105" i="19"/>
  <c r="DJ16" i="35"/>
  <c r="HS16" i="35" s="1"/>
  <c r="FD105" i="19"/>
  <c r="EU16" i="35"/>
  <c r="KO16" i="35" s="1"/>
  <c r="EJ209" i="19"/>
  <c r="DS29" i="35"/>
  <c r="IK29" i="35" s="1"/>
  <c r="FD209" i="19"/>
  <c r="EU29" i="35"/>
  <c r="KO29" i="35" s="1"/>
  <c r="EC113" i="19"/>
  <c r="DJ17" i="35"/>
  <c r="HS17" i="35" s="1"/>
  <c r="FD113" i="19"/>
  <c r="EU17" i="35"/>
  <c r="KO17" i="35" s="1"/>
  <c r="EJ25" i="19"/>
  <c r="DS6" i="35"/>
  <c r="IK6" i="35" s="1"/>
  <c r="EU25" i="19"/>
  <c r="EH6" i="35"/>
  <c r="JO6" i="35" s="1"/>
  <c r="EJ33" i="19"/>
  <c r="DS7" i="35"/>
  <c r="IK7" i="35" s="1"/>
  <c r="EZ33" i="19"/>
  <c r="EO7" i="35"/>
  <c r="KC7" i="35" s="1"/>
  <c r="EJ185" i="19"/>
  <c r="DS26" i="35"/>
  <c r="IK26" i="35" s="1"/>
  <c r="EY185" i="19"/>
  <c r="EN26" i="35"/>
  <c r="KA26" i="35" s="1"/>
  <c r="EE138" i="19"/>
  <c r="DL20" i="35"/>
  <c r="HW20" i="35" s="1"/>
  <c r="FE138" i="19"/>
  <c r="EV20" i="35"/>
  <c r="KQ20" i="35" s="1"/>
  <c r="EC121" i="19"/>
  <c r="DJ18" i="35"/>
  <c r="HS18" i="35" s="1"/>
  <c r="FD121" i="19"/>
  <c r="EU18" i="35"/>
  <c r="KO18" i="35" s="1"/>
  <c r="EJ73" i="19"/>
  <c r="DS12" i="35"/>
  <c r="IK12" i="35" s="1"/>
  <c r="EU73" i="19"/>
  <c r="EH12" i="35"/>
  <c r="JO12" i="35" s="1"/>
  <c r="EE282" i="19"/>
  <c r="DL38" i="35"/>
  <c r="HW38" i="35" s="1"/>
  <c r="FE282" i="19"/>
  <c r="EV38" i="35"/>
  <c r="KQ38" i="35" s="1"/>
  <c r="EP66" i="19"/>
  <c r="EA11" i="35"/>
  <c r="JA11" i="35" s="1"/>
  <c r="EW66" i="19"/>
  <c r="EL11" i="35"/>
  <c r="JW11" i="35" s="1"/>
  <c r="EE130" i="19"/>
  <c r="DL19" i="35"/>
  <c r="HW19" i="35" s="1"/>
  <c r="FE130" i="19"/>
  <c r="EV19" i="35"/>
  <c r="KQ19" i="35" s="1"/>
  <c r="EJ193" i="19"/>
  <c r="G191" i="19" s="1"/>
  <c r="DS27" i="35"/>
  <c r="IK27" i="35" s="1"/>
  <c r="FD193" i="19"/>
  <c r="K191" i="19" s="1"/>
  <c r="EU27" i="35"/>
  <c r="KO27" i="35" s="1"/>
  <c r="EJ169" i="19"/>
  <c r="DS24" i="35"/>
  <c r="IK24" i="35" s="1"/>
  <c r="EY169" i="19"/>
  <c r="EN24" i="35"/>
  <c r="KA24" i="35" s="1"/>
  <c r="EK82" i="19"/>
  <c r="DT13" i="35"/>
  <c r="IM13" i="35" s="1"/>
  <c r="EZ82" i="19"/>
  <c r="EO13" i="35"/>
  <c r="KC13" i="35" s="1"/>
  <c r="EJ153" i="19"/>
  <c r="DS22" i="35"/>
  <c r="IK22" i="35" s="1"/>
  <c r="FD153" i="19"/>
  <c r="EU22" i="35"/>
  <c r="KO22" i="35" s="1"/>
  <c r="EE242" i="19"/>
  <c r="DL33" i="35"/>
  <c r="HW33" i="35" s="1"/>
  <c r="FE242" i="19"/>
  <c r="EV33" i="35"/>
  <c r="KQ33" i="35" s="1"/>
  <c r="EK298" i="19"/>
  <c r="DT40" i="35"/>
  <c r="IM40" i="35" s="1"/>
  <c r="EZ298" i="19"/>
  <c r="EO40" i="35"/>
  <c r="KC40" i="35" s="1"/>
  <c r="EI49" i="19"/>
  <c r="DR9" i="35"/>
  <c r="II9" i="35" s="1"/>
  <c r="EW49" i="19"/>
  <c r="EL9" i="35"/>
  <c r="JW9" i="35" s="1"/>
  <c r="EO41" i="19"/>
  <c r="DZ8" i="35"/>
  <c r="IY8" i="35" s="1"/>
  <c r="ET41" i="19"/>
  <c r="EG8" i="35"/>
  <c r="JM8" i="35" s="1"/>
  <c r="EP58" i="19"/>
  <c r="EA10" i="35"/>
  <c r="JA10" i="35" s="1"/>
  <c r="EW58" i="19"/>
  <c r="EL10" i="35"/>
  <c r="JW10" i="35" s="1"/>
  <c r="EC313" i="19"/>
  <c r="DJ42" i="35"/>
  <c r="HS42" i="35" s="1"/>
  <c r="FD313" i="19"/>
  <c r="EU42" i="35"/>
  <c r="KO42" i="35" s="1"/>
  <c r="EK170" i="19"/>
  <c r="DT24" i="35"/>
  <c r="IM24" i="35" s="1"/>
  <c r="EZ170" i="19"/>
  <c r="EO24" i="35"/>
  <c r="KC24" i="35" s="1"/>
  <c r="EJ297" i="19"/>
  <c r="DS40" i="35"/>
  <c r="IK40" i="35" s="1"/>
  <c r="EY297" i="19"/>
  <c r="EN40" i="35"/>
  <c r="KA40" i="35" s="1"/>
  <c r="EK26" i="19"/>
  <c r="DT6" i="35"/>
  <c r="IM6" i="35" s="1"/>
  <c r="ER26" i="19"/>
  <c r="EE6" i="35"/>
  <c r="JI6" i="35" s="1"/>
  <c r="EE122" i="19"/>
  <c r="DL18" i="35"/>
  <c r="HW18" i="35" s="1"/>
  <c r="FE122" i="19"/>
  <c r="EV18" i="35"/>
  <c r="KQ18" i="35" s="1"/>
  <c r="EJ177" i="19"/>
  <c r="DS25" i="35"/>
  <c r="IK25" i="35" s="1"/>
  <c r="FD177" i="19"/>
  <c r="EU25" i="35"/>
  <c r="KO25" i="35" s="1"/>
  <c r="EC281" i="19"/>
  <c r="DJ38" i="35"/>
  <c r="HS38" i="35" s="1"/>
  <c r="FD281" i="19"/>
  <c r="EU38" i="35"/>
  <c r="KO38" i="35" s="1"/>
  <c r="EO65" i="19"/>
  <c r="DZ11" i="35"/>
  <c r="IY11" i="35" s="1"/>
  <c r="ER65" i="19"/>
  <c r="EE11" i="35"/>
  <c r="JI11" i="35" s="1"/>
  <c r="EK250" i="19"/>
  <c r="DT34" i="35"/>
  <c r="IM34" i="35" s="1"/>
  <c r="EZ250" i="19"/>
  <c r="EO34" i="35"/>
  <c r="KC34" i="35" s="1"/>
  <c r="EK161" i="19"/>
  <c r="DT23" i="35"/>
  <c r="IM23" i="35" s="1"/>
  <c r="FE161" i="19"/>
  <c r="EV23" i="35"/>
  <c r="KQ23" i="35" s="1"/>
  <c r="EJ81" i="19"/>
  <c r="DS13" i="35"/>
  <c r="IK13" i="35" s="1"/>
  <c r="EY81" i="19"/>
  <c r="EN13" i="35"/>
  <c r="KA13" i="35" s="1"/>
  <c r="EE114" i="19"/>
  <c r="DL17" i="35"/>
  <c r="HW17" i="35" s="1"/>
  <c r="FE114" i="19"/>
  <c r="EV17" i="35"/>
  <c r="KQ17" i="35" s="1"/>
  <c r="EC241" i="19"/>
  <c r="DJ33" i="35"/>
  <c r="HS33" i="35" s="1"/>
  <c r="FD241" i="19"/>
  <c r="EU33" i="35"/>
  <c r="KO33" i="35" s="1"/>
  <c r="EJ50" i="19"/>
  <c r="DS9" i="35"/>
  <c r="IK9" i="35" s="1"/>
  <c r="EY50" i="19"/>
  <c r="EN9" i="35"/>
  <c r="KA9" i="35" s="1"/>
  <c r="EE106" i="19"/>
  <c r="DL16" i="35"/>
  <c r="HW16" i="35" s="1"/>
  <c r="FE106" i="19"/>
  <c r="EV16" i="35"/>
  <c r="KQ16" i="35" s="1"/>
  <c r="EE90" i="19"/>
  <c r="DL14" i="35"/>
  <c r="HW14" i="35" s="1"/>
  <c r="FE90" i="19"/>
  <c r="EV14" i="35"/>
  <c r="KQ14" i="35" s="1"/>
  <c r="EC289" i="19"/>
  <c r="DJ39" i="35"/>
  <c r="HS39" i="35" s="1"/>
  <c r="FD289" i="19"/>
  <c r="EU39" i="35"/>
  <c r="KO39" i="35" s="1"/>
  <c r="EO57" i="19"/>
  <c r="DZ10" i="35"/>
  <c r="IY10" i="35" s="1"/>
  <c r="ER57" i="19"/>
  <c r="EE10" i="35"/>
  <c r="JI10" i="35" s="1"/>
  <c r="EK137" i="19"/>
  <c r="DT20" i="35"/>
  <c r="IM20" i="35" s="1"/>
  <c r="FD137" i="19"/>
  <c r="EU20" i="35"/>
  <c r="KO20" i="35" s="1"/>
  <c r="EC129" i="19"/>
  <c r="DJ19" i="35"/>
  <c r="HS19" i="35" s="1"/>
  <c r="FD129" i="19"/>
  <c r="EU19" i="35"/>
  <c r="KO19" i="35" s="1"/>
  <c r="EC89" i="19"/>
  <c r="DJ14" i="35"/>
  <c r="HS14" i="35" s="1"/>
  <c r="FD89" i="19"/>
  <c r="EU14" i="35"/>
  <c r="KO14" i="35" s="1"/>
  <c r="F8" i="30"/>
  <c r="MD4" i="35" s="1"/>
  <c r="F9" i="30"/>
  <c r="I8" i="30"/>
  <c r="MG4" i="35" s="1"/>
  <c r="I9" i="30"/>
  <c r="DL217" i="19"/>
  <c r="CK30" i="35"/>
  <c r="FU30" i="35" s="1"/>
  <c r="DK25" i="19"/>
  <c r="CJ6" i="35"/>
  <c r="FS6" i="35" s="1"/>
  <c r="DK115" i="19"/>
  <c r="CJ17" i="35"/>
  <c r="FS17" i="35" s="1"/>
  <c r="DL49" i="19"/>
  <c r="CK9" i="35"/>
  <c r="FU9" i="35" s="1"/>
  <c r="DK41" i="19"/>
  <c r="CJ8" i="35"/>
  <c r="FS8" i="35" s="1"/>
  <c r="DK139" i="19"/>
  <c r="CJ20" i="35"/>
  <c r="FS20" i="35" s="1"/>
  <c r="DK65" i="19"/>
  <c r="CJ11" i="35"/>
  <c r="FS11" i="35" s="1"/>
  <c r="DK131" i="19"/>
  <c r="CJ19" i="35"/>
  <c r="FS19" i="35" s="1"/>
  <c r="DL161" i="19"/>
  <c r="CK23" i="35"/>
  <c r="FU23" i="35" s="1"/>
  <c r="DK81" i="19"/>
  <c r="CJ13" i="35"/>
  <c r="FS13" i="35" s="1"/>
  <c r="DY59" i="19"/>
  <c r="DD10" i="35"/>
  <c r="HG10" i="35" s="1"/>
  <c r="DL209" i="19"/>
  <c r="CK29" i="35"/>
  <c r="FU29" i="35" s="1"/>
  <c r="EA27" i="19"/>
  <c r="DF6" i="35"/>
  <c r="HK6" i="35" s="1"/>
  <c r="DL129" i="19"/>
  <c r="CK19" i="35"/>
  <c r="FU19" i="35" s="1"/>
  <c r="DK107" i="19"/>
  <c r="CJ16" i="35"/>
  <c r="FS16" i="35" s="1"/>
  <c r="DL57" i="19"/>
  <c r="CK10" i="35"/>
  <c r="FU10" i="35" s="1"/>
  <c r="EP171" i="19"/>
  <c r="EA24" i="35"/>
  <c r="JA24" i="35" s="1"/>
  <c r="FI171" i="19"/>
  <c r="FB24" i="35"/>
  <c r="LC24" i="35" s="1"/>
  <c r="EM243" i="19"/>
  <c r="DX33" i="35"/>
  <c r="IU33" i="35" s="1"/>
  <c r="FJ243" i="19"/>
  <c r="FC33" i="35"/>
  <c r="LE33" i="35" s="1"/>
  <c r="EP299" i="19"/>
  <c r="EA40" i="35"/>
  <c r="JA40" i="35" s="1"/>
  <c r="FI299" i="19"/>
  <c r="FB40" i="35"/>
  <c r="LC40" i="35" s="1"/>
  <c r="EU91" i="19"/>
  <c r="EH14" i="35"/>
  <c r="JO14" i="35" s="1"/>
  <c r="FJ91" i="19"/>
  <c r="FC14" i="35"/>
  <c r="LE14" i="35" s="1"/>
  <c r="EM115" i="19"/>
  <c r="DX17" i="35"/>
  <c r="IU17" i="35" s="1"/>
  <c r="FJ115" i="19"/>
  <c r="FC17" i="35"/>
  <c r="LE17" i="35" s="1"/>
  <c r="EP156" i="19"/>
  <c r="EA22" i="35"/>
  <c r="JA22" i="35" s="1"/>
  <c r="FJ156" i="19"/>
  <c r="FC22" i="35"/>
  <c r="LE22" i="35" s="1"/>
  <c r="EP44" i="19"/>
  <c r="EA8" i="35"/>
  <c r="JA8" i="35" s="1"/>
  <c r="FJ44" i="19"/>
  <c r="FC8" i="35"/>
  <c r="LE8" i="35" s="1"/>
  <c r="ET251" i="19"/>
  <c r="EG34" i="35"/>
  <c r="JM34" i="35" s="1"/>
  <c r="FI251" i="19"/>
  <c r="FB34" i="35"/>
  <c r="LC34" i="35" s="1"/>
  <c r="EM291" i="19"/>
  <c r="DX39" i="35"/>
  <c r="IU39" i="35" s="1"/>
  <c r="FJ291" i="19"/>
  <c r="FC39" i="35"/>
  <c r="LE39" i="35" s="1"/>
  <c r="ET83" i="19"/>
  <c r="EG13" i="35"/>
  <c r="JM13" i="35" s="1"/>
  <c r="FI83" i="19"/>
  <c r="FB13" i="35"/>
  <c r="LC13" i="35" s="1"/>
  <c r="EU107" i="19"/>
  <c r="EH16" i="35"/>
  <c r="JO16" i="35" s="1"/>
  <c r="FJ107" i="19"/>
  <c r="FC16" i="35"/>
  <c r="LE16" i="35" s="1"/>
  <c r="EU139" i="19"/>
  <c r="EH20" i="35"/>
  <c r="JO20" i="35" s="1"/>
  <c r="FJ139" i="19"/>
  <c r="FC20" i="35"/>
  <c r="LE20" i="35" s="1"/>
  <c r="EU315" i="19"/>
  <c r="EH42" i="35"/>
  <c r="JO42" i="35" s="1"/>
  <c r="FJ315" i="19"/>
  <c r="FC42" i="35"/>
  <c r="LE42" i="35" s="1"/>
  <c r="EP75" i="19"/>
  <c r="EA12" i="35"/>
  <c r="JA12" i="35" s="1"/>
  <c r="FI75" i="19"/>
  <c r="FB12" i="35"/>
  <c r="LC12" i="35" s="1"/>
  <c r="EU131" i="19"/>
  <c r="EH19" i="35"/>
  <c r="JO19" i="35" s="1"/>
  <c r="FJ131" i="19"/>
  <c r="FC19" i="35"/>
  <c r="LE19" i="35" s="1"/>
  <c r="EU59" i="19"/>
  <c r="EH10" i="35"/>
  <c r="JO10" i="35" s="1"/>
  <c r="FJ59" i="19"/>
  <c r="FC10" i="35"/>
  <c r="LE10" i="35" s="1"/>
  <c r="ET187" i="19"/>
  <c r="EG26" i="35"/>
  <c r="JM26" i="35" s="1"/>
  <c r="FI187" i="19"/>
  <c r="FB26" i="35"/>
  <c r="LC26" i="35" s="1"/>
  <c r="EU123" i="19"/>
  <c r="EH18" i="35"/>
  <c r="JO18" i="35" s="1"/>
  <c r="FJ123" i="19"/>
  <c r="FC18" i="35"/>
  <c r="LE18" i="35" s="1"/>
  <c r="EU283" i="19"/>
  <c r="EH38" i="35"/>
  <c r="JO38" i="35" s="1"/>
  <c r="FJ283" i="19"/>
  <c r="FC38" i="35"/>
  <c r="LE38" i="35" s="1"/>
  <c r="EU67" i="19"/>
  <c r="EH11" i="35"/>
  <c r="JO11" i="35" s="1"/>
  <c r="FJ67" i="19"/>
  <c r="FC11" i="35"/>
  <c r="LE11" i="35" s="1"/>
  <c r="ET27" i="19"/>
  <c r="EG6" i="35"/>
  <c r="JM6" i="35" s="1"/>
  <c r="FI27" i="19"/>
  <c r="FB6" i="35"/>
  <c r="LC6" i="35" s="1"/>
  <c r="ER51" i="19"/>
  <c r="EE9" i="35"/>
  <c r="JI9" i="35" s="1"/>
  <c r="FG51" i="19"/>
  <c r="EZ9" i="35"/>
  <c r="KY9" i="35" s="1"/>
  <c r="EO186" i="19"/>
  <c r="DZ26" i="35"/>
  <c r="IY26" i="35" s="1"/>
  <c r="FG186" i="19"/>
  <c r="EZ26" i="35"/>
  <c r="KY26" i="35" s="1"/>
  <c r="ET314" i="19"/>
  <c r="EG42" i="35"/>
  <c r="JM42" i="35" s="1"/>
  <c r="FI314" i="19"/>
  <c r="FB42" i="35"/>
  <c r="LC42" i="35" s="1"/>
  <c r="EZ74" i="19"/>
  <c r="EO12" i="35"/>
  <c r="KC12" i="35" s="1"/>
  <c r="FG74" i="19"/>
  <c r="EZ12" i="35"/>
  <c r="KY12" i="35" s="1"/>
  <c r="EM249" i="19"/>
  <c r="DX34" i="35"/>
  <c r="IU34" i="35" s="1"/>
  <c r="FJ249" i="19"/>
  <c r="FC34" i="35"/>
  <c r="LE34" i="35" s="1"/>
  <c r="ET217" i="19"/>
  <c r="EG30" i="35"/>
  <c r="JM30" i="35" s="1"/>
  <c r="FJ217" i="19"/>
  <c r="FC30" i="35"/>
  <c r="LE30" i="35" s="1"/>
  <c r="ET290" i="19"/>
  <c r="EG39" i="35"/>
  <c r="JM39" i="35" s="1"/>
  <c r="FI290" i="19"/>
  <c r="FB39" i="35"/>
  <c r="LC39" i="35" s="1"/>
  <c r="ET265" i="19"/>
  <c r="EG36" i="35"/>
  <c r="JM36" i="35" s="1"/>
  <c r="FJ265" i="19"/>
  <c r="FC36" i="35"/>
  <c r="LE36" i="35" s="1"/>
  <c r="ED9" i="19"/>
  <c r="DK4" i="35"/>
  <c r="HU4" i="35" s="1"/>
  <c r="FD9" i="19"/>
  <c r="EU4" i="35"/>
  <c r="KO4" i="35" s="1"/>
  <c r="EK105" i="19"/>
  <c r="DT16" i="35"/>
  <c r="IM16" i="35" s="1"/>
  <c r="EZ105" i="19"/>
  <c r="EO16" i="35"/>
  <c r="KC16" i="35" s="1"/>
  <c r="EF209" i="19"/>
  <c r="DM29" i="35"/>
  <c r="HY29" i="35" s="1"/>
  <c r="EZ209" i="19"/>
  <c r="EO29" i="35"/>
  <c r="KC29" i="35" s="1"/>
  <c r="EK113" i="19"/>
  <c r="DT17" i="35"/>
  <c r="IM17" i="35" s="1"/>
  <c r="EZ113" i="19"/>
  <c r="EO17" i="35"/>
  <c r="KC17" i="35" s="1"/>
  <c r="EM25" i="19"/>
  <c r="DX6" i="35"/>
  <c r="IU6" i="35" s="1"/>
  <c r="FB25" i="19"/>
  <c r="ES6" i="35"/>
  <c r="KK6" i="35" s="1"/>
  <c r="EP33" i="19"/>
  <c r="EA7" i="35"/>
  <c r="JA7" i="35" s="1"/>
  <c r="FD33" i="19"/>
  <c r="EU7" i="35"/>
  <c r="KO7" i="35" s="1"/>
  <c r="EF185" i="19"/>
  <c r="DM26" i="35"/>
  <c r="HY26" i="35" s="1"/>
  <c r="FB185" i="19"/>
  <c r="ES26" i="35"/>
  <c r="KK26" i="35" s="1"/>
  <c r="EH138" i="19"/>
  <c r="DQ20" i="35"/>
  <c r="IG20" i="35" s="1"/>
  <c r="EW138" i="19"/>
  <c r="EL20" i="35"/>
  <c r="JW20" i="35" s="1"/>
  <c r="EK121" i="19"/>
  <c r="DT18" i="35"/>
  <c r="IM18" i="35" s="1"/>
  <c r="EZ121" i="19"/>
  <c r="EO18" i="35"/>
  <c r="KC18" i="35" s="1"/>
  <c r="EF73" i="19"/>
  <c r="DM12" i="35"/>
  <c r="HY12" i="35" s="1"/>
  <c r="FB73" i="19"/>
  <c r="ES12" i="35"/>
  <c r="KK12" i="35" s="1"/>
  <c r="EH282" i="19"/>
  <c r="DQ38" i="35"/>
  <c r="IG38" i="35" s="1"/>
  <c r="EW282" i="19"/>
  <c r="EL38" i="35"/>
  <c r="JW38" i="35" s="1"/>
  <c r="EE66" i="19"/>
  <c r="DL11" i="35"/>
  <c r="HW11" i="35" s="1"/>
  <c r="FE66" i="19"/>
  <c r="EV11" i="35"/>
  <c r="KQ11" i="35" s="1"/>
  <c r="EH130" i="19"/>
  <c r="DQ19" i="35"/>
  <c r="IG19" i="35" s="1"/>
  <c r="EW130" i="19"/>
  <c r="EL19" i="35"/>
  <c r="JW19" i="35" s="1"/>
  <c r="EF193" i="19"/>
  <c r="DM27" i="35"/>
  <c r="HY27" i="35" s="1"/>
  <c r="EZ193" i="19"/>
  <c r="EO27" i="35"/>
  <c r="KC27" i="35" s="1"/>
  <c r="EF169" i="19"/>
  <c r="DM24" i="35"/>
  <c r="HY24" i="35" s="1"/>
  <c r="FB169" i="19"/>
  <c r="ES24" i="35"/>
  <c r="KK24" i="35" s="1"/>
  <c r="EC82" i="19"/>
  <c r="DJ13" i="35"/>
  <c r="HS13" i="35" s="1"/>
  <c r="FD82" i="19"/>
  <c r="EU13" i="35"/>
  <c r="KO13" i="35" s="1"/>
  <c r="EE153" i="19"/>
  <c r="DL22" i="35"/>
  <c r="HW22" i="35" s="1"/>
  <c r="EY153" i="19"/>
  <c r="EN22" i="35"/>
  <c r="KA22" i="35" s="1"/>
  <c r="EH242" i="19"/>
  <c r="DQ33" i="35"/>
  <c r="IG33" i="35" s="1"/>
  <c r="EW242" i="19"/>
  <c r="EL33" i="35"/>
  <c r="JW33" i="35" s="1"/>
  <c r="EC298" i="19"/>
  <c r="DJ40" i="35"/>
  <c r="HS40" i="35" s="1"/>
  <c r="FD298" i="19"/>
  <c r="EU40" i="35"/>
  <c r="KO40" i="35" s="1"/>
  <c r="EP49" i="19"/>
  <c r="EA9" i="35"/>
  <c r="JA9" i="35" s="1"/>
  <c r="FE49" i="19"/>
  <c r="EV9" i="35"/>
  <c r="KQ9" i="35" s="1"/>
  <c r="EJ41" i="19"/>
  <c r="DS8" i="35"/>
  <c r="IK8" i="35" s="1"/>
  <c r="FD41" i="19"/>
  <c r="EU8" i="35"/>
  <c r="KO8" i="35" s="1"/>
  <c r="EE58" i="19"/>
  <c r="DL10" i="35"/>
  <c r="HW10" i="35" s="1"/>
  <c r="FE58" i="19"/>
  <c r="EV10" i="35"/>
  <c r="KQ10" i="35" s="1"/>
  <c r="EK313" i="19"/>
  <c r="DT42" i="35"/>
  <c r="IM42" i="35" s="1"/>
  <c r="EZ313" i="19"/>
  <c r="EO42" i="35"/>
  <c r="KC42" i="35" s="1"/>
  <c r="EC170" i="19"/>
  <c r="DJ24" i="35"/>
  <c r="HS24" i="35" s="1"/>
  <c r="FD170" i="19"/>
  <c r="EU24" i="35"/>
  <c r="KO24" i="35" s="1"/>
  <c r="EF297" i="19"/>
  <c r="DM40" i="35"/>
  <c r="HY40" i="35" s="1"/>
  <c r="FB297" i="19"/>
  <c r="ES40" i="35"/>
  <c r="KK40" i="35" s="1"/>
  <c r="EC26" i="19"/>
  <c r="DJ6" i="35"/>
  <c r="HS6" i="35" s="1"/>
  <c r="FD26" i="19"/>
  <c r="EU6" i="35"/>
  <c r="KO6" i="35" s="1"/>
  <c r="EH122" i="19"/>
  <c r="DQ18" i="35"/>
  <c r="IG18" i="35" s="1"/>
  <c r="EW122" i="19"/>
  <c r="EL18" i="35"/>
  <c r="JW18" i="35" s="1"/>
  <c r="EF177" i="19"/>
  <c r="DM25" i="35"/>
  <c r="HY25" i="35" s="1"/>
  <c r="EZ177" i="19"/>
  <c r="EO25" i="35"/>
  <c r="KC25" i="35" s="1"/>
  <c r="EK281" i="19"/>
  <c r="DT38" i="35"/>
  <c r="IM38" i="35" s="1"/>
  <c r="EZ281" i="19"/>
  <c r="EO38" i="35"/>
  <c r="KC38" i="35" s="1"/>
  <c r="ED65" i="19"/>
  <c r="DK11" i="35"/>
  <c r="HU11" i="35" s="1"/>
  <c r="FD65" i="19"/>
  <c r="EU11" i="35"/>
  <c r="KO11" i="35" s="1"/>
  <c r="EC250" i="19"/>
  <c r="DJ34" i="35"/>
  <c r="HS34" i="35" s="1"/>
  <c r="FD250" i="19"/>
  <c r="EU34" i="35"/>
  <c r="KO34" i="35" s="1"/>
  <c r="EF161" i="19"/>
  <c r="DM23" i="35"/>
  <c r="HY23" i="35" s="1"/>
  <c r="EZ161" i="19"/>
  <c r="EO23" i="35"/>
  <c r="KC23" i="35" s="1"/>
  <c r="EF81" i="19"/>
  <c r="DM13" i="35"/>
  <c r="HY13" i="35" s="1"/>
  <c r="FB81" i="19"/>
  <c r="ES13" i="35"/>
  <c r="KK13" i="35" s="1"/>
  <c r="EH114" i="19"/>
  <c r="DQ17" i="35"/>
  <c r="IG17" i="35" s="1"/>
  <c r="EW114" i="19"/>
  <c r="EL17" i="35"/>
  <c r="JW17" i="35" s="1"/>
  <c r="EK241" i="19"/>
  <c r="DT33" i="35"/>
  <c r="IM33" i="35" s="1"/>
  <c r="EZ241" i="19"/>
  <c r="EO33" i="35"/>
  <c r="KC33" i="35" s="1"/>
  <c r="EM50" i="19"/>
  <c r="DX9" i="35"/>
  <c r="IU9" i="35" s="1"/>
  <c r="FB50" i="19"/>
  <c r="ES9" i="35"/>
  <c r="KK9" i="35" s="1"/>
  <c r="EH106" i="19"/>
  <c r="DQ16" i="35"/>
  <c r="IG16" i="35" s="1"/>
  <c r="EW106" i="19"/>
  <c r="EL16" i="35"/>
  <c r="JW16" i="35" s="1"/>
  <c r="EH90" i="19"/>
  <c r="DQ14" i="35"/>
  <c r="IG14" i="35" s="1"/>
  <c r="EW90" i="19"/>
  <c r="EL14" i="35"/>
  <c r="JW14" i="35" s="1"/>
  <c r="EK289" i="19"/>
  <c r="DT39" i="35"/>
  <c r="IM39" i="35" s="1"/>
  <c r="EZ289" i="19"/>
  <c r="EO39" i="35"/>
  <c r="KC39" i="35" s="1"/>
  <c r="ED57" i="19"/>
  <c r="DK10" i="35"/>
  <c r="HU10" i="35" s="1"/>
  <c r="FD57" i="19"/>
  <c r="EU10" i="35"/>
  <c r="KO10" i="35" s="1"/>
  <c r="EC137" i="19"/>
  <c r="DJ20" i="35"/>
  <c r="HS20" i="35" s="1"/>
  <c r="EZ137" i="19"/>
  <c r="EO20" i="35"/>
  <c r="KC20" i="35" s="1"/>
  <c r="EK129" i="19"/>
  <c r="DT19" i="35"/>
  <c r="IM19" i="35" s="1"/>
  <c r="EZ129" i="19"/>
  <c r="EO19" i="35"/>
  <c r="KC19" i="35" s="1"/>
  <c r="EO89" i="19"/>
  <c r="DZ14" i="35"/>
  <c r="IY14" i="35" s="1"/>
  <c r="EZ89" i="19"/>
  <c r="EO14" i="35"/>
  <c r="KC14" i="35" s="1"/>
  <c r="J8" i="30"/>
  <c r="MH4" i="35" s="1"/>
  <c r="J9" i="30"/>
  <c r="L15" i="19" l="1"/>
  <c r="L16" i="19" s="1"/>
  <c r="MN40" i="35"/>
  <c r="NC40" i="35" s="1"/>
  <c r="J16" i="19"/>
  <c r="D239" i="19"/>
  <c r="D240" i="19" s="1"/>
  <c r="MQ5" i="35"/>
  <c r="NI5" i="35" s="1"/>
  <c r="H41" i="48" s="1"/>
  <c r="CF36" i="44"/>
  <c r="CN9" i="46"/>
  <c r="CN48" i="46"/>
  <c r="CN8" i="46"/>
  <c r="CN40" i="46"/>
  <c r="CN10" i="46"/>
  <c r="CN41" i="46"/>
  <c r="CL7" i="45"/>
  <c r="CL8" i="45" s="1"/>
  <c r="AJ41" i="44"/>
  <c r="AJ8" i="44"/>
  <c r="AJ9" i="44"/>
  <c r="AN36" i="49"/>
  <c r="AJ7" i="44"/>
  <c r="I16" i="19"/>
  <c r="MS5" i="35"/>
  <c r="NM5" i="35" s="1"/>
  <c r="BJ19" i="48"/>
  <c r="CD47" i="45"/>
  <c r="F16" i="19"/>
  <c r="MP5" i="35"/>
  <c r="NG5" i="35" s="1"/>
  <c r="D8" i="19"/>
  <c r="BN37" i="45"/>
  <c r="AF11" i="45"/>
  <c r="V11" i="45"/>
  <c r="L47" i="51"/>
  <c r="AP47" i="47"/>
  <c r="AP19" i="47"/>
  <c r="AP36" i="47"/>
  <c r="AP37" i="47"/>
  <c r="AP38" i="47"/>
  <c r="AP35" i="47"/>
  <c r="AV47" i="48"/>
  <c r="AV19" i="48"/>
  <c r="AV37" i="48"/>
  <c r="AV36" i="48"/>
  <c r="AV38" i="48"/>
  <c r="AV35" i="48"/>
  <c r="AV47" i="54"/>
  <c r="AV19" i="54"/>
  <c r="AV36" i="54"/>
  <c r="AV37" i="54"/>
  <c r="AV38" i="54"/>
  <c r="AV35" i="54"/>
  <c r="N47" i="54"/>
  <c r="N19" i="54"/>
  <c r="N37" i="54"/>
  <c r="N38" i="54"/>
  <c r="N36" i="54"/>
  <c r="N35" i="54"/>
  <c r="L47" i="54"/>
  <c r="L19" i="54"/>
  <c r="L38" i="54"/>
  <c r="L36" i="54"/>
  <c r="L37" i="54"/>
  <c r="L35" i="54"/>
  <c r="BR47" i="48"/>
  <c r="BR19" i="48"/>
  <c r="BR36" i="48"/>
  <c r="BR37" i="48"/>
  <c r="BR38" i="48"/>
  <c r="BR35" i="48"/>
  <c r="BF47" i="48"/>
  <c r="BF19" i="48"/>
  <c r="BF36" i="48"/>
  <c r="BF37" i="48"/>
  <c r="BF35" i="48"/>
  <c r="BF38" i="48"/>
  <c r="AZ47" i="47"/>
  <c r="AZ19" i="47"/>
  <c r="AZ36" i="47"/>
  <c r="AZ37" i="47"/>
  <c r="AZ38" i="47"/>
  <c r="AZ35" i="47"/>
  <c r="BR47" i="53"/>
  <c r="BR19" i="53"/>
  <c r="BR37" i="53"/>
  <c r="BR36" i="53"/>
  <c r="BR38" i="53"/>
  <c r="BR35" i="53"/>
  <c r="BF47" i="49"/>
  <c r="BF19" i="49"/>
  <c r="BF37" i="49"/>
  <c r="BF36" i="49"/>
  <c r="BF38" i="49"/>
  <c r="BF35" i="49"/>
  <c r="BD47" i="51"/>
  <c r="BD19" i="51"/>
  <c r="BD36" i="51"/>
  <c r="BD37" i="51"/>
  <c r="BD38" i="51"/>
  <c r="BD35" i="51"/>
  <c r="AR47" i="50"/>
  <c r="AR19" i="50"/>
  <c r="AR36" i="50"/>
  <c r="AR37" i="50"/>
  <c r="AR38" i="50"/>
  <c r="AR35" i="50"/>
  <c r="BF47" i="53"/>
  <c r="BF19" i="53"/>
  <c r="BF37" i="53"/>
  <c r="BF38" i="53"/>
  <c r="BF36" i="53"/>
  <c r="BF35" i="53"/>
  <c r="AR47" i="49"/>
  <c r="AR19" i="49"/>
  <c r="AR36" i="49"/>
  <c r="AR37" i="49"/>
  <c r="AR38" i="49"/>
  <c r="AR35" i="49"/>
  <c r="AR47" i="48"/>
  <c r="AR19" i="48"/>
  <c r="AR36" i="48"/>
  <c r="AR37" i="48"/>
  <c r="AR38" i="48"/>
  <c r="AR35" i="48"/>
  <c r="AZ47" i="45"/>
  <c r="AZ19" i="45"/>
  <c r="AZ37" i="45"/>
  <c r="AZ36" i="45"/>
  <c r="AZ35" i="45"/>
  <c r="AZ38" i="45"/>
  <c r="AL47" i="45"/>
  <c r="AL19" i="45"/>
  <c r="AL36" i="45"/>
  <c r="AL37" i="45"/>
  <c r="AL38" i="45"/>
  <c r="AL35" i="45"/>
  <c r="AB47" i="54"/>
  <c r="AB19" i="54"/>
  <c r="AB36" i="54"/>
  <c r="AB37" i="54"/>
  <c r="AB38" i="54"/>
  <c r="AB35" i="54"/>
  <c r="BT47" i="46"/>
  <c r="BT19" i="46"/>
  <c r="BT36" i="46"/>
  <c r="BT37" i="46"/>
  <c r="BT38" i="46"/>
  <c r="BT35" i="46"/>
  <c r="BT47" i="53"/>
  <c r="BT19" i="53"/>
  <c r="BT36" i="53"/>
  <c r="BT37" i="53"/>
  <c r="BT38" i="53"/>
  <c r="BT35" i="53"/>
  <c r="BP47" i="49"/>
  <c r="BP19" i="49"/>
  <c r="BP36" i="49"/>
  <c r="BP37" i="49"/>
  <c r="BP35" i="49"/>
  <c r="BP38" i="49"/>
  <c r="BT47" i="47"/>
  <c r="BT19" i="47"/>
  <c r="BT37" i="47"/>
  <c r="BT36" i="47"/>
  <c r="BT38" i="47"/>
  <c r="BT35" i="47"/>
  <c r="BB47" i="53"/>
  <c r="BB19" i="53"/>
  <c r="BB37" i="53"/>
  <c r="BB36" i="53"/>
  <c r="BB38" i="53"/>
  <c r="BB35" i="53"/>
  <c r="BT47" i="50"/>
  <c r="BT19" i="50"/>
  <c r="BT36" i="50"/>
  <c r="BT37" i="50"/>
  <c r="BT38" i="50"/>
  <c r="BT35" i="50"/>
  <c r="N47" i="45"/>
  <c r="N19" i="45"/>
  <c r="N36" i="45"/>
  <c r="N37" i="45"/>
  <c r="N38" i="45"/>
  <c r="N35" i="45"/>
  <c r="BP47" i="54"/>
  <c r="BP19" i="54"/>
  <c r="BP36" i="54"/>
  <c r="BP37" i="54"/>
  <c r="BP38" i="54"/>
  <c r="BP35" i="54"/>
  <c r="AB47" i="51"/>
  <c r="AB19" i="51"/>
  <c r="AB36" i="51"/>
  <c r="AB37" i="51"/>
  <c r="AB38" i="51"/>
  <c r="AB35" i="51"/>
  <c r="BB47" i="52"/>
  <c r="BB19" i="52"/>
  <c r="BB36" i="52"/>
  <c r="BB37" i="52"/>
  <c r="BB35" i="52"/>
  <c r="BB38" i="52"/>
  <c r="BH47" i="53"/>
  <c r="BH19" i="53"/>
  <c r="BH36" i="53"/>
  <c r="BH38" i="53"/>
  <c r="BH37" i="53"/>
  <c r="BH35" i="53"/>
  <c r="BT47" i="52"/>
  <c r="BT19" i="52"/>
  <c r="BT37" i="52"/>
  <c r="BT36" i="52"/>
  <c r="BT35" i="52"/>
  <c r="BT38" i="52"/>
  <c r="L37" i="51"/>
  <c r="AP47" i="52"/>
  <c r="AP19" i="52"/>
  <c r="AP36" i="52"/>
  <c r="AP37" i="52"/>
  <c r="AP38" i="52"/>
  <c r="AP35" i="52"/>
  <c r="AZ47" i="52"/>
  <c r="AZ19" i="52"/>
  <c r="AZ36" i="52"/>
  <c r="AZ37" i="52"/>
  <c r="AZ38" i="52"/>
  <c r="AZ35" i="52"/>
  <c r="BD47" i="52"/>
  <c r="BD19" i="52"/>
  <c r="BD36" i="52"/>
  <c r="BD37" i="52"/>
  <c r="BD38" i="52"/>
  <c r="BD35" i="52"/>
  <c r="L47" i="46"/>
  <c r="L19" i="46"/>
  <c r="L36" i="46"/>
  <c r="L37" i="46"/>
  <c r="L38" i="46"/>
  <c r="L35" i="46"/>
  <c r="AP47" i="49"/>
  <c r="AP19" i="49"/>
  <c r="AP36" i="49"/>
  <c r="AP37" i="49"/>
  <c r="AP38" i="49"/>
  <c r="AP35" i="49"/>
  <c r="BF47" i="52"/>
  <c r="BF19" i="52"/>
  <c r="BF36" i="52"/>
  <c r="BF37" i="52"/>
  <c r="BF35" i="52"/>
  <c r="BF38" i="52"/>
  <c r="AV47" i="50"/>
  <c r="AV19" i="50"/>
  <c r="AV37" i="50"/>
  <c r="AV36" i="50"/>
  <c r="AV38" i="50"/>
  <c r="AV35" i="50"/>
  <c r="N47" i="47"/>
  <c r="N19" i="47"/>
  <c r="N37" i="47"/>
  <c r="N36" i="47"/>
  <c r="N35" i="47"/>
  <c r="N38" i="47"/>
  <c r="AP47" i="50"/>
  <c r="AP19" i="50"/>
  <c r="AP36" i="50"/>
  <c r="AP37" i="50"/>
  <c r="AP38" i="50"/>
  <c r="AP35" i="50"/>
  <c r="AZ47" i="50"/>
  <c r="AZ19" i="50"/>
  <c r="AZ36" i="50"/>
  <c r="AZ37" i="50"/>
  <c r="AZ38" i="50"/>
  <c r="AZ35" i="50"/>
  <c r="BD47" i="50"/>
  <c r="BD19" i="50"/>
  <c r="BD36" i="50"/>
  <c r="BD37" i="50"/>
  <c r="BD38" i="50"/>
  <c r="BD35" i="50"/>
  <c r="BD47" i="46"/>
  <c r="BD19" i="46"/>
  <c r="BD37" i="46"/>
  <c r="BD36" i="46"/>
  <c r="BD35" i="46"/>
  <c r="BD38" i="46"/>
  <c r="AJ47" i="46"/>
  <c r="AJ19" i="46"/>
  <c r="AJ37" i="46"/>
  <c r="AJ36" i="46"/>
  <c r="AJ35" i="46"/>
  <c r="AJ38" i="46"/>
  <c r="AL47" i="46"/>
  <c r="AL19" i="46"/>
  <c r="AL36" i="46"/>
  <c r="AL37" i="46"/>
  <c r="AL38" i="46"/>
  <c r="AL35" i="46"/>
  <c r="AP47" i="46"/>
  <c r="AP19" i="46"/>
  <c r="AP36" i="46"/>
  <c r="AP37" i="46"/>
  <c r="AP35" i="46"/>
  <c r="AP38" i="46"/>
  <c r="BF47" i="46"/>
  <c r="BF19" i="46"/>
  <c r="BF37" i="46"/>
  <c r="BF36" i="46"/>
  <c r="BF38" i="46"/>
  <c r="BF35" i="46"/>
  <c r="BR47" i="47"/>
  <c r="BR19" i="47"/>
  <c r="BR36" i="47"/>
  <c r="BR37" i="47"/>
  <c r="BR35" i="47"/>
  <c r="BR38" i="47"/>
  <c r="AR47" i="47"/>
  <c r="AR19" i="47"/>
  <c r="AR37" i="47"/>
  <c r="AR36" i="47"/>
  <c r="AR35" i="47"/>
  <c r="AR38" i="47"/>
  <c r="AZ47" i="53"/>
  <c r="AZ19" i="53"/>
  <c r="AZ37" i="53"/>
  <c r="AZ38" i="53"/>
  <c r="AZ36" i="53"/>
  <c r="AZ35" i="53"/>
  <c r="L47" i="53"/>
  <c r="L19" i="53"/>
  <c r="L36" i="53"/>
  <c r="L37" i="53"/>
  <c r="L35" i="53"/>
  <c r="L38" i="53"/>
  <c r="L47" i="47"/>
  <c r="L19" i="47"/>
  <c r="L36" i="47"/>
  <c r="L37" i="47"/>
  <c r="L38" i="47"/>
  <c r="L35" i="47"/>
  <c r="BR47" i="49"/>
  <c r="BR19" i="49"/>
  <c r="BR37" i="49"/>
  <c r="BR36" i="49"/>
  <c r="BR38" i="49"/>
  <c r="BR35" i="49"/>
  <c r="AZ47" i="49"/>
  <c r="AZ19" i="49"/>
  <c r="AZ37" i="49"/>
  <c r="AZ36" i="49"/>
  <c r="AZ38" i="49"/>
  <c r="AZ35" i="49"/>
  <c r="BR47" i="51"/>
  <c r="BR19" i="51"/>
  <c r="BR37" i="51"/>
  <c r="BR36" i="51"/>
  <c r="BR38" i="51"/>
  <c r="BR35" i="51"/>
  <c r="BF47" i="51"/>
  <c r="BF19" i="51"/>
  <c r="BF36" i="51"/>
  <c r="BF37" i="51"/>
  <c r="BF35" i="51"/>
  <c r="BF38" i="51"/>
  <c r="AR47" i="54"/>
  <c r="AR19" i="54"/>
  <c r="AR37" i="54"/>
  <c r="AR38" i="54"/>
  <c r="AR36" i="54"/>
  <c r="AR35" i="54"/>
  <c r="AV47" i="47"/>
  <c r="AV19" i="47"/>
  <c r="AV36" i="47"/>
  <c r="AV37" i="47"/>
  <c r="AV38" i="47"/>
  <c r="AV35" i="47"/>
  <c r="BD47" i="45"/>
  <c r="BD19" i="45"/>
  <c r="BD37" i="45"/>
  <c r="BD36" i="45"/>
  <c r="BD35" i="45"/>
  <c r="BD38" i="45"/>
  <c r="AT47" i="45"/>
  <c r="AT19" i="45"/>
  <c r="AT37" i="45"/>
  <c r="AT36" i="45"/>
  <c r="AT38" i="45"/>
  <c r="AT35" i="45"/>
  <c r="AJ47" i="45"/>
  <c r="AJ19" i="45"/>
  <c r="AJ37" i="45"/>
  <c r="AJ36" i="45"/>
  <c r="AJ38" i="45"/>
  <c r="AJ35" i="45"/>
  <c r="CB47" i="51"/>
  <c r="CB19" i="51"/>
  <c r="CB37" i="51"/>
  <c r="CB36" i="51"/>
  <c r="CB35" i="51"/>
  <c r="CB38" i="51"/>
  <c r="BH47" i="48"/>
  <c r="BH19" i="48"/>
  <c r="BH37" i="48"/>
  <c r="BH36" i="48"/>
  <c r="BH38" i="48"/>
  <c r="BH35" i="48"/>
  <c r="AP47" i="45"/>
  <c r="AP19" i="45"/>
  <c r="AP37" i="45"/>
  <c r="AP36" i="45"/>
  <c r="AP35" i="45"/>
  <c r="AP38" i="45"/>
  <c r="CB47" i="49"/>
  <c r="CB19" i="49"/>
  <c r="CB37" i="49"/>
  <c r="CB36" i="49"/>
  <c r="CB38" i="49"/>
  <c r="CB35" i="49"/>
  <c r="BP47" i="47"/>
  <c r="BP19" i="47"/>
  <c r="BP36" i="47"/>
  <c r="BP37" i="47"/>
  <c r="BP38" i="47"/>
  <c r="BP35" i="47"/>
  <c r="BH47" i="49"/>
  <c r="BH19" i="49"/>
  <c r="BH36" i="49"/>
  <c r="BH37" i="49"/>
  <c r="BH35" i="49"/>
  <c r="BH38" i="49"/>
  <c r="CB47" i="52"/>
  <c r="CB19" i="52"/>
  <c r="CB36" i="52"/>
  <c r="CB37" i="52"/>
  <c r="CB35" i="52"/>
  <c r="CB38" i="52"/>
  <c r="BH47" i="45"/>
  <c r="BH19" i="45"/>
  <c r="BH37" i="45"/>
  <c r="BH36" i="45"/>
  <c r="BH35" i="45"/>
  <c r="BH38" i="45"/>
  <c r="BH47" i="47"/>
  <c r="BH19" i="47"/>
  <c r="BH36" i="47"/>
  <c r="BH37" i="47"/>
  <c r="BH38" i="47"/>
  <c r="BH35" i="47"/>
  <c r="L38" i="51"/>
  <c r="N47" i="52"/>
  <c r="N19" i="52"/>
  <c r="N36" i="52"/>
  <c r="N37" i="52"/>
  <c r="N38" i="52"/>
  <c r="N35" i="52"/>
  <c r="AP47" i="51"/>
  <c r="AP19" i="51"/>
  <c r="AP37" i="51"/>
  <c r="AP36" i="51"/>
  <c r="AP35" i="51"/>
  <c r="AP38" i="51"/>
  <c r="L47" i="52"/>
  <c r="L19" i="52"/>
  <c r="L36" i="52"/>
  <c r="L37" i="52"/>
  <c r="L35" i="52"/>
  <c r="L38" i="52"/>
  <c r="AV47" i="52"/>
  <c r="AV19" i="52"/>
  <c r="AV36" i="52"/>
  <c r="AV37" i="52"/>
  <c r="AV38" i="52"/>
  <c r="AV35" i="52"/>
  <c r="N47" i="50"/>
  <c r="N19" i="50"/>
  <c r="N36" i="50"/>
  <c r="N37" i="50"/>
  <c r="N38" i="50"/>
  <c r="N35" i="50"/>
  <c r="AV47" i="46"/>
  <c r="AV19" i="46"/>
  <c r="AV36" i="46"/>
  <c r="AV37" i="46"/>
  <c r="AV38" i="46"/>
  <c r="AV35" i="46"/>
  <c r="N47" i="51"/>
  <c r="N19" i="51"/>
  <c r="N37" i="51"/>
  <c r="N36" i="51"/>
  <c r="N38" i="51"/>
  <c r="N35" i="51"/>
  <c r="L47" i="50"/>
  <c r="L38" i="50"/>
  <c r="L19" i="50"/>
  <c r="L35" i="50"/>
  <c r="L36" i="50"/>
  <c r="L37" i="50"/>
  <c r="BR47" i="52"/>
  <c r="BR19" i="52"/>
  <c r="BR36" i="52"/>
  <c r="BR37" i="52"/>
  <c r="BR38" i="52"/>
  <c r="BR35" i="52"/>
  <c r="BD47" i="49"/>
  <c r="BD19" i="49"/>
  <c r="BD36" i="49"/>
  <c r="BD37" i="49"/>
  <c r="BD35" i="49"/>
  <c r="BD38" i="49"/>
  <c r="AR47" i="51"/>
  <c r="AR19" i="51"/>
  <c r="AR36" i="51"/>
  <c r="AR37" i="51"/>
  <c r="AR38" i="51"/>
  <c r="AR35" i="51"/>
  <c r="AV47" i="53"/>
  <c r="AV19" i="53"/>
  <c r="AV38" i="53"/>
  <c r="AV36" i="53"/>
  <c r="AV37" i="53"/>
  <c r="AV35" i="53"/>
  <c r="AZ47" i="51"/>
  <c r="AZ19" i="51"/>
  <c r="AZ37" i="51"/>
  <c r="AZ36" i="51"/>
  <c r="AZ35" i="51"/>
  <c r="AZ38" i="51"/>
  <c r="BD47" i="47"/>
  <c r="BD19" i="47"/>
  <c r="BD37" i="47"/>
  <c r="BD36" i="47"/>
  <c r="BD38" i="47"/>
  <c r="BD35" i="47"/>
  <c r="AR47" i="53"/>
  <c r="AR19" i="53"/>
  <c r="AR37" i="53"/>
  <c r="AR36" i="53"/>
  <c r="AR38" i="53"/>
  <c r="AR35" i="53"/>
  <c r="AV47" i="49"/>
  <c r="AV19" i="49"/>
  <c r="AV36" i="49"/>
  <c r="AV37" i="49"/>
  <c r="AV38" i="49"/>
  <c r="AV35" i="49"/>
  <c r="L47" i="49"/>
  <c r="L19" i="49"/>
  <c r="L36" i="49"/>
  <c r="L37" i="49"/>
  <c r="L38" i="49"/>
  <c r="L35" i="49"/>
  <c r="AH47" i="45"/>
  <c r="AH19" i="45"/>
  <c r="AH36" i="45"/>
  <c r="AH37" i="45"/>
  <c r="AH38" i="45"/>
  <c r="AH35" i="45"/>
  <c r="BP47" i="48"/>
  <c r="BP19" i="48"/>
  <c r="BP36" i="48"/>
  <c r="BP37" i="48"/>
  <c r="BP35" i="48"/>
  <c r="BP38" i="48"/>
  <c r="BP47" i="52"/>
  <c r="BP19" i="52"/>
  <c r="BP37" i="52"/>
  <c r="BP36" i="52"/>
  <c r="BP35" i="52"/>
  <c r="BP38" i="52"/>
  <c r="AB47" i="50"/>
  <c r="AB19" i="50"/>
  <c r="AB36" i="50"/>
  <c r="AB37" i="50"/>
  <c r="AB38" i="50"/>
  <c r="AB35" i="50"/>
  <c r="AB47" i="53"/>
  <c r="AB19" i="53"/>
  <c r="AB36" i="53"/>
  <c r="AB38" i="53"/>
  <c r="AB37" i="53"/>
  <c r="AB35" i="53"/>
  <c r="L35" i="51"/>
  <c r="L19" i="51"/>
  <c r="N47" i="48"/>
  <c r="N19" i="48"/>
  <c r="N36" i="48"/>
  <c r="N37" i="48"/>
  <c r="N38" i="48"/>
  <c r="N35" i="48"/>
  <c r="BR47" i="50"/>
  <c r="BR19" i="50"/>
  <c r="BR36" i="50"/>
  <c r="BR37" i="50"/>
  <c r="BR38" i="50"/>
  <c r="BR35" i="50"/>
  <c r="BF47" i="50"/>
  <c r="BF19" i="50"/>
  <c r="BF36" i="50"/>
  <c r="BF37" i="50"/>
  <c r="BF35" i="50"/>
  <c r="BF38" i="50"/>
  <c r="N47" i="49"/>
  <c r="N19" i="49"/>
  <c r="N36" i="49"/>
  <c r="N37" i="49"/>
  <c r="N38" i="49"/>
  <c r="N35" i="49"/>
  <c r="AP47" i="48"/>
  <c r="AP19" i="48"/>
  <c r="AP37" i="48"/>
  <c r="AP36" i="48"/>
  <c r="AP35" i="48"/>
  <c r="AP38" i="48"/>
  <c r="AZ47" i="48"/>
  <c r="AZ19" i="48"/>
  <c r="AZ36" i="48"/>
  <c r="AZ37" i="48"/>
  <c r="AZ35" i="48"/>
  <c r="AZ38" i="48"/>
  <c r="L47" i="48"/>
  <c r="L19" i="48"/>
  <c r="L36" i="48"/>
  <c r="L37" i="48"/>
  <c r="L38" i="48"/>
  <c r="L35" i="48"/>
  <c r="BD47" i="48"/>
  <c r="BD19" i="48"/>
  <c r="BD37" i="48"/>
  <c r="BD36" i="48"/>
  <c r="BD38" i="48"/>
  <c r="BD35" i="48"/>
  <c r="AH47" i="46"/>
  <c r="AH19" i="46"/>
  <c r="AH37" i="46"/>
  <c r="AH36" i="46"/>
  <c r="AH38" i="46"/>
  <c r="AH35" i="46"/>
  <c r="AZ47" i="46"/>
  <c r="AZ19" i="46"/>
  <c r="AZ36" i="46"/>
  <c r="AZ37" i="46"/>
  <c r="AZ38" i="46"/>
  <c r="AZ35" i="46"/>
  <c r="AP47" i="54"/>
  <c r="AP19" i="54"/>
  <c r="AP37" i="54"/>
  <c r="AP38" i="54"/>
  <c r="AP36" i="54"/>
  <c r="AP35" i="54"/>
  <c r="AZ47" i="54"/>
  <c r="AZ19" i="54"/>
  <c r="AZ38" i="54"/>
  <c r="AZ36" i="54"/>
  <c r="AZ37" i="54"/>
  <c r="AZ35" i="54"/>
  <c r="BD47" i="54"/>
  <c r="BD19" i="54"/>
  <c r="BD37" i="54"/>
  <c r="BD36" i="54"/>
  <c r="BD38" i="54"/>
  <c r="BD35" i="54"/>
  <c r="N47" i="53"/>
  <c r="N19" i="53"/>
  <c r="N38" i="53"/>
  <c r="N36" i="53"/>
  <c r="N37" i="53"/>
  <c r="N35" i="53"/>
  <c r="AP47" i="53"/>
  <c r="AP19" i="53"/>
  <c r="AP37" i="53"/>
  <c r="AP38" i="53"/>
  <c r="AP36" i="53"/>
  <c r="AP35" i="53"/>
  <c r="BR47" i="54"/>
  <c r="BR19" i="54"/>
  <c r="BR36" i="54"/>
  <c r="BR38" i="54"/>
  <c r="BR37" i="54"/>
  <c r="BR35" i="54"/>
  <c r="BF47" i="54"/>
  <c r="BF19" i="54"/>
  <c r="BF37" i="54"/>
  <c r="BF38" i="54"/>
  <c r="BF36" i="54"/>
  <c r="BF35" i="54"/>
  <c r="N47" i="46"/>
  <c r="N19" i="46"/>
  <c r="N36" i="46"/>
  <c r="N37" i="46"/>
  <c r="N38" i="46"/>
  <c r="N35" i="46"/>
  <c r="BR47" i="46"/>
  <c r="BR19" i="46"/>
  <c r="BR36" i="46"/>
  <c r="BR37" i="46"/>
  <c r="BR38" i="46"/>
  <c r="BR35" i="46"/>
  <c r="BF47" i="47"/>
  <c r="BF19" i="47"/>
  <c r="BF36" i="47"/>
  <c r="BF37" i="47"/>
  <c r="BF38" i="47"/>
  <c r="BF35" i="47"/>
  <c r="AR47" i="52"/>
  <c r="AR19" i="52"/>
  <c r="AR36" i="52"/>
  <c r="AR37" i="52"/>
  <c r="AR38" i="52"/>
  <c r="AR35" i="52"/>
  <c r="AV47" i="51"/>
  <c r="AV19" i="51"/>
  <c r="AV36" i="51"/>
  <c r="AV37" i="51"/>
  <c r="AV38" i="51"/>
  <c r="AV35" i="51"/>
  <c r="AR47" i="46"/>
  <c r="AR19" i="46"/>
  <c r="AR37" i="46"/>
  <c r="AR36" i="46"/>
  <c r="AR38" i="46"/>
  <c r="AR35" i="46"/>
  <c r="BD47" i="53"/>
  <c r="BD19" i="53"/>
  <c r="BD37" i="53"/>
  <c r="BD36" i="53"/>
  <c r="BD38" i="53"/>
  <c r="BD35" i="53"/>
  <c r="L47" i="45"/>
  <c r="L19" i="45"/>
  <c r="L37" i="45"/>
  <c r="L36" i="45"/>
  <c r="L35" i="45"/>
  <c r="L38" i="45"/>
  <c r="BF47" i="45"/>
  <c r="BF19" i="45"/>
  <c r="BF37" i="45"/>
  <c r="BF36" i="45"/>
  <c r="BF38" i="45"/>
  <c r="BF35" i="45"/>
  <c r="AR47" i="45"/>
  <c r="AR19" i="45"/>
  <c r="AR36" i="45"/>
  <c r="AR37" i="45"/>
  <c r="AR38" i="45"/>
  <c r="AR35" i="45"/>
  <c r="BP47" i="45"/>
  <c r="BP19" i="45"/>
  <c r="BP37" i="45"/>
  <c r="BP36" i="45"/>
  <c r="BP38" i="45"/>
  <c r="BP35" i="45"/>
  <c r="CB47" i="53"/>
  <c r="CB19" i="53"/>
  <c r="CB36" i="53"/>
  <c r="CB38" i="53"/>
  <c r="CB37" i="53"/>
  <c r="CB35" i="53"/>
  <c r="BB47" i="49"/>
  <c r="BB19" i="49"/>
  <c r="BB36" i="49"/>
  <c r="BB37" i="49"/>
  <c r="BB38" i="49"/>
  <c r="BB35" i="49"/>
  <c r="BH47" i="52"/>
  <c r="BH19" i="52"/>
  <c r="BH36" i="52"/>
  <c r="BH37" i="52"/>
  <c r="BH35" i="52"/>
  <c r="BH38" i="52"/>
  <c r="BH47" i="51"/>
  <c r="BH19" i="51"/>
  <c r="BH36" i="51"/>
  <c r="BH37" i="51"/>
  <c r="BH35" i="51"/>
  <c r="BH38" i="51"/>
  <c r="AB47" i="49"/>
  <c r="AB19" i="49"/>
  <c r="AB36" i="49"/>
  <c r="AB37" i="49"/>
  <c r="AB35" i="49"/>
  <c r="AB38" i="49"/>
  <c r="BH47" i="46"/>
  <c r="BH19" i="46"/>
  <c r="BH37" i="46"/>
  <c r="BH36" i="46"/>
  <c r="BH35" i="46"/>
  <c r="BH38" i="46"/>
  <c r="AB47" i="47"/>
  <c r="AB19" i="47"/>
  <c r="AB36" i="47"/>
  <c r="AB37" i="47"/>
  <c r="AB35" i="47"/>
  <c r="AB38" i="47"/>
  <c r="BB47" i="45"/>
  <c r="BB19" i="45"/>
  <c r="BB37" i="45"/>
  <c r="BB36" i="45"/>
  <c r="BB35" i="45"/>
  <c r="BB38" i="45"/>
  <c r="AB47" i="45"/>
  <c r="AB19" i="45"/>
  <c r="AB37" i="45"/>
  <c r="AB36" i="45"/>
  <c r="AB35" i="45"/>
  <c r="AB38" i="45"/>
  <c r="BP47" i="51"/>
  <c r="BP19" i="51"/>
  <c r="BP36" i="51"/>
  <c r="BP37" i="51"/>
  <c r="BP38" i="51"/>
  <c r="BP35" i="51"/>
  <c r="L36" i="51"/>
  <c r="AD47" i="48"/>
  <c r="AD19" i="48"/>
  <c r="AD38" i="48"/>
  <c r="AD36" i="48"/>
  <c r="AD37" i="48"/>
  <c r="AD35" i="48"/>
  <c r="AH47" i="48"/>
  <c r="AH19" i="48"/>
  <c r="AH37" i="48"/>
  <c r="AH36" i="48"/>
  <c r="AH38" i="48"/>
  <c r="AH35" i="48"/>
  <c r="AJ47" i="48"/>
  <c r="AJ19" i="48"/>
  <c r="AJ36" i="48"/>
  <c r="AJ37" i="48"/>
  <c r="AJ38" i="48"/>
  <c r="AJ35" i="48"/>
  <c r="BX47" i="49"/>
  <c r="BX19" i="49"/>
  <c r="BX37" i="49"/>
  <c r="BX36" i="49"/>
  <c r="BX38" i="49"/>
  <c r="BX35" i="49"/>
  <c r="Z47" i="47"/>
  <c r="Z19" i="47"/>
  <c r="Z38" i="47"/>
  <c r="Z36" i="47"/>
  <c r="Z37" i="47"/>
  <c r="Z35" i="47"/>
  <c r="BL47" i="47"/>
  <c r="BL19" i="47"/>
  <c r="BL36" i="47"/>
  <c r="BL38" i="47"/>
  <c r="BL37" i="47"/>
  <c r="BL35" i="47"/>
  <c r="AF47" i="47"/>
  <c r="AF19" i="47"/>
  <c r="AF37" i="47"/>
  <c r="AF38" i="47"/>
  <c r="AF36" i="47"/>
  <c r="AF35" i="47"/>
  <c r="CD47" i="48"/>
  <c r="CD19" i="48"/>
  <c r="CD38" i="48"/>
  <c r="CD37" i="48"/>
  <c r="CD36" i="48"/>
  <c r="CD35" i="48"/>
  <c r="AD47" i="52"/>
  <c r="AD19" i="52"/>
  <c r="AD36" i="52"/>
  <c r="AD37" i="52"/>
  <c r="AD38" i="52"/>
  <c r="AD35" i="52"/>
  <c r="BL47" i="52"/>
  <c r="BL19" i="52"/>
  <c r="BL38" i="52"/>
  <c r="BL37" i="52"/>
  <c r="BL36" i="52"/>
  <c r="BL35" i="52"/>
  <c r="R47" i="54"/>
  <c r="R19" i="54"/>
  <c r="R36" i="54"/>
  <c r="R38" i="54"/>
  <c r="R37" i="54"/>
  <c r="R35" i="54"/>
  <c r="T47" i="53"/>
  <c r="T19" i="53"/>
  <c r="T36" i="53"/>
  <c r="T37" i="53"/>
  <c r="T38" i="53"/>
  <c r="T35" i="53"/>
  <c r="Z47" i="51"/>
  <c r="Z19" i="51"/>
  <c r="Z36" i="51"/>
  <c r="Z37" i="51"/>
  <c r="Z38" i="51"/>
  <c r="Z35" i="51"/>
  <c r="P47" i="52"/>
  <c r="P19" i="52"/>
  <c r="P36" i="52"/>
  <c r="P37" i="52"/>
  <c r="P38" i="52"/>
  <c r="P35" i="52"/>
  <c r="AF47" i="51"/>
  <c r="AF19" i="51"/>
  <c r="AF36" i="51"/>
  <c r="AF37" i="51"/>
  <c r="AF38" i="51"/>
  <c r="AF35" i="51"/>
  <c r="BZ47" i="52"/>
  <c r="BZ19" i="52"/>
  <c r="BZ37" i="52"/>
  <c r="BZ36" i="52"/>
  <c r="BZ38" i="52"/>
  <c r="BZ35" i="52"/>
  <c r="AT47" i="52"/>
  <c r="AT19" i="52"/>
  <c r="AT37" i="52"/>
  <c r="AT38" i="52"/>
  <c r="AT36" i="52"/>
  <c r="AT35" i="52"/>
  <c r="AJ47" i="51"/>
  <c r="AJ19" i="51"/>
  <c r="AJ37" i="51"/>
  <c r="AJ38" i="51"/>
  <c r="AJ36" i="51"/>
  <c r="AJ35" i="51"/>
  <c r="V47" i="52"/>
  <c r="V19" i="52"/>
  <c r="V36" i="52"/>
  <c r="V38" i="52"/>
  <c r="V37" i="52"/>
  <c r="V35" i="52"/>
  <c r="AX47" i="52"/>
  <c r="AX19" i="52"/>
  <c r="AX36" i="52"/>
  <c r="AX37" i="52"/>
  <c r="AX38" i="52"/>
  <c r="AX35" i="52"/>
  <c r="V47" i="53"/>
  <c r="V19" i="53"/>
  <c r="V38" i="53"/>
  <c r="V36" i="53"/>
  <c r="V37" i="53"/>
  <c r="V35" i="53"/>
  <c r="AX47" i="53"/>
  <c r="AX19" i="53"/>
  <c r="AX36" i="53"/>
  <c r="AX37" i="53"/>
  <c r="AX38" i="53"/>
  <c r="AX35" i="53"/>
  <c r="P47" i="53"/>
  <c r="P19" i="53"/>
  <c r="P37" i="53"/>
  <c r="P38" i="53"/>
  <c r="P36" i="53"/>
  <c r="P35" i="53"/>
  <c r="R47" i="50"/>
  <c r="R19" i="50"/>
  <c r="R36" i="50"/>
  <c r="R38" i="50"/>
  <c r="R37" i="50"/>
  <c r="R35" i="50"/>
  <c r="T47" i="50"/>
  <c r="T19" i="50"/>
  <c r="T37" i="50"/>
  <c r="T38" i="50"/>
  <c r="T36" i="50"/>
  <c r="T35" i="50"/>
  <c r="R47" i="51"/>
  <c r="R19" i="51"/>
  <c r="R36" i="51"/>
  <c r="R37" i="51"/>
  <c r="R38" i="51"/>
  <c r="R35" i="51"/>
  <c r="P47" i="51"/>
  <c r="P19" i="51"/>
  <c r="P36" i="51"/>
  <c r="P37" i="51"/>
  <c r="P38" i="51"/>
  <c r="P35" i="51"/>
  <c r="T47" i="51"/>
  <c r="T19" i="51"/>
  <c r="T37" i="51"/>
  <c r="T36" i="51"/>
  <c r="T38" i="51"/>
  <c r="T35" i="51"/>
  <c r="BX47" i="51"/>
  <c r="BX19" i="51"/>
  <c r="BX38" i="51"/>
  <c r="BX36" i="51"/>
  <c r="BX37" i="51"/>
  <c r="BX35" i="51"/>
  <c r="BN47" i="52"/>
  <c r="BN19" i="52"/>
  <c r="BN38" i="52"/>
  <c r="BN36" i="52"/>
  <c r="BN37" i="52"/>
  <c r="BN35" i="52"/>
  <c r="CD47" i="51"/>
  <c r="CD19" i="51"/>
  <c r="CD36" i="51"/>
  <c r="CD37" i="51"/>
  <c r="CD38" i="51"/>
  <c r="CD35" i="51"/>
  <c r="AX47" i="51"/>
  <c r="AX19" i="51"/>
  <c r="AX36" i="51"/>
  <c r="AX37" i="51"/>
  <c r="AX38" i="51"/>
  <c r="AX35" i="51"/>
  <c r="V47" i="51"/>
  <c r="V19" i="51"/>
  <c r="V38" i="51"/>
  <c r="V36" i="51"/>
  <c r="V37" i="51"/>
  <c r="V35" i="51"/>
  <c r="AL47" i="52"/>
  <c r="AL19" i="52"/>
  <c r="AL36" i="52"/>
  <c r="AL37" i="52"/>
  <c r="AL38" i="52"/>
  <c r="AL35" i="52"/>
  <c r="X47" i="48"/>
  <c r="X19" i="48"/>
  <c r="X36" i="48"/>
  <c r="X37" i="48"/>
  <c r="X38" i="48"/>
  <c r="X35" i="48"/>
  <c r="BZ47" i="48"/>
  <c r="BZ19" i="48"/>
  <c r="BZ36" i="48"/>
  <c r="BZ37" i="48"/>
  <c r="BZ38" i="48"/>
  <c r="BZ35" i="48"/>
  <c r="AT47" i="48"/>
  <c r="AT19" i="48"/>
  <c r="AT36" i="48"/>
  <c r="AT37" i="48"/>
  <c r="AT38" i="48"/>
  <c r="AT35" i="48"/>
  <c r="BX47" i="46"/>
  <c r="BX19" i="46"/>
  <c r="BX36" i="46"/>
  <c r="BX37" i="46"/>
  <c r="BX35" i="46"/>
  <c r="BX38" i="46"/>
  <c r="Z47" i="50"/>
  <c r="Z19" i="50"/>
  <c r="Z37" i="50"/>
  <c r="Z36" i="50"/>
  <c r="Z38" i="50"/>
  <c r="Z35" i="50"/>
  <c r="AJ47" i="50"/>
  <c r="AJ19" i="50"/>
  <c r="AJ36" i="50"/>
  <c r="AJ38" i="50"/>
  <c r="AJ37" i="50"/>
  <c r="AJ35" i="50"/>
  <c r="AL47" i="50"/>
  <c r="AL19" i="50"/>
  <c r="AL36" i="50"/>
  <c r="AL37" i="50"/>
  <c r="AL38" i="50"/>
  <c r="AL35" i="50"/>
  <c r="BX47" i="50"/>
  <c r="BX19" i="50"/>
  <c r="BX36" i="50"/>
  <c r="BX37" i="50"/>
  <c r="BX38" i="50"/>
  <c r="BX35" i="50"/>
  <c r="BL47" i="50"/>
  <c r="BL19" i="50"/>
  <c r="BL36" i="50"/>
  <c r="BL37" i="50"/>
  <c r="BL38" i="50"/>
  <c r="BL35" i="50"/>
  <c r="BN47" i="50"/>
  <c r="BN19" i="50"/>
  <c r="BN37" i="50"/>
  <c r="BN38" i="50"/>
  <c r="BN36" i="50"/>
  <c r="BN35" i="50"/>
  <c r="BV47" i="50"/>
  <c r="BV19" i="50"/>
  <c r="BV37" i="50"/>
  <c r="BV38" i="50"/>
  <c r="BV36" i="50"/>
  <c r="BV35" i="50"/>
  <c r="AT47" i="50"/>
  <c r="AT19" i="50"/>
  <c r="AT38" i="50"/>
  <c r="AT36" i="50"/>
  <c r="AT37" i="50"/>
  <c r="AT35" i="50"/>
  <c r="CD47" i="50"/>
  <c r="CD19" i="50"/>
  <c r="CD36" i="50"/>
  <c r="CD38" i="50"/>
  <c r="CD37" i="50"/>
  <c r="CD35" i="50"/>
  <c r="BZ47" i="50"/>
  <c r="BZ19" i="50"/>
  <c r="BZ36" i="50"/>
  <c r="BZ38" i="50"/>
  <c r="BZ37" i="50"/>
  <c r="BZ35" i="50"/>
  <c r="X47" i="50"/>
  <c r="X19" i="50"/>
  <c r="X36" i="50"/>
  <c r="X37" i="50"/>
  <c r="X38" i="50"/>
  <c r="X35" i="50"/>
  <c r="AH47" i="50"/>
  <c r="AH19" i="50"/>
  <c r="AH37" i="50"/>
  <c r="AH36" i="50"/>
  <c r="AH38" i="50"/>
  <c r="AH35" i="50"/>
  <c r="AF47" i="50"/>
  <c r="AF19" i="50"/>
  <c r="AF37" i="50"/>
  <c r="AF36" i="50"/>
  <c r="AF38" i="50"/>
  <c r="AF35" i="50"/>
  <c r="AD47" i="50"/>
  <c r="AD19" i="50"/>
  <c r="AD36" i="50"/>
  <c r="AD37" i="50"/>
  <c r="AD38" i="50"/>
  <c r="AD35" i="50"/>
  <c r="V47" i="50"/>
  <c r="V19" i="50"/>
  <c r="V37" i="50"/>
  <c r="V38" i="50"/>
  <c r="V36" i="50"/>
  <c r="V35" i="50"/>
  <c r="T47" i="52"/>
  <c r="T19" i="52"/>
  <c r="T36" i="52"/>
  <c r="T37" i="52"/>
  <c r="T38" i="52"/>
  <c r="T35" i="52"/>
  <c r="BV47" i="52"/>
  <c r="BV19" i="52"/>
  <c r="BV36" i="52"/>
  <c r="BV37" i="52"/>
  <c r="BV38" i="52"/>
  <c r="BV35" i="52"/>
  <c r="AH47" i="52"/>
  <c r="AH19" i="52"/>
  <c r="AH38" i="52"/>
  <c r="AH36" i="52"/>
  <c r="AH37" i="52"/>
  <c r="AH35" i="52"/>
  <c r="R47" i="52"/>
  <c r="R19" i="52"/>
  <c r="R36" i="52"/>
  <c r="R37" i="52"/>
  <c r="R38" i="52"/>
  <c r="R35" i="52"/>
  <c r="AJ47" i="52"/>
  <c r="AJ19" i="52"/>
  <c r="AJ36" i="52"/>
  <c r="AJ37" i="52"/>
  <c r="AJ38" i="52"/>
  <c r="AJ35" i="52"/>
  <c r="CD47" i="52"/>
  <c r="CD19" i="52"/>
  <c r="CD37" i="52"/>
  <c r="CD38" i="52"/>
  <c r="CD36" i="52"/>
  <c r="CD35" i="52"/>
  <c r="Z47" i="52"/>
  <c r="Z19" i="52"/>
  <c r="Z36" i="52"/>
  <c r="Z37" i="52"/>
  <c r="Z38" i="52"/>
  <c r="Z35" i="52"/>
  <c r="X47" i="49"/>
  <c r="X19" i="49"/>
  <c r="X36" i="49"/>
  <c r="X37" i="49"/>
  <c r="X38" i="49"/>
  <c r="X35" i="49"/>
  <c r="BZ47" i="49"/>
  <c r="BZ19" i="49"/>
  <c r="BZ37" i="49"/>
  <c r="BZ36" i="49"/>
  <c r="BZ35" i="49"/>
  <c r="BZ38" i="49"/>
  <c r="AT47" i="49"/>
  <c r="AT19" i="49"/>
  <c r="AT37" i="49"/>
  <c r="AT38" i="49"/>
  <c r="AT36" i="49"/>
  <c r="AT35" i="49"/>
  <c r="AX47" i="49"/>
  <c r="AX19" i="49"/>
  <c r="AX37" i="49"/>
  <c r="AX38" i="49"/>
  <c r="AX36" i="49"/>
  <c r="AX35" i="49"/>
  <c r="AX47" i="50"/>
  <c r="AX19" i="50"/>
  <c r="AX36" i="50"/>
  <c r="AX38" i="50"/>
  <c r="AX37" i="50"/>
  <c r="AX35" i="50"/>
  <c r="T47" i="49"/>
  <c r="T19" i="49"/>
  <c r="T37" i="49"/>
  <c r="T36" i="49"/>
  <c r="T38" i="49"/>
  <c r="T35" i="49"/>
  <c r="BV47" i="49"/>
  <c r="BV19" i="49"/>
  <c r="BV38" i="49"/>
  <c r="BV36" i="49"/>
  <c r="BV37" i="49"/>
  <c r="BV35" i="49"/>
  <c r="AH47" i="49"/>
  <c r="AH19" i="49"/>
  <c r="AH36" i="49"/>
  <c r="AH37" i="49"/>
  <c r="AH35" i="49"/>
  <c r="AH38" i="49"/>
  <c r="R47" i="49"/>
  <c r="R19" i="49"/>
  <c r="R38" i="49"/>
  <c r="R37" i="49"/>
  <c r="R36" i="49"/>
  <c r="R35" i="49"/>
  <c r="AJ47" i="49"/>
  <c r="AJ19" i="49"/>
  <c r="AJ36" i="49"/>
  <c r="AJ37" i="49"/>
  <c r="AJ38" i="49"/>
  <c r="AJ35" i="49"/>
  <c r="CD47" i="49"/>
  <c r="CD19" i="49"/>
  <c r="CD38" i="49"/>
  <c r="CD36" i="49"/>
  <c r="CD37" i="49"/>
  <c r="CD35" i="49"/>
  <c r="AL47" i="49"/>
  <c r="AL19" i="49"/>
  <c r="AL38" i="49"/>
  <c r="AL36" i="49"/>
  <c r="AL37" i="49"/>
  <c r="AL35" i="49"/>
  <c r="X47" i="54"/>
  <c r="X19" i="54"/>
  <c r="X38" i="54"/>
  <c r="X37" i="54"/>
  <c r="X36" i="54"/>
  <c r="X35" i="54"/>
  <c r="BN47" i="54"/>
  <c r="BN19" i="54"/>
  <c r="BN37" i="54"/>
  <c r="BN36" i="54"/>
  <c r="BN38" i="54"/>
  <c r="BN35" i="54"/>
  <c r="BZ47" i="54"/>
  <c r="BZ19" i="54"/>
  <c r="BZ37" i="54"/>
  <c r="BZ36" i="54"/>
  <c r="BZ38" i="54"/>
  <c r="BZ35" i="54"/>
  <c r="AT47" i="54"/>
  <c r="AT19" i="54"/>
  <c r="AT38" i="54"/>
  <c r="AT36" i="54"/>
  <c r="AT37" i="54"/>
  <c r="AT35" i="54"/>
  <c r="X47" i="46"/>
  <c r="X19" i="46"/>
  <c r="X36" i="46"/>
  <c r="X37" i="46"/>
  <c r="X38" i="46"/>
  <c r="X35" i="46"/>
  <c r="AD40" i="44"/>
  <c r="AD10" i="44"/>
  <c r="AD41" i="44"/>
  <c r="AD9" i="44"/>
  <c r="AD8" i="44"/>
  <c r="AZ9" i="44"/>
  <c r="AZ41" i="44"/>
  <c r="AZ40" i="44"/>
  <c r="AZ10" i="44"/>
  <c r="AZ8" i="44"/>
  <c r="V47" i="46"/>
  <c r="V19" i="46"/>
  <c r="V36" i="46"/>
  <c r="V37" i="46"/>
  <c r="V35" i="46"/>
  <c r="V38" i="46"/>
  <c r="T47" i="45"/>
  <c r="T19" i="45"/>
  <c r="T36" i="45"/>
  <c r="T37" i="45"/>
  <c r="T38" i="45"/>
  <c r="T35" i="45"/>
  <c r="BH40" i="51"/>
  <c r="BH10" i="51"/>
  <c r="BH9" i="51"/>
  <c r="BH41" i="51"/>
  <c r="BH8" i="51"/>
  <c r="BH7" i="51"/>
  <c r="BJ19" i="44"/>
  <c r="BJ36" i="44"/>
  <c r="BJ37" i="44"/>
  <c r="BJ38" i="44"/>
  <c r="BJ35" i="44"/>
  <c r="BJ47" i="45"/>
  <c r="BJ19" i="45"/>
  <c r="BJ36" i="45"/>
  <c r="BJ37" i="45"/>
  <c r="BJ35" i="45"/>
  <c r="BJ38" i="45"/>
  <c r="CB40" i="45"/>
  <c r="CB10" i="45"/>
  <c r="CB9" i="45"/>
  <c r="CB41" i="45"/>
  <c r="CB7" i="45"/>
  <c r="CB8" i="45"/>
  <c r="BT40" i="45"/>
  <c r="BT10" i="45"/>
  <c r="BT9" i="45"/>
  <c r="BT41" i="45"/>
  <c r="BT7" i="45"/>
  <c r="BT8" i="45"/>
  <c r="CB9" i="49"/>
  <c r="CB41" i="49"/>
  <c r="CB8" i="49"/>
  <c r="CB40" i="49"/>
  <c r="CB10" i="49"/>
  <c r="CB7" i="49"/>
  <c r="BP9" i="47"/>
  <c r="BP41" i="47"/>
  <c r="BP8" i="47"/>
  <c r="BP40" i="47"/>
  <c r="BP10" i="47"/>
  <c r="BP7" i="47"/>
  <c r="BZ41" i="45"/>
  <c r="BZ8" i="45"/>
  <c r="BZ40" i="45"/>
  <c r="BZ10" i="45"/>
  <c r="BZ9" i="45"/>
  <c r="BZ7" i="45"/>
  <c r="BL41" i="44"/>
  <c r="BL10" i="44"/>
  <c r="BL40" i="44"/>
  <c r="BL9" i="44"/>
  <c r="BL8" i="44"/>
  <c r="BX9" i="45"/>
  <c r="BX41" i="45"/>
  <c r="BX8" i="45"/>
  <c r="BX40" i="45"/>
  <c r="BX10" i="45"/>
  <c r="BX7" i="45"/>
  <c r="BB40" i="44"/>
  <c r="BB10" i="44"/>
  <c r="BB41" i="44"/>
  <c r="BB9" i="44"/>
  <c r="BB8" i="44"/>
  <c r="BV19" i="44"/>
  <c r="BV36" i="44"/>
  <c r="BV37" i="44"/>
  <c r="BV35" i="44"/>
  <c r="BV38" i="44"/>
  <c r="AP19" i="44"/>
  <c r="AP36" i="44"/>
  <c r="AP37" i="44"/>
  <c r="AP38" i="44"/>
  <c r="AP35" i="44"/>
  <c r="BH9" i="54"/>
  <c r="BH41" i="54"/>
  <c r="BH8" i="54"/>
  <c r="BH40" i="54"/>
  <c r="BH10" i="54"/>
  <c r="BH7" i="54"/>
  <c r="BJ47" i="53"/>
  <c r="BJ19" i="53"/>
  <c r="BJ36" i="53"/>
  <c r="BJ38" i="53"/>
  <c r="BJ37" i="53"/>
  <c r="BJ35" i="53"/>
  <c r="AN47" i="51"/>
  <c r="AN19" i="51"/>
  <c r="AN36" i="51"/>
  <c r="AN37" i="51"/>
  <c r="AN38" i="51"/>
  <c r="AN35" i="51"/>
  <c r="AN47" i="50"/>
  <c r="AN19" i="50"/>
  <c r="AN36" i="50"/>
  <c r="AN37" i="50"/>
  <c r="AN38" i="50"/>
  <c r="AN35" i="50"/>
  <c r="AN47" i="53"/>
  <c r="AN19" i="53"/>
  <c r="AN36" i="53"/>
  <c r="AN38" i="53"/>
  <c r="AN37" i="53"/>
  <c r="AN35" i="53"/>
  <c r="CF47" i="47"/>
  <c r="CF19" i="47"/>
  <c r="CF36" i="47"/>
  <c r="CF37" i="47"/>
  <c r="CF35" i="47"/>
  <c r="CF38" i="47"/>
  <c r="CF47" i="49"/>
  <c r="CF19" i="49"/>
  <c r="CF37" i="49"/>
  <c r="CF36" i="49"/>
  <c r="CF38" i="49"/>
  <c r="CF35" i="49"/>
  <c r="CF47" i="53"/>
  <c r="CF19" i="53"/>
  <c r="CF37" i="53"/>
  <c r="CF36" i="53"/>
  <c r="CF38" i="53"/>
  <c r="CF35" i="53"/>
  <c r="AN35" i="49"/>
  <c r="AN19" i="49"/>
  <c r="CD37" i="45"/>
  <c r="CF35" i="44"/>
  <c r="CF19" i="44"/>
  <c r="BJ37" i="48"/>
  <c r="BJ47" i="48"/>
  <c r="BN36" i="45"/>
  <c r="AL47" i="47"/>
  <c r="AL19" i="47"/>
  <c r="AL36" i="47"/>
  <c r="AL37" i="47"/>
  <c r="AL35" i="47"/>
  <c r="AL38" i="47"/>
  <c r="P47" i="49"/>
  <c r="P19" i="49"/>
  <c r="P38" i="49"/>
  <c r="P37" i="49"/>
  <c r="P36" i="49"/>
  <c r="P35" i="49"/>
  <c r="BN47" i="47"/>
  <c r="BN19" i="47"/>
  <c r="BN36" i="47"/>
  <c r="BN37" i="47"/>
  <c r="BN38" i="47"/>
  <c r="BN35" i="47"/>
  <c r="BL47" i="48"/>
  <c r="BL19" i="48"/>
  <c r="BL36" i="48"/>
  <c r="BL37" i="48"/>
  <c r="BL38" i="48"/>
  <c r="BL35" i="48"/>
  <c r="AL47" i="48"/>
  <c r="AL19" i="48"/>
  <c r="AL36" i="48"/>
  <c r="AL37" i="48"/>
  <c r="AL38" i="48"/>
  <c r="AL35" i="48"/>
  <c r="BN47" i="49"/>
  <c r="BN19" i="49"/>
  <c r="BN36" i="49"/>
  <c r="BN38" i="49"/>
  <c r="BN37" i="49"/>
  <c r="BN35" i="49"/>
  <c r="BV47" i="47"/>
  <c r="BV19" i="47"/>
  <c r="BV36" i="47"/>
  <c r="BV37" i="47"/>
  <c r="BV38" i="47"/>
  <c r="BV35" i="47"/>
  <c r="AH47" i="47"/>
  <c r="AH19" i="47"/>
  <c r="AH36" i="47"/>
  <c r="AH37" i="47"/>
  <c r="AH38" i="47"/>
  <c r="AH35" i="47"/>
  <c r="X47" i="51"/>
  <c r="X19" i="51"/>
  <c r="X37" i="51"/>
  <c r="X38" i="51"/>
  <c r="X36" i="51"/>
  <c r="X35" i="51"/>
  <c r="BZ47" i="51"/>
  <c r="BZ19" i="51"/>
  <c r="BZ37" i="51"/>
  <c r="BZ38" i="51"/>
  <c r="BZ36" i="51"/>
  <c r="BZ35" i="51"/>
  <c r="CD47" i="46"/>
  <c r="CD19" i="46"/>
  <c r="CD36" i="46"/>
  <c r="CD37" i="46"/>
  <c r="CD38" i="46"/>
  <c r="CD35" i="46"/>
  <c r="AD47" i="54"/>
  <c r="AD19" i="54"/>
  <c r="AD36" i="54"/>
  <c r="AD38" i="54"/>
  <c r="AD37" i="54"/>
  <c r="AD35" i="54"/>
  <c r="P47" i="54"/>
  <c r="P19" i="54"/>
  <c r="P36" i="54"/>
  <c r="P37" i="54"/>
  <c r="P38" i="54"/>
  <c r="P35" i="54"/>
  <c r="T47" i="54"/>
  <c r="T19" i="54"/>
  <c r="T36" i="54"/>
  <c r="T38" i="54"/>
  <c r="T37" i="54"/>
  <c r="T35" i="54"/>
  <c r="AX47" i="48"/>
  <c r="AX19" i="48"/>
  <c r="AX37" i="48"/>
  <c r="AX38" i="48"/>
  <c r="AX36" i="48"/>
  <c r="AX35" i="48"/>
  <c r="AL47" i="53"/>
  <c r="AL19" i="53"/>
  <c r="AL37" i="53"/>
  <c r="AL38" i="53"/>
  <c r="AL36" i="53"/>
  <c r="AL35" i="53"/>
  <c r="AD47" i="51"/>
  <c r="AD19" i="51"/>
  <c r="AD36" i="51"/>
  <c r="AD37" i="51"/>
  <c r="AD38" i="51"/>
  <c r="AD35" i="51"/>
  <c r="X47" i="52"/>
  <c r="X19" i="52"/>
  <c r="X37" i="52"/>
  <c r="X38" i="52"/>
  <c r="X36" i="52"/>
  <c r="X35" i="52"/>
  <c r="AH47" i="51"/>
  <c r="AH19" i="51"/>
  <c r="AH38" i="51"/>
  <c r="AH36" i="51"/>
  <c r="AH37" i="51"/>
  <c r="AH35" i="51"/>
  <c r="BL47" i="51"/>
  <c r="BL19" i="51"/>
  <c r="BL36" i="51"/>
  <c r="BL38" i="51"/>
  <c r="BL37" i="51"/>
  <c r="BL35" i="51"/>
  <c r="BV47" i="51"/>
  <c r="BV19" i="51"/>
  <c r="BV38" i="51"/>
  <c r="BV36" i="51"/>
  <c r="BV37" i="51"/>
  <c r="BV35" i="51"/>
  <c r="AL47" i="51"/>
  <c r="AL19" i="51"/>
  <c r="AL37" i="51"/>
  <c r="AL36" i="51"/>
  <c r="AL38" i="51"/>
  <c r="AL35" i="51"/>
  <c r="BJ41" i="50"/>
  <c r="BJ40" i="50"/>
  <c r="BJ9" i="50"/>
  <c r="BJ8" i="50"/>
  <c r="BJ10" i="50"/>
  <c r="BJ7" i="50"/>
  <c r="V47" i="47"/>
  <c r="V19" i="47"/>
  <c r="V36" i="47"/>
  <c r="V37" i="47"/>
  <c r="V38" i="47"/>
  <c r="V35" i="47"/>
  <c r="T47" i="46"/>
  <c r="T19" i="46"/>
  <c r="T36" i="46"/>
  <c r="T37" i="46"/>
  <c r="T35" i="46"/>
  <c r="T38" i="46"/>
  <c r="T47" i="47"/>
  <c r="T19" i="47"/>
  <c r="T36" i="47"/>
  <c r="T37" i="47"/>
  <c r="T35" i="47"/>
  <c r="T38" i="47"/>
  <c r="BL47" i="46"/>
  <c r="BL19" i="46"/>
  <c r="BL36" i="46"/>
  <c r="BL37" i="46"/>
  <c r="BL38" i="46"/>
  <c r="BL35" i="46"/>
  <c r="AD47" i="45"/>
  <c r="AD19" i="45"/>
  <c r="AD36" i="45"/>
  <c r="AD37" i="45"/>
  <c r="AD35" i="45"/>
  <c r="AD38" i="45"/>
  <c r="R47" i="45"/>
  <c r="R19" i="45"/>
  <c r="R36" i="45"/>
  <c r="R37" i="45"/>
  <c r="R38" i="45"/>
  <c r="R35" i="45"/>
  <c r="BL47" i="45"/>
  <c r="BL19" i="45"/>
  <c r="BL36" i="45"/>
  <c r="BL37" i="45"/>
  <c r="BL38" i="45"/>
  <c r="BL35" i="45"/>
  <c r="BT9" i="49"/>
  <c r="BT41" i="49"/>
  <c r="BT8" i="49"/>
  <c r="BT40" i="49"/>
  <c r="BT10" i="49"/>
  <c r="BT7" i="49"/>
  <c r="X41" i="44"/>
  <c r="X10" i="44"/>
  <c r="X40" i="44"/>
  <c r="X9" i="44"/>
  <c r="X8" i="44"/>
  <c r="BF19" i="44"/>
  <c r="BF36" i="44"/>
  <c r="BF37" i="44"/>
  <c r="BF38" i="44"/>
  <c r="BF35" i="44"/>
  <c r="AR19" i="44"/>
  <c r="AR37" i="44"/>
  <c r="AR36" i="44"/>
  <c r="AR38" i="44"/>
  <c r="AR35" i="44"/>
  <c r="AB40" i="53"/>
  <c r="AB10" i="53"/>
  <c r="AB9" i="53"/>
  <c r="AB41" i="53"/>
  <c r="AB8" i="53"/>
  <c r="AB7" i="53"/>
  <c r="AN47" i="47"/>
  <c r="AN19" i="47"/>
  <c r="AN38" i="47"/>
  <c r="AN36" i="47"/>
  <c r="AN37" i="47"/>
  <c r="AN35" i="47"/>
  <c r="BH40" i="53"/>
  <c r="BH10" i="53"/>
  <c r="BH9" i="53"/>
  <c r="BH41" i="53"/>
  <c r="BH8" i="53"/>
  <c r="BH7" i="53"/>
  <c r="BP40" i="53"/>
  <c r="BP10" i="53"/>
  <c r="BP9" i="53"/>
  <c r="BP41" i="53"/>
  <c r="BP8" i="53"/>
  <c r="BP7" i="53"/>
  <c r="CF47" i="54"/>
  <c r="CF19" i="54"/>
  <c r="CF36" i="54"/>
  <c r="CF37" i="54"/>
  <c r="CF38" i="54"/>
  <c r="CF35" i="54"/>
  <c r="CF47" i="45"/>
  <c r="CF19" i="45"/>
  <c r="CF36" i="45"/>
  <c r="CF37" i="45"/>
  <c r="CF38" i="45"/>
  <c r="CF35" i="45"/>
  <c r="AV41" i="44"/>
  <c r="AV10" i="44"/>
  <c r="AV40" i="44"/>
  <c r="AV9" i="44"/>
  <c r="AV8" i="44"/>
  <c r="AN38" i="49"/>
  <c r="AN47" i="49"/>
  <c r="CD36" i="45"/>
  <c r="CF38" i="44"/>
  <c r="BJ36" i="48"/>
  <c r="BN35" i="45"/>
  <c r="BN19" i="45"/>
  <c r="Z47" i="48"/>
  <c r="Z19" i="48"/>
  <c r="Z37" i="48"/>
  <c r="Z36" i="48"/>
  <c r="Z38" i="48"/>
  <c r="Z35" i="48"/>
  <c r="AF47" i="48"/>
  <c r="AF19" i="48"/>
  <c r="AF37" i="48"/>
  <c r="AF36" i="48"/>
  <c r="AF38" i="48"/>
  <c r="AF35" i="48"/>
  <c r="AT47" i="47"/>
  <c r="AT19" i="47"/>
  <c r="AT36" i="47"/>
  <c r="AT37" i="47"/>
  <c r="AT38" i="47"/>
  <c r="AT35" i="47"/>
  <c r="X47" i="47"/>
  <c r="X19" i="47"/>
  <c r="X36" i="47"/>
  <c r="X37" i="47"/>
  <c r="X38" i="47"/>
  <c r="X35" i="47"/>
  <c r="P47" i="50"/>
  <c r="P19" i="50"/>
  <c r="P36" i="50"/>
  <c r="P38" i="50"/>
  <c r="P37" i="50"/>
  <c r="P35" i="50"/>
  <c r="BL47" i="49"/>
  <c r="BL19" i="49"/>
  <c r="BL36" i="49"/>
  <c r="BL37" i="49"/>
  <c r="BL38" i="49"/>
  <c r="BL35" i="49"/>
  <c r="BX47" i="47"/>
  <c r="BX19" i="47"/>
  <c r="BX37" i="47"/>
  <c r="BX36" i="47"/>
  <c r="BX38" i="47"/>
  <c r="BX35" i="47"/>
  <c r="CD47" i="47"/>
  <c r="CD19" i="47"/>
  <c r="CD37" i="47"/>
  <c r="CD38" i="47"/>
  <c r="CD36" i="47"/>
  <c r="CD35" i="47"/>
  <c r="AD47" i="47"/>
  <c r="AD19" i="47"/>
  <c r="AD36" i="47"/>
  <c r="AD37" i="47"/>
  <c r="AD35" i="47"/>
  <c r="AD38" i="47"/>
  <c r="BN47" i="51"/>
  <c r="BN19" i="51"/>
  <c r="BN38" i="51"/>
  <c r="BN37" i="51"/>
  <c r="BN36" i="51"/>
  <c r="BN35" i="51"/>
  <c r="BZ47" i="46"/>
  <c r="BZ19" i="46"/>
  <c r="BZ36" i="46"/>
  <c r="BZ37" i="46"/>
  <c r="BZ38" i="46"/>
  <c r="BZ35" i="46"/>
  <c r="BN47" i="46"/>
  <c r="BN19" i="46"/>
  <c r="BN38" i="46"/>
  <c r="BN36" i="46"/>
  <c r="BN37" i="46"/>
  <c r="BN35" i="46"/>
  <c r="AF47" i="54"/>
  <c r="AF19" i="54"/>
  <c r="AF38" i="54"/>
  <c r="AF36" i="54"/>
  <c r="AF37" i="54"/>
  <c r="AF35" i="54"/>
  <c r="AJ47" i="54"/>
  <c r="AJ19" i="54"/>
  <c r="AJ38" i="54"/>
  <c r="AJ36" i="54"/>
  <c r="AJ37" i="54"/>
  <c r="AJ35" i="54"/>
  <c r="AL47" i="54"/>
  <c r="AL19" i="54"/>
  <c r="AL36" i="54"/>
  <c r="AL37" i="54"/>
  <c r="AL38" i="54"/>
  <c r="AL35" i="54"/>
  <c r="Z47" i="53"/>
  <c r="Z19" i="53"/>
  <c r="Z36" i="53"/>
  <c r="Z37" i="53"/>
  <c r="Z38" i="53"/>
  <c r="Z35" i="53"/>
  <c r="R47" i="53"/>
  <c r="R19" i="53"/>
  <c r="R36" i="53"/>
  <c r="R37" i="53"/>
  <c r="R38" i="53"/>
  <c r="R35" i="53"/>
  <c r="BN47" i="53"/>
  <c r="BN19" i="53"/>
  <c r="BN38" i="53"/>
  <c r="BN36" i="53"/>
  <c r="BN37" i="53"/>
  <c r="BN35" i="53"/>
  <c r="AT47" i="53"/>
  <c r="AT19" i="53"/>
  <c r="AT37" i="53"/>
  <c r="AT38" i="53"/>
  <c r="AT36" i="53"/>
  <c r="AT35" i="53"/>
  <c r="X47" i="53"/>
  <c r="X19" i="53"/>
  <c r="X36" i="53"/>
  <c r="X37" i="53"/>
  <c r="X38" i="53"/>
  <c r="X35" i="53"/>
  <c r="AH47" i="53"/>
  <c r="AH19" i="53"/>
  <c r="AH38" i="53"/>
  <c r="AH36" i="53"/>
  <c r="AH37" i="53"/>
  <c r="AH35" i="53"/>
  <c r="AD47" i="53"/>
  <c r="AD19" i="53"/>
  <c r="AD36" i="53"/>
  <c r="AD37" i="53"/>
  <c r="AD38" i="53"/>
  <c r="AD35" i="53"/>
  <c r="CD47" i="54"/>
  <c r="CD19" i="54"/>
  <c r="CD38" i="54"/>
  <c r="CD36" i="54"/>
  <c r="CD37" i="54"/>
  <c r="CD35" i="54"/>
  <c r="AX47" i="54"/>
  <c r="AX19" i="54"/>
  <c r="AX36" i="54"/>
  <c r="AX38" i="54"/>
  <c r="AX37" i="54"/>
  <c r="AX35" i="54"/>
  <c r="AD47" i="49"/>
  <c r="AD19" i="49"/>
  <c r="AD36" i="49"/>
  <c r="AD38" i="49"/>
  <c r="AD37" i="49"/>
  <c r="AD35" i="49"/>
  <c r="BX47" i="52"/>
  <c r="BX19" i="52"/>
  <c r="BX38" i="52"/>
  <c r="BX36" i="52"/>
  <c r="BX37" i="52"/>
  <c r="BX35" i="52"/>
  <c r="BH9" i="44"/>
  <c r="BH41" i="44"/>
  <c r="BH40" i="44"/>
  <c r="BH10" i="44"/>
  <c r="BH8" i="44"/>
  <c r="R47" i="47"/>
  <c r="R19" i="47"/>
  <c r="R36" i="47"/>
  <c r="R37" i="47"/>
  <c r="R38" i="47"/>
  <c r="R35" i="47"/>
  <c r="AX47" i="46"/>
  <c r="AX19" i="46"/>
  <c r="AX36" i="46"/>
  <c r="AX37" i="46"/>
  <c r="AX38" i="46"/>
  <c r="AX35" i="46"/>
  <c r="BV47" i="46"/>
  <c r="BV19" i="46"/>
  <c r="BV36" i="46"/>
  <c r="BV37" i="46"/>
  <c r="BV38" i="46"/>
  <c r="BV35" i="46"/>
  <c r="AT47" i="46"/>
  <c r="AT19" i="46"/>
  <c r="AT36" i="46"/>
  <c r="AT37" i="46"/>
  <c r="AT38" i="46"/>
  <c r="AT35" i="46"/>
  <c r="AX47" i="47"/>
  <c r="AX19" i="47"/>
  <c r="AX37" i="47"/>
  <c r="AX38" i="47"/>
  <c r="AX36" i="47"/>
  <c r="AX35" i="47"/>
  <c r="P41" i="44"/>
  <c r="P10" i="44"/>
  <c r="P40" i="44"/>
  <c r="P9" i="44"/>
  <c r="P8" i="44"/>
  <c r="BV47" i="45"/>
  <c r="BV19" i="45"/>
  <c r="BV36" i="45"/>
  <c r="BV37" i="45"/>
  <c r="BV35" i="45"/>
  <c r="BV38" i="45"/>
  <c r="AX47" i="45"/>
  <c r="AX19" i="45"/>
  <c r="AX36" i="45"/>
  <c r="AX37" i="45"/>
  <c r="AX35" i="45"/>
  <c r="AX38" i="45"/>
  <c r="BN19" i="44"/>
  <c r="BN36" i="44"/>
  <c r="BN37" i="44"/>
  <c r="BN38" i="44"/>
  <c r="BN35" i="44"/>
  <c r="AN41" i="44"/>
  <c r="AN10" i="44"/>
  <c r="AN40" i="44"/>
  <c r="AN9" i="44"/>
  <c r="AN8" i="44"/>
  <c r="AN41" i="48"/>
  <c r="AN9" i="48"/>
  <c r="AN8" i="48"/>
  <c r="AN40" i="48"/>
  <c r="AN10" i="48"/>
  <c r="AN7" i="48"/>
  <c r="BH9" i="47"/>
  <c r="BH41" i="47"/>
  <c r="BH8" i="47"/>
  <c r="BH40" i="47"/>
  <c r="BH10" i="47"/>
  <c r="BH7" i="47"/>
  <c r="AV40" i="45"/>
  <c r="AV10" i="45"/>
  <c r="AV9" i="45"/>
  <c r="AV41" i="45"/>
  <c r="AV7" i="45"/>
  <c r="AV8" i="45"/>
  <c r="AZ19" i="44"/>
  <c r="AZ36" i="44"/>
  <c r="AZ37" i="44"/>
  <c r="AZ35" i="44"/>
  <c r="AZ38" i="44"/>
  <c r="CB19" i="44"/>
  <c r="CB37" i="44"/>
  <c r="CB36" i="44"/>
  <c r="CB38" i="44"/>
  <c r="CB35" i="44"/>
  <c r="AB41" i="48"/>
  <c r="AB40" i="48"/>
  <c r="AB10" i="48"/>
  <c r="AB9" i="48"/>
  <c r="AB8" i="48"/>
  <c r="AB7" i="48"/>
  <c r="N19" i="44"/>
  <c r="N36" i="44"/>
  <c r="N37" i="44"/>
  <c r="N38" i="44"/>
  <c r="N35" i="44"/>
  <c r="BP19" i="44"/>
  <c r="BP36" i="44"/>
  <c r="BP37" i="44"/>
  <c r="BP38" i="44"/>
  <c r="BP35" i="44"/>
  <c r="BD41" i="44"/>
  <c r="BD10" i="44"/>
  <c r="BD40" i="44"/>
  <c r="BD9" i="44"/>
  <c r="BD8" i="44"/>
  <c r="AN37" i="49"/>
  <c r="CD35" i="45"/>
  <c r="CD19" i="45"/>
  <c r="CF37" i="44"/>
  <c r="BJ38" i="48"/>
  <c r="BN38" i="45"/>
  <c r="BN47" i="45"/>
  <c r="BZ47" i="47"/>
  <c r="BZ19" i="47"/>
  <c r="BZ36" i="47"/>
  <c r="BZ37" i="47"/>
  <c r="BZ38" i="47"/>
  <c r="BZ35" i="47"/>
  <c r="BV47" i="48"/>
  <c r="BV19" i="48"/>
  <c r="BV36" i="48"/>
  <c r="BV37" i="48"/>
  <c r="BV35" i="48"/>
  <c r="BV38" i="48"/>
  <c r="AF47" i="49"/>
  <c r="AF19" i="49"/>
  <c r="AF37" i="49"/>
  <c r="AF36" i="49"/>
  <c r="AF38" i="49"/>
  <c r="AF35" i="49"/>
  <c r="AJ47" i="47"/>
  <c r="AJ19" i="47"/>
  <c r="AJ37" i="47"/>
  <c r="AJ36" i="47"/>
  <c r="AJ35" i="47"/>
  <c r="AJ38" i="47"/>
  <c r="BX47" i="48"/>
  <c r="BX19" i="48"/>
  <c r="BX36" i="48"/>
  <c r="BX37" i="48"/>
  <c r="BX38" i="48"/>
  <c r="BX35" i="48"/>
  <c r="AF47" i="52"/>
  <c r="AF19" i="52"/>
  <c r="AF38" i="52"/>
  <c r="AF36" i="52"/>
  <c r="AF37" i="52"/>
  <c r="AF35" i="52"/>
  <c r="AT47" i="51"/>
  <c r="AT19" i="51"/>
  <c r="AT36" i="51"/>
  <c r="AT37" i="51"/>
  <c r="AT38" i="51"/>
  <c r="AT35" i="51"/>
  <c r="Z47" i="54"/>
  <c r="Z19" i="54"/>
  <c r="Z36" i="54"/>
  <c r="Z37" i="54"/>
  <c r="Z38" i="54"/>
  <c r="Z35" i="54"/>
  <c r="AH47" i="54"/>
  <c r="AH19" i="54"/>
  <c r="AH37" i="54"/>
  <c r="AH36" i="54"/>
  <c r="AH38" i="54"/>
  <c r="AH35" i="54"/>
  <c r="BL47" i="54"/>
  <c r="BL19" i="54"/>
  <c r="BL38" i="54"/>
  <c r="BL36" i="54"/>
  <c r="BL37" i="54"/>
  <c r="BL35" i="54"/>
  <c r="BV47" i="54"/>
  <c r="BV19" i="54"/>
  <c r="BV37" i="54"/>
  <c r="BV38" i="54"/>
  <c r="BV36" i="54"/>
  <c r="BV35" i="54"/>
  <c r="BN47" i="48"/>
  <c r="BN19" i="48"/>
  <c r="BN37" i="48"/>
  <c r="BN36" i="48"/>
  <c r="BN38" i="48"/>
  <c r="BN35" i="48"/>
  <c r="AJ47" i="53"/>
  <c r="AJ19" i="53"/>
  <c r="AJ37" i="53"/>
  <c r="AJ38" i="53"/>
  <c r="AJ36" i="53"/>
  <c r="AJ35" i="53"/>
  <c r="BX47" i="53"/>
  <c r="BX19" i="53"/>
  <c r="BX36" i="53"/>
  <c r="BX37" i="53"/>
  <c r="BX38" i="53"/>
  <c r="BX35" i="53"/>
  <c r="BL47" i="53"/>
  <c r="BL19" i="53"/>
  <c r="BL36" i="53"/>
  <c r="BL38" i="53"/>
  <c r="BL37" i="53"/>
  <c r="BL35" i="53"/>
  <c r="BV47" i="53"/>
  <c r="BV19" i="53"/>
  <c r="BV38" i="53"/>
  <c r="BV36" i="53"/>
  <c r="BV37" i="53"/>
  <c r="BV35" i="53"/>
  <c r="CD47" i="53"/>
  <c r="CD19" i="53"/>
  <c r="CD36" i="53"/>
  <c r="CD37" i="53"/>
  <c r="CD38" i="53"/>
  <c r="CD35" i="53"/>
  <c r="BZ47" i="53"/>
  <c r="BZ19" i="53"/>
  <c r="BZ37" i="53"/>
  <c r="BZ36" i="53"/>
  <c r="BZ38" i="53"/>
  <c r="BZ35" i="53"/>
  <c r="AF47" i="53"/>
  <c r="AF19" i="53"/>
  <c r="AF36" i="53"/>
  <c r="AF37" i="53"/>
  <c r="AF38" i="53"/>
  <c r="AF35" i="53"/>
  <c r="BX47" i="54"/>
  <c r="BX19" i="54"/>
  <c r="BX38" i="54"/>
  <c r="BX36" i="54"/>
  <c r="BX37" i="54"/>
  <c r="BX35" i="54"/>
  <c r="V47" i="54"/>
  <c r="V19" i="54"/>
  <c r="V36" i="54"/>
  <c r="V38" i="54"/>
  <c r="V37" i="54"/>
  <c r="V35" i="54"/>
  <c r="Z47" i="49"/>
  <c r="Z19" i="49"/>
  <c r="Z37" i="49"/>
  <c r="Z36" i="49"/>
  <c r="Z38" i="49"/>
  <c r="Z35" i="49"/>
  <c r="BP40" i="46"/>
  <c r="BP10" i="46"/>
  <c r="BP9" i="46"/>
  <c r="BP41" i="46"/>
  <c r="BP8" i="46"/>
  <c r="BP7" i="46"/>
  <c r="Z47" i="46"/>
  <c r="Z19" i="46"/>
  <c r="Z36" i="46"/>
  <c r="Z37" i="46"/>
  <c r="Z38" i="46"/>
  <c r="Z35" i="46"/>
  <c r="V47" i="48"/>
  <c r="V19" i="48"/>
  <c r="V38" i="48"/>
  <c r="V37" i="48"/>
  <c r="V36" i="48"/>
  <c r="V35" i="48"/>
  <c r="R47" i="48"/>
  <c r="R19" i="48"/>
  <c r="R38" i="48"/>
  <c r="R37" i="48"/>
  <c r="R36" i="48"/>
  <c r="R35" i="48"/>
  <c r="T47" i="48"/>
  <c r="T19" i="48"/>
  <c r="T36" i="48"/>
  <c r="T37" i="48"/>
  <c r="T35" i="48"/>
  <c r="T38" i="48"/>
  <c r="V47" i="49"/>
  <c r="V19" i="49"/>
  <c r="V37" i="49"/>
  <c r="V38" i="49"/>
  <c r="V36" i="49"/>
  <c r="V35" i="49"/>
  <c r="P47" i="47"/>
  <c r="P19" i="47"/>
  <c r="P36" i="47"/>
  <c r="P37" i="47"/>
  <c r="P38" i="47"/>
  <c r="P35" i="47"/>
  <c r="P47" i="46"/>
  <c r="P19" i="46"/>
  <c r="P37" i="46"/>
  <c r="P36" i="46"/>
  <c r="P38" i="46"/>
  <c r="P35" i="46"/>
  <c r="AF47" i="46"/>
  <c r="AF19" i="46"/>
  <c r="AF36" i="46"/>
  <c r="AF37" i="46"/>
  <c r="AF38" i="46"/>
  <c r="AF35" i="46"/>
  <c r="AD47" i="46"/>
  <c r="AD19" i="46"/>
  <c r="AD37" i="46"/>
  <c r="AD36" i="46"/>
  <c r="AD38" i="46"/>
  <c r="AD35" i="46"/>
  <c r="R47" i="46"/>
  <c r="R19" i="46"/>
  <c r="R36" i="46"/>
  <c r="R37" i="46"/>
  <c r="R35" i="46"/>
  <c r="R38" i="46"/>
  <c r="P47" i="48"/>
  <c r="P19" i="48"/>
  <c r="P38" i="48"/>
  <c r="P36" i="48"/>
  <c r="P37" i="48"/>
  <c r="P35" i="48"/>
  <c r="Z47" i="45"/>
  <c r="Z19" i="45"/>
  <c r="Z36" i="45"/>
  <c r="Z37" i="45"/>
  <c r="Z38" i="45"/>
  <c r="Z35" i="45"/>
  <c r="R40" i="44"/>
  <c r="R10" i="44"/>
  <c r="R9" i="44"/>
  <c r="R41" i="44"/>
  <c r="R8" i="44"/>
  <c r="BX19" i="44"/>
  <c r="BX37" i="44"/>
  <c r="BX36" i="44"/>
  <c r="BX35" i="44"/>
  <c r="BX38" i="44"/>
  <c r="AX19" i="44"/>
  <c r="AX36" i="44"/>
  <c r="AX37" i="44"/>
  <c r="AX38" i="44"/>
  <c r="AX35" i="44"/>
  <c r="NA30" i="35"/>
  <c r="BF7" i="44" s="1"/>
  <c r="X47" i="45"/>
  <c r="X19" i="45"/>
  <c r="X37" i="45"/>
  <c r="X36" i="45"/>
  <c r="X38" i="45"/>
  <c r="X35" i="45"/>
  <c r="BZ40" i="44"/>
  <c r="BZ8" i="44"/>
  <c r="BZ10" i="44"/>
  <c r="BZ41" i="44"/>
  <c r="BZ9" i="44"/>
  <c r="BR41" i="45"/>
  <c r="BR8" i="45"/>
  <c r="BR40" i="45"/>
  <c r="BR10" i="45"/>
  <c r="BR9" i="45"/>
  <c r="BR7" i="45"/>
  <c r="P40" i="45"/>
  <c r="P10" i="45"/>
  <c r="P9" i="45"/>
  <c r="P41" i="45"/>
  <c r="P7" i="45"/>
  <c r="P8" i="45"/>
  <c r="AL40" i="44"/>
  <c r="AL10" i="44"/>
  <c r="AL41" i="44"/>
  <c r="AL9" i="44"/>
  <c r="AL8" i="44"/>
  <c r="L9" i="44"/>
  <c r="L41" i="44"/>
  <c r="L40" i="44"/>
  <c r="L10" i="44"/>
  <c r="L8" i="44"/>
  <c r="BT19" i="44"/>
  <c r="BT36" i="44"/>
  <c r="BT37" i="44"/>
  <c r="BT38" i="44"/>
  <c r="BT35" i="44"/>
  <c r="V19" i="44"/>
  <c r="V36" i="44"/>
  <c r="V37" i="44"/>
  <c r="V38" i="44"/>
  <c r="V35" i="44"/>
  <c r="AT40" i="44"/>
  <c r="AT10" i="44"/>
  <c r="AT41" i="44"/>
  <c r="AT9" i="44"/>
  <c r="AT8" i="44"/>
  <c r="CF47" i="52"/>
  <c r="CF19" i="52"/>
  <c r="CF36" i="52"/>
  <c r="CF37" i="52"/>
  <c r="CF38" i="52"/>
  <c r="CF35" i="52"/>
  <c r="AB19" i="44"/>
  <c r="AB37" i="44"/>
  <c r="AB36" i="44"/>
  <c r="AB38" i="44"/>
  <c r="AB35" i="44"/>
  <c r="CF41" i="48"/>
  <c r="CF40" i="48"/>
  <c r="CF10" i="48"/>
  <c r="CF9" i="48"/>
  <c r="CF8" i="48"/>
  <c r="CF7" i="48"/>
  <c r="CD19" i="44"/>
  <c r="CD36" i="44"/>
  <c r="CD37" i="44"/>
  <c r="CD35" i="44"/>
  <c r="CD38" i="44"/>
  <c r="BJ47" i="54"/>
  <c r="BJ19" i="54"/>
  <c r="BJ37" i="54"/>
  <c r="BJ38" i="54"/>
  <c r="BJ36" i="54"/>
  <c r="BJ35" i="54"/>
  <c r="CF47" i="48"/>
  <c r="CF19" i="48"/>
  <c r="CF36" i="48"/>
  <c r="CF37" i="48"/>
  <c r="CF35" i="48"/>
  <c r="CF38" i="48"/>
  <c r="Z40" i="44"/>
  <c r="Z10" i="44"/>
  <c r="Z9" i="44"/>
  <c r="Z41" i="44"/>
  <c r="Z8" i="44"/>
  <c r="BR40" i="44"/>
  <c r="BR8" i="44"/>
  <c r="BR10" i="44"/>
  <c r="BR41" i="44"/>
  <c r="BR9" i="44"/>
  <c r="CD38" i="45"/>
  <c r="BJ35" i="48"/>
  <c r="J47" i="52"/>
  <c r="J19" i="52"/>
  <c r="J36" i="52"/>
  <c r="J37" i="52"/>
  <c r="J38" i="52"/>
  <c r="J35" i="52"/>
  <c r="J47" i="47"/>
  <c r="J19" i="47"/>
  <c r="J38" i="47"/>
  <c r="J36" i="47"/>
  <c r="J37" i="47"/>
  <c r="J35" i="47"/>
  <c r="J19" i="44"/>
  <c r="J36" i="44"/>
  <c r="J37" i="44"/>
  <c r="J38" i="44"/>
  <c r="J35" i="44"/>
  <c r="J47" i="45"/>
  <c r="J19" i="45"/>
  <c r="J36" i="45"/>
  <c r="J35" i="45"/>
  <c r="J38" i="45"/>
  <c r="J37" i="45"/>
  <c r="J47" i="50"/>
  <c r="J19" i="50"/>
  <c r="J35" i="50"/>
  <c r="J36" i="50"/>
  <c r="J37" i="50"/>
  <c r="J38" i="50"/>
  <c r="J47" i="51"/>
  <c r="J19" i="51"/>
  <c r="J36" i="51"/>
  <c r="J38" i="51"/>
  <c r="J37" i="51"/>
  <c r="J35" i="51"/>
  <c r="J47" i="46"/>
  <c r="J19" i="46"/>
  <c r="J38" i="46"/>
  <c r="J35" i="46"/>
  <c r="J37" i="46"/>
  <c r="J36" i="46"/>
  <c r="J47" i="49"/>
  <c r="J19" i="49"/>
  <c r="J36" i="49"/>
  <c r="J37" i="49"/>
  <c r="J38" i="49"/>
  <c r="J35" i="49"/>
  <c r="J47" i="48"/>
  <c r="J19" i="48"/>
  <c r="J37" i="48"/>
  <c r="J35" i="48"/>
  <c r="J36" i="48"/>
  <c r="J38" i="48"/>
  <c r="J47" i="53"/>
  <c r="J19" i="53"/>
  <c r="J37" i="53"/>
  <c r="J35" i="53"/>
  <c r="J36" i="53"/>
  <c r="J38" i="53"/>
  <c r="J47" i="54"/>
  <c r="J19" i="54"/>
  <c r="J38" i="54"/>
  <c r="J36" i="54"/>
  <c r="J35" i="54"/>
  <c r="J37" i="54"/>
  <c r="H38" i="50"/>
  <c r="H35" i="50"/>
  <c r="H47" i="50"/>
  <c r="H36" i="50"/>
  <c r="H19" i="50"/>
  <c r="H37" i="50"/>
  <c r="H36" i="46"/>
  <c r="H47" i="45"/>
  <c r="H19" i="45"/>
  <c r="H35" i="45"/>
  <c r="H38" i="45"/>
  <c r="H36" i="45"/>
  <c r="H37" i="45"/>
  <c r="H9" i="51"/>
  <c r="H10" i="51"/>
  <c r="H40" i="51"/>
  <c r="H7" i="51"/>
  <c r="H41" i="51"/>
  <c r="H8" i="51"/>
  <c r="H47" i="54"/>
  <c r="H19" i="54"/>
  <c r="H36" i="54"/>
  <c r="H35" i="54"/>
  <c r="H37" i="54"/>
  <c r="H38" i="54"/>
  <c r="H47" i="49"/>
  <c r="H19" i="49"/>
  <c r="H37" i="49"/>
  <c r="H36" i="49"/>
  <c r="H38" i="49"/>
  <c r="H35" i="49"/>
  <c r="H38" i="46"/>
  <c r="H19" i="46"/>
  <c r="H9" i="48"/>
  <c r="H7" i="48"/>
  <c r="H47" i="53"/>
  <c r="H35" i="53"/>
  <c r="H19" i="53"/>
  <c r="H36" i="53"/>
  <c r="H37" i="53"/>
  <c r="H38" i="53"/>
  <c r="H47" i="47"/>
  <c r="H19" i="47"/>
  <c r="H35" i="47"/>
  <c r="H37" i="47"/>
  <c r="H38" i="47"/>
  <c r="H36" i="47"/>
  <c r="H35" i="46"/>
  <c r="H47" i="46"/>
  <c r="F37" i="51"/>
  <c r="F35" i="54"/>
  <c r="F38" i="49"/>
  <c r="F37" i="52"/>
  <c r="F19" i="54"/>
  <c r="F36" i="52"/>
  <c r="F19" i="51"/>
  <c r="F47" i="54"/>
  <c r="D43" i="50"/>
  <c r="F38" i="53"/>
  <c r="F37" i="53"/>
  <c r="F36" i="53"/>
  <c r="F19" i="53"/>
  <c r="F35" i="53"/>
  <c r="F47" i="53"/>
  <c r="CN9" i="45"/>
  <c r="CN8" i="45"/>
  <c r="CN10" i="45"/>
  <c r="CN48" i="45"/>
  <c r="CN41" i="45"/>
  <c r="CN40" i="45"/>
  <c r="CN47" i="45"/>
  <c r="CN29" i="45"/>
  <c r="CN27" i="45"/>
  <c r="CN26" i="45"/>
  <c r="CN24" i="45"/>
  <c r="CN23" i="45"/>
  <c r="CN22" i="45"/>
  <c r="CN20" i="45"/>
  <c r="CN19" i="45"/>
  <c r="CN18" i="45"/>
  <c r="CN17" i="45"/>
  <c r="CN15" i="45"/>
  <c r="CN14" i="45"/>
  <c r="CN37" i="45"/>
  <c r="CN33" i="45"/>
  <c r="CN36" i="45"/>
  <c r="CN35" i="45"/>
  <c r="CN30" i="45"/>
  <c r="CN38" i="45"/>
  <c r="CN34" i="45"/>
  <c r="CN32" i="45"/>
  <c r="CN38" i="46"/>
  <c r="CN37" i="46"/>
  <c r="CN36" i="46"/>
  <c r="CN35" i="46"/>
  <c r="CN34" i="46"/>
  <c r="CN33" i="46"/>
  <c r="CN32" i="46"/>
  <c r="CN30" i="46"/>
  <c r="CN29" i="46"/>
  <c r="CN27" i="46"/>
  <c r="CN26" i="46"/>
  <c r="CN24" i="46"/>
  <c r="CN23" i="46"/>
  <c r="CN22" i="46"/>
  <c r="CN20" i="46"/>
  <c r="CN19" i="46"/>
  <c r="CN18" i="46"/>
  <c r="CN17" i="46"/>
  <c r="CN15" i="46"/>
  <c r="CN14" i="46"/>
  <c r="CN47" i="46"/>
  <c r="F10" i="44"/>
  <c r="F9" i="44"/>
  <c r="F8" i="44"/>
  <c r="F41" i="44"/>
  <c r="F40" i="44"/>
  <c r="F36" i="54"/>
  <c r="D43" i="45"/>
  <c r="D43" i="52"/>
  <c r="D43" i="53"/>
  <c r="F47" i="52"/>
  <c r="F36" i="48"/>
  <c r="F35" i="49"/>
  <c r="F19" i="48"/>
  <c r="D43" i="54"/>
  <c r="F19" i="52"/>
  <c r="F37" i="48"/>
  <c r="F37" i="54"/>
  <c r="F35" i="48"/>
  <c r="F36" i="51"/>
  <c r="F35" i="51"/>
  <c r="F38" i="51"/>
  <c r="D43" i="48"/>
  <c r="D43" i="49"/>
  <c r="F38" i="52"/>
  <c r="F35" i="52"/>
  <c r="F47" i="48"/>
  <c r="F37" i="49"/>
  <c r="F36" i="47"/>
  <c r="F35" i="47"/>
  <c r="F38" i="47"/>
  <c r="F37" i="47"/>
  <c r="F19" i="47"/>
  <c r="F47" i="47"/>
  <c r="D43" i="51"/>
  <c r="F19" i="49"/>
  <c r="F35" i="50"/>
  <c r="F38" i="50"/>
  <c r="F36" i="50"/>
  <c r="F19" i="50"/>
  <c r="F37" i="50"/>
  <c r="F47" i="50"/>
  <c r="F36" i="46"/>
  <c r="F19" i="46"/>
  <c r="F35" i="46"/>
  <c r="F38" i="46"/>
  <c r="F37" i="46"/>
  <c r="F47" i="46"/>
  <c r="F47" i="51"/>
  <c r="D43" i="46"/>
  <c r="B43" i="47"/>
  <c r="F47" i="49"/>
  <c r="F36" i="49"/>
  <c r="BD7" i="44"/>
  <c r="BR7" i="44"/>
  <c r="Z7" i="44"/>
  <c r="F7" i="44"/>
  <c r="AV7" i="44"/>
  <c r="NE31" i="35"/>
  <c r="NS32" i="35"/>
  <c r="NG15" i="35"/>
  <c r="NG37" i="35"/>
  <c r="NU35" i="35"/>
  <c r="E207" i="19"/>
  <c r="E208" i="19" s="1"/>
  <c r="C120" i="19"/>
  <c r="MM18" i="35"/>
  <c r="NA18" i="35" s="1"/>
  <c r="MN28" i="35"/>
  <c r="NC28" i="35" s="1"/>
  <c r="D200" i="19"/>
  <c r="K175" i="19"/>
  <c r="K176" i="19" s="1"/>
  <c r="ML15" i="35"/>
  <c r="MY15" i="35" s="1"/>
  <c r="AB41" i="33" s="1"/>
  <c r="G175" i="19"/>
  <c r="G176" i="19" s="1"/>
  <c r="J39" i="19"/>
  <c r="J40" i="19" s="1"/>
  <c r="C152" i="19"/>
  <c r="MM22" i="35"/>
  <c r="NA22" i="35" s="1"/>
  <c r="MV28" i="35"/>
  <c r="NS28" i="35" s="1"/>
  <c r="L200" i="19"/>
  <c r="B287" i="19"/>
  <c r="MM38" i="35"/>
  <c r="NA38" i="35" s="1"/>
  <c r="B295" i="19"/>
  <c r="B247" i="19"/>
  <c r="B248" i="19" s="1"/>
  <c r="MU5" i="35"/>
  <c r="NQ5" i="35" s="1"/>
  <c r="B279" i="19"/>
  <c r="CD47" i="44"/>
  <c r="L96" i="19"/>
  <c r="G96" i="19"/>
  <c r="D247" i="19"/>
  <c r="MN21" i="35"/>
  <c r="NC21" i="35" s="1"/>
  <c r="DN4" i="19"/>
  <c r="CI7" i="44" s="1"/>
  <c r="F159" i="19"/>
  <c r="F160" i="19" s="1"/>
  <c r="M224" i="19"/>
  <c r="T11" i="44"/>
  <c r="H31" i="19"/>
  <c r="H32" i="19" s="1"/>
  <c r="M256" i="19"/>
  <c r="L256" i="19"/>
  <c r="MN4" i="35"/>
  <c r="NC4" i="35" s="1"/>
  <c r="D311" i="19"/>
  <c r="MN42" i="35" s="1"/>
  <c r="NC42" i="35" s="1"/>
  <c r="MW28" i="35"/>
  <c r="NU28" i="35" s="1"/>
  <c r="ML21" i="35"/>
  <c r="MY21" i="35" s="1"/>
  <c r="AN8" i="33" s="1"/>
  <c r="K31" i="19"/>
  <c r="K32" i="19" s="1"/>
  <c r="B239" i="19"/>
  <c r="ML33" i="35" s="1"/>
  <c r="MY33" i="35" s="1"/>
  <c r="L224" i="19"/>
  <c r="C319" i="19"/>
  <c r="MM43" i="35" s="1"/>
  <c r="NA43" i="35" s="1"/>
  <c r="T47" i="33"/>
  <c r="T37" i="33"/>
  <c r="T36" i="33"/>
  <c r="T35" i="33"/>
  <c r="T19" i="33"/>
  <c r="T38" i="33"/>
  <c r="AL38" i="33"/>
  <c r="AL37" i="33"/>
  <c r="AL36" i="33"/>
  <c r="AL35" i="33"/>
  <c r="AL19" i="33"/>
  <c r="AL47" i="33"/>
  <c r="AD37" i="33"/>
  <c r="AD36" i="33"/>
  <c r="AD35" i="33"/>
  <c r="AD19" i="33"/>
  <c r="AD47" i="33"/>
  <c r="AD38" i="33"/>
  <c r="BD47" i="33"/>
  <c r="BD38" i="33"/>
  <c r="BD37" i="33"/>
  <c r="BD19" i="33"/>
  <c r="BD36" i="33"/>
  <c r="BD35" i="33"/>
  <c r="F63" i="19"/>
  <c r="MP11" i="35" s="1"/>
  <c r="NG11" i="35" s="1"/>
  <c r="B127" i="19"/>
  <c r="ML19" i="35" s="1"/>
  <c r="MY19" i="35" s="1"/>
  <c r="P47" i="33"/>
  <c r="P38" i="33"/>
  <c r="P35" i="33"/>
  <c r="P19" i="33"/>
  <c r="P37" i="33"/>
  <c r="P36" i="33"/>
  <c r="R38" i="33"/>
  <c r="R47" i="33"/>
  <c r="R37" i="33"/>
  <c r="R36" i="33"/>
  <c r="R35" i="33"/>
  <c r="R19" i="33"/>
  <c r="V47" i="33"/>
  <c r="V37" i="33"/>
  <c r="V36" i="33"/>
  <c r="V35" i="33"/>
  <c r="V19" i="33"/>
  <c r="V38" i="33"/>
  <c r="BF37" i="33"/>
  <c r="BF38" i="33"/>
  <c r="BF47" i="33"/>
  <c r="BF36" i="33"/>
  <c r="BF35" i="33"/>
  <c r="BF19" i="33"/>
  <c r="BR38" i="33"/>
  <c r="BR36" i="33"/>
  <c r="BR35" i="33"/>
  <c r="BR19" i="33"/>
  <c r="BR37" i="33"/>
  <c r="BR47" i="33"/>
  <c r="AX38" i="33"/>
  <c r="AX37" i="33"/>
  <c r="AX47" i="33"/>
  <c r="AX36" i="33"/>
  <c r="AX35" i="33"/>
  <c r="AX19" i="33"/>
  <c r="AH47" i="33"/>
  <c r="AH38" i="33"/>
  <c r="AH37" i="33"/>
  <c r="AH36" i="33"/>
  <c r="AH35" i="33"/>
  <c r="AH19" i="33"/>
  <c r="Z38" i="33"/>
  <c r="Z47" i="33"/>
  <c r="Z37" i="33"/>
  <c r="Z36" i="33"/>
  <c r="Z35" i="33"/>
  <c r="Z19" i="33"/>
  <c r="X47" i="33"/>
  <c r="X38" i="33"/>
  <c r="X37" i="33"/>
  <c r="X36" i="33"/>
  <c r="X35" i="33"/>
  <c r="X19" i="33"/>
  <c r="CB7" i="33"/>
  <c r="CB8" i="33"/>
  <c r="CB40" i="33"/>
  <c r="CB10" i="33"/>
  <c r="CB41" i="33"/>
  <c r="CB9" i="33"/>
  <c r="F38" i="33"/>
  <c r="F37" i="33"/>
  <c r="F36" i="33"/>
  <c r="F35" i="33"/>
  <c r="F19" i="33"/>
  <c r="F47" i="33"/>
  <c r="AP47" i="33"/>
  <c r="AP38" i="33"/>
  <c r="AP37" i="33"/>
  <c r="AP36" i="33"/>
  <c r="AP35" i="33"/>
  <c r="AP19" i="33"/>
  <c r="AF47" i="33"/>
  <c r="AF38" i="33"/>
  <c r="AF19" i="33"/>
  <c r="AF37" i="33"/>
  <c r="AF36" i="33"/>
  <c r="AF35" i="33"/>
  <c r="AJ38" i="33"/>
  <c r="AJ37" i="33"/>
  <c r="AJ36" i="33"/>
  <c r="AJ35" i="33"/>
  <c r="AJ19" i="33"/>
  <c r="AJ47" i="33"/>
  <c r="BN47" i="33"/>
  <c r="BN37" i="33"/>
  <c r="BN38" i="33"/>
  <c r="BN36" i="33"/>
  <c r="BN35" i="33"/>
  <c r="BN19" i="33"/>
  <c r="BL47" i="33"/>
  <c r="BL38" i="33"/>
  <c r="BL37" i="33"/>
  <c r="BL19" i="33"/>
  <c r="BL36" i="33"/>
  <c r="BL35" i="33"/>
  <c r="BZ37" i="33"/>
  <c r="BZ36" i="33"/>
  <c r="BZ35" i="33"/>
  <c r="BZ19" i="33"/>
  <c r="BZ38" i="33"/>
  <c r="BZ47" i="33"/>
  <c r="BX47" i="33"/>
  <c r="BX37" i="33"/>
  <c r="BX36" i="33"/>
  <c r="BX35" i="33"/>
  <c r="BX19" i="33"/>
  <c r="BX38" i="33"/>
  <c r="CD38" i="33"/>
  <c r="CD37" i="33"/>
  <c r="CD47" i="33"/>
  <c r="CD36" i="33"/>
  <c r="CD35" i="33"/>
  <c r="CD19" i="33"/>
  <c r="L47" i="33"/>
  <c r="L37" i="33"/>
  <c r="L36" i="33"/>
  <c r="L35" i="33"/>
  <c r="L19" i="33"/>
  <c r="L38" i="33"/>
  <c r="N37" i="33"/>
  <c r="N36" i="33"/>
  <c r="N35" i="33"/>
  <c r="N19" i="33"/>
  <c r="N38" i="33"/>
  <c r="N47" i="33"/>
  <c r="AZ47" i="33"/>
  <c r="AZ36" i="33"/>
  <c r="AZ35" i="33"/>
  <c r="AZ19" i="33"/>
  <c r="AZ37" i="33"/>
  <c r="AZ38" i="33"/>
  <c r="AV47" i="33"/>
  <c r="AV38" i="33"/>
  <c r="AV37" i="33"/>
  <c r="AV36" i="33"/>
  <c r="AV35" i="33"/>
  <c r="AV19" i="33"/>
  <c r="AR47" i="33"/>
  <c r="AR37" i="33"/>
  <c r="AR36" i="33"/>
  <c r="AR35" i="33"/>
  <c r="AR19" i="33"/>
  <c r="AR38" i="33"/>
  <c r="BV47" i="33"/>
  <c r="BV38" i="33"/>
  <c r="BV37" i="33"/>
  <c r="BV36" i="33"/>
  <c r="BV35" i="33"/>
  <c r="BV19" i="33"/>
  <c r="AT37" i="33"/>
  <c r="AT36" i="33"/>
  <c r="AT35" i="33"/>
  <c r="AT19" i="33"/>
  <c r="AT38" i="33"/>
  <c r="AT47" i="33"/>
  <c r="AD7" i="44"/>
  <c r="X7" i="44"/>
  <c r="BF47" i="44"/>
  <c r="V47" i="44"/>
  <c r="AP47" i="44"/>
  <c r="AT7" i="44"/>
  <c r="AB47" i="44"/>
  <c r="BX47" i="44"/>
  <c r="F96" i="19"/>
  <c r="P7" i="44"/>
  <c r="L7" i="44"/>
  <c r="CL7" i="44"/>
  <c r="N47" i="44"/>
  <c r="B43" i="44"/>
  <c r="CF47" i="44"/>
  <c r="J47" i="44"/>
  <c r="BZ7" i="44"/>
  <c r="B207" i="19"/>
  <c r="B208" i="19" s="1"/>
  <c r="BH7" i="44"/>
  <c r="R7" i="44"/>
  <c r="AX47" i="44"/>
  <c r="BL7" i="44"/>
  <c r="AL7" i="44"/>
  <c r="BB7" i="44"/>
  <c r="BV47" i="44"/>
  <c r="CB47" i="44"/>
  <c r="AR47" i="44"/>
  <c r="AZ7" i="44"/>
  <c r="GG2" i="35"/>
  <c r="BJ47" i="44"/>
  <c r="BN47" i="44"/>
  <c r="AN7" i="44"/>
  <c r="AZ47" i="44"/>
  <c r="BT47" i="44"/>
  <c r="BP47" i="44"/>
  <c r="GC2" i="35"/>
  <c r="MW41" i="35"/>
  <c r="NU41" i="35" s="1"/>
  <c r="MW37" i="35"/>
  <c r="NU37" i="35" s="1"/>
  <c r="MW15" i="35"/>
  <c r="NU15" i="35" s="1"/>
  <c r="MM17" i="35"/>
  <c r="NA17" i="35" s="1"/>
  <c r="E15" i="19"/>
  <c r="MO5" i="35" s="1"/>
  <c r="NE5" i="35" s="1"/>
  <c r="M15" i="19"/>
  <c r="MW5" i="35" s="1"/>
  <c r="NU5" i="35" s="1"/>
  <c r="F215" i="19"/>
  <c r="MP30" i="35" s="1"/>
  <c r="NG30" i="35" s="1"/>
  <c r="B31" i="19"/>
  <c r="B32" i="19" s="1"/>
  <c r="GQ2" i="35"/>
  <c r="C72" i="19"/>
  <c r="MM12" i="35"/>
  <c r="NA12" i="35" s="1"/>
  <c r="DT4" i="19"/>
  <c r="CJ7" i="45" s="1"/>
  <c r="FB4" i="19"/>
  <c r="CI7" i="52" s="1"/>
  <c r="EW4" i="19"/>
  <c r="CI7" i="51" s="1"/>
  <c r="EF4" i="19"/>
  <c r="CL7" i="47" s="1"/>
  <c r="EM4" i="19"/>
  <c r="CI7" i="49" s="1"/>
  <c r="FM4" i="19"/>
  <c r="CJ7" i="54" s="1"/>
  <c r="EI4" i="19"/>
  <c r="CJ7" i="48" s="1"/>
  <c r="EX4" i="19"/>
  <c r="CJ7" i="51" s="1"/>
  <c r="ES4" i="19"/>
  <c r="CJ7" i="50" s="1"/>
  <c r="DJ4" i="19"/>
  <c r="FJ4" i="19"/>
  <c r="CL7" i="53" s="1"/>
  <c r="DX4" i="19"/>
  <c r="CI7" i="46" s="1"/>
  <c r="EU4" i="19"/>
  <c r="CL7" i="50" s="1"/>
  <c r="FE4" i="19"/>
  <c r="CL7" i="52" s="1"/>
  <c r="L7" i="19"/>
  <c r="FG4" i="19"/>
  <c r="CI7" i="53" s="1"/>
  <c r="FL4" i="19"/>
  <c r="CI7" i="54" s="1"/>
  <c r="EC4" i="19"/>
  <c r="CI7" i="47" s="1"/>
  <c r="EN4" i="19"/>
  <c r="CJ7" i="49" s="1"/>
  <c r="EA4" i="19"/>
  <c r="CL7" i="46" s="1"/>
  <c r="DP4" i="19"/>
  <c r="J7" i="19"/>
  <c r="EZ4" i="19"/>
  <c r="CL7" i="51" s="1"/>
  <c r="M7" i="19"/>
  <c r="FO4" i="19"/>
  <c r="CL7" i="54" s="1"/>
  <c r="EH4" i="19"/>
  <c r="CI7" i="48" s="1"/>
  <c r="DI4" i="19"/>
  <c r="DS4" i="19"/>
  <c r="CI7" i="45" s="1"/>
  <c r="G7" i="19"/>
  <c r="EK4" i="19"/>
  <c r="CL7" i="48" s="1"/>
  <c r="DY4" i="19"/>
  <c r="CJ7" i="46" s="1"/>
  <c r="FC4" i="19"/>
  <c r="CJ7" i="52" s="1"/>
  <c r="FH4" i="19"/>
  <c r="CJ7" i="53" s="1"/>
  <c r="DO4" i="19"/>
  <c r="ED4" i="19"/>
  <c r="CJ7" i="47" s="1"/>
  <c r="DL4" i="19"/>
  <c r="I7" i="19"/>
  <c r="ER4" i="19"/>
  <c r="CI7" i="50" s="1"/>
  <c r="H15" i="19"/>
  <c r="MR5" i="35" s="1"/>
  <c r="NK5" i="35" s="1"/>
  <c r="EP4" i="19"/>
  <c r="CL7" i="49" s="1"/>
  <c r="C23" i="19"/>
  <c r="MM6" i="35" s="1"/>
  <c r="NA6" i="35" s="1"/>
  <c r="L295" i="19"/>
  <c r="L296" i="19" s="1"/>
  <c r="E151" i="19"/>
  <c r="MO22" i="35" s="1"/>
  <c r="NE22" i="35" s="1"/>
  <c r="L39" i="19"/>
  <c r="MV8" i="35" s="1"/>
  <c r="NS8" i="35" s="1"/>
  <c r="L151" i="19"/>
  <c r="L152" i="19" s="1"/>
  <c r="E135" i="19"/>
  <c r="MO20" i="35" s="1"/>
  <c r="NE20" i="35" s="1"/>
  <c r="E279" i="19"/>
  <c r="E280" i="19" s="1"/>
  <c r="D63" i="19"/>
  <c r="D64" i="19" s="1"/>
  <c r="B167" i="19"/>
  <c r="ML24" i="35" s="1"/>
  <c r="MY24" i="35" s="1"/>
  <c r="H272" i="19"/>
  <c r="MM41" i="35"/>
  <c r="NA41" i="35" s="1"/>
  <c r="F272" i="19"/>
  <c r="MM23" i="35"/>
  <c r="NA23" i="35" s="1"/>
  <c r="L263" i="19"/>
  <c r="MV36" i="35" s="1"/>
  <c r="NS36" i="35" s="1"/>
  <c r="B183" i="19"/>
  <c r="B184" i="19" s="1"/>
  <c r="MV41" i="35"/>
  <c r="NS41" i="35" s="1"/>
  <c r="MP43" i="35"/>
  <c r="NG43" i="35" s="1"/>
  <c r="ML32" i="35"/>
  <c r="MY32" i="35" s="1"/>
  <c r="D191" i="19"/>
  <c r="MN27" i="35" s="1"/>
  <c r="NC27" i="35" s="1"/>
  <c r="I159" i="19"/>
  <c r="MS23" i="35" s="1"/>
  <c r="NM23" i="35" s="1"/>
  <c r="H263" i="19"/>
  <c r="H264" i="19" s="1"/>
  <c r="H215" i="19"/>
  <c r="H216" i="19" s="1"/>
  <c r="F256" i="19"/>
  <c r="MT35" i="35"/>
  <c r="NO35" i="35" s="1"/>
  <c r="MW43" i="35"/>
  <c r="NU43" i="35" s="1"/>
  <c r="B191" i="19"/>
  <c r="B192" i="19" s="1"/>
  <c r="F224" i="19"/>
  <c r="F31" i="19"/>
  <c r="MP7" i="35" s="1"/>
  <c r="NG7" i="35" s="1"/>
  <c r="E159" i="19"/>
  <c r="E160" i="19" s="1"/>
  <c r="MM8" i="35"/>
  <c r="NA8" i="35" s="1"/>
  <c r="G320" i="19"/>
  <c r="G279" i="19"/>
  <c r="G280" i="19" s="1"/>
  <c r="G144" i="19"/>
  <c r="MO32" i="35"/>
  <c r="NE32" i="35" s="1"/>
  <c r="G159" i="19"/>
  <c r="G160" i="19" s="1"/>
  <c r="F263" i="19"/>
  <c r="F264" i="19" s="1"/>
  <c r="B263" i="19"/>
  <c r="B264" i="19" s="1"/>
  <c r="C216" i="19"/>
  <c r="J207" i="19"/>
  <c r="J208" i="19" s="1"/>
  <c r="L287" i="19"/>
  <c r="L288" i="19" s="1"/>
  <c r="L119" i="19"/>
  <c r="MV18" i="35" s="1"/>
  <c r="NS18" i="35" s="1"/>
  <c r="J31" i="19"/>
  <c r="J32" i="19" s="1"/>
  <c r="B304" i="19"/>
  <c r="MN19" i="35"/>
  <c r="NC19" i="35" s="1"/>
  <c r="MU21" i="35"/>
  <c r="NQ21" i="35" s="1"/>
  <c r="H279" i="19"/>
  <c r="MR38" i="35" s="1"/>
  <c r="NK38" i="35" s="1"/>
  <c r="L175" i="19"/>
  <c r="L176" i="19" s="1"/>
  <c r="L31" i="19"/>
  <c r="L32" i="19" s="1"/>
  <c r="MP32" i="35"/>
  <c r="NG32" i="35" s="1"/>
  <c r="H304" i="19"/>
  <c r="E224" i="19"/>
  <c r="MT43" i="35"/>
  <c r="NO43" i="35" s="1"/>
  <c r="H175" i="19"/>
  <c r="H176" i="19" s="1"/>
  <c r="J127" i="19"/>
  <c r="J128" i="19" s="1"/>
  <c r="J279" i="19"/>
  <c r="J280" i="19" s="1"/>
  <c r="K7" i="19"/>
  <c r="L215" i="19"/>
  <c r="L216" i="19" s="1"/>
  <c r="L71" i="19"/>
  <c r="L72" i="19" s="1"/>
  <c r="L311" i="19"/>
  <c r="MV42" i="35" s="1"/>
  <c r="NS42" i="35" s="1"/>
  <c r="L279" i="19"/>
  <c r="MV38" i="35" s="1"/>
  <c r="NS38" i="35" s="1"/>
  <c r="L135" i="19"/>
  <c r="L136" i="19" s="1"/>
  <c r="L79" i="19"/>
  <c r="L80" i="19" s="1"/>
  <c r="B159" i="19"/>
  <c r="B160" i="19" s="1"/>
  <c r="K135" i="19"/>
  <c r="K136" i="19" s="1"/>
  <c r="K159" i="19"/>
  <c r="K160" i="19" s="1"/>
  <c r="J263" i="19"/>
  <c r="MT36" i="35" s="1"/>
  <c r="NO36" i="35" s="1"/>
  <c r="J215" i="19"/>
  <c r="J216" i="19" s="1"/>
  <c r="M159" i="19"/>
  <c r="M160" i="19" s="1"/>
  <c r="L159" i="19"/>
  <c r="L160" i="19" s="1"/>
  <c r="ML37" i="35"/>
  <c r="MY37" i="35" s="1"/>
  <c r="MV43" i="35"/>
  <c r="NS43" i="35" s="1"/>
  <c r="MT28" i="35"/>
  <c r="NO28" i="35" s="1"/>
  <c r="MT41" i="35"/>
  <c r="NO41" i="35" s="1"/>
  <c r="J224" i="19"/>
  <c r="L207" i="19"/>
  <c r="L208" i="19" s="1"/>
  <c r="H39" i="19"/>
  <c r="H40" i="19" s="1"/>
  <c r="MP28" i="35"/>
  <c r="NG28" i="35" s="1"/>
  <c r="M135" i="19"/>
  <c r="M136" i="19" s="1"/>
  <c r="M295" i="19"/>
  <c r="MW40" i="35" s="1"/>
  <c r="NU40" i="35" s="1"/>
  <c r="M311" i="19"/>
  <c r="M312" i="19" s="1"/>
  <c r="M183" i="19"/>
  <c r="M184" i="19" s="1"/>
  <c r="MP41" i="35"/>
  <c r="NG41" i="35" s="1"/>
  <c r="MT37" i="35"/>
  <c r="NO37" i="35" s="1"/>
  <c r="E256" i="19"/>
  <c r="L191" i="19"/>
  <c r="L192" i="19" s="1"/>
  <c r="H311" i="19"/>
  <c r="H312" i="19" s="1"/>
  <c r="MN29" i="35"/>
  <c r="NC29" i="35" s="1"/>
  <c r="D208" i="19"/>
  <c r="MV37" i="35"/>
  <c r="NS37" i="35" s="1"/>
  <c r="MN32" i="35"/>
  <c r="NC32" i="35" s="1"/>
  <c r="MT32" i="35"/>
  <c r="NO32" i="35" s="1"/>
  <c r="F175" i="19"/>
  <c r="F176" i="19" s="1"/>
  <c r="F191" i="19"/>
  <c r="F192" i="19" s="1"/>
  <c r="F183" i="19"/>
  <c r="F184" i="19" s="1"/>
  <c r="F7" i="19"/>
  <c r="MU32" i="35"/>
  <c r="NQ32" i="35" s="1"/>
  <c r="MT15" i="35"/>
  <c r="NO15" i="35" s="1"/>
  <c r="M23" i="19"/>
  <c r="M24" i="19" s="1"/>
  <c r="D280" i="19"/>
  <c r="MN38" i="35"/>
  <c r="NC38" i="35" s="1"/>
  <c r="MM32" i="35"/>
  <c r="NA32" i="35" s="1"/>
  <c r="MU41" i="35"/>
  <c r="NQ41" i="35" s="1"/>
  <c r="F135" i="19"/>
  <c r="F136" i="19" s="1"/>
  <c r="G311" i="19"/>
  <c r="G312" i="19" s="1"/>
  <c r="F71" i="19"/>
  <c r="F72" i="19" s="1"/>
  <c r="F207" i="19"/>
  <c r="MP29" i="35" s="1"/>
  <c r="NG29" i="35" s="1"/>
  <c r="L111" i="19"/>
  <c r="L112" i="19" s="1"/>
  <c r="L239" i="19"/>
  <c r="L240" i="19" s="1"/>
  <c r="F127" i="19"/>
  <c r="MP19" i="35" s="1"/>
  <c r="NG19" i="35" s="1"/>
  <c r="E311" i="19"/>
  <c r="MO42" i="35" s="1"/>
  <c r="NE42" i="35" s="1"/>
  <c r="E7" i="19"/>
  <c r="H159" i="19"/>
  <c r="H160" i="19" s="1"/>
  <c r="H191" i="19"/>
  <c r="MR27" i="35" s="1"/>
  <c r="NK27" i="35" s="1"/>
  <c r="H207" i="19"/>
  <c r="H208" i="19" s="1"/>
  <c r="D15" i="19"/>
  <c r="D16" i="19" s="1"/>
  <c r="GW2" i="35"/>
  <c r="L167" i="19"/>
  <c r="L168" i="19" s="1"/>
  <c r="H127" i="19"/>
  <c r="MR19" i="35" s="1"/>
  <c r="NK19" i="35" s="1"/>
  <c r="B151" i="19"/>
  <c r="ML22" i="35" s="1"/>
  <c r="MY22" i="35" s="1"/>
  <c r="H287" i="19"/>
  <c r="H288" i="19" s="1"/>
  <c r="H79" i="19"/>
  <c r="H80" i="19" s="1"/>
  <c r="I151" i="19"/>
  <c r="I152" i="19" s="1"/>
  <c r="E127" i="19"/>
  <c r="E128" i="19" s="1"/>
  <c r="E39" i="19"/>
  <c r="MO8" i="35" s="1"/>
  <c r="NE8" i="35" s="1"/>
  <c r="E111" i="19"/>
  <c r="E112" i="19" s="1"/>
  <c r="C192" i="19"/>
  <c r="I167" i="19"/>
  <c r="I168" i="19" s="1"/>
  <c r="I232" i="19"/>
  <c r="F23" i="19"/>
  <c r="MP6" i="35" s="1"/>
  <c r="NG6" i="35" s="1"/>
  <c r="H23" i="19"/>
  <c r="H24" i="19" s="1"/>
  <c r="I263" i="19"/>
  <c r="MS36" i="35" s="1"/>
  <c r="NM36" i="35" s="1"/>
  <c r="I215" i="19"/>
  <c r="MS30" i="35" s="1"/>
  <c r="NM30" i="35" s="1"/>
  <c r="H247" i="19"/>
  <c r="H248" i="19" s="1"/>
  <c r="H183" i="19"/>
  <c r="H184" i="19" s="1"/>
  <c r="H71" i="19"/>
  <c r="H72" i="19" s="1"/>
  <c r="B111" i="19"/>
  <c r="B112" i="19" s="1"/>
  <c r="H63" i="19"/>
  <c r="H64" i="19" s="1"/>
  <c r="G55" i="19"/>
  <c r="G56" i="19" s="1"/>
  <c r="E215" i="19"/>
  <c r="E216" i="19" s="1"/>
  <c r="E191" i="19"/>
  <c r="E192" i="19" s="1"/>
  <c r="I239" i="19"/>
  <c r="I240" i="19" s="1"/>
  <c r="I295" i="19"/>
  <c r="MS40" i="35" s="1"/>
  <c r="NM40" i="35" s="1"/>
  <c r="MU28" i="35"/>
  <c r="NQ28" i="35" s="1"/>
  <c r="MU15" i="35"/>
  <c r="NQ15" i="35" s="1"/>
  <c r="MU35" i="35"/>
  <c r="NQ35" i="35" s="1"/>
  <c r="J159" i="19"/>
  <c r="J160" i="19" s="1"/>
  <c r="J175" i="19"/>
  <c r="J176" i="19" s="1"/>
  <c r="J311" i="19"/>
  <c r="MT42" i="35" s="1"/>
  <c r="NO42" i="35" s="1"/>
  <c r="J191" i="19"/>
  <c r="J192" i="19" s="1"/>
  <c r="L247" i="19"/>
  <c r="L248" i="19" s="1"/>
  <c r="L183" i="19"/>
  <c r="L184" i="19" s="1"/>
  <c r="L63" i="19"/>
  <c r="L64" i="19" s="1"/>
  <c r="L127" i="19"/>
  <c r="L128" i="19" s="1"/>
  <c r="H295" i="19"/>
  <c r="H296" i="19" s="1"/>
  <c r="H167" i="19"/>
  <c r="MR24" i="35" s="1"/>
  <c r="NK24" i="35" s="1"/>
  <c r="B215" i="19"/>
  <c r="B216" i="19" s="1"/>
  <c r="E295" i="19"/>
  <c r="MO40" i="35" s="1"/>
  <c r="NE40" i="35" s="1"/>
  <c r="E239" i="19"/>
  <c r="MO33" i="35" s="1"/>
  <c r="NE33" i="35" s="1"/>
  <c r="E263" i="19"/>
  <c r="E264" i="19" s="1"/>
  <c r="M127" i="19"/>
  <c r="M128" i="19" s="1"/>
  <c r="M287" i="19"/>
  <c r="M288" i="19" s="1"/>
  <c r="M239" i="19"/>
  <c r="M240" i="19" s="1"/>
  <c r="M247" i="19"/>
  <c r="M248" i="19" s="1"/>
  <c r="M63" i="19"/>
  <c r="M64" i="19" s="1"/>
  <c r="M279" i="19"/>
  <c r="M280" i="19" s="1"/>
  <c r="M175" i="19"/>
  <c r="M176" i="19" s="1"/>
  <c r="M151" i="19"/>
  <c r="M152" i="19" s="1"/>
  <c r="M71" i="19"/>
  <c r="M72" i="19" s="1"/>
  <c r="M207" i="19"/>
  <c r="M208" i="19" s="1"/>
  <c r="H7" i="19"/>
  <c r="B175" i="19"/>
  <c r="ML25" i="35" s="1"/>
  <c r="MY25" i="35" s="1"/>
  <c r="L232" i="19"/>
  <c r="D160" i="19"/>
  <c r="MN23" i="35"/>
  <c r="NC23" i="35" s="1"/>
  <c r="B63" i="19"/>
  <c r="B64" i="19" s="1"/>
  <c r="GS2" i="35"/>
  <c r="MN15" i="35"/>
  <c r="NC15" i="35" s="1"/>
  <c r="H87" i="19"/>
  <c r="H88" i="19" s="1"/>
  <c r="L87" i="19"/>
  <c r="MV14" i="35" s="1"/>
  <c r="NS14" i="35" s="1"/>
  <c r="M87" i="19"/>
  <c r="M88" i="19" s="1"/>
  <c r="I79" i="19"/>
  <c r="I80" i="19" s="1"/>
  <c r="E79" i="19"/>
  <c r="E80" i="19" s="1"/>
  <c r="B55" i="19"/>
  <c r="ML10" i="35" s="1"/>
  <c r="MY10" i="35" s="1"/>
  <c r="E55" i="19"/>
  <c r="E56" i="19" s="1"/>
  <c r="H55" i="19"/>
  <c r="MR10" i="35" s="1"/>
  <c r="NK10" i="35" s="1"/>
  <c r="L47" i="19"/>
  <c r="MV9" i="35" s="1"/>
  <c r="NS9" i="35" s="1"/>
  <c r="B47" i="19"/>
  <c r="B48" i="19" s="1"/>
  <c r="L23" i="19"/>
  <c r="L24" i="19" s="1"/>
  <c r="GE2" i="35"/>
  <c r="C184" i="19"/>
  <c r="MM26" i="35"/>
  <c r="NA26" i="35" s="1"/>
  <c r="D216" i="19"/>
  <c r="MN30" i="35"/>
  <c r="NC30" i="35" s="1"/>
  <c r="D168" i="19"/>
  <c r="MN24" i="35"/>
  <c r="NC24" i="35" s="1"/>
  <c r="M79" i="19"/>
  <c r="MW13" i="35" s="1"/>
  <c r="NU13" i="35" s="1"/>
  <c r="L55" i="19"/>
  <c r="L56" i="19" s="1"/>
  <c r="M55" i="19"/>
  <c r="M56" i="19" s="1"/>
  <c r="F47" i="19"/>
  <c r="MP9" i="35" s="1"/>
  <c r="NG9" i="35" s="1"/>
  <c r="E47" i="19"/>
  <c r="E48" i="19" s="1"/>
  <c r="KM2" i="35"/>
  <c r="M39" i="19"/>
  <c r="MW8" i="35" s="1"/>
  <c r="NU8" i="35" s="1"/>
  <c r="F39" i="19"/>
  <c r="MP8" i="35" s="1"/>
  <c r="NG8" i="35" s="1"/>
  <c r="M31" i="19"/>
  <c r="M32" i="19" s="1"/>
  <c r="MN7" i="35"/>
  <c r="NC7" i="35" s="1"/>
  <c r="D32" i="19"/>
  <c r="JY2" i="35"/>
  <c r="LO2" i="35"/>
  <c r="LA2" i="35"/>
  <c r="JK2" i="35"/>
  <c r="IW2" i="35"/>
  <c r="I111" i="19"/>
  <c r="I112" i="19" s="1"/>
  <c r="I191" i="19"/>
  <c r="I192" i="19" s="1"/>
  <c r="E103" i="19"/>
  <c r="MO16" i="35" s="1"/>
  <c r="NE16" i="35" s="1"/>
  <c r="G63" i="19"/>
  <c r="G64" i="19" s="1"/>
  <c r="H119" i="19"/>
  <c r="H120" i="19" s="1"/>
  <c r="H135" i="19"/>
  <c r="MR20" i="35" s="1"/>
  <c r="NK20" i="35" s="1"/>
  <c r="L103" i="19"/>
  <c r="MV16" i="35" s="1"/>
  <c r="NS16" i="35" s="1"/>
  <c r="B103" i="19"/>
  <c r="ML16" i="35" s="1"/>
  <c r="MY16" i="35" s="1"/>
  <c r="H103" i="19"/>
  <c r="MR16" i="35" s="1"/>
  <c r="NK16" i="35" s="1"/>
  <c r="I103" i="19"/>
  <c r="MS16" i="35" s="1"/>
  <c r="NM16" i="35" s="1"/>
  <c r="I127" i="19"/>
  <c r="MS19" i="35" s="1"/>
  <c r="NM19" i="35" s="1"/>
  <c r="I135" i="19"/>
  <c r="I136" i="19" s="1"/>
  <c r="I279" i="19"/>
  <c r="MS38" i="35" s="1"/>
  <c r="NM38" i="35" s="1"/>
  <c r="I47" i="19"/>
  <c r="I48" i="19" s="1"/>
  <c r="K55" i="19"/>
  <c r="MU10" i="35" s="1"/>
  <c r="NQ10" i="35" s="1"/>
  <c r="B119" i="19"/>
  <c r="ML18" i="35" s="1"/>
  <c r="MY18" i="35" s="1"/>
  <c r="I175" i="19"/>
  <c r="I176" i="19" s="1"/>
  <c r="I207" i="19"/>
  <c r="I208" i="19" s="1"/>
  <c r="E63" i="19"/>
  <c r="MO11" i="35" s="1"/>
  <c r="NE11" i="35" s="1"/>
  <c r="I287" i="19"/>
  <c r="I288" i="19" s="1"/>
  <c r="G119" i="19"/>
  <c r="MQ18" i="35" s="1"/>
  <c r="NI18" i="35" s="1"/>
  <c r="H151" i="19"/>
  <c r="H152" i="19" s="1"/>
  <c r="I119" i="19"/>
  <c r="MS18" i="35" s="1"/>
  <c r="NM18" i="35" s="1"/>
  <c r="I183" i="19"/>
  <c r="I184" i="19" s="1"/>
  <c r="J247" i="19"/>
  <c r="MT34" i="35" s="1"/>
  <c r="NO34" i="35" s="1"/>
  <c r="K23" i="19"/>
  <c r="MU6" i="35" s="1"/>
  <c r="NQ6" i="35" s="1"/>
  <c r="H47" i="19"/>
  <c r="H48" i="19" s="1"/>
  <c r="I247" i="19"/>
  <c r="I248" i="19" s="1"/>
  <c r="I311" i="19"/>
  <c r="I312" i="19" s="1"/>
  <c r="M215" i="19"/>
  <c r="M216" i="19" s="1"/>
  <c r="M263" i="19"/>
  <c r="MW36" i="35" s="1"/>
  <c r="NU36" i="35" s="1"/>
  <c r="I31" i="19"/>
  <c r="MS7" i="35" s="1"/>
  <c r="NM7" i="35" s="1"/>
  <c r="J87" i="19"/>
  <c r="MT14" i="35" s="1"/>
  <c r="NO14" i="35" s="1"/>
  <c r="J135" i="19"/>
  <c r="MT20" i="35" s="1"/>
  <c r="NO20" i="35" s="1"/>
  <c r="J287" i="19"/>
  <c r="J288" i="19" s="1"/>
  <c r="J239" i="19"/>
  <c r="J240" i="19" s="1"/>
  <c r="K79" i="19"/>
  <c r="K80" i="19" s="1"/>
  <c r="K247" i="19"/>
  <c r="MU34" i="35" s="1"/>
  <c r="NQ34" i="35" s="1"/>
  <c r="K63" i="19"/>
  <c r="K64" i="19" s="1"/>
  <c r="K295" i="19"/>
  <c r="MU40" i="35" s="1"/>
  <c r="NQ40" i="35" s="1"/>
  <c r="K39" i="19"/>
  <c r="K40" i="19" s="1"/>
  <c r="J151" i="19"/>
  <c r="J152" i="19" s="1"/>
  <c r="K71" i="19"/>
  <c r="MU12" i="35" s="1"/>
  <c r="NQ12" i="35" s="1"/>
  <c r="K183" i="19"/>
  <c r="K184" i="19" s="1"/>
  <c r="H111" i="19"/>
  <c r="H112" i="19" s="1"/>
  <c r="I87" i="19"/>
  <c r="MS14" i="35" s="1"/>
  <c r="NM14" i="35" s="1"/>
  <c r="H239" i="19"/>
  <c r="H240" i="19" s="1"/>
  <c r="B135" i="19"/>
  <c r="ML20" i="35" s="1"/>
  <c r="MY20" i="35" s="1"/>
  <c r="K87" i="19"/>
  <c r="K88" i="19" s="1"/>
  <c r="K127" i="19"/>
  <c r="K128" i="19" s="1"/>
  <c r="I55" i="19"/>
  <c r="I56" i="19" s="1"/>
  <c r="K287" i="19"/>
  <c r="MU39" i="35" s="1"/>
  <c r="NQ39" i="35" s="1"/>
  <c r="K239" i="19"/>
  <c r="K240" i="19" s="1"/>
  <c r="J79" i="19"/>
  <c r="MT13" i="35" s="1"/>
  <c r="NO13" i="35" s="1"/>
  <c r="I63" i="19"/>
  <c r="MS11" i="35" s="1"/>
  <c r="NM11" i="35" s="1"/>
  <c r="K279" i="19"/>
  <c r="K280" i="19" s="1"/>
  <c r="J295" i="19"/>
  <c r="J296" i="19" s="1"/>
  <c r="K311" i="19"/>
  <c r="K312" i="19" s="1"/>
  <c r="J55" i="19"/>
  <c r="MT10" i="35" s="1"/>
  <c r="NO10" i="35" s="1"/>
  <c r="K151" i="19"/>
  <c r="K152" i="19" s="1"/>
  <c r="J63" i="19"/>
  <c r="MT11" i="35" s="1"/>
  <c r="NO11" i="35" s="1"/>
  <c r="I71" i="19"/>
  <c r="MS12" i="35" s="1"/>
  <c r="NM12" i="35" s="1"/>
  <c r="J183" i="19"/>
  <c r="J184" i="19" s="1"/>
  <c r="K207" i="19"/>
  <c r="K208" i="19" s="1"/>
  <c r="J23" i="19"/>
  <c r="MT6" i="35" s="1"/>
  <c r="NO6" i="35" s="1"/>
  <c r="K215" i="19"/>
  <c r="K216" i="19" s="1"/>
  <c r="K263" i="19"/>
  <c r="MU36" i="35" s="1"/>
  <c r="NQ36" i="35" s="1"/>
  <c r="G79" i="19"/>
  <c r="G80" i="19" s="1"/>
  <c r="G207" i="19"/>
  <c r="G208" i="19" s="1"/>
  <c r="G151" i="19"/>
  <c r="MQ22" i="35" s="1"/>
  <c r="NI22" i="35" s="1"/>
  <c r="G295" i="19"/>
  <c r="G296" i="19" s="1"/>
  <c r="E183" i="19"/>
  <c r="E184" i="19" s="1"/>
  <c r="E119" i="19"/>
  <c r="MO18" i="35" s="1"/>
  <c r="NE18" i="35" s="1"/>
  <c r="E247" i="19"/>
  <c r="E248" i="19" s="1"/>
  <c r="G127" i="19"/>
  <c r="G128" i="19" s="1"/>
  <c r="I39" i="19"/>
  <c r="I40" i="19" s="1"/>
  <c r="E175" i="19"/>
  <c r="E176" i="19" s="1"/>
  <c r="E167" i="19"/>
  <c r="E168" i="19" s="1"/>
  <c r="M191" i="19"/>
  <c r="M192" i="19" s="1"/>
  <c r="E87" i="19"/>
  <c r="E88" i="19" s="1"/>
  <c r="FQ2" i="35"/>
  <c r="B72" i="19"/>
  <c r="ML12" i="35"/>
  <c r="MY12" i="35" s="1"/>
  <c r="K192" i="19"/>
  <c r="MU27" i="35"/>
  <c r="NQ27" i="35" s="1"/>
  <c r="J71" i="19"/>
  <c r="F247" i="19"/>
  <c r="G39" i="19"/>
  <c r="G87" i="19"/>
  <c r="E23" i="19"/>
  <c r="B39" i="19"/>
  <c r="G263" i="19"/>
  <c r="B87" i="19"/>
  <c r="D56" i="19"/>
  <c r="MN10" i="35"/>
  <c r="NC10" i="35" s="1"/>
  <c r="D320" i="19"/>
  <c r="MN43" i="35"/>
  <c r="NC43" i="35" s="1"/>
  <c r="D24" i="19"/>
  <c r="MN6" i="35"/>
  <c r="NC6" i="35" s="1"/>
  <c r="I272" i="19"/>
  <c r="MS37" i="35"/>
  <c r="NM37" i="35" s="1"/>
  <c r="H144" i="19"/>
  <c r="MR21" i="35"/>
  <c r="NK21" i="35" s="1"/>
  <c r="I200" i="19"/>
  <c r="MS28" i="35"/>
  <c r="NM28" i="35" s="1"/>
  <c r="C288" i="19"/>
  <c r="MM39" i="35"/>
  <c r="NA39" i="35" s="1"/>
  <c r="D40" i="19"/>
  <c r="MN8" i="35"/>
  <c r="NC8" i="35" s="1"/>
  <c r="E200" i="19"/>
  <c r="MO28" i="35"/>
  <c r="NE28" i="35" s="1"/>
  <c r="M232" i="19"/>
  <c r="MW32" i="35"/>
  <c r="NU32" i="35" s="1"/>
  <c r="C256" i="19"/>
  <c r="MM35" i="35"/>
  <c r="NA35" i="35" s="1"/>
  <c r="H224" i="19"/>
  <c r="MR31" i="35"/>
  <c r="NK31" i="35" s="1"/>
  <c r="K224" i="19"/>
  <c r="MU31" i="35"/>
  <c r="NQ31" i="35" s="1"/>
  <c r="C272" i="19"/>
  <c r="MM37" i="35"/>
  <c r="NA37" i="35" s="1"/>
  <c r="G200" i="19"/>
  <c r="MQ28" i="35"/>
  <c r="NI28" i="35" s="1"/>
  <c r="D152" i="19"/>
  <c r="MN22" i="35"/>
  <c r="NC22" i="35" s="1"/>
  <c r="I304" i="19"/>
  <c r="MS41" i="35"/>
  <c r="NM41" i="35" s="1"/>
  <c r="D80" i="19"/>
  <c r="MN13" i="35"/>
  <c r="NC13" i="35" s="1"/>
  <c r="D88" i="19"/>
  <c r="MN14" i="35"/>
  <c r="NC14" i="35" s="1"/>
  <c r="D224" i="19"/>
  <c r="MN31" i="35"/>
  <c r="NC31" i="35" s="1"/>
  <c r="M144" i="19"/>
  <c r="MW21" i="35"/>
  <c r="NU21" i="35" s="1"/>
  <c r="B200" i="19"/>
  <c r="ML28" i="35"/>
  <c r="MY28" i="35" s="1"/>
  <c r="L144" i="19"/>
  <c r="MV21" i="35"/>
  <c r="NS21" i="35" s="1"/>
  <c r="E320" i="19"/>
  <c r="MO43" i="35"/>
  <c r="NE43" i="35" s="1"/>
  <c r="H200" i="19"/>
  <c r="MR28" i="35"/>
  <c r="NK28" i="35" s="1"/>
  <c r="I320" i="19"/>
  <c r="MS43" i="35"/>
  <c r="NM43" i="35" s="1"/>
  <c r="H256" i="19"/>
  <c r="MR35" i="35"/>
  <c r="NK35" i="35" s="1"/>
  <c r="B256" i="19"/>
  <c r="ML35" i="35"/>
  <c r="MY35" i="35" s="1"/>
  <c r="J144" i="19"/>
  <c r="MT21" i="35"/>
  <c r="NO21" i="35" s="1"/>
  <c r="C312" i="19"/>
  <c r="MM42" i="35"/>
  <c r="NA42" i="35" s="1"/>
  <c r="G232" i="19"/>
  <c r="MQ32" i="35"/>
  <c r="NI32" i="35" s="1"/>
  <c r="G192" i="19"/>
  <c r="MQ27" i="35"/>
  <c r="NI27" i="35" s="1"/>
  <c r="E304" i="19"/>
  <c r="MO41" i="35"/>
  <c r="NE41" i="35" s="1"/>
  <c r="K320" i="19"/>
  <c r="MU43" i="35"/>
  <c r="NQ43" i="35" s="1"/>
  <c r="I96" i="19"/>
  <c r="MS15" i="35"/>
  <c r="NM15" i="35" s="1"/>
  <c r="H320" i="19"/>
  <c r="MR43" i="35"/>
  <c r="NK43" i="35" s="1"/>
  <c r="H232" i="19"/>
  <c r="MR32" i="35"/>
  <c r="NK32" i="35" s="1"/>
  <c r="C96" i="19"/>
  <c r="MM15" i="35"/>
  <c r="NA15" i="35" s="1"/>
  <c r="E144" i="19"/>
  <c r="MO21" i="35"/>
  <c r="NE21" i="35" s="1"/>
  <c r="I144" i="19"/>
  <c r="MS21" i="35"/>
  <c r="NM21" i="35" s="1"/>
  <c r="H96" i="19"/>
  <c r="MR15" i="35"/>
  <c r="NK15" i="35" s="1"/>
  <c r="K272" i="19"/>
  <c r="MU37" i="35"/>
  <c r="NQ37" i="35" s="1"/>
  <c r="D136" i="19"/>
  <c r="MN20" i="35"/>
  <c r="NC20" i="35" s="1"/>
  <c r="G304" i="19"/>
  <c r="MQ41" i="35"/>
  <c r="NI41" i="35" s="1"/>
  <c r="D120" i="19"/>
  <c r="MN18" i="35"/>
  <c r="NC18" i="35" s="1"/>
  <c r="E272" i="19"/>
  <c r="MO37" i="35"/>
  <c r="NE37" i="35" s="1"/>
  <c r="I256" i="19"/>
  <c r="MS35" i="35"/>
  <c r="NM35" i="35" s="1"/>
  <c r="I224" i="19"/>
  <c r="MS31" i="35"/>
  <c r="NM31" i="35" s="1"/>
  <c r="D184" i="19"/>
  <c r="MN26" i="35"/>
  <c r="NC26" i="35" s="1"/>
  <c r="D256" i="19"/>
  <c r="MN35" i="35"/>
  <c r="NC35" i="35" s="1"/>
  <c r="E96" i="19"/>
  <c r="MO15" i="35"/>
  <c r="NE15" i="35" s="1"/>
  <c r="C248" i="19"/>
  <c r="MM34" i="35"/>
  <c r="NA34" i="35" s="1"/>
  <c r="B320" i="19"/>
  <c r="ML43" i="35"/>
  <c r="MY43" i="35" s="1"/>
  <c r="B224" i="19"/>
  <c r="ML31" i="35"/>
  <c r="MY31" i="35" s="1"/>
  <c r="G224" i="19"/>
  <c r="MQ31" i="35"/>
  <c r="NI31" i="35" s="1"/>
  <c r="G272" i="19"/>
  <c r="MQ37" i="35"/>
  <c r="NI37" i="35" s="1"/>
  <c r="G256" i="19"/>
  <c r="MQ35" i="35"/>
  <c r="NI35" i="35" s="1"/>
  <c r="D104" i="19"/>
  <c r="MN16" i="35"/>
  <c r="NC16" i="35" s="1"/>
  <c r="F144" i="19"/>
  <c r="MP21" i="35"/>
  <c r="NG21" i="35" s="1"/>
  <c r="J167" i="19"/>
  <c r="G215" i="19"/>
  <c r="G247" i="19"/>
  <c r="G71" i="19"/>
  <c r="F311" i="19"/>
  <c r="G23" i="19"/>
  <c r="F279" i="19"/>
  <c r="F55" i="19"/>
  <c r="G103" i="19"/>
  <c r="F79" i="19"/>
  <c r="G287" i="19"/>
  <c r="F151" i="19"/>
  <c r="G111" i="19"/>
  <c r="F295" i="19"/>
  <c r="G239" i="19"/>
  <c r="F167" i="19"/>
  <c r="B79" i="19"/>
  <c r="B311" i="19"/>
  <c r="E31" i="19"/>
  <c r="J47" i="19"/>
  <c r="M167" i="19"/>
  <c r="E287" i="19"/>
  <c r="M47" i="19"/>
  <c r="K119" i="19"/>
  <c r="I23" i="19"/>
  <c r="K111" i="19"/>
  <c r="K103" i="19"/>
  <c r="M119" i="19"/>
  <c r="M111" i="19"/>
  <c r="M103" i="19"/>
  <c r="HK2" i="35"/>
  <c r="II2" i="35"/>
  <c r="K47" i="19"/>
  <c r="K167" i="19"/>
  <c r="J119" i="19"/>
  <c r="J111" i="19"/>
  <c r="J103" i="19"/>
  <c r="F103" i="19"/>
  <c r="F111" i="19"/>
  <c r="F239" i="19"/>
  <c r="G167" i="19"/>
  <c r="E71" i="19"/>
  <c r="F287" i="19"/>
  <c r="G183" i="19"/>
  <c r="G47" i="19"/>
  <c r="F119" i="19"/>
  <c r="G135" i="19"/>
  <c r="G31" i="19"/>
  <c r="F87" i="19"/>
  <c r="GI2" i="35"/>
  <c r="JO2" i="35"/>
  <c r="LE2" i="35"/>
  <c r="B7" i="19"/>
  <c r="HY2" i="35"/>
  <c r="JA2" i="35"/>
  <c r="HS2" i="35"/>
  <c r="IU2" i="35"/>
  <c r="FU2" i="35"/>
  <c r="JI2" i="35"/>
  <c r="KQ2" i="35"/>
  <c r="HU2" i="35"/>
  <c r="KY2" i="35"/>
  <c r="LM2" i="35"/>
  <c r="HE2" i="35"/>
  <c r="FO2" i="35"/>
  <c r="KK2" i="35"/>
  <c r="KC2" i="35"/>
  <c r="JW2" i="35"/>
  <c r="LS2" i="35"/>
  <c r="IG2" i="35"/>
  <c r="IM2" i="35"/>
  <c r="HG2" i="35"/>
  <c r="AJ11" i="44" l="1"/>
  <c r="MV5" i="35"/>
  <c r="NS5" i="35" s="1"/>
  <c r="H40" i="48"/>
  <c r="H10" i="48"/>
  <c r="H8" i="48"/>
  <c r="MN33" i="35"/>
  <c r="NC33" i="35" s="1"/>
  <c r="BL41" i="45" s="1"/>
  <c r="CN11" i="46"/>
  <c r="D16" i="10"/>
  <c r="E16" i="10"/>
  <c r="CL40" i="45"/>
  <c r="CL41" i="45"/>
  <c r="CL9" i="45"/>
  <c r="CL48" i="45"/>
  <c r="CL10" i="45"/>
  <c r="CL10" i="47"/>
  <c r="CL48" i="47"/>
  <c r="CL9" i="47"/>
  <c r="CL40" i="47"/>
  <c r="CL8" i="47"/>
  <c r="CL41" i="47"/>
  <c r="CL48" i="48"/>
  <c r="CL10" i="48"/>
  <c r="CL41" i="48"/>
  <c r="CL8" i="48"/>
  <c r="CL40" i="48"/>
  <c r="CL9" i="48"/>
  <c r="CL9" i="52"/>
  <c r="CL40" i="52"/>
  <c r="CL8" i="52"/>
  <c r="CL41" i="52"/>
  <c r="CL10" i="52"/>
  <c r="CL48" i="52"/>
  <c r="CL9" i="49"/>
  <c r="CL41" i="49"/>
  <c r="CL8" i="49"/>
  <c r="CL40" i="49"/>
  <c r="CL10" i="49"/>
  <c r="CL48" i="49"/>
  <c r="CL9" i="54"/>
  <c r="CL41" i="54"/>
  <c r="CL8" i="54"/>
  <c r="CL48" i="54"/>
  <c r="CL10" i="54"/>
  <c r="CL40" i="54"/>
  <c r="CL10" i="50"/>
  <c r="CL48" i="50"/>
  <c r="CL8" i="50"/>
  <c r="CL41" i="50"/>
  <c r="CL9" i="50"/>
  <c r="CL40" i="50"/>
  <c r="CL9" i="46"/>
  <c r="CL48" i="46"/>
  <c r="CL8" i="46"/>
  <c r="CL40" i="46"/>
  <c r="CL10" i="46"/>
  <c r="CL41" i="46"/>
  <c r="CI48" i="46"/>
  <c r="CI9" i="46"/>
  <c r="CI40" i="46"/>
  <c r="CI10" i="46"/>
  <c r="CI8" i="46"/>
  <c r="CI41" i="46"/>
  <c r="CL10" i="51"/>
  <c r="CL40" i="51"/>
  <c r="CL9" i="51"/>
  <c r="CL41" i="51"/>
  <c r="CL8" i="51"/>
  <c r="CL48" i="51"/>
  <c r="CL9" i="53"/>
  <c r="CL41" i="53"/>
  <c r="CL8" i="53"/>
  <c r="CL40" i="53"/>
  <c r="CL10" i="53"/>
  <c r="CL48" i="53"/>
  <c r="CI10" i="51"/>
  <c r="CI48" i="51"/>
  <c r="CI40" i="51"/>
  <c r="CI9" i="51"/>
  <c r="CI41" i="51"/>
  <c r="CI8" i="51"/>
  <c r="CI40" i="50"/>
  <c r="CI41" i="50"/>
  <c r="CI8" i="50"/>
  <c r="CI9" i="50"/>
  <c r="CI10" i="50"/>
  <c r="CI48" i="50"/>
  <c r="CI8" i="48"/>
  <c r="CI9" i="48"/>
  <c r="CI41" i="48"/>
  <c r="CI40" i="48"/>
  <c r="CI48" i="48"/>
  <c r="CI10" i="48"/>
  <c r="CI9" i="47"/>
  <c r="CI8" i="47"/>
  <c r="CI41" i="47"/>
  <c r="CI10" i="47"/>
  <c r="CI40" i="47"/>
  <c r="CI48" i="47"/>
  <c r="CJ10" i="54"/>
  <c r="CJ40" i="54"/>
  <c r="CJ9" i="54"/>
  <c r="CJ41" i="54"/>
  <c r="CJ8" i="54"/>
  <c r="CJ48" i="54"/>
  <c r="CI8" i="52"/>
  <c r="CI40" i="52"/>
  <c r="CI9" i="52"/>
  <c r="CI10" i="52"/>
  <c r="CI41" i="52"/>
  <c r="CI48" i="52"/>
  <c r="CJ8" i="53"/>
  <c r="CJ40" i="53"/>
  <c r="CJ9" i="53"/>
  <c r="CJ41" i="53"/>
  <c r="CJ10" i="53"/>
  <c r="CJ48" i="53"/>
  <c r="CI48" i="54"/>
  <c r="CI10" i="54"/>
  <c r="CI40" i="54"/>
  <c r="CI41" i="54"/>
  <c r="CI8" i="54"/>
  <c r="CI9" i="54"/>
  <c r="CJ8" i="50"/>
  <c r="CJ10" i="50"/>
  <c r="CJ9" i="50"/>
  <c r="CJ41" i="50"/>
  <c r="CJ48" i="50"/>
  <c r="CJ40" i="50"/>
  <c r="CI9" i="49"/>
  <c r="CI10" i="49"/>
  <c r="CI48" i="49"/>
  <c r="CI40" i="49"/>
  <c r="CI41" i="49"/>
  <c r="CI8" i="49"/>
  <c r="CJ41" i="45"/>
  <c r="CJ8" i="45"/>
  <c r="CJ48" i="45"/>
  <c r="CJ10" i="45"/>
  <c r="CJ40" i="45"/>
  <c r="CJ9" i="45"/>
  <c r="CJ48" i="52"/>
  <c r="CJ10" i="52"/>
  <c r="CJ41" i="52"/>
  <c r="CJ9" i="52"/>
  <c r="CJ40" i="52"/>
  <c r="CJ8" i="52"/>
  <c r="CI40" i="45"/>
  <c r="CI8" i="45"/>
  <c r="CI48" i="45"/>
  <c r="CI41" i="45"/>
  <c r="CI9" i="45"/>
  <c r="CI10" i="45"/>
  <c r="CI10" i="53"/>
  <c r="CI40" i="53"/>
  <c r="CI41" i="53"/>
  <c r="CI48" i="53"/>
  <c r="CI9" i="53"/>
  <c r="CI8" i="53"/>
  <c r="CJ10" i="51"/>
  <c r="CJ40" i="51"/>
  <c r="CJ9" i="51"/>
  <c r="CJ48" i="51"/>
  <c r="CJ8" i="51"/>
  <c r="CJ41" i="51"/>
  <c r="CJ8" i="47"/>
  <c r="CJ41" i="47"/>
  <c r="CJ10" i="47"/>
  <c r="CJ48" i="47"/>
  <c r="CJ9" i="47"/>
  <c r="CJ40" i="47"/>
  <c r="CJ48" i="46"/>
  <c r="CJ10" i="46"/>
  <c r="CJ40" i="46"/>
  <c r="CJ9" i="46"/>
  <c r="CJ41" i="46"/>
  <c r="CJ8" i="46"/>
  <c r="CJ48" i="49"/>
  <c r="CJ10" i="49"/>
  <c r="CJ41" i="49"/>
  <c r="CJ9" i="49"/>
  <c r="CJ40" i="49"/>
  <c r="CJ8" i="49"/>
  <c r="CJ48" i="48"/>
  <c r="CJ9" i="48"/>
  <c r="CJ41" i="48"/>
  <c r="CJ8" i="48"/>
  <c r="CJ40" i="48"/>
  <c r="CJ10" i="48"/>
  <c r="D5" i="19"/>
  <c r="MU4" i="35"/>
  <c r="NQ4" i="35" s="1"/>
  <c r="F10" i="52" s="1"/>
  <c r="K5" i="19"/>
  <c r="MW4" i="35"/>
  <c r="NU4" i="35" s="1"/>
  <c r="F10" i="54" s="1"/>
  <c r="M5" i="19"/>
  <c r="MO4" i="35"/>
  <c r="NE4" i="35" s="1"/>
  <c r="F40" i="46" s="1"/>
  <c r="E5" i="19"/>
  <c r="MP4" i="35"/>
  <c r="NG4" i="35" s="1"/>
  <c r="F8" i="47" s="1"/>
  <c r="F5" i="19"/>
  <c r="MV4" i="35"/>
  <c r="NS4" i="35" s="1"/>
  <c r="F40" i="53" s="1"/>
  <c r="L5" i="19"/>
  <c r="MR4" i="35"/>
  <c r="NK4" i="35" s="1"/>
  <c r="F8" i="49" s="1"/>
  <c r="H5" i="19"/>
  <c r="MT4" i="35"/>
  <c r="NO4" i="35" s="1"/>
  <c r="F9" i="51" s="1"/>
  <c r="J5" i="19"/>
  <c r="MS4" i="35"/>
  <c r="NM4" i="35" s="1"/>
  <c r="F41" i="50" s="1"/>
  <c r="I5" i="19"/>
  <c r="MQ4" i="35"/>
  <c r="NI4" i="35" s="1"/>
  <c r="F7" i="48" s="1"/>
  <c r="G5" i="19"/>
  <c r="ML4" i="35"/>
  <c r="MY4" i="35" s="1"/>
  <c r="F40" i="33" s="1"/>
  <c r="H11" i="51"/>
  <c r="BH11" i="51"/>
  <c r="BD11" i="44"/>
  <c r="BH11" i="47"/>
  <c r="AN11" i="48"/>
  <c r="BT11" i="49"/>
  <c r="BH11" i="54"/>
  <c r="CB11" i="49"/>
  <c r="BT11" i="45"/>
  <c r="BR11" i="45"/>
  <c r="BZ11" i="45"/>
  <c r="AP41" i="48"/>
  <c r="AP8" i="48"/>
  <c r="AP40" i="48"/>
  <c r="AP10" i="48"/>
  <c r="AP9" i="48"/>
  <c r="AP7" i="48"/>
  <c r="V41" i="50"/>
  <c r="V40" i="50"/>
  <c r="V8" i="50"/>
  <c r="V10" i="50"/>
  <c r="V9" i="50"/>
  <c r="V7" i="50"/>
  <c r="X9" i="51"/>
  <c r="X41" i="51"/>
  <c r="X8" i="51"/>
  <c r="X40" i="51"/>
  <c r="X10" i="51"/>
  <c r="X7" i="51"/>
  <c r="Z10" i="50"/>
  <c r="Z40" i="50"/>
  <c r="Z41" i="50"/>
  <c r="Z9" i="50"/>
  <c r="Z8" i="50"/>
  <c r="Z7" i="50"/>
  <c r="BN10" i="52"/>
  <c r="BN9" i="52"/>
  <c r="BN41" i="52"/>
  <c r="BN40" i="52"/>
  <c r="BN8" i="52"/>
  <c r="BN7" i="52"/>
  <c r="AL10" i="51"/>
  <c r="AL9" i="51"/>
  <c r="AL41" i="51"/>
  <c r="AL40" i="51"/>
  <c r="AL8" i="51"/>
  <c r="AL7" i="51"/>
  <c r="AD41" i="50"/>
  <c r="AD40" i="50"/>
  <c r="AD8" i="50"/>
  <c r="AD10" i="50"/>
  <c r="AD9" i="50"/>
  <c r="AD7" i="50"/>
  <c r="AL10" i="49"/>
  <c r="AL9" i="49"/>
  <c r="AL41" i="49"/>
  <c r="AL8" i="49"/>
  <c r="AL40" i="49"/>
  <c r="AL7" i="49"/>
  <c r="L9" i="45"/>
  <c r="L41" i="45"/>
  <c r="L40" i="45"/>
  <c r="L10" i="45"/>
  <c r="L8" i="45"/>
  <c r="L7" i="45"/>
  <c r="BF10" i="45"/>
  <c r="BF9" i="45"/>
  <c r="BF41" i="45"/>
  <c r="BF40" i="45"/>
  <c r="BF8" i="45"/>
  <c r="BF7" i="45"/>
  <c r="AX40" i="44"/>
  <c r="AX10" i="44"/>
  <c r="AX9" i="44"/>
  <c r="AX41" i="44"/>
  <c r="AX8" i="44"/>
  <c r="Z41" i="53"/>
  <c r="Z40" i="53"/>
  <c r="Z10" i="53"/>
  <c r="Z9" i="53"/>
  <c r="Z8" i="53"/>
  <c r="Z7" i="53"/>
  <c r="AT10" i="49"/>
  <c r="AT9" i="49"/>
  <c r="AT41" i="49"/>
  <c r="AT8" i="49"/>
  <c r="AT40" i="49"/>
  <c r="AT7" i="49"/>
  <c r="BB41" i="52"/>
  <c r="BB8" i="52"/>
  <c r="BB40" i="52"/>
  <c r="BB10" i="52"/>
  <c r="BB9" i="52"/>
  <c r="BB7" i="52"/>
  <c r="BR41" i="50"/>
  <c r="BR40" i="50"/>
  <c r="BR8" i="50"/>
  <c r="BR9" i="50"/>
  <c r="BR10" i="50"/>
  <c r="BR7" i="50"/>
  <c r="BJ10" i="51"/>
  <c r="BJ9" i="51"/>
  <c r="BJ41" i="51"/>
  <c r="BJ8" i="51"/>
  <c r="BJ40" i="51"/>
  <c r="BJ7" i="51"/>
  <c r="BD40" i="45"/>
  <c r="BD10" i="45"/>
  <c r="BD9" i="45"/>
  <c r="BD41" i="45"/>
  <c r="BD8" i="45"/>
  <c r="BD7" i="45"/>
  <c r="BT41" i="51"/>
  <c r="BT9" i="51"/>
  <c r="BT8" i="51"/>
  <c r="BT40" i="51"/>
  <c r="BT10" i="51"/>
  <c r="BT7" i="51"/>
  <c r="BZ41" i="54"/>
  <c r="BZ8" i="54"/>
  <c r="BZ40" i="54"/>
  <c r="BZ10" i="54"/>
  <c r="BZ9" i="54"/>
  <c r="BZ7" i="54"/>
  <c r="CF40" i="53"/>
  <c r="CF10" i="53"/>
  <c r="CF9" i="53"/>
  <c r="CF41" i="53"/>
  <c r="CF8" i="53"/>
  <c r="CF7" i="53"/>
  <c r="CD41" i="53"/>
  <c r="CD40" i="53"/>
  <c r="CD10" i="53"/>
  <c r="CD9" i="53"/>
  <c r="CD8" i="53"/>
  <c r="CD7" i="53"/>
  <c r="AZ9" i="45"/>
  <c r="AZ41" i="45"/>
  <c r="AZ40" i="45"/>
  <c r="AZ10" i="45"/>
  <c r="AZ8" i="45"/>
  <c r="AZ7" i="45"/>
  <c r="CB41" i="44"/>
  <c r="CB10" i="44"/>
  <c r="CB40" i="44"/>
  <c r="CB9" i="44"/>
  <c r="CB8" i="44"/>
  <c r="AP41" i="46"/>
  <c r="AP8" i="46"/>
  <c r="AP40" i="46"/>
  <c r="AP10" i="46"/>
  <c r="AP9" i="46"/>
  <c r="AP7" i="46"/>
  <c r="CB40" i="54"/>
  <c r="CB10" i="54"/>
  <c r="CB9" i="54"/>
  <c r="CB41" i="54"/>
  <c r="CB8" i="54"/>
  <c r="CB7" i="54"/>
  <c r="CF9" i="44"/>
  <c r="CF41" i="44"/>
  <c r="CF8" i="44"/>
  <c r="CF40" i="44"/>
  <c r="CF10" i="44"/>
  <c r="AN40" i="45"/>
  <c r="AN10" i="45"/>
  <c r="AN9" i="45"/>
  <c r="AN41" i="45"/>
  <c r="AN7" i="45"/>
  <c r="AN8" i="45"/>
  <c r="BB10" i="53"/>
  <c r="BB9" i="53"/>
  <c r="BB41" i="53"/>
  <c r="BB40" i="53"/>
  <c r="BB8" i="53"/>
  <c r="BB7" i="53"/>
  <c r="BB41" i="45"/>
  <c r="BB8" i="45"/>
  <c r="BB40" i="45"/>
  <c r="BB10" i="45"/>
  <c r="BB9" i="45"/>
  <c r="BB7" i="45"/>
  <c r="BP9" i="54"/>
  <c r="BP41" i="54"/>
  <c r="BP8" i="54"/>
  <c r="BP40" i="54"/>
  <c r="BP10" i="54"/>
  <c r="BP7" i="54"/>
  <c r="BH40" i="46"/>
  <c r="BH10" i="46"/>
  <c r="BH9" i="46"/>
  <c r="BH41" i="46"/>
  <c r="BH8" i="46"/>
  <c r="BH7" i="46"/>
  <c r="AD41" i="45"/>
  <c r="AD40" i="45"/>
  <c r="AD10" i="45"/>
  <c r="AD7" i="45"/>
  <c r="AD9" i="45"/>
  <c r="AD8" i="45"/>
  <c r="BP9" i="45"/>
  <c r="BP41" i="45"/>
  <c r="BP40" i="45"/>
  <c r="BP10" i="45"/>
  <c r="BP7" i="45"/>
  <c r="BP8" i="45"/>
  <c r="BT9" i="46"/>
  <c r="BT41" i="46"/>
  <c r="BT8" i="46"/>
  <c r="BT40" i="46"/>
  <c r="BT10" i="46"/>
  <c r="BT7" i="46"/>
  <c r="BT40" i="52"/>
  <c r="BT10" i="52"/>
  <c r="BT41" i="52"/>
  <c r="BT8" i="52"/>
  <c r="BT9" i="52"/>
  <c r="BT7" i="52"/>
  <c r="CF40" i="49"/>
  <c r="CF10" i="49"/>
  <c r="CF9" i="49"/>
  <c r="CF41" i="49"/>
  <c r="CF8" i="49"/>
  <c r="CF7" i="49"/>
  <c r="AZ41" i="48"/>
  <c r="AZ40" i="48"/>
  <c r="AZ10" i="48"/>
  <c r="AZ9" i="48"/>
  <c r="AZ8" i="48"/>
  <c r="AZ7" i="48"/>
  <c r="CF40" i="46"/>
  <c r="CF10" i="46"/>
  <c r="CF9" i="46"/>
  <c r="CF41" i="46"/>
  <c r="CF8" i="46"/>
  <c r="CF7" i="46"/>
  <c r="BH9" i="45"/>
  <c r="BH41" i="45"/>
  <c r="BH40" i="45"/>
  <c r="BH10" i="45"/>
  <c r="BH8" i="45"/>
  <c r="BH7" i="45"/>
  <c r="AP10" i="45"/>
  <c r="AP9" i="45"/>
  <c r="AP41" i="45"/>
  <c r="AP40" i="45"/>
  <c r="AP8" i="45"/>
  <c r="AP7" i="45"/>
  <c r="BH40" i="49"/>
  <c r="BH10" i="49"/>
  <c r="BH9" i="49"/>
  <c r="BH41" i="49"/>
  <c r="BH8" i="49"/>
  <c r="BH7" i="49"/>
  <c r="BJ41" i="54"/>
  <c r="BJ8" i="54"/>
  <c r="BJ40" i="54"/>
  <c r="BJ10" i="54"/>
  <c r="BJ9" i="54"/>
  <c r="BJ7" i="54"/>
  <c r="N41" i="45"/>
  <c r="N40" i="45"/>
  <c r="N10" i="45"/>
  <c r="N9" i="45"/>
  <c r="N7" i="45"/>
  <c r="N8" i="45"/>
  <c r="BB41" i="50"/>
  <c r="BB40" i="50"/>
  <c r="BB8" i="50"/>
  <c r="BB9" i="50"/>
  <c r="BB10" i="50"/>
  <c r="BB7" i="50"/>
  <c r="BT40" i="50"/>
  <c r="BT10" i="50"/>
  <c r="BT9" i="50"/>
  <c r="BT41" i="50"/>
  <c r="BT8" i="50"/>
  <c r="BT7" i="50"/>
  <c r="CF9" i="45"/>
  <c r="CF41" i="45"/>
  <c r="CF8" i="45"/>
  <c r="CF40" i="45"/>
  <c r="CF10" i="45"/>
  <c r="CF7" i="45"/>
  <c r="AZ9" i="52"/>
  <c r="AZ41" i="52"/>
  <c r="AZ8" i="52"/>
  <c r="AZ40" i="52"/>
  <c r="AZ10" i="52"/>
  <c r="AZ7" i="52"/>
  <c r="AH41" i="46"/>
  <c r="AH8" i="46"/>
  <c r="AH40" i="46"/>
  <c r="AH10" i="46"/>
  <c r="AH9" i="46"/>
  <c r="AH7" i="46"/>
  <c r="T40" i="51"/>
  <c r="T10" i="51"/>
  <c r="T9" i="51"/>
  <c r="T41" i="51"/>
  <c r="T8" i="51"/>
  <c r="T7" i="51"/>
  <c r="Z41" i="51"/>
  <c r="Z8" i="51"/>
  <c r="Z40" i="51"/>
  <c r="Z10" i="51"/>
  <c r="Z9" i="51"/>
  <c r="Z7" i="51"/>
  <c r="BN41" i="51"/>
  <c r="BN8" i="51"/>
  <c r="BN40" i="51"/>
  <c r="BN10" i="51"/>
  <c r="BN9" i="51"/>
  <c r="BN7" i="51"/>
  <c r="AH41" i="48"/>
  <c r="AH8" i="48"/>
  <c r="AH40" i="48"/>
  <c r="AH10" i="48"/>
  <c r="AH9" i="48"/>
  <c r="AH7" i="48"/>
  <c r="BV10" i="50"/>
  <c r="BV9" i="50"/>
  <c r="BV40" i="50"/>
  <c r="BV41" i="50"/>
  <c r="BV8" i="50"/>
  <c r="BV7" i="50"/>
  <c r="AD10" i="49"/>
  <c r="AD9" i="49"/>
  <c r="AD41" i="49"/>
  <c r="AD8" i="49"/>
  <c r="AD40" i="49"/>
  <c r="AD7" i="49"/>
  <c r="X40" i="54"/>
  <c r="X10" i="54"/>
  <c r="X9" i="54"/>
  <c r="X41" i="54"/>
  <c r="X8" i="54"/>
  <c r="X7" i="54"/>
  <c r="P41" i="53"/>
  <c r="P40" i="53"/>
  <c r="P10" i="53"/>
  <c r="P8" i="53"/>
  <c r="P9" i="53"/>
  <c r="P7" i="53"/>
  <c r="AR9" i="45"/>
  <c r="AR41" i="45"/>
  <c r="AR40" i="45"/>
  <c r="AR10" i="45"/>
  <c r="AR8" i="45"/>
  <c r="AR7" i="45"/>
  <c r="BL9" i="46"/>
  <c r="BL41" i="46"/>
  <c r="BL8" i="46"/>
  <c r="BL40" i="46"/>
  <c r="BL10" i="46"/>
  <c r="BL7" i="46"/>
  <c r="BZ41" i="50"/>
  <c r="BZ40" i="50"/>
  <c r="BZ9" i="50"/>
  <c r="BZ8" i="50"/>
  <c r="BZ10" i="50"/>
  <c r="BZ7" i="50"/>
  <c r="AJ40" i="49"/>
  <c r="AJ10" i="49"/>
  <c r="AJ9" i="49"/>
  <c r="AJ41" i="49"/>
  <c r="AJ8" i="49"/>
  <c r="AJ7" i="49"/>
  <c r="CD41" i="46"/>
  <c r="CD8" i="46"/>
  <c r="CD40" i="46"/>
  <c r="CD10" i="46"/>
  <c r="CD9" i="46"/>
  <c r="CD7" i="46"/>
  <c r="BD40" i="47"/>
  <c r="BD10" i="47"/>
  <c r="BD9" i="47"/>
  <c r="BD41" i="47"/>
  <c r="BD8" i="47"/>
  <c r="BD7" i="47"/>
  <c r="CB40" i="52"/>
  <c r="CB10" i="52"/>
  <c r="CB41" i="52"/>
  <c r="CB9" i="52"/>
  <c r="CB8" i="52"/>
  <c r="CB7" i="52"/>
  <c r="BJ41" i="45"/>
  <c r="BJ8" i="45"/>
  <c r="BJ40" i="45"/>
  <c r="BJ10" i="45"/>
  <c r="BJ9" i="45"/>
  <c r="BJ7" i="45"/>
  <c r="CB40" i="47"/>
  <c r="CB10" i="47"/>
  <c r="CB9" i="47"/>
  <c r="CB41" i="47"/>
  <c r="CB8" i="47"/>
  <c r="CB7" i="47"/>
  <c r="BR41" i="51"/>
  <c r="BR10" i="51"/>
  <c r="BR9" i="51"/>
  <c r="BR8" i="51"/>
  <c r="BR40" i="51"/>
  <c r="BR7" i="51"/>
  <c r="BV41" i="49"/>
  <c r="BV8" i="49"/>
  <c r="BV40" i="49"/>
  <c r="BV10" i="49"/>
  <c r="BV9" i="49"/>
  <c r="BV7" i="49"/>
  <c r="BJ10" i="46"/>
  <c r="BJ9" i="46"/>
  <c r="BJ41" i="46"/>
  <c r="BJ8" i="46"/>
  <c r="BJ40" i="46"/>
  <c r="BJ7" i="46"/>
  <c r="N40" i="44"/>
  <c r="N10" i="44"/>
  <c r="N41" i="44"/>
  <c r="N9" i="44"/>
  <c r="N8" i="44"/>
  <c r="BR10" i="53"/>
  <c r="BR9" i="53"/>
  <c r="BR41" i="53"/>
  <c r="BR8" i="53"/>
  <c r="BR40" i="53"/>
  <c r="BR7" i="53"/>
  <c r="AL10" i="46"/>
  <c r="AL9" i="46"/>
  <c r="AL41" i="46"/>
  <c r="AL8" i="46"/>
  <c r="AL40" i="46"/>
  <c r="AL7" i="46"/>
  <c r="AF41" i="44"/>
  <c r="AF10" i="44"/>
  <c r="AF40" i="44"/>
  <c r="AF9" i="44"/>
  <c r="AF8" i="44"/>
  <c r="BB41" i="54"/>
  <c r="BB8" i="54"/>
  <c r="BB40" i="54"/>
  <c r="BB10" i="54"/>
  <c r="BB9" i="54"/>
  <c r="BB7" i="54"/>
  <c r="BV40" i="44"/>
  <c r="BV10" i="44"/>
  <c r="BV9" i="44"/>
  <c r="BV8" i="44"/>
  <c r="BV41" i="44"/>
  <c r="AP40" i="44"/>
  <c r="AP10" i="44"/>
  <c r="AP9" i="44"/>
  <c r="AP41" i="44"/>
  <c r="AP8" i="44"/>
  <c r="AH40" i="44"/>
  <c r="AH10" i="44"/>
  <c r="AH9" i="44"/>
  <c r="AH41" i="44"/>
  <c r="AH8" i="44"/>
  <c r="BT40" i="47"/>
  <c r="BT10" i="47"/>
  <c r="BT9" i="47"/>
  <c r="BT41" i="47"/>
  <c r="BT8" i="47"/>
  <c r="BT7" i="47"/>
  <c r="BH11" i="53"/>
  <c r="AB11" i="53"/>
  <c r="CB11" i="45"/>
  <c r="BT40" i="48"/>
  <c r="BT41" i="48"/>
  <c r="BT9" i="48"/>
  <c r="BT8" i="48"/>
  <c r="BT10" i="48"/>
  <c r="BT7" i="48"/>
  <c r="BN40" i="44"/>
  <c r="BN10" i="44"/>
  <c r="BN9" i="44"/>
  <c r="BN41" i="44"/>
  <c r="BN8" i="44"/>
  <c r="BH9" i="50"/>
  <c r="BH41" i="50"/>
  <c r="BH8" i="50"/>
  <c r="BH10" i="50"/>
  <c r="BH40" i="50"/>
  <c r="BH7" i="50"/>
  <c r="CB40" i="48"/>
  <c r="CB41" i="48"/>
  <c r="CB9" i="48"/>
  <c r="CB8" i="48"/>
  <c r="CB10" i="48"/>
  <c r="CB7" i="48"/>
  <c r="AN40" i="50"/>
  <c r="AN10" i="50"/>
  <c r="AN41" i="50"/>
  <c r="AN9" i="50"/>
  <c r="AN8" i="50"/>
  <c r="AN7" i="50"/>
  <c r="AB9" i="44"/>
  <c r="AB41" i="44"/>
  <c r="AB40" i="44"/>
  <c r="AB10" i="44"/>
  <c r="AB8" i="44"/>
  <c r="CF9" i="52"/>
  <c r="CF41" i="52"/>
  <c r="CF8" i="52"/>
  <c r="CF40" i="52"/>
  <c r="CF10" i="52"/>
  <c r="CF7" i="52"/>
  <c r="CD40" i="44"/>
  <c r="CD10" i="44"/>
  <c r="CD9" i="44"/>
  <c r="CD8" i="44"/>
  <c r="CD41" i="44"/>
  <c r="CF9" i="50"/>
  <c r="CF41" i="50"/>
  <c r="CF10" i="50"/>
  <c r="CF40" i="50"/>
  <c r="CF8" i="50"/>
  <c r="CF7" i="50"/>
  <c r="X40" i="45"/>
  <c r="X10" i="45"/>
  <c r="X9" i="45"/>
  <c r="X41" i="45"/>
  <c r="X7" i="45"/>
  <c r="X8" i="45"/>
  <c r="BT41" i="44"/>
  <c r="BT10" i="44"/>
  <c r="BT40" i="44"/>
  <c r="BT9" i="44"/>
  <c r="BT8" i="44"/>
  <c r="BX9" i="52"/>
  <c r="BX41" i="52"/>
  <c r="BX8" i="52"/>
  <c r="BX40" i="52"/>
  <c r="BX10" i="52"/>
  <c r="BX7" i="52"/>
  <c r="BZ41" i="52"/>
  <c r="BZ8" i="52"/>
  <c r="BZ40" i="52"/>
  <c r="BZ10" i="52"/>
  <c r="BZ9" i="52"/>
  <c r="BZ7" i="52"/>
  <c r="L41" i="50"/>
  <c r="L9" i="50"/>
  <c r="L8" i="50"/>
  <c r="L10" i="50"/>
  <c r="L40" i="50"/>
  <c r="L7" i="50"/>
  <c r="N41" i="47"/>
  <c r="N8" i="47"/>
  <c r="N40" i="47"/>
  <c r="N10" i="47"/>
  <c r="N9" i="47"/>
  <c r="N7" i="47"/>
  <c r="P40" i="47"/>
  <c r="P10" i="47"/>
  <c r="P9" i="47"/>
  <c r="P41" i="47"/>
  <c r="P8" i="47"/>
  <c r="P7" i="47"/>
  <c r="AT41" i="45"/>
  <c r="AT8" i="45"/>
  <c r="AT40" i="45"/>
  <c r="AT10" i="45"/>
  <c r="AT9" i="45"/>
  <c r="AT7" i="45"/>
  <c r="BL40" i="45"/>
  <c r="BL10" i="45"/>
  <c r="BL9" i="45"/>
  <c r="R41" i="49"/>
  <c r="R8" i="49"/>
  <c r="R40" i="49"/>
  <c r="R10" i="49"/>
  <c r="R9" i="49"/>
  <c r="R7" i="49"/>
  <c r="AB9" i="45"/>
  <c r="AB41" i="45"/>
  <c r="AB40" i="45"/>
  <c r="AB10" i="45"/>
  <c r="AB8" i="45"/>
  <c r="AB7" i="45"/>
  <c r="BZ10" i="46"/>
  <c r="BZ9" i="46"/>
  <c r="BZ41" i="46"/>
  <c r="BZ8" i="46"/>
  <c r="BZ40" i="46"/>
  <c r="BZ7" i="46"/>
  <c r="BP9" i="52"/>
  <c r="BP41" i="52"/>
  <c r="BP8" i="52"/>
  <c r="BP40" i="52"/>
  <c r="BP10" i="52"/>
  <c r="BP7" i="52"/>
  <c r="AZ40" i="49"/>
  <c r="AZ10" i="49"/>
  <c r="AZ9" i="49"/>
  <c r="AZ41" i="49"/>
  <c r="AZ8" i="49"/>
  <c r="AZ7" i="49"/>
  <c r="AJ9" i="47"/>
  <c r="AJ41" i="47"/>
  <c r="AJ8" i="47"/>
  <c r="AJ40" i="47"/>
  <c r="AJ10" i="47"/>
  <c r="AJ7" i="47"/>
  <c r="BJ40" i="44"/>
  <c r="BJ10" i="44"/>
  <c r="BJ41" i="44"/>
  <c r="BJ9" i="44"/>
  <c r="BJ8" i="44"/>
  <c r="AB40" i="51"/>
  <c r="AB10" i="51"/>
  <c r="AB9" i="51"/>
  <c r="AB41" i="51"/>
  <c r="AB8" i="51"/>
  <c r="AB7" i="51"/>
  <c r="BT41" i="53"/>
  <c r="BT40" i="53"/>
  <c r="BT10" i="53"/>
  <c r="BT9" i="53"/>
  <c r="BT8" i="53"/>
  <c r="BT7" i="53"/>
  <c r="BB41" i="47"/>
  <c r="BB8" i="47"/>
  <c r="BB40" i="47"/>
  <c r="BB10" i="47"/>
  <c r="BB9" i="47"/>
  <c r="BB7" i="47"/>
  <c r="CB41" i="51"/>
  <c r="CB9" i="51"/>
  <c r="CB8" i="51"/>
  <c r="CB40" i="51"/>
  <c r="CB10" i="51"/>
  <c r="CB7" i="51"/>
  <c r="BJ41" i="47"/>
  <c r="BJ8" i="47"/>
  <c r="BJ40" i="47"/>
  <c r="BJ10" i="47"/>
  <c r="BJ9" i="47"/>
  <c r="BJ7" i="47"/>
  <c r="AN40" i="52"/>
  <c r="AN10" i="52"/>
  <c r="AN41" i="52"/>
  <c r="AN8" i="52"/>
  <c r="AN9" i="52"/>
  <c r="AN7" i="52"/>
  <c r="AH41" i="53"/>
  <c r="AH40" i="53"/>
  <c r="AH10" i="53"/>
  <c r="AH8" i="53"/>
  <c r="AH9" i="53"/>
  <c r="AH7" i="53"/>
  <c r="CF9" i="54"/>
  <c r="CF41" i="54"/>
  <c r="CF8" i="54"/>
  <c r="CF40" i="54"/>
  <c r="CF10" i="54"/>
  <c r="CF7" i="54"/>
  <c r="CF9" i="47"/>
  <c r="CF41" i="47"/>
  <c r="CF8" i="47"/>
  <c r="CF40" i="47"/>
  <c r="CF10" i="47"/>
  <c r="CF7" i="47"/>
  <c r="AR9" i="44"/>
  <c r="AR41" i="44"/>
  <c r="AR40" i="44"/>
  <c r="AR10" i="44"/>
  <c r="AR8" i="44"/>
  <c r="V40" i="44"/>
  <c r="V10" i="44"/>
  <c r="V41" i="44"/>
  <c r="V9" i="44"/>
  <c r="V8" i="44"/>
  <c r="BF10" i="47"/>
  <c r="BF9" i="47"/>
  <c r="BF41" i="47"/>
  <c r="BF8" i="47"/>
  <c r="BF40" i="47"/>
  <c r="BF7" i="47"/>
  <c r="AB9" i="54"/>
  <c r="AB41" i="54"/>
  <c r="AB8" i="54"/>
  <c r="AB40" i="54"/>
  <c r="AB10" i="54"/>
  <c r="AB7" i="54"/>
  <c r="CD10" i="45"/>
  <c r="CD9" i="45"/>
  <c r="CD41" i="45"/>
  <c r="CD8" i="45"/>
  <c r="CD40" i="45"/>
  <c r="CD7" i="45"/>
  <c r="AB9" i="47"/>
  <c r="AB41" i="47"/>
  <c r="AB8" i="47"/>
  <c r="AB40" i="47"/>
  <c r="AB10" i="47"/>
  <c r="AB7" i="47"/>
  <c r="CF11" i="48"/>
  <c r="BF40" i="44"/>
  <c r="BF10" i="44"/>
  <c r="BF9" i="44"/>
  <c r="BF41" i="44"/>
  <c r="BF8" i="44"/>
  <c r="AV11" i="45"/>
  <c r="BP11" i="47"/>
  <c r="AN40" i="47"/>
  <c r="AN10" i="47"/>
  <c r="AN9" i="47"/>
  <c r="AN41" i="47"/>
  <c r="AN8" i="47"/>
  <c r="AN7" i="47"/>
  <c r="BP41" i="48"/>
  <c r="BP10" i="48"/>
  <c r="BP9" i="48"/>
  <c r="BP40" i="48"/>
  <c r="BP8" i="48"/>
  <c r="BP7" i="48"/>
  <c r="BH41" i="48"/>
  <c r="BH10" i="48"/>
  <c r="BH40" i="48"/>
  <c r="BH9" i="48"/>
  <c r="BH8" i="48"/>
  <c r="BH7" i="48"/>
  <c r="AB40" i="46"/>
  <c r="AB10" i="46"/>
  <c r="AB9" i="46"/>
  <c r="AB41" i="46"/>
  <c r="AB8" i="46"/>
  <c r="AB7" i="46"/>
  <c r="AX10" i="45"/>
  <c r="AX9" i="45"/>
  <c r="AX41" i="45"/>
  <c r="AX40" i="45"/>
  <c r="AX8" i="45"/>
  <c r="AX7" i="45"/>
  <c r="BP9" i="50"/>
  <c r="BP41" i="50"/>
  <c r="BP10" i="50"/>
  <c r="BP40" i="50"/>
  <c r="BP8" i="50"/>
  <c r="BP7" i="50"/>
  <c r="AH10" i="45"/>
  <c r="AH9" i="45"/>
  <c r="AH41" i="45"/>
  <c r="AH40" i="45"/>
  <c r="AH8" i="45"/>
  <c r="AH7" i="45"/>
  <c r="AL41" i="45"/>
  <c r="AL40" i="45"/>
  <c r="AL10" i="45"/>
  <c r="AL9" i="45"/>
  <c r="AL7" i="45"/>
  <c r="AL8" i="45"/>
  <c r="AB40" i="49"/>
  <c r="AB10" i="49"/>
  <c r="AB9" i="49"/>
  <c r="AB41" i="49"/>
  <c r="AB8" i="49"/>
  <c r="AB7" i="49"/>
  <c r="AN9" i="46"/>
  <c r="AN41" i="46"/>
  <c r="AN8" i="46"/>
  <c r="AN40" i="46"/>
  <c r="AN10" i="46"/>
  <c r="AN7" i="46"/>
  <c r="BJ10" i="49"/>
  <c r="BJ9" i="49"/>
  <c r="BJ41" i="49"/>
  <c r="BJ8" i="49"/>
  <c r="BJ40" i="49"/>
  <c r="BJ7" i="49"/>
  <c r="AB41" i="50"/>
  <c r="AB9" i="50"/>
  <c r="AB8" i="50"/>
  <c r="AB10" i="50"/>
  <c r="AB40" i="50"/>
  <c r="AB7" i="50"/>
  <c r="CB9" i="46"/>
  <c r="CB41" i="46"/>
  <c r="CB8" i="46"/>
  <c r="CB40" i="46"/>
  <c r="CB10" i="46"/>
  <c r="CB7" i="46"/>
  <c r="BJ41" i="48"/>
  <c r="BJ10" i="48"/>
  <c r="BJ40" i="48"/>
  <c r="BJ9" i="48"/>
  <c r="BJ8" i="48"/>
  <c r="BJ7" i="48"/>
  <c r="AN9" i="51"/>
  <c r="AN41" i="51"/>
  <c r="AN8" i="51"/>
  <c r="AN40" i="51"/>
  <c r="AN10" i="51"/>
  <c r="AN7" i="51"/>
  <c r="BP40" i="49"/>
  <c r="BP10" i="49"/>
  <c r="BP9" i="49"/>
  <c r="BP41" i="49"/>
  <c r="BP8" i="49"/>
  <c r="BP7" i="49"/>
  <c r="BB10" i="49"/>
  <c r="BB9" i="49"/>
  <c r="BB41" i="49"/>
  <c r="BB8" i="49"/>
  <c r="BB40" i="49"/>
  <c r="BB7" i="49"/>
  <c r="AN41" i="53"/>
  <c r="AN40" i="53"/>
  <c r="AN10" i="53"/>
  <c r="AN9" i="53"/>
  <c r="AN8" i="53"/>
  <c r="AN7" i="53"/>
  <c r="AN40" i="54"/>
  <c r="AN10" i="54"/>
  <c r="AN9" i="54"/>
  <c r="AN41" i="54"/>
  <c r="AN8" i="54"/>
  <c r="AN7" i="54"/>
  <c r="Z10" i="45"/>
  <c r="Z9" i="45"/>
  <c r="Z41" i="45"/>
  <c r="Z40" i="45"/>
  <c r="Z8" i="45"/>
  <c r="Z7" i="45"/>
  <c r="CB40" i="50"/>
  <c r="CB10" i="50"/>
  <c r="CB41" i="50"/>
  <c r="CB9" i="50"/>
  <c r="CB8" i="50"/>
  <c r="CB7" i="50"/>
  <c r="BB41" i="48"/>
  <c r="BB40" i="48"/>
  <c r="BB10" i="48"/>
  <c r="BB9" i="48"/>
  <c r="BB8" i="48"/>
  <c r="BB7" i="48"/>
  <c r="BH9" i="52"/>
  <c r="BH41" i="52"/>
  <c r="BH8" i="52"/>
  <c r="BH40" i="52"/>
  <c r="BH10" i="52"/>
  <c r="BH7" i="52"/>
  <c r="BP9" i="44"/>
  <c r="BP41" i="44"/>
  <c r="BP8" i="44"/>
  <c r="BP40" i="44"/>
  <c r="BP10" i="44"/>
  <c r="BB10" i="46"/>
  <c r="BB9" i="46"/>
  <c r="BB41" i="46"/>
  <c r="BB8" i="46"/>
  <c r="BB40" i="46"/>
  <c r="BB7" i="46"/>
  <c r="BX9" i="44"/>
  <c r="BX41" i="44"/>
  <c r="BX8" i="44"/>
  <c r="BX40" i="44"/>
  <c r="BX10" i="44"/>
  <c r="AN9" i="49"/>
  <c r="AN41" i="49"/>
  <c r="AN8" i="49"/>
  <c r="AN40" i="49"/>
  <c r="AN10" i="49"/>
  <c r="AN7" i="49"/>
  <c r="R10" i="45"/>
  <c r="R9" i="45"/>
  <c r="R41" i="45"/>
  <c r="R40" i="45"/>
  <c r="R8" i="45"/>
  <c r="R7" i="45"/>
  <c r="BR41" i="52"/>
  <c r="BR8" i="52"/>
  <c r="BR40" i="52"/>
  <c r="BR10" i="52"/>
  <c r="BR9" i="52"/>
  <c r="BR7" i="52"/>
  <c r="R41" i="51"/>
  <c r="R8" i="51"/>
  <c r="R40" i="51"/>
  <c r="R10" i="51"/>
  <c r="R9" i="51"/>
  <c r="R7" i="51"/>
  <c r="T41" i="50"/>
  <c r="T10" i="50"/>
  <c r="T9" i="50"/>
  <c r="T40" i="50"/>
  <c r="T8" i="50"/>
  <c r="T7" i="50"/>
  <c r="V41" i="52"/>
  <c r="V8" i="52"/>
  <c r="V40" i="52"/>
  <c r="V10" i="52"/>
  <c r="V9" i="52"/>
  <c r="V7" i="52"/>
  <c r="BR41" i="54"/>
  <c r="BR8" i="54"/>
  <c r="BR40" i="54"/>
  <c r="BR10" i="54"/>
  <c r="BR9" i="54"/>
  <c r="BR7" i="54"/>
  <c r="AH10" i="50"/>
  <c r="AH9" i="50"/>
  <c r="AH40" i="50"/>
  <c r="AH8" i="50"/>
  <c r="AH41" i="50"/>
  <c r="AH7" i="50"/>
  <c r="T40" i="46"/>
  <c r="T10" i="46"/>
  <c r="T9" i="46"/>
  <c r="T41" i="46"/>
  <c r="T8" i="46"/>
  <c r="T7" i="46"/>
  <c r="R10" i="52"/>
  <c r="R9" i="52"/>
  <c r="R41" i="52"/>
  <c r="R40" i="52"/>
  <c r="R8" i="52"/>
  <c r="R7" i="52"/>
  <c r="AJ41" i="50"/>
  <c r="AJ10" i="50"/>
  <c r="AJ40" i="50"/>
  <c r="AJ9" i="50"/>
  <c r="AJ8" i="50"/>
  <c r="AJ7" i="50"/>
  <c r="AD10" i="53"/>
  <c r="AD9" i="53"/>
  <c r="AD41" i="53"/>
  <c r="AD40" i="53"/>
  <c r="AD8" i="53"/>
  <c r="AD7" i="53"/>
  <c r="AD10" i="46"/>
  <c r="AD9" i="46"/>
  <c r="AD41" i="46"/>
  <c r="AD8" i="46"/>
  <c r="AD40" i="46"/>
  <c r="AD7" i="46"/>
  <c r="N41" i="54"/>
  <c r="N8" i="54"/>
  <c r="N40" i="54"/>
  <c r="N10" i="54"/>
  <c r="N9" i="54"/>
  <c r="N7" i="54"/>
  <c r="CD41" i="51"/>
  <c r="CD8" i="51"/>
  <c r="CD40" i="51"/>
  <c r="CD10" i="51"/>
  <c r="CD9" i="51"/>
  <c r="CD7" i="51"/>
  <c r="AB9" i="52"/>
  <c r="AB41" i="52"/>
  <c r="AB8" i="52"/>
  <c r="AB40" i="52"/>
  <c r="AB10" i="52"/>
  <c r="AB7" i="52"/>
  <c r="BF10" i="50"/>
  <c r="BF9" i="50"/>
  <c r="BF40" i="50"/>
  <c r="BF41" i="50"/>
  <c r="BF8" i="50"/>
  <c r="BF7" i="50"/>
  <c r="N10" i="46"/>
  <c r="N9" i="46"/>
  <c r="N41" i="46"/>
  <c r="N8" i="46"/>
  <c r="N40" i="46"/>
  <c r="N7" i="46"/>
  <c r="BV10" i="45"/>
  <c r="BV9" i="45"/>
  <c r="BV41" i="45"/>
  <c r="BV8" i="45"/>
  <c r="BV40" i="45"/>
  <c r="BV7" i="45"/>
  <c r="BJ41" i="52"/>
  <c r="BJ8" i="52"/>
  <c r="BJ40" i="52"/>
  <c r="BJ10" i="52"/>
  <c r="BJ9" i="52"/>
  <c r="BJ7" i="52"/>
  <c r="BB41" i="51"/>
  <c r="BB10" i="51"/>
  <c r="BB9" i="51"/>
  <c r="BB8" i="51"/>
  <c r="BB40" i="51"/>
  <c r="BB7" i="51"/>
  <c r="BV41" i="53"/>
  <c r="BV40" i="53"/>
  <c r="BV10" i="53"/>
  <c r="BV9" i="53"/>
  <c r="BV8" i="53"/>
  <c r="BV7" i="53"/>
  <c r="CF40" i="51"/>
  <c r="CF41" i="51"/>
  <c r="CF10" i="51"/>
  <c r="CF9" i="51"/>
  <c r="CF8" i="51"/>
  <c r="CF7" i="51"/>
  <c r="AJ9" i="45"/>
  <c r="AJ41" i="45"/>
  <c r="AJ40" i="45"/>
  <c r="AJ10" i="45"/>
  <c r="AJ8" i="45"/>
  <c r="AJ7" i="45"/>
  <c r="L9" i="47"/>
  <c r="L41" i="47"/>
  <c r="L8" i="47"/>
  <c r="L40" i="47"/>
  <c r="L10" i="47"/>
  <c r="L7" i="47"/>
  <c r="BP40" i="51"/>
  <c r="BP41" i="51"/>
  <c r="BP10" i="51"/>
  <c r="BP9" i="51"/>
  <c r="BP8" i="51"/>
  <c r="BP7" i="51"/>
  <c r="AR41" i="50"/>
  <c r="AR8" i="50"/>
  <c r="AR10" i="50"/>
  <c r="AR9" i="50"/>
  <c r="AR40" i="50"/>
  <c r="AR7" i="50"/>
  <c r="CB41" i="53"/>
  <c r="CB40" i="53"/>
  <c r="CB10" i="53"/>
  <c r="CB9" i="53"/>
  <c r="CB8" i="53"/>
  <c r="CB7" i="53"/>
  <c r="N41" i="53"/>
  <c r="N9" i="53"/>
  <c r="N10" i="53"/>
  <c r="N40" i="53"/>
  <c r="N8" i="53"/>
  <c r="N7" i="53"/>
  <c r="BT40" i="54"/>
  <c r="BT10" i="54"/>
  <c r="BT9" i="54"/>
  <c r="BT41" i="54"/>
  <c r="BT8" i="54"/>
  <c r="BT7" i="54"/>
  <c r="T9" i="47"/>
  <c r="T41" i="47"/>
  <c r="T8" i="47"/>
  <c r="T40" i="47"/>
  <c r="T10" i="47"/>
  <c r="T7" i="47"/>
  <c r="BJ10" i="53"/>
  <c r="BJ9" i="53"/>
  <c r="BJ41" i="53"/>
  <c r="BJ40" i="53"/>
  <c r="BJ8" i="53"/>
  <c r="BJ7" i="53"/>
  <c r="P11" i="45"/>
  <c r="BP11" i="46"/>
  <c r="AB11" i="48"/>
  <c r="BP11" i="53"/>
  <c r="BJ11" i="50"/>
  <c r="BX11" i="45"/>
  <c r="J41" i="52"/>
  <c r="J10" i="52"/>
  <c r="J8" i="52"/>
  <c r="J7" i="52"/>
  <c r="J40" i="52"/>
  <c r="J9" i="52"/>
  <c r="J7" i="51"/>
  <c r="J40" i="51"/>
  <c r="J9" i="51"/>
  <c r="J41" i="51"/>
  <c r="J10" i="51"/>
  <c r="J8" i="51"/>
  <c r="J40" i="47"/>
  <c r="J9" i="47"/>
  <c r="J7" i="47"/>
  <c r="J41" i="47"/>
  <c r="J10" i="47"/>
  <c r="J8" i="47"/>
  <c r="J41" i="44"/>
  <c r="J40" i="44"/>
  <c r="J8" i="44"/>
  <c r="J9" i="44"/>
  <c r="J10" i="44"/>
  <c r="J10" i="45"/>
  <c r="J8" i="45"/>
  <c r="J41" i="45"/>
  <c r="J7" i="45"/>
  <c r="J40" i="45"/>
  <c r="J9" i="45"/>
  <c r="H9" i="50"/>
  <c r="H10" i="50"/>
  <c r="H40" i="50"/>
  <c r="H7" i="50"/>
  <c r="H41" i="50"/>
  <c r="H8" i="50"/>
  <c r="H9" i="54"/>
  <c r="H7" i="54"/>
  <c r="H10" i="54"/>
  <c r="H40" i="54"/>
  <c r="H41" i="54"/>
  <c r="H8" i="54"/>
  <c r="H9" i="49"/>
  <c r="H10" i="49"/>
  <c r="H7" i="49"/>
  <c r="H40" i="49"/>
  <c r="H41" i="49"/>
  <c r="H8" i="49"/>
  <c r="H9" i="47"/>
  <c r="H10" i="47"/>
  <c r="H40" i="47"/>
  <c r="H41" i="47"/>
  <c r="H8" i="47"/>
  <c r="H7" i="47"/>
  <c r="H9" i="46"/>
  <c r="H7" i="46"/>
  <c r="H10" i="46"/>
  <c r="H40" i="46"/>
  <c r="H41" i="46"/>
  <c r="H8" i="46"/>
  <c r="H9" i="53"/>
  <c r="H10" i="53"/>
  <c r="H40" i="53"/>
  <c r="H41" i="53"/>
  <c r="H8" i="53"/>
  <c r="H7" i="53"/>
  <c r="H9" i="52"/>
  <c r="H10" i="52"/>
  <c r="H40" i="52"/>
  <c r="H41" i="52"/>
  <c r="H8" i="52"/>
  <c r="H7" i="52"/>
  <c r="CI38" i="51"/>
  <c r="CI37" i="51"/>
  <c r="CI35" i="51"/>
  <c r="CI19" i="51"/>
  <c r="CI36" i="51"/>
  <c r="CI24" i="51"/>
  <c r="CI47" i="51"/>
  <c r="CL38" i="53"/>
  <c r="CL37" i="53"/>
  <c r="CL36" i="53"/>
  <c r="CL35" i="53"/>
  <c r="CL19" i="53"/>
  <c r="CL47" i="53"/>
  <c r="CJ47" i="50"/>
  <c r="CJ38" i="50"/>
  <c r="CJ37" i="50"/>
  <c r="CJ36" i="50"/>
  <c r="CJ35" i="50"/>
  <c r="CJ19" i="50"/>
  <c r="CL38" i="45"/>
  <c r="CL37" i="45"/>
  <c r="CL36" i="45"/>
  <c r="CL35" i="45"/>
  <c r="CL19" i="45"/>
  <c r="CL47" i="45"/>
  <c r="F41" i="45"/>
  <c r="F40" i="45"/>
  <c r="F9" i="45"/>
  <c r="F8" i="45"/>
  <c r="F7" i="45"/>
  <c r="F10" i="45"/>
  <c r="CL47" i="51"/>
  <c r="CL38" i="51"/>
  <c r="CL37" i="51"/>
  <c r="CL36" i="51"/>
  <c r="CL35" i="51"/>
  <c r="CL19" i="51"/>
  <c r="CL35" i="49"/>
  <c r="CL19" i="49"/>
  <c r="CL47" i="49"/>
  <c r="CL38" i="49"/>
  <c r="CL37" i="49"/>
  <c r="CL36" i="49"/>
  <c r="CJ47" i="53"/>
  <c r="CJ38" i="53"/>
  <c r="CJ37" i="53"/>
  <c r="CJ36" i="53"/>
  <c r="CJ35" i="53"/>
  <c r="CJ19" i="53"/>
  <c r="CJ38" i="52"/>
  <c r="CJ37" i="52"/>
  <c r="CJ36" i="52"/>
  <c r="CJ35" i="52"/>
  <c r="CJ19" i="52"/>
  <c r="CJ47" i="52"/>
  <c r="CI36" i="45"/>
  <c r="CI24" i="45"/>
  <c r="CI35" i="45"/>
  <c r="CI38" i="45"/>
  <c r="CI37" i="45"/>
  <c r="CI47" i="45"/>
  <c r="CI19" i="45"/>
  <c r="CI36" i="46"/>
  <c r="CI24" i="46"/>
  <c r="CI19" i="46"/>
  <c r="CI35" i="46"/>
  <c r="CI38" i="46"/>
  <c r="CI47" i="46"/>
  <c r="CI37" i="46"/>
  <c r="CI36" i="47"/>
  <c r="CI35" i="47"/>
  <c r="CI38" i="47"/>
  <c r="CI24" i="47"/>
  <c r="CI37" i="47"/>
  <c r="CI19" i="47"/>
  <c r="CI47" i="47"/>
  <c r="CJ47" i="45"/>
  <c r="CJ38" i="45"/>
  <c r="CJ37" i="45"/>
  <c r="CJ36" i="45"/>
  <c r="CJ35" i="45"/>
  <c r="CJ19" i="45"/>
  <c r="CI10" i="44"/>
  <c r="CI8" i="44"/>
  <c r="CI9" i="44"/>
  <c r="CI41" i="44"/>
  <c r="CI40" i="44"/>
  <c r="D43" i="47"/>
  <c r="CI35" i="50"/>
  <c r="CI38" i="50"/>
  <c r="CI36" i="50"/>
  <c r="CI24" i="50"/>
  <c r="CI19" i="50"/>
  <c r="CI37" i="50"/>
  <c r="CI47" i="50"/>
  <c r="CL47" i="46"/>
  <c r="CL38" i="46"/>
  <c r="CL37" i="46"/>
  <c r="CL36" i="46"/>
  <c r="CL35" i="46"/>
  <c r="CL19" i="46"/>
  <c r="CI35" i="48"/>
  <c r="CI38" i="48"/>
  <c r="CI36" i="48"/>
  <c r="CI24" i="48"/>
  <c r="CI19" i="48"/>
  <c r="CI37" i="48"/>
  <c r="CI47" i="48"/>
  <c r="CI37" i="52"/>
  <c r="CI36" i="52"/>
  <c r="CI24" i="52"/>
  <c r="CI19" i="52"/>
  <c r="CI35" i="52"/>
  <c r="CI38" i="52"/>
  <c r="CI47" i="52"/>
  <c r="CI38" i="53"/>
  <c r="CI37" i="53"/>
  <c r="CI36" i="53"/>
  <c r="CI24" i="53"/>
  <c r="CI19" i="53"/>
  <c r="CI35" i="53"/>
  <c r="CI47" i="53"/>
  <c r="CL19" i="47"/>
  <c r="CL47" i="47"/>
  <c r="CL38" i="47"/>
  <c r="CL37" i="47"/>
  <c r="CL36" i="47"/>
  <c r="CL35" i="47"/>
  <c r="CJ38" i="54"/>
  <c r="CJ37" i="54"/>
  <c r="CJ36" i="54"/>
  <c r="CJ35" i="54"/>
  <c r="CJ19" i="54"/>
  <c r="CJ47" i="54"/>
  <c r="F40" i="49"/>
  <c r="CI37" i="44"/>
  <c r="CI38" i="44"/>
  <c r="CI36" i="44"/>
  <c r="CI24" i="44"/>
  <c r="CI19" i="44"/>
  <c r="CI35" i="44"/>
  <c r="CJ38" i="46"/>
  <c r="CJ37" i="46"/>
  <c r="CJ36" i="46"/>
  <c r="CJ35" i="46"/>
  <c r="CJ19" i="46"/>
  <c r="CJ47" i="46"/>
  <c r="CL47" i="52"/>
  <c r="CL38" i="52"/>
  <c r="CL37" i="52"/>
  <c r="CL36" i="52"/>
  <c r="CL35" i="52"/>
  <c r="CL19" i="52"/>
  <c r="CJ38" i="48"/>
  <c r="CJ37" i="48"/>
  <c r="CJ36" i="48"/>
  <c r="CJ35" i="48"/>
  <c r="CJ19" i="48"/>
  <c r="CJ47" i="48"/>
  <c r="CL47" i="48"/>
  <c r="CL38" i="48"/>
  <c r="CL37" i="48"/>
  <c r="CL36" i="48"/>
  <c r="CL35" i="48"/>
  <c r="CL19" i="48"/>
  <c r="CI35" i="54"/>
  <c r="CI36" i="54"/>
  <c r="CI38" i="54"/>
  <c r="CI37" i="54"/>
  <c r="CI24" i="54"/>
  <c r="CI19" i="54"/>
  <c r="CI47" i="54"/>
  <c r="CL47" i="50"/>
  <c r="CL38" i="50"/>
  <c r="CL37" i="50"/>
  <c r="CL36" i="50"/>
  <c r="CL35" i="50"/>
  <c r="CL19" i="50"/>
  <c r="CL19" i="54"/>
  <c r="CL47" i="54"/>
  <c r="CL38" i="54"/>
  <c r="CL37" i="54"/>
  <c r="CL36" i="54"/>
  <c r="CL35" i="54"/>
  <c r="CJ38" i="47"/>
  <c r="CJ37" i="47"/>
  <c r="CJ36" i="47"/>
  <c r="CJ35" i="47"/>
  <c r="CJ19" i="47"/>
  <c r="CJ47" i="47"/>
  <c r="CI37" i="49"/>
  <c r="CI35" i="49"/>
  <c r="CI38" i="49"/>
  <c r="CI24" i="49"/>
  <c r="CI19" i="49"/>
  <c r="CI36" i="49"/>
  <c r="CI47" i="49"/>
  <c r="CJ47" i="49"/>
  <c r="CJ38" i="49"/>
  <c r="CJ37" i="49"/>
  <c r="CJ36" i="49"/>
  <c r="CJ35" i="49"/>
  <c r="CJ19" i="49"/>
  <c r="CJ47" i="51"/>
  <c r="CJ38" i="51"/>
  <c r="CJ37" i="51"/>
  <c r="CJ36" i="51"/>
  <c r="CJ35" i="51"/>
  <c r="CJ19" i="51"/>
  <c r="CL9" i="44"/>
  <c r="CL10" i="44"/>
  <c r="CL8" i="44"/>
  <c r="CN11" i="45"/>
  <c r="Z11" i="44"/>
  <c r="F11" i="44"/>
  <c r="BR11" i="44"/>
  <c r="MO29" i="35"/>
  <c r="NE29" i="35" s="1"/>
  <c r="AV11" i="44"/>
  <c r="AB7" i="33"/>
  <c r="AB8" i="33"/>
  <c r="MU25" i="35"/>
  <c r="NQ25" i="35" s="1"/>
  <c r="MQ25" i="35"/>
  <c r="NI25" i="35" s="1"/>
  <c r="C320" i="19"/>
  <c r="AH7" i="44"/>
  <c r="AB9" i="33"/>
  <c r="AB10" i="33"/>
  <c r="AB40" i="33"/>
  <c r="MT8" i="35"/>
  <c r="NO8" i="35" s="1"/>
  <c r="AP7" i="44"/>
  <c r="BV7" i="44"/>
  <c r="MU7" i="35"/>
  <c r="NQ7" i="35" s="1"/>
  <c r="M16" i="19"/>
  <c r="B296" i="19"/>
  <c r="ML40" i="35"/>
  <c r="MY40" i="35" s="1"/>
  <c r="BZ40" i="33" s="1"/>
  <c r="ML39" i="35"/>
  <c r="MY39" i="35" s="1"/>
  <c r="BX41" i="33" s="1"/>
  <c r="B288" i="19"/>
  <c r="D312" i="19"/>
  <c r="MP23" i="35"/>
  <c r="NG23" i="35" s="1"/>
  <c r="ML34" i="35"/>
  <c r="MY34" i="35" s="1"/>
  <c r="BN7" i="33" s="1"/>
  <c r="D248" i="19"/>
  <c r="MN34" i="35"/>
  <c r="NC34" i="35" s="1"/>
  <c r="B128" i="19"/>
  <c r="B280" i="19"/>
  <c r="ML38" i="35"/>
  <c r="MY38" i="35" s="1"/>
  <c r="ML29" i="35"/>
  <c r="MY29" i="35" s="1"/>
  <c r="BD41" i="33" s="1"/>
  <c r="F64" i="19"/>
  <c r="P11" i="44"/>
  <c r="X11" i="44"/>
  <c r="MR7" i="35"/>
  <c r="NK7" i="35" s="1"/>
  <c r="ML7" i="35"/>
  <c r="MY7" i="35" s="1"/>
  <c r="L10" i="33" s="1"/>
  <c r="AT11" i="44"/>
  <c r="AD11" i="44"/>
  <c r="AN10" i="33"/>
  <c r="AN9" i="33"/>
  <c r="AN40" i="33"/>
  <c r="B240" i="19"/>
  <c r="AN41" i="33"/>
  <c r="AN7" i="33"/>
  <c r="F216" i="19"/>
  <c r="AN11" i="44"/>
  <c r="BL11" i="44"/>
  <c r="AZ11" i="44"/>
  <c r="BB41" i="33"/>
  <c r="BB40" i="33"/>
  <c r="BB10" i="33"/>
  <c r="BB9" i="33"/>
  <c r="BB8" i="33"/>
  <c r="BB7" i="33"/>
  <c r="CL37" i="44"/>
  <c r="CL38" i="44"/>
  <c r="CL47" i="44"/>
  <c r="CL36" i="44"/>
  <c r="CL35" i="44"/>
  <c r="CL19" i="44"/>
  <c r="R41" i="33"/>
  <c r="R10" i="33"/>
  <c r="R9" i="33"/>
  <c r="R8" i="33"/>
  <c r="R7" i="33"/>
  <c r="R40" i="33"/>
  <c r="CK38" i="44"/>
  <c r="CK35" i="44"/>
  <c r="CK37" i="44"/>
  <c r="CK47" i="44"/>
  <c r="CK36" i="44"/>
  <c r="CK19" i="44"/>
  <c r="CL7" i="33"/>
  <c r="CL48" i="33" s="1"/>
  <c r="CJ7" i="33"/>
  <c r="CJ41" i="33" s="1"/>
  <c r="CF41" i="33"/>
  <c r="CF40" i="33"/>
  <c r="CF10" i="33"/>
  <c r="CF9" i="33"/>
  <c r="CF8" i="33"/>
  <c r="CF7" i="33"/>
  <c r="BL7" i="33"/>
  <c r="BL40" i="33"/>
  <c r="BL10" i="33"/>
  <c r="BL8" i="33"/>
  <c r="BL41" i="33"/>
  <c r="BL9" i="33"/>
  <c r="V41" i="33"/>
  <c r="V40" i="33"/>
  <c r="V10" i="33"/>
  <c r="V9" i="33"/>
  <c r="V8" i="33"/>
  <c r="V7" i="33"/>
  <c r="AL41" i="33"/>
  <c r="AL40" i="33"/>
  <c r="AL10" i="33"/>
  <c r="AL9" i="33"/>
  <c r="AL8" i="33"/>
  <c r="AL7" i="33"/>
  <c r="BT7" i="33"/>
  <c r="BT41" i="33"/>
  <c r="BT9" i="33"/>
  <c r="BT40" i="33"/>
  <c r="BT10" i="33"/>
  <c r="BT8" i="33"/>
  <c r="BH41" i="33"/>
  <c r="BH40" i="33"/>
  <c r="BH10" i="33"/>
  <c r="BH9" i="33"/>
  <c r="BH8" i="33"/>
  <c r="BH7" i="33"/>
  <c r="BJ41" i="33"/>
  <c r="BJ40" i="33"/>
  <c r="BJ10" i="33"/>
  <c r="BJ9" i="33"/>
  <c r="BJ8" i="33"/>
  <c r="BJ7" i="33"/>
  <c r="AJ41" i="33"/>
  <c r="AJ40" i="33"/>
  <c r="AJ10" i="33"/>
  <c r="AJ9" i="33"/>
  <c r="AJ8" i="33"/>
  <c r="AJ7" i="33"/>
  <c r="AH41" i="33"/>
  <c r="AH40" i="33"/>
  <c r="AH10" i="33"/>
  <c r="AH9" i="33"/>
  <c r="AH8" i="33"/>
  <c r="AH7" i="33"/>
  <c r="AD41" i="33"/>
  <c r="AD40" i="33"/>
  <c r="AD10" i="33"/>
  <c r="AD9" i="33"/>
  <c r="AD8" i="33"/>
  <c r="AD7" i="33"/>
  <c r="AV7" i="33"/>
  <c r="AV41" i="33"/>
  <c r="AV40" i="33"/>
  <c r="AV10" i="33"/>
  <c r="AV9" i="33"/>
  <c r="AV8" i="33"/>
  <c r="BP41" i="33"/>
  <c r="BP40" i="33"/>
  <c r="BP10" i="33"/>
  <c r="BP9" i="33"/>
  <c r="BP8" i="33"/>
  <c r="BP7" i="33"/>
  <c r="AP7" i="33"/>
  <c r="AP10" i="33"/>
  <c r="AP9" i="33"/>
  <c r="AP41" i="33"/>
  <c r="AP40" i="33"/>
  <c r="AP8" i="33"/>
  <c r="CI7" i="33"/>
  <c r="CI48" i="33" s="1"/>
  <c r="CJ35" i="44"/>
  <c r="CJ19" i="44"/>
  <c r="CJ38" i="44"/>
  <c r="CJ37" i="44"/>
  <c r="CJ47" i="44"/>
  <c r="CJ36" i="44"/>
  <c r="AT41" i="33"/>
  <c r="AT40" i="33"/>
  <c r="AT10" i="33"/>
  <c r="AT9" i="33"/>
  <c r="AT8" i="33"/>
  <c r="AT7" i="33"/>
  <c r="E16" i="19"/>
  <c r="CI47" i="44"/>
  <c r="AX7" i="44"/>
  <c r="CB7" i="44"/>
  <c r="CJ7" i="44"/>
  <c r="R11" i="44"/>
  <c r="BH11" i="44"/>
  <c r="CL48" i="44"/>
  <c r="CL41" i="44"/>
  <c r="CL40" i="44"/>
  <c r="CD7" i="44"/>
  <c r="BT7" i="44"/>
  <c r="BP7" i="44"/>
  <c r="BX7" i="44"/>
  <c r="N7" i="44"/>
  <c r="AR7" i="44"/>
  <c r="J7" i="44"/>
  <c r="CK7" i="44"/>
  <c r="D43" i="44"/>
  <c r="L11" i="44"/>
  <c r="CF7" i="44"/>
  <c r="V7" i="44"/>
  <c r="BB11" i="44"/>
  <c r="AL11" i="44"/>
  <c r="BZ11" i="44"/>
  <c r="BN7" i="44"/>
  <c r="AB7" i="44"/>
  <c r="BJ7" i="44"/>
  <c r="AF7" i="44"/>
  <c r="CI48" i="44"/>
  <c r="J8" i="19"/>
  <c r="MS25" i="35"/>
  <c r="NM25" i="35" s="1"/>
  <c r="I8" i="19"/>
  <c r="G8" i="19"/>
  <c r="MR30" i="35"/>
  <c r="NK30" i="35" s="1"/>
  <c r="M8" i="19"/>
  <c r="L8" i="19"/>
  <c r="E152" i="19"/>
  <c r="G120" i="19"/>
  <c r="I280" i="19"/>
  <c r="F32" i="19"/>
  <c r="GU2" i="35"/>
  <c r="E136" i="19"/>
  <c r="F208" i="19"/>
  <c r="MR42" i="35"/>
  <c r="NK42" i="35" s="1"/>
  <c r="H136" i="19"/>
  <c r="MS42" i="35"/>
  <c r="NM42" i="35" s="1"/>
  <c r="C24" i="19"/>
  <c r="K56" i="19"/>
  <c r="MV40" i="35"/>
  <c r="NS40" i="35" s="1"/>
  <c r="MS27" i="35"/>
  <c r="NM27" i="35" s="1"/>
  <c r="I104" i="19"/>
  <c r="H16" i="19"/>
  <c r="CJ37" i="33"/>
  <c r="CJ35" i="33"/>
  <c r="CJ19" i="33"/>
  <c r="CJ47" i="33"/>
  <c r="CJ36" i="33"/>
  <c r="CJ38" i="33"/>
  <c r="CL37" i="33"/>
  <c r="CL47" i="33"/>
  <c r="CL36" i="33"/>
  <c r="CL35" i="33"/>
  <c r="CL19" i="33"/>
  <c r="CL38" i="33"/>
  <c r="CI37" i="33"/>
  <c r="CI36" i="33"/>
  <c r="CI35" i="33"/>
  <c r="CI24" i="33"/>
  <c r="CI19" i="33"/>
  <c r="CI47" i="33"/>
  <c r="CI38" i="33"/>
  <c r="DU4" i="19"/>
  <c r="CK7" i="45" s="1"/>
  <c r="L40" i="19"/>
  <c r="MO38" i="35"/>
  <c r="NE38" i="35" s="1"/>
  <c r="J248" i="19"/>
  <c r="CB11" i="33"/>
  <c r="F40" i="19"/>
  <c r="ML26" i="35"/>
  <c r="MY26" i="35" s="1"/>
  <c r="H56" i="19"/>
  <c r="MR14" i="35"/>
  <c r="NK14" i="35" s="1"/>
  <c r="MO13" i="35"/>
  <c r="NE13" i="35" s="1"/>
  <c r="M80" i="19"/>
  <c r="MV22" i="35"/>
  <c r="NS22" i="35" s="1"/>
  <c r="MQ23" i="35"/>
  <c r="NI23" i="35" s="1"/>
  <c r="MV30" i="35"/>
  <c r="NS30" i="35" s="1"/>
  <c r="MQ38" i="35"/>
  <c r="NI38" i="35" s="1"/>
  <c r="MO9" i="35"/>
  <c r="NE9" i="35" s="1"/>
  <c r="I160" i="19"/>
  <c r="L120" i="19"/>
  <c r="MW7" i="35"/>
  <c r="NU7" i="35" s="1"/>
  <c r="MW23" i="35"/>
  <c r="NU23" i="35" s="1"/>
  <c r="MV20" i="35"/>
  <c r="NS20" i="35" s="1"/>
  <c r="B168" i="19"/>
  <c r="MR18" i="35"/>
  <c r="NK18" i="35" s="1"/>
  <c r="K264" i="19"/>
  <c r="MP36" i="35"/>
  <c r="NG36" i="35" s="1"/>
  <c r="MN11" i="35"/>
  <c r="NC11" i="35" s="1"/>
  <c r="MV33" i="35"/>
  <c r="NS33" i="35" s="1"/>
  <c r="H192" i="19"/>
  <c r="F8" i="19"/>
  <c r="J264" i="19"/>
  <c r="MT7" i="35"/>
  <c r="NO7" i="35" s="1"/>
  <c r="MV25" i="35"/>
  <c r="NS25" i="35" s="1"/>
  <c r="L312" i="19"/>
  <c r="F128" i="19"/>
  <c r="F24" i="19"/>
  <c r="MV29" i="35"/>
  <c r="NS29" i="35" s="1"/>
  <c r="MW42" i="35"/>
  <c r="NU42" i="35" s="1"/>
  <c r="MR40" i="35"/>
  <c r="NK40" i="35" s="1"/>
  <c r="MR13" i="35"/>
  <c r="NK13" i="35" s="1"/>
  <c r="MP20" i="35"/>
  <c r="NG20" i="35" s="1"/>
  <c r="MP25" i="35"/>
  <c r="NG25" i="35" s="1"/>
  <c r="L264" i="19"/>
  <c r="ML23" i="35"/>
  <c r="MY23" i="35" s="1"/>
  <c r="K8" i="19"/>
  <c r="MR36" i="35"/>
  <c r="NK36" i="35" s="1"/>
  <c r="ML36" i="35"/>
  <c r="MY36" i="35" s="1"/>
  <c r="MR12" i="35"/>
  <c r="NK12" i="35" s="1"/>
  <c r="MW6" i="35"/>
  <c r="NU6" i="35" s="1"/>
  <c r="I216" i="19"/>
  <c r="MV39" i="35"/>
  <c r="NS39" i="35" s="1"/>
  <c r="J312" i="19"/>
  <c r="D192" i="19"/>
  <c r="ML27" i="35"/>
  <c r="MY27" i="35" s="1"/>
  <c r="MR26" i="35"/>
  <c r="NK26" i="35" s="1"/>
  <c r="E312" i="19"/>
  <c r="MV23" i="35"/>
  <c r="NS23" i="35" s="1"/>
  <c r="MS13" i="35"/>
  <c r="NM13" i="35" s="1"/>
  <c r="M296" i="19"/>
  <c r="MV13" i="35"/>
  <c r="NS13" i="35" s="1"/>
  <c r="MT29" i="35"/>
  <c r="NO29" i="35" s="1"/>
  <c r="MO23" i="35"/>
  <c r="NE23" i="35" s="1"/>
  <c r="MQ10" i="35"/>
  <c r="NI10" i="35" s="1"/>
  <c r="MW26" i="35"/>
  <c r="NU26" i="35" s="1"/>
  <c r="F48" i="19"/>
  <c r="I32" i="19"/>
  <c r="H280" i="19"/>
  <c r="MR39" i="35"/>
  <c r="NK39" i="35" s="1"/>
  <c r="MU23" i="35"/>
  <c r="NQ23" i="35" s="1"/>
  <c r="H8" i="19"/>
  <c r="MR25" i="35"/>
  <c r="NK25" i="35" s="1"/>
  <c r="MT19" i="35"/>
  <c r="NO19" i="35" s="1"/>
  <c r="B152" i="19"/>
  <c r="H104" i="19"/>
  <c r="MW12" i="35"/>
  <c r="NU12" i="35" s="1"/>
  <c r="MS20" i="35"/>
  <c r="NM20" i="35" s="1"/>
  <c r="MO36" i="35"/>
  <c r="NE36" i="35" s="1"/>
  <c r="MO10" i="35"/>
  <c r="NE10" i="35" s="1"/>
  <c r="MS26" i="35"/>
  <c r="NM26" i="35" s="1"/>
  <c r="MV12" i="35"/>
  <c r="NS12" i="35" s="1"/>
  <c r="MT38" i="35"/>
  <c r="NO38" i="35" s="1"/>
  <c r="J136" i="19"/>
  <c r="MS39" i="35"/>
  <c r="NM39" i="35" s="1"/>
  <c r="I296" i="19"/>
  <c r="B176" i="19"/>
  <c r="MO26" i="35"/>
  <c r="NE26" i="35" s="1"/>
  <c r="I264" i="19"/>
  <c r="MO17" i="35"/>
  <c r="NE17" i="35" s="1"/>
  <c r="L48" i="19"/>
  <c r="MQ42" i="35"/>
  <c r="NI42" i="35" s="1"/>
  <c r="K288" i="19"/>
  <c r="B136" i="19"/>
  <c r="MT33" i="35"/>
  <c r="NO33" i="35" s="1"/>
  <c r="L88" i="19"/>
  <c r="MR29" i="35"/>
  <c r="NK29" i="35" s="1"/>
  <c r="K72" i="19"/>
  <c r="MV7" i="35"/>
  <c r="NS7" i="35" s="1"/>
  <c r="E40" i="19"/>
  <c r="MW29" i="35"/>
  <c r="NU29" i="35" s="1"/>
  <c r="H168" i="19"/>
  <c r="MR6" i="35"/>
  <c r="NK6" i="35" s="1"/>
  <c r="E296" i="19"/>
  <c r="MQ40" i="35"/>
  <c r="NI40" i="35" s="1"/>
  <c r="MT30" i="35"/>
  <c r="NO30" i="35" s="1"/>
  <c r="MS8" i="35"/>
  <c r="NM8" i="35" s="1"/>
  <c r="L280" i="19"/>
  <c r="MO34" i="35"/>
  <c r="NE34" i="35" s="1"/>
  <c r="MQ29" i="35"/>
  <c r="NI29" i="35" s="1"/>
  <c r="J24" i="19"/>
  <c r="MU38" i="35"/>
  <c r="NQ38" i="35" s="1"/>
  <c r="MU20" i="35"/>
  <c r="NQ20" i="35" s="1"/>
  <c r="ML11" i="35"/>
  <c r="MY11" i="35" s="1"/>
  <c r="MV10" i="35"/>
  <c r="NS10" i="35" s="1"/>
  <c r="MV11" i="35"/>
  <c r="NS11" i="35" s="1"/>
  <c r="ML17" i="35"/>
  <c r="MY17" i="35" s="1"/>
  <c r="MR8" i="35"/>
  <c r="NK8" i="35" s="1"/>
  <c r="MR34" i="35"/>
  <c r="NK34" i="35" s="1"/>
  <c r="MS9" i="35"/>
  <c r="NM9" i="35" s="1"/>
  <c r="MO27" i="35"/>
  <c r="NE27" i="35" s="1"/>
  <c r="H128" i="19"/>
  <c r="MW25" i="35"/>
  <c r="NU25" i="35" s="1"/>
  <c r="MU11" i="35"/>
  <c r="NQ11" i="35" s="1"/>
  <c r="E8" i="19"/>
  <c r="MP27" i="35"/>
  <c r="NG27" i="35" s="1"/>
  <c r="MS22" i="35"/>
  <c r="NM22" i="35" s="1"/>
  <c r="MP26" i="35"/>
  <c r="NG26" i="35" s="1"/>
  <c r="MS33" i="35"/>
  <c r="NM33" i="35" s="1"/>
  <c r="MT27" i="35"/>
  <c r="NO27" i="35" s="1"/>
  <c r="MW20" i="35"/>
  <c r="NU20" i="35" s="1"/>
  <c r="MW14" i="35"/>
  <c r="NU14" i="35" s="1"/>
  <c r="I128" i="19"/>
  <c r="MW22" i="35"/>
  <c r="NU22" i="35" s="1"/>
  <c r="MW34" i="35"/>
  <c r="NU34" i="35" s="1"/>
  <c r="ML30" i="35"/>
  <c r="MY30" i="35" s="1"/>
  <c r="MS24" i="35"/>
  <c r="NM24" i="35" s="1"/>
  <c r="E240" i="19"/>
  <c r="MV19" i="35"/>
  <c r="NS19" i="35" s="1"/>
  <c r="MW11" i="35"/>
  <c r="NU11" i="35" s="1"/>
  <c r="MU42" i="35"/>
  <c r="NQ42" i="35" s="1"/>
  <c r="J80" i="19"/>
  <c r="MT25" i="35"/>
  <c r="NO25" i="35" s="1"/>
  <c r="MV27" i="35"/>
  <c r="NS27" i="35" s="1"/>
  <c r="MW39" i="35"/>
  <c r="NU39" i="35" s="1"/>
  <c r="MO24" i="35"/>
  <c r="NE24" i="35" s="1"/>
  <c r="MU19" i="35"/>
  <c r="NQ19" i="35" s="1"/>
  <c r="I88" i="19"/>
  <c r="MV6" i="35"/>
  <c r="NS6" i="35" s="1"/>
  <c r="MV34" i="35"/>
  <c r="NS34" i="35" s="1"/>
  <c r="MS34" i="35"/>
  <c r="NM34" i="35" s="1"/>
  <c r="J64" i="19"/>
  <c r="MT23" i="35"/>
  <c r="NO23" i="35" s="1"/>
  <c r="MP12" i="35"/>
  <c r="NG12" i="35" s="1"/>
  <c r="MR23" i="35"/>
  <c r="NK23" i="35" s="1"/>
  <c r="MR11" i="35"/>
  <c r="NK11" i="35" s="1"/>
  <c r="MW19" i="35"/>
  <c r="NU19" i="35" s="1"/>
  <c r="MV17" i="35"/>
  <c r="NS17" i="35" s="1"/>
  <c r="E64" i="19"/>
  <c r="MN5" i="35"/>
  <c r="NC5" i="35" s="1"/>
  <c r="MV24" i="35"/>
  <c r="NS24" i="35" s="1"/>
  <c r="B56" i="19"/>
  <c r="MW33" i="35"/>
  <c r="NU33" i="35" s="1"/>
  <c r="MW10" i="35"/>
  <c r="NU10" i="35" s="1"/>
  <c r="MO25" i="35"/>
  <c r="NE25" i="35" s="1"/>
  <c r="B104" i="19"/>
  <c r="MV26" i="35"/>
  <c r="NS26" i="35" s="1"/>
  <c r="MO30" i="35"/>
  <c r="NE30" i="35" s="1"/>
  <c r="M264" i="19"/>
  <c r="MO19" i="35"/>
  <c r="NE19" i="35" s="1"/>
  <c r="I120" i="19"/>
  <c r="G152" i="19"/>
  <c r="MU33" i="35"/>
  <c r="NQ33" i="35" s="1"/>
  <c r="MW38" i="35"/>
  <c r="NU38" i="35" s="1"/>
  <c r="B120" i="19"/>
  <c r="MQ11" i="35"/>
  <c r="NI11" i="35" s="1"/>
  <c r="K296" i="19"/>
  <c r="M40" i="19"/>
  <c r="MT26" i="35"/>
  <c r="NO26" i="35" s="1"/>
  <c r="MT40" i="35"/>
  <c r="NO40" i="35" s="1"/>
  <c r="ML9" i="35"/>
  <c r="MY9" i="35" s="1"/>
  <c r="J88" i="19"/>
  <c r="MR9" i="35"/>
  <c r="NK9" i="35" s="1"/>
  <c r="MU30" i="35"/>
  <c r="NQ30" i="35" s="1"/>
  <c r="MU22" i="35"/>
  <c r="NQ22" i="35" s="1"/>
  <c r="MU14" i="35"/>
  <c r="NQ14" i="35" s="1"/>
  <c r="MO14" i="35"/>
  <c r="NE14" i="35" s="1"/>
  <c r="B8" i="19"/>
  <c r="E104" i="19"/>
  <c r="MS17" i="35"/>
  <c r="NM17" i="35" s="1"/>
  <c r="MR17" i="35"/>
  <c r="NK17" i="35" s="1"/>
  <c r="MU13" i="35"/>
  <c r="NQ13" i="35" s="1"/>
  <c r="MU8" i="35"/>
  <c r="NQ8" i="35" s="1"/>
  <c r="MS29" i="35"/>
  <c r="NM29" i="35" s="1"/>
  <c r="L104" i="19"/>
  <c r="K24" i="19"/>
  <c r="MQ19" i="35"/>
  <c r="NI19" i="35" s="1"/>
  <c r="I64" i="19"/>
  <c r="E120" i="19"/>
  <c r="J56" i="19"/>
  <c r="I72" i="19"/>
  <c r="K248" i="19"/>
  <c r="MU29" i="35"/>
  <c r="NQ29" i="35" s="1"/>
  <c r="MS10" i="35"/>
  <c r="NM10" i="35" s="1"/>
  <c r="MR33" i="35"/>
  <c r="NK33" i="35" s="1"/>
  <c r="MU26" i="35"/>
  <c r="NQ26" i="35" s="1"/>
  <c r="MT22" i="35"/>
  <c r="NO22" i="35" s="1"/>
  <c r="MT39" i="35"/>
  <c r="NO39" i="35" s="1"/>
  <c r="MR22" i="35"/>
  <c r="NK22" i="35" s="1"/>
  <c r="MW30" i="35"/>
  <c r="NU30" i="35" s="1"/>
  <c r="MQ13" i="35"/>
  <c r="NI13" i="35" s="1"/>
  <c r="MW27" i="35"/>
  <c r="NU27" i="35" s="1"/>
  <c r="I24" i="19"/>
  <c r="MS6" i="35"/>
  <c r="NM6" i="35" s="1"/>
  <c r="B312" i="19"/>
  <c r="ML42" i="35"/>
  <c r="MY42" i="35" s="1"/>
  <c r="F80" i="19"/>
  <c r="MP13" i="35"/>
  <c r="NG13" i="35" s="1"/>
  <c r="B88" i="19"/>
  <c r="ML14" i="35"/>
  <c r="MY14" i="35" s="1"/>
  <c r="B40" i="19"/>
  <c r="ML8" i="35"/>
  <c r="MY8" i="35" s="1"/>
  <c r="G88" i="19"/>
  <c r="MQ14" i="35"/>
  <c r="NI14" i="35" s="1"/>
  <c r="F288" i="19"/>
  <c r="MP39" i="35"/>
  <c r="NG39" i="35" s="1"/>
  <c r="M112" i="19"/>
  <c r="MW17" i="35"/>
  <c r="NU17" i="35" s="1"/>
  <c r="E288" i="19"/>
  <c r="MO39" i="35"/>
  <c r="NE39" i="35" s="1"/>
  <c r="F296" i="19"/>
  <c r="MP40" i="35"/>
  <c r="NG40" i="35" s="1"/>
  <c r="F280" i="19"/>
  <c r="MP38" i="35"/>
  <c r="NG38" i="35" s="1"/>
  <c r="F88" i="19"/>
  <c r="MP14" i="35"/>
  <c r="NG14" i="35" s="1"/>
  <c r="F120" i="19"/>
  <c r="MP18" i="35"/>
  <c r="NG18" i="35" s="1"/>
  <c r="E72" i="19"/>
  <c r="MO12" i="35"/>
  <c r="NE12" i="35" s="1"/>
  <c r="F104" i="19"/>
  <c r="MP16" i="35"/>
  <c r="NG16" i="35" s="1"/>
  <c r="J120" i="19"/>
  <c r="MT18" i="35"/>
  <c r="NO18" i="35" s="1"/>
  <c r="M120" i="19"/>
  <c r="MW18" i="35"/>
  <c r="NU18" i="35" s="1"/>
  <c r="K120" i="19"/>
  <c r="MU18" i="35"/>
  <c r="NQ18" i="35" s="1"/>
  <c r="M168" i="19"/>
  <c r="MW24" i="35"/>
  <c r="NU24" i="35" s="1"/>
  <c r="B80" i="19"/>
  <c r="ML13" i="35"/>
  <c r="MY13" i="35" s="1"/>
  <c r="G112" i="19"/>
  <c r="MQ17" i="35"/>
  <c r="NI17" i="35" s="1"/>
  <c r="G104" i="19"/>
  <c r="MQ16" i="35"/>
  <c r="NI16" i="35" s="1"/>
  <c r="G24" i="19"/>
  <c r="MQ6" i="35"/>
  <c r="NI6" i="35" s="1"/>
  <c r="G72" i="19"/>
  <c r="MQ12" i="35"/>
  <c r="NI12" i="35" s="1"/>
  <c r="J168" i="19"/>
  <c r="MT24" i="35"/>
  <c r="NO24" i="35" s="1"/>
  <c r="G264" i="19"/>
  <c r="MQ36" i="35"/>
  <c r="NI36" i="35" s="1"/>
  <c r="E24" i="19"/>
  <c r="MO6" i="35"/>
  <c r="NE6" i="35" s="1"/>
  <c r="J72" i="19"/>
  <c r="MT12" i="35"/>
  <c r="NO12" i="35" s="1"/>
  <c r="F112" i="19"/>
  <c r="MP17" i="35"/>
  <c r="NG17" i="35" s="1"/>
  <c r="G32" i="19"/>
  <c r="MQ7" i="35"/>
  <c r="NI7" i="35" s="1"/>
  <c r="G168" i="19"/>
  <c r="MQ24" i="35"/>
  <c r="NI24" i="35" s="1"/>
  <c r="K104" i="19"/>
  <c r="MU16" i="35"/>
  <c r="NQ16" i="35" s="1"/>
  <c r="F168" i="19"/>
  <c r="MP24" i="35"/>
  <c r="NG24" i="35" s="1"/>
  <c r="G248" i="19"/>
  <c r="MQ34" i="35"/>
  <c r="NI34" i="35" s="1"/>
  <c r="F248" i="19"/>
  <c r="MP34" i="35"/>
  <c r="NG34" i="35" s="1"/>
  <c r="J112" i="19"/>
  <c r="MT17" i="35"/>
  <c r="NO17" i="35" s="1"/>
  <c r="G48" i="19"/>
  <c r="MQ9" i="35"/>
  <c r="NI9" i="35" s="1"/>
  <c r="K168" i="19"/>
  <c r="MU24" i="35"/>
  <c r="NQ24" i="35" s="1"/>
  <c r="M48" i="19"/>
  <c r="MW9" i="35"/>
  <c r="NU9" i="35" s="1"/>
  <c r="J48" i="19"/>
  <c r="MT9" i="35"/>
  <c r="NO9" i="35" s="1"/>
  <c r="F152" i="19"/>
  <c r="MP22" i="35"/>
  <c r="NG22" i="35" s="1"/>
  <c r="F312" i="19"/>
  <c r="MP42" i="35"/>
  <c r="NG42" i="35" s="1"/>
  <c r="G136" i="19"/>
  <c r="MQ20" i="35"/>
  <c r="NI20" i="35" s="1"/>
  <c r="G184" i="19"/>
  <c r="MQ26" i="35"/>
  <c r="NI26" i="35" s="1"/>
  <c r="F240" i="19"/>
  <c r="MP33" i="35"/>
  <c r="NG33" i="35" s="1"/>
  <c r="J104" i="19"/>
  <c r="MT16" i="35"/>
  <c r="NO16" i="35" s="1"/>
  <c r="K48" i="19"/>
  <c r="MU9" i="35"/>
  <c r="NQ9" i="35" s="1"/>
  <c r="M104" i="19"/>
  <c r="MW16" i="35"/>
  <c r="NU16" i="35" s="1"/>
  <c r="K112" i="19"/>
  <c r="MU17" i="35"/>
  <c r="NQ17" i="35" s="1"/>
  <c r="E32" i="19"/>
  <c r="MO7" i="35"/>
  <c r="NE7" i="35" s="1"/>
  <c r="G240" i="19"/>
  <c r="MQ33" i="35"/>
  <c r="NI33" i="35" s="1"/>
  <c r="G288" i="19"/>
  <c r="MQ39" i="35"/>
  <c r="NI39" i="35" s="1"/>
  <c r="F56" i="19"/>
  <c r="MP10" i="35"/>
  <c r="NG10" i="35" s="1"/>
  <c r="G216" i="19"/>
  <c r="MQ30" i="35"/>
  <c r="NI30" i="35" s="1"/>
  <c r="G40" i="19"/>
  <c r="MQ8" i="35"/>
  <c r="NI8" i="35" s="1"/>
  <c r="BL8" i="45" l="1"/>
  <c r="BL7" i="45"/>
  <c r="H11" i="48"/>
  <c r="F40" i="51"/>
  <c r="F10" i="51"/>
  <c r="F41" i="51"/>
  <c r="F8" i="46"/>
  <c r="F41" i="46"/>
  <c r="F7" i="46"/>
  <c r="F7" i="51"/>
  <c r="F9" i="46"/>
  <c r="F8" i="51"/>
  <c r="F10" i="46"/>
  <c r="F41" i="54"/>
  <c r="F41" i="48"/>
  <c r="F8" i="48"/>
  <c r="CL11" i="51"/>
  <c r="CL11" i="50"/>
  <c r="CL11" i="47"/>
  <c r="CL11" i="46"/>
  <c r="F9" i="48"/>
  <c r="F10" i="48"/>
  <c r="F7" i="52"/>
  <c r="F41" i="53"/>
  <c r="CL11" i="45"/>
  <c r="F40" i="48"/>
  <c r="F9" i="52"/>
  <c r="F40" i="52"/>
  <c r="F41" i="52"/>
  <c r="F8" i="52"/>
  <c r="CL11" i="49"/>
  <c r="F7" i="53"/>
  <c r="F9" i="53"/>
  <c r="F10" i="53"/>
  <c r="F8" i="53"/>
  <c r="F9" i="50"/>
  <c r="F41" i="33"/>
  <c r="F7" i="50"/>
  <c r="F7" i="54"/>
  <c r="F9" i="49"/>
  <c r="CL11" i="54"/>
  <c r="CL11" i="52"/>
  <c r="CI11" i="46"/>
  <c r="CL11" i="48"/>
  <c r="CL11" i="53"/>
  <c r="CI11" i="54"/>
  <c r="F9" i="47"/>
  <c r="CJ11" i="54"/>
  <c r="CI11" i="48"/>
  <c r="CI11" i="50"/>
  <c r="CI11" i="47"/>
  <c r="CJ11" i="46"/>
  <c r="CI11" i="45"/>
  <c r="CJ11" i="45"/>
  <c r="CK10" i="45"/>
  <c r="CK40" i="45"/>
  <c r="B40" i="45" s="1"/>
  <c r="CK9" i="45"/>
  <c r="CK48" i="45"/>
  <c r="CK8" i="45"/>
  <c r="CK41" i="45"/>
  <c r="B41" i="45" s="1"/>
  <c r="D41" i="45" s="1"/>
  <c r="CJ11" i="48"/>
  <c r="CJ11" i="49"/>
  <c r="CJ11" i="51"/>
  <c r="CJ11" i="50"/>
  <c r="CJ11" i="53"/>
  <c r="CI11" i="52"/>
  <c r="CJ11" i="47"/>
  <c r="CI11" i="53"/>
  <c r="CJ11" i="52"/>
  <c r="CI11" i="49"/>
  <c r="CI11" i="51"/>
  <c r="B7" i="45"/>
  <c r="F8" i="50"/>
  <c r="F40" i="50"/>
  <c r="F8" i="54"/>
  <c r="F40" i="54"/>
  <c r="F10" i="49"/>
  <c r="F7" i="47"/>
  <c r="F40" i="47"/>
  <c r="F10" i="50"/>
  <c r="F9" i="54"/>
  <c r="F41" i="49"/>
  <c r="F10" i="47"/>
  <c r="F41" i="47"/>
  <c r="F8" i="33"/>
  <c r="F7" i="49"/>
  <c r="F9" i="33"/>
  <c r="F10" i="33"/>
  <c r="F7" i="33"/>
  <c r="BF11" i="44"/>
  <c r="BF11" i="50"/>
  <c r="Z11" i="45"/>
  <c r="AP11" i="45"/>
  <c r="BB11" i="53"/>
  <c r="AN11" i="52"/>
  <c r="BJ11" i="47"/>
  <c r="AB11" i="51"/>
  <c r="P11" i="47"/>
  <c r="AL11" i="46"/>
  <c r="BD11" i="47"/>
  <c r="AJ11" i="49"/>
  <c r="BL11" i="46"/>
  <c r="AZ11" i="52"/>
  <c r="CF11" i="45"/>
  <c r="CF11" i="46"/>
  <c r="CF11" i="49"/>
  <c r="CD11" i="53"/>
  <c r="BT11" i="51"/>
  <c r="BD11" i="45"/>
  <c r="CB11" i="52"/>
  <c r="BV11" i="50"/>
  <c r="N11" i="53"/>
  <c r="AB11" i="52"/>
  <c r="T11" i="46"/>
  <c r="T11" i="50"/>
  <c r="BB11" i="46"/>
  <c r="BT11" i="52"/>
  <c r="BH11" i="52"/>
  <c r="BP11" i="49"/>
  <c r="BH11" i="45"/>
  <c r="BB11" i="51"/>
  <c r="BF11" i="45"/>
  <c r="AH11" i="53"/>
  <c r="L11" i="50"/>
  <c r="X11" i="45"/>
  <c r="AJ11" i="45"/>
  <c r="AN11" i="51"/>
  <c r="CB11" i="46"/>
  <c r="BJ11" i="52"/>
  <c r="BV11" i="45"/>
  <c r="N11" i="54"/>
  <c r="AD11" i="46"/>
  <c r="V11" i="52"/>
  <c r="R11" i="51"/>
  <c r="CB11" i="50"/>
  <c r="AB11" i="49"/>
  <c r="BF11" i="47"/>
  <c r="BB11" i="47"/>
  <c r="L11" i="45"/>
  <c r="AB11" i="47"/>
  <c r="AB11" i="54"/>
  <c r="CF11" i="54"/>
  <c r="R10" i="47"/>
  <c r="R9" i="47"/>
  <c r="R41" i="47"/>
  <c r="R8" i="47"/>
  <c r="R40" i="47"/>
  <c r="R7" i="47"/>
  <c r="AL41" i="48"/>
  <c r="AL10" i="48"/>
  <c r="AL9" i="48"/>
  <c r="AL8" i="48"/>
  <c r="AL40" i="48"/>
  <c r="AL7" i="48"/>
  <c r="BN10" i="47"/>
  <c r="BN9" i="47"/>
  <c r="BN41" i="47"/>
  <c r="BN8" i="47"/>
  <c r="BN40" i="47"/>
  <c r="BN7" i="47"/>
  <c r="AT10" i="51"/>
  <c r="AT9" i="51"/>
  <c r="AT41" i="51"/>
  <c r="AT8" i="51"/>
  <c r="AT40" i="51"/>
  <c r="AT7" i="51"/>
  <c r="AD41" i="47"/>
  <c r="AD8" i="47"/>
  <c r="AD40" i="47"/>
  <c r="AD10" i="47"/>
  <c r="AD9" i="47"/>
  <c r="AD7" i="47"/>
  <c r="BL9" i="49"/>
  <c r="BL41" i="49"/>
  <c r="BL8" i="49"/>
  <c r="BL40" i="49"/>
  <c r="BL10" i="49"/>
  <c r="BL7" i="49"/>
  <c r="AP10" i="52"/>
  <c r="AP9" i="52"/>
  <c r="AP41" i="52"/>
  <c r="AP40" i="52"/>
  <c r="AP8" i="52"/>
  <c r="AP7" i="52"/>
  <c r="AJ9" i="54"/>
  <c r="AJ41" i="54"/>
  <c r="AJ8" i="54"/>
  <c r="AJ40" i="54"/>
  <c r="AJ10" i="54"/>
  <c r="AJ7" i="54"/>
  <c r="CD10" i="52"/>
  <c r="CD9" i="52"/>
  <c r="CD41" i="52"/>
  <c r="CD40" i="52"/>
  <c r="CD8" i="52"/>
  <c r="CD7" i="52"/>
  <c r="AZ40" i="46"/>
  <c r="AZ10" i="46"/>
  <c r="AZ9" i="46"/>
  <c r="AZ41" i="46"/>
  <c r="AZ8" i="46"/>
  <c r="AZ7" i="46"/>
  <c r="BN41" i="46"/>
  <c r="BN8" i="46"/>
  <c r="BN40" i="46"/>
  <c r="BN10" i="46"/>
  <c r="BN9" i="46"/>
  <c r="BN7" i="46"/>
  <c r="BD9" i="49"/>
  <c r="BD41" i="49"/>
  <c r="BD8" i="49"/>
  <c r="BD40" i="49"/>
  <c r="BD10" i="49"/>
  <c r="BD7" i="49"/>
  <c r="AX10" i="50"/>
  <c r="AX9" i="50"/>
  <c r="AX40" i="50"/>
  <c r="AX8" i="50"/>
  <c r="AX41" i="50"/>
  <c r="AX7" i="50"/>
  <c r="R41" i="48"/>
  <c r="R8" i="48"/>
  <c r="R40" i="48"/>
  <c r="R10" i="48"/>
  <c r="R9" i="48"/>
  <c r="R7" i="48"/>
  <c r="BZ10" i="49"/>
  <c r="BZ9" i="49"/>
  <c r="BZ41" i="49"/>
  <c r="BZ8" i="49"/>
  <c r="BZ40" i="49"/>
  <c r="BZ7" i="49"/>
  <c r="T9" i="45"/>
  <c r="T41" i="45"/>
  <c r="T40" i="45"/>
  <c r="T10" i="45"/>
  <c r="T8" i="45"/>
  <c r="T7" i="45"/>
  <c r="BF41" i="53"/>
  <c r="BF40" i="53"/>
  <c r="BF10" i="53"/>
  <c r="BF9" i="53"/>
  <c r="BF8" i="53"/>
  <c r="BF7" i="53"/>
  <c r="X9" i="46"/>
  <c r="X41" i="46"/>
  <c r="X8" i="46"/>
  <c r="X40" i="46"/>
  <c r="X10" i="46"/>
  <c r="X7" i="46"/>
  <c r="BZ10" i="53"/>
  <c r="BZ9" i="53"/>
  <c r="BZ41" i="53"/>
  <c r="BZ8" i="53"/>
  <c r="BZ40" i="53"/>
  <c r="BZ7" i="53"/>
  <c r="N10" i="51"/>
  <c r="N9" i="51"/>
  <c r="N41" i="51"/>
  <c r="N40" i="51"/>
  <c r="N8" i="51"/>
  <c r="N7" i="51"/>
  <c r="AF40" i="52"/>
  <c r="AF10" i="52"/>
  <c r="AF41" i="52"/>
  <c r="AF9" i="52"/>
  <c r="AF8" i="52"/>
  <c r="AF7" i="52"/>
  <c r="P40" i="54"/>
  <c r="P10" i="54"/>
  <c r="P9" i="54"/>
  <c r="P41" i="54"/>
  <c r="P8" i="54"/>
  <c r="P7" i="54"/>
  <c r="AT41" i="47"/>
  <c r="AT8" i="47"/>
  <c r="AT40" i="47"/>
  <c r="AT10" i="47"/>
  <c r="AT9" i="47"/>
  <c r="AT7" i="47"/>
  <c r="AT41" i="54"/>
  <c r="AT8" i="54"/>
  <c r="AT40" i="54"/>
  <c r="AT10" i="54"/>
  <c r="AT9" i="54"/>
  <c r="AT7" i="54"/>
  <c r="AJ41" i="48"/>
  <c r="AJ40" i="48"/>
  <c r="AJ10" i="48"/>
  <c r="AJ9" i="48"/>
  <c r="AJ8" i="48"/>
  <c r="AJ7" i="48"/>
  <c r="AV9" i="46"/>
  <c r="AV41" i="46"/>
  <c r="AV8" i="46"/>
  <c r="AV40" i="46"/>
  <c r="AV10" i="46"/>
  <c r="AV7" i="46"/>
  <c r="AR40" i="51"/>
  <c r="AR10" i="51"/>
  <c r="AR9" i="51"/>
  <c r="AR41" i="51"/>
  <c r="AR8" i="51"/>
  <c r="AR7" i="51"/>
  <c r="BX9" i="54"/>
  <c r="BX41" i="54"/>
  <c r="BX8" i="54"/>
  <c r="BX40" i="54"/>
  <c r="BX10" i="54"/>
  <c r="BX7" i="54"/>
  <c r="BL40" i="50"/>
  <c r="BL10" i="50"/>
  <c r="BL41" i="50"/>
  <c r="BL9" i="50"/>
  <c r="BL8" i="50"/>
  <c r="BL7" i="50"/>
  <c r="AL41" i="52"/>
  <c r="AL8" i="52"/>
  <c r="AL40" i="52"/>
  <c r="AL10" i="52"/>
  <c r="AL9" i="52"/>
  <c r="AL7" i="52"/>
  <c r="BD40" i="54"/>
  <c r="BD10" i="54"/>
  <c r="BD9" i="54"/>
  <c r="BD41" i="54"/>
  <c r="BD8" i="54"/>
  <c r="BD7" i="54"/>
  <c r="V41" i="54"/>
  <c r="V8" i="54"/>
  <c r="V40" i="54"/>
  <c r="V10" i="54"/>
  <c r="V9" i="54"/>
  <c r="V7" i="54"/>
  <c r="AX41" i="49"/>
  <c r="AX8" i="49"/>
  <c r="AX40" i="49"/>
  <c r="AX10" i="49"/>
  <c r="AX9" i="49"/>
  <c r="AX7" i="49"/>
  <c r="BF41" i="48"/>
  <c r="BF8" i="48"/>
  <c r="BF10" i="48"/>
  <c r="BF40" i="48"/>
  <c r="BF9" i="48"/>
  <c r="BF7" i="48"/>
  <c r="AD41" i="54"/>
  <c r="AD8" i="54"/>
  <c r="AD40" i="54"/>
  <c r="AD10" i="54"/>
  <c r="AD9" i="54"/>
  <c r="AD7" i="54"/>
  <c r="AX41" i="48"/>
  <c r="AX8" i="48"/>
  <c r="AX40" i="48"/>
  <c r="AX10" i="48"/>
  <c r="AX9" i="48"/>
  <c r="AX7" i="48"/>
  <c r="P9" i="51"/>
  <c r="P41" i="51"/>
  <c r="P8" i="51"/>
  <c r="P40" i="51"/>
  <c r="P10" i="51"/>
  <c r="P7" i="51"/>
  <c r="AF9" i="51"/>
  <c r="AF41" i="51"/>
  <c r="AF8" i="51"/>
  <c r="AF40" i="51"/>
  <c r="AF10" i="51"/>
  <c r="AF7" i="51"/>
  <c r="AD41" i="52"/>
  <c r="AD8" i="52"/>
  <c r="AD40" i="52"/>
  <c r="AD9" i="52"/>
  <c r="AD10" i="52"/>
  <c r="AD7" i="52"/>
  <c r="L40" i="48"/>
  <c r="L41" i="48"/>
  <c r="L10" i="48"/>
  <c r="L9" i="48"/>
  <c r="L8" i="48"/>
  <c r="L7" i="48"/>
  <c r="BR41" i="48"/>
  <c r="BR10" i="48"/>
  <c r="BR9" i="48"/>
  <c r="BR40" i="48"/>
  <c r="BR8" i="48"/>
  <c r="BR7" i="48"/>
  <c r="V41" i="48"/>
  <c r="V10" i="48"/>
  <c r="V9" i="48"/>
  <c r="V8" i="48"/>
  <c r="V40" i="48"/>
  <c r="V7" i="48"/>
  <c r="AD41" i="48"/>
  <c r="AD10" i="48"/>
  <c r="AD9" i="48"/>
  <c r="AD8" i="48"/>
  <c r="AD40" i="48"/>
  <c r="AD7" i="48"/>
  <c r="AH10" i="52"/>
  <c r="AH9" i="52"/>
  <c r="AH41" i="52"/>
  <c r="AH40" i="52"/>
  <c r="AH8" i="52"/>
  <c r="AH7" i="52"/>
  <c r="AH41" i="51"/>
  <c r="AH8" i="51"/>
  <c r="AH40" i="51"/>
  <c r="AH10" i="51"/>
  <c r="AH9" i="51"/>
  <c r="AH7" i="51"/>
  <c r="V10" i="46"/>
  <c r="V9" i="46"/>
  <c r="V41" i="46"/>
  <c r="V8" i="46"/>
  <c r="V40" i="46"/>
  <c r="V7" i="46"/>
  <c r="Z10" i="47"/>
  <c r="Z9" i="47"/>
  <c r="Z41" i="47"/>
  <c r="Z8" i="47"/>
  <c r="Z40" i="47"/>
  <c r="Z7" i="47"/>
  <c r="BZ41" i="47"/>
  <c r="BZ8" i="47"/>
  <c r="BZ40" i="47"/>
  <c r="BZ10" i="47"/>
  <c r="BZ9" i="47"/>
  <c r="BZ7" i="47"/>
  <c r="AF40" i="54"/>
  <c r="AF10" i="54"/>
  <c r="AF9" i="54"/>
  <c r="AF8" i="54"/>
  <c r="AF41" i="54"/>
  <c r="AF7" i="54"/>
  <c r="Z41" i="48"/>
  <c r="Z8" i="48"/>
  <c r="Z40" i="48"/>
  <c r="Z10" i="48"/>
  <c r="Z9" i="48"/>
  <c r="Z7" i="48"/>
  <c r="AZ9" i="54"/>
  <c r="AZ41" i="54"/>
  <c r="AZ8" i="54"/>
  <c r="AZ40" i="54"/>
  <c r="AZ10" i="54"/>
  <c r="AZ7" i="54"/>
  <c r="BX40" i="51"/>
  <c r="BX10" i="51"/>
  <c r="BX9" i="51"/>
  <c r="BX41" i="51"/>
  <c r="BX8" i="51"/>
  <c r="BX7" i="51"/>
  <c r="R10" i="50"/>
  <c r="R9" i="50"/>
  <c r="R40" i="50"/>
  <c r="R8" i="50"/>
  <c r="R41" i="50"/>
  <c r="R7" i="50"/>
  <c r="X40" i="52"/>
  <c r="X10" i="52"/>
  <c r="X41" i="52"/>
  <c r="X8" i="52"/>
  <c r="X9" i="52"/>
  <c r="X7" i="52"/>
  <c r="BF10" i="52"/>
  <c r="BF9" i="52"/>
  <c r="BF41" i="52"/>
  <c r="BF40" i="52"/>
  <c r="BF8" i="52"/>
  <c r="BF7" i="52"/>
  <c r="BZ10" i="51"/>
  <c r="BZ9" i="51"/>
  <c r="BZ41" i="51"/>
  <c r="BZ8" i="51"/>
  <c r="BZ40" i="51"/>
  <c r="BZ7" i="51"/>
  <c r="T41" i="48"/>
  <c r="T40" i="48"/>
  <c r="T10" i="48"/>
  <c r="T9" i="48"/>
  <c r="T8" i="48"/>
  <c r="T7" i="48"/>
  <c r="BF41" i="46"/>
  <c r="BF8" i="46"/>
  <c r="BF40" i="46"/>
  <c r="BF10" i="46"/>
  <c r="BF9" i="46"/>
  <c r="BF7" i="46"/>
  <c r="R10" i="54"/>
  <c r="R9" i="54"/>
  <c r="R41" i="54"/>
  <c r="R8" i="54"/>
  <c r="R40" i="54"/>
  <c r="R7" i="54"/>
  <c r="T40" i="49"/>
  <c r="T10" i="49"/>
  <c r="T9" i="49"/>
  <c r="T41" i="49"/>
  <c r="T8" i="49"/>
  <c r="T7" i="49"/>
  <c r="AZ40" i="53"/>
  <c r="AZ10" i="53"/>
  <c r="AZ9" i="53"/>
  <c r="AZ41" i="53"/>
  <c r="AZ8" i="53"/>
  <c r="AZ7" i="53"/>
  <c r="T9" i="54"/>
  <c r="T41" i="54"/>
  <c r="T8" i="54"/>
  <c r="T40" i="54"/>
  <c r="T10" i="54"/>
  <c r="T7" i="54"/>
  <c r="Z10" i="54"/>
  <c r="Z9" i="54"/>
  <c r="Z41" i="54"/>
  <c r="Z8" i="54"/>
  <c r="Z40" i="54"/>
  <c r="Z7" i="54"/>
  <c r="AX10" i="47"/>
  <c r="AX9" i="47"/>
  <c r="AX41" i="47"/>
  <c r="AX8" i="47"/>
  <c r="AX40" i="47"/>
  <c r="AX7" i="47"/>
  <c r="T9" i="52"/>
  <c r="T41" i="52"/>
  <c r="T8" i="52"/>
  <c r="T40" i="52"/>
  <c r="T10" i="52"/>
  <c r="T7" i="52"/>
  <c r="P40" i="50"/>
  <c r="P10" i="50"/>
  <c r="P41" i="50"/>
  <c r="P9" i="50"/>
  <c r="P8" i="50"/>
  <c r="P7" i="50"/>
  <c r="T40" i="53"/>
  <c r="T10" i="53"/>
  <c r="T9" i="53"/>
  <c r="T41" i="53"/>
  <c r="T8" i="53"/>
  <c r="T7" i="53"/>
  <c r="BV10" i="52"/>
  <c r="BV9" i="52"/>
  <c r="BV41" i="52"/>
  <c r="BV40" i="52"/>
  <c r="BV8" i="52"/>
  <c r="BV7" i="52"/>
  <c r="CD41" i="48"/>
  <c r="CD8" i="48"/>
  <c r="CD40" i="48"/>
  <c r="CD10" i="48"/>
  <c r="CD9" i="48"/>
  <c r="CD7" i="48"/>
  <c r="AX41" i="46"/>
  <c r="AX8" i="46"/>
  <c r="AX40" i="46"/>
  <c r="AX10" i="46"/>
  <c r="AX9" i="46"/>
  <c r="AX7" i="46"/>
  <c r="R41" i="46"/>
  <c r="R8" i="46"/>
  <c r="R40" i="46"/>
  <c r="R10" i="46"/>
  <c r="R9" i="46"/>
  <c r="R7" i="46"/>
  <c r="AR40" i="46"/>
  <c r="AR10" i="46"/>
  <c r="AR9" i="46"/>
  <c r="AR41" i="46"/>
  <c r="AR8" i="46"/>
  <c r="AR7" i="46"/>
  <c r="X40" i="50"/>
  <c r="X10" i="50"/>
  <c r="X41" i="50"/>
  <c r="X9" i="50"/>
  <c r="X8" i="50"/>
  <c r="X7" i="50"/>
  <c r="BR10" i="49"/>
  <c r="BR9" i="49"/>
  <c r="BR41" i="49"/>
  <c r="BR8" i="49"/>
  <c r="BR40" i="49"/>
  <c r="BR7" i="49"/>
  <c r="AV40" i="47"/>
  <c r="AV10" i="47"/>
  <c r="AV9" i="47"/>
  <c r="AV41" i="47"/>
  <c r="AV8" i="47"/>
  <c r="AV7" i="47"/>
  <c r="CD10" i="54"/>
  <c r="CD9" i="54"/>
  <c r="CD41" i="54"/>
  <c r="CD8" i="54"/>
  <c r="CD40" i="54"/>
  <c r="CD7" i="54"/>
  <c r="BR41" i="47"/>
  <c r="BR8" i="47"/>
  <c r="BR40" i="47"/>
  <c r="BR10" i="47"/>
  <c r="BR9" i="47"/>
  <c r="BR7" i="47"/>
  <c r="AL10" i="53"/>
  <c r="AL9" i="53"/>
  <c r="AL41" i="53"/>
  <c r="AL8" i="53"/>
  <c r="AL40" i="53"/>
  <c r="AL7" i="53"/>
  <c r="AR41" i="48"/>
  <c r="AR40" i="48"/>
  <c r="AR10" i="48"/>
  <c r="AR9" i="48"/>
  <c r="AR8" i="48"/>
  <c r="AR7" i="48"/>
  <c r="Z41" i="49"/>
  <c r="Z8" i="49"/>
  <c r="Z40" i="49"/>
  <c r="Z10" i="49"/>
  <c r="Z9" i="49"/>
  <c r="Z7" i="49"/>
  <c r="CD41" i="49"/>
  <c r="CD8" i="49"/>
  <c r="CD40" i="49"/>
  <c r="CD10" i="49"/>
  <c r="CD9" i="49"/>
  <c r="CD7" i="49"/>
  <c r="L9" i="52"/>
  <c r="L41" i="52"/>
  <c r="L8" i="52"/>
  <c r="L40" i="52"/>
  <c r="L10" i="52"/>
  <c r="L7" i="52"/>
  <c r="BJ11" i="53"/>
  <c r="T11" i="47"/>
  <c r="BT11" i="54"/>
  <c r="CB11" i="53"/>
  <c r="BP11" i="51"/>
  <c r="L11" i="47"/>
  <c r="BV11" i="53"/>
  <c r="AD11" i="53"/>
  <c r="R11" i="52"/>
  <c r="R11" i="45"/>
  <c r="AN11" i="49"/>
  <c r="AN11" i="54"/>
  <c r="AB11" i="50"/>
  <c r="AN11" i="46"/>
  <c r="AH11" i="45"/>
  <c r="AX11" i="45"/>
  <c r="BH11" i="48"/>
  <c r="AN11" i="47"/>
  <c r="AB11" i="45"/>
  <c r="R11" i="49"/>
  <c r="AT11" i="45"/>
  <c r="N11" i="47"/>
  <c r="BZ11" i="52"/>
  <c r="CF11" i="50"/>
  <c r="CB11" i="48"/>
  <c r="BH11" i="50"/>
  <c r="BJ11" i="46"/>
  <c r="BV11" i="49"/>
  <c r="BR11" i="51"/>
  <c r="CD11" i="46"/>
  <c r="P11" i="53"/>
  <c r="X11" i="54"/>
  <c r="AD11" i="49"/>
  <c r="BN11" i="51"/>
  <c r="N11" i="45"/>
  <c r="BH11" i="49"/>
  <c r="BP11" i="45"/>
  <c r="BB11" i="45"/>
  <c r="AN11" i="45"/>
  <c r="CB11" i="54"/>
  <c r="BB11" i="52"/>
  <c r="AT11" i="49"/>
  <c r="AD11" i="50"/>
  <c r="AL11" i="51"/>
  <c r="Z11" i="50"/>
  <c r="X11" i="51"/>
  <c r="N41" i="48"/>
  <c r="N10" i="48"/>
  <c r="N9" i="48"/>
  <c r="N8" i="48"/>
  <c r="N40" i="48"/>
  <c r="N7" i="48"/>
  <c r="P40" i="52"/>
  <c r="P10" i="52"/>
  <c r="P41" i="52"/>
  <c r="P9" i="52"/>
  <c r="P8" i="52"/>
  <c r="P7" i="52"/>
  <c r="AP10" i="47"/>
  <c r="AP9" i="47"/>
  <c r="AP41" i="47"/>
  <c r="AP8" i="47"/>
  <c r="AP40" i="47"/>
  <c r="AP7" i="47"/>
  <c r="AT41" i="48"/>
  <c r="AT10" i="48"/>
  <c r="AT9" i="48"/>
  <c r="AT8" i="48"/>
  <c r="AT40" i="48"/>
  <c r="AT7" i="48"/>
  <c r="AH10" i="54"/>
  <c r="AH9" i="54"/>
  <c r="AH41" i="54"/>
  <c r="AH8" i="54"/>
  <c r="AH40" i="54"/>
  <c r="AH7" i="54"/>
  <c r="AP41" i="49"/>
  <c r="AP8" i="49"/>
  <c r="AP40" i="49"/>
  <c r="AP10" i="49"/>
  <c r="AP9" i="49"/>
  <c r="AP7" i="49"/>
  <c r="N41" i="52"/>
  <c r="N8" i="52"/>
  <c r="N40" i="52"/>
  <c r="N9" i="52"/>
  <c r="N10" i="52"/>
  <c r="N7" i="52"/>
  <c r="BL40" i="52"/>
  <c r="BL10" i="52"/>
  <c r="BL41" i="52"/>
  <c r="BL9" i="52"/>
  <c r="BL8" i="52"/>
  <c r="BL7" i="52"/>
  <c r="AT10" i="53"/>
  <c r="AT9" i="53"/>
  <c r="AT41" i="53"/>
  <c r="AT40" i="53"/>
  <c r="AT8" i="53"/>
  <c r="AT7" i="53"/>
  <c r="AT41" i="50"/>
  <c r="AT40" i="50"/>
  <c r="AT8" i="50"/>
  <c r="AT10" i="50"/>
  <c r="AT9" i="50"/>
  <c r="AT7" i="50"/>
  <c r="BZ41" i="48"/>
  <c r="BZ10" i="48"/>
  <c r="BZ9" i="48"/>
  <c r="BZ8" i="48"/>
  <c r="BZ40" i="48"/>
  <c r="BZ7" i="48"/>
  <c r="BX9" i="50"/>
  <c r="BX41" i="50"/>
  <c r="BX8" i="50"/>
  <c r="BX10" i="50"/>
  <c r="BX40" i="50"/>
  <c r="BX7" i="50"/>
  <c r="AV9" i="49"/>
  <c r="AV41" i="49"/>
  <c r="AV8" i="49"/>
  <c r="AV40" i="49"/>
  <c r="AV10" i="49"/>
  <c r="AV7" i="49"/>
  <c r="BX40" i="53"/>
  <c r="BX10" i="53"/>
  <c r="BX9" i="53"/>
  <c r="BX8" i="53"/>
  <c r="BX41" i="53"/>
  <c r="BX7" i="53"/>
  <c r="BX41" i="48"/>
  <c r="BX40" i="48"/>
  <c r="BX10" i="48"/>
  <c r="BX9" i="48"/>
  <c r="BX8" i="48"/>
  <c r="BX7" i="48"/>
  <c r="L40" i="46"/>
  <c r="L10" i="46"/>
  <c r="L9" i="46"/>
  <c r="L41" i="46"/>
  <c r="L8" i="46"/>
  <c r="L7" i="46"/>
  <c r="AD10" i="51"/>
  <c r="AD9" i="51"/>
  <c r="AD41" i="51"/>
  <c r="AD40" i="51"/>
  <c r="AD8" i="51"/>
  <c r="AD7" i="51"/>
  <c r="CD10" i="47"/>
  <c r="CD9" i="47"/>
  <c r="CD41" i="47"/>
  <c r="CD8" i="47"/>
  <c r="CD40" i="47"/>
  <c r="CD7" i="47"/>
  <c r="AT41" i="52"/>
  <c r="AT8" i="52"/>
  <c r="AT40" i="52"/>
  <c r="AT10" i="52"/>
  <c r="AT9" i="52"/>
  <c r="AT7" i="52"/>
  <c r="BN41" i="48"/>
  <c r="BN40" i="48"/>
  <c r="BN8" i="48"/>
  <c r="BN10" i="48"/>
  <c r="BN9" i="48"/>
  <c r="BN7" i="48"/>
  <c r="V10" i="51"/>
  <c r="V9" i="51"/>
  <c r="V41" i="51"/>
  <c r="V40" i="51"/>
  <c r="V8" i="51"/>
  <c r="V7" i="51"/>
  <c r="X9" i="48"/>
  <c r="X8" i="48"/>
  <c r="X40" i="48"/>
  <c r="X41" i="48"/>
  <c r="X10" i="48"/>
  <c r="X7" i="48"/>
  <c r="AP41" i="51"/>
  <c r="AP8" i="51"/>
  <c r="AP40" i="51"/>
  <c r="AP10" i="51"/>
  <c r="AP9" i="51"/>
  <c r="AP7" i="51"/>
  <c r="BD40" i="52"/>
  <c r="BD10" i="52"/>
  <c r="BD41" i="52"/>
  <c r="BD8" i="52"/>
  <c r="BD9" i="52"/>
  <c r="BD7" i="52"/>
  <c r="AF9" i="49"/>
  <c r="AF41" i="49"/>
  <c r="AF8" i="49"/>
  <c r="AF40" i="49"/>
  <c r="AF10" i="49"/>
  <c r="AF7" i="49"/>
  <c r="Z41" i="46"/>
  <c r="Z8" i="46"/>
  <c r="Z40" i="46"/>
  <c r="Z10" i="46"/>
  <c r="Z9" i="46"/>
  <c r="Z7" i="46"/>
  <c r="P9" i="49"/>
  <c r="P41" i="49"/>
  <c r="P8" i="49"/>
  <c r="P40" i="49"/>
  <c r="P10" i="49"/>
  <c r="P7" i="49"/>
  <c r="AX41" i="51"/>
  <c r="AX8" i="51"/>
  <c r="AX40" i="51"/>
  <c r="AX10" i="51"/>
  <c r="AX9" i="51"/>
  <c r="AX7" i="51"/>
  <c r="AX41" i="53"/>
  <c r="AX40" i="53"/>
  <c r="AX10" i="53"/>
  <c r="AX8" i="53"/>
  <c r="AX9" i="53"/>
  <c r="AX7" i="53"/>
  <c r="BL40" i="54"/>
  <c r="BL10" i="54"/>
  <c r="BL9" i="54"/>
  <c r="BL8" i="54"/>
  <c r="BL41" i="54"/>
  <c r="BL7" i="54"/>
  <c r="AR40" i="49"/>
  <c r="AR10" i="49"/>
  <c r="AR9" i="49"/>
  <c r="AR41" i="49"/>
  <c r="AR8" i="49"/>
  <c r="AR7" i="49"/>
  <c r="BN10" i="50"/>
  <c r="BN9" i="50"/>
  <c r="BN40" i="50"/>
  <c r="BN8" i="50"/>
  <c r="BN41" i="50"/>
  <c r="BN7" i="50"/>
  <c r="AJ9" i="52"/>
  <c r="AJ41" i="52"/>
  <c r="AJ8" i="52"/>
  <c r="AJ40" i="52"/>
  <c r="AJ10" i="52"/>
  <c r="AJ7" i="52"/>
  <c r="AV41" i="51"/>
  <c r="AV9" i="51"/>
  <c r="AV8" i="51"/>
  <c r="AV40" i="51"/>
  <c r="AV10" i="51"/>
  <c r="AV7" i="51"/>
  <c r="AJ40" i="53"/>
  <c r="AJ10" i="53"/>
  <c r="AJ9" i="53"/>
  <c r="AJ41" i="53"/>
  <c r="AJ8" i="53"/>
  <c r="AJ7" i="53"/>
  <c r="BN10" i="54"/>
  <c r="BN9" i="54"/>
  <c r="BN41" i="54"/>
  <c r="BN8" i="54"/>
  <c r="BN40" i="54"/>
  <c r="BN7" i="54"/>
  <c r="AL41" i="54"/>
  <c r="AL8" i="54"/>
  <c r="AL40" i="54"/>
  <c r="AL10" i="54"/>
  <c r="AL9" i="54"/>
  <c r="AL7" i="54"/>
  <c r="AP10" i="50"/>
  <c r="AP9" i="50"/>
  <c r="AP40" i="50"/>
  <c r="AP41" i="50"/>
  <c r="AP8" i="50"/>
  <c r="AP7" i="50"/>
  <c r="AV40" i="54"/>
  <c r="AV10" i="54"/>
  <c r="AV9" i="54"/>
  <c r="AV41" i="54"/>
  <c r="AV8" i="54"/>
  <c r="AV7" i="54"/>
  <c r="BN41" i="49"/>
  <c r="BN8" i="49"/>
  <c r="BN40" i="49"/>
  <c r="BN10" i="49"/>
  <c r="BN9" i="49"/>
  <c r="BN7" i="49"/>
  <c r="R41" i="53"/>
  <c r="R40" i="53"/>
  <c r="R10" i="53"/>
  <c r="R8" i="53"/>
  <c r="R9" i="53"/>
  <c r="R7" i="53"/>
  <c r="N41" i="50"/>
  <c r="N40" i="50"/>
  <c r="N8" i="50"/>
  <c r="N10" i="50"/>
  <c r="N9" i="50"/>
  <c r="N7" i="50"/>
  <c r="L40" i="53"/>
  <c r="L10" i="53"/>
  <c r="L9" i="53"/>
  <c r="L41" i="53"/>
  <c r="L8" i="53"/>
  <c r="L7" i="53"/>
  <c r="BL41" i="51"/>
  <c r="BL9" i="51"/>
  <c r="BL8" i="51"/>
  <c r="BL40" i="51"/>
  <c r="BL10" i="51"/>
  <c r="BL7" i="51"/>
  <c r="BV41" i="51"/>
  <c r="BV8" i="51"/>
  <c r="BV40" i="51"/>
  <c r="BV10" i="51"/>
  <c r="BV9" i="51"/>
  <c r="BV7" i="51"/>
  <c r="BR10" i="46"/>
  <c r="BR9" i="46"/>
  <c r="BR41" i="46"/>
  <c r="BR8" i="46"/>
  <c r="BR40" i="46"/>
  <c r="BR7" i="46"/>
  <c r="AR9" i="52"/>
  <c r="AR41" i="52"/>
  <c r="AR8" i="52"/>
  <c r="AR40" i="52"/>
  <c r="AR10" i="52"/>
  <c r="AR7" i="52"/>
  <c r="BD41" i="51"/>
  <c r="BD9" i="51"/>
  <c r="BD8" i="51"/>
  <c r="BD40" i="51"/>
  <c r="BD10" i="51"/>
  <c r="BD7" i="51"/>
  <c r="AR40" i="53"/>
  <c r="AR10" i="53"/>
  <c r="AR9" i="53"/>
  <c r="AR41" i="53"/>
  <c r="AR8" i="53"/>
  <c r="AR7" i="53"/>
  <c r="AL41" i="47"/>
  <c r="AL8" i="47"/>
  <c r="AL40" i="47"/>
  <c r="AL10" i="47"/>
  <c r="AL9" i="47"/>
  <c r="AL7" i="47"/>
  <c r="BD41" i="53"/>
  <c r="BD40" i="53"/>
  <c r="BD9" i="53"/>
  <c r="BD8" i="53"/>
  <c r="BD10" i="53"/>
  <c r="BD7" i="53"/>
  <c r="AV41" i="53"/>
  <c r="AV40" i="53"/>
  <c r="AV8" i="53"/>
  <c r="AV10" i="53"/>
  <c r="AV9" i="53"/>
  <c r="AV7" i="53"/>
  <c r="AR9" i="54"/>
  <c r="AR41" i="54"/>
  <c r="AR8" i="54"/>
  <c r="AR40" i="54"/>
  <c r="AR10" i="54"/>
  <c r="AR7" i="54"/>
  <c r="P9" i="46"/>
  <c r="P41" i="46"/>
  <c r="P8" i="46"/>
  <c r="P40" i="46"/>
  <c r="P10" i="46"/>
  <c r="P7" i="46"/>
  <c r="AP41" i="53"/>
  <c r="AP40" i="53"/>
  <c r="AP10" i="53"/>
  <c r="AP9" i="53"/>
  <c r="AP8" i="53"/>
  <c r="AP7" i="53"/>
  <c r="AV40" i="50"/>
  <c r="AV10" i="50"/>
  <c r="AV41" i="50"/>
  <c r="AV9" i="50"/>
  <c r="AV8" i="50"/>
  <c r="AV7" i="50"/>
  <c r="AR9" i="47"/>
  <c r="AR41" i="47"/>
  <c r="AR8" i="47"/>
  <c r="AR40" i="47"/>
  <c r="AR10" i="47"/>
  <c r="AR7" i="47"/>
  <c r="AV40" i="48"/>
  <c r="AV41" i="48"/>
  <c r="AV9" i="48"/>
  <c r="AV8" i="48"/>
  <c r="AV10" i="48"/>
  <c r="AV7" i="48"/>
  <c r="AR11" i="50"/>
  <c r="N11" i="46"/>
  <c r="CD11" i="51"/>
  <c r="AH11" i="50"/>
  <c r="BR11" i="54"/>
  <c r="BR11" i="52"/>
  <c r="BB11" i="49"/>
  <c r="BJ11" i="49"/>
  <c r="AL11" i="45"/>
  <c r="CD11" i="45"/>
  <c r="AJ11" i="47"/>
  <c r="AZ11" i="49"/>
  <c r="BP11" i="52"/>
  <c r="BX11" i="52"/>
  <c r="CF11" i="52"/>
  <c r="BR11" i="53"/>
  <c r="CB11" i="47"/>
  <c r="T11" i="51"/>
  <c r="BT11" i="50"/>
  <c r="BB11" i="50"/>
  <c r="AZ11" i="48"/>
  <c r="BT11" i="46"/>
  <c r="BH11" i="46"/>
  <c r="BP11" i="54"/>
  <c r="AP11" i="46"/>
  <c r="CF11" i="53"/>
  <c r="BR11" i="50"/>
  <c r="Z11" i="53"/>
  <c r="AL11" i="49"/>
  <c r="AP11" i="48"/>
  <c r="BL40" i="48"/>
  <c r="BL41" i="48"/>
  <c r="BL9" i="48"/>
  <c r="BL8" i="48"/>
  <c r="BL10" i="48"/>
  <c r="BL7" i="48"/>
  <c r="BL40" i="47"/>
  <c r="BL10" i="47"/>
  <c r="BL9" i="47"/>
  <c r="BL41" i="47"/>
  <c r="BL8" i="47"/>
  <c r="BL7" i="47"/>
  <c r="P41" i="48"/>
  <c r="P9" i="48"/>
  <c r="P8" i="48"/>
  <c r="P40" i="48"/>
  <c r="P10" i="48"/>
  <c r="P7" i="48"/>
  <c r="AF40" i="47"/>
  <c r="AF10" i="47"/>
  <c r="AF9" i="47"/>
  <c r="AF41" i="47"/>
  <c r="AF8" i="47"/>
  <c r="AF7" i="47"/>
  <c r="AF41" i="48"/>
  <c r="AF9" i="48"/>
  <c r="AF8" i="48"/>
  <c r="AF40" i="48"/>
  <c r="AF10" i="48"/>
  <c r="AF7" i="48"/>
  <c r="AH10" i="47"/>
  <c r="AH9" i="47"/>
  <c r="AH41" i="47"/>
  <c r="AH8" i="47"/>
  <c r="AH40" i="47"/>
  <c r="AH7" i="47"/>
  <c r="BV10" i="47"/>
  <c r="BV9" i="47"/>
  <c r="BV41" i="47"/>
  <c r="BV8" i="47"/>
  <c r="BV40" i="47"/>
  <c r="BV7" i="47"/>
  <c r="BX40" i="46"/>
  <c r="BX10" i="46"/>
  <c r="BX9" i="46"/>
  <c r="BX41" i="46"/>
  <c r="BX8" i="46"/>
  <c r="BX7" i="46"/>
  <c r="BX9" i="47"/>
  <c r="BX41" i="47"/>
  <c r="BX8" i="47"/>
  <c r="BX40" i="47"/>
  <c r="BX10" i="47"/>
  <c r="BX7" i="47"/>
  <c r="X40" i="47"/>
  <c r="X10" i="47"/>
  <c r="X9" i="47"/>
  <c r="X41" i="47"/>
  <c r="X8" i="47"/>
  <c r="X7" i="47"/>
  <c r="BF10" i="54"/>
  <c r="BF9" i="54"/>
  <c r="BF41" i="54"/>
  <c r="BF8" i="54"/>
  <c r="BF40" i="54"/>
  <c r="BF7" i="54"/>
  <c r="AX10" i="52"/>
  <c r="AX9" i="52"/>
  <c r="AX41" i="52"/>
  <c r="AX40" i="52"/>
  <c r="AX8" i="52"/>
  <c r="AX7" i="52"/>
  <c r="BD40" i="50"/>
  <c r="BD10" i="50"/>
  <c r="BD9" i="50"/>
  <c r="BD41" i="50"/>
  <c r="BD8" i="50"/>
  <c r="BD7" i="50"/>
  <c r="AF40" i="50"/>
  <c r="AF10" i="50"/>
  <c r="AF41" i="50"/>
  <c r="AF9" i="50"/>
  <c r="AF8" i="50"/>
  <c r="AF7" i="50"/>
  <c r="Z10" i="52"/>
  <c r="Z9" i="52"/>
  <c r="Z41" i="52"/>
  <c r="Z40" i="52"/>
  <c r="Z8" i="52"/>
  <c r="Z7" i="52"/>
  <c r="BV10" i="54"/>
  <c r="BV9" i="54"/>
  <c r="BV41" i="54"/>
  <c r="BV8" i="54"/>
  <c r="BV40" i="54"/>
  <c r="BV7" i="54"/>
  <c r="AJ40" i="46"/>
  <c r="AJ10" i="46"/>
  <c r="AJ9" i="46"/>
  <c r="AJ41" i="46"/>
  <c r="AJ8" i="46"/>
  <c r="AJ7" i="46"/>
  <c r="AF41" i="53"/>
  <c r="AF40" i="53"/>
  <c r="AF10" i="53"/>
  <c r="AF8" i="53"/>
  <c r="AF9" i="53"/>
  <c r="AF7" i="53"/>
  <c r="V41" i="47"/>
  <c r="V8" i="47"/>
  <c r="V40" i="47"/>
  <c r="V10" i="47"/>
  <c r="V9" i="47"/>
  <c r="V7" i="47"/>
  <c r="BN41" i="53"/>
  <c r="BN40" i="53"/>
  <c r="BN10" i="53"/>
  <c r="BN8" i="53"/>
  <c r="BN9" i="53"/>
  <c r="BN7" i="53"/>
  <c r="AT10" i="46"/>
  <c r="AT9" i="46"/>
  <c r="AT41" i="46"/>
  <c r="AT8" i="46"/>
  <c r="AT40" i="46"/>
  <c r="AT7" i="46"/>
  <c r="AP10" i="54"/>
  <c r="AP9" i="54"/>
  <c r="AP41" i="54"/>
  <c r="AP8" i="54"/>
  <c r="AP40" i="54"/>
  <c r="AP7" i="54"/>
  <c r="AZ40" i="51"/>
  <c r="AZ41" i="51"/>
  <c r="AZ10" i="51"/>
  <c r="AZ9" i="51"/>
  <c r="AZ8" i="51"/>
  <c r="AZ7" i="51"/>
  <c r="AZ9" i="47"/>
  <c r="AZ41" i="47"/>
  <c r="AZ8" i="47"/>
  <c r="AZ40" i="47"/>
  <c r="AZ10" i="47"/>
  <c r="AZ7" i="47"/>
  <c r="N10" i="49"/>
  <c r="N9" i="49"/>
  <c r="N41" i="49"/>
  <c r="N8" i="49"/>
  <c r="N40" i="49"/>
  <c r="N7" i="49"/>
  <c r="BD40" i="48"/>
  <c r="BD41" i="48"/>
  <c r="BD9" i="48"/>
  <c r="BD8" i="48"/>
  <c r="BD10" i="48"/>
  <c r="BD7" i="48"/>
  <c r="BF41" i="51"/>
  <c r="BF8" i="51"/>
  <c r="BF40" i="51"/>
  <c r="BF10" i="51"/>
  <c r="BF9" i="51"/>
  <c r="BF7" i="51"/>
  <c r="AF9" i="46"/>
  <c r="AF41" i="46"/>
  <c r="AF8" i="46"/>
  <c r="AF40" i="46"/>
  <c r="AF10" i="46"/>
  <c r="AF7" i="46"/>
  <c r="V9" i="53"/>
  <c r="V41" i="53"/>
  <c r="V40" i="53"/>
  <c r="V8" i="53"/>
  <c r="V10" i="53"/>
  <c r="V7" i="53"/>
  <c r="AL41" i="50"/>
  <c r="AL40" i="50"/>
  <c r="AL9" i="50"/>
  <c r="AL8" i="50"/>
  <c r="AL10" i="50"/>
  <c r="AL7" i="50"/>
  <c r="AJ40" i="51"/>
  <c r="AJ10" i="51"/>
  <c r="AJ9" i="51"/>
  <c r="AJ41" i="51"/>
  <c r="AJ8" i="51"/>
  <c r="AJ7" i="51"/>
  <c r="BX40" i="49"/>
  <c r="BX10" i="49"/>
  <c r="BX9" i="49"/>
  <c r="BX41" i="49"/>
  <c r="BX8" i="49"/>
  <c r="BX7" i="49"/>
  <c r="AX10" i="54"/>
  <c r="AX9" i="54"/>
  <c r="AX41" i="54"/>
  <c r="AX8" i="54"/>
  <c r="AX40" i="54"/>
  <c r="AX7" i="54"/>
  <c r="X41" i="53"/>
  <c r="X40" i="53"/>
  <c r="X9" i="53"/>
  <c r="X8" i="53"/>
  <c r="X10" i="53"/>
  <c r="X7" i="53"/>
  <c r="V10" i="49"/>
  <c r="V9" i="49"/>
  <c r="V41" i="49"/>
  <c r="V8" i="49"/>
  <c r="V40" i="49"/>
  <c r="V7" i="49"/>
  <c r="X9" i="49"/>
  <c r="X41" i="49"/>
  <c r="X8" i="49"/>
  <c r="X40" i="49"/>
  <c r="X10" i="49"/>
  <c r="X7" i="49"/>
  <c r="L40" i="51"/>
  <c r="L10" i="51"/>
  <c r="L9" i="51"/>
  <c r="L41" i="51"/>
  <c r="L8" i="51"/>
  <c r="L7" i="51"/>
  <c r="BL41" i="53"/>
  <c r="BL40" i="53"/>
  <c r="BL10" i="53"/>
  <c r="BL8" i="53"/>
  <c r="BL9" i="53"/>
  <c r="BL7" i="53"/>
  <c r="AH41" i="49"/>
  <c r="AH8" i="49"/>
  <c r="AH40" i="49"/>
  <c r="AH10" i="49"/>
  <c r="AH9" i="49"/>
  <c r="AH7" i="49"/>
  <c r="L9" i="54"/>
  <c r="L41" i="54"/>
  <c r="L8" i="54"/>
  <c r="L40" i="54"/>
  <c r="L10" i="54"/>
  <c r="L7" i="54"/>
  <c r="BV41" i="48"/>
  <c r="BV8" i="48"/>
  <c r="BV40" i="48"/>
  <c r="BV10" i="48"/>
  <c r="BV9" i="48"/>
  <c r="BV7" i="48"/>
  <c r="BV41" i="46"/>
  <c r="BV8" i="46"/>
  <c r="BV40" i="46"/>
  <c r="BV10" i="46"/>
  <c r="BV9" i="46"/>
  <c r="BV7" i="46"/>
  <c r="AZ41" i="50"/>
  <c r="AZ10" i="50"/>
  <c r="AZ40" i="50"/>
  <c r="AZ8" i="50"/>
  <c r="AZ9" i="50"/>
  <c r="AZ7" i="50"/>
  <c r="CD10" i="50"/>
  <c r="CD9" i="50"/>
  <c r="CD40" i="50"/>
  <c r="CD8" i="50"/>
  <c r="CD41" i="50"/>
  <c r="CD7" i="50"/>
  <c r="BF41" i="49"/>
  <c r="BF8" i="49"/>
  <c r="BF40" i="49"/>
  <c r="BF10" i="49"/>
  <c r="BF9" i="49"/>
  <c r="BF7" i="49"/>
  <c r="L40" i="49"/>
  <c r="L10" i="49"/>
  <c r="L9" i="49"/>
  <c r="L41" i="49"/>
  <c r="L8" i="49"/>
  <c r="L7" i="49"/>
  <c r="BN10" i="45"/>
  <c r="BN9" i="45"/>
  <c r="BN41" i="45"/>
  <c r="BN40" i="45"/>
  <c r="BN8" i="45"/>
  <c r="BN7" i="45"/>
  <c r="AV40" i="52"/>
  <c r="AV10" i="52"/>
  <c r="AV41" i="52"/>
  <c r="AV9" i="52"/>
  <c r="AV8" i="52"/>
  <c r="AV7" i="52"/>
  <c r="BD9" i="46"/>
  <c r="BD41" i="46"/>
  <c r="BD8" i="46"/>
  <c r="BD40" i="46"/>
  <c r="BD10" i="46"/>
  <c r="BD7" i="46"/>
  <c r="CF11" i="51"/>
  <c r="AJ11" i="50"/>
  <c r="BB11" i="48"/>
  <c r="AN11" i="53"/>
  <c r="BJ11" i="48"/>
  <c r="BP11" i="50"/>
  <c r="AB11" i="46"/>
  <c r="BP11" i="48"/>
  <c r="CF11" i="47"/>
  <c r="CB11" i="51"/>
  <c r="BT11" i="53"/>
  <c r="BZ11" i="46"/>
  <c r="BL11" i="45"/>
  <c r="AN11" i="50"/>
  <c r="BT11" i="48"/>
  <c r="BT11" i="47"/>
  <c r="BB11" i="54"/>
  <c r="BJ11" i="45"/>
  <c r="BZ11" i="50"/>
  <c r="AR11" i="45"/>
  <c r="AH11" i="48"/>
  <c r="Z11" i="51"/>
  <c r="AH11" i="46"/>
  <c r="BJ11" i="54"/>
  <c r="AD11" i="45"/>
  <c r="AZ11" i="45"/>
  <c r="BZ11" i="54"/>
  <c r="BJ11" i="51"/>
  <c r="BN11" i="52"/>
  <c r="V11" i="50"/>
  <c r="H11" i="49"/>
  <c r="H11" i="50"/>
  <c r="J11" i="52"/>
  <c r="J40" i="46"/>
  <c r="J9" i="46"/>
  <c r="J7" i="46"/>
  <c r="J41" i="46"/>
  <c r="J10" i="46"/>
  <c r="J8" i="46"/>
  <c r="J41" i="48"/>
  <c r="J10" i="48"/>
  <c r="J8" i="48"/>
  <c r="J7" i="48"/>
  <c r="J40" i="48"/>
  <c r="J9" i="48"/>
  <c r="J40" i="50"/>
  <c r="J9" i="50"/>
  <c r="J7" i="50"/>
  <c r="J41" i="50"/>
  <c r="J10" i="50"/>
  <c r="J8" i="50"/>
  <c r="J41" i="53"/>
  <c r="J10" i="53"/>
  <c r="J8" i="53"/>
  <c r="J40" i="53"/>
  <c r="J9" i="53"/>
  <c r="J7" i="53"/>
  <c r="J11" i="47"/>
  <c r="J41" i="49"/>
  <c r="J10" i="49"/>
  <c r="J8" i="49"/>
  <c r="J7" i="49"/>
  <c r="J40" i="49"/>
  <c r="J9" i="49"/>
  <c r="J40" i="54"/>
  <c r="J9" i="54"/>
  <c r="J41" i="54"/>
  <c r="J10" i="54"/>
  <c r="J8" i="54"/>
  <c r="J7" i="54"/>
  <c r="J11" i="45"/>
  <c r="J11" i="51"/>
  <c r="H11" i="53"/>
  <c r="H11" i="47"/>
  <c r="H11" i="52"/>
  <c r="H11" i="46"/>
  <c r="H11" i="54"/>
  <c r="H9" i="45"/>
  <c r="H10" i="45"/>
  <c r="H40" i="45"/>
  <c r="H41" i="45"/>
  <c r="H8" i="45"/>
  <c r="H7" i="45"/>
  <c r="F11" i="45"/>
  <c r="CJ9" i="44"/>
  <c r="CJ8" i="44"/>
  <c r="CJ10" i="44"/>
  <c r="CK8" i="44"/>
  <c r="CK10" i="44"/>
  <c r="CK9" i="44"/>
  <c r="CK38" i="45"/>
  <c r="B38" i="45" s="1"/>
  <c r="D38" i="45" s="1"/>
  <c r="CK37" i="45"/>
  <c r="B37" i="45" s="1"/>
  <c r="D37" i="45" s="1"/>
  <c r="CK36" i="45"/>
  <c r="B36" i="45" s="1"/>
  <c r="D36" i="45" s="1"/>
  <c r="CK35" i="45"/>
  <c r="B35" i="45" s="1"/>
  <c r="D35" i="45" s="1"/>
  <c r="CK19" i="45"/>
  <c r="B19" i="45" s="1"/>
  <c r="D19" i="45" s="1"/>
  <c r="CK47" i="45"/>
  <c r="B47" i="45" s="1"/>
  <c r="BN8" i="33"/>
  <c r="AP11" i="44"/>
  <c r="DK4" i="19"/>
  <c r="CK7" i="33" s="1"/>
  <c r="CK48" i="33" s="1"/>
  <c r="L40" i="33"/>
  <c r="BN9" i="33"/>
  <c r="BN40" i="33"/>
  <c r="BN10" i="33"/>
  <c r="BN41" i="33"/>
  <c r="BZ41" i="33"/>
  <c r="AH11" i="44"/>
  <c r="AB11" i="33"/>
  <c r="BD7" i="33"/>
  <c r="L7" i="33"/>
  <c r="L9" i="33"/>
  <c r="BX10" i="33"/>
  <c r="BX40" i="33"/>
  <c r="BZ7" i="33"/>
  <c r="BD8" i="33"/>
  <c r="BZ8" i="33"/>
  <c r="BD10" i="33"/>
  <c r="BZ9" i="33"/>
  <c r="BD40" i="33"/>
  <c r="BV11" i="44"/>
  <c r="BZ10" i="33"/>
  <c r="BD9" i="33"/>
  <c r="BX9" i="33"/>
  <c r="CI41" i="33"/>
  <c r="BX7" i="33"/>
  <c r="BX8" i="33"/>
  <c r="CL10" i="33"/>
  <c r="BV10" i="33"/>
  <c r="BV41" i="33"/>
  <c r="BV7" i="33"/>
  <c r="BV8" i="33"/>
  <c r="BV9" i="33"/>
  <c r="BV40" i="33"/>
  <c r="CJ9" i="33"/>
  <c r="L8" i="33"/>
  <c r="L41" i="33"/>
  <c r="AN11" i="33"/>
  <c r="CJ8" i="33"/>
  <c r="CJ40" i="33"/>
  <c r="CI9" i="33"/>
  <c r="CJ10" i="33"/>
  <c r="CL8" i="33"/>
  <c r="BT11" i="44"/>
  <c r="CB11" i="44"/>
  <c r="AF11" i="44"/>
  <c r="V11" i="44"/>
  <c r="AF7" i="33"/>
  <c r="AF8" i="33"/>
  <c r="AF41" i="33"/>
  <c r="AF10" i="33"/>
  <c r="AF9" i="33"/>
  <c r="AF40" i="33"/>
  <c r="CD7" i="33"/>
  <c r="CD41" i="33"/>
  <c r="CD40" i="33"/>
  <c r="CD10" i="33"/>
  <c r="CD9" i="33"/>
  <c r="CD8" i="33"/>
  <c r="N41" i="33"/>
  <c r="N40" i="33"/>
  <c r="N10" i="33"/>
  <c r="N9" i="33"/>
  <c r="N8" i="33"/>
  <c r="N7" i="33"/>
  <c r="BF40" i="33"/>
  <c r="BF10" i="33"/>
  <c r="BF9" i="33"/>
  <c r="BF8" i="33"/>
  <c r="BF7" i="33"/>
  <c r="BF41" i="33"/>
  <c r="BR41" i="33"/>
  <c r="BR40" i="33"/>
  <c r="BR10" i="33"/>
  <c r="BR9" i="33"/>
  <c r="BR8" i="33"/>
  <c r="BR7" i="33"/>
  <c r="AX41" i="33"/>
  <c r="AX40" i="33"/>
  <c r="AX8" i="33"/>
  <c r="AX7" i="33"/>
  <c r="AX10" i="33"/>
  <c r="AX9" i="33"/>
  <c r="P7" i="33"/>
  <c r="P40" i="33"/>
  <c r="P10" i="33"/>
  <c r="P9" i="33"/>
  <c r="P8" i="33"/>
  <c r="P41" i="33"/>
  <c r="AR41" i="33"/>
  <c r="AR40" i="33"/>
  <c r="AR10" i="33"/>
  <c r="AR9" i="33"/>
  <c r="AR8" i="33"/>
  <c r="AR7" i="33"/>
  <c r="X7" i="33"/>
  <c r="X41" i="33"/>
  <c r="X9" i="33"/>
  <c r="X40" i="33"/>
  <c r="X10" i="33"/>
  <c r="X8" i="33"/>
  <c r="Z40" i="33"/>
  <c r="Z7" i="33"/>
  <c r="Z41" i="33"/>
  <c r="Z10" i="33"/>
  <c r="Z9" i="33"/>
  <c r="Z8" i="33"/>
  <c r="T41" i="33"/>
  <c r="T40" i="33"/>
  <c r="T10" i="33"/>
  <c r="T9" i="33"/>
  <c r="T8" i="33"/>
  <c r="T7" i="33"/>
  <c r="AZ41" i="33"/>
  <c r="AZ40" i="33"/>
  <c r="AZ10" i="33"/>
  <c r="AZ9" i="33"/>
  <c r="AZ8" i="33"/>
  <c r="AZ7" i="33"/>
  <c r="BJ11" i="44"/>
  <c r="AB11" i="44"/>
  <c r="BN11" i="44"/>
  <c r="CI11" i="44"/>
  <c r="CK48" i="44"/>
  <c r="CK41" i="44"/>
  <c r="CK40" i="44"/>
  <c r="CJ48" i="44"/>
  <c r="CJ41" i="44"/>
  <c r="CJ40" i="44"/>
  <c r="CF11" i="44"/>
  <c r="J11" i="44"/>
  <c r="AR11" i="44"/>
  <c r="N11" i="44"/>
  <c r="BX11" i="44"/>
  <c r="BP11" i="44"/>
  <c r="CD11" i="44"/>
  <c r="CL11" i="44"/>
  <c r="AX11" i="44"/>
  <c r="CL9" i="33"/>
  <c r="CI8" i="33"/>
  <c r="CI10" i="33"/>
  <c r="CI40" i="33"/>
  <c r="CL41" i="33"/>
  <c r="CJ48" i="33"/>
  <c r="CL40" i="33"/>
  <c r="HW2" i="35"/>
  <c r="HI2" i="35"/>
  <c r="KA2" i="35"/>
  <c r="IY2" i="35"/>
  <c r="KO2" i="35"/>
  <c r="LC2" i="35"/>
  <c r="IK2" i="35"/>
  <c r="LQ2" i="35"/>
  <c r="JM2" i="35"/>
  <c r="FD4" i="19"/>
  <c r="CK7" i="52" s="1"/>
  <c r="EO4" i="19"/>
  <c r="CK7" i="49" s="1"/>
  <c r="DZ4" i="19"/>
  <c r="CK7" i="46" s="1"/>
  <c r="FN4" i="19"/>
  <c r="CK7" i="54" s="1"/>
  <c r="FI4" i="19"/>
  <c r="CK7" i="53" s="1"/>
  <c r="EJ4" i="19"/>
  <c r="CK7" i="48" s="1"/>
  <c r="ET4" i="19"/>
  <c r="CK7" i="50" s="1"/>
  <c r="EY4" i="19"/>
  <c r="CK7" i="51" s="1"/>
  <c r="EE4" i="19"/>
  <c r="CK7" i="47" s="1"/>
  <c r="AD11" i="33"/>
  <c r="BT11" i="33"/>
  <c r="AV11" i="33"/>
  <c r="CF11" i="33"/>
  <c r="BL11" i="33"/>
  <c r="AJ11" i="33"/>
  <c r="AT11" i="33"/>
  <c r="BH11" i="33"/>
  <c r="BJ11" i="33"/>
  <c r="R11" i="33"/>
  <c r="AL11" i="33"/>
  <c r="V11" i="33"/>
  <c r="AP11" i="33"/>
  <c r="AH11" i="33"/>
  <c r="BP11" i="33"/>
  <c r="BB11" i="33"/>
  <c r="F11" i="51" l="1"/>
  <c r="F11" i="49"/>
  <c r="F11" i="46"/>
  <c r="F11" i="54"/>
  <c r="F11" i="53"/>
  <c r="F11" i="48"/>
  <c r="F11" i="52"/>
  <c r="F11" i="47"/>
  <c r="D40" i="45"/>
  <c r="D18" i="10"/>
  <c r="CK8" i="46"/>
  <c r="CK40" i="46"/>
  <c r="B40" i="46" s="1"/>
  <c r="CK10" i="46"/>
  <c r="CK41" i="46"/>
  <c r="B41" i="46" s="1"/>
  <c r="D41" i="46" s="1"/>
  <c r="CK9" i="46"/>
  <c r="CK48" i="46"/>
  <c r="B7" i="46"/>
  <c r="CK8" i="49"/>
  <c r="CK48" i="49"/>
  <c r="CK10" i="49"/>
  <c r="CK41" i="49"/>
  <c r="B41" i="49" s="1"/>
  <c r="D41" i="49" s="1"/>
  <c r="CK9" i="49"/>
  <c r="CK40" i="49"/>
  <c r="B40" i="49" s="1"/>
  <c r="B7" i="49"/>
  <c r="CK10" i="47"/>
  <c r="CK41" i="47"/>
  <c r="B41" i="47" s="1"/>
  <c r="D41" i="47" s="1"/>
  <c r="CK9" i="47"/>
  <c r="CK48" i="47"/>
  <c r="CK8" i="47"/>
  <c r="CK40" i="47"/>
  <c r="B40" i="47" s="1"/>
  <c r="B7" i="47"/>
  <c r="CK9" i="53"/>
  <c r="CK41" i="53"/>
  <c r="B41" i="53" s="1"/>
  <c r="D41" i="53" s="1"/>
  <c r="CK8" i="53"/>
  <c r="CK40" i="53"/>
  <c r="B40" i="53" s="1"/>
  <c r="CK10" i="53"/>
  <c r="CK48" i="53"/>
  <c r="B7" i="53"/>
  <c r="CK9" i="52"/>
  <c r="CK40" i="52"/>
  <c r="B40" i="52" s="1"/>
  <c r="CK8" i="52"/>
  <c r="CK48" i="52"/>
  <c r="CK10" i="52"/>
  <c r="CK41" i="52"/>
  <c r="B41" i="52" s="1"/>
  <c r="D41" i="52" s="1"/>
  <c r="B7" i="52"/>
  <c r="CK11" i="45"/>
  <c r="CK8" i="50"/>
  <c r="CK48" i="50"/>
  <c r="CK9" i="50"/>
  <c r="CK40" i="50"/>
  <c r="B40" i="50" s="1"/>
  <c r="CK10" i="50"/>
  <c r="CK41" i="50"/>
  <c r="B41" i="50" s="1"/>
  <c r="D41" i="50" s="1"/>
  <c r="B7" i="50"/>
  <c r="CK40" i="48"/>
  <c r="B40" i="48" s="1"/>
  <c r="CK8" i="48"/>
  <c r="CK48" i="48"/>
  <c r="CK10" i="48"/>
  <c r="CK41" i="48"/>
  <c r="B41" i="48" s="1"/>
  <c r="D41" i="48" s="1"/>
  <c r="CK9" i="48"/>
  <c r="B7" i="48"/>
  <c r="CK8" i="51"/>
  <c r="CK48" i="51"/>
  <c r="CK10" i="51"/>
  <c r="CK41" i="51"/>
  <c r="B41" i="51" s="1"/>
  <c r="D41" i="51" s="1"/>
  <c r="CK9" i="51"/>
  <c r="CK40" i="51"/>
  <c r="B40" i="51" s="1"/>
  <c r="B7" i="51"/>
  <c r="CK10" i="54"/>
  <c r="CK41" i="54"/>
  <c r="B41" i="54" s="1"/>
  <c r="D41" i="54" s="1"/>
  <c r="CK9" i="54"/>
  <c r="CK40" i="54"/>
  <c r="B40" i="54" s="1"/>
  <c r="CK8" i="54"/>
  <c r="CK48" i="54"/>
  <c r="B7" i="54"/>
  <c r="F11" i="33"/>
  <c r="F11" i="50"/>
  <c r="B8" i="45"/>
  <c r="D7" i="10" s="1"/>
  <c r="A7" i="45"/>
  <c r="B9" i="45"/>
  <c r="C48" i="45"/>
  <c r="B10" i="45"/>
  <c r="D7" i="45"/>
  <c r="BV11" i="51"/>
  <c r="V11" i="51"/>
  <c r="AD11" i="51"/>
  <c r="AT11" i="53"/>
  <c r="BV11" i="52"/>
  <c r="AH11" i="52"/>
  <c r="N11" i="51"/>
  <c r="AR11" i="47"/>
  <c r="AP11" i="53"/>
  <c r="P11" i="46"/>
  <c r="AV11" i="53"/>
  <c r="AR11" i="53"/>
  <c r="BD11" i="51"/>
  <c r="L11" i="53"/>
  <c r="N11" i="50"/>
  <c r="AV11" i="54"/>
  <c r="AJ11" i="53"/>
  <c r="AV11" i="51"/>
  <c r="AR11" i="49"/>
  <c r="P11" i="49"/>
  <c r="AF11" i="49"/>
  <c r="BN11" i="48"/>
  <c r="BX11" i="48"/>
  <c r="AV11" i="49"/>
  <c r="BX11" i="50"/>
  <c r="AR11" i="46"/>
  <c r="T11" i="52"/>
  <c r="T11" i="49"/>
  <c r="AZ11" i="54"/>
  <c r="L11" i="48"/>
  <c r="AV11" i="46"/>
  <c r="P11" i="54"/>
  <c r="BL11" i="49"/>
  <c r="L11" i="54"/>
  <c r="X11" i="49"/>
  <c r="AF11" i="46"/>
  <c r="AZ11" i="47"/>
  <c r="AZ11" i="51"/>
  <c r="AP11" i="50"/>
  <c r="BL11" i="52"/>
  <c r="AP11" i="49"/>
  <c r="P11" i="52"/>
  <c r="X11" i="50"/>
  <c r="BF11" i="52"/>
  <c r="AD11" i="54"/>
  <c r="AJ11" i="48"/>
  <c r="AF11" i="52"/>
  <c r="X11" i="46"/>
  <c r="BF11" i="53"/>
  <c r="BD11" i="49"/>
  <c r="CD11" i="52"/>
  <c r="AT11" i="50"/>
  <c r="P11" i="51"/>
  <c r="BN11" i="45"/>
  <c r="BF11" i="49"/>
  <c r="CD11" i="50"/>
  <c r="BV11" i="48"/>
  <c r="AH11" i="49"/>
  <c r="BL11" i="53"/>
  <c r="L11" i="51"/>
  <c r="X11" i="53"/>
  <c r="AL11" i="50"/>
  <c r="BD11" i="48"/>
  <c r="AP11" i="54"/>
  <c r="BN11" i="53"/>
  <c r="V11" i="47"/>
  <c r="AF11" i="53"/>
  <c r="BV11" i="54"/>
  <c r="BV11" i="47"/>
  <c r="AH11" i="47"/>
  <c r="AJ11" i="54"/>
  <c r="AP11" i="52"/>
  <c r="BL11" i="47"/>
  <c r="BL11" i="48"/>
  <c r="BN11" i="47"/>
  <c r="R11" i="47"/>
  <c r="BD11" i="46"/>
  <c r="AV11" i="52"/>
  <c r="L11" i="49"/>
  <c r="BX11" i="49"/>
  <c r="AX11" i="52"/>
  <c r="X11" i="47"/>
  <c r="BX11" i="47"/>
  <c r="BX11" i="46"/>
  <c r="AF11" i="48"/>
  <c r="AF11" i="47"/>
  <c r="P11" i="48"/>
  <c r="AV11" i="48"/>
  <c r="BR11" i="46"/>
  <c r="AL11" i="54"/>
  <c r="BN11" i="54"/>
  <c r="BN11" i="50"/>
  <c r="BL11" i="54"/>
  <c r="BD11" i="52"/>
  <c r="AP11" i="51"/>
  <c r="AT11" i="52"/>
  <c r="CD11" i="47"/>
  <c r="BX11" i="53"/>
  <c r="N11" i="52"/>
  <c r="AT11" i="48"/>
  <c r="AP11" i="47"/>
  <c r="Z11" i="49"/>
  <c r="AX11" i="46"/>
  <c r="P11" i="50"/>
  <c r="Z11" i="54"/>
  <c r="R11" i="54"/>
  <c r="BF11" i="46"/>
  <c r="R11" i="50"/>
  <c r="BX11" i="51"/>
  <c r="Z11" i="48"/>
  <c r="AF11" i="54"/>
  <c r="BZ11" i="47"/>
  <c r="AD11" i="48"/>
  <c r="AX11" i="48"/>
  <c r="BF11" i="48"/>
  <c r="V11" i="54"/>
  <c r="AL11" i="52"/>
  <c r="AT11" i="54"/>
  <c r="BZ11" i="53"/>
  <c r="BZ11" i="49"/>
  <c r="R11" i="48"/>
  <c r="AX11" i="50"/>
  <c r="AZ11" i="46"/>
  <c r="AJ11" i="51"/>
  <c r="BF11" i="51"/>
  <c r="AJ11" i="46"/>
  <c r="Z11" i="52"/>
  <c r="BD11" i="50"/>
  <c r="AV11" i="50"/>
  <c r="BD11" i="53"/>
  <c r="AL11" i="47"/>
  <c r="R11" i="53"/>
  <c r="BN11" i="49"/>
  <c r="AX11" i="53"/>
  <c r="AX11" i="51"/>
  <c r="Z11" i="46"/>
  <c r="X11" i="48"/>
  <c r="BZ11" i="48"/>
  <c r="AH11" i="54"/>
  <c r="N11" i="48"/>
  <c r="CD11" i="49"/>
  <c r="AL11" i="53"/>
  <c r="BR11" i="47"/>
  <c r="CD11" i="54"/>
  <c r="BR11" i="49"/>
  <c r="R11" i="46"/>
  <c r="CD11" i="48"/>
  <c r="AX11" i="47"/>
  <c r="BZ11" i="51"/>
  <c r="X11" i="52"/>
  <c r="Z11" i="47"/>
  <c r="V11" i="46"/>
  <c r="AH11" i="51"/>
  <c r="V11" i="48"/>
  <c r="AD11" i="52"/>
  <c r="AX11" i="49"/>
  <c r="BL11" i="50"/>
  <c r="AR11" i="51"/>
  <c r="AT11" i="47"/>
  <c r="T11" i="45"/>
  <c r="BN11" i="46"/>
  <c r="AD11" i="47"/>
  <c r="AT11" i="51"/>
  <c r="AL11" i="48"/>
  <c r="H11" i="45"/>
  <c r="AZ11" i="50"/>
  <c r="BV11" i="46"/>
  <c r="V11" i="49"/>
  <c r="AX11" i="54"/>
  <c r="V11" i="53"/>
  <c r="N11" i="49"/>
  <c r="AT11" i="46"/>
  <c r="AF11" i="50"/>
  <c r="BF11" i="54"/>
  <c r="AR11" i="54"/>
  <c r="AR11" i="52"/>
  <c r="BL11" i="51"/>
  <c r="AJ11" i="52"/>
  <c r="L11" i="46"/>
  <c r="L11" i="52"/>
  <c r="AR11" i="48"/>
  <c r="AV11" i="47"/>
  <c r="T11" i="53"/>
  <c r="T11" i="54"/>
  <c r="AZ11" i="53"/>
  <c r="T11" i="48"/>
  <c r="BR11" i="48"/>
  <c r="AF11" i="51"/>
  <c r="BD11" i="54"/>
  <c r="BX11" i="54"/>
  <c r="J11" i="50"/>
  <c r="J11" i="46"/>
  <c r="J11" i="54"/>
  <c r="J11" i="49"/>
  <c r="J11" i="53"/>
  <c r="J11" i="48"/>
  <c r="BV44" i="45"/>
  <c r="AP44" i="45"/>
  <c r="J44" i="45"/>
  <c r="BT44" i="45"/>
  <c r="AN44" i="45"/>
  <c r="H44" i="45"/>
  <c r="BF44" i="45"/>
  <c r="Z44" i="45"/>
  <c r="BD44" i="45"/>
  <c r="X44" i="45"/>
  <c r="CF44" i="45"/>
  <c r="BB44" i="45"/>
  <c r="AR44" i="45"/>
  <c r="AD44" i="45"/>
  <c r="P44" i="45"/>
  <c r="CB44" i="45"/>
  <c r="BN44" i="45"/>
  <c r="AZ44" i="45"/>
  <c r="CN44" i="45"/>
  <c r="CN45" i="45" s="1"/>
  <c r="CN46" i="45" s="1"/>
  <c r="N44" i="45"/>
  <c r="AJ44" i="45"/>
  <c r="CO44" i="45"/>
  <c r="F44" i="45"/>
  <c r="BR44" i="45"/>
  <c r="BH44" i="45"/>
  <c r="AT44" i="45"/>
  <c r="AF44" i="45"/>
  <c r="R44" i="45"/>
  <c r="CD44" i="45"/>
  <c r="BP44" i="45"/>
  <c r="CM44" i="45"/>
  <c r="CM45" i="45" s="1"/>
  <c r="CM46" i="45" s="1"/>
  <c r="CK44" i="45"/>
  <c r="AB44" i="45"/>
  <c r="BL44" i="45"/>
  <c r="CL44" i="45"/>
  <c r="V44" i="45"/>
  <c r="L44" i="45"/>
  <c r="BX44" i="45"/>
  <c r="BJ44" i="45"/>
  <c r="AV44" i="45"/>
  <c r="AH44" i="45"/>
  <c r="T44" i="45"/>
  <c r="CI44" i="45"/>
  <c r="AL44" i="45"/>
  <c r="BZ44" i="45"/>
  <c r="AX44" i="45"/>
  <c r="CJ44" i="45"/>
  <c r="AO44" i="45"/>
  <c r="AO45" i="45" s="1"/>
  <c r="AQ44" i="45"/>
  <c r="AQ45" i="45" s="1"/>
  <c r="BI44" i="45"/>
  <c r="BI45" i="45" s="1"/>
  <c r="AK44" i="45"/>
  <c r="AK45" i="45" s="1"/>
  <c r="BC44" i="45"/>
  <c r="BC45" i="45" s="1"/>
  <c r="AC44" i="45"/>
  <c r="AC45" i="45" s="1"/>
  <c r="M44" i="45"/>
  <c r="M45" i="45" s="1"/>
  <c r="BG44" i="45"/>
  <c r="BG45" i="45" s="1"/>
  <c r="AY44" i="45"/>
  <c r="AY45" i="45" s="1"/>
  <c r="AE44" i="45"/>
  <c r="AE45" i="45" s="1"/>
  <c r="BS44" i="45"/>
  <c r="BS45" i="45" s="1"/>
  <c r="Q44" i="45"/>
  <c r="Q45" i="45" s="1"/>
  <c r="I44" i="45"/>
  <c r="I45" i="45" s="1"/>
  <c r="AA44" i="45"/>
  <c r="AA45" i="45" s="1"/>
  <c r="S44" i="45"/>
  <c r="S45" i="45" s="1"/>
  <c r="CG44" i="45"/>
  <c r="CG45" i="45" s="1"/>
  <c r="W44" i="45"/>
  <c r="W45" i="45" s="1"/>
  <c r="BQ44" i="45"/>
  <c r="BQ45" i="45" s="1"/>
  <c r="CE44" i="45"/>
  <c r="CE45" i="45" s="1"/>
  <c r="BK44" i="45"/>
  <c r="BK45" i="45" s="1"/>
  <c r="O44" i="45"/>
  <c r="O45" i="45" s="1"/>
  <c r="G44" i="45"/>
  <c r="G45" i="45" s="1"/>
  <c r="BM44" i="45"/>
  <c r="BM45" i="45" s="1"/>
  <c r="BO44" i="45"/>
  <c r="BO45" i="45" s="1"/>
  <c r="CA44" i="45"/>
  <c r="CA45" i="45" s="1"/>
  <c r="BA44" i="45"/>
  <c r="BA45" i="45" s="1"/>
  <c r="CC44" i="45"/>
  <c r="CC45" i="45" s="1"/>
  <c r="BY44" i="45"/>
  <c r="BY45" i="45" s="1"/>
  <c r="U44" i="45"/>
  <c r="U45" i="45" s="1"/>
  <c r="AI44" i="45"/>
  <c r="AI45" i="45" s="1"/>
  <c r="BU44" i="45"/>
  <c r="BU45" i="45" s="1"/>
  <c r="K44" i="45"/>
  <c r="K45" i="45" s="1"/>
  <c r="AU44" i="45"/>
  <c r="AU45" i="45" s="1"/>
  <c r="AM44" i="45"/>
  <c r="AM45" i="45" s="1"/>
  <c r="AG44" i="45"/>
  <c r="AG45" i="45" s="1"/>
  <c r="AW44" i="45"/>
  <c r="AW45" i="45" s="1"/>
  <c r="Y44" i="45"/>
  <c r="Y45" i="45" s="1"/>
  <c r="BE44" i="45"/>
  <c r="BE45" i="45" s="1"/>
  <c r="AS44" i="45"/>
  <c r="AS45" i="45" s="1"/>
  <c r="BW44" i="45"/>
  <c r="BW45" i="45" s="1"/>
  <c r="CL43" i="45"/>
  <c r="CJ43" i="45"/>
  <c r="CI43" i="45"/>
  <c r="CK43" i="45"/>
  <c r="CK38" i="51"/>
  <c r="B38" i="51" s="1"/>
  <c r="D38" i="51" s="1"/>
  <c r="CK37" i="51"/>
  <c r="B37" i="51" s="1"/>
  <c r="D37" i="51" s="1"/>
  <c r="CK36" i="51"/>
  <c r="B36" i="51" s="1"/>
  <c r="D36" i="51" s="1"/>
  <c r="CK35" i="51"/>
  <c r="B35" i="51" s="1"/>
  <c r="D35" i="51" s="1"/>
  <c r="CK19" i="51"/>
  <c r="B19" i="51" s="1"/>
  <c r="D19" i="51" s="1"/>
  <c r="CK47" i="51"/>
  <c r="B47" i="51" s="1"/>
  <c r="CK47" i="53"/>
  <c r="B47" i="53" s="1"/>
  <c r="CK38" i="53"/>
  <c r="B38" i="53" s="1"/>
  <c r="D38" i="53" s="1"/>
  <c r="CK37" i="53"/>
  <c r="B37" i="53" s="1"/>
  <c r="D37" i="53" s="1"/>
  <c r="CK36" i="53"/>
  <c r="B36" i="53" s="1"/>
  <c r="D36" i="53" s="1"/>
  <c r="CK35" i="53"/>
  <c r="B35" i="53" s="1"/>
  <c r="D35" i="53" s="1"/>
  <c r="CK19" i="53"/>
  <c r="B19" i="53" s="1"/>
  <c r="D19" i="53" s="1"/>
  <c r="CK47" i="46"/>
  <c r="B47" i="46" s="1"/>
  <c r="CK37" i="46"/>
  <c r="B37" i="46" s="1"/>
  <c r="D37" i="46" s="1"/>
  <c r="CK36" i="46"/>
  <c r="B36" i="46" s="1"/>
  <c r="D36" i="46" s="1"/>
  <c r="CK35" i="46"/>
  <c r="B35" i="46" s="1"/>
  <c r="D35" i="46" s="1"/>
  <c r="CK19" i="46"/>
  <c r="B19" i="46" s="1"/>
  <c r="D19" i="46" s="1"/>
  <c r="CK38" i="46"/>
  <c r="B38" i="46" s="1"/>
  <c r="D38" i="46" s="1"/>
  <c r="CK47" i="50"/>
  <c r="B47" i="50" s="1"/>
  <c r="CK38" i="50"/>
  <c r="B38" i="50" s="1"/>
  <c r="D38" i="50" s="1"/>
  <c r="CK37" i="50"/>
  <c r="B37" i="50" s="1"/>
  <c r="D37" i="50" s="1"/>
  <c r="CK36" i="50"/>
  <c r="B36" i="50" s="1"/>
  <c r="D36" i="50" s="1"/>
  <c r="CK35" i="50"/>
  <c r="B35" i="50" s="1"/>
  <c r="D35" i="50" s="1"/>
  <c r="CK19" i="50"/>
  <c r="B19" i="50" s="1"/>
  <c r="D19" i="50" s="1"/>
  <c r="CK38" i="52"/>
  <c r="B38" i="52" s="1"/>
  <c r="D38" i="52" s="1"/>
  <c r="CK37" i="52"/>
  <c r="B37" i="52" s="1"/>
  <c r="D37" i="52" s="1"/>
  <c r="CK36" i="52"/>
  <c r="B36" i="52" s="1"/>
  <c r="D36" i="52" s="1"/>
  <c r="CK35" i="52"/>
  <c r="B35" i="52" s="1"/>
  <c r="D35" i="52" s="1"/>
  <c r="CK19" i="52"/>
  <c r="B19" i="52" s="1"/>
  <c r="D19" i="52" s="1"/>
  <c r="CK47" i="52"/>
  <c r="B47" i="52" s="1"/>
  <c r="CK35" i="47"/>
  <c r="B35" i="47" s="1"/>
  <c r="D35" i="47" s="1"/>
  <c r="CK19" i="47"/>
  <c r="B19" i="47" s="1"/>
  <c r="D19" i="47" s="1"/>
  <c r="CK47" i="47"/>
  <c r="B47" i="47" s="1"/>
  <c r="CK36" i="47"/>
  <c r="B36" i="47" s="1"/>
  <c r="D36" i="47" s="1"/>
  <c r="CK38" i="47"/>
  <c r="B38" i="47" s="1"/>
  <c r="D38" i="47" s="1"/>
  <c r="CK37" i="47"/>
  <c r="B37" i="47" s="1"/>
  <c r="D37" i="47" s="1"/>
  <c r="CK47" i="48"/>
  <c r="B47" i="48" s="1"/>
  <c r="CK37" i="48"/>
  <c r="B37" i="48" s="1"/>
  <c r="D37" i="48" s="1"/>
  <c r="CK35" i="48"/>
  <c r="B35" i="48" s="1"/>
  <c r="D35" i="48" s="1"/>
  <c r="CK19" i="48"/>
  <c r="B19" i="48" s="1"/>
  <c r="D19" i="48" s="1"/>
  <c r="CK36" i="48"/>
  <c r="B36" i="48" s="1"/>
  <c r="D36" i="48" s="1"/>
  <c r="CK38" i="48"/>
  <c r="B38" i="48" s="1"/>
  <c r="D38" i="48" s="1"/>
  <c r="CK35" i="54"/>
  <c r="B35" i="54" s="1"/>
  <c r="D35" i="54" s="1"/>
  <c r="CK19" i="54"/>
  <c r="B19" i="54" s="1"/>
  <c r="D19" i="54" s="1"/>
  <c r="CK47" i="54"/>
  <c r="B47" i="54" s="1"/>
  <c r="CK38" i="54"/>
  <c r="B38" i="54" s="1"/>
  <c r="D38" i="54" s="1"/>
  <c r="CK37" i="54"/>
  <c r="B37" i="54" s="1"/>
  <c r="D37" i="54" s="1"/>
  <c r="CK36" i="54"/>
  <c r="B36" i="54" s="1"/>
  <c r="D36" i="54" s="1"/>
  <c r="CK38" i="49"/>
  <c r="B38" i="49" s="1"/>
  <c r="D38" i="49" s="1"/>
  <c r="CK37" i="49"/>
  <c r="B37" i="49" s="1"/>
  <c r="D37" i="49" s="1"/>
  <c r="CK36" i="49"/>
  <c r="B36" i="49" s="1"/>
  <c r="D36" i="49" s="1"/>
  <c r="CK35" i="49"/>
  <c r="B35" i="49" s="1"/>
  <c r="D35" i="49" s="1"/>
  <c r="CK19" i="49"/>
  <c r="B19" i="49" s="1"/>
  <c r="D19" i="49" s="1"/>
  <c r="CK47" i="49"/>
  <c r="B47" i="49" s="1"/>
  <c r="FS2" i="35"/>
  <c r="BN11" i="33"/>
  <c r="L11" i="33"/>
  <c r="BD11" i="33"/>
  <c r="BZ11" i="33"/>
  <c r="BV11" i="33"/>
  <c r="BX11" i="33"/>
  <c r="CL11" i="33"/>
  <c r="CJ11" i="33"/>
  <c r="CJ11" i="44"/>
  <c r="CK11" i="44"/>
  <c r="CI11" i="33"/>
  <c r="CD11" i="33"/>
  <c r="AF11" i="33"/>
  <c r="P11" i="33"/>
  <c r="N11" i="33"/>
  <c r="AX11" i="33"/>
  <c r="BR11" i="33"/>
  <c r="BF11" i="33"/>
  <c r="AZ11" i="33"/>
  <c r="AR11" i="33"/>
  <c r="T11" i="33"/>
  <c r="Z11" i="33"/>
  <c r="X11" i="33"/>
  <c r="CK40" i="33"/>
  <c r="CK8" i="33"/>
  <c r="CK41" i="33"/>
  <c r="CK9" i="33"/>
  <c r="CK10" i="33"/>
  <c r="D40" i="52" l="1"/>
  <c r="K18" i="10"/>
  <c r="D9" i="45"/>
  <c r="D8" i="10"/>
  <c r="D40" i="54"/>
  <c r="M18" i="10"/>
  <c r="D40" i="49"/>
  <c r="H18" i="10"/>
  <c r="D40" i="48"/>
  <c r="G18" i="10"/>
  <c r="D40" i="47"/>
  <c r="F18" i="10"/>
  <c r="D40" i="53"/>
  <c r="L18" i="10"/>
  <c r="D40" i="51"/>
  <c r="J18" i="10"/>
  <c r="D40" i="50"/>
  <c r="I18" i="10"/>
  <c r="D10" i="45"/>
  <c r="D9" i="10"/>
  <c r="D40" i="46"/>
  <c r="E18" i="10"/>
  <c r="CK11" i="53"/>
  <c r="B10" i="54"/>
  <c r="A7" i="54"/>
  <c r="B9" i="54"/>
  <c r="D7" i="54"/>
  <c r="B8" i="54"/>
  <c r="M7" i="10" s="1"/>
  <c r="C48" i="54"/>
  <c r="B9" i="53"/>
  <c r="A7" i="53"/>
  <c r="C48" i="53"/>
  <c r="B8" i="53"/>
  <c r="L7" i="10" s="1"/>
  <c r="D7" i="53"/>
  <c r="B10" i="53"/>
  <c r="CK11" i="49"/>
  <c r="D8" i="45"/>
  <c r="B11" i="45"/>
  <c r="D11" i="45" s="1"/>
  <c r="CK11" i="51"/>
  <c r="B10" i="50"/>
  <c r="D7" i="50"/>
  <c r="B8" i="50"/>
  <c r="I7" i="10" s="1"/>
  <c r="A7" i="50"/>
  <c r="B9" i="50"/>
  <c r="C48" i="50"/>
  <c r="A7" i="52"/>
  <c r="B9" i="52"/>
  <c r="C48" i="52"/>
  <c r="B8" i="52"/>
  <c r="K7" i="10" s="1"/>
  <c r="D7" i="52"/>
  <c r="B10" i="52"/>
  <c r="CK11" i="52"/>
  <c r="CK11" i="47"/>
  <c r="B10" i="46"/>
  <c r="C48" i="46"/>
  <c r="B8" i="46"/>
  <c r="E7" i="10" s="1"/>
  <c r="A7" i="46"/>
  <c r="B9" i="46"/>
  <c r="D7" i="46"/>
  <c r="CK11" i="54"/>
  <c r="B10" i="48"/>
  <c r="D7" i="48"/>
  <c r="B8" i="48"/>
  <c r="G7" i="10" s="1"/>
  <c r="C48" i="48"/>
  <c r="B9" i="48"/>
  <c r="A7" i="48"/>
  <c r="B8" i="49"/>
  <c r="H7" i="10" s="1"/>
  <c r="D7" i="49"/>
  <c r="B10" i="49"/>
  <c r="C48" i="49"/>
  <c r="B9" i="49"/>
  <c r="A7" i="49"/>
  <c r="B8" i="51"/>
  <c r="J7" i="10" s="1"/>
  <c r="D7" i="51"/>
  <c r="B9" i="51"/>
  <c r="A7" i="51"/>
  <c r="B10" i="51"/>
  <c r="C48" i="51"/>
  <c r="CK11" i="48"/>
  <c r="CK11" i="50"/>
  <c r="B9" i="47"/>
  <c r="A7" i="47"/>
  <c r="B10" i="47"/>
  <c r="C48" i="47"/>
  <c r="B8" i="47"/>
  <c r="F7" i="10" s="1"/>
  <c r="D7" i="47"/>
  <c r="CK11" i="46"/>
  <c r="AL44" i="49"/>
  <c r="BR44" i="49"/>
  <c r="F44" i="49"/>
  <c r="BB44" i="49"/>
  <c r="V44" i="49"/>
  <c r="X44" i="49"/>
  <c r="J44" i="49"/>
  <c r="BV44" i="49"/>
  <c r="BH44" i="49"/>
  <c r="AT44" i="49"/>
  <c r="AF44" i="49"/>
  <c r="R44" i="49"/>
  <c r="CD44" i="49"/>
  <c r="BP44" i="49"/>
  <c r="CN44" i="49"/>
  <c r="CN45" i="49" s="1"/>
  <c r="CN46" i="49" s="1"/>
  <c r="CM44" i="49"/>
  <c r="CM45" i="49" s="1"/>
  <c r="CM46" i="49" s="1"/>
  <c r="H44" i="49"/>
  <c r="P44" i="49"/>
  <c r="AZ44" i="49"/>
  <c r="CK44" i="49"/>
  <c r="CL44" i="49"/>
  <c r="AN44" i="49"/>
  <c r="Z44" i="49"/>
  <c r="L44" i="49"/>
  <c r="BX44" i="49"/>
  <c r="BJ44" i="49"/>
  <c r="AV44" i="49"/>
  <c r="AH44" i="49"/>
  <c r="T44" i="49"/>
  <c r="CI44" i="49"/>
  <c r="CJ44" i="49"/>
  <c r="CF44" i="49"/>
  <c r="BF44" i="49"/>
  <c r="AD44" i="49"/>
  <c r="BN44" i="49"/>
  <c r="BD44" i="49"/>
  <c r="AP44" i="49"/>
  <c r="AB44" i="49"/>
  <c r="N44" i="49"/>
  <c r="BZ44" i="49"/>
  <c r="BL44" i="49"/>
  <c r="AX44" i="49"/>
  <c r="AJ44" i="49"/>
  <c r="BT44" i="49"/>
  <c r="AR44" i="49"/>
  <c r="CB44" i="49"/>
  <c r="CO44" i="49"/>
  <c r="S44" i="49"/>
  <c r="S45" i="49" s="1"/>
  <c r="Y44" i="49"/>
  <c r="Y45" i="49" s="1"/>
  <c r="CC44" i="49"/>
  <c r="CC45" i="49" s="1"/>
  <c r="AE44" i="49"/>
  <c r="AE45" i="49" s="1"/>
  <c r="CE44" i="49"/>
  <c r="CE45" i="49" s="1"/>
  <c r="K44" i="49"/>
  <c r="K45" i="49" s="1"/>
  <c r="AA44" i="49"/>
  <c r="AA45" i="49" s="1"/>
  <c r="CA44" i="49"/>
  <c r="CA45" i="49" s="1"/>
  <c r="G44" i="49"/>
  <c r="G45" i="49" s="1"/>
  <c r="BW44" i="49"/>
  <c r="BW45" i="49" s="1"/>
  <c r="M44" i="49"/>
  <c r="M45" i="49" s="1"/>
  <c r="BU44" i="49"/>
  <c r="BU45" i="49" s="1"/>
  <c r="AU44" i="49"/>
  <c r="AU45" i="49" s="1"/>
  <c r="BQ44" i="49"/>
  <c r="BQ45" i="49" s="1"/>
  <c r="AC44" i="49"/>
  <c r="AC45" i="49" s="1"/>
  <c r="AQ44" i="49"/>
  <c r="AQ45" i="49" s="1"/>
  <c r="BG44" i="49"/>
  <c r="BG45" i="49" s="1"/>
  <c r="AG44" i="49"/>
  <c r="AG45" i="49" s="1"/>
  <c r="AM44" i="49"/>
  <c r="AM45" i="49" s="1"/>
  <c r="BC44" i="49"/>
  <c r="BC45" i="49" s="1"/>
  <c r="BY44" i="49"/>
  <c r="BY45" i="49" s="1"/>
  <c r="AI44" i="49"/>
  <c r="AI45" i="49" s="1"/>
  <c r="AY44" i="49"/>
  <c r="AY45" i="49" s="1"/>
  <c r="W44" i="49"/>
  <c r="W45" i="49" s="1"/>
  <c r="BA44" i="49"/>
  <c r="BA45" i="49" s="1"/>
  <c r="AW44" i="49"/>
  <c r="AW45" i="49" s="1"/>
  <c r="BM44" i="49"/>
  <c r="BM45" i="49" s="1"/>
  <c r="BS44" i="49"/>
  <c r="BS45" i="49" s="1"/>
  <c r="I44" i="49"/>
  <c r="I45" i="49" s="1"/>
  <c r="AK44" i="49"/>
  <c r="AK45" i="49" s="1"/>
  <c r="BO44" i="49"/>
  <c r="BO45" i="49" s="1"/>
  <c r="U44" i="49"/>
  <c r="U45" i="49" s="1"/>
  <c r="BI44" i="49"/>
  <c r="BI45" i="49" s="1"/>
  <c r="Q44" i="49"/>
  <c r="Q45" i="49" s="1"/>
  <c r="AO44" i="49"/>
  <c r="AO45" i="49" s="1"/>
  <c r="O44" i="49"/>
  <c r="O45" i="49" s="1"/>
  <c r="CG44" i="49"/>
  <c r="CG45" i="49" s="1"/>
  <c r="AS44" i="49"/>
  <c r="AS45" i="49" s="1"/>
  <c r="BK44" i="49"/>
  <c r="BK45" i="49" s="1"/>
  <c r="BE44" i="49"/>
  <c r="BE45" i="49" s="1"/>
  <c r="CK43" i="49"/>
  <c r="CI43" i="49"/>
  <c r="CJ43" i="49"/>
  <c r="CL43" i="49"/>
  <c r="CL43" i="51"/>
  <c r="BN44" i="51"/>
  <c r="AT44" i="51"/>
  <c r="V44" i="51"/>
  <c r="CD44" i="51"/>
  <c r="BJ44" i="51"/>
  <c r="AL44" i="51"/>
  <c r="R44" i="51"/>
  <c r="BZ44" i="51"/>
  <c r="BB44" i="51"/>
  <c r="AH44" i="51"/>
  <c r="N44" i="51"/>
  <c r="AX44" i="51"/>
  <c r="AD44" i="51"/>
  <c r="BR44" i="51"/>
  <c r="F44" i="51"/>
  <c r="BD44" i="51"/>
  <c r="AP44" i="51"/>
  <c r="L44" i="51"/>
  <c r="BX44" i="51"/>
  <c r="BL44" i="51"/>
  <c r="AZ44" i="51"/>
  <c r="CL44" i="51"/>
  <c r="CK44" i="51"/>
  <c r="H44" i="51"/>
  <c r="BT44" i="51"/>
  <c r="BF44" i="51"/>
  <c r="AB44" i="51"/>
  <c r="P44" i="51"/>
  <c r="CB44" i="51"/>
  <c r="BP44" i="51"/>
  <c r="CN44" i="51"/>
  <c r="CN45" i="51" s="1"/>
  <c r="CN46" i="51" s="1"/>
  <c r="CJ44" i="51"/>
  <c r="CM44" i="51"/>
  <c r="CM45" i="51" s="1"/>
  <c r="CM46" i="51" s="1"/>
  <c r="AN44" i="51"/>
  <c r="AJ44" i="51"/>
  <c r="CF44" i="51"/>
  <c r="X44" i="51"/>
  <c r="J44" i="51"/>
  <c r="BV44" i="51"/>
  <c r="AR44" i="51"/>
  <c r="AF44" i="51"/>
  <c r="T44" i="51"/>
  <c r="Z44" i="51"/>
  <c r="BH44" i="51"/>
  <c r="AV44" i="51"/>
  <c r="CI44" i="51"/>
  <c r="CO44" i="51"/>
  <c r="BW44" i="51"/>
  <c r="BW45" i="51" s="1"/>
  <c r="AI44" i="51"/>
  <c r="AI45" i="51" s="1"/>
  <c r="AY44" i="51"/>
  <c r="AY45" i="51" s="1"/>
  <c r="BS44" i="51"/>
  <c r="BS45" i="51" s="1"/>
  <c r="AE44" i="51"/>
  <c r="AE45" i="51" s="1"/>
  <c r="AS44" i="51"/>
  <c r="AS45" i="51" s="1"/>
  <c r="BM44" i="51"/>
  <c r="BM45" i="51" s="1"/>
  <c r="G44" i="51"/>
  <c r="G45" i="51" s="1"/>
  <c r="BA44" i="51"/>
  <c r="BA45" i="51" s="1"/>
  <c r="CE44" i="51"/>
  <c r="CE45" i="51" s="1"/>
  <c r="Y44" i="51"/>
  <c r="Y45" i="51" s="1"/>
  <c r="BK44" i="51"/>
  <c r="BK45" i="51" s="1"/>
  <c r="CA44" i="51"/>
  <c r="CA45" i="51" s="1"/>
  <c r="AC44" i="51"/>
  <c r="AC45" i="51" s="1"/>
  <c r="AA44" i="51"/>
  <c r="AA45" i="51" s="1"/>
  <c r="K44" i="51"/>
  <c r="K45" i="51" s="1"/>
  <c r="AW44" i="51"/>
  <c r="AW45" i="51" s="1"/>
  <c r="O44" i="51"/>
  <c r="O45" i="51" s="1"/>
  <c r="BU44" i="51"/>
  <c r="BU45" i="51" s="1"/>
  <c r="BY44" i="51"/>
  <c r="BY45" i="51" s="1"/>
  <c r="BQ44" i="51"/>
  <c r="BQ45" i="51" s="1"/>
  <c r="M44" i="51"/>
  <c r="M45" i="51" s="1"/>
  <c r="AQ44" i="51"/>
  <c r="AQ45" i="51" s="1"/>
  <c r="CC44" i="51"/>
  <c r="CC45" i="51" s="1"/>
  <c r="BG44" i="51"/>
  <c r="BG45" i="51" s="1"/>
  <c r="BE44" i="51"/>
  <c r="BE45" i="51" s="1"/>
  <c r="AG44" i="51"/>
  <c r="AG45" i="51" s="1"/>
  <c r="BI44" i="51"/>
  <c r="BI45" i="51" s="1"/>
  <c r="U44" i="51"/>
  <c r="U45" i="51" s="1"/>
  <c r="AK44" i="51"/>
  <c r="AK45" i="51" s="1"/>
  <c r="W44" i="51"/>
  <c r="W45" i="51" s="1"/>
  <c r="S44" i="51"/>
  <c r="S45" i="51" s="1"/>
  <c r="AM44" i="51"/>
  <c r="AM45" i="51" s="1"/>
  <c r="CG44" i="51"/>
  <c r="CG45" i="51" s="1"/>
  <c r="BC44" i="51"/>
  <c r="BC45" i="51" s="1"/>
  <c r="BO44" i="51"/>
  <c r="BO45" i="51" s="1"/>
  <c r="AO44" i="51"/>
  <c r="AO45" i="51" s="1"/>
  <c r="AU44" i="51"/>
  <c r="AU45" i="51" s="1"/>
  <c r="I44" i="51"/>
  <c r="I45" i="51" s="1"/>
  <c r="Q44" i="51"/>
  <c r="Q45" i="51" s="1"/>
  <c r="CJ43" i="51"/>
  <c r="CK43" i="51"/>
  <c r="CI43" i="51"/>
  <c r="Y48" i="45"/>
  <c r="Y46" i="45"/>
  <c r="U48" i="45"/>
  <c r="U46" i="45"/>
  <c r="CA48" i="45"/>
  <c r="CA46" i="45"/>
  <c r="O48" i="45"/>
  <c r="O46" i="45"/>
  <c r="W48" i="45"/>
  <c r="W46" i="45"/>
  <c r="I48" i="45"/>
  <c r="I46" i="45"/>
  <c r="AY48" i="45"/>
  <c r="AY46" i="45"/>
  <c r="BC48" i="45"/>
  <c r="BC46" i="45"/>
  <c r="AO48" i="45"/>
  <c r="AO46" i="45"/>
  <c r="BT44" i="50"/>
  <c r="AN44" i="50"/>
  <c r="H44" i="50"/>
  <c r="BF44" i="50"/>
  <c r="Z44" i="50"/>
  <c r="BV44" i="50"/>
  <c r="J44" i="50"/>
  <c r="AP44" i="50"/>
  <c r="BD44" i="50"/>
  <c r="X44" i="50"/>
  <c r="CF44" i="50"/>
  <c r="AL44" i="50"/>
  <c r="AB44" i="50"/>
  <c r="N44" i="50"/>
  <c r="BZ44" i="50"/>
  <c r="BL44" i="50"/>
  <c r="AX44" i="50"/>
  <c r="AJ44" i="50"/>
  <c r="CK44" i="50"/>
  <c r="L44" i="50"/>
  <c r="BB44" i="50"/>
  <c r="AR44" i="50"/>
  <c r="AD44" i="50"/>
  <c r="P44" i="50"/>
  <c r="CB44" i="50"/>
  <c r="BN44" i="50"/>
  <c r="AZ44" i="50"/>
  <c r="CL44" i="50"/>
  <c r="BX44" i="50"/>
  <c r="AV44" i="50"/>
  <c r="T44" i="50"/>
  <c r="F44" i="50"/>
  <c r="BR44" i="50"/>
  <c r="BH44" i="50"/>
  <c r="AT44" i="50"/>
  <c r="AF44" i="50"/>
  <c r="R44" i="50"/>
  <c r="CD44" i="50"/>
  <c r="BP44" i="50"/>
  <c r="CI44" i="50"/>
  <c r="CN44" i="50"/>
  <c r="CN45" i="50" s="1"/>
  <c r="CN46" i="50" s="1"/>
  <c r="CO44" i="50"/>
  <c r="CJ44" i="50"/>
  <c r="CM44" i="50"/>
  <c r="CM45" i="50" s="1"/>
  <c r="CM46" i="50" s="1"/>
  <c r="V44" i="50"/>
  <c r="BJ44" i="50"/>
  <c r="AH44" i="50"/>
  <c r="AM44" i="50"/>
  <c r="AM45" i="50" s="1"/>
  <c r="BY44" i="50"/>
  <c r="BY45" i="50" s="1"/>
  <c r="AU44" i="50"/>
  <c r="AU45" i="50" s="1"/>
  <c r="AO44" i="50"/>
  <c r="AO45" i="50" s="1"/>
  <c r="BW44" i="50"/>
  <c r="BW45" i="50" s="1"/>
  <c r="AG44" i="50"/>
  <c r="AG45" i="50" s="1"/>
  <c r="Y44" i="50"/>
  <c r="Y45" i="50" s="1"/>
  <c r="AI44" i="50"/>
  <c r="AI45" i="50" s="1"/>
  <c r="CC44" i="50"/>
  <c r="CC45" i="50" s="1"/>
  <c r="Q44" i="50"/>
  <c r="Q45" i="50" s="1"/>
  <c r="AY44" i="50"/>
  <c r="AY45" i="50" s="1"/>
  <c r="CG44" i="50"/>
  <c r="CG45" i="50" s="1"/>
  <c r="BU44" i="50"/>
  <c r="BU45" i="50" s="1"/>
  <c r="AE44" i="50"/>
  <c r="AE45" i="50" s="1"/>
  <c r="CA44" i="50"/>
  <c r="CA45" i="50" s="1"/>
  <c r="I44" i="50"/>
  <c r="I45" i="50" s="1"/>
  <c r="AW44" i="50"/>
  <c r="AW45" i="50" s="1"/>
  <c r="AK44" i="50"/>
  <c r="AK45" i="50" s="1"/>
  <c r="BI44" i="50"/>
  <c r="BI45" i="50" s="1"/>
  <c r="BE44" i="50"/>
  <c r="BE45" i="50" s="1"/>
  <c r="AA44" i="50"/>
  <c r="AA45" i="50" s="1"/>
  <c r="BK44" i="50"/>
  <c r="BK45" i="50" s="1"/>
  <c r="AC44" i="50"/>
  <c r="AC45" i="50" s="1"/>
  <c r="AQ44" i="50"/>
  <c r="AQ45" i="50" s="1"/>
  <c r="BA44" i="50"/>
  <c r="BA45" i="50" s="1"/>
  <c r="G44" i="50"/>
  <c r="G45" i="50" s="1"/>
  <c r="O44" i="50"/>
  <c r="O45" i="50" s="1"/>
  <c r="BS44" i="50"/>
  <c r="BS45" i="50" s="1"/>
  <c r="U44" i="50"/>
  <c r="U45" i="50" s="1"/>
  <c r="W44" i="50"/>
  <c r="W45" i="50" s="1"/>
  <c r="BQ44" i="50"/>
  <c r="BQ45" i="50" s="1"/>
  <c r="BG44" i="50"/>
  <c r="BG45" i="50" s="1"/>
  <c r="S44" i="50"/>
  <c r="S45" i="50" s="1"/>
  <c r="BO44" i="50"/>
  <c r="BO45" i="50" s="1"/>
  <c r="AS44" i="50"/>
  <c r="AS45" i="50" s="1"/>
  <c r="M44" i="50"/>
  <c r="M45" i="50" s="1"/>
  <c r="BM44" i="50"/>
  <c r="BM45" i="50" s="1"/>
  <c r="CE44" i="50"/>
  <c r="CE45" i="50" s="1"/>
  <c r="K44" i="50"/>
  <c r="K45" i="50" s="1"/>
  <c r="BC44" i="50"/>
  <c r="BC45" i="50" s="1"/>
  <c r="CK43" i="50"/>
  <c r="CL43" i="50"/>
  <c r="CI43" i="50"/>
  <c r="CJ43" i="50"/>
  <c r="BW48" i="45"/>
  <c r="BW46" i="45"/>
  <c r="AW48" i="45"/>
  <c r="AW46" i="45"/>
  <c r="K48" i="45"/>
  <c r="K46" i="45"/>
  <c r="BY48" i="45"/>
  <c r="BY46" i="45"/>
  <c r="BO48" i="45"/>
  <c r="BO46" i="45"/>
  <c r="BK48" i="45"/>
  <c r="BK46" i="45"/>
  <c r="CG48" i="45"/>
  <c r="CG46" i="45"/>
  <c r="Q48" i="45"/>
  <c r="Q46" i="45"/>
  <c r="BG48" i="45"/>
  <c r="BG46" i="45"/>
  <c r="AK48" i="45"/>
  <c r="AK46" i="45"/>
  <c r="BZ44" i="48"/>
  <c r="BR44" i="48"/>
  <c r="BJ44" i="48"/>
  <c r="BB44" i="48"/>
  <c r="AT44" i="48"/>
  <c r="AL44" i="48"/>
  <c r="AD44" i="48"/>
  <c r="V44" i="48"/>
  <c r="N44" i="48"/>
  <c r="F44" i="48"/>
  <c r="CF44" i="48"/>
  <c r="BX44" i="48"/>
  <c r="BP44" i="48"/>
  <c r="BH44" i="48"/>
  <c r="AZ44" i="48"/>
  <c r="AR44" i="48"/>
  <c r="AJ44" i="48"/>
  <c r="AB44" i="48"/>
  <c r="T44" i="48"/>
  <c r="L44" i="48"/>
  <c r="BT44" i="48"/>
  <c r="BD44" i="48"/>
  <c r="AN44" i="48"/>
  <c r="X44" i="48"/>
  <c r="H44" i="48"/>
  <c r="CD44" i="48"/>
  <c r="BN44" i="48"/>
  <c r="AX44" i="48"/>
  <c r="AH44" i="48"/>
  <c r="R44" i="48"/>
  <c r="CB44" i="48"/>
  <c r="BL44" i="48"/>
  <c r="AV44" i="48"/>
  <c r="AF44" i="48"/>
  <c r="P44" i="48"/>
  <c r="Z44" i="48"/>
  <c r="BV44" i="48"/>
  <c r="J44" i="48"/>
  <c r="BF44" i="48"/>
  <c r="AP44" i="48"/>
  <c r="CJ44" i="48"/>
  <c r="CN44" i="48"/>
  <c r="CN45" i="48" s="1"/>
  <c r="CN46" i="48" s="1"/>
  <c r="CL44" i="48"/>
  <c r="CO44" i="48"/>
  <c r="CI44" i="48"/>
  <c r="CK44" i="48"/>
  <c r="CM44" i="48"/>
  <c r="CM45" i="48" s="1"/>
  <c r="CM46" i="48" s="1"/>
  <c r="BQ44" i="48"/>
  <c r="BQ45" i="48" s="1"/>
  <c r="BK44" i="48"/>
  <c r="BK45" i="48" s="1"/>
  <c r="AC44" i="48"/>
  <c r="AC45" i="48" s="1"/>
  <c r="M44" i="48"/>
  <c r="M45" i="48" s="1"/>
  <c r="AQ44" i="48"/>
  <c r="AQ45" i="48" s="1"/>
  <c r="BU44" i="48"/>
  <c r="BU45" i="48" s="1"/>
  <c r="S44" i="48"/>
  <c r="S45" i="48" s="1"/>
  <c r="BC44" i="48"/>
  <c r="BC45" i="48" s="1"/>
  <c r="BO44" i="48"/>
  <c r="BO45" i="48" s="1"/>
  <c r="AS44" i="48"/>
  <c r="AS45" i="48" s="1"/>
  <c r="BG44" i="48"/>
  <c r="BG45" i="48" s="1"/>
  <c r="U44" i="48"/>
  <c r="U45" i="48" s="1"/>
  <c r="AK44" i="48"/>
  <c r="AK45" i="48" s="1"/>
  <c r="CC44" i="48"/>
  <c r="CC45" i="48" s="1"/>
  <c r="AE44" i="48"/>
  <c r="AE45" i="48" s="1"/>
  <c r="AM44" i="48"/>
  <c r="AM45" i="48" s="1"/>
  <c r="BA44" i="48"/>
  <c r="BA45" i="48" s="1"/>
  <c r="BM44" i="48"/>
  <c r="BM45" i="48" s="1"/>
  <c r="AI44" i="48"/>
  <c r="AI45" i="48" s="1"/>
  <c r="AW44" i="48"/>
  <c r="AW45" i="48" s="1"/>
  <c r="O44" i="48"/>
  <c r="O45" i="48" s="1"/>
  <c r="W44" i="48"/>
  <c r="W45" i="48" s="1"/>
  <c r="BS44" i="48"/>
  <c r="BS45" i="48" s="1"/>
  <c r="Q44" i="48"/>
  <c r="Q45" i="48" s="1"/>
  <c r="I44" i="48"/>
  <c r="I45" i="48" s="1"/>
  <c r="Y44" i="48"/>
  <c r="Y45" i="48" s="1"/>
  <c r="BY44" i="48"/>
  <c r="BY45" i="48" s="1"/>
  <c r="AU44" i="48"/>
  <c r="AU45" i="48" s="1"/>
  <c r="CG44" i="48"/>
  <c r="CG45" i="48" s="1"/>
  <c r="K44" i="48"/>
  <c r="K45" i="48" s="1"/>
  <c r="AY44" i="48"/>
  <c r="AY45" i="48" s="1"/>
  <c r="G44" i="48"/>
  <c r="G45" i="48" s="1"/>
  <c r="CA44" i="48"/>
  <c r="CA45" i="48" s="1"/>
  <c r="BI44" i="48"/>
  <c r="BI45" i="48" s="1"/>
  <c r="AA44" i="48"/>
  <c r="AA45" i="48" s="1"/>
  <c r="AG44" i="48"/>
  <c r="AG45" i="48" s="1"/>
  <c r="AO44" i="48"/>
  <c r="AO45" i="48" s="1"/>
  <c r="BE44" i="48"/>
  <c r="BE45" i="48" s="1"/>
  <c r="CE44" i="48"/>
  <c r="CE45" i="48" s="1"/>
  <c r="BW44" i="48"/>
  <c r="BW45" i="48" s="1"/>
  <c r="CJ43" i="48"/>
  <c r="CI43" i="48"/>
  <c r="CK43" i="48"/>
  <c r="CL43" i="48"/>
  <c r="BT44" i="46"/>
  <c r="BD44" i="46"/>
  <c r="AN44" i="46"/>
  <c r="X44" i="46"/>
  <c r="H44" i="46"/>
  <c r="BR44" i="46"/>
  <c r="BB44" i="46"/>
  <c r="AL44" i="46"/>
  <c r="V44" i="46"/>
  <c r="F44" i="46"/>
  <c r="BZ44" i="46"/>
  <c r="BJ44" i="46"/>
  <c r="AT44" i="46"/>
  <c r="AD44" i="46"/>
  <c r="N44" i="46"/>
  <c r="AR44" i="46"/>
  <c r="AB44" i="46"/>
  <c r="BX44" i="46"/>
  <c r="L44" i="46"/>
  <c r="BH44" i="46"/>
  <c r="BF44" i="46"/>
  <c r="AV44" i="46"/>
  <c r="AH44" i="46"/>
  <c r="T44" i="46"/>
  <c r="CM44" i="46"/>
  <c r="CM45" i="46" s="1"/>
  <c r="CM46" i="46" s="1"/>
  <c r="CI44" i="46"/>
  <c r="CL44" i="46"/>
  <c r="AF44" i="46"/>
  <c r="BP44" i="46"/>
  <c r="CJ44" i="46"/>
  <c r="CF44" i="46"/>
  <c r="J44" i="46"/>
  <c r="BV44" i="46"/>
  <c r="BL44" i="46"/>
  <c r="AX44" i="46"/>
  <c r="AJ44" i="46"/>
  <c r="CN44" i="46"/>
  <c r="CN45" i="46" s="1"/>
  <c r="CN46" i="46" s="1"/>
  <c r="R44" i="46"/>
  <c r="Z44" i="46"/>
  <c r="P44" i="46"/>
  <c r="CB44" i="46"/>
  <c r="BN44" i="46"/>
  <c r="AZ44" i="46"/>
  <c r="CO44" i="46"/>
  <c r="CK44" i="46"/>
  <c r="AP44" i="46"/>
  <c r="CD44" i="46"/>
  <c r="BU44" i="46"/>
  <c r="BU45" i="46" s="1"/>
  <c r="AG44" i="46"/>
  <c r="AG45" i="46" s="1"/>
  <c r="CG44" i="46"/>
  <c r="CG45" i="46" s="1"/>
  <c r="BS44" i="46"/>
  <c r="BS45" i="46" s="1"/>
  <c r="Y44" i="46"/>
  <c r="Y45" i="46" s="1"/>
  <c r="BG44" i="46"/>
  <c r="BG45" i="46" s="1"/>
  <c r="S44" i="46"/>
  <c r="S45" i="46" s="1"/>
  <c r="AI44" i="46"/>
  <c r="AI45" i="46" s="1"/>
  <c r="BC44" i="46"/>
  <c r="BC45" i="46" s="1"/>
  <c r="O44" i="46"/>
  <c r="O45" i="46" s="1"/>
  <c r="AQ44" i="46"/>
  <c r="AQ45" i="46" s="1"/>
  <c r="BY44" i="46"/>
  <c r="BY45" i="46" s="1"/>
  <c r="BA44" i="46"/>
  <c r="BA45" i="46" s="1"/>
  <c r="AA44" i="46"/>
  <c r="AA45" i="46" s="1"/>
  <c r="CC44" i="46"/>
  <c r="CC45" i="46" s="1"/>
  <c r="W44" i="46"/>
  <c r="W45" i="46" s="1"/>
  <c r="BQ44" i="46"/>
  <c r="BQ45" i="46" s="1"/>
  <c r="AM44" i="46"/>
  <c r="AM45" i="46" s="1"/>
  <c r="AY44" i="46"/>
  <c r="AY45" i="46" s="1"/>
  <c r="BO44" i="46"/>
  <c r="BO45" i="46" s="1"/>
  <c r="I44" i="46"/>
  <c r="I45" i="46" s="1"/>
  <c r="AU44" i="46"/>
  <c r="AU45" i="46" s="1"/>
  <c r="BK44" i="46"/>
  <c r="BK45" i="46" s="1"/>
  <c r="M44" i="46"/>
  <c r="M45" i="46" s="1"/>
  <c r="BW44" i="46"/>
  <c r="BW45" i="46" s="1"/>
  <c r="CE44" i="46"/>
  <c r="CE45" i="46" s="1"/>
  <c r="AK44" i="46"/>
  <c r="AK45" i="46" s="1"/>
  <c r="BI44" i="46"/>
  <c r="BI45" i="46" s="1"/>
  <c r="BM44" i="46"/>
  <c r="BM45" i="46" s="1"/>
  <c r="AE44" i="46"/>
  <c r="AE45" i="46" s="1"/>
  <c r="K44" i="46"/>
  <c r="K45" i="46" s="1"/>
  <c r="BE44" i="46"/>
  <c r="BE45" i="46" s="1"/>
  <c r="AO44" i="46"/>
  <c r="AO45" i="46" s="1"/>
  <c r="CA44" i="46"/>
  <c r="CA45" i="46" s="1"/>
  <c r="Q44" i="46"/>
  <c r="Q45" i="46" s="1"/>
  <c r="AS44" i="46"/>
  <c r="AS45" i="46" s="1"/>
  <c r="U44" i="46"/>
  <c r="U45" i="46" s="1"/>
  <c r="AC44" i="46"/>
  <c r="AC45" i="46" s="1"/>
  <c r="AW44" i="46"/>
  <c r="AW45" i="46" s="1"/>
  <c r="G44" i="46"/>
  <c r="G45" i="46" s="1"/>
  <c r="CI43" i="46"/>
  <c r="CJ43" i="46"/>
  <c r="CL43" i="46"/>
  <c r="CK43" i="46"/>
  <c r="AS48" i="45"/>
  <c r="AS46" i="45"/>
  <c r="AG48" i="45"/>
  <c r="AG46" i="45"/>
  <c r="BU48" i="45"/>
  <c r="BU46" i="45"/>
  <c r="CC48" i="45"/>
  <c r="CC46" i="45"/>
  <c r="BM48" i="45"/>
  <c r="BM46" i="45"/>
  <c r="CE48" i="45"/>
  <c r="CE46" i="45"/>
  <c r="S48" i="45"/>
  <c r="S46" i="45"/>
  <c r="BS48" i="45"/>
  <c r="BS46" i="45"/>
  <c r="M48" i="45"/>
  <c r="M46" i="45"/>
  <c r="BI48" i="45"/>
  <c r="BI46" i="45"/>
  <c r="BX44" i="54"/>
  <c r="BH44" i="54"/>
  <c r="AR44" i="54"/>
  <c r="AB44" i="54"/>
  <c r="P44" i="54"/>
  <c r="F44" i="54"/>
  <c r="BV44" i="54"/>
  <c r="BD44" i="54"/>
  <c r="AL44" i="54"/>
  <c r="L44" i="54"/>
  <c r="BR44" i="54"/>
  <c r="AN44" i="54"/>
  <c r="J44" i="54"/>
  <c r="BB44" i="54"/>
  <c r="V44" i="54"/>
  <c r="AP44" i="54"/>
  <c r="H44" i="54"/>
  <c r="BF44" i="54"/>
  <c r="BT44" i="54"/>
  <c r="Z44" i="54"/>
  <c r="X44" i="54"/>
  <c r="CF44" i="54"/>
  <c r="BJ44" i="54"/>
  <c r="BL44" i="54"/>
  <c r="AX44" i="54"/>
  <c r="T44" i="54"/>
  <c r="N44" i="54"/>
  <c r="BZ44" i="54"/>
  <c r="CB44" i="54"/>
  <c r="BN44" i="54"/>
  <c r="AJ44" i="54"/>
  <c r="CM44" i="54"/>
  <c r="CM45" i="54" s="1"/>
  <c r="CM46" i="54" s="1"/>
  <c r="CO44" i="54"/>
  <c r="CK44" i="54"/>
  <c r="AT44" i="54"/>
  <c r="AV44" i="54"/>
  <c r="AH44" i="54"/>
  <c r="BP44" i="54"/>
  <c r="CL44" i="54"/>
  <c r="AD44" i="54"/>
  <c r="AF44" i="54"/>
  <c r="R44" i="54"/>
  <c r="CD44" i="54"/>
  <c r="AZ44" i="54"/>
  <c r="CN44" i="54"/>
  <c r="CN45" i="54" s="1"/>
  <c r="CN46" i="54" s="1"/>
  <c r="CI44" i="54"/>
  <c r="CJ44" i="54"/>
  <c r="AY44" i="54"/>
  <c r="AY45" i="54" s="1"/>
  <c r="AQ44" i="54"/>
  <c r="AQ45" i="54" s="1"/>
  <c r="O44" i="54"/>
  <c r="O45" i="54" s="1"/>
  <c r="BO44" i="54"/>
  <c r="BO45" i="54" s="1"/>
  <c r="W44" i="54"/>
  <c r="W45" i="54" s="1"/>
  <c r="CC44" i="54"/>
  <c r="CC45" i="54" s="1"/>
  <c r="BA44" i="54"/>
  <c r="BA45" i="54" s="1"/>
  <c r="CG44" i="54"/>
  <c r="CG45" i="54" s="1"/>
  <c r="AM44" i="54"/>
  <c r="AM45" i="54" s="1"/>
  <c r="AE44" i="54"/>
  <c r="AE45" i="54" s="1"/>
  <c r="AO44" i="54"/>
  <c r="AO45" i="54" s="1"/>
  <c r="CE44" i="54"/>
  <c r="CE45" i="54" s="1"/>
  <c r="BQ44" i="54"/>
  <c r="BQ45" i="54" s="1"/>
  <c r="G44" i="54"/>
  <c r="G45" i="54" s="1"/>
  <c r="I44" i="54"/>
  <c r="I45" i="54" s="1"/>
  <c r="BI44" i="54"/>
  <c r="BI45" i="54" s="1"/>
  <c r="BY44" i="54"/>
  <c r="BY45" i="54" s="1"/>
  <c r="BS44" i="54"/>
  <c r="BS45" i="54" s="1"/>
  <c r="BK44" i="54"/>
  <c r="BK45" i="54" s="1"/>
  <c r="CA44" i="54"/>
  <c r="CA45" i="54" s="1"/>
  <c r="M44" i="54"/>
  <c r="M45" i="54" s="1"/>
  <c r="AC44" i="54"/>
  <c r="AC45" i="54" s="1"/>
  <c r="AK44" i="54"/>
  <c r="AK45" i="54" s="1"/>
  <c r="BG44" i="54"/>
  <c r="BG45" i="54" s="1"/>
  <c r="Y44" i="54"/>
  <c r="Y45" i="54" s="1"/>
  <c r="AW44" i="54"/>
  <c r="AW45" i="54" s="1"/>
  <c r="AU44" i="54"/>
  <c r="AU45" i="54" s="1"/>
  <c r="AS44" i="54"/>
  <c r="AS45" i="54" s="1"/>
  <c r="AI44" i="54"/>
  <c r="AI45" i="54" s="1"/>
  <c r="S44" i="54"/>
  <c r="S45" i="54" s="1"/>
  <c r="K44" i="54"/>
  <c r="K45" i="54" s="1"/>
  <c r="AA44" i="54"/>
  <c r="AA45" i="54" s="1"/>
  <c r="BM44" i="54"/>
  <c r="BM45" i="54" s="1"/>
  <c r="BU44" i="54"/>
  <c r="BU45" i="54" s="1"/>
  <c r="BE44" i="54"/>
  <c r="BE45" i="54" s="1"/>
  <c r="Q44" i="54"/>
  <c r="Q45" i="54" s="1"/>
  <c r="U44" i="54"/>
  <c r="U45" i="54" s="1"/>
  <c r="AG44" i="54"/>
  <c r="AG45" i="54" s="1"/>
  <c r="BC44" i="54"/>
  <c r="BC45" i="54" s="1"/>
  <c r="BW44" i="54"/>
  <c r="BW45" i="54" s="1"/>
  <c r="CK43" i="54"/>
  <c r="CL43" i="54"/>
  <c r="CI43" i="54"/>
  <c r="CJ43" i="54"/>
  <c r="CD44" i="52"/>
  <c r="BJ44" i="52"/>
  <c r="AL44" i="52"/>
  <c r="R44" i="52"/>
  <c r="BZ44" i="52"/>
  <c r="BB44" i="52"/>
  <c r="AH44" i="52"/>
  <c r="N44" i="52"/>
  <c r="BR44" i="52"/>
  <c r="AX44" i="52"/>
  <c r="AD44" i="52"/>
  <c r="F44" i="52"/>
  <c r="V44" i="52"/>
  <c r="BN44" i="52"/>
  <c r="AT44" i="52"/>
  <c r="BD44" i="52"/>
  <c r="AP44" i="52"/>
  <c r="AB44" i="52"/>
  <c r="P44" i="52"/>
  <c r="CB44" i="52"/>
  <c r="BP44" i="52"/>
  <c r="CL44" i="52"/>
  <c r="CK44" i="52"/>
  <c r="CF44" i="52"/>
  <c r="H44" i="52"/>
  <c r="BT44" i="52"/>
  <c r="BF44" i="52"/>
  <c r="AR44" i="52"/>
  <c r="AF44" i="52"/>
  <c r="T44" i="52"/>
  <c r="CI44" i="52"/>
  <c r="CN44" i="52"/>
  <c r="CN45" i="52" s="1"/>
  <c r="CN46" i="52" s="1"/>
  <c r="CM44" i="52"/>
  <c r="CM45" i="52" s="1"/>
  <c r="CM46" i="52" s="1"/>
  <c r="AN44" i="52"/>
  <c r="L44" i="52"/>
  <c r="BL44" i="52"/>
  <c r="X44" i="52"/>
  <c r="J44" i="52"/>
  <c r="BV44" i="52"/>
  <c r="BH44" i="52"/>
  <c r="AV44" i="52"/>
  <c r="AJ44" i="52"/>
  <c r="CO44" i="52"/>
  <c r="CJ44" i="52"/>
  <c r="Z44" i="52"/>
  <c r="BX44" i="52"/>
  <c r="AZ44" i="52"/>
  <c r="BU44" i="52"/>
  <c r="BU45" i="52" s="1"/>
  <c r="M44" i="52"/>
  <c r="M45" i="52" s="1"/>
  <c r="BM44" i="52"/>
  <c r="BM45" i="52" s="1"/>
  <c r="K44" i="52"/>
  <c r="K45" i="52" s="1"/>
  <c r="BI44" i="52"/>
  <c r="BI45" i="52" s="1"/>
  <c r="BQ44" i="52"/>
  <c r="BQ45" i="52" s="1"/>
  <c r="BC44" i="52"/>
  <c r="BC45" i="52" s="1"/>
  <c r="Y44" i="52"/>
  <c r="Y45" i="52" s="1"/>
  <c r="AC44" i="52"/>
  <c r="AC45" i="52" s="1"/>
  <c r="AG44" i="52"/>
  <c r="AG45" i="52" s="1"/>
  <c r="AU44" i="52"/>
  <c r="AU45" i="52" s="1"/>
  <c r="S44" i="52"/>
  <c r="S45" i="52" s="1"/>
  <c r="BW44" i="52"/>
  <c r="BW45" i="52" s="1"/>
  <c r="BG44" i="52"/>
  <c r="BG45" i="52" s="1"/>
  <c r="BS44" i="52"/>
  <c r="BS45" i="52" s="1"/>
  <c r="AQ44" i="52"/>
  <c r="AQ45" i="52" s="1"/>
  <c r="W44" i="52"/>
  <c r="W45" i="52" s="1"/>
  <c r="BK44" i="52"/>
  <c r="BK45" i="52" s="1"/>
  <c r="I44" i="52"/>
  <c r="I45" i="52" s="1"/>
  <c r="AA44" i="52"/>
  <c r="AA45" i="52" s="1"/>
  <c r="U44" i="52"/>
  <c r="U45" i="52" s="1"/>
  <c r="BY44" i="52"/>
  <c r="BY45" i="52" s="1"/>
  <c r="AS44" i="52"/>
  <c r="AS45" i="52" s="1"/>
  <c r="AW44" i="52"/>
  <c r="AW45" i="52" s="1"/>
  <c r="CE44" i="52"/>
  <c r="CE45" i="52" s="1"/>
  <c r="CG44" i="52"/>
  <c r="CG45" i="52" s="1"/>
  <c r="AO44" i="52"/>
  <c r="AO45" i="52" s="1"/>
  <c r="G44" i="52"/>
  <c r="G45" i="52" s="1"/>
  <c r="AK44" i="52"/>
  <c r="AK45" i="52" s="1"/>
  <c r="AE44" i="52"/>
  <c r="AE45" i="52" s="1"/>
  <c r="CA44" i="52"/>
  <c r="CA45" i="52" s="1"/>
  <c r="CC44" i="52"/>
  <c r="CC45" i="52" s="1"/>
  <c r="BO44" i="52"/>
  <c r="BO45" i="52" s="1"/>
  <c r="AY44" i="52"/>
  <c r="AY45" i="52" s="1"/>
  <c r="AM44" i="52"/>
  <c r="AM45" i="52" s="1"/>
  <c r="O44" i="52"/>
  <c r="O45" i="52" s="1"/>
  <c r="Q44" i="52"/>
  <c r="Q45" i="52" s="1"/>
  <c r="BE44" i="52"/>
  <c r="BE45" i="52" s="1"/>
  <c r="AI44" i="52"/>
  <c r="AI45" i="52" s="1"/>
  <c r="BA44" i="52"/>
  <c r="BA45" i="52" s="1"/>
  <c r="CI43" i="52"/>
  <c r="CJ43" i="52"/>
  <c r="CL43" i="52"/>
  <c r="CK43" i="52"/>
  <c r="AU48" i="45"/>
  <c r="AU46" i="45"/>
  <c r="BV44" i="47"/>
  <c r="BB44" i="47"/>
  <c r="AH44" i="47"/>
  <c r="J44" i="47"/>
  <c r="BR44" i="47"/>
  <c r="AX44" i="47"/>
  <c r="Z44" i="47"/>
  <c r="F44" i="47"/>
  <c r="BF44" i="47"/>
  <c r="R44" i="47"/>
  <c r="AP44" i="47"/>
  <c r="CD44" i="47"/>
  <c r="AL44" i="47"/>
  <c r="BN44" i="47"/>
  <c r="V44" i="47"/>
  <c r="BD44" i="47"/>
  <c r="AR44" i="47"/>
  <c r="AD44" i="47"/>
  <c r="P44" i="47"/>
  <c r="CB44" i="47"/>
  <c r="BP44" i="47"/>
  <c r="CI44" i="47"/>
  <c r="N44" i="47"/>
  <c r="CJ44" i="47"/>
  <c r="H44" i="47"/>
  <c r="BT44" i="47"/>
  <c r="BH44" i="47"/>
  <c r="AT44" i="47"/>
  <c r="AF44" i="47"/>
  <c r="T44" i="47"/>
  <c r="CM44" i="47"/>
  <c r="CM45" i="47" s="1"/>
  <c r="CM46" i="47" s="1"/>
  <c r="CL44" i="47"/>
  <c r="AN44" i="47"/>
  <c r="BZ44" i="47"/>
  <c r="AZ44" i="47"/>
  <c r="CF44" i="47"/>
  <c r="X44" i="47"/>
  <c r="L44" i="47"/>
  <c r="BX44" i="47"/>
  <c r="BJ44" i="47"/>
  <c r="AV44" i="47"/>
  <c r="AJ44" i="47"/>
  <c r="CO44" i="47"/>
  <c r="CK44" i="47"/>
  <c r="CN44" i="47"/>
  <c r="CN45" i="47" s="1"/>
  <c r="CN46" i="47" s="1"/>
  <c r="AB44" i="47"/>
  <c r="BL44" i="47"/>
  <c r="BY44" i="47"/>
  <c r="BY45" i="47" s="1"/>
  <c r="BO44" i="47"/>
  <c r="BO45" i="47" s="1"/>
  <c r="AE44" i="47"/>
  <c r="AE45" i="47" s="1"/>
  <c r="CE44" i="47"/>
  <c r="CE45" i="47" s="1"/>
  <c r="AQ44" i="47"/>
  <c r="AQ45" i="47" s="1"/>
  <c r="AA44" i="47"/>
  <c r="AA45" i="47" s="1"/>
  <c r="CA44" i="47"/>
  <c r="CA45" i="47" s="1"/>
  <c r="AM44" i="47"/>
  <c r="AM45" i="47" s="1"/>
  <c r="CC44" i="47"/>
  <c r="CC45" i="47" s="1"/>
  <c r="CG44" i="47"/>
  <c r="CG45" i="47" s="1"/>
  <c r="BI44" i="47"/>
  <c r="BI45" i="47" s="1"/>
  <c r="U44" i="47"/>
  <c r="U45" i="47" s="1"/>
  <c r="W44" i="47"/>
  <c r="W45" i="47" s="1"/>
  <c r="BA44" i="47"/>
  <c r="BA45" i="47" s="1"/>
  <c r="BW44" i="47"/>
  <c r="BW45" i="47" s="1"/>
  <c r="BG44" i="47"/>
  <c r="BG45" i="47" s="1"/>
  <c r="AG44" i="47"/>
  <c r="AG45" i="47" s="1"/>
  <c r="BS44" i="47"/>
  <c r="BS45" i="47" s="1"/>
  <c r="BC44" i="47"/>
  <c r="BC45" i="47" s="1"/>
  <c r="AK44" i="47"/>
  <c r="AK45" i="47" s="1"/>
  <c r="AI44" i="47"/>
  <c r="AI45" i="47" s="1"/>
  <c r="S44" i="47"/>
  <c r="S45" i="47" s="1"/>
  <c r="BE44" i="47"/>
  <c r="BE45" i="47" s="1"/>
  <c r="O44" i="47"/>
  <c r="O45" i="47" s="1"/>
  <c r="AY44" i="47"/>
  <c r="AY45" i="47" s="1"/>
  <c r="Q44" i="47"/>
  <c r="Q45" i="47" s="1"/>
  <c r="BM44" i="47"/>
  <c r="BM45" i="47" s="1"/>
  <c r="Y44" i="47"/>
  <c r="Y45" i="47" s="1"/>
  <c r="I44" i="47"/>
  <c r="I45" i="47" s="1"/>
  <c r="BQ44" i="47"/>
  <c r="BQ45" i="47" s="1"/>
  <c r="AC44" i="47"/>
  <c r="AC45" i="47" s="1"/>
  <c r="M44" i="47"/>
  <c r="M45" i="47" s="1"/>
  <c r="BK44" i="47"/>
  <c r="BK45" i="47" s="1"/>
  <c r="BU44" i="47"/>
  <c r="BU45" i="47" s="1"/>
  <c r="AU44" i="47"/>
  <c r="AU45" i="47" s="1"/>
  <c r="G44" i="47"/>
  <c r="G45" i="47" s="1"/>
  <c r="AO44" i="47"/>
  <c r="AO45" i="47" s="1"/>
  <c r="AS44" i="47"/>
  <c r="AS45" i="47" s="1"/>
  <c r="AW44" i="47"/>
  <c r="AW45" i="47" s="1"/>
  <c r="K44" i="47"/>
  <c r="K45" i="47" s="1"/>
  <c r="CI43" i="47"/>
  <c r="CJ43" i="47"/>
  <c r="CL43" i="47"/>
  <c r="CK43" i="47"/>
  <c r="BT44" i="53"/>
  <c r="AN44" i="53"/>
  <c r="H44" i="53"/>
  <c r="BR44" i="53"/>
  <c r="AL44" i="53"/>
  <c r="F44" i="53"/>
  <c r="X44" i="53"/>
  <c r="BB44" i="53"/>
  <c r="V44" i="53"/>
  <c r="BD44" i="53"/>
  <c r="J44" i="53"/>
  <c r="BV44" i="53"/>
  <c r="BH44" i="53"/>
  <c r="AT44" i="53"/>
  <c r="AF44" i="53"/>
  <c r="R44" i="53"/>
  <c r="CD44" i="53"/>
  <c r="BP44" i="53"/>
  <c r="CF44" i="53"/>
  <c r="Z44" i="53"/>
  <c r="L44" i="53"/>
  <c r="BX44" i="53"/>
  <c r="BJ44" i="53"/>
  <c r="AV44" i="53"/>
  <c r="AH44" i="53"/>
  <c r="T44" i="53"/>
  <c r="CK44" i="53"/>
  <c r="BF44" i="53"/>
  <c r="AD44" i="53"/>
  <c r="P44" i="53"/>
  <c r="BN44" i="53"/>
  <c r="AP44" i="53"/>
  <c r="AB44" i="53"/>
  <c r="N44" i="53"/>
  <c r="BZ44" i="53"/>
  <c r="BL44" i="53"/>
  <c r="AX44" i="53"/>
  <c r="AJ44" i="53"/>
  <c r="CL44" i="53"/>
  <c r="AR44" i="53"/>
  <c r="CB44" i="53"/>
  <c r="AZ44" i="53"/>
  <c r="CM44" i="53"/>
  <c r="CM45" i="53" s="1"/>
  <c r="CM46" i="53" s="1"/>
  <c r="CJ44" i="53"/>
  <c r="CI44" i="53"/>
  <c r="CN44" i="53"/>
  <c r="CN45" i="53" s="1"/>
  <c r="CN46" i="53" s="1"/>
  <c r="CO44" i="53"/>
  <c r="BE44" i="53"/>
  <c r="BE45" i="53" s="1"/>
  <c r="BY44" i="53"/>
  <c r="BY45" i="53" s="1"/>
  <c r="BA44" i="53"/>
  <c r="BA45" i="53" s="1"/>
  <c r="CA44" i="53"/>
  <c r="CA45" i="53" s="1"/>
  <c r="G44" i="53"/>
  <c r="G45" i="53" s="1"/>
  <c r="AI44" i="53"/>
  <c r="AI45" i="53" s="1"/>
  <c r="BG44" i="53"/>
  <c r="BG45" i="53" s="1"/>
  <c r="AU44" i="53"/>
  <c r="AU45" i="53" s="1"/>
  <c r="AS44" i="53"/>
  <c r="AS45" i="53" s="1"/>
  <c r="CE44" i="53"/>
  <c r="CE45" i="53" s="1"/>
  <c r="Y44" i="53"/>
  <c r="Y45" i="53" s="1"/>
  <c r="BU44" i="53"/>
  <c r="BU45" i="53" s="1"/>
  <c r="W44" i="53"/>
  <c r="W45" i="53" s="1"/>
  <c r="AE44" i="53"/>
  <c r="AE45" i="53" s="1"/>
  <c r="CG44" i="53"/>
  <c r="CG45" i="53" s="1"/>
  <c r="BM44" i="53"/>
  <c r="BM45" i="53" s="1"/>
  <c r="AQ44" i="53"/>
  <c r="AQ45" i="53" s="1"/>
  <c r="BI44" i="53"/>
  <c r="BI45" i="53" s="1"/>
  <c r="AK44" i="53"/>
  <c r="AK45" i="53" s="1"/>
  <c r="CC44" i="53"/>
  <c r="CC45" i="53" s="1"/>
  <c r="S44" i="53"/>
  <c r="S45" i="53" s="1"/>
  <c r="Q44" i="53"/>
  <c r="Q45" i="53" s="1"/>
  <c r="BK44" i="53"/>
  <c r="BK45" i="53" s="1"/>
  <c r="M44" i="53"/>
  <c r="M45" i="53" s="1"/>
  <c r="K44" i="53"/>
  <c r="K45" i="53" s="1"/>
  <c r="AO44" i="53"/>
  <c r="AO45" i="53" s="1"/>
  <c r="BW44" i="53"/>
  <c r="BW45" i="53" s="1"/>
  <c r="AA44" i="53"/>
  <c r="AA45" i="53" s="1"/>
  <c r="AM44" i="53"/>
  <c r="AM45" i="53" s="1"/>
  <c r="AG44" i="53"/>
  <c r="AG45" i="53" s="1"/>
  <c r="AW44" i="53"/>
  <c r="AW45" i="53" s="1"/>
  <c r="I44" i="53"/>
  <c r="I45" i="53" s="1"/>
  <c r="BC44" i="53"/>
  <c r="BC45" i="53" s="1"/>
  <c r="AC44" i="53"/>
  <c r="AC45" i="53" s="1"/>
  <c r="BO44" i="53"/>
  <c r="BO45" i="53" s="1"/>
  <c r="O44" i="53"/>
  <c r="O45" i="53" s="1"/>
  <c r="BS44" i="53"/>
  <c r="BS45" i="53" s="1"/>
  <c r="BQ44" i="53"/>
  <c r="BQ45" i="53" s="1"/>
  <c r="U44" i="53"/>
  <c r="U45" i="53" s="1"/>
  <c r="AY44" i="53"/>
  <c r="AY45" i="53" s="1"/>
  <c r="CJ43" i="53"/>
  <c r="CI43" i="53"/>
  <c r="CK43" i="53"/>
  <c r="CL43" i="53"/>
  <c r="BE48" i="45"/>
  <c r="BE46" i="45"/>
  <c r="AM48" i="45"/>
  <c r="AM46" i="45"/>
  <c r="AI48" i="45"/>
  <c r="AI46" i="45"/>
  <c r="BA48" i="45"/>
  <c r="BA46" i="45"/>
  <c r="G48" i="45"/>
  <c r="G46" i="45"/>
  <c r="BQ48" i="45"/>
  <c r="BQ46" i="45"/>
  <c r="AA48" i="45"/>
  <c r="AA46" i="45"/>
  <c r="AE48" i="45"/>
  <c r="AE46" i="45"/>
  <c r="AC48" i="45"/>
  <c r="AC46" i="45"/>
  <c r="AQ48" i="45"/>
  <c r="AQ46" i="45"/>
  <c r="CK38" i="33"/>
  <c r="CK47" i="33"/>
  <c r="CK36" i="33"/>
  <c r="CK37" i="33"/>
  <c r="CK19" i="33"/>
  <c r="CK35" i="33"/>
  <c r="CK11" i="33"/>
  <c r="W20" i="3"/>
  <c r="AE20" i="3" s="1"/>
  <c r="V20" i="3"/>
  <c r="AD20" i="3" s="1"/>
  <c r="U20" i="3"/>
  <c r="AC20" i="3" s="1"/>
  <c r="T20" i="3"/>
  <c r="AB20" i="3" s="1"/>
  <c r="W23" i="3"/>
  <c r="AE23" i="3" s="1"/>
  <c r="V23" i="3"/>
  <c r="AD23" i="3" s="1"/>
  <c r="U23" i="3"/>
  <c r="AC23" i="3" s="1"/>
  <c r="T23" i="3"/>
  <c r="AB23" i="3" s="1"/>
  <c r="W17" i="3"/>
  <c r="AE17" i="3" s="1"/>
  <c r="V17" i="3"/>
  <c r="AD17" i="3" s="1"/>
  <c r="U17" i="3"/>
  <c r="AC17" i="3" s="1"/>
  <c r="W13" i="3"/>
  <c r="AE13" i="3" s="1"/>
  <c r="V13" i="3"/>
  <c r="AD13" i="3" s="1"/>
  <c r="U13" i="3"/>
  <c r="AC13" i="3" s="1"/>
  <c r="T13" i="3"/>
  <c r="AB13" i="3" s="1"/>
  <c r="W28" i="3"/>
  <c r="AE28" i="3" s="1"/>
  <c r="W27" i="3"/>
  <c r="AE27" i="3" s="1"/>
  <c r="W26" i="3"/>
  <c r="AE26" i="3" s="1"/>
  <c r="W22" i="3"/>
  <c r="AE22" i="3" s="1"/>
  <c r="W19" i="3"/>
  <c r="AE19" i="3" s="1"/>
  <c r="AE15" i="3"/>
  <c r="AE16" i="3"/>
  <c r="W12" i="3"/>
  <c r="AE12" i="3" s="1"/>
  <c r="W9" i="3"/>
  <c r="AE9" i="3" s="1"/>
  <c r="W7" i="3"/>
  <c r="AE7" i="3" s="1"/>
  <c r="W6" i="3"/>
  <c r="V28" i="3"/>
  <c r="AD28" i="3" s="1"/>
  <c r="V27" i="3"/>
  <c r="AD27" i="3" s="1"/>
  <c r="V26" i="3"/>
  <c r="AD26" i="3" s="1"/>
  <c r="V22" i="3"/>
  <c r="AD22" i="3" s="1"/>
  <c r="V19" i="3"/>
  <c r="AD19" i="3" s="1"/>
  <c r="AD15" i="3"/>
  <c r="AD16" i="3"/>
  <c r="V12" i="3"/>
  <c r="AD12" i="3" s="1"/>
  <c r="V9" i="3"/>
  <c r="AD9" i="3" s="1"/>
  <c r="V7" i="3"/>
  <c r="AD7" i="3" s="1"/>
  <c r="V6" i="3"/>
  <c r="U28" i="3"/>
  <c r="AC28" i="3" s="1"/>
  <c r="U27" i="3"/>
  <c r="AC27" i="3" s="1"/>
  <c r="U26" i="3"/>
  <c r="AC26" i="3" s="1"/>
  <c r="U22" i="3"/>
  <c r="AC22" i="3" s="1"/>
  <c r="U19" i="3"/>
  <c r="AC19" i="3" s="1"/>
  <c r="AC15" i="3"/>
  <c r="AC16" i="3"/>
  <c r="U12" i="3"/>
  <c r="AC12" i="3" s="1"/>
  <c r="U9" i="3"/>
  <c r="AC9" i="3" s="1"/>
  <c r="U7" i="3"/>
  <c r="AC7" i="3" s="1"/>
  <c r="U6" i="3"/>
  <c r="T28" i="3"/>
  <c r="AB28" i="3" s="1"/>
  <c r="T27" i="3"/>
  <c r="AB27" i="3" s="1"/>
  <c r="T26" i="3"/>
  <c r="AB26" i="3" s="1"/>
  <c r="T22" i="3"/>
  <c r="AB22" i="3" s="1"/>
  <c r="T19" i="3"/>
  <c r="AB19" i="3" s="1"/>
  <c r="AB15" i="3"/>
  <c r="AB16" i="3"/>
  <c r="T12" i="3"/>
  <c r="AB12" i="3" s="1"/>
  <c r="T9" i="3"/>
  <c r="AB9" i="3" s="1"/>
  <c r="T7" i="3"/>
  <c r="AB7" i="3" s="1"/>
  <c r="T6" i="3"/>
  <c r="D9" i="49" l="1"/>
  <c r="H8" i="10"/>
  <c r="D9" i="52"/>
  <c r="K8" i="10"/>
  <c r="D9" i="53"/>
  <c r="L8" i="10"/>
  <c r="D10" i="54"/>
  <c r="M9" i="10"/>
  <c r="D10" i="51"/>
  <c r="J9" i="10"/>
  <c r="D10" i="49"/>
  <c r="H9" i="10"/>
  <c r="D10" i="48"/>
  <c r="G9" i="10"/>
  <c r="D10" i="50"/>
  <c r="I9" i="10"/>
  <c r="D9" i="50"/>
  <c r="I8" i="10"/>
  <c r="D10" i="47"/>
  <c r="F9" i="10"/>
  <c r="D9" i="51"/>
  <c r="J8" i="10"/>
  <c r="D10" i="52"/>
  <c r="K9" i="10"/>
  <c r="D10" i="53"/>
  <c r="L9" i="10"/>
  <c r="D9" i="54"/>
  <c r="M8" i="10"/>
  <c r="D9" i="47"/>
  <c r="F8" i="10"/>
  <c r="D9" i="48"/>
  <c r="G8" i="10"/>
  <c r="D9" i="46"/>
  <c r="E8" i="10"/>
  <c r="D10" i="46"/>
  <c r="E9" i="10"/>
  <c r="B11" i="49"/>
  <c r="D11" i="49" s="1"/>
  <c r="D8" i="49"/>
  <c r="B11" i="48"/>
  <c r="D11" i="48" s="1"/>
  <c r="D8" i="48"/>
  <c r="D8" i="50"/>
  <c r="B11" i="50"/>
  <c r="D11" i="50" s="1"/>
  <c r="D8" i="47"/>
  <c r="B11" i="47"/>
  <c r="D11" i="47" s="1"/>
  <c r="B11" i="51"/>
  <c r="D11" i="51" s="1"/>
  <c r="D8" i="51"/>
  <c r="D8" i="52"/>
  <c r="B11" i="52"/>
  <c r="D11" i="52" s="1"/>
  <c r="B11" i="53"/>
  <c r="D11" i="53" s="1"/>
  <c r="D8" i="53"/>
  <c r="B11" i="46"/>
  <c r="D11" i="46" s="1"/>
  <c r="D8" i="46"/>
  <c r="B11" i="54"/>
  <c r="D11" i="54" s="1"/>
  <c r="D8" i="54"/>
  <c r="CF18" i="54"/>
  <c r="BX18" i="54"/>
  <c r="BP18" i="54"/>
  <c r="BH18" i="54"/>
  <c r="AZ18" i="54"/>
  <c r="AR18" i="54"/>
  <c r="AJ18" i="54"/>
  <c r="AB18" i="54"/>
  <c r="T18" i="54"/>
  <c r="L18" i="54"/>
  <c r="CB18" i="54"/>
  <c r="BR18" i="54"/>
  <c r="BF18" i="54"/>
  <c r="AV18" i="54"/>
  <c r="AL18" i="54"/>
  <c r="Z18" i="54"/>
  <c r="P18" i="54"/>
  <c r="BZ18" i="54"/>
  <c r="BN18" i="54"/>
  <c r="BD18" i="54"/>
  <c r="AT18" i="54"/>
  <c r="AH18" i="54"/>
  <c r="X18" i="54"/>
  <c r="N18" i="54"/>
  <c r="CD18" i="54"/>
  <c r="BJ18" i="54"/>
  <c r="AN18" i="54"/>
  <c r="R18" i="54"/>
  <c r="BT18" i="54"/>
  <c r="AP18" i="54"/>
  <c r="J18" i="54"/>
  <c r="BL18" i="54"/>
  <c r="AF18" i="54"/>
  <c r="H18" i="54"/>
  <c r="BB18" i="54"/>
  <c r="AD18" i="54"/>
  <c r="V18" i="54"/>
  <c r="CD18" i="53"/>
  <c r="BV18" i="53"/>
  <c r="BN18" i="53"/>
  <c r="BF18" i="53"/>
  <c r="AX18" i="53"/>
  <c r="AP18" i="53"/>
  <c r="AH18" i="53"/>
  <c r="Z18" i="53"/>
  <c r="R18" i="53"/>
  <c r="J18" i="53"/>
  <c r="CB18" i="53"/>
  <c r="BT18" i="53"/>
  <c r="BL18" i="53"/>
  <c r="BD18" i="53"/>
  <c r="AV18" i="53"/>
  <c r="AN18" i="53"/>
  <c r="AF18" i="53"/>
  <c r="X18" i="53"/>
  <c r="P18" i="53"/>
  <c r="H18" i="53"/>
  <c r="BV18" i="54"/>
  <c r="BZ18" i="53"/>
  <c r="BR18" i="53"/>
  <c r="BJ18" i="53"/>
  <c r="BB18" i="53"/>
  <c r="AT18" i="53"/>
  <c r="AL18" i="53"/>
  <c r="AD18" i="53"/>
  <c r="V18" i="53"/>
  <c r="N18" i="53"/>
  <c r="AX18" i="54"/>
  <c r="BP18" i="53"/>
  <c r="AJ18" i="53"/>
  <c r="CD18" i="52"/>
  <c r="BV18" i="52"/>
  <c r="BN18" i="52"/>
  <c r="BF18" i="52"/>
  <c r="AX18" i="52"/>
  <c r="AP18" i="52"/>
  <c r="AH18" i="52"/>
  <c r="Z18" i="52"/>
  <c r="R18" i="52"/>
  <c r="J18" i="52"/>
  <c r="BH18" i="53"/>
  <c r="AB18" i="53"/>
  <c r="CB18" i="52"/>
  <c r="BT18" i="52"/>
  <c r="BL18" i="52"/>
  <c r="BD18" i="52"/>
  <c r="AV18" i="52"/>
  <c r="AN18" i="52"/>
  <c r="AF18" i="52"/>
  <c r="X18" i="52"/>
  <c r="P18" i="52"/>
  <c r="H18" i="52"/>
  <c r="CF18" i="53"/>
  <c r="AZ18" i="53"/>
  <c r="T18" i="53"/>
  <c r="BZ18" i="52"/>
  <c r="BR18" i="52"/>
  <c r="BJ18" i="52"/>
  <c r="BB18" i="52"/>
  <c r="AT18" i="52"/>
  <c r="AL18" i="52"/>
  <c r="AD18" i="52"/>
  <c r="V18" i="52"/>
  <c r="N18" i="52"/>
  <c r="L18" i="53"/>
  <c r="CF18" i="52"/>
  <c r="AZ18" i="52"/>
  <c r="T18" i="52"/>
  <c r="BZ18" i="51"/>
  <c r="BR18" i="51"/>
  <c r="BJ18" i="51"/>
  <c r="BB18" i="51"/>
  <c r="AT18" i="51"/>
  <c r="AL18" i="51"/>
  <c r="AD18" i="51"/>
  <c r="V18" i="51"/>
  <c r="N18" i="51"/>
  <c r="BX18" i="52"/>
  <c r="AR18" i="52"/>
  <c r="L18" i="52"/>
  <c r="CF18" i="51"/>
  <c r="BX18" i="51"/>
  <c r="BP18" i="51"/>
  <c r="BH18" i="51"/>
  <c r="AZ18" i="51"/>
  <c r="AR18" i="51"/>
  <c r="AJ18" i="51"/>
  <c r="AB18" i="51"/>
  <c r="T18" i="51"/>
  <c r="L18" i="51"/>
  <c r="AR18" i="53"/>
  <c r="AJ18" i="52"/>
  <c r="BT18" i="51"/>
  <c r="BD18" i="51"/>
  <c r="AN18" i="51"/>
  <c r="X18" i="51"/>
  <c r="H18" i="51"/>
  <c r="CF18" i="50"/>
  <c r="BX18" i="50"/>
  <c r="BP18" i="50"/>
  <c r="BH18" i="50"/>
  <c r="AZ18" i="50"/>
  <c r="AR18" i="50"/>
  <c r="AJ18" i="50"/>
  <c r="AB18" i="50"/>
  <c r="T18" i="50"/>
  <c r="L18" i="50"/>
  <c r="AB18" i="52"/>
  <c r="BP18" i="52"/>
  <c r="CB18" i="51"/>
  <c r="BL18" i="51"/>
  <c r="AV18" i="51"/>
  <c r="AF18" i="51"/>
  <c r="P18" i="51"/>
  <c r="CB18" i="50"/>
  <c r="BT18" i="50"/>
  <c r="BL18" i="50"/>
  <c r="BD18" i="50"/>
  <c r="AV18" i="50"/>
  <c r="AN18" i="50"/>
  <c r="AF18" i="50"/>
  <c r="X18" i="50"/>
  <c r="P18" i="50"/>
  <c r="H18" i="50"/>
  <c r="BF18" i="51"/>
  <c r="Z18" i="51"/>
  <c r="BV18" i="50"/>
  <c r="BF18" i="50"/>
  <c r="AP18" i="50"/>
  <c r="Z18" i="50"/>
  <c r="J18" i="50"/>
  <c r="CD18" i="49"/>
  <c r="BV18" i="49"/>
  <c r="BN18" i="49"/>
  <c r="BF18" i="49"/>
  <c r="AX18" i="49"/>
  <c r="AP18" i="49"/>
  <c r="AH18" i="49"/>
  <c r="Z18" i="49"/>
  <c r="R18" i="49"/>
  <c r="J18" i="49"/>
  <c r="BZ18" i="48"/>
  <c r="BR18" i="48"/>
  <c r="BJ18" i="48"/>
  <c r="BB18" i="48"/>
  <c r="AT18" i="48"/>
  <c r="AL18" i="48"/>
  <c r="AD18" i="48"/>
  <c r="V18" i="48"/>
  <c r="N18" i="48"/>
  <c r="BH18" i="52"/>
  <c r="CD18" i="51"/>
  <c r="AX18" i="51"/>
  <c r="R18" i="51"/>
  <c r="BR18" i="50"/>
  <c r="BB18" i="50"/>
  <c r="AL18" i="50"/>
  <c r="V18" i="50"/>
  <c r="CB18" i="49"/>
  <c r="BT18" i="49"/>
  <c r="BL18" i="49"/>
  <c r="BD18" i="49"/>
  <c r="AV18" i="49"/>
  <c r="AN18" i="49"/>
  <c r="AF18" i="49"/>
  <c r="X18" i="49"/>
  <c r="P18" i="49"/>
  <c r="H18" i="49"/>
  <c r="CF18" i="48"/>
  <c r="BX18" i="48"/>
  <c r="BP18" i="48"/>
  <c r="BH18" i="48"/>
  <c r="AZ18" i="48"/>
  <c r="AR18" i="48"/>
  <c r="AJ18" i="48"/>
  <c r="AB18" i="48"/>
  <c r="T18" i="48"/>
  <c r="L18" i="48"/>
  <c r="BV18" i="51"/>
  <c r="AP18" i="51"/>
  <c r="J18" i="51"/>
  <c r="CD18" i="50"/>
  <c r="BN18" i="50"/>
  <c r="AX18" i="50"/>
  <c r="AH18" i="50"/>
  <c r="R18" i="50"/>
  <c r="BZ18" i="49"/>
  <c r="BR18" i="49"/>
  <c r="BJ18" i="49"/>
  <c r="BB18" i="49"/>
  <c r="AT18" i="49"/>
  <c r="AL18" i="49"/>
  <c r="AD18" i="49"/>
  <c r="V18" i="49"/>
  <c r="N18" i="49"/>
  <c r="BX18" i="53"/>
  <c r="BN18" i="51"/>
  <c r="AH18" i="51"/>
  <c r="BZ18" i="50"/>
  <c r="BJ18" i="50"/>
  <c r="AT18" i="50"/>
  <c r="AD18" i="50"/>
  <c r="N18" i="50"/>
  <c r="BP18" i="49"/>
  <c r="AJ18" i="49"/>
  <c r="CB18" i="48"/>
  <c r="BL18" i="48"/>
  <c r="AV18" i="48"/>
  <c r="AF18" i="48"/>
  <c r="P18" i="48"/>
  <c r="CF18" i="47"/>
  <c r="BX18" i="47"/>
  <c r="BP18" i="47"/>
  <c r="BH18" i="47"/>
  <c r="AZ18" i="47"/>
  <c r="AR18" i="47"/>
  <c r="AJ18" i="47"/>
  <c r="AB18" i="47"/>
  <c r="T18" i="47"/>
  <c r="L18" i="47"/>
  <c r="CB18" i="46"/>
  <c r="BT18" i="46"/>
  <c r="BL18" i="46"/>
  <c r="BD18" i="46"/>
  <c r="AV18" i="46"/>
  <c r="AN18" i="46"/>
  <c r="AF18" i="46"/>
  <c r="X18" i="46"/>
  <c r="P18" i="46"/>
  <c r="H18" i="46"/>
  <c r="BH18" i="49"/>
  <c r="AB18" i="49"/>
  <c r="BV18" i="48"/>
  <c r="BF18" i="48"/>
  <c r="AP18" i="48"/>
  <c r="Z18" i="48"/>
  <c r="J18" i="48"/>
  <c r="CD18" i="47"/>
  <c r="BV18" i="47"/>
  <c r="BN18" i="47"/>
  <c r="BF18" i="47"/>
  <c r="AX18" i="47"/>
  <c r="AP18" i="47"/>
  <c r="AH18" i="47"/>
  <c r="Z18" i="47"/>
  <c r="R18" i="47"/>
  <c r="J18" i="47"/>
  <c r="BZ18" i="46"/>
  <c r="BR18" i="46"/>
  <c r="BJ18" i="46"/>
  <c r="BB18" i="46"/>
  <c r="AT18" i="46"/>
  <c r="AL18" i="46"/>
  <c r="AD18" i="46"/>
  <c r="V18" i="46"/>
  <c r="N18" i="46"/>
  <c r="CF18" i="49"/>
  <c r="AZ18" i="49"/>
  <c r="T18" i="49"/>
  <c r="BT18" i="48"/>
  <c r="BD18" i="48"/>
  <c r="AN18" i="48"/>
  <c r="X18" i="48"/>
  <c r="H18" i="48"/>
  <c r="CB18" i="47"/>
  <c r="BT18" i="47"/>
  <c r="BL18" i="47"/>
  <c r="BD18" i="47"/>
  <c r="AV18" i="47"/>
  <c r="AN18" i="47"/>
  <c r="AF18" i="47"/>
  <c r="X18" i="47"/>
  <c r="P18" i="47"/>
  <c r="H18" i="47"/>
  <c r="CF18" i="46"/>
  <c r="BX18" i="46"/>
  <c r="BP18" i="46"/>
  <c r="BH18" i="46"/>
  <c r="AZ18" i="46"/>
  <c r="AR18" i="46"/>
  <c r="AJ18" i="46"/>
  <c r="AB18" i="46"/>
  <c r="T18" i="46"/>
  <c r="L18" i="46"/>
  <c r="BX18" i="49"/>
  <c r="AH18" i="48"/>
  <c r="BZ18" i="47"/>
  <c r="AT18" i="47"/>
  <c r="N18" i="47"/>
  <c r="BV18" i="46"/>
  <c r="AP18" i="46"/>
  <c r="J18" i="46"/>
  <c r="CF18" i="45"/>
  <c r="BX18" i="45"/>
  <c r="BP18" i="45"/>
  <c r="BH18" i="45"/>
  <c r="AZ18" i="45"/>
  <c r="AR18" i="45"/>
  <c r="AJ18" i="45"/>
  <c r="AB18" i="45"/>
  <c r="T18" i="45"/>
  <c r="L18" i="45"/>
  <c r="AR18" i="49"/>
  <c r="CD18" i="48"/>
  <c r="R18" i="48"/>
  <c r="BR18" i="47"/>
  <c r="AL18" i="47"/>
  <c r="BN18" i="46"/>
  <c r="AH18" i="46"/>
  <c r="CD18" i="45"/>
  <c r="BV18" i="45"/>
  <c r="BN18" i="45"/>
  <c r="BF18" i="45"/>
  <c r="AX18" i="45"/>
  <c r="AP18" i="45"/>
  <c r="AH18" i="45"/>
  <c r="Z18" i="45"/>
  <c r="R18" i="45"/>
  <c r="J18" i="45"/>
  <c r="CF18" i="44"/>
  <c r="CB18" i="44"/>
  <c r="BX18" i="44"/>
  <c r="BT18" i="44"/>
  <c r="BP18" i="44"/>
  <c r="L18" i="49"/>
  <c r="BN18" i="48"/>
  <c r="BJ18" i="47"/>
  <c r="AD18" i="47"/>
  <c r="BF18" i="46"/>
  <c r="Z18" i="46"/>
  <c r="CB18" i="45"/>
  <c r="BT18" i="45"/>
  <c r="BL18" i="45"/>
  <c r="BD18" i="45"/>
  <c r="AV18" i="45"/>
  <c r="AN18" i="45"/>
  <c r="AF18" i="45"/>
  <c r="X18" i="45"/>
  <c r="P18" i="45"/>
  <c r="H18" i="45"/>
  <c r="AX18" i="48"/>
  <c r="BB18" i="47"/>
  <c r="V18" i="47"/>
  <c r="CD18" i="46"/>
  <c r="AX18" i="46"/>
  <c r="R18" i="46"/>
  <c r="BZ18" i="45"/>
  <c r="BR18" i="45"/>
  <c r="BJ18" i="45"/>
  <c r="BB18" i="45"/>
  <c r="AT18" i="45"/>
  <c r="AL18" i="45"/>
  <c r="AD18" i="45"/>
  <c r="V18" i="45"/>
  <c r="N18" i="45"/>
  <c r="BL18" i="44"/>
  <c r="BH18" i="44"/>
  <c r="BD18" i="44"/>
  <c r="AZ18" i="44"/>
  <c r="AV18" i="44"/>
  <c r="AR18" i="44"/>
  <c r="AN18" i="44"/>
  <c r="AJ18" i="44"/>
  <c r="AF18" i="44"/>
  <c r="AB18" i="44"/>
  <c r="X18" i="44"/>
  <c r="T18" i="44"/>
  <c r="P18" i="44"/>
  <c r="L18" i="44"/>
  <c r="H18" i="44"/>
  <c r="BV18" i="44"/>
  <c r="BN18" i="44"/>
  <c r="BJ18" i="44"/>
  <c r="BF18" i="44"/>
  <c r="BB18" i="44"/>
  <c r="AX18" i="44"/>
  <c r="AT18" i="44"/>
  <c r="AP18" i="44"/>
  <c r="AL18" i="44"/>
  <c r="AH18" i="44"/>
  <c r="AD18" i="44"/>
  <c r="Z18" i="44"/>
  <c r="V18" i="44"/>
  <c r="R18" i="44"/>
  <c r="N18" i="44"/>
  <c r="J18" i="44"/>
  <c r="BZ18" i="44"/>
  <c r="BR18" i="44"/>
  <c r="CD18" i="44"/>
  <c r="F18" i="48"/>
  <c r="F18" i="45"/>
  <c r="F18" i="54"/>
  <c r="F18" i="52"/>
  <c r="F18" i="44"/>
  <c r="F18" i="51"/>
  <c r="F18" i="49"/>
  <c r="F18" i="50"/>
  <c r="F18" i="46"/>
  <c r="F18" i="53"/>
  <c r="F18" i="47"/>
  <c r="CI18" i="47"/>
  <c r="CI18" i="48"/>
  <c r="CI18" i="45"/>
  <c r="CI18" i="46"/>
  <c r="CI18" i="50"/>
  <c r="CI18" i="52"/>
  <c r="CI18" i="53"/>
  <c r="CI18" i="54"/>
  <c r="CI18" i="49"/>
  <c r="CI18" i="51"/>
  <c r="CI18" i="44"/>
  <c r="CJ22" i="53"/>
  <c r="CJ22" i="52"/>
  <c r="CJ22" i="46"/>
  <c r="CJ22" i="47"/>
  <c r="CJ22" i="45"/>
  <c r="CJ22" i="51"/>
  <c r="CJ22" i="54"/>
  <c r="CJ22" i="48"/>
  <c r="CJ22" i="49"/>
  <c r="CJ22" i="50"/>
  <c r="CJ32" i="50"/>
  <c r="CJ32" i="45"/>
  <c r="CJ32" i="51"/>
  <c r="CJ32" i="53"/>
  <c r="CJ32" i="52"/>
  <c r="CJ32" i="46"/>
  <c r="CJ32" i="47"/>
  <c r="CJ32" i="54"/>
  <c r="CJ32" i="48"/>
  <c r="CJ32" i="49"/>
  <c r="CK15" i="45"/>
  <c r="CK15" i="48"/>
  <c r="CK15" i="53"/>
  <c r="CK15" i="51"/>
  <c r="CK15" i="46"/>
  <c r="CK15" i="50"/>
  <c r="CK15" i="52"/>
  <c r="CK15" i="54"/>
  <c r="CK15" i="49"/>
  <c r="CK15" i="47"/>
  <c r="CK23" i="45"/>
  <c r="CK23" i="48"/>
  <c r="CK23" i="54"/>
  <c r="CK23" i="49"/>
  <c r="CK23" i="53"/>
  <c r="CK23" i="47"/>
  <c r="CK23" i="51"/>
  <c r="CK23" i="46"/>
  <c r="CK23" i="50"/>
  <c r="CK23" i="52"/>
  <c r="CK33" i="45"/>
  <c r="CK33" i="51"/>
  <c r="CK33" i="50"/>
  <c r="CK33" i="52"/>
  <c r="CK33" i="54"/>
  <c r="CK33" i="49"/>
  <c r="CK33" i="48"/>
  <c r="CK33" i="53"/>
  <c r="CK33" i="47"/>
  <c r="CK33" i="46"/>
  <c r="CL17" i="45"/>
  <c r="CL17" i="54"/>
  <c r="CL17" i="50"/>
  <c r="CL17" i="53"/>
  <c r="CL17" i="46"/>
  <c r="CL17" i="51"/>
  <c r="CL17" i="47"/>
  <c r="CL17" i="52"/>
  <c r="CL17" i="48"/>
  <c r="CL17" i="49"/>
  <c r="CL26" i="45"/>
  <c r="CL26" i="49"/>
  <c r="CL26" i="50"/>
  <c r="CL26" i="51"/>
  <c r="CL26" i="52"/>
  <c r="CL26" i="48"/>
  <c r="CL26" i="53"/>
  <c r="CL26" i="46"/>
  <c r="CL26" i="47"/>
  <c r="CL26" i="54"/>
  <c r="CL34" i="53"/>
  <c r="CL34" i="46"/>
  <c r="CL34" i="47"/>
  <c r="CL34" i="54"/>
  <c r="CL34" i="51"/>
  <c r="CL34" i="52"/>
  <c r="CL34" i="48"/>
  <c r="CL34" i="45"/>
  <c r="CL34" i="49"/>
  <c r="CL34" i="50"/>
  <c r="CL20" i="45"/>
  <c r="CL20" i="49"/>
  <c r="CL20" i="50"/>
  <c r="CL20" i="54"/>
  <c r="CL20" i="52"/>
  <c r="CL20" i="53"/>
  <c r="CL20" i="46"/>
  <c r="CL20" i="51"/>
  <c r="CL20" i="47"/>
  <c r="CL20" i="48"/>
  <c r="CF30" i="54"/>
  <c r="BX30" i="54"/>
  <c r="BP30" i="54"/>
  <c r="BH30" i="54"/>
  <c r="AZ30" i="54"/>
  <c r="AR30" i="54"/>
  <c r="AJ30" i="54"/>
  <c r="AB30" i="54"/>
  <c r="T30" i="54"/>
  <c r="L30" i="54"/>
  <c r="BZ30" i="54"/>
  <c r="BN30" i="54"/>
  <c r="BD30" i="54"/>
  <c r="AT30" i="54"/>
  <c r="AH30" i="54"/>
  <c r="X30" i="54"/>
  <c r="N30" i="54"/>
  <c r="BT30" i="54"/>
  <c r="BF30" i="54"/>
  <c r="AP30" i="54"/>
  <c r="AD30" i="54"/>
  <c r="P30" i="54"/>
  <c r="CD30" i="54"/>
  <c r="BR30" i="54"/>
  <c r="BB30" i="54"/>
  <c r="AN30" i="54"/>
  <c r="Z30" i="54"/>
  <c r="J30" i="54"/>
  <c r="BV30" i="54"/>
  <c r="AV30" i="54"/>
  <c r="R30" i="54"/>
  <c r="AX30" i="54"/>
  <c r="H30" i="54"/>
  <c r="CB30" i="54"/>
  <c r="AL30" i="54"/>
  <c r="BL30" i="54"/>
  <c r="AF30" i="54"/>
  <c r="CD30" i="53"/>
  <c r="BV30" i="53"/>
  <c r="BN30" i="53"/>
  <c r="BF30" i="53"/>
  <c r="AX30" i="53"/>
  <c r="AP30" i="53"/>
  <c r="AH30" i="53"/>
  <c r="Z30" i="53"/>
  <c r="R30" i="53"/>
  <c r="J30" i="53"/>
  <c r="CB30" i="53"/>
  <c r="BT30" i="53"/>
  <c r="BL30" i="53"/>
  <c r="BD30" i="53"/>
  <c r="AV30" i="53"/>
  <c r="AN30" i="53"/>
  <c r="AF30" i="53"/>
  <c r="X30" i="53"/>
  <c r="P30" i="53"/>
  <c r="H30" i="53"/>
  <c r="BJ30" i="54"/>
  <c r="BZ30" i="53"/>
  <c r="BR30" i="53"/>
  <c r="BJ30" i="53"/>
  <c r="BB30" i="53"/>
  <c r="AT30" i="53"/>
  <c r="AL30" i="53"/>
  <c r="AD30" i="53"/>
  <c r="V30" i="53"/>
  <c r="N30" i="53"/>
  <c r="CF30" i="53"/>
  <c r="AZ30" i="53"/>
  <c r="T30" i="53"/>
  <c r="CD30" i="52"/>
  <c r="BV30" i="52"/>
  <c r="BN30" i="52"/>
  <c r="BF30" i="52"/>
  <c r="AX30" i="52"/>
  <c r="AP30" i="52"/>
  <c r="AH30" i="52"/>
  <c r="Z30" i="52"/>
  <c r="R30" i="52"/>
  <c r="J30" i="52"/>
  <c r="BX30" i="53"/>
  <c r="AR30" i="53"/>
  <c r="L30" i="53"/>
  <c r="CB30" i="52"/>
  <c r="BT30" i="52"/>
  <c r="BL30" i="52"/>
  <c r="BD30" i="52"/>
  <c r="AV30" i="52"/>
  <c r="AN30" i="52"/>
  <c r="AF30" i="52"/>
  <c r="X30" i="52"/>
  <c r="P30" i="52"/>
  <c r="H30" i="52"/>
  <c r="BP30" i="53"/>
  <c r="AJ30" i="53"/>
  <c r="BZ30" i="52"/>
  <c r="BR30" i="52"/>
  <c r="BJ30" i="52"/>
  <c r="BB30" i="52"/>
  <c r="AT30" i="52"/>
  <c r="AL30" i="52"/>
  <c r="AD30" i="52"/>
  <c r="V30" i="52"/>
  <c r="N30" i="52"/>
  <c r="BP30" i="52"/>
  <c r="AJ30" i="52"/>
  <c r="BZ30" i="51"/>
  <c r="BR30" i="51"/>
  <c r="BJ30" i="51"/>
  <c r="BB30" i="51"/>
  <c r="AT30" i="51"/>
  <c r="AL30" i="51"/>
  <c r="AD30" i="51"/>
  <c r="V30" i="51"/>
  <c r="N30" i="51"/>
  <c r="BZ30" i="50"/>
  <c r="BR30" i="50"/>
  <c r="BJ30" i="50"/>
  <c r="BB30" i="50"/>
  <c r="AT30" i="50"/>
  <c r="AL30" i="50"/>
  <c r="AD30" i="50"/>
  <c r="V30" i="50"/>
  <c r="N30" i="50"/>
  <c r="BH30" i="52"/>
  <c r="AB30" i="52"/>
  <c r="CF30" i="51"/>
  <c r="BX30" i="51"/>
  <c r="BP30" i="51"/>
  <c r="BH30" i="51"/>
  <c r="AZ30" i="51"/>
  <c r="AR30" i="51"/>
  <c r="AJ30" i="51"/>
  <c r="AB30" i="51"/>
  <c r="T30" i="51"/>
  <c r="L30" i="51"/>
  <c r="CF30" i="50"/>
  <c r="BX30" i="50"/>
  <c r="BP30" i="50"/>
  <c r="BH30" i="50"/>
  <c r="AZ30" i="50"/>
  <c r="AR30" i="50"/>
  <c r="AJ30" i="50"/>
  <c r="AB30" i="50"/>
  <c r="T30" i="50"/>
  <c r="L30" i="50"/>
  <c r="CF30" i="52"/>
  <c r="T30" i="52"/>
  <c r="BT30" i="51"/>
  <c r="BD30" i="51"/>
  <c r="AN30" i="51"/>
  <c r="X30" i="51"/>
  <c r="H30" i="51"/>
  <c r="CB30" i="50"/>
  <c r="BL30" i="50"/>
  <c r="AV30" i="50"/>
  <c r="AF30" i="50"/>
  <c r="P30" i="50"/>
  <c r="BH30" i="53"/>
  <c r="BX30" i="52"/>
  <c r="L30" i="52"/>
  <c r="AB30" i="53"/>
  <c r="AZ30" i="52"/>
  <c r="CB30" i="51"/>
  <c r="BL30" i="51"/>
  <c r="AV30" i="51"/>
  <c r="AF30" i="51"/>
  <c r="P30" i="51"/>
  <c r="BT30" i="50"/>
  <c r="BD30" i="50"/>
  <c r="AN30" i="50"/>
  <c r="X30" i="50"/>
  <c r="H30" i="50"/>
  <c r="BV30" i="51"/>
  <c r="AP30" i="51"/>
  <c r="J30" i="51"/>
  <c r="BF30" i="50"/>
  <c r="Z30" i="50"/>
  <c r="CD30" i="49"/>
  <c r="BV30" i="49"/>
  <c r="BN30" i="49"/>
  <c r="BF30" i="49"/>
  <c r="AX30" i="49"/>
  <c r="AP30" i="49"/>
  <c r="AH30" i="49"/>
  <c r="Z30" i="49"/>
  <c r="R30" i="49"/>
  <c r="J30" i="49"/>
  <c r="BZ30" i="48"/>
  <c r="BR30" i="48"/>
  <c r="BJ30" i="48"/>
  <c r="BB30" i="48"/>
  <c r="AT30" i="48"/>
  <c r="AL30" i="48"/>
  <c r="AD30" i="48"/>
  <c r="V30" i="48"/>
  <c r="N30" i="48"/>
  <c r="CB30" i="47"/>
  <c r="BT30" i="47"/>
  <c r="BL30" i="47"/>
  <c r="BD30" i="47"/>
  <c r="AV30" i="47"/>
  <c r="AN30" i="47"/>
  <c r="AF30" i="47"/>
  <c r="X30" i="47"/>
  <c r="P30" i="47"/>
  <c r="H30" i="47"/>
  <c r="BN30" i="51"/>
  <c r="AH30" i="51"/>
  <c r="CD30" i="50"/>
  <c r="AX30" i="50"/>
  <c r="R30" i="50"/>
  <c r="CB30" i="49"/>
  <c r="BT30" i="49"/>
  <c r="BL30" i="49"/>
  <c r="BD30" i="49"/>
  <c r="AV30" i="49"/>
  <c r="AN30" i="49"/>
  <c r="AF30" i="49"/>
  <c r="X30" i="49"/>
  <c r="P30" i="49"/>
  <c r="H30" i="49"/>
  <c r="CF30" i="48"/>
  <c r="BX30" i="48"/>
  <c r="BP30" i="48"/>
  <c r="BH30" i="48"/>
  <c r="AZ30" i="48"/>
  <c r="AR30" i="48"/>
  <c r="AJ30" i="48"/>
  <c r="AB30" i="48"/>
  <c r="T30" i="48"/>
  <c r="L30" i="48"/>
  <c r="BZ30" i="47"/>
  <c r="BR30" i="47"/>
  <c r="BJ30" i="47"/>
  <c r="BB30" i="47"/>
  <c r="AT30" i="47"/>
  <c r="AL30" i="47"/>
  <c r="AD30" i="47"/>
  <c r="V30" i="47"/>
  <c r="N30" i="47"/>
  <c r="BF30" i="51"/>
  <c r="Z30" i="51"/>
  <c r="BV30" i="50"/>
  <c r="AP30" i="50"/>
  <c r="J30" i="50"/>
  <c r="BZ30" i="49"/>
  <c r="BR30" i="49"/>
  <c r="BJ30" i="49"/>
  <c r="BB30" i="49"/>
  <c r="AT30" i="49"/>
  <c r="AL30" i="49"/>
  <c r="AD30" i="49"/>
  <c r="V30" i="49"/>
  <c r="N30" i="49"/>
  <c r="V30" i="54"/>
  <c r="AR30" i="52"/>
  <c r="CD30" i="51"/>
  <c r="AX30" i="51"/>
  <c r="R30" i="51"/>
  <c r="BN30" i="50"/>
  <c r="AH30" i="50"/>
  <c r="CF30" i="49"/>
  <c r="AZ30" i="49"/>
  <c r="T30" i="49"/>
  <c r="CB30" i="48"/>
  <c r="BL30" i="48"/>
  <c r="AV30" i="48"/>
  <c r="AF30" i="48"/>
  <c r="P30" i="48"/>
  <c r="BV30" i="47"/>
  <c r="BF30" i="47"/>
  <c r="AP30" i="47"/>
  <c r="Z30" i="47"/>
  <c r="J30" i="47"/>
  <c r="CB30" i="46"/>
  <c r="BT30" i="46"/>
  <c r="BL30" i="46"/>
  <c r="BD30" i="46"/>
  <c r="AV30" i="46"/>
  <c r="AN30" i="46"/>
  <c r="AF30" i="46"/>
  <c r="X30" i="46"/>
  <c r="P30" i="46"/>
  <c r="H30" i="46"/>
  <c r="CB30" i="45"/>
  <c r="BT30" i="45"/>
  <c r="BL30" i="45"/>
  <c r="BD30" i="45"/>
  <c r="AV30" i="45"/>
  <c r="AN30" i="45"/>
  <c r="AF30" i="45"/>
  <c r="X30" i="45"/>
  <c r="P30" i="45"/>
  <c r="H30" i="45"/>
  <c r="BX30" i="49"/>
  <c r="AR30" i="49"/>
  <c r="L30" i="49"/>
  <c r="BV30" i="48"/>
  <c r="BF30" i="48"/>
  <c r="AP30" i="48"/>
  <c r="Z30" i="48"/>
  <c r="J30" i="48"/>
  <c r="CF30" i="47"/>
  <c r="BP30" i="47"/>
  <c r="AZ30" i="47"/>
  <c r="AJ30" i="47"/>
  <c r="T30" i="47"/>
  <c r="BZ30" i="46"/>
  <c r="BR30" i="46"/>
  <c r="BJ30" i="46"/>
  <c r="BB30" i="46"/>
  <c r="AT30" i="46"/>
  <c r="AL30" i="46"/>
  <c r="AD30" i="46"/>
  <c r="V30" i="46"/>
  <c r="N30" i="46"/>
  <c r="BZ30" i="45"/>
  <c r="BR30" i="45"/>
  <c r="BJ30" i="45"/>
  <c r="BB30" i="45"/>
  <c r="AT30" i="45"/>
  <c r="AL30" i="45"/>
  <c r="AD30" i="45"/>
  <c r="V30" i="45"/>
  <c r="N30" i="45"/>
  <c r="BP30" i="49"/>
  <c r="AJ30" i="49"/>
  <c r="BT30" i="48"/>
  <c r="BD30" i="48"/>
  <c r="AN30" i="48"/>
  <c r="X30" i="48"/>
  <c r="H30" i="48"/>
  <c r="CD30" i="47"/>
  <c r="BN30" i="47"/>
  <c r="AX30" i="47"/>
  <c r="AH30" i="47"/>
  <c r="R30" i="47"/>
  <c r="CF30" i="46"/>
  <c r="BX30" i="46"/>
  <c r="BP30" i="46"/>
  <c r="BH30" i="46"/>
  <c r="AZ30" i="46"/>
  <c r="AR30" i="46"/>
  <c r="AJ30" i="46"/>
  <c r="AB30" i="46"/>
  <c r="T30" i="46"/>
  <c r="L30" i="46"/>
  <c r="CF30" i="45"/>
  <c r="BX30" i="45"/>
  <c r="BP30" i="45"/>
  <c r="BH30" i="45"/>
  <c r="AZ30" i="45"/>
  <c r="AR30" i="45"/>
  <c r="AJ30" i="45"/>
  <c r="AB30" i="45"/>
  <c r="T30" i="45"/>
  <c r="L30" i="45"/>
  <c r="BH30" i="49"/>
  <c r="CD30" i="48"/>
  <c r="R30" i="48"/>
  <c r="BH30" i="47"/>
  <c r="BF30" i="46"/>
  <c r="Z30" i="46"/>
  <c r="BN30" i="45"/>
  <c r="AH30" i="45"/>
  <c r="AB30" i="49"/>
  <c r="BN30" i="48"/>
  <c r="AR30" i="47"/>
  <c r="CD30" i="46"/>
  <c r="AX30" i="46"/>
  <c r="R30" i="46"/>
  <c r="BF30" i="45"/>
  <c r="Z30" i="45"/>
  <c r="CF30" i="44"/>
  <c r="CB30" i="44"/>
  <c r="BX30" i="44"/>
  <c r="BT30" i="44"/>
  <c r="BP30" i="44"/>
  <c r="AX30" i="48"/>
  <c r="AB30" i="47"/>
  <c r="BV30" i="46"/>
  <c r="AP30" i="46"/>
  <c r="J30" i="46"/>
  <c r="CD30" i="45"/>
  <c r="AX30" i="45"/>
  <c r="R30" i="45"/>
  <c r="AH30" i="48"/>
  <c r="BX30" i="47"/>
  <c r="L30" i="47"/>
  <c r="BN30" i="46"/>
  <c r="AH30" i="46"/>
  <c r="BV30" i="45"/>
  <c r="AP30" i="45"/>
  <c r="J30" i="45"/>
  <c r="BL30" i="44"/>
  <c r="BH30" i="44"/>
  <c r="BD30" i="44"/>
  <c r="AZ30" i="44"/>
  <c r="AV30" i="44"/>
  <c r="AR30" i="44"/>
  <c r="AN30" i="44"/>
  <c r="AJ30" i="44"/>
  <c r="AF30" i="44"/>
  <c r="AB30" i="44"/>
  <c r="X30" i="44"/>
  <c r="T30" i="44"/>
  <c r="P30" i="44"/>
  <c r="L30" i="44"/>
  <c r="H30" i="44"/>
  <c r="BR30" i="44"/>
  <c r="BN30" i="44"/>
  <c r="BJ30" i="44"/>
  <c r="BF30" i="44"/>
  <c r="BB30" i="44"/>
  <c r="AX30" i="44"/>
  <c r="AT30" i="44"/>
  <c r="AP30" i="44"/>
  <c r="AL30" i="44"/>
  <c r="AH30" i="44"/>
  <c r="AD30" i="44"/>
  <c r="Z30" i="44"/>
  <c r="V30" i="44"/>
  <c r="R30" i="44"/>
  <c r="N30" i="44"/>
  <c r="J30" i="44"/>
  <c r="CD30" i="44"/>
  <c r="BV30" i="44"/>
  <c r="BZ30" i="44"/>
  <c r="F30" i="54"/>
  <c r="F30" i="48"/>
  <c r="F30" i="45"/>
  <c r="F30" i="49"/>
  <c r="F30" i="51"/>
  <c r="F30" i="52"/>
  <c r="F30" i="44"/>
  <c r="F30" i="47"/>
  <c r="F30" i="53"/>
  <c r="F30" i="46"/>
  <c r="F30" i="50"/>
  <c r="CI30" i="51"/>
  <c r="CI30" i="47"/>
  <c r="CI30" i="50"/>
  <c r="CI30" i="44"/>
  <c r="CI30" i="46"/>
  <c r="CI30" i="48"/>
  <c r="CI30" i="49"/>
  <c r="CI30" i="53"/>
  <c r="CI30" i="54"/>
  <c r="CI30" i="45"/>
  <c r="CI30" i="52"/>
  <c r="BZ27" i="54"/>
  <c r="BR27" i="54"/>
  <c r="BJ27" i="54"/>
  <c r="BB27" i="54"/>
  <c r="AT27" i="54"/>
  <c r="AL27" i="54"/>
  <c r="AD27" i="54"/>
  <c r="V27" i="54"/>
  <c r="N27" i="54"/>
  <c r="CF27" i="54"/>
  <c r="BV27" i="54"/>
  <c r="BL27" i="54"/>
  <c r="AZ27" i="54"/>
  <c r="AP27" i="54"/>
  <c r="AF27" i="54"/>
  <c r="T27" i="54"/>
  <c r="J27" i="54"/>
  <c r="CD27" i="54"/>
  <c r="BP27" i="54"/>
  <c r="BD27" i="54"/>
  <c r="AN27" i="54"/>
  <c r="Z27" i="54"/>
  <c r="L27" i="54"/>
  <c r="CB27" i="54"/>
  <c r="BN27" i="54"/>
  <c r="AX27" i="54"/>
  <c r="AJ27" i="54"/>
  <c r="X27" i="54"/>
  <c r="H27" i="54"/>
  <c r="BT27" i="54"/>
  <c r="AR27" i="54"/>
  <c r="P27" i="54"/>
  <c r="BF27" i="54"/>
  <c r="R27" i="54"/>
  <c r="AV27" i="54"/>
  <c r="BX27" i="54"/>
  <c r="AH27" i="54"/>
  <c r="BH27" i="54"/>
  <c r="CF27" i="53"/>
  <c r="BX27" i="53"/>
  <c r="BP27" i="53"/>
  <c r="BH27" i="53"/>
  <c r="AZ27" i="53"/>
  <c r="AR27" i="53"/>
  <c r="AJ27" i="53"/>
  <c r="AB27" i="53"/>
  <c r="T27" i="53"/>
  <c r="L27" i="53"/>
  <c r="AB27" i="54"/>
  <c r="CD27" i="53"/>
  <c r="BV27" i="53"/>
  <c r="BN27" i="53"/>
  <c r="BF27" i="53"/>
  <c r="AX27" i="53"/>
  <c r="AP27" i="53"/>
  <c r="AH27" i="53"/>
  <c r="Z27" i="53"/>
  <c r="R27" i="53"/>
  <c r="J27" i="53"/>
  <c r="CB27" i="53"/>
  <c r="BT27" i="53"/>
  <c r="BL27" i="53"/>
  <c r="BD27" i="53"/>
  <c r="AV27" i="53"/>
  <c r="AN27" i="53"/>
  <c r="AF27" i="53"/>
  <c r="X27" i="53"/>
  <c r="P27" i="53"/>
  <c r="H27" i="53"/>
  <c r="BR27" i="53"/>
  <c r="AL27" i="53"/>
  <c r="CF27" i="52"/>
  <c r="BX27" i="52"/>
  <c r="BP27" i="52"/>
  <c r="BH27" i="52"/>
  <c r="AZ27" i="52"/>
  <c r="AR27" i="52"/>
  <c r="AJ27" i="52"/>
  <c r="AB27" i="52"/>
  <c r="T27" i="52"/>
  <c r="L27" i="52"/>
  <c r="BJ27" i="53"/>
  <c r="AD27" i="53"/>
  <c r="CD27" i="52"/>
  <c r="BV27" i="52"/>
  <c r="BN27" i="52"/>
  <c r="BF27" i="52"/>
  <c r="AX27" i="52"/>
  <c r="AP27" i="52"/>
  <c r="AH27" i="52"/>
  <c r="Z27" i="52"/>
  <c r="R27" i="52"/>
  <c r="J27" i="52"/>
  <c r="BB27" i="53"/>
  <c r="V27" i="53"/>
  <c r="CB27" i="52"/>
  <c r="BT27" i="52"/>
  <c r="BL27" i="52"/>
  <c r="BD27" i="52"/>
  <c r="AV27" i="52"/>
  <c r="AN27" i="52"/>
  <c r="AF27" i="52"/>
  <c r="X27" i="52"/>
  <c r="P27" i="52"/>
  <c r="H27" i="52"/>
  <c r="BZ27" i="53"/>
  <c r="BB27" i="52"/>
  <c r="V27" i="52"/>
  <c r="CB27" i="51"/>
  <c r="BT27" i="51"/>
  <c r="BL27" i="51"/>
  <c r="BD27" i="51"/>
  <c r="AV27" i="51"/>
  <c r="AN27" i="51"/>
  <c r="AF27" i="51"/>
  <c r="X27" i="51"/>
  <c r="P27" i="51"/>
  <c r="H27" i="51"/>
  <c r="CB27" i="50"/>
  <c r="BT27" i="50"/>
  <c r="BL27" i="50"/>
  <c r="BD27" i="50"/>
  <c r="AV27" i="50"/>
  <c r="AN27" i="50"/>
  <c r="AF27" i="50"/>
  <c r="X27" i="50"/>
  <c r="P27" i="50"/>
  <c r="AT27" i="53"/>
  <c r="BZ27" i="52"/>
  <c r="AT27" i="52"/>
  <c r="N27" i="52"/>
  <c r="BZ27" i="51"/>
  <c r="BR27" i="51"/>
  <c r="BJ27" i="51"/>
  <c r="BB27" i="51"/>
  <c r="AT27" i="51"/>
  <c r="AL27" i="51"/>
  <c r="AD27" i="51"/>
  <c r="V27" i="51"/>
  <c r="N27" i="51"/>
  <c r="BZ27" i="50"/>
  <c r="BR27" i="50"/>
  <c r="BJ27" i="50"/>
  <c r="BB27" i="50"/>
  <c r="AT27" i="50"/>
  <c r="AL27" i="50"/>
  <c r="AD27" i="50"/>
  <c r="V27" i="50"/>
  <c r="N27" i="50"/>
  <c r="AL27" i="52"/>
  <c r="BV27" i="51"/>
  <c r="BF27" i="51"/>
  <c r="AP27" i="51"/>
  <c r="Z27" i="51"/>
  <c r="J27" i="51"/>
  <c r="CD27" i="50"/>
  <c r="BN27" i="50"/>
  <c r="AX27" i="50"/>
  <c r="AH27" i="50"/>
  <c r="R27" i="50"/>
  <c r="AD27" i="52"/>
  <c r="BR27" i="52"/>
  <c r="CD27" i="51"/>
  <c r="BN27" i="51"/>
  <c r="AX27" i="51"/>
  <c r="AH27" i="51"/>
  <c r="R27" i="51"/>
  <c r="BV27" i="50"/>
  <c r="BF27" i="50"/>
  <c r="AP27" i="50"/>
  <c r="Z27" i="50"/>
  <c r="J27" i="50"/>
  <c r="BJ27" i="52"/>
  <c r="BH27" i="51"/>
  <c r="AB27" i="51"/>
  <c r="BX27" i="50"/>
  <c r="AR27" i="50"/>
  <c r="L27" i="50"/>
  <c r="CF27" i="49"/>
  <c r="BX27" i="49"/>
  <c r="BP27" i="49"/>
  <c r="BH27" i="49"/>
  <c r="AZ27" i="49"/>
  <c r="AR27" i="49"/>
  <c r="AJ27" i="49"/>
  <c r="AB27" i="49"/>
  <c r="T27" i="49"/>
  <c r="L27" i="49"/>
  <c r="CB27" i="48"/>
  <c r="BT27" i="48"/>
  <c r="BL27" i="48"/>
  <c r="BD27" i="48"/>
  <c r="AV27" i="48"/>
  <c r="AN27" i="48"/>
  <c r="AF27" i="48"/>
  <c r="X27" i="48"/>
  <c r="P27" i="48"/>
  <c r="H27" i="48"/>
  <c r="CD27" i="47"/>
  <c r="BV27" i="47"/>
  <c r="BN27" i="47"/>
  <c r="BF27" i="47"/>
  <c r="AX27" i="47"/>
  <c r="AP27" i="47"/>
  <c r="AH27" i="47"/>
  <c r="Z27" i="47"/>
  <c r="R27" i="47"/>
  <c r="J27" i="47"/>
  <c r="N27" i="53"/>
  <c r="CF27" i="51"/>
  <c r="AZ27" i="51"/>
  <c r="T27" i="51"/>
  <c r="BP27" i="50"/>
  <c r="AJ27" i="50"/>
  <c r="H27" i="50"/>
  <c r="CD27" i="49"/>
  <c r="BV27" i="49"/>
  <c r="BN27" i="49"/>
  <c r="BF27" i="49"/>
  <c r="AX27" i="49"/>
  <c r="AP27" i="49"/>
  <c r="AH27" i="49"/>
  <c r="Z27" i="49"/>
  <c r="R27" i="49"/>
  <c r="J27" i="49"/>
  <c r="BZ27" i="48"/>
  <c r="BR27" i="48"/>
  <c r="BJ27" i="48"/>
  <c r="BB27" i="48"/>
  <c r="AT27" i="48"/>
  <c r="AL27" i="48"/>
  <c r="AD27" i="48"/>
  <c r="V27" i="48"/>
  <c r="N27" i="48"/>
  <c r="CB27" i="47"/>
  <c r="BT27" i="47"/>
  <c r="BL27" i="47"/>
  <c r="BD27" i="47"/>
  <c r="AV27" i="47"/>
  <c r="AN27" i="47"/>
  <c r="AF27" i="47"/>
  <c r="X27" i="47"/>
  <c r="P27" i="47"/>
  <c r="H27" i="47"/>
  <c r="BX27" i="51"/>
  <c r="AR27" i="51"/>
  <c r="L27" i="51"/>
  <c r="BH27" i="50"/>
  <c r="AB27" i="50"/>
  <c r="CB27" i="49"/>
  <c r="BT27" i="49"/>
  <c r="BL27" i="49"/>
  <c r="BD27" i="49"/>
  <c r="AV27" i="49"/>
  <c r="AN27" i="49"/>
  <c r="AF27" i="49"/>
  <c r="X27" i="49"/>
  <c r="P27" i="49"/>
  <c r="H27" i="49"/>
  <c r="BP27" i="51"/>
  <c r="AJ27" i="51"/>
  <c r="CF27" i="50"/>
  <c r="AZ27" i="50"/>
  <c r="T27" i="50"/>
  <c r="BR27" i="49"/>
  <c r="AL27" i="49"/>
  <c r="CD27" i="48"/>
  <c r="BN27" i="48"/>
  <c r="AX27" i="48"/>
  <c r="AH27" i="48"/>
  <c r="R27" i="48"/>
  <c r="BX27" i="47"/>
  <c r="BH27" i="47"/>
  <c r="AR27" i="47"/>
  <c r="AB27" i="47"/>
  <c r="L27" i="47"/>
  <c r="CD27" i="46"/>
  <c r="BV27" i="46"/>
  <c r="BN27" i="46"/>
  <c r="BF27" i="46"/>
  <c r="AX27" i="46"/>
  <c r="AP27" i="46"/>
  <c r="AH27" i="46"/>
  <c r="Z27" i="46"/>
  <c r="R27" i="46"/>
  <c r="J27" i="46"/>
  <c r="CD27" i="45"/>
  <c r="BV27" i="45"/>
  <c r="BN27" i="45"/>
  <c r="BF27" i="45"/>
  <c r="AX27" i="45"/>
  <c r="AP27" i="45"/>
  <c r="AH27" i="45"/>
  <c r="Z27" i="45"/>
  <c r="R27" i="45"/>
  <c r="J27" i="45"/>
  <c r="BJ27" i="49"/>
  <c r="AD27" i="49"/>
  <c r="BX27" i="48"/>
  <c r="BH27" i="48"/>
  <c r="AR27" i="48"/>
  <c r="AB27" i="48"/>
  <c r="L27" i="48"/>
  <c r="BR27" i="47"/>
  <c r="BB27" i="47"/>
  <c r="AL27" i="47"/>
  <c r="V27" i="47"/>
  <c r="CB27" i="46"/>
  <c r="BT27" i="46"/>
  <c r="BL27" i="46"/>
  <c r="BD27" i="46"/>
  <c r="AV27" i="46"/>
  <c r="AN27" i="46"/>
  <c r="AF27" i="46"/>
  <c r="X27" i="46"/>
  <c r="P27" i="46"/>
  <c r="H27" i="46"/>
  <c r="CB27" i="45"/>
  <c r="BT27" i="45"/>
  <c r="BL27" i="45"/>
  <c r="BD27" i="45"/>
  <c r="AV27" i="45"/>
  <c r="AN27" i="45"/>
  <c r="AF27" i="45"/>
  <c r="X27" i="45"/>
  <c r="P27" i="45"/>
  <c r="H27" i="45"/>
  <c r="BB27" i="49"/>
  <c r="V27" i="49"/>
  <c r="BV27" i="48"/>
  <c r="BF27" i="48"/>
  <c r="AP27" i="48"/>
  <c r="Z27" i="48"/>
  <c r="J27" i="48"/>
  <c r="CF27" i="47"/>
  <c r="BP27" i="47"/>
  <c r="AZ27" i="47"/>
  <c r="AJ27" i="47"/>
  <c r="T27" i="47"/>
  <c r="BZ27" i="46"/>
  <c r="BR27" i="46"/>
  <c r="BJ27" i="46"/>
  <c r="BB27" i="46"/>
  <c r="AT27" i="46"/>
  <c r="AL27" i="46"/>
  <c r="AD27" i="46"/>
  <c r="V27" i="46"/>
  <c r="N27" i="46"/>
  <c r="BZ27" i="45"/>
  <c r="BR27" i="45"/>
  <c r="BJ27" i="45"/>
  <c r="BB27" i="45"/>
  <c r="AT27" i="45"/>
  <c r="AL27" i="45"/>
  <c r="AD27" i="45"/>
  <c r="V27" i="45"/>
  <c r="N27" i="45"/>
  <c r="N27" i="49"/>
  <c r="AJ27" i="48"/>
  <c r="BZ27" i="47"/>
  <c r="N27" i="47"/>
  <c r="BX27" i="46"/>
  <c r="AR27" i="46"/>
  <c r="L27" i="46"/>
  <c r="CF27" i="45"/>
  <c r="AZ27" i="45"/>
  <c r="T27" i="45"/>
  <c r="CD27" i="44"/>
  <c r="BZ27" i="44"/>
  <c r="BV27" i="44"/>
  <c r="BR27" i="44"/>
  <c r="CF27" i="48"/>
  <c r="T27" i="48"/>
  <c r="BJ27" i="47"/>
  <c r="BP27" i="46"/>
  <c r="AJ27" i="46"/>
  <c r="BX27" i="45"/>
  <c r="AR27" i="45"/>
  <c r="L27" i="45"/>
  <c r="BZ27" i="49"/>
  <c r="BP27" i="48"/>
  <c r="AT27" i="47"/>
  <c r="BH27" i="46"/>
  <c r="AB27" i="46"/>
  <c r="BP27" i="45"/>
  <c r="AJ27" i="45"/>
  <c r="CF27" i="44"/>
  <c r="CB27" i="44"/>
  <c r="BX27" i="44"/>
  <c r="BT27" i="44"/>
  <c r="BP27" i="44"/>
  <c r="AT27" i="49"/>
  <c r="AZ27" i="48"/>
  <c r="AD27" i="47"/>
  <c r="CF27" i="46"/>
  <c r="AZ27" i="46"/>
  <c r="T27" i="46"/>
  <c r="BH27" i="45"/>
  <c r="AB27" i="45"/>
  <c r="BL27" i="44"/>
  <c r="BD27" i="44"/>
  <c r="AV27" i="44"/>
  <c r="AF27" i="44"/>
  <c r="X27" i="44"/>
  <c r="L27" i="44"/>
  <c r="AN27" i="44"/>
  <c r="AJ27" i="44"/>
  <c r="BN27" i="44"/>
  <c r="BJ27" i="44"/>
  <c r="BF27" i="44"/>
  <c r="BB27" i="44"/>
  <c r="AX27" i="44"/>
  <c r="AT27" i="44"/>
  <c r="AP27" i="44"/>
  <c r="AL27" i="44"/>
  <c r="AH27" i="44"/>
  <c r="AD27" i="44"/>
  <c r="Z27" i="44"/>
  <c r="V27" i="44"/>
  <c r="R27" i="44"/>
  <c r="N27" i="44"/>
  <c r="J27" i="44"/>
  <c r="BH27" i="44"/>
  <c r="AZ27" i="44"/>
  <c r="AR27" i="44"/>
  <c r="AB27" i="44"/>
  <c r="T27" i="44"/>
  <c r="P27" i="44"/>
  <c r="H27" i="44"/>
  <c r="F27" i="48"/>
  <c r="F27" i="45"/>
  <c r="F27" i="54"/>
  <c r="F27" i="52"/>
  <c r="F27" i="51"/>
  <c r="F27" i="44"/>
  <c r="F27" i="49"/>
  <c r="F27" i="50"/>
  <c r="F27" i="47"/>
  <c r="F27" i="53"/>
  <c r="F27" i="46"/>
  <c r="CI27" i="46"/>
  <c r="CI27" i="53"/>
  <c r="CI27" i="44"/>
  <c r="CI27" i="49"/>
  <c r="CI27" i="50"/>
  <c r="CI27" i="45"/>
  <c r="CI27" i="47"/>
  <c r="CI27" i="48"/>
  <c r="CI27" i="52"/>
  <c r="CI27" i="54"/>
  <c r="CI27" i="51"/>
  <c r="U48" i="53"/>
  <c r="U46" i="53"/>
  <c r="BO48" i="53"/>
  <c r="BO46" i="53"/>
  <c r="AW48" i="53"/>
  <c r="AW46" i="53"/>
  <c r="BW48" i="53"/>
  <c r="BW46" i="53"/>
  <c r="BK48" i="53"/>
  <c r="BK46" i="53"/>
  <c r="AK48" i="53"/>
  <c r="AK46" i="53"/>
  <c r="CG48" i="53"/>
  <c r="CG46" i="53"/>
  <c r="Y48" i="53"/>
  <c r="Y46" i="53"/>
  <c r="BG48" i="53"/>
  <c r="BG46" i="53"/>
  <c r="BA48" i="53"/>
  <c r="BA46" i="53"/>
  <c r="AS48" i="47"/>
  <c r="AS46" i="47"/>
  <c r="BU48" i="47"/>
  <c r="BU46" i="47"/>
  <c r="BQ48" i="47"/>
  <c r="BQ46" i="47"/>
  <c r="Q48" i="47"/>
  <c r="Q46" i="47"/>
  <c r="S48" i="47"/>
  <c r="S46" i="47"/>
  <c r="BS48" i="47"/>
  <c r="BS46" i="47"/>
  <c r="BA48" i="47"/>
  <c r="BA46" i="47"/>
  <c r="CG48" i="47"/>
  <c r="CG46" i="47"/>
  <c r="AA48" i="47"/>
  <c r="AA46" i="47"/>
  <c r="BO48" i="47"/>
  <c r="BO46" i="47"/>
  <c r="AI48" i="52"/>
  <c r="AI46" i="52"/>
  <c r="AM48" i="52"/>
  <c r="AM46" i="52"/>
  <c r="CA48" i="52"/>
  <c r="CA46" i="52"/>
  <c r="AO48" i="52"/>
  <c r="AO46" i="52"/>
  <c r="AS48" i="52"/>
  <c r="AS46" i="52"/>
  <c r="I48" i="52"/>
  <c r="I46" i="52"/>
  <c r="BS48" i="52"/>
  <c r="BS46" i="52"/>
  <c r="AU48" i="52"/>
  <c r="AU46" i="52"/>
  <c r="BC48" i="52"/>
  <c r="BC46" i="52"/>
  <c r="BM48" i="52"/>
  <c r="BM46" i="52"/>
  <c r="AG48" i="54"/>
  <c r="AG46" i="54"/>
  <c r="BU48" i="54"/>
  <c r="BU46" i="54"/>
  <c r="S48" i="54"/>
  <c r="S46" i="54"/>
  <c r="AW48" i="54"/>
  <c r="AW46" i="54"/>
  <c r="AC48" i="54"/>
  <c r="AC46" i="54"/>
  <c r="BS48" i="54"/>
  <c r="BS46" i="54"/>
  <c r="G48" i="54"/>
  <c r="G46" i="54"/>
  <c r="AE48" i="54"/>
  <c r="AE46" i="54"/>
  <c r="CC48" i="54"/>
  <c r="CC46" i="54"/>
  <c r="AQ48" i="54"/>
  <c r="AQ46" i="54"/>
  <c r="U48" i="46"/>
  <c r="U46" i="46"/>
  <c r="AO48" i="46"/>
  <c r="AO46" i="46"/>
  <c r="BM48" i="46"/>
  <c r="BM46" i="46"/>
  <c r="BW48" i="46"/>
  <c r="BW46" i="46"/>
  <c r="I48" i="46"/>
  <c r="I46" i="46"/>
  <c r="BQ48" i="46"/>
  <c r="BQ46" i="46"/>
  <c r="BA48" i="46"/>
  <c r="BA46" i="46"/>
  <c r="BC48" i="46"/>
  <c r="BC46" i="46"/>
  <c r="Y48" i="46"/>
  <c r="Y46" i="46"/>
  <c r="BU48" i="46"/>
  <c r="BU46" i="46"/>
  <c r="BW48" i="48"/>
  <c r="BW46" i="48"/>
  <c r="AG48" i="48"/>
  <c r="AG46" i="48"/>
  <c r="G48" i="48"/>
  <c r="G46" i="48"/>
  <c r="AU48" i="48"/>
  <c r="AU46" i="48"/>
  <c r="Q48" i="48"/>
  <c r="Q46" i="48"/>
  <c r="AW48" i="48"/>
  <c r="AW46" i="48"/>
  <c r="AM48" i="48"/>
  <c r="AM46" i="48"/>
  <c r="U48" i="48"/>
  <c r="U46" i="48"/>
  <c r="BC48" i="48"/>
  <c r="BC46" i="48"/>
  <c r="M48" i="48"/>
  <c r="M46" i="48"/>
  <c r="K48" i="50"/>
  <c r="K46" i="50"/>
  <c r="AS48" i="50"/>
  <c r="AS46" i="50"/>
  <c r="BQ48" i="50"/>
  <c r="BQ46" i="50"/>
  <c r="O48" i="50"/>
  <c r="O46" i="50"/>
  <c r="AC48" i="50"/>
  <c r="AC46" i="50"/>
  <c r="BI48" i="50"/>
  <c r="BI46" i="50"/>
  <c r="CA48" i="50"/>
  <c r="CA46" i="50"/>
  <c r="AY48" i="50"/>
  <c r="AY46" i="50"/>
  <c r="Y48" i="50"/>
  <c r="Y46" i="50"/>
  <c r="AU48" i="50"/>
  <c r="AU46" i="50"/>
  <c r="I48" i="51"/>
  <c r="I46" i="51"/>
  <c r="BC48" i="51"/>
  <c r="BC46" i="51"/>
  <c r="W48" i="51"/>
  <c r="W46" i="51"/>
  <c r="AG48" i="51"/>
  <c r="AG46" i="51"/>
  <c r="AQ48" i="51"/>
  <c r="AQ46" i="51"/>
  <c r="BU48" i="51"/>
  <c r="BU46" i="51"/>
  <c r="AA48" i="51"/>
  <c r="AA46" i="51"/>
  <c r="Y48" i="51"/>
  <c r="Y46" i="51"/>
  <c r="BM48" i="51"/>
  <c r="BM46" i="51"/>
  <c r="AY48" i="51"/>
  <c r="AY46" i="51"/>
  <c r="BK48" i="49"/>
  <c r="BK46" i="49"/>
  <c r="AO48" i="49"/>
  <c r="AO46" i="49"/>
  <c r="BO48" i="49"/>
  <c r="BO46" i="49"/>
  <c r="BM48" i="49"/>
  <c r="BM46" i="49"/>
  <c r="AY48" i="49"/>
  <c r="AY46" i="49"/>
  <c r="AM48" i="49"/>
  <c r="AM46" i="49"/>
  <c r="AC48" i="49"/>
  <c r="AC46" i="49"/>
  <c r="M48" i="49"/>
  <c r="M46" i="49"/>
  <c r="AA48" i="49"/>
  <c r="AA46" i="49"/>
  <c r="CC48" i="49"/>
  <c r="CC46" i="49"/>
  <c r="BZ22" i="54"/>
  <c r="BR22" i="54"/>
  <c r="BJ22" i="54"/>
  <c r="BB22" i="54"/>
  <c r="AT22" i="54"/>
  <c r="AL22" i="54"/>
  <c r="AD22" i="54"/>
  <c r="V22" i="54"/>
  <c r="N22" i="54"/>
  <c r="CB22" i="54"/>
  <c r="BP22" i="54"/>
  <c r="BF22" i="54"/>
  <c r="AV22" i="54"/>
  <c r="AJ22" i="54"/>
  <c r="Z22" i="54"/>
  <c r="P22" i="54"/>
  <c r="BX22" i="54"/>
  <c r="BN22" i="54"/>
  <c r="BD22" i="54"/>
  <c r="AR22" i="54"/>
  <c r="AH22" i="54"/>
  <c r="X22" i="54"/>
  <c r="L22" i="54"/>
  <c r="BT22" i="54"/>
  <c r="AX22" i="54"/>
  <c r="AB22" i="54"/>
  <c r="H22" i="54"/>
  <c r="CD22" i="54"/>
  <c r="AZ22" i="54"/>
  <c r="T22" i="54"/>
  <c r="BV22" i="54"/>
  <c r="AP22" i="54"/>
  <c r="R22" i="54"/>
  <c r="BL22" i="54"/>
  <c r="AN22" i="54"/>
  <c r="J22" i="54"/>
  <c r="CF22" i="53"/>
  <c r="BX22" i="53"/>
  <c r="BP22" i="53"/>
  <c r="BH22" i="53"/>
  <c r="AZ22" i="53"/>
  <c r="AR22" i="53"/>
  <c r="AJ22" i="53"/>
  <c r="AB22" i="53"/>
  <c r="T22" i="53"/>
  <c r="L22" i="53"/>
  <c r="CF22" i="54"/>
  <c r="CD22" i="53"/>
  <c r="BV22" i="53"/>
  <c r="BN22" i="53"/>
  <c r="BF22" i="53"/>
  <c r="AX22" i="53"/>
  <c r="AP22" i="53"/>
  <c r="AH22" i="53"/>
  <c r="Z22" i="53"/>
  <c r="R22" i="53"/>
  <c r="J22" i="53"/>
  <c r="BH22" i="54"/>
  <c r="CB22" i="53"/>
  <c r="BT22" i="53"/>
  <c r="BL22" i="53"/>
  <c r="BD22" i="53"/>
  <c r="AV22" i="53"/>
  <c r="AN22" i="53"/>
  <c r="AF22" i="53"/>
  <c r="X22" i="53"/>
  <c r="P22" i="53"/>
  <c r="H22" i="53"/>
  <c r="BZ22" i="53"/>
  <c r="AT22" i="53"/>
  <c r="N22" i="53"/>
  <c r="CF22" i="52"/>
  <c r="BX22" i="52"/>
  <c r="BP22" i="52"/>
  <c r="BH22" i="52"/>
  <c r="AZ22" i="52"/>
  <c r="AR22" i="52"/>
  <c r="AJ22" i="52"/>
  <c r="AB22" i="52"/>
  <c r="T22" i="52"/>
  <c r="L22" i="52"/>
  <c r="BR22" i="53"/>
  <c r="AL22" i="53"/>
  <c r="CD22" i="52"/>
  <c r="BV22" i="52"/>
  <c r="BN22" i="52"/>
  <c r="BF22" i="52"/>
  <c r="AX22" i="52"/>
  <c r="AP22" i="52"/>
  <c r="AH22" i="52"/>
  <c r="Z22" i="52"/>
  <c r="R22" i="52"/>
  <c r="J22" i="52"/>
  <c r="AF22" i="54"/>
  <c r="BJ22" i="53"/>
  <c r="AD22" i="53"/>
  <c r="CB22" i="52"/>
  <c r="BT22" i="52"/>
  <c r="BL22" i="52"/>
  <c r="BD22" i="52"/>
  <c r="AV22" i="52"/>
  <c r="AN22" i="52"/>
  <c r="AF22" i="52"/>
  <c r="X22" i="52"/>
  <c r="P22" i="52"/>
  <c r="H22" i="52"/>
  <c r="V22" i="53"/>
  <c r="BJ22" i="52"/>
  <c r="AD22" i="52"/>
  <c r="CB22" i="51"/>
  <c r="BT22" i="51"/>
  <c r="BL22" i="51"/>
  <c r="BD22" i="51"/>
  <c r="AV22" i="51"/>
  <c r="AN22" i="51"/>
  <c r="AF22" i="51"/>
  <c r="X22" i="51"/>
  <c r="P22" i="51"/>
  <c r="H22" i="51"/>
  <c r="BB22" i="52"/>
  <c r="V22" i="52"/>
  <c r="BZ22" i="51"/>
  <c r="BR22" i="51"/>
  <c r="BJ22" i="51"/>
  <c r="BB22" i="51"/>
  <c r="AT22" i="51"/>
  <c r="AL22" i="51"/>
  <c r="AD22" i="51"/>
  <c r="V22" i="51"/>
  <c r="N22" i="51"/>
  <c r="BB22" i="53"/>
  <c r="AT22" i="52"/>
  <c r="CD22" i="51"/>
  <c r="BN22" i="51"/>
  <c r="AX22" i="51"/>
  <c r="AH22" i="51"/>
  <c r="R22" i="51"/>
  <c r="BZ22" i="50"/>
  <c r="BR22" i="50"/>
  <c r="BJ22" i="50"/>
  <c r="BB22" i="50"/>
  <c r="AT22" i="50"/>
  <c r="AL22" i="50"/>
  <c r="AD22" i="50"/>
  <c r="V22" i="50"/>
  <c r="N22" i="50"/>
  <c r="AL22" i="52"/>
  <c r="BZ22" i="52"/>
  <c r="N22" i="52"/>
  <c r="BV22" i="51"/>
  <c r="BF22" i="51"/>
  <c r="AP22" i="51"/>
  <c r="Z22" i="51"/>
  <c r="J22" i="51"/>
  <c r="CD22" i="50"/>
  <c r="BV22" i="50"/>
  <c r="BN22" i="50"/>
  <c r="BF22" i="50"/>
  <c r="AX22" i="50"/>
  <c r="AP22" i="50"/>
  <c r="AH22" i="50"/>
  <c r="Z22" i="50"/>
  <c r="R22" i="50"/>
  <c r="J22" i="50"/>
  <c r="BP22" i="51"/>
  <c r="AJ22" i="51"/>
  <c r="CF22" i="50"/>
  <c r="BP22" i="50"/>
  <c r="AZ22" i="50"/>
  <c r="AJ22" i="50"/>
  <c r="T22" i="50"/>
  <c r="CF22" i="49"/>
  <c r="BX22" i="49"/>
  <c r="BP22" i="49"/>
  <c r="BH22" i="49"/>
  <c r="AZ22" i="49"/>
  <c r="AR22" i="49"/>
  <c r="AJ22" i="49"/>
  <c r="AB22" i="49"/>
  <c r="T22" i="49"/>
  <c r="L22" i="49"/>
  <c r="CB22" i="48"/>
  <c r="BT22" i="48"/>
  <c r="BL22" i="48"/>
  <c r="BD22" i="48"/>
  <c r="AV22" i="48"/>
  <c r="AN22" i="48"/>
  <c r="AF22" i="48"/>
  <c r="X22" i="48"/>
  <c r="P22" i="48"/>
  <c r="H22" i="48"/>
  <c r="BR22" i="52"/>
  <c r="BH22" i="51"/>
  <c r="AB22" i="51"/>
  <c r="CB22" i="50"/>
  <c r="BL22" i="50"/>
  <c r="AV22" i="50"/>
  <c r="AF22" i="50"/>
  <c r="P22" i="50"/>
  <c r="CD22" i="49"/>
  <c r="BV22" i="49"/>
  <c r="BN22" i="49"/>
  <c r="BF22" i="49"/>
  <c r="AX22" i="49"/>
  <c r="AP22" i="49"/>
  <c r="AH22" i="49"/>
  <c r="Z22" i="49"/>
  <c r="R22" i="49"/>
  <c r="J22" i="49"/>
  <c r="BZ22" i="48"/>
  <c r="BR22" i="48"/>
  <c r="BJ22" i="48"/>
  <c r="BB22" i="48"/>
  <c r="AT22" i="48"/>
  <c r="AL22" i="48"/>
  <c r="AD22" i="48"/>
  <c r="V22" i="48"/>
  <c r="N22" i="48"/>
  <c r="CF22" i="51"/>
  <c r="AZ22" i="51"/>
  <c r="T22" i="51"/>
  <c r="BX22" i="50"/>
  <c r="BH22" i="50"/>
  <c r="AR22" i="50"/>
  <c r="AB22" i="50"/>
  <c r="L22" i="50"/>
  <c r="CB22" i="49"/>
  <c r="BT22" i="49"/>
  <c r="BL22" i="49"/>
  <c r="BD22" i="49"/>
  <c r="AV22" i="49"/>
  <c r="AN22" i="49"/>
  <c r="AF22" i="49"/>
  <c r="X22" i="49"/>
  <c r="P22" i="49"/>
  <c r="H22" i="49"/>
  <c r="BX22" i="51"/>
  <c r="AR22" i="51"/>
  <c r="L22" i="51"/>
  <c r="BT22" i="50"/>
  <c r="BD22" i="50"/>
  <c r="AN22" i="50"/>
  <c r="X22" i="50"/>
  <c r="H22" i="50"/>
  <c r="BZ22" i="49"/>
  <c r="AT22" i="49"/>
  <c r="N22" i="49"/>
  <c r="BV22" i="48"/>
  <c r="BF22" i="48"/>
  <c r="AP22" i="48"/>
  <c r="Z22" i="48"/>
  <c r="J22" i="48"/>
  <c r="BZ22" i="47"/>
  <c r="BR22" i="47"/>
  <c r="BJ22" i="47"/>
  <c r="BB22" i="47"/>
  <c r="AT22" i="47"/>
  <c r="AL22" i="47"/>
  <c r="AD22" i="47"/>
  <c r="V22" i="47"/>
  <c r="N22" i="47"/>
  <c r="CD22" i="46"/>
  <c r="BV22" i="46"/>
  <c r="BN22" i="46"/>
  <c r="BF22" i="46"/>
  <c r="AX22" i="46"/>
  <c r="AP22" i="46"/>
  <c r="AH22" i="46"/>
  <c r="Z22" i="46"/>
  <c r="R22" i="46"/>
  <c r="J22" i="46"/>
  <c r="CD22" i="45"/>
  <c r="BV22" i="45"/>
  <c r="BN22" i="45"/>
  <c r="BF22" i="45"/>
  <c r="AX22" i="45"/>
  <c r="AP22" i="45"/>
  <c r="AH22" i="45"/>
  <c r="Z22" i="45"/>
  <c r="R22" i="45"/>
  <c r="J22" i="45"/>
  <c r="BR22" i="49"/>
  <c r="AL22" i="49"/>
  <c r="CF22" i="48"/>
  <c r="BP22" i="48"/>
  <c r="AZ22" i="48"/>
  <c r="AJ22" i="48"/>
  <c r="T22" i="48"/>
  <c r="CF22" i="47"/>
  <c r="BX22" i="47"/>
  <c r="BP22" i="47"/>
  <c r="BH22" i="47"/>
  <c r="AZ22" i="47"/>
  <c r="AR22" i="47"/>
  <c r="AJ22" i="47"/>
  <c r="AB22" i="47"/>
  <c r="T22" i="47"/>
  <c r="L22" i="47"/>
  <c r="CB22" i="46"/>
  <c r="BT22" i="46"/>
  <c r="BL22" i="46"/>
  <c r="BD22" i="46"/>
  <c r="AV22" i="46"/>
  <c r="AN22" i="46"/>
  <c r="AF22" i="46"/>
  <c r="X22" i="46"/>
  <c r="P22" i="46"/>
  <c r="H22" i="46"/>
  <c r="CB22" i="45"/>
  <c r="BT22" i="45"/>
  <c r="BL22" i="45"/>
  <c r="BD22" i="45"/>
  <c r="AV22" i="45"/>
  <c r="AN22" i="45"/>
  <c r="AF22" i="45"/>
  <c r="X22" i="45"/>
  <c r="P22" i="45"/>
  <c r="H22" i="45"/>
  <c r="BJ22" i="49"/>
  <c r="AD22" i="49"/>
  <c r="CD22" i="48"/>
  <c r="BN22" i="48"/>
  <c r="AX22" i="48"/>
  <c r="AH22" i="48"/>
  <c r="R22" i="48"/>
  <c r="CD22" i="47"/>
  <c r="BV22" i="47"/>
  <c r="BN22" i="47"/>
  <c r="BF22" i="47"/>
  <c r="AX22" i="47"/>
  <c r="AP22" i="47"/>
  <c r="AH22" i="47"/>
  <c r="Z22" i="47"/>
  <c r="R22" i="47"/>
  <c r="J22" i="47"/>
  <c r="BZ22" i="46"/>
  <c r="BR22" i="46"/>
  <c r="BJ22" i="46"/>
  <c r="BB22" i="46"/>
  <c r="AT22" i="46"/>
  <c r="AL22" i="46"/>
  <c r="AD22" i="46"/>
  <c r="V22" i="46"/>
  <c r="N22" i="46"/>
  <c r="BZ22" i="45"/>
  <c r="BR22" i="45"/>
  <c r="BJ22" i="45"/>
  <c r="BB22" i="45"/>
  <c r="AT22" i="45"/>
  <c r="AL22" i="45"/>
  <c r="AD22" i="45"/>
  <c r="V22" i="45"/>
  <c r="N22" i="45"/>
  <c r="AR22" i="48"/>
  <c r="BD22" i="47"/>
  <c r="X22" i="47"/>
  <c r="CF22" i="46"/>
  <c r="AZ22" i="46"/>
  <c r="T22" i="46"/>
  <c r="BH22" i="45"/>
  <c r="AB22" i="45"/>
  <c r="CD22" i="44"/>
  <c r="BZ22" i="44"/>
  <c r="BV22" i="44"/>
  <c r="BR22" i="44"/>
  <c r="BB22" i="49"/>
  <c r="AB22" i="48"/>
  <c r="CB22" i="47"/>
  <c r="AV22" i="47"/>
  <c r="P22" i="47"/>
  <c r="BX22" i="46"/>
  <c r="AR22" i="46"/>
  <c r="L22" i="46"/>
  <c r="CF22" i="45"/>
  <c r="AZ22" i="45"/>
  <c r="T22" i="45"/>
  <c r="V22" i="49"/>
  <c r="BX22" i="48"/>
  <c r="L22" i="48"/>
  <c r="BT22" i="47"/>
  <c r="AN22" i="47"/>
  <c r="H22" i="47"/>
  <c r="BP22" i="46"/>
  <c r="AJ22" i="46"/>
  <c r="BX22" i="45"/>
  <c r="AR22" i="45"/>
  <c r="L22" i="45"/>
  <c r="CF22" i="44"/>
  <c r="CB22" i="44"/>
  <c r="BX22" i="44"/>
  <c r="BT22" i="44"/>
  <c r="BP22" i="44"/>
  <c r="BH22" i="48"/>
  <c r="BL22" i="47"/>
  <c r="AF22" i="47"/>
  <c r="BH22" i="46"/>
  <c r="AB22" i="46"/>
  <c r="BP22" i="45"/>
  <c r="AJ22" i="45"/>
  <c r="BH22" i="44"/>
  <c r="AZ22" i="44"/>
  <c r="AR22" i="44"/>
  <c r="AB22" i="44"/>
  <c r="T22" i="44"/>
  <c r="L22" i="44"/>
  <c r="BL22" i="44"/>
  <c r="AV22" i="44"/>
  <c r="P22" i="44"/>
  <c r="H22" i="44"/>
  <c r="BN22" i="44"/>
  <c r="BJ22" i="44"/>
  <c r="BF22" i="44"/>
  <c r="BB22" i="44"/>
  <c r="AX22" i="44"/>
  <c r="AT22" i="44"/>
  <c r="AP22" i="44"/>
  <c r="AL22" i="44"/>
  <c r="AH22" i="44"/>
  <c r="AD22" i="44"/>
  <c r="Z22" i="44"/>
  <c r="V22" i="44"/>
  <c r="R22" i="44"/>
  <c r="N22" i="44"/>
  <c r="J22" i="44"/>
  <c r="BD22" i="44"/>
  <c r="AN22" i="44"/>
  <c r="AJ22" i="44"/>
  <c r="AF22" i="44"/>
  <c r="X22" i="44"/>
  <c r="F22" i="54"/>
  <c r="F22" i="48"/>
  <c r="F22" i="45"/>
  <c r="F22" i="52"/>
  <c r="F22" i="51"/>
  <c r="F22" i="44"/>
  <c r="F22" i="49"/>
  <c r="F22" i="50"/>
  <c r="F22" i="46"/>
  <c r="F22" i="53"/>
  <c r="F22" i="47"/>
  <c r="CI22" i="51"/>
  <c r="CI22" i="44"/>
  <c r="CI22" i="45"/>
  <c r="CI22" i="46"/>
  <c r="CI22" i="50"/>
  <c r="CI22" i="47"/>
  <c r="CI22" i="53"/>
  <c r="CI22" i="49"/>
  <c r="CI22" i="48"/>
  <c r="CI22" i="52"/>
  <c r="CI22" i="54"/>
  <c r="CD32" i="54"/>
  <c r="BV32" i="54"/>
  <c r="BN32" i="54"/>
  <c r="BF32" i="54"/>
  <c r="AX32" i="54"/>
  <c r="AP32" i="54"/>
  <c r="AH32" i="54"/>
  <c r="Z32" i="54"/>
  <c r="R32" i="54"/>
  <c r="J32" i="54"/>
  <c r="CB32" i="54"/>
  <c r="BR32" i="54"/>
  <c r="BH32" i="54"/>
  <c r="AV32" i="54"/>
  <c r="AL32" i="54"/>
  <c r="AB32" i="54"/>
  <c r="P32" i="54"/>
  <c r="BX32" i="54"/>
  <c r="BJ32" i="54"/>
  <c r="AT32" i="54"/>
  <c r="AF32" i="54"/>
  <c r="T32" i="54"/>
  <c r="BT32" i="54"/>
  <c r="BD32" i="54"/>
  <c r="AR32" i="54"/>
  <c r="AD32" i="54"/>
  <c r="N32" i="54"/>
  <c r="BZ32" i="54"/>
  <c r="AZ32" i="54"/>
  <c r="V32" i="54"/>
  <c r="CF32" i="54"/>
  <c r="AN32" i="54"/>
  <c r="H32" i="54"/>
  <c r="BP32" i="54"/>
  <c r="AJ32" i="54"/>
  <c r="BL32" i="54"/>
  <c r="X32" i="54"/>
  <c r="BB32" i="54"/>
  <c r="CB32" i="53"/>
  <c r="BT32" i="53"/>
  <c r="BL32" i="53"/>
  <c r="BD32" i="53"/>
  <c r="AV32" i="53"/>
  <c r="AN32" i="53"/>
  <c r="AF32" i="53"/>
  <c r="X32" i="53"/>
  <c r="P32" i="53"/>
  <c r="H32" i="53"/>
  <c r="L32" i="54"/>
  <c r="BZ32" i="53"/>
  <c r="BR32" i="53"/>
  <c r="BJ32" i="53"/>
  <c r="BB32" i="53"/>
  <c r="AT32" i="53"/>
  <c r="AL32" i="53"/>
  <c r="AD32" i="53"/>
  <c r="V32" i="53"/>
  <c r="N32" i="53"/>
  <c r="CF32" i="53"/>
  <c r="BX32" i="53"/>
  <c r="BP32" i="53"/>
  <c r="BH32" i="53"/>
  <c r="AZ32" i="53"/>
  <c r="AR32" i="53"/>
  <c r="AJ32" i="53"/>
  <c r="AB32" i="53"/>
  <c r="T32" i="53"/>
  <c r="L32" i="53"/>
  <c r="BN32" i="53"/>
  <c r="AH32" i="53"/>
  <c r="CB32" i="52"/>
  <c r="BT32" i="52"/>
  <c r="BL32" i="52"/>
  <c r="BD32" i="52"/>
  <c r="AV32" i="52"/>
  <c r="AN32" i="52"/>
  <c r="AF32" i="52"/>
  <c r="X32" i="52"/>
  <c r="P32" i="52"/>
  <c r="H32" i="52"/>
  <c r="BF32" i="53"/>
  <c r="Z32" i="53"/>
  <c r="BZ32" i="52"/>
  <c r="BR32" i="52"/>
  <c r="BJ32" i="52"/>
  <c r="BB32" i="52"/>
  <c r="AT32" i="52"/>
  <c r="AL32" i="52"/>
  <c r="AD32" i="52"/>
  <c r="V32" i="52"/>
  <c r="N32" i="52"/>
  <c r="CD32" i="53"/>
  <c r="AX32" i="53"/>
  <c r="R32" i="53"/>
  <c r="CF32" i="52"/>
  <c r="BX32" i="52"/>
  <c r="BP32" i="52"/>
  <c r="BH32" i="52"/>
  <c r="AZ32" i="52"/>
  <c r="AR32" i="52"/>
  <c r="AJ32" i="52"/>
  <c r="AB32" i="52"/>
  <c r="T32" i="52"/>
  <c r="L32" i="52"/>
  <c r="AP32" i="53"/>
  <c r="CD32" i="52"/>
  <c r="AX32" i="52"/>
  <c r="R32" i="52"/>
  <c r="CF32" i="51"/>
  <c r="BX32" i="51"/>
  <c r="BP32" i="51"/>
  <c r="BH32" i="51"/>
  <c r="AZ32" i="51"/>
  <c r="AR32" i="51"/>
  <c r="AJ32" i="51"/>
  <c r="AB32" i="51"/>
  <c r="T32" i="51"/>
  <c r="L32" i="51"/>
  <c r="CF32" i="50"/>
  <c r="BX32" i="50"/>
  <c r="BP32" i="50"/>
  <c r="BH32" i="50"/>
  <c r="AZ32" i="50"/>
  <c r="AR32" i="50"/>
  <c r="AJ32" i="50"/>
  <c r="AB32" i="50"/>
  <c r="T32" i="50"/>
  <c r="L32" i="50"/>
  <c r="J32" i="53"/>
  <c r="BV32" i="52"/>
  <c r="AP32" i="52"/>
  <c r="J32" i="52"/>
  <c r="CD32" i="51"/>
  <c r="BV32" i="51"/>
  <c r="BN32" i="51"/>
  <c r="BF32" i="51"/>
  <c r="AX32" i="51"/>
  <c r="AP32" i="51"/>
  <c r="AH32" i="51"/>
  <c r="Z32" i="51"/>
  <c r="R32" i="51"/>
  <c r="J32" i="51"/>
  <c r="CD32" i="50"/>
  <c r="BV32" i="50"/>
  <c r="BN32" i="50"/>
  <c r="BF32" i="50"/>
  <c r="AX32" i="50"/>
  <c r="AP32" i="50"/>
  <c r="AH32" i="50"/>
  <c r="Z32" i="50"/>
  <c r="R32" i="50"/>
  <c r="J32" i="50"/>
  <c r="BV32" i="53"/>
  <c r="BN32" i="52"/>
  <c r="BR32" i="51"/>
  <c r="BB32" i="51"/>
  <c r="AL32" i="51"/>
  <c r="V32" i="51"/>
  <c r="BZ32" i="50"/>
  <c r="BJ32" i="50"/>
  <c r="AT32" i="50"/>
  <c r="AD32" i="50"/>
  <c r="N32" i="50"/>
  <c r="BF32" i="52"/>
  <c r="CB32" i="51"/>
  <c r="BL32" i="51"/>
  <c r="AH32" i="52"/>
  <c r="BZ32" i="51"/>
  <c r="BJ32" i="51"/>
  <c r="AT32" i="51"/>
  <c r="AD32" i="51"/>
  <c r="N32" i="51"/>
  <c r="BR32" i="50"/>
  <c r="BB32" i="50"/>
  <c r="AL32" i="50"/>
  <c r="V32" i="50"/>
  <c r="BD32" i="51"/>
  <c r="X32" i="51"/>
  <c r="BT32" i="50"/>
  <c r="AN32" i="50"/>
  <c r="H32" i="50"/>
  <c r="CB32" i="49"/>
  <c r="BT32" i="49"/>
  <c r="BL32" i="49"/>
  <c r="BD32" i="49"/>
  <c r="AV32" i="49"/>
  <c r="AN32" i="49"/>
  <c r="AF32" i="49"/>
  <c r="X32" i="49"/>
  <c r="P32" i="49"/>
  <c r="H32" i="49"/>
  <c r="CF32" i="48"/>
  <c r="BX32" i="48"/>
  <c r="BP32" i="48"/>
  <c r="BH32" i="48"/>
  <c r="AZ32" i="48"/>
  <c r="AR32" i="48"/>
  <c r="AJ32" i="48"/>
  <c r="AB32" i="48"/>
  <c r="T32" i="48"/>
  <c r="L32" i="48"/>
  <c r="BZ32" i="47"/>
  <c r="BR32" i="47"/>
  <c r="BJ32" i="47"/>
  <c r="BB32" i="47"/>
  <c r="AT32" i="47"/>
  <c r="AL32" i="47"/>
  <c r="AD32" i="47"/>
  <c r="V32" i="47"/>
  <c r="N32" i="47"/>
  <c r="AV32" i="51"/>
  <c r="P32" i="51"/>
  <c r="BL32" i="50"/>
  <c r="AF32" i="50"/>
  <c r="BZ32" i="49"/>
  <c r="BR32" i="49"/>
  <c r="BJ32" i="49"/>
  <c r="BB32" i="49"/>
  <c r="AT32" i="49"/>
  <c r="AL32" i="49"/>
  <c r="AD32" i="49"/>
  <c r="V32" i="49"/>
  <c r="N32" i="49"/>
  <c r="CD32" i="48"/>
  <c r="BV32" i="48"/>
  <c r="BN32" i="48"/>
  <c r="BF32" i="48"/>
  <c r="AX32" i="48"/>
  <c r="AP32" i="48"/>
  <c r="AH32" i="48"/>
  <c r="Z32" i="48"/>
  <c r="R32" i="48"/>
  <c r="J32" i="48"/>
  <c r="CF32" i="47"/>
  <c r="BX32" i="47"/>
  <c r="BP32" i="47"/>
  <c r="BH32" i="47"/>
  <c r="AZ32" i="47"/>
  <c r="AR32" i="47"/>
  <c r="AJ32" i="47"/>
  <c r="AB32" i="47"/>
  <c r="T32" i="47"/>
  <c r="L32" i="47"/>
  <c r="Z32" i="52"/>
  <c r="AN32" i="51"/>
  <c r="H32" i="51"/>
  <c r="BD32" i="50"/>
  <c r="X32" i="50"/>
  <c r="CF32" i="49"/>
  <c r="BX32" i="49"/>
  <c r="BP32" i="49"/>
  <c r="BH32" i="49"/>
  <c r="AZ32" i="49"/>
  <c r="AR32" i="49"/>
  <c r="AJ32" i="49"/>
  <c r="AB32" i="49"/>
  <c r="T32" i="49"/>
  <c r="L32" i="49"/>
  <c r="BT32" i="51"/>
  <c r="AF32" i="51"/>
  <c r="CB32" i="50"/>
  <c r="AV32" i="50"/>
  <c r="P32" i="50"/>
  <c r="BN32" i="49"/>
  <c r="AH32" i="49"/>
  <c r="BZ32" i="48"/>
  <c r="BJ32" i="48"/>
  <c r="AT32" i="48"/>
  <c r="AD32" i="48"/>
  <c r="N32" i="48"/>
  <c r="BT32" i="47"/>
  <c r="BD32" i="47"/>
  <c r="AN32" i="47"/>
  <c r="X32" i="47"/>
  <c r="H32" i="47"/>
  <c r="BZ32" i="46"/>
  <c r="BR32" i="46"/>
  <c r="BJ32" i="46"/>
  <c r="BB32" i="46"/>
  <c r="AT32" i="46"/>
  <c r="AL32" i="46"/>
  <c r="AD32" i="46"/>
  <c r="V32" i="46"/>
  <c r="N32" i="46"/>
  <c r="BZ32" i="45"/>
  <c r="BR32" i="45"/>
  <c r="BJ32" i="45"/>
  <c r="BB32" i="45"/>
  <c r="AT32" i="45"/>
  <c r="AL32" i="45"/>
  <c r="AD32" i="45"/>
  <c r="V32" i="45"/>
  <c r="N32" i="45"/>
  <c r="BF32" i="49"/>
  <c r="Z32" i="49"/>
  <c r="BT32" i="48"/>
  <c r="BD32" i="48"/>
  <c r="AN32" i="48"/>
  <c r="X32" i="48"/>
  <c r="H32" i="48"/>
  <c r="CD32" i="47"/>
  <c r="BN32" i="47"/>
  <c r="AX32" i="47"/>
  <c r="AH32" i="47"/>
  <c r="R32" i="47"/>
  <c r="CF32" i="46"/>
  <c r="BX32" i="46"/>
  <c r="BP32" i="46"/>
  <c r="BH32" i="46"/>
  <c r="AZ32" i="46"/>
  <c r="AR32" i="46"/>
  <c r="AJ32" i="46"/>
  <c r="AB32" i="46"/>
  <c r="T32" i="46"/>
  <c r="L32" i="46"/>
  <c r="CF32" i="45"/>
  <c r="BX32" i="45"/>
  <c r="BP32" i="45"/>
  <c r="BH32" i="45"/>
  <c r="AZ32" i="45"/>
  <c r="AR32" i="45"/>
  <c r="AJ32" i="45"/>
  <c r="AB32" i="45"/>
  <c r="T32" i="45"/>
  <c r="L32" i="45"/>
  <c r="CD32" i="49"/>
  <c r="AX32" i="49"/>
  <c r="R32" i="49"/>
  <c r="BR32" i="48"/>
  <c r="BB32" i="48"/>
  <c r="AL32" i="48"/>
  <c r="V32" i="48"/>
  <c r="CB32" i="47"/>
  <c r="BL32" i="47"/>
  <c r="AV32" i="47"/>
  <c r="AF32" i="47"/>
  <c r="P32" i="47"/>
  <c r="CD32" i="46"/>
  <c r="BV32" i="46"/>
  <c r="BN32" i="46"/>
  <c r="BF32" i="46"/>
  <c r="AX32" i="46"/>
  <c r="AP32" i="46"/>
  <c r="AH32" i="46"/>
  <c r="Z32" i="46"/>
  <c r="R32" i="46"/>
  <c r="J32" i="46"/>
  <c r="CD32" i="45"/>
  <c r="BV32" i="45"/>
  <c r="BN32" i="45"/>
  <c r="BF32" i="45"/>
  <c r="AX32" i="45"/>
  <c r="AP32" i="45"/>
  <c r="AH32" i="45"/>
  <c r="Z32" i="45"/>
  <c r="R32" i="45"/>
  <c r="J32" i="45"/>
  <c r="BL32" i="48"/>
  <c r="AP32" i="47"/>
  <c r="BT32" i="46"/>
  <c r="AN32" i="46"/>
  <c r="H32" i="46"/>
  <c r="CB32" i="45"/>
  <c r="AV32" i="45"/>
  <c r="P32" i="45"/>
  <c r="CF32" i="44"/>
  <c r="CB32" i="44"/>
  <c r="BX32" i="44"/>
  <c r="BT32" i="44"/>
  <c r="BP32" i="44"/>
  <c r="BV32" i="49"/>
  <c r="AV32" i="48"/>
  <c r="Z32" i="47"/>
  <c r="BL32" i="46"/>
  <c r="AF32" i="46"/>
  <c r="BT32" i="45"/>
  <c r="AN32" i="45"/>
  <c r="H32" i="45"/>
  <c r="AP32" i="49"/>
  <c r="AF32" i="48"/>
  <c r="BV32" i="47"/>
  <c r="J32" i="47"/>
  <c r="BD32" i="46"/>
  <c r="X32" i="46"/>
  <c r="BL32" i="45"/>
  <c r="AF32" i="45"/>
  <c r="CD32" i="44"/>
  <c r="BZ32" i="44"/>
  <c r="BV32" i="44"/>
  <c r="BR32" i="44"/>
  <c r="J32" i="49"/>
  <c r="CB32" i="48"/>
  <c r="P32" i="48"/>
  <c r="BF32" i="47"/>
  <c r="CB32" i="46"/>
  <c r="AV32" i="46"/>
  <c r="P32" i="46"/>
  <c r="BD32" i="45"/>
  <c r="X32" i="45"/>
  <c r="BN32" i="44"/>
  <c r="BJ32" i="44"/>
  <c r="BB32" i="44"/>
  <c r="AX32" i="44"/>
  <c r="AT32" i="44"/>
  <c r="J32" i="44"/>
  <c r="BF32" i="44"/>
  <c r="AP32" i="44"/>
  <c r="AH32" i="44"/>
  <c r="N32" i="44"/>
  <c r="BL32" i="44"/>
  <c r="BH32" i="44"/>
  <c r="BD32" i="44"/>
  <c r="AZ32" i="44"/>
  <c r="AV32" i="44"/>
  <c r="AR32" i="44"/>
  <c r="AN32" i="44"/>
  <c r="AJ32" i="44"/>
  <c r="AF32" i="44"/>
  <c r="AB32" i="44"/>
  <c r="X32" i="44"/>
  <c r="T32" i="44"/>
  <c r="P32" i="44"/>
  <c r="L32" i="44"/>
  <c r="H32" i="44"/>
  <c r="AL32" i="44"/>
  <c r="AD32" i="44"/>
  <c r="Z32" i="44"/>
  <c r="V32" i="44"/>
  <c r="R32" i="44"/>
  <c r="F32" i="45"/>
  <c r="F32" i="48"/>
  <c r="F32" i="54"/>
  <c r="F32" i="51"/>
  <c r="F32" i="49"/>
  <c r="F32" i="52"/>
  <c r="F32" i="44"/>
  <c r="F32" i="47"/>
  <c r="F32" i="46"/>
  <c r="F32" i="53"/>
  <c r="F32" i="50"/>
  <c r="CI32" i="54"/>
  <c r="CI32" i="45"/>
  <c r="CI32" i="50"/>
  <c r="CI32" i="44"/>
  <c r="CI32" i="53"/>
  <c r="CI32" i="49"/>
  <c r="CI32" i="46"/>
  <c r="CI32" i="47"/>
  <c r="CI32" i="48"/>
  <c r="CI32" i="52"/>
  <c r="CI32" i="51"/>
  <c r="CJ15" i="45"/>
  <c r="CJ15" i="51"/>
  <c r="CJ15" i="53"/>
  <c r="CJ15" i="52"/>
  <c r="CJ15" i="46"/>
  <c r="CJ15" i="47"/>
  <c r="CJ15" i="54"/>
  <c r="CJ15" i="48"/>
  <c r="CJ15" i="49"/>
  <c r="CJ15" i="50"/>
  <c r="CJ23" i="47"/>
  <c r="CJ23" i="54"/>
  <c r="CJ23" i="48"/>
  <c r="CJ23" i="49"/>
  <c r="CJ23" i="52"/>
  <c r="CJ23" i="45"/>
  <c r="CJ23" i="46"/>
  <c r="CJ23" i="50"/>
  <c r="CJ23" i="51"/>
  <c r="CJ23" i="53"/>
  <c r="CJ33" i="53"/>
  <c r="CJ33" i="52"/>
  <c r="CJ33" i="46"/>
  <c r="CJ33" i="47"/>
  <c r="CJ33" i="50"/>
  <c r="CJ33" i="45"/>
  <c r="CJ33" i="51"/>
  <c r="CJ33" i="54"/>
  <c r="CJ33" i="48"/>
  <c r="CJ33" i="49"/>
  <c r="CK17" i="45"/>
  <c r="CK17" i="51"/>
  <c r="CK17" i="50"/>
  <c r="CK17" i="52"/>
  <c r="CK17" i="54"/>
  <c r="CK17" i="49"/>
  <c r="CK17" i="53"/>
  <c r="CK17" i="46"/>
  <c r="CK17" i="47"/>
  <c r="CK17" i="48"/>
  <c r="CK26" i="45"/>
  <c r="CK26" i="51"/>
  <c r="CK26" i="50"/>
  <c r="CK26" i="52"/>
  <c r="CK26" i="48"/>
  <c r="CK26" i="54"/>
  <c r="CK26" i="49"/>
  <c r="CK26" i="53"/>
  <c r="CK26" i="46"/>
  <c r="CK26" i="47"/>
  <c r="CK34" i="45"/>
  <c r="CK34" i="54"/>
  <c r="CK34" i="49"/>
  <c r="CK34" i="53"/>
  <c r="CK34" i="46"/>
  <c r="CK34" i="47"/>
  <c r="CK34" i="48"/>
  <c r="CK34" i="51"/>
  <c r="CK34" i="50"/>
  <c r="CK34" i="52"/>
  <c r="CL18" i="53"/>
  <c r="CL18" i="46"/>
  <c r="CL18" i="54"/>
  <c r="CL18" i="51"/>
  <c r="CL18" i="47"/>
  <c r="CL18" i="52"/>
  <c r="CL18" i="48"/>
  <c r="CL18" i="49"/>
  <c r="CL18" i="50"/>
  <c r="CL18" i="45"/>
  <c r="CL29" i="53"/>
  <c r="CL29" i="46"/>
  <c r="CL29" i="54"/>
  <c r="CL29" i="51"/>
  <c r="CL29" i="47"/>
  <c r="CL29" i="52"/>
  <c r="CL29" i="48"/>
  <c r="CL29" i="45"/>
  <c r="CL29" i="49"/>
  <c r="CL29" i="50"/>
  <c r="CB20" i="54"/>
  <c r="BT20" i="54"/>
  <c r="BL20" i="54"/>
  <c r="BD20" i="54"/>
  <c r="AV20" i="54"/>
  <c r="AN20" i="54"/>
  <c r="AF20" i="54"/>
  <c r="X20" i="54"/>
  <c r="P20" i="54"/>
  <c r="H20" i="54"/>
  <c r="BX20" i="54"/>
  <c r="BN20" i="54"/>
  <c r="BB20" i="54"/>
  <c r="AR20" i="54"/>
  <c r="AH20" i="54"/>
  <c r="V20" i="54"/>
  <c r="L20" i="54"/>
  <c r="CF20" i="54"/>
  <c r="BV20" i="54"/>
  <c r="BJ20" i="54"/>
  <c r="AZ20" i="54"/>
  <c r="AP20" i="54"/>
  <c r="AD20" i="54"/>
  <c r="T20" i="54"/>
  <c r="J20" i="54"/>
  <c r="BP20" i="54"/>
  <c r="AT20" i="54"/>
  <c r="Z20" i="54"/>
  <c r="BZ20" i="54"/>
  <c r="AX20" i="54"/>
  <c r="R20" i="54"/>
  <c r="BR20" i="54"/>
  <c r="AL20" i="54"/>
  <c r="N20" i="54"/>
  <c r="BH20" i="54"/>
  <c r="AJ20" i="54"/>
  <c r="CD20" i="54"/>
  <c r="BZ20" i="53"/>
  <c r="BR20" i="53"/>
  <c r="BJ20" i="53"/>
  <c r="BB20" i="53"/>
  <c r="AT20" i="53"/>
  <c r="AL20" i="53"/>
  <c r="AD20" i="53"/>
  <c r="V20" i="53"/>
  <c r="N20" i="53"/>
  <c r="BF20" i="54"/>
  <c r="CF20" i="53"/>
  <c r="BX20" i="53"/>
  <c r="BP20" i="53"/>
  <c r="BH20" i="53"/>
  <c r="AZ20" i="53"/>
  <c r="AR20" i="53"/>
  <c r="AJ20" i="53"/>
  <c r="AB20" i="53"/>
  <c r="T20" i="53"/>
  <c r="L20" i="53"/>
  <c r="AB20" i="54"/>
  <c r="CD20" i="53"/>
  <c r="BV20" i="53"/>
  <c r="BN20" i="53"/>
  <c r="BF20" i="53"/>
  <c r="AX20" i="53"/>
  <c r="AP20" i="53"/>
  <c r="AH20" i="53"/>
  <c r="Z20" i="53"/>
  <c r="R20" i="53"/>
  <c r="J20" i="53"/>
  <c r="BL20" i="53"/>
  <c r="AF20" i="53"/>
  <c r="BZ20" i="52"/>
  <c r="BR20" i="52"/>
  <c r="BJ20" i="52"/>
  <c r="BB20" i="52"/>
  <c r="AT20" i="52"/>
  <c r="AL20" i="52"/>
  <c r="AD20" i="52"/>
  <c r="V20" i="52"/>
  <c r="N20" i="52"/>
  <c r="BD20" i="53"/>
  <c r="X20" i="53"/>
  <c r="CF20" i="52"/>
  <c r="BX20" i="52"/>
  <c r="BP20" i="52"/>
  <c r="BH20" i="52"/>
  <c r="AZ20" i="52"/>
  <c r="AR20" i="52"/>
  <c r="AJ20" i="52"/>
  <c r="AB20" i="52"/>
  <c r="T20" i="52"/>
  <c r="L20" i="52"/>
  <c r="CB20" i="53"/>
  <c r="AV20" i="53"/>
  <c r="P20" i="53"/>
  <c r="CD20" i="52"/>
  <c r="BV20" i="52"/>
  <c r="BN20" i="52"/>
  <c r="BF20" i="52"/>
  <c r="AX20" i="52"/>
  <c r="AP20" i="52"/>
  <c r="AH20" i="52"/>
  <c r="Z20" i="52"/>
  <c r="R20" i="52"/>
  <c r="J20" i="52"/>
  <c r="CB20" i="52"/>
  <c r="AV20" i="52"/>
  <c r="P20" i="52"/>
  <c r="CD20" i="51"/>
  <c r="BV20" i="51"/>
  <c r="BN20" i="51"/>
  <c r="BF20" i="51"/>
  <c r="AX20" i="51"/>
  <c r="AP20" i="51"/>
  <c r="AH20" i="51"/>
  <c r="Z20" i="51"/>
  <c r="R20" i="51"/>
  <c r="J20" i="51"/>
  <c r="BT20" i="53"/>
  <c r="BT20" i="52"/>
  <c r="AN20" i="52"/>
  <c r="H20" i="52"/>
  <c r="CB20" i="51"/>
  <c r="BT20" i="51"/>
  <c r="BL20" i="51"/>
  <c r="BD20" i="51"/>
  <c r="AV20" i="51"/>
  <c r="AN20" i="51"/>
  <c r="AF20" i="51"/>
  <c r="X20" i="51"/>
  <c r="P20" i="51"/>
  <c r="H20" i="51"/>
  <c r="BL20" i="52"/>
  <c r="CF20" i="51"/>
  <c r="BP20" i="51"/>
  <c r="AZ20" i="51"/>
  <c r="AJ20" i="51"/>
  <c r="T20" i="51"/>
  <c r="CB20" i="50"/>
  <c r="BT20" i="50"/>
  <c r="BL20" i="50"/>
  <c r="BD20" i="50"/>
  <c r="AV20" i="50"/>
  <c r="AN20" i="50"/>
  <c r="AF20" i="50"/>
  <c r="X20" i="50"/>
  <c r="P20" i="50"/>
  <c r="H20" i="50"/>
  <c r="AN20" i="53"/>
  <c r="BD20" i="52"/>
  <c r="H20" i="53"/>
  <c r="AF20" i="52"/>
  <c r="BX20" i="51"/>
  <c r="BH20" i="51"/>
  <c r="AR20" i="51"/>
  <c r="AB20" i="51"/>
  <c r="L20" i="51"/>
  <c r="CF20" i="50"/>
  <c r="BX20" i="50"/>
  <c r="BP20" i="50"/>
  <c r="BH20" i="50"/>
  <c r="AZ20" i="50"/>
  <c r="AR20" i="50"/>
  <c r="AJ20" i="50"/>
  <c r="AB20" i="50"/>
  <c r="T20" i="50"/>
  <c r="L20" i="50"/>
  <c r="BB20" i="51"/>
  <c r="V20" i="51"/>
  <c r="BR20" i="50"/>
  <c r="BB20" i="50"/>
  <c r="AL20" i="50"/>
  <c r="V20" i="50"/>
  <c r="BZ20" i="49"/>
  <c r="BR20" i="49"/>
  <c r="BJ20" i="49"/>
  <c r="BB20" i="49"/>
  <c r="AT20" i="49"/>
  <c r="AL20" i="49"/>
  <c r="AD20" i="49"/>
  <c r="V20" i="49"/>
  <c r="N20" i="49"/>
  <c r="CD20" i="48"/>
  <c r="BV20" i="48"/>
  <c r="BN20" i="48"/>
  <c r="BF20" i="48"/>
  <c r="AX20" i="48"/>
  <c r="AP20" i="48"/>
  <c r="AH20" i="48"/>
  <c r="Z20" i="48"/>
  <c r="R20" i="48"/>
  <c r="J20" i="48"/>
  <c r="BZ20" i="51"/>
  <c r="AT20" i="51"/>
  <c r="N20" i="51"/>
  <c r="CD20" i="50"/>
  <c r="BN20" i="50"/>
  <c r="AX20" i="50"/>
  <c r="AH20" i="50"/>
  <c r="R20" i="50"/>
  <c r="CF20" i="49"/>
  <c r="BX20" i="49"/>
  <c r="BP20" i="49"/>
  <c r="BH20" i="49"/>
  <c r="AZ20" i="49"/>
  <c r="AR20" i="49"/>
  <c r="AJ20" i="49"/>
  <c r="AB20" i="49"/>
  <c r="T20" i="49"/>
  <c r="L20" i="49"/>
  <c r="CB20" i="48"/>
  <c r="BT20" i="48"/>
  <c r="BL20" i="48"/>
  <c r="BD20" i="48"/>
  <c r="AV20" i="48"/>
  <c r="AN20" i="48"/>
  <c r="AF20" i="48"/>
  <c r="X20" i="48"/>
  <c r="P20" i="48"/>
  <c r="H20" i="48"/>
  <c r="BR20" i="51"/>
  <c r="AL20" i="51"/>
  <c r="BZ20" i="50"/>
  <c r="BJ20" i="50"/>
  <c r="AT20" i="50"/>
  <c r="AD20" i="50"/>
  <c r="N20" i="50"/>
  <c r="CD20" i="49"/>
  <c r="BV20" i="49"/>
  <c r="BN20" i="49"/>
  <c r="BF20" i="49"/>
  <c r="AX20" i="49"/>
  <c r="AP20" i="49"/>
  <c r="AH20" i="49"/>
  <c r="Z20" i="49"/>
  <c r="R20" i="49"/>
  <c r="J20" i="49"/>
  <c r="X20" i="52"/>
  <c r="BJ20" i="51"/>
  <c r="AD20" i="51"/>
  <c r="BV20" i="50"/>
  <c r="BF20" i="50"/>
  <c r="AP20" i="50"/>
  <c r="Z20" i="50"/>
  <c r="J20" i="50"/>
  <c r="BL20" i="49"/>
  <c r="AF20" i="49"/>
  <c r="BX20" i="48"/>
  <c r="BH20" i="48"/>
  <c r="AR20" i="48"/>
  <c r="AB20" i="48"/>
  <c r="L20" i="48"/>
  <c r="CB20" i="47"/>
  <c r="BT20" i="47"/>
  <c r="BL20" i="47"/>
  <c r="BD20" i="47"/>
  <c r="AV20" i="47"/>
  <c r="AN20" i="47"/>
  <c r="AF20" i="47"/>
  <c r="X20" i="47"/>
  <c r="P20" i="47"/>
  <c r="H20" i="47"/>
  <c r="CF20" i="46"/>
  <c r="BX20" i="46"/>
  <c r="BP20" i="46"/>
  <c r="BH20" i="46"/>
  <c r="AZ20" i="46"/>
  <c r="AR20" i="46"/>
  <c r="AJ20" i="46"/>
  <c r="AB20" i="46"/>
  <c r="T20" i="46"/>
  <c r="L20" i="46"/>
  <c r="CF20" i="45"/>
  <c r="BX20" i="45"/>
  <c r="BD20" i="49"/>
  <c r="X20" i="49"/>
  <c r="BR20" i="48"/>
  <c r="BB20" i="48"/>
  <c r="AL20" i="48"/>
  <c r="V20" i="48"/>
  <c r="BZ20" i="47"/>
  <c r="BR20" i="47"/>
  <c r="BJ20" i="47"/>
  <c r="BB20" i="47"/>
  <c r="AT20" i="47"/>
  <c r="AL20" i="47"/>
  <c r="AD20" i="47"/>
  <c r="V20" i="47"/>
  <c r="N20" i="47"/>
  <c r="CD20" i="46"/>
  <c r="BV20" i="46"/>
  <c r="BN20" i="46"/>
  <c r="BF20" i="46"/>
  <c r="AX20" i="46"/>
  <c r="AP20" i="46"/>
  <c r="AH20" i="46"/>
  <c r="Z20" i="46"/>
  <c r="R20" i="46"/>
  <c r="J20" i="46"/>
  <c r="CD20" i="45"/>
  <c r="BV20" i="45"/>
  <c r="BN20" i="45"/>
  <c r="BF20" i="45"/>
  <c r="AX20" i="45"/>
  <c r="AP20" i="45"/>
  <c r="AH20" i="45"/>
  <c r="Z20" i="45"/>
  <c r="R20" i="45"/>
  <c r="J20" i="45"/>
  <c r="CB20" i="49"/>
  <c r="AV20" i="49"/>
  <c r="P20" i="49"/>
  <c r="CF20" i="48"/>
  <c r="BP20" i="48"/>
  <c r="AZ20" i="48"/>
  <c r="AJ20" i="48"/>
  <c r="T20" i="48"/>
  <c r="CF20" i="47"/>
  <c r="BX20" i="47"/>
  <c r="BP20" i="47"/>
  <c r="BH20" i="47"/>
  <c r="AZ20" i="47"/>
  <c r="AR20" i="47"/>
  <c r="AJ20" i="47"/>
  <c r="AB20" i="47"/>
  <c r="T20" i="47"/>
  <c r="L20" i="47"/>
  <c r="CB20" i="46"/>
  <c r="BT20" i="46"/>
  <c r="BL20" i="46"/>
  <c r="BD20" i="46"/>
  <c r="AV20" i="46"/>
  <c r="AN20" i="46"/>
  <c r="AF20" i="46"/>
  <c r="X20" i="46"/>
  <c r="P20" i="46"/>
  <c r="H20" i="46"/>
  <c r="CB20" i="45"/>
  <c r="BT20" i="45"/>
  <c r="BL20" i="45"/>
  <c r="BD20" i="45"/>
  <c r="AV20" i="45"/>
  <c r="AN20" i="45"/>
  <c r="AF20" i="45"/>
  <c r="X20" i="45"/>
  <c r="P20" i="45"/>
  <c r="H20" i="45"/>
  <c r="AN20" i="49"/>
  <c r="BJ20" i="48"/>
  <c r="BV20" i="47"/>
  <c r="AP20" i="47"/>
  <c r="J20" i="47"/>
  <c r="BR20" i="46"/>
  <c r="AL20" i="46"/>
  <c r="BZ20" i="45"/>
  <c r="BH20" i="45"/>
  <c r="AR20" i="45"/>
  <c r="AB20" i="45"/>
  <c r="L20" i="45"/>
  <c r="H20" i="49"/>
  <c r="AT20" i="48"/>
  <c r="BN20" i="47"/>
  <c r="AH20" i="47"/>
  <c r="BJ20" i="46"/>
  <c r="AD20" i="46"/>
  <c r="BR20" i="45"/>
  <c r="BB20" i="45"/>
  <c r="AL20" i="45"/>
  <c r="V20" i="45"/>
  <c r="CD20" i="44"/>
  <c r="BZ20" i="44"/>
  <c r="BV20" i="44"/>
  <c r="BR20" i="44"/>
  <c r="AD20" i="48"/>
  <c r="BF20" i="47"/>
  <c r="Z20" i="47"/>
  <c r="BB20" i="46"/>
  <c r="V20" i="46"/>
  <c r="BP20" i="45"/>
  <c r="AZ20" i="45"/>
  <c r="AJ20" i="45"/>
  <c r="T20" i="45"/>
  <c r="BT20" i="49"/>
  <c r="BZ20" i="48"/>
  <c r="N20" i="48"/>
  <c r="CD20" i="47"/>
  <c r="AX20" i="47"/>
  <c r="R20" i="47"/>
  <c r="BZ20" i="46"/>
  <c r="AT20" i="46"/>
  <c r="N20" i="46"/>
  <c r="BJ20" i="45"/>
  <c r="AT20" i="45"/>
  <c r="AD20" i="45"/>
  <c r="N20" i="45"/>
  <c r="CB20" i="44"/>
  <c r="BT20" i="44"/>
  <c r="BN20" i="44"/>
  <c r="BJ20" i="44"/>
  <c r="BF20" i="44"/>
  <c r="BB20" i="44"/>
  <c r="AX20" i="44"/>
  <c r="AT20" i="44"/>
  <c r="AP20" i="44"/>
  <c r="AL20" i="44"/>
  <c r="AH20" i="44"/>
  <c r="AD20" i="44"/>
  <c r="Z20" i="44"/>
  <c r="V20" i="44"/>
  <c r="R20" i="44"/>
  <c r="N20" i="44"/>
  <c r="J20" i="44"/>
  <c r="CF20" i="44"/>
  <c r="BX20" i="44"/>
  <c r="BP20" i="44"/>
  <c r="BL20" i="44"/>
  <c r="BH20" i="44"/>
  <c r="BD20" i="44"/>
  <c r="AZ20" i="44"/>
  <c r="AV20" i="44"/>
  <c r="AR20" i="44"/>
  <c r="AN20" i="44"/>
  <c r="AJ20" i="44"/>
  <c r="AF20" i="44"/>
  <c r="AB20" i="44"/>
  <c r="X20" i="44"/>
  <c r="T20" i="44"/>
  <c r="P20" i="44"/>
  <c r="L20" i="44"/>
  <c r="H20" i="44"/>
  <c r="F20" i="45"/>
  <c r="F20" i="54"/>
  <c r="F20" i="48"/>
  <c r="F20" i="44"/>
  <c r="F20" i="49"/>
  <c r="F20" i="52"/>
  <c r="F20" i="51"/>
  <c r="F20" i="53"/>
  <c r="F20" i="47"/>
  <c r="F20" i="50"/>
  <c r="F20" i="46"/>
  <c r="CI20" i="51"/>
  <c r="CI20" i="45"/>
  <c r="CI20" i="47"/>
  <c r="CI20" i="50"/>
  <c r="CI20" i="54"/>
  <c r="CI20" i="48"/>
  <c r="CI20" i="53"/>
  <c r="CI20" i="44"/>
  <c r="CI20" i="46"/>
  <c r="CI20" i="52"/>
  <c r="CI20" i="49"/>
  <c r="CD24" i="54"/>
  <c r="AX24" i="54"/>
  <c r="R24" i="54"/>
  <c r="BD24" i="54"/>
  <c r="BJ24" i="54"/>
  <c r="L24" i="54"/>
  <c r="AD24" i="54"/>
  <c r="AL24" i="54"/>
  <c r="BB24" i="54"/>
  <c r="P24" i="54"/>
  <c r="BL24" i="53"/>
  <c r="AF24" i="53"/>
  <c r="AN24" i="54"/>
  <c r="BB24" i="53"/>
  <c r="V24" i="53"/>
  <c r="BP24" i="53"/>
  <c r="AJ24" i="53"/>
  <c r="BV24" i="53"/>
  <c r="BT24" i="52"/>
  <c r="AN24" i="52"/>
  <c r="H24" i="52"/>
  <c r="BR24" i="52"/>
  <c r="AL24" i="52"/>
  <c r="BF24" i="53"/>
  <c r="BP24" i="52"/>
  <c r="AJ24" i="52"/>
  <c r="BF24" i="52"/>
  <c r="BP24" i="51"/>
  <c r="AJ24" i="51"/>
  <c r="CD24" i="53"/>
  <c r="CD24" i="51"/>
  <c r="AX24" i="51"/>
  <c r="R24" i="51"/>
  <c r="BZ24" i="51"/>
  <c r="N24" i="51"/>
  <c r="BF24" i="50"/>
  <c r="Z24" i="50"/>
  <c r="BN24" i="52"/>
  <c r="BB24" i="51"/>
  <c r="BR24" i="50"/>
  <c r="AL24" i="50"/>
  <c r="BL24" i="51"/>
  <c r="AV24" i="50"/>
  <c r="BT24" i="49"/>
  <c r="AN24" i="49"/>
  <c r="H24" i="49"/>
  <c r="BH24" i="48"/>
  <c r="AB24" i="48"/>
  <c r="X24" i="51"/>
  <c r="AB24" i="50"/>
  <c r="BJ24" i="49"/>
  <c r="AD24" i="49"/>
  <c r="BV24" i="48"/>
  <c r="AP24" i="48"/>
  <c r="J24" i="48"/>
  <c r="BH24" i="47"/>
  <c r="AB24" i="47"/>
  <c r="AV24" i="51"/>
  <c r="AN24" i="50"/>
  <c r="BX24" i="49"/>
  <c r="AR24" i="49"/>
  <c r="L24" i="49"/>
  <c r="H24" i="51"/>
  <c r="AJ24" i="50"/>
  <c r="J24" i="49"/>
  <c r="V24" i="48"/>
  <c r="AT24" i="47"/>
  <c r="BZ24" i="46"/>
  <c r="AT24" i="46"/>
  <c r="N24" i="46"/>
  <c r="BB24" i="45"/>
  <c r="V24" i="45"/>
  <c r="CB24" i="48"/>
  <c r="P24" i="48"/>
  <c r="AP24" i="47"/>
  <c r="CF24" i="46"/>
  <c r="AZ24" i="46"/>
  <c r="T24" i="46"/>
  <c r="BP24" i="45"/>
  <c r="AJ24" i="45"/>
  <c r="BF24" i="49"/>
  <c r="AT24" i="48"/>
  <c r="BT24" i="47"/>
  <c r="AD24" i="47"/>
  <c r="BV24" i="46"/>
  <c r="AP24" i="46"/>
  <c r="J24" i="46"/>
  <c r="BF24" i="45"/>
  <c r="Z24" i="45"/>
  <c r="BT24" i="48"/>
  <c r="CB24" i="46"/>
  <c r="X24" i="45"/>
  <c r="BT24" i="44"/>
  <c r="BR24" i="47"/>
  <c r="H24" i="46"/>
  <c r="AN24" i="48"/>
  <c r="AF24" i="46"/>
  <c r="CD24" i="44"/>
  <c r="CD24" i="49"/>
  <c r="X24" i="46"/>
  <c r="Z24" i="44"/>
  <c r="AX24" i="44"/>
  <c r="J24" i="44"/>
  <c r="AZ24" i="44"/>
  <c r="AJ24" i="44"/>
  <c r="T24" i="44"/>
  <c r="BJ24" i="44"/>
  <c r="AH24" i="44"/>
  <c r="BV24" i="54"/>
  <c r="AP24" i="54"/>
  <c r="J24" i="54"/>
  <c r="AT24" i="54"/>
  <c r="BT24" i="54"/>
  <c r="T24" i="54"/>
  <c r="N24" i="54"/>
  <c r="X24" i="54"/>
  <c r="CB24" i="54"/>
  <c r="BD24" i="53"/>
  <c r="BZ24" i="53"/>
  <c r="N24" i="53"/>
  <c r="BH24" i="53"/>
  <c r="AP24" i="53"/>
  <c r="AF24" i="52"/>
  <c r="BJ24" i="52"/>
  <c r="BH24" i="52"/>
  <c r="Z24" i="52"/>
  <c r="AB24" i="51"/>
  <c r="AP24" i="51"/>
  <c r="CD24" i="50"/>
  <c r="R24" i="53"/>
  <c r="AD24" i="50"/>
  <c r="AF24" i="49"/>
  <c r="T24" i="48"/>
  <c r="V24" i="49"/>
  <c r="AH24" i="48"/>
  <c r="T24" i="47"/>
  <c r="BP24" i="49"/>
  <c r="AH24" i="52"/>
  <c r="BR24" i="48"/>
  <c r="BR24" i="46"/>
  <c r="N24" i="45"/>
  <c r="BV24" i="47"/>
  <c r="BX24" i="46"/>
  <c r="BH24" i="45"/>
  <c r="AD24" i="48"/>
  <c r="BN24" i="46"/>
  <c r="CD24" i="45"/>
  <c r="H24" i="48"/>
  <c r="BP24" i="44"/>
  <c r="BF24" i="47"/>
  <c r="X24" i="48"/>
  <c r="AL24" i="44"/>
  <c r="AV24" i="44"/>
  <c r="BF24" i="44"/>
  <c r="BN24" i="54"/>
  <c r="AH24" i="54"/>
  <c r="BZ24" i="54"/>
  <c r="AJ24" i="54"/>
  <c r="AF24" i="54"/>
  <c r="BH24" i="54"/>
  <c r="H24" i="54"/>
  <c r="BR24" i="54"/>
  <c r="CF24" i="54"/>
  <c r="CB24" i="53"/>
  <c r="AV24" i="53"/>
  <c r="P24" i="53"/>
  <c r="BR24" i="53"/>
  <c r="AL24" i="53"/>
  <c r="CF24" i="53"/>
  <c r="AZ24" i="53"/>
  <c r="T24" i="53"/>
  <c r="J24" i="53"/>
  <c r="BD24" i="52"/>
  <c r="X24" i="52"/>
  <c r="AH24" i="53"/>
  <c r="BB24" i="52"/>
  <c r="V24" i="52"/>
  <c r="CF24" i="52"/>
  <c r="AZ24" i="52"/>
  <c r="T24" i="52"/>
  <c r="CF24" i="51"/>
  <c r="AZ24" i="51"/>
  <c r="T24" i="51"/>
  <c r="AX24" i="52"/>
  <c r="BN24" i="51"/>
  <c r="AH24" i="51"/>
  <c r="BV24" i="52"/>
  <c r="AT24" i="51"/>
  <c r="BV24" i="50"/>
  <c r="AP24" i="50"/>
  <c r="J24" i="50"/>
  <c r="AP24" i="52"/>
  <c r="V24" i="51"/>
  <c r="BB24" i="50"/>
  <c r="V24" i="50"/>
  <c r="CB24" i="50"/>
  <c r="P24" i="50"/>
  <c r="BD24" i="49"/>
  <c r="X24" i="49"/>
  <c r="BX24" i="48"/>
  <c r="AR24" i="48"/>
  <c r="L24" i="48"/>
  <c r="BH24" i="50"/>
  <c r="BZ24" i="49"/>
  <c r="AT24" i="49"/>
  <c r="N24" i="49"/>
  <c r="BF24" i="48"/>
  <c r="Z24" i="48"/>
  <c r="BX24" i="47"/>
  <c r="AR24" i="47"/>
  <c r="L24" i="47"/>
  <c r="BT24" i="50"/>
  <c r="H24" i="50"/>
  <c r="BH24" i="49"/>
  <c r="AB24" i="49"/>
  <c r="BT24" i="51"/>
  <c r="BP24" i="50"/>
  <c r="BV24" i="49"/>
  <c r="BB24" i="48"/>
  <c r="BN24" i="47"/>
  <c r="X24" i="47"/>
  <c r="BJ24" i="46"/>
  <c r="AD24" i="46"/>
  <c r="BR24" i="45"/>
  <c r="AL24" i="45"/>
  <c r="BN24" i="49"/>
  <c r="AV24" i="48"/>
  <c r="BL24" i="47"/>
  <c r="V24" i="47"/>
  <c r="BP24" i="46"/>
  <c r="AJ24" i="46"/>
  <c r="CF24" i="45"/>
  <c r="AZ24" i="45"/>
  <c r="T24" i="45"/>
  <c r="BZ24" i="48"/>
  <c r="N24" i="48"/>
  <c r="AX24" i="47"/>
  <c r="H24" i="47"/>
  <c r="BF24" i="46"/>
  <c r="Z24" i="46"/>
  <c r="BV24" i="45"/>
  <c r="AP24" i="45"/>
  <c r="J24" i="45"/>
  <c r="CB24" i="47"/>
  <c r="P24" i="46"/>
  <c r="CB24" i="44"/>
  <c r="R24" i="49"/>
  <c r="BT24" i="46"/>
  <c r="AV24" i="45"/>
  <c r="P24" i="47"/>
  <c r="AN24" i="45"/>
  <c r="BV24" i="44"/>
  <c r="AV24" i="47"/>
  <c r="AF24" i="45"/>
  <c r="BN24" i="44"/>
  <c r="V24" i="44"/>
  <c r="BH24" i="44"/>
  <c r="AR24" i="44"/>
  <c r="AB24" i="44"/>
  <c r="L24" i="44"/>
  <c r="AT24" i="44"/>
  <c r="H24" i="44"/>
  <c r="AD24" i="52"/>
  <c r="BV24" i="51"/>
  <c r="J24" i="51"/>
  <c r="AX24" i="50"/>
  <c r="AL24" i="51"/>
  <c r="AF24" i="50"/>
  <c r="CF24" i="48"/>
  <c r="BX24" i="50"/>
  <c r="BB24" i="49"/>
  <c r="BN24" i="48"/>
  <c r="AZ24" i="47"/>
  <c r="X24" i="50"/>
  <c r="CF24" i="50"/>
  <c r="BZ24" i="47"/>
  <c r="AL24" i="46"/>
  <c r="AT24" i="45"/>
  <c r="BL24" i="48"/>
  <c r="AR24" i="46"/>
  <c r="AB24" i="45"/>
  <c r="BJ24" i="47"/>
  <c r="AH24" i="46"/>
  <c r="R24" i="45"/>
  <c r="AV24" i="46"/>
  <c r="Z24" i="47"/>
  <c r="BT24" i="45"/>
  <c r="BL24" i="45"/>
  <c r="N24" i="44"/>
  <c r="AF24" i="44"/>
  <c r="BF24" i="54"/>
  <c r="Z24" i="54"/>
  <c r="BP24" i="54"/>
  <c r="BX24" i="54"/>
  <c r="V24" i="54"/>
  <c r="AR24" i="54"/>
  <c r="BL24" i="54"/>
  <c r="AB24" i="54"/>
  <c r="AZ24" i="54"/>
  <c r="BT24" i="53"/>
  <c r="AN24" i="53"/>
  <c r="H24" i="53"/>
  <c r="BJ24" i="53"/>
  <c r="AD24" i="53"/>
  <c r="BX24" i="53"/>
  <c r="AR24" i="53"/>
  <c r="L24" i="53"/>
  <c r="CB24" i="52"/>
  <c r="AV24" i="52"/>
  <c r="P24" i="52"/>
  <c r="BZ24" i="52"/>
  <c r="AT24" i="52"/>
  <c r="N24" i="52"/>
  <c r="BX24" i="52"/>
  <c r="AR24" i="52"/>
  <c r="L24" i="52"/>
  <c r="BX24" i="51"/>
  <c r="AR24" i="51"/>
  <c r="L24" i="51"/>
  <c r="R24" i="52"/>
  <c r="BF24" i="51"/>
  <c r="Z24" i="51"/>
  <c r="J24" i="52"/>
  <c r="AD24" i="51"/>
  <c r="BN24" i="50"/>
  <c r="AH24" i="50"/>
  <c r="AX24" i="53"/>
  <c r="BR24" i="51"/>
  <c r="BZ24" i="50"/>
  <c r="AT24" i="50"/>
  <c r="N24" i="50"/>
  <c r="BL24" i="50"/>
  <c r="CB24" i="49"/>
  <c r="AV24" i="49"/>
  <c r="P24" i="49"/>
  <c r="BP24" i="48"/>
  <c r="AJ24" i="48"/>
  <c r="BD24" i="51"/>
  <c r="AR24" i="50"/>
  <c r="BR24" i="49"/>
  <c r="AL24" i="49"/>
  <c r="CD24" i="48"/>
  <c r="AX24" i="48"/>
  <c r="R24" i="48"/>
  <c r="BP24" i="47"/>
  <c r="AJ24" i="47"/>
  <c r="CB24" i="51"/>
  <c r="BD24" i="50"/>
  <c r="CF24" i="49"/>
  <c r="AZ24" i="49"/>
  <c r="T24" i="49"/>
  <c r="AN24" i="51"/>
  <c r="AZ24" i="50"/>
  <c r="AP24" i="49"/>
  <c r="AL24" i="48"/>
  <c r="BD24" i="47"/>
  <c r="N24" i="47"/>
  <c r="BB24" i="46"/>
  <c r="V24" i="46"/>
  <c r="BJ24" i="45"/>
  <c r="AD24" i="45"/>
  <c r="AH24" i="49"/>
  <c r="AF24" i="48"/>
  <c r="BB24" i="47"/>
  <c r="J24" i="47"/>
  <c r="BH24" i="46"/>
  <c r="AB24" i="46"/>
  <c r="BX24" i="45"/>
  <c r="AR24" i="45"/>
  <c r="L24" i="45"/>
  <c r="BJ24" i="48"/>
  <c r="CD24" i="47"/>
  <c r="AN24" i="47"/>
  <c r="CD24" i="46"/>
  <c r="AX24" i="46"/>
  <c r="R24" i="46"/>
  <c r="BN24" i="45"/>
  <c r="AH24" i="45"/>
  <c r="AX24" i="49"/>
  <c r="AL24" i="47"/>
  <c r="BD24" i="45"/>
  <c r="BX24" i="44"/>
  <c r="BD24" i="48"/>
  <c r="AN24" i="46"/>
  <c r="P24" i="45"/>
  <c r="BL24" i="46"/>
  <c r="H24" i="45"/>
  <c r="BR24" i="44"/>
  <c r="BD24" i="46"/>
  <c r="AD24" i="44"/>
  <c r="BB24" i="44"/>
  <c r="R24" i="44"/>
  <c r="BD24" i="44"/>
  <c r="AN24" i="44"/>
  <c r="X24" i="44"/>
  <c r="AP24" i="44"/>
  <c r="AV24" i="54"/>
  <c r="X24" i="53"/>
  <c r="AT24" i="53"/>
  <c r="AB24" i="53"/>
  <c r="BL24" i="52"/>
  <c r="BN24" i="53"/>
  <c r="Z24" i="53"/>
  <c r="AB24" i="52"/>
  <c r="BH24" i="51"/>
  <c r="CD24" i="52"/>
  <c r="BJ24" i="51"/>
  <c r="R24" i="50"/>
  <c r="BJ24" i="50"/>
  <c r="AF24" i="51"/>
  <c r="BL24" i="49"/>
  <c r="AZ24" i="48"/>
  <c r="L24" i="50"/>
  <c r="CF24" i="47"/>
  <c r="P24" i="51"/>
  <c r="AJ24" i="49"/>
  <c r="T24" i="50"/>
  <c r="AH24" i="47"/>
  <c r="BZ24" i="45"/>
  <c r="AF24" i="47"/>
  <c r="L24" i="46"/>
  <c r="Z24" i="49"/>
  <c r="R24" i="47"/>
  <c r="AX24" i="45"/>
  <c r="CF24" i="44"/>
  <c r="CB24" i="45"/>
  <c r="BZ24" i="44"/>
  <c r="BL24" i="44"/>
  <c r="P24" i="44"/>
  <c r="F24" i="54"/>
  <c r="F24" i="44"/>
  <c r="F24" i="45"/>
  <c r="F24" i="48"/>
  <c r="F24" i="53"/>
  <c r="F24" i="51"/>
  <c r="F24" i="50"/>
  <c r="F24" i="52"/>
  <c r="F24" i="49"/>
  <c r="F24" i="46"/>
  <c r="F24" i="47"/>
  <c r="CJ24" i="45"/>
  <c r="CJ24" i="54"/>
  <c r="CJ24" i="48"/>
  <c r="CJ24" i="49"/>
  <c r="CJ24" i="50"/>
  <c r="CJ24" i="51"/>
  <c r="CJ24" i="53"/>
  <c r="CJ24" i="52"/>
  <c r="CJ24" i="46"/>
  <c r="CJ24" i="47"/>
  <c r="CJ30" i="54"/>
  <c r="CJ30" i="48"/>
  <c r="CJ30" i="49"/>
  <c r="CJ30" i="50"/>
  <c r="CJ30" i="45"/>
  <c r="CJ30" i="51"/>
  <c r="CJ30" i="53"/>
  <c r="CJ30" i="52"/>
  <c r="CJ30" i="46"/>
  <c r="CJ30" i="47"/>
  <c r="CJ27" i="53"/>
  <c r="CJ27" i="52"/>
  <c r="CJ27" i="45"/>
  <c r="CJ27" i="46"/>
  <c r="CJ27" i="47"/>
  <c r="CJ27" i="50"/>
  <c r="CJ27" i="51"/>
  <c r="CJ27" i="54"/>
  <c r="CJ27" i="48"/>
  <c r="CJ27" i="49"/>
  <c r="BQ48" i="53"/>
  <c r="BQ46" i="53"/>
  <c r="AC48" i="53"/>
  <c r="AC46" i="53"/>
  <c r="AG48" i="53"/>
  <c r="AG46" i="53"/>
  <c r="AO48" i="53"/>
  <c r="AO46" i="53"/>
  <c r="Q48" i="53"/>
  <c r="Q46" i="53"/>
  <c r="BI48" i="53"/>
  <c r="BI46" i="53"/>
  <c r="AE48" i="53"/>
  <c r="AE46" i="53"/>
  <c r="CE48" i="53"/>
  <c r="CE46" i="53"/>
  <c r="AI48" i="53"/>
  <c r="AI46" i="53"/>
  <c r="BY48" i="53"/>
  <c r="BY46" i="53"/>
  <c r="AO48" i="47"/>
  <c r="AO46" i="47"/>
  <c r="BK48" i="47"/>
  <c r="BK46" i="47"/>
  <c r="I48" i="47"/>
  <c r="I46" i="47"/>
  <c r="AY48" i="47"/>
  <c r="AY46" i="47"/>
  <c r="AI48" i="47"/>
  <c r="AI46" i="47"/>
  <c r="AG48" i="47"/>
  <c r="AG46" i="47"/>
  <c r="W48" i="47"/>
  <c r="W46" i="47"/>
  <c r="CC48" i="47"/>
  <c r="CC46" i="47"/>
  <c r="AQ48" i="47"/>
  <c r="AQ46" i="47"/>
  <c r="BY48" i="47"/>
  <c r="BY46" i="47"/>
  <c r="BE48" i="52"/>
  <c r="BE46" i="52"/>
  <c r="AY48" i="52"/>
  <c r="AY46" i="52"/>
  <c r="AE48" i="52"/>
  <c r="AE46" i="52"/>
  <c r="CG48" i="52"/>
  <c r="CG46" i="52"/>
  <c r="BY48" i="52"/>
  <c r="BY46" i="52"/>
  <c r="BK48" i="52"/>
  <c r="BK46" i="52"/>
  <c r="BG48" i="52"/>
  <c r="BG46" i="52"/>
  <c r="AG48" i="52"/>
  <c r="AG46" i="52"/>
  <c r="BQ48" i="52"/>
  <c r="BQ46" i="52"/>
  <c r="M48" i="52"/>
  <c r="M46" i="52"/>
  <c r="U48" i="54"/>
  <c r="U46" i="54"/>
  <c r="BM48" i="54"/>
  <c r="BM46" i="54"/>
  <c r="AI48" i="54"/>
  <c r="AI46" i="54"/>
  <c r="Y48" i="54"/>
  <c r="Y46" i="54"/>
  <c r="M48" i="54"/>
  <c r="M46" i="54"/>
  <c r="BY48" i="54"/>
  <c r="BY46" i="54"/>
  <c r="BQ48" i="54"/>
  <c r="BQ46" i="54"/>
  <c r="AM48" i="54"/>
  <c r="AM46" i="54"/>
  <c r="W48" i="54"/>
  <c r="W46" i="54"/>
  <c r="AY48" i="54"/>
  <c r="AY46" i="54"/>
  <c r="G48" i="46"/>
  <c r="G46" i="46"/>
  <c r="AS48" i="46"/>
  <c r="AS46" i="46"/>
  <c r="BE48" i="46"/>
  <c r="BE46" i="46"/>
  <c r="BI48" i="46"/>
  <c r="BI46" i="46"/>
  <c r="M48" i="46"/>
  <c r="M46" i="46"/>
  <c r="BO48" i="46"/>
  <c r="BO46" i="46"/>
  <c r="W48" i="46"/>
  <c r="W46" i="46"/>
  <c r="BY48" i="46"/>
  <c r="BY46" i="46"/>
  <c r="AI48" i="46"/>
  <c r="AI46" i="46"/>
  <c r="BS48" i="46"/>
  <c r="BS46" i="46"/>
  <c r="CE48" i="48"/>
  <c r="CE46" i="48"/>
  <c r="AA48" i="48"/>
  <c r="AA46" i="48"/>
  <c r="AY48" i="48"/>
  <c r="AY46" i="48"/>
  <c r="BY48" i="48"/>
  <c r="BY46" i="48"/>
  <c r="BS48" i="48"/>
  <c r="BS46" i="48"/>
  <c r="AI48" i="48"/>
  <c r="AI46" i="48"/>
  <c r="AE48" i="48"/>
  <c r="AE46" i="48"/>
  <c r="BG48" i="48"/>
  <c r="BG46" i="48"/>
  <c r="S48" i="48"/>
  <c r="S46" i="48"/>
  <c r="AC48" i="48"/>
  <c r="AC46" i="48"/>
  <c r="CE48" i="50"/>
  <c r="CE46" i="50"/>
  <c r="BO48" i="50"/>
  <c r="BO46" i="50"/>
  <c r="W48" i="50"/>
  <c r="W46" i="50"/>
  <c r="G48" i="50"/>
  <c r="G46" i="50"/>
  <c r="BK48" i="50"/>
  <c r="BK46" i="50"/>
  <c r="AK48" i="50"/>
  <c r="AK46" i="50"/>
  <c r="AE48" i="50"/>
  <c r="AE46" i="50"/>
  <c r="Q48" i="50"/>
  <c r="Q46" i="50"/>
  <c r="AG48" i="50"/>
  <c r="AG46" i="50"/>
  <c r="BY48" i="50"/>
  <c r="BY46" i="50"/>
  <c r="AU48" i="51"/>
  <c r="AU46" i="51"/>
  <c r="CG48" i="51"/>
  <c r="CG46" i="51"/>
  <c r="AK48" i="51"/>
  <c r="AK46" i="51"/>
  <c r="BE48" i="51"/>
  <c r="BE46" i="51"/>
  <c r="M48" i="51"/>
  <c r="M46" i="51"/>
  <c r="O48" i="51"/>
  <c r="O46" i="51"/>
  <c r="AC48" i="51"/>
  <c r="AC46" i="51"/>
  <c r="CE48" i="51"/>
  <c r="CE46" i="51"/>
  <c r="AS48" i="51"/>
  <c r="AS46" i="51"/>
  <c r="AI48" i="51"/>
  <c r="AI46" i="51"/>
  <c r="AS48" i="49"/>
  <c r="AS46" i="49"/>
  <c r="Q48" i="49"/>
  <c r="Q46" i="49"/>
  <c r="AK48" i="49"/>
  <c r="AK46" i="49"/>
  <c r="AW48" i="49"/>
  <c r="AW46" i="49"/>
  <c r="AI48" i="49"/>
  <c r="AI46" i="49"/>
  <c r="AG48" i="49"/>
  <c r="AG46" i="49"/>
  <c r="BQ48" i="49"/>
  <c r="BQ46" i="49"/>
  <c r="BW48" i="49"/>
  <c r="BW46" i="49"/>
  <c r="K48" i="49"/>
  <c r="K46" i="49"/>
  <c r="Y48" i="49"/>
  <c r="Y46" i="49"/>
  <c r="CF15" i="54"/>
  <c r="BX15" i="54"/>
  <c r="BP15" i="54"/>
  <c r="BH15" i="54"/>
  <c r="AZ15" i="54"/>
  <c r="AR15" i="54"/>
  <c r="AJ15" i="54"/>
  <c r="AB15" i="54"/>
  <c r="T15" i="54"/>
  <c r="L15" i="54"/>
  <c r="CD15" i="54"/>
  <c r="BV15" i="54"/>
  <c r="BN15" i="54"/>
  <c r="BF15" i="54"/>
  <c r="AX15" i="54"/>
  <c r="AP15" i="54"/>
  <c r="AH15" i="54"/>
  <c r="Z15" i="54"/>
  <c r="R15" i="54"/>
  <c r="J15" i="54"/>
  <c r="BZ15" i="54"/>
  <c r="BJ15" i="54"/>
  <c r="AT15" i="54"/>
  <c r="AD15" i="54"/>
  <c r="N15" i="54"/>
  <c r="BL15" i="54"/>
  <c r="AN15" i="54"/>
  <c r="V15" i="54"/>
  <c r="CB15" i="54"/>
  <c r="BD15" i="54"/>
  <c r="AL15" i="54"/>
  <c r="P15" i="54"/>
  <c r="BT15" i="54"/>
  <c r="BB15" i="54"/>
  <c r="AF15" i="54"/>
  <c r="H15" i="54"/>
  <c r="BZ15" i="53"/>
  <c r="BR15" i="53"/>
  <c r="BJ15" i="53"/>
  <c r="BB15" i="53"/>
  <c r="AT15" i="53"/>
  <c r="AL15" i="53"/>
  <c r="AD15" i="53"/>
  <c r="V15" i="53"/>
  <c r="N15" i="53"/>
  <c r="BR15" i="54"/>
  <c r="CF15" i="53"/>
  <c r="BX15" i="53"/>
  <c r="BP15" i="53"/>
  <c r="BH15" i="53"/>
  <c r="AZ15" i="53"/>
  <c r="AR15" i="53"/>
  <c r="AJ15" i="53"/>
  <c r="AB15" i="53"/>
  <c r="T15" i="53"/>
  <c r="L15" i="53"/>
  <c r="AV15" i="54"/>
  <c r="CD15" i="53"/>
  <c r="BV15" i="53"/>
  <c r="BN15" i="53"/>
  <c r="BF15" i="53"/>
  <c r="AX15" i="53"/>
  <c r="AP15" i="53"/>
  <c r="AH15" i="53"/>
  <c r="Z15" i="53"/>
  <c r="R15" i="53"/>
  <c r="J15" i="53"/>
  <c r="BT15" i="53"/>
  <c r="AN15" i="53"/>
  <c r="H15" i="53"/>
  <c r="BZ15" i="52"/>
  <c r="BR15" i="52"/>
  <c r="BJ15" i="52"/>
  <c r="BB15" i="52"/>
  <c r="AT15" i="52"/>
  <c r="AL15" i="52"/>
  <c r="AD15" i="52"/>
  <c r="V15" i="52"/>
  <c r="N15" i="52"/>
  <c r="BL15" i="53"/>
  <c r="AF15" i="53"/>
  <c r="CF15" i="52"/>
  <c r="BX15" i="52"/>
  <c r="BP15" i="52"/>
  <c r="BH15" i="52"/>
  <c r="AZ15" i="52"/>
  <c r="AR15" i="52"/>
  <c r="AJ15" i="52"/>
  <c r="AB15" i="52"/>
  <c r="T15" i="52"/>
  <c r="L15" i="52"/>
  <c r="X15" i="54"/>
  <c r="BD15" i="53"/>
  <c r="X15" i="53"/>
  <c r="CD15" i="52"/>
  <c r="BV15" i="52"/>
  <c r="BN15" i="52"/>
  <c r="BF15" i="52"/>
  <c r="AX15" i="52"/>
  <c r="AP15" i="52"/>
  <c r="AH15" i="52"/>
  <c r="Z15" i="52"/>
  <c r="R15" i="52"/>
  <c r="J15" i="52"/>
  <c r="AV15" i="53"/>
  <c r="BD15" i="52"/>
  <c r="X15" i="52"/>
  <c r="CD15" i="51"/>
  <c r="BV15" i="51"/>
  <c r="BN15" i="51"/>
  <c r="BF15" i="51"/>
  <c r="AX15" i="51"/>
  <c r="AP15" i="51"/>
  <c r="AH15" i="51"/>
  <c r="Z15" i="51"/>
  <c r="R15" i="51"/>
  <c r="J15" i="51"/>
  <c r="P15" i="53"/>
  <c r="CB15" i="52"/>
  <c r="AV15" i="52"/>
  <c r="P15" i="52"/>
  <c r="CB15" i="51"/>
  <c r="BT15" i="51"/>
  <c r="BL15" i="51"/>
  <c r="BD15" i="51"/>
  <c r="AV15" i="51"/>
  <c r="AN15" i="51"/>
  <c r="AF15" i="51"/>
  <c r="X15" i="51"/>
  <c r="P15" i="51"/>
  <c r="H15" i="51"/>
  <c r="BT15" i="52"/>
  <c r="H15" i="52"/>
  <c r="BX15" i="51"/>
  <c r="BH15" i="51"/>
  <c r="AR15" i="51"/>
  <c r="AB15" i="51"/>
  <c r="L15" i="51"/>
  <c r="CB15" i="50"/>
  <c r="BT15" i="50"/>
  <c r="BL15" i="50"/>
  <c r="BD15" i="50"/>
  <c r="AV15" i="50"/>
  <c r="AN15" i="50"/>
  <c r="AF15" i="50"/>
  <c r="X15" i="50"/>
  <c r="P15" i="50"/>
  <c r="H15" i="50"/>
  <c r="BL15" i="52"/>
  <c r="CB15" i="53"/>
  <c r="AN15" i="52"/>
  <c r="CF15" i="51"/>
  <c r="BP15" i="51"/>
  <c r="AZ15" i="51"/>
  <c r="AJ15" i="51"/>
  <c r="T15" i="51"/>
  <c r="CF15" i="50"/>
  <c r="BX15" i="50"/>
  <c r="BP15" i="50"/>
  <c r="BH15" i="50"/>
  <c r="AZ15" i="50"/>
  <c r="AR15" i="50"/>
  <c r="AJ15" i="50"/>
  <c r="AB15" i="50"/>
  <c r="T15" i="50"/>
  <c r="L15" i="50"/>
  <c r="AF15" i="52"/>
  <c r="BJ15" i="51"/>
  <c r="AD15" i="51"/>
  <c r="BZ15" i="50"/>
  <c r="BJ15" i="50"/>
  <c r="AT15" i="50"/>
  <c r="AD15" i="50"/>
  <c r="N15" i="50"/>
  <c r="BZ15" i="49"/>
  <c r="BR15" i="49"/>
  <c r="BJ15" i="49"/>
  <c r="BB15" i="49"/>
  <c r="AT15" i="49"/>
  <c r="AL15" i="49"/>
  <c r="AD15" i="49"/>
  <c r="V15" i="49"/>
  <c r="N15" i="49"/>
  <c r="CD15" i="48"/>
  <c r="BV15" i="48"/>
  <c r="BN15" i="48"/>
  <c r="BF15" i="48"/>
  <c r="AX15" i="48"/>
  <c r="AP15" i="48"/>
  <c r="AH15" i="48"/>
  <c r="Z15" i="48"/>
  <c r="R15" i="48"/>
  <c r="J15" i="48"/>
  <c r="BB15" i="51"/>
  <c r="V15" i="51"/>
  <c r="BV15" i="50"/>
  <c r="BF15" i="50"/>
  <c r="AP15" i="50"/>
  <c r="Z15" i="50"/>
  <c r="J15" i="50"/>
  <c r="CF15" i="49"/>
  <c r="BX15" i="49"/>
  <c r="BP15" i="49"/>
  <c r="BH15" i="49"/>
  <c r="AZ15" i="49"/>
  <c r="AR15" i="49"/>
  <c r="AJ15" i="49"/>
  <c r="AB15" i="49"/>
  <c r="T15" i="49"/>
  <c r="L15" i="49"/>
  <c r="CB15" i="48"/>
  <c r="BT15" i="48"/>
  <c r="BL15" i="48"/>
  <c r="BD15" i="48"/>
  <c r="AV15" i="48"/>
  <c r="AN15" i="48"/>
  <c r="AF15" i="48"/>
  <c r="X15" i="48"/>
  <c r="P15" i="48"/>
  <c r="H15" i="48"/>
  <c r="BZ15" i="51"/>
  <c r="AT15" i="51"/>
  <c r="N15" i="51"/>
  <c r="BR15" i="50"/>
  <c r="BB15" i="50"/>
  <c r="AL15" i="50"/>
  <c r="V15" i="50"/>
  <c r="CD15" i="49"/>
  <c r="BV15" i="49"/>
  <c r="BN15" i="49"/>
  <c r="BF15" i="49"/>
  <c r="AX15" i="49"/>
  <c r="AP15" i="49"/>
  <c r="AH15" i="49"/>
  <c r="Z15" i="49"/>
  <c r="R15" i="49"/>
  <c r="J15" i="49"/>
  <c r="BR15" i="51"/>
  <c r="AL15" i="51"/>
  <c r="CD15" i="50"/>
  <c r="BN15" i="50"/>
  <c r="AX15" i="50"/>
  <c r="AH15" i="50"/>
  <c r="R15" i="50"/>
  <c r="BT15" i="49"/>
  <c r="AN15" i="49"/>
  <c r="H15" i="49"/>
  <c r="CF15" i="48"/>
  <c r="BP15" i="48"/>
  <c r="AZ15" i="48"/>
  <c r="AJ15" i="48"/>
  <c r="T15" i="48"/>
  <c r="CB15" i="47"/>
  <c r="BT15" i="47"/>
  <c r="BL15" i="47"/>
  <c r="BD15" i="47"/>
  <c r="AV15" i="47"/>
  <c r="AN15" i="47"/>
  <c r="AF15" i="47"/>
  <c r="X15" i="47"/>
  <c r="P15" i="47"/>
  <c r="H15" i="47"/>
  <c r="CF15" i="46"/>
  <c r="BX15" i="46"/>
  <c r="BP15" i="46"/>
  <c r="BH15" i="46"/>
  <c r="AZ15" i="46"/>
  <c r="AR15" i="46"/>
  <c r="AJ15" i="46"/>
  <c r="AB15" i="46"/>
  <c r="T15" i="46"/>
  <c r="L15" i="46"/>
  <c r="BL15" i="49"/>
  <c r="AF15" i="49"/>
  <c r="BZ15" i="48"/>
  <c r="BJ15" i="48"/>
  <c r="AT15" i="48"/>
  <c r="AD15" i="48"/>
  <c r="N15" i="48"/>
  <c r="BZ15" i="47"/>
  <c r="BR15" i="47"/>
  <c r="BJ15" i="47"/>
  <c r="BB15" i="47"/>
  <c r="AT15" i="47"/>
  <c r="AL15" i="47"/>
  <c r="AD15" i="47"/>
  <c r="V15" i="47"/>
  <c r="N15" i="47"/>
  <c r="CD15" i="46"/>
  <c r="BV15" i="46"/>
  <c r="BN15" i="46"/>
  <c r="BF15" i="46"/>
  <c r="AX15" i="46"/>
  <c r="AP15" i="46"/>
  <c r="AH15" i="46"/>
  <c r="Z15" i="46"/>
  <c r="R15" i="46"/>
  <c r="J15" i="46"/>
  <c r="BD15" i="49"/>
  <c r="X15" i="49"/>
  <c r="BX15" i="48"/>
  <c r="BH15" i="48"/>
  <c r="AR15" i="48"/>
  <c r="AB15" i="48"/>
  <c r="L15" i="48"/>
  <c r="CF15" i="47"/>
  <c r="BX15" i="47"/>
  <c r="BP15" i="47"/>
  <c r="BH15" i="47"/>
  <c r="AZ15" i="47"/>
  <c r="AR15" i="47"/>
  <c r="AJ15" i="47"/>
  <c r="AB15" i="47"/>
  <c r="T15" i="47"/>
  <c r="L15" i="47"/>
  <c r="CB15" i="46"/>
  <c r="BT15" i="46"/>
  <c r="BL15" i="46"/>
  <c r="BD15" i="46"/>
  <c r="AV15" i="46"/>
  <c r="AN15" i="46"/>
  <c r="AF15" i="46"/>
  <c r="X15" i="46"/>
  <c r="P15" i="46"/>
  <c r="H15" i="46"/>
  <c r="BR15" i="48"/>
  <c r="CD15" i="47"/>
  <c r="AX15" i="47"/>
  <c r="R15" i="47"/>
  <c r="BZ15" i="46"/>
  <c r="AT15" i="46"/>
  <c r="N15" i="46"/>
  <c r="CB15" i="45"/>
  <c r="BT15" i="45"/>
  <c r="BL15" i="45"/>
  <c r="BD15" i="45"/>
  <c r="AV15" i="45"/>
  <c r="AN15" i="45"/>
  <c r="AF15" i="45"/>
  <c r="X15" i="45"/>
  <c r="P15" i="45"/>
  <c r="H15" i="45"/>
  <c r="CB15" i="49"/>
  <c r="BB15" i="48"/>
  <c r="BV15" i="47"/>
  <c r="AP15" i="47"/>
  <c r="J15" i="47"/>
  <c r="BR15" i="46"/>
  <c r="AL15" i="46"/>
  <c r="BZ15" i="45"/>
  <c r="BR15" i="45"/>
  <c r="BJ15" i="45"/>
  <c r="BB15" i="45"/>
  <c r="AT15" i="45"/>
  <c r="AL15" i="45"/>
  <c r="AD15" i="45"/>
  <c r="V15" i="45"/>
  <c r="N15" i="45"/>
  <c r="CD15" i="44"/>
  <c r="BZ15" i="44"/>
  <c r="BV15" i="44"/>
  <c r="BR15" i="44"/>
  <c r="AV15" i="49"/>
  <c r="AL15" i="48"/>
  <c r="BN15" i="47"/>
  <c r="AH15" i="47"/>
  <c r="BJ15" i="46"/>
  <c r="AD15" i="46"/>
  <c r="CF15" i="45"/>
  <c r="BX15" i="45"/>
  <c r="BP15" i="45"/>
  <c r="BH15" i="45"/>
  <c r="AZ15" i="45"/>
  <c r="AR15" i="45"/>
  <c r="AJ15" i="45"/>
  <c r="AB15" i="45"/>
  <c r="T15" i="45"/>
  <c r="L15" i="45"/>
  <c r="P15" i="49"/>
  <c r="V15" i="48"/>
  <c r="BF15" i="47"/>
  <c r="Z15" i="47"/>
  <c r="BB15" i="46"/>
  <c r="V15" i="46"/>
  <c r="CD15" i="45"/>
  <c r="BV15" i="45"/>
  <c r="BN15" i="45"/>
  <c r="BF15" i="45"/>
  <c r="AX15" i="45"/>
  <c r="AP15" i="45"/>
  <c r="AH15" i="45"/>
  <c r="Z15" i="45"/>
  <c r="R15" i="45"/>
  <c r="J15" i="45"/>
  <c r="BN15" i="44"/>
  <c r="BJ15" i="44"/>
  <c r="BF15" i="44"/>
  <c r="BB15" i="44"/>
  <c r="AX15" i="44"/>
  <c r="AT15" i="44"/>
  <c r="AP15" i="44"/>
  <c r="AL15" i="44"/>
  <c r="AH15" i="44"/>
  <c r="AD15" i="44"/>
  <c r="Z15" i="44"/>
  <c r="V15" i="44"/>
  <c r="R15" i="44"/>
  <c r="N15" i="44"/>
  <c r="J15" i="44"/>
  <c r="CB15" i="44"/>
  <c r="BL15" i="44"/>
  <c r="BH15" i="44"/>
  <c r="BD15" i="44"/>
  <c r="AZ15" i="44"/>
  <c r="AV15" i="44"/>
  <c r="AR15" i="44"/>
  <c r="AN15" i="44"/>
  <c r="AJ15" i="44"/>
  <c r="AF15" i="44"/>
  <c r="AB15" i="44"/>
  <c r="X15" i="44"/>
  <c r="T15" i="44"/>
  <c r="P15" i="44"/>
  <c r="L15" i="44"/>
  <c r="H15" i="44"/>
  <c r="CF15" i="44"/>
  <c r="BX15" i="44"/>
  <c r="BP15" i="44"/>
  <c r="BT15" i="44"/>
  <c r="F15" i="45"/>
  <c r="F15" i="54"/>
  <c r="F15" i="48"/>
  <c r="F15" i="44"/>
  <c r="F15" i="51"/>
  <c r="F15" i="49"/>
  <c r="F15" i="52"/>
  <c r="F15" i="46"/>
  <c r="F15" i="47"/>
  <c r="F15" i="50"/>
  <c r="F15" i="53"/>
  <c r="CI15" i="46"/>
  <c r="CI15" i="52"/>
  <c r="CI15" i="49"/>
  <c r="CI15" i="45"/>
  <c r="CI15" i="51"/>
  <c r="CI15" i="47"/>
  <c r="CI15" i="54"/>
  <c r="CI15" i="50"/>
  <c r="CI15" i="48"/>
  <c r="CI15" i="53"/>
  <c r="CI15" i="44"/>
  <c r="CF23" i="54"/>
  <c r="BX23" i="54"/>
  <c r="BP23" i="54"/>
  <c r="BH23" i="54"/>
  <c r="AZ23" i="54"/>
  <c r="AR23" i="54"/>
  <c r="AJ23" i="54"/>
  <c r="AB23" i="54"/>
  <c r="T23" i="54"/>
  <c r="L23" i="54"/>
  <c r="CD23" i="54"/>
  <c r="BT23" i="54"/>
  <c r="BJ23" i="54"/>
  <c r="AX23" i="54"/>
  <c r="AN23" i="54"/>
  <c r="AD23" i="54"/>
  <c r="R23" i="54"/>
  <c r="H23" i="54"/>
  <c r="CB23" i="54"/>
  <c r="BR23" i="54"/>
  <c r="BF23" i="54"/>
  <c r="AV23" i="54"/>
  <c r="AL23" i="54"/>
  <c r="Z23" i="54"/>
  <c r="P23" i="54"/>
  <c r="BV23" i="54"/>
  <c r="BB23" i="54"/>
  <c r="AF23" i="54"/>
  <c r="J23" i="54"/>
  <c r="BD23" i="54"/>
  <c r="X23" i="54"/>
  <c r="BZ23" i="54"/>
  <c r="AT23" i="54"/>
  <c r="V23" i="54"/>
  <c r="BN23" i="54"/>
  <c r="AP23" i="54"/>
  <c r="N23" i="54"/>
  <c r="AH23" i="54"/>
  <c r="CD23" i="53"/>
  <c r="BV23" i="53"/>
  <c r="BN23" i="53"/>
  <c r="BF23" i="53"/>
  <c r="AX23" i="53"/>
  <c r="AP23" i="53"/>
  <c r="AH23" i="53"/>
  <c r="Z23" i="53"/>
  <c r="R23" i="53"/>
  <c r="J23" i="53"/>
  <c r="CB23" i="53"/>
  <c r="BT23" i="53"/>
  <c r="BL23" i="53"/>
  <c r="BD23" i="53"/>
  <c r="AV23" i="53"/>
  <c r="AN23" i="53"/>
  <c r="AF23" i="53"/>
  <c r="X23" i="53"/>
  <c r="P23" i="53"/>
  <c r="H23" i="53"/>
  <c r="BZ23" i="53"/>
  <c r="BR23" i="53"/>
  <c r="BJ23" i="53"/>
  <c r="BB23" i="53"/>
  <c r="AT23" i="53"/>
  <c r="AL23" i="53"/>
  <c r="AD23" i="53"/>
  <c r="V23" i="53"/>
  <c r="N23" i="53"/>
  <c r="BH23" i="53"/>
  <c r="AB23" i="53"/>
  <c r="CD23" i="52"/>
  <c r="BV23" i="52"/>
  <c r="BN23" i="52"/>
  <c r="BF23" i="52"/>
  <c r="AX23" i="52"/>
  <c r="AP23" i="52"/>
  <c r="AH23" i="52"/>
  <c r="Z23" i="52"/>
  <c r="R23" i="52"/>
  <c r="J23" i="52"/>
  <c r="BL23" i="54"/>
  <c r="CF23" i="53"/>
  <c r="AZ23" i="53"/>
  <c r="T23" i="53"/>
  <c r="CB23" i="52"/>
  <c r="BT23" i="52"/>
  <c r="BL23" i="52"/>
  <c r="BD23" i="52"/>
  <c r="AV23" i="52"/>
  <c r="AN23" i="52"/>
  <c r="AF23" i="52"/>
  <c r="X23" i="52"/>
  <c r="P23" i="52"/>
  <c r="H23" i="52"/>
  <c r="BX23" i="53"/>
  <c r="AR23" i="53"/>
  <c r="L23" i="53"/>
  <c r="BZ23" i="52"/>
  <c r="BR23" i="52"/>
  <c r="BJ23" i="52"/>
  <c r="BB23" i="52"/>
  <c r="AT23" i="52"/>
  <c r="AL23" i="52"/>
  <c r="AD23" i="52"/>
  <c r="V23" i="52"/>
  <c r="N23" i="52"/>
  <c r="BP23" i="53"/>
  <c r="BX23" i="52"/>
  <c r="AR23" i="52"/>
  <c r="L23" i="52"/>
  <c r="BZ23" i="51"/>
  <c r="BR23" i="51"/>
  <c r="BJ23" i="51"/>
  <c r="BB23" i="51"/>
  <c r="AT23" i="51"/>
  <c r="AL23" i="51"/>
  <c r="AD23" i="51"/>
  <c r="V23" i="51"/>
  <c r="N23" i="51"/>
  <c r="AJ23" i="53"/>
  <c r="BP23" i="52"/>
  <c r="AJ23" i="52"/>
  <c r="CF23" i="51"/>
  <c r="BX23" i="51"/>
  <c r="BP23" i="51"/>
  <c r="BH23" i="51"/>
  <c r="AZ23" i="51"/>
  <c r="AR23" i="51"/>
  <c r="AJ23" i="51"/>
  <c r="AB23" i="51"/>
  <c r="T23" i="51"/>
  <c r="L23" i="51"/>
  <c r="AB23" i="52"/>
  <c r="CB23" i="51"/>
  <c r="BL23" i="51"/>
  <c r="AV23" i="51"/>
  <c r="AF23" i="51"/>
  <c r="P23" i="51"/>
  <c r="CF23" i="50"/>
  <c r="BX23" i="50"/>
  <c r="BP23" i="50"/>
  <c r="BH23" i="50"/>
  <c r="AZ23" i="50"/>
  <c r="AR23" i="50"/>
  <c r="AJ23" i="50"/>
  <c r="AB23" i="50"/>
  <c r="T23" i="50"/>
  <c r="L23" i="50"/>
  <c r="CF23" i="52"/>
  <c r="T23" i="52"/>
  <c r="BH23" i="52"/>
  <c r="BT23" i="51"/>
  <c r="BD23" i="51"/>
  <c r="AN23" i="51"/>
  <c r="X23" i="51"/>
  <c r="H23" i="51"/>
  <c r="CB23" i="50"/>
  <c r="BT23" i="50"/>
  <c r="BL23" i="50"/>
  <c r="BD23" i="50"/>
  <c r="AV23" i="50"/>
  <c r="AN23" i="50"/>
  <c r="AF23" i="50"/>
  <c r="X23" i="50"/>
  <c r="P23" i="50"/>
  <c r="H23" i="50"/>
  <c r="AZ23" i="52"/>
  <c r="CD23" i="51"/>
  <c r="AX23" i="51"/>
  <c r="R23" i="51"/>
  <c r="CD23" i="50"/>
  <c r="BN23" i="50"/>
  <c r="AX23" i="50"/>
  <c r="AH23" i="50"/>
  <c r="R23" i="50"/>
  <c r="CD23" i="49"/>
  <c r="BV23" i="49"/>
  <c r="BN23" i="49"/>
  <c r="BF23" i="49"/>
  <c r="AX23" i="49"/>
  <c r="AP23" i="49"/>
  <c r="AH23" i="49"/>
  <c r="Z23" i="49"/>
  <c r="R23" i="49"/>
  <c r="J23" i="49"/>
  <c r="BZ23" i="48"/>
  <c r="BR23" i="48"/>
  <c r="BJ23" i="48"/>
  <c r="BB23" i="48"/>
  <c r="AT23" i="48"/>
  <c r="AL23" i="48"/>
  <c r="AD23" i="48"/>
  <c r="V23" i="48"/>
  <c r="N23" i="48"/>
  <c r="BV23" i="51"/>
  <c r="AP23" i="51"/>
  <c r="J23" i="51"/>
  <c r="BZ23" i="50"/>
  <c r="BJ23" i="50"/>
  <c r="AT23" i="50"/>
  <c r="AD23" i="50"/>
  <c r="N23" i="50"/>
  <c r="CB23" i="49"/>
  <c r="BT23" i="49"/>
  <c r="BL23" i="49"/>
  <c r="BD23" i="49"/>
  <c r="AV23" i="49"/>
  <c r="AN23" i="49"/>
  <c r="AF23" i="49"/>
  <c r="X23" i="49"/>
  <c r="P23" i="49"/>
  <c r="H23" i="49"/>
  <c r="CF23" i="48"/>
  <c r="BX23" i="48"/>
  <c r="BP23" i="48"/>
  <c r="BH23" i="48"/>
  <c r="AZ23" i="48"/>
  <c r="AR23" i="48"/>
  <c r="AJ23" i="48"/>
  <c r="AB23" i="48"/>
  <c r="T23" i="48"/>
  <c r="L23" i="48"/>
  <c r="BZ23" i="47"/>
  <c r="BR23" i="47"/>
  <c r="BJ23" i="47"/>
  <c r="BB23" i="47"/>
  <c r="BN23" i="51"/>
  <c r="AH23" i="51"/>
  <c r="BV23" i="50"/>
  <c r="BF23" i="50"/>
  <c r="AP23" i="50"/>
  <c r="Z23" i="50"/>
  <c r="J23" i="50"/>
  <c r="BZ23" i="49"/>
  <c r="BR23" i="49"/>
  <c r="BJ23" i="49"/>
  <c r="BB23" i="49"/>
  <c r="AT23" i="49"/>
  <c r="AL23" i="49"/>
  <c r="AD23" i="49"/>
  <c r="V23" i="49"/>
  <c r="N23" i="49"/>
  <c r="BF23" i="51"/>
  <c r="Z23" i="51"/>
  <c r="BR23" i="50"/>
  <c r="BB23" i="50"/>
  <c r="AL23" i="50"/>
  <c r="V23" i="50"/>
  <c r="BH23" i="49"/>
  <c r="AB23" i="49"/>
  <c r="BT23" i="48"/>
  <c r="BD23" i="48"/>
  <c r="AN23" i="48"/>
  <c r="X23" i="48"/>
  <c r="H23" i="48"/>
  <c r="CF23" i="47"/>
  <c r="BV23" i="47"/>
  <c r="BL23" i="47"/>
  <c r="AZ23" i="47"/>
  <c r="AR23" i="47"/>
  <c r="AJ23" i="47"/>
  <c r="AB23" i="47"/>
  <c r="T23" i="47"/>
  <c r="L23" i="47"/>
  <c r="CB23" i="46"/>
  <c r="BT23" i="46"/>
  <c r="BL23" i="46"/>
  <c r="BD23" i="46"/>
  <c r="AV23" i="46"/>
  <c r="AN23" i="46"/>
  <c r="AF23" i="46"/>
  <c r="X23" i="46"/>
  <c r="P23" i="46"/>
  <c r="H23" i="46"/>
  <c r="CB23" i="45"/>
  <c r="BT23" i="45"/>
  <c r="BL23" i="45"/>
  <c r="BD23" i="45"/>
  <c r="AV23" i="45"/>
  <c r="AN23" i="45"/>
  <c r="AF23" i="45"/>
  <c r="X23" i="45"/>
  <c r="P23" i="45"/>
  <c r="H23" i="45"/>
  <c r="CF23" i="49"/>
  <c r="AZ23" i="49"/>
  <c r="T23" i="49"/>
  <c r="CD23" i="48"/>
  <c r="BN23" i="48"/>
  <c r="AX23" i="48"/>
  <c r="AH23" i="48"/>
  <c r="R23" i="48"/>
  <c r="CD23" i="47"/>
  <c r="BT23" i="47"/>
  <c r="BH23" i="47"/>
  <c r="AX23" i="47"/>
  <c r="AP23" i="47"/>
  <c r="AH23" i="47"/>
  <c r="Z23" i="47"/>
  <c r="R23" i="47"/>
  <c r="J23" i="47"/>
  <c r="BZ23" i="46"/>
  <c r="BR23" i="46"/>
  <c r="BJ23" i="46"/>
  <c r="BB23" i="46"/>
  <c r="AT23" i="46"/>
  <c r="AL23" i="46"/>
  <c r="AD23" i="46"/>
  <c r="V23" i="46"/>
  <c r="N23" i="46"/>
  <c r="BZ23" i="45"/>
  <c r="BR23" i="45"/>
  <c r="BJ23" i="45"/>
  <c r="BB23" i="45"/>
  <c r="AT23" i="45"/>
  <c r="AL23" i="45"/>
  <c r="AD23" i="45"/>
  <c r="V23" i="45"/>
  <c r="N23" i="45"/>
  <c r="BX23" i="49"/>
  <c r="AR23" i="49"/>
  <c r="L23" i="49"/>
  <c r="CB23" i="48"/>
  <c r="BL23" i="48"/>
  <c r="AV23" i="48"/>
  <c r="AF23" i="48"/>
  <c r="P23" i="48"/>
  <c r="CB23" i="47"/>
  <c r="BP23" i="47"/>
  <c r="BF23" i="47"/>
  <c r="AV23" i="47"/>
  <c r="AN23" i="47"/>
  <c r="AF23" i="47"/>
  <c r="X23" i="47"/>
  <c r="P23" i="47"/>
  <c r="H23" i="47"/>
  <c r="CF23" i="46"/>
  <c r="BX23" i="46"/>
  <c r="BP23" i="46"/>
  <c r="BH23" i="46"/>
  <c r="AZ23" i="46"/>
  <c r="AR23" i="46"/>
  <c r="AJ23" i="46"/>
  <c r="AB23" i="46"/>
  <c r="T23" i="46"/>
  <c r="L23" i="46"/>
  <c r="CF23" i="45"/>
  <c r="BX23" i="45"/>
  <c r="BP23" i="45"/>
  <c r="BH23" i="45"/>
  <c r="AZ23" i="45"/>
  <c r="AR23" i="45"/>
  <c r="AJ23" i="45"/>
  <c r="AB23" i="45"/>
  <c r="T23" i="45"/>
  <c r="L23" i="45"/>
  <c r="Z23" i="48"/>
  <c r="BX23" i="47"/>
  <c r="AL23" i="47"/>
  <c r="BN23" i="46"/>
  <c r="AH23" i="46"/>
  <c r="BV23" i="45"/>
  <c r="AP23" i="45"/>
  <c r="J23" i="45"/>
  <c r="BV23" i="48"/>
  <c r="J23" i="48"/>
  <c r="BN23" i="47"/>
  <c r="AD23" i="47"/>
  <c r="BF23" i="46"/>
  <c r="Z23" i="46"/>
  <c r="BN23" i="45"/>
  <c r="AH23" i="45"/>
  <c r="CF23" i="44"/>
  <c r="CB23" i="44"/>
  <c r="BX23" i="44"/>
  <c r="BT23" i="44"/>
  <c r="BP23" i="44"/>
  <c r="BP23" i="49"/>
  <c r="BF23" i="48"/>
  <c r="BD23" i="47"/>
  <c r="V23" i="47"/>
  <c r="CD23" i="46"/>
  <c r="AX23" i="46"/>
  <c r="R23" i="46"/>
  <c r="BF23" i="45"/>
  <c r="Z23" i="45"/>
  <c r="AJ23" i="49"/>
  <c r="AP23" i="48"/>
  <c r="AT23" i="47"/>
  <c r="N23" i="47"/>
  <c r="BV23" i="46"/>
  <c r="AP23" i="46"/>
  <c r="J23" i="46"/>
  <c r="CD23" i="45"/>
  <c r="AX23" i="45"/>
  <c r="R23" i="45"/>
  <c r="CD23" i="44"/>
  <c r="BV23" i="44"/>
  <c r="BL23" i="44"/>
  <c r="BH23" i="44"/>
  <c r="BD23" i="44"/>
  <c r="AZ23" i="44"/>
  <c r="AV23" i="44"/>
  <c r="AR23" i="44"/>
  <c r="AN23" i="44"/>
  <c r="AJ23" i="44"/>
  <c r="AF23" i="44"/>
  <c r="AB23" i="44"/>
  <c r="X23" i="44"/>
  <c r="T23" i="44"/>
  <c r="P23" i="44"/>
  <c r="L23" i="44"/>
  <c r="H23" i="44"/>
  <c r="BZ23" i="44"/>
  <c r="BR23" i="44"/>
  <c r="BN23" i="44"/>
  <c r="BJ23" i="44"/>
  <c r="BF23" i="44"/>
  <c r="BB23" i="44"/>
  <c r="AX23" i="44"/>
  <c r="AT23" i="44"/>
  <c r="AP23" i="44"/>
  <c r="AL23" i="44"/>
  <c r="AH23" i="44"/>
  <c r="AD23" i="44"/>
  <c r="Z23" i="44"/>
  <c r="V23" i="44"/>
  <c r="R23" i="44"/>
  <c r="N23" i="44"/>
  <c r="J23" i="44"/>
  <c r="F23" i="54"/>
  <c r="F23" i="48"/>
  <c r="F23" i="45"/>
  <c r="F23" i="44"/>
  <c r="F23" i="49"/>
  <c r="F23" i="51"/>
  <c r="F23" i="52"/>
  <c r="F23" i="53"/>
  <c r="F23" i="47"/>
  <c r="F23" i="50"/>
  <c r="F23" i="46"/>
  <c r="CI23" i="46"/>
  <c r="CI23" i="52"/>
  <c r="CI23" i="53"/>
  <c r="CI23" i="54"/>
  <c r="CI23" i="51"/>
  <c r="CI23" i="47"/>
  <c r="CI23" i="50"/>
  <c r="CI23" i="44"/>
  <c r="CI23" i="48"/>
  <c r="CI23" i="49"/>
  <c r="CI23" i="45"/>
  <c r="CD33" i="54"/>
  <c r="BV33" i="54"/>
  <c r="BN33" i="54"/>
  <c r="BF33" i="54"/>
  <c r="AX33" i="54"/>
  <c r="AP33" i="54"/>
  <c r="AH33" i="54"/>
  <c r="Z33" i="54"/>
  <c r="BZ33" i="54"/>
  <c r="BP33" i="54"/>
  <c r="BD33" i="54"/>
  <c r="AT33" i="54"/>
  <c r="AJ33" i="54"/>
  <c r="X33" i="54"/>
  <c r="P33" i="54"/>
  <c r="H33" i="54"/>
  <c r="BX33" i="54"/>
  <c r="BJ33" i="54"/>
  <c r="AV33" i="54"/>
  <c r="AF33" i="54"/>
  <c r="T33" i="54"/>
  <c r="J33" i="54"/>
  <c r="CB33" i="54"/>
  <c r="BH33" i="54"/>
  <c r="AN33" i="54"/>
  <c r="V33" i="54"/>
  <c r="BT33" i="54"/>
  <c r="BB33" i="54"/>
  <c r="AL33" i="54"/>
  <c r="R33" i="54"/>
  <c r="BL33" i="54"/>
  <c r="AB33" i="54"/>
  <c r="AR33" i="54"/>
  <c r="CF33" i="54"/>
  <c r="AD33" i="54"/>
  <c r="BR33" i="54"/>
  <c r="N33" i="54"/>
  <c r="BZ33" i="53"/>
  <c r="BR33" i="53"/>
  <c r="BJ33" i="53"/>
  <c r="BB33" i="53"/>
  <c r="AT33" i="53"/>
  <c r="AL33" i="53"/>
  <c r="AD33" i="53"/>
  <c r="V33" i="53"/>
  <c r="N33" i="53"/>
  <c r="CF33" i="53"/>
  <c r="BX33" i="53"/>
  <c r="BP33" i="53"/>
  <c r="BH33" i="53"/>
  <c r="AZ33" i="53"/>
  <c r="AR33" i="53"/>
  <c r="AJ33" i="53"/>
  <c r="AB33" i="53"/>
  <c r="T33" i="53"/>
  <c r="L33" i="53"/>
  <c r="AZ33" i="54"/>
  <c r="CD33" i="53"/>
  <c r="BV33" i="53"/>
  <c r="BN33" i="53"/>
  <c r="BF33" i="53"/>
  <c r="AX33" i="53"/>
  <c r="AP33" i="53"/>
  <c r="AH33" i="53"/>
  <c r="Z33" i="53"/>
  <c r="R33" i="53"/>
  <c r="J33" i="53"/>
  <c r="CB33" i="53"/>
  <c r="AV33" i="53"/>
  <c r="P33" i="53"/>
  <c r="BZ33" i="52"/>
  <c r="BR33" i="52"/>
  <c r="BJ33" i="52"/>
  <c r="BB33" i="52"/>
  <c r="AT33" i="52"/>
  <c r="AL33" i="52"/>
  <c r="AD33" i="52"/>
  <c r="V33" i="52"/>
  <c r="N33" i="52"/>
  <c r="CB33" i="51"/>
  <c r="BT33" i="51"/>
  <c r="BL33" i="51"/>
  <c r="BD33" i="51"/>
  <c r="AV33" i="51"/>
  <c r="AN33" i="51"/>
  <c r="AF33" i="51"/>
  <c r="BT33" i="53"/>
  <c r="AN33" i="53"/>
  <c r="H33" i="53"/>
  <c r="CF33" i="52"/>
  <c r="BX33" i="52"/>
  <c r="BP33" i="52"/>
  <c r="BH33" i="52"/>
  <c r="AZ33" i="52"/>
  <c r="AR33" i="52"/>
  <c r="AJ33" i="52"/>
  <c r="AB33" i="52"/>
  <c r="T33" i="52"/>
  <c r="L33" i="52"/>
  <c r="BZ33" i="51"/>
  <c r="BR33" i="51"/>
  <c r="BJ33" i="51"/>
  <c r="BB33" i="51"/>
  <c r="AT33" i="51"/>
  <c r="AL33" i="51"/>
  <c r="AD33" i="51"/>
  <c r="V33" i="51"/>
  <c r="N33" i="51"/>
  <c r="L33" i="54"/>
  <c r="BL33" i="53"/>
  <c r="AF33" i="53"/>
  <c r="CD33" i="52"/>
  <c r="BV33" i="52"/>
  <c r="BN33" i="52"/>
  <c r="BF33" i="52"/>
  <c r="AX33" i="52"/>
  <c r="AP33" i="52"/>
  <c r="AH33" i="52"/>
  <c r="Z33" i="52"/>
  <c r="R33" i="52"/>
  <c r="J33" i="52"/>
  <c r="BL33" i="52"/>
  <c r="AF33" i="52"/>
  <c r="CF33" i="51"/>
  <c r="BP33" i="51"/>
  <c r="AZ33" i="51"/>
  <c r="AJ33" i="51"/>
  <c r="X33" i="51"/>
  <c r="L33" i="51"/>
  <c r="CD33" i="50"/>
  <c r="BV33" i="50"/>
  <c r="BN33" i="50"/>
  <c r="BF33" i="50"/>
  <c r="AX33" i="50"/>
  <c r="AP33" i="50"/>
  <c r="AH33" i="50"/>
  <c r="Z33" i="50"/>
  <c r="R33" i="50"/>
  <c r="J33" i="50"/>
  <c r="BD33" i="53"/>
  <c r="BD33" i="52"/>
  <c r="X33" i="52"/>
  <c r="CD33" i="51"/>
  <c r="BN33" i="51"/>
  <c r="AX33" i="51"/>
  <c r="AH33" i="51"/>
  <c r="T33" i="51"/>
  <c r="J33" i="51"/>
  <c r="CB33" i="50"/>
  <c r="BT33" i="50"/>
  <c r="BL33" i="50"/>
  <c r="BD33" i="50"/>
  <c r="AV33" i="50"/>
  <c r="AN33" i="50"/>
  <c r="AF33" i="50"/>
  <c r="X33" i="50"/>
  <c r="P33" i="50"/>
  <c r="H33" i="50"/>
  <c r="AV33" i="52"/>
  <c r="BF33" i="51"/>
  <c r="Z33" i="51"/>
  <c r="BX33" i="50"/>
  <c r="BH33" i="50"/>
  <c r="AR33" i="50"/>
  <c r="AB33" i="50"/>
  <c r="L33" i="50"/>
  <c r="AN33" i="52"/>
  <c r="BX33" i="51"/>
  <c r="AR33" i="51"/>
  <c r="R33" i="51"/>
  <c r="CB33" i="52"/>
  <c r="P33" i="52"/>
  <c r="BV33" i="51"/>
  <c r="AP33" i="51"/>
  <c r="P33" i="51"/>
  <c r="CF33" i="50"/>
  <c r="BP33" i="50"/>
  <c r="AZ33" i="50"/>
  <c r="AJ33" i="50"/>
  <c r="T33" i="50"/>
  <c r="CD33" i="49"/>
  <c r="X33" i="53"/>
  <c r="BT33" i="52"/>
  <c r="BH33" i="51"/>
  <c r="BB33" i="50"/>
  <c r="V33" i="50"/>
  <c r="BZ33" i="49"/>
  <c r="BR33" i="49"/>
  <c r="BJ33" i="49"/>
  <c r="BB33" i="49"/>
  <c r="AT33" i="49"/>
  <c r="AL33" i="49"/>
  <c r="AD33" i="49"/>
  <c r="V33" i="49"/>
  <c r="N33" i="49"/>
  <c r="CD33" i="48"/>
  <c r="BV33" i="48"/>
  <c r="BN33" i="48"/>
  <c r="BF33" i="48"/>
  <c r="AX33" i="48"/>
  <c r="AP33" i="48"/>
  <c r="AH33" i="48"/>
  <c r="Z33" i="48"/>
  <c r="R33" i="48"/>
  <c r="J33" i="48"/>
  <c r="CF33" i="47"/>
  <c r="BX33" i="47"/>
  <c r="BP33" i="47"/>
  <c r="BH33" i="47"/>
  <c r="AZ33" i="47"/>
  <c r="AR33" i="47"/>
  <c r="AJ33" i="47"/>
  <c r="AB33" i="47"/>
  <c r="T33" i="47"/>
  <c r="L33" i="47"/>
  <c r="H33" i="52"/>
  <c r="AB33" i="51"/>
  <c r="BZ33" i="50"/>
  <c r="AT33" i="50"/>
  <c r="N33" i="50"/>
  <c r="BX33" i="49"/>
  <c r="BP33" i="49"/>
  <c r="BH33" i="49"/>
  <c r="AZ33" i="49"/>
  <c r="AR33" i="49"/>
  <c r="AJ33" i="49"/>
  <c r="AB33" i="49"/>
  <c r="T33" i="49"/>
  <c r="L33" i="49"/>
  <c r="CB33" i="48"/>
  <c r="BT33" i="48"/>
  <c r="BL33" i="48"/>
  <c r="BD33" i="48"/>
  <c r="AV33" i="48"/>
  <c r="AN33" i="48"/>
  <c r="AF33" i="48"/>
  <c r="X33" i="48"/>
  <c r="P33" i="48"/>
  <c r="H33" i="48"/>
  <c r="CD33" i="47"/>
  <c r="BV33" i="47"/>
  <c r="BN33" i="47"/>
  <c r="BF33" i="47"/>
  <c r="AX33" i="47"/>
  <c r="AP33" i="47"/>
  <c r="AH33" i="47"/>
  <c r="Z33" i="47"/>
  <c r="R33" i="47"/>
  <c r="J33" i="47"/>
  <c r="H33" i="51"/>
  <c r="BR33" i="50"/>
  <c r="AL33" i="50"/>
  <c r="CF33" i="49"/>
  <c r="BV33" i="49"/>
  <c r="BN33" i="49"/>
  <c r="BF33" i="49"/>
  <c r="AX33" i="49"/>
  <c r="AP33" i="49"/>
  <c r="AH33" i="49"/>
  <c r="Z33" i="49"/>
  <c r="R33" i="49"/>
  <c r="J33" i="49"/>
  <c r="BJ33" i="50"/>
  <c r="AD33" i="50"/>
  <c r="CB33" i="49"/>
  <c r="BT33" i="49"/>
  <c r="BL33" i="49"/>
  <c r="AV33" i="49"/>
  <c r="P33" i="49"/>
  <c r="BX33" i="48"/>
  <c r="BH33" i="48"/>
  <c r="AR33" i="48"/>
  <c r="AB33" i="48"/>
  <c r="L33" i="48"/>
  <c r="BR33" i="47"/>
  <c r="BB33" i="47"/>
  <c r="AL33" i="47"/>
  <c r="V33" i="47"/>
  <c r="CF33" i="46"/>
  <c r="BX33" i="46"/>
  <c r="BP33" i="46"/>
  <c r="BH33" i="46"/>
  <c r="AZ33" i="46"/>
  <c r="AR33" i="46"/>
  <c r="AJ33" i="46"/>
  <c r="AB33" i="46"/>
  <c r="T33" i="46"/>
  <c r="L33" i="46"/>
  <c r="CF33" i="45"/>
  <c r="BX33" i="45"/>
  <c r="BP33" i="45"/>
  <c r="BH33" i="45"/>
  <c r="AZ33" i="45"/>
  <c r="AR33" i="45"/>
  <c r="AJ33" i="45"/>
  <c r="AB33" i="45"/>
  <c r="T33" i="45"/>
  <c r="L33" i="45"/>
  <c r="AN33" i="49"/>
  <c r="H33" i="49"/>
  <c r="BR33" i="48"/>
  <c r="BB33" i="48"/>
  <c r="AL33" i="48"/>
  <c r="V33" i="48"/>
  <c r="CB33" i="47"/>
  <c r="BL33" i="47"/>
  <c r="AV33" i="47"/>
  <c r="AF33" i="47"/>
  <c r="P33" i="47"/>
  <c r="CD33" i="46"/>
  <c r="BV33" i="46"/>
  <c r="BN33" i="46"/>
  <c r="BF33" i="46"/>
  <c r="AX33" i="46"/>
  <c r="AP33" i="46"/>
  <c r="AH33" i="46"/>
  <c r="Z33" i="46"/>
  <c r="R33" i="46"/>
  <c r="J33" i="46"/>
  <c r="CD33" i="45"/>
  <c r="BV33" i="45"/>
  <c r="BN33" i="45"/>
  <c r="BF33" i="45"/>
  <c r="AX33" i="45"/>
  <c r="AP33" i="45"/>
  <c r="AH33" i="45"/>
  <c r="Z33" i="45"/>
  <c r="R33" i="45"/>
  <c r="J33" i="45"/>
  <c r="AF33" i="49"/>
  <c r="CF33" i="48"/>
  <c r="BP33" i="48"/>
  <c r="AZ33" i="48"/>
  <c r="AJ33" i="48"/>
  <c r="T33" i="48"/>
  <c r="BZ33" i="47"/>
  <c r="BJ33" i="47"/>
  <c r="AT33" i="47"/>
  <c r="AD33" i="47"/>
  <c r="N33" i="47"/>
  <c r="CB33" i="46"/>
  <c r="BT33" i="46"/>
  <c r="BL33" i="46"/>
  <c r="BD33" i="46"/>
  <c r="AV33" i="46"/>
  <c r="AN33" i="46"/>
  <c r="AF33" i="46"/>
  <c r="X33" i="46"/>
  <c r="P33" i="46"/>
  <c r="H33" i="46"/>
  <c r="CB33" i="45"/>
  <c r="BT33" i="45"/>
  <c r="BL33" i="45"/>
  <c r="BD33" i="45"/>
  <c r="AV33" i="45"/>
  <c r="AN33" i="45"/>
  <c r="AF33" i="45"/>
  <c r="X33" i="45"/>
  <c r="P33" i="45"/>
  <c r="H33" i="45"/>
  <c r="X33" i="49"/>
  <c r="AT33" i="48"/>
  <c r="X33" i="47"/>
  <c r="BB33" i="46"/>
  <c r="V33" i="46"/>
  <c r="BJ33" i="45"/>
  <c r="AD33" i="45"/>
  <c r="AD33" i="48"/>
  <c r="BT33" i="47"/>
  <c r="H33" i="47"/>
  <c r="BZ33" i="46"/>
  <c r="AT33" i="46"/>
  <c r="N33" i="46"/>
  <c r="BB33" i="45"/>
  <c r="V33" i="45"/>
  <c r="CD33" i="44"/>
  <c r="BZ33" i="44"/>
  <c r="BV33" i="44"/>
  <c r="BR33" i="44"/>
  <c r="BZ33" i="48"/>
  <c r="N33" i="48"/>
  <c r="BD33" i="47"/>
  <c r="BR33" i="46"/>
  <c r="AL33" i="46"/>
  <c r="BZ33" i="45"/>
  <c r="AT33" i="45"/>
  <c r="N33" i="45"/>
  <c r="BD33" i="49"/>
  <c r="BJ33" i="48"/>
  <c r="AN33" i="47"/>
  <c r="BJ33" i="46"/>
  <c r="AD33" i="46"/>
  <c r="BR33" i="45"/>
  <c r="AL33" i="45"/>
  <c r="CF33" i="44"/>
  <c r="BX33" i="44"/>
  <c r="BP33" i="44"/>
  <c r="BN33" i="44"/>
  <c r="BJ33" i="44"/>
  <c r="BF33" i="44"/>
  <c r="BB33" i="44"/>
  <c r="AX33" i="44"/>
  <c r="AT33" i="44"/>
  <c r="AP33" i="44"/>
  <c r="AL33" i="44"/>
  <c r="AH33" i="44"/>
  <c r="AD33" i="44"/>
  <c r="Z33" i="44"/>
  <c r="V33" i="44"/>
  <c r="R33" i="44"/>
  <c r="N33" i="44"/>
  <c r="J33" i="44"/>
  <c r="CB33" i="44"/>
  <c r="BT33" i="44"/>
  <c r="BL33" i="44"/>
  <c r="BH33" i="44"/>
  <c r="BD33" i="44"/>
  <c r="AZ33" i="44"/>
  <c r="AV33" i="44"/>
  <c r="AR33" i="44"/>
  <c r="AN33" i="44"/>
  <c r="AJ33" i="44"/>
  <c r="AF33" i="44"/>
  <c r="AB33" i="44"/>
  <c r="X33" i="44"/>
  <c r="T33" i="44"/>
  <c r="P33" i="44"/>
  <c r="L33" i="44"/>
  <c r="H33" i="44"/>
  <c r="F33" i="45"/>
  <c r="F33" i="54"/>
  <c r="F33" i="48"/>
  <c r="F33" i="49"/>
  <c r="F33" i="52"/>
  <c r="F33" i="51"/>
  <c r="F33" i="44"/>
  <c r="F33" i="47"/>
  <c r="F33" i="50"/>
  <c r="F33" i="46"/>
  <c r="F33" i="53"/>
  <c r="CI33" i="48"/>
  <c r="CI33" i="46"/>
  <c r="CI33" i="52"/>
  <c r="CI33" i="50"/>
  <c r="CI33" i="53"/>
  <c r="CI33" i="44"/>
  <c r="CI33" i="45"/>
  <c r="CI33" i="47"/>
  <c r="CI33" i="49"/>
  <c r="CI33" i="51"/>
  <c r="CI33" i="54"/>
  <c r="CJ17" i="53"/>
  <c r="CJ17" i="52"/>
  <c r="CJ17" i="46"/>
  <c r="CJ17" i="47"/>
  <c r="CJ17" i="45"/>
  <c r="CJ17" i="51"/>
  <c r="CJ17" i="50"/>
  <c r="CJ17" i="54"/>
  <c r="CJ17" i="48"/>
  <c r="CJ17" i="49"/>
  <c r="CJ26" i="50"/>
  <c r="CJ26" i="51"/>
  <c r="CJ26" i="53"/>
  <c r="CJ26" i="52"/>
  <c r="CJ26" i="45"/>
  <c r="CJ26" i="46"/>
  <c r="CJ26" i="47"/>
  <c r="CJ26" i="54"/>
  <c r="CJ26" i="49"/>
  <c r="CJ26" i="48"/>
  <c r="CJ34" i="52"/>
  <c r="CJ34" i="54"/>
  <c r="CJ34" i="48"/>
  <c r="CJ34" i="49"/>
  <c r="CJ34" i="46"/>
  <c r="CJ34" i="47"/>
  <c r="CJ34" i="50"/>
  <c r="CJ34" i="45"/>
  <c r="CJ34" i="51"/>
  <c r="CJ34" i="53"/>
  <c r="CK18" i="45"/>
  <c r="CK18" i="46"/>
  <c r="CK18" i="48"/>
  <c r="CK18" i="53"/>
  <c r="CK18" i="47"/>
  <c r="CK18" i="51"/>
  <c r="CK18" i="50"/>
  <c r="CK18" i="52"/>
  <c r="CK18" i="54"/>
  <c r="CK18" i="49"/>
  <c r="CK29" i="45"/>
  <c r="CK29" i="53"/>
  <c r="CK29" i="47"/>
  <c r="CK29" i="46"/>
  <c r="CK29" i="48"/>
  <c r="CK29" i="51"/>
  <c r="CK29" i="50"/>
  <c r="CK29" i="52"/>
  <c r="CK29" i="54"/>
  <c r="CK29" i="49"/>
  <c r="CL22" i="54"/>
  <c r="CL22" i="53"/>
  <c r="CL22" i="46"/>
  <c r="CL22" i="49"/>
  <c r="CL22" i="50"/>
  <c r="CL22" i="51"/>
  <c r="CL22" i="47"/>
  <c r="CL22" i="52"/>
  <c r="CL22" i="48"/>
  <c r="CL22" i="45"/>
  <c r="CL32" i="45"/>
  <c r="CL32" i="49"/>
  <c r="CL32" i="50"/>
  <c r="CL32" i="47"/>
  <c r="CL32" i="51"/>
  <c r="CL32" i="53"/>
  <c r="CL32" i="46"/>
  <c r="CL32" i="54"/>
  <c r="CL32" i="52"/>
  <c r="CL32" i="48"/>
  <c r="CJ20" i="50"/>
  <c r="CJ20" i="51"/>
  <c r="CJ20" i="54"/>
  <c r="CJ20" i="53"/>
  <c r="CJ20" i="52"/>
  <c r="CJ20" i="46"/>
  <c r="CJ20" i="47"/>
  <c r="CJ20" i="48"/>
  <c r="CJ20" i="45"/>
  <c r="CJ20" i="49"/>
  <c r="CK24" i="45"/>
  <c r="CK24" i="53"/>
  <c r="CK24" i="46"/>
  <c r="CK24" i="47"/>
  <c r="CK24" i="48"/>
  <c r="CK24" i="51"/>
  <c r="CK24" i="50"/>
  <c r="CK24" i="52"/>
  <c r="CK24" i="54"/>
  <c r="CK24" i="49"/>
  <c r="CK30" i="45"/>
  <c r="CK30" i="53"/>
  <c r="CK30" i="47"/>
  <c r="CK30" i="51"/>
  <c r="CK30" i="50"/>
  <c r="CK30" i="52"/>
  <c r="CK30" i="48"/>
  <c r="CK30" i="54"/>
  <c r="CK30" i="49"/>
  <c r="CK30" i="46"/>
  <c r="CK27" i="45"/>
  <c r="CK27" i="51"/>
  <c r="CK27" i="46"/>
  <c r="CK27" i="50"/>
  <c r="CK27" i="52"/>
  <c r="CK27" i="48"/>
  <c r="CK27" i="54"/>
  <c r="CK27" i="49"/>
  <c r="CK27" i="53"/>
  <c r="CK27" i="47"/>
  <c r="BS48" i="53"/>
  <c r="BS46" i="53"/>
  <c r="BC48" i="53"/>
  <c r="BC46" i="53"/>
  <c r="AM48" i="53"/>
  <c r="AM46" i="53"/>
  <c r="K48" i="53"/>
  <c r="K46" i="53"/>
  <c r="S48" i="53"/>
  <c r="S46" i="53"/>
  <c r="AQ48" i="53"/>
  <c r="AQ46" i="53"/>
  <c r="W48" i="53"/>
  <c r="W46" i="53"/>
  <c r="AS48" i="53"/>
  <c r="AS46" i="53"/>
  <c r="G48" i="53"/>
  <c r="G46" i="53"/>
  <c r="BE48" i="53"/>
  <c r="BE46" i="53"/>
  <c r="K48" i="47"/>
  <c r="K46" i="47"/>
  <c r="G48" i="47"/>
  <c r="G46" i="47"/>
  <c r="M48" i="47"/>
  <c r="M46" i="47"/>
  <c r="Y48" i="47"/>
  <c r="Y46" i="47"/>
  <c r="O48" i="47"/>
  <c r="O46" i="47"/>
  <c r="AK48" i="47"/>
  <c r="AK46" i="47"/>
  <c r="BG48" i="47"/>
  <c r="BG46" i="47"/>
  <c r="U48" i="47"/>
  <c r="U46" i="47"/>
  <c r="AM48" i="47"/>
  <c r="AM46" i="47"/>
  <c r="CE48" i="47"/>
  <c r="CE46" i="47"/>
  <c r="Q48" i="52"/>
  <c r="Q46" i="52"/>
  <c r="BO48" i="52"/>
  <c r="BO46" i="52"/>
  <c r="AK48" i="52"/>
  <c r="AK46" i="52"/>
  <c r="CE48" i="52"/>
  <c r="CE46" i="52"/>
  <c r="U48" i="52"/>
  <c r="U46" i="52"/>
  <c r="W48" i="52"/>
  <c r="W46" i="52"/>
  <c r="BW48" i="52"/>
  <c r="BW46" i="52"/>
  <c r="AC48" i="52"/>
  <c r="AC46" i="52"/>
  <c r="BI48" i="52"/>
  <c r="BI46" i="52"/>
  <c r="BU48" i="52"/>
  <c r="BU46" i="52"/>
  <c r="BW48" i="54"/>
  <c r="BW46" i="54"/>
  <c r="Q48" i="54"/>
  <c r="Q46" i="54"/>
  <c r="AA48" i="54"/>
  <c r="AA46" i="54"/>
  <c r="AS48" i="54"/>
  <c r="AS46" i="54"/>
  <c r="BG48" i="54"/>
  <c r="BG46" i="54"/>
  <c r="CA48" i="54"/>
  <c r="CA46" i="54"/>
  <c r="BI48" i="54"/>
  <c r="BI46" i="54"/>
  <c r="CE48" i="54"/>
  <c r="CE46" i="54"/>
  <c r="CG48" i="54"/>
  <c r="CG46" i="54"/>
  <c r="BO48" i="54"/>
  <c r="BO46" i="54"/>
  <c r="AW48" i="46"/>
  <c r="AW46" i="46"/>
  <c r="Q48" i="46"/>
  <c r="Q46" i="46"/>
  <c r="K48" i="46"/>
  <c r="K46" i="46"/>
  <c r="AK48" i="46"/>
  <c r="AK46" i="46"/>
  <c r="BK48" i="46"/>
  <c r="BK46" i="46"/>
  <c r="AY48" i="46"/>
  <c r="AY46" i="46"/>
  <c r="CC48" i="46"/>
  <c r="CC46" i="46"/>
  <c r="AQ48" i="46"/>
  <c r="AQ46" i="46"/>
  <c r="S48" i="46"/>
  <c r="S46" i="46"/>
  <c r="CG48" i="46"/>
  <c r="CG46" i="46"/>
  <c r="BE48" i="48"/>
  <c r="BE46" i="48"/>
  <c r="BI48" i="48"/>
  <c r="BI46" i="48"/>
  <c r="K48" i="48"/>
  <c r="K46" i="48"/>
  <c r="Y48" i="48"/>
  <c r="Y46" i="48"/>
  <c r="W48" i="48"/>
  <c r="W46" i="48"/>
  <c r="BM48" i="48"/>
  <c r="BM46" i="48"/>
  <c r="CC48" i="48"/>
  <c r="CC46" i="48"/>
  <c r="AS48" i="48"/>
  <c r="AS46" i="48"/>
  <c r="BU48" i="48"/>
  <c r="BU46" i="48"/>
  <c r="BK48" i="48"/>
  <c r="BK46" i="48"/>
  <c r="BM48" i="50"/>
  <c r="BM46" i="50"/>
  <c r="S48" i="50"/>
  <c r="S46" i="50"/>
  <c r="U48" i="50"/>
  <c r="U46" i="50"/>
  <c r="BA48" i="50"/>
  <c r="BA46" i="50"/>
  <c r="AA48" i="50"/>
  <c r="AA46" i="50"/>
  <c r="AW48" i="50"/>
  <c r="AW46" i="50"/>
  <c r="BU48" i="50"/>
  <c r="BU46" i="50"/>
  <c r="CC48" i="50"/>
  <c r="CC46" i="50"/>
  <c r="BW48" i="50"/>
  <c r="BW46" i="50"/>
  <c r="AM48" i="50"/>
  <c r="AM46" i="50"/>
  <c r="AO48" i="51"/>
  <c r="AO46" i="51"/>
  <c r="AM48" i="51"/>
  <c r="AM46" i="51"/>
  <c r="U48" i="51"/>
  <c r="U46" i="51"/>
  <c r="BG48" i="51"/>
  <c r="BG46" i="51"/>
  <c r="BQ48" i="51"/>
  <c r="BQ46" i="51"/>
  <c r="AW48" i="51"/>
  <c r="AW46" i="51"/>
  <c r="CA48" i="51"/>
  <c r="CA46" i="51"/>
  <c r="BA48" i="51"/>
  <c r="BA46" i="51"/>
  <c r="AE48" i="51"/>
  <c r="AE46" i="51"/>
  <c r="BW48" i="51"/>
  <c r="BW46" i="51"/>
  <c r="CG48" i="49"/>
  <c r="CG46" i="49"/>
  <c r="BI48" i="49"/>
  <c r="BI46" i="49"/>
  <c r="I48" i="49"/>
  <c r="I46" i="49"/>
  <c r="BA48" i="49"/>
  <c r="BA46" i="49"/>
  <c r="BY48" i="49"/>
  <c r="BY46" i="49"/>
  <c r="BG48" i="49"/>
  <c r="BG46" i="49"/>
  <c r="AU48" i="49"/>
  <c r="AU46" i="49"/>
  <c r="G48" i="49"/>
  <c r="G46" i="49"/>
  <c r="CE48" i="49"/>
  <c r="CE46" i="49"/>
  <c r="S48" i="49"/>
  <c r="S46" i="49"/>
  <c r="BZ17" i="54"/>
  <c r="BR17" i="54"/>
  <c r="BX17" i="54"/>
  <c r="BN17" i="54"/>
  <c r="BF17" i="54"/>
  <c r="AX17" i="54"/>
  <c r="AP17" i="54"/>
  <c r="AH17" i="54"/>
  <c r="Z17" i="54"/>
  <c r="R17" i="54"/>
  <c r="J17" i="54"/>
  <c r="CF17" i="54"/>
  <c r="BV17" i="54"/>
  <c r="BL17" i="54"/>
  <c r="BD17" i="54"/>
  <c r="AV17" i="54"/>
  <c r="AN17" i="54"/>
  <c r="AF17" i="54"/>
  <c r="X17" i="54"/>
  <c r="P17" i="54"/>
  <c r="H17" i="54"/>
  <c r="CB17" i="54"/>
  <c r="BH17" i="54"/>
  <c r="AR17" i="54"/>
  <c r="AB17" i="54"/>
  <c r="L17" i="54"/>
  <c r="BP17" i="54"/>
  <c r="AT17" i="54"/>
  <c r="V17" i="54"/>
  <c r="BJ17" i="54"/>
  <c r="AL17" i="54"/>
  <c r="T17" i="54"/>
  <c r="CD17" i="54"/>
  <c r="BB17" i="54"/>
  <c r="AJ17" i="54"/>
  <c r="N17" i="54"/>
  <c r="CF17" i="53"/>
  <c r="BX17" i="53"/>
  <c r="BP17" i="53"/>
  <c r="BH17" i="53"/>
  <c r="AZ17" i="53"/>
  <c r="AR17" i="53"/>
  <c r="AJ17" i="53"/>
  <c r="AB17" i="53"/>
  <c r="T17" i="53"/>
  <c r="L17" i="53"/>
  <c r="BT17" i="54"/>
  <c r="CD17" i="53"/>
  <c r="BV17" i="53"/>
  <c r="BN17" i="53"/>
  <c r="BF17" i="53"/>
  <c r="AX17" i="53"/>
  <c r="AP17" i="53"/>
  <c r="AH17" i="53"/>
  <c r="Z17" i="53"/>
  <c r="R17" i="53"/>
  <c r="J17" i="53"/>
  <c r="AZ17" i="54"/>
  <c r="CB17" i="53"/>
  <c r="BT17" i="53"/>
  <c r="BL17" i="53"/>
  <c r="BD17" i="53"/>
  <c r="AV17" i="53"/>
  <c r="AN17" i="53"/>
  <c r="AF17" i="53"/>
  <c r="X17" i="53"/>
  <c r="P17" i="53"/>
  <c r="H17" i="53"/>
  <c r="BB17" i="53"/>
  <c r="V17" i="53"/>
  <c r="CF17" i="52"/>
  <c r="BX17" i="52"/>
  <c r="BP17" i="52"/>
  <c r="BH17" i="52"/>
  <c r="AZ17" i="52"/>
  <c r="AR17" i="52"/>
  <c r="AJ17" i="52"/>
  <c r="AB17" i="52"/>
  <c r="T17" i="52"/>
  <c r="L17" i="52"/>
  <c r="AD17" i="54"/>
  <c r="BZ17" i="53"/>
  <c r="AT17" i="53"/>
  <c r="N17" i="53"/>
  <c r="CD17" i="52"/>
  <c r="BV17" i="52"/>
  <c r="BN17" i="52"/>
  <c r="BF17" i="52"/>
  <c r="AX17" i="52"/>
  <c r="AP17" i="52"/>
  <c r="AH17" i="52"/>
  <c r="Z17" i="52"/>
  <c r="R17" i="52"/>
  <c r="J17" i="52"/>
  <c r="BR17" i="53"/>
  <c r="AL17" i="53"/>
  <c r="CB17" i="52"/>
  <c r="BT17" i="52"/>
  <c r="BL17" i="52"/>
  <c r="BD17" i="52"/>
  <c r="AV17" i="52"/>
  <c r="AN17" i="52"/>
  <c r="AF17" i="52"/>
  <c r="X17" i="52"/>
  <c r="P17" i="52"/>
  <c r="H17" i="52"/>
  <c r="BR17" i="52"/>
  <c r="AL17" i="52"/>
  <c r="CB17" i="51"/>
  <c r="BT17" i="51"/>
  <c r="BL17" i="51"/>
  <c r="BD17" i="51"/>
  <c r="AV17" i="51"/>
  <c r="AN17" i="51"/>
  <c r="AF17" i="51"/>
  <c r="X17" i="51"/>
  <c r="P17" i="51"/>
  <c r="H17" i="51"/>
  <c r="BJ17" i="53"/>
  <c r="BJ17" i="52"/>
  <c r="AD17" i="52"/>
  <c r="BZ17" i="51"/>
  <c r="BR17" i="51"/>
  <c r="BJ17" i="51"/>
  <c r="BB17" i="51"/>
  <c r="AT17" i="51"/>
  <c r="AL17" i="51"/>
  <c r="AD17" i="51"/>
  <c r="V17" i="51"/>
  <c r="N17" i="51"/>
  <c r="BB17" i="52"/>
  <c r="BV17" i="51"/>
  <c r="BF17" i="51"/>
  <c r="AP17" i="51"/>
  <c r="Z17" i="51"/>
  <c r="J17" i="51"/>
  <c r="BZ17" i="50"/>
  <c r="BR17" i="50"/>
  <c r="BJ17" i="50"/>
  <c r="BB17" i="50"/>
  <c r="AT17" i="50"/>
  <c r="AL17" i="50"/>
  <c r="AD17" i="50"/>
  <c r="V17" i="50"/>
  <c r="N17" i="50"/>
  <c r="AD17" i="53"/>
  <c r="AT17" i="52"/>
  <c r="V17" i="52"/>
  <c r="CD17" i="51"/>
  <c r="BN17" i="51"/>
  <c r="AX17" i="51"/>
  <c r="AH17" i="51"/>
  <c r="R17" i="51"/>
  <c r="CD17" i="50"/>
  <c r="BV17" i="50"/>
  <c r="BN17" i="50"/>
  <c r="BF17" i="50"/>
  <c r="AX17" i="50"/>
  <c r="AP17" i="50"/>
  <c r="AH17" i="50"/>
  <c r="Z17" i="50"/>
  <c r="R17" i="50"/>
  <c r="J17" i="50"/>
  <c r="BX17" i="51"/>
  <c r="AR17" i="51"/>
  <c r="L17" i="51"/>
  <c r="BX17" i="50"/>
  <c r="BH17" i="50"/>
  <c r="AR17" i="50"/>
  <c r="AB17" i="50"/>
  <c r="L17" i="50"/>
  <c r="CF17" i="49"/>
  <c r="BX17" i="49"/>
  <c r="BP17" i="49"/>
  <c r="BH17" i="49"/>
  <c r="AZ17" i="49"/>
  <c r="AR17" i="49"/>
  <c r="AJ17" i="49"/>
  <c r="AB17" i="49"/>
  <c r="T17" i="49"/>
  <c r="L17" i="49"/>
  <c r="CB17" i="48"/>
  <c r="BT17" i="48"/>
  <c r="BL17" i="48"/>
  <c r="BD17" i="48"/>
  <c r="AV17" i="48"/>
  <c r="AN17" i="48"/>
  <c r="AF17" i="48"/>
  <c r="X17" i="48"/>
  <c r="P17" i="48"/>
  <c r="H17" i="48"/>
  <c r="BP17" i="51"/>
  <c r="AJ17" i="51"/>
  <c r="BT17" i="50"/>
  <c r="BD17" i="50"/>
  <c r="AN17" i="50"/>
  <c r="X17" i="50"/>
  <c r="H17" i="50"/>
  <c r="CD17" i="49"/>
  <c r="BV17" i="49"/>
  <c r="BN17" i="49"/>
  <c r="BF17" i="49"/>
  <c r="AX17" i="49"/>
  <c r="AP17" i="49"/>
  <c r="AH17" i="49"/>
  <c r="Z17" i="49"/>
  <c r="R17" i="49"/>
  <c r="J17" i="49"/>
  <c r="BZ17" i="48"/>
  <c r="BR17" i="48"/>
  <c r="BJ17" i="48"/>
  <c r="BB17" i="48"/>
  <c r="AT17" i="48"/>
  <c r="AL17" i="48"/>
  <c r="AD17" i="48"/>
  <c r="V17" i="48"/>
  <c r="N17" i="48"/>
  <c r="BZ17" i="52"/>
  <c r="BH17" i="51"/>
  <c r="AB17" i="51"/>
  <c r="CF17" i="50"/>
  <c r="BP17" i="50"/>
  <c r="AZ17" i="50"/>
  <c r="AJ17" i="50"/>
  <c r="T17" i="50"/>
  <c r="CB17" i="49"/>
  <c r="BT17" i="49"/>
  <c r="BL17" i="49"/>
  <c r="BD17" i="49"/>
  <c r="AV17" i="49"/>
  <c r="AN17" i="49"/>
  <c r="AF17" i="49"/>
  <c r="X17" i="49"/>
  <c r="P17" i="49"/>
  <c r="H17" i="49"/>
  <c r="N17" i="52"/>
  <c r="CF17" i="51"/>
  <c r="AZ17" i="51"/>
  <c r="T17" i="51"/>
  <c r="CB17" i="50"/>
  <c r="BL17" i="50"/>
  <c r="AV17" i="50"/>
  <c r="AF17" i="50"/>
  <c r="P17" i="50"/>
  <c r="BB17" i="49"/>
  <c r="V17" i="49"/>
  <c r="CD17" i="48"/>
  <c r="BN17" i="48"/>
  <c r="AX17" i="48"/>
  <c r="AH17" i="48"/>
  <c r="R17" i="48"/>
  <c r="BZ17" i="47"/>
  <c r="BR17" i="47"/>
  <c r="BJ17" i="47"/>
  <c r="BB17" i="47"/>
  <c r="AT17" i="47"/>
  <c r="AL17" i="47"/>
  <c r="AD17" i="47"/>
  <c r="V17" i="47"/>
  <c r="N17" i="47"/>
  <c r="CD17" i="46"/>
  <c r="BV17" i="46"/>
  <c r="BN17" i="46"/>
  <c r="BF17" i="46"/>
  <c r="AX17" i="46"/>
  <c r="AP17" i="46"/>
  <c r="AH17" i="46"/>
  <c r="Z17" i="46"/>
  <c r="R17" i="46"/>
  <c r="J17" i="46"/>
  <c r="BZ17" i="49"/>
  <c r="AT17" i="49"/>
  <c r="N17" i="49"/>
  <c r="BX17" i="48"/>
  <c r="BH17" i="48"/>
  <c r="AR17" i="48"/>
  <c r="AB17" i="48"/>
  <c r="L17" i="48"/>
  <c r="CF17" i="47"/>
  <c r="BX17" i="47"/>
  <c r="BP17" i="47"/>
  <c r="BH17" i="47"/>
  <c r="AZ17" i="47"/>
  <c r="AR17" i="47"/>
  <c r="AJ17" i="47"/>
  <c r="AB17" i="47"/>
  <c r="T17" i="47"/>
  <c r="L17" i="47"/>
  <c r="CB17" i="46"/>
  <c r="BT17" i="46"/>
  <c r="BL17" i="46"/>
  <c r="BD17" i="46"/>
  <c r="AV17" i="46"/>
  <c r="AN17" i="46"/>
  <c r="AF17" i="46"/>
  <c r="X17" i="46"/>
  <c r="P17" i="46"/>
  <c r="H17" i="46"/>
  <c r="BR17" i="49"/>
  <c r="AL17" i="49"/>
  <c r="BV17" i="48"/>
  <c r="BF17" i="48"/>
  <c r="AP17" i="48"/>
  <c r="Z17" i="48"/>
  <c r="J17" i="48"/>
  <c r="CD17" i="47"/>
  <c r="BV17" i="47"/>
  <c r="BN17" i="47"/>
  <c r="BF17" i="47"/>
  <c r="AX17" i="47"/>
  <c r="AP17" i="47"/>
  <c r="AH17" i="47"/>
  <c r="Z17" i="47"/>
  <c r="R17" i="47"/>
  <c r="J17" i="47"/>
  <c r="BZ17" i="46"/>
  <c r="BR17" i="46"/>
  <c r="BJ17" i="46"/>
  <c r="BB17" i="46"/>
  <c r="AT17" i="46"/>
  <c r="AL17" i="46"/>
  <c r="AD17" i="46"/>
  <c r="V17" i="46"/>
  <c r="N17" i="46"/>
  <c r="AD17" i="49"/>
  <c r="AZ17" i="48"/>
  <c r="BL17" i="47"/>
  <c r="AF17" i="47"/>
  <c r="BH17" i="46"/>
  <c r="AB17" i="46"/>
  <c r="BZ17" i="45"/>
  <c r="BR17" i="45"/>
  <c r="BJ17" i="45"/>
  <c r="BB17" i="45"/>
  <c r="AT17" i="45"/>
  <c r="AL17" i="45"/>
  <c r="AD17" i="45"/>
  <c r="V17" i="45"/>
  <c r="N17" i="45"/>
  <c r="CD17" i="44"/>
  <c r="BZ17" i="44"/>
  <c r="BV17" i="44"/>
  <c r="BR17" i="44"/>
  <c r="AJ17" i="48"/>
  <c r="BD17" i="47"/>
  <c r="X17" i="47"/>
  <c r="CF17" i="46"/>
  <c r="AZ17" i="46"/>
  <c r="T17" i="46"/>
  <c r="CF17" i="45"/>
  <c r="BX17" i="45"/>
  <c r="BP17" i="45"/>
  <c r="BH17" i="45"/>
  <c r="AZ17" i="45"/>
  <c r="AR17" i="45"/>
  <c r="AJ17" i="45"/>
  <c r="AB17" i="45"/>
  <c r="T17" i="45"/>
  <c r="L17" i="45"/>
  <c r="CF17" i="48"/>
  <c r="T17" i="48"/>
  <c r="CB17" i="47"/>
  <c r="AV17" i="47"/>
  <c r="P17" i="47"/>
  <c r="BX17" i="46"/>
  <c r="AR17" i="46"/>
  <c r="L17" i="46"/>
  <c r="CD17" i="45"/>
  <c r="BV17" i="45"/>
  <c r="BN17" i="45"/>
  <c r="BF17" i="45"/>
  <c r="AX17" i="45"/>
  <c r="AP17" i="45"/>
  <c r="AH17" i="45"/>
  <c r="Z17" i="45"/>
  <c r="R17" i="45"/>
  <c r="J17" i="45"/>
  <c r="CF17" i="44"/>
  <c r="CB17" i="44"/>
  <c r="BX17" i="44"/>
  <c r="BT17" i="44"/>
  <c r="BP17" i="44"/>
  <c r="BJ17" i="49"/>
  <c r="BP17" i="48"/>
  <c r="BT17" i="47"/>
  <c r="AN17" i="47"/>
  <c r="H17" i="47"/>
  <c r="BP17" i="46"/>
  <c r="AJ17" i="46"/>
  <c r="CB17" i="45"/>
  <c r="BT17" i="45"/>
  <c r="BL17" i="45"/>
  <c r="BD17" i="45"/>
  <c r="AV17" i="45"/>
  <c r="AN17" i="45"/>
  <c r="AF17" i="45"/>
  <c r="X17" i="45"/>
  <c r="P17" i="45"/>
  <c r="H17" i="45"/>
  <c r="AJ17" i="44"/>
  <c r="AF17" i="44"/>
  <c r="P17" i="44"/>
  <c r="H17" i="44"/>
  <c r="BH17" i="44"/>
  <c r="BD17" i="44"/>
  <c r="AZ17" i="44"/>
  <c r="AR17" i="44"/>
  <c r="AN17" i="44"/>
  <c r="AB17" i="44"/>
  <c r="X17" i="44"/>
  <c r="T17" i="44"/>
  <c r="BN17" i="44"/>
  <c r="BJ17" i="44"/>
  <c r="BF17" i="44"/>
  <c r="BB17" i="44"/>
  <c r="AX17" i="44"/>
  <c r="AT17" i="44"/>
  <c r="AP17" i="44"/>
  <c r="AL17" i="44"/>
  <c r="AH17" i="44"/>
  <c r="AD17" i="44"/>
  <c r="Z17" i="44"/>
  <c r="V17" i="44"/>
  <c r="R17" i="44"/>
  <c r="N17" i="44"/>
  <c r="J17" i="44"/>
  <c r="BL17" i="44"/>
  <c r="AV17" i="44"/>
  <c r="L17" i="44"/>
  <c r="F17" i="54"/>
  <c r="F17" i="48"/>
  <c r="F17" i="45"/>
  <c r="F17" i="49"/>
  <c r="F17" i="52"/>
  <c r="F17" i="51"/>
  <c r="F17" i="44"/>
  <c r="F17" i="53"/>
  <c r="F17" i="50"/>
  <c r="F17" i="46"/>
  <c r="F17" i="47"/>
  <c r="CI17" i="47"/>
  <c r="CI17" i="48"/>
  <c r="CI17" i="54"/>
  <c r="CI17" i="49"/>
  <c r="CI17" i="51"/>
  <c r="CI17" i="45"/>
  <c r="CI17" i="46"/>
  <c r="CI17" i="50"/>
  <c r="CI17" i="52"/>
  <c r="CI17" i="53"/>
  <c r="CI17" i="44"/>
  <c r="CB26" i="54"/>
  <c r="BT26" i="54"/>
  <c r="BL26" i="54"/>
  <c r="BD26" i="54"/>
  <c r="AV26" i="54"/>
  <c r="AN26" i="54"/>
  <c r="AF26" i="54"/>
  <c r="X26" i="54"/>
  <c r="P26" i="54"/>
  <c r="H26" i="54"/>
  <c r="CD26" i="54"/>
  <c r="BR26" i="54"/>
  <c r="BH26" i="54"/>
  <c r="AX26" i="54"/>
  <c r="AL26" i="54"/>
  <c r="AB26" i="54"/>
  <c r="R26" i="54"/>
  <c r="BZ26" i="54"/>
  <c r="BN26" i="54"/>
  <c r="AZ26" i="54"/>
  <c r="AJ26" i="54"/>
  <c r="V26" i="54"/>
  <c r="J26" i="54"/>
  <c r="BX26" i="54"/>
  <c r="BJ26" i="54"/>
  <c r="AT26" i="54"/>
  <c r="AH26" i="54"/>
  <c r="T26" i="54"/>
  <c r="BP26" i="54"/>
  <c r="AP26" i="54"/>
  <c r="L26" i="54"/>
  <c r="BF26" i="54"/>
  <c r="Z26" i="54"/>
  <c r="BB26" i="54"/>
  <c r="N26" i="54"/>
  <c r="CF26" i="54"/>
  <c r="AR26" i="54"/>
  <c r="BZ26" i="53"/>
  <c r="BR26" i="53"/>
  <c r="BJ26" i="53"/>
  <c r="BB26" i="53"/>
  <c r="AT26" i="53"/>
  <c r="AL26" i="53"/>
  <c r="AD26" i="53"/>
  <c r="V26" i="53"/>
  <c r="N26" i="53"/>
  <c r="CF26" i="53"/>
  <c r="BX26" i="53"/>
  <c r="BP26" i="53"/>
  <c r="BH26" i="53"/>
  <c r="AZ26" i="53"/>
  <c r="AR26" i="53"/>
  <c r="AJ26" i="53"/>
  <c r="AB26" i="53"/>
  <c r="T26" i="53"/>
  <c r="L26" i="53"/>
  <c r="BV26" i="54"/>
  <c r="CD26" i="53"/>
  <c r="BV26" i="53"/>
  <c r="BN26" i="53"/>
  <c r="BF26" i="53"/>
  <c r="AX26" i="53"/>
  <c r="AP26" i="53"/>
  <c r="AH26" i="53"/>
  <c r="Z26" i="53"/>
  <c r="R26" i="53"/>
  <c r="J26" i="53"/>
  <c r="AD26" i="54"/>
  <c r="BD26" i="53"/>
  <c r="X26" i="53"/>
  <c r="BZ26" i="52"/>
  <c r="BR26" i="52"/>
  <c r="BJ26" i="52"/>
  <c r="BB26" i="52"/>
  <c r="AT26" i="52"/>
  <c r="AL26" i="52"/>
  <c r="AD26" i="52"/>
  <c r="V26" i="52"/>
  <c r="N26" i="52"/>
  <c r="CB26" i="53"/>
  <c r="AV26" i="53"/>
  <c r="P26" i="53"/>
  <c r="CF26" i="52"/>
  <c r="BX26" i="52"/>
  <c r="BP26" i="52"/>
  <c r="BH26" i="52"/>
  <c r="AZ26" i="52"/>
  <c r="AR26" i="52"/>
  <c r="AJ26" i="52"/>
  <c r="AB26" i="52"/>
  <c r="T26" i="52"/>
  <c r="L26" i="52"/>
  <c r="BT26" i="53"/>
  <c r="AN26" i="53"/>
  <c r="H26" i="53"/>
  <c r="CD26" i="52"/>
  <c r="BV26" i="52"/>
  <c r="BN26" i="52"/>
  <c r="BF26" i="52"/>
  <c r="AX26" i="52"/>
  <c r="AP26" i="52"/>
  <c r="AH26" i="52"/>
  <c r="Z26" i="52"/>
  <c r="R26" i="52"/>
  <c r="J26" i="52"/>
  <c r="AF26" i="53"/>
  <c r="BT26" i="52"/>
  <c r="AN26" i="52"/>
  <c r="H26" i="52"/>
  <c r="CD26" i="51"/>
  <c r="BV26" i="51"/>
  <c r="BN26" i="51"/>
  <c r="BF26" i="51"/>
  <c r="AX26" i="51"/>
  <c r="AP26" i="51"/>
  <c r="AH26" i="51"/>
  <c r="Z26" i="51"/>
  <c r="R26" i="51"/>
  <c r="J26" i="51"/>
  <c r="BL26" i="52"/>
  <c r="AF26" i="52"/>
  <c r="CB26" i="51"/>
  <c r="BT26" i="51"/>
  <c r="BL26" i="51"/>
  <c r="BD26" i="51"/>
  <c r="AV26" i="51"/>
  <c r="AN26" i="51"/>
  <c r="AF26" i="51"/>
  <c r="X26" i="51"/>
  <c r="P26" i="51"/>
  <c r="H26" i="51"/>
  <c r="BL26" i="53"/>
  <c r="BD26" i="52"/>
  <c r="BX26" i="51"/>
  <c r="BH26" i="51"/>
  <c r="AR26" i="51"/>
  <c r="AB26" i="51"/>
  <c r="L26" i="51"/>
  <c r="CB26" i="50"/>
  <c r="BT26" i="50"/>
  <c r="BL26" i="50"/>
  <c r="BD26" i="50"/>
  <c r="AV26" i="50"/>
  <c r="AN26" i="50"/>
  <c r="AF26" i="50"/>
  <c r="X26" i="50"/>
  <c r="P26" i="50"/>
  <c r="H26" i="50"/>
  <c r="AV26" i="52"/>
  <c r="X26" i="52"/>
  <c r="CF26" i="51"/>
  <c r="BP26" i="51"/>
  <c r="AZ26" i="51"/>
  <c r="AJ26" i="51"/>
  <c r="T26" i="51"/>
  <c r="CF26" i="50"/>
  <c r="BX26" i="50"/>
  <c r="BP26" i="50"/>
  <c r="BH26" i="50"/>
  <c r="AZ26" i="50"/>
  <c r="AR26" i="50"/>
  <c r="AJ26" i="50"/>
  <c r="AB26" i="50"/>
  <c r="T26" i="50"/>
  <c r="L26" i="50"/>
  <c r="BZ26" i="51"/>
  <c r="AT26" i="51"/>
  <c r="N26" i="51"/>
  <c r="BZ26" i="50"/>
  <c r="BJ26" i="50"/>
  <c r="AT26" i="50"/>
  <c r="AD26" i="50"/>
  <c r="N26" i="50"/>
  <c r="BZ26" i="49"/>
  <c r="BR26" i="49"/>
  <c r="BJ26" i="49"/>
  <c r="BB26" i="49"/>
  <c r="AT26" i="49"/>
  <c r="AL26" i="49"/>
  <c r="AD26" i="49"/>
  <c r="V26" i="49"/>
  <c r="N26" i="49"/>
  <c r="CD26" i="48"/>
  <c r="BV26" i="48"/>
  <c r="BN26" i="48"/>
  <c r="BF26" i="48"/>
  <c r="AX26" i="48"/>
  <c r="AP26" i="48"/>
  <c r="AH26" i="48"/>
  <c r="Z26" i="48"/>
  <c r="R26" i="48"/>
  <c r="J26" i="48"/>
  <c r="CF26" i="47"/>
  <c r="BX26" i="47"/>
  <c r="BP26" i="47"/>
  <c r="BH26" i="47"/>
  <c r="CB26" i="52"/>
  <c r="BR26" i="51"/>
  <c r="AL26" i="51"/>
  <c r="BV26" i="50"/>
  <c r="BF26" i="50"/>
  <c r="AP26" i="50"/>
  <c r="Z26" i="50"/>
  <c r="J26" i="50"/>
  <c r="CF26" i="49"/>
  <c r="BX26" i="49"/>
  <c r="BP26" i="49"/>
  <c r="BH26" i="49"/>
  <c r="AZ26" i="49"/>
  <c r="AR26" i="49"/>
  <c r="AJ26" i="49"/>
  <c r="AB26" i="49"/>
  <c r="T26" i="49"/>
  <c r="L26" i="49"/>
  <c r="CB26" i="48"/>
  <c r="BT26" i="48"/>
  <c r="BL26" i="48"/>
  <c r="BD26" i="48"/>
  <c r="AV26" i="48"/>
  <c r="AN26" i="48"/>
  <c r="AF26" i="48"/>
  <c r="X26" i="48"/>
  <c r="P26" i="48"/>
  <c r="H26" i="48"/>
  <c r="CD26" i="47"/>
  <c r="BV26" i="47"/>
  <c r="BN26" i="47"/>
  <c r="BF26" i="47"/>
  <c r="AX26" i="47"/>
  <c r="AP26" i="47"/>
  <c r="AH26" i="47"/>
  <c r="Z26" i="47"/>
  <c r="R26" i="47"/>
  <c r="J26" i="47"/>
  <c r="P26" i="52"/>
  <c r="BJ26" i="51"/>
  <c r="AD26" i="51"/>
  <c r="BR26" i="50"/>
  <c r="BB26" i="50"/>
  <c r="AL26" i="50"/>
  <c r="V26" i="50"/>
  <c r="CD26" i="49"/>
  <c r="BV26" i="49"/>
  <c r="BN26" i="49"/>
  <c r="BF26" i="49"/>
  <c r="AX26" i="49"/>
  <c r="AP26" i="49"/>
  <c r="AH26" i="49"/>
  <c r="Z26" i="49"/>
  <c r="R26" i="49"/>
  <c r="J26" i="49"/>
  <c r="BB26" i="51"/>
  <c r="V26" i="51"/>
  <c r="CD26" i="50"/>
  <c r="BN26" i="50"/>
  <c r="AX26" i="50"/>
  <c r="AH26" i="50"/>
  <c r="R26" i="50"/>
  <c r="BD26" i="49"/>
  <c r="X26" i="49"/>
  <c r="CF26" i="48"/>
  <c r="BP26" i="48"/>
  <c r="AZ26" i="48"/>
  <c r="AJ26" i="48"/>
  <c r="T26" i="48"/>
  <c r="BZ26" i="47"/>
  <c r="BJ26" i="47"/>
  <c r="AV26" i="47"/>
  <c r="AL26" i="47"/>
  <c r="AB26" i="47"/>
  <c r="P26" i="47"/>
  <c r="CF26" i="46"/>
  <c r="BX26" i="46"/>
  <c r="BP26" i="46"/>
  <c r="BH26" i="46"/>
  <c r="AZ26" i="46"/>
  <c r="AR26" i="46"/>
  <c r="AJ26" i="46"/>
  <c r="AB26" i="46"/>
  <c r="T26" i="46"/>
  <c r="L26" i="46"/>
  <c r="CF26" i="45"/>
  <c r="BX26" i="45"/>
  <c r="BP26" i="45"/>
  <c r="BH26" i="45"/>
  <c r="AZ26" i="45"/>
  <c r="AR26" i="45"/>
  <c r="AJ26" i="45"/>
  <c r="AB26" i="45"/>
  <c r="T26" i="45"/>
  <c r="L26" i="45"/>
  <c r="CB26" i="49"/>
  <c r="AV26" i="49"/>
  <c r="P26" i="49"/>
  <c r="BZ26" i="48"/>
  <c r="BJ26" i="48"/>
  <c r="AT26" i="48"/>
  <c r="AD26" i="48"/>
  <c r="N26" i="48"/>
  <c r="BT26" i="47"/>
  <c r="BD26" i="47"/>
  <c r="AT26" i="47"/>
  <c r="AJ26" i="47"/>
  <c r="X26" i="47"/>
  <c r="N26" i="47"/>
  <c r="CD26" i="46"/>
  <c r="BV26" i="46"/>
  <c r="BN26" i="46"/>
  <c r="BF26" i="46"/>
  <c r="AX26" i="46"/>
  <c r="AP26" i="46"/>
  <c r="AH26" i="46"/>
  <c r="Z26" i="46"/>
  <c r="R26" i="46"/>
  <c r="J26" i="46"/>
  <c r="CD26" i="45"/>
  <c r="BV26" i="45"/>
  <c r="BN26" i="45"/>
  <c r="BF26" i="45"/>
  <c r="AX26" i="45"/>
  <c r="AP26" i="45"/>
  <c r="AH26" i="45"/>
  <c r="Z26" i="45"/>
  <c r="R26" i="45"/>
  <c r="J26" i="45"/>
  <c r="BT26" i="49"/>
  <c r="AN26" i="49"/>
  <c r="H26" i="49"/>
  <c r="BX26" i="48"/>
  <c r="BH26" i="48"/>
  <c r="AR26" i="48"/>
  <c r="AB26" i="48"/>
  <c r="L26" i="48"/>
  <c r="BR26" i="47"/>
  <c r="BB26" i="47"/>
  <c r="AR26" i="47"/>
  <c r="AF26" i="47"/>
  <c r="V26" i="47"/>
  <c r="L26" i="47"/>
  <c r="CB26" i="46"/>
  <c r="BT26" i="46"/>
  <c r="BL26" i="46"/>
  <c r="BD26" i="46"/>
  <c r="AV26" i="46"/>
  <c r="AN26" i="46"/>
  <c r="AF26" i="46"/>
  <c r="X26" i="46"/>
  <c r="P26" i="46"/>
  <c r="H26" i="46"/>
  <c r="CB26" i="45"/>
  <c r="BT26" i="45"/>
  <c r="BL26" i="45"/>
  <c r="BD26" i="45"/>
  <c r="AV26" i="45"/>
  <c r="AN26" i="45"/>
  <c r="AF26" i="45"/>
  <c r="X26" i="45"/>
  <c r="P26" i="45"/>
  <c r="H26" i="45"/>
  <c r="BB26" i="48"/>
  <c r="AN26" i="47"/>
  <c r="BJ26" i="46"/>
  <c r="AD26" i="46"/>
  <c r="BR26" i="45"/>
  <c r="AL26" i="45"/>
  <c r="BL26" i="49"/>
  <c r="AL26" i="48"/>
  <c r="CB26" i="47"/>
  <c r="AD26" i="47"/>
  <c r="BB26" i="46"/>
  <c r="V26" i="46"/>
  <c r="BJ26" i="45"/>
  <c r="AD26" i="45"/>
  <c r="CD26" i="44"/>
  <c r="BZ26" i="44"/>
  <c r="BV26" i="44"/>
  <c r="BR26" i="44"/>
  <c r="AF26" i="49"/>
  <c r="V26" i="48"/>
  <c r="BL26" i="47"/>
  <c r="T26" i="47"/>
  <c r="BZ26" i="46"/>
  <c r="AT26" i="46"/>
  <c r="N26" i="46"/>
  <c r="BB26" i="45"/>
  <c r="V26" i="45"/>
  <c r="BR26" i="48"/>
  <c r="AZ26" i="47"/>
  <c r="H26" i="47"/>
  <c r="BR26" i="46"/>
  <c r="AL26" i="46"/>
  <c r="BZ26" i="45"/>
  <c r="AT26" i="45"/>
  <c r="N26" i="45"/>
  <c r="BN26" i="44"/>
  <c r="BJ26" i="44"/>
  <c r="BF26" i="44"/>
  <c r="BB26" i="44"/>
  <c r="AX26" i="44"/>
  <c r="AT26" i="44"/>
  <c r="AP26" i="44"/>
  <c r="AL26" i="44"/>
  <c r="AH26" i="44"/>
  <c r="AD26" i="44"/>
  <c r="Z26" i="44"/>
  <c r="V26" i="44"/>
  <c r="R26" i="44"/>
  <c r="N26" i="44"/>
  <c r="J26" i="44"/>
  <c r="CF26" i="44"/>
  <c r="BL26" i="44"/>
  <c r="BH26" i="44"/>
  <c r="BD26" i="44"/>
  <c r="AZ26" i="44"/>
  <c r="AV26" i="44"/>
  <c r="AR26" i="44"/>
  <c r="AN26" i="44"/>
  <c r="AJ26" i="44"/>
  <c r="AF26" i="44"/>
  <c r="AB26" i="44"/>
  <c r="X26" i="44"/>
  <c r="T26" i="44"/>
  <c r="P26" i="44"/>
  <c r="L26" i="44"/>
  <c r="H26" i="44"/>
  <c r="BX26" i="44"/>
  <c r="BP26" i="44"/>
  <c r="CB26" i="44"/>
  <c r="BT26" i="44"/>
  <c r="F26" i="48"/>
  <c r="F26" i="45"/>
  <c r="F26" i="54"/>
  <c r="F26" i="51"/>
  <c r="F26" i="44"/>
  <c r="F26" i="49"/>
  <c r="F26" i="52"/>
  <c r="F26" i="53"/>
  <c r="F26" i="47"/>
  <c r="F26" i="50"/>
  <c r="F26" i="46"/>
  <c r="CI26" i="53"/>
  <c r="CI26" i="44"/>
  <c r="CI26" i="45"/>
  <c r="CI26" i="46"/>
  <c r="CI26" i="48"/>
  <c r="CI26" i="47"/>
  <c r="CI26" i="51"/>
  <c r="B26" i="51" s="1"/>
  <c r="D26" i="51" s="1"/>
  <c r="CI26" i="50"/>
  <c r="CI26" i="52"/>
  <c r="CI26" i="54"/>
  <c r="CI26" i="49"/>
  <c r="CB34" i="54"/>
  <c r="BT34" i="54"/>
  <c r="BL34" i="54"/>
  <c r="BD34" i="54"/>
  <c r="AV34" i="54"/>
  <c r="AN34" i="54"/>
  <c r="AF34" i="54"/>
  <c r="X34" i="54"/>
  <c r="P34" i="54"/>
  <c r="H34" i="54"/>
  <c r="CD34" i="54"/>
  <c r="BR34" i="54"/>
  <c r="BH34" i="54"/>
  <c r="AX34" i="54"/>
  <c r="AL34" i="54"/>
  <c r="AB34" i="54"/>
  <c r="R34" i="54"/>
  <c r="BZ34" i="54"/>
  <c r="BN34" i="54"/>
  <c r="AZ34" i="54"/>
  <c r="AJ34" i="54"/>
  <c r="V34" i="54"/>
  <c r="J34" i="54"/>
  <c r="BV34" i="54"/>
  <c r="BB34" i="54"/>
  <c r="AH34" i="54"/>
  <c r="N34" i="54"/>
  <c r="BP34" i="54"/>
  <c r="AT34" i="54"/>
  <c r="AD34" i="54"/>
  <c r="L34" i="54"/>
  <c r="BF34" i="54"/>
  <c r="T34" i="54"/>
  <c r="BJ34" i="54"/>
  <c r="AR34" i="54"/>
  <c r="CF34" i="54"/>
  <c r="AP34" i="54"/>
  <c r="BX34" i="54"/>
  <c r="CF34" i="53"/>
  <c r="BX34" i="53"/>
  <c r="BP34" i="53"/>
  <c r="BH34" i="53"/>
  <c r="AZ34" i="53"/>
  <c r="AR34" i="53"/>
  <c r="AJ34" i="53"/>
  <c r="AB34" i="53"/>
  <c r="T34" i="53"/>
  <c r="L34" i="53"/>
  <c r="Z34" i="54"/>
  <c r="CD34" i="53"/>
  <c r="BV34" i="53"/>
  <c r="BN34" i="53"/>
  <c r="BF34" i="53"/>
  <c r="AX34" i="53"/>
  <c r="AP34" i="53"/>
  <c r="AH34" i="53"/>
  <c r="Z34" i="53"/>
  <c r="R34" i="53"/>
  <c r="J34" i="53"/>
  <c r="CB34" i="53"/>
  <c r="BT34" i="53"/>
  <c r="BL34" i="53"/>
  <c r="BD34" i="53"/>
  <c r="AV34" i="53"/>
  <c r="AN34" i="53"/>
  <c r="AF34" i="53"/>
  <c r="X34" i="53"/>
  <c r="P34" i="53"/>
  <c r="H34" i="53"/>
  <c r="BJ34" i="53"/>
  <c r="AD34" i="53"/>
  <c r="CF34" i="52"/>
  <c r="BX34" i="52"/>
  <c r="BP34" i="52"/>
  <c r="BH34" i="52"/>
  <c r="AZ34" i="52"/>
  <c r="AR34" i="52"/>
  <c r="AJ34" i="52"/>
  <c r="AB34" i="52"/>
  <c r="T34" i="52"/>
  <c r="L34" i="52"/>
  <c r="BZ34" i="51"/>
  <c r="BR34" i="51"/>
  <c r="BJ34" i="51"/>
  <c r="BB34" i="51"/>
  <c r="AT34" i="51"/>
  <c r="AL34" i="51"/>
  <c r="AD34" i="51"/>
  <c r="V34" i="51"/>
  <c r="N34" i="51"/>
  <c r="BB34" i="53"/>
  <c r="V34" i="53"/>
  <c r="CD34" i="52"/>
  <c r="BV34" i="52"/>
  <c r="BN34" i="52"/>
  <c r="BF34" i="52"/>
  <c r="AX34" i="52"/>
  <c r="AP34" i="52"/>
  <c r="AH34" i="52"/>
  <c r="Z34" i="52"/>
  <c r="R34" i="52"/>
  <c r="J34" i="52"/>
  <c r="CF34" i="51"/>
  <c r="BX34" i="51"/>
  <c r="BP34" i="51"/>
  <c r="BH34" i="51"/>
  <c r="AZ34" i="51"/>
  <c r="AR34" i="51"/>
  <c r="AJ34" i="51"/>
  <c r="AB34" i="51"/>
  <c r="T34" i="51"/>
  <c r="L34" i="51"/>
  <c r="BZ34" i="53"/>
  <c r="AT34" i="53"/>
  <c r="N34" i="53"/>
  <c r="CB34" i="52"/>
  <c r="BT34" i="52"/>
  <c r="BL34" i="52"/>
  <c r="BD34" i="52"/>
  <c r="AV34" i="52"/>
  <c r="AN34" i="52"/>
  <c r="AF34" i="52"/>
  <c r="X34" i="52"/>
  <c r="P34" i="52"/>
  <c r="H34" i="52"/>
  <c r="BZ34" i="52"/>
  <c r="AT34" i="52"/>
  <c r="N34" i="52"/>
  <c r="CD34" i="51"/>
  <c r="BN34" i="51"/>
  <c r="AX34" i="51"/>
  <c r="AH34" i="51"/>
  <c r="R34" i="51"/>
  <c r="CB34" i="50"/>
  <c r="BT34" i="50"/>
  <c r="BL34" i="50"/>
  <c r="BD34" i="50"/>
  <c r="AV34" i="50"/>
  <c r="AN34" i="50"/>
  <c r="AF34" i="50"/>
  <c r="X34" i="50"/>
  <c r="P34" i="50"/>
  <c r="H34" i="50"/>
  <c r="BR34" i="52"/>
  <c r="AL34" i="52"/>
  <c r="CB34" i="51"/>
  <c r="BL34" i="51"/>
  <c r="AV34" i="51"/>
  <c r="AF34" i="51"/>
  <c r="P34" i="51"/>
  <c r="BZ34" i="50"/>
  <c r="BR34" i="50"/>
  <c r="BJ34" i="50"/>
  <c r="BB34" i="50"/>
  <c r="AT34" i="50"/>
  <c r="AL34" i="50"/>
  <c r="AD34" i="50"/>
  <c r="V34" i="50"/>
  <c r="N34" i="50"/>
  <c r="AD34" i="52"/>
  <c r="BT34" i="51"/>
  <c r="AN34" i="51"/>
  <c r="H34" i="51"/>
  <c r="BV34" i="50"/>
  <c r="BF34" i="50"/>
  <c r="AP34" i="50"/>
  <c r="Z34" i="50"/>
  <c r="J34" i="50"/>
  <c r="BR34" i="53"/>
  <c r="V34" i="52"/>
  <c r="BF34" i="51"/>
  <c r="Z34" i="51"/>
  <c r="AL34" i="53"/>
  <c r="BJ34" i="52"/>
  <c r="BD34" i="51"/>
  <c r="X34" i="51"/>
  <c r="CD34" i="50"/>
  <c r="BN34" i="50"/>
  <c r="AX34" i="50"/>
  <c r="AH34" i="50"/>
  <c r="R34" i="50"/>
  <c r="CB34" i="49"/>
  <c r="BT34" i="49"/>
  <c r="BL34" i="49"/>
  <c r="BD34" i="49"/>
  <c r="AV34" i="49"/>
  <c r="AN34" i="49"/>
  <c r="AF34" i="49"/>
  <c r="X34" i="49"/>
  <c r="P34" i="49"/>
  <c r="H34" i="49"/>
  <c r="BP34" i="50"/>
  <c r="AJ34" i="50"/>
  <c r="CD34" i="49"/>
  <c r="BR34" i="49"/>
  <c r="BH34" i="49"/>
  <c r="AX34" i="49"/>
  <c r="AL34" i="49"/>
  <c r="AB34" i="49"/>
  <c r="R34" i="49"/>
  <c r="CB34" i="48"/>
  <c r="BT34" i="48"/>
  <c r="BL34" i="48"/>
  <c r="BD34" i="48"/>
  <c r="AV34" i="48"/>
  <c r="AN34" i="48"/>
  <c r="AF34" i="48"/>
  <c r="X34" i="48"/>
  <c r="P34" i="48"/>
  <c r="H34" i="48"/>
  <c r="CD34" i="47"/>
  <c r="BV34" i="47"/>
  <c r="BN34" i="47"/>
  <c r="BF34" i="47"/>
  <c r="AX34" i="47"/>
  <c r="AP34" i="47"/>
  <c r="AH34" i="47"/>
  <c r="Z34" i="47"/>
  <c r="R34" i="47"/>
  <c r="J34" i="47"/>
  <c r="BV34" i="51"/>
  <c r="BH34" i="50"/>
  <c r="AB34" i="50"/>
  <c r="BZ34" i="49"/>
  <c r="BP34" i="49"/>
  <c r="BF34" i="49"/>
  <c r="AT34" i="49"/>
  <c r="AJ34" i="49"/>
  <c r="Z34" i="49"/>
  <c r="N34" i="49"/>
  <c r="BZ34" i="48"/>
  <c r="BR34" i="48"/>
  <c r="BJ34" i="48"/>
  <c r="BB34" i="48"/>
  <c r="AT34" i="48"/>
  <c r="AL34" i="48"/>
  <c r="AD34" i="48"/>
  <c r="V34" i="48"/>
  <c r="N34" i="48"/>
  <c r="CB34" i="47"/>
  <c r="BT34" i="47"/>
  <c r="BL34" i="47"/>
  <c r="BD34" i="47"/>
  <c r="AV34" i="47"/>
  <c r="AN34" i="47"/>
  <c r="AF34" i="47"/>
  <c r="X34" i="47"/>
  <c r="P34" i="47"/>
  <c r="H34" i="47"/>
  <c r="AP34" i="51"/>
  <c r="CF34" i="50"/>
  <c r="AZ34" i="50"/>
  <c r="T34" i="50"/>
  <c r="BX34" i="49"/>
  <c r="BN34" i="49"/>
  <c r="BB34" i="49"/>
  <c r="AR34" i="49"/>
  <c r="AH34" i="49"/>
  <c r="V34" i="49"/>
  <c r="L34" i="49"/>
  <c r="BB34" i="52"/>
  <c r="J34" i="51"/>
  <c r="BX34" i="50"/>
  <c r="AR34" i="50"/>
  <c r="L34" i="50"/>
  <c r="CF34" i="49"/>
  <c r="BV34" i="49"/>
  <c r="BJ34" i="49"/>
  <c r="AZ34" i="49"/>
  <c r="AP34" i="49"/>
  <c r="AD34" i="49"/>
  <c r="T34" i="49"/>
  <c r="J34" i="49"/>
  <c r="BV34" i="48"/>
  <c r="BF34" i="48"/>
  <c r="AP34" i="48"/>
  <c r="Z34" i="48"/>
  <c r="J34" i="48"/>
  <c r="CF34" i="47"/>
  <c r="BP34" i="47"/>
  <c r="AZ34" i="47"/>
  <c r="AJ34" i="47"/>
  <c r="T34" i="47"/>
  <c r="CD34" i="46"/>
  <c r="BV34" i="46"/>
  <c r="BN34" i="46"/>
  <c r="BF34" i="46"/>
  <c r="AX34" i="46"/>
  <c r="AP34" i="46"/>
  <c r="AH34" i="46"/>
  <c r="Z34" i="46"/>
  <c r="R34" i="46"/>
  <c r="J34" i="46"/>
  <c r="CD34" i="45"/>
  <c r="BV34" i="45"/>
  <c r="BN34" i="45"/>
  <c r="BF34" i="45"/>
  <c r="AX34" i="45"/>
  <c r="AP34" i="45"/>
  <c r="AH34" i="45"/>
  <c r="Z34" i="45"/>
  <c r="R34" i="45"/>
  <c r="J34" i="45"/>
  <c r="CF34" i="48"/>
  <c r="BP34" i="48"/>
  <c r="AZ34" i="48"/>
  <c r="AJ34" i="48"/>
  <c r="T34" i="48"/>
  <c r="BZ34" i="47"/>
  <c r="BJ34" i="47"/>
  <c r="AT34" i="47"/>
  <c r="AD34" i="47"/>
  <c r="N34" i="47"/>
  <c r="CB34" i="46"/>
  <c r="BT34" i="46"/>
  <c r="BL34" i="46"/>
  <c r="BD34" i="46"/>
  <c r="AV34" i="46"/>
  <c r="AN34" i="46"/>
  <c r="AF34" i="46"/>
  <c r="X34" i="46"/>
  <c r="P34" i="46"/>
  <c r="H34" i="46"/>
  <c r="CB34" i="45"/>
  <c r="BT34" i="45"/>
  <c r="BL34" i="45"/>
  <c r="BD34" i="45"/>
  <c r="AV34" i="45"/>
  <c r="AN34" i="45"/>
  <c r="AF34" i="45"/>
  <c r="X34" i="45"/>
  <c r="P34" i="45"/>
  <c r="H34" i="45"/>
  <c r="CD34" i="48"/>
  <c r="BN34" i="48"/>
  <c r="AX34" i="48"/>
  <c r="AH34" i="48"/>
  <c r="R34" i="48"/>
  <c r="BX34" i="47"/>
  <c r="BH34" i="47"/>
  <c r="AR34" i="47"/>
  <c r="AB34" i="47"/>
  <c r="L34" i="47"/>
  <c r="BZ34" i="46"/>
  <c r="BR34" i="46"/>
  <c r="BJ34" i="46"/>
  <c r="BB34" i="46"/>
  <c r="AT34" i="46"/>
  <c r="AL34" i="46"/>
  <c r="AD34" i="46"/>
  <c r="V34" i="46"/>
  <c r="N34" i="46"/>
  <c r="BZ34" i="45"/>
  <c r="BR34" i="45"/>
  <c r="BJ34" i="45"/>
  <c r="BB34" i="45"/>
  <c r="AT34" i="45"/>
  <c r="AL34" i="45"/>
  <c r="AD34" i="45"/>
  <c r="V34" i="45"/>
  <c r="N34" i="45"/>
  <c r="AB34" i="48"/>
  <c r="BR34" i="47"/>
  <c r="BP34" i="46"/>
  <c r="AJ34" i="46"/>
  <c r="BX34" i="45"/>
  <c r="AR34" i="45"/>
  <c r="L34" i="45"/>
  <c r="CD34" i="44"/>
  <c r="BZ34" i="44"/>
  <c r="BV34" i="44"/>
  <c r="BR34" i="44"/>
  <c r="BX34" i="48"/>
  <c r="L34" i="48"/>
  <c r="BB34" i="47"/>
  <c r="BH34" i="46"/>
  <c r="AB34" i="46"/>
  <c r="BP34" i="45"/>
  <c r="AJ34" i="45"/>
  <c r="BH34" i="48"/>
  <c r="AL34" i="47"/>
  <c r="CF34" i="46"/>
  <c r="AZ34" i="46"/>
  <c r="T34" i="46"/>
  <c r="BH34" i="45"/>
  <c r="AB34" i="45"/>
  <c r="CF34" i="44"/>
  <c r="CB34" i="44"/>
  <c r="BX34" i="44"/>
  <c r="BT34" i="44"/>
  <c r="BP34" i="44"/>
  <c r="AR34" i="48"/>
  <c r="V34" i="47"/>
  <c r="BX34" i="46"/>
  <c r="AR34" i="46"/>
  <c r="L34" i="46"/>
  <c r="CF34" i="45"/>
  <c r="AZ34" i="45"/>
  <c r="T34" i="45"/>
  <c r="AZ34" i="44"/>
  <c r="AN34" i="44"/>
  <c r="AJ34" i="44"/>
  <c r="AB34" i="44"/>
  <c r="T34" i="44"/>
  <c r="P34" i="44"/>
  <c r="H34" i="44"/>
  <c r="BH34" i="44"/>
  <c r="BD34" i="44"/>
  <c r="AR34" i="44"/>
  <c r="AF34" i="44"/>
  <c r="X34" i="44"/>
  <c r="L34" i="44"/>
  <c r="BN34" i="44"/>
  <c r="BJ34" i="44"/>
  <c r="BF34" i="44"/>
  <c r="BB34" i="44"/>
  <c r="AX34" i="44"/>
  <c r="AT34" i="44"/>
  <c r="AP34" i="44"/>
  <c r="AL34" i="44"/>
  <c r="AH34" i="44"/>
  <c r="AD34" i="44"/>
  <c r="Z34" i="44"/>
  <c r="V34" i="44"/>
  <c r="R34" i="44"/>
  <c r="N34" i="44"/>
  <c r="J34" i="44"/>
  <c r="BL34" i="44"/>
  <c r="AV34" i="44"/>
  <c r="F34" i="45"/>
  <c r="F34" i="54"/>
  <c r="F34" i="48"/>
  <c r="F34" i="49"/>
  <c r="F34" i="52"/>
  <c r="F34" i="51"/>
  <c r="F34" i="44"/>
  <c r="F34" i="47"/>
  <c r="F34" i="53"/>
  <c r="F34" i="50"/>
  <c r="F34" i="46"/>
  <c r="CI34" i="49"/>
  <c r="CI34" i="46"/>
  <c r="CI34" i="53"/>
  <c r="CI34" i="54"/>
  <c r="CI34" i="51"/>
  <c r="CI34" i="45"/>
  <c r="CI34" i="48"/>
  <c r="CI34" i="52"/>
  <c r="CI34" i="47"/>
  <c r="CI34" i="44"/>
  <c r="CI34" i="50"/>
  <c r="CJ18" i="53"/>
  <c r="CJ18" i="52"/>
  <c r="CJ18" i="46"/>
  <c r="CJ18" i="50"/>
  <c r="CJ18" i="54"/>
  <c r="CJ18" i="48"/>
  <c r="CJ18" i="49"/>
  <c r="CJ18" i="47"/>
  <c r="CJ18" i="45"/>
  <c r="CJ18" i="51"/>
  <c r="CJ29" i="46"/>
  <c r="CJ29" i="54"/>
  <c r="CJ29" i="48"/>
  <c r="CJ29" i="49"/>
  <c r="CJ29" i="53"/>
  <c r="CJ29" i="52"/>
  <c r="CJ29" i="50"/>
  <c r="CJ29" i="45"/>
  <c r="CJ29" i="51"/>
  <c r="CJ29" i="47"/>
  <c r="CK22" i="45"/>
  <c r="CK22" i="51"/>
  <c r="CK22" i="50"/>
  <c r="CK22" i="52"/>
  <c r="CK22" i="54"/>
  <c r="CK22" i="49"/>
  <c r="CK22" i="46"/>
  <c r="CK22" i="48"/>
  <c r="CK22" i="53"/>
  <c r="CK22" i="47"/>
  <c r="CK32" i="45"/>
  <c r="CK32" i="46"/>
  <c r="CK32" i="53"/>
  <c r="CK32" i="48"/>
  <c r="CK32" i="51"/>
  <c r="CK32" i="50"/>
  <c r="CK32" i="52"/>
  <c r="CK32" i="54"/>
  <c r="CK32" i="49"/>
  <c r="CK32" i="47"/>
  <c r="CL15" i="49"/>
  <c r="CL15" i="50"/>
  <c r="CL15" i="51"/>
  <c r="CL15" i="47"/>
  <c r="CL15" i="45"/>
  <c r="CL15" i="54"/>
  <c r="CL15" i="52"/>
  <c r="CL15" i="48"/>
  <c r="CL15" i="53"/>
  <c r="CL15" i="46"/>
  <c r="CL23" i="53"/>
  <c r="CL23" i="46"/>
  <c r="CL23" i="51"/>
  <c r="CL23" i="47"/>
  <c r="CL23" i="52"/>
  <c r="CL23" i="48"/>
  <c r="CL23" i="54"/>
  <c r="CL23" i="45"/>
  <c r="CL23" i="49"/>
  <c r="CL23" i="50"/>
  <c r="CL33" i="53"/>
  <c r="CL33" i="46"/>
  <c r="CL33" i="54"/>
  <c r="CL33" i="49"/>
  <c r="CL33" i="50"/>
  <c r="CL33" i="51"/>
  <c r="CL33" i="47"/>
  <c r="CL33" i="52"/>
  <c r="CL33" i="48"/>
  <c r="CL33" i="45"/>
  <c r="CK20" i="45"/>
  <c r="CK20" i="53"/>
  <c r="CK20" i="51"/>
  <c r="CK20" i="46"/>
  <c r="CK20" i="50"/>
  <c r="CK20" i="52"/>
  <c r="CK20" i="54"/>
  <c r="CK20" i="49"/>
  <c r="CK20" i="47"/>
  <c r="CK20" i="48"/>
  <c r="CL24" i="51"/>
  <c r="CL24" i="47"/>
  <c r="CL24" i="52"/>
  <c r="CL24" i="48"/>
  <c r="CL24" i="46"/>
  <c r="CL24" i="45"/>
  <c r="CL24" i="49"/>
  <c r="CL24" i="50"/>
  <c r="CL24" i="54"/>
  <c r="CL24" i="53"/>
  <c r="CL30" i="51"/>
  <c r="CL30" i="47"/>
  <c r="CL30" i="52"/>
  <c r="CL30" i="48"/>
  <c r="CL30" i="46"/>
  <c r="CL30" i="54"/>
  <c r="CL30" i="45"/>
  <c r="CL30" i="49"/>
  <c r="CL30" i="50"/>
  <c r="CL30" i="53"/>
  <c r="CL27" i="49"/>
  <c r="CL27" i="50"/>
  <c r="CL27" i="53"/>
  <c r="CL27" i="46"/>
  <c r="CL27" i="54"/>
  <c r="CL27" i="51"/>
  <c r="CL27" i="52"/>
  <c r="CL27" i="48"/>
  <c r="CL27" i="45"/>
  <c r="CL27" i="47"/>
  <c r="AY48" i="53"/>
  <c r="AY46" i="53"/>
  <c r="O48" i="53"/>
  <c r="O46" i="53"/>
  <c r="I48" i="53"/>
  <c r="I46" i="53"/>
  <c r="AA48" i="53"/>
  <c r="AA46" i="53"/>
  <c r="M48" i="53"/>
  <c r="M46" i="53"/>
  <c r="CC48" i="53"/>
  <c r="CC46" i="53"/>
  <c r="BM48" i="53"/>
  <c r="BM46" i="53"/>
  <c r="BU48" i="53"/>
  <c r="BU46" i="53"/>
  <c r="AU48" i="53"/>
  <c r="AU46" i="53"/>
  <c r="CA48" i="53"/>
  <c r="CA46" i="53"/>
  <c r="AW48" i="47"/>
  <c r="AW46" i="47"/>
  <c r="AU48" i="47"/>
  <c r="AU46" i="47"/>
  <c r="AC48" i="47"/>
  <c r="AC46" i="47"/>
  <c r="BM48" i="47"/>
  <c r="BM46" i="47"/>
  <c r="BE48" i="47"/>
  <c r="BE46" i="47"/>
  <c r="BC48" i="47"/>
  <c r="BC46" i="47"/>
  <c r="BW48" i="47"/>
  <c r="BW46" i="47"/>
  <c r="BI48" i="47"/>
  <c r="BI46" i="47"/>
  <c r="CA48" i="47"/>
  <c r="CA46" i="47"/>
  <c r="AE48" i="47"/>
  <c r="AE46" i="47"/>
  <c r="BA48" i="52"/>
  <c r="BA46" i="52"/>
  <c r="O48" i="52"/>
  <c r="O46" i="52"/>
  <c r="CC48" i="52"/>
  <c r="CC46" i="52"/>
  <c r="G48" i="52"/>
  <c r="G46" i="52"/>
  <c r="AW48" i="52"/>
  <c r="AW46" i="52"/>
  <c r="AA48" i="52"/>
  <c r="AA46" i="52"/>
  <c r="AQ48" i="52"/>
  <c r="AQ46" i="52"/>
  <c r="S48" i="52"/>
  <c r="S46" i="52"/>
  <c r="Y48" i="52"/>
  <c r="Y46" i="52"/>
  <c r="K48" i="52"/>
  <c r="K46" i="52"/>
  <c r="BC48" i="54"/>
  <c r="BC46" i="54"/>
  <c r="BE48" i="54"/>
  <c r="BE46" i="54"/>
  <c r="K48" i="54"/>
  <c r="K46" i="54"/>
  <c r="AU48" i="54"/>
  <c r="AU46" i="54"/>
  <c r="AK48" i="54"/>
  <c r="AK46" i="54"/>
  <c r="BK48" i="54"/>
  <c r="BK46" i="54"/>
  <c r="I48" i="54"/>
  <c r="I46" i="54"/>
  <c r="AO48" i="54"/>
  <c r="AO46" i="54"/>
  <c r="BA48" i="54"/>
  <c r="BA46" i="54"/>
  <c r="O48" i="54"/>
  <c r="O46" i="54"/>
  <c r="AC48" i="46"/>
  <c r="AC46" i="46"/>
  <c r="CA48" i="46"/>
  <c r="CA46" i="46"/>
  <c r="AE48" i="46"/>
  <c r="AE46" i="46"/>
  <c r="CE48" i="46"/>
  <c r="CE46" i="46"/>
  <c r="AU48" i="46"/>
  <c r="AU46" i="46"/>
  <c r="AM48" i="46"/>
  <c r="AM46" i="46"/>
  <c r="AA48" i="46"/>
  <c r="AA46" i="46"/>
  <c r="O48" i="46"/>
  <c r="O46" i="46"/>
  <c r="BG48" i="46"/>
  <c r="BG46" i="46"/>
  <c r="AG48" i="46"/>
  <c r="AG46" i="46"/>
  <c r="AO48" i="48"/>
  <c r="AO46" i="48"/>
  <c r="CA48" i="48"/>
  <c r="CA46" i="48"/>
  <c r="CG48" i="48"/>
  <c r="CG46" i="48"/>
  <c r="I48" i="48"/>
  <c r="I46" i="48"/>
  <c r="O48" i="48"/>
  <c r="O46" i="48"/>
  <c r="BA48" i="48"/>
  <c r="BA46" i="48"/>
  <c r="AK48" i="48"/>
  <c r="AK46" i="48"/>
  <c r="BO48" i="48"/>
  <c r="BO46" i="48"/>
  <c r="AQ48" i="48"/>
  <c r="AQ46" i="48"/>
  <c r="BQ48" i="48"/>
  <c r="BQ46" i="48"/>
  <c r="BC48" i="50"/>
  <c r="BC46" i="50"/>
  <c r="M48" i="50"/>
  <c r="M46" i="50"/>
  <c r="BG48" i="50"/>
  <c r="BG46" i="50"/>
  <c r="BS48" i="50"/>
  <c r="BS46" i="50"/>
  <c r="AQ48" i="50"/>
  <c r="AQ46" i="50"/>
  <c r="BE48" i="50"/>
  <c r="BE46" i="50"/>
  <c r="I48" i="50"/>
  <c r="I46" i="50"/>
  <c r="CG48" i="50"/>
  <c r="CG46" i="50"/>
  <c r="AI48" i="50"/>
  <c r="AI46" i="50"/>
  <c r="AO48" i="50"/>
  <c r="AO46" i="50"/>
  <c r="Q48" i="51"/>
  <c r="Q46" i="51"/>
  <c r="BO48" i="51"/>
  <c r="BO46" i="51"/>
  <c r="S48" i="51"/>
  <c r="S46" i="51"/>
  <c r="BI48" i="51"/>
  <c r="BI46" i="51"/>
  <c r="CC48" i="51"/>
  <c r="CC46" i="51"/>
  <c r="BY48" i="51"/>
  <c r="BY46" i="51"/>
  <c r="K48" i="51"/>
  <c r="K46" i="51"/>
  <c r="BK48" i="51"/>
  <c r="BK46" i="51"/>
  <c r="G48" i="51"/>
  <c r="G46" i="51"/>
  <c r="BS48" i="51"/>
  <c r="BS46" i="51"/>
  <c r="BE48" i="49"/>
  <c r="BE46" i="49"/>
  <c r="O48" i="49"/>
  <c r="O46" i="49"/>
  <c r="U48" i="49"/>
  <c r="U46" i="49"/>
  <c r="BS48" i="49"/>
  <c r="BS46" i="49"/>
  <c r="W48" i="49"/>
  <c r="W46" i="49"/>
  <c r="BC48" i="49"/>
  <c r="BC46" i="49"/>
  <c r="AQ48" i="49"/>
  <c r="AQ46" i="49"/>
  <c r="BU48" i="49"/>
  <c r="BU46" i="49"/>
  <c r="CA48" i="49"/>
  <c r="CA46" i="49"/>
  <c r="AE48" i="49"/>
  <c r="AE46" i="49"/>
  <c r="CI29" i="54"/>
  <c r="CF29" i="54"/>
  <c r="CD29" i="54"/>
  <c r="CB29" i="54"/>
  <c r="BZ29" i="54"/>
  <c r="BX29" i="54"/>
  <c r="BV29" i="54"/>
  <c r="BT29" i="54"/>
  <c r="BR29" i="54"/>
  <c r="BP29" i="54"/>
  <c r="BN29" i="54"/>
  <c r="BL29" i="54"/>
  <c r="BJ29" i="54"/>
  <c r="BH29" i="54"/>
  <c r="BF29" i="54"/>
  <c r="BD29" i="54"/>
  <c r="BB29" i="54"/>
  <c r="AZ29" i="54"/>
  <c r="AX29" i="54"/>
  <c r="AV29" i="54"/>
  <c r="AT29" i="54"/>
  <c r="AR29" i="54"/>
  <c r="AP29" i="54"/>
  <c r="AN29" i="54"/>
  <c r="AL29" i="54"/>
  <c r="AJ29" i="54"/>
  <c r="AH29" i="54"/>
  <c r="AF29" i="54"/>
  <c r="AD29" i="54"/>
  <c r="AB29" i="54"/>
  <c r="Z29" i="54"/>
  <c r="X29" i="54"/>
  <c r="V29" i="54"/>
  <c r="T29" i="54"/>
  <c r="R29" i="54"/>
  <c r="P29" i="54"/>
  <c r="N29" i="54"/>
  <c r="L29" i="54"/>
  <c r="J29" i="54"/>
  <c r="H29" i="54"/>
  <c r="F29" i="54"/>
  <c r="CI29" i="53"/>
  <c r="CF29" i="53"/>
  <c r="CD29" i="53"/>
  <c r="CB29" i="53"/>
  <c r="BZ29" i="53"/>
  <c r="BX29" i="53"/>
  <c r="BV29" i="53"/>
  <c r="BT29" i="53"/>
  <c r="BR29" i="53"/>
  <c r="BP29" i="53"/>
  <c r="BN29" i="53"/>
  <c r="BL29" i="53"/>
  <c r="BJ29" i="53"/>
  <c r="BH29" i="53"/>
  <c r="BF29" i="53"/>
  <c r="BD29" i="53"/>
  <c r="BB29" i="53"/>
  <c r="AZ29" i="53"/>
  <c r="AX29" i="53"/>
  <c r="AV29" i="53"/>
  <c r="AT29" i="53"/>
  <c r="AR29" i="53"/>
  <c r="AP29" i="53"/>
  <c r="AN29" i="53"/>
  <c r="AL29" i="53"/>
  <c r="AJ29" i="53"/>
  <c r="AH29" i="53"/>
  <c r="AF29" i="53"/>
  <c r="AD29" i="53"/>
  <c r="AB29" i="53"/>
  <c r="Z29" i="53"/>
  <c r="X29" i="53"/>
  <c r="V29" i="53"/>
  <c r="T29" i="53"/>
  <c r="R29" i="53"/>
  <c r="P29" i="53"/>
  <c r="N29" i="53"/>
  <c r="L29" i="53"/>
  <c r="J29" i="53"/>
  <c r="H29" i="53"/>
  <c r="F29" i="53"/>
  <c r="CI29" i="52"/>
  <c r="CF29" i="52"/>
  <c r="CD29" i="52"/>
  <c r="CB29" i="52"/>
  <c r="BZ29" i="52"/>
  <c r="BX29" i="52"/>
  <c r="BV29" i="52"/>
  <c r="BT29" i="52"/>
  <c r="BR29" i="52"/>
  <c r="BP29" i="52"/>
  <c r="BN29" i="52"/>
  <c r="BL29" i="52"/>
  <c r="BJ29" i="52"/>
  <c r="BH29" i="52"/>
  <c r="BF29" i="52"/>
  <c r="BD29" i="52"/>
  <c r="BB29" i="52"/>
  <c r="AZ29" i="52"/>
  <c r="AX29" i="52"/>
  <c r="AV29" i="52"/>
  <c r="AT29" i="52"/>
  <c r="AR29" i="52"/>
  <c r="AP29" i="52"/>
  <c r="AN29" i="52"/>
  <c r="AL29" i="52"/>
  <c r="AJ29" i="52"/>
  <c r="AH29" i="52"/>
  <c r="AF29" i="52"/>
  <c r="AD29" i="52"/>
  <c r="AB29" i="52"/>
  <c r="Z29" i="52"/>
  <c r="X29" i="52"/>
  <c r="V29" i="52"/>
  <c r="T29" i="52"/>
  <c r="R29" i="52"/>
  <c r="P29" i="52"/>
  <c r="N29" i="52"/>
  <c r="L29" i="52"/>
  <c r="J29" i="52"/>
  <c r="H29" i="52"/>
  <c r="F29" i="52"/>
  <c r="CI29" i="51"/>
  <c r="CF29" i="51"/>
  <c r="CD29" i="51"/>
  <c r="CB29" i="51"/>
  <c r="BZ29" i="51"/>
  <c r="BX29" i="51"/>
  <c r="BV29" i="51"/>
  <c r="BT29" i="51"/>
  <c r="BR29" i="51"/>
  <c r="BP29" i="51"/>
  <c r="BN29" i="51"/>
  <c r="BL29" i="51"/>
  <c r="BJ29" i="51"/>
  <c r="BH29" i="51"/>
  <c r="BF29" i="51"/>
  <c r="BD29" i="51"/>
  <c r="BB29" i="51"/>
  <c r="AZ29" i="51"/>
  <c r="AX29" i="51"/>
  <c r="AV29" i="51"/>
  <c r="AT29" i="51"/>
  <c r="AR29" i="51"/>
  <c r="AP29" i="51"/>
  <c r="AN29" i="51"/>
  <c r="AL29" i="51"/>
  <c r="AJ29" i="51"/>
  <c r="AH29" i="51"/>
  <c r="AF29" i="51"/>
  <c r="AD29" i="51"/>
  <c r="AB29" i="51"/>
  <c r="Z29" i="51"/>
  <c r="X29" i="51"/>
  <c r="V29" i="51"/>
  <c r="T29" i="51"/>
  <c r="R29" i="51"/>
  <c r="P29" i="51"/>
  <c r="N29" i="51"/>
  <c r="L29" i="51"/>
  <c r="J29" i="51"/>
  <c r="H29" i="51"/>
  <c r="F29" i="51"/>
  <c r="CI29" i="50"/>
  <c r="CF29" i="50"/>
  <c r="CD29" i="50"/>
  <c r="CB29" i="50"/>
  <c r="BZ29" i="50"/>
  <c r="BX29" i="50"/>
  <c r="BV29" i="50"/>
  <c r="BT29" i="50"/>
  <c r="BR29" i="50"/>
  <c r="BP29" i="50"/>
  <c r="BN29" i="50"/>
  <c r="BL29" i="50"/>
  <c r="BJ29" i="50"/>
  <c r="BH29" i="50"/>
  <c r="BF29" i="50"/>
  <c r="BD29" i="50"/>
  <c r="BB29" i="50"/>
  <c r="AZ29" i="50"/>
  <c r="AX29" i="50"/>
  <c r="AV29" i="50"/>
  <c r="AT29" i="50"/>
  <c r="AR29" i="50"/>
  <c r="AP29" i="50"/>
  <c r="AN29" i="50"/>
  <c r="AL29" i="50"/>
  <c r="AJ29" i="50"/>
  <c r="AH29" i="50"/>
  <c r="AF29" i="50"/>
  <c r="AD29" i="50"/>
  <c r="AB29" i="50"/>
  <c r="Z29" i="50"/>
  <c r="X29" i="50"/>
  <c r="V29" i="50"/>
  <c r="T29" i="50"/>
  <c r="R29" i="50"/>
  <c r="P29" i="50"/>
  <c r="N29" i="50"/>
  <c r="L29" i="50"/>
  <c r="J29" i="50"/>
  <c r="H29" i="50"/>
  <c r="F29" i="50"/>
  <c r="CI29" i="49"/>
  <c r="CF29" i="49"/>
  <c r="CD29" i="49"/>
  <c r="CB29" i="49"/>
  <c r="BZ29" i="49"/>
  <c r="BX29" i="49"/>
  <c r="BV29" i="49"/>
  <c r="BT29" i="49"/>
  <c r="BR29" i="49"/>
  <c r="BP29" i="49"/>
  <c r="BN29" i="49"/>
  <c r="BL29" i="49"/>
  <c r="BJ29" i="49"/>
  <c r="BH29" i="49"/>
  <c r="BF29" i="49"/>
  <c r="BD29" i="49"/>
  <c r="BB29" i="49"/>
  <c r="AZ29" i="49"/>
  <c r="AX29" i="49"/>
  <c r="AV29" i="49"/>
  <c r="AT29" i="49"/>
  <c r="AR29" i="49"/>
  <c r="AP29" i="49"/>
  <c r="AN29" i="49"/>
  <c r="AL29" i="49"/>
  <c r="AJ29" i="49"/>
  <c r="AH29" i="49"/>
  <c r="AF29" i="49"/>
  <c r="AD29" i="49"/>
  <c r="AB29" i="49"/>
  <c r="Z29" i="49"/>
  <c r="X29" i="49"/>
  <c r="V29" i="49"/>
  <c r="T29" i="49"/>
  <c r="R29" i="49"/>
  <c r="P29" i="49"/>
  <c r="N29" i="49"/>
  <c r="L29" i="49"/>
  <c r="J29" i="49"/>
  <c r="H29" i="49"/>
  <c r="F29" i="49"/>
  <c r="CI29" i="48"/>
  <c r="CF29" i="48"/>
  <c r="CD29" i="48"/>
  <c r="CB29" i="48"/>
  <c r="BZ29" i="48"/>
  <c r="BX29" i="48"/>
  <c r="BV29" i="48"/>
  <c r="BT29" i="48"/>
  <c r="BR29" i="48"/>
  <c r="BP29" i="48"/>
  <c r="BN29" i="48"/>
  <c r="BL29" i="48"/>
  <c r="BJ29" i="48"/>
  <c r="BH29" i="48"/>
  <c r="BF29" i="48"/>
  <c r="BD29" i="48"/>
  <c r="BB29" i="48"/>
  <c r="AZ29" i="48"/>
  <c r="AX29" i="48"/>
  <c r="AV29" i="48"/>
  <c r="AT29" i="48"/>
  <c r="AR29" i="48"/>
  <c r="AP29" i="48"/>
  <c r="AN29" i="48"/>
  <c r="AL29" i="48"/>
  <c r="AJ29" i="48"/>
  <c r="AH29" i="48"/>
  <c r="AF29" i="48"/>
  <c r="AD29" i="48"/>
  <c r="AB29" i="48"/>
  <c r="Z29" i="48"/>
  <c r="X29" i="48"/>
  <c r="V29" i="48"/>
  <c r="T29" i="48"/>
  <c r="R29" i="48"/>
  <c r="P29" i="48"/>
  <c r="N29" i="48"/>
  <c r="L29" i="48"/>
  <c r="J29" i="48"/>
  <c r="H29" i="48"/>
  <c r="F29" i="48"/>
  <c r="CI29" i="47"/>
  <c r="CF29" i="47"/>
  <c r="CD29" i="47"/>
  <c r="CB29" i="47"/>
  <c r="BZ29" i="47"/>
  <c r="BX29" i="47"/>
  <c r="BV29" i="47"/>
  <c r="BT29" i="47"/>
  <c r="BR29" i="47"/>
  <c r="BP29" i="47"/>
  <c r="BN29" i="47"/>
  <c r="BL29" i="47"/>
  <c r="BJ29" i="47"/>
  <c r="BH29" i="47"/>
  <c r="BF29" i="47"/>
  <c r="BD29" i="47"/>
  <c r="BB29" i="47"/>
  <c r="AZ29" i="47"/>
  <c r="AX29" i="47"/>
  <c r="AV29" i="47"/>
  <c r="AT29" i="47"/>
  <c r="AR29" i="47"/>
  <c r="AP29" i="47"/>
  <c r="AN29" i="47"/>
  <c r="AL29" i="47"/>
  <c r="AJ29" i="47"/>
  <c r="AH29" i="47"/>
  <c r="AF29" i="47"/>
  <c r="AD29" i="47"/>
  <c r="AB29" i="47"/>
  <c r="Z29" i="47"/>
  <c r="X29" i="47"/>
  <c r="V29" i="47"/>
  <c r="T29" i="47"/>
  <c r="R29" i="47"/>
  <c r="P29" i="47"/>
  <c r="N29" i="47"/>
  <c r="L29" i="47"/>
  <c r="J29" i="47"/>
  <c r="H29" i="47"/>
  <c r="F29" i="47"/>
  <c r="CI29" i="46"/>
  <c r="CF29" i="46"/>
  <c r="CD29" i="46"/>
  <c r="CB29" i="46"/>
  <c r="BZ29" i="46"/>
  <c r="BX29" i="46"/>
  <c r="BV29" i="46"/>
  <c r="BT29" i="46"/>
  <c r="BR29" i="46"/>
  <c r="BP29" i="46"/>
  <c r="BN29" i="46"/>
  <c r="BL29" i="46"/>
  <c r="BJ29" i="46"/>
  <c r="BH29" i="46"/>
  <c r="BF29" i="46"/>
  <c r="BD29" i="46"/>
  <c r="BB29" i="46"/>
  <c r="AZ29" i="46"/>
  <c r="AX29" i="46"/>
  <c r="AV29" i="46"/>
  <c r="AT29" i="46"/>
  <c r="AR29" i="46"/>
  <c r="AP29" i="46"/>
  <c r="AN29" i="46"/>
  <c r="AL29" i="46"/>
  <c r="AJ29" i="46"/>
  <c r="AH29" i="46"/>
  <c r="AF29" i="46"/>
  <c r="AD29" i="46"/>
  <c r="AB29" i="46"/>
  <c r="Z29" i="46"/>
  <c r="X29" i="46"/>
  <c r="V29" i="46"/>
  <c r="T29" i="46"/>
  <c r="R29" i="46"/>
  <c r="P29" i="46"/>
  <c r="N29" i="46"/>
  <c r="L29" i="46"/>
  <c r="J29" i="46"/>
  <c r="H29" i="46"/>
  <c r="F29" i="46"/>
  <c r="CI29" i="45"/>
  <c r="CF29" i="45"/>
  <c r="CD29" i="45"/>
  <c r="CB29" i="45"/>
  <c r="BZ29" i="45"/>
  <c r="BX29" i="45"/>
  <c r="BV29" i="45"/>
  <c r="BT29" i="45"/>
  <c r="BR29" i="45"/>
  <c r="BP29" i="45"/>
  <c r="BN29" i="45"/>
  <c r="BL29" i="45"/>
  <c r="BJ29" i="45"/>
  <c r="BH29" i="45"/>
  <c r="BF29" i="45"/>
  <c r="BD29" i="45"/>
  <c r="BB29" i="45"/>
  <c r="AZ29" i="45"/>
  <c r="AX29" i="45"/>
  <c r="AV29" i="45"/>
  <c r="AT29" i="45"/>
  <c r="AR29" i="45"/>
  <c r="AP29" i="45"/>
  <c r="AN29" i="45"/>
  <c r="AL29" i="45"/>
  <c r="AJ29" i="45"/>
  <c r="AH29" i="45"/>
  <c r="AF29" i="45"/>
  <c r="AD29" i="45"/>
  <c r="AB29" i="45"/>
  <c r="Z29" i="45"/>
  <c r="X29" i="45"/>
  <c r="V29" i="45"/>
  <c r="T29" i="45"/>
  <c r="R29" i="45"/>
  <c r="P29" i="45"/>
  <c r="N29" i="45"/>
  <c r="L29" i="45"/>
  <c r="J29" i="45"/>
  <c r="H29" i="45"/>
  <c r="F29" i="45"/>
  <c r="CF29" i="44"/>
  <c r="CD29" i="44"/>
  <c r="CB29" i="44"/>
  <c r="BZ29" i="44"/>
  <c r="BX29" i="44"/>
  <c r="BV29" i="44"/>
  <c r="BT29" i="44"/>
  <c r="BR29" i="44"/>
  <c r="BP29" i="44"/>
  <c r="BN29" i="44"/>
  <c r="BL29" i="44"/>
  <c r="BJ29" i="44"/>
  <c r="BH29" i="44"/>
  <c r="BF29" i="44"/>
  <c r="BD29" i="44"/>
  <c r="BB29" i="44"/>
  <c r="AZ29" i="44"/>
  <c r="AX29" i="44"/>
  <c r="AV29" i="44"/>
  <c r="AT29" i="44"/>
  <c r="AR29" i="44"/>
  <c r="AP29" i="44"/>
  <c r="AN29" i="44"/>
  <c r="AL29" i="44"/>
  <c r="AJ29" i="44"/>
  <c r="AH29" i="44"/>
  <c r="AF29" i="44"/>
  <c r="AD29" i="44"/>
  <c r="AB29" i="44"/>
  <c r="Z29" i="44"/>
  <c r="X29" i="44"/>
  <c r="V29" i="44"/>
  <c r="T29" i="44"/>
  <c r="R29" i="44"/>
  <c r="P29" i="44"/>
  <c r="N29" i="44"/>
  <c r="L29" i="44"/>
  <c r="J29" i="44"/>
  <c r="H29" i="44"/>
  <c r="CI29" i="44"/>
  <c r="F29" i="44"/>
  <c r="AB26" i="33"/>
  <c r="CF26" i="33"/>
  <c r="CB26" i="33"/>
  <c r="BJ26" i="33"/>
  <c r="BT26" i="33"/>
  <c r="BH26" i="33"/>
  <c r="BP26" i="33"/>
  <c r="AN26" i="33"/>
  <c r="BB26" i="33"/>
  <c r="AD26" i="33"/>
  <c r="BD26" i="33"/>
  <c r="P26" i="33"/>
  <c r="V26" i="33"/>
  <c r="AF26" i="33"/>
  <c r="AJ26" i="33"/>
  <c r="CD26" i="33"/>
  <c r="N26" i="33"/>
  <c r="AV26" i="33"/>
  <c r="BV26" i="33"/>
  <c r="AT26" i="33"/>
  <c r="T26" i="33"/>
  <c r="R26" i="33"/>
  <c r="BF26" i="33"/>
  <c r="AH26" i="33"/>
  <c r="BN26" i="33"/>
  <c r="BX26" i="33"/>
  <c r="AL26" i="33"/>
  <c r="Z26" i="33"/>
  <c r="X26" i="33"/>
  <c r="AP26" i="33"/>
  <c r="AR26" i="33"/>
  <c r="BR26" i="33"/>
  <c r="BZ26" i="33"/>
  <c r="F26" i="33"/>
  <c r="BL26" i="33"/>
  <c r="AZ26" i="33"/>
  <c r="AX26" i="33"/>
  <c r="L26" i="33"/>
  <c r="CJ18" i="44"/>
  <c r="CK22" i="44"/>
  <c r="CL33" i="44"/>
  <c r="CK20" i="44"/>
  <c r="CL27" i="44"/>
  <c r="BP18" i="33"/>
  <c r="BT18" i="33"/>
  <c r="BB18" i="33"/>
  <c r="AB18" i="33"/>
  <c r="AN18" i="33"/>
  <c r="CF18" i="33"/>
  <c r="BJ18" i="33"/>
  <c r="BH18" i="33"/>
  <c r="CB18" i="33"/>
  <c r="F18" i="33"/>
  <c r="AF18" i="33"/>
  <c r="AZ18" i="33"/>
  <c r="AV18" i="33"/>
  <c r="AL18" i="33"/>
  <c r="P18" i="33"/>
  <c r="Z18" i="33"/>
  <c r="T18" i="33"/>
  <c r="R18" i="33"/>
  <c r="BF18" i="33"/>
  <c r="BR18" i="33"/>
  <c r="AX18" i="33"/>
  <c r="AH18" i="33"/>
  <c r="BN18" i="33"/>
  <c r="BL18" i="33"/>
  <c r="BZ18" i="33"/>
  <c r="BX18" i="33"/>
  <c r="L18" i="33"/>
  <c r="AP18" i="33"/>
  <c r="AR18" i="33"/>
  <c r="AD18" i="33"/>
  <c r="BD18" i="33"/>
  <c r="V18" i="33"/>
  <c r="X18" i="33"/>
  <c r="AJ18" i="33"/>
  <c r="CD18" i="33"/>
  <c r="N18" i="33"/>
  <c r="BV18" i="33"/>
  <c r="AT18" i="33"/>
  <c r="BP29" i="33"/>
  <c r="AN29" i="33"/>
  <c r="BB29" i="33"/>
  <c r="AB29" i="33"/>
  <c r="CF29" i="33"/>
  <c r="CB29" i="33"/>
  <c r="BJ29" i="33"/>
  <c r="BT29" i="33"/>
  <c r="BH29" i="33"/>
  <c r="F29" i="33"/>
  <c r="AZ29" i="33"/>
  <c r="AL29" i="33"/>
  <c r="P29" i="33"/>
  <c r="Z29" i="33"/>
  <c r="T29" i="33"/>
  <c r="R29" i="33"/>
  <c r="BF29" i="33"/>
  <c r="BR29" i="33"/>
  <c r="AX29" i="33"/>
  <c r="AH29" i="33"/>
  <c r="BN29" i="33"/>
  <c r="BZ29" i="33"/>
  <c r="BX29" i="33"/>
  <c r="L29" i="33"/>
  <c r="AP29" i="33"/>
  <c r="AR29" i="33"/>
  <c r="AD29" i="33"/>
  <c r="BD29" i="33"/>
  <c r="V29" i="33"/>
  <c r="X29" i="33"/>
  <c r="AF29" i="33"/>
  <c r="AJ29" i="33"/>
  <c r="BL29" i="33"/>
  <c r="CD29" i="33"/>
  <c r="N29" i="33"/>
  <c r="AV29" i="33"/>
  <c r="BV29" i="33"/>
  <c r="AT29" i="33"/>
  <c r="CJ22" i="44"/>
  <c r="CJ32" i="44"/>
  <c r="CK15" i="44"/>
  <c r="CK23" i="44"/>
  <c r="CK33" i="44"/>
  <c r="CL17" i="44"/>
  <c r="CL26" i="44"/>
  <c r="CL34" i="44"/>
  <c r="CL20" i="44"/>
  <c r="AN30" i="33"/>
  <c r="BB30" i="33"/>
  <c r="AB30" i="33"/>
  <c r="CF30" i="33"/>
  <c r="CB30" i="33"/>
  <c r="BJ30" i="33"/>
  <c r="BH30" i="33"/>
  <c r="BP30" i="33"/>
  <c r="BT30" i="33"/>
  <c r="T30" i="33"/>
  <c r="BD30" i="33"/>
  <c r="R30" i="33"/>
  <c r="BF30" i="33"/>
  <c r="BR30" i="33"/>
  <c r="AX30" i="33"/>
  <c r="AH30" i="33"/>
  <c r="BN30" i="33"/>
  <c r="BL30" i="33"/>
  <c r="BZ30" i="33"/>
  <c r="BX30" i="33"/>
  <c r="L30" i="33"/>
  <c r="F30" i="33"/>
  <c r="AD30" i="33"/>
  <c r="V30" i="33"/>
  <c r="X30" i="33"/>
  <c r="AJ30" i="33"/>
  <c r="CD30" i="33"/>
  <c r="N30" i="33"/>
  <c r="AV30" i="33"/>
  <c r="BV30" i="33"/>
  <c r="AT30" i="33"/>
  <c r="AZ30" i="33"/>
  <c r="AL30" i="33"/>
  <c r="P30" i="33"/>
  <c r="Z30" i="33"/>
  <c r="AP30" i="33"/>
  <c r="AF30" i="33"/>
  <c r="AR30" i="33"/>
  <c r="BJ27" i="33"/>
  <c r="BT27" i="33"/>
  <c r="BH27" i="33"/>
  <c r="BP27" i="33"/>
  <c r="AN27" i="33"/>
  <c r="BB27" i="33"/>
  <c r="AB27" i="33"/>
  <c r="CF27" i="33"/>
  <c r="CB27" i="33"/>
  <c r="AL27" i="33"/>
  <c r="Z27" i="33"/>
  <c r="AP27" i="33"/>
  <c r="AR27" i="33"/>
  <c r="BD27" i="33"/>
  <c r="X27" i="33"/>
  <c r="AJ27" i="33"/>
  <c r="F27" i="33"/>
  <c r="BL27" i="33"/>
  <c r="AZ27" i="33"/>
  <c r="AD27" i="33"/>
  <c r="N27" i="33"/>
  <c r="AV27" i="33"/>
  <c r="T27" i="33"/>
  <c r="P27" i="33"/>
  <c r="R27" i="33"/>
  <c r="BF27" i="33"/>
  <c r="BR27" i="33"/>
  <c r="AX27" i="33"/>
  <c r="AH27" i="33"/>
  <c r="BN27" i="33"/>
  <c r="BZ27" i="33"/>
  <c r="BX27" i="33"/>
  <c r="L27" i="33"/>
  <c r="V27" i="33"/>
  <c r="AF27" i="33"/>
  <c r="CD27" i="33"/>
  <c r="BV27" i="33"/>
  <c r="AT27" i="33"/>
  <c r="BP34" i="33"/>
  <c r="CB34" i="33"/>
  <c r="AN34" i="33"/>
  <c r="BB34" i="33"/>
  <c r="AB34" i="33"/>
  <c r="BT34" i="33"/>
  <c r="CF34" i="33"/>
  <c r="BJ34" i="33"/>
  <c r="BH34" i="33"/>
  <c r="F34" i="33"/>
  <c r="AF34" i="33"/>
  <c r="AZ34" i="33"/>
  <c r="AV34" i="33"/>
  <c r="T34" i="33"/>
  <c r="BD34" i="33"/>
  <c r="P34" i="33"/>
  <c r="R34" i="33"/>
  <c r="BF34" i="33"/>
  <c r="BR34" i="33"/>
  <c r="AX34" i="33"/>
  <c r="AH34" i="33"/>
  <c r="BN34" i="33"/>
  <c r="BL34" i="33"/>
  <c r="BZ34" i="33"/>
  <c r="BX34" i="33"/>
  <c r="L34" i="33"/>
  <c r="AP34" i="33"/>
  <c r="AR34" i="33"/>
  <c r="AD34" i="33"/>
  <c r="V34" i="33"/>
  <c r="X34" i="33"/>
  <c r="AJ34" i="33"/>
  <c r="CD34" i="33"/>
  <c r="N34" i="33"/>
  <c r="BV34" i="33"/>
  <c r="AT34" i="33"/>
  <c r="AL34" i="33"/>
  <c r="Z34" i="33"/>
  <c r="CK32" i="44"/>
  <c r="CL23" i="44"/>
  <c r="CL30" i="44"/>
  <c r="BJ22" i="33"/>
  <c r="BH22" i="33"/>
  <c r="BP22" i="33"/>
  <c r="AN22" i="33"/>
  <c r="BB22" i="33"/>
  <c r="CB22" i="33"/>
  <c r="AB22" i="33"/>
  <c r="BT22" i="33"/>
  <c r="CF22" i="33"/>
  <c r="AL22" i="33"/>
  <c r="Z22" i="33"/>
  <c r="AP22" i="33"/>
  <c r="BL22" i="33"/>
  <c r="AR22" i="33"/>
  <c r="AD22" i="33"/>
  <c r="V22" i="33"/>
  <c r="AJ22" i="33"/>
  <c r="CD22" i="33"/>
  <c r="N22" i="33"/>
  <c r="BV22" i="33"/>
  <c r="AT22" i="33"/>
  <c r="F22" i="33"/>
  <c r="AZ22" i="33"/>
  <c r="T22" i="33"/>
  <c r="BD22" i="33"/>
  <c r="P22" i="33"/>
  <c r="R22" i="33"/>
  <c r="BF22" i="33"/>
  <c r="BR22" i="33"/>
  <c r="AX22" i="33"/>
  <c r="AH22" i="33"/>
  <c r="X22" i="33"/>
  <c r="AF22" i="33"/>
  <c r="BN22" i="33"/>
  <c r="BZ22" i="33"/>
  <c r="BX22" i="33"/>
  <c r="L22" i="33"/>
  <c r="AV22" i="33"/>
  <c r="AB32" i="33"/>
  <c r="BT32" i="33"/>
  <c r="CF32" i="33"/>
  <c r="BJ32" i="33"/>
  <c r="BH32" i="33"/>
  <c r="BP32" i="33"/>
  <c r="CB32" i="33"/>
  <c r="AN32" i="33"/>
  <c r="BB32" i="33"/>
  <c r="AD32" i="33"/>
  <c r="V32" i="33"/>
  <c r="X32" i="33"/>
  <c r="AJ32" i="33"/>
  <c r="CD32" i="33"/>
  <c r="N32" i="33"/>
  <c r="BV32" i="33"/>
  <c r="AT32" i="33"/>
  <c r="BD32" i="33"/>
  <c r="BF32" i="33"/>
  <c r="AX32" i="33"/>
  <c r="AH32" i="33"/>
  <c r="BN32" i="33"/>
  <c r="BX32" i="33"/>
  <c r="AL32" i="33"/>
  <c r="P32" i="33"/>
  <c r="Z32" i="33"/>
  <c r="AP32" i="33"/>
  <c r="AF32" i="33"/>
  <c r="AV32" i="33"/>
  <c r="AR32" i="33"/>
  <c r="R32" i="33"/>
  <c r="BR32" i="33"/>
  <c r="BL32" i="33"/>
  <c r="BZ32" i="33"/>
  <c r="F32" i="33"/>
  <c r="AZ32" i="33"/>
  <c r="T32" i="33"/>
  <c r="L32" i="33"/>
  <c r="CJ15" i="44"/>
  <c r="CJ23" i="44"/>
  <c r="CJ33" i="44"/>
  <c r="CK17" i="44"/>
  <c r="CK26" i="44"/>
  <c r="CK34" i="44"/>
  <c r="CL18" i="44"/>
  <c r="CL29" i="44"/>
  <c r="AB20" i="33"/>
  <c r="CF20" i="33"/>
  <c r="BJ20" i="33"/>
  <c r="AN20" i="33"/>
  <c r="BH20" i="33"/>
  <c r="BP20" i="33"/>
  <c r="BT20" i="33"/>
  <c r="CB20" i="33"/>
  <c r="BB20" i="33"/>
  <c r="AD20" i="33"/>
  <c r="BD20" i="33"/>
  <c r="V20" i="33"/>
  <c r="AJ20" i="33"/>
  <c r="CD20" i="33"/>
  <c r="N20" i="33"/>
  <c r="BV20" i="33"/>
  <c r="AT20" i="33"/>
  <c r="P20" i="33"/>
  <c r="BF20" i="33"/>
  <c r="BR20" i="33"/>
  <c r="AX20" i="33"/>
  <c r="BL20" i="33"/>
  <c r="BZ20" i="33"/>
  <c r="AL20" i="33"/>
  <c r="Z20" i="33"/>
  <c r="AP20" i="33"/>
  <c r="AV20" i="33"/>
  <c r="AR20" i="33"/>
  <c r="R20" i="33"/>
  <c r="AH20" i="33"/>
  <c r="X20" i="33"/>
  <c r="L20" i="33"/>
  <c r="F20" i="33"/>
  <c r="AZ20" i="33"/>
  <c r="T20" i="33"/>
  <c r="AF20" i="33"/>
  <c r="BN20" i="33"/>
  <c r="BX20" i="33"/>
  <c r="BB24" i="33"/>
  <c r="AB24" i="33"/>
  <c r="BT24" i="33"/>
  <c r="CF24" i="33"/>
  <c r="BJ24" i="33"/>
  <c r="BH24" i="33"/>
  <c r="BP24" i="33"/>
  <c r="AN24" i="33"/>
  <c r="CB24" i="33"/>
  <c r="T24" i="33"/>
  <c r="R24" i="33"/>
  <c r="BF24" i="33"/>
  <c r="BR24" i="33"/>
  <c r="AX24" i="33"/>
  <c r="AH24" i="33"/>
  <c r="X24" i="33"/>
  <c r="BN24" i="33"/>
  <c r="BZ24" i="33"/>
  <c r="BX24" i="33"/>
  <c r="L24" i="33"/>
  <c r="BD24" i="33"/>
  <c r="AD24" i="33"/>
  <c r="P24" i="33"/>
  <c r="V24" i="33"/>
  <c r="AF24" i="33"/>
  <c r="AJ24" i="33"/>
  <c r="CD24" i="33"/>
  <c r="N24" i="33"/>
  <c r="BV24" i="33"/>
  <c r="AT24" i="33"/>
  <c r="BL24" i="33"/>
  <c r="AZ24" i="33"/>
  <c r="AL24" i="33"/>
  <c r="Z24" i="33"/>
  <c r="AP24" i="33"/>
  <c r="AV24" i="33"/>
  <c r="AR24" i="33"/>
  <c r="F24" i="33"/>
  <c r="CJ24" i="44"/>
  <c r="CJ30" i="44"/>
  <c r="CJ27" i="44"/>
  <c r="BJ17" i="33"/>
  <c r="BT17" i="33"/>
  <c r="BH17" i="33"/>
  <c r="CB17" i="33"/>
  <c r="BP17" i="33"/>
  <c r="AN17" i="33"/>
  <c r="BB17" i="33"/>
  <c r="AB17" i="33"/>
  <c r="CF17" i="33"/>
  <c r="AL17" i="33"/>
  <c r="Z17" i="33"/>
  <c r="X17" i="33"/>
  <c r="AP17" i="33"/>
  <c r="BL17" i="33"/>
  <c r="AR17" i="33"/>
  <c r="AD17" i="33"/>
  <c r="BD17" i="33"/>
  <c r="AJ17" i="33"/>
  <c r="BV17" i="33"/>
  <c r="P17" i="33"/>
  <c r="F17" i="33"/>
  <c r="AF17" i="33"/>
  <c r="AZ17" i="33"/>
  <c r="N17" i="33"/>
  <c r="T17" i="33"/>
  <c r="R17" i="33"/>
  <c r="BF17" i="33"/>
  <c r="BR17" i="33"/>
  <c r="AX17" i="33"/>
  <c r="AH17" i="33"/>
  <c r="BN17" i="33"/>
  <c r="BZ17" i="33"/>
  <c r="BX17" i="33"/>
  <c r="L17" i="33"/>
  <c r="AV17" i="33"/>
  <c r="V17" i="33"/>
  <c r="CD17" i="33"/>
  <c r="AT17" i="33"/>
  <c r="CJ29" i="44"/>
  <c r="CL15" i="44"/>
  <c r="CL24" i="44"/>
  <c r="AB15" i="33"/>
  <c r="CF15" i="33"/>
  <c r="CB15" i="33"/>
  <c r="BJ15" i="33"/>
  <c r="AN15" i="33"/>
  <c r="BT15" i="33"/>
  <c r="BH15" i="33"/>
  <c r="BP15" i="33"/>
  <c r="BB15" i="33"/>
  <c r="AD15" i="33"/>
  <c r="V15" i="33"/>
  <c r="X15" i="33"/>
  <c r="AF15" i="33"/>
  <c r="AJ15" i="33"/>
  <c r="CD15" i="33"/>
  <c r="N15" i="33"/>
  <c r="BV15" i="33"/>
  <c r="AT15" i="33"/>
  <c r="BD15" i="33"/>
  <c r="R15" i="33"/>
  <c r="BF15" i="33"/>
  <c r="AX15" i="33"/>
  <c r="AH15" i="33"/>
  <c r="BN15" i="33"/>
  <c r="BX15" i="33"/>
  <c r="L15" i="33"/>
  <c r="AL15" i="33"/>
  <c r="Z15" i="33"/>
  <c r="AP15" i="33"/>
  <c r="AR15" i="33"/>
  <c r="BR15" i="33"/>
  <c r="P15" i="33"/>
  <c r="F15" i="33"/>
  <c r="BL15" i="33"/>
  <c r="AZ15" i="33"/>
  <c r="T15" i="33"/>
  <c r="BZ15" i="33"/>
  <c r="AV15" i="33"/>
  <c r="BP23" i="33"/>
  <c r="AN23" i="33"/>
  <c r="BB23" i="33"/>
  <c r="CB23" i="33"/>
  <c r="AB23" i="33"/>
  <c r="BT23" i="33"/>
  <c r="CF23" i="33"/>
  <c r="BJ23" i="33"/>
  <c r="BH23" i="33"/>
  <c r="F23" i="33"/>
  <c r="AF23" i="33"/>
  <c r="AZ23" i="33"/>
  <c r="AP23" i="33"/>
  <c r="AR23" i="33"/>
  <c r="T23" i="33"/>
  <c r="BD23" i="33"/>
  <c r="P23" i="33"/>
  <c r="R23" i="33"/>
  <c r="BF23" i="33"/>
  <c r="BR23" i="33"/>
  <c r="AX23" i="33"/>
  <c r="AH23" i="33"/>
  <c r="X23" i="33"/>
  <c r="BN23" i="33"/>
  <c r="BZ23" i="33"/>
  <c r="BX23" i="33"/>
  <c r="L23" i="33"/>
  <c r="AV23" i="33"/>
  <c r="AD23" i="33"/>
  <c r="V23" i="33"/>
  <c r="AJ23" i="33"/>
  <c r="CD23" i="33"/>
  <c r="N23" i="33"/>
  <c r="BV23" i="33"/>
  <c r="AT23" i="33"/>
  <c r="AL23" i="33"/>
  <c r="Z23" i="33"/>
  <c r="BL23" i="33"/>
  <c r="BJ33" i="33"/>
  <c r="BH33" i="33"/>
  <c r="BP33" i="33"/>
  <c r="CB33" i="33"/>
  <c r="AN33" i="33"/>
  <c r="BB33" i="33"/>
  <c r="AB33" i="33"/>
  <c r="BT33" i="33"/>
  <c r="CF33" i="33"/>
  <c r="AL33" i="33"/>
  <c r="P33" i="33"/>
  <c r="Z33" i="33"/>
  <c r="X33" i="33"/>
  <c r="AP33" i="33"/>
  <c r="AV33" i="33"/>
  <c r="AR33" i="33"/>
  <c r="AJ33" i="33"/>
  <c r="BV33" i="33"/>
  <c r="F33" i="33"/>
  <c r="AZ33" i="33"/>
  <c r="AD33" i="33"/>
  <c r="N33" i="33"/>
  <c r="T33" i="33"/>
  <c r="BD33" i="33"/>
  <c r="R33" i="33"/>
  <c r="BF33" i="33"/>
  <c r="BR33" i="33"/>
  <c r="AX33" i="33"/>
  <c r="AH33" i="33"/>
  <c r="BN33" i="33"/>
  <c r="BL33" i="33"/>
  <c r="BZ33" i="33"/>
  <c r="BX33" i="33"/>
  <c r="L33" i="33"/>
  <c r="V33" i="33"/>
  <c r="AF33" i="33"/>
  <c r="CD33" i="33"/>
  <c r="AT33" i="33"/>
  <c r="CJ17" i="44"/>
  <c r="CJ26" i="44"/>
  <c r="CJ34" i="44"/>
  <c r="CK18" i="44"/>
  <c r="CK29" i="44"/>
  <c r="CL22" i="44"/>
  <c r="CL32" i="44"/>
  <c r="CJ20" i="44"/>
  <c r="CK24" i="44"/>
  <c r="CK30" i="44"/>
  <c r="CK27" i="44"/>
  <c r="CJ15" i="33"/>
  <c r="CJ23" i="33"/>
  <c r="CK17" i="33"/>
  <c r="CK26" i="33"/>
  <c r="CK34" i="33"/>
  <c r="CL18" i="33"/>
  <c r="CL29" i="33"/>
  <c r="CJ30" i="33"/>
  <c r="CJ27" i="33"/>
  <c r="CJ17" i="33"/>
  <c r="CJ26" i="33"/>
  <c r="CJ34" i="33"/>
  <c r="CK18" i="33"/>
  <c r="CK29" i="33"/>
  <c r="CL22" i="33"/>
  <c r="CL32" i="33"/>
  <c r="CJ20" i="33"/>
  <c r="CK24" i="33"/>
  <c r="CK30" i="33"/>
  <c r="CK27" i="33"/>
  <c r="CI34" i="33"/>
  <c r="CJ18" i="33"/>
  <c r="CJ29" i="33"/>
  <c r="CK22" i="33"/>
  <c r="CK32" i="33"/>
  <c r="CL15" i="33"/>
  <c r="CL23" i="33"/>
  <c r="CK20" i="33"/>
  <c r="CL24" i="33"/>
  <c r="CL30" i="33"/>
  <c r="CL27" i="33"/>
  <c r="CJ22" i="33"/>
  <c r="CJ32" i="33"/>
  <c r="CK15" i="33"/>
  <c r="CK23" i="33"/>
  <c r="CL17" i="33"/>
  <c r="CL26" i="33"/>
  <c r="CL34" i="33"/>
  <c r="CL20" i="33"/>
  <c r="CI22" i="33"/>
  <c r="CI26" i="33"/>
  <c r="CI18" i="33"/>
  <c r="CI29" i="33"/>
  <c r="CI30" i="33"/>
  <c r="CI27" i="33"/>
  <c r="CI32" i="33"/>
  <c r="CI20" i="33"/>
  <c r="CJ24" i="33"/>
  <c r="CI15" i="33"/>
  <c r="CI23" i="33"/>
  <c r="CI17" i="33"/>
  <c r="CL33" i="33"/>
  <c r="CK33" i="33"/>
  <c r="CJ33" i="33"/>
  <c r="CI33" i="33"/>
  <c r="P5" i="3"/>
  <c r="P8" i="3"/>
  <c r="R8" i="3" s="1"/>
  <c r="P7" i="3"/>
  <c r="R7" i="3" s="1"/>
  <c r="P6" i="3"/>
  <c r="R6" i="3" s="1"/>
  <c r="AE6" i="3"/>
  <c r="AD6" i="3"/>
  <c r="AC6" i="3"/>
  <c r="AB6" i="3"/>
  <c r="B34" i="47" l="1"/>
  <c r="D34" i="47" s="1"/>
  <c r="B17" i="54"/>
  <c r="D17" i="54" s="1"/>
  <c r="B34" i="53"/>
  <c r="D34" i="53" s="1"/>
  <c r="B26" i="54"/>
  <c r="D26" i="54" s="1"/>
  <c r="B27" i="47"/>
  <c r="D27" i="47" s="1"/>
  <c r="B34" i="49"/>
  <c r="D34" i="49" s="1"/>
  <c r="B26" i="46"/>
  <c r="D26" i="46" s="1"/>
  <c r="B26" i="48"/>
  <c r="D26" i="48" s="1"/>
  <c r="B26" i="47"/>
  <c r="D26" i="47" s="1"/>
  <c r="B34" i="45"/>
  <c r="D34" i="45" s="1"/>
  <c r="B26" i="52"/>
  <c r="D26" i="52" s="1"/>
  <c r="B17" i="51"/>
  <c r="D17" i="51" s="1"/>
  <c r="B26" i="53"/>
  <c r="D26" i="53" s="1"/>
  <c r="B26" i="50"/>
  <c r="D26" i="50" s="1"/>
  <c r="B26" i="49"/>
  <c r="D26" i="49" s="1"/>
  <c r="B26" i="45"/>
  <c r="D26" i="45" s="1"/>
  <c r="B17" i="53"/>
  <c r="D17" i="53" s="1"/>
  <c r="B17" i="45"/>
  <c r="D17" i="45" s="1"/>
  <c r="B17" i="50"/>
  <c r="D17" i="50" s="1"/>
  <c r="B24" i="45"/>
  <c r="D24" i="45" s="1"/>
  <c r="B32" i="52"/>
  <c r="D32" i="52" s="1"/>
  <c r="B32" i="51"/>
  <c r="D32" i="51" s="1"/>
  <c r="B33" i="47"/>
  <c r="D33" i="47" s="1"/>
  <c r="B33" i="50"/>
  <c r="D33" i="50" s="1"/>
  <c r="B23" i="45"/>
  <c r="D23" i="45" s="1"/>
  <c r="B23" i="53"/>
  <c r="D23" i="53" s="1"/>
  <c r="B15" i="53"/>
  <c r="D15" i="53" s="1"/>
  <c r="B15" i="47"/>
  <c r="D15" i="47" s="1"/>
  <c r="B15" i="52"/>
  <c r="D15" i="52" s="1"/>
  <c r="B30" i="47"/>
  <c r="D30" i="47" s="1"/>
  <c r="B24" i="52"/>
  <c r="D24" i="52" s="1"/>
  <c r="B24" i="49"/>
  <c r="D24" i="49" s="1"/>
  <c r="B20" i="49"/>
  <c r="D20" i="49" s="1"/>
  <c r="B20" i="53"/>
  <c r="D20" i="53" s="1"/>
  <c r="B20" i="47"/>
  <c r="D20" i="47" s="1"/>
  <c r="B32" i="49"/>
  <c r="D32" i="49" s="1"/>
  <c r="B22" i="48"/>
  <c r="D22" i="48" s="1"/>
  <c r="B22" i="50"/>
  <c r="D22" i="50" s="1"/>
  <c r="B22" i="51"/>
  <c r="D22" i="51" s="1"/>
  <c r="B27" i="49"/>
  <c r="D27" i="49" s="1"/>
  <c r="B30" i="52"/>
  <c r="D30" i="52" s="1"/>
  <c r="B30" i="50"/>
  <c r="D30" i="50" s="1"/>
  <c r="B18" i="54"/>
  <c r="D18" i="54" s="1"/>
  <c r="B18" i="46"/>
  <c r="D18" i="46" s="1"/>
  <c r="B33" i="54"/>
  <c r="D33" i="54" s="1"/>
  <c r="B33" i="45"/>
  <c r="D33" i="45" s="1"/>
  <c r="B33" i="52"/>
  <c r="D33" i="52" s="1"/>
  <c r="B23" i="47"/>
  <c r="D23" i="47" s="1"/>
  <c r="B23" i="52"/>
  <c r="D23" i="52" s="1"/>
  <c r="B15" i="48"/>
  <c r="D15" i="48" s="1"/>
  <c r="B15" i="51"/>
  <c r="D15" i="51" s="1"/>
  <c r="B15" i="46"/>
  <c r="D15" i="46" s="1"/>
  <c r="B24" i="53"/>
  <c r="D24" i="53" s="1"/>
  <c r="B24" i="48"/>
  <c r="D24" i="48" s="1"/>
  <c r="B20" i="45"/>
  <c r="D20" i="45" s="1"/>
  <c r="B18" i="45"/>
  <c r="D18" i="45" s="1"/>
  <c r="B32" i="48"/>
  <c r="D32" i="48" s="1"/>
  <c r="B32" i="53"/>
  <c r="D32" i="53" s="1"/>
  <c r="B32" i="54"/>
  <c r="D32" i="54" s="1"/>
  <c r="B22" i="49"/>
  <c r="D22" i="49" s="1"/>
  <c r="B22" i="46"/>
  <c r="D22" i="46" s="1"/>
  <c r="B27" i="51"/>
  <c r="D27" i="51" s="1"/>
  <c r="B30" i="45"/>
  <c r="D30" i="45" s="1"/>
  <c r="B30" i="48"/>
  <c r="D30" i="48" s="1"/>
  <c r="B18" i="53"/>
  <c r="D18" i="53" s="1"/>
  <c r="B33" i="51"/>
  <c r="D33" i="51" s="1"/>
  <c r="B33" i="46"/>
  <c r="D33" i="46" s="1"/>
  <c r="B23" i="51"/>
  <c r="D23" i="51" s="1"/>
  <c r="B23" i="46"/>
  <c r="D23" i="46" s="1"/>
  <c r="B15" i="50"/>
  <c r="D15" i="50" s="1"/>
  <c r="B15" i="45"/>
  <c r="D15" i="45" s="1"/>
  <c r="B24" i="47"/>
  <c r="D24" i="47" s="1"/>
  <c r="B24" i="51"/>
  <c r="D24" i="51" s="1"/>
  <c r="B24" i="54"/>
  <c r="D24" i="54" s="1"/>
  <c r="B20" i="46"/>
  <c r="D20" i="46" s="1"/>
  <c r="B20" i="54"/>
  <c r="D20" i="54" s="1"/>
  <c r="B20" i="51"/>
  <c r="D20" i="51" s="1"/>
  <c r="B32" i="47"/>
  <c r="D32" i="47" s="1"/>
  <c r="B22" i="54"/>
  <c r="D22" i="54" s="1"/>
  <c r="B22" i="53"/>
  <c r="D22" i="53" s="1"/>
  <c r="B22" i="45"/>
  <c r="D22" i="45" s="1"/>
  <c r="B27" i="54"/>
  <c r="D27" i="54" s="1"/>
  <c r="B27" i="45"/>
  <c r="D27" i="45" s="1"/>
  <c r="B27" i="53"/>
  <c r="D27" i="53" s="1"/>
  <c r="B30" i="54"/>
  <c r="D30" i="54" s="1"/>
  <c r="B30" i="46"/>
  <c r="D30" i="46" s="1"/>
  <c r="B30" i="51"/>
  <c r="D30" i="51" s="1"/>
  <c r="B18" i="51"/>
  <c r="D18" i="51" s="1"/>
  <c r="B18" i="52"/>
  <c r="D18" i="52" s="1"/>
  <c r="B18" i="48"/>
  <c r="D18" i="48" s="1"/>
  <c r="B27" i="48"/>
  <c r="D27" i="48" s="1"/>
  <c r="B33" i="49"/>
  <c r="D33" i="49" s="1"/>
  <c r="B33" i="53"/>
  <c r="D33" i="53" s="1"/>
  <c r="B33" i="48"/>
  <c r="D33" i="48" s="1"/>
  <c r="B15" i="54"/>
  <c r="D15" i="54" s="1"/>
  <c r="B15" i="49"/>
  <c r="D15" i="49" s="1"/>
  <c r="B30" i="53"/>
  <c r="D30" i="53" s="1"/>
  <c r="B30" i="49"/>
  <c r="D30" i="49" s="1"/>
  <c r="B24" i="46"/>
  <c r="D24" i="46" s="1"/>
  <c r="B24" i="50"/>
  <c r="D24" i="50" s="1"/>
  <c r="B20" i="50"/>
  <c r="D20" i="50" s="1"/>
  <c r="B32" i="46"/>
  <c r="D32" i="46" s="1"/>
  <c r="B32" i="50"/>
  <c r="D32" i="50" s="1"/>
  <c r="B22" i="52"/>
  <c r="D22" i="52" s="1"/>
  <c r="B22" i="47"/>
  <c r="D22" i="47" s="1"/>
  <c r="B27" i="52"/>
  <c r="D27" i="52" s="1"/>
  <c r="B27" i="50"/>
  <c r="D27" i="50" s="1"/>
  <c r="B27" i="46"/>
  <c r="D27" i="46" s="1"/>
  <c r="B18" i="49"/>
  <c r="D18" i="49" s="1"/>
  <c r="B18" i="50"/>
  <c r="D18" i="50" s="1"/>
  <c r="B18" i="47"/>
  <c r="D18" i="47" s="1"/>
  <c r="BZ14" i="54"/>
  <c r="BZ45" i="54" s="1"/>
  <c r="BR14" i="54"/>
  <c r="BR45" i="54" s="1"/>
  <c r="BJ14" i="54"/>
  <c r="BB14" i="54"/>
  <c r="AT14" i="54"/>
  <c r="AT45" i="54" s="1"/>
  <c r="AL14" i="54"/>
  <c r="AL45" i="54" s="1"/>
  <c r="AD14" i="54"/>
  <c r="AD45" i="54" s="1"/>
  <c r="V14" i="54"/>
  <c r="V45" i="54" s="1"/>
  <c r="N14" i="54"/>
  <c r="N45" i="54" s="1"/>
  <c r="CF14" i="54"/>
  <c r="BX14" i="54"/>
  <c r="BX45" i="54" s="1"/>
  <c r="BP14" i="54"/>
  <c r="BH14" i="54"/>
  <c r="BH49" i="54" s="1"/>
  <c r="AZ14" i="54"/>
  <c r="AZ45" i="54" s="1"/>
  <c r="AR14" i="54"/>
  <c r="AR49" i="54" s="1"/>
  <c r="AJ14" i="54"/>
  <c r="AJ49" i="54" s="1"/>
  <c r="AB14" i="54"/>
  <c r="AB49" i="54" s="1"/>
  <c r="T14" i="54"/>
  <c r="L14" i="54"/>
  <c r="CB14" i="54"/>
  <c r="BL14" i="54"/>
  <c r="BL45" i="54" s="1"/>
  <c r="AV14" i="54"/>
  <c r="AV49" i="54" s="1"/>
  <c r="AF14" i="54"/>
  <c r="AF49" i="54" s="1"/>
  <c r="P14" i="54"/>
  <c r="P49" i="54" s="1"/>
  <c r="CD14" i="54"/>
  <c r="CD45" i="54" s="1"/>
  <c r="BF14" i="54"/>
  <c r="AN14" i="54"/>
  <c r="R14" i="54"/>
  <c r="BV14" i="54"/>
  <c r="BV45" i="54" s="1"/>
  <c r="BD14" i="54"/>
  <c r="BD49" i="54" s="1"/>
  <c r="AH14" i="54"/>
  <c r="AH45" i="54" s="1"/>
  <c r="J14" i="54"/>
  <c r="J49" i="54" s="1"/>
  <c r="BT14" i="54"/>
  <c r="BT49" i="54" s="1"/>
  <c r="AX14" i="54"/>
  <c r="AX45" i="54" s="1"/>
  <c r="Z14" i="54"/>
  <c r="H14" i="54"/>
  <c r="H45" i="54" s="1"/>
  <c r="CB14" i="53"/>
  <c r="CB49" i="53" s="1"/>
  <c r="BT14" i="53"/>
  <c r="BT45" i="53" s="1"/>
  <c r="BL14" i="53"/>
  <c r="BL49" i="53" s="1"/>
  <c r="BD14" i="53"/>
  <c r="BD49" i="53" s="1"/>
  <c r="AV14" i="53"/>
  <c r="AV49" i="53" s="1"/>
  <c r="AN14" i="53"/>
  <c r="AF14" i="53"/>
  <c r="X14" i="53"/>
  <c r="P14" i="53"/>
  <c r="P49" i="53" s="1"/>
  <c r="H14" i="53"/>
  <c r="H45" i="53" s="1"/>
  <c r="BN14" i="54"/>
  <c r="BN45" i="54" s="1"/>
  <c r="BZ14" i="53"/>
  <c r="BZ45" i="53" s="1"/>
  <c r="BR14" i="53"/>
  <c r="BR45" i="53" s="1"/>
  <c r="BJ14" i="53"/>
  <c r="BJ49" i="53" s="1"/>
  <c r="BB14" i="53"/>
  <c r="AT14" i="53"/>
  <c r="AL14" i="53"/>
  <c r="AL45" i="53" s="1"/>
  <c r="AD14" i="53"/>
  <c r="AD49" i="53" s="1"/>
  <c r="V14" i="53"/>
  <c r="V45" i="53" s="1"/>
  <c r="N14" i="53"/>
  <c r="N45" i="53" s="1"/>
  <c r="AP14" i="54"/>
  <c r="AP45" i="54" s="1"/>
  <c r="CF14" i="53"/>
  <c r="BX14" i="53"/>
  <c r="BX45" i="53" s="1"/>
  <c r="BP14" i="53"/>
  <c r="BP45" i="53" s="1"/>
  <c r="BH14" i="53"/>
  <c r="BH49" i="53" s="1"/>
  <c r="AR14" i="53"/>
  <c r="AR45" i="53" s="1"/>
  <c r="AB14" i="53"/>
  <c r="AB45" i="53" s="1"/>
  <c r="L14" i="53"/>
  <c r="L49" i="53" s="1"/>
  <c r="CB14" i="52"/>
  <c r="CB45" i="52" s="1"/>
  <c r="BT14" i="52"/>
  <c r="BL14" i="52"/>
  <c r="BD14" i="52"/>
  <c r="AV14" i="52"/>
  <c r="AV49" i="52" s="1"/>
  <c r="AN14" i="52"/>
  <c r="AN45" i="52" s="1"/>
  <c r="AF14" i="52"/>
  <c r="AF45" i="52" s="1"/>
  <c r="X14" i="52"/>
  <c r="X45" i="52" s="1"/>
  <c r="P14" i="52"/>
  <c r="P49" i="52" s="1"/>
  <c r="H14" i="52"/>
  <c r="H49" i="52" s="1"/>
  <c r="CD14" i="53"/>
  <c r="CD49" i="53" s="1"/>
  <c r="BF14" i="53"/>
  <c r="AP14" i="53"/>
  <c r="AP45" i="53" s="1"/>
  <c r="Z14" i="53"/>
  <c r="Z45" i="53" s="1"/>
  <c r="J14" i="53"/>
  <c r="J45" i="53" s="1"/>
  <c r="BZ14" i="52"/>
  <c r="BZ45" i="52" s="1"/>
  <c r="BR14" i="52"/>
  <c r="BR45" i="52" s="1"/>
  <c r="BJ14" i="52"/>
  <c r="BJ45" i="52" s="1"/>
  <c r="BB14" i="52"/>
  <c r="AT14" i="52"/>
  <c r="AL14" i="52"/>
  <c r="AL45" i="52" s="1"/>
  <c r="AD14" i="52"/>
  <c r="AD45" i="52" s="1"/>
  <c r="V14" i="52"/>
  <c r="V45" i="52" s="1"/>
  <c r="N14" i="52"/>
  <c r="N45" i="52" s="1"/>
  <c r="BV14" i="53"/>
  <c r="BV45" i="53" s="1"/>
  <c r="AZ14" i="53"/>
  <c r="AJ14" i="53"/>
  <c r="AJ49" i="53" s="1"/>
  <c r="T14" i="53"/>
  <c r="CF14" i="52"/>
  <c r="CF45" i="52" s="1"/>
  <c r="BX14" i="52"/>
  <c r="BX49" i="52" s="1"/>
  <c r="BP14" i="52"/>
  <c r="BP45" i="52" s="1"/>
  <c r="BH14" i="52"/>
  <c r="BH45" i="52" s="1"/>
  <c r="AZ14" i="52"/>
  <c r="AZ49" i="52" s="1"/>
  <c r="AR14" i="52"/>
  <c r="AJ14" i="52"/>
  <c r="AJ45" i="52" s="1"/>
  <c r="AB14" i="52"/>
  <c r="T14" i="52"/>
  <c r="T49" i="52" s="1"/>
  <c r="L14" i="52"/>
  <c r="L49" i="52" s="1"/>
  <c r="AH14" i="53"/>
  <c r="AH49" i="53" s="1"/>
  <c r="BV14" i="52"/>
  <c r="BV49" i="52" s="1"/>
  <c r="AP14" i="52"/>
  <c r="AP49" i="52" s="1"/>
  <c r="J14" i="52"/>
  <c r="CF14" i="51"/>
  <c r="BX14" i="51"/>
  <c r="BX49" i="51" s="1"/>
  <c r="BP14" i="51"/>
  <c r="BP49" i="51" s="1"/>
  <c r="BH14" i="51"/>
  <c r="BH45" i="51" s="1"/>
  <c r="AZ14" i="51"/>
  <c r="AZ49" i="51" s="1"/>
  <c r="AR14" i="51"/>
  <c r="AR49" i="51" s="1"/>
  <c r="AJ14" i="51"/>
  <c r="AJ49" i="51" s="1"/>
  <c r="AB14" i="51"/>
  <c r="AB45" i="51" s="1"/>
  <c r="T14" i="51"/>
  <c r="L14" i="51"/>
  <c r="X14" i="54"/>
  <c r="X49" i="54" s="1"/>
  <c r="R14" i="53"/>
  <c r="R45" i="53" s="1"/>
  <c r="BN14" i="52"/>
  <c r="BN45" i="52" s="1"/>
  <c r="AH14" i="52"/>
  <c r="AH45" i="52" s="1"/>
  <c r="CD14" i="51"/>
  <c r="CD45" i="51" s="1"/>
  <c r="BV14" i="51"/>
  <c r="BV45" i="51" s="1"/>
  <c r="BN14" i="51"/>
  <c r="BF14" i="51"/>
  <c r="AX14" i="51"/>
  <c r="AX49" i="51" s="1"/>
  <c r="AP14" i="51"/>
  <c r="AP45" i="51" s="1"/>
  <c r="AH14" i="51"/>
  <c r="AH49" i="51" s="1"/>
  <c r="Z14" i="51"/>
  <c r="Z49" i="51" s="1"/>
  <c r="R14" i="51"/>
  <c r="R45" i="51" s="1"/>
  <c r="J14" i="51"/>
  <c r="J49" i="51" s="1"/>
  <c r="AX14" i="53"/>
  <c r="Z14" i="52"/>
  <c r="BZ14" i="51"/>
  <c r="BZ45" i="51" s="1"/>
  <c r="BJ14" i="51"/>
  <c r="BJ45" i="51" s="1"/>
  <c r="AT14" i="51"/>
  <c r="AT49" i="51" s="1"/>
  <c r="AD14" i="51"/>
  <c r="AD49" i="51" s="1"/>
  <c r="N14" i="51"/>
  <c r="N45" i="51" s="1"/>
  <c r="CD14" i="50"/>
  <c r="CD45" i="50" s="1"/>
  <c r="BV14" i="50"/>
  <c r="BN14" i="50"/>
  <c r="BF14" i="50"/>
  <c r="BF49" i="50" s="1"/>
  <c r="AX14" i="50"/>
  <c r="AX45" i="50" s="1"/>
  <c r="AP14" i="50"/>
  <c r="AP49" i="50" s="1"/>
  <c r="AH14" i="50"/>
  <c r="AH45" i="50" s="1"/>
  <c r="Z14" i="50"/>
  <c r="Z49" i="50" s="1"/>
  <c r="R14" i="50"/>
  <c r="R45" i="50" s="1"/>
  <c r="J14" i="50"/>
  <c r="CD14" i="52"/>
  <c r="R14" i="52"/>
  <c r="R49" i="52" s="1"/>
  <c r="BF14" i="52"/>
  <c r="BF45" i="52" s="1"/>
  <c r="BR14" i="51"/>
  <c r="BR45" i="51" s="1"/>
  <c r="BB14" i="51"/>
  <c r="BB49" i="51" s="1"/>
  <c r="AL14" i="51"/>
  <c r="AL45" i="51" s="1"/>
  <c r="V14" i="51"/>
  <c r="V49" i="51" s="1"/>
  <c r="BZ14" i="50"/>
  <c r="BR14" i="50"/>
  <c r="BR49" i="50" s="1"/>
  <c r="BJ14" i="50"/>
  <c r="BJ49" i="50" s="1"/>
  <c r="BB14" i="50"/>
  <c r="BB49" i="50" s="1"/>
  <c r="AT14" i="50"/>
  <c r="AT45" i="50" s="1"/>
  <c r="AL14" i="50"/>
  <c r="AL45" i="50" s="1"/>
  <c r="AD14" i="50"/>
  <c r="AD45" i="50" s="1"/>
  <c r="V14" i="50"/>
  <c r="V49" i="50" s="1"/>
  <c r="N14" i="50"/>
  <c r="BN14" i="53"/>
  <c r="CB14" i="51"/>
  <c r="CB49" i="51" s="1"/>
  <c r="AV14" i="51"/>
  <c r="AV45" i="51" s="1"/>
  <c r="P14" i="51"/>
  <c r="P49" i="51" s="1"/>
  <c r="CB14" i="50"/>
  <c r="CB49" i="50" s="1"/>
  <c r="BL14" i="50"/>
  <c r="BL49" i="50" s="1"/>
  <c r="AV14" i="50"/>
  <c r="AV49" i="50" s="1"/>
  <c r="AF14" i="50"/>
  <c r="P14" i="50"/>
  <c r="CB14" i="49"/>
  <c r="CB49" i="49" s="1"/>
  <c r="BT14" i="49"/>
  <c r="BT45" i="49" s="1"/>
  <c r="BL14" i="49"/>
  <c r="BL49" i="49" s="1"/>
  <c r="BD14" i="49"/>
  <c r="BD49" i="49" s="1"/>
  <c r="AV14" i="49"/>
  <c r="AV45" i="49" s="1"/>
  <c r="AN14" i="49"/>
  <c r="AN45" i="49" s="1"/>
  <c r="AF14" i="49"/>
  <c r="X14" i="49"/>
  <c r="X49" i="49" s="1"/>
  <c r="P14" i="49"/>
  <c r="P45" i="49" s="1"/>
  <c r="H14" i="49"/>
  <c r="H49" i="49" s="1"/>
  <c r="CF14" i="48"/>
  <c r="CF45" i="48" s="1"/>
  <c r="BX14" i="48"/>
  <c r="BX49" i="48" s="1"/>
  <c r="BP14" i="48"/>
  <c r="BP49" i="48" s="1"/>
  <c r="BH14" i="48"/>
  <c r="BH49" i="48" s="1"/>
  <c r="AZ14" i="48"/>
  <c r="AR14" i="48"/>
  <c r="AJ14" i="48"/>
  <c r="AJ45" i="48" s="1"/>
  <c r="AB14" i="48"/>
  <c r="AB49" i="48" s="1"/>
  <c r="T14" i="48"/>
  <c r="T49" i="48" s="1"/>
  <c r="L14" i="48"/>
  <c r="L45" i="48" s="1"/>
  <c r="AX14" i="52"/>
  <c r="AX49" i="52" s="1"/>
  <c r="BT14" i="51"/>
  <c r="BT45" i="51" s="1"/>
  <c r="AN14" i="51"/>
  <c r="H14" i="51"/>
  <c r="H49" i="51" s="1"/>
  <c r="BX14" i="50"/>
  <c r="BX49" i="50" s="1"/>
  <c r="BH14" i="50"/>
  <c r="BH49" i="50" s="1"/>
  <c r="AR14" i="50"/>
  <c r="AR49" i="50" s="1"/>
  <c r="AB14" i="50"/>
  <c r="AB49" i="50" s="1"/>
  <c r="L14" i="50"/>
  <c r="L49" i="50" s="1"/>
  <c r="BZ14" i="49"/>
  <c r="BZ49" i="49" s="1"/>
  <c r="BR14" i="49"/>
  <c r="BJ14" i="49"/>
  <c r="BJ49" i="49" s="1"/>
  <c r="BB14" i="49"/>
  <c r="BB49" i="49" s="1"/>
  <c r="AT14" i="49"/>
  <c r="AT49" i="49" s="1"/>
  <c r="AL14" i="49"/>
  <c r="AL49" i="49" s="1"/>
  <c r="AD14" i="49"/>
  <c r="AD49" i="49" s="1"/>
  <c r="V14" i="49"/>
  <c r="V49" i="49" s="1"/>
  <c r="N14" i="49"/>
  <c r="N49" i="49" s="1"/>
  <c r="CD14" i="48"/>
  <c r="CD49" i="48" s="1"/>
  <c r="BV14" i="48"/>
  <c r="BV49" i="48" s="1"/>
  <c r="BN14" i="48"/>
  <c r="BN49" i="48" s="1"/>
  <c r="BF14" i="48"/>
  <c r="BF45" i="48" s="1"/>
  <c r="AX14" i="48"/>
  <c r="AX45" i="48" s="1"/>
  <c r="AP14" i="48"/>
  <c r="AP49" i="48" s="1"/>
  <c r="AH14" i="48"/>
  <c r="AH49" i="48" s="1"/>
  <c r="Z14" i="48"/>
  <c r="Z45" i="48" s="1"/>
  <c r="R14" i="48"/>
  <c r="J14" i="48"/>
  <c r="BL14" i="51"/>
  <c r="BL49" i="51" s="1"/>
  <c r="AF14" i="51"/>
  <c r="AF45" i="51" s="1"/>
  <c r="BT14" i="50"/>
  <c r="BT49" i="50" s="1"/>
  <c r="BD14" i="50"/>
  <c r="BD49" i="50" s="1"/>
  <c r="AN14" i="50"/>
  <c r="AN45" i="50" s="1"/>
  <c r="X14" i="50"/>
  <c r="X49" i="50" s="1"/>
  <c r="H14" i="50"/>
  <c r="H49" i="50" s="1"/>
  <c r="CF14" i="49"/>
  <c r="BX14" i="49"/>
  <c r="BX49" i="49" s="1"/>
  <c r="BP14" i="49"/>
  <c r="BP45" i="49" s="1"/>
  <c r="BH14" i="49"/>
  <c r="BH49" i="49" s="1"/>
  <c r="AZ14" i="49"/>
  <c r="AZ45" i="49" s="1"/>
  <c r="AR14" i="49"/>
  <c r="AR49" i="49" s="1"/>
  <c r="AJ14" i="49"/>
  <c r="AJ45" i="49" s="1"/>
  <c r="AB14" i="49"/>
  <c r="T14" i="49"/>
  <c r="L14" i="49"/>
  <c r="L49" i="49" s="1"/>
  <c r="BD14" i="51"/>
  <c r="BD45" i="51" s="1"/>
  <c r="X14" i="51"/>
  <c r="X49" i="51" s="1"/>
  <c r="CF14" i="50"/>
  <c r="CF49" i="50" s="1"/>
  <c r="BP14" i="50"/>
  <c r="BP49" i="50" s="1"/>
  <c r="AZ14" i="50"/>
  <c r="AZ49" i="50" s="1"/>
  <c r="AJ14" i="50"/>
  <c r="T14" i="50"/>
  <c r="T49" i="50" s="1"/>
  <c r="BF14" i="49"/>
  <c r="BF49" i="49" s="1"/>
  <c r="Z14" i="49"/>
  <c r="Z49" i="49" s="1"/>
  <c r="BR14" i="48"/>
  <c r="BR45" i="48" s="1"/>
  <c r="BB14" i="48"/>
  <c r="BB45" i="48" s="1"/>
  <c r="AL14" i="48"/>
  <c r="AL49" i="48" s="1"/>
  <c r="V14" i="48"/>
  <c r="V45" i="48" s="1"/>
  <c r="CD14" i="47"/>
  <c r="CD45" i="47" s="1"/>
  <c r="BV14" i="47"/>
  <c r="BV45" i="47" s="1"/>
  <c r="BN14" i="47"/>
  <c r="BN49" i="47" s="1"/>
  <c r="BF14" i="47"/>
  <c r="BF45" i="47" s="1"/>
  <c r="AX14" i="47"/>
  <c r="AX45" i="47" s="1"/>
  <c r="AP14" i="47"/>
  <c r="AP45" i="47" s="1"/>
  <c r="AH14" i="47"/>
  <c r="AH49" i="47" s="1"/>
  <c r="Z14" i="47"/>
  <c r="Z45" i="47" s="1"/>
  <c r="R14" i="47"/>
  <c r="R45" i="47" s="1"/>
  <c r="J14" i="47"/>
  <c r="J45" i="47" s="1"/>
  <c r="BZ14" i="46"/>
  <c r="BZ45" i="46" s="1"/>
  <c r="BR14" i="46"/>
  <c r="BR45" i="46" s="1"/>
  <c r="BJ14" i="46"/>
  <c r="BJ45" i="46" s="1"/>
  <c r="BB14" i="46"/>
  <c r="BB49" i="46" s="1"/>
  <c r="AT14" i="46"/>
  <c r="AT45" i="46" s="1"/>
  <c r="AL14" i="46"/>
  <c r="AL45" i="46" s="1"/>
  <c r="AD14" i="46"/>
  <c r="AD49" i="46" s="1"/>
  <c r="V14" i="46"/>
  <c r="V49" i="46" s="1"/>
  <c r="N14" i="46"/>
  <c r="N45" i="46" s="1"/>
  <c r="CD14" i="49"/>
  <c r="CD49" i="49" s="1"/>
  <c r="AX14" i="49"/>
  <c r="AX45" i="49" s="1"/>
  <c r="R14" i="49"/>
  <c r="R49" i="49" s="1"/>
  <c r="CB14" i="48"/>
  <c r="CB45" i="48" s="1"/>
  <c r="BL14" i="48"/>
  <c r="BL49" i="48" s="1"/>
  <c r="AV14" i="48"/>
  <c r="AV45" i="48" s="1"/>
  <c r="AF14" i="48"/>
  <c r="AF49" i="48" s="1"/>
  <c r="P14" i="48"/>
  <c r="P49" i="48" s="1"/>
  <c r="CB14" i="47"/>
  <c r="CB49" i="47" s="1"/>
  <c r="BT14" i="47"/>
  <c r="BT49" i="47" s="1"/>
  <c r="BL14" i="47"/>
  <c r="BL45" i="47" s="1"/>
  <c r="BD14" i="47"/>
  <c r="BD49" i="47" s="1"/>
  <c r="AV14" i="47"/>
  <c r="AV49" i="47" s="1"/>
  <c r="AN14" i="47"/>
  <c r="AN49" i="47" s="1"/>
  <c r="AF14" i="47"/>
  <c r="AF45" i="47" s="1"/>
  <c r="X14" i="47"/>
  <c r="X45" i="47" s="1"/>
  <c r="P14" i="47"/>
  <c r="P49" i="47" s="1"/>
  <c r="H14" i="47"/>
  <c r="H49" i="47" s="1"/>
  <c r="CF14" i="46"/>
  <c r="CF49" i="46" s="1"/>
  <c r="BX14" i="46"/>
  <c r="BX49" i="46" s="1"/>
  <c r="BP14" i="46"/>
  <c r="BP49" i="46" s="1"/>
  <c r="BH14" i="46"/>
  <c r="BH45" i="46" s="1"/>
  <c r="AZ14" i="46"/>
  <c r="AR14" i="46"/>
  <c r="AR49" i="46" s="1"/>
  <c r="AJ14" i="46"/>
  <c r="AJ49" i="46" s="1"/>
  <c r="AB14" i="46"/>
  <c r="AB49" i="46" s="1"/>
  <c r="T14" i="46"/>
  <c r="T45" i="46" s="1"/>
  <c r="L14" i="46"/>
  <c r="L49" i="46" s="1"/>
  <c r="BV14" i="49"/>
  <c r="BV49" i="49" s="1"/>
  <c r="AP14" i="49"/>
  <c r="AP49" i="49" s="1"/>
  <c r="J14" i="49"/>
  <c r="BZ14" i="48"/>
  <c r="BZ49" i="48" s="1"/>
  <c r="BJ14" i="48"/>
  <c r="BJ45" i="48" s="1"/>
  <c r="AT14" i="48"/>
  <c r="AT45" i="48" s="1"/>
  <c r="AD14" i="48"/>
  <c r="AD49" i="48" s="1"/>
  <c r="N14" i="48"/>
  <c r="N45" i="48" s="1"/>
  <c r="BZ14" i="47"/>
  <c r="BZ49" i="47" s="1"/>
  <c r="BR14" i="47"/>
  <c r="BR45" i="47" s="1"/>
  <c r="BJ14" i="47"/>
  <c r="BJ49" i="47" s="1"/>
  <c r="BB14" i="47"/>
  <c r="BB49" i="47" s="1"/>
  <c r="AT14" i="47"/>
  <c r="AT49" i="47" s="1"/>
  <c r="AL14" i="47"/>
  <c r="AL49" i="47" s="1"/>
  <c r="AD14" i="47"/>
  <c r="AD49" i="47" s="1"/>
  <c r="V14" i="47"/>
  <c r="V45" i="47" s="1"/>
  <c r="N14" i="47"/>
  <c r="N49" i="47" s="1"/>
  <c r="CD14" i="46"/>
  <c r="CD45" i="46" s="1"/>
  <c r="BV14" i="46"/>
  <c r="BV45" i="46" s="1"/>
  <c r="BN14" i="46"/>
  <c r="BN45" i="46" s="1"/>
  <c r="BF14" i="46"/>
  <c r="BF49" i="46" s="1"/>
  <c r="AX14" i="46"/>
  <c r="AX49" i="46" s="1"/>
  <c r="AP14" i="46"/>
  <c r="AP49" i="46" s="1"/>
  <c r="AH14" i="46"/>
  <c r="AH45" i="46" s="1"/>
  <c r="Z14" i="46"/>
  <c r="Z49" i="46" s="1"/>
  <c r="R14" i="46"/>
  <c r="R49" i="46" s="1"/>
  <c r="J14" i="46"/>
  <c r="J45" i="46" s="1"/>
  <c r="BN14" i="49"/>
  <c r="BN49" i="49" s="1"/>
  <c r="X14" i="48"/>
  <c r="X49" i="48" s="1"/>
  <c r="BP14" i="47"/>
  <c r="BP49" i="47" s="1"/>
  <c r="AJ14" i="47"/>
  <c r="AJ49" i="47" s="1"/>
  <c r="BL14" i="46"/>
  <c r="BL45" i="46" s="1"/>
  <c r="AF14" i="46"/>
  <c r="AF49" i="46" s="1"/>
  <c r="CD14" i="45"/>
  <c r="CD45" i="45" s="1"/>
  <c r="BV14" i="45"/>
  <c r="BV45" i="45" s="1"/>
  <c r="BN14" i="45"/>
  <c r="BN45" i="45" s="1"/>
  <c r="BF14" i="45"/>
  <c r="BF45" i="45" s="1"/>
  <c r="AX14" i="45"/>
  <c r="AX45" i="45" s="1"/>
  <c r="AP14" i="45"/>
  <c r="AP49" i="45" s="1"/>
  <c r="AH14" i="45"/>
  <c r="AH45" i="45" s="1"/>
  <c r="Z14" i="45"/>
  <c r="Z45" i="45" s="1"/>
  <c r="R14" i="45"/>
  <c r="R45" i="45" s="1"/>
  <c r="J14" i="45"/>
  <c r="J49" i="45" s="1"/>
  <c r="CF14" i="44"/>
  <c r="CB14" i="44"/>
  <c r="BX14" i="44"/>
  <c r="BT14" i="44"/>
  <c r="BP14" i="44"/>
  <c r="AH14" i="49"/>
  <c r="AH49" i="49" s="1"/>
  <c r="BT14" i="48"/>
  <c r="BT49" i="48" s="1"/>
  <c r="H14" i="48"/>
  <c r="H45" i="48" s="1"/>
  <c r="BH14" i="47"/>
  <c r="BH49" i="47" s="1"/>
  <c r="AB14" i="47"/>
  <c r="AB45" i="47" s="1"/>
  <c r="BD14" i="46"/>
  <c r="BD49" i="46" s="1"/>
  <c r="X14" i="46"/>
  <c r="X45" i="46" s="1"/>
  <c r="CB14" i="45"/>
  <c r="CB49" i="45" s="1"/>
  <c r="BT14" i="45"/>
  <c r="BT45" i="45" s="1"/>
  <c r="BL14" i="45"/>
  <c r="BL49" i="45" s="1"/>
  <c r="BD14" i="45"/>
  <c r="BD49" i="45" s="1"/>
  <c r="AV14" i="45"/>
  <c r="AV49" i="45" s="1"/>
  <c r="AN14" i="45"/>
  <c r="AN45" i="45" s="1"/>
  <c r="AF14" i="45"/>
  <c r="AF49" i="45" s="1"/>
  <c r="X14" i="45"/>
  <c r="X49" i="45" s="1"/>
  <c r="P14" i="45"/>
  <c r="P45" i="45" s="1"/>
  <c r="H14" i="45"/>
  <c r="H45" i="45" s="1"/>
  <c r="BD14" i="48"/>
  <c r="BD49" i="48" s="1"/>
  <c r="CF14" i="47"/>
  <c r="AZ14" i="47"/>
  <c r="AZ45" i="47" s="1"/>
  <c r="T14" i="47"/>
  <c r="T45" i="47" s="1"/>
  <c r="CB14" i="46"/>
  <c r="CB49" i="46" s="1"/>
  <c r="AV14" i="46"/>
  <c r="AV49" i="46" s="1"/>
  <c r="P14" i="46"/>
  <c r="P49" i="46" s="1"/>
  <c r="BZ14" i="45"/>
  <c r="BZ45" i="45" s="1"/>
  <c r="BR14" i="45"/>
  <c r="BR45" i="45" s="1"/>
  <c r="BJ14" i="45"/>
  <c r="BJ45" i="45" s="1"/>
  <c r="BB14" i="45"/>
  <c r="BB49" i="45" s="1"/>
  <c r="AT14" i="45"/>
  <c r="AT45" i="45" s="1"/>
  <c r="AL14" i="45"/>
  <c r="AL45" i="45" s="1"/>
  <c r="AD14" i="45"/>
  <c r="AD49" i="45" s="1"/>
  <c r="V14" i="45"/>
  <c r="V45" i="45" s="1"/>
  <c r="N14" i="45"/>
  <c r="N45" i="45" s="1"/>
  <c r="CD14" i="44"/>
  <c r="BZ14" i="44"/>
  <c r="BV14" i="44"/>
  <c r="BR14" i="44"/>
  <c r="AN14" i="48"/>
  <c r="AN49" i="48" s="1"/>
  <c r="BX14" i="47"/>
  <c r="BX45" i="47" s="1"/>
  <c r="AR14" i="47"/>
  <c r="AR45" i="47" s="1"/>
  <c r="L14" i="47"/>
  <c r="L45" i="47" s="1"/>
  <c r="BT14" i="46"/>
  <c r="BT49" i="46" s="1"/>
  <c r="AN14" i="46"/>
  <c r="AN49" i="46" s="1"/>
  <c r="H14" i="46"/>
  <c r="H49" i="46" s="1"/>
  <c r="CF14" i="45"/>
  <c r="CF45" i="45" s="1"/>
  <c r="BX14" i="45"/>
  <c r="BX49" i="45" s="1"/>
  <c r="BP14" i="45"/>
  <c r="BP49" i="45" s="1"/>
  <c r="BH14" i="45"/>
  <c r="BH49" i="45" s="1"/>
  <c r="AZ14" i="45"/>
  <c r="AZ45" i="45" s="1"/>
  <c r="AR14" i="45"/>
  <c r="AR49" i="45" s="1"/>
  <c r="AJ14" i="45"/>
  <c r="AJ45" i="45" s="1"/>
  <c r="AB14" i="45"/>
  <c r="AB49" i="45" s="1"/>
  <c r="T14" i="45"/>
  <c r="T45" i="45" s="1"/>
  <c r="L14" i="45"/>
  <c r="L49" i="45" s="1"/>
  <c r="BN14" i="44"/>
  <c r="BJ14" i="44"/>
  <c r="BF14" i="44"/>
  <c r="BB14" i="44"/>
  <c r="AX14" i="44"/>
  <c r="Z14" i="44"/>
  <c r="N14" i="44"/>
  <c r="J14" i="44"/>
  <c r="AT14" i="44"/>
  <c r="AP14" i="44"/>
  <c r="AH14" i="44"/>
  <c r="BL14" i="44"/>
  <c r="BH14" i="44"/>
  <c r="BD14" i="44"/>
  <c r="AZ14" i="44"/>
  <c r="AV14" i="44"/>
  <c r="AR14" i="44"/>
  <c r="AN14" i="44"/>
  <c r="AJ14" i="44"/>
  <c r="AF14" i="44"/>
  <c r="AB14" i="44"/>
  <c r="X14" i="44"/>
  <c r="T14" i="44"/>
  <c r="P14" i="44"/>
  <c r="L14" i="44"/>
  <c r="H14" i="44"/>
  <c r="AL14" i="44"/>
  <c r="AD14" i="44"/>
  <c r="V14" i="44"/>
  <c r="R14" i="44"/>
  <c r="F14" i="48"/>
  <c r="F45" i="48" s="1"/>
  <c r="F14" i="54"/>
  <c r="F45" i="54" s="1"/>
  <c r="F14" i="45"/>
  <c r="F45" i="45" s="1"/>
  <c r="F14" i="49"/>
  <c r="F49" i="49" s="1"/>
  <c r="F14" i="52"/>
  <c r="F49" i="52" s="1"/>
  <c r="F14" i="51"/>
  <c r="F49" i="51" s="1"/>
  <c r="F14" i="44"/>
  <c r="F14" i="46"/>
  <c r="F49" i="46" s="1"/>
  <c r="F14" i="53"/>
  <c r="F49" i="53" s="1"/>
  <c r="F14" i="50"/>
  <c r="F49" i="50" s="1"/>
  <c r="F14" i="47"/>
  <c r="F49" i="47" s="1"/>
  <c r="CI14" i="44"/>
  <c r="C11" i="10" s="1"/>
  <c r="CI14" i="48"/>
  <c r="CI45" i="48" s="1"/>
  <c r="CI46" i="48" s="1"/>
  <c r="CI14" i="46"/>
  <c r="CI45" i="46" s="1"/>
  <c r="CI46" i="46" s="1"/>
  <c r="CI14" i="47"/>
  <c r="CI45" i="47" s="1"/>
  <c r="CI46" i="47" s="1"/>
  <c r="CI14" i="52"/>
  <c r="CI45" i="52" s="1"/>
  <c r="CI46" i="52" s="1"/>
  <c r="CI14" i="54"/>
  <c r="CI14" i="45"/>
  <c r="CI14" i="50"/>
  <c r="CI45" i="50" s="1"/>
  <c r="CI46" i="50" s="1"/>
  <c r="CI14" i="53"/>
  <c r="L11" i="10" s="1"/>
  <c r="CI14" i="49"/>
  <c r="CI14" i="51"/>
  <c r="CI45" i="51" s="1"/>
  <c r="CI46" i="51" s="1"/>
  <c r="B34" i="51"/>
  <c r="D34" i="51" s="1"/>
  <c r="B34" i="52"/>
  <c r="D34" i="52" s="1"/>
  <c r="B34" i="46"/>
  <c r="D34" i="46" s="1"/>
  <c r="B20" i="52"/>
  <c r="D20" i="52" s="1"/>
  <c r="B17" i="47"/>
  <c r="D17" i="47" s="1"/>
  <c r="B23" i="54"/>
  <c r="D23" i="54" s="1"/>
  <c r="B17" i="52"/>
  <c r="D17" i="52" s="1"/>
  <c r="B23" i="50"/>
  <c r="D23" i="50" s="1"/>
  <c r="B17" i="49"/>
  <c r="D17" i="49" s="1"/>
  <c r="B32" i="45"/>
  <c r="D32" i="45" s="1"/>
  <c r="CJ14" i="50"/>
  <c r="CJ45" i="50" s="1"/>
  <c r="CJ46" i="50" s="1"/>
  <c r="CJ14" i="54"/>
  <c r="CJ45" i="54" s="1"/>
  <c r="CJ46" i="54" s="1"/>
  <c r="CJ14" i="48"/>
  <c r="CJ45" i="48" s="1"/>
  <c r="CJ46" i="48" s="1"/>
  <c r="CJ14" i="49"/>
  <c r="CJ45" i="49" s="1"/>
  <c r="CJ46" i="49" s="1"/>
  <c r="CJ14" i="45"/>
  <c r="CJ14" i="51"/>
  <c r="CJ45" i="51" s="1"/>
  <c r="CJ46" i="51" s="1"/>
  <c r="CJ14" i="53"/>
  <c r="CJ45" i="53" s="1"/>
  <c r="CJ46" i="53" s="1"/>
  <c r="CJ14" i="52"/>
  <c r="CJ45" i="52" s="1"/>
  <c r="CJ46" i="52" s="1"/>
  <c r="CJ14" i="46"/>
  <c r="CJ45" i="46" s="1"/>
  <c r="CJ46" i="46" s="1"/>
  <c r="CJ14" i="47"/>
  <c r="CJ45" i="47" s="1"/>
  <c r="CJ46" i="47" s="1"/>
  <c r="B34" i="50"/>
  <c r="D34" i="50" s="1"/>
  <c r="B34" i="48"/>
  <c r="D34" i="48" s="1"/>
  <c r="B23" i="48"/>
  <c r="D23" i="48" s="1"/>
  <c r="B17" i="46"/>
  <c r="D17" i="46" s="1"/>
  <c r="CK14" i="45"/>
  <c r="CK14" i="53"/>
  <c r="CK45" i="53" s="1"/>
  <c r="CK46" i="53" s="1"/>
  <c r="CK14" i="47"/>
  <c r="CK45" i="47" s="1"/>
  <c r="CK46" i="47" s="1"/>
  <c r="CK14" i="48"/>
  <c r="CK45" i="48" s="1"/>
  <c r="CK46" i="48" s="1"/>
  <c r="CK14" i="51"/>
  <c r="CK45" i="51" s="1"/>
  <c r="CK46" i="51" s="1"/>
  <c r="CK14" i="46"/>
  <c r="CK45" i="46" s="1"/>
  <c r="CK46" i="46" s="1"/>
  <c r="CK14" i="50"/>
  <c r="CK45" i="50" s="1"/>
  <c r="CK46" i="50" s="1"/>
  <c r="CK14" i="52"/>
  <c r="CK45" i="52" s="1"/>
  <c r="CK46" i="52" s="1"/>
  <c r="CK14" i="54"/>
  <c r="CK45" i="54" s="1"/>
  <c r="CK46" i="54" s="1"/>
  <c r="CK14" i="49"/>
  <c r="CK45" i="49" s="1"/>
  <c r="CK46" i="49" s="1"/>
  <c r="CL14" i="51"/>
  <c r="CL14" i="52"/>
  <c r="CL14" i="48"/>
  <c r="CL14" i="46"/>
  <c r="CL14" i="49"/>
  <c r="CL14" i="47"/>
  <c r="CL14" i="50"/>
  <c r="CL14" i="45"/>
  <c r="CL14" i="54"/>
  <c r="CL14" i="53"/>
  <c r="B34" i="54"/>
  <c r="D34" i="54" s="1"/>
  <c r="B17" i="48"/>
  <c r="D17" i="48" s="1"/>
  <c r="B20" i="48"/>
  <c r="D20" i="48" s="1"/>
  <c r="B23" i="49"/>
  <c r="D23" i="49" s="1"/>
  <c r="J45" i="45"/>
  <c r="AJ49" i="45"/>
  <c r="BD45" i="45"/>
  <c r="BV49" i="45"/>
  <c r="B29" i="45"/>
  <c r="AD45" i="46"/>
  <c r="AZ49" i="46"/>
  <c r="AZ45" i="46"/>
  <c r="BV49" i="46"/>
  <c r="B29" i="46"/>
  <c r="J49" i="47"/>
  <c r="AF49" i="47"/>
  <c r="AN45" i="47"/>
  <c r="BJ45" i="47"/>
  <c r="BV49" i="47"/>
  <c r="CF49" i="47"/>
  <c r="CF45" i="47"/>
  <c r="B29" i="47"/>
  <c r="J49" i="48"/>
  <c r="J45" i="48"/>
  <c r="R49" i="48"/>
  <c r="R45" i="48"/>
  <c r="AF45" i="48"/>
  <c r="AR49" i="48"/>
  <c r="AR45" i="48"/>
  <c r="AZ49" i="48"/>
  <c r="AZ45" i="48"/>
  <c r="BV45" i="48"/>
  <c r="B29" i="48"/>
  <c r="J49" i="49"/>
  <c r="J45" i="49"/>
  <c r="P49" i="49"/>
  <c r="T49" i="49"/>
  <c r="T45" i="49"/>
  <c r="X45" i="49"/>
  <c r="AB49" i="49"/>
  <c r="AB45" i="49"/>
  <c r="AF49" i="49"/>
  <c r="AF45" i="49"/>
  <c r="AJ49" i="49"/>
  <c r="AN49" i="49"/>
  <c r="AP45" i="49"/>
  <c r="BP49" i="49"/>
  <c r="BR49" i="49"/>
  <c r="BR45" i="49"/>
  <c r="CF49" i="49"/>
  <c r="CF45" i="49"/>
  <c r="B29" i="49"/>
  <c r="J49" i="50"/>
  <c r="J45" i="50"/>
  <c r="N45" i="50"/>
  <c r="N49" i="50"/>
  <c r="P49" i="50"/>
  <c r="P45" i="50"/>
  <c r="R49" i="50"/>
  <c r="T45" i="50"/>
  <c r="AF49" i="50"/>
  <c r="AF45" i="50"/>
  <c r="AJ49" i="50"/>
  <c r="AJ45" i="50"/>
  <c r="BN49" i="50"/>
  <c r="BN45" i="50"/>
  <c r="BR45" i="50"/>
  <c r="BV49" i="50"/>
  <c r="BV45" i="50"/>
  <c r="BZ45" i="50"/>
  <c r="BZ49" i="50"/>
  <c r="B29" i="50"/>
  <c r="L49" i="51"/>
  <c r="L45" i="51"/>
  <c r="T49" i="51"/>
  <c r="T45" i="51"/>
  <c r="AB49" i="51"/>
  <c r="AN49" i="51"/>
  <c r="AN45" i="51"/>
  <c r="AP49" i="51"/>
  <c r="BF49" i="51"/>
  <c r="BF45" i="51"/>
  <c r="BN49" i="51"/>
  <c r="BN45" i="51"/>
  <c r="BV49" i="51"/>
  <c r="BX45" i="51"/>
  <c r="BZ49" i="51"/>
  <c r="CF49" i="51"/>
  <c r="CF45" i="51"/>
  <c r="B29" i="51"/>
  <c r="J49" i="52"/>
  <c r="J45" i="52"/>
  <c r="Z49" i="52"/>
  <c r="Z45" i="52"/>
  <c r="AB49" i="52"/>
  <c r="AB45" i="52"/>
  <c r="AJ49" i="52"/>
  <c r="AL49" i="52"/>
  <c r="AN49" i="52"/>
  <c r="AR49" i="52"/>
  <c r="AR45" i="52"/>
  <c r="AT45" i="52"/>
  <c r="AT49" i="52"/>
  <c r="BB45" i="52"/>
  <c r="BB49" i="52"/>
  <c r="BD49" i="52"/>
  <c r="BD45" i="52"/>
  <c r="BF49" i="52"/>
  <c r="BL49" i="52"/>
  <c r="BL45" i="52"/>
  <c r="BT49" i="52"/>
  <c r="BT45" i="52"/>
  <c r="BX45" i="52"/>
  <c r="CD49" i="52"/>
  <c r="CD45" i="52"/>
  <c r="B29" i="52"/>
  <c r="T49" i="53"/>
  <c r="T45" i="53"/>
  <c r="X49" i="53"/>
  <c r="X45" i="53"/>
  <c r="AF49" i="53"/>
  <c r="AF45" i="53"/>
  <c r="AN49" i="53"/>
  <c r="AN45" i="53"/>
  <c r="AP49" i="53"/>
  <c r="AR49" i="53"/>
  <c r="AT49" i="53"/>
  <c r="AT45" i="53"/>
  <c r="AX49" i="53"/>
  <c r="AX45" i="53"/>
  <c r="AZ49" i="53"/>
  <c r="AZ45" i="53"/>
  <c r="BB49" i="53"/>
  <c r="BB45" i="53"/>
  <c r="BF49" i="53"/>
  <c r="BF45" i="53"/>
  <c r="BN49" i="53"/>
  <c r="BN45" i="53"/>
  <c r="BT49" i="53"/>
  <c r="BX49" i="53"/>
  <c r="CF49" i="53"/>
  <c r="CF45" i="53"/>
  <c r="B29" i="53"/>
  <c r="H49" i="54"/>
  <c r="L49" i="54"/>
  <c r="L45" i="54"/>
  <c r="R45" i="54"/>
  <c r="R49" i="54"/>
  <c r="T49" i="54"/>
  <c r="T45" i="54"/>
  <c r="Z45" i="54"/>
  <c r="Z49" i="54"/>
  <c r="AN49" i="54"/>
  <c r="AN45" i="54"/>
  <c r="AX49" i="54"/>
  <c r="AZ49" i="54"/>
  <c r="BB45" i="54"/>
  <c r="BB49" i="54"/>
  <c r="BD45" i="54"/>
  <c r="BF45" i="54"/>
  <c r="BF49" i="54"/>
  <c r="BJ45" i="54"/>
  <c r="BJ49" i="54"/>
  <c r="BL49" i="54"/>
  <c r="BP49" i="54"/>
  <c r="BP45" i="54"/>
  <c r="BR49" i="54"/>
  <c r="CB49" i="54"/>
  <c r="CB45" i="54"/>
  <c r="CF49" i="54"/>
  <c r="CF45" i="54"/>
  <c r="B29" i="54"/>
  <c r="CJ14" i="44"/>
  <c r="C12" i="10" s="1"/>
  <c r="CK14" i="44"/>
  <c r="C13" i="10" s="1"/>
  <c r="BB14" i="33"/>
  <c r="BB49" i="33" s="1"/>
  <c r="AB14" i="33"/>
  <c r="AB49" i="33" s="1"/>
  <c r="CF14" i="33"/>
  <c r="CF49" i="33" s="1"/>
  <c r="CB14" i="33"/>
  <c r="CB49" i="33" s="1"/>
  <c r="BJ14" i="33"/>
  <c r="BJ49" i="33" s="1"/>
  <c r="BT14" i="33"/>
  <c r="BT49" i="33" s="1"/>
  <c r="BH14" i="33"/>
  <c r="BH49" i="33" s="1"/>
  <c r="BP14" i="33"/>
  <c r="BP49" i="33" s="1"/>
  <c r="AN14" i="33"/>
  <c r="AN49" i="33" s="1"/>
  <c r="T14" i="33"/>
  <c r="T49" i="33" s="1"/>
  <c r="BD14" i="33"/>
  <c r="BD49" i="33" s="1"/>
  <c r="R14" i="33"/>
  <c r="R49" i="33" s="1"/>
  <c r="BF14" i="33"/>
  <c r="BF49" i="33" s="1"/>
  <c r="BR14" i="33"/>
  <c r="BR49" i="33" s="1"/>
  <c r="AX14" i="33"/>
  <c r="AX49" i="33" s="1"/>
  <c r="AH14" i="33"/>
  <c r="AH49" i="33" s="1"/>
  <c r="BN14" i="33"/>
  <c r="BN49" i="33" s="1"/>
  <c r="BZ14" i="33"/>
  <c r="BZ49" i="33" s="1"/>
  <c r="BX14" i="33"/>
  <c r="BX49" i="33" s="1"/>
  <c r="L14" i="33"/>
  <c r="L49" i="33" s="1"/>
  <c r="BL14" i="33"/>
  <c r="BL49" i="33" s="1"/>
  <c r="AD14" i="33"/>
  <c r="AD49" i="33" s="1"/>
  <c r="V14" i="33"/>
  <c r="V49" i="33" s="1"/>
  <c r="AJ14" i="33"/>
  <c r="AJ49" i="33" s="1"/>
  <c r="CD14" i="33"/>
  <c r="CD49" i="33" s="1"/>
  <c r="N14" i="33"/>
  <c r="N49" i="33" s="1"/>
  <c r="AV14" i="33"/>
  <c r="AV49" i="33" s="1"/>
  <c r="BV14" i="33"/>
  <c r="BV49" i="33" s="1"/>
  <c r="AT14" i="33"/>
  <c r="AT49" i="33" s="1"/>
  <c r="F14" i="33"/>
  <c r="F49" i="33" s="1"/>
  <c r="AL14" i="33"/>
  <c r="AL49" i="33" s="1"/>
  <c r="P14" i="33"/>
  <c r="P49" i="33" s="1"/>
  <c r="Z14" i="33"/>
  <c r="Z49" i="33" s="1"/>
  <c r="AP14" i="33"/>
  <c r="AP49" i="33" s="1"/>
  <c r="AF14" i="33"/>
  <c r="AF49" i="33" s="1"/>
  <c r="AR14" i="33"/>
  <c r="AR49" i="33" s="1"/>
  <c r="X14" i="33"/>
  <c r="X49" i="33" s="1"/>
  <c r="AZ14" i="33"/>
  <c r="AZ49" i="33" s="1"/>
  <c r="CL14" i="44"/>
  <c r="C14" i="10" s="1"/>
  <c r="CJ14" i="33"/>
  <c r="B12" i="10" s="1"/>
  <c r="AB33" i="3"/>
  <c r="CK14" i="33"/>
  <c r="B13" i="10" s="1"/>
  <c r="CL14" i="33"/>
  <c r="B14" i="10" s="1"/>
  <c r="AC33" i="3"/>
  <c r="AE33" i="3"/>
  <c r="AD33" i="3"/>
  <c r="CI14" i="33"/>
  <c r="R5" i="3"/>
  <c r="Q5" i="3"/>
  <c r="G33" i="3"/>
  <c r="BD49" i="51" l="1"/>
  <c r="Z49" i="53"/>
  <c r="AV49" i="51"/>
  <c r="AV45" i="54"/>
  <c r="AD49" i="52"/>
  <c r="BH49" i="51"/>
  <c r="R49" i="53"/>
  <c r="H49" i="53"/>
  <c r="BN45" i="47"/>
  <c r="CD49" i="50"/>
  <c r="CD49" i="47"/>
  <c r="BJ45" i="53"/>
  <c r="BJ48" i="53" s="1"/>
  <c r="BJ49" i="52"/>
  <c r="BJ49" i="51"/>
  <c r="BB45" i="50"/>
  <c r="BB48" i="50" s="1"/>
  <c r="AL49" i="54"/>
  <c r="AJ45" i="53"/>
  <c r="AJ48" i="53" s="1"/>
  <c r="L45" i="52"/>
  <c r="L46" i="52" s="1"/>
  <c r="H45" i="50"/>
  <c r="H48" i="50" s="1"/>
  <c r="H45" i="51"/>
  <c r="H46" i="51" s="1"/>
  <c r="AF49" i="51"/>
  <c r="BP49" i="52"/>
  <c r="AN45" i="46"/>
  <c r="AN48" i="46" s="1"/>
  <c r="V45" i="46"/>
  <c r="V46" i="46" s="1"/>
  <c r="H45" i="52"/>
  <c r="H48" i="52" s="1"/>
  <c r="BP49" i="53"/>
  <c r="AD45" i="53"/>
  <c r="AD46" i="53" s="1"/>
  <c r="V45" i="50"/>
  <c r="V48" i="50" s="1"/>
  <c r="N49" i="46"/>
  <c r="AF45" i="54"/>
  <c r="AF48" i="54" s="1"/>
  <c r="AZ45" i="51"/>
  <c r="AZ48" i="51" s="1"/>
  <c r="BB45" i="51"/>
  <c r="BB48" i="51" s="1"/>
  <c r="BX49" i="47"/>
  <c r="AL49" i="50"/>
  <c r="BB49" i="48"/>
  <c r="X49" i="46"/>
  <c r="AP49" i="47"/>
  <c r="J45" i="54"/>
  <c r="J48" i="54" s="1"/>
  <c r="CF49" i="48"/>
  <c r="P45" i="54"/>
  <c r="P48" i="54" s="1"/>
  <c r="X49" i="52"/>
  <c r="AR45" i="51"/>
  <c r="AR48" i="51" s="1"/>
  <c r="BD45" i="50"/>
  <c r="BD46" i="50" s="1"/>
  <c r="AH49" i="50"/>
  <c r="BX45" i="48"/>
  <c r="BX48" i="48" s="1"/>
  <c r="BT45" i="47"/>
  <c r="BT46" i="47" s="1"/>
  <c r="T49" i="46"/>
  <c r="BD45" i="49"/>
  <c r="BD46" i="49" s="1"/>
  <c r="AJ45" i="54"/>
  <c r="AJ46" i="54" s="1"/>
  <c r="AZ49" i="49"/>
  <c r="AH49" i="52"/>
  <c r="AD45" i="47"/>
  <c r="AD48" i="47" s="1"/>
  <c r="BD45" i="53"/>
  <c r="BD48" i="53" s="1"/>
  <c r="L49" i="48"/>
  <c r="AP45" i="46"/>
  <c r="AP48" i="46" s="1"/>
  <c r="AJ45" i="47"/>
  <c r="AJ48" i="47" s="1"/>
  <c r="AP45" i="45"/>
  <c r="AP46" i="45" s="1"/>
  <c r="Z45" i="51"/>
  <c r="Z48" i="51" s="1"/>
  <c r="BZ49" i="53"/>
  <c r="AB49" i="53"/>
  <c r="N49" i="53"/>
  <c r="BH49" i="52"/>
  <c r="J49" i="53"/>
  <c r="AT49" i="50"/>
  <c r="AB45" i="50"/>
  <c r="AB48" i="50" s="1"/>
  <c r="BF49" i="48"/>
  <c r="T45" i="48"/>
  <c r="T48" i="48" s="1"/>
  <c r="P45" i="53"/>
  <c r="P46" i="53" s="1"/>
  <c r="BV45" i="52"/>
  <c r="BV48" i="52" s="1"/>
  <c r="CF45" i="50"/>
  <c r="CF46" i="50" s="1"/>
  <c r="AD45" i="49"/>
  <c r="AD46" i="49" s="1"/>
  <c r="R45" i="49"/>
  <c r="R48" i="49" s="1"/>
  <c r="AD45" i="48"/>
  <c r="AD46" i="48" s="1"/>
  <c r="BB45" i="46"/>
  <c r="BB46" i="46" s="1"/>
  <c r="AD45" i="45"/>
  <c r="AD48" i="45" s="1"/>
  <c r="AL49" i="53"/>
  <c r="CF49" i="52"/>
  <c r="X45" i="45"/>
  <c r="X46" i="45" s="1"/>
  <c r="X45" i="54"/>
  <c r="X46" i="54" s="1"/>
  <c r="L45" i="53"/>
  <c r="L48" i="53" s="1"/>
  <c r="R45" i="52"/>
  <c r="R48" i="52" s="1"/>
  <c r="CB45" i="50"/>
  <c r="CB48" i="50" s="1"/>
  <c r="BX45" i="49"/>
  <c r="BX48" i="49" s="1"/>
  <c r="BN45" i="48"/>
  <c r="BN48" i="48" s="1"/>
  <c r="AP45" i="48"/>
  <c r="AP48" i="48" s="1"/>
  <c r="BL49" i="47"/>
  <c r="CF45" i="46"/>
  <c r="CF48" i="46" s="1"/>
  <c r="BP45" i="45"/>
  <c r="BP48" i="45" s="1"/>
  <c r="V49" i="54"/>
  <c r="BZ49" i="52"/>
  <c r="N49" i="52"/>
  <c r="AD45" i="51"/>
  <c r="AD48" i="51" s="1"/>
  <c r="AV45" i="46"/>
  <c r="AV46" i="46" s="1"/>
  <c r="BH45" i="54"/>
  <c r="BH48" i="54" s="1"/>
  <c r="BJ45" i="50"/>
  <c r="BJ46" i="50" s="1"/>
  <c r="AJ49" i="48"/>
  <c r="BZ49" i="46"/>
  <c r="AH49" i="54"/>
  <c r="V49" i="53"/>
  <c r="BR49" i="51"/>
  <c r="P45" i="51"/>
  <c r="P46" i="51" s="1"/>
  <c r="BT45" i="50"/>
  <c r="BT46" i="50" s="1"/>
  <c r="BR49" i="48"/>
  <c r="AX49" i="48"/>
  <c r="AH45" i="53"/>
  <c r="AH46" i="53" s="1"/>
  <c r="AR45" i="54"/>
  <c r="AR48" i="54" s="1"/>
  <c r="BJ49" i="46"/>
  <c r="AD49" i="54"/>
  <c r="BN49" i="52"/>
  <c r="AF49" i="52"/>
  <c r="AH45" i="51"/>
  <c r="AH48" i="51" s="1"/>
  <c r="X45" i="51"/>
  <c r="X46" i="51" s="1"/>
  <c r="AR45" i="50"/>
  <c r="AR48" i="50" s="1"/>
  <c r="BL45" i="53"/>
  <c r="BL48" i="53" s="1"/>
  <c r="V49" i="52"/>
  <c r="AT45" i="51"/>
  <c r="AT48" i="51" s="1"/>
  <c r="BL45" i="49"/>
  <c r="BL48" i="49" s="1"/>
  <c r="BN49" i="54"/>
  <c r="AP45" i="50"/>
  <c r="AP48" i="50" s="1"/>
  <c r="AL45" i="49"/>
  <c r="AL48" i="49" s="1"/>
  <c r="BH45" i="49"/>
  <c r="BH48" i="49" s="1"/>
  <c r="H45" i="49"/>
  <c r="H48" i="49" s="1"/>
  <c r="AB45" i="54"/>
  <c r="AB46" i="54" s="1"/>
  <c r="BV49" i="53"/>
  <c r="AH45" i="47"/>
  <c r="AH48" i="47" s="1"/>
  <c r="BT45" i="54"/>
  <c r="BT48" i="54" s="1"/>
  <c r="AV49" i="49"/>
  <c r="AT49" i="48"/>
  <c r="BD45" i="47"/>
  <c r="BD48" i="47" s="1"/>
  <c r="BR49" i="53"/>
  <c r="AP45" i="52"/>
  <c r="AP48" i="52" s="1"/>
  <c r="CD49" i="51"/>
  <c r="CB49" i="48"/>
  <c r="R49" i="51"/>
  <c r="BH45" i="45"/>
  <c r="BH46" i="45" s="1"/>
  <c r="AL49" i="51"/>
  <c r="N49" i="51"/>
  <c r="V49" i="47"/>
  <c r="AT49" i="46"/>
  <c r="CB49" i="52"/>
  <c r="AX45" i="52"/>
  <c r="AX48" i="52" s="1"/>
  <c r="L45" i="50"/>
  <c r="L48" i="50" s="1"/>
  <c r="AX49" i="45"/>
  <c r="N49" i="48"/>
  <c r="CL45" i="48"/>
  <c r="CL46" i="48" s="1"/>
  <c r="G14" i="10"/>
  <c r="CL45" i="53"/>
  <c r="CL46" i="53" s="1"/>
  <c r="L14" i="10"/>
  <c r="CL45" i="52"/>
  <c r="CL46" i="52" s="1"/>
  <c r="K14" i="10"/>
  <c r="CI45" i="45"/>
  <c r="CI46" i="45" s="1"/>
  <c r="D11" i="10"/>
  <c r="CL45" i="54"/>
  <c r="CL46" i="54" s="1"/>
  <c r="M14" i="10"/>
  <c r="CL45" i="51"/>
  <c r="CL46" i="51" s="1"/>
  <c r="J14" i="10"/>
  <c r="CL45" i="45"/>
  <c r="CL46" i="45" s="1"/>
  <c r="D14" i="10"/>
  <c r="CK45" i="45"/>
  <c r="CK46" i="45" s="1"/>
  <c r="D13" i="10"/>
  <c r="CL45" i="50"/>
  <c r="CL46" i="50" s="1"/>
  <c r="I14" i="10"/>
  <c r="CL45" i="47"/>
  <c r="CL46" i="47" s="1"/>
  <c r="F14" i="10"/>
  <c r="F45" i="47"/>
  <c r="F46" i="47" s="1"/>
  <c r="CL45" i="49"/>
  <c r="CL46" i="49" s="1"/>
  <c r="H14" i="10"/>
  <c r="CJ45" i="45"/>
  <c r="CJ46" i="45" s="1"/>
  <c r="D12" i="10"/>
  <c r="CL45" i="46"/>
  <c r="CL46" i="46" s="1"/>
  <c r="E14" i="10"/>
  <c r="BX49" i="54"/>
  <c r="AZ49" i="47"/>
  <c r="AX49" i="49"/>
  <c r="BT45" i="48"/>
  <c r="BT48" i="48" s="1"/>
  <c r="AV49" i="48"/>
  <c r="BR49" i="47"/>
  <c r="R49" i="47"/>
  <c r="H45" i="47"/>
  <c r="H48" i="47" s="1"/>
  <c r="AX45" i="46"/>
  <c r="AX48" i="46" s="1"/>
  <c r="AB45" i="46"/>
  <c r="AB48" i="46" s="1"/>
  <c r="BP45" i="47"/>
  <c r="BP46" i="47" s="1"/>
  <c r="AX49" i="47"/>
  <c r="CD49" i="46"/>
  <c r="AL45" i="47"/>
  <c r="AL48" i="47" s="1"/>
  <c r="BH49" i="46"/>
  <c r="BJ45" i="49"/>
  <c r="BJ46" i="49" s="1"/>
  <c r="I11" i="10"/>
  <c r="BJ49" i="45"/>
  <c r="BL49" i="46"/>
  <c r="CB45" i="45"/>
  <c r="CB48" i="45" s="1"/>
  <c r="AR49" i="47"/>
  <c r="F45" i="50"/>
  <c r="F48" i="50" s="1"/>
  <c r="H13" i="10"/>
  <c r="CB45" i="53"/>
  <c r="CB48" i="53" s="1"/>
  <c r="BH45" i="53"/>
  <c r="BH48" i="53" s="1"/>
  <c r="AV45" i="53"/>
  <c r="AV48" i="53" s="1"/>
  <c r="BR49" i="52"/>
  <c r="CB45" i="51"/>
  <c r="CB48" i="51" s="1"/>
  <c r="AX45" i="51"/>
  <c r="AX48" i="51" s="1"/>
  <c r="AJ45" i="51"/>
  <c r="AJ46" i="51" s="1"/>
  <c r="AN49" i="50"/>
  <c r="BN45" i="49"/>
  <c r="BN48" i="49" s="1"/>
  <c r="BF45" i="49"/>
  <c r="BF48" i="49" s="1"/>
  <c r="BB45" i="49"/>
  <c r="BB48" i="49" s="1"/>
  <c r="AR45" i="49"/>
  <c r="AR46" i="49" s="1"/>
  <c r="V45" i="49"/>
  <c r="V48" i="49" s="1"/>
  <c r="L45" i="49"/>
  <c r="L46" i="49" s="1"/>
  <c r="BZ45" i="48"/>
  <c r="BZ48" i="48" s="1"/>
  <c r="AL45" i="48"/>
  <c r="AL48" i="48" s="1"/>
  <c r="P45" i="48"/>
  <c r="P48" i="48" s="1"/>
  <c r="BH45" i="47"/>
  <c r="BH48" i="47" s="1"/>
  <c r="BB45" i="47"/>
  <c r="BB48" i="47" s="1"/>
  <c r="X49" i="47"/>
  <c r="BX45" i="46"/>
  <c r="BX48" i="46" s="1"/>
  <c r="BN49" i="46"/>
  <c r="AR45" i="46"/>
  <c r="AR46" i="46" s="1"/>
  <c r="L45" i="46"/>
  <c r="L48" i="46" s="1"/>
  <c r="BN49" i="45"/>
  <c r="CD49" i="54"/>
  <c r="BZ49" i="54"/>
  <c r="BV49" i="54"/>
  <c r="AT49" i="54"/>
  <c r="AP49" i="54"/>
  <c r="N49" i="54"/>
  <c r="AZ45" i="52"/>
  <c r="AZ46" i="52" s="1"/>
  <c r="AV45" i="52"/>
  <c r="AV48" i="52" s="1"/>
  <c r="T45" i="52"/>
  <c r="T46" i="52" s="1"/>
  <c r="P45" i="52"/>
  <c r="P48" i="52" s="1"/>
  <c r="BP45" i="51"/>
  <c r="BP48" i="51" s="1"/>
  <c r="BL45" i="51"/>
  <c r="BL46" i="51" s="1"/>
  <c r="BX45" i="50"/>
  <c r="BX48" i="50" s="1"/>
  <c r="BP45" i="50"/>
  <c r="BP48" i="50" s="1"/>
  <c r="BL45" i="50"/>
  <c r="BL46" i="50" s="1"/>
  <c r="BF45" i="50"/>
  <c r="BF48" i="50" s="1"/>
  <c r="AD49" i="50"/>
  <c r="Z45" i="50"/>
  <c r="Z46" i="50" s="1"/>
  <c r="CB45" i="49"/>
  <c r="CB46" i="49" s="1"/>
  <c r="F45" i="49"/>
  <c r="F46" i="49" s="1"/>
  <c r="BP45" i="48"/>
  <c r="BP46" i="48" s="1"/>
  <c r="P45" i="46"/>
  <c r="P46" i="46" s="1"/>
  <c r="V49" i="45"/>
  <c r="BB45" i="45"/>
  <c r="BB48" i="45" s="1"/>
  <c r="P49" i="45"/>
  <c r="BT49" i="49"/>
  <c r="BT49" i="51"/>
  <c r="AX49" i="50"/>
  <c r="K11" i="10"/>
  <c r="K12" i="10"/>
  <c r="AH49" i="46"/>
  <c r="H12" i="10"/>
  <c r="CI45" i="53"/>
  <c r="CI46" i="53" s="1"/>
  <c r="AH45" i="48"/>
  <c r="AH48" i="48" s="1"/>
  <c r="AH49" i="45"/>
  <c r="P45" i="47"/>
  <c r="P48" i="47" s="1"/>
  <c r="Z45" i="46"/>
  <c r="Z48" i="46" s="1"/>
  <c r="AV45" i="45"/>
  <c r="AV48" i="45" s="1"/>
  <c r="AB45" i="45"/>
  <c r="AB48" i="45" s="1"/>
  <c r="Z49" i="48"/>
  <c r="V49" i="48"/>
  <c r="J49" i="46"/>
  <c r="H49" i="48"/>
  <c r="I12" i="10"/>
  <c r="CD45" i="53"/>
  <c r="CD46" i="53" s="1"/>
  <c r="CD45" i="48"/>
  <c r="CD48" i="48" s="1"/>
  <c r="E11" i="10"/>
  <c r="K13" i="10"/>
  <c r="H45" i="46"/>
  <c r="H48" i="46" s="1"/>
  <c r="F45" i="46"/>
  <c r="F48" i="46" s="1"/>
  <c r="AB49" i="47"/>
  <c r="T49" i="47"/>
  <c r="BJ49" i="48"/>
  <c r="CB45" i="47"/>
  <c r="CB48" i="47" s="1"/>
  <c r="R45" i="46"/>
  <c r="R46" i="46" s="1"/>
  <c r="BX45" i="45"/>
  <c r="BX48" i="45" s="1"/>
  <c r="R49" i="45"/>
  <c r="BT45" i="46"/>
  <c r="BT46" i="46" s="1"/>
  <c r="AL49" i="45"/>
  <c r="CB45" i="46"/>
  <c r="CB46" i="46" s="1"/>
  <c r="BD45" i="46"/>
  <c r="BD46" i="46" s="1"/>
  <c r="BR49" i="45"/>
  <c r="L45" i="45"/>
  <c r="L48" i="45" s="1"/>
  <c r="AR45" i="45"/>
  <c r="AR46" i="45" s="1"/>
  <c r="F13" i="10"/>
  <c r="I13" i="10"/>
  <c r="J12" i="10"/>
  <c r="F49" i="54"/>
  <c r="F45" i="52"/>
  <c r="F48" i="52" s="1"/>
  <c r="F45" i="51"/>
  <c r="F48" i="51" s="1"/>
  <c r="BD45" i="48"/>
  <c r="BD48" i="48" s="1"/>
  <c r="AN45" i="48"/>
  <c r="AN48" i="48" s="1"/>
  <c r="BR49" i="46"/>
  <c r="AL49" i="46"/>
  <c r="BL45" i="45"/>
  <c r="BL48" i="45" s="1"/>
  <c r="AF45" i="45"/>
  <c r="AF48" i="45" s="1"/>
  <c r="G13" i="10"/>
  <c r="J11" i="10"/>
  <c r="E12" i="10"/>
  <c r="M12" i="10"/>
  <c r="AV45" i="47"/>
  <c r="AV48" i="47" s="1"/>
  <c r="BF45" i="46"/>
  <c r="BF48" i="46" s="1"/>
  <c r="CD49" i="45"/>
  <c r="F12" i="10"/>
  <c r="L49" i="47"/>
  <c r="BT49" i="45"/>
  <c r="AN49" i="45"/>
  <c r="B14" i="49"/>
  <c r="D14" i="49" s="1"/>
  <c r="T49" i="45"/>
  <c r="B14" i="50"/>
  <c r="D14" i="50" s="1"/>
  <c r="B14" i="47"/>
  <c r="D14" i="47" s="1"/>
  <c r="F49" i="48"/>
  <c r="CF49" i="45"/>
  <c r="H49" i="45"/>
  <c r="B14" i="51"/>
  <c r="D14" i="51" s="1"/>
  <c r="B14" i="45"/>
  <c r="D14" i="45" s="1"/>
  <c r="B14" i="46"/>
  <c r="D14" i="46" s="1"/>
  <c r="B14" i="54"/>
  <c r="D14" i="54" s="1"/>
  <c r="B14" i="48"/>
  <c r="D14" i="48" s="1"/>
  <c r="B14" i="53"/>
  <c r="D14" i="53" s="1"/>
  <c r="B14" i="52"/>
  <c r="D14" i="52" s="1"/>
  <c r="AZ49" i="45"/>
  <c r="M13" i="10"/>
  <c r="F49" i="45"/>
  <c r="J13" i="10"/>
  <c r="F11" i="10"/>
  <c r="B11" i="10"/>
  <c r="E13" i="10"/>
  <c r="L13" i="10"/>
  <c r="L12" i="10"/>
  <c r="M11" i="10"/>
  <c r="F45" i="53"/>
  <c r="F46" i="53" s="1"/>
  <c r="V45" i="51"/>
  <c r="V46" i="51" s="1"/>
  <c r="J45" i="51"/>
  <c r="J48" i="51" s="1"/>
  <c r="BH45" i="50"/>
  <c r="BH48" i="50" s="1"/>
  <c r="AZ45" i="50"/>
  <c r="AZ46" i="50" s="1"/>
  <c r="AV45" i="50"/>
  <c r="AV46" i="50" s="1"/>
  <c r="X45" i="50"/>
  <c r="X48" i="50" s="1"/>
  <c r="CD45" i="49"/>
  <c r="CD46" i="49" s="1"/>
  <c r="BZ45" i="49"/>
  <c r="BZ48" i="49" s="1"/>
  <c r="BV45" i="49"/>
  <c r="BV48" i="49" s="1"/>
  <c r="AT45" i="49"/>
  <c r="AT48" i="49" s="1"/>
  <c r="AH45" i="49"/>
  <c r="AH48" i="49" s="1"/>
  <c r="Z45" i="49"/>
  <c r="Z48" i="49" s="1"/>
  <c r="N45" i="49"/>
  <c r="N48" i="49" s="1"/>
  <c r="BL45" i="48"/>
  <c r="BL46" i="48" s="1"/>
  <c r="BH45" i="48"/>
  <c r="BH46" i="48" s="1"/>
  <c r="AB45" i="48"/>
  <c r="AB48" i="48" s="1"/>
  <c r="X45" i="48"/>
  <c r="X48" i="48" s="1"/>
  <c r="BZ45" i="47"/>
  <c r="BZ48" i="47" s="1"/>
  <c r="BF49" i="47"/>
  <c r="AT45" i="47"/>
  <c r="AT48" i="47" s="1"/>
  <c r="Z49" i="47"/>
  <c r="N45" i="47"/>
  <c r="N46" i="47" s="1"/>
  <c r="BP45" i="46"/>
  <c r="BP46" i="46" s="1"/>
  <c r="AJ45" i="46"/>
  <c r="AJ46" i="46" s="1"/>
  <c r="AF45" i="46"/>
  <c r="AF46" i="46" s="1"/>
  <c r="BZ49" i="45"/>
  <c r="BF49" i="45"/>
  <c r="AT49" i="45"/>
  <c r="Z49" i="45"/>
  <c r="N49" i="45"/>
  <c r="CI45" i="49"/>
  <c r="CI46" i="49" s="1"/>
  <c r="G12" i="10"/>
  <c r="H11" i="10"/>
  <c r="G11" i="10"/>
  <c r="CI45" i="54"/>
  <c r="CI46" i="54" s="1"/>
  <c r="D29" i="54"/>
  <c r="CF48" i="54"/>
  <c r="CF46" i="54"/>
  <c r="CD48" i="54"/>
  <c r="CD46" i="54"/>
  <c r="CB48" i="54"/>
  <c r="CB46" i="54"/>
  <c r="BZ48" i="54"/>
  <c r="BZ46" i="54"/>
  <c r="BX48" i="54"/>
  <c r="BX46" i="54"/>
  <c r="BV48" i="54"/>
  <c r="BV46" i="54"/>
  <c r="BR48" i="54"/>
  <c r="BR46" i="54"/>
  <c r="BP48" i="54"/>
  <c r="BP46" i="54"/>
  <c r="BN48" i="54"/>
  <c r="BN46" i="54"/>
  <c r="BL48" i="54"/>
  <c r="BL46" i="54"/>
  <c r="BJ48" i="54"/>
  <c r="BJ46" i="54"/>
  <c r="BH46" i="54"/>
  <c r="BF48" i="54"/>
  <c r="BF46" i="54"/>
  <c r="BD48" i="54"/>
  <c r="BD46" i="54"/>
  <c r="BB48" i="54"/>
  <c r="BB46" i="54"/>
  <c r="AZ48" i="54"/>
  <c r="AZ46" i="54"/>
  <c r="AX48" i="54"/>
  <c r="AX46" i="54"/>
  <c r="AV48" i="54"/>
  <c r="AV46" i="54"/>
  <c r="AT48" i="54"/>
  <c r="AT46" i="54"/>
  <c r="AP48" i="54"/>
  <c r="AP46" i="54"/>
  <c r="AN48" i="54"/>
  <c r="AN46" i="54"/>
  <c r="AL48" i="54"/>
  <c r="AL46" i="54"/>
  <c r="AH48" i="54"/>
  <c r="AH46" i="54"/>
  <c r="AD48" i="54"/>
  <c r="AD46" i="54"/>
  <c r="Z48" i="54"/>
  <c r="Z46" i="54"/>
  <c r="V48" i="54"/>
  <c r="V46" i="54"/>
  <c r="T48" i="54"/>
  <c r="T46" i="54"/>
  <c r="R48" i="54"/>
  <c r="R46" i="54"/>
  <c r="N48" i="54"/>
  <c r="N46" i="54"/>
  <c r="L48" i="54"/>
  <c r="L46" i="54"/>
  <c r="H48" i="54"/>
  <c r="H46" i="54"/>
  <c r="F48" i="54"/>
  <c r="F46" i="54"/>
  <c r="D29" i="53"/>
  <c r="CF48" i="53"/>
  <c r="CF46" i="53"/>
  <c r="BZ48" i="53"/>
  <c r="BZ46" i="53"/>
  <c r="BX48" i="53"/>
  <c r="BX46" i="53"/>
  <c r="BV48" i="53"/>
  <c r="BV46" i="53"/>
  <c r="BT48" i="53"/>
  <c r="BT46" i="53"/>
  <c r="BR48" i="53"/>
  <c r="BR46" i="53"/>
  <c r="BP48" i="53"/>
  <c r="BP46" i="53"/>
  <c r="BN48" i="53"/>
  <c r="BN46" i="53"/>
  <c r="BJ46" i="53"/>
  <c r="BF46" i="53"/>
  <c r="BF48" i="53"/>
  <c r="BB48" i="53"/>
  <c r="BB46" i="53"/>
  <c r="AZ48" i="53"/>
  <c r="AZ46" i="53"/>
  <c r="AX48" i="53"/>
  <c r="AX46" i="53"/>
  <c r="AT48" i="53"/>
  <c r="AT46" i="53"/>
  <c r="AR48" i="53"/>
  <c r="AR46" i="53"/>
  <c r="AP48" i="53"/>
  <c r="AP46" i="53"/>
  <c r="AN48" i="53"/>
  <c r="AN46" i="53"/>
  <c r="AL48" i="53"/>
  <c r="AL46" i="53"/>
  <c r="AF48" i="53"/>
  <c r="AF46" i="53"/>
  <c r="AB48" i="53"/>
  <c r="AB46" i="53"/>
  <c r="Z48" i="53"/>
  <c r="Z46" i="53"/>
  <c r="X48" i="53"/>
  <c r="X46" i="53"/>
  <c r="V48" i="53"/>
  <c r="V46" i="53"/>
  <c r="T48" i="53"/>
  <c r="T46" i="53"/>
  <c r="R48" i="53"/>
  <c r="R46" i="53"/>
  <c r="N48" i="53"/>
  <c r="N46" i="53"/>
  <c r="J48" i="53"/>
  <c r="J46" i="53"/>
  <c r="H48" i="53"/>
  <c r="H46" i="53"/>
  <c r="D29" i="52"/>
  <c r="CF48" i="52"/>
  <c r="CF46" i="52"/>
  <c r="CD48" i="52"/>
  <c r="CD46" i="52"/>
  <c r="CB48" i="52"/>
  <c r="CB46" i="52"/>
  <c r="BZ48" i="52"/>
  <c r="BZ46" i="52"/>
  <c r="BX48" i="52"/>
  <c r="BX46" i="52"/>
  <c r="BT48" i="52"/>
  <c r="BT46" i="52"/>
  <c r="BR48" i="52"/>
  <c r="BR46" i="52"/>
  <c r="BP48" i="52"/>
  <c r="BP46" i="52"/>
  <c r="BN48" i="52"/>
  <c r="BN46" i="52"/>
  <c r="BL48" i="52"/>
  <c r="BL46" i="52"/>
  <c r="BJ48" i="52"/>
  <c r="BJ46" i="52"/>
  <c r="BH48" i="52"/>
  <c r="BH46" i="52"/>
  <c r="BF48" i="52"/>
  <c r="BF46" i="52"/>
  <c r="BD48" i="52"/>
  <c r="BD46" i="52"/>
  <c r="BB48" i="52"/>
  <c r="BB46" i="52"/>
  <c r="AT48" i="52"/>
  <c r="AT46" i="52"/>
  <c r="AR48" i="52"/>
  <c r="AR46" i="52"/>
  <c r="AN48" i="52"/>
  <c r="AN46" i="52"/>
  <c r="AL48" i="52"/>
  <c r="AL46" i="52"/>
  <c r="AJ48" i="52"/>
  <c r="AJ46" i="52"/>
  <c r="AH48" i="52"/>
  <c r="AH46" i="52"/>
  <c r="AF48" i="52"/>
  <c r="AF46" i="52"/>
  <c r="AD48" i="52"/>
  <c r="AD46" i="52"/>
  <c r="AB48" i="52"/>
  <c r="AB46" i="52"/>
  <c r="Z48" i="52"/>
  <c r="Z46" i="52"/>
  <c r="X48" i="52"/>
  <c r="X46" i="52"/>
  <c r="V48" i="52"/>
  <c r="V46" i="52"/>
  <c r="N48" i="52"/>
  <c r="N46" i="52"/>
  <c r="J48" i="52"/>
  <c r="J46" i="52"/>
  <c r="D29" i="51"/>
  <c r="CF48" i="51"/>
  <c r="CF46" i="51"/>
  <c r="CD48" i="51"/>
  <c r="CD46" i="51"/>
  <c r="BZ48" i="51"/>
  <c r="BZ46" i="51"/>
  <c r="BX48" i="51"/>
  <c r="BX46" i="51"/>
  <c r="BV48" i="51"/>
  <c r="BV46" i="51"/>
  <c r="BT48" i="51"/>
  <c r="BT46" i="51"/>
  <c r="BR48" i="51"/>
  <c r="BR46" i="51"/>
  <c r="BN48" i="51"/>
  <c r="BN46" i="51"/>
  <c r="BJ48" i="51"/>
  <c r="BJ46" i="51"/>
  <c r="BH48" i="51"/>
  <c r="BH46" i="51"/>
  <c r="BF48" i="51"/>
  <c r="BF46" i="51"/>
  <c r="BD48" i="51"/>
  <c r="BD46" i="51"/>
  <c r="AV48" i="51"/>
  <c r="AV46" i="51"/>
  <c r="AP48" i="51"/>
  <c r="AP46" i="51"/>
  <c r="AN48" i="51"/>
  <c r="AN46" i="51"/>
  <c r="AL48" i="51"/>
  <c r="AL46" i="51"/>
  <c r="AF48" i="51"/>
  <c r="AF46" i="51"/>
  <c r="AB48" i="51"/>
  <c r="AB46" i="51"/>
  <c r="T48" i="51"/>
  <c r="T46" i="51"/>
  <c r="R48" i="51"/>
  <c r="R46" i="51"/>
  <c r="N48" i="51"/>
  <c r="N46" i="51"/>
  <c r="L48" i="51"/>
  <c r="L46" i="51"/>
  <c r="D29" i="50"/>
  <c r="CD48" i="50"/>
  <c r="CD46" i="50"/>
  <c r="BZ48" i="50"/>
  <c r="BZ46" i="50"/>
  <c r="BV48" i="50"/>
  <c r="BV46" i="50"/>
  <c r="BR48" i="50"/>
  <c r="BR46" i="50"/>
  <c r="BN48" i="50"/>
  <c r="BN46" i="50"/>
  <c r="AX48" i="50"/>
  <c r="AX46" i="50"/>
  <c r="AT48" i="50"/>
  <c r="AT46" i="50"/>
  <c r="AN48" i="50"/>
  <c r="AN46" i="50"/>
  <c r="AL48" i="50"/>
  <c r="AL46" i="50"/>
  <c r="AJ48" i="50"/>
  <c r="AJ46" i="50"/>
  <c r="AH48" i="50"/>
  <c r="AH46" i="50"/>
  <c r="AF48" i="50"/>
  <c r="AF46" i="50"/>
  <c r="AD48" i="50"/>
  <c r="AD46" i="50"/>
  <c r="T48" i="50"/>
  <c r="T46" i="50"/>
  <c r="R48" i="50"/>
  <c r="R46" i="50"/>
  <c r="P48" i="50"/>
  <c r="P46" i="50"/>
  <c r="N48" i="50"/>
  <c r="N46" i="50"/>
  <c r="J48" i="50"/>
  <c r="J46" i="50"/>
  <c r="D29" i="49"/>
  <c r="CF48" i="49"/>
  <c r="CF46" i="49"/>
  <c r="BT48" i="49"/>
  <c r="BT46" i="49"/>
  <c r="BR48" i="49"/>
  <c r="BR46" i="49"/>
  <c r="BP48" i="49"/>
  <c r="BP46" i="49"/>
  <c r="AZ48" i="49"/>
  <c r="AZ46" i="49"/>
  <c r="AX48" i="49"/>
  <c r="AX46" i="49"/>
  <c r="AV48" i="49"/>
  <c r="AV46" i="49"/>
  <c r="AP48" i="49"/>
  <c r="AP46" i="49"/>
  <c r="AN48" i="49"/>
  <c r="AN46" i="49"/>
  <c r="AJ48" i="49"/>
  <c r="AJ46" i="49"/>
  <c r="AF48" i="49"/>
  <c r="AF46" i="49"/>
  <c r="AB48" i="49"/>
  <c r="AB46" i="49"/>
  <c r="X48" i="49"/>
  <c r="X46" i="49"/>
  <c r="T48" i="49"/>
  <c r="T46" i="49"/>
  <c r="P48" i="49"/>
  <c r="P46" i="49"/>
  <c r="J48" i="49"/>
  <c r="J46" i="49"/>
  <c r="D29" i="48"/>
  <c r="CF48" i="48"/>
  <c r="CF46" i="48"/>
  <c r="CB48" i="48"/>
  <c r="CB46" i="48"/>
  <c r="BV48" i="48"/>
  <c r="BV46" i="48"/>
  <c r="BR48" i="48"/>
  <c r="BR46" i="48"/>
  <c r="BJ46" i="48"/>
  <c r="BJ48" i="48"/>
  <c r="BF48" i="48"/>
  <c r="BF46" i="48"/>
  <c r="BB48" i="48"/>
  <c r="BB46" i="48"/>
  <c r="AZ48" i="48"/>
  <c r="AZ46" i="48"/>
  <c r="AX48" i="48"/>
  <c r="AX46" i="48"/>
  <c r="AV48" i="48"/>
  <c r="AV46" i="48"/>
  <c r="AT48" i="48"/>
  <c r="AT46" i="48"/>
  <c r="AR48" i="48"/>
  <c r="AR46" i="48"/>
  <c r="AJ48" i="48"/>
  <c r="AJ46" i="48"/>
  <c r="AF48" i="48"/>
  <c r="AF46" i="48"/>
  <c r="Z48" i="48"/>
  <c r="Z46" i="48"/>
  <c r="V48" i="48"/>
  <c r="V46" i="48"/>
  <c r="R48" i="48"/>
  <c r="R46" i="48"/>
  <c r="N46" i="48"/>
  <c r="N48" i="48"/>
  <c r="L48" i="48"/>
  <c r="L46" i="48"/>
  <c r="J48" i="48"/>
  <c r="J46" i="48"/>
  <c r="H48" i="48"/>
  <c r="H46" i="48"/>
  <c r="F48" i="48"/>
  <c r="F46" i="48"/>
  <c r="D29" i="47"/>
  <c r="CF48" i="47"/>
  <c r="CF46" i="47"/>
  <c r="CD48" i="47"/>
  <c r="CD46" i="47"/>
  <c r="BX48" i="47"/>
  <c r="BX46" i="47"/>
  <c r="BV48" i="47"/>
  <c r="BV46" i="47"/>
  <c r="BR48" i="47"/>
  <c r="BR46" i="47"/>
  <c r="BN48" i="47"/>
  <c r="BN46" i="47"/>
  <c r="BL48" i="47"/>
  <c r="BL46" i="47"/>
  <c r="BJ48" i="47"/>
  <c r="BJ46" i="47"/>
  <c r="BF48" i="47"/>
  <c r="BF46" i="47"/>
  <c r="AZ48" i="47"/>
  <c r="AZ46" i="47"/>
  <c r="AX48" i="47"/>
  <c r="AX46" i="47"/>
  <c r="AR48" i="47"/>
  <c r="AR46" i="47"/>
  <c r="AP48" i="47"/>
  <c r="AP46" i="47"/>
  <c r="AN48" i="47"/>
  <c r="AN46" i="47"/>
  <c r="AF48" i="47"/>
  <c r="AF46" i="47"/>
  <c r="AB48" i="47"/>
  <c r="AB46" i="47"/>
  <c r="Z48" i="47"/>
  <c r="Z46" i="47"/>
  <c r="X48" i="47"/>
  <c r="X46" i="47"/>
  <c r="V48" i="47"/>
  <c r="V46" i="47"/>
  <c r="T48" i="47"/>
  <c r="T46" i="47"/>
  <c r="R48" i="47"/>
  <c r="R46" i="47"/>
  <c r="L48" i="47"/>
  <c r="L46" i="47"/>
  <c r="J48" i="47"/>
  <c r="J46" i="47"/>
  <c r="D29" i="46"/>
  <c r="CD48" i="46"/>
  <c r="CD46" i="46"/>
  <c r="BZ48" i="46"/>
  <c r="BZ46" i="46"/>
  <c r="BV48" i="46"/>
  <c r="BV46" i="46"/>
  <c r="BR48" i="46"/>
  <c r="BR46" i="46"/>
  <c r="BN48" i="46"/>
  <c r="BN46" i="46"/>
  <c r="BL48" i="46"/>
  <c r="BL46" i="46"/>
  <c r="BJ48" i="46"/>
  <c r="BJ46" i="46"/>
  <c r="BH48" i="46"/>
  <c r="BH46" i="46"/>
  <c r="AZ48" i="46"/>
  <c r="AZ46" i="46"/>
  <c r="AT48" i="46"/>
  <c r="AT46" i="46"/>
  <c r="AL48" i="46"/>
  <c r="AL46" i="46"/>
  <c r="AH48" i="46"/>
  <c r="AH46" i="46"/>
  <c r="AD48" i="46"/>
  <c r="AD46" i="46"/>
  <c r="X48" i="46"/>
  <c r="X46" i="46"/>
  <c r="T48" i="46"/>
  <c r="T46" i="46"/>
  <c r="N48" i="46"/>
  <c r="N46" i="46"/>
  <c r="J48" i="46"/>
  <c r="J46" i="46"/>
  <c r="D29" i="45"/>
  <c r="CF48" i="45"/>
  <c r="CF46" i="45"/>
  <c r="CD48" i="45"/>
  <c r="CD46" i="45"/>
  <c r="BZ48" i="45"/>
  <c r="BZ46" i="45"/>
  <c r="BV48" i="45"/>
  <c r="BV46" i="45"/>
  <c r="BT48" i="45"/>
  <c r="BT46" i="45"/>
  <c r="BR48" i="45"/>
  <c r="BR46" i="45"/>
  <c r="BN48" i="45"/>
  <c r="BN46" i="45"/>
  <c r="BJ48" i="45"/>
  <c r="BJ46" i="45"/>
  <c r="BF48" i="45"/>
  <c r="BF46" i="45"/>
  <c r="BD48" i="45"/>
  <c r="BD46" i="45"/>
  <c r="AZ48" i="45"/>
  <c r="AZ46" i="45"/>
  <c r="AX48" i="45"/>
  <c r="AX46" i="45"/>
  <c r="AT48" i="45"/>
  <c r="AT46" i="45"/>
  <c r="AN48" i="45"/>
  <c r="AN46" i="45"/>
  <c r="AL48" i="45"/>
  <c r="AL46" i="45"/>
  <c r="AJ48" i="45"/>
  <c r="AJ46" i="45"/>
  <c r="AH48" i="45"/>
  <c r="AH46" i="45"/>
  <c r="Z48" i="45"/>
  <c r="Z46" i="45"/>
  <c r="V48" i="45"/>
  <c r="V46" i="45"/>
  <c r="T48" i="45"/>
  <c r="T46" i="45"/>
  <c r="R48" i="45"/>
  <c r="R46" i="45"/>
  <c r="P48" i="45"/>
  <c r="P46" i="45"/>
  <c r="N48" i="45"/>
  <c r="N46" i="45"/>
  <c r="J48" i="45"/>
  <c r="J46" i="45"/>
  <c r="H48" i="45"/>
  <c r="H46" i="45"/>
  <c r="F48" i="45"/>
  <c r="F46" i="45"/>
  <c r="F49" i="44"/>
  <c r="BH49" i="44"/>
  <c r="AF49" i="44"/>
  <c r="BD49" i="44"/>
  <c r="J49" i="44"/>
  <c r="AX49" i="44"/>
  <c r="BB49" i="44"/>
  <c r="CB49" i="44"/>
  <c r="AR49" i="44"/>
  <c r="BT49" i="44"/>
  <c r="BZ49" i="44"/>
  <c r="X49" i="44"/>
  <c r="Z49" i="44"/>
  <c r="BP49" i="44"/>
  <c r="AV49" i="44"/>
  <c r="R49" i="44"/>
  <c r="AJ49" i="44"/>
  <c r="N49" i="44"/>
  <c r="CD49" i="44"/>
  <c r="AD49" i="44"/>
  <c r="BX49" i="44"/>
  <c r="P49" i="44"/>
  <c r="AZ49" i="44"/>
  <c r="T49" i="44"/>
  <c r="AT49" i="44"/>
  <c r="AB49" i="44"/>
  <c r="BF49" i="44"/>
  <c r="BJ49" i="44"/>
  <c r="H49" i="44"/>
  <c r="CF49" i="44"/>
  <c r="AN49" i="44"/>
  <c r="AP49" i="44"/>
  <c r="AL49" i="44"/>
  <c r="BV49" i="44"/>
  <c r="V49" i="44"/>
  <c r="AH49" i="44"/>
  <c r="BL49" i="44"/>
  <c r="L49" i="44"/>
  <c r="BN49" i="44"/>
  <c r="BR49" i="44"/>
  <c r="Q8" i="3"/>
  <c r="E35" i="3" s="1"/>
  <c r="E34" i="3"/>
  <c r="Q6" i="3"/>
  <c r="C35" i="3" s="1"/>
  <c r="C34" i="3"/>
  <c r="Q7" i="3"/>
  <c r="D35" i="3" s="1"/>
  <c r="D34" i="3"/>
  <c r="B35" i="3"/>
  <c r="B34" i="3"/>
  <c r="BB46" i="50" l="1"/>
  <c r="AJ46" i="53"/>
  <c r="L48" i="52"/>
  <c r="H48" i="51"/>
  <c r="H46" i="50"/>
  <c r="AN46" i="46"/>
  <c r="V48" i="46"/>
  <c r="H46" i="52"/>
  <c r="V46" i="50"/>
  <c r="AD48" i="53"/>
  <c r="X48" i="45"/>
  <c r="AF46" i="54"/>
  <c r="BT48" i="47"/>
  <c r="CF46" i="46"/>
  <c r="BJ48" i="50"/>
  <c r="AL46" i="49"/>
  <c r="CF48" i="50"/>
  <c r="AZ46" i="51"/>
  <c r="BT48" i="50"/>
  <c r="BH48" i="45"/>
  <c r="P46" i="54"/>
  <c r="AP46" i="46"/>
  <c r="AD48" i="49"/>
  <c r="BH46" i="49"/>
  <c r="AP48" i="45"/>
  <c r="AB46" i="50"/>
  <c r="AJ48" i="54"/>
  <c r="BP46" i="45"/>
  <c r="BB46" i="51"/>
  <c r="X48" i="51"/>
  <c r="BD48" i="49"/>
  <c r="AJ46" i="47"/>
  <c r="AR46" i="51"/>
  <c r="AD48" i="48"/>
  <c r="R46" i="49"/>
  <c r="L46" i="53"/>
  <c r="AR46" i="50"/>
  <c r="H46" i="49"/>
  <c r="J46" i="54"/>
  <c r="X48" i="54"/>
  <c r="Z46" i="51"/>
  <c r="BD48" i="50"/>
  <c r="BD46" i="53"/>
  <c r="AV48" i="46"/>
  <c r="P48" i="51"/>
  <c r="BV46" i="52"/>
  <c r="BX46" i="48"/>
  <c r="BL46" i="49"/>
  <c r="AP46" i="48"/>
  <c r="AH48" i="53"/>
  <c r="AB46" i="46"/>
  <c r="BT46" i="54"/>
  <c r="AT46" i="51"/>
  <c r="R46" i="52"/>
  <c r="P48" i="53"/>
  <c r="BN46" i="48"/>
  <c r="AD46" i="47"/>
  <c r="T46" i="48"/>
  <c r="T48" i="52"/>
  <c r="AD46" i="51"/>
  <c r="F48" i="47"/>
  <c r="BB48" i="46"/>
  <c r="AR46" i="54"/>
  <c r="AD46" i="45"/>
  <c r="BL46" i="53"/>
  <c r="AB48" i="54"/>
  <c r="CB46" i="50"/>
  <c r="BX46" i="49"/>
  <c r="AH46" i="47"/>
  <c r="AP46" i="50"/>
  <c r="AH46" i="51"/>
  <c r="AL46" i="47"/>
  <c r="AJ48" i="51"/>
  <c r="BD46" i="47"/>
  <c r="BH46" i="47"/>
  <c r="AP46" i="52"/>
  <c r="BH46" i="53"/>
  <c r="BP48" i="47"/>
  <c r="L46" i="50"/>
  <c r="AX46" i="52"/>
  <c r="BP48" i="48"/>
  <c r="CD48" i="53"/>
  <c r="AR48" i="46"/>
  <c r="BJ48" i="49"/>
  <c r="BT46" i="48"/>
  <c r="BX46" i="46"/>
  <c r="BN46" i="49"/>
  <c r="CB46" i="45"/>
  <c r="H46" i="47"/>
  <c r="AX46" i="46"/>
  <c r="L48" i="49"/>
  <c r="BF46" i="49"/>
  <c r="BX46" i="50"/>
  <c r="AX46" i="51"/>
  <c r="BB46" i="45"/>
  <c r="P46" i="48"/>
  <c r="V46" i="49"/>
  <c r="F48" i="49"/>
  <c r="BL48" i="51"/>
  <c r="AV46" i="52"/>
  <c r="CB48" i="49"/>
  <c r="BL48" i="50"/>
  <c r="P48" i="46"/>
  <c r="BB46" i="47"/>
  <c r="BB46" i="49"/>
  <c r="Z48" i="50"/>
  <c r="BP46" i="50"/>
  <c r="BD48" i="46"/>
  <c r="BZ46" i="48"/>
  <c r="F46" i="50"/>
  <c r="P46" i="52"/>
  <c r="AV46" i="53"/>
  <c r="P46" i="47"/>
  <c r="BF46" i="50"/>
  <c r="CB46" i="51"/>
  <c r="CB46" i="53"/>
  <c r="B49" i="49"/>
  <c r="D49" i="49" s="1"/>
  <c r="L46" i="46"/>
  <c r="AL46" i="48"/>
  <c r="AR48" i="49"/>
  <c r="BP46" i="51"/>
  <c r="AZ48" i="52"/>
  <c r="Z46" i="46"/>
  <c r="AH46" i="48"/>
  <c r="F46" i="46"/>
  <c r="AV46" i="45"/>
  <c r="AB46" i="45"/>
  <c r="B49" i="50"/>
  <c r="D49" i="50" s="1"/>
  <c r="CD46" i="48"/>
  <c r="H46" i="46"/>
  <c r="BF46" i="46"/>
  <c r="BD46" i="48"/>
  <c r="L46" i="45"/>
  <c r="BL46" i="45"/>
  <c r="AJ48" i="46"/>
  <c r="AF46" i="45"/>
  <c r="R48" i="46"/>
  <c r="CB48" i="46"/>
  <c r="B49" i="46"/>
  <c r="D49" i="46" s="1"/>
  <c r="B45" i="52"/>
  <c r="B48" i="52" s="1"/>
  <c r="D48" i="52" s="1"/>
  <c r="B45" i="46"/>
  <c r="B48" i="46" s="1"/>
  <c r="D48" i="46" s="1"/>
  <c r="CB46" i="47"/>
  <c r="AT46" i="49"/>
  <c r="AR48" i="45"/>
  <c r="BX46" i="45"/>
  <c r="BT48" i="46"/>
  <c r="BP48" i="46"/>
  <c r="CD48" i="49"/>
  <c r="AV46" i="47"/>
  <c r="BH48" i="48"/>
  <c r="AH46" i="49"/>
  <c r="BH46" i="50"/>
  <c r="F46" i="51"/>
  <c r="B49" i="52"/>
  <c r="D49" i="52" s="1"/>
  <c r="AF48" i="46"/>
  <c r="B45" i="47"/>
  <c r="B46" i="47" s="1"/>
  <c r="AN46" i="48"/>
  <c r="B45" i="48"/>
  <c r="B48" i="48" s="1"/>
  <c r="D48" i="48" s="1"/>
  <c r="B49" i="51"/>
  <c r="D49" i="51" s="1"/>
  <c r="V48" i="51"/>
  <c r="B45" i="49"/>
  <c r="B46" i="49" s="1"/>
  <c r="B49" i="53"/>
  <c r="D49" i="53" s="1"/>
  <c r="B45" i="45"/>
  <c r="B48" i="45" s="1"/>
  <c r="D48" i="45" s="1"/>
  <c r="N48" i="47"/>
  <c r="BL48" i="48"/>
  <c r="F46" i="52"/>
  <c r="B49" i="45"/>
  <c r="D49" i="45" s="1"/>
  <c r="BZ46" i="47"/>
  <c r="B45" i="53"/>
  <c r="B48" i="53" s="1"/>
  <c r="D48" i="53" s="1"/>
  <c r="B49" i="47"/>
  <c r="D49" i="47" s="1"/>
  <c r="X46" i="48"/>
  <c r="B49" i="48"/>
  <c r="D49" i="48" s="1"/>
  <c r="AZ48" i="50"/>
  <c r="B45" i="54"/>
  <c r="B46" i="54" s="1"/>
  <c r="AT46" i="47"/>
  <c r="BV46" i="49"/>
  <c r="AV48" i="50"/>
  <c r="B45" i="50"/>
  <c r="B46" i="50" s="1"/>
  <c r="B45" i="51"/>
  <c r="B48" i="51" s="1"/>
  <c r="D48" i="51" s="1"/>
  <c r="B49" i="54"/>
  <c r="D49" i="54" s="1"/>
  <c r="J46" i="51"/>
  <c r="X46" i="50"/>
  <c r="N46" i="49"/>
  <c r="AB46" i="48"/>
  <c r="Z46" i="49"/>
  <c r="BZ46" i="49"/>
  <c r="F48" i="53"/>
  <c r="G34" i="3"/>
  <c r="G35" i="3"/>
  <c r="B46" i="52" l="1"/>
  <c r="B46" i="46"/>
  <c r="B48" i="47"/>
  <c r="D48" i="47" s="1"/>
  <c r="B46" i="48"/>
  <c r="B48" i="54"/>
  <c r="D48" i="54" s="1"/>
  <c r="B48" i="49"/>
  <c r="D48" i="49" s="1"/>
  <c r="B46" i="53"/>
  <c r="B48" i="50"/>
  <c r="D48" i="50" s="1"/>
  <c r="B46" i="45"/>
  <c r="B46" i="51"/>
  <c r="A2" i="10"/>
  <c r="A31" i="21"/>
  <c r="A27" i="21"/>
  <c r="A23" i="21"/>
  <c r="A24" i="21"/>
  <c r="A30" i="21"/>
  <c r="A26" i="21"/>
  <c r="A22" i="21"/>
  <c r="A32" i="21"/>
  <c r="A33" i="21"/>
  <c r="A29" i="21"/>
  <c r="A25" i="21"/>
  <c r="A28" i="21"/>
  <c r="DA4" i="19"/>
  <c r="BY4" i="19"/>
  <c r="AI4" i="19"/>
  <c r="CT4" i="19"/>
  <c r="BR4" i="19"/>
  <c r="CM4" i="19"/>
  <c r="BK4" i="19"/>
  <c r="AW4" i="19"/>
  <c r="CF4" i="19"/>
  <c r="BD4" i="19"/>
  <c r="AP4" i="19"/>
  <c r="O5" i="19"/>
  <c r="P5" i="19" s="1"/>
  <c r="Q5" i="19" s="1"/>
  <c r="R5" i="19" s="1"/>
  <c r="S5" i="19" s="1"/>
  <c r="T5" i="19" s="1"/>
  <c r="U5" i="19" s="1"/>
  <c r="V5" i="19" s="1"/>
  <c r="W5" i="19" s="1"/>
  <c r="X5" i="19" s="1"/>
  <c r="Y5" i="19" s="1"/>
  <c r="Z5" i="19" s="1"/>
  <c r="H4" i="31"/>
  <c r="L4" i="31"/>
  <c r="P4" i="31"/>
  <c r="A173" i="5"/>
  <c r="A89" i="5"/>
  <c r="I4" i="31"/>
  <c r="M4" i="31"/>
  <c r="Q4" i="31"/>
  <c r="A236" i="5"/>
  <c r="A152" i="5"/>
  <c r="A68" i="5"/>
  <c r="J4" i="31"/>
  <c r="N4" i="31"/>
  <c r="R4" i="31"/>
  <c r="A215" i="5"/>
  <c r="A131" i="5"/>
  <c r="A47" i="5"/>
  <c r="G4" i="31"/>
  <c r="K4" i="31"/>
  <c r="O4" i="31"/>
  <c r="A194" i="5"/>
  <c r="A110" i="5"/>
  <c r="A5" i="5"/>
  <c r="A26" i="5"/>
  <c r="BD4" i="30"/>
  <c r="BY4" i="30"/>
  <c r="CT4" i="30"/>
  <c r="DA4" i="30"/>
  <c r="CM4" i="30"/>
  <c r="AB4" i="19"/>
  <c r="CF4" i="30"/>
  <c r="BR4" i="30"/>
  <c r="BK4" i="30"/>
  <c r="AW4" i="30"/>
  <c r="AP4" i="30"/>
  <c r="AI4" i="30"/>
  <c r="AB4" i="30"/>
  <c r="O5" i="30"/>
  <c r="P5" i="30" s="1"/>
  <c r="Q5" i="30" s="1"/>
  <c r="R5" i="30" s="1"/>
  <c r="S5" i="30" s="1"/>
  <c r="T5" i="30" s="1"/>
  <c r="U5" i="30" s="1"/>
  <c r="V5" i="30" s="1"/>
  <c r="W5" i="30" s="1"/>
  <c r="X5" i="30" s="1"/>
  <c r="Y5" i="30" s="1"/>
  <c r="Z5" i="30" s="1"/>
  <c r="A46" i="21"/>
  <c r="A42" i="21"/>
  <c r="A38" i="21"/>
  <c r="A45" i="21"/>
  <c r="A41" i="21"/>
  <c r="A37" i="21"/>
  <c r="A39" i="21"/>
  <c r="A44" i="21"/>
  <c r="A40" i="21"/>
  <c r="A36" i="21"/>
  <c r="A43" i="21"/>
  <c r="B4" i="30"/>
  <c r="C4" i="30" s="1"/>
  <c r="D4" i="30" s="1"/>
  <c r="E4" i="30" s="1"/>
  <c r="F4" i="30" s="1"/>
  <c r="G4" i="30" s="1"/>
  <c r="H4" i="30" s="1"/>
  <c r="I4" i="30" s="1"/>
  <c r="J4" i="30" s="1"/>
  <c r="K4" i="30" s="1"/>
  <c r="L4" i="30" s="1"/>
  <c r="M4" i="30" s="1"/>
  <c r="B4" i="19"/>
  <c r="C4" i="19" s="1"/>
  <c r="D4" i="19" s="1"/>
  <c r="E4" i="19" s="1"/>
  <c r="F4" i="19" s="1"/>
  <c r="G4" i="19" s="1"/>
  <c r="H4" i="19" s="1"/>
  <c r="I4" i="19" s="1"/>
  <c r="J4" i="19" s="1"/>
  <c r="K4" i="19" s="1"/>
  <c r="L4" i="19" s="1"/>
  <c r="M4" i="19" s="1"/>
  <c r="B4" i="10"/>
  <c r="BG7" i="33" l="1"/>
  <c r="AA7" i="33"/>
  <c r="CE7" i="33"/>
  <c r="AY7" i="33"/>
  <c r="S7" i="33"/>
  <c r="BW7" i="33"/>
  <c r="AQ7" i="33"/>
  <c r="K7" i="33"/>
  <c r="BO7" i="33"/>
  <c r="AI7" i="33"/>
  <c r="CC7" i="33"/>
  <c r="AW7" i="33"/>
  <c r="Q7" i="33"/>
  <c r="CA7" i="33"/>
  <c r="AU7" i="33"/>
  <c r="O7" i="33"/>
  <c r="BM7" i="33"/>
  <c r="AG7" i="33"/>
  <c r="BK7" i="33"/>
  <c r="AE7" i="33"/>
  <c r="BI7" i="33"/>
  <c r="AC7" i="33"/>
  <c r="BE7" i="33"/>
  <c r="Y7" i="33"/>
  <c r="BC7" i="33"/>
  <c r="W7" i="33"/>
  <c r="CG7" i="33"/>
  <c r="BA7" i="33"/>
  <c r="U7" i="33"/>
  <c r="G7" i="33"/>
  <c r="AK7" i="33"/>
  <c r="BU7" i="33"/>
  <c r="BY7" i="33"/>
  <c r="M7" i="33"/>
  <c r="AO7" i="33"/>
  <c r="BS7" i="33"/>
  <c r="BQ7" i="33"/>
  <c r="C7" i="33"/>
  <c r="I7" i="33"/>
  <c r="AM7" i="33"/>
  <c r="AS7" i="33"/>
  <c r="S29" i="3"/>
  <c r="S30" i="3"/>
  <c r="S31" i="3"/>
  <c r="AM10" i="33" l="1"/>
  <c r="AM9" i="33"/>
  <c r="AM8" i="33"/>
  <c r="C9" i="33"/>
  <c r="C8" i="33"/>
  <c r="C10" i="33"/>
  <c r="AO10" i="33"/>
  <c r="AO9" i="33"/>
  <c r="AO8" i="33"/>
  <c r="BY10" i="33"/>
  <c r="BY9" i="33"/>
  <c r="BY8" i="33"/>
  <c r="G10" i="33"/>
  <c r="G8" i="33"/>
  <c r="G9" i="33"/>
  <c r="CG10" i="33"/>
  <c r="CG9" i="33"/>
  <c r="CG8" i="33"/>
  <c r="BC10" i="33"/>
  <c r="BC9" i="33"/>
  <c r="BC8" i="33"/>
  <c r="Y10" i="33"/>
  <c r="Y8" i="33"/>
  <c r="Y9" i="33"/>
  <c r="BI10" i="33"/>
  <c r="BI9" i="33"/>
  <c r="BI8" i="33"/>
  <c r="AE10" i="33"/>
  <c r="AE9" i="33"/>
  <c r="AE8" i="33"/>
  <c r="CA10" i="33"/>
  <c r="CA8" i="33"/>
  <c r="CA9" i="33"/>
  <c r="AW10" i="33"/>
  <c r="AW8" i="33"/>
  <c r="AW9" i="33"/>
  <c r="AQ10" i="33"/>
  <c r="AQ9" i="33"/>
  <c r="AQ8" i="33"/>
  <c r="BG10" i="33"/>
  <c r="BG9" i="33"/>
  <c r="BG8" i="33"/>
  <c r="I10" i="33"/>
  <c r="I9" i="33"/>
  <c r="I8" i="33"/>
  <c r="BQ10" i="33"/>
  <c r="BQ9" i="33"/>
  <c r="BQ8" i="33"/>
  <c r="BE10" i="33"/>
  <c r="BE8" i="33"/>
  <c r="BE9" i="33"/>
  <c r="BK10" i="33"/>
  <c r="BK8" i="33"/>
  <c r="BK9" i="33"/>
  <c r="AG10" i="33"/>
  <c r="AG8" i="33"/>
  <c r="AG9" i="33"/>
  <c r="CC10" i="33"/>
  <c r="CC9" i="33"/>
  <c r="CC8" i="33"/>
  <c r="BW10" i="33"/>
  <c r="BW8" i="33"/>
  <c r="BW9" i="33"/>
  <c r="S10" i="33"/>
  <c r="S9" i="33"/>
  <c r="S8" i="33"/>
  <c r="AS10" i="33"/>
  <c r="AS8" i="33"/>
  <c r="AS9" i="33"/>
  <c r="AK10" i="33"/>
  <c r="AK8" i="33"/>
  <c r="AK9" i="33"/>
  <c r="U10" i="33"/>
  <c r="U8" i="33"/>
  <c r="U9" i="33"/>
  <c r="BM10" i="33"/>
  <c r="BM9" i="33"/>
  <c r="BM8" i="33"/>
  <c r="O10" i="33"/>
  <c r="O9" i="33"/>
  <c r="O8" i="33"/>
  <c r="AI10" i="33"/>
  <c r="AI9" i="33"/>
  <c r="AI8" i="33"/>
  <c r="AY10" i="33"/>
  <c r="AY9" i="33"/>
  <c r="AY8" i="33"/>
  <c r="BS10" i="33"/>
  <c r="BS8" i="33"/>
  <c r="BS9" i="33"/>
  <c r="M10" i="33"/>
  <c r="M8" i="33"/>
  <c r="M9" i="33"/>
  <c r="BU10" i="33"/>
  <c r="BU9" i="33"/>
  <c r="BU8" i="33"/>
  <c r="BA10" i="33"/>
  <c r="BA8" i="33"/>
  <c r="BA9" i="33"/>
  <c r="W10" i="33"/>
  <c r="W9" i="33"/>
  <c r="W8" i="33"/>
  <c r="AC10" i="33"/>
  <c r="AC8" i="33"/>
  <c r="AC9" i="33"/>
  <c r="AU10" i="33"/>
  <c r="AU9" i="33"/>
  <c r="AU8" i="33"/>
  <c r="Q10" i="33"/>
  <c r="Q8" i="33"/>
  <c r="Q9" i="33"/>
  <c r="BO10" i="33"/>
  <c r="BO8" i="33"/>
  <c r="BO9" i="33"/>
  <c r="K10" i="33"/>
  <c r="K9" i="33"/>
  <c r="K8" i="33"/>
  <c r="CE10" i="33"/>
  <c r="CE8" i="33"/>
  <c r="CE9" i="33"/>
  <c r="AA10" i="33"/>
  <c r="AA9" i="33"/>
  <c r="AA8" i="33"/>
  <c r="C45" i="33"/>
  <c r="AU11" i="33" l="1"/>
  <c r="BA11" i="33"/>
  <c r="BS11" i="33"/>
  <c r="AY11" i="33"/>
  <c r="AI11" i="33"/>
  <c r="AK11" i="33"/>
  <c r="S11" i="33"/>
  <c r="AG11" i="33"/>
  <c r="AW11" i="33"/>
  <c r="AM11" i="33"/>
  <c r="AA11" i="33"/>
  <c r="Q11" i="33"/>
  <c r="BM11" i="33"/>
  <c r="BW11" i="33"/>
  <c r="BK11" i="33"/>
  <c r="BQ11" i="33"/>
  <c r="BG11" i="33"/>
  <c r="CA11" i="33"/>
  <c r="AE11" i="33"/>
  <c r="BC11" i="33"/>
  <c r="BY11" i="33"/>
  <c r="BO11" i="33"/>
  <c r="AC11" i="33"/>
  <c r="W11" i="33"/>
  <c r="BU11" i="33"/>
  <c r="M11" i="33"/>
  <c r="O11" i="33"/>
  <c r="AS11" i="33"/>
  <c r="BE11" i="33"/>
  <c r="CE11" i="33"/>
  <c r="K11" i="33"/>
  <c r="U11" i="33"/>
  <c r="CC11" i="33"/>
  <c r="I11" i="33"/>
  <c r="AQ11" i="33"/>
  <c r="BI11" i="33"/>
  <c r="Y11" i="33"/>
  <c r="CG11" i="33"/>
  <c r="G11" i="33"/>
  <c r="AO11" i="33"/>
  <c r="C11" i="33"/>
  <c r="C46" i="33" l="1"/>
  <c r="C4" i="10"/>
  <c r="C20" i="10" s="1"/>
  <c r="B20" i="10"/>
  <c r="D4" i="10" l="1"/>
  <c r="D20" i="10" s="1"/>
  <c r="E4" i="10" l="1"/>
  <c r="E20" i="10" s="1"/>
  <c r="F4" i="10" l="1"/>
  <c r="F20" i="10" s="1"/>
  <c r="G4" i="10" l="1"/>
  <c r="G20" i="10" s="1"/>
  <c r="H4" i="10" l="1"/>
  <c r="H20" i="10" s="1"/>
  <c r="I4" i="10" l="1"/>
  <c r="I20" i="10" s="1"/>
  <c r="J4" i="10" l="1"/>
  <c r="J20" i="10" s="1"/>
  <c r="K4" i="10" l="1"/>
  <c r="L4" i="10" s="1"/>
  <c r="K20" i="10" l="1"/>
  <c r="L20" i="10"/>
  <c r="M4" i="10"/>
  <c r="M20" i="10" l="1"/>
  <c r="DR19" i="19" l="1"/>
  <c r="DR18" i="19"/>
  <c r="DR4" i="19" l="1"/>
  <c r="C15" i="19"/>
  <c r="CL5" i="35"/>
  <c r="FW5" i="35" s="1"/>
  <c r="DM19" i="19"/>
  <c r="DM18" i="19"/>
  <c r="MM5" i="35" l="1"/>
  <c r="NA5" i="35" s="1"/>
  <c r="H41" i="44" s="1"/>
  <c r="C5" i="19"/>
  <c r="H37" i="33"/>
  <c r="H35" i="33"/>
  <c r="H47" i="33"/>
  <c r="H19" i="33"/>
  <c r="H36" i="33"/>
  <c r="H38" i="33"/>
  <c r="H18" i="33"/>
  <c r="H30" i="33"/>
  <c r="H17" i="33"/>
  <c r="H15" i="33"/>
  <c r="H23" i="33"/>
  <c r="H33" i="33"/>
  <c r="H34" i="33"/>
  <c r="H26" i="33"/>
  <c r="H29" i="33"/>
  <c r="H22" i="33"/>
  <c r="H20" i="33"/>
  <c r="H24" i="33"/>
  <c r="H27" i="33"/>
  <c r="H32" i="33"/>
  <c r="H14" i="33"/>
  <c r="CN7" i="44"/>
  <c r="C16" i="19"/>
  <c r="B15" i="19"/>
  <c r="H7" i="44" l="1"/>
  <c r="H8" i="44"/>
  <c r="H40" i="44"/>
  <c r="H10" i="44"/>
  <c r="ML5" i="35"/>
  <c r="MY5" i="35" s="1"/>
  <c r="H7" i="33" s="1"/>
  <c r="H9" i="44"/>
  <c r="CN10" i="44"/>
  <c r="CN9" i="44"/>
  <c r="CN8" i="44"/>
  <c r="CN48" i="44"/>
  <c r="CN41" i="44"/>
  <c r="B41" i="44" s="1"/>
  <c r="D41" i="44" s="1"/>
  <c r="CN40" i="44"/>
  <c r="B40" i="44" s="1"/>
  <c r="B7" i="44"/>
  <c r="H49" i="33"/>
  <c r="B16" i="19"/>
  <c r="C18" i="10" l="1"/>
  <c r="H11" i="44"/>
  <c r="H9" i="33"/>
  <c r="H41" i="33"/>
  <c r="H10" i="33"/>
  <c r="H8" i="33"/>
  <c r="H40" i="33"/>
  <c r="B10" i="44"/>
  <c r="C9" i="10" s="1"/>
  <c r="B9" i="44"/>
  <c r="C8" i="10" s="1"/>
  <c r="B8" i="44"/>
  <c r="C7" i="10" s="1"/>
  <c r="C6" i="10"/>
  <c r="D40" i="44"/>
  <c r="CN11" i="44"/>
  <c r="A7" i="44"/>
  <c r="D7" i="44"/>
  <c r="C48" i="44"/>
  <c r="CL6" i="35"/>
  <c r="FW6" i="35" s="1"/>
  <c r="DM25" i="19"/>
  <c r="H11" i="33" l="1"/>
  <c r="D9" i="44"/>
  <c r="D10" i="44"/>
  <c r="J38" i="33"/>
  <c r="J47" i="33"/>
  <c r="J37" i="33"/>
  <c r="J19" i="33"/>
  <c r="J36" i="33"/>
  <c r="J35" i="33"/>
  <c r="J26" i="33"/>
  <c r="J18" i="33"/>
  <c r="J22" i="33"/>
  <c r="J24" i="33"/>
  <c r="J29" i="33"/>
  <c r="J17" i="33"/>
  <c r="J15" i="33"/>
  <c r="J23" i="33"/>
  <c r="J20" i="33"/>
  <c r="J33" i="33"/>
  <c r="J30" i="33"/>
  <c r="J27" i="33"/>
  <c r="J34" i="33"/>
  <c r="J32" i="33"/>
  <c r="J14" i="33"/>
  <c r="B11" i="44"/>
  <c r="D8" i="44"/>
  <c r="B23" i="19"/>
  <c r="DM4" i="19"/>
  <c r="FW2" i="35"/>
  <c r="B24" i="19" l="1"/>
  <c r="B5" i="19"/>
  <c r="C5" i="10"/>
  <c r="CN7" i="33"/>
  <c r="CN48" i="33" s="1"/>
  <c r="B47" i="44"/>
  <c r="B38" i="44"/>
  <c r="D38" i="44" s="1"/>
  <c r="B37" i="44"/>
  <c r="D37" i="44" s="1"/>
  <c r="B36" i="44"/>
  <c r="D36" i="44" s="1"/>
  <c r="B35" i="44"/>
  <c r="D35" i="44" s="1"/>
  <c r="B34" i="44"/>
  <c r="D34" i="44" s="1"/>
  <c r="B33" i="44"/>
  <c r="D33" i="44" s="1"/>
  <c r="B32" i="44"/>
  <c r="D32" i="44" s="1"/>
  <c r="B30" i="44"/>
  <c r="D30" i="44" s="1"/>
  <c r="B29" i="44"/>
  <c r="D29" i="44" s="1"/>
  <c r="B27" i="44"/>
  <c r="D27" i="44" s="1"/>
  <c r="B26" i="44"/>
  <c r="D26" i="44" s="1"/>
  <c r="B24" i="44"/>
  <c r="D24" i="44" s="1"/>
  <c r="B23" i="44"/>
  <c r="D23" i="44" s="1"/>
  <c r="B22" i="44"/>
  <c r="D22" i="44" s="1"/>
  <c r="B20" i="44"/>
  <c r="D20" i="44" s="1"/>
  <c r="B19" i="44"/>
  <c r="D19" i="44" s="1"/>
  <c r="B18" i="44"/>
  <c r="D18" i="44" s="1"/>
  <c r="B17" i="44"/>
  <c r="D17" i="44" s="1"/>
  <c r="B15" i="44"/>
  <c r="D15" i="44" s="1"/>
  <c r="D11" i="44"/>
  <c r="J49" i="33"/>
  <c r="ML6" i="35"/>
  <c r="MY6" i="35" s="1"/>
  <c r="CN37" i="33"/>
  <c r="B37" i="33" s="1"/>
  <c r="D37" i="33" s="1"/>
  <c r="CN36" i="33"/>
  <c r="B36" i="33" s="1"/>
  <c r="D36" i="33" s="1"/>
  <c r="CN32" i="33"/>
  <c r="B32" i="33" s="1"/>
  <c r="D32" i="33" s="1"/>
  <c r="CN26" i="33"/>
  <c r="B26" i="33" s="1"/>
  <c r="D26" i="33" s="1"/>
  <c r="CN20" i="33"/>
  <c r="B20" i="33" s="1"/>
  <c r="D20" i="33" s="1"/>
  <c r="CN15" i="33"/>
  <c r="B15" i="33" s="1"/>
  <c r="D15" i="33" s="1"/>
  <c r="CN35" i="33"/>
  <c r="B35" i="33" s="1"/>
  <c r="D35" i="33" s="1"/>
  <c r="CN30" i="33"/>
  <c r="B30" i="33" s="1"/>
  <c r="D30" i="33" s="1"/>
  <c r="CN24" i="33"/>
  <c r="B24" i="33" s="1"/>
  <c r="D24" i="33" s="1"/>
  <c r="CN19" i="33"/>
  <c r="B19" i="33" s="1"/>
  <c r="D19" i="33" s="1"/>
  <c r="CN14" i="33"/>
  <c r="B14" i="33" s="1"/>
  <c r="CN34" i="33"/>
  <c r="B34" i="33" s="1"/>
  <c r="D34" i="33" s="1"/>
  <c r="CN29" i="33"/>
  <c r="B29" i="33" s="1"/>
  <c r="D29" i="33" s="1"/>
  <c r="CN23" i="33"/>
  <c r="B23" i="33" s="1"/>
  <c r="D23" i="33" s="1"/>
  <c r="CN18" i="33"/>
  <c r="B18" i="33" s="1"/>
  <c r="D18" i="33" s="1"/>
  <c r="CN33" i="33"/>
  <c r="B33" i="33" s="1"/>
  <c r="D33" i="33" s="1"/>
  <c r="CN27" i="33"/>
  <c r="B27" i="33" s="1"/>
  <c r="D27" i="33" s="1"/>
  <c r="CN22" i="33"/>
  <c r="B22" i="33" s="1"/>
  <c r="D22" i="33" s="1"/>
  <c r="CN17" i="33"/>
  <c r="B17" i="33" s="1"/>
  <c r="D17" i="33" s="1"/>
  <c r="CN47" i="33"/>
  <c r="CN38" i="33"/>
  <c r="B38" i="33" s="1"/>
  <c r="D38" i="33" s="1"/>
  <c r="CB44" i="44" l="1"/>
  <c r="CB45" i="44" s="1"/>
  <c r="BT44" i="44"/>
  <c r="BT45" i="44" s="1"/>
  <c r="BL44" i="44"/>
  <c r="BL45" i="44" s="1"/>
  <c r="BD44" i="44"/>
  <c r="BD45" i="44" s="1"/>
  <c r="AV44" i="44"/>
  <c r="AV45" i="44" s="1"/>
  <c r="AN44" i="44"/>
  <c r="AN45" i="44" s="1"/>
  <c r="AF44" i="44"/>
  <c r="AF45" i="44" s="1"/>
  <c r="X44" i="44"/>
  <c r="X45" i="44" s="1"/>
  <c r="P44" i="44"/>
  <c r="P45" i="44" s="1"/>
  <c r="H44" i="44"/>
  <c r="H45" i="44" s="1"/>
  <c r="CD44" i="44"/>
  <c r="CD45" i="44" s="1"/>
  <c r="BF44" i="44"/>
  <c r="BF45" i="44" s="1"/>
  <c r="AH44" i="44"/>
  <c r="AH45" i="44" s="1"/>
  <c r="J44" i="44"/>
  <c r="J45" i="44" s="1"/>
  <c r="BZ44" i="44"/>
  <c r="BZ45" i="44" s="1"/>
  <c r="BR44" i="44"/>
  <c r="BR45" i="44" s="1"/>
  <c r="BJ44" i="44"/>
  <c r="BJ45" i="44" s="1"/>
  <c r="BB44" i="44"/>
  <c r="BB45" i="44" s="1"/>
  <c r="AT44" i="44"/>
  <c r="AT45" i="44" s="1"/>
  <c r="AL44" i="44"/>
  <c r="AL45" i="44" s="1"/>
  <c r="AD44" i="44"/>
  <c r="AD45" i="44" s="1"/>
  <c r="V44" i="44"/>
  <c r="V45" i="44" s="1"/>
  <c r="N44" i="44"/>
  <c r="N45" i="44" s="1"/>
  <c r="F44" i="44"/>
  <c r="BV44" i="44"/>
  <c r="BV45" i="44" s="1"/>
  <c r="AX44" i="44"/>
  <c r="AX45" i="44" s="1"/>
  <c r="Z44" i="44"/>
  <c r="Z45" i="44" s="1"/>
  <c r="CF44" i="44"/>
  <c r="CF45" i="44" s="1"/>
  <c r="BX44" i="44"/>
  <c r="BX45" i="44" s="1"/>
  <c r="BP44" i="44"/>
  <c r="BP45" i="44" s="1"/>
  <c r="BH44" i="44"/>
  <c r="BH45" i="44" s="1"/>
  <c r="AZ44" i="44"/>
  <c r="AZ45" i="44" s="1"/>
  <c r="AR44" i="44"/>
  <c r="AR45" i="44" s="1"/>
  <c r="AJ44" i="44"/>
  <c r="AJ45" i="44" s="1"/>
  <c r="AB44" i="44"/>
  <c r="AB45" i="44" s="1"/>
  <c r="T44" i="44"/>
  <c r="T45" i="44" s="1"/>
  <c r="L44" i="44"/>
  <c r="L45" i="44" s="1"/>
  <c r="BN44" i="44"/>
  <c r="BN45" i="44" s="1"/>
  <c r="AP44" i="44"/>
  <c r="AP45" i="44" s="1"/>
  <c r="R44" i="44"/>
  <c r="R45" i="44" s="1"/>
  <c r="L10" i="10"/>
  <c r="E10" i="10"/>
  <c r="L6" i="10"/>
  <c r="E6" i="10"/>
  <c r="H6" i="10"/>
  <c r="F6" i="10"/>
  <c r="J7" i="33"/>
  <c r="J40" i="33"/>
  <c r="J10" i="33"/>
  <c r="J9" i="33"/>
  <c r="J8" i="33"/>
  <c r="J41" i="33"/>
  <c r="D6" i="10"/>
  <c r="B14" i="44"/>
  <c r="BS44" i="44"/>
  <c r="BS45" i="44" s="1"/>
  <c r="BC44" i="44"/>
  <c r="BC45" i="44" s="1"/>
  <c r="AM44" i="44"/>
  <c r="AM45" i="44" s="1"/>
  <c r="W44" i="44"/>
  <c r="W45" i="44" s="1"/>
  <c r="G44" i="44"/>
  <c r="G45" i="44" s="1"/>
  <c r="CG44" i="44"/>
  <c r="CG45" i="44" s="1"/>
  <c r="BQ44" i="44"/>
  <c r="BQ45" i="44" s="1"/>
  <c r="BA44" i="44"/>
  <c r="BA45" i="44" s="1"/>
  <c r="AK44" i="44"/>
  <c r="AK45" i="44" s="1"/>
  <c r="U44" i="44"/>
  <c r="U45" i="44" s="1"/>
  <c r="CE44" i="44"/>
  <c r="CE45" i="44" s="1"/>
  <c r="BO44" i="44"/>
  <c r="BO45" i="44" s="1"/>
  <c r="AY44" i="44"/>
  <c r="AY45" i="44" s="1"/>
  <c r="AI44" i="44"/>
  <c r="AI45" i="44" s="1"/>
  <c r="S44" i="44"/>
  <c r="S45" i="44" s="1"/>
  <c r="CC44" i="44"/>
  <c r="CC45" i="44" s="1"/>
  <c r="BM44" i="44"/>
  <c r="BM45" i="44" s="1"/>
  <c r="AW44" i="44"/>
  <c r="AW45" i="44" s="1"/>
  <c r="AG44" i="44"/>
  <c r="AG45" i="44" s="1"/>
  <c r="Q44" i="44"/>
  <c r="Q45" i="44" s="1"/>
  <c r="CA44" i="44"/>
  <c r="CA45" i="44" s="1"/>
  <c r="BK44" i="44"/>
  <c r="BK45" i="44" s="1"/>
  <c r="AU44" i="44"/>
  <c r="AU45" i="44" s="1"/>
  <c r="AE44" i="44"/>
  <c r="AE45" i="44" s="1"/>
  <c r="O44" i="44"/>
  <c r="O45" i="44" s="1"/>
  <c r="BY44" i="44"/>
  <c r="BY45" i="44" s="1"/>
  <c r="BI44" i="44"/>
  <c r="BI45" i="44" s="1"/>
  <c r="AS44" i="44"/>
  <c r="AS45" i="44" s="1"/>
  <c r="AC44" i="44"/>
  <c r="AC45" i="44" s="1"/>
  <c r="M44" i="44"/>
  <c r="M45" i="44" s="1"/>
  <c r="BW44" i="44"/>
  <c r="BW45" i="44" s="1"/>
  <c r="BG44" i="44"/>
  <c r="BG45" i="44" s="1"/>
  <c r="AQ44" i="44"/>
  <c r="AQ45" i="44" s="1"/>
  <c r="AA44" i="44"/>
  <c r="AA45" i="44" s="1"/>
  <c r="K44" i="44"/>
  <c r="K45" i="44" s="1"/>
  <c r="BU44" i="44"/>
  <c r="BU45" i="44" s="1"/>
  <c r="BE44" i="44"/>
  <c r="BE45" i="44" s="1"/>
  <c r="AO44" i="44"/>
  <c r="AO45" i="44" s="1"/>
  <c r="Y44" i="44"/>
  <c r="Y45" i="44" s="1"/>
  <c r="I44" i="44"/>
  <c r="I45" i="44" s="1"/>
  <c r="CK43" i="44"/>
  <c r="CJ43" i="44"/>
  <c r="CI43" i="44"/>
  <c r="CL43" i="44"/>
  <c r="CN9" i="33"/>
  <c r="CN40" i="33"/>
  <c r="B40" i="33" s="1"/>
  <c r="D40" i="33" s="1"/>
  <c r="B7" i="33"/>
  <c r="B47" i="33"/>
  <c r="CN8" i="33"/>
  <c r="CN41" i="33"/>
  <c r="B41" i="33" s="1"/>
  <c r="D41" i="33" s="1"/>
  <c r="CN10" i="33"/>
  <c r="B16" i="10"/>
  <c r="K10" i="10" l="1"/>
  <c r="D10" i="10"/>
  <c r="G10" i="10"/>
  <c r="C48" i="33"/>
  <c r="B6" i="10"/>
  <c r="I10" i="10"/>
  <c r="J10" i="10"/>
  <c r="F10" i="10"/>
  <c r="K6" i="10"/>
  <c r="M6" i="10"/>
  <c r="M10" i="10"/>
  <c r="J6" i="10"/>
  <c r="H10" i="10"/>
  <c r="G6" i="10"/>
  <c r="I6" i="10"/>
  <c r="B8" i="33"/>
  <c r="B7" i="10" s="1"/>
  <c r="J11" i="33"/>
  <c r="AO44" i="33"/>
  <c r="AO45" i="33" s="1"/>
  <c r="AO48" i="33" s="1"/>
  <c r="BO44" i="33"/>
  <c r="BO45" i="33" s="1"/>
  <c r="BO48" i="33" s="1"/>
  <c r="BW44" i="33"/>
  <c r="BW45" i="33" s="1"/>
  <c r="BW48" i="33" s="1"/>
  <c r="B9" i="33"/>
  <c r="B8" i="10" s="1"/>
  <c r="A7" i="33"/>
  <c r="AE44" i="33"/>
  <c r="AE45" i="33" s="1"/>
  <c r="AE48" i="33" s="1"/>
  <c r="B10" i="33"/>
  <c r="B9" i="10" s="1"/>
  <c r="S44" i="33"/>
  <c r="S45" i="33" s="1"/>
  <c r="S48" i="33" s="1"/>
  <c r="G44" i="33"/>
  <c r="G45" i="33" s="1"/>
  <c r="G48" i="33" s="1"/>
  <c r="BA44" i="33"/>
  <c r="BA45" i="33" s="1"/>
  <c r="BA48" i="33" s="1"/>
  <c r="K44" i="33"/>
  <c r="K45" i="33" s="1"/>
  <c r="K46" i="33" s="1"/>
  <c r="BS44" i="33"/>
  <c r="BS45" i="33" s="1"/>
  <c r="BS48" i="33" s="1"/>
  <c r="W44" i="33"/>
  <c r="W45" i="33" s="1"/>
  <c r="W48" i="33" s="1"/>
  <c r="BM44" i="33"/>
  <c r="BM45" i="33" s="1"/>
  <c r="BM48" i="33" s="1"/>
  <c r="CA44" i="33"/>
  <c r="CA45" i="33" s="1"/>
  <c r="CA48" i="33" s="1"/>
  <c r="BU44" i="33"/>
  <c r="BU45" i="33" s="1"/>
  <c r="BU48" i="33" s="1"/>
  <c r="AQ44" i="33"/>
  <c r="AQ45" i="33" s="1"/>
  <c r="AQ48" i="33" s="1"/>
  <c r="BY44" i="33"/>
  <c r="BY45" i="33" s="1"/>
  <c r="BY48" i="33" s="1"/>
  <c r="I44" i="33"/>
  <c r="I45" i="33" s="1"/>
  <c r="I48" i="33" s="1"/>
  <c r="Q44" i="33"/>
  <c r="Q45" i="33" s="1"/>
  <c r="Q48" i="33" s="1"/>
  <c r="AY44" i="33"/>
  <c r="AY45" i="33" s="1"/>
  <c r="AY48" i="33" s="1"/>
  <c r="AU44" i="33"/>
  <c r="AU45" i="33" s="1"/>
  <c r="AU48" i="33" s="1"/>
  <c r="AC44" i="33"/>
  <c r="AC45" i="33" s="1"/>
  <c r="AC48" i="33" s="1"/>
  <c r="BC44" i="33"/>
  <c r="BC45" i="33" s="1"/>
  <c r="BC48" i="33" s="1"/>
  <c r="CG44" i="33"/>
  <c r="CG45" i="33" s="1"/>
  <c r="CG48" i="33" s="1"/>
  <c r="AM44" i="33"/>
  <c r="AM45" i="33" s="1"/>
  <c r="AM48" i="33" s="1"/>
  <c r="Y44" i="33"/>
  <c r="Y45" i="33" s="1"/>
  <c r="Y48" i="33" s="1"/>
  <c r="Y48" i="44"/>
  <c r="Y46" i="44"/>
  <c r="AA48" i="44"/>
  <c r="AA46" i="44"/>
  <c r="BI48" i="44"/>
  <c r="BI46" i="44"/>
  <c r="BK48" i="44"/>
  <c r="BK46" i="44"/>
  <c r="AG48" i="44"/>
  <c r="AG46" i="44"/>
  <c r="AI48" i="44"/>
  <c r="AI46" i="44"/>
  <c r="AK48" i="44"/>
  <c r="AK46" i="44"/>
  <c r="AM48" i="44"/>
  <c r="AM46" i="44"/>
  <c r="B49" i="33"/>
  <c r="D49" i="33" s="1"/>
  <c r="D14" i="33"/>
  <c r="AO48" i="44"/>
  <c r="AO46" i="44"/>
  <c r="AQ48" i="44"/>
  <c r="AQ46" i="44"/>
  <c r="M48" i="44"/>
  <c r="M46" i="44"/>
  <c r="BY48" i="44"/>
  <c r="BY46" i="44"/>
  <c r="O48" i="44"/>
  <c r="O46" i="44"/>
  <c r="CA48" i="44"/>
  <c r="CA46" i="44"/>
  <c r="AW48" i="44"/>
  <c r="AW46" i="44"/>
  <c r="AY48" i="44"/>
  <c r="AY46" i="44"/>
  <c r="BA48" i="44"/>
  <c r="BA46" i="44"/>
  <c r="BC48" i="44"/>
  <c r="BC46" i="44"/>
  <c r="AK44" i="33"/>
  <c r="AK45" i="33" s="1"/>
  <c r="AK48" i="33" s="1"/>
  <c r="BK44" i="33"/>
  <c r="BK45" i="33" s="1"/>
  <c r="BK48" i="33" s="1"/>
  <c r="BE48" i="44"/>
  <c r="BE46" i="44"/>
  <c r="BG48" i="44"/>
  <c r="BG46" i="44"/>
  <c r="AC48" i="44"/>
  <c r="AC46" i="44"/>
  <c r="AE48" i="44"/>
  <c r="AE46" i="44"/>
  <c r="BM48" i="44"/>
  <c r="BM46" i="44"/>
  <c r="BO48" i="44"/>
  <c r="BO46" i="44"/>
  <c r="BQ48" i="44"/>
  <c r="BQ46" i="44"/>
  <c r="G48" i="44"/>
  <c r="G46" i="44"/>
  <c r="BS48" i="44"/>
  <c r="BS46" i="44"/>
  <c r="B49" i="44"/>
  <c r="D49" i="44" s="1"/>
  <c r="D14" i="44"/>
  <c r="I48" i="44"/>
  <c r="I46" i="44"/>
  <c r="BU48" i="44"/>
  <c r="BU46" i="44"/>
  <c r="K48" i="44"/>
  <c r="K46" i="44"/>
  <c r="BW48" i="44"/>
  <c r="BW46" i="44"/>
  <c r="AS48" i="44"/>
  <c r="AS46" i="44"/>
  <c r="AU48" i="44"/>
  <c r="AU46" i="44"/>
  <c r="Q48" i="44"/>
  <c r="Q46" i="44"/>
  <c r="CC48" i="44"/>
  <c r="CC46" i="44"/>
  <c r="S48" i="44"/>
  <c r="S46" i="44"/>
  <c r="CE48" i="44"/>
  <c r="CE46" i="44"/>
  <c r="U48" i="44"/>
  <c r="U46" i="44"/>
  <c r="CG48" i="44"/>
  <c r="CG46" i="44"/>
  <c r="W48" i="44"/>
  <c r="W46" i="44"/>
  <c r="D7" i="33"/>
  <c r="B18" i="10"/>
  <c r="AW44" i="33"/>
  <c r="AW45" i="33" s="1"/>
  <c r="AW48" i="33" s="1"/>
  <c r="CE44" i="33"/>
  <c r="CE45" i="33" s="1"/>
  <c r="CE48" i="33" s="1"/>
  <c r="CN11" i="33"/>
  <c r="AA44" i="33"/>
  <c r="AA45" i="33" s="1"/>
  <c r="AA48" i="33" s="1"/>
  <c r="BI44" i="33"/>
  <c r="BI45" i="33" s="1"/>
  <c r="BI48" i="33" s="1"/>
  <c r="O44" i="33"/>
  <c r="O45" i="33" s="1"/>
  <c r="O48" i="33" s="1"/>
  <c r="AG44" i="33"/>
  <c r="AG45" i="33" s="1"/>
  <c r="AG48" i="33" s="1"/>
  <c r="M44" i="33"/>
  <c r="M45" i="33" s="1"/>
  <c r="M48" i="33" s="1"/>
  <c r="BG44" i="33"/>
  <c r="BG45" i="33" s="1"/>
  <c r="BG48" i="33" s="1"/>
  <c r="CC44" i="33"/>
  <c r="CC45" i="33" s="1"/>
  <c r="CC48" i="33" s="1"/>
  <c r="BE44" i="33"/>
  <c r="BE45" i="33" s="1"/>
  <c r="BE48" i="33" s="1"/>
  <c r="AI44" i="33"/>
  <c r="AI45" i="33" s="1"/>
  <c r="AI48" i="33" s="1"/>
  <c r="BQ44" i="33"/>
  <c r="BQ45" i="33" s="1"/>
  <c r="BQ48" i="33" s="1"/>
  <c r="U44" i="33"/>
  <c r="U45" i="33" s="1"/>
  <c r="U48" i="33" s="1"/>
  <c r="AS44" i="33"/>
  <c r="AS45" i="33" s="1"/>
  <c r="AS48" i="33" s="1"/>
  <c r="B17" i="5"/>
  <c r="E5" i="10" l="1"/>
  <c r="E19" i="10" s="1"/>
  <c r="E21" i="10" s="1"/>
  <c r="L5" i="10"/>
  <c r="L19" i="10" s="1"/>
  <c r="L21" i="10" s="1"/>
  <c r="B17" i="10"/>
  <c r="AY46" i="33"/>
  <c r="BW46" i="33"/>
  <c r="D9" i="33"/>
  <c r="D8" i="33"/>
  <c r="K48" i="33"/>
  <c r="CE46" i="33"/>
  <c r="G46" i="33"/>
  <c r="BY46" i="33"/>
  <c r="BM46" i="33"/>
  <c r="BO46" i="33"/>
  <c r="AC46" i="33"/>
  <c r="CG46" i="33"/>
  <c r="AQ46" i="33"/>
  <c r="S46" i="33"/>
  <c r="BQ46" i="33"/>
  <c r="I46" i="33"/>
  <c r="W46" i="33"/>
  <c r="BA46" i="33"/>
  <c r="AK46" i="33"/>
  <c r="Y46" i="33"/>
  <c r="B5" i="10"/>
  <c r="BG46" i="33"/>
  <c r="AE46" i="33"/>
  <c r="AO46" i="33"/>
  <c r="AW46" i="33"/>
  <c r="CA46" i="33"/>
  <c r="Q46" i="33"/>
  <c r="CC46" i="33"/>
  <c r="AA46" i="33"/>
  <c r="U46" i="33"/>
  <c r="AI46" i="33"/>
  <c r="D10" i="33"/>
  <c r="B11" i="33"/>
  <c r="D11" i="33" s="1"/>
  <c r="BS46" i="33"/>
  <c r="BU46" i="33"/>
  <c r="AS46" i="33"/>
  <c r="AG46" i="33"/>
  <c r="BC46" i="33"/>
  <c r="AU46" i="33"/>
  <c r="AM46" i="33"/>
  <c r="BK46" i="33"/>
  <c r="O46" i="33"/>
  <c r="BI46" i="33"/>
  <c r="BE46" i="33"/>
  <c r="M46" i="33"/>
  <c r="B44" i="33"/>
  <c r="D44" i="33" s="1"/>
  <c r="C10" i="10"/>
  <c r="M5" i="10" l="1"/>
  <c r="M19" i="10" s="1"/>
  <c r="M21" i="10" s="1"/>
  <c r="J5" i="10"/>
  <c r="J19" i="10" s="1"/>
  <c r="J21" i="10" s="1"/>
  <c r="K5" i="10"/>
  <c r="K19" i="10" s="1"/>
  <c r="K21" i="10" s="1"/>
  <c r="I5" i="10"/>
  <c r="I19" i="10" s="1"/>
  <c r="I21" i="10" s="1"/>
  <c r="G5" i="10"/>
  <c r="G19" i="10" s="1"/>
  <c r="G21" i="10" s="1"/>
  <c r="H5" i="10"/>
  <c r="H19" i="10" s="1"/>
  <c r="H21" i="10" s="1"/>
  <c r="F5" i="10"/>
  <c r="F19" i="10" s="1"/>
  <c r="F21" i="10" s="1"/>
  <c r="D5" i="10"/>
  <c r="D19" i="10" s="1"/>
  <c r="D21" i="10" s="1"/>
  <c r="D44" i="44"/>
  <c r="CO44" i="44"/>
  <c r="F45" i="44"/>
  <c r="CI44" i="44"/>
  <c r="CI45" i="44" s="1"/>
  <c r="CI46" i="44" s="1"/>
  <c r="CN44" i="44"/>
  <c r="CN45" i="44" s="1"/>
  <c r="CN46" i="44" s="1"/>
  <c r="CL44" i="44"/>
  <c r="CL45" i="44" s="1"/>
  <c r="CL46" i="44" s="1"/>
  <c r="CM44" i="44"/>
  <c r="CM45" i="44" s="1"/>
  <c r="CM46" i="44" s="1"/>
  <c r="CK44" i="44"/>
  <c r="CK45" i="44" s="1"/>
  <c r="CK46" i="44" s="1"/>
  <c r="CJ44" i="44"/>
  <c r="CJ45" i="44" s="1"/>
  <c r="CJ46" i="44" s="1"/>
  <c r="B45" i="44"/>
  <c r="C19" i="10"/>
  <c r="C21" i="10" s="1"/>
  <c r="F44" i="33"/>
  <c r="F45" i="33" s="1"/>
  <c r="CF44" i="33"/>
  <c r="CF45" i="33" s="1"/>
  <c r="H44" i="33"/>
  <c r="H45" i="33" s="1"/>
  <c r="N44" i="33"/>
  <c r="N45" i="33" s="1"/>
  <c r="BB44" i="33"/>
  <c r="BB45" i="33" s="1"/>
  <c r="AF44" i="33"/>
  <c r="AF45" i="33" s="1"/>
  <c r="AH44" i="33"/>
  <c r="AH45" i="33" s="1"/>
  <c r="AN44" i="33"/>
  <c r="AN45" i="33" s="1"/>
  <c r="BX44" i="33"/>
  <c r="BX45" i="33" s="1"/>
  <c r="AR44" i="33"/>
  <c r="AR45" i="33" s="1"/>
  <c r="AV44" i="33"/>
  <c r="AV45" i="33" s="1"/>
  <c r="J44" i="33"/>
  <c r="J45" i="33" s="1"/>
  <c r="CB44" i="33"/>
  <c r="CB45" i="33" s="1"/>
  <c r="BZ44" i="33"/>
  <c r="BZ45" i="33" s="1"/>
  <c r="BT44" i="33"/>
  <c r="BT45" i="33" s="1"/>
  <c r="BJ44" i="33"/>
  <c r="BJ45" i="33" s="1"/>
  <c r="AL44" i="33"/>
  <c r="AL45" i="33" s="1"/>
  <c r="BD44" i="33"/>
  <c r="BD45" i="33" s="1"/>
  <c r="BH44" i="33"/>
  <c r="BH45" i="33" s="1"/>
  <c r="V44" i="33"/>
  <c r="V45" i="33" s="1"/>
  <c r="AZ44" i="33"/>
  <c r="AZ45" i="33" s="1"/>
  <c r="BN44" i="33"/>
  <c r="BN45" i="33" s="1"/>
  <c r="BV44" i="33"/>
  <c r="BV45" i="33" s="1"/>
  <c r="AJ44" i="33"/>
  <c r="AJ45" i="33" s="1"/>
  <c r="CD44" i="33"/>
  <c r="CD45" i="33" s="1"/>
  <c r="AP44" i="33"/>
  <c r="AP45" i="33" s="1"/>
  <c r="P44" i="33"/>
  <c r="P45" i="33" s="1"/>
  <c r="AT44" i="33"/>
  <c r="AT45" i="33" s="1"/>
  <c r="CO44" i="33"/>
  <c r="AX44" i="33"/>
  <c r="AX45" i="33" s="1"/>
  <c r="BL44" i="33"/>
  <c r="BL45" i="33" s="1"/>
  <c r="CN44" i="33"/>
  <c r="CN45" i="33" s="1"/>
  <c r="CN46" i="33" s="1"/>
  <c r="BP44" i="33"/>
  <c r="BP45" i="33" s="1"/>
  <c r="BR44" i="33"/>
  <c r="BR45" i="33" s="1"/>
  <c r="R44" i="33"/>
  <c r="R45" i="33" s="1"/>
  <c r="T44" i="33"/>
  <c r="T45" i="33" s="1"/>
  <c r="L44" i="33"/>
  <c r="L45" i="33" s="1"/>
  <c r="Z44" i="33"/>
  <c r="Z45" i="33" s="1"/>
  <c r="AB44" i="33"/>
  <c r="AB45" i="33" s="1"/>
  <c r="X44" i="33"/>
  <c r="X45" i="33" s="1"/>
  <c r="BF44" i="33"/>
  <c r="BF45" i="33" s="1"/>
  <c r="AD44" i="33"/>
  <c r="AD45" i="33" s="1"/>
  <c r="B10" i="10"/>
  <c r="CK44" i="33"/>
  <c r="CJ44" i="33"/>
  <c r="CM44" i="33"/>
  <c r="CM45" i="33" s="1"/>
  <c r="CM46" i="33" s="1"/>
  <c r="CL44" i="33"/>
  <c r="CI44" i="33"/>
  <c r="CB48" i="44" l="1"/>
  <c r="CB46" i="44"/>
  <c r="CD48" i="44"/>
  <c r="CD46" i="44"/>
  <c r="AH48" i="44"/>
  <c r="AH46" i="44"/>
  <c r="BF48" i="44"/>
  <c r="BF46" i="44"/>
  <c r="AN48" i="44"/>
  <c r="AN46" i="44"/>
  <c r="AZ48" i="44"/>
  <c r="AZ46" i="44"/>
  <c r="AJ48" i="44"/>
  <c r="AJ46" i="44"/>
  <c r="BD48" i="44"/>
  <c r="BD46" i="44"/>
  <c r="B48" i="44"/>
  <c r="D48" i="44" s="1"/>
  <c r="B46" i="44"/>
  <c r="BP48" i="44"/>
  <c r="BP46" i="44"/>
  <c r="BL48" i="44"/>
  <c r="BL46" i="44"/>
  <c r="BX48" i="44"/>
  <c r="BX46" i="44"/>
  <c r="T48" i="44"/>
  <c r="T46" i="44"/>
  <c r="P48" i="44"/>
  <c r="P46" i="44"/>
  <c r="BB48" i="44"/>
  <c r="BB46" i="44"/>
  <c r="F48" i="44"/>
  <c r="F46" i="44"/>
  <c r="BZ48" i="44"/>
  <c r="BZ46" i="44"/>
  <c r="BR46" i="44"/>
  <c r="BR48" i="44"/>
  <c r="Z48" i="44"/>
  <c r="Z46" i="44"/>
  <c r="BH48" i="44"/>
  <c r="BH46" i="44"/>
  <c r="AL48" i="44"/>
  <c r="AL46" i="44"/>
  <c r="J48" i="44"/>
  <c r="J46" i="44"/>
  <c r="CF48" i="44"/>
  <c r="CF46" i="44"/>
  <c r="BV48" i="44"/>
  <c r="BV46" i="44"/>
  <c r="BJ46" i="44"/>
  <c r="BJ48" i="44"/>
  <c r="AF48" i="44"/>
  <c r="AF46" i="44"/>
  <c r="L48" i="44"/>
  <c r="L46" i="44"/>
  <c r="R48" i="44"/>
  <c r="R46" i="44"/>
  <c r="AR48" i="44"/>
  <c r="AR46" i="44"/>
  <c r="V48" i="44"/>
  <c r="V46" i="44"/>
  <c r="N48" i="44"/>
  <c r="N46" i="44"/>
  <c r="AP46" i="44"/>
  <c r="AP48" i="44"/>
  <c r="BN48" i="44"/>
  <c r="BN46" i="44"/>
  <c r="X48" i="44"/>
  <c r="X46" i="44"/>
  <c r="H48" i="44"/>
  <c r="H46" i="44"/>
  <c r="AB48" i="44"/>
  <c r="AB46" i="44"/>
  <c r="AV48" i="44"/>
  <c r="AV46" i="44"/>
  <c r="AT48" i="44"/>
  <c r="AT46" i="44"/>
  <c r="AD48" i="44"/>
  <c r="AD46" i="44"/>
  <c r="BT48" i="44"/>
  <c r="BT46" i="44"/>
  <c r="AX48" i="44"/>
  <c r="AX46" i="44"/>
  <c r="BR46" i="33"/>
  <c r="BR48" i="33"/>
  <c r="BT46" i="33"/>
  <c r="BT48" i="33"/>
  <c r="AF46" i="33"/>
  <c r="AF48" i="33"/>
  <c r="BP46" i="33"/>
  <c r="BP48" i="33"/>
  <c r="AX46" i="33"/>
  <c r="AX48" i="33"/>
  <c r="BN46" i="33"/>
  <c r="BN48" i="33"/>
  <c r="BH46" i="33"/>
  <c r="BH48" i="33"/>
  <c r="BZ46" i="33"/>
  <c r="BZ48" i="33"/>
  <c r="F46" i="33"/>
  <c r="F48" i="33"/>
  <c r="AD46" i="33"/>
  <c r="AD48" i="33"/>
  <c r="X46" i="33"/>
  <c r="X48" i="33"/>
  <c r="T46" i="33"/>
  <c r="T48" i="33"/>
  <c r="BL46" i="33"/>
  <c r="BL48" i="33"/>
  <c r="AT46" i="33"/>
  <c r="AT48" i="33"/>
  <c r="P46" i="33"/>
  <c r="P48" i="33"/>
  <c r="BV46" i="33"/>
  <c r="BV48" i="33"/>
  <c r="AZ46" i="33"/>
  <c r="AZ48" i="33"/>
  <c r="V46" i="33"/>
  <c r="V48" i="33"/>
  <c r="BD46" i="33"/>
  <c r="BD48" i="33"/>
  <c r="AL46" i="33"/>
  <c r="AL48" i="33"/>
  <c r="BJ46" i="33"/>
  <c r="BJ48" i="33"/>
  <c r="CB46" i="33"/>
  <c r="CB48" i="33"/>
  <c r="AN46" i="33"/>
  <c r="AN48" i="33"/>
  <c r="N46" i="33"/>
  <c r="N48" i="33"/>
  <c r="Z46" i="33"/>
  <c r="Z48" i="33"/>
  <c r="CD46" i="33"/>
  <c r="CD48" i="33"/>
  <c r="AV46" i="33"/>
  <c r="AV48" i="33"/>
  <c r="CF46" i="33"/>
  <c r="CF48" i="33"/>
  <c r="L46" i="33"/>
  <c r="L48" i="33"/>
  <c r="AJ46" i="33"/>
  <c r="AJ48" i="33"/>
  <c r="AR46" i="33"/>
  <c r="AR48" i="33"/>
  <c r="BF46" i="33"/>
  <c r="BF48" i="33"/>
  <c r="AB46" i="33"/>
  <c r="AB48" i="33"/>
  <c r="R46" i="33"/>
  <c r="R48" i="33"/>
  <c r="AP46" i="33"/>
  <c r="AP48" i="33"/>
  <c r="J46" i="33"/>
  <c r="J48" i="33"/>
  <c r="BX46" i="33"/>
  <c r="BX48" i="33"/>
  <c r="AH46" i="33"/>
  <c r="AH48" i="33"/>
  <c r="BB46" i="33"/>
  <c r="BB48" i="33"/>
  <c r="H46" i="33"/>
  <c r="H48" i="33"/>
  <c r="B19" i="10"/>
  <c r="B21" i="10" s="1"/>
  <c r="L23" i="10" l="1"/>
  <c r="M23" i="10"/>
  <c r="K23" i="10"/>
  <c r="I23" i="10"/>
  <c r="E23" i="10"/>
  <c r="H23" i="10"/>
  <c r="G23" i="10"/>
  <c r="J23" i="10"/>
  <c r="F23" i="10"/>
  <c r="D23" i="10"/>
  <c r="B28" i="10"/>
  <c r="G52" i="10" l="1"/>
  <c r="G53" i="10" l="1"/>
  <c r="C24" i="10" s="1"/>
  <c r="E54" i="10"/>
  <c r="B24" i="10"/>
  <c r="B25" i="10" s="1"/>
  <c r="H52" i="10"/>
  <c r="G54" i="10" l="1"/>
  <c r="D24" i="10" s="1"/>
  <c r="E55" i="10"/>
  <c r="H53" i="10"/>
  <c r="C25" i="10"/>
  <c r="G55" i="10" l="1"/>
  <c r="E24" i="10" s="1"/>
  <c r="E56" i="10"/>
  <c r="D25" i="10"/>
  <c r="H54" i="10"/>
  <c r="E57" i="10" l="1"/>
  <c r="G56" i="10"/>
  <c r="F24" i="10" s="1"/>
  <c r="E25" i="10"/>
  <c r="H55" i="10"/>
  <c r="H56" i="10" l="1"/>
  <c r="F25" i="10"/>
  <c r="G57" i="10"/>
  <c r="G24" i="10" s="1"/>
  <c r="E58" i="10"/>
  <c r="G58" i="10" l="1"/>
  <c r="H24" i="10" s="1"/>
  <c r="E59" i="10"/>
  <c r="G25" i="10"/>
  <c r="H57" i="10"/>
  <c r="E60" i="10" l="1"/>
  <c r="G59" i="10"/>
  <c r="I24" i="10" s="1"/>
  <c r="H25" i="10"/>
  <c r="H58" i="10"/>
  <c r="H59" i="10" l="1"/>
  <c r="I25" i="10"/>
  <c r="E61" i="10"/>
  <c r="G60" i="10"/>
  <c r="J24" i="10" s="1"/>
  <c r="G61" i="10" l="1"/>
  <c r="E62" i="10"/>
  <c r="E63" i="10" s="1"/>
  <c r="J25" i="10"/>
  <c r="H60" i="10"/>
  <c r="H61" i="10" l="1"/>
  <c r="K24" i="10"/>
  <c r="K25" i="10" s="1"/>
  <c r="G62" i="10"/>
  <c r="L24" i="10" s="1"/>
  <c r="G63" i="10"/>
  <c r="M24" i="10" s="1"/>
  <c r="H63" i="10" l="1"/>
  <c r="M25" i="10"/>
  <c r="L25" i="10"/>
  <c r="H62" i="10"/>
  <c r="B29" i="10" l="1"/>
  <c r="B45" i="33"/>
  <c r="B48" i="33" s="1"/>
  <c r="D48" i="33" s="1"/>
  <c r="CK43" i="33"/>
  <c r="CK45" i="33" s="1"/>
  <c r="CK46" i="33" s="1"/>
  <c r="CJ43" i="33"/>
  <c r="CJ45" i="33" s="1"/>
  <c r="CJ46" i="33" s="1"/>
  <c r="CL43" i="33"/>
  <c r="CL45" i="33" s="1"/>
  <c r="CL46" i="33" s="1"/>
  <c r="CI43" i="33"/>
  <c r="CI45" i="33" s="1"/>
  <c r="CI46" i="33" s="1"/>
  <c r="B46" i="33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<sst xmlns="http://schemas.openxmlformats.org/spreadsheetml/2006/main" count="20222" uniqueCount="4570">
  <si>
    <r>
      <t xml:space="preserve">Rentabilidad sustentable: Planificación financiera
</t>
    </r>
    <r>
      <rPr>
        <b/>
        <sz val="12"/>
        <rFont val="Century Gothic"/>
        <family val="2"/>
      </rPr>
      <t>Asociación Nacional del Café | Transferencia de tecnología</t>
    </r>
  </si>
  <si>
    <t>Solicitar asistencia</t>
  </si>
  <si>
    <t>Unidad Productiva:</t>
  </si>
  <si>
    <t>Propietario:</t>
  </si>
  <si>
    <t>Año de inicio</t>
  </si>
  <si>
    <t>Ciclo - Años</t>
  </si>
  <si>
    <t>Altura de poda - centímetros</t>
  </si>
  <si>
    <t>Diseño</t>
  </si>
  <si>
    <t>Bloque</t>
  </si>
  <si>
    <t>Unidad de medida</t>
  </si>
  <si>
    <t>Hectáreas</t>
  </si>
  <si>
    <t>Lotes: Área, % efectivo</t>
  </si>
  <si>
    <t>Precios: Costo de mano de obra e insumos, precios de venta, inflación interanual</t>
  </si>
  <si>
    <t>Surco</t>
  </si>
  <si>
    <t>Programa agronómico por tipo de plantación</t>
  </si>
  <si>
    <t>Gastos administrativos anuales</t>
  </si>
  <si>
    <t>Manzanas</t>
  </si>
  <si>
    <t>Diseño en bloque</t>
  </si>
  <si>
    <t>Diseño en surco</t>
  </si>
  <si>
    <t>Plan de inversiones</t>
  </si>
  <si>
    <t>Registro de costos</t>
  </si>
  <si>
    <t>Regresar</t>
  </si>
  <si>
    <t>% efectivo de plantas por año</t>
  </si>
  <si>
    <r>
      <rPr>
        <b/>
        <sz val="16"/>
        <color theme="0"/>
        <rFont val="Century Gothic"/>
        <family val="2"/>
      </rPr>
      <t>Programa de rentabilidad sustentable</t>
    </r>
    <r>
      <rPr>
        <b/>
        <sz val="18"/>
        <color theme="0"/>
        <rFont val="Century Gothic"/>
        <family val="2"/>
      </rPr>
      <t xml:space="preserve">
</t>
    </r>
    <r>
      <rPr>
        <b/>
        <sz val="12"/>
        <color theme="0"/>
        <rFont val="Century Gothic"/>
        <family val="2"/>
      </rPr>
      <t>Presupuesto de empresa cafetalera</t>
    </r>
  </si>
  <si>
    <t>No.</t>
  </si>
  <si>
    <t>Lotes</t>
  </si>
  <si>
    <t>Distancia entre plantas mts</t>
  </si>
  <si>
    <t>Distancia entre calle mts</t>
  </si>
  <si>
    <t>Columna1</t>
  </si>
  <si>
    <t>Cosecha_y_Poscosecha</t>
  </si>
  <si>
    <t>SMT</t>
  </si>
  <si>
    <t>Nutrición</t>
  </si>
  <si>
    <t>Manejo_de_malezas</t>
  </si>
  <si>
    <t>Prevención_de_plagas_y_enfermedades</t>
  </si>
  <si>
    <t>Otros_costos</t>
  </si>
  <si>
    <t>Renovación</t>
  </si>
  <si>
    <t>Gastos_administrativos</t>
  </si>
  <si>
    <t>Producción</t>
  </si>
  <si>
    <t>NA</t>
  </si>
  <si>
    <t>Corte</t>
  </si>
  <si>
    <t>Poda</t>
  </si>
  <si>
    <t>Aplicación de fertilizante</t>
  </si>
  <si>
    <t>Aplicación de herbicida</t>
  </si>
  <si>
    <t>Prevención de plagas</t>
  </si>
  <si>
    <t>Manejo de sombra</t>
  </si>
  <si>
    <t>Mano de obra</t>
  </si>
  <si>
    <t>Siembra</t>
  </si>
  <si>
    <t>Beneficiado</t>
  </si>
  <si>
    <t>Deshije</t>
  </si>
  <si>
    <t>Fertilizante químico</t>
  </si>
  <si>
    <t>Limpias manuales</t>
  </si>
  <si>
    <t>Insecticida</t>
  </si>
  <si>
    <t>Conservación de suelos</t>
  </si>
  <si>
    <t>Insumos</t>
  </si>
  <si>
    <t>Crecimiento</t>
  </si>
  <si>
    <t>Aplicación de enmiendas</t>
  </si>
  <si>
    <t>Herbicida</t>
  </si>
  <si>
    <t>Prevención de enfermedades</t>
  </si>
  <si>
    <t>Otras actividades</t>
  </si>
  <si>
    <t>Abandono</t>
  </si>
  <si>
    <t>Material de enmienda</t>
  </si>
  <si>
    <t>Fungicida</t>
  </si>
  <si>
    <t>Coadyuvantes</t>
  </si>
  <si>
    <t>Elemento</t>
  </si>
  <si>
    <t>Costo Unitario</t>
  </si>
  <si>
    <t>Observaciones</t>
  </si>
  <si>
    <t>Fertilizante | Quintal</t>
  </si>
  <si>
    <t>Enmiendas | Quintal</t>
  </si>
  <si>
    <t>Herbicidas | Litro</t>
  </si>
  <si>
    <t>Fungicidas | Litro</t>
  </si>
  <si>
    <t>Insecticidas | Litro</t>
  </si>
  <si>
    <t>Coadyuvantes | Litro</t>
  </si>
  <si>
    <t>Costo de jornal</t>
  </si>
  <si>
    <t>Costo de corte por quintal cereza</t>
  </si>
  <si>
    <t>Costo de beneficiado por quintal pergamino</t>
  </si>
  <si>
    <t>Conversión cereza pergamino seco</t>
  </si>
  <si>
    <t>Conversión pergamino oro</t>
  </si>
  <si>
    <t>% Primera</t>
  </si>
  <si>
    <t>P_Primera</t>
  </si>
  <si>
    <t>% Segunda</t>
  </si>
  <si>
    <t>P_Segunda</t>
  </si>
  <si>
    <t>% Inferiores</t>
  </si>
  <si>
    <t>P_Inferior</t>
  </si>
  <si>
    <t>Precio de venta por quintal Uva Segundas</t>
  </si>
  <si>
    <t>Precio de venta por quintal Uva Inferiores</t>
  </si>
  <si>
    <t xml:space="preserve">©2019 Lloto del Café S.A. Todos los derechos reservados / Adaptacion Guatemala: Asociación Nacional del Café </t>
  </si>
  <si>
    <t>Actividad</t>
  </si>
  <si>
    <t>Siembra en crecimiento</t>
  </si>
  <si>
    <t>Media</t>
  </si>
  <si>
    <t>qq Cereza total</t>
  </si>
  <si>
    <t>Bh</t>
  </si>
  <si>
    <t>Admin</t>
  </si>
  <si>
    <t>Agrícola</t>
  </si>
  <si>
    <t>Costo por qq Oro</t>
  </si>
  <si>
    <t>Costo por qq Cereza</t>
  </si>
  <si>
    <t>Jornales por actividad</t>
  </si>
  <si>
    <t>A</t>
  </si>
  <si>
    <t>B</t>
  </si>
  <si>
    <t>C</t>
  </si>
  <si>
    <t>D</t>
  </si>
  <si>
    <t>Y</t>
  </si>
  <si>
    <t>Detalle</t>
  </si>
  <si>
    <t>Igual o más de</t>
  </si>
  <si>
    <t>Menos de</t>
  </si>
  <si>
    <t>Planta en producción pico</t>
  </si>
  <si>
    <t>Planta en crecimiento y producción</t>
  </si>
  <si>
    <t>Planta en producción baja</t>
  </si>
  <si>
    <t>Planta en producción baja 2</t>
  </si>
  <si>
    <t>Fertilizante químico | Cantidad sugerida s/ Producción</t>
  </si>
  <si>
    <t>Fertilizante químico | Quintales</t>
  </si>
  <si>
    <t>Fertilizante</t>
  </si>
  <si>
    <t>Enmiendas | Jornales</t>
  </si>
  <si>
    <t>Enmiendas</t>
  </si>
  <si>
    <t>Enmiendas | Quintales</t>
  </si>
  <si>
    <t>Enmiendas / sks</t>
  </si>
  <si>
    <t>Manejo de malezas</t>
  </si>
  <si>
    <t>Control Físico de Malezas</t>
  </si>
  <si>
    <t>Control Químico de Malezas</t>
  </si>
  <si>
    <t>Herbicida | Litros</t>
  </si>
  <si>
    <t>Herbicidas / Lts</t>
  </si>
  <si>
    <t>Preventivo Plagas</t>
  </si>
  <si>
    <t>Insecticida | Litros</t>
  </si>
  <si>
    <t>Insecticidas / Lts</t>
  </si>
  <si>
    <t>Preventivo Enfermedades</t>
  </si>
  <si>
    <t>Fungicida | Litros</t>
  </si>
  <si>
    <t>Fungicidas / Lts</t>
  </si>
  <si>
    <t>Coadyuvantes | Litros</t>
  </si>
  <si>
    <t>Otros</t>
  </si>
  <si>
    <t>Manejo de Sombra</t>
  </si>
  <si>
    <t>Otro insumo 1:</t>
  </si>
  <si>
    <t>Otro insumo 2:</t>
  </si>
  <si>
    <t>Otro insumo 3:</t>
  </si>
  <si>
    <t>Planta_A</t>
  </si>
  <si>
    <t>Planta_B</t>
  </si>
  <si>
    <t>Planta_C</t>
  </si>
  <si>
    <t>Planta_D</t>
  </si>
  <si>
    <t>Planta_Y</t>
  </si>
  <si>
    <t>Costo agrícola por quintal uva</t>
  </si>
  <si>
    <t>Costo agrícola por quintal oro</t>
  </si>
  <si>
    <t>Tipo de gasto</t>
  </si>
  <si>
    <t>Año | Total anual</t>
  </si>
  <si>
    <t>Gastos administrativos y generales</t>
  </si>
  <si>
    <t>Salarios</t>
  </si>
  <si>
    <t>Gastos Administrativos</t>
  </si>
  <si>
    <t>Energia Eléctrica, agua y teléfono</t>
  </si>
  <si>
    <t>Gastos Generales</t>
  </si>
  <si>
    <t>Total</t>
  </si>
  <si>
    <t>Amortizaciones y depreciaciones</t>
  </si>
  <si>
    <t>Depreciaciones</t>
  </si>
  <si>
    <t>Amortizaciones</t>
  </si>
  <si>
    <t>Provisiones</t>
  </si>
  <si>
    <t>Actividad / Insumo</t>
  </si>
  <si>
    <t>Cantidad</t>
  </si>
  <si>
    <t>Costo UI</t>
  </si>
  <si>
    <t>Jornales</t>
  </si>
  <si>
    <t>Plantas de café</t>
  </si>
  <si>
    <t>Plantas de sombra</t>
  </si>
  <si>
    <t>Preparación de terreno</t>
  </si>
  <si>
    <t>Calzado</t>
  </si>
  <si>
    <t>Trazado</t>
  </si>
  <si>
    <t>Ahoyado</t>
  </si>
  <si>
    <t>Acarreo</t>
  </si>
  <si>
    <t>Siembra de Café</t>
  </si>
  <si>
    <t>Siembra de árboles de sombra permanente</t>
  </si>
  <si>
    <t>Siembra de árboles de sombra temporal</t>
  </si>
  <si>
    <t>Control de Maleza Manual</t>
  </si>
  <si>
    <t>Control de Maleza Química</t>
  </si>
  <si>
    <t>Control de Maleza Mecanizada</t>
  </si>
  <si>
    <t>Fertilización al Suelo</t>
  </si>
  <si>
    <t>Fertilizante Foliares</t>
  </si>
  <si>
    <t>Prevencion Enfermedades/Plagas</t>
  </si>
  <si>
    <t>Bloque_A1_A</t>
  </si>
  <si>
    <t>Bloque_A1_B</t>
  </si>
  <si>
    <t>Bloque_A1_C</t>
  </si>
  <si>
    <t>Bloque_A1_D</t>
  </si>
  <si>
    <t>Bloque_A1_Y</t>
  </si>
  <si>
    <t>Bloque_A2_A</t>
  </si>
  <si>
    <t>Bloque_A2_B</t>
  </si>
  <si>
    <t>Bloque_A2_C</t>
  </si>
  <si>
    <t>Bloque_A2_D</t>
  </si>
  <si>
    <t>Bloque_A2_Y</t>
  </si>
  <si>
    <t>Bloque_A3_A</t>
  </si>
  <si>
    <t>Bloque_A3_B</t>
  </si>
  <si>
    <t>Bloque_A3_C</t>
  </si>
  <si>
    <t>Bloque_A3_D</t>
  </si>
  <si>
    <t>Bloque_A3_Y</t>
  </si>
  <si>
    <t>Bloque_A4_A</t>
  </si>
  <si>
    <t>Bloque_A4_B</t>
  </si>
  <si>
    <t>Bloque_A4_C</t>
  </si>
  <si>
    <t>Bloque_A4_D</t>
  </si>
  <si>
    <t>Bloque_A4_Y</t>
  </si>
  <si>
    <t>Bloque_A5_A</t>
  </si>
  <si>
    <t>Bloque_A5_B</t>
  </si>
  <si>
    <t>Bloque_A5_C</t>
  </si>
  <si>
    <t>Bloque_A5_D</t>
  </si>
  <si>
    <t>Bloque_A5_Y</t>
  </si>
  <si>
    <t>Bloque_A6_A</t>
  </si>
  <si>
    <t>Bloque_A6_B</t>
  </si>
  <si>
    <t>Bloque_A6_C</t>
  </si>
  <si>
    <t>Bloque_A6_D</t>
  </si>
  <si>
    <t>Bloque_A6_Y</t>
  </si>
  <si>
    <t>Bloque_A7_A</t>
  </si>
  <si>
    <t>Bloque_A7_B</t>
  </si>
  <si>
    <t>Bloque_A7_C</t>
  </si>
  <si>
    <t>Bloque_A7_D</t>
  </si>
  <si>
    <t>Bloque_A7_Y</t>
  </si>
  <si>
    <t>Bloque_A8_A</t>
  </si>
  <si>
    <t>Bloque_A8_B</t>
  </si>
  <si>
    <t>Bloque_A8_C</t>
  </si>
  <si>
    <t>Bloque_A8_D</t>
  </si>
  <si>
    <t>Bloque_A8_Y</t>
  </si>
  <si>
    <t>Bloque_A9_A</t>
  </si>
  <si>
    <t>Bloque_A9_B</t>
  </si>
  <si>
    <t>Bloque_A9_C</t>
  </si>
  <si>
    <t>Bloque_A9_D</t>
  </si>
  <si>
    <t>Bloque_A9_Y</t>
  </si>
  <si>
    <t>Bloque_A10_A</t>
  </si>
  <si>
    <t>Bloque_A10_B</t>
  </si>
  <si>
    <t>Bloque_A10_C</t>
  </si>
  <si>
    <t>Bloque_A10_D</t>
  </si>
  <si>
    <t>Bloque_A10_Y</t>
  </si>
  <si>
    <t>Bloque_A11_A</t>
  </si>
  <si>
    <t>Bloque_A11_B</t>
  </si>
  <si>
    <t>Bloque_A11_C</t>
  </si>
  <si>
    <t>Bloque_A11_D</t>
  </si>
  <si>
    <t>Bloque_A11_Y</t>
  </si>
  <si>
    <t>Bloque_A12_A</t>
  </si>
  <si>
    <t>Bloque_A12_B</t>
  </si>
  <si>
    <t>Bloque_A12_C</t>
  </si>
  <si>
    <t>Bloque_A12_D</t>
  </si>
  <si>
    <t>Bloque_A12_Y</t>
  </si>
  <si>
    <t>Año</t>
  </si>
  <si>
    <t>Producción total</t>
  </si>
  <si>
    <t>Plantas efectivas</t>
  </si>
  <si>
    <t>Total qq cereza</t>
  </si>
  <si>
    <t>SN</t>
  </si>
  <si>
    <t>X</t>
  </si>
  <si>
    <t>Libras cereza</t>
  </si>
  <si>
    <t>Total lote</t>
  </si>
  <si>
    <t>qq cereza por Ha</t>
  </si>
  <si>
    <t>Surco_A1_A</t>
  </si>
  <si>
    <t>Surco_A1_B</t>
  </si>
  <si>
    <t>Surco_A1_C</t>
  </si>
  <si>
    <t>Surco_A1_D</t>
  </si>
  <si>
    <t>Surco_A1_Y</t>
  </si>
  <si>
    <t>Surco_A2_A</t>
  </si>
  <si>
    <t>Surco_A2_B</t>
  </si>
  <si>
    <t>Surco_A2_C</t>
  </si>
  <si>
    <t>Surco_A2_D</t>
  </si>
  <si>
    <t>Surco_A2_Y</t>
  </si>
  <si>
    <t>Surco_A3_A</t>
  </si>
  <si>
    <t>Surco_A3_B</t>
  </si>
  <si>
    <t>Surco_A3_C</t>
  </si>
  <si>
    <t>Surco_A3_D</t>
  </si>
  <si>
    <t>Surco_A3_Y</t>
  </si>
  <si>
    <t>Surco_A4_A</t>
  </si>
  <si>
    <t>Surco_A4_B</t>
  </si>
  <si>
    <t>Surco_A4_C</t>
  </si>
  <si>
    <t>Surco_A4_D</t>
  </si>
  <si>
    <t>Surco_A4_Y</t>
  </si>
  <si>
    <t>Surco_A5_A</t>
  </si>
  <si>
    <t>Surco_A5_B</t>
  </si>
  <si>
    <t>Surco_A5_C</t>
  </si>
  <si>
    <t>Surco_A5_D</t>
  </si>
  <si>
    <t>Surco_A5_Y</t>
  </si>
  <si>
    <t>Surco_A6_A</t>
  </si>
  <si>
    <t>Surco_A6_B</t>
  </si>
  <si>
    <t>Surco_A6_C</t>
  </si>
  <si>
    <t>Surco_A6_D</t>
  </si>
  <si>
    <t>Surco_A6_Y</t>
  </si>
  <si>
    <t>Surco_A7_A</t>
  </si>
  <si>
    <t>Surco_A7_B</t>
  </si>
  <si>
    <t>Surco_A7_C</t>
  </si>
  <si>
    <t>Surco_A7_D</t>
  </si>
  <si>
    <t>Surco_A7_Y</t>
  </si>
  <si>
    <t>Surco_A8_A</t>
  </si>
  <si>
    <t>Surco_A8_B</t>
  </si>
  <si>
    <t>Surco_A8_C</t>
  </si>
  <si>
    <t>Surco_A8_D</t>
  </si>
  <si>
    <t>Surco_A8_Y</t>
  </si>
  <si>
    <t>Surco_A9_A</t>
  </si>
  <si>
    <t>Surco_A9_B</t>
  </si>
  <si>
    <t>Surco_A9_C</t>
  </si>
  <si>
    <t>Surco_A9_D</t>
  </si>
  <si>
    <t>Surco_A9_Y</t>
  </si>
  <si>
    <t>Surco_A10_A</t>
  </si>
  <si>
    <t>Surco_A10_B</t>
  </si>
  <si>
    <t>Surco_A10_C</t>
  </si>
  <si>
    <t>Surco_A10_D</t>
  </si>
  <si>
    <t>Surco_A10_Y</t>
  </si>
  <si>
    <t>Surco_A11_A</t>
  </si>
  <si>
    <t>Surco_A11_B</t>
  </si>
  <si>
    <t>Surco_A11_C</t>
  </si>
  <si>
    <t>Surco_A11_D</t>
  </si>
  <si>
    <t>Surco_A11_Y</t>
  </si>
  <si>
    <t>Surco_A12_A</t>
  </si>
  <si>
    <t>Surco_A12_B</t>
  </si>
  <si>
    <t>Surco_A12_C</t>
  </si>
  <si>
    <t>Surco_A12_D</t>
  </si>
  <si>
    <t>Surco_A12_Y</t>
  </si>
  <si>
    <t>Plantas por surco</t>
  </si>
  <si>
    <t>Total quintales cereza</t>
  </si>
  <si>
    <t>Surco 1</t>
  </si>
  <si>
    <t>Surco 2</t>
  </si>
  <si>
    <t>Plantas_A_A1</t>
  </si>
  <si>
    <t>Plantas_B_A1</t>
  </si>
  <si>
    <t>Plantas_C_A1</t>
  </si>
  <si>
    <t>Plantas_D_A1</t>
  </si>
  <si>
    <t>Plantas_Y_A1</t>
  </si>
  <si>
    <t>Plantas_Z_A1</t>
  </si>
  <si>
    <t>Plantas_X_A1</t>
  </si>
  <si>
    <t>Plantas_A_A2</t>
  </si>
  <si>
    <t>Plantas_B_A2</t>
  </si>
  <si>
    <t>Plantas_C_A2</t>
  </si>
  <si>
    <t>Plantas_D_A2</t>
  </si>
  <si>
    <t>Plantas_Y_A2</t>
  </si>
  <si>
    <t>Plantas_Z_A2</t>
  </si>
  <si>
    <t>Plantas_X_A2</t>
  </si>
  <si>
    <t>Plantas_A_A3</t>
  </si>
  <si>
    <t>Plantas_B_A3</t>
  </si>
  <si>
    <t>Plantas_C_A3</t>
  </si>
  <si>
    <t>Plantas_D_A3</t>
  </si>
  <si>
    <t>Plantas_Y_A3</t>
  </si>
  <si>
    <t>Plantas_Z_A3</t>
  </si>
  <si>
    <t>Plantas_X_A3</t>
  </si>
  <si>
    <t>Plantas_A_A4</t>
  </si>
  <si>
    <t>Plantas_B_A4</t>
  </si>
  <si>
    <t>Plantas_C_A4</t>
  </si>
  <si>
    <t>Plantas_D_A4</t>
  </si>
  <si>
    <t>Plantas_Y_A4</t>
  </si>
  <si>
    <t>Plantas_Z_A4</t>
  </si>
  <si>
    <t>Plantas_X_A4</t>
  </si>
  <si>
    <t>Plantas_A_A5</t>
  </si>
  <si>
    <t>Plantas_B_A5</t>
  </si>
  <si>
    <t>Plantas_C_A5</t>
  </si>
  <si>
    <t>Plantas_D_A5</t>
  </si>
  <si>
    <t>Plantas_Y_A5</t>
  </si>
  <si>
    <t>Plantas_Z_A5</t>
  </si>
  <si>
    <t>Plantas_X_A5</t>
  </si>
  <si>
    <t>Plantas_A_A6</t>
  </si>
  <si>
    <t>Plantas_B_A6</t>
  </si>
  <si>
    <t>Plantas_C_A6</t>
  </si>
  <si>
    <t>Plantas_D_A6</t>
  </si>
  <si>
    <t>Plantas_Y_A6</t>
  </si>
  <si>
    <t>Plantas_Z_A6</t>
  </si>
  <si>
    <t>Plantas_X_A6</t>
  </si>
  <si>
    <t>Plantas_A_A7</t>
  </si>
  <si>
    <t>Plantas_B_A7</t>
  </si>
  <si>
    <t>Plantas_C_A7</t>
  </si>
  <si>
    <t>Plantas_D_A7</t>
  </si>
  <si>
    <t>Plantas_Y_A7</t>
  </si>
  <si>
    <t>Plantas_Z_A7</t>
  </si>
  <si>
    <t>Plantas_X_A7</t>
  </si>
  <si>
    <t>Plantas_A_A8</t>
  </si>
  <si>
    <t>Plantas_B_A8</t>
  </si>
  <si>
    <t>Plantas_C_A8</t>
  </si>
  <si>
    <t>Plantas_D_A8</t>
  </si>
  <si>
    <t>Plantas_Y_A8</t>
  </si>
  <si>
    <t>Plantas_Z_A8</t>
  </si>
  <si>
    <t>Plantas_X_A8</t>
  </si>
  <si>
    <t>Plantas_A_A9</t>
  </si>
  <si>
    <t>Plantas_B_A9</t>
  </si>
  <si>
    <t>Plantas_C_A9</t>
  </si>
  <si>
    <t>Plantas_D_A9</t>
  </si>
  <si>
    <t>Plantas_Y_A9</t>
  </si>
  <si>
    <t>Plantas_Z_A9</t>
  </si>
  <si>
    <t>Plantas_X_A9</t>
  </si>
  <si>
    <t>Plantas_A_A10</t>
  </si>
  <si>
    <t>Plantas_B_A10</t>
  </si>
  <si>
    <t>Plantas_C_A10</t>
  </si>
  <si>
    <t>Plantas_D_A10</t>
  </si>
  <si>
    <t>Plantas_Y_A10</t>
  </si>
  <si>
    <t>Plantas_Z_A10</t>
  </si>
  <si>
    <t>Plantas_X_A10</t>
  </si>
  <si>
    <t>Plantas_A_A11</t>
  </si>
  <si>
    <t>Plantas_B_A11</t>
  </si>
  <si>
    <t>Plantas_C_A11</t>
  </si>
  <si>
    <t>Plantas_D_A11</t>
  </si>
  <si>
    <t>Plantas_Y_A11</t>
  </si>
  <si>
    <t>Plantas_Z_A11</t>
  </si>
  <si>
    <t>Plantas_X_A11</t>
  </si>
  <si>
    <t>Plantas_A_A12</t>
  </si>
  <si>
    <t>Plantas_B_A12</t>
  </si>
  <si>
    <t>Plantas_C_A12</t>
  </si>
  <si>
    <t>Plantas_D_A12</t>
  </si>
  <si>
    <t>Plantas_Y_A12</t>
  </si>
  <si>
    <t>Plantas_Z_A12</t>
  </si>
  <si>
    <t>Plantas_X_A12</t>
  </si>
  <si>
    <t>L</t>
  </si>
  <si>
    <t>B_A1-A</t>
  </si>
  <si>
    <t>B_A1-B</t>
  </si>
  <si>
    <t>B_A1-C</t>
  </si>
  <si>
    <t>B_A1-D</t>
  </si>
  <si>
    <t>B_A1-Y</t>
  </si>
  <si>
    <t>B_A1-Z</t>
  </si>
  <si>
    <t>B_A1-X</t>
  </si>
  <si>
    <t>B_A2-A</t>
  </si>
  <si>
    <t>B_A2-B</t>
  </si>
  <si>
    <t>B_A2-C</t>
  </si>
  <si>
    <t>B_A2-D</t>
  </si>
  <si>
    <t>B_A2-Y</t>
  </si>
  <si>
    <t>B_A2-Z</t>
  </si>
  <si>
    <t>B_A2-X</t>
  </si>
  <si>
    <t>B_A3-A</t>
  </si>
  <si>
    <t>B_A3-B</t>
  </si>
  <si>
    <t>B_A3-C</t>
  </si>
  <si>
    <t>B_A3-D</t>
  </si>
  <si>
    <t>B_A3-Y</t>
  </si>
  <si>
    <t>B_A3-Z</t>
  </si>
  <si>
    <t>B_A3-X</t>
  </si>
  <si>
    <t>B_A4-A</t>
  </si>
  <si>
    <t>B_A4-B</t>
  </si>
  <si>
    <t>B_A4-C</t>
  </si>
  <si>
    <t>B_A4-D</t>
  </si>
  <si>
    <t>B_A4-Y</t>
  </si>
  <si>
    <t>B_A4-Z</t>
  </si>
  <si>
    <t>B_A4-X</t>
  </si>
  <si>
    <t>B_A5-A</t>
  </si>
  <si>
    <t>B_A5-B</t>
  </si>
  <si>
    <t>B_A5-C</t>
  </si>
  <si>
    <t>B_A5-D</t>
  </si>
  <si>
    <t>B_A5-Y</t>
  </si>
  <si>
    <t>B_A5-Z</t>
  </si>
  <si>
    <t>B_A5-X</t>
  </si>
  <si>
    <t>B_A6-A</t>
  </si>
  <si>
    <t>B_A6-B</t>
  </si>
  <si>
    <t>B_A6-C</t>
  </si>
  <si>
    <t>B_A6-D</t>
  </si>
  <si>
    <t>B_A6-Y</t>
  </si>
  <si>
    <t>B_A6-Z</t>
  </si>
  <si>
    <t>B_A6-X</t>
  </si>
  <si>
    <t>B_A7-A</t>
  </si>
  <si>
    <t>B_A7-B</t>
  </si>
  <si>
    <t>B_A7-C</t>
  </si>
  <si>
    <t>B_A7-D</t>
  </si>
  <si>
    <t>B_A7-Y</t>
  </si>
  <si>
    <t>B_A7-Z</t>
  </si>
  <si>
    <t>B_A7-X</t>
  </si>
  <si>
    <t>B_A8-A</t>
  </si>
  <si>
    <t>B_A8-B</t>
  </si>
  <si>
    <t>B_A8-C</t>
  </si>
  <si>
    <t>B_A8-D</t>
  </si>
  <si>
    <t>B_A8-Y</t>
  </si>
  <si>
    <t>B_A8-Z</t>
  </si>
  <si>
    <t>B_A8-X</t>
  </si>
  <si>
    <t>B_A9-A</t>
  </si>
  <si>
    <t>B_A9-B</t>
  </si>
  <si>
    <t>B_A9-C</t>
  </si>
  <si>
    <t>B_A9-D</t>
  </si>
  <si>
    <t>B_A9-Y</t>
  </si>
  <si>
    <t>B_A9-Z</t>
  </si>
  <si>
    <t>B_A9-X</t>
  </si>
  <si>
    <t>B_A10-A</t>
  </si>
  <si>
    <t>B_A10-B</t>
  </si>
  <si>
    <t>B_A10-C</t>
  </si>
  <si>
    <t>B_A10-D</t>
  </si>
  <si>
    <t>B_A10-Y</t>
  </si>
  <si>
    <t>B_A10-Z</t>
  </si>
  <si>
    <t>B_A10-X</t>
  </si>
  <si>
    <t>B_A11-A</t>
  </si>
  <si>
    <t>B_A11-B</t>
  </si>
  <si>
    <t>B_A11-C</t>
  </si>
  <si>
    <t>B_A11-D</t>
  </si>
  <si>
    <t>B_A11-Y</t>
  </si>
  <si>
    <t>B_A11-Z</t>
  </si>
  <si>
    <t>B_A11-X</t>
  </si>
  <si>
    <t>B_A12-A</t>
  </si>
  <si>
    <t>B_A12-B</t>
  </si>
  <si>
    <t>B_A12-C</t>
  </si>
  <si>
    <t>B_A12-D</t>
  </si>
  <si>
    <t>B_A12-Y</t>
  </si>
  <si>
    <t>B_A12-Z</t>
  </si>
  <si>
    <t>B_A12-X</t>
  </si>
  <si>
    <t>S_A1-A</t>
  </si>
  <si>
    <t>S_A1-B</t>
  </si>
  <si>
    <t>S_A1-C</t>
  </si>
  <si>
    <t>S_A1-D</t>
  </si>
  <si>
    <t>S_A1-Y</t>
  </si>
  <si>
    <t>S_A1-Z</t>
  </si>
  <si>
    <t>S_A1-X</t>
  </si>
  <si>
    <t>S_A2-A</t>
  </si>
  <si>
    <t>S_A2-B</t>
  </si>
  <si>
    <t>S_A2-C</t>
  </si>
  <si>
    <t>S_A2-D</t>
  </si>
  <si>
    <t>S_A2-Y</t>
  </si>
  <si>
    <t>S_A2-Z</t>
  </si>
  <si>
    <t>S_A2-X</t>
  </si>
  <si>
    <t>S_A3-A</t>
  </si>
  <si>
    <t>S_A3-B</t>
  </si>
  <si>
    <t>S_A3-C</t>
  </si>
  <si>
    <t>S_A3-D</t>
  </si>
  <si>
    <t>S_A3-Y</t>
  </si>
  <si>
    <t>S_A3-Z</t>
  </si>
  <si>
    <t>S_A3-X</t>
  </si>
  <si>
    <t>S_A4-A</t>
  </si>
  <si>
    <t>S_A4-B</t>
  </si>
  <si>
    <t>S_A4-C</t>
  </si>
  <si>
    <t>S_A4-D</t>
  </si>
  <si>
    <t>S_A4-Y</t>
  </si>
  <si>
    <t>S_A4-Z</t>
  </si>
  <si>
    <t>S_A4-X</t>
  </si>
  <si>
    <t>S_A5-A</t>
  </si>
  <si>
    <t>S_A5-B</t>
  </si>
  <si>
    <t>S_A5-C</t>
  </si>
  <si>
    <t>S_A5-D</t>
  </si>
  <si>
    <t>S_A5-Y</t>
  </si>
  <si>
    <t>S_A5-Z</t>
  </si>
  <si>
    <t>S_A5-X</t>
  </si>
  <si>
    <t>S_A6-A</t>
  </si>
  <si>
    <t>S_A6-B</t>
  </si>
  <si>
    <t>S_A6-C</t>
  </si>
  <si>
    <t>S_A6-D</t>
  </si>
  <si>
    <t>S_A6-Y</t>
  </si>
  <si>
    <t>S_A6-Z</t>
  </si>
  <si>
    <t>S_A6-X</t>
  </si>
  <si>
    <t>S_A7-A</t>
  </si>
  <si>
    <t>S_A7-B</t>
  </si>
  <si>
    <t>S_A7-C</t>
  </si>
  <si>
    <t>S_A7-D</t>
  </si>
  <si>
    <t>S_A7-Y</t>
  </si>
  <si>
    <t>S_A7-Z</t>
  </si>
  <si>
    <t>S_A7-X</t>
  </si>
  <si>
    <t>S_A8-A</t>
  </si>
  <si>
    <t>S_A8-B</t>
  </si>
  <si>
    <t>S_A8-C</t>
  </si>
  <si>
    <t>S_A8-D</t>
  </si>
  <si>
    <t>S_A8-Y</t>
  </si>
  <si>
    <t>S_A8-Z</t>
  </si>
  <si>
    <t>S_A8-X</t>
  </si>
  <si>
    <t>S_A9-A</t>
  </si>
  <si>
    <t>S_A9-B</t>
  </si>
  <si>
    <t>S_A9-C</t>
  </si>
  <si>
    <t>S_A9-D</t>
  </si>
  <si>
    <t>S_A9-Y</t>
  </si>
  <si>
    <t>S_A9-Z</t>
  </si>
  <si>
    <t>S_A9-X</t>
  </si>
  <si>
    <t>S_A10-A</t>
  </si>
  <si>
    <t>S_A10-B</t>
  </si>
  <si>
    <t>S_A10-C</t>
  </si>
  <si>
    <t>S_A10-D</t>
  </si>
  <si>
    <t>S_A10-Y</t>
  </si>
  <si>
    <t>S_A10-Z</t>
  </si>
  <si>
    <t>S_A10-X</t>
  </si>
  <si>
    <t>S_A11-A</t>
  </si>
  <si>
    <t>S_A11-B</t>
  </si>
  <si>
    <t>S_A11-C</t>
  </si>
  <si>
    <t>S_A11-D</t>
  </si>
  <si>
    <t>S_A11-Y</t>
  </si>
  <si>
    <t>S_A11-Z</t>
  </si>
  <si>
    <t>S_A11-X</t>
  </si>
  <si>
    <t>S_A12-A</t>
  </si>
  <si>
    <t>S_A12-B</t>
  </si>
  <si>
    <t>S_A12-C</t>
  </si>
  <si>
    <t>S_A12-D</t>
  </si>
  <si>
    <t>S_A12-Y</t>
  </si>
  <si>
    <t>S_A12-Z</t>
  </si>
  <si>
    <t>S_A12-X</t>
  </si>
  <si>
    <t>Lote</t>
  </si>
  <si>
    <t>A1-A</t>
  </si>
  <si>
    <t>A1-B</t>
  </si>
  <si>
    <t>A1-C</t>
  </si>
  <si>
    <t>A1-D</t>
  </si>
  <si>
    <t>A1-Y</t>
  </si>
  <si>
    <t>A1-Z</t>
  </si>
  <si>
    <t>A1-X</t>
  </si>
  <si>
    <t>A2-A</t>
  </si>
  <si>
    <t>A2-B</t>
  </si>
  <si>
    <t>A2-C</t>
  </si>
  <si>
    <t>A2-D</t>
  </si>
  <si>
    <t>A2-Y</t>
  </si>
  <si>
    <t>A2-Z</t>
  </si>
  <si>
    <t>A2-X</t>
  </si>
  <si>
    <t>A3-A</t>
  </si>
  <si>
    <t>A3-B</t>
  </si>
  <si>
    <t>A3-C</t>
  </si>
  <si>
    <t>A3-D</t>
  </si>
  <si>
    <t>A3-Y</t>
  </si>
  <si>
    <t>A3-Z</t>
  </si>
  <si>
    <t>A3-X</t>
  </si>
  <si>
    <t>A4-A</t>
  </si>
  <si>
    <t>A4-B</t>
  </si>
  <si>
    <t>A4-C</t>
  </si>
  <si>
    <t>A4-D</t>
  </si>
  <si>
    <t>A4-Y</t>
  </si>
  <si>
    <t>A4-Z</t>
  </si>
  <si>
    <t>A4-X</t>
  </si>
  <si>
    <t>A5-A</t>
  </si>
  <si>
    <t>A5-B</t>
  </si>
  <si>
    <t>A5-C</t>
  </si>
  <si>
    <t>A5-D</t>
  </si>
  <si>
    <t>A5-Y</t>
  </si>
  <si>
    <t>A5-Z</t>
  </si>
  <si>
    <t>A5-X</t>
  </si>
  <si>
    <t>A6-A</t>
  </si>
  <si>
    <t>A6-B</t>
  </si>
  <si>
    <t>A6-C</t>
  </si>
  <si>
    <t>A6-D</t>
  </si>
  <si>
    <t>A6-Y</t>
  </si>
  <si>
    <t>A6-Z</t>
  </si>
  <si>
    <t>A6-X</t>
  </si>
  <si>
    <t>A7-A</t>
  </si>
  <si>
    <t>A7-B</t>
  </si>
  <si>
    <t>A7-C</t>
  </si>
  <si>
    <t>A7-D</t>
  </si>
  <si>
    <t>A7-Y</t>
  </si>
  <si>
    <t>A7-Z</t>
  </si>
  <si>
    <t>A7-X</t>
  </si>
  <si>
    <t>A8-A</t>
  </si>
  <si>
    <t>A8-B</t>
  </si>
  <si>
    <t>A8-C</t>
  </si>
  <si>
    <t>A8-D</t>
  </si>
  <si>
    <t>A8-Y</t>
  </si>
  <si>
    <t>A8-Z</t>
  </si>
  <si>
    <t>A8-X</t>
  </si>
  <si>
    <t>A9-A</t>
  </si>
  <si>
    <t>A9-B</t>
  </si>
  <si>
    <t>A9-C</t>
  </si>
  <si>
    <t>A9-D</t>
  </si>
  <si>
    <t>A9-Y</t>
  </si>
  <si>
    <t>A9-Z</t>
  </si>
  <si>
    <t>A9-X</t>
  </si>
  <si>
    <t>A10-A</t>
  </si>
  <si>
    <t>A10-B</t>
  </si>
  <si>
    <t>A10-C</t>
  </si>
  <si>
    <t>A10-D</t>
  </si>
  <si>
    <t>A10-Y</t>
  </si>
  <si>
    <t>A10-Z</t>
  </si>
  <si>
    <t>A10-X</t>
  </si>
  <si>
    <t>A11-A</t>
  </si>
  <si>
    <t>A11-B</t>
  </si>
  <si>
    <t>A11-C</t>
  </si>
  <si>
    <t>A11-D</t>
  </si>
  <si>
    <t>A11-Y</t>
  </si>
  <si>
    <t>A11-Z</t>
  </si>
  <si>
    <t>A11-X</t>
  </si>
  <si>
    <t>A12-A</t>
  </si>
  <si>
    <t>A12-B</t>
  </si>
  <si>
    <t>A12-C</t>
  </si>
  <si>
    <t>A12-D</t>
  </si>
  <si>
    <t>A12-Y</t>
  </si>
  <si>
    <t>A12-Z</t>
  </si>
  <si>
    <t>A12-X</t>
  </si>
  <si>
    <t>B_A1</t>
  </si>
  <si>
    <t>B_A2</t>
  </si>
  <si>
    <t>B_A3</t>
  </si>
  <si>
    <t>B_A4</t>
  </si>
  <si>
    <t>B_A5</t>
  </si>
  <si>
    <t>B_A6</t>
  </si>
  <si>
    <t>B_A7</t>
  </si>
  <si>
    <t>B_A8</t>
  </si>
  <si>
    <t>B_A9</t>
  </si>
  <si>
    <t>B_A10</t>
  </si>
  <si>
    <t>B_A11</t>
  </si>
  <si>
    <t>B_A12</t>
  </si>
  <si>
    <t>S_A1</t>
  </si>
  <si>
    <t>S_A2</t>
  </si>
  <si>
    <t>S_A3</t>
  </si>
  <si>
    <t>S_A4</t>
  </si>
  <si>
    <t>S_A5</t>
  </si>
  <si>
    <t>S_A6</t>
  </si>
  <si>
    <t>S_A7</t>
  </si>
  <si>
    <t>S_A8</t>
  </si>
  <si>
    <t>S_A9</t>
  </si>
  <si>
    <t>S_A10</t>
  </si>
  <si>
    <t>S_A11</t>
  </si>
  <si>
    <t>S_A12</t>
  </si>
  <si>
    <t>Prod</t>
  </si>
  <si>
    <t>P_A1</t>
  </si>
  <si>
    <t>P_A2</t>
  </si>
  <si>
    <t>P_A3</t>
  </si>
  <si>
    <t>P_A4</t>
  </si>
  <si>
    <t>P_A5</t>
  </si>
  <si>
    <t>P_A6</t>
  </si>
  <si>
    <t>P_A7</t>
  </si>
  <si>
    <t>P_A8</t>
  </si>
  <si>
    <t>P_A9</t>
  </si>
  <si>
    <t>P_A10</t>
  </si>
  <si>
    <t>P_A11</t>
  </si>
  <si>
    <t>P_A12</t>
  </si>
  <si>
    <t>A1_A_L1</t>
  </si>
  <si>
    <t>A1_B_L1</t>
  </si>
  <si>
    <t>A1_C_L1</t>
  </si>
  <si>
    <t>A1_D_L1</t>
  </si>
  <si>
    <t>A1_Y_L1</t>
  </si>
  <si>
    <t>A1_Z_L1</t>
  </si>
  <si>
    <t>A1_X_L1</t>
  </si>
  <si>
    <t>A2_A_L1</t>
  </si>
  <si>
    <t>A2_B_L1</t>
  </si>
  <si>
    <t>A2_C_L1</t>
  </si>
  <si>
    <t>A2_D_L1</t>
  </si>
  <si>
    <t>A2_Y_L1</t>
  </si>
  <si>
    <t>A2_Z_L1</t>
  </si>
  <si>
    <t>A2_X_L1</t>
  </si>
  <si>
    <t>A3_A_L1</t>
  </si>
  <si>
    <t>A3_B_L1</t>
  </si>
  <si>
    <t>A3_C_L1</t>
  </si>
  <si>
    <t>A3_D_L1</t>
  </si>
  <si>
    <t>A3_Y_L1</t>
  </si>
  <si>
    <t>A3_Z_L1</t>
  </si>
  <si>
    <t>A3_X_L1</t>
  </si>
  <si>
    <t>A4_A_L1</t>
  </si>
  <si>
    <t>A4_B_L1</t>
  </si>
  <si>
    <t>A4_C_L1</t>
  </si>
  <si>
    <t>A4_D_L1</t>
  </si>
  <si>
    <t>A4_Y_L1</t>
  </si>
  <si>
    <t>A4_Z_L1</t>
  </si>
  <si>
    <t>A4_X_L1</t>
  </si>
  <si>
    <t>A5_A_L1</t>
  </si>
  <si>
    <t>A5_B_L1</t>
  </si>
  <si>
    <t>A5_C_L1</t>
  </si>
  <si>
    <t>A5_D_L1</t>
  </si>
  <si>
    <t>A5_Y_L1</t>
  </si>
  <si>
    <t>A5_Z_L1</t>
  </si>
  <si>
    <t>A5_X_L1</t>
  </si>
  <si>
    <t>A6_A_L1</t>
  </si>
  <si>
    <t>A6_B_L1</t>
  </si>
  <si>
    <t>A6_C_L1</t>
  </si>
  <si>
    <t>A6_D_L1</t>
  </si>
  <si>
    <t>A6_Y_L1</t>
  </si>
  <si>
    <t>A6_Z_L1</t>
  </si>
  <si>
    <t>A6_X_L1</t>
  </si>
  <si>
    <t>A7_A_L1</t>
  </si>
  <si>
    <t>A7_B_L1</t>
  </si>
  <si>
    <t>A7_C_L1</t>
  </si>
  <si>
    <t>A7_D_L1</t>
  </si>
  <si>
    <t>A7_Y_L1</t>
  </si>
  <si>
    <t>A7_Z_L1</t>
  </si>
  <si>
    <t>A7_X_L1</t>
  </si>
  <si>
    <t>A8_A_L1</t>
  </si>
  <si>
    <t>A8_B_L1</t>
  </si>
  <si>
    <t>A8_C_L1</t>
  </si>
  <si>
    <t>A8_D_L1</t>
  </si>
  <si>
    <t>A8_Y_L1</t>
  </si>
  <si>
    <t>A8_Z_L1</t>
  </si>
  <si>
    <t>A8_X_L1</t>
  </si>
  <si>
    <t>A9_A_L1</t>
  </si>
  <si>
    <t>A9_B_L1</t>
  </si>
  <si>
    <t>A9_C_L1</t>
  </si>
  <si>
    <t>A9_D_L1</t>
  </si>
  <si>
    <t>A9_Y_L1</t>
  </si>
  <si>
    <t>A9_Z_L1</t>
  </si>
  <si>
    <t>A9_X_L1</t>
  </si>
  <si>
    <t>A10_A_L1</t>
  </si>
  <si>
    <t>A10_B_L1</t>
  </si>
  <si>
    <t>A10_C_L1</t>
  </si>
  <si>
    <t>A10_D_L1</t>
  </si>
  <si>
    <t>A10_Y_L1</t>
  </si>
  <si>
    <t>A10_Z_L1</t>
  </si>
  <si>
    <t>A10_X_L1</t>
  </si>
  <si>
    <t>A11_A_L1</t>
  </si>
  <si>
    <t>A11_B_L1</t>
  </si>
  <si>
    <t>A11_C_L1</t>
  </si>
  <si>
    <t>A11_D_L1</t>
  </si>
  <si>
    <t>A11_Y_L1</t>
  </si>
  <si>
    <t>A11_Z_L1</t>
  </si>
  <si>
    <t>A11_X_L1</t>
  </si>
  <si>
    <t>A12_A_L1</t>
  </si>
  <si>
    <t>A12_B_L1</t>
  </si>
  <si>
    <t>A12_C_L1</t>
  </si>
  <si>
    <t>A12_D_L1</t>
  </si>
  <si>
    <t>A12_Y_L1</t>
  </si>
  <si>
    <t>A12_Z_L1</t>
  </si>
  <si>
    <t>A12_X_L1</t>
  </si>
  <si>
    <t>P_A1_L1</t>
  </si>
  <si>
    <t>P_A2_L1</t>
  </si>
  <si>
    <t>P_A3_L1</t>
  </si>
  <si>
    <t>P_A4_L1</t>
  </si>
  <si>
    <t>P_A5_L1</t>
  </si>
  <si>
    <t>P_A6_L1</t>
  </si>
  <si>
    <t>P_A7_L1</t>
  </si>
  <si>
    <t>P_A8_L1</t>
  </si>
  <si>
    <t>P_A9_L1</t>
  </si>
  <si>
    <t>P_A10_L1</t>
  </si>
  <si>
    <t>P_A11_L1</t>
  </si>
  <si>
    <t>P_A12_L1</t>
  </si>
  <si>
    <t>A1_A_L2</t>
  </si>
  <si>
    <t>A1_B_L2</t>
  </si>
  <si>
    <t>A1_C_L2</t>
  </si>
  <si>
    <t>A1_D_L2</t>
  </si>
  <si>
    <t>A1_Y_L2</t>
  </si>
  <si>
    <t>A1_Z_L2</t>
  </si>
  <si>
    <t>A1_X_L2</t>
  </si>
  <si>
    <t>A2_A_L2</t>
  </si>
  <si>
    <t>A2_B_L2</t>
  </si>
  <si>
    <t>A2_C_L2</t>
  </si>
  <si>
    <t>A2_D_L2</t>
  </si>
  <si>
    <t>A2_Y_L2</t>
  </si>
  <si>
    <t>A2_Z_L2</t>
  </si>
  <si>
    <t>A2_X_L2</t>
  </si>
  <si>
    <t>A3_A_L2</t>
  </si>
  <si>
    <t>A3_B_L2</t>
  </si>
  <si>
    <t>A3_C_L2</t>
  </si>
  <si>
    <t>A3_D_L2</t>
  </si>
  <si>
    <t>A3_Y_L2</t>
  </si>
  <si>
    <t>A3_Z_L2</t>
  </si>
  <si>
    <t>A3_X_L2</t>
  </si>
  <si>
    <t>A4_A_L2</t>
  </si>
  <si>
    <t>A4_B_L2</t>
  </si>
  <si>
    <t>A4_C_L2</t>
  </si>
  <si>
    <t>A4_D_L2</t>
  </si>
  <si>
    <t>A4_Y_L2</t>
  </si>
  <si>
    <t>A4_Z_L2</t>
  </si>
  <si>
    <t>A4_X_L2</t>
  </si>
  <si>
    <t>A5_A_L2</t>
  </si>
  <si>
    <t>A5_B_L2</t>
  </si>
  <si>
    <t>A5_C_L2</t>
  </si>
  <si>
    <t>A5_D_L2</t>
  </si>
  <si>
    <t>A5_Y_L2</t>
  </si>
  <si>
    <t>A5_Z_L2</t>
  </si>
  <si>
    <t>A5_X_L2</t>
  </si>
  <si>
    <t>A6_A_L2</t>
  </si>
  <si>
    <t>A6_B_L2</t>
  </si>
  <si>
    <t>A6_C_L2</t>
  </si>
  <si>
    <t>A6_D_L2</t>
  </si>
  <si>
    <t>A6_Y_L2</t>
  </si>
  <si>
    <t>A6_Z_L2</t>
  </si>
  <si>
    <t>A6_X_L2</t>
  </si>
  <si>
    <t>A7_A_L2</t>
  </si>
  <si>
    <t>A7_B_L2</t>
  </si>
  <si>
    <t>A7_C_L2</t>
  </si>
  <si>
    <t>A7_D_L2</t>
  </si>
  <si>
    <t>A7_Y_L2</t>
  </si>
  <si>
    <t>A7_Z_L2</t>
  </si>
  <si>
    <t>A7_X_L2</t>
  </si>
  <si>
    <t>A8_A_L2</t>
  </si>
  <si>
    <t>A8_B_L2</t>
  </si>
  <si>
    <t>A8_C_L2</t>
  </si>
  <si>
    <t>A8_D_L2</t>
  </si>
  <si>
    <t>A8_Y_L2</t>
  </si>
  <si>
    <t>A8_Z_L2</t>
  </si>
  <si>
    <t>A8_X_L2</t>
  </si>
  <si>
    <t>A9_A_L2</t>
  </si>
  <si>
    <t>A9_B_L2</t>
  </si>
  <si>
    <t>A9_C_L2</t>
  </si>
  <si>
    <t>A9_D_L2</t>
  </si>
  <si>
    <t>A9_Y_L2</t>
  </si>
  <si>
    <t>A9_Z_L2</t>
  </si>
  <si>
    <t>A9_X_L2</t>
  </si>
  <si>
    <t>A10_A_L2</t>
  </si>
  <si>
    <t>A10_B_L2</t>
  </si>
  <si>
    <t>A10_C_L2</t>
  </si>
  <si>
    <t>A10_D_L2</t>
  </si>
  <si>
    <t>A10_Y_L2</t>
  </si>
  <si>
    <t>A10_Z_L2</t>
  </si>
  <si>
    <t>A10_X_L2</t>
  </si>
  <si>
    <t>A11_A_L2</t>
  </si>
  <si>
    <t>A11_B_L2</t>
  </si>
  <si>
    <t>A11_C_L2</t>
  </si>
  <si>
    <t>A11_D_L2</t>
  </si>
  <si>
    <t>A11_Y_L2</t>
  </si>
  <si>
    <t>A11_Z_L2</t>
  </si>
  <si>
    <t>A11_X_L2</t>
  </si>
  <si>
    <t>A12_A_L2</t>
  </si>
  <si>
    <t>A12_B_L2</t>
  </si>
  <si>
    <t>A12_C_L2</t>
  </si>
  <si>
    <t>A12_D_L2</t>
  </si>
  <si>
    <t>A12_Y_L2</t>
  </si>
  <si>
    <t>A12_Z_L2</t>
  </si>
  <si>
    <t>A12_X_L2</t>
  </si>
  <si>
    <t>P_A1_L2</t>
  </si>
  <si>
    <t>P_A2_L2</t>
  </si>
  <si>
    <t>P_A3_L2</t>
  </si>
  <si>
    <t>P_A4_L2</t>
  </si>
  <si>
    <t>P_A5_L2</t>
  </si>
  <si>
    <t>P_A6_L2</t>
  </si>
  <si>
    <t>P_A7_L2</t>
  </si>
  <si>
    <t>P_A8_L2</t>
  </si>
  <si>
    <t>P_A9_L2</t>
  </si>
  <si>
    <t>P_A10_L2</t>
  </si>
  <si>
    <t>P_A11_L2</t>
  </si>
  <si>
    <t>P_A12_L2</t>
  </si>
  <si>
    <t>A1_A_L3</t>
  </si>
  <si>
    <t>A1_B_L3</t>
  </si>
  <si>
    <t>A1_C_L3</t>
  </si>
  <si>
    <t>A1_D_L3</t>
  </si>
  <si>
    <t>A1_Y_L3</t>
  </si>
  <si>
    <t>A1_Z_L3</t>
  </si>
  <si>
    <t>A1_X_L3</t>
  </si>
  <si>
    <t>A2_A_L3</t>
  </si>
  <si>
    <t>A2_B_L3</t>
  </si>
  <si>
    <t>A2_C_L3</t>
  </si>
  <si>
    <t>A2_D_L3</t>
  </si>
  <si>
    <t>A2_Y_L3</t>
  </si>
  <si>
    <t>A2_Z_L3</t>
  </si>
  <si>
    <t>A2_X_L3</t>
  </si>
  <si>
    <t>A3_A_L3</t>
  </si>
  <si>
    <t>A3_B_L3</t>
  </si>
  <si>
    <t>A3_C_L3</t>
  </si>
  <si>
    <t>A3_D_L3</t>
  </si>
  <si>
    <t>A3_Y_L3</t>
  </si>
  <si>
    <t>A3_Z_L3</t>
  </si>
  <si>
    <t>A3_X_L3</t>
  </si>
  <si>
    <t>A4_A_L3</t>
  </si>
  <si>
    <t>A4_B_L3</t>
  </si>
  <si>
    <t>A4_C_L3</t>
  </si>
  <si>
    <t>A4_D_L3</t>
  </si>
  <si>
    <t>A4_Y_L3</t>
  </si>
  <si>
    <t>A4_Z_L3</t>
  </si>
  <si>
    <t>A4_X_L3</t>
  </si>
  <si>
    <t>A5_A_L3</t>
  </si>
  <si>
    <t>A5_B_L3</t>
  </si>
  <si>
    <t>A5_C_L3</t>
  </si>
  <si>
    <t>A5_D_L3</t>
  </si>
  <si>
    <t>A5_Y_L3</t>
  </si>
  <si>
    <t>A5_Z_L3</t>
  </si>
  <si>
    <t>A5_X_L3</t>
  </si>
  <si>
    <t>A6_A_L3</t>
  </si>
  <si>
    <t>A6_B_L3</t>
  </si>
  <si>
    <t>A6_C_L3</t>
  </si>
  <si>
    <t>A6_D_L3</t>
  </si>
  <si>
    <t>A6_Y_L3</t>
  </si>
  <si>
    <t>A6_Z_L3</t>
  </si>
  <si>
    <t>A6_X_L3</t>
  </si>
  <si>
    <t>A7_A_L3</t>
  </si>
  <si>
    <t>A7_B_L3</t>
  </si>
  <si>
    <t>A7_C_L3</t>
  </si>
  <si>
    <t>A7_D_L3</t>
  </si>
  <si>
    <t>A7_Y_L3</t>
  </si>
  <si>
    <t>A7_Z_L3</t>
  </si>
  <si>
    <t>A7_X_L3</t>
  </si>
  <si>
    <t>A8_A_L3</t>
  </si>
  <si>
    <t>A8_B_L3</t>
  </si>
  <si>
    <t>A8_C_L3</t>
  </si>
  <si>
    <t>A8_D_L3</t>
  </si>
  <si>
    <t>A8_Y_L3</t>
  </si>
  <si>
    <t>A8_Z_L3</t>
  </si>
  <si>
    <t>A8_X_L3</t>
  </si>
  <si>
    <t>A9_A_L3</t>
  </si>
  <si>
    <t>A9_B_L3</t>
  </si>
  <si>
    <t>A9_C_L3</t>
  </si>
  <si>
    <t>A9_D_L3</t>
  </si>
  <si>
    <t>A9_Y_L3</t>
  </si>
  <si>
    <t>A9_Z_L3</t>
  </si>
  <si>
    <t>A9_X_L3</t>
  </si>
  <si>
    <t>A10_A_L3</t>
  </si>
  <si>
    <t>A10_B_L3</t>
  </si>
  <si>
    <t>A10_C_L3</t>
  </si>
  <si>
    <t>A10_D_L3</t>
  </si>
  <si>
    <t>A10_Y_L3</t>
  </si>
  <si>
    <t>A10_Z_L3</t>
  </si>
  <si>
    <t>A10_X_L3</t>
  </si>
  <si>
    <t>A11_A_L3</t>
  </si>
  <si>
    <t>A11_B_L3</t>
  </si>
  <si>
    <t>A11_C_L3</t>
  </si>
  <si>
    <t>A11_D_L3</t>
  </si>
  <si>
    <t>A11_Y_L3</t>
  </si>
  <si>
    <t>A11_Z_L3</t>
  </si>
  <si>
    <t>A11_X_L3</t>
  </si>
  <si>
    <t>A12_A_L3</t>
  </si>
  <si>
    <t>A12_B_L3</t>
  </si>
  <si>
    <t>A12_C_L3</t>
  </si>
  <si>
    <t>A12_D_L3</t>
  </si>
  <si>
    <t>A12_Y_L3</t>
  </si>
  <si>
    <t>A12_Z_L3</t>
  </si>
  <si>
    <t>A12_X_L3</t>
  </si>
  <si>
    <t>P_A1_L3</t>
  </si>
  <si>
    <t>P_A2_L3</t>
  </si>
  <si>
    <t>P_A3_L3</t>
  </si>
  <si>
    <t>P_A4_L3</t>
  </si>
  <si>
    <t>P_A5_L3</t>
  </si>
  <si>
    <t>P_A6_L3</t>
  </si>
  <si>
    <t>P_A7_L3</t>
  </si>
  <si>
    <t>P_A8_L3</t>
  </si>
  <si>
    <t>P_A9_L3</t>
  </si>
  <si>
    <t>P_A10_L3</t>
  </si>
  <si>
    <t>P_A11_L3</t>
  </si>
  <si>
    <t>P_A12_L3</t>
  </si>
  <si>
    <t>A1_A_L4</t>
  </si>
  <si>
    <t>A1_B_L4</t>
  </si>
  <si>
    <t>A1_C_L4</t>
  </si>
  <si>
    <t>A1_D_L4</t>
  </si>
  <si>
    <t>A1_Y_L4</t>
  </si>
  <si>
    <t>A1_Z_L4</t>
  </si>
  <si>
    <t>A1_X_L4</t>
  </si>
  <si>
    <t>A2_A_L4</t>
  </si>
  <si>
    <t>A2_B_L4</t>
  </si>
  <si>
    <t>A2_C_L4</t>
  </si>
  <si>
    <t>A2_D_L4</t>
  </si>
  <si>
    <t>A2_Y_L4</t>
  </si>
  <si>
    <t>A2_Z_L4</t>
  </si>
  <si>
    <t>A2_X_L4</t>
  </si>
  <si>
    <t>A3_A_L4</t>
  </si>
  <si>
    <t>A3_B_L4</t>
  </si>
  <si>
    <t>A3_C_L4</t>
  </si>
  <si>
    <t>A3_D_L4</t>
  </si>
  <si>
    <t>A3_Y_L4</t>
  </si>
  <si>
    <t>A3_Z_L4</t>
  </si>
  <si>
    <t>A3_X_L4</t>
  </si>
  <si>
    <t>A4_A_L4</t>
  </si>
  <si>
    <t>A4_B_L4</t>
  </si>
  <si>
    <t>A4_C_L4</t>
  </si>
  <si>
    <t>A4_D_L4</t>
  </si>
  <si>
    <t>A4_Y_L4</t>
  </si>
  <si>
    <t>A4_Z_L4</t>
  </si>
  <si>
    <t>A4_X_L4</t>
  </si>
  <si>
    <t>A5_A_L4</t>
  </si>
  <si>
    <t>A5_B_L4</t>
  </si>
  <si>
    <t>A5_C_L4</t>
  </si>
  <si>
    <t>A5_D_L4</t>
  </si>
  <si>
    <t>A5_Y_L4</t>
  </si>
  <si>
    <t>A5_Z_L4</t>
  </si>
  <si>
    <t>A5_X_L4</t>
  </si>
  <si>
    <t>A6_A_L4</t>
  </si>
  <si>
    <t>A6_B_L4</t>
  </si>
  <si>
    <t>A6_C_L4</t>
  </si>
  <si>
    <t>A6_D_L4</t>
  </si>
  <si>
    <t>A6_Y_L4</t>
  </si>
  <si>
    <t>A6_Z_L4</t>
  </si>
  <si>
    <t>A6_X_L4</t>
  </si>
  <si>
    <t>A7_A_L4</t>
  </si>
  <si>
    <t>A7_B_L4</t>
  </si>
  <si>
    <t>A7_C_L4</t>
  </si>
  <si>
    <t>A7_D_L4</t>
  </si>
  <si>
    <t>A7_Y_L4</t>
  </si>
  <si>
    <t>A7_Z_L4</t>
  </si>
  <si>
    <t>A7_X_L4</t>
  </si>
  <si>
    <t>A8_A_L4</t>
  </si>
  <si>
    <t>A8_B_L4</t>
  </si>
  <si>
    <t>A8_C_L4</t>
  </si>
  <si>
    <t>A8_D_L4</t>
  </si>
  <si>
    <t>A8_Y_L4</t>
  </si>
  <si>
    <t>A8_Z_L4</t>
  </si>
  <si>
    <t>A8_X_L4</t>
  </si>
  <si>
    <t>A9_A_L4</t>
  </si>
  <si>
    <t>A9_B_L4</t>
  </si>
  <si>
    <t>A9_C_L4</t>
  </si>
  <si>
    <t>A9_D_L4</t>
  </si>
  <si>
    <t>A9_Y_L4</t>
  </si>
  <si>
    <t>A9_Z_L4</t>
  </si>
  <si>
    <t>A9_X_L4</t>
  </si>
  <si>
    <t>A10_A_L4</t>
  </si>
  <si>
    <t>A10_B_L4</t>
  </si>
  <si>
    <t>A10_C_L4</t>
  </si>
  <si>
    <t>A10_D_L4</t>
  </si>
  <si>
    <t>A10_Y_L4</t>
  </si>
  <si>
    <t>A10_Z_L4</t>
  </si>
  <si>
    <t>A10_X_L4</t>
  </si>
  <si>
    <t>A11_A_L4</t>
  </si>
  <si>
    <t>A11_B_L4</t>
  </si>
  <si>
    <t>A11_C_L4</t>
  </si>
  <si>
    <t>A11_D_L4</t>
  </si>
  <si>
    <t>A11_Y_L4</t>
  </si>
  <si>
    <t>A11_Z_L4</t>
  </si>
  <si>
    <t>A11_X_L4</t>
  </si>
  <si>
    <t>A12_A_L4</t>
  </si>
  <si>
    <t>A12_B_L4</t>
  </si>
  <si>
    <t>A12_C_L4</t>
  </si>
  <si>
    <t>A12_D_L4</t>
  </si>
  <si>
    <t>A12_Y_L4</t>
  </si>
  <si>
    <t>A12_Z_L4</t>
  </si>
  <si>
    <t>A12_X_L4</t>
  </si>
  <si>
    <t>P_A1_L4</t>
  </si>
  <si>
    <t>P_A2_L4</t>
  </si>
  <si>
    <t>P_A3_L4</t>
  </si>
  <si>
    <t>P_A4_L4</t>
  </si>
  <si>
    <t>P_A5_L4</t>
  </si>
  <si>
    <t>P_A6_L4</t>
  </si>
  <si>
    <t>P_A7_L4</t>
  </si>
  <si>
    <t>P_A8_L4</t>
  </si>
  <si>
    <t>P_A9_L4</t>
  </si>
  <si>
    <t>P_A10_L4</t>
  </si>
  <si>
    <t>P_A11_L4</t>
  </si>
  <si>
    <t>P_A12_L4</t>
  </si>
  <si>
    <t>A1_A_L5</t>
  </si>
  <si>
    <t>A1_B_L5</t>
  </si>
  <si>
    <t>A1_C_L5</t>
  </si>
  <si>
    <t>A1_D_L5</t>
  </si>
  <si>
    <t>A1_Y_L5</t>
  </si>
  <si>
    <t>A1_Z_L5</t>
  </si>
  <si>
    <t>A1_X_L5</t>
  </si>
  <si>
    <t>A2_A_L5</t>
  </si>
  <si>
    <t>A2_B_L5</t>
  </si>
  <si>
    <t>A2_C_L5</t>
  </si>
  <si>
    <t>A2_D_L5</t>
  </si>
  <si>
    <t>A2_Y_L5</t>
  </si>
  <si>
    <t>A2_Z_L5</t>
  </si>
  <si>
    <t>A2_X_L5</t>
  </si>
  <si>
    <t>A3_A_L5</t>
  </si>
  <si>
    <t>A3_B_L5</t>
  </si>
  <si>
    <t>A3_C_L5</t>
  </si>
  <si>
    <t>A3_D_L5</t>
  </si>
  <si>
    <t>A3_Y_L5</t>
  </si>
  <si>
    <t>A3_Z_L5</t>
  </si>
  <si>
    <t>A3_X_L5</t>
  </si>
  <si>
    <t>A4_A_L5</t>
  </si>
  <si>
    <t>A4_B_L5</t>
  </si>
  <si>
    <t>A4_C_L5</t>
  </si>
  <si>
    <t>A4_D_L5</t>
  </si>
  <si>
    <t>A4_Y_L5</t>
  </si>
  <si>
    <t>A4_Z_L5</t>
  </si>
  <si>
    <t>A4_X_L5</t>
  </si>
  <si>
    <t>A5_A_L5</t>
  </si>
  <si>
    <t>A5_B_L5</t>
  </si>
  <si>
    <t>A5_C_L5</t>
  </si>
  <si>
    <t>A5_D_L5</t>
  </si>
  <si>
    <t>A5_Y_L5</t>
  </si>
  <si>
    <t>A5_Z_L5</t>
  </si>
  <si>
    <t>A5_X_L5</t>
  </si>
  <si>
    <t>A6_A_L5</t>
  </si>
  <si>
    <t>A6_B_L5</t>
  </si>
  <si>
    <t>A6_C_L5</t>
  </si>
  <si>
    <t>A6_D_L5</t>
  </si>
  <si>
    <t>A6_Y_L5</t>
  </si>
  <si>
    <t>A6_Z_L5</t>
  </si>
  <si>
    <t>A6_X_L5</t>
  </si>
  <si>
    <t>A7_A_L5</t>
  </si>
  <si>
    <t>A7_B_L5</t>
  </si>
  <si>
    <t>A7_C_L5</t>
  </si>
  <si>
    <t>A7_D_L5</t>
  </si>
  <si>
    <t>A7_Y_L5</t>
  </si>
  <si>
    <t>A7_Z_L5</t>
  </si>
  <si>
    <t>A7_X_L5</t>
  </si>
  <si>
    <t>A8_A_L5</t>
  </si>
  <si>
    <t>A8_B_L5</t>
  </si>
  <si>
    <t>A8_C_L5</t>
  </si>
  <si>
    <t>A8_D_L5</t>
  </si>
  <si>
    <t>A8_Y_L5</t>
  </si>
  <si>
    <t>A8_Z_L5</t>
  </si>
  <si>
    <t>A8_X_L5</t>
  </si>
  <si>
    <t>A9_A_L5</t>
  </si>
  <si>
    <t>A9_B_L5</t>
  </si>
  <si>
    <t>A9_C_L5</t>
  </si>
  <si>
    <t>A9_D_L5</t>
  </si>
  <si>
    <t>A9_Y_L5</t>
  </si>
  <si>
    <t>A9_Z_L5</t>
  </si>
  <si>
    <t>A9_X_L5</t>
  </si>
  <si>
    <t>A10_A_L5</t>
  </si>
  <si>
    <t>A10_B_L5</t>
  </si>
  <si>
    <t>A10_C_L5</t>
  </si>
  <si>
    <t>A10_D_L5</t>
  </si>
  <si>
    <t>A10_Y_L5</t>
  </si>
  <si>
    <t>A10_Z_L5</t>
  </si>
  <si>
    <t>A10_X_L5</t>
  </si>
  <si>
    <t>A11_A_L5</t>
  </si>
  <si>
    <t>A11_B_L5</t>
  </si>
  <si>
    <t>A11_C_L5</t>
  </si>
  <si>
    <t>A11_D_L5</t>
  </si>
  <si>
    <t>A11_Y_L5</t>
  </si>
  <si>
    <t>A11_Z_L5</t>
  </si>
  <si>
    <t>A11_X_L5</t>
  </si>
  <si>
    <t>A12_A_L5</t>
  </si>
  <si>
    <t>A12_B_L5</t>
  </si>
  <si>
    <t>A12_C_L5</t>
  </si>
  <si>
    <t>A12_D_L5</t>
  </si>
  <si>
    <t>A12_Y_L5</t>
  </si>
  <si>
    <t>A12_Z_L5</t>
  </si>
  <si>
    <t>A12_X_L5</t>
  </si>
  <si>
    <t>P_A1_L5</t>
  </si>
  <si>
    <t>P_A2_L5</t>
  </si>
  <si>
    <t>P_A3_L5</t>
  </si>
  <si>
    <t>P_A4_L5</t>
  </si>
  <si>
    <t>P_A5_L5</t>
  </si>
  <si>
    <t>P_A6_L5</t>
  </si>
  <si>
    <t>P_A7_L5</t>
  </si>
  <si>
    <t>P_A8_L5</t>
  </si>
  <si>
    <t>P_A9_L5</t>
  </si>
  <si>
    <t>P_A10_L5</t>
  </si>
  <si>
    <t>P_A11_L5</t>
  </si>
  <si>
    <t>P_A12_L5</t>
  </si>
  <si>
    <t>A1_A_L6</t>
  </si>
  <si>
    <t>A1_B_L6</t>
  </si>
  <si>
    <t>A1_C_L6</t>
  </si>
  <si>
    <t>A1_D_L6</t>
  </si>
  <si>
    <t>A1_Y_L6</t>
  </si>
  <si>
    <t>A1_Z_L6</t>
  </si>
  <si>
    <t>A1_X_L6</t>
  </si>
  <si>
    <t>A2_A_L6</t>
  </si>
  <si>
    <t>A2_B_L6</t>
  </si>
  <si>
    <t>A2_C_L6</t>
  </si>
  <si>
    <t>A2_D_L6</t>
  </si>
  <si>
    <t>A2_Y_L6</t>
  </si>
  <si>
    <t>A2_Z_L6</t>
  </si>
  <si>
    <t>A2_X_L6</t>
  </si>
  <si>
    <t>A3_A_L6</t>
  </si>
  <si>
    <t>A3_B_L6</t>
  </si>
  <si>
    <t>A3_C_L6</t>
  </si>
  <si>
    <t>A3_D_L6</t>
  </si>
  <si>
    <t>A3_Y_L6</t>
  </si>
  <si>
    <t>A3_Z_L6</t>
  </si>
  <si>
    <t>A3_X_L6</t>
  </si>
  <si>
    <t>A4_A_L6</t>
  </si>
  <si>
    <t>A4_B_L6</t>
  </si>
  <si>
    <t>A4_C_L6</t>
  </si>
  <si>
    <t>A4_D_L6</t>
  </si>
  <si>
    <t>A4_Y_L6</t>
  </si>
  <si>
    <t>A4_Z_L6</t>
  </si>
  <si>
    <t>A4_X_L6</t>
  </si>
  <si>
    <t>A5_A_L6</t>
  </si>
  <si>
    <t>A5_B_L6</t>
  </si>
  <si>
    <t>A5_C_L6</t>
  </si>
  <si>
    <t>A5_D_L6</t>
  </si>
  <si>
    <t>A5_Y_L6</t>
  </si>
  <si>
    <t>A5_Z_L6</t>
  </si>
  <si>
    <t>A5_X_L6</t>
  </si>
  <si>
    <t>A6_A_L6</t>
  </si>
  <si>
    <t>A6_B_L6</t>
  </si>
  <si>
    <t>A6_C_L6</t>
  </si>
  <si>
    <t>A6_D_L6</t>
  </si>
  <si>
    <t>A6_Y_L6</t>
  </si>
  <si>
    <t>A6_Z_L6</t>
  </si>
  <si>
    <t>A6_X_L6</t>
  </si>
  <si>
    <t>A7_A_L6</t>
  </si>
  <si>
    <t>A7_B_L6</t>
  </si>
  <si>
    <t>A7_C_L6</t>
  </si>
  <si>
    <t>A7_D_L6</t>
  </si>
  <si>
    <t>A7_Y_L6</t>
  </si>
  <si>
    <t>A7_Z_L6</t>
  </si>
  <si>
    <t>A7_X_L6</t>
  </si>
  <si>
    <t>A8_A_L6</t>
  </si>
  <si>
    <t>A8_B_L6</t>
  </si>
  <si>
    <t>A8_C_L6</t>
  </si>
  <si>
    <t>A8_D_L6</t>
  </si>
  <si>
    <t>A8_Y_L6</t>
  </si>
  <si>
    <t>A8_Z_L6</t>
  </si>
  <si>
    <t>A8_X_L6</t>
  </si>
  <si>
    <t>A9_A_L6</t>
  </si>
  <si>
    <t>A9_B_L6</t>
  </si>
  <si>
    <t>A9_C_L6</t>
  </si>
  <si>
    <t>A9_D_L6</t>
  </si>
  <si>
    <t>A9_Y_L6</t>
  </si>
  <si>
    <t>A9_Z_L6</t>
  </si>
  <si>
    <t>A9_X_L6</t>
  </si>
  <si>
    <t>A10_A_L6</t>
  </si>
  <si>
    <t>A10_B_L6</t>
  </si>
  <si>
    <t>A10_C_L6</t>
  </si>
  <si>
    <t>A10_D_L6</t>
  </si>
  <si>
    <t>A10_Y_L6</t>
  </si>
  <si>
    <t>A10_Z_L6</t>
  </si>
  <si>
    <t>A10_X_L6</t>
  </si>
  <si>
    <t>A11_A_L6</t>
  </si>
  <si>
    <t>A11_B_L6</t>
  </si>
  <si>
    <t>A11_C_L6</t>
  </si>
  <si>
    <t>A11_D_L6</t>
  </si>
  <si>
    <t>A11_Y_L6</t>
  </si>
  <si>
    <t>A11_Z_L6</t>
  </si>
  <si>
    <t>A11_X_L6</t>
  </si>
  <si>
    <t>A12_A_L6</t>
  </si>
  <si>
    <t>A12_B_L6</t>
  </si>
  <si>
    <t>A12_C_L6</t>
  </si>
  <si>
    <t>A12_D_L6</t>
  </si>
  <si>
    <t>A12_Y_L6</t>
  </si>
  <si>
    <t>A12_Z_L6</t>
  </si>
  <si>
    <t>A12_X_L6</t>
  </si>
  <si>
    <t>P_A1_L6</t>
  </si>
  <si>
    <t>P_A2_L6</t>
  </si>
  <si>
    <t>P_A3_L6</t>
  </si>
  <si>
    <t>P_A4_L6</t>
  </si>
  <si>
    <t>P_A5_L6</t>
  </si>
  <si>
    <t>P_A6_L6</t>
  </si>
  <si>
    <t>P_A7_L6</t>
  </si>
  <si>
    <t>P_A8_L6</t>
  </si>
  <si>
    <t>P_A9_L6</t>
  </si>
  <si>
    <t>P_A10_L6</t>
  </si>
  <si>
    <t>P_A11_L6</t>
  </si>
  <si>
    <t>P_A12_L6</t>
  </si>
  <si>
    <t>A1_A_L7</t>
  </si>
  <si>
    <t>A1_B_L7</t>
  </si>
  <si>
    <t>A1_C_L7</t>
  </si>
  <si>
    <t>A1_D_L7</t>
  </si>
  <si>
    <t>A1_Y_L7</t>
  </si>
  <si>
    <t>A1_Z_L7</t>
  </si>
  <si>
    <t>A1_X_L7</t>
  </si>
  <si>
    <t>A2_A_L7</t>
  </si>
  <si>
    <t>A2_B_L7</t>
  </si>
  <si>
    <t>A2_C_L7</t>
  </si>
  <si>
    <t>A2_D_L7</t>
  </si>
  <si>
    <t>A2_Y_L7</t>
  </si>
  <si>
    <t>A2_Z_L7</t>
  </si>
  <si>
    <t>A2_X_L7</t>
  </si>
  <si>
    <t>A3_A_L7</t>
  </si>
  <si>
    <t>A3_B_L7</t>
  </si>
  <si>
    <t>A3_C_L7</t>
  </si>
  <si>
    <t>A3_D_L7</t>
  </si>
  <si>
    <t>A3_Y_L7</t>
  </si>
  <si>
    <t>A3_Z_L7</t>
  </si>
  <si>
    <t>A3_X_L7</t>
  </si>
  <si>
    <t>A4_A_L7</t>
  </si>
  <si>
    <t>A4_B_L7</t>
  </si>
  <si>
    <t>A4_C_L7</t>
  </si>
  <si>
    <t>A4_D_L7</t>
  </si>
  <si>
    <t>A4_Y_L7</t>
  </si>
  <si>
    <t>A4_Z_L7</t>
  </si>
  <si>
    <t>A4_X_L7</t>
  </si>
  <si>
    <t>A5_A_L7</t>
  </si>
  <si>
    <t>A5_B_L7</t>
  </si>
  <si>
    <t>A5_C_L7</t>
  </si>
  <si>
    <t>A5_D_L7</t>
  </si>
  <si>
    <t>A5_Y_L7</t>
  </si>
  <si>
    <t>A5_Z_L7</t>
  </si>
  <si>
    <t>A5_X_L7</t>
  </si>
  <si>
    <t>A6_A_L7</t>
  </si>
  <si>
    <t>A6_B_L7</t>
  </si>
  <si>
    <t>A6_C_L7</t>
  </si>
  <si>
    <t>A6_D_L7</t>
  </si>
  <si>
    <t>A6_Y_L7</t>
  </si>
  <si>
    <t>A6_Z_L7</t>
  </si>
  <si>
    <t>A6_X_L7</t>
  </si>
  <si>
    <t>A7_A_L7</t>
  </si>
  <si>
    <t>A7_B_L7</t>
  </si>
  <si>
    <t>A7_C_L7</t>
  </si>
  <si>
    <t>A7_D_L7</t>
  </si>
  <si>
    <t>A7_Y_L7</t>
  </si>
  <si>
    <t>A7_Z_L7</t>
  </si>
  <si>
    <t>A7_X_L7</t>
  </si>
  <si>
    <t>A8_A_L7</t>
  </si>
  <si>
    <t>A8_B_L7</t>
  </si>
  <si>
    <t>A8_C_L7</t>
  </si>
  <si>
    <t>A8_D_L7</t>
  </si>
  <si>
    <t>A8_Y_L7</t>
  </si>
  <si>
    <t>A8_Z_L7</t>
  </si>
  <si>
    <t>A8_X_L7</t>
  </si>
  <si>
    <t>A9_A_L7</t>
  </si>
  <si>
    <t>A9_B_L7</t>
  </si>
  <si>
    <t>A9_C_L7</t>
  </si>
  <si>
    <t>A9_D_L7</t>
  </si>
  <si>
    <t>A9_Y_L7</t>
  </si>
  <si>
    <t>A9_Z_L7</t>
  </si>
  <si>
    <t>A9_X_L7</t>
  </si>
  <si>
    <t>A10_A_L7</t>
  </si>
  <si>
    <t>A10_B_L7</t>
  </si>
  <si>
    <t>A10_C_L7</t>
  </si>
  <si>
    <t>A10_D_L7</t>
  </si>
  <si>
    <t>A10_Y_L7</t>
  </si>
  <si>
    <t>A10_Z_L7</t>
  </si>
  <si>
    <t>A10_X_L7</t>
  </si>
  <si>
    <t>A11_A_L7</t>
  </si>
  <si>
    <t>A11_B_L7</t>
  </si>
  <si>
    <t>A11_C_L7</t>
  </si>
  <si>
    <t>A11_D_L7</t>
  </si>
  <si>
    <t>A11_Y_L7</t>
  </si>
  <si>
    <t>A11_Z_L7</t>
  </si>
  <si>
    <t>A11_X_L7</t>
  </si>
  <si>
    <t>A12_A_L7</t>
  </si>
  <si>
    <t>A12_B_L7</t>
  </si>
  <si>
    <t>A12_C_L7</t>
  </si>
  <si>
    <t>A12_D_L7</t>
  </si>
  <si>
    <t>A12_Y_L7</t>
  </si>
  <si>
    <t>A12_Z_L7</t>
  </si>
  <si>
    <t>A12_X_L7</t>
  </si>
  <si>
    <t>P_A1_L7</t>
  </si>
  <si>
    <t>P_A2_L7</t>
  </si>
  <si>
    <t>P_A3_L7</t>
  </si>
  <si>
    <t>P_A4_L7</t>
  </si>
  <si>
    <t>P_A5_L7</t>
  </si>
  <si>
    <t>P_A6_L7</t>
  </si>
  <si>
    <t>P_A7_L7</t>
  </si>
  <si>
    <t>P_A8_L7</t>
  </si>
  <si>
    <t>P_A9_L7</t>
  </si>
  <si>
    <t>P_A10_L7</t>
  </si>
  <si>
    <t>P_A11_L7</t>
  </si>
  <si>
    <t>P_A12_L7</t>
  </si>
  <si>
    <t>A1_A_L8</t>
  </si>
  <si>
    <t>A1_B_L8</t>
  </si>
  <si>
    <t>A1_C_L8</t>
  </si>
  <si>
    <t>A1_D_L8</t>
  </si>
  <si>
    <t>A1_Y_L8</t>
  </si>
  <si>
    <t>A1_Z_L8</t>
  </si>
  <si>
    <t>A1_X_L8</t>
  </si>
  <si>
    <t>A2_A_L8</t>
  </si>
  <si>
    <t>A2_B_L8</t>
  </si>
  <si>
    <t>A2_C_L8</t>
  </si>
  <si>
    <t>A2_D_L8</t>
  </si>
  <si>
    <t>A2_Y_L8</t>
  </si>
  <si>
    <t>A2_Z_L8</t>
  </si>
  <si>
    <t>A2_X_L8</t>
  </si>
  <si>
    <t>A3_A_L8</t>
  </si>
  <si>
    <t>A3_B_L8</t>
  </si>
  <si>
    <t>A3_C_L8</t>
  </si>
  <si>
    <t>A3_D_L8</t>
  </si>
  <si>
    <t>A3_Y_L8</t>
  </si>
  <si>
    <t>A3_Z_L8</t>
  </si>
  <si>
    <t>A3_X_L8</t>
  </si>
  <si>
    <t>A4_A_L8</t>
  </si>
  <si>
    <t>A4_B_L8</t>
  </si>
  <si>
    <t>A4_C_L8</t>
  </si>
  <si>
    <t>A4_D_L8</t>
  </si>
  <si>
    <t>A4_Y_L8</t>
  </si>
  <si>
    <t>A4_Z_L8</t>
  </si>
  <si>
    <t>A4_X_L8</t>
  </si>
  <si>
    <t>A5_A_L8</t>
  </si>
  <si>
    <t>A5_B_L8</t>
  </si>
  <si>
    <t>A5_C_L8</t>
  </si>
  <si>
    <t>A5_D_L8</t>
  </si>
  <si>
    <t>A5_Y_L8</t>
  </si>
  <si>
    <t>A5_Z_L8</t>
  </si>
  <si>
    <t>A5_X_L8</t>
  </si>
  <si>
    <t>A6_A_L8</t>
  </si>
  <si>
    <t>A6_B_L8</t>
  </si>
  <si>
    <t>A6_C_L8</t>
  </si>
  <si>
    <t>A6_D_L8</t>
  </si>
  <si>
    <t>A6_Y_L8</t>
  </si>
  <si>
    <t>A6_Z_L8</t>
  </si>
  <si>
    <t>A6_X_L8</t>
  </si>
  <si>
    <t>A7_A_L8</t>
  </si>
  <si>
    <t>A7_B_L8</t>
  </si>
  <si>
    <t>A7_C_L8</t>
  </si>
  <si>
    <t>A7_D_L8</t>
  </si>
  <si>
    <t>A7_Y_L8</t>
  </si>
  <si>
    <t>A7_Z_L8</t>
  </si>
  <si>
    <t>A7_X_L8</t>
  </si>
  <si>
    <t>A8_A_L8</t>
  </si>
  <si>
    <t>A8_B_L8</t>
  </si>
  <si>
    <t>A8_C_L8</t>
  </si>
  <si>
    <t>A8_D_L8</t>
  </si>
  <si>
    <t>A8_Y_L8</t>
  </si>
  <si>
    <t>A8_Z_L8</t>
  </si>
  <si>
    <t>A8_X_L8</t>
  </si>
  <si>
    <t>A9_A_L8</t>
  </si>
  <si>
    <t>A9_B_L8</t>
  </si>
  <si>
    <t>A9_C_L8</t>
  </si>
  <si>
    <t>A9_D_L8</t>
  </si>
  <si>
    <t>A9_Y_L8</t>
  </si>
  <si>
    <t>A9_Z_L8</t>
  </si>
  <si>
    <t>A9_X_L8</t>
  </si>
  <si>
    <t>A10_A_L8</t>
  </si>
  <si>
    <t>A10_B_L8</t>
  </si>
  <si>
    <t>A10_C_L8</t>
  </si>
  <si>
    <t>A10_D_L8</t>
  </si>
  <si>
    <t>A10_Y_L8</t>
  </si>
  <si>
    <t>A10_Z_L8</t>
  </si>
  <si>
    <t>A10_X_L8</t>
  </si>
  <si>
    <t>A11_A_L8</t>
  </si>
  <si>
    <t>A11_B_L8</t>
  </si>
  <si>
    <t>A11_C_L8</t>
  </si>
  <si>
    <t>A11_D_L8</t>
  </si>
  <si>
    <t>A11_Y_L8</t>
  </si>
  <si>
    <t>A11_Z_L8</t>
  </si>
  <si>
    <t>A11_X_L8</t>
  </si>
  <si>
    <t>A12_A_L8</t>
  </si>
  <si>
    <t>A12_B_L8</t>
  </si>
  <si>
    <t>A12_C_L8</t>
  </si>
  <si>
    <t>A12_D_L8</t>
  </si>
  <si>
    <t>A12_Y_L8</t>
  </si>
  <si>
    <t>A12_Z_L8</t>
  </si>
  <si>
    <t>A12_X_L8</t>
  </si>
  <si>
    <t>P_A1_L8</t>
  </si>
  <si>
    <t>P_A2_L8</t>
  </si>
  <si>
    <t>P_A3_L8</t>
  </si>
  <si>
    <t>P_A4_L8</t>
  </si>
  <si>
    <t>P_A5_L8</t>
  </si>
  <si>
    <t>P_A6_L8</t>
  </si>
  <si>
    <t>P_A7_L8</t>
  </si>
  <si>
    <t>P_A8_L8</t>
  </si>
  <si>
    <t>P_A9_L8</t>
  </si>
  <si>
    <t>P_A10_L8</t>
  </si>
  <si>
    <t>P_A11_L8</t>
  </si>
  <si>
    <t>P_A12_L8</t>
  </si>
  <si>
    <t>A1_A_L9</t>
  </si>
  <si>
    <t>A1_B_L9</t>
  </si>
  <si>
    <t>A1_C_L9</t>
  </si>
  <si>
    <t>A1_D_L9</t>
  </si>
  <si>
    <t>A1_Y_L9</t>
  </si>
  <si>
    <t>A1_Z_L9</t>
  </si>
  <si>
    <t>A1_X_L9</t>
  </si>
  <si>
    <t>A2_A_L9</t>
  </si>
  <si>
    <t>A2_B_L9</t>
  </si>
  <si>
    <t>A2_C_L9</t>
  </si>
  <si>
    <t>A2_D_L9</t>
  </si>
  <si>
    <t>A2_Y_L9</t>
  </si>
  <si>
    <t>A2_Z_L9</t>
  </si>
  <si>
    <t>A2_X_L9</t>
  </si>
  <si>
    <t>A3_A_L9</t>
  </si>
  <si>
    <t>A3_B_L9</t>
  </si>
  <si>
    <t>A3_C_L9</t>
  </si>
  <si>
    <t>A3_D_L9</t>
  </si>
  <si>
    <t>A3_Y_L9</t>
  </si>
  <si>
    <t>A3_Z_L9</t>
  </si>
  <si>
    <t>A3_X_L9</t>
  </si>
  <si>
    <t>A4_A_L9</t>
  </si>
  <si>
    <t>A4_B_L9</t>
  </si>
  <si>
    <t>A4_C_L9</t>
  </si>
  <si>
    <t>A4_D_L9</t>
  </si>
  <si>
    <t>A4_Y_L9</t>
  </si>
  <si>
    <t>A4_Z_L9</t>
  </si>
  <si>
    <t>A4_X_L9</t>
  </si>
  <si>
    <t>A5_A_L9</t>
  </si>
  <si>
    <t>A5_B_L9</t>
  </si>
  <si>
    <t>A5_C_L9</t>
  </si>
  <si>
    <t>A5_D_L9</t>
  </si>
  <si>
    <t>A5_Y_L9</t>
  </si>
  <si>
    <t>A5_Z_L9</t>
  </si>
  <si>
    <t>A5_X_L9</t>
  </si>
  <si>
    <t>A6_A_L9</t>
  </si>
  <si>
    <t>A6_B_L9</t>
  </si>
  <si>
    <t>A6_C_L9</t>
  </si>
  <si>
    <t>A6_D_L9</t>
  </si>
  <si>
    <t>A6_Y_L9</t>
  </si>
  <si>
    <t>A6_Z_L9</t>
  </si>
  <si>
    <t>A6_X_L9</t>
  </si>
  <si>
    <t>A7_A_L9</t>
  </si>
  <si>
    <t>A7_B_L9</t>
  </si>
  <si>
    <t>A7_C_L9</t>
  </si>
  <si>
    <t>A7_D_L9</t>
  </si>
  <si>
    <t>A7_Y_L9</t>
  </si>
  <si>
    <t>A7_Z_L9</t>
  </si>
  <si>
    <t>A7_X_L9</t>
  </si>
  <si>
    <t>A8_A_L9</t>
  </si>
  <si>
    <t>A8_B_L9</t>
  </si>
  <si>
    <t>A8_C_L9</t>
  </si>
  <si>
    <t>A8_D_L9</t>
  </si>
  <si>
    <t>A8_Y_L9</t>
  </si>
  <si>
    <t>A8_Z_L9</t>
  </si>
  <si>
    <t>A8_X_L9</t>
  </si>
  <si>
    <t>A9_A_L9</t>
  </si>
  <si>
    <t>A9_B_L9</t>
  </si>
  <si>
    <t>A9_C_L9</t>
  </si>
  <si>
    <t>A9_D_L9</t>
  </si>
  <si>
    <t>A9_Y_L9</t>
  </si>
  <si>
    <t>A9_Z_L9</t>
  </si>
  <si>
    <t>A9_X_L9</t>
  </si>
  <si>
    <t>A10_A_L9</t>
  </si>
  <si>
    <t>A10_B_L9</t>
  </si>
  <si>
    <t>A10_C_L9</t>
  </si>
  <si>
    <t>A10_D_L9</t>
  </si>
  <si>
    <t>A10_Y_L9</t>
  </si>
  <si>
    <t>A10_Z_L9</t>
  </si>
  <si>
    <t>A10_X_L9</t>
  </si>
  <si>
    <t>A11_A_L9</t>
  </si>
  <si>
    <t>A11_B_L9</t>
  </si>
  <si>
    <t>A11_C_L9</t>
  </si>
  <si>
    <t>A11_D_L9</t>
  </si>
  <si>
    <t>A11_Y_L9</t>
  </si>
  <si>
    <t>A11_Z_L9</t>
  </si>
  <si>
    <t>A11_X_L9</t>
  </si>
  <si>
    <t>A12_A_L9</t>
  </si>
  <si>
    <t>A12_B_L9</t>
  </si>
  <si>
    <t>A12_C_L9</t>
  </si>
  <si>
    <t>A12_D_L9</t>
  </si>
  <si>
    <t>A12_Y_L9</t>
  </si>
  <si>
    <t>A12_Z_L9</t>
  </si>
  <si>
    <t>A12_X_L9</t>
  </si>
  <si>
    <t>P_A1_L9</t>
  </si>
  <si>
    <t>P_A2_L9</t>
  </si>
  <si>
    <t>P_A3_L9</t>
  </si>
  <si>
    <t>P_A4_L9</t>
  </si>
  <si>
    <t>P_A5_L9</t>
  </si>
  <si>
    <t>P_A6_L9</t>
  </si>
  <si>
    <t>P_A7_L9</t>
  </si>
  <si>
    <t>P_A8_L9</t>
  </si>
  <si>
    <t>P_A9_L9</t>
  </si>
  <si>
    <t>P_A10_L9</t>
  </si>
  <si>
    <t>P_A11_L9</t>
  </si>
  <si>
    <t>P_A12_L9</t>
  </si>
  <si>
    <t>A1_A_L10</t>
  </si>
  <si>
    <t>A1_B_L10</t>
  </si>
  <si>
    <t>A1_C_L10</t>
  </si>
  <si>
    <t>A1_D_L10</t>
  </si>
  <si>
    <t>A1_Y_L10</t>
  </si>
  <si>
    <t>A1_Z_L10</t>
  </si>
  <si>
    <t>A1_X_L10</t>
  </si>
  <si>
    <t>A2_A_L10</t>
  </si>
  <si>
    <t>A2_B_L10</t>
  </si>
  <si>
    <t>A2_C_L10</t>
  </si>
  <si>
    <t>A2_D_L10</t>
  </si>
  <si>
    <t>A2_Y_L10</t>
  </si>
  <si>
    <t>A2_Z_L10</t>
  </si>
  <si>
    <t>A2_X_L10</t>
  </si>
  <si>
    <t>A3_A_L10</t>
  </si>
  <si>
    <t>A3_B_L10</t>
  </si>
  <si>
    <t>A3_C_L10</t>
  </si>
  <si>
    <t>A3_D_L10</t>
  </si>
  <si>
    <t>A3_Y_L10</t>
  </si>
  <si>
    <t>A3_Z_L10</t>
  </si>
  <si>
    <t>A3_X_L10</t>
  </si>
  <si>
    <t>A4_A_L10</t>
  </si>
  <si>
    <t>A4_B_L10</t>
  </si>
  <si>
    <t>A4_C_L10</t>
  </si>
  <si>
    <t>A4_D_L10</t>
  </si>
  <si>
    <t>A4_Y_L10</t>
  </si>
  <si>
    <t>A4_Z_L10</t>
  </si>
  <si>
    <t>A4_X_L10</t>
  </si>
  <si>
    <t>A5_A_L10</t>
  </si>
  <si>
    <t>A5_B_L10</t>
  </si>
  <si>
    <t>A5_C_L10</t>
  </si>
  <si>
    <t>A5_D_L10</t>
  </si>
  <si>
    <t>A5_Y_L10</t>
  </si>
  <si>
    <t>A5_Z_L10</t>
  </si>
  <si>
    <t>A5_X_L10</t>
  </si>
  <si>
    <t>A6_A_L10</t>
  </si>
  <si>
    <t>A6_B_L10</t>
  </si>
  <si>
    <t>A6_C_L10</t>
  </si>
  <si>
    <t>A6_D_L10</t>
  </si>
  <si>
    <t>A6_Y_L10</t>
  </si>
  <si>
    <t>A6_Z_L10</t>
  </si>
  <si>
    <t>A6_X_L10</t>
  </si>
  <si>
    <t>A7_A_L10</t>
  </si>
  <si>
    <t>A7_B_L10</t>
  </si>
  <si>
    <t>A7_C_L10</t>
  </si>
  <si>
    <t>A7_D_L10</t>
  </si>
  <si>
    <t>A7_Y_L10</t>
  </si>
  <si>
    <t>A7_Z_L10</t>
  </si>
  <si>
    <t>A7_X_L10</t>
  </si>
  <si>
    <t>A8_A_L10</t>
  </si>
  <si>
    <t>A8_B_L10</t>
  </si>
  <si>
    <t>A8_C_L10</t>
  </si>
  <si>
    <t>A8_D_L10</t>
  </si>
  <si>
    <t>A8_Y_L10</t>
  </si>
  <si>
    <t>A8_Z_L10</t>
  </si>
  <si>
    <t>A8_X_L10</t>
  </si>
  <si>
    <t>A9_A_L10</t>
  </si>
  <si>
    <t>A9_B_L10</t>
  </si>
  <si>
    <t>A9_C_L10</t>
  </si>
  <si>
    <t>A9_D_L10</t>
  </si>
  <si>
    <t>A9_Y_L10</t>
  </si>
  <si>
    <t>A9_Z_L10</t>
  </si>
  <si>
    <t>A9_X_L10</t>
  </si>
  <si>
    <t>A10_A_L10</t>
  </si>
  <si>
    <t>A10_B_L10</t>
  </si>
  <si>
    <t>A10_C_L10</t>
  </si>
  <si>
    <t>A10_D_L10</t>
  </si>
  <si>
    <t>A10_Y_L10</t>
  </si>
  <si>
    <t>A10_Z_L10</t>
  </si>
  <si>
    <t>A10_X_L10</t>
  </si>
  <si>
    <t>A11_A_L10</t>
  </si>
  <si>
    <t>A11_B_L10</t>
  </si>
  <si>
    <t>A11_C_L10</t>
  </si>
  <si>
    <t>A11_D_L10</t>
  </si>
  <si>
    <t>A11_Y_L10</t>
  </si>
  <si>
    <t>A11_Z_L10</t>
  </si>
  <si>
    <t>A11_X_L10</t>
  </si>
  <si>
    <t>A12_A_L10</t>
  </si>
  <si>
    <t>A12_B_L10</t>
  </si>
  <si>
    <t>A12_C_L10</t>
  </si>
  <si>
    <t>A12_D_L10</t>
  </si>
  <si>
    <t>A12_Y_L10</t>
  </si>
  <si>
    <t>A12_Z_L10</t>
  </si>
  <si>
    <t>A12_X_L10</t>
  </si>
  <si>
    <t>P_A1_L10</t>
  </si>
  <si>
    <t>P_A2_L10</t>
  </si>
  <si>
    <t>P_A3_L10</t>
  </si>
  <si>
    <t>P_A4_L10</t>
  </si>
  <si>
    <t>P_A5_L10</t>
  </si>
  <si>
    <t>P_A6_L10</t>
  </si>
  <si>
    <t>P_A7_L10</t>
  </si>
  <si>
    <t>P_A8_L10</t>
  </si>
  <si>
    <t>P_A9_L10</t>
  </si>
  <si>
    <t>P_A10_L10</t>
  </si>
  <si>
    <t>P_A11_L10</t>
  </si>
  <si>
    <t>P_A12_L10</t>
  </si>
  <si>
    <t>A1_A_L11</t>
  </si>
  <si>
    <t>A1_B_L11</t>
  </si>
  <si>
    <t>A1_C_L11</t>
  </si>
  <si>
    <t>A1_D_L11</t>
  </si>
  <si>
    <t>A1_Y_L11</t>
  </si>
  <si>
    <t>A1_Z_L11</t>
  </si>
  <si>
    <t>A1_X_L11</t>
  </si>
  <si>
    <t>A2_A_L11</t>
  </si>
  <si>
    <t>A2_B_L11</t>
  </si>
  <si>
    <t>A2_C_L11</t>
  </si>
  <si>
    <t>A2_D_L11</t>
  </si>
  <si>
    <t>A2_Y_L11</t>
  </si>
  <si>
    <t>A2_Z_L11</t>
  </si>
  <si>
    <t>A2_X_L11</t>
  </si>
  <si>
    <t>A3_A_L11</t>
  </si>
  <si>
    <t>A3_B_L11</t>
  </si>
  <si>
    <t>A3_C_L11</t>
  </si>
  <si>
    <t>A3_D_L11</t>
  </si>
  <si>
    <t>A3_Y_L11</t>
  </si>
  <si>
    <t>A3_Z_L11</t>
  </si>
  <si>
    <t>A3_X_L11</t>
  </si>
  <si>
    <t>A4_A_L11</t>
  </si>
  <si>
    <t>A4_B_L11</t>
  </si>
  <si>
    <t>A4_C_L11</t>
  </si>
  <si>
    <t>A4_D_L11</t>
  </si>
  <si>
    <t>A4_Y_L11</t>
  </si>
  <si>
    <t>A4_Z_L11</t>
  </si>
  <si>
    <t>A4_X_L11</t>
  </si>
  <si>
    <t>A5_A_L11</t>
  </si>
  <si>
    <t>A5_B_L11</t>
  </si>
  <si>
    <t>A5_C_L11</t>
  </si>
  <si>
    <t>A5_D_L11</t>
  </si>
  <si>
    <t>A5_Y_L11</t>
  </si>
  <si>
    <t>A5_Z_L11</t>
  </si>
  <si>
    <t>A5_X_L11</t>
  </si>
  <si>
    <t>A6_A_L11</t>
  </si>
  <si>
    <t>A6_B_L11</t>
  </si>
  <si>
    <t>A6_C_L11</t>
  </si>
  <si>
    <t>A6_D_L11</t>
  </si>
  <si>
    <t>A6_Y_L11</t>
  </si>
  <si>
    <t>A6_Z_L11</t>
  </si>
  <si>
    <t>A6_X_L11</t>
  </si>
  <si>
    <t>A7_A_L11</t>
  </si>
  <si>
    <t>A7_B_L11</t>
  </si>
  <si>
    <t>A7_C_L11</t>
  </si>
  <si>
    <t>A7_D_L11</t>
  </si>
  <si>
    <t>A7_Y_L11</t>
  </si>
  <si>
    <t>A7_Z_L11</t>
  </si>
  <si>
    <t>A7_X_L11</t>
  </si>
  <si>
    <t>A8_A_L11</t>
  </si>
  <si>
    <t>A8_B_L11</t>
  </si>
  <si>
    <t>A8_C_L11</t>
  </si>
  <si>
    <t>A8_D_L11</t>
  </si>
  <si>
    <t>A8_Y_L11</t>
  </si>
  <si>
    <t>A8_Z_L11</t>
  </si>
  <si>
    <t>A8_X_L11</t>
  </si>
  <si>
    <t>A9_A_L11</t>
  </si>
  <si>
    <t>A9_B_L11</t>
  </si>
  <si>
    <t>A9_C_L11</t>
  </si>
  <si>
    <t>A9_D_L11</t>
  </si>
  <si>
    <t>A9_Y_L11</t>
  </si>
  <si>
    <t>A9_Z_L11</t>
  </si>
  <si>
    <t>A9_X_L11</t>
  </si>
  <si>
    <t>A10_A_L11</t>
  </si>
  <si>
    <t>A10_B_L11</t>
  </si>
  <si>
    <t>A10_C_L11</t>
  </si>
  <si>
    <t>A10_D_L11</t>
  </si>
  <si>
    <t>A10_Y_L11</t>
  </si>
  <si>
    <t>A10_Z_L11</t>
  </si>
  <si>
    <t>A10_X_L11</t>
  </si>
  <si>
    <t>A11_A_L11</t>
  </si>
  <si>
    <t>A11_B_L11</t>
  </si>
  <si>
    <t>A11_C_L11</t>
  </si>
  <si>
    <t>A11_D_L11</t>
  </si>
  <si>
    <t>A11_Y_L11</t>
  </si>
  <si>
    <t>A11_Z_L11</t>
  </si>
  <si>
    <t>A11_X_L11</t>
  </si>
  <si>
    <t>A12_A_L11</t>
  </si>
  <si>
    <t>A12_B_L11</t>
  </si>
  <si>
    <t>A12_C_L11</t>
  </si>
  <si>
    <t>A12_D_L11</t>
  </si>
  <si>
    <t>A12_Y_L11</t>
  </si>
  <si>
    <t>A12_Z_L11</t>
  </si>
  <si>
    <t>A12_X_L11</t>
  </si>
  <si>
    <t>P_A1_L11</t>
  </si>
  <si>
    <t>P_A2_L11</t>
  </si>
  <si>
    <t>P_A3_L11</t>
  </si>
  <si>
    <t>P_A4_L11</t>
  </si>
  <si>
    <t>P_A5_L11</t>
  </si>
  <si>
    <t>P_A6_L11</t>
  </si>
  <si>
    <t>P_A7_L11</t>
  </si>
  <si>
    <t>P_A8_L11</t>
  </si>
  <si>
    <t>P_A9_L11</t>
  </si>
  <si>
    <t>P_A10_L11</t>
  </si>
  <si>
    <t>P_A11_L11</t>
  </si>
  <si>
    <t>P_A12_L11</t>
  </si>
  <si>
    <t>A1_A_L12</t>
  </si>
  <si>
    <t>A1_B_L12</t>
  </si>
  <si>
    <t>A1_C_L12</t>
  </si>
  <si>
    <t>A1_D_L12</t>
  </si>
  <si>
    <t>A1_Y_L12</t>
  </si>
  <si>
    <t>A1_Z_L12</t>
  </si>
  <si>
    <t>A1_X_L12</t>
  </si>
  <si>
    <t>A2_A_L12</t>
  </si>
  <si>
    <t>A2_B_L12</t>
  </si>
  <si>
    <t>A2_C_L12</t>
  </si>
  <si>
    <t>A2_D_L12</t>
  </si>
  <si>
    <t>A2_Y_L12</t>
  </si>
  <si>
    <t>A2_Z_L12</t>
  </si>
  <si>
    <t>A2_X_L12</t>
  </si>
  <si>
    <t>A3_A_L12</t>
  </si>
  <si>
    <t>A3_B_L12</t>
  </si>
  <si>
    <t>A3_C_L12</t>
  </si>
  <si>
    <t>A3_D_L12</t>
  </si>
  <si>
    <t>A3_Y_L12</t>
  </si>
  <si>
    <t>A3_Z_L12</t>
  </si>
  <si>
    <t>A3_X_L12</t>
  </si>
  <si>
    <t>A4_A_L12</t>
  </si>
  <si>
    <t>A4_B_L12</t>
  </si>
  <si>
    <t>A4_C_L12</t>
  </si>
  <si>
    <t>A4_D_L12</t>
  </si>
  <si>
    <t>A4_Y_L12</t>
  </si>
  <si>
    <t>A4_Z_L12</t>
  </si>
  <si>
    <t>A4_X_L12</t>
  </si>
  <si>
    <t>A5_A_L12</t>
  </si>
  <si>
    <t>A5_B_L12</t>
  </si>
  <si>
    <t>A5_C_L12</t>
  </si>
  <si>
    <t>A5_D_L12</t>
  </si>
  <si>
    <t>A5_Y_L12</t>
  </si>
  <si>
    <t>A5_Z_L12</t>
  </si>
  <si>
    <t>A5_X_L12</t>
  </si>
  <si>
    <t>A6_A_L12</t>
  </si>
  <si>
    <t>A6_B_L12</t>
  </si>
  <si>
    <t>A6_C_L12</t>
  </si>
  <si>
    <t>A6_D_L12</t>
  </si>
  <si>
    <t>A6_Y_L12</t>
  </si>
  <si>
    <t>A6_Z_L12</t>
  </si>
  <si>
    <t>A6_X_L12</t>
  </si>
  <si>
    <t>A7_A_L12</t>
  </si>
  <si>
    <t>A7_B_L12</t>
  </si>
  <si>
    <t>A7_C_L12</t>
  </si>
  <si>
    <t>A7_D_L12</t>
  </si>
  <si>
    <t>A7_Y_L12</t>
  </si>
  <si>
    <t>A7_Z_L12</t>
  </si>
  <si>
    <t>A7_X_L12</t>
  </si>
  <si>
    <t>A8_A_L12</t>
  </si>
  <si>
    <t>A8_B_L12</t>
  </si>
  <si>
    <t>A8_C_L12</t>
  </si>
  <si>
    <t>A8_D_L12</t>
  </si>
  <si>
    <t>A8_Y_L12</t>
  </si>
  <si>
    <t>A8_Z_L12</t>
  </si>
  <si>
    <t>A8_X_L12</t>
  </si>
  <si>
    <t>A9_A_L12</t>
  </si>
  <si>
    <t>A9_B_L12</t>
  </si>
  <si>
    <t>A9_C_L12</t>
  </si>
  <si>
    <t>A9_D_L12</t>
  </si>
  <si>
    <t>A9_Y_L12</t>
  </si>
  <si>
    <t>A9_Z_L12</t>
  </si>
  <si>
    <t>A9_X_L12</t>
  </si>
  <si>
    <t>A10_A_L12</t>
  </si>
  <si>
    <t>A10_B_L12</t>
  </si>
  <si>
    <t>A10_C_L12</t>
  </si>
  <si>
    <t>A10_D_L12</t>
  </si>
  <si>
    <t>A10_Y_L12</t>
  </si>
  <si>
    <t>A10_Z_L12</t>
  </si>
  <si>
    <t>A10_X_L12</t>
  </si>
  <si>
    <t>A11_A_L12</t>
  </si>
  <si>
    <t>A11_B_L12</t>
  </si>
  <si>
    <t>A11_C_L12</t>
  </si>
  <si>
    <t>A11_D_L12</t>
  </si>
  <si>
    <t>A11_Y_L12</t>
  </si>
  <si>
    <t>A11_Z_L12</t>
  </si>
  <si>
    <t>A11_X_L12</t>
  </si>
  <si>
    <t>A12_A_L12</t>
  </si>
  <si>
    <t>A12_B_L12</t>
  </si>
  <si>
    <t>A12_C_L12</t>
  </si>
  <si>
    <t>A12_D_L12</t>
  </si>
  <si>
    <t>A12_Y_L12</t>
  </si>
  <si>
    <t>A12_Z_L12</t>
  </si>
  <si>
    <t>A12_X_L12</t>
  </si>
  <si>
    <t>P_A1_L12</t>
  </si>
  <si>
    <t>P_A2_L12</t>
  </si>
  <si>
    <t>P_A3_L12</t>
  </si>
  <si>
    <t>P_A4_L12</t>
  </si>
  <si>
    <t>P_A5_L12</t>
  </si>
  <si>
    <t>P_A6_L12</t>
  </si>
  <si>
    <t>P_A7_L12</t>
  </si>
  <si>
    <t>P_A8_L12</t>
  </si>
  <si>
    <t>P_A9_L12</t>
  </si>
  <si>
    <t>P_A10_L12</t>
  </si>
  <si>
    <t>P_A11_L12</t>
  </si>
  <si>
    <t>P_A12_L12</t>
  </si>
  <si>
    <t>A1_A_L13</t>
  </si>
  <si>
    <t>A1_B_L13</t>
  </si>
  <si>
    <t>A1_C_L13</t>
  </si>
  <si>
    <t>A1_D_L13</t>
  </si>
  <si>
    <t>A1_Y_L13</t>
  </si>
  <si>
    <t>A1_Z_L13</t>
  </si>
  <si>
    <t>A1_X_L13</t>
  </si>
  <si>
    <t>A2_A_L13</t>
  </si>
  <si>
    <t>A2_B_L13</t>
  </si>
  <si>
    <t>A2_C_L13</t>
  </si>
  <si>
    <t>A2_D_L13</t>
  </si>
  <si>
    <t>A2_Y_L13</t>
  </si>
  <si>
    <t>A2_Z_L13</t>
  </si>
  <si>
    <t>A2_X_L13</t>
  </si>
  <si>
    <t>A3_A_L13</t>
  </si>
  <si>
    <t>A3_B_L13</t>
  </si>
  <si>
    <t>A3_C_L13</t>
  </si>
  <si>
    <t>A3_D_L13</t>
  </si>
  <si>
    <t>A3_Y_L13</t>
  </si>
  <si>
    <t>A3_Z_L13</t>
  </si>
  <si>
    <t>A3_X_L13</t>
  </si>
  <si>
    <t>A4_A_L13</t>
  </si>
  <si>
    <t>A4_B_L13</t>
  </si>
  <si>
    <t>A4_C_L13</t>
  </si>
  <si>
    <t>A4_D_L13</t>
  </si>
  <si>
    <t>A4_Y_L13</t>
  </si>
  <si>
    <t>A4_Z_L13</t>
  </si>
  <si>
    <t>A4_X_L13</t>
  </si>
  <si>
    <t>A5_A_L13</t>
  </si>
  <si>
    <t>A5_B_L13</t>
  </si>
  <si>
    <t>A5_C_L13</t>
  </si>
  <si>
    <t>A5_D_L13</t>
  </si>
  <si>
    <t>A5_Y_L13</t>
  </si>
  <si>
    <t>A5_Z_L13</t>
  </si>
  <si>
    <t>A5_X_L13</t>
  </si>
  <si>
    <t>A6_A_L13</t>
  </si>
  <si>
    <t>A6_B_L13</t>
  </si>
  <si>
    <t>A6_C_L13</t>
  </si>
  <si>
    <t>A6_D_L13</t>
  </si>
  <si>
    <t>A6_Y_L13</t>
  </si>
  <si>
    <t>A6_Z_L13</t>
  </si>
  <si>
    <t>A6_X_L13</t>
  </si>
  <si>
    <t>A7_A_L13</t>
  </si>
  <si>
    <t>A7_B_L13</t>
  </si>
  <si>
    <t>A7_C_L13</t>
  </si>
  <si>
    <t>A7_D_L13</t>
  </si>
  <si>
    <t>A7_Y_L13</t>
  </si>
  <si>
    <t>A7_Z_L13</t>
  </si>
  <si>
    <t>A7_X_L13</t>
  </si>
  <si>
    <t>A8_A_L13</t>
  </si>
  <si>
    <t>A8_B_L13</t>
  </si>
  <si>
    <t>A8_C_L13</t>
  </si>
  <si>
    <t>A8_D_L13</t>
  </si>
  <si>
    <t>A8_Y_L13</t>
  </si>
  <si>
    <t>A8_Z_L13</t>
  </si>
  <si>
    <t>A8_X_L13</t>
  </si>
  <si>
    <t>A9_A_L13</t>
  </si>
  <si>
    <t>A9_B_L13</t>
  </si>
  <si>
    <t>A9_C_L13</t>
  </si>
  <si>
    <t>A9_D_L13</t>
  </si>
  <si>
    <t>A9_Y_L13</t>
  </si>
  <si>
    <t>A9_Z_L13</t>
  </si>
  <si>
    <t>A9_X_L13</t>
  </si>
  <si>
    <t>A10_A_L13</t>
  </si>
  <si>
    <t>A10_B_L13</t>
  </si>
  <si>
    <t>A10_C_L13</t>
  </si>
  <si>
    <t>A10_D_L13</t>
  </si>
  <si>
    <t>A10_Y_L13</t>
  </si>
  <si>
    <t>A10_Z_L13</t>
  </si>
  <si>
    <t>A10_X_L13</t>
  </si>
  <si>
    <t>A11_A_L13</t>
  </si>
  <si>
    <t>A11_B_L13</t>
  </si>
  <si>
    <t>A11_C_L13</t>
  </si>
  <si>
    <t>A11_D_L13</t>
  </si>
  <si>
    <t>A11_Y_L13</t>
  </si>
  <si>
    <t>A11_Z_L13</t>
  </si>
  <si>
    <t>A11_X_L13</t>
  </si>
  <si>
    <t>A12_A_L13</t>
  </si>
  <si>
    <t>A12_B_L13</t>
  </si>
  <si>
    <t>A12_C_L13</t>
  </si>
  <si>
    <t>A12_D_L13</t>
  </si>
  <si>
    <t>A12_Y_L13</t>
  </si>
  <si>
    <t>A12_Z_L13</t>
  </si>
  <si>
    <t>A12_X_L13</t>
  </si>
  <si>
    <t>P_A1_L13</t>
  </si>
  <si>
    <t>P_A2_L13</t>
  </si>
  <si>
    <t>P_A3_L13</t>
  </si>
  <si>
    <t>P_A4_L13</t>
  </si>
  <si>
    <t>P_A5_L13</t>
  </si>
  <si>
    <t>P_A6_L13</t>
  </si>
  <si>
    <t>P_A7_L13</t>
  </si>
  <si>
    <t>P_A8_L13</t>
  </si>
  <si>
    <t>P_A9_L13</t>
  </si>
  <si>
    <t>P_A10_L13</t>
  </si>
  <si>
    <t>P_A11_L13</t>
  </si>
  <si>
    <t>P_A12_L13</t>
  </si>
  <si>
    <t>A1_A_L14</t>
  </si>
  <si>
    <t>A1_B_L14</t>
  </si>
  <si>
    <t>A1_C_L14</t>
  </si>
  <si>
    <t>A1_D_L14</t>
  </si>
  <si>
    <t>A1_Y_L14</t>
  </si>
  <si>
    <t>A1_Z_L14</t>
  </si>
  <si>
    <t>A1_X_L14</t>
  </si>
  <si>
    <t>A2_A_L14</t>
  </si>
  <si>
    <t>A2_B_L14</t>
  </si>
  <si>
    <t>A2_C_L14</t>
  </si>
  <si>
    <t>A2_D_L14</t>
  </si>
  <si>
    <t>A2_Y_L14</t>
  </si>
  <si>
    <t>A2_Z_L14</t>
  </si>
  <si>
    <t>A2_X_L14</t>
  </si>
  <si>
    <t>A3_A_L14</t>
  </si>
  <si>
    <t>A3_B_L14</t>
  </si>
  <si>
    <t>A3_C_L14</t>
  </si>
  <si>
    <t>A3_D_L14</t>
  </si>
  <si>
    <t>A3_Y_L14</t>
  </si>
  <si>
    <t>A3_Z_L14</t>
  </si>
  <si>
    <t>A3_X_L14</t>
  </si>
  <si>
    <t>A4_A_L14</t>
  </si>
  <si>
    <t>A4_B_L14</t>
  </si>
  <si>
    <t>A4_C_L14</t>
  </si>
  <si>
    <t>A4_D_L14</t>
  </si>
  <si>
    <t>A4_Y_L14</t>
  </si>
  <si>
    <t>A4_Z_L14</t>
  </si>
  <si>
    <t>A4_X_L14</t>
  </si>
  <si>
    <t>A5_A_L14</t>
  </si>
  <si>
    <t>A5_B_L14</t>
  </si>
  <si>
    <t>A5_C_L14</t>
  </si>
  <si>
    <t>A5_D_L14</t>
  </si>
  <si>
    <t>A5_Y_L14</t>
  </si>
  <si>
    <t>A5_Z_L14</t>
  </si>
  <si>
    <t>A5_X_L14</t>
  </si>
  <si>
    <t>A6_A_L14</t>
  </si>
  <si>
    <t>A6_B_L14</t>
  </si>
  <si>
    <t>A6_C_L14</t>
  </si>
  <si>
    <t>A6_D_L14</t>
  </si>
  <si>
    <t>A6_Y_L14</t>
  </si>
  <si>
    <t>A6_Z_L14</t>
  </si>
  <si>
    <t>A6_X_L14</t>
  </si>
  <si>
    <t>A7_A_L14</t>
  </si>
  <si>
    <t>A7_B_L14</t>
  </si>
  <si>
    <t>A7_C_L14</t>
  </si>
  <si>
    <t>A7_D_L14</t>
  </si>
  <si>
    <t>A7_Y_L14</t>
  </si>
  <si>
    <t>A7_Z_L14</t>
  </si>
  <si>
    <t>A7_X_L14</t>
  </si>
  <si>
    <t>A8_A_L14</t>
  </si>
  <si>
    <t>A8_B_L14</t>
  </si>
  <si>
    <t>A8_C_L14</t>
  </si>
  <si>
    <t>A8_D_L14</t>
  </si>
  <si>
    <t>A8_Y_L14</t>
  </si>
  <si>
    <t>A8_Z_L14</t>
  </si>
  <si>
    <t>A8_X_L14</t>
  </si>
  <si>
    <t>A9_A_L14</t>
  </si>
  <si>
    <t>A9_B_L14</t>
  </si>
  <si>
    <t>A9_C_L14</t>
  </si>
  <si>
    <t>A9_D_L14</t>
  </si>
  <si>
    <t>A9_Y_L14</t>
  </si>
  <si>
    <t>A9_Z_L14</t>
  </si>
  <si>
    <t>A9_X_L14</t>
  </si>
  <si>
    <t>A10_A_L14</t>
  </si>
  <si>
    <t>A10_B_L14</t>
  </si>
  <si>
    <t>A10_C_L14</t>
  </si>
  <si>
    <t>A10_D_L14</t>
  </si>
  <si>
    <t>A10_Y_L14</t>
  </si>
  <si>
    <t>A10_Z_L14</t>
  </si>
  <si>
    <t>A10_X_L14</t>
  </si>
  <si>
    <t>A11_A_L14</t>
  </si>
  <si>
    <t>A11_B_L14</t>
  </si>
  <si>
    <t>A11_C_L14</t>
  </si>
  <si>
    <t>A11_D_L14</t>
  </si>
  <si>
    <t>A11_Y_L14</t>
  </si>
  <si>
    <t>A11_Z_L14</t>
  </si>
  <si>
    <t>A11_X_L14</t>
  </si>
  <si>
    <t>A12_A_L14</t>
  </si>
  <si>
    <t>A12_B_L14</t>
  </si>
  <si>
    <t>A12_C_L14</t>
  </si>
  <si>
    <t>A12_D_L14</t>
  </si>
  <si>
    <t>A12_Y_L14</t>
  </si>
  <si>
    <t>A12_Z_L14</t>
  </si>
  <si>
    <t>A12_X_L14</t>
  </si>
  <si>
    <t>P_A1_L14</t>
  </si>
  <si>
    <t>P_A2_L14</t>
  </si>
  <si>
    <t>P_A3_L14</t>
  </si>
  <si>
    <t>P_A4_L14</t>
  </si>
  <si>
    <t>P_A5_L14</t>
  </si>
  <si>
    <t>P_A6_L14</t>
  </si>
  <si>
    <t>P_A7_L14</t>
  </si>
  <si>
    <t>P_A8_L14</t>
  </si>
  <si>
    <t>P_A9_L14</t>
  </si>
  <si>
    <t>P_A10_L14</t>
  </si>
  <si>
    <t>P_A11_L14</t>
  </si>
  <si>
    <t>P_A12_L14</t>
  </si>
  <si>
    <t>A1_A_L15</t>
  </si>
  <si>
    <t>A1_B_L15</t>
  </si>
  <si>
    <t>A1_C_L15</t>
  </si>
  <si>
    <t>A1_D_L15</t>
  </si>
  <si>
    <t>A1_Y_L15</t>
  </si>
  <si>
    <t>A1_Z_L15</t>
  </si>
  <si>
    <t>A1_X_L15</t>
  </si>
  <si>
    <t>A2_A_L15</t>
  </si>
  <si>
    <t>A2_B_L15</t>
  </si>
  <si>
    <t>A2_C_L15</t>
  </si>
  <si>
    <t>A2_D_L15</t>
  </si>
  <si>
    <t>A2_Y_L15</t>
  </si>
  <si>
    <t>A2_Z_L15</t>
  </si>
  <si>
    <t>A2_X_L15</t>
  </si>
  <si>
    <t>A3_A_L15</t>
  </si>
  <si>
    <t>A3_B_L15</t>
  </si>
  <si>
    <t>A3_C_L15</t>
  </si>
  <si>
    <t>A3_D_L15</t>
  </si>
  <si>
    <t>A3_Y_L15</t>
  </si>
  <si>
    <t>A3_Z_L15</t>
  </si>
  <si>
    <t>A3_X_L15</t>
  </si>
  <si>
    <t>A4_A_L15</t>
  </si>
  <si>
    <t>A4_B_L15</t>
  </si>
  <si>
    <t>A4_C_L15</t>
  </si>
  <si>
    <t>A4_D_L15</t>
  </si>
  <si>
    <t>A4_Y_L15</t>
  </si>
  <si>
    <t>A4_Z_L15</t>
  </si>
  <si>
    <t>A4_X_L15</t>
  </si>
  <si>
    <t>A5_A_L15</t>
  </si>
  <si>
    <t>A5_B_L15</t>
  </si>
  <si>
    <t>A5_C_L15</t>
  </si>
  <si>
    <t>A5_D_L15</t>
  </si>
  <si>
    <t>A5_Y_L15</t>
  </si>
  <si>
    <t>A5_Z_L15</t>
  </si>
  <si>
    <t>A5_X_L15</t>
  </si>
  <si>
    <t>A6_A_L15</t>
  </si>
  <si>
    <t>A6_B_L15</t>
  </si>
  <si>
    <t>A6_C_L15</t>
  </si>
  <si>
    <t>A6_D_L15</t>
  </si>
  <si>
    <t>A6_Y_L15</t>
  </si>
  <si>
    <t>A6_Z_L15</t>
  </si>
  <si>
    <t>A6_X_L15</t>
  </si>
  <si>
    <t>A7_A_L15</t>
  </si>
  <si>
    <t>A7_B_L15</t>
  </si>
  <si>
    <t>A7_C_L15</t>
  </si>
  <si>
    <t>A7_D_L15</t>
  </si>
  <si>
    <t>A7_Y_L15</t>
  </si>
  <si>
    <t>A7_Z_L15</t>
  </si>
  <si>
    <t>A7_X_L15</t>
  </si>
  <si>
    <t>A8_A_L15</t>
  </si>
  <si>
    <t>A8_B_L15</t>
  </si>
  <si>
    <t>A8_C_L15</t>
  </si>
  <si>
    <t>A8_D_L15</t>
  </si>
  <si>
    <t>A8_Y_L15</t>
  </si>
  <si>
    <t>A8_Z_L15</t>
  </si>
  <si>
    <t>A8_X_L15</t>
  </si>
  <si>
    <t>A9_A_L15</t>
  </si>
  <si>
    <t>A9_B_L15</t>
  </si>
  <si>
    <t>A9_C_L15</t>
  </si>
  <si>
    <t>A9_D_L15</t>
  </si>
  <si>
    <t>A9_Y_L15</t>
  </si>
  <si>
    <t>A9_Z_L15</t>
  </si>
  <si>
    <t>A9_X_L15</t>
  </si>
  <si>
    <t>A10_A_L15</t>
  </si>
  <si>
    <t>A10_B_L15</t>
  </si>
  <si>
    <t>A10_C_L15</t>
  </si>
  <si>
    <t>A10_D_L15</t>
  </si>
  <si>
    <t>A10_Y_L15</t>
  </si>
  <si>
    <t>A10_Z_L15</t>
  </si>
  <si>
    <t>A10_X_L15</t>
  </si>
  <si>
    <t>A11_A_L15</t>
  </si>
  <si>
    <t>A11_B_L15</t>
  </si>
  <si>
    <t>A11_C_L15</t>
  </si>
  <si>
    <t>A11_D_L15</t>
  </si>
  <si>
    <t>A11_Y_L15</t>
  </si>
  <si>
    <t>A11_Z_L15</t>
  </si>
  <si>
    <t>A11_X_L15</t>
  </si>
  <si>
    <t>A12_A_L15</t>
  </si>
  <si>
    <t>A12_B_L15</t>
  </si>
  <si>
    <t>A12_C_L15</t>
  </si>
  <si>
    <t>A12_D_L15</t>
  </si>
  <si>
    <t>A12_Y_L15</t>
  </si>
  <si>
    <t>A12_Z_L15</t>
  </si>
  <si>
    <t>A12_X_L15</t>
  </si>
  <si>
    <t>P_A1_L15</t>
  </si>
  <si>
    <t>P_A2_L15</t>
  </si>
  <si>
    <t>P_A3_L15</t>
  </si>
  <si>
    <t>P_A4_L15</t>
  </si>
  <si>
    <t>P_A5_L15</t>
  </si>
  <si>
    <t>P_A6_L15</t>
  </si>
  <si>
    <t>P_A7_L15</t>
  </si>
  <si>
    <t>P_A8_L15</t>
  </si>
  <si>
    <t>P_A9_L15</t>
  </si>
  <si>
    <t>P_A10_L15</t>
  </si>
  <si>
    <t>P_A11_L15</t>
  </si>
  <si>
    <t>P_A12_L15</t>
  </si>
  <si>
    <t>A1_A_L16</t>
  </si>
  <si>
    <t>A1_B_L16</t>
  </si>
  <si>
    <t>A1_C_L16</t>
  </si>
  <si>
    <t>A1_D_L16</t>
  </si>
  <si>
    <t>A1_Y_L16</t>
  </si>
  <si>
    <t>A1_Z_L16</t>
  </si>
  <si>
    <t>A1_X_L16</t>
  </si>
  <si>
    <t>A2_A_L16</t>
  </si>
  <si>
    <t>A2_B_L16</t>
  </si>
  <si>
    <t>A2_C_L16</t>
  </si>
  <si>
    <t>A2_D_L16</t>
  </si>
  <si>
    <t>A2_Y_L16</t>
  </si>
  <si>
    <t>A2_Z_L16</t>
  </si>
  <si>
    <t>A2_X_L16</t>
  </si>
  <si>
    <t>A3_A_L16</t>
  </si>
  <si>
    <t>A3_B_L16</t>
  </si>
  <si>
    <t>A3_C_L16</t>
  </si>
  <si>
    <t>A3_D_L16</t>
  </si>
  <si>
    <t>A3_Y_L16</t>
  </si>
  <si>
    <t>A3_Z_L16</t>
  </si>
  <si>
    <t>A3_X_L16</t>
  </si>
  <si>
    <t>A4_A_L16</t>
  </si>
  <si>
    <t>A4_B_L16</t>
  </si>
  <si>
    <t>A4_C_L16</t>
  </si>
  <si>
    <t>A4_D_L16</t>
  </si>
  <si>
    <t>A4_Y_L16</t>
  </si>
  <si>
    <t>A4_Z_L16</t>
  </si>
  <si>
    <t>A4_X_L16</t>
  </si>
  <si>
    <t>A5_A_L16</t>
  </si>
  <si>
    <t>A5_B_L16</t>
  </si>
  <si>
    <t>A5_C_L16</t>
  </si>
  <si>
    <t>A5_D_L16</t>
  </si>
  <si>
    <t>A5_Y_L16</t>
  </si>
  <si>
    <t>A5_Z_L16</t>
  </si>
  <si>
    <t>A5_X_L16</t>
  </si>
  <si>
    <t>A6_A_L16</t>
  </si>
  <si>
    <t>A6_B_L16</t>
  </si>
  <si>
    <t>A6_C_L16</t>
  </si>
  <si>
    <t>A6_D_L16</t>
  </si>
  <si>
    <t>A6_Y_L16</t>
  </si>
  <si>
    <t>A6_Z_L16</t>
  </si>
  <si>
    <t>A6_X_L16</t>
  </si>
  <si>
    <t>A7_A_L16</t>
  </si>
  <si>
    <t>A7_B_L16</t>
  </si>
  <si>
    <t>A7_C_L16</t>
  </si>
  <si>
    <t>A7_D_L16</t>
  </si>
  <si>
    <t>A7_Y_L16</t>
  </si>
  <si>
    <t>A7_Z_L16</t>
  </si>
  <si>
    <t>A7_X_L16</t>
  </si>
  <si>
    <t>A8_A_L16</t>
  </si>
  <si>
    <t>A8_B_L16</t>
  </si>
  <si>
    <t>A8_C_L16</t>
  </si>
  <si>
    <t>A8_D_L16</t>
  </si>
  <si>
    <t>A8_Y_L16</t>
  </si>
  <si>
    <t>A8_Z_L16</t>
  </si>
  <si>
    <t>A8_X_L16</t>
  </si>
  <si>
    <t>A9_A_L16</t>
  </si>
  <si>
    <t>A9_B_L16</t>
  </si>
  <si>
    <t>A9_C_L16</t>
  </si>
  <si>
    <t>A9_D_L16</t>
  </si>
  <si>
    <t>A9_Y_L16</t>
  </si>
  <si>
    <t>A9_Z_L16</t>
  </si>
  <si>
    <t>A9_X_L16</t>
  </si>
  <si>
    <t>A10_A_L16</t>
  </si>
  <si>
    <t>A10_B_L16</t>
  </si>
  <si>
    <t>A10_C_L16</t>
  </si>
  <si>
    <t>A10_D_L16</t>
  </si>
  <si>
    <t>A10_Y_L16</t>
  </si>
  <si>
    <t>A10_Z_L16</t>
  </si>
  <si>
    <t>A10_X_L16</t>
  </si>
  <si>
    <t>A11_A_L16</t>
  </si>
  <si>
    <t>A11_B_L16</t>
  </si>
  <si>
    <t>A11_C_L16</t>
  </si>
  <si>
    <t>A11_D_L16</t>
  </si>
  <si>
    <t>A11_Y_L16</t>
  </si>
  <si>
    <t>A11_Z_L16</t>
  </si>
  <si>
    <t>A11_X_L16</t>
  </si>
  <si>
    <t>A12_A_L16</t>
  </si>
  <si>
    <t>A12_B_L16</t>
  </si>
  <si>
    <t>A12_C_L16</t>
  </si>
  <si>
    <t>A12_D_L16</t>
  </si>
  <si>
    <t>A12_Y_L16</t>
  </si>
  <si>
    <t>A12_Z_L16</t>
  </si>
  <si>
    <t>A12_X_L16</t>
  </si>
  <si>
    <t>P_A1_L16</t>
  </si>
  <si>
    <t>P_A2_L16</t>
  </si>
  <si>
    <t>P_A3_L16</t>
  </si>
  <si>
    <t>P_A4_L16</t>
  </si>
  <si>
    <t>P_A5_L16</t>
  </si>
  <si>
    <t>P_A6_L16</t>
  </si>
  <si>
    <t>P_A7_L16</t>
  </si>
  <si>
    <t>P_A8_L16</t>
  </si>
  <si>
    <t>P_A9_L16</t>
  </si>
  <si>
    <t>P_A10_L16</t>
  </si>
  <si>
    <t>P_A11_L16</t>
  </si>
  <si>
    <t>P_A12_L16</t>
  </si>
  <si>
    <t>A1_A_L17</t>
  </si>
  <si>
    <t>A1_B_L17</t>
  </si>
  <si>
    <t>A1_C_L17</t>
  </si>
  <si>
    <t>A1_D_L17</t>
  </si>
  <si>
    <t>A1_Y_L17</t>
  </si>
  <si>
    <t>A1_Z_L17</t>
  </si>
  <si>
    <t>A1_X_L17</t>
  </si>
  <si>
    <t>A2_A_L17</t>
  </si>
  <si>
    <t>A2_B_L17</t>
  </si>
  <si>
    <t>A2_C_L17</t>
  </si>
  <si>
    <t>A2_D_L17</t>
  </si>
  <si>
    <t>A2_Y_L17</t>
  </si>
  <si>
    <t>A2_Z_L17</t>
  </si>
  <si>
    <t>A2_X_L17</t>
  </si>
  <si>
    <t>A3_A_L17</t>
  </si>
  <si>
    <t>A3_B_L17</t>
  </si>
  <si>
    <t>A3_C_L17</t>
  </si>
  <si>
    <t>A3_D_L17</t>
  </si>
  <si>
    <t>A3_Y_L17</t>
  </si>
  <si>
    <t>A3_Z_L17</t>
  </si>
  <si>
    <t>A3_X_L17</t>
  </si>
  <si>
    <t>A4_A_L17</t>
  </si>
  <si>
    <t>A4_B_L17</t>
  </si>
  <si>
    <t>A4_C_L17</t>
  </si>
  <si>
    <t>A4_D_L17</t>
  </si>
  <si>
    <t>A4_Y_L17</t>
  </si>
  <si>
    <t>A4_Z_L17</t>
  </si>
  <si>
    <t>A4_X_L17</t>
  </si>
  <si>
    <t>A5_A_L17</t>
  </si>
  <si>
    <t>A5_B_L17</t>
  </si>
  <si>
    <t>A5_C_L17</t>
  </si>
  <si>
    <t>A5_D_L17</t>
  </si>
  <si>
    <t>A5_Y_L17</t>
  </si>
  <si>
    <t>A5_Z_L17</t>
  </si>
  <si>
    <t>A5_X_L17</t>
  </si>
  <si>
    <t>A6_A_L17</t>
  </si>
  <si>
    <t>A6_B_L17</t>
  </si>
  <si>
    <t>A6_C_L17</t>
  </si>
  <si>
    <t>A6_D_L17</t>
  </si>
  <si>
    <t>A6_Y_L17</t>
  </si>
  <si>
    <t>A6_Z_L17</t>
  </si>
  <si>
    <t>A6_X_L17</t>
  </si>
  <si>
    <t>A7_A_L17</t>
  </si>
  <si>
    <t>A7_B_L17</t>
  </si>
  <si>
    <t>A7_C_L17</t>
  </si>
  <si>
    <t>A7_D_L17</t>
  </si>
  <si>
    <t>A7_Y_L17</t>
  </si>
  <si>
    <t>A7_Z_L17</t>
  </si>
  <si>
    <t>A7_X_L17</t>
  </si>
  <si>
    <t>A8_A_L17</t>
  </si>
  <si>
    <t>A8_B_L17</t>
  </si>
  <si>
    <t>A8_C_L17</t>
  </si>
  <si>
    <t>A8_D_L17</t>
  </si>
  <si>
    <t>A8_Y_L17</t>
  </si>
  <si>
    <t>A8_Z_L17</t>
  </si>
  <si>
    <t>A8_X_L17</t>
  </si>
  <si>
    <t>A9_A_L17</t>
  </si>
  <si>
    <t>A9_B_L17</t>
  </si>
  <si>
    <t>A9_C_L17</t>
  </si>
  <si>
    <t>A9_D_L17</t>
  </si>
  <si>
    <t>A9_Y_L17</t>
  </si>
  <si>
    <t>A9_Z_L17</t>
  </si>
  <si>
    <t>A9_X_L17</t>
  </si>
  <si>
    <t>A10_A_L17</t>
  </si>
  <si>
    <t>A10_B_L17</t>
  </si>
  <si>
    <t>A10_C_L17</t>
  </si>
  <si>
    <t>A10_D_L17</t>
  </si>
  <si>
    <t>A10_Y_L17</t>
  </si>
  <si>
    <t>A10_Z_L17</t>
  </si>
  <si>
    <t>A10_X_L17</t>
  </si>
  <si>
    <t>A11_A_L17</t>
  </si>
  <si>
    <t>A11_B_L17</t>
  </si>
  <si>
    <t>A11_C_L17</t>
  </si>
  <si>
    <t>A11_D_L17</t>
  </si>
  <si>
    <t>A11_Y_L17</t>
  </si>
  <si>
    <t>A11_Z_L17</t>
  </si>
  <si>
    <t>A11_X_L17</t>
  </si>
  <si>
    <t>A12_A_L17</t>
  </si>
  <si>
    <t>A12_B_L17</t>
  </si>
  <si>
    <t>A12_C_L17</t>
  </si>
  <si>
    <t>A12_D_L17</t>
  </si>
  <si>
    <t>A12_Y_L17</t>
  </si>
  <si>
    <t>A12_Z_L17</t>
  </si>
  <si>
    <t>A12_X_L17</t>
  </si>
  <si>
    <t>P_A1_L17</t>
  </si>
  <si>
    <t>P_A2_L17</t>
  </si>
  <si>
    <t>P_A3_L17</t>
  </si>
  <si>
    <t>P_A4_L17</t>
  </si>
  <si>
    <t>P_A5_L17</t>
  </si>
  <si>
    <t>P_A6_L17</t>
  </si>
  <si>
    <t>P_A7_L17</t>
  </si>
  <si>
    <t>P_A8_L17</t>
  </si>
  <si>
    <t>P_A9_L17</t>
  </si>
  <si>
    <t>P_A10_L17</t>
  </si>
  <si>
    <t>P_A11_L17</t>
  </si>
  <si>
    <t>P_A12_L17</t>
  </si>
  <si>
    <t>A1_A_L18</t>
  </si>
  <si>
    <t>A1_B_L18</t>
  </si>
  <si>
    <t>A1_C_L18</t>
  </si>
  <si>
    <t>A1_D_L18</t>
  </si>
  <si>
    <t>A1_Y_L18</t>
  </si>
  <si>
    <t>A1_Z_L18</t>
  </si>
  <si>
    <t>A1_X_L18</t>
  </si>
  <si>
    <t>A2_A_L18</t>
  </si>
  <si>
    <t>A2_B_L18</t>
  </si>
  <si>
    <t>A2_C_L18</t>
  </si>
  <si>
    <t>A2_D_L18</t>
  </si>
  <si>
    <t>A2_Y_L18</t>
  </si>
  <si>
    <t>A2_Z_L18</t>
  </si>
  <si>
    <t>A2_X_L18</t>
  </si>
  <si>
    <t>A3_A_L18</t>
  </si>
  <si>
    <t>A3_B_L18</t>
  </si>
  <si>
    <t>A3_C_L18</t>
  </si>
  <si>
    <t>A3_D_L18</t>
  </si>
  <si>
    <t>A3_Y_L18</t>
  </si>
  <si>
    <t>A3_Z_L18</t>
  </si>
  <si>
    <t>A3_X_L18</t>
  </si>
  <si>
    <t>A4_A_L18</t>
  </si>
  <si>
    <t>A4_B_L18</t>
  </si>
  <si>
    <t>A4_C_L18</t>
  </si>
  <si>
    <t>A4_D_L18</t>
  </si>
  <si>
    <t>A4_Y_L18</t>
  </si>
  <si>
    <t>A4_Z_L18</t>
  </si>
  <si>
    <t>A4_X_L18</t>
  </si>
  <si>
    <t>A5_A_L18</t>
  </si>
  <si>
    <t>A5_B_L18</t>
  </si>
  <si>
    <t>A5_C_L18</t>
  </si>
  <si>
    <t>A5_D_L18</t>
  </si>
  <si>
    <t>A5_Y_L18</t>
  </si>
  <si>
    <t>A5_Z_L18</t>
  </si>
  <si>
    <t>A5_X_L18</t>
  </si>
  <si>
    <t>A6_A_L18</t>
  </si>
  <si>
    <t>A6_B_L18</t>
  </si>
  <si>
    <t>A6_C_L18</t>
  </si>
  <si>
    <t>A6_D_L18</t>
  </si>
  <si>
    <t>A6_Y_L18</t>
  </si>
  <si>
    <t>A6_Z_L18</t>
  </si>
  <si>
    <t>A6_X_L18</t>
  </si>
  <si>
    <t>A7_A_L18</t>
  </si>
  <si>
    <t>A7_B_L18</t>
  </si>
  <si>
    <t>A7_C_L18</t>
  </si>
  <si>
    <t>A7_D_L18</t>
  </si>
  <si>
    <t>A7_Y_L18</t>
  </si>
  <si>
    <t>A7_Z_L18</t>
  </si>
  <si>
    <t>A7_X_L18</t>
  </si>
  <si>
    <t>A8_A_L18</t>
  </si>
  <si>
    <t>A8_B_L18</t>
  </si>
  <si>
    <t>A8_C_L18</t>
  </si>
  <si>
    <t>A8_D_L18</t>
  </si>
  <si>
    <t>A8_Y_L18</t>
  </si>
  <si>
    <t>A8_Z_L18</t>
  </si>
  <si>
    <t>A8_X_L18</t>
  </si>
  <si>
    <t>A9_A_L18</t>
  </si>
  <si>
    <t>A9_B_L18</t>
  </si>
  <si>
    <t>A9_C_L18</t>
  </si>
  <si>
    <t>A9_D_L18</t>
  </si>
  <si>
    <t>A9_Y_L18</t>
  </si>
  <si>
    <t>A9_Z_L18</t>
  </si>
  <si>
    <t>A9_X_L18</t>
  </si>
  <si>
    <t>A10_A_L18</t>
  </si>
  <si>
    <t>A10_B_L18</t>
  </si>
  <si>
    <t>A10_C_L18</t>
  </si>
  <si>
    <t>A10_D_L18</t>
  </si>
  <si>
    <t>A10_Y_L18</t>
  </si>
  <si>
    <t>A10_Z_L18</t>
  </si>
  <si>
    <t>A10_X_L18</t>
  </si>
  <si>
    <t>A11_A_L18</t>
  </si>
  <si>
    <t>A11_B_L18</t>
  </si>
  <si>
    <t>A11_C_L18</t>
  </si>
  <si>
    <t>A11_D_L18</t>
  </si>
  <si>
    <t>A11_Y_L18</t>
  </si>
  <si>
    <t>A11_Z_L18</t>
  </si>
  <si>
    <t>A11_X_L18</t>
  </si>
  <si>
    <t>A12_A_L18</t>
  </si>
  <si>
    <t>A12_B_L18</t>
  </si>
  <si>
    <t>A12_C_L18</t>
  </si>
  <si>
    <t>A12_D_L18</t>
  </si>
  <si>
    <t>A12_Y_L18</t>
  </si>
  <si>
    <t>A12_Z_L18</t>
  </si>
  <si>
    <t>A12_X_L18</t>
  </si>
  <si>
    <t>P_A1_L18</t>
  </si>
  <si>
    <t>P_A2_L18</t>
  </si>
  <si>
    <t>P_A3_L18</t>
  </si>
  <si>
    <t>P_A4_L18</t>
  </si>
  <si>
    <t>P_A5_L18</t>
  </si>
  <si>
    <t>P_A6_L18</t>
  </si>
  <si>
    <t>P_A7_L18</t>
  </si>
  <si>
    <t>P_A8_L18</t>
  </si>
  <si>
    <t>P_A9_L18</t>
  </si>
  <si>
    <t>P_A10_L18</t>
  </si>
  <si>
    <t>P_A11_L18</t>
  </si>
  <si>
    <t>P_A12_L18</t>
  </si>
  <si>
    <t>A1_A_L19</t>
  </si>
  <si>
    <t>A1_B_L19</t>
  </si>
  <si>
    <t>A1_C_L19</t>
  </si>
  <si>
    <t>A1_D_L19</t>
  </si>
  <si>
    <t>A1_Y_L19</t>
  </si>
  <si>
    <t>A1_Z_L19</t>
  </si>
  <si>
    <t>A1_X_L19</t>
  </si>
  <si>
    <t>A2_A_L19</t>
  </si>
  <si>
    <t>A2_B_L19</t>
  </si>
  <si>
    <t>A2_C_L19</t>
  </si>
  <si>
    <t>A2_D_L19</t>
  </si>
  <si>
    <t>A2_Y_L19</t>
  </si>
  <si>
    <t>A2_Z_L19</t>
  </si>
  <si>
    <t>A2_X_L19</t>
  </si>
  <si>
    <t>A3_A_L19</t>
  </si>
  <si>
    <t>A3_B_L19</t>
  </si>
  <si>
    <t>A3_C_L19</t>
  </si>
  <si>
    <t>A3_D_L19</t>
  </si>
  <si>
    <t>A3_Y_L19</t>
  </si>
  <si>
    <t>A3_Z_L19</t>
  </si>
  <si>
    <t>A3_X_L19</t>
  </si>
  <si>
    <t>A4_A_L19</t>
  </si>
  <si>
    <t>A4_B_L19</t>
  </si>
  <si>
    <t>A4_C_L19</t>
  </si>
  <si>
    <t>A4_D_L19</t>
  </si>
  <si>
    <t>A4_Y_L19</t>
  </si>
  <si>
    <t>A4_Z_L19</t>
  </si>
  <si>
    <t>A4_X_L19</t>
  </si>
  <si>
    <t>A5_A_L19</t>
  </si>
  <si>
    <t>A5_B_L19</t>
  </si>
  <si>
    <t>A5_C_L19</t>
  </si>
  <si>
    <t>A5_D_L19</t>
  </si>
  <si>
    <t>A5_Y_L19</t>
  </si>
  <si>
    <t>A5_Z_L19</t>
  </si>
  <si>
    <t>A5_X_L19</t>
  </si>
  <si>
    <t>A6_A_L19</t>
  </si>
  <si>
    <t>A6_B_L19</t>
  </si>
  <si>
    <t>A6_C_L19</t>
  </si>
  <si>
    <t>A6_D_L19</t>
  </si>
  <si>
    <t>A6_Y_L19</t>
  </si>
  <si>
    <t>A6_Z_L19</t>
  </si>
  <si>
    <t>A6_X_L19</t>
  </si>
  <si>
    <t>A7_A_L19</t>
  </si>
  <si>
    <t>A7_B_L19</t>
  </si>
  <si>
    <t>A7_C_L19</t>
  </si>
  <si>
    <t>A7_D_L19</t>
  </si>
  <si>
    <t>A7_Y_L19</t>
  </si>
  <si>
    <t>A7_Z_L19</t>
  </si>
  <si>
    <t>A7_X_L19</t>
  </si>
  <si>
    <t>A8_A_L19</t>
  </si>
  <si>
    <t>A8_B_L19</t>
  </si>
  <si>
    <t>A8_C_L19</t>
  </si>
  <si>
    <t>A8_D_L19</t>
  </si>
  <si>
    <t>A8_Y_L19</t>
  </si>
  <si>
    <t>A8_Z_L19</t>
  </si>
  <si>
    <t>A8_X_L19</t>
  </si>
  <si>
    <t>A9_A_L19</t>
  </si>
  <si>
    <t>A9_B_L19</t>
  </si>
  <si>
    <t>A9_C_L19</t>
  </si>
  <si>
    <t>A9_D_L19</t>
  </si>
  <si>
    <t>A9_Y_L19</t>
  </si>
  <si>
    <t>A9_Z_L19</t>
  </si>
  <si>
    <t>A9_X_L19</t>
  </si>
  <si>
    <t>A10_A_L19</t>
  </si>
  <si>
    <t>A10_B_L19</t>
  </si>
  <si>
    <t>A10_C_L19</t>
  </si>
  <si>
    <t>A10_D_L19</t>
  </si>
  <si>
    <t>A10_Y_L19</t>
  </si>
  <si>
    <t>A10_Z_L19</t>
  </si>
  <si>
    <t>A10_X_L19</t>
  </si>
  <si>
    <t>A11_A_L19</t>
  </si>
  <si>
    <t>A11_B_L19</t>
  </si>
  <si>
    <t>A11_C_L19</t>
  </si>
  <si>
    <t>A11_D_L19</t>
  </si>
  <si>
    <t>A11_Y_L19</t>
  </si>
  <si>
    <t>A11_Z_L19</t>
  </si>
  <si>
    <t>A11_X_L19</t>
  </si>
  <si>
    <t>A12_A_L19</t>
  </si>
  <si>
    <t>A12_B_L19</t>
  </si>
  <si>
    <t>A12_C_L19</t>
  </si>
  <si>
    <t>A12_D_L19</t>
  </si>
  <si>
    <t>A12_Y_L19</t>
  </si>
  <si>
    <t>A12_Z_L19</t>
  </si>
  <si>
    <t>A12_X_L19</t>
  </si>
  <si>
    <t>P_A1_L19</t>
  </si>
  <si>
    <t>P_A2_L19</t>
  </si>
  <si>
    <t>P_A3_L19</t>
  </si>
  <si>
    <t>P_A4_L19</t>
  </si>
  <si>
    <t>P_A5_L19</t>
  </si>
  <si>
    <t>P_A6_L19</t>
  </si>
  <si>
    <t>P_A7_L19</t>
  </si>
  <si>
    <t>P_A8_L19</t>
  </si>
  <si>
    <t>P_A9_L19</t>
  </si>
  <si>
    <t>P_A10_L19</t>
  </si>
  <si>
    <t>P_A11_L19</t>
  </si>
  <si>
    <t>P_A12_L19</t>
  </si>
  <si>
    <t>A1_A_L20</t>
  </si>
  <si>
    <t>A1_B_L20</t>
  </si>
  <si>
    <t>A1_C_L20</t>
  </si>
  <si>
    <t>A1_D_L20</t>
  </si>
  <si>
    <t>A1_Y_L20</t>
  </si>
  <si>
    <t>A1_Z_L20</t>
  </si>
  <si>
    <t>A1_X_L20</t>
  </si>
  <si>
    <t>A2_A_L20</t>
  </si>
  <si>
    <t>A2_B_L20</t>
  </si>
  <si>
    <t>A2_C_L20</t>
  </si>
  <si>
    <t>A2_D_L20</t>
  </si>
  <si>
    <t>A2_Y_L20</t>
  </si>
  <si>
    <t>A2_Z_L20</t>
  </si>
  <si>
    <t>A2_X_L20</t>
  </si>
  <si>
    <t>A3_A_L20</t>
  </si>
  <si>
    <t>A3_B_L20</t>
  </si>
  <si>
    <t>A3_C_L20</t>
  </si>
  <si>
    <t>A3_D_L20</t>
  </si>
  <si>
    <t>A3_Y_L20</t>
  </si>
  <si>
    <t>A3_Z_L20</t>
  </si>
  <si>
    <t>A3_X_L20</t>
  </si>
  <si>
    <t>A4_A_L20</t>
  </si>
  <si>
    <t>A4_B_L20</t>
  </si>
  <si>
    <t>A4_C_L20</t>
  </si>
  <si>
    <t>A4_D_L20</t>
  </si>
  <si>
    <t>A4_Y_L20</t>
  </si>
  <si>
    <t>A4_Z_L20</t>
  </si>
  <si>
    <t>A4_X_L20</t>
  </si>
  <si>
    <t>A5_A_L20</t>
  </si>
  <si>
    <t>A5_B_L20</t>
  </si>
  <si>
    <t>A5_C_L20</t>
  </si>
  <si>
    <t>A5_D_L20</t>
  </si>
  <si>
    <t>A5_Y_L20</t>
  </si>
  <si>
    <t>A5_Z_L20</t>
  </si>
  <si>
    <t>A5_X_L20</t>
  </si>
  <si>
    <t>A6_A_L20</t>
  </si>
  <si>
    <t>A6_B_L20</t>
  </si>
  <si>
    <t>A6_C_L20</t>
  </si>
  <si>
    <t>A6_D_L20</t>
  </si>
  <si>
    <t>A6_Y_L20</t>
  </si>
  <si>
    <t>A6_Z_L20</t>
  </si>
  <si>
    <t>A6_X_L20</t>
  </si>
  <si>
    <t>A7_A_L20</t>
  </si>
  <si>
    <t>A7_B_L20</t>
  </si>
  <si>
    <t>A7_C_L20</t>
  </si>
  <si>
    <t>A7_D_L20</t>
  </si>
  <si>
    <t>A7_Y_L20</t>
  </si>
  <si>
    <t>A7_Z_L20</t>
  </si>
  <si>
    <t>A7_X_L20</t>
  </si>
  <si>
    <t>A8_A_L20</t>
  </si>
  <si>
    <t>A8_B_L20</t>
  </si>
  <si>
    <t>A8_C_L20</t>
  </si>
  <si>
    <t>A8_D_L20</t>
  </si>
  <si>
    <t>A8_Y_L20</t>
  </si>
  <si>
    <t>A8_Z_L20</t>
  </si>
  <si>
    <t>A8_X_L20</t>
  </si>
  <si>
    <t>A9_A_L20</t>
  </si>
  <si>
    <t>A9_B_L20</t>
  </si>
  <si>
    <t>A9_C_L20</t>
  </si>
  <si>
    <t>A9_D_L20</t>
  </si>
  <si>
    <t>A9_Y_L20</t>
  </si>
  <si>
    <t>A9_Z_L20</t>
  </si>
  <si>
    <t>A9_X_L20</t>
  </si>
  <si>
    <t>A10_A_L20</t>
  </si>
  <si>
    <t>A10_B_L20</t>
  </si>
  <si>
    <t>A10_C_L20</t>
  </si>
  <si>
    <t>A10_D_L20</t>
  </si>
  <si>
    <t>A10_Y_L20</t>
  </si>
  <si>
    <t>A10_Z_L20</t>
  </si>
  <si>
    <t>A10_X_L20</t>
  </si>
  <si>
    <t>A11_A_L20</t>
  </si>
  <si>
    <t>A11_B_L20</t>
  </si>
  <si>
    <t>A11_C_L20</t>
  </si>
  <si>
    <t>A11_D_L20</t>
  </si>
  <si>
    <t>A11_Y_L20</t>
  </si>
  <si>
    <t>A11_Z_L20</t>
  </si>
  <si>
    <t>A11_X_L20</t>
  </si>
  <si>
    <t>A12_A_L20</t>
  </si>
  <si>
    <t>A12_B_L20</t>
  </si>
  <si>
    <t>A12_C_L20</t>
  </si>
  <si>
    <t>A12_D_L20</t>
  </si>
  <si>
    <t>A12_Y_L20</t>
  </si>
  <si>
    <t>A12_Z_L20</t>
  </si>
  <si>
    <t>A12_X_L20</t>
  </si>
  <si>
    <t>P_A1_L20</t>
  </si>
  <si>
    <t>P_A2_L20</t>
  </si>
  <si>
    <t>P_A3_L20</t>
  </si>
  <si>
    <t>P_A4_L20</t>
  </si>
  <si>
    <t>P_A5_L20</t>
  </si>
  <si>
    <t>P_A6_L20</t>
  </si>
  <si>
    <t>P_A7_L20</t>
  </si>
  <si>
    <t>P_A8_L20</t>
  </si>
  <si>
    <t>P_A9_L20</t>
  </si>
  <si>
    <t>P_A10_L20</t>
  </si>
  <si>
    <t>P_A11_L20</t>
  </si>
  <si>
    <t>P_A12_L20</t>
  </si>
  <si>
    <t>A1_A_L21</t>
  </si>
  <si>
    <t>A1_B_L21</t>
  </si>
  <si>
    <t>A1_C_L21</t>
  </si>
  <si>
    <t>A1_D_L21</t>
  </si>
  <si>
    <t>A1_Y_L21</t>
  </si>
  <si>
    <t>A1_Z_L21</t>
  </si>
  <si>
    <t>A1_X_L21</t>
  </si>
  <si>
    <t>A2_A_L21</t>
  </si>
  <si>
    <t>A2_B_L21</t>
  </si>
  <si>
    <t>A2_C_L21</t>
  </si>
  <si>
    <t>A2_D_L21</t>
  </si>
  <si>
    <t>A2_Y_L21</t>
  </si>
  <si>
    <t>A2_Z_L21</t>
  </si>
  <si>
    <t>A2_X_L21</t>
  </si>
  <si>
    <t>A3_A_L21</t>
  </si>
  <si>
    <t>A3_B_L21</t>
  </si>
  <si>
    <t>A3_C_L21</t>
  </si>
  <si>
    <t>A3_D_L21</t>
  </si>
  <si>
    <t>A3_Y_L21</t>
  </si>
  <si>
    <t>A3_Z_L21</t>
  </si>
  <si>
    <t>A3_X_L21</t>
  </si>
  <si>
    <t>A4_A_L21</t>
  </si>
  <si>
    <t>A4_B_L21</t>
  </si>
  <si>
    <t>A4_C_L21</t>
  </si>
  <si>
    <t>A4_D_L21</t>
  </si>
  <si>
    <t>A4_Y_L21</t>
  </si>
  <si>
    <t>A4_Z_L21</t>
  </si>
  <si>
    <t>A4_X_L21</t>
  </si>
  <si>
    <t>A5_A_L21</t>
  </si>
  <si>
    <t>A5_B_L21</t>
  </si>
  <si>
    <t>A5_C_L21</t>
  </si>
  <si>
    <t>A5_D_L21</t>
  </si>
  <si>
    <t>A5_Y_L21</t>
  </si>
  <si>
    <t>A5_Z_L21</t>
  </si>
  <si>
    <t>A5_X_L21</t>
  </si>
  <si>
    <t>A6_A_L21</t>
  </si>
  <si>
    <t>A6_B_L21</t>
  </si>
  <si>
    <t>A6_C_L21</t>
  </si>
  <si>
    <t>A6_D_L21</t>
  </si>
  <si>
    <t>A6_Y_L21</t>
  </si>
  <si>
    <t>A6_Z_L21</t>
  </si>
  <si>
    <t>A6_X_L21</t>
  </si>
  <si>
    <t>A7_A_L21</t>
  </si>
  <si>
    <t>A7_B_L21</t>
  </si>
  <si>
    <t>A7_C_L21</t>
  </si>
  <si>
    <t>A7_D_L21</t>
  </si>
  <si>
    <t>A7_Y_L21</t>
  </si>
  <si>
    <t>A7_Z_L21</t>
  </si>
  <si>
    <t>A7_X_L21</t>
  </si>
  <si>
    <t>A8_A_L21</t>
  </si>
  <si>
    <t>A8_B_L21</t>
  </si>
  <si>
    <t>A8_C_L21</t>
  </si>
  <si>
    <t>A8_D_L21</t>
  </si>
  <si>
    <t>A8_Y_L21</t>
  </si>
  <si>
    <t>A8_Z_L21</t>
  </si>
  <si>
    <t>A8_X_L21</t>
  </si>
  <si>
    <t>A9_A_L21</t>
  </si>
  <si>
    <t>A9_B_L21</t>
  </si>
  <si>
    <t>A9_C_L21</t>
  </si>
  <si>
    <t>A9_D_L21</t>
  </si>
  <si>
    <t>A9_Y_L21</t>
  </si>
  <si>
    <t>A9_Z_L21</t>
  </si>
  <si>
    <t>A9_X_L21</t>
  </si>
  <si>
    <t>A10_A_L21</t>
  </si>
  <si>
    <t>A10_B_L21</t>
  </si>
  <si>
    <t>A10_C_L21</t>
  </si>
  <si>
    <t>A10_D_L21</t>
  </si>
  <si>
    <t>A10_Y_L21</t>
  </si>
  <si>
    <t>A10_Z_L21</t>
  </si>
  <si>
    <t>A10_X_L21</t>
  </si>
  <si>
    <t>A11_A_L21</t>
  </si>
  <si>
    <t>A11_B_L21</t>
  </si>
  <si>
    <t>A11_C_L21</t>
  </si>
  <si>
    <t>A11_D_L21</t>
  </si>
  <si>
    <t>A11_Y_L21</t>
  </si>
  <si>
    <t>A11_Z_L21</t>
  </si>
  <si>
    <t>A11_X_L21</t>
  </si>
  <si>
    <t>A12_A_L21</t>
  </si>
  <si>
    <t>A12_B_L21</t>
  </si>
  <si>
    <t>A12_C_L21</t>
  </si>
  <si>
    <t>A12_D_L21</t>
  </si>
  <si>
    <t>A12_Y_L21</t>
  </si>
  <si>
    <t>A12_Z_L21</t>
  </si>
  <si>
    <t>A12_X_L21</t>
  </si>
  <si>
    <t>P_A1_L21</t>
  </si>
  <si>
    <t>P_A2_L21</t>
  </si>
  <si>
    <t>P_A3_L21</t>
  </si>
  <si>
    <t>P_A4_L21</t>
  </si>
  <si>
    <t>P_A5_L21</t>
  </si>
  <si>
    <t>P_A6_L21</t>
  </si>
  <si>
    <t>P_A7_L21</t>
  </si>
  <si>
    <t>P_A8_L21</t>
  </si>
  <si>
    <t>P_A9_L21</t>
  </si>
  <si>
    <t>P_A10_L21</t>
  </si>
  <si>
    <t>P_A11_L21</t>
  </si>
  <si>
    <t>P_A12_L21</t>
  </si>
  <si>
    <t>A1_A_L22</t>
  </si>
  <si>
    <t>A1_B_L22</t>
  </si>
  <si>
    <t>A1_C_L22</t>
  </si>
  <si>
    <t>A1_D_L22</t>
  </si>
  <si>
    <t>A1_Y_L22</t>
  </si>
  <si>
    <t>A1_Z_L22</t>
  </si>
  <si>
    <t>A1_X_L22</t>
  </si>
  <si>
    <t>A2_A_L22</t>
  </si>
  <si>
    <t>A2_B_L22</t>
  </si>
  <si>
    <t>A2_C_L22</t>
  </si>
  <si>
    <t>A2_D_L22</t>
  </si>
  <si>
    <t>A2_Y_L22</t>
  </si>
  <si>
    <t>A2_Z_L22</t>
  </si>
  <si>
    <t>A2_X_L22</t>
  </si>
  <si>
    <t>A3_A_L22</t>
  </si>
  <si>
    <t>A3_B_L22</t>
  </si>
  <si>
    <t>A3_C_L22</t>
  </si>
  <si>
    <t>A3_D_L22</t>
  </si>
  <si>
    <t>A3_Y_L22</t>
  </si>
  <si>
    <t>A3_Z_L22</t>
  </si>
  <si>
    <t>A3_X_L22</t>
  </si>
  <si>
    <t>A4_A_L22</t>
  </si>
  <si>
    <t>A4_B_L22</t>
  </si>
  <si>
    <t>A4_C_L22</t>
  </si>
  <si>
    <t>A4_D_L22</t>
  </si>
  <si>
    <t>A4_Y_L22</t>
  </si>
  <si>
    <t>A4_Z_L22</t>
  </si>
  <si>
    <t>A4_X_L22</t>
  </si>
  <si>
    <t>A5_A_L22</t>
  </si>
  <si>
    <t>A5_B_L22</t>
  </si>
  <si>
    <t>A5_C_L22</t>
  </si>
  <si>
    <t>A5_D_L22</t>
  </si>
  <si>
    <t>A5_Y_L22</t>
  </si>
  <si>
    <t>A5_Z_L22</t>
  </si>
  <si>
    <t>A5_X_L22</t>
  </si>
  <si>
    <t>A6_A_L22</t>
  </si>
  <si>
    <t>A6_B_L22</t>
  </si>
  <si>
    <t>A6_C_L22</t>
  </si>
  <si>
    <t>A6_D_L22</t>
  </si>
  <si>
    <t>A6_Y_L22</t>
  </si>
  <si>
    <t>A6_Z_L22</t>
  </si>
  <si>
    <t>A6_X_L22</t>
  </si>
  <si>
    <t>A7_A_L22</t>
  </si>
  <si>
    <t>A7_B_L22</t>
  </si>
  <si>
    <t>A7_C_L22</t>
  </si>
  <si>
    <t>A7_D_L22</t>
  </si>
  <si>
    <t>A7_Y_L22</t>
  </si>
  <si>
    <t>A7_Z_L22</t>
  </si>
  <si>
    <t>A7_X_L22</t>
  </si>
  <si>
    <t>A8_A_L22</t>
  </si>
  <si>
    <t>A8_B_L22</t>
  </si>
  <si>
    <t>A8_C_L22</t>
  </si>
  <si>
    <t>A8_D_L22</t>
  </si>
  <si>
    <t>A8_Y_L22</t>
  </si>
  <si>
    <t>A8_Z_L22</t>
  </si>
  <si>
    <t>A8_X_L22</t>
  </si>
  <si>
    <t>A9_A_L22</t>
  </si>
  <si>
    <t>A9_B_L22</t>
  </si>
  <si>
    <t>A9_C_L22</t>
  </si>
  <si>
    <t>A9_D_L22</t>
  </si>
  <si>
    <t>A9_Y_L22</t>
  </si>
  <si>
    <t>A9_Z_L22</t>
  </si>
  <si>
    <t>A9_X_L22</t>
  </si>
  <si>
    <t>A10_A_L22</t>
  </si>
  <si>
    <t>A10_B_L22</t>
  </si>
  <si>
    <t>A10_C_L22</t>
  </si>
  <si>
    <t>A10_D_L22</t>
  </si>
  <si>
    <t>A10_Y_L22</t>
  </si>
  <si>
    <t>A10_Z_L22</t>
  </si>
  <si>
    <t>A10_X_L22</t>
  </si>
  <si>
    <t>A11_A_L22</t>
  </si>
  <si>
    <t>A11_B_L22</t>
  </si>
  <si>
    <t>A11_C_L22</t>
  </si>
  <si>
    <t>A11_D_L22</t>
  </si>
  <si>
    <t>A11_Y_L22</t>
  </si>
  <si>
    <t>A11_Z_L22</t>
  </si>
  <si>
    <t>A11_X_L22</t>
  </si>
  <si>
    <t>A12_A_L22</t>
  </si>
  <si>
    <t>A12_B_L22</t>
  </si>
  <si>
    <t>A12_C_L22</t>
  </si>
  <si>
    <t>A12_D_L22</t>
  </si>
  <si>
    <t>A12_Y_L22</t>
  </si>
  <si>
    <t>A12_Z_L22</t>
  </si>
  <si>
    <t>A12_X_L22</t>
  </si>
  <si>
    <t>P_A1_L22</t>
  </si>
  <si>
    <t>P_A2_L22</t>
  </si>
  <si>
    <t>P_A3_L22</t>
  </si>
  <si>
    <t>P_A4_L22</t>
  </si>
  <si>
    <t>P_A5_L22</t>
  </si>
  <si>
    <t>P_A6_L22</t>
  </si>
  <si>
    <t>P_A7_L22</t>
  </si>
  <si>
    <t>P_A8_L22</t>
  </si>
  <si>
    <t>P_A9_L22</t>
  </si>
  <si>
    <t>P_A10_L22</t>
  </si>
  <si>
    <t>P_A11_L22</t>
  </si>
  <si>
    <t>P_A12_L22</t>
  </si>
  <si>
    <t>A1_A_L23</t>
  </si>
  <si>
    <t>A1_B_L23</t>
  </si>
  <si>
    <t>A1_C_L23</t>
  </si>
  <si>
    <t>A1_D_L23</t>
  </si>
  <si>
    <t>A1_Y_L23</t>
  </si>
  <si>
    <t>A1_Z_L23</t>
  </si>
  <si>
    <t>A1_X_L23</t>
  </si>
  <si>
    <t>A2_A_L23</t>
  </si>
  <si>
    <t>A2_B_L23</t>
  </si>
  <si>
    <t>A2_C_L23</t>
  </si>
  <si>
    <t>A2_D_L23</t>
  </si>
  <si>
    <t>A2_Y_L23</t>
  </si>
  <si>
    <t>A2_Z_L23</t>
  </si>
  <si>
    <t>A2_X_L23</t>
  </si>
  <si>
    <t>A3_A_L23</t>
  </si>
  <si>
    <t>A3_B_L23</t>
  </si>
  <si>
    <t>A3_C_L23</t>
  </si>
  <si>
    <t>A3_D_L23</t>
  </si>
  <si>
    <t>A3_Y_L23</t>
  </si>
  <si>
    <t>A3_Z_L23</t>
  </si>
  <si>
    <t>A3_X_L23</t>
  </si>
  <si>
    <t>A4_A_L23</t>
  </si>
  <si>
    <t>A4_B_L23</t>
  </si>
  <si>
    <t>A4_C_L23</t>
  </si>
  <si>
    <t>A4_D_L23</t>
  </si>
  <si>
    <t>A4_Y_L23</t>
  </si>
  <si>
    <t>A4_Z_L23</t>
  </si>
  <si>
    <t>A4_X_L23</t>
  </si>
  <si>
    <t>A5_A_L23</t>
  </si>
  <si>
    <t>A5_B_L23</t>
  </si>
  <si>
    <t>A5_C_L23</t>
  </si>
  <si>
    <t>A5_D_L23</t>
  </si>
  <si>
    <t>A5_Y_L23</t>
  </si>
  <si>
    <t>A5_Z_L23</t>
  </si>
  <si>
    <t>A5_X_L23</t>
  </si>
  <si>
    <t>A6_A_L23</t>
  </si>
  <si>
    <t>A6_B_L23</t>
  </si>
  <si>
    <t>A6_C_L23</t>
  </si>
  <si>
    <t>A6_D_L23</t>
  </si>
  <si>
    <t>A6_Y_L23</t>
  </si>
  <si>
    <t>A6_Z_L23</t>
  </si>
  <si>
    <t>A6_X_L23</t>
  </si>
  <si>
    <t>A7_A_L23</t>
  </si>
  <si>
    <t>A7_B_L23</t>
  </si>
  <si>
    <t>A7_C_L23</t>
  </si>
  <si>
    <t>A7_D_L23</t>
  </si>
  <si>
    <t>A7_Y_L23</t>
  </si>
  <si>
    <t>A7_Z_L23</t>
  </si>
  <si>
    <t>A7_X_L23</t>
  </si>
  <si>
    <t>A8_A_L23</t>
  </si>
  <si>
    <t>A8_B_L23</t>
  </si>
  <si>
    <t>A8_C_L23</t>
  </si>
  <si>
    <t>A8_D_L23</t>
  </si>
  <si>
    <t>A8_Y_L23</t>
  </si>
  <si>
    <t>A8_Z_L23</t>
  </si>
  <si>
    <t>A8_X_L23</t>
  </si>
  <si>
    <t>A9_A_L23</t>
  </si>
  <si>
    <t>A9_B_L23</t>
  </si>
  <si>
    <t>A9_C_L23</t>
  </si>
  <si>
    <t>A9_D_L23</t>
  </si>
  <si>
    <t>A9_Y_L23</t>
  </si>
  <si>
    <t>A9_Z_L23</t>
  </si>
  <si>
    <t>A9_X_L23</t>
  </si>
  <si>
    <t>A10_A_L23</t>
  </si>
  <si>
    <t>A10_B_L23</t>
  </si>
  <si>
    <t>A10_C_L23</t>
  </si>
  <si>
    <t>A10_D_L23</t>
  </si>
  <si>
    <t>A10_Y_L23</t>
  </si>
  <si>
    <t>A10_Z_L23</t>
  </si>
  <si>
    <t>A10_X_L23</t>
  </si>
  <si>
    <t>A11_A_L23</t>
  </si>
  <si>
    <t>A11_B_L23</t>
  </si>
  <si>
    <t>A11_C_L23</t>
  </si>
  <si>
    <t>A11_D_L23</t>
  </si>
  <si>
    <t>A11_Y_L23</t>
  </si>
  <si>
    <t>A11_Z_L23</t>
  </si>
  <si>
    <t>A11_X_L23</t>
  </si>
  <si>
    <t>A12_A_L23</t>
  </si>
  <si>
    <t>A12_B_L23</t>
  </si>
  <si>
    <t>A12_C_L23</t>
  </si>
  <si>
    <t>A12_D_L23</t>
  </si>
  <si>
    <t>A12_Y_L23</t>
  </si>
  <si>
    <t>A12_Z_L23</t>
  </si>
  <si>
    <t>A12_X_L23</t>
  </si>
  <si>
    <t>P_A1_L23</t>
  </si>
  <si>
    <t>P_A2_L23</t>
  </si>
  <si>
    <t>P_A3_L23</t>
  </si>
  <si>
    <t>P_A4_L23</t>
  </si>
  <si>
    <t>P_A5_L23</t>
  </si>
  <si>
    <t>P_A6_L23</t>
  </si>
  <si>
    <t>P_A7_L23</t>
  </si>
  <si>
    <t>P_A8_L23</t>
  </si>
  <si>
    <t>P_A9_L23</t>
  </si>
  <si>
    <t>P_A10_L23</t>
  </si>
  <si>
    <t>P_A11_L23</t>
  </si>
  <si>
    <t>P_A12_L23</t>
  </si>
  <si>
    <t>A1_A_L24</t>
  </si>
  <si>
    <t>A1_B_L24</t>
  </si>
  <si>
    <t>A1_C_L24</t>
  </si>
  <si>
    <t>A1_D_L24</t>
  </si>
  <si>
    <t>A1_Y_L24</t>
  </si>
  <si>
    <t>A1_Z_L24</t>
  </si>
  <si>
    <t>A1_X_L24</t>
  </si>
  <si>
    <t>A2_A_L24</t>
  </si>
  <si>
    <t>A2_B_L24</t>
  </si>
  <si>
    <t>A2_C_L24</t>
  </si>
  <si>
    <t>A2_D_L24</t>
  </si>
  <si>
    <t>A2_Y_L24</t>
  </si>
  <si>
    <t>A2_Z_L24</t>
  </si>
  <si>
    <t>A2_X_L24</t>
  </si>
  <si>
    <t>A3_A_L24</t>
  </si>
  <si>
    <t>A3_B_L24</t>
  </si>
  <si>
    <t>A3_C_L24</t>
  </si>
  <si>
    <t>A3_D_L24</t>
  </si>
  <si>
    <t>A3_Y_L24</t>
  </si>
  <si>
    <t>A3_Z_L24</t>
  </si>
  <si>
    <t>A3_X_L24</t>
  </si>
  <si>
    <t>A4_A_L24</t>
  </si>
  <si>
    <t>A4_B_L24</t>
  </si>
  <si>
    <t>A4_C_L24</t>
  </si>
  <si>
    <t>A4_D_L24</t>
  </si>
  <si>
    <t>A4_Y_L24</t>
  </si>
  <si>
    <t>A4_Z_L24</t>
  </si>
  <si>
    <t>A4_X_L24</t>
  </si>
  <si>
    <t>A5_A_L24</t>
  </si>
  <si>
    <t>A5_B_L24</t>
  </si>
  <si>
    <t>A5_C_L24</t>
  </si>
  <si>
    <t>A5_D_L24</t>
  </si>
  <si>
    <t>A5_Y_L24</t>
  </si>
  <si>
    <t>A5_Z_L24</t>
  </si>
  <si>
    <t>A5_X_L24</t>
  </si>
  <si>
    <t>A6_A_L24</t>
  </si>
  <si>
    <t>A6_B_L24</t>
  </si>
  <si>
    <t>A6_C_L24</t>
  </si>
  <si>
    <t>A6_D_L24</t>
  </si>
  <si>
    <t>A6_Y_L24</t>
  </si>
  <si>
    <t>A6_Z_L24</t>
  </si>
  <si>
    <t>A6_X_L24</t>
  </si>
  <si>
    <t>A7_A_L24</t>
  </si>
  <si>
    <t>A7_B_L24</t>
  </si>
  <si>
    <t>A7_C_L24</t>
  </si>
  <si>
    <t>A7_D_L24</t>
  </si>
  <si>
    <t>A7_Y_L24</t>
  </si>
  <si>
    <t>A7_Z_L24</t>
  </si>
  <si>
    <t>A7_X_L24</t>
  </si>
  <si>
    <t>A8_A_L24</t>
  </si>
  <si>
    <t>A8_B_L24</t>
  </si>
  <si>
    <t>A8_C_L24</t>
  </si>
  <si>
    <t>A8_D_L24</t>
  </si>
  <si>
    <t>A8_Y_L24</t>
  </si>
  <si>
    <t>A8_Z_L24</t>
  </si>
  <si>
    <t>A8_X_L24</t>
  </si>
  <si>
    <t>A9_A_L24</t>
  </si>
  <si>
    <t>A9_B_L24</t>
  </si>
  <si>
    <t>A9_C_L24</t>
  </si>
  <si>
    <t>A9_D_L24</t>
  </si>
  <si>
    <t>A9_Y_L24</t>
  </si>
  <si>
    <t>A9_Z_L24</t>
  </si>
  <si>
    <t>A9_X_L24</t>
  </si>
  <si>
    <t>A10_A_L24</t>
  </si>
  <si>
    <t>A10_B_L24</t>
  </si>
  <si>
    <t>A10_C_L24</t>
  </si>
  <si>
    <t>A10_D_L24</t>
  </si>
  <si>
    <t>A10_Y_L24</t>
  </si>
  <si>
    <t>A10_Z_L24</t>
  </si>
  <si>
    <t>A10_X_L24</t>
  </si>
  <si>
    <t>A11_A_L24</t>
  </si>
  <si>
    <t>A11_B_L24</t>
  </si>
  <si>
    <t>A11_C_L24</t>
  </si>
  <si>
    <t>A11_D_L24</t>
  </si>
  <si>
    <t>A11_Y_L24</t>
  </si>
  <si>
    <t>A11_Z_L24</t>
  </si>
  <si>
    <t>A11_X_L24</t>
  </si>
  <si>
    <t>A12_A_L24</t>
  </si>
  <si>
    <t>A12_B_L24</t>
  </si>
  <si>
    <t>A12_C_L24</t>
  </si>
  <si>
    <t>A12_D_L24</t>
  </si>
  <si>
    <t>A12_Y_L24</t>
  </si>
  <si>
    <t>A12_Z_L24</t>
  </si>
  <si>
    <t>A12_X_L24</t>
  </si>
  <si>
    <t>P_A1_L24</t>
  </si>
  <si>
    <t>P_A2_L24</t>
  </si>
  <si>
    <t>P_A3_L24</t>
  </si>
  <si>
    <t>P_A4_L24</t>
  </si>
  <si>
    <t>P_A5_L24</t>
  </si>
  <si>
    <t>P_A6_L24</t>
  </si>
  <si>
    <t>P_A7_L24</t>
  </si>
  <si>
    <t>P_A8_L24</t>
  </si>
  <si>
    <t>P_A9_L24</t>
  </si>
  <si>
    <t>P_A10_L24</t>
  </si>
  <si>
    <t>P_A11_L24</t>
  </si>
  <si>
    <t>P_A12_L24</t>
  </si>
  <si>
    <t>A1_A_L25</t>
  </si>
  <si>
    <t>A1_B_L25</t>
  </si>
  <si>
    <t>A1_C_L25</t>
  </si>
  <si>
    <t>A1_D_L25</t>
  </si>
  <si>
    <t>A1_Y_L25</t>
  </si>
  <si>
    <t>A1_Z_L25</t>
  </si>
  <si>
    <t>A1_X_L25</t>
  </si>
  <si>
    <t>A2_A_L25</t>
  </si>
  <si>
    <t>A2_B_L25</t>
  </si>
  <si>
    <t>A2_C_L25</t>
  </si>
  <si>
    <t>A2_D_L25</t>
  </si>
  <si>
    <t>A2_Y_L25</t>
  </si>
  <si>
    <t>A2_Z_L25</t>
  </si>
  <si>
    <t>A2_X_L25</t>
  </si>
  <si>
    <t>A3_A_L25</t>
  </si>
  <si>
    <t>A3_B_L25</t>
  </si>
  <si>
    <t>A3_C_L25</t>
  </si>
  <si>
    <t>A3_D_L25</t>
  </si>
  <si>
    <t>A3_Y_L25</t>
  </si>
  <si>
    <t>A3_Z_L25</t>
  </si>
  <si>
    <t>A3_X_L25</t>
  </si>
  <si>
    <t>A4_A_L25</t>
  </si>
  <si>
    <t>A4_B_L25</t>
  </si>
  <si>
    <t>A4_C_L25</t>
  </si>
  <si>
    <t>A4_D_L25</t>
  </si>
  <si>
    <t>A4_Y_L25</t>
  </si>
  <si>
    <t>A4_Z_L25</t>
  </si>
  <si>
    <t>A4_X_L25</t>
  </si>
  <si>
    <t>A5_A_L25</t>
  </si>
  <si>
    <t>A5_B_L25</t>
  </si>
  <si>
    <t>A5_C_L25</t>
  </si>
  <si>
    <t>A5_D_L25</t>
  </si>
  <si>
    <t>A5_Y_L25</t>
  </si>
  <si>
    <t>A5_Z_L25</t>
  </si>
  <si>
    <t>A5_X_L25</t>
  </si>
  <si>
    <t>A6_A_L25</t>
  </si>
  <si>
    <t>A6_B_L25</t>
  </si>
  <si>
    <t>A6_C_L25</t>
  </si>
  <si>
    <t>A6_D_L25</t>
  </si>
  <si>
    <t>A6_Y_L25</t>
  </si>
  <si>
    <t>A6_Z_L25</t>
  </si>
  <si>
    <t>A6_X_L25</t>
  </si>
  <si>
    <t>A7_A_L25</t>
  </si>
  <si>
    <t>A7_B_L25</t>
  </si>
  <si>
    <t>A7_C_L25</t>
  </si>
  <si>
    <t>A7_D_L25</t>
  </si>
  <si>
    <t>A7_Y_L25</t>
  </si>
  <si>
    <t>A7_Z_L25</t>
  </si>
  <si>
    <t>A7_X_L25</t>
  </si>
  <si>
    <t>A8_A_L25</t>
  </si>
  <si>
    <t>A8_B_L25</t>
  </si>
  <si>
    <t>A8_C_L25</t>
  </si>
  <si>
    <t>A8_D_L25</t>
  </si>
  <si>
    <t>A8_Y_L25</t>
  </si>
  <si>
    <t>A8_Z_L25</t>
  </si>
  <si>
    <t>A8_X_L25</t>
  </si>
  <si>
    <t>A9_A_L25</t>
  </si>
  <si>
    <t>A9_B_L25</t>
  </si>
  <si>
    <t>A9_C_L25</t>
  </si>
  <si>
    <t>A9_D_L25</t>
  </si>
  <si>
    <t>A9_Y_L25</t>
  </si>
  <si>
    <t>A9_Z_L25</t>
  </si>
  <si>
    <t>A9_X_L25</t>
  </si>
  <si>
    <t>A10_A_L25</t>
  </si>
  <si>
    <t>A10_B_L25</t>
  </si>
  <si>
    <t>A10_C_L25</t>
  </si>
  <si>
    <t>A10_D_L25</t>
  </si>
  <si>
    <t>A10_Y_L25</t>
  </si>
  <si>
    <t>A10_Z_L25</t>
  </si>
  <si>
    <t>A10_X_L25</t>
  </si>
  <si>
    <t>A11_A_L25</t>
  </si>
  <si>
    <t>A11_B_L25</t>
  </si>
  <si>
    <t>A11_C_L25</t>
  </si>
  <si>
    <t>A11_D_L25</t>
  </si>
  <si>
    <t>A11_Y_L25</t>
  </si>
  <si>
    <t>A11_Z_L25</t>
  </si>
  <si>
    <t>A11_X_L25</t>
  </si>
  <si>
    <t>A12_A_L25</t>
  </si>
  <si>
    <t>A12_B_L25</t>
  </si>
  <si>
    <t>A12_C_L25</t>
  </si>
  <si>
    <t>A12_D_L25</t>
  </si>
  <si>
    <t>A12_Y_L25</t>
  </si>
  <si>
    <t>A12_Z_L25</t>
  </si>
  <si>
    <t>A12_X_L25</t>
  </si>
  <si>
    <t>P_A1_L25</t>
  </si>
  <si>
    <t>P_A2_L25</t>
  </si>
  <si>
    <t>P_A3_L25</t>
  </si>
  <si>
    <t>P_A4_L25</t>
  </si>
  <si>
    <t>P_A5_L25</t>
  </si>
  <si>
    <t>P_A6_L25</t>
  </si>
  <si>
    <t>P_A7_L25</t>
  </si>
  <si>
    <t>P_A8_L25</t>
  </si>
  <si>
    <t>P_A9_L25</t>
  </si>
  <si>
    <t>P_A10_L25</t>
  </si>
  <si>
    <t>P_A11_L25</t>
  </si>
  <si>
    <t>P_A12_L25</t>
  </si>
  <si>
    <t>A1_A_L26</t>
  </si>
  <si>
    <t>A1_B_L26</t>
  </si>
  <si>
    <t>A1_C_L26</t>
  </si>
  <si>
    <t>A1_D_L26</t>
  </si>
  <si>
    <t>A1_Y_L26</t>
  </si>
  <si>
    <t>A1_Z_L26</t>
  </si>
  <si>
    <t>A1_X_L26</t>
  </si>
  <si>
    <t>A2_A_L26</t>
  </si>
  <si>
    <t>A2_B_L26</t>
  </si>
  <si>
    <t>A2_C_L26</t>
  </si>
  <si>
    <t>A2_D_L26</t>
  </si>
  <si>
    <t>A2_Y_L26</t>
  </si>
  <si>
    <t>A2_Z_L26</t>
  </si>
  <si>
    <t>A2_X_L26</t>
  </si>
  <si>
    <t>A3_A_L26</t>
  </si>
  <si>
    <t>A3_B_L26</t>
  </si>
  <si>
    <t>A3_C_L26</t>
  </si>
  <si>
    <t>A3_D_L26</t>
  </si>
  <si>
    <t>A3_Y_L26</t>
  </si>
  <si>
    <t>A3_Z_L26</t>
  </si>
  <si>
    <t>A3_X_L26</t>
  </si>
  <si>
    <t>A4_A_L26</t>
  </si>
  <si>
    <t>A4_B_L26</t>
  </si>
  <si>
    <t>A4_C_L26</t>
  </si>
  <si>
    <t>A4_D_L26</t>
  </si>
  <si>
    <t>A4_Y_L26</t>
  </si>
  <si>
    <t>A4_Z_L26</t>
  </si>
  <si>
    <t>A4_X_L26</t>
  </si>
  <si>
    <t>A5_A_L26</t>
  </si>
  <si>
    <t>A5_B_L26</t>
  </si>
  <si>
    <t>A5_C_L26</t>
  </si>
  <si>
    <t>A5_D_L26</t>
  </si>
  <si>
    <t>A5_Y_L26</t>
  </si>
  <si>
    <t>A5_Z_L26</t>
  </si>
  <si>
    <t>A5_X_L26</t>
  </si>
  <si>
    <t>A6_A_L26</t>
  </si>
  <si>
    <t>A6_B_L26</t>
  </si>
  <si>
    <t>A6_C_L26</t>
  </si>
  <si>
    <t>A6_D_L26</t>
  </si>
  <si>
    <t>A6_Y_L26</t>
  </si>
  <si>
    <t>A6_Z_L26</t>
  </si>
  <si>
    <t>A6_X_L26</t>
  </si>
  <si>
    <t>A7_A_L26</t>
  </si>
  <si>
    <t>A7_B_L26</t>
  </si>
  <si>
    <t>A7_C_L26</t>
  </si>
  <si>
    <t>A7_D_L26</t>
  </si>
  <si>
    <t>A7_Y_L26</t>
  </si>
  <si>
    <t>A7_Z_L26</t>
  </si>
  <si>
    <t>A7_X_L26</t>
  </si>
  <si>
    <t>A8_A_L26</t>
  </si>
  <si>
    <t>A8_B_L26</t>
  </si>
  <si>
    <t>A8_C_L26</t>
  </si>
  <si>
    <t>A8_D_L26</t>
  </si>
  <si>
    <t>A8_Y_L26</t>
  </si>
  <si>
    <t>A8_Z_L26</t>
  </si>
  <si>
    <t>A8_X_L26</t>
  </si>
  <si>
    <t>A9_A_L26</t>
  </si>
  <si>
    <t>A9_B_L26</t>
  </si>
  <si>
    <t>A9_C_L26</t>
  </si>
  <si>
    <t>A9_D_L26</t>
  </si>
  <si>
    <t>A9_Y_L26</t>
  </si>
  <si>
    <t>A9_Z_L26</t>
  </si>
  <si>
    <t>A9_X_L26</t>
  </si>
  <si>
    <t>A10_A_L26</t>
  </si>
  <si>
    <t>A10_B_L26</t>
  </si>
  <si>
    <t>A10_C_L26</t>
  </si>
  <si>
    <t>A10_D_L26</t>
  </si>
  <si>
    <t>A10_Y_L26</t>
  </si>
  <si>
    <t>A10_Z_L26</t>
  </si>
  <si>
    <t>A10_X_L26</t>
  </si>
  <si>
    <t>A11_A_L26</t>
  </si>
  <si>
    <t>A11_B_L26</t>
  </si>
  <si>
    <t>A11_C_L26</t>
  </si>
  <si>
    <t>A11_D_L26</t>
  </si>
  <si>
    <t>A11_Y_L26</t>
  </si>
  <si>
    <t>A11_Z_L26</t>
  </si>
  <si>
    <t>A11_X_L26</t>
  </si>
  <si>
    <t>A12_A_L26</t>
  </si>
  <si>
    <t>A12_B_L26</t>
  </si>
  <si>
    <t>A12_C_L26</t>
  </si>
  <si>
    <t>A12_D_L26</t>
  </si>
  <si>
    <t>A12_Y_L26</t>
  </si>
  <si>
    <t>A12_Z_L26</t>
  </si>
  <si>
    <t>A12_X_L26</t>
  </si>
  <si>
    <t>P_A1_L26</t>
  </si>
  <si>
    <t>P_A2_L26</t>
  </si>
  <si>
    <t>P_A3_L26</t>
  </si>
  <si>
    <t>P_A4_L26</t>
  </si>
  <si>
    <t>P_A5_L26</t>
  </si>
  <si>
    <t>P_A6_L26</t>
  </si>
  <si>
    <t>P_A7_L26</t>
  </si>
  <si>
    <t>P_A8_L26</t>
  </si>
  <si>
    <t>P_A9_L26</t>
  </si>
  <si>
    <t>P_A10_L26</t>
  </si>
  <si>
    <t>P_A11_L26</t>
  </si>
  <si>
    <t>P_A12_L26</t>
  </si>
  <si>
    <t>A1_A_L27</t>
  </si>
  <si>
    <t>A1_B_L27</t>
  </si>
  <si>
    <t>A1_C_L27</t>
  </si>
  <si>
    <t>A1_D_L27</t>
  </si>
  <si>
    <t>A1_Y_L27</t>
  </si>
  <si>
    <t>A1_Z_L27</t>
  </si>
  <si>
    <t>A1_X_L27</t>
  </si>
  <si>
    <t>A2_A_L27</t>
  </si>
  <si>
    <t>A2_B_L27</t>
  </si>
  <si>
    <t>A2_C_L27</t>
  </si>
  <si>
    <t>A2_D_L27</t>
  </si>
  <si>
    <t>A2_Y_L27</t>
  </si>
  <si>
    <t>A2_Z_L27</t>
  </si>
  <si>
    <t>A2_X_L27</t>
  </si>
  <si>
    <t>A3_A_L27</t>
  </si>
  <si>
    <t>A3_B_L27</t>
  </si>
  <si>
    <t>A3_C_L27</t>
  </si>
  <si>
    <t>A3_D_L27</t>
  </si>
  <si>
    <t>A3_Y_L27</t>
  </si>
  <si>
    <t>A3_Z_L27</t>
  </si>
  <si>
    <t>A3_X_L27</t>
  </si>
  <si>
    <t>A4_A_L27</t>
  </si>
  <si>
    <t>A4_B_L27</t>
  </si>
  <si>
    <t>A4_C_L27</t>
  </si>
  <si>
    <t>A4_D_L27</t>
  </si>
  <si>
    <t>A4_Y_L27</t>
  </si>
  <si>
    <t>A4_Z_L27</t>
  </si>
  <si>
    <t>A4_X_L27</t>
  </si>
  <si>
    <t>A5_A_L27</t>
  </si>
  <si>
    <t>A5_B_L27</t>
  </si>
  <si>
    <t>A5_C_L27</t>
  </si>
  <si>
    <t>A5_D_L27</t>
  </si>
  <si>
    <t>A5_Y_L27</t>
  </si>
  <si>
    <t>A5_Z_L27</t>
  </si>
  <si>
    <t>A5_X_L27</t>
  </si>
  <si>
    <t>A6_A_L27</t>
  </si>
  <si>
    <t>A6_B_L27</t>
  </si>
  <si>
    <t>A6_C_L27</t>
  </si>
  <si>
    <t>A6_D_L27</t>
  </si>
  <si>
    <t>A6_Y_L27</t>
  </si>
  <si>
    <t>A6_Z_L27</t>
  </si>
  <si>
    <t>A6_X_L27</t>
  </si>
  <si>
    <t>A7_A_L27</t>
  </si>
  <si>
    <t>A7_B_L27</t>
  </si>
  <si>
    <t>A7_C_L27</t>
  </si>
  <si>
    <t>A7_D_L27</t>
  </si>
  <si>
    <t>A7_Y_L27</t>
  </si>
  <si>
    <t>A7_Z_L27</t>
  </si>
  <si>
    <t>A7_X_L27</t>
  </si>
  <si>
    <t>A8_A_L27</t>
  </si>
  <si>
    <t>A8_B_L27</t>
  </si>
  <si>
    <t>A8_C_L27</t>
  </si>
  <si>
    <t>A8_D_L27</t>
  </si>
  <si>
    <t>A8_Y_L27</t>
  </si>
  <si>
    <t>A8_Z_L27</t>
  </si>
  <si>
    <t>A8_X_L27</t>
  </si>
  <si>
    <t>A9_A_L27</t>
  </si>
  <si>
    <t>A9_B_L27</t>
  </si>
  <si>
    <t>A9_C_L27</t>
  </si>
  <si>
    <t>A9_D_L27</t>
  </si>
  <si>
    <t>A9_Y_L27</t>
  </si>
  <si>
    <t>A9_Z_L27</t>
  </si>
  <si>
    <t>A9_X_L27</t>
  </si>
  <si>
    <t>A10_A_L27</t>
  </si>
  <si>
    <t>A10_B_L27</t>
  </si>
  <si>
    <t>A10_C_L27</t>
  </si>
  <si>
    <t>A10_D_L27</t>
  </si>
  <si>
    <t>A10_Y_L27</t>
  </si>
  <si>
    <t>A10_Z_L27</t>
  </si>
  <si>
    <t>A10_X_L27</t>
  </si>
  <si>
    <t>A11_A_L27</t>
  </si>
  <si>
    <t>A11_B_L27</t>
  </si>
  <si>
    <t>A11_C_L27</t>
  </si>
  <si>
    <t>A11_D_L27</t>
  </si>
  <si>
    <t>A11_Y_L27</t>
  </si>
  <si>
    <t>A11_Z_L27</t>
  </si>
  <si>
    <t>A11_X_L27</t>
  </si>
  <si>
    <t>A12_A_L27</t>
  </si>
  <si>
    <t>A12_B_L27</t>
  </si>
  <si>
    <t>A12_C_L27</t>
  </si>
  <si>
    <t>A12_D_L27</t>
  </si>
  <si>
    <t>A12_Y_L27</t>
  </si>
  <si>
    <t>A12_Z_L27</t>
  </si>
  <si>
    <t>A12_X_L27</t>
  </si>
  <si>
    <t>P_A1_L27</t>
  </si>
  <si>
    <t>P_A2_L27</t>
  </si>
  <si>
    <t>P_A3_L27</t>
  </si>
  <si>
    <t>P_A4_L27</t>
  </si>
  <si>
    <t>P_A5_L27</t>
  </si>
  <si>
    <t>P_A6_L27</t>
  </si>
  <si>
    <t>P_A7_L27</t>
  </si>
  <si>
    <t>P_A8_L27</t>
  </si>
  <si>
    <t>P_A9_L27</t>
  </si>
  <si>
    <t>P_A10_L27</t>
  </si>
  <si>
    <t>P_A11_L27</t>
  </si>
  <si>
    <t>P_A12_L27</t>
  </si>
  <si>
    <t>A1_A_L28</t>
  </si>
  <si>
    <t>A1_B_L28</t>
  </si>
  <si>
    <t>A1_C_L28</t>
  </si>
  <si>
    <t>A1_D_L28</t>
  </si>
  <si>
    <t>A1_Y_L28</t>
  </si>
  <si>
    <t>A1_Z_L28</t>
  </si>
  <si>
    <t>A1_X_L28</t>
  </si>
  <si>
    <t>A2_A_L28</t>
  </si>
  <si>
    <t>A2_B_L28</t>
  </si>
  <si>
    <t>A2_C_L28</t>
  </si>
  <si>
    <t>A2_D_L28</t>
  </si>
  <si>
    <t>A2_Y_L28</t>
  </si>
  <si>
    <t>A2_Z_L28</t>
  </si>
  <si>
    <t>A2_X_L28</t>
  </si>
  <si>
    <t>A3_A_L28</t>
  </si>
  <si>
    <t>A3_B_L28</t>
  </si>
  <si>
    <t>A3_C_L28</t>
  </si>
  <si>
    <t>A3_D_L28</t>
  </si>
  <si>
    <t>A3_Y_L28</t>
  </si>
  <si>
    <t>A3_Z_L28</t>
  </si>
  <si>
    <t>A3_X_L28</t>
  </si>
  <si>
    <t>A4_A_L28</t>
  </si>
  <si>
    <t>A4_B_L28</t>
  </si>
  <si>
    <t>A4_C_L28</t>
  </si>
  <si>
    <t>A4_D_L28</t>
  </si>
  <si>
    <t>A4_Y_L28</t>
  </si>
  <si>
    <t>A4_Z_L28</t>
  </si>
  <si>
    <t>A4_X_L28</t>
  </si>
  <si>
    <t>A5_A_L28</t>
  </si>
  <si>
    <t>A5_B_L28</t>
  </si>
  <si>
    <t>A5_C_L28</t>
  </si>
  <si>
    <t>A5_D_L28</t>
  </si>
  <si>
    <t>A5_Y_L28</t>
  </si>
  <si>
    <t>A5_Z_L28</t>
  </si>
  <si>
    <t>A5_X_L28</t>
  </si>
  <si>
    <t>A6_A_L28</t>
  </si>
  <si>
    <t>A6_B_L28</t>
  </si>
  <si>
    <t>A6_C_L28</t>
  </si>
  <si>
    <t>A6_D_L28</t>
  </si>
  <si>
    <t>A6_Y_L28</t>
  </si>
  <si>
    <t>A6_Z_L28</t>
  </si>
  <si>
    <t>A6_X_L28</t>
  </si>
  <si>
    <t>A7_A_L28</t>
  </si>
  <si>
    <t>A7_B_L28</t>
  </si>
  <si>
    <t>A7_C_L28</t>
  </si>
  <si>
    <t>A7_D_L28</t>
  </si>
  <si>
    <t>A7_Y_L28</t>
  </si>
  <si>
    <t>A7_Z_L28</t>
  </si>
  <si>
    <t>A7_X_L28</t>
  </si>
  <si>
    <t>A8_A_L28</t>
  </si>
  <si>
    <t>A8_B_L28</t>
  </si>
  <si>
    <t>A8_C_L28</t>
  </si>
  <si>
    <t>A8_D_L28</t>
  </si>
  <si>
    <t>A8_Y_L28</t>
  </si>
  <si>
    <t>A8_Z_L28</t>
  </si>
  <si>
    <t>A8_X_L28</t>
  </si>
  <si>
    <t>A9_A_L28</t>
  </si>
  <si>
    <t>A9_B_L28</t>
  </si>
  <si>
    <t>A9_C_L28</t>
  </si>
  <si>
    <t>A9_D_L28</t>
  </si>
  <si>
    <t>A9_Y_L28</t>
  </si>
  <si>
    <t>A9_Z_L28</t>
  </si>
  <si>
    <t>A9_X_L28</t>
  </si>
  <si>
    <t>A10_A_L28</t>
  </si>
  <si>
    <t>A10_B_L28</t>
  </si>
  <si>
    <t>A10_C_L28</t>
  </si>
  <si>
    <t>A10_D_L28</t>
  </si>
  <si>
    <t>A10_Y_L28</t>
  </si>
  <si>
    <t>A10_Z_L28</t>
  </si>
  <si>
    <t>A10_X_L28</t>
  </si>
  <si>
    <t>A11_A_L28</t>
  </si>
  <si>
    <t>A11_B_L28</t>
  </si>
  <si>
    <t>A11_C_L28</t>
  </si>
  <si>
    <t>A11_D_L28</t>
  </si>
  <si>
    <t>A11_Y_L28</t>
  </si>
  <si>
    <t>A11_Z_L28</t>
  </si>
  <si>
    <t>A11_X_L28</t>
  </si>
  <si>
    <t>A12_A_L28</t>
  </si>
  <si>
    <t>A12_B_L28</t>
  </si>
  <si>
    <t>A12_C_L28</t>
  </si>
  <si>
    <t>A12_D_L28</t>
  </si>
  <si>
    <t>A12_Y_L28</t>
  </si>
  <si>
    <t>A12_Z_L28</t>
  </si>
  <si>
    <t>A12_X_L28</t>
  </si>
  <si>
    <t>P_A1_L28</t>
  </si>
  <si>
    <t>P_A2_L28</t>
  </si>
  <si>
    <t>P_A3_L28</t>
  </si>
  <si>
    <t>P_A4_L28</t>
  </si>
  <si>
    <t>P_A5_L28</t>
  </si>
  <si>
    <t>P_A6_L28</t>
  </si>
  <si>
    <t>P_A7_L28</t>
  </si>
  <si>
    <t>P_A8_L28</t>
  </si>
  <si>
    <t>P_A9_L28</t>
  </si>
  <si>
    <t>P_A10_L28</t>
  </si>
  <si>
    <t>P_A11_L28</t>
  </si>
  <si>
    <t>P_A12_L28</t>
  </si>
  <si>
    <t>A1_A_L29</t>
  </si>
  <si>
    <t>A1_B_L29</t>
  </si>
  <si>
    <t>A1_C_L29</t>
  </si>
  <si>
    <t>A1_D_L29</t>
  </si>
  <si>
    <t>A1_Y_L29</t>
  </si>
  <si>
    <t>A1_Z_L29</t>
  </si>
  <si>
    <t>A1_X_L29</t>
  </si>
  <si>
    <t>A2_A_L29</t>
  </si>
  <si>
    <t>A2_B_L29</t>
  </si>
  <si>
    <t>A2_C_L29</t>
  </si>
  <si>
    <t>A2_D_L29</t>
  </si>
  <si>
    <t>A2_Y_L29</t>
  </si>
  <si>
    <t>A2_Z_L29</t>
  </si>
  <si>
    <t>A2_X_L29</t>
  </si>
  <si>
    <t>A3_A_L29</t>
  </si>
  <si>
    <t>A3_B_L29</t>
  </si>
  <si>
    <t>A3_C_L29</t>
  </si>
  <si>
    <t>A3_D_L29</t>
  </si>
  <si>
    <t>A3_Y_L29</t>
  </si>
  <si>
    <t>A3_Z_L29</t>
  </si>
  <si>
    <t>A3_X_L29</t>
  </si>
  <si>
    <t>A4_A_L29</t>
  </si>
  <si>
    <t>A4_B_L29</t>
  </si>
  <si>
    <t>A4_C_L29</t>
  </si>
  <si>
    <t>A4_D_L29</t>
  </si>
  <si>
    <t>A4_Y_L29</t>
  </si>
  <si>
    <t>A4_Z_L29</t>
  </si>
  <si>
    <t>A4_X_L29</t>
  </si>
  <si>
    <t>A5_A_L29</t>
  </si>
  <si>
    <t>A5_B_L29</t>
  </si>
  <si>
    <t>A5_C_L29</t>
  </si>
  <si>
    <t>A5_D_L29</t>
  </si>
  <si>
    <t>A5_Y_L29</t>
  </si>
  <si>
    <t>A5_Z_L29</t>
  </si>
  <si>
    <t>A5_X_L29</t>
  </si>
  <si>
    <t>A6_A_L29</t>
  </si>
  <si>
    <t>A6_B_L29</t>
  </si>
  <si>
    <t>A6_C_L29</t>
  </si>
  <si>
    <t>A6_D_L29</t>
  </si>
  <si>
    <t>A6_Y_L29</t>
  </si>
  <si>
    <t>A6_Z_L29</t>
  </si>
  <si>
    <t>A6_X_L29</t>
  </si>
  <si>
    <t>A7_A_L29</t>
  </si>
  <si>
    <t>A7_B_L29</t>
  </si>
  <si>
    <t>A7_C_L29</t>
  </si>
  <si>
    <t>A7_D_L29</t>
  </si>
  <si>
    <t>A7_Y_L29</t>
  </si>
  <si>
    <t>A7_Z_L29</t>
  </si>
  <si>
    <t>A7_X_L29</t>
  </si>
  <si>
    <t>A8_A_L29</t>
  </si>
  <si>
    <t>A8_B_L29</t>
  </si>
  <si>
    <t>A8_C_L29</t>
  </si>
  <si>
    <t>A8_D_L29</t>
  </si>
  <si>
    <t>A8_Y_L29</t>
  </si>
  <si>
    <t>A8_Z_L29</t>
  </si>
  <si>
    <t>A8_X_L29</t>
  </si>
  <si>
    <t>A9_A_L29</t>
  </si>
  <si>
    <t>A9_B_L29</t>
  </si>
  <si>
    <t>A9_C_L29</t>
  </si>
  <si>
    <t>A9_D_L29</t>
  </si>
  <si>
    <t>A9_Y_L29</t>
  </si>
  <si>
    <t>A9_Z_L29</t>
  </si>
  <si>
    <t>A9_X_L29</t>
  </si>
  <si>
    <t>A10_A_L29</t>
  </si>
  <si>
    <t>A10_B_L29</t>
  </si>
  <si>
    <t>A10_C_L29</t>
  </si>
  <si>
    <t>A10_D_L29</t>
  </si>
  <si>
    <t>A10_Y_L29</t>
  </si>
  <si>
    <t>A10_Z_L29</t>
  </si>
  <si>
    <t>A10_X_L29</t>
  </si>
  <si>
    <t>A11_A_L29</t>
  </si>
  <si>
    <t>A11_B_L29</t>
  </si>
  <si>
    <t>A11_C_L29</t>
  </si>
  <si>
    <t>A11_D_L29</t>
  </si>
  <si>
    <t>A11_Y_L29</t>
  </si>
  <si>
    <t>A11_Z_L29</t>
  </si>
  <si>
    <t>A11_X_L29</t>
  </si>
  <si>
    <t>A12_A_L29</t>
  </si>
  <si>
    <t>A12_B_L29</t>
  </si>
  <si>
    <t>A12_C_L29</t>
  </si>
  <si>
    <t>A12_D_L29</t>
  </si>
  <si>
    <t>A12_Y_L29</t>
  </si>
  <si>
    <t>A12_Z_L29</t>
  </si>
  <si>
    <t>A12_X_L29</t>
  </si>
  <si>
    <t>P_A1_L29</t>
  </si>
  <si>
    <t>P_A2_L29</t>
  </si>
  <si>
    <t>P_A3_L29</t>
  </si>
  <si>
    <t>P_A4_L29</t>
  </si>
  <si>
    <t>P_A5_L29</t>
  </si>
  <si>
    <t>P_A6_L29</t>
  </si>
  <si>
    <t>P_A7_L29</t>
  </si>
  <si>
    <t>P_A8_L29</t>
  </si>
  <si>
    <t>P_A9_L29</t>
  </si>
  <si>
    <t>P_A10_L29</t>
  </si>
  <si>
    <t>P_A11_L29</t>
  </si>
  <si>
    <t>P_A12_L29</t>
  </si>
  <si>
    <t>A1_A_L30</t>
  </si>
  <si>
    <t>A1_B_L30</t>
  </si>
  <si>
    <t>A1_C_L30</t>
  </si>
  <si>
    <t>A1_D_L30</t>
  </si>
  <si>
    <t>A1_Y_L30</t>
  </si>
  <si>
    <t>A1_Z_L30</t>
  </si>
  <si>
    <t>A1_X_L30</t>
  </si>
  <si>
    <t>A2_A_L30</t>
  </si>
  <si>
    <t>A2_B_L30</t>
  </si>
  <si>
    <t>A2_C_L30</t>
  </si>
  <si>
    <t>A2_D_L30</t>
  </si>
  <si>
    <t>A2_Y_L30</t>
  </si>
  <si>
    <t>A2_Z_L30</t>
  </si>
  <si>
    <t>A2_X_L30</t>
  </si>
  <si>
    <t>A3_A_L30</t>
  </si>
  <si>
    <t>A3_B_L30</t>
  </si>
  <si>
    <t>A3_C_L30</t>
  </si>
  <si>
    <t>A3_D_L30</t>
  </si>
  <si>
    <t>A3_Y_L30</t>
  </si>
  <si>
    <t>A3_Z_L30</t>
  </si>
  <si>
    <t>A3_X_L30</t>
  </si>
  <si>
    <t>A4_A_L30</t>
  </si>
  <si>
    <t>A4_B_L30</t>
  </si>
  <si>
    <t>A4_C_L30</t>
  </si>
  <si>
    <t>A4_D_L30</t>
  </si>
  <si>
    <t>A4_Y_L30</t>
  </si>
  <si>
    <t>A4_Z_L30</t>
  </si>
  <si>
    <t>A4_X_L30</t>
  </si>
  <si>
    <t>A5_A_L30</t>
  </si>
  <si>
    <t>A5_B_L30</t>
  </si>
  <si>
    <t>A5_C_L30</t>
  </si>
  <si>
    <t>A5_D_L30</t>
  </si>
  <si>
    <t>A5_Y_L30</t>
  </si>
  <si>
    <t>A5_Z_L30</t>
  </si>
  <si>
    <t>A5_X_L30</t>
  </si>
  <si>
    <t>A6_A_L30</t>
  </si>
  <si>
    <t>A6_B_L30</t>
  </si>
  <si>
    <t>A6_C_L30</t>
  </si>
  <si>
    <t>A6_D_L30</t>
  </si>
  <si>
    <t>A6_Y_L30</t>
  </si>
  <si>
    <t>A6_Z_L30</t>
  </si>
  <si>
    <t>A6_X_L30</t>
  </si>
  <si>
    <t>A7_A_L30</t>
  </si>
  <si>
    <t>A7_B_L30</t>
  </si>
  <si>
    <t>A7_C_L30</t>
  </si>
  <si>
    <t>A7_D_L30</t>
  </si>
  <si>
    <t>A7_Y_L30</t>
  </si>
  <si>
    <t>A7_Z_L30</t>
  </si>
  <si>
    <t>A7_X_L30</t>
  </si>
  <si>
    <t>A8_A_L30</t>
  </si>
  <si>
    <t>A8_B_L30</t>
  </si>
  <si>
    <t>A8_C_L30</t>
  </si>
  <si>
    <t>A8_D_L30</t>
  </si>
  <si>
    <t>A8_Y_L30</t>
  </si>
  <si>
    <t>A8_Z_L30</t>
  </si>
  <si>
    <t>A8_X_L30</t>
  </si>
  <si>
    <t>A9_A_L30</t>
  </si>
  <si>
    <t>A9_B_L30</t>
  </si>
  <si>
    <t>A9_C_L30</t>
  </si>
  <si>
    <t>A9_D_L30</t>
  </si>
  <si>
    <t>A9_Y_L30</t>
  </si>
  <si>
    <t>A9_Z_L30</t>
  </si>
  <si>
    <t>A9_X_L30</t>
  </si>
  <si>
    <t>A10_A_L30</t>
  </si>
  <si>
    <t>A10_B_L30</t>
  </si>
  <si>
    <t>A10_C_L30</t>
  </si>
  <si>
    <t>A10_D_L30</t>
  </si>
  <si>
    <t>A10_Y_L30</t>
  </si>
  <si>
    <t>A10_Z_L30</t>
  </si>
  <si>
    <t>A10_X_L30</t>
  </si>
  <si>
    <t>A11_A_L30</t>
  </si>
  <si>
    <t>A11_B_L30</t>
  </si>
  <si>
    <t>A11_C_L30</t>
  </si>
  <si>
    <t>A11_D_L30</t>
  </si>
  <si>
    <t>A11_Y_L30</t>
  </si>
  <si>
    <t>A11_Z_L30</t>
  </si>
  <si>
    <t>A11_X_L30</t>
  </si>
  <si>
    <t>A12_A_L30</t>
  </si>
  <si>
    <t>A12_B_L30</t>
  </si>
  <si>
    <t>A12_C_L30</t>
  </si>
  <si>
    <t>A12_D_L30</t>
  </si>
  <si>
    <t>A12_Y_L30</t>
  </si>
  <si>
    <t>A12_Z_L30</t>
  </si>
  <si>
    <t>A12_X_L30</t>
  </si>
  <si>
    <t>P_A1_L30</t>
  </si>
  <si>
    <t>P_A2_L30</t>
  </si>
  <si>
    <t>P_A3_L30</t>
  </si>
  <si>
    <t>P_A4_L30</t>
  </si>
  <si>
    <t>P_A5_L30</t>
  </si>
  <si>
    <t>P_A6_L30</t>
  </si>
  <si>
    <t>P_A7_L30</t>
  </si>
  <si>
    <t>P_A8_L30</t>
  </si>
  <si>
    <t>P_A9_L30</t>
  </si>
  <si>
    <t>P_A10_L30</t>
  </si>
  <si>
    <t>P_A11_L30</t>
  </si>
  <si>
    <t>P_A12_L30</t>
  </si>
  <si>
    <t>A1_A_L31</t>
  </si>
  <si>
    <t>A1_B_L31</t>
  </si>
  <si>
    <t>A1_C_L31</t>
  </si>
  <si>
    <t>A1_D_L31</t>
  </si>
  <si>
    <t>A1_Y_L31</t>
  </si>
  <si>
    <t>A1_Z_L31</t>
  </si>
  <si>
    <t>A1_X_L31</t>
  </si>
  <si>
    <t>A2_A_L31</t>
  </si>
  <si>
    <t>A2_B_L31</t>
  </si>
  <si>
    <t>A2_C_L31</t>
  </si>
  <si>
    <t>A2_D_L31</t>
  </si>
  <si>
    <t>A2_Y_L31</t>
  </si>
  <si>
    <t>A2_Z_L31</t>
  </si>
  <si>
    <t>A2_X_L31</t>
  </si>
  <si>
    <t>A3_A_L31</t>
  </si>
  <si>
    <t>A3_B_L31</t>
  </si>
  <si>
    <t>A3_C_L31</t>
  </si>
  <si>
    <t>A3_D_L31</t>
  </si>
  <si>
    <t>A3_Y_L31</t>
  </si>
  <si>
    <t>A3_Z_L31</t>
  </si>
  <si>
    <t>A3_X_L31</t>
  </si>
  <si>
    <t>A4_A_L31</t>
  </si>
  <si>
    <t>A4_B_L31</t>
  </si>
  <si>
    <t>A4_C_L31</t>
  </si>
  <si>
    <t>A4_D_L31</t>
  </si>
  <si>
    <t>A4_Y_L31</t>
  </si>
  <si>
    <t>A4_Z_L31</t>
  </si>
  <si>
    <t>A4_X_L31</t>
  </si>
  <si>
    <t>A5_A_L31</t>
  </si>
  <si>
    <t>A5_B_L31</t>
  </si>
  <si>
    <t>A5_C_L31</t>
  </si>
  <si>
    <t>A5_D_L31</t>
  </si>
  <si>
    <t>A5_Y_L31</t>
  </si>
  <si>
    <t>A5_Z_L31</t>
  </si>
  <si>
    <t>A5_X_L31</t>
  </si>
  <si>
    <t>A6_A_L31</t>
  </si>
  <si>
    <t>A6_B_L31</t>
  </si>
  <si>
    <t>A6_C_L31</t>
  </si>
  <si>
    <t>A6_D_L31</t>
  </si>
  <si>
    <t>A6_Y_L31</t>
  </si>
  <si>
    <t>A6_Z_L31</t>
  </si>
  <si>
    <t>A6_X_L31</t>
  </si>
  <si>
    <t>A7_A_L31</t>
  </si>
  <si>
    <t>A7_B_L31</t>
  </si>
  <si>
    <t>A7_C_L31</t>
  </si>
  <si>
    <t>A7_D_L31</t>
  </si>
  <si>
    <t>A7_Y_L31</t>
  </si>
  <si>
    <t>A7_Z_L31</t>
  </si>
  <si>
    <t>A7_X_L31</t>
  </si>
  <si>
    <t>A8_A_L31</t>
  </si>
  <si>
    <t>A8_B_L31</t>
  </si>
  <si>
    <t>A8_C_L31</t>
  </si>
  <si>
    <t>A8_D_L31</t>
  </si>
  <si>
    <t>A8_Y_L31</t>
  </si>
  <si>
    <t>A8_Z_L31</t>
  </si>
  <si>
    <t>A8_X_L31</t>
  </si>
  <si>
    <t>A9_A_L31</t>
  </si>
  <si>
    <t>A9_B_L31</t>
  </si>
  <si>
    <t>A9_C_L31</t>
  </si>
  <si>
    <t>A9_D_L31</t>
  </si>
  <si>
    <t>A9_Y_L31</t>
  </si>
  <si>
    <t>A9_Z_L31</t>
  </si>
  <si>
    <t>A9_X_L31</t>
  </si>
  <si>
    <t>A10_A_L31</t>
  </si>
  <si>
    <t>A10_B_L31</t>
  </si>
  <si>
    <t>A10_C_L31</t>
  </si>
  <si>
    <t>A10_D_L31</t>
  </si>
  <si>
    <t>A10_Y_L31</t>
  </si>
  <si>
    <t>A10_Z_L31</t>
  </si>
  <si>
    <t>A10_X_L31</t>
  </si>
  <si>
    <t>A11_A_L31</t>
  </si>
  <si>
    <t>A11_B_L31</t>
  </si>
  <si>
    <t>A11_C_L31</t>
  </si>
  <si>
    <t>A11_D_L31</t>
  </si>
  <si>
    <t>A11_Y_L31</t>
  </si>
  <si>
    <t>A11_Z_L31</t>
  </si>
  <si>
    <t>A11_X_L31</t>
  </si>
  <si>
    <t>A12_A_L31</t>
  </si>
  <si>
    <t>A12_B_L31</t>
  </si>
  <si>
    <t>A12_C_L31</t>
  </si>
  <si>
    <t>A12_D_L31</t>
  </si>
  <si>
    <t>A12_Y_L31</t>
  </si>
  <si>
    <t>A12_Z_L31</t>
  </si>
  <si>
    <t>A12_X_L31</t>
  </si>
  <si>
    <t>P_A1_L31</t>
  </si>
  <si>
    <t>P_A2_L31</t>
  </si>
  <si>
    <t>P_A3_L31</t>
  </si>
  <si>
    <t>P_A4_L31</t>
  </si>
  <si>
    <t>P_A5_L31</t>
  </si>
  <si>
    <t>P_A6_L31</t>
  </si>
  <si>
    <t>P_A7_L31</t>
  </si>
  <si>
    <t>P_A8_L31</t>
  </si>
  <si>
    <t>P_A9_L31</t>
  </si>
  <si>
    <t>P_A10_L31</t>
  </si>
  <si>
    <t>P_A11_L31</t>
  </si>
  <si>
    <t>P_A12_L31</t>
  </si>
  <si>
    <t>A1_A_L32</t>
  </si>
  <si>
    <t>A1_B_L32</t>
  </si>
  <si>
    <t>A1_C_L32</t>
  </si>
  <si>
    <t>A1_D_L32</t>
  </si>
  <si>
    <t>A1_Y_L32</t>
  </si>
  <si>
    <t>A1_Z_L32</t>
  </si>
  <si>
    <t>A1_X_L32</t>
  </si>
  <si>
    <t>A2_A_L32</t>
  </si>
  <si>
    <t>A2_B_L32</t>
  </si>
  <si>
    <t>A2_C_L32</t>
  </si>
  <si>
    <t>A2_D_L32</t>
  </si>
  <si>
    <t>A2_Y_L32</t>
  </si>
  <si>
    <t>A2_Z_L32</t>
  </si>
  <si>
    <t>A2_X_L32</t>
  </si>
  <si>
    <t>A3_A_L32</t>
  </si>
  <si>
    <t>A3_B_L32</t>
  </si>
  <si>
    <t>A3_C_L32</t>
  </si>
  <si>
    <t>A3_D_L32</t>
  </si>
  <si>
    <t>A3_Y_L32</t>
  </si>
  <si>
    <t>A3_Z_L32</t>
  </si>
  <si>
    <t>A3_X_L32</t>
  </si>
  <si>
    <t>A4_A_L32</t>
  </si>
  <si>
    <t>A4_B_L32</t>
  </si>
  <si>
    <t>A4_C_L32</t>
  </si>
  <si>
    <t>A4_D_L32</t>
  </si>
  <si>
    <t>A4_Y_L32</t>
  </si>
  <si>
    <t>A4_Z_L32</t>
  </si>
  <si>
    <t>A4_X_L32</t>
  </si>
  <si>
    <t>A5_A_L32</t>
  </si>
  <si>
    <t>A5_B_L32</t>
  </si>
  <si>
    <t>A5_C_L32</t>
  </si>
  <si>
    <t>A5_D_L32</t>
  </si>
  <si>
    <t>A5_Y_L32</t>
  </si>
  <si>
    <t>A5_Z_L32</t>
  </si>
  <si>
    <t>A5_X_L32</t>
  </si>
  <si>
    <t>A6_A_L32</t>
  </si>
  <si>
    <t>A6_B_L32</t>
  </si>
  <si>
    <t>A6_C_L32</t>
  </si>
  <si>
    <t>A6_D_L32</t>
  </si>
  <si>
    <t>A6_Y_L32</t>
  </si>
  <si>
    <t>A6_Z_L32</t>
  </si>
  <si>
    <t>A6_X_L32</t>
  </si>
  <si>
    <t>A7_A_L32</t>
  </si>
  <si>
    <t>A7_B_L32</t>
  </si>
  <si>
    <t>A7_C_L32</t>
  </si>
  <si>
    <t>A7_D_L32</t>
  </si>
  <si>
    <t>A7_Y_L32</t>
  </si>
  <si>
    <t>A7_Z_L32</t>
  </si>
  <si>
    <t>A7_X_L32</t>
  </si>
  <si>
    <t>A8_A_L32</t>
  </si>
  <si>
    <t>A8_B_L32</t>
  </si>
  <si>
    <t>A8_C_L32</t>
  </si>
  <si>
    <t>A8_D_L32</t>
  </si>
  <si>
    <t>A8_Y_L32</t>
  </si>
  <si>
    <t>A8_Z_L32</t>
  </si>
  <si>
    <t>A8_X_L32</t>
  </si>
  <si>
    <t>A9_A_L32</t>
  </si>
  <si>
    <t>A9_B_L32</t>
  </si>
  <si>
    <t>A9_C_L32</t>
  </si>
  <si>
    <t>A9_D_L32</t>
  </si>
  <si>
    <t>A9_Y_L32</t>
  </si>
  <si>
    <t>A9_Z_L32</t>
  </si>
  <si>
    <t>A9_X_L32</t>
  </si>
  <si>
    <t>A10_A_L32</t>
  </si>
  <si>
    <t>A10_B_L32</t>
  </si>
  <si>
    <t>A10_C_L32</t>
  </si>
  <si>
    <t>A10_D_L32</t>
  </si>
  <si>
    <t>A10_Y_L32</t>
  </si>
  <si>
    <t>A10_Z_L32</t>
  </si>
  <si>
    <t>A10_X_L32</t>
  </si>
  <si>
    <t>A11_A_L32</t>
  </si>
  <si>
    <t>A11_B_L32</t>
  </si>
  <si>
    <t>A11_C_L32</t>
  </si>
  <si>
    <t>A11_D_L32</t>
  </si>
  <si>
    <t>A11_Y_L32</t>
  </si>
  <si>
    <t>A11_Z_L32</t>
  </si>
  <si>
    <t>A11_X_L32</t>
  </si>
  <si>
    <t>A12_A_L32</t>
  </si>
  <si>
    <t>A12_B_L32</t>
  </si>
  <si>
    <t>A12_C_L32</t>
  </si>
  <si>
    <t>A12_D_L32</t>
  </si>
  <si>
    <t>A12_Y_L32</t>
  </si>
  <si>
    <t>A12_Z_L32</t>
  </si>
  <si>
    <t>A12_X_L32</t>
  </si>
  <si>
    <t>P_A1_L32</t>
  </si>
  <si>
    <t>P_A2_L32</t>
  </si>
  <si>
    <t>P_A3_L32</t>
  </si>
  <si>
    <t>P_A4_L32</t>
  </si>
  <si>
    <t>P_A5_L32</t>
  </si>
  <si>
    <t>P_A6_L32</t>
  </si>
  <si>
    <t>P_A7_L32</t>
  </si>
  <si>
    <t>P_A8_L32</t>
  </si>
  <si>
    <t>P_A9_L32</t>
  </si>
  <si>
    <t>P_A10_L32</t>
  </si>
  <si>
    <t>P_A11_L32</t>
  </si>
  <si>
    <t>P_A12_L32</t>
  </si>
  <si>
    <t>A1_A_L33</t>
  </si>
  <si>
    <t>A1_B_L33</t>
  </si>
  <si>
    <t>A1_C_L33</t>
  </si>
  <si>
    <t>A1_D_L33</t>
  </si>
  <si>
    <t>A1_Y_L33</t>
  </si>
  <si>
    <t>A1_Z_L33</t>
  </si>
  <si>
    <t>A1_X_L33</t>
  </si>
  <si>
    <t>A2_A_L33</t>
  </si>
  <si>
    <t>A2_B_L33</t>
  </si>
  <si>
    <t>A2_C_L33</t>
  </si>
  <si>
    <t>A2_D_L33</t>
  </si>
  <si>
    <t>A2_Y_L33</t>
  </si>
  <si>
    <t>A2_Z_L33</t>
  </si>
  <si>
    <t>A2_X_L33</t>
  </si>
  <si>
    <t>A3_A_L33</t>
  </si>
  <si>
    <t>A3_B_L33</t>
  </si>
  <si>
    <t>A3_C_L33</t>
  </si>
  <si>
    <t>A3_D_L33</t>
  </si>
  <si>
    <t>A3_Y_L33</t>
  </si>
  <si>
    <t>A3_Z_L33</t>
  </si>
  <si>
    <t>A3_X_L33</t>
  </si>
  <si>
    <t>A4_A_L33</t>
  </si>
  <si>
    <t>A4_B_L33</t>
  </si>
  <si>
    <t>A4_C_L33</t>
  </si>
  <si>
    <t>A4_D_L33</t>
  </si>
  <si>
    <t>A4_Y_L33</t>
  </si>
  <si>
    <t>A4_Z_L33</t>
  </si>
  <si>
    <t>A4_X_L33</t>
  </si>
  <si>
    <t>A5_A_L33</t>
  </si>
  <si>
    <t>A5_B_L33</t>
  </si>
  <si>
    <t>A5_C_L33</t>
  </si>
  <si>
    <t>A5_D_L33</t>
  </si>
  <si>
    <t>A5_Y_L33</t>
  </si>
  <si>
    <t>A5_Z_L33</t>
  </si>
  <si>
    <t>A5_X_L33</t>
  </si>
  <si>
    <t>A6_A_L33</t>
  </si>
  <si>
    <t>A6_B_L33</t>
  </si>
  <si>
    <t>A6_C_L33</t>
  </si>
  <si>
    <t>A6_D_L33</t>
  </si>
  <si>
    <t>A6_Y_L33</t>
  </si>
  <si>
    <t>A6_Z_L33</t>
  </si>
  <si>
    <t>A6_X_L33</t>
  </si>
  <si>
    <t>A7_A_L33</t>
  </si>
  <si>
    <t>A7_B_L33</t>
  </si>
  <si>
    <t>A7_C_L33</t>
  </si>
  <si>
    <t>A7_D_L33</t>
  </si>
  <si>
    <t>A7_Y_L33</t>
  </si>
  <si>
    <t>A7_Z_L33</t>
  </si>
  <si>
    <t>A7_X_L33</t>
  </si>
  <si>
    <t>A8_A_L33</t>
  </si>
  <si>
    <t>A8_B_L33</t>
  </si>
  <si>
    <t>A8_C_L33</t>
  </si>
  <si>
    <t>A8_D_L33</t>
  </si>
  <si>
    <t>A8_Y_L33</t>
  </si>
  <si>
    <t>A8_Z_L33</t>
  </si>
  <si>
    <t>A8_X_L33</t>
  </si>
  <si>
    <t>A9_A_L33</t>
  </si>
  <si>
    <t>A9_B_L33</t>
  </si>
  <si>
    <t>A9_C_L33</t>
  </si>
  <si>
    <t>A9_D_L33</t>
  </si>
  <si>
    <t>A9_Y_L33</t>
  </si>
  <si>
    <t>A9_Z_L33</t>
  </si>
  <si>
    <t>A9_X_L33</t>
  </si>
  <si>
    <t>A10_A_L33</t>
  </si>
  <si>
    <t>A10_B_L33</t>
  </si>
  <si>
    <t>A10_C_L33</t>
  </si>
  <si>
    <t>A10_D_L33</t>
  </si>
  <si>
    <t>A10_Y_L33</t>
  </si>
  <si>
    <t>A10_Z_L33</t>
  </si>
  <si>
    <t>A10_X_L33</t>
  </si>
  <si>
    <t>A11_A_L33</t>
  </si>
  <si>
    <t>A11_B_L33</t>
  </si>
  <si>
    <t>A11_C_L33</t>
  </si>
  <si>
    <t>A11_D_L33</t>
  </si>
  <si>
    <t>A11_Y_L33</t>
  </si>
  <si>
    <t>A11_Z_L33</t>
  </si>
  <si>
    <t>A11_X_L33</t>
  </si>
  <si>
    <t>A12_A_L33</t>
  </si>
  <si>
    <t>A12_B_L33</t>
  </si>
  <si>
    <t>A12_C_L33</t>
  </si>
  <si>
    <t>A12_D_L33</t>
  </si>
  <si>
    <t>A12_Y_L33</t>
  </si>
  <si>
    <t>A12_Z_L33</t>
  </si>
  <si>
    <t>A12_X_L33</t>
  </si>
  <si>
    <t>P_A1_L33</t>
  </si>
  <si>
    <t>P_A2_L33</t>
  </si>
  <si>
    <t>P_A3_L33</t>
  </si>
  <si>
    <t>P_A4_L33</t>
  </si>
  <si>
    <t>P_A5_L33</t>
  </si>
  <si>
    <t>P_A6_L33</t>
  </si>
  <si>
    <t>P_A7_L33</t>
  </si>
  <si>
    <t>P_A8_L33</t>
  </si>
  <si>
    <t>P_A9_L33</t>
  </si>
  <si>
    <t>P_A10_L33</t>
  </si>
  <si>
    <t>P_A11_L33</t>
  </si>
  <si>
    <t>P_A12_L33</t>
  </si>
  <si>
    <t>A1_A_L34</t>
  </si>
  <si>
    <t>A1_B_L34</t>
  </si>
  <si>
    <t>A1_C_L34</t>
  </si>
  <si>
    <t>A1_D_L34</t>
  </si>
  <si>
    <t>A1_Y_L34</t>
  </si>
  <si>
    <t>A1_Z_L34</t>
  </si>
  <si>
    <t>A1_X_L34</t>
  </si>
  <si>
    <t>A2_A_L34</t>
  </si>
  <si>
    <t>A2_B_L34</t>
  </si>
  <si>
    <t>A2_C_L34</t>
  </si>
  <si>
    <t>A2_D_L34</t>
  </si>
  <si>
    <t>A2_Y_L34</t>
  </si>
  <si>
    <t>A2_Z_L34</t>
  </si>
  <si>
    <t>A2_X_L34</t>
  </si>
  <si>
    <t>A3_A_L34</t>
  </si>
  <si>
    <t>A3_B_L34</t>
  </si>
  <si>
    <t>A3_C_L34</t>
  </si>
  <si>
    <t>A3_D_L34</t>
  </si>
  <si>
    <t>A3_Y_L34</t>
  </si>
  <si>
    <t>A3_Z_L34</t>
  </si>
  <si>
    <t>A3_X_L34</t>
  </si>
  <si>
    <t>A4_A_L34</t>
  </si>
  <si>
    <t>A4_B_L34</t>
  </si>
  <si>
    <t>A4_C_L34</t>
  </si>
  <si>
    <t>A4_D_L34</t>
  </si>
  <si>
    <t>A4_Y_L34</t>
  </si>
  <si>
    <t>A4_Z_L34</t>
  </si>
  <si>
    <t>A4_X_L34</t>
  </si>
  <si>
    <t>A5_A_L34</t>
  </si>
  <si>
    <t>A5_B_L34</t>
  </si>
  <si>
    <t>A5_C_L34</t>
  </si>
  <si>
    <t>A5_D_L34</t>
  </si>
  <si>
    <t>A5_Y_L34</t>
  </si>
  <si>
    <t>A5_Z_L34</t>
  </si>
  <si>
    <t>A5_X_L34</t>
  </si>
  <si>
    <t>A6_A_L34</t>
  </si>
  <si>
    <t>A6_B_L34</t>
  </si>
  <si>
    <t>A6_C_L34</t>
  </si>
  <si>
    <t>A6_D_L34</t>
  </si>
  <si>
    <t>A6_Y_L34</t>
  </si>
  <si>
    <t>A6_Z_L34</t>
  </si>
  <si>
    <t>A6_X_L34</t>
  </si>
  <si>
    <t>A7_A_L34</t>
  </si>
  <si>
    <t>A7_B_L34</t>
  </si>
  <si>
    <t>A7_C_L34</t>
  </si>
  <si>
    <t>A7_D_L34</t>
  </si>
  <si>
    <t>A7_Y_L34</t>
  </si>
  <si>
    <t>A7_Z_L34</t>
  </si>
  <si>
    <t>A7_X_L34</t>
  </si>
  <si>
    <t>A8_A_L34</t>
  </si>
  <si>
    <t>A8_B_L34</t>
  </si>
  <si>
    <t>A8_C_L34</t>
  </si>
  <si>
    <t>A8_D_L34</t>
  </si>
  <si>
    <t>A8_Y_L34</t>
  </si>
  <si>
    <t>A8_Z_L34</t>
  </si>
  <si>
    <t>A8_X_L34</t>
  </si>
  <si>
    <t>A9_A_L34</t>
  </si>
  <si>
    <t>A9_B_L34</t>
  </si>
  <si>
    <t>A9_C_L34</t>
  </si>
  <si>
    <t>A9_D_L34</t>
  </si>
  <si>
    <t>A9_Y_L34</t>
  </si>
  <si>
    <t>A9_Z_L34</t>
  </si>
  <si>
    <t>A9_X_L34</t>
  </si>
  <si>
    <t>A10_A_L34</t>
  </si>
  <si>
    <t>A10_B_L34</t>
  </si>
  <si>
    <t>A10_C_L34</t>
  </si>
  <si>
    <t>A10_D_L34</t>
  </si>
  <si>
    <t>A10_Y_L34</t>
  </si>
  <si>
    <t>A10_Z_L34</t>
  </si>
  <si>
    <t>A10_X_L34</t>
  </si>
  <si>
    <t>A11_A_L34</t>
  </si>
  <si>
    <t>A11_B_L34</t>
  </si>
  <si>
    <t>A11_C_L34</t>
  </si>
  <si>
    <t>A11_D_L34</t>
  </si>
  <si>
    <t>A11_Y_L34</t>
  </si>
  <si>
    <t>A11_Z_L34</t>
  </si>
  <si>
    <t>A11_X_L34</t>
  </si>
  <si>
    <t>A12_A_L34</t>
  </si>
  <si>
    <t>A12_B_L34</t>
  </si>
  <si>
    <t>A12_C_L34</t>
  </si>
  <si>
    <t>A12_D_L34</t>
  </si>
  <si>
    <t>A12_Y_L34</t>
  </si>
  <si>
    <t>A12_Z_L34</t>
  </si>
  <si>
    <t>A12_X_L34</t>
  </si>
  <si>
    <t>P_A1_L34</t>
  </si>
  <si>
    <t>P_A2_L34</t>
  </si>
  <si>
    <t>P_A3_L34</t>
  </si>
  <si>
    <t>P_A4_L34</t>
  </si>
  <si>
    <t>P_A5_L34</t>
  </si>
  <si>
    <t>P_A6_L34</t>
  </si>
  <si>
    <t>P_A7_L34</t>
  </si>
  <si>
    <t>P_A8_L34</t>
  </si>
  <si>
    <t>P_A9_L34</t>
  </si>
  <si>
    <t>P_A10_L34</t>
  </si>
  <si>
    <t>P_A11_L34</t>
  </si>
  <si>
    <t>P_A12_L34</t>
  </si>
  <si>
    <t>A1_A_L35</t>
  </si>
  <si>
    <t>A1_B_L35</t>
  </si>
  <si>
    <t>A1_C_L35</t>
  </si>
  <si>
    <t>A1_D_L35</t>
  </si>
  <si>
    <t>A1_Y_L35</t>
  </si>
  <si>
    <t>A1_Z_L35</t>
  </si>
  <si>
    <t>A1_X_L35</t>
  </si>
  <si>
    <t>A2_A_L35</t>
  </si>
  <si>
    <t>A2_B_L35</t>
  </si>
  <si>
    <t>A2_C_L35</t>
  </si>
  <si>
    <t>A2_D_L35</t>
  </si>
  <si>
    <t>A2_Y_L35</t>
  </si>
  <si>
    <t>A2_Z_L35</t>
  </si>
  <si>
    <t>A2_X_L35</t>
  </si>
  <si>
    <t>A3_A_L35</t>
  </si>
  <si>
    <t>A3_B_L35</t>
  </si>
  <si>
    <t>A3_C_L35</t>
  </si>
  <si>
    <t>A3_D_L35</t>
  </si>
  <si>
    <t>A3_Y_L35</t>
  </si>
  <si>
    <t>A3_Z_L35</t>
  </si>
  <si>
    <t>A3_X_L35</t>
  </si>
  <si>
    <t>A4_A_L35</t>
  </si>
  <si>
    <t>A4_B_L35</t>
  </si>
  <si>
    <t>A4_C_L35</t>
  </si>
  <si>
    <t>A4_D_L35</t>
  </si>
  <si>
    <t>A4_Y_L35</t>
  </si>
  <si>
    <t>A4_Z_L35</t>
  </si>
  <si>
    <t>A4_X_L35</t>
  </si>
  <si>
    <t>A5_A_L35</t>
  </si>
  <si>
    <t>A5_B_L35</t>
  </si>
  <si>
    <t>A5_C_L35</t>
  </si>
  <si>
    <t>A5_D_L35</t>
  </si>
  <si>
    <t>A5_Y_L35</t>
  </si>
  <si>
    <t>A5_Z_L35</t>
  </si>
  <si>
    <t>A5_X_L35</t>
  </si>
  <si>
    <t>A6_A_L35</t>
  </si>
  <si>
    <t>A6_B_L35</t>
  </si>
  <si>
    <t>A6_C_L35</t>
  </si>
  <si>
    <t>A6_D_L35</t>
  </si>
  <si>
    <t>A6_Y_L35</t>
  </si>
  <si>
    <t>A6_Z_L35</t>
  </si>
  <si>
    <t>A6_X_L35</t>
  </si>
  <si>
    <t>A7_A_L35</t>
  </si>
  <si>
    <t>A7_B_L35</t>
  </si>
  <si>
    <t>A7_C_L35</t>
  </si>
  <si>
    <t>A7_D_L35</t>
  </si>
  <si>
    <t>A7_Y_L35</t>
  </si>
  <si>
    <t>A7_Z_L35</t>
  </si>
  <si>
    <t>A7_X_L35</t>
  </si>
  <si>
    <t>A8_A_L35</t>
  </si>
  <si>
    <t>A8_B_L35</t>
  </si>
  <si>
    <t>A8_C_L35</t>
  </si>
  <si>
    <t>A8_D_L35</t>
  </si>
  <si>
    <t>A8_Y_L35</t>
  </si>
  <si>
    <t>A8_Z_L35</t>
  </si>
  <si>
    <t>A8_X_L35</t>
  </si>
  <si>
    <t>A9_A_L35</t>
  </si>
  <si>
    <t>A9_B_L35</t>
  </si>
  <si>
    <t>A9_C_L35</t>
  </si>
  <si>
    <t>A9_D_L35</t>
  </si>
  <si>
    <t>A9_Y_L35</t>
  </si>
  <si>
    <t>A9_Z_L35</t>
  </si>
  <si>
    <t>A9_X_L35</t>
  </si>
  <si>
    <t>A10_A_L35</t>
  </si>
  <si>
    <t>A10_B_L35</t>
  </si>
  <si>
    <t>A10_C_L35</t>
  </si>
  <si>
    <t>A10_D_L35</t>
  </si>
  <si>
    <t>A10_Y_L35</t>
  </si>
  <si>
    <t>A10_Z_L35</t>
  </si>
  <si>
    <t>A10_X_L35</t>
  </si>
  <si>
    <t>A11_A_L35</t>
  </si>
  <si>
    <t>A11_B_L35</t>
  </si>
  <si>
    <t>A11_C_L35</t>
  </si>
  <si>
    <t>A11_D_L35</t>
  </si>
  <si>
    <t>A11_Y_L35</t>
  </si>
  <si>
    <t>A11_Z_L35</t>
  </si>
  <si>
    <t>A11_X_L35</t>
  </si>
  <si>
    <t>A12_A_L35</t>
  </si>
  <si>
    <t>A12_B_L35</t>
  </si>
  <si>
    <t>A12_C_L35</t>
  </si>
  <si>
    <t>A12_D_L35</t>
  </si>
  <si>
    <t>A12_Y_L35</t>
  </si>
  <si>
    <t>A12_Z_L35</t>
  </si>
  <si>
    <t>A12_X_L35</t>
  </si>
  <si>
    <t>P_A1_L35</t>
  </si>
  <si>
    <t>P_A2_L35</t>
  </si>
  <si>
    <t>P_A3_L35</t>
  </si>
  <si>
    <t>P_A4_L35</t>
  </si>
  <si>
    <t>P_A5_L35</t>
  </si>
  <si>
    <t>P_A6_L35</t>
  </si>
  <si>
    <t>P_A7_L35</t>
  </si>
  <si>
    <t>P_A8_L35</t>
  </si>
  <si>
    <t>P_A9_L35</t>
  </si>
  <si>
    <t>P_A10_L35</t>
  </si>
  <si>
    <t>P_A11_L35</t>
  </si>
  <si>
    <t>P_A12_L35</t>
  </si>
  <si>
    <t>A1_A_L36</t>
  </si>
  <si>
    <t>A1_B_L36</t>
  </si>
  <si>
    <t>A1_C_L36</t>
  </si>
  <si>
    <t>A1_D_L36</t>
  </si>
  <si>
    <t>A1_Y_L36</t>
  </si>
  <si>
    <t>A1_Z_L36</t>
  </si>
  <si>
    <t>A1_X_L36</t>
  </si>
  <si>
    <t>A2_A_L36</t>
  </si>
  <si>
    <t>A2_B_L36</t>
  </si>
  <si>
    <t>A2_C_L36</t>
  </si>
  <si>
    <t>A2_D_L36</t>
  </si>
  <si>
    <t>A2_Y_L36</t>
  </si>
  <si>
    <t>A2_Z_L36</t>
  </si>
  <si>
    <t>A2_X_L36</t>
  </si>
  <si>
    <t>A3_A_L36</t>
  </si>
  <si>
    <t>A3_B_L36</t>
  </si>
  <si>
    <t>A3_C_L36</t>
  </si>
  <si>
    <t>A3_D_L36</t>
  </si>
  <si>
    <t>A3_Y_L36</t>
  </si>
  <si>
    <t>A3_Z_L36</t>
  </si>
  <si>
    <t>A3_X_L36</t>
  </si>
  <si>
    <t>A4_A_L36</t>
  </si>
  <si>
    <t>A4_B_L36</t>
  </si>
  <si>
    <t>A4_C_L36</t>
  </si>
  <si>
    <t>A4_D_L36</t>
  </si>
  <si>
    <t>A4_Y_L36</t>
  </si>
  <si>
    <t>A4_Z_L36</t>
  </si>
  <si>
    <t>A4_X_L36</t>
  </si>
  <si>
    <t>A5_A_L36</t>
  </si>
  <si>
    <t>A5_B_L36</t>
  </si>
  <si>
    <t>A5_C_L36</t>
  </si>
  <si>
    <t>A5_D_L36</t>
  </si>
  <si>
    <t>A5_Y_L36</t>
  </si>
  <si>
    <t>A5_Z_L36</t>
  </si>
  <si>
    <t>A5_X_L36</t>
  </si>
  <si>
    <t>A6_A_L36</t>
  </si>
  <si>
    <t>A6_B_L36</t>
  </si>
  <si>
    <t>A6_C_L36</t>
  </si>
  <si>
    <t>A6_D_L36</t>
  </si>
  <si>
    <t>A6_Y_L36</t>
  </si>
  <si>
    <t>A6_Z_L36</t>
  </si>
  <si>
    <t>A6_X_L36</t>
  </si>
  <si>
    <t>A7_A_L36</t>
  </si>
  <si>
    <t>A7_B_L36</t>
  </si>
  <si>
    <t>A7_C_L36</t>
  </si>
  <si>
    <t>A7_D_L36</t>
  </si>
  <si>
    <t>A7_Y_L36</t>
  </si>
  <si>
    <t>A7_Z_L36</t>
  </si>
  <si>
    <t>A7_X_L36</t>
  </si>
  <si>
    <t>A8_A_L36</t>
  </si>
  <si>
    <t>A8_B_L36</t>
  </si>
  <si>
    <t>A8_C_L36</t>
  </si>
  <si>
    <t>A8_D_L36</t>
  </si>
  <si>
    <t>A8_Y_L36</t>
  </si>
  <si>
    <t>A8_Z_L36</t>
  </si>
  <si>
    <t>A8_X_L36</t>
  </si>
  <si>
    <t>A9_A_L36</t>
  </si>
  <si>
    <t>A9_B_L36</t>
  </si>
  <si>
    <t>A9_C_L36</t>
  </si>
  <si>
    <t>A9_D_L36</t>
  </si>
  <si>
    <t>A9_Y_L36</t>
  </si>
  <si>
    <t>A9_Z_L36</t>
  </si>
  <si>
    <t>A9_X_L36</t>
  </si>
  <si>
    <t>A10_A_L36</t>
  </si>
  <si>
    <t>A10_B_L36</t>
  </si>
  <si>
    <t>A10_C_L36</t>
  </si>
  <si>
    <t>A10_D_L36</t>
  </si>
  <si>
    <t>A10_Y_L36</t>
  </si>
  <si>
    <t>A10_Z_L36</t>
  </si>
  <si>
    <t>A10_X_L36</t>
  </si>
  <si>
    <t>A11_A_L36</t>
  </si>
  <si>
    <t>A11_B_L36</t>
  </si>
  <si>
    <t>A11_C_L36</t>
  </si>
  <si>
    <t>A11_D_L36</t>
  </si>
  <si>
    <t>A11_Y_L36</t>
  </si>
  <si>
    <t>A11_Z_L36</t>
  </si>
  <si>
    <t>A11_X_L36</t>
  </si>
  <si>
    <t>A12_A_L36</t>
  </si>
  <si>
    <t>A12_B_L36</t>
  </si>
  <si>
    <t>A12_C_L36</t>
  </si>
  <si>
    <t>A12_D_L36</t>
  </si>
  <si>
    <t>A12_Y_L36</t>
  </si>
  <si>
    <t>A12_Z_L36</t>
  </si>
  <si>
    <t>A12_X_L36</t>
  </si>
  <si>
    <t>P_A1_L36</t>
  </si>
  <si>
    <t>P_A2_L36</t>
  </si>
  <si>
    <t>P_A3_L36</t>
  </si>
  <si>
    <t>P_A4_L36</t>
  </si>
  <si>
    <t>P_A5_L36</t>
  </si>
  <si>
    <t>P_A6_L36</t>
  </si>
  <si>
    <t>P_A7_L36</t>
  </si>
  <si>
    <t>P_A8_L36</t>
  </si>
  <si>
    <t>P_A9_L36</t>
  </si>
  <si>
    <t>P_A10_L36</t>
  </si>
  <si>
    <t>P_A11_L36</t>
  </si>
  <si>
    <t>P_A12_L36</t>
  </si>
  <si>
    <t>A1_A_L37</t>
  </si>
  <si>
    <t>A1_B_L37</t>
  </si>
  <si>
    <t>A1_C_L37</t>
  </si>
  <si>
    <t>A1_D_L37</t>
  </si>
  <si>
    <t>A1_Y_L37</t>
  </si>
  <si>
    <t>A1_Z_L37</t>
  </si>
  <si>
    <t>A1_X_L37</t>
  </si>
  <si>
    <t>A2_A_L37</t>
  </si>
  <si>
    <t>A2_B_L37</t>
  </si>
  <si>
    <t>A2_C_L37</t>
  </si>
  <si>
    <t>A2_D_L37</t>
  </si>
  <si>
    <t>A2_Y_L37</t>
  </si>
  <si>
    <t>A2_Z_L37</t>
  </si>
  <si>
    <t>A2_X_L37</t>
  </si>
  <si>
    <t>A3_A_L37</t>
  </si>
  <si>
    <t>A3_B_L37</t>
  </si>
  <si>
    <t>A3_C_L37</t>
  </si>
  <si>
    <t>A3_D_L37</t>
  </si>
  <si>
    <t>A3_Y_L37</t>
  </si>
  <si>
    <t>A3_Z_L37</t>
  </si>
  <si>
    <t>A3_X_L37</t>
  </si>
  <si>
    <t>A4_A_L37</t>
  </si>
  <si>
    <t>A4_B_L37</t>
  </si>
  <si>
    <t>A4_C_L37</t>
  </si>
  <si>
    <t>A4_D_L37</t>
  </si>
  <si>
    <t>A4_Y_L37</t>
  </si>
  <si>
    <t>A4_Z_L37</t>
  </si>
  <si>
    <t>A4_X_L37</t>
  </si>
  <si>
    <t>A5_A_L37</t>
  </si>
  <si>
    <t>A5_B_L37</t>
  </si>
  <si>
    <t>A5_C_L37</t>
  </si>
  <si>
    <t>A5_D_L37</t>
  </si>
  <si>
    <t>A5_Y_L37</t>
  </si>
  <si>
    <t>A5_Z_L37</t>
  </si>
  <si>
    <t>A5_X_L37</t>
  </si>
  <si>
    <t>A6_A_L37</t>
  </si>
  <si>
    <t>A6_B_L37</t>
  </si>
  <si>
    <t>A6_C_L37</t>
  </si>
  <si>
    <t>A6_D_L37</t>
  </si>
  <si>
    <t>A6_Y_L37</t>
  </si>
  <si>
    <t>A6_Z_L37</t>
  </si>
  <si>
    <t>A6_X_L37</t>
  </si>
  <si>
    <t>A7_A_L37</t>
  </si>
  <si>
    <t>A7_B_L37</t>
  </si>
  <si>
    <t>A7_C_L37</t>
  </si>
  <si>
    <t>A7_D_L37</t>
  </si>
  <si>
    <t>A7_Y_L37</t>
  </si>
  <si>
    <t>A7_Z_L37</t>
  </si>
  <si>
    <t>A7_X_L37</t>
  </si>
  <si>
    <t>A8_A_L37</t>
  </si>
  <si>
    <t>A8_B_L37</t>
  </si>
  <si>
    <t>A8_C_L37</t>
  </si>
  <si>
    <t>A8_D_L37</t>
  </si>
  <si>
    <t>A8_Y_L37</t>
  </si>
  <si>
    <t>A8_Z_L37</t>
  </si>
  <si>
    <t>A8_X_L37</t>
  </si>
  <si>
    <t>A9_A_L37</t>
  </si>
  <si>
    <t>A9_B_L37</t>
  </si>
  <si>
    <t>A9_C_L37</t>
  </si>
  <si>
    <t>A9_D_L37</t>
  </si>
  <si>
    <t>A9_Y_L37</t>
  </si>
  <si>
    <t>A9_Z_L37</t>
  </si>
  <si>
    <t>A9_X_L37</t>
  </si>
  <si>
    <t>A10_A_L37</t>
  </si>
  <si>
    <t>A10_B_L37</t>
  </si>
  <si>
    <t>A10_C_L37</t>
  </si>
  <si>
    <t>A10_D_L37</t>
  </si>
  <si>
    <t>A10_Y_L37</t>
  </si>
  <si>
    <t>A10_Z_L37</t>
  </si>
  <si>
    <t>A10_X_L37</t>
  </si>
  <si>
    <t>A11_A_L37</t>
  </si>
  <si>
    <t>A11_B_L37</t>
  </si>
  <si>
    <t>A11_C_L37</t>
  </si>
  <si>
    <t>A11_D_L37</t>
  </si>
  <si>
    <t>A11_Y_L37</t>
  </si>
  <si>
    <t>A11_Z_L37</t>
  </si>
  <si>
    <t>A11_X_L37</t>
  </si>
  <si>
    <t>A12_A_L37</t>
  </si>
  <si>
    <t>A12_B_L37</t>
  </si>
  <si>
    <t>A12_C_L37</t>
  </si>
  <si>
    <t>A12_D_L37</t>
  </si>
  <si>
    <t>A12_Y_L37</t>
  </si>
  <si>
    <t>A12_Z_L37</t>
  </si>
  <si>
    <t>A12_X_L37</t>
  </si>
  <si>
    <t>P_A1_L37</t>
  </si>
  <si>
    <t>P_A2_L37</t>
  </si>
  <si>
    <t>P_A3_L37</t>
  </si>
  <si>
    <t>P_A4_L37</t>
  </si>
  <si>
    <t>P_A5_L37</t>
  </si>
  <si>
    <t>P_A6_L37</t>
  </si>
  <si>
    <t>P_A7_L37</t>
  </si>
  <si>
    <t>P_A8_L37</t>
  </si>
  <si>
    <t>P_A9_L37</t>
  </si>
  <si>
    <t>P_A10_L37</t>
  </si>
  <si>
    <t>P_A11_L37</t>
  </si>
  <si>
    <t>P_A12_L37</t>
  </si>
  <si>
    <t>A1_A_L38</t>
  </si>
  <si>
    <t>A1_B_L38</t>
  </si>
  <si>
    <t>A1_C_L38</t>
  </si>
  <si>
    <t>A1_D_L38</t>
  </si>
  <si>
    <t>A1_Y_L38</t>
  </si>
  <si>
    <t>A1_Z_L38</t>
  </si>
  <si>
    <t>A1_X_L38</t>
  </si>
  <si>
    <t>A2_A_L38</t>
  </si>
  <si>
    <t>A2_B_L38</t>
  </si>
  <si>
    <t>A2_C_L38</t>
  </si>
  <si>
    <t>A2_D_L38</t>
  </si>
  <si>
    <t>A2_Y_L38</t>
  </si>
  <si>
    <t>A2_Z_L38</t>
  </si>
  <si>
    <t>A2_X_L38</t>
  </si>
  <si>
    <t>A3_A_L38</t>
  </si>
  <si>
    <t>A3_B_L38</t>
  </si>
  <si>
    <t>A3_C_L38</t>
  </si>
  <si>
    <t>A3_D_L38</t>
  </si>
  <si>
    <t>A3_Y_L38</t>
  </si>
  <si>
    <t>A3_Z_L38</t>
  </si>
  <si>
    <t>A3_X_L38</t>
  </si>
  <si>
    <t>A4_A_L38</t>
  </si>
  <si>
    <t>A4_B_L38</t>
  </si>
  <si>
    <t>A4_C_L38</t>
  </si>
  <si>
    <t>A4_D_L38</t>
  </si>
  <si>
    <t>A4_Y_L38</t>
  </si>
  <si>
    <t>A4_Z_L38</t>
  </si>
  <si>
    <t>A4_X_L38</t>
  </si>
  <si>
    <t>A5_A_L38</t>
  </si>
  <si>
    <t>A5_B_L38</t>
  </si>
  <si>
    <t>A5_C_L38</t>
  </si>
  <si>
    <t>A5_D_L38</t>
  </si>
  <si>
    <t>A5_Y_L38</t>
  </si>
  <si>
    <t>A5_Z_L38</t>
  </si>
  <si>
    <t>A5_X_L38</t>
  </si>
  <si>
    <t>A6_A_L38</t>
  </si>
  <si>
    <t>A6_B_L38</t>
  </si>
  <si>
    <t>A6_C_L38</t>
  </si>
  <si>
    <t>A6_D_L38</t>
  </si>
  <si>
    <t>A6_Y_L38</t>
  </si>
  <si>
    <t>A6_Z_L38</t>
  </si>
  <si>
    <t>A6_X_L38</t>
  </si>
  <si>
    <t>A7_A_L38</t>
  </si>
  <si>
    <t>A7_B_L38</t>
  </si>
  <si>
    <t>A7_C_L38</t>
  </si>
  <si>
    <t>A7_D_L38</t>
  </si>
  <si>
    <t>A7_Y_L38</t>
  </si>
  <si>
    <t>A7_Z_L38</t>
  </si>
  <si>
    <t>A7_X_L38</t>
  </si>
  <si>
    <t>A8_A_L38</t>
  </si>
  <si>
    <t>A8_B_L38</t>
  </si>
  <si>
    <t>A8_C_L38</t>
  </si>
  <si>
    <t>A8_D_L38</t>
  </si>
  <si>
    <t>A8_Y_L38</t>
  </si>
  <si>
    <t>A8_Z_L38</t>
  </si>
  <si>
    <t>A8_X_L38</t>
  </si>
  <si>
    <t>A9_A_L38</t>
  </si>
  <si>
    <t>A9_B_L38</t>
  </si>
  <si>
    <t>A9_C_L38</t>
  </si>
  <si>
    <t>A9_D_L38</t>
  </si>
  <si>
    <t>A9_Y_L38</t>
  </si>
  <si>
    <t>A9_Z_L38</t>
  </si>
  <si>
    <t>A9_X_L38</t>
  </si>
  <si>
    <t>A10_A_L38</t>
  </si>
  <si>
    <t>A10_B_L38</t>
  </si>
  <si>
    <t>A10_C_L38</t>
  </si>
  <si>
    <t>A10_D_L38</t>
  </si>
  <si>
    <t>A10_Y_L38</t>
  </si>
  <si>
    <t>A10_Z_L38</t>
  </si>
  <si>
    <t>A10_X_L38</t>
  </si>
  <si>
    <t>A11_A_L38</t>
  </si>
  <si>
    <t>A11_B_L38</t>
  </si>
  <si>
    <t>A11_C_L38</t>
  </si>
  <si>
    <t>A11_D_L38</t>
  </si>
  <si>
    <t>A11_Y_L38</t>
  </si>
  <si>
    <t>A11_Z_L38</t>
  </si>
  <si>
    <t>A11_X_L38</t>
  </si>
  <si>
    <t>A12_A_L38</t>
  </si>
  <si>
    <t>A12_B_L38</t>
  </si>
  <si>
    <t>A12_C_L38</t>
  </si>
  <si>
    <t>A12_D_L38</t>
  </si>
  <si>
    <t>A12_Y_L38</t>
  </si>
  <si>
    <t>A12_Z_L38</t>
  </si>
  <si>
    <t>A12_X_L38</t>
  </si>
  <si>
    <t>P_A1_L38</t>
  </si>
  <si>
    <t>P_A2_L38</t>
  </si>
  <si>
    <t>P_A3_L38</t>
  </si>
  <si>
    <t>P_A4_L38</t>
  </si>
  <si>
    <t>P_A5_L38</t>
  </si>
  <si>
    <t>P_A6_L38</t>
  </si>
  <si>
    <t>P_A7_L38</t>
  </si>
  <si>
    <t>P_A8_L38</t>
  </si>
  <si>
    <t>P_A9_L38</t>
  </si>
  <si>
    <t>P_A10_L38</t>
  </si>
  <si>
    <t>P_A11_L38</t>
  </si>
  <si>
    <t>P_A12_L38</t>
  </si>
  <si>
    <t>A1_A_L39</t>
  </si>
  <si>
    <t>A1_B_L39</t>
  </si>
  <si>
    <t>A1_C_L39</t>
  </si>
  <si>
    <t>A1_D_L39</t>
  </si>
  <si>
    <t>A1_Y_L39</t>
  </si>
  <si>
    <t>A1_Z_L39</t>
  </si>
  <si>
    <t>A1_X_L39</t>
  </si>
  <si>
    <t>A2_A_L39</t>
  </si>
  <si>
    <t>A2_B_L39</t>
  </si>
  <si>
    <t>A2_C_L39</t>
  </si>
  <si>
    <t>A2_D_L39</t>
  </si>
  <si>
    <t>A2_Y_L39</t>
  </si>
  <si>
    <t>A2_Z_L39</t>
  </si>
  <si>
    <t>A2_X_L39</t>
  </si>
  <si>
    <t>A3_A_L39</t>
  </si>
  <si>
    <t>A3_B_L39</t>
  </si>
  <si>
    <t>A3_C_L39</t>
  </si>
  <si>
    <t>A3_D_L39</t>
  </si>
  <si>
    <t>A3_Y_L39</t>
  </si>
  <si>
    <t>A3_Z_L39</t>
  </si>
  <si>
    <t>A3_X_L39</t>
  </si>
  <si>
    <t>A4_A_L39</t>
  </si>
  <si>
    <t>A4_B_L39</t>
  </si>
  <si>
    <t>A4_C_L39</t>
  </si>
  <si>
    <t>A4_D_L39</t>
  </si>
  <si>
    <t>A4_Y_L39</t>
  </si>
  <si>
    <t>A4_Z_L39</t>
  </si>
  <si>
    <t>A4_X_L39</t>
  </si>
  <si>
    <t>A5_A_L39</t>
  </si>
  <si>
    <t>A5_B_L39</t>
  </si>
  <si>
    <t>A5_C_L39</t>
  </si>
  <si>
    <t>A5_D_L39</t>
  </si>
  <si>
    <t>A5_Y_L39</t>
  </si>
  <si>
    <t>A5_Z_L39</t>
  </si>
  <si>
    <t>A5_X_L39</t>
  </si>
  <si>
    <t>A6_A_L39</t>
  </si>
  <si>
    <t>A6_B_L39</t>
  </si>
  <si>
    <t>A6_C_L39</t>
  </si>
  <si>
    <t>A6_D_L39</t>
  </si>
  <si>
    <t>A6_Y_L39</t>
  </si>
  <si>
    <t>A6_Z_L39</t>
  </si>
  <si>
    <t>A6_X_L39</t>
  </si>
  <si>
    <t>A7_A_L39</t>
  </si>
  <si>
    <t>A7_B_L39</t>
  </si>
  <si>
    <t>A7_C_L39</t>
  </si>
  <si>
    <t>A7_D_L39</t>
  </si>
  <si>
    <t>A7_Y_L39</t>
  </si>
  <si>
    <t>A7_Z_L39</t>
  </si>
  <si>
    <t>A7_X_L39</t>
  </si>
  <si>
    <t>A8_A_L39</t>
  </si>
  <si>
    <t>A8_B_L39</t>
  </si>
  <si>
    <t>A8_C_L39</t>
  </si>
  <si>
    <t>A8_D_L39</t>
  </si>
  <si>
    <t>A8_Y_L39</t>
  </si>
  <si>
    <t>A8_Z_L39</t>
  </si>
  <si>
    <t>A8_X_L39</t>
  </si>
  <si>
    <t>A9_A_L39</t>
  </si>
  <si>
    <t>A9_B_L39</t>
  </si>
  <si>
    <t>A9_C_L39</t>
  </si>
  <si>
    <t>A9_D_L39</t>
  </si>
  <si>
    <t>A9_Y_L39</t>
  </si>
  <si>
    <t>A9_Z_L39</t>
  </si>
  <si>
    <t>A9_X_L39</t>
  </si>
  <si>
    <t>A10_A_L39</t>
  </si>
  <si>
    <t>A10_B_L39</t>
  </si>
  <si>
    <t>A10_C_L39</t>
  </si>
  <si>
    <t>A10_D_L39</t>
  </si>
  <si>
    <t>A10_Y_L39</t>
  </si>
  <si>
    <t>A10_Z_L39</t>
  </si>
  <si>
    <t>A10_X_L39</t>
  </si>
  <si>
    <t>A11_A_L39</t>
  </si>
  <si>
    <t>A11_B_L39</t>
  </si>
  <si>
    <t>A11_C_L39</t>
  </si>
  <si>
    <t>A11_D_L39</t>
  </si>
  <si>
    <t>A11_Y_L39</t>
  </si>
  <si>
    <t>A11_Z_L39</t>
  </si>
  <si>
    <t>A11_X_L39</t>
  </si>
  <si>
    <t>A12_A_L39</t>
  </si>
  <si>
    <t>A12_B_L39</t>
  </si>
  <si>
    <t>A12_C_L39</t>
  </si>
  <si>
    <t>A12_D_L39</t>
  </si>
  <si>
    <t>A12_Y_L39</t>
  </si>
  <si>
    <t>A12_Z_L39</t>
  </si>
  <si>
    <t>A12_X_L39</t>
  </si>
  <si>
    <t>P_A1_L39</t>
  </si>
  <si>
    <t>P_A2_L39</t>
  </si>
  <si>
    <t>P_A3_L39</t>
  </si>
  <si>
    <t>P_A4_L39</t>
  </si>
  <si>
    <t>P_A5_L39</t>
  </si>
  <si>
    <t>P_A6_L39</t>
  </si>
  <si>
    <t>P_A7_L39</t>
  </si>
  <si>
    <t>P_A8_L39</t>
  </si>
  <si>
    <t>P_A9_L39</t>
  </si>
  <si>
    <t>P_A10_L39</t>
  </si>
  <si>
    <t>P_A11_L39</t>
  </si>
  <si>
    <t>P_A12_L39</t>
  </si>
  <si>
    <t>A1_A_L40</t>
  </si>
  <si>
    <t>A1_B_L40</t>
  </si>
  <si>
    <t>A1_C_L40</t>
  </si>
  <si>
    <t>A1_D_L40</t>
  </si>
  <si>
    <t>A1_Y_L40</t>
  </si>
  <si>
    <t>A1_Z_L40</t>
  </si>
  <si>
    <t>A1_X_L40</t>
  </si>
  <si>
    <t>A2_A_L40</t>
  </si>
  <si>
    <t>A2_B_L40</t>
  </si>
  <si>
    <t>A2_C_L40</t>
  </si>
  <si>
    <t>A2_D_L40</t>
  </si>
  <si>
    <t>A2_Y_L40</t>
  </si>
  <si>
    <t>A2_Z_L40</t>
  </si>
  <si>
    <t>A2_X_L40</t>
  </si>
  <si>
    <t>A3_A_L40</t>
  </si>
  <si>
    <t>A3_B_L40</t>
  </si>
  <si>
    <t>A3_C_L40</t>
  </si>
  <si>
    <t>A3_D_L40</t>
  </si>
  <si>
    <t>A3_Y_L40</t>
  </si>
  <si>
    <t>A3_Z_L40</t>
  </si>
  <si>
    <t>A3_X_L40</t>
  </si>
  <si>
    <t>A4_A_L40</t>
  </si>
  <si>
    <t>A4_B_L40</t>
  </si>
  <si>
    <t>A4_C_L40</t>
  </si>
  <si>
    <t>A4_D_L40</t>
  </si>
  <si>
    <t>A4_Y_L40</t>
  </si>
  <si>
    <t>A4_Z_L40</t>
  </si>
  <si>
    <t>A4_X_L40</t>
  </si>
  <si>
    <t>A5_A_L40</t>
  </si>
  <si>
    <t>A5_B_L40</t>
  </si>
  <si>
    <t>A5_C_L40</t>
  </si>
  <si>
    <t>A5_D_L40</t>
  </si>
  <si>
    <t>A5_Y_L40</t>
  </si>
  <si>
    <t>A5_Z_L40</t>
  </si>
  <si>
    <t>A5_X_L40</t>
  </si>
  <si>
    <t>A6_A_L40</t>
  </si>
  <si>
    <t>A6_B_L40</t>
  </si>
  <si>
    <t>A6_C_L40</t>
  </si>
  <si>
    <t>A6_D_L40</t>
  </si>
  <si>
    <t>A6_Y_L40</t>
  </si>
  <si>
    <t>A6_Z_L40</t>
  </si>
  <si>
    <t>A6_X_L40</t>
  </si>
  <si>
    <t>A7_A_L40</t>
  </si>
  <si>
    <t>A7_B_L40</t>
  </si>
  <si>
    <t>A7_C_L40</t>
  </si>
  <si>
    <t>A7_D_L40</t>
  </si>
  <si>
    <t>A7_Y_L40</t>
  </si>
  <si>
    <t>A7_Z_L40</t>
  </si>
  <si>
    <t>A7_X_L40</t>
  </si>
  <si>
    <t>A8_A_L40</t>
  </si>
  <si>
    <t>A8_B_L40</t>
  </si>
  <si>
    <t>A8_C_L40</t>
  </si>
  <si>
    <t>A8_D_L40</t>
  </si>
  <si>
    <t>A8_Y_L40</t>
  </si>
  <si>
    <t>A8_Z_L40</t>
  </si>
  <si>
    <t>A8_X_L40</t>
  </si>
  <si>
    <t>A9_A_L40</t>
  </si>
  <si>
    <t>A9_B_L40</t>
  </si>
  <si>
    <t>A9_C_L40</t>
  </si>
  <si>
    <t>A9_D_L40</t>
  </si>
  <si>
    <t>A9_Y_L40</t>
  </si>
  <si>
    <t>A9_Z_L40</t>
  </si>
  <si>
    <t>A9_X_L40</t>
  </si>
  <si>
    <t>A10_A_L40</t>
  </si>
  <si>
    <t>A10_B_L40</t>
  </si>
  <si>
    <t>A10_C_L40</t>
  </si>
  <si>
    <t>A10_D_L40</t>
  </si>
  <si>
    <t>A10_Y_L40</t>
  </si>
  <si>
    <t>A10_Z_L40</t>
  </si>
  <si>
    <t>A10_X_L40</t>
  </si>
  <si>
    <t>A11_A_L40</t>
  </si>
  <si>
    <t>A11_B_L40</t>
  </si>
  <si>
    <t>A11_C_L40</t>
  </si>
  <si>
    <t>A11_D_L40</t>
  </si>
  <si>
    <t>A11_Y_L40</t>
  </si>
  <si>
    <t>A11_Z_L40</t>
  </si>
  <si>
    <t>A11_X_L40</t>
  </si>
  <si>
    <t>A12_A_L40</t>
  </si>
  <si>
    <t>A12_B_L40</t>
  </si>
  <si>
    <t>A12_C_L40</t>
  </si>
  <si>
    <t>A12_D_L40</t>
  </si>
  <si>
    <t>A12_Y_L40</t>
  </si>
  <si>
    <t>A12_Z_L40</t>
  </si>
  <si>
    <t>A12_X_L40</t>
  </si>
  <si>
    <t>P_A1_L40</t>
  </si>
  <si>
    <t>P_A2_L40</t>
  </si>
  <si>
    <t>P_A3_L40</t>
  </si>
  <si>
    <t>P_A4_L40</t>
  </si>
  <si>
    <t>P_A5_L40</t>
  </si>
  <si>
    <t>P_A6_L40</t>
  </si>
  <si>
    <t>P_A7_L40</t>
  </si>
  <si>
    <t>P_A8_L40</t>
  </si>
  <si>
    <t>P_A9_L40</t>
  </si>
  <si>
    <t>P_A10_L40</t>
  </si>
  <si>
    <t>P_A11_L40</t>
  </si>
  <si>
    <t>P_A12_L40</t>
  </si>
  <si>
    <t>Cosecha</t>
  </si>
  <si>
    <t>Monto</t>
  </si>
  <si>
    <t>Ingresos</t>
  </si>
  <si>
    <t>Producción qq Uva</t>
  </si>
  <si>
    <t>Egresos</t>
  </si>
  <si>
    <t>Siembras</t>
  </si>
  <si>
    <t>Siembras en segundo año</t>
  </si>
  <si>
    <t>Gastos administrativos</t>
  </si>
  <si>
    <t>Costo Cosecha y Poscosecha</t>
  </si>
  <si>
    <t>Resultado en operación</t>
  </si>
  <si>
    <t>Inversiones propuestas</t>
  </si>
  <si>
    <t>EBITDA</t>
  </si>
  <si>
    <t>Depreciaciones y amortizaciones</t>
  </si>
  <si>
    <t>Pagos de capital</t>
  </si>
  <si>
    <t>Intereses</t>
  </si>
  <si>
    <t>Utilidad / Pérdida proyectada</t>
  </si>
  <si>
    <t>Tasa</t>
  </si>
  <si>
    <t>Período de gracia</t>
  </si>
  <si>
    <t>VNA</t>
  </si>
  <si>
    <t>TIR</t>
  </si>
  <si>
    <t>Tabla de amortización</t>
  </si>
  <si>
    <t>C/ Financiamiento</t>
  </si>
  <si>
    <t>Si</t>
  </si>
  <si>
    <t>Saldo capital</t>
  </si>
  <si>
    <t>Pagos capital</t>
  </si>
  <si>
    <t>Interés</t>
  </si>
  <si>
    <t>Cuota</t>
  </si>
  <si>
    <t>Financiamiento</t>
  </si>
  <si>
    <t>Q.</t>
  </si>
  <si>
    <t>Plazo - Años</t>
  </si>
  <si>
    <t>No</t>
  </si>
  <si>
    <t>D e t a l l e   p o r   l o t e</t>
  </si>
  <si>
    <t>D e t a l l e   p o r   c a t e g o r í a  p r o d u c t i v a</t>
  </si>
  <si>
    <t>Siembras en ensayo de 2o. Año</t>
  </si>
  <si>
    <t>Abandono temporal</t>
  </si>
  <si>
    <t>Presupuesto</t>
  </si>
  <si>
    <t>Ejecución</t>
  </si>
  <si>
    <t>Diferencia</t>
  </si>
  <si>
    <t>Sistema de manejo de tejido</t>
  </si>
  <si>
    <t>Mano de obra nutrición</t>
  </si>
  <si>
    <t>Mano de obra enmiendas</t>
  </si>
  <si>
    <t>Control de malezas</t>
  </si>
  <si>
    <t>M. de sombra, conservación y otros</t>
  </si>
  <si>
    <t>Cosecha y poscosecha</t>
  </si>
  <si>
    <t>Costo corte</t>
  </si>
  <si>
    <t>Costo beneficiado</t>
  </si>
  <si>
    <t>Inversiones</t>
  </si>
  <si>
    <t>Diferencia ingresos / egresos</t>
  </si>
  <si>
    <t>Número de plantas</t>
  </si>
  <si>
    <t>v. 11.3</t>
  </si>
  <si>
    <t>La Cumbre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</si>
</sst>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1" formatCode="_-* #,##0_-;\-* #,##0_-;_-* &quot;-&quot;_-;_-@_-"/>
    <numFmt numFmtId="44" formatCode="_-&quot;Q&quot;* #,##0.00_-;\-&quot;Q&quot;* #,##0.00_-;_-&quot;Q&quot;* &quot;-&quot;??_-;_-@_-"/>
    <numFmt numFmtId="43" formatCode="_-* #,##0.00_-;\-* #,##0.00_-;_-* &quot;-&quot;??_-;_-@_-"/>
    <numFmt numFmtId="164" formatCode="0.0000"/>
    <numFmt numFmtId="165" formatCode="_-[$Q-100A]* #,##0.00_-;\-[$Q-100A]* #,##0.00_-;_-[$Q-100A]* &quot;-&quot;??_-;_-@_-"/>
    <numFmt numFmtId="166" formatCode="#,##0.00_ ;\-#,##0.00\ "/>
    <numFmt numFmtId="167" formatCode="#,##0.0_ ;\-#,##0.0\ "/>
    <numFmt numFmtId="168" formatCode="0.0000000"/>
    <numFmt numFmtId="169" formatCode="_-[$Q-100A]* #,##0_-;\-[$Q-100A]* #,##0_-;_-[$Q-100A]* &quot;-&quot;_-;_-@_-"/>
    <numFmt numFmtId="170" formatCode="#,##0.0"/>
  </numFmts>
  <fonts count="3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u/>
      <sz val="12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Century Gothic"/>
      <family val="2"/>
    </font>
    <font>
      <sz val="12"/>
      <color theme="0"/>
      <name val="Century Gothic"/>
      <family val="2"/>
    </font>
    <font>
      <sz val="12"/>
      <name val="Century Gothic"/>
      <family val="2"/>
    </font>
    <font>
      <b/>
      <sz val="14"/>
      <color theme="0"/>
      <name val="Century Gothic"/>
      <family val="2"/>
    </font>
    <font>
      <b/>
      <sz val="14"/>
      <name val="Century Gothic"/>
      <family val="2"/>
    </font>
    <font>
      <sz val="14"/>
      <name val="Century Gothic"/>
      <family val="2"/>
    </font>
    <font>
      <b/>
      <sz val="11"/>
      <color theme="0"/>
      <name val="Century Gothic"/>
      <family val="2"/>
    </font>
    <font>
      <b/>
      <sz val="12"/>
      <color theme="0"/>
      <name val="Century Gothic"/>
      <family val="2"/>
    </font>
    <font>
      <b/>
      <sz val="10"/>
      <color theme="0"/>
      <name val="Century Gothic"/>
      <family val="2"/>
    </font>
    <font>
      <b/>
      <sz val="16"/>
      <color rgb="FF1B3321"/>
      <name val="Century Gothic"/>
      <family val="2"/>
    </font>
    <font>
      <b/>
      <sz val="14"/>
      <color theme="1"/>
      <name val="Century Gothic"/>
      <family val="2"/>
    </font>
    <font>
      <u/>
      <sz val="12"/>
      <color theme="10"/>
      <name val="Century Gothic"/>
      <family val="2"/>
    </font>
    <font>
      <b/>
      <sz val="18"/>
      <color theme="0"/>
      <name val="Century Gothic"/>
      <family val="2"/>
    </font>
    <font>
      <b/>
      <sz val="16"/>
      <color theme="0"/>
      <name val="Century Gothic"/>
      <family val="2"/>
    </font>
    <font>
      <sz val="10"/>
      <color theme="1"/>
      <name val="Century Gothic"/>
      <family val="2"/>
    </font>
    <font>
      <b/>
      <sz val="5"/>
      <color theme="1"/>
      <name val="Century Gothic"/>
      <family val="2"/>
    </font>
    <font>
      <sz val="12"/>
      <color theme="10"/>
      <name val="Century Gothic"/>
      <family val="2"/>
    </font>
    <font>
      <sz val="16"/>
      <color theme="1"/>
      <name val="Century Gothic"/>
      <family val="2"/>
    </font>
    <font>
      <sz val="16"/>
      <color theme="0"/>
      <name val="Century Gothic"/>
      <family val="2"/>
    </font>
    <font>
      <b/>
      <sz val="12"/>
      <color theme="1"/>
      <name val="Century Gothic"/>
      <family val="2"/>
    </font>
    <font>
      <b/>
      <sz val="9"/>
      <color theme="0"/>
      <name val="Century Gothic"/>
      <family val="2"/>
    </font>
    <font>
      <b/>
      <u/>
      <sz val="12"/>
      <color theme="0"/>
      <name val="Century Gothic"/>
      <family val="2"/>
    </font>
    <font>
      <b/>
      <sz val="20"/>
      <color rgb="FF1B3321"/>
      <name val="Century Gothic"/>
      <family val="2"/>
    </font>
    <font>
      <b/>
      <sz val="20"/>
      <color theme="0"/>
      <name val="Century Gothic"/>
      <family val="2"/>
    </font>
    <font>
      <sz val="20"/>
      <color theme="0"/>
      <name val="Century Gothic"/>
      <family val="2"/>
    </font>
    <font>
      <b/>
      <sz val="18"/>
      <color theme="1"/>
      <name val="Century Gothic"/>
      <family val="2"/>
    </font>
    <font>
      <sz val="18"/>
      <color theme="1"/>
      <name val="Century Gothic"/>
      <family val="2"/>
    </font>
    <font>
      <b/>
      <sz val="16"/>
      <color theme="1"/>
      <name val="Century Gothic"/>
      <family val="2"/>
    </font>
    <font>
      <b/>
      <sz val="16"/>
      <name val="Century Gothic"/>
      <family val="2"/>
    </font>
    <font>
      <b/>
      <sz val="12"/>
      <name val="Century Gothic"/>
      <family val="2"/>
    </font>
    <font>
      <b/>
      <sz val="6"/>
      <color theme="1"/>
      <name val="Century Gothic"/>
      <family val="2"/>
    </font>
    <font>
      <sz val="9"/>
      <color theme="1"/>
      <name val="Century Gothic"/>
      <family val="2"/>
    </font>
    <font>
      <b/>
      <u/>
      <sz val="16"/>
      <color theme="0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1B3321"/>
        <bgColor indexed="64"/>
      </patternFill>
    </fill>
    <fill>
      <patternFill patternType="solid">
        <fgColor rgb="FF0F5796"/>
        <bgColor indexed="64"/>
      </patternFill>
    </fill>
    <fill>
      <patternFill patternType="solid">
        <fgColor rgb="FF10312B"/>
        <bgColor indexed="64"/>
      </patternFill>
    </fill>
    <fill>
      <patternFill patternType="solid">
        <fgColor rgb="FF76871E"/>
        <bgColor indexed="64"/>
      </patternFill>
    </fill>
    <fill>
      <patternFill patternType="solid">
        <fgColor rgb="FFCE7A23"/>
        <bgColor indexed="64"/>
      </patternFill>
    </fill>
  </fills>
  <borders count="7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theme="1"/>
      </left>
      <right style="medium">
        <color theme="1"/>
      </right>
      <top/>
      <bottom/>
      <diagonal/>
    </border>
    <border>
      <left style="medium">
        <color theme="1"/>
      </left>
      <right style="medium">
        <color theme="1"/>
      </right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/>
      <diagonal/>
    </border>
    <border>
      <left/>
      <right style="medium">
        <color theme="1"/>
      </right>
      <top/>
      <bottom/>
      <diagonal/>
    </border>
    <border>
      <left/>
      <right style="medium">
        <color theme="1"/>
      </right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medium">
        <color theme="1"/>
      </bottom>
      <diagonal/>
    </border>
    <border>
      <left/>
      <right/>
      <top style="medium">
        <color theme="1"/>
      </top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theme="1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 style="thin">
        <color indexed="64"/>
      </top>
      <bottom style="thin">
        <color indexed="64"/>
      </bottom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medium">
        <color theme="1"/>
      </left>
      <right/>
      <top/>
      <bottom style="medium">
        <color theme="1"/>
      </bottom>
      <diagonal/>
    </border>
    <border>
      <left/>
      <right/>
      <top/>
      <bottom style="medium">
        <color theme="1"/>
      </bottom>
      <diagonal/>
    </border>
    <border>
      <left style="medium">
        <color theme="1"/>
      </left>
      <right/>
      <top style="medium">
        <color theme="1"/>
      </top>
      <bottom style="thin">
        <color indexed="64"/>
      </bottom>
      <diagonal/>
    </border>
    <border>
      <left/>
      <right/>
      <top style="medium">
        <color theme="1"/>
      </top>
      <bottom style="thin">
        <color indexed="64"/>
      </bottom>
      <diagonal/>
    </border>
    <border>
      <left/>
      <right style="medium">
        <color theme="1"/>
      </right>
      <top style="medium">
        <color theme="1"/>
      </top>
      <bottom style="thin">
        <color indexed="64"/>
      </bottom>
      <diagonal/>
    </border>
    <border>
      <left style="medium">
        <color theme="1"/>
      </left>
      <right/>
      <top/>
      <bottom/>
      <diagonal/>
    </border>
    <border>
      <left style="thin">
        <color theme="1"/>
      </left>
      <right/>
      <top/>
      <bottom/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/>
      <top style="medium">
        <color indexed="64"/>
      </top>
      <bottom/>
      <diagonal/>
    </border>
    <border>
      <left/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/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1" fontId="1" fillId="0" borderId="0" applyFont="0" applyFill="0" applyBorder="0" applyAlignment="0" applyProtection="0"/>
  </cellStyleXfs>
  <cellXfs count="495">
    <xf numFmtId="0" fontId="0" fillId="0" borderId="0" xfId="0"/>
    <xf numFmtId="0" fontId="0" fillId="2" borderId="0" xfId="0" applyFill="1"/>
    <xf numFmtId="167" fontId="5" fillId="0" borderId="2" xfId="0" applyNumberFormat="1" applyFont="1" applyBorder="1" applyAlignment="1" applyProtection="1">
      <alignment horizontal="center"/>
      <protection locked="0"/>
    </xf>
    <xf numFmtId="167" fontId="5" fillId="0" borderId="3" xfId="0" applyNumberFormat="1" applyFont="1" applyBorder="1" applyAlignment="1" applyProtection="1">
      <alignment horizontal="center"/>
      <protection locked="0"/>
    </xf>
    <xf numFmtId="0" fontId="5" fillId="0" borderId="0" xfId="0" applyFont="1" applyProtection="1">
      <protection hidden="1"/>
    </xf>
    <xf numFmtId="0" fontId="6" fillId="0" borderId="0" xfId="0" applyFont="1" applyProtection="1">
      <protection hidden="1"/>
    </xf>
    <xf numFmtId="0" fontId="7" fillId="0" borderId="0" xfId="0" applyFont="1" applyProtection="1">
      <protection hidden="1"/>
    </xf>
    <xf numFmtId="166" fontId="5" fillId="0" borderId="2" xfId="0" applyNumberFormat="1" applyFont="1" applyBorder="1" applyAlignment="1" applyProtection="1">
      <alignment horizontal="center"/>
      <protection locked="0"/>
    </xf>
    <xf numFmtId="0" fontId="5" fillId="0" borderId="8" xfId="0" applyFont="1" applyBorder="1"/>
    <xf numFmtId="0" fontId="5" fillId="0" borderId="10" xfId="0" applyFont="1" applyBorder="1"/>
    <xf numFmtId="0" fontId="8" fillId="3" borderId="13" xfId="0" applyFont="1" applyFill="1" applyBorder="1" applyAlignment="1" applyProtection="1">
      <alignment horizontal="center" vertical="center"/>
      <protection hidden="1"/>
    </xf>
    <xf numFmtId="0" fontId="8" fillId="3" borderId="14" xfId="0" applyFont="1" applyFill="1" applyBorder="1" applyAlignment="1" applyProtection="1">
      <alignment horizontal="center" vertical="center" wrapText="1"/>
      <protection hidden="1"/>
    </xf>
    <xf numFmtId="0" fontId="5" fillId="2" borderId="0" xfId="0" applyFont="1" applyFill="1" applyProtection="1">
      <protection hidden="1"/>
    </xf>
    <xf numFmtId="4" fontId="0" fillId="2" borderId="0" xfId="0" applyNumberFormat="1" applyFill="1"/>
    <xf numFmtId="0" fontId="12" fillId="3" borderId="16" xfId="2" applyFont="1" applyFill="1" applyBorder="1" applyAlignment="1" applyProtection="1">
      <alignment horizontal="center" vertical="center"/>
      <protection hidden="1"/>
    </xf>
    <xf numFmtId="0" fontId="12" fillId="3" borderId="22" xfId="2" applyFont="1" applyFill="1" applyBorder="1" applyAlignment="1" applyProtection="1">
      <alignment horizontal="center" vertical="center"/>
      <protection hidden="1"/>
    </xf>
    <xf numFmtId="0" fontId="15" fillId="0" borderId="16" xfId="0" applyFont="1" applyBorder="1" applyAlignment="1" applyProtection="1">
      <alignment horizontal="center" vertical="center"/>
      <protection locked="0"/>
    </xf>
    <xf numFmtId="0" fontId="9" fillId="2" borderId="23" xfId="0" applyFont="1" applyFill="1" applyBorder="1" applyAlignment="1" applyProtection="1">
      <alignment horizontal="center" vertical="center"/>
      <protection locked="0"/>
    </xf>
    <xf numFmtId="0" fontId="8" fillId="3" borderId="11" xfId="0" applyFont="1" applyFill="1" applyBorder="1" applyAlignment="1" applyProtection="1">
      <alignment horizontal="center" vertical="center"/>
      <protection hidden="1"/>
    </xf>
    <xf numFmtId="0" fontId="10" fillId="2" borderId="23" xfId="0" applyFont="1" applyFill="1" applyBorder="1" applyAlignment="1" applyProtection="1">
      <alignment horizontal="center" vertical="center"/>
      <protection locked="0"/>
    </xf>
    <xf numFmtId="0" fontId="8" fillId="3" borderId="5" xfId="0" applyFont="1" applyFill="1" applyBorder="1" applyAlignment="1" applyProtection="1">
      <alignment horizontal="center" vertical="center"/>
      <protection hidden="1"/>
    </xf>
    <xf numFmtId="0" fontId="15" fillId="0" borderId="24" xfId="0" applyFont="1" applyBorder="1" applyAlignment="1" applyProtection="1">
      <alignment horizontal="center" vertical="center"/>
      <protection locked="0"/>
    </xf>
    <xf numFmtId="0" fontId="8" fillId="3" borderId="6" xfId="0" applyFont="1" applyFill="1" applyBorder="1" applyAlignment="1" applyProtection="1">
      <alignment horizontal="center" vertical="center" wrapText="1"/>
      <protection hidden="1"/>
    </xf>
    <xf numFmtId="0" fontId="12" fillId="7" borderId="40" xfId="2" applyFont="1" applyFill="1" applyBorder="1" applyAlignment="1" applyProtection="1">
      <alignment vertical="center"/>
      <protection hidden="1"/>
    </xf>
    <xf numFmtId="0" fontId="12" fillId="7" borderId="41" xfId="2" applyFont="1" applyFill="1" applyBorder="1" applyAlignment="1" applyProtection="1">
      <alignment vertical="center"/>
      <protection hidden="1"/>
    </xf>
    <xf numFmtId="0" fontId="16" fillId="7" borderId="41" xfId="2" applyFont="1" applyFill="1" applyBorder="1" applyAlignment="1" applyProtection="1">
      <alignment vertical="center"/>
      <protection hidden="1"/>
    </xf>
    <xf numFmtId="0" fontId="16" fillId="7" borderId="42" xfId="2" applyFont="1" applyFill="1" applyBorder="1" applyAlignment="1" applyProtection="1">
      <alignment vertical="center"/>
      <protection hidden="1"/>
    </xf>
    <xf numFmtId="0" fontId="17" fillId="6" borderId="54" xfId="0" applyFont="1" applyFill="1" applyBorder="1" applyAlignment="1" applyProtection="1">
      <alignment horizontal="center" vertical="center" wrapText="1"/>
      <protection hidden="1"/>
    </xf>
    <xf numFmtId="0" fontId="17" fillId="6" borderId="55" xfId="0" applyFont="1" applyFill="1" applyBorder="1" applyAlignment="1" applyProtection="1">
      <alignment vertical="center" wrapText="1"/>
      <protection hidden="1"/>
    </xf>
    <xf numFmtId="0" fontId="17" fillId="6" borderId="39" xfId="0" applyFont="1" applyFill="1" applyBorder="1" applyAlignment="1" applyProtection="1">
      <alignment vertical="center" wrapTex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0" fontId="12" fillId="5" borderId="43" xfId="0" applyFont="1" applyFill="1" applyBorder="1" applyAlignment="1" applyProtection="1">
      <alignment vertical="center"/>
      <protection hidden="1"/>
    </xf>
    <xf numFmtId="0" fontId="12" fillId="5" borderId="26" xfId="0" applyFont="1" applyFill="1" applyBorder="1" applyAlignment="1" applyProtection="1">
      <alignment horizontal="center" vertical="center"/>
      <protection hidden="1"/>
    </xf>
    <xf numFmtId="0" fontId="12" fillId="5" borderId="44" xfId="0" applyFont="1" applyFill="1" applyBorder="1" applyAlignment="1" applyProtection="1">
      <alignment horizontal="center" vertical="center" wrapText="1"/>
      <protection hidden="1"/>
    </xf>
    <xf numFmtId="0" fontId="12" fillId="5" borderId="45" xfId="0" applyFont="1" applyFill="1" applyBorder="1" applyAlignment="1" applyProtection="1">
      <alignment horizontal="center" vertical="center" wrapText="1"/>
      <protection hidden="1"/>
    </xf>
    <xf numFmtId="0" fontId="11" fillId="5" borderId="33" xfId="0" applyFont="1" applyFill="1" applyBorder="1" applyProtection="1">
      <protection hidden="1"/>
    </xf>
    <xf numFmtId="0" fontId="11" fillId="5" borderId="32" xfId="0" applyFont="1" applyFill="1" applyBorder="1" applyProtection="1">
      <protection hidden="1"/>
    </xf>
    <xf numFmtId="0" fontId="13" fillId="5" borderId="30" xfId="0" applyFont="1" applyFill="1" applyBorder="1" applyProtection="1">
      <protection hidden="1"/>
    </xf>
    <xf numFmtId="2" fontId="19" fillId="2" borderId="29" xfId="0" applyNumberFormat="1" applyFont="1" applyFill="1" applyBorder="1" applyAlignment="1" applyProtection="1">
      <alignment horizontal="center"/>
      <protection locked="0"/>
    </xf>
    <xf numFmtId="2" fontId="19" fillId="0" borderId="22" xfId="0" applyNumberFormat="1" applyFont="1" applyBorder="1" applyAlignment="1" applyProtection="1">
      <alignment horizontal="center"/>
      <protection locked="0"/>
    </xf>
    <xf numFmtId="2" fontId="19" fillId="0" borderId="20" xfId="0" applyNumberFormat="1" applyFont="1" applyBorder="1" applyAlignment="1" applyProtection="1">
      <alignment horizontal="center"/>
      <protection locked="0"/>
    </xf>
    <xf numFmtId="2" fontId="5" fillId="0" borderId="0" xfId="0" applyNumberFormat="1" applyFont="1" applyProtection="1">
      <protection hidden="1"/>
    </xf>
    <xf numFmtId="0" fontId="13" fillId="5" borderId="29" xfId="0" applyFont="1" applyFill="1" applyBorder="1" applyProtection="1">
      <protection hidden="1"/>
    </xf>
    <xf numFmtId="2" fontId="19" fillId="2" borderId="27" xfId="0" applyNumberFormat="1" applyFont="1" applyFill="1" applyBorder="1" applyAlignment="1" applyProtection="1">
      <alignment horizontal="center"/>
      <protection locked="0"/>
    </xf>
    <xf numFmtId="2" fontId="19" fillId="0" borderId="23" xfId="0" applyNumberFormat="1" applyFont="1" applyBorder="1" applyAlignment="1" applyProtection="1">
      <alignment horizontal="center"/>
      <protection locked="0"/>
    </xf>
    <xf numFmtId="2" fontId="19" fillId="0" borderId="21" xfId="0" applyNumberFormat="1" applyFont="1" applyBorder="1" applyAlignment="1" applyProtection="1">
      <alignment horizontal="center"/>
      <protection locked="0"/>
    </xf>
    <xf numFmtId="0" fontId="17" fillId="2" borderId="0" xfId="0" applyFont="1" applyFill="1" applyAlignment="1" applyProtection="1">
      <alignment vertical="center"/>
      <protection hidden="1"/>
    </xf>
    <xf numFmtId="44" fontId="19" fillId="2" borderId="20" xfId="0" applyNumberFormat="1" applyFont="1" applyFill="1" applyBorder="1" applyAlignment="1" applyProtection="1">
      <alignment horizontal="center"/>
      <protection locked="0"/>
    </xf>
    <xf numFmtId="0" fontId="19" fillId="0" borderId="20" xfId="0" applyFont="1" applyBorder="1" applyProtection="1">
      <protection locked="0"/>
    </xf>
    <xf numFmtId="166" fontId="19" fillId="2" borderId="20" xfId="0" applyNumberFormat="1" applyFont="1" applyFill="1" applyBorder="1" applyAlignment="1" applyProtection="1">
      <alignment horizontal="center"/>
      <protection locked="0"/>
    </xf>
    <xf numFmtId="10" fontId="19" fillId="2" borderId="20" xfId="0" applyNumberFormat="1" applyFont="1" applyFill="1" applyBorder="1" applyAlignment="1" applyProtection="1">
      <alignment horizontal="center"/>
      <protection locked="0"/>
    </xf>
    <xf numFmtId="10" fontId="19" fillId="0" borderId="20" xfId="0" applyNumberFormat="1" applyFont="1" applyBorder="1" applyProtection="1">
      <protection locked="0"/>
    </xf>
    <xf numFmtId="10" fontId="19" fillId="0" borderId="21" xfId="0" applyNumberFormat="1" applyFont="1" applyBorder="1" applyProtection="1">
      <protection locked="0"/>
    </xf>
    <xf numFmtId="0" fontId="19" fillId="0" borderId="21" xfId="0" applyFont="1" applyBorder="1" applyProtection="1">
      <protection locked="0"/>
    </xf>
    <xf numFmtId="0" fontId="20" fillId="0" borderId="0" xfId="0" applyFont="1" applyAlignment="1" applyProtection="1">
      <alignment horizontal="left" vertical="top"/>
      <protection hidden="1"/>
    </xf>
    <xf numFmtId="0" fontId="21" fillId="7" borderId="41" xfId="2" applyFont="1" applyFill="1" applyBorder="1" applyAlignment="1" applyProtection="1">
      <alignment vertical="center"/>
      <protection hidden="1"/>
    </xf>
    <xf numFmtId="0" fontId="21" fillId="7" borderId="42" xfId="2" applyFont="1" applyFill="1" applyBorder="1" applyAlignment="1" applyProtection="1">
      <alignment vertical="center"/>
      <protection hidden="1"/>
    </xf>
    <xf numFmtId="0" fontId="6" fillId="2" borderId="0" xfId="0" applyFont="1" applyFill="1" applyProtection="1">
      <protection hidden="1"/>
    </xf>
    <xf numFmtId="0" fontId="22" fillId="0" borderId="0" xfId="0" applyFont="1" applyProtection="1">
      <protection hidden="1"/>
    </xf>
    <xf numFmtId="0" fontId="22" fillId="2" borderId="0" xfId="0" applyFont="1" applyFill="1" applyProtection="1">
      <protection hidden="1"/>
    </xf>
    <xf numFmtId="0" fontId="23" fillId="2" borderId="0" xfId="0" applyFont="1" applyFill="1" applyProtection="1">
      <protection hidden="1"/>
    </xf>
    <xf numFmtId="2" fontId="5" fillId="2" borderId="0" xfId="0" applyNumberFormat="1" applyFont="1" applyFill="1" applyProtection="1">
      <protection hidden="1"/>
    </xf>
    <xf numFmtId="0" fontId="5" fillId="0" borderId="22" xfId="0" applyFont="1" applyBorder="1" applyProtection="1">
      <protection hidden="1"/>
    </xf>
    <xf numFmtId="2" fontId="5" fillId="2" borderId="20" xfId="0" applyNumberFormat="1" applyFont="1" applyFill="1" applyBorder="1" applyProtection="1">
      <protection locked="0"/>
    </xf>
    <xf numFmtId="2" fontId="5" fillId="0" borderId="20" xfId="0" applyNumberFormat="1" applyFont="1" applyBorder="1" applyProtection="1">
      <protection hidden="1"/>
    </xf>
    <xf numFmtId="2" fontId="5" fillId="2" borderId="24" xfId="0" applyNumberFormat="1" applyFont="1" applyFill="1" applyBorder="1" applyProtection="1">
      <protection locked="0"/>
    </xf>
    <xf numFmtId="2" fontId="5" fillId="2" borderId="25" xfId="0" applyNumberFormat="1" applyFont="1" applyFill="1" applyBorder="1" applyProtection="1">
      <protection locked="0"/>
    </xf>
    <xf numFmtId="2" fontId="5" fillId="0" borderId="25" xfId="0" applyNumberFormat="1" applyFont="1" applyBorder="1" applyProtection="1">
      <protection hidden="1"/>
    </xf>
    <xf numFmtId="0" fontId="5" fillId="2" borderId="22" xfId="0" applyFont="1" applyFill="1" applyBorder="1" applyProtection="1">
      <protection hidden="1"/>
    </xf>
    <xf numFmtId="0" fontId="5" fillId="2" borderId="22" xfId="0" applyFont="1" applyFill="1" applyBorder="1" applyProtection="1">
      <protection locked="0"/>
    </xf>
    <xf numFmtId="0" fontId="5" fillId="2" borderId="20" xfId="0" applyFont="1" applyFill="1" applyBorder="1" applyProtection="1">
      <protection locked="0"/>
    </xf>
    <xf numFmtId="2" fontId="5" fillId="2" borderId="22" xfId="0" applyNumberFormat="1" applyFont="1" applyFill="1" applyBorder="1" applyProtection="1">
      <protection locked="0"/>
    </xf>
    <xf numFmtId="2" fontId="5" fillId="2" borderId="23" xfId="0" applyNumberFormat="1" applyFont="1" applyFill="1" applyBorder="1" applyProtection="1">
      <protection locked="0"/>
    </xf>
    <xf numFmtId="2" fontId="5" fillId="2" borderId="21" xfId="0" applyNumberFormat="1" applyFont="1" applyFill="1" applyBorder="1" applyProtection="1">
      <protection locked="0"/>
    </xf>
    <xf numFmtId="2" fontId="5" fillId="0" borderId="21" xfId="0" applyNumberFormat="1" applyFont="1" applyBorder="1" applyProtection="1">
      <protection hidden="1"/>
    </xf>
    <xf numFmtId="0" fontId="5" fillId="0" borderId="23" xfId="0" applyFont="1" applyBorder="1" applyProtection="1">
      <protection hidden="1"/>
    </xf>
    <xf numFmtId="0" fontId="5" fillId="0" borderId="29" xfId="0" applyFont="1" applyBorder="1" applyProtection="1">
      <protection hidden="1"/>
    </xf>
    <xf numFmtId="165" fontId="5" fillId="0" borderId="22" xfId="0" applyNumberFormat="1" applyFont="1" applyBorder="1" applyProtection="1">
      <protection hidden="1"/>
    </xf>
    <xf numFmtId="165" fontId="5" fillId="0" borderId="20" xfId="0" applyNumberFormat="1" applyFont="1" applyBorder="1" applyProtection="1">
      <protection hidden="1"/>
    </xf>
    <xf numFmtId="0" fontId="5" fillId="0" borderId="27" xfId="0" applyFont="1" applyBorder="1" applyProtection="1">
      <protection hidden="1"/>
    </xf>
    <xf numFmtId="165" fontId="5" fillId="0" borderId="23" xfId="0" applyNumberFormat="1" applyFont="1" applyBorder="1" applyProtection="1">
      <protection hidden="1"/>
    </xf>
    <xf numFmtId="165" fontId="5" fillId="0" borderId="21" xfId="0" applyNumberFormat="1" applyFont="1" applyBorder="1" applyProtection="1">
      <protection hidden="1"/>
    </xf>
    <xf numFmtId="0" fontId="12" fillId="2" borderId="0" xfId="0" applyFont="1" applyFill="1" applyProtection="1">
      <protection hidden="1"/>
    </xf>
    <xf numFmtId="165" fontId="18" fillId="2" borderId="0" xfId="0" applyNumberFormat="1" applyFont="1" applyFill="1" applyProtection="1">
      <protection hidden="1"/>
    </xf>
    <xf numFmtId="0" fontId="12" fillId="7" borderId="0" xfId="0" applyFont="1" applyFill="1" applyAlignment="1">
      <alignment vertical="center"/>
    </xf>
    <xf numFmtId="0" fontId="14" fillId="2" borderId="18" xfId="0" applyFont="1" applyFill="1" applyBorder="1" applyAlignment="1" applyProtection="1">
      <alignment vertical="center" wrapText="1"/>
      <protection hidden="1"/>
    </xf>
    <xf numFmtId="0" fontId="29" fillId="0" borderId="0" xfId="0" applyFont="1" applyProtection="1">
      <protection hidden="1"/>
    </xf>
    <xf numFmtId="0" fontId="30" fillId="2" borderId="24" xfId="0" applyFont="1" applyFill="1" applyBorder="1" applyAlignment="1" applyProtection="1">
      <alignment horizontal="center" vertical="center" wrapText="1"/>
      <protection hidden="1"/>
    </xf>
    <xf numFmtId="0" fontId="30" fillId="2" borderId="0" xfId="0" applyFont="1" applyFill="1" applyAlignment="1" applyProtection="1">
      <alignment horizontal="center" vertical="center" wrapText="1"/>
      <protection hidden="1"/>
    </xf>
    <xf numFmtId="0" fontId="30" fillId="2" borderId="17" xfId="0" applyFont="1" applyFill="1" applyBorder="1" applyAlignment="1" applyProtection="1">
      <alignment horizontal="center" vertical="center" wrapText="1"/>
      <protection hidden="1"/>
    </xf>
    <xf numFmtId="0" fontId="30" fillId="2" borderId="18" xfId="0" applyFont="1" applyFill="1" applyBorder="1" applyAlignment="1" applyProtection="1">
      <alignment horizontal="center" vertical="center" wrapText="1"/>
      <protection hidden="1"/>
    </xf>
    <xf numFmtId="0" fontId="30" fillId="2" borderId="19" xfId="0" applyFont="1" applyFill="1" applyBorder="1" applyAlignment="1" applyProtection="1">
      <alignment horizontal="center" vertical="center" wrapText="1"/>
      <protection hidden="1"/>
    </xf>
    <xf numFmtId="0" fontId="31" fillId="2" borderId="0" xfId="0" applyFont="1" applyFill="1" applyAlignment="1" applyProtection="1">
      <alignment horizontal="center"/>
      <protection hidden="1"/>
    </xf>
    <xf numFmtId="0" fontId="30" fillId="2" borderId="0" xfId="0" applyFont="1" applyFill="1" applyProtection="1">
      <protection hidden="1"/>
    </xf>
    <xf numFmtId="0" fontId="32" fillId="2" borderId="0" xfId="0" applyFont="1" applyFill="1" applyAlignment="1" applyProtection="1">
      <alignment horizontal="left"/>
      <protection hidden="1"/>
    </xf>
    <xf numFmtId="2" fontId="22" fillId="2" borderId="0" xfId="0" applyNumberFormat="1" applyFont="1" applyFill="1" applyAlignment="1" applyProtection="1">
      <alignment horizontal="right" vertical="center"/>
      <protection hidden="1"/>
    </xf>
    <xf numFmtId="2" fontId="22" fillId="2" borderId="0" xfId="0" applyNumberFormat="1" applyFont="1" applyFill="1" applyAlignment="1" applyProtection="1">
      <alignment horizontal="right"/>
      <protection hidden="1"/>
    </xf>
    <xf numFmtId="2" fontId="22" fillId="2" borderId="20" xfId="0" applyNumberFormat="1" applyFont="1" applyFill="1" applyBorder="1" applyAlignment="1" applyProtection="1">
      <alignment horizontal="right" vertical="center"/>
      <protection hidden="1"/>
    </xf>
    <xf numFmtId="0" fontId="32" fillId="2" borderId="0" xfId="0" applyFont="1" applyFill="1" applyProtection="1">
      <protection hidden="1"/>
    </xf>
    <xf numFmtId="165" fontId="22" fillId="2" borderId="0" xfId="0" applyNumberFormat="1" applyFont="1" applyFill="1" applyProtection="1">
      <protection hidden="1"/>
    </xf>
    <xf numFmtId="165" fontId="22" fillId="2" borderId="0" xfId="0" applyNumberFormat="1" applyFont="1" applyFill="1" applyAlignment="1" applyProtection="1">
      <alignment horizontal="right"/>
      <protection hidden="1"/>
    </xf>
    <xf numFmtId="165" fontId="22" fillId="2" borderId="20" xfId="0" applyNumberFormat="1" applyFont="1" applyFill="1" applyBorder="1" applyAlignment="1" applyProtection="1">
      <alignment horizontal="right"/>
      <protection hidden="1"/>
    </xf>
    <xf numFmtId="0" fontId="32" fillId="2" borderId="0" xfId="0" applyFont="1" applyFill="1" applyAlignment="1" applyProtection="1">
      <alignment horizontal="center"/>
      <protection hidden="1"/>
    </xf>
    <xf numFmtId="169" fontId="32" fillId="2" borderId="0" xfId="0" applyNumberFormat="1" applyFont="1" applyFill="1" applyAlignment="1" applyProtection="1">
      <alignment horizontal="center" vertical="center"/>
      <protection hidden="1"/>
    </xf>
    <xf numFmtId="169" fontId="32" fillId="2" borderId="20" xfId="0" applyNumberFormat="1" applyFont="1" applyFill="1" applyBorder="1" applyAlignment="1" applyProtection="1">
      <alignment horizontal="center" vertical="center"/>
      <protection hidden="1"/>
    </xf>
    <xf numFmtId="0" fontId="32" fillId="2" borderId="29" xfId="0" applyFont="1" applyFill="1" applyBorder="1" applyAlignment="1" applyProtection="1">
      <alignment horizontal="left"/>
      <protection hidden="1"/>
    </xf>
    <xf numFmtId="0" fontId="18" fillId="2" borderId="0" xfId="0" applyFont="1" applyFill="1" applyAlignment="1" applyProtection="1">
      <alignment horizontal="center"/>
      <protection hidden="1"/>
    </xf>
    <xf numFmtId="0" fontId="22" fillId="2" borderId="0" xfId="0" applyFont="1" applyFill="1" applyAlignment="1" applyProtection="1">
      <alignment horizontal="right"/>
      <protection hidden="1"/>
    </xf>
    <xf numFmtId="0" fontId="18" fillId="2" borderId="0" xfId="0" applyFont="1" applyFill="1" applyAlignment="1" applyProtection="1">
      <alignment horizontal="right"/>
      <protection hidden="1"/>
    </xf>
    <xf numFmtId="0" fontId="18" fillId="2" borderId="20" xfId="0" applyFont="1" applyFill="1" applyBorder="1" applyAlignment="1" applyProtection="1">
      <alignment horizontal="right"/>
      <protection hidden="1"/>
    </xf>
    <xf numFmtId="0" fontId="22" fillId="0" borderId="29" xfId="0" applyFont="1" applyBorder="1" applyProtection="1">
      <protection hidden="1"/>
    </xf>
    <xf numFmtId="0" fontId="23" fillId="0" borderId="0" xfId="0" applyFont="1" applyProtection="1">
      <protection hidden="1"/>
    </xf>
    <xf numFmtId="0" fontId="22" fillId="2" borderId="29" xfId="0" applyFont="1" applyFill="1" applyBorder="1" applyProtection="1">
      <protection hidden="1"/>
    </xf>
    <xf numFmtId="0" fontId="32" fillId="2" borderId="29" xfId="0" applyFont="1" applyFill="1" applyBorder="1" applyProtection="1">
      <protection hidden="1"/>
    </xf>
    <xf numFmtId="0" fontId="18" fillId="2" borderId="0" xfId="0" applyFont="1" applyFill="1" applyProtection="1">
      <protection hidden="1"/>
    </xf>
    <xf numFmtId="0" fontId="32" fillId="2" borderId="29" xfId="0" applyFont="1" applyFill="1" applyBorder="1" applyAlignment="1" applyProtection="1">
      <alignment horizontal="center"/>
      <protection hidden="1"/>
    </xf>
    <xf numFmtId="3" fontId="32" fillId="2" borderId="19" xfId="0" applyNumberFormat="1" applyFont="1" applyFill="1" applyBorder="1" applyAlignment="1" applyProtection="1">
      <alignment horizontal="center" vertical="center"/>
      <protection hidden="1"/>
    </xf>
    <xf numFmtId="3" fontId="32" fillId="2" borderId="9" xfId="0" applyNumberFormat="1" applyFont="1" applyFill="1" applyBorder="1" applyAlignment="1" applyProtection="1">
      <alignment horizontal="center" vertical="center"/>
      <protection hidden="1"/>
    </xf>
    <xf numFmtId="3" fontId="32" fillId="2" borderId="2" xfId="0" applyNumberFormat="1" applyFont="1" applyFill="1" applyBorder="1" applyAlignment="1" applyProtection="1">
      <alignment horizontal="center" vertical="center"/>
      <protection hidden="1"/>
    </xf>
    <xf numFmtId="3" fontId="32" fillId="2" borderId="66" xfId="0" applyNumberFormat="1" applyFont="1" applyFill="1" applyBorder="1" applyAlignment="1" applyProtection="1">
      <alignment horizontal="center" vertical="center"/>
      <protection hidden="1"/>
    </xf>
    <xf numFmtId="0" fontId="32" fillId="2" borderId="17" xfId="0" applyFont="1" applyFill="1" applyBorder="1" applyAlignment="1" applyProtection="1">
      <alignment horizontal="center" vertical="center"/>
      <protection hidden="1"/>
    </xf>
    <xf numFmtId="165" fontId="32" fillId="2" borderId="17" xfId="0" applyNumberFormat="1" applyFont="1" applyFill="1" applyBorder="1" applyAlignment="1" applyProtection="1">
      <alignment horizontal="center" vertical="center"/>
      <protection hidden="1"/>
    </xf>
    <xf numFmtId="165" fontId="32" fillId="2" borderId="18" xfId="0" applyNumberFormat="1" applyFont="1" applyFill="1" applyBorder="1" applyAlignment="1" applyProtection="1">
      <alignment horizontal="center" vertical="center"/>
      <protection hidden="1"/>
    </xf>
    <xf numFmtId="165" fontId="32" fillId="2" borderId="19" xfId="0" applyNumberFormat="1" applyFont="1" applyFill="1" applyBorder="1" applyAlignment="1" applyProtection="1">
      <alignment horizontal="center" vertical="center"/>
      <protection hidden="1"/>
    </xf>
    <xf numFmtId="0" fontId="32" fillId="2" borderId="27" xfId="0" applyFont="1" applyFill="1" applyBorder="1" applyAlignment="1" applyProtection="1">
      <alignment horizontal="center" vertical="center"/>
      <protection hidden="1"/>
    </xf>
    <xf numFmtId="167" fontId="32" fillId="2" borderId="17" xfId="0" applyNumberFormat="1" applyFont="1" applyFill="1" applyBorder="1" applyAlignment="1" applyProtection="1">
      <alignment horizontal="center" vertical="center"/>
      <protection hidden="1"/>
    </xf>
    <xf numFmtId="167" fontId="32" fillId="2" borderId="18" xfId="0" applyNumberFormat="1" applyFont="1" applyFill="1" applyBorder="1" applyAlignment="1" applyProtection="1">
      <alignment horizontal="center" vertical="center"/>
      <protection hidden="1"/>
    </xf>
    <xf numFmtId="167" fontId="32" fillId="2" borderId="19" xfId="0" applyNumberFormat="1" applyFont="1" applyFill="1" applyBorder="1" applyAlignment="1" applyProtection="1">
      <alignment horizontal="center" vertical="center"/>
      <protection hidden="1"/>
    </xf>
    <xf numFmtId="167" fontId="32" fillId="2" borderId="28" xfId="0" applyNumberFormat="1" applyFont="1" applyFill="1" applyBorder="1" applyAlignment="1" applyProtection="1">
      <alignment horizontal="center" vertical="center"/>
      <protection hidden="1"/>
    </xf>
    <xf numFmtId="167" fontId="32" fillId="2" borderId="21" xfId="0" applyNumberFormat="1" applyFont="1" applyFill="1" applyBorder="1" applyAlignment="1" applyProtection="1">
      <alignment horizontal="center" vertical="center"/>
      <protection hidden="1"/>
    </xf>
    <xf numFmtId="0" fontId="5" fillId="0" borderId="0" xfId="0" applyFont="1"/>
    <xf numFmtId="0" fontId="12" fillId="7" borderId="0" xfId="2" applyFont="1" applyFill="1" applyAlignment="1">
      <alignment vertical="center"/>
    </xf>
    <xf numFmtId="0" fontId="3" fillId="7" borderId="18" xfId="2" applyFill="1" applyBorder="1"/>
    <xf numFmtId="0" fontId="26" fillId="7" borderId="18" xfId="0" applyFont="1" applyFill="1" applyBorder="1"/>
    <xf numFmtId="0" fontId="26" fillId="7" borderId="18" xfId="2" applyFont="1" applyFill="1" applyBorder="1"/>
    <xf numFmtId="0" fontId="26" fillId="7" borderId="19" xfId="0" applyFont="1" applyFill="1" applyBorder="1"/>
    <xf numFmtId="0" fontId="12" fillId="7" borderId="17" xfId="2" applyFont="1" applyFill="1" applyBorder="1" applyAlignment="1">
      <alignment vertical="center"/>
    </xf>
    <xf numFmtId="0" fontId="12" fillId="5" borderId="23" xfId="0" applyFont="1" applyFill="1" applyBorder="1" applyAlignment="1" applyProtection="1">
      <alignment horizontal="left" vertical="center"/>
      <protection hidden="1"/>
    </xf>
    <xf numFmtId="0" fontId="13" fillId="5" borderId="21" xfId="0" applyFont="1" applyFill="1" applyBorder="1" applyAlignment="1" applyProtection="1">
      <alignment horizontal="center" vertical="center" wrapText="1"/>
      <protection hidden="1"/>
    </xf>
    <xf numFmtId="0" fontId="13" fillId="5" borderId="21" xfId="0" applyFont="1" applyFill="1" applyBorder="1" applyAlignment="1" applyProtection="1">
      <alignment horizontal="center" vertical="center"/>
      <protection hidden="1"/>
    </xf>
    <xf numFmtId="0" fontId="8" fillId="5" borderId="22" xfId="0" applyFont="1" applyFill="1" applyBorder="1" applyAlignment="1" applyProtection="1">
      <alignment horizontal="left" vertical="center"/>
      <protection hidden="1"/>
    </xf>
    <xf numFmtId="0" fontId="12" fillId="5" borderId="20" xfId="0" applyFont="1" applyFill="1" applyBorder="1" applyAlignment="1" applyProtection="1">
      <alignment horizontal="center" vertical="center" wrapText="1"/>
      <protection hidden="1"/>
    </xf>
    <xf numFmtId="0" fontId="12" fillId="5" borderId="20" xfId="0" applyFont="1" applyFill="1" applyBorder="1" applyAlignment="1" applyProtection="1">
      <alignment horizontal="center" vertical="center"/>
      <protection hidden="1"/>
    </xf>
    <xf numFmtId="0" fontId="8" fillId="5" borderId="29" xfId="0" applyFont="1" applyFill="1" applyBorder="1" applyAlignment="1" applyProtection="1">
      <alignment horizontal="left" vertical="center"/>
      <protection hidden="1"/>
    </xf>
    <xf numFmtId="0" fontId="12" fillId="5" borderId="0" xfId="0" applyFont="1" applyFill="1" applyAlignment="1" applyProtection="1">
      <alignment horizontal="left"/>
      <protection hidden="1"/>
    </xf>
    <xf numFmtId="0" fontId="12" fillId="5" borderId="20" xfId="0" applyFont="1" applyFill="1" applyBorder="1" applyAlignment="1" applyProtection="1">
      <alignment horizontal="left"/>
      <protection hidden="1"/>
    </xf>
    <xf numFmtId="0" fontId="5" fillId="5" borderId="22" xfId="0" applyFont="1" applyFill="1" applyBorder="1" applyProtection="1">
      <protection hidden="1"/>
    </xf>
    <xf numFmtId="2" fontId="22" fillId="5" borderId="20" xfId="0" applyNumberFormat="1" applyFont="1" applyFill="1" applyBorder="1" applyProtection="1">
      <protection hidden="1"/>
    </xf>
    <xf numFmtId="2" fontId="13" fillId="5" borderId="4" xfId="0" applyNumberFormat="1" applyFont="1" applyFill="1" applyBorder="1" applyAlignment="1" applyProtection="1">
      <alignment horizontal="center"/>
      <protection hidden="1"/>
    </xf>
    <xf numFmtId="2" fontId="13" fillId="5" borderId="4" xfId="0" applyNumberFormat="1" applyFont="1" applyFill="1" applyBorder="1" applyProtection="1">
      <protection hidden="1"/>
    </xf>
    <xf numFmtId="2" fontId="13" fillId="5" borderId="8" xfId="0" applyNumberFormat="1" applyFont="1" applyFill="1" applyBorder="1"/>
    <xf numFmtId="4" fontId="13" fillId="5" borderId="3" xfId="0" applyNumberFormat="1" applyFont="1" applyFill="1" applyBorder="1" applyAlignment="1" applyProtection="1">
      <alignment horizontal="center"/>
      <protection hidden="1"/>
    </xf>
    <xf numFmtId="0" fontId="11" fillId="5" borderId="8" xfId="0" applyFont="1" applyFill="1" applyBorder="1" applyAlignment="1" applyProtection="1">
      <alignment vertical="center"/>
      <protection hidden="1"/>
    </xf>
    <xf numFmtId="4" fontId="8" fillId="5" borderId="1" xfId="0" applyNumberFormat="1" applyFont="1" applyFill="1" applyBorder="1" applyAlignment="1" applyProtection="1">
      <alignment horizontal="center" wrapText="1"/>
      <protection hidden="1"/>
    </xf>
    <xf numFmtId="0" fontId="28" fillId="5" borderId="61" xfId="0" applyFont="1" applyFill="1" applyBorder="1" applyAlignment="1" applyProtection="1">
      <alignment vertical="center"/>
      <protection hidden="1"/>
    </xf>
    <xf numFmtId="0" fontId="28" fillId="5" borderId="31" xfId="0" applyFont="1" applyFill="1" applyBorder="1" applyAlignment="1" applyProtection="1">
      <alignment horizontal="center" vertical="center" wrapText="1"/>
      <protection hidden="1"/>
    </xf>
    <xf numFmtId="0" fontId="28" fillId="5" borderId="63" xfId="0" applyFont="1" applyFill="1" applyBorder="1" applyAlignment="1" applyProtection="1">
      <alignment horizontal="center" wrapText="1"/>
      <protection hidden="1"/>
    </xf>
    <xf numFmtId="0" fontId="28" fillId="5" borderId="64" xfId="0" applyFont="1" applyFill="1" applyBorder="1" applyAlignment="1" applyProtection="1">
      <alignment horizontal="center" wrapText="1"/>
      <protection hidden="1"/>
    </xf>
    <xf numFmtId="0" fontId="28" fillId="5" borderId="65" xfId="0" applyFont="1" applyFill="1" applyBorder="1" applyAlignment="1" applyProtection="1">
      <alignment horizontal="center" wrapText="1"/>
      <protection hidden="1"/>
    </xf>
    <xf numFmtId="0" fontId="17" fillId="5" borderId="17" xfId="0" applyFont="1" applyFill="1" applyBorder="1" applyAlignment="1" applyProtection="1">
      <alignment horizontal="center" vertical="center"/>
      <protection hidden="1"/>
    </xf>
    <xf numFmtId="165" fontId="17" fillId="5" borderId="0" xfId="0" applyNumberFormat="1" applyFont="1" applyFill="1" applyAlignment="1" applyProtection="1">
      <alignment horizontal="center" vertical="center"/>
      <protection hidden="1"/>
    </xf>
    <xf numFmtId="165" fontId="17" fillId="5" borderId="20" xfId="0" applyNumberFormat="1" applyFont="1" applyFill="1" applyBorder="1" applyAlignment="1" applyProtection="1">
      <alignment horizontal="center" vertical="center"/>
      <protection hidden="1"/>
    </xf>
    <xf numFmtId="165" fontId="17" fillId="5" borderId="18" xfId="0" applyNumberFormat="1" applyFont="1" applyFill="1" applyBorder="1" applyAlignment="1" applyProtection="1">
      <alignment horizontal="center" vertical="center"/>
      <protection hidden="1"/>
    </xf>
    <xf numFmtId="0" fontId="5" fillId="6" borderId="18" xfId="0" applyFont="1" applyFill="1" applyBorder="1" applyProtection="1">
      <protection hidden="1"/>
    </xf>
    <xf numFmtId="0" fontId="5" fillId="6" borderId="17" xfId="0" applyFont="1" applyFill="1" applyBorder="1" applyProtection="1">
      <protection hidden="1"/>
    </xf>
    <xf numFmtId="0" fontId="5" fillId="6" borderId="19" xfId="0" applyFont="1" applyFill="1" applyBorder="1" applyProtection="1">
      <protection hidden="1"/>
    </xf>
    <xf numFmtId="0" fontId="8" fillId="3" borderId="10" xfId="0" applyFont="1" applyFill="1" applyBorder="1" applyAlignment="1" applyProtection="1">
      <alignment horizontal="center" vertical="center"/>
      <protection hidden="1"/>
    </xf>
    <xf numFmtId="0" fontId="11" fillId="6" borderId="17" xfId="0" applyFont="1" applyFill="1" applyBorder="1" applyAlignment="1" applyProtection="1">
      <alignment vertical="center"/>
      <protection hidden="1"/>
    </xf>
    <xf numFmtId="0" fontId="11" fillId="6" borderId="18" xfId="0" applyFont="1" applyFill="1" applyBorder="1" applyAlignment="1" applyProtection="1">
      <alignment vertical="center"/>
      <protection hidden="1"/>
    </xf>
    <xf numFmtId="0" fontId="25" fillId="6" borderId="46" xfId="0" applyFont="1" applyFill="1" applyBorder="1" applyAlignment="1" applyProtection="1">
      <alignment wrapText="1"/>
      <protection hidden="1"/>
    </xf>
    <xf numFmtId="2" fontId="6" fillId="6" borderId="42" xfId="0" applyNumberFormat="1" applyFont="1" applyFill="1" applyBorder="1" applyProtection="1">
      <protection hidden="1"/>
    </xf>
    <xf numFmtId="2" fontId="12" fillId="6" borderId="13" xfId="0" applyNumberFormat="1" applyFont="1" applyFill="1" applyBorder="1"/>
    <xf numFmtId="2" fontId="12" fillId="6" borderId="8" xfId="0" applyNumberFormat="1" applyFont="1" applyFill="1" applyBorder="1"/>
    <xf numFmtId="4" fontId="12" fillId="6" borderId="3" xfId="0" applyNumberFormat="1" applyFont="1" applyFill="1" applyBorder="1" applyAlignment="1" applyProtection="1">
      <alignment horizontal="center"/>
      <protection hidden="1"/>
    </xf>
    <xf numFmtId="2" fontId="12" fillId="6" borderId="4" xfId="0" applyNumberFormat="1" applyFont="1" applyFill="1" applyBorder="1"/>
    <xf numFmtId="0" fontId="18" fillId="6" borderId="17" xfId="0" applyFont="1" applyFill="1" applyBorder="1" applyAlignment="1" applyProtection="1">
      <alignment vertical="center" wrapText="1"/>
      <protection hidden="1"/>
    </xf>
    <xf numFmtId="0" fontId="18" fillId="6" borderId="18" xfId="0" applyFont="1" applyFill="1" applyBorder="1" applyAlignment="1" applyProtection="1">
      <alignment vertical="center" wrapText="1"/>
      <protection hidden="1"/>
    </xf>
    <xf numFmtId="0" fontId="22" fillId="6" borderId="18" xfId="0" applyFont="1" applyFill="1" applyBorder="1" applyProtection="1">
      <protection hidden="1"/>
    </xf>
    <xf numFmtId="0" fontId="18" fillId="6" borderId="19" xfId="0" applyFont="1" applyFill="1" applyBorder="1" applyAlignment="1" applyProtection="1">
      <alignment vertical="center" wrapText="1"/>
      <protection hidden="1"/>
    </xf>
    <xf numFmtId="0" fontId="17" fillId="6" borderId="17" xfId="0" applyFont="1" applyFill="1" applyBorder="1" applyAlignment="1" applyProtection="1">
      <alignment horizontal="center"/>
      <protection hidden="1"/>
    </xf>
    <xf numFmtId="169" fontId="17" fillId="6" borderId="18" xfId="0" applyNumberFormat="1" applyFont="1" applyFill="1" applyBorder="1" applyAlignment="1" applyProtection="1">
      <alignment horizontal="center" vertical="center"/>
      <protection hidden="1"/>
    </xf>
    <xf numFmtId="169" fontId="17" fillId="6" borderId="19" xfId="0" applyNumberFormat="1" applyFont="1" applyFill="1" applyBorder="1" applyAlignment="1" applyProtection="1">
      <alignment horizontal="center" vertical="center"/>
      <protection hidden="1"/>
    </xf>
    <xf numFmtId="169" fontId="17" fillId="6" borderId="17" xfId="0" applyNumberFormat="1" applyFont="1" applyFill="1" applyBorder="1" applyAlignment="1" applyProtection="1">
      <alignment horizontal="center" vertical="center"/>
      <protection hidden="1"/>
    </xf>
    <xf numFmtId="0" fontId="34" fillId="2" borderId="17" xfId="2" applyFont="1" applyFill="1" applyBorder="1" applyAlignment="1" applyProtection="1">
      <alignment vertical="center" wrapText="1"/>
      <protection hidden="1"/>
    </xf>
    <xf numFmtId="0" fontId="34" fillId="2" borderId="30" xfId="2" applyFont="1" applyFill="1" applyBorder="1" applyAlignment="1" applyProtection="1">
      <alignment vertical="center"/>
      <protection hidden="1"/>
    </xf>
    <xf numFmtId="0" fontId="34" fillId="2" borderId="16" xfId="2" applyFont="1" applyFill="1" applyBorder="1" applyAlignment="1" applyProtection="1">
      <alignment vertical="center" wrapText="1"/>
      <protection hidden="1"/>
    </xf>
    <xf numFmtId="0" fontId="34" fillId="2" borderId="16" xfId="2" applyFont="1" applyFill="1" applyBorder="1" applyAlignment="1" applyProtection="1">
      <alignment vertical="center"/>
      <protection hidden="1"/>
    </xf>
    <xf numFmtId="2" fontId="19" fillId="0" borderId="22" xfId="0" applyNumberFormat="1" applyFont="1" applyBorder="1" applyAlignment="1" applyProtection="1">
      <alignment horizontal="center"/>
      <protection hidden="1"/>
    </xf>
    <xf numFmtId="2" fontId="19" fillId="0" borderId="23" xfId="0" applyNumberFormat="1" applyFont="1" applyBorder="1" applyAlignment="1" applyProtection="1">
      <alignment horizontal="center"/>
      <protection hidden="1"/>
    </xf>
    <xf numFmtId="2" fontId="19" fillId="0" borderId="24" xfId="0" applyNumberFormat="1" applyFont="1" applyBorder="1" applyAlignment="1" applyProtection="1">
      <alignment horizontal="center"/>
      <protection hidden="1"/>
    </xf>
    <xf numFmtId="2" fontId="6" fillId="2" borderId="0" xfId="0" applyNumberFormat="1" applyFont="1" applyFill="1" applyProtection="1">
      <protection hidden="1"/>
    </xf>
    <xf numFmtId="0" fontId="17" fillId="2" borderId="0" xfId="0" applyFont="1" applyFill="1" applyAlignment="1" applyProtection="1">
      <alignment vertical="center" wrapText="1"/>
      <protection hidden="1"/>
    </xf>
    <xf numFmtId="0" fontId="5" fillId="0" borderId="0" xfId="0" applyFont="1" applyProtection="1">
      <protection locked="0"/>
    </xf>
    <xf numFmtId="164" fontId="6" fillId="0" borderId="0" xfId="0" applyNumberFormat="1" applyFont="1" applyProtection="1">
      <protection locked="0"/>
    </xf>
    <xf numFmtId="0" fontId="20" fillId="0" borderId="0" xfId="0" applyFont="1" applyAlignment="1" applyProtection="1">
      <alignment horizontal="left" vertical="top"/>
      <protection locked="0"/>
    </xf>
    <xf numFmtId="0" fontId="12" fillId="7" borderId="52" xfId="2" applyFont="1" applyFill="1" applyBorder="1" applyAlignment="1" applyProtection="1">
      <alignment vertical="center"/>
      <protection locked="0"/>
    </xf>
    <xf numFmtId="0" fontId="16" fillId="7" borderId="53" xfId="2" applyFont="1" applyFill="1" applyBorder="1" applyAlignment="1" applyProtection="1">
      <alignment vertical="center"/>
      <protection locked="0"/>
    </xf>
    <xf numFmtId="0" fontId="16" fillId="7" borderId="37" xfId="2" applyFont="1" applyFill="1" applyBorder="1" applyAlignment="1" applyProtection="1">
      <alignment vertical="center"/>
      <protection locked="0"/>
    </xf>
    <xf numFmtId="0" fontId="17" fillId="2" borderId="0" xfId="0" applyFont="1" applyFill="1" applyAlignment="1" applyProtection="1">
      <alignment vertical="center"/>
      <protection locked="0"/>
    </xf>
    <xf numFmtId="0" fontId="17" fillId="2" borderId="0" xfId="0" applyFont="1" applyFill="1" applyAlignment="1" applyProtection="1">
      <alignment horizontal="center" vertical="center" wrapText="1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5" fillId="2" borderId="0" xfId="0" applyFont="1" applyFill="1" applyProtection="1">
      <protection locked="0"/>
    </xf>
    <xf numFmtId="0" fontId="18" fillId="6" borderId="54" xfId="0" applyFont="1" applyFill="1" applyBorder="1" applyAlignment="1" applyProtection="1">
      <alignment horizontal="center" vertical="center" wrapText="1"/>
      <protection locked="0"/>
    </xf>
    <xf numFmtId="0" fontId="18" fillId="6" borderId="55" xfId="0" applyFont="1" applyFill="1" applyBorder="1" applyAlignment="1" applyProtection="1">
      <alignment horizontal="center" vertical="center" wrapText="1"/>
      <protection locked="0"/>
    </xf>
    <xf numFmtId="0" fontId="18" fillId="6" borderId="39" xfId="0" applyFont="1" applyFill="1" applyBorder="1" applyAlignment="1" applyProtection="1">
      <alignment horizontal="center" vertical="center" wrapText="1"/>
      <protection locked="0"/>
    </xf>
    <xf numFmtId="0" fontId="12" fillId="5" borderId="3" xfId="0" applyFont="1" applyFill="1" applyBorder="1" applyAlignment="1" applyProtection="1">
      <alignment vertical="center"/>
      <protection locked="0"/>
    </xf>
    <xf numFmtId="0" fontId="12" fillId="5" borderId="3" xfId="0" applyFont="1" applyFill="1" applyBorder="1" applyAlignment="1" applyProtection="1">
      <alignment horizontal="center" vertical="center"/>
      <protection locked="0"/>
    </xf>
    <xf numFmtId="0" fontId="6" fillId="0" borderId="0" xfId="0" applyFont="1" applyProtection="1">
      <protection locked="0"/>
    </xf>
    <xf numFmtId="165" fontId="5" fillId="0" borderId="20" xfId="0" applyNumberFormat="1" applyFont="1" applyBorder="1" applyProtection="1">
      <protection locked="0"/>
    </xf>
    <xf numFmtId="0" fontId="5" fillId="0" borderId="22" xfId="0" applyFont="1" applyBorder="1" applyProtection="1">
      <protection locked="0"/>
    </xf>
    <xf numFmtId="2" fontId="5" fillId="2" borderId="24" xfId="0" applyNumberFormat="1" applyFont="1" applyFill="1" applyBorder="1" applyProtection="1">
      <protection hidden="1"/>
    </xf>
    <xf numFmtId="2" fontId="5" fillId="2" borderId="25" xfId="0" applyNumberFormat="1" applyFont="1" applyFill="1" applyBorder="1" applyProtection="1">
      <protection hidden="1"/>
    </xf>
    <xf numFmtId="0" fontId="22" fillId="2" borderId="0" xfId="0" applyFont="1" applyFill="1" applyAlignment="1" applyProtection="1">
      <alignment horizontal="center"/>
      <protection hidden="1"/>
    </xf>
    <xf numFmtId="2" fontId="6" fillId="6" borderId="47" xfId="0" applyNumberFormat="1" applyFont="1" applyFill="1" applyBorder="1" applyProtection="1">
      <protection hidden="1"/>
    </xf>
    <xf numFmtId="2" fontId="6" fillId="6" borderId="48" xfId="0" applyNumberFormat="1" applyFont="1" applyFill="1" applyBorder="1" applyProtection="1"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0" fontId="16" fillId="7" borderId="0" xfId="2" applyFont="1" applyFill="1"/>
    <xf numFmtId="0" fontId="17" fillId="6" borderId="10" xfId="0" applyFont="1" applyFill="1" applyBorder="1" applyAlignment="1" applyProtection="1">
      <alignment vertical="center" wrapText="1"/>
      <protection hidden="1"/>
    </xf>
    <xf numFmtId="0" fontId="17" fillId="6" borderId="11" xfId="0" applyFont="1" applyFill="1" applyBorder="1" applyAlignment="1" applyProtection="1">
      <alignment vertical="center" wrapText="1"/>
      <protection hidden="1"/>
    </xf>
    <xf numFmtId="0" fontId="17" fillId="6" borderId="12" xfId="0" applyFont="1" applyFill="1" applyBorder="1" applyAlignment="1" applyProtection="1">
      <alignment vertical="center" wrapText="1"/>
      <protection hidden="1"/>
    </xf>
    <xf numFmtId="0" fontId="8" fillId="4" borderId="5" xfId="0" applyFont="1" applyFill="1" applyBorder="1" applyAlignment="1" applyProtection="1">
      <alignment vertical="center"/>
      <protection hidden="1"/>
    </xf>
    <xf numFmtId="0" fontId="8" fillId="4" borderId="5" xfId="0" applyFont="1" applyFill="1" applyBorder="1" applyAlignment="1" applyProtection="1">
      <alignment horizontal="center" vertical="center"/>
      <protection hidden="1"/>
    </xf>
    <xf numFmtId="0" fontId="5" fillId="7" borderId="0" xfId="0" applyFont="1" applyFill="1"/>
    <xf numFmtId="0" fontId="12" fillId="5" borderId="1" xfId="0" applyFont="1" applyFill="1" applyBorder="1" applyAlignment="1" applyProtection="1">
      <alignment horizontal="center"/>
      <protection hidden="1"/>
    </xf>
    <xf numFmtId="0" fontId="8" fillId="5" borderId="5" xfId="0" applyFont="1" applyFill="1" applyBorder="1" applyAlignment="1" applyProtection="1">
      <alignment horizontal="center"/>
      <protection hidden="1"/>
    </xf>
    <xf numFmtId="0" fontId="8" fillId="5" borderId="6" xfId="0" applyFont="1" applyFill="1" applyBorder="1" applyAlignment="1" applyProtection="1">
      <alignment horizontal="center"/>
      <protection hidden="1"/>
    </xf>
    <xf numFmtId="0" fontId="8" fillId="5" borderId="7" xfId="0" applyFont="1" applyFill="1" applyBorder="1" applyAlignment="1" applyProtection="1">
      <alignment horizontal="center"/>
      <protection hidden="1"/>
    </xf>
    <xf numFmtId="0" fontId="5" fillId="0" borderId="0" xfId="0" applyFont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center"/>
      <protection hidden="1"/>
    </xf>
    <xf numFmtId="0" fontId="12" fillId="5" borderId="13" xfId="0" applyFont="1" applyFill="1" applyBorder="1" applyProtection="1">
      <protection hidden="1"/>
    </xf>
    <xf numFmtId="0" fontId="5" fillId="0" borderId="8" xfId="0" applyFont="1" applyBorder="1" applyProtection="1">
      <protection hidden="1"/>
    </xf>
    <xf numFmtId="0" fontId="5" fillId="0" borderId="10" xfId="0" applyFont="1" applyBorder="1" applyProtection="1">
      <protection hidden="1"/>
    </xf>
    <xf numFmtId="0" fontId="12" fillId="6" borderId="13" xfId="0" applyFont="1" applyFill="1" applyBorder="1" applyProtection="1">
      <protection hidden="1"/>
    </xf>
    <xf numFmtId="0" fontId="12" fillId="5" borderId="10" xfId="0" applyFont="1" applyFill="1" applyBorder="1" applyProtection="1">
      <protection hidden="1"/>
    </xf>
    <xf numFmtId="9" fontId="24" fillId="2" borderId="0" xfId="0" applyNumberFormat="1" applyFont="1" applyFill="1" applyProtection="1">
      <protection hidden="1"/>
    </xf>
    <xf numFmtId="44" fontId="15" fillId="2" borderId="0" xfId="0" applyNumberFormat="1" applyFont="1" applyFill="1" applyProtection="1">
      <protection hidden="1"/>
    </xf>
    <xf numFmtId="169" fontId="5" fillId="2" borderId="0" xfId="0" applyNumberFormat="1" applyFont="1" applyFill="1" applyProtection="1">
      <protection hidden="1"/>
    </xf>
    <xf numFmtId="10" fontId="15" fillId="2" borderId="0" xfId="0" applyNumberFormat="1" applyFont="1" applyFill="1" applyProtection="1">
      <protection hidden="1"/>
    </xf>
    <xf numFmtId="44" fontId="5" fillId="0" borderId="0" xfId="0" applyNumberFormat="1" applyFont="1" applyProtection="1">
      <protection hidden="1"/>
    </xf>
    <xf numFmtId="9" fontId="5" fillId="0" borderId="0" xfId="0" applyNumberFormat="1" applyFont="1" applyProtection="1">
      <protection hidden="1"/>
    </xf>
    <xf numFmtId="0" fontId="35" fillId="0" borderId="8" xfId="0" applyFont="1" applyBorder="1" applyAlignment="1" applyProtection="1">
      <alignment horizontal="left" vertical="top"/>
      <protection hidden="1"/>
    </xf>
    <xf numFmtId="0" fontId="35" fillId="0" borderId="0" xfId="0" applyFont="1" applyAlignment="1" applyProtection="1">
      <alignment horizontal="left" vertical="top"/>
      <protection hidden="1"/>
    </xf>
    <xf numFmtId="0" fontId="6" fillId="6" borderId="52" xfId="0" applyFont="1" applyFill="1" applyBorder="1" applyProtection="1">
      <protection hidden="1"/>
    </xf>
    <xf numFmtId="0" fontId="6" fillId="6" borderId="53" xfId="0" applyFont="1" applyFill="1" applyBorder="1" applyProtection="1">
      <protection hidden="1"/>
    </xf>
    <xf numFmtId="0" fontId="6" fillId="6" borderId="37" xfId="0" applyFont="1" applyFill="1" applyBorder="1" applyProtection="1">
      <protection hidden="1"/>
    </xf>
    <xf numFmtId="0" fontId="6" fillId="5" borderId="0" xfId="0" applyFont="1" applyFill="1" applyProtection="1">
      <protection hidden="1"/>
    </xf>
    <xf numFmtId="0" fontId="12" fillId="5" borderId="4" xfId="0" applyFont="1" applyFill="1" applyBorder="1" applyAlignment="1" applyProtection="1">
      <alignment horizontal="center"/>
      <protection hidden="1"/>
    </xf>
    <xf numFmtId="0" fontId="12" fillId="5" borderId="4" xfId="0" applyFont="1" applyFill="1" applyBorder="1" applyProtection="1">
      <protection hidden="1"/>
    </xf>
    <xf numFmtId="165" fontId="5" fillId="0" borderId="0" xfId="0" applyNumberFormat="1" applyFont="1" applyProtection="1">
      <protection hidden="1"/>
    </xf>
    <xf numFmtId="0" fontId="5" fillId="0" borderId="1" xfId="0" applyFont="1" applyBorder="1" applyProtection="1">
      <protection hidden="1"/>
    </xf>
    <xf numFmtId="44" fontId="5" fillId="0" borderId="9" xfId="0" applyNumberFormat="1" applyFont="1" applyBorder="1" applyProtection="1">
      <protection hidden="1"/>
    </xf>
    <xf numFmtId="165" fontId="5" fillId="0" borderId="28" xfId="0" applyNumberFormat="1" applyFont="1" applyBorder="1" applyProtection="1">
      <protection hidden="1"/>
    </xf>
    <xf numFmtId="43" fontId="5" fillId="0" borderId="0" xfId="0" applyNumberFormat="1" applyFont="1" applyProtection="1">
      <protection hidden="1"/>
    </xf>
    <xf numFmtId="165" fontId="12" fillId="5" borderId="45" xfId="0" applyNumberFormat="1" applyFont="1" applyFill="1" applyBorder="1" applyAlignment="1" applyProtection="1">
      <alignment horizontal="center" vertical="center" wrapText="1"/>
      <protection hidden="1"/>
    </xf>
    <xf numFmtId="0" fontId="16" fillId="7" borderId="14" xfId="2" applyFont="1" applyFill="1" applyBorder="1" applyAlignment="1" applyProtection="1">
      <alignment vertical="center"/>
      <protection hidden="1"/>
    </xf>
    <xf numFmtId="0" fontId="16" fillId="7" borderId="15" xfId="2" applyFont="1" applyFill="1" applyBorder="1" applyAlignment="1" applyProtection="1">
      <alignment vertical="center"/>
      <protection hidden="1"/>
    </xf>
    <xf numFmtId="0" fontId="17" fillId="6" borderId="8" xfId="0" applyFont="1" applyFill="1" applyBorder="1" applyAlignment="1" applyProtection="1">
      <alignment vertical="center" wrapText="1"/>
      <protection hidden="1"/>
    </xf>
    <xf numFmtId="0" fontId="17" fillId="6" borderId="0" xfId="0" applyFont="1" applyFill="1" applyAlignment="1" applyProtection="1">
      <alignment vertical="center" wrapText="1"/>
      <protection hidden="1"/>
    </xf>
    <xf numFmtId="0" fontId="17" fillId="6" borderId="9" xfId="0" applyFont="1" applyFill="1" applyBorder="1" applyAlignment="1" applyProtection="1">
      <alignment vertical="center" wrapText="1"/>
      <protection hidden="1"/>
    </xf>
    <xf numFmtId="0" fontId="18" fillId="5" borderId="17" xfId="0" applyFont="1" applyFill="1" applyBorder="1" applyAlignment="1" applyProtection="1">
      <alignment horizontal="center" vertical="center"/>
      <protection hidden="1"/>
    </xf>
    <xf numFmtId="0" fontId="18" fillId="5" borderId="18" xfId="0" applyFont="1" applyFill="1" applyBorder="1" applyAlignment="1" applyProtection="1">
      <alignment horizontal="center" vertical="center"/>
      <protection hidden="1"/>
    </xf>
    <xf numFmtId="0" fontId="18" fillId="5" borderId="67" xfId="0" applyFont="1" applyFill="1" applyBorder="1" applyAlignment="1" applyProtection="1">
      <alignment vertical="center"/>
      <protection hidden="1"/>
    </xf>
    <xf numFmtId="0" fontId="5" fillId="0" borderId="2" xfId="0" applyFont="1" applyBorder="1" applyProtection="1">
      <protection locked="0"/>
    </xf>
    <xf numFmtId="0" fontId="5" fillId="0" borderId="8" xfId="0" applyFont="1" applyBorder="1" applyProtection="1">
      <protection locked="0"/>
    </xf>
    <xf numFmtId="44" fontId="5" fillId="0" borderId="2" xfId="0" applyNumberFormat="1" applyFont="1" applyBorder="1" applyProtection="1">
      <protection hidden="1"/>
    </xf>
    <xf numFmtId="0" fontId="5" fillId="0" borderId="3" xfId="0" applyFont="1" applyBorder="1" applyProtection="1">
      <protection locked="0"/>
    </xf>
    <xf numFmtId="0" fontId="5" fillId="0" borderId="10" xfId="0" applyFont="1" applyBorder="1" applyProtection="1">
      <protection locked="0"/>
    </xf>
    <xf numFmtId="0" fontId="17" fillId="6" borderId="54" xfId="0" applyFont="1" applyFill="1" applyBorder="1" applyAlignment="1" applyProtection="1">
      <alignment vertical="center" wrapText="1"/>
      <protection hidden="1"/>
    </xf>
    <xf numFmtId="0" fontId="8" fillId="4" borderId="8" xfId="0" applyFont="1" applyFill="1" applyBorder="1" applyAlignment="1" applyProtection="1">
      <alignment vertical="center"/>
      <protection hidden="1"/>
    </xf>
    <xf numFmtId="0" fontId="8" fillId="4" borderId="9" xfId="0" applyFont="1" applyFill="1" applyBorder="1" applyAlignment="1" applyProtection="1">
      <alignment horizontal="center" wrapText="1"/>
      <protection hidden="1"/>
    </xf>
    <xf numFmtId="0" fontId="8" fillId="5" borderId="4" xfId="0" applyFont="1" applyFill="1" applyBorder="1" applyAlignment="1" applyProtection="1">
      <alignment horizontal="center" vertical="center"/>
      <protection hidden="1"/>
    </xf>
    <xf numFmtId="0" fontId="8" fillId="5" borderId="4" xfId="0" applyFont="1" applyFill="1" applyBorder="1" applyAlignment="1" applyProtection="1">
      <alignment horizontal="center" wrapText="1"/>
      <protection hidden="1"/>
    </xf>
    <xf numFmtId="0" fontId="6" fillId="0" borderId="0" xfId="0" applyFont="1" applyAlignment="1" applyProtection="1">
      <alignment horizontal="center"/>
      <protection hidden="1"/>
    </xf>
    <xf numFmtId="0" fontId="12" fillId="6" borderId="13" xfId="0" applyFont="1" applyFill="1" applyBorder="1" applyAlignment="1" applyProtection="1">
      <alignment horizontal="center"/>
      <protection hidden="1"/>
    </xf>
    <xf numFmtId="166" fontId="5" fillId="0" borderId="9" xfId="0" applyNumberFormat="1" applyFont="1" applyBorder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hidden="1"/>
    </xf>
    <xf numFmtId="0" fontId="6" fillId="6" borderId="0" xfId="0" applyFont="1" applyFill="1" applyProtection="1">
      <protection hidden="1"/>
    </xf>
    <xf numFmtId="166" fontId="6" fillId="6" borderId="2" xfId="0" applyNumberFormat="1" applyFont="1" applyFill="1" applyBorder="1" applyAlignment="1" applyProtection="1">
      <alignment horizontal="center"/>
      <protection hidden="1"/>
    </xf>
    <xf numFmtId="166" fontId="6" fillId="6" borderId="9" xfId="0" applyNumberFormat="1" applyFont="1" applyFill="1" applyBorder="1" applyAlignment="1" applyProtection="1">
      <alignment horizontal="center"/>
      <protection hidden="1"/>
    </xf>
    <xf numFmtId="0" fontId="12" fillId="5" borderId="22" xfId="0" applyFont="1" applyFill="1" applyBorder="1" applyProtection="1">
      <protection hidden="1"/>
    </xf>
    <xf numFmtId="0" fontId="12" fillId="5" borderId="22" xfId="0" applyFont="1" applyFill="1" applyBorder="1" applyAlignment="1" applyProtection="1">
      <alignment wrapText="1"/>
      <protection hidden="1"/>
    </xf>
    <xf numFmtId="0" fontId="5" fillId="0" borderId="34" xfId="0" applyFont="1" applyBorder="1" applyProtection="1">
      <protection locked="0"/>
    </xf>
    <xf numFmtId="165" fontId="5" fillId="0" borderId="37" xfId="0" applyNumberFormat="1" applyFont="1" applyBorder="1" applyProtection="1">
      <protection locked="0"/>
    </xf>
    <xf numFmtId="0" fontId="5" fillId="0" borderId="37" xfId="0" applyFont="1" applyBorder="1" applyProtection="1">
      <protection locked="0"/>
    </xf>
    <xf numFmtId="165" fontId="5" fillId="0" borderId="37" xfId="0" applyNumberFormat="1" applyFont="1" applyBorder="1" applyProtection="1">
      <protection hidden="1"/>
    </xf>
    <xf numFmtId="0" fontId="5" fillId="2" borderId="29" xfId="0" applyFont="1" applyFill="1" applyBorder="1" applyProtection="1">
      <protection locked="0"/>
    </xf>
    <xf numFmtId="0" fontId="5" fillId="0" borderId="35" xfId="0" applyFont="1" applyBorder="1" applyProtection="1">
      <protection locked="0"/>
    </xf>
    <xf numFmtId="165" fontId="5" fillId="0" borderId="38" xfId="0" applyNumberFormat="1" applyFont="1" applyBorder="1" applyProtection="1">
      <protection locked="0"/>
    </xf>
    <xf numFmtId="0" fontId="5" fillId="0" borderId="38" xfId="0" applyFont="1" applyBorder="1" applyProtection="1">
      <protection locked="0"/>
    </xf>
    <xf numFmtId="165" fontId="5" fillId="0" borderId="38" xfId="0" applyNumberFormat="1" applyFont="1" applyBorder="1" applyProtection="1">
      <protection hidden="1"/>
    </xf>
    <xf numFmtId="0" fontId="5" fillId="2" borderId="27" xfId="0" applyFont="1" applyFill="1" applyBorder="1" applyProtection="1">
      <protection locked="0"/>
    </xf>
    <xf numFmtId="0" fontId="5" fillId="0" borderId="36" xfId="0" applyFont="1" applyBorder="1" applyProtection="1">
      <protection locked="0"/>
    </xf>
    <xf numFmtId="165" fontId="5" fillId="0" borderId="39" xfId="0" applyNumberFormat="1" applyFont="1" applyBorder="1" applyProtection="1">
      <protection locked="0"/>
    </xf>
    <xf numFmtId="0" fontId="5" fillId="0" borderId="39" xfId="0" applyFont="1" applyBorder="1" applyProtection="1">
      <protection locked="0"/>
    </xf>
    <xf numFmtId="165" fontId="5" fillId="0" borderId="39" xfId="0" applyNumberFormat="1" applyFont="1" applyBorder="1" applyProtection="1">
      <protection hidden="1"/>
    </xf>
    <xf numFmtId="167" fontId="8" fillId="5" borderId="28" xfId="0" applyNumberFormat="1" applyFont="1" applyFill="1" applyBorder="1" applyProtection="1">
      <protection hidden="1"/>
    </xf>
    <xf numFmtId="165" fontId="8" fillId="5" borderId="23" xfId="0" applyNumberFormat="1" applyFont="1" applyFill="1" applyBorder="1" applyProtection="1">
      <protection hidden="1"/>
    </xf>
    <xf numFmtId="0" fontId="12" fillId="5" borderId="23" xfId="0" applyFont="1" applyFill="1" applyBorder="1" applyAlignment="1" applyProtection="1">
      <alignment horizontal="center"/>
      <protection hidden="1"/>
    </xf>
    <xf numFmtId="0" fontId="12" fillId="5" borderId="21" xfId="0" applyFont="1" applyFill="1" applyBorder="1" applyAlignment="1" applyProtection="1">
      <alignment horizontal="center"/>
      <protection hidden="1"/>
    </xf>
    <xf numFmtId="165" fontId="6" fillId="0" borderId="0" xfId="0" applyNumberFormat="1" applyFont="1" applyProtection="1">
      <protection hidden="1"/>
    </xf>
    <xf numFmtId="165" fontId="24" fillId="2" borderId="20" xfId="1" applyNumberFormat="1" applyFont="1" applyFill="1" applyBorder="1" applyProtection="1">
      <protection locked="0"/>
    </xf>
    <xf numFmtId="0" fontId="5" fillId="0" borderId="20" xfId="0" applyFont="1" applyBorder="1" applyProtection="1">
      <protection locked="0"/>
    </xf>
    <xf numFmtId="0" fontId="6" fillId="5" borderId="24" xfId="0" applyFont="1" applyFill="1" applyBorder="1" applyProtection="1">
      <protection hidden="1"/>
    </xf>
    <xf numFmtId="165" fontId="12" fillId="5" borderId="25" xfId="1" applyNumberFormat="1" applyFont="1" applyFill="1" applyBorder="1" applyProtection="1">
      <protection hidden="1"/>
    </xf>
    <xf numFmtId="0" fontId="6" fillId="5" borderId="25" xfId="0" applyFont="1" applyFill="1" applyBorder="1" applyProtection="1">
      <protection hidden="1"/>
    </xf>
    <xf numFmtId="165" fontId="24" fillId="2" borderId="0" xfId="1" applyNumberFormat="1" applyFont="1" applyFill="1" applyBorder="1" applyProtection="1">
      <protection locked="0"/>
    </xf>
    <xf numFmtId="0" fontId="5" fillId="2" borderId="34" xfId="0" applyFont="1" applyFill="1" applyBorder="1" applyProtection="1">
      <protection hidden="1"/>
    </xf>
    <xf numFmtId="0" fontId="5" fillId="2" borderId="35" xfId="0" applyFont="1" applyFill="1" applyBorder="1" applyProtection="1">
      <protection hidden="1"/>
    </xf>
    <xf numFmtId="0" fontId="5" fillId="2" borderId="36" xfId="0" applyFont="1" applyFill="1" applyBorder="1" applyProtection="1">
      <protection hidden="1"/>
    </xf>
    <xf numFmtId="0" fontId="6" fillId="5" borderId="20" xfId="0" applyFont="1" applyFill="1" applyBorder="1" applyProtection="1">
      <protection hidden="1"/>
    </xf>
    <xf numFmtId="0" fontId="6" fillId="5" borderId="16" xfId="0" applyFont="1" applyFill="1" applyBorder="1" applyProtection="1">
      <protection hidden="1"/>
    </xf>
    <xf numFmtId="165" fontId="12" fillId="5" borderId="19" xfId="1" applyNumberFormat="1" applyFont="1" applyFill="1" applyBorder="1" applyProtection="1">
      <protection hidden="1"/>
    </xf>
    <xf numFmtId="0" fontId="6" fillId="5" borderId="19" xfId="0" applyFont="1" applyFill="1" applyBorder="1" applyProtection="1">
      <protection hidden="1"/>
    </xf>
    <xf numFmtId="0" fontId="14" fillId="2" borderId="28" xfId="0" applyFont="1" applyFill="1" applyBorder="1" applyAlignment="1" applyProtection="1">
      <alignment vertical="center" wrapText="1"/>
      <protection hidden="1"/>
    </xf>
    <xf numFmtId="0" fontId="18" fillId="7" borderId="17" xfId="2" applyFont="1" applyFill="1" applyBorder="1" applyAlignment="1">
      <alignment vertical="center"/>
    </xf>
    <xf numFmtId="0" fontId="14" fillId="2" borderId="21" xfId="0" applyFont="1" applyFill="1" applyBorder="1" applyAlignment="1" applyProtection="1">
      <alignment vertical="center" wrapText="1"/>
      <protection hidden="1"/>
    </xf>
    <xf numFmtId="0" fontId="3" fillId="7" borderId="19" xfId="2" applyFill="1" applyBorder="1"/>
    <xf numFmtId="0" fontId="14" fillId="2" borderId="19" xfId="0" applyFont="1" applyFill="1" applyBorder="1" applyAlignment="1" applyProtection="1">
      <alignment vertical="center" wrapText="1"/>
      <protection hidden="1"/>
    </xf>
    <xf numFmtId="0" fontId="2" fillId="7" borderId="0" xfId="2" applyFont="1" applyFill="1" applyAlignment="1">
      <alignment vertical="center"/>
    </xf>
    <xf numFmtId="0" fontId="2" fillId="7" borderId="17" xfId="2" applyFont="1" applyFill="1" applyBorder="1" applyAlignment="1">
      <alignment vertical="center"/>
    </xf>
    <xf numFmtId="0" fontId="2" fillId="7" borderId="18" xfId="2" applyFont="1" applyFill="1" applyBorder="1" applyAlignment="1">
      <alignment vertical="center"/>
    </xf>
    <xf numFmtId="0" fontId="2" fillId="7" borderId="19" xfId="2" applyFont="1" applyFill="1" applyBorder="1" applyAlignment="1">
      <alignment vertical="center"/>
    </xf>
    <xf numFmtId="0" fontId="12" fillId="5" borderId="24" xfId="0" applyFont="1" applyFill="1" applyBorder="1" applyAlignment="1" applyProtection="1">
      <alignment horizontal="center" vertical="center" wrapText="1"/>
      <protection hidden="1"/>
    </xf>
    <xf numFmtId="0" fontId="5" fillId="2" borderId="17" xfId="0" applyFont="1" applyFill="1" applyBorder="1" applyAlignment="1" applyProtection="1">
      <alignment wrapText="1"/>
      <protection hidden="1"/>
    </xf>
    <xf numFmtId="0" fontId="5" fillId="2" borderId="19" xfId="0" applyFont="1" applyFill="1" applyBorder="1" applyAlignment="1" applyProtection="1">
      <alignment horizontal="center" vertical="center"/>
      <protection hidden="1"/>
    </xf>
    <xf numFmtId="0" fontId="5" fillId="2" borderId="27" xfId="0" applyFont="1" applyFill="1" applyBorder="1" applyAlignment="1" applyProtection="1">
      <alignment wrapText="1"/>
      <protection hidden="1"/>
    </xf>
    <xf numFmtId="0" fontId="5" fillId="2" borderId="21" xfId="0" applyFont="1" applyFill="1" applyBorder="1" applyAlignment="1" applyProtection="1">
      <alignment horizontal="center" vertical="center"/>
      <protection hidden="1"/>
    </xf>
    <xf numFmtId="0" fontId="5" fillId="0" borderId="27" xfId="0" applyFont="1" applyBorder="1" applyAlignment="1" applyProtection="1">
      <alignment wrapText="1"/>
      <protection hidden="1"/>
    </xf>
    <xf numFmtId="0" fontId="5" fillId="2" borderId="17" xfId="0" applyFont="1" applyFill="1" applyBorder="1" applyAlignment="1" applyProtection="1">
      <alignment horizontal="center" vertical="center"/>
      <protection hidden="1"/>
    </xf>
    <xf numFmtId="1" fontId="5" fillId="2" borderId="19" xfId="0" applyNumberFormat="1" applyFont="1" applyFill="1" applyBorder="1" applyAlignment="1" applyProtection="1">
      <alignment horizontal="center" vertical="center"/>
      <protection hidden="1"/>
    </xf>
    <xf numFmtId="0" fontId="12" fillId="7" borderId="42" xfId="2" applyFont="1" applyFill="1" applyBorder="1" applyAlignment="1" applyProtection="1">
      <alignment vertical="center"/>
      <protection hidden="1"/>
    </xf>
    <xf numFmtId="0" fontId="12" fillId="7" borderId="13" xfId="2" applyFont="1" applyFill="1" applyBorder="1" applyAlignment="1" applyProtection="1">
      <alignment vertical="center"/>
      <protection hidden="1"/>
    </xf>
    <xf numFmtId="170" fontId="5" fillId="2" borderId="9" xfId="0" applyNumberFormat="1" applyFont="1" applyFill="1" applyBorder="1" applyAlignment="1" applyProtection="1">
      <alignment horizontal="center"/>
      <protection hidden="1"/>
    </xf>
    <xf numFmtId="0" fontId="5" fillId="0" borderId="2" xfId="0" applyFont="1" applyBorder="1" applyProtection="1">
      <protection hidden="1"/>
    </xf>
    <xf numFmtId="44" fontId="5" fillId="0" borderId="12" xfId="0" applyNumberFormat="1" applyFont="1" applyBorder="1" applyProtection="1">
      <protection hidden="1"/>
    </xf>
    <xf numFmtId="44" fontId="5" fillId="2" borderId="9" xfId="0" applyNumberFormat="1" applyFont="1" applyFill="1" applyBorder="1" applyAlignment="1" applyProtection="1">
      <alignment horizontal="center"/>
      <protection hidden="1"/>
    </xf>
    <xf numFmtId="0" fontId="5" fillId="2" borderId="0" xfId="0" applyFont="1" applyFill="1" applyAlignment="1" applyProtection="1">
      <alignment horizontal="left"/>
      <protection hidden="1"/>
    </xf>
    <xf numFmtId="2" fontId="5" fillId="2" borderId="9" xfId="0" applyNumberFormat="1" applyFont="1" applyFill="1" applyBorder="1" applyAlignment="1" applyProtection="1">
      <alignment horizontal="center"/>
      <protection hidden="1"/>
    </xf>
    <xf numFmtId="44" fontId="12" fillId="5" borderId="13" xfId="0" applyNumberFormat="1" applyFont="1" applyFill="1" applyBorder="1"/>
    <xf numFmtId="44" fontId="12" fillId="5" borderId="4" xfId="0" applyNumberFormat="1" applyFont="1" applyFill="1" applyBorder="1"/>
    <xf numFmtId="0" fontId="12" fillId="5" borderId="5" xfId="0" applyFont="1" applyFill="1" applyBorder="1" applyProtection="1">
      <protection hidden="1"/>
    </xf>
    <xf numFmtId="0" fontId="5" fillId="0" borderId="1" xfId="0" applyFont="1" applyBorder="1" applyAlignment="1" applyProtection="1">
      <alignment wrapText="1"/>
      <protection hidden="1"/>
    </xf>
    <xf numFmtId="0" fontId="5" fillId="0" borderId="2" xfId="0" applyFont="1" applyBorder="1" applyAlignment="1" applyProtection="1">
      <alignment wrapText="1"/>
      <protection hidden="1"/>
    </xf>
    <xf numFmtId="0" fontId="5" fillId="0" borderId="3" xfId="0" applyFont="1" applyBorder="1" applyProtection="1">
      <protection hidden="1"/>
    </xf>
    <xf numFmtId="0" fontId="17" fillId="6" borderId="59" xfId="0" applyFont="1" applyFill="1" applyBorder="1" applyAlignment="1" applyProtection="1">
      <alignment horizontal="center" vertical="center" wrapText="1"/>
      <protection hidden="1"/>
    </xf>
    <xf numFmtId="0" fontId="17" fillId="6" borderId="38" xfId="0" applyFont="1" applyFill="1" applyBorder="1" applyAlignment="1" applyProtection="1">
      <alignment vertical="center" wrapText="1"/>
      <protection hidden="1"/>
    </xf>
    <xf numFmtId="0" fontId="12" fillId="5" borderId="68" xfId="0" applyFont="1" applyFill="1" applyBorder="1" applyAlignment="1" applyProtection="1">
      <alignment vertical="center"/>
      <protection hidden="1"/>
    </xf>
    <xf numFmtId="0" fontId="12" fillId="5" borderId="69" xfId="0" applyFont="1" applyFill="1" applyBorder="1" applyAlignment="1" applyProtection="1">
      <alignment horizontal="center" vertical="center"/>
      <protection hidden="1"/>
    </xf>
    <xf numFmtId="0" fontId="12" fillId="5" borderId="70" xfId="0" applyFont="1" applyFill="1" applyBorder="1" applyAlignment="1" applyProtection="1">
      <alignment horizontal="center" vertical="center" wrapText="1"/>
      <protection hidden="1"/>
    </xf>
    <xf numFmtId="0" fontId="12" fillId="5" borderId="71" xfId="0" applyFont="1" applyFill="1" applyBorder="1" applyAlignment="1" applyProtection="1">
      <alignment horizontal="center" vertical="center" wrapText="1"/>
      <protection hidden="1"/>
    </xf>
    <xf numFmtId="0" fontId="12" fillId="5" borderId="67" xfId="0" applyFont="1" applyFill="1" applyBorder="1" applyAlignment="1" applyProtection="1">
      <alignment horizontal="center" vertical="center" wrapText="1"/>
      <protection hidden="1"/>
    </xf>
    <xf numFmtId="0" fontId="11" fillId="5" borderId="72" xfId="0" applyFont="1" applyFill="1" applyBorder="1" applyProtection="1">
      <protection hidden="1"/>
    </xf>
    <xf numFmtId="0" fontId="13" fillId="5" borderId="27" xfId="0" applyFont="1" applyFill="1" applyBorder="1" applyProtection="1">
      <protection hidden="1"/>
    </xf>
    <xf numFmtId="0" fontId="7" fillId="2" borderId="0" xfId="0" applyFont="1" applyFill="1" applyProtection="1">
      <protection hidden="1"/>
    </xf>
    <xf numFmtId="0" fontId="7" fillId="2" borderId="0" xfId="0" applyFont="1" applyFill="1" applyAlignment="1" applyProtection="1">
      <alignment horizontal="center"/>
      <protection hidden="1"/>
    </xf>
    <xf numFmtId="165" fontId="5" fillId="0" borderId="0" xfId="0" applyNumberFormat="1" applyFont="1" applyProtection="1">
      <protection locked="0"/>
    </xf>
    <xf numFmtId="10" fontId="5" fillId="0" borderId="24" xfId="0" applyNumberFormat="1" applyFont="1" applyBorder="1" applyProtection="1">
      <protection locked="0"/>
    </xf>
    <xf numFmtId="10" fontId="5" fillId="0" borderId="25" xfId="0" applyNumberFormat="1" applyFont="1" applyBorder="1" applyProtection="1">
      <protection locked="0"/>
    </xf>
    <xf numFmtId="10" fontId="5" fillId="0" borderId="22" xfId="0" applyNumberFormat="1" applyFont="1" applyBorder="1" applyProtection="1">
      <protection locked="0"/>
    </xf>
    <xf numFmtId="10" fontId="5" fillId="0" borderId="20" xfId="0" applyNumberFormat="1" applyFont="1" applyBorder="1" applyProtection="1">
      <protection locked="0"/>
    </xf>
    <xf numFmtId="10" fontId="5" fillId="0" borderId="23" xfId="0" applyNumberFormat="1" applyFont="1" applyBorder="1" applyProtection="1">
      <protection locked="0"/>
    </xf>
    <xf numFmtId="10" fontId="5" fillId="0" borderId="21" xfId="0" applyNumberFormat="1" applyFont="1" applyBorder="1" applyProtection="1">
      <protection locked="0"/>
    </xf>
    <xf numFmtId="0" fontId="13" fillId="6" borderId="4" xfId="0" applyFont="1" applyFill="1" applyBorder="1" applyAlignment="1" applyProtection="1">
      <alignment horizontal="center" wrapText="1"/>
      <protection locked="0"/>
    </xf>
    <xf numFmtId="0" fontId="12" fillId="2" borderId="0" xfId="0" applyFont="1" applyFill="1" applyAlignment="1" applyProtection="1">
      <alignment horizontal="center" wrapText="1"/>
      <protection hidden="1"/>
    </xf>
    <xf numFmtId="0" fontId="6" fillId="2" borderId="0" xfId="0" applyFont="1" applyFill="1" applyAlignment="1" applyProtection="1">
      <alignment horizontal="center"/>
      <protection hidden="1"/>
    </xf>
    <xf numFmtId="44" fontId="5" fillId="0" borderId="2" xfId="0" applyNumberFormat="1" applyFont="1" applyBorder="1" applyProtection="1">
      <protection locked="0"/>
    </xf>
    <xf numFmtId="44" fontId="5" fillId="0" borderId="3" xfId="0" applyNumberFormat="1" applyFont="1" applyBorder="1" applyProtection="1">
      <protection locked="0"/>
    </xf>
    <xf numFmtId="0" fontId="12" fillId="7" borderId="17" xfId="2" applyFont="1" applyFill="1" applyBorder="1" applyAlignment="1" applyProtection="1">
      <alignment vertical="center"/>
      <protection hidden="1"/>
    </xf>
    <xf numFmtId="0" fontId="16" fillId="7" borderId="18" xfId="2" applyFont="1" applyFill="1" applyBorder="1" applyAlignment="1" applyProtection="1">
      <alignment vertical="center"/>
      <protection hidden="1"/>
    </xf>
    <xf numFmtId="0" fontId="16" fillId="7" borderId="19" xfId="2" applyFont="1" applyFill="1" applyBorder="1" applyAlignment="1" applyProtection="1">
      <alignment vertical="center"/>
      <protection hidden="1"/>
    </xf>
    <xf numFmtId="0" fontId="14" fillId="6" borderId="27" xfId="0" applyFont="1" applyFill="1" applyBorder="1" applyAlignment="1" applyProtection="1">
      <alignment horizontal="center" vertical="center" wrapText="1"/>
      <protection hidden="1"/>
    </xf>
    <xf numFmtId="0" fontId="14" fillId="6" borderId="28" xfId="0" applyFont="1" applyFill="1" applyBorder="1" applyAlignment="1" applyProtection="1">
      <alignment horizontal="center" vertical="center" wrapText="1"/>
      <protection hidden="1"/>
    </xf>
    <xf numFmtId="0" fontId="14" fillId="6" borderId="21" xfId="0" applyFont="1" applyFill="1" applyBorder="1" applyAlignment="1" applyProtection="1">
      <alignment horizontal="center" vertical="center" wrapText="1"/>
      <protection hidden="1"/>
    </xf>
    <xf numFmtId="0" fontId="18" fillId="7" borderId="0" xfId="2" applyFont="1" applyFill="1" applyAlignment="1">
      <alignment vertical="center"/>
    </xf>
    <xf numFmtId="0" fontId="5" fillId="2" borderId="18" xfId="0" applyFont="1" applyFill="1" applyBorder="1" applyAlignment="1" applyProtection="1">
      <alignment horizontal="center" vertical="center"/>
      <protection locked="0"/>
    </xf>
    <xf numFmtId="0" fontId="5" fillId="2" borderId="28" xfId="0" applyFont="1" applyFill="1" applyBorder="1" applyAlignment="1" applyProtection="1">
      <alignment horizontal="center" vertical="center"/>
      <protection locked="0"/>
    </xf>
    <xf numFmtId="170" fontId="5" fillId="2" borderId="1" xfId="0" applyNumberFormat="1" applyFont="1" applyFill="1" applyBorder="1" applyAlignment="1" applyProtection="1">
      <alignment horizontal="center"/>
      <protection hidden="1"/>
    </xf>
    <xf numFmtId="44" fontId="5" fillId="2" borderId="2" xfId="0" applyNumberFormat="1" applyFont="1" applyFill="1" applyBorder="1" applyAlignment="1" applyProtection="1">
      <alignment horizontal="center"/>
      <protection hidden="1"/>
    </xf>
    <xf numFmtId="44" fontId="5" fillId="2" borderId="3" xfId="0" applyNumberFormat="1" applyFont="1" applyFill="1" applyBorder="1" applyAlignment="1" applyProtection="1">
      <alignment horizontal="center"/>
      <protection hidden="1"/>
    </xf>
    <xf numFmtId="0" fontId="12" fillId="5" borderId="4" xfId="0" applyFont="1" applyFill="1" applyBorder="1" applyAlignment="1" applyProtection="1">
      <alignment horizontal="center"/>
      <protection locked="0"/>
    </xf>
    <xf numFmtId="44" fontId="5" fillId="0" borderId="9" xfId="0" applyNumberFormat="1" applyFont="1" applyBorder="1" applyProtection="1">
      <protection locked="0"/>
    </xf>
    <xf numFmtId="44" fontId="12" fillId="5" borderId="49" xfId="0" applyNumberFormat="1" applyFont="1" applyFill="1" applyBorder="1" applyProtection="1">
      <protection hidden="1"/>
    </xf>
    <xf numFmtId="44" fontId="12" fillId="5" borderId="51" xfId="0" applyNumberFormat="1" applyFont="1" applyFill="1" applyBorder="1" applyProtection="1">
      <protection hidden="1"/>
    </xf>
    <xf numFmtId="44" fontId="12" fillId="5" borderId="15" xfId="0" applyNumberFormat="1" applyFont="1" applyFill="1" applyBorder="1" applyProtection="1">
      <protection hidden="1"/>
    </xf>
    <xf numFmtId="44" fontId="5" fillId="0" borderId="50" xfId="0" applyNumberFormat="1" applyFont="1" applyBorder="1" applyProtection="1">
      <protection hidden="1"/>
    </xf>
    <xf numFmtId="44" fontId="5" fillId="0" borderId="60" xfId="0" applyNumberFormat="1" applyFont="1" applyBorder="1" applyProtection="1">
      <protection hidden="1"/>
    </xf>
    <xf numFmtId="44" fontId="5" fillId="0" borderId="3" xfId="0" applyNumberFormat="1" applyFont="1" applyBorder="1" applyProtection="1">
      <protection hidden="1"/>
    </xf>
    <xf numFmtId="44" fontId="12" fillId="5" borderId="10" xfId="0" applyNumberFormat="1" applyFont="1" applyFill="1" applyBorder="1" applyProtection="1">
      <protection hidden="1"/>
    </xf>
    <xf numFmtId="44" fontId="12" fillId="5" borderId="3" xfId="0" applyNumberFormat="1" applyFont="1" applyFill="1" applyBorder="1" applyProtection="1">
      <protection hidden="1"/>
    </xf>
    <xf numFmtId="44" fontId="5" fillId="0" borderId="8" xfId="0" applyNumberFormat="1" applyFont="1" applyBorder="1" applyProtection="1">
      <protection hidden="1"/>
    </xf>
    <xf numFmtId="44" fontId="12" fillId="6" borderId="13" xfId="0" applyNumberFormat="1" applyFont="1" applyFill="1" applyBorder="1" applyProtection="1">
      <protection hidden="1"/>
    </xf>
    <xf numFmtId="44" fontId="5" fillId="0" borderId="1" xfId="0" applyNumberFormat="1" applyFont="1" applyBorder="1" applyProtection="1">
      <protection hidden="1"/>
    </xf>
    <xf numFmtId="44" fontId="5" fillId="0" borderId="7" xfId="0" applyNumberFormat="1" applyFont="1" applyBorder="1" applyProtection="1">
      <protection hidden="1"/>
    </xf>
    <xf numFmtId="44" fontId="8" fillId="5" borderId="10" xfId="0" applyNumberFormat="1" applyFont="1" applyFill="1" applyBorder="1" applyProtection="1">
      <protection hidden="1"/>
    </xf>
    <xf numFmtId="10" fontId="5" fillId="2" borderId="0" xfId="0" applyNumberFormat="1" applyFont="1" applyFill="1" applyProtection="1">
      <protection locked="0"/>
    </xf>
    <xf numFmtId="1" fontId="5" fillId="2" borderId="0" xfId="0" applyNumberFormat="1" applyFont="1" applyFill="1" applyProtection="1">
      <protection locked="0"/>
    </xf>
    <xf numFmtId="0" fontId="12" fillId="5" borderId="73" xfId="0" applyFont="1" applyFill="1" applyBorder="1" applyAlignment="1" applyProtection="1">
      <alignment horizontal="center"/>
      <protection hidden="1"/>
    </xf>
    <xf numFmtId="0" fontId="12" fillId="5" borderId="74" xfId="0" applyFont="1" applyFill="1" applyBorder="1" applyAlignment="1" applyProtection="1">
      <alignment horizontal="center"/>
      <protection hidden="1"/>
    </xf>
    <xf numFmtId="0" fontId="12" fillId="5" borderId="75" xfId="0" applyFont="1" applyFill="1" applyBorder="1" applyAlignment="1" applyProtection="1">
      <alignment horizontal="center"/>
      <protection hidden="1"/>
    </xf>
    <xf numFmtId="0" fontId="5" fillId="0" borderId="30" xfId="0" applyFont="1" applyBorder="1" applyProtection="1">
      <protection hidden="1"/>
    </xf>
    <xf numFmtId="165" fontId="5" fillId="0" borderId="31" xfId="0" applyNumberFormat="1" applyFont="1" applyBorder="1" applyProtection="1">
      <protection hidden="1"/>
    </xf>
    <xf numFmtId="165" fontId="5" fillId="0" borderId="25" xfId="0" applyNumberFormat="1" applyFont="1" applyBorder="1" applyProtection="1">
      <protection hidden="1"/>
    </xf>
    <xf numFmtId="0" fontId="19" fillId="0" borderId="22" xfId="0" applyFont="1" applyBorder="1" applyProtection="1">
      <protection hidden="1"/>
    </xf>
    <xf numFmtId="0" fontId="19" fillId="0" borderId="22" xfId="0" applyFont="1" applyBorder="1" applyAlignment="1" applyProtection="1">
      <alignment wrapText="1"/>
      <protection hidden="1"/>
    </xf>
    <xf numFmtId="0" fontId="19" fillId="0" borderId="23" xfId="0" applyFont="1" applyBorder="1" applyAlignment="1" applyProtection="1">
      <alignment wrapText="1"/>
      <protection hidden="1"/>
    </xf>
    <xf numFmtId="0" fontId="8" fillId="0" borderId="0" xfId="0" applyFont="1" applyAlignment="1" applyProtection="1">
      <alignment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37" fillId="6" borderId="19" xfId="2" applyFont="1" applyFill="1" applyBorder="1" applyAlignment="1" applyProtection="1">
      <alignment vertical="center"/>
      <protection hidden="1"/>
    </xf>
    <xf numFmtId="0" fontId="6" fillId="2" borderId="0" xfId="0" applyFont="1" applyFill="1" applyAlignment="1" applyProtection="1">
      <alignment wrapText="1"/>
      <protection hidden="1"/>
    </xf>
    <xf numFmtId="168" fontId="6" fillId="2" borderId="0" xfId="0" applyNumberFormat="1" applyFont="1" applyFill="1" applyProtection="1">
      <protection hidden="1"/>
    </xf>
    <xf numFmtId="0" fontId="33" fillId="2" borderId="52" xfId="0" applyFont="1" applyFill="1" applyBorder="1" applyAlignment="1" applyProtection="1">
      <alignment horizontal="center" vertical="center" wrapText="1"/>
      <protection hidden="1"/>
    </xf>
    <xf numFmtId="0" fontId="33" fillId="2" borderId="53" xfId="0" applyFont="1" applyFill="1" applyBorder="1" applyAlignment="1" applyProtection="1">
      <alignment horizontal="center" vertical="center" wrapText="1"/>
      <protection hidden="1"/>
    </xf>
    <xf numFmtId="0" fontId="33" fillId="2" borderId="37" xfId="0" applyFont="1" applyFill="1" applyBorder="1" applyAlignment="1" applyProtection="1">
      <alignment horizontal="center" vertical="center" wrapText="1"/>
      <protection hidden="1"/>
    </xf>
    <xf numFmtId="0" fontId="9" fillId="2" borderId="27" xfId="0" applyFont="1" applyFill="1" applyBorder="1" applyAlignment="1" applyProtection="1">
      <alignment horizontal="center" vertical="center"/>
      <protection locked="0"/>
    </xf>
    <xf numFmtId="0" fontId="9" fillId="2" borderId="28" xfId="0" applyFont="1" applyFill="1" applyBorder="1" applyAlignment="1" applyProtection="1">
      <alignment horizontal="center" vertical="center"/>
      <protection locked="0"/>
    </xf>
    <xf numFmtId="0" fontId="9" fillId="2" borderId="21" xfId="0" applyFont="1" applyFill="1" applyBorder="1" applyAlignment="1" applyProtection="1">
      <alignment horizontal="center" vertical="center"/>
      <protection locked="0"/>
    </xf>
    <xf numFmtId="0" fontId="11" fillId="6" borderId="0" xfId="0" applyFont="1" applyFill="1" applyAlignment="1" applyProtection="1">
      <alignment horizontal="center" vertical="center" wrapText="1"/>
      <protection hidden="1"/>
    </xf>
    <xf numFmtId="0" fontId="11" fillId="6" borderId="20" xfId="0" applyFont="1" applyFill="1" applyBorder="1" applyAlignment="1" applyProtection="1">
      <alignment horizontal="center" vertical="center" wrapText="1"/>
      <protection hidden="1"/>
    </xf>
    <xf numFmtId="0" fontId="17" fillId="2" borderId="0" xfId="0" applyFont="1" applyFill="1" applyAlignment="1" applyProtection="1">
      <alignment horizontal="center" vertical="center" wrapText="1"/>
      <protection hidden="1"/>
    </xf>
    <xf numFmtId="0" fontId="17" fillId="2" borderId="0" xfId="0" applyFont="1" applyFill="1" applyAlignment="1" applyProtection="1">
      <alignment horizontal="center" vertical="center"/>
      <protection hidden="1"/>
    </xf>
    <xf numFmtId="0" fontId="14" fillId="2" borderId="40" xfId="0" applyFont="1" applyFill="1" applyBorder="1" applyAlignment="1" applyProtection="1">
      <alignment horizontal="center" vertical="center" wrapText="1"/>
      <protection hidden="1"/>
    </xf>
    <xf numFmtId="0" fontId="14" fillId="2" borderId="41" xfId="0" applyFont="1" applyFill="1" applyBorder="1" applyAlignment="1" applyProtection="1">
      <alignment horizontal="center" vertical="center" wrapText="1"/>
      <protection hidden="1"/>
    </xf>
    <xf numFmtId="0" fontId="14" fillId="2" borderId="42" xfId="0" applyFont="1" applyFill="1" applyBorder="1" applyAlignment="1" applyProtection="1">
      <alignment horizontal="center" vertical="center" wrapText="1"/>
      <protection hidden="1"/>
    </xf>
    <xf numFmtId="0" fontId="36" fillId="0" borderId="31" xfId="0" applyFont="1" applyBorder="1" applyAlignment="1" applyProtection="1">
      <alignment horizontal="left" wrapText="1"/>
      <protection locked="0"/>
    </xf>
    <xf numFmtId="0" fontId="14" fillId="2" borderId="52" xfId="0" applyFont="1" applyFill="1" applyBorder="1" applyAlignment="1" applyProtection="1">
      <alignment horizontal="center" vertical="center" wrapText="1"/>
      <protection locked="0"/>
    </xf>
    <xf numFmtId="0" fontId="14" fillId="2" borderId="53" xfId="0" applyFont="1" applyFill="1" applyBorder="1" applyAlignment="1" applyProtection="1">
      <alignment horizontal="center" vertical="center" wrapText="1"/>
      <protection locked="0"/>
    </xf>
    <xf numFmtId="0" fontId="14" fillId="2" borderId="37" xfId="0" applyFont="1" applyFill="1" applyBorder="1" applyAlignment="1" applyProtection="1">
      <alignment horizontal="center" vertical="center" wrapText="1"/>
      <protection locked="0"/>
    </xf>
    <xf numFmtId="0" fontId="17" fillId="2" borderId="0" xfId="0" applyFont="1" applyFill="1" applyAlignment="1" applyProtection="1">
      <alignment horizontal="center" vertical="center" wrapText="1"/>
      <protection locked="0"/>
    </xf>
    <xf numFmtId="0" fontId="17" fillId="2" borderId="0" xfId="0" applyFont="1" applyFill="1" applyAlignment="1" applyProtection="1">
      <alignment horizontal="center" vertical="center"/>
      <protection locked="0"/>
    </xf>
    <xf numFmtId="0" fontId="14" fillId="2" borderId="52" xfId="0" applyFont="1" applyFill="1" applyBorder="1" applyAlignment="1" applyProtection="1">
      <alignment horizontal="center" vertical="center" wrapText="1"/>
      <protection hidden="1"/>
    </xf>
    <xf numFmtId="0" fontId="14" fillId="2" borderId="53" xfId="0" applyFont="1" applyFill="1" applyBorder="1" applyAlignment="1" applyProtection="1">
      <alignment horizontal="center" vertical="center" wrapText="1"/>
      <protection hidden="1"/>
    </xf>
    <xf numFmtId="0" fontId="14" fillId="2" borderId="37" xfId="0" applyFont="1" applyFill="1" applyBorder="1" applyAlignment="1" applyProtection="1">
      <alignment horizontal="center" vertical="center" wrapText="1"/>
      <protection hidden="1"/>
    </xf>
    <xf numFmtId="0" fontId="12" fillId="5" borderId="17" xfId="0" applyFont="1" applyFill="1" applyBorder="1" applyAlignment="1" applyProtection="1">
      <alignment horizontal="center" vertical="center" wrapText="1"/>
      <protection hidden="1"/>
    </xf>
    <xf numFmtId="0" fontId="12" fillId="5" borderId="19" xfId="0" applyFont="1" applyFill="1" applyBorder="1" applyAlignment="1" applyProtection="1">
      <alignment horizontal="center" vertical="center" wrapText="1"/>
      <protection hidden="1"/>
    </xf>
    <xf numFmtId="0" fontId="8" fillId="5" borderId="29" xfId="0" applyFont="1" applyFill="1" applyBorder="1" applyAlignment="1" applyProtection="1">
      <alignment horizontal="left" vertical="center"/>
      <protection hidden="1"/>
    </xf>
    <xf numFmtId="0" fontId="8" fillId="5" borderId="0" xfId="0" applyFont="1" applyFill="1" applyAlignment="1" applyProtection="1">
      <alignment horizontal="left" vertical="center"/>
      <protection hidden="1"/>
    </xf>
    <xf numFmtId="0" fontId="8" fillId="5" borderId="20" xfId="0" applyFont="1" applyFill="1" applyBorder="1" applyAlignment="1" applyProtection="1">
      <alignment horizontal="left" vertical="center"/>
      <protection hidden="1"/>
    </xf>
    <xf numFmtId="0" fontId="17" fillId="6" borderId="54" xfId="0" applyFont="1" applyFill="1" applyBorder="1" applyAlignment="1" applyProtection="1">
      <alignment horizontal="center" vertical="center" wrapText="1"/>
      <protection hidden="1"/>
    </xf>
    <xf numFmtId="0" fontId="17" fillId="6" borderId="55" xfId="0" applyFont="1" applyFill="1" applyBorder="1" applyAlignment="1" applyProtection="1">
      <alignment horizontal="center" vertical="center" wrapText="1"/>
      <protection hidden="1"/>
    </xf>
    <xf numFmtId="0" fontId="17" fillId="6" borderId="39" xfId="0" applyFont="1" applyFill="1" applyBorder="1" applyAlignment="1" applyProtection="1">
      <alignment horizontal="center" vertical="center" wrapText="1"/>
      <protection hidden="1"/>
    </xf>
    <xf numFmtId="0" fontId="12" fillId="6" borderId="40" xfId="0" applyFont="1" applyFill="1" applyBorder="1" applyAlignment="1" applyProtection="1">
      <alignment horizontal="center" vertical="center"/>
      <protection hidden="1"/>
    </xf>
    <xf numFmtId="0" fontId="12" fillId="6" borderId="41" xfId="0" applyFont="1" applyFill="1" applyBorder="1" applyAlignment="1" applyProtection="1">
      <alignment horizontal="center" vertical="center"/>
      <protection hidden="1"/>
    </xf>
    <xf numFmtId="0" fontId="12" fillId="6" borderId="42" xfId="0" applyFont="1" applyFill="1" applyBorder="1" applyAlignment="1" applyProtection="1">
      <alignment horizontal="center" vertical="center"/>
      <protection hidden="1"/>
    </xf>
    <xf numFmtId="0" fontId="12" fillId="5" borderId="30" xfId="0" applyFont="1" applyFill="1" applyBorder="1" applyAlignment="1" applyProtection="1">
      <alignment horizontal="center" vertical="center"/>
      <protection hidden="1"/>
    </xf>
    <xf numFmtId="0" fontId="12" fillId="5" borderId="31" xfId="0" applyFont="1" applyFill="1" applyBorder="1" applyAlignment="1" applyProtection="1">
      <alignment horizontal="center" vertical="center"/>
      <protection hidden="1"/>
    </xf>
    <xf numFmtId="0" fontId="12" fillId="5" borderId="25" xfId="0" applyFont="1" applyFill="1" applyBorder="1" applyAlignment="1" applyProtection="1">
      <alignment horizontal="center" vertical="center"/>
      <protection hidden="1"/>
    </xf>
    <xf numFmtId="0" fontId="12" fillId="5" borderId="27" xfId="0" applyFont="1" applyFill="1" applyBorder="1" applyAlignment="1" applyProtection="1">
      <alignment horizontal="center" vertical="center"/>
      <protection hidden="1"/>
    </xf>
    <xf numFmtId="0" fontId="12" fillId="5" borderId="28" xfId="0" applyFont="1" applyFill="1" applyBorder="1" applyAlignment="1" applyProtection="1">
      <alignment horizontal="center" vertical="center"/>
      <protection hidden="1"/>
    </xf>
    <xf numFmtId="0" fontId="12" fillId="5" borderId="21" xfId="0" applyFont="1" applyFill="1" applyBorder="1" applyAlignment="1" applyProtection="1">
      <alignment horizontal="center" vertical="center"/>
      <protection hidden="1"/>
    </xf>
    <xf numFmtId="0" fontId="12" fillId="5" borderId="17" xfId="0" applyFont="1" applyFill="1" applyBorder="1" applyAlignment="1" applyProtection="1">
      <alignment horizontal="center" vertical="center"/>
      <protection hidden="1"/>
    </xf>
    <xf numFmtId="0" fontId="12" fillId="5" borderId="18" xfId="0" applyFont="1" applyFill="1" applyBorder="1" applyAlignment="1" applyProtection="1">
      <alignment horizontal="center" vertical="center"/>
      <protection hidden="1"/>
    </xf>
    <xf numFmtId="0" fontId="12" fillId="5" borderId="19" xfId="0" applyFont="1" applyFill="1" applyBorder="1" applyAlignment="1" applyProtection="1">
      <alignment horizontal="center" vertical="center"/>
      <protection hidden="1"/>
    </xf>
    <xf numFmtId="0" fontId="9" fillId="2" borderId="52" xfId="0" applyFont="1" applyFill="1" applyBorder="1" applyAlignment="1" applyProtection="1">
      <alignment horizontal="center" vertical="center" wrapText="1"/>
      <protection hidden="1"/>
    </xf>
    <xf numFmtId="0" fontId="9" fillId="2" borderId="53" xfId="0" applyFont="1" applyFill="1" applyBorder="1" applyAlignment="1" applyProtection="1">
      <alignment horizontal="center" vertical="center" wrapText="1"/>
      <protection hidden="1"/>
    </xf>
    <xf numFmtId="0" fontId="9" fillId="2" borderId="37" xfId="0" applyFont="1" applyFill="1" applyBorder="1" applyAlignment="1" applyProtection="1">
      <alignment horizontal="center" vertical="center" wrapText="1"/>
      <protection hidden="1"/>
    </xf>
    <xf numFmtId="0" fontId="12" fillId="5" borderId="26" xfId="0" applyFont="1" applyFill="1" applyBorder="1" applyAlignment="1" applyProtection="1">
      <alignment horizontal="center" vertical="center"/>
      <protection hidden="1"/>
    </xf>
    <xf numFmtId="0" fontId="36" fillId="0" borderId="0" xfId="0" applyFont="1" applyAlignment="1" applyProtection="1">
      <alignment horizontal="left" wrapText="1"/>
      <protection locked="0"/>
    </xf>
    <xf numFmtId="0" fontId="12" fillId="2" borderId="0" xfId="0" applyFont="1" applyFill="1" applyAlignment="1" applyProtection="1">
      <alignment horizontal="center" wrapText="1"/>
      <protection hidden="1"/>
    </xf>
    <xf numFmtId="0" fontId="33" fillId="2" borderId="56" xfId="0" applyFont="1" applyFill="1" applyBorder="1" applyAlignment="1" applyProtection="1">
      <alignment horizontal="center" vertical="center" wrapText="1"/>
      <protection hidden="1"/>
    </xf>
    <xf numFmtId="0" fontId="33" fillId="2" borderId="57" xfId="0" applyFont="1" applyFill="1" applyBorder="1" applyAlignment="1" applyProtection="1">
      <alignment horizontal="center" vertical="center" wrapText="1"/>
      <protection hidden="1"/>
    </xf>
    <xf numFmtId="0" fontId="33" fillId="2" borderId="58" xfId="0" applyFont="1" applyFill="1" applyBorder="1" applyAlignment="1" applyProtection="1">
      <alignment horizontal="center" vertical="center" wrapText="1"/>
      <protection hidden="1"/>
    </xf>
    <xf numFmtId="0" fontId="14" fillId="2" borderId="13" xfId="0" applyFont="1" applyFill="1" applyBorder="1" applyAlignment="1" applyProtection="1">
      <alignment horizontal="center" vertical="center" wrapText="1"/>
      <protection hidden="1"/>
    </xf>
    <xf numFmtId="0" fontId="14" fillId="2" borderId="14" xfId="0" applyFont="1" applyFill="1" applyBorder="1" applyAlignment="1" applyProtection="1">
      <alignment horizontal="center" vertical="center" wrapText="1"/>
      <protection hidden="1"/>
    </xf>
    <xf numFmtId="0" fontId="14" fillId="2" borderId="15" xfId="0" applyFont="1" applyFill="1" applyBorder="1" applyAlignment="1" applyProtection="1">
      <alignment horizontal="center" vertical="center" wrapText="1"/>
      <protection hidden="1"/>
    </xf>
    <xf numFmtId="0" fontId="8" fillId="2" borderId="0" xfId="0" applyFont="1" applyFill="1" applyAlignment="1" applyProtection="1">
      <alignment horizontal="center" wrapText="1"/>
      <protection hidden="1"/>
    </xf>
    <xf numFmtId="0" fontId="14" fillId="2" borderId="5" xfId="0" applyFont="1" applyFill="1" applyBorder="1" applyAlignment="1" applyProtection="1">
      <alignment horizontal="center" vertical="center" wrapText="1"/>
      <protection hidden="1"/>
    </xf>
    <xf numFmtId="0" fontId="14" fillId="2" borderId="6" xfId="0" applyFont="1" applyFill="1" applyBorder="1" applyAlignment="1" applyProtection="1">
      <alignment horizontal="center" vertical="center" wrapText="1"/>
      <protection hidden="1"/>
    </xf>
    <xf numFmtId="0" fontId="14" fillId="2" borderId="7" xfId="0" applyFont="1" applyFill="1" applyBorder="1" applyAlignment="1" applyProtection="1">
      <alignment horizontal="center" vertical="center" wrapText="1"/>
      <protection hidden="1"/>
    </xf>
    <xf numFmtId="0" fontId="14" fillId="2" borderId="17" xfId="0" applyFont="1" applyFill="1" applyBorder="1" applyAlignment="1" applyProtection="1">
      <alignment horizontal="center" vertical="center" wrapText="1"/>
      <protection hidden="1"/>
    </xf>
    <xf numFmtId="0" fontId="14" fillId="2" borderId="18" xfId="0" applyFont="1" applyFill="1" applyBorder="1" applyAlignment="1" applyProtection="1">
      <alignment horizontal="center" vertical="center" wrapText="1"/>
      <protection hidden="1"/>
    </xf>
    <xf numFmtId="0" fontId="14" fillId="2" borderId="19" xfId="0" applyFont="1" applyFill="1" applyBorder="1" applyAlignment="1" applyProtection="1">
      <alignment horizontal="center" vertical="center" wrapText="1"/>
      <protection hidden="1"/>
    </xf>
    <xf numFmtId="165" fontId="18" fillId="5" borderId="24" xfId="0" applyNumberFormat="1" applyFont="1" applyFill="1" applyBorder="1" applyAlignment="1" applyProtection="1">
      <alignment horizontal="center" vertical="center" textRotation="90" wrapText="1"/>
      <protection hidden="1"/>
    </xf>
    <xf numFmtId="165" fontId="18" fillId="5" borderId="22" xfId="0" applyNumberFormat="1" applyFont="1" applyFill="1" applyBorder="1" applyAlignment="1" applyProtection="1">
      <alignment horizontal="center" vertical="center" textRotation="90" wrapText="1"/>
      <protection hidden="1"/>
    </xf>
    <xf numFmtId="165" fontId="18" fillId="5" borderId="23" xfId="0" applyNumberFormat="1" applyFont="1" applyFill="1" applyBorder="1" applyAlignment="1" applyProtection="1">
      <alignment horizontal="center" vertical="center" textRotation="90" wrapText="1"/>
      <protection hidden="1"/>
    </xf>
    <xf numFmtId="165" fontId="18" fillId="5" borderId="20" xfId="0" applyNumberFormat="1" applyFont="1" applyFill="1" applyBorder="1" applyAlignment="1" applyProtection="1">
      <alignment horizontal="center" vertical="center" textRotation="90" wrapText="1"/>
      <protection hidden="1"/>
    </xf>
    <xf numFmtId="1" fontId="28" fillId="5" borderId="62" xfId="0" applyNumberFormat="1" applyFont="1" applyFill="1" applyBorder="1" applyAlignment="1" applyProtection="1">
      <alignment horizontal="center" vertical="center" wrapText="1"/>
      <protection hidden="1"/>
    </xf>
    <xf numFmtId="1" fontId="28" fillId="5" borderId="63" xfId="0" applyNumberFormat="1" applyFont="1" applyFill="1" applyBorder="1" applyAlignment="1" applyProtection="1">
      <alignment horizontal="center" vertical="center" wrapText="1"/>
      <protection hidden="1"/>
    </xf>
    <xf numFmtId="3" fontId="32" fillId="2" borderId="8" xfId="0" applyNumberFormat="1" applyFont="1" applyFill="1" applyBorder="1" applyAlignment="1" applyProtection="1">
      <alignment horizontal="center" vertical="center"/>
      <protection hidden="1"/>
    </xf>
    <xf numFmtId="3" fontId="32" fillId="2" borderId="9" xfId="0" applyNumberFormat="1" applyFont="1" applyFill="1" applyBorder="1" applyAlignment="1" applyProtection="1">
      <alignment horizontal="center" vertical="center"/>
      <protection hidden="1"/>
    </xf>
    <xf numFmtId="0" fontId="27" fillId="2" borderId="17" xfId="0" applyFont="1" applyFill="1" applyBorder="1" applyAlignment="1" applyProtection="1">
      <alignment horizontal="right" vertical="center" wrapText="1"/>
      <protection hidden="1"/>
    </xf>
    <xf numFmtId="0" fontId="27" fillId="2" borderId="18" xfId="0" applyFont="1" applyFill="1" applyBorder="1" applyAlignment="1" applyProtection="1">
      <alignment horizontal="right" vertical="center" wrapText="1"/>
      <protection hidden="1"/>
    </xf>
    <xf numFmtId="3" fontId="32" fillId="2" borderId="17" xfId="0" applyNumberFormat="1" applyFont="1" applyFill="1" applyBorder="1" applyAlignment="1" applyProtection="1">
      <alignment horizontal="center" vertical="center"/>
      <protection hidden="1"/>
    </xf>
    <xf numFmtId="3" fontId="32" fillId="2" borderId="18" xfId="0" applyNumberFormat="1" applyFont="1" applyFill="1" applyBorder="1" applyAlignment="1" applyProtection="1">
      <alignment horizontal="center" vertical="center"/>
      <protection hidden="1"/>
    </xf>
    <xf numFmtId="3" fontId="32" fillId="2" borderId="0" xfId="0" applyNumberFormat="1" applyFont="1" applyFill="1" applyAlignment="1" applyProtection="1">
      <alignment horizontal="center" vertical="center"/>
      <protection hidden="1"/>
    </xf>
    <xf numFmtId="0" fontId="28" fillId="5" borderId="62" xfId="0" applyFont="1" applyFill="1" applyBorder="1" applyAlignment="1" applyProtection="1">
      <alignment horizontal="center" vertical="center" wrapText="1"/>
      <protection hidden="1"/>
    </xf>
    <xf numFmtId="0" fontId="28" fillId="5" borderId="31" xfId="0" applyFont="1" applyFill="1" applyBorder="1" applyAlignment="1" applyProtection="1">
      <alignment horizontal="center" vertical="center" wrapText="1"/>
      <protection hidden="1"/>
    </xf>
    <xf numFmtId="1" fontId="28" fillId="5" borderId="31" xfId="0" applyNumberFormat="1" applyFont="1" applyFill="1" applyBorder="1" applyAlignment="1" applyProtection="1">
      <alignment horizontal="center" vertical="center" wrapText="1"/>
      <protection hidden="1"/>
    </xf>
    <xf numFmtId="165" fontId="18" fillId="5" borderId="24" xfId="0" applyNumberFormat="1" applyFont="1" applyFill="1" applyBorder="1" applyAlignment="1" applyProtection="1">
      <alignment horizontal="left" vertical="center" textRotation="90" wrapText="1"/>
      <protection hidden="1"/>
    </xf>
    <xf numFmtId="165" fontId="18" fillId="5" borderId="20" xfId="0" applyNumberFormat="1" applyFont="1" applyFill="1" applyBorder="1" applyAlignment="1" applyProtection="1">
      <alignment horizontal="left" vertical="center" textRotation="90" wrapText="1"/>
      <protection hidden="1"/>
    </xf>
    <xf numFmtId="165" fontId="18" fillId="5" borderId="22" xfId="0" applyNumberFormat="1" applyFont="1" applyFill="1" applyBorder="1" applyAlignment="1" applyProtection="1">
      <alignment horizontal="left" vertical="center" textRotation="90" wrapText="1"/>
      <protection hidden="1"/>
    </xf>
    <xf numFmtId="165" fontId="18" fillId="5" borderId="23" xfId="0" applyNumberFormat="1" applyFont="1" applyFill="1" applyBorder="1" applyAlignment="1" applyProtection="1">
      <alignment horizontal="left" vertical="center" textRotation="90" wrapText="1"/>
      <protection hidden="1"/>
    </xf>
    <xf numFmtId="0" fontId="28" fillId="5" borderId="25" xfId="0" applyFont="1" applyFill="1" applyBorder="1" applyAlignment="1" applyProtection="1">
      <alignment horizontal="center" vertical="center" wrapText="1"/>
      <protection hidden="1"/>
    </xf>
    <xf numFmtId="0" fontId="27" fillId="2" borderId="27" xfId="0" applyFont="1" applyFill="1" applyBorder="1" applyAlignment="1" applyProtection="1">
      <alignment horizontal="right" vertical="center" wrapText="1"/>
      <protection hidden="1"/>
    </xf>
    <xf numFmtId="0" fontId="27" fillId="2" borderId="28" xfId="0" applyFont="1" applyFill="1" applyBorder="1" applyAlignment="1" applyProtection="1">
      <alignment horizontal="right" vertical="center" wrapText="1"/>
      <protection hidden="1"/>
    </xf>
  </cellXfs>
  <cellStyles count="4">
    <cellStyle name="Hipervínculo" xfId="2" builtinId="8"/>
    <cellStyle name="Millares [0]" xfId="1" builtinId="6"/>
    <cellStyle name="Millares [0] 2" xfId="3" xr:uid="{D4224552-E656-4D18-8A49-25CA566729A0}"/>
    <cellStyle name="Normal" xfId="0" builtinId="0"/>
  </cellStyles>
  <dxfs count="146"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rgb="FF10312B"/>
      </font>
      <fill>
        <patternFill>
          <bgColor rgb="FF10312B"/>
        </patternFill>
      </fill>
    </dxf>
    <dxf>
      <font>
        <color theme="0"/>
      </font>
      <fill>
        <patternFill>
          <bgColor rgb="FF009EA9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entury Gothic"/>
        <family val="2"/>
        <scheme val="none"/>
      </font>
      <fill>
        <patternFill>
          <fgColor indexed="64"/>
          <bgColor theme="0"/>
        </patternFill>
      </fill>
      <protection locked="1" hidden="1"/>
    </dxf>
  </dxfs>
  <tableStyles count="0" defaultTableStyle="TableStyleMedium2" defaultPivotStyle="PivotStyleLight16"/>
  <colors>
    <mruColors>
      <color rgb="FF10312B"/>
      <color rgb="FF76871E"/>
      <color rgb="FFCE7A23"/>
      <color rgb="FFC94F1A"/>
      <color rgb="FF1B3321"/>
      <color rgb="FF768A36"/>
      <color rgb="FF6C7175"/>
      <color rgb="FFC24D33"/>
      <color rgb="FF302B4F"/>
      <color rgb="FF0F5A6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1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 dir="row">_xlchart.v1.0</cx:f>
      </cx:numDim>
    </cx:data>
  </cx:chartData>
  <cx:chart>
    <cx:title pos="t" align="ctr" overlay="0">
      <cx:tx>
        <cx:txData>
          <cx:v>Flujo de efectivo proyectado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>
              <a:solidFill>
                <a:srgbClr val="059571"/>
              </a:solidFill>
            </a:defRPr>
          </a:pPr>
          <a:r>
            <a:rPr lang="es-ES" sz="1400" b="0" i="0" u="none" strike="noStrike" baseline="0">
              <a:solidFill>
                <a:srgbClr val="059571"/>
              </a:solidFill>
              <a:latin typeface="Calibri" panose="020F0502020204030204"/>
            </a:rPr>
            <a:t>Flujo de efectivo proyectado</a:t>
          </a:r>
        </a:p>
      </cx:txPr>
    </cx:title>
    <cx:plotArea>
      <cx:plotAreaRegion>
        <cx:series layoutId="waterfall" uniqueId="{2FEC8C1D-DA67-004D-9B1B-17D18B1E386F}">
          <cx:dataId val="0"/>
          <cx:layoutPr>
            <cx:visibility connectorLines="0"/>
            <cx:subtotals/>
          </cx:layoutPr>
        </cx:series>
      </cx:plotAreaRegion>
      <cx:axis id="0">
        <cx:catScaling gapWidth="1"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05957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s-GT">
              <a:solidFill>
                <a:srgbClr val="059571"/>
              </a:solidFill>
            </a:endParaRPr>
          </a:p>
        </cx:txPr>
      </cx:axis>
      <cx:axis id="1">
        <cx:valScaling/>
        <cx:majorGridlines/>
        <cx:tickLabels/>
        <cx:txPr>
          <a:bodyPr vertOverflow="overflow" horzOverflow="overflow" wrap="square" lIns="0" tIns="0" rIns="0" bIns="0"/>
          <a:lstStyle/>
          <a:p>
            <a:pPr algn="ctr" rtl="0">
              <a:defRPr sz="900" b="0" i="0">
                <a:solidFill>
                  <a:srgbClr val="059571"/>
                </a:solidFill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defRPr>
            </a:pPr>
            <a:endParaRPr lang="es-GT">
              <a:solidFill>
                <a:srgbClr val="059571"/>
              </a:solidFill>
            </a:endParaRPr>
          </a:p>
        </cx:txPr>
      </cx:axis>
    </cx:plotArea>
    <cx:legend pos="t" align="ctr" overlay="0">
      <cx:txPr>
        <a:bodyPr vertOverflow="overflow" horzOverflow="overflow" wrap="square" lIns="0" tIns="0" rIns="0" bIns="0"/>
        <a:lstStyle/>
        <a:p>
          <a:pPr algn="ctr" rtl="0">
            <a:defRPr sz="900" b="0" i="0">
              <a:solidFill>
                <a:srgbClr val="059571"/>
              </a:solidFill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defRPr>
          </a:pPr>
          <a:endParaRPr lang="es-GT">
            <a:solidFill>
              <a:srgbClr val="059571"/>
            </a:solidFill>
          </a:endParaRPr>
        </a:p>
      </cx:txPr>
    </cx:legend>
  </cx:chart>
  <cx:spPr>
    <a:solidFill>
      <a:schemeClr val="bg1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99">
  <cs:axisTitle>
    <cs:lnRef idx="0"/>
    <cs:fillRef idx="0"/>
    <cs:effectRef idx="0"/>
    <cs:fontRef idx="minor">
      <a:schemeClr val="tx2"/>
    </cs:fontRef>
    <cs:defRPr sz="900"/>
  </cs:axisTitle>
  <cs:category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chartArea>
  <cs:dataLabel>
    <cs:lnRef idx="0"/>
    <cs:fillRef idx="0"/>
    <cs:effectRef idx="0"/>
    <cs:fontRef idx="minor">
      <a:schemeClr val="tx2"/>
    </cs:fontRef>
    <cs:defRPr sz="9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2"/>
    </cs:fontRef>
    <cs:spPr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2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2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2"/>
    </cs:fontRef>
    <cs:spPr>
      <a:ln w="9525">
        <a:solidFill>
          <a:schemeClr val="tx2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2"/>
    </cs:fontRef>
  </cs:floor>
  <cs:gridlineMajor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2"/>
    </cs:fontRef>
    <cs:spPr>
      <a:ln>
        <a:solidFill>
          <a:schemeClr val="tx2">
            <a:lumMod val="15000"/>
            <a:lumOff val="85000"/>
            <a:lumOff val="10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2"/>
    </cs:fontRef>
    <cs:defRPr sz="900"/>
  </cs:legend>
  <cs:plotArea>
    <cs:lnRef idx="0"/>
    <cs:fillRef idx="0"/>
    <cs:effectRef idx="0"/>
    <cs:fontRef idx="minor">
      <a:schemeClr val="tx2"/>
    </cs:fontRef>
  </cs:plotArea>
  <cs:plotArea3D>
    <cs:lnRef idx="0"/>
    <cs:fillRef idx="0"/>
    <cs:effectRef idx="0"/>
    <cs:fontRef idx="minor">
      <a:schemeClr val="tx2"/>
    </cs:fontRef>
  </cs:plotArea3D>
  <cs:seriesAxis>
    <cs:lnRef idx="0"/>
    <cs:fillRef idx="0"/>
    <cs:effectRef idx="0"/>
    <cs:fontRef idx="minor">
      <a:schemeClr val="tx2"/>
    </cs:fontRef>
    <cs:spPr>
      <a:ln w="9525" cap="flat" cmpd="sng" algn="ctr">
        <a:solidFill>
          <a:schemeClr val="tx2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2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2"/>
    </cs:fontRef>
    <cs:defRPr sz="1600" b="1"/>
  </cs:title>
  <cs:trendline>
    <cs:lnRef idx="0">
      <cs:styleClr val="auto"/>
    </cs:lnRef>
    <cs:fillRef idx="0"/>
    <cs:effectRef idx="0"/>
    <cs:fontRef idx="minor">
      <a:schemeClr val="tx2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2"/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2"/>
    </cs:fontRef>
    <cs:defRPr sz="900"/>
  </cs:valueAxis>
  <cs:wall>
    <cs:lnRef idx="0"/>
    <cs:fillRef idx="0"/>
    <cs:effectRef idx="0"/>
    <cs:fontRef idx="minor">
      <a:schemeClr val="tx2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mailto:asistenciatecnica@anacafe.org,%20oscar.ooo@anacafe.org?subject=Planificaci&#243;n%20y%20ejecuci&#243;n%20RS%20v%2011.3" TargetMode="External"/><Relationship Id="rId4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microsoft.com/office/2014/relationships/chartEx" Target="../charts/chartEx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2827131</xdr:colOff>
      <xdr:row>1</xdr:row>
      <xdr:rowOff>15875</xdr:rowOff>
    </xdr:from>
    <xdr:ext cx="496957" cy="450574"/>
    <xdr:pic>
      <xdr:nvPicPr>
        <xdr:cNvPr id="4" name="Gráfico 3" descr="Envelope con relleno sólido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58B61C-AB54-F84D-9A1C-5E5A3C734D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3"/>
            </a:ext>
          </a:extLst>
        </a:blip>
        <a:stretch>
          <a:fillRect/>
        </a:stretch>
      </xdr:blipFill>
      <xdr:spPr>
        <a:xfrm>
          <a:off x="11891756" y="666750"/>
          <a:ext cx="496957" cy="450574"/>
        </a:xfrm>
        <a:prstGeom prst="rect">
          <a:avLst/>
        </a:prstGeom>
      </xdr:spPr>
    </xdr:pic>
    <xdr:clientData/>
  </xdr:oneCellAnchor>
  <xdr:twoCellAnchor editAs="oneCell">
    <xdr:from>
      <xdr:col>0</xdr:col>
      <xdr:colOff>25400</xdr:colOff>
      <xdr:row>0</xdr:row>
      <xdr:rowOff>0</xdr:rowOff>
    </xdr:from>
    <xdr:to>
      <xdr:col>0</xdr:col>
      <xdr:colOff>693057</xdr:colOff>
      <xdr:row>1</xdr:row>
      <xdr:rowOff>12700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E3A82972-2193-8046-88DB-4E0CB4FD8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5400" y="0"/>
          <a:ext cx="667657" cy="660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25400</xdr:rowOff>
    </xdr:from>
    <xdr:to>
      <xdr:col>0</xdr:col>
      <xdr:colOff>1306597</xdr:colOff>
      <xdr:row>1</xdr:row>
      <xdr:rowOff>622300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4FE4E8C-CCBC-3B4B-8599-0E2D07E18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9900"/>
          <a:ext cx="1306597" cy="5969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190499</xdr:rowOff>
    </xdr:from>
    <xdr:to>
      <xdr:col>12</xdr:col>
      <xdr:colOff>1447800</xdr:colOff>
      <xdr:row>47</xdr:row>
      <xdr:rowOff>109484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7" name="Gráfico 6">
              <a:extLst>
                <a:ext uri="{FF2B5EF4-FFF2-40B4-BE49-F238E27FC236}">
                  <a16:creationId xmlns:a16="http://schemas.microsoft.com/office/drawing/2014/main" id="{80BC3770-C71A-4E7F-8549-48203140E2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2649199"/>
              <a:ext cx="22278975" cy="386233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GT" sz="1100"/>
                <a:t>Este gráfico no está disponible en su versión de Excel.
Si edita esta forma o guarda el libro en un formato de archivo diferente, el gráfico no se podrá utilizar.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701040</xdr:colOff>
      <xdr:row>2</xdr:row>
      <xdr:rowOff>58420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34523AFE-2B63-9C49-8880-E1E41BA6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1500"/>
          <a:ext cx="701040" cy="69342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8CF26F2-7581-AE40-A39E-B70EE7A4C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91068"/>
          <a:ext cx="1385761" cy="55879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A4836F-85E4-A245-A9D2-D408BF39B2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82601"/>
          <a:ext cx="1385761" cy="55879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5CB8F23-75AD-0C41-916A-49AFBD5E28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82601"/>
          <a:ext cx="1385761" cy="55879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25978AF-7FA4-FF48-B6E2-949FA98F44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82601"/>
          <a:ext cx="1385761" cy="55879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718A6ED-8144-1F4E-85B5-692FC036E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82601"/>
          <a:ext cx="1385761" cy="55879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E1517-CD74-8849-9314-4F84D07996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82601"/>
          <a:ext cx="1385761" cy="5587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D1F4614-640E-4085-8CB8-85B020FE66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A883754-BE13-4C35-9591-0248BA8ACD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25400</xdr:rowOff>
    </xdr:from>
    <xdr:to>
      <xdr:col>1</xdr:col>
      <xdr:colOff>1098060</xdr:colOff>
      <xdr:row>1</xdr:row>
      <xdr:rowOff>607482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B61DF93-5530-0348-8DD8-EF03CC08A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00"/>
          <a:ext cx="1440960" cy="582082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8D3682B-24E6-4D62-851B-74DCA7AE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E14439A-1BB7-4A40-9321-53A8682431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BE01211-E5A6-424C-ACE1-489DFA7D20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67733</xdr:colOff>
      <xdr:row>1</xdr:row>
      <xdr:rowOff>50801</xdr:rowOff>
    </xdr:from>
    <xdr:to>
      <xdr:col>0</xdr:col>
      <xdr:colOff>1453494</xdr:colOff>
      <xdr:row>1</xdr:row>
      <xdr:rowOff>609600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EEA269A-B2B4-49BC-879E-94D7B34DC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733" y="479426"/>
          <a:ext cx="1385761" cy="55879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406400</xdr:rowOff>
    </xdr:from>
    <xdr:to>
      <xdr:col>0</xdr:col>
      <xdr:colOff>701040</xdr:colOff>
      <xdr:row>2</xdr:row>
      <xdr:rowOff>20320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2848658-5E3C-094F-A67E-E122ED071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06400"/>
          <a:ext cx="701040" cy="6934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701040</xdr:colOff>
      <xdr:row>1</xdr:row>
      <xdr:rowOff>693420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4BE85EE-BF66-344B-8086-43FE9114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01040" cy="69342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355600</xdr:rowOff>
    </xdr:from>
    <xdr:to>
      <xdr:col>0</xdr:col>
      <xdr:colOff>701040</xdr:colOff>
      <xdr:row>1</xdr:row>
      <xdr:rowOff>617220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8723C04-B32C-0D43-BE7E-F3F20AA1E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600"/>
          <a:ext cx="701040" cy="6934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701040</xdr:colOff>
      <xdr:row>2</xdr:row>
      <xdr:rowOff>58420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855F59-670D-8F4B-B99D-2754C3147A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01040" cy="6934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701040</xdr:colOff>
      <xdr:row>2</xdr:row>
      <xdr:rowOff>45720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BC6FCAA-AA0B-C243-A490-0D2B09036D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01040" cy="6934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701040</xdr:colOff>
      <xdr:row>2</xdr:row>
      <xdr:rowOff>58420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8A9CC2AB-0A39-FC47-A7CB-57B03AD2D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0"/>
          <a:ext cx="701040" cy="6934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370417</xdr:rowOff>
    </xdr:from>
    <xdr:to>
      <xdr:col>0</xdr:col>
      <xdr:colOff>701040</xdr:colOff>
      <xdr:row>1</xdr:row>
      <xdr:rowOff>619337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85B00AD-C1C5-4E41-A3B4-56575FB0E0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0417"/>
          <a:ext cx="701040" cy="69342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8EEB63A-0A73-EF4A-8AF9-9F833C9FA194}" name="Ingresos" displayName="Ingresos" ref="Y4:Z6" totalsRowShown="0" headerRowDxfId="145" dataDxfId="144">
  <autoFilter ref="Y4:Z6" xr:uid="{18EEB63A-0A73-EF4A-8AF9-9F833C9FA194}"/>
  <tableColumns count="2">
    <tableColumn id="1" xr3:uid="{B92AE06F-CA6B-7C4B-AE98-2DBE69F0F0B9}" name="Columna1" dataDxfId="143"/>
    <tableColumn id="2" xr3:uid="{5DC7F486-7231-9B4D-979C-B16291270E82}" name="Cosecha_y_Poscosecha" dataDxfId="14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998631A3-2337-AC46-9379-EF144FA20DF9}" name="SMT" displayName="SMT" ref="AA4:AA6" totalsRowShown="0" headerRowDxfId="141" dataDxfId="140">
  <autoFilter ref="AA4:AA6" xr:uid="{998631A3-2337-AC46-9379-EF144FA20DF9}"/>
  <tableColumns count="1">
    <tableColumn id="1" xr3:uid="{1433089B-5FAB-3D41-967D-39F5A1668B45}" name="SMT" dataDxfId="139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592D58C-33E4-4F4A-A37E-85176DC640B9}" name="Nutrición" displayName="Nutrición" ref="AB4:AB8" totalsRowShown="0" headerRowDxfId="138" dataDxfId="137">
  <autoFilter ref="AB4:AB8" xr:uid="{0592D58C-33E4-4F4A-A37E-85176DC640B9}"/>
  <tableColumns count="1">
    <tableColumn id="1" xr3:uid="{8B2AB422-5617-DD42-93A6-BE801666B2FF}" name="Nutrición" dataDxfId="136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B1D8AA46-3310-064E-A95B-6C8EDB5155CB}" name="Manejo_de_malezas" displayName="Manejo_de_malezas" ref="AC4:AC7" totalsRowShown="0" headerRowDxfId="135" dataDxfId="134">
  <autoFilter ref="AC4:AC7" xr:uid="{B1D8AA46-3310-064E-A95B-6C8EDB5155CB}"/>
  <tableColumns count="1">
    <tableColumn id="1" xr3:uid="{7E85C654-0AF5-DD4E-9B77-8AA9A0E88FD1}" name="Manejo_de_malezas" dataDxfId="133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246456A-146D-C64D-A551-D3107A0DCAF9}" name="Prevención_de_plagas_y_enfermedades" displayName="Prevención_de_plagas_y_enfermedades" ref="AD4:AD9" totalsRowShown="0" headerRowDxfId="132" dataDxfId="131">
  <autoFilter ref="AD4:AD9" xr:uid="{F246456A-146D-C64D-A551-D3107A0DCAF9}"/>
  <tableColumns count="1">
    <tableColumn id="1" xr3:uid="{79F3C8D0-3837-2542-A8EE-81CAC2D511DF}" name="Prevención_de_plagas_y_enfermedades" dataDxfId="130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3F8A98AB-2C77-684D-854F-6844ADB6FDD7}" name="Otros_costos" displayName="Otros_costos" ref="AE4:AE10" totalsRowShown="0" headerRowDxfId="129" dataDxfId="128">
  <autoFilter ref="AE4:AE10" xr:uid="{3F8A98AB-2C77-684D-854F-6844ADB6FDD7}"/>
  <tableColumns count="1">
    <tableColumn id="1" xr3:uid="{7476A64A-B105-934A-9B05-167569522351}" name="Otros_costos" dataDxfId="127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D95DA307-94CD-DF47-BDF9-9A2FE778CDF8}" name="Renovación" displayName="Renovación" ref="AF4:AF6" totalsRowShown="0" headerRowDxfId="126" dataDxfId="125">
  <autoFilter ref="AF4:AF6" xr:uid="{D95DA307-94CD-DF47-BDF9-9A2FE778CDF8}"/>
  <tableColumns count="1">
    <tableColumn id="1" xr3:uid="{9B3CB411-9EAB-DD47-92FA-4E4773B7EBF7}" name="Renovación" dataDxfId="124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73B609-2EFC-E54A-B098-5E034CA6C656}" name="Gastos_administrativos" displayName="Gastos_administrativos" ref="AG4:AG8" totalsRowShown="0" headerRowDxfId="123" dataDxfId="122">
  <autoFilter ref="AG4:AG8" xr:uid="{1773B609-2EFC-E54A-B098-5E034CA6C656}"/>
  <tableColumns count="1">
    <tableColumn id="1" xr3:uid="{F8CA0E17-27EA-2643-B3F9-F4F1A0545A77}" name="Gastos_administrativos" dataDxfId="121">
      <calculatedColumnFormula>IF('4'!A7="","",'4'!A7)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sistenciatecnica@anacafe.org,%20oscar.ooo@anacafe.org?subject=Planificaci&#243;n%20y%20ejecuci&#243;n%20RS%20v%2011.3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C70BE-52EC-1F4A-A290-C371FA37FC87}">
  <sheetPr codeName="Hoja1"/>
  <dimension ref="A1:DC34"/>
  <sheetViews>
    <sheetView showGridLines="0" zoomScale="86" zoomScaleNormal="80" workbookViewId="0">
      <selection activeCell="B5" sqref="B5"/>
    </sheetView>
  </sheetViews>
  <sheetFormatPr baseColWidth="10" defaultColWidth="11" defaultRowHeight="17.25" x14ac:dyDescent="0.3"/>
  <cols>
    <col min="1" max="1" width="32.125" style="4" customWidth="1"/>
    <col min="2" max="2" width="47" style="4" customWidth="1"/>
    <col min="3" max="3" width="39.875" style="4" customWidth="1"/>
    <col min="4" max="4" width="45.375" style="4" customWidth="1"/>
    <col min="5" max="5" width="11.5" style="5" customWidth="1"/>
    <col min="6" max="6" width="43.125" style="5" customWidth="1"/>
    <col min="7" max="7" width="33.625" style="5" customWidth="1"/>
    <col min="8" max="8" width="11" style="5" bestFit="1"/>
    <col min="9" max="9" width="19.125" style="5" customWidth="1"/>
    <col min="10" max="10" width="10.875" style="5"/>
    <col min="11" max="26" width="10.875" style="6"/>
    <col min="27" max="107" width="11" style="6"/>
    <col min="108" max="16384" width="11" style="4"/>
  </cols>
  <sheetData>
    <row r="1" spans="1:8" ht="51" customHeight="1" thickBot="1" x14ac:dyDescent="0.35">
      <c r="A1" s="411" t="s">
        <v>0</v>
      </c>
      <c r="B1" s="412"/>
      <c r="C1" s="412"/>
      <c r="D1" s="413"/>
    </row>
    <row r="2" spans="1:8" ht="36.950000000000003" customHeight="1" thickBot="1" x14ac:dyDescent="0.35">
      <c r="A2" s="168" t="s">
        <v>4568</v>
      </c>
      <c r="B2" s="169"/>
      <c r="C2" s="169"/>
      <c r="D2" s="408" t="s">
        <v>1</v>
      </c>
      <c r="G2" s="5">
        <f>D4</f>
        <v>2023</v>
      </c>
    </row>
    <row r="3" spans="1:8" ht="38.1" customHeight="1" thickBot="1" x14ac:dyDescent="0.35">
      <c r="A3" s="167" t="s">
        <v>2</v>
      </c>
      <c r="B3" s="414"/>
      <c r="C3" s="415"/>
      <c r="D3" s="416"/>
    </row>
    <row r="4" spans="1:8" ht="38.1" customHeight="1" thickBot="1" x14ac:dyDescent="0.35">
      <c r="A4" s="10" t="s">
        <v>3</v>
      </c>
      <c r="B4" s="17"/>
      <c r="C4" s="18" t="s">
        <v>4</v>
      </c>
      <c r="D4" s="19">
        <v>2023</v>
      </c>
      <c r="E4" s="5">
        <v>3</v>
      </c>
    </row>
    <row r="5" spans="1:8" ht="38.1" customHeight="1" thickBot="1" x14ac:dyDescent="0.35">
      <c r="A5" s="10" t="s">
        <v>5</v>
      </c>
      <c r="B5" s="16">
        <v>3</v>
      </c>
      <c r="C5" s="11" t="s">
        <v>6</v>
      </c>
      <c r="D5" s="16"/>
      <c r="E5" s="5">
        <v>4</v>
      </c>
    </row>
    <row r="6" spans="1:8" ht="38.1" customHeight="1" thickBot="1" x14ac:dyDescent="0.35">
      <c r="A6" s="20" t="s">
        <v>7</v>
      </c>
      <c r="B6" s="21" t="s">
        <v>13</v>
      </c>
      <c r="C6" s="22" t="s">
        <v>9</v>
      </c>
      <c r="D6" s="21" t="s">
        <v>16</v>
      </c>
      <c r="E6" s="5">
        <v>5</v>
      </c>
    </row>
    <row r="7" spans="1:8" ht="8.1" customHeight="1" thickBot="1" x14ac:dyDescent="0.4">
      <c r="A7" s="165"/>
      <c r="B7" s="164"/>
      <c r="C7" s="164"/>
      <c r="D7" s="166"/>
      <c r="F7" s="5" t="s">
        <v>8</v>
      </c>
      <c r="G7" s="87"/>
    </row>
    <row r="8" spans="1:8" ht="38.1" customHeight="1" thickBot="1" x14ac:dyDescent="0.4">
      <c r="A8" s="14">
        <v>1</v>
      </c>
      <c r="B8" s="184" t="s">
        <v>11</v>
      </c>
      <c r="C8" s="14">
        <v>2</v>
      </c>
      <c r="D8" s="186" t="s">
        <v>12</v>
      </c>
      <c r="F8" s="5" t="s">
        <v>13</v>
      </c>
      <c r="G8" s="87"/>
    </row>
    <row r="9" spans="1:8" ht="38.1" customHeight="1" thickBot="1" x14ac:dyDescent="0.4">
      <c r="A9" s="14">
        <v>3</v>
      </c>
      <c r="B9" s="184" t="s">
        <v>14</v>
      </c>
      <c r="C9" s="14">
        <v>4</v>
      </c>
      <c r="D9" s="186" t="s">
        <v>15</v>
      </c>
      <c r="F9" s="5" t="s">
        <v>16</v>
      </c>
      <c r="G9" s="87"/>
    </row>
    <row r="10" spans="1:8" ht="44.1" customHeight="1" thickBot="1" x14ac:dyDescent="0.35">
      <c r="A10" s="14">
        <v>5</v>
      </c>
      <c r="B10" s="184" t="str">
        <f>CONCATENATE("Renovación: Costo por ",UMs,)</f>
        <v>Renovación: Costo por Manzana</v>
      </c>
      <c r="C10" s="14">
        <v>6</v>
      </c>
      <c r="D10" s="186" t="s">
        <v>17</v>
      </c>
      <c r="F10" s="5" t="s">
        <v>10</v>
      </c>
    </row>
    <row r="11" spans="1:8" ht="44.1" customHeight="1" thickBot="1" x14ac:dyDescent="0.35">
      <c r="A11" s="14">
        <v>7</v>
      </c>
      <c r="B11" s="185" t="s">
        <v>18</v>
      </c>
      <c r="C11" s="14">
        <v>8</v>
      </c>
      <c r="D11" s="186" t="s">
        <v>19</v>
      </c>
      <c r="F11" s="5">
        <f>IF(D6="Manzanas",2,1)</f>
        <v>2</v>
      </c>
    </row>
    <row r="12" spans="1:8" ht="54.95" customHeight="1" thickBot="1" x14ac:dyDescent="0.35">
      <c r="A12" s="15">
        <v>9</v>
      </c>
      <c r="B12" s="186" t="s">
        <v>20</v>
      </c>
      <c r="C12" s="14">
        <v>10</v>
      </c>
      <c r="D12" s="187" t="str">
        <f>CONCATENATE("Proyección financiera ",Año_Inicial," - ",Año_Inicial+11)</f>
        <v>Proyección financiera 2023 - 2034</v>
      </c>
      <c r="F12" s="5" t="str">
        <f>IF(UM=1,"Ha.","Mz.")</f>
        <v>Mz.</v>
      </c>
      <c r="H12" s="5">
        <v>9</v>
      </c>
    </row>
    <row r="13" spans="1:8" ht="54.95" customHeight="1" thickBot="1" x14ac:dyDescent="0.35">
      <c r="A13" s="14">
        <v>11</v>
      </c>
      <c r="B13" s="184" t="str">
        <f>CONCATENATE("Año 1 - ",Año_Inicial,"| Presupuesto y costos")</f>
        <v>Año 1 - 2023| Presupuesto y costos</v>
      </c>
      <c r="C13" s="14">
        <v>12</v>
      </c>
      <c r="D13" s="186" t="str">
        <f>CONCATENATE("Año 2 - ",Año_Inicial+1,"| Presupuesto y costos")</f>
        <v>Año 2 - 2024| Presupuesto y costos</v>
      </c>
      <c r="F13" s="5" t="str">
        <f>IF(UM=1,"Hectárea","Manzana")</f>
        <v>Manzana</v>
      </c>
      <c r="H13" s="5">
        <v>10</v>
      </c>
    </row>
    <row r="14" spans="1:8" ht="54.95" customHeight="1" thickBot="1" x14ac:dyDescent="0.35">
      <c r="A14" s="14">
        <v>13</v>
      </c>
      <c r="B14" s="184" t="str">
        <f>CONCATENATE("Año 3 - ",Año_Inicial+2,"| Presupuesto y costos")</f>
        <v>Año 3 - 2025| Presupuesto y costos</v>
      </c>
      <c r="C14" s="14">
        <v>14</v>
      </c>
      <c r="D14" s="186" t="str">
        <f>CONCATENATE("Año 4 - ",Año_Inicial+3,"| Presupuesto y costos")</f>
        <v>Año 4 - 2026| Presupuesto y costos</v>
      </c>
      <c r="H14" s="5">
        <v>11</v>
      </c>
    </row>
    <row r="15" spans="1:8" ht="54.95" customHeight="1" thickBot="1" x14ac:dyDescent="0.35">
      <c r="A15" s="14">
        <v>15</v>
      </c>
      <c r="B15" s="184" t="str">
        <f>CONCATENATE("Año 5 - ",Año_Inicial+4,"| Presupuesto y costos")</f>
        <v>Año 5 - 2027| Presupuesto y costos</v>
      </c>
      <c r="C15" s="14">
        <v>16</v>
      </c>
      <c r="D15" s="186" t="str">
        <f>CONCATENATE("Año 6 - ",Año_Inicial+5,"| Presupuesto y costos")</f>
        <v>Año 6 - 2028| Presupuesto y costos</v>
      </c>
      <c r="F15" s="5">
        <v>2022</v>
      </c>
      <c r="H15" s="5">
        <v>12</v>
      </c>
    </row>
    <row r="16" spans="1:8" ht="54.95" customHeight="1" thickBot="1" x14ac:dyDescent="0.35">
      <c r="A16" s="14">
        <v>17</v>
      </c>
      <c r="B16" s="184" t="str">
        <f>CONCATENATE("Año 7 - ",Año_Inicial+6,"| Presupuesto y costos")</f>
        <v>Año 7 - 2029| Presupuesto y costos</v>
      </c>
      <c r="C16" s="14">
        <v>18</v>
      </c>
      <c r="D16" s="186" t="str">
        <f>CONCATENATE("Año 8 - ",Año_Inicial+7,"| Presupuesto y costos")</f>
        <v>Año 8 - 2030| Presupuesto y costos</v>
      </c>
      <c r="F16" s="5">
        <f>F15+1</f>
        <v>2023</v>
      </c>
      <c r="H16" s="5">
        <v>13</v>
      </c>
    </row>
    <row r="17" spans="1:8" ht="47.1" customHeight="1" thickBot="1" x14ac:dyDescent="0.35">
      <c r="A17" s="14">
        <v>19</v>
      </c>
      <c r="B17" s="184" t="str">
        <f>CONCATENATE("Año 9 - ",Año_Inicial+8,"| Presupuesto y costos")</f>
        <v>Año 9 - 2031| Presupuesto y costos</v>
      </c>
      <c r="C17" s="14">
        <v>20</v>
      </c>
      <c r="D17" s="186" t="str">
        <f>CONCATENATE("Año 10 - ",Año_Inicial+9,"| Presupuesto y costos")</f>
        <v>Año 10 - 2032| Presupuesto y costos</v>
      </c>
      <c r="F17" s="5">
        <f t="shared" ref="F17:F34" si="0">F16+1</f>
        <v>2024</v>
      </c>
      <c r="H17" s="5">
        <v>14</v>
      </c>
    </row>
    <row r="18" spans="1:8" ht="42.95" customHeight="1" thickBot="1" x14ac:dyDescent="0.35">
      <c r="A18" s="14">
        <v>21</v>
      </c>
      <c r="B18" s="184" t="str">
        <f>CONCATENATE("Año 11 - ",Año_Inicial+10,"| Presupuesto y costos")</f>
        <v>Año 11 - 2033| Presupuesto y costos</v>
      </c>
      <c r="C18" s="14">
        <v>22</v>
      </c>
      <c r="D18" s="186" t="str">
        <f>CONCATENATE("Año 12 - ",Año_Inicial+11,"| Presupuesto y costos")</f>
        <v>Año 12 - 2034| Presupuesto y costos</v>
      </c>
      <c r="F18" s="5">
        <f t="shared" si="0"/>
        <v>2025</v>
      </c>
      <c r="H18" s="5">
        <v>15</v>
      </c>
    </row>
    <row r="19" spans="1:8" ht="41.1" customHeight="1" x14ac:dyDescent="0.3">
      <c r="F19" s="5">
        <f t="shared" si="0"/>
        <v>2026</v>
      </c>
    </row>
    <row r="20" spans="1:8" ht="42.95" customHeight="1" x14ac:dyDescent="0.3">
      <c r="F20" s="5">
        <f t="shared" si="0"/>
        <v>2027</v>
      </c>
    </row>
    <row r="21" spans="1:8" ht="42.95" customHeight="1" x14ac:dyDescent="0.3">
      <c r="F21" s="5">
        <f t="shared" si="0"/>
        <v>2028</v>
      </c>
    </row>
    <row r="22" spans="1:8" ht="23.1" customHeight="1" x14ac:dyDescent="0.3">
      <c r="F22" s="5">
        <f t="shared" si="0"/>
        <v>2029</v>
      </c>
    </row>
    <row r="23" spans="1:8" ht="23.1" customHeight="1" x14ac:dyDescent="0.3">
      <c r="F23" s="5">
        <f t="shared" si="0"/>
        <v>2030</v>
      </c>
    </row>
    <row r="24" spans="1:8" ht="23.1" customHeight="1" x14ac:dyDescent="0.3">
      <c r="F24" s="5">
        <f t="shared" si="0"/>
        <v>2031</v>
      </c>
    </row>
    <row r="25" spans="1:8" ht="23.1" customHeight="1" x14ac:dyDescent="0.3">
      <c r="F25" s="5">
        <f t="shared" si="0"/>
        <v>2032</v>
      </c>
    </row>
    <row r="26" spans="1:8" ht="23.1" customHeight="1" x14ac:dyDescent="0.3">
      <c r="F26" s="5">
        <f t="shared" si="0"/>
        <v>2033</v>
      </c>
    </row>
    <row r="27" spans="1:8" ht="23.1" customHeight="1" x14ac:dyDescent="0.3">
      <c r="F27" s="5">
        <f t="shared" si="0"/>
        <v>2034</v>
      </c>
    </row>
    <row r="28" spans="1:8" x14ac:dyDescent="0.3">
      <c r="F28" s="5">
        <f t="shared" si="0"/>
        <v>2035</v>
      </c>
    </row>
    <row r="29" spans="1:8" x14ac:dyDescent="0.3">
      <c r="F29" s="5">
        <f t="shared" si="0"/>
        <v>2036</v>
      </c>
    </row>
    <row r="30" spans="1:8" x14ac:dyDescent="0.3">
      <c r="F30" s="5">
        <f t="shared" si="0"/>
        <v>2037</v>
      </c>
    </row>
    <row r="31" spans="1:8" x14ac:dyDescent="0.3">
      <c r="F31" s="5">
        <f t="shared" si="0"/>
        <v>2038</v>
      </c>
    </row>
    <row r="32" spans="1:8" x14ac:dyDescent="0.3">
      <c r="F32" s="5">
        <f t="shared" si="0"/>
        <v>2039</v>
      </c>
    </row>
    <row r="33" spans="6:6" x14ac:dyDescent="0.3">
      <c r="F33" s="5">
        <f t="shared" si="0"/>
        <v>2040</v>
      </c>
    </row>
    <row r="34" spans="6:6" x14ac:dyDescent="0.3">
      <c r="F34" s="5">
        <f t="shared" si="0"/>
        <v>2041</v>
      </c>
    </row>
  </sheetData>
  <sheetProtection algorithmName="SHA-512" hashValue="ZsctflxFTFLpliXA68+QfQgaoOjqGLBDWNoy9WnF4fSjeBUSs9tsT20dEo27U/0TGcINYCPxSbQitqBMpAuyng==" saltValue="K7XM0X2mtH4TeO524e6gVQ==" spinCount="100000" sheet="1" objects="1" scenarios="1"/>
  <dataConsolidate/>
  <mergeCells count="2">
    <mergeCell ref="A1:D1"/>
    <mergeCell ref="B3:D3"/>
  </mergeCells>
  <phoneticPr fontId="4" type="noConversion"/>
  <conditionalFormatting sqref="B11">
    <cfRule type="expression" dxfId="120" priority="1">
      <formula>"Diseño:""Por surco"""</formula>
    </cfRule>
  </conditionalFormatting>
  <dataValidations count="4">
    <dataValidation type="list" allowBlank="1" showInputMessage="1" showErrorMessage="1" sqref="B5:C5" xr:uid="{42EDAA6F-BEF4-994F-B6CB-7BA5799932CA}">
      <formula1>$E$3:$E$6</formula1>
    </dataValidation>
    <dataValidation type="list" allowBlank="1" showInputMessage="1" showErrorMessage="1" sqref="B6" xr:uid="{94A2D585-B025-4D79-8BD0-FBEC3C01CEF8}">
      <formula1>$F$7:$F$8</formula1>
    </dataValidation>
    <dataValidation type="list" allowBlank="1" showInputMessage="1" showErrorMessage="1" sqref="A5:B5 D4" xr:uid="{82B0904A-D29A-F449-B33B-C8ADFFDF6635}">
      <formula1>$F$15:$F$34</formula1>
    </dataValidation>
    <dataValidation type="list" allowBlank="1" showInputMessage="1" showErrorMessage="1" sqref="D6" xr:uid="{6D0C2986-5814-604E-B948-5604C4878257}">
      <formula1>$F$9:$F$10</formula1>
    </dataValidation>
  </dataValidations>
  <hyperlinks>
    <hyperlink ref="D2" r:id="rId1" xr:uid="{B5F3D6AE-7779-4247-AF13-3E7ACBB80796}"/>
    <hyperlink ref="B8" location="'1'!A1" display="Lotes: Área, % efectivo, planificación de renovación" xr:uid="{AB33A349-13CC-F54B-8104-91DCAB78BA2F}"/>
    <hyperlink ref="D8" location="'2'!A1" display="Precios: Costo de mano de obra e insumos, precios de venta, inflación interanual" xr:uid="{84ABB40A-5002-A843-AFCC-8F1BBA70DA61}"/>
    <hyperlink ref="B9" location="'3'!A1" display="Programa agronómico por tipo de plantación" xr:uid="{4404A32B-40CD-C14D-8B1C-4F0B808B0814}"/>
    <hyperlink ref="D9" location="'4'!A1" display="Gastos administrativos anuales" xr:uid="{809C365D-8E0C-864A-B71C-450F2763246C}"/>
    <hyperlink ref="B10" location="'5'!A1" display="'5'!A1" xr:uid="{33557591-6DDE-6D4E-907E-FD70BE7D42D0}"/>
    <hyperlink ref="D10" location="'6'!A1" display="Diseño en bloque" xr:uid="{7B5AD50A-7415-1D43-83A0-DAC600A55440}"/>
    <hyperlink ref="B11" location="'7'!A1" display="Diseño en surco" xr:uid="{4CD73961-58A8-4B0F-9107-F4BC3A5E2757}"/>
    <hyperlink ref="D11" location="'8'!A1" display="Plan de inversiones" xr:uid="{42D4D7D5-ECEF-4445-A1A8-2115EC6F10D0}"/>
    <hyperlink ref="B13" location="'11'!A1" display="'11'!A1" xr:uid="{7B870CF8-C00F-9B4F-8BC3-1910C9AD8E95}"/>
    <hyperlink ref="D12" location="'10'!A1" display="'10'!A1" xr:uid="{AC29B5AD-B210-5148-9964-19F7AFC8B130}"/>
    <hyperlink ref="B12" location="'9'!A1" display="Registro de costos" xr:uid="{B6F50642-C7B6-564D-A8B0-D81AABEAA6FF}"/>
    <hyperlink ref="D13" location="'12'!A1" display="'12'!A1" xr:uid="{5C51ABD0-84CD-154A-A364-CB80A8F3BFC8}"/>
    <hyperlink ref="B14" location="'13'!A1" display="'13'!A1" xr:uid="{B36F225F-6033-EF4C-827A-3034F8916833}"/>
    <hyperlink ref="D14" location="'14'!A1" display="'14'!A1" xr:uid="{E57D4EF4-4AF8-0443-8906-EBF53C10E353}"/>
    <hyperlink ref="B15" location="'15'!A1" display="'15'!A1" xr:uid="{7F2391E5-FF84-B84A-BB56-D4D22B24E9D3}"/>
    <hyperlink ref="D15" location="'16'!A1" display="'16'!A1" xr:uid="{C044B65B-660A-3146-A9AB-27DB3DAD3BF9}"/>
    <hyperlink ref="B16" location="'17'!A1" display="'17'!A1" xr:uid="{7358370B-5F1C-FD48-98A2-B39468DF6369}"/>
    <hyperlink ref="D16" location="'18'!A1" display="'18'!A1" xr:uid="{49EFDE11-177F-224C-B9D5-D4ED7BBF9B96}"/>
    <hyperlink ref="B17" location="'19'!A1" display="'19'!A1" xr:uid="{9803F18E-7665-8D40-8537-BF8E4862E47D}"/>
    <hyperlink ref="D17" location="'20'!A1" display="'20'!A1" xr:uid="{0357CABB-B27E-FB46-A1C5-C1BE011CDD72}"/>
    <hyperlink ref="B18" location="'21'!A1" display="'21'!A1" xr:uid="{912AACDC-C5B0-DA45-9D2C-2047902414FA}"/>
    <hyperlink ref="D18" location="'22'!A1" display="'22'!A1" xr:uid="{B96FCC50-3202-944F-AADE-42026912ED07}"/>
  </hyperlinks>
  <pageMargins left="0.7" right="0.7" top="0.75" bottom="0.75" header="0.3" footer="0.3"/>
  <pageSetup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77621-6EB4-A248-9683-24CB0F0E2C20}">
  <sheetPr codeName="Hoja5"/>
  <dimension ref="A1:NV160"/>
  <sheetViews>
    <sheetView showGridLines="0" workbookViewId="0">
      <pane xSplit="2" ySplit="3" topLeftCell="C37" activePane="bottomRight" state="frozen"/>
      <selection pane="topRight" activeCell="C1" sqref="C1"/>
      <selection pane="bottomLeft" activeCell="A2" sqref="A2"/>
      <selection pane="bottomRight" activeCell="B42" sqref="B42"/>
    </sheetView>
  </sheetViews>
  <sheetFormatPr baseColWidth="10" defaultColWidth="10.875" defaultRowHeight="15.75" x14ac:dyDescent="0.25"/>
  <cols>
    <col min="1" max="1" width="10.875" style="1"/>
    <col min="2" max="169" width="10.875" style="1" customWidth="1"/>
    <col min="170" max="184" width="10.875" style="1"/>
    <col min="185" max="185" width="10.875" style="1" customWidth="1"/>
    <col min="186" max="186" width="10.875" style="1"/>
    <col min="187" max="187" width="10.875" style="1" customWidth="1"/>
    <col min="188" max="188" width="10.875" style="1"/>
    <col min="189" max="189" width="10.875" style="1" customWidth="1"/>
    <col min="190" max="190" width="10.875" style="1"/>
    <col min="191" max="191" width="10.875" style="1" customWidth="1"/>
    <col min="192" max="192" width="10.875" style="1"/>
    <col min="193" max="193" width="10.875" style="1" customWidth="1"/>
    <col min="194" max="194" width="10.875" style="1"/>
    <col min="195" max="195" width="10.875" style="1" customWidth="1"/>
    <col min="196" max="196" width="10.875" style="1"/>
    <col min="197" max="197" width="10.875" style="1" customWidth="1"/>
    <col min="198" max="198" width="10.875" style="1"/>
    <col min="199" max="199" width="10.875" style="1" customWidth="1"/>
    <col min="200" max="200" width="10.875" style="1"/>
    <col min="201" max="201" width="10.875" style="1" customWidth="1"/>
    <col min="202" max="202" width="10.875" style="1"/>
    <col min="203" max="203" width="10.875" style="1" customWidth="1"/>
    <col min="204" max="204" width="10.875" style="1"/>
    <col min="205" max="205" width="10.875" style="1" customWidth="1"/>
    <col min="206" max="206" width="10.875" style="1"/>
    <col min="207" max="207" width="10.875" style="1" customWidth="1"/>
    <col min="208" max="208" width="10.875" style="1"/>
    <col min="209" max="209" width="10.875" style="1" customWidth="1"/>
    <col min="210" max="210" width="10.875" style="1"/>
    <col min="211" max="211" width="10.875" style="1" customWidth="1"/>
    <col min="212" max="212" width="10.875" style="1"/>
    <col min="213" max="213" width="10.875" style="1" customWidth="1"/>
    <col min="214" max="214" width="10.875" style="1"/>
    <col min="215" max="215" width="10.875" style="1" customWidth="1"/>
    <col min="216" max="216" width="10.875" style="1"/>
    <col min="217" max="217" width="10.875" style="1" customWidth="1"/>
    <col min="218" max="218" width="10.875" style="1"/>
    <col min="219" max="219" width="10.875" style="1" customWidth="1"/>
    <col min="220" max="220" width="10.875" style="1"/>
    <col min="221" max="221" width="10.875" style="1" customWidth="1"/>
    <col min="222" max="222" width="10.875" style="1"/>
    <col min="223" max="223" width="10.875" style="1" customWidth="1"/>
    <col min="224" max="224" width="10.875" style="1"/>
    <col min="225" max="225" width="10.875" style="1" customWidth="1"/>
    <col min="226" max="226" width="10.875" style="1"/>
    <col min="227" max="227" width="10.875" style="1" customWidth="1"/>
    <col min="228" max="228" width="10.875" style="1"/>
    <col min="229" max="229" width="10.875" style="1" customWidth="1"/>
    <col min="230" max="230" width="10.875" style="1"/>
    <col min="231" max="231" width="10.875" style="1" customWidth="1"/>
    <col min="232" max="232" width="10.875" style="1"/>
    <col min="233" max="233" width="10.875" style="1" customWidth="1"/>
    <col min="234" max="234" width="10.875" style="1"/>
    <col min="235" max="235" width="10.875" style="1" customWidth="1"/>
    <col min="236" max="236" width="10.875" style="1"/>
    <col min="237" max="237" width="10.875" style="1" customWidth="1"/>
    <col min="238" max="238" width="10.875" style="1"/>
    <col min="239" max="239" width="10.875" style="1" customWidth="1"/>
    <col min="240" max="240" width="10.875" style="1"/>
    <col min="241" max="241" width="10.875" style="1" customWidth="1"/>
    <col min="242" max="242" width="10.875" style="1"/>
    <col min="243" max="243" width="10.875" style="1" customWidth="1"/>
    <col min="244" max="244" width="10.875" style="1"/>
    <col min="245" max="245" width="10.875" style="1" customWidth="1"/>
    <col min="246" max="246" width="10.875" style="1"/>
    <col min="247" max="247" width="10.875" style="1" customWidth="1"/>
    <col min="248" max="248" width="10.875" style="1"/>
    <col min="249" max="249" width="10.875" style="1" customWidth="1"/>
    <col min="250" max="250" width="10.875" style="1"/>
    <col min="251" max="251" width="10.875" style="1" customWidth="1"/>
    <col min="252" max="252" width="10.875" style="1"/>
    <col min="253" max="253" width="10.875" style="1" customWidth="1"/>
    <col min="254" max="254" width="10.875" style="1"/>
    <col min="255" max="255" width="10.875" style="1" customWidth="1"/>
    <col min="256" max="256" width="10.875" style="1"/>
    <col min="257" max="257" width="10.875" style="1" customWidth="1"/>
    <col min="258" max="258" width="10.875" style="1"/>
    <col min="259" max="259" width="10.875" style="1" customWidth="1"/>
    <col min="260" max="260" width="10.875" style="1"/>
    <col min="261" max="261" width="10.875" style="1" customWidth="1"/>
    <col min="262" max="262" width="10.875" style="1"/>
    <col min="263" max="263" width="10.875" style="1" customWidth="1"/>
    <col min="264" max="264" width="10.875" style="1"/>
    <col min="265" max="265" width="10.875" style="1" customWidth="1"/>
    <col min="266" max="266" width="10.875" style="1"/>
    <col min="267" max="267" width="10.875" style="1" customWidth="1"/>
    <col min="268" max="268" width="10.875" style="1"/>
    <col min="269" max="269" width="10.875" style="1" customWidth="1"/>
    <col min="270" max="270" width="10.875" style="1"/>
    <col min="271" max="271" width="10.875" style="1" customWidth="1"/>
    <col min="272" max="272" width="10.875" style="1"/>
    <col min="273" max="273" width="10.875" style="1" customWidth="1"/>
    <col min="274" max="274" width="10.875" style="1"/>
    <col min="275" max="275" width="10.875" style="1" customWidth="1"/>
    <col min="276" max="276" width="10.875" style="1"/>
    <col min="277" max="277" width="10.875" style="1" customWidth="1"/>
    <col min="278" max="278" width="10.875" style="1"/>
    <col min="279" max="279" width="10.875" style="1" customWidth="1"/>
    <col min="280" max="280" width="10.875" style="1"/>
    <col min="281" max="281" width="10.875" style="1" customWidth="1"/>
    <col min="282" max="282" width="10.875" style="1"/>
    <col min="283" max="283" width="10.875" style="1" customWidth="1"/>
    <col min="284" max="284" width="10.875" style="1"/>
    <col min="285" max="285" width="10.875" style="1" customWidth="1"/>
    <col min="286" max="286" width="10.875" style="1"/>
    <col min="287" max="287" width="10.875" style="1" customWidth="1"/>
    <col min="288" max="288" width="10.875" style="1"/>
    <col min="289" max="289" width="10.875" style="1" customWidth="1"/>
    <col min="290" max="290" width="10.875" style="1"/>
    <col min="291" max="291" width="10.875" style="1" customWidth="1"/>
    <col min="292" max="292" width="10.875" style="1"/>
    <col min="293" max="293" width="10.875" style="1" customWidth="1"/>
    <col min="294" max="294" width="10.875" style="1"/>
    <col min="295" max="295" width="10.875" style="1" customWidth="1"/>
    <col min="296" max="296" width="10.875" style="1"/>
    <col min="297" max="297" width="10.875" style="1" customWidth="1"/>
    <col min="298" max="298" width="10.875" style="1"/>
    <col min="299" max="299" width="10.875" style="1" customWidth="1"/>
    <col min="300" max="300" width="10.875" style="1"/>
    <col min="301" max="301" width="10.875" style="1" customWidth="1"/>
    <col min="302" max="302" width="10.875" style="1"/>
    <col min="303" max="303" width="10.875" style="1" customWidth="1"/>
    <col min="304" max="304" width="10.875" style="1"/>
    <col min="305" max="305" width="10.875" style="1" customWidth="1"/>
    <col min="306" max="306" width="10.875" style="1"/>
    <col min="307" max="307" width="10.875" style="1" customWidth="1"/>
    <col min="308" max="308" width="10.875" style="1"/>
    <col min="309" max="309" width="10.875" style="1" customWidth="1"/>
    <col min="310" max="310" width="10.875" style="1"/>
    <col min="311" max="311" width="10.875" style="1" customWidth="1"/>
    <col min="312" max="312" width="10.875" style="1"/>
    <col min="313" max="313" width="10.875" style="1" customWidth="1"/>
    <col min="314" max="314" width="10.875" style="1"/>
    <col min="315" max="315" width="10.875" style="1" customWidth="1"/>
    <col min="316" max="316" width="10.875" style="1"/>
    <col min="317" max="317" width="10.875" style="1" customWidth="1"/>
    <col min="318" max="318" width="10.875" style="1"/>
    <col min="319" max="319" width="10.875" style="1" customWidth="1"/>
    <col min="320" max="320" width="10.875" style="1"/>
    <col min="321" max="321" width="10.875" style="1" customWidth="1"/>
    <col min="322" max="322" width="10.875" style="1"/>
    <col min="323" max="323" width="10.875" style="1" customWidth="1"/>
    <col min="324" max="324" width="10.875" style="1"/>
    <col min="325" max="325" width="10.875" style="1" customWidth="1"/>
    <col min="326" max="326" width="10.875" style="1"/>
    <col min="327" max="327" width="10.875" style="1" customWidth="1"/>
    <col min="328" max="328" width="10.875" style="1"/>
    <col min="329" max="329" width="10.875" style="1" customWidth="1"/>
    <col min="330" max="330" width="10.875" style="1"/>
    <col min="331" max="331" width="10.875" style="1" customWidth="1"/>
    <col min="332" max="332" width="10.875" style="1"/>
    <col min="333" max="333" width="10.875" style="1" customWidth="1"/>
    <col min="334" max="334" width="10.875" style="1"/>
    <col min="335" max="335" width="10.875" style="1" customWidth="1"/>
    <col min="336" max="336" width="10.875" style="1"/>
    <col min="337" max="337" width="10.875" style="1" customWidth="1"/>
    <col min="338" max="16384" width="10.875" style="1"/>
  </cols>
  <sheetData>
    <row r="1" spans="1:386" x14ac:dyDescent="0.25">
      <c r="FO1" s="1" t="s">
        <v>304</v>
      </c>
      <c r="FQ1" s="1" t="s">
        <v>305</v>
      </c>
      <c r="FS1" s="1" t="s">
        <v>306</v>
      </c>
      <c r="FU1" s="1" t="s">
        <v>307</v>
      </c>
      <c r="FW1" s="1" t="s">
        <v>308</v>
      </c>
      <c r="FY1" s="1" t="s">
        <v>309</v>
      </c>
      <c r="GA1" s="1" t="s">
        <v>310</v>
      </c>
      <c r="GC1" s="1" t="s">
        <v>311</v>
      </c>
      <c r="GE1" s="1" t="s">
        <v>312</v>
      </c>
      <c r="GG1" s="1" t="s">
        <v>313</v>
      </c>
      <c r="GI1" s="1" t="s">
        <v>314</v>
      </c>
      <c r="GK1" s="1" t="s">
        <v>315</v>
      </c>
      <c r="GM1" s="1" t="s">
        <v>316</v>
      </c>
      <c r="GO1" s="1" t="s">
        <v>317</v>
      </c>
      <c r="GQ1" s="1" t="s">
        <v>318</v>
      </c>
      <c r="GS1" s="1" t="s">
        <v>319</v>
      </c>
      <c r="GU1" s="1" t="s">
        <v>320</v>
      </c>
      <c r="GW1" s="1" t="s">
        <v>321</v>
      </c>
      <c r="GY1" s="1" t="s">
        <v>322</v>
      </c>
      <c r="HA1" s="1" t="s">
        <v>323</v>
      </c>
      <c r="HC1" s="1" t="s">
        <v>324</v>
      </c>
      <c r="HE1" s="1" t="s">
        <v>325</v>
      </c>
      <c r="HG1" s="1" t="s">
        <v>326</v>
      </c>
      <c r="HI1" s="1" t="s">
        <v>327</v>
      </c>
      <c r="HK1" s="1" t="s">
        <v>328</v>
      </c>
      <c r="HM1" s="1" t="s">
        <v>329</v>
      </c>
      <c r="HO1" s="1" t="s">
        <v>330</v>
      </c>
      <c r="HQ1" s="1" t="s">
        <v>331</v>
      </c>
      <c r="HS1" s="1" t="s">
        <v>332</v>
      </c>
      <c r="HU1" s="1" t="s">
        <v>333</v>
      </c>
      <c r="HW1" s="1" t="s">
        <v>334</v>
      </c>
      <c r="HY1" s="1" t="s">
        <v>335</v>
      </c>
      <c r="IA1" s="1" t="s">
        <v>336</v>
      </c>
      <c r="IC1" s="1" t="s">
        <v>337</v>
      </c>
      <c r="IE1" s="1" t="s">
        <v>338</v>
      </c>
      <c r="IG1" s="1" t="s">
        <v>339</v>
      </c>
      <c r="II1" s="1" t="s">
        <v>340</v>
      </c>
      <c r="IK1" s="1" t="s">
        <v>341</v>
      </c>
      <c r="IM1" s="1" t="s">
        <v>342</v>
      </c>
      <c r="IO1" s="1" t="s">
        <v>343</v>
      </c>
      <c r="IQ1" s="1" t="s">
        <v>344</v>
      </c>
      <c r="IS1" s="1" t="s">
        <v>345</v>
      </c>
      <c r="IU1" s="1" t="s">
        <v>346</v>
      </c>
      <c r="IW1" s="1" t="s">
        <v>347</v>
      </c>
      <c r="IY1" s="1" t="s">
        <v>348</v>
      </c>
      <c r="JA1" s="1" t="s">
        <v>349</v>
      </c>
      <c r="JC1" s="1" t="s">
        <v>350</v>
      </c>
      <c r="JE1" s="1" t="s">
        <v>351</v>
      </c>
      <c r="JG1" s="1" t="s">
        <v>352</v>
      </c>
      <c r="JI1" s="1" t="s">
        <v>353</v>
      </c>
      <c r="JK1" s="1" t="s">
        <v>354</v>
      </c>
      <c r="JM1" s="1" t="s">
        <v>355</v>
      </c>
      <c r="JO1" s="1" t="s">
        <v>356</v>
      </c>
      <c r="JQ1" s="1" t="s">
        <v>357</v>
      </c>
      <c r="JS1" s="1" t="s">
        <v>358</v>
      </c>
      <c r="JU1" s="1" t="s">
        <v>359</v>
      </c>
      <c r="JW1" s="1" t="s">
        <v>360</v>
      </c>
      <c r="JY1" s="1" t="s">
        <v>361</v>
      </c>
      <c r="KA1" s="1" t="s">
        <v>362</v>
      </c>
      <c r="KC1" s="1" t="s">
        <v>363</v>
      </c>
      <c r="KE1" s="1" t="s">
        <v>364</v>
      </c>
      <c r="KG1" s="1" t="s">
        <v>365</v>
      </c>
      <c r="KI1" s="1" t="s">
        <v>366</v>
      </c>
      <c r="KK1" s="1" t="s">
        <v>367</v>
      </c>
      <c r="KM1" s="1" t="s">
        <v>368</v>
      </c>
      <c r="KO1" s="1" t="s">
        <v>369</v>
      </c>
      <c r="KQ1" s="1" t="s">
        <v>370</v>
      </c>
      <c r="KS1" s="1" t="s">
        <v>371</v>
      </c>
      <c r="KU1" s="1" t="s">
        <v>372</v>
      </c>
      <c r="KW1" s="1" t="s">
        <v>373</v>
      </c>
      <c r="KY1" s="1" t="s">
        <v>374</v>
      </c>
      <c r="LA1" s="1" t="s">
        <v>375</v>
      </c>
      <c r="LC1" s="1" t="s">
        <v>376</v>
      </c>
      <c r="LE1" s="1" t="s">
        <v>377</v>
      </c>
      <c r="LG1" s="1" t="s">
        <v>378</v>
      </c>
      <c r="LI1" s="1" t="s">
        <v>379</v>
      </c>
      <c r="LK1" s="1" t="s">
        <v>380</v>
      </c>
      <c r="LM1" s="1" t="s">
        <v>381</v>
      </c>
      <c r="LO1" s="1" t="s">
        <v>382</v>
      </c>
      <c r="LQ1" s="1" t="s">
        <v>383</v>
      </c>
      <c r="LS1" s="1" t="s">
        <v>384</v>
      </c>
      <c r="LU1" s="1" t="s">
        <v>385</v>
      </c>
      <c r="LW1" s="1" t="s">
        <v>386</v>
      </c>
      <c r="LY1" s="1" t="s">
        <v>387</v>
      </c>
    </row>
    <row r="2" spans="1:386" x14ac:dyDescent="0.25">
      <c r="FO2" s="1">
        <f>SUM(FO4:FO43)</f>
        <v>0</v>
      </c>
      <c r="FQ2" s="1">
        <f>SUM(FQ4:FQ43)</f>
        <v>0</v>
      </c>
      <c r="FS2" s="1">
        <f>SUM(FS4:FS43)</f>
        <v>0</v>
      </c>
      <c r="FU2" s="1">
        <f>SUM(FU4:FU43)</f>
        <v>7000</v>
      </c>
      <c r="FW2" s="1">
        <f>SUM(FW4:FW43)</f>
        <v>0</v>
      </c>
      <c r="FY2" s="1">
        <f>SUM(FY4:FY43)</f>
        <v>0</v>
      </c>
      <c r="GA2" s="1">
        <f>SUM(GA4:GA43)</f>
        <v>0</v>
      </c>
      <c r="GC2" s="1">
        <f>SUM(GC4:GC43)</f>
        <v>0</v>
      </c>
      <c r="GE2" s="1">
        <f>SUM(GE4:GE43)</f>
        <v>0</v>
      </c>
      <c r="GG2" s="1">
        <f>SUM(GG4:GG43)</f>
        <v>0</v>
      </c>
      <c r="GI2" s="1">
        <f>SUM(GI4:GI43)</f>
        <v>7000</v>
      </c>
      <c r="GK2" s="1">
        <f>SUM(GK4:GK43)</f>
        <v>0</v>
      </c>
      <c r="GM2" s="1">
        <f>SUM(GM4:GM43)</f>
        <v>0</v>
      </c>
      <c r="GO2" s="1">
        <f>SUM(GO4:GO43)</f>
        <v>0</v>
      </c>
      <c r="GQ2" s="1">
        <f>SUM(GQ4:GQ43)</f>
        <v>0</v>
      </c>
      <c r="GS2" s="1">
        <f>SUM(GS4:GS43)</f>
        <v>0</v>
      </c>
      <c r="GU2" s="1">
        <f>SUM(GU4:GU43)</f>
        <v>0</v>
      </c>
      <c r="GW2" s="1">
        <f>SUM(GW4:GW43)</f>
        <v>7000</v>
      </c>
      <c r="GY2" s="1">
        <f>SUM(GY4:GY43)</f>
        <v>0</v>
      </c>
      <c r="HA2" s="1">
        <f>SUM(HA4:HA43)</f>
        <v>0</v>
      </c>
      <c r="HC2" s="1">
        <f>SUM(HC4:HC43)</f>
        <v>0</v>
      </c>
      <c r="HE2" s="1">
        <f>SUM(HE4:HE43)</f>
        <v>0</v>
      </c>
      <c r="HG2" s="1">
        <f>SUM(HG4:HG43)</f>
        <v>0</v>
      </c>
      <c r="HI2" s="1">
        <f>SUM(HI4:HI43)</f>
        <v>0</v>
      </c>
      <c r="HK2" s="1">
        <f>SUM(HK4:HK43)</f>
        <v>7000</v>
      </c>
      <c r="HM2" s="1">
        <f>SUM(HM4:HM43)</f>
        <v>0</v>
      </c>
      <c r="HO2" s="1">
        <f>SUM(HO4:HO43)</f>
        <v>0</v>
      </c>
      <c r="HQ2" s="1">
        <f>SUM(HQ4:HQ43)</f>
        <v>0</v>
      </c>
      <c r="HS2" s="1">
        <f>SUM(HS4:HS43)</f>
        <v>0</v>
      </c>
      <c r="HU2" s="1">
        <f>SUM(HU4:HU43)</f>
        <v>0</v>
      </c>
      <c r="HW2" s="1">
        <f>SUM(HW4:HW43)</f>
        <v>0</v>
      </c>
      <c r="HY2" s="1">
        <f>SUM(HY4:HY43)</f>
        <v>7000</v>
      </c>
      <c r="IA2" s="1">
        <f>SUM(IA4:IA43)</f>
        <v>0</v>
      </c>
      <c r="IC2" s="1">
        <f>SUM(IC4:IC43)</f>
        <v>0</v>
      </c>
      <c r="IE2" s="1">
        <f>SUM(IE4:IE43)</f>
        <v>0</v>
      </c>
      <c r="IG2" s="1">
        <f>SUM(IG4:IG43)</f>
        <v>0</v>
      </c>
      <c r="II2" s="1">
        <f>SUM(II4:II43)</f>
        <v>0</v>
      </c>
      <c r="IK2" s="1">
        <f>SUM(IK4:IK43)</f>
        <v>0</v>
      </c>
      <c r="IM2" s="1">
        <f>SUM(IM4:IM43)</f>
        <v>7000</v>
      </c>
      <c r="IO2" s="1">
        <f>SUM(IO4:IO43)</f>
        <v>0</v>
      </c>
      <c r="IQ2" s="1">
        <f>SUM(IQ4:IQ43)</f>
        <v>0</v>
      </c>
      <c r="IS2" s="1">
        <f>SUM(IS4:IS43)</f>
        <v>0</v>
      </c>
      <c r="IU2" s="1">
        <f>SUM(IU4:IU43)</f>
        <v>0</v>
      </c>
      <c r="IW2" s="1">
        <f>SUM(IW4:IW43)</f>
        <v>0</v>
      </c>
      <c r="IY2" s="1">
        <f>SUM(IY4:IY43)</f>
        <v>0</v>
      </c>
      <c r="JA2" s="1">
        <f>SUM(JA4:JA43)</f>
        <v>7000</v>
      </c>
      <c r="JC2" s="1">
        <f>SUM(JC4:JC43)</f>
        <v>0</v>
      </c>
      <c r="JE2" s="1">
        <f>SUM(JE4:JE43)</f>
        <v>0</v>
      </c>
      <c r="JG2" s="1">
        <f>SUM(JG4:JG43)</f>
        <v>0</v>
      </c>
      <c r="JI2" s="1">
        <f>SUM(JI4:JI43)</f>
        <v>0</v>
      </c>
      <c r="JK2" s="1">
        <f>SUM(JK4:JK43)</f>
        <v>0</v>
      </c>
      <c r="JM2" s="1">
        <f>SUM(JM4:JM43)</f>
        <v>0</v>
      </c>
      <c r="JO2" s="1">
        <f>SUM(JO4:JO43)</f>
        <v>7000</v>
      </c>
      <c r="JQ2" s="1">
        <f>SUM(JQ4:JQ43)</f>
        <v>0</v>
      </c>
      <c r="JS2" s="1">
        <f>SUM(JS4:JS43)</f>
        <v>0</v>
      </c>
      <c r="JU2" s="1">
        <f>SUM(JU4:JU43)</f>
        <v>0</v>
      </c>
      <c r="JW2" s="1">
        <f>SUM(JW4:JW43)</f>
        <v>0</v>
      </c>
      <c r="JY2" s="1">
        <f>SUM(JY4:JY43)</f>
        <v>0</v>
      </c>
      <c r="KA2" s="1">
        <f>SUM(KA4:KA43)</f>
        <v>0</v>
      </c>
      <c r="KC2" s="1">
        <f>SUM(KC4:KC43)</f>
        <v>7000</v>
      </c>
      <c r="KE2" s="1">
        <f>SUM(KE4:KE43)</f>
        <v>0</v>
      </c>
      <c r="KG2" s="1">
        <f>SUM(KG4:KG43)</f>
        <v>0</v>
      </c>
      <c r="KI2" s="1">
        <f>SUM(KI4:KI43)</f>
        <v>0</v>
      </c>
      <c r="KK2" s="1">
        <f>SUM(KK4:KK43)</f>
        <v>0</v>
      </c>
      <c r="KM2" s="1">
        <f>SUM(KM4:KM43)</f>
        <v>0</v>
      </c>
      <c r="KO2" s="1">
        <f>SUM(KO4:KO43)</f>
        <v>0</v>
      </c>
      <c r="KQ2" s="1">
        <f>SUM(KQ4:KQ43)</f>
        <v>7000</v>
      </c>
      <c r="KS2" s="1">
        <f>SUM(KS4:KS43)</f>
        <v>0</v>
      </c>
      <c r="KU2" s="1">
        <f>SUM(KU4:KU43)</f>
        <v>0</v>
      </c>
      <c r="KW2" s="1">
        <f>SUM(KW4:KW43)</f>
        <v>0</v>
      </c>
      <c r="KY2" s="1">
        <f>SUM(KY4:KY43)</f>
        <v>0</v>
      </c>
      <c r="LA2" s="1">
        <f>SUM(LA4:LA43)</f>
        <v>0</v>
      </c>
      <c r="LC2" s="1">
        <f>SUM(LC4:LC43)</f>
        <v>0</v>
      </c>
      <c r="LE2" s="1">
        <f>SUM(LE4:LE43)</f>
        <v>7000</v>
      </c>
      <c r="LG2" s="1">
        <f>SUM(LG4:LG43)</f>
        <v>0</v>
      </c>
      <c r="LI2" s="1">
        <f>SUM(LI4:LI43)</f>
        <v>0</v>
      </c>
      <c r="LK2" s="1">
        <f>SUM(LK4:LK43)</f>
        <v>0</v>
      </c>
      <c r="LM2" s="1">
        <f>SUM(LM4:LM43)</f>
        <v>0</v>
      </c>
      <c r="LO2" s="1">
        <f>SUM(LO4:LO43)</f>
        <v>0</v>
      </c>
      <c r="LQ2" s="1">
        <f>SUM(LQ4:LQ43)</f>
        <v>0</v>
      </c>
      <c r="LS2" s="1">
        <f>SUM(LS4:LS43)</f>
        <v>7000</v>
      </c>
      <c r="LU2" s="1">
        <f>SUM(LU4:LU43)</f>
        <v>0</v>
      </c>
      <c r="LW2" s="1">
        <f>SUM(LW4:LW43)</f>
        <v>0</v>
      </c>
      <c r="LY2" s="1">
        <f>SUM(LY4:LY43)</f>
        <v>0</v>
      </c>
    </row>
    <row r="3" spans="1:386" customFormat="1" x14ac:dyDescent="0.25">
      <c r="A3" t="s">
        <v>388</v>
      </c>
      <c r="B3" t="s">
        <v>389</v>
      </c>
      <c r="C3" t="s">
        <v>390</v>
      </c>
      <c r="D3" t="s">
        <v>391</v>
      </c>
      <c r="E3" t="s">
        <v>392</v>
      </c>
      <c r="F3" t="s">
        <v>393</v>
      </c>
      <c r="G3" t="s">
        <v>394</v>
      </c>
      <c r="H3" t="s">
        <v>395</v>
      </c>
      <c r="I3" t="s">
        <v>396</v>
      </c>
      <c r="J3" t="s">
        <v>397</v>
      </c>
      <c r="K3" t="s">
        <v>398</v>
      </c>
      <c r="L3" t="s">
        <v>399</v>
      </c>
      <c r="M3" t="s">
        <v>400</v>
      </c>
      <c r="N3" t="s">
        <v>401</v>
      </c>
      <c r="O3" t="s">
        <v>402</v>
      </c>
      <c r="P3" t="s">
        <v>403</v>
      </c>
      <c r="Q3" t="s">
        <v>404</v>
      </c>
      <c r="R3" t="s">
        <v>405</v>
      </c>
      <c r="S3" t="s">
        <v>406</v>
      </c>
      <c r="T3" t="s">
        <v>407</v>
      </c>
      <c r="U3" t="s">
        <v>408</v>
      </c>
      <c r="V3" t="s">
        <v>409</v>
      </c>
      <c r="W3" t="s">
        <v>410</v>
      </c>
      <c r="X3" t="s">
        <v>411</v>
      </c>
      <c r="Y3" t="s">
        <v>412</v>
      </c>
      <c r="Z3" t="s">
        <v>413</v>
      </c>
      <c r="AA3" t="s">
        <v>414</v>
      </c>
      <c r="AB3" t="s">
        <v>415</v>
      </c>
      <c r="AC3" t="s">
        <v>416</v>
      </c>
      <c r="AD3" t="s">
        <v>417</v>
      </c>
      <c r="AE3" t="s">
        <v>418</v>
      </c>
      <c r="AF3" t="s">
        <v>419</v>
      </c>
      <c r="AG3" t="s">
        <v>420</v>
      </c>
      <c r="AH3" t="s">
        <v>421</v>
      </c>
      <c r="AI3" t="s">
        <v>422</v>
      </c>
      <c r="AJ3" t="s">
        <v>423</v>
      </c>
      <c r="AK3" t="s">
        <v>424</v>
      </c>
      <c r="AL3" t="s">
        <v>425</v>
      </c>
      <c r="AM3" t="s">
        <v>426</v>
      </c>
      <c r="AN3" t="s">
        <v>427</v>
      </c>
      <c r="AO3" t="s">
        <v>428</v>
      </c>
      <c r="AP3" t="s">
        <v>429</v>
      </c>
      <c r="AQ3" t="s">
        <v>430</v>
      </c>
      <c r="AR3" t="s">
        <v>431</v>
      </c>
      <c r="AS3" t="s">
        <v>432</v>
      </c>
      <c r="AT3" t="s">
        <v>433</v>
      </c>
      <c r="AU3" t="s">
        <v>434</v>
      </c>
      <c r="AV3" t="s">
        <v>435</v>
      </c>
      <c r="AW3" t="s">
        <v>436</v>
      </c>
      <c r="AX3" t="s">
        <v>437</v>
      </c>
      <c r="AY3" t="s">
        <v>438</v>
      </c>
      <c r="AZ3" t="s">
        <v>439</v>
      </c>
      <c r="BA3" t="s">
        <v>440</v>
      </c>
      <c r="BB3" t="s">
        <v>441</v>
      </c>
      <c r="BC3" t="s">
        <v>442</v>
      </c>
      <c r="BD3" t="s">
        <v>443</v>
      </c>
      <c r="BE3" t="s">
        <v>444</v>
      </c>
      <c r="BF3" t="s">
        <v>445</v>
      </c>
      <c r="BG3" t="s">
        <v>446</v>
      </c>
      <c r="BH3" t="s">
        <v>447</v>
      </c>
      <c r="BI3" t="s">
        <v>448</v>
      </c>
      <c r="BJ3" t="s">
        <v>449</v>
      </c>
      <c r="BK3" t="s">
        <v>450</v>
      </c>
      <c r="BL3" t="s">
        <v>451</v>
      </c>
      <c r="BM3" t="s">
        <v>452</v>
      </c>
      <c r="BN3" t="s">
        <v>453</v>
      </c>
      <c r="BO3" t="s">
        <v>454</v>
      </c>
      <c r="BP3" t="s">
        <v>455</v>
      </c>
      <c r="BQ3" t="s">
        <v>456</v>
      </c>
      <c r="BR3" t="s">
        <v>457</v>
      </c>
      <c r="BS3" t="s">
        <v>458</v>
      </c>
      <c r="BT3" t="s">
        <v>459</v>
      </c>
      <c r="BU3" t="s">
        <v>460</v>
      </c>
      <c r="BV3" t="s">
        <v>461</v>
      </c>
      <c r="BW3" t="s">
        <v>462</v>
      </c>
      <c r="BX3" t="s">
        <v>463</v>
      </c>
      <c r="BY3" t="s">
        <v>464</v>
      </c>
      <c r="BZ3" t="s">
        <v>465</v>
      </c>
      <c r="CA3" t="s">
        <v>466</v>
      </c>
      <c r="CB3" t="s">
        <v>467</v>
      </c>
      <c r="CC3" t="s">
        <v>468</v>
      </c>
      <c r="CD3" t="s">
        <v>469</v>
      </c>
      <c r="CE3" t="s">
        <v>470</v>
      </c>
      <c r="CF3" t="s">
        <v>471</v>
      </c>
      <c r="CG3" t="s">
        <v>472</v>
      </c>
      <c r="CH3" t="s">
        <v>473</v>
      </c>
      <c r="CI3" t="s">
        <v>474</v>
      </c>
      <c r="CJ3" t="s">
        <v>475</v>
      </c>
      <c r="CK3" t="s">
        <v>476</v>
      </c>
      <c r="CL3" t="s">
        <v>477</v>
      </c>
      <c r="CM3" t="s">
        <v>478</v>
      </c>
      <c r="CN3" t="s">
        <v>479</v>
      </c>
      <c r="CO3" t="s">
        <v>480</v>
      </c>
      <c r="CP3" t="s">
        <v>481</v>
      </c>
      <c r="CQ3" t="s">
        <v>482</v>
      </c>
      <c r="CR3" t="s">
        <v>483</v>
      </c>
      <c r="CS3" t="s">
        <v>484</v>
      </c>
      <c r="CT3" t="s">
        <v>485</v>
      </c>
      <c r="CU3" t="s">
        <v>486</v>
      </c>
      <c r="CV3" t="s">
        <v>487</v>
      </c>
      <c r="CW3" t="s">
        <v>488</v>
      </c>
      <c r="CX3" t="s">
        <v>489</v>
      </c>
      <c r="CY3" t="s">
        <v>490</v>
      </c>
      <c r="CZ3" t="s">
        <v>491</v>
      </c>
      <c r="DA3" t="s">
        <v>492</v>
      </c>
      <c r="DB3" t="s">
        <v>493</v>
      </c>
      <c r="DC3" t="s">
        <v>494</v>
      </c>
      <c r="DD3" t="s">
        <v>495</v>
      </c>
      <c r="DE3" t="s">
        <v>496</v>
      </c>
      <c r="DF3" t="s">
        <v>497</v>
      </c>
      <c r="DG3" t="s">
        <v>498</v>
      </c>
      <c r="DH3" t="s">
        <v>499</v>
      </c>
      <c r="DI3" t="s">
        <v>500</v>
      </c>
      <c r="DJ3" t="s">
        <v>501</v>
      </c>
      <c r="DK3" t="s">
        <v>502</v>
      </c>
      <c r="DL3" t="s">
        <v>503</v>
      </c>
      <c r="DM3" t="s">
        <v>504</v>
      </c>
      <c r="DN3" t="s">
        <v>505</v>
      </c>
      <c r="DO3" t="s">
        <v>506</v>
      </c>
      <c r="DP3" t="s">
        <v>507</v>
      </c>
      <c r="DQ3" t="s">
        <v>508</v>
      </c>
      <c r="DR3" t="s">
        <v>509</v>
      </c>
      <c r="DS3" t="s">
        <v>510</v>
      </c>
      <c r="DT3" t="s">
        <v>511</v>
      </c>
      <c r="DU3" t="s">
        <v>512</v>
      </c>
      <c r="DV3" t="s">
        <v>513</v>
      </c>
      <c r="DW3" t="s">
        <v>514</v>
      </c>
      <c r="DX3" t="s">
        <v>515</v>
      </c>
      <c r="DY3" t="s">
        <v>516</v>
      </c>
      <c r="DZ3" t="s">
        <v>517</v>
      </c>
      <c r="EA3" t="s">
        <v>518</v>
      </c>
      <c r="EB3" t="s">
        <v>519</v>
      </c>
      <c r="EC3" t="s">
        <v>520</v>
      </c>
      <c r="ED3" t="s">
        <v>521</v>
      </c>
      <c r="EE3" t="s">
        <v>522</v>
      </c>
      <c r="EF3" t="s">
        <v>523</v>
      </c>
      <c r="EG3" t="s">
        <v>524</v>
      </c>
      <c r="EH3" t="s">
        <v>525</v>
      </c>
      <c r="EI3" t="s">
        <v>526</v>
      </c>
      <c r="EJ3" t="s">
        <v>527</v>
      </c>
      <c r="EK3" t="s">
        <v>528</v>
      </c>
      <c r="EL3" t="s">
        <v>529</v>
      </c>
      <c r="EM3" t="s">
        <v>530</v>
      </c>
      <c r="EN3" t="s">
        <v>531</v>
      </c>
      <c r="EO3" t="s">
        <v>532</v>
      </c>
      <c r="EP3" t="s">
        <v>533</v>
      </c>
      <c r="EQ3" t="s">
        <v>534</v>
      </c>
      <c r="ER3" t="s">
        <v>535</v>
      </c>
      <c r="ES3" t="s">
        <v>536</v>
      </c>
      <c r="ET3" t="s">
        <v>537</v>
      </c>
      <c r="EU3" t="s">
        <v>538</v>
      </c>
      <c r="EV3" t="s">
        <v>539</v>
      </c>
      <c r="EW3" t="s">
        <v>540</v>
      </c>
      <c r="EX3" t="s">
        <v>541</v>
      </c>
      <c r="EY3" t="s">
        <v>542</v>
      </c>
      <c r="EZ3" t="s">
        <v>543</v>
      </c>
      <c r="FA3" t="s">
        <v>544</v>
      </c>
      <c r="FB3" t="s">
        <v>545</v>
      </c>
      <c r="FC3" t="s">
        <v>546</v>
      </c>
      <c r="FD3" t="s">
        <v>547</v>
      </c>
      <c r="FE3" t="s">
        <v>548</v>
      </c>
      <c r="FF3" t="s">
        <v>549</v>
      </c>
      <c r="FG3" t="s">
        <v>550</v>
      </c>
      <c r="FH3" t="s">
        <v>551</v>
      </c>
      <c r="FI3" t="s">
        <v>552</v>
      </c>
      <c r="FJ3" t="s">
        <v>553</v>
      </c>
      <c r="FK3" t="s">
        <v>554</v>
      </c>
      <c r="FL3" t="s">
        <v>555</v>
      </c>
      <c r="FM3" t="s">
        <v>556</v>
      </c>
      <c r="FN3" t="s">
        <v>557</v>
      </c>
      <c r="FO3" t="s">
        <v>558</v>
      </c>
      <c r="FP3" t="s">
        <v>557</v>
      </c>
      <c r="FQ3" t="s">
        <v>559</v>
      </c>
      <c r="FR3" t="s">
        <v>557</v>
      </c>
      <c r="FS3" t="s">
        <v>560</v>
      </c>
      <c r="FT3" t="s">
        <v>557</v>
      </c>
      <c r="FU3" t="s">
        <v>561</v>
      </c>
      <c r="FV3" t="s">
        <v>557</v>
      </c>
      <c r="FW3" t="s">
        <v>562</v>
      </c>
      <c r="FX3" t="s">
        <v>557</v>
      </c>
      <c r="FY3" t="s">
        <v>563</v>
      </c>
      <c r="FZ3" t="s">
        <v>557</v>
      </c>
      <c r="GA3" t="s">
        <v>564</v>
      </c>
      <c r="GB3" t="s">
        <v>557</v>
      </c>
      <c r="GC3" t="s">
        <v>565</v>
      </c>
      <c r="GD3" t="s">
        <v>557</v>
      </c>
      <c r="GE3" t="s">
        <v>566</v>
      </c>
      <c r="GF3" t="s">
        <v>557</v>
      </c>
      <c r="GG3" t="s">
        <v>567</v>
      </c>
      <c r="GH3" t="s">
        <v>557</v>
      </c>
      <c r="GI3" t="s">
        <v>568</v>
      </c>
      <c r="GJ3" t="s">
        <v>557</v>
      </c>
      <c r="GK3" t="s">
        <v>569</v>
      </c>
      <c r="GL3" t="s">
        <v>557</v>
      </c>
      <c r="GM3" t="s">
        <v>570</v>
      </c>
      <c r="GN3" t="s">
        <v>557</v>
      </c>
      <c r="GO3" t="s">
        <v>571</v>
      </c>
      <c r="GP3" t="s">
        <v>557</v>
      </c>
      <c r="GQ3" t="s">
        <v>572</v>
      </c>
      <c r="GR3" t="s">
        <v>557</v>
      </c>
      <c r="GS3" t="s">
        <v>573</v>
      </c>
      <c r="GT3" t="s">
        <v>557</v>
      </c>
      <c r="GU3" t="s">
        <v>574</v>
      </c>
      <c r="GV3" t="s">
        <v>557</v>
      </c>
      <c r="GW3" t="s">
        <v>575</v>
      </c>
      <c r="GX3" t="s">
        <v>557</v>
      </c>
      <c r="GY3" t="s">
        <v>576</v>
      </c>
      <c r="GZ3" t="s">
        <v>557</v>
      </c>
      <c r="HA3" t="s">
        <v>577</v>
      </c>
      <c r="HB3" t="s">
        <v>557</v>
      </c>
      <c r="HC3" t="s">
        <v>578</v>
      </c>
      <c r="HD3" t="s">
        <v>557</v>
      </c>
      <c r="HE3" t="s">
        <v>579</v>
      </c>
      <c r="HF3" t="s">
        <v>557</v>
      </c>
      <c r="HG3" t="s">
        <v>580</v>
      </c>
      <c r="HH3" t="s">
        <v>557</v>
      </c>
      <c r="HI3" t="s">
        <v>581</v>
      </c>
      <c r="HJ3" t="s">
        <v>557</v>
      </c>
      <c r="HK3" t="s">
        <v>582</v>
      </c>
      <c r="HL3" t="s">
        <v>557</v>
      </c>
      <c r="HM3" t="s">
        <v>583</v>
      </c>
      <c r="HN3" t="s">
        <v>557</v>
      </c>
      <c r="HO3" t="s">
        <v>584</v>
      </c>
      <c r="HP3" t="s">
        <v>557</v>
      </c>
      <c r="HQ3" t="s">
        <v>585</v>
      </c>
      <c r="HR3" t="s">
        <v>557</v>
      </c>
      <c r="HS3" t="s">
        <v>586</v>
      </c>
      <c r="HT3" t="s">
        <v>557</v>
      </c>
      <c r="HU3" t="s">
        <v>587</v>
      </c>
      <c r="HV3" t="s">
        <v>557</v>
      </c>
      <c r="HW3" t="s">
        <v>588</v>
      </c>
      <c r="HX3" t="s">
        <v>557</v>
      </c>
      <c r="HY3" t="s">
        <v>589</v>
      </c>
      <c r="HZ3" t="s">
        <v>557</v>
      </c>
      <c r="IA3" t="s">
        <v>590</v>
      </c>
      <c r="IB3" t="s">
        <v>557</v>
      </c>
      <c r="IC3" t="s">
        <v>591</v>
      </c>
      <c r="ID3" t="s">
        <v>557</v>
      </c>
      <c r="IE3" t="s">
        <v>592</v>
      </c>
      <c r="IF3" t="s">
        <v>557</v>
      </c>
      <c r="IG3" t="s">
        <v>593</v>
      </c>
      <c r="IH3" t="s">
        <v>557</v>
      </c>
      <c r="II3" t="s">
        <v>594</v>
      </c>
      <c r="IJ3" t="s">
        <v>557</v>
      </c>
      <c r="IK3" t="s">
        <v>595</v>
      </c>
      <c r="IL3" t="s">
        <v>557</v>
      </c>
      <c r="IM3" t="s">
        <v>596</v>
      </c>
      <c r="IN3" t="s">
        <v>557</v>
      </c>
      <c r="IO3" t="s">
        <v>597</v>
      </c>
      <c r="IP3" t="s">
        <v>557</v>
      </c>
      <c r="IQ3" t="s">
        <v>598</v>
      </c>
      <c r="IR3" t="s">
        <v>557</v>
      </c>
      <c r="IS3" t="s">
        <v>599</v>
      </c>
      <c r="IT3" t="s">
        <v>557</v>
      </c>
      <c r="IU3" t="s">
        <v>600</v>
      </c>
      <c r="IV3" t="s">
        <v>557</v>
      </c>
      <c r="IW3" t="s">
        <v>601</v>
      </c>
      <c r="IX3" t="s">
        <v>557</v>
      </c>
      <c r="IY3" t="s">
        <v>602</v>
      </c>
      <c r="IZ3" t="s">
        <v>557</v>
      </c>
      <c r="JA3" t="s">
        <v>603</v>
      </c>
      <c r="JB3" t="s">
        <v>557</v>
      </c>
      <c r="JC3" t="s">
        <v>604</v>
      </c>
      <c r="JD3" t="s">
        <v>557</v>
      </c>
      <c r="JE3" t="s">
        <v>605</v>
      </c>
      <c r="JF3" t="s">
        <v>557</v>
      </c>
      <c r="JG3" t="s">
        <v>606</v>
      </c>
      <c r="JH3" t="s">
        <v>557</v>
      </c>
      <c r="JI3" t="s">
        <v>607</v>
      </c>
      <c r="JJ3" t="s">
        <v>557</v>
      </c>
      <c r="JK3" t="s">
        <v>608</v>
      </c>
      <c r="JL3" t="s">
        <v>557</v>
      </c>
      <c r="JM3" t="s">
        <v>609</v>
      </c>
      <c r="JN3" t="s">
        <v>557</v>
      </c>
      <c r="JO3" t="s">
        <v>610</v>
      </c>
      <c r="JP3" t="s">
        <v>557</v>
      </c>
      <c r="JQ3" t="s">
        <v>611</v>
      </c>
      <c r="JR3" t="s">
        <v>557</v>
      </c>
      <c r="JS3" t="s">
        <v>612</v>
      </c>
      <c r="JT3" t="s">
        <v>557</v>
      </c>
      <c r="JU3" t="s">
        <v>613</v>
      </c>
      <c r="JV3" t="s">
        <v>557</v>
      </c>
      <c r="JW3" t="s">
        <v>614</v>
      </c>
      <c r="JX3" t="s">
        <v>557</v>
      </c>
      <c r="JY3" t="s">
        <v>615</v>
      </c>
      <c r="JZ3" t="s">
        <v>557</v>
      </c>
      <c r="KA3" t="s">
        <v>616</v>
      </c>
      <c r="KB3" t="s">
        <v>557</v>
      </c>
      <c r="KC3" t="s">
        <v>617</v>
      </c>
      <c r="KD3" t="s">
        <v>557</v>
      </c>
      <c r="KE3" t="s">
        <v>618</v>
      </c>
      <c r="KF3" t="s">
        <v>557</v>
      </c>
      <c r="KG3" t="s">
        <v>619</v>
      </c>
      <c r="KH3" t="s">
        <v>557</v>
      </c>
      <c r="KI3" t="s">
        <v>620</v>
      </c>
      <c r="KJ3" t="s">
        <v>557</v>
      </c>
      <c r="KK3" t="s">
        <v>621</v>
      </c>
      <c r="KL3" t="s">
        <v>557</v>
      </c>
      <c r="KM3" t="s">
        <v>622</v>
      </c>
      <c r="KN3" t="s">
        <v>557</v>
      </c>
      <c r="KO3" t="s">
        <v>623</v>
      </c>
      <c r="KP3" t="s">
        <v>557</v>
      </c>
      <c r="KQ3" t="s">
        <v>624</v>
      </c>
      <c r="KR3" t="s">
        <v>557</v>
      </c>
      <c r="KS3" t="s">
        <v>625</v>
      </c>
      <c r="KT3" t="s">
        <v>557</v>
      </c>
      <c r="KU3" t="s">
        <v>626</v>
      </c>
      <c r="KV3" t="s">
        <v>557</v>
      </c>
      <c r="KW3" t="s">
        <v>627</v>
      </c>
      <c r="KX3" t="s">
        <v>557</v>
      </c>
      <c r="KY3" t="s">
        <v>628</v>
      </c>
      <c r="KZ3" t="s">
        <v>557</v>
      </c>
      <c r="LA3" t="s">
        <v>629</v>
      </c>
      <c r="LB3" t="s">
        <v>557</v>
      </c>
      <c r="LC3" t="s">
        <v>630</v>
      </c>
      <c r="LD3" t="s">
        <v>557</v>
      </c>
      <c r="LE3" t="s">
        <v>631</v>
      </c>
      <c r="LF3" t="s">
        <v>557</v>
      </c>
      <c r="LG3" t="s">
        <v>632</v>
      </c>
      <c r="LH3" t="s">
        <v>557</v>
      </c>
      <c r="LI3" t="s">
        <v>633</v>
      </c>
      <c r="LJ3" t="s">
        <v>557</v>
      </c>
      <c r="LK3" t="s">
        <v>634</v>
      </c>
      <c r="LL3" t="s">
        <v>557</v>
      </c>
      <c r="LM3" t="s">
        <v>635</v>
      </c>
      <c r="LN3" t="s">
        <v>557</v>
      </c>
      <c r="LO3" t="s">
        <v>636</v>
      </c>
      <c r="LP3" t="s">
        <v>557</v>
      </c>
      <c r="LQ3" t="s">
        <v>637</v>
      </c>
      <c r="LR3" t="s">
        <v>557</v>
      </c>
      <c r="LS3" t="s">
        <v>638</v>
      </c>
      <c r="LT3" t="s">
        <v>557</v>
      </c>
      <c r="LU3" t="s">
        <v>639</v>
      </c>
      <c r="LV3" t="s">
        <v>557</v>
      </c>
      <c r="LW3" t="s">
        <v>640</v>
      </c>
      <c r="LX3" t="s">
        <v>557</v>
      </c>
      <c r="LY3" t="s">
        <v>641</v>
      </c>
      <c r="LZ3" t="s">
        <v>642</v>
      </c>
      <c r="MA3" t="s">
        <v>643</v>
      </c>
      <c r="MB3" t="s">
        <v>644</v>
      </c>
      <c r="MC3" t="s">
        <v>645</v>
      </c>
      <c r="MD3" t="s">
        <v>646</v>
      </c>
      <c r="ME3" t="s">
        <v>647</v>
      </c>
      <c r="MF3" t="s">
        <v>648</v>
      </c>
      <c r="MG3" t="s">
        <v>649</v>
      </c>
      <c r="MH3" t="s">
        <v>650</v>
      </c>
      <c r="MI3" t="s">
        <v>651</v>
      </c>
      <c r="MJ3" t="s">
        <v>652</v>
      </c>
      <c r="MK3" t="s">
        <v>653</v>
      </c>
      <c r="ML3" t="s">
        <v>654</v>
      </c>
      <c r="MM3" t="s">
        <v>655</v>
      </c>
      <c r="MN3" t="s">
        <v>656</v>
      </c>
      <c r="MO3" t="s">
        <v>657</v>
      </c>
      <c r="MP3" t="s">
        <v>658</v>
      </c>
      <c r="MQ3" t="s">
        <v>659</v>
      </c>
      <c r="MR3" t="s">
        <v>660</v>
      </c>
      <c r="MS3" t="s">
        <v>661</v>
      </c>
      <c r="MT3" t="s">
        <v>662</v>
      </c>
      <c r="MU3" t="s">
        <v>663</v>
      </c>
      <c r="MV3" t="s">
        <v>664</v>
      </c>
      <c r="MW3" t="s">
        <v>665</v>
      </c>
      <c r="MX3" t="s">
        <v>666</v>
      </c>
      <c r="MY3" t="s">
        <v>667</v>
      </c>
      <c r="NA3" t="s">
        <v>668</v>
      </c>
      <c r="NC3" t="s">
        <v>669</v>
      </c>
      <c r="NE3" t="s">
        <v>670</v>
      </c>
      <c r="NG3" t="s">
        <v>671</v>
      </c>
      <c r="NI3" t="s">
        <v>672</v>
      </c>
      <c r="NK3" t="s">
        <v>673</v>
      </c>
      <c r="NM3" t="s">
        <v>674</v>
      </c>
      <c r="NO3" t="s">
        <v>675</v>
      </c>
      <c r="NQ3" t="s">
        <v>676</v>
      </c>
      <c r="NS3" t="s">
        <v>677</v>
      </c>
      <c r="NU3" t="s">
        <v>678</v>
      </c>
    </row>
    <row r="4" spans="1:386" customFormat="1" x14ac:dyDescent="0.25">
      <c r="A4">
        <v>1</v>
      </c>
      <c r="B4">
        <f>'6'!AB7</f>
        <v>0</v>
      </c>
      <c r="C4">
        <f>'6'!AC7</f>
        <v>0</v>
      </c>
      <c r="D4">
        <f>'6'!AD7</f>
        <v>0</v>
      </c>
      <c r="E4">
        <f>'6'!AE7</f>
        <v>7000</v>
      </c>
      <c r="F4">
        <f>'6'!AF7</f>
        <v>0</v>
      </c>
      <c r="G4">
        <f>'6'!AG7</f>
        <v>0</v>
      </c>
      <c r="H4">
        <f>'6'!AH7</f>
        <v>0</v>
      </c>
      <c r="I4">
        <f>'6'!AI7</f>
        <v>0</v>
      </c>
      <c r="J4">
        <f>'6'!AJ7</f>
        <v>0</v>
      </c>
      <c r="K4">
        <f>'6'!AK7</f>
        <v>0</v>
      </c>
      <c r="L4">
        <f>'6'!AL7</f>
        <v>7000</v>
      </c>
      <c r="M4">
        <f>'6'!AM7</f>
        <v>0</v>
      </c>
      <c r="N4">
        <f>'6'!AN7</f>
        <v>0</v>
      </c>
      <c r="O4">
        <f>'6'!AO7</f>
        <v>0</v>
      </c>
      <c r="P4">
        <f>'6'!AP7</f>
        <v>0</v>
      </c>
      <c r="Q4">
        <f>'6'!AQ7</f>
        <v>0</v>
      </c>
      <c r="R4">
        <f>'6'!AR7</f>
        <v>0</v>
      </c>
      <c r="S4">
        <f>'6'!AS7</f>
        <v>7000</v>
      </c>
      <c r="T4">
        <f>'6'!AT7</f>
        <v>0</v>
      </c>
      <c r="U4">
        <f>'6'!AU7</f>
        <v>0</v>
      </c>
      <c r="V4">
        <f>'6'!AV7</f>
        <v>0</v>
      </c>
      <c r="W4">
        <f>'6'!AW7</f>
        <v>0</v>
      </c>
      <c r="X4">
        <f>'6'!AX7</f>
        <v>0</v>
      </c>
      <c r="Y4">
        <f>'6'!AY7</f>
        <v>0</v>
      </c>
      <c r="Z4">
        <f>'6'!AZ7</f>
        <v>7000</v>
      </c>
      <c r="AA4">
        <f>'6'!BA7</f>
        <v>0</v>
      </c>
      <c r="AB4">
        <f>'6'!BB7</f>
        <v>0</v>
      </c>
      <c r="AC4">
        <f>'6'!BC7</f>
        <v>0</v>
      </c>
      <c r="AD4">
        <f>'6'!BD7</f>
        <v>0</v>
      </c>
      <c r="AE4">
        <f>'6'!BE7</f>
        <v>0</v>
      </c>
      <c r="AF4">
        <f>'6'!BF7</f>
        <v>0</v>
      </c>
      <c r="AG4">
        <f>'6'!BG7</f>
        <v>7000</v>
      </c>
      <c r="AH4">
        <f>'6'!BH7</f>
        <v>0</v>
      </c>
      <c r="AI4">
        <f>'6'!BI7</f>
        <v>0</v>
      </c>
      <c r="AJ4">
        <f>'6'!BJ7</f>
        <v>0</v>
      </c>
      <c r="AK4">
        <f>'6'!BK7</f>
        <v>0</v>
      </c>
      <c r="AL4">
        <f>'6'!BL7</f>
        <v>0</v>
      </c>
      <c r="AM4">
        <f>'6'!BM7</f>
        <v>0</v>
      </c>
      <c r="AN4">
        <f>'6'!BN7</f>
        <v>7000</v>
      </c>
      <c r="AO4">
        <f>'6'!BO7</f>
        <v>0</v>
      </c>
      <c r="AP4">
        <f>'6'!BP7</f>
        <v>0</v>
      </c>
      <c r="AQ4">
        <f>'6'!BQ7</f>
        <v>0</v>
      </c>
      <c r="AR4">
        <f>'6'!BR7</f>
        <v>0</v>
      </c>
      <c r="AS4">
        <f>'6'!BS7</f>
        <v>0</v>
      </c>
      <c r="AT4">
        <f>'6'!BT7</f>
        <v>0</v>
      </c>
      <c r="AU4">
        <f>'6'!BU7</f>
        <v>7000</v>
      </c>
      <c r="AV4">
        <f>'6'!BV7</f>
        <v>0</v>
      </c>
      <c r="AW4">
        <f>'6'!BW7</f>
        <v>0</v>
      </c>
      <c r="AX4">
        <f>'6'!BX7</f>
        <v>0</v>
      </c>
      <c r="AY4">
        <f>'6'!BY7</f>
        <v>0</v>
      </c>
      <c r="AZ4">
        <f>'6'!BZ7</f>
        <v>0</v>
      </c>
      <c r="BA4">
        <f>'6'!CA7</f>
        <v>0</v>
      </c>
      <c r="BB4">
        <f>'6'!CB7</f>
        <v>7000</v>
      </c>
      <c r="BC4">
        <f>'6'!CC7</f>
        <v>0</v>
      </c>
      <c r="BD4">
        <f>'6'!CD7</f>
        <v>0</v>
      </c>
      <c r="BE4">
        <f>'6'!CE7</f>
        <v>0</v>
      </c>
      <c r="BF4">
        <f>'6'!CF7</f>
        <v>0</v>
      </c>
      <c r="BG4">
        <f>'6'!CG7</f>
        <v>0</v>
      </c>
      <c r="BH4">
        <f>'6'!CH7</f>
        <v>0</v>
      </c>
      <c r="BI4">
        <f>'6'!CI7</f>
        <v>7000</v>
      </c>
      <c r="BJ4">
        <f>'6'!CJ7</f>
        <v>0</v>
      </c>
      <c r="BK4">
        <f>'6'!CK7</f>
        <v>0</v>
      </c>
      <c r="BL4">
        <f>'6'!CL7</f>
        <v>0</v>
      </c>
      <c r="BM4">
        <f>'6'!CM7</f>
        <v>0</v>
      </c>
      <c r="BN4">
        <f>'6'!CN7</f>
        <v>0</v>
      </c>
      <c r="BO4">
        <f>'6'!CO7</f>
        <v>0</v>
      </c>
      <c r="BP4">
        <f>'6'!CP7</f>
        <v>7000</v>
      </c>
      <c r="BQ4">
        <f>'6'!CQ7</f>
        <v>0</v>
      </c>
      <c r="BR4">
        <f>'6'!CR7</f>
        <v>0</v>
      </c>
      <c r="BS4">
        <f>'6'!CS7</f>
        <v>0</v>
      </c>
      <c r="BT4">
        <f>'6'!CT7</f>
        <v>0</v>
      </c>
      <c r="BU4">
        <f>'6'!CU7</f>
        <v>0</v>
      </c>
      <c r="BV4">
        <f>'6'!CV7</f>
        <v>0</v>
      </c>
      <c r="BW4">
        <f>'6'!CW7</f>
        <v>7000</v>
      </c>
      <c r="BX4">
        <f>'6'!CX7</f>
        <v>0</v>
      </c>
      <c r="BY4">
        <f>'6'!CY7</f>
        <v>0</v>
      </c>
      <c r="BZ4">
        <f>'6'!CZ7</f>
        <v>0</v>
      </c>
      <c r="CA4">
        <f>'6'!DA7</f>
        <v>0</v>
      </c>
      <c r="CB4">
        <f>'6'!DB7</f>
        <v>0</v>
      </c>
      <c r="CC4">
        <f>'6'!DC7</f>
        <v>0</v>
      </c>
      <c r="CD4">
        <f>'6'!DD7</f>
        <v>7000</v>
      </c>
      <c r="CE4">
        <f>'6'!DE7</f>
        <v>0</v>
      </c>
      <c r="CF4">
        <f>'6'!DF7</f>
        <v>0</v>
      </c>
      <c r="CG4">
        <f>'6'!DG7</f>
        <v>0</v>
      </c>
      <c r="CH4">
        <f>SUM('7'!AB9:AB13)</f>
        <v>0</v>
      </c>
      <c r="CI4">
        <f>SUM('7'!AC9:AC13)</f>
        <v>0</v>
      </c>
      <c r="CJ4">
        <f>SUM('7'!AD9:AD13)</f>
        <v>0</v>
      </c>
      <c r="CK4">
        <f>SUM('7'!AE9:AE13)</f>
        <v>7000</v>
      </c>
      <c r="CL4">
        <f>SUM('7'!AF9:AF13)</f>
        <v>0</v>
      </c>
      <c r="CM4">
        <f>SUM('7'!AG9:AG13)</f>
        <v>0</v>
      </c>
      <c r="CN4">
        <f>SUM('7'!AH9:AH13)</f>
        <v>0</v>
      </c>
      <c r="CO4">
        <f>SUM('7'!AI9:AI13)</f>
        <v>0</v>
      </c>
      <c r="CP4">
        <f>SUM('7'!AJ9:AJ13)</f>
        <v>0</v>
      </c>
      <c r="CQ4">
        <f>SUM('7'!AK9:AK13)</f>
        <v>0</v>
      </c>
      <c r="CR4">
        <f>SUM('7'!AL9:AL13)</f>
        <v>7000</v>
      </c>
      <c r="CS4">
        <f>SUM('7'!AM9:AM13)</f>
        <v>0</v>
      </c>
      <c r="CT4">
        <f>SUM('7'!AN9:AN13)</f>
        <v>0</v>
      </c>
      <c r="CU4">
        <f>SUM('7'!AO9:AO13)</f>
        <v>0</v>
      </c>
      <c r="CV4">
        <f>SUM('7'!AP9:AP13)</f>
        <v>0</v>
      </c>
      <c r="CW4">
        <f>SUM('7'!AQ9:AQ13)</f>
        <v>0</v>
      </c>
      <c r="CX4">
        <f>SUM('7'!AR9:AR13)</f>
        <v>0</v>
      </c>
      <c r="CY4">
        <f>SUM('7'!AS9:AS13)</f>
        <v>7000</v>
      </c>
      <c r="CZ4">
        <f>SUM('7'!AT9:AT13)</f>
        <v>0</v>
      </c>
      <c r="DA4">
        <f>SUM('7'!AU9:AU13)</f>
        <v>0</v>
      </c>
      <c r="DB4">
        <f>SUM('7'!AV9:AV13)</f>
        <v>0</v>
      </c>
      <c r="DC4">
        <f>SUM('7'!AW9:AW13)</f>
        <v>0</v>
      </c>
      <c r="DD4">
        <f>SUM('7'!AX9:AX13)</f>
        <v>0</v>
      </c>
      <c r="DE4">
        <f>SUM('7'!AY9:AY13)</f>
        <v>0</v>
      </c>
      <c r="DF4">
        <f>SUM('7'!AZ9:AZ13)</f>
        <v>7000</v>
      </c>
      <c r="DG4">
        <f>SUM('7'!BA9:BA13)</f>
        <v>0</v>
      </c>
      <c r="DH4">
        <f>SUM('7'!BB9:BB13)</f>
        <v>0</v>
      </c>
      <c r="DI4">
        <f>SUM('7'!BC9:BC13)</f>
        <v>0</v>
      </c>
      <c r="DJ4">
        <f>SUM('7'!BD9:BD13)</f>
        <v>0</v>
      </c>
      <c r="DK4">
        <f>SUM('7'!BE9:BE13)</f>
        <v>0</v>
      </c>
      <c r="DL4">
        <f>SUM('7'!BF9:BF13)</f>
        <v>0</v>
      </c>
      <c r="DM4">
        <f>SUM('7'!BG9:BG13)</f>
        <v>7000</v>
      </c>
      <c r="DN4">
        <f>SUM('7'!BH9:BH13)</f>
        <v>0</v>
      </c>
      <c r="DO4">
        <f>SUM('7'!BI9:BI13)</f>
        <v>0</v>
      </c>
      <c r="DP4">
        <f>SUM('7'!BJ9:BJ13)</f>
        <v>0</v>
      </c>
      <c r="DQ4">
        <f>SUM('7'!BK9:BK13)</f>
        <v>0</v>
      </c>
      <c r="DR4">
        <f>SUM('7'!BL9:BL13)</f>
        <v>0</v>
      </c>
      <c r="DS4">
        <f>SUM('7'!BM9:BM13)</f>
        <v>0</v>
      </c>
      <c r="DT4">
        <f>SUM('7'!BN9:BN13)</f>
        <v>7000</v>
      </c>
      <c r="DU4">
        <f>SUM('7'!BO9:BO13)</f>
        <v>0</v>
      </c>
      <c r="DV4">
        <f>SUM('7'!BP9:BP13)</f>
        <v>0</v>
      </c>
      <c r="DW4">
        <f>SUM('7'!BQ9:BQ13)</f>
        <v>0</v>
      </c>
      <c r="DX4">
        <f>SUM('7'!BR9:BR13)</f>
        <v>0</v>
      </c>
      <c r="DY4">
        <f>SUM('7'!BS9:BS13)</f>
        <v>0</v>
      </c>
      <c r="DZ4">
        <f>SUM('7'!BT9:BT13)</f>
        <v>0</v>
      </c>
      <c r="EA4">
        <f>SUM('7'!BU9:BU13)</f>
        <v>7000</v>
      </c>
      <c r="EB4">
        <f>SUM('7'!BV9:BV13)</f>
        <v>0</v>
      </c>
      <c r="EC4">
        <f>SUM('7'!BW9:BW13)</f>
        <v>0</v>
      </c>
      <c r="ED4">
        <f>SUM('7'!BX9:BX13)</f>
        <v>0</v>
      </c>
      <c r="EE4">
        <f>SUM('7'!BY9:BY13)</f>
        <v>0</v>
      </c>
      <c r="EF4">
        <f>SUM('7'!BZ9:BZ13)</f>
        <v>0</v>
      </c>
      <c r="EG4">
        <f>SUM('7'!CA9:CA13)</f>
        <v>0</v>
      </c>
      <c r="EH4">
        <f>SUM('7'!CB9:CB13)</f>
        <v>7000</v>
      </c>
      <c r="EI4">
        <f>SUM('7'!CC9:CC13)</f>
        <v>0</v>
      </c>
      <c r="EJ4">
        <f>SUM('7'!CD9:CD13)</f>
        <v>0</v>
      </c>
      <c r="EK4">
        <f>SUM('7'!CE9:CE13)</f>
        <v>0</v>
      </c>
      <c r="EL4">
        <f>SUM('7'!CF9:CF13)</f>
        <v>0</v>
      </c>
      <c r="EM4">
        <f>SUM('7'!CG9:CG13)</f>
        <v>0</v>
      </c>
      <c r="EN4">
        <f>SUM('7'!CH9:CH13)</f>
        <v>0</v>
      </c>
      <c r="EO4">
        <f>SUM('7'!CI9:CI13)</f>
        <v>7000</v>
      </c>
      <c r="EP4">
        <f>SUM('7'!CJ9:CJ13)</f>
        <v>0</v>
      </c>
      <c r="EQ4">
        <f>SUM('7'!CK9:CK13)</f>
        <v>0</v>
      </c>
      <c r="ER4">
        <f>SUM('7'!CL9:CL13)</f>
        <v>0</v>
      </c>
      <c r="ES4">
        <f>SUM('7'!CM9:CM13)</f>
        <v>0</v>
      </c>
      <c r="ET4">
        <f>SUM('7'!CN9:CN13)</f>
        <v>0</v>
      </c>
      <c r="EU4">
        <f>SUM('7'!CO9:CO13)</f>
        <v>0</v>
      </c>
      <c r="EV4">
        <f>SUM('7'!CP9:CP13)</f>
        <v>7000</v>
      </c>
      <c r="EW4">
        <f>SUM('7'!CQ9:CQ13)</f>
        <v>0</v>
      </c>
      <c r="EX4">
        <f>SUM('7'!CR9:CR13)</f>
        <v>0</v>
      </c>
      <c r="EY4">
        <f>SUM('7'!CS9:CS13)</f>
        <v>0</v>
      </c>
      <c r="EZ4">
        <f>SUM('7'!CT9:CT13)</f>
        <v>0</v>
      </c>
      <c r="FA4">
        <f>SUM('7'!CU9:CU13)</f>
        <v>0</v>
      </c>
      <c r="FB4">
        <f>SUM('7'!CV9:CV13)</f>
        <v>0</v>
      </c>
      <c r="FC4">
        <f>SUM('7'!CW9:CW13)</f>
        <v>7000</v>
      </c>
      <c r="FD4">
        <f>SUM('7'!CX9:CX13)</f>
        <v>0</v>
      </c>
      <c r="FE4">
        <f>SUM('7'!CY9:CY13)</f>
        <v>0</v>
      </c>
      <c r="FF4">
        <f>SUM('7'!CZ9:CZ13)</f>
        <v>0</v>
      </c>
      <c r="FG4">
        <f>SUM('7'!DA9:DA13)</f>
        <v>0</v>
      </c>
      <c r="FH4">
        <f>SUM('7'!DB9:DB13)</f>
        <v>0</v>
      </c>
      <c r="FI4">
        <f>SUM('7'!DC9:DC13)</f>
        <v>0</v>
      </c>
      <c r="FJ4">
        <f>SUM('7'!DD9:DD13)</f>
        <v>7000</v>
      </c>
      <c r="FK4">
        <f>SUM('7'!DE9:DE13)</f>
        <v>0</v>
      </c>
      <c r="FL4">
        <f>SUM('7'!DF9:DF13)</f>
        <v>0</v>
      </c>
      <c r="FM4">
        <f>SUM('7'!DG9:DG13)</f>
        <v>0</v>
      </c>
      <c r="FN4" t="s">
        <v>679</v>
      </c>
      <c r="FO4">
        <f>IF(Diseño="Bloque",B4,CH4)</f>
        <v>0</v>
      </c>
      <c r="FP4" t="s">
        <v>680</v>
      </c>
      <c r="FQ4">
        <f t="shared" ref="FQ4:FQ35" si="0">IF(Diseño="Bloque",C4,CI4)</f>
        <v>0</v>
      </c>
      <c r="FR4" t="s">
        <v>681</v>
      </c>
      <c r="FS4">
        <f t="shared" ref="FS4:FS35" si="1">IF(Diseño="Bloque",D4,CJ4)</f>
        <v>0</v>
      </c>
      <c r="FT4" t="s">
        <v>682</v>
      </c>
      <c r="FU4">
        <f t="shared" ref="FU4:FU35" si="2">IF(Diseño="Bloque",E4,CK4)</f>
        <v>7000</v>
      </c>
      <c r="FV4" t="s">
        <v>683</v>
      </c>
      <c r="FW4">
        <f t="shared" ref="FW4:FW35" si="3">IF(Diseño="Bloque",F4,CL4)</f>
        <v>0</v>
      </c>
      <c r="FX4" t="s">
        <v>684</v>
      </c>
      <c r="FY4">
        <f t="shared" ref="FY4:FY35" si="4">IF(Diseño="Bloque",G4,CM4)</f>
        <v>0</v>
      </c>
      <c r="FZ4" t="s">
        <v>685</v>
      </c>
      <c r="GA4">
        <f t="shared" ref="GA4:GA35" si="5">IF(Diseño="Bloque",H4,CN4)</f>
        <v>0</v>
      </c>
      <c r="GB4" t="s">
        <v>686</v>
      </c>
      <c r="GC4">
        <f t="shared" ref="GC4:GC35" si="6">IF(Diseño="Bloque",I4,CO4)</f>
        <v>0</v>
      </c>
      <c r="GD4" t="s">
        <v>687</v>
      </c>
      <c r="GE4">
        <f t="shared" ref="GE4:GE35" si="7">IF(Diseño="Bloque",J4,CP4)</f>
        <v>0</v>
      </c>
      <c r="GF4" t="s">
        <v>688</v>
      </c>
      <c r="GG4">
        <f t="shared" ref="GG4:GG35" si="8">IF(Diseño="Bloque",K4,CQ4)</f>
        <v>0</v>
      </c>
      <c r="GH4" t="s">
        <v>689</v>
      </c>
      <c r="GI4">
        <f t="shared" ref="GI4:GI35" si="9">IF(Diseño="Bloque",L4,CR4)</f>
        <v>7000</v>
      </c>
      <c r="GJ4" t="s">
        <v>690</v>
      </c>
      <c r="GK4">
        <f t="shared" ref="GK4:GK35" si="10">IF(Diseño="Bloque",M4,CS4)</f>
        <v>0</v>
      </c>
      <c r="GL4" t="s">
        <v>691</v>
      </c>
      <c r="GM4">
        <f t="shared" ref="GM4:GM35" si="11">IF(Diseño="Bloque",N4,CT4)</f>
        <v>0</v>
      </c>
      <c r="GN4" t="s">
        <v>692</v>
      </c>
      <c r="GO4">
        <f>IF(Diseño="Bloque",O4,CU4)</f>
        <v>0</v>
      </c>
      <c r="GP4" t="s">
        <v>693</v>
      </c>
      <c r="GQ4">
        <f t="shared" ref="GQ4:GQ35" si="12">IF(Diseño="Bloque",P4,CV4)</f>
        <v>0</v>
      </c>
      <c r="GR4" t="s">
        <v>694</v>
      </c>
      <c r="GS4">
        <f t="shared" ref="GS4:GS35" si="13">IF(Diseño="Bloque",Q4,CW4)</f>
        <v>0</v>
      </c>
      <c r="GT4" t="s">
        <v>695</v>
      </c>
      <c r="GU4">
        <f t="shared" ref="GU4:GU35" si="14">IF(Diseño="Bloque",R4,CX4)</f>
        <v>0</v>
      </c>
      <c r="GV4" t="s">
        <v>696</v>
      </c>
      <c r="GW4">
        <f t="shared" ref="GW4:GW35" si="15">IF(Diseño="Bloque",S4,CY4)</f>
        <v>7000</v>
      </c>
      <c r="GX4" t="s">
        <v>697</v>
      </c>
      <c r="GY4">
        <f t="shared" ref="GY4:GY35" si="16">IF(Diseño="Bloque",T4,CZ4)</f>
        <v>0</v>
      </c>
      <c r="GZ4" t="s">
        <v>698</v>
      </c>
      <c r="HA4">
        <f t="shared" ref="HA4:HA35" si="17">IF(Diseño="Bloque",U4,DA4)</f>
        <v>0</v>
      </c>
      <c r="HB4" t="s">
        <v>699</v>
      </c>
      <c r="HC4">
        <f t="shared" ref="HC4:HC35" si="18">IF(Diseño="Bloque",V4,DB4)</f>
        <v>0</v>
      </c>
      <c r="HD4" t="s">
        <v>700</v>
      </c>
      <c r="HE4">
        <f t="shared" ref="HE4:HE35" si="19">IF(Diseño="Bloque",W4,DC4)</f>
        <v>0</v>
      </c>
      <c r="HF4" t="s">
        <v>701</v>
      </c>
      <c r="HG4">
        <f t="shared" ref="HG4:HG35" si="20">IF(Diseño="Bloque",X4,DD4)</f>
        <v>0</v>
      </c>
      <c r="HH4" t="s">
        <v>702</v>
      </c>
      <c r="HI4">
        <f t="shared" ref="HI4:HI35" si="21">IF(Diseño="Bloque",Y4,DE4)</f>
        <v>0</v>
      </c>
      <c r="HJ4" t="s">
        <v>703</v>
      </c>
      <c r="HK4">
        <f t="shared" ref="HK4:HK35" si="22">IF(Diseño="Bloque",Z4,DF4)</f>
        <v>7000</v>
      </c>
      <c r="HL4" t="s">
        <v>704</v>
      </c>
      <c r="HM4">
        <f t="shared" ref="HM4:HM35" si="23">IF(Diseño="Bloque",AA4,DG4)</f>
        <v>0</v>
      </c>
      <c r="HN4" t="s">
        <v>705</v>
      </c>
      <c r="HO4">
        <f t="shared" ref="HO4:HO35" si="24">IF(Diseño="Bloque",AB4,DH4)</f>
        <v>0</v>
      </c>
      <c r="HP4" t="s">
        <v>706</v>
      </c>
      <c r="HQ4">
        <f t="shared" ref="HQ4:HQ35" si="25">IF(Diseño="Bloque",AC4,DI4)</f>
        <v>0</v>
      </c>
      <c r="HR4" t="s">
        <v>707</v>
      </c>
      <c r="HS4">
        <f t="shared" ref="HS4:HS35" si="26">IF(Diseño="Bloque",AD4,DJ4)</f>
        <v>0</v>
      </c>
      <c r="HT4" t="s">
        <v>708</v>
      </c>
      <c r="HU4">
        <f t="shared" ref="HU4:HU35" si="27">IF(Diseño="Bloque",AE4,DK4)</f>
        <v>0</v>
      </c>
      <c r="HV4" t="s">
        <v>709</v>
      </c>
      <c r="HW4">
        <f t="shared" ref="HW4:HW35" si="28">IF(Diseño="Bloque",AF4,DL4)</f>
        <v>0</v>
      </c>
      <c r="HX4" t="s">
        <v>710</v>
      </c>
      <c r="HY4">
        <f t="shared" ref="HY4:HY35" si="29">IF(Diseño="Bloque",AG4,DM4)</f>
        <v>7000</v>
      </c>
      <c r="HZ4" t="s">
        <v>711</v>
      </c>
      <c r="IA4">
        <f t="shared" ref="IA4:IA35" si="30">IF(Diseño="Bloque",AH4,DN4)</f>
        <v>0</v>
      </c>
      <c r="IB4" t="s">
        <v>712</v>
      </c>
      <c r="IC4">
        <f t="shared" ref="IC4:IC35" si="31">IF(Diseño="Bloque",AI4,DO4)</f>
        <v>0</v>
      </c>
      <c r="ID4" t="s">
        <v>713</v>
      </c>
      <c r="IE4">
        <f t="shared" ref="IE4:IE35" si="32">IF(Diseño="Bloque",AJ4,DP4)</f>
        <v>0</v>
      </c>
      <c r="IF4" t="s">
        <v>714</v>
      </c>
      <c r="IG4">
        <f t="shared" ref="IG4:IG35" si="33">IF(Diseño="Bloque",AK4,DQ4)</f>
        <v>0</v>
      </c>
      <c r="IH4" t="s">
        <v>715</v>
      </c>
      <c r="II4">
        <f t="shared" ref="II4:II35" si="34">IF(Diseño="Bloque",AL4,DR4)</f>
        <v>0</v>
      </c>
      <c r="IJ4" t="s">
        <v>716</v>
      </c>
      <c r="IK4">
        <f t="shared" ref="IK4:IK35" si="35">IF(Diseño="Bloque",AM4,DS4)</f>
        <v>0</v>
      </c>
      <c r="IL4" t="s">
        <v>717</v>
      </c>
      <c r="IM4">
        <f t="shared" ref="IM4:IM35" si="36">IF(Diseño="Bloque",AN4,DT4)</f>
        <v>7000</v>
      </c>
      <c r="IN4" t="s">
        <v>718</v>
      </c>
      <c r="IO4">
        <f t="shared" ref="IO4:IO35" si="37">IF(Diseño="Bloque",AO4,DU4)</f>
        <v>0</v>
      </c>
      <c r="IP4" t="s">
        <v>719</v>
      </c>
      <c r="IQ4">
        <f t="shared" ref="IQ4:IQ35" si="38">IF(Diseño="Bloque",AP4,DV4)</f>
        <v>0</v>
      </c>
      <c r="IR4" t="s">
        <v>720</v>
      </c>
      <c r="IS4">
        <f t="shared" ref="IS4:IS35" si="39">IF(Diseño="Bloque",AQ4,DW4)</f>
        <v>0</v>
      </c>
      <c r="IT4" t="s">
        <v>721</v>
      </c>
      <c r="IU4">
        <f t="shared" ref="IU4:IU35" si="40">IF(Diseño="Bloque",AR4,DX4)</f>
        <v>0</v>
      </c>
      <c r="IV4" t="s">
        <v>722</v>
      </c>
      <c r="IW4">
        <f t="shared" ref="IW4:IW35" si="41">IF(Diseño="Bloque",AS4,DY4)</f>
        <v>0</v>
      </c>
      <c r="IX4" t="s">
        <v>723</v>
      </c>
      <c r="IY4">
        <f t="shared" ref="IY4:IY35" si="42">IF(Diseño="Bloque",AT4,DZ4)</f>
        <v>0</v>
      </c>
      <c r="IZ4" t="s">
        <v>724</v>
      </c>
      <c r="JA4">
        <f t="shared" ref="JA4:JA35" si="43">IF(Diseño="Bloque",AU4,EA4)</f>
        <v>7000</v>
      </c>
      <c r="JB4" t="s">
        <v>725</v>
      </c>
      <c r="JC4">
        <f t="shared" ref="JC4:JC35" si="44">IF(Diseño="Bloque",AV4,EB4)</f>
        <v>0</v>
      </c>
      <c r="JD4" t="s">
        <v>726</v>
      </c>
      <c r="JE4">
        <f t="shared" ref="JE4:JE35" si="45">IF(Diseño="Bloque",AW4,EC4)</f>
        <v>0</v>
      </c>
      <c r="JF4" t="s">
        <v>727</v>
      </c>
      <c r="JG4">
        <f t="shared" ref="JG4:JG35" si="46">IF(Diseño="Bloque",AX4,ED4)</f>
        <v>0</v>
      </c>
      <c r="JH4" t="s">
        <v>728</v>
      </c>
      <c r="JI4">
        <f t="shared" ref="JI4:JI35" si="47">IF(Diseño="Bloque",AY4,EE4)</f>
        <v>0</v>
      </c>
      <c r="JJ4" t="s">
        <v>729</v>
      </c>
      <c r="JK4">
        <f t="shared" ref="JK4:JK35" si="48">IF(Diseño="Bloque",AZ4,EF4)</f>
        <v>0</v>
      </c>
      <c r="JL4" t="s">
        <v>730</v>
      </c>
      <c r="JM4">
        <f t="shared" ref="JM4:JM35" si="49">IF(Diseño="Bloque",BA4,EG4)</f>
        <v>0</v>
      </c>
      <c r="JN4" t="s">
        <v>731</v>
      </c>
      <c r="JO4">
        <f t="shared" ref="JO4:JO35" si="50">IF(Diseño="Bloque",BB4,EH4)</f>
        <v>7000</v>
      </c>
      <c r="JP4" t="s">
        <v>732</v>
      </c>
      <c r="JQ4">
        <f t="shared" ref="JQ4:JQ35" si="51">IF(Diseño="Bloque",BC4,EI4)</f>
        <v>0</v>
      </c>
      <c r="JR4" t="s">
        <v>733</v>
      </c>
      <c r="JS4">
        <f t="shared" ref="JS4:JS35" si="52">IF(Diseño="Bloque",BD4,EJ4)</f>
        <v>0</v>
      </c>
      <c r="JT4" t="s">
        <v>734</v>
      </c>
      <c r="JU4">
        <f t="shared" ref="JU4:JU35" si="53">IF(Diseño="Bloque",BE4,EK4)</f>
        <v>0</v>
      </c>
      <c r="JV4" t="s">
        <v>735</v>
      </c>
      <c r="JW4">
        <f t="shared" ref="JW4:JW35" si="54">IF(Diseño="Bloque",BF4,EL4)</f>
        <v>0</v>
      </c>
      <c r="JX4" t="s">
        <v>736</v>
      </c>
      <c r="JY4">
        <f t="shared" ref="JY4:JY35" si="55">IF(Diseño="Bloque",BG4,EM4)</f>
        <v>0</v>
      </c>
      <c r="JZ4" t="s">
        <v>737</v>
      </c>
      <c r="KA4">
        <f t="shared" ref="KA4:KA35" si="56">IF(Diseño="Bloque",BH4,EN4)</f>
        <v>0</v>
      </c>
      <c r="KB4" t="s">
        <v>738</v>
      </c>
      <c r="KC4">
        <f t="shared" ref="KC4:KC35" si="57">IF(Diseño="Bloque",BI4,EO4)</f>
        <v>7000</v>
      </c>
      <c r="KD4" t="s">
        <v>739</v>
      </c>
      <c r="KE4">
        <f t="shared" ref="KE4:KE35" si="58">IF(Diseño="Bloque",BJ4,EP4)</f>
        <v>0</v>
      </c>
      <c r="KF4" t="s">
        <v>740</v>
      </c>
      <c r="KG4">
        <f t="shared" ref="KG4:KG35" si="59">IF(Diseño="Bloque",BK4,EQ4)</f>
        <v>0</v>
      </c>
      <c r="KH4" t="s">
        <v>741</v>
      </c>
      <c r="KI4">
        <f t="shared" ref="KI4:KI35" si="60">IF(Diseño="Bloque",BL4,ER4)</f>
        <v>0</v>
      </c>
      <c r="KJ4" t="s">
        <v>742</v>
      </c>
      <c r="KK4">
        <f t="shared" ref="KK4:KK35" si="61">IF(Diseño="Bloque",BM4,ES4)</f>
        <v>0</v>
      </c>
      <c r="KL4" t="s">
        <v>743</v>
      </c>
      <c r="KM4">
        <f t="shared" ref="KM4:KM35" si="62">IF(Diseño="Bloque",BN4,ET4)</f>
        <v>0</v>
      </c>
      <c r="KN4" t="s">
        <v>744</v>
      </c>
      <c r="KO4">
        <f t="shared" ref="KO4:KO35" si="63">IF(Diseño="Bloque",BO4,EU4)</f>
        <v>0</v>
      </c>
      <c r="KP4" t="s">
        <v>745</v>
      </c>
      <c r="KQ4">
        <f t="shared" ref="KQ4:KQ35" si="64">IF(Diseño="Bloque",BP4,EV4)</f>
        <v>7000</v>
      </c>
      <c r="KR4" t="s">
        <v>746</v>
      </c>
      <c r="KS4">
        <f t="shared" ref="KS4:KS35" si="65">IF(Diseño="Bloque",BQ4,EW4)</f>
        <v>0</v>
      </c>
      <c r="KT4" t="s">
        <v>747</v>
      </c>
      <c r="KU4">
        <f t="shared" ref="KU4:KU35" si="66">IF(Diseño="Bloque",BR4,EX4)</f>
        <v>0</v>
      </c>
      <c r="KV4" t="s">
        <v>748</v>
      </c>
      <c r="KW4">
        <f t="shared" ref="KW4:KW35" si="67">IF(Diseño="Bloque",BS4,EY4)</f>
        <v>0</v>
      </c>
      <c r="KX4" t="s">
        <v>749</v>
      </c>
      <c r="KY4">
        <f t="shared" ref="KY4:KY35" si="68">IF(Diseño="Bloque",BT4,EZ4)</f>
        <v>0</v>
      </c>
      <c r="KZ4" t="s">
        <v>750</v>
      </c>
      <c r="LA4">
        <f t="shared" ref="LA4:LA35" si="69">IF(Diseño="Bloque",BU4,FA4)</f>
        <v>0</v>
      </c>
      <c r="LB4" t="s">
        <v>751</v>
      </c>
      <c r="LC4">
        <f t="shared" ref="LC4:LC35" si="70">IF(Diseño="Bloque",BV4,FB4)</f>
        <v>0</v>
      </c>
      <c r="LD4" t="s">
        <v>752</v>
      </c>
      <c r="LE4">
        <f t="shared" ref="LE4:LE35" si="71">IF(Diseño="Bloque",BW4,FC4)</f>
        <v>7000</v>
      </c>
      <c r="LF4" t="s">
        <v>753</v>
      </c>
      <c r="LG4">
        <f t="shared" ref="LG4:LG35" si="72">IF(Diseño="Bloque",BX4,FD4)</f>
        <v>0</v>
      </c>
      <c r="LH4" t="s">
        <v>754</v>
      </c>
      <c r="LI4">
        <f t="shared" ref="LI4:LI35" si="73">IF(Diseño="Bloque",BY4,FE4)</f>
        <v>0</v>
      </c>
      <c r="LJ4" t="s">
        <v>755</v>
      </c>
      <c r="LK4">
        <f t="shared" ref="LK4:LK35" si="74">IF(Diseño="Bloque",BZ4,FF4)</f>
        <v>0</v>
      </c>
      <c r="LL4" t="s">
        <v>756</v>
      </c>
      <c r="LM4">
        <f t="shared" ref="LM4:LM35" si="75">IF(Diseño="Bloque",CA4,FG4)</f>
        <v>0</v>
      </c>
      <c r="LN4" t="s">
        <v>757</v>
      </c>
      <c r="LO4">
        <f t="shared" ref="LO4:LO35" si="76">IF(Diseño="Bloque",CB4,FH4)</f>
        <v>0</v>
      </c>
      <c r="LP4" t="s">
        <v>758</v>
      </c>
      <c r="LQ4">
        <f t="shared" ref="LQ4:LQ35" si="77">IF(Diseño="Bloque",CC4,FI4)</f>
        <v>0</v>
      </c>
      <c r="LR4" t="s">
        <v>759</v>
      </c>
      <c r="LS4">
        <f t="shared" ref="LS4:LS35" si="78">IF(Diseño="Bloque",CD4,FJ4)</f>
        <v>7000</v>
      </c>
      <c r="LT4" t="s">
        <v>760</v>
      </c>
      <c r="LU4">
        <f t="shared" ref="LU4:LU35" si="79">IF(Diseño="Bloque",CE4,FK4)</f>
        <v>0</v>
      </c>
      <c r="LV4" t="s">
        <v>761</v>
      </c>
      <c r="LW4">
        <f t="shared" ref="LW4:LW35" si="80">IF(Diseño="Bloque",CF4,FL4)</f>
        <v>0</v>
      </c>
      <c r="LX4" t="s">
        <v>762</v>
      </c>
      <c r="LY4">
        <f t="shared" ref="LY4:LY35" si="81">IF(Diseño="Bloque",CG4,FM4)</f>
        <v>0</v>
      </c>
      <c r="LZ4">
        <f>'6'!B8</f>
        <v>0</v>
      </c>
      <c r="MA4">
        <f>'6'!C8</f>
        <v>0</v>
      </c>
      <c r="MB4">
        <f>'6'!D8</f>
        <v>0</v>
      </c>
      <c r="MC4">
        <f>'6'!E8</f>
        <v>0</v>
      </c>
      <c r="MD4">
        <f>'6'!F8</f>
        <v>0</v>
      </c>
      <c r="ME4">
        <f>'6'!G8</f>
        <v>0</v>
      </c>
      <c r="MF4">
        <f>'6'!H8</f>
        <v>0</v>
      </c>
      <c r="MG4">
        <f>'6'!I8</f>
        <v>0</v>
      </c>
      <c r="MH4">
        <f>'6'!J8</f>
        <v>0</v>
      </c>
      <c r="MI4">
        <f>'6'!K8</f>
        <v>0</v>
      </c>
      <c r="MJ4">
        <f>'6'!L8</f>
        <v>0</v>
      </c>
      <c r="MK4">
        <f>'6'!M8</f>
        <v>0</v>
      </c>
      <c r="ML4" s="13">
        <f>'7'!B7</f>
        <v>70</v>
      </c>
      <c r="MM4" s="13">
        <f>'7'!C7</f>
        <v>0</v>
      </c>
      <c r="MN4" s="13">
        <f>'7'!D7</f>
        <v>0</v>
      </c>
      <c r="MO4" s="13">
        <f>'7'!E7</f>
        <v>0</v>
      </c>
      <c r="MP4" s="13">
        <f>'7'!F7</f>
        <v>0</v>
      </c>
      <c r="MQ4" s="13">
        <f>'7'!G7</f>
        <v>0</v>
      </c>
      <c r="MR4" s="13">
        <f>'7'!H7</f>
        <v>0</v>
      </c>
      <c r="MS4" s="13">
        <f>'7'!I7</f>
        <v>0</v>
      </c>
      <c r="MT4" s="13">
        <f>'7'!J7</f>
        <v>0</v>
      </c>
      <c r="MU4" s="13">
        <f>'7'!K7</f>
        <v>0</v>
      </c>
      <c r="MV4" s="13">
        <f>'7'!L7</f>
        <v>0</v>
      </c>
      <c r="MW4" s="13">
        <f>'7'!M7</f>
        <v>0</v>
      </c>
      <c r="MX4" s="13" t="s">
        <v>763</v>
      </c>
      <c r="MY4">
        <f t="shared" ref="MY4:MY35" si="82">IF(Diseño="Bloque",LZ4,ML4)</f>
        <v>70</v>
      </c>
      <c r="MZ4" s="13" t="s">
        <v>764</v>
      </c>
      <c r="NA4">
        <f t="shared" ref="NA4:NA35" si="83">IF(Diseño="Bloque",MA4,MM4)</f>
        <v>0</v>
      </c>
      <c r="NB4" s="13" t="s">
        <v>765</v>
      </c>
      <c r="NC4">
        <f t="shared" ref="NC4:NC35" si="84">IF(Diseño="Bloque",MB4,MN4)</f>
        <v>0</v>
      </c>
      <c r="ND4" s="13" t="s">
        <v>766</v>
      </c>
      <c r="NE4">
        <f t="shared" ref="NE4:NE35" si="85">IF(Diseño="Bloque",MC4,MO4)</f>
        <v>0</v>
      </c>
      <c r="NF4" s="13" t="s">
        <v>767</v>
      </c>
      <c r="NG4">
        <f t="shared" ref="NG4:NG35" si="86">IF(Diseño="Bloque",MD4,MP4)</f>
        <v>0</v>
      </c>
      <c r="NH4" s="13" t="s">
        <v>768</v>
      </c>
      <c r="NI4">
        <f t="shared" ref="NI4:NI35" si="87">IF(Diseño="Bloque",ME4,MQ4)</f>
        <v>0</v>
      </c>
      <c r="NJ4" s="13" t="s">
        <v>769</v>
      </c>
      <c r="NK4">
        <f t="shared" ref="NK4:NK35" si="88">IF(Diseño="Bloque",MF4,MR4)</f>
        <v>0</v>
      </c>
      <c r="NL4" s="13" t="s">
        <v>770</v>
      </c>
      <c r="NM4">
        <f t="shared" ref="NM4:NM35" si="89">IF(Diseño="Bloque",MG4,MS4)</f>
        <v>0</v>
      </c>
      <c r="NN4" s="13" t="s">
        <v>771</v>
      </c>
      <c r="NO4">
        <f t="shared" ref="NO4:NO35" si="90">IF(Diseño="Bloque",MH4,MT4)</f>
        <v>0</v>
      </c>
      <c r="NP4" s="13" t="s">
        <v>772</v>
      </c>
      <c r="NQ4">
        <f t="shared" ref="NQ4:NQ35" si="91">IF(Diseño="Bloque",MI4,MU4)</f>
        <v>0</v>
      </c>
      <c r="NR4" s="13" t="s">
        <v>773</v>
      </c>
      <c r="NS4">
        <f t="shared" ref="NS4:NS35" si="92">IF(Diseño="Bloque",MJ4,MV4)</f>
        <v>0</v>
      </c>
      <c r="NT4" s="13" t="s">
        <v>774</v>
      </c>
      <c r="NU4">
        <f t="shared" ref="NU4:NU35" si="93">IF(Diseño="Bloque",MK4,MW4)</f>
        <v>0</v>
      </c>
      <c r="NV4" s="13"/>
    </row>
    <row r="5" spans="1:386" customFormat="1" x14ac:dyDescent="0.25">
      <c r="A5">
        <v>2</v>
      </c>
      <c r="B5">
        <f>'6'!AB11</f>
        <v>0</v>
      </c>
      <c r="C5">
        <f>'6'!AC11</f>
        <v>0</v>
      </c>
      <c r="D5">
        <f>'6'!AD11</f>
        <v>0</v>
      </c>
      <c r="E5">
        <f>'6'!AE11</f>
        <v>0</v>
      </c>
      <c r="F5">
        <f>'6'!AF11</f>
        <v>0</v>
      </c>
      <c r="G5">
        <f>'6'!AG11</f>
        <v>0</v>
      </c>
      <c r="H5">
        <f>'6'!AH11</f>
        <v>0</v>
      </c>
      <c r="I5">
        <f>'6'!AI11</f>
        <v>0</v>
      </c>
      <c r="J5">
        <f>'6'!AJ11</f>
        <v>0</v>
      </c>
      <c r="K5">
        <f>'6'!AK11</f>
        <v>0</v>
      </c>
      <c r="L5">
        <f>'6'!AL11</f>
        <v>0</v>
      </c>
      <c r="M5">
        <f>'6'!AM11</f>
        <v>0</v>
      </c>
      <c r="N5">
        <f>'6'!AN11</f>
        <v>0</v>
      </c>
      <c r="O5">
        <f>'6'!AO11</f>
        <v>0</v>
      </c>
      <c r="P5">
        <f>'6'!AP11</f>
        <v>0</v>
      </c>
      <c r="Q5">
        <f>'6'!AQ11</f>
        <v>0</v>
      </c>
      <c r="R5">
        <f>'6'!AR11</f>
        <v>0</v>
      </c>
      <c r="S5">
        <f>'6'!AS11</f>
        <v>0</v>
      </c>
      <c r="T5">
        <f>'6'!AT11</f>
        <v>0</v>
      </c>
      <c r="U5">
        <f>'6'!AU11</f>
        <v>0</v>
      </c>
      <c r="V5">
        <f>'6'!AV11</f>
        <v>0</v>
      </c>
      <c r="W5">
        <f>'6'!AW11</f>
        <v>0</v>
      </c>
      <c r="X5">
        <f>'6'!AX11</f>
        <v>0</v>
      </c>
      <c r="Y5">
        <f>'6'!AY11</f>
        <v>0</v>
      </c>
      <c r="Z5">
        <f>'6'!AZ11</f>
        <v>0</v>
      </c>
      <c r="AA5">
        <f>'6'!BA11</f>
        <v>0</v>
      </c>
      <c r="AB5">
        <f>'6'!BB11</f>
        <v>0</v>
      </c>
      <c r="AC5">
        <f>'6'!BC11</f>
        <v>0</v>
      </c>
      <c r="AD5">
        <f>'6'!BD11</f>
        <v>0</v>
      </c>
      <c r="AE5">
        <f>'6'!BE11</f>
        <v>0</v>
      </c>
      <c r="AF5">
        <f>'6'!BF11</f>
        <v>0</v>
      </c>
      <c r="AG5">
        <f>'6'!BG11</f>
        <v>0</v>
      </c>
      <c r="AH5">
        <f>'6'!BH11</f>
        <v>0</v>
      </c>
      <c r="AI5">
        <f>'6'!BI11</f>
        <v>0</v>
      </c>
      <c r="AJ5">
        <f>'6'!BJ11</f>
        <v>0</v>
      </c>
      <c r="AK5">
        <f>'6'!BK11</f>
        <v>0</v>
      </c>
      <c r="AL5">
        <f>'6'!BL11</f>
        <v>0</v>
      </c>
      <c r="AM5">
        <f>'6'!BM11</f>
        <v>0</v>
      </c>
      <c r="AN5">
        <f>'6'!BN11</f>
        <v>0</v>
      </c>
      <c r="AO5">
        <f>'6'!BO11</f>
        <v>0</v>
      </c>
      <c r="AP5">
        <f>'6'!BP11</f>
        <v>0</v>
      </c>
      <c r="AQ5">
        <f>'6'!BQ11</f>
        <v>0</v>
      </c>
      <c r="AR5">
        <f>'6'!BR11</f>
        <v>0</v>
      </c>
      <c r="AS5">
        <f>'6'!BS11</f>
        <v>0</v>
      </c>
      <c r="AT5">
        <f>'6'!BT11</f>
        <v>0</v>
      </c>
      <c r="AU5">
        <f>'6'!BU11</f>
        <v>0</v>
      </c>
      <c r="AV5">
        <f>'6'!BV11</f>
        <v>0</v>
      </c>
      <c r="AW5">
        <f>'6'!BW11</f>
        <v>0</v>
      </c>
      <c r="AX5">
        <f>'6'!BX11</f>
        <v>0</v>
      </c>
      <c r="AY5">
        <f>'6'!BY11</f>
        <v>0</v>
      </c>
      <c r="AZ5">
        <f>'6'!BZ11</f>
        <v>0</v>
      </c>
      <c r="BA5">
        <f>'6'!CA11</f>
        <v>0</v>
      </c>
      <c r="BB5">
        <f>'6'!CB11</f>
        <v>0</v>
      </c>
      <c r="BC5">
        <f>'6'!CC11</f>
        <v>0</v>
      </c>
      <c r="BD5">
        <f>'6'!CD11</f>
        <v>0</v>
      </c>
      <c r="BE5">
        <f>'6'!CE11</f>
        <v>0</v>
      </c>
      <c r="BF5">
        <f>'6'!CF11</f>
        <v>0</v>
      </c>
      <c r="BG5">
        <f>'6'!CG11</f>
        <v>0</v>
      </c>
      <c r="BH5">
        <f>'6'!CH11</f>
        <v>0</v>
      </c>
      <c r="BI5">
        <f>'6'!CI11</f>
        <v>0</v>
      </c>
      <c r="BJ5">
        <f>'6'!CJ11</f>
        <v>0</v>
      </c>
      <c r="BK5">
        <f>'6'!CK11</f>
        <v>0</v>
      </c>
      <c r="BL5">
        <f>'6'!CL11</f>
        <v>0</v>
      </c>
      <c r="BM5">
        <f>'6'!CM11</f>
        <v>0</v>
      </c>
      <c r="BN5">
        <f>'6'!CN11</f>
        <v>0</v>
      </c>
      <c r="BO5">
        <f>'6'!CO11</f>
        <v>0</v>
      </c>
      <c r="BP5">
        <f>'6'!CP11</f>
        <v>0</v>
      </c>
      <c r="BQ5">
        <f>'6'!CQ11</f>
        <v>0</v>
      </c>
      <c r="BR5">
        <f>'6'!CR11</f>
        <v>0</v>
      </c>
      <c r="BS5">
        <f>'6'!CS11</f>
        <v>0</v>
      </c>
      <c r="BT5">
        <f>'6'!CT11</f>
        <v>0</v>
      </c>
      <c r="BU5">
        <f>'6'!CU11</f>
        <v>0</v>
      </c>
      <c r="BV5">
        <f>'6'!CV11</f>
        <v>0</v>
      </c>
      <c r="BW5">
        <f>'6'!CW11</f>
        <v>0</v>
      </c>
      <c r="BX5">
        <f>'6'!CX11</f>
        <v>0</v>
      </c>
      <c r="BY5">
        <f>'6'!CY11</f>
        <v>0</v>
      </c>
      <c r="BZ5">
        <f>'6'!CZ11</f>
        <v>0</v>
      </c>
      <c r="CA5">
        <f>'6'!DA11</f>
        <v>0</v>
      </c>
      <c r="CB5">
        <f>'6'!DB11</f>
        <v>0</v>
      </c>
      <c r="CC5">
        <f>'6'!DC11</f>
        <v>0</v>
      </c>
      <c r="CD5">
        <f>'6'!DD11</f>
        <v>0</v>
      </c>
      <c r="CE5">
        <f>'6'!DE11</f>
        <v>0</v>
      </c>
      <c r="CF5">
        <f>'6'!DF11</f>
        <v>0</v>
      </c>
      <c r="CG5">
        <f>'6'!DG11</f>
        <v>0</v>
      </c>
      <c r="CH5">
        <f>SUM('7'!AB17:AB21)</f>
        <v>0</v>
      </c>
      <c r="CI5">
        <f>SUM('7'!AC17:AC21)</f>
        <v>0</v>
      </c>
      <c r="CJ5">
        <f>SUM('7'!AD17:AD21)</f>
        <v>0</v>
      </c>
      <c r="CK5">
        <f>SUM('7'!AE17:AE21)</f>
        <v>0</v>
      </c>
      <c r="CL5">
        <f>SUM('7'!AF17:AF21)</f>
        <v>0</v>
      </c>
      <c r="CM5">
        <f>SUM('7'!AG17:AG21)</f>
        <v>0</v>
      </c>
      <c r="CN5">
        <f>SUM('7'!AH17:AH21)</f>
        <v>0</v>
      </c>
      <c r="CO5">
        <f>SUM('7'!AI17:AI21)</f>
        <v>0</v>
      </c>
      <c r="CP5">
        <f>SUM('7'!AJ17:AJ21)</f>
        <v>0</v>
      </c>
      <c r="CQ5">
        <f>SUM('7'!AK17:AK21)</f>
        <v>0</v>
      </c>
      <c r="CR5">
        <f>SUM('7'!AL17:AL21)</f>
        <v>0</v>
      </c>
      <c r="CS5">
        <f>SUM('7'!AM17:AM21)</f>
        <v>0</v>
      </c>
      <c r="CT5">
        <f>SUM('7'!AN17:AN21)</f>
        <v>0</v>
      </c>
      <c r="CU5">
        <f>SUM('7'!AO17:AO21)</f>
        <v>0</v>
      </c>
      <c r="CV5">
        <f>SUM('7'!AP17:AP21)</f>
        <v>0</v>
      </c>
      <c r="CW5">
        <f>SUM('7'!AQ17:AQ21)</f>
        <v>0</v>
      </c>
      <c r="CX5">
        <f>SUM('7'!AR17:AR21)</f>
        <v>0</v>
      </c>
      <c r="CY5">
        <f>SUM('7'!AS17:AS21)</f>
        <v>0</v>
      </c>
      <c r="CZ5">
        <f>SUM('7'!AT17:AT21)</f>
        <v>0</v>
      </c>
      <c r="DA5">
        <f>SUM('7'!AU17:AU21)</f>
        <v>0</v>
      </c>
      <c r="DB5">
        <f>SUM('7'!AV17:AV21)</f>
        <v>0</v>
      </c>
      <c r="DC5">
        <f>SUM('7'!AW17:AW21)</f>
        <v>0</v>
      </c>
      <c r="DD5">
        <f>SUM('7'!AX17:AX21)</f>
        <v>0</v>
      </c>
      <c r="DE5">
        <f>SUM('7'!AY17:AY21)</f>
        <v>0</v>
      </c>
      <c r="DF5">
        <f>SUM('7'!AZ17:AZ21)</f>
        <v>0</v>
      </c>
      <c r="DG5">
        <f>SUM('7'!BA17:BA21)</f>
        <v>0</v>
      </c>
      <c r="DH5">
        <f>SUM('7'!BB17:BB21)</f>
        <v>0</v>
      </c>
      <c r="DI5">
        <f>SUM('7'!BC17:BC21)</f>
        <v>0</v>
      </c>
      <c r="DJ5">
        <f>SUM('7'!BD17:BD21)</f>
        <v>0</v>
      </c>
      <c r="DK5">
        <f>SUM('7'!BE17:BE21)</f>
        <v>0</v>
      </c>
      <c r="DL5">
        <f>SUM('7'!BF17:BF21)</f>
        <v>0</v>
      </c>
      <c r="DM5">
        <f>SUM('7'!BG17:BG21)</f>
        <v>0</v>
      </c>
      <c r="DN5">
        <f>SUM('7'!BH17:BH21)</f>
        <v>0</v>
      </c>
      <c r="DO5">
        <f>SUM('7'!BI17:BI21)</f>
        <v>0</v>
      </c>
      <c r="DP5">
        <f>SUM('7'!BJ17:BJ21)</f>
        <v>0</v>
      </c>
      <c r="DQ5">
        <f>SUM('7'!BK17:BK21)</f>
        <v>0</v>
      </c>
      <c r="DR5">
        <f>SUM('7'!BL17:BL21)</f>
        <v>0</v>
      </c>
      <c r="DS5">
        <f>SUM('7'!BM17:BM21)</f>
        <v>0</v>
      </c>
      <c r="DT5">
        <f>SUM('7'!BN17:BN21)</f>
        <v>0</v>
      </c>
      <c r="DU5">
        <f>SUM('7'!BO17:BO21)</f>
        <v>0</v>
      </c>
      <c r="DV5">
        <f>SUM('7'!BP17:BP21)</f>
        <v>0</v>
      </c>
      <c r="DW5">
        <f>SUM('7'!BQ17:BQ21)</f>
        <v>0</v>
      </c>
      <c r="DX5">
        <f>SUM('7'!BR17:BR21)</f>
        <v>0</v>
      </c>
      <c r="DY5">
        <f>SUM('7'!BS17:BS21)</f>
        <v>0</v>
      </c>
      <c r="DZ5">
        <f>SUM('7'!BT17:BT21)</f>
        <v>0</v>
      </c>
      <c r="EA5">
        <f>SUM('7'!BU17:BU21)</f>
        <v>0</v>
      </c>
      <c r="EB5">
        <f>SUM('7'!BV17:BV21)</f>
        <v>0</v>
      </c>
      <c r="EC5">
        <f>SUM('7'!BW17:BW21)</f>
        <v>0</v>
      </c>
      <c r="ED5">
        <f>SUM('7'!BX17:BX21)</f>
        <v>0</v>
      </c>
      <c r="EE5">
        <f>SUM('7'!BY17:BY21)</f>
        <v>0</v>
      </c>
      <c r="EF5">
        <f>SUM('7'!BZ17:BZ21)</f>
        <v>0</v>
      </c>
      <c r="EG5">
        <f>SUM('7'!CA17:CA21)</f>
        <v>0</v>
      </c>
      <c r="EH5">
        <f>SUM('7'!CB17:CB21)</f>
        <v>0</v>
      </c>
      <c r="EI5">
        <f>SUM('7'!CC17:CC21)</f>
        <v>0</v>
      </c>
      <c r="EJ5">
        <f>SUM('7'!CD17:CD21)</f>
        <v>0</v>
      </c>
      <c r="EK5">
        <f>SUM('7'!CE17:CE21)</f>
        <v>0</v>
      </c>
      <c r="EL5">
        <f>SUM('7'!CF17:CF21)</f>
        <v>0</v>
      </c>
      <c r="EM5">
        <f>SUM('7'!CG17:CG21)</f>
        <v>0</v>
      </c>
      <c r="EN5">
        <f>SUM('7'!CH17:CH21)</f>
        <v>0</v>
      </c>
      <c r="EO5">
        <f>SUM('7'!CI17:CI21)</f>
        <v>0</v>
      </c>
      <c r="EP5">
        <f>SUM('7'!CJ17:CJ21)</f>
        <v>0</v>
      </c>
      <c r="EQ5">
        <f>SUM('7'!CK17:CK21)</f>
        <v>0</v>
      </c>
      <c r="ER5">
        <f>SUM('7'!CL17:CL21)</f>
        <v>0</v>
      </c>
      <c r="ES5">
        <f>SUM('7'!CM17:CM21)</f>
        <v>0</v>
      </c>
      <c r="ET5">
        <f>SUM('7'!CN17:CN21)</f>
        <v>0</v>
      </c>
      <c r="EU5">
        <f>SUM('7'!CO17:CO21)</f>
        <v>0</v>
      </c>
      <c r="EV5">
        <f>SUM('7'!CP17:CP21)</f>
        <v>0</v>
      </c>
      <c r="EW5">
        <f>SUM('7'!CQ17:CQ21)</f>
        <v>0</v>
      </c>
      <c r="EX5">
        <f>SUM('7'!CR17:CR21)</f>
        <v>0</v>
      </c>
      <c r="EY5">
        <f>SUM('7'!CS17:CS21)</f>
        <v>0</v>
      </c>
      <c r="EZ5">
        <f>SUM('7'!CT17:CT21)</f>
        <v>0</v>
      </c>
      <c r="FA5">
        <f>SUM('7'!CU17:CU21)</f>
        <v>0</v>
      </c>
      <c r="FB5">
        <f>SUM('7'!CV17:CV21)</f>
        <v>0</v>
      </c>
      <c r="FC5">
        <f>SUM('7'!CW17:CW21)</f>
        <v>0</v>
      </c>
      <c r="FD5">
        <f>SUM('7'!CX17:CX21)</f>
        <v>0</v>
      </c>
      <c r="FE5">
        <f>SUM('7'!CY17:CY21)</f>
        <v>0</v>
      </c>
      <c r="FF5">
        <f>SUM('7'!CZ17:CZ21)</f>
        <v>0</v>
      </c>
      <c r="FG5">
        <f>SUM('7'!DA17:DA21)</f>
        <v>0</v>
      </c>
      <c r="FH5">
        <f>SUM('7'!DB17:DB21)</f>
        <v>0</v>
      </c>
      <c r="FI5">
        <f>SUM('7'!DC17:DC21)</f>
        <v>0</v>
      </c>
      <c r="FJ5">
        <f>SUM('7'!DD17:DD21)</f>
        <v>0</v>
      </c>
      <c r="FK5">
        <f>SUM('7'!DE17:DE21)</f>
        <v>0</v>
      </c>
      <c r="FL5">
        <f>SUM('7'!DF17:DF21)</f>
        <v>0</v>
      </c>
      <c r="FM5">
        <f>SUM('7'!DG17:DG21)</f>
        <v>0</v>
      </c>
      <c r="FN5" t="s">
        <v>775</v>
      </c>
      <c r="FO5">
        <f t="shared" ref="FO5:FO35" si="94">IF(Diseño="Bloque",B5,CH5)</f>
        <v>0</v>
      </c>
      <c r="FP5" t="s">
        <v>776</v>
      </c>
      <c r="FQ5">
        <f t="shared" si="0"/>
        <v>0</v>
      </c>
      <c r="FR5" t="s">
        <v>777</v>
      </c>
      <c r="FS5">
        <f t="shared" si="1"/>
        <v>0</v>
      </c>
      <c r="FT5" t="s">
        <v>778</v>
      </c>
      <c r="FU5">
        <f t="shared" si="2"/>
        <v>0</v>
      </c>
      <c r="FV5" t="s">
        <v>779</v>
      </c>
      <c r="FW5">
        <f t="shared" si="3"/>
        <v>0</v>
      </c>
      <c r="FX5" t="s">
        <v>780</v>
      </c>
      <c r="FY5">
        <f t="shared" si="4"/>
        <v>0</v>
      </c>
      <c r="FZ5" t="s">
        <v>781</v>
      </c>
      <c r="GA5">
        <f t="shared" si="5"/>
        <v>0</v>
      </c>
      <c r="GB5" t="s">
        <v>782</v>
      </c>
      <c r="GC5">
        <f t="shared" si="6"/>
        <v>0</v>
      </c>
      <c r="GD5" t="s">
        <v>783</v>
      </c>
      <c r="GE5">
        <f t="shared" si="7"/>
        <v>0</v>
      </c>
      <c r="GF5" t="s">
        <v>784</v>
      </c>
      <c r="GG5">
        <f t="shared" si="8"/>
        <v>0</v>
      </c>
      <c r="GH5" t="s">
        <v>785</v>
      </c>
      <c r="GI5">
        <f t="shared" si="9"/>
        <v>0</v>
      </c>
      <c r="GJ5" t="s">
        <v>786</v>
      </c>
      <c r="GK5">
        <f t="shared" si="10"/>
        <v>0</v>
      </c>
      <c r="GL5" t="s">
        <v>787</v>
      </c>
      <c r="GM5">
        <f t="shared" si="11"/>
        <v>0</v>
      </c>
      <c r="GN5" t="s">
        <v>788</v>
      </c>
      <c r="GO5">
        <f>IF(Diseño="Bloque",O5,CU5)</f>
        <v>0</v>
      </c>
      <c r="GP5" t="s">
        <v>789</v>
      </c>
      <c r="GQ5">
        <f t="shared" si="12"/>
        <v>0</v>
      </c>
      <c r="GR5" t="s">
        <v>790</v>
      </c>
      <c r="GS5">
        <f t="shared" si="13"/>
        <v>0</v>
      </c>
      <c r="GT5" t="s">
        <v>791</v>
      </c>
      <c r="GU5">
        <f t="shared" si="14"/>
        <v>0</v>
      </c>
      <c r="GV5" t="s">
        <v>792</v>
      </c>
      <c r="GW5">
        <f t="shared" si="15"/>
        <v>0</v>
      </c>
      <c r="GX5" t="s">
        <v>793</v>
      </c>
      <c r="GY5">
        <f t="shared" si="16"/>
        <v>0</v>
      </c>
      <c r="GZ5" t="s">
        <v>794</v>
      </c>
      <c r="HA5">
        <f t="shared" si="17"/>
        <v>0</v>
      </c>
      <c r="HB5" t="s">
        <v>795</v>
      </c>
      <c r="HC5">
        <f t="shared" si="18"/>
        <v>0</v>
      </c>
      <c r="HD5" t="s">
        <v>796</v>
      </c>
      <c r="HE5">
        <f t="shared" si="19"/>
        <v>0</v>
      </c>
      <c r="HF5" t="s">
        <v>797</v>
      </c>
      <c r="HG5">
        <f t="shared" si="20"/>
        <v>0</v>
      </c>
      <c r="HH5" t="s">
        <v>798</v>
      </c>
      <c r="HI5">
        <f t="shared" si="21"/>
        <v>0</v>
      </c>
      <c r="HJ5" t="s">
        <v>799</v>
      </c>
      <c r="HK5">
        <f t="shared" si="22"/>
        <v>0</v>
      </c>
      <c r="HL5" t="s">
        <v>800</v>
      </c>
      <c r="HM5">
        <f t="shared" si="23"/>
        <v>0</v>
      </c>
      <c r="HN5" t="s">
        <v>801</v>
      </c>
      <c r="HO5">
        <f t="shared" si="24"/>
        <v>0</v>
      </c>
      <c r="HP5" t="s">
        <v>802</v>
      </c>
      <c r="HQ5">
        <f t="shared" si="25"/>
        <v>0</v>
      </c>
      <c r="HR5" t="s">
        <v>803</v>
      </c>
      <c r="HS5">
        <f t="shared" si="26"/>
        <v>0</v>
      </c>
      <c r="HT5" t="s">
        <v>804</v>
      </c>
      <c r="HU5">
        <f t="shared" si="27"/>
        <v>0</v>
      </c>
      <c r="HV5" t="s">
        <v>805</v>
      </c>
      <c r="HW5">
        <f t="shared" si="28"/>
        <v>0</v>
      </c>
      <c r="HX5" t="s">
        <v>806</v>
      </c>
      <c r="HY5">
        <f t="shared" si="29"/>
        <v>0</v>
      </c>
      <c r="HZ5" t="s">
        <v>807</v>
      </c>
      <c r="IA5">
        <f t="shared" si="30"/>
        <v>0</v>
      </c>
      <c r="IB5" t="s">
        <v>808</v>
      </c>
      <c r="IC5">
        <f t="shared" si="31"/>
        <v>0</v>
      </c>
      <c r="ID5" t="s">
        <v>809</v>
      </c>
      <c r="IE5">
        <f t="shared" si="32"/>
        <v>0</v>
      </c>
      <c r="IF5" t="s">
        <v>810</v>
      </c>
      <c r="IG5">
        <f t="shared" si="33"/>
        <v>0</v>
      </c>
      <c r="IH5" t="s">
        <v>811</v>
      </c>
      <c r="II5">
        <f t="shared" si="34"/>
        <v>0</v>
      </c>
      <c r="IJ5" t="s">
        <v>812</v>
      </c>
      <c r="IK5">
        <f t="shared" si="35"/>
        <v>0</v>
      </c>
      <c r="IL5" t="s">
        <v>813</v>
      </c>
      <c r="IM5">
        <f t="shared" si="36"/>
        <v>0</v>
      </c>
      <c r="IN5" t="s">
        <v>814</v>
      </c>
      <c r="IO5">
        <f t="shared" si="37"/>
        <v>0</v>
      </c>
      <c r="IP5" t="s">
        <v>815</v>
      </c>
      <c r="IQ5">
        <f t="shared" si="38"/>
        <v>0</v>
      </c>
      <c r="IR5" t="s">
        <v>816</v>
      </c>
      <c r="IS5">
        <f t="shared" si="39"/>
        <v>0</v>
      </c>
      <c r="IT5" t="s">
        <v>817</v>
      </c>
      <c r="IU5">
        <f t="shared" si="40"/>
        <v>0</v>
      </c>
      <c r="IV5" t="s">
        <v>818</v>
      </c>
      <c r="IW5">
        <f t="shared" si="41"/>
        <v>0</v>
      </c>
      <c r="IX5" t="s">
        <v>819</v>
      </c>
      <c r="IY5">
        <f t="shared" si="42"/>
        <v>0</v>
      </c>
      <c r="IZ5" t="s">
        <v>820</v>
      </c>
      <c r="JA5">
        <f t="shared" si="43"/>
        <v>0</v>
      </c>
      <c r="JB5" t="s">
        <v>821</v>
      </c>
      <c r="JC5">
        <f t="shared" si="44"/>
        <v>0</v>
      </c>
      <c r="JD5" t="s">
        <v>822</v>
      </c>
      <c r="JE5">
        <f t="shared" si="45"/>
        <v>0</v>
      </c>
      <c r="JF5" t="s">
        <v>823</v>
      </c>
      <c r="JG5">
        <f t="shared" si="46"/>
        <v>0</v>
      </c>
      <c r="JH5" t="s">
        <v>824</v>
      </c>
      <c r="JI5">
        <f t="shared" si="47"/>
        <v>0</v>
      </c>
      <c r="JJ5" t="s">
        <v>825</v>
      </c>
      <c r="JK5">
        <f t="shared" si="48"/>
        <v>0</v>
      </c>
      <c r="JL5" t="s">
        <v>826</v>
      </c>
      <c r="JM5">
        <f t="shared" si="49"/>
        <v>0</v>
      </c>
      <c r="JN5" t="s">
        <v>827</v>
      </c>
      <c r="JO5">
        <f t="shared" si="50"/>
        <v>0</v>
      </c>
      <c r="JP5" t="s">
        <v>828</v>
      </c>
      <c r="JQ5">
        <f t="shared" si="51"/>
        <v>0</v>
      </c>
      <c r="JR5" t="s">
        <v>829</v>
      </c>
      <c r="JS5">
        <f t="shared" si="52"/>
        <v>0</v>
      </c>
      <c r="JT5" t="s">
        <v>830</v>
      </c>
      <c r="JU5">
        <f t="shared" si="53"/>
        <v>0</v>
      </c>
      <c r="JV5" t="s">
        <v>831</v>
      </c>
      <c r="JW5">
        <f t="shared" si="54"/>
        <v>0</v>
      </c>
      <c r="JX5" t="s">
        <v>832</v>
      </c>
      <c r="JY5">
        <f t="shared" si="55"/>
        <v>0</v>
      </c>
      <c r="JZ5" t="s">
        <v>833</v>
      </c>
      <c r="KA5">
        <f t="shared" si="56"/>
        <v>0</v>
      </c>
      <c r="KB5" t="s">
        <v>834</v>
      </c>
      <c r="KC5">
        <f t="shared" si="57"/>
        <v>0</v>
      </c>
      <c r="KD5" t="s">
        <v>835</v>
      </c>
      <c r="KE5">
        <f t="shared" si="58"/>
        <v>0</v>
      </c>
      <c r="KF5" t="s">
        <v>836</v>
      </c>
      <c r="KG5">
        <f t="shared" si="59"/>
        <v>0</v>
      </c>
      <c r="KH5" t="s">
        <v>837</v>
      </c>
      <c r="KI5">
        <f t="shared" si="60"/>
        <v>0</v>
      </c>
      <c r="KJ5" t="s">
        <v>838</v>
      </c>
      <c r="KK5">
        <f t="shared" si="61"/>
        <v>0</v>
      </c>
      <c r="KL5" t="s">
        <v>839</v>
      </c>
      <c r="KM5">
        <f t="shared" si="62"/>
        <v>0</v>
      </c>
      <c r="KN5" t="s">
        <v>840</v>
      </c>
      <c r="KO5">
        <f t="shared" si="63"/>
        <v>0</v>
      </c>
      <c r="KP5" t="s">
        <v>841</v>
      </c>
      <c r="KQ5">
        <f t="shared" si="64"/>
        <v>0</v>
      </c>
      <c r="KR5" t="s">
        <v>842</v>
      </c>
      <c r="KS5">
        <f t="shared" si="65"/>
        <v>0</v>
      </c>
      <c r="KT5" t="s">
        <v>843</v>
      </c>
      <c r="KU5">
        <f t="shared" si="66"/>
        <v>0</v>
      </c>
      <c r="KV5" t="s">
        <v>844</v>
      </c>
      <c r="KW5">
        <f t="shared" si="67"/>
        <v>0</v>
      </c>
      <c r="KX5" t="s">
        <v>845</v>
      </c>
      <c r="KY5">
        <f t="shared" si="68"/>
        <v>0</v>
      </c>
      <c r="KZ5" t="s">
        <v>846</v>
      </c>
      <c r="LA5">
        <f t="shared" si="69"/>
        <v>0</v>
      </c>
      <c r="LB5" t="s">
        <v>847</v>
      </c>
      <c r="LC5">
        <f t="shared" si="70"/>
        <v>0</v>
      </c>
      <c r="LD5" t="s">
        <v>848</v>
      </c>
      <c r="LE5">
        <f t="shared" si="71"/>
        <v>0</v>
      </c>
      <c r="LF5" t="s">
        <v>849</v>
      </c>
      <c r="LG5">
        <f t="shared" si="72"/>
        <v>0</v>
      </c>
      <c r="LH5" t="s">
        <v>850</v>
      </c>
      <c r="LI5">
        <f t="shared" si="73"/>
        <v>0</v>
      </c>
      <c r="LJ5" t="s">
        <v>851</v>
      </c>
      <c r="LK5">
        <f t="shared" si="74"/>
        <v>0</v>
      </c>
      <c r="LL5" t="s">
        <v>852</v>
      </c>
      <c r="LM5">
        <f t="shared" si="75"/>
        <v>0</v>
      </c>
      <c r="LN5" t="s">
        <v>853</v>
      </c>
      <c r="LO5">
        <f t="shared" si="76"/>
        <v>0</v>
      </c>
      <c r="LP5" t="s">
        <v>854</v>
      </c>
      <c r="LQ5">
        <f t="shared" si="77"/>
        <v>0</v>
      </c>
      <c r="LR5" t="s">
        <v>855</v>
      </c>
      <c r="LS5">
        <f t="shared" si="78"/>
        <v>0</v>
      </c>
      <c r="LT5" t="s">
        <v>856</v>
      </c>
      <c r="LU5">
        <f t="shared" si="79"/>
        <v>0</v>
      </c>
      <c r="LV5" t="s">
        <v>857</v>
      </c>
      <c r="LW5">
        <f t="shared" si="80"/>
        <v>0</v>
      </c>
      <c r="LX5" t="s">
        <v>858</v>
      </c>
      <c r="LY5">
        <f t="shared" si="81"/>
        <v>0</v>
      </c>
      <c r="LZ5">
        <f>'6'!B12</f>
        <v>0</v>
      </c>
      <c r="MA5">
        <f>'6'!C12</f>
        <v>0</v>
      </c>
      <c r="MB5">
        <f>'6'!D12</f>
        <v>0</v>
      </c>
      <c r="MC5">
        <f>'6'!E12</f>
        <v>0</v>
      </c>
      <c r="MD5">
        <f>'6'!F12</f>
        <v>0</v>
      </c>
      <c r="ME5">
        <f>'6'!G12</f>
        <v>0</v>
      </c>
      <c r="MF5">
        <f>'6'!H12</f>
        <v>0</v>
      </c>
      <c r="MG5">
        <f>'6'!I12</f>
        <v>0</v>
      </c>
      <c r="MH5">
        <f>'6'!J12</f>
        <v>0</v>
      </c>
      <c r="MI5">
        <f>'6'!K12</f>
        <v>0</v>
      </c>
      <c r="MJ5">
        <f>'6'!L12</f>
        <v>0</v>
      </c>
      <c r="MK5">
        <f>'6'!M12</f>
        <v>0</v>
      </c>
      <c r="ML5" s="13">
        <f>'7'!B15</f>
        <v>0</v>
      </c>
      <c r="MM5" s="13">
        <f>'7'!C15</f>
        <v>0</v>
      </c>
      <c r="MN5" s="13">
        <f>'7'!D15</f>
        <v>0</v>
      </c>
      <c r="MO5" s="13">
        <f>'7'!E15</f>
        <v>0</v>
      </c>
      <c r="MP5" s="13">
        <f>'7'!F15</f>
        <v>0</v>
      </c>
      <c r="MQ5" s="13">
        <f>'7'!G15</f>
        <v>0</v>
      </c>
      <c r="MR5" s="13">
        <f>'7'!H15</f>
        <v>0</v>
      </c>
      <c r="MS5" s="13">
        <f>'7'!I15</f>
        <v>0</v>
      </c>
      <c r="MT5" s="13">
        <f>'7'!J15</f>
        <v>0</v>
      </c>
      <c r="MU5" s="13">
        <f>'7'!K15</f>
        <v>0</v>
      </c>
      <c r="MV5" s="13">
        <f>'7'!L15</f>
        <v>0</v>
      </c>
      <c r="MW5" s="13">
        <f>'7'!M15</f>
        <v>0</v>
      </c>
      <c r="MX5" s="13" t="s">
        <v>859</v>
      </c>
      <c r="MY5">
        <f t="shared" si="82"/>
        <v>0</v>
      </c>
      <c r="MZ5" s="13" t="s">
        <v>860</v>
      </c>
      <c r="NA5">
        <f t="shared" si="83"/>
        <v>0</v>
      </c>
      <c r="NB5" s="13" t="s">
        <v>861</v>
      </c>
      <c r="NC5">
        <f t="shared" si="84"/>
        <v>0</v>
      </c>
      <c r="ND5" s="13" t="s">
        <v>862</v>
      </c>
      <c r="NE5">
        <f t="shared" si="85"/>
        <v>0</v>
      </c>
      <c r="NF5" s="13" t="s">
        <v>863</v>
      </c>
      <c r="NG5">
        <f t="shared" si="86"/>
        <v>0</v>
      </c>
      <c r="NH5" s="13" t="s">
        <v>864</v>
      </c>
      <c r="NI5">
        <f t="shared" si="87"/>
        <v>0</v>
      </c>
      <c r="NJ5" s="13" t="s">
        <v>865</v>
      </c>
      <c r="NK5">
        <f t="shared" si="88"/>
        <v>0</v>
      </c>
      <c r="NL5" s="13" t="s">
        <v>866</v>
      </c>
      <c r="NM5">
        <f t="shared" si="89"/>
        <v>0</v>
      </c>
      <c r="NN5" s="13" t="s">
        <v>867</v>
      </c>
      <c r="NO5">
        <f t="shared" si="90"/>
        <v>0</v>
      </c>
      <c r="NP5" s="13" t="s">
        <v>868</v>
      </c>
      <c r="NQ5">
        <f t="shared" si="91"/>
        <v>0</v>
      </c>
      <c r="NR5" s="13" t="s">
        <v>869</v>
      </c>
      <c r="NS5">
        <f t="shared" si="92"/>
        <v>0</v>
      </c>
      <c r="NT5" s="13" t="s">
        <v>870</v>
      </c>
      <c r="NU5">
        <f t="shared" si="93"/>
        <v>0</v>
      </c>
      <c r="NV5" s="13"/>
    </row>
    <row r="6" spans="1:386" customFormat="1" x14ac:dyDescent="0.25">
      <c r="A6">
        <v>3</v>
      </c>
      <c r="B6">
        <f>'6'!AB15</f>
        <v>0</v>
      </c>
      <c r="C6">
        <f>'6'!AC15</f>
        <v>0</v>
      </c>
      <c r="D6">
        <f>'6'!AD15</f>
        <v>0</v>
      </c>
      <c r="E6">
        <f>'6'!AE15</f>
        <v>0</v>
      </c>
      <c r="F6">
        <f>'6'!AF15</f>
        <v>0</v>
      </c>
      <c r="G6">
        <f>'6'!AG15</f>
        <v>0</v>
      </c>
      <c r="H6">
        <f>'6'!AH15</f>
        <v>0</v>
      </c>
      <c r="I6">
        <f>'6'!AI15</f>
        <v>0</v>
      </c>
      <c r="J6">
        <f>'6'!AJ15</f>
        <v>0</v>
      </c>
      <c r="K6">
        <f>'6'!AK15</f>
        <v>0</v>
      </c>
      <c r="L6">
        <f>'6'!AL15</f>
        <v>0</v>
      </c>
      <c r="M6">
        <f>'6'!AM15</f>
        <v>0</v>
      </c>
      <c r="N6">
        <f>'6'!AN15</f>
        <v>0</v>
      </c>
      <c r="O6">
        <f>'6'!AO15</f>
        <v>0</v>
      </c>
      <c r="P6">
        <f>'6'!AP15</f>
        <v>0</v>
      </c>
      <c r="Q6">
        <f>'6'!AQ15</f>
        <v>0</v>
      </c>
      <c r="R6">
        <f>'6'!AR15</f>
        <v>0</v>
      </c>
      <c r="S6">
        <f>'6'!AS15</f>
        <v>0</v>
      </c>
      <c r="T6">
        <f>'6'!AT15</f>
        <v>0</v>
      </c>
      <c r="U6">
        <f>'6'!AU15</f>
        <v>0</v>
      </c>
      <c r="V6">
        <f>'6'!AV15</f>
        <v>0</v>
      </c>
      <c r="W6">
        <f>'6'!AW15</f>
        <v>0</v>
      </c>
      <c r="X6">
        <f>'6'!AX15</f>
        <v>0</v>
      </c>
      <c r="Y6">
        <f>'6'!AY15</f>
        <v>0</v>
      </c>
      <c r="Z6">
        <f>'6'!AZ15</f>
        <v>0</v>
      </c>
      <c r="AA6">
        <f>'6'!BA15</f>
        <v>0</v>
      </c>
      <c r="AB6">
        <f>'6'!BB15</f>
        <v>0</v>
      </c>
      <c r="AC6">
        <f>'6'!BC15</f>
        <v>0</v>
      </c>
      <c r="AD6">
        <f>'6'!BD15</f>
        <v>0</v>
      </c>
      <c r="AE6">
        <f>'6'!BE15</f>
        <v>0</v>
      </c>
      <c r="AF6">
        <f>'6'!BF15</f>
        <v>0</v>
      </c>
      <c r="AG6">
        <f>'6'!BG15</f>
        <v>0</v>
      </c>
      <c r="AH6">
        <f>'6'!BH15</f>
        <v>0</v>
      </c>
      <c r="AI6">
        <f>'6'!BI15</f>
        <v>0</v>
      </c>
      <c r="AJ6">
        <f>'6'!BJ15</f>
        <v>0</v>
      </c>
      <c r="AK6">
        <f>'6'!BK15</f>
        <v>0</v>
      </c>
      <c r="AL6">
        <f>'6'!BL15</f>
        <v>0</v>
      </c>
      <c r="AM6">
        <f>'6'!BM15</f>
        <v>0</v>
      </c>
      <c r="AN6">
        <f>'6'!BN15</f>
        <v>0</v>
      </c>
      <c r="AO6">
        <f>'6'!BO15</f>
        <v>0</v>
      </c>
      <c r="AP6">
        <f>'6'!BP15</f>
        <v>0</v>
      </c>
      <c r="AQ6">
        <f>'6'!BQ15</f>
        <v>0</v>
      </c>
      <c r="AR6">
        <f>'6'!BR15</f>
        <v>0</v>
      </c>
      <c r="AS6">
        <f>'6'!BS15</f>
        <v>0</v>
      </c>
      <c r="AT6">
        <f>'6'!BT15</f>
        <v>0</v>
      </c>
      <c r="AU6">
        <f>'6'!BU15</f>
        <v>0</v>
      </c>
      <c r="AV6">
        <f>'6'!BV15</f>
        <v>0</v>
      </c>
      <c r="AW6">
        <f>'6'!BW15</f>
        <v>0</v>
      </c>
      <c r="AX6">
        <f>'6'!BX15</f>
        <v>0</v>
      </c>
      <c r="AY6">
        <f>'6'!BY15</f>
        <v>0</v>
      </c>
      <c r="AZ6">
        <f>'6'!BZ15</f>
        <v>0</v>
      </c>
      <c r="BA6">
        <f>'6'!CA15</f>
        <v>0</v>
      </c>
      <c r="BB6">
        <f>'6'!CB15</f>
        <v>0</v>
      </c>
      <c r="BC6">
        <f>'6'!CC15</f>
        <v>0</v>
      </c>
      <c r="BD6">
        <f>'6'!CD15</f>
        <v>0</v>
      </c>
      <c r="BE6">
        <f>'6'!CE15</f>
        <v>0</v>
      </c>
      <c r="BF6">
        <f>'6'!CF15</f>
        <v>0</v>
      </c>
      <c r="BG6">
        <f>'6'!CG15</f>
        <v>0</v>
      </c>
      <c r="BH6">
        <f>'6'!CH15</f>
        <v>0</v>
      </c>
      <c r="BI6">
        <f>'6'!CI15</f>
        <v>0</v>
      </c>
      <c r="BJ6">
        <f>'6'!CJ15</f>
        <v>0</v>
      </c>
      <c r="BK6">
        <f>'6'!CK15</f>
        <v>0</v>
      </c>
      <c r="BL6">
        <f>'6'!CL15</f>
        <v>0</v>
      </c>
      <c r="BM6">
        <f>'6'!CM15</f>
        <v>0</v>
      </c>
      <c r="BN6">
        <f>'6'!CN15</f>
        <v>0</v>
      </c>
      <c r="BO6">
        <f>'6'!CO15</f>
        <v>0</v>
      </c>
      <c r="BP6">
        <f>'6'!CP15</f>
        <v>0</v>
      </c>
      <c r="BQ6">
        <f>'6'!CQ15</f>
        <v>0</v>
      </c>
      <c r="BR6">
        <f>'6'!CR15</f>
        <v>0</v>
      </c>
      <c r="BS6">
        <f>'6'!CS15</f>
        <v>0</v>
      </c>
      <c r="BT6">
        <f>'6'!CT15</f>
        <v>0</v>
      </c>
      <c r="BU6">
        <f>'6'!CU15</f>
        <v>0</v>
      </c>
      <c r="BV6">
        <f>'6'!CV15</f>
        <v>0</v>
      </c>
      <c r="BW6">
        <f>'6'!CW15</f>
        <v>0</v>
      </c>
      <c r="BX6">
        <f>'6'!CX15</f>
        <v>0</v>
      </c>
      <c r="BY6">
        <f>'6'!CY15</f>
        <v>0</v>
      </c>
      <c r="BZ6">
        <f>'6'!CZ15</f>
        <v>0</v>
      </c>
      <c r="CA6">
        <f>'6'!DA15</f>
        <v>0</v>
      </c>
      <c r="CB6">
        <f>'6'!DB15</f>
        <v>0</v>
      </c>
      <c r="CC6">
        <f>'6'!DC15</f>
        <v>0</v>
      </c>
      <c r="CD6">
        <f>'6'!DD15</f>
        <v>0</v>
      </c>
      <c r="CE6">
        <f>'6'!DE15</f>
        <v>0</v>
      </c>
      <c r="CF6">
        <f>'6'!DF15</f>
        <v>0</v>
      </c>
      <c r="CG6">
        <f>'6'!DG15</f>
        <v>0</v>
      </c>
      <c r="CH6">
        <f>SUM('7'!AB25:AB29)</f>
        <v>0</v>
      </c>
      <c r="CI6">
        <f>SUM('7'!AC25:AC29)</f>
        <v>0</v>
      </c>
      <c r="CJ6">
        <f>SUM('7'!AD25:AD29)</f>
        <v>0</v>
      </c>
      <c r="CK6">
        <f>SUM('7'!AE25:AE29)</f>
        <v>0</v>
      </c>
      <c r="CL6">
        <f>SUM('7'!AF25:AF29)</f>
        <v>0</v>
      </c>
      <c r="CM6">
        <f>SUM('7'!AG25:AG29)</f>
        <v>0</v>
      </c>
      <c r="CN6">
        <f>SUM('7'!AH25:AH29)</f>
        <v>0</v>
      </c>
      <c r="CO6">
        <f>SUM('7'!AI25:AI29)</f>
        <v>0</v>
      </c>
      <c r="CP6">
        <f>SUM('7'!AJ25:AJ29)</f>
        <v>0</v>
      </c>
      <c r="CQ6">
        <f>SUM('7'!AK25:AK29)</f>
        <v>0</v>
      </c>
      <c r="CR6">
        <f>SUM('7'!AL25:AL29)</f>
        <v>0</v>
      </c>
      <c r="CS6">
        <f>SUM('7'!AM25:AM29)</f>
        <v>0</v>
      </c>
      <c r="CT6">
        <f>SUM('7'!AN25:AN29)</f>
        <v>0</v>
      </c>
      <c r="CU6">
        <f>SUM('7'!AO25:AO29)</f>
        <v>0</v>
      </c>
      <c r="CV6">
        <f>SUM('7'!AP25:AP29)</f>
        <v>0</v>
      </c>
      <c r="CW6">
        <f>SUM('7'!AQ25:AQ29)</f>
        <v>0</v>
      </c>
      <c r="CX6">
        <f>SUM('7'!AR25:AR29)</f>
        <v>0</v>
      </c>
      <c r="CY6">
        <f>SUM('7'!AS25:AS29)</f>
        <v>0</v>
      </c>
      <c r="CZ6">
        <f>SUM('7'!AT25:AT29)</f>
        <v>0</v>
      </c>
      <c r="DA6">
        <f>SUM('7'!AU25:AU29)</f>
        <v>0</v>
      </c>
      <c r="DB6">
        <f>SUM('7'!AV25:AV29)</f>
        <v>0</v>
      </c>
      <c r="DC6">
        <f>SUM('7'!AW25:AW29)</f>
        <v>0</v>
      </c>
      <c r="DD6">
        <f>SUM('7'!AX25:AX29)</f>
        <v>0</v>
      </c>
      <c r="DE6">
        <f>SUM('7'!AY25:AY29)</f>
        <v>0</v>
      </c>
      <c r="DF6">
        <f>SUM('7'!AZ25:AZ29)</f>
        <v>0</v>
      </c>
      <c r="DG6">
        <f>SUM('7'!BA25:BA29)</f>
        <v>0</v>
      </c>
      <c r="DH6">
        <f>SUM('7'!BB25:BB29)</f>
        <v>0</v>
      </c>
      <c r="DI6">
        <f>SUM('7'!BC25:BC29)</f>
        <v>0</v>
      </c>
      <c r="DJ6">
        <f>SUM('7'!BD25:BD29)</f>
        <v>0</v>
      </c>
      <c r="DK6">
        <f>SUM('7'!BE25:BE29)</f>
        <v>0</v>
      </c>
      <c r="DL6">
        <f>SUM('7'!BF25:BF29)</f>
        <v>0</v>
      </c>
      <c r="DM6">
        <f>SUM('7'!BG25:BG29)</f>
        <v>0</v>
      </c>
      <c r="DN6">
        <f>SUM('7'!BH25:BH29)</f>
        <v>0</v>
      </c>
      <c r="DO6">
        <f>SUM('7'!BI25:BI29)</f>
        <v>0</v>
      </c>
      <c r="DP6">
        <f>SUM('7'!BJ25:BJ29)</f>
        <v>0</v>
      </c>
      <c r="DQ6">
        <f>SUM('7'!BK25:BK29)</f>
        <v>0</v>
      </c>
      <c r="DR6">
        <f>SUM('7'!BL25:BL29)</f>
        <v>0</v>
      </c>
      <c r="DS6">
        <f>SUM('7'!BM25:BM29)</f>
        <v>0</v>
      </c>
      <c r="DT6">
        <f>SUM('7'!BN25:BN29)</f>
        <v>0</v>
      </c>
      <c r="DU6">
        <f>SUM('7'!BO25:BO29)</f>
        <v>0</v>
      </c>
      <c r="DV6">
        <f>SUM('7'!BP25:BP29)</f>
        <v>0</v>
      </c>
      <c r="DW6">
        <f>SUM('7'!BQ25:BQ29)</f>
        <v>0</v>
      </c>
      <c r="DX6">
        <f>SUM('7'!BR25:BR29)</f>
        <v>0</v>
      </c>
      <c r="DY6">
        <f>SUM('7'!BS25:BS29)</f>
        <v>0</v>
      </c>
      <c r="DZ6">
        <f>SUM('7'!BT25:BT29)</f>
        <v>0</v>
      </c>
      <c r="EA6">
        <f>SUM('7'!BU25:BU29)</f>
        <v>0</v>
      </c>
      <c r="EB6">
        <f>SUM('7'!BV25:BV29)</f>
        <v>0</v>
      </c>
      <c r="EC6">
        <f>SUM('7'!BW25:BW29)</f>
        <v>0</v>
      </c>
      <c r="ED6">
        <f>SUM('7'!BX25:BX29)</f>
        <v>0</v>
      </c>
      <c r="EE6">
        <f>SUM('7'!BY25:BY29)</f>
        <v>0</v>
      </c>
      <c r="EF6">
        <f>SUM('7'!BZ25:BZ29)</f>
        <v>0</v>
      </c>
      <c r="EG6">
        <f>SUM('7'!CA25:CA29)</f>
        <v>0</v>
      </c>
      <c r="EH6">
        <f>SUM('7'!CB25:CB29)</f>
        <v>0</v>
      </c>
      <c r="EI6">
        <f>SUM('7'!CC25:CC29)</f>
        <v>0</v>
      </c>
      <c r="EJ6">
        <f>SUM('7'!CD25:CD29)</f>
        <v>0</v>
      </c>
      <c r="EK6">
        <f>SUM('7'!CE25:CE29)</f>
        <v>0</v>
      </c>
      <c r="EL6">
        <f>SUM('7'!CF25:CF29)</f>
        <v>0</v>
      </c>
      <c r="EM6">
        <f>SUM('7'!CG25:CG29)</f>
        <v>0</v>
      </c>
      <c r="EN6">
        <f>SUM('7'!CH25:CH29)</f>
        <v>0</v>
      </c>
      <c r="EO6">
        <f>SUM('7'!CI25:CI29)</f>
        <v>0</v>
      </c>
      <c r="EP6">
        <f>SUM('7'!CJ25:CJ29)</f>
        <v>0</v>
      </c>
      <c r="EQ6">
        <f>SUM('7'!CK25:CK29)</f>
        <v>0</v>
      </c>
      <c r="ER6">
        <f>SUM('7'!CL25:CL29)</f>
        <v>0</v>
      </c>
      <c r="ES6">
        <f>SUM('7'!CM25:CM29)</f>
        <v>0</v>
      </c>
      <c r="ET6">
        <f>SUM('7'!CN25:CN29)</f>
        <v>0</v>
      </c>
      <c r="EU6">
        <f>SUM('7'!CO25:CO29)</f>
        <v>0</v>
      </c>
      <c r="EV6">
        <f>SUM('7'!CP25:CP29)</f>
        <v>0</v>
      </c>
      <c r="EW6">
        <f>SUM('7'!CQ25:CQ29)</f>
        <v>0</v>
      </c>
      <c r="EX6">
        <f>SUM('7'!CR25:CR29)</f>
        <v>0</v>
      </c>
      <c r="EY6">
        <f>SUM('7'!CS25:CS29)</f>
        <v>0</v>
      </c>
      <c r="EZ6">
        <f>SUM('7'!CT25:CT29)</f>
        <v>0</v>
      </c>
      <c r="FA6">
        <f>SUM('7'!CU25:CU29)</f>
        <v>0</v>
      </c>
      <c r="FB6">
        <f>SUM('7'!CV25:CV29)</f>
        <v>0</v>
      </c>
      <c r="FC6">
        <f>SUM('7'!CW25:CW29)</f>
        <v>0</v>
      </c>
      <c r="FD6">
        <f>SUM('7'!CX25:CX29)</f>
        <v>0</v>
      </c>
      <c r="FE6">
        <f>SUM('7'!CY25:CY29)</f>
        <v>0</v>
      </c>
      <c r="FF6">
        <f>SUM('7'!CZ25:CZ29)</f>
        <v>0</v>
      </c>
      <c r="FG6">
        <f>SUM('7'!DA25:DA29)</f>
        <v>0</v>
      </c>
      <c r="FH6">
        <f>SUM('7'!DB25:DB29)</f>
        <v>0</v>
      </c>
      <c r="FI6">
        <f>SUM('7'!DC25:DC29)</f>
        <v>0</v>
      </c>
      <c r="FJ6">
        <f>SUM('7'!DD25:DD29)</f>
        <v>0</v>
      </c>
      <c r="FK6">
        <f>SUM('7'!DE25:DE29)</f>
        <v>0</v>
      </c>
      <c r="FL6">
        <f>SUM('7'!DF25:DF29)</f>
        <v>0</v>
      </c>
      <c r="FM6">
        <f>SUM('7'!DG25:DG29)</f>
        <v>0</v>
      </c>
      <c r="FN6" t="s">
        <v>871</v>
      </c>
      <c r="FO6">
        <f t="shared" si="94"/>
        <v>0</v>
      </c>
      <c r="FP6" t="s">
        <v>872</v>
      </c>
      <c r="FQ6">
        <f t="shared" si="0"/>
        <v>0</v>
      </c>
      <c r="FR6" t="s">
        <v>873</v>
      </c>
      <c r="FS6">
        <f t="shared" si="1"/>
        <v>0</v>
      </c>
      <c r="FT6" t="s">
        <v>874</v>
      </c>
      <c r="FU6">
        <f t="shared" si="2"/>
        <v>0</v>
      </c>
      <c r="FV6" t="s">
        <v>875</v>
      </c>
      <c r="FW6">
        <f t="shared" si="3"/>
        <v>0</v>
      </c>
      <c r="FX6" t="s">
        <v>876</v>
      </c>
      <c r="FY6">
        <f t="shared" si="4"/>
        <v>0</v>
      </c>
      <c r="FZ6" t="s">
        <v>877</v>
      </c>
      <c r="GA6">
        <f t="shared" si="5"/>
        <v>0</v>
      </c>
      <c r="GB6" t="s">
        <v>878</v>
      </c>
      <c r="GC6">
        <f t="shared" si="6"/>
        <v>0</v>
      </c>
      <c r="GD6" t="s">
        <v>879</v>
      </c>
      <c r="GE6">
        <f t="shared" si="7"/>
        <v>0</v>
      </c>
      <c r="GF6" t="s">
        <v>880</v>
      </c>
      <c r="GG6">
        <f t="shared" si="8"/>
        <v>0</v>
      </c>
      <c r="GH6" t="s">
        <v>881</v>
      </c>
      <c r="GI6">
        <f t="shared" si="9"/>
        <v>0</v>
      </c>
      <c r="GJ6" t="s">
        <v>882</v>
      </c>
      <c r="GK6">
        <f t="shared" si="10"/>
        <v>0</v>
      </c>
      <c r="GL6" t="s">
        <v>883</v>
      </c>
      <c r="GM6">
        <f t="shared" si="11"/>
        <v>0</v>
      </c>
      <c r="GN6" t="s">
        <v>884</v>
      </c>
      <c r="GO6">
        <f t="shared" ref="GO6:GO35" si="95">IF(Diseño="Bloque",O6,CU6)</f>
        <v>0</v>
      </c>
      <c r="GP6" t="s">
        <v>885</v>
      </c>
      <c r="GQ6">
        <f t="shared" si="12"/>
        <v>0</v>
      </c>
      <c r="GR6" t="s">
        <v>886</v>
      </c>
      <c r="GS6">
        <f t="shared" si="13"/>
        <v>0</v>
      </c>
      <c r="GT6" t="s">
        <v>887</v>
      </c>
      <c r="GU6">
        <f t="shared" si="14"/>
        <v>0</v>
      </c>
      <c r="GV6" t="s">
        <v>888</v>
      </c>
      <c r="GW6">
        <f t="shared" si="15"/>
        <v>0</v>
      </c>
      <c r="GX6" t="s">
        <v>889</v>
      </c>
      <c r="GY6">
        <f t="shared" si="16"/>
        <v>0</v>
      </c>
      <c r="GZ6" t="s">
        <v>890</v>
      </c>
      <c r="HA6">
        <f t="shared" si="17"/>
        <v>0</v>
      </c>
      <c r="HB6" t="s">
        <v>891</v>
      </c>
      <c r="HC6">
        <f t="shared" si="18"/>
        <v>0</v>
      </c>
      <c r="HD6" t="s">
        <v>892</v>
      </c>
      <c r="HE6">
        <f t="shared" si="19"/>
        <v>0</v>
      </c>
      <c r="HF6" t="s">
        <v>893</v>
      </c>
      <c r="HG6">
        <f t="shared" si="20"/>
        <v>0</v>
      </c>
      <c r="HH6" t="s">
        <v>894</v>
      </c>
      <c r="HI6">
        <f t="shared" si="21"/>
        <v>0</v>
      </c>
      <c r="HJ6" t="s">
        <v>895</v>
      </c>
      <c r="HK6">
        <f t="shared" si="22"/>
        <v>0</v>
      </c>
      <c r="HL6" t="s">
        <v>896</v>
      </c>
      <c r="HM6">
        <f t="shared" si="23"/>
        <v>0</v>
      </c>
      <c r="HN6" t="s">
        <v>897</v>
      </c>
      <c r="HO6">
        <f t="shared" si="24"/>
        <v>0</v>
      </c>
      <c r="HP6" t="s">
        <v>898</v>
      </c>
      <c r="HQ6">
        <f t="shared" si="25"/>
        <v>0</v>
      </c>
      <c r="HR6" t="s">
        <v>899</v>
      </c>
      <c r="HS6">
        <f t="shared" si="26"/>
        <v>0</v>
      </c>
      <c r="HT6" t="s">
        <v>900</v>
      </c>
      <c r="HU6">
        <f t="shared" si="27"/>
        <v>0</v>
      </c>
      <c r="HV6" t="s">
        <v>901</v>
      </c>
      <c r="HW6">
        <f t="shared" si="28"/>
        <v>0</v>
      </c>
      <c r="HX6" t="s">
        <v>902</v>
      </c>
      <c r="HY6">
        <f t="shared" si="29"/>
        <v>0</v>
      </c>
      <c r="HZ6" t="s">
        <v>903</v>
      </c>
      <c r="IA6">
        <f t="shared" si="30"/>
        <v>0</v>
      </c>
      <c r="IB6" t="s">
        <v>904</v>
      </c>
      <c r="IC6">
        <f t="shared" si="31"/>
        <v>0</v>
      </c>
      <c r="ID6" t="s">
        <v>905</v>
      </c>
      <c r="IE6">
        <f t="shared" si="32"/>
        <v>0</v>
      </c>
      <c r="IF6" t="s">
        <v>906</v>
      </c>
      <c r="IG6">
        <f t="shared" si="33"/>
        <v>0</v>
      </c>
      <c r="IH6" t="s">
        <v>907</v>
      </c>
      <c r="II6">
        <f t="shared" si="34"/>
        <v>0</v>
      </c>
      <c r="IJ6" t="s">
        <v>908</v>
      </c>
      <c r="IK6">
        <f t="shared" si="35"/>
        <v>0</v>
      </c>
      <c r="IL6" t="s">
        <v>909</v>
      </c>
      <c r="IM6">
        <f t="shared" si="36"/>
        <v>0</v>
      </c>
      <c r="IN6" t="s">
        <v>910</v>
      </c>
      <c r="IO6">
        <f t="shared" si="37"/>
        <v>0</v>
      </c>
      <c r="IP6" t="s">
        <v>911</v>
      </c>
      <c r="IQ6">
        <f t="shared" si="38"/>
        <v>0</v>
      </c>
      <c r="IR6" t="s">
        <v>912</v>
      </c>
      <c r="IS6">
        <f t="shared" si="39"/>
        <v>0</v>
      </c>
      <c r="IT6" t="s">
        <v>913</v>
      </c>
      <c r="IU6">
        <f t="shared" si="40"/>
        <v>0</v>
      </c>
      <c r="IV6" t="s">
        <v>914</v>
      </c>
      <c r="IW6">
        <f t="shared" si="41"/>
        <v>0</v>
      </c>
      <c r="IX6" t="s">
        <v>915</v>
      </c>
      <c r="IY6">
        <f t="shared" si="42"/>
        <v>0</v>
      </c>
      <c r="IZ6" t="s">
        <v>916</v>
      </c>
      <c r="JA6">
        <f t="shared" si="43"/>
        <v>0</v>
      </c>
      <c r="JB6" t="s">
        <v>917</v>
      </c>
      <c r="JC6">
        <f t="shared" si="44"/>
        <v>0</v>
      </c>
      <c r="JD6" t="s">
        <v>918</v>
      </c>
      <c r="JE6">
        <f t="shared" si="45"/>
        <v>0</v>
      </c>
      <c r="JF6" t="s">
        <v>919</v>
      </c>
      <c r="JG6">
        <f t="shared" si="46"/>
        <v>0</v>
      </c>
      <c r="JH6" t="s">
        <v>920</v>
      </c>
      <c r="JI6">
        <f t="shared" si="47"/>
        <v>0</v>
      </c>
      <c r="JJ6" t="s">
        <v>921</v>
      </c>
      <c r="JK6">
        <f t="shared" si="48"/>
        <v>0</v>
      </c>
      <c r="JL6" t="s">
        <v>922</v>
      </c>
      <c r="JM6">
        <f t="shared" si="49"/>
        <v>0</v>
      </c>
      <c r="JN6" t="s">
        <v>923</v>
      </c>
      <c r="JO6">
        <f t="shared" si="50"/>
        <v>0</v>
      </c>
      <c r="JP6" t="s">
        <v>924</v>
      </c>
      <c r="JQ6">
        <f t="shared" si="51"/>
        <v>0</v>
      </c>
      <c r="JR6" t="s">
        <v>925</v>
      </c>
      <c r="JS6">
        <f t="shared" si="52"/>
        <v>0</v>
      </c>
      <c r="JT6" t="s">
        <v>926</v>
      </c>
      <c r="JU6">
        <f t="shared" si="53"/>
        <v>0</v>
      </c>
      <c r="JV6" t="s">
        <v>927</v>
      </c>
      <c r="JW6">
        <f t="shared" si="54"/>
        <v>0</v>
      </c>
      <c r="JX6" t="s">
        <v>928</v>
      </c>
      <c r="JY6">
        <f t="shared" si="55"/>
        <v>0</v>
      </c>
      <c r="JZ6" t="s">
        <v>929</v>
      </c>
      <c r="KA6">
        <f t="shared" si="56"/>
        <v>0</v>
      </c>
      <c r="KB6" t="s">
        <v>930</v>
      </c>
      <c r="KC6">
        <f t="shared" si="57"/>
        <v>0</v>
      </c>
      <c r="KD6" t="s">
        <v>931</v>
      </c>
      <c r="KE6">
        <f t="shared" si="58"/>
        <v>0</v>
      </c>
      <c r="KF6" t="s">
        <v>932</v>
      </c>
      <c r="KG6">
        <f t="shared" si="59"/>
        <v>0</v>
      </c>
      <c r="KH6" t="s">
        <v>933</v>
      </c>
      <c r="KI6">
        <f t="shared" si="60"/>
        <v>0</v>
      </c>
      <c r="KJ6" t="s">
        <v>934</v>
      </c>
      <c r="KK6">
        <f t="shared" si="61"/>
        <v>0</v>
      </c>
      <c r="KL6" t="s">
        <v>935</v>
      </c>
      <c r="KM6">
        <f t="shared" si="62"/>
        <v>0</v>
      </c>
      <c r="KN6" t="s">
        <v>936</v>
      </c>
      <c r="KO6">
        <f t="shared" si="63"/>
        <v>0</v>
      </c>
      <c r="KP6" t="s">
        <v>937</v>
      </c>
      <c r="KQ6">
        <f t="shared" si="64"/>
        <v>0</v>
      </c>
      <c r="KR6" t="s">
        <v>938</v>
      </c>
      <c r="KS6">
        <f t="shared" si="65"/>
        <v>0</v>
      </c>
      <c r="KT6" t="s">
        <v>939</v>
      </c>
      <c r="KU6">
        <f t="shared" si="66"/>
        <v>0</v>
      </c>
      <c r="KV6" t="s">
        <v>940</v>
      </c>
      <c r="KW6">
        <f t="shared" si="67"/>
        <v>0</v>
      </c>
      <c r="KX6" t="s">
        <v>941</v>
      </c>
      <c r="KY6">
        <f t="shared" si="68"/>
        <v>0</v>
      </c>
      <c r="KZ6" t="s">
        <v>942</v>
      </c>
      <c r="LA6">
        <f t="shared" si="69"/>
        <v>0</v>
      </c>
      <c r="LB6" t="s">
        <v>943</v>
      </c>
      <c r="LC6">
        <f t="shared" si="70"/>
        <v>0</v>
      </c>
      <c r="LD6" t="s">
        <v>944</v>
      </c>
      <c r="LE6">
        <f t="shared" si="71"/>
        <v>0</v>
      </c>
      <c r="LF6" t="s">
        <v>945</v>
      </c>
      <c r="LG6">
        <f t="shared" si="72"/>
        <v>0</v>
      </c>
      <c r="LH6" t="s">
        <v>946</v>
      </c>
      <c r="LI6">
        <f t="shared" si="73"/>
        <v>0</v>
      </c>
      <c r="LJ6" t="s">
        <v>947</v>
      </c>
      <c r="LK6">
        <f t="shared" si="74"/>
        <v>0</v>
      </c>
      <c r="LL6" t="s">
        <v>948</v>
      </c>
      <c r="LM6">
        <f t="shared" si="75"/>
        <v>0</v>
      </c>
      <c r="LN6" t="s">
        <v>949</v>
      </c>
      <c r="LO6">
        <f t="shared" si="76"/>
        <v>0</v>
      </c>
      <c r="LP6" t="s">
        <v>950</v>
      </c>
      <c r="LQ6">
        <f t="shared" si="77"/>
        <v>0</v>
      </c>
      <c r="LR6" t="s">
        <v>951</v>
      </c>
      <c r="LS6">
        <f t="shared" si="78"/>
        <v>0</v>
      </c>
      <c r="LT6" t="s">
        <v>952</v>
      </c>
      <c r="LU6">
        <f t="shared" si="79"/>
        <v>0</v>
      </c>
      <c r="LV6" t="s">
        <v>953</v>
      </c>
      <c r="LW6">
        <f t="shared" si="80"/>
        <v>0</v>
      </c>
      <c r="LX6" t="s">
        <v>954</v>
      </c>
      <c r="LY6">
        <f t="shared" si="81"/>
        <v>0</v>
      </c>
      <c r="LZ6">
        <f>'6'!B16</f>
        <v>0</v>
      </c>
      <c r="MA6">
        <f>'6'!C16</f>
        <v>0</v>
      </c>
      <c r="MB6">
        <f>'6'!D16</f>
        <v>0</v>
      </c>
      <c r="MC6">
        <f>'6'!E16</f>
        <v>0</v>
      </c>
      <c r="MD6">
        <f>'6'!F16</f>
        <v>0</v>
      </c>
      <c r="ME6">
        <f>'6'!G16</f>
        <v>0</v>
      </c>
      <c r="MF6">
        <f>'6'!H16</f>
        <v>0</v>
      </c>
      <c r="MG6">
        <f>'6'!I16</f>
        <v>0</v>
      </c>
      <c r="MH6">
        <f>'6'!J16</f>
        <v>0</v>
      </c>
      <c r="MI6">
        <f>'6'!K16</f>
        <v>0</v>
      </c>
      <c r="MJ6">
        <f>'6'!L16</f>
        <v>0</v>
      </c>
      <c r="MK6">
        <f>'6'!M16</f>
        <v>0</v>
      </c>
      <c r="ML6" s="13">
        <f>'7'!B23</f>
        <v>0</v>
      </c>
      <c r="MM6" s="13">
        <f>'7'!C23</f>
        <v>0</v>
      </c>
      <c r="MN6" s="13">
        <f>'7'!D23</f>
        <v>0</v>
      </c>
      <c r="MO6" s="13">
        <f>'7'!E23</f>
        <v>0</v>
      </c>
      <c r="MP6" s="13">
        <f>'7'!F23</f>
        <v>0</v>
      </c>
      <c r="MQ6" s="13">
        <f>'7'!G23</f>
        <v>0</v>
      </c>
      <c r="MR6" s="13">
        <f>'7'!H23</f>
        <v>0</v>
      </c>
      <c r="MS6" s="13">
        <f>'7'!I23</f>
        <v>0</v>
      </c>
      <c r="MT6" s="13">
        <f>'7'!J23</f>
        <v>0</v>
      </c>
      <c r="MU6" s="13">
        <f>'7'!K23</f>
        <v>0</v>
      </c>
      <c r="MV6" s="13">
        <f>'7'!L23</f>
        <v>0</v>
      </c>
      <c r="MW6" s="13">
        <f>'7'!M23</f>
        <v>0</v>
      </c>
      <c r="MX6" s="13" t="s">
        <v>955</v>
      </c>
      <c r="MY6">
        <f t="shared" si="82"/>
        <v>0</v>
      </c>
      <c r="MZ6" s="13" t="s">
        <v>956</v>
      </c>
      <c r="NA6">
        <f t="shared" si="83"/>
        <v>0</v>
      </c>
      <c r="NB6" s="13" t="s">
        <v>957</v>
      </c>
      <c r="NC6">
        <f t="shared" si="84"/>
        <v>0</v>
      </c>
      <c r="ND6" s="13" t="s">
        <v>958</v>
      </c>
      <c r="NE6">
        <f t="shared" si="85"/>
        <v>0</v>
      </c>
      <c r="NF6" s="13" t="s">
        <v>959</v>
      </c>
      <c r="NG6">
        <f t="shared" si="86"/>
        <v>0</v>
      </c>
      <c r="NH6" s="13" t="s">
        <v>960</v>
      </c>
      <c r="NI6">
        <f t="shared" si="87"/>
        <v>0</v>
      </c>
      <c r="NJ6" s="13" t="s">
        <v>961</v>
      </c>
      <c r="NK6">
        <f t="shared" si="88"/>
        <v>0</v>
      </c>
      <c r="NL6" s="13" t="s">
        <v>962</v>
      </c>
      <c r="NM6">
        <f t="shared" si="89"/>
        <v>0</v>
      </c>
      <c r="NN6" s="13" t="s">
        <v>963</v>
      </c>
      <c r="NO6">
        <f t="shared" si="90"/>
        <v>0</v>
      </c>
      <c r="NP6" s="13" t="s">
        <v>964</v>
      </c>
      <c r="NQ6">
        <f t="shared" si="91"/>
        <v>0</v>
      </c>
      <c r="NR6" s="13" t="s">
        <v>965</v>
      </c>
      <c r="NS6">
        <f t="shared" si="92"/>
        <v>0</v>
      </c>
      <c r="NT6" s="13" t="s">
        <v>966</v>
      </c>
      <c r="NU6">
        <f t="shared" si="93"/>
        <v>0</v>
      </c>
      <c r="NV6" s="13"/>
    </row>
    <row r="7" spans="1:386" customFormat="1" x14ac:dyDescent="0.25">
      <c r="A7">
        <v>4</v>
      </c>
      <c r="B7">
        <f>'6'!AB19</f>
        <v>0</v>
      </c>
      <c r="C7">
        <f>'6'!AC19</f>
        <v>0</v>
      </c>
      <c r="D7">
        <f>'6'!AD19</f>
        <v>0</v>
      </c>
      <c r="E7">
        <f>'6'!AE19</f>
        <v>0</v>
      </c>
      <c r="F7">
        <f>'6'!AF19</f>
        <v>0</v>
      </c>
      <c r="G7">
        <f>'6'!AG19</f>
        <v>0</v>
      </c>
      <c r="H7">
        <f>'6'!AH19</f>
        <v>0</v>
      </c>
      <c r="I7">
        <f>'6'!AI19</f>
        <v>0</v>
      </c>
      <c r="J7">
        <f>'6'!AJ19</f>
        <v>0</v>
      </c>
      <c r="K7">
        <f>'6'!AK19</f>
        <v>0</v>
      </c>
      <c r="L7">
        <f>'6'!AL19</f>
        <v>0</v>
      </c>
      <c r="M7">
        <f>'6'!AM19</f>
        <v>0</v>
      </c>
      <c r="N7">
        <f>'6'!AN19</f>
        <v>0</v>
      </c>
      <c r="O7">
        <f>'6'!AO19</f>
        <v>0</v>
      </c>
      <c r="P7">
        <f>'6'!AP19</f>
        <v>0</v>
      </c>
      <c r="Q7">
        <f>'6'!AQ19</f>
        <v>0</v>
      </c>
      <c r="R7">
        <f>'6'!AR19</f>
        <v>0</v>
      </c>
      <c r="S7">
        <f>'6'!AS19</f>
        <v>0</v>
      </c>
      <c r="T7">
        <f>'6'!AT19</f>
        <v>0</v>
      </c>
      <c r="U7">
        <f>'6'!AU19</f>
        <v>0</v>
      </c>
      <c r="V7">
        <f>'6'!AV19</f>
        <v>0</v>
      </c>
      <c r="W7">
        <f>'6'!AW19</f>
        <v>0</v>
      </c>
      <c r="X7">
        <f>'6'!AX19</f>
        <v>0</v>
      </c>
      <c r="Y7">
        <f>'6'!AY19</f>
        <v>0</v>
      </c>
      <c r="Z7">
        <f>'6'!AZ19</f>
        <v>0</v>
      </c>
      <c r="AA7">
        <f>'6'!BA19</f>
        <v>0</v>
      </c>
      <c r="AB7">
        <f>'6'!BB19</f>
        <v>0</v>
      </c>
      <c r="AC7">
        <f>'6'!BC19</f>
        <v>0</v>
      </c>
      <c r="AD7">
        <f>'6'!BD19</f>
        <v>0</v>
      </c>
      <c r="AE7">
        <f>'6'!BE19</f>
        <v>0</v>
      </c>
      <c r="AF7">
        <f>'6'!BF19</f>
        <v>0</v>
      </c>
      <c r="AG7">
        <f>'6'!BG19</f>
        <v>0</v>
      </c>
      <c r="AH7">
        <f>'6'!BH19</f>
        <v>0</v>
      </c>
      <c r="AI7">
        <f>'6'!BI19</f>
        <v>0</v>
      </c>
      <c r="AJ7">
        <f>'6'!BJ19</f>
        <v>0</v>
      </c>
      <c r="AK7">
        <f>'6'!BK19</f>
        <v>0</v>
      </c>
      <c r="AL7">
        <f>'6'!BL19</f>
        <v>0</v>
      </c>
      <c r="AM7">
        <f>'6'!BM19</f>
        <v>0</v>
      </c>
      <c r="AN7">
        <f>'6'!BN19</f>
        <v>0</v>
      </c>
      <c r="AO7">
        <f>'6'!BO19</f>
        <v>0</v>
      </c>
      <c r="AP7">
        <f>'6'!BP19</f>
        <v>0</v>
      </c>
      <c r="AQ7">
        <f>'6'!BQ19</f>
        <v>0</v>
      </c>
      <c r="AR7">
        <f>'6'!BR19</f>
        <v>0</v>
      </c>
      <c r="AS7">
        <f>'6'!BS19</f>
        <v>0</v>
      </c>
      <c r="AT7">
        <f>'6'!BT19</f>
        <v>0</v>
      </c>
      <c r="AU7">
        <f>'6'!BU19</f>
        <v>0</v>
      </c>
      <c r="AV7">
        <f>'6'!BV19</f>
        <v>0</v>
      </c>
      <c r="AW7">
        <f>'6'!BW19</f>
        <v>0</v>
      </c>
      <c r="AX7">
        <f>'6'!BX19</f>
        <v>0</v>
      </c>
      <c r="AY7">
        <f>'6'!BY19</f>
        <v>0</v>
      </c>
      <c r="AZ7">
        <f>'6'!BZ19</f>
        <v>0</v>
      </c>
      <c r="BA7">
        <f>'6'!CA19</f>
        <v>0</v>
      </c>
      <c r="BB7">
        <f>'6'!CB19</f>
        <v>0</v>
      </c>
      <c r="BC7">
        <f>'6'!CC19</f>
        <v>0</v>
      </c>
      <c r="BD7">
        <f>'6'!CD19</f>
        <v>0</v>
      </c>
      <c r="BE7">
        <f>'6'!CE19</f>
        <v>0</v>
      </c>
      <c r="BF7">
        <f>'6'!CF19</f>
        <v>0</v>
      </c>
      <c r="BG7">
        <f>'6'!CG19</f>
        <v>0</v>
      </c>
      <c r="BH7">
        <f>'6'!CH19</f>
        <v>0</v>
      </c>
      <c r="BI7">
        <f>'6'!CI19</f>
        <v>0</v>
      </c>
      <c r="BJ7">
        <f>'6'!CJ19</f>
        <v>0</v>
      </c>
      <c r="BK7">
        <f>'6'!CK19</f>
        <v>0</v>
      </c>
      <c r="BL7">
        <f>'6'!CL19</f>
        <v>0</v>
      </c>
      <c r="BM7">
        <f>'6'!CM19</f>
        <v>0</v>
      </c>
      <c r="BN7">
        <f>'6'!CN19</f>
        <v>0</v>
      </c>
      <c r="BO7">
        <f>'6'!CO19</f>
        <v>0</v>
      </c>
      <c r="BP7">
        <f>'6'!CP19</f>
        <v>0</v>
      </c>
      <c r="BQ7">
        <f>'6'!CQ19</f>
        <v>0</v>
      </c>
      <c r="BR7">
        <f>'6'!CR19</f>
        <v>0</v>
      </c>
      <c r="BS7">
        <f>'6'!CS19</f>
        <v>0</v>
      </c>
      <c r="BT7">
        <f>'6'!CT19</f>
        <v>0</v>
      </c>
      <c r="BU7">
        <f>'6'!CU19</f>
        <v>0</v>
      </c>
      <c r="BV7">
        <f>'6'!CV19</f>
        <v>0</v>
      </c>
      <c r="BW7">
        <f>'6'!CW19</f>
        <v>0</v>
      </c>
      <c r="BX7">
        <f>'6'!CX19</f>
        <v>0</v>
      </c>
      <c r="BY7">
        <f>'6'!CY19</f>
        <v>0</v>
      </c>
      <c r="BZ7">
        <f>'6'!CZ19</f>
        <v>0</v>
      </c>
      <c r="CA7">
        <f>'6'!DA19</f>
        <v>0</v>
      </c>
      <c r="CB7">
        <f>'6'!DB19</f>
        <v>0</v>
      </c>
      <c r="CC7">
        <f>'6'!DC19</f>
        <v>0</v>
      </c>
      <c r="CD7">
        <f>'6'!DD19</f>
        <v>0</v>
      </c>
      <c r="CE7">
        <f>'6'!DE19</f>
        <v>0</v>
      </c>
      <c r="CF7">
        <f>'6'!DF19</f>
        <v>0</v>
      </c>
      <c r="CG7">
        <f>'6'!DG19</f>
        <v>0</v>
      </c>
      <c r="CH7">
        <f>SUM('7'!AB33:AB37)</f>
        <v>0</v>
      </c>
      <c r="CI7">
        <f>SUM('7'!AC33:AC37)</f>
        <v>0</v>
      </c>
      <c r="CJ7">
        <f>SUM('7'!AD33:AD37)</f>
        <v>0</v>
      </c>
      <c r="CK7">
        <f>SUM('7'!AE33:AE37)</f>
        <v>0</v>
      </c>
      <c r="CL7">
        <f>SUM('7'!AF33:AF37)</f>
        <v>0</v>
      </c>
      <c r="CM7">
        <f>SUM('7'!AG33:AG37)</f>
        <v>0</v>
      </c>
      <c r="CN7">
        <f>SUM('7'!AH33:AH37)</f>
        <v>0</v>
      </c>
      <c r="CO7">
        <f>SUM('7'!AI33:AI37)</f>
        <v>0</v>
      </c>
      <c r="CP7">
        <f>SUM('7'!AJ33:AJ37)</f>
        <v>0</v>
      </c>
      <c r="CQ7">
        <f>SUM('7'!AK33:AK37)</f>
        <v>0</v>
      </c>
      <c r="CR7">
        <f>SUM('7'!AL33:AL37)</f>
        <v>0</v>
      </c>
      <c r="CS7">
        <f>SUM('7'!AM33:AM37)</f>
        <v>0</v>
      </c>
      <c r="CT7">
        <f>SUM('7'!AN33:AN37)</f>
        <v>0</v>
      </c>
      <c r="CU7">
        <f>SUM('7'!AO33:AO37)</f>
        <v>0</v>
      </c>
      <c r="CV7">
        <f>SUM('7'!AP33:AP37)</f>
        <v>0</v>
      </c>
      <c r="CW7">
        <f>SUM('7'!AQ33:AQ37)</f>
        <v>0</v>
      </c>
      <c r="CX7">
        <f>SUM('7'!AR33:AR37)</f>
        <v>0</v>
      </c>
      <c r="CY7">
        <f>SUM('7'!AS33:AS37)</f>
        <v>0</v>
      </c>
      <c r="CZ7">
        <f>SUM('7'!AT33:AT37)</f>
        <v>0</v>
      </c>
      <c r="DA7">
        <f>SUM('7'!AU33:AU37)</f>
        <v>0</v>
      </c>
      <c r="DB7">
        <f>SUM('7'!AV33:AV37)</f>
        <v>0</v>
      </c>
      <c r="DC7">
        <f>SUM('7'!AW33:AW37)</f>
        <v>0</v>
      </c>
      <c r="DD7">
        <f>SUM('7'!AX33:AX37)</f>
        <v>0</v>
      </c>
      <c r="DE7">
        <f>SUM('7'!AY33:AY37)</f>
        <v>0</v>
      </c>
      <c r="DF7">
        <f>SUM('7'!AZ33:AZ37)</f>
        <v>0</v>
      </c>
      <c r="DG7">
        <f>SUM('7'!BA33:BA37)</f>
        <v>0</v>
      </c>
      <c r="DH7">
        <f>SUM('7'!BB33:BB37)</f>
        <v>0</v>
      </c>
      <c r="DI7">
        <f>SUM('7'!BC33:BC37)</f>
        <v>0</v>
      </c>
      <c r="DJ7">
        <f>SUM('7'!BD33:BD37)</f>
        <v>0</v>
      </c>
      <c r="DK7">
        <f>SUM('7'!BE33:BE37)</f>
        <v>0</v>
      </c>
      <c r="DL7">
        <f>SUM('7'!BF33:BF37)</f>
        <v>0</v>
      </c>
      <c r="DM7">
        <f>SUM('7'!BG33:BG37)</f>
        <v>0</v>
      </c>
      <c r="DN7">
        <f>SUM('7'!BH33:BH37)</f>
        <v>0</v>
      </c>
      <c r="DO7">
        <f>SUM('7'!BI33:BI37)</f>
        <v>0</v>
      </c>
      <c r="DP7">
        <f>SUM('7'!BJ33:BJ37)</f>
        <v>0</v>
      </c>
      <c r="DQ7">
        <f>SUM('7'!BK33:BK37)</f>
        <v>0</v>
      </c>
      <c r="DR7">
        <f>SUM('7'!BL33:BL37)</f>
        <v>0</v>
      </c>
      <c r="DS7">
        <f>SUM('7'!BM33:BM37)</f>
        <v>0</v>
      </c>
      <c r="DT7">
        <f>SUM('7'!BN33:BN37)</f>
        <v>0</v>
      </c>
      <c r="DU7">
        <f>SUM('7'!BO33:BO37)</f>
        <v>0</v>
      </c>
      <c r="DV7">
        <f>SUM('7'!BP33:BP37)</f>
        <v>0</v>
      </c>
      <c r="DW7">
        <f>SUM('7'!BQ33:BQ37)</f>
        <v>0</v>
      </c>
      <c r="DX7">
        <f>SUM('7'!BR33:BR37)</f>
        <v>0</v>
      </c>
      <c r="DY7">
        <f>SUM('7'!BS33:BS37)</f>
        <v>0</v>
      </c>
      <c r="DZ7">
        <f>SUM('7'!BT33:BT37)</f>
        <v>0</v>
      </c>
      <c r="EA7">
        <f>SUM('7'!BU33:BU37)</f>
        <v>0</v>
      </c>
      <c r="EB7">
        <f>SUM('7'!BV33:BV37)</f>
        <v>0</v>
      </c>
      <c r="EC7">
        <f>SUM('7'!BW33:BW37)</f>
        <v>0</v>
      </c>
      <c r="ED7">
        <f>SUM('7'!BX33:BX37)</f>
        <v>0</v>
      </c>
      <c r="EE7">
        <f>SUM('7'!BY33:BY37)</f>
        <v>0</v>
      </c>
      <c r="EF7">
        <f>SUM('7'!BZ33:BZ37)</f>
        <v>0</v>
      </c>
      <c r="EG7">
        <f>SUM('7'!CA33:CA37)</f>
        <v>0</v>
      </c>
      <c r="EH7">
        <f>SUM('7'!CB33:CB37)</f>
        <v>0</v>
      </c>
      <c r="EI7">
        <f>SUM('7'!CC33:CC37)</f>
        <v>0</v>
      </c>
      <c r="EJ7">
        <f>SUM('7'!CD33:CD37)</f>
        <v>0</v>
      </c>
      <c r="EK7">
        <f>SUM('7'!CE33:CE37)</f>
        <v>0</v>
      </c>
      <c r="EL7">
        <f>SUM('7'!CF33:CF37)</f>
        <v>0</v>
      </c>
      <c r="EM7">
        <f>SUM('7'!CG33:CG37)</f>
        <v>0</v>
      </c>
      <c r="EN7">
        <f>SUM('7'!CH33:CH37)</f>
        <v>0</v>
      </c>
      <c r="EO7">
        <f>SUM('7'!CI33:CI37)</f>
        <v>0</v>
      </c>
      <c r="EP7">
        <f>SUM('7'!CJ33:CJ37)</f>
        <v>0</v>
      </c>
      <c r="EQ7">
        <f>SUM('7'!CK33:CK37)</f>
        <v>0</v>
      </c>
      <c r="ER7">
        <f>SUM('7'!CL33:CL37)</f>
        <v>0</v>
      </c>
      <c r="ES7">
        <f>SUM('7'!CM33:CM37)</f>
        <v>0</v>
      </c>
      <c r="ET7">
        <f>SUM('7'!CN33:CN37)</f>
        <v>0</v>
      </c>
      <c r="EU7">
        <f>SUM('7'!CO33:CO37)</f>
        <v>0</v>
      </c>
      <c r="EV7">
        <f>SUM('7'!CP33:CP37)</f>
        <v>0</v>
      </c>
      <c r="EW7">
        <f>SUM('7'!CQ33:CQ37)</f>
        <v>0</v>
      </c>
      <c r="EX7">
        <f>SUM('7'!CR33:CR37)</f>
        <v>0</v>
      </c>
      <c r="EY7">
        <f>SUM('7'!CS33:CS37)</f>
        <v>0</v>
      </c>
      <c r="EZ7">
        <f>SUM('7'!CT33:CT37)</f>
        <v>0</v>
      </c>
      <c r="FA7">
        <f>SUM('7'!CU33:CU37)</f>
        <v>0</v>
      </c>
      <c r="FB7">
        <f>SUM('7'!CV33:CV37)</f>
        <v>0</v>
      </c>
      <c r="FC7">
        <f>SUM('7'!CW33:CW37)</f>
        <v>0</v>
      </c>
      <c r="FD7">
        <f>SUM('7'!CX33:CX37)</f>
        <v>0</v>
      </c>
      <c r="FE7">
        <f>SUM('7'!CY33:CY37)</f>
        <v>0</v>
      </c>
      <c r="FF7">
        <f>SUM('7'!CZ33:CZ37)</f>
        <v>0</v>
      </c>
      <c r="FG7">
        <f>SUM('7'!DA33:DA37)</f>
        <v>0</v>
      </c>
      <c r="FH7">
        <f>SUM('7'!DB33:DB37)</f>
        <v>0</v>
      </c>
      <c r="FI7">
        <f>SUM('7'!DC33:DC37)</f>
        <v>0</v>
      </c>
      <c r="FJ7">
        <f>SUM('7'!DD33:DD37)</f>
        <v>0</v>
      </c>
      <c r="FK7">
        <f>SUM('7'!DE33:DE37)</f>
        <v>0</v>
      </c>
      <c r="FL7">
        <f>SUM('7'!DF33:DF37)</f>
        <v>0</v>
      </c>
      <c r="FM7">
        <f>SUM('7'!DG33:DG37)</f>
        <v>0</v>
      </c>
      <c r="FN7" t="s">
        <v>967</v>
      </c>
      <c r="FO7">
        <f t="shared" si="94"/>
        <v>0</v>
      </c>
      <c r="FP7" t="s">
        <v>968</v>
      </c>
      <c r="FQ7">
        <f t="shared" si="0"/>
        <v>0</v>
      </c>
      <c r="FR7" t="s">
        <v>969</v>
      </c>
      <c r="FS7">
        <f t="shared" si="1"/>
        <v>0</v>
      </c>
      <c r="FT7" t="s">
        <v>970</v>
      </c>
      <c r="FU7">
        <f t="shared" si="2"/>
        <v>0</v>
      </c>
      <c r="FV7" t="s">
        <v>971</v>
      </c>
      <c r="FW7">
        <f t="shared" si="3"/>
        <v>0</v>
      </c>
      <c r="FX7" t="s">
        <v>972</v>
      </c>
      <c r="FY7">
        <f t="shared" si="4"/>
        <v>0</v>
      </c>
      <c r="FZ7" t="s">
        <v>973</v>
      </c>
      <c r="GA7">
        <f t="shared" si="5"/>
        <v>0</v>
      </c>
      <c r="GB7" t="s">
        <v>974</v>
      </c>
      <c r="GC7">
        <f t="shared" si="6"/>
        <v>0</v>
      </c>
      <c r="GD7" t="s">
        <v>975</v>
      </c>
      <c r="GE7">
        <f t="shared" si="7"/>
        <v>0</v>
      </c>
      <c r="GF7" t="s">
        <v>976</v>
      </c>
      <c r="GG7">
        <f t="shared" si="8"/>
        <v>0</v>
      </c>
      <c r="GH7" t="s">
        <v>977</v>
      </c>
      <c r="GI7">
        <f t="shared" si="9"/>
        <v>0</v>
      </c>
      <c r="GJ7" t="s">
        <v>978</v>
      </c>
      <c r="GK7">
        <f t="shared" si="10"/>
        <v>0</v>
      </c>
      <c r="GL7" t="s">
        <v>979</v>
      </c>
      <c r="GM7">
        <f t="shared" si="11"/>
        <v>0</v>
      </c>
      <c r="GN7" t="s">
        <v>980</v>
      </c>
      <c r="GO7">
        <f t="shared" si="95"/>
        <v>0</v>
      </c>
      <c r="GP7" t="s">
        <v>981</v>
      </c>
      <c r="GQ7">
        <f t="shared" si="12"/>
        <v>0</v>
      </c>
      <c r="GR7" t="s">
        <v>982</v>
      </c>
      <c r="GS7">
        <f t="shared" si="13"/>
        <v>0</v>
      </c>
      <c r="GT7" t="s">
        <v>983</v>
      </c>
      <c r="GU7">
        <f t="shared" si="14"/>
        <v>0</v>
      </c>
      <c r="GV7" t="s">
        <v>984</v>
      </c>
      <c r="GW7">
        <f t="shared" si="15"/>
        <v>0</v>
      </c>
      <c r="GX7" t="s">
        <v>985</v>
      </c>
      <c r="GY7">
        <f t="shared" si="16"/>
        <v>0</v>
      </c>
      <c r="GZ7" t="s">
        <v>986</v>
      </c>
      <c r="HA7">
        <f t="shared" si="17"/>
        <v>0</v>
      </c>
      <c r="HB7" t="s">
        <v>987</v>
      </c>
      <c r="HC7">
        <f t="shared" si="18"/>
        <v>0</v>
      </c>
      <c r="HD7" t="s">
        <v>988</v>
      </c>
      <c r="HE7">
        <f t="shared" si="19"/>
        <v>0</v>
      </c>
      <c r="HF7" t="s">
        <v>989</v>
      </c>
      <c r="HG7">
        <f t="shared" si="20"/>
        <v>0</v>
      </c>
      <c r="HH7" t="s">
        <v>990</v>
      </c>
      <c r="HI7">
        <f t="shared" si="21"/>
        <v>0</v>
      </c>
      <c r="HJ7" t="s">
        <v>991</v>
      </c>
      <c r="HK7">
        <f t="shared" si="22"/>
        <v>0</v>
      </c>
      <c r="HL7" t="s">
        <v>992</v>
      </c>
      <c r="HM7">
        <f t="shared" si="23"/>
        <v>0</v>
      </c>
      <c r="HN7" t="s">
        <v>993</v>
      </c>
      <c r="HO7">
        <f t="shared" si="24"/>
        <v>0</v>
      </c>
      <c r="HP7" t="s">
        <v>994</v>
      </c>
      <c r="HQ7">
        <f t="shared" si="25"/>
        <v>0</v>
      </c>
      <c r="HR7" t="s">
        <v>995</v>
      </c>
      <c r="HS7">
        <f t="shared" si="26"/>
        <v>0</v>
      </c>
      <c r="HT7" t="s">
        <v>996</v>
      </c>
      <c r="HU7">
        <f t="shared" si="27"/>
        <v>0</v>
      </c>
      <c r="HV7" t="s">
        <v>997</v>
      </c>
      <c r="HW7">
        <f t="shared" si="28"/>
        <v>0</v>
      </c>
      <c r="HX7" t="s">
        <v>998</v>
      </c>
      <c r="HY7">
        <f t="shared" si="29"/>
        <v>0</v>
      </c>
      <c r="HZ7" t="s">
        <v>999</v>
      </c>
      <c r="IA7">
        <f t="shared" si="30"/>
        <v>0</v>
      </c>
      <c r="IB7" t="s">
        <v>1000</v>
      </c>
      <c r="IC7">
        <f t="shared" si="31"/>
        <v>0</v>
      </c>
      <c r="ID7" t="s">
        <v>1001</v>
      </c>
      <c r="IE7">
        <f t="shared" si="32"/>
        <v>0</v>
      </c>
      <c r="IF7" t="s">
        <v>1002</v>
      </c>
      <c r="IG7">
        <f t="shared" si="33"/>
        <v>0</v>
      </c>
      <c r="IH7" t="s">
        <v>1003</v>
      </c>
      <c r="II7">
        <f t="shared" si="34"/>
        <v>0</v>
      </c>
      <c r="IJ7" t="s">
        <v>1004</v>
      </c>
      <c r="IK7">
        <f t="shared" si="35"/>
        <v>0</v>
      </c>
      <c r="IL7" t="s">
        <v>1005</v>
      </c>
      <c r="IM7">
        <f t="shared" si="36"/>
        <v>0</v>
      </c>
      <c r="IN7" t="s">
        <v>1006</v>
      </c>
      <c r="IO7">
        <f t="shared" si="37"/>
        <v>0</v>
      </c>
      <c r="IP7" t="s">
        <v>1007</v>
      </c>
      <c r="IQ7">
        <f t="shared" si="38"/>
        <v>0</v>
      </c>
      <c r="IR7" t="s">
        <v>1008</v>
      </c>
      <c r="IS7">
        <f t="shared" si="39"/>
        <v>0</v>
      </c>
      <c r="IT7" t="s">
        <v>1009</v>
      </c>
      <c r="IU7">
        <f t="shared" si="40"/>
        <v>0</v>
      </c>
      <c r="IV7" t="s">
        <v>1010</v>
      </c>
      <c r="IW7">
        <f t="shared" si="41"/>
        <v>0</v>
      </c>
      <c r="IX7" t="s">
        <v>1011</v>
      </c>
      <c r="IY7">
        <f t="shared" si="42"/>
        <v>0</v>
      </c>
      <c r="IZ7" t="s">
        <v>1012</v>
      </c>
      <c r="JA7">
        <f t="shared" si="43"/>
        <v>0</v>
      </c>
      <c r="JB7" t="s">
        <v>1013</v>
      </c>
      <c r="JC7">
        <f t="shared" si="44"/>
        <v>0</v>
      </c>
      <c r="JD7" t="s">
        <v>1014</v>
      </c>
      <c r="JE7">
        <f t="shared" si="45"/>
        <v>0</v>
      </c>
      <c r="JF7" t="s">
        <v>1015</v>
      </c>
      <c r="JG7">
        <f t="shared" si="46"/>
        <v>0</v>
      </c>
      <c r="JH7" t="s">
        <v>1016</v>
      </c>
      <c r="JI7">
        <f t="shared" si="47"/>
        <v>0</v>
      </c>
      <c r="JJ7" t="s">
        <v>1017</v>
      </c>
      <c r="JK7">
        <f t="shared" si="48"/>
        <v>0</v>
      </c>
      <c r="JL7" t="s">
        <v>1018</v>
      </c>
      <c r="JM7">
        <f t="shared" si="49"/>
        <v>0</v>
      </c>
      <c r="JN7" t="s">
        <v>1019</v>
      </c>
      <c r="JO7">
        <f t="shared" si="50"/>
        <v>0</v>
      </c>
      <c r="JP7" t="s">
        <v>1020</v>
      </c>
      <c r="JQ7">
        <f t="shared" si="51"/>
        <v>0</v>
      </c>
      <c r="JR7" t="s">
        <v>1021</v>
      </c>
      <c r="JS7">
        <f t="shared" si="52"/>
        <v>0</v>
      </c>
      <c r="JT7" t="s">
        <v>1022</v>
      </c>
      <c r="JU7">
        <f t="shared" si="53"/>
        <v>0</v>
      </c>
      <c r="JV7" t="s">
        <v>1023</v>
      </c>
      <c r="JW7">
        <f t="shared" si="54"/>
        <v>0</v>
      </c>
      <c r="JX7" t="s">
        <v>1024</v>
      </c>
      <c r="JY7">
        <f t="shared" si="55"/>
        <v>0</v>
      </c>
      <c r="JZ7" t="s">
        <v>1025</v>
      </c>
      <c r="KA7">
        <f t="shared" si="56"/>
        <v>0</v>
      </c>
      <c r="KB7" t="s">
        <v>1026</v>
      </c>
      <c r="KC7">
        <f t="shared" si="57"/>
        <v>0</v>
      </c>
      <c r="KD7" t="s">
        <v>1027</v>
      </c>
      <c r="KE7">
        <f t="shared" si="58"/>
        <v>0</v>
      </c>
      <c r="KF7" t="s">
        <v>1028</v>
      </c>
      <c r="KG7">
        <f t="shared" si="59"/>
        <v>0</v>
      </c>
      <c r="KH7" t="s">
        <v>1029</v>
      </c>
      <c r="KI7">
        <f t="shared" si="60"/>
        <v>0</v>
      </c>
      <c r="KJ7" t="s">
        <v>1030</v>
      </c>
      <c r="KK7">
        <f t="shared" si="61"/>
        <v>0</v>
      </c>
      <c r="KL7" t="s">
        <v>1031</v>
      </c>
      <c r="KM7">
        <f t="shared" si="62"/>
        <v>0</v>
      </c>
      <c r="KN7" t="s">
        <v>1032</v>
      </c>
      <c r="KO7">
        <f t="shared" si="63"/>
        <v>0</v>
      </c>
      <c r="KP7" t="s">
        <v>1033</v>
      </c>
      <c r="KQ7">
        <f t="shared" si="64"/>
        <v>0</v>
      </c>
      <c r="KR7" t="s">
        <v>1034</v>
      </c>
      <c r="KS7">
        <f t="shared" si="65"/>
        <v>0</v>
      </c>
      <c r="KT7" t="s">
        <v>1035</v>
      </c>
      <c r="KU7">
        <f t="shared" si="66"/>
        <v>0</v>
      </c>
      <c r="KV7" t="s">
        <v>1036</v>
      </c>
      <c r="KW7">
        <f t="shared" si="67"/>
        <v>0</v>
      </c>
      <c r="KX7" t="s">
        <v>1037</v>
      </c>
      <c r="KY7">
        <f t="shared" si="68"/>
        <v>0</v>
      </c>
      <c r="KZ7" t="s">
        <v>1038</v>
      </c>
      <c r="LA7">
        <f t="shared" si="69"/>
        <v>0</v>
      </c>
      <c r="LB7" t="s">
        <v>1039</v>
      </c>
      <c r="LC7">
        <f t="shared" si="70"/>
        <v>0</v>
      </c>
      <c r="LD7" t="s">
        <v>1040</v>
      </c>
      <c r="LE7">
        <f t="shared" si="71"/>
        <v>0</v>
      </c>
      <c r="LF7" t="s">
        <v>1041</v>
      </c>
      <c r="LG7">
        <f t="shared" si="72"/>
        <v>0</v>
      </c>
      <c r="LH7" t="s">
        <v>1042</v>
      </c>
      <c r="LI7">
        <f t="shared" si="73"/>
        <v>0</v>
      </c>
      <c r="LJ7" t="s">
        <v>1043</v>
      </c>
      <c r="LK7">
        <f t="shared" si="74"/>
        <v>0</v>
      </c>
      <c r="LL7" t="s">
        <v>1044</v>
      </c>
      <c r="LM7">
        <f t="shared" si="75"/>
        <v>0</v>
      </c>
      <c r="LN7" t="s">
        <v>1045</v>
      </c>
      <c r="LO7">
        <f t="shared" si="76"/>
        <v>0</v>
      </c>
      <c r="LP7" t="s">
        <v>1046</v>
      </c>
      <c r="LQ7">
        <f t="shared" si="77"/>
        <v>0</v>
      </c>
      <c r="LR7" t="s">
        <v>1047</v>
      </c>
      <c r="LS7">
        <f t="shared" si="78"/>
        <v>0</v>
      </c>
      <c r="LT7" t="s">
        <v>1048</v>
      </c>
      <c r="LU7">
        <f t="shared" si="79"/>
        <v>0</v>
      </c>
      <c r="LV7" t="s">
        <v>1049</v>
      </c>
      <c r="LW7">
        <f t="shared" si="80"/>
        <v>0</v>
      </c>
      <c r="LX7" t="s">
        <v>1050</v>
      </c>
      <c r="LY7">
        <f t="shared" si="81"/>
        <v>0</v>
      </c>
      <c r="LZ7">
        <f>'6'!B20</f>
        <v>0</v>
      </c>
      <c r="MA7">
        <f>'6'!C20</f>
        <v>0</v>
      </c>
      <c r="MB7">
        <f>'6'!D20</f>
        <v>0</v>
      </c>
      <c r="MC7">
        <f>'6'!E20</f>
        <v>0</v>
      </c>
      <c r="MD7">
        <f>'6'!F20</f>
        <v>0</v>
      </c>
      <c r="ME7">
        <f>'6'!G20</f>
        <v>0</v>
      </c>
      <c r="MF7">
        <f>'6'!H20</f>
        <v>0</v>
      </c>
      <c r="MG7">
        <f>'6'!I20</f>
        <v>0</v>
      </c>
      <c r="MH7">
        <f>'6'!J20</f>
        <v>0</v>
      </c>
      <c r="MI7">
        <f>'6'!K20</f>
        <v>0</v>
      </c>
      <c r="MJ7">
        <f>'6'!L20</f>
        <v>0</v>
      </c>
      <c r="MK7">
        <f>'6'!M20</f>
        <v>0</v>
      </c>
      <c r="ML7" s="13">
        <f>'7'!B31</f>
        <v>0</v>
      </c>
      <c r="MM7" s="13">
        <f>'7'!C31</f>
        <v>0</v>
      </c>
      <c r="MN7" s="13">
        <f>'7'!D31</f>
        <v>0</v>
      </c>
      <c r="MO7" s="13">
        <f>'7'!E31</f>
        <v>0</v>
      </c>
      <c r="MP7" s="13">
        <f>'7'!F31</f>
        <v>0</v>
      </c>
      <c r="MQ7" s="13">
        <f>'7'!G31</f>
        <v>0</v>
      </c>
      <c r="MR7" s="13">
        <f>'7'!H31</f>
        <v>0</v>
      </c>
      <c r="MS7" s="13">
        <f>'7'!I31</f>
        <v>0</v>
      </c>
      <c r="MT7" s="13">
        <f>'7'!J31</f>
        <v>0</v>
      </c>
      <c r="MU7" s="13">
        <f>'7'!K31</f>
        <v>0</v>
      </c>
      <c r="MV7" s="13">
        <f>'7'!L31</f>
        <v>0</v>
      </c>
      <c r="MW7" s="13">
        <f>'7'!M31</f>
        <v>0</v>
      </c>
      <c r="MX7" s="13" t="s">
        <v>1051</v>
      </c>
      <c r="MY7">
        <f t="shared" si="82"/>
        <v>0</v>
      </c>
      <c r="MZ7" s="13" t="s">
        <v>1052</v>
      </c>
      <c r="NA7">
        <f t="shared" si="83"/>
        <v>0</v>
      </c>
      <c r="NB7" s="13" t="s">
        <v>1053</v>
      </c>
      <c r="NC7">
        <f t="shared" si="84"/>
        <v>0</v>
      </c>
      <c r="ND7" s="13" t="s">
        <v>1054</v>
      </c>
      <c r="NE7">
        <f t="shared" si="85"/>
        <v>0</v>
      </c>
      <c r="NF7" s="13" t="s">
        <v>1055</v>
      </c>
      <c r="NG7">
        <f t="shared" si="86"/>
        <v>0</v>
      </c>
      <c r="NH7" s="13" t="s">
        <v>1056</v>
      </c>
      <c r="NI7">
        <f t="shared" si="87"/>
        <v>0</v>
      </c>
      <c r="NJ7" s="13" t="s">
        <v>1057</v>
      </c>
      <c r="NK7">
        <f t="shared" si="88"/>
        <v>0</v>
      </c>
      <c r="NL7" s="13" t="s">
        <v>1058</v>
      </c>
      <c r="NM7">
        <f t="shared" si="89"/>
        <v>0</v>
      </c>
      <c r="NN7" s="13" t="s">
        <v>1059</v>
      </c>
      <c r="NO7">
        <f t="shared" si="90"/>
        <v>0</v>
      </c>
      <c r="NP7" s="13" t="s">
        <v>1060</v>
      </c>
      <c r="NQ7">
        <f t="shared" si="91"/>
        <v>0</v>
      </c>
      <c r="NR7" s="13" t="s">
        <v>1061</v>
      </c>
      <c r="NS7">
        <f t="shared" si="92"/>
        <v>0</v>
      </c>
      <c r="NT7" s="13" t="s">
        <v>1062</v>
      </c>
      <c r="NU7">
        <f t="shared" si="93"/>
        <v>0</v>
      </c>
      <c r="NV7" s="13"/>
    </row>
    <row r="8" spans="1:386" customFormat="1" x14ac:dyDescent="0.25">
      <c r="A8">
        <v>5</v>
      </c>
      <c r="B8">
        <f>'6'!AB23</f>
        <v>0</v>
      </c>
      <c r="C8">
        <f>'6'!AC23</f>
        <v>0</v>
      </c>
      <c r="D8">
        <f>'6'!AD23</f>
        <v>0</v>
      </c>
      <c r="E8">
        <f>'6'!AE23</f>
        <v>0</v>
      </c>
      <c r="F8">
        <f>'6'!AF23</f>
        <v>0</v>
      </c>
      <c r="G8">
        <f>'6'!AG23</f>
        <v>0</v>
      </c>
      <c r="H8">
        <f>'6'!AH23</f>
        <v>0</v>
      </c>
      <c r="I8">
        <f>'6'!AI23</f>
        <v>0</v>
      </c>
      <c r="J8">
        <f>'6'!AJ23</f>
        <v>0</v>
      </c>
      <c r="K8">
        <f>'6'!AK23</f>
        <v>0</v>
      </c>
      <c r="L8">
        <f>'6'!AL23</f>
        <v>0</v>
      </c>
      <c r="M8">
        <f>'6'!AM23</f>
        <v>0</v>
      </c>
      <c r="N8">
        <f>'6'!AN23</f>
        <v>0</v>
      </c>
      <c r="O8">
        <f>'6'!AO23</f>
        <v>0</v>
      </c>
      <c r="P8">
        <f>'6'!AP23</f>
        <v>0</v>
      </c>
      <c r="Q8">
        <f>'6'!AQ23</f>
        <v>0</v>
      </c>
      <c r="R8">
        <f>'6'!AR23</f>
        <v>0</v>
      </c>
      <c r="S8">
        <f>'6'!AS23</f>
        <v>0</v>
      </c>
      <c r="T8">
        <f>'6'!AT23</f>
        <v>0</v>
      </c>
      <c r="U8">
        <f>'6'!AU23</f>
        <v>0</v>
      </c>
      <c r="V8">
        <f>'6'!AV23</f>
        <v>0</v>
      </c>
      <c r="W8">
        <f>'6'!AW23</f>
        <v>0</v>
      </c>
      <c r="X8">
        <f>'6'!AX23</f>
        <v>0</v>
      </c>
      <c r="Y8">
        <f>'6'!AY23</f>
        <v>0</v>
      </c>
      <c r="Z8">
        <f>'6'!AZ23</f>
        <v>0</v>
      </c>
      <c r="AA8">
        <f>'6'!BA23</f>
        <v>0</v>
      </c>
      <c r="AB8">
        <f>'6'!BB23</f>
        <v>0</v>
      </c>
      <c r="AC8">
        <f>'6'!BC23</f>
        <v>0</v>
      </c>
      <c r="AD8">
        <f>'6'!BD23</f>
        <v>0</v>
      </c>
      <c r="AE8">
        <f>'6'!BE23</f>
        <v>0</v>
      </c>
      <c r="AF8">
        <f>'6'!BF23</f>
        <v>0</v>
      </c>
      <c r="AG8">
        <f>'6'!BG23</f>
        <v>0</v>
      </c>
      <c r="AH8">
        <f>'6'!BH23</f>
        <v>0</v>
      </c>
      <c r="AI8">
        <f>'6'!BI23</f>
        <v>0</v>
      </c>
      <c r="AJ8">
        <f>'6'!BJ23</f>
        <v>0</v>
      </c>
      <c r="AK8">
        <f>'6'!BK23</f>
        <v>0</v>
      </c>
      <c r="AL8">
        <f>'6'!BL23</f>
        <v>0</v>
      </c>
      <c r="AM8">
        <f>'6'!BM23</f>
        <v>0</v>
      </c>
      <c r="AN8">
        <f>'6'!BN23</f>
        <v>0</v>
      </c>
      <c r="AO8">
        <f>'6'!BO23</f>
        <v>0</v>
      </c>
      <c r="AP8">
        <f>'6'!BP23</f>
        <v>0</v>
      </c>
      <c r="AQ8">
        <f>'6'!BQ23</f>
        <v>0</v>
      </c>
      <c r="AR8">
        <f>'6'!BR23</f>
        <v>0</v>
      </c>
      <c r="AS8">
        <f>'6'!BS23</f>
        <v>0</v>
      </c>
      <c r="AT8">
        <f>'6'!BT23</f>
        <v>0</v>
      </c>
      <c r="AU8">
        <f>'6'!BU23</f>
        <v>0</v>
      </c>
      <c r="AV8">
        <f>'6'!BV23</f>
        <v>0</v>
      </c>
      <c r="AW8">
        <f>'6'!BW23</f>
        <v>0</v>
      </c>
      <c r="AX8">
        <f>'6'!BX23</f>
        <v>0</v>
      </c>
      <c r="AY8">
        <f>'6'!BY23</f>
        <v>0</v>
      </c>
      <c r="AZ8">
        <f>'6'!BZ23</f>
        <v>0</v>
      </c>
      <c r="BA8">
        <f>'6'!CA23</f>
        <v>0</v>
      </c>
      <c r="BB8">
        <f>'6'!CB23</f>
        <v>0</v>
      </c>
      <c r="BC8">
        <f>'6'!CC23</f>
        <v>0</v>
      </c>
      <c r="BD8">
        <f>'6'!CD23</f>
        <v>0</v>
      </c>
      <c r="BE8">
        <f>'6'!CE23</f>
        <v>0</v>
      </c>
      <c r="BF8">
        <f>'6'!CF23</f>
        <v>0</v>
      </c>
      <c r="BG8">
        <f>'6'!CG23</f>
        <v>0</v>
      </c>
      <c r="BH8">
        <f>'6'!CH23</f>
        <v>0</v>
      </c>
      <c r="BI8">
        <f>'6'!CI23</f>
        <v>0</v>
      </c>
      <c r="BJ8">
        <f>'6'!CJ23</f>
        <v>0</v>
      </c>
      <c r="BK8">
        <f>'6'!CK23</f>
        <v>0</v>
      </c>
      <c r="BL8">
        <f>'6'!CL23</f>
        <v>0</v>
      </c>
      <c r="BM8">
        <f>'6'!CM23</f>
        <v>0</v>
      </c>
      <c r="BN8">
        <f>'6'!CN23</f>
        <v>0</v>
      </c>
      <c r="BO8">
        <f>'6'!CO23</f>
        <v>0</v>
      </c>
      <c r="BP8">
        <f>'6'!CP23</f>
        <v>0</v>
      </c>
      <c r="BQ8">
        <f>'6'!CQ23</f>
        <v>0</v>
      </c>
      <c r="BR8">
        <f>'6'!CR23</f>
        <v>0</v>
      </c>
      <c r="BS8">
        <f>'6'!CS23</f>
        <v>0</v>
      </c>
      <c r="BT8">
        <f>'6'!CT23</f>
        <v>0</v>
      </c>
      <c r="BU8">
        <f>'6'!CU23</f>
        <v>0</v>
      </c>
      <c r="BV8">
        <f>'6'!CV23</f>
        <v>0</v>
      </c>
      <c r="BW8">
        <f>'6'!CW23</f>
        <v>0</v>
      </c>
      <c r="BX8">
        <f>'6'!CX23</f>
        <v>0</v>
      </c>
      <c r="BY8">
        <f>'6'!CY23</f>
        <v>0</v>
      </c>
      <c r="BZ8">
        <f>'6'!CZ23</f>
        <v>0</v>
      </c>
      <c r="CA8">
        <f>'6'!DA23</f>
        <v>0</v>
      </c>
      <c r="CB8">
        <f>'6'!DB23</f>
        <v>0</v>
      </c>
      <c r="CC8">
        <f>'6'!DC23</f>
        <v>0</v>
      </c>
      <c r="CD8">
        <f>'6'!DD23</f>
        <v>0</v>
      </c>
      <c r="CE8">
        <f>'6'!DE23</f>
        <v>0</v>
      </c>
      <c r="CF8">
        <f>'6'!DF23</f>
        <v>0</v>
      </c>
      <c r="CG8">
        <f>'6'!DG23</f>
        <v>0</v>
      </c>
      <c r="CH8">
        <f>SUM('7'!AB41:AB45)</f>
        <v>0</v>
      </c>
      <c r="CI8">
        <f>SUM('7'!AC41:AC45)</f>
        <v>0</v>
      </c>
      <c r="CJ8">
        <f>SUM('7'!AD41:AD45)</f>
        <v>0</v>
      </c>
      <c r="CK8">
        <f>SUM('7'!AE41:AE45)</f>
        <v>0</v>
      </c>
      <c r="CL8">
        <f>SUM('7'!AF41:AF45)</f>
        <v>0</v>
      </c>
      <c r="CM8">
        <f>SUM('7'!AG41:AG45)</f>
        <v>0</v>
      </c>
      <c r="CN8">
        <f>SUM('7'!AH41:AH45)</f>
        <v>0</v>
      </c>
      <c r="CO8">
        <f>SUM('7'!AI41:AI45)</f>
        <v>0</v>
      </c>
      <c r="CP8">
        <f>SUM('7'!AJ41:AJ45)</f>
        <v>0</v>
      </c>
      <c r="CQ8">
        <f>SUM('7'!AK41:AK45)</f>
        <v>0</v>
      </c>
      <c r="CR8">
        <f>SUM('7'!AL41:AL45)</f>
        <v>0</v>
      </c>
      <c r="CS8">
        <f>SUM('7'!AM41:AM45)</f>
        <v>0</v>
      </c>
      <c r="CT8">
        <f>SUM('7'!AN41:AN45)</f>
        <v>0</v>
      </c>
      <c r="CU8">
        <f>SUM('7'!AO41:AO45)</f>
        <v>0</v>
      </c>
      <c r="CV8">
        <f>SUM('7'!AP41:AP45)</f>
        <v>0</v>
      </c>
      <c r="CW8">
        <f>SUM('7'!AQ41:AQ45)</f>
        <v>0</v>
      </c>
      <c r="CX8">
        <f>SUM('7'!AR41:AR45)</f>
        <v>0</v>
      </c>
      <c r="CY8">
        <f>SUM('7'!AS41:AS45)</f>
        <v>0</v>
      </c>
      <c r="CZ8">
        <f>SUM('7'!AT41:AT45)</f>
        <v>0</v>
      </c>
      <c r="DA8">
        <f>SUM('7'!AU41:AU45)</f>
        <v>0</v>
      </c>
      <c r="DB8">
        <f>SUM('7'!AV41:AV45)</f>
        <v>0</v>
      </c>
      <c r="DC8">
        <f>SUM('7'!AW41:AW45)</f>
        <v>0</v>
      </c>
      <c r="DD8">
        <f>SUM('7'!AX41:AX45)</f>
        <v>0</v>
      </c>
      <c r="DE8">
        <f>SUM('7'!AY41:AY45)</f>
        <v>0</v>
      </c>
      <c r="DF8">
        <f>SUM('7'!AZ41:AZ45)</f>
        <v>0</v>
      </c>
      <c r="DG8">
        <f>SUM('7'!BA41:BA45)</f>
        <v>0</v>
      </c>
      <c r="DH8">
        <f>SUM('7'!BB41:BB45)</f>
        <v>0</v>
      </c>
      <c r="DI8">
        <f>SUM('7'!BC41:BC45)</f>
        <v>0</v>
      </c>
      <c r="DJ8">
        <f>SUM('7'!BD41:BD45)</f>
        <v>0</v>
      </c>
      <c r="DK8">
        <f>SUM('7'!BE41:BE45)</f>
        <v>0</v>
      </c>
      <c r="DL8">
        <f>SUM('7'!BF41:BF45)</f>
        <v>0</v>
      </c>
      <c r="DM8">
        <f>SUM('7'!BG41:BG45)</f>
        <v>0</v>
      </c>
      <c r="DN8">
        <f>SUM('7'!BH41:BH45)</f>
        <v>0</v>
      </c>
      <c r="DO8">
        <f>SUM('7'!BI41:BI45)</f>
        <v>0</v>
      </c>
      <c r="DP8">
        <f>SUM('7'!BJ41:BJ45)</f>
        <v>0</v>
      </c>
      <c r="DQ8">
        <f>SUM('7'!BK41:BK45)</f>
        <v>0</v>
      </c>
      <c r="DR8">
        <f>SUM('7'!BL41:BL45)</f>
        <v>0</v>
      </c>
      <c r="DS8">
        <f>SUM('7'!BM41:BM45)</f>
        <v>0</v>
      </c>
      <c r="DT8">
        <f>SUM('7'!BN41:BN45)</f>
        <v>0</v>
      </c>
      <c r="DU8">
        <f>SUM('7'!BO41:BO45)</f>
        <v>0</v>
      </c>
      <c r="DV8">
        <f>SUM('7'!BP41:BP45)</f>
        <v>0</v>
      </c>
      <c r="DW8">
        <f>SUM('7'!BQ41:BQ45)</f>
        <v>0</v>
      </c>
      <c r="DX8">
        <f>SUM('7'!BR41:BR45)</f>
        <v>0</v>
      </c>
      <c r="DY8">
        <f>SUM('7'!BS41:BS45)</f>
        <v>0</v>
      </c>
      <c r="DZ8">
        <f>SUM('7'!BT41:BT45)</f>
        <v>0</v>
      </c>
      <c r="EA8">
        <f>SUM('7'!BU41:BU45)</f>
        <v>0</v>
      </c>
      <c r="EB8">
        <f>SUM('7'!BV41:BV45)</f>
        <v>0</v>
      </c>
      <c r="EC8">
        <f>SUM('7'!BW41:BW45)</f>
        <v>0</v>
      </c>
      <c r="ED8">
        <f>SUM('7'!BX41:BX45)</f>
        <v>0</v>
      </c>
      <c r="EE8">
        <f>SUM('7'!BY41:BY45)</f>
        <v>0</v>
      </c>
      <c r="EF8">
        <f>SUM('7'!BZ41:BZ45)</f>
        <v>0</v>
      </c>
      <c r="EG8">
        <f>SUM('7'!CA41:CA45)</f>
        <v>0</v>
      </c>
      <c r="EH8">
        <f>SUM('7'!CB41:CB45)</f>
        <v>0</v>
      </c>
      <c r="EI8">
        <f>SUM('7'!CC41:CC45)</f>
        <v>0</v>
      </c>
      <c r="EJ8">
        <f>SUM('7'!CD41:CD45)</f>
        <v>0</v>
      </c>
      <c r="EK8">
        <f>SUM('7'!CE41:CE45)</f>
        <v>0</v>
      </c>
      <c r="EL8">
        <f>SUM('7'!CF41:CF45)</f>
        <v>0</v>
      </c>
      <c r="EM8">
        <f>SUM('7'!CG41:CG45)</f>
        <v>0</v>
      </c>
      <c r="EN8">
        <f>SUM('7'!CH41:CH45)</f>
        <v>0</v>
      </c>
      <c r="EO8">
        <f>SUM('7'!CI41:CI45)</f>
        <v>0</v>
      </c>
      <c r="EP8">
        <f>SUM('7'!CJ41:CJ45)</f>
        <v>0</v>
      </c>
      <c r="EQ8">
        <f>SUM('7'!CK41:CK45)</f>
        <v>0</v>
      </c>
      <c r="ER8">
        <f>SUM('7'!CL41:CL45)</f>
        <v>0</v>
      </c>
      <c r="ES8">
        <f>SUM('7'!CM41:CM45)</f>
        <v>0</v>
      </c>
      <c r="ET8">
        <f>SUM('7'!CN41:CN45)</f>
        <v>0</v>
      </c>
      <c r="EU8">
        <f>SUM('7'!CO41:CO45)</f>
        <v>0</v>
      </c>
      <c r="EV8">
        <f>SUM('7'!CP41:CP45)</f>
        <v>0</v>
      </c>
      <c r="EW8">
        <f>SUM('7'!CQ41:CQ45)</f>
        <v>0</v>
      </c>
      <c r="EX8">
        <f>SUM('7'!CR41:CR45)</f>
        <v>0</v>
      </c>
      <c r="EY8">
        <f>SUM('7'!CS41:CS45)</f>
        <v>0</v>
      </c>
      <c r="EZ8">
        <f>SUM('7'!CT41:CT45)</f>
        <v>0</v>
      </c>
      <c r="FA8">
        <f>SUM('7'!CU41:CU45)</f>
        <v>0</v>
      </c>
      <c r="FB8">
        <f>SUM('7'!CV41:CV45)</f>
        <v>0</v>
      </c>
      <c r="FC8">
        <f>SUM('7'!CW41:CW45)</f>
        <v>0</v>
      </c>
      <c r="FD8">
        <f>SUM('7'!CX41:CX45)</f>
        <v>0</v>
      </c>
      <c r="FE8">
        <f>SUM('7'!CY41:CY45)</f>
        <v>0</v>
      </c>
      <c r="FF8">
        <f>SUM('7'!CZ41:CZ45)</f>
        <v>0</v>
      </c>
      <c r="FG8">
        <f>SUM('7'!DA41:DA45)</f>
        <v>0</v>
      </c>
      <c r="FH8">
        <f>SUM('7'!DB41:DB45)</f>
        <v>0</v>
      </c>
      <c r="FI8">
        <f>SUM('7'!DC41:DC45)</f>
        <v>0</v>
      </c>
      <c r="FJ8">
        <f>SUM('7'!DD41:DD45)</f>
        <v>0</v>
      </c>
      <c r="FK8">
        <f>SUM('7'!DE41:DE45)</f>
        <v>0</v>
      </c>
      <c r="FL8">
        <f>SUM('7'!DF41:DF45)</f>
        <v>0</v>
      </c>
      <c r="FM8">
        <f>SUM('7'!DG41:DG45)</f>
        <v>0</v>
      </c>
      <c r="FN8" t="s">
        <v>1063</v>
      </c>
      <c r="FO8">
        <f t="shared" si="94"/>
        <v>0</v>
      </c>
      <c r="FP8" t="s">
        <v>1064</v>
      </c>
      <c r="FQ8">
        <f t="shared" si="0"/>
        <v>0</v>
      </c>
      <c r="FR8" t="s">
        <v>1065</v>
      </c>
      <c r="FS8">
        <f t="shared" si="1"/>
        <v>0</v>
      </c>
      <c r="FT8" t="s">
        <v>1066</v>
      </c>
      <c r="FU8">
        <f t="shared" si="2"/>
        <v>0</v>
      </c>
      <c r="FV8" t="s">
        <v>1067</v>
      </c>
      <c r="FW8">
        <f t="shared" si="3"/>
        <v>0</v>
      </c>
      <c r="FX8" t="s">
        <v>1068</v>
      </c>
      <c r="FY8">
        <f t="shared" si="4"/>
        <v>0</v>
      </c>
      <c r="FZ8" t="s">
        <v>1069</v>
      </c>
      <c r="GA8">
        <f t="shared" si="5"/>
        <v>0</v>
      </c>
      <c r="GB8" t="s">
        <v>1070</v>
      </c>
      <c r="GC8">
        <f t="shared" si="6"/>
        <v>0</v>
      </c>
      <c r="GD8" t="s">
        <v>1071</v>
      </c>
      <c r="GE8">
        <f t="shared" si="7"/>
        <v>0</v>
      </c>
      <c r="GF8" t="s">
        <v>1072</v>
      </c>
      <c r="GG8">
        <f t="shared" si="8"/>
        <v>0</v>
      </c>
      <c r="GH8" t="s">
        <v>1073</v>
      </c>
      <c r="GI8">
        <f t="shared" si="9"/>
        <v>0</v>
      </c>
      <c r="GJ8" t="s">
        <v>1074</v>
      </c>
      <c r="GK8">
        <f t="shared" si="10"/>
        <v>0</v>
      </c>
      <c r="GL8" t="s">
        <v>1075</v>
      </c>
      <c r="GM8">
        <f t="shared" si="11"/>
        <v>0</v>
      </c>
      <c r="GN8" t="s">
        <v>1076</v>
      </c>
      <c r="GO8">
        <f t="shared" si="95"/>
        <v>0</v>
      </c>
      <c r="GP8" t="s">
        <v>1077</v>
      </c>
      <c r="GQ8">
        <f t="shared" si="12"/>
        <v>0</v>
      </c>
      <c r="GR8" t="s">
        <v>1078</v>
      </c>
      <c r="GS8">
        <f t="shared" si="13"/>
        <v>0</v>
      </c>
      <c r="GT8" t="s">
        <v>1079</v>
      </c>
      <c r="GU8">
        <f t="shared" si="14"/>
        <v>0</v>
      </c>
      <c r="GV8" t="s">
        <v>1080</v>
      </c>
      <c r="GW8">
        <f t="shared" si="15"/>
        <v>0</v>
      </c>
      <c r="GX8" t="s">
        <v>1081</v>
      </c>
      <c r="GY8">
        <f t="shared" si="16"/>
        <v>0</v>
      </c>
      <c r="GZ8" t="s">
        <v>1082</v>
      </c>
      <c r="HA8">
        <f t="shared" si="17"/>
        <v>0</v>
      </c>
      <c r="HB8" t="s">
        <v>1083</v>
      </c>
      <c r="HC8">
        <f t="shared" si="18"/>
        <v>0</v>
      </c>
      <c r="HD8" t="s">
        <v>1084</v>
      </c>
      <c r="HE8">
        <f t="shared" si="19"/>
        <v>0</v>
      </c>
      <c r="HF8" t="s">
        <v>1085</v>
      </c>
      <c r="HG8">
        <f t="shared" si="20"/>
        <v>0</v>
      </c>
      <c r="HH8" t="s">
        <v>1086</v>
      </c>
      <c r="HI8">
        <f t="shared" si="21"/>
        <v>0</v>
      </c>
      <c r="HJ8" t="s">
        <v>1087</v>
      </c>
      <c r="HK8">
        <f t="shared" si="22"/>
        <v>0</v>
      </c>
      <c r="HL8" t="s">
        <v>1088</v>
      </c>
      <c r="HM8">
        <f t="shared" si="23"/>
        <v>0</v>
      </c>
      <c r="HN8" t="s">
        <v>1089</v>
      </c>
      <c r="HO8">
        <f t="shared" si="24"/>
        <v>0</v>
      </c>
      <c r="HP8" t="s">
        <v>1090</v>
      </c>
      <c r="HQ8">
        <f t="shared" si="25"/>
        <v>0</v>
      </c>
      <c r="HR8" t="s">
        <v>1091</v>
      </c>
      <c r="HS8">
        <f t="shared" si="26"/>
        <v>0</v>
      </c>
      <c r="HT8" t="s">
        <v>1092</v>
      </c>
      <c r="HU8">
        <f t="shared" si="27"/>
        <v>0</v>
      </c>
      <c r="HV8" t="s">
        <v>1093</v>
      </c>
      <c r="HW8">
        <f t="shared" si="28"/>
        <v>0</v>
      </c>
      <c r="HX8" t="s">
        <v>1094</v>
      </c>
      <c r="HY8">
        <f t="shared" si="29"/>
        <v>0</v>
      </c>
      <c r="HZ8" t="s">
        <v>1095</v>
      </c>
      <c r="IA8">
        <f t="shared" si="30"/>
        <v>0</v>
      </c>
      <c r="IB8" t="s">
        <v>1096</v>
      </c>
      <c r="IC8">
        <f t="shared" si="31"/>
        <v>0</v>
      </c>
      <c r="ID8" t="s">
        <v>1097</v>
      </c>
      <c r="IE8">
        <f t="shared" si="32"/>
        <v>0</v>
      </c>
      <c r="IF8" t="s">
        <v>1098</v>
      </c>
      <c r="IG8">
        <f t="shared" si="33"/>
        <v>0</v>
      </c>
      <c r="IH8" t="s">
        <v>1099</v>
      </c>
      <c r="II8">
        <f t="shared" si="34"/>
        <v>0</v>
      </c>
      <c r="IJ8" t="s">
        <v>1100</v>
      </c>
      <c r="IK8">
        <f t="shared" si="35"/>
        <v>0</v>
      </c>
      <c r="IL8" t="s">
        <v>1101</v>
      </c>
      <c r="IM8">
        <f t="shared" si="36"/>
        <v>0</v>
      </c>
      <c r="IN8" t="s">
        <v>1102</v>
      </c>
      <c r="IO8">
        <f t="shared" si="37"/>
        <v>0</v>
      </c>
      <c r="IP8" t="s">
        <v>1103</v>
      </c>
      <c r="IQ8">
        <f t="shared" si="38"/>
        <v>0</v>
      </c>
      <c r="IR8" t="s">
        <v>1104</v>
      </c>
      <c r="IS8">
        <f t="shared" si="39"/>
        <v>0</v>
      </c>
      <c r="IT8" t="s">
        <v>1105</v>
      </c>
      <c r="IU8">
        <f t="shared" si="40"/>
        <v>0</v>
      </c>
      <c r="IV8" t="s">
        <v>1106</v>
      </c>
      <c r="IW8">
        <f t="shared" si="41"/>
        <v>0</v>
      </c>
      <c r="IX8" t="s">
        <v>1107</v>
      </c>
      <c r="IY8">
        <f t="shared" si="42"/>
        <v>0</v>
      </c>
      <c r="IZ8" t="s">
        <v>1108</v>
      </c>
      <c r="JA8">
        <f t="shared" si="43"/>
        <v>0</v>
      </c>
      <c r="JB8" t="s">
        <v>1109</v>
      </c>
      <c r="JC8">
        <f t="shared" si="44"/>
        <v>0</v>
      </c>
      <c r="JD8" t="s">
        <v>1110</v>
      </c>
      <c r="JE8">
        <f t="shared" si="45"/>
        <v>0</v>
      </c>
      <c r="JF8" t="s">
        <v>1111</v>
      </c>
      <c r="JG8">
        <f t="shared" si="46"/>
        <v>0</v>
      </c>
      <c r="JH8" t="s">
        <v>1112</v>
      </c>
      <c r="JI8">
        <f t="shared" si="47"/>
        <v>0</v>
      </c>
      <c r="JJ8" t="s">
        <v>1113</v>
      </c>
      <c r="JK8">
        <f t="shared" si="48"/>
        <v>0</v>
      </c>
      <c r="JL8" t="s">
        <v>1114</v>
      </c>
      <c r="JM8">
        <f t="shared" si="49"/>
        <v>0</v>
      </c>
      <c r="JN8" t="s">
        <v>1115</v>
      </c>
      <c r="JO8">
        <f t="shared" si="50"/>
        <v>0</v>
      </c>
      <c r="JP8" t="s">
        <v>1116</v>
      </c>
      <c r="JQ8">
        <f t="shared" si="51"/>
        <v>0</v>
      </c>
      <c r="JR8" t="s">
        <v>1117</v>
      </c>
      <c r="JS8">
        <f t="shared" si="52"/>
        <v>0</v>
      </c>
      <c r="JT8" t="s">
        <v>1118</v>
      </c>
      <c r="JU8">
        <f t="shared" si="53"/>
        <v>0</v>
      </c>
      <c r="JV8" t="s">
        <v>1119</v>
      </c>
      <c r="JW8">
        <f t="shared" si="54"/>
        <v>0</v>
      </c>
      <c r="JX8" t="s">
        <v>1120</v>
      </c>
      <c r="JY8">
        <f t="shared" si="55"/>
        <v>0</v>
      </c>
      <c r="JZ8" t="s">
        <v>1121</v>
      </c>
      <c r="KA8">
        <f t="shared" si="56"/>
        <v>0</v>
      </c>
      <c r="KB8" t="s">
        <v>1122</v>
      </c>
      <c r="KC8">
        <f t="shared" si="57"/>
        <v>0</v>
      </c>
      <c r="KD8" t="s">
        <v>1123</v>
      </c>
      <c r="KE8">
        <f t="shared" si="58"/>
        <v>0</v>
      </c>
      <c r="KF8" t="s">
        <v>1124</v>
      </c>
      <c r="KG8">
        <f t="shared" si="59"/>
        <v>0</v>
      </c>
      <c r="KH8" t="s">
        <v>1125</v>
      </c>
      <c r="KI8">
        <f t="shared" si="60"/>
        <v>0</v>
      </c>
      <c r="KJ8" t="s">
        <v>1126</v>
      </c>
      <c r="KK8">
        <f t="shared" si="61"/>
        <v>0</v>
      </c>
      <c r="KL8" t="s">
        <v>1127</v>
      </c>
      <c r="KM8">
        <f t="shared" si="62"/>
        <v>0</v>
      </c>
      <c r="KN8" t="s">
        <v>1128</v>
      </c>
      <c r="KO8">
        <f t="shared" si="63"/>
        <v>0</v>
      </c>
      <c r="KP8" t="s">
        <v>1129</v>
      </c>
      <c r="KQ8">
        <f t="shared" si="64"/>
        <v>0</v>
      </c>
      <c r="KR8" t="s">
        <v>1130</v>
      </c>
      <c r="KS8">
        <f t="shared" si="65"/>
        <v>0</v>
      </c>
      <c r="KT8" t="s">
        <v>1131</v>
      </c>
      <c r="KU8">
        <f t="shared" si="66"/>
        <v>0</v>
      </c>
      <c r="KV8" t="s">
        <v>1132</v>
      </c>
      <c r="KW8">
        <f t="shared" si="67"/>
        <v>0</v>
      </c>
      <c r="KX8" t="s">
        <v>1133</v>
      </c>
      <c r="KY8">
        <f t="shared" si="68"/>
        <v>0</v>
      </c>
      <c r="KZ8" t="s">
        <v>1134</v>
      </c>
      <c r="LA8">
        <f t="shared" si="69"/>
        <v>0</v>
      </c>
      <c r="LB8" t="s">
        <v>1135</v>
      </c>
      <c r="LC8">
        <f t="shared" si="70"/>
        <v>0</v>
      </c>
      <c r="LD8" t="s">
        <v>1136</v>
      </c>
      <c r="LE8">
        <f t="shared" si="71"/>
        <v>0</v>
      </c>
      <c r="LF8" t="s">
        <v>1137</v>
      </c>
      <c r="LG8">
        <f t="shared" si="72"/>
        <v>0</v>
      </c>
      <c r="LH8" t="s">
        <v>1138</v>
      </c>
      <c r="LI8">
        <f t="shared" si="73"/>
        <v>0</v>
      </c>
      <c r="LJ8" t="s">
        <v>1139</v>
      </c>
      <c r="LK8">
        <f t="shared" si="74"/>
        <v>0</v>
      </c>
      <c r="LL8" t="s">
        <v>1140</v>
      </c>
      <c r="LM8">
        <f t="shared" si="75"/>
        <v>0</v>
      </c>
      <c r="LN8" t="s">
        <v>1141</v>
      </c>
      <c r="LO8">
        <f t="shared" si="76"/>
        <v>0</v>
      </c>
      <c r="LP8" t="s">
        <v>1142</v>
      </c>
      <c r="LQ8">
        <f t="shared" si="77"/>
        <v>0</v>
      </c>
      <c r="LR8" t="s">
        <v>1143</v>
      </c>
      <c r="LS8">
        <f t="shared" si="78"/>
        <v>0</v>
      </c>
      <c r="LT8" t="s">
        <v>1144</v>
      </c>
      <c r="LU8">
        <f t="shared" si="79"/>
        <v>0</v>
      </c>
      <c r="LV8" t="s">
        <v>1145</v>
      </c>
      <c r="LW8">
        <f t="shared" si="80"/>
        <v>0</v>
      </c>
      <c r="LX8" t="s">
        <v>1146</v>
      </c>
      <c r="LY8">
        <f t="shared" si="81"/>
        <v>0</v>
      </c>
      <c r="LZ8">
        <f>'6'!B24</f>
        <v>0</v>
      </c>
      <c r="MA8">
        <f>'6'!C24</f>
        <v>0</v>
      </c>
      <c r="MB8">
        <f>'6'!D24</f>
        <v>0</v>
      </c>
      <c r="MC8">
        <f>'6'!E24</f>
        <v>0</v>
      </c>
      <c r="MD8">
        <f>'6'!F24</f>
        <v>0</v>
      </c>
      <c r="ME8">
        <f>'6'!G24</f>
        <v>0</v>
      </c>
      <c r="MF8">
        <f>'6'!H24</f>
        <v>0</v>
      </c>
      <c r="MG8">
        <f>'6'!I24</f>
        <v>0</v>
      </c>
      <c r="MH8">
        <f>'6'!J24</f>
        <v>0</v>
      </c>
      <c r="MI8">
        <f>'6'!K24</f>
        <v>0</v>
      </c>
      <c r="MJ8">
        <f>'6'!L24</f>
        <v>0</v>
      </c>
      <c r="MK8">
        <f>'6'!M24</f>
        <v>0</v>
      </c>
      <c r="ML8" s="13">
        <f>'7'!B39</f>
        <v>0</v>
      </c>
      <c r="MM8" s="13">
        <f>'7'!C39</f>
        <v>0</v>
      </c>
      <c r="MN8" s="13">
        <f>'7'!D39</f>
        <v>0</v>
      </c>
      <c r="MO8" s="13">
        <f>'7'!E39</f>
        <v>0</v>
      </c>
      <c r="MP8" s="13">
        <f>'7'!F39</f>
        <v>0</v>
      </c>
      <c r="MQ8" s="13">
        <f>'7'!G39</f>
        <v>0</v>
      </c>
      <c r="MR8" s="13">
        <f>'7'!H39</f>
        <v>0</v>
      </c>
      <c r="MS8" s="13">
        <f>'7'!I39</f>
        <v>0</v>
      </c>
      <c r="MT8" s="13">
        <f>'7'!J39</f>
        <v>0</v>
      </c>
      <c r="MU8" s="13">
        <f>'7'!K39</f>
        <v>0</v>
      </c>
      <c r="MV8" s="13">
        <f>'7'!L39</f>
        <v>0</v>
      </c>
      <c r="MW8" s="13">
        <f>'7'!M39</f>
        <v>0</v>
      </c>
      <c r="MX8" s="13" t="s">
        <v>1147</v>
      </c>
      <c r="MY8">
        <f t="shared" si="82"/>
        <v>0</v>
      </c>
      <c r="MZ8" s="13" t="s">
        <v>1148</v>
      </c>
      <c r="NA8">
        <f t="shared" si="83"/>
        <v>0</v>
      </c>
      <c r="NB8" s="13" t="s">
        <v>1149</v>
      </c>
      <c r="NC8">
        <f t="shared" si="84"/>
        <v>0</v>
      </c>
      <c r="ND8" s="13" t="s">
        <v>1150</v>
      </c>
      <c r="NE8">
        <f t="shared" si="85"/>
        <v>0</v>
      </c>
      <c r="NF8" s="13" t="s">
        <v>1151</v>
      </c>
      <c r="NG8">
        <f t="shared" si="86"/>
        <v>0</v>
      </c>
      <c r="NH8" s="13" t="s">
        <v>1152</v>
      </c>
      <c r="NI8">
        <f t="shared" si="87"/>
        <v>0</v>
      </c>
      <c r="NJ8" s="13" t="s">
        <v>1153</v>
      </c>
      <c r="NK8">
        <f t="shared" si="88"/>
        <v>0</v>
      </c>
      <c r="NL8" s="13" t="s">
        <v>1154</v>
      </c>
      <c r="NM8">
        <f t="shared" si="89"/>
        <v>0</v>
      </c>
      <c r="NN8" s="13" t="s">
        <v>1155</v>
      </c>
      <c r="NO8">
        <f t="shared" si="90"/>
        <v>0</v>
      </c>
      <c r="NP8" s="13" t="s">
        <v>1156</v>
      </c>
      <c r="NQ8">
        <f t="shared" si="91"/>
        <v>0</v>
      </c>
      <c r="NR8" s="13" t="s">
        <v>1157</v>
      </c>
      <c r="NS8">
        <f t="shared" si="92"/>
        <v>0</v>
      </c>
      <c r="NT8" s="13" t="s">
        <v>1158</v>
      </c>
      <c r="NU8">
        <f t="shared" si="93"/>
        <v>0</v>
      </c>
      <c r="NV8" s="13"/>
    </row>
    <row r="9" spans="1:386" customFormat="1" x14ac:dyDescent="0.25">
      <c r="A9">
        <v>6</v>
      </c>
      <c r="B9">
        <f>'6'!AB27</f>
        <v>0</v>
      </c>
      <c r="C9">
        <f>'6'!AC27</f>
        <v>0</v>
      </c>
      <c r="D9">
        <f>'6'!AD27</f>
        <v>0</v>
      </c>
      <c r="E9">
        <f>'6'!AE27</f>
        <v>0</v>
      </c>
      <c r="F9">
        <f>'6'!AF27</f>
        <v>0</v>
      </c>
      <c r="G9">
        <f>'6'!AG27</f>
        <v>0</v>
      </c>
      <c r="H9">
        <f>'6'!AH27</f>
        <v>0</v>
      </c>
      <c r="I9">
        <f>'6'!AI27</f>
        <v>0</v>
      </c>
      <c r="J9">
        <f>'6'!AJ27</f>
        <v>0</v>
      </c>
      <c r="K9">
        <f>'6'!AK27</f>
        <v>0</v>
      </c>
      <c r="L9">
        <f>'6'!AL27</f>
        <v>0</v>
      </c>
      <c r="M9">
        <f>'6'!AM27</f>
        <v>0</v>
      </c>
      <c r="N9">
        <f>'6'!AN27</f>
        <v>0</v>
      </c>
      <c r="O9">
        <f>'6'!AO27</f>
        <v>0</v>
      </c>
      <c r="P9">
        <f>'6'!AP27</f>
        <v>0</v>
      </c>
      <c r="Q9">
        <f>'6'!AQ27</f>
        <v>0</v>
      </c>
      <c r="R9">
        <f>'6'!AR27</f>
        <v>0</v>
      </c>
      <c r="S9">
        <f>'6'!AS27</f>
        <v>0</v>
      </c>
      <c r="T9">
        <f>'6'!AT27</f>
        <v>0</v>
      </c>
      <c r="U9">
        <f>'6'!AU27</f>
        <v>0</v>
      </c>
      <c r="V9">
        <f>'6'!AV27</f>
        <v>0</v>
      </c>
      <c r="W9">
        <f>'6'!AW27</f>
        <v>0</v>
      </c>
      <c r="X9">
        <f>'6'!AX27</f>
        <v>0</v>
      </c>
      <c r="Y9">
        <f>'6'!AY27</f>
        <v>0</v>
      </c>
      <c r="Z9">
        <f>'6'!AZ27</f>
        <v>0</v>
      </c>
      <c r="AA9">
        <f>'6'!BA27</f>
        <v>0</v>
      </c>
      <c r="AB9">
        <f>'6'!BB27</f>
        <v>0</v>
      </c>
      <c r="AC9">
        <f>'6'!BC27</f>
        <v>0</v>
      </c>
      <c r="AD9">
        <f>'6'!BD27</f>
        <v>0</v>
      </c>
      <c r="AE9">
        <f>'6'!BE27</f>
        <v>0</v>
      </c>
      <c r="AF9">
        <f>'6'!BF27</f>
        <v>0</v>
      </c>
      <c r="AG9">
        <f>'6'!BG27</f>
        <v>0</v>
      </c>
      <c r="AH9">
        <f>'6'!BH27</f>
        <v>0</v>
      </c>
      <c r="AI9">
        <f>'6'!BI27</f>
        <v>0</v>
      </c>
      <c r="AJ9">
        <f>'6'!BJ27</f>
        <v>0</v>
      </c>
      <c r="AK9">
        <f>'6'!BK27</f>
        <v>0</v>
      </c>
      <c r="AL9">
        <f>'6'!BL27</f>
        <v>0</v>
      </c>
      <c r="AM9">
        <f>'6'!BM27</f>
        <v>0</v>
      </c>
      <c r="AN9">
        <f>'6'!BN27</f>
        <v>0</v>
      </c>
      <c r="AO9">
        <f>'6'!BO27</f>
        <v>0</v>
      </c>
      <c r="AP9">
        <f>'6'!BP27</f>
        <v>0</v>
      </c>
      <c r="AQ9">
        <f>'6'!BQ27</f>
        <v>0</v>
      </c>
      <c r="AR9">
        <f>'6'!BR27</f>
        <v>0</v>
      </c>
      <c r="AS9">
        <f>'6'!BS27</f>
        <v>0</v>
      </c>
      <c r="AT9">
        <f>'6'!BT27</f>
        <v>0</v>
      </c>
      <c r="AU9">
        <f>'6'!BU27</f>
        <v>0</v>
      </c>
      <c r="AV9">
        <f>'6'!BV27</f>
        <v>0</v>
      </c>
      <c r="AW9">
        <f>'6'!BW27</f>
        <v>0</v>
      </c>
      <c r="AX9">
        <f>'6'!BX27</f>
        <v>0</v>
      </c>
      <c r="AY9">
        <f>'6'!BY27</f>
        <v>0</v>
      </c>
      <c r="AZ9">
        <f>'6'!BZ27</f>
        <v>0</v>
      </c>
      <c r="BA9">
        <f>'6'!CA27</f>
        <v>0</v>
      </c>
      <c r="BB9">
        <f>'6'!CB27</f>
        <v>0</v>
      </c>
      <c r="BC9">
        <f>'6'!CC27</f>
        <v>0</v>
      </c>
      <c r="BD9">
        <f>'6'!CD27</f>
        <v>0</v>
      </c>
      <c r="BE9">
        <f>'6'!CE27</f>
        <v>0</v>
      </c>
      <c r="BF9">
        <f>'6'!CF27</f>
        <v>0</v>
      </c>
      <c r="BG9">
        <f>'6'!CG27</f>
        <v>0</v>
      </c>
      <c r="BH9">
        <f>'6'!CH27</f>
        <v>0</v>
      </c>
      <c r="BI9">
        <f>'6'!CI27</f>
        <v>0</v>
      </c>
      <c r="BJ9">
        <f>'6'!CJ27</f>
        <v>0</v>
      </c>
      <c r="BK9">
        <f>'6'!CK27</f>
        <v>0</v>
      </c>
      <c r="BL9">
        <f>'6'!CL27</f>
        <v>0</v>
      </c>
      <c r="BM9">
        <f>'6'!CM27</f>
        <v>0</v>
      </c>
      <c r="BN9">
        <f>'6'!CN27</f>
        <v>0</v>
      </c>
      <c r="BO9">
        <f>'6'!CO27</f>
        <v>0</v>
      </c>
      <c r="BP9">
        <f>'6'!CP27</f>
        <v>0</v>
      </c>
      <c r="BQ9">
        <f>'6'!CQ27</f>
        <v>0</v>
      </c>
      <c r="BR9">
        <f>'6'!CR27</f>
        <v>0</v>
      </c>
      <c r="BS9">
        <f>'6'!CS27</f>
        <v>0</v>
      </c>
      <c r="BT9">
        <f>'6'!CT27</f>
        <v>0</v>
      </c>
      <c r="BU9">
        <f>'6'!CU27</f>
        <v>0</v>
      </c>
      <c r="BV9">
        <f>'6'!CV27</f>
        <v>0</v>
      </c>
      <c r="BW9">
        <f>'6'!CW27</f>
        <v>0</v>
      </c>
      <c r="BX9">
        <f>'6'!CX27</f>
        <v>0</v>
      </c>
      <c r="BY9">
        <f>'6'!CY27</f>
        <v>0</v>
      </c>
      <c r="BZ9">
        <f>'6'!CZ27</f>
        <v>0</v>
      </c>
      <c r="CA9">
        <f>'6'!DA27</f>
        <v>0</v>
      </c>
      <c r="CB9">
        <f>'6'!DB27</f>
        <v>0</v>
      </c>
      <c r="CC9">
        <f>'6'!DC27</f>
        <v>0</v>
      </c>
      <c r="CD9">
        <f>'6'!DD27</f>
        <v>0</v>
      </c>
      <c r="CE9">
        <f>'6'!DE27</f>
        <v>0</v>
      </c>
      <c r="CF9">
        <f>'6'!DF27</f>
        <v>0</v>
      </c>
      <c r="CG9">
        <f>'6'!DG27</f>
        <v>0</v>
      </c>
      <c r="CH9">
        <f>SUM('7'!AB49:AB53)</f>
        <v>0</v>
      </c>
      <c r="CI9">
        <f>SUM('7'!AC49:AC53)</f>
        <v>0</v>
      </c>
      <c r="CJ9">
        <f>SUM('7'!AD49:AD53)</f>
        <v>0</v>
      </c>
      <c r="CK9">
        <f>SUM('7'!AE49:AE53)</f>
        <v>0</v>
      </c>
      <c r="CL9">
        <f>SUM('7'!AF49:AF53)</f>
        <v>0</v>
      </c>
      <c r="CM9">
        <f>SUM('7'!AG49:AG53)</f>
        <v>0</v>
      </c>
      <c r="CN9">
        <f>SUM('7'!AH49:AH53)</f>
        <v>0</v>
      </c>
      <c r="CO9">
        <f>SUM('7'!AI49:AI53)</f>
        <v>0</v>
      </c>
      <c r="CP9">
        <f>SUM('7'!AJ49:AJ53)</f>
        <v>0</v>
      </c>
      <c r="CQ9">
        <f>SUM('7'!AK49:AK53)</f>
        <v>0</v>
      </c>
      <c r="CR9">
        <f>SUM('7'!AL49:AL53)</f>
        <v>0</v>
      </c>
      <c r="CS9">
        <f>SUM('7'!AM49:AM53)</f>
        <v>0</v>
      </c>
      <c r="CT9">
        <f>SUM('7'!AN49:AN53)</f>
        <v>0</v>
      </c>
      <c r="CU9">
        <f>SUM('7'!AO49:AO53)</f>
        <v>0</v>
      </c>
      <c r="CV9">
        <f>SUM('7'!AP49:AP53)</f>
        <v>0</v>
      </c>
      <c r="CW9">
        <f>SUM('7'!AQ49:AQ53)</f>
        <v>0</v>
      </c>
      <c r="CX9">
        <f>SUM('7'!AR49:AR53)</f>
        <v>0</v>
      </c>
      <c r="CY9">
        <f>SUM('7'!AS49:AS53)</f>
        <v>0</v>
      </c>
      <c r="CZ9">
        <f>SUM('7'!AT49:AT53)</f>
        <v>0</v>
      </c>
      <c r="DA9">
        <f>SUM('7'!AU49:AU53)</f>
        <v>0</v>
      </c>
      <c r="DB9">
        <f>SUM('7'!AV49:AV53)</f>
        <v>0</v>
      </c>
      <c r="DC9">
        <f>SUM('7'!AW49:AW53)</f>
        <v>0</v>
      </c>
      <c r="DD9">
        <f>SUM('7'!AX49:AX53)</f>
        <v>0</v>
      </c>
      <c r="DE9">
        <f>SUM('7'!AY49:AY53)</f>
        <v>0</v>
      </c>
      <c r="DF9">
        <f>SUM('7'!AZ49:AZ53)</f>
        <v>0</v>
      </c>
      <c r="DG9">
        <f>SUM('7'!BA49:BA53)</f>
        <v>0</v>
      </c>
      <c r="DH9">
        <f>SUM('7'!BB49:BB53)</f>
        <v>0</v>
      </c>
      <c r="DI9">
        <f>SUM('7'!BC49:BC53)</f>
        <v>0</v>
      </c>
      <c r="DJ9">
        <f>SUM('7'!BD49:BD53)</f>
        <v>0</v>
      </c>
      <c r="DK9">
        <f>SUM('7'!BE49:BE53)</f>
        <v>0</v>
      </c>
      <c r="DL9">
        <f>SUM('7'!BF49:BF53)</f>
        <v>0</v>
      </c>
      <c r="DM9">
        <f>SUM('7'!BG49:BG53)</f>
        <v>0</v>
      </c>
      <c r="DN9">
        <f>SUM('7'!BH49:BH53)</f>
        <v>0</v>
      </c>
      <c r="DO9">
        <f>SUM('7'!BI49:BI53)</f>
        <v>0</v>
      </c>
      <c r="DP9">
        <f>SUM('7'!BJ49:BJ53)</f>
        <v>0</v>
      </c>
      <c r="DQ9">
        <f>SUM('7'!BK49:BK53)</f>
        <v>0</v>
      </c>
      <c r="DR9">
        <f>SUM('7'!BL49:BL53)</f>
        <v>0</v>
      </c>
      <c r="DS9">
        <f>SUM('7'!BM49:BM53)</f>
        <v>0</v>
      </c>
      <c r="DT9">
        <f>SUM('7'!BN49:BN53)</f>
        <v>0</v>
      </c>
      <c r="DU9">
        <f>SUM('7'!BO49:BO53)</f>
        <v>0</v>
      </c>
      <c r="DV9">
        <f>SUM('7'!BP49:BP53)</f>
        <v>0</v>
      </c>
      <c r="DW9">
        <f>SUM('7'!BQ49:BQ53)</f>
        <v>0</v>
      </c>
      <c r="DX9">
        <f>SUM('7'!BR49:BR53)</f>
        <v>0</v>
      </c>
      <c r="DY9">
        <f>SUM('7'!BS49:BS53)</f>
        <v>0</v>
      </c>
      <c r="DZ9">
        <f>SUM('7'!BT49:BT53)</f>
        <v>0</v>
      </c>
      <c r="EA9">
        <f>SUM('7'!BU49:BU53)</f>
        <v>0</v>
      </c>
      <c r="EB9">
        <f>SUM('7'!BV49:BV53)</f>
        <v>0</v>
      </c>
      <c r="EC9">
        <f>SUM('7'!BW49:BW53)</f>
        <v>0</v>
      </c>
      <c r="ED9">
        <f>SUM('7'!BX49:BX53)</f>
        <v>0</v>
      </c>
      <c r="EE9">
        <f>SUM('7'!BY49:BY53)</f>
        <v>0</v>
      </c>
      <c r="EF9">
        <f>SUM('7'!BZ49:BZ53)</f>
        <v>0</v>
      </c>
      <c r="EG9">
        <f>SUM('7'!CA49:CA53)</f>
        <v>0</v>
      </c>
      <c r="EH9">
        <f>SUM('7'!CB49:CB53)</f>
        <v>0</v>
      </c>
      <c r="EI9">
        <f>SUM('7'!CC49:CC53)</f>
        <v>0</v>
      </c>
      <c r="EJ9">
        <f>SUM('7'!CD49:CD53)</f>
        <v>0</v>
      </c>
      <c r="EK9">
        <f>SUM('7'!CE49:CE53)</f>
        <v>0</v>
      </c>
      <c r="EL9">
        <f>SUM('7'!CF49:CF53)</f>
        <v>0</v>
      </c>
      <c r="EM9">
        <f>SUM('7'!CG49:CG53)</f>
        <v>0</v>
      </c>
      <c r="EN9">
        <f>SUM('7'!CH49:CH53)</f>
        <v>0</v>
      </c>
      <c r="EO9">
        <f>SUM('7'!CI49:CI53)</f>
        <v>0</v>
      </c>
      <c r="EP9">
        <f>SUM('7'!CJ49:CJ53)</f>
        <v>0</v>
      </c>
      <c r="EQ9">
        <f>SUM('7'!CK49:CK53)</f>
        <v>0</v>
      </c>
      <c r="ER9">
        <f>SUM('7'!CL49:CL53)</f>
        <v>0</v>
      </c>
      <c r="ES9">
        <f>SUM('7'!CM49:CM53)</f>
        <v>0</v>
      </c>
      <c r="ET9">
        <f>SUM('7'!CN49:CN53)</f>
        <v>0</v>
      </c>
      <c r="EU9">
        <f>SUM('7'!CO49:CO53)</f>
        <v>0</v>
      </c>
      <c r="EV9">
        <f>SUM('7'!CP49:CP53)</f>
        <v>0</v>
      </c>
      <c r="EW9">
        <f>SUM('7'!CQ49:CQ53)</f>
        <v>0</v>
      </c>
      <c r="EX9">
        <f>SUM('7'!CR49:CR53)</f>
        <v>0</v>
      </c>
      <c r="EY9">
        <f>SUM('7'!CS49:CS53)</f>
        <v>0</v>
      </c>
      <c r="EZ9">
        <f>SUM('7'!CT49:CT53)</f>
        <v>0</v>
      </c>
      <c r="FA9">
        <f>SUM('7'!CU49:CU53)</f>
        <v>0</v>
      </c>
      <c r="FB9">
        <f>SUM('7'!CV49:CV53)</f>
        <v>0</v>
      </c>
      <c r="FC9">
        <f>SUM('7'!CW49:CW53)</f>
        <v>0</v>
      </c>
      <c r="FD9">
        <f>SUM('7'!CX49:CX53)</f>
        <v>0</v>
      </c>
      <c r="FE9">
        <f>SUM('7'!CY49:CY53)</f>
        <v>0</v>
      </c>
      <c r="FF9">
        <f>SUM('7'!CZ49:CZ53)</f>
        <v>0</v>
      </c>
      <c r="FG9">
        <f>SUM('7'!DA49:DA53)</f>
        <v>0</v>
      </c>
      <c r="FH9">
        <f>SUM('7'!DB49:DB53)</f>
        <v>0</v>
      </c>
      <c r="FI9">
        <f>SUM('7'!DC49:DC53)</f>
        <v>0</v>
      </c>
      <c r="FJ9">
        <f>SUM('7'!DD49:DD53)</f>
        <v>0</v>
      </c>
      <c r="FK9">
        <f>SUM('7'!DE49:DE53)</f>
        <v>0</v>
      </c>
      <c r="FL9">
        <f>SUM('7'!DF49:DF53)</f>
        <v>0</v>
      </c>
      <c r="FM9">
        <f>SUM('7'!DG49:DG53)</f>
        <v>0</v>
      </c>
      <c r="FN9" t="s">
        <v>1159</v>
      </c>
      <c r="FO9">
        <f t="shared" si="94"/>
        <v>0</v>
      </c>
      <c r="FP9" t="s">
        <v>1160</v>
      </c>
      <c r="FQ9">
        <f t="shared" si="0"/>
        <v>0</v>
      </c>
      <c r="FR9" t="s">
        <v>1161</v>
      </c>
      <c r="FS9">
        <f t="shared" si="1"/>
        <v>0</v>
      </c>
      <c r="FT9" t="s">
        <v>1162</v>
      </c>
      <c r="FU9">
        <f t="shared" si="2"/>
        <v>0</v>
      </c>
      <c r="FV9" t="s">
        <v>1163</v>
      </c>
      <c r="FW9">
        <f t="shared" si="3"/>
        <v>0</v>
      </c>
      <c r="FX9" t="s">
        <v>1164</v>
      </c>
      <c r="FY9">
        <f t="shared" si="4"/>
        <v>0</v>
      </c>
      <c r="FZ9" t="s">
        <v>1165</v>
      </c>
      <c r="GA9">
        <f t="shared" si="5"/>
        <v>0</v>
      </c>
      <c r="GB9" t="s">
        <v>1166</v>
      </c>
      <c r="GC9">
        <f t="shared" si="6"/>
        <v>0</v>
      </c>
      <c r="GD9" t="s">
        <v>1167</v>
      </c>
      <c r="GE9">
        <f t="shared" si="7"/>
        <v>0</v>
      </c>
      <c r="GF9" t="s">
        <v>1168</v>
      </c>
      <c r="GG9">
        <f t="shared" si="8"/>
        <v>0</v>
      </c>
      <c r="GH9" t="s">
        <v>1169</v>
      </c>
      <c r="GI9">
        <f t="shared" si="9"/>
        <v>0</v>
      </c>
      <c r="GJ9" t="s">
        <v>1170</v>
      </c>
      <c r="GK9">
        <f t="shared" si="10"/>
        <v>0</v>
      </c>
      <c r="GL9" t="s">
        <v>1171</v>
      </c>
      <c r="GM9">
        <f t="shared" si="11"/>
        <v>0</v>
      </c>
      <c r="GN9" t="s">
        <v>1172</v>
      </c>
      <c r="GO9">
        <f t="shared" si="95"/>
        <v>0</v>
      </c>
      <c r="GP9" t="s">
        <v>1173</v>
      </c>
      <c r="GQ9">
        <f t="shared" si="12"/>
        <v>0</v>
      </c>
      <c r="GR9" t="s">
        <v>1174</v>
      </c>
      <c r="GS9">
        <f t="shared" si="13"/>
        <v>0</v>
      </c>
      <c r="GT9" t="s">
        <v>1175</v>
      </c>
      <c r="GU9">
        <f t="shared" si="14"/>
        <v>0</v>
      </c>
      <c r="GV9" t="s">
        <v>1176</v>
      </c>
      <c r="GW9">
        <f t="shared" si="15"/>
        <v>0</v>
      </c>
      <c r="GX9" t="s">
        <v>1177</v>
      </c>
      <c r="GY9">
        <f t="shared" si="16"/>
        <v>0</v>
      </c>
      <c r="GZ9" t="s">
        <v>1178</v>
      </c>
      <c r="HA9">
        <f t="shared" si="17"/>
        <v>0</v>
      </c>
      <c r="HB9" t="s">
        <v>1179</v>
      </c>
      <c r="HC9">
        <f t="shared" si="18"/>
        <v>0</v>
      </c>
      <c r="HD9" t="s">
        <v>1180</v>
      </c>
      <c r="HE9">
        <f t="shared" si="19"/>
        <v>0</v>
      </c>
      <c r="HF9" t="s">
        <v>1181</v>
      </c>
      <c r="HG9">
        <f t="shared" si="20"/>
        <v>0</v>
      </c>
      <c r="HH9" t="s">
        <v>1182</v>
      </c>
      <c r="HI9">
        <f t="shared" si="21"/>
        <v>0</v>
      </c>
      <c r="HJ9" t="s">
        <v>1183</v>
      </c>
      <c r="HK9">
        <f t="shared" si="22"/>
        <v>0</v>
      </c>
      <c r="HL9" t="s">
        <v>1184</v>
      </c>
      <c r="HM9">
        <f t="shared" si="23"/>
        <v>0</v>
      </c>
      <c r="HN9" t="s">
        <v>1185</v>
      </c>
      <c r="HO9">
        <f t="shared" si="24"/>
        <v>0</v>
      </c>
      <c r="HP9" t="s">
        <v>1186</v>
      </c>
      <c r="HQ9">
        <f t="shared" si="25"/>
        <v>0</v>
      </c>
      <c r="HR9" t="s">
        <v>1187</v>
      </c>
      <c r="HS9">
        <f t="shared" si="26"/>
        <v>0</v>
      </c>
      <c r="HT9" t="s">
        <v>1188</v>
      </c>
      <c r="HU9">
        <f t="shared" si="27"/>
        <v>0</v>
      </c>
      <c r="HV9" t="s">
        <v>1189</v>
      </c>
      <c r="HW9">
        <f t="shared" si="28"/>
        <v>0</v>
      </c>
      <c r="HX9" t="s">
        <v>1190</v>
      </c>
      <c r="HY9">
        <f t="shared" si="29"/>
        <v>0</v>
      </c>
      <c r="HZ9" t="s">
        <v>1191</v>
      </c>
      <c r="IA9">
        <f t="shared" si="30"/>
        <v>0</v>
      </c>
      <c r="IB9" t="s">
        <v>1192</v>
      </c>
      <c r="IC9">
        <f t="shared" si="31"/>
        <v>0</v>
      </c>
      <c r="ID9" t="s">
        <v>1193</v>
      </c>
      <c r="IE9">
        <f t="shared" si="32"/>
        <v>0</v>
      </c>
      <c r="IF9" t="s">
        <v>1194</v>
      </c>
      <c r="IG9">
        <f t="shared" si="33"/>
        <v>0</v>
      </c>
      <c r="IH9" t="s">
        <v>1195</v>
      </c>
      <c r="II9">
        <f t="shared" si="34"/>
        <v>0</v>
      </c>
      <c r="IJ9" t="s">
        <v>1196</v>
      </c>
      <c r="IK9">
        <f t="shared" si="35"/>
        <v>0</v>
      </c>
      <c r="IL9" t="s">
        <v>1197</v>
      </c>
      <c r="IM9">
        <f t="shared" si="36"/>
        <v>0</v>
      </c>
      <c r="IN9" t="s">
        <v>1198</v>
      </c>
      <c r="IO9">
        <f t="shared" si="37"/>
        <v>0</v>
      </c>
      <c r="IP9" t="s">
        <v>1199</v>
      </c>
      <c r="IQ9">
        <f t="shared" si="38"/>
        <v>0</v>
      </c>
      <c r="IR9" t="s">
        <v>1200</v>
      </c>
      <c r="IS9">
        <f t="shared" si="39"/>
        <v>0</v>
      </c>
      <c r="IT9" t="s">
        <v>1201</v>
      </c>
      <c r="IU9">
        <f t="shared" si="40"/>
        <v>0</v>
      </c>
      <c r="IV9" t="s">
        <v>1202</v>
      </c>
      <c r="IW9">
        <f t="shared" si="41"/>
        <v>0</v>
      </c>
      <c r="IX9" t="s">
        <v>1203</v>
      </c>
      <c r="IY9">
        <f t="shared" si="42"/>
        <v>0</v>
      </c>
      <c r="IZ9" t="s">
        <v>1204</v>
      </c>
      <c r="JA9">
        <f t="shared" si="43"/>
        <v>0</v>
      </c>
      <c r="JB9" t="s">
        <v>1205</v>
      </c>
      <c r="JC9">
        <f t="shared" si="44"/>
        <v>0</v>
      </c>
      <c r="JD9" t="s">
        <v>1206</v>
      </c>
      <c r="JE9">
        <f t="shared" si="45"/>
        <v>0</v>
      </c>
      <c r="JF9" t="s">
        <v>1207</v>
      </c>
      <c r="JG9">
        <f t="shared" si="46"/>
        <v>0</v>
      </c>
      <c r="JH9" t="s">
        <v>1208</v>
      </c>
      <c r="JI9">
        <f t="shared" si="47"/>
        <v>0</v>
      </c>
      <c r="JJ9" t="s">
        <v>1209</v>
      </c>
      <c r="JK9">
        <f t="shared" si="48"/>
        <v>0</v>
      </c>
      <c r="JL9" t="s">
        <v>1210</v>
      </c>
      <c r="JM9">
        <f t="shared" si="49"/>
        <v>0</v>
      </c>
      <c r="JN9" t="s">
        <v>1211</v>
      </c>
      <c r="JO9">
        <f t="shared" si="50"/>
        <v>0</v>
      </c>
      <c r="JP9" t="s">
        <v>1212</v>
      </c>
      <c r="JQ9">
        <f t="shared" si="51"/>
        <v>0</v>
      </c>
      <c r="JR9" t="s">
        <v>1213</v>
      </c>
      <c r="JS9">
        <f t="shared" si="52"/>
        <v>0</v>
      </c>
      <c r="JT9" t="s">
        <v>1214</v>
      </c>
      <c r="JU9">
        <f t="shared" si="53"/>
        <v>0</v>
      </c>
      <c r="JV9" t="s">
        <v>1215</v>
      </c>
      <c r="JW9">
        <f t="shared" si="54"/>
        <v>0</v>
      </c>
      <c r="JX9" t="s">
        <v>1216</v>
      </c>
      <c r="JY9">
        <f t="shared" si="55"/>
        <v>0</v>
      </c>
      <c r="JZ9" t="s">
        <v>1217</v>
      </c>
      <c r="KA9">
        <f t="shared" si="56"/>
        <v>0</v>
      </c>
      <c r="KB9" t="s">
        <v>1218</v>
      </c>
      <c r="KC9">
        <f t="shared" si="57"/>
        <v>0</v>
      </c>
      <c r="KD9" t="s">
        <v>1219</v>
      </c>
      <c r="KE9">
        <f t="shared" si="58"/>
        <v>0</v>
      </c>
      <c r="KF9" t="s">
        <v>1220</v>
      </c>
      <c r="KG9">
        <f t="shared" si="59"/>
        <v>0</v>
      </c>
      <c r="KH9" t="s">
        <v>1221</v>
      </c>
      <c r="KI9">
        <f t="shared" si="60"/>
        <v>0</v>
      </c>
      <c r="KJ9" t="s">
        <v>1222</v>
      </c>
      <c r="KK9">
        <f t="shared" si="61"/>
        <v>0</v>
      </c>
      <c r="KL9" t="s">
        <v>1223</v>
      </c>
      <c r="KM9">
        <f t="shared" si="62"/>
        <v>0</v>
      </c>
      <c r="KN9" t="s">
        <v>1224</v>
      </c>
      <c r="KO9">
        <f t="shared" si="63"/>
        <v>0</v>
      </c>
      <c r="KP9" t="s">
        <v>1225</v>
      </c>
      <c r="KQ9">
        <f t="shared" si="64"/>
        <v>0</v>
      </c>
      <c r="KR9" t="s">
        <v>1226</v>
      </c>
      <c r="KS9">
        <f t="shared" si="65"/>
        <v>0</v>
      </c>
      <c r="KT9" t="s">
        <v>1227</v>
      </c>
      <c r="KU9">
        <f t="shared" si="66"/>
        <v>0</v>
      </c>
      <c r="KV9" t="s">
        <v>1228</v>
      </c>
      <c r="KW9">
        <f t="shared" si="67"/>
        <v>0</v>
      </c>
      <c r="KX9" t="s">
        <v>1229</v>
      </c>
      <c r="KY9">
        <f t="shared" si="68"/>
        <v>0</v>
      </c>
      <c r="KZ9" t="s">
        <v>1230</v>
      </c>
      <c r="LA9">
        <f t="shared" si="69"/>
        <v>0</v>
      </c>
      <c r="LB9" t="s">
        <v>1231</v>
      </c>
      <c r="LC9">
        <f t="shared" si="70"/>
        <v>0</v>
      </c>
      <c r="LD9" t="s">
        <v>1232</v>
      </c>
      <c r="LE9">
        <f t="shared" si="71"/>
        <v>0</v>
      </c>
      <c r="LF9" t="s">
        <v>1233</v>
      </c>
      <c r="LG9">
        <f t="shared" si="72"/>
        <v>0</v>
      </c>
      <c r="LH9" t="s">
        <v>1234</v>
      </c>
      <c r="LI9">
        <f t="shared" si="73"/>
        <v>0</v>
      </c>
      <c r="LJ9" t="s">
        <v>1235</v>
      </c>
      <c r="LK9">
        <f t="shared" si="74"/>
        <v>0</v>
      </c>
      <c r="LL9" t="s">
        <v>1236</v>
      </c>
      <c r="LM9">
        <f t="shared" si="75"/>
        <v>0</v>
      </c>
      <c r="LN9" t="s">
        <v>1237</v>
      </c>
      <c r="LO9">
        <f t="shared" si="76"/>
        <v>0</v>
      </c>
      <c r="LP9" t="s">
        <v>1238</v>
      </c>
      <c r="LQ9">
        <f t="shared" si="77"/>
        <v>0</v>
      </c>
      <c r="LR9" t="s">
        <v>1239</v>
      </c>
      <c r="LS9">
        <f t="shared" si="78"/>
        <v>0</v>
      </c>
      <c r="LT9" t="s">
        <v>1240</v>
      </c>
      <c r="LU9">
        <f t="shared" si="79"/>
        <v>0</v>
      </c>
      <c r="LV9" t="s">
        <v>1241</v>
      </c>
      <c r="LW9">
        <f t="shared" si="80"/>
        <v>0</v>
      </c>
      <c r="LX9" t="s">
        <v>1242</v>
      </c>
      <c r="LY9">
        <f t="shared" si="81"/>
        <v>0</v>
      </c>
      <c r="LZ9">
        <f>'6'!B28</f>
        <v>0</v>
      </c>
      <c r="MA9">
        <f>'6'!C28</f>
        <v>0</v>
      </c>
      <c r="MB9">
        <f>'6'!D28</f>
        <v>0</v>
      </c>
      <c r="MC9">
        <f>'6'!E28</f>
        <v>0</v>
      </c>
      <c r="MD9">
        <f>'6'!F28</f>
        <v>0</v>
      </c>
      <c r="ME9">
        <f>'6'!G28</f>
        <v>0</v>
      </c>
      <c r="MF9">
        <f>'6'!H28</f>
        <v>0</v>
      </c>
      <c r="MG9">
        <f>'6'!I28</f>
        <v>0</v>
      </c>
      <c r="MH9">
        <f>'6'!J28</f>
        <v>0</v>
      </c>
      <c r="MI9">
        <f>'6'!K28</f>
        <v>0</v>
      </c>
      <c r="MJ9">
        <f>'6'!L28</f>
        <v>0</v>
      </c>
      <c r="MK9">
        <f>'6'!M28</f>
        <v>0</v>
      </c>
      <c r="ML9" s="13">
        <f>'7'!B47</f>
        <v>0</v>
      </c>
      <c r="MM9" s="13">
        <f>'7'!C47</f>
        <v>0</v>
      </c>
      <c r="MN9" s="13">
        <f>'7'!D47</f>
        <v>0</v>
      </c>
      <c r="MO9" s="13">
        <f>'7'!E47</f>
        <v>0</v>
      </c>
      <c r="MP9" s="13">
        <f>'7'!F47</f>
        <v>0</v>
      </c>
      <c r="MQ9" s="13">
        <f>'7'!G47</f>
        <v>0</v>
      </c>
      <c r="MR9" s="13">
        <f>'7'!H47</f>
        <v>0</v>
      </c>
      <c r="MS9" s="13">
        <f>'7'!I47</f>
        <v>0</v>
      </c>
      <c r="MT9" s="13">
        <f>'7'!J47</f>
        <v>0</v>
      </c>
      <c r="MU9" s="13">
        <f>'7'!K47</f>
        <v>0</v>
      </c>
      <c r="MV9" s="13">
        <f>'7'!L47</f>
        <v>0</v>
      </c>
      <c r="MW9" s="13">
        <f>'7'!M47</f>
        <v>0</v>
      </c>
      <c r="MX9" s="13" t="s">
        <v>1243</v>
      </c>
      <c r="MY9">
        <f t="shared" si="82"/>
        <v>0</v>
      </c>
      <c r="MZ9" s="13" t="s">
        <v>1244</v>
      </c>
      <c r="NA9">
        <f t="shared" si="83"/>
        <v>0</v>
      </c>
      <c r="NB9" s="13" t="s">
        <v>1245</v>
      </c>
      <c r="NC9">
        <f t="shared" si="84"/>
        <v>0</v>
      </c>
      <c r="ND9" s="13" t="s">
        <v>1246</v>
      </c>
      <c r="NE9">
        <f t="shared" si="85"/>
        <v>0</v>
      </c>
      <c r="NF9" s="13" t="s">
        <v>1247</v>
      </c>
      <c r="NG9">
        <f t="shared" si="86"/>
        <v>0</v>
      </c>
      <c r="NH9" s="13" t="s">
        <v>1248</v>
      </c>
      <c r="NI9">
        <f t="shared" si="87"/>
        <v>0</v>
      </c>
      <c r="NJ9" s="13" t="s">
        <v>1249</v>
      </c>
      <c r="NK9">
        <f t="shared" si="88"/>
        <v>0</v>
      </c>
      <c r="NL9" s="13" t="s">
        <v>1250</v>
      </c>
      <c r="NM9">
        <f t="shared" si="89"/>
        <v>0</v>
      </c>
      <c r="NN9" s="13" t="s">
        <v>1251</v>
      </c>
      <c r="NO9">
        <f t="shared" si="90"/>
        <v>0</v>
      </c>
      <c r="NP9" s="13" t="s">
        <v>1252</v>
      </c>
      <c r="NQ9">
        <f t="shared" si="91"/>
        <v>0</v>
      </c>
      <c r="NR9" s="13" t="s">
        <v>1253</v>
      </c>
      <c r="NS9">
        <f t="shared" si="92"/>
        <v>0</v>
      </c>
      <c r="NT9" s="13" t="s">
        <v>1254</v>
      </c>
      <c r="NU9">
        <f t="shared" si="93"/>
        <v>0</v>
      </c>
      <c r="NV9" s="13"/>
    </row>
    <row r="10" spans="1:386" customFormat="1" x14ac:dyDescent="0.25">
      <c r="A10">
        <v>7</v>
      </c>
      <c r="B10">
        <f>'6'!AB31</f>
        <v>0</v>
      </c>
      <c r="C10">
        <f>'6'!AC31</f>
        <v>0</v>
      </c>
      <c r="D10">
        <f>'6'!AD31</f>
        <v>0</v>
      </c>
      <c r="E10">
        <f>'6'!AE31</f>
        <v>0</v>
      </c>
      <c r="F10">
        <f>'6'!AF31</f>
        <v>0</v>
      </c>
      <c r="G10">
        <f>'6'!AG31</f>
        <v>0</v>
      </c>
      <c r="H10">
        <f>'6'!AH31</f>
        <v>0</v>
      </c>
      <c r="I10">
        <f>'6'!AI31</f>
        <v>0</v>
      </c>
      <c r="J10">
        <f>'6'!AJ31</f>
        <v>0</v>
      </c>
      <c r="K10">
        <f>'6'!AK31</f>
        <v>0</v>
      </c>
      <c r="L10">
        <f>'6'!AL31</f>
        <v>0</v>
      </c>
      <c r="M10">
        <f>'6'!AM31</f>
        <v>0</v>
      </c>
      <c r="N10">
        <f>'6'!AN31</f>
        <v>0</v>
      </c>
      <c r="O10">
        <f>'6'!AO31</f>
        <v>0</v>
      </c>
      <c r="P10">
        <f>'6'!AP31</f>
        <v>0</v>
      </c>
      <c r="Q10">
        <f>'6'!AQ31</f>
        <v>0</v>
      </c>
      <c r="R10">
        <f>'6'!AR31</f>
        <v>0</v>
      </c>
      <c r="S10">
        <f>'6'!AS31</f>
        <v>0</v>
      </c>
      <c r="T10">
        <f>'6'!AT31</f>
        <v>0</v>
      </c>
      <c r="U10">
        <f>'6'!AU31</f>
        <v>0</v>
      </c>
      <c r="V10">
        <f>'6'!AV31</f>
        <v>0</v>
      </c>
      <c r="W10">
        <f>'6'!AW31</f>
        <v>0</v>
      </c>
      <c r="X10">
        <f>'6'!AX31</f>
        <v>0</v>
      </c>
      <c r="Y10">
        <f>'6'!AY31</f>
        <v>0</v>
      </c>
      <c r="Z10">
        <f>'6'!AZ31</f>
        <v>0</v>
      </c>
      <c r="AA10">
        <f>'6'!BA31</f>
        <v>0</v>
      </c>
      <c r="AB10">
        <f>'6'!BB31</f>
        <v>0</v>
      </c>
      <c r="AC10">
        <f>'6'!BC31</f>
        <v>0</v>
      </c>
      <c r="AD10">
        <f>'6'!BD31</f>
        <v>0</v>
      </c>
      <c r="AE10">
        <f>'6'!BE31</f>
        <v>0</v>
      </c>
      <c r="AF10">
        <f>'6'!BF31</f>
        <v>0</v>
      </c>
      <c r="AG10">
        <f>'6'!BG31</f>
        <v>0</v>
      </c>
      <c r="AH10">
        <f>'6'!BH31</f>
        <v>0</v>
      </c>
      <c r="AI10">
        <f>'6'!BI31</f>
        <v>0</v>
      </c>
      <c r="AJ10">
        <f>'6'!BJ31</f>
        <v>0</v>
      </c>
      <c r="AK10">
        <f>'6'!BK31</f>
        <v>0</v>
      </c>
      <c r="AL10">
        <f>'6'!BL31</f>
        <v>0</v>
      </c>
      <c r="AM10">
        <f>'6'!BM31</f>
        <v>0</v>
      </c>
      <c r="AN10">
        <f>'6'!BN31</f>
        <v>0</v>
      </c>
      <c r="AO10">
        <f>'6'!BO31</f>
        <v>0</v>
      </c>
      <c r="AP10">
        <f>'6'!BP31</f>
        <v>0</v>
      </c>
      <c r="AQ10">
        <f>'6'!BQ31</f>
        <v>0</v>
      </c>
      <c r="AR10">
        <f>'6'!BR31</f>
        <v>0</v>
      </c>
      <c r="AS10">
        <f>'6'!BS31</f>
        <v>0</v>
      </c>
      <c r="AT10">
        <f>'6'!BT31</f>
        <v>0</v>
      </c>
      <c r="AU10">
        <f>'6'!BU31</f>
        <v>0</v>
      </c>
      <c r="AV10">
        <f>'6'!BV31</f>
        <v>0</v>
      </c>
      <c r="AW10">
        <f>'6'!BW31</f>
        <v>0</v>
      </c>
      <c r="AX10">
        <f>'6'!BX31</f>
        <v>0</v>
      </c>
      <c r="AY10">
        <f>'6'!BY31</f>
        <v>0</v>
      </c>
      <c r="AZ10">
        <f>'6'!BZ31</f>
        <v>0</v>
      </c>
      <c r="BA10">
        <f>'6'!CA31</f>
        <v>0</v>
      </c>
      <c r="BB10">
        <f>'6'!CB31</f>
        <v>0</v>
      </c>
      <c r="BC10">
        <f>'6'!CC31</f>
        <v>0</v>
      </c>
      <c r="BD10">
        <f>'6'!CD31</f>
        <v>0</v>
      </c>
      <c r="BE10">
        <f>'6'!CE31</f>
        <v>0</v>
      </c>
      <c r="BF10">
        <f>'6'!CF31</f>
        <v>0</v>
      </c>
      <c r="BG10">
        <f>'6'!CG31</f>
        <v>0</v>
      </c>
      <c r="BH10">
        <f>'6'!CH31</f>
        <v>0</v>
      </c>
      <c r="BI10">
        <f>'6'!CI31</f>
        <v>0</v>
      </c>
      <c r="BJ10">
        <f>'6'!CJ31</f>
        <v>0</v>
      </c>
      <c r="BK10">
        <f>'6'!CK31</f>
        <v>0</v>
      </c>
      <c r="BL10">
        <f>'6'!CL31</f>
        <v>0</v>
      </c>
      <c r="BM10">
        <f>'6'!CM31</f>
        <v>0</v>
      </c>
      <c r="BN10">
        <f>'6'!CN31</f>
        <v>0</v>
      </c>
      <c r="BO10">
        <f>'6'!CO31</f>
        <v>0</v>
      </c>
      <c r="BP10">
        <f>'6'!CP31</f>
        <v>0</v>
      </c>
      <c r="BQ10">
        <f>'6'!CQ31</f>
        <v>0</v>
      </c>
      <c r="BR10">
        <f>'6'!CR31</f>
        <v>0</v>
      </c>
      <c r="BS10">
        <f>'6'!CS31</f>
        <v>0</v>
      </c>
      <c r="BT10">
        <f>'6'!CT31</f>
        <v>0</v>
      </c>
      <c r="BU10">
        <f>'6'!CU31</f>
        <v>0</v>
      </c>
      <c r="BV10">
        <f>'6'!CV31</f>
        <v>0</v>
      </c>
      <c r="BW10">
        <f>'6'!CW31</f>
        <v>0</v>
      </c>
      <c r="BX10">
        <f>'6'!CX31</f>
        <v>0</v>
      </c>
      <c r="BY10">
        <f>'6'!CY31</f>
        <v>0</v>
      </c>
      <c r="BZ10">
        <f>'6'!CZ31</f>
        <v>0</v>
      </c>
      <c r="CA10">
        <f>'6'!DA31</f>
        <v>0</v>
      </c>
      <c r="CB10">
        <f>'6'!DB31</f>
        <v>0</v>
      </c>
      <c r="CC10">
        <f>'6'!DC31</f>
        <v>0</v>
      </c>
      <c r="CD10">
        <f>'6'!DD31</f>
        <v>0</v>
      </c>
      <c r="CE10">
        <f>'6'!DE31</f>
        <v>0</v>
      </c>
      <c r="CF10">
        <f>'6'!DF31</f>
        <v>0</v>
      </c>
      <c r="CG10">
        <f>'6'!DG31</f>
        <v>0</v>
      </c>
      <c r="CH10">
        <f>SUM('7'!AB57:AB61)</f>
        <v>0</v>
      </c>
      <c r="CI10">
        <f>SUM('7'!AC57:AC61)</f>
        <v>0</v>
      </c>
      <c r="CJ10">
        <f>SUM('7'!AD57:AD61)</f>
        <v>0</v>
      </c>
      <c r="CK10">
        <f>SUM('7'!AE57:AE61)</f>
        <v>0</v>
      </c>
      <c r="CL10">
        <f>SUM('7'!AF57:AF61)</f>
        <v>0</v>
      </c>
      <c r="CM10">
        <f>SUM('7'!AG57:AG61)</f>
        <v>0</v>
      </c>
      <c r="CN10">
        <f>SUM('7'!AH57:AH61)</f>
        <v>0</v>
      </c>
      <c r="CO10">
        <f>SUM('7'!AI57:AI61)</f>
        <v>0</v>
      </c>
      <c r="CP10">
        <f>SUM('7'!AJ57:AJ61)</f>
        <v>0</v>
      </c>
      <c r="CQ10">
        <f>SUM('7'!AK57:AK61)</f>
        <v>0</v>
      </c>
      <c r="CR10">
        <f>SUM('7'!AL57:AL61)</f>
        <v>0</v>
      </c>
      <c r="CS10">
        <f>SUM('7'!AM57:AM61)</f>
        <v>0</v>
      </c>
      <c r="CT10">
        <f>SUM('7'!AN57:AN61)</f>
        <v>0</v>
      </c>
      <c r="CU10">
        <f>SUM('7'!AO57:AO61)</f>
        <v>0</v>
      </c>
      <c r="CV10">
        <f>SUM('7'!AP57:AP61)</f>
        <v>0</v>
      </c>
      <c r="CW10">
        <f>SUM('7'!AQ57:AQ61)</f>
        <v>0</v>
      </c>
      <c r="CX10">
        <f>SUM('7'!AR57:AR61)</f>
        <v>0</v>
      </c>
      <c r="CY10">
        <f>SUM('7'!AS57:AS61)</f>
        <v>0</v>
      </c>
      <c r="CZ10">
        <f>SUM('7'!AT57:AT61)</f>
        <v>0</v>
      </c>
      <c r="DA10">
        <f>SUM('7'!AU57:AU61)</f>
        <v>0</v>
      </c>
      <c r="DB10">
        <f>SUM('7'!AV57:AV61)</f>
        <v>0</v>
      </c>
      <c r="DC10">
        <f>SUM('7'!AW57:AW61)</f>
        <v>0</v>
      </c>
      <c r="DD10">
        <f>SUM('7'!AX57:AX61)</f>
        <v>0</v>
      </c>
      <c r="DE10">
        <f>SUM('7'!AY57:AY61)</f>
        <v>0</v>
      </c>
      <c r="DF10">
        <f>SUM('7'!AZ57:AZ61)</f>
        <v>0</v>
      </c>
      <c r="DG10">
        <f>SUM('7'!BA57:BA61)</f>
        <v>0</v>
      </c>
      <c r="DH10">
        <f>SUM('7'!BB57:BB61)</f>
        <v>0</v>
      </c>
      <c r="DI10">
        <f>SUM('7'!BC57:BC61)</f>
        <v>0</v>
      </c>
      <c r="DJ10">
        <f>SUM('7'!BD57:BD61)</f>
        <v>0</v>
      </c>
      <c r="DK10">
        <f>SUM('7'!BE57:BE61)</f>
        <v>0</v>
      </c>
      <c r="DL10">
        <f>SUM('7'!BF57:BF61)</f>
        <v>0</v>
      </c>
      <c r="DM10">
        <f>SUM('7'!BG57:BG61)</f>
        <v>0</v>
      </c>
      <c r="DN10">
        <f>SUM('7'!BH57:BH61)</f>
        <v>0</v>
      </c>
      <c r="DO10">
        <f>SUM('7'!BI57:BI61)</f>
        <v>0</v>
      </c>
      <c r="DP10">
        <f>SUM('7'!BJ57:BJ61)</f>
        <v>0</v>
      </c>
      <c r="DQ10">
        <f>SUM('7'!BK57:BK61)</f>
        <v>0</v>
      </c>
      <c r="DR10">
        <f>SUM('7'!BL57:BL61)</f>
        <v>0</v>
      </c>
      <c r="DS10">
        <f>SUM('7'!BM57:BM61)</f>
        <v>0</v>
      </c>
      <c r="DT10">
        <f>SUM('7'!BN57:BN61)</f>
        <v>0</v>
      </c>
      <c r="DU10">
        <f>SUM('7'!BO57:BO61)</f>
        <v>0</v>
      </c>
      <c r="DV10">
        <f>SUM('7'!BP57:BP61)</f>
        <v>0</v>
      </c>
      <c r="DW10">
        <f>SUM('7'!BQ57:BQ61)</f>
        <v>0</v>
      </c>
      <c r="DX10">
        <f>SUM('7'!BR57:BR61)</f>
        <v>0</v>
      </c>
      <c r="DY10">
        <f>SUM('7'!BS57:BS61)</f>
        <v>0</v>
      </c>
      <c r="DZ10">
        <f>SUM('7'!BT57:BT61)</f>
        <v>0</v>
      </c>
      <c r="EA10">
        <f>SUM('7'!BU57:BU61)</f>
        <v>0</v>
      </c>
      <c r="EB10">
        <f>SUM('7'!BV57:BV61)</f>
        <v>0</v>
      </c>
      <c r="EC10">
        <f>SUM('7'!BW57:BW61)</f>
        <v>0</v>
      </c>
      <c r="ED10">
        <f>SUM('7'!BX57:BX61)</f>
        <v>0</v>
      </c>
      <c r="EE10">
        <f>SUM('7'!BY57:BY61)</f>
        <v>0</v>
      </c>
      <c r="EF10">
        <f>SUM('7'!BZ57:BZ61)</f>
        <v>0</v>
      </c>
      <c r="EG10">
        <f>SUM('7'!CA57:CA61)</f>
        <v>0</v>
      </c>
      <c r="EH10">
        <f>SUM('7'!CB57:CB61)</f>
        <v>0</v>
      </c>
      <c r="EI10">
        <f>SUM('7'!CC57:CC61)</f>
        <v>0</v>
      </c>
      <c r="EJ10">
        <f>SUM('7'!CD57:CD61)</f>
        <v>0</v>
      </c>
      <c r="EK10">
        <f>SUM('7'!CE57:CE61)</f>
        <v>0</v>
      </c>
      <c r="EL10">
        <f>SUM('7'!CF57:CF61)</f>
        <v>0</v>
      </c>
      <c r="EM10">
        <f>SUM('7'!CG57:CG61)</f>
        <v>0</v>
      </c>
      <c r="EN10">
        <f>SUM('7'!CH57:CH61)</f>
        <v>0</v>
      </c>
      <c r="EO10">
        <f>SUM('7'!CI57:CI61)</f>
        <v>0</v>
      </c>
      <c r="EP10">
        <f>SUM('7'!CJ57:CJ61)</f>
        <v>0</v>
      </c>
      <c r="EQ10">
        <f>SUM('7'!CK57:CK61)</f>
        <v>0</v>
      </c>
      <c r="ER10">
        <f>SUM('7'!CL57:CL61)</f>
        <v>0</v>
      </c>
      <c r="ES10">
        <f>SUM('7'!CM57:CM61)</f>
        <v>0</v>
      </c>
      <c r="ET10">
        <f>SUM('7'!CN57:CN61)</f>
        <v>0</v>
      </c>
      <c r="EU10">
        <f>SUM('7'!CO57:CO61)</f>
        <v>0</v>
      </c>
      <c r="EV10">
        <f>SUM('7'!CP57:CP61)</f>
        <v>0</v>
      </c>
      <c r="EW10">
        <f>SUM('7'!CQ57:CQ61)</f>
        <v>0</v>
      </c>
      <c r="EX10">
        <f>SUM('7'!CR57:CR61)</f>
        <v>0</v>
      </c>
      <c r="EY10">
        <f>SUM('7'!CS57:CS61)</f>
        <v>0</v>
      </c>
      <c r="EZ10">
        <f>SUM('7'!CT57:CT61)</f>
        <v>0</v>
      </c>
      <c r="FA10">
        <f>SUM('7'!CU57:CU61)</f>
        <v>0</v>
      </c>
      <c r="FB10">
        <f>SUM('7'!CV57:CV61)</f>
        <v>0</v>
      </c>
      <c r="FC10">
        <f>SUM('7'!CW57:CW61)</f>
        <v>0</v>
      </c>
      <c r="FD10">
        <f>SUM('7'!CX57:CX61)</f>
        <v>0</v>
      </c>
      <c r="FE10">
        <f>SUM('7'!CY57:CY61)</f>
        <v>0</v>
      </c>
      <c r="FF10">
        <f>SUM('7'!CZ57:CZ61)</f>
        <v>0</v>
      </c>
      <c r="FG10">
        <f>SUM('7'!DA57:DA61)</f>
        <v>0</v>
      </c>
      <c r="FH10">
        <f>SUM('7'!DB57:DB61)</f>
        <v>0</v>
      </c>
      <c r="FI10">
        <f>SUM('7'!DC57:DC61)</f>
        <v>0</v>
      </c>
      <c r="FJ10">
        <f>SUM('7'!DD57:DD61)</f>
        <v>0</v>
      </c>
      <c r="FK10">
        <f>SUM('7'!DE57:DE61)</f>
        <v>0</v>
      </c>
      <c r="FL10">
        <f>SUM('7'!DF57:DF61)</f>
        <v>0</v>
      </c>
      <c r="FM10">
        <f>SUM('7'!DG57:DG61)</f>
        <v>0</v>
      </c>
      <c r="FN10" t="s">
        <v>1255</v>
      </c>
      <c r="FO10">
        <f t="shared" si="94"/>
        <v>0</v>
      </c>
      <c r="FP10" t="s">
        <v>1256</v>
      </c>
      <c r="FQ10">
        <f t="shared" si="0"/>
        <v>0</v>
      </c>
      <c r="FR10" t="s">
        <v>1257</v>
      </c>
      <c r="FS10">
        <f t="shared" si="1"/>
        <v>0</v>
      </c>
      <c r="FT10" t="s">
        <v>1258</v>
      </c>
      <c r="FU10">
        <f t="shared" si="2"/>
        <v>0</v>
      </c>
      <c r="FV10" t="s">
        <v>1259</v>
      </c>
      <c r="FW10">
        <f t="shared" si="3"/>
        <v>0</v>
      </c>
      <c r="FX10" t="s">
        <v>1260</v>
      </c>
      <c r="FY10">
        <f t="shared" si="4"/>
        <v>0</v>
      </c>
      <c r="FZ10" t="s">
        <v>1261</v>
      </c>
      <c r="GA10">
        <f t="shared" si="5"/>
        <v>0</v>
      </c>
      <c r="GB10" t="s">
        <v>1262</v>
      </c>
      <c r="GC10">
        <f t="shared" si="6"/>
        <v>0</v>
      </c>
      <c r="GD10" t="s">
        <v>1263</v>
      </c>
      <c r="GE10">
        <f t="shared" si="7"/>
        <v>0</v>
      </c>
      <c r="GF10" t="s">
        <v>1264</v>
      </c>
      <c r="GG10">
        <f t="shared" si="8"/>
        <v>0</v>
      </c>
      <c r="GH10" t="s">
        <v>1265</v>
      </c>
      <c r="GI10">
        <f t="shared" si="9"/>
        <v>0</v>
      </c>
      <c r="GJ10" t="s">
        <v>1266</v>
      </c>
      <c r="GK10">
        <f t="shared" si="10"/>
        <v>0</v>
      </c>
      <c r="GL10" t="s">
        <v>1267</v>
      </c>
      <c r="GM10">
        <f t="shared" si="11"/>
        <v>0</v>
      </c>
      <c r="GN10" t="s">
        <v>1268</v>
      </c>
      <c r="GO10">
        <f t="shared" si="95"/>
        <v>0</v>
      </c>
      <c r="GP10" t="s">
        <v>1269</v>
      </c>
      <c r="GQ10">
        <f t="shared" si="12"/>
        <v>0</v>
      </c>
      <c r="GR10" t="s">
        <v>1270</v>
      </c>
      <c r="GS10">
        <f t="shared" si="13"/>
        <v>0</v>
      </c>
      <c r="GT10" t="s">
        <v>1271</v>
      </c>
      <c r="GU10">
        <f t="shared" si="14"/>
        <v>0</v>
      </c>
      <c r="GV10" t="s">
        <v>1272</v>
      </c>
      <c r="GW10">
        <f t="shared" si="15"/>
        <v>0</v>
      </c>
      <c r="GX10" t="s">
        <v>1273</v>
      </c>
      <c r="GY10">
        <f t="shared" si="16"/>
        <v>0</v>
      </c>
      <c r="GZ10" t="s">
        <v>1274</v>
      </c>
      <c r="HA10">
        <f t="shared" si="17"/>
        <v>0</v>
      </c>
      <c r="HB10" t="s">
        <v>1275</v>
      </c>
      <c r="HC10">
        <f t="shared" si="18"/>
        <v>0</v>
      </c>
      <c r="HD10" t="s">
        <v>1276</v>
      </c>
      <c r="HE10">
        <f t="shared" si="19"/>
        <v>0</v>
      </c>
      <c r="HF10" t="s">
        <v>1277</v>
      </c>
      <c r="HG10">
        <f t="shared" si="20"/>
        <v>0</v>
      </c>
      <c r="HH10" t="s">
        <v>1278</v>
      </c>
      <c r="HI10">
        <f t="shared" si="21"/>
        <v>0</v>
      </c>
      <c r="HJ10" t="s">
        <v>1279</v>
      </c>
      <c r="HK10">
        <f t="shared" si="22"/>
        <v>0</v>
      </c>
      <c r="HL10" t="s">
        <v>1280</v>
      </c>
      <c r="HM10">
        <f t="shared" si="23"/>
        <v>0</v>
      </c>
      <c r="HN10" t="s">
        <v>1281</v>
      </c>
      <c r="HO10">
        <f t="shared" si="24"/>
        <v>0</v>
      </c>
      <c r="HP10" t="s">
        <v>1282</v>
      </c>
      <c r="HQ10">
        <f t="shared" si="25"/>
        <v>0</v>
      </c>
      <c r="HR10" t="s">
        <v>1283</v>
      </c>
      <c r="HS10">
        <f t="shared" si="26"/>
        <v>0</v>
      </c>
      <c r="HT10" t="s">
        <v>1284</v>
      </c>
      <c r="HU10">
        <f t="shared" si="27"/>
        <v>0</v>
      </c>
      <c r="HV10" t="s">
        <v>1285</v>
      </c>
      <c r="HW10">
        <f t="shared" si="28"/>
        <v>0</v>
      </c>
      <c r="HX10" t="s">
        <v>1286</v>
      </c>
      <c r="HY10">
        <f t="shared" si="29"/>
        <v>0</v>
      </c>
      <c r="HZ10" t="s">
        <v>1287</v>
      </c>
      <c r="IA10">
        <f t="shared" si="30"/>
        <v>0</v>
      </c>
      <c r="IB10" t="s">
        <v>1288</v>
      </c>
      <c r="IC10">
        <f t="shared" si="31"/>
        <v>0</v>
      </c>
      <c r="ID10" t="s">
        <v>1289</v>
      </c>
      <c r="IE10">
        <f t="shared" si="32"/>
        <v>0</v>
      </c>
      <c r="IF10" t="s">
        <v>1290</v>
      </c>
      <c r="IG10">
        <f t="shared" si="33"/>
        <v>0</v>
      </c>
      <c r="IH10" t="s">
        <v>1291</v>
      </c>
      <c r="II10">
        <f t="shared" si="34"/>
        <v>0</v>
      </c>
      <c r="IJ10" t="s">
        <v>1292</v>
      </c>
      <c r="IK10">
        <f t="shared" si="35"/>
        <v>0</v>
      </c>
      <c r="IL10" t="s">
        <v>1293</v>
      </c>
      <c r="IM10">
        <f t="shared" si="36"/>
        <v>0</v>
      </c>
      <c r="IN10" t="s">
        <v>1294</v>
      </c>
      <c r="IO10">
        <f t="shared" si="37"/>
        <v>0</v>
      </c>
      <c r="IP10" t="s">
        <v>1295</v>
      </c>
      <c r="IQ10">
        <f t="shared" si="38"/>
        <v>0</v>
      </c>
      <c r="IR10" t="s">
        <v>1296</v>
      </c>
      <c r="IS10">
        <f t="shared" si="39"/>
        <v>0</v>
      </c>
      <c r="IT10" t="s">
        <v>1297</v>
      </c>
      <c r="IU10">
        <f t="shared" si="40"/>
        <v>0</v>
      </c>
      <c r="IV10" t="s">
        <v>1298</v>
      </c>
      <c r="IW10">
        <f t="shared" si="41"/>
        <v>0</v>
      </c>
      <c r="IX10" t="s">
        <v>1299</v>
      </c>
      <c r="IY10">
        <f t="shared" si="42"/>
        <v>0</v>
      </c>
      <c r="IZ10" t="s">
        <v>1300</v>
      </c>
      <c r="JA10">
        <f t="shared" si="43"/>
        <v>0</v>
      </c>
      <c r="JB10" t="s">
        <v>1301</v>
      </c>
      <c r="JC10">
        <f t="shared" si="44"/>
        <v>0</v>
      </c>
      <c r="JD10" t="s">
        <v>1302</v>
      </c>
      <c r="JE10">
        <f t="shared" si="45"/>
        <v>0</v>
      </c>
      <c r="JF10" t="s">
        <v>1303</v>
      </c>
      <c r="JG10">
        <f t="shared" si="46"/>
        <v>0</v>
      </c>
      <c r="JH10" t="s">
        <v>1304</v>
      </c>
      <c r="JI10">
        <f t="shared" si="47"/>
        <v>0</v>
      </c>
      <c r="JJ10" t="s">
        <v>1305</v>
      </c>
      <c r="JK10">
        <f t="shared" si="48"/>
        <v>0</v>
      </c>
      <c r="JL10" t="s">
        <v>1306</v>
      </c>
      <c r="JM10">
        <f t="shared" si="49"/>
        <v>0</v>
      </c>
      <c r="JN10" t="s">
        <v>1307</v>
      </c>
      <c r="JO10">
        <f t="shared" si="50"/>
        <v>0</v>
      </c>
      <c r="JP10" t="s">
        <v>1308</v>
      </c>
      <c r="JQ10">
        <f t="shared" si="51"/>
        <v>0</v>
      </c>
      <c r="JR10" t="s">
        <v>1309</v>
      </c>
      <c r="JS10">
        <f t="shared" si="52"/>
        <v>0</v>
      </c>
      <c r="JT10" t="s">
        <v>1310</v>
      </c>
      <c r="JU10">
        <f t="shared" si="53"/>
        <v>0</v>
      </c>
      <c r="JV10" t="s">
        <v>1311</v>
      </c>
      <c r="JW10">
        <f t="shared" si="54"/>
        <v>0</v>
      </c>
      <c r="JX10" t="s">
        <v>1312</v>
      </c>
      <c r="JY10">
        <f t="shared" si="55"/>
        <v>0</v>
      </c>
      <c r="JZ10" t="s">
        <v>1313</v>
      </c>
      <c r="KA10">
        <f t="shared" si="56"/>
        <v>0</v>
      </c>
      <c r="KB10" t="s">
        <v>1314</v>
      </c>
      <c r="KC10">
        <f t="shared" si="57"/>
        <v>0</v>
      </c>
      <c r="KD10" t="s">
        <v>1315</v>
      </c>
      <c r="KE10">
        <f t="shared" si="58"/>
        <v>0</v>
      </c>
      <c r="KF10" t="s">
        <v>1316</v>
      </c>
      <c r="KG10">
        <f t="shared" si="59"/>
        <v>0</v>
      </c>
      <c r="KH10" t="s">
        <v>1317</v>
      </c>
      <c r="KI10">
        <f t="shared" si="60"/>
        <v>0</v>
      </c>
      <c r="KJ10" t="s">
        <v>1318</v>
      </c>
      <c r="KK10">
        <f t="shared" si="61"/>
        <v>0</v>
      </c>
      <c r="KL10" t="s">
        <v>1319</v>
      </c>
      <c r="KM10">
        <f t="shared" si="62"/>
        <v>0</v>
      </c>
      <c r="KN10" t="s">
        <v>1320</v>
      </c>
      <c r="KO10">
        <f t="shared" si="63"/>
        <v>0</v>
      </c>
      <c r="KP10" t="s">
        <v>1321</v>
      </c>
      <c r="KQ10">
        <f t="shared" si="64"/>
        <v>0</v>
      </c>
      <c r="KR10" t="s">
        <v>1322</v>
      </c>
      <c r="KS10">
        <f t="shared" si="65"/>
        <v>0</v>
      </c>
      <c r="KT10" t="s">
        <v>1323</v>
      </c>
      <c r="KU10">
        <f t="shared" si="66"/>
        <v>0</v>
      </c>
      <c r="KV10" t="s">
        <v>1324</v>
      </c>
      <c r="KW10">
        <f t="shared" si="67"/>
        <v>0</v>
      </c>
      <c r="KX10" t="s">
        <v>1325</v>
      </c>
      <c r="KY10">
        <f t="shared" si="68"/>
        <v>0</v>
      </c>
      <c r="KZ10" t="s">
        <v>1326</v>
      </c>
      <c r="LA10">
        <f t="shared" si="69"/>
        <v>0</v>
      </c>
      <c r="LB10" t="s">
        <v>1327</v>
      </c>
      <c r="LC10">
        <f t="shared" si="70"/>
        <v>0</v>
      </c>
      <c r="LD10" t="s">
        <v>1328</v>
      </c>
      <c r="LE10">
        <f t="shared" si="71"/>
        <v>0</v>
      </c>
      <c r="LF10" t="s">
        <v>1329</v>
      </c>
      <c r="LG10">
        <f t="shared" si="72"/>
        <v>0</v>
      </c>
      <c r="LH10" t="s">
        <v>1330</v>
      </c>
      <c r="LI10">
        <f t="shared" si="73"/>
        <v>0</v>
      </c>
      <c r="LJ10" t="s">
        <v>1331</v>
      </c>
      <c r="LK10">
        <f t="shared" si="74"/>
        <v>0</v>
      </c>
      <c r="LL10" t="s">
        <v>1332</v>
      </c>
      <c r="LM10">
        <f t="shared" si="75"/>
        <v>0</v>
      </c>
      <c r="LN10" t="s">
        <v>1333</v>
      </c>
      <c r="LO10">
        <f t="shared" si="76"/>
        <v>0</v>
      </c>
      <c r="LP10" t="s">
        <v>1334</v>
      </c>
      <c r="LQ10">
        <f t="shared" si="77"/>
        <v>0</v>
      </c>
      <c r="LR10" t="s">
        <v>1335</v>
      </c>
      <c r="LS10">
        <f t="shared" si="78"/>
        <v>0</v>
      </c>
      <c r="LT10" t="s">
        <v>1336</v>
      </c>
      <c r="LU10">
        <f t="shared" si="79"/>
        <v>0</v>
      </c>
      <c r="LV10" t="s">
        <v>1337</v>
      </c>
      <c r="LW10">
        <f t="shared" si="80"/>
        <v>0</v>
      </c>
      <c r="LX10" t="s">
        <v>1338</v>
      </c>
      <c r="LY10">
        <f t="shared" si="81"/>
        <v>0</v>
      </c>
      <c r="LZ10">
        <f>'6'!B32</f>
        <v>0</v>
      </c>
      <c r="MA10">
        <f>'6'!C32</f>
        <v>0</v>
      </c>
      <c r="MB10">
        <f>'6'!D32</f>
        <v>0</v>
      </c>
      <c r="MC10">
        <f>'6'!E32</f>
        <v>0</v>
      </c>
      <c r="MD10">
        <f>'6'!F32</f>
        <v>0</v>
      </c>
      <c r="ME10">
        <f>'6'!G32</f>
        <v>0</v>
      </c>
      <c r="MF10">
        <f>'6'!H32</f>
        <v>0</v>
      </c>
      <c r="MG10">
        <f>'6'!I32</f>
        <v>0</v>
      </c>
      <c r="MH10">
        <f>'6'!J32</f>
        <v>0</v>
      </c>
      <c r="MI10">
        <f>'6'!K32</f>
        <v>0</v>
      </c>
      <c r="MJ10">
        <f>'6'!L32</f>
        <v>0</v>
      </c>
      <c r="MK10">
        <f>'6'!M32</f>
        <v>0</v>
      </c>
      <c r="ML10" s="13">
        <f>'7'!B55</f>
        <v>0</v>
      </c>
      <c r="MM10" s="13">
        <f>'7'!C55</f>
        <v>0</v>
      </c>
      <c r="MN10" s="13">
        <f>'7'!D55</f>
        <v>0</v>
      </c>
      <c r="MO10" s="13">
        <f>'7'!E55</f>
        <v>0</v>
      </c>
      <c r="MP10" s="13">
        <f>'7'!F55</f>
        <v>0</v>
      </c>
      <c r="MQ10" s="13">
        <f>'7'!G55</f>
        <v>0</v>
      </c>
      <c r="MR10" s="13">
        <f>'7'!H55</f>
        <v>0</v>
      </c>
      <c r="MS10" s="13">
        <f>'7'!I55</f>
        <v>0</v>
      </c>
      <c r="MT10" s="13">
        <f>'7'!J55</f>
        <v>0</v>
      </c>
      <c r="MU10" s="13">
        <f>'7'!K55</f>
        <v>0</v>
      </c>
      <c r="MV10" s="13">
        <f>'7'!L55</f>
        <v>0</v>
      </c>
      <c r="MW10" s="13">
        <f>'7'!M55</f>
        <v>0</v>
      </c>
      <c r="MX10" s="13" t="s">
        <v>1339</v>
      </c>
      <c r="MY10">
        <f t="shared" si="82"/>
        <v>0</v>
      </c>
      <c r="MZ10" s="13" t="s">
        <v>1340</v>
      </c>
      <c r="NA10">
        <f t="shared" si="83"/>
        <v>0</v>
      </c>
      <c r="NB10" s="13" t="s">
        <v>1341</v>
      </c>
      <c r="NC10">
        <f t="shared" si="84"/>
        <v>0</v>
      </c>
      <c r="ND10" s="13" t="s">
        <v>1342</v>
      </c>
      <c r="NE10">
        <f t="shared" si="85"/>
        <v>0</v>
      </c>
      <c r="NF10" s="13" t="s">
        <v>1343</v>
      </c>
      <c r="NG10">
        <f t="shared" si="86"/>
        <v>0</v>
      </c>
      <c r="NH10" s="13" t="s">
        <v>1344</v>
      </c>
      <c r="NI10">
        <f t="shared" si="87"/>
        <v>0</v>
      </c>
      <c r="NJ10" s="13" t="s">
        <v>1345</v>
      </c>
      <c r="NK10">
        <f t="shared" si="88"/>
        <v>0</v>
      </c>
      <c r="NL10" s="13" t="s">
        <v>1346</v>
      </c>
      <c r="NM10">
        <f t="shared" si="89"/>
        <v>0</v>
      </c>
      <c r="NN10" s="13" t="s">
        <v>1347</v>
      </c>
      <c r="NO10">
        <f t="shared" si="90"/>
        <v>0</v>
      </c>
      <c r="NP10" s="13" t="s">
        <v>1348</v>
      </c>
      <c r="NQ10">
        <f t="shared" si="91"/>
        <v>0</v>
      </c>
      <c r="NR10" s="13" t="s">
        <v>1349</v>
      </c>
      <c r="NS10">
        <f t="shared" si="92"/>
        <v>0</v>
      </c>
      <c r="NT10" s="13" t="s">
        <v>1350</v>
      </c>
      <c r="NU10">
        <f t="shared" si="93"/>
        <v>0</v>
      </c>
      <c r="NV10" s="13"/>
    </row>
    <row r="11" spans="1:386" customFormat="1" x14ac:dyDescent="0.25">
      <c r="A11">
        <v>8</v>
      </c>
      <c r="B11">
        <f>'6'!AB35</f>
        <v>0</v>
      </c>
      <c r="C11">
        <f>'6'!AC35</f>
        <v>0</v>
      </c>
      <c r="D11">
        <f>'6'!AD35</f>
        <v>0</v>
      </c>
      <c r="E11">
        <f>'6'!AE35</f>
        <v>0</v>
      </c>
      <c r="F11">
        <f>'6'!AF35</f>
        <v>0</v>
      </c>
      <c r="G11">
        <f>'6'!AG35</f>
        <v>0</v>
      </c>
      <c r="H11">
        <f>'6'!AH35</f>
        <v>0</v>
      </c>
      <c r="I11">
        <f>'6'!AI35</f>
        <v>0</v>
      </c>
      <c r="J11">
        <f>'6'!AJ35</f>
        <v>0</v>
      </c>
      <c r="K11">
        <f>'6'!AK35</f>
        <v>0</v>
      </c>
      <c r="L11">
        <f>'6'!AL35</f>
        <v>0</v>
      </c>
      <c r="M11">
        <f>'6'!AM35</f>
        <v>0</v>
      </c>
      <c r="N11">
        <f>'6'!AN35</f>
        <v>0</v>
      </c>
      <c r="O11">
        <f>'6'!AO35</f>
        <v>0</v>
      </c>
      <c r="P11">
        <f>'6'!AP35</f>
        <v>0</v>
      </c>
      <c r="Q11">
        <f>'6'!AQ35</f>
        <v>0</v>
      </c>
      <c r="R11">
        <f>'6'!AR35</f>
        <v>0</v>
      </c>
      <c r="S11">
        <f>'6'!AS35</f>
        <v>0</v>
      </c>
      <c r="T11">
        <f>'6'!AT35</f>
        <v>0</v>
      </c>
      <c r="U11">
        <f>'6'!AU35</f>
        <v>0</v>
      </c>
      <c r="V11">
        <f>'6'!AV35</f>
        <v>0</v>
      </c>
      <c r="W11">
        <f>'6'!AW35</f>
        <v>0</v>
      </c>
      <c r="X11">
        <f>'6'!AX35</f>
        <v>0</v>
      </c>
      <c r="Y11">
        <f>'6'!AY35</f>
        <v>0</v>
      </c>
      <c r="Z11">
        <f>'6'!AZ35</f>
        <v>0</v>
      </c>
      <c r="AA11">
        <f>'6'!BA35</f>
        <v>0</v>
      </c>
      <c r="AB11">
        <f>'6'!BB35</f>
        <v>0</v>
      </c>
      <c r="AC11">
        <f>'6'!BC35</f>
        <v>0</v>
      </c>
      <c r="AD11">
        <f>'6'!BD35</f>
        <v>0</v>
      </c>
      <c r="AE11">
        <f>'6'!BE35</f>
        <v>0</v>
      </c>
      <c r="AF11">
        <f>'6'!BF35</f>
        <v>0</v>
      </c>
      <c r="AG11">
        <f>'6'!BG35</f>
        <v>0</v>
      </c>
      <c r="AH11">
        <f>'6'!BH35</f>
        <v>0</v>
      </c>
      <c r="AI11">
        <f>'6'!BI35</f>
        <v>0</v>
      </c>
      <c r="AJ11">
        <f>'6'!BJ35</f>
        <v>0</v>
      </c>
      <c r="AK11">
        <f>'6'!BK35</f>
        <v>0</v>
      </c>
      <c r="AL11">
        <f>'6'!BL35</f>
        <v>0</v>
      </c>
      <c r="AM11">
        <f>'6'!BM35</f>
        <v>0</v>
      </c>
      <c r="AN11">
        <f>'6'!BN35</f>
        <v>0</v>
      </c>
      <c r="AO11">
        <f>'6'!BO35</f>
        <v>0</v>
      </c>
      <c r="AP11">
        <f>'6'!BP35</f>
        <v>0</v>
      </c>
      <c r="AQ11">
        <f>'6'!BQ35</f>
        <v>0</v>
      </c>
      <c r="AR11">
        <f>'6'!BR35</f>
        <v>0</v>
      </c>
      <c r="AS11">
        <f>'6'!BS35</f>
        <v>0</v>
      </c>
      <c r="AT11">
        <f>'6'!BT35</f>
        <v>0</v>
      </c>
      <c r="AU11">
        <f>'6'!BU35</f>
        <v>0</v>
      </c>
      <c r="AV11">
        <f>'6'!BV35</f>
        <v>0</v>
      </c>
      <c r="AW11">
        <f>'6'!BW35</f>
        <v>0</v>
      </c>
      <c r="AX11">
        <f>'6'!BX35</f>
        <v>0</v>
      </c>
      <c r="AY11">
        <f>'6'!BY35</f>
        <v>0</v>
      </c>
      <c r="AZ11">
        <f>'6'!BZ35</f>
        <v>0</v>
      </c>
      <c r="BA11">
        <f>'6'!CA35</f>
        <v>0</v>
      </c>
      <c r="BB11">
        <f>'6'!CB35</f>
        <v>0</v>
      </c>
      <c r="BC11">
        <f>'6'!CC35</f>
        <v>0</v>
      </c>
      <c r="BD11">
        <f>'6'!CD35</f>
        <v>0</v>
      </c>
      <c r="BE11">
        <f>'6'!CE35</f>
        <v>0</v>
      </c>
      <c r="BF11">
        <f>'6'!CF35</f>
        <v>0</v>
      </c>
      <c r="BG11">
        <f>'6'!CG35</f>
        <v>0</v>
      </c>
      <c r="BH11">
        <f>'6'!CH35</f>
        <v>0</v>
      </c>
      <c r="BI11">
        <f>'6'!CI35</f>
        <v>0</v>
      </c>
      <c r="BJ11">
        <f>'6'!CJ35</f>
        <v>0</v>
      </c>
      <c r="BK11">
        <f>'6'!CK35</f>
        <v>0</v>
      </c>
      <c r="BL11">
        <f>'6'!CL35</f>
        <v>0</v>
      </c>
      <c r="BM11">
        <f>'6'!CM35</f>
        <v>0</v>
      </c>
      <c r="BN11">
        <f>'6'!CN35</f>
        <v>0</v>
      </c>
      <c r="BO11">
        <f>'6'!CO35</f>
        <v>0</v>
      </c>
      <c r="BP11">
        <f>'6'!CP35</f>
        <v>0</v>
      </c>
      <c r="BQ11">
        <f>'6'!CQ35</f>
        <v>0</v>
      </c>
      <c r="BR11">
        <f>'6'!CR35</f>
        <v>0</v>
      </c>
      <c r="BS11">
        <f>'6'!CS35</f>
        <v>0</v>
      </c>
      <c r="BT11">
        <f>'6'!CT35</f>
        <v>0</v>
      </c>
      <c r="BU11">
        <f>'6'!CU35</f>
        <v>0</v>
      </c>
      <c r="BV11">
        <f>'6'!CV35</f>
        <v>0</v>
      </c>
      <c r="BW11">
        <f>'6'!CW35</f>
        <v>0</v>
      </c>
      <c r="BX11">
        <f>'6'!CX35</f>
        <v>0</v>
      </c>
      <c r="BY11">
        <f>'6'!CY35</f>
        <v>0</v>
      </c>
      <c r="BZ11">
        <f>'6'!CZ35</f>
        <v>0</v>
      </c>
      <c r="CA11">
        <f>'6'!DA35</f>
        <v>0</v>
      </c>
      <c r="CB11">
        <f>'6'!DB35</f>
        <v>0</v>
      </c>
      <c r="CC11">
        <f>'6'!DC35</f>
        <v>0</v>
      </c>
      <c r="CD11">
        <f>'6'!DD35</f>
        <v>0</v>
      </c>
      <c r="CE11">
        <f>'6'!DE35</f>
        <v>0</v>
      </c>
      <c r="CF11">
        <f>'6'!DF35</f>
        <v>0</v>
      </c>
      <c r="CG11">
        <f>'6'!DG35</f>
        <v>0</v>
      </c>
      <c r="CH11">
        <f>SUM('7'!AB65:AB69)</f>
        <v>0</v>
      </c>
      <c r="CI11">
        <f>SUM('7'!AC65:AC69)</f>
        <v>0</v>
      </c>
      <c r="CJ11">
        <f>SUM('7'!AD65:AD69)</f>
        <v>0</v>
      </c>
      <c r="CK11">
        <f>SUM('7'!AE65:AE69)</f>
        <v>0</v>
      </c>
      <c r="CL11">
        <f>SUM('7'!AF65:AF69)</f>
        <v>0</v>
      </c>
      <c r="CM11">
        <f>SUM('7'!AG65:AG69)</f>
        <v>0</v>
      </c>
      <c r="CN11">
        <f>SUM('7'!AH65:AH69)</f>
        <v>0</v>
      </c>
      <c r="CO11">
        <f>SUM('7'!AI65:AI69)</f>
        <v>0</v>
      </c>
      <c r="CP11">
        <f>SUM('7'!AJ65:AJ69)</f>
        <v>0</v>
      </c>
      <c r="CQ11">
        <f>SUM('7'!AK65:AK69)</f>
        <v>0</v>
      </c>
      <c r="CR11">
        <f>SUM('7'!AL65:AL69)</f>
        <v>0</v>
      </c>
      <c r="CS11">
        <f>SUM('7'!AM65:AM69)</f>
        <v>0</v>
      </c>
      <c r="CT11">
        <f>SUM('7'!AN65:AN69)</f>
        <v>0</v>
      </c>
      <c r="CU11">
        <f>SUM('7'!AO65:AO69)</f>
        <v>0</v>
      </c>
      <c r="CV11">
        <f>SUM('7'!AP65:AP69)</f>
        <v>0</v>
      </c>
      <c r="CW11">
        <f>SUM('7'!AQ65:AQ69)</f>
        <v>0</v>
      </c>
      <c r="CX11">
        <f>SUM('7'!AR65:AR69)</f>
        <v>0</v>
      </c>
      <c r="CY11">
        <f>SUM('7'!AS65:AS69)</f>
        <v>0</v>
      </c>
      <c r="CZ11">
        <f>SUM('7'!AT65:AT69)</f>
        <v>0</v>
      </c>
      <c r="DA11">
        <f>SUM('7'!AU65:AU69)</f>
        <v>0</v>
      </c>
      <c r="DB11">
        <f>SUM('7'!AV65:AV69)</f>
        <v>0</v>
      </c>
      <c r="DC11">
        <f>SUM('7'!AW65:AW69)</f>
        <v>0</v>
      </c>
      <c r="DD11">
        <f>SUM('7'!AX65:AX69)</f>
        <v>0</v>
      </c>
      <c r="DE11">
        <f>SUM('7'!AY65:AY69)</f>
        <v>0</v>
      </c>
      <c r="DF11">
        <f>SUM('7'!AZ65:AZ69)</f>
        <v>0</v>
      </c>
      <c r="DG11">
        <f>SUM('7'!BA65:BA69)</f>
        <v>0</v>
      </c>
      <c r="DH11">
        <f>SUM('7'!BB65:BB69)</f>
        <v>0</v>
      </c>
      <c r="DI11">
        <f>SUM('7'!BC65:BC69)</f>
        <v>0</v>
      </c>
      <c r="DJ11">
        <f>SUM('7'!BD65:BD69)</f>
        <v>0</v>
      </c>
      <c r="DK11">
        <f>SUM('7'!BE65:BE69)</f>
        <v>0</v>
      </c>
      <c r="DL11">
        <f>SUM('7'!BF65:BF69)</f>
        <v>0</v>
      </c>
      <c r="DM11">
        <f>SUM('7'!BG65:BG69)</f>
        <v>0</v>
      </c>
      <c r="DN11">
        <f>SUM('7'!BH65:BH69)</f>
        <v>0</v>
      </c>
      <c r="DO11">
        <f>SUM('7'!BI65:BI69)</f>
        <v>0</v>
      </c>
      <c r="DP11">
        <f>SUM('7'!BJ65:BJ69)</f>
        <v>0</v>
      </c>
      <c r="DQ11">
        <f>SUM('7'!BK65:BK69)</f>
        <v>0</v>
      </c>
      <c r="DR11">
        <f>SUM('7'!BL65:BL69)</f>
        <v>0</v>
      </c>
      <c r="DS11">
        <f>SUM('7'!BM65:BM69)</f>
        <v>0</v>
      </c>
      <c r="DT11">
        <f>SUM('7'!BN65:BN69)</f>
        <v>0</v>
      </c>
      <c r="DU11">
        <f>SUM('7'!BO65:BO69)</f>
        <v>0</v>
      </c>
      <c r="DV11">
        <f>SUM('7'!BP65:BP69)</f>
        <v>0</v>
      </c>
      <c r="DW11">
        <f>SUM('7'!BQ65:BQ69)</f>
        <v>0</v>
      </c>
      <c r="DX11">
        <f>SUM('7'!BR65:BR69)</f>
        <v>0</v>
      </c>
      <c r="DY11">
        <f>SUM('7'!BS65:BS69)</f>
        <v>0</v>
      </c>
      <c r="DZ11">
        <f>SUM('7'!BT65:BT69)</f>
        <v>0</v>
      </c>
      <c r="EA11">
        <f>SUM('7'!BU65:BU69)</f>
        <v>0</v>
      </c>
      <c r="EB11">
        <f>SUM('7'!BV65:BV69)</f>
        <v>0</v>
      </c>
      <c r="EC11">
        <f>SUM('7'!BW65:BW69)</f>
        <v>0</v>
      </c>
      <c r="ED11">
        <f>SUM('7'!BX65:BX69)</f>
        <v>0</v>
      </c>
      <c r="EE11">
        <f>SUM('7'!BY65:BY69)</f>
        <v>0</v>
      </c>
      <c r="EF11">
        <f>SUM('7'!BZ65:BZ69)</f>
        <v>0</v>
      </c>
      <c r="EG11">
        <f>SUM('7'!CA65:CA69)</f>
        <v>0</v>
      </c>
      <c r="EH11">
        <f>SUM('7'!CB65:CB69)</f>
        <v>0</v>
      </c>
      <c r="EI11">
        <f>SUM('7'!CC65:CC69)</f>
        <v>0</v>
      </c>
      <c r="EJ11">
        <f>SUM('7'!CD65:CD69)</f>
        <v>0</v>
      </c>
      <c r="EK11">
        <f>SUM('7'!CE65:CE69)</f>
        <v>0</v>
      </c>
      <c r="EL11">
        <f>SUM('7'!CF65:CF69)</f>
        <v>0</v>
      </c>
      <c r="EM11">
        <f>SUM('7'!CG65:CG69)</f>
        <v>0</v>
      </c>
      <c r="EN11">
        <f>SUM('7'!CH65:CH69)</f>
        <v>0</v>
      </c>
      <c r="EO11">
        <f>SUM('7'!CI65:CI69)</f>
        <v>0</v>
      </c>
      <c r="EP11">
        <f>SUM('7'!CJ65:CJ69)</f>
        <v>0</v>
      </c>
      <c r="EQ11">
        <f>SUM('7'!CK65:CK69)</f>
        <v>0</v>
      </c>
      <c r="ER11">
        <f>SUM('7'!CL65:CL69)</f>
        <v>0</v>
      </c>
      <c r="ES11">
        <f>SUM('7'!CM65:CM69)</f>
        <v>0</v>
      </c>
      <c r="ET11">
        <f>SUM('7'!CN65:CN69)</f>
        <v>0</v>
      </c>
      <c r="EU11">
        <f>SUM('7'!CO65:CO69)</f>
        <v>0</v>
      </c>
      <c r="EV11">
        <f>SUM('7'!CP65:CP69)</f>
        <v>0</v>
      </c>
      <c r="EW11">
        <f>SUM('7'!CQ65:CQ69)</f>
        <v>0</v>
      </c>
      <c r="EX11">
        <f>SUM('7'!CR65:CR69)</f>
        <v>0</v>
      </c>
      <c r="EY11">
        <f>SUM('7'!CS65:CS69)</f>
        <v>0</v>
      </c>
      <c r="EZ11">
        <f>SUM('7'!CT65:CT69)</f>
        <v>0</v>
      </c>
      <c r="FA11">
        <f>SUM('7'!CU65:CU69)</f>
        <v>0</v>
      </c>
      <c r="FB11">
        <f>SUM('7'!CV65:CV69)</f>
        <v>0</v>
      </c>
      <c r="FC11">
        <f>SUM('7'!CW65:CW69)</f>
        <v>0</v>
      </c>
      <c r="FD11">
        <f>SUM('7'!CX65:CX69)</f>
        <v>0</v>
      </c>
      <c r="FE11">
        <f>SUM('7'!CY65:CY69)</f>
        <v>0</v>
      </c>
      <c r="FF11">
        <f>SUM('7'!CZ65:CZ69)</f>
        <v>0</v>
      </c>
      <c r="FG11">
        <f>SUM('7'!DA65:DA69)</f>
        <v>0</v>
      </c>
      <c r="FH11">
        <f>SUM('7'!DB65:DB69)</f>
        <v>0</v>
      </c>
      <c r="FI11">
        <f>SUM('7'!DC65:DC69)</f>
        <v>0</v>
      </c>
      <c r="FJ11">
        <f>SUM('7'!DD65:DD69)</f>
        <v>0</v>
      </c>
      <c r="FK11">
        <f>SUM('7'!DE65:DE69)</f>
        <v>0</v>
      </c>
      <c r="FL11">
        <f>SUM('7'!DF65:DF69)</f>
        <v>0</v>
      </c>
      <c r="FM11">
        <f>SUM('7'!DG65:DG69)</f>
        <v>0</v>
      </c>
      <c r="FN11" t="s">
        <v>1351</v>
      </c>
      <c r="FO11">
        <f t="shared" si="94"/>
        <v>0</v>
      </c>
      <c r="FP11" t="s">
        <v>1352</v>
      </c>
      <c r="FQ11">
        <f t="shared" si="0"/>
        <v>0</v>
      </c>
      <c r="FR11" t="s">
        <v>1353</v>
      </c>
      <c r="FS11">
        <f t="shared" si="1"/>
        <v>0</v>
      </c>
      <c r="FT11" t="s">
        <v>1354</v>
      </c>
      <c r="FU11">
        <f t="shared" si="2"/>
        <v>0</v>
      </c>
      <c r="FV11" t="s">
        <v>1355</v>
      </c>
      <c r="FW11">
        <f t="shared" si="3"/>
        <v>0</v>
      </c>
      <c r="FX11" t="s">
        <v>1356</v>
      </c>
      <c r="FY11">
        <f t="shared" si="4"/>
        <v>0</v>
      </c>
      <c r="FZ11" t="s">
        <v>1357</v>
      </c>
      <c r="GA11">
        <f t="shared" si="5"/>
        <v>0</v>
      </c>
      <c r="GB11" t="s">
        <v>1358</v>
      </c>
      <c r="GC11">
        <f t="shared" si="6"/>
        <v>0</v>
      </c>
      <c r="GD11" t="s">
        <v>1359</v>
      </c>
      <c r="GE11">
        <f t="shared" si="7"/>
        <v>0</v>
      </c>
      <c r="GF11" t="s">
        <v>1360</v>
      </c>
      <c r="GG11">
        <f t="shared" si="8"/>
        <v>0</v>
      </c>
      <c r="GH11" t="s">
        <v>1361</v>
      </c>
      <c r="GI11">
        <f t="shared" si="9"/>
        <v>0</v>
      </c>
      <c r="GJ11" t="s">
        <v>1362</v>
      </c>
      <c r="GK11">
        <f t="shared" si="10"/>
        <v>0</v>
      </c>
      <c r="GL11" t="s">
        <v>1363</v>
      </c>
      <c r="GM11">
        <f t="shared" si="11"/>
        <v>0</v>
      </c>
      <c r="GN11" t="s">
        <v>1364</v>
      </c>
      <c r="GO11">
        <f t="shared" si="95"/>
        <v>0</v>
      </c>
      <c r="GP11" t="s">
        <v>1365</v>
      </c>
      <c r="GQ11">
        <f t="shared" si="12"/>
        <v>0</v>
      </c>
      <c r="GR11" t="s">
        <v>1366</v>
      </c>
      <c r="GS11">
        <f t="shared" si="13"/>
        <v>0</v>
      </c>
      <c r="GT11" t="s">
        <v>1367</v>
      </c>
      <c r="GU11">
        <f t="shared" si="14"/>
        <v>0</v>
      </c>
      <c r="GV11" t="s">
        <v>1368</v>
      </c>
      <c r="GW11">
        <f t="shared" si="15"/>
        <v>0</v>
      </c>
      <c r="GX11" t="s">
        <v>1369</v>
      </c>
      <c r="GY11">
        <f t="shared" si="16"/>
        <v>0</v>
      </c>
      <c r="GZ11" t="s">
        <v>1370</v>
      </c>
      <c r="HA11">
        <f t="shared" si="17"/>
        <v>0</v>
      </c>
      <c r="HB11" t="s">
        <v>1371</v>
      </c>
      <c r="HC11">
        <f t="shared" si="18"/>
        <v>0</v>
      </c>
      <c r="HD11" t="s">
        <v>1372</v>
      </c>
      <c r="HE11">
        <f t="shared" si="19"/>
        <v>0</v>
      </c>
      <c r="HF11" t="s">
        <v>1373</v>
      </c>
      <c r="HG11">
        <f t="shared" si="20"/>
        <v>0</v>
      </c>
      <c r="HH11" t="s">
        <v>1374</v>
      </c>
      <c r="HI11">
        <f t="shared" si="21"/>
        <v>0</v>
      </c>
      <c r="HJ11" t="s">
        <v>1375</v>
      </c>
      <c r="HK11">
        <f t="shared" si="22"/>
        <v>0</v>
      </c>
      <c r="HL11" t="s">
        <v>1376</v>
      </c>
      <c r="HM11">
        <f t="shared" si="23"/>
        <v>0</v>
      </c>
      <c r="HN11" t="s">
        <v>1377</v>
      </c>
      <c r="HO11">
        <f t="shared" si="24"/>
        <v>0</v>
      </c>
      <c r="HP11" t="s">
        <v>1378</v>
      </c>
      <c r="HQ11">
        <f t="shared" si="25"/>
        <v>0</v>
      </c>
      <c r="HR11" t="s">
        <v>1379</v>
      </c>
      <c r="HS11">
        <f t="shared" si="26"/>
        <v>0</v>
      </c>
      <c r="HT11" t="s">
        <v>1380</v>
      </c>
      <c r="HU11">
        <f t="shared" si="27"/>
        <v>0</v>
      </c>
      <c r="HV11" t="s">
        <v>1381</v>
      </c>
      <c r="HW11">
        <f t="shared" si="28"/>
        <v>0</v>
      </c>
      <c r="HX11" t="s">
        <v>1382</v>
      </c>
      <c r="HY11">
        <f t="shared" si="29"/>
        <v>0</v>
      </c>
      <c r="HZ11" t="s">
        <v>1383</v>
      </c>
      <c r="IA11">
        <f t="shared" si="30"/>
        <v>0</v>
      </c>
      <c r="IB11" t="s">
        <v>1384</v>
      </c>
      <c r="IC11">
        <f t="shared" si="31"/>
        <v>0</v>
      </c>
      <c r="ID11" t="s">
        <v>1385</v>
      </c>
      <c r="IE11">
        <f t="shared" si="32"/>
        <v>0</v>
      </c>
      <c r="IF11" t="s">
        <v>1386</v>
      </c>
      <c r="IG11">
        <f t="shared" si="33"/>
        <v>0</v>
      </c>
      <c r="IH11" t="s">
        <v>1387</v>
      </c>
      <c r="II11">
        <f t="shared" si="34"/>
        <v>0</v>
      </c>
      <c r="IJ11" t="s">
        <v>1388</v>
      </c>
      <c r="IK11">
        <f t="shared" si="35"/>
        <v>0</v>
      </c>
      <c r="IL11" t="s">
        <v>1389</v>
      </c>
      <c r="IM11">
        <f t="shared" si="36"/>
        <v>0</v>
      </c>
      <c r="IN11" t="s">
        <v>1390</v>
      </c>
      <c r="IO11">
        <f t="shared" si="37"/>
        <v>0</v>
      </c>
      <c r="IP11" t="s">
        <v>1391</v>
      </c>
      <c r="IQ11">
        <f t="shared" si="38"/>
        <v>0</v>
      </c>
      <c r="IR11" t="s">
        <v>1392</v>
      </c>
      <c r="IS11">
        <f t="shared" si="39"/>
        <v>0</v>
      </c>
      <c r="IT11" t="s">
        <v>1393</v>
      </c>
      <c r="IU11">
        <f t="shared" si="40"/>
        <v>0</v>
      </c>
      <c r="IV11" t="s">
        <v>1394</v>
      </c>
      <c r="IW11">
        <f t="shared" si="41"/>
        <v>0</v>
      </c>
      <c r="IX11" t="s">
        <v>1395</v>
      </c>
      <c r="IY11">
        <f t="shared" si="42"/>
        <v>0</v>
      </c>
      <c r="IZ11" t="s">
        <v>1396</v>
      </c>
      <c r="JA11">
        <f t="shared" si="43"/>
        <v>0</v>
      </c>
      <c r="JB11" t="s">
        <v>1397</v>
      </c>
      <c r="JC11">
        <f t="shared" si="44"/>
        <v>0</v>
      </c>
      <c r="JD11" t="s">
        <v>1398</v>
      </c>
      <c r="JE11">
        <f t="shared" si="45"/>
        <v>0</v>
      </c>
      <c r="JF11" t="s">
        <v>1399</v>
      </c>
      <c r="JG11">
        <f t="shared" si="46"/>
        <v>0</v>
      </c>
      <c r="JH11" t="s">
        <v>1400</v>
      </c>
      <c r="JI11">
        <f t="shared" si="47"/>
        <v>0</v>
      </c>
      <c r="JJ11" t="s">
        <v>1401</v>
      </c>
      <c r="JK11">
        <f t="shared" si="48"/>
        <v>0</v>
      </c>
      <c r="JL11" t="s">
        <v>1402</v>
      </c>
      <c r="JM11">
        <f t="shared" si="49"/>
        <v>0</v>
      </c>
      <c r="JN11" t="s">
        <v>1403</v>
      </c>
      <c r="JO11">
        <f t="shared" si="50"/>
        <v>0</v>
      </c>
      <c r="JP11" t="s">
        <v>1404</v>
      </c>
      <c r="JQ11">
        <f t="shared" si="51"/>
        <v>0</v>
      </c>
      <c r="JR11" t="s">
        <v>1405</v>
      </c>
      <c r="JS11">
        <f t="shared" si="52"/>
        <v>0</v>
      </c>
      <c r="JT11" t="s">
        <v>1406</v>
      </c>
      <c r="JU11">
        <f t="shared" si="53"/>
        <v>0</v>
      </c>
      <c r="JV11" t="s">
        <v>1407</v>
      </c>
      <c r="JW11">
        <f t="shared" si="54"/>
        <v>0</v>
      </c>
      <c r="JX11" t="s">
        <v>1408</v>
      </c>
      <c r="JY11">
        <f t="shared" si="55"/>
        <v>0</v>
      </c>
      <c r="JZ11" t="s">
        <v>1409</v>
      </c>
      <c r="KA11">
        <f t="shared" si="56"/>
        <v>0</v>
      </c>
      <c r="KB11" t="s">
        <v>1410</v>
      </c>
      <c r="KC11">
        <f t="shared" si="57"/>
        <v>0</v>
      </c>
      <c r="KD11" t="s">
        <v>1411</v>
      </c>
      <c r="KE11">
        <f t="shared" si="58"/>
        <v>0</v>
      </c>
      <c r="KF11" t="s">
        <v>1412</v>
      </c>
      <c r="KG11">
        <f t="shared" si="59"/>
        <v>0</v>
      </c>
      <c r="KH11" t="s">
        <v>1413</v>
      </c>
      <c r="KI11">
        <f t="shared" si="60"/>
        <v>0</v>
      </c>
      <c r="KJ11" t="s">
        <v>1414</v>
      </c>
      <c r="KK11">
        <f t="shared" si="61"/>
        <v>0</v>
      </c>
      <c r="KL11" t="s">
        <v>1415</v>
      </c>
      <c r="KM11">
        <f t="shared" si="62"/>
        <v>0</v>
      </c>
      <c r="KN11" t="s">
        <v>1416</v>
      </c>
      <c r="KO11">
        <f t="shared" si="63"/>
        <v>0</v>
      </c>
      <c r="KP11" t="s">
        <v>1417</v>
      </c>
      <c r="KQ11">
        <f t="shared" si="64"/>
        <v>0</v>
      </c>
      <c r="KR11" t="s">
        <v>1418</v>
      </c>
      <c r="KS11">
        <f t="shared" si="65"/>
        <v>0</v>
      </c>
      <c r="KT11" t="s">
        <v>1419</v>
      </c>
      <c r="KU11">
        <f t="shared" si="66"/>
        <v>0</v>
      </c>
      <c r="KV11" t="s">
        <v>1420</v>
      </c>
      <c r="KW11">
        <f t="shared" si="67"/>
        <v>0</v>
      </c>
      <c r="KX11" t="s">
        <v>1421</v>
      </c>
      <c r="KY11">
        <f t="shared" si="68"/>
        <v>0</v>
      </c>
      <c r="KZ11" t="s">
        <v>1422</v>
      </c>
      <c r="LA11">
        <f t="shared" si="69"/>
        <v>0</v>
      </c>
      <c r="LB11" t="s">
        <v>1423</v>
      </c>
      <c r="LC11">
        <f t="shared" si="70"/>
        <v>0</v>
      </c>
      <c r="LD11" t="s">
        <v>1424</v>
      </c>
      <c r="LE11">
        <f t="shared" si="71"/>
        <v>0</v>
      </c>
      <c r="LF11" t="s">
        <v>1425</v>
      </c>
      <c r="LG11">
        <f t="shared" si="72"/>
        <v>0</v>
      </c>
      <c r="LH11" t="s">
        <v>1426</v>
      </c>
      <c r="LI11">
        <f t="shared" si="73"/>
        <v>0</v>
      </c>
      <c r="LJ11" t="s">
        <v>1427</v>
      </c>
      <c r="LK11">
        <f t="shared" si="74"/>
        <v>0</v>
      </c>
      <c r="LL11" t="s">
        <v>1428</v>
      </c>
      <c r="LM11">
        <f t="shared" si="75"/>
        <v>0</v>
      </c>
      <c r="LN11" t="s">
        <v>1429</v>
      </c>
      <c r="LO11">
        <f t="shared" si="76"/>
        <v>0</v>
      </c>
      <c r="LP11" t="s">
        <v>1430</v>
      </c>
      <c r="LQ11">
        <f t="shared" si="77"/>
        <v>0</v>
      </c>
      <c r="LR11" t="s">
        <v>1431</v>
      </c>
      <c r="LS11">
        <f t="shared" si="78"/>
        <v>0</v>
      </c>
      <c r="LT11" t="s">
        <v>1432</v>
      </c>
      <c r="LU11">
        <f t="shared" si="79"/>
        <v>0</v>
      </c>
      <c r="LV11" t="s">
        <v>1433</v>
      </c>
      <c r="LW11">
        <f t="shared" si="80"/>
        <v>0</v>
      </c>
      <c r="LX11" t="s">
        <v>1434</v>
      </c>
      <c r="LY11">
        <f t="shared" si="81"/>
        <v>0</v>
      </c>
      <c r="LZ11">
        <f>'6'!B36</f>
        <v>0</v>
      </c>
      <c r="MA11">
        <f>'6'!C36</f>
        <v>0</v>
      </c>
      <c r="MB11">
        <f>'6'!D36</f>
        <v>0</v>
      </c>
      <c r="MC11">
        <f>'6'!E36</f>
        <v>0</v>
      </c>
      <c r="MD11">
        <f>'6'!F36</f>
        <v>0</v>
      </c>
      <c r="ME11">
        <f>'6'!G36</f>
        <v>0</v>
      </c>
      <c r="MF11">
        <f>'6'!H36</f>
        <v>0</v>
      </c>
      <c r="MG11">
        <f>'6'!I36</f>
        <v>0</v>
      </c>
      <c r="MH11">
        <f>'6'!J36</f>
        <v>0</v>
      </c>
      <c r="MI11">
        <f>'6'!K36</f>
        <v>0</v>
      </c>
      <c r="MJ11">
        <f>'6'!L36</f>
        <v>0</v>
      </c>
      <c r="MK11">
        <f>'6'!M36</f>
        <v>0</v>
      </c>
      <c r="ML11" s="13">
        <f>'7'!B63</f>
        <v>0</v>
      </c>
      <c r="MM11" s="13">
        <f>'7'!C63</f>
        <v>0</v>
      </c>
      <c r="MN11" s="13">
        <f>'7'!D63</f>
        <v>0</v>
      </c>
      <c r="MO11" s="13">
        <f>'7'!E63</f>
        <v>0</v>
      </c>
      <c r="MP11" s="13">
        <f>'7'!F63</f>
        <v>0</v>
      </c>
      <c r="MQ11" s="13">
        <f>'7'!G63</f>
        <v>0</v>
      </c>
      <c r="MR11" s="13">
        <f>'7'!H63</f>
        <v>0</v>
      </c>
      <c r="MS11" s="13">
        <f>'7'!I63</f>
        <v>0</v>
      </c>
      <c r="MT11" s="13">
        <f>'7'!J63</f>
        <v>0</v>
      </c>
      <c r="MU11" s="13">
        <f>'7'!K63</f>
        <v>0</v>
      </c>
      <c r="MV11" s="13">
        <f>'7'!L63</f>
        <v>0</v>
      </c>
      <c r="MW11" s="13">
        <f>'7'!M63</f>
        <v>0</v>
      </c>
      <c r="MX11" s="13" t="s">
        <v>1435</v>
      </c>
      <c r="MY11">
        <f t="shared" si="82"/>
        <v>0</v>
      </c>
      <c r="MZ11" s="13" t="s">
        <v>1436</v>
      </c>
      <c r="NA11">
        <f t="shared" si="83"/>
        <v>0</v>
      </c>
      <c r="NB11" s="13" t="s">
        <v>1437</v>
      </c>
      <c r="NC11">
        <f t="shared" si="84"/>
        <v>0</v>
      </c>
      <c r="ND11" s="13" t="s">
        <v>1438</v>
      </c>
      <c r="NE11">
        <f t="shared" si="85"/>
        <v>0</v>
      </c>
      <c r="NF11" s="13" t="s">
        <v>1439</v>
      </c>
      <c r="NG11">
        <f t="shared" si="86"/>
        <v>0</v>
      </c>
      <c r="NH11" s="13" t="s">
        <v>1440</v>
      </c>
      <c r="NI11">
        <f t="shared" si="87"/>
        <v>0</v>
      </c>
      <c r="NJ11" s="13" t="s">
        <v>1441</v>
      </c>
      <c r="NK11">
        <f t="shared" si="88"/>
        <v>0</v>
      </c>
      <c r="NL11" s="13" t="s">
        <v>1442</v>
      </c>
      <c r="NM11">
        <f t="shared" si="89"/>
        <v>0</v>
      </c>
      <c r="NN11" s="13" t="s">
        <v>1443</v>
      </c>
      <c r="NO11">
        <f t="shared" si="90"/>
        <v>0</v>
      </c>
      <c r="NP11" s="13" t="s">
        <v>1444</v>
      </c>
      <c r="NQ11">
        <f t="shared" si="91"/>
        <v>0</v>
      </c>
      <c r="NR11" s="13" t="s">
        <v>1445</v>
      </c>
      <c r="NS11">
        <f t="shared" si="92"/>
        <v>0</v>
      </c>
      <c r="NT11" s="13" t="s">
        <v>1446</v>
      </c>
      <c r="NU11">
        <f t="shared" si="93"/>
        <v>0</v>
      </c>
      <c r="NV11" s="13"/>
    </row>
    <row r="12" spans="1:386" customFormat="1" x14ac:dyDescent="0.25">
      <c r="A12">
        <v>9</v>
      </c>
      <c r="B12">
        <f>'6'!AB39</f>
        <v>0</v>
      </c>
      <c r="C12">
        <f>'6'!AC39</f>
        <v>0</v>
      </c>
      <c r="D12">
        <f>'6'!AD39</f>
        <v>0</v>
      </c>
      <c r="E12">
        <f>'6'!AE39</f>
        <v>0</v>
      </c>
      <c r="F12">
        <f>'6'!AF39</f>
        <v>0</v>
      </c>
      <c r="G12">
        <f>'6'!AG39</f>
        <v>0</v>
      </c>
      <c r="H12">
        <f>'6'!AH39</f>
        <v>0</v>
      </c>
      <c r="I12">
        <f>'6'!AI39</f>
        <v>0</v>
      </c>
      <c r="J12">
        <f>'6'!AJ39</f>
        <v>0</v>
      </c>
      <c r="K12">
        <f>'6'!AK39</f>
        <v>0</v>
      </c>
      <c r="L12">
        <f>'6'!AL39</f>
        <v>0</v>
      </c>
      <c r="M12">
        <f>'6'!AM39</f>
        <v>0</v>
      </c>
      <c r="N12">
        <f>'6'!AN39</f>
        <v>0</v>
      </c>
      <c r="O12">
        <f>'6'!AO39</f>
        <v>0</v>
      </c>
      <c r="P12">
        <f>'6'!AP39</f>
        <v>0</v>
      </c>
      <c r="Q12">
        <f>'6'!AQ39</f>
        <v>0</v>
      </c>
      <c r="R12">
        <f>'6'!AR39</f>
        <v>0</v>
      </c>
      <c r="S12">
        <f>'6'!AS39</f>
        <v>0</v>
      </c>
      <c r="T12">
        <f>'6'!AT39</f>
        <v>0</v>
      </c>
      <c r="U12">
        <f>'6'!AU39</f>
        <v>0</v>
      </c>
      <c r="V12">
        <f>'6'!AV39</f>
        <v>0</v>
      </c>
      <c r="W12">
        <f>'6'!AW39</f>
        <v>0</v>
      </c>
      <c r="X12">
        <f>'6'!AX39</f>
        <v>0</v>
      </c>
      <c r="Y12">
        <f>'6'!AY39</f>
        <v>0</v>
      </c>
      <c r="Z12">
        <f>'6'!AZ39</f>
        <v>0</v>
      </c>
      <c r="AA12">
        <f>'6'!BA39</f>
        <v>0</v>
      </c>
      <c r="AB12">
        <f>'6'!BB39</f>
        <v>0</v>
      </c>
      <c r="AC12">
        <f>'6'!BC39</f>
        <v>0</v>
      </c>
      <c r="AD12">
        <f>'6'!BD39</f>
        <v>0</v>
      </c>
      <c r="AE12">
        <f>'6'!BE39</f>
        <v>0</v>
      </c>
      <c r="AF12">
        <f>'6'!BF39</f>
        <v>0</v>
      </c>
      <c r="AG12">
        <f>'6'!BG39</f>
        <v>0</v>
      </c>
      <c r="AH12">
        <f>'6'!BH39</f>
        <v>0</v>
      </c>
      <c r="AI12">
        <f>'6'!BI39</f>
        <v>0</v>
      </c>
      <c r="AJ12">
        <f>'6'!BJ39</f>
        <v>0</v>
      </c>
      <c r="AK12">
        <f>'6'!BK39</f>
        <v>0</v>
      </c>
      <c r="AL12">
        <f>'6'!BL39</f>
        <v>0</v>
      </c>
      <c r="AM12">
        <f>'6'!BM39</f>
        <v>0</v>
      </c>
      <c r="AN12">
        <f>'6'!BN39</f>
        <v>0</v>
      </c>
      <c r="AO12">
        <f>'6'!BO39</f>
        <v>0</v>
      </c>
      <c r="AP12">
        <f>'6'!BP39</f>
        <v>0</v>
      </c>
      <c r="AQ12">
        <f>'6'!BQ39</f>
        <v>0</v>
      </c>
      <c r="AR12">
        <f>'6'!BR39</f>
        <v>0</v>
      </c>
      <c r="AS12">
        <f>'6'!BS39</f>
        <v>0</v>
      </c>
      <c r="AT12">
        <f>'6'!BT39</f>
        <v>0</v>
      </c>
      <c r="AU12">
        <f>'6'!BU39</f>
        <v>0</v>
      </c>
      <c r="AV12">
        <f>'6'!BV39</f>
        <v>0</v>
      </c>
      <c r="AW12">
        <f>'6'!BW39</f>
        <v>0</v>
      </c>
      <c r="AX12">
        <f>'6'!BX39</f>
        <v>0</v>
      </c>
      <c r="AY12">
        <f>'6'!BY39</f>
        <v>0</v>
      </c>
      <c r="AZ12">
        <f>'6'!BZ39</f>
        <v>0</v>
      </c>
      <c r="BA12">
        <f>'6'!CA39</f>
        <v>0</v>
      </c>
      <c r="BB12">
        <f>'6'!CB39</f>
        <v>0</v>
      </c>
      <c r="BC12">
        <f>'6'!CC39</f>
        <v>0</v>
      </c>
      <c r="BD12">
        <f>'6'!CD39</f>
        <v>0</v>
      </c>
      <c r="BE12">
        <f>'6'!CE39</f>
        <v>0</v>
      </c>
      <c r="BF12">
        <f>'6'!CF39</f>
        <v>0</v>
      </c>
      <c r="BG12">
        <f>'6'!CG39</f>
        <v>0</v>
      </c>
      <c r="BH12">
        <f>'6'!CH39</f>
        <v>0</v>
      </c>
      <c r="BI12">
        <f>'6'!CI39</f>
        <v>0</v>
      </c>
      <c r="BJ12">
        <f>'6'!CJ39</f>
        <v>0</v>
      </c>
      <c r="BK12">
        <f>'6'!CK39</f>
        <v>0</v>
      </c>
      <c r="BL12">
        <f>'6'!CL39</f>
        <v>0</v>
      </c>
      <c r="BM12">
        <f>'6'!CM39</f>
        <v>0</v>
      </c>
      <c r="BN12">
        <f>'6'!CN39</f>
        <v>0</v>
      </c>
      <c r="BO12">
        <f>'6'!CO39</f>
        <v>0</v>
      </c>
      <c r="BP12">
        <f>'6'!CP39</f>
        <v>0</v>
      </c>
      <c r="BQ12">
        <f>'6'!CQ39</f>
        <v>0</v>
      </c>
      <c r="BR12">
        <f>'6'!CR39</f>
        <v>0</v>
      </c>
      <c r="BS12">
        <f>'6'!CS39</f>
        <v>0</v>
      </c>
      <c r="BT12">
        <f>'6'!CT39</f>
        <v>0</v>
      </c>
      <c r="BU12">
        <f>'6'!CU39</f>
        <v>0</v>
      </c>
      <c r="BV12">
        <f>'6'!CV39</f>
        <v>0</v>
      </c>
      <c r="BW12">
        <f>'6'!CW39</f>
        <v>0</v>
      </c>
      <c r="BX12">
        <f>'6'!CX39</f>
        <v>0</v>
      </c>
      <c r="BY12">
        <f>'6'!CY39</f>
        <v>0</v>
      </c>
      <c r="BZ12">
        <f>'6'!CZ39</f>
        <v>0</v>
      </c>
      <c r="CA12">
        <f>'6'!DA39</f>
        <v>0</v>
      </c>
      <c r="CB12">
        <f>'6'!DB39</f>
        <v>0</v>
      </c>
      <c r="CC12">
        <f>'6'!DC39</f>
        <v>0</v>
      </c>
      <c r="CD12">
        <f>'6'!DD39</f>
        <v>0</v>
      </c>
      <c r="CE12">
        <f>'6'!DE39</f>
        <v>0</v>
      </c>
      <c r="CF12">
        <f>'6'!DF39</f>
        <v>0</v>
      </c>
      <c r="CG12">
        <f>'6'!DG39</f>
        <v>0</v>
      </c>
      <c r="CH12">
        <f>SUM('7'!AB73:AB77)</f>
        <v>0</v>
      </c>
      <c r="CI12">
        <f>SUM('7'!AC73:AC77)</f>
        <v>0</v>
      </c>
      <c r="CJ12">
        <f>SUM('7'!AD73:AD77)</f>
        <v>0</v>
      </c>
      <c r="CK12">
        <f>SUM('7'!AE73:AE77)</f>
        <v>0</v>
      </c>
      <c r="CL12">
        <f>SUM('7'!AF73:AF77)</f>
        <v>0</v>
      </c>
      <c r="CM12">
        <f>SUM('7'!AG73:AG77)</f>
        <v>0</v>
      </c>
      <c r="CN12">
        <f>SUM('7'!AH73:AH77)</f>
        <v>0</v>
      </c>
      <c r="CO12">
        <f>SUM('7'!AI73:AI77)</f>
        <v>0</v>
      </c>
      <c r="CP12">
        <f>SUM('7'!AJ73:AJ77)</f>
        <v>0</v>
      </c>
      <c r="CQ12">
        <f>SUM('7'!AK73:AK77)</f>
        <v>0</v>
      </c>
      <c r="CR12">
        <f>SUM('7'!AL73:AL77)</f>
        <v>0</v>
      </c>
      <c r="CS12">
        <f>SUM('7'!AM73:AM77)</f>
        <v>0</v>
      </c>
      <c r="CT12">
        <f>SUM('7'!AN73:AN77)</f>
        <v>0</v>
      </c>
      <c r="CU12">
        <f>SUM('7'!AO73:AO77)</f>
        <v>0</v>
      </c>
      <c r="CV12">
        <f>SUM('7'!AP73:AP77)</f>
        <v>0</v>
      </c>
      <c r="CW12">
        <f>SUM('7'!AQ73:AQ77)</f>
        <v>0</v>
      </c>
      <c r="CX12">
        <f>SUM('7'!AR73:AR77)</f>
        <v>0</v>
      </c>
      <c r="CY12">
        <f>SUM('7'!AS73:AS77)</f>
        <v>0</v>
      </c>
      <c r="CZ12">
        <f>SUM('7'!AT73:AT77)</f>
        <v>0</v>
      </c>
      <c r="DA12">
        <f>SUM('7'!AU73:AU77)</f>
        <v>0</v>
      </c>
      <c r="DB12">
        <f>SUM('7'!AV73:AV77)</f>
        <v>0</v>
      </c>
      <c r="DC12">
        <f>SUM('7'!AW73:AW77)</f>
        <v>0</v>
      </c>
      <c r="DD12">
        <f>SUM('7'!AX73:AX77)</f>
        <v>0</v>
      </c>
      <c r="DE12">
        <f>SUM('7'!AY73:AY77)</f>
        <v>0</v>
      </c>
      <c r="DF12">
        <f>SUM('7'!AZ73:AZ77)</f>
        <v>0</v>
      </c>
      <c r="DG12">
        <f>SUM('7'!BA73:BA77)</f>
        <v>0</v>
      </c>
      <c r="DH12">
        <f>SUM('7'!BB73:BB77)</f>
        <v>0</v>
      </c>
      <c r="DI12">
        <f>SUM('7'!BC73:BC77)</f>
        <v>0</v>
      </c>
      <c r="DJ12">
        <f>SUM('7'!BD73:BD77)</f>
        <v>0</v>
      </c>
      <c r="DK12">
        <f>SUM('7'!BE73:BE77)</f>
        <v>0</v>
      </c>
      <c r="DL12">
        <f>SUM('7'!BF73:BF77)</f>
        <v>0</v>
      </c>
      <c r="DM12">
        <f>SUM('7'!BG73:BG77)</f>
        <v>0</v>
      </c>
      <c r="DN12">
        <f>SUM('7'!BH73:BH77)</f>
        <v>0</v>
      </c>
      <c r="DO12">
        <f>SUM('7'!BI73:BI77)</f>
        <v>0</v>
      </c>
      <c r="DP12">
        <f>SUM('7'!BJ73:BJ77)</f>
        <v>0</v>
      </c>
      <c r="DQ12">
        <f>SUM('7'!BK73:BK77)</f>
        <v>0</v>
      </c>
      <c r="DR12">
        <f>SUM('7'!BL73:BL77)</f>
        <v>0</v>
      </c>
      <c r="DS12">
        <f>SUM('7'!BM73:BM77)</f>
        <v>0</v>
      </c>
      <c r="DT12">
        <f>SUM('7'!BN73:BN77)</f>
        <v>0</v>
      </c>
      <c r="DU12">
        <f>SUM('7'!BO73:BO77)</f>
        <v>0</v>
      </c>
      <c r="DV12">
        <f>SUM('7'!BP73:BP77)</f>
        <v>0</v>
      </c>
      <c r="DW12">
        <f>SUM('7'!BQ73:BQ77)</f>
        <v>0</v>
      </c>
      <c r="DX12">
        <f>SUM('7'!BR73:BR77)</f>
        <v>0</v>
      </c>
      <c r="DY12">
        <f>SUM('7'!BS73:BS77)</f>
        <v>0</v>
      </c>
      <c r="DZ12">
        <f>SUM('7'!BT73:BT77)</f>
        <v>0</v>
      </c>
      <c r="EA12">
        <f>SUM('7'!BU73:BU77)</f>
        <v>0</v>
      </c>
      <c r="EB12">
        <f>SUM('7'!BV73:BV77)</f>
        <v>0</v>
      </c>
      <c r="EC12">
        <f>SUM('7'!BW73:BW77)</f>
        <v>0</v>
      </c>
      <c r="ED12">
        <f>SUM('7'!BX73:BX77)</f>
        <v>0</v>
      </c>
      <c r="EE12">
        <f>SUM('7'!BY73:BY77)</f>
        <v>0</v>
      </c>
      <c r="EF12">
        <f>SUM('7'!BZ73:BZ77)</f>
        <v>0</v>
      </c>
      <c r="EG12">
        <f>SUM('7'!CA73:CA77)</f>
        <v>0</v>
      </c>
      <c r="EH12">
        <f>SUM('7'!CB73:CB77)</f>
        <v>0</v>
      </c>
      <c r="EI12">
        <f>SUM('7'!CC73:CC77)</f>
        <v>0</v>
      </c>
      <c r="EJ12">
        <f>SUM('7'!CD73:CD77)</f>
        <v>0</v>
      </c>
      <c r="EK12">
        <f>SUM('7'!CE73:CE77)</f>
        <v>0</v>
      </c>
      <c r="EL12">
        <f>SUM('7'!CF73:CF77)</f>
        <v>0</v>
      </c>
      <c r="EM12">
        <f>SUM('7'!CG73:CG77)</f>
        <v>0</v>
      </c>
      <c r="EN12">
        <f>SUM('7'!CH73:CH77)</f>
        <v>0</v>
      </c>
      <c r="EO12">
        <f>SUM('7'!CI73:CI77)</f>
        <v>0</v>
      </c>
      <c r="EP12">
        <f>SUM('7'!CJ73:CJ77)</f>
        <v>0</v>
      </c>
      <c r="EQ12">
        <f>SUM('7'!CK73:CK77)</f>
        <v>0</v>
      </c>
      <c r="ER12">
        <f>SUM('7'!CL73:CL77)</f>
        <v>0</v>
      </c>
      <c r="ES12">
        <f>SUM('7'!CM73:CM77)</f>
        <v>0</v>
      </c>
      <c r="ET12">
        <f>SUM('7'!CN73:CN77)</f>
        <v>0</v>
      </c>
      <c r="EU12">
        <f>SUM('7'!CO73:CO77)</f>
        <v>0</v>
      </c>
      <c r="EV12">
        <f>SUM('7'!CP73:CP77)</f>
        <v>0</v>
      </c>
      <c r="EW12">
        <f>SUM('7'!CQ73:CQ77)</f>
        <v>0</v>
      </c>
      <c r="EX12">
        <f>SUM('7'!CR73:CR77)</f>
        <v>0</v>
      </c>
      <c r="EY12">
        <f>SUM('7'!CS73:CS77)</f>
        <v>0</v>
      </c>
      <c r="EZ12">
        <f>SUM('7'!CT73:CT77)</f>
        <v>0</v>
      </c>
      <c r="FA12">
        <f>SUM('7'!CU73:CU77)</f>
        <v>0</v>
      </c>
      <c r="FB12">
        <f>SUM('7'!CV73:CV77)</f>
        <v>0</v>
      </c>
      <c r="FC12">
        <f>SUM('7'!CW73:CW77)</f>
        <v>0</v>
      </c>
      <c r="FD12">
        <f>SUM('7'!CX73:CX77)</f>
        <v>0</v>
      </c>
      <c r="FE12">
        <f>SUM('7'!CY73:CY77)</f>
        <v>0</v>
      </c>
      <c r="FF12">
        <f>SUM('7'!CZ73:CZ77)</f>
        <v>0</v>
      </c>
      <c r="FG12">
        <f>SUM('7'!DA73:DA77)</f>
        <v>0</v>
      </c>
      <c r="FH12">
        <f>SUM('7'!DB73:DB77)</f>
        <v>0</v>
      </c>
      <c r="FI12">
        <f>SUM('7'!DC73:DC77)</f>
        <v>0</v>
      </c>
      <c r="FJ12">
        <f>SUM('7'!DD73:DD77)</f>
        <v>0</v>
      </c>
      <c r="FK12">
        <f>SUM('7'!DE73:DE77)</f>
        <v>0</v>
      </c>
      <c r="FL12">
        <f>SUM('7'!DF73:DF77)</f>
        <v>0</v>
      </c>
      <c r="FM12">
        <f>SUM('7'!DG73:DG77)</f>
        <v>0</v>
      </c>
      <c r="FN12" t="s">
        <v>1447</v>
      </c>
      <c r="FO12">
        <f t="shared" si="94"/>
        <v>0</v>
      </c>
      <c r="FP12" t="s">
        <v>1448</v>
      </c>
      <c r="FQ12">
        <f t="shared" si="0"/>
        <v>0</v>
      </c>
      <c r="FR12" t="s">
        <v>1449</v>
      </c>
      <c r="FS12">
        <f t="shared" si="1"/>
        <v>0</v>
      </c>
      <c r="FT12" t="s">
        <v>1450</v>
      </c>
      <c r="FU12">
        <f t="shared" si="2"/>
        <v>0</v>
      </c>
      <c r="FV12" t="s">
        <v>1451</v>
      </c>
      <c r="FW12">
        <f t="shared" si="3"/>
        <v>0</v>
      </c>
      <c r="FX12" t="s">
        <v>1452</v>
      </c>
      <c r="FY12">
        <f t="shared" si="4"/>
        <v>0</v>
      </c>
      <c r="FZ12" t="s">
        <v>1453</v>
      </c>
      <c r="GA12">
        <f t="shared" si="5"/>
        <v>0</v>
      </c>
      <c r="GB12" t="s">
        <v>1454</v>
      </c>
      <c r="GC12">
        <f t="shared" si="6"/>
        <v>0</v>
      </c>
      <c r="GD12" t="s">
        <v>1455</v>
      </c>
      <c r="GE12">
        <f t="shared" si="7"/>
        <v>0</v>
      </c>
      <c r="GF12" t="s">
        <v>1456</v>
      </c>
      <c r="GG12">
        <f t="shared" si="8"/>
        <v>0</v>
      </c>
      <c r="GH12" t="s">
        <v>1457</v>
      </c>
      <c r="GI12">
        <f t="shared" si="9"/>
        <v>0</v>
      </c>
      <c r="GJ12" t="s">
        <v>1458</v>
      </c>
      <c r="GK12">
        <f t="shared" si="10"/>
        <v>0</v>
      </c>
      <c r="GL12" t="s">
        <v>1459</v>
      </c>
      <c r="GM12">
        <f t="shared" si="11"/>
        <v>0</v>
      </c>
      <c r="GN12" t="s">
        <v>1460</v>
      </c>
      <c r="GO12">
        <f t="shared" si="95"/>
        <v>0</v>
      </c>
      <c r="GP12" t="s">
        <v>1461</v>
      </c>
      <c r="GQ12">
        <f t="shared" si="12"/>
        <v>0</v>
      </c>
      <c r="GR12" t="s">
        <v>1462</v>
      </c>
      <c r="GS12">
        <f t="shared" si="13"/>
        <v>0</v>
      </c>
      <c r="GT12" t="s">
        <v>1463</v>
      </c>
      <c r="GU12">
        <f t="shared" si="14"/>
        <v>0</v>
      </c>
      <c r="GV12" t="s">
        <v>1464</v>
      </c>
      <c r="GW12">
        <f t="shared" si="15"/>
        <v>0</v>
      </c>
      <c r="GX12" t="s">
        <v>1465</v>
      </c>
      <c r="GY12">
        <f t="shared" si="16"/>
        <v>0</v>
      </c>
      <c r="GZ12" t="s">
        <v>1466</v>
      </c>
      <c r="HA12">
        <f t="shared" si="17"/>
        <v>0</v>
      </c>
      <c r="HB12" t="s">
        <v>1467</v>
      </c>
      <c r="HC12">
        <f t="shared" si="18"/>
        <v>0</v>
      </c>
      <c r="HD12" t="s">
        <v>1468</v>
      </c>
      <c r="HE12">
        <f t="shared" si="19"/>
        <v>0</v>
      </c>
      <c r="HF12" t="s">
        <v>1469</v>
      </c>
      <c r="HG12">
        <f t="shared" si="20"/>
        <v>0</v>
      </c>
      <c r="HH12" t="s">
        <v>1470</v>
      </c>
      <c r="HI12">
        <f t="shared" si="21"/>
        <v>0</v>
      </c>
      <c r="HJ12" t="s">
        <v>1471</v>
      </c>
      <c r="HK12">
        <f t="shared" si="22"/>
        <v>0</v>
      </c>
      <c r="HL12" t="s">
        <v>1472</v>
      </c>
      <c r="HM12">
        <f t="shared" si="23"/>
        <v>0</v>
      </c>
      <c r="HN12" t="s">
        <v>1473</v>
      </c>
      <c r="HO12">
        <f t="shared" si="24"/>
        <v>0</v>
      </c>
      <c r="HP12" t="s">
        <v>1474</v>
      </c>
      <c r="HQ12">
        <f t="shared" si="25"/>
        <v>0</v>
      </c>
      <c r="HR12" t="s">
        <v>1475</v>
      </c>
      <c r="HS12">
        <f t="shared" si="26"/>
        <v>0</v>
      </c>
      <c r="HT12" t="s">
        <v>1476</v>
      </c>
      <c r="HU12">
        <f t="shared" si="27"/>
        <v>0</v>
      </c>
      <c r="HV12" t="s">
        <v>1477</v>
      </c>
      <c r="HW12">
        <f t="shared" si="28"/>
        <v>0</v>
      </c>
      <c r="HX12" t="s">
        <v>1478</v>
      </c>
      <c r="HY12">
        <f t="shared" si="29"/>
        <v>0</v>
      </c>
      <c r="HZ12" t="s">
        <v>1479</v>
      </c>
      <c r="IA12">
        <f t="shared" si="30"/>
        <v>0</v>
      </c>
      <c r="IB12" t="s">
        <v>1480</v>
      </c>
      <c r="IC12">
        <f t="shared" si="31"/>
        <v>0</v>
      </c>
      <c r="ID12" t="s">
        <v>1481</v>
      </c>
      <c r="IE12">
        <f t="shared" si="32"/>
        <v>0</v>
      </c>
      <c r="IF12" t="s">
        <v>1482</v>
      </c>
      <c r="IG12">
        <f t="shared" si="33"/>
        <v>0</v>
      </c>
      <c r="IH12" t="s">
        <v>1483</v>
      </c>
      <c r="II12">
        <f t="shared" si="34"/>
        <v>0</v>
      </c>
      <c r="IJ12" t="s">
        <v>1484</v>
      </c>
      <c r="IK12">
        <f t="shared" si="35"/>
        <v>0</v>
      </c>
      <c r="IL12" t="s">
        <v>1485</v>
      </c>
      <c r="IM12">
        <f t="shared" si="36"/>
        <v>0</v>
      </c>
      <c r="IN12" t="s">
        <v>1486</v>
      </c>
      <c r="IO12">
        <f t="shared" si="37"/>
        <v>0</v>
      </c>
      <c r="IP12" t="s">
        <v>1487</v>
      </c>
      <c r="IQ12">
        <f t="shared" si="38"/>
        <v>0</v>
      </c>
      <c r="IR12" t="s">
        <v>1488</v>
      </c>
      <c r="IS12">
        <f t="shared" si="39"/>
        <v>0</v>
      </c>
      <c r="IT12" t="s">
        <v>1489</v>
      </c>
      <c r="IU12">
        <f t="shared" si="40"/>
        <v>0</v>
      </c>
      <c r="IV12" t="s">
        <v>1490</v>
      </c>
      <c r="IW12">
        <f t="shared" si="41"/>
        <v>0</v>
      </c>
      <c r="IX12" t="s">
        <v>1491</v>
      </c>
      <c r="IY12">
        <f t="shared" si="42"/>
        <v>0</v>
      </c>
      <c r="IZ12" t="s">
        <v>1492</v>
      </c>
      <c r="JA12">
        <f t="shared" si="43"/>
        <v>0</v>
      </c>
      <c r="JB12" t="s">
        <v>1493</v>
      </c>
      <c r="JC12">
        <f t="shared" si="44"/>
        <v>0</v>
      </c>
      <c r="JD12" t="s">
        <v>1494</v>
      </c>
      <c r="JE12">
        <f t="shared" si="45"/>
        <v>0</v>
      </c>
      <c r="JF12" t="s">
        <v>1495</v>
      </c>
      <c r="JG12">
        <f t="shared" si="46"/>
        <v>0</v>
      </c>
      <c r="JH12" t="s">
        <v>1496</v>
      </c>
      <c r="JI12">
        <f t="shared" si="47"/>
        <v>0</v>
      </c>
      <c r="JJ12" t="s">
        <v>1497</v>
      </c>
      <c r="JK12">
        <f t="shared" si="48"/>
        <v>0</v>
      </c>
      <c r="JL12" t="s">
        <v>1498</v>
      </c>
      <c r="JM12">
        <f t="shared" si="49"/>
        <v>0</v>
      </c>
      <c r="JN12" t="s">
        <v>1499</v>
      </c>
      <c r="JO12">
        <f t="shared" si="50"/>
        <v>0</v>
      </c>
      <c r="JP12" t="s">
        <v>1500</v>
      </c>
      <c r="JQ12">
        <f t="shared" si="51"/>
        <v>0</v>
      </c>
      <c r="JR12" t="s">
        <v>1501</v>
      </c>
      <c r="JS12">
        <f t="shared" si="52"/>
        <v>0</v>
      </c>
      <c r="JT12" t="s">
        <v>1502</v>
      </c>
      <c r="JU12">
        <f t="shared" si="53"/>
        <v>0</v>
      </c>
      <c r="JV12" t="s">
        <v>1503</v>
      </c>
      <c r="JW12">
        <f t="shared" si="54"/>
        <v>0</v>
      </c>
      <c r="JX12" t="s">
        <v>1504</v>
      </c>
      <c r="JY12">
        <f t="shared" si="55"/>
        <v>0</v>
      </c>
      <c r="JZ12" t="s">
        <v>1505</v>
      </c>
      <c r="KA12">
        <f t="shared" si="56"/>
        <v>0</v>
      </c>
      <c r="KB12" t="s">
        <v>1506</v>
      </c>
      <c r="KC12">
        <f t="shared" si="57"/>
        <v>0</v>
      </c>
      <c r="KD12" t="s">
        <v>1507</v>
      </c>
      <c r="KE12">
        <f t="shared" si="58"/>
        <v>0</v>
      </c>
      <c r="KF12" t="s">
        <v>1508</v>
      </c>
      <c r="KG12">
        <f t="shared" si="59"/>
        <v>0</v>
      </c>
      <c r="KH12" t="s">
        <v>1509</v>
      </c>
      <c r="KI12">
        <f t="shared" si="60"/>
        <v>0</v>
      </c>
      <c r="KJ12" t="s">
        <v>1510</v>
      </c>
      <c r="KK12">
        <f t="shared" si="61"/>
        <v>0</v>
      </c>
      <c r="KL12" t="s">
        <v>1511</v>
      </c>
      <c r="KM12">
        <f t="shared" si="62"/>
        <v>0</v>
      </c>
      <c r="KN12" t="s">
        <v>1512</v>
      </c>
      <c r="KO12">
        <f t="shared" si="63"/>
        <v>0</v>
      </c>
      <c r="KP12" t="s">
        <v>1513</v>
      </c>
      <c r="KQ12">
        <f t="shared" si="64"/>
        <v>0</v>
      </c>
      <c r="KR12" t="s">
        <v>1514</v>
      </c>
      <c r="KS12">
        <f t="shared" si="65"/>
        <v>0</v>
      </c>
      <c r="KT12" t="s">
        <v>1515</v>
      </c>
      <c r="KU12">
        <f t="shared" si="66"/>
        <v>0</v>
      </c>
      <c r="KV12" t="s">
        <v>1516</v>
      </c>
      <c r="KW12">
        <f t="shared" si="67"/>
        <v>0</v>
      </c>
      <c r="KX12" t="s">
        <v>1517</v>
      </c>
      <c r="KY12">
        <f t="shared" si="68"/>
        <v>0</v>
      </c>
      <c r="KZ12" t="s">
        <v>1518</v>
      </c>
      <c r="LA12">
        <f t="shared" si="69"/>
        <v>0</v>
      </c>
      <c r="LB12" t="s">
        <v>1519</v>
      </c>
      <c r="LC12">
        <f t="shared" si="70"/>
        <v>0</v>
      </c>
      <c r="LD12" t="s">
        <v>1520</v>
      </c>
      <c r="LE12">
        <f t="shared" si="71"/>
        <v>0</v>
      </c>
      <c r="LF12" t="s">
        <v>1521</v>
      </c>
      <c r="LG12">
        <f t="shared" si="72"/>
        <v>0</v>
      </c>
      <c r="LH12" t="s">
        <v>1522</v>
      </c>
      <c r="LI12">
        <f t="shared" si="73"/>
        <v>0</v>
      </c>
      <c r="LJ12" t="s">
        <v>1523</v>
      </c>
      <c r="LK12">
        <f t="shared" si="74"/>
        <v>0</v>
      </c>
      <c r="LL12" t="s">
        <v>1524</v>
      </c>
      <c r="LM12">
        <f t="shared" si="75"/>
        <v>0</v>
      </c>
      <c r="LN12" t="s">
        <v>1525</v>
      </c>
      <c r="LO12">
        <f t="shared" si="76"/>
        <v>0</v>
      </c>
      <c r="LP12" t="s">
        <v>1526</v>
      </c>
      <c r="LQ12">
        <f t="shared" si="77"/>
        <v>0</v>
      </c>
      <c r="LR12" t="s">
        <v>1527</v>
      </c>
      <c r="LS12">
        <f t="shared" si="78"/>
        <v>0</v>
      </c>
      <c r="LT12" t="s">
        <v>1528</v>
      </c>
      <c r="LU12">
        <f t="shared" si="79"/>
        <v>0</v>
      </c>
      <c r="LV12" t="s">
        <v>1529</v>
      </c>
      <c r="LW12">
        <f t="shared" si="80"/>
        <v>0</v>
      </c>
      <c r="LX12" t="s">
        <v>1530</v>
      </c>
      <c r="LY12">
        <f t="shared" si="81"/>
        <v>0</v>
      </c>
      <c r="LZ12">
        <f>'6'!B40</f>
        <v>0</v>
      </c>
      <c r="MA12">
        <f>'6'!C40</f>
        <v>0</v>
      </c>
      <c r="MB12">
        <f>'6'!D40</f>
        <v>0</v>
      </c>
      <c r="MC12">
        <f>'6'!E40</f>
        <v>0</v>
      </c>
      <c r="MD12">
        <f>'6'!F40</f>
        <v>0</v>
      </c>
      <c r="ME12">
        <f>'6'!G40</f>
        <v>0</v>
      </c>
      <c r="MF12">
        <f>'6'!H40</f>
        <v>0</v>
      </c>
      <c r="MG12">
        <f>'6'!I40</f>
        <v>0</v>
      </c>
      <c r="MH12">
        <f>'6'!J40</f>
        <v>0</v>
      </c>
      <c r="MI12">
        <f>'6'!K40</f>
        <v>0</v>
      </c>
      <c r="MJ12">
        <f>'6'!L40</f>
        <v>0</v>
      </c>
      <c r="MK12">
        <f>'6'!M40</f>
        <v>0</v>
      </c>
      <c r="ML12" s="13">
        <f>'7'!B71</f>
        <v>0</v>
      </c>
      <c r="MM12" s="13">
        <f>'7'!C71</f>
        <v>0</v>
      </c>
      <c r="MN12" s="13">
        <f>'7'!D71</f>
        <v>0</v>
      </c>
      <c r="MO12" s="13">
        <f>'7'!E71</f>
        <v>0</v>
      </c>
      <c r="MP12" s="13">
        <f>'7'!F71</f>
        <v>0</v>
      </c>
      <c r="MQ12" s="13">
        <f>'7'!G71</f>
        <v>0</v>
      </c>
      <c r="MR12" s="13">
        <f>'7'!H71</f>
        <v>0</v>
      </c>
      <c r="MS12" s="13">
        <f>'7'!I71</f>
        <v>0</v>
      </c>
      <c r="MT12" s="13">
        <f>'7'!J71</f>
        <v>0</v>
      </c>
      <c r="MU12" s="13">
        <f>'7'!K71</f>
        <v>0</v>
      </c>
      <c r="MV12" s="13">
        <f>'7'!L71</f>
        <v>0</v>
      </c>
      <c r="MW12" s="13">
        <f>'7'!M71</f>
        <v>0</v>
      </c>
      <c r="MX12" s="13" t="s">
        <v>1531</v>
      </c>
      <c r="MY12">
        <f t="shared" si="82"/>
        <v>0</v>
      </c>
      <c r="MZ12" s="13" t="s">
        <v>1532</v>
      </c>
      <c r="NA12">
        <f t="shared" si="83"/>
        <v>0</v>
      </c>
      <c r="NB12" s="13" t="s">
        <v>1533</v>
      </c>
      <c r="NC12">
        <f t="shared" si="84"/>
        <v>0</v>
      </c>
      <c r="ND12" s="13" t="s">
        <v>1534</v>
      </c>
      <c r="NE12">
        <f t="shared" si="85"/>
        <v>0</v>
      </c>
      <c r="NF12" s="13" t="s">
        <v>1535</v>
      </c>
      <c r="NG12">
        <f t="shared" si="86"/>
        <v>0</v>
      </c>
      <c r="NH12" s="13" t="s">
        <v>1536</v>
      </c>
      <c r="NI12">
        <f t="shared" si="87"/>
        <v>0</v>
      </c>
      <c r="NJ12" s="13" t="s">
        <v>1537</v>
      </c>
      <c r="NK12">
        <f t="shared" si="88"/>
        <v>0</v>
      </c>
      <c r="NL12" s="13" t="s">
        <v>1538</v>
      </c>
      <c r="NM12">
        <f t="shared" si="89"/>
        <v>0</v>
      </c>
      <c r="NN12" s="13" t="s">
        <v>1539</v>
      </c>
      <c r="NO12">
        <f t="shared" si="90"/>
        <v>0</v>
      </c>
      <c r="NP12" s="13" t="s">
        <v>1540</v>
      </c>
      <c r="NQ12">
        <f t="shared" si="91"/>
        <v>0</v>
      </c>
      <c r="NR12" s="13" t="s">
        <v>1541</v>
      </c>
      <c r="NS12">
        <f t="shared" si="92"/>
        <v>0</v>
      </c>
      <c r="NT12" s="13" t="s">
        <v>1542</v>
      </c>
      <c r="NU12">
        <f t="shared" si="93"/>
        <v>0</v>
      </c>
      <c r="NV12" s="13"/>
    </row>
    <row r="13" spans="1:386" customFormat="1" x14ac:dyDescent="0.25">
      <c r="A13">
        <v>10</v>
      </c>
      <c r="B13">
        <f>'6'!AB43</f>
        <v>0</v>
      </c>
      <c r="C13">
        <f>'6'!AC43</f>
        <v>0</v>
      </c>
      <c r="D13">
        <f>'6'!AD43</f>
        <v>0</v>
      </c>
      <c r="E13">
        <f>'6'!AE43</f>
        <v>0</v>
      </c>
      <c r="F13">
        <f>'6'!AF43</f>
        <v>0</v>
      </c>
      <c r="G13">
        <f>'6'!AG43</f>
        <v>0</v>
      </c>
      <c r="H13">
        <f>'6'!AH43</f>
        <v>0</v>
      </c>
      <c r="I13">
        <f>'6'!AI43</f>
        <v>0</v>
      </c>
      <c r="J13">
        <f>'6'!AJ43</f>
        <v>0</v>
      </c>
      <c r="K13">
        <f>'6'!AK43</f>
        <v>0</v>
      </c>
      <c r="L13">
        <f>'6'!AL43</f>
        <v>0</v>
      </c>
      <c r="M13">
        <f>'6'!AM43</f>
        <v>0</v>
      </c>
      <c r="N13">
        <f>'6'!AN43</f>
        <v>0</v>
      </c>
      <c r="O13">
        <f>'6'!AO43</f>
        <v>0</v>
      </c>
      <c r="P13">
        <f>'6'!AP43</f>
        <v>0</v>
      </c>
      <c r="Q13">
        <f>'6'!AQ43</f>
        <v>0</v>
      </c>
      <c r="R13">
        <f>'6'!AR43</f>
        <v>0</v>
      </c>
      <c r="S13">
        <f>'6'!AS43</f>
        <v>0</v>
      </c>
      <c r="T13">
        <f>'6'!AT43</f>
        <v>0</v>
      </c>
      <c r="U13">
        <f>'6'!AU43</f>
        <v>0</v>
      </c>
      <c r="V13">
        <f>'6'!AV43</f>
        <v>0</v>
      </c>
      <c r="W13">
        <f>'6'!AW43</f>
        <v>0</v>
      </c>
      <c r="X13">
        <f>'6'!AX43</f>
        <v>0</v>
      </c>
      <c r="Y13">
        <f>'6'!AY43</f>
        <v>0</v>
      </c>
      <c r="Z13">
        <f>'6'!AZ43</f>
        <v>0</v>
      </c>
      <c r="AA13">
        <f>'6'!BA43</f>
        <v>0</v>
      </c>
      <c r="AB13">
        <f>'6'!BB43</f>
        <v>0</v>
      </c>
      <c r="AC13">
        <f>'6'!BC43</f>
        <v>0</v>
      </c>
      <c r="AD13">
        <f>'6'!BD43</f>
        <v>0</v>
      </c>
      <c r="AE13">
        <f>'6'!BE43</f>
        <v>0</v>
      </c>
      <c r="AF13">
        <f>'6'!BF43</f>
        <v>0</v>
      </c>
      <c r="AG13">
        <f>'6'!BG43</f>
        <v>0</v>
      </c>
      <c r="AH13">
        <f>'6'!BH43</f>
        <v>0</v>
      </c>
      <c r="AI13">
        <f>'6'!BI43</f>
        <v>0</v>
      </c>
      <c r="AJ13">
        <f>'6'!BJ43</f>
        <v>0</v>
      </c>
      <c r="AK13">
        <f>'6'!BK43</f>
        <v>0</v>
      </c>
      <c r="AL13">
        <f>'6'!BL43</f>
        <v>0</v>
      </c>
      <c r="AM13">
        <f>'6'!BM43</f>
        <v>0</v>
      </c>
      <c r="AN13">
        <f>'6'!BN43</f>
        <v>0</v>
      </c>
      <c r="AO13">
        <f>'6'!BO43</f>
        <v>0</v>
      </c>
      <c r="AP13">
        <f>'6'!BP43</f>
        <v>0</v>
      </c>
      <c r="AQ13">
        <f>'6'!BQ43</f>
        <v>0</v>
      </c>
      <c r="AR13">
        <f>'6'!BR43</f>
        <v>0</v>
      </c>
      <c r="AS13">
        <f>'6'!BS43</f>
        <v>0</v>
      </c>
      <c r="AT13">
        <f>'6'!BT43</f>
        <v>0</v>
      </c>
      <c r="AU13">
        <f>'6'!BU43</f>
        <v>0</v>
      </c>
      <c r="AV13">
        <f>'6'!BV43</f>
        <v>0</v>
      </c>
      <c r="AW13">
        <f>'6'!BW43</f>
        <v>0</v>
      </c>
      <c r="AX13">
        <f>'6'!BX43</f>
        <v>0</v>
      </c>
      <c r="AY13">
        <f>'6'!BY43</f>
        <v>0</v>
      </c>
      <c r="AZ13">
        <f>'6'!BZ43</f>
        <v>0</v>
      </c>
      <c r="BA13">
        <f>'6'!CA43</f>
        <v>0</v>
      </c>
      <c r="BB13">
        <f>'6'!CB43</f>
        <v>0</v>
      </c>
      <c r="BC13">
        <f>'6'!CC43</f>
        <v>0</v>
      </c>
      <c r="BD13">
        <f>'6'!CD43</f>
        <v>0</v>
      </c>
      <c r="BE13">
        <f>'6'!CE43</f>
        <v>0</v>
      </c>
      <c r="BF13">
        <f>'6'!CF43</f>
        <v>0</v>
      </c>
      <c r="BG13">
        <f>'6'!CG43</f>
        <v>0</v>
      </c>
      <c r="BH13">
        <f>'6'!CH43</f>
        <v>0</v>
      </c>
      <c r="BI13">
        <f>'6'!CI43</f>
        <v>0</v>
      </c>
      <c r="BJ13">
        <f>'6'!CJ43</f>
        <v>0</v>
      </c>
      <c r="BK13">
        <f>'6'!CK43</f>
        <v>0</v>
      </c>
      <c r="BL13">
        <f>'6'!CL43</f>
        <v>0</v>
      </c>
      <c r="BM13">
        <f>'6'!CM43</f>
        <v>0</v>
      </c>
      <c r="BN13">
        <f>'6'!CN43</f>
        <v>0</v>
      </c>
      <c r="BO13">
        <f>'6'!CO43</f>
        <v>0</v>
      </c>
      <c r="BP13">
        <f>'6'!CP43</f>
        <v>0</v>
      </c>
      <c r="BQ13">
        <f>'6'!CQ43</f>
        <v>0</v>
      </c>
      <c r="BR13">
        <f>'6'!CR43</f>
        <v>0</v>
      </c>
      <c r="BS13">
        <f>'6'!CS43</f>
        <v>0</v>
      </c>
      <c r="BT13">
        <f>'6'!CT43</f>
        <v>0</v>
      </c>
      <c r="BU13">
        <f>'6'!CU43</f>
        <v>0</v>
      </c>
      <c r="BV13">
        <f>'6'!CV43</f>
        <v>0</v>
      </c>
      <c r="BW13">
        <f>'6'!CW43</f>
        <v>0</v>
      </c>
      <c r="BX13">
        <f>'6'!CX43</f>
        <v>0</v>
      </c>
      <c r="BY13">
        <f>'6'!CY43</f>
        <v>0</v>
      </c>
      <c r="BZ13">
        <f>'6'!CZ43</f>
        <v>0</v>
      </c>
      <c r="CA13">
        <f>'6'!DA43</f>
        <v>0</v>
      </c>
      <c r="CB13">
        <f>'6'!DB43</f>
        <v>0</v>
      </c>
      <c r="CC13">
        <f>'6'!DC43</f>
        <v>0</v>
      </c>
      <c r="CD13">
        <f>'6'!DD43</f>
        <v>0</v>
      </c>
      <c r="CE13">
        <f>'6'!DE43</f>
        <v>0</v>
      </c>
      <c r="CF13">
        <f>'6'!DF43</f>
        <v>0</v>
      </c>
      <c r="CG13">
        <f>'6'!DG43</f>
        <v>0</v>
      </c>
      <c r="CH13">
        <f>SUM('7'!AB81:AB85)</f>
        <v>0</v>
      </c>
      <c r="CI13">
        <f>SUM('7'!AC81:AC85)</f>
        <v>0</v>
      </c>
      <c r="CJ13">
        <f>SUM('7'!AD81:AD85)</f>
        <v>0</v>
      </c>
      <c r="CK13">
        <f>SUM('7'!AE81:AE85)</f>
        <v>0</v>
      </c>
      <c r="CL13">
        <f>SUM('7'!AF81:AF85)</f>
        <v>0</v>
      </c>
      <c r="CM13">
        <f>SUM('7'!AG81:AG85)</f>
        <v>0</v>
      </c>
      <c r="CN13">
        <f>SUM('7'!AH81:AH85)</f>
        <v>0</v>
      </c>
      <c r="CO13">
        <f>SUM('7'!AI81:AI85)</f>
        <v>0</v>
      </c>
      <c r="CP13">
        <f>SUM('7'!AJ81:AJ85)</f>
        <v>0</v>
      </c>
      <c r="CQ13">
        <f>SUM('7'!AK81:AK85)</f>
        <v>0</v>
      </c>
      <c r="CR13">
        <f>SUM('7'!AL81:AL85)</f>
        <v>0</v>
      </c>
      <c r="CS13">
        <f>SUM('7'!AM81:AM85)</f>
        <v>0</v>
      </c>
      <c r="CT13">
        <f>SUM('7'!AN81:AN85)</f>
        <v>0</v>
      </c>
      <c r="CU13">
        <f>SUM('7'!AO81:AO85)</f>
        <v>0</v>
      </c>
      <c r="CV13">
        <f>SUM('7'!AP81:AP85)</f>
        <v>0</v>
      </c>
      <c r="CW13">
        <f>SUM('7'!AQ81:AQ85)</f>
        <v>0</v>
      </c>
      <c r="CX13">
        <f>SUM('7'!AR81:AR85)</f>
        <v>0</v>
      </c>
      <c r="CY13">
        <f>SUM('7'!AS81:AS85)</f>
        <v>0</v>
      </c>
      <c r="CZ13">
        <f>SUM('7'!AT81:AT85)</f>
        <v>0</v>
      </c>
      <c r="DA13">
        <f>SUM('7'!AU81:AU85)</f>
        <v>0</v>
      </c>
      <c r="DB13">
        <f>SUM('7'!AV81:AV85)</f>
        <v>0</v>
      </c>
      <c r="DC13">
        <f>SUM('7'!AW81:AW85)</f>
        <v>0</v>
      </c>
      <c r="DD13">
        <f>SUM('7'!AX81:AX85)</f>
        <v>0</v>
      </c>
      <c r="DE13">
        <f>SUM('7'!AY81:AY85)</f>
        <v>0</v>
      </c>
      <c r="DF13">
        <f>SUM('7'!AZ81:AZ85)</f>
        <v>0</v>
      </c>
      <c r="DG13">
        <f>SUM('7'!BA81:BA85)</f>
        <v>0</v>
      </c>
      <c r="DH13">
        <f>SUM('7'!BB81:BB85)</f>
        <v>0</v>
      </c>
      <c r="DI13">
        <f>SUM('7'!BC81:BC85)</f>
        <v>0</v>
      </c>
      <c r="DJ13">
        <f>SUM('7'!BD81:BD85)</f>
        <v>0</v>
      </c>
      <c r="DK13">
        <f>SUM('7'!BE81:BE85)</f>
        <v>0</v>
      </c>
      <c r="DL13">
        <f>SUM('7'!BF81:BF85)</f>
        <v>0</v>
      </c>
      <c r="DM13">
        <f>SUM('7'!BG81:BG85)</f>
        <v>0</v>
      </c>
      <c r="DN13">
        <f>SUM('7'!BH81:BH85)</f>
        <v>0</v>
      </c>
      <c r="DO13">
        <f>SUM('7'!BI81:BI85)</f>
        <v>0</v>
      </c>
      <c r="DP13">
        <f>SUM('7'!BJ81:BJ85)</f>
        <v>0</v>
      </c>
      <c r="DQ13">
        <f>SUM('7'!BK81:BK85)</f>
        <v>0</v>
      </c>
      <c r="DR13">
        <f>SUM('7'!BL81:BL85)</f>
        <v>0</v>
      </c>
      <c r="DS13">
        <f>SUM('7'!BM81:BM85)</f>
        <v>0</v>
      </c>
      <c r="DT13">
        <f>SUM('7'!BN81:BN85)</f>
        <v>0</v>
      </c>
      <c r="DU13">
        <f>SUM('7'!BO81:BO85)</f>
        <v>0</v>
      </c>
      <c r="DV13">
        <f>SUM('7'!BP81:BP85)</f>
        <v>0</v>
      </c>
      <c r="DW13">
        <f>SUM('7'!BQ81:BQ85)</f>
        <v>0</v>
      </c>
      <c r="DX13">
        <f>SUM('7'!BR81:BR85)</f>
        <v>0</v>
      </c>
      <c r="DY13">
        <f>SUM('7'!BS81:BS85)</f>
        <v>0</v>
      </c>
      <c r="DZ13">
        <f>SUM('7'!BT81:BT85)</f>
        <v>0</v>
      </c>
      <c r="EA13">
        <f>SUM('7'!BU81:BU85)</f>
        <v>0</v>
      </c>
      <c r="EB13">
        <f>SUM('7'!BV81:BV85)</f>
        <v>0</v>
      </c>
      <c r="EC13">
        <f>SUM('7'!BW81:BW85)</f>
        <v>0</v>
      </c>
      <c r="ED13">
        <f>SUM('7'!BX81:BX85)</f>
        <v>0</v>
      </c>
      <c r="EE13">
        <f>SUM('7'!BY81:BY85)</f>
        <v>0</v>
      </c>
      <c r="EF13">
        <f>SUM('7'!BZ81:BZ85)</f>
        <v>0</v>
      </c>
      <c r="EG13">
        <f>SUM('7'!CA81:CA85)</f>
        <v>0</v>
      </c>
      <c r="EH13">
        <f>SUM('7'!CB81:CB85)</f>
        <v>0</v>
      </c>
      <c r="EI13">
        <f>SUM('7'!CC81:CC85)</f>
        <v>0</v>
      </c>
      <c r="EJ13">
        <f>SUM('7'!CD81:CD85)</f>
        <v>0</v>
      </c>
      <c r="EK13">
        <f>SUM('7'!CE81:CE85)</f>
        <v>0</v>
      </c>
      <c r="EL13">
        <f>SUM('7'!CF81:CF85)</f>
        <v>0</v>
      </c>
      <c r="EM13">
        <f>SUM('7'!CG81:CG85)</f>
        <v>0</v>
      </c>
      <c r="EN13">
        <f>SUM('7'!CH81:CH85)</f>
        <v>0</v>
      </c>
      <c r="EO13">
        <f>SUM('7'!CI81:CI85)</f>
        <v>0</v>
      </c>
      <c r="EP13">
        <f>SUM('7'!CJ81:CJ85)</f>
        <v>0</v>
      </c>
      <c r="EQ13">
        <f>SUM('7'!CK81:CK85)</f>
        <v>0</v>
      </c>
      <c r="ER13">
        <f>SUM('7'!CL81:CL85)</f>
        <v>0</v>
      </c>
      <c r="ES13">
        <f>SUM('7'!CM81:CM85)</f>
        <v>0</v>
      </c>
      <c r="ET13">
        <f>SUM('7'!CN81:CN85)</f>
        <v>0</v>
      </c>
      <c r="EU13">
        <f>SUM('7'!CO81:CO85)</f>
        <v>0</v>
      </c>
      <c r="EV13">
        <f>SUM('7'!CP81:CP85)</f>
        <v>0</v>
      </c>
      <c r="EW13">
        <f>SUM('7'!CQ81:CQ85)</f>
        <v>0</v>
      </c>
      <c r="EX13">
        <f>SUM('7'!CR81:CR85)</f>
        <v>0</v>
      </c>
      <c r="EY13">
        <f>SUM('7'!CS81:CS85)</f>
        <v>0</v>
      </c>
      <c r="EZ13">
        <f>SUM('7'!CT81:CT85)</f>
        <v>0</v>
      </c>
      <c r="FA13">
        <f>SUM('7'!CU81:CU85)</f>
        <v>0</v>
      </c>
      <c r="FB13">
        <f>SUM('7'!CV81:CV85)</f>
        <v>0</v>
      </c>
      <c r="FC13">
        <f>SUM('7'!CW81:CW85)</f>
        <v>0</v>
      </c>
      <c r="FD13">
        <f>SUM('7'!CX81:CX85)</f>
        <v>0</v>
      </c>
      <c r="FE13">
        <f>SUM('7'!CY81:CY85)</f>
        <v>0</v>
      </c>
      <c r="FF13">
        <f>SUM('7'!CZ81:CZ85)</f>
        <v>0</v>
      </c>
      <c r="FG13">
        <f>SUM('7'!DA81:DA85)</f>
        <v>0</v>
      </c>
      <c r="FH13">
        <f>SUM('7'!DB81:DB85)</f>
        <v>0</v>
      </c>
      <c r="FI13">
        <f>SUM('7'!DC81:DC85)</f>
        <v>0</v>
      </c>
      <c r="FJ13">
        <f>SUM('7'!DD81:DD85)</f>
        <v>0</v>
      </c>
      <c r="FK13">
        <f>SUM('7'!DE81:DE85)</f>
        <v>0</v>
      </c>
      <c r="FL13">
        <f>SUM('7'!DF81:DF85)</f>
        <v>0</v>
      </c>
      <c r="FM13">
        <f>SUM('7'!DG81:DG85)</f>
        <v>0</v>
      </c>
      <c r="FN13" t="s">
        <v>1543</v>
      </c>
      <c r="FO13">
        <f t="shared" si="94"/>
        <v>0</v>
      </c>
      <c r="FP13" t="s">
        <v>1544</v>
      </c>
      <c r="FQ13">
        <f t="shared" si="0"/>
        <v>0</v>
      </c>
      <c r="FR13" t="s">
        <v>1545</v>
      </c>
      <c r="FS13">
        <f t="shared" si="1"/>
        <v>0</v>
      </c>
      <c r="FT13" t="s">
        <v>1546</v>
      </c>
      <c r="FU13">
        <f t="shared" si="2"/>
        <v>0</v>
      </c>
      <c r="FV13" t="s">
        <v>1547</v>
      </c>
      <c r="FW13">
        <f t="shared" si="3"/>
        <v>0</v>
      </c>
      <c r="FX13" t="s">
        <v>1548</v>
      </c>
      <c r="FY13">
        <f t="shared" si="4"/>
        <v>0</v>
      </c>
      <c r="FZ13" t="s">
        <v>1549</v>
      </c>
      <c r="GA13">
        <f t="shared" si="5"/>
        <v>0</v>
      </c>
      <c r="GB13" t="s">
        <v>1550</v>
      </c>
      <c r="GC13">
        <f t="shared" si="6"/>
        <v>0</v>
      </c>
      <c r="GD13" t="s">
        <v>1551</v>
      </c>
      <c r="GE13">
        <f t="shared" si="7"/>
        <v>0</v>
      </c>
      <c r="GF13" t="s">
        <v>1552</v>
      </c>
      <c r="GG13">
        <f t="shared" si="8"/>
        <v>0</v>
      </c>
      <c r="GH13" t="s">
        <v>1553</v>
      </c>
      <c r="GI13">
        <f t="shared" si="9"/>
        <v>0</v>
      </c>
      <c r="GJ13" t="s">
        <v>1554</v>
      </c>
      <c r="GK13">
        <f t="shared" si="10"/>
        <v>0</v>
      </c>
      <c r="GL13" t="s">
        <v>1555</v>
      </c>
      <c r="GM13">
        <f t="shared" si="11"/>
        <v>0</v>
      </c>
      <c r="GN13" t="s">
        <v>1556</v>
      </c>
      <c r="GO13">
        <f t="shared" si="95"/>
        <v>0</v>
      </c>
      <c r="GP13" t="s">
        <v>1557</v>
      </c>
      <c r="GQ13">
        <f t="shared" si="12"/>
        <v>0</v>
      </c>
      <c r="GR13" t="s">
        <v>1558</v>
      </c>
      <c r="GS13">
        <f t="shared" si="13"/>
        <v>0</v>
      </c>
      <c r="GT13" t="s">
        <v>1559</v>
      </c>
      <c r="GU13">
        <f t="shared" si="14"/>
        <v>0</v>
      </c>
      <c r="GV13" t="s">
        <v>1560</v>
      </c>
      <c r="GW13">
        <f t="shared" si="15"/>
        <v>0</v>
      </c>
      <c r="GX13" t="s">
        <v>1561</v>
      </c>
      <c r="GY13">
        <f t="shared" si="16"/>
        <v>0</v>
      </c>
      <c r="GZ13" t="s">
        <v>1562</v>
      </c>
      <c r="HA13">
        <f t="shared" si="17"/>
        <v>0</v>
      </c>
      <c r="HB13" t="s">
        <v>1563</v>
      </c>
      <c r="HC13">
        <f t="shared" si="18"/>
        <v>0</v>
      </c>
      <c r="HD13" t="s">
        <v>1564</v>
      </c>
      <c r="HE13">
        <f t="shared" si="19"/>
        <v>0</v>
      </c>
      <c r="HF13" t="s">
        <v>1565</v>
      </c>
      <c r="HG13">
        <f t="shared" si="20"/>
        <v>0</v>
      </c>
      <c r="HH13" t="s">
        <v>1566</v>
      </c>
      <c r="HI13">
        <f t="shared" si="21"/>
        <v>0</v>
      </c>
      <c r="HJ13" t="s">
        <v>1567</v>
      </c>
      <c r="HK13">
        <f t="shared" si="22"/>
        <v>0</v>
      </c>
      <c r="HL13" t="s">
        <v>1568</v>
      </c>
      <c r="HM13">
        <f t="shared" si="23"/>
        <v>0</v>
      </c>
      <c r="HN13" t="s">
        <v>1569</v>
      </c>
      <c r="HO13">
        <f t="shared" si="24"/>
        <v>0</v>
      </c>
      <c r="HP13" t="s">
        <v>1570</v>
      </c>
      <c r="HQ13">
        <f t="shared" si="25"/>
        <v>0</v>
      </c>
      <c r="HR13" t="s">
        <v>1571</v>
      </c>
      <c r="HS13">
        <f t="shared" si="26"/>
        <v>0</v>
      </c>
      <c r="HT13" t="s">
        <v>1572</v>
      </c>
      <c r="HU13">
        <f t="shared" si="27"/>
        <v>0</v>
      </c>
      <c r="HV13" t="s">
        <v>1573</v>
      </c>
      <c r="HW13">
        <f t="shared" si="28"/>
        <v>0</v>
      </c>
      <c r="HX13" t="s">
        <v>1574</v>
      </c>
      <c r="HY13">
        <f t="shared" si="29"/>
        <v>0</v>
      </c>
      <c r="HZ13" t="s">
        <v>1575</v>
      </c>
      <c r="IA13">
        <f t="shared" si="30"/>
        <v>0</v>
      </c>
      <c r="IB13" t="s">
        <v>1576</v>
      </c>
      <c r="IC13">
        <f t="shared" si="31"/>
        <v>0</v>
      </c>
      <c r="ID13" t="s">
        <v>1577</v>
      </c>
      <c r="IE13">
        <f t="shared" si="32"/>
        <v>0</v>
      </c>
      <c r="IF13" t="s">
        <v>1578</v>
      </c>
      <c r="IG13">
        <f t="shared" si="33"/>
        <v>0</v>
      </c>
      <c r="IH13" t="s">
        <v>1579</v>
      </c>
      <c r="II13">
        <f t="shared" si="34"/>
        <v>0</v>
      </c>
      <c r="IJ13" t="s">
        <v>1580</v>
      </c>
      <c r="IK13">
        <f t="shared" si="35"/>
        <v>0</v>
      </c>
      <c r="IL13" t="s">
        <v>1581</v>
      </c>
      <c r="IM13">
        <f t="shared" si="36"/>
        <v>0</v>
      </c>
      <c r="IN13" t="s">
        <v>1582</v>
      </c>
      <c r="IO13">
        <f t="shared" si="37"/>
        <v>0</v>
      </c>
      <c r="IP13" t="s">
        <v>1583</v>
      </c>
      <c r="IQ13">
        <f t="shared" si="38"/>
        <v>0</v>
      </c>
      <c r="IR13" t="s">
        <v>1584</v>
      </c>
      <c r="IS13">
        <f t="shared" si="39"/>
        <v>0</v>
      </c>
      <c r="IT13" t="s">
        <v>1585</v>
      </c>
      <c r="IU13">
        <f t="shared" si="40"/>
        <v>0</v>
      </c>
      <c r="IV13" t="s">
        <v>1586</v>
      </c>
      <c r="IW13">
        <f t="shared" si="41"/>
        <v>0</v>
      </c>
      <c r="IX13" t="s">
        <v>1587</v>
      </c>
      <c r="IY13">
        <f t="shared" si="42"/>
        <v>0</v>
      </c>
      <c r="IZ13" t="s">
        <v>1588</v>
      </c>
      <c r="JA13">
        <f t="shared" si="43"/>
        <v>0</v>
      </c>
      <c r="JB13" t="s">
        <v>1589</v>
      </c>
      <c r="JC13">
        <f t="shared" si="44"/>
        <v>0</v>
      </c>
      <c r="JD13" t="s">
        <v>1590</v>
      </c>
      <c r="JE13">
        <f t="shared" si="45"/>
        <v>0</v>
      </c>
      <c r="JF13" t="s">
        <v>1591</v>
      </c>
      <c r="JG13">
        <f t="shared" si="46"/>
        <v>0</v>
      </c>
      <c r="JH13" t="s">
        <v>1592</v>
      </c>
      <c r="JI13">
        <f t="shared" si="47"/>
        <v>0</v>
      </c>
      <c r="JJ13" t="s">
        <v>1593</v>
      </c>
      <c r="JK13">
        <f t="shared" si="48"/>
        <v>0</v>
      </c>
      <c r="JL13" t="s">
        <v>1594</v>
      </c>
      <c r="JM13">
        <f t="shared" si="49"/>
        <v>0</v>
      </c>
      <c r="JN13" t="s">
        <v>1595</v>
      </c>
      <c r="JO13">
        <f t="shared" si="50"/>
        <v>0</v>
      </c>
      <c r="JP13" t="s">
        <v>1596</v>
      </c>
      <c r="JQ13">
        <f t="shared" si="51"/>
        <v>0</v>
      </c>
      <c r="JR13" t="s">
        <v>1597</v>
      </c>
      <c r="JS13">
        <f t="shared" si="52"/>
        <v>0</v>
      </c>
      <c r="JT13" t="s">
        <v>1598</v>
      </c>
      <c r="JU13">
        <f t="shared" si="53"/>
        <v>0</v>
      </c>
      <c r="JV13" t="s">
        <v>1599</v>
      </c>
      <c r="JW13">
        <f t="shared" si="54"/>
        <v>0</v>
      </c>
      <c r="JX13" t="s">
        <v>1600</v>
      </c>
      <c r="JY13">
        <f t="shared" si="55"/>
        <v>0</v>
      </c>
      <c r="JZ13" t="s">
        <v>1601</v>
      </c>
      <c r="KA13">
        <f t="shared" si="56"/>
        <v>0</v>
      </c>
      <c r="KB13" t="s">
        <v>1602</v>
      </c>
      <c r="KC13">
        <f t="shared" si="57"/>
        <v>0</v>
      </c>
      <c r="KD13" t="s">
        <v>1603</v>
      </c>
      <c r="KE13">
        <f t="shared" si="58"/>
        <v>0</v>
      </c>
      <c r="KF13" t="s">
        <v>1604</v>
      </c>
      <c r="KG13">
        <f t="shared" si="59"/>
        <v>0</v>
      </c>
      <c r="KH13" t="s">
        <v>1605</v>
      </c>
      <c r="KI13">
        <f t="shared" si="60"/>
        <v>0</v>
      </c>
      <c r="KJ13" t="s">
        <v>1606</v>
      </c>
      <c r="KK13">
        <f t="shared" si="61"/>
        <v>0</v>
      </c>
      <c r="KL13" t="s">
        <v>1607</v>
      </c>
      <c r="KM13">
        <f t="shared" si="62"/>
        <v>0</v>
      </c>
      <c r="KN13" t="s">
        <v>1608</v>
      </c>
      <c r="KO13">
        <f t="shared" si="63"/>
        <v>0</v>
      </c>
      <c r="KP13" t="s">
        <v>1609</v>
      </c>
      <c r="KQ13">
        <f t="shared" si="64"/>
        <v>0</v>
      </c>
      <c r="KR13" t="s">
        <v>1610</v>
      </c>
      <c r="KS13">
        <f t="shared" si="65"/>
        <v>0</v>
      </c>
      <c r="KT13" t="s">
        <v>1611</v>
      </c>
      <c r="KU13">
        <f t="shared" si="66"/>
        <v>0</v>
      </c>
      <c r="KV13" t="s">
        <v>1612</v>
      </c>
      <c r="KW13">
        <f t="shared" si="67"/>
        <v>0</v>
      </c>
      <c r="KX13" t="s">
        <v>1613</v>
      </c>
      <c r="KY13">
        <f t="shared" si="68"/>
        <v>0</v>
      </c>
      <c r="KZ13" t="s">
        <v>1614</v>
      </c>
      <c r="LA13">
        <f t="shared" si="69"/>
        <v>0</v>
      </c>
      <c r="LB13" t="s">
        <v>1615</v>
      </c>
      <c r="LC13">
        <f t="shared" si="70"/>
        <v>0</v>
      </c>
      <c r="LD13" t="s">
        <v>1616</v>
      </c>
      <c r="LE13">
        <f t="shared" si="71"/>
        <v>0</v>
      </c>
      <c r="LF13" t="s">
        <v>1617</v>
      </c>
      <c r="LG13">
        <f t="shared" si="72"/>
        <v>0</v>
      </c>
      <c r="LH13" t="s">
        <v>1618</v>
      </c>
      <c r="LI13">
        <f t="shared" si="73"/>
        <v>0</v>
      </c>
      <c r="LJ13" t="s">
        <v>1619</v>
      </c>
      <c r="LK13">
        <f t="shared" si="74"/>
        <v>0</v>
      </c>
      <c r="LL13" t="s">
        <v>1620</v>
      </c>
      <c r="LM13">
        <f t="shared" si="75"/>
        <v>0</v>
      </c>
      <c r="LN13" t="s">
        <v>1621</v>
      </c>
      <c r="LO13">
        <f t="shared" si="76"/>
        <v>0</v>
      </c>
      <c r="LP13" t="s">
        <v>1622</v>
      </c>
      <c r="LQ13">
        <f t="shared" si="77"/>
        <v>0</v>
      </c>
      <c r="LR13" t="s">
        <v>1623</v>
      </c>
      <c r="LS13">
        <f t="shared" si="78"/>
        <v>0</v>
      </c>
      <c r="LT13" t="s">
        <v>1624</v>
      </c>
      <c r="LU13">
        <f t="shared" si="79"/>
        <v>0</v>
      </c>
      <c r="LV13" t="s">
        <v>1625</v>
      </c>
      <c r="LW13">
        <f t="shared" si="80"/>
        <v>0</v>
      </c>
      <c r="LX13" t="s">
        <v>1626</v>
      </c>
      <c r="LY13">
        <f t="shared" si="81"/>
        <v>0</v>
      </c>
      <c r="LZ13">
        <f>'6'!B44</f>
        <v>0</v>
      </c>
      <c r="MA13">
        <f>'6'!C44</f>
        <v>0</v>
      </c>
      <c r="MB13">
        <f>'6'!D44</f>
        <v>0</v>
      </c>
      <c r="MC13">
        <f>'6'!E44</f>
        <v>0</v>
      </c>
      <c r="MD13">
        <f>'6'!F44</f>
        <v>0</v>
      </c>
      <c r="ME13">
        <f>'6'!G44</f>
        <v>0</v>
      </c>
      <c r="MF13">
        <f>'6'!H44</f>
        <v>0</v>
      </c>
      <c r="MG13">
        <f>'6'!I44</f>
        <v>0</v>
      </c>
      <c r="MH13">
        <f>'6'!J44</f>
        <v>0</v>
      </c>
      <c r="MI13">
        <f>'6'!K44</f>
        <v>0</v>
      </c>
      <c r="MJ13">
        <f>'6'!L44</f>
        <v>0</v>
      </c>
      <c r="MK13">
        <f>'6'!M44</f>
        <v>0</v>
      </c>
      <c r="ML13" s="13">
        <f>'7'!B79</f>
        <v>0</v>
      </c>
      <c r="MM13" s="13">
        <f>'7'!C79</f>
        <v>0</v>
      </c>
      <c r="MN13" s="13">
        <f>'7'!D79</f>
        <v>0</v>
      </c>
      <c r="MO13" s="13">
        <f>'7'!E79</f>
        <v>0</v>
      </c>
      <c r="MP13" s="13">
        <f>'7'!F79</f>
        <v>0</v>
      </c>
      <c r="MQ13" s="13">
        <f>'7'!G79</f>
        <v>0</v>
      </c>
      <c r="MR13" s="13">
        <f>'7'!H79</f>
        <v>0</v>
      </c>
      <c r="MS13" s="13">
        <f>'7'!I79</f>
        <v>0</v>
      </c>
      <c r="MT13" s="13">
        <f>'7'!J79</f>
        <v>0</v>
      </c>
      <c r="MU13" s="13">
        <f>'7'!K79</f>
        <v>0</v>
      </c>
      <c r="MV13" s="13">
        <f>'7'!L79</f>
        <v>0</v>
      </c>
      <c r="MW13" s="13">
        <f>'7'!M79</f>
        <v>0</v>
      </c>
      <c r="MX13" s="13" t="s">
        <v>1627</v>
      </c>
      <c r="MY13">
        <f t="shared" si="82"/>
        <v>0</v>
      </c>
      <c r="MZ13" s="13" t="s">
        <v>1628</v>
      </c>
      <c r="NA13">
        <f t="shared" si="83"/>
        <v>0</v>
      </c>
      <c r="NB13" s="13" t="s">
        <v>1629</v>
      </c>
      <c r="NC13">
        <f t="shared" si="84"/>
        <v>0</v>
      </c>
      <c r="ND13" s="13" t="s">
        <v>1630</v>
      </c>
      <c r="NE13">
        <f t="shared" si="85"/>
        <v>0</v>
      </c>
      <c r="NF13" s="13" t="s">
        <v>1631</v>
      </c>
      <c r="NG13">
        <f t="shared" si="86"/>
        <v>0</v>
      </c>
      <c r="NH13" s="13" t="s">
        <v>1632</v>
      </c>
      <c r="NI13">
        <f t="shared" si="87"/>
        <v>0</v>
      </c>
      <c r="NJ13" s="13" t="s">
        <v>1633</v>
      </c>
      <c r="NK13">
        <f t="shared" si="88"/>
        <v>0</v>
      </c>
      <c r="NL13" s="13" t="s">
        <v>1634</v>
      </c>
      <c r="NM13">
        <f t="shared" si="89"/>
        <v>0</v>
      </c>
      <c r="NN13" s="13" t="s">
        <v>1635</v>
      </c>
      <c r="NO13">
        <f t="shared" si="90"/>
        <v>0</v>
      </c>
      <c r="NP13" s="13" t="s">
        <v>1636</v>
      </c>
      <c r="NQ13">
        <f t="shared" si="91"/>
        <v>0</v>
      </c>
      <c r="NR13" s="13" t="s">
        <v>1637</v>
      </c>
      <c r="NS13">
        <f t="shared" si="92"/>
        <v>0</v>
      </c>
      <c r="NT13" s="13" t="s">
        <v>1638</v>
      </c>
      <c r="NU13">
        <f t="shared" si="93"/>
        <v>0</v>
      </c>
      <c r="NV13" s="13"/>
    </row>
    <row r="14" spans="1:386" customFormat="1" x14ac:dyDescent="0.25">
      <c r="A14">
        <v>11</v>
      </c>
      <c r="B14">
        <f>'6'!AB47</f>
        <v>0</v>
      </c>
      <c r="C14">
        <f>'6'!AC47</f>
        <v>0</v>
      </c>
      <c r="D14">
        <f>'6'!AD47</f>
        <v>0</v>
      </c>
      <c r="E14">
        <f>'6'!AE47</f>
        <v>0</v>
      </c>
      <c r="F14">
        <f>'6'!AF47</f>
        <v>0</v>
      </c>
      <c r="G14">
        <f>'6'!AG47</f>
        <v>0</v>
      </c>
      <c r="H14">
        <f>'6'!AH47</f>
        <v>0</v>
      </c>
      <c r="I14">
        <f>'6'!AI47</f>
        <v>0</v>
      </c>
      <c r="J14">
        <f>'6'!AJ47</f>
        <v>0</v>
      </c>
      <c r="K14">
        <f>'6'!AK47</f>
        <v>0</v>
      </c>
      <c r="L14">
        <f>'6'!AL47</f>
        <v>0</v>
      </c>
      <c r="M14">
        <f>'6'!AM47</f>
        <v>0</v>
      </c>
      <c r="N14">
        <f>'6'!AN47</f>
        <v>0</v>
      </c>
      <c r="O14">
        <f>'6'!AO47</f>
        <v>0</v>
      </c>
      <c r="P14">
        <f>'6'!AP47</f>
        <v>0</v>
      </c>
      <c r="Q14">
        <f>'6'!AQ47</f>
        <v>0</v>
      </c>
      <c r="R14">
        <f>'6'!AR47</f>
        <v>0</v>
      </c>
      <c r="S14">
        <f>'6'!AS47</f>
        <v>0</v>
      </c>
      <c r="T14">
        <f>'6'!AT47</f>
        <v>0</v>
      </c>
      <c r="U14">
        <f>'6'!AU47</f>
        <v>0</v>
      </c>
      <c r="V14">
        <f>'6'!AV47</f>
        <v>0</v>
      </c>
      <c r="W14">
        <f>'6'!AW47</f>
        <v>0</v>
      </c>
      <c r="X14">
        <f>'6'!AX47</f>
        <v>0</v>
      </c>
      <c r="Y14">
        <f>'6'!AY47</f>
        <v>0</v>
      </c>
      <c r="Z14">
        <f>'6'!AZ47</f>
        <v>0</v>
      </c>
      <c r="AA14">
        <f>'6'!BA47</f>
        <v>0</v>
      </c>
      <c r="AB14">
        <f>'6'!BB47</f>
        <v>0</v>
      </c>
      <c r="AC14">
        <f>'6'!BC47</f>
        <v>0</v>
      </c>
      <c r="AD14">
        <f>'6'!BD47</f>
        <v>0</v>
      </c>
      <c r="AE14">
        <f>'6'!BE47</f>
        <v>0</v>
      </c>
      <c r="AF14">
        <f>'6'!BF47</f>
        <v>0</v>
      </c>
      <c r="AG14">
        <f>'6'!BG47</f>
        <v>0</v>
      </c>
      <c r="AH14">
        <f>'6'!BH47</f>
        <v>0</v>
      </c>
      <c r="AI14">
        <f>'6'!BI47</f>
        <v>0</v>
      </c>
      <c r="AJ14">
        <f>'6'!BJ47</f>
        <v>0</v>
      </c>
      <c r="AK14">
        <f>'6'!BK47</f>
        <v>0</v>
      </c>
      <c r="AL14">
        <f>'6'!BL47</f>
        <v>0</v>
      </c>
      <c r="AM14">
        <f>'6'!BM47</f>
        <v>0</v>
      </c>
      <c r="AN14">
        <f>'6'!BN47</f>
        <v>0</v>
      </c>
      <c r="AO14">
        <f>'6'!BO47</f>
        <v>0</v>
      </c>
      <c r="AP14">
        <f>'6'!BP47</f>
        <v>0</v>
      </c>
      <c r="AQ14">
        <f>'6'!BQ47</f>
        <v>0</v>
      </c>
      <c r="AR14">
        <f>'6'!BR47</f>
        <v>0</v>
      </c>
      <c r="AS14">
        <f>'6'!BS47</f>
        <v>0</v>
      </c>
      <c r="AT14">
        <f>'6'!BT47</f>
        <v>0</v>
      </c>
      <c r="AU14">
        <f>'6'!BU47</f>
        <v>0</v>
      </c>
      <c r="AV14">
        <f>'6'!BV47</f>
        <v>0</v>
      </c>
      <c r="AW14">
        <f>'6'!BW47</f>
        <v>0</v>
      </c>
      <c r="AX14">
        <f>'6'!BX47</f>
        <v>0</v>
      </c>
      <c r="AY14">
        <f>'6'!BY47</f>
        <v>0</v>
      </c>
      <c r="AZ14">
        <f>'6'!BZ47</f>
        <v>0</v>
      </c>
      <c r="BA14">
        <f>'6'!CA47</f>
        <v>0</v>
      </c>
      <c r="BB14">
        <f>'6'!CB47</f>
        <v>0</v>
      </c>
      <c r="BC14">
        <f>'6'!CC47</f>
        <v>0</v>
      </c>
      <c r="BD14">
        <f>'6'!CD47</f>
        <v>0</v>
      </c>
      <c r="BE14">
        <f>'6'!CE47</f>
        <v>0</v>
      </c>
      <c r="BF14">
        <f>'6'!CF47</f>
        <v>0</v>
      </c>
      <c r="BG14">
        <f>'6'!CG47</f>
        <v>0</v>
      </c>
      <c r="BH14">
        <f>'6'!CH47</f>
        <v>0</v>
      </c>
      <c r="BI14">
        <f>'6'!CI47</f>
        <v>0</v>
      </c>
      <c r="BJ14">
        <f>'6'!CJ47</f>
        <v>0</v>
      </c>
      <c r="BK14">
        <f>'6'!CK47</f>
        <v>0</v>
      </c>
      <c r="BL14">
        <f>'6'!CL47</f>
        <v>0</v>
      </c>
      <c r="BM14">
        <f>'6'!CM47</f>
        <v>0</v>
      </c>
      <c r="BN14">
        <f>'6'!CN47</f>
        <v>0</v>
      </c>
      <c r="BO14">
        <f>'6'!CO47</f>
        <v>0</v>
      </c>
      <c r="BP14">
        <f>'6'!CP47</f>
        <v>0</v>
      </c>
      <c r="BQ14">
        <f>'6'!CQ47</f>
        <v>0</v>
      </c>
      <c r="BR14">
        <f>'6'!CR47</f>
        <v>0</v>
      </c>
      <c r="BS14">
        <f>'6'!CS47</f>
        <v>0</v>
      </c>
      <c r="BT14">
        <f>'6'!CT47</f>
        <v>0</v>
      </c>
      <c r="BU14">
        <f>'6'!CU47</f>
        <v>0</v>
      </c>
      <c r="BV14">
        <f>'6'!CV47</f>
        <v>0</v>
      </c>
      <c r="BW14">
        <f>'6'!CW47</f>
        <v>0</v>
      </c>
      <c r="BX14">
        <f>'6'!CX47</f>
        <v>0</v>
      </c>
      <c r="BY14">
        <f>'6'!CY47</f>
        <v>0</v>
      </c>
      <c r="BZ14">
        <f>'6'!CZ47</f>
        <v>0</v>
      </c>
      <c r="CA14">
        <f>'6'!DA47</f>
        <v>0</v>
      </c>
      <c r="CB14">
        <f>'6'!DB47</f>
        <v>0</v>
      </c>
      <c r="CC14">
        <f>'6'!DC47</f>
        <v>0</v>
      </c>
      <c r="CD14">
        <f>'6'!DD47</f>
        <v>0</v>
      </c>
      <c r="CE14">
        <f>'6'!DE47</f>
        <v>0</v>
      </c>
      <c r="CF14">
        <f>'6'!DF47</f>
        <v>0</v>
      </c>
      <c r="CG14">
        <f>'6'!DG47</f>
        <v>0</v>
      </c>
      <c r="CH14">
        <f>SUM('7'!AB89:AB93)</f>
        <v>0</v>
      </c>
      <c r="CI14">
        <f>SUM('7'!AC89:AC93)</f>
        <v>0</v>
      </c>
      <c r="CJ14">
        <f>SUM('7'!AD89:AD93)</f>
        <v>0</v>
      </c>
      <c r="CK14">
        <f>SUM('7'!AE89:AE93)</f>
        <v>0</v>
      </c>
      <c r="CL14">
        <f>SUM('7'!AF89:AF93)</f>
        <v>0</v>
      </c>
      <c r="CM14">
        <f>SUM('7'!AG89:AG93)</f>
        <v>0</v>
      </c>
      <c r="CN14">
        <f>SUM('7'!AH89:AH93)</f>
        <v>0</v>
      </c>
      <c r="CO14">
        <f>SUM('7'!AI89:AI93)</f>
        <v>0</v>
      </c>
      <c r="CP14">
        <f>SUM('7'!AJ89:AJ93)</f>
        <v>0</v>
      </c>
      <c r="CQ14">
        <f>SUM('7'!AK89:AK93)</f>
        <v>0</v>
      </c>
      <c r="CR14">
        <f>SUM('7'!AL89:AL93)</f>
        <v>0</v>
      </c>
      <c r="CS14">
        <f>SUM('7'!AM89:AM93)</f>
        <v>0</v>
      </c>
      <c r="CT14">
        <f>SUM('7'!AN89:AN93)</f>
        <v>0</v>
      </c>
      <c r="CU14">
        <f>SUM('7'!AO89:AO93)</f>
        <v>0</v>
      </c>
      <c r="CV14">
        <f>SUM('7'!AP89:AP93)</f>
        <v>0</v>
      </c>
      <c r="CW14">
        <f>SUM('7'!AQ89:AQ93)</f>
        <v>0</v>
      </c>
      <c r="CX14">
        <f>SUM('7'!AR89:AR93)</f>
        <v>0</v>
      </c>
      <c r="CY14">
        <f>SUM('7'!AS89:AS93)</f>
        <v>0</v>
      </c>
      <c r="CZ14">
        <f>SUM('7'!AT89:AT93)</f>
        <v>0</v>
      </c>
      <c r="DA14">
        <f>SUM('7'!AU89:AU93)</f>
        <v>0</v>
      </c>
      <c r="DB14">
        <f>SUM('7'!AV89:AV93)</f>
        <v>0</v>
      </c>
      <c r="DC14">
        <f>SUM('7'!AW89:AW93)</f>
        <v>0</v>
      </c>
      <c r="DD14">
        <f>SUM('7'!AX89:AX93)</f>
        <v>0</v>
      </c>
      <c r="DE14">
        <f>SUM('7'!AY89:AY93)</f>
        <v>0</v>
      </c>
      <c r="DF14">
        <f>SUM('7'!AZ89:AZ93)</f>
        <v>0</v>
      </c>
      <c r="DG14">
        <f>SUM('7'!BA89:BA93)</f>
        <v>0</v>
      </c>
      <c r="DH14">
        <f>SUM('7'!BB89:BB93)</f>
        <v>0</v>
      </c>
      <c r="DI14">
        <f>SUM('7'!BC89:BC93)</f>
        <v>0</v>
      </c>
      <c r="DJ14">
        <f>SUM('7'!BD89:BD93)</f>
        <v>0</v>
      </c>
      <c r="DK14">
        <f>SUM('7'!BE89:BE93)</f>
        <v>0</v>
      </c>
      <c r="DL14">
        <f>SUM('7'!BF89:BF93)</f>
        <v>0</v>
      </c>
      <c r="DM14">
        <f>SUM('7'!BG89:BG93)</f>
        <v>0</v>
      </c>
      <c r="DN14">
        <f>SUM('7'!BH89:BH93)</f>
        <v>0</v>
      </c>
      <c r="DO14">
        <f>SUM('7'!BI89:BI93)</f>
        <v>0</v>
      </c>
      <c r="DP14">
        <f>SUM('7'!BJ89:BJ93)</f>
        <v>0</v>
      </c>
      <c r="DQ14">
        <f>SUM('7'!BK89:BK93)</f>
        <v>0</v>
      </c>
      <c r="DR14">
        <f>SUM('7'!BL89:BL93)</f>
        <v>0</v>
      </c>
      <c r="DS14">
        <f>SUM('7'!BM89:BM93)</f>
        <v>0</v>
      </c>
      <c r="DT14">
        <f>SUM('7'!BN89:BN93)</f>
        <v>0</v>
      </c>
      <c r="DU14">
        <f>SUM('7'!BO89:BO93)</f>
        <v>0</v>
      </c>
      <c r="DV14">
        <f>SUM('7'!BP89:BP93)</f>
        <v>0</v>
      </c>
      <c r="DW14">
        <f>SUM('7'!BQ89:BQ93)</f>
        <v>0</v>
      </c>
      <c r="DX14">
        <f>SUM('7'!BR89:BR93)</f>
        <v>0</v>
      </c>
      <c r="DY14">
        <f>SUM('7'!BS89:BS93)</f>
        <v>0</v>
      </c>
      <c r="DZ14">
        <f>SUM('7'!BT89:BT93)</f>
        <v>0</v>
      </c>
      <c r="EA14">
        <f>SUM('7'!BU89:BU93)</f>
        <v>0</v>
      </c>
      <c r="EB14">
        <f>SUM('7'!BV89:BV93)</f>
        <v>0</v>
      </c>
      <c r="EC14">
        <f>SUM('7'!BW89:BW93)</f>
        <v>0</v>
      </c>
      <c r="ED14">
        <f>SUM('7'!BX89:BX93)</f>
        <v>0</v>
      </c>
      <c r="EE14">
        <f>SUM('7'!BY89:BY93)</f>
        <v>0</v>
      </c>
      <c r="EF14">
        <f>SUM('7'!BZ89:BZ93)</f>
        <v>0</v>
      </c>
      <c r="EG14">
        <f>SUM('7'!CA89:CA93)</f>
        <v>0</v>
      </c>
      <c r="EH14">
        <f>SUM('7'!CB89:CB93)</f>
        <v>0</v>
      </c>
      <c r="EI14">
        <f>SUM('7'!CC89:CC93)</f>
        <v>0</v>
      </c>
      <c r="EJ14">
        <f>SUM('7'!CD89:CD93)</f>
        <v>0</v>
      </c>
      <c r="EK14">
        <f>SUM('7'!CE89:CE93)</f>
        <v>0</v>
      </c>
      <c r="EL14">
        <f>SUM('7'!CF89:CF93)</f>
        <v>0</v>
      </c>
      <c r="EM14">
        <f>SUM('7'!CG89:CG93)</f>
        <v>0</v>
      </c>
      <c r="EN14">
        <f>SUM('7'!CH89:CH93)</f>
        <v>0</v>
      </c>
      <c r="EO14">
        <f>SUM('7'!CI89:CI93)</f>
        <v>0</v>
      </c>
      <c r="EP14">
        <f>SUM('7'!CJ89:CJ93)</f>
        <v>0</v>
      </c>
      <c r="EQ14">
        <f>SUM('7'!CK89:CK93)</f>
        <v>0</v>
      </c>
      <c r="ER14">
        <f>SUM('7'!CL89:CL93)</f>
        <v>0</v>
      </c>
      <c r="ES14">
        <f>SUM('7'!CM89:CM93)</f>
        <v>0</v>
      </c>
      <c r="ET14">
        <f>SUM('7'!CN89:CN93)</f>
        <v>0</v>
      </c>
      <c r="EU14">
        <f>SUM('7'!CO89:CO93)</f>
        <v>0</v>
      </c>
      <c r="EV14">
        <f>SUM('7'!CP89:CP93)</f>
        <v>0</v>
      </c>
      <c r="EW14">
        <f>SUM('7'!CQ89:CQ93)</f>
        <v>0</v>
      </c>
      <c r="EX14">
        <f>SUM('7'!CR89:CR93)</f>
        <v>0</v>
      </c>
      <c r="EY14">
        <f>SUM('7'!CS89:CS93)</f>
        <v>0</v>
      </c>
      <c r="EZ14">
        <f>SUM('7'!CT89:CT93)</f>
        <v>0</v>
      </c>
      <c r="FA14">
        <f>SUM('7'!CU89:CU93)</f>
        <v>0</v>
      </c>
      <c r="FB14">
        <f>SUM('7'!CV89:CV93)</f>
        <v>0</v>
      </c>
      <c r="FC14">
        <f>SUM('7'!CW89:CW93)</f>
        <v>0</v>
      </c>
      <c r="FD14">
        <f>SUM('7'!CX89:CX93)</f>
        <v>0</v>
      </c>
      <c r="FE14">
        <f>SUM('7'!CY89:CY93)</f>
        <v>0</v>
      </c>
      <c r="FF14">
        <f>SUM('7'!CZ89:CZ93)</f>
        <v>0</v>
      </c>
      <c r="FG14">
        <f>SUM('7'!DA89:DA93)</f>
        <v>0</v>
      </c>
      <c r="FH14">
        <f>SUM('7'!DB89:DB93)</f>
        <v>0</v>
      </c>
      <c r="FI14">
        <f>SUM('7'!DC89:DC93)</f>
        <v>0</v>
      </c>
      <c r="FJ14">
        <f>SUM('7'!DD89:DD93)</f>
        <v>0</v>
      </c>
      <c r="FK14">
        <f>SUM('7'!DE89:DE93)</f>
        <v>0</v>
      </c>
      <c r="FL14">
        <f>SUM('7'!DF89:DF93)</f>
        <v>0</v>
      </c>
      <c r="FM14">
        <f>SUM('7'!DG89:DG93)</f>
        <v>0</v>
      </c>
      <c r="FN14" t="s">
        <v>1639</v>
      </c>
      <c r="FO14">
        <f t="shared" si="94"/>
        <v>0</v>
      </c>
      <c r="FP14" t="s">
        <v>1640</v>
      </c>
      <c r="FQ14">
        <f t="shared" si="0"/>
        <v>0</v>
      </c>
      <c r="FR14" t="s">
        <v>1641</v>
      </c>
      <c r="FS14">
        <f t="shared" si="1"/>
        <v>0</v>
      </c>
      <c r="FT14" t="s">
        <v>1642</v>
      </c>
      <c r="FU14">
        <f t="shared" si="2"/>
        <v>0</v>
      </c>
      <c r="FV14" t="s">
        <v>1643</v>
      </c>
      <c r="FW14">
        <f t="shared" si="3"/>
        <v>0</v>
      </c>
      <c r="FX14" t="s">
        <v>1644</v>
      </c>
      <c r="FY14">
        <f t="shared" si="4"/>
        <v>0</v>
      </c>
      <c r="FZ14" t="s">
        <v>1645</v>
      </c>
      <c r="GA14">
        <f t="shared" si="5"/>
        <v>0</v>
      </c>
      <c r="GB14" t="s">
        <v>1646</v>
      </c>
      <c r="GC14">
        <f t="shared" si="6"/>
        <v>0</v>
      </c>
      <c r="GD14" t="s">
        <v>1647</v>
      </c>
      <c r="GE14">
        <f t="shared" si="7"/>
        <v>0</v>
      </c>
      <c r="GF14" t="s">
        <v>1648</v>
      </c>
      <c r="GG14">
        <f t="shared" si="8"/>
        <v>0</v>
      </c>
      <c r="GH14" t="s">
        <v>1649</v>
      </c>
      <c r="GI14">
        <f t="shared" si="9"/>
        <v>0</v>
      </c>
      <c r="GJ14" t="s">
        <v>1650</v>
      </c>
      <c r="GK14">
        <f t="shared" si="10"/>
        <v>0</v>
      </c>
      <c r="GL14" t="s">
        <v>1651</v>
      </c>
      <c r="GM14">
        <f t="shared" si="11"/>
        <v>0</v>
      </c>
      <c r="GN14" t="s">
        <v>1652</v>
      </c>
      <c r="GO14">
        <f t="shared" si="95"/>
        <v>0</v>
      </c>
      <c r="GP14" t="s">
        <v>1653</v>
      </c>
      <c r="GQ14">
        <f t="shared" si="12"/>
        <v>0</v>
      </c>
      <c r="GR14" t="s">
        <v>1654</v>
      </c>
      <c r="GS14">
        <f t="shared" si="13"/>
        <v>0</v>
      </c>
      <c r="GT14" t="s">
        <v>1655</v>
      </c>
      <c r="GU14">
        <f t="shared" si="14"/>
        <v>0</v>
      </c>
      <c r="GV14" t="s">
        <v>1656</v>
      </c>
      <c r="GW14">
        <f t="shared" si="15"/>
        <v>0</v>
      </c>
      <c r="GX14" t="s">
        <v>1657</v>
      </c>
      <c r="GY14">
        <f t="shared" si="16"/>
        <v>0</v>
      </c>
      <c r="GZ14" t="s">
        <v>1658</v>
      </c>
      <c r="HA14">
        <f t="shared" si="17"/>
        <v>0</v>
      </c>
      <c r="HB14" t="s">
        <v>1659</v>
      </c>
      <c r="HC14">
        <f t="shared" si="18"/>
        <v>0</v>
      </c>
      <c r="HD14" t="s">
        <v>1660</v>
      </c>
      <c r="HE14">
        <f t="shared" si="19"/>
        <v>0</v>
      </c>
      <c r="HF14" t="s">
        <v>1661</v>
      </c>
      <c r="HG14">
        <f t="shared" si="20"/>
        <v>0</v>
      </c>
      <c r="HH14" t="s">
        <v>1662</v>
      </c>
      <c r="HI14">
        <f t="shared" si="21"/>
        <v>0</v>
      </c>
      <c r="HJ14" t="s">
        <v>1663</v>
      </c>
      <c r="HK14">
        <f t="shared" si="22"/>
        <v>0</v>
      </c>
      <c r="HL14" t="s">
        <v>1664</v>
      </c>
      <c r="HM14">
        <f t="shared" si="23"/>
        <v>0</v>
      </c>
      <c r="HN14" t="s">
        <v>1665</v>
      </c>
      <c r="HO14">
        <f t="shared" si="24"/>
        <v>0</v>
      </c>
      <c r="HP14" t="s">
        <v>1666</v>
      </c>
      <c r="HQ14">
        <f t="shared" si="25"/>
        <v>0</v>
      </c>
      <c r="HR14" t="s">
        <v>1667</v>
      </c>
      <c r="HS14">
        <f t="shared" si="26"/>
        <v>0</v>
      </c>
      <c r="HT14" t="s">
        <v>1668</v>
      </c>
      <c r="HU14">
        <f t="shared" si="27"/>
        <v>0</v>
      </c>
      <c r="HV14" t="s">
        <v>1669</v>
      </c>
      <c r="HW14">
        <f t="shared" si="28"/>
        <v>0</v>
      </c>
      <c r="HX14" t="s">
        <v>1670</v>
      </c>
      <c r="HY14">
        <f t="shared" si="29"/>
        <v>0</v>
      </c>
      <c r="HZ14" t="s">
        <v>1671</v>
      </c>
      <c r="IA14">
        <f t="shared" si="30"/>
        <v>0</v>
      </c>
      <c r="IB14" t="s">
        <v>1672</v>
      </c>
      <c r="IC14">
        <f t="shared" si="31"/>
        <v>0</v>
      </c>
      <c r="ID14" t="s">
        <v>1673</v>
      </c>
      <c r="IE14">
        <f t="shared" si="32"/>
        <v>0</v>
      </c>
      <c r="IF14" t="s">
        <v>1674</v>
      </c>
      <c r="IG14">
        <f t="shared" si="33"/>
        <v>0</v>
      </c>
      <c r="IH14" t="s">
        <v>1675</v>
      </c>
      <c r="II14">
        <f t="shared" si="34"/>
        <v>0</v>
      </c>
      <c r="IJ14" t="s">
        <v>1676</v>
      </c>
      <c r="IK14">
        <f t="shared" si="35"/>
        <v>0</v>
      </c>
      <c r="IL14" t="s">
        <v>1677</v>
      </c>
      <c r="IM14">
        <f t="shared" si="36"/>
        <v>0</v>
      </c>
      <c r="IN14" t="s">
        <v>1678</v>
      </c>
      <c r="IO14">
        <f t="shared" si="37"/>
        <v>0</v>
      </c>
      <c r="IP14" t="s">
        <v>1679</v>
      </c>
      <c r="IQ14">
        <f t="shared" si="38"/>
        <v>0</v>
      </c>
      <c r="IR14" t="s">
        <v>1680</v>
      </c>
      <c r="IS14">
        <f t="shared" si="39"/>
        <v>0</v>
      </c>
      <c r="IT14" t="s">
        <v>1681</v>
      </c>
      <c r="IU14">
        <f t="shared" si="40"/>
        <v>0</v>
      </c>
      <c r="IV14" t="s">
        <v>1682</v>
      </c>
      <c r="IW14">
        <f t="shared" si="41"/>
        <v>0</v>
      </c>
      <c r="IX14" t="s">
        <v>1683</v>
      </c>
      <c r="IY14">
        <f t="shared" si="42"/>
        <v>0</v>
      </c>
      <c r="IZ14" t="s">
        <v>1684</v>
      </c>
      <c r="JA14">
        <f t="shared" si="43"/>
        <v>0</v>
      </c>
      <c r="JB14" t="s">
        <v>1685</v>
      </c>
      <c r="JC14">
        <f t="shared" si="44"/>
        <v>0</v>
      </c>
      <c r="JD14" t="s">
        <v>1686</v>
      </c>
      <c r="JE14">
        <f t="shared" si="45"/>
        <v>0</v>
      </c>
      <c r="JF14" t="s">
        <v>1687</v>
      </c>
      <c r="JG14">
        <f t="shared" si="46"/>
        <v>0</v>
      </c>
      <c r="JH14" t="s">
        <v>1688</v>
      </c>
      <c r="JI14">
        <f t="shared" si="47"/>
        <v>0</v>
      </c>
      <c r="JJ14" t="s">
        <v>1689</v>
      </c>
      <c r="JK14">
        <f t="shared" si="48"/>
        <v>0</v>
      </c>
      <c r="JL14" t="s">
        <v>1690</v>
      </c>
      <c r="JM14">
        <f t="shared" si="49"/>
        <v>0</v>
      </c>
      <c r="JN14" t="s">
        <v>1691</v>
      </c>
      <c r="JO14">
        <f t="shared" si="50"/>
        <v>0</v>
      </c>
      <c r="JP14" t="s">
        <v>1692</v>
      </c>
      <c r="JQ14">
        <f t="shared" si="51"/>
        <v>0</v>
      </c>
      <c r="JR14" t="s">
        <v>1693</v>
      </c>
      <c r="JS14">
        <f t="shared" si="52"/>
        <v>0</v>
      </c>
      <c r="JT14" t="s">
        <v>1694</v>
      </c>
      <c r="JU14">
        <f t="shared" si="53"/>
        <v>0</v>
      </c>
      <c r="JV14" t="s">
        <v>1695</v>
      </c>
      <c r="JW14">
        <f t="shared" si="54"/>
        <v>0</v>
      </c>
      <c r="JX14" t="s">
        <v>1696</v>
      </c>
      <c r="JY14">
        <f t="shared" si="55"/>
        <v>0</v>
      </c>
      <c r="JZ14" t="s">
        <v>1697</v>
      </c>
      <c r="KA14">
        <f t="shared" si="56"/>
        <v>0</v>
      </c>
      <c r="KB14" t="s">
        <v>1698</v>
      </c>
      <c r="KC14">
        <f t="shared" si="57"/>
        <v>0</v>
      </c>
      <c r="KD14" t="s">
        <v>1699</v>
      </c>
      <c r="KE14">
        <f t="shared" si="58"/>
        <v>0</v>
      </c>
      <c r="KF14" t="s">
        <v>1700</v>
      </c>
      <c r="KG14">
        <f t="shared" si="59"/>
        <v>0</v>
      </c>
      <c r="KH14" t="s">
        <v>1701</v>
      </c>
      <c r="KI14">
        <f t="shared" si="60"/>
        <v>0</v>
      </c>
      <c r="KJ14" t="s">
        <v>1702</v>
      </c>
      <c r="KK14">
        <f t="shared" si="61"/>
        <v>0</v>
      </c>
      <c r="KL14" t="s">
        <v>1703</v>
      </c>
      <c r="KM14">
        <f t="shared" si="62"/>
        <v>0</v>
      </c>
      <c r="KN14" t="s">
        <v>1704</v>
      </c>
      <c r="KO14">
        <f t="shared" si="63"/>
        <v>0</v>
      </c>
      <c r="KP14" t="s">
        <v>1705</v>
      </c>
      <c r="KQ14">
        <f t="shared" si="64"/>
        <v>0</v>
      </c>
      <c r="KR14" t="s">
        <v>1706</v>
      </c>
      <c r="KS14">
        <f t="shared" si="65"/>
        <v>0</v>
      </c>
      <c r="KT14" t="s">
        <v>1707</v>
      </c>
      <c r="KU14">
        <f t="shared" si="66"/>
        <v>0</v>
      </c>
      <c r="KV14" t="s">
        <v>1708</v>
      </c>
      <c r="KW14">
        <f t="shared" si="67"/>
        <v>0</v>
      </c>
      <c r="KX14" t="s">
        <v>1709</v>
      </c>
      <c r="KY14">
        <f t="shared" si="68"/>
        <v>0</v>
      </c>
      <c r="KZ14" t="s">
        <v>1710</v>
      </c>
      <c r="LA14">
        <f t="shared" si="69"/>
        <v>0</v>
      </c>
      <c r="LB14" t="s">
        <v>1711</v>
      </c>
      <c r="LC14">
        <f t="shared" si="70"/>
        <v>0</v>
      </c>
      <c r="LD14" t="s">
        <v>1712</v>
      </c>
      <c r="LE14">
        <f t="shared" si="71"/>
        <v>0</v>
      </c>
      <c r="LF14" t="s">
        <v>1713</v>
      </c>
      <c r="LG14">
        <f t="shared" si="72"/>
        <v>0</v>
      </c>
      <c r="LH14" t="s">
        <v>1714</v>
      </c>
      <c r="LI14">
        <f t="shared" si="73"/>
        <v>0</v>
      </c>
      <c r="LJ14" t="s">
        <v>1715</v>
      </c>
      <c r="LK14">
        <f t="shared" si="74"/>
        <v>0</v>
      </c>
      <c r="LL14" t="s">
        <v>1716</v>
      </c>
      <c r="LM14">
        <f t="shared" si="75"/>
        <v>0</v>
      </c>
      <c r="LN14" t="s">
        <v>1717</v>
      </c>
      <c r="LO14">
        <f t="shared" si="76"/>
        <v>0</v>
      </c>
      <c r="LP14" t="s">
        <v>1718</v>
      </c>
      <c r="LQ14">
        <f t="shared" si="77"/>
        <v>0</v>
      </c>
      <c r="LR14" t="s">
        <v>1719</v>
      </c>
      <c r="LS14">
        <f t="shared" si="78"/>
        <v>0</v>
      </c>
      <c r="LT14" t="s">
        <v>1720</v>
      </c>
      <c r="LU14">
        <f t="shared" si="79"/>
        <v>0</v>
      </c>
      <c r="LV14" t="s">
        <v>1721</v>
      </c>
      <c r="LW14">
        <f t="shared" si="80"/>
        <v>0</v>
      </c>
      <c r="LX14" t="s">
        <v>1722</v>
      </c>
      <c r="LY14">
        <f t="shared" si="81"/>
        <v>0</v>
      </c>
      <c r="LZ14">
        <f>'6'!B48</f>
        <v>0</v>
      </c>
      <c r="MA14">
        <f>'6'!C48</f>
        <v>0</v>
      </c>
      <c r="MB14">
        <f>'6'!D48</f>
        <v>0</v>
      </c>
      <c r="MC14">
        <f>'6'!E48</f>
        <v>0</v>
      </c>
      <c r="MD14">
        <f>'6'!F48</f>
        <v>0</v>
      </c>
      <c r="ME14">
        <f>'6'!G48</f>
        <v>0</v>
      </c>
      <c r="MF14">
        <f>'6'!H48</f>
        <v>0</v>
      </c>
      <c r="MG14">
        <f>'6'!I48</f>
        <v>0</v>
      </c>
      <c r="MH14">
        <f>'6'!J48</f>
        <v>0</v>
      </c>
      <c r="MI14">
        <f>'6'!K48</f>
        <v>0</v>
      </c>
      <c r="MJ14">
        <f>'6'!L48</f>
        <v>0</v>
      </c>
      <c r="MK14">
        <f>'6'!M48</f>
        <v>0</v>
      </c>
      <c r="ML14" s="13">
        <f>'7'!B87</f>
        <v>0</v>
      </c>
      <c r="MM14" s="13">
        <f>'7'!C87</f>
        <v>0</v>
      </c>
      <c r="MN14" s="13">
        <f>'7'!D87</f>
        <v>0</v>
      </c>
      <c r="MO14" s="13">
        <f>'7'!E87</f>
        <v>0</v>
      </c>
      <c r="MP14" s="13">
        <f>'7'!F87</f>
        <v>0</v>
      </c>
      <c r="MQ14" s="13">
        <f>'7'!G87</f>
        <v>0</v>
      </c>
      <c r="MR14" s="13">
        <f>'7'!H87</f>
        <v>0</v>
      </c>
      <c r="MS14" s="13">
        <f>'7'!I87</f>
        <v>0</v>
      </c>
      <c r="MT14" s="13">
        <f>'7'!J87</f>
        <v>0</v>
      </c>
      <c r="MU14" s="13">
        <f>'7'!K87</f>
        <v>0</v>
      </c>
      <c r="MV14" s="13">
        <f>'7'!L87</f>
        <v>0</v>
      </c>
      <c r="MW14" s="13">
        <f>'7'!M87</f>
        <v>0</v>
      </c>
      <c r="MX14" s="13" t="s">
        <v>1723</v>
      </c>
      <c r="MY14">
        <f t="shared" si="82"/>
        <v>0</v>
      </c>
      <c r="MZ14" s="13" t="s">
        <v>1724</v>
      </c>
      <c r="NA14">
        <f t="shared" si="83"/>
        <v>0</v>
      </c>
      <c r="NB14" s="13" t="s">
        <v>1725</v>
      </c>
      <c r="NC14">
        <f t="shared" si="84"/>
        <v>0</v>
      </c>
      <c r="ND14" s="13" t="s">
        <v>1726</v>
      </c>
      <c r="NE14">
        <f t="shared" si="85"/>
        <v>0</v>
      </c>
      <c r="NF14" s="13" t="s">
        <v>1727</v>
      </c>
      <c r="NG14">
        <f t="shared" si="86"/>
        <v>0</v>
      </c>
      <c r="NH14" s="13" t="s">
        <v>1728</v>
      </c>
      <c r="NI14">
        <f t="shared" si="87"/>
        <v>0</v>
      </c>
      <c r="NJ14" s="13" t="s">
        <v>1729</v>
      </c>
      <c r="NK14">
        <f t="shared" si="88"/>
        <v>0</v>
      </c>
      <c r="NL14" s="13" t="s">
        <v>1730</v>
      </c>
      <c r="NM14">
        <f t="shared" si="89"/>
        <v>0</v>
      </c>
      <c r="NN14" s="13" t="s">
        <v>1731</v>
      </c>
      <c r="NO14">
        <f t="shared" si="90"/>
        <v>0</v>
      </c>
      <c r="NP14" s="13" t="s">
        <v>1732</v>
      </c>
      <c r="NQ14">
        <f t="shared" si="91"/>
        <v>0</v>
      </c>
      <c r="NR14" s="13" t="s">
        <v>1733</v>
      </c>
      <c r="NS14">
        <f t="shared" si="92"/>
        <v>0</v>
      </c>
      <c r="NT14" s="13" t="s">
        <v>1734</v>
      </c>
      <c r="NU14">
        <f t="shared" si="93"/>
        <v>0</v>
      </c>
      <c r="NV14" s="13"/>
    </row>
    <row r="15" spans="1:386" customFormat="1" x14ac:dyDescent="0.25">
      <c r="A15">
        <v>12</v>
      </c>
      <c r="B15">
        <f>'6'!AB51</f>
        <v>0</v>
      </c>
      <c r="C15">
        <f>'6'!AC51</f>
        <v>0</v>
      </c>
      <c r="D15">
        <f>'6'!AD51</f>
        <v>0</v>
      </c>
      <c r="E15">
        <f>'6'!AE51</f>
        <v>0</v>
      </c>
      <c r="F15">
        <f>'6'!AF51</f>
        <v>0</v>
      </c>
      <c r="G15">
        <f>'6'!AG51</f>
        <v>0</v>
      </c>
      <c r="H15">
        <f>'6'!AH51</f>
        <v>0</v>
      </c>
      <c r="I15">
        <f>'6'!AI51</f>
        <v>0</v>
      </c>
      <c r="J15">
        <f>'6'!AJ51</f>
        <v>0</v>
      </c>
      <c r="K15">
        <f>'6'!AK51</f>
        <v>0</v>
      </c>
      <c r="L15">
        <f>'6'!AL51</f>
        <v>0</v>
      </c>
      <c r="M15">
        <f>'6'!AM51</f>
        <v>0</v>
      </c>
      <c r="N15">
        <f>'6'!AN51</f>
        <v>0</v>
      </c>
      <c r="O15">
        <f>'6'!AO51</f>
        <v>0</v>
      </c>
      <c r="P15">
        <f>'6'!AP51</f>
        <v>0</v>
      </c>
      <c r="Q15">
        <f>'6'!AQ51</f>
        <v>0</v>
      </c>
      <c r="R15">
        <f>'6'!AR51</f>
        <v>0</v>
      </c>
      <c r="S15">
        <f>'6'!AS51</f>
        <v>0</v>
      </c>
      <c r="T15">
        <f>'6'!AT51</f>
        <v>0</v>
      </c>
      <c r="U15">
        <f>'6'!AU51</f>
        <v>0</v>
      </c>
      <c r="V15">
        <f>'6'!AV51</f>
        <v>0</v>
      </c>
      <c r="W15">
        <f>'6'!AW51</f>
        <v>0</v>
      </c>
      <c r="X15">
        <f>'6'!AX51</f>
        <v>0</v>
      </c>
      <c r="Y15">
        <f>'6'!AY51</f>
        <v>0</v>
      </c>
      <c r="Z15">
        <f>'6'!AZ51</f>
        <v>0</v>
      </c>
      <c r="AA15">
        <f>'6'!BA51</f>
        <v>0</v>
      </c>
      <c r="AB15">
        <f>'6'!BB51</f>
        <v>0</v>
      </c>
      <c r="AC15">
        <f>'6'!BC51</f>
        <v>0</v>
      </c>
      <c r="AD15">
        <f>'6'!BD51</f>
        <v>0</v>
      </c>
      <c r="AE15">
        <f>'6'!BE51</f>
        <v>0</v>
      </c>
      <c r="AF15">
        <f>'6'!BF51</f>
        <v>0</v>
      </c>
      <c r="AG15">
        <f>'6'!BG51</f>
        <v>0</v>
      </c>
      <c r="AH15">
        <f>'6'!BH51</f>
        <v>0</v>
      </c>
      <c r="AI15">
        <f>'6'!BI51</f>
        <v>0</v>
      </c>
      <c r="AJ15">
        <f>'6'!BJ51</f>
        <v>0</v>
      </c>
      <c r="AK15">
        <f>'6'!BK51</f>
        <v>0</v>
      </c>
      <c r="AL15">
        <f>'6'!BL51</f>
        <v>0</v>
      </c>
      <c r="AM15">
        <f>'6'!BM51</f>
        <v>0</v>
      </c>
      <c r="AN15">
        <f>'6'!BN51</f>
        <v>0</v>
      </c>
      <c r="AO15">
        <f>'6'!BO51</f>
        <v>0</v>
      </c>
      <c r="AP15">
        <f>'6'!BP51</f>
        <v>0</v>
      </c>
      <c r="AQ15">
        <f>'6'!BQ51</f>
        <v>0</v>
      </c>
      <c r="AR15">
        <f>'6'!BR51</f>
        <v>0</v>
      </c>
      <c r="AS15">
        <f>'6'!BS51</f>
        <v>0</v>
      </c>
      <c r="AT15">
        <f>'6'!BT51</f>
        <v>0</v>
      </c>
      <c r="AU15">
        <f>'6'!BU51</f>
        <v>0</v>
      </c>
      <c r="AV15">
        <f>'6'!BV51</f>
        <v>0</v>
      </c>
      <c r="AW15">
        <f>'6'!BW51</f>
        <v>0</v>
      </c>
      <c r="AX15">
        <f>'6'!BX51</f>
        <v>0</v>
      </c>
      <c r="AY15">
        <f>'6'!BY51</f>
        <v>0</v>
      </c>
      <c r="AZ15">
        <f>'6'!BZ51</f>
        <v>0</v>
      </c>
      <c r="BA15">
        <f>'6'!CA51</f>
        <v>0</v>
      </c>
      <c r="BB15">
        <f>'6'!CB51</f>
        <v>0</v>
      </c>
      <c r="BC15">
        <f>'6'!CC51</f>
        <v>0</v>
      </c>
      <c r="BD15">
        <f>'6'!CD51</f>
        <v>0</v>
      </c>
      <c r="BE15">
        <f>'6'!CE51</f>
        <v>0</v>
      </c>
      <c r="BF15">
        <f>'6'!CF51</f>
        <v>0</v>
      </c>
      <c r="BG15">
        <f>'6'!CG51</f>
        <v>0</v>
      </c>
      <c r="BH15">
        <f>'6'!CH51</f>
        <v>0</v>
      </c>
      <c r="BI15">
        <f>'6'!CI51</f>
        <v>0</v>
      </c>
      <c r="BJ15">
        <f>'6'!CJ51</f>
        <v>0</v>
      </c>
      <c r="BK15">
        <f>'6'!CK51</f>
        <v>0</v>
      </c>
      <c r="BL15">
        <f>'6'!CL51</f>
        <v>0</v>
      </c>
      <c r="BM15">
        <f>'6'!CM51</f>
        <v>0</v>
      </c>
      <c r="BN15">
        <f>'6'!CN51</f>
        <v>0</v>
      </c>
      <c r="BO15">
        <f>'6'!CO51</f>
        <v>0</v>
      </c>
      <c r="BP15">
        <f>'6'!CP51</f>
        <v>0</v>
      </c>
      <c r="BQ15">
        <f>'6'!CQ51</f>
        <v>0</v>
      </c>
      <c r="BR15">
        <f>'6'!CR51</f>
        <v>0</v>
      </c>
      <c r="BS15">
        <f>'6'!CS51</f>
        <v>0</v>
      </c>
      <c r="BT15">
        <f>'6'!CT51</f>
        <v>0</v>
      </c>
      <c r="BU15">
        <f>'6'!CU51</f>
        <v>0</v>
      </c>
      <c r="BV15">
        <f>'6'!CV51</f>
        <v>0</v>
      </c>
      <c r="BW15">
        <f>'6'!CW51</f>
        <v>0</v>
      </c>
      <c r="BX15">
        <f>'6'!CX51</f>
        <v>0</v>
      </c>
      <c r="BY15">
        <f>'6'!CY51</f>
        <v>0</v>
      </c>
      <c r="BZ15">
        <f>'6'!CZ51</f>
        <v>0</v>
      </c>
      <c r="CA15">
        <f>'6'!DA51</f>
        <v>0</v>
      </c>
      <c r="CB15">
        <f>'6'!DB51</f>
        <v>0</v>
      </c>
      <c r="CC15">
        <f>'6'!DC51</f>
        <v>0</v>
      </c>
      <c r="CD15">
        <f>'6'!DD51</f>
        <v>0</v>
      </c>
      <c r="CE15">
        <f>'6'!DE51</f>
        <v>0</v>
      </c>
      <c r="CF15">
        <f>'6'!DF51</f>
        <v>0</v>
      </c>
      <c r="CG15">
        <f>'6'!DG51</f>
        <v>0</v>
      </c>
      <c r="CH15">
        <f>SUM('7'!AB97:AB101)</f>
        <v>0</v>
      </c>
      <c r="CI15">
        <f>SUM('7'!AC97:AC101)</f>
        <v>0</v>
      </c>
      <c r="CJ15">
        <f>SUM('7'!AD97:AD101)</f>
        <v>0</v>
      </c>
      <c r="CK15">
        <f>SUM('7'!AE97:AE101)</f>
        <v>0</v>
      </c>
      <c r="CL15">
        <f>SUM('7'!AF97:AF101)</f>
        <v>0</v>
      </c>
      <c r="CM15">
        <f>SUM('7'!AG97:AG101)</f>
        <v>0</v>
      </c>
      <c r="CN15">
        <f>SUM('7'!AH97:AH101)</f>
        <v>0</v>
      </c>
      <c r="CO15">
        <f>SUM('7'!AI97:AI101)</f>
        <v>0</v>
      </c>
      <c r="CP15">
        <f>SUM('7'!AJ97:AJ101)</f>
        <v>0</v>
      </c>
      <c r="CQ15">
        <f>SUM('7'!AK97:AK101)</f>
        <v>0</v>
      </c>
      <c r="CR15">
        <f>SUM('7'!AL97:AL101)</f>
        <v>0</v>
      </c>
      <c r="CS15">
        <f>SUM('7'!AM97:AM101)</f>
        <v>0</v>
      </c>
      <c r="CT15">
        <f>SUM('7'!AN97:AN101)</f>
        <v>0</v>
      </c>
      <c r="CU15">
        <f>SUM('7'!AO97:AO101)</f>
        <v>0</v>
      </c>
      <c r="CV15">
        <f>SUM('7'!AP97:AP101)</f>
        <v>0</v>
      </c>
      <c r="CW15">
        <f>SUM('7'!AQ97:AQ101)</f>
        <v>0</v>
      </c>
      <c r="CX15">
        <f>SUM('7'!AR97:AR101)</f>
        <v>0</v>
      </c>
      <c r="CY15">
        <f>SUM('7'!AS97:AS101)</f>
        <v>0</v>
      </c>
      <c r="CZ15">
        <f>SUM('7'!AT97:AT101)</f>
        <v>0</v>
      </c>
      <c r="DA15">
        <f>SUM('7'!AU97:AU101)</f>
        <v>0</v>
      </c>
      <c r="DB15">
        <f>SUM('7'!AV97:AV101)</f>
        <v>0</v>
      </c>
      <c r="DC15">
        <f>SUM('7'!AW97:AW101)</f>
        <v>0</v>
      </c>
      <c r="DD15">
        <f>SUM('7'!AX97:AX101)</f>
        <v>0</v>
      </c>
      <c r="DE15">
        <f>SUM('7'!AY97:AY101)</f>
        <v>0</v>
      </c>
      <c r="DF15">
        <f>SUM('7'!AZ97:AZ101)</f>
        <v>0</v>
      </c>
      <c r="DG15">
        <f>SUM('7'!BA97:BA101)</f>
        <v>0</v>
      </c>
      <c r="DH15">
        <f>SUM('7'!BB97:BB101)</f>
        <v>0</v>
      </c>
      <c r="DI15">
        <f>SUM('7'!BC97:BC101)</f>
        <v>0</v>
      </c>
      <c r="DJ15">
        <f>SUM('7'!BD97:BD101)</f>
        <v>0</v>
      </c>
      <c r="DK15">
        <f>SUM('7'!BE97:BE101)</f>
        <v>0</v>
      </c>
      <c r="DL15">
        <f>SUM('7'!BF97:BF101)</f>
        <v>0</v>
      </c>
      <c r="DM15">
        <f>SUM('7'!BG97:BG101)</f>
        <v>0</v>
      </c>
      <c r="DN15">
        <f>SUM('7'!BH97:BH101)</f>
        <v>0</v>
      </c>
      <c r="DO15">
        <f>SUM('7'!BI97:BI101)</f>
        <v>0</v>
      </c>
      <c r="DP15">
        <f>SUM('7'!BJ97:BJ101)</f>
        <v>0</v>
      </c>
      <c r="DQ15">
        <f>SUM('7'!BK97:BK101)</f>
        <v>0</v>
      </c>
      <c r="DR15">
        <f>SUM('7'!BL97:BL101)</f>
        <v>0</v>
      </c>
      <c r="DS15">
        <f>SUM('7'!BM97:BM101)</f>
        <v>0</v>
      </c>
      <c r="DT15">
        <f>SUM('7'!BN97:BN101)</f>
        <v>0</v>
      </c>
      <c r="DU15">
        <f>SUM('7'!BO97:BO101)</f>
        <v>0</v>
      </c>
      <c r="DV15">
        <f>SUM('7'!BP97:BP101)</f>
        <v>0</v>
      </c>
      <c r="DW15">
        <f>SUM('7'!BQ97:BQ101)</f>
        <v>0</v>
      </c>
      <c r="DX15">
        <f>SUM('7'!BR97:BR101)</f>
        <v>0</v>
      </c>
      <c r="DY15">
        <f>SUM('7'!BS97:BS101)</f>
        <v>0</v>
      </c>
      <c r="DZ15">
        <f>SUM('7'!BT97:BT101)</f>
        <v>0</v>
      </c>
      <c r="EA15">
        <f>SUM('7'!BU97:BU101)</f>
        <v>0</v>
      </c>
      <c r="EB15">
        <f>SUM('7'!BV97:BV101)</f>
        <v>0</v>
      </c>
      <c r="EC15">
        <f>SUM('7'!BW97:BW101)</f>
        <v>0</v>
      </c>
      <c r="ED15">
        <f>SUM('7'!BX97:BX101)</f>
        <v>0</v>
      </c>
      <c r="EE15">
        <f>SUM('7'!BY97:BY101)</f>
        <v>0</v>
      </c>
      <c r="EF15">
        <f>SUM('7'!BZ97:BZ101)</f>
        <v>0</v>
      </c>
      <c r="EG15">
        <f>SUM('7'!CA97:CA101)</f>
        <v>0</v>
      </c>
      <c r="EH15">
        <f>SUM('7'!CB97:CB101)</f>
        <v>0</v>
      </c>
      <c r="EI15">
        <f>SUM('7'!CC97:CC101)</f>
        <v>0</v>
      </c>
      <c r="EJ15">
        <f>SUM('7'!CD97:CD101)</f>
        <v>0</v>
      </c>
      <c r="EK15">
        <f>SUM('7'!CE97:CE101)</f>
        <v>0</v>
      </c>
      <c r="EL15">
        <f>SUM('7'!CF97:CF101)</f>
        <v>0</v>
      </c>
      <c r="EM15">
        <f>SUM('7'!CG97:CG101)</f>
        <v>0</v>
      </c>
      <c r="EN15">
        <f>SUM('7'!CH97:CH101)</f>
        <v>0</v>
      </c>
      <c r="EO15">
        <f>SUM('7'!CI97:CI101)</f>
        <v>0</v>
      </c>
      <c r="EP15">
        <f>SUM('7'!CJ97:CJ101)</f>
        <v>0</v>
      </c>
      <c r="EQ15">
        <f>SUM('7'!CK97:CK101)</f>
        <v>0</v>
      </c>
      <c r="ER15">
        <f>SUM('7'!CL97:CL101)</f>
        <v>0</v>
      </c>
      <c r="ES15">
        <f>SUM('7'!CM97:CM101)</f>
        <v>0</v>
      </c>
      <c r="ET15">
        <f>SUM('7'!CN97:CN101)</f>
        <v>0</v>
      </c>
      <c r="EU15">
        <f>SUM('7'!CO97:CO101)</f>
        <v>0</v>
      </c>
      <c r="EV15">
        <f>SUM('7'!CP97:CP101)</f>
        <v>0</v>
      </c>
      <c r="EW15">
        <f>SUM('7'!CQ97:CQ101)</f>
        <v>0</v>
      </c>
      <c r="EX15">
        <f>SUM('7'!CR97:CR101)</f>
        <v>0</v>
      </c>
      <c r="EY15">
        <f>SUM('7'!CS97:CS101)</f>
        <v>0</v>
      </c>
      <c r="EZ15">
        <f>SUM('7'!CT97:CT101)</f>
        <v>0</v>
      </c>
      <c r="FA15">
        <f>SUM('7'!CU97:CU101)</f>
        <v>0</v>
      </c>
      <c r="FB15">
        <f>SUM('7'!CV97:CV101)</f>
        <v>0</v>
      </c>
      <c r="FC15">
        <f>SUM('7'!CW97:CW101)</f>
        <v>0</v>
      </c>
      <c r="FD15">
        <f>SUM('7'!CX97:CX101)</f>
        <v>0</v>
      </c>
      <c r="FE15">
        <f>SUM('7'!CY97:CY101)</f>
        <v>0</v>
      </c>
      <c r="FF15">
        <f>SUM('7'!CZ97:CZ101)</f>
        <v>0</v>
      </c>
      <c r="FG15">
        <f>SUM('7'!DA97:DA101)</f>
        <v>0</v>
      </c>
      <c r="FH15">
        <f>SUM('7'!DB97:DB101)</f>
        <v>0</v>
      </c>
      <c r="FI15">
        <f>SUM('7'!DC97:DC101)</f>
        <v>0</v>
      </c>
      <c r="FJ15">
        <f>SUM('7'!DD97:DD101)</f>
        <v>0</v>
      </c>
      <c r="FK15">
        <f>SUM('7'!DE97:DE101)</f>
        <v>0</v>
      </c>
      <c r="FL15">
        <f>SUM('7'!DF97:DF101)</f>
        <v>0</v>
      </c>
      <c r="FM15">
        <f>SUM('7'!DG97:DG101)</f>
        <v>0</v>
      </c>
      <c r="FN15" t="s">
        <v>1735</v>
      </c>
      <c r="FO15">
        <f t="shared" si="94"/>
        <v>0</v>
      </c>
      <c r="FP15" t="s">
        <v>1736</v>
      </c>
      <c r="FQ15">
        <f t="shared" si="0"/>
        <v>0</v>
      </c>
      <c r="FR15" t="s">
        <v>1737</v>
      </c>
      <c r="FS15">
        <f t="shared" si="1"/>
        <v>0</v>
      </c>
      <c r="FT15" t="s">
        <v>1738</v>
      </c>
      <c r="FU15">
        <f t="shared" si="2"/>
        <v>0</v>
      </c>
      <c r="FV15" t="s">
        <v>1739</v>
      </c>
      <c r="FW15">
        <f t="shared" si="3"/>
        <v>0</v>
      </c>
      <c r="FX15" t="s">
        <v>1740</v>
      </c>
      <c r="FY15">
        <f t="shared" si="4"/>
        <v>0</v>
      </c>
      <c r="FZ15" t="s">
        <v>1741</v>
      </c>
      <c r="GA15">
        <f t="shared" si="5"/>
        <v>0</v>
      </c>
      <c r="GB15" t="s">
        <v>1742</v>
      </c>
      <c r="GC15">
        <f t="shared" si="6"/>
        <v>0</v>
      </c>
      <c r="GD15" t="s">
        <v>1743</v>
      </c>
      <c r="GE15">
        <f t="shared" si="7"/>
        <v>0</v>
      </c>
      <c r="GF15" t="s">
        <v>1744</v>
      </c>
      <c r="GG15">
        <f t="shared" si="8"/>
        <v>0</v>
      </c>
      <c r="GH15" t="s">
        <v>1745</v>
      </c>
      <c r="GI15">
        <f t="shared" si="9"/>
        <v>0</v>
      </c>
      <c r="GJ15" t="s">
        <v>1746</v>
      </c>
      <c r="GK15">
        <f t="shared" si="10"/>
        <v>0</v>
      </c>
      <c r="GL15" t="s">
        <v>1747</v>
      </c>
      <c r="GM15">
        <f t="shared" si="11"/>
        <v>0</v>
      </c>
      <c r="GN15" t="s">
        <v>1748</v>
      </c>
      <c r="GO15">
        <f t="shared" si="95"/>
        <v>0</v>
      </c>
      <c r="GP15" t="s">
        <v>1749</v>
      </c>
      <c r="GQ15">
        <f t="shared" si="12"/>
        <v>0</v>
      </c>
      <c r="GR15" t="s">
        <v>1750</v>
      </c>
      <c r="GS15">
        <f t="shared" si="13"/>
        <v>0</v>
      </c>
      <c r="GT15" t="s">
        <v>1751</v>
      </c>
      <c r="GU15">
        <f t="shared" si="14"/>
        <v>0</v>
      </c>
      <c r="GV15" t="s">
        <v>1752</v>
      </c>
      <c r="GW15">
        <f t="shared" si="15"/>
        <v>0</v>
      </c>
      <c r="GX15" t="s">
        <v>1753</v>
      </c>
      <c r="GY15">
        <f t="shared" si="16"/>
        <v>0</v>
      </c>
      <c r="GZ15" t="s">
        <v>1754</v>
      </c>
      <c r="HA15">
        <f t="shared" si="17"/>
        <v>0</v>
      </c>
      <c r="HB15" t="s">
        <v>1755</v>
      </c>
      <c r="HC15">
        <f t="shared" si="18"/>
        <v>0</v>
      </c>
      <c r="HD15" t="s">
        <v>1756</v>
      </c>
      <c r="HE15">
        <f t="shared" si="19"/>
        <v>0</v>
      </c>
      <c r="HF15" t="s">
        <v>1757</v>
      </c>
      <c r="HG15">
        <f t="shared" si="20"/>
        <v>0</v>
      </c>
      <c r="HH15" t="s">
        <v>1758</v>
      </c>
      <c r="HI15">
        <f t="shared" si="21"/>
        <v>0</v>
      </c>
      <c r="HJ15" t="s">
        <v>1759</v>
      </c>
      <c r="HK15">
        <f t="shared" si="22"/>
        <v>0</v>
      </c>
      <c r="HL15" t="s">
        <v>1760</v>
      </c>
      <c r="HM15">
        <f t="shared" si="23"/>
        <v>0</v>
      </c>
      <c r="HN15" t="s">
        <v>1761</v>
      </c>
      <c r="HO15">
        <f t="shared" si="24"/>
        <v>0</v>
      </c>
      <c r="HP15" t="s">
        <v>1762</v>
      </c>
      <c r="HQ15">
        <f t="shared" si="25"/>
        <v>0</v>
      </c>
      <c r="HR15" t="s">
        <v>1763</v>
      </c>
      <c r="HS15">
        <f t="shared" si="26"/>
        <v>0</v>
      </c>
      <c r="HT15" t="s">
        <v>1764</v>
      </c>
      <c r="HU15">
        <f t="shared" si="27"/>
        <v>0</v>
      </c>
      <c r="HV15" t="s">
        <v>1765</v>
      </c>
      <c r="HW15">
        <f t="shared" si="28"/>
        <v>0</v>
      </c>
      <c r="HX15" t="s">
        <v>1766</v>
      </c>
      <c r="HY15">
        <f t="shared" si="29"/>
        <v>0</v>
      </c>
      <c r="HZ15" t="s">
        <v>1767</v>
      </c>
      <c r="IA15">
        <f t="shared" si="30"/>
        <v>0</v>
      </c>
      <c r="IB15" t="s">
        <v>1768</v>
      </c>
      <c r="IC15">
        <f t="shared" si="31"/>
        <v>0</v>
      </c>
      <c r="ID15" t="s">
        <v>1769</v>
      </c>
      <c r="IE15">
        <f t="shared" si="32"/>
        <v>0</v>
      </c>
      <c r="IF15" t="s">
        <v>1770</v>
      </c>
      <c r="IG15">
        <f t="shared" si="33"/>
        <v>0</v>
      </c>
      <c r="IH15" t="s">
        <v>1771</v>
      </c>
      <c r="II15">
        <f t="shared" si="34"/>
        <v>0</v>
      </c>
      <c r="IJ15" t="s">
        <v>1772</v>
      </c>
      <c r="IK15">
        <f t="shared" si="35"/>
        <v>0</v>
      </c>
      <c r="IL15" t="s">
        <v>1773</v>
      </c>
      <c r="IM15">
        <f t="shared" si="36"/>
        <v>0</v>
      </c>
      <c r="IN15" t="s">
        <v>1774</v>
      </c>
      <c r="IO15">
        <f t="shared" si="37"/>
        <v>0</v>
      </c>
      <c r="IP15" t="s">
        <v>1775</v>
      </c>
      <c r="IQ15">
        <f t="shared" si="38"/>
        <v>0</v>
      </c>
      <c r="IR15" t="s">
        <v>1776</v>
      </c>
      <c r="IS15">
        <f t="shared" si="39"/>
        <v>0</v>
      </c>
      <c r="IT15" t="s">
        <v>1777</v>
      </c>
      <c r="IU15">
        <f t="shared" si="40"/>
        <v>0</v>
      </c>
      <c r="IV15" t="s">
        <v>1778</v>
      </c>
      <c r="IW15">
        <f t="shared" si="41"/>
        <v>0</v>
      </c>
      <c r="IX15" t="s">
        <v>1779</v>
      </c>
      <c r="IY15">
        <f t="shared" si="42"/>
        <v>0</v>
      </c>
      <c r="IZ15" t="s">
        <v>1780</v>
      </c>
      <c r="JA15">
        <f t="shared" si="43"/>
        <v>0</v>
      </c>
      <c r="JB15" t="s">
        <v>1781</v>
      </c>
      <c r="JC15">
        <f t="shared" si="44"/>
        <v>0</v>
      </c>
      <c r="JD15" t="s">
        <v>1782</v>
      </c>
      <c r="JE15">
        <f t="shared" si="45"/>
        <v>0</v>
      </c>
      <c r="JF15" t="s">
        <v>1783</v>
      </c>
      <c r="JG15">
        <f t="shared" si="46"/>
        <v>0</v>
      </c>
      <c r="JH15" t="s">
        <v>1784</v>
      </c>
      <c r="JI15">
        <f t="shared" si="47"/>
        <v>0</v>
      </c>
      <c r="JJ15" t="s">
        <v>1785</v>
      </c>
      <c r="JK15">
        <f t="shared" si="48"/>
        <v>0</v>
      </c>
      <c r="JL15" t="s">
        <v>1786</v>
      </c>
      <c r="JM15">
        <f t="shared" si="49"/>
        <v>0</v>
      </c>
      <c r="JN15" t="s">
        <v>1787</v>
      </c>
      <c r="JO15">
        <f t="shared" si="50"/>
        <v>0</v>
      </c>
      <c r="JP15" t="s">
        <v>1788</v>
      </c>
      <c r="JQ15">
        <f t="shared" si="51"/>
        <v>0</v>
      </c>
      <c r="JR15" t="s">
        <v>1789</v>
      </c>
      <c r="JS15">
        <f t="shared" si="52"/>
        <v>0</v>
      </c>
      <c r="JT15" t="s">
        <v>1790</v>
      </c>
      <c r="JU15">
        <f t="shared" si="53"/>
        <v>0</v>
      </c>
      <c r="JV15" t="s">
        <v>1791</v>
      </c>
      <c r="JW15">
        <f t="shared" si="54"/>
        <v>0</v>
      </c>
      <c r="JX15" t="s">
        <v>1792</v>
      </c>
      <c r="JY15">
        <f t="shared" si="55"/>
        <v>0</v>
      </c>
      <c r="JZ15" t="s">
        <v>1793</v>
      </c>
      <c r="KA15">
        <f t="shared" si="56"/>
        <v>0</v>
      </c>
      <c r="KB15" t="s">
        <v>1794</v>
      </c>
      <c r="KC15">
        <f t="shared" si="57"/>
        <v>0</v>
      </c>
      <c r="KD15" t="s">
        <v>1795</v>
      </c>
      <c r="KE15">
        <f t="shared" si="58"/>
        <v>0</v>
      </c>
      <c r="KF15" t="s">
        <v>1796</v>
      </c>
      <c r="KG15">
        <f t="shared" si="59"/>
        <v>0</v>
      </c>
      <c r="KH15" t="s">
        <v>1797</v>
      </c>
      <c r="KI15">
        <f t="shared" si="60"/>
        <v>0</v>
      </c>
      <c r="KJ15" t="s">
        <v>1798</v>
      </c>
      <c r="KK15">
        <f t="shared" si="61"/>
        <v>0</v>
      </c>
      <c r="KL15" t="s">
        <v>1799</v>
      </c>
      <c r="KM15">
        <f t="shared" si="62"/>
        <v>0</v>
      </c>
      <c r="KN15" t="s">
        <v>1800</v>
      </c>
      <c r="KO15">
        <f t="shared" si="63"/>
        <v>0</v>
      </c>
      <c r="KP15" t="s">
        <v>1801</v>
      </c>
      <c r="KQ15">
        <f t="shared" si="64"/>
        <v>0</v>
      </c>
      <c r="KR15" t="s">
        <v>1802</v>
      </c>
      <c r="KS15">
        <f t="shared" si="65"/>
        <v>0</v>
      </c>
      <c r="KT15" t="s">
        <v>1803</v>
      </c>
      <c r="KU15">
        <f t="shared" si="66"/>
        <v>0</v>
      </c>
      <c r="KV15" t="s">
        <v>1804</v>
      </c>
      <c r="KW15">
        <f t="shared" si="67"/>
        <v>0</v>
      </c>
      <c r="KX15" t="s">
        <v>1805</v>
      </c>
      <c r="KY15">
        <f t="shared" si="68"/>
        <v>0</v>
      </c>
      <c r="KZ15" t="s">
        <v>1806</v>
      </c>
      <c r="LA15">
        <f t="shared" si="69"/>
        <v>0</v>
      </c>
      <c r="LB15" t="s">
        <v>1807</v>
      </c>
      <c r="LC15">
        <f t="shared" si="70"/>
        <v>0</v>
      </c>
      <c r="LD15" t="s">
        <v>1808</v>
      </c>
      <c r="LE15">
        <f t="shared" si="71"/>
        <v>0</v>
      </c>
      <c r="LF15" t="s">
        <v>1809</v>
      </c>
      <c r="LG15">
        <f t="shared" si="72"/>
        <v>0</v>
      </c>
      <c r="LH15" t="s">
        <v>1810</v>
      </c>
      <c r="LI15">
        <f t="shared" si="73"/>
        <v>0</v>
      </c>
      <c r="LJ15" t="s">
        <v>1811</v>
      </c>
      <c r="LK15">
        <f t="shared" si="74"/>
        <v>0</v>
      </c>
      <c r="LL15" t="s">
        <v>1812</v>
      </c>
      <c r="LM15">
        <f t="shared" si="75"/>
        <v>0</v>
      </c>
      <c r="LN15" t="s">
        <v>1813</v>
      </c>
      <c r="LO15">
        <f t="shared" si="76"/>
        <v>0</v>
      </c>
      <c r="LP15" t="s">
        <v>1814</v>
      </c>
      <c r="LQ15">
        <f t="shared" si="77"/>
        <v>0</v>
      </c>
      <c r="LR15" t="s">
        <v>1815</v>
      </c>
      <c r="LS15">
        <f t="shared" si="78"/>
        <v>0</v>
      </c>
      <c r="LT15" t="s">
        <v>1816</v>
      </c>
      <c r="LU15">
        <f t="shared" si="79"/>
        <v>0</v>
      </c>
      <c r="LV15" t="s">
        <v>1817</v>
      </c>
      <c r="LW15">
        <f t="shared" si="80"/>
        <v>0</v>
      </c>
      <c r="LX15" t="s">
        <v>1818</v>
      </c>
      <c r="LY15">
        <f t="shared" si="81"/>
        <v>0</v>
      </c>
      <c r="LZ15">
        <f>'6'!B52</f>
        <v>0</v>
      </c>
      <c r="MA15">
        <f>'6'!C52</f>
        <v>0</v>
      </c>
      <c r="MB15">
        <f>'6'!D52</f>
        <v>0</v>
      </c>
      <c r="MC15">
        <f>'6'!E52</f>
        <v>0</v>
      </c>
      <c r="MD15">
        <f>'6'!F52</f>
        <v>0</v>
      </c>
      <c r="ME15">
        <f>'6'!G52</f>
        <v>0</v>
      </c>
      <c r="MF15">
        <f>'6'!H52</f>
        <v>0</v>
      </c>
      <c r="MG15">
        <f>'6'!I52</f>
        <v>0</v>
      </c>
      <c r="MH15">
        <f>'6'!J52</f>
        <v>0</v>
      </c>
      <c r="MI15">
        <f>'6'!K52</f>
        <v>0</v>
      </c>
      <c r="MJ15">
        <f>'6'!L52</f>
        <v>0</v>
      </c>
      <c r="MK15">
        <f>'6'!M52</f>
        <v>0</v>
      </c>
      <c r="ML15" s="13">
        <f>'7'!B95</f>
        <v>0</v>
      </c>
      <c r="MM15" s="13">
        <f>'7'!C95</f>
        <v>0</v>
      </c>
      <c r="MN15" s="13">
        <f>'7'!D95</f>
        <v>0</v>
      </c>
      <c r="MO15" s="13">
        <f>'7'!E95</f>
        <v>0</v>
      </c>
      <c r="MP15" s="13">
        <f>'7'!F95</f>
        <v>0</v>
      </c>
      <c r="MQ15" s="13">
        <f>'7'!G95</f>
        <v>0</v>
      </c>
      <c r="MR15" s="13">
        <f>'7'!H95</f>
        <v>0</v>
      </c>
      <c r="MS15" s="13">
        <f>'7'!I95</f>
        <v>0</v>
      </c>
      <c r="MT15" s="13">
        <f>'7'!J95</f>
        <v>0</v>
      </c>
      <c r="MU15" s="13">
        <f>'7'!K95</f>
        <v>0</v>
      </c>
      <c r="MV15" s="13">
        <f>'7'!L95</f>
        <v>0</v>
      </c>
      <c r="MW15" s="13">
        <f>'7'!M95</f>
        <v>0</v>
      </c>
      <c r="MX15" s="13" t="s">
        <v>1819</v>
      </c>
      <c r="MY15">
        <f t="shared" si="82"/>
        <v>0</v>
      </c>
      <c r="MZ15" s="13" t="s">
        <v>1820</v>
      </c>
      <c r="NA15">
        <f t="shared" si="83"/>
        <v>0</v>
      </c>
      <c r="NB15" s="13" t="s">
        <v>1821</v>
      </c>
      <c r="NC15">
        <f t="shared" si="84"/>
        <v>0</v>
      </c>
      <c r="ND15" s="13" t="s">
        <v>1822</v>
      </c>
      <c r="NE15">
        <f t="shared" si="85"/>
        <v>0</v>
      </c>
      <c r="NF15" s="13" t="s">
        <v>1823</v>
      </c>
      <c r="NG15">
        <f t="shared" si="86"/>
        <v>0</v>
      </c>
      <c r="NH15" s="13" t="s">
        <v>1824</v>
      </c>
      <c r="NI15">
        <f t="shared" si="87"/>
        <v>0</v>
      </c>
      <c r="NJ15" s="13" t="s">
        <v>1825</v>
      </c>
      <c r="NK15">
        <f t="shared" si="88"/>
        <v>0</v>
      </c>
      <c r="NL15" s="13" t="s">
        <v>1826</v>
      </c>
      <c r="NM15">
        <f t="shared" si="89"/>
        <v>0</v>
      </c>
      <c r="NN15" s="13" t="s">
        <v>1827</v>
      </c>
      <c r="NO15">
        <f t="shared" si="90"/>
        <v>0</v>
      </c>
      <c r="NP15" s="13" t="s">
        <v>1828</v>
      </c>
      <c r="NQ15">
        <f t="shared" si="91"/>
        <v>0</v>
      </c>
      <c r="NR15" s="13" t="s">
        <v>1829</v>
      </c>
      <c r="NS15">
        <f t="shared" si="92"/>
        <v>0</v>
      </c>
      <c r="NT15" s="13" t="s">
        <v>1830</v>
      </c>
      <c r="NU15">
        <f t="shared" si="93"/>
        <v>0</v>
      </c>
      <c r="NV15" s="13"/>
    </row>
    <row r="16" spans="1:386" customFormat="1" x14ac:dyDescent="0.25">
      <c r="A16">
        <v>13</v>
      </c>
      <c r="B16">
        <f>'6'!AB55</f>
        <v>0</v>
      </c>
      <c r="C16">
        <f>'6'!AC55</f>
        <v>0</v>
      </c>
      <c r="D16">
        <f>'6'!AD55</f>
        <v>0</v>
      </c>
      <c r="E16">
        <f>'6'!AE55</f>
        <v>0</v>
      </c>
      <c r="F16">
        <f>'6'!AF55</f>
        <v>0</v>
      </c>
      <c r="G16">
        <f>'6'!AG55</f>
        <v>0</v>
      </c>
      <c r="H16">
        <f>'6'!AH55</f>
        <v>0</v>
      </c>
      <c r="I16">
        <f>'6'!AI55</f>
        <v>0</v>
      </c>
      <c r="J16">
        <f>'6'!AJ55</f>
        <v>0</v>
      </c>
      <c r="K16">
        <f>'6'!AK55</f>
        <v>0</v>
      </c>
      <c r="L16">
        <f>'6'!AL55</f>
        <v>0</v>
      </c>
      <c r="M16">
        <f>'6'!AM55</f>
        <v>0</v>
      </c>
      <c r="N16">
        <f>'6'!AN55</f>
        <v>0</v>
      </c>
      <c r="O16">
        <f>'6'!AO55</f>
        <v>0</v>
      </c>
      <c r="P16">
        <f>'6'!AP55</f>
        <v>0</v>
      </c>
      <c r="Q16">
        <f>'6'!AQ55</f>
        <v>0</v>
      </c>
      <c r="R16">
        <f>'6'!AR55</f>
        <v>0</v>
      </c>
      <c r="S16">
        <f>'6'!AS55</f>
        <v>0</v>
      </c>
      <c r="T16">
        <f>'6'!AT55</f>
        <v>0</v>
      </c>
      <c r="U16">
        <f>'6'!AU55</f>
        <v>0</v>
      </c>
      <c r="V16">
        <f>'6'!AV55</f>
        <v>0</v>
      </c>
      <c r="W16">
        <f>'6'!AW55</f>
        <v>0</v>
      </c>
      <c r="X16">
        <f>'6'!AX55</f>
        <v>0</v>
      </c>
      <c r="Y16">
        <f>'6'!AY55</f>
        <v>0</v>
      </c>
      <c r="Z16">
        <f>'6'!AZ55</f>
        <v>0</v>
      </c>
      <c r="AA16">
        <f>'6'!BA55</f>
        <v>0</v>
      </c>
      <c r="AB16">
        <f>'6'!BB55</f>
        <v>0</v>
      </c>
      <c r="AC16">
        <f>'6'!BC55</f>
        <v>0</v>
      </c>
      <c r="AD16">
        <f>'6'!BD55</f>
        <v>0</v>
      </c>
      <c r="AE16">
        <f>'6'!BE55</f>
        <v>0</v>
      </c>
      <c r="AF16">
        <f>'6'!BF55</f>
        <v>0</v>
      </c>
      <c r="AG16">
        <f>'6'!BG55</f>
        <v>0</v>
      </c>
      <c r="AH16">
        <f>'6'!BH55</f>
        <v>0</v>
      </c>
      <c r="AI16">
        <f>'6'!BI55</f>
        <v>0</v>
      </c>
      <c r="AJ16">
        <f>'6'!BJ55</f>
        <v>0</v>
      </c>
      <c r="AK16">
        <f>'6'!BK55</f>
        <v>0</v>
      </c>
      <c r="AL16">
        <f>'6'!BL55</f>
        <v>0</v>
      </c>
      <c r="AM16">
        <f>'6'!BM55</f>
        <v>0</v>
      </c>
      <c r="AN16">
        <f>'6'!BN55</f>
        <v>0</v>
      </c>
      <c r="AO16">
        <f>'6'!BO55</f>
        <v>0</v>
      </c>
      <c r="AP16">
        <f>'6'!BP55</f>
        <v>0</v>
      </c>
      <c r="AQ16">
        <f>'6'!BQ55</f>
        <v>0</v>
      </c>
      <c r="AR16">
        <f>'6'!BR55</f>
        <v>0</v>
      </c>
      <c r="AS16">
        <f>'6'!BS55</f>
        <v>0</v>
      </c>
      <c r="AT16">
        <f>'6'!BT55</f>
        <v>0</v>
      </c>
      <c r="AU16">
        <f>'6'!BU55</f>
        <v>0</v>
      </c>
      <c r="AV16">
        <f>'6'!BV55</f>
        <v>0</v>
      </c>
      <c r="AW16">
        <f>'6'!BW55</f>
        <v>0</v>
      </c>
      <c r="AX16">
        <f>'6'!BX55</f>
        <v>0</v>
      </c>
      <c r="AY16">
        <f>'6'!BY55</f>
        <v>0</v>
      </c>
      <c r="AZ16">
        <f>'6'!BZ55</f>
        <v>0</v>
      </c>
      <c r="BA16">
        <f>'6'!CA55</f>
        <v>0</v>
      </c>
      <c r="BB16">
        <f>'6'!CB55</f>
        <v>0</v>
      </c>
      <c r="BC16">
        <f>'6'!CC55</f>
        <v>0</v>
      </c>
      <c r="BD16">
        <f>'6'!CD55</f>
        <v>0</v>
      </c>
      <c r="BE16">
        <f>'6'!CE55</f>
        <v>0</v>
      </c>
      <c r="BF16">
        <f>'6'!CF55</f>
        <v>0</v>
      </c>
      <c r="BG16">
        <f>'6'!CG55</f>
        <v>0</v>
      </c>
      <c r="BH16">
        <f>'6'!CH55</f>
        <v>0</v>
      </c>
      <c r="BI16">
        <f>'6'!CI55</f>
        <v>0</v>
      </c>
      <c r="BJ16">
        <f>'6'!CJ55</f>
        <v>0</v>
      </c>
      <c r="BK16">
        <f>'6'!CK55</f>
        <v>0</v>
      </c>
      <c r="BL16">
        <f>'6'!CL55</f>
        <v>0</v>
      </c>
      <c r="BM16">
        <f>'6'!CM55</f>
        <v>0</v>
      </c>
      <c r="BN16">
        <f>'6'!CN55</f>
        <v>0</v>
      </c>
      <c r="BO16">
        <f>'6'!CO55</f>
        <v>0</v>
      </c>
      <c r="BP16">
        <f>'6'!CP55</f>
        <v>0</v>
      </c>
      <c r="BQ16">
        <f>'6'!CQ55</f>
        <v>0</v>
      </c>
      <c r="BR16">
        <f>'6'!CR55</f>
        <v>0</v>
      </c>
      <c r="BS16">
        <f>'6'!CS55</f>
        <v>0</v>
      </c>
      <c r="BT16">
        <f>'6'!CT55</f>
        <v>0</v>
      </c>
      <c r="BU16">
        <f>'6'!CU55</f>
        <v>0</v>
      </c>
      <c r="BV16">
        <f>'6'!CV55</f>
        <v>0</v>
      </c>
      <c r="BW16">
        <f>'6'!CW55</f>
        <v>0</v>
      </c>
      <c r="BX16">
        <f>'6'!CX55</f>
        <v>0</v>
      </c>
      <c r="BY16">
        <f>'6'!CY55</f>
        <v>0</v>
      </c>
      <c r="BZ16">
        <f>'6'!CZ55</f>
        <v>0</v>
      </c>
      <c r="CA16">
        <f>'6'!DA55</f>
        <v>0</v>
      </c>
      <c r="CB16">
        <f>'6'!DB55</f>
        <v>0</v>
      </c>
      <c r="CC16">
        <f>'6'!DC55</f>
        <v>0</v>
      </c>
      <c r="CD16">
        <f>'6'!DD55</f>
        <v>0</v>
      </c>
      <c r="CE16">
        <f>'6'!DE55</f>
        <v>0</v>
      </c>
      <c r="CF16">
        <f>'6'!DF55</f>
        <v>0</v>
      </c>
      <c r="CG16">
        <f>'6'!DG55</f>
        <v>0</v>
      </c>
      <c r="CH16">
        <f>SUM('7'!AB105:AB109)</f>
        <v>0</v>
      </c>
      <c r="CI16">
        <f>SUM('7'!AC105:AC109)</f>
        <v>0</v>
      </c>
      <c r="CJ16">
        <f>SUM('7'!AD105:AD109)</f>
        <v>0</v>
      </c>
      <c r="CK16">
        <f>SUM('7'!AE105:AE109)</f>
        <v>0</v>
      </c>
      <c r="CL16">
        <f>SUM('7'!AF105:AF109)</f>
        <v>0</v>
      </c>
      <c r="CM16">
        <f>SUM('7'!AG105:AG109)</f>
        <v>0</v>
      </c>
      <c r="CN16">
        <f>SUM('7'!AH105:AH109)</f>
        <v>0</v>
      </c>
      <c r="CO16">
        <f>SUM('7'!AI105:AI109)</f>
        <v>0</v>
      </c>
      <c r="CP16">
        <f>SUM('7'!AJ105:AJ109)</f>
        <v>0</v>
      </c>
      <c r="CQ16">
        <f>SUM('7'!AK105:AK109)</f>
        <v>0</v>
      </c>
      <c r="CR16">
        <f>SUM('7'!AL105:AL109)</f>
        <v>0</v>
      </c>
      <c r="CS16">
        <f>SUM('7'!AM105:AM109)</f>
        <v>0</v>
      </c>
      <c r="CT16">
        <f>SUM('7'!AN105:AN109)</f>
        <v>0</v>
      </c>
      <c r="CU16">
        <f>SUM('7'!AO105:AO109)</f>
        <v>0</v>
      </c>
      <c r="CV16">
        <f>SUM('7'!AP105:AP109)</f>
        <v>0</v>
      </c>
      <c r="CW16">
        <f>SUM('7'!AQ105:AQ109)</f>
        <v>0</v>
      </c>
      <c r="CX16">
        <f>SUM('7'!AR105:AR109)</f>
        <v>0</v>
      </c>
      <c r="CY16">
        <f>SUM('7'!AS105:AS109)</f>
        <v>0</v>
      </c>
      <c r="CZ16">
        <f>SUM('7'!AT105:AT109)</f>
        <v>0</v>
      </c>
      <c r="DA16">
        <f>SUM('7'!AU105:AU109)</f>
        <v>0</v>
      </c>
      <c r="DB16">
        <f>SUM('7'!AV105:AV109)</f>
        <v>0</v>
      </c>
      <c r="DC16">
        <f>SUM('7'!AW105:AW109)</f>
        <v>0</v>
      </c>
      <c r="DD16">
        <f>SUM('7'!AX105:AX109)</f>
        <v>0</v>
      </c>
      <c r="DE16">
        <f>SUM('7'!AY105:AY109)</f>
        <v>0</v>
      </c>
      <c r="DF16">
        <f>SUM('7'!AZ105:AZ109)</f>
        <v>0</v>
      </c>
      <c r="DG16">
        <f>SUM('7'!BA105:BA109)</f>
        <v>0</v>
      </c>
      <c r="DH16">
        <f>SUM('7'!BB105:BB109)</f>
        <v>0</v>
      </c>
      <c r="DI16">
        <f>SUM('7'!BC105:BC109)</f>
        <v>0</v>
      </c>
      <c r="DJ16">
        <f>SUM('7'!BD105:BD109)</f>
        <v>0</v>
      </c>
      <c r="DK16">
        <f>SUM('7'!BE105:BE109)</f>
        <v>0</v>
      </c>
      <c r="DL16">
        <f>SUM('7'!BF105:BF109)</f>
        <v>0</v>
      </c>
      <c r="DM16">
        <f>SUM('7'!BG105:BG109)</f>
        <v>0</v>
      </c>
      <c r="DN16">
        <f>SUM('7'!BH105:BH109)</f>
        <v>0</v>
      </c>
      <c r="DO16">
        <f>SUM('7'!BI105:BI109)</f>
        <v>0</v>
      </c>
      <c r="DP16">
        <f>SUM('7'!BJ105:BJ109)</f>
        <v>0</v>
      </c>
      <c r="DQ16">
        <f>SUM('7'!BK105:BK109)</f>
        <v>0</v>
      </c>
      <c r="DR16">
        <f>SUM('7'!BL105:BL109)</f>
        <v>0</v>
      </c>
      <c r="DS16">
        <f>SUM('7'!BM105:BM109)</f>
        <v>0</v>
      </c>
      <c r="DT16">
        <f>SUM('7'!BN105:BN109)</f>
        <v>0</v>
      </c>
      <c r="DU16">
        <f>SUM('7'!BO105:BO109)</f>
        <v>0</v>
      </c>
      <c r="DV16">
        <f>SUM('7'!BP105:BP109)</f>
        <v>0</v>
      </c>
      <c r="DW16">
        <f>SUM('7'!BQ105:BQ109)</f>
        <v>0</v>
      </c>
      <c r="DX16">
        <f>SUM('7'!BR105:BR109)</f>
        <v>0</v>
      </c>
      <c r="DY16">
        <f>SUM('7'!BS105:BS109)</f>
        <v>0</v>
      </c>
      <c r="DZ16">
        <f>SUM('7'!BT105:BT109)</f>
        <v>0</v>
      </c>
      <c r="EA16">
        <f>SUM('7'!BU105:BU109)</f>
        <v>0</v>
      </c>
      <c r="EB16">
        <f>SUM('7'!BV105:BV109)</f>
        <v>0</v>
      </c>
      <c r="EC16">
        <f>SUM('7'!BW105:BW109)</f>
        <v>0</v>
      </c>
      <c r="ED16">
        <f>SUM('7'!BX105:BX109)</f>
        <v>0</v>
      </c>
      <c r="EE16">
        <f>SUM('7'!BY105:BY109)</f>
        <v>0</v>
      </c>
      <c r="EF16">
        <f>SUM('7'!BZ105:BZ109)</f>
        <v>0</v>
      </c>
      <c r="EG16">
        <f>SUM('7'!CA105:CA109)</f>
        <v>0</v>
      </c>
      <c r="EH16">
        <f>SUM('7'!CB105:CB109)</f>
        <v>0</v>
      </c>
      <c r="EI16">
        <f>SUM('7'!CC105:CC109)</f>
        <v>0</v>
      </c>
      <c r="EJ16">
        <f>SUM('7'!CD105:CD109)</f>
        <v>0</v>
      </c>
      <c r="EK16">
        <f>SUM('7'!CE105:CE109)</f>
        <v>0</v>
      </c>
      <c r="EL16">
        <f>SUM('7'!CF105:CF109)</f>
        <v>0</v>
      </c>
      <c r="EM16">
        <f>SUM('7'!CG105:CG109)</f>
        <v>0</v>
      </c>
      <c r="EN16">
        <f>SUM('7'!CH105:CH109)</f>
        <v>0</v>
      </c>
      <c r="EO16">
        <f>SUM('7'!CI105:CI109)</f>
        <v>0</v>
      </c>
      <c r="EP16">
        <f>SUM('7'!CJ105:CJ109)</f>
        <v>0</v>
      </c>
      <c r="EQ16">
        <f>SUM('7'!CK105:CK109)</f>
        <v>0</v>
      </c>
      <c r="ER16">
        <f>SUM('7'!CL105:CL109)</f>
        <v>0</v>
      </c>
      <c r="ES16">
        <f>SUM('7'!CM105:CM109)</f>
        <v>0</v>
      </c>
      <c r="ET16">
        <f>SUM('7'!CN105:CN109)</f>
        <v>0</v>
      </c>
      <c r="EU16">
        <f>SUM('7'!CO105:CO109)</f>
        <v>0</v>
      </c>
      <c r="EV16">
        <f>SUM('7'!CP105:CP109)</f>
        <v>0</v>
      </c>
      <c r="EW16">
        <f>SUM('7'!CQ105:CQ109)</f>
        <v>0</v>
      </c>
      <c r="EX16">
        <f>SUM('7'!CR105:CR109)</f>
        <v>0</v>
      </c>
      <c r="EY16">
        <f>SUM('7'!CS105:CS109)</f>
        <v>0</v>
      </c>
      <c r="EZ16">
        <f>SUM('7'!CT105:CT109)</f>
        <v>0</v>
      </c>
      <c r="FA16">
        <f>SUM('7'!CU105:CU109)</f>
        <v>0</v>
      </c>
      <c r="FB16">
        <f>SUM('7'!CV105:CV109)</f>
        <v>0</v>
      </c>
      <c r="FC16">
        <f>SUM('7'!CW105:CW109)</f>
        <v>0</v>
      </c>
      <c r="FD16">
        <f>SUM('7'!CX105:CX109)</f>
        <v>0</v>
      </c>
      <c r="FE16">
        <f>SUM('7'!CY105:CY109)</f>
        <v>0</v>
      </c>
      <c r="FF16">
        <f>SUM('7'!CZ105:CZ109)</f>
        <v>0</v>
      </c>
      <c r="FG16">
        <f>SUM('7'!DA105:DA109)</f>
        <v>0</v>
      </c>
      <c r="FH16">
        <f>SUM('7'!DB105:DB109)</f>
        <v>0</v>
      </c>
      <c r="FI16">
        <f>SUM('7'!DC105:DC109)</f>
        <v>0</v>
      </c>
      <c r="FJ16">
        <f>SUM('7'!DD105:DD109)</f>
        <v>0</v>
      </c>
      <c r="FK16">
        <f>SUM('7'!DE105:DE109)</f>
        <v>0</v>
      </c>
      <c r="FL16">
        <f>SUM('7'!DF105:DF109)</f>
        <v>0</v>
      </c>
      <c r="FM16">
        <f>SUM('7'!DG105:DG109)</f>
        <v>0</v>
      </c>
      <c r="FN16" t="s">
        <v>1831</v>
      </c>
      <c r="FO16">
        <f t="shared" si="94"/>
        <v>0</v>
      </c>
      <c r="FP16" t="s">
        <v>1832</v>
      </c>
      <c r="FQ16">
        <f t="shared" si="0"/>
        <v>0</v>
      </c>
      <c r="FR16" t="s">
        <v>1833</v>
      </c>
      <c r="FS16">
        <f t="shared" si="1"/>
        <v>0</v>
      </c>
      <c r="FT16" t="s">
        <v>1834</v>
      </c>
      <c r="FU16">
        <f t="shared" si="2"/>
        <v>0</v>
      </c>
      <c r="FV16" t="s">
        <v>1835</v>
      </c>
      <c r="FW16">
        <f t="shared" si="3"/>
        <v>0</v>
      </c>
      <c r="FX16" t="s">
        <v>1836</v>
      </c>
      <c r="FY16">
        <f t="shared" si="4"/>
        <v>0</v>
      </c>
      <c r="FZ16" t="s">
        <v>1837</v>
      </c>
      <c r="GA16">
        <f t="shared" si="5"/>
        <v>0</v>
      </c>
      <c r="GB16" t="s">
        <v>1838</v>
      </c>
      <c r="GC16">
        <f t="shared" si="6"/>
        <v>0</v>
      </c>
      <c r="GD16" t="s">
        <v>1839</v>
      </c>
      <c r="GE16">
        <f t="shared" si="7"/>
        <v>0</v>
      </c>
      <c r="GF16" t="s">
        <v>1840</v>
      </c>
      <c r="GG16">
        <f t="shared" si="8"/>
        <v>0</v>
      </c>
      <c r="GH16" t="s">
        <v>1841</v>
      </c>
      <c r="GI16">
        <f t="shared" si="9"/>
        <v>0</v>
      </c>
      <c r="GJ16" t="s">
        <v>1842</v>
      </c>
      <c r="GK16">
        <f t="shared" si="10"/>
        <v>0</v>
      </c>
      <c r="GL16" t="s">
        <v>1843</v>
      </c>
      <c r="GM16">
        <f t="shared" si="11"/>
        <v>0</v>
      </c>
      <c r="GN16" t="s">
        <v>1844</v>
      </c>
      <c r="GO16">
        <f t="shared" si="95"/>
        <v>0</v>
      </c>
      <c r="GP16" t="s">
        <v>1845</v>
      </c>
      <c r="GQ16">
        <f t="shared" si="12"/>
        <v>0</v>
      </c>
      <c r="GR16" t="s">
        <v>1846</v>
      </c>
      <c r="GS16">
        <f t="shared" si="13"/>
        <v>0</v>
      </c>
      <c r="GT16" t="s">
        <v>1847</v>
      </c>
      <c r="GU16">
        <f t="shared" si="14"/>
        <v>0</v>
      </c>
      <c r="GV16" t="s">
        <v>1848</v>
      </c>
      <c r="GW16">
        <f t="shared" si="15"/>
        <v>0</v>
      </c>
      <c r="GX16" t="s">
        <v>1849</v>
      </c>
      <c r="GY16">
        <f t="shared" si="16"/>
        <v>0</v>
      </c>
      <c r="GZ16" t="s">
        <v>1850</v>
      </c>
      <c r="HA16">
        <f t="shared" si="17"/>
        <v>0</v>
      </c>
      <c r="HB16" t="s">
        <v>1851</v>
      </c>
      <c r="HC16">
        <f t="shared" si="18"/>
        <v>0</v>
      </c>
      <c r="HD16" t="s">
        <v>1852</v>
      </c>
      <c r="HE16">
        <f t="shared" si="19"/>
        <v>0</v>
      </c>
      <c r="HF16" t="s">
        <v>1853</v>
      </c>
      <c r="HG16">
        <f t="shared" si="20"/>
        <v>0</v>
      </c>
      <c r="HH16" t="s">
        <v>1854</v>
      </c>
      <c r="HI16">
        <f t="shared" si="21"/>
        <v>0</v>
      </c>
      <c r="HJ16" t="s">
        <v>1855</v>
      </c>
      <c r="HK16">
        <f t="shared" si="22"/>
        <v>0</v>
      </c>
      <c r="HL16" t="s">
        <v>1856</v>
      </c>
      <c r="HM16">
        <f t="shared" si="23"/>
        <v>0</v>
      </c>
      <c r="HN16" t="s">
        <v>1857</v>
      </c>
      <c r="HO16">
        <f t="shared" si="24"/>
        <v>0</v>
      </c>
      <c r="HP16" t="s">
        <v>1858</v>
      </c>
      <c r="HQ16">
        <f t="shared" si="25"/>
        <v>0</v>
      </c>
      <c r="HR16" t="s">
        <v>1859</v>
      </c>
      <c r="HS16">
        <f t="shared" si="26"/>
        <v>0</v>
      </c>
      <c r="HT16" t="s">
        <v>1860</v>
      </c>
      <c r="HU16">
        <f t="shared" si="27"/>
        <v>0</v>
      </c>
      <c r="HV16" t="s">
        <v>1861</v>
      </c>
      <c r="HW16">
        <f t="shared" si="28"/>
        <v>0</v>
      </c>
      <c r="HX16" t="s">
        <v>1862</v>
      </c>
      <c r="HY16">
        <f t="shared" si="29"/>
        <v>0</v>
      </c>
      <c r="HZ16" t="s">
        <v>1863</v>
      </c>
      <c r="IA16">
        <f t="shared" si="30"/>
        <v>0</v>
      </c>
      <c r="IB16" t="s">
        <v>1864</v>
      </c>
      <c r="IC16">
        <f t="shared" si="31"/>
        <v>0</v>
      </c>
      <c r="ID16" t="s">
        <v>1865</v>
      </c>
      <c r="IE16">
        <f t="shared" si="32"/>
        <v>0</v>
      </c>
      <c r="IF16" t="s">
        <v>1866</v>
      </c>
      <c r="IG16">
        <f t="shared" si="33"/>
        <v>0</v>
      </c>
      <c r="IH16" t="s">
        <v>1867</v>
      </c>
      <c r="II16">
        <f t="shared" si="34"/>
        <v>0</v>
      </c>
      <c r="IJ16" t="s">
        <v>1868</v>
      </c>
      <c r="IK16">
        <f t="shared" si="35"/>
        <v>0</v>
      </c>
      <c r="IL16" t="s">
        <v>1869</v>
      </c>
      <c r="IM16">
        <f t="shared" si="36"/>
        <v>0</v>
      </c>
      <c r="IN16" t="s">
        <v>1870</v>
      </c>
      <c r="IO16">
        <f t="shared" si="37"/>
        <v>0</v>
      </c>
      <c r="IP16" t="s">
        <v>1871</v>
      </c>
      <c r="IQ16">
        <f t="shared" si="38"/>
        <v>0</v>
      </c>
      <c r="IR16" t="s">
        <v>1872</v>
      </c>
      <c r="IS16">
        <f t="shared" si="39"/>
        <v>0</v>
      </c>
      <c r="IT16" t="s">
        <v>1873</v>
      </c>
      <c r="IU16">
        <f t="shared" si="40"/>
        <v>0</v>
      </c>
      <c r="IV16" t="s">
        <v>1874</v>
      </c>
      <c r="IW16">
        <f t="shared" si="41"/>
        <v>0</v>
      </c>
      <c r="IX16" t="s">
        <v>1875</v>
      </c>
      <c r="IY16">
        <f t="shared" si="42"/>
        <v>0</v>
      </c>
      <c r="IZ16" t="s">
        <v>1876</v>
      </c>
      <c r="JA16">
        <f t="shared" si="43"/>
        <v>0</v>
      </c>
      <c r="JB16" t="s">
        <v>1877</v>
      </c>
      <c r="JC16">
        <f t="shared" si="44"/>
        <v>0</v>
      </c>
      <c r="JD16" t="s">
        <v>1878</v>
      </c>
      <c r="JE16">
        <f t="shared" si="45"/>
        <v>0</v>
      </c>
      <c r="JF16" t="s">
        <v>1879</v>
      </c>
      <c r="JG16">
        <f t="shared" si="46"/>
        <v>0</v>
      </c>
      <c r="JH16" t="s">
        <v>1880</v>
      </c>
      <c r="JI16">
        <f t="shared" si="47"/>
        <v>0</v>
      </c>
      <c r="JJ16" t="s">
        <v>1881</v>
      </c>
      <c r="JK16">
        <f t="shared" si="48"/>
        <v>0</v>
      </c>
      <c r="JL16" t="s">
        <v>1882</v>
      </c>
      <c r="JM16">
        <f t="shared" si="49"/>
        <v>0</v>
      </c>
      <c r="JN16" t="s">
        <v>1883</v>
      </c>
      <c r="JO16">
        <f t="shared" si="50"/>
        <v>0</v>
      </c>
      <c r="JP16" t="s">
        <v>1884</v>
      </c>
      <c r="JQ16">
        <f t="shared" si="51"/>
        <v>0</v>
      </c>
      <c r="JR16" t="s">
        <v>1885</v>
      </c>
      <c r="JS16">
        <f t="shared" si="52"/>
        <v>0</v>
      </c>
      <c r="JT16" t="s">
        <v>1886</v>
      </c>
      <c r="JU16">
        <f t="shared" si="53"/>
        <v>0</v>
      </c>
      <c r="JV16" t="s">
        <v>1887</v>
      </c>
      <c r="JW16">
        <f t="shared" si="54"/>
        <v>0</v>
      </c>
      <c r="JX16" t="s">
        <v>1888</v>
      </c>
      <c r="JY16">
        <f t="shared" si="55"/>
        <v>0</v>
      </c>
      <c r="JZ16" t="s">
        <v>1889</v>
      </c>
      <c r="KA16">
        <f t="shared" si="56"/>
        <v>0</v>
      </c>
      <c r="KB16" t="s">
        <v>1890</v>
      </c>
      <c r="KC16">
        <f t="shared" si="57"/>
        <v>0</v>
      </c>
      <c r="KD16" t="s">
        <v>1891</v>
      </c>
      <c r="KE16">
        <f t="shared" si="58"/>
        <v>0</v>
      </c>
      <c r="KF16" t="s">
        <v>1892</v>
      </c>
      <c r="KG16">
        <f t="shared" si="59"/>
        <v>0</v>
      </c>
      <c r="KH16" t="s">
        <v>1893</v>
      </c>
      <c r="KI16">
        <f t="shared" si="60"/>
        <v>0</v>
      </c>
      <c r="KJ16" t="s">
        <v>1894</v>
      </c>
      <c r="KK16">
        <f t="shared" si="61"/>
        <v>0</v>
      </c>
      <c r="KL16" t="s">
        <v>1895</v>
      </c>
      <c r="KM16">
        <f t="shared" si="62"/>
        <v>0</v>
      </c>
      <c r="KN16" t="s">
        <v>1896</v>
      </c>
      <c r="KO16">
        <f t="shared" si="63"/>
        <v>0</v>
      </c>
      <c r="KP16" t="s">
        <v>1897</v>
      </c>
      <c r="KQ16">
        <f t="shared" si="64"/>
        <v>0</v>
      </c>
      <c r="KR16" t="s">
        <v>1898</v>
      </c>
      <c r="KS16">
        <f t="shared" si="65"/>
        <v>0</v>
      </c>
      <c r="KT16" t="s">
        <v>1899</v>
      </c>
      <c r="KU16">
        <f t="shared" si="66"/>
        <v>0</v>
      </c>
      <c r="KV16" t="s">
        <v>1900</v>
      </c>
      <c r="KW16">
        <f t="shared" si="67"/>
        <v>0</v>
      </c>
      <c r="KX16" t="s">
        <v>1901</v>
      </c>
      <c r="KY16">
        <f t="shared" si="68"/>
        <v>0</v>
      </c>
      <c r="KZ16" t="s">
        <v>1902</v>
      </c>
      <c r="LA16">
        <f t="shared" si="69"/>
        <v>0</v>
      </c>
      <c r="LB16" t="s">
        <v>1903</v>
      </c>
      <c r="LC16">
        <f t="shared" si="70"/>
        <v>0</v>
      </c>
      <c r="LD16" t="s">
        <v>1904</v>
      </c>
      <c r="LE16">
        <f t="shared" si="71"/>
        <v>0</v>
      </c>
      <c r="LF16" t="s">
        <v>1905</v>
      </c>
      <c r="LG16">
        <f t="shared" si="72"/>
        <v>0</v>
      </c>
      <c r="LH16" t="s">
        <v>1906</v>
      </c>
      <c r="LI16">
        <f t="shared" si="73"/>
        <v>0</v>
      </c>
      <c r="LJ16" t="s">
        <v>1907</v>
      </c>
      <c r="LK16">
        <f t="shared" si="74"/>
        <v>0</v>
      </c>
      <c r="LL16" t="s">
        <v>1908</v>
      </c>
      <c r="LM16">
        <f t="shared" si="75"/>
        <v>0</v>
      </c>
      <c r="LN16" t="s">
        <v>1909</v>
      </c>
      <c r="LO16">
        <f t="shared" si="76"/>
        <v>0</v>
      </c>
      <c r="LP16" t="s">
        <v>1910</v>
      </c>
      <c r="LQ16">
        <f t="shared" si="77"/>
        <v>0</v>
      </c>
      <c r="LR16" t="s">
        <v>1911</v>
      </c>
      <c r="LS16">
        <f t="shared" si="78"/>
        <v>0</v>
      </c>
      <c r="LT16" t="s">
        <v>1912</v>
      </c>
      <c r="LU16">
        <f t="shared" si="79"/>
        <v>0</v>
      </c>
      <c r="LV16" t="s">
        <v>1913</v>
      </c>
      <c r="LW16">
        <f t="shared" si="80"/>
        <v>0</v>
      </c>
      <c r="LX16" t="s">
        <v>1914</v>
      </c>
      <c r="LY16">
        <f t="shared" si="81"/>
        <v>0</v>
      </c>
      <c r="LZ16">
        <f>'6'!B56</f>
        <v>0</v>
      </c>
      <c r="MA16">
        <f>'6'!C56</f>
        <v>0</v>
      </c>
      <c r="MB16">
        <f>'6'!D56</f>
        <v>0</v>
      </c>
      <c r="MC16">
        <f>'6'!E56</f>
        <v>0</v>
      </c>
      <c r="MD16">
        <f>'6'!F56</f>
        <v>0</v>
      </c>
      <c r="ME16">
        <f>'6'!G56</f>
        <v>0</v>
      </c>
      <c r="MF16">
        <f>'6'!H56</f>
        <v>0</v>
      </c>
      <c r="MG16">
        <f>'6'!I56</f>
        <v>0</v>
      </c>
      <c r="MH16">
        <f>'6'!J56</f>
        <v>0</v>
      </c>
      <c r="MI16">
        <f>'6'!K56</f>
        <v>0</v>
      </c>
      <c r="MJ16">
        <f>'6'!L56</f>
        <v>0</v>
      </c>
      <c r="MK16">
        <f>'6'!M56</f>
        <v>0</v>
      </c>
      <c r="ML16" s="13">
        <f>'7'!B103</f>
        <v>0</v>
      </c>
      <c r="MM16" s="13">
        <f>'7'!C103</f>
        <v>0</v>
      </c>
      <c r="MN16" s="13">
        <f>'7'!D103</f>
        <v>0</v>
      </c>
      <c r="MO16" s="13">
        <f>'7'!E103</f>
        <v>0</v>
      </c>
      <c r="MP16" s="13">
        <f>'7'!F103</f>
        <v>0</v>
      </c>
      <c r="MQ16" s="13">
        <f>'7'!G103</f>
        <v>0</v>
      </c>
      <c r="MR16" s="13">
        <f>'7'!H103</f>
        <v>0</v>
      </c>
      <c r="MS16" s="13">
        <f>'7'!I103</f>
        <v>0</v>
      </c>
      <c r="MT16" s="13">
        <f>'7'!J103</f>
        <v>0</v>
      </c>
      <c r="MU16" s="13">
        <f>'7'!K103</f>
        <v>0</v>
      </c>
      <c r="MV16" s="13">
        <f>'7'!L103</f>
        <v>0</v>
      </c>
      <c r="MW16" s="13">
        <f>'7'!M103</f>
        <v>0</v>
      </c>
      <c r="MX16" s="13" t="s">
        <v>1915</v>
      </c>
      <c r="MY16">
        <f t="shared" si="82"/>
        <v>0</v>
      </c>
      <c r="MZ16" s="13" t="s">
        <v>1916</v>
      </c>
      <c r="NA16">
        <f t="shared" si="83"/>
        <v>0</v>
      </c>
      <c r="NB16" s="13" t="s">
        <v>1917</v>
      </c>
      <c r="NC16">
        <f t="shared" si="84"/>
        <v>0</v>
      </c>
      <c r="ND16" s="13" t="s">
        <v>1918</v>
      </c>
      <c r="NE16">
        <f t="shared" si="85"/>
        <v>0</v>
      </c>
      <c r="NF16" s="13" t="s">
        <v>1919</v>
      </c>
      <c r="NG16">
        <f t="shared" si="86"/>
        <v>0</v>
      </c>
      <c r="NH16" s="13" t="s">
        <v>1920</v>
      </c>
      <c r="NI16">
        <f t="shared" si="87"/>
        <v>0</v>
      </c>
      <c r="NJ16" s="13" t="s">
        <v>1921</v>
      </c>
      <c r="NK16">
        <f t="shared" si="88"/>
        <v>0</v>
      </c>
      <c r="NL16" s="13" t="s">
        <v>1922</v>
      </c>
      <c r="NM16">
        <f t="shared" si="89"/>
        <v>0</v>
      </c>
      <c r="NN16" s="13" t="s">
        <v>1923</v>
      </c>
      <c r="NO16">
        <f t="shared" si="90"/>
        <v>0</v>
      </c>
      <c r="NP16" s="13" t="s">
        <v>1924</v>
      </c>
      <c r="NQ16">
        <f t="shared" si="91"/>
        <v>0</v>
      </c>
      <c r="NR16" s="13" t="s">
        <v>1925</v>
      </c>
      <c r="NS16">
        <f t="shared" si="92"/>
        <v>0</v>
      </c>
      <c r="NT16" s="13" t="s">
        <v>1926</v>
      </c>
      <c r="NU16">
        <f t="shared" si="93"/>
        <v>0</v>
      </c>
      <c r="NV16" s="13"/>
    </row>
    <row r="17" spans="1:386" customFormat="1" x14ac:dyDescent="0.25">
      <c r="A17">
        <v>14</v>
      </c>
      <c r="B17">
        <f>'6'!AB59</f>
        <v>0</v>
      </c>
      <c r="C17">
        <f>'6'!AC59</f>
        <v>0</v>
      </c>
      <c r="D17">
        <f>'6'!AD59</f>
        <v>0</v>
      </c>
      <c r="E17">
        <f>'6'!AE59</f>
        <v>0</v>
      </c>
      <c r="F17">
        <f>'6'!AF59</f>
        <v>0</v>
      </c>
      <c r="G17">
        <f>'6'!AG59</f>
        <v>0</v>
      </c>
      <c r="H17">
        <f>'6'!AH59</f>
        <v>0</v>
      </c>
      <c r="I17">
        <f>'6'!AI59</f>
        <v>0</v>
      </c>
      <c r="J17">
        <f>'6'!AJ59</f>
        <v>0</v>
      </c>
      <c r="K17">
        <f>'6'!AK59</f>
        <v>0</v>
      </c>
      <c r="L17">
        <f>'6'!AL59</f>
        <v>0</v>
      </c>
      <c r="M17">
        <f>'6'!AM59</f>
        <v>0</v>
      </c>
      <c r="N17">
        <f>'6'!AN59</f>
        <v>0</v>
      </c>
      <c r="O17">
        <f>'6'!AO59</f>
        <v>0</v>
      </c>
      <c r="P17">
        <f>'6'!AP59</f>
        <v>0</v>
      </c>
      <c r="Q17">
        <f>'6'!AQ59</f>
        <v>0</v>
      </c>
      <c r="R17">
        <f>'6'!AR59</f>
        <v>0</v>
      </c>
      <c r="S17">
        <f>'6'!AS59</f>
        <v>0</v>
      </c>
      <c r="T17">
        <f>'6'!AT59</f>
        <v>0</v>
      </c>
      <c r="U17">
        <f>'6'!AU59</f>
        <v>0</v>
      </c>
      <c r="V17">
        <f>'6'!AV59</f>
        <v>0</v>
      </c>
      <c r="W17">
        <f>'6'!AW59</f>
        <v>0</v>
      </c>
      <c r="X17">
        <f>'6'!AX59</f>
        <v>0</v>
      </c>
      <c r="Y17">
        <f>'6'!AY59</f>
        <v>0</v>
      </c>
      <c r="Z17">
        <f>'6'!AZ59</f>
        <v>0</v>
      </c>
      <c r="AA17">
        <f>'6'!BA59</f>
        <v>0</v>
      </c>
      <c r="AB17">
        <f>'6'!BB59</f>
        <v>0</v>
      </c>
      <c r="AC17">
        <f>'6'!BC59</f>
        <v>0</v>
      </c>
      <c r="AD17">
        <f>'6'!BD59</f>
        <v>0</v>
      </c>
      <c r="AE17">
        <f>'6'!BE59</f>
        <v>0</v>
      </c>
      <c r="AF17">
        <f>'6'!BF59</f>
        <v>0</v>
      </c>
      <c r="AG17">
        <f>'6'!BG59</f>
        <v>0</v>
      </c>
      <c r="AH17">
        <f>'6'!BH59</f>
        <v>0</v>
      </c>
      <c r="AI17">
        <f>'6'!BI59</f>
        <v>0</v>
      </c>
      <c r="AJ17">
        <f>'6'!BJ59</f>
        <v>0</v>
      </c>
      <c r="AK17">
        <f>'6'!BK59</f>
        <v>0</v>
      </c>
      <c r="AL17">
        <f>'6'!BL59</f>
        <v>0</v>
      </c>
      <c r="AM17">
        <f>'6'!BM59</f>
        <v>0</v>
      </c>
      <c r="AN17">
        <f>'6'!BN59</f>
        <v>0</v>
      </c>
      <c r="AO17">
        <f>'6'!BO59</f>
        <v>0</v>
      </c>
      <c r="AP17">
        <f>'6'!BP59</f>
        <v>0</v>
      </c>
      <c r="AQ17">
        <f>'6'!BQ59</f>
        <v>0</v>
      </c>
      <c r="AR17">
        <f>'6'!BR59</f>
        <v>0</v>
      </c>
      <c r="AS17">
        <f>'6'!BS59</f>
        <v>0</v>
      </c>
      <c r="AT17">
        <f>'6'!BT59</f>
        <v>0</v>
      </c>
      <c r="AU17">
        <f>'6'!BU59</f>
        <v>0</v>
      </c>
      <c r="AV17">
        <f>'6'!BV59</f>
        <v>0</v>
      </c>
      <c r="AW17">
        <f>'6'!BW59</f>
        <v>0</v>
      </c>
      <c r="AX17">
        <f>'6'!BX59</f>
        <v>0</v>
      </c>
      <c r="AY17">
        <f>'6'!BY59</f>
        <v>0</v>
      </c>
      <c r="AZ17">
        <f>'6'!BZ59</f>
        <v>0</v>
      </c>
      <c r="BA17">
        <f>'6'!CA59</f>
        <v>0</v>
      </c>
      <c r="BB17">
        <f>'6'!CB59</f>
        <v>0</v>
      </c>
      <c r="BC17">
        <f>'6'!CC59</f>
        <v>0</v>
      </c>
      <c r="BD17">
        <f>'6'!CD59</f>
        <v>0</v>
      </c>
      <c r="BE17">
        <f>'6'!CE59</f>
        <v>0</v>
      </c>
      <c r="BF17">
        <f>'6'!CF59</f>
        <v>0</v>
      </c>
      <c r="BG17">
        <f>'6'!CG59</f>
        <v>0</v>
      </c>
      <c r="BH17">
        <f>'6'!CH59</f>
        <v>0</v>
      </c>
      <c r="BI17">
        <f>'6'!CI59</f>
        <v>0</v>
      </c>
      <c r="BJ17">
        <f>'6'!CJ59</f>
        <v>0</v>
      </c>
      <c r="BK17">
        <f>'6'!CK59</f>
        <v>0</v>
      </c>
      <c r="BL17">
        <f>'6'!CL59</f>
        <v>0</v>
      </c>
      <c r="BM17">
        <f>'6'!CM59</f>
        <v>0</v>
      </c>
      <c r="BN17">
        <f>'6'!CN59</f>
        <v>0</v>
      </c>
      <c r="BO17">
        <f>'6'!CO59</f>
        <v>0</v>
      </c>
      <c r="BP17">
        <f>'6'!CP59</f>
        <v>0</v>
      </c>
      <c r="BQ17">
        <f>'6'!CQ59</f>
        <v>0</v>
      </c>
      <c r="BR17">
        <f>'6'!CR59</f>
        <v>0</v>
      </c>
      <c r="BS17">
        <f>'6'!CS59</f>
        <v>0</v>
      </c>
      <c r="BT17">
        <f>'6'!CT59</f>
        <v>0</v>
      </c>
      <c r="BU17">
        <f>'6'!CU59</f>
        <v>0</v>
      </c>
      <c r="BV17">
        <f>'6'!CV59</f>
        <v>0</v>
      </c>
      <c r="BW17">
        <f>'6'!CW59</f>
        <v>0</v>
      </c>
      <c r="BX17">
        <f>'6'!CX59</f>
        <v>0</v>
      </c>
      <c r="BY17">
        <f>'6'!CY59</f>
        <v>0</v>
      </c>
      <c r="BZ17">
        <f>'6'!CZ59</f>
        <v>0</v>
      </c>
      <c r="CA17">
        <f>'6'!DA59</f>
        <v>0</v>
      </c>
      <c r="CB17">
        <f>'6'!DB59</f>
        <v>0</v>
      </c>
      <c r="CC17">
        <f>'6'!DC59</f>
        <v>0</v>
      </c>
      <c r="CD17">
        <f>'6'!DD59</f>
        <v>0</v>
      </c>
      <c r="CE17">
        <f>'6'!DE59</f>
        <v>0</v>
      </c>
      <c r="CF17">
        <f>'6'!DF59</f>
        <v>0</v>
      </c>
      <c r="CG17">
        <f>'6'!DG59</f>
        <v>0</v>
      </c>
      <c r="CH17">
        <f>SUM('7'!AB113:AB117)</f>
        <v>0</v>
      </c>
      <c r="CI17">
        <f>SUM('7'!AC113:AC117)</f>
        <v>0</v>
      </c>
      <c r="CJ17">
        <f>SUM('7'!AD113:AD117)</f>
        <v>0</v>
      </c>
      <c r="CK17">
        <f>SUM('7'!AE113:AE117)</f>
        <v>0</v>
      </c>
      <c r="CL17">
        <f>SUM('7'!AF113:AF117)</f>
        <v>0</v>
      </c>
      <c r="CM17">
        <f>SUM('7'!AG113:AG117)</f>
        <v>0</v>
      </c>
      <c r="CN17">
        <f>SUM('7'!AH113:AH117)</f>
        <v>0</v>
      </c>
      <c r="CO17">
        <f>SUM('7'!AI113:AI117)</f>
        <v>0</v>
      </c>
      <c r="CP17">
        <f>SUM('7'!AJ113:AJ117)</f>
        <v>0</v>
      </c>
      <c r="CQ17">
        <f>SUM('7'!AK113:AK117)</f>
        <v>0</v>
      </c>
      <c r="CR17">
        <f>SUM('7'!AL113:AL117)</f>
        <v>0</v>
      </c>
      <c r="CS17">
        <f>SUM('7'!AM113:AM117)</f>
        <v>0</v>
      </c>
      <c r="CT17">
        <f>SUM('7'!AN113:AN117)</f>
        <v>0</v>
      </c>
      <c r="CU17">
        <f>SUM('7'!AO113:AO117)</f>
        <v>0</v>
      </c>
      <c r="CV17">
        <f>SUM('7'!AP113:AP117)</f>
        <v>0</v>
      </c>
      <c r="CW17">
        <f>SUM('7'!AQ113:AQ117)</f>
        <v>0</v>
      </c>
      <c r="CX17">
        <f>SUM('7'!AR113:AR117)</f>
        <v>0</v>
      </c>
      <c r="CY17">
        <f>SUM('7'!AS113:AS117)</f>
        <v>0</v>
      </c>
      <c r="CZ17">
        <f>SUM('7'!AT113:AT117)</f>
        <v>0</v>
      </c>
      <c r="DA17">
        <f>SUM('7'!AU113:AU117)</f>
        <v>0</v>
      </c>
      <c r="DB17">
        <f>SUM('7'!AV113:AV117)</f>
        <v>0</v>
      </c>
      <c r="DC17">
        <f>SUM('7'!AW113:AW117)</f>
        <v>0</v>
      </c>
      <c r="DD17">
        <f>SUM('7'!AX113:AX117)</f>
        <v>0</v>
      </c>
      <c r="DE17">
        <f>SUM('7'!AY113:AY117)</f>
        <v>0</v>
      </c>
      <c r="DF17">
        <f>SUM('7'!AZ113:AZ117)</f>
        <v>0</v>
      </c>
      <c r="DG17">
        <f>SUM('7'!BA113:BA117)</f>
        <v>0</v>
      </c>
      <c r="DH17">
        <f>SUM('7'!BB113:BB117)</f>
        <v>0</v>
      </c>
      <c r="DI17">
        <f>SUM('7'!BC113:BC117)</f>
        <v>0</v>
      </c>
      <c r="DJ17">
        <f>SUM('7'!BD113:BD117)</f>
        <v>0</v>
      </c>
      <c r="DK17">
        <f>SUM('7'!BE113:BE117)</f>
        <v>0</v>
      </c>
      <c r="DL17">
        <f>SUM('7'!BF113:BF117)</f>
        <v>0</v>
      </c>
      <c r="DM17">
        <f>SUM('7'!BG113:BG117)</f>
        <v>0</v>
      </c>
      <c r="DN17">
        <f>SUM('7'!BH113:BH117)</f>
        <v>0</v>
      </c>
      <c r="DO17">
        <f>SUM('7'!BI113:BI117)</f>
        <v>0</v>
      </c>
      <c r="DP17">
        <f>SUM('7'!BJ113:BJ117)</f>
        <v>0</v>
      </c>
      <c r="DQ17">
        <f>SUM('7'!BK113:BK117)</f>
        <v>0</v>
      </c>
      <c r="DR17">
        <f>SUM('7'!BL113:BL117)</f>
        <v>0</v>
      </c>
      <c r="DS17">
        <f>SUM('7'!BM113:BM117)</f>
        <v>0</v>
      </c>
      <c r="DT17">
        <f>SUM('7'!BN113:BN117)</f>
        <v>0</v>
      </c>
      <c r="DU17">
        <f>SUM('7'!BO113:BO117)</f>
        <v>0</v>
      </c>
      <c r="DV17">
        <f>SUM('7'!BP113:BP117)</f>
        <v>0</v>
      </c>
      <c r="DW17">
        <f>SUM('7'!BQ113:BQ117)</f>
        <v>0</v>
      </c>
      <c r="DX17">
        <f>SUM('7'!BR113:BR117)</f>
        <v>0</v>
      </c>
      <c r="DY17">
        <f>SUM('7'!BS113:BS117)</f>
        <v>0</v>
      </c>
      <c r="DZ17">
        <f>SUM('7'!BT113:BT117)</f>
        <v>0</v>
      </c>
      <c r="EA17">
        <f>SUM('7'!BU113:BU117)</f>
        <v>0</v>
      </c>
      <c r="EB17">
        <f>SUM('7'!BV113:BV117)</f>
        <v>0</v>
      </c>
      <c r="EC17">
        <f>SUM('7'!BW113:BW117)</f>
        <v>0</v>
      </c>
      <c r="ED17">
        <f>SUM('7'!BX113:BX117)</f>
        <v>0</v>
      </c>
      <c r="EE17">
        <f>SUM('7'!BY113:BY117)</f>
        <v>0</v>
      </c>
      <c r="EF17">
        <f>SUM('7'!BZ113:BZ117)</f>
        <v>0</v>
      </c>
      <c r="EG17">
        <f>SUM('7'!CA113:CA117)</f>
        <v>0</v>
      </c>
      <c r="EH17">
        <f>SUM('7'!CB113:CB117)</f>
        <v>0</v>
      </c>
      <c r="EI17">
        <f>SUM('7'!CC113:CC117)</f>
        <v>0</v>
      </c>
      <c r="EJ17">
        <f>SUM('7'!CD113:CD117)</f>
        <v>0</v>
      </c>
      <c r="EK17">
        <f>SUM('7'!CE113:CE117)</f>
        <v>0</v>
      </c>
      <c r="EL17">
        <f>SUM('7'!CF113:CF117)</f>
        <v>0</v>
      </c>
      <c r="EM17">
        <f>SUM('7'!CG113:CG117)</f>
        <v>0</v>
      </c>
      <c r="EN17">
        <f>SUM('7'!CH113:CH117)</f>
        <v>0</v>
      </c>
      <c r="EO17">
        <f>SUM('7'!CI113:CI117)</f>
        <v>0</v>
      </c>
      <c r="EP17">
        <f>SUM('7'!CJ113:CJ117)</f>
        <v>0</v>
      </c>
      <c r="EQ17">
        <f>SUM('7'!CK113:CK117)</f>
        <v>0</v>
      </c>
      <c r="ER17">
        <f>SUM('7'!CL113:CL117)</f>
        <v>0</v>
      </c>
      <c r="ES17">
        <f>SUM('7'!CM113:CM117)</f>
        <v>0</v>
      </c>
      <c r="ET17">
        <f>SUM('7'!CN113:CN117)</f>
        <v>0</v>
      </c>
      <c r="EU17">
        <f>SUM('7'!CO113:CO117)</f>
        <v>0</v>
      </c>
      <c r="EV17">
        <f>SUM('7'!CP113:CP117)</f>
        <v>0</v>
      </c>
      <c r="EW17">
        <f>SUM('7'!CQ113:CQ117)</f>
        <v>0</v>
      </c>
      <c r="EX17">
        <f>SUM('7'!CR113:CR117)</f>
        <v>0</v>
      </c>
      <c r="EY17">
        <f>SUM('7'!CS113:CS117)</f>
        <v>0</v>
      </c>
      <c r="EZ17">
        <f>SUM('7'!CT113:CT117)</f>
        <v>0</v>
      </c>
      <c r="FA17">
        <f>SUM('7'!CU113:CU117)</f>
        <v>0</v>
      </c>
      <c r="FB17">
        <f>SUM('7'!CV113:CV117)</f>
        <v>0</v>
      </c>
      <c r="FC17">
        <f>SUM('7'!CW113:CW117)</f>
        <v>0</v>
      </c>
      <c r="FD17">
        <f>SUM('7'!CX113:CX117)</f>
        <v>0</v>
      </c>
      <c r="FE17">
        <f>SUM('7'!CY113:CY117)</f>
        <v>0</v>
      </c>
      <c r="FF17">
        <f>SUM('7'!CZ113:CZ117)</f>
        <v>0</v>
      </c>
      <c r="FG17">
        <f>SUM('7'!DA113:DA117)</f>
        <v>0</v>
      </c>
      <c r="FH17">
        <f>SUM('7'!DB113:DB117)</f>
        <v>0</v>
      </c>
      <c r="FI17">
        <f>SUM('7'!DC113:DC117)</f>
        <v>0</v>
      </c>
      <c r="FJ17">
        <f>SUM('7'!DD113:DD117)</f>
        <v>0</v>
      </c>
      <c r="FK17">
        <f>SUM('7'!DE113:DE117)</f>
        <v>0</v>
      </c>
      <c r="FL17">
        <f>SUM('7'!DF113:DF117)</f>
        <v>0</v>
      </c>
      <c r="FM17">
        <f>SUM('7'!DG113:DG117)</f>
        <v>0</v>
      </c>
      <c r="FN17" t="s">
        <v>1927</v>
      </c>
      <c r="FO17">
        <f t="shared" si="94"/>
        <v>0</v>
      </c>
      <c r="FP17" t="s">
        <v>1928</v>
      </c>
      <c r="FQ17">
        <f t="shared" si="0"/>
        <v>0</v>
      </c>
      <c r="FR17" t="s">
        <v>1929</v>
      </c>
      <c r="FS17">
        <f t="shared" si="1"/>
        <v>0</v>
      </c>
      <c r="FT17" t="s">
        <v>1930</v>
      </c>
      <c r="FU17">
        <f t="shared" si="2"/>
        <v>0</v>
      </c>
      <c r="FV17" t="s">
        <v>1931</v>
      </c>
      <c r="FW17">
        <f t="shared" si="3"/>
        <v>0</v>
      </c>
      <c r="FX17" t="s">
        <v>1932</v>
      </c>
      <c r="FY17">
        <f t="shared" si="4"/>
        <v>0</v>
      </c>
      <c r="FZ17" t="s">
        <v>1933</v>
      </c>
      <c r="GA17">
        <f t="shared" si="5"/>
        <v>0</v>
      </c>
      <c r="GB17" t="s">
        <v>1934</v>
      </c>
      <c r="GC17">
        <f t="shared" si="6"/>
        <v>0</v>
      </c>
      <c r="GD17" t="s">
        <v>1935</v>
      </c>
      <c r="GE17">
        <f t="shared" si="7"/>
        <v>0</v>
      </c>
      <c r="GF17" t="s">
        <v>1936</v>
      </c>
      <c r="GG17">
        <f t="shared" si="8"/>
        <v>0</v>
      </c>
      <c r="GH17" t="s">
        <v>1937</v>
      </c>
      <c r="GI17">
        <f t="shared" si="9"/>
        <v>0</v>
      </c>
      <c r="GJ17" t="s">
        <v>1938</v>
      </c>
      <c r="GK17">
        <f t="shared" si="10"/>
        <v>0</v>
      </c>
      <c r="GL17" t="s">
        <v>1939</v>
      </c>
      <c r="GM17">
        <f t="shared" si="11"/>
        <v>0</v>
      </c>
      <c r="GN17" t="s">
        <v>1940</v>
      </c>
      <c r="GO17">
        <f t="shared" si="95"/>
        <v>0</v>
      </c>
      <c r="GP17" t="s">
        <v>1941</v>
      </c>
      <c r="GQ17">
        <f t="shared" si="12"/>
        <v>0</v>
      </c>
      <c r="GR17" t="s">
        <v>1942</v>
      </c>
      <c r="GS17">
        <f t="shared" si="13"/>
        <v>0</v>
      </c>
      <c r="GT17" t="s">
        <v>1943</v>
      </c>
      <c r="GU17">
        <f t="shared" si="14"/>
        <v>0</v>
      </c>
      <c r="GV17" t="s">
        <v>1944</v>
      </c>
      <c r="GW17">
        <f t="shared" si="15"/>
        <v>0</v>
      </c>
      <c r="GX17" t="s">
        <v>1945</v>
      </c>
      <c r="GY17">
        <f t="shared" si="16"/>
        <v>0</v>
      </c>
      <c r="GZ17" t="s">
        <v>1946</v>
      </c>
      <c r="HA17">
        <f t="shared" si="17"/>
        <v>0</v>
      </c>
      <c r="HB17" t="s">
        <v>1947</v>
      </c>
      <c r="HC17">
        <f t="shared" si="18"/>
        <v>0</v>
      </c>
      <c r="HD17" t="s">
        <v>1948</v>
      </c>
      <c r="HE17">
        <f t="shared" si="19"/>
        <v>0</v>
      </c>
      <c r="HF17" t="s">
        <v>1949</v>
      </c>
      <c r="HG17">
        <f t="shared" si="20"/>
        <v>0</v>
      </c>
      <c r="HH17" t="s">
        <v>1950</v>
      </c>
      <c r="HI17">
        <f t="shared" si="21"/>
        <v>0</v>
      </c>
      <c r="HJ17" t="s">
        <v>1951</v>
      </c>
      <c r="HK17">
        <f t="shared" si="22"/>
        <v>0</v>
      </c>
      <c r="HL17" t="s">
        <v>1952</v>
      </c>
      <c r="HM17">
        <f t="shared" si="23"/>
        <v>0</v>
      </c>
      <c r="HN17" t="s">
        <v>1953</v>
      </c>
      <c r="HO17">
        <f t="shared" si="24"/>
        <v>0</v>
      </c>
      <c r="HP17" t="s">
        <v>1954</v>
      </c>
      <c r="HQ17">
        <f t="shared" si="25"/>
        <v>0</v>
      </c>
      <c r="HR17" t="s">
        <v>1955</v>
      </c>
      <c r="HS17">
        <f t="shared" si="26"/>
        <v>0</v>
      </c>
      <c r="HT17" t="s">
        <v>1956</v>
      </c>
      <c r="HU17">
        <f t="shared" si="27"/>
        <v>0</v>
      </c>
      <c r="HV17" t="s">
        <v>1957</v>
      </c>
      <c r="HW17">
        <f t="shared" si="28"/>
        <v>0</v>
      </c>
      <c r="HX17" t="s">
        <v>1958</v>
      </c>
      <c r="HY17">
        <f t="shared" si="29"/>
        <v>0</v>
      </c>
      <c r="HZ17" t="s">
        <v>1959</v>
      </c>
      <c r="IA17">
        <f t="shared" si="30"/>
        <v>0</v>
      </c>
      <c r="IB17" t="s">
        <v>1960</v>
      </c>
      <c r="IC17">
        <f t="shared" si="31"/>
        <v>0</v>
      </c>
      <c r="ID17" t="s">
        <v>1961</v>
      </c>
      <c r="IE17">
        <f t="shared" si="32"/>
        <v>0</v>
      </c>
      <c r="IF17" t="s">
        <v>1962</v>
      </c>
      <c r="IG17">
        <f t="shared" si="33"/>
        <v>0</v>
      </c>
      <c r="IH17" t="s">
        <v>1963</v>
      </c>
      <c r="II17">
        <f t="shared" si="34"/>
        <v>0</v>
      </c>
      <c r="IJ17" t="s">
        <v>1964</v>
      </c>
      <c r="IK17">
        <f t="shared" si="35"/>
        <v>0</v>
      </c>
      <c r="IL17" t="s">
        <v>1965</v>
      </c>
      <c r="IM17">
        <f t="shared" si="36"/>
        <v>0</v>
      </c>
      <c r="IN17" t="s">
        <v>1966</v>
      </c>
      <c r="IO17">
        <f t="shared" si="37"/>
        <v>0</v>
      </c>
      <c r="IP17" t="s">
        <v>1967</v>
      </c>
      <c r="IQ17">
        <f t="shared" si="38"/>
        <v>0</v>
      </c>
      <c r="IR17" t="s">
        <v>1968</v>
      </c>
      <c r="IS17">
        <f t="shared" si="39"/>
        <v>0</v>
      </c>
      <c r="IT17" t="s">
        <v>1969</v>
      </c>
      <c r="IU17">
        <f t="shared" si="40"/>
        <v>0</v>
      </c>
      <c r="IV17" t="s">
        <v>1970</v>
      </c>
      <c r="IW17">
        <f t="shared" si="41"/>
        <v>0</v>
      </c>
      <c r="IX17" t="s">
        <v>1971</v>
      </c>
      <c r="IY17">
        <f t="shared" si="42"/>
        <v>0</v>
      </c>
      <c r="IZ17" t="s">
        <v>1972</v>
      </c>
      <c r="JA17">
        <f t="shared" si="43"/>
        <v>0</v>
      </c>
      <c r="JB17" t="s">
        <v>1973</v>
      </c>
      <c r="JC17">
        <f t="shared" si="44"/>
        <v>0</v>
      </c>
      <c r="JD17" t="s">
        <v>1974</v>
      </c>
      <c r="JE17">
        <f t="shared" si="45"/>
        <v>0</v>
      </c>
      <c r="JF17" t="s">
        <v>1975</v>
      </c>
      <c r="JG17">
        <f t="shared" si="46"/>
        <v>0</v>
      </c>
      <c r="JH17" t="s">
        <v>1976</v>
      </c>
      <c r="JI17">
        <f t="shared" si="47"/>
        <v>0</v>
      </c>
      <c r="JJ17" t="s">
        <v>1977</v>
      </c>
      <c r="JK17">
        <f t="shared" si="48"/>
        <v>0</v>
      </c>
      <c r="JL17" t="s">
        <v>1978</v>
      </c>
      <c r="JM17">
        <f t="shared" si="49"/>
        <v>0</v>
      </c>
      <c r="JN17" t="s">
        <v>1979</v>
      </c>
      <c r="JO17">
        <f t="shared" si="50"/>
        <v>0</v>
      </c>
      <c r="JP17" t="s">
        <v>1980</v>
      </c>
      <c r="JQ17">
        <f t="shared" si="51"/>
        <v>0</v>
      </c>
      <c r="JR17" t="s">
        <v>1981</v>
      </c>
      <c r="JS17">
        <f t="shared" si="52"/>
        <v>0</v>
      </c>
      <c r="JT17" t="s">
        <v>1982</v>
      </c>
      <c r="JU17">
        <f t="shared" si="53"/>
        <v>0</v>
      </c>
      <c r="JV17" t="s">
        <v>1983</v>
      </c>
      <c r="JW17">
        <f t="shared" si="54"/>
        <v>0</v>
      </c>
      <c r="JX17" t="s">
        <v>1984</v>
      </c>
      <c r="JY17">
        <f t="shared" si="55"/>
        <v>0</v>
      </c>
      <c r="JZ17" t="s">
        <v>1985</v>
      </c>
      <c r="KA17">
        <f t="shared" si="56"/>
        <v>0</v>
      </c>
      <c r="KB17" t="s">
        <v>1986</v>
      </c>
      <c r="KC17">
        <f t="shared" si="57"/>
        <v>0</v>
      </c>
      <c r="KD17" t="s">
        <v>1987</v>
      </c>
      <c r="KE17">
        <f t="shared" si="58"/>
        <v>0</v>
      </c>
      <c r="KF17" t="s">
        <v>1988</v>
      </c>
      <c r="KG17">
        <f t="shared" si="59"/>
        <v>0</v>
      </c>
      <c r="KH17" t="s">
        <v>1989</v>
      </c>
      <c r="KI17">
        <f t="shared" si="60"/>
        <v>0</v>
      </c>
      <c r="KJ17" t="s">
        <v>1990</v>
      </c>
      <c r="KK17">
        <f t="shared" si="61"/>
        <v>0</v>
      </c>
      <c r="KL17" t="s">
        <v>1991</v>
      </c>
      <c r="KM17">
        <f t="shared" si="62"/>
        <v>0</v>
      </c>
      <c r="KN17" t="s">
        <v>1992</v>
      </c>
      <c r="KO17">
        <f t="shared" si="63"/>
        <v>0</v>
      </c>
      <c r="KP17" t="s">
        <v>1993</v>
      </c>
      <c r="KQ17">
        <f t="shared" si="64"/>
        <v>0</v>
      </c>
      <c r="KR17" t="s">
        <v>1994</v>
      </c>
      <c r="KS17">
        <f t="shared" si="65"/>
        <v>0</v>
      </c>
      <c r="KT17" t="s">
        <v>1995</v>
      </c>
      <c r="KU17">
        <f t="shared" si="66"/>
        <v>0</v>
      </c>
      <c r="KV17" t="s">
        <v>1996</v>
      </c>
      <c r="KW17">
        <f t="shared" si="67"/>
        <v>0</v>
      </c>
      <c r="KX17" t="s">
        <v>1997</v>
      </c>
      <c r="KY17">
        <f t="shared" si="68"/>
        <v>0</v>
      </c>
      <c r="KZ17" t="s">
        <v>1998</v>
      </c>
      <c r="LA17">
        <f t="shared" si="69"/>
        <v>0</v>
      </c>
      <c r="LB17" t="s">
        <v>1999</v>
      </c>
      <c r="LC17">
        <f t="shared" si="70"/>
        <v>0</v>
      </c>
      <c r="LD17" t="s">
        <v>2000</v>
      </c>
      <c r="LE17">
        <f t="shared" si="71"/>
        <v>0</v>
      </c>
      <c r="LF17" t="s">
        <v>2001</v>
      </c>
      <c r="LG17">
        <f t="shared" si="72"/>
        <v>0</v>
      </c>
      <c r="LH17" t="s">
        <v>2002</v>
      </c>
      <c r="LI17">
        <f t="shared" si="73"/>
        <v>0</v>
      </c>
      <c r="LJ17" t="s">
        <v>2003</v>
      </c>
      <c r="LK17">
        <f t="shared" si="74"/>
        <v>0</v>
      </c>
      <c r="LL17" t="s">
        <v>2004</v>
      </c>
      <c r="LM17">
        <f t="shared" si="75"/>
        <v>0</v>
      </c>
      <c r="LN17" t="s">
        <v>2005</v>
      </c>
      <c r="LO17">
        <f t="shared" si="76"/>
        <v>0</v>
      </c>
      <c r="LP17" t="s">
        <v>2006</v>
      </c>
      <c r="LQ17">
        <f t="shared" si="77"/>
        <v>0</v>
      </c>
      <c r="LR17" t="s">
        <v>2007</v>
      </c>
      <c r="LS17">
        <f t="shared" si="78"/>
        <v>0</v>
      </c>
      <c r="LT17" t="s">
        <v>2008</v>
      </c>
      <c r="LU17">
        <f t="shared" si="79"/>
        <v>0</v>
      </c>
      <c r="LV17" t="s">
        <v>2009</v>
      </c>
      <c r="LW17">
        <f t="shared" si="80"/>
        <v>0</v>
      </c>
      <c r="LX17" t="s">
        <v>2010</v>
      </c>
      <c r="LY17">
        <f t="shared" si="81"/>
        <v>0</v>
      </c>
      <c r="LZ17">
        <f>'6'!B60</f>
        <v>0</v>
      </c>
      <c r="MA17">
        <f>'6'!C60</f>
        <v>0</v>
      </c>
      <c r="MB17">
        <f>'6'!D60</f>
        <v>0</v>
      </c>
      <c r="MC17">
        <f>'6'!E60</f>
        <v>0</v>
      </c>
      <c r="MD17">
        <f>'6'!F60</f>
        <v>0</v>
      </c>
      <c r="ME17">
        <f>'6'!G60</f>
        <v>0</v>
      </c>
      <c r="MF17">
        <f>'6'!H60</f>
        <v>0</v>
      </c>
      <c r="MG17">
        <f>'6'!I60</f>
        <v>0</v>
      </c>
      <c r="MH17">
        <f>'6'!J60</f>
        <v>0</v>
      </c>
      <c r="MI17">
        <f>'6'!K60</f>
        <v>0</v>
      </c>
      <c r="MJ17">
        <f>'6'!L60</f>
        <v>0</v>
      </c>
      <c r="MK17">
        <f>'6'!M60</f>
        <v>0</v>
      </c>
      <c r="ML17" s="13">
        <f>'7'!B111</f>
        <v>0</v>
      </c>
      <c r="MM17" s="13">
        <f>'7'!C111</f>
        <v>0</v>
      </c>
      <c r="MN17" s="13">
        <f>'7'!D111</f>
        <v>0</v>
      </c>
      <c r="MO17" s="13">
        <f>'7'!E111</f>
        <v>0</v>
      </c>
      <c r="MP17" s="13">
        <f>'7'!F111</f>
        <v>0</v>
      </c>
      <c r="MQ17" s="13">
        <f>'7'!G111</f>
        <v>0</v>
      </c>
      <c r="MR17" s="13">
        <f>'7'!H111</f>
        <v>0</v>
      </c>
      <c r="MS17" s="13">
        <f>'7'!I111</f>
        <v>0</v>
      </c>
      <c r="MT17" s="13">
        <f>'7'!J111</f>
        <v>0</v>
      </c>
      <c r="MU17" s="13">
        <f>'7'!K111</f>
        <v>0</v>
      </c>
      <c r="MV17" s="13">
        <f>'7'!L111</f>
        <v>0</v>
      </c>
      <c r="MW17" s="13">
        <f>'7'!M111</f>
        <v>0</v>
      </c>
      <c r="MX17" s="13" t="s">
        <v>2011</v>
      </c>
      <c r="MY17">
        <f t="shared" si="82"/>
        <v>0</v>
      </c>
      <c r="MZ17" s="13" t="s">
        <v>2012</v>
      </c>
      <c r="NA17">
        <f t="shared" si="83"/>
        <v>0</v>
      </c>
      <c r="NB17" s="13" t="s">
        <v>2013</v>
      </c>
      <c r="NC17">
        <f t="shared" si="84"/>
        <v>0</v>
      </c>
      <c r="ND17" s="13" t="s">
        <v>2014</v>
      </c>
      <c r="NE17">
        <f t="shared" si="85"/>
        <v>0</v>
      </c>
      <c r="NF17" s="13" t="s">
        <v>2015</v>
      </c>
      <c r="NG17">
        <f t="shared" si="86"/>
        <v>0</v>
      </c>
      <c r="NH17" s="13" t="s">
        <v>2016</v>
      </c>
      <c r="NI17">
        <f t="shared" si="87"/>
        <v>0</v>
      </c>
      <c r="NJ17" s="13" t="s">
        <v>2017</v>
      </c>
      <c r="NK17">
        <f t="shared" si="88"/>
        <v>0</v>
      </c>
      <c r="NL17" s="13" t="s">
        <v>2018</v>
      </c>
      <c r="NM17">
        <f t="shared" si="89"/>
        <v>0</v>
      </c>
      <c r="NN17" s="13" t="s">
        <v>2019</v>
      </c>
      <c r="NO17">
        <f t="shared" si="90"/>
        <v>0</v>
      </c>
      <c r="NP17" s="13" t="s">
        <v>2020</v>
      </c>
      <c r="NQ17">
        <f t="shared" si="91"/>
        <v>0</v>
      </c>
      <c r="NR17" s="13" t="s">
        <v>2021</v>
      </c>
      <c r="NS17">
        <f t="shared" si="92"/>
        <v>0</v>
      </c>
      <c r="NT17" s="13" t="s">
        <v>2022</v>
      </c>
      <c r="NU17">
        <f t="shared" si="93"/>
        <v>0</v>
      </c>
      <c r="NV17" s="13"/>
    </row>
    <row r="18" spans="1:386" customFormat="1" x14ac:dyDescent="0.25">
      <c r="A18">
        <v>15</v>
      </c>
      <c r="B18">
        <f>'6'!AB63</f>
        <v>0</v>
      </c>
      <c r="C18">
        <f>'6'!AC63</f>
        <v>0</v>
      </c>
      <c r="D18">
        <f>'6'!AD63</f>
        <v>0</v>
      </c>
      <c r="E18">
        <f>'6'!AE63</f>
        <v>0</v>
      </c>
      <c r="F18">
        <f>'6'!AF63</f>
        <v>0</v>
      </c>
      <c r="G18">
        <f>'6'!AG63</f>
        <v>0</v>
      </c>
      <c r="H18">
        <f>'6'!AH63</f>
        <v>0</v>
      </c>
      <c r="I18">
        <f>'6'!AI63</f>
        <v>0</v>
      </c>
      <c r="J18">
        <f>'6'!AJ63</f>
        <v>0</v>
      </c>
      <c r="K18">
        <f>'6'!AK63</f>
        <v>0</v>
      </c>
      <c r="L18">
        <f>'6'!AL63</f>
        <v>0</v>
      </c>
      <c r="M18">
        <f>'6'!AM63</f>
        <v>0</v>
      </c>
      <c r="N18">
        <f>'6'!AN63</f>
        <v>0</v>
      </c>
      <c r="O18">
        <f>'6'!AO63</f>
        <v>0</v>
      </c>
      <c r="P18">
        <f>'6'!AP63</f>
        <v>0</v>
      </c>
      <c r="Q18">
        <f>'6'!AQ63</f>
        <v>0</v>
      </c>
      <c r="R18">
        <f>'6'!AR63</f>
        <v>0</v>
      </c>
      <c r="S18">
        <f>'6'!AS63</f>
        <v>0</v>
      </c>
      <c r="T18">
        <f>'6'!AT63</f>
        <v>0</v>
      </c>
      <c r="U18">
        <f>'6'!AU63</f>
        <v>0</v>
      </c>
      <c r="V18">
        <f>'6'!AV63</f>
        <v>0</v>
      </c>
      <c r="W18">
        <f>'6'!AW63</f>
        <v>0</v>
      </c>
      <c r="X18">
        <f>'6'!AX63</f>
        <v>0</v>
      </c>
      <c r="Y18">
        <f>'6'!AY63</f>
        <v>0</v>
      </c>
      <c r="Z18">
        <f>'6'!AZ63</f>
        <v>0</v>
      </c>
      <c r="AA18">
        <f>'6'!BA63</f>
        <v>0</v>
      </c>
      <c r="AB18">
        <f>'6'!BB63</f>
        <v>0</v>
      </c>
      <c r="AC18">
        <f>'6'!BC63</f>
        <v>0</v>
      </c>
      <c r="AD18">
        <f>'6'!BD63</f>
        <v>0</v>
      </c>
      <c r="AE18">
        <f>'6'!BE63</f>
        <v>0</v>
      </c>
      <c r="AF18">
        <f>'6'!BF63</f>
        <v>0</v>
      </c>
      <c r="AG18">
        <f>'6'!BG63</f>
        <v>0</v>
      </c>
      <c r="AH18">
        <f>'6'!BH63</f>
        <v>0</v>
      </c>
      <c r="AI18">
        <f>'6'!BI63</f>
        <v>0</v>
      </c>
      <c r="AJ18">
        <f>'6'!BJ63</f>
        <v>0</v>
      </c>
      <c r="AK18">
        <f>'6'!BK63</f>
        <v>0</v>
      </c>
      <c r="AL18">
        <f>'6'!BL63</f>
        <v>0</v>
      </c>
      <c r="AM18">
        <f>'6'!BM63</f>
        <v>0</v>
      </c>
      <c r="AN18">
        <f>'6'!BN63</f>
        <v>0</v>
      </c>
      <c r="AO18">
        <f>'6'!BO63</f>
        <v>0</v>
      </c>
      <c r="AP18">
        <f>'6'!BP63</f>
        <v>0</v>
      </c>
      <c r="AQ18">
        <f>'6'!BQ63</f>
        <v>0</v>
      </c>
      <c r="AR18">
        <f>'6'!BR63</f>
        <v>0</v>
      </c>
      <c r="AS18">
        <f>'6'!BS63</f>
        <v>0</v>
      </c>
      <c r="AT18">
        <f>'6'!BT63</f>
        <v>0</v>
      </c>
      <c r="AU18">
        <f>'6'!BU63</f>
        <v>0</v>
      </c>
      <c r="AV18">
        <f>'6'!BV63</f>
        <v>0</v>
      </c>
      <c r="AW18">
        <f>'6'!BW63</f>
        <v>0</v>
      </c>
      <c r="AX18">
        <f>'6'!BX63</f>
        <v>0</v>
      </c>
      <c r="AY18">
        <f>'6'!BY63</f>
        <v>0</v>
      </c>
      <c r="AZ18">
        <f>'6'!BZ63</f>
        <v>0</v>
      </c>
      <c r="BA18">
        <f>'6'!CA63</f>
        <v>0</v>
      </c>
      <c r="BB18">
        <f>'6'!CB63</f>
        <v>0</v>
      </c>
      <c r="BC18">
        <f>'6'!CC63</f>
        <v>0</v>
      </c>
      <c r="BD18">
        <f>'6'!CD63</f>
        <v>0</v>
      </c>
      <c r="BE18">
        <f>'6'!CE63</f>
        <v>0</v>
      </c>
      <c r="BF18">
        <f>'6'!CF63</f>
        <v>0</v>
      </c>
      <c r="BG18">
        <f>'6'!CG63</f>
        <v>0</v>
      </c>
      <c r="BH18">
        <f>'6'!CH63</f>
        <v>0</v>
      </c>
      <c r="BI18">
        <f>'6'!CI63</f>
        <v>0</v>
      </c>
      <c r="BJ18">
        <f>'6'!CJ63</f>
        <v>0</v>
      </c>
      <c r="BK18">
        <f>'6'!CK63</f>
        <v>0</v>
      </c>
      <c r="BL18">
        <f>'6'!CL63</f>
        <v>0</v>
      </c>
      <c r="BM18">
        <f>'6'!CM63</f>
        <v>0</v>
      </c>
      <c r="BN18">
        <f>'6'!CN63</f>
        <v>0</v>
      </c>
      <c r="BO18">
        <f>'6'!CO63</f>
        <v>0</v>
      </c>
      <c r="BP18">
        <f>'6'!CP63</f>
        <v>0</v>
      </c>
      <c r="BQ18">
        <f>'6'!CQ63</f>
        <v>0</v>
      </c>
      <c r="BR18">
        <f>'6'!CR63</f>
        <v>0</v>
      </c>
      <c r="BS18">
        <f>'6'!CS63</f>
        <v>0</v>
      </c>
      <c r="BT18">
        <f>'6'!CT63</f>
        <v>0</v>
      </c>
      <c r="BU18">
        <f>'6'!CU63</f>
        <v>0</v>
      </c>
      <c r="BV18">
        <f>'6'!CV63</f>
        <v>0</v>
      </c>
      <c r="BW18">
        <f>'6'!CW63</f>
        <v>0</v>
      </c>
      <c r="BX18">
        <f>'6'!CX63</f>
        <v>0</v>
      </c>
      <c r="BY18">
        <f>'6'!CY63</f>
        <v>0</v>
      </c>
      <c r="BZ18">
        <f>'6'!CZ63</f>
        <v>0</v>
      </c>
      <c r="CA18">
        <f>'6'!DA63</f>
        <v>0</v>
      </c>
      <c r="CB18">
        <f>'6'!DB63</f>
        <v>0</v>
      </c>
      <c r="CC18">
        <f>'6'!DC63</f>
        <v>0</v>
      </c>
      <c r="CD18">
        <f>'6'!DD63</f>
        <v>0</v>
      </c>
      <c r="CE18">
        <f>'6'!DE63</f>
        <v>0</v>
      </c>
      <c r="CF18">
        <f>'6'!DF63</f>
        <v>0</v>
      </c>
      <c r="CG18">
        <f>'6'!DG63</f>
        <v>0</v>
      </c>
      <c r="CH18">
        <f>SUM('7'!AB121:AB125)</f>
        <v>0</v>
      </c>
      <c r="CI18">
        <f>SUM('7'!AC121:AC125)</f>
        <v>0</v>
      </c>
      <c r="CJ18">
        <f>SUM('7'!AD121:AD125)</f>
        <v>0</v>
      </c>
      <c r="CK18">
        <f>SUM('7'!AE121:AE125)</f>
        <v>0</v>
      </c>
      <c r="CL18">
        <f>SUM('7'!AF121:AF125)</f>
        <v>0</v>
      </c>
      <c r="CM18">
        <f>SUM('7'!AG121:AG125)</f>
        <v>0</v>
      </c>
      <c r="CN18">
        <f>SUM('7'!AH121:AH125)</f>
        <v>0</v>
      </c>
      <c r="CO18">
        <f>SUM('7'!AI121:AI125)</f>
        <v>0</v>
      </c>
      <c r="CP18">
        <f>SUM('7'!AJ121:AJ125)</f>
        <v>0</v>
      </c>
      <c r="CQ18">
        <f>SUM('7'!AK121:AK125)</f>
        <v>0</v>
      </c>
      <c r="CR18">
        <f>SUM('7'!AL121:AL125)</f>
        <v>0</v>
      </c>
      <c r="CS18">
        <f>SUM('7'!AM121:AM125)</f>
        <v>0</v>
      </c>
      <c r="CT18">
        <f>SUM('7'!AN121:AN125)</f>
        <v>0</v>
      </c>
      <c r="CU18">
        <f>SUM('7'!AO121:AO125)</f>
        <v>0</v>
      </c>
      <c r="CV18">
        <f>SUM('7'!AP121:AP125)</f>
        <v>0</v>
      </c>
      <c r="CW18">
        <f>SUM('7'!AQ121:AQ125)</f>
        <v>0</v>
      </c>
      <c r="CX18">
        <f>SUM('7'!AR121:AR125)</f>
        <v>0</v>
      </c>
      <c r="CY18">
        <f>SUM('7'!AS121:AS125)</f>
        <v>0</v>
      </c>
      <c r="CZ18">
        <f>SUM('7'!AT121:AT125)</f>
        <v>0</v>
      </c>
      <c r="DA18">
        <f>SUM('7'!AU121:AU125)</f>
        <v>0</v>
      </c>
      <c r="DB18">
        <f>SUM('7'!AV121:AV125)</f>
        <v>0</v>
      </c>
      <c r="DC18">
        <f>SUM('7'!AW121:AW125)</f>
        <v>0</v>
      </c>
      <c r="DD18">
        <f>SUM('7'!AX121:AX125)</f>
        <v>0</v>
      </c>
      <c r="DE18">
        <f>SUM('7'!AY121:AY125)</f>
        <v>0</v>
      </c>
      <c r="DF18">
        <f>SUM('7'!AZ121:AZ125)</f>
        <v>0</v>
      </c>
      <c r="DG18">
        <f>SUM('7'!BA121:BA125)</f>
        <v>0</v>
      </c>
      <c r="DH18">
        <f>SUM('7'!BB121:BB125)</f>
        <v>0</v>
      </c>
      <c r="DI18">
        <f>SUM('7'!BC121:BC125)</f>
        <v>0</v>
      </c>
      <c r="DJ18">
        <f>SUM('7'!BD121:BD125)</f>
        <v>0</v>
      </c>
      <c r="DK18">
        <f>SUM('7'!BE121:BE125)</f>
        <v>0</v>
      </c>
      <c r="DL18">
        <f>SUM('7'!BF121:BF125)</f>
        <v>0</v>
      </c>
      <c r="DM18">
        <f>SUM('7'!BG121:BG125)</f>
        <v>0</v>
      </c>
      <c r="DN18">
        <f>SUM('7'!BH121:BH125)</f>
        <v>0</v>
      </c>
      <c r="DO18">
        <f>SUM('7'!BI121:BI125)</f>
        <v>0</v>
      </c>
      <c r="DP18">
        <f>SUM('7'!BJ121:BJ125)</f>
        <v>0</v>
      </c>
      <c r="DQ18">
        <f>SUM('7'!BK121:BK125)</f>
        <v>0</v>
      </c>
      <c r="DR18">
        <f>SUM('7'!BL121:BL125)</f>
        <v>0</v>
      </c>
      <c r="DS18">
        <f>SUM('7'!BM121:BM125)</f>
        <v>0</v>
      </c>
      <c r="DT18">
        <f>SUM('7'!BN121:BN125)</f>
        <v>0</v>
      </c>
      <c r="DU18">
        <f>SUM('7'!BO121:BO125)</f>
        <v>0</v>
      </c>
      <c r="DV18">
        <f>SUM('7'!BP121:BP125)</f>
        <v>0</v>
      </c>
      <c r="DW18">
        <f>SUM('7'!BQ121:BQ125)</f>
        <v>0</v>
      </c>
      <c r="DX18">
        <f>SUM('7'!BR121:BR125)</f>
        <v>0</v>
      </c>
      <c r="DY18">
        <f>SUM('7'!BS121:BS125)</f>
        <v>0</v>
      </c>
      <c r="DZ18">
        <f>SUM('7'!BT121:BT125)</f>
        <v>0</v>
      </c>
      <c r="EA18">
        <f>SUM('7'!BU121:BU125)</f>
        <v>0</v>
      </c>
      <c r="EB18">
        <f>SUM('7'!BV121:BV125)</f>
        <v>0</v>
      </c>
      <c r="EC18">
        <f>SUM('7'!BW121:BW125)</f>
        <v>0</v>
      </c>
      <c r="ED18">
        <f>SUM('7'!BX121:BX125)</f>
        <v>0</v>
      </c>
      <c r="EE18">
        <f>SUM('7'!BY121:BY125)</f>
        <v>0</v>
      </c>
      <c r="EF18">
        <f>SUM('7'!BZ121:BZ125)</f>
        <v>0</v>
      </c>
      <c r="EG18">
        <f>SUM('7'!CA121:CA125)</f>
        <v>0</v>
      </c>
      <c r="EH18">
        <f>SUM('7'!CB121:CB125)</f>
        <v>0</v>
      </c>
      <c r="EI18">
        <f>SUM('7'!CC121:CC125)</f>
        <v>0</v>
      </c>
      <c r="EJ18">
        <f>SUM('7'!CD121:CD125)</f>
        <v>0</v>
      </c>
      <c r="EK18">
        <f>SUM('7'!CE121:CE125)</f>
        <v>0</v>
      </c>
      <c r="EL18">
        <f>SUM('7'!CF121:CF125)</f>
        <v>0</v>
      </c>
      <c r="EM18">
        <f>SUM('7'!CG121:CG125)</f>
        <v>0</v>
      </c>
      <c r="EN18">
        <f>SUM('7'!CH121:CH125)</f>
        <v>0</v>
      </c>
      <c r="EO18">
        <f>SUM('7'!CI121:CI125)</f>
        <v>0</v>
      </c>
      <c r="EP18">
        <f>SUM('7'!CJ121:CJ125)</f>
        <v>0</v>
      </c>
      <c r="EQ18">
        <f>SUM('7'!CK121:CK125)</f>
        <v>0</v>
      </c>
      <c r="ER18">
        <f>SUM('7'!CL121:CL125)</f>
        <v>0</v>
      </c>
      <c r="ES18">
        <f>SUM('7'!CM121:CM125)</f>
        <v>0</v>
      </c>
      <c r="ET18">
        <f>SUM('7'!CN121:CN125)</f>
        <v>0</v>
      </c>
      <c r="EU18">
        <f>SUM('7'!CO121:CO125)</f>
        <v>0</v>
      </c>
      <c r="EV18">
        <f>SUM('7'!CP121:CP125)</f>
        <v>0</v>
      </c>
      <c r="EW18">
        <f>SUM('7'!CQ121:CQ125)</f>
        <v>0</v>
      </c>
      <c r="EX18">
        <f>SUM('7'!CR121:CR125)</f>
        <v>0</v>
      </c>
      <c r="EY18">
        <f>SUM('7'!CS121:CS125)</f>
        <v>0</v>
      </c>
      <c r="EZ18">
        <f>SUM('7'!CT121:CT125)</f>
        <v>0</v>
      </c>
      <c r="FA18">
        <f>SUM('7'!CU121:CU125)</f>
        <v>0</v>
      </c>
      <c r="FB18">
        <f>SUM('7'!CV121:CV125)</f>
        <v>0</v>
      </c>
      <c r="FC18">
        <f>SUM('7'!CW121:CW125)</f>
        <v>0</v>
      </c>
      <c r="FD18">
        <f>SUM('7'!CX121:CX125)</f>
        <v>0</v>
      </c>
      <c r="FE18">
        <f>SUM('7'!CY121:CY125)</f>
        <v>0</v>
      </c>
      <c r="FF18">
        <f>SUM('7'!CZ121:CZ125)</f>
        <v>0</v>
      </c>
      <c r="FG18">
        <f>SUM('7'!DA121:DA125)</f>
        <v>0</v>
      </c>
      <c r="FH18">
        <f>SUM('7'!DB121:DB125)</f>
        <v>0</v>
      </c>
      <c r="FI18">
        <f>SUM('7'!DC121:DC125)</f>
        <v>0</v>
      </c>
      <c r="FJ18">
        <f>SUM('7'!DD121:DD125)</f>
        <v>0</v>
      </c>
      <c r="FK18">
        <f>SUM('7'!DE121:DE125)</f>
        <v>0</v>
      </c>
      <c r="FL18">
        <f>SUM('7'!DF121:DF125)</f>
        <v>0</v>
      </c>
      <c r="FM18">
        <f>SUM('7'!DG121:DG125)</f>
        <v>0</v>
      </c>
      <c r="FN18" t="s">
        <v>2023</v>
      </c>
      <c r="FO18">
        <f t="shared" si="94"/>
        <v>0</v>
      </c>
      <c r="FP18" t="s">
        <v>2024</v>
      </c>
      <c r="FQ18">
        <f t="shared" si="0"/>
        <v>0</v>
      </c>
      <c r="FR18" t="s">
        <v>2025</v>
      </c>
      <c r="FS18">
        <f t="shared" si="1"/>
        <v>0</v>
      </c>
      <c r="FT18" t="s">
        <v>2026</v>
      </c>
      <c r="FU18">
        <f t="shared" si="2"/>
        <v>0</v>
      </c>
      <c r="FV18" t="s">
        <v>2027</v>
      </c>
      <c r="FW18">
        <f t="shared" si="3"/>
        <v>0</v>
      </c>
      <c r="FX18" t="s">
        <v>2028</v>
      </c>
      <c r="FY18">
        <f t="shared" si="4"/>
        <v>0</v>
      </c>
      <c r="FZ18" t="s">
        <v>2029</v>
      </c>
      <c r="GA18">
        <f t="shared" si="5"/>
        <v>0</v>
      </c>
      <c r="GB18" t="s">
        <v>2030</v>
      </c>
      <c r="GC18">
        <f t="shared" si="6"/>
        <v>0</v>
      </c>
      <c r="GD18" t="s">
        <v>2031</v>
      </c>
      <c r="GE18">
        <f t="shared" si="7"/>
        <v>0</v>
      </c>
      <c r="GF18" t="s">
        <v>2032</v>
      </c>
      <c r="GG18">
        <f t="shared" si="8"/>
        <v>0</v>
      </c>
      <c r="GH18" t="s">
        <v>2033</v>
      </c>
      <c r="GI18">
        <f t="shared" si="9"/>
        <v>0</v>
      </c>
      <c r="GJ18" t="s">
        <v>2034</v>
      </c>
      <c r="GK18">
        <f t="shared" si="10"/>
        <v>0</v>
      </c>
      <c r="GL18" t="s">
        <v>2035</v>
      </c>
      <c r="GM18">
        <f t="shared" si="11"/>
        <v>0</v>
      </c>
      <c r="GN18" t="s">
        <v>2036</v>
      </c>
      <c r="GO18">
        <f t="shared" si="95"/>
        <v>0</v>
      </c>
      <c r="GP18" t="s">
        <v>2037</v>
      </c>
      <c r="GQ18">
        <f t="shared" si="12"/>
        <v>0</v>
      </c>
      <c r="GR18" t="s">
        <v>2038</v>
      </c>
      <c r="GS18">
        <f t="shared" si="13"/>
        <v>0</v>
      </c>
      <c r="GT18" t="s">
        <v>2039</v>
      </c>
      <c r="GU18">
        <f t="shared" si="14"/>
        <v>0</v>
      </c>
      <c r="GV18" t="s">
        <v>2040</v>
      </c>
      <c r="GW18">
        <f t="shared" si="15"/>
        <v>0</v>
      </c>
      <c r="GX18" t="s">
        <v>2041</v>
      </c>
      <c r="GY18">
        <f t="shared" si="16"/>
        <v>0</v>
      </c>
      <c r="GZ18" t="s">
        <v>2042</v>
      </c>
      <c r="HA18">
        <f t="shared" si="17"/>
        <v>0</v>
      </c>
      <c r="HB18" t="s">
        <v>2043</v>
      </c>
      <c r="HC18">
        <f t="shared" si="18"/>
        <v>0</v>
      </c>
      <c r="HD18" t="s">
        <v>2044</v>
      </c>
      <c r="HE18">
        <f t="shared" si="19"/>
        <v>0</v>
      </c>
      <c r="HF18" t="s">
        <v>2045</v>
      </c>
      <c r="HG18">
        <f t="shared" si="20"/>
        <v>0</v>
      </c>
      <c r="HH18" t="s">
        <v>2046</v>
      </c>
      <c r="HI18">
        <f t="shared" si="21"/>
        <v>0</v>
      </c>
      <c r="HJ18" t="s">
        <v>2047</v>
      </c>
      <c r="HK18">
        <f t="shared" si="22"/>
        <v>0</v>
      </c>
      <c r="HL18" t="s">
        <v>2048</v>
      </c>
      <c r="HM18">
        <f t="shared" si="23"/>
        <v>0</v>
      </c>
      <c r="HN18" t="s">
        <v>2049</v>
      </c>
      <c r="HO18">
        <f t="shared" si="24"/>
        <v>0</v>
      </c>
      <c r="HP18" t="s">
        <v>2050</v>
      </c>
      <c r="HQ18">
        <f t="shared" si="25"/>
        <v>0</v>
      </c>
      <c r="HR18" t="s">
        <v>2051</v>
      </c>
      <c r="HS18">
        <f t="shared" si="26"/>
        <v>0</v>
      </c>
      <c r="HT18" t="s">
        <v>2052</v>
      </c>
      <c r="HU18">
        <f t="shared" si="27"/>
        <v>0</v>
      </c>
      <c r="HV18" t="s">
        <v>2053</v>
      </c>
      <c r="HW18">
        <f t="shared" si="28"/>
        <v>0</v>
      </c>
      <c r="HX18" t="s">
        <v>2054</v>
      </c>
      <c r="HY18">
        <f t="shared" si="29"/>
        <v>0</v>
      </c>
      <c r="HZ18" t="s">
        <v>2055</v>
      </c>
      <c r="IA18">
        <f t="shared" si="30"/>
        <v>0</v>
      </c>
      <c r="IB18" t="s">
        <v>2056</v>
      </c>
      <c r="IC18">
        <f t="shared" si="31"/>
        <v>0</v>
      </c>
      <c r="ID18" t="s">
        <v>2057</v>
      </c>
      <c r="IE18">
        <f t="shared" si="32"/>
        <v>0</v>
      </c>
      <c r="IF18" t="s">
        <v>2058</v>
      </c>
      <c r="IG18">
        <f t="shared" si="33"/>
        <v>0</v>
      </c>
      <c r="IH18" t="s">
        <v>2059</v>
      </c>
      <c r="II18">
        <f t="shared" si="34"/>
        <v>0</v>
      </c>
      <c r="IJ18" t="s">
        <v>2060</v>
      </c>
      <c r="IK18">
        <f t="shared" si="35"/>
        <v>0</v>
      </c>
      <c r="IL18" t="s">
        <v>2061</v>
      </c>
      <c r="IM18">
        <f t="shared" si="36"/>
        <v>0</v>
      </c>
      <c r="IN18" t="s">
        <v>2062</v>
      </c>
      <c r="IO18">
        <f t="shared" si="37"/>
        <v>0</v>
      </c>
      <c r="IP18" t="s">
        <v>2063</v>
      </c>
      <c r="IQ18">
        <f t="shared" si="38"/>
        <v>0</v>
      </c>
      <c r="IR18" t="s">
        <v>2064</v>
      </c>
      <c r="IS18">
        <f t="shared" si="39"/>
        <v>0</v>
      </c>
      <c r="IT18" t="s">
        <v>2065</v>
      </c>
      <c r="IU18">
        <f t="shared" si="40"/>
        <v>0</v>
      </c>
      <c r="IV18" t="s">
        <v>2066</v>
      </c>
      <c r="IW18">
        <f t="shared" si="41"/>
        <v>0</v>
      </c>
      <c r="IX18" t="s">
        <v>2067</v>
      </c>
      <c r="IY18">
        <f t="shared" si="42"/>
        <v>0</v>
      </c>
      <c r="IZ18" t="s">
        <v>2068</v>
      </c>
      <c r="JA18">
        <f t="shared" si="43"/>
        <v>0</v>
      </c>
      <c r="JB18" t="s">
        <v>2069</v>
      </c>
      <c r="JC18">
        <f t="shared" si="44"/>
        <v>0</v>
      </c>
      <c r="JD18" t="s">
        <v>2070</v>
      </c>
      <c r="JE18">
        <f t="shared" si="45"/>
        <v>0</v>
      </c>
      <c r="JF18" t="s">
        <v>2071</v>
      </c>
      <c r="JG18">
        <f t="shared" si="46"/>
        <v>0</v>
      </c>
      <c r="JH18" t="s">
        <v>2072</v>
      </c>
      <c r="JI18">
        <f t="shared" si="47"/>
        <v>0</v>
      </c>
      <c r="JJ18" t="s">
        <v>2073</v>
      </c>
      <c r="JK18">
        <f t="shared" si="48"/>
        <v>0</v>
      </c>
      <c r="JL18" t="s">
        <v>2074</v>
      </c>
      <c r="JM18">
        <f t="shared" si="49"/>
        <v>0</v>
      </c>
      <c r="JN18" t="s">
        <v>2075</v>
      </c>
      <c r="JO18">
        <f t="shared" si="50"/>
        <v>0</v>
      </c>
      <c r="JP18" t="s">
        <v>2076</v>
      </c>
      <c r="JQ18">
        <f t="shared" si="51"/>
        <v>0</v>
      </c>
      <c r="JR18" t="s">
        <v>2077</v>
      </c>
      <c r="JS18">
        <f t="shared" si="52"/>
        <v>0</v>
      </c>
      <c r="JT18" t="s">
        <v>2078</v>
      </c>
      <c r="JU18">
        <f t="shared" si="53"/>
        <v>0</v>
      </c>
      <c r="JV18" t="s">
        <v>2079</v>
      </c>
      <c r="JW18">
        <f t="shared" si="54"/>
        <v>0</v>
      </c>
      <c r="JX18" t="s">
        <v>2080</v>
      </c>
      <c r="JY18">
        <f t="shared" si="55"/>
        <v>0</v>
      </c>
      <c r="JZ18" t="s">
        <v>2081</v>
      </c>
      <c r="KA18">
        <f t="shared" si="56"/>
        <v>0</v>
      </c>
      <c r="KB18" t="s">
        <v>2082</v>
      </c>
      <c r="KC18">
        <f t="shared" si="57"/>
        <v>0</v>
      </c>
      <c r="KD18" t="s">
        <v>2083</v>
      </c>
      <c r="KE18">
        <f t="shared" si="58"/>
        <v>0</v>
      </c>
      <c r="KF18" t="s">
        <v>2084</v>
      </c>
      <c r="KG18">
        <f t="shared" si="59"/>
        <v>0</v>
      </c>
      <c r="KH18" t="s">
        <v>2085</v>
      </c>
      <c r="KI18">
        <f t="shared" si="60"/>
        <v>0</v>
      </c>
      <c r="KJ18" t="s">
        <v>2086</v>
      </c>
      <c r="KK18">
        <f t="shared" si="61"/>
        <v>0</v>
      </c>
      <c r="KL18" t="s">
        <v>2087</v>
      </c>
      <c r="KM18">
        <f t="shared" si="62"/>
        <v>0</v>
      </c>
      <c r="KN18" t="s">
        <v>2088</v>
      </c>
      <c r="KO18">
        <f t="shared" si="63"/>
        <v>0</v>
      </c>
      <c r="KP18" t="s">
        <v>2089</v>
      </c>
      <c r="KQ18">
        <f t="shared" si="64"/>
        <v>0</v>
      </c>
      <c r="KR18" t="s">
        <v>2090</v>
      </c>
      <c r="KS18">
        <f t="shared" si="65"/>
        <v>0</v>
      </c>
      <c r="KT18" t="s">
        <v>2091</v>
      </c>
      <c r="KU18">
        <f t="shared" si="66"/>
        <v>0</v>
      </c>
      <c r="KV18" t="s">
        <v>2092</v>
      </c>
      <c r="KW18">
        <f t="shared" si="67"/>
        <v>0</v>
      </c>
      <c r="KX18" t="s">
        <v>2093</v>
      </c>
      <c r="KY18">
        <f t="shared" si="68"/>
        <v>0</v>
      </c>
      <c r="KZ18" t="s">
        <v>2094</v>
      </c>
      <c r="LA18">
        <f t="shared" si="69"/>
        <v>0</v>
      </c>
      <c r="LB18" t="s">
        <v>2095</v>
      </c>
      <c r="LC18">
        <f t="shared" si="70"/>
        <v>0</v>
      </c>
      <c r="LD18" t="s">
        <v>2096</v>
      </c>
      <c r="LE18">
        <f t="shared" si="71"/>
        <v>0</v>
      </c>
      <c r="LF18" t="s">
        <v>2097</v>
      </c>
      <c r="LG18">
        <f t="shared" si="72"/>
        <v>0</v>
      </c>
      <c r="LH18" t="s">
        <v>2098</v>
      </c>
      <c r="LI18">
        <f t="shared" si="73"/>
        <v>0</v>
      </c>
      <c r="LJ18" t="s">
        <v>2099</v>
      </c>
      <c r="LK18">
        <f t="shared" si="74"/>
        <v>0</v>
      </c>
      <c r="LL18" t="s">
        <v>2100</v>
      </c>
      <c r="LM18">
        <f t="shared" si="75"/>
        <v>0</v>
      </c>
      <c r="LN18" t="s">
        <v>2101</v>
      </c>
      <c r="LO18">
        <f t="shared" si="76"/>
        <v>0</v>
      </c>
      <c r="LP18" t="s">
        <v>2102</v>
      </c>
      <c r="LQ18">
        <f t="shared" si="77"/>
        <v>0</v>
      </c>
      <c r="LR18" t="s">
        <v>2103</v>
      </c>
      <c r="LS18">
        <f t="shared" si="78"/>
        <v>0</v>
      </c>
      <c r="LT18" t="s">
        <v>2104</v>
      </c>
      <c r="LU18">
        <f t="shared" si="79"/>
        <v>0</v>
      </c>
      <c r="LV18" t="s">
        <v>2105</v>
      </c>
      <c r="LW18">
        <f t="shared" si="80"/>
        <v>0</v>
      </c>
      <c r="LX18" t="s">
        <v>2106</v>
      </c>
      <c r="LY18">
        <f t="shared" si="81"/>
        <v>0</v>
      </c>
      <c r="LZ18">
        <f>'6'!B64</f>
        <v>0</v>
      </c>
      <c r="MA18">
        <f>'6'!C64</f>
        <v>0</v>
      </c>
      <c r="MB18">
        <f>'6'!D64</f>
        <v>0</v>
      </c>
      <c r="MC18">
        <f>'6'!E64</f>
        <v>0</v>
      </c>
      <c r="MD18">
        <f>'6'!F64</f>
        <v>0</v>
      </c>
      <c r="ME18">
        <f>'6'!G64</f>
        <v>0</v>
      </c>
      <c r="MF18">
        <f>'6'!H64</f>
        <v>0</v>
      </c>
      <c r="MG18">
        <f>'6'!I64</f>
        <v>0</v>
      </c>
      <c r="MH18">
        <f>'6'!J64</f>
        <v>0</v>
      </c>
      <c r="MI18">
        <f>'6'!K64</f>
        <v>0</v>
      </c>
      <c r="MJ18">
        <f>'6'!L64</f>
        <v>0</v>
      </c>
      <c r="MK18">
        <f>'6'!M64</f>
        <v>0</v>
      </c>
      <c r="ML18" s="13">
        <f>'7'!B119</f>
        <v>0</v>
      </c>
      <c r="MM18" s="13">
        <f>'7'!C119</f>
        <v>0</v>
      </c>
      <c r="MN18" s="13">
        <f>'7'!D119</f>
        <v>0</v>
      </c>
      <c r="MO18" s="13">
        <f>'7'!E119</f>
        <v>0</v>
      </c>
      <c r="MP18" s="13">
        <f>'7'!F119</f>
        <v>0</v>
      </c>
      <c r="MQ18" s="13">
        <f>'7'!G119</f>
        <v>0</v>
      </c>
      <c r="MR18" s="13">
        <f>'7'!H119</f>
        <v>0</v>
      </c>
      <c r="MS18" s="13">
        <f>'7'!I119</f>
        <v>0</v>
      </c>
      <c r="MT18" s="13">
        <f>'7'!J119</f>
        <v>0</v>
      </c>
      <c r="MU18" s="13">
        <f>'7'!K119</f>
        <v>0</v>
      </c>
      <c r="MV18" s="13">
        <f>'7'!L119</f>
        <v>0</v>
      </c>
      <c r="MW18" s="13">
        <f>'7'!M119</f>
        <v>0</v>
      </c>
      <c r="MX18" s="13" t="s">
        <v>2107</v>
      </c>
      <c r="MY18">
        <f t="shared" si="82"/>
        <v>0</v>
      </c>
      <c r="MZ18" s="13" t="s">
        <v>2108</v>
      </c>
      <c r="NA18">
        <f t="shared" si="83"/>
        <v>0</v>
      </c>
      <c r="NB18" s="13" t="s">
        <v>2109</v>
      </c>
      <c r="NC18">
        <f t="shared" si="84"/>
        <v>0</v>
      </c>
      <c r="ND18" s="13" t="s">
        <v>2110</v>
      </c>
      <c r="NE18">
        <f t="shared" si="85"/>
        <v>0</v>
      </c>
      <c r="NF18" s="13" t="s">
        <v>2111</v>
      </c>
      <c r="NG18">
        <f t="shared" si="86"/>
        <v>0</v>
      </c>
      <c r="NH18" s="13" t="s">
        <v>2112</v>
      </c>
      <c r="NI18">
        <f t="shared" si="87"/>
        <v>0</v>
      </c>
      <c r="NJ18" s="13" t="s">
        <v>2113</v>
      </c>
      <c r="NK18">
        <f t="shared" si="88"/>
        <v>0</v>
      </c>
      <c r="NL18" s="13" t="s">
        <v>2114</v>
      </c>
      <c r="NM18">
        <f t="shared" si="89"/>
        <v>0</v>
      </c>
      <c r="NN18" s="13" t="s">
        <v>2115</v>
      </c>
      <c r="NO18">
        <f t="shared" si="90"/>
        <v>0</v>
      </c>
      <c r="NP18" s="13" t="s">
        <v>2116</v>
      </c>
      <c r="NQ18">
        <f t="shared" si="91"/>
        <v>0</v>
      </c>
      <c r="NR18" s="13" t="s">
        <v>2117</v>
      </c>
      <c r="NS18">
        <f t="shared" si="92"/>
        <v>0</v>
      </c>
      <c r="NT18" s="13" t="s">
        <v>2118</v>
      </c>
      <c r="NU18">
        <f t="shared" si="93"/>
        <v>0</v>
      </c>
      <c r="NV18" s="13"/>
    </row>
    <row r="19" spans="1:386" customFormat="1" x14ac:dyDescent="0.25">
      <c r="A19">
        <v>16</v>
      </c>
      <c r="B19">
        <f>'6'!AB67</f>
        <v>0</v>
      </c>
      <c r="C19">
        <f>'6'!AC67</f>
        <v>0</v>
      </c>
      <c r="D19">
        <f>'6'!AD67</f>
        <v>0</v>
      </c>
      <c r="E19">
        <f>'6'!AE67</f>
        <v>0</v>
      </c>
      <c r="F19">
        <f>'6'!AF67</f>
        <v>0</v>
      </c>
      <c r="G19">
        <f>'6'!AG67</f>
        <v>0</v>
      </c>
      <c r="H19">
        <f>'6'!AH67</f>
        <v>0</v>
      </c>
      <c r="I19">
        <f>'6'!AI67</f>
        <v>0</v>
      </c>
      <c r="J19">
        <f>'6'!AJ67</f>
        <v>0</v>
      </c>
      <c r="K19">
        <f>'6'!AK67</f>
        <v>0</v>
      </c>
      <c r="L19">
        <f>'6'!AL67</f>
        <v>0</v>
      </c>
      <c r="M19">
        <f>'6'!AM67</f>
        <v>0</v>
      </c>
      <c r="N19">
        <f>'6'!AN67</f>
        <v>0</v>
      </c>
      <c r="O19">
        <f>'6'!AO67</f>
        <v>0</v>
      </c>
      <c r="P19">
        <f>'6'!AP67</f>
        <v>0</v>
      </c>
      <c r="Q19">
        <f>'6'!AQ67</f>
        <v>0</v>
      </c>
      <c r="R19">
        <f>'6'!AR67</f>
        <v>0</v>
      </c>
      <c r="S19">
        <f>'6'!AS67</f>
        <v>0</v>
      </c>
      <c r="T19">
        <f>'6'!AT67</f>
        <v>0</v>
      </c>
      <c r="U19">
        <f>'6'!AU67</f>
        <v>0</v>
      </c>
      <c r="V19">
        <f>'6'!AV67</f>
        <v>0</v>
      </c>
      <c r="W19">
        <f>'6'!AW67</f>
        <v>0</v>
      </c>
      <c r="X19">
        <f>'6'!AX67</f>
        <v>0</v>
      </c>
      <c r="Y19">
        <f>'6'!AY67</f>
        <v>0</v>
      </c>
      <c r="Z19">
        <f>'6'!AZ67</f>
        <v>0</v>
      </c>
      <c r="AA19">
        <f>'6'!BA67</f>
        <v>0</v>
      </c>
      <c r="AB19">
        <f>'6'!BB67</f>
        <v>0</v>
      </c>
      <c r="AC19">
        <f>'6'!BC67</f>
        <v>0</v>
      </c>
      <c r="AD19">
        <f>'6'!BD67</f>
        <v>0</v>
      </c>
      <c r="AE19">
        <f>'6'!BE67</f>
        <v>0</v>
      </c>
      <c r="AF19">
        <f>'6'!BF67</f>
        <v>0</v>
      </c>
      <c r="AG19">
        <f>'6'!BG67</f>
        <v>0</v>
      </c>
      <c r="AH19">
        <f>'6'!BH67</f>
        <v>0</v>
      </c>
      <c r="AI19">
        <f>'6'!BI67</f>
        <v>0</v>
      </c>
      <c r="AJ19">
        <f>'6'!BJ67</f>
        <v>0</v>
      </c>
      <c r="AK19">
        <f>'6'!BK67</f>
        <v>0</v>
      </c>
      <c r="AL19">
        <f>'6'!BL67</f>
        <v>0</v>
      </c>
      <c r="AM19">
        <f>'6'!BM67</f>
        <v>0</v>
      </c>
      <c r="AN19">
        <f>'6'!BN67</f>
        <v>0</v>
      </c>
      <c r="AO19">
        <f>'6'!BO67</f>
        <v>0</v>
      </c>
      <c r="AP19">
        <f>'6'!BP67</f>
        <v>0</v>
      </c>
      <c r="AQ19">
        <f>'6'!BQ67</f>
        <v>0</v>
      </c>
      <c r="AR19">
        <f>'6'!BR67</f>
        <v>0</v>
      </c>
      <c r="AS19">
        <f>'6'!BS67</f>
        <v>0</v>
      </c>
      <c r="AT19">
        <f>'6'!BT67</f>
        <v>0</v>
      </c>
      <c r="AU19">
        <f>'6'!BU67</f>
        <v>0</v>
      </c>
      <c r="AV19">
        <f>'6'!BV67</f>
        <v>0</v>
      </c>
      <c r="AW19">
        <f>'6'!BW67</f>
        <v>0</v>
      </c>
      <c r="AX19">
        <f>'6'!BX67</f>
        <v>0</v>
      </c>
      <c r="AY19">
        <f>'6'!BY67</f>
        <v>0</v>
      </c>
      <c r="AZ19">
        <f>'6'!BZ67</f>
        <v>0</v>
      </c>
      <c r="BA19">
        <f>'6'!CA67</f>
        <v>0</v>
      </c>
      <c r="BB19">
        <f>'6'!CB67</f>
        <v>0</v>
      </c>
      <c r="BC19">
        <f>'6'!CC67</f>
        <v>0</v>
      </c>
      <c r="BD19">
        <f>'6'!CD67</f>
        <v>0</v>
      </c>
      <c r="BE19">
        <f>'6'!CE67</f>
        <v>0</v>
      </c>
      <c r="BF19">
        <f>'6'!CF67</f>
        <v>0</v>
      </c>
      <c r="BG19">
        <f>'6'!CG67</f>
        <v>0</v>
      </c>
      <c r="BH19">
        <f>'6'!CH67</f>
        <v>0</v>
      </c>
      <c r="BI19">
        <f>'6'!CI67</f>
        <v>0</v>
      </c>
      <c r="BJ19">
        <f>'6'!CJ67</f>
        <v>0</v>
      </c>
      <c r="BK19">
        <f>'6'!CK67</f>
        <v>0</v>
      </c>
      <c r="BL19">
        <f>'6'!CL67</f>
        <v>0</v>
      </c>
      <c r="BM19">
        <f>'6'!CM67</f>
        <v>0</v>
      </c>
      <c r="BN19">
        <f>'6'!CN67</f>
        <v>0</v>
      </c>
      <c r="BO19">
        <f>'6'!CO67</f>
        <v>0</v>
      </c>
      <c r="BP19">
        <f>'6'!CP67</f>
        <v>0</v>
      </c>
      <c r="BQ19">
        <f>'6'!CQ67</f>
        <v>0</v>
      </c>
      <c r="BR19">
        <f>'6'!CR67</f>
        <v>0</v>
      </c>
      <c r="BS19">
        <f>'6'!CS67</f>
        <v>0</v>
      </c>
      <c r="BT19">
        <f>'6'!CT67</f>
        <v>0</v>
      </c>
      <c r="BU19">
        <f>'6'!CU67</f>
        <v>0</v>
      </c>
      <c r="BV19">
        <f>'6'!CV67</f>
        <v>0</v>
      </c>
      <c r="BW19">
        <f>'6'!CW67</f>
        <v>0</v>
      </c>
      <c r="BX19">
        <f>'6'!CX67</f>
        <v>0</v>
      </c>
      <c r="BY19">
        <f>'6'!CY67</f>
        <v>0</v>
      </c>
      <c r="BZ19">
        <f>'6'!CZ67</f>
        <v>0</v>
      </c>
      <c r="CA19">
        <f>'6'!DA67</f>
        <v>0</v>
      </c>
      <c r="CB19">
        <f>'6'!DB67</f>
        <v>0</v>
      </c>
      <c r="CC19">
        <f>'6'!DC67</f>
        <v>0</v>
      </c>
      <c r="CD19">
        <f>'6'!DD67</f>
        <v>0</v>
      </c>
      <c r="CE19">
        <f>'6'!DE67</f>
        <v>0</v>
      </c>
      <c r="CF19">
        <f>'6'!DF67</f>
        <v>0</v>
      </c>
      <c r="CG19">
        <f>'6'!DG67</f>
        <v>0</v>
      </c>
      <c r="CH19">
        <f>SUM('7'!AB129:AB133)</f>
        <v>0</v>
      </c>
      <c r="CI19">
        <f>SUM('7'!AC129:AC133)</f>
        <v>0</v>
      </c>
      <c r="CJ19">
        <f>SUM('7'!AD129:AD133)</f>
        <v>0</v>
      </c>
      <c r="CK19">
        <f>SUM('7'!AE129:AE133)</f>
        <v>0</v>
      </c>
      <c r="CL19">
        <f>SUM('7'!AF129:AF133)</f>
        <v>0</v>
      </c>
      <c r="CM19">
        <f>SUM('7'!AG129:AG133)</f>
        <v>0</v>
      </c>
      <c r="CN19">
        <f>SUM('7'!AH129:AH133)</f>
        <v>0</v>
      </c>
      <c r="CO19">
        <f>SUM('7'!AI129:AI133)</f>
        <v>0</v>
      </c>
      <c r="CP19">
        <f>SUM('7'!AJ129:AJ133)</f>
        <v>0</v>
      </c>
      <c r="CQ19">
        <f>SUM('7'!AK129:AK133)</f>
        <v>0</v>
      </c>
      <c r="CR19">
        <f>SUM('7'!AL129:AL133)</f>
        <v>0</v>
      </c>
      <c r="CS19">
        <f>SUM('7'!AM129:AM133)</f>
        <v>0</v>
      </c>
      <c r="CT19">
        <f>SUM('7'!AN129:AN133)</f>
        <v>0</v>
      </c>
      <c r="CU19">
        <f>SUM('7'!AO129:AO133)</f>
        <v>0</v>
      </c>
      <c r="CV19">
        <f>SUM('7'!AP129:AP133)</f>
        <v>0</v>
      </c>
      <c r="CW19">
        <f>SUM('7'!AQ129:AQ133)</f>
        <v>0</v>
      </c>
      <c r="CX19">
        <f>SUM('7'!AR129:AR133)</f>
        <v>0</v>
      </c>
      <c r="CY19">
        <f>SUM('7'!AS129:AS133)</f>
        <v>0</v>
      </c>
      <c r="CZ19">
        <f>SUM('7'!AT129:AT133)</f>
        <v>0</v>
      </c>
      <c r="DA19">
        <f>SUM('7'!AU129:AU133)</f>
        <v>0</v>
      </c>
      <c r="DB19">
        <f>SUM('7'!AV129:AV133)</f>
        <v>0</v>
      </c>
      <c r="DC19">
        <f>SUM('7'!AW129:AW133)</f>
        <v>0</v>
      </c>
      <c r="DD19">
        <f>SUM('7'!AX129:AX133)</f>
        <v>0</v>
      </c>
      <c r="DE19">
        <f>SUM('7'!AY129:AY133)</f>
        <v>0</v>
      </c>
      <c r="DF19">
        <f>SUM('7'!AZ129:AZ133)</f>
        <v>0</v>
      </c>
      <c r="DG19">
        <f>SUM('7'!BA129:BA133)</f>
        <v>0</v>
      </c>
      <c r="DH19">
        <f>SUM('7'!BB129:BB133)</f>
        <v>0</v>
      </c>
      <c r="DI19">
        <f>SUM('7'!BC129:BC133)</f>
        <v>0</v>
      </c>
      <c r="DJ19">
        <f>SUM('7'!BD129:BD133)</f>
        <v>0</v>
      </c>
      <c r="DK19">
        <f>SUM('7'!BE129:BE133)</f>
        <v>0</v>
      </c>
      <c r="DL19">
        <f>SUM('7'!BF129:BF133)</f>
        <v>0</v>
      </c>
      <c r="DM19">
        <f>SUM('7'!BG129:BG133)</f>
        <v>0</v>
      </c>
      <c r="DN19">
        <f>SUM('7'!BH129:BH133)</f>
        <v>0</v>
      </c>
      <c r="DO19">
        <f>SUM('7'!BI129:BI133)</f>
        <v>0</v>
      </c>
      <c r="DP19">
        <f>SUM('7'!BJ129:BJ133)</f>
        <v>0</v>
      </c>
      <c r="DQ19">
        <f>SUM('7'!BK129:BK133)</f>
        <v>0</v>
      </c>
      <c r="DR19">
        <f>SUM('7'!BL129:BL133)</f>
        <v>0</v>
      </c>
      <c r="DS19">
        <f>SUM('7'!BM129:BM133)</f>
        <v>0</v>
      </c>
      <c r="DT19">
        <f>SUM('7'!BN129:BN133)</f>
        <v>0</v>
      </c>
      <c r="DU19">
        <f>SUM('7'!BO129:BO133)</f>
        <v>0</v>
      </c>
      <c r="DV19">
        <f>SUM('7'!BP129:BP133)</f>
        <v>0</v>
      </c>
      <c r="DW19">
        <f>SUM('7'!BQ129:BQ133)</f>
        <v>0</v>
      </c>
      <c r="DX19">
        <f>SUM('7'!BR129:BR133)</f>
        <v>0</v>
      </c>
      <c r="DY19">
        <f>SUM('7'!BS129:BS133)</f>
        <v>0</v>
      </c>
      <c r="DZ19">
        <f>SUM('7'!BT129:BT133)</f>
        <v>0</v>
      </c>
      <c r="EA19">
        <f>SUM('7'!BU129:BU133)</f>
        <v>0</v>
      </c>
      <c r="EB19">
        <f>SUM('7'!BV129:BV133)</f>
        <v>0</v>
      </c>
      <c r="EC19">
        <f>SUM('7'!BW129:BW133)</f>
        <v>0</v>
      </c>
      <c r="ED19">
        <f>SUM('7'!BX129:BX133)</f>
        <v>0</v>
      </c>
      <c r="EE19">
        <f>SUM('7'!BY129:BY133)</f>
        <v>0</v>
      </c>
      <c r="EF19">
        <f>SUM('7'!BZ129:BZ133)</f>
        <v>0</v>
      </c>
      <c r="EG19">
        <f>SUM('7'!CA129:CA133)</f>
        <v>0</v>
      </c>
      <c r="EH19">
        <f>SUM('7'!CB129:CB133)</f>
        <v>0</v>
      </c>
      <c r="EI19">
        <f>SUM('7'!CC129:CC133)</f>
        <v>0</v>
      </c>
      <c r="EJ19">
        <f>SUM('7'!CD129:CD133)</f>
        <v>0</v>
      </c>
      <c r="EK19">
        <f>SUM('7'!CE129:CE133)</f>
        <v>0</v>
      </c>
      <c r="EL19">
        <f>SUM('7'!CF129:CF133)</f>
        <v>0</v>
      </c>
      <c r="EM19">
        <f>SUM('7'!CG129:CG133)</f>
        <v>0</v>
      </c>
      <c r="EN19">
        <f>SUM('7'!CH129:CH133)</f>
        <v>0</v>
      </c>
      <c r="EO19">
        <f>SUM('7'!CI129:CI133)</f>
        <v>0</v>
      </c>
      <c r="EP19">
        <f>SUM('7'!CJ129:CJ133)</f>
        <v>0</v>
      </c>
      <c r="EQ19">
        <f>SUM('7'!CK129:CK133)</f>
        <v>0</v>
      </c>
      <c r="ER19">
        <f>SUM('7'!CL129:CL133)</f>
        <v>0</v>
      </c>
      <c r="ES19">
        <f>SUM('7'!CM129:CM133)</f>
        <v>0</v>
      </c>
      <c r="ET19">
        <f>SUM('7'!CN129:CN133)</f>
        <v>0</v>
      </c>
      <c r="EU19">
        <f>SUM('7'!CO129:CO133)</f>
        <v>0</v>
      </c>
      <c r="EV19">
        <f>SUM('7'!CP129:CP133)</f>
        <v>0</v>
      </c>
      <c r="EW19">
        <f>SUM('7'!CQ129:CQ133)</f>
        <v>0</v>
      </c>
      <c r="EX19">
        <f>SUM('7'!CR129:CR133)</f>
        <v>0</v>
      </c>
      <c r="EY19">
        <f>SUM('7'!CS129:CS133)</f>
        <v>0</v>
      </c>
      <c r="EZ19">
        <f>SUM('7'!CT129:CT133)</f>
        <v>0</v>
      </c>
      <c r="FA19">
        <f>SUM('7'!CU129:CU133)</f>
        <v>0</v>
      </c>
      <c r="FB19">
        <f>SUM('7'!CV129:CV133)</f>
        <v>0</v>
      </c>
      <c r="FC19">
        <f>SUM('7'!CW129:CW133)</f>
        <v>0</v>
      </c>
      <c r="FD19">
        <f>SUM('7'!CX129:CX133)</f>
        <v>0</v>
      </c>
      <c r="FE19">
        <f>SUM('7'!CY129:CY133)</f>
        <v>0</v>
      </c>
      <c r="FF19">
        <f>SUM('7'!CZ129:CZ133)</f>
        <v>0</v>
      </c>
      <c r="FG19">
        <f>SUM('7'!DA129:DA133)</f>
        <v>0</v>
      </c>
      <c r="FH19">
        <f>SUM('7'!DB129:DB133)</f>
        <v>0</v>
      </c>
      <c r="FI19">
        <f>SUM('7'!DC129:DC133)</f>
        <v>0</v>
      </c>
      <c r="FJ19">
        <f>SUM('7'!DD129:DD133)</f>
        <v>0</v>
      </c>
      <c r="FK19">
        <f>SUM('7'!DE129:DE133)</f>
        <v>0</v>
      </c>
      <c r="FL19">
        <f>SUM('7'!DF129:DF133)</f>
        <v>0</v>
      </c>
      <c r="FM19">
        <f>SUM('7'!DG129:DG133)</f>
        <v>0</v>
      </c>
      <c r="FN19" t="s">
        <v>2119</v>
      </c>
      <c r="FO19">
        <f t="shared" si="94"/>
        <v>0</v>
      </c>
      <c r="FP19" t="s">
        <v>2120</v>
      </c>
      <c r="FQ19">
        <f t="shared" si="0"/>
        <v>0</v>
      </c>
      <c r="FR19" t="s">
        <v>2121</v>
      </c>
      <c r="FS19">
        <f t="shared" si="1"/>
        <v>0</v>
      </c>
      <c r="FT19" t="s">
        <v>2122</v>
      </c>
      <c r="FU19">
        <f t="shared" si="2"/>
        <v>0</v>
      </c>
      <c r="FV19" t="s">
        <v>2123</v>
      </c>
      <c r="FW19">
        <f t="shared" si="3"/>
        <v>0</v>
      </c>
      <c r="FX19" t="s">
        <v>2124</v>
      </c>
      <c r="FY19">
        <f t="shared" si="4"/>
        <v>0</v>
      </c>
      <c r="FZ19" t="s">
        <v>2125</v>
      </c>
      <c r="GA19">
        <f t="shared" si="5"/>
        <v>0</v>
      </c>
      <c r="GB19" t="s">
        <v>2126</v>
      </c>
      <c r="GC19">
        <f t="shared" si="6"/>
        <v>0</v>
      </c>
      <c r="GD19" t="s">
        <v>2127</v>
      </c>
      <c r="GE19">
        <f t="shared" si="7"/>
        <v>0</v>
      </c>
      <c r="GF19" t="s">
        <v>2128</v>
      </c>
      <c r="GG19">
        <f t="shared" si="8"/>
        <v>0</v>
      </c>
      <c r="GH19" t="s">
        <v>2129</v>
      </c>
      <c r="GI19">
        <f t="shared" si="9"/>
        <v>0</v>
      </c>
      <c r="GJ19" t="s">
        <v>2130</v>
      </c>
      <c r="GK19">
        <f t="shared" si="10"/>
        <v>0</v>
      </c>
      <c r="GL19" t="s">
        <v>2131</v>
      </c>
      <c r="GM19">
        <f t="shared" si="11"/>
        <v>0</v>
      </c>
      <c r="GN19" t="s">
        <v>2132</v>
      </c>
      <c r="GO19">
        <f t="shared" si="95"/>
        <v>0</v>
      </c>
      <c r="GP19" t="s">
        <v>2133</v>
      </c>
      <c r="GQ19">
        <f t="shared" si="12"/>
        <v>0</v>
      </c>
      <c r="GR19" t="s">
        <v>2134</v>
      </c>
      <c r="GS19">
        <f t="shared" si="13"/>
        <v>0</v>
      </c>
      <c r="GT19" t="s">
        <v>2135</v>
      </c>
      <c r="GU19">
        <f t="shared" si="14"/>
        <v>0</v>
      </c>
      <c r="GV19" t="s">
        <v>2136</v>
      </c>
      <c r="GW19">
        <f t="shared" si="15"/>
        <v>0</v>
      </c>
      <c r="GX19" t="s">
        <v>2137</v>
      </c>
      <c r="GY19">
        <f t="shared" si="16"/>
        <v>0</v>
      </c>
      <c r="GZ19" t="s">
        <v>2138</v>
      </c>
      <c r="HA19">
        <f t="shared" si="17"/>
        <v>0</v>
      </c>
      <c r="HB19" t="s">
        <v>2139</v>
      </c>
      <c r="HC19">
        <f t="shared" si="18"/>
        <v>0</v>
      </c>
      <c r="HD19" t="s">
        <v>2140</v>
      </c>
      <c r="HE19">
        <f t="shared" si="19"/>
        <v>0</v>
      </c>
      <c r="HF19" t="s">
        <v>2141</v>
      </c>
      <c r="HG19">
        <f t="shared" si="20"/>
        <v>0</v>
      </c>
      <c r="HH19" t="s">
        <v>2142</v>
      </c>
      <c r="HI19">
        <f t="shared" si="21"/>
        <v>0</v>
      </c>
      <c r="HJ19" t="s">
        <v>2143</v>
      </c>
      <c r="HK19">
        <f t="shared" si="22"/>
        <v>0</v>
      </c>
      <c r="HL19" t="s">
        <v>2144</v>
      </c>
      <c r="HM19">
        <f t="shared" si="23"/>
        <v>0</v>
      </c>
      <c r="HN19" t="s">
        <v>2145</v>
      </c>
      <c r="HO19">
        <f t="shared" si="24"/>
        <v>0</v>
      </c>
      <c r="HP19" t="s">
        <v>2146</v>
      </c>
      <c r="HQ19">
        <f t="shared" si="25"/>
        <v>0</v>
      </c>
      <c r="HR19" t="s">
        <v>2147</v>
      </c>
      <c r="HS19">
        <f t="shared" si="26"/>
        <v>0</v>
      </c>
      <c r="HT19" t="s">
        <v>2148</v>
      </c>
      <c r="HU19">
        <f t="shared" si="27"/>
        <v>0</v>
      </c>
      <c r="HV19" t="s">
        <v>2149</v>
      </c>
      <c r="HW19">
        <f t="shared" si="28"/>
        <v>0</v>
      </c>
      <c r="HX19" t="s">
        <v>2150</v>
      </c>
      <c r="HY19">
        <f t="shared" si="29"/>
        <v>0</v>
      </c>
      <c r="HZ19" t="s">
        <v>2151</v>
      </c>
      <c r="IA19">
        <f t="shared" si="30"/>
        <v>0</v>
      </c>
      <c r="IB19" t="s">
        <v>2152</v>
      </c>
      <c r="IC19">
        <f t="shared" si="31"/>
        <v>0</v>
      </c>
      <c r="ID19" t="s">
        <v>2153</v>
      </c>
      <c r="IE19">
        <f t="shared" si="32"/>
        <v>0</v>
      </c>
      <c r="IF19" t="s">
        <v>2154</v>
      </c>
      <c r="IG19">
        <f t="shared" si="33"/>
        <v>0</v>
      </c>
      <c r="IH19" t="s">
        <v>2155</v>
      </c>
      <c r="II19">
        <f t="shared" si="34"/>
        <v>0</v>
      </c>
      <c r="IJ19" t="s">
        <v>2156</v>
      </c>
      <c r="IK19">
        <f t="shared" si="35"/>
        <v>0</v>
      </c>
      <c r="IL19" t="s">
        <v>2157</v>
      </c>
      <c r="IM19">
        <f t="shared" si="36"/>
        <v>0</v>
      </c>
      <c r="IN19" t="s">
        <v>2158</v>
      </c>
      <c r="IO19">
        <f t="shared" si="37"/>
        <v>0</v>
      </c>
      <c r="IP19" t="s">
        <v>2159</v>
      </c>
      <c r="IQ19">
        <f t="shared" si="38"/>
        <v>0</v>
      </c>
      <c r="IR19" t="s">
        <v>2160</v>
      </c>
      <c r="IS19">
        <f t="shared" si="39"/>
        <v>0</v>
      </c>
      <c r="IT19" t="s">
        <v>2161</v>
      </c>
      <c r="IU19">
        <f t="shared" si="40"/>
        <v>0</v>
      </c>
      <c r="IV19" t="s">
        <v>2162</v>
      </c>
      <c r="IW19">
        <f t="shared" si="41"/>
        <v>0</v>
      </c>
      <c r="IX19" t="s">
        <v>2163</v>
      </c>
      <c r="IY19">
        <f t="shared" si="42"/>
        <v>0</v>
      </c>
      <c r="IZ19" t="s">
        <v>2164</v>
      </c>
      <c r="JA19">
        <f t="shared" si="43"/>
        <v>0</v>
      </c>
      <c r="JB19" t="s">
        <v>2165</v>
      </c>
      <c r="JC19">
        <f t="shared" si="44"/>
        <v>0</v>
      </c>
      <c r="JD19" t="s">
        <v>2166</v>
      </c>
      <c r="JE19">
        <f t="shared" si="45"/>
        <v>0</v>
      </c>
      <c r="JF19" t="s">
        <v>2167</v>
      </c>
      <c r="JG19">
        <f t="shared" si="46"/>
        <v>0</v>
      </c>
      <c r="JH19" t="s">
        <v>2168</v>
      </c>
      <c r="JI19">
        <f t="shared" si="47"/>
        <v>0</v>
      </c>
      <c r="JJ19" t="s">
        <v>2169</v>
      </c>
      <c r="JK19">
        <f t="shared" si="48"/>
        <v>0</v>
      </c>
      <c r="JL19" t="s">
        <v>2170</v>
      </c>
      <c r="JM19">
        <f t="shared" si="49"/>
        <v>0</v>
      </c>
      <c r="JN19" t="s">
        <v>2171</v>
      </c>
      <c r="JO19">
        <f t="shared" si="50"/>
        <v>0</v>
      </c>
      <c r="JP19" t="s">
        <v>2172</v>
      </c>
      <c r="JQ19">
        <f t="shared" si="51"/>
        <v>0</v>
      </c>
      <c r="JR19" t="s">
        <v>2173</v>
      </c>
      <c r="JS19">
        <f t="shared" si="52"/>
        <v>0</v>
      </c>
      <c r="JT19" t="s">
        <v>2174</v>
      </c>
      <c r="JU19">
        <f t="shared" si="53"/>
        <v>0</v>
      </c>
      <c r="JV19" t="s">
        <v>2175</v>
      </c>
      <c r="JW19">
        <f t="shared" si="54"/>
        <v>0</v>
      </c>
      <c r="JX19" t="s">
        <v>2176</v>
      </c>
      <c r="JY19">
        <f t="shared" si="55"/>
        <v>0</v>
      </c>
      <c r="JZ19" t="s">
        <v>2177</v>
      </c>
      <c r="KA19">
        <f t="shared" si="56"/>
        <v>0</v>
      </c>
      <c r="KB19" t="s">
        <v>2178</v>
      </c>
      <c r="KC19">
        <f t="shared" si="57"/>
        <v>0</v>
      </c>
      <c r="KD19" t="s">
        <v>2179</v>
      </c>
      <c r="KE19">
        <f t="shared" si="58"/>
        <v>0</v>
      </c>
      <c r="KF19" t="s">
        <v>2180</v>
      </c>
      <c r="KG19">
        <f t="shared" si="59"/>
        <v>0</v>
      </c>
      <c r="KH19" t="s">
        <v>2181</v>
      </c>
      <c r="KI19">
        <f t="shared" si="60"/>
        <v>0</v>
      </c>
      <c r="KJ19" t="s">
        <v>2182</v>
      </c>
      <c r="KK19">
        <f t="shared" si="61"/>
        <v>0</v>
      </c>
      <c r="KL19" t="s">
        <v>2183</v>
      </c>
      <c r="KM19">
        <f t="shared" si="62"/>
        <v>0</v>
      </c>
      <c r="KN19" t="s">
        <v>2184</v>
      </c>
      <c r="KO19">
        <f t="shared" si="63"/>
        <v>0</v>
      </c>
      <c r="KP19" t="s">
        <v>2185</v>
      </c>
      <c r="KQ19">
        <f t="shared" si="64"/>
        <v>0</v>
      </c>
      <c r="KR19" t="s">
        <v>2186</v>
      </c>
      <c r="KS19">
        <f t="shared" si="65"/>
        <v>0</v>
      </c>
      <c r="KT19" t="s">
        <v>2187</v>
      </c>
      <c r="KU19">
        <f t="shared" si="66"/>
        <v>0</v>
      </c>
      <c r="KV19" t="s">
        <v>2188</v>
      </c>
      <c r="KW19">
        <f t="shared" si="67"/>
        <v>0</v>
      </c>
      <c r="KX19" t="s">
        <v>2189</v>
      </c>
      <c r="KY19">
        <f t="shared" si="68"/>
        <v>0</v>
      </c>
      <c r="KZ19" t="s">
        <v>2190</v>
      </c>
      <c r="LA19">
        <f t="shared" si="69"/>
        <v>0</v>
      </c>
      <c r="LB19" t="s">
        <v>2191</v>
      </c>
      <c r="LC19">
        <f t="shared" si="70"/>
        <v>0</v>
      </c>
      <c r="LD19" t="s">
        <v>2192</v>
      </c>
      <c r="LE19">
        <f t="shared" si="71"/>
        <v>0</v>
      </c>
      <c r="LF19" t="s">
        <v>2193</v>
      </c>
      <c r="LG19">
        <f t="shared" si="72"/>
        <v>0</v>
      </c>
      <c r="LH19" t="s">
        <v>2194</v>
      </c>
      <c r="LI19">
        <f t="shared" si="73"/>
        <v>0</v>
      </c>
      <c r="LJ19" t="s">
        <v>2195</v>
      </c>
      <c r="LK19">
        <f t="shared" si="74"/>
        <v>0</v>
      </c>
      <c r="LL19" t="s">
        <v>2196</v>
      </c>
      <c r="LM19">
        <f t="shared" si="75"/>
        <v>0</v>
      </c>
      <c r="LN19" t="s">
        <v>2197</v>
      </c>
      <c r="LO19">
        <f t="shared" si="76"/>
        <v>0</v>
      </c>
      <c r="LP19" t="s">
        <v>2198</v>
      </c>
      <c r="LQ19">
        <f t="shared" si="77"/>
        <v>0</v>
      </c>
      <c r="LR19" t="s">
        <v>2199</v>
      </c>
      <c r="LS19">
        <f t="shared" si="78"/>
        <v>0</v>
      </c>
      <c r="LT19" t="s">
        <v>2200</v>
      </c>
      <c r="LU19">
        <f t="shared" si="79"/>
        <v>0</v>
      </c>
      <c r="LV19" t="s">
        <v>2201</v>
      </c>
      <c r="LW19">
        <f t="shared" si="80"/>
        <v>0</v>
      </c>
      <c r="LX19" t="s">
        <v>2202</v>
      </c>
      <c r="LY19">
        <f t="shared" si="81"/>
        <v>0</v>
      </c>
      <c r="LZ19">
        <f>'6'!B68</f>
        <v>0</v>
      </c>
      <c r="MA19">
        <f>'6'!C68</f>
        <v>0</v>
      </c>
      <c r="MB19">
        <f>'6'!D68</f>
        <v>0</v>
      </c>
      <c r="MC19">
        <f>'6'!E68</f>
        <v>0</v>
      </c>
      <c r="MD19">
        <f>'6'!F68</f>
        <v>0</v>
      </c>
      <c r="ME19">
        <f>'6'!G68</f>
        <v>0</v>
      </c>
      <c r="MF19">
        <f>'6'!H68</f>
        <v>0</v>
      </c>
      <c r="MG19">
        <f>'6'!I68</f>
        <v>0</v>
      </c>
      <c r="MH19">
        <f>'6'!J68</f>
        <v>0</v>
      </c>
      <c r="MI19">
        <f>'6'!K68</f>
        <v>0</v>
      </c>
      <c r="MJ19">
        <f>'6'!L68</f>
        <v>0</v>
      </c>
      <c r="MK19">
        <f>'6'!M68</f>
        <v>0</v>
      </c>
      <c r="ML19" s="13">
        <f>'7'!B127</f>
        <v>0</v>
      </c>
      <c r="MM19" s="13">
        <f>'7'!C127</f>
        <v>0</v>
      </c>
      <c r="MN19" s="13">
        <f>'7'!D127</f>
        <v>0</v>
      </c>
      <c r="MO19" s="13">
        <f>'7'!E127</f>
        <v>0</v>
      </c>
      <c r="MP19" s="13">
        <f>'7'!F127</f>
        <v>0</v>
      </c>
      <c r="MQ19" s="13">
        <f>'7'!G127</f>
        <v>0</v>
      </c>
      <c r="MR19" s="13">
        <f>'7'!H127</f>
        <v>0</v>
      </c>
      <c r="MS19" s="13">
        <f>'7'!I127</f>
        <v>0</v>
      </c>
      <c r="MT19" s="13">
        <f>'7'!J127</f>
        <v>0</v>
      </c>
      <c r="MU19" s="13">
        <f>'7'!K127</f>
        <v>0</v>
      </c>
      <c r="MV19" s="13">
        <f>'7'!L127</f>
        <v>0</v>
      </c>
      <c r="MW19" s="13">
        <f>'7'!M127</f>
        <v>0</v>
      </c>
      <c r="MX19" s="13" t="s">
        <v>2203</v>
      </c>
      <c r="MY19">
        <f t="shared" si="82"/>
        <v>0</v>
      </c>
      <c r="MZ19" s="13" t="s">
        <v>2204</v>
      </c>
      <c r="NA19">
        <f t="shared" si="83"/>
        <v>0</v>
      </c>
      <c r="NB19" s="13" t="s">
        <v>2205</v>
      </c>
      <c r="NC19">
        <f t="shared" si="84"/>
        <v>0</v>
      </c>
      <c r="ND19" s="13" t="s">
        <v>2206</v>
      </c>
      <c r="NE19">
        <f t="shared" si="85"/>
        <v>0</v>
      </c>
      <c r="NF19" s="13" t="s">
        <v>2207</v>
      </c>
      <c r="NG19">
        <f t="shared" si="86"/>
        <v>0</v>
      </c>
      <c r="NH19" s="13" t="s">
        <v>2208</v>
      </c>
      <c r="NI19">
        <f t="shared" si="87"/>
        <v>0</v>
      </c>
      <c r="NJ19" s="13" t="s">
        <v>2209</v>
      </c>
      <c r="NK19">
        <f t="shared" si="88"/>
        <v>0</v>
      </c>
      <c r="NL19" s="13" t="s">
        <v>2210</v>
      </c>
      <c r="NM19">
        <f t="shared" si="89"/>
        <v>0</v>
      </c>
      <c r="NN19" s="13" t="s">
        <v>2211</v>
      </c>
      <c r="NO19">
        <f t="shared" si="90"/>
        <v>0</v>
      </c>
      <c r="NP19" s="13" t="s">
        <v>2212</v>
      </c>
      <c r="NQ19">
        <f t="shared" si="91"/>
        <v>0</v>
      </c>
      <c r="NR19" s="13" t="s">
        <v>2213</v>
      </c>
      <c r="NS19">
        <f t="shared" si="92"/>
        <v>0</v>
      </c>
      <c r="NT19" s="13" t="s">
        <v>2214</v>
      </c>
      <c r="NU19">
        <f t="shared" si="93"/>
        <v>0</v>
      </c>
      <c r="NV19" s="13"/>
    </row>
    <row r="20" spans="1:386" customFormat="1" x14ac:dyDescent="0.25">
      <c r="A20">
        <v>17</v>
      </c>
      <c r="B20">
        <f>'6'!AB71</f>
        <v>0</v>
      </c>
      <c r="C20">
        <f>'6'!AC71</f>
        <v>0</v>
      </c>
      <c r="D20">
        <f>'6'!AD71</f>
        <v>0</v>
      </c>
      <c r="E20">
        <f>'6'!AE71</f>
        <v>0</v>
      </c>
      <c r="F20">
        <f>'6'!AF71</f>
        <v>0</v>
      </c>
      <c r="G20">
        <f>'6'!AG71</f>
        <v>0</v>
      </c>
      <c r="H20">
        <f>'6'!AH71</f>
        <v>0</v>
      </c>
      <c r="I20">
        <f>'6'!AI71</f>
        <v>0</v>
      </c>
      <c r="J20">
        <f>'6'!AJ71</f>
        <v>0</v>
      </c>
      <c r="K20">
        <f>'6'!AK71</f>
        <v>0</v>
      </c>
      <c r="L20">
        <f>'6'!AL71</f>
        <v>0</v>
      </c>
      <c r="M20">
        <f>'6'!AM71</f>
        <v>0</v>
      </c>
      <c r="N20">
        <f>'6'!AN71</f>
        <v>0</v>
      </c>
      <c r="O20">
        <f>'6'!AO71</f>
        <v>0</v>
      </c>
      <c r="P20">
        <f>'6'!AP71</f>
        <v>0</v>
      </c>
      <c r="Q20">
        <f>'6'!AQ71</f>
        <v>0</v>
      </c>
      <c r="R20">
        <f>'6'!AR71</f>
        <v>0</v>
      </c>
      <c r="S20">
        <f>'6'!AS71</f>
        <v>0</v>
      </c>
      <c r="T20">
        <f>'6'!AT71</f>
        <v>0</v>
      </c>
      <c r="U20">
        <f>'6'!AU71</f>
        <v>0</v>
      </c>
      <c r="V20">
        <f>'6'!AV71</f>
        <v>0</v>
      </c>
      <c r="W20">
        <f>'6'!AW71</f>
        <v>0</v>
      </c>
      <c r="X20">
        <f>'6'!AX71</f>
        <v>0</v>
      </c>
      <c r="Y20">
        <f>'6'!AY71</f>
        <v>0</v>
      </c>
      <c r="Z20">
        <f>'6'!AZ71</f>
        <v>0</v>
      </c>
      <c r="AA20">
        <f>'6'!BA71</f>
        <v>0</v>
      </c>
      <c r="AB20">
        <f>'6'!BB71</f>
        <v>0</v>
      </c>
      <c r="AC20">
        <f>'6'!BC71</f>
        <v>0</v>
      </c>
      <c r="AD20">
        <f>'6'!BD71</f>
        <v>0</v>
      </c>
      <c r="AE20">
        <f>'6'!BE71</f>
        <v>0</v>
      </c>
      <c r="AF20">
        <f>'6'!BF71</f>
        <v>0</v>
      </c>
      <c r="AG20">
        <f>'6'!BG71</f>
        <v>0</v>
      </c>
      <c r="AH20">
        <f>'6'!BH71</f>
        <v>0</v>
      </c>
      <c r="AI20">
        <f>'6'!BI71</f>
        <v>0</v>
      </c>
      <c r="AJ20">
        <f>'6'!BJ71</f>
        <v>0</v>
      </c>
      <c r="AK20">
        <f>'6'!BK71</f>
        <v>0</v>
      </c>
      <c r="AL20">
        <f>'6'!BL71</f>
        <v>0</v>
      </c>
      <c r="AM20">
        <f>'6'!BM71</f>
        <v>0</v>
      </c>
      <c r="AN20">
        <f>'6'!BN71</f>
        <v>0</v>
      </c>
      <c r="AO20">
        <f>'6'!BO71</f>
        <v>0</v>
      </c>
      <c r="AP20">
        <f>'6'!BP71</f>
        <v>0</v>
      </c>
      <c r="AQ20">
        <f>'6'!BQ71</f>
        <v>0</v>
      </c>
      <c r="AR20">
        <f>'6'!BR71</f>
        <v>0</v>
      </c>
      <c r="AS20">
        <f>'6'!BS71</f>
        <v>0</v>
      </c>
      <c r="AT20">
        <f>'6'!BT71</f>
        <v>0</v>
      </c>
      <c r="AU20">
        <f>'6'!BU71</f>
        <v>0</v>
      </c>
      <c r="AV20">
        <f>'6'!BV71</f>
        <v>0</v>
      </c>
      <c r="AW20">
        <f>'6'!BW71</f>
        <v>0</v>
      </c>
      <c r="AX20">
        <f>'6'!BX71</f>
        <v>0</v>
      </c>
      <c r="AY20">
        <f>'6'!BY71</f>
        <v>0</v>
      </c>
      <c r="AZ20">
        <f>'6'!BZ71</f>
        <v>0</v>
      </c>
      <c r="BA20">
        <f>'6'!CA71</f>
        <v>0</v>
      </c>
      <c r="BB20">
        <f>'6'!CB71</f>
        <v>0</v>
      </c>
      <c r="BC20">
        <f>'6'!CC71</f>
        <v>0</v>
      </c>
      <c r="BD20">
        <f>'6'!CD71</f>
        <v>0</v>
      </c>
      <c r="BE20">
        <f>'6'!CE71</f>
        <v>0</v>
      </c>
      <c r="BF20">
        <f>'6'!CF71</f>
        <v>0</v>
      </c>
      <c r="BG20">
        <f>'6'!CG71</f>
        <v>0</v>
      </c>
      <c r="BH20">
        <f>'6'!CH71</f>
        <v>0</v>
      </c>
      <c r="BI20">
        <f>'6'!CI71</f>
        <v>0</v>
      </c>
      <c r="BJ20">
        <f>'6'!CJ71</f>
        <v>0</v>
      </c>
      <c r="BK20">
        <f>'6'!CK71</f>
        <v>0</v>
      </c>
      <c r="BL20">
        <f>'6'!CL71</f>
        <v>0</v>
      </c>
      <c r="BM20">
        <f>'6'!CM71</f>
        <v>0</v>
      </c>
      <c r="BN20">
        <f>'6'!CN71</f>
        <v>0</v>
      </c>
      <c r="BO20">
        <f>'6'!CO71</f>
        <v>0</v>
      </c>
      <c r="BP20">
        <f>'6'!CP71</f>
        <v>0</v>
      </c>
      <c r="BQ20">
        <f>'6'!CQ71</f>
        <v>0</v>
      </c>
      <c r="BR20">
        <f>'6'!CR71</f>
        <v>0</v>
      </c>
      <c r="BS20">
        <f>'6'!CS71</f>
        <v>0</v>
      </c>
      <c r="BT20">
        <f>'6'!CT71</f>
        <v>0</v>
      </c>
      <c r="BU20">
        <f>'6'!CU71</f>
        <v>0</v>
      </c>
      <c r="BV20">
        <f>'6'!CV71</f>
        <v>0</v>
      </c>
      <c r="BW20">
        <f>'6'!CW71</f>
        <v>0</v>
      </c>
      <c r="BX20">
        <f>'6'!CX71</f>
        <v>0</v>
      </c>
      <c r="BY20">
        <f>'6'!CY71</f>
        <v>0</v>
      </c>
      <c r="BZ20">
        <f>'6'!CZ71</f>
        <v>0</v>
      </c>
      <c r="CA20">
        <f>'6'!DA71</f>
        <v>0</v>
      </c>
      <c r="CB20">
        <f>'6'!DB71</f>
        <v>0</v>
      </c>
      <c r="CC20">
        <f>'6'!DC71</f>
        <v>0</v>
      </c>
      <c r="CD20">
        <f>'6'!DD71</f>
        <v>0</v>
      </c>
      <c r="CE20">
        <f>'6'!DE71</f>
        <v>0</v>
      </c>
      <c r="CF20">
        <f>'6'!DF71</f>
        <v>0</v>
      </c>
      <c r="CG20">
        <f>'6'!DG71</f>
        <v>0</v>
      </c>
      <c r="CH20">
        <f>SUM('7'!AB137:AB141)</f>
        <v>0</v>
      </c>
      <c r="CI20">
        <f>SUM('7'!AC137:AC141)</f>
        <v>0</v>
      </c>
      <c r="CJ20">
        <f>SUM('7'!AD137:AD141)</f>
        <v>0</v>
      </c>
      <c r="CK20">
        <f>SUM('7'!AE137:AE141)</f>
        <v>0</v>
      </c>
      <c r="CL20">
        <f>SUM('7'!AF137:AF141)</f>
        <v>0</v>
      </c>
      <c r="CM20">
        <f>SUM('7'!AG137:AG141)</f>
        <v>0</v>
      </c>
      <c r="CN20">
        <f>SUM('7'!AH137:AH141)</f>
        <v>0</v>
      </c>
      <c r="CO20">
        <f>SUM('7'!AI137:AI141)</f>
        <v>0</v>
      </c>
      <c r="CP20">
        <f>SUM('7'!AJ137:AJ141)</f>
        <v>0</v>
      </c>
      <c r="CQ20">
        <f>SUM('7'!AK137:AK141)</f>
        <v>0</v>
      </c>
      <c r="CR20">
        <f>SUM('7'!AL137:AL141)</f>
        <v>0</v>
      </c>
      <c r="CS20">
        <f>SUM('7'!AM137:AM141)</f>
        <v>0</v>
      </c>
      <c r="CT20">
        <f>SUM('7'!AN137:AN141)</f>
        <v>0</v>
      </c>
      <c r="CU20">
        <f>SUM('7'!AO137:AO141)</f>
        <v>0</v>
      </c>
      <c r="CV20">
        <f>SUM('7'!AP137:AP141)</f>
        <v>0</v>
      </c>
      <c r="CW20">
        <f>SUM('7'!AQ137:AQ141)</f>
        <v>0</v>
      </c>
      <c r="CX20">
        <f>SUM('7'!AR137:AR141)</f>
        <v>0</v>
      </c>
      <c r="CY20">
        <f>SUM('7'!AS137:AS141)</f>
        <v>0</v>
      </c>
      <c r="CZ20">
        <f>SUM('7'!AT137:AT141)</f>
        <v>0</v>
      </c>
      <c r="DA20">
        <f>SUM('7'!AU137:AU141)</f>
        <v>0</v>
      </c>
      <c r="DB20">
        <f>SUM('7'!AV137:AV141)</f>
        <v>0</v>
      </c>
      <c r="DC20">
        <f>SUM('7'!AW137:AW141)</f>
        <v>0</v>
      </c>
      <c r="DD20">
        <f>SUM('7'!AX137:AX141)</f>
        <v>0</v>
      </c>
      <c r="DE20">
        <f>SUM('7'!AY137:AY141)</f>
        <v>0</v>
      </c>
      <c r="DF20">
        <f>SUM('7'!AZ137:AZ141)</f>
        <v>0</v>
      </c>
      <c r="DG20">
        <f>SUM('7'!BA137:BA141)</f>
        <v>0</v>
      </c>
      <c r="DH20">
        <f>SUM('7'!BB137:BB141)</f>
        <v>0</v>
      </c>
      <c r="DI20">
        <f>SUM('7'!BC137:BC141)</f>
        <v>0</v>
      </c>
      <c r="DJ20">
        <f>SUM('7'!BD137:BD141)</f>
        <v>0</v>
      </c>
      <c r="DK20">
        <f>SUM('7'!BE137:BE141)</f>
        <v>0</v>
      </c>
      <c r="DL20">
        <f>SUM('7'!BF137:BF141)</f>
        <v>0</v>
      </c>
      <c r="DM20">
        <f>SUM('7'!BG137:BG141)</f>
        <v>0</v>
      </c>
      <c r="DN20">
        <f>SUM('7'!BH137:BH141)</f>
        <v>0</v>
      </c>
      <c r="DO20">
        <f>SUM('7'!BI137:BI141)</f>
        <v>0</v>
      </c>
      <c r="DP20">
        <f>SUM('7'!BJ137:BJ141)</f>
        <v>0</v>
      </c>
      <c r="DQ20">
        <f>SUM('7'!BK137:BK141)</f>
        <v>0</v>
      </c>
      <c r="DR20">
        <f>SUM('7'!BL137:BL141)</f>
        <v>0</v>
      </c>
      <c r="DS20">
        <f>SUM('7'!BM137:BM141)</f>
        <v>0</v>
      </c>
      <c r="DT20">
        <f>SUM('7'!BN137:BN141)</f>
        <v>0</v>
      </c>
      <c r="DU20">
        <f>SUM('7'!BO137:BO141)</f>
        <v>0</v>
      </c>
      <c r="DV20">
        <f>SUM('7'!BP137:BP141)</f>
        <v>0</v>
      </c>
      <c r="DW20">
        <f>SUM('7'!BQ137:BQ141)</f>
        <v>0</v>
      </c>
      <c r="DX20">
        <f>SUM('7'!BR137:BR141)</f>
        <v>0</v>
      </c>
      <c r="DY20">
        <f>SUM('7'!BS137:BS141)</f>
        <v>0</v>
      </c>
      <c r="DZ20">
        <f>SUM('7'!BT137:BT141)</f>
        <v>0</v>
      </c>
      <c r="EA20">
        <f>SUM('7'!BU137:BU141)</f>
        <v>0</v>
      </c>
      <c r="EB20">
        <f>SUM('7'!BV137:BV141)</f>
        <v>0</v>
      </c>
      <c r="EC20">
        <f>SUM('7'!BW137:BW141)</f>
        <v>0</v>
      </c>
      <c r="ED20">
        <f>SUM('7'!BX137:BX141)</f>
        <v>0</v>
      </c>
      <c r="EE20">
        <f>SUM('7'!BY137:BY141)</f>
        <v>0</v>
      </c>
      <c r="EF20">
        <f>SUM('7'!BZ137:BZ141)</f>
        <v>0</v>
      </c>
      <c r="EG20">
        <f>SUM('7'!CA137:CA141)</f>
        <v>0</v>
      </c>
      <c r="EH20">
        <f>SUM('7'!CB137:CB141)</f>
        <v>0</v>
      </c>
      <c r="EI20">
        <f>SUM('7'!CC137:CC141)</f>
        <v>0</v>
      </c>
      <c r="EJ20">
        <f>SUM('7'!CD137:CD141)</f>
        <v>0</v>
      </c>
      <c r="EK20">
        <f>SUM('7'!CE137:CE141)</f>
        <v>0</v>
      </c>
      <c r="EL20">
        <f>SUM('7'!CF137:CF141)</f>
        <v>0</v>
      </c>
      <c r="EM20">
        <f>SUM('7'!CG137:CG141)</f>
        <v>0</v>
      </c>
      <c r="EN20">
        <f>SUM('7'!CH137:CH141)</f>
        <v>0</v>
      </c>
      <c r="EO20">
        <f>SUM('7'!CI137:CI141)</f>
        <v>0</v>
      </c>
      <c r="EP20">
        <f>SUM('7'!CJ137:CJ141)</f>
        <v>0</v>
      </c>
      <c r="EQ20">
        <f>SUM('7'!CK137:CK141)</f>
        <v>0</v>
      </c>
      <c r="ER20">
        <f>SUM('7'!CL137:CL141)</f>
        <v>0</v>
      </c>
      <c r="ES20">
        <f>SUM('7'!CM137:CM141)</f>
        <v>0</v>
      </c>
      <c r="ET20">
        <f>SUM('7'!CN137:CN141)</f>
        <v>0</v>
      </c>
      <c r="EU20">
        <f>SUM('7'!CO137:CO141)</f>
        <v>0</v>
      </c>
      <c r="EV20">
        <f>SUM('7'!CP137:CP141)</f>
        <v>0</v>
      </c>
      <c r="EW20">
        <f>SUM('7'!CQ137:CQ141)</f>
        <v>0</v>
      </c>
      <c r="EX20">
        <f>SUM('7'!CR137:CR141)</f>
        <v>0</v>
      </c>
      <c r="EY20">
        <f>SUM('7'!CS137:CS141)</f>
        <v>0</v>
      </c>
      <c r="EZ20">
        <f>SUM('7'!CT137:CT141)</f>
        <v>0</v>
      </c>
      <c r="FA20">
        <f>SUM('7'!CU137:CU141)</f>
        <v>0</v>
      </c>
      <c r="FB20">
        <f>SUM('7'!CV137:CV141)</f>
        <v>0</v>
      </c>
      <c r="FC20">
        <f>SUM('7'!CW137:CW141)</f>
        <v>0</v>
      </c>
      <c r="FD20">
        <f>SUM('7'!CX137:CX141)</f>
        <v>0</v>
      </c>
      <c r="FE20">
        <f>SUM('7'!CY137:CY141)</f>
        <v>0</v>
      </c>
      <c r="FF20">
        <f>SUM('7'!CZ137:CZ141)</f>
        <v>0</v>
      </c>
      <c r="FG20">
        <f>SUM('7'!DA137:DA141)</f>
        <v>0</v>
      </c>
      <c r="FH20">
        <f>SUM('7'!DB137:DB141)</f>
        <v>0</v>
      </c>
      <c r="FI20">
        <f>SUM('7'!DC137:DC141)</f>
        <v>0</v>
      </c>
      <c r="FJ20">
        <f>SUM('7'!DD137:DD141)</f>
        <v>0</v>
      </c>
      <c r="FK20">
        <f>SUM('7'!DE137:DE141)</f>
        <v>0</v>
      </c>
      <c r="FL20">
        <f>SUM('7'!DF137:DF141)</f>
        <v>0</v>
      </c>
      <c r="FM20">
        <f>SUM('7'!DG137:DG141)</f>
        <v>0</v>
      </c>
      <c r="FN20" t="s">
        <v>2215</v>
      </c>
      <c r="FO20">
        <f t="shared" si="94"/>
        <v>0</v>
      </c>
      <c r="FP20" t="s">
        <v>2216</v>
      </c>
      <c r="FQ20">
        <f t="shared" si="0"/>
        <v>0</v>
      </c>
      <c r="FR20" t="s">
        <v>2217</v>
      </c>
      <c r="FS20">
        <f t="shared" si="1"/>
        <v>0</v>
      </c>
      <c r="FT20" t="s">
        <v>2218</v>
      </c>
      <c r="FU20">
        <f t="shared" si="2"/>
        <v>0</v>
      </c>
      <c r="FV20" t="s">
        <v>2219</v>
      </c>
      <c r="FW20">
        <f t="shared" si="3"/>
        <v>0</v>
      </c>
      <c r="FX20" t="s">
        <v>2220</v>
      </c>
      <c r="FY20">
        <f t="shared" si="4"/>
        <v>0</v>
      </c>
      <c r="FZ20" t="s">
        <v>2221</v>
      </c>
      <c r="GA20">
        <f t="shared" si="5"/>
        <v>0</v>
      </c>
      <c r="GB20" t="s">
        <v>2222</v>
      </c>
      <c r="GC20">
        <f t="shared" si="6"/>
        <v>0</v>
      </c>
      <c r="GD20" t="s">
        <v>2223</v>
      </c>
      <c r="GE20">
        <f t="shared" si="7"/>
        <v>0</v>
      </c>
      <c r="GF20" t="s">
        <v>2224</v>
      </c>
      <c r="GG20">
        <f t="shared" si="8"/>
        <v>0</v>
      </c>
      <c r="GH20" t="s">
        <v>2225</v>
      </c>
      <c r="GI20">
        <f t="shared" si="9"/>
        <v>0</v>
      </c>
      <c r="GJ20" t="s">
        <v>2226</v>
      </c>
      <c r="GK20">
        <f t="shared" si="10"/>
        <v>0</v>
      </c>
      <c r="GL20" t="s">
        <v>2227</v>
      </c>
      <c r="GM20">
        <f t="shared" si="11"/>
        <v>0</v>
      </c>
      <c r="GN20" t="s">
        <v>2228</v>
      </c>
      <c r="GO20">
        <f t="shared" si="95"/>
        <v>0</v>
      </c>
      <c r="GP20" t="s">
        <v>2229</v>
      </c>
      <c r="GQ20">
        <f t="shared" si="12"/>
        <v>0</v>
      </c>
      <c r="GR20" t="s">
        <v>2230</v>
      </c>
      <c r="GS20">
        <f t="shared" si="13"/>
        <v>0</v>
      </c>
      <c r="GT20" t="s">
        <v>2231</v>
      </c>
      <c r="GU20">
        <f t="shared" si="14"/>
        <v>0</v>
      </c>
      <c r="GV20" t="s">
        <v>2232</v>
      </c>
      <c r="GW20">
        <f t="shared" si="15"/>
        <v>0</v>
      </c>
      <c r="GX20" t="s">
        <v>2233</v>
      </c>
      <c r="GY20">
        <f t="shared" si="16"/>
        <v>0</v>
      </c>
      <c r="GZ20" t="s">
        <v>2234</v>
      </c>
      <c r="HA20">
        <f t="shared" si="17"/>
        <v>0</v>
      </c>
      <c r="HB20" t="s">
        <v>2235</v>
      </c>
      <c r="HC20">
        <f t="shared" si="18"/>
        <v>0</v>
      </c>
      <c r="HD20" t="s">
        <v>2236</v>
      </c>
      <c r="HE20">
        <f t="shared" si="19"/>
        <v>0</v>
      </c>
      <c r="HF20" t="s">
        <v>2237</v>
      </c>
      <c r="HG20">
        <f t="shared" si="20"/>
        <v>0</v>
      </c>
      <c r="HH20" t="s">
        <v>2238</v>
      </c>
      <c r="HI20">
        <f t="shared" si="21"/>
        <v>0</v>
      </c>
      <c r="HJ20" t="s">
        <v>2239</v>
      </c>
      <c r="HK20">
        <f t="shared" si="22"/>
        <v>0</v>
      </c>
      <c r="HL20" t="s">
        <v>2240</v>
      </c>
      <c r="HM20">
        <f t="shared" si="23"/>
        <v>0</v>
      </c>
      <c r="HN20" t="s">
        <v>2241</v>
      </c>
      <c r="HO20">
        <f t="shared" si="24"/>
        <v>0</v>
      </c>
      <c r="HP20" t="s">
        <v>2242</v>
      </c>
      <c r="HQ20">
        <f t="shared" si="25"/>
        <v>0</v>
      </c>
      <c r="HR20" t="s">
        <v>2243</v>
      </c>
      <c r="HS20">
        <f t="shared" si="26"/>
        <v>0</v>
      </c>
      <c r="HT20" t="s">
        <v>2244</v>
      </c>
      <c r="HU20">
        <f t="shared" si="27"/>
        <v>0</v>
      </c>
      <c r="HV20" t="s">
        <v>2245</v>
      </c>
      <c r="HW20">
        <f t="shared" si="28"/>
        <v>0</v>
      </c>
      <c r="HX20" t="s">
        <v>2246</v>
      </c>
      <c r="HY20">
        <f t="shared" si="29"/>
        <v>0</v>
      </c>
      <c r="HZ20" t="s">
        <v>2247</v>
      </c>
      <c r="IA20">
        <f t="shared" si="30"/>
        <v>0</v>
      </c>
      <c r="IB20" t="s">
        <v>2248</v>
      </c>
      <c r="IC20">
        <f t="shared" si="31"/>
        <v>0</v>
      </c>
      <c r="ID20" t="s">
        <v>2249</v>
      </c>
      <c r="IE20">
        <f t="shared" si="32"/>
        <v>0</v>
      </c>
      <c r="IF20" t="s">
        <v>2250</v>
      </c>
      <c r="IG20">
        <f t="shared" si="33"/>
        <v>0</v>
      </c>
      <c r="IH20" t="s">
        <v>2251</v>
      </c>
      <c r="II20">
        <f t="shared" si="34"/>
        <v>0</v>
      </c>
      <c r="IJ20" t="s">
        <v>2252</v>
      </c>
      <c r="IK20">
        <f t="shared" si="35"/>
        <v>0</v>
      </c>
      <c r="IL20" t="s">
        <v>2253</v>
      </c>
      <c r="IM20">
        <f t="shared" si="36"/>
        <v>0</v>
      </c>
      <c r="IN20" t="s">
        <v>2254</v>
      </c>
      <c r="IO20">
        <f t="shared" si="37"/>
        <v>0</v>
      </c>
      <c r="IP20" t="s">
        <v>2255</v>
      </c>
      <c r="IQ20">
        <f t="shared" si="38"/>
        <v>0</v>
      </c>
      <c r="IR20" t="s">
        <v>2256</v>
      </c>
      <c r="IS20">
        <f t="shared" si="39"/>
        <v>0</v>
      </c>
      <c r="IT20" t="s">
        <v>2257</v>
      </c>
      <c r="IU20">
        <f t="shared" si="40"/>
        <v>0</v>
      </c>
      <c r="IV20" t="s">
        <v>2258</v>
      </c>
      <c r="IW20">
        <f t="shared" si="41"/>
        <v>0</v>
      </c>
      <c r="IX20" t="s">
        <v>2259</v>
      </c>
      <c r="IY20">
        <f t="shared" si="42"/>
        <v>0</v>
      </c>
      <c r="IZ20" t="s">
        <v>2260</v>
      </c>
      <c r="JA20">
        <f t="shared" si="43"/>
        <v>0</v>
      </c>
      <c r="JB20" t="s">
        <v>2261</v>
      </c>
      <c r="JC20">
        <f t="shared" si="44"/>
        <v>0</v>
      </c>
      <c r="JD20" t="s">
        <v>2262</v>
      </c>
      <c r="JE20">
        <f t="shared" si="45"/>
        <v>0</v>
      </c>
      <c r="JF20" t="s">
        <v>2263</v>
      </c>
      <c r="JG20">
        <f t="shared" si="46"/>
        <v>0</v>
      </c>
      <c r="JH20" t="s">
        <v>2264</v>
      </c>
      <c r="JI20">
        <f t="shared" si="47"/>
        <v>0</v>
      </c>
      <c r="JJ20" t="s">
        <v>2265</v>
      </c>
      <c r="JK20">
        <f t="shared" si="48"/>
        <v>0</v>
      </c>
      <c r="JL20" t="s">
        <v>2266</v>
      </c>
      <c r="JM20">
        <f t="shared" si="49"/>
        <v>0</v>
      </c>
      <c r="JN20" t="s">
        <v>2267</v>
      </c>
      <c r="JO20">
        <f t="shared" si="50"/>
        <v>0</v>
      </c>
      <c r="JP20" t="s">
        <v>2268</v>
      </c>
      <c r="JQ20">
        <f t="shared" si="51"/>
        <v>0</v>
      </c>
      <c r="JR20" t="s">
        <v>2269</v>
      </c>
      <c r="JS20">
        <f t="shared" si="52"/>
        <v>0</v>
      </c>
      <c r="JT20" t="s">
        <v>2270</v>
      </c>
      <c r="JU20">
        <f t="shared" si="53"/>
        <v>0</v>
      </c>
      <c r="JV20" t="s">
        <v>2271</v>
      </c>
      <c r="JW20">
        <f t="shared" si="54"/>
        <v>0</v>
      </c>
      <c r="JX20" t="s">
        <v>2272</v>
      </c>
      <c r="JY20">
        <f t="shared" si="55"/>
        <v>0</v>
      </c>
      <c r="JZ20" t="s">
        <v>2273</v>
      </c>
      <c r="KA20">
        <f t="shared" si="56"/>
        <v>0</v>
      </c>
      <c r="KB20" t="s">
        <v>2274</v>
      </c>
      <c r="KC20">
        <f t="shared" si="57"/>
        <v>0</v>
      </c>
      <c r="KD20" t="s">
        <v>2275</v>
      </c>
      <c r="KE20">
        <f t="shared" si="58"/>
        <v>0</v>
      </c>
      <c r="KF20" t="s">
        <v>2276</v>
      </c>
      <c r="KG20">
        <f t="shared" si="59"/>
        <v>0</v>
      </c>
      <c r="KH20" t="s">
        <v>2277</v>
      </c>
      <c r="KI20">
        <f t="shared" si="60"/>
        <v>0</v>
      </c>
      <c r="KJ20" t="s">
        <v>2278</v>
      </c>
      <c r="KK20">
        <f t="shared" si="61"/>
        <v>0</v>
      </c>
      <c r="KL20" t="s">
        <v>2279</v>
      </c>
      <c r="KM20">
        <f t="shared" si="62"/>
        <v>0</v>
      </c>
      <c r="KN20" t="s">
        <v>2280</v>
      </c>
      <c r="KO20">
        <f t="shared" si="63"/>
        <v>0</v>
      </c>
      <c r="KP20" t="s">
        <v>2281</v>
      </c>
      <c r="KQ20">
        <f t="shared" si="64"/>
        <v>0</v>
      </c>
      <c r="KR20" t="s">
        <v>2282</v>
      </c>
      <c r="KS20">
        <f t="shared" si="65"/>
        <v>0</v>
      </c>
      <c r="KT20" t="s">
        <v>2283</v>
      </c>
      <c r="KU20">
        <f t="shared" si="66"/>
        <v>0</v>
      </c>
      <c r="KV20" t="s">
        <v>2284</v>
      </c>
      <c r="KW20">
        <f t="shared" si="67"/>
        <v>0</v>
      </c>
      <c r="KX20" t="s">
        <v>2285</v>
      </c>
      <c r="KY20">
        <f t="shared" si="68"/>
        <v>0</v>
      </c>
      <c r="KZ20" t="s">
        <v>2286</v>
      </c>
      <c r="LA20">
        <f t="shared" si="69"/>
        <v>0</v>
      </c>
      <c r="LB20" t="s">
        <v>2287</v>
      </c>
      <c r="LC20">
        <f t="shared" si="70"/>
        <v>0</v>
      </c>
      <c r="LD20" t="s">
        <v>2288</v>
      </c>
      <c r="LE20">
        <f t="shared" si="71"/>
        <v>0</v>
      </c>
      <c r="LF20" t="s">
        <v>2289</v>
      </c>
      <c r="LG20">
        <f t="shared" si="72"/>
        <v>0</v>
      </c>
      <c r="LH20" t="s">
        <v>2290</v>
      </c>
      <c r="LI20">
        <f t="shared" si="73"/>
        <v>0</v>
      </c>
      <c r="LJ20" t="s">
        <v>2291</v>
      </c>
      <c r="LK20">
        <f t="shared" si="74"/>
        <v>0</v>
      </c>
      <c r="LL20" t="s">
        <v>2292</v>
      </c>
      <c r="LM20">
        <f t="shared" si="75"/>
        <v>0</v>
      </c>
      <c r="LN20" t="s">
        <v>2293</v>
      </c>
      <c r="LO20">
        <f t="shared" si="76"/>
        <v>0</v>
      </c>
      <c r="LP20" t="s">
        <v>2294</v>
      </c>
      <c r="LQ20">
        <f t="shared" si="77"/>
        <v>0</v>
      </c>
      <c r="LR20" t="s">
        <v>2295</v>
      </c>
      <c r="LS20">
        <f t="shared" si="78"/>
        <v>0</v>
      </c>
      <c r="LT20" t="s">
        <v>2296</v>
      </c>
      <c r="LU20">
        <f t="shared" si="79"/>
        <v>0</v>
      </c>
      <c r="LV20" t="s">
        <v>2297</v>
      </c>
      <c r="LW20">
        <f t="shared" si="80"/>
        <v>0</v>
      </c>
      <c r="LX20" t="s">
        <v>2298</v>
      </c>
      <c r="LY20">
        <f t="shared" si="81"/>
        <v>0</v>
      </c>
      <c r="LZ20">
        <f>'6'!B72</f>
        <v>0</v>
      </c>
      <c r="MA20">
        <f>'6'!C72</f>
        <v>0</v>
      </c>
      <c r="MB20">
        <f>'6'!D72</f>
        <v>0</v>
      </c>
      <c r="MC20">
        <f>'6'!E72</f>
        <v>0</v>
      </c>
      <c r="MD20">
        <f>'6'!F72</f>
        <v>0</v>
      </c>
      <c r="ME20">
        <f>'6'!G72</f>
        <v>0</v>
      </c>
      <c r="MF20">
        <f>'6'!H72</f>
        <v>0</v>
      </c>
      <c r="MG20">
        <f>'6'!I72</f>
        <v>0</v>
      </c>
      <c r="MH20">
        <f>'6'!J72</f>
        <v>0</v>
      </c>
      <c r="MI20">
        <f>'6'!K72</f>
        <v>0</v>
      </c>
      <c r="MJ20">
        <f>'6'!L72</f>
        <v>0</v>
      </c>
      <c r="MK20">
        <f>'6'!M72</f>
        <v>0</v>
      </c>
      <c r="ML20" s="13">
        <f>'7'!B135</f>
        <v>0</v>
      </c>
      <c r="MM20" s="13">
        <f>'7'!C135</f>
        <v>0</v>
      </c>
      <c r="MN20" s="13">
        <f>'7'!D135</f>
        <v>0</v>
      </c>
      <c r="MO20" s="13">
        <f>'7'!E135</f>
        <v>0</v>
      </c>
      <c r="MP20" s="13">
        <f>'7'!F135</f>
        <v>0</v>
      </c>
      <c r="MQ20" s="13">
        <f>'7'!G135</f>
        <v>0</v>
      </c>
      <c r="MR20" s="13">
        <f>'7'!H135</f>
        <v>0</v>
      </c>
      <c r="MS20" s="13">
        <f>'7'!I135</f>
        <v>0</v>
      </c>
      <c r="MT20" s="13">
        <f>'7'!J135</f>
        <v>0</v>
      </c>
      <c r="MU20" s="13">
        <f>'7'!K135</f>
        <v>0</v>
      </c>
      <c r="MV20" s="13">
        <f>'7'!L135</f>
        <v>0</v>
      </c>
      <c r="MW20" s="13">
        <f>'7'!M135</f>
        <v>0</v>
      </c>
      <c r="MX20" s="13" t="s">
        <v>2299</v>
      </c>
      <c r="MY20">
        <f t="shared" si="82"/>
        <v>0</v>
      </c>
      <c r="MZ20" s="13" t="s">
        <v>2300</v>
      </c>
      <c r="NA20">
        <f t="shared" si="83"/>
        <v>0</v>
      </c>
      <c r="NB20" s="13" t="s">
        <v>2301</v>
      </c>
      <c r="NC20">
        <f t="shared" si="84"/>
        <v>0</v>
      </c>
      <c r="ND20" s="13" t="s">
        <v>2302</v>
      </c>
      <c r="NE20">
        <f t="shared" si="85"/>
        <v>0</v>
      </c>
      <c r="NF20" s="13" t="s">
        <v>2303</v>
      </c>
      <c r="NG20">
        <f t="shared" si="86"/>
        <v>0</v>
      </c>
      <c r="NH20" s="13" t="s">
        <v>2304</v>
      </c>
      <c r="NI20">
        <f t="shared" si="87"/>
        <v>0</v>
      </c>
      <c r="NJ20" s="13" t="s">
        <v>2305</v>
      </c>
      <c r="NK20">
        <f t="shared" si="88"/>
        <v>0</v>
      </c>
      <c r="NL20" s="13" t="s">
        <v>2306</v>
      </c>
      <c r="NM20">
        <f t="shared" si="89"/>
        <v>0</v>
      </c>
      <c r="NN20" s="13" t="s">
        <v>2307</v>
      </c>
      <c r="NO20">
        <f t="shared" si="90"/>
        <v>0</v>
      </c>
      <c r="NP20" s="13" t="s">
        <v>2308</v>
      </c>
      <c r="NQ20">
        <f t="shared" si="91"/>
        <v>0</v>
      </c>
      <c r="NR20" s="13" t="s">
        <v>2309</v>
      </c>
      <c r="NS20">
        <f t="shared" si="92"/>
        <v>0</v>
      </c>
      <c r="NT20" s="13" t="s">
        <v>2310</v>
      </c>
      <c r="NU20">
        <f t="shared" si="93"/>
        <v>0</v>
      </c>
      <c r="NV20" s="13"/>
    </row>
    <row r="21" spans="1:386" customFormat="1" x14ac:dyDescent="0.25">
      <c r="A21">
        <v>18</v>
      </c>
      <c r="B21">
        <f>'6'!AB75</f>
        <v>0</v>
      </c>
      <c r="C21">
        <f>'6'!AC75</f>
        <v>0</v>
      </c>
      <c r="D21">
        <f>'6'!AD75</f>
        <v>0</v>
      </c>
      <c r="E21">
        <f>'6'!AE75</f>
        <v>0</v>
      </c>
      <c r="F21">
        <f>'6'!AF75</f>
        <v>0</v>
      </c>
      <c r="G21">
        <f>'6'!AG75</f>
        <v>0</v>
      </c>
      <c r="H21">
        <f>'6'!AH75</f>
        <v>0</v>
      </c>
      <c r="I21">
        <f>'6'!AI75</f>
        <v>0</v>
      </c>
      <c r="J21">
        <f>'6'!AJ75</f>
        <v>0</v>
      </c>
      <c r="K21">
        <f>'6'!AK75</f>
        <v>0</v>
      </c>
      <c r="L21">
        <f>'6'!AL75</f>
        <v>0</v>
      </c>
      <c r="M21">
        <f>'6'!AM75</f>
        <v>0</v>
      </c>
      <c r="N21">
        <f>'6'!AN75</f>
        <v>0</v>
      </c>
      <c r="O21">
        <f>'6'!AO75</f>
        <v>0</v>
      </c>
      <c r="P21">
        <f>'6'!AP75</f>
        <v>0</v>
      </c>
      <c r="Q21">
        <f>'6'!AQ75</f>
        <v>0</v>
      </c>
      <c r="R21">
        <f>'6'!AR75</f>
        <v>0</v>
      </c>
      <c r="S21">
        <f>'6'!AS75</f>
        <v>0</v>
      </c>
      <c r="T21">
        <f>'6'!AT75</f>
        <v>0</v>
      </c>
      <c r="U21">
        <f>'6'!AU75</f>
        <v>0</v>
      </c>
      <c r="V21">
        <f>'6'!AV75</f>
        <v>0</v>
      </c>
      <c r="W21">
        <f>'6'!AW75</f>
        <v>0</v>
      </c>
      <c r="X21">
        <f>'6'!AX75</f>
        <v>0</v>
      </c>
      <c r="Y21">
        <f>'6'!AY75</f>
        <v>0</v>
      </c>
      <c r="Z21">
        <f>'6'!AZ75</f>
        <v>0</v>
      </c>
      <c r="AA21">
        <f>'6'!BA75</f>
        <v>0</v>
      </c>
      <c r="AB21">
        <f>'6'!BB75</f>
        <v>0</v>
      </c>
      <c r="AC21">
        <f>'6'!BC75</f>
        <v>0</v>
      </c>
      <c r="AD21">
        <f>'6'!BD75</f>
        <v>0</v>
      </c>
      <c r="AE21">
        <f>'6'!BE75</f>
        <v>0</v>
      </c>
      <c r="AF21">
        <f>'6'!BF75</f>
        <v>0</v>
      </c>
      <c r="AG21">
        <f>'6'!BG75</f>
        <v>0</v>
      </c>
      <c r="AH21">
        <f>'6'!BH75</f>
        <v>0</v>
      </c>
      <c r="AI21">
        <f>'6'!BI75</f>
        <v>0</v>
      </c>
      <c r="AJ21">
        <f>'6'!BJ75</f>
        <v>0</v>
      </c>
      <c r="AK21">
        <f>'6'!BK75</f>
        <v>0</v>
      </c>
      <c r="AL21">
        <f>'6'!BL75</f>
        <v>0</v>
      </c>
      <c r="AM21">
        <f>'6'!BM75</f>
        <v>0</v>
      </c>
      <c r="AN21">
        <f>'6'!BN75</f>
        <v>0</v>
      </c>
      <c r="AO21">
        <f>'6'!BO75</f>
        <v>0</v>
      </c>
      <c r="AP21">
        <f>'6'!BP75</f>
        <v>0</v>
      </c>
      <c r="AQ21">
        <f>'6'!BQ75</f>
        <v>0</v>
      </c>
      <c r="AR21">
        <f>'6'!BR75</f>
        <v>0</v>
      </c>
      <c r="AS21">
        <f>'6'!BS75</f>
        <v>0</v>
      </c>
      <c r="AT21">
        <f>'6'!BT75</f>
        <v>0</v>
      </c>
      <c r="AU21">
        <f>'6'!BU75</f>
        <v>0</v>
      </c>
      <c r="AV21">
        <f>'6'!BV75</f>
        <v>0</v>
      </c>
      <c r="AW21">
        <f>'6'!BW75</f>
        <v>0</v>
      </c>
      <c r="AX21">
        <f>'6'!BX75</f>
        <v>0</v>
      </c>
      <c r="AY21">
        <f>'6'!BY75</f>
        <v>0</v>
      </c>
      <c r="AZ21">
        <f>'6'!BZ75</f>
        <v>0</v>
      </c>
      <c r="BA21">
        <f>'6'!CA75</f>
        <v>0</v>
      </c>
      <c r="BB21">
        <f>'6'!CB75</f>
        <v>0</v>
      </c>
      <c r="BC21">
        <f>'6'!CC75</f>
        <v>0</v>
      </c>
      <c r="BD21">
        <f>'6'!CD75</f>
        <v>0</v>
      </c>
      <c r="BE21">
        <f>'6'!CE75</f>
        <v>0</v>
      </c>
      <c r="BF21">
        <f>'6'!CF75</f>
        <v>0</v>
      </c>
      <c r="BG21">
        <f>'6'!CG75</f>
        <v>0</v>
      </c>
      <c r="BH21">
        <f>'6'!CH75</f>
        <v>0</v>
      </c>
      <c r="BI21">
        <f>'6'!CI75</f>
        <v>0</v>
      </c>
      <c r="BJ21">
        <f>'6'!CJ75</f>
        <v>0</v>
      </c>
      <c r="BK21">
        <f>'6'!CK75</f>
        <v>0</v>
      </c>
      <c r="BL21">
        <f>'6'!CL75</f>
        <v>0</v>
      </c>
      <c r="BM21">
        <f>'6'!CM75</f>
        <v>0</v>
      </c>
      <c r="BN21">
        <f>'6'!CN75</f>
        <v>0</v>
      </c>
      <c r="BO21">
        <f>'6'!CO75</f>
        <v>0</v>
      </c>
      <c r="BP21">
        <f>'6'!CP75</f>
        <v>0</v>
      </c>
      <c r="BQ21">
        <f>'6'!CQ75</f>
        <v>0</v>
      </c>
      <c r="BR21">
        <f>'6'!CR75</f>
        <v>0</v>
      </c>
      <c r="BS21">
        <f>'6'!CS75</f>
        <v>0</v>
      </c>
      <c r="BT21">
        <f>'6'!CT75</f>
        <v>0</v>
      </c>
      <c r="BU21">
        <f>'6'!CU75</f>
        <v>0</v>
      </c>
      <c r="BV21">
        <f>'6'!CV75</f>
        <v>0</v>
      </c>
      <c r="BW21">
        <f>'6'!CW75</f>
        <v>0</v>
      </c>
      <c r="BX21">
        <f>'6'!CX75</f>
        <v>0</v>
      </c>
      <c r="BY21">
        <f>'6'!CY75</f>
        <v>0</v>
      </c>
      <c r="BZ21">
        <f>'6'!CZ75</f>
        <v>0</v>
      </c>
      <c r="CA21">
        <f>'6'!DA75</f>
        <v>0</v>
      </c>
      <c r="CB21">
        <f>'6'!DB75</f>
        <v>0</v>
      </c>
      <c r="CC21">
        <f>'6'!DC75</f>
        <v>0</v>
      </c>
      <c r="CD21">
        <f>'6'!DD75</f>
        <v>0</v>
      </c>
      <c r="CE21">
        <f>'6'!DE75</f>
        <v>0</v>
      </c>
      <c r="CF21">
        <f>'6'!DF75</f>
        <v>0</v>
      </c>
      <c r="CG21">
        <f>'6'!DG75</f>
        <v>0</v>
      </c>
      <c r="CH21">
        <f>SUM('7'!AB145:AB149)</f>
        <v>0</v>
      </c>
      <c r="CI21">
        <f>SUM('7'!AC145:AC149)</f>
        <v>0</v>
      </c>
      <c r="CJ21">
        <f>SUM('7'!AD145:AD149)</f>
        <v>0</v>
      </c>
      <c r="CK21">
        <f>SUM('7'!AE145:AE149)</f>
        <v>0</v>
      </c>
      <c r="CL21">
        <f>SUM('7'!AF145:AF149)</f>
        <v>0</v>
      </c>
      <c r="CM21">
        <f>SUM('7'!AG145:AG149)</f>
        <v>0</v>
      </c>
      <c r="CN21">
        <f>SUM('7'!AH145:AH149)</f>
        <v>0</v>
      </c>
      <c r="CO21">
        <f>SUM('7'!AI145:AI149)</f>
        <v>0</v>
      </c>
      <c r="CP21">
        <f>SUM('7'!AJ145:AJ149)</f>
        <v>0</v>
      </c>
      <c r="CQ21">
        <f>SUM('7'!AK145:AK149)</f>
        <v>0</v>
      </c>
      <c r="CR21">
        <f>SUM('7'!AL145:AL149)</f>
        <v>0</v>
      </c>
      <c r="CS21">
        <f>SUM('7'!AM145:AM149)</f>
        <v>0</v>
      </c>
      <c r="CT21">
        <f>SUM('7'!AN145:AN149)</f>
        <v>0</v>
      </c>
      <c r="CU21">
        <f>SUM('7'!AO145:AO149)</f>
        <v>0</v>
      </c>
      <c r="CV21">
        <f>SUM('7'!AP145:AP149)</f>
        <v>0</v>
      </c>
      <c r="CW21">
        <f>SUM('7'!AQ145:AQ149)</f>
        <v>0</v>
      </c>
      <c r="CX21">
        <f>SUM('7'!AR145:AR149)</f>
        <v>0</v>
      </c>
      <c r="CY21">
        <f>SUM('7'!AS145:AS149)</f>
        <v>0</v>
      </c>
      <c r="CZ21">
        <f>SUM('7'!AT145:AT149)</f>
        <v>0</v>
      </c>
      <c r="DA21">
        <f>SUM('7'!AU145:AU149)</f>
        <v>0</v>
      </c>
      <c r="DB21">
        <f>SUM('7'!AV145:AV149)</f>
        <v>0</v>
      </c>
      <c r="DC21">
        <f>SUM('7'!AW145:AW149)</f>
        <v>0</v>
      </c>
      <c r="DD21">
        <f>SUM('7'!AX145:AX149)</f>
        <v>0</v>
      </c>
      <c r="DE21">
        <f>SUM('7'!AY145:AY149)</f>
        <v>0</v>
      </c>
      <c r="DF21">
        <f>SUM('7'!AZ145:AZ149)</f>
        <v>0</v>
      </c>
      <c r="DG21">
        <f>SUM('7'!BA145:BA149)</f>
        <v>0</v>
      </c>
      <c r="DH21">
        <f>SUM('7'!BB145:BB149)</f>
        <v>0</v>
      </c>
      <c r="DI21">
        <f>SUM('7'!BC145:BC149)</f>
        <v>0</v>
      </c>
      <c r="DJ21">
        <f>SUM('7'!BD145:BD149)</f>
        <v>0</v>
      </c>
      <c r="DK21">
        <f>SUM('7'!BE145:BE149)</f>
        <v>0</v>
      </c>
      <c r="DL21">
        <f>SUM('7'!BF145:BF149)</f>
        <v>0</v>
      </c>
      <c r="DM21">
        <f>SUM('7'!BG145:BG149)</f>
        <v>0</v>
      </c>
      <c r="DN21">
        <f>SUM('7'!BH145:BH149)</f>
        <v>0</v>
      </c>
      <c r="DO21">
        <f>SUM('7'!BI145:BI149)</f>
        <v>0</v>
      </c>
      <c r="DP21">
        <f>SUM('7'!BJ145:BJ149)</f>
        <v>0</v>
      </c>
      <c r="DQ21">
        <f>SUM('7'!BK145:BK149)</f>
        <v>0</v>
      </c>
      <c r="DR21">
        <f>SUM('7'!BL145:BL149)</f>
        <v>0</v>
      </c>
      <c r="DS21">
        <f>SUM('7'!BM145:BM149)</f>
        <v>0</v>
      </c>
      <c r="DT21">
        <f>SUM('7'!BN145:BN149)</f>
        <v>0</v>
      </c>
      <c r="DU21">
        <f>SUM('7'!BO145:BO149)</f>
        <v>0</v>
      </c>
      <c r="DV21">
        <f>SUM('7'!BP145:BP149)</f>
        <v>0</v>
      </c>
      <c r="DW21">
        <f>SUM('7'!BQ145:BQ149)</f>
        <v>0</v>
      </c>
      <c r="DX21">
        <f>SUM('7'!BR145:BR149)</f>
        <v>0</v>
      </c>
      <c r="DY21">
        <f>SUM('7'!BS145:BS149)</f>
        <v>0</v>
      </c>
      <c r="DZ21">
        <f>SUM('7'!BT145:BT149)</f>
        <v>0</v>
      </c>
      <c r="EA21">
        <f>SUM('7'!BU145:BU149)</f>
        <v>0</v>
      </c>
      <c r="EB21">
        <f>SUM('7'!BV145:BV149)</f>
        <v>0</v>
      </c>
      <c r="EC21">
        <f>SUM('7'!BW145:BW149)</f>
        <v>0</v>
      </c>
      <c r="ED21">
        <f>SUM('7'!BX145:BX149)</f>
        <v>0</v>
      </c>
      <c r="EE21">
        <f>SUM('7'!BY145:BY149)</f>
        <v>0</v>
      </c>
      <c r="EF21">
        <f>SUM('7'!BZ145:BZ149)</f>
        <v>0</v>
      </c>
      <c r="EG21">
        <f>SUM('7'!CA145:CA149)</f>
        <v>0</v>
      </c>
      <c r="EH21">
        <f>SUM('7'!CB145:CB149)</f>
        <v>0</v>
      </c>
      <c r="EI21">
        <f>SUM('7'!CC145:CC149)</f>
        <v>0</v>
      </c>
      <c r="EJ21">
        <f>SUM('7'!CD145:CD149)</f>
        <v>0</v>
      </c>
      <c r="EK21">
        <f>SUM('7'!CE145:CE149)</f>
        <v>0</v>
      </c>
      <c r="EL21">
        <f>SUM('7'!CF145:CF149)</f>
        <v>0</v>
      </c>
      <c r="EM21">
        <f>SUM('7'!CG145:CG149)</f>
        <v>0</v>
      </c>
      <c r="EN21">
        <f>SUM('7'!CH145:CH149)</f>
        <v>0</v>
      </c>
      <c r="EO21">
        <f>SUM('7'!CI145:CI149)</f>
        <v>0</v>
      </c>
      <c r="EP21">
        <f>SUM('7'!CJ145:CJ149)</f>
        <v>0</v>
      </c>
      <c r="EQ21">
        <f>SUM('7'!CK145:CK149)</f>
        <v>0</v>
      </c>
      <c r="ER21">
        <f>SUM('7'!CL145:CL149)</f>
        <v>0</v>
      </c>
      <c r="ES21">
        <f>SUM('7'!CM145:CM149)</f>
        <v>0</v>
      </c>
      <c r="ET21">
        <f>SUM('7'!CN145:CN149)</f>
        <v>0</v>
      </c>
      <c r="EU21">
        <f>SUM('7'!CO145:CO149)</f>
        <v>0</v>
      </c>
      <c r="EV21">
        <f>SUM('7'!CP145:CP149)</f>
        <v>0</v>
      </c>
      <c r="EW21">
        <f>SUM('7'!CQ145:CQ149)</f>
        <v>0</v>
      </c>
      <c r="EX21">
        <f>SUM('7'!CR145:CR149)</f>
        <v>0</v>
      </c>
      <c r="EY21">
        <f>SUM('7'!CS145:CS149)</f>
        <v>0</v>
      </c>
      <c r="EZ21">
        <f>SUM('7'!CT145:CT149)</f>
        <v>0</v>
      </c>
      <c r="FA21">
        <f>SUM('7'!CU145:CU149)</f>
        <v>0</v>
      </c>
      <c r="FB21">
        <f>SUM('7'!CV145:CV149)</f>
        <v>0</v>
      </c>
      <c r="FC21">
        <f>SUM('7'!CW145:CW149)</f>
        <v>0</v>
      </c>
      <c r="FD21">
        <f>SUM('7'!CX145:CX149)</f>
        <v>0</v>
      </c>
      <c r="FE21">
        <f>SUM('7'!CY145:CY149)</f>
        <v>0</v>
      </c>
      <c r="FF21">
        <f>SUM('7'!CZ145:CZ149)</f>
        <v>0</v>
      </c>
      <c r="FG21">
        <f>SUM('7'!DA145:DA149)</f>
        <v>0</v>
      </c>
      <c r="FH21">
        <f>SUM('7'!DB145:DB149)</f>
        <v>0</v>
      </c>
      <c r="FI21">
        <f>SUM('7'!DC145:DC149)</f>
        <v>0</v>
      </c>
      <c r="FJ21">
        <f>SUM('7'!DD145:DD149)</f>
        <v>0</v>
      </c>
      <c r="FK21">
        <f>SUM('7'!DE145:DE149)</f>
        <v>0</v>
      </c>
      <c r="FL21">
        <f>SUM('7'!DF145:DF149)</f>
        <v>0</v>
      </c>
      <c r="FM21">
        <f>SUM('7'!DG145:DG149)</f>
        <v>0</v>
      </c>
      <c r="FN21" t="s">
        <v>2311</v>
      </c>
      <c r="FO21">
        <f t="shared" si="94"/>
        <v>0</v>
      </c>
      <c r="FP21" t="s">
        <v>2312</v>
      </c>
      <c r="FQ21">
        <f t="shared" si="0"/>
        <v>0</v>
      </c>
      <c r="FR21" t="s">
        <v>2313</v>
      </c>
      <c r="FS21">
        <f t="shared" si="1"/>
        <v>0</v>
      </c>
      <c r="FT21" t="s">
        <v>2314</v>
      </c>
      <c r="FU21">
        <f t="shared" si="2"/>
        <v>0</v>
      </c>
      <c r="FV21" t="s">
        <v>2315</v>
      </c>
      <c r="FW21">
        <f t="shared" si="3"/>
        <v>0</v>
      </c>
      <c r="FX21" t="s">
        <v>2316</v>
      </c>
      <c r="FY21">
        <f t="shared" si="4"/>
        <v>0</v>
      </c>
      <c r="FZ21" t="s">
        <v>2317</v>
      </c>
      <c r="GA21">
        <f t="shared" si="5"/>
        <v>0</v>
      </c>
      <c r="GB21" t="s">
        <v>2318</v>
      </c>
      <c r="GC21">
        <f t="shared" si="6"/>
        <v>0</v>
      </c>
      <c r="GD21" t="s">
        <v>2319</v>
      </c>
      <c r="GE21">
        <f t="shared" si="7"/>
        <v>0</v>
      </c>
      <c r="GF21" t="s">
        <v>2320</v>
      </c>
      <c r="GG21">
        <f t="shared" si="8"/>
        <v>0</v>
      </c>
      <c r="GH21" t="s">
        <v>2321</v>
      </c>
      <c r="GI21">
        <f t="shared" si="9"/>
        <v>0</v>
      </c>
      <c r="GJ21" t="s">
        <v>2322</v>
      </c>
      <c r="GK21">
        <f t="shared" si="10"/>
        <v>0</v>
      </c>
      <c r="GL21" t="s">
        <v>2323</v>
      </c>
      <c r="GM21">
        <f t="shared" si="11"/>
        <v>0</v>
      </c>
      <c r="GN21" t="s">
        <v>2324</v>
      </c>
      <c r="GO21">
        <f t="shared" si="95"/>
        <v>0</v>
      </c>
      <c r="GP21" t="s">
        <v>2325</v>
      </c>
      <c r="GQ21">
        <f t="shared" si="12"/>
        <v>0</v>
      </c>
      <c r="GR21" t="s">
        <v>2326</v>
      </c>
      <c r="GS21">
        <f t="shared" si="13"/>
        <v>0</v>
      </c>
      <c r="GT21" t="s">
        <v>2327</v>
      </c>
      <c r="GU21">
        <f t="shared" si="14"/>
        <v>0</v>
      </c>
      <c r="GV21" t="s">
        <v>2328</v>
      </c>
      <c r="GW21">
        <f t="shared" si="15"/>
        <v>0</v>
      </c>
      <c r="GX21" t="s">
        <v>2329</v>
      </c>
      <c r="GY21">
        <f t="shared" si="16"/>
        <v>0</v>
      </c>
      <c r="GZ21" t="s">
        <v>2330</v>
      </c>
      <c r="HA21">
        <f t="shared" si="17"/>
        <v>0</v>
      </c>
      <c r="HB21" t="s">
        <v>2331</v>
      </c>
      <c r="HC21">
        <f t="shared" si="18"/>
        <v>0</v>
      </c>
      <c r="HD21" t="s">
        <v>2332</v>
      </c>
      <c r="HE21">
        <f t="shared" si="19"/>
        <v>0</v>
      </c>
      <c r="HF21" t="s">
        <v>2333</v>
      </c>
      <c r="HG21">
        <f t="shared" si="20"/>
        <v>0</v>
      </c>
      <c r="HH21" t="s">
        <v>2334</v>
      </c>
      <c r="HI21">
        <f t="shared" si="21"/>
        <v>0</v>
      </c>
      <c r="HJ21" t="s">
        <v>2335</v>
      </c>
      <c r="HK21">
        <f t="shared" si="22"/>
        <v>0</v>
      </c>
      <c r="HL21" t="s">
        <v>2336</v>
      </c>
      <c r="HM21">
        <f t="shared" si="23"/>
        <v>0</v>
      </c>
      <c r="HN21" t="s">
        <v>2337</v>
      </c>
      <c r="HO21">
        <f t="shared" si="24"/>
        <v>0</v>
      </c>
      <c r="HP21" t="s">
        <v>2338</v>
      </c>
      <c r="HQ21">
        <f t="shared" si="25"/>
        <v>0</v>
      </c>
      <c r="HR21" t="s">
        <v>2339</v>
      </c>
      <c r="HS21">
        <f t="shared" si="26"/>
        <v>0</v>
      </c>
      <c r="HT21" t="s">
        <v>2340</v>
      </c>
      <c r="HU21">
        <f t="shared" si="27"/>
        <v>0</v>
      </c>
      <c r="HV21" t="s">
        <v>2341</v>
      </c>
      <c r="HW21">
        <f t="shared" si="28"/>
        <v>0</v>
      </c>
      <c r="HX21" t="s">
        <v>2342</v>
      </c>
      <c r="HY21">
        <f t="shared" si="29"/>
        <v>0</v>
      </c>
      <c r="HZ21" t="s">
        <v>2343</v>
      </c>
      <c r="IA21">
        <f t="shared" si="30"/>
        <v>0</v>
      </c>
      <c r="IB21" t="s">
        <v>2344</v>
      </c>
      <c r="IC21">
        <f t="shared" si="31"/>
        <v>0</v>
      </c>
      <c r="ID21" t="s">
        <v>2345</v>
      </c>
      <c r="IE21">
        <f t="shared" si="32"/>
        <v>0</v>
      </c>
      <c r="IF21" t="s">
        <v>2346</v>
      </c>
      <c r="IG21">
        <f t="shared" si="33"/>
        <v>0</v>
      </c>
      <c r="IH21" t="s">
        <v>2347</v>
      </c>
      <c r="II21">
        <f t="shared" si="34"/>
        <v>0</v>
      </c>
      <c r="IJ21" t="s">
        <v>2348</v>
      </c>
      <c r="IK21">
        <f t="shared" si="35"/>
        <v>0</v>
      </c>
      <c r="IL21" t="s">
        <v>2349</v>
      </c>
      <c r="IM21">
        <f t="shared" si="36"/>
        <v>0</v>
      </c>
      <c r="IN21" t="s">
        <v>2350</v>
      </c>
      <c r="IO21">
        <f t="shared" si="37"/>
        <v>0</v>
      </c>
      <c r="IP21" t="s">
        <v>2351</v>
      </c>
      <c r="IQ21">
        <f t="shared" si="38"/>
        <v>0</v>
      </c>
      <c r="IR21" t="s">
        <v>2352</v>
      </c>
      <c r="IS21">
        <f t="shared" si="39"/>
        <v>0</v>
      </c>
      <c r="IT21" t="s">
        <v>2353</v>
      </c>
      <c r="IU21">
        <f t="shared" si="40"/>
        <v>0</v>
      </c>
      <c r="IV21" t="s">
        <v>2354</v>
      </c>
      <c r="IW21">
        <f t="shared" si="41"/>
        <v>0</v>
      </c>
      <c r="IX21" t="s">
        <v>2355</v>
      </c>
      <c r="IY21">
        <f t="shared" si="42"/>
        <v>0</v>
      </c>
      <c r="IZ21" t="s">
        <v>2356</v>
      </c>
      <c r="JA21">
        <f t="shared" si="43"/>
        <v>0</v>
      </c>
      <c r="JB21" t="s">
        <v>2357</v>
      </c>
      <c r="JC21">
        <f t="shared" si="44"/>
        <v>0</v>
      </c>
      <c r="JD21" t="s">
        <v>2358</v>
      </c>
      <c r="JE21">
        <f t="shared" si="45"/>
        <v>0</v>
      </c>
      <c r="JF21" t="s">
        <v>2359</v>
      </c>
      <c r="JG21">
        <f t="shared" si="46"/>
        <v>0</v>
      </c>
      <c r="JH21" t="s">
        <v>2360</v>
      </c>
      <c r="JI21">
        <f t="shared" si="47"/>
        <v>0</v>
      </c>
      <c r="JJ21" t="s">
        <v>2361</v>
      </c>
      <c r="JK21">
        <f t="shared" si="48"/>
        <v>0</v>
      </c>
      <c r="JL21" t="s">
        <v>2362</v>
      </c>
      <c r="JM21">
        <f t="shared" si="49"/>
        <v>0</v>
      </c>
      <c r="JN21" t="s">
        <v>2363</v>
      </c>
      <c r="JO21">
        <f t="shared" si="50"/>
        <v>0</v>
      </c>
      <c r="JP21" t="s">
        <v>2364</v>
      </c>
      <c r="JQ21">
        <f t="shared" si="51"/>
        <v>0</v>
      </c>
      <c r="JR21" t="s">
        <v>2365</v>
      </c>
      <c r="JS21">
        <f t="shared" si="52"/>
        <v>0</v>
      </c>
      <c r="JT21" t="s">
        <v>2366</v>
      </c>
      <c r="JU21">
        <f t="shared" si="53"/>
        <v>0</v>
      </c>
      <c r="JV21" t="s">
        <v>2367</v>
      </c>
      <c r="JW21">
        <f t="shared" si="54"/>
        <v>0</v>
      </c>
      <c r="JX21" t="s">
        <v>2368</v>
      </c>
      <c r="JY21">
        <f t="shared" si="55"/>
        <v>0</v>
      </c>
      <c r="JZ21" t="s">
        <v>2369</v>
      </c>
      <c r="KA21">
        <f t="shared" si="56"/>
        <v>0</v>
      </c>
      <c r="KB21" t="s">
        <v>2370</v>
      </c>
      <c r="KC21">
        <f t="shared" si="57"/>
        <v>0</v>
      </c>
      <c r="KD21" t="s">
        <v>2371</v>
      </c>
      <c r="KE21">
        <f t="shared" si="58"/>
        <v>0</v>
      </c>
      <c r="KF21" t="s">
        <v>2372</v>
      </c>
      <c r="KG21">
        <f t="shared" si="59"/>
        <v>0</v>
      </c>
      <c r="KH21" t="s">
        <v>2373</v>
      </c>
      <c r="KI21">
        <f t="shared" si="60"/>
        <v>0</v>
      </c>
      <c r="KJ21" t="s">
        <v>2374</v>
      </c>
      <c r="KK21">
        <f t="shared" si="61"/>
        <v>0</v>
      </c>
      <c r="KL21" t="s">
        <v>2375</v>
      </c>
      <c r="KM21">
        <f t="shared" si="62"/>
        <v>0</v>
      </c>
      <c r="KN21" t="s">
        <v>2376</v>
      </c>
      <c r="KO21">
        <f t="shared" si="63"/>
        <v>0</v>
      </c>
      <c r="KP21" t="s">
        <v>2377</v>
      </c>
      <c r="KQ21">
        <f t="shared" si="64"/>
        <v>0</v>
      </c>
      <c r="KR21" t="s">
        <v>2378</v>
      </c>
      <c r="KS21">
        <f t="shared" si="65"/>
        <v>0</v>
      </c>
      <c r="KT21" t="s">
        <v>2379</v>
      </c>
      <c r="KU21">
        <f t="shared" si="66"/>
        <v>0</v>
      </c>
      <c r="KV21" t="s">
        <v>2380</v>
      </c>
      <c r="KW21">
        <f t="shared" si="67"/>
        <v>0</v>
      </c>
      <c r="KX21" t="s">
        <v>2381</v>
      </c>
      <c r="KY21">
        <f t="shared" si="68"/>
        <v>0</v>
      </c>
      <c r="KZ21" t="s">
        <v>2382</v>
      </c>
      <c r="LA21">
        <f t="shared" si="69"/>
        <v>0</v>
      </c>
      <c r="LB21" t="s">
        <v>2383</v>
      </c>
      <c r="LC21">
        <f t="shared" si="70"/>
        <v>0</v>
      </c>
      <c r="LD21" t="s">
        <v>2384</v>
      </c>
      <c r="LE21">
        <f t="shared" si="71"/>
        <v>0</v>
      </c>
      <c r="LF21" t="s">
        <v>2385</v>
      </c>
      <c r="LG21">
        <f t="shared" si="72"/>
        <v>0</v>
      </c>
      <c r="LH21" t="s">
        <v>2386</v>
      </c>
      <c r="LI21">
        <f t="shared" si="73"/>
        <v>0</v>
      </c>
      <c r="LJ21" t="s">
        <v>2387</v>
      </c>
      <c r="LK21">
        <f t="shared" si="74"/>
        <v>0</v>
      </c>
      <c r="LL21" t="s">
        <v>2388</v>
      </c>
      <c r="LM21">
        <f t="shared" si="75"/>
        <v>0</v>
      </c>
      <c r="LN21" t="s">
        <v>2389</v>
      </c>
      <c r="LO21">
        <f t="shared" si="76"/>
        <v>0</v>
      </c>
      <c r="LP21" t="s">
        <v>2390</v>
      </c>
      <c r="LQ21">
        <f t="shared" si="77"/>
        <v>0</v>
      </c>
      <c r="LR21" t="s">
        <v>2391</v>
      </c>
      <c r="LS21">
        <f t="shared" si="78"/>
        <v>0</v>
      </c>
      <c r="LT21" t="s">
        <v>2392</v>
      </c>
      <c r="LU21">
        <f t="shared" si="79"/>
        <v>0</v>
      </c>
      <c r="LV21" t="s">
        <v>2393</v>
      </c>
      <c r="LW21">
        <f t="shared" si="80"/>
        <v>0</v>
      </c>
      <c r="LX21" t="s">
        <v>2394</v>
      </c>
      <c r="LY21">
        <f t="shared" si="81"/>
        <v>0</v>
      </c>
      <c r="LZ21">
        <f>'6'!B76</f>
        <v>0</v>
      </c>
      <c r="MA21">
        <f>'6'!C76</f>
        <v>0</v>
      </c>
      <c r="MB21">
        <f>'6'!D76</f>
        <v>0</v>
      </c>
      <c r="MC21">
        <f>'6'!E76</f>
        <v>0</v>
      </c>
      <c r="MD21">
        <f>'6'!F76</f>
        <v>0</v>
      </c>
      <c r="ME21">
        <f>'6'!G76</f>
        <v>0</v>
      </c>
      <c r="MF21">
        <f>'6'!H76</f>
        <v>0</v>
      </c>
      <c r="MG21">
        <f>'6'!I76</f>
        <v>0</v>
      </c>
      <c r="MH21">
        <f>'6'!J76</f>
        <v>0</v>
      </c>
      <c r="MI21">
        <f>'6'!K76</f>
        <v>0</v>
      </c>
      <c r="MJ21">
        <f>'6'!L76</f>
        <v>0</v>
      </c>
      <c r="MK21">
        <f>'6'!M76</f>
        <v>0</v>
      </c>
      <c r="ML21" s="13">
        <f>'7'!B143</f>
        <v>0</v>
      </c>
      <c r="MM21" s="13">
        <f>'7'!C143</f>
        <v>0</v>
      </c>
      <c r="MN21" s="13">
        <f>'7'!D143</f>
        <v>0</v>
      </c>
      <c r="MO21" s="13">
        <f>'7'!E143</f>
        <v>0</v>
      </c>
      <c r="MP21" s="13">
        <f>'7'!F143</f>
        <v>0</v>
      </c>
      <c r="MQ21" s="13">
        <f>'7'!G143</f>
        <v>0</v>
      </c>
      <c r="MR21" s="13">
        <f>'7'!H143</f>
        <v>0</v>
      </c>
      <c r="MS21" s="13">
        <f>'7'!I143</f>
        <v>0</v>
      </c>
      <c r="MT21" s="13">
        <f>'7'!J143</f>
        <v>0</v>
      </c>
      <c r="MU21" s="13">
        <f>'7'!K143</f>
        <v>0</v>
      </c>
      <c r="MV21" s="13">
        <f>'7'!L143</f>
        <v>0</v>
      </c>
      <c r="MW21" s="13">
        <f>'7'!M143</f>
        <v>0</v>
      </c>
      <c r="MX21" s="13" t="s">
        <v>2395</v>
      </c>
      <c r="MY21">
        <f t="shared" si="82"/>
        <v>0</v>
      </c>
      <c r="MZ21" s="13" t="s">
        <v>2396</v>
      </c>
      <c r="NA21">
        <f t="shared" si="83"/>
        <v>0</v>
      </c>
      <c r="NB21" s="13" t="s">
        <v>2397</v>
      </c>
      <c r="NC21">
        <f t="shared" si="84"/>
        <v>0</v>
      </c>
      <c r="ND21" s="13" t="s">
        <v>2398</v>
      </c>
      <c r="NE21">
        <f t="shared" si="85"/>
        <v>0</v>
      </c>
      <c r="NF21" s="13" t="s">
        <v>2399</v>
      </c>
      <c r="NG21">
        <f t="shared" si="86"/>
        <v>0</v>
      </c>
      <c r="NH21" s="13" t="s">
        <v>2400</v>
      </c>
      <c r="NI21">
        <f t="shared" si="87"/>
        <v>0</v>
      </c>
      <c r="NJ21" s="13" t="s">
        <v>2401</v>
      </c>
      <c r="NK21">
        <f t="shared" si="88"/>
        <v>0</v>
      </c>
      <c r="NL21" s="13" t="s">
        <v>2402</v>
      </c>
      <c r="NM21">
        <f t="shared" si="89"/>
        <v>0</v>
      </c>
      <c r="NN21" s="13" t="s">
        <v>2403</v>
      </c>
      <c r="NO21">
        <f t="shared" si="90"/>
        <v>0</v>
      </c>
      <c r="NP21" s="13" t="s">
        <v>2404</v>
      </c>
      <c r="NQ21">
        <f t="shared" si="91"/>
        <v>0</v>
      </c>
      <c r="NR21" s="13" t="s">
        <v>2405</v>
      </c>
      <c r="NS21">
        <f t="shared" si="92"/>
        <v>0</v>
      </c>
      <c r="NT21" s="13" t="s">
        <v>2406</v>
      </c>
      <c r="NU21">
        <f t="shared" si="93"/>
        <v>0</v>
      </c>
      <c r="NV21" s="13"/>
    </row>
    <row r="22" spans="1:386" customFormat="1" x14ac:dyDescent="0.25">
      <c r="A22">
        <v>19</v>
      </c>
      <c r="B22">
        <f>'6'!AB79</f>
        <v>0</v>
      </c>
      <c r="C22">
        <f>'6'!AC79</f>
        <v>0</v>
      </c>
      <c r="D22">
        <f>'6'!AD79</f>
        <v>0</v>
      </c>
      <c r="E22">
        <f>'6'!AE79</f>
        <v>0</v>
      </c>
      <c r="F22">
        <f>'6'!AF79</f>
        <v>0</v>
      </c>
      <c r="G22">
        <f>'6'!AG79</f>
        <v>0</v>
      </c>
      <c r="H22">
        <f>'6'!AH79</f>
        <v>0</v>
      </c>
      <c r="I22">
        <f>'6'!AI79</f>
        <v>0</v>
      </c>
      <c r="J22">
        <f>'6'!AJ79</f>
        <v>0</v>
      </c>
      <c r="K22">
        <f>'6'!AK79</f>
        <v>0</v>
      </c>
      <c r="L22">
        <f>'6'!AL79</f>
        <v>0</v>
      </c>
      <c r="M22">
        <f>'6'!AM79</f>
        <v>0</v>
      </c>
      <c r="N22">
        <f>'6'!AN79</f>
        <v>0</v>
      </c>
      <c r="O22">
        <f>'6'!AO79</f>
        <v>0</v>
      </c>
      <c r="P22">
        <f>'6'!AP79</f>
        <v>0</v>
      </c>
      <c r="Q22">
        <f>'6'!AQ79</f>
        <v>0</v>
      </c>
      <c r="R22">
        <f>'6'!AR79</f>
        <v>0</v>
      </c>
      <c r="S22">
        <f>'6'!AS79</f>
        <v>0</v>
      </c>
      <c r="T22">
        <f>'6'!AT79</f>
        <v>0</v>
      </c>
      <c r="U22">
        <f>'6'!AU79</f>
        <v>0</v>
      </c>
      <c r="V22">
        <f>'6'!AV79</f>
        <v>0</v>
      </c>
      <c r="W22">
        <f>'6'!AW79</f>
        <v>0</v>
      </c>
      <c r="X22">
        <f>'6'!AX79</f>
        <v>0</v>
      </c>
      <c r="Y22">
        <f>'6'!AY79</f>
        <v>0</v>
      </c>
      <c r="Z22">
        <f>'6'!AZ79</f>
        <v>0</v>
      </c>
      <c r="AA22">
        <f>'6'!BA79</f>
        <v>0</v>
      </c>
      <c r="AB22">
        <f>'6'!BB79</f>
        <v>0</v>
      </c>
      <c r="AC22">
        <f>'6'!BC79</f>
        <v>0</v>
      </c>
      <c r="AD22">
        <f>'6'!BD79</f>
        <v>0</v>
      </c>
      <c r="AE22">
        <f>'6'!BE79</f>
        <v>0</v>
      </c>
      <c r="AF22">
        <f>'6'!BF79</f>
        <v>0</v>
      </c>
      <c r="AG22">
        <f>'6'!BG79</f>
        <v>0</v>
      </c>
      <c r="AH22">
        <f>'6'!BH79</f>
        <v>0</v>
      </c>
      <c r="AI22">
        <f>'6'!BI79</f>
        <v>0</v>
      </c>
      <c r="AJ22">
        <f>'6'!BJ79</f>
        <v>0</v>
      </c>
      <c r="AK22">
        <f>'6'!BK79</f>
        <v>0</v>
      </c>
      <c r="AL22">
        <f>'6'!BL79</f>
        <v>0</v>
      </c>
      <c r="AM22">
        <f>'6'!BM79</f>
        <v>0</v>
      </c>
      <c r="AN22">
        <f>'6'!BN79</f>
        <v>0</v>
      </c>
      <c r="AO22">
        <f>'6'!BO79</f>
        <v>0</v>
      </c>
      <c r="AP22">
        <f>'6'!BP79</f>
        <v>0</v>
      </c>
      <c r="AQ22">
        <f>'6'!BQ79</f>
        <v>0</v>
      </c>
      <c r="AR22">
        <f>'6'!BR79</f>
        <v>0</v>
      </c>
      <c r="AS22">
        <f>'6'!BS79</f>
        <v>0</v>
      </c>
      <c r="AT22">
        <f>'6'!BT79</f>
        <v>0</v>
      </c>
      <c r="AU22">
        <f>'6'!BU79</f>
        <v>0</v>
      </c>
      <c r="AV22">
        <f>'6'!BV79</f>
        <v>0</v>
      </c>
      <c r="AW22">
        <f>'6'!BW79</f>
        <v>0</v>
      </c>
      <c r="AX22">
        <f>'6'!BX79</f>
        <v>0</v>
      </c>
      <c r="AY22">
        <f>'6'!BY79</f>
        <v>0</v>
      </c>
      <c r="AZ22">
        <f>'6'!BZ79</f>
        <v>0</v>
      </c>
      <c r="BA22">
        <f>'6'!CA79</f>
        <v>0</v>
      </c>
      <c r="BB22">
        <f>'6'!CB79</f>
        <v>0</v>
      </c>
      <c r="BC22">
        <f>'6'!CC79</f>
        <v>0</v>
      </c>
      <c r="BD22">
        <f>'6'!CD79</f>
        <v>0</v>
      </c>
      <c r="BE22">
        <f>'6'!CE79</f>
        <v>0</v>
      </c>
      <c r="BF22">
        <f>'6'!CF79</f>
        <v>0</v>
      </c>
      <c r="BG22">
        <f>'6'!CG79</f>
        <v>0</v>
      </c>
      <c r="BH22">
        <f>'6'!CH79</f>
        <v>0</v>
      </c>
      <c r="BI22">
        <f>'6'!CI79</f>
        <v>0</v>
      </c>
      <c r="BJ22">
        <f>'6'!CJ79</f>
        <v>0</v>
      </c>
      <c r="BK22">
        <f>'6'!CK79</f>
        <v>0</v>
      </c>
      <c r="BL22">
        <f>'6'!CL79</f>
        <v>0</v>
      </c>
      <c r="BM22">
        <f>'6'!CM79</f>
        <v>0</v>
      </c>
      <c r="BN22">
        <f>'6'!CN79</f>
        <v>0</v>
      </c>
      <c r="BO22">
        <f>'6'!CO79</f>
        <v>0</v>
      </c>
      <c r="BP22">
        <f>'6'!CP79</f>
        <v>0</v>
      </c>
      <c r="BQ22">
        <f>'6'!CQ79</f>
        <v>0</v>
      </c>
      <c r="BR22">
        <f>'6'!CR79</f>
        <v>0</v>
      </c>
      <c r="BS22">
        <f>'6'!CS79</f>
        <v>0</v>
      </c>
      <c r="BT22">
        <f>'6'!CT79</f>
        <v>0</v>
      </c>
      <c r="BU22">
        <f>'6'!CU79</f>
        <v>0</v>
      </c>
      <c r="BV22">
        <f>'6'!CV79</f>
        <v>0</v>
      </c>
      <c r="BW22">
        <f>'6'!CW79</f>
        <v>0</v>
      </c>
      <c r="BX22">
        <f>'6'!CX79</f>
        <v>0</v>
      </c>
      <c r="BY22">
        <f>'6'!CY79</f>
        <v>0</v>
      </c>
      <c r="BZ22">
        <f>'6'!CZ79</f>
        <v>0</v>
      </c>
      <c r="CA22">
        <f>'6'!DA79</f>
        <v>0</v>
      </c>
      <c r="CB22">
        <f>'6'!DB79</f>
        <v>0</v>
      </c>
      <c r="CC22">
        <f>'6'!DC79</f>
        <v>0</v>
      </c>
      <c r="CD22">
        <f>'6'!DD79</f>
        <v>0</v>
      </c>
      <c r="CE22">
        <f>'6'!DE79</f>
        <v>0</v>
      </c>
      <c r="CF22">
        <f>'6'!DF79</f>
        <v>0</v>
      </c>
      <c r="CG22">
        <f>'6'!DG79</f>
        <v>0</v>
      </c>
      <c r="CH22">
        <f>SUM('7'!AB153:AB157)</f>
        <v>0</v>
      </c>
      <c r="CI22">
        <f>SUM('7'!AC153:AC157)</f>
        <v>0</v>
      </c>
      <c r="CJ22">
        <f>SUM('7'!AD153:AD157)</f>
        <v>0</v>
      </c>
      <c r="CK22">
        <f>SUM('7'!AE153:AE157)</f>
        <v>0</v>
      </c>
      <c r="CL22">
        <f>SUM('7'!AF153:AF157)</f>
        <v>0</v>
      </c>
      <c r="CM22">
        <f>SUM('7'!AG153:AG157)</f>
        <v>0</v>
      </c>
      <c r="CN22">
        <f>SUM('7'!AH153:AH157)</f>
        <v>0</v>
      </c>
      <c r="CO22">
        <f>SUM('7'!AI153:AI157)</f>
        <v>0</v>
      </c>
      <c r="CP22">
        <f>SUM('7'!AJ153:AJ157)</f>
        <v>0</v>
      </c>
      <c r="CQ22">
        <f>SUM('7'!AK153:AK157)</f>
        <v>0</v>
      </c>
      <c r="CR22">
        <f>SUM('7'!AL153:AL157)</f>
        <v>0</v>
      </c>
      <c r="CS22">
        <f>SUM('7'!AM153:AM157)</f>
        <v>0</v>
      </c>
      <c r="CT22">
        <f>SUM('7'!AN153:AN157)</f>
        <v>0</v>
      </c>
      <c r="CU22">
        <f>SUM('7'!AO153:AO157)</f>
        <v>0</v>
      </c>
      <c r="CV22">
        <f>SUM('7'!AP153:AP157)</f>
        <v>0</v>
      </c>
      <c r="CW22">
        <f>SUM('7'!AQ153:AQ157)</f>
        <v>0</v>
      </c>
      <c r="CX22">
        <f>SUM('7'!AR153:AR157)</f>
        <v>0</v>
      </c>
      <c r="CY22">
        <f>SUM('7'!AS153:AS157)</f>
        <v>0</v>
      </c>
      <c r="CZ22">
        <f>SUM('7'!AT153:AT157)</f>
        <v>0</v>
      </c>
      <c r="DA22">
        <f>SUM('7'!AU153:AU157)</f>
        <v>0</v>
      </c>
      <c r="DB22">
        <f>SUM('7'!AV153:AV157)</f>
        <v>0</v>
      </c>
      <c r="DC22">
        <f>SUM('7'!AW153:AW157)</f>
        <v>0</v>
      </c>
      <c r="DD22">
        <f>SUM('7'!AX153:AX157)</f>
        <v>0</v>
      </c>
      <c r="DE22">
        <f>SUM('7'!AY153:AY157)</f>
        <v>0</v>
      </c>
      <c r="DF22">
        <f>SUM('7'!AZ153:AZ157)</f>
        <v>0</v>
      </c>
      <c r="DG22">
        <f>SUM('7'!BA153:BA157)</f>
        <v>0</v>
      </c>
      <c r="DH22">
        <f>SUM('7'!BB153:BB157)</f>
        <v>0</v>
      </c>
      <c r="DI22">
        <f>SUM('7'!BC153:BC157)</f>
        <v>0</v>
      </c>
      <c r="DJ22">
        <f>SUM('7'!BD153:BD157)</f>
        <v>0</v>
      </c>
      <c r="DK22">
        <f>SUM('7'!BE153:BE157)</f>
        <v>0</v>
      </c>
      <c r="DL22">
        <f>SUM('7'!BF153:BF157)</f>
        <v>0</v>
      </c>
      <c r="DM22">
        <f>SUM('7'!BG153:BG157)</f>
        <v>0</v>
      </c>
      <c r="DN22">
        <f>SUM('7'!BH153:BH157)</f>
        <v>0</v>
      </c>
      <c r="DO22">
        <f>SUM('7'!BI153:BI157)</f>
        <v>0</v>
      </c>
      <c r="DP22">
        <f>SUM('7'!BJ153:BJ157)</f>
        <v>0</v>
      </c>
      <c r="DQ22">
        <f>SUM('7'!BK153:BK157)</f>
        <v>0</v>
      </c>
      <c r="DR22">
        <f>SUM('7'!BL153:BL157)</f>
        <v>0</v>
      </c>
      <c r="DS22">
        <f>SUM('7'!BM153:BM157)</f>
        <v>0</v>
      </c>
      <c r="DT22">
        <f>SUM('7'!BN153:BN157)</f>
        <v>0</v>
      </c>
      <c r="DU22">
        <f>SUM('7'!BO153:BO157)</f>
        <v>0</v>
      </c>
      <c r="DV22">
        <f>SUM('7'!BP153:BP157)</f>
        <v>0</v>
      </c>
      <c r="DW22">
        <f>SUM('7'!BQ153:BQ157)</f>
        <v>0</v>
      </c>
      <c r="DX22">
        <f>SUM('7'!BR153:BR157)</f>
        <v>0</v>
      </c>
      <c r="DY22">
        <f>SUM('7'!BS153:BS157)</f>
        <v>0</v>
      </c>
      <c r="DZ22">
        <f>SUM('7'!BT153:BT157)</f>
        <v>0</v>
      </c>
      <c r="EA22">
        <f>SUM('7'!BU153:BU157)</f>
        <v>0</v>
      </c>
      <c r="EB22">
        <f>SUM('7'!BV153:BV157)</f>
        <v>0</v>
      </c>
      <c r="EC22">
        <f>SUM('7'!BW153:BW157)</f>
        <v>0</v>
      </c>
      <c r="ED22">
        <f>SUM('7'!BX153:BX157)</f>
        <v>0</v>
      </c>
      <c r="EE22">
        <f>SUM('7'!BY153:BY157)</f>
        <v>0</v>
      </c>
      <c r="EF22">
        <f>SUM('7'!BZ153:BZ157)</f>
        <v>0</v>
      </c>
      <c r="EG22">
        <f>SUM('7'!CA153:CA157)</f>
        <v>0</v>
      </c>
      <c r="EH22">
        <f>SUM('7'!CB153:CB157)</f>
        <v>0</v>
      </c>
      <c r="EI22">
        <f>SUM('7'!CC153:CC157)</f>
        <v>0</v>
      </c>
      <c r="EJ22">
        <f>SUM('7'!CD153:CD157)</f>
        <v>0</v>
      </c>
      <c r="EK22">
        <f>SUM('7'!CE153:CE157)</f>
        <v>0</v>
      </c>
      <c r="EL22">
        <f>SUM('7'!CF153:CF157)</f>
        <v>0</v>
      </c>
      <c r="EM22">
        <f>SUM('7'!CG153:CG157)</f>
        <v>0</v>
      </c>
      <c r="EN22">
        <f>SUM('7'!CH153:CH157)</f>
        <v>0</v>
      </c>
      <c r="EO22">
        <f>SUM('7'!CI153:CI157)</f>
        <v>0</v>
      </c>
      <c r="EP22">
        <f>SUM('7'!CJ153:CJ157)</f>
        <v>0</v>
      </c>
      <c r="EQ22">
        <f>SUM('7'!CK153:CK157)</f>
        <v>0</v>
      </c>
      <c r="ER22">
        <f>SUM('7'!CL153:CL157)</f>
        <v>0</v>
      </c>
      <c r="ES22">
        <f>SUM('7'!CM153:CM157)</f>
        <v>0</v>
      </c>
      <c r="ET22">
        <f>SUM('7'!CN153:CN157)</f>
        <v>0</v>
      </c>
      <c r="EU22">
        <f>SUM('7'!CO153:CO157)</f>
        <v>0</v>
      </c>
      <c r="EV22">
        <f>SUM('7'!CP153:CP157)</f>
        <v>0</v>
      </c>
      <c r="EW22">
        <f>SUM('7'!CQ153:CQ157)</f>
        <v>0</v>
      </c>
      <c r="EX22">
        <f>SUM('7'!CR153:CR157)</f>
        <v>0</v>
      </c>
      <c r="EY22">
        <f>SUM('7'!CS153:CS157)</f>
        <v>0</v>
      </c>
      <c r="EZ22">
        <f>SUM('7'!CT153:CT157)</f>
        <v>0</v>
      </c>
      <c r="FA22">
        <f>SUM('7'!CU153:CU157)</f>
        <v>0</v>
      </c>
      <c r="FB22">
        <f>SUM('7'!CV153:CV157)</f>
        <v>0</v>
      </c>
      <c r="FC22">
        <f>SUM('7'!CW153:CW157)</f>
        <v>0</v>
      </c>
      <c r="FD22">
        <f>SUM('7'!CX153:CX157)</f>
        <v>0</v>
      </c>
      <c r="FE22">
        <f>SUM('7'!CY153:CY157)</f>
        <v>0</v>
      </c>
      <c r="FF22">
        <f>SUM('7'!CZ153:CZ157)</f>
        <v>0</v>
      </c>
      <c r="FG22">
        <f>SUM('7'!DA153:DA157)</f>
        <v>0</v>
      </c>
      <c r="FH22">
        <f>SUM('7'!DB153:DB157)</f>
        <v>0</v>
      </c>
      <c r="FI22">
        <f>SUM('7'!DC153:DC157)</f>
        <v>0</v>
      </c>
      <c r="FJ22">
        <f>SUM('7'!DD153:DD157)</f>
        <v>0</v>
      </c>
      <c r="FK22">
        <f>SUM('7'!DE153:DE157)</f>
        <v>0</v>
      </c>
      <c r="FL22">
        <f>SUM('7'!DF153:DF157)</f>
        <v>0</v>
      </c>
      <c r="FM22">
        <f>SUM('7'!DG153:DG157)</f>
        <v>0</v>
      </c>
      <c r="FN22" t="s">
        <v>2407</v>
      </c>
      <c r="FO22">
        <f t="shared" si="94"/>
        <v>0</v>
      </c>
      <c r="FP22" t="s">
        <v>2408</v>
      </c>
      <c r="FQ22">
        <f t="shared" si="0"/>
        <v>0</v>
      </c>
      <c r="FR22" t="s">
        <v>2409</v>
      </c>
      <c r="FS22">
        <f t="shared" si="1"/>
        <v>0</v>
      </c>
      <c r="FT22" t="s">
        <v>2410</v>
      </c>
      <c r="FU22">
        <f t="shared" si="2"/>
        <v>0</v>
      </c>
      <c r="FV22" t="s">
        <v>2411</v>
      </c>
      <c r="FW22">
        <f t="shared" si="3"/>
        <v>0</v>
      </c>
      <c r="FX22" t="s">
        <v>2412</v>
      </c>
      <c r="FY22">
        <f t="shared" si="4"/>
        <v>0</v>
      </c>
      <c r="FZ22" t="s">
        <v>2413</v>
      </c>
      <c r="GA22">
        <f t="shared" si="5"/>
        <v>0</v>
      </c>
      <c r="GB22" t="s">
        <v>2414</v>
      </c>
      <c r="GC22">
        <f t="shared" si="6"/>
        <v>0</v>
      </c>
      <c r="GD22" t="s">
        <v>2415</v>
      </c>
      <c r="GE22">
        <f t="shared" si="7"/>
        <v>0</v>
      </c>
      <c r="GF22" t="s">
        <v>2416</v>
      </c>
      <c r="GG22">
        <f t="shared" si="8"/>
        <v>0</v>
      </c>
      <c r="GH22" t="s">
        <v>2417</v>
      </c>
      <c r="GI22">
        <f t="shared" si="9"/>
        <v>0</v>
      </c>
      <c r="GJ22" t="s">
        <v>2418</v>
      </c>
      <c r="GK22">
        <f t="shared" si="10"/>
        <v>0</v>
      </c>
      <c r="GL22" t="s">
        <v>2419</v>
      </c>
      <c r="GM22">
        <f t="shared" si="11"/>
        <v>0</v>
      </c>
      <c r="GN22" t="s">
        <v>2420</v>
      </c>
      <c r="GO22">
        <f t="shared" si="95"/>
        <v>0</v>
      </c>
      <c r="GP22" t="s">
        <v>2421</v>
      </c>
      <c r="GQ22">
        <f t="shared" si="12"/>
        <v>0</v>
      </c>
      <c r="GR22" t="s">
        <v>2422</v>
      </c>
      <c r="GS22">
        <f t="shared" si="13"/>
        <v>0</v>
      </c>
      <c r="GT22" t="s">
        <v>2423</v>
      </c>
      <c r="GU22">
        <f t="shared" si="14"/>
        <v>0</v>
      </c>
      <c r="GV22" t="s">
        <v>2424</v>
      </c>
      <c r="GW22">
        <f t="shared" si="15"/>
        <v>0</v>
      </c>
      <c r="GX22" t="s">
        <v>2425</v>
      </c>
      <c r="GY22">
        <f t="shared" si="16"/>
        <v>0</v>
      </c>
      <c r="GZ22" t="s">
        <v>2426</v>
      </c>
      <c r="HA22">
        <f t="shared" si="17"/>
        <v>0</v>
      </c>
      <c r="HB22" t="s">
        <v>2427</v>
      </c>
      <c r="HC22">
        <f t="shared" si="18"/>
        <v>0</v>
      </c>
      <c r="HD22" t="s">
        <v>2428</v>
      </c>
      <c r="HE22">
        <f t="shared" si="19"/>
        <v>0</v>
      </c>
      <c r="HF22" t="s">
        <v>2429</v>
      </c>
      <c r="HG22">
        <f t="shared" si="20"/>
        <v>0</v>
      </c>
      <c r="HH22" t="s">
        <v>2430</v>
      </c>
      <c r="HI22">
        <f t="shared" si="21"/>
        <v>0</v>
      </c>
      <c r="HJ22" t="s">
        <v>2431</v>
      </c>
      <c r="HK22">
        <f t="shared" si="22"/>
        <v>0</v>
      </c>
      <c r="HL22" t="s">
        <v>2432</v>
      </c>
      <c r="HM22">
        <f t="shared" si="23"/>
        <v>0</v>
      </c>
      <c r="HN22" t="s">
        <v>2433</v>
      </c>
      <c r="HO22">
        <f t="shared" si="24"/>
        <v>0</v>
      </c>
      <c r="HP22" t="s">
        <v>2434</v>
      </c>
      <c r="HQ22">
        <f t="shared" si="25"/>
        <v>0</v>
      </c>
      <c r="HR22" t="s">
        <v>2435</v>
      </c>
      <c r="HS22">
        <f t="shared" si="26"/>
        <v>0</v>
      </c>
      <c r="HT22" t="s">
        <v>2436</v>
      </c>
      <c r="HU22">
        <f t="shared" si="27"/>
        <v>0</v>
      </c>
      <c r="HV22" t="s">
        <v>2437</v>
      </c>
      <c r="HW22">
        <f t="shared" si="28"/>
        <v>0</v>
      </c>
      <c r="HX22" t="s">
        <v>2438</v>
      </c>
      <c r="HY22">
        <f t="shared" si="29"/>
        <v>0</v>
      </c>
      <c r="HZ22" t="s">
        <v>2439</v>
      </c>
      <c r="IA22">
        <f t="shared" si="30"/>
        <v>0</v>
      </c>
      <c r="IB22" t="s">
        <v>2440</v>
      </c>
      <c r="IC22">
        <f t="shared" si="31"/>
        <v>0</v>
      </c>
      <c r="ID22" t="s">
        <v>2441</v>
      </c>
      <c r="IE22">
        <f t="shared" si="32"/>
        <v>0</v>
      </c>
      <c r="IF22" t="s">
        <v>2442</v>
      </c>
      <c r="IG22">
        <f t="shared" si="33"/>
        <v>0</v>
      </c>
      <c r="IH22" t="s">
        <v>2443</v>
      </c>
      <c r="II22">
        <f t="shared" si="34"/>
        <v>0</v>
      </c>
      <c r="IJ22" t="s">
        <v>2444</v>
      </c>
      <c r="IK22">
        <f t="shared" si="35"/>
        <v>0</v>
      </c>
      <c r="IL22" t="s">
        <v>2445</v>
      </c>
      <c r="IM22">
        <f t="shared" si="36"/>
        <v>0</v>
      </c>
      <c r="IN22" t="s">
        <v>2446</v>
      </c>
      <c r="IO22">
        <f t="shared" si="37"/>
        <v>0</v>
      </c>
      <c r="IP22" t="s">
        <v>2447</v>
      </c>
      <c r="IQ22">
        <f t="shared" si="38"/>
        <v>0</v>
      </c>
      <c r="IR22" t="s">
        <v>2448</v>
      </c>
      <c r="IS22">
        <f t="shared" si="39"/>
        <v>0</v>
      </c>
      <c r="IT22" t="s">
        <v>2449</v>
      </c>
      <c r="IU22">
        <f t="shared" si="40"/>
        <v>0</v>
      </c>
      <c r="IV22" t="s">
        <v>2450</v>
      </c>
      <c r="IW22">
        <f t="shared" si="41"/>
        <v>0</v>
      </c>
      <c r="IX22" t="s">
        <v>2451</v>
      </c>
      <c r="IY22">
        <f t="shared" si="42"/>
        <v>0</v>
      </c>
      <c r="IZ22" t="s">
        <v>2452</v>
      </c>
      <c r="JA22">
        <f t="shared" si="43"/>
        <v>0</v>
      </c>
      <c r="JB22" t="s">
        <v>2453</v>
      </c>
      <c r="JC22">
        <f t="shared" si="44"/>
        <v>0</v>
      </c>
      <c r="JD22" t="s">
        <v>2454</v>
      </c>
      <c r="JE22">
        <f t="shared" si="45"/>
        <v>0</v>
      </c>
      <c r="JF22" t="s">
        <v>2455</v>
      </c>
      <c r="JG22">
        <f t="shared" si="46"/>
        <v>0</v>
      </c>
      <c r="JH22" t="s">
        <v>2456</v>
      </c>
      <c r="JI22">
        <f t="shared" si="47"/>
        <v>0</v>
      </c>
      <c r="JJ22" t="s">
        <v>2457</v>
      </c>
      <c r="JK22">
        <f t="shared" si="48"/>
        <v>0</v>
      </c>
      <c r="JL22" t="s">
        <v>2458</v>
      </c>
      <c r="JM22">
        <f t="shared" si="49"/>
        <v>0</v>
      </c>
      <c r="JN22" t="s">
        <v>2459</v>
      </c>
      <c r="JO22">
        <f t="shared" si="50"/>
        <v>0</v>
      </c>
      <c r="JP22" t="s">
        <v>2460</v>
      </c>
      <c r="JQ22">
        <f t="shared" si="51"/>
        <v>0</v>
      </c>
      <c r="JR22" t="s">
        <v>2461</v>
      </c>
      <c r="JS22">
        <f t="shared" si="52"/>
        <v>0</v>
      </c>
      <c r="JT22" t="s">
        <v>2462</v>
      </c>
      <c r="JU22">
        <f t="shared" si="53"/>
        <v>0</v>
      </c>
      <c r="JV22" t="s">
        <v>2463</v>
      </c>
      <c r="JW22">
        <f t="shared" si="54"/>
        <v>0</v>
      </c>
      <c r="JX22" t="s">
        <v>2464</v>
      </c>
      <c r="JY22">
        <f t="shared" si="55"/>
        <v>0</v>
      </c>
      <c r="JZ22" t="s">
        <v>2465</v>
      </c>
      <c r="KA22">
        <f t="shared" si="56"/>
        <v>0</v>
      </c>
      <c r="KB22" t="s">
        <v>2466</v>
      </c>
      <c r="KC22">
        <f t="shared" si="57"/>
        <v>0</v>
      </c>
      <c r="KD22" t="s">
        <v>2467</v>
      </c>
      <c r="KE22">
        <f t="shared" si="58"/>
        <v>0</v>
      </c>
      <c r="KF22" t="s">
        <v>2468</v>
      </c>
      <c r="KG22">
        <f t="shared" si="59"/>
        <v>0</v>
      </c>
      <c r="KH22" t="s">
        <v>2469</v>
      </c>
      <c r="KI22">
        <f t="shared" si="60"/>
        <v>0</v>
      </c>
      <c r="KJ22" t="s">
        <v>2470</v>
      </c>
      <c r="KK22">
        <f t="shared" si="61"/>
        <v>0</v>
      </c>
      <c r="KL22" t="s">
        <v>2471</v>
      </c>
      <c r="KM22">
        <f t="shared" si="62"/>
        <v>0</v>
      </c>
      <c r="KN22" t="s">
        <v>2472</v>
      </c>
      <c r="KO22">
        <f t="shared" si="63"/>
        <v>0</v>
      </c>
      <c r="KP22" t="s">
        <v>2473</v>
      </c>
      <c r="KQ22">
        <f t="shared" si="64"/>
        <v>0</v>
      </c>
      <c r="KR22" t="s">
        <v>2474</v>
      </c>
      <c r="KS22">
        <f t="shared" si="65"/>
        <v>0</v>
      </c>
      <c r="KT22" t="s">
        <v>2475</v>
      </c>
      <c r="KU22">
        <f t="shared" si="66"/>
        <v>0</v>
      </c>
      <c r="KV22" t="s">
        <v>2476</v>
      </c>
      <c r="KW22">
        <f t="shared" si="67"/>
        <v>0</v>
      </c>
      <c r="KX22" t="s">
        <v>2477</v>
      </c>
      <c r="KY22">
        <f t="shared" si="68"/>
        <v>0</v>
      </c>
      <c r="KZ22" t="s">
        <v>2478</v>
      </c>
      <c r="LA22">
        <f t="shared" si="69"/>
        <v>0</v>
      </c>
      <c r="LB22" t="s">
        <v>2479</v>
      </c>
      <c r="LC22">
        <f t="shared" si="70"/>
        <v>0</v>
      </c>
      <c r="LD22" t="s">
        <v>2480</v>
      </c>
      <c r="LE22">
        <f t="shared" si="71"/>
        <v>0</v>
      </c>
      <c r="LF22" t="s">
        <v>2481</v>
      </c>
      <c r="LG22">
        <f t="shared" si="72"/>
        <v>0</v>
      </c>
      <c r="LH22" t="s">
        <v>2482</v>
      </c>
      <c r="LI22">
        <f t="shared" si="73"/>
        <v>0</v>
      </c>
      <c r="LJ22" t="s">
        <v>2483</v>
      </c>
      <c r="LK22">
        <f t="shared" si="74"/>
        <v>0</v>
      </c>
      <c r="LL22" t="s">
        <v>2484</v>
      </c>
      <c r="LM22">
        <f t="shared" si="75"/>
        <v>0</v>
      </c>
      <c r="LN22" t="s">
        <v>2485</v>
      </c>
      <c r="LO22">
        <f t="shared" si="76"/>
        <v>0</v>
      </c>
      <c r="LP22" t="s">
        <v>2486</v>
      </c>
      <c r="LQ22">
        <f t="shared" si="77"/>
        <v>0</v>
      </c>
      <c r="LR22" t="s">
        <v>2487</v>
      </c>
      <c r="LS22">
        <f t="shared" si="78"/>
        <v>0</v>
      </c>
      <c r="LT22" t="s">
        <v>2488</v>
      </c>
      <c r="LU22">
        <f t="shared" si="79"/>
        <v>0</v>
      </c>
      <c r="LV22" t="s">
        <v>2489</v>
      </c>
      <c r="LW22">
        <f t="shared" si="80"/>
        <v>0</v>
      </c>
      <c r="LX22" t="s">
        <v>2490</v>
      </c>
      <c r="LY22">
        <f t="shared" si="81"/>
        <v>0</v>
      </c>
      <c r="LZ22">
        <f>'6'!B80</f>
        <v>0</v>
      </c>
      <c r="MA22">
        <f>'6'!C80</f>
        <v>0</v>
      </c>
      <c r="MB22">
        <f>'6'!D80</f>
        <v>0</v>
      </c>
      <c r="MC22">
        <f>'6'!E80</f>
        <v>0</v>
      </c>
      <c r="MD22">
        <f>'6'!F80</f>
        <v>0</v>
      </c>
      <c r="ME22">
        <f>'6'!G80</f>
        <v>0</v>
      </c>
      <c r="MF22">
        <f>'6'!H80</f>
        <v>0</v>
      </c>
      <c r="MG22">
        <f>'6'!I80</f>
        <v>0</v>
      </c>
      <c r="MH22">
        <f>'6'!J80</f>
        <v>0</v>
      </c>
      <c r="MI22">
        <f>'6'!K80</f>
        <v>0</v>
      </c>
      <c r="MJ22">
        <f>'6'!L80</f>
        <v>0</v>
      </c>
      <c r="MK22">
        <f>'6'!M80</f>
        <v>0</v>
      </c>
      <c r="ML22" s="13">
        <f>'7'!B151</f>
        <v>0</v>
      </c>
      <c r="MM22" s="13">
        <f>'7'!C151</f>
        <v>0</v>
      </c>
      <c r="MN22" s="13">
        <f>'7'!D151</f>
        <v>0</v>
      </c>
      <c r="MO22" s="13">
        <f>'7'!E151</f>
        <v>0</v>
      </c>
      <c r="MP22" s="13">
        <f>'7'!F151</f>
        <v>0</v>
      </c>
      <c r="MQ22" s="13">
        <f>'7'!G151</f>
        <v>0</v>
      </c>
      <c r="MR22" s="13">
        <f>'7'!H151</f>
        <v>0</v>
      </c>
      <c r="MS22" s="13">
        <f>'7'!I151</f>
        <v>0</v>
      </c>
      <c r="MT22" s="13">
        <f>'7'!J151</f>
        <v>0</v>
      </c>
      <c r="MU22" s="13">
        <f>'7'!K151</f>
        <v>0</v>
      </c>
      <c r="MV22" s="13">
        <f>'7'!L151</f>
        <v>0</v>
      </c>
      <c r="MW22" s="13">
        <f>'7'!M151</f>
        <v>0</v>
      </c>
      <c r="MX22" s="13" t="s">
        <v>2491</v>
      </c>
      <c r="MY22">
        <f t="shared" si="82"/>
        <v>0</v>
      </c>
      <c r="MZ22" s="13" t="s">
        <v>2492</v>
      </c>
      <c r="NA22">
        <f t="shared" si="83"/>
        <v>0</v>
      </c>
      <c r="NB22" s="13" t="s">
        <v>2493</v>
      </c>
      <c r="NC22">
        <f t="shared" si="84"/>
        <v>0</v>
      </c>
      <c r="ND22" s="13" t="s">
        <v>2494</v>
      </c>
      <c r="NE22">
        <f t="shared" si="85"/>
        <v>0</v>
      </c>
      <c r="NF22" s="13" t="s">
        <v>2495</v>
      </c>
      <c r="NG22">
        <f t="shared" si="86"/>
        <v>0</v>
      </c>
      <c r="NH22" s="13" t="s">
        <v>2496</v>
      </c>
      <c r="NI22">
        <f t="shared" si="87"/>
        <v>0</v>
      </c>
      <c r="NJ22" s="13" t="s">
        <v>2497</v>
      </c>
      <c r="NK22">
        <f t="shared" si="88"/>
        <v>0</v>
      </c>
      <c r="NL22" s="13" t="s">
        <v>2498</v>
      </c>
      <c r="NM22">
        <f t="shared" si="89"/>
        <v>0</v>
      </c>
      <c r="NN22" s="13" t="s">
        <v>2499</v>
      </c>
      <c r="NO22">
        <f t="shared" si="90"/>
        <v>0</v>
      </c>
      <c r="NP22" s="13" t="s">
        <v>2500</v>
      </c>
      <c r="NQ22">
        <f t="shared" si="91"/>
        <v>0</v>
      </c>
      <c r="NR22" s="13" t="s">
        <v>2501</v>
      </c>
      <c r="NS22">
        <f t="shared" si="92"/>
        <v>0</v>
      </c>
      <c r="NT22" s="13" t="s">
        <v>2502</v>
      </c>
      <c r="NU22">
        <f t="shared" si="93"/>
        <v>0</v>
      </c>
      <c r="NV22" s="13"/>
    </row>
    <row r="23" spans="1:386" customFormat="1" x14ac:dyDescent="0.25">
      <c r="A23">
        <v>20</v>
      </c>
      <c r="B23">
        <f>'6'!AB83</f>
        <v>0</v>
      </c>
      <c r="C23">
        <f>'6'!AC83</f>
        <v>0</v>
      </c>
      <c r="D23">
        <f>'6'!AD83</f>
        <v>0</v>
      </c>
      <c r="E23">
        <f>'6'!AE83</f>
        <v>0</v>
      </c>
      <c r="F23">
        <f>'6'!AF83</f>
        <v>0</v>
      </c>
      <c r="G23">
        <f>'6'!AG83</f>
        <v>0</v>
      </c>
      <c r="H23">
        <f>'6'!AH83</f>
        <v>0</v>
      </c>
      <c r="I23">
        <f>'6'!AI83</f>
        <v>0</v>
      </c>
      <c r="J23">
        <f>'6'!AJ83</f>
        <v>0</v>
      </c>
      <c r="K23">
        <f>'6'!AK83</f>
        <v>0</v>
      </c>
      <c r="L23">
        <f>'6'!AL83</f>
        <v>0</v>
      </c>
      <c r="M23">
        <f>'6'!AM83</f>
        <v>0</v>
      </c>
      <c r="N23">
        <f>'6'!AN83</f>
        <v>0</v>
      </c>
      <c r="O23">
        <f>'6'!AO83</f>
        <v>0</v>
      </c>
      <c r="P23">
        <f>'6'!AP83</f>
        <v>0</v>
      </c>
      <c r="Q23">
        <f>'6'!AQ83</f>
        <v>0</v>
      </c>
      <c r="R23">
        <f>'6'!AR83</f>
        <v>0</v>
      </c>
      <c r="S23">
        <f>'6'!AS83</f>
        <v>0</v>
      </c>
      <c r="T23">
        <f>'6'!AT83</f>
        <v>0</v>
      </c>
      <c r="U23">
        <f>'6'!AU83</f>
        <v>0</v>
      </c>
      <c r="V23">
        <f>'6'!AV83</f>
        <v>0</v>
      </c>
      <c r="W23">
        <f>'6'!AW83</f>
        <v>0</v>
      </c>
      <c r="X23">
        <f>'6'!AX83</f>
        <v>0</v>
      </c>
      <c r="Y23">
        <f>'6'!AY83</f>
        <v>0</v>
      </c>
      <c r="Z23">
        <f>'6'!AZ83</f>
        <v>0</v>
      </c>
      <c r="AA23">
        <f>'6'!BA83</f>
        <v>0</v>
      </c>
      <c r="AB23">
        <f>'6'!BB83</f>
        <v>0</v>
      </c>
      <c r="AC23">
        <f>'6'!BC83</f>
        <v>0</v>
      </c>
      <c r="AD23">
        <f>'6'!BD83</f>
        <v>0</v>
      </c>
      <c r="AE23">
        <f>'6'!BE83</f>
        <v>0</v>
      </c>
      <c r="AF23">
        <f>'6'!BF83</f>
        <v>0</v>
      </c>
      <c r="AG23">
        <f>'6'!BG83</f>
        <v>0</v>
      </c>
      <c r="AH23">
        <f>'6'!BH83</f>
        <v>0</v>
      </c>
      <c r="AI23">
        <f>'6'!BI83</f>
        <v>0</v>
      </c>
      <c r="AJ23">
        <f>'6'!BJ83</f>
        <v>0</v>
      </c>
      <c r="AK23">
        <f>'6'!BK83</f>
        <v>0</v>
      </c>
      <c r="AL23">
        <f>'6'!BL83</f>
        <v>0</v>
      </c>
      <c r="AM23">
        <f>'6'!BM83</f>
        <v>0</v>
      </c>
      <c r="AN23">
        <f>'6'!BN83</f>
        <v>0</v>
      </c>
      <c r="AO23">
        <f>'6'!BO83</f>
        <v>0</v>
      </c>
      <c r="AP23">
        <f>'6'!BP83</f>
        <v>0</v>
      </c>
      <c r="AQ23">
        <f>'6'!BQ83</f>
        <v>0</v>
      </c>
      <c r="AR23">
        <f>'6'!BR83</f>
        <v>0</v>
      </c>
      <c r="AS23">
        <f>'6'!BS83</f>
        <v>0</v>
      </c>
      <c r="AT23">
        <f>'6'!BT83</f>
        <v>0</v>
      </c>
      <c r="AU23">
        <f>'6'!BU83</f>
        <v>0</v>
      </c>
      <c r="AV23">
        <f>'6'!BV83</f>
        <v>0</v>
      </c>
      <c r="AW23">
        <f>'6'!BW83</f>
        <v>0</v>
      </c>
      <c r="AX23">
        <f>'6'!BX83</f>
        <v>0</v>
      </c>
      <c r="AY23">
        <f>'6'!BY83</f>
        <v>0</v>
      </c>
      <c r="AZ23">
        <f>'6'!BZ83</f>
        <v>0</v>
      </c>
      <c r="BA23">
        <f>'6'!CA83</f>
        <v>0</v>
      </c>
      <c r="BB23">
        <f>'6'!CB83</f>
        <v>0</v>
      </c>
      <c r="BC23">
        <f>'6'!CC83</f>
        <v>0</v>
      </c>
      <c r="BD23">
        <f>'6'!CD83</f>
        <v>0</v>
      </c>
      <c r="BE23">
        <f>'6'!CE83</f>
        <v>0</v>
      </c>
      <c r="BF23">
        <f>'6'!CF83</f>
        <v>0</v>
      </c>
      <c r="BG23">
        <f>'6'!CG83</f>
        <v>0</v>
      </c>
      <c r="BH23">
        <f>'6'!CH83</f>
        <v>0</v>
      </c>
      <c r="BI23">
        <f>'6'!CI83</f>
        <v>0</v>
      </c>
      <c r="BJ23">
        <f>'6'!CJ83</f>
        <v>0</v>
      </c>
      <c r="BK23">
        <f>'6'!CK83</f>
        <v>0</v>
      </c>
      <c r="BL23">
        <f>'6'!CL83</f>
        <v>0</v>
      </c>
      <c r="BM23">
        <f>'6'!CM83</f>
        <v>0</v>
      </c>
      <c r="BN23">
        <f>'6'!CN83</f>
        <v>0</v>
      </c>
      <c r="BO23">
        <f>'6'!CO83</f>
        <v>0</v>
      </c>
      <c r="BP23">
        <f>'6'!CP83</f>
        <v>0</v>
      </c>
      <c r="BQ23">
        <f>'6'!CQ83</f>
        <v>0</v>
      </c>
      <c r="BR23">
        <f>'6'!CR83</f>
        <v>0</v>
      </c>
      <c r="BS23">
        <f>'6'!CS83</f>
        <v>0</v>
      </c>
      <c r="BT23">
        <f>'6'!CT83</f>
        <v>0</v>
      </c>
      <c r="BU23">
        <f>'6'!CU83</f>
        <v>0</v>
      </c>
      <c r="BV23">
        <f>'6'!CV83</f>
        <v>0</v>
      </c>
      <c r="BW23">
        <f>'6'!CW83</f>
        <v>0</v>
      </c>
      <c r="BX23">
        <f>'6'!CX83</f>
        <v>0</v>
      </c>
      <c r="BY23">
        <f>'6'!CY83</f>
        <v>0</v>
      </c>
      <c r="BZ23">
        <f>'6'!CZ83</f>
        <v>0</v>
      </c>
      <c r="CA23">
        <f>'6'!DA83</f>
        <v>0</v>
      </c>
      <c r="CB23">
        <f>'6'!DB83</f>
        <v>0</v>
      </c>
      <c r="CC23">
        <f>'6'!DC83</f>
        <v>0</v>
      </c>
      <c r="CD23">
        <f>'6'!DD83</f>
        <v>0</v>
      </c>
      <c r="CE23">
        <f>'6'!DE83</f>
        <v>0</v>
      </c>
      <c r="CF23">
        <f>'6'!DF83</f>
        <v>0</v>
      </c>
      <c r="CG23">
        <f>'6'!DG83</f>
        <v>0</v>
      </c>
      <c r="CH23">
        <f>SUM('7'!AB161:AB165)</f>
        <v>0</v>
      </c>
      <c r="CI23">
        <f>SUM('7'!AC161:AC165)</f>
        <v>0</v>
      </c>
      <c r="CJ23">
        <f>SUM('7'!AD161:AD165)</f>
        <v>0</v>
      </c>
      <c r="CK23">
        <f>SUM('7'!AE161:AE165)</f>
        <v>0</v>
      </c>
      <c r="CL23">
        <f>SUM('7'!AF161:AF165)</f>
        <v>0</v>
      </c>
      <c r="CM23">
        <f>SUM('7'!AG161:AG165)</f>
        <v>0</v>
      </c>
      <c r="CN23">
        <f>SUM('7'!AH161:AH165)</f>
        <v>0</v>
      </c>
      <c r="CO23">
        <f>SUM('7'!AI161:AI165)</f>
        <v>0</v>
      </c>
      <c r="CP23">
        <f>SUM('7'!AJ161:AJ165)</f>
        <v>0</v>
      </c>
      <c r="CQ23">
        <f>SUM('7'!AK161:AK165)</f>
        <v>0</v>
      </c>
      <c r="CR23">
        <f>SUM('7'!AL161:AL165)</f>
        <v>0</v>
      </c>
      <c r="CS23">
        <f>SUM('7'!AM161:AM165)</f>
        <v>0</v>
      </c>
      <c r="CT23">
        <f>SUM('7'!AN161:AN165)</f>
        <v>0</v>
      </c>
      <c r="CU23">
        <f>SUM('7'!AO161:AO165)</f>
        <v>0</v>
      </c>
      <c r="CV23">
        <f>SUM('7'!AP161:AP165)</f>
        <v>0</v>
      </c>
      <c r="CW23">
        <f>SUM('7'!AQ161:AQ165)</f>
        <v>0</v>
      </c>
      <c r="CX23">
        <f>SUM('7'!AR161:AR165)</f>
        <v>0</v>
      </c>
      <c r="CY23">
        <f>SUM('7'!AS161:AS165)</f>
        <v>0</v>
      </c>
      <c r="CZ23">
        <f>SUM('7'!AT161:AT165)</f>
        <v>0</v>
      </c>
      <c r="DA23">
        <f>SUM('7'!AU161:AU165)</f>
        <v>0</v>
      </c>
      <c r="DB23">
        <f>SUM('7'!AV161:AV165)</f>
        <v>0</v>
      </c>
      <c r="DC23">
        <f>SUM('7'!AW161:AW165)</f>
        <v>0</v>
      </c>
      <c r="DD23">
        <f>SUM('7'!AX161:AX165)</f>
        <v>0</v>
      </c>
      <c r="DE23">
        <f>SUM('7'!AY161:AY165)</f>
        <v>0</v>
      </c>
      <c r="DF23">
        <f>SUM('7'!AZ161:AZ165)</f>
        <v>0</v>
      </c>
      <c r="DG23">
        <f>SUM('7'!BA161:BA165)</f>
        <v>0</v>
      </c>
      <c r="DH23">
        <f>SUM('7'!BB161:BB165)</f>
        <v>0</v>
      </c>
      <c r="DI23">
        <f>SUM('7'!BC161:BC165)</f>
        <v>0</v>
      </c>
      <c r="DJ23">
        <f>SUM('7'!BD161:BD165)</f>
        <v>0</v>
      </c>
      <c r="DK23">
        <f>SUM('7'!BE161:BE165)</f>
        <v>0</v>
      </c>
      <c r="DL23">
        <f>SUM('7'!BF161:BF165)</f>
        <v>0</v>
      </c>
      <c r="DM23">
        <f>SUM('7'!BG161:BG165)</f>
        <v>0</v>
      </c>
      <c r="DN23">
        <f>SUM('7'!BH161:BH165)</f>
        <v>0</v>
      </c>
      <c r="DO23">
        <f>SUM('7'!BI161:BI165)</f>
        <v>0</v>
      </c>
      <c r="DP23">
        <f>SUM('7'!BJ161:BJ165)</f>
        <v>0</v>
      </c>
      <c r="DQ23">
        <f>SUM('7'!BK161:BK165)</f>
        <v>0</v>
      </c>
      <c r="DR23">
        <f>SUM('7'!BL161:BL165)</f>
        <v>0</v>
      </c>
      <c r="DS23">
        <f>SUM('7'!BM161:BM165)</f>
        <v>0</v>
      </c>
      <c r="DT23">
        <f>SUM('7'!BN161:BN165)</f>
        <v>0</v>
      </c>
      <c r="DU23">
        <f>SUM('7'!BO161:BO165)</f>
        <v>0</v>
      </c>
      <c r="DV23">
        <f>SUM('7'!BP161:BP165)</f>
        <v>0</v>
      </c>
      <c r="DW23">
        <f>SUM('7'!BQ161:BQ165)</f>
        <v>0</v>
      </c>
      <c r="DX23">
        <f>SUM('7'!BR161:BR165)</f>
        <v>0</v>
      </c>
      <c r="DY23">
        <f>SUM('7'!BS161:BS165)</f>
        <v>0</v>
      </c>
      <c r="DZ23">
        <f>SUM('7'!BT161:BT165)</f>
        <v>0</v>
      </c>
      <c r="EA23">
        <f>SUM('7'!BU161:BU165)</f>
        <v>0</v>
      </c>
      <c r="EB23">
        <f>SUM('7'!BV161:BV165)</f>
        <v>0</v>
      </c>
      <c r="EC23">
        <f>SUM('7'!BW161:BW165)</f>
        <v>0</v>
      </c>
      <c r="ED23">
        <f>SUM('7'!BX161:BX165)</f>
        <v>0</v>
      </c>
      <c r="EE23">
        <f>SUM('7'!BY161:BY165)</f>
        <v>0</v>
      </c>
      <c r="EF23">
        <f>SUM('7'!BZ161:BZ165)</f>
        <v>0</v>
      </c>
      <c r="EG23">
        <f>SUM('7'!CA161:CA165)</f>
        <v>0</v>
      </c>
      <c r="EH23">
        <f>SUM('7'!CB161:CB165)</f>
        <v>0</v>
      </c>
      <c r="EI23">
        <f>SUM('7'!CC161:CC165)</f>
        <v>0</v>
      </c>
      <c r="EJ23">
        <f>SUM('7'!CD161:CD165)</f>
        <v>0</v>
      </c>
      <c r="EK23">
        <f>SUM('7'!CE161:CE165)</f>
        <v>0</v>
      </c>
      <c r="EL23">
        <f>SUM('7'!CF161:CF165)</f>
        <v>0</v>
      </c>
      <c r="EM23">
        <f>SUM('7'!CG161:CG165)</f>
        <v>0</v>
      </c>
      <c r="EN23">
        <f>SUM('7'!CH161:CH165)</f>
        <v>0</v>
      </c>
      <c r="EO23">
        <f>SUM('7'!CI161:CI165)</f>
        <v>0</v>
      </c>
      <c r="EP23">
        <f>SUM('7'!CJ161:CJ165)</f>
        <v>0</v>
      </c>
      <c r="EQ23">
        <f>SUM('7'!CK161:CK165)</f>
        <v>0</v>
      </c>
      <c r="ER23">
        <f>SUM('7'!CL161:CL165)</f>
        <v>0</v>
      </c>
      <c r="ES23">
        <f>SUM('7'!CM161:CM165)</f>
        <v>0</v>
      </c>
      <c r="ET23">
        <f>SUM('7'!CN161:CN165)</f>
        <v>0</v>
      </c>
      <c r="EU23">
        <f>SUM('7'!CO161:CO165)</f>
        <v>0</v>
      </c>
      <c r="EV23">
        <f>SUM('7'!CP161:CP165)</f>
        <v>0</v>
      </c>
      <c r="EW23">
        <f>SUM('7'!CQ161:CQ165)</f>
        <v>0</v>
      </c>
      <c r="EX23">
        <f>SUM('7'!CR161:CR165)</f>
        <v>0</v>
      </c>
      <c r="EY23">
        <f>SUM('7'!CS161:CS165)</f>
        <v>0</v>
      </c>
      <c r="EZ23">
        <f>SUM('7'!CT161:CT165)</f>
        <v>0</v>
      </c>
      <c r="FA23">
        <f>SUM('7'!CU161:CU165)</f>
        <v>0</v>
      </c>
      <c r="FB23">
        <f>SUM('7'!CV161:CV165)</f>
        <v>0</v>
      </c>
      <c r="FC23">
        <f>SUM('7'!CW161:CW165)</f>
        <v>0</v>
      </c>
      <c r="FD23">
        <f>SUM('7'!CX161:CX165)</f>
        <v>0</v>
      </c>
      <c r="FE23">
        <f>SUM('7'!CY161:CY165)</f>
        <v>0</v>
      </c>
      <c r="FF23">
        <f>SUM('7'!CZ161:CZ165)</f>
        <v>0</v>
      </c>
      <c r="FG23">
        <f>SUM('7'!DA161:DA165)</f>
        <v>0</v>
      </c>
      <c r="FH23">
        <f>SUM('7'!DB161:DB165)</f>
        <v>0</v>
      </c>
      <c r="FI23">
        <f>SUM('7'!DC161:DC165)</f>
        <v>0</v>
      </c>
      <c r="FJ23">
        <f>SUM('7'!DD161:DD165)</f>
        <v>0</v>
      </c>
      <c r="FK23">
        <f>SUM('7'!DE161:DE165)</f>
        <v>0</v>
      </c>
      <c r="FL23">
        <f>SUM('7'!DF161:DF165)</f>
        <v>0</v>
      </c>
      <c r="FM23">
        <f>SUM('7'!DG161:DG165)</f>
        <v>0</v>
      </c>
      <c r="FN23" t="s">
        <v>2503</v>
      </c>
      <c r="FO23">
        <f t="shared" si="94"/>
        <v>0</v>
      </c>
      <c r="FP23" t="s">
        <v>2504</v>
      </c>
      <c r="FQ23">
        <f t="shared" si="0"/>
        <v>0</v>
      </c>
      <c r="FR23" t="s">
        <v>2505</v>
      </c>
      <c r="FS23">
        <f t="shared" si="1"/>
        <v>0</v>
      </c>
      <c r="FT23" t="s">
        <v>2506</v>
      </c>
      <c r="FU23">
        <f t="shared" si="2"/>
        <v>0</v>
      </c>
      <c r="FV23" t="s">
        <v>2507</v>
      </c>
      <c r="FW23">
        <f t="shared" si="3"/>
        <v>0</v>
      </c>
      <c r="FX23" t="s">
        <v>2508</v>
      </c>
      <c r="FY23">
        <f t="shared" si="4"/>
        <v>0</v>
      </c>
      <c r="FZ23" t="s">
        <v>2509</v>
      </c>
      <c r="GA23">
        <f t="shared" si="5"/>
        <v>0</v>
      </c>
      <c r="GB23" t="s">
        <v>2510</v>
      </c>
      <c r="GC23">
        <f t="shared" si="6"/>
        <v>0</v>
      </c>
      <c r="GD23" t="s">
        <v>2511</v>
      </c>
      <c r="GE23">
        <f t="shared" si="7"/>
        <v>0</v>
      </c>
      <c r="GF23" t="s">
        <v>2512</v>
      </c>
      <c r="GG23">
        <f t="shared" si="8"/>
        <v>0</v>
      </c>
      <c r="GH23" t="s">
        <v>2513</v>
      </c>
      <c r="GI23">
        <f t="shared" si="9"/>
        <v>0</v>
      </c>
      <c r="GJ23" t="s">
        <v>2514</v>
      </c>
      <c r="GK23">
        <f t="shared" si="10"/>
        <v>0</v>
      </c>
      <c r="GL23" t="s">
        <v>2515</v>
      </c>
      <c r="GM23">
        <f t="shared" si="11"/>
        <v>0</v>
      </c>
      <c r="GN23" t="s">
        <v>2516</v>
      </c>
      <c r="GO23">
        <f t="shared" si="95"/>
        <v>0</v>
      </c>
      <c r="GP23" t="s">
        <v>2517</v>
      </c>
      <c r="GQ23">
        <f t="shared" si="12"/>
        <v>0</v>
      </c>
      <c r="GR23" t="s">
        <v>2518</v>
      </c>
      <c r="GS23">
        <f t="shared" si="13"/>
        <v>0</v>
      </c>
      <c r="GT23" t="s">
        <v>2519</v>
      </c>
      <c r="GU23">
        <f t="shared" si="14"/>
        <v>0</v>
      </c>
      <c r="GV23" t="s">
        <v>2520</v>
      </c>
      <c r="GW23">
        <f t="shared" si="15"/>
        <v>0</v>
      </c>
      <c r="GX23" t="s">
        <v>2521</v>
      </c>
      <c r="GY23">
        <f t="shared" si="16"/>
        <v>0</v>
      </c>
      <c r="GZ23" t="s">
        <v>2522</v>
      </c>
      <c r="HA23">
        <f t="shared" si="17"/>
        <v>0</v>
      </c>
      <c r="HB23" t="s">
        <v>2523</v>
      </c>
      <c r="HC23">
        <f t="shared" si="18"/>
        <v>0</v>
      </c>
      <c r="HD23" t="s">
        <v>2524</v>
      </c>
      <c r="HE23">
        <f t="shared" si="19"/>
        <v>0</v>
      </c>
      <c r="HF23" t="s">
        <v>2525</v>
      </c>
      <c r="HG23">
        <f t="shared" si="20"/>
        <v>0</v>
      </c>
      <c r="HH23" t="s">
        <v>2526</v>
      </c>
      <c r="HI23">
        <f t="shared" si="21"/>
        <v>0</v>
      </c>
      <c r="HJ23" t="s">
        <v>2527</v>
      </c>
      <c r="HK23">
        <f t="shared" si="22"/>
        <v>0</v>
      </c>
      <c r="HL23" t="s">
        <v>2528</v>
      </c>
      <c r="HM23">
        <f t="shared" si="23"/>
        <v>0</v>
      </c>
      <c r="HN23" t="s">
        <v>2529</v>
      </c>
      <c r="HO23">
        <f t="shared" si="24"/>
        <v>0</v>
      </c>
      <c r="HP23" t="s">
        <v>2530</v>
      </c>
      <c r="HQ23">
        <f t="shared" si="25"/>
        <v>0</v>
      </c>
      <c r="HR23" t="s">
        <v>2531</v>
      </c>
      <c r="HS23">
        <f t="shared" si="26"/>
        <v>0</v>
      </c>
      <c r="HT23" t="s">
        <v>2532</v>
      </c>
      <c r="HU23">
        <f t="shared" si="27"/>
        <v>0</v>
      </c>
      <c r="HV23" t="s">
        <v>2533</v>
      </c>
      <c r="HW23">
        <f t="shared" si="28"/>
        <v>0</v>
      </c>
      <c r="HX23" t="s">
        <v>2534</v>
      </c>
      <c r="HY23">
        <f t="shared" si="29"/>
        <v>0</v>
      </c>
      <c r="HZ23" t="s">
        <v>2535</v>
      </c>
      <c r="IA23">
        <f t="shared" si="30"/>
        <v>0</v>
      </c>
      <c r="IB23" t="s">
        <v>2536</v>
      </c>
      <c r="IC23">
        <f t="shared" si="31"/>
        <v>0</v>
      </c>
      <c r="ID23" t="s">
        <v>2537</v>
      </c>
      <c r="IE23">
        <f t="shared" si="32"/>
        <v>0</v>
      </c>
      <c r="IF23" t="s">
        <v>2538</v>
      </c>
      <c r="IG23">
        <f t="shared" si="33"/>
        <v>0</v>
      </c>
      <c r="IH23" t="s">
        <v>2539</v>
      </c>
      <c r="II23">
        <f t="shared" si="34"/>
        <v>0</v>
      </c>
      <c r="IJ23" t="s">
        <v>2540</v>
      </c>
      <c r="IK23">
        <f t="shared" si="35"/>
        <v>0</v>
      </c>
      <c r="IL23" t="s">
        <v>2541</v>
      </c>
      <c r="IM23">
        <f t="shared" si="36"/>
        <v>0</v>
      </c>
      <c r="IN23" t="s">
        <v>2542</v>
      </c>
      <c r="IO23">
        <f t="shared" si="37"/>
        <v>0</v>
      </c>
      <c r="IP23" t="s">
        <v>2543</v>
      </c>
      <c r="IQ23">
        <f t="shared" si="38"/>
        <v>0</v>
      </c>
      <c r="IR23" t="s">
        <v>2544</v>
      </c>
      <c r="IS23">
        <f t="shared" si="39"/>
        <v>0</v>
      </c>
      <c r="IT23" t="s">
        <v>2545</v>
      </c>
      <c r="IU23">
        <f t="shared" si="40"/>
        <v>0</v>
      </c>
      <c r="IV23" t="s">
        <v>2546</v>
      </c>
      <c r="IW23">
        <f t="shared" si="41"/>
        <v>0</v>
      </c>
      <c r="IX23" t="s">
        <v>2547</v>
      </c>
      <c r="IY23">
        <f t="shared" si="42"/>
        <v>0</v>
      </c>
      <c r="IZ23" t="s">
        <v>2548</v>
      </c>
      <c r="JA23">
        <f t="shared" si="43"/>
        <v>0</v>
      </c>
      <c r="JB23" t="s">
        <v>2549</v>
      </c>
      <c r="JC23">
        <f t="shared" si="44"/>
        <v>0</v>
      </c>
      <c r="JD23" t="s">
        <v>2550</v>
      </c>
      <c r="JE23">
        <f t="shared" si="45"/>
        <v>0</v>
      </c>
      <c r="JF23" t="s">
        <v>2551</v>
      </c>
      <c r="JG23">
        <f t="shared" si="46"/>
        <v>0</v>
      </c>
      <c r="JH23" t="s">
        <v>2552</v>
      </c>
      <c r="JI23">
        <f t="shared" si="47"/>
        <v>0</v>
      </c>
      <c r="JJ23" t="s">
        <v>2553</v>
      </c>
      <c r="JK23">
        <f t="shared" si="48"/>
        <v>0</v>
      </c>
      <c r="JL23" t="s">
        <v>2554</v>
      </c>
      <c r="JM23">
        <f t="shared" si="49"/>
        <v>0</v>
      </c>
      <c r="JN23" t="s">
        <v>2555</v>
      </c>
      <c r="JO23">
        <f t="shared" si="50"/>
        <v>0</v>
      </c>
      <c r="JP23" t="s">
        <v>2556</v>
      </c>
      <c r="JQ23">
        <f t="shared" si="51"/>
        <v>0</v>
      </c>
      <c r="JR23" t="s">
        <v>2557</v>
      </c>
      <c r="JS23">
        <f t="shared" si="52"/>
        <v>0</v>
      </c>
      <c r="JT23" t="s">
        <v>2558</v>
      </c>
      <c r="JU23">
        <f t="shared" si="53"/>
        <v>0</v>
      </c>
      <c r="JV23" t="s">
        <v>2559</v>
      </c>
      <c r="JW23">
        <f t="shared" si="54"/>
        <v>0</v>
      </c>
      <c r="JX23" t="s">
        <v>2560</v>
      </c>
      <c r="JY23">
        <f t="shared" si="55"/>
        <v>0</v>
      </c>
      <c r="JZ23" t="s">
        <v>2561</v>
      </c>
      <c r="KA23">
        <f t="shared" si="56"/>
        <v>0</v>
      </c>
      <c r="KB23" t="s">
        <v>2562</v>
      </c>
      <c r="KC23">
        <f t="shared" si="57"/>
        <v>0</v>
      </c>
      <c r="KD23" t="s">
        <v>2563</v>
      </c>
      <c r="KE23">
        <f t="shared" si="58"/>
        <v>0</v>
      </c>
      <c r="KF23" t="s">
        <v>2564</v>
      </c>
      <c r="KG23">
        <f t="shared" si="59"/>
        <v>0</v>
      </c>
      <c r="KH23" t="s">
        <v>2565</v>
      </c>
      <c r="KI23">
        <f t="shared" si="60"/>
        <v>0</v>
      </c>
      <c r="KJ23" t="s">
        <v>2566</v>
      </c>
      <c r="KK23">
        <f t="shared" si="61"/>
        <v>0</v>
      </c>
      <c r="KL23" t="s">
        <v>2567</v>
      </c>
      <c r="KM23">
        <f t="shared" si="62"/>
        <v>0</v>
      </c>
      <c r="KN23" t="s">
        <v>2568</v>
      </c>
      <c r="KO23">
        <f t="shared" si="63"/>
        <v>0</v>
      </c>
      <c r="KP23" t="s">
        <v>2569</v>
      </c>
      <c r="KQ23">
        <f t="shared" si="64"/>
        <v>0</v>
      </c>
      <c r="KR23" t="s">
        <v>2570</v>
      </c>
      <c r="KS23">
        <f t="shared" si="65"/>
        <v>0</v>
      </c>
      <c r="KT23" t="s">
        <v>2571</v>
      </c>
      <c r="KU23">
        <f t="shared" si="66"/>
        <v>0</v>
      </c>
      <c r="KV23" t="s">
        <v>2572</v>
      </c>
      <c r="KW23">
        <f t="shared" si="67"/>
        <v>0</v>
      </c>
      <c r="KX23" t="s">
        <v>2573</v>
      </c>
      <c r="KY23">
        <f t="shared" si="68"/>
        <v>0</v>
      </c>
      <c r="KZ23" t="s">
        <v>2574</v>
      </c>
      <c r="LA23">
        <f t="shared" si="69"/>
        <v>0</v>
      </c>
      <c r="LB23" t="s">
        <v>2575</v>
      </c>
      <c r="LC23">
        <f t="shared" si="70"/>
        <v>0</v>
      </c>
      <c r="LD23" t="s">
        <v>2576</v>
      </c>
      <c r="LE23">
        <f t="shared" si="71"/>
        <v>0</v>
      </c>
      <c r="LF23" t="s">
        <v>2577</v>
      </c>
      <c r="LG23">
        <f t="shared" si="72"/>
        <v>0</v>
      </c>
      <c r="LH23" t="s">
        <v>2578</v>
      </c>
      <c r="LI23">
        <f t="shared" si="73"/>
        <v>0</v>
      </c>
      <c r="LJ23" t="s">
        <v>2579</v>
      </c>
      <c r="LK23">
        <f t="shared" si="74"/>
        <v>0</v>
      </c>
      <c r="LL23" t="s">
        <v>2580</v>
      </c>
      <c r="LM23">
        <f t="shared" si="75"/>
        <v>0</v>
      </c>
      <c r="LN23" t="s">
        <v>2581</v>
      </c>
      <c r="LO23">
        <f t="shared" si="76"/>
        <v>0</v>
      </c>
      <c r="LP23" t="s">
        <v>2582</v>
      </c>
      <c r="LQ23">
        <f t="shared" si="77"/>
        <v>0</v>
      </c>
      <c r="LR23" t="s">
        <v>2583</v>
      </c>
      <c r="LS23">
        <f t="shared" si="78"/>
        <v>0</v>
      </c>
      <c r="LT23" t="s">
        <v>2584</v>
      </c>
      <c r="LU23">
        <f t="shared" si="79"/>
        <v>0</v>
      </c>
      <c r="LV23" t="s">
        <v>2585</v>
      </c>
      <c r="LW23">
        <f t="shared" si="80"/>
        <v>0</v>
      </c>
      <c r="LX23" t="s">
        <v>2586</v>
      </c>
      <c r="LY23">
        <f t="shared" si="81"/>
        <v>0</v>
      </c>
      <c r="LZ23">
        <f>'6'!B84</f>
        <v>0</v>
      </c>
      <c r="MA23">
        <f>'6'!C84</f>
        <v>0</v>
      </c>
      <c r="MB23">
        <f>'6'!D84</f>
        <v>0</v>
      </c>
      <c r="MC23">
        <f>'6'!E84</f>
        <v>0</v>
      </c>
      <c r="MD23">
        <f>'6'!F84</f>
        <v>0</v>
      </c>
      <c r="ME23">
        <f>'6'!G84</f>
        <v>0</v>
      </c>
      <c r="MF23">
        <f>'6'!H84</f>
        <v>0</v>
      </c>
      <c r="MG23">
        <f>'6'!I84</f>
        <v>0</v>
      </c>
      <c r="MH23">
        <f>'6'!J84</f>
        <v>0</v>
      </c>
      <c r="MI23">
        <f>'6'!K84</f>
        <v>0</v>
      </c>
      <c r="MJ23">
        <f>'6'!L84</f>
        <v>0</v>
      </c>
      <c r="MK23">
        <f>'6'!M84</f>
        <v>0</v>
      </c>
      <c r="ML23" s="13">
        <f>'7'!B159</f>
        <v>0</v>
      </c>
      <c r="MM23" s="13">
        <f>'7'!C159</f>
        <v>0</v>
      </c>
      <c r="MN23" s="13">
        <f>'7'!D159</f>
        <v>0</v>
      </c>
      <c r="MO23" s="13">
        <f>'7'!E159</f>
        <v>0</v>
      </c>
      <c r="MP23" s="13">
        <f>'7'!F159</f>
        <v>0</v>
      </c>
      <c r="MQ23" s="13">
        <f>'7'!G159</f>
        <v>0</v>
      </c>
      <c r="MR23" s="13">
        <f>'7'!H159</f>
        <v>0</v>
      </c>
      <c r="MS23" s="13">
        <f>'7'!I159</f>
        <v>0</v>
      </c>
      <c r="MT23" s="13">
        <f>'7'!J159</f>
        <v>0</v>
      </c>
      <c r="MU23" s="13">
        <f>'7'!K159</f>
        <v>0</v>
      </c>
      <c r="MV23" s="13">
        <f>'7'!L159</f>
        <v>0</v>
      </c>
      <c r="MW23" s="13">
        <f>'7'!M159</f>
        <v>0</v>
      </c>
      <c r="MX23" s="13" t="s">
        <v>2587</v>
      </c>
      <c r="MY23">
        <f t="shared" si="82"/>
        <v>0</v>
      </c>
      <c r="MZ23" s="13" t="s">
        <v>2588</v>
      </c>
      <c r="NA23">
        <f t="shared" si="83"/>
        <v>0</v>
      </c>
      <c r="NB23" s="13" t="s">
        <v>2589</v>
      </c>
      <c r="NC23">
        <f t="shared" si="84"/>
        <v>0</v>
      </c>
      <c r="ND23" s="13" t="s">
        <v>2590</v>
      </c>
      <c r="NE23">
        <f t="shared" si="85"/>
        <v>0</v>
      </c>
      <c r="NF23" s="13" t="s">
        <v>2591</v>
      </c>
      <c r="NG23">
        <f t="shared" si="86"/>
        <v>0</v>
      </c>
      <c r="NH23" s="13" t="s">
        <v>2592</v>
      </c>
      <c r="NI23">
        <f t="shared" si="87"/>
        <v>0</v>
      </c>
      <c r="NJ23" s="13" t="s">
        <v>2593</v>
      </c>
      <c r="NK23">
        <f t="shared" si="88"/>
        <v>0</v>
      </c>
      <c r="NL23" s="13" t="s">
        <v>2594</v>
      </c>
      <c r="NM23">
        <f t="shared" si="89"/>
        <v>0</v>
      </c>
      <c r="NN23" s="13" t="s">
        <v>2595</v>
      </c>
      <c r="NO23">
        <f t="shared" si="90"/>
        <v>0</v>
      </c>
      <c r="NP23" s="13" t="s">
        <v>2596</v>
      </c>
      <c r="NQ23">
        <f t="shared" si="91"/>
        <v>0</v>
      </c>
      <c r="NR23" s="13" t="s">
        <v>2597</v>
      </c>
      <c r="NS23">
        <f t="shared" si="92"/>
        <v>0</v>
      </c>
      <c r="NT23" s="13" t="s">
        <v>2598</v>
      </c>
      <c r="NU23">
        <f t="shared" si="93"/>
        <v>0</v>
      </c>
      <c r="NV23" s="13"/>
    </row>
    <row r="24" spans="1:386" customFormat="1" x14ac:dyDescent="0.25">
      <c r="A24">
        <v>21</v>
      </c>
      <c r="B24">
        <f>'6'!AB87</f>
        <v>0</v>
      </c>
      <c r="C24">
        <f>'6'!AC87</f>
        <v>0</v>
      </c>
      <c r="D24">
        <f>'6'!AD87</f>
        <v>0</v>
      </c>
      <c r="E24">
        <f>'6'!AE87</f>
        <v>0</v>
      </c>
      <c r="F24">
        <f>'6'!AF87</f>
        <v>0</v>
      </c>
      <c r="G24">
        <f>'6'!AG87</f>
        <v>0</v>
      </c>
      <c r="H24">
        <f>'6'!AH87</f>
        <v>0</v>
      </c>
      <c r="I24">
        <f>'6'!AI87</f>
        <v>0</v>
      </c>
      <c r="J24">
        <f>'6'!AJ87</f>
        <v>0</v>
      </c>
      <c r="K24">
        <f>'6'!AK87</f>
        <v>0</v>
      </c>
      <c r="L24">
        <f>'6'!AL87</f>
        <v>0</v>
      </c>
      <c r="M24">
        <f>'6'!AM87</f>
        <v>0</v>
      </c>
      <c r="N24">
        <f>'6'!AN87</f>
        <v>0</v>
      </c>
      <c r="O24">
        <f>'6'!AO87</f>
        <v>0</v>
      </c>
      <c r="P24">
        <f>'6'!AP87</f>
        <v>0</v>
      </c>
      <c r="Q24">
        <f>'6'!AQ87</f>
        <v>0</v>
      </c>
      <c r="R24">
        <f>'6'!AR87</f>
        <v>0</v>
      </c>
      <c r="S24">
        <f>'6'!AS87</f>
        <v>0</v>
      </c>
      <c r="T24">
        <f>'6'!AT87</f>
        <v>0</v>
      </c>
      <c r="U24">
        <f>'6'!AU87</f>
        <v>0</v>
      </c>
      <c r="V24">
        <f>'6'!AV87</f>
        <v>0</v>
      </c>
      <c r="W24">
        <f>'6'!AW87</f>
        <v>0</v>
      </c>
      <c r="X24">
        <f>'6'!AX87</f>
        <v>0</v>
      </c>
      <c r="Y24">
        <f>'6'!AY87</f>
        <v>0</v>
      </c>
      <c r="Z24">
        <f>'6'!AZ87</f>
        <v>0</v>
      </c>
      <c r="AA24">
        <f>'6'!BA87</f>
        <v>0</v>
      </c>
      <c r="AB24">
        <f>'6'!BB87</f>
        <v>0</v>
      </c>
      <c r="AC24">
        <f>'6'!BC87</f>
        <v>0</v>
      </c>
      <c r="AD24">
        <f>'6'!BD87</f>
        <v>0</v>
      </c>
      <c r="AE24">
        <f>'6'!BE87</f>
        <v>0</v>
      </c>
      <c r="AF24">
        <f>'6'!BF87</f>
        <v>0</v>
      </c>
      <c r="AG24">
        <f>'6'!BG87</f>
        <v>0</v>
      </c>
      <c r="AH24">
        <f>'6'!BH87</f>
        <v>0</v>
      </c>
      <c r="AI24">
        <f>'6'!BI87</f>
        <v>0</v>
      </c>
      <c r="AJ24">
        <f>'6'!BJ87</f>
        <v>0</v>
      </c>
      <c r="AK24">
        <f>'6'!BK87</f>
        <v>0</v>
      </c>
      <c r="AL24">
        <f>'6'!BL87</f>
        <v>0</v>
      </c>
      <c r="AM24">
        <f>'6'!BM87</f>
        <v>0</v>
      </c>
      <c r="AN24">
        <f>'6'!BN87</f>
        <v>0</v>
      </c>
      <c r="AO24">
        <f>'6'!BO87</f>
        <v>0</v>
      </c>
      <c r="AP24">
        <f>'6'!BP87</f>
        <v>0</v>
      </c>
      <c r="AQ24">
        <f>'6'!BQ87</f>
        <v>0</v>
      </c>
      <c r="AR24">
        <f>'6'!BR87</f>
        <v>0</v>
      </c>
      <c r="AS24">
        <f>'6'!BS87</f>
        <v>0</v>
      </c>
      <c r="AT24">
        <f>'6'!BT87</f>
        <v>0</v>
      </c>
      <c r="AU24">
        <f>'6'!BU87</f>
        <v>0</v>
      </c>
      <c r="AV24">
        <f>'6'!BV87</f>
        <v>0</v>
      </c>
      <c r="AW24">
        <f>'6'!BW87</f>
        <v>0</v>
      </c>
      <c r="AX24">
        <f>'6'!BX87</f>
        <v>0</v>
      </c>
      <c r="AY24">
        <f>'6'!BY87</f>
        <v>0</v>
      </c>
      <c r="AZ24">
        <f>'6'!BZ87</f>
        <v>0</v>
      </c>
      <c r="BA24">
        <f>'6'!CA87</f>
        <v>0</v>
      </c>
      <c r="BB24">
        <f>'6'!CB87</f>
        <v>0</v>
      </c>
      <c r="BC24">
        <f>'6'!CC87</f>
        <v>0</v>
      </c>
      <c r="BD24">
        <f>'6'!CD87</f>
        <v>0</v>
      </c>
      <c r="BE24">
        <f>'6'!CE87</f>
        <v>0</v>
      </c>
      <c r="BF24">
        <f>'6'!CF87</f>
        <v>0</v>
      </c>
      <c r="BG24">
        <f>'6'!CG87</f>
        <v>0</v>
      </c>
      <c r="BH24">
        <f>'6'!CH87</f>
        <v>0</v>
      </c>
      <c r="BI24">
        <f>'6'!CI87</f>
        <v>0</v>
      </c>
      <c r="BJ24">
        <f>'6'!CJ87</f>
        <v>0</v>
      </c>
      <c r="BK24">
        <f>'6'!CK87</f>
        <v>0</v>
      </c>
      <c r="BL24">
        <f>'6'!CL87</f>
        <v>0</v>
      </c>
      <c r="BM24">
        <f>'6'!CM87</f>
        <v>0</v>
      </c>
      <c r="BN24">
        <f>'6'!CN87</f>
        <v>0</v>
      </c>
      <c r="BO24">
        <f>'6'!CO87</f>
        <v>0</v>
      </c>
      <c r="BP24">
        <f>'6'!CP87</f>
        <v>0</v>
      </c>
      <c r="BQ24">
        <f>'6'!CQ87</f>
        <v>0</v>
      </c>
      <c r="BR24">
        <f>'6'!CR87</f>
        <v>0</v>
      </c>
      <c r="BS24">
        <f>'6'!CS87</f>
        <v>0</v>
      </c>
      <c r="BT24">
        <f>'6'!CT87</f>
        <v>0</v>
      </c>
      <c r="BU24">
        <f>'6'!CU87</f>
        <v>0</v>
      </c>
      <c r="BV24">
        <f>'6'!CV87</f>
        <v>0</v>
      </c>
      <c r="BW24">
        <f>'6'!CW87</f>
        <v>0</v>
      </c>
      <c r="BX24">
        <f>'6'!CX87</f>
        <v>0</v>
      </c>
      <c r="BY24">
        <f>'6'!CY87</f>
        <v>0</v>
      </c>
      <c r="BZ24">
        <f>'6'!CZ87</f>
        <v>0</v>
      </c>
      <c r="CA24">
        <f>'6'!DA87</f>
        <v>0</v>
      </c>
      <c r="CB24">
        <f>'6'!DB87</f>
        <v>0</v>
      </c>
      <c r="CC24">
        <f>'6'!DC87</f>
        <v>0</v>
      </c>
      <c r="CD24">
        <f>'6'!DD87</f>
        <v>0</v>
      </c>
      <c r="CE24">
        <f>'6'!DE87</f>
        <v>0</v>
      </c>
      <c r="CF24">
        <f>'6'!DF87</f>
        <v>0</v>
      </c>
      <c r="CG24">
        <f>'6'!DG87</f>
        <v>0</v>
      </c>
      <c r="CH24">
        <f>SUM('7'!AB169:AB173)</f>
        <v>0</v>
      </c>
      <c r="CI24">
        <f>SUM('7'!AC169:AC173)</f>
        <v>0</v>
      </c>
      <c r="CJ24">
        <f>SUM('7'!AD169:AD173)</f>
        <v>0</v>
      </c>
      <c r="CK24">
        <f>SUM('7'!AE169:AE173)</f>
        <v>0</v>
      </c>
      <c r="CL24">
        <f>SUM('7'!AF169:AF173)</f>
        <v>0</v>
      </c>
      <c r="CM24">
        <f>SUM('7'!AG169:AG173)</f>
        <v>0</v>
      </c>
      <c r="CN24">
        <f>SUM('7'!AH169:AH173)</f>
        <v>0</v>
      </c>
      <c r="CO24">
        <f>SUM('7'!AI169:AI173)</f>
        <v>0</v>
      </c>
      <c r="CP24">
        <f>SUM('7'!AJ169:AJ173)</f>
        <v>0</v>
      </c>
      <c r="CQ24">
        <f>SUM('7'!AK169:AK173)</f>
        <v>0</v>
      </c>
      <c r="CR24">
        <f>SUM('7'!AL169:AL173)</f>
        <v>0</v>
      </c>
      <c r="CS24">
        <f>SUM('7'!AM169:AM173)</f>
        <v>0</v>
      </c>
      <c r="CT24">
        <f>SUM('7'!AN169:AN173)</f>
        <v>0</v>
      </c>
      <c r="CU24">
        <f>SUM('7'!AO169:AO173)</f>
        <v>0</v>
      </c>
      <c r="CV24">
        <f>SUM('7'!AP169:AP173)</f>
        <v>0</v>
      </c>
      <c r="CW24">
        <f>SUM('7'!AQ169:AQ173)</f>
        <v>0</v>
      </c>
      <c r="CX24">
        <f>SUM('7'!AR169:AR173)</f>
        <v>0</v>
      </c>
      <c r="CY24">
        <f>SUM('7'!AS169:AS173)</f>
        <v>0</v>
      </c>
      <c r="CZ24">
        <f>SUM('7'!AT169:AT173)</f>
        <v>0</v>
      </c>
      <c r="DA24">
        <f>SUM('7'!AU169:AU173)</f>
        <v>0</v>
      </c>
      <c r="DB24">
        <f>SUM('7'!AV169:AV173)</f>
        <v>0</v>
      </c>
      <c r="DC24">
        <f>SUM('7'!AW169:AW173)</f>
        <v>0</v>
      </c>
      <c r="DD24">
        <f>SUM('7'!AX169:AX173)</f>
        <v>0</v>
      </c>
      <c r="DE24">
        <f>SUM('7'!AY169:AY173)</f>
        <v>0</v>
      </c>
      <c r="DF24">
        <f>SUM('7'!AZ169:AZ173)</f>
        <v>0</v>
      </c>
      <c r="DG24">
        <f>SUM('7'!BA169:BA173)</f>
        <v>0</v>
      </c>
      <c r="DH24">
        <f>SUM('7'!BB169:BB173)</f>
        <v>0</v>
      </c>
      <c r="DI24">
        <f>SUM('7'!BC169:BC173)</f>
        <v>0</v>
      </c>
      <c r="DJ24">
        <f>SUM('7'!BD169:BD173)</f>
        <v>0</v>
      </c>
      <c r="DK24">
        <f>SUM('7'!BE169:BE173)</f>
        <v>0</v>
      </c>
      <c r="DL24">
        <f>SUM('7'!BF169:BF173)</f>
        <v>0</v>
      </c>
      <c r="DM24">
        <f>SUM('7'!BG169:BG173)</f>
        <v>0</v>
      </c>
      <c r="DN24">
        <f>SUM('7'!BH169:BH173)</f>
        <v>0</v>
      </c>
      <c r="DO24">
        <f>SUM('7'!BI169:BI173)</f>
        <v>0</v>
      </c>
      <c r="DP24">
        <f>SUM('7'!BJ169:BJ173)</f>
        <v>0</v>
      </c>
      <c r="DQ24">
        <f>SUM('7'!BK169:BK173)</f>
        <v>0</v>
      </c>
      <c r="DR24">
        <f>SUM('7'!BL169:BL173)</f>
        <v>0</v>
      </c>
      <c r="DS24">
        <f>SUM('7'!BM169:BM173)</f>
        <v>0</v>
      </c>
      <c r="DT24">
        <f>SUM('7'!BN169:BN173)</f>
        <v>0</v>
      </c>
      <c r="DU24">
        <f>SUM('7'!BO169:BO173)</f>
        <v>0</v>
      </c>
      <c r="DV24">
        <f>SUM('7'!BP169:BP173)</f>
        <v>0</v>
      </c>
      <c r="DW24">
        <f>SUM('7'!BQ169:BQ173)</f>
        <v>0</v>
      </c>
      <c r="DX24">
        <f>SUM('7'!BR169:BR173)</f>
        <v>0</v>
      </c>
      <c r="DY24">
        <f>SUM('7'!BS169:BS173)</f>
        <v>0</v>
      </c>
      <c r="DZ24">
        <f>SUM('7'!BT169:BT173)</f>
        <v>0</v>
      </c>
      <c r="EA24">
        <f>SUM('7'!BU169:BU173)</f>
        <v>0</v>
      </c>
      <c r="EB24">
        <f>SUM('7'!BV169:BV173)</f>
        <v>0</v>
      </c>
      <c r="EC24">
        <f>SUM('7'!BW169:BW173)</f>
        <v>0</v>
      </c>
      <c r="ED24">
        <f>SUM('7'!BX169:BX173)</f>
        <v>0</v>
      </c>
      <c r="EE24">
        <f>SUM('7'!BY169:BY173)</f>
        <v>0</v>
      </c>
      <c r="EF24">
        <f>SUM('7'!BZ169:BZ173)</f>
        <v>0</v>
      </c>
      <c r="EG24">
        <f>SUM('7'!CA169:CA173)</f>
        <v>0</v>
      </c>
      <c r="EH24">
        <f>SUM('7'!CB169:CB173)</f>
        <v>0</v>
      </c>
      <c r="EI24">
        <f>SUM('7'!CC169:CC173)</f>
        <v>0</v>
      </c>
      <c r="EJ24">
        <f>SUM('7'!CD169:CD173)</f>
        <v>0</v>
      </c>
      <c r="EK24">
        <f>SUM('7'!CE169:CE173)</f>
        <v>0</v>
      </c>
      <c r="EL24">
        <f>SUM('7'!CF169:CF173)</f>
        <v>0</v>
      </c>
      <c r="EM24">
        <f>SUM('7'!CG169:CG173)</f>
        <v>0</v>
      </c>
      <c r="EN24">
        <f>SUM('7'!CH169:CH173)</f>
        <v>0</v>
      </c>
      <c r="EO24">
        <f>SUM('7'!CI169:CI173)</f>
        <v>0</v>
      </c>
      <c r="EP24">
        <f>SUM('7'!CJ169:CJ173)</f>
        <v>0</v>
      </c>
      <c r="EQ24">
        <f>SUM('7'!CK169:CK173)</f>
        <v>0</v>
      </c>
      <c r="ER24">
        <f>SUM('7'!CL169:CL173)</f>
        <v>0</v>
      </c>
      <c r="ES24">
        <f>SUM('7'!CM169:CM173)</f>
        <v>0</v>
      </c>
      <c r="ET24">
        <f>SUM('7'!CN169:CN173)</f>
        <v>0</v>
      </c>
      <c r="EU24">
        <f>SUM('7'!CO169:CO173)</f>
        <v>0</v>
      </c>
      <c r="EV24">
        <f>SUM('7'!CP169:CP173)</f>
        <v>0</v>
      </c>
      <c r="EW24">
        <f>SUM('7'!CQ169:CQ173)</f>
        <v>0</v>
      </c>
      <c r="EX24">
        <f>SUM('7'!CR169:CR173)</f>
        <v>0</v>
      </c>
      <c r="EY24">
        <f>SUM('7'!CS169:CS173)</f>
        <v>0</v>
      </c>
      <c r="EZ24">
        <f>SUM('7'!CT169:CT173)</f>
        <v>0</v>
      </c>
      <c r="FA24">
        <f>SUM('7'!CU169:CU173)</f>
        <v>0</v>
      </c>
      <c r="FB24">
        <f>SUM('7'!CV169:CV173)</f>
        <v>0</v>
      </c>
      <c r="FC24">
        <f>SUM('7'!CW169:CW173)</f>
        <v>0</v>
      </c>
      <c r="FD24">
        <f>SUM('7'!CX169:CX173)</f>
        <v>0</v>
      </c>
      <c r="FE24">
        <f>SUM('7'!CY169:CY173)</f>
        <v>0</v>
      </c>
      <c r="FF24">
        <f>SUM('7'!CZ169:CZ173)</f>
        <v>0</v>
      </c>
      <c r="FG24">
        <f>SUM('7'!DA169:DA173)</f>
        <v>0</v>
      </c>
      <c r="FH24">
        <f>SUM('7'!DB169:DB173)</f>
        <v>0</v>
      </c>
      <c r="FI24">
        <f>SUM('7'!DC169:DC173)</f>
        <v>0</v>
      </c>
      <c r="FJ24">
        <f>SUM('7'!DD169:DD173)</f>
        <v>0</v>
      </c>
      <c r="FK24">
        <f>SUM('7'!DE169:DE173)</f>
        <v>0</v>
      </c>
      <c r="FL24">
        <f>SUM('7'!DF169:DF173)</f>
        <v>0</v>
      </c>
      <c r="FM24">
        <f>SUM('7'!DG169:DG173)</f>
        <v>0</v>
      </c>
      <c r="FN24" t="s">
        <v>2599</v>
      </c>
      <c r="FO24">
        <f t="shared" si="94"/>
        <v>0</v>
      </c>
      <c r="FP24" t="s">
        <v>2600</v>
      </c>
      <c r="FQ24">
        <f t="shared" si="0"/>
        <v>0</v>
      </c>
      <c r="FR24" t="s">
        <v>2601</v>
      </c>
      <c r="FS24">
        <f t="shared" si="1"/>
        <v>0</v>
      </c>
      <c r="FT24" t="s">
        <v>2602</v>
      </c>
      <c r="FU24">
        <f t="shared" si="2"/>
        <v>0</v>
      </c>
      <c r="FV24" t="s">
        <v>2603</v>
      </c>
      <c r="FW24">
        <f t="shared" si="3"/>
        <v>0</v>
      </c>
      <c r="FX24" t="s">
        <v>2604</v>
      </c>
      <c r="FY24">
        <f t="shared" si="4"/>
        <v>0</v>
      </c>
      <c r="FZ24" t="s">
        <v>2605</v>
      </c>
      <c r="GA24">
        <f t="shared" si="5"/>
        <v>0</v>
      </c>
      <c r="GB24" t="s">
        <v>2606</v>
      </c>
      <c r="GC24">
        <f t="shared" si="6"/>
        <v>0</v>
      </c>
      <c r="GD24" t="s">
        <v>2607</v>
      </c>
      <c r="GE24">
        <f t="shared" si="7"/>
        <v>0</v>
      </c>
      <c r="GF24" t="s">
        <v>2608</v>
      </c>
      <c r="GG24">
        <f t="shared" si="8"/>
        <v>0</v>
      </c>
      <c r="GH24" t="s">
        <v>2609</v>
      </c>
      <c r="GI24">
        <f t="shared" si="9"/>
        <v>0</v>
      </c>
      <c r="GJ24" t="s">
        <v>2610</v>
      </c>
      <c r="GK24">
        <f t="shared" si="10"/>
        <v>0</v>
      </c>
      <c r="GL24" t="s">
        <v>2611</v>
      </c>
      <c r="GM24">
        <f t="shared" si="11"/>
        <v>0</v>
      </c>
      <c r="GN24" t="s">
        <v>2612</v>
      </c>
      <c r="GO24">
        <f t="shared" si="95"/>
        <v>0</v>
      </c>
      <c r="GP24" t="s">
        <v>2613</v>
      </c>
      <c r="GQ24">
        <f t="shared" si="12"/>
        <v>0</v>
      </c>
      <c r="GR24" t="s">
        <v>2614</v>
      </c>
      <c r="GS24">
        <f t="shared" si="13"/>
        <v>0</v>
      </c>
      <c r="GT24" t="s">
        <v>2615</v>
      </c>
      <c r="GU24">
        <f t="shared" si="14"/>
        <v>0</v>
      </c>
      <c r="GV24" t="s">
        <v>2616</v>
      </c>
      <c r="GW24">
        <f t="shared" si="15"/>
        <v>0</v>
      </c>
      <c r="GX24" t="s">
        <v>2617</v>
      </c>
      <c r="GY24">
        <f t="shared" si="16"/>
        <v>0</v>
      </c>
      <c r="GZ24" t="s">
        <v>2618</v>
      </c>
      <c r="HA24">
        <f t="shared" si="17"/>
        <v>0</v>
      </c>
      <c r="HB24" t="s">
        <v>2619</v>
      </c>
      <c r="HC24">
        <f t="shared" si="18"/>
        <v>0</v>
      </c>
      <c r="HD24" t="s">
        <v>2620</v>
      </c>
      <c r="HE24">
        <f t="shared" si="19"/>
        <v>0</v>
      </c>
      <c r="HF24" t="s">
        <v>2621</v>
      </c>
      <c r="HG24">
        <f t="shared" si="20"/>
        <v>0</v>
      </c>
      <c r="HH24" t="s">
        <v>2622</v>
      </c>
      <c r="HI24">
        <f t="shared" si="21"/>
        <v>0</v>
      </c>
      <c r="HJ24" t="s">
        <v>2623</v>
      </c>
      <c r="HK24">
        <f t="shared" si="22"/>
        <v>0</v>
      </c>
      <c r="HL24" t="s">
        <v>2624</v>
      </c>
      <c r="HM24">
        <f t="shared" si="23"/>
        <v>0</v>
      </c>
      <c r="HN24" t="s">
        <v>2625</v>
      </c>
      <c r="HO24">
        <f t="shared" si="24"/>
        <v>0</v>
      </c>
      <c r="HP24" t="s">
        <v>2626</v>
      </c>
      <c r="HQ24">
        <f t="shared" si="25"/>
        <v>0</v>
      </c>
      <c r="HR24" t="s">
        <v>2627</v>
      </c>
      <c r="HS24">
        <f t="shared" si="26"/>
        <v>0</v>
      </c>
      <c r="HT24" t="s">
        <v>2628</v>
      </c>
      <c r="HU24">
        <f t="shared" si="27"/>
        <v>0</v>
      </c>
      <c r="HV24" t="s">
        <v>2629</v>
      </c>
      <c r="HW24">
        <f t="shared" si="28"/>
        <v>0</v>
      </c>
      <c r="HX24" t="s">
        <v>2630</v>
      </c>
      <c r="HY24">
        <f t="shared" si="29"/>
        <v>0</v>
      </c>
      <c r="HZ24" t="s">
        <v>2631</v>
      </c>
      <c r="IA24">
        <f t="shared" si="30"/>
        <v>0</v>
      </c>
      <c r="IB24" t="s">
        <v>2632</v>
      </c>
      <c r="IC24">
        <f t="shared" si="31"/>
        <v>0</v>
      </c>
      <c r="ID24" t="s">
        <v>2633</v>
      </c>
      <c r="IE24">
        <f t="shared" si="32"/>
        <v>0</v>
      </c>
      <c r="IF24" t="s">
        <v>2634</v>
      </c>
      <c r="IG24">
        <f t="shared" si="33"/>
        <v>0</v>
      </c>
      <c r="IH24" t="s">
        <v>2635</v>
      </c>
      <c r="II24">
        <f t="shared" si="34"/>
        <v>0</v>
      </c>
      <c r="IJ24" t="s">
        <v>2636</v>
      </c>
      <c r="IK24">
        <f t="shared" si="35"/>
        <v>0</v>
      </c>
      <c r="IL24" t="s">
        <v>2637</v>
      </c>
      <c r="IM24">
        <f t="shared" si="36"/>
        <v>0</v>
      </c>
      <c r="IN24" t="s">
        <v>2638</v>
      </c>
      <c r="IO24">
        <f t="shared" si="37"/>
        <v>0</v>
      </c>
      <c r="IP24" t="s">
        <v>2639</v>
      </c>
      <c r="IQ24">
        <f t="shared" si="38"/>
        <v>0</v>
      </c>
      <c r="IR24" t="s">
        <v>2640</v>
      </c>
      <c r="IS24">
        <f t="shared" si="39"/>
        <v>0</v>
      </c>
      <c r="IT24" t="s">
        <v>2641</v>
      </c>
      <c r="IU24">
        <f t="shared" si="40"/>
        <v>0</v>
      </c>
      <c r="IV24" t="s">
        <v>2642</v>
      </c>
      <c r="IW24">
        <f t="shared" si="41"/>
        <v>0</v>
      </c>
      <c r="IX24" t="s">
        <v>2643</v>
      </c>
      <c r="IY24">
        <f t="shared" si="42"/>
        <v>0</v>
      </c>
      <c r="IZ24" t="s">
        <v>2644</v>
      </c>
      <c r="JA24">
        <f t="shared" si="43"/>
        <v>0</v>
      </c>
      <c r="JB24" t="s">
        <v>2645</v>
      </c>
      <c r="JC24">
        <f t="shared" si="44"/>
        <v>0</v>
      </c>
      <c r="JD24" t="s">
        <v>2646</v>
      </c>
      <c r="JE24">
        <f t="shared" si="45"/>
        <v>0</v>
      </c>
      <c r="JF24" t="s">
        <v>2647</v>
      </c>
      <c r="JG24">
        <f t="shared" si="46"/>
        <v>0</v>
      </c>
      <c r="JH24" t="s">
        <v>2648</v>
      </c>
      <c r="JI24">
        <f t="shared" si="47"/>
        <v>0</v>
      </c>
      <c r="JJ24" t="s">
        <v>2649</v>
      </c>
      <c r="JK24">
        <f t="shared" si="48"/>
        <v>0</v>
      </c>
      <c r="JL24" t="s">
        <v>2650</v>
      </c>
      <c r="JM24">
        <f t="shared" si="49"/>
        <v>0</v>
      </c>
      <c r="JN24" t="s">
        <v>2651</v>
      </c>
      <c r="JO24">
        <f t="shared" si="50"/>
        <v>0</v>
      </c>
      <c r="JP24" t="s">
        <v>2652</v>
      </c>
      <c r="JQ24">
        <f t="shared" si="51"/>
        <v>0</v>
      </c>
      <c r="JR24" t="s">
        <v>2653</v>
      </c>
      <c r="JS24">
        <f t="shared" si="52"/>
        <v>0</v>
      </c>
      <c r="JT24" t="s">
        <v>2654</v>
      </c>
      <c r="JU24">
        <f t="shared" si="53"/>
        <v>0</v>
      </c>
      <c r="JV24" t="s">
        <v>2655</v>
      </c>
      <c r="JW24">
        <f t="shared" si="54"/>
        <v>0</v>
      </c>
      <c r="JX24" t="s">
        <v>2656</v>
      </c>
      <c r="JY24">
        <f t="shared" si="55"/>
        <v>0</v>
      </c>
      <c r="JZ24" t="s">
        <v>2657</v>
      </c>
      <c r="KA24">
        <f t="shared" si="56"/>
        <v>0</v>
      </c>
      <c r="KB24" t="s">
        <v>2658</v>
      </c>
      <c r="KC24">
        <f t="shared" si="57"/>
        <v>0</v>
      </c>
      <c r="KD24" t="s">
        <v>2659</v>
      </c>
      <c r="KE24">
        <f t="shared" si="58"/>
        <v>0</v>
      </c>
      <c r="KF24" t="s">
        <v>2660</v>
      </c>
      <c r="KG24">
        <f t="shared" si="59"/>
        <v>0</v>
      </c>
      <c r="KH24" t="s">
        <v>2661</v>
      </c>
      <c r="KI24">
        <f t="shared" si="60"/>
        <v>0</v>
      </c>
      <c r="KJ24" t="s">
        <v>2662</v>
      </c>
      <c r="KK24">
        <f t="shared" si="61"/>
        <v>0</v>
      </c>
      <c r="KL24" t="s">
        <v>2663</v>
      </c>
      <c r="KM24">
        <f t="shared" si="62"/>
        <v>0</v>
      </c>
      <c r="KN24" t="s">
        <v>2664</v>
      </c>
      <c r="KO24">
        <f t="shared" si="63"/>
        <v>0</v>
      </c>
      <c r="KP24" t="s">
        <v>2665</v>
      </c>
      <c r="KQ24">
        <f t="shared" si="64"/>
        <v>0</v>
      </c>
      <c r="KR24" t="s">
        <v>2666</v>
      </c>
      <c r="KS24">
        <f t="shared" si="65"/>
        <v>0</v>
      </c>
      <c r="KT24" t="s">
        <v>2667</v>
      </c>
      <c r="KU24">
        <f t="shared" si="66"/>
        <v>0</v>
      </c>
      <c r="KV24" t="s">
        <v>2668</v>
      </c>
      <c r="KW24">
        <f t="shared" si="67"/>
        <v>0</v>
      </c>
      <c r="KX24" t="s">
        <v>2669</v>
      </c>
      <c r="KY24">
        <f t="shared" si="68"/>
        <v>0</v>
      </c>
      <c r="KZ24" t="s">
        <v>2670</v>
      </c>
      <c r="LA24">
        <f t="shared" si="69"/>
        <v>0</v>
      </c>
      <c r="LB24" t="s">
        <v>2671</v>
      </c>
      <c r="LC24">
        <f t="shared" si="70"/>
        <v>0</v>
      </c>
      <c r="LD24" t="s">
        <v>2672</v>
      </c>
      <c r="LE24">
        <f t="shared" si="71"/>
        <v>0</v>
      </c>
      <c r="LF24" t="s">
        <v>2673</v>
      </c>
      <c r="LG24">
        <f t="shared" si="72"/>
        <v>0</v>
      </c>
      <c r="LH24" t="s">
        <v>2674</v>
      </c>
      <c r="LI24">
        <f t="shared" si="73"/>
        <v>0</v>
      </c>
      <c r="LJ24" t="s">
        <v>2675</v>
      </c>
      <c r="LK24">
        <f t="shared" si="74"/>
        <v>0</v>
      </c>
      <c r="LL24" t="s">
        <v>2676</v>
      </c>
      <c r="LM24">
        <f t="shared" si="75"/>
        <v>0</v>
      </c>
      <c r="LN24" t="s">
        <v>2677</v>
      </c>
      <c r="LO24">
        <f t="shared" si="76"/>
        <v>0</v>
      </c>
      <c r="LP24" t="s">
        <v>2678</v>
      </c>
      <c r="LQ24">
        <f t="shared" si="77"/>
        <v>0</v>
      </c>
      <c r="LR24" t="s">
        <v>2679</v>
      </c>
      <c r="LS24">
        <f t="shared" si="78"/>
        <v>0</v>
      </c>
      <c r="LT24" t="s">
        <v>2680</v>
      </c>
      <c r="LU24">
        <f t="shared" si="79"/>
        <v>0</v>
      </c>
      <c r="LV24" t="s">
        <v>2681</v>
      </c>
      <c r="LW24">
        <f t="shared" si="80"/>
        <v>0</v>
      </c>
      <c r="LX24" t="s">
        <v>2682</v>
      </c>
      <c r="LY24">
        <f t="shared" si="81"/>
        <v>0</v>
      </c>
      <c r="LZ24">
        <f>'6'!B88</f>
        <v>0</v>
      </c>
      <c r="MA24">
        <f>'6'!C88</f>
        <v>0</v>
      </c>
      <c r="MB24">
        <f>'6'!D88</f>
        <v>0</v>
      </c>
      <c r="MC24">
        <f>'6'!E88</f>
        <v>0</v>
      </c>
      <c r="MD24">
        <f>'6'!F88</f>
        <v>0</v>
      </c>
      <c r="ME24">
        <f>'6'!G88</f>
        <v>0</v>
      </c>
      <c r="MF24">
        <f>'6'!H88</f>
        <v>0</v>
      </c>
      <c r="MG24">
        <f>'6'!I88</f>
        <v>0</v>
      </c>
      <c r="MH24">
        <f>'6'!J88</f>
        <v>0</v>
      </c>
      <c r="MI24">
        <f>'6'!K88</f>
        <v>0</v>
      </c>
      <c r="MJ24">
        <f>'6'!L88</f>
        <v>0</v>
      </c>
      <c r="MK24">
        <f>'6'!M88</f>
        <v>0</v>
      </c>
      <c r="ML24" s="13">
        <f>'7'!B167</f>
        <v>0</v>
      </c>
      <c r="MM24" s="13">
        <f>'7'!C167</f>
        <v>0</v>
      </c>
      <c r="MN24" s="13">
        <f>'7'!D167</f>
        <v>0</v>
      </c>
      <c r="MO24" s="13">
        <f>'7'!E167</f>
        <v>0</v>
      </c>
      <c r="MP24" s="13">
        <f>'7'!F167</f>
        <v>0</v>
      </c>
      <c r="MQ24" s="13">
        <f>'7'!G167</f>
        <v>0</v>
      </c>
      <c r="MR24" s="13">
        <f>'7'!H167</f>
        <v>0</v>
      </c>
      <c r="MS24" s="13">
        <f>'7'!I167</f>
        <v>0</v>
      </c>
      <c r="MT24" s="13">
        <f>'7'!J167</f>
        <v>0</v>
      </c>
      <c r="MU24" s="13">
        <f>'7'!K167</f>
        <v>0</v>
      </c>
      <c r="MV24" s="13">
        <f>'7'!L167</f>
        <v>0</v>
      </c>
      <c r="MW24" s="13">
        <f>'7'!M167</f>
        <v>0</v>
      </c>
      <c r="MX24" s="13" t="s">
        <v>2683</v>
      </c>
      <c r="MY24">
        <f t="shared" si="82"/>
        <v>0</v>
      </c>
      <c r="MZ24" s="13" t="s">
        <v>2684</v>
      </c>
      <c r="NA24">
        <f t="shared" si="83"/>
        <v>0</v>
      </c>
      <c r="NB24" s="13" t="s">
        <v>2685</v>
      </c>
      <c r="NC24">
        <f t="shared" si="84"/>
        <v>0</v>
      </c>
      <c r="ND24" s="13" t="s">
        <v>2686</v>
      </c>
      <c r="NE24">
        <f t="shared" si="85"/>
        <v>0</v>
      </c>
      <c r="NF24" s="13" t="s">
        <v>2687</v>
      </c>
      <c r="NG24">
        <f t="shared" si="86"/>
        <v>0</v>
      </c>
      <c r="NH24" s="13" t="s">
        <v>2688</v>
      </c>
      <c r="NI24">
        <f t="shared" si="87"/>
        <v>0</v>
      </c>
      <c r="NJ24" s="13" t="s">
        <v>2689</v>
      </c>
      <c r="NK24">
        <f t="shared" si="88"/>
        <v>0</v>
      </c>
      <c r="NL24" s="13" t="s">
        <v>2690</v>
      </c>
      <c r="NM24">
        <f t="shared" si="89"/>
        <v>0</v>
      </c>
      <c r="NN24" s="13" t="s">
        <v>2691</v>
      </c>
      <c r="NO24">
        <f t="shared" si="90"/>
        <v>0</v>
      </c>
      <c r="NP24" s="13" t="s">
        <v>2692</v>
      </c>
      <c r="NQ24">
        <f t="shared" si="91"/>
        <v>0</v>
      </c>
      <c r="NR24" s="13" t="s">
        <v>2693</v>
      </c>
      <c r="NS24">
        <f t="shared" si="92"/>
        <v>0</v>
      </c>
      <c r="NT24" s="13" t="s">
        <v>2694</v>
      </c>
      <c r="NU24">
        <f t="shared" si="93"/>
        <v>0</v>
      </c>
      <c r="NV24" s="13"/>
    </row>
    <row r="25" spans="1:386" customFormat="1" x14ac:dyDescent="0.25">
      <c r="A25">
        <v>22</v>
      </c>
      <c r="B25">
        <f>'6'!AB91</f>
        <v>0</v>
      </c>
      <c r="C25">
        <f>'6'!AC91</f>
        <v>0</v>
      </c>
      <c r="D25">
        <f>'6'!AD91</f>
        <v>0</v>
      </c>
      <c r="E25">
        <f>'6'!AE91</f>
        <v>0</v>
      </c>
      <c r="F25">
        <f>'6'!AF91</f>
        <v>0</v>
      </c>
      <c r="G25">
        <f>'6'!AG91</f>
        <v>0</v>
      </c>
      <c r="H25">
        <f>'6'!AH91</f>
        <v>0</v>
      </c>
      <c r="I25">
        <f>'6'!AI91</f>
        <v>0</v>
      </c>
      <c r="J25">
        <f>'6'!AJ91</f>
        <v>0</v>
      </c>
      <c r="K25">
        <f>'6'!AK91</f>
        <v>0</v>
      </c>
      <c r="L25">
        <f>'6'!AL91</f>
        <v>0</v>
      </c>
      <c r="M25">
        <f>'6'!AM91</f>
        <v>0</v>
      </c>
      <c r="N25">
        <f>'6'!AN91</f>
        <v>0</v>
      </c>
      <c r="O25">
        <f>'6'!AO91</f>
        <v>0</v>
      </c>
      <c r="P25">
        <f>'6'!AP91</f>
        <v>0</v>
      </c>
      <c r="Q25">
        <f>'6'!AQ91</f>
        <v>0</v>
      </c>
      <c r="R25">
        <f>'6'!AR91</f>
        <v>0</v>
      </c>
      <c r="S25">
        <f>'6'!AS91</f>
        <v>0</v>
      </c>
      <c r="T25">
        <f>'6'!AT91</f>
        <v>0</v>
      </c>
      <c r="U25">
        <f>'6'!AU91</f>
        <v>0</v>
      </c>
      <c r="V25">
        <f>'6'!AV91</f>
        <v>0</v>
      </c>
      <c r="W25">
        <f>'6'!AW91</f>
        <v>0</v>
      </c>
      <c r="X25">
        <f>'6'!AX91</f>
        <v>0</v>
      </c>
      <c r="Y25">
        <f>'6'!AY91</f>
        <v>0</v>
      </c>
      <c r="Z25">
        <f>'6'!AZ91</f>
        <v>0</v>
      </c>
      <c r="AA25">
        <f>'6'!BA91</f>
        <v>0</v>
      </c>
      <c r="AB25">
        <f>'6'!BB91</f>
        <v>0</v>
      </c>
      <c r="AC25">
        <f>'6'!BC91</f>
        <v>0</v>
      </c>
      <c r="AD25">
        <f>'6'!BD91</f>
        <v>0</v>
      </c>
      <c r="AE25">
        <f>'6'!BE91</f>
        <v>0</v>
      </c>
      <c r="AF25">
        <f>'6'!BF91</f>
        <v>0</v>
      </c>
      <c r="AG25">
        <f>'6'!BG91</f>
        <v>0</v>
      </c>
      <c r="AH25">
        <f>'6'!BH91</f>
        <v>0</v>
      </c>
      <c r="AI25">
        <f>'6'!BI91</f>
        <v>0</v>
      </c>
      <c r="AJ25">
        <f>'6'!BJ91</f>
        <v>0</v>
      </c>
      <c r="AK25">
        <f>'6'!BK91</f>
        <v>0</v>
      </c>
      <c r="AL25">
        <f>'6'!BL91</f>
        <v>0</v>
      </c>
      <c r="AM25">
        <f>'6'!BM91</f>
        <v>0</v>
      </c>
      <c r="AN25">
        <f>'6'!BN91</f>
        <v>0</v>
      </c>
      <c r="AO25">
        <f>'6'!BO91</f>
        <v>0</v>
      </c>
      <c r="AP25">
        <f>'6'!BP91</f>
        <v>0</v>
      </c>
      <c r="AQ25">
        <f>'6'!BQ91</f>
        <v>0</v>
      </c>
      <c r="AR25">
        <f>'6'!BR91</f>
        <v>0</v>
      </c>
      <c r="AS25">
        <f>'6'!BS91</f>
        <v>0</v>
      </c>
      <c r="AT25">
        <f>'6'!BT91</f>
        <v>0</v>
      </c>
      <c r="AU25">
        <f>'6'!BU91</f>
        <v>0</v>
      </c>
      <c r="AV25">
        <f>'6'!BV91</f>
        <v>0</v>
      </c>
      <c r="AW25">
        <f>'6'!BW91</f>
        <v>0</v>
      </c>
      <c r="AX25">
        <f>'6'!BX91</f>
        <v>0</v>
      </c>
      <c r="AY25">
        <f>'6'!BY91</f>
        <v>0</v>
      </c>
      <c r="AZ25">
        <f>'6'!BZ91</f>
        <v>0</v>
      </c>
      <c r="BA25">
        <f>'6'!CA91</f>
        <v>0</v>
      </c>
      <c r="BB25">
        <f>'6'!CB91</f>
        <v>0</v>
      </c>
      <c r="BC25">
        <f>'6'!CC91</f>
        <v>0</v>
      </c>
      <c r="BD25">
        <f>'6'!CD91</f>
        <v>0</v>
      </c>
      <c r="BE25">
        <f>'6'!CE91</f>
        <v>0</v>
      </c>
      <c r="BF25">
        <f>'6'!CF91</f>
        <v>0</v>
      </c>
      <c r="BG25">
        <f>'6'!CG91</f>
        <v>0</v>
      </c>
      <c r="BH25">
        <f>'6'!CH91</f>
        <v>0</v>
      </c>
      <c r="BI25">
        <f>'6'!CI91</f>
        <v>0</v>
      </c>
      <c r="BJ25">
        <f>'6'!CJ91</f>
        <v>0</v>
      </c>
      <c r="BK25">
        <f>'6'!CK91</f>
        <v>0</v>
      </c>
      <c r="BL25">
        <f>'6'!CL91</f>
        <v>0</v>
      </c>
      <c r="BM25">
        <f>'6'!CM91</f>
        <v>0</v>
      </c>
      <c r="BN25">
        <f>'6'!CN91</f>
        <v>0</v>
      </c>
      <c r="BO25">
        <f>'6'!CO91</f>
        <v>0</v>
      </c>
      <c r="BP25">
        <f>'6'!CP91</f>
        <v>0</v>
      </c>
      <c r="BQ25">
        <f>'6'!CQ91</f>
        <v>0</v>
      </c>
      <c r="BR25">
        <f>'6'!CR91</f>
        <v>0</v>
      </c>
      <c r="BS25">
        <f>'6'!CS91</f>
        <v>0</v>
      </c>
      <c r="BT25">
        <f>'6'!CT91</f>
        <v>0</v>
      </c>
      <c r="BU25">
        <f>'6'!CU91</f>
        <v>0</v>
      </c>
      <c r="BV25">
        <f>'6'!CV91</f>
        <v>0</v>
      </c>
      <c r="BW25">
        <f>'6'!CW91</f>
        <v>0</v>
      </c>
      <c r="BX25">
        <f>'6'!CX91</f>
        <v>0</v>
      </c>
      <c r="BY25">
        <f>'6'!CY91</f>
        <v>0</v>
      </c>
      <c r="BZ25">
        <f>'6'!CZ91</f>
        <v>0</v>
      </c>
      <c r="CA25">
        <f>'6'!DA91</f>
        <v>0</v>
      </c>
      <c r="CB25">
        <f>'6'!DB91</f>
        <v>0</v>
      </c>
      <c r="CC25">
        <f>'6'!DC91</f>
        <v>0</v>
      </c>
      <c r="CD25">
        <f>'6'!DD91</f>
        <v>0</v>
      </c>
      <c r="CE25">
        <f>'6'!DE91</f>
        <v>0</v>
      </c>
      <c r="CF25">
        <f>'6'!DF91</f>
        <v>0</v>
      </c>
      <c r="CG25">
        <f>'6'!DG91</f>
        <v>0</v>
      </c>
      <c r="CH25">
        <f>SUM('7'!AB177:AB181)</f>
        <v>0</v>
      </c>
      <c r="CI25">
        <f>SUM('7'!AC177:AC181)</f>
        <v>0</v>
      </c>
      <c r="CJ25">
        <f>SUM('7'!AD177:AD181)</f>
        <v>0</v>
      </c>
      <c r="CK25">
        <f>SUM('7'!AE177:AE181)</f>
        <v>0</v>
      </c>
      <c r="CL25">
        <f>SUM('7'!AF177:AF181)</f>
        <v>0</v>
      </c>
      <c r="CM25">
        <f>SUM('7'!AG177:AG181)</f>
        <v>0</v>
      </c>
      <c r="CN25">
        <f>SUM('7'!AH177:AH181)</f>
        <v>0</v>
      </c>
      <c r="CO25">
        <f>SUM('7'!AI177:AI181)</f>
        <v>0</v>
      </c>
      <c r="CP25">
        <f>SUM('7'!AJ177:AJ181)</f>
        <v>0</v>
      </c>
      <c r="CQ25">
        <f>SUM('7'!AK177:AK181)</f>
        <v>0</v>
      </c>
      <c r="CR25">
        <f>SUM('7'!AL177:AL181)</f>
        <v>0</v>
      </c>
      <c r="CS25">
        <f>SUM('7'!AM177:AM181)</f>
        <v>0</v>
      </c>
      <c r="CT25">
        <f>SUM('7'!AN177:AN181)</f>
        <v>0</v>
      </c>
      <c r="CU25">
        <f>SUM('7'!AO177:AO181)</f>
        <v>0</v>
      </c>
      <c r="CV25">
        <f>SUM('7'!AP177:AP181)</f>
        <v>0</v>
      </c>
      <c r="CW25">
        <f>SUM('7'!AQ177:AQ181)</f>
        <v>0</v>
      </c>
      <c r="CX25">
        <f>SUM('7'!AR177:AR181)</f>
        <v>0</v>
      </c>
      <c r="CY25">
        <f>SUM('7'!AS177:AS181)</f>
        <v>0</v>
      </c>
      <c r="CZ25">
        <f>SUM('7'!AT177:AT181)</f>
        <v>0</v>
      </c>
      <c r="DA25">
        <f>SUM('7'!AU177:AU181)</f>
        <v>0</v>
      </c>
      <c r="DB25">
        <f>SUM('7'!AV177:AV181)</f>
        <v>0</v>
      </c>
      <c r="DC25">
        <f>SUM('7'!AW177:AW181)</f>
        <v>0</v>
      </c>
      <c r="DD25">
        <f>SUM('7'!AX177:AX181)</f>
        <v>0</v>
      </c>
      <c r="DE25">
        <f>SUM('7'!AY177:AY181)</f>
        <v>0</v>
      </c>
      <c r="DF25">
        <f>SUM('7'!AZ177:AZ181)</f>
        <v>0</v>
      </c>
      <c r="DG25">
        <f>SUM('7'!BA177:BA181)</f>
        <v>0</v>
      </c>
      <c r="DH25">
        <f>SUM('7'!BB177:BB181)</f>
        <v>0</v>
      </c>
      <c r="DI25">
        <f>SUM('7'!BC177:BC181)</f>
        <v>0</v>
      </c>
      <c r="DJ25">
        <f>SUM('7'!BD177:BD181)</f>
        <v>0</v>
      </c>
      <c r="DK25">
        <f>SUM('7'!BE177:BE181)</f>
        <v>0</v>
      </c>
      <c r="DL25">
        <f>SUM('7'!BF177:BF181)</f>
        <v>0</v>
      </c>
      <c r="DM25">
        <f>SUM('7'!BG177:BG181)</f>
        <v>0</v>
      </c>
      <c r="DN25">
        <f>SUM('7'!BH177:BH181)</f>
        <v>0</v>
      </c>
      <c r="DO25">
        <f>SUM('7'!BI177:BI181)</f>
        <v>0</v>
      </c>
      <c r="DP25">
        <f>SUM('7'!BJ177:BJ181)</f>
        <v>0</v>
      </c>
      <c r="DQ25">
        <f>SUM('7'!BK177:BK181)</f>
        <v>0</v>
      </c>
      <c r="DR25">
        <f>SUM('7'!BL177:BL181)</f>
        <v>0</v>
      </c>
      <c r="DS25">
        <f>SUM('7'!BM177:BM181)</f>
        <v>0</v>
      </c>
      <c r="DT25">
        <f>SUM('7'!BN177:BN181)</f>
        <v>0</v>
      </c>
      <c r="DU25">
        <f>SUM('7'!BO177:BO181)</f>
        <v>0</v>
      </c>
      <c r="DV25">
        <f>SUM('7'!BP177:BP181)</f>
        <v>0</v>
      </c>
      <c r="DW25">
        <f>SUM('7'!BQ177:BQ181)</f>
        <v>0</v>
      </c>
      <c r="DX25">
        <f>SUM('7'!BR177:BR181)</f>
        <v>0</v>
      </c>
      <c r="DY25">
        <f>SUM('7'!BS177:BS181)</f>
        <v>0</v>
      </c>
      <c r="DZ25">
        <f>SUM('7'!BT177:BT181)</f>
        <v>0</v>
      </c>
      <c r="EA25">
        <f>SUM('7'!BU177:BU181)</f>
        <v>0</v>
      </c>
      <c r="EB25">
        <f>SUM('7'!BV177:BV181)</f>
        <v>0</v>
      </c>
      <c r="EC25">
        <f>SUM('7'!BW177:BW181)</f>
        <v>0</v>
      </c>
      <c r="ED25">
        <f>SUM('7'!BX177:BX181)</f>
        <v>0</v>
      </c>
      <c r="EE25">
        <f>SUM('7'!BY177:BY181)</f>
        <v>0</v>
      </c>
      <c r="EF25">
        <f>SUM('7'!BZ177:BZ181)</f>
        <v>0</v>
      </c>
      <c r="EG25">
        <f>SUM('7'!CA177:CA181)</f>
        <v>0</v>
      </c>
      <c r="EH25">
        <f>SUM('7'!CB177:CB181)</f>
        <v>0</v>
      </c>
      <c r="EI25">
        <f>SUM('7'!CC177:CC181)</f>
        <v>0</v>
      </c>
      <c r="EJ25">
        <f>SUM('7'!CD177:CD181)</f>
        <v>0</v>
      </c>
      <c r="EK25">
        <f>SUM('7'!CE177:CE181)</f>
        <v>0</v>
      </c>
      <c r="EL25">
        <f>SUM('7'!CF177:CF181)</f>
        <v>0</v>
      </c>
      <c r="EM25">
        <f>SUM('7'!CG177:CG181)</f>
        <v>0</v>
      </c>
      <c r="EN25">
        <f>SUM('7'!CH177:CH181)</f>
        <v>0</v>
      </c>
      <c r="EO25">
        <f>SUM('7'!CI177:CI181)</f>
        <v>0</v>
      </c>
      <c r="EP25">
        <f>SUM('7'!CJ177:CJ181)</f>
        <v>0</v>
      </c>
      <c r="EQ25">
        <f>SUM('7'!CK177:CK181)</f>
        <v>0</v>
      </c>
      <c r="ER25">
        <f>SUM('7'!CL177:CL181)</f>
        <v>0</v>
      </c>
      <c r="ES25">
        <f>SUM('7'!CM177:CM181)</f>
        <v>0</v>
      </c>
      <c r="ET25">
        <f>SUM('7'!CN177:CN181)</f>
        <v>0</v>
      </c>
      <c r="EU25">
        <f>SUM('7'!CO177:CO181)</f>
        <v>0</v>
      </c>
      <c r="EV25">
        <f>SUM('7'!CP177:CP181)</f>
        <v>0</v>
      </c>
      <c r="EW25">
        <f>SUM('7'!CQ177:CQ181)</f>
        <v>0</v>
      </c>
      <c r="EX25">
        <f>SUM('7'!CR177:CR181)</f>
        <v>0</v>
      </c>
      <c r="EY25">
        <f>SUM('7'!CS177:CS181)</f>
        <v>0</v>
      </c>
      <c r="EZ25">
        <f>SUM('7'!CT177:CT181)</f>
        <v>0</v>
      </c>
      <c r="FA25">
        <f>SUM('7'!CU177:CU181)</f>
        <v>0</v>
      </c>
      <c r="FB25">
        <f>SUM('7'!CV177:CV181)</f>
        <v>0</v>
      </c>
      <c r="FC25">
        <f>SUM('7'!CW177:CW181)</f>
        <v>0</v>
      </c>
      <c r="FD25">
        <f>SUM('7'!CX177:CX181)</f>
        <v>0</v>
      </c>
      <c r="FE25">
        <f>SUM('7'!CY177:CY181)</f>
        <v>0</v>
      </c>
      <c r="FF25">
        <f>SUM('7'!CZ177:CZ181)</f>
        <v>0</v>
      </c>
      <c r="FG25">
        <f>SUM('7'!DA177:DA181)</f>
        <v>0</v>
      </c>
      <c r="FH25">
        <f>SUM('7'!DB177:DB181)</f>
        <v>0</v>
      </c>
      <c r="FI25">
        <f>SUM('7'!DC177:DC181)</f>
        <v>0</v>
      </c>
      <c r="FJ25">
        <f>SUM('7'!DD177:DD181)</f>
        <v>0</v>
      </c>
      <c r="FK25">
        <f>SUM('7'!DE177:DE181)</f>
        <v>0</v>
      </c>
      <c r="FL25">
        <f>SUM('7'!DF177:DF181)</f>
        <v>0</v>
      </c>
      <c r="FM25">
        <f>SUM('7'!DG177:DG181)</f>
        <v>0</v>
      </c>
      <c r="FN25" t="s">
        <v>2695</v>
      </c>
      <c r="FO25">
        <f t="shared" si="94"/>
        <v>0</v>
      </c>
      <c r="FP25" t="s">
        <v>2696</v>
      </c>
      <c r="FQ25">
        <f t="shared" si="0"/>
        <v>0</v>
      </c>
      <c r="FR25" t="s">
        <v>2697</v>
      </c>
      <c r="FS25">
        <f t="shared" si="1"/>
        <v>0</v>
      </c>
      <c r="FT25" t="s">
        <v>2698</v>
      </c>
      <c r="FU25">
        <f t="shared" si="2"/>
        <v>0</v>
      </c>
      <c r="FV25" t="s">
        <v>2699</v>
      </c>
      <c r="FW25">
        <f t="shared" si="3"/>
        <v>0</v>
      </c>
      <c r="FX25" t="s">
        <v>2700</v>
      </c>
      <c r="FY25">
        <f t="shared" si="4"/>
        <v>0</v>
      </c>
      <c r="FZ25" t="s">
        <v>2701</v>
      </c>
      <c r="GA25">
        <f t="shared" si="5"/>
        <v>0</v>
      </c>
      <c r="GB25" t="s">
        <v>2702</v>
      </c>
      <c r="GC25">
        <f t="shared" si="6"/>
        <v>0</v>
      </c>
      <c r="GD25" t="s">
        <v>2703</v>
      </c>
      <c r="GE25">
        <f t="shared" si="7"/>
        <v>0</v>
      </c>
      <c r="GF25" t="s">
        <v>2704</v>
      </c>
      <c r="GG25">
        <f t="shared" si="8"/>
        <v>0</v>
      </c>
      <c r="GH25" t="s">
        <v>2705</v>
      </c>
      <c r="GI25">
        <f t="shared" si="9"/>
        <v>0</v>
      </c>
      <c r="GJ25" t="s">
        <v>2706</v>
      </c>
      <c r="GK25">
        <f t="shared" si="10"/>
        <v>0</v>
      </c>
      <c r="GL25" t="s">
        <v>2707</v>
      </c>
      <c r="GM25">
        <f t="shared" si="11"/>
        <v>0</v>
      </c>
      <c r="GN25" t="s">
        <v>2708</v>
      </c>
      <c r="GO25">
        <f t="shared" si="95"/>
        <v>0</v>
      </c>
      <c r="GP25" t="s">
        <v>2709</v>
      </c>
      <c r="GQ25">
        <f t="shared" si="12"/>
        <v>0</v>
      </c>
      <c r="GR25" t="s">
        <v>2710</v>
      </c>
      <c r="GS25">
        <f t="shared" si="13"/>
        <v>0</v>
      </c>
      <c r="GT25" t="s">
        <v>2711</v>
      </c>
      <c r="GU25">
        <f t="shared" si="14"/>
        <v>0</v>
      </c>
      <c r="GV25" t="s">
        <v>2712</v>
      </c>
      <c r="GW25">
        <f t="shared" si="15"/>
        <v>0</v>
      </c>
      <c r="GX25" t="s">
        <v>2713</v>
      </c>
      <c r="GY25">
        <f t="shared" si="16"/>
        <v>0</v>
      </c>
      <c r="GZ25" t="s">
        <v>2714</v>
      </c>
      <c r="HA25">
        <f t="shared" si="17"/>
        <v>0</v>
      </c>
      <c r="HB25" t="s">
        <v>2715</v>
      </c>
      <c r="HC25">
        <f t="shared" si="18"/>
        <v>0</v>
      </c>
      <c r="HD25" t="s">
        <v>2716</v>
      </c>
      <c r="HE25">
        <f t="shared" si="19"/>
        <v>0</v>
      </c>
      <c r="HF25" t="s">
        <v>2717</v>
      </c>
      <c r="HG25">
        <f t="shared" si="20"/>
        <v>0</v>
      </c>
      <c r="HH25" t="s">
        <v>2718</v>
      </c>
      <c r="HI25">
        <f t="shared" si="21"/>
        <v>0</v>
      </c>
      <c r="HJ25" t="s">
        <v>2719</v>
      </c>
      <c r="HK25">
        <f t="shared" si="22"/>
        <v>0</v>
      </c>
      <c r="HL25" t="s">
        <v>2720</v>
      </c>
      <c r="HM25">
        <f t="shared" si="23"/>
        <v>0</v>
      </c>
      <c r="HN25" t="s">
        <v>2721</v>
      </c>
      <c r="HO25">
        <f t="shared" si="24"/>
        <v>0</v>
      </c>
      <c r="HP25" t="s">
        <v>2722</v>
      </c>
      <c r="HQ25">
        <f t="shared" si="25"/>
        <v>0</v>
      </c>
      <c r="HR25" t="s">
        <v>2723</v>
      </c>
      <c r="HS25">
        <f t="shared" si="26"/>
        <v>0</v>
      </c>
      <c r="HT25" t="s">
        <v>2724</v>
      </c>
      <c r="HU25">
        <f t="shared" si="27"/>
        <v>0</v>
      </c>
      <c r="HV25" t="s">
        <v>2725</v>
      </c>
      <c r="HW25">
        <f t="shared" si="28"/>
        <v>0</v>
      </c>
      <c r="HX25" t="s">
        <v>2726</v>
      </c>
      <c r="HY25">
        <f t="shared" si="29"/>
        <v>0</v>
      </c>
      <c r="HZ25" t="s">
        <v>2727</v>
      </c>
      <c r="IA25">
        <f t="shared" si="30"/>
        <v>0</v>
      </c>
      <c r="IB25" t="s">
        <v>2728</v>
      </c>
      <c r="IC25">
        <f t="shared" si="31"/>
        <v>0</v>
      </c>
      <c r="ID25" t="s">
        <v>2729</v>
      </c>
      <c r="IE25">
        <f t="shared" si="32"/>
        <v>0</v>
      </c>
      <c r="IF25" t="s">
        <v>2730</v>
      </c>
      <c r="IG25">
        <f t="shared" si="33"/>
        <v>0</v>
      </c>
      <c r="IH25" t="s">
        <v>2731</v>
      </c>
      <c r="II25">
        <f t="shared" si="34"/>
        <v>0</v>
      </c>
      <c r="IJ25" t="s">
        <v>2732</v>
      </c>
      <c r="IK25">
        <f t="shared" si="35"/>
        <v>0</v>
      </c>
      <c r="IL25" t="s">
        <v>2733</v>
      </c>
      <c r="IM25">
        <f t="shared" si="36"/>
        <v>0</v>
      </c>
      <c r="IN25" t="s">
        <v>2734</v>
      </c>
      <c r="IO25">
        <f t="shared" si="37"/>
        <v>0</v>
      </c>
      <c r="IP25" t="s">
        <v>2735</v>
      </c>
      <c r="IQ25">
        <f t="shared" si="38"/>
        <v>0</v>
      </c>
      <c r="IR25" t="s">
        <v>2736</v>
      </c>
      <c r="IS25">
        <f t="shared" si="39"/>
        <v>0</v>
      </c>
      <c r="IT25" t="s">
        <v>2737</v>
      </c>
      <c r="IU25">
        <f t="shared" si="40"/>
        <v>0</v>
      </c>
      <c r="IV25" t="s">
        <v>2738</v>
      </c>
      <c r="IW25">
        <f t="shared" si="41"/>
        <v>0</v>
      </c>
      <c r="IX25" t="s">
        <v>2739</v>
      </c>
      <c r="IY25">
        <f t="shared" si="42"/>
        <v>0</v>
      </c>
      <c r="IZ25" t="s">
        <v>2740</v>
      </c>
      <c r="JA25">
        <f t="shared" si="43"/>
        <v>0</v>
      </c>
      <c r="JB25" t="s">
        <v>2741</v>
      </c>
      <c r="JC25">
        <f t="shared" si="44"/>
        <v>0</v>
      </c>
      <c r="JD25" t="s">
        <v>2742</v>
      </c>
      <c r="JE25">
        <f t="shared" si="45"/>
        <v>0</v>
      </c>
      <c r="JF25" t="s">
        <v>2743</v>
      </c>
      <c r="JG25">
        <f t="shared" si="46"/>
        <v>0</v>
      </c>
      <c r="JH25" t="s">
        <v>2744</v>
      </c>
      <c r="JI25">
        <f t="shared" si="47"/>
        <v>0</v>
      </c>
      <c r="JJ25" t="s">
        <v>2745</v>
      </c>
      <c r="JK25">
        <f t="shared" si="48"/>
        <v>0</v>
      </c>
      <c r="JL25" t="s">
        <v>2746</v>
      </c>
      <c r="JM25">
        <f t="shared" si="49"/>
        <v>0</v>
      </c>
      <c r="JN25" t="s">
        <v>2747</v>
      </c>
      <c r="JO25">
        <f t="shared" si="50"/>
        <v>0</v>
      </c>
      <c r="JP25" t="s">
        <v>2748</v>
      </c>
      <c r="JQ25">
        <f t="shared" si="51"/>
        <v>0</v>
      </c>
      <c r="JR25" t="s">
        <v>2749</v>
      </c>
      <c r="JS25">
        <f t="shared" si="52"/>
        <v>0</v>
      </c>
      <c r="JT25" t="s">
        <v>2750</v>
      </c>
      <c r="JU25">
        <f t="shared" si="53"/>
        <v>0</v>
      </c>
      <c r="JV25" t="s">
        <v>2751</v>
      </c>
      <c r="JW25">
        <f t="shared" si="54"/>
        <v>0</v>
      </c>
      <c r="JX25" t="s">
        <v>2752</v>
      </c>
      <c r="JY25">
        <f t="shared" si="55"/>
        <v>0</v>
      </c>
      <c r="JZ25" t="s">
        <v>2753</v>
      </c>
      <c r="KA25">
        <f t="shared" si="56"/>
        <v>0</v>
      </c>
      <c r="KB25" t="s">
        <v>2754</v>
      </c>
      <c r="KC25">
        <f t="shared" si="57"/>
        <v>0</v>
      </c>
      <c r="KD25" t="s">
        <v>2755</v>
      </c>
      <c r="KE25">
        <f t="shared" si="58"/>
        <v>0</v>
      </c>
      <c r="KF25" t="s">
        <v>2756</v>
      </c>
      <c r="KG25">
        <f t="shared" si="59"/>
        <v>0</v>
      </c>
      <c r="KH25" t="s">
        <v>2757</v>
      </c>
      <c r="KI25">
        <f t="shared" si="60"/>
        <v>0</v>
      </c>
      <c r="KJ25" t="s">
        <v>2758</v>
      </c>
      <c r="KK25">
        <f t="shared" si="61"/>
        <v>0</v>
      </c>
      <c r="KL25" t="s">
        <v>2759</v>
      </c>
      <c r="KM25">
        <f t="shared" si="62"/>
        <v>0</v>
      </c>
      <c r="KN25" t="s">
        <v>2760</v>
      </c>
      <c r="KO25">
        <f t="shared" si="63"/>
        <v>0</v>
      </c>
      <c r="KP25" t="s">
        <v>2761</v>
      </c>
      <c r="KQ25">
        <f t="shared" si="64"/>
        <v>0</v>
      </c>
      <c r="KR25" t="s">
        <v>2762</v>
      </c>
      <c r="KS25">
        <f t="shared" si="65"/>
        <v>0</v>
      </c>
      <c r="KT25" t="s">
        <v>2763</v>
      </c>
      <c r="KU25">
        <f t="shared" si="66"/>
        <v>0</v>
      </c>
      <c r="KV25" t="s">
        <v>2764</v>
      </c>
      <c r="KW25">
        <f t="shared" si="67"/>
        <v>0</v>
      </c>
      <c r="KX25" t="s">
        <v>2765</v>
      </c>
      <c r="KY25">
        <f t="shared" si="68"/>
        <v>0</v>
      </c>
      <c r="KZ25" t="s">
        <v>2766</v>
      </c>
      <c r="LA25">
        <f t="shared" si="69"/>
        <v>0</v>
      </c>
      <c r="LB25" t="s">
        <v>2767</v>
      </c>
      <c r="LC25">
        <f t="shared" si="70"/>
        <v>0</v>
      </c>
      <c r="LD25" t="s">
        <v>2768</v>
      </c>
      <c r="LE25">
        <f t="shared" si="71"/>
        <v>0</v>
      </c>
      <c r="LF25" t="s">
        <v>2769</v>
      </c>
      <c r="LG25">
        <f t="shared" si="72"/>
        <v>0</v>
      </c>
      <c r="LH25" t="s">
        <v>2770</v>
      </c>
      <c r="LI25">
        <f t="shared" si="73"/>
        <v>0</v>
      </c>
      <c r="LJ25" t="s">
        <v>2771</v>
      </c>
      <c r="LK25">
        <f t="shared" si="74"/>
        <v>0</v>
      </c>
      <c r="LL25" t="s">
        <v>2772</v>
      </c>
      <c r="LM25">
        <f t="shared" si="75"/>
        <v>0</v>
      </c>
      <c r="LN25" t="s">
        <v>2773</v>
      </c>
      <c r="LO25">
        <f t="shared" si="76"/>
        <v>0</v>
      </c>
      <c r="LP25" t="s">
        <v>2774</v>
      </c>
      <c r="LQ25">
        <f t="shared" si="77"/>
        <v>0</v>
      </c>
      <c r="LR25" t="s">
        <v>2775</v>
      </c>
      <c r="LS25">
        <f t="shared" si="78"/>
        <v>0</v>
      </c>
      <c r="LT25" t="s">
        <v>2776</v>
      </c>
      <c r="LU25">
        <f t="shared" si="79"/>
        <v>0</v>
      </c>
      <c r="LV25" t="s">
        <v>2777</v>
      </c>
      <c r="LW25">
        <f t="shared" si="80"/>
        <v>0</v>
      </c>
      <c r="LX25" t="s">
        <v>2778</v>
      </c>
      <c r="LY25">
        <f t="shared" si="81"/>
        <v>0</v>
      </c>
      <c r="LZ25">
        <f>'6'!B92</f>
        <v>0</v>
      </c>
      <c r="MA25">
        <f>'6'!C92</f>
        <v>0</v>
      </c>
      <c r="MB25">
        <f>'6'!D92</f>
        <v>0</v>
      </c>
      <c r="MC25">
        <f>'6'!E92</f>
        <v>0</v>
      </c>
      <c r="MD25">
        <f>'6'!F92</f>
        <v>0</v>
      </c>
      <c r="ME25">
        <f>'6'!G92</f>
        <v>0</v>
      </c>
      <c r="MF25">
        <f>'6'!H92</f>
        <v>0</v>
      </c>
      <c r="MG25">
        <f>'6'!I92</f>
        <v>0</v>
      </c>
      <c r="MH25">
        <f>'6'!J92</f>
        <v>0</v>
      </c>
      <c r="MI25">
        <f>'6'!K92</f>
        <v>0</v>
      </c>
      <c r="MJ25">
        <f>'6'!L92</f>
        <v>0</v>
      </c>
      <c r="MK25">
        <f>'6'!M92</f>
        <v>0</v>
      </c>
      <c r="ML25" s="13">
        <f>'7'!B175</f>
        <v>0</v>
      </c>
      <c r="MM25" s="13">
        <f>'7'!C175</f>
        <v>0</v>
      </c>
      <c r="MN25" s="13">
        <f>'7'!D175</f>
        <v>0</v>
      </c>
      <c r="MO25" s="13">
        <f>'7'!E175</f>
        <v>0</v>
      </c>
      <c r="MP25" s="13">
        <f>'7'!F175</f>
        <v>0</v>
      </c>
      <c r="MQ25" s="13">
        <f>'7'!G175</f>
        <v>0</v>
      </c>
      <c r="MR25" s="13">
        <f>'7'!H175</f>
        <v>0</v>
      </c>
      <c r="MS25" s="13">
        <f>'7'!I175</f>
        <v>0</v>
      </c>
      <c r="MT25" s="13">
        <f>'7'!J175</f>
        <v>0</v>
      </c>
      <c r="MU25" s="13">
        <f>'7'!K175</f>
        <v>0</v>
      </c>
      <c r="MV25" s="13">
        <f>'7'!L175</f>
        <v>0</v>
      </c>
      <c r="MW25" s="13">
        <f>'7'!M175</f>
        <v>0</v>
      </c>
      <c r="MX25" s="13" t="s">
        <v>2779</v>
      </c>
      <c r="MY25">
        <f t="shared" si="82"/>
        <v>0</v>
      </c>
      <c r="MZ25" s="13" t="s">
        <v>2780</v>
      </c>
      <c r="NA25">
        <f t="shared" si="83"/>
        <v>0</v>
      </c>
      <c r="NB25" s="13" t="s">
        <v>2781</v>
      </c>
      <c r="NC25">
        <f t="shared" si="84"/>
        <v>0</v>
      </c>
      <c r="ND25" s="13" t="s">
        <v>2782</v>
      </c>
      <c r="NE25">
        <f t="shared" si="85"/>
        <v>0</v>
      </c>
      <c r="NF25" s="13" t="s">
        <v>2783</v>
      </c>
      <c r="NG25">
        <f t="shared" si="86"/>
        <v>0</v>
      </c>
      <c r="NH25" s="13" t="s">
        <v>2784</v>
      </c>
      <c r="NI25">
        <f t="shared" si="87"/>
        <v>0</v>
      </c>
      <c r="NJ25" s="13" t="s">
        <v>2785</v>
      </c>
      <c r="NK25">
        <f t="shared" si="88"/>
        <v>0</v>
      </c>
      <c r="NL25" s="13" t="s">
        <v>2786</v>
      </c>
      <c r="NM25">
        <f t="shared" si="89"/>
        <v>0</v>
      </c>
      <c r="NN25" s="13" t="s">
        <v>2787</v>
      </c>
      <c r="NO25">
        <f t="shared" si="90"/>
        <v>0</v>
      </c>
      <c r="NP25" s="13" t="s">
        <v>2788</v>
      </c>
      <c r="NQ25">
        <f t="shared" si="91"/>
        <v>0</v>
      </c>
      <c r="NR25" s="13" t="s">
        <v>2789</v>
      </c>
      <c r="NS25">
        <f t="shared" si="92"/>
        <v>0</v>
      </c>
      <c r="NT25" s="13" t="s">
        <v>2790</v>
      </c>
      <c r="NU25">
        <f t="shared" si="93"/>
        <v>0</v>
      </c>
      <c r="NV25" s="13"/>
    </row>
    <row r="26" spans="1:386" customFormat="1" x14ac:dyDescent="0.25">
      <c r="A26">
        <v>23</v>
      </c>
      <c r="B26">
        <f>'6'!AB95</f>
        <v>0</v>
      </c>
      <c r="C26">
        <f>'6'!AC95</f>
        <v>0</v>
      </c>
      <c r="D26">
        <f>'6'!AD95</f>
        <v>0</v>
      </c>
      <c r="E26">
        <f>'6'!AE95</f>
        <v>0</v>
      </c>
      <c r="F26">
        <f>'6'!AF95</f>
        <v>0</v>
      </c>
      <c r="G26">
        <f>'6'!AG95</f>
        <v>0</v>
      </c>
      <c r="H26">
        <f>'6'!AH95</f>
        <v>0</v>
      </c>
      <c r="I26">
        <f>'6'!AI95</f>
        <v>0</v>
      </c>
      <c r="J26">
        <f>'6'!AJ95</f>
        <v>0</v>
      </c>
      <c r="K26">
        <f>'6'!AK95</f>
        <v>0</v>
      </c>
      <c r="L26">
        <f>'6'!AL95</f>
        <v>0</v>
      </c>
      <c r="M26">
        <f>'6'!AM95</f>
        <v>0</v>
      </c>
      <c r="N26">
        <f>'6'!AN95</f>
        <v>0</v>
      </c>
      <c r="O26">
        <f>'6'!AO95</f>
        <v>0</v>
      </c>
      <c r="P26">
        <f>'6'!AP95</f>
        <v>0</v>
      </c>
      <c r="Q26">
        <f>'6'!AQ95</f>
        <v>0</v>
      </c>
      <c r="R26">
        <f>'6'!AR95</f>
        <v>0</v>
      </c>
      <c r="S26">
        <f>'6'!AS95</f>
        <v>0</v>
      </c>
      <c r="T26">
        <f>'6'!AT95</f>
        <v>0</v>
      </c>
      <c r="U26">
        <f>'6'!AU95</f>
        <v>0</v>
      </c>
      <c r="V26">
        <f>'6'!AV95</f>
        <v>0</v>
      </c>
      <c r="W26">
        <f>'6'!AW95</f>
        <v>0</v>
      </c>
      <c r="X26">
        <f>'6'!AX95</f>
        <v>0</v>
      </c>
      <c r="Y26">
        <f>'6'!AY95</f>
        <v>0</v>
      </c>
      <c r="Z26">
        <f>'6'!AZ95</f>
        <v>0</v>
      </c>
      <c r="AA26">
        <f>'6'!BA95</f>
        <v>0</v>
      </c>
      <c r="AB26">
        <f>'6'!BB95</f>
        <v>0</v>
      </c>
      <c r="AC26">
        <f>'6'!BC95</f>
        <v>0</v>
      </c>
      <c r="AD26">
        <f>'6'!BD95</f>
        <v>0</v>
      </c>
      <c r="AE26">
        <f>'6'!BE95</f>
        <v>0</v>
      </c>
      <c r="AF26">
        <f>'6'!BF95</f>
        <v>0</v>
      </c>
      <c r="AG26">
        <f>'6'!BG95</f>
        <v>0</v>
      </c>
      <c r="AH26">
        <f>'6'!BH95</f>
        <v>0</v>
      </c>
      <c r="AI26">
        <f>'6'!BI95</f>
        <v>0</v>
      </c>
      <c r="AJ26">
        <f>'6'!BJ95</f>
        <v>0</v>
      </c>
      <c r="AK26">
        <f>'6'!BK95</f>
        <v>0</v>
      </c>
      <c r="AL26">
        <f>'6'!BL95</f>
        <v>0</v>
      </c>
      <c r="AM26">
        <f>'6'!BM95</f>
        <v>0</v>
      </c>
      <c r="AN26">
        <f>'6'!BN95</f>
        <v>0</v>
      </c>
      <c r="AO26">
        <f>'6'!BO95</f>
        <v>0</v>
      </c>
      <c r="AP26">
        <f>'6'!BP95</f>
        <v>0</v>
      </c>
      <c r="AQ26">
        <f>'6'!BQ95</f>
        <v>0</v>
      </c>
      <c r="AR26">
        <f>'6'!BR95</f>
        <v>0</v>
      </c>
      <c r="AS26">
        <f>'6'!BS95</f>
        <v>0</v>
      </c>
      <c r="AT26">
        <f>'6'!BT95</f>
        <v>0</v>
      </c>
      <c r="AU26">
        <f>'6'!BU95</f>
        <v>0</v>
      </c>
      <c r="AV26">
        <f>'6'!BV95</f>
        <v>0</v>
      </c>
      <c r="AW26">
        <f>'6'!BW95</f>
        <v>0</v>
      </c>
      <c r="AX26">
        <f>'6'!BX95</f>
        <v>0</v>
      </c>
      <c r="AY26">
        <f>'6'!BY95</f>
        <v>0</v>
      </c>
      <c r="AZ26">
        <f>'6'!BZ95</f>
        <v>0</v>
      </c>
      <c r="BA26">
        <f>'6'!CA95</f>
        <v>0</v>
      </c>
      <c r="BB26">
        <f>'6'!CB95</f>
        <v>0</v>
      </c>
      <c r="BC26">
        <f>'6'!CC95</f>
        <v>0</v>
      </c>
      <c r="BD26">
        <f>'6'!CD95</f>
        <v>0</v>
      </c>
      <c r="BE26">
        <f>'6'!CE95</f>
        <v>0</v>
      </c>
      <c r="BF26">
        <f>'6'!CF95</f>
        <v>0</v>
      </c>
      <c r="BG26">
        <f>'6'!CG95</f>
        <v>0</v>
      </c>
      <c r="BH26">
        <f>'6'!CH95</f>
        <v>0</v>
      </c>
      <c r="BI26">
        <f>'6'!CI95</f>
        <v>0</v>
      </c>
      <c r="BJ26">
        <f>'6'!CJ95</f>
        <v>0</v>
      </c>
      <c r="BK26">
        <f>'6'!CK95</f>
        <v>0</v>
      </c>
      <c r="BL26">
        <f>'6'!CL95</f>
        <v>0</v>
      </c>
      <c r="BM26">
        <f>'6'!CM95</f>
        <v>0</v>
      </c>
      <c r="BN26">
        <f>'6'!CN95</f>
        <v>0</v>
      </c>
      <c r="BO26">
        <f>'6'!CO95</f>
        <v>0</v>
      </c>
      <c r="BP26">
        <f>'6'!CP95</f>
        <v>0</v>
      </c>
      <c r="BQ26">
        <f>'6'!CQ95</f>
        <v>0</v>
      </c>
      <c r="BR26">
        <f>'6'!CR95</f>
        <v>0</v>
      </c>
      <c r="BS26">
        <f>'6'!CS95</f>
        <v>0</v>
      </c>
      <c r="BT26">
        <f>'6'!CT95</f>
        <v>0</v>
      </c>
      <c r="BU26">
        <f>'6'!CU95</f>
        <v>0</v>
      </c>
      <c r="BV26">
        <f>'6'!CV95</f>
        <v>0</v>
      </c>
      <c r="BW26">
        <f>'6'!CW95</f>
        <v>0</v>
      </c>
      <c r="BX26">
        <f>'6'!CX95</f>
        <v>0</v>
      </c>
      <c r="BY26">
        <f>'6'!CY95</f>
        <v>0</v>
      </c>
      <c r="BZ26">
        <f>'6'!CZ95</f>
        <v>0</v>
      </c>
      <c r="CA26">
        <f>'6'!DA95</f>
        <v>0</v>
      </c>
      <c r="CB26">
        <f>'6'!DB95</f>
        <v>0</v>
      </c>
      <c r="CC26">
        <f>'6'!DC95</f>
        <v>0</v>
      </c>
      <c r="CD26">
        <f>'6'!DD95</f>
        <v>0</v>
      </c>
      <c r="CE26">
        <f>'6'!DE95</f>
        <v>0</v>
      </c>
      <c r="CF26">
        <f>'6'!DF95</f>
        <v>0</v>
      </c>
      <c r="CG26">
        <f>'6'!DG95</f>
        <v>0</v>
      </c>
      <c r="CH26">
        <f>SUM('7'!AB185:AB189)</f>
        <v>0</v>
      </c>
      <c r="CI26">
        <f>SUM('7'!AC185:AC189)</f>
        <v>0</v>
      </c>
      <c r="CJ26">
        <f>SUM('7'!AD185:AD189)</f>
        <v>0</v>
      </c>
      <c r="CK26">
        <f>SUM('7'!AE185:AE189)</f>
        <v>0</v>
      </c>
      <c r="CL26">
        <f>SUM('7'!AF185:AF189)</f>
        <v>0</v>
      </c>
      <c r="CM26">
        <f>SUM('7'!AG185:AG189)</f>
        <v>0</v>
      </c>
      <c r="CN26">
        <f>SUM('7'!AH185:AH189)</f>
        <v>0</v>
      </c>
      <c r="CO26">
        <f>SUM('7'!AI185:AI189)</f>
        <v>0</v>
      </c>
      <c r="CP26">
        <f>SUM('7'!AJ185:AJ189)</f>
        <v>0</v>
      </c>
      <c r="CQ26">
        <f>SUM('7'!AK185:AK189)</f>
        <v>0</v>
      </c>
      <c r="CR26">
        <f>SUM('7'!AL185:AL189)</f>
        <v>0</v>
      </c>
      <c r="CS26">
        <f>SUM('7'!AM185:AM189)</f>
        <v>0</v>
      </c>
      <c r="CT26">
        <f>SUM('7'!AN185:AN189)</f>
        <v>0</v>
      </c>
      <c r="CU26">
        <f>SUM('7'!AO185:AO189)</f>
        <v>0</v>
      </c>
      <c r="CV26">
        <f>SUM('7'!AP185:AP189)</f>
        <v>0</v>
      </c>
      <c r="CW26">
        <f>SUM('7'!AQ185:AQ189)</f>
        <v>0</v>
      </c>
      <c r="CX26">
        <f>SUM('7'!AR185:AR189)</f>
        <v>0</v>
      </c>
      <c r="CY26">
        <f>SUM('7'!AS185:AS189)</f>
        <v>0</v>
      </c>
      <c r="CZ26">
        <f>SUM('7'!AT185:AT189)</f>
        <v>0</v>
      </c>
      <c r="DA26">
        <f>SUM('7'!AU185:AU189)</f>
        <v>0</v>
      </c>
      <c r="DB26">
        <f>SUM('7'!AV185:AV189)</f>
        <v>0</v>
      </c>
      <c r="DC26">
        <f>SUM('7'!AW185:AW189)</f>
        <v>0</v>
      </c>
      <c r="DD26">
        <f>SUM('7'!AX185:AX189)</f>
        <v>0</v>
      </c>
      <c r="DE26">
        <f>SUM('7'!AY185:AY189)</f>
        <v>0</v>
      </c>
      <c r="DF26">
        <f>SUM('7'!AZ185:AZ189)</f>
        <v>0</v>
      </c>
      <c r="DG26">
        <f>SUM('7'!BA185:BA189)</f>
        <v>0</v>
      </c>
      <c r="DH26">
        <f>SUM('7'!BB185:BB189)</f>
        <v>0</v>
      </c>
      <c r="DI26">
        <f>SUM('7'!BC185:BC189)</f>
        <v>0</v>
      </c>
      <c r="DJ26">
        <f>SUM('7'!BD185:BD189)</f>
        <v>0</v>
      </c>
      <c r="DK26">
        <f>SUM('7'!BE185:BE189)</f>
        <v>0</v>
      </c>
      <c r="DL26">
        <f>SUM('7'!BF185:BF189)</f>
        <v>0</v>
      </c>
      <c r="DM26">
        <f>SUM('7'!BG185:BG189)</f>
        <v>0</v>
      </c>
      <c r="DN26">
        <f>SUM('7'!BH185:BH189)</f>
        <v>0</v>
      </c>
      <c r="DO26">
        <f>SUM('7'!BI185:BI189)</f>
        <v>0</v>
      </c>
      <c r="DP26">
        <f>SUM('7'!BJ185:BJ189)</f>
        <v>0</v>
      </c>
      <c r="DQ26">
        <f>SUM('7'!BK185:BK189)</f>
        <v>0</v>
      </c>
      <c r="DR26">
        <f>SUM('7'!BL185:BL189)</f>
        <v>0</v>
      </c>
      <c r="DS26">
        <f>SUM('7'!BM185:BM189)</f>
        <v>0</v>
      </c>
      <c r="DT26">
        <f>SUM('7'!BN185:BN189)</f>
        <v>0</v>
      </c>
      <c r="DU26">
        <f>SUM('7'!BO185:BO189)</f>
        <v>0</v>
      </c>
      <c r="DV26">
        <f>SUM('7'!BP185:BP189)</f>
        <v>0</v>
      </c>
      <c r="DW26">
        <f>SUM('7'!BQ185:BQ189)</f>
        <v>0</v>
      </c>
      <c r="DX26">
        <f>SUM('7'!BR185:BR189)</f>
        <v>0</v>
      </c>
      <c r="DY26">
        <f>SUM('7'!BS185:BS189)</f>
        <v>0</v>
      </c>
      <c r="DZ26">
        <f>SUM('7'!BT185:BT189)</f>
        <v>0</v>
      </c>
      <c r="EA26">
        <f>SUM('7'!BU185:BU189)</f>
        <v>0</v>
      </c>
      <c r="EB26">
        <f>SUM('7'!BV185:BV189)</f>
        <v>0</v>
      </c>
      <c r="EC26">
        <f>SUM('7'!BW185:BW189)</f>
        <v>0</v>
      </c>
      <c r="ED26">
        <f>SUM('7'!BX185:BX189)</f>
        <v>0</v>
      </c>
      <c r="EE26">
        <f>SUM('7'!BY185:BY189)</f>
        <v>0</v>
      </c>
      <c r="EF26">
        <f>SUM('7'!BZ185:BZ189)</f>
        <v>0</v>
      </c>
      <c r="EG26">
        <f>SUM('7'!CA185:CA189)</f>
        <v>0</v>
      </c>
      <c r="EH26">
        <f>SUM('7'!CB185:CB189)</f>
        <v>0</v>
      </c>
      <c r="EI26">
        <f>SUM('7'!CC185:CC189)</f>
        <v>0</v>
      </c>
      <c r="EJ26">
        <f>SUM('7'!CD185:CD189)</f>
        <v>0</v>
      </c>
      <c r="EK26">
        <f>SUM('7'!CE185:CE189)</f>
        <v>0</v>
      </c>
      <c r="EL26">
        <f>SUM('7'!CF185:CF189)</f>
        <v>0</v>
      </c>
      <c r="EM26">
        <f>SUM('7'!CG185:CG189)</f>
        <v>0</v>
      </c>
      <c r="EN26">
        <f>SUM('7'!CH185:CH189)</f>
        <v>0</v>
      </c>
      <c r="EO26">
        <f>SUM('7'!CI185:CI189)</f>
        <v>0</v>
      </c>
      <c r="EP26">
        <f>SUM('7'!CJ185:CJ189)</f>
        <v>0</v>
      </c>
      <c r="EQ26">
        <f>SUM('7'!CK185:CK189)</f>
        <v>0</v>
      </c>
      <c r="ER26">
        <f>SUM('7'!CL185:CL189)</f>
        <v>0</v>
      </c>
      <c r="ES26">
        <f>SUM('7'!CM185:CM189)</f>
        <v>0</v>
      </c>
      <c r="ET26">
        <f>SUM('7'!CN185:CN189)</f>
        <v>0</v>
      </c>
      <c r="EU26">
        <f>SUM('7'!CO185:CO189)</f>
        <v>0</v>
      </c>
      <c r="EV26">
        <f>SUM('7'!CP185:CP189)</f>
        <v>0</v>
      </c>
      <c r="EW26">
        <f>SUM('7'!CQ185:CQ189)</f>
        <v>0</v>
      </c>
      <c r="EX26">
        <f>SUM('7'!CR185:CR189)</f>
        <v>0</v>
      </c>
      <c r="EY26">
        <f>SUM('7'!CS185:CS189)</f>
        <v>0</v>
      </c>
      <c r="EZ26">
        <f>SUM('7'!CT185:CT189)</f>
        <v>0</v>
      </c>
      <c r="FA26">
        <f>SUM('7'!CU185:CU189)</f>
        <v>0</v>
      </c>
      <c r="FB26">
        <f>SUM('7'!CV185:CV189)</f>
        <v>0</v>
      </c>
      <c r="FC26">
        <f>SUM('7'!CW185:CW189)</f>
        <v>0</v>
      </c>
      <c r="FD26">
        <f>SUM('7'!CX185:CX189)</f>
        <v>0</v>
      </c>
      <c r="FE26">
        <f>SUM('7'!CY185:CY189)</f>
        <v>0</v>
      </c>
      <c r="FF26">
        <f>SUM('7'!CZ185:CZ189)</f>
        <v>0</v>
      </c>
      <c r="FG26">
        <f>SUM('7'!DA185:DA189)</f>
        <v>0</v>
      </c>
      <c r="FH26">
        <f>SUM('7'!DB185:DB189)</f>
        <v>0</v>
      </c>
      <c r="FI26">
        <f>SUM('7'!DC185:DC189)</f>
        <v>0</v>
      </c>
      <c r="FJ26">
        <f>SUM('7'!DD185:DD189)</f>
        <v>0</v>
      </c>
      <c r="FK26">
        <f>SUM('7'!DE185:DE189)</f>
        <v>0</v>
      </c>
      <c r="FL26">
        <f>SUM('7'!DF185:DF189)</f>
        <v>0</v>
      </c>
      <c r="FM26">
        <f>SUM('7'!DG185:DG189)</f>
        <v>0</v>
      </c>
      <c r="FN26" t="s">
        <v>2791</v>
      </c>
      <c r="FO26">
        <f t="shared" si="94"/>
        <v>0</v>
      </c>
      <c r="FP26" t="s">
        <v>2792</v>
      </c>
      <c r="FQ26">
        <f t="shared" si="0"/>
        <v>0</v>
      </c>
      <c r="FR26" t="s">
        <v>2793</v>
      </c>
      <c r="FS26">
        <f t="shared" si="1"/>
        <v>0</v>
      </c>
      <c r="FT26" t="s">
        <v>2794</v>
      </c>
      <c r="FU26">
        <f t="shared" si="2"/>
        <v>0</v>
      </c>
      <c r="FV26" t="s">
        <v>2795</v>
      </c>
      <c r="FW26">
        <f t="shared" si="3"/>
        <v>0</v>
      </c>
      <c r="FX26" t="s">
        <v>2796</v>
      </c>
      <c r="FY26">
        <f t="shared" si="4"/>
        <v>0</v>
      </c>
      <c r="FZ26" t="s">
        <v>2797</v>
      </c>
      <c r="GA26">
        <f t="shared" si="5"/>
        <v>0</v>
      </c>
      <c r="GB26" t="s">
        <v>2798</v>
      </c>
      <c r="GC26">
        <f t="shared" si="6"/>
        <v>0</v>
      </c>
      <c r="GD26" t="s">
        <v>2799</v>
      </c>
      <c r="GE26">
        <f t="shared" si="7"/>
        <v>0</v>
      </c>
      <c r="GF26" t="s">
        <v>2800</v>
      </c>
      <c r="GG26">
        <f t="shared" si="8"/>
        <v>0</v>
      </c>
      <c r="GH26" t="s">
        <v>2801</v>
      </c>
      <c r="GI26">
        <f t="shared" si="9"/>
        <v>0</v>
      </c>
      <c r="GJ26" t="s">
        <v>2802</v>
      </c>
      <c r="GK26">
        <f t="shared" si="10"/>
        <v>0</v>
      </c>
      <c r="GL26" t="s">
        <v>2803</v>
      </c>
      <c r="GM26">
        <f t="shared" si="11"/>
        <v>0</v>
      </c>
      <c r="GN26" t="s">
        <v>2804</v>
      </c>
      <c r="GO26">
        <f t="shared" si="95"/>
        <v>0</v>
      </c>
      <c r="GP26" t="s">
        <v>2805</v>
      </c>
      <c r="GQ26">
        <f t="shared" si="12"/>
        <v>0</v>
      </c>
      <c r="GR26" t="s">
        <v>2806</v>
      </c>
      <c r="GS26">
        <f t="shared" si="13"/>
        <v>0</v>
      </c>
      <c r="GT26" t="s">
        <v>2807</v>
      </c>
      <c r="GU26">
        <f t="shared" si="14"/>
        <v>0</v>
      </c>
      <c r="GV26" t="s">
        <v>2808</v>
      </c>
      <c r="GW26">
        <f t="shared" si="15"/>
        <v>0</v>
      </c>
      <c r="GX26" t="s">
        <v>2809</v>
      </c>
      <c r="GY26">
        <f t="shared" si="16"/>
        <v>0</v>
      </c>
      <c r="GZ26" t="s">
        <v>2810</v>
      </c>
      <c r="HA26">
        <f t="shared" si="17"/>
        <v>0</v>
      </c>
      <c r="HB26" t="s">
        <v>2811</v>
      </c>
      <c r="HC26">
        <f t="shared" si="18"/>
        <v>0</v>
      </c>
      <c r="HD26" t="s">
        <v>2812</v>
      </c>
      <c r="HE26">
        <f t="shared" si="19"/>
        <v>0</v>
      </c>
      <c r="HF26" t="s">
        <v>2813</v>
      </c>
      <c r="HG26">
        <f t="shared" si="20"/>
        <v>0</v>
      </c>
      <c r="HH26" t="s">
        <v>2814</v>
      </c>
      <c r="HI26">
        <f t="shared" si="21"/>
        <v>0</v>
      </c>
      <c r="HJ26" t="s">
        <v>2815</v>
      </c>
      <c r="HK26">
        <f t="shared" si="22"/>
        <v>0</v>
      </c>
      <c r="HL26" t="s">
        <v>2816</v>
      </c>
      <c r="HM26">
        <f t="shared" si="23"/>
        <v>0</v>
      </c>
      <c r="HN26" t="s">
        <v>2817</v>
      </c>
      <c r="HO26">
        <f t="shared" si="24"/>
        <v>0</v>
      </c>
      <c r="HP26" t="s">
        <v>2818</v>
      </c>
      <c r="HQ26">
        <f t="shared" si="25"/>
        <v>0</v>
      </c>
      <c r="HR26" t="s">
        <v>2819</v>
      </c>
      <c r="HS26">
        <f t="shared" si="26"/>
        <v>0</v>
      </c>
      <c r="HT26" t="s">
        <v>2820</v>
      </c>
      <c r="HU26">
        <f t="shared" si="27"/>
        <v>0</v>
      </c>
      <c r="HV26" t="s">
        <v>2821</v>
      </c>
      <c r="HW26">
        <f t="shared" si="28"/>
        <v>0</v>
      </c>
      <c r="HX26" t="s">
        <v>2822</v>
      </c>
      <c r="HY26">
        <f t="shared" si="29"/>
        <v>0</v>
      </c>
      <c r="HZ26" t="s">
        <v>2823</v>
      </c>
      <c r="IA26">
        <f t="shared" si="30"/>
        <v>0</v>
      </c>
      <c r="IB26" t="s">
        <v>2824</v>
      </c>
      <c r="IC26">
        <f t="shared" si="31"/>
        <v>0</v>
      </c>
      <c r="ID26" t="s">
        <v>2825</v>
      </c>
      <c r="IE26">
        <f t="shared" si="32"/>
        <v>0</v>
      </c>
      <c r="IF26" t="s">
        <v>2826</v>
      </c>
      <c r="IG26">
        <f t="shared" si="33"/>
        <v>0</v>
      </c>
      <c r="IH26" t="s">
        <v>2827</v>
      </c>
      <c r="II26">
        <f t="shared" si="34"/>
        <v>0</v>
      </c>
      <c r="IJ26" t="s">
        <v>2828</v>
      </c>
      <c r="IK26">
        <f t="shared" si="35"/>
        <v>0</v>
      </c>
      <c r="IL26" t="s">
        <v>2829</v>
      </c>
      <c r="IM26">
        <f t="shared" si="36"/>
        <v>0</v>
      </c>
      <c r="IN26" t="s">
        <v>2830</v>
      </c>
      <c r="IO26">
        <f t="shared" si="37"/>
        <v>0</v>
      </c>
      <c r="IP26" t="s">
        <v>2831</v>
      </c>
      <c r="IQ26">
        <f t="shared" si="38"/>
        <v>0</v>
      </c>
      <c r="IR26" t="s">
        <v>2832</v>
      </c>
      <c r="IS26">
        <f t="shared" si="39"/>
        <v>0</v>
      </c>
      <c r="IT26" t="s">
        <v>2833</v>
      </c>
      <c r="IU26">
        <f t="shared" si="40"/>
        <v>0</v>
      </c>
      <c r="IV26" t="s">
        <v>2834</v>
      </c>
      <c r="IW26">
        <f t="shared" si="41"/>
        <v>0</v>
      </c>
      <c r="IX26" t="s">
        <v>2835</v>
      </c>
      <c r="IY26">
        <f t="shared" si="42"/>
        <v>0</v>
      </c>
      <c r="IZ26" t="s">
        <v>2836</v>
      </c>
      <c r="JA26">
        <f t="shared" si="43"/>
        <v>0</v>
      </c>
      <c r="JB26" t="s">
        <v>2837</v>
      </c>
      <c r="JC26">
        <f t="shared" si="44"/>
        <v>0</v>
      </c>
      <c r="JD26" t="s">
        <v>2838</v>
      </c>
      <c r="JE26">
        <f t="shared" si="45"/>
        <v>0</v>
      </c>
      <c r="JF26" t="s">
        <v>2839</v>
      </c>
      <c r="JG26">
        <f t="shared" si="46"/>
        <v>0</v>
      </c>
      <c r="JH26" t="s">
        <v>2840</v>
      </c>
      <c r="JI26">
        <f t="shared" si="47"/>
        <v>0</v>
      </c>
      <c r="JJ26" t="s">
        <v>2841</v>
      </c>
      <c r="JK26">
        <f t="shared" si="48"/>
        <v>0</v>
      </c>
      <c r="JL26" t="s">
        <v>2842</v>
      </c>
      <c r="JM26">
        <f t="shared" si="49"/>
        <v>0</v>
      </c>
      <c r="JN26" t="s">
        <v>2843</v>
      </c>
      <c r="JO26">
        <f t="shared" si="50"/>
        <v>0</v>
      </c>
      <c r="JP26" t="s">
        <v>2844</v>
      </c>
      <c r="JQ26">
        <f t="shared" si="51"/>
        <v>0</v>
      </c>
      <c r="JR26" t="s">
        <v>2845</v>
      </c>
      <c r="JS26">
        <f t="shared" si="52"/>
        <v>0</v>
      </c>
      <c r="JT26" t="s">
        <v>2846</v>
      </c>
      <c r="JU26">
        <f t="shared" si="53"/>
        <v>0</v>
      </c>
      <c r="JV26" t="s">
        <v>2847</v>
      </c>
      <c r="JW26">
        <f t="shared" si="54"/>
        <v>0</v>
      </c>
      <c r="JX26" t="s">
        <v>2848</v>
      </c>
      <c r="JY26">
        <f t="shared" si="55"/>
        <v>0</v>
      </c>
      <c r="JZ26" t="s">
        <v>2849</v>
      </c>
      <c r="KA26">
        <f t="shared" si="56"/>
        <v>0</v>
      </c>
      <c r="KB26" t="s">
        <v>2850</v>
      </c>
      <c r="KC26">
        <f t="shared" si="57"/>
        <v>0</v>
      </c>
      <c r="KD26" t="s">
        <v>2851</v>
      </c>
      <c r="KE26">
        <f t="shared" si="58"/>
        <v>0</v>
      </c>
      <c r="KF26" t="s">
        <v>2852</v>
      </c>
      <c r="KG26">
        <f t="shared" si="59"/>
        <v>0</v>
      </c>
      <c r="KH26" t="s">
        <v>2853</v>
      </c>
      <c r="KI26">
        <f t="shared" si="60"/>
        <v>0</v>
      </c>
      <c r="KJ26" t="s">
        <v>2854</v>
      </c>
      <c r="KK26">
        <f t="shared" si="61"/>
        <v>0</v>
      </c>
      <c r="KL26" t="s">
        <v>2855</v>
      </c>
      <c r="KM26">
        <f t="shared" si="62"/>
        <v>0</v>
      </c>
      <c r="KN26" t="s">
        <v>2856</v>
      </c>
      <c r="KO26">
        <f t="shared" si="63"/>
        <v>0</v>
      </c>
      <c r="KP26" t="s">
        <v>2857</v>
      </c>
      <c r="KQ26">
        <f t="shared" si="64"/>
        <v>0</v>
      </c>
      <c r="KR26" t="s">
        <v>2858</v>
      </c>
      <c r="KS26">
        <f t="shared" si="65"/>
        <v>0</v>
      </c>
      <c r="KT26" t="s">
        <v>2859</v>
      </c>
      <c r="KU26">
        <f t="shared" si="66"/>
        <v>0</v>
      </c>
      <c r="KV26" t="s">
        <v>2860</v>
      </c>
      <c r="KW26">
        <f t="shared" si="67"/>
        <v>0</v>
      </c>
      <c r="KX26" t="s">
        <v>2861</v>
      </c>
      <c r="KY26">
        <f t="shared" si="68"/>
        <v>0</v>
      </c>
      <c r="KZ26" t="s">
        <v>2862</v>
      </c>
      <c r="LA26">
        <f t="shared" si="69"/>
        <v>0</v>
      </c>
      <c r="LB26" t="s">
        <v>2863</v>
      </c>
      <c r="LC26">
        <f t="shared" si="70"/>
        <v>0</v>
      </c>
      <c r="LD26" t="s">
        <v>2864</v>
      </c>
      <c r="LE26">
        <f t="shared" si="71"/>
        <v>0</v>
      </c>
      <c r="LF26" t="s">
        <v>2865</v>
      </c>
      <c r="LG26">
        <f t="shared" si="72"/>
        <v>0</v>
      </c>
      <c r="LH26" t="s">
        <v>2866</v>
      </c>
      <c r="LI26">
        <f t="shared" si="73"/>
        <v>0</v>
      </c>
      <c r="LJ26" t="s">
        <v>2867</v>
      </c>
      <c r="LK26">
        <f t="shared" si="74"/>
        <v>0</v>
      </c>
      <c r="LL26" t="s">
        <v>2868</v>
      </c>
      <c r="LM26">
        <f t="shared" si="75"/>
        <v>0</v>
      </c>
      <c r="LN26" t="s">
        <v>2869</v>
      </c>
      <c r="LO26">
        <f t="shared" si="76"/>
        <v>0</v>
      </c>
      <c r="LP26" t="s">
        <v>2870</v>
      </c>
      <c r="LQ26">
        <f t="shared" si="77"/>
        <v>0</v>
      </c>
      <c r="LR26" t="s">
        <v>2871</v>
      </c>
      <c r="LS26">
        <f t="shared" si="78"/>
        <v>0</v>
      </c>
      <c r="LT26" t="s">
        <v>2872</v>
      </c>
      <c r="LU26">
        <f t="shared" si="79"/>
        <v>0</v>
      </c>
      <c r="LV26" t="s">
        <v>2873</v>
      </c>
      <c r="LW26">
        <f t="shared" si="80"/>
        <v>0</v>
      </c>
      <c r="LX26" t="s">
        <v>2874</v>
      </c>
      <c r="LY26">
        <f t="shared" si="81"/>
        <v>0</v>
      </c>
      <c r="LZ26">
        <f>'6'!B96</f>
        <v>0</v>
      </c>
      <c r="MA26">
        <f>'6'!C96</f>
        <v>0</v>
      </c>
      <c r="MB26">
        <f>'6'!D96</f>
        <v>0</v>
      </c>
      <c r="MC26">
        <f>'6'!E96</f>
        <v>0</v>
      </c>
      <c r="MD26">
        <f>'6'!F96</f>
        <v>0</v>
      </c>
      <c r="ME26">
        <f>'6'!G96</f>
        <v>0</v>
      </c>
      <c r="MF26">
        <f>'6'!H96</f>
        <v>0</v>
      </c>
      <c r="MG26">
        <f>'6'!I96</f>
        <v>0</v>
      </c>
      <c r="MH26">
        <f>'6'!J96</f>
        <v>0</v>
      </c>
      <c r="MI26">
        <f>'6'!K96</f>
        <v>0</v>
      </c>
      <c r="MJ26">
        <f>'6'!L96</f>
        <v>0</v>
      </c>
      <c r="MK26">
        <f>'6'!M96</f>
        <v>0</v>
      </c>
      <c r="ML26" s="13">
        <f>'7'!B183</f>
        <v>0</v>
      </c>
      <c r="MM26" s="13">
        <f>'7'!C183</f>
        <v>0</v>
      </c>
      <c r="MN26" s="13">
        <f>'7'!D183</f>
        <v>0</v>
      </c>
      <c r="MO26" s="13">
        <f>'7'!E183</f>
        <v>0</v>
      </c>
      <c r="MP26" s="13">
        <f>'7'!F183</f>
        <v>0</v>
      </c>
      <c r="MQ26" s="13">
        <f>'7'!G183</f>
        <v>0</v>
      </c>
      <c r="MR26" s="13">
        <f>'7'!H183</f>
        <v>0</v>
      </c>
      <c r="MS26" s="13">
        <f>'7'!I183</f>
        <v>0</v>
      </c>
      <c r="MT26" s="13">
        <f>'7'!J183</f>
        <v>0</v>
      </c>
      <c r="MU26" s="13">
        <f>'7'!K183</f>
        <v>0</v>
      </c>
      <c r="MV26" s="13">
        <f>'7'!L183</f>
        <v>0</v>
      </c>
      <c r="MW26" s="13">
        <f>'7'!M183</f>
        <v>0</v>
      </c>
      <c r="MX26" s="13" t="s">
        <v>2875</v>
      </c>
      <c r="MY26">
        <f t="shared" si="82"/>
        <v>0</v>
      </c>
      <c r="MZ26" s="13" t="s">
        <v>2876</v>
      </c>
      <c r="NA26">
        <f t="shared" si="83"/>
        <v>0</v>
      </c>
      <c r="NB26" s="13" t="s">
        <v>2877</v>
      </c>
      <c r="NC26">
        <f t="shared" si="84"/>
        <v>0</v>
      </c>
      <c r="ND26" s="13" t="s">
        <v>2878</v>
      </c>
      <c r="NE26">
        <f t="shared" si="85"/>
        <v>0</v>
      </c>
      <c r="NF26" s="13" t="s">
        <v>2879</v>
      </c>
      <c r="NG26">
        <f t="shared" si="86"/>
        <v>0</v>
      </c>
      <c r="NH26" s="13" t="s">
        <v>2880</v>
      </c>
      <c r="NI26">
        <f t="shared" si="87"/>
        <v>0</v>
      </c>
      <c r="NJ26" s="13" t="s">
        <v>2881</v>
      </c>
      <c r="NK26">
        <f t="shared" si="88"/>
        <v>0</v>
      </c>
      <c r="NL26" s="13" t="s">
        <v>2882</v>
      </c>
      <c r="NM26">
        <f t="shared" si="89"/>
        <v>0</v>
      </c>
      <c r="NN26" s="13" t="s">
        <v>2883</v>
      </c>
      <c r="NO26">
        <f t="shared" si="90"/>
        <v>0</v>
      </c>
      <c r="NP26" s="13" t="s">
        <v>2884</v>
      </c>
      <c r="NQ26">
        <f t="shared" si="91"/>
        <v>0</v>
      </c>
      <c r="NR26" s="13" t="s">
        <v>2885</v>
      </c>
      <c r="NS26">
        <f t="shared" si="92"/>
        <v>0</v>
      </c>
      <c r="NT26" s="13" t="s">
        <v>2886</v>
      </c>
      <c r="NU26">
        <f t="shared" si="93"/>
        <v>0</v>
      </c>
      <c r="NV26" s="13"/>
    </row>
    <row r="27" spans="1:386" customFormat="1" x14ac:dyDescent="0.25">
      <c r="A27">
        <v>24</v>
      </c>
      <c r="B27">
        <f>'6'!AB99</f>
        <v>0</v>
      </c>
      <c r="C27">
        <f>'6'!AC99</f>
        <v>0</v>
      </c>
      <c r="D27">
        <f>'6'!AD99</f>
        <v>0</v>
      </c>
      <c r="E27">
        <f>'6'!AE99</f>
        <v>0</v>
      </c>
      <c r="F27">
        <f>'6'!AF99</f>
        <v>0</v>
      </c>
      <c r="G27">
        <f>'6'!AG99</f>
        <v>0</v>
      </c>
      <c r="H27">
        <f>'6'!AH99</f>
        <v>0</v>
      </c>
      <c r="I27">
        <f>'6'!AI99</f>
        <v>0</v>
      </c>
      <c r="J27">
        <f>'6'!AJ99</f>
        <v>0</v>
      </c>
      <c r="K27">
        <f>'6'!AK99</f>
        <v>0</v>
      </c>
      <c r="L27">
        <f>'6'!AL99</f>
        <v>0</v>
      </c>
      <c r="M27">
        <f>'6'!AM99</f>
        <v>0</v>
      </c>
      <c r="N27">
        <f>'6'!AN99</f>
        <v>0</v>
      </c>
      <c r="O27">
        <f>'6'!AO99</f>
        <v>0</v>
      </c>
      <c r="P27">
        <f>'6'!AP99</f>
        <v>0</v>
      </c>
      <c r="Q27">
        <f>'6'!AQ99</f>
        <v>0</v>
      </c>
      <c r="R27">
        <f>'6'!AR99</f>
        <v>0</v>
      </c>
      <c r="S27">
        <f>'6'!AS99</f>
        <v>0</v>
      </c>
      <c r="T27">
        <f>'6'!AT99</f>
        <v>0</v>
      </c>
      <c r="U27">
        <f>'6'!AU99</f>
        <v>0</v>
      </c>
      <c r="V27">
        <f>'6'!AV99</f>
        <v>0</v>
      </c>
      <c r="W27">
        <f>'6'!AW99</f>
        <v>0</v>
      </c>
      <c r="X27">
        <f>'6'!AX99</f>
        <v>0</v>
      </c>
      <c r="Y27">
        <f>'6'!AY99</f>
        <v>0</v>
      </c>
      <c r="Z27">
        <f>'6'!AZ99</f>
        <v>0</v>
      </c>
      <c r="AA27">
        <f>'6'!BA99</f>
        <v>0</v>
      </c>
      <c r="AB27">
        <f>'6'!BB99</f>
        <v>0</v>
      </c>
      <c r="AC27">
        <f>'6'!BC99</f>
        <v>0</v>
      </c>
      <c r="AD27">
        <f>'6'!BD99</f>
        <v>0</v>
      </c>
      <c r="AE27">
        <f>'6'!BE99</f>
        <v>0</v>
      </c>
      <c r="AF27">
        <f>'6'!BF99</f>
        <v>0</v>
      </c>
      <c r="AG27">
        <f>'6'!BG99</f>
        <v>0</v>
      </c>
      <c r="AH27">
        <f>'6'!BH99</f>
        <v>0</v>
      </c>
      <c r="AI27">
        <f>'6'!BI99</f>
        <v>0</v>
      </c>
      <c r="AJ27">
        <f>'6'!BJ99</f>
        <v>0</v>
      </c>
      <c r="AK27">
        <f>'6'!BK99</f>
        <v>0</v>
      </c>
      <c r="AL27">
        <f>'6'!BL99</f>
        <v>0</v>
      </c>
      <c r="AM27">
        <f>'6'!BM99</f>
        <v>0</v>
      </c>
      <c r="AN27">
        <f>'6'!BN99</f>
        <v>0</v>
      </c>
      <c r="AO27">
        <f>'6'!BO99</f>
        <v>0</v>
      </c>
      <c r="AP27">
        <f>'6'!BP99</f>
        <v>0</v>
      </c>
      <c r="AQ27">
        <f>'6'!BQ99</f>
        <v>0</v>
      </c>
      <c r="AR27">
        <f>'6'!BR99</f>
        <v>0</v>
      </c>
      <c r="AS27">
        <f>'6'!BS99</f>
        <v>0</v>
      </c>
      <c r="AT27">
        <f>'6'!BT99</f>
        <v>0</v>
      </c>
      <c r="AU27">
        <f>'6'!BU99</f>
        <v>0</v>
      </c>
      <c r="AV27">
        <f>'6'!BV99</f>
        <v>0</v>
      </c>
      <c r="AW27">
        <f>'6'!BW99</f>
        <v>0</v>
      </c>
      <c r="AX27">
        <f>'6'!BX99</f>
        <v>0</v>
      </c>
      <c r="AY27">
        <f>'6'!BY99</f>
        <v>0</v>
      </c>
      <c r="AZ27">
        <f>'6'!BZ99</f>
        <v>0</v>
      </c>
      <c r="BA27">
        <f>'6'!CA99</f>
        <v>0</v>
      </c>
      <c r="BB27">
        <f>'6'!CB99</f>
        <v>0</v>
      </c>
      <c r="BC27">
        <f>'6'!CC99</f>
        <v>0</v>
      </c>
      <c r="BD27">
        <f>'6'!CD99</f>
        <v>0</v>
      </c>
      <c r="BE27">
        <f>'6'!CE99</f>
        <v>0</v>
      </c>
      <c r="BF27">
        <f>'6'!CF99</f>
        <v>0</v>
      </c>
      <c r="BG27">
        <f>'6'!CG99</f>
        <v>0</v>
      </c>
      <c r="BH27">
        <f>'6'!CH99</f>
        <v>0</v>
      </c>
      <c r="BI27">
        <f>'6'!CI99</f>
        <v>0</v>
      </c>
      <c r="BJ27">
        <f>'6'!CJ99</f>
        <v>0</v>
      </c>
      <c r="BK27">
        <f>'6'!CK99</f>
        <v>0</v>
      </c>
      <c r="BL27">
        <f>'6'!CL99</f>
        <v>0</v>
      </c>
      <c r="BM27">
        <f>'6'!CM99</f>
        <v>0</v>
      </c>
      <c r="BN27">
        <f>'6'!CN99</f>
        <v>0</v>
      </c>
      <c r="BO27">
        <f>'6'!CO99</f>
        <v>0</v>
      </c>
      <c r="BP27">
        <f>'6'!CP99</f>
        <v>0</v>
      </c>
      <c r="BQ27">
        <f>'6'!CQ99</f>
        <v>0</v>
      </c>
      <c r="BR27">
        <f>'6'!CR99</f>
        <v>0</v>
      </c>
      <c r="BS27">
        <f>'6'!CS99</f>
        <v>0</v>
      </c>
      <c r="BT27">
        <f>'6'!CT99</f>
        <v>0</v>
      </c>
      <c r="BU27">
        <f>'6'!CU99</f>
        <v>0</v>
      </c>
      <c r="BV27">
        <f>'6'!CV99</f>
        <v>0</v>
      </c>
      <c r="BW27">
        <f>'6'!CW99</f>
        <v>0</v>
      </c>
      <c r="BX27">
        <f>'6'!CX99</f>
        <v>0</v>
      </c>
      <c r="BY27">
        <f>'6'!CY99</f>
        <v>0</v>
      </c>
      <c r="BZ27">
        <f>'6'!CZ99</f>
        <v>0</v>
      </c>
      <c r="CA27">
        <f>'6'!DA99</f>
        <v>0</v>
      </c>
      <c r="CB27">
        <f>'6'!DB99</f>
        <v>0</v>
      </c>
      <c r="CC27">
        <f>'6'!DC99</f>
        <v>0</v>
      </c>
      <c r="CD27">
        <f>'6'!DD99</f>
        <v>0</v>
      </c>
      <c r="CE27">
        <f>'6'!DE99</f>
        <v>0</v>
      </c>
      <c r="CF27">
        <f>'6'!DF99</f>
        <v>0</v>
      </c>
      <c r="CG27">
        <f>'6'!DG99</f>
        <v>0</v>
      </c>
      <c r="CH27">
        <f>SUM('7'!AB193:AB197)</f>
        <v>0</v>
      </c>
      <c r="CI27">
        <f>SUM('7'!AC193:AC197)</f>
        <v>0</v>
      </c>
      <c r="CJ27">
        <f>SUM('7'!AD193:AD197)</f>
        <v>0</v>
      </c>
      <c r="CK27">
        <f>SUM('7'!AE193:AE197)</f>
        <v>0</v>
      </c>
      <c r="CL27">
        <f>SUM('7'!AF193:AF197)</f>
        <v>0</v>
      </c>
      <c r="CM27">
        <f>SUM('7'!AG193:AG197)</f>
        <v>0</v>
      </c>
      <c r="CN27">
        <f>SUM('7'!AH193:AH197)</f>
        <v>0</v>
      </c>
      <c r="CO27">
        <f>SUM('7'!AI193:AI197)</f>
        <v>0</v>
      </c>
      <c r="CP27">
        <f>SUM('7'!AJ193:AJ197)</f>
        <v>0</v>
      </c>
      <c r="CQ27">
        <f>SUM('7'!AK193:AK197)</f>
        <v>0</v>
      </c>
      <c r="CR27">
        <f>SUM('7'!AL193:AL197)</f>
        <v>0</v>
      </c>
      <c r="CS27">
        <f>SUM('7'!AM193:AM197)</f>
        <v>0</v>
      </c>
      <c r="CT27">
        <f>SUM('7'!AN193:AN197)</f>
        <v>0</v>
      </c>
      <c r="CU27">
        <f>SUM('7'!AO193:AO197)</f>
        <v>0</v>
      </c>
      <c r="CV27">
        <f>SUM('7'!AP193:AP197)</f>
        <v>0</v>
      </c>
      <c r="CW27">
        <f>SUM('7'!AQ193:AQ197)</f>
        <v>0</v>
      </c>
      <c r="CX27">
        <f>SUM('7'!AR193:AR197)</f>
        <v>0</v>
      </c>
      <c r="CY27">
        <f>SUM('7'!AS193:AS197)</f>
        <v>0</v>
      </c>
      <c r="CZ27">
        <f>SUM('7'!AT193:AT197)</f>
        <v>0</v>
      </c>
      <c r="DA27">
        <f>SUM('7'!AU193:AU197)</f>
        <v>0</v>
      </c>
      <c r="DB27">
        <f>SUM('7'!AV193:AV197)</f>
        <v>0</v>
      </c>
      <c r="DC27">
        <f>SUM('7'!AW193:AW197)</f>
        <v>0</v>
      </c>
      <c r="DD27">
        <f>SUM('7'!AX193:AX197)</f>
        <v>0</v>
      </c>
      <c r="DE27">
        <f>SUM('7'!AY193:AY197)</f>
        <v>0</v>
      </c>
      <c r="DF27">
        <f>SUM('7'!AZ193:AZ197)</f>
        <v>0</v>
      </c>
      <c r="DG27">
        <f>SUM('7'!BA193:BA197)</f>
        <v>0</v>
      </c>
      <c r="DH27">
        <f>SUM('7'!BB193:BB197)</f>
        <v>0</v>
      </c>
      <c r="DI27">
        <f>SUM('7'!BC193:BC197)</f>
        <v>0</v>
      </c>
      <c r="DJ27">
        <f>SUM('7'!BD193:BD197)</f>
        <v>0</v>
      </c>
      <c r="DK27">
        <f>SUM('7'!BE193:BE197)</f>
        <v>0</v>
      </c>
      <c r="DL27">
        <f>SUM('7'!BF193:BF197)</f>
        <v>0</v>
      </c>
      <c r="DM27">
        <f>SUM('7'!BG193:BG197)</f>
        <v>0</v>
      </c>
      <c r="DN27">
        <f>SUM('7'!BH193:BH197)</f>
        <v>0</v>
      </c>
      <c r="DO27">
        <f>SUM('7'!BI193:BI197)</f>
        <v>0</v>
      </c>
      <c r="DP27">
        <f>SUM('7'!BJ193:BJ197)</f>
        <v>0</v>
      </c>
      <c r="DQ27">
        <f>SUM('7'!BK193:BK197)</f>
        <v>0</v>
      </c>
      <c r="DR27">
        <f>SUM('7'!BL193:BL197)</f>
        <v>0</v>
      </c>
      <c r="DS27">
        <f>SUM('7'!BM193:BM197)</f>
        <v>0</v>
      </c>
      <c r="DT27">
        <f>SUM('7'!BN193:BN197)</f>
        <v>0</v>
      </c>
      <c r="DU27">
        <f>SUM('7'!BO193:BO197)</f>
        <v>0</v>
      </c>
      <c r="DV27">
        <f>SUM('7'!BP193:BP197)</f>
        <v>0</v>
      </c>
      <c r="DW27">
        <f>SUM('7'!BQ193:BQ197)</f>
        <v>0</v>
      </c>
      <c r="DX27">
        <f>SUM('7'!BR193:BR197)</f>
        <v>0</v>
      </c>
      <c r="DY27">
        <f>SUM('7'!BS193:BS197)</f>
        <v>0</v>
      </c>
      <c r="DZ27">
        <f>SUM('7'!BT193:BT197)</f>
        <v>0</v>
      </c>
      <c r="EA27">
        <f>SUM('7'!BU193:BU197)</f>
        <v>0</v>
      </c>
      <c r="EB27">
        <f>SUM('7'!BV193:BV197)</f>
        <v>0</v>
      </c>
      <c r="EC27">
        <f>SUM('7'!BW193:BW197)</f>
        <v>0</v>
      </c>
      <c r="ED27">
        <f>SUM('7'!BX193:BX197)</f>
        <v>0</v>
      </c>
      <c r="EE27">
        <f>SUM('7'!BY193:BY197)</f>
        <v>0</v>
      </c>
      <c r="EF27">
        <f>SUM('7'!BZ193:BZ197)</f>
        <v>0</v>
      </c>
      <c r="EG27">
        <f>SUM('7'!CA193:CA197)</f>
        <v>0</v>
      </c>
      <c r="EH27">
        <f>SUM('7'!CB193:CB197)</f>
        <v>0</v>
      </c>
      <c r="EI27">
        <f>SUM('7'!CC193:CC197)</f>
        <v>0</v>
      </c>
      <c r="EJ27">
        <f>SUM('7'!CD193:CD197)</f>
        <v>0</v>
      </c>
      <c r="EK27">
        <f>SUM('7'!CE193:CE197)</f>
        <v>0</v>
      </c>
      <c r="EL27">
        <f>SUM('7'!CF193:CF197)</f>
        <v>0</v>
      </c>
      <c r="EM27">
        <f>SUM('7'!CG193:CG197)</f>
        <v>0</v>
      </c>
      <c r="EN27">
        <f>SUM('7'!CH193:CH197)</f>
        <v>0</v>
      </c>
      <c r="EO27">
        <f>SUM('7'!CI193:CI197)</f>
        <v>0</v>
      </c>
      <c r="EP27">
        <f>SUM('7'!CJ193:CJ197)</f>
        <v>0</v>
      </c>
      <c r="EQ27">
        <f>SUM('7'!CK193:CK197)</f>
        <v>0</v>
      </c>
      <c r="ER27">
        <f>SUM('7'!CL193:CL197)</f>
        <v>0</v>
      </c>
      <c r="ES27">
        <f>SUM('7'!CM193:CM197)</f>
        <v>0</v>
      </c>
      <c r="ET27">
        <f>SUM('7'!CN193:CN197)</f>
        <v>0</v>
      </c>
      <c r="EU27">
        <f>SUM('7'!CO193:CO197)</f>
        <v>0</v>
      </c>
      <c r="EV27">
        <f>SUM('7'!CP193:CP197)</f>
        <v>0</v>
      </c>
      <c r="EW27">
        <f>SUM('7'!CQ193:CQ197)</f>
        <v>0</v>
      </c>
      <c r="EX27">
        <f>SUM('7'!CR193:CR197)</f>
        <v>0</v>
      </c>
      <c r="EY27">
        <f>SUM('7'!CS193:CS197)</f>
        <v>0</v>
      </c>
      <c r="EZ27">
        <f>SUM('7'!CT193:CT197)</f>
        <v>0</v>
      </c>
      <c r="FA27">
        <f>SUM('7'!CU193:CU197)</f>
        <v>0</v>
      </c>
      <c r="FB27">
        <f>SUM('7'!CV193:CV197)</f>
        <v>0</v>
      </c>
      <c r="FC27">
        <f>SUM('7'!CW193:CW197)</f>
        <v>0</v>
      </c>
      <c r="FD27">
        <f>SUM('7'!CX193:CX197)</f>
        <v>0</v>
      </c>
      <c r="FE27">
        <f>SUM('7'!CY193:CY197)</f>
        <v>0</v>
      </c>
      <c r="FF27">
        <f>SUM('7'!CZ193:CZ197)</f>
        <v>0</v>
      </c>
      <c r="FG27">
        <f>SUM('7'!DA193:DA197)</f>
        <v>0</v>
      </c>
      <c r="FH27">
        <f>SUM('7'!DB193:DB197)</f>
        <v>0</v>
      </c>
      <c r="FI27">
        <f>SUM('7'!DC193:DC197)</f>
        <v>0</v>
      </c>
      <c r="FJ27">
        <f>SUM('7'!DD193:DD197)</f>
        <v>0</v>
      </c>
      <c r="FK27">
        <f>SUM('7'!DE193:DE197)</f>
        <v>0</v>
      </c>
      <c r="FL27">
        <f>SUM('7'!DF193:DF197)</f>
        <v>0</v>
      </c>
      <c r="FM27">
        <f>SUM('7'!DG193:DG197)</f>
        <v>0</v>
      </c>
      <c r="FN27" t="s">
        <v>2887</v>
      </c>
      <c r="FO27">
        <f t="shared" si="94"/>
        <v>0</v>
      </c>
      <c r="FP27" t="s">
        <v>2888</v>
      </c>
      <c r="FQ27">
        <f t="shared" si="0"/>
        <v>0</v>
      </c>
      <c r="FR27" t="s">
        <v>2889</v>
      </c>
      <c r="FS27">
        <f t="shared" si="1"/>
        <v>0</v>
      </c>
      <c r="FT27" t="s">
        <v>2890</v>
      </c>
      <c r="FU27">
        <f t="shared" si="2"/>
        <v>0</v>
      </c>
      <c r="FV27" t="s">
        <v>2891</v>
      </c>
      <c r="FW27">
        <f t="shared" si="3"/>
        <v>0</v>
      </c>
      <c r="FX27" t="s">
        <v>2892</v>
      </c>
      <c r="FY27">
        <f t="shared" si="4"/>
        <v>0</v>
      </c>
      <c r="FZ27" t="s">
        <v>2893</v>
      </c>
      <c r="GA27">
        <f t="shared" si="5"/>
        <v>0</v>
      </c>
      <c r="GB27" t="s">
        <v>2894</v>
      </c>
      <c r="GC27">
        <f t="shared" si="6"/>
        <v>0</v>
      </c>
      <c r="GD27" t="s">
        <v>2895</v>
      </c>
      <c r="GE27">
        <f t="shared" si="7"/>
        <v>0</v>
      </c>
      <c r="GF27" t="s">
        <v>2896</v>
      </c>
      <c r="GG27">
        <f t="shared" si="8"/>
        <v>0</v>
      </c>
      <c r="GH27" t="s">
        <v>2897</v>
      </c>
      <c r="GI27">
        <f t="shared" si="9"/>
        <v>0</v>
      </c>
      <c r="GJ27" t="s">
        <v>2898</v>
      </c>
      <c r="GK27">
        <f t="shared" si="10"/>
        <v>0</v>
      </c>
      <c r="GL27" t="s">
        <v>2899</v>
      </c>
      <c r="GM27">
        <f t="shared" si="11"/>
        <v>0</v>
      </c>
      <c r="GN27" t="s">
        <v>2900</v>
      </c>
      <c r="GO27">
        <f t="shared" si="95"/>
        <v>0</v>
      </c>
      <c r="GP27" t="s">
        <v>2901</v>
      </c>
      <c r="GQ27">
        <f t="shared" si="12"/>
        <v>0</v>
      </c>
      <c r="GR27" t="s">
        <v>2902</v>
      </c>
      <c r="GS27">
        <f t="shared" si="13"/>
        <v>0</v>
      </c>
      <c r="GT27" t="s">
        <v>2903</v>
      </c>
      <c r="GU27">
        <f t="shared" si="14"/>
        <v>0</v>
      </c>
      <c r="GV27" t="s">
        <v>2904</v>
      </c>
      <c r="GW27">
        <f t="shared" si="15"/>
        <v>0</v>
      </c>
      <c r="GX27" t="s">
        <v>2905</v>
      </c>
      <c r="GY27">
        <f t="shared" si="16"/>
        <v>0</v>
      </c>
      <c r="GZ27" t="s">
        <v>2906</v>
      </c>
      <c r="HA27">
        <f t="shared" si="17"/>
        <v>0</v>
      </c>
      <c r="HB27" t="s">
        <v>2907</v>
      </c>
      <c r="HC27">
        <f t="shared" si="18"/>
        <v>0</v>
      </c>
      <c r="HD27" t="s">
        <v>2908</v>
      </c>
      <c r="HE27">
        <f t="shared" si="19"/>
        <v>0</v>
      </c>
      <c r="HF27" t="s">
        <v>2909</v>
      </c>
      <c r="HG27">
        <f t="shared" si="20"/>
        <v>0</v>
      </c>
      <c r="HH27" t="s">
        <v>2910</v>
      </c>
      <c r="HI27">
        <f t="shared" si="21"/>
        <v>0</v>
      </c>
      <c r="HJ27" t="s">
        <v>2911</v>
      </c>
      <c r="HK27">
        <f t="shared" si="22"/>
        <v>0</v>
      </c>
      <c r="HL27" t="s">
        <v>2912</v>
      </c>
      <c r="HM27">
        <f t="shared" si="23"/>
        <v>0</v>
      </c>
      <c r="HN27" t="s">
        <v>2913</v>
      </c>
      <c r="HO27">
        <f t="shared" si="24"/>
        <v>0</v>
      </c>
      <c r="HP27" t="s">
        <v>2914</v>
      </c>
      <c r="HQ27">
        <f t="shared" si="25"/>
        <v>0</v>
      </c>
      <c r="HR27" t="s">
        <v>2915</v>
      </c>
      <c r="HS27">
        <f t="shared" si="26"/>
        <v>0</v>
      </c>
      <c r="HT27" t="s">
        <v>2916</v>
      </c>
      <c r="HU27">
        <f t="shared" si="27"/>
        <v>0</v>
      </c>
      <c r="HV27" t="s">
        <v>2917</v>
      </c>
      <c r="HW27">
        <f t="shared" si="28"/>
        <v>0</v>
      </c>
      <c r="HX27" t="s">
        <v>2918</v>
      </c>
      <c r="HY27">
        <f t="shared" si="29"/>
        <v>0</v>
      </c>
      <c r="HZ27" t="s">
        <v>2919</v>
      </c>
      <c r="IA27">
        <f t="shared" si="30"/>
        <v>0</v>
      </c>
      <c r="IB27" t="s">
        <v>2920</v>
      </c>
      <c r="IC27">
        <f t="shared" si="31"/>
        <v>0</v>
      </c>
      <c r="ID27" t="s">
        <v>2921</v>
      </c>
      <c r="IE27">
        <f t="shared" si="32"/>
        <v>0</v>
      </c>
      <c r="IF27" t="s">
        <v>2922</v>
      </c>
      <c r="IG27">
        <f t="shared" si="33"/>
        <v>0</v>
      </c>
      <c r="IH27" t="s">
        <v>2923</v>
      </c>
      <c r="II27">
        <f t="shared" si="34"/>
        <v>0</v>
      </c>
      <c r="IJ27" t="s">
        <v>2924</v>
      </c>
      <c r="IK27">
        <f t="shared" si="35"/>
        <v>0</v>
      </c>
      <c r="IL27" t="s">
        <v>2925</v>
      </c>
      <c r="IM27">
        <f t="shared" si="36"/>
        <v>0</v>
      </c>
      <c r="IN27" t="s">
        <v>2926</v>
      </c>
      <c r="IO27">
        <f t="shared" si="37"/>
        <v>0</v>
      </c>
      <c r="IP27" t="s">
        <v>2927</v>
      </c>
      <c r="IQ27">
        <f t="shared" si="38"/>
        <v>0</v>
      </c>
      <c r="IR27" t="s">
        <v>2928</v>
      </c>
      <c r="IS27">
        <f t="shared" si="39"/>
        <v>0</v>
      </c>
      <c r="IT27" t="s">
        <v>2929</v>
      </c>
      <c r="IU27">
        <f t="shared" si="40"/>
        <v>0</v>
      </c>
      <c r="IV27" t="s">
        <v>2930</v>
      </c>
      <c r="IW27">
        <f t="shared" si="41"/>
        <v>0</v>
      </c>
      <c r="IX27" t="s">
        <v>2931</v>
      </c>
      <c r="IY27">
        <f t="shared" si="42"/>
        <v>0</v>
      </c>
      <c r="IZ27" t="s">
        <v>2932</v>
      </c>
      <c r="JA27">
        <f t="shared" si="43"/>
        <v>0</v>
      </c>
      <c r="JB27" t="s">
        <v>2933</v>
      </c>
      <c r="JC27">
        <f t="shared" si="44"/>
        <v>0</v>
      </c>
      <c r="JD27" t="s">
        <v>2934</v>
      </c>
      <c r="JE27">
        <f t="shared" si="45"/>
        <v>0</v>
      </c>
      <c r="JF27" t="s">
        <v>2935</v>
      </c>
      <c r="JG27">
        <f t="shared" si="46"/>
        <v>0</v>
      </c>
      <c r="JH27" t="s">
        <v>2936</v>
      </c>
      <c r="JI27">
        <f t="shared" si="47"/>
        <v>0</v>
      </c>
      <c r="JJ27" t="s">
        <v>2937</v>
      </c>
      <c r="JK27">
        <f t="shared" si="48"/>
        <v>0</v>
      </c>
      <c r="JL27" t="s">
        <v>2938</v>
      </c>
      <c r="JM27">
        <f t="shared" si="49"/>
        <v>0</v>
      </c>
      <c r="JN27" t="s">
        <v>2939</v>
      </c>
      <c r="JO27">
        <f t="shared" si="50"/>
        <v>0</v>
      </c>
      <c r="JP27" t="s">
        <v>2940</v>
      </c>
      <c r="JQ27">
        <f t="shared" si="51"/>
        <v>0</v>
      </c>
      <c r="JR27" t="s">
        <v>2941</v>
      </c>
      <c r="JS27">
        <f t="shared" si="52"/>
        <v>0</v>
      </c>
      <c r="JT27" t="s">
        <v>2942</v>
      </c>
      <c r="JU27">
        <f t="shared" si="53"/>
        <v>0</v>
      </c>
      <c r="JV27" t="s">
        <v>2943</v>
      </c>
      <c r="JW27">
        <f t="shared" si="54"/>
        <v>0</v>
      </c>
      <c r="JX27" t="s">
        <v>2944</v>
      </c>
      <c r="JY27">
        <f t="shared" si="55"/>
        <v>0</v>
      </c>
      <c r="JZ27" t="s">
        <v>2945</v>
      </c>
      <c r="KA27">
        <f t="shared" si="56"/>
        <v>0</v>
      </c>
      <c r="KB27" t="s">
        <v>2946</v>
      </c>
      <c r="KC27">
        <f t="shared" si="57"/>
        <v>0</v>
      </c>
      <c r="KD27" t="s">
        <v>2947</v>
      </c>
      <c r="KE27">
        <f t="shared" si="58"/>
        <v>0</v>
      </c>
      <c r="KF27" t="s">
        <v>2948</v>
      </c>
      <c r="KG27">
        <f t="shared" si="59"/>
        <v>0</v>
      </c>
      <c r="KH27" t="s">
        <v>2949</v>
      </c>
      <c r="KI27">
        <f t="shared" si="60"/>
        <v>0</v>
      </c>
      <c r="KJ27" t="s">
        <v>2950</v>
      </c>
      <c r="KK27">
        <f t="shared" si="61"/>
        <v>0</v>
      </c>
      <c r="KL27" t="s">
        <v>2951</v>
      </c>
      <c r="KM27">
        <f t="shared" si="62"/>
        <v>0</v>
      </c>
      <c r="KN27" t="s">
        <v>2952</v>
      </c>
      <c r="KO27">
        <f t="shared" si="63"/>
        <v>0</v>
      </c>
      <c r="KP27" t="s">
        <v>2953</v>
      </c>
      <c r="KQ27">
        <f t="shared" si="64"/>
        <v>0</v>
      </c>
      <c r="KR27" t="s">
        <v>2954</v>
      </c>
      <c r="KS27">
        <f t="shared" si="65"/>
        <v>0</v>
      </c>
      <c r="KT27" t="s">
        <v>2955</v>
      </c>
      <c r="KU27">
        <f t="shared" si="66"/>
        <v>0</v>
      </c>
      <c r="KV27" t="s">
        <v>2956</v>
      </c>
      <c r="KW27">
        <f t="shared" si="67"/>
        <v>0</v>
      </c>
      <c r="KX27" t="s">
        <v>2957</v>
      </c>
      <c r="KY27">
        <f t="shared" si="68"/>
        <v>0</v>
      </c>
      <c r="KZ27" t="s">
        <v>2958</v>
      </c>
      <c r="LA27">
        <f t="shared" si="69"/>
        <v>0</v>
      </c>
      <c r="LB27" t="s">
        <v>2959</v>
      </c>
      <c r="LC27">
        <f t="shared" si="70"/>
        <v>0</v>
      </c>
      <c r="LD27" t="s">
        <v>2960</v>
      </c>
      <c r="LE27">
        <f t="shared" si="71"/>
        <v>0</v>
      </c>
      <c r="LF27" t="s">
        <v>2961</v>
      </c>
      <c r="LG27">
        <f t="shared" si="72"/>
        <v>0</v>
      </c>
      <c r="LH27" t="s">
        <v>2962</v>
      </c>
      <c r="LI27">
        <f t="shared" si="73"/>
        <v>0</v>
      </c>
      <c r="LJ27" t="s">
        <v>2963</v>
      </c>
      <c r="LK27">
        <f t="shared" si="74"/>
        <v>0</v>
      </c>
      <c r="LL27" t="s">
        <v>2964</v>
      </c>
      <c r="LM27">
        <f t="shared" si="75"/>
        <v>0</v>
      </c>
      <c r="LN27" t="s">
        <v>2965</v>
      </c>
      <c r="LO27">
        <f t="shared" si="76"/>
        <v>0</v>
      </c>
      <c r="LP27" t="s">
        <v>2966</v>
      </c>
      <c r="LQ27">
        <f t="shared" si="77"/>
        <v>0</v>
      </c>
      <c r="LR27" t="s">
        <v>2967</v>
      </c>
      <c r="LS27">
        <f t="shared" si="78"/>
        <v>0</v>
      </c>
      <c r="LT27" t="s">
        <v>2968</v>
      </c>
      <c r="LU27">
        <f t="shared" si="79"/>
        <v>0</v>
      </c>
      <c r="LV27" t="s">
        <v>2969</v>
      </c>
      <c r="LW27">
        <f t="shared" si="80"/>
        <v>0</v>
      </c>
      <c r="LX27" t="s">
        <v>2970</v>
      </c>
      <c r="LY27">
        <f t="shared" si="81"/>
        <v>0</v>
      </c>
      <c r="LZ27">
        <f>'6'!B100</f>
        <v>0</v>
      </c>
      <c r="MA27">
        <f>'6'!C100</f>
        <v>0</v>
      </c>
      <c r="MB27">
        <f>'6'!D100</f>
        <v>0</v>
      </c>
      <c r="MC27">
        <f>'6'!E100</f>
        <v>0</v>
      </c>
      <c r="MD27">
        <f>'6'!F100</f>
        <v>0</v>
      </c>
      <c r="ME27">
        <f>'6'!G100</f>
        <v>0</v>
      </c>
      <c r="MF27">
        <f>'6'!H100</f>
        <v>0</v>
      </c>
      <c r="MG27">
        <f>'6'!I100</f>
        <v>0</v>
      </c>
      <c r="MH27">
        <f>'6'!J100</f>
        <v>0</v>
      </c>
      <c r="MI27">
        <f>'6'!K100</f>
        <v>0</v>
      </c>
      <c r="MJ27">
        <f>'6'!L100</f>
        <v>0</v>
      </c>
      <c r="MK27">
        <f>'6'!M100</f>
        <v>0</v>
      </c>
      <c r="ML27" s="13">
        <f>'7'!B191</f>
        <v>0</v>
      </c>
      <c r="MM27" s="13">
        <f>'7'!C191</f>
        <v>0</v>
      </c>
      <c r="MN27" s="13">
        <f>'7'!D191</f>
        <v>0</v>
      </c>
      <c r="MO27" s="13">
        <f>'7'!E191</f>
        <v>0</v>
      </c>
      <c r="MP27" s="13">
        <f>'7'!F191</f>
        <v>0</v>
      </c>
      <c r="MQ27" s="13">
        <f>'7'!G191</f>
        <v>0</v>
      </c>
      <c r="MR27" s="13">
        <f>'7'!H191</f>
        <v>0</v>
      </c>
      <c r="MS27" s="13">
        <f>'7'!I191</f>
        <v>0</v>
      </c>
      <c r="MT27" s="13">
        <f>'7'!J191</f>
        <v>0</v>
      </c>
      <c r="MU27" s="13">
        <f>'7'!K191</f>
        <v>0</v>
      </c>
      <c r="MV27" s="13">
        <f>'7'!L191</f>
        <v>0</v>
      </c>
      <c r="MW27" s="13">
        <f>'7'!M191</f>
        <v>0</v>
      </c>
      <c r="MX27" s="13" t="s">
        <v>2971</v>
      </c>
      <c r="MY27">
        <f t="shared" si="82"/>
        <v>0</v>
      </c>
      <c r="MZ27" s="13" t="s">
        <v>2972</v>
      </c>
      <c r="NA27">
        <f t="shared" si="83"/>
        <v>0</v>
      </c>
      <c r="NB27" s="13" t="s">
        <v>2973</v>
      </c>
      <c r="NC27">
        <f t="shared" si="84"/>
        <v>0</v>
      </c>
      <c r="ND27" s="13" t="s">
        <v>2974</v>
      </c>
      <c r="NE27">
        <f t="shared" si="85"/>
        <v>0</v>
      </c>
      <c r="NF27" s="13" t="s">
        <v>2975</v>
      </c>
      <c r="NG27">
        <f t="shared" si="86"/>
        <v>0</v>
      </c>
      <c r="NH27" s="13" t="s">
        <v>2976</v>
      </c>
      <c r="NI27">
        <f t="shared" si="87"/>
        <v>0</v>
      </c>
      <c r="NJ27" s="13" t="s">
        <v>2977</v>
      </c>
      <c r="NK27">
        <f t="shared" si="88"/>
        <v>0</v>
      </c>
      <c r="NL27" s="13" t="s">
        <v>2978</v>
      </c>
      <c r="NM27">
        <f t="shared" si="89"/>
        <v>0</v>
      </c>
      <c r="NN27" s="13" t="s">
        <v>2979</v>
      </c>
      <c r="NO27">
        <f t="shared" si="90"/>
        <v>0</v>
      </c>
      <c r="NP27" s="13" t="s">
        <v>2980</v>
      </c>
      <c r="NQ27">
        <f t="shared" si="91"/>
        <v>0</v>
      </c>
      <c r="NR27" s="13" t="s">
        <v>2981</v>
      </c>
      <c r="NS27">
        <f t="shared" si="92"/>
        <v>0</v>
      </c>
      <c r="NT27" s="13" t="s">
        <v>2982</v>
      </c>
      <c r="NU27">
        <f t="shared" si="93"/>
        <v>0</v>
      </c>
      <c r="NV27" s="13"/>
    </row>
    <row r="28" spans="1:386" customFormat="1" x14ac:dyDescent="0.25">
      <c r="A28">
        <v>25</v>
      </c>
      <c r="B28">
        <f>'6'!AB103</f>
        <v>0</v>
      </c>
      <c r="C28">
        <f>'6'!AC103</f>
        <v>0</v>
      </c>
      <c r="D28">
        <f>'6'!AD103</f>
        <v>0</v>
      </c>
      <c r="E28">
        <f>'6'!AE103</f>
        <v>0</v>
      </c>
      <c r="F28">
        <f>'6'!AF103</f>
        <v>0</v>
      </c>
      <c r="G28">
        <f>'6'!AG103</f>
        <v>0</v>
      </c>
      <c r="H28">
        <f>'6'!AH103</f>
        <v>0</v>
      </c>
      <c r="I28">
        <f>'6'!AI103</f>
        <v>0</v>
      </c>
      <c r="J28">
        <f>'6'!AJ103</f>
        <v>0</v>
      </c>
      <c r="K28">
        <f>'6'!AK103</f>
        <v>0</v>
      </c>
      <c r="L28">
        <f>'6'!AL103</f>
        <v>0</v>
      </c>
      <c r="M28">
        <f>'6'!AM103</f>
        <v>0</v>
      </c>
      <c r="N28">
        <f>'6'!AN103</f>
        <v>0</v>
      </c>
      <c r="O28">
        <f>'6'!AO103</f>
        <v>0</v>
      </c>
      <c r="P28">
        <f>'6'!AP103</f>
        <v>0</v>
      </c>
      <c r="Q28">
        <f>'6'!AQ103</f>
        <v>0</v>
      </c>
      <c r="R28">
        <f>'6'!AR103</f>
        <v>0</v>
      </c>
      <c r="S28">
        <f>'6'!AS103</f>
        <v>0</v>
      </c>
      <c r="T28">
        <f>'6'!AT103</f>
        <v>0</v>
      </c>
      <c r="U28">
        <f>'6'!AU103</f>
        <v>0</v>
      </c>
      <c r="V28">
        <f>'6'!AV103</f>
        <v>0</v>
      </c>
      <c r="W28">
        <f>'6'!AW103</f>
        <v>0</v>
      </c>
      <c r="X28">
        <f>'6'!AX103</f>
        <v>0</v>
      </c>
      <c r="Y28">
        <f>'6'!AY103</f>
        <v>0</v>
      </c>
      <c r="Z28">
        <f>'6'!AZ103</f>
        <v>0</v>
      </c>
      <c r="AA28">
        <f>'6'!BA103</f>
        <v>0</v>
      </c>
      <c r="AB28">
        <f>'6'!BB103</f>
        <v>0</v>
      </c>
      <c r="AC28">
        <f>'6'!BC103</f>
        <v>0</v>
      </c>
      <c r="AD28">
        <f>'6'!BD103</f>
        <v>0</v>
      </c>
      <c r="AE28">
        <f>'6'!BE103</f>
        <v>0</v>
      </c>
      <c r="AF28">
        <f>'6'!BF103</f>
        <v>0</v>
      </c>
      <c r="AG28">
        <f>'6'!BG103</f>
        <v>0</v>
      </c>
      <c r="AH28">
        <f>'6'!BH103</f>
        <v>0</v>
      </c>
      <c r="AI28">
        <f>'6'!BI103</f>
        <v>0</v>
      </c>
      <c r="AJ28">
        <f>'6'!BJ103</f>
        <v>0</v>
      </c>
      <c r="AK28">
        <f>'6'!BK103</f>
        <v>0</v>
      </c>
      <c r="AL28">
        <f>'6'!BL103</f>
        <v>0</v>
      </c>
      <c r="AM28">
        <f>'6'!BM103</f>
        <v>0</v>
      </c>
      <c r="AN28">
        <f>'6'!BN103</f>
        <v>0</v>
      </c>
      <c r="AO28">
        <f>'6'!BO103</f>
        <v>0</v>
      </c>
      <c r="AP28">
        <f>'6'!BP103</f>
        <v>0</v>
      </c>
      <c r="AQ28">
        <f>'6'!BQ103</f>
        <v>0</v>
      </c>
      <c r="AR28">
        <f>'6'!BR103</f>
        <v>0</v>
      </c>
      <c r="AS28">
        <f>'6'!BS103</f>
        <v>0</v>
      </c>
      <c r="AT28">
        <f>'6'!BT103</f>
        <v>0</v>
      </c>
      <c r="AU28">
        <f>'6'!BU103</f>
        <v>0</v>
      </c>
      <c r="AV28">
        <f>'6'!BV103</f>
        <v>0</v>
      </c>
      <c r="AW28">
        <f>'6'!BW103</f>
        <v>0</v>
      </c>
      <c r="AX28">
        <f>'6'!BX103</f>
        <v>0</v>
      </c>
      <c r="AY28">
        <f>'6'!BY103</f>
        <v>0</v>
      </c>
      <c r="AZ28">
        <f>'6'!BZ103</f>
        <v>0</v>
      </c>
      <c r="BA28">
        <f>'6'!CA103</f>
        <v>0</v>
      </c>
      <c r="BB28">
        <f>'6'!CB103</f>
        <v>0</v>
      </c>
      <c r="BC28">
        <f>'6'!CC103</f>
        <v>0</v>
      </c>
      <c r="BD28">
        <f>'6'!CD103</f>
        <v>0</v>
      </c>
      <c r="BE28">
        <f>'6'!CE103</f>
        <v>0</v>
      </c>
      <c r="BF28">
        <f>'6'!CF103</f>
        <v>0</v>
      </c>
      <c r="BG28">
        <f>'6'!CG103</f>
        <v>0</v>
      </c>
      <c r="BH28">
        <f>'6'!CH103</f>
        <v>0</v>
      </c>
      <c r="BI28">
        <f>'6'!CI103</f>
        <v>0</v>
      </c>
      <c r="BJ28">
        <f>'6'!CJ103</f>
        <v>0</v>
      </c>
      <c r="BK28">
        <f>'6'!CK103</f>
        <v>0</v>
      </c>
      <c r="BL28">
        <f>'6'!CL103</f>
        <v>0</v>
      </c>
      <c r="BM28">
        <f>'6'!CM103</f>
        <v>0</v>
      </c>
      <c r="BN28">
        <f>'6'!CN103</f>
        <v>0</v>
      </c>
      <c r="BO28">
        <f>'6'!CO103</f>
        <v>0</v>
      </c>
      <c r="BP28">
        <f>'6'!CP103</f>
        <v>0</v>
      </c>
      <c r="BQ28">
        <f>'6'!CQ103</f>
        <v>0</v>
      </c>
      <c r="BR28">
        <f>'6'!CR103</f>
        <v>0</v>
      </c>
      <c r="BS28">
        <f>'6'!CS103</f>
        <v>0</v>
      </c>
      <c r="BT28">
        <f>'6'!CT103</f>
        <v>0</v>
      </c>
      <c r="BU28">
        <f>'6'!CU103</f>
        <v>0</v>
      </c>
      <c r="BV28">
        <f>'6'!CV103</f>
        <v>0</v>
      </c>
      <c r="BW28">
        <f>'6'!CW103</f>
        <v>0</v>
      </c>
      <c r="BX28">
        <f>'6'!CX103</f>
        <v>0</v>
      </c>
      <c r="BY28">
        <f>'6'!CY103</f>
        <v>0</v>
      </c>
      <c r="BZ28">
        <f>'6'!CZ103</f>
        <v>0</v>
      </c>
      <c r="CA28">
        <f>'6'!DA103</f>
        <v>0</v>
      </c>
      <c r="CB28">
        <f>'6'!DB103</f>
        <v>0</v>
      </c>
      <c r="CC28">
        <f>'6'!DC103</f>
        <v>0</v>
      </c>
      <c r="CD28">
        <f>'6'!DD103</f>
        <v>0</v>
      </c>
      <c r="CE28">
        <f>'6'!DE103</f>
        <v>0</v>
      </c>
      <c r="CF28">
        <f>'6'!DF103</f>
        <v>0</v>
      </c>
      <c r="CG28">
        <f>'6'!DG103</f>
        <v>0</v>
      </c>
      <c r="CH28">
        <f>SUM('7'!AB201:AB205)</f>
        <v>0</v>
      </c>
      <c r="CI28">
        <f>SUM('7'!AC201:AC205)</f>
        <v>0</v>
      </c>
      <c r="CJ28">
        <f>SUM('7'!AD201:AD205)</f>
        <v>0</v>
      </c>
      <c r="CK28">
        <f>SUM('7'!AE201:AE205)</f>
        <v>0</v>
      </c>
      <c r="CL28">
        <f>SUM('7'!AF201:AF205)</f>
        <v>0</v>
      </c>
      <c r="CM28">
        <f>SUM('7'!AG201:AG205)</f>
        <v>0</v>
      </c>
      <c r="CN28">
        <f>SUM('7'!AH201:AH205)</f>
        <v>0</v>
      </c>
      <c r="CO28">
        <f>SUM('7'!AI201:AI205)</f>
        <v>0</v>
      </c>
      <c r="CP28">
        <f>SUM('7'!AJ201:AJ205)</f>
        <v>0</v>
      </c>
      <c r="CQ28">
        <f>SUM('7'!AK201:AK205)</f>
        <v>0</v>
      </c>
      <c r="CR28">
        <f>SUM('7'!AL201:AL205)</f>
        <v>0</v>
      </c>
      <c r="CS28">
        <f>SUM('7'!AM201:AM205)</f>
        <v>0</v>
      </c>
      <c r="CT28">
        <f>SUM('7'!AN201:AN205)</f>
        <v>0</v>
      </c>
      <c r="CU28">
        <f>SUM('7'!AO201:AO205)</f>
        <v>0</v>
      </c>
      <c r="CV28">
        <f>SUM('7'!AP201:AP205)</f>
        <v>0</v>
      </c>
      <c r="CW28">
        <f>SUM('7'!AQ201:AQ205)</f>
        <v>0</v>
      </c>
      <c r="CX28">
        <f>SUM('7'!AR201:AR205)</f>
        <v>0</v>
      </c>
      <c r="CY28">
        <f>SUM('7'!AS201:AS205)</f>
        <v>0</v>
      </c>
      <c r="CZ28">
        <f>SUM('7'!AT201:AT205)</f>
        <v>0</v>
      </c>
      <c r="DA28">
        <f>SUM('7'!AU201:AU205)</f>
        <v>0</v>
      </c>
      <c r="DB28">
        <f>SUM('7'!AV201:AV205)</f>
        <v>0</v>
      </c>
      <c r="DC28">
        <f>SUM('7'!AW201:AW205)</f>
        <v>0</v>
      </c>
      <c r="DD28">
        <f>SUM('7'!AX201:AX205)</f>
        <v>0</v>
      </c>
      <c r="DE28">
        <f>SUM('7'!AY201:AY205)</f>
        <v>0</v>
      </c>
      <c r="DF28">
        <f>SUM('7'!AZ201:AZ205)</f>
        <v>0</v>
      </c>
      <c r="DG28">
        <f>SUM('7'!BA201:BA205)</f>
        <v>0</v>
      </c>
      <c r="DH28">
        <f>SUM('7'!BB201:BB205)</f>
        <v>0</v>
      </c>
      <c r="DI28">
        <f>SUM('7'!BC201:BC205)</f>
        <v>0</v>
      </c>
      <c r="DJ28">
        <f>SUM('7'!BD201:BD205)</f>
        <v>0</v>
      </c>
      <c r="DK28">
        <f>SUM('7'!BE201:BE205)</f>
        <v>0</v>
      </c>
      <c r="DL28">
        <f>SUM('7'!BF201:BF205)</f>
        <v>0</v>
      </c>
      <c r="DM28">
        <f>SUM('7'!BG201:BG205)</f>
        <v>0</v>
      </c>
      <c r="DN28">
        <f>SUM('7'!BH201:BH205)</f>
        <v>0</v>
      </c>
      <c r="DO28">
        <f>SUM('7'!BI201:BI205)</f>
        <v>0</v>
      </c>
      <c r="DP28">
        <f>SUM('7'!BJ201:BJ205)</f>
        <v>0</v>
      </c>
      <c r="DQ28">
        <f>SUM('7'!BK201:BK205)</f>
        <v>0</v>
      </c>
      <c r="DR28">
        <f>SUM('7'!BL201:BL205)</f>
        <v>0</v>
      </c>
      <c r="DS28">
        <f>SUM('7'!BM201:BM205)</f>
        <v>0</v>
      </c>
      <c r="DT28">
        <f>SUM('7'!BN201:BN205)</f>
        <v>0</v>
      </c>
      <c r="DU28">
        <f>SUM('7'!BO201:BO205)</f>
        <v>0</v>
      </c>
      <c r="DV28">
        <f>SUM('7'!BP201:BP205)</f>
        <v>0</v>
      </c>
      <c r="DW28">
        <f>SUM('7'!BQ201:BQ205)</f>
        <v>0</v>
      </c>
      <c r="DX28">
        <f>SUM('7'!BR201:BR205)</f>
        <v>0</v>
      </c>
      <c r="DY28">
        <f>SUM('7'!BS201:BS205)</f>
        <v>0</v>
      </c>
      <c r="DZ28">
        <f>SUM('7'!BT201:BT205)</f>
        <v>0</v>
      </c>
      <c r="EA28">
        <f>SUM('7'!BU201:BU205)</f>
        <v>0</v>
      </c>
      <c r="EB28">
        <f>SUM('7'!BV201:BV205)</f>
        <v>0</v>
      </c>
      <c r="EC28">
        <f>SUM('7'!BW201:BW205)</f>
        <v>0</v>
      </c>
      <c r="ED28">
        <f>SUM('7'!BX201:BX205)</f>
        <v>0</v>
      </c>
      <c r="EE28">
        <f>SUM('7'!BY201:BY205)</f>
        <v>0</v>
      </c>
      <c r="EF28">
        <f>SUM('7'!BZ201:BZ205)</f>
        <v>0</v>
      </c>
      <c r="EG28">
        <f>SUM('7'!CA201:CA205)</f>
        <v>0</v>
      </c>
      <c r="EH28">
        <f>SUM('7'!CB201:CB205)</f>
        <v>0</v>
      </c>
      <c r="EI28">
        <f>SUM('7'!CC201:CC205)</f>
        <v>0</v>
      </c>
      <c r="EJ28">
        <f>SUM('7'!CD201:CD205)</f>
        <v>0</v>
      </c>
      <c r="EK28">
        <f>SUM('7'!CE201:CE205)</f>
        <v>0</v>
      </c>
      <c r="EL28">
        <f>SUM('7'!CF201:CF205)</f>
        <v>0</v>
      </c>
      <c r="EM28">
        <f>SUM('7'!CG201:CG205)</f>
        <v>0</v>
      </c>
      <c r="EN28">
        <f>SUM('7'!CH201:CH205)</f>
        <v>0</v>
      </c>
      <c r="EO28">
        <f>SUM('7'!CI201:CI205)</f>
        <v>0</v>
      </c>
      <c r="EP28">
        <f>SUM('7'!CJ201:CJ205)</f>
        <v>0</v>
      </c>
      <c r="EQ28">
        <f>SUM('7'!CK201:CK205)</f>
        <v>0</v>
      </c>
      <c r="ER28">
        <f>SUM('7'!CL201:CL205)</f>
        <v>0</v>
      </c>
      <c r="ES28">
        <f>SUM('7'!CM201:CM205)</f>
        <v>0</v>
      </c>
      <c r="ET28">
        <f>SUM('7'!CN201:CN205)</f>
        <v>0</v>
      </c>
      <c r="EU28">
        <f>SUM('7'!CO201:CO205)</f>
        <v>0</v>
      </c>
      <c r="EV28">
        <f>SUM('7'!CP201:CP205)</f>
        <v>0</v>
      </c>
      <c r="EW28">
        <f>SUM('7'!CQ201:CQ205)</f>
        <v>0</v>
      </c>
      <c r="EX28">
        <f>SUM('7'!CR201:CR205)</f>
        <v>0</v>
      </c>
      <c r="EY28">
        <f>SUM('7'!CS201:CS205)</f>
        <v>0</v>
      </c>
      <c r="EZ28">
        <f>SUM('7'!CT201:CT205)</f>
        <v>0</v>
      </c>
      <c r="FA28">
        <f>SUM('7'!CU201:CU205)</f>
        <v>0</v>
      </c>
      <c r="FB28">
        <f>SUM('7'!CV201:CV205)</f>
        <v>0</v>
      </c>
      <c r="FC28">
        <f>SUM('7'!CW201:CW205)</f>
        <v>0</v>
      </c>
      <c r="FD28">
        <f>SUM('7'!CX201:CX205)</f>
        <v>0</v>
      </c>
      <c r="FE28">
        <f>SUM('7'!CY201:CY205)</f>
        <v>0</v>
      </c>
      <c r="FF28">
        <f>SUM('7'!CZ201:CZ205)</f>
        <v>0</v>
      </c>
      <c r="FG28">
        <f>SUM('7'!DA201:DA205)</f>
        <v>0</v>
      </c>
      <c r="FH28">
        <f>SUM('7'!DB201:DB205)</f>
        <v>0</v>
      </c>
      <c r="FI28">
        <f>SUM('7'!DC201:DC205)</f>
        <v>0</v>
      </c>
      <c r="FJ28">
        <f>SUM('7'!DD201:DD205)</f>
        <v>0</v>
      </c>
      <c r="FK28">
        <f>SUM('7'!DE201:DE205)</f>
        <v>0</v>
      </c>
      <c r="FL28">
        <f>SUM('7'!DF201:DF205)</f>
        <v>0</v>
      </c>
      <c r="FM28">
        <f>SUM('7'!DG201:DG205)</f>
        <v>0</v>
      </c>
      <c r="FN28" t="s">
        <v>2983</v>
      </c>
      <c r="FO28">
        <f t="shared" si="94"/>
        <v>0</v>
      </c>
      <c r="FP28" t="s">
        <v>2984</v>
      </c>
      <c r="FQ28">
        <f t="shared" si="0"/>
        <v>0</v>
      </c>
      <c r="FR28" t="s">
        <v>2985</v>
      </c>
      <c r="FS28">
        <f t="shared" si="1"/>
        <v>0</v>
      </c>
      <c r="FT28" t="s">
        <v>2986</v>
      </c>
      <c r="FU28">
        <f t="shared" si="2"/>
        <v>0</v>
      </c>
      <c r="FV28" t="s">
        <v>2987</v>
      </c>
      <c r="FW28">
        <f t="shared" si="3"/>
        <v>0</v>
      </c>
      <c r="FX28" t="s">
        <v>2988</v>
      </c>
      <c r="FY28">
        <f t="shared" si="4"/>
        <v>0</v>
      </c>
      <c r="FZ28" t="s">
        <v>2989</v>
      </c>
      <c r="GA28">
        <f t="shared" si="5"/>
        <v>0</v>
      </c>
      <c r="GB28" t="s">
        <v>2990</v>
      </c>
      <c r="GC28">
        <f t="shared" si="6"/>
        <v>0</v>
      </c>
      <c r="GD28" t="s">
        <v>2991</v>
      </c>
      <c r="GE28">
        <f t="shared" si="7"/>
        <v>0</v>
      </c>
      <c r="GF28" t="s">
        <v>2992</v>
      </c>
      <c r="GG28">
        <f t="shared" si="8"/>
        <v>0</v>
      </c>
      <c r="GH28" t="s">
        <v>2993</v>
      </c>
      <c r="GI28">
        <f t="shared" si="9"/>
        <v>0</v>
      </c>
      <c r="GJ28" t="s">
        <v>2994</v>
      </c>
      <c r="GK28">
        <f t="shared" si="10"/>
        <v>0</v>
      </c>
      <c r="GL28" t="s">
        <v>2995</v>
      </c>
      <c r="GM28">
        <f t="shared" si="11"/>
        <v>0</v>
      </c>
      <c r="GN28" t="s">
        <v>2996</v>
      </c>
      <c r="GO28">
        <f t="shared" si="95"/>
        <v>0</v>
      </c>
      <c r="GP28" t="s">
        <v>2997</v>
      </c>
      <c r="GQ28">
        <f t="shared" si="12"/>
        <v>0</v>
      </c>
      <c r="GR28" t="s">
        <v>2998</v>
      </c>
      <c r="GS28">
        <f t="shared" si="13"/>
        <v>0</v>
      </c>
      <c r="GT28" t="s">
        <v>2999</v>
      </c>
      <c r="GU28">
        <f t="shared" si="14"/>
        <v>0</v>
      </c>
      <c r="GV28" t="s">
        <v>3000</v>
      </c>
      <c r="GW28">
        <f t="shared" si="15"/>
        <v>0</v>
      </c>
      <c r="GX28" t="s">
        <v>3001</v>
      </c>
      <c r="GY28">
        <f t="shared" si="16"/>
        <v>0</v>
      </c>
      <c r="GZ28" t="s">
        <v>3002</v>
      </c>
      <c r="HA28">
        <f t="shared" si="17"/>
        <v>0</v>
      </c>
      <c r="HB28" t="s">
        <v>3003</v>
      </c>
      <c r="HC28">
        <f t="shared" si="18"/>
        <v>0</v>
      </c>
      <c r="HD28" t="s">
        <v>3004</v>
      </c>
      <c r="HE28">
        <f t="shared" si="19"/>
        <v>0</v>
      </c>
      <c r="HF28" t="s">
        <v>3005</v>
      </c>
      <c r="HG28">
        <f t="shared" si="20"/>
        <v>0</v>
      </c>
      <c r="HH28" t="s">
        <v>3006</v>
      </c>
      <c r="HI28">
        <f t="shared" si="21"/>
        <v>0</v>
      </c>
      <c r="HJ28" t="s">
        <v>3007</v>
      </c>
      <c r="HK28">
        <f t="shared" si="22"/>
        <v>0</v>
      </c>
      <c r="HL28" t="s">
        <v>3008</v>
      </c>
      <c r="HM28">
        <f t="shared" si="23"/>
        <v>0</v>
      </c>
      <c r="HN28" t="s">
        <v>3009</v>
      </c>
      <c r="HO28">
        <f t="shared" si="24"/>
        <v>0</v>
      </c>
      <c r="HP28" t="s">
        <v>3010</v>
      </c>
      <c r="HQ28">
        <f t="shared" si="25"/>
        <v>0</v>
      </c>
      <c r="HR28" t="s">
        <v>3011</v>
      </c>
      <c r="HS28">
        <f t="shared" si="26"/>
        <v>0</v>
      </c>
      <c r="HT28" t="s">
        <v>3012</v>
      </c>
      <c r="HU28">
        <f t="shared" si="27"/>
        <v>0</v>
      </c>
      <c r="HV28" t="s">
        <v>3013</v>
      </c>
      <c r="HW28">
        <f t="shared" si="28"/>
        <v>0</v>
      </c>
      <c r="HX28" t="s">
        <v>3014</v>
      </c>
      <c r="HY28">
        <f t="shared" si="29"/>
        <v>0</v>
      </c>
      <c r="HZ28" t="s">
        <v>3015</v>
      </c>
      <c r="IA28">
        <f t="shared" si="30"/>
        <v>0</v>
      </c>
      <c r="IB28" t="s">
        <v>3016</v>
      </c>
      <c r="IC28">
        <f t="shared" si="31"/>
        <v>0</v>
      </c>
      <c r="ID28" t="s">
        <v>3017</v>
      </c>
      <c r="IE28">
        <f t="shared" si="32"/>
        <v>0</v>
      </c>
      <c r="IF28" t="s">
        <v>3018</v>
      </c>
      <c r="IG28">
        <f t="shared" si="33"/>
        <v>0</v>
      </c>
      <c r="IH28" t="s">
        <v>3019</v>
      </c>
      <c r="II28">
        <f t="shared" si="34"/>
        <v>0</v>
      </c>
      <c r="IJ28" t="s">
        <v>3020</v>
      </c>
      <c r="IK28">
        <f t="shared" si="35"/>
        <v>0</v>
      </c>
      <c r="IL28" t="s">
        <v>3021</v>
      </c>
      <c r="IM28">
        <f t="shared" si="36"/>
        <v>0</v>
      </c>
      <c r="IN28" t="s">
        <v>3022</v>
      </c>
      <c r="IO28">
        <f t="shared" si="37"/>
        <v>0</v>
      </c>
      <c r="IP28" t="s">
        <v>3023</v>
      </c>
      <c r="IQ28">
        <f t="shared" si="38"/>
        <v>0</v>
      </c>
      <c r="IR28" t="s">
        <v>3024</v>
      </c>
      <c r="IS28">
        <f t="shared" si="39"/>
        <v>0</v>
      </c>
      <c r="IT28" t="s">
        <v>3025</v>
      </c>
      <c r="IU28">
        <f t="shared" si="40"/>
        <v>0</v>
      </c>
      <c r="IV28" t="s">
        <v>3026</v>
      </c>
      <c r="IW28">
        <f t="shared" si="41"/>
        <v>0</v>
      </c>
      <c r="IX28" t="s">
        <v>3027</v>
      </c>
      <c r="IY28">
        <f t="shared" si="42"/>
        <v>0</v>
      </c>
      <c r="IZ28" t="s">
        <v>3028</v>
      </c>
      <c r="JA28">
        <f t="shared" si="43"/>
        <v>0</v>
      </c>
      <c r="JB28" t="s">
        <v>3029</v>
      </c>
      <c r="JC28">
        <f t="shared" si="44"/>
        <v>0</v>
      </c>
      <c r="JD28" t="s">
        <v>3030</v>
      </c>
      <c r="JE28">
        <f t="shared" si="45"/>
        <v>0</v>
      </c>
      <c r="JF28" t="s">
        <v>3031</v>
      </c>
      <c r="JG28">
        <f t="shared" si="46"/>
        <v>0</v>
      </c>
      <c r="JH28" t="s">
        <v>3032</v>
      </c>
      <c r="JI28">
        <f t="shared" si="47"/>
        <v>0</v>
      </c>
      <c r="JJ28" t="s">
        <v>3033</v>
      </c>
      <c r="JK28">
        <f t="shared" si="48"/>
        <v>0</v>
      </c>
      <c r="JL28" t="s">
        <v>3034</v>
      </c>
      <c r="JM28">
        <f t="shared" si="49"/>
        <v>0</v>
      </c>
      <c r="JN28" t="s">
        <v>3035</v>
      </c>
      <c r="JO28">
        <f t="shared" si="50"/>
        <v>0</v>
      </c>
      <c r="JP28" t="s">
        <v>3036</v>
      </c>
      <c r="JQ28">
        <f t="shared" si="51"/>
        <v>0</v>
      </c>
      <c r="JR28" t="s">
        <v>3037</v>
      </c>
      <c r="JS28">
        <f t="shared" si="52"/>
        <v>0</v>
      </c>
      <c r="JT28" t="s">
        <v>3038</v>
      </c>
      <c r="JU28">
        <f t="shared" si="53"/>
        <v>0</v>
      </c>
      <c r="JV28" t="s">
        <v>3039</v>
      </c>
      <c r="JW28">
        <f t="shared" si="54"/>
        <v>0</v>
      </c>
      <c r="JX28" t="s">
        <v>3040</v>
      </c>
      <c r="JY28">
        <f t="shared" si="55"/>
        <v>0</v>
      </c>
      <c r="JZ28" t="s">
        <v>3041</v>
      </c>
      <c r="KA28">
        <f t="shared" si="56"/>
        <v>0</v>
      </c>
      <c r="KB28" t="s">
        <v>3042</v>
      </c>
      <c r="KC28">
        <f t="shared" si="57"/>
        <v>0</v>
      </c>
      <c r="KD28" t="s">
        <v>3043</v>
      </c>
      <c r="KE28">
        <f t="shared" si="58"/>
        <v>0</v>
      </c>
      <c r="KF28" t="s">
        <v>3044</v>
      </c>
      <c r="KG28">
        <f t="shared" si="59"/>
        <v>0</v>
      </c>
      <c r="KH28" t="s">
        <v>3045</v>
      </c>
      <c r="KI28">
        <f t="shared" si="60"/>
        <v>0</v>
      </c>
      <c r="KJ28" t="s">
        <v>3046</v>
      </c>
      <c r="KK28">
        <f t="shared" si="61"/>
        <v>0</v>
      </c>
      <c r="KL28" t="s">
        <v>3047</v>
      </c>
      <c r="KM28">
        <f t="shared" si="62"/>
        <v>0</v>
      </c>
      <c r="KN28" t="s">
        <v>3048</v>
      </c>
      <c r="KO28">
        <f t="shared" si="63"/>
        <v>0</v>
      </c>
      <c r="KP28" t="s">
        <v>3049</v>
      </c>
      <c r="KQ28">
        <f t="shared" si="64"/>
        <v>0</v>
      </c>
      <c r="KR28" t="s">
        <v>3050</v>
      </c>
      <c r="KS28">
        <f t="shared" si="65"/>
        <v>0</v>
      </c>
      <c r="KT28" t="s">
        <v>3051</v>
      </c>
      <c r="KU28">
        <f t="shared" si="66"/>
        <v>0</v>
      </c>
      <c r="KV28" t="s">
        <v>3052</v>
      </c>
      <c r="KW28">
        <f t="shared" si="67"/>
        <v>0</v>
      </c>
      <c r="KX28" t="s">
        <v>3053</v>
      </c>
      <c r="KY28">
        <f t="shared" si="68"/>
        <v>0</v>
      </c>
      <c r="KZ28" t="s">
        <v>3054</v>
      </c>
      <c r="LA28">
        <f t="shared" si="69"/>
        <v>0</v>
      </c>
      <c r="LB28" t="s">
        <v>3055</v>
      </c>
      <c r="LC28">
        <f t="shared" si="70"/>
        <v>0</v>
      </c>
      <c r="LD28" t="s">
        <v>3056</v>
      </c>
      <c r="LE28">
        <f t="shared" si="71"/>
        <v>0</v>
      </c>
      <c r="LF28" t="s">
        <v>3057</v>
      </c>
      <c r="LG28">
        <f t="shared" si="72"/>
        <v>0</v>
      </c>
      <c r="LH28" t="s">
        <v>3058</v>
      </c>
      <c r="LI28">
        <f t="shared" si="73"/>
        <v>0</v>
      </c>
      <c r="LJ28" t="s">
        <v>3059</v>
      </c>
      <c r="LK28">
        <f t="shared" si="74"/>
        <v>0</v>
      </c>
      <c r="LL28" t="s">
        <v>3060</v>
      </c>
      <c r="LM28">
        <f t="shared" si="75"/>
        <v>0</v>
      </c>
      <c r="LN28" t="s">
        <v>3061</v>
      </c>
      <c r="LO28">
        <f t="shared" si="76"/>
        <v>0</v>
      </c>
      <c r="LP28" t="s">
        <v>3062</v>
      </c>
      <c r="LQ28">
        <f t="shared" si="77"/>
        <v>0</v>
      </c>
      <c r="LR28" t="s">
        <v>3063</v>
      </c>
      <c r="LS28">
        <f t="shared" si="78"/>
        <v>0</v>
      </c>
      <c r="LT28" t="s">
        <v>3064</v>
      </c>
      <c r="LU28">
        <f t="shared" si="79"/>
        <v>0</v>
      </c>
      <c r="LV28" t="s">
        <v>3065</v>
      </c>
      <c r="LW28">
        <f t="shared" si="80"/>
        <v>0</v>
      </c>
      <c r="LX28" t="s">
        <v>3066</v>
      </c>
      <c r="LY28">
        <f t="shared" si="81"/>
        <v>0</v>
      </c>
      <c r="LZ28">
        <f>'6'!B104</f>
        <v>0</v>
      </c>
      <c r="MA28">
        <f>'6'!C104</f>
        <v>0</v>
      </c>
      <c r="MB28">
        <f>'6'!D104</f>
        <v>0</v>
      </c>
      <c r="MC28">
        <f>'6'!E104</f>
        <v>0</v>
      </c>
      <c r="MD28">
        <f>'6'!F104</f>
        <v>0</v>
      </c>
      <c r="ME28">
        <f>'6'!G104</f>
        <v>0</v>
      </c>
      <c r="MF28">
        <f>'6'!H104</f>
        <v>0</v>
      </c>
      <c r="MG28">
        <f>'6'!I104</f>
        <v>0</v>
      </c>
      <c r="MH28">
        <f>'6'!J104</f>
        <v>0</v>
      </c>
      <c r="MI28">
        <f>'6'!K104</f>
        <v>0</v>
      </c>
      <c r="MJ28">
        <f>'6'!L104</f>
        <v>0</v>
      </c>
      <c r="MK28">
        <f>'6'!M104</f>
        <v>0</v>
      </c>
      <c r="ML28" s="13">
        <f>'7'!B199</f>
        <v>0</v>
      </c>
      <c r="MM28" s="13">
        <f>'7'!C199</f>
        <v>0</v>
      </c>
      <c r="MN28" s="13">
        <f>'7'!D199</f>
        <v>0</v>
      </c>
      <c r="MO28" s="13">
        <f>'7'!E199</f>
        <v>0</v>
      </c>
      <c r="MP28" s="13">
        <f>'7'!F199</f>
        <v>0</v>
      </c>
      <c r="MQ28" s="13">
        <f>'7'!G199</f>
        <v>0</v>
      </c>
      <c r="MR28" s="13">
        <f>'7'!H199</f>
        <v>0</v>
      </c>
      <c r="MS28" s="13">
        <f>'7'!I199</f>
        <v>0</v>
      </c>
      <c r="MT28" s="13">
        <f>'7'!J199</f>
        <v>0</v>
      </c>
      <c r="MU28" s="13">
        <f>'7'!K199</f>
        <v>0</v>
      </c>
      <c r="MV28" s="13">
        <f>'7'!L199</f>
        <v>0</v>
      </c>
      <c r="MW28" s="13">
        <f>'7'!M199</f>
        <v>0</v>
      </c>
      <c r="MX28" s="13" t="s">
        <v>3067</v>
      </c>
      <c r="MY28">
        <f t="shared" si="82"/>
        <v>0</v>
      </c>
      <c r="MZ28" s="13" t="s">
        <v>3068</v>
      </c>
      <c r="NA28">
        <f t="shared" si="83"/>
        <v>0</v>
      </c>
      <c r="NB28" s="13" t="s">
        <v>3069</v>
      </c>
      <c r="NC28">
        <f t="shared" si="84"/>
        <v>0</v>
      </c>
      <c r="ND28" s="13" t="s">
        <v>3070</v>
      </c>
      <c r="NE28">
        <f t="shared" si="85"/>
        <v>0</v>
      </c>
      <c r="NF28" s="13" t="s">
        <v>3071</v>
      </c>
      <c r="NG28">
        <f t="shared" si="86"/>
        <v>0</v>
      </c>
      <c r="NH28" s="13" t="s">
        <v>3072</v>
      </c>
      <c r="NI28">
        <f t="shared" si="87"/>
        <v>0</v>
      </c>
      <c r="NJ28" s="13" t="s">
        <v>3073</v>
      </c>
      <c r="NK28">
        <f t="shared" si="88"/>
        <v>0</v>
      </c>
      <c r="NL28" s="13" t="s">
        <v>3074</v>
      </c>
      <c r="NM28">
        <f t="shared" si="89"/>
        <v>0</v>
      </c>
      <c r="NN28" s="13" t="s">
        <v>3075</v>
      </c>
      <c r="NO28">
        <f t="shared" si="90"/>
        <v>0</v>
      </c>
      <c r="NP28" s="13" t="s">
        <v>3076</v>
      </c>
      <c r="NQ28">
        <f t="shared" si="91"/>
        <v>0</v>
      </c>
      <c r="NR28" s="13" t="s">
        <v>3077</v>
      </c>
      <c r="NS28">
        <f t="shared" si="92"/>
        <v>0</v>
      </c>
      <c r="NT28" s="13" t="s">
        <v>3078</v>
      </c>
      <c r="NU28">
        <f t="shared" si="93"/>
        <v>0</v>
      </c>
      <c r="NV28" s="13"/>
    </row>
    <row r="29" spans="1:386" customFormat="1" x14ac:dyDescent="0.25">
      <c r="A29">
        <v>26</v>
      </c>
      <c r="B29">
        <f>'6'!AB107</f>
        <v>0</v>
      </c>
      <c r="C29">
        <f>'6'!AC107</f>
        <v>0</v>
      </c>
      <c r="D29">
        <f>'6'!AD107</f>
        <v>0</v>
      </c>
      <c r="E29">
        <f>'6'!AE107</f>
        <v>0</v>
      </c>
      <c r="F29">
        <f>'6'!AF107</f>
        <v>0</v>
      </c>
      <c r="G29">
        <f>'6'!AG107</f>
        <v>0</v>
      </c>
      <c r="H29">
        <f>'6'!AH107</f>
        <v>0</v>
      </c>
      <c r="I29">
        <f>'6'!AI107</f>
        <v>0</v>
      </c>
      <c r="J29">
        <f>'6'!AJ107</f>
        <v>0</v>
      </c>
      <c r="K29">
        <f>'6'!AK107</f>
        <v>0</v>
      </c>
      <c r="L29">
        <f>'6'!AL107</f>
        <v>0</v>
      </c>
      <c r="M29">
        <f>'6'!AM107</f>
        <v>0</v>
      </c>
      <c r="N29">
        <f>'6'!AN107</f>
        <v>0</v>
      </c>
      <c r="O29">
        <f>'6'!AO107</f>
        <v>0</v>
      </c>
      <c r="P29">
        <f>'6'!AP107</f>
        <v>0</v>
      </c>
      <c r="Q29">
        <f>'6'!AQ107</f>
        <v>0</v>
      </c>
      <c r="R29">
        <f>'6'!AR107</f>
        <v>0</v>
      </c>
      <c r="S29">
        <f>'6'!AS107</f>
        <v>0</v>
      </c>
      <c r="T29">
        <f>'6'!AT107</f>
        <v>0</v>
      </c>
      <c r="U29">
        <f>'6'!AU107</f>
        <v>0</v>
      </c>
      <c r="V29">
        <f>'6'!AV107</f>
        <v>0</v>
      </c>
      <c r="W29">
        <f>'6'!AW107</f>
        <v>0</v>
      </c>
      <c r="X29">
        <f>'6'!AX107</f>
        <v>0</v>
      </c>
      <c r="Y29">
        <f>'6'!AY107</f>
        <v>0</v>
      </c>
      <c r="Z29">
        <f>'6'!AZ107</f>
        <v>0</v>
      </c>
      <c r="AA29">
        <f>'6'!BA107</f>
        <v>0</v>
      </c>
      <c r="AB29">
        <f>'6'!BB107</f>
        <v>0</v>
      </c>
      <c r="AC29">
        <f>'6'!BC107</f>
        <v>0</v>
      </c>
      <c r="AD29">
        <f>'6'!BD107</f>
        <v>0</v>
      </c>
      <c r="AE29">
        <f>'6'!BE107</f>
        <v>0</v>
      </c>
      <c r="AF29">
        <f>'6'!BF107</f>
        <v>0</v>
      </c>
      <c r="AG29">
        <f>'6'!BG107</f>
        <v>0</v>
      </c>
      <c r="AH29">
        <f>'6'!BH107</f>
        <v>0</v>
      </c>
      <c r="AI29">
        <f>'6'!BI107</f>
        <v>0</v>
      </c>
      <c r="AJ29">
        <f>'6'!BJ107</f>
        <v>0</v>
      </c>
      <c r="AK29">
        <f>'6'!BK107</f>
        <v>0</v>
      </c>
      <c r="AL29">
        <f>'6'!BL107</f>
        <v>0</v>
      </c>
      <c r="AM29">
        <f>'6'!BM107</f>
        <v>0</v>
      </c>
      <c r="AN29">
        <f>'6'!BN107</f>
        <v>0</v>
      </c>
      <c r="AO29">
        <f>'6'!BO107</f>
        <v>0</v>
      </c>
      <c r="AP29">
        <f>'6'!BP107</f>
        <v>0</v>
      </c>
      <c r="AQ29">
        <f>'6'!BQ107</f>
        <v>0</v>
      </c>
      <c r="AR29">
        <f>'6'!BR107</f>
        <v>0</v>
      </c>
      <c r="AS29">
        <f>'6'!BS107</f>
        <v>0</v>
      </c>
      <c r="AT29">
        <f>'6'!BT107</f>
        <v>0</v>
      </c>
      <c r="AU29">
        <f>'6'!BU107</f>
        <v>0</v>
      </c>
      <c r="AV29">
        <f>'6'!BV107</f>
        <v>0</v>
      </c>
      <c r="AW29">
        <f>'6'!BW107</f>
        <v>0</v>
      </c>
      <c r="AX29">
        <f>'6'!BX107</f>
        <v>0</v>
      </c>
      <c r="AY29">
        <f>'6'!BY107</f>
        <v>0</v>
      </c>
      <c r="AZ29">
        <f>'6'!BZ107</f>
        <v>0</v>
      </c>
      <c r="BA29">
        <f>'6'!CA107</f>
        <v>0</v>
      </c>
      <c r="BB29">
        <f>'6'!CB107</f>
        <v>0</v>
      </c>
      <c r="BC29">
        <f>'6'!CC107</f>
        <v>0</v>
      </c>
      <c r="BD29">
        <f>'6'!CD107</f>
        <v>0</v>
      </c>
      <c r="BE29">
        <f>'6'!CE107</f>
        <v>0</v>
      </c>
      <c r="BF29">
        <f>'6'!CF107</f>
        <v>0</v>
      </c>
      <c r="BG29">
        <f>'6'!CG107</f>
        <v>0</v>
      </c>
      <c r="BH29">
        <f>'6'!CH107</f>
        <v>0</v>
      </c>
      <c r="BI29">
        <f>'6'!CI107</f>
        <v>0</v>
      </c>
      <c r="BJ29">
        <f>'6'!CJ107</f>
        <v>0</v>
      </c>
      <c r="BK29">
        <f>'6'!CK107</f>
        <v>0</v>
      </c>
      <c r="BL29">
        <f>'6'!CL107</f>
        <v>0</v>
      </c>
      <c r="BM29">
        <f>'6'!CM107</f>
        <v>0</v>
      </c>
      <c r="BN29">
        <f>'6'!CN107</f>
        <v>0</v>
      </c>
      <c r="BO29">
        <f>'6'!CO107</f>
        <v>0</v>
      </c>
      <c r="BP29">
        <f>'6'!CP107</f>
        <v>0</v>
      </c>
      <c r="BQ29">
        <f>'6'!CQ107</f>
        <v>0</v>
      </c>
      <c r="BR29">
        <f>'6'!CR107</f>
        <v>0</v>
      </c>
      <c r="BS29">
        <f>'6'!CS107</f>
        <v>0</v>
      </c>
      <c r="BT29">
        <f>'6'!CT107</f>
        <v>0</v>
      </c>
      <c r="BU29">
        <f>'6'!CU107</f>
        <v>0</v>
      </c>
      <c r="BV29">
        <f>'6'!CV107</f>
        <v>0</v>
      </c>
      <c r="BW29">
        <f>'6'!CW107</f>
        <v>0</v>
      </c>
      <c r="BX29">
        <f>'6'!CX107</f>
        <v>0</v>
      </c>
      <c r="BY29">
        <f>'6'!CY107</f>
        <v>0</v>
      </c>
      <c r="BZ29">
        <f>'6'!CZ107</f>
        <v>0</v>
      </c>
      <c r="CA29">
        <f>'6'!DA107</f>
        <v>0</v>
      </c>
      <c r="CB29">
        <f>'6'!DB107</f>
        <v>0</v>
      </c>
      <c r="CC29">
        <f>'6'!DC107</f>
        <v>0</v>
      </c>
      <c r="CD29">
        <f>'6'!DD107</f>
        <v>0</v>
      </c>
      <c r="CE29">
        <f>'6'!DE107</f>
        <v>0</v>
      </c>
      <c r="CF29">
        <f>'6'!DF107</f>
        <v>0</v>
      </c>
      <c r="CG29">
        <f>'6'!DG107</f>
        <v>0</v>
      </c>
      <c r="CH29">
        <f>SUM('7'!AB209:AB213)</f>
        <v>0</v>
      </c>
      <c r="CI29">
        <f>SUM('7'!AC209:AC213)</f>
        <v>0</v>
      </c>
      <c r="CJ29">
        <f>SUM('7'!AD209:AD213)</f>
        <v>0</v>
      </c>
      <c r="CK29">
        <f>SUM('7'!AE209:AE213)</f>
        <v>0</v>
      </c>
      <c r="CL29">
        <f>SUM('7'!AF209:AF213)</f>
        <v>0</v>
      </c>
      <c r="CM29">
        <f>SUM('7'!AG209:AG213)</f>
        <v>0</v>
      </c>
      <c r="CN29">
        <f>SUM('7'!AH209:AH213)</f>
        <v>0</v>
      </c>
      <c r="CO29">
        <f>SUM('7'!AI209:AI213)</f>
        <v>0</v>
      </c>
      <c r="CP29">
        <f>SUM('7'!AJ209:AJ213)</f>
        <v>0</v>
      </c>
      <c r="CQ29">
        <f>SUM('7'!AK209:AK213)</f>
        <v>0</v>
      </c>
      <c r="CR29">
        <f>SUM('7'!AL209:AL213)</f>
        <v>0</v>
      </c>
      <c r="CS29">
        <f>SUM('7'!AM209:AM213)</f>
        <v>0</v>
      </c>
      <c r="CT29">
        <f>SUM('7'!AN209:AN213)</f>
        <v>0</v>
      </c>
      <c r="CU29">
        <f>SUM('7'!AO209:AO213)</f>
        <v>0</v>
      </c>
      <c r="CV29">
        <f>SUM('7'!AP209:AP213)</f>
        <v>0</v>
      </c>
      <c r="CW29">
        <f>SUM('7'!AQ209:AQ213)</f>
        <v>0</v>
      </c>
      <c r="CX29">
        <f>SUM('7'!AR209:AR213)</f>
        <v>0</v>
      </c>
      <c r="CY29">
        <f>SUM('7'!AS209:AS213)</f>
        <v>0</v>
      </c>
      <c r="CZ29">
        <f>SUM('7'!AT209:AT213)</f>
        <v>0</v>
      </c>
      <c r="DA29">
        <f>SUM('7'!AU209:AU213)</f>
        <v>0</v>
      </c>
      <c r="DB29">
        <f>SUM('7'!AV209:AV213)</f>
        <v>0</v>
      </c>
      <c r="DC29">
        <f>SUM('7'!AW209:AW213)</f>
        <v>0</v>
      </c>
      <c r="DD29">
        <f>SUM('7'!AX209:AX213)</f>
        <v>0</v>
      </c>
      <c r="DE29">
        <f>SUM('7'!AY209:AY213)</f>
        <v>0</v>
      </c>
      <c r="DF29">
        <f>SUM('7'!AZ209:AZ213)</f>
        <v>0</v>
      </c>
      <c r="DG29">
        <f>SUM('7'!BA209:BA213)</f>
        <v>0</v>
      </c>
      <c r="DH29">
        <f>SUM('7'!BB209:BB213)</f>
        <v>0</v>
      </c>
      <c r="DI29">
        <f>SUM('7'!BC209:BC213)</f>
        <v>0</v>
      </c>
      <c r="DJ29">
        <f>SUM('7'!BD209:BD213)</f>
        <v>0</v>
      </c>
      <c r="DK29">
        <f>SUM('7'!BE209:BE213)</f>
        <v>0</v>
      </c>
      <c r="DL29">
        <f>SUM('7'!BF209:BF213)</f>
        <v>0</v>
      </c>
      <c r="DM29">
        <f>SUM('7'!BG209:BG213)</f>
        <v>0</v>
      </c>
      <c r="DN29">
        <f>SUM('7'!BH209:BH213)</f>
        <v>0</v>
      </c>
      <c r="DO29">
        <f>SUM('7'!BI209:BI213)</f>
        <v>0</v>
      </c>
      <c r="DP29">
        <f>SUM('7'!BJ209:BJ213)</f>
        <v>0</v>
      </c>
      <c r="DQ29">
        <f>SUM('7'!BK209:BK213)</f>
        <v>0</v>
      </c>
      <c r="DR29">
        <f>SUM('7'!BL209:BL213)</f>
        <v>0</v>
      </c>
      <c r="DS29">
        <f>SUM('7'!BM209:BM213)</f>
        <v>0</v>
      </c>
      <c r="DT29">
        <f>SUM('7'!BN209:BN213)</f>
        <v>0</v>
      </c>
      <c r="DU29">
        <f>SUM('7'!BO209:BO213)</f>
        <v>0</v>
      </c>
      <c r="DV29">
        <f>SUM('7'!BP209:BP213)</f>
        <v>0</v>
      </c>
      <c r="DW29">
        <f>SUM('7'!BQ209:BQ213)</f>
        <v>0</v>
      </c>
      <c r="DX29">
        <f>SUM('7'!BR209:BR213)</f>
        <v>0</v>
      </c>
      <c r="DY29">
        <f>SUM('7'!BS209:BS213)</f>
        <v>0</v>
      </c>
      <c r="DZ29">
        <f>SUM('7'!BT209:BT213)</f>
        <v>0</v>
      </c>
      <c r="EA29">
        <f>SUM('7'!BU209:BU213)</f>
        <v>0</v>
      </c>
      <c r="EB29">
        <f>SUM('7'!BV209:BV213)</f>
        <v>0</v>
      </c>
      <c r="EC29">
        <f>SUM('7'!BW209:BW213)</f>
        <v>0</v>
      </c>
      <c r="ED29">
        <f>SUM('7'!BX209:BX213)</f>
        <v>0</v>
      </c>
      <c r="EE29">
        <f>SUM('7'!BY209:BY213)</f>
        <v>0</v>
      </c>
      <c r="EF29">
        <f>SUM('7'!BZ209:BZ213)</f>
        <v>0</v>
      </c>
      <c r="EG29">
        <f>SUM('7'!CA209:CA213)</f>
        <v>0</v>
      </c>
      <c r="EH29">
        <f>SUM('7'!CB209:CB213)</f>
        <v>0</v>
      </c>
      <c r="EI29">
        <f>SUM('7'!CC209:CC213)</f>
        <v>0</v>
      </c>
      <c r="EJ29">
        <f>SUM('7'!CD209:CD213)</f>
        <v>0</v>
      </c>
      <c r="EK29">
        <f>SUM('7'!CE209:CE213)</f>
        <v>0</v>
      </c>
      <c r="EL29">
        <f>SUM('7'!CF209:CF213)</f>
        <v>0</v>
      </c>
      <c r="EM29">
        <f>SUM('7'!CG209:CG213)</f>
        <v>0</v>
      </c>
      <c r="EN29">
        <f>SUM('7'!CH209:CH213)</f>
        <v>0</v>
      </c>
      <c r="EO29">
        <f>SUM('7'!CI209:CI213)</f>
        <v>0</v>
      </c>
      <c r="EP29">
        <f>SUM('7'!CJ209:CJ213)</f>
        <v>0</v>
      </c>
      <c r="EQ29">
        <f>SUM('7'!CK209:CK213)</f>
        <v>0</v>
      </c>
      <c r="ER29">
        <f>SUM('7'!CL209:CL213)</f>
        <v>0</v>
      </c>
      <c r="ES29">
        <f>SUM('7'!CM209:CM213)</f>
        <v>0</v>
      </c>
      <c r="ET29">
        <f>SUM('7'!CN209:CN213)</f>
        <v>0</v>
      </c>
      <c r="EU29">
        <f>SUM('7'!CO209:CO213)</f>
        <v>0</v>
      </c>
      <c r="EV29">
        <f>SUM('7'!CP209:CP213)</f>
        <v>0</v>
      </c>
      <c r="EW29">
        <f>SUM('7'!CQ209:CQ213)</f>
        <v>0</v>
      </c>
      <c r="EX29">
        <f>SUM('7'!CR209:CR213)</f>
        <v>0</v>
      </c>
      <c r="EY29">
        <f>SUM('7'!CS209:CS213)</f>
        <v>0</v>
      </c>
      <c r="EZ29">
        <f>SUM('7'!CT209:CT213)</f>
        <v>0</v>
      </c>
      <c r="FA29">
        <f>SUM('7'!CU209:CU213)</f>
        <v>0</v>
      </c>
      <c r="FB29">
        <f>SUM('7'!CV209:CV213)</f>
        <v>0</v>
      </c>
      <c r="FC29">
        <f>SUM('7'!CW209:CW213)</f>
        <v>0</v>
      </c>
      <c r="FD29">
        <f>SUM('7'!CX209:CX213)</f>
        <v>0</v>
      </c>
      <c r="FE29">
        <f>SUM('7'!CY209:CY213)</f>
        <v>0</v>
      </c>
      <c r="FF29">
        <f>SUM('7'!CZ209:CZ213)</f>
        <v>0</v>
      </c>
      <c r="FG29">
        <f>SUM('7'!DA209:DA213)</f>
        <v>0</v>
      </c>
      <c r="FH29">
        <f>SUM('7'!DB209:DB213)</f>
        <v>0</v>
      </c>
      <c r="FI29">
        <f>SUM('7'!DC209:DC213)</f>
        <v>0</v>
      </c>
      <c r="FJ29">
        <f>SUM('7'!DD209:DD213)</f>
        <v>0</v>
      </c>
      <c r="FK29">
        <f>SUM('7'!DE209:DE213)</f>
        <v>0</v>
      </c>
      <c r="FL29">
        <f>SUM('7'!DF209:DF213)</f>
        <v>0</v>
      </c>
      <c r="FM29">
        <f>SUM('7'!DG209:DG213)</f>
        <v>0</v>
      </c>
      <c r="FN29" t="s">
        <v>3079</v>
      </c>
      <c r="FO29">
        <f t="shared" si="94"/>
        <v>0</v>
      </c>
      <c r="FP29" t="s">
        <v>3080</v>
      </c>
      <c r="FQ29">
        <f t="shared" si="0"/>
        <v>0</v>
      </c>
      <c r="FR29" t="s">
        <v>3081</v>
      </c>
      <c r="FS29">
        <f t="shared" si="1"/>
        <v>0</v>
      </c>
      <c r="FT29" t="s">
        <v>3082</v>
      </c>
      <c r="FU29">
        <f t="shared" si="2"/>
        <v>0</v>
      </c>
      <c r="FV29" t="s">
        <v>3083</v>
      </c>
      <c r="FW29">
        <f t="shared" si="3"/>
        <v>0</v>
      </c>
      <c r="FX29" t="s">
        <v>3084</v>
      </c>
      <c r="FY29">
        <f t="shared" si="4"/>
        <v>0</v>
      </c>
      <c r="FZ29" t="s">
        <v>3085</v>
      </c>
      <c r="GA29">
        <f t="shared" si="5"/>
        <v>0</v>
      </c>
      <c r="GB29" t="s">
        <v>3086</v>
      </c>
      <c r="GC29">
        <f t="shared" si="6"/>
        <v>0</v>
      </c>
      <c r="GD29" t="s">
        <v>3087</v>
      </c>
      <c r="GE29">
        <f t="shared" si="7"/>
        <v>0</v>
      </c>
      <c r="GF29" t="s">
        <v>3088</v>
      </c>
      <c r="GG29">
        <f t="shared" si="8"/>
        <v>0</v>
      </c>
      <c r="GH29" t="s">
        <v>3089</v>
      </c>
      <c r="GI29">
        <f t="shared" si="9"/>
        <v>0</v>
      </c>
      <c r="GJ29" t="s">
        <v>3090</v>
      </c>
      <c r="GK29">
        <f t="shared" si="10"/>
        <v>0</v>
      </c>
      <c r="GL29" t="s">
        <v>3091</v>
      </c>
      <c r="GM29">
        <f t="shared" si="11"/>
        <v>0</v>
      </c>
      <c r="GN29" t="s">
        <v>3092</v>
      </c>
      <c r="GO29">
        <f t="shared" si="95"/>
        <v>0</v>
      </c>
      <c r="GP29" t="s">
        <v>3093</v>
      </c>
      <c r="GQ29">
        <f t="shared" si="12"/>
        <v>0</v>
      </c>
      <c r="GR29" t="s">
        <v>3094</v>
      </c>
      <c r="GS29">
        <f t="shared" si="13"/>
        <v>0</v>
      </c>
      <c r="GT29" t="s">
        <v>3095</v>
      </c>
      <c r="GU29">
        <f t="shared" si="14"/>
        <v>0</v>
      </c>
      <c r="GV29" t="s">
        <v>3096</v>
      </c>
      <c r="GW29">
        <f t="shared" si="15"/>
        <v>0</v>
      </c>
      <c r="GX29" t="s">
        <v>3097</v>
      </c>
      <c r="GY29">
        <f t="shared" si="16"/>
        <v>0</v>
      </c>
      <c r="GZ29" t="s">
        <v>3098</v>
      </c>
      <c r="HA29">
        <f t="shared" si="17"/>
        <v>0</v>
      </c>
      <c r="HB29" t="s">
        <v>3099</v>
      </c>
      <c r="HC29">
        <f t="shared" si="18"/>
        <v>0</v>
      </c>
      <c r="HD29" t="s">
        <v>3100</v>
      </c>
      <c r="HE29">
        <f t="shared" si="19"/>
        <v>0</v>
      </c>
      <c r="HF29" t="s">
        <v>3101</v>
      </c>
      <c r="HG29">
        <f t="shared" si="20"/>
        <v>0</v>
      </c>
      <c r="HH29" t="s">
        <v>3102</v>
      </c>
      <c r="HI29">
        <f t="shared" si="21"/>
        <v>0</v>
      </c>
      <c r="HJ29" t="s">
        <v>3103</v>
      </c>
      <c r="HK29">
        <f t="shared" si="22"/>
        <v>0</v>
      </c>
      <c r="HL29" t="s">
        <v>3104</v>
      </c>
      <c r="HM29">
        <f t="shared" si="23"/>
        <v>0</v>
      </c>
      <c r="HN29" t="s">
        <v>3105</v>
      </c>
      <c r="HO29">
        <f t="shared" si="24"/>
        <v>0</v>
      </c>
      <c r="HP29" t="s">
        <v>3106</v>
      </c>
      <c r="HQ29">
        <f t="shared" si="25"/>
        <v>0</v>
      </c>
      <c r="HR29" t="s">
        <v>3107</v>
      </c>
      <c r="HS29">
        <f t="shared" si="26"/>
        <v>0</v>
      </c>
      <c r="HT29" t="s">
        <v>3108</v>
      </c>
      <c r="HU29">
        <f t="shared" si="27"/>
        <v>0</v>
      </c>
      <c r="HV29" t="s">
        <v>3109</v>
      </c>
      <c r="HW29">
        <f t="shared" si="28"/>
        <v>0</v>
      </c>
      <c r="HX29" t="s">
        <v>3110</v>
      </c>
      <c r="HY29">
        <f t="shared" si="29"/>
        <v>0</v>
      </c>
      <c r="HZ29" t="s">
        <v>3111</v>
      </c>
      <c r="IA29">
        <f t="shared" si="30"/>
        <v>0</v>
      </c>
      <c r="IB29" t="s">
        <v>3112</v>
      </c>
      <c r="IC29">
        <f t="shared" si="31"/>
        <v>0</v>
      </c>
      <c r="ID29" t="s">
        <v>3113</v>
      </c>
      <c r="IE29">
        <f t="shared" si="32"/>
        <v>0</v>
      </c>
      <c r="IF29" t="s">
        <v>3114</v>
      </c>
      <c r="IG29">
        <f t="shared" si="33"/>
        <v>0</v>
      </c>
      <c r="IH29" t="s">
        <v>3115</v>
      </c>
      <c r="II29">
        <f t="shared" si="34"/>
        <v>0</v>
      </c>
      <c r="IJ29" t="s">
        <v>3116</v>
      </c>
      <c r="IK29">
        <f t="shared" si="35"/>
        <v>0</v>
      </c>
      <c r="IL29" t="s">
        <v>3117</v>
      </c>
      <c r="IM29">
        <f t="shared" si="36"/>
        <v>0</v>
      </c>
      <c r="IN29" t="s">
        <v>3118</v>
      </c>
      <c r="IO29">
        <f t="shared" si="37"/>
        <v>0</v>
      </c>
      <c r="IP29" t="s">
        <v>3119</v>
      </c>
      <c r="IQ29">
        <f t="shared" si="38"/>
        <v>0</v>
      </c>
      <c r="IR29" t="s">
        <v>3120</v>
      </c>
      <c r="IS29">
        <f t="shared" si="39"/>
        <v>0</v>
      </c>
      <c r="IT29" t="s">
        <v>3121</v>
      </c>
      <c r="IU29">
        <f t="shared" si="40"/>
        <v>0</v>
      </c>
      <c r="IV29" t="s">
        <v>3122</v>
      </c>
      <c r="IW29">
        <f t="shared" si="41"/>
        <v>0</v>
      </c>
      <c r="IX29" t="s">
        <v>3123</v>
      </c>
      <c r="IY29">
        <f t="shared" si="42"/>
        <v>0</v>
      </c>
      <c r="IZ29" t="s">
        <v>3124</v>
      </c>
      <c r="JA29">
        <f t="shared" si="43"/>
        <v>0</v>
      </c>
      <c r="JB29" t="s">
        <v>3125</v>
      </c>
      <c r="JC29">
        <f t="shared" si="44"/>
        <v>0</v>
      </c>
      <c r="JD29" t="s">
        <v>3126</v>
      </c>
      <c r="JE29">
        <f t="shared" si="45"/>
        <v>0</v>
      </c>
      <c r="JF29" t="s">
        <v>3127</v>
      </c>
      <c r="JG29">
        <f t="shared" si="46"/>
        <v>0</v>
      </c>
      <c r="JH29" t="s">
        <v>3128</v>
      </c>
      <c r="JI29">
        <f t="shared" si="47"/>
        <v>0</v>
      </c>
      <c r="JJ29" t="s">
        <v>3129</v>
      </c>
      <c r="JK29">
        <f t="shared" si="48"/>
        <v>0</v>
      </c>
      <c r="JL29" t="s">
        <v>3130</v>
      </c>
      <c r="JM29">
        <f t="shared" si="49"/>
        <v>0</v>
      </c>
      <c r="JN29" t="s">
        <v>3131</v>
      </c>
      <c r="JO29">
        <f t="shared" si="50"/>
        <v>0</v>
      </c>
      <c r="JP29" t="s">
        <v>3132</v>
      </c>
      <c r="JQ29">
        <f t="shared" si="51"/>
        <v>0</v>
      </c>
      <c r="JR29" t="s">
        <v>3133</v>
      </c>
      <c r="JS29">
        <f t="shared" si="52"/>
        <v>0</v>
      </c>
      <c r="JT29" t="s">
        <v>3134</v>
      </c>
      <c r="JU29">
        <f t="shared" si="53"/>
        <v>0</v>
      </c>
      <c r="JV29" t="s">
        <v>3135</v>
      </c>
      <c r="JW29">
        <f t="shared" si="54"/>
        <v>0</v>
      </c>
      <c r="JX29" t="s">
        <v>3136</v>
      </c>
      <c r="JY29">
        <f t="shared" si="55"/>
        <v>0</v>
      </c>
      <c r="JZ29" t="s">
        <v>3137</v>
      </c>
      <c r="KA29">
        <f t="shared" si="56"/>
        <v>0</v>
      </c>
      <c r="KB29" t="s">
        <v>3138</v>
      </c>
      <c r="KC29">
        <f t="shared" si="57"/>
        <v>0</v>
      </c>
      <c r="KD29" t="s">
        <v>3139</v>
      </c>
      <c r="KE29">
        <f t="shared" si="58"/>
        <v>0</v>
      </c>
      <c r="KF29" t="s">
        <v>3140</v>
      </c>
      <c r="KG29">
        <f t="shared" si="59"/>
        <v>0</v>
      </c>
      <c r="KH29" t="s">
        <v>3141</v>
      </c>
      <c r="KI29">
        <f t="shared" si="60"/>
        <v>0</v>
      </c>
      <c r="KJ29" t="s">
        <v>3142</v>
      </c>
      <c r="KK29">
        <f t="shared" si="61"/>
        <v>0</v>
      </c>
      <c r="KL29" t="s">
        <v>3143</v>
      </c>
      <c r="KM29">
        <f t="shared" si="62"/>
        <v>0</v>
      </c>
      <c r="KN29" t="s">
        <v>3144</v>
      </c>
      <c r="KO29">
        <f t="shared" si="63"/>
        <v>0</v>
      </c>
      <c r="KP29" t="s">
        <v>3145</v>
      </c>
      <c r="KQ29">
        <f t="shared" si="64"/>
        <v>0</v>
      </c>
      <c r="KR29" t="s">
        <v>3146</v>
      </c>
      <c r="KS29">
        <f t="shared" si="65"/>
        <v>0</v>
      </c>
      <c r="KT29" t="s">
        <v>3147</v>
      </c>
      <c r="KU29">
        <f t="shared" si="66"/>
        <v>0</v>
      </c>
      <c r="KV29" t="s">
        <v>3148</v>
      </c>
      <c r="KW29">
        <f t="shared" si="67"/>
        <v>0</v>
      </c>
      <c r="KX29" t="s">
        <v>3149</v>
      </c>
      <c r="KY29">
        <f t="shared" si="68"/>
        <v>0</v>
      </c>
      <c r="KZ29" t="s">
        <v>3150</v>
      </c>
      <c r="LA29">
        <f t="shared" si="69"/>
        <v>0</v>
      </c>
      <c r="LB29" t="s">
        <v>3151</v>
      </c>
      <c r="LC29">
        <f t="shared" si="70"/>
        <v>0</v>
      </c>
      <c r="LD29" t="s">
        <v>3152</v>
      </c>
      <c r="LE29">
        <f t="shared" si="71"/>
        <v>0</v>
      </c>
      <c r="LF29" t="s">
        <v>3153</v>
      </c>
      <c r="LG29">
        <f t="shared" si="72"/>
        <v>0</v>
      </c>
      <c r="LH29" t="s">
        <v>3154</v>
      </c>
      <c r="LI29">
        <f t="shared" si="73"/>
        <v>0</v>
      </c>
      <c r="LJ29" t="s">
        <v>3155</v>
      </c>
      <c r="LK29">
        <f t="shared" si="74"/>
        <v>0</v>
      </c>
      <c r="LL29" t="s">
        <v>3156</v>
      </c>
      <c r="LM29">
        <f t="shared" si="75"/>
        <v>0</v>
      </c>
      <c r="LN29" t="s">
        <v>3157</v>
      </c>
      <c r="LO29">
        <f t="shared" si="76"/>
        <v>0</v>
      </c>
      <c r="LP29" t="s">
        <v>3158</v>
      </c>
      <c r="LQ29">
        <f t="shared" si="77"/>
        <v>0</v>
      </c>
      <c r="LR29" t="s">
        <v>3159</v>
      </c>
      <c r="LS29">
        <f t="shared" si="78"/>
        <v>0</v>
      </c>
      <c r="LT29" t="s">
        <v>3160</v>
      </c>
      <c r="LU29">
        <f t="shared" si="79"/>
        <v>0</v>
      </c>
      <c r="LV29" t="s">
        <v>3161</v>
      </c>
      <c r="LW29">
        <f t="shared" si="80"/>
        <v>0</v>
      </c>
      <c r="LX29" t="s">
        <v>3162</v>
      </c>
      <c r="LY29">
        <f t="shared" si="81"/>
        <v>0</v>
      </c>
      <c r="LZ29">
        <f>'6'!B108</f>
        <v>0</v>
      </c>
      <c r="MA29">
        <f>'6'!C108</f>
        <v>0</v>
      </c>
      <c r="MB29">
        <f>'6'!D108</f>
        <v>0</v>
      </c>
      <c r="MC29">
        <f>'6'!E108</f>
        <v>0</v>
      </c>
      <c r="MD29">
        <f>'6'!F108</f>
        <v>0</v>
      </c>
      <c r="ME29">
        <f>'6'!G108</f>
        <v>0</v>
      </c>
      <c r="MF29">
        <f>'6'!H108</f>
        <v>0</v>
      </c>
      <c r="MG29">
        <f>'6'!I108</f>
        <v>0</v>
      </c>
      <c r="MH29">
        <f>'6'!J108</f>
        <v>0</v>
      </c>
      <c r="MI29">
        <f>'6'!K108</f>
        <v>0</v>
      </c>
      <c r="MJ29">
        <f>'6'!L108</f>
        <v>0</v>
      </c>
      <c r="MK29">
        <f>'6'!M108</f>
        <v>0</v>
      </c>
      <c r="ML29" s="13">
        <f>'7'!B207</f>
        <v>0</v>
      </c>
      <c r="MM29" s="13">
        <f>'7'!C207</f>
        <v>0</v>
      </c>
      <c r="MN29" s="13">
        <f>'7'!D207</f>
        <v>0</v>
      </c>
      <c r="MO29" s="13">
        <f>'7'!E207</f>
        <v>0</v>
      </c>
      <c r="MP29" s="13">
        <f>'7'!F207</f>
        <v>0</v>
      </c>
      <c r="MQ29" s="13">
        <f>'7'!G207</f>
        <v>0</v>
      </c>
      <c r="MR29" s="13">
        <f>'7'!H207</f>
        <v>0</v>
      </c>
      <c r="MS29" s="13">
        <f>'7'!I207</f>
        <v>0</v>
      </c>
      <c r="MT29" s="13">
        <f>'7'!J207</f>
        <v>0</v>
      </c>
      <c r="MU29" s="13">
        <f>'7'!K207</f>
        <v>0</v>
      </c>
      <c r="MV29" s="13">
        <f>'7'!L207</f>
        <v>0</v>
      </c>
      <c r="MW29" s="13">
        <f>'7'!M207</f>
        <v>0</v>
      </c>
      <c r="MX29" s="13" t="s">
        <v>3163</v>
      </c>
      <c r="MY29">
        <f t="shared" si="82"/>
        <v>0</v>
      </c>
      <c r="MZ29" s="13" t="s">
        <v>3164</v>
      </c>
      <c r="NA29">
        <f t="shared" si="83"/>
        <v>0</v>
      </c>
      <c r="NB29" s="13" t="s">
        <v>3165</v>
      </c>
      <c r="NC29">
        <f t="shared" si="84"/>
        <v>0</v>
      </c>
      <c r="ND29" s="13" t="s">
        <v>3166</v>
      </c>
      <c r="NE29">
        <f t="shared" si="85"/>
        <v>0</v>
      </c>
      <c r="NF29" s="13" t="s">
        <v>3167</v>
      </c>
      <c r="NG29">
        <f t="shared" si="86"/>
        <v>0</v>
      </c>
      <c r="NH29" s="13" t="s">
        <v>3168</v>
      </c>
      <c r="NI29">
        <f t="shared" si="87"/>
        <v>0</v>
      </c>
      <c r="NJ29" s="13" t="s">
        <v>3169</v>
      </c>
      <c r="NK29">
        <f t="shared" si="88"/>
        <v>0</v>
      </c>
      <c r="NL29" s="13" t="s">
        <v>3170</v>
      </c>
      <c r="NM29">
        <f t="shared" si="89"/>
        <v>0</v>
      </c>
      <c r="NN29" s="13" t="s">
        <v>3171</v>
      </c>
      <c r="NO29">
        <f t="shared" si="90"/>
        <v>0</v>
      </c>
      <c r="NP29" s="13" t="s">
        <v>3172</v>
      </c>
      <c r="NQ29">
        <f t="shared" si="91"/>
        <v>0</v>
      </c>
      <c r="NR29" s="13" t="s">
        <v>3173</v>
      </c>
      <c r="NS29">
        <f t="shared" si="92"/>
        <v>0</v>
      </c>
      <c r="NT29" s="13" t="s">
        <v>3174</v>
      </c>
      <c r="NU29">
        <f t="shared" si="93"/>
        <v>0</v>
      </c>
      <c r="NV29" s="13"/>
    </row>
    <row r="30" spans="1:386" customFormat="1" x14ac:dyDescent="0.25">
      <c r="A30">
        <v>27</v>
      </c>
      <c r="B30">
        <f>'6'!AB111</f>
        <v>0</v>
      </c>
      <c r="C30">
        <f>'6'!AC111</f>
        <v>0</v>
      </c>
      <c r="D30">
        <f>'6'!AD111</f>
        <v>0</v>
      </c>
      <c r="E30">
        <f>'6'!AE111</f>
        <v>0</v>
      </c>
      <c r="F30">
        <f>'6'!AF111</f>
        <v>0</v>
      </c>
      <c r="G30">
        <f>'6'!AG111</f>
        <v>0</v>
      </c>
      <c r="H30">
        <f>'6'!AH111</f>
        <v>0</v>
      </c>
      <c r="I30">
        <f>'6'!AI111</f>
        <v>0</v>
      </c>
      <c r="J30">
        <f>'6'!AJ111</f>
        <v>0</v>
      </c>
      <c r="K30">
        <f>'6'!AK111</f>
        <v>0</v>
      </c>
      <c r="L30">
        <f>'6'!AL111</f>
        <v>0</v>
      </c>
      <c r="M30">
        <f>'6'!AM111</f>
        <v>0</v>
      </c>
      <c r="N30">
        <f>'6'!AN111</f>
        <v>0</v>
      </c>
      <c r="O30">
        <f>'6'!AO111</f>
        <v>0</v>
      </c>
      <c r="P30">
        <f>'6'!AP111</f>
        <v>0</v>
      </c>
      <c r="Q30">
        <f>'6'!AQ111</f>
        <v>0</v>
      </c>
      <c r="R30">
        <f>'6'!AR111</f>
        <v>0</v>
      </c>
      <c r="S30">
        <f>'6'!AS111</f>
        <v>0</v>
      </c>
      <c r="T30">
        <f>'6'!AT111</f>
        <v>0</v>
      </c>
      <c r="U30">
        <f>'6'!AU111</f>
        <v>0</v>
      </c>
      <c r="V30">
        <f>'6'!AV111</f>
        <v>0</v>
      </c>
      <c r="W30">
        <f>'6'!AW111</f>
        <v>0</v>
      </c>
      <c r="X30">
        <f>'6'!AX111</f>
        <v>0</v>
      </c>
      <c r="Y30">
        <f>'6'!AY111</f>
        <v>0</v>
      </c>
      <c r="Z30">
        <f>'6'!AZ111</f>
        <v>0</v>
      </c>
      <c r="AA30">
        <f>'6'!BA111</f>
        <v>0</v>
      </c>
      <c r="AB30">
        <f>'6'!BB111</f>
        <v>0</v>
      </c>
      <c r="AC30">
        <f>'6'!BC111</f>
        <v>0</v>
      </c>
      <c r="AD30">
        <f>'6'!BD111</f>
        <v>0</v>
      </c>
      <c r="AE30">
        <f>'6'!BE111</f>
        <v>0</v>
      </c>
      <c r="AF30">
        <f>'6'!BF111</f>
        <v>0</v>
      </c>
      <c r="AG30">
        <f>'6'!BG111</f>
        <v>0</v>
      </c>
      <c r="AH30">
        <f>'6'!BH111</f>
        <v>0</v>
      </c>
      <c r="AI30">
        <f>'6'!BI111</f>
        <v>0</v>
      </c>
      <c r="AJ30">
        <f>'6'!BJ111</f>
        <v>0</v>
      </c>
      <c r="AK30">
        <f>'6'!BK111</f>
        <v>0</v>
      </c>
      <c r="AL30">
        <f>'6'!BL111</f>
        <v>0</v>
      </c>
      <c r="AM30">
        <f>'6'!BM111</f>
        <v>0</v>
      </c>
      <c r="AN30">
        <f>'6'!BN111</f>
        <v>0</v>
      </c>
      <c r="AO30">
        <f>'6'!BO111</f>
        <v>0</v>
      </c>
      <c r="AP30">
        <f>'6'!BP111</f>
        <v>0</v>
      </c>
      <c r="AQ30">
        <f>'6'!BQ111</f>
        <v>0</v>
      </c>
      <c r="AR30">
        <f>'6'!BR111</f>
        <v>0</v>
      </c>
      <c r="AS30">
        <f>'6'!BS111</f>
        <v>0</v>
      </c>
      <c r="AT30">
        <f>'6'!BT111</f>
        <v>0</v>
      </c>
      <c r="AU30">
        <f>'6'!BU111</f>
        <v>0</v>
      </c>
      <c r="AV30">
        <f>'6'!BV111</f>
        <v>0</v>
      </c>
      <c r="AW30">
        <f>'6'!BW111</f>
        <v>0</v>
      </c>
      <c r="AX30">
        <f>'6'!BX111</f>
        <v>0</v>
      </c>
      <c r="AY30">
        <f>'6'!BY111</f>
        <v>0</v>
      </c>
      <c r="AZ30">
        <f>'6'!BZ111</f>
        <v>0</v>
      </c>
      <c r="BA30">
        <f>'6'!CA111</f>
        <v>0</v>
      </c>
      <c r="BB30">
        <f>'6'!CB111</f>
        <v>0</v>
      </c>
      <c r="BC30">
        <f>'6'!CC111</f>
        <v>0</v>
      </c>
      <c r="BD30">
        <f>'6'!CD111</f>
        <v>0</v>
      </c>
      <c r="BE30">
        <f>'6'!CE111</f>
        <v>0</v>
      </c>
      <c r="BF30">
        <f>'6'!CF111</f>
        <v>0</v>
      </c>
      <c r="BG30">
        <f>'6'!CG111</f>
        <v>0</v>
      </c>
      <c r="BH30">
        <f>'6'!CH111</f>
        <v>0</v>
      </c>
      <c r="BI30">
        <f>'6'!CI111</f>
        <v>0</v>
      </c>
      <c r="BJ30">
        <f>'6'!CJ111</f>
        <v>0</v>
      </c>
      <c r="BK30">
        <f>'6'!CK111</f>
        <v>0</v>
      </c>
      <c r="BL30">
        <f>'6'!CL111</f>
        <v>0</v>
      </c>
      <c r="BM30">
        <f>'6'!CM111</f>
        <v>0</v>
      </c>
      <c r="BN30">
        <f>'6'!CN111</f>
        <v>0</v>
      </c>
      <c r="BO30">
        <f>'6'!CO111</f>
        <v>0</v>
      </c>
      <c r="BP30">
        <f>'6'!CP111</f>
        <v>0</v>
      </c>
      <c r="BQ30">
        <f>'6'!CQ111</f>
        <v>0</v>
      </c>
      <c r="BR30">
        <f>'6'!CR111</f>
        <v>0</v>
      </c>
      <c r="BS30">
        <f>'6'!CS111</f>
        <v>0</v>
      </c>
      <c r="BT30">
        <f>'6'!CT111</f>
        <v>0</v>
      </c>
      <c r="BU30">
        <f>'6'!CU111</f>
        <v>0</v>
      </c>
      <c r="BV30">
        <f>'6'!CV111</f>
        <v>0</v>
      </c>
      <c r="BW30">
        <f>'6'!CW111</f>
        <v>0</v>
      </c>
      <c r="BX30">
        <f>'6'!CX111</f>
        <v>0</v>
      </c>
      <c r="BY30">
        <f>'6'!CY111</f>
        <v>0</v>
      </c>
      <c r="BZ30">
        <f>'6'!CZ111</f>
        <v>0</v>
      </c>
      <c r="CA30">
        <f>'6'!DA111</f>
        <v>0</v>
      </c>
      <c r="CB30">
        <f>'6'!DB111</f>
        <v>0</v>
      </c>
      <c r="CC30">
        <f>'6'!DC111</f>
        <v>0</v>
      </c>
      <c r="CD30">
        <f>'6'!DD111</f>
        <v>0</v>
      </c>
      <c r="CE30">
        <f>'6'!DE111</f>
        <v>0</v>
      </c>
      <c r="CF30">
        <f>'6'!DF111</f>
        <v>0</v>
      </c>
      <c r="CG30">
        <f>'6'!DG111</f>
        <v>0</v>
      </c>
      <c r="CH30">
        <f>SUM('7'!AB217:AB221)</f>
        <v>0</v>
      </c>
      <c r="CI30">
        <f>SUM('7'!AC217:AC221)</f>
        <v>0</v>
      </c>
      <c r="CJ30">
        <f>SUM('7'!AD217:AD221)</f>
        <v>0</v>
      </c>
      <c r="CK30">
        <f>SUM('7'!AE217:AE221)</f>
        <v>0</v>
      </c>
      <c r="CL30">
        <f>SUM('7'!AF217:AF221)</f>
        <v>0</v>
      </c>
      <c r="CM30">
        <f>SUM('7'!AG217:AG221)</f>
        <v>0</v>
      </c>
      <c r="CN30">
        <f>SUM('7'!AH217:AH221)</f>
        <v>0</v>
      </c>
      <c r="CO30">
        <f>SUM('7'!AI217:AI221)</f>
        <v>0</v>
      </c>
      <c r="CP30">
        <f>SUM('7'!AJ217:AJ221)</f>
        <v>0</v>
      </c>
      <c r="CQ30">
        <f>SUM('7'!AK217:AK221)</f>
        <v>0</v>
      </c>
      <c r="CR30">
        <f>SUM('7'!AL217:AL221)</f>
        <v>0</v>
      </c>
      <c r="CS30">
        <f>SUM('7'!AM217:AM221)</f>
        <v>0</v>
      </c>
      <c r="CT30">
        <f>SUM('7'!AN217:AN221)</f>
        <v>0</v>
      </c>
      <c r="CU30">
        <f>SUM('7'!AO217:AO221)</f>
        <v>0</v>
      </c>
      <c r="CV30">
        <f>SUM('7'!AP217:AP221)</f>
        <v>0</v>
      </c>
      <c r="CW30">
        <f>SUM('7'!AQ217:AQ221)</f>
        <v>0</v>
      </c>
      <c r="CX30">
        <f>SUM('7'!AR217:AR221)</f>
        <v>0</v>
      </c>
      <c r="CY30">
        <f>SUM('7'!AS217:AS221)</f>
        <v>0</v>
      </c>
      <c r="CZ30">
        <f>SUM('7'!AT217:AT221)</f>
        <v>0</v>
      </c>
      <c r="DA30">
        <f>SUM('7'!AU217:AU221)</f>
        <v>0</v>
      </c>
      <c r="DB30">
        <f>SUM('7'!AV217:AV221)</f>
        <v>0</v>
      </c>
      <c r="DC30">
        <f>SUM('7'!AW217:AW221)</f>
        <v>0</v>
      </c>
      <c r="DD30">
        <f>SUM('7'!AX217:AX221)</f>
        <v>0</v>
      </c>
      <c r="DE30">
        <f>SUM('7'!AY217:AY221)</f>
        <v>0</v>
      </c>
      <c r="DF30">
        <f>SUM('7'!AZ217:AZ221)</f>
        <v>0</v>
      </c>
      <c r="DG30">
        <f>SUM('7'!BA217:BA221)</f>
        <v>0</v>
      </c>
      <c r="DH30">
        <f>SUM('7'!BB217:BB221)</f>
        <v>0</v>
      </c>
      <c r="DI30">
        <f>SUM('7'!BC217:BC221)</f>
        <v>0</v>
      </c>
      <c r="DJ30">
        <f>SUM('7'!BD217:BD221)</f>
        <v>0</v>
      </c>
      <c r="DK30">
        <f>SUM('7'!BE217:BE221)</f>
        <v>0</v>
      </c>
      <c r="DL30">
        <f>SUM('7'!BF217:BF221)</f>
        <v>0</v>
      </c>
      <c r="DM30">
        <f>SUM('7'!BG217:BG221)</f>
        <v>0</v>
      </c>
      <c r="DN30">
        <f>SUM('7'!BH217:BH221)</f>
        <v>0</v>
      </c>
      <c r="DO30">
        <f>SUM('7'!BI217:BI221)</f>
        <v>0</v>
      </c>
      <c r="DP30">
        <f>SUM('7'!BJ217:BJ221)</f>
        <v>0</v>
      </c>
      <c r="DQ30">
        <f>SUM('7'!BK217:BK221)</f>
        <v>0</v>
      </c>
      <c r="DR30">
        <f>SUM('7'!BL217:BL221)</f>
        <v>0</v>
      </c>
      <c r="DS30">
        <f>SUM('7'!BM217:BM221)</f>
        <v>0</v>
      </c>
      <c r="DT30">
        <f>SUM('7'!BN217:BN221)</f>
        <v>0</v>
      </c>
      <c r="DU30">
        <f>SUM('7'!BO217:BO221)</f>
        <v>0</v>
      </c>
      <c r="DV30">
        <f>SUM('7'!BP217:BP221)</f>
        <v>0</v>
      </c>
      <c r="DW30">
        <f>SUM('7'!BQ217:BQ221)</f>
        <v>0</v>
      </c>
      <c r="DX30">
        <f>SUM('7'!BR217:BR221)</f>
        <v>0</v>
      </c>
      <c r="DY30">
        <f>SUM('7'!BS217:BS221)</f>
        <v>0</v>
      </c>
      <c r="DZ30">
        <f>SUM('7'!BT217:BT221)</f>
        <v>0</v>
      </c>
      <c r="EA30">
        <f>SUM('7'!BU217:BU221)</f>
        <v>0</v>
      </c>
      <c r="EB30">
        <f>SUM('7'!BV217:BV221)</f>
        <v>0</v>
      </c>
      <c r="EC30">
        <f>SUM('7'!BW217:BW221)</f>
        <v>0</v>
      </c>
      <c r="ED30">
        <f>SUM('7'!BX217:BX221)</f>
        <v>0</v>
      </c>
      <c r="EE30">
        <f>SUM('7'!BY217:BY221)</f>
        <v>0</v>
      </c>
      <c r="EF30">
        <f>SUM('7'!BZ217:BZ221)</f>
        <v>0</v>
      </c>
      <c r="EG30">
        <f>SUM('7'!CA217:CA221)</f>
        <v>0</v>
      </c>
      <c r="EH30">
        <f>SUM('7'!CB217:CB221)</f>
        <v>0</v>
      </c>
      <c r="EI30">
        <f>SUM('7'!CC217:CC221)</f>
        <v>0</v>
      </c>
      <c r="EJ30">
        <f>SUM('7'!CD217:CD221)</f>
        <v>0</v>
      </c>
      <c r="EK30">
        <f>SUM('7'!CE217:CE221)</f>
        <v>0</v>
      </c>
      <c r="EL30">
        <f>SUM('7'!CF217:CF221)</f>
        <v>0</v>
      </c>
      <c r="EM30">
        <f>SUM('7'!CG217:CG221)</f>
        <v>0</v>
      </c>
      <c r="EN30">
        <f>SUM('7'!CH217:CH221)</f>
        <v>0</v>
      </c>
      <c r="EO30">
        <f>SUM('7'!CI217:CI221)</f>
        <v>0</v>
      </c>
      <c r="EP30">
        <f>SUM('7'!CJ217:CJ221)</f>
        <v>0</v>
      </c>
      <c r="EQ30">
        <f>SUM('7'!CK217:CK221)</f>
        <v>0</v>
      </c>
      <c r="ER30">
        <f>SUM('7'!CL217:CL221)</f>
        <v>0</v>
      </c>
      <c r="ES30">
        <f>SUM('7'!CM217:CM221)</f>
        <v>0</v>
      </c>
      <c r="ET30">
        <f>SUM('7'!CN217:CN221)</f>
        <v>0</v>
      </c>
      <c r="EU30">
        <f>SUM('7'!CO217:CO221)</f>
        <v>0</v>
      </c>
      <c r="EV30">
        <f>SUM('7'!CP217:CP221)</f>
        <v>0</v>
      </c>
      <c r="EW30">
        <f>SUM('7'!CQ217:CQ221)</f>
        <v>0</v>
      </c>
      <c r="EX30">
        <f>SUM('7'!CR217:CR221)</f>
        <v>0</v>
      </c>
      <c r="EY30">
        <f>SUM('7'!CS217:CS221)</f>
        <v>0</v>
      </c>
      <c r="EZ30">
        <f>SUM('7'!CT217:CT221)</f>
        <v>0</v>
      </c>
      <c r="FA30">
        <f>SUM('7'!CU217:CU221)</f>
        <v>0</v>
      </c>
      <c r="FB30">
        <f>SUM('7'!CV217:CV221)</f>
        <v>0</v>
      </c>
      <c r="FC30">
        <f>SUM('7'!CW217:CW221)</f>
        <v>0</v>
      </c>
      <c r="FD30">
        <f>SUM('7'!CX217:CX221)</f>
        <v>0</v>
      </c>
      <c r="FE30">
        <f>SUM('7'!CY217:CY221)</f>
        <v>0</v>
      </c>
      <c r="FF30">
        <f>SUM('7'!CZ217:CZ221)</f>
        <v>0</v>
      </c>
      <c r="FG30">
        <f>SUM('7'!DA217:DA221)</f>
        <v>0</v>
      </c>
      <c r="FH30">
        <f>SUM('7'!DB217:DB221)</f>
        <v>0</v>
      </c>
      <c r="FI30">
        <f>SUM('7'!DC217:DC221)</f>
        <v>0</v>
      </c>
      <c r="FJ30">
        <f>SUM('7'!DD217:DD221)</f>
        <v>0</v>
      </c>
      <c r="FK30">
        <f>SUM('7'!DE217:DE221)</f>
        <v>0</v>
      </c>
      <c r="FL30">
        <f>SUM('7'!DF217:DF221)</f>
        <v>0</v>
      </c>
      <c r="FM30">
        <f>SUM('7'!DG217:DG221)</f>
        <v>0</v>
      </c>
      <c r="FN30" t="s">
        <v>3175</v>
      </c>
      <c r="FO30">
        <f t="shared" si="94"/>
        <v>0</v>
      </c>
      <c r="FP30" t="s">
        <v>3176</v>
      </c>
      <c r="FQ30">
        <f t="shared" si="0"/>
        <v>0</v>
      </c>
      <c r="FR30" t="s">
        <v>3177</v>
      </c>
      <c r="FS30">
        <f t="shared" si="1"/>
        <v>0</v>
      </c>
      <c r="FT30" t="s">
        <v>3178</v>
      </c>
      <c r="FU30">
        <f t="shared" si="2"/>
        <v>0</v>
      </c>
      <c r="FV30" t="s">
        <v>3179</v>
      </c>
      <c r="FW30">
        <f t="shared" si="3"/>
        <v>0</v>
      </c>
      <c r="FX30" t="s">
        <v>3180</v>
      </c>
      <c r="FY30">
        <f t="shared" si="4"/>
        <v>0</v>
      </c>
      <c r="FZ30" t="s">
        <v>3181</v>
      </c>
      <c r="GA30">
        <f t="shared" si="5"/>
        <v>0</v>
      </c>
      <c r="GB30" t="s">
        <v>3182</v>
      </c>
      <c r="GC30">
        <f t="shared" si="6"/>
        <v>0</v>
      </c>
      <c r="GD30" t="s">
        <v>3183</v>
      </c>
      <c r="GE30">
        <f t="shared" si="7"/>
        <v>0</v>
      </c>
      <c r="GF30" t="s">
        <v>3184</v>
      </c>
      <c r="GG30">
        <f t="shared" si="8"/>
        <v>0</v>
      </c>
      <c r="GH30" t="s">
        <v>3185</v>
      </c>
      <c r="GI30">
        <f t="shared" si="9"/>
        <v>0</v>
      </c>
      <c r="GJ30" t="s">
        <v>3186</v>
      </c>
      <c r="GK30">
        <f t="shared" si="10"/>
        <v>0</v>
      </c>
      <c r="GL30" t="s">
        <v>3187</v>
      </c>
      <c r="GM30">
        <f t="shared" si="11"/>
        <v>0</v>
      </c>
      <c r="GN30" t="s">
        <v>3188</v>
      </c>
      <c r="GO30">
        <f t="shared" si="95"/>
        <v>0</v>
      </c>
      <c r="GP30" t="s">
        <v>3189</v>
      </c>
      <c r="GQ30">
        <f t="shared" si="12"/>
        <v>0</v>
      </c>
      <c r="GR30" t="s">
        <v>3190</v>
      </c>
      <c r="GS30">
        <f t="shared" si="13"/>
        <v>0</v>
      </c>
      <c r="GT30" t="s">
        <v>3191</v>
      </c>
      <c r="GU30">
        <f t="shared" si="14"/>
        <v>0</v>
      </c>
      <c r="GV30" t="s">
        <v>3192</v>
      </c>
      <c r="GW30">
        <f t="shared" si="15"/>
        <v>0</v>
      </c>
      <c r="GX30" t="s">
        <v>3193</v>
      </c>
      <c r="GY30">
        <f t="shared" si="16"/>
        <v>0</v>
      </c>
      <c r="GZ30" t="s">
        <v>3194</v>
      </c>
      <c r="HA30">
        <f t="shared" si="17"/>
        <v>0</v>
      </c>
      <c r="HB30" t="s">
        <v>3195</v>
      </c>
      <c r="HC30">
        <f t="shared" si="18"/>
        <v>0</v>
      </c>
      <c r="HD30" t="s">
        <v>3196</v>
      </c>
      <c r="HE30">
        <f t="shared" si="19"/>
        <v>0</v>
      </c>
      <c r="HF30" t="s">
        <v>3197</v>
      </c>
      <c r="HG30">
        <f t="shared" si="20"/>
        <v>0</v>
      </c>
      <c r="HH30" t="s">
        <v>3198</v>
      </c>
      <c r="HI30">
        <f t="shared" si="21"/>
        <v>0</v>
      </c>
      <c r="HJ30" t="s">
        <v>3199</v>
      </c>
      <c r="HK30">
        <f t="shared" si="22"/>
        <v>0</v>
      </c>
      <c r="HL30" t="s">
        <v>3200</v>
      </c>
      <c r="HM30">
        <f t="shared" si="23"/>
        <v>0</v>
      </c>
      <c r="HN30" t="s">
        <v>3201</v>
      </c>
      <c r="HO30">
        <f t="shared" si="24"/>
        <v>0</v>
      </c>
      <c r="HP30" t="s">
        <v>3202</v>
      </c>
      <c r="HQ30">
        <f t="shared" si="25"/>
        <v>0</v>
      </c>
      <c r="HR30" t="s">
        <v>3203</v>
      </c>
      <c r="HS30">
        <f t="shared" si="26"/>
        <v>0</v>
      </c>
      <c r="HT30" t="s">
        <v>3204</v>
      </c>
      <c r="HU30">
        <f t="shared" si="27"/>
        <v>0</v>
      </c>
      <c r="HV30" t="s">
        <v>3205</v>
      </c>
      <c r="HW30">
        <f t="shared" si="28"/>
        <v>0</v>
      </c>
      <c r="HX30" t="s">
        <v>3206</v>
      </c>
      <c r="HY30">
        <f t="shared" si="29"/>
        <v>0</v>
      </c>
      <c r="HZ30" t="s">
        <v>3207</v>
      </c>
      <c r="IA30">
        <f t="shared" si="30"/>
        <v>0</v>
      </c>
      <c r="IB30" t="s">
        <v>3208</v>
      </c>
      <c r="IC30">
        <f t="shared" si="31"/>
        <v>0</v>
      </c>
      <c r="ID30" t="s">
        <v>3209</v>
      </c>
      <c r="IE30">
        <f t="shared" si="32"/>
        <v>0</v>
      </c>
      <c r="IF30" t="s">
        <v>3210</v>
      </c>
      <c r="IG30">
        <f t="shared" si="33"/>
        <v>0</v>
      </c>
      <c r="IH30" t="s">
        <v>3211</v>
      </c>
      <c r="II30">
        <f t="shared" si="34"/>
        <v>0</v>
      </c>
      <c r="IJ30" t="s">
        <v>3212</v>
      </c>
      <c r="IK30">
        <f t="shared" si="35"/>
        <v>0</v>
      </c>
      <c r="IL30" t="s">
        <v>3213</v>
      </c>
      <c r="IM30">
        <f t="shared" si="36"/>
        <v>0</v>
      </c>
      <c r="IN30" t="s">
        <v>3214</v>
      </c>
      <c r="IO30">
        <f t="shared" si="37"/>
        <v>0</v>
      </c>
      <c r="IP30" t="s">
        <v>3215</v>
      </c>
      <c r="IQ30">
        <f t="shared" si="38"/>
        <v>0</v>
      </c>
      <c r="IR30" t="s">
        <v>3216</v>
      </c>
      <c r="IS30">
        <f t="shared" si="39"/>
        <v>0</v>
      </c>
      <c r="IT30" t="s">
        <v>3217</v>
      </c>
      <c r="IU30">
        <f t="shared" si="40"/>
        <v>0</v>
      </c>
      <c r="IV30" t="s">
        <v>3218</v>
      </c>
      <c r="IW30">
        <f t="shared" si="41"/>
        <v>0</v>
      </c>
      <c r="IX30" t="s">
        <v>3219</v>
      </c>
      <c r="IY30">
        <f t="shared" si="42"/>
        <v>0</v>
      </c>
      <c r="IZ30" t="s">
        <v>3220</v>
      </c>
      <c r="JA30">
        <f t="shared" si="43"/>
        <v>0</v>
      </c>
      <c r="JB30" t="s">
        <v>3221</v>
      </c>
      <c r="JC30">
        <f t="shared" si="44"/>
        <v>0</v>
      </c>
      <c r="JD30" t="s">
        <v>3222</v>
      </c>
      <c r="JE30">
        <f t="shared" si="45"/>
        <v>0</v>
      </c>
      <c r="JF30" t="s">
        <v>3223</v>
      </c>
      <c r="JG30">
        <f t="shared" si="46"/>
        <v>0</v>
      </c>
      <c r="JH30" t="s">
        <v>3224</v>
      </c>
      <c r="JI30">
        <f t="shared" si="47"/>
        <v>0</v>
      </c>
      <c r="JJ30" t="s">
        <v>3225</v>
      </c>
      <c r="JK30">
        <f t="shared" si="48"/>
        <v>0</v>
      </c>
      <c r="JL30" t="s">
        <v>3226</v>
      </c>
      <c r="JM30">
        <f t="shared" si="49"/>
        <v>0</v>
      </c>
      <c r="JN30" t="s">
        <v>3227</v>
      </c>
      <c r="JO30">
        <f t="shared" si="50"/>
        <v>0</v>
      </c>
      <c r="JP30" t="s">
        <v>3228</v>
      </c>
      <c r="JQ30">
        <f t="shared" si="51"/>
        <v>0</v>
      </c>
      <c r="JR30" t="s">
        <v>3229</v>
      </c>
      <c r="JS30">
        <f t="shared" si="52"/>
        <v>0</v>
      </c>
      <c r="JT30" t="s">
        <v>3230</v>
      </c>
      <c r="JU30">
        <f t="shared" si="53"/>
        <v>0</v>
      </c>
      <c r="JV30" t="s">
        <v>3231</v>
      </c>
      <c r="JW30">
        <f t="shared" si="54"/>
        <v>0</v>
      </c>
      <c r="JX30" t="s">
        <v>3232</v>
      </c>
      <c r="JY30">
        <f t="shared" si="55"/>
        <v>0</v>
      </c>
      <c r="JZ30" t="s">
        <v>3233</v>
      </c>
      <c r="KA30">
        <f t="shared" si="56"/>
        <v>0</v>
      </c>
      <c r="KB30" t="s">
        <v>3234</v>
      </c>
      <c r="KC30">
        <f t="shared" si="57"/>
        <v>0</v>
      </c>
      <c r="KD30" t="s">
        <v>3235</v>
      </c>
      <c r="KE30">
        <f t="shared" si="58"/>
        <v>0</v>
      </c>
      <c r="KF30" t="s">
        <v>3236</v>
      </c>
      <c r="KG30">
        <f t="shared" si="59"/>
        <v>0</v>
      </c>
      <c r="KH30" t="s">
        <v>3237</v>
      </c>
      <c r="KI30">
        <f t="shared" si="60"/>
        <v>0</v>
      </c>
      <c r="KJ30" t="s">
        <v>3238</v>
      </c>
      <c r="KK30">
        <f t="shared" si="61"/>
        <v>0</v>
      </c>
      <c r="KL30" t="s">
        <v>3239</v>
      </c>
      <c r="KM30">
        <f t="shared" si="62"/>
        <v>0</v>
      </c>
      <c r="KN30" t="s">
        <v>3240</v>
      </c>
      <c r="KO30">
        <f t="shared" si="63"/>
        <v>0</v>
      </c>
      <c r="KP30" t="s">
        <v>3241</v>
      </c>
      <c r="KQ30">
        <f t="shared" si="64"/>
        <v>0</v>
      </c>
      <c r="KR30" t="s">
        <v>3242</v>
      </c>
      <c r="KS30">
        <f t="shared" si="65"/>
        <v>0</v>
      </c>
      <c r="KT30" t="s">
        <v>3243</v>
      </c>
      <c r="KU30">
        <f t="shared" si="66"/>
        <v>0</v>
      </c>
      <c r="KV30" t="s">
        <v>3244</v>
      </c>
      <c r="KW30">
        <f t="shared" si="67"/>
        <v>0</v>
      </c>
      <c r="KX30" t="s">
        <v>3245</v>
      </c>
      <c r="KY30">
        <f t="shared" si="68"/>
        <v>0</v>
      </c>
      <c r="KZ30" t="s">
        <v>3246</v>
      </c>
      <c r="LA30">
        <f t="shared" si="69"/>
        <v>0</v>
      </c>
      <c r="LB30" t="s">
        <v>3247</v>
      </c>
      <c r="LC30">
        <f t="shared" si="70"/>
        <v>0</v>
      </c>
      <c r="LD30" t="s">
        <v>3248</v>
      </c>
      <c r="LE30">
        <f t="shared" si="71"/>
        <v>0</v>
      </c>
      <c r="LF30" t="s">
        <v>3249</v>
      </c>
      <c r="LG30">
        <f t="shared" si="72"/>
        <v>0</v>
      </c>
      <c r="LH30" t="s">
        <v>3250</v>
      </c>
      <c r="LI30">
        <f t="shared" si="73"/>
        <v>0</v>
      </c>
      <c r="LJ30" t="s">
        <v>3251</v>
      </c>
      <c r="LK30">
        <f t="shared" si="74"/>
        <v>0</v>
      </c>
      <c r="LL30" t="s">
        <v>3252</v>
      </c>
      <c r="LM30">
        <f t="shared" si="75"/>
        <v>0</v>
      </c>
      <c r="LN30" t="s">
        <v>3253</v>
      </c>
      <c r="LO30">
        <f t="shared" si="76"/>
        <v>0</v>
      </c>
      <c r="LP30" t="s">
        <v>3254</v>
      </c>
      <c r="LQ30">
        <f t="shared" si="77"/>
        <v>0</v>
      </c>
      <c r="LR30" t="s">
        <v>3255</v>
      </c>
      <c r="LS30">
        <f t="shared" si="78"/>
        <v>0</v>
      </c>
      <c r="LT30" t="s">
        <v>3256</v>
      </c>
      <c r="LU30">
        <f t="shared" si="79"/>
        <v>0</v>
      </c>
      <c r="LV30" t="s">
        <v>3257</v>
      </c>
      <c r="LW30">
        <f t="shared" si="80"/>
        <v>0</v>
      </c>
      <c r="LX30" t="s">
        <v>3258</v>
      </c>
      <c r="LY30">
        <f t="shared" si="81"/>
        <v>0</v>
      </c>
      <c r="LZ30">
        <f>'6'!B112</f>
        <v>0</v>
      </c>
      <c r="MA30">
        <f>'6'!C112</f>
        <v>0</v>
      </c>
      <c r="MB30">
        <f>'6'!D112</f>
        <v>0</v>
      </c>
      <c r="MC30">
        <f>'6'!E112</f>
        <v>0</v>
      </c>
      <c r="MD30">
        <f>'6'!F112</f>
        <v>0</v>
      </c>
      <c r="ME30">
        <f>'6'!G112</f>
        <v>0</v>
      </c>
      <c r="MF30">
        <f>'6'!H112</f>
        <v>0</v>
      </c>
      <c r="MG30">
        <f>'6'!I112</f>
        <v>0</v>
      </c>
      <c r="MH30">
        <f>'6'!J112</f>
        <v>0</v>
      </c>
      <c r="MI30">
        <f>'6'!K112</f>
        <v>0</v>
      </c>
      <c r="MJ30">
        <f>'6'!L112</f>
        <v>0</v>
      </c>
      <c r="MK30">
        <f>'6'!M112</f>
        <v>0</v>
      </c>
      <c r="ML30" s="13">
        <f>'7'!B215</f>
        <v>0</v>
      </c>
      <c r="MM30" s="13">
        <f>'7'!C215</f>
        <v>0</v>
      </c>
      <c r="MN30" s="13">
        <f>'7'!D215</f>
        <v>0</v>
      </c>
      <c r="MO30" s="13">
        <f>'7'!E215</f>
        <v>0</v>
      </c>
      <c r="MP30" s="13">
        <f>'7'!F215</f>
        <v>0</v>
      </c>
      <c r="MQ30" s="13">
        <f>'7'!G215</f>
        <v>0</v>
      </c>
      <c r="MR30" s="13">
        <f>'7'!H215</f>
        <v>0</v>
      </c>
      <c r="MS30" s="13">
        <f>'7'!I215</f>
        <v>0</v>
      </c>
      <c r="MT30" s="13">
        <f>'7'!J215</f>
        <v>0</v>
      </c>
      <c r="MU30" s="13">
        <f>'7'!K215</f>
        <v>0</v>
      </c>
      <c r="MV30" s="13">
        <f>'7'!L215</f>
        <v>0</v>
      </c>
      <c r="MW30" s="13">
        <f>'7'!M215</f>
        <v>0</v>
      </c>
      <c r="MX30" s="13" t="s">
        <v>3259</v>
      </c>
      <c r="MY30">
        <f t="shared" si="82"/>
        <v>0</v>
      </c>
      <c r="MZ30" s="13" t="s">
        <v>3260</v>
      </c>
      <c r="NA30">
        <f t="shared" si="83"/>
        <v>0</v>
      </c>
      <c r="NB30" s="13" t="s">
        <v>3261</v>
      </c>
      <c r="NC30">
        <f t="shared" si="84"/>
        <v>0</v>
      </c>
      <c r="ND30" s="13" t="s">
        <v>3262</v>
      </c>
      <c r="NE30">
        <f t="shared" si="85"/>
        <v>0</v>
      </c>
      <c r="NF30" s="13" t="s">
        <v>3263</v>
      </c>
      <c r="NG30">
        <f t="shared" si="86"/>
        <v>0</v>
      </c>
      <c r="NH30" s="13" t="s">
        <v>3264</v>
      </c>
      <c r="NI30">
        <f t="shared" si="87"/>
        <v>0</v>
      </c>
      <c r="NJ30" s="13" t="s">
        <v>3265</v>
      </c>
      <c r="NK30">
        <f t="shared" si="88"/>
        <v>0</v>
      </c>
      <c r="NL30" s="13" t="s">
        <v>3266</v>
      </c>
      <c r="NM30">
        <f t="shared" si="89"/>
        <v>0</v>
      </c>
      <c r="NN30" s="13" t="s">
        <v>3267</v>
      </c>
      <c r="NO30">
        <f t="shared" si="90"/>
        <v>0</v>
      </c>
      <c r="NP30" s="13" t="s">
        <v>3268</v>
      </c>
      <c r="NQ30">
        <f t="shared" si="91"/>
        <v>0</v>
      </c>
      <c r="NR30" s="13" t="s">
        <v>3269</v>
      </c>
      <c r="NS30">
        <f t="shared" si="92"/>
        <v>0</v>
      </c>
      <c r="NT30" s="13" t="s">
        <v>3270</v>
      </c>
      <c r="NU30">
        <f t="shared" si="93"/>
        <v>0</v>
      </c>
      <c r="NV30" s="13"/>
    </row>
    <row r="31" spans="1:386" customFormat="1" x14ac:dyDescent="0.25">
      <c r="A31">
        <v>28</v>
      </c>
      <c r="B31">
        <f>'6'!AB115</f>
        <v>0</v>
      </c>
      <c r="C31">
        <f>'6'!AC115</f>
        <v>0</v>
      </c>
      <c r="D31">
        <f>'6'!AD115</f>
        <v>0</v>
      </c>
      <c r="E31">
        <f>'6'!AE115</f>
        <v>0</v>
      </c>
      <c r="F31">
        <f>'6'!AF115</f>
        <v>0</v>
      </c>
      <c r="G31">
        <f>'6'!AG115</f>
        <v>0</v>
      </c>
      <c r="H31">
        <f>'6'!AH115</f>
        <v>0</v>
      </c>
      <c r="I31">
        <f>'6'!AI115</f>
        <v>0</v>
      </c>
      <c r="J31">
        <f>'6'!AJ115</f>
        <v>0</v>
      </c>
      <c r="K31">
        <f>'6'!AK115</f>
        <v>0</v>
      </c>
      <c r="L31">
        <f>'6'!AL115</f>
        <v>0</v>
      </c>
      <c r="M31">
        <f>'6'!AM115</f>
        <v>0</v>
      </c>
      <c r="N31">
        <f>'6'!AN115</f>
        <v>0</v>
      </c>
      <c r="O31">
        <f>'6'!AO115</f>
        <v>0</v>
      </c>
      <c r="P31">
        <f>'6'!AP115</f>
        <v>0</v>
      </c>
      <c r="Q31">
        <f>'6'!AQ115</f>
        <v>0</v>
      </c>
      <c r="R31">
        <f>'6'!AR115</f>
        <v>0</v>
      </c>
      <c r="S31">
        <f>'6'!AS115</f>
        <v>0</v>
      </c>
      <c r="T31">
        <f>'6'!AT115</f>
        <v>0</v>
      </c>
      <c r="U31">
        <f>'6'!AU115</f>
        <v>0</v>
      </c>
      <c r="V31">
        <f>'6'!AV115</f>
        <v>0</v>
      </c>
      <c r="W31">
        <f>'6'!AW115</f>
        <v>0</v>
      </c>
      <c r="X31">
        <f>'6'!AX115</f>
        <v>0</v>
      </c>
      <c r="Y31">
        <f>'6'!AY115</f>
        <v>0</v>
      </c>
      <c r="Z31">
        <f>'6'!AZ115</f>
        <v>0</v>
      </c>
      <c r="AA31">
        <f>'6'!BA115</f>
        <v>0</v>
      </c>
      <c r="AB31">
        <f>'6'!BB115</f>
        <v>0</v>
      </c>
      <c r="AC31">
        <f>'6'!BC115</f>
        <v>0</v>
      </c>
      <c r="AD31">
        <f>'6'!BD115</f>
        <v>0</v>
      </c>
      <c r="AE31">
        <f>'6'!BE115</f>
        <v>0</v>
      </c>
      <c r="AF31">
        <f>'6'!BF115</f>
        <v>0</v>
      </c>
      <c r="AG31">
        <f>'6'!BG115</f>
        <v>0</v>
      </c>
      <c r="AH31">
        <f>'6'!BH115</f>
        <v>0</v>
      </c>
      <c r="AI31">
        <f>'6'!BI115</f>
        <v>0</v>
      </c>
      <c r="AJ31">
        <f>'6'!BJ115</f>
        <v>0</v>
      </c>
      <c r="AK31">
        <f>'6'!BK115</f>
        <v>0</v>
      </c>
      <c r="AL31">
        <f>'6'!BL115</f>
        <v>0</v>
      </c>
      <c r="AM31">
        <f>'6'!BM115</f>
        <v>0</v>
      </c>
      <c r="AN31">
        <f>'6'!BN115</f>
        <v>0</v>
      </c>
      <c r="AO31">
        <f>'6'!BO115</f>
        <v>0</v>
      </c>
      <c r="AP31">
        <f>'6'!BP115</f>
        <v>0</v>
      </c>
      <c r="AQ31">
        <f>'6'!BQ115</f>
        <v>0</v>
      </c>
      <c r="AR31">
        <f>'6'!BR115</f>
        <v>0</v>
      </c>
      <c r="AS31">
        <f>'6'!BS115</f>
        <v>0</v>
      </c>
      <c r="AT31">
        <f>'6'!BT115</f>
        <v>0</v>
      </c>
      <c r="AU31">
        <f>'6'!BU115</f>
        <v>0</v>
      </c>
      <c r="AV31">
        <f>'6'!BV115</f>
        <v>0</v>
      </c>
      <c r="AW31">
        <f>'6'!BW115</f>
        <v>0</v>
      </c>
      <c r="AX31">
        <f>'6'!BX115</f>
        <v>0</v>
      </c>
      <c r="AY31">
        <f>'6'!BY115</f>
        <v>0</v>
      </c>
      <c r="AZ31">
        <f>'6'!BZ115</f>
        <v>0</v>
      </c>
      <c r="BA31">
        <f>'6'!CA115</f>
        <v>0</v>
      </c>
      <c r="BB31">
        <f>'6'!CB115</f>
        <v>0</v>
      </c>
      <c r="BC31">
        <f>'6'!CC115</f>
        <v>0</v>
      </c>
      <c r="BD31">
        <f>'6'!CD115</f>
        <v>0</v>
      </c>
      <c r="BE31">
        <f>'6'!CE115</f>
        <v>0</v>
      </c>
      <c r="BF31">
        <f>'6'!CF115</f>
        <v>0</v>
      </c>
      <c r="BG31">
        <f>'6'!CG115</f>
        <v>0</v>
      </c>
      <c r="BH31">
        <f>'6'!CH115</f>
        <v>0</v>
      </c>
      <c r="BI31">
        <f>'6'!CI115</f>
        <v>0</v>
      </c>
      <c r="BJ31">
        <f>'6'!CJ115</f>
        <v>0</v>
      </c>
      <c r="BK31">
        <f>'6'!CK115</f>
        <v>0</v>
      </c>
      <c r="BL31">
        <f>'6'!CL115</f>
        <v>0</v>
      </c>
      <c r="BM31">
        <f>'6'!CM115</f>
        <v>0</v>
      </c>
      <c r="BN31">
        <f>'6'!CN115</f>
        <v>0</v>
      </c>
      <c r="BO31">
        <f>'6'!CO115</f>
        <v>0</v>
      </c>
      <c r="BP31">
        <f>'6'!CP115</f>
        <v>0</v>
      </c>
      <c r="BQ31">
        <f>'6'!CQ115</f>
        <v>0</v>
      </c>
      <c r="BR31">
        <f>'6'!CR115</f>
        <v>0</v>
      </c>
      <c r="BS31">
        <f>'6'!CS115</f>
        <v>0</v>
      </c>
      <c r="BT31">
        <f>'6'!CT115</f>
        <v>0</v>
      </c>
      <c r="BU31">
        <f>'6'!CU115</f>
        <v>0</v>
      </c>
      <c r="BV31">
        <f>'6'!CV115</f>
        <v>0</v>
      </c>
      <c r="BW31">
        <f>'6'!CW115</f>
        <v>0</v>
      </c>
      <c r="BX31">
        <f>'6'!CX115</f>
        <v>0</v>
      </c>
      <c r="BY31">
        <f>'6'!CY115</f>
        <v>0</v>
      </c>
      <c r="BZ31">
        <f>'6'!CZ115</f>
        <v>0</v>
      </c>
      <c r="CA31">
        <f>'6'!DA115</f>
        <v>0</v>
      </c>
      <c r="CB31">
        <f>'6'!DB115</f>
        <v>0</v>
      </c>
      <c r="CC31">
        <f>'6'!DC115</f>
        <v>0</v>
      </c>
      <c r="CD31">
        <f>'6'!DD115</f>
        <v>0</v>
      </c>
      <c r="CE31">
        <f>'6'!DE115</f>
        <v>0</v>
      </c>
      <c r="CF31">
        <f>'6'!DF115</f>
        <v>0</v>
      </c>
      <c r="CG31">
        <f>'6'!DG115</f>
        <v>0</v>
      </c>
      <c r="CH31">
        <f>SUM('7'!AB225:AB229)</f>
        <v>0</v>
      </c>
      <c r="CI31">
        <f>SUM('7'!AC225:AC229)</f>
        <v>0</v>
      </c>
      <c r="CJ31">
        <f>SUM('7'!AD225:AD229)</f>
        <v>0</v>
      </c>
      <c r="CK31">
        <f>SUM('7'!AE225:AE229)</f>
        <v>0</v>
      </c>
      <c r="CL31">
        <f>SUM('7'!AF225:AF229)</f>
        <v>0</v>
      </c>
      <c r="CM31">
        <f>SUM('7'!AG225:AG229)</f>
        <v>0</v>
      </c>
      <c r="CN31">
        <f>SUM('7'!AH225:AH229)</f>
        <v>0</v>
      </c>
      <c r="CO31">
        <f>SUM('7'!AI225:AI229)</f>
        <v>0</v>
      </c>
      <c r="CP31">
        <f>SUM('7'!AJ225:AJ229)</f>
        <v>0</v>
      </c>
      <c r="CQ31">
        <f>SUM('7'!AK225:AK229)</f>
        <v>0</v>
      </c>
      <c r="CR31">
        <f>SUM('7'!AL225:AL229)</f>
        <v>0</v>
      </c>
      <c r="CS31">
        <f>SUM('7'!AM225:AM229)</f>
        <v>0</v>
      </c>
      <c r="CT31">
        <f>SUM('7'!AN225:AN229)</f>
        <v>0</v>
      </c>
      <c r="CU31">
        <f>SUM('7'!AO225:AO229)</f>
        <v>0</v>
      </c>
      <c r="CV31">
        <f>SUM('7'!AP225:AP229)</f>
        <v>0</v>
      </c>
      <c r="CW31">
        <f>SUM('7'!AQ225:AQ229)</f>
        <v>0</v>
      </c>
      <c r="CX31">
        <f>SUM('7'!AR225:AR229)</f>
        <v>0</v>
      </c>
      <c r="CY31">
        <f>SUM('7'!AS225:AS229)</f>
        <v>0</v>
      </c>
      <c r="CZ31">
        <f>SUM('7'!AT225:AT229)</f>
        <v>0</v>
      </c>
      <c r="DA31">
        <f>SUM('7'!AU225:AU229)</f>
        <v>0</v>
      </c>
      <c r="DB31">
        <f>SUM('7'!AV225:AV229)</f>
        <v>0</v>
      </c>
      <c r="DC31">
        <f>SUM('7'!AW225:AW229)</f>
        <v>0</v>
      </c>
      <c r="DD31">
        <f>SUM('7'!AX225:AX229)</f>
        <v>0</v>
      </c>
      <c r="DE31">
        <f>SUM('7'!AY225:AY229)</f>
        <v>0</v>
      </c>
      <c r="DF31">
        <f>SUM('7'!AZ225:AZ229)</f>
        <v>0</v>
      </c>
      <c r="DG31">
        <f>SUM('7'!BA225:BA229)</f>
        <v>0</v>
      </c>
      <c r="DH31">
        <f>SUM('7'!BB225:BB229)</f>
        <v>0</v>
      </c>
      <c r="DI31">
        <f>SUM('7'!BC225:BC229)</f>
        <v>0</v>
      </c>
      <c r="DJ31">
        <f>SUM('7'!BD225:BD229)</f>
        <v>0</v>
      </c>
      <c r="DK31">
        <f>SUM('7'!BE225:BE229)</f>
        <v>0</v>
      </c>
      <c r="DL31">
        <f>SUM('7'!BF225:BF229)</f>
        <v>0</v>
      </c>
      <c r="DM31">
        <f>SUM('7'!BG225:BG229)</f>
        <v>0</v>
      </c>
      <c r="DN31">
        <f>SUM('7'!BH225:BH229)</f>
        <v>0</v>
      </c>
      <c r="DO31">
        <f>SUM('7'!BI225:BI229)</f>
        <v>0</v>
      </c>
      <c r="DP31">
        <f>SUM('7'!BJ225:BJ229)</f>
        <v>0</v>
      </c>
      <c r="DQ31">
        <f>SUM('7'!BK225:BK229)</f>
        <v>0</v>
      </c>
      <c r="DR31">
        <f>SUM('7'!BL225:BL229)</f>
        <v>0</v>
      </c>
      <c r="DS31">
        <f>SUM('7'!BM225:BM229)</f>
        <v>0</v>
      </c>
      <c r="DT31">
        <f>SUM('7'!BN225:BN229)</f>
        <v>0</v>
      </c>
      <c r="DU31">
        <f>SUM('7'!BO225:BO229)</f>
        <v>0</v>
      </c>
      <c r="DV31">
        <f>SUM('7'!BP225:BP229)</f>
        <v>0</v>
      </c>
      <c r="DW31">
        <f>SUM('7'!BQ225:BQ229)</f>
        <v>0</v>
      </c>
      <c r="DX31">
        <f>SUM('7'!BR225:BR229)</f>
        <v>0</v>
      </c>
      <c r="DY31">
        <f>SUM('7'!BS225:BS229)</f>
        <v>0</v>
      </c>
      <c r="DZ31">
        <f>SUM('7'!BT225:BT229)</f>
        <v>0</v>
      </c>
      <c r="EA31">
        <f>SUM('7'!BU225:BU229)</f>
        <v>0</v>
      </c>
      <c r="EB31">
        <f>SUM('7'!BV225:BV229)</f>
        <v>0</v>
      </c>
      <c r="EC31">
        <f>SUM('7'!BW225:BW229)</f>
        <v>0</v>
      </c>
      <c r="ED31">
        <f>SUM('7'!BX225:BX229)</f>
        <v>0</v>
      </c>
      <c r="EE31">
        <f>SUM('7'!BY225:BY229)</f>
        <v>0</v>
      </c>
      <c r="EF31">
        <f>SUM('7'!BZ225:BZ229)</f>
        <v>0</v>
      </c>
      <c r="EG31">
        <f>SUM('7'!CA225:CA229)</f>
        <v>0</v>
      </c>
      <c r="EH31">
        <f>SUM('7'!CB225:CB229)</f>
        <v>0</v>
      </c>
      <c r="EI31">
        <f>SUM('7'!CC225:CC229)</f>
        <v>0</v>
      </c>
      <c r="EJ31">
        <f>SUM('7'!CD225:CD229)</f>
        <v>0</v>
      </c>
      <c r="EK31">
        <f>SUM('7'!CE225:CE229)</f>
        <v>0</v>
      </c>
      <c r="EL31">
        <f>SUM('7'!CF225:CF229)</f>
        <v>0</v>
      </c>
      <c r="EM31">
        <f>SUM('7'!CG225:CG229)</f>
        <v>0</v>
      </c>
      <c r="EN31">
        <f>SUM('7'!CH225:CH229)</f>
        <v>0</v>
      </c>
      <c r="EO31">
        <f>SUM('7'!CI225:CI229)</f>
        <v>0</v>
      </c>
      <c r="EP31">
        <f>SUM('7'!CJ225:CJ229)</f>
        <v>0</v>
      </c>
      <c r="EQ31">
        <f>SUM('7'!CK225:CK229)</f>
        <v>0</v>
      </c>
      <c r="ER31">
        <f>SUM('7'!CL225:CL229)</f>
        <v>0</v>
      </c>
      <c r="ES31">
        <f>SUM('7'!CM225:CM229)</f>
        <v>0</v>
      </c>
      <c r="ET31">
        <f>SUM('7'!CN225:CN229)</f>
        <v>0</v>
      </c>
      <c r="EU31">
        <f>SUM('7'!CO225:CO229)</f>
        <v>0</v>
      </c>
      <c r="EV31">
        <f>SUM('7'!CP225:CP229)</f>
        <v>0</v>
      </c>
      <c r="EW31">
        <f>SUM('7'!CQ225:CQ229)</f>
        <v>0</v>
      </c>
      <c r="EX31">
        <f>SUM('7'!CR225:CR229)</f>
        <v>0</v>
      </c>
      <c r="EY31">
        <f>SUM('7'!CS225:CS229)</f>
        <v>0</v>
      </c>
      <c r="EZ31">
        <f>SUM('7'!CT225:CT229)</f>
        <v>0</v>
      </c>
      <c r="FA31">
        <f>SUM('7'!CU225:CU229)</f>
        <v>0</v>
      </c>
      <c r="FB31">
        <f>SUM('7'!CV225:CV229)</f>
        <v>0</v>
      </c>
      <c r="FC31">
        <f>SUM('7'!CW225:CW229)</f>
        <v>0</v>
      </c>
      <c r="FD31">
        <f>SUM('7'!CX225:CX229)</f>
        <v>0</v>
      </c>
      <c r="FE31">
        <f>SUM('7'!CY225:CY229)</f>
        <v>0</v>
      </c>
      <c r="FF31">
        <f>SUM('7'!CZ225:CZ229)</f>
        <v>0</v>
      </c>
      <c r="FG31">
        <f>SUM('7'!DA225:DA229)</f>
        <v>0</v>
      </c>
      <c r="FH31">
        <f>SUM('7'!DB225:DB229)</f>
        <v>0</v>
      </c>
      <c r="FI31">
        <f>SUM('7'!DC225:DC229)</f>
        <v>0</v>
      </c>
      <c r="FJ31">
        <f>SUM('7'!DD225:DD229)</f>
        <v>0</v>
      </c>
      <c r="FK31">
        <f>SUM('7'!DE225:DE229)</f>
        <v>0</v>
      </c>
      <c r="FL31">
        <f>SUM('7'!DF225:DF229)</f>
        <v>0</v>
      </c>
      <c r="FM31">
        <f>SUM('7'!DG225:DG229)</f>
        <v>0</v>
      </c>
      <c r="FN31" t="s">
        <v>3271</v>
      </c>
      <c r="FO31">
        <f t="shared" si="94"/>
        <v>0</v>
      </c>
      <c r="FP31" t="s">
        <v>3272</v>
      </c>
      <c r="FQ31">
        <f t="shared" si="0"/>
        <v>0</v>
      </c>
      <c r="FR31" t="s">
        <v>3273</v>
      </c>
      <c r="FS31">
        <f t="shared" si="1"/>
        <v>0</v>
      </c>
      <c r="FT31" t="s">
        <v>3274</v>
      </c>
      <c r="FU31">
        <f t="shared" si="2"/>
        <v>0</v>
      </c>
      <c r="FV31" t="s">
        <v>3275</v>
      </c>
      <c r="FW31">
        <f t="shared" si="3"/>
        <v>0</v>
      </c>
      <c r="FX31" t="s">
        <v>3276</v>
      </c>
      <c r="FY31">
        <f t="shared" si="4"/>
        <v>0</v>
      </c>
      <c r="FZ31" t="s">
        <v>3277</v>
      </c>
      <c r="GA31">
        <f t="shared" si="5"/>
        <v>0</v>
      </c>
      <c r="GB31" t="s">
        <v>3278</v>
      </c>
      <c r="GC31">
        <f t="shared" si="6"/>
        <v>0</v>
      </c>
      <c r="GD31" t="s">
        <v>3279</v>
      </c>
      <c r="GE31">
        <f t="shared" si="7"/>
        <v>0</v>
      </c>
      <c r="GF31" t="s">
        <v>3280</v>
      </c>
      <c r="GG31">
        <f t="shared" si="8"/>
        <v>0</v>
      </c>
      <c r="GH31" t="s">
        <v>3281</v>
      </c>
      <c r="GI31">
        <f t="shared" si="9"/>
        <v>0</v>
      </c>
      <c r="GJ31" t="s">
        <v>3282</v>
      </c>
      <c r="GK31">
        <f t="shared" si="10"/>
        <v>0</v>
      </c>
      <c r="GL31" t="s">
        <v>3283</v>
      </c>
      <c r="GM31">
        <f t="shared" si="11"/>
        <v>0</v>
      </c>
      <c r="GN31" t="s">
        <v>3284</v>
      </c>
      <c r="GO31">
        <f t="shared" si="95"/>
        <v>0</v>
      </c>
      <c r="GP31" t="s">
        <v>3285</v>
      </c>
      <c r="GQ31">
        <f t="shared" si="12"/>
        <v>0</v>
      </c>
      <c r="GR31" t="s">
        <v>3286</v>
      </c>
      <c r="GS31">
        <f t="shared" si="13"/>
        <v>0</v>
      </c>
      <c r="GT31" t="s">
        <v>3287</v>
      </c>
      <c r="GU31">
        <f t="shared" si="14"/>
        <v>0</v>
      </c>
      <c r="GV31" t="s">
        <v>3288</v>
      </c>
      <c r="GW31">
        <f t="shared" si="15"/>
        <v>0</v>
      </c>
      <c r="GX31" t="s">
        <v>3289</v>
      </c>
      <c r="GY31">
        <f t="shared" si="16"/>
        <v>0</v>
      </c>
      <c r="GZ31" t="s">
        <v>3290</v>
      </c>
      <c r="HA31">
        <f t="shared" si="17"/>
        <v>0</v>
      </c>
      <c r="HB31" t="s">
        <v>3291</v>
      </c>
      <c r="HC31">
        <f t="shared" si="18"/>
        <v>0</v>
      </c>
      <c r="HD31" t="s">
        <v>3292</v>
      </c>
      <c r="HE31">
        <f t="shared" si="19"/>
        <v>0</v>
      </c>
      <c r="HF31" t="s">
        <v>3293</v>
      </c>
      <c r="HG31">
        <f t="shared" si="20"/>
        <v>0</v>
      </c>
      <c r="HH31" t="s">
        <v>3294</v>
      </c>
      <c r="HI31">
        <f t="shared" si="21"/>
        <v>0</v>
      </c>
      <c r="HJ31" t="s">
        <v>3295</v>
      </c>
      <c r="HK31">
        <f t="shared" si="22"/>
        <v>0</v>
      </c>
      <c r="HL31" t="s">
        <v>3296</v>
      </c>
      <c r="HM31">
        <f t="shared" si="23"/>
        <v>0</v>
      </c>
      <c r="HN31" t="s">
        <v>3297</v>
      </c>
      <c r="HO31">
        <f t="shared" si="24"/>
        <v>0</v>
      </c>
      <c r="HP31" t="s">
        <v>3298</v>
      </c>
      <c r="HQ31">
        <f t="shared" si="25"/>
        <v>0</v>
      </c>
      <c r="HR31" t="s">
        <v>3299</v>
      </c>
      <c r="HS31">
        <f t="shared" si="26"/>
        <v>0</v>
      </c>
      <c r="HT31" t="s">
        <v>3300</v>
      </c>
      <c r="HU31">
        <f t="shared" si="27"/>
        <v>0</v>
      </c>
      <c r="HV31" t="s">
        <v>3301</v>
      </c>
      <c r="HW31">
        <f t="shared" si="28"/>
        <v>0</v>
      </c>
      <c r="HX31" t="s">
        <v>3302</v>
      </c>
      <c r="HY31">
        <f t="shared" si="29"/>
        <v>0</v>
      </c>
      <c r="HZ31" t="s">
        <v>3303</v>
      </c>
      <c r="IA31">
        <f t="shared" si="30"/>
        <v>0</v>
      </c>
      <c r="IB31" t="s">
        <v>3304</v>
      </c>
      <c r="IC31">
        <f t="shared" si="31"/>
        <v>0</v>
      </c>
      <c r="ID31" t="s">
        <v>3305</v>
      </c>
      <c r="IE31">
        <f t="shared" si="32"/>
        <v>0</v>
      </c>
      <c r="IF31" t="s">
        <v>3306</v>
      </c>
      <c r="IG31">
        <f t="shared" si="33"/>
        <v>0</v>
      </c>
      <c r="IH31" t="s">
        <v>3307</v>
      </c>
      <c r="II31">
        <f t="shared" si="34"/>
        <v>0</v>
      </c>
      <c r="IJ31" t="s">
        <v>3308</v>
      </c>
      <c r="IK31">
        <f t="shared" si="35"/>
        <v>0</v>
      </c>
      <c r="IL31" t="s">
        <v>3309</v>
      </c>
      <c r="IM31">
        <f t="shared" si="36"/>
        <v>0</v>
      </c>
      <c r="IN31" t="s">
        <v>3310</v>
      </c>
      <c r="IO31">
        <f t="shared" si="37"/>
        <v>0</v>
      </c>
      <c r="IP31" t="s">
        <v>3311</v>
      </c>
      <c r="IQ31">
        <f t="shared" si="38"/>
        <v>0</v>
      </c>
      <c r="IR31" t="s">
        <v>3312</v>
      </c>
      <c r="IS31">
        <f t="shared" si="39"/>
        <v>0</v>
      </c>
      <c r="IT31" t="s">
        <v>3313</v>
      </c>
      <c r="IU31">
        <f t="shared" si="40"/>
        <v>0</v>
      </c>
      <c r="IV31" t="s">
        <v>3314</v>
      </c>
      <c r="IW31">
        <f t="shared" si="41"/>
        <v>0</v>
      </c>
      <c r="IX31" t="s">
        <v>3315</v>
      </c>
      <c r="IY31">
        <f t="shared" si="42"/>
        <v>0</v>
      </c>
      <c r="IZ31" t="s">
        <v>3316</v>
      </c>
      <c r="JA31">
        <f t="shared" si="43"/>
        <v>0</v>
      </c>
      <c r="JB31" t="s">
        <v>3317</v>
      </c>
      <c r="JC31">
        <f t="shared" si="44"/>
        <v>0</v>
      </c>
      <c r="JD31" t="s">
        <v>3318</v>
      </c>
      <c r="JE31">
        <f t="shared" si="45"/>
        <v>0</v>
      </c>
      <c r="JF31" t="s">
        <v>3319</v>
      </c>
      <c r="JG31">
        <f t="shared" si="46"/>
        <v>0</v>
      </c>
      <c r="JH31" t="s">
        <v>3320</v>
      </c>
      <c r="JI31">
        <f t="shared" si="47"/>
        <v>0</v>
      </c>
      <c r="JJ31" t="s">
        <v>3321</v>
      </c>
      <c r="JK31">
        <f t="shared" si="48"/>
        <v>0</v>
      </c>
      <c r="JL31" t="s">
        <v>3322</v>
      </c>
      <c r="JM31">
        <f t="shared" si="49"/>
        <v>0</v>
      </c>
      <c r="JN31" t="s">
        <v>3323</v>
      </c>
      <c r="JO31">
        <f t="shared" si="50"/>
        <v>0</v>
      </c>
      <c r="JP31" t="s">
        <v>3324</v>
      </c>
      <c r="JQ31">
        <f t="shared" si="51"/>
        <v>0</v>
      </c>
      <c r="JR31" t="s">
        <v>3325</v>
      </c>
      <c r="JS31">
        <f t="shared" si="52"/>
        <v>0</v>
      </c>
      <c r="JT31" t="s">
        <v>3326</v>
      </c>
      <c r="JU31">
        <f t="shared" si="53"/>
        <v>0</v>
      </c>
      <c r="JV31" t="s">
        <v>3327</v>
      </c>
      <c r="JW31">
        <f t="shared" si="54"/>
        <v>0</v>
      </c>
      <c r="JX31" t="s">
        <v>3328</v>
      </c>
      <c r="JY31">
        <f t="shared" si="55"/>
        <v>0</v>
      </c>
      <c r="JZ31" t="s">
        <v>3329</v>
      </c>
      <c r="KA31">
        <f t="shared" si="56"/>
        <v>0</v>
      </c>
      <c r="KB31" t="s">
        <v>3330</v>
      </c>
      <c r="KC31">
        <f t="shared" si="57"/>
        <v>0</v>
      </c>
      <c r="KD31" t="s">
        <v>3331</v>
      </c>
      <c r="KE31">
        <f t="shared" si="58"/>
        <v>0</v>
      </c>
      <c r="KF31" t="s">
        <v>3332</v>
      </c>
      <c r="KG31">
        <f t="shared" si="59"/>
        <v>0</v>
      </c>
      <c r="KH31" t="s">
        <v>3333</v>
      </c>
      <c r="KI31">
        <f t="shared" si="60"/>
        <v>0</v>
      </c>
      <c r="KJ31" t="s">
        <v>3334</v>
      </c>
      <c r="KK31">
        <f t="shared" si="61"/>
        <v>0</v>
      </c>
      <c r="KL31" t="s">
        <v>3335</v>
      </c>
      <c r="KM31">
        <f t="shared" si="62"/>
        <v>0</v>
      </c>
      <c r="KN31" t="s">
        <v>3336</v>
      </c>
      <c r="KO31">
        <f t="shared" si="63"/>
        <v>0</v>
      </c>
      <c r="KP31" t="s">
        <v>3337</v>
      </c>
      <c r="KQ31">
        <f t="shared" si="64"/>
        <v>0</v>
      </c>
      <c r="KR31" t="s">
        <v>3338</v>
      </c>
      <c r="KS31">
        <f t="shared" si="65"/>
        <v>0</v>
      </c>
      <c r="KT31" t="s">
        <v>3339</v>
      </c>
      <c r="KU31">
        <f t="shared" si="66"/>
        <v>0</v>
      </c>
      <c r="KV31" t="s">
        <v>3340</v>
      </c>
      <c r="KW31">
        <f t="shared" si="67"/>
        <v>0</v>
      </c>
      <c r="KX31" t="s">
        <v>3341</v>
      </c>
      <c r="KY31">
        <f t="shared" si="68"/>
        <v>0</v>
      </c>
      <c r="KZ31" t="s">
        <v>3342</v>
      </c>
      <c r="LA31">
        <f t="shared" si="69"/>
        <v>0</v>
      </c>
      <c r="LB31" t="s">
        <v>3343</v>
      </c>
      <c r="LC31">
        <f t="shared" si="70"/>
        <v>0</v>
      </c>
      <c r="LD31" t="s">
        <v>3344</v>
      </c>
      <c r="LE31">
        <f t="shared" si="71"/>
        <v>0</v>
      </c>
      <c r="LF31" t="s">
        <v>3345</v>
      </c>
      <c r="LG31">
        <f t="shared" si="72"/>
        <v>0</v>
      </c>
      <c r="LH31" t="s">
        <v>3346</v>
      </c>
      <c r="LI31">
        <f t="shared" si="73"/>
        <v>0</v>
      </c>
      <c r="LJ31" t="s">
        <v>3347</v>
      </c>
      <c r="LK31">
        <f t="shared" si="74"/>
        <v>0</v>
      </c>
      <c r="LL31" t="s">
        <v>3348</v>
      </c>
      <c r="LM31">
        <f t="shared" si="75"/>
        <v>0</v>
      </c>
      <c r="LN31" t="s">
        <v>3349</v>
      </c>
      <c r="LO31">
        <f t="shared" si="76"/>
        <v>0</v>
      </c>
      <c r="LP31" t="s">
        <v>3350</v>
      </c>
      <c r="LQ31">
        <f t="shared" si="77"/>
        <v>0</v>
      </c>
      <c r="LR31" t="s">
        <v>3351</v>
      </c>
      <c r="LS31">
        <f t="shared" si="78"/>
        <v>0</v>
      </c>
      <c r="LT31" t="s">
        <v>3352</v>
      </c>
      <c r="LU31">
        <f t="shared" si="79"/>
        <v>0</v>
      </c>
      <c r="LV31" t="s">
        <v>3353</v>
      </c>
      <c r="LW31">
        <f t="shared" si="80"/>
        <v>0</v>
      </c>
      <c r="LX31" t="s">
        <v>3354</v>
      </c>
      <c r="LY31">
        <f t="shared" si="81"/>
        <v>0</v>
      </c>
      <c r="LZ31">
        <f>'6'!B116</f>
        <v>0</v>
      </c>
      <c r="MA31">
        <f>'6'!C116</f>
        <v>0</v>
      </c>
      <c r="MB31">
        <f>'6'!D116</f>
        <v>0</v>
      </c>
      <c r="MC31">
        <f>'6'!E116</f>
        <v>0</v>
      </c>
      <c r="MD31">
        <f>'6'!F116</f>
        <v>0</v>
      </c>
      <c r="ME31">
        <f>'6'!G116</f>
        <v>0</v>
      </c>
      <c r="MF31">
        <f>'6'!H116</f>
        <v>0</v>
      </c>
      <c r="MG31">
        <f>'6'!I116</f>
        <v>0</v>
      </c>
      <c r="MH31">
        <f>'6'!J116</f>
        <v>0</v>
      </c>
      <c r="MI31">
        <f>'6'!K116</f>
        <v>0</v>
      </c>
      <c r="MJ31">
        <f>'6'!L116</f>
        <v>0</v>
      </c>
      <c r="MK31">
        <f>'6'!M116</f>
        <v>0</v>
      </c>
      <c r="ML31" s="13">
        <f>'7'!B223</f>
        <v>0</v>
      </c>
      <c r="MM31" s="13">
        <f>'7'!C223</f>
        <v>0</v>
      </c>
      <c r="MN31" s="13">
        <f>'7'!D223</f>
        <v>0</v>
      </c>
      <c r="MO31" s="13">
        <f>'7'!E223</f>
        <v>0</v>
      </c>
      <c r="MP31" s="13">
        <f>'7'!F223</f>
        <v>0</v>
      </c>
      <c r="MQ31" s="13">
        <f>'7'!G223</f>
        <v>0</v>
      </c>
      <c r="MR31" s="13">
        <f>'7'!H223</f>
        <v>0</v>
      </c>
      <c r="MS31" s="13">
        <f>'7'!I223</f>
        <v>0</v>
      </c>
      <c r="MT31" s="13">
        <f>'7'!J223</f>
        <v>0</v>
      </c>
      <c r="MU31" s="13">
        <f>'7'!K223</f>
        <v>0</v>
      </c>
      <c r="MV31" s="13">
        <f>'7'!L223</f>
        <v>0</v>
      </c>
      <c r="MW31" s="13">
        <f>'7'!M223</f>
        <v>0</v>
      </c>
      <c r="MX31" s="13" t="s">
        <v>3355</v>
      </c>
      <c r="MY31">
        <f t="shared" si="82"/>
        <v>0</v>
      </c>
      <c r="MZ31" s="13" t="s">
        <v>3356</v>
      </c>
      <c r="NA31">
        <f t="shared" si="83"/>
        <v>0</v>
      </c>
      <c r="NB31" s="13" t="s">
        <v>3357</v>
      </c>
      <c r="NC31">
        <f t="shared" si="84"/>
        <v>0</v>
      </c>
      <c r="ND31" s="13" t="s">
        <v>3358</v>
      </c>
      <c r="NE31">
        <f t="shared" si="85"/>
        <v>0</v>
      </c>
      <c r="NF31" s="13" t="s">
        <v>3359</v>
      </c>
      <c r="NG31">
        <f t="shared" si="86"/>
        <v>0</v>
      </c>
      <c r="NH31" s="13" t="s">
        <v>3360</v>
      </c>
      <c r="NI31">
        <f t="shared" si="87"/>
        <v>0</v>
      </c>
      <c r="NJ31" s="13" t="s">
        <v>3361</v>
      </c>
      <c r="NK31">
        <f t="shared" si="88"/>
        <v>0</v>
      </c>
      <c r="NL31" s="13" t="s">
        <v>3362</v>
      </c>
      <c r="NM31">
        <f t="shared" si="89"/>
        <v>0</v>
      </c>
      <c r="NN31" s="13" t="s">
        <v>3363</v>
      </c>
      <c r="NO31">
        <f t="shared" si="90"/>
        <v>0</v>
      </c>
      <c r="NP31" s="13" t="s">
        <v>3364</v>
      </c>
      <c r="NQ31">
        <f t="shared" si="91"/>
        <v>0</v>
      </c>
      <c r="NR31" s="13" t="s">
        <v>3365</v>
      </c>
      <c r="NS31">
        <f t="shared" si="92"/>
        <v>0</v>
      </c>
      <c r="NT31" s="13" t="s">
        <v>3366</v>
      </c>
      <c r="NU31">
        <f t="shared" si="93"/>
        <v>0</v>
      </c>
      <c r="NV31" s="13"/>
    </row>
    <row r="32" spans="1:386" customFormat="1" x14ac:dyDescent="0.25">
      <c r="A32">
        <v>29</v>
      </c>
      <c r="B32">
        <f>'6'!AB119</f>
        <v>0</v>
      </c>
      <c r="C32">
        <f>'6'!AC119</f>
        <v>0</v>
      </c>
      <c r="D32">
        <f>'6'!AD119</f>
        <v>0</v>
      </c>
      <c r="E32">
        <f>'6'!AE119</f>
        <v>0</v>
      </c>
      <c r="F32">
        <f>'6'!AF119</f>
        <v>0</v>
      </c>
      <c r="G32">
        <f>'6'!AG119</f>
        <v>0</v>
      </c>
      <c r="H32">
        <f>'6'!AH119</f>
        <v>0</v>
      </c>
      <c r="I32">
        <f>'6'!AI119</f>
        <v>0</v>
      </c>
      <c r="J32">
        <f>'6'!AJ119</f>
        <v>0</v>
      </c>
      <c r="K32">
        <f>'6'!AK119</f>
        <v>0</v>
      </c>
      <c r="L32">
        <f>'6'!AL119</f>
        <v>0</v>
      </c>
      <c r="M32">
        <f>'6'!AM119</f>
        <v>0</v>
      </c>
      <c r="N32">
        <f>'6'!AN119</f>
        <v>0</v>
      </c>
      <c r="O32">
        <f>'6'!AO119</f>
        <v>0</v>
      </c>
      <c r="P32">
        <f>'6'!AP119</f>
        <v>0</v>
      </c>
      <c r="Q32">
        <f>'6'!AQ119</f>
        <v>0</v>
      </c>
      <c r="R32">
        <f>'6'!AR119</f>
        <v>0</v>
      </c>
      <c r="S32">
        <f>'6'!AS119</f>
        <v>0</v>
      </c>
      <c r="T32">
        <f>'6'!AT119</f>
        <v>0</v>
      </c>
      <c r="U32">
        <f>'6'!AU119</f>
        <v>0</v>
      </c>
      <c r="V32">
        <f>'6'!AV119</f>
        <v>0</v>
      </c>
      <c r="W32">
        <f>'6'!AW119</f>
        <v>0</v>
      </c>
      <c r="X32">
        <f>'6'!AX119</f>
        <v>0</v>
      </c>
      <c r="Y32">
        <f>'6'!AY119</f>
        <v>0</v>
      </c>
      <c r="Z32">
        <f>'6'!AZ119</f>
        <v>0</v>
      </c>
      <c r="AA32">
        <f>'6'!BA119</f>
        <v>0</v>
      </c>
      <c r="AB32">
        <f>'6'!BB119</f>
        <v>0</v>
      </c>
      <c r="AC32">
        <f>'6'!BC119</f>
        <v>0</v>
      </c>
      <c r="AD32">
        <f>'6'!BD119</f>
        <v>0</v>
      </c>
      <c r="AE32">
        <f>'6'!BE119</f>
        <v>0</v>
      </c>
      <c r="AF32">
        <f>'6'!BF119</f>
        <v>0</v>
      </c>
      <c r="AG32">
        <f>'6'!BG119</f>
        <v>0</v>
      </c>
      <c r="AH32">
        <f>'6'!BH119</f>
        <v>0</v>
      </c>
      <c r="AI32">
        <f>'6'!BI119</f>
        <v>0</v>
      </c>
      <c r="AJ32">
        <f>'6'!BJ119</f>
        <v>0</v>
      </c>
      <c r="AK32">
        <f>'6'!BK119</f>
        <v>0</v>
      </c>
      <c r="AL32">
        <f>'6'!BL119</f>
        <v>0</v>
      </c>
      <c r="AM32">
        <f>'6'!BM119</f>
        <v>0</v>
      </c>
      <c r="AN32">
        <f>'6'!BN119</f>
        <v>0</v>
      </c>
      <c r="AO32">
        <f>'6'!BO119</f>
        <v>0</v>
      </c>
      <c r="AP32">
        <f>'6'!BP119</f>
        <v>0</v>
      </c>
      <c r="AQ32">
        <f>'6'!BQ119</f>
        <v>0</v>
      </c>
      <c r="AR32">
        <f>'6'!BR119</f>
        <v>0</v>
      </c>
      <c r="AS32">
        <f>'6'!BS119</f>
        <v>0</v>
      </c>
      <c r="AT32">
        <f>'6'!BT119</f>
        <v>0</v>
      </c>
      <c r="AU32">
        <f>'6'!BU119</f>
        <v>0</v>
      </c>
      <c r="AV32">
        <f>'6'!BV119</f>
        <v>0</v>
      </c>
      <c r="AW32">
        <f>'6'!BW119</f>
        <v>0</v>
      </c>
      <c r="AX32">
        <f>'6'!BX119</f>
        <v>0</v>
      </c>
      <c r="AY32">
        <f>'6'!BY119</f>
        <v>0</v>
      </c>
      <c r="AZ32">
        <f>'6'!BZ119</f>
        <v>0</v>
      </c>
      <c r="BA32">
        <f>'6'!CA119</f>
        <v>0</v>
      </c>
      <c r="BB32">
        <f>'6'!CB119</f>
        <v>0</v>
      </c>
      <c r="BC32">
        <f>'6'!CC119</f>
        <v>0</v>
      </c>
      <c r="BD32">
        <f>'6'!CD119</f>
        <v>0</v>
      </c>
      <c r="BE32">
        <f>'6'!CE119</f>
        <v>0</v>
      </c>
      <c r="BF32">
        <f>'6'!CF119</f>
        <v>0</v>
      </c>
      <c r="BG32">
        <f>'6'!CG119</f>
        <v>0</v>
      </c>
      <c r="BH32">
        <f>'6'!CH119</f>
        <v>0</v>
      </c>
      <c r="BI32">
        <f>'6'!CI119</f>
        <v>0</v>
      </c>
      <c r="BJ32">
        <f>'6'!CJ119</f>
        <v>0</v>
      </c>
      <c r="BK32">
        <f>'6'!CK119</f>
        <v>0</v>
      </c>
      <c r="BL32">
        <f>'6'!CL119</f>
        <v>0</v>
      </c>
      <c r="BM32">
        <f>'6'!CM119</f>
        <v>0</v>
      </c>
      <c r="BN32">
        <f>'6'!CN119</f>
        <v>0</v>
      </c>
      <c r="BO32">
        <f>'6'!CO119</f>
        <v>0</v>
      </c>
      <c r="BP32">
        <f>'6'!CP119</f>
        <v>0</v>
      </c>
      <c r="BQ32">
        <f>'6'!CQ119</f>
        <v>0</v>
      </c>
      <c r="BR32">
        <f>'6'!CR119</f>
        <v>0</v>
      </c>
      <c r="BS32">
        <f>'6'!CS119</f>
        <v>0</v>
      </c>
      <c r="BT32">
        <f>'6'!CT119</f>
        <v>0</v>
      </c>
      <c r="BU32">
        <f>'6'!CU119</f>
        <v>0</v>
      </c>
      <c r="BV32">
        <f>'6'!CV119</f>
        <v>0</v>
      </c>
      <c r="BW32">
        <f>'6'!CW119</f>
        <v>0</v>
      </c>
      <c r="BX32">
        <f>'6'!CX119</f>
        <v>0</v>
      </c>
      <c r="BY32">
        <f>'6'!CY119</f>
        <v>0</v>
      </c>
      <c r="BZ32">
        <f>'6'!CZ119</f>
        <v>0</v>
      </c>
      <c r="CA32">
        <f>'6'!DA119</f>
        <v>0</v>
      </c>
      <c r="CB32">
        <f>'6'!DB119</f>
        <v>0</v>
      </c>
      <c r="CC32">
        <f>'6'!DC119</f>
        <v>0</v>
      </c>
      <c r="CD32">
        <f>'6'!DD119</f>
        <v>0</v>
      </c>
      <c r="CE32">
        <f>'6'!DE119</f>
        <v>0</v>
      </c>
      <c r="CF32">
        <f>'6'!DF119</f>
        <v>0</v>
      </c>
      <c r="CG32">
        <f>'6'!DG119</f>
        <v>0</v>
      </c>
      <c r="CH32">
        <f>SUM('7'!AB233:AB237)</f>
        <v>0</v>
      </c>
      <c r="CI32">
        <f>SUM('7'!AC233:AC237)</f>
        <v>0</v>
      </c>
      <c r="CJ32">
        <f>SUM('7'!AD233:AD237)</f>
        <v>0</v>
      </c>
      <c r="CK32">
        <f>SUM('7'!AE233:AE237)</f>
        <v>0</v>
      </c>
      <c r="CL32">
        <f>SUM('7'!AF233:AF237)</f>
        <v>0</v>
      </c>
      <c r="CM32">
        <f>SUM('7'!AG233:AG237)</f>
        <v>0</v>
      </c>
      <c r="CN32">
        <f>SUM('7'!AH233:AH237)</f>
        <v>0</v>
      </c>
      <c r="CO32">
        <f>SUM('7'!AI233:AI237)</f>
        <v>0</v>
      </c>
      <c r="CP32">
        <f>SUM('7'!AJ233:AJ237)</f>
        <v>0</v>
      </c>
      <c r="CQ32">
        <f>SUM('7'!AK233:AK237)</f>
        <v>0</v>
      </c>
      <c r="CR32">
        <f>SUM('7'!AL233:AL237)</f>
        <v>0</v>
      </c>
      <c r="CS32">
        <f>SUM('7'!AM233:AM237)</f>
        <v>0</v>
      </c>
      <c r="CT32">
        <f>SUM('7'!AN233:AN237)</f>
        <v>0</v>
      </c>
      <c r="CU32">
        <f>SUM('7'!AO233:AO237)</f>
        <v>0</v>
      </c>
      <c r="CV32">
        <f>SUM('7'!AP233:AP237)</f>
        <v>0</v>
      </c>
      <c r="CW32">
        <f>SUM('7'!AQ233:AQ237)</f>
        <v>0</v>
      </c>
      <c r="CX32">
        <f>SUM('7'!AR233:AR237)</f>
        <v>0</v>
      </c>
      <c r="CY32">
        <f>SUM('7'!AS233:AS237)</f>
        <v>0</v>
      </c>
      <c r="CZ32">
        <f>SUM('7'!AT233:AT237)</f>
        <v>0</v>
      </c>
      <c r="DA32">
        <f>SUM('7'!AU233:AU237)</f>
        <v>0</v>
      </c>
      <c r="DB32">
        <f>SUM('7'!AV233:AV237)</f>
        <v>0</v>
      </c>
      <c r="DC32">
        <f>SUM('7'!AW233:AW237)</f>
        <v>0</v>
      </c>
      <c r="DD32">
        <f>SUM('7'!AX233:AX237)</f>
        <v>0</v>
      </c>
      <c r="DE32">
        <f>SUM('7'!AY233:AY237)</f>
        <v>0</v>
      </c>
      <c r="DF32">
        <f>SUM('7'!AZ233:AZ237)</f>
        <v>0</v>
      </c>
      <c r="DG32">
        <f>SUM('7'!BA233:BA237)</f>
        <v>0</v>
      </c>
      <c r="DH32">
        <f>SUM('7'!BB233:BB237)</f>
        <v>0</v>
      </c>
      <c r="DI32">
        <f>SUM('7'!BC233:BC237)</f>
        <v>0</v>
      </c>
      <c r="DJ32">
        <f>SUM('7'!BD233:BD237)</f>
        <v>0</v>
      </c>
      <c r="DK32">
        <f>SUM('7'!BE233:BE237)</f>
        <v>0</v>
      </c>
      <c r="DL32">
        <f>SUM('7'!BF233:BF237)</f>
        <v>0</v>
      </c>
      <c r="DM32">
        <f>SUM('7'!BG233:BG237)</f>
        <v>0</v>
      </c>
      <c r="DN32">
        <f>SUM('7'!BH233:BH237)</f>
        <v>0</v>
      </c>
      <c r="DO32">
        <f>SUM('7'!BI233:BI237)</f>
        <v>0</v>
      </c>
      <c r="DP32">
        <f>SUM('7'!BJ233:BJ237)</f>
        <v>0</v>
      </c>
      <c r="DQ32">
        <f>SUM('7'!BK233:BK237)</f>
        <v>0</v>
      </c>
      <c r="DR32">
        <f>SUM('7'!BL233:BL237)</f>
        <v>0</v>
      </c>
      <c r="DS32">
        <f>SUM('7'!BM233:BM237)</f>
        <v>0</v>
      </c>
      <c r="DT32">
        <f>SUM('7'!BN233:BN237)</f>
        <v>0</v>
      </c>
      <c r="DU32">
        <f>SUM('7'!BO233:BO237)</f>
        <v>0</v>
      </c>
      <c r="DV32">
        <f>SUM('7'!BP233:BP237)</f>
        <v>0</v>
      </c>
      <c r="DW32">
        <f>SUM('7'!BQ233:BQ237)</f>
        <v>0</v>
      </c>
      <c r="DX32">
        <f>SUM('7'!BR233:BR237)</f>
        <v>0</v>
      </c>
      <c r="DY32">
        <f>SUM('7'!BS233:BS237)</f>
        <v>0</v>
      </c>
      <c r="DZ32">
        <f>SUM('7'!BT233:BT237)</f>
        <v>0</v>
      </c>
      <c r="EA32">
        <f>SUM('7'!BU233:BU237)</f>
        <v>0</v>
      </c>
      <c r="EB32">
        <f>SUM('7'!BV233:BV237)</f>
        <v>0</v>
      </c>
      <c r="EC32">
        <f>SUM('7'!BW233:BW237)</f>
        <v>0</v>
      </c>
      <c r="ED32">
        <f>SUM('7'!BX233:BX237)</f>
        <v>0</v>
      </c>
      <c r="EE32">
        <f>SUM('7'!BY233:BY237)</f>
        <v>0</v>
      </c>
      <c r="EF32">
        <f>SUM('7'!BZ233:BZ237)</f>
        <v>0</v>
      </c>
      <c r="EG32">
        <f>SUM('7'!CA233:CA237)</f>
        <v>0</v>
      </c>
      <c r="EH32">
        <f>SUM('7'!CB233:CB237)</f>
        <v>0</v>
      </c>
      <c r="EI32">
        <f>SUM('7'!CC233:CC237)</f>
        <v>0</v>
      </c>
      <c r="EJ32">
        <f>SUM('7'!CD233:CD237)</f>
        <v>0</v>
      </c>
      <c r="EK32">
        <f>SUM('7'!CE233:CE237)</f>
        <v>0</v>
      </c>
      <c r="EL32">
        <f>SUM('7'!CF233:CF237)</f>
        <v>0</v>
      </c>
      <c r="EM32">
        <f>SUM('7'!CG233:CG237)</f>
        <v>0</v>
      </c>
      <c r="EN32">
        <f>SUM('7'!CH233:CH237)</f>
        <v>0</v>
      </c>
      <c r="EO32">
        <f>SUM('7'!CI233:CI237)</f>
        <v>0</v>
      </c>
      <c r="EP32">
        <f>SUM('7'!CJ233:CJ237)</f>
        <v>0</v>
      </c>
      <c r="EQ32">
        <f>SUM('7'!CK233:CK237)</f>
        <v>0</v>
      </c>
      <c r="ER32">
        <f>SUM('7'!CL233:CL237)</f>
        <v>0</v>
      </c>
      <c r="ES32">
        <f>SUM('7'!CM233:CM237)</f>
        <v>0</v>
      </c>
      <c r="ET32">
        <f>SUM('7'!CN233:CN237)</f>
        <v>0</v>
      </c>
      <c r="EU32">
        <f>SUM('7'!CO233:CO237)</f>
        <v>0</v>
      </c>
      <c r="EV32">
        <f>SUM('7'!CP233:CP237)</f>
        <v>0</v>
      </c>
      <c r="EW32">
        <f>SUM('7'!CQ233:CQ237)</f>
        <v>0</v>
      </c>
      <c r="EX32">
        <f>SUM('7'!CR233:CR237)</f>
        <v>0</v>
      </c>
      <c r="EY32">
        <f>SUM('7'!CS233:CS237)</f>
        <v>0</v>
      </c>
      <c r="EZ32">
        <f>SUM('7'!CT233:CT237)</f>
        <v>0</v>
      </c>
      <c r="FA32">
        <f>SUM('7'!CU233:CU237)</f>
        <v>0</v>
      </c>
      <c r="FB32">
        <f>SUM('7'!CV233:CV237)</f>
        <v>0</v>
      </c>
      <c r="FC32">
        <f>SUM('7'!CW233:CW237)</f>
        <v>0</v>
      </c>
      <c r="FD32">
        <f>SUM('7'!CX233:CX237)</f>
        <v>0</v>
      </c>
      <c r="FE32">
        <f>SUM('7'!CY233:CY237)</f>
        <v>0</v>
      </c>
      <c r="FF32">
        <f>SUM('7'!CZ233:CZ237)</f>
        <v>0</v>
      </c>
      <c r="FG32">
        <f>SUM('7'!DA233:DA237)</f>
        <v>0</v>
      </c>
      <c r="FH32">
        <f>SUM('7'!DB233:DB237)</f>
        <v>0</v>
      </c>
      <c r="FI32">
        <f>SUM('7'!DC233:DC237)</f>
        <v>0</v>
      </c>
      <c r="FJ32">
        <f>SUM('7'!DD233:DD237)</f>
        <v>0</v>
      </c>
      <c r="FK32">
        <f>SUM('7'!DE233:DE237)</f>
        <v>0</v>
      </c>
      <c r="FL32">
        <f>SUM('7'!DF233:DF237)</f>
        <v>0</v>
      </c>
      <c r="FM32">
        <f>SUM('7'!DG233:DG237)</f>
        <v>0</v>
      </c>
      <c r="FN32" t="s">
        <v>3367</v>
      </c>
      <c r="FO32">
        <f t="shared" si="94"/>
        <v>0</v>
      </c>
      <c r="FP32" t="s">
        <v>3368</v>
      </c>
      <c r="FQ32">
        <f t="shared" si="0"/>
        <v>0</v>
      </c>
      <c r="FR32" t="s">
        <v>3369</v>
      </c>
      <c r="FS32">
        <f t="shared" si="1"/>
        <v>0</v>
      </c>
      <c r="FT32" t="s">
        <v>3370</v>
      </c>
      <c r="FU32">
        <f t="shared" si="2"/>
        <v>0</v>
      </c>
      <c r="FV32" t="s">
        <v>3371</v>
      </c>
      <c r="FW32">
        <f t="shared" si="3"/>
        <v>0</v>
      </c>
      <c r="FX32" t="s">
        <v>3372</v>
      </c>
      <c r="FY32">
        <f t="shared" si="4"/>
        <v>0</v>
      </c>
      <c r="FZ32" t="s">
        <v>3373</v>
      </c>
      <c r="GA32">
        <f t="shared" si="5"/>
        <v>0</v>
      </c>
      <c r="GB32" t="s">
        <v>3374</v>
      </c>
      <c r="GC32">
        <f t="shared" si="6"/>
        <v>0</v>
      </c>
      <c r="GD32" t="s">
        <v>3375</v>
      </c>
      <c r="GE32">
        <f t="shared" si="7"/>
        <v>0</v>
      </c>
      <c r="GF32" t="s">
        <v>3376</v>
      </c>
      <c r="GG32">
        <f t="shared" si="8"/>
        <v>0</v>
      </c>
      <c r="GH32" t="s">
        <v>3377</v>
      </c>
      <c r="GI32">
        <f t="shared" si="9"/>
        <v>0</v>
      </c>
      <c r="GJ32" t="s">
        <v>3378</v>
      </c>
      <c r="GK32">
        <f t="shared" si="10"/>
        <v>0</v>
      </c>
      <c r="GL32" t="s">
        <v>3379</v>
      </c>
      <c r="GM32">
        <f t="shared" si="11"/>
        <v>0</v>
      </c>
      <c r="GN32" t="s">
        <v>3380</v>
      </c>
      <c r="GO32">
        <f t="shared" si="95"/>
        <v>0</v>
      </c>
      <c r="GP32" t="s">
        <v>3381</v>
      </c>
      <c r="GQ32">
        <f t="shared" si="12"/>
        <v>0</v>
      </c>
      <c r="GR32" t="s">
        <v>3382</v>
      </c>
      <c r="GS32">
        <f t="shared" si="13"/>
        <v>0</v>
      </c>
      <c r="GT32" t="s">
        <v>3383</v>
      </c>
      <c r="GU32">
        <f t="shared" si="14"/>
        <v>0</v>
      </c>
      <c r="GV32" t="s">
        <v>3384</v>
      </c>
      <c r="GW32">
        <f t="shared" si="15"/>
        <v>0</v>
      </c>
      <c r="GX32" t="s">
        <v>3385</v>
      </c>
      <c r="GY32">
        <f t="shared" si="16"/>
        <v>0</v>
      </c>
      <c r="GZ32" t="s">
        <v>3386</v>
      </c>
      <c r="HA32">
        <f t="shared" si="17"/>
        <v>0</v>
      </c>
      <c r="HB32" t="s">
        <v>3387</v>
      </c>
      <c r="HC32">
        <f t="shared" si="18"/>
        <v>0</v>
      </c>
      <c r="HD32" t="s">
        <v>3388</v>
      </c>
      <c r="HE32">
        <f t="shared" si="19"/>
        <v>0</v>
      </c>
      <c r="HF32" t="s">
        <v>3389</v>
      </c>
      <c r="HG32">
        <f t="shared" si="20"/>
        <v>0</v>
      </c>
      <c r="HH32" t="s">
        <v>3390</v>
      </c>
      <c r="HI32">
        <f t="shared" si="21"/>
        <v>0</v>
      </c>
      <c r="HJ32" t="s">
        <v>3391</v>
      </c>
      <c r="HK32">
        <f t="shared" si="22"/>
        <v>0</v>
      </c>
      <c r="HL32" t="s">
        <v>3392</v>
      </c>
      <c r="HM32">
        <f t="shared" si="23"/>
        <v>0</v>
      </c>
      <c r="HN32" t="s">
        <v>3393</v>
      </c>
      <c r="HO32">
        <f t="shared" si="24"/>
        <v>0</v>
      </c>
      <c r="HP32" t="s">
        <v>3394</v>
      </c>
      <c r="HQ32">
        <f t="shared" si="25"/>
        <v>0</v>
      </c>
      <c r="HR32" t="s">
        <v>3395</v>
      </c>
      <c r="HS32">
        <f t="shared" si="26"/>
        <v>0</v>
      </c>
      <c r="HT32" t="s">
        <v>3396</v>
      </c>
      <c r="HU32">
        <f t="shared" si="27"/>
        <v>0</v>
      </c>
      <c r="HV32" t="s">
        <v>3397</v>
      </c>
      <c r="HW32">
        <f t="shared" si="28"/>
        <v>0</v>
      </c>
      <c r="HX32" t="s">
        <v>3398</v>
      </c>
      <c r="HY32">
        <f t="shared" si="29"/>
        <v>0</v>
      </c>
      <c r="HZ32" t="s">
        <v>3399</v>
      </c>
      <c r="IA32">
        <f t="shared" si="30"/>
        <v>0</v>
      </c>
      <c r="IB32" t="s">
        <v>3400</v>
      </c>
      <c r="IC32">
        <f t="shared" si="31"/>
        <v>0</v>
      </c>
      <c r="ID32" t="s">
        <v>3401</v>
      </c>
      <c r="IE32">
        <f t="shared" si="32"/>
        <v>0</v>
      </c>
      <c r="IF32" t="s">
        <v>3402</v>
      </c>
      <c r="IG32">
        <f t="shared" si="33"/>
        <v>0</v>
      </c>
      <c r="IH32" t="s">
        <v>3403</v>
      </c>
      <c r="II32">
        <f t="shared" si="34"/>
        <v>0</v>
      </c>
      <c r="IJ32" t="s">
        <v>3404</v>
      </c>
      <c r="IK32">
        <f t="shared" si="35"/>
        <v>0</v>
      </c>
      <c r="IL32" t="s">
        <v>3405</v>
      </c>
      <c r="IM32">
        <f t="shared" si="36"/>
        <v>0</v>
      </c>
      <c r="IN32" t="s">
        <v>3406</v>
      </c>
      <c r="IO32">
        <f t="shared" si="37"/>
        <v>0</v>
      </c>
      <c r="IP32" t="s">
        <v>3407</v>
      </c>
      <c r="IQ32">
        <f t="shared" si="38"/>
        <v>0</v>
      </c>
      <c r="IR32" t="s">
        <v>3408</v>
      </c>
      <c r="IS32">
        <f t="shared" si="39"/>
        <v>0</v>
      </c>
      <c r="IT32" t="s">
        <v>3409</v>
      </c>
      <c r="IU32">
        <f t="shared" si="40"/>
        <v>0</v>
      </c>
      <c r="IV32" t="s">
        <v>3410</v>
      </c>
      <c r="IW32">
        <f t="shared" si="41"/>
        <v>0</v>
      </c>
      <c r="IX32" t="s">
        <v>3411</v>
      </c>
      <c r="IY32">
        <f t="shared" si="42"/>
        <v>0</v>
      </c>
      <c r="IZ32" t="s">
        <v>3412</v>
      </c>
      <c r="JA32">
        <f t="shared" si="43"/>
        <v>0</v>
      </c>
      <c r="JB32" t="s">
        <v>3413</v>
      </c>
      <c r="JC32">
        <f t="shared" si="44"/>
        <v>0</v>
      </c>
      <c r="JD32" t="s">
        <v>3414</v>
      </c>
      <c r="JE32">
        <f t="shared" si="45"/>
        <v>0</v>
      </c>
      <c r="JF32" t="s">
        <v>3415</v>
      </c>
      <c r="JG32">
        <f t="shared" si="46"/>
        <v>0</v>
      </c>
      <c r="JH32" t="s">
        <v>3416</v>
      </c>
      <c r="JI32">
        <f t="shared" si="47"/>
        <v>0</v>
      </c>
      <c r="JJ32" t="s">
        <v>3417</v>
      </c>
      <c r="JK32">
        <f t="shared" si="48"/>
        <v>0</v>
      </c>
      <c r="JL32" t="s">
        <v>3418</v>
      </c>
      <c r="JM32">
        <f t="shared" si="49"/>
        <v>0</v>
      </c>
      <c r="JN32" t="s">
        <v>3419</v>
      </c>
      <c r="JO32">
        <f t="shared" si="50"/>
        <v>0</v>
      </c>
      <c r="JP32" t="s">
        <v>3420</v>
      </c>
      <c r="JQ32">
        <f t="shared" si="51"/>
        <v>0</v>
      </c>
      <c r="JR32" t="s">
        <v>3421</v>
      </c>
      <c r="JS32">
        <f t="shared" si="52"/>
        <v>0</v>
      </c>
      <c r="JT32" t="s">
        <v>3422</v>
      </c>
      <c r="JU32">
        <f t="shared" si="53"/>
        <v>0</v>
      </c>
      <c r="JV32" t="s">
        <v>3423</v>
      </c>
      <c r="JW32">
        <f t="shared" si="54"/>
        <v>0</v>
      </c>
      <c r="JX32" t="s">
        <v>3424</v>
      </c>
      <c r="JY32">
        <f t="shared" si="55"/>
        <v>0</v>
      </c>
      <c r="JZ32" t="s">
        <v>3425</v>
      </c>
      <c r="KA32">
        <f t="shared" si="56"/>
        <v>0</v>
      </c>
      <c r="KB32" t="s">
        <v>3426</v>
      </c>
      <c r="KC32">
        <f t="shared" si="57"/>
        <v>0</v>
      </c>
      <c r="KD32" t="s">
        <v>3427</v>
      </c>
      <c r="KE32">
        <f t="shared" si="58"/>
        <v>0</v>
      </c>
      <c r="KF32" t="s">
        <v>3428</v>
      </c>
      <c r="KG32">
        <f t="shared" si="59"/>
        <v>0</v>
      </c>
      <c r="KH32" t="s">
        <v>3429</v>
      </c>
      <c r="KI32">
        <f t="shared" si="60"/>
        <v>0</v>
      </c>
      <c r="KJ32" t="s">
        <v>3430</v>
      </c>
      <c r="KK32">
        <f t="shared" si="61"/>
        <v>0</v>
      </c>
      <c r="KL32" t="s">
        <v>3431</v>
      </c>
      <c r="KM32">
        <f t="shared" si="62"/>
        <v>0</v>
      </c>
      <c r="KN32" t="s">
        <v>3432</v>
      </c>
      <c r="KO32">
        <f t="shared" si="63"/>
        <v>0</v>
      </c>
      <c r="KP32" t="s">
        <v>3433</v>
      </c>
      <c r="KQ32">
        <f t="shared" si="64"/>
        <v>0</v>
      </c>
      <c r="KR32" t="s">
        <v>3434</v>
      </c>
      <c r="KS32">
        <f t="shared" si="65"/>
        <v>0</v>
      </c>
      <c r="KT32" t="s">
        <v>3435</v>
      </c>
      <c r="KU32">
        <f t="shared" si="66"/>
        <v>0</v>
      </c>
      <c r="KV32" t="s">
        <v>3436</v>
      </c>
      <c r="KW32">
        <f t="shared" si="67"/>
        <v>0</v>
      </c>
      <c r="KX32" t="s">
        <v>3437</v>
      </c>
      <c r="KY32">
        <f t="shared" si="68"/>
        <v>0</v>
      </c>
      <c r="KZ32" t="s">
        <v>3438</v>
      </c>
      <c r="LA32">
        <f t="shared" si="69"/>
        <v>0</v>
      </c>
      <c r="LB32" t="s">
        <v>3439</v>
      </c>
      <c r="LC32">
        <f t="shared" si="70"/>
        <v>0</v>
      </c>
      <c r="LD32" t="s">
        <v>3440</v>
      </c>
      <c r="LE32">
        <f t="shared" si="71"/>
        <v>0</v>
      </c>
      <c r="LF32" t="s">
        <v>3441</v>
      </c>
      <c r="LG32">
        <f t="shared" si="72"/>
        <v>0</v>
      </c>
      <c r="LH32" t="s">
        <v>3442</v>
      </c>
      <c r="LI32">
        <f t="shared" si="73"/>
        <v>0</v>
      </c>
      <c r="LJ32" t="s">
        <v>3443</v>
      </c>
      <c r="LK32">
        <f t="shared" si="74"/>
        <v>0</v>
      </c>
      <c r="LL32" t="s">
        <v>3444</v>
      </c>
      <c r="LM32">
        <f t="shared" si="75"/>
        <v>0</v>
      </c>
      <c r="LN32" t="s">
        <v>3445</v>
      </c>
      <c r="LO32">
        <f t="shared" si="76"/>
        <v>0</v>
      </c>
      <c r="LP32" t="s">
        <v>3446</v>
      </c>
      <c r="LQ32">
        <f t="shared" si="77"/>
        <v>0</v>
      </c>
      <c r="LR32" t="s">
        <v>3447</v>
      </c>
      <c r="LS32">
        <f t="shared" si="78"/>
        <v>0</v>
      </c>
      <c r="LT32" t="s">
        <v>3448</v>
      </c>
      <c r="LU32">
        <f t="shared" si="79"/>
        <v>0</v>
      </c>
      <c r="LV32" t="s">
        <v>3449</v>
      </c>
      <c r="LW32">
        <f t="shared" si="80"/>
        <v>0</v>
      </c>
      <c r="LX32" t="s">
        <v>3450</v>
      </c>
      <c r="LY32">
        <f t="shared" si="81"/>
        <v>0</v>
      </c>
      <c r="LZ32">
        <f>'6'!B120</f>
        <v>0</v>
      </c>
      <c r="MA32">
        <f>'6'!C120</f>
        <v>0</v>
      </c>
      <c r="MB32">
        <f>'6'!D120</f>
        <v>0</v>
      </c>
      <c r="MC32">
        <f>'6'!E120</f>
        <v>0</v>
      </c>
      <c r="MD32">
        <f>'6'!F120</f>
        <v>0</v>
      </c>
      <c r="ME32">
        <f>'6'!G120</f>
        <v>0</v>
      </c>
      <c r="MF32">
        <f>'6'!H120</f>
        <v>0</v>
      </c>
      <c r="MG32">
        <f>'6'!I120</f>
        <v>0</v>
      </c>
      <c r="MH32">
        <f>'6'!J120</f>
        <v>0</v>
      </c>
      <c r="MI32">
        <f>'6'!K120</f>
        <v>0</v>
      </c>
      <c r="MJ32">
        <f>'6'!L120</f>
        <v>0</v>
      </c>
      <c r="MK32">
        <f>'6'!M120</f>
        <v>0</v>
      </c>
      <c r="ML32" s="13">
        <f>'7'!B231</f>
        <v>0</v>
      </c>
      <c r="MM32" s="13">
        <f>'7'!C231</f>
        <v>0</v>
      </c>
      <c r="MN32" s="13">
        <f>'7'!D231</f>
        <v>0</v>
      </c>
      <c r="MO32" s="13">
        <f>'7'!E231</f>
        <v>0</v>
      </c>
      <c r="MP32" s="13">
        <f>'7'!F231</f>
        <v>0</v>
      </c>
      <c r="MQ32" s="13">
        <f>'7'!G231</f>
        <v>0</v>
      </c>
      <c r="MR32" s="13">
        <f>'7'!H231</f>
        <v>0</v>
      </c>
      <c r="MS32" s="13">
        <f>'7'!I231</f>
        <v>0</v>
      </c>
      <c r="MT32" s="13">
        <f>'7'!J231</f>
        <v>0</v>
      </c>
      <c r="MU32" s="13">
        <f>'7'!K231</f>
        <v>0</v>
      </c>
      <c r="MV32" s="13">
        <f>'7'!L231</f>
        <v>0</v>
      </c>
      <c r="MW32" s="13">
        <f>'7'!M231</f>
        <v>0</v>
      </c>
      <c r="MX32" s="13" t="s">
        <v>3451</v>
      </c>
      <c r="MY32">
        <f t="shared" si="82"/>
        <v>0</v>
      </c>
      <c r="MZ32" s="13" t="s">
        <v>3452</v>
      </c>
      <c r="NA32">
        <f t="shared" si="83"/>
        <v>0</v>
      </c>
      <c r="NB32" s="13" t="s">
        <v>3453</v>
      </c>
      <c r="NC32">
        <f t="shared" si="84"/>
        <v>0</v>
      </c>
      <c r="ND32" s="13" t="s">
        <v>3454</v>
      </c>
      <c r="NE32">
        <f t="shared" si="85"/>
        <v>0</v>
      </c>
      <c r="NF32" s="13" t="s">
        <v>3455</v>
      </c>
      <c r="NG32">
        <f t="shared" si="86"/>
        <v>0</v>
      </c>
      <c r="NH32" s="13" t="s">
        <v>3456</v>
      </c>
      <c r="NI32">
        <f t="shared" si="87"/>
        <v>0</v>
      </c>
      <c r="NJ32" s="13" t="s">
        <v>3457</v>
      </c>
      <c r="NK32">
        <f t="shared" si="88"/>
        <v>0</v>
      </c>
      <c r="NL32" s="13" t="s">
        <v>3458</v>
      </c>
      <c r="NM32">
        <f t="shared" si="89"/>
        <v>0</v>
      </c>
      <c r="NN32" s="13" t="s">
        <v>3459</v>
      </c>
      <c r="NO32">
        <f t="shared" si="90"/>
        <v>0</v>
      </c>
      <c r="NP32" s="13" t="s">
        <v>3460</v>
      </c>
      <c r="NQ32">
        <f t="shared" si="91"/>
        <v>0</v>
      </c>
      <c r="NR32" s="13" t="s">
        <v>3461</v>
      </c>
      <c r="NS32">
        <f t="shared" si="92"/>
        <v>0</v>
      </c>
      <c r="NT32" s="13" t="s">
        <v>3462</v>
      </c>
      <c r="NU32">
        <f t="shared" si="93"/>
        <v>0</v>
      </c>
      <c r="NV32" s="13"/>
    </row>
    <row r="33" spans="1:386" customFormat="1" x14ac:dyDescent="0.25">
      <c r="A33">
        <v>30</v>
      </c>
      <c r="B33">
        <f>'6'!AB123</f>
        <v>0</v>
      </c>
      <c r="C33">
        <f>'6'!AC123</f>
        <v>0</v>
      </c>
      <c r="D33">
        <f>'6'!AD123</f>
        <v>0</v>
      </c>
      <c r="E33">
        <f>'6'!AE123</f>
        <v>0</v>
      </c>
      <c r="F33">
        <f>'6'!AF123</f>
        <v>0</v>
      </c>
      <c r="G33">
        <f>'6'!AG123</f>
        <v>0</v>
      </c>
      <c r="H33">
        <f>'6'!AH123</f>
        <v>0</v>
      </c>
      <c r="I33">
        <f>'6'!AI123</f>
        <v>0</v>
      </c>
      <c r="J33">
        <f>'6'!AJ123</f>
        <v>0</v>
      </c>
      <c r="K33">
        <f>'6'!AK123</f>
        <v>0</v>
      </c>
      <c r="L33">
        <f>'6'!AL123</f>
        <v>0</v>
      </c>
      <c r="M33">
        <f>'6'!AM123</f>
        <v>0</v>
      </c>
      <c r="N33">
        <f>'6'!AN123</f>
        <v>0</v>
      </c>
      <c r="O33">
        <f>'6'!AO123</f>
        <v>0</v>
      </c>
      <c r="P33">
        <f>'6'!AP123</f>
        <v>0</v>
      </c>
      <c r="Q33">
        <f>'6'!AQ123</f>
        <v>0</v>
      </c>
      <c r="R33">
        <f>'6'!AR123</f>
        <v>0</v>
      </c>
      <c r="S33">
        <f>'6'!AS123</f>
        <v>0</v>
      </c>
      <c r="T33">
        <f>'6'!AT123</f>
        <v>0</v>
      </c>
      <c r="U33">
        <f>'6'!AU123</f>
        <v>0</v>
      </c>
      <c r="V33">
        <f>'6'!AV123</f>
        <v>0</v>
      </c>
      <c r="W33">
        <f>'6'!AW123</f>
        <v>0</v>
      </c>
      <c r="X33">
        <f>'6'!AX123</f>
        <v>0</v>
      </c>
      <c r="Y33">
        <f>'6'!AY123</f>
        <v>0</v>
      </c>
      <c r="Z33">
        <f>'6'!AZ123</f>
        <v>0</v>
      </c>
      <c r="AA33">
        <f>'6'!BA123</f>
        <v>0</v>
      </c>
      <c r="AB33">
        <f>'6'!BB123</f>
        <v>0</v>
      </c>
      <c r="AC33">
        <f>'6'!BC123</f>
        <v>0</v>
      </c>
      <c r="AD33">
        <f>'6'!BD123</f>
        <v>0</v>
      </c>
      <c r="AE33">
        <f>'6'!BE123</f>
        <v>0</v>
      </c>
      <c r="AF33">
        <f>'6'!BF123</f>
        <v>0</v>
      </c>
      <c r="AG33">
        <f>'6'!BG123</f>
        <v>0</v>
      </c>
      <c r="AH33">
        <f>'6'!BH123</f>
        <v>0</v>
      </c>
      <c r="AI33">
        <f>'6'!BI123</f>
        <v>0</v>
      </c>
      <c r="AJ33">
        <f>'6'!BJ123</f>
        <v>0</v>
      </c>
      <c r="AK33">
        <f>'6'!BK123</f>
        <v>0</v>
      </c>
      <c r="AL33">
        <f>'6'!BL123</f>
        <v>0</v>
      </c>
      <c r="AM33">
        <f>'6'!BM123</f>
        <v>0</v>
      </c>
      <c r="AN33">
        <f>'6'!BN123</f>
        <v>0</v>
      </c>
      <c r="AO33">
        <f>'6'!BO123</f>
        <v>0</v>
      </c>
      <c r="AP33">
        <f>'6'!BP123</f>
        <v>0</v>
      </c>
      <c r="AQ33">
        <f>'6'!BQ123</f>
        <v>0</v>
      </c>
      <c r="AR33">
        <f>'6'!BR123</f>
        <v>0</v>
      </c>
      <c r="AS33">
        <f>'6'!BS123</f>
        <v>0</v>
      </c>
      <c r="AT33">
        <f>'6'!BT123</f>
        <v>0</v>
      </c>
      <c r="AU33">
        <f>'6'!BU123</f>
        <v>0</v>
      </c>
      <c r="AV33">
        <f>'6'!BV123</f>
        <v>0</v>
      </c>
      <c r="AW33">
        <f>'6'!BW123</f>
        <v>0</v>
      </c>
      <c r="AX33">
        <f>'6'!BX123</f>
        <v>0</v>
      </c>
      <c r="AY33">
        <f>'6'!BY123</f>
        <v>0</v>
      </c>
      <c r="AZ33">
        <f>'6'!BZ123</f>
        <v>0</v>
      </c>
      <c r="BA33">
        <f>'6'!CA123</f>
        <v>0</v>
      </c>
      <c r="BB33">
        <f>'6'!CB123</f>
        <v>0</v>
      </c>
      <c r="BC33">
        <f>'6'!CC123</f>
        <v>0</v>
      </c>
      <c r="BD33">
        <f>'6'!CD123</f>
        <v>0</v>
      </c>
      <c r="BE33">
        <f>'6'!CE123</f>
        <v>0</v>
      </c>
      <c r="BF33">
        <f>'6'!CF123</f>
        <v>0</v>
      </c>
      <c r="BG33">
        <f>'6'!CG123</f>
        <v>0</v>
      </c>
      <c r="BH33">
        <f>'6'!CH123</f>
        <v>0</v>
      </c>
      <c r="BI33">
        <f>'6'!CI123</f>
        <v>0</v>
      </c>
      <c r="BJ33">
        <f>'6'!CJ123</f>
        <v>0</v>
      </c>
      <c r="BK33">
        <f>'6'!CK123</f>
        <v>0</v>
      </c>
      <c r="BL33">
        <f>'6'!CL123</f>
        <v>0</v>
      </c>
      <c r="BM33">
        <f>'6'!CM123</f>
        <v>0</v>
      </c>
      <c r="BN33">
        <f>'6'!CN123</f>
        <v>0</v>
      </c>
      <c r="BO33">
        <f>'6'!CO123</f>
        <v>0</v>
      </c>
      <c r="BP33">
        <f>'6'!CP123</f>
        <v>0</v>
      </c>
      <c r="BQ33">
        <f>'6'!CQ123</f>
        <v>0</v>
      </c>
      <c r="BR33">
        <f>'6'!CR123</f>
        <v>0</v>
      </c>
      <c r="BS33">
        <f>'6'!CS123</f>
        <v>0</v>
      </c>
      <c r="BT33">
        <f>'6'!CT123</f>
        <v>0</v>
      </c>
      <c r="BU33">
        <f>'6'!CU123</f>
        <v>0</v>
      </c>
      <c r="BV33">
        <f>'6'!CV123</f>
        <v>0</v>
      </c>
      <c r="BW33">
        <f>'6'!CW123</f>
        <v>0</v>
      </c>
      <c r="BX33">
        <f>'6'!CX123</f>
        <v>0</v>
      </c>
      <c r="BY33">
        <f>'6'!CY123</f>
        <v>0</v>
      </c>
      <c r="BZ33">
        <f>'6'!CZ123</f>
        <v>0</v>
      </c>
      <c r="CA33">
        <f>'6'!DA123</f>
        <v>0</v>
      </c>
      <c r="CB33">
        <f>'6'!DB123</f>
        <v>0</v>
      </c>
      <c r="CC33">
        <f>'6'!DC123</f>
        <v>0</v>
      </c>
      <c r="CD33">
        <f>'6'!DD123</f>
        <v>0</v>
      </c>
      <c r="CE33">
        <f>'6'!DE123</f>
        <v>0</v>
      </c>
      <c r="CF33">
        <f>'6'!DF123</f>
        <v>0</v>
      </c>
      <c r="CG33">
        <f>'6'!DG123</f>
        <v>0</v>
      </c>
      <c r="CH33">
        <f>SUM('7'!AB241:AB245)</f>
        <v>0</v>
      </c>
      <c r="CI33">
        <f>SUM('7'!AC241:AC245)</f>
        <v>0</v>
      </c>
      <c r="CJ33">
        <f>SUM('7'!AD241:AD245)</f>
        <v>0</v>
      </c>
      <c r="CK33">
        <f>SUM('7'!AE241:AE245)</f>
        <v>0</v>
      </c>
      <c r="CL33">
        <f>SUM('7'!AF241:AF245)</f>
        <v>0</v>
      </c>
      <c r="CM33">
        <f>SUM('7'!AG241:AG245)</f>
        <v>0</v>
      </c>
      <c r="CN33">
        <f>SUM('7'!AH241:AH245)</f>
        <v>0</v>
      </c>
      <c r="CO33">
        <f>SUM('7'!AI241:AI245)</f>
        <v>0</v>
      </c>
      <c r="CP33">
        <f>SUM('7'!AJ241:AJ245)</f>
        <v>0</v>
      </c>
      <c r="CQ33">
        <f>SUM('7'!AK241:AK245)</f>
        <v>0</v>
      </c>
      <c r="CR33">
        <f>SUM('7'!AL241:AL245)</f>
        <v>0</v>
      </c>
      <c r="CS33">
        <f>SUM('7'!AM241:AM245)</f>
        <v>0</v>
      </c>
      <c r="CT33">
        <f>SUM('7'!AN241:AN245)</f>
        <v>0</v>
      </c>
      <c r="CU33">
        <f>SUM('7'!AO241:AO245)</f>
        <v>0</v>
      </c>
      <c r="CV33">
        <f>SUM('7'!AP241:AP245)</f>
        <v>0</v>
      </c>
      <c r="CW33">
        <f>SUM('7'!AQ241:AQ245)</f>
        <v>0</v>
      </c>
      <c r="CX33">
        <f>SUM('7'!AR241:AR245)</f>
        <v>0</v>
      </c>
      <c r="CY33">
        <f>SUM('7'!AS241:AS245)</f>
        <v>0</v>
      </c>
      <c r="CZ33">
        <f>SUM('7'!AT241:AT245)</f>
        <v>0</v>
      </c>
      <c r="DA33">
        <f>SUM('7'!AU241:AU245)</f>
        <v>0</v>
      </c>
      <c r="DB33">
        <f>SUM('7'!AV241:AV245)</f>
        <v>0</v>
      </c>
      <c r="DC33">
        <f>SUM('7'!AW241:AW245)</f>
        <v>0</v>
      </c>
      <c r="DD33">
        <f>SUM('7'!AX241:AX245)</f>
        <v>0</v>
      </c>
      <c r="DE33">
        <f>SUM('7'!AY241:AY245)</f>
        <v>0</v>
      </c>
      <c r="DF33">
        <f>SUM('7'!AZ241:AZ245)</f>
        <v>0</v>
      </c>
      <c r="DG33">
        <f>SUM('7'!BA241:BA245)</f>
        <v>0</v>
      </c>
      <c r="DH33">
        <f>SUM('7'!BB241:BB245)</f>
        <v>0</v>
      </c>
      <c r="DI33">
        <f>SUM('7'!BC241:BC245)</f>
        <v>0</v>
      </c>
      <c r="DJ33">
        <f>SUM('7'!BD241:BD245)</f>
        <v>0</v>
      </c>
      <c r="DK33">
        <f>SUM('7'!BE241:BE245)</f>
        <v>0</v>
      </c>
      <c r="DL33">
        <f>SUM('7'!BF241:BF245)</f>
        <v>0</v>
      </c>
      <c r="DM33">
        <f>SUM('7'!BG241:BG245)</f>
        <v>0</v>
      </c>
      <c r="DN33">
        <f>SUM('7'!BH241:BH245)</f>
        <v>0</v>
      </c>
      <c r="DO33">
        <f>SUM('7'!BI241:BI245)</f>
        <v>0</v>
      </c>
      <c r="DP33">
        <f>SUM('7'!BJ241:BJ245)</f>
        <v>0</v>
      </c>
      <c r="DQ33">
        <f>SUM('7'!BK241:BK245)</f>
        <v>0</v>
      </c>
      <c r="DR33">
        <f>SUM('7'!BL241:BL245)</f>
        <v>0</v>
      </c>
      <c r="DS33">
        <f>SUM('7'!BM241:BM245)</f>
        <v>0</v>
      </c>
      <c r="DT33">
        <f>SUM('7'!BN241:BN245)</f>
        <v>0</v>
      </c>
      <c r="DU33">
        <f>SUM('7'!BO241:BO245)</f>
        <v>0</v>
      </c>
      <c r="DV33">
        <f>SUM('7'!BP241:BP245)</f>
        <v>0</v>
      </c>
      <c r="DW33">
        <f>SUM('7'!BQ241:BQ245)</f>
        <v>0</v>
      </c>
      <c r="DX33">
        <f>SUM('7'!BR241:BR245)</f>
        <v>0</v>
      </c>
      <c r="DY33">
        <f>SUM('7'!BS241:BS245)</f>
        <v>0</v>
      </c>
      <c r="DZ33">
        <f>SUM('7'!BT241:BT245)</f>
        <v>0</v>
      </c>
      <c r="EA33">
        <f>SUM('7'!BU241:BU245)</f>
        <v>0</v>
      </c>
      <c r="EB33">
        <f>SUM('7'!BV241:BV245)</f>
        <v>0</v>
      </c>
      <c r="EC33">
        <f>SUM('7'!BW241:BW245)</f>
        <v>0</v>
      </c>
      <c r="ED33">
        <f>SUM('7'!BX241:BX245)</f>
        <v>0</v>
      </c>
      <c r="EE33">
        <f>SUM('7'!BY241:BY245)</f>
        <v>0</v>
      </c>
      <c r="EF33">
        <f>SUM('7'!BZ241:BZ245)</f>
        <v>0</v>
      </c>
      <c r="EG33">
        <f>SUM('7'!CA241:CA245)</f>
        <v>0</v>
      </c>
      <c r="EH33">
        <f>SUM('7'!CB241:CB245)</f>
        <v>0</v>
      </c>
      <c r="EI33">
        <f>SUM('7'!CC241:CC245)</f>
        <v>0</v>
      </c>
      <c r="EJ33">
        <f>SUM('7'!CD241:CD245)</f>
        <v>0</v>
      </c>
      <c r="EK33">
        <f>SUM('7'!CE241:CE245)</f>
        <v>0</v>
      </c>
      <c r="EL33">
        <f>SUM('7'!CF241:CF245)</f>
        <v>0</v>
      </c>
      <c r="EM33">
        <f>SUM('7'!CG241:CG245)</f>
        <v>0</v>
      </c>
      <c r="EN33">
        <f>SUM('7'!CH241:CH245)</f>
        <v>0</v>
      </c>
      <c r="EO33">
        <f>SUM('7'!CI241:CI245)</f>
        <v>0</v>
      </c>
      <c r="EP33">
        <f>SUM('7'!CJ241:CJ245)</f>
        <v>0</v>
      </c>
      <c r="EQ33">
        <f>SUM('7'!CK241:CK245)</f>
        <v>0</v>
      </c>
      <c r="ER33">
        <f>SUM('7'!CL241:CL245)</f>
        <v>0</v>
      </c>
      <c r="ES33">
        <f>SUM('7'!CM241:CM245)</f>
        <v>0</v>
      </c>
      <c r="ET33">
        <f>SUM('7'!CN241:CN245)</f>
        <v>0</v>
      </c>
      <c r="EU33">
        <f>SUM('7'!CO241:CO245)</f>
        <v>0</v>
      </c>
      <c r="EV33">
        <f>SUM('7'!CP241:CP245)</f>
        <v>0</v>
      </c>
      <c r="EW33">
        <f>SUM('7'!CQ241:CQ245)</f>
        <v>0</v>
      </c>
      <c r="EX33">
        <f>SUM('7'!CR241:CR245)</f>
        <v>0</v>
      </c>
      <c r="EY33">
        <f>SUM('7'!CS241:CS245)</f>
        <v>0</v>
      </c>
      <c r="EZ33">
        <f>SUM('7'!CT241:CT245)</f>
        <v>0</v>
      </c>
      <c r="FA33">
        <f>SUM('7'!CU241:CU245)</f>
        <v>0</v>
      </c>
      <c r="FB33">
        <f>SUM('7'!CV241:CV245)</f>
        <v>0</v>
      </c>
      <c r="FC33">
        <f>SUM('7'!CW241:CW245)</f>
        <v>0</v>
      </c>
      <c r="FD33">
        <f>SUM('7'!CX241:CX245)</f>
        <v>0</v>
      </c>
      <c r="FE33">
        <f>SUM('7'!CY241:CY245)</f>
        <v>0</v>
      </c>
      <c r="FF33">
        <f>SUM('7'!CZ241:CZ245)</f>
        <v>0</v>
      </c>
      <c r="FG33">
        <f>SUM('7'!DA241:DA245)</f>
        <v>0</v>
      </c>
      <c r="FH33">
        <f>SUM('7'!DB241:DB245)</f>
        <v>0</v>
      </c>
      <c r="FI33">
        <f>SUM('7'!DC241:DC245)</f>
        <v>0</v>
      </c>
      <c r="FJ33">
        <f>SUM('7'!DD241:DD245)</f>
        <v>0</v>
      </c>
      <c r="FK33">
        <f>SUM('7'!DE241:DE245)</f>
        <v>0</v>
      </c>
      <c r="FL33">
        <f>SUM('7'!DF241:DF245)</f>
        <v>0</v>
      </c>
      <c r="FM33">
        <f>SUM('7'!DG241:DG245)</f>
        <v>0</v>
      </c>
      <c r="FN33" t="s">
        <v>3463</v>
      </c>
      <c r="FO33">
        <f t="shared" si="94"/>
        <v>0</v>
      </c>
      <c r="FP33" t="s">
        <v>3464</v>
      </c>
      <c r="FQ33">
        <f t="shared" si="0"/>
        <v>0</v>
      </c>
      <c r="FR33" t="s">
        <v>3465</v>
      </c>
      <c r="FS33">
        <f t="shared" si="1"/>
        <v>0</v>
      </c>
      <c r="FT33" t="s">
        <v>3466</v>
      </c>
      <c r="FU33">
        <f t="shared" si="2"/>
        <v>0</v>
      </c>
      <c r="FV33" t="s">
        <v>3467</v>
      </c>
      <c r="FW33">
        <f t="shared" si="3"/>
        <v>0</v>
      </c>
      <c r="FX33" t="s">
        <v>3468</v>
      </c>
      <c r="FY33">
        <f t="shared" si="4"/>
        <v>0</v>
      </c>
      <c r="FZ33" t="s">
        <v>3469</v>
      </c>
      <c r="GA33">
        <f t="shared" si="5"/>
        <v>0</v>
      </c>
      <c r="GB33" t="s">
        <v>3470</v>
      </c>
      <c r="GC33">
        <f t="shared" si="6"/>
        <v>0</v>
      </c>
      <c r="GD33" t="s">
        <v>3471</v>
      </c>
      <c r="GE33">
        <f t="shared" si="7"/>
        <v>0</v>
      </c>
      <c r="GF33" t="s">
        <v>3472</v>
      </c>
      <c r="GG33">
        <f t="shared" si="8"/>
        <v>0</v>
      </c>
      <c r="GH33" t="s">
        <v>3473</v>
      </c>
      <c r="GI33">
        <f t="shared" si="9"/>
        <v>0</v>
      </c>
      <c r="GJ33" t="s">
        <v>3474</v>
      </c>
      <c r="GK33">
        <f t="shared" si="10"/>
        <v>0</v>
      </c>
      <c r="GL33" t="s">
        <v>3475</v>
      </c>
      <c r="GM33">
        <f t="shared" si="11"/>
        <v>0</v>
      </c>
      <c r="GN33" t="s">
        <v>3476</v>
      </c>
      <c r="GO33">
        <f t="shared" si="95"/>
        <v>0</v>
      </c>
      <c r="GP33" t="s">
        <v>3477</v>
      </c>
      <c r="GQ33">
        <f t="shared" si="12"/>
        <v>0</v>
      </c>
      <c r="GR33" t="s">
        <v>3478</v>
      </c>
      <c r="GS33">
        <f t="shared" si="13"/>
        <v>0</v>
      </c>
      <c r="GT33" t="s">
        <v>3479</v>
      </c>
      <c r="GU33">
        <f t="shared" si="14"/>
        <v>0</v>
      </c>
      <c r="GV33" t="s">
        <v>3480</v>
      </c>
      <c r="GW33">
        <f t="shared" si="15"/>
        <v>0</v>
      </c>
      <c r="GX33" t="s">
        <v>3481</v>
      </c>
      <c r="GY33">
        <f t="shared" si="16"/>
        <v>0</v>
      </c>
      <c r="GZ33" t="s">
        <v>3482</v>
      </c>
      <c r="HA33">
        <f t="shared" si="17"/>
        <v>0</v>
      </c>
      <c r="HB33" t="s">
        <v>3483</v>
      </c>
      <c r="HC33">
        <f t="shared" si="18"/>
        <v>0</v>
      </c>
      <c r="HD33" t="s">
        <v>3484</v>
      </c>
      <c r="HE33">
        <f t="shared" si="19"/>
        <v>0</v>
      </c>
      <c r="HF33" t="s">
        <v>3485</v>
      </c>
      <c r="HG33">
        <f t="shared" si="20"/>
        <v>0</v>
      </c>
      <c r="HH33" t="s">
        <v>3486</v>
      </c>
      <c r="HI33">
        <f t="shared" si="21"/>
        <v>0</v>
      </c>
      <c r="HJ33" t="s">
        <v>3487</v>
      </c>
      <c r="HK33">
        <f t="shared" si="22"/>
        <v>0</v>
      </c>
      <c r="HL33" t="s">
        <v>3488</v>
      </c>
      <c r="HM33">
        <f t="shared" si="23"/>
        <v>0</v>
      </c>
      <c r="HN33" t="s">
        <v>3489</v>
      </c>
      <c r="HO33">
        <f t="shared" si="24"/>
        <v>0</v>
      </c>
      <c r="HP33" t="s">
        <v>3490</v>
      </c>
      <c r="HQ33">
        <f t="shared" si="25"/>
        <v>0</v>
      </c>
      <c r="HR33" t="s">
        <v>3491</v>
      </c>
      <c r="HS33">
        <f t="shared" si="26"/>
        <v>0</v>
      </c>
      <c r="HT33" t="s">
        <v>3492</v>
      </c>
      <c r="HU33">
        <f t="shared" si="27"/>
        <v>0</v>
      </c>
      <c r="HV33" t="s">
        <v>3493</v>
      </c>
      <c r="HW33">
        <f t="shared" si="28"/>
        <v>0</v>
      </c>
      <c r="HX33" t="s">
        <v>3494</v>
      </c>
      <c r="HY33">
        <f t="shared" si="29"/>
        <v>0</v>
      </c>
      <c r="HZ33" t="s">
        <v>3495</v>
      </c>
      <c r="IA33">
        <f t="shared" si="30"/>
        <v>0</v>
      </c>
      <c r="IB33" t="s">
        <v>3496</v>
      </c>
      <c r="IC33">
        <f t="shared" si="31"/>
        <v>0</v>
      </c>
      <c r="ID33" t="s">
        <v>3497</v>
      </c>
      <c r="IE33">
        <f t="shared" si="32"/>
        <v>0</v>
      </c>
      <c r="IF33" t="s">
        <v>3498</v>
      </c>
      <c r="IG33">
        <f t="shared" si="33"/>
        <v>0</v>
      </c>
      <c r="IH33" t="s">
        <v>3499</v>
      </c>
      <c r="II33">
        <f t="shared" si="34"/>
        <v>0</v>
      </c>
      <c r="IJ33" t="s">
        <v>3500</v>
      </c>
      <c r="IK33">
        <f t="shared" si="35"/>
        <v>0</v>
      </c>
      <c r="IL33" t="s">
        <v>3501</v>
      </c>
      <c r="IM33">
        <f t="shared" si="36"/>
        <v>0</v>
      </c>
      <c r="IN33" t="s">
        <v>3502</v>
      </c>
      <c r="IO33">
        <f t="shared" si="37"/>
        <v>0</v>
      </c>
      <c r="IP33" t="s">
        <v>3503</v>
      </c>
      <c r="IQ33">
        <f t="shared" si="38"/>
        <v>0</v>
      </c>
      <c r="IR33" t="s">
        <v>3504</v>
      </c>
      <c r="IS33">
        <f t="shared" si="39"/>
        <v>0</v>
      </c>
      <c r="IT33" t="s">
        <v>3505</v>
      </c>
      <c r="IU33">
        <f t="shared" si="40"/>
        <v>0</v>
      </c>
      <c r="IV33" t="s">
        <v>3506</v>
      </c>
      <c r="IW33">
        <f t="shared" si="41"/>
        <v>0</v>
      </c>
      <c r="IX33" t="s">
        <v>3507</v>
      </c>
      <c r="IY33">
        <f t="shared" si="42"/>
        <v>0</v>
      </c>
      <c r="IZ33" t="s">
        <v>3508</v>
      </c>
      <c r="JA33">
        <f t="shared" si="43"/>
        <v>0</v>
      </c>
      <c r="JB33" t="s">
        <v>3509</v>
      </c>
      <c r="JC33">
        <f t="shared" si="44"/>
        <v>0</v>
      </c>
      <c r="JD33" t="s">
        <v>3510</v>
      </c>
      <c r="JE33">
        <f t="shared" si="45"/>
        <v>0</v>
      </c>
      <c r="JF33" t="s">
        <v>3511</v>
      </c>
      <c r="JG33">
        <f t="shared" si="46"/>
        <v>0</v>
      </c>
      <c r="JH33" t="s">
        <v>3512</v>
      </c>
      <c r="JI33">
        <f t="shared" si="47"/>
        <v>0</v>
      </c>
      <c r="JJ33" t="s">
        <v>3513</v>
      </c>
      <c r="JK33">
        <f t="shared" si="48"/>
        <v>0</v>
      </c>
      <c r="JL33" t="s">
        <v>3514</v>
      </c>
      <c r="JM33">
        <f t="shared" si="49"/>
        <v>0</v>
      </c>
      <c r="JN33" t="s">
        <v>3515</v>
      </c>
      <c r="JO33">
        <f t="shared" si="50"/>
        <v>0</v>
      </c>
      <c r="JP33" t="s">
        <v>3516</v>
      </c>
      <c r="JQ33">
        <f t="shared" si="51"/>
        <v>0</v>
      </c>
      <c r="JR33" t="s">
        <v>3517</v>
      </c>
      <c r="JS33">
        <f t="shared" si="52"/>
        <v>0</v>
      </c>
      <c r="JT33" t="s">
        <v>3518</v>
      </c>
      <c r="JU33">
        <f t="shared" si="53"/>
        <v>0</v>
      </c>
      <c r="JV33" t="s">
        <v>3519</v>
      </c>
      <c r="JW33">
        <f t="shared" si="54"/>
        <v>0</v>
      </c>
      <c r="JX33" t="s">
        <v>3520</v>
      </c>
      <c r="JY33">
        <f t="shared" si="55"/>
        <v>0</v>
      </c>
      <c r="JZ33" t="s">
        <v>3521</v>
      </c>
      <c r="KA33">
        <f t="shared" si="56"/>
        <v>0</v>
      </c>
      <c r="KB33" t="s">
        <v>3522</v>
      </c>
      <c r="KC33">
        <f t="shared" si="57"/>
        <v>0</v>
      </c>
      <c r="KD33" t="s">
        <v>3523</v>
      </c>
      <c r="KE33">
        <f t="shared" si="58"/>
        <v>0</v>
      </c>
      <c r="KF33" t="s">
        <v>3524</v>
      </c>
      <c r="KG33">
        <f t="shared" si="59"/>
        <v>0</v>
      </c>
      <c r="KH33" t="s">
        <v>3525</v>
      </c>
      <c r="KI33">
        <f t="shared" si="60"/>
        <v>0</v>
      </c>
      <c r="KJ33" t="s">
        <v>3526</v>
      </c>
      <c r="KK33">
        <f t="shared" si="61"/>
        <v>0</v>
      </c>
      <c r="KL33" t="s">
        <v>3527</v>
      </c>
      <c r="KM33">
        <f t="shared" si="62"/>
        <v>0</v>
      </c>
      <c r="KN33" t="s">
        <v>3528</v>
      </c>
      <c r="KO33">
        <f t="shared" si="63"/>
        <v>0</v>
      </c>
      <c r="KP33" t="s">
        <v>3529</v>
      </c>
      <c r="KQ33">
        <f t="shared" si="64"/>
        <v>0</v>
      </c>
      <c r="KR33" t="s">
        <v>3530</v>
      </c>
      <c r="KS33">
        <f t="shared" si="65"/>
        <v>0</v>
      </c>
      <c r="KT33" t="s">
        <v>3531</v>
      </c>
      <c r="KU33">
        <f t="shared" si="66"/>
        <v>0</v>
      </c>
      <c r="KV33" t="s">
        <v>3532</v>
      </c>
      <c r="KW33">
        <f t="shared" si="67"/>
        <v>0</v>
      </c>
      <c r="KX33" t="s">
        <v>3533</v>
      </c>
      <c r="KY33">
        <f t="shared" si="68"/>
        <v>0</v>
      </c>
      <c r="KZ33" t="s">
        <v>3534</v>
      </c>
      <c r="LA33">
        <f t="shared" si="69"/>
        <v>0</v>
      </c>
      <c r="LB33" t="s">
        <v>3535</v>
      </c>
      <c r="LC33">
        <f t="shared" si="70"/>
        <v>0</v>
      </c>
      <c r="LD33" t="s">
        <v>3536</v>
      </c>
      <c r="LE33">
        <f t="shared" si="71"/>
        <v>0</v>
      </c>
      <c r="LF33" t="s">
        <v>3537</v>
      </c>
      <c r="LG33">
        <f t="shared" si="72"/>
        <v>0</v>
      </c>
      <c r="LH33" t="s">
        <v>3538</v>
      </c>
      <c r="LI33">
        <f t="shared" si="73"/>
        <v>0</v>
      </c>
      <c r="LJ33" t="s">
        <v>3539</v>
      </c>
      <c r="LK33">
        <f t="shared" si="74"/>
        <v>0</v>
      </c>
      <c r="LL33" t="s">
        <v>3540</v>
      </c>
      <c r="LM33">
        <f t="shared" si="75"/>
        <v>0</v>
      </c>
      <c r="LN33" t="s">
        <v>3541</v>
      </c>
      <c r="LO33">
        <f t="shared" si="76"/>
        <v>0</v>
      </c>
      <c r="LP33" t="s">
        <v>3542</v>
      </c>
      <c r="LQ33">
        <f t="shared" si="77"/>
        <v>0</v>
      </c>
      <c r="LR33" t="s">
        <v>3543</v>
      </c>
      <c r="LS33">
        <f t="shared" si="78"/>
        <v>0</v>
      </c>
      <c r="LT33" t="s">
        <v>3544</v>
      </c>
      <c r="LU33">
        <f t="shared" si="79"/>
        <v>0</v>
      </c>
      <c r="LV33" t="s">
        <v>3545</v>
      </c>
      <c r="LW33">
        <f t="shared" si="80"/>
        <v>0</v>
      </c>
      <c r="LX33" t="s">
        <v>3546</v>
      </c>
      <c r="LY33">
        <f t="shared" si="81"/>
        <v>0</v>
      </c>
      <c r="LZ33">
        <f>'6'!B124</f>
        <v>0</v>
      </c>
      <c r="MA33">
        <f>'6'!C124</f>
        <v>0</v>
      </c>
      <c r="MB33">
        <f>'6'!D124</f>
        <v>0</v>
      </c>
      <c r="MC33">
        <f>'6'!E124</f>
        <v>0</v>
      </c>
      <c r="MD33">
        <f>'6'!F124</f>
        <v>0</v>
      </c>
      <c r="ME33">
        <f>'6'!G124</f>
        <v>0</v>
      </c>
      <c r="MF33">
        <f>'6'!H124</f>
        <v>0</v>
      </c>
      <c r="MG33">
        <f>'6'!I124</f>
        <v>0</v>
      </c>
      <c r="MH33">
        <f>'6'!J124</f>
        <v>0</v>
      </c>
      <c r="MI33">
        <f>'6'!K124</f>
        <v>0</v>
      </c>
      <c r="MJ33">
        <f>'6'!L124</f>
        <v>0</v>
      </c>
      <c r="MK33">
        <f>'6'!M124</f>
        <v>0</v>
      </c>
      <c r="ML33" s="13">
        <f>'7'!B239</f>
        <v>0</v>
      </c>
      <c r="MM33" s="13">
        <f>'7'!C239</f>
        <v>0</v>
      </c>
      <c r="MN33" s="13">
        <f>'7'!D239</f>
        <v>0</v>
      </c>
      <c r="MO33" s="13">
        <f>'7'!E239</f>
        <v>0</v>
      </c>
      <c r="MP33" s="13">
        <f>'7'!F239</f>
        <v>0</v>
      </c>
      <c r="MQ33" s="13">
        <f>'7'!G239</f>
        <v>0</v>
      </c>
      <c r="MR33" s="13">
        <f>'7'!H239</f>
        <v>0</v>
      </c>
      <c r="MS33" s="13">
        <f>'7'!I239</f>
        <v>0</v>
      </c>
      <c r="MT33" s="13">
        <f>'7'!J239</f>
        <v>0</v>
      </c>
      <c r="MU33" s="13">
        <f>'7'!K239</f>
        <v>0</v>
      </c>
      <c r="MV33" s="13">
        <f>'7'!L239</f>
        <v>0</v>
      </c>
      <c r="MW33" s="13">
        <f>'7'!M239</f>
        <v>0</v>
      </c>
      <c r="MX33" s="13" t="s">
        <v>3547</v>
      </c>
      <c r="MY33">
        <f t="shared" si="82"/>
        <v>0</v>
      </c>
      <c r="MZ33" s="13" t="s">
        <v>3548</v>
      </c>
      <c r="NA33">
        <f t="shared" si="83"/>
        <v>0</v>
      </c>
      <c r="NB33" s="13" t="s">
        <v>3549</v>
      </c>
      <c r="NC33">
        <f t="shared" si="84"/>
        <v>0</v>
      </c>
      <c r="ND33" s="13" t="s">
        <v>3550</v>
      </c>
      <c r="NE33">
        <f t="shared" si="85"/>
        <v>0</v>
      </c>
      <c r="NF33" s="13" t="s">
        <v>3551</v>
      </c>
      <c r="NG33">
        <f t="shared" si="86"/>
        <v>0</v>
      </c>
      <c r="NH33" s="13" t="s">
        <v>3552</v>
      </c>
      <c r="NI33">
        <f t="shared" si="87"/>
        <v>0</v>
      </c>
      <c r="NJ33" s="13" t="s">
        <v>3553</v>
      </c>
      <c r="NK33">
        <f t="shared" si="88"/>
        <v>0</v>
      </c>
      <c r="NL33" s="13" t="s">
        <v>3554</v>
      </c>
      <c r="NM33">
        <f t="shared" si="89"/>
        <v>0</v>
      </c>
      <c r="NN33" s="13" t="s">
        <v>3555</v>
      </c>
      <c r="NO33">
        <f t="shared" si="90"/>
        <v>0</v>
      </c>
      <c r="NP33" s="13" t="s">
        <v>3556</v>
      </c>
      <c r="NQ33">
        <f t="shared" si="91"/>
        <v>0</v>
      </c>
      <c r="NR33" s="13" t="s">
        <v>3557</v>
      </c>
      <c r="NS33">
        <f t="shared" si="92"/>
        <v>0</v>
      </c>
      <c r="NT33" s="13" t="s">
        <v>3558</v>
      </c>
      <c r="NU33">
        <f t="shared" si="93"/>
        <v>0</v>
      </c>
      <c r="NV33" s="13"/>
    </row>
    <row r="34" spans="1:386" customFormat="1" x14ac:dyDescent="0.25">
      <c r="A34">
        <v>31</v>
      </c>
      <c r="B34">
        <f>'6'!AB127</f>
        <v>0</v>
      </c>
      <c r="C34">
        <f>'6'!AC127</f>
        <v>0</v>
      </c>
      <c r="D34">
        <f>'6'!AD127</f>
        <v>0</v>
      </c>
      <c r="E34">
        <f>'6'!AE127</f>
        <v>0</v>
      </c>
      <c r="F34">
        <f>'6'!AF127</f>
        <v>0</v>
      </c>
      <c r="G34">
        <f>'6'!AG127</f>
        <v>0</v>
      </c>
      <c r="H34">
        <f>'6'!AH127</f>
        <v>0</v>
      </c>
      <c r="I34">
        <f>'6'!AI127</f>
        <v>0</v>
      </c>
      <c r="J34">
        <f>'6'!AJ127</f>
        <v>0</v>
      </c>
      <c r="K34">
        <f>'6'!AK127</f>
        <v>0</v>
      </c>
      <c r="L34">
        <f>'6'!AL127</f>
        <v>0</v>
      </c>
      <c r="M34">
        <f>'6'!AM127</f>
        <v>0</v>
      </c>
      <c r="N34">
        <f>'6'!AN127</f>
        <v>0</v>
      </c>
      <c r="O34">
        <f>'6'!AO127</f>
        <v>0</v>
      </c>
      <c r="P34">
        <f>'6'!AP127</f>
        <v>0</v>
      </c>
      <c r="Q34">
        <f>'6'!AQ127</f>
        <v>0</v>
      </c>
      <c r="R34">
        <f>'6'!AR127</f>
        <v>0</v>
      </c>
      <c r="S34">
        <f>'6'!AS127</f>
        <v>0</v>
      </c>
      <c r="T34">
        <f>'6'!AT127</f>
        <v>0</v>
      </c>
      <c r="U34">
        <f>'6'!AU127</f>
        <v>0</v>
      </c>
      <c r="V34">
        <f>'6'!AV127</f>
        <v>0</v>
      </c>
      <c r="W34">
        <f>'6'!AW127</f>
        <v>0</v>
      </c>
      <c r="X34">
        <f>'6'!AX127</f>
        <v>0</v>
      </c>
      <c r="Y34">
        <f>'6'!AY127</f>
        <v>0</v>
      </c>
      <c r="Z34">
        <f>'6'!AZ127</f>
        <v>0</v>
      </c>
      <c r="AA34">
        <f>'6'!BA127</f>
        <v>0</v>
      </c>
      <c r="AB34">
        <f>'6'!BB127</f>
        <v>0</v>
      </c>
      <c r="AC34">
        <f>'6'!BC127</f>
        <v>0</v>
      </c>
      <c r="AD34">
        <f>'6'!BD127</f>
        <v>0</v>
      </c>
      <c r="AE34">
        <f>'6'!BE127</f>
        <v>0</v>
      </c>
      <c r="AF34">
        <f>'6'!BF127</f>
        <v>0</v>
      </c>
      <c r="AG34">
        <f>'6'!BG127</f>
        <v>0</v>
      </c>
      <c r="AH34">
        <f>'6'!BH127</f>
        <v>0</v>
      </c>
      <c r="AI34">
        <f>'6'!BI127</f>
        <v>0</v>
      </c>
      <c r="AJ34">
        <f>'6'!BJ127</f>
        <v>0</v>
      </c>
      <c r="AK34">
        <f>'6'!BK127</f>
        <v>0</v>
      </c>
      <c r="AL34">
        <f>'6'!BL127</f>
        <v>0</v>
      </c>
      <c r="AM34">
        <f>'6'!BM127</f>
        <v>0</v>
      </c>
      <c r="AN34">
        <f>'6'!BN127</f>
        <v>0</v>
      </c>
      <c r="AO34">
        <f>'6'!BO127</f>
        <v>0</v>
      </c>
      <c r="AP34">
        <f>'6'!BP127</f>
        <v>0</v>
      </c>
      <c r="AQ34">
        <f>'6'!BQ127</f>
        <v>0</v>
      </c>
      <c r="AR34">
        <f>'6'!BR127</f>
        <v>0</v>
      </c>
      <c r="AS34">
        <f>'6'!BS127</f>
        <v>0</v>
      </c>
      <c r="AT34">
        <f>'6'!BT127</f>
        <v>0</v>
      </c>
      <c r="AU34">
        <f>'6'!BU127</f>
        <v>0</v>
      </c>
      <c r="AV34">
        <f>'6'!BV127</f>
        <v>0</v>
      </c>
      <c r="AW34">
        <f>'6'!BW127</f>
        <v>0</v>
      </c>
      <c r="AX34">
        <f>'6'!BX127</f>
        <v>0</v>
      </c>
      <c r="AY34">
        <f>'6'!BY127</f>
        <v>0</v>
      </c>
      <c r="AZ34">
        <f>'6'!BZ127</f>
        <v>0</v>
      </c>
      <c r="BA34">
        <f>'6'!CA127</f>
        <v>0</v>
      </c>
      <c r="BB34">
        <f>'6'!CB127</f>
        <v>0</v>
      </c>
      <c r="BC34">
        <f>'6'!CC127</f>
        <v>0</v>
      </c>
      <c r="BD34">
        <f>'6'!CD127</f>
        <v>0</v>
      </c>
      <c r="BE34">
        <f>'6'!CE127</f>
        <v>0</v>
      </c>
      <c r="BF34">
        <f>'6'!CF127</f>
        <v>0</v>
      </c>
      <c r="BG34">
        <f>'6'!CG127</f>
        <v>0</v>
      </c>
      <c r="BH34">
        <f>'6'!CH127</f>
        <v>0</v>
      </c>
      <c r="BI34">
        <f>'6'!CI127</f>
        <v>0</v>
      </c>
      <c r="BJ34">
        <f>'6'!CJ127</f>
        <v>0</v>
      </c>
      <c r="BK34">
        <f>'6'!CK127</f>
        <v>0</v>
      </c>
      <c r="BL34">
        <f>'6'!CL127</f>
        <v>0</v>
      </c>
      <c r="BM34">
        <f>'6'!CM127</f>
        <v>0</v>
      </c>
      <c r="BN34">
        <f>'6'!CN127</f>
        <v>0</v>
      </c>
      <c r="BO34">
        <f>'6'!CO127</f>
        <v>0</v>
      </c>
      <c r="BP34">
        <f>'6'!CP127</f>
        <v>0</v>
      </c>
      <c r="BQ34">
        <f>'6'!CQ127</f>
        <v>0</v>
      </c>
      <c r="BR34">
        <f>'6'!CR127</f>
        <v>0</v>
      </c>
      <c r="BS34">
        <f>'6'!CS127</f>
        <v>0</v>
      </c>
      <c r="BT34">
        <f>'6'!CT127</f>
        <v>0</v>
      </c>
      <c r="BU34">
        <f>'6'!CU127</f>
        <v>0</v>
      </c>
      <c r="BV34">
        <f>'6'!CV127</f>
        <v>0</v>
      </c>
      <c r="BW34">
        <f>'6'!CW127</f>
        <v>0</v>
      </c>
      <c r="BX34">
        <f>'6'!CX127</f>
        <v>0</v>
      </c>
      <c r="BY34">
        <f>'6'!CY127</f>
        <v>0</v>
      </c>
      <c r="BZ34">
        <f>'6'!CZ127</f>
        <v>0</v>
      </c>
      <c r="CA34">
        <f>'6'!DA127</f>
        <v>0</v>
      </c>
      <c r="CB34">
        <f>'6'!DB127</f>
        <v>0</v>
      </c>
      <c r="CC34">
        <f>'6'!DC127</f>
        <v>0</v>
      </c>
      <c r="CD34">
        <f>'6'!DD127</f>
        <v>0</v>
      </c>
      <c r="CE34">
        <f>'6'!DE127</f>
        <v>0</v>
      </c>
      <c r="CF34">
        <f>'6'!DF127</f>
        <v>0</v>
      </c>
      <c r="CG34">
        <f>'6'!DG127</f>
        <v>0</v>
      </c>
      <c r="CH34">
        <f>SUM('7'!AB249:AB253)</f>
        <v>0</v>
      </c>
      <c r="CI34">
        <f>SUM('7'!AC249:AC253)</f>
        <v>0</v>
      </c>
      <c r="CJ34">
        <f>SUM('7'!AD249:AD253)</f>
        <v>0</v>
      </c>
      <c r="CK34">
        <f>SUM('7'!AE249:AE253)</f>
        <v>0</v>
      </c>
      <c r="CL34">
        <f>SUM('7'!AF249:AF253)</f>
        <v>0</v>
      </c>
      <c r="CM34">
        <f>SUM('7'!AG249:AG253)</f>
        <v>0</v>
      </c>
      <c r="CN34">
        <f>SUM('7'!AH249:AH253)</f>
        <v>0</v>
      </c>
      <c r="CO34">
        <f>SUM('7'!AI249:AI253)</f>
        <v>0</v>
      </c>
      <c r="CP34">
        <f>SUM('7'!AJ249:AJ253)</f>
        <v>0</v>
      </c>
      <c r="CQ34">
        <f>SUM('7'!AK249:AK253)</f>
        <v>0</v>
      </c>
      <c r="CR34">
        <f>SUM('7'!AL249:AL253)</f>
        <v>0</v>
      </c>
      <c r="CS34">
        <f>SUM('7'!AM249:AM253)</f>
        <v>0</v>
      </c>
      <c r="CT34">
        <f>SUM('7'!AN249:AN253)</f>
        <v>0</v>
      </c>
      <c r="CU34">
        <f>SUM('7'!AO249:AO253)</f>
        <v>0</v>
      </c>
      <c r="CV34">
        <f>SUM('7'!AP249:AP253)</f>
        <v>0</v>
      </c>
      <c r="CW34">
        <f>SUM('7'!AQ249:AQ253)</f>
        <v>0</v>
      </c>
      <c r="CX34">
        <f>SUM('7'!AR249:AR253)</f>
        <v>0</v>
      </c>
      <c r="CY34">
        <f>SUM('7'!AS249:AS253)</f>
        <v>0</v>
      </c>
      <c r="CZ34">
        <f>SUM('7'!AT249:AT253)</f>
        <v>0</v>
      </c>
      <c r="DA34">
        <f>SUM('7'!AU249:AU253)</f>
        <v>0</v>
      </c>
      <c r="DB34">
        <f>SUM('7'!AV249:AV253)</f>
        <v>0</v>
      </c>
      <c r="DC34">
        <f>SUM('7'!AW249:AW253)</f>
        <v>0</v>
      </c>
      <c r="DD34">
        <f>SUM('7'!AX249:AX253)</f>
        <v>0</v>
      </c>
      <c r="DE34">
        <f>SUM('7'!AY249:AY253)</f>
        <v>0</v>
      </c>
      <c r="DF34">
        <f>SUM('7'!AZ249:AZ253)</f>
        <v>0</v>
      </c>
      <c r="DG34">
        <f>SUM('7'!BA249:BA253)</f>
        <v>0</v>
      </c>
      <c r="DH34">
        <f>SUM('7'!BB249:BB253)</f>
        <v>0</v>
      </c>
      <c r="DI34">
        <f>SUM('7'!BC249:BC253)</f>
        <v>0</v>
      </c>
      <c r="DJ34">
        <f>SUM('7'!BD249:BD253)</f>
        <v>0</v>
      </c>
      <c r="DK34">
        <f>SUM('7'!BE249:BE253)</f>
        <v>0</v>
      </c>
      <c r="DL34">
        <f>SUM('7'!BF249:BF253)</f>
        <v>0</v>
      </c>
      <c r="DM34">
        <f>SUM('7'!BG249:BG253)</f>
        <v>0</v>
      </c>
      <c r="DN34">
        <f>SUM('7'!BH249:BH253)</f>
        <v>0</v>
      </c>
      <c r="DO34">
        <f>SUM('7'!BI249:BI253)</f>
        <v>0</v>
      </c>
      <c r="DP34">
        <f>SUM('7'!BJ249:BJ253)</f>
        <v>0</v>
      </c>
      <c r="DQ34">
        <f>SUM('7'!BK249:BK253)</f>
        <v>0</v>
      </c>
      <c r="DR34">
        <f>SUM('7'!BL249:BL253)</f>
        <v>0</v>
      </c>
      <c r="DS34">
        <f>SUM('7'!BM249:BM253)</f>
        <v>0</v>
      </c>
      <c r="DT34">
        <f>SUM('7'!BN249:BN253)</f>
        <v>0</v>
      </c>
      <c r="DU34">
        <f>SUM('7'!BO249:BO253)</f>
        <v>0</v>
      </c>
      <c r="DV34">
        <f>SUM('7'!BP249:BP253)</f>
        <v>0</v>
      </c>
      <c r="DW34">
        <f>SUM('7'!BQ249:BQ253)</f>
        <v>0</v>
      </c>
      <c r="DX34">
        <f>SUM('7'!BR249:BR253)</f>
        <v>0</v>
      </c>
      <c r="DY34">
        <f>SUM('7'!BS249:BS253)</f>
        <v>0</v>
      </c>
      <c r="DZ34">
        <f>SUM('7'!BT249:BT253)</f>
        <v>0</v>
      </c>
      <c r="EA34">
        <f>SUM('7'!BU249:BU253)</f>
        <v>0</v>
      </c>
      <c r="EB34">
        <f>SUM('7'!BV249:BV253)</f>
        <v>0</v>
      </c>
      <c r="EC34">
        <f>SUM('7'!BW249:BW253)</f>
        <v>0</v>
      </c>
      <c r="ED34">
        <f>SUM('7'!BX249:BX253)</f>
        <v>0</v>
      </c>
      <c r="EE34">
        <f>SUM('7'!BY249:BY253)</f>
        <v>0</v>
      </c>
      <c r="EF34">
        <f>SUM('7'!BZ249:BZ253)</f>
        <v>0</v>
      </c>
      <c r="EG34">
        <f>SUM('7'!CA249:CA253)</f>
        <v>0</v>
      </c>
      <c r="EH34">
        <f>SUM('7'!CB249:CB253)</f>
        <v>0</v>
      </c>
      <c r="EI34">
        <f>SUM('7'!CC249:CC253)</f>
        <v>0</v>
      </c>
      <c r="EJ34">
        <f>SUM('7'!CD249:CD253)</f>
        <v>0</v>
      </c>
      <c r="EK34">
        <f>SUM('7'!CE249:CE253)</f>
        <v>0</v>
      </c>
      <c r="EL34">
        <f>SUM('7'!CF249:CF253)</f>
        <v>0</v>
      </c>
      <c r="EM34">
        <f>SUM('7'!CG249:CG253)</f>
        <v>0</v>
      </c>
      <c r="EN34">
        <f>SUM('7'!CH249:CH253)</f>
        <v>0</v>
      </c>
      <c r="EO34">
        <f>SUM('7'!CI249:CI253)</f>
        <v>0</v>
      </c>
      <c r="EP34">
        <f>SUM('7'!CJ249:CJ253)</f>
        <v>0</v>
      </c>
      <c r="EQ34">
        <f>SUM('7'!CK249:CK253)</f>
        <v>0</v>
      </c>
      <c r="ER34">
        <f>SUM('7'!CL249:CL253)</f>
        <v>0</v>
      </c>
      <c r="ES34">
        <f>SUM('7'!CM249:CM253)</f>
        <v>0</v>
      </c>
      <c r="ET34">
        <f>SUM('7'!CN249:CN253)</f>
        <v>0</v>
      </c>
      <c r="EU34">
        <f>SUM('7'!CO249:CO253)</f>
        <v>0</v>
      </c>
      <c r="EV34">
        <f>SUM('7'!CP249:CP253)</f>
        <v>0</v>
      </c>
      <c r="EW34">
        <f>SUM('7'!CQ249:CQ253)</f>
        <v>0</v>
      </c>
      <c r="EX34">
        <f>SUM('7'!CR249:CR253)</f>
        <v>0</v>
      </c>
      <c r="EY34">
        <f>SUM('7'!CS249:CS253)</f>
        <v>0</v>
      </c>
      <c r="EZ34">
        <f>SUM('7'!CT249:CT253)</f>
        <v>0</v>
      </c>
      <c r="FA34">
        <f>SUM('7'!CU249:CU253)</f>
        <v>0</v>
      </c>
      <c r="FB34">
        <f>SUM('7'!CV249:CV253)</f>
        <v>0</v>
      </c>
      <c r="FC34">
        <f>SUM('7'!CW249:CW253)</f>
        <v>0</v>
      </c>
      <c r="FD34">
        <f>SUM('7'!CX249:CX253)</f>
        <v>0</v>
      </c>
      <c r="FE34">
        <f>SUM('7'!CY249:CY253)</f>
        <v>0</v>
      </c>
      <c r="FF34">
        <f>SUM('7'!CZ249:CZ253)</f>
        <v>0</v>
      </c>
      <c r="FG34">
        <f>SUM('7'!DA249:DA253)</f>
        <v>0</v>
      </c>
      <c r="FH34">
        <f>SUM('7'!DB249:DB253)</f>
        <v>0</v>
      </c>
      <c r="FI34">
        <f>SUM('7'!DC249:DC253)</f>
        <v>0</v>
      </c>
      <c r="FJ34">
        <f>SUM('7'!DD249:DD253)</f>
        <v>0</v>
      </c>
      <c r="FK34">
        <f>SUM('7'!DE249:DE253)</f>
        <v>0</v>
      </c>
      <c r="FL34">
        <f>SUM('7'!DF249:DF253)</f>
        <v>0</v>
      </c>
      <c r="FM34">
        <f>SUM('7'!DG249:DG253)</f>
        <v>0</v>
      </c>
      <c r="FN34" t="s">
        <v>3559</v>
      </c>
      <c r="FO34">
        <f t="shared" si="94"/>
        <v>0</v>
      </c>
      <c r="FP34" t="s">
        <v>3560</v>
      </c>
      <c r="FQ34">
        <f t="shared" si="0"/>
        <v>0</v>
      </c>
      <c r="FR34" t="s">
        <v>3561</v>
      </c>
      <c r="FS34">
        <f t="shared" si="1"/>
        <v>0</v>
      </c>
      <c r="FT34" t="s">
        <v>3562</v>
      </c>
      <c r="FU34">
        <f t="shared" si="2"/>
        <v>0</v>
      </c>
      <c r="FV34" t="s">
        <v>3563</v>
      </c>
      <c r="FW34">
        <f t="shared" si="3"/>
        <v>0</v>
      </c>
      <c r="FX34" t="s">
        <v>3564</v>
      </c>
      <c r="FY34">
        <f t="shared" si="4"/>
        <v>0</v>
      </c>
      <c r="FZ34" t="s">
        <v>3565</v>
      </c>
      <c r="GA34">
        <f t="shared" si="5"/>
        <v>0</v>
      </c>
      <c r="GB34" t="s">
        <v>3566</v>
      </c>
      <c r="GC34">
        <f t="shared" si="6"/>
        <v>0</v>
      </c>
      <c r="GD34" t="s">
        <v>3567</v>
      </c>
      <c r="GE34">
        <f t="shared" si="7"/>
        <v>0</v>
      </c>
      <c r="GF34" t="s">
        <v>3568</v>
      </c>
      <c r="GG34">
        <f t="shared" si="8"/>
        <v>0</v>
      </c>
      <c r="GH34" t="s">
        <v>3569</v>
      </c>
      <c r="GI34">
        <f t="shared" si="9"/>
        <v>0</v>
      </c>
      <c r="GJ34" t="s">
        <v>3570</v>
      </c>
      <c r="GK34">
        <f t="shared" si="10"/>
        <v>0</v>
      </c>
      <c r="GL34" t="s">
        <v>3571</v>
      </c>
      <c r="GM34">
        <f t="shared" si="11"/>
        <v>0</v>
      </c>
      <c r="GN34" t="s">
        <v>3572</v>
      </c>
      <c r="GO34">
        <f t="shared" si="95"/>
        <v>0</v>
      </c>
      <c r="GP34" t="s">
        <v>3573</v>
      </c>
      <c r="GQ34">
        <f t="shared" si="12"/>
        <v>0</v>
      </c>
      <c r="GR34" t="s">
        <v>3574</v>
      </c>
      <c r="GS34">
        <f t="shared" si="13"/>
        <v>0</v>
      </c>
      <c r="GT34" t="s">
        <v>3575</v>
      </c>
      <c r="GU34">
        <f t="shared" si="14"/>
        <v>0</v>
      </c>
      <c r="GV34" t="s">
        <v>3576</v>
      </c>
      <c r="GW34">
        <f t="shared" si="15"/>
        <v>0</v>
      </c>
      <c r="GX34" t="s">
        <v>3577</v>
      </c>
      <c r="GY34">
        <f t="shared" si="16"/>
        <v>0</v>
      </c>
      <c r="GZ34" t="s">
        <v>3578</v>
      </c>
      <c r="HA34">
        <f t="shared" si="17"/>
        <v>0</v>
      </c>
      <c r="HB34" t="s">
        <v>3579</v>
      </c>
      <c r="HC34">
        <f t="shared" si="18"/>
        <v>0</v>
      </c>
      <c r="HD34" t="s">
        <v>3580</v>
      </c>
      <c r="HE34">
        <f t="shared" si="19"/>
        <v>0</v>
      </c>
      <c r="HF34" t="s">
        <v>3581</v>
      </c>
      <c r="HG34">
        <f t="shared" si="20"/>
        <v>0</v>
      </c>
      <c r="HH34" t="s">
        <v>3582</v>
      </c>
      <c r="HI34">
        <f t="shared" si="21"/>
        <v>0</v>
      </c>
      <c r="HJ34" t="s">
        <v>3583</v>
      </c>
      <c r="HK34">
        <f t="shared" si="22"/>
        <v>0</v>
      </c>
      <c r="HL34" t="s">
        <v>3584</v>
      </c>
      <c r="HM34">
        <f t="shared" si="23"/>
        <v>0</v>
      </c>
      <c r="HN34" t="s">
        <v>3585</v>
      </c>
      <c r="HO34">
        <f t="shared" si="24"/>
        <v>0</v>
      </c>
      <c r="HP34" t="s">
        <v>3586</v>
      </c>
      <c r="HQ34">
        <f t="shared" si="25"/>
        <v>0</v>
      </c>
      <c r="HR34" t="s">
        <v>3587</v>
      </c>
      <c r="HS34">
        <f t="shared" si="26"/>
        <v>0</v>
      </c>
      <c r="HT34" t="s">
        <v>3588</v>
      </c>
      <c r="HU34">
        <f t="shared" si="27"/>
        <v>0</v>
      </c>
      <c r="HV34" t="s">
        <v>3589</v>
      </c>
      <c r="HW34">
        <f t="shared" si="28"/>
        <v>0</v>
      </c>
      <c r="HX34" t="s">
        <v>3590</v>
      </c>
      <c r="HY34">
        <f t="shared" si="29"/>
        <v>0</v>
      </c>
      <c r="HZ34" t="s">
        <v>3591</v>
      </c>
      <c r="IA34">
        <f t="shared" si="30"/>
        <v>0</v>
      </c>
      <c r="IB34" t="s">
        <v>3592</v>
      </c>
      <c r="IC34">
        <f t="shared" si="31"/>
        <v>0</v>
      </c>
      <c r="ID34" t="s">
        <v>3593</v>
      </c>
      <c r="IE34">
        <f t="shared" si="32"/>
        <v>0</v>
      </c>
      <c r="IF34" t="s">
        <v>3594</v>
      </c>
      <c r="IG34">
        <f t="shared" si="33"/>
        <v>0</v>
      </c>
      <c r="IH34" t="s">
        <v>3595</v>
      </c>
      <c r="II34">
        <f t="shared" si="34"/>
        <v>0</v>
      </c>
      <c r="IJ34" t="s">
        <v>3596</v>
      </c>
      <c r="IK34">
        <f t="shared" si="35"/>
        <v>0</v>
      </c>
      <c r="IL34" t="s">
        <v>3597</v>
      </c>
      <c r="IM34">
        <f t="shared" si="36"/>
        <v>0</v>
      </c>
      <c r="IN34" t="s">
        <v>3598</v>
      </c>
      <c r="IO34">
        <f t="shared" si="37"/>
        <v>0</v>
      </c>
      <c r="IP34" t="s">
        <v>3599</v>
      </c>
      <c r="IQ34">
        <f t="shared" si="38"/>
        <v>0</v>
      </c>
      <c r="IR34" t="s">
        <v>3600</v>
      </c>
      <c r="IS34">
        <f t="shared" si="39"/>
        <v>0</v>
      </c>
      <c r="IT34" t="s">
        <v>3601</v>
      </c>
      <c r="IU34">
        <f t="shared" si="40"/>
        <v>0</v>
      </c>
      <c r="IV34" t="s">
        <v>3602</v>
      </c>
      <c r="IW34">
        <f t="shared" si="41"/>
        <v>0</v>
      </c>
      <c r="IX34" t="s">
        <v>3603</v>
      </c>
      <c r="IY34">
        <f t="shared" si="42"/>
        <v>0</v>
      </c>
      <c r="IZ34" t="s">
        <v>3604</v>
      </c>
      <c r="JA34">
        <f t="shared" si="43"/>
        <v>0</v>
      </c>
      <c r="JB34" t="s">
        <v>3605</v>
      </c>
      <c r="JC34">
        <f t="shared" si="44"/>
        <v>0</v>
      </c>
      <c r="JD34" t="s">
        <v>3606</v>
      </c>
      <c r="JE34">
        <f t="shared" si="45"/>
        <v>0</v>
      </c>
      <c r="JF34" t="s">
        <v>3607</v>
      </c>
      <c r="JG34">
        <f t="shared" si="46"/>
        <v>0</v>
      </c>
      <c r="JH34" t="s">
        <v>3608</v>
      </c>
      <c r="JI34">
        <f t="shared" si="47"/>
        <v>0</v>
      </c>
      <c r="JJ34" t="s">
        <v>3609</v>
      </c>
      <c r="JK34">
        <f t="shared" si="48"/>
        <v>0</v>
      </c>
      <c r="JL34" t="s">
        <v>3610</v>
      </c>
      <c r="JM34">
        <f t="shared" si="49"/>
        <v>0</v>
      </c>
      <c r="JN34" t="s">
        <v>3611</v>
      </c>
      <c r="JO34">
        <f t="shared" si="50"/>
        <v>0</v>
      </c>
      <c r="JP34" t="s">
        <v>3612</v>
      </c>
      <c r="JQ34">
        <f t="shared" si="51"/>
        <v>0</v>
      </c>
      <c r="JR34" t="s">
        <v>3613</v>
      </c>
      <c r="JS34">
        <f t="shared" si="52"/>
        <v>0</v>
      </c>
      <c r="JT34" t="s">
        <v>3614</v>
      </c>
      <c r="JU34">
        <f t="shared" si="53"/>
        <v>0</v>
      </c>
      <c r="JV34" t="s">
        <v>3615</v>
      </c>
      <c r="JW34">
        <f t="shared" si="54"/>
        <v>0</v>
      </c>
      <c r="JX34" t="s">
        <v>3616</v>
      </c>
      <c r="JY34">
        <f t="shared" si="55"/>
        <v>0</v>
      </c>
      <c r="JZ34" t="s">
        <v>3617</v>
      </c>
      <c r="KA34">
        <f t="shared" si="56"/>
        <v>0</v>
      </c>
      <c r="KB34" t="s">
        <v>3618</v>
      </c>
      <c r="KC34">
        <f t="shared" si="57"/>
        <v>0</v>
      </c>
      <c r="KD34" t="s">
        <v>3619</v>
      </c>
      <c r="KE34">
        <f t="shared" si="58"/>
        <v>0</v>
      </c>
      <c r="KF34" t="s">
        <v>3620</v>
      </c>
      <c r="KG34">
        <f t="shared" si="59"/>
        <v>0</v>
      </c>
      <c r="KH34" t="s">
        <v>3621</v>
      </c>
      <c r="KI34">
        <f t="shared" si="60"/>
        <v>0</v>
      </c>
      <c r="KJ34" t="s">
        <v>3622</v>
      </c>
      <c r="KK34">
        <f t="shared" si="61"/>
        <v>0</v>
      </c>
      <c r="KL34" t="s">
        <v>3623</v>
      </c>
      <c r="KM34">
        <f t="shared" si="62"/>
        <v>0</v>
      </c>
      <c r="KN34" t="s">
        <v>3624</v>
      </c>
      <c r="KO34">
        <f t="shared" si="63"/>
        <v>0</v>
      </c>
      <c r="KP34" t="s">
        <v>3625</v>
      </c>
      <c r="KQ34">
        <f t="shared" si="64"/>
        <v>0</v>
      </c>
      <c r="KR34" t="s">
        <v>3626</v>
      </c>
      <c r="KS34">
        <f t="shared" si="65"/>
        <v>0</v>
      </c>
      <c r="KT34" t="s">
        <v>3627</v>
      </c>
      <c r="KU34">
        <f t="shared" si="66"/>
        <v>0</v>
      </c>
      <c r="KV34" t="s">
        <v>3628</v>
      </c>
      <c r="KW34">
        <f t="shared" si="67"/>
        <v>0</v>
      </c>
      <c r="KX34" t="s">
        <v>3629</v>
      </c>
      <c r="KY34">
        <f t="shared" si="68"/>
        <v>0</v>
      </c>
      <c r="KZ34" t="s">
        <v>3630</v>
      </c>
      <c r="LA34">
        <f t="shared" si="69"/>
        <v>0</v>
      </c>
      <c r="LB34" t="s">
        <v>3631</v>
      </c>
      <c r="LC34">
        <f t="shared" si="70"/>
        <v>0</v>
      </c>
      <c r="LD34" t="s">
        <v>3632</v>
      </c>
      <c r="LE34">
        <f t="shared" si="71"/>
        <v>0</v>
      </c>
      <c r="LF34" t="s">
        <v>3633</v>
      </c>
      <c r="LG34">
        <f t="shared" si="72"/>
        <v>0</v>
      </c>
      <c r="LH34" t="s">
        <v>3634</v>
      </c>
      <c r="LI34">
        <f t="shared" si="73"/>
        <v>0</v>
      </c>
      <c r="LJ34" t="s">
        <v>3635</v>
      </c>
      <c r="LK34">
        <f t="shared" si="74"/>
        <v>0</v>
      </c>
      <c r="LL34" t="s">
        <v>3636</v>
      </c>
      <c r="LM34">
        <f t="shared" si="75"/>
        <v>0</v>
      </c>
      <c r="LN34" t="s">
        <v>3637</v>
      </c>
      <c r="LO34">
        <f t="shared" si="76"/>
        <v>0</v>
      </c>
      <c r="LP34" t="s">
        <v>3638</v>
      </c>
      <c r="LQ34">
        <f t="shared" si="77"/>
        <v>0</v>
      </c>
      <c r="LR34" t="s">
        <v>3639</v>
      </c>
      <c r="LS34">
        <f t="shared" si="78"/>
        <v>0</v>
      </c>
      <c r="LT34" t="s">
        <v>3640</v>
      </c>
      <c r="LU34">
        <f t="shared" si="79"/>
        <v>0</v>
      </c>
      <c r="LV34" t="s">
        <v>3641</v>
      </c>
      <c r="LW34">
        <f t="shared" si="80"/>
        <v>0</v>
      </c>
      <c r="LX34" t="s">
        <v>3642</v>
      </c>
      <c r="LY34">
        <f t="shared" si="81"/>
        <v>0</v>
      </c>
      <c r="LZ34">
        <f>'6'!B128</f>
        <v>0</v>
      </c>
      <c r="MA34">
        <f>'6'!C128</f>
        <v>0</v>
      </c>
      <c r="MB34">
        <f>'6'!D128</f>
        <v>0</v>
      </c>
      <c r="MC34">
        <f>'6'!E128</f>
        <v>0</v>
      </c>
      <c r="MD34">
        <f>'6'!F128</f>
        <v>0</v>
      </c>
      <c r="ME34">
        <f>'6'!G128</f>
        <v>0</v>
      </c>
      <c r="MF34">
        <f>'6'!H128</f>
        <v>0</v>
      </c>
      <c r="MG34">
        <f>'6'!I128</f>
        <v>0</v>
      </c>
      <c r="MH34">
        <f>'6'!J128</f>
        <v>0</v>
      </c>
      <c r="MI34">
        <f>'6'!K128</f>
        <v>0</v>
      </c>
      <c r="MJ34">
        <f>'6'!L128</f>
        <v>0</v>
      </c>
      <c r="MK34">
        <f>'6'!M128</f>
        <v>0</v>
      </c>
      <c r="ML34" s="13">
        <f>'7'!B247</f>
        <v>0</v>
      </c>
      <c r="MM34" s="13">
        <f>'7'!C247</f>
        <v>0</v>
      </c>
      <c r="MN34" s="13">
        <f>'7'!D247</f>
        <v>0</v>
      </c>
      <c r="MO34" s="13">
        <f>'7'!E247</f>
        <v>0</v>
      </c>
      <c r="MP34" s="13">
        <f>'7'!F247</f>
        <v>0</v>
      </c>
      <c r="MQ34" s="13">
        <f>'7'!G247</f>
        <v>0</v>
      </c>
      <c r="MR34" s="13">
        <f>'7'!H247</f>
        <v>0</v>
      </c>
      <c r="MS34" s="13">
        <f>'7'!I247</f>
        <v>0</v>
      </c>
      <c r="MT34" s="13">
        <f>'7'!J247</f>
        <v>0</v>
      </c>
      <c r="MU34" s="13">
        <f>'7'!K247</f>
        <v>0</v>
      </c>
      <c r="MV34" s="13">
        <f>'7'!L247</f>
        <v>0</v>
      </c>
      <c r="MW34" s="13">
        <f>'7'!M247</f>
        <v>0</v>
      </c>
      <c r="MX34" s="13" t="s">
        <v>3643</v>
      </c>
      <c r="MY34">
        <f t="shared" si="82"/>
        <v>0</v>
      </c>
      <c r="MZ34" s="13" t="s">
        <v>3644</v>
      </c>
      <c r="NA34">
        <f t="shared" si="83"/>
        <v>0</v>
      </c>
      <c r="NB34" s="13" t="s">
        <v>3645</v>
      </c>
      <c r="NC34">
        <f t="shared" si="84"/>
        <v>0</v>
      </c>
      <c r="ND34" s="13" t="s">
        <v>3646</v>
      </c>
      <c r="NE34">
        <f t="shared" si="85"/>
        <v>0</v>
      </c>
      <c r="NF34" s="13" t="s">
        <v>3647</v>
      </c>
      <c r="NG34">
        <f t="shared" si="86"/>
        <v>0</v>
      </c>
      <c r="NH34" s="13" t="s">
        <v>3648</v>
      </c>
      <c r="NI34">
        <f t="shared" si="87"/>
        <v>0</v>
      </c>
      <c r="NJ34" s="13" t="s">
        <v>3649</v>
      </c>
      <c r="NK34">
        <f t="shared" si="88"/>
        <v>0</v>
      </c>
      <c r="NL34" s="13" t="s">
        <v>3650</v>
      </c>
      <c r="NM34">
        <f t="shared" si="89"/>
        <v>0</v>
      </c>
      <c r="NN34" s="13" t="s">
        <v>3651</v>
      </c>
      <c r="NO34">
        <f t="shared" si="90"/>
        <v>0</v>
      </c>
      <c r="NP34" s="13" t="s">
        <v>3652</v>
      </c>
      <c r="NQ34">
        <f t="shared" si="91"/>
        <v>0</v>
      </c>
      <c r="NR34" s="13" t="s">
        <v>3653</v>
      </c>
      <c r="NS34">
        <f t="shared" si="92"/>
        <v>0</v>
      </c>
      <c r="NT34" s="13" t="s">
        <v>3654</v>
      </c>
      <c r="NU34">
        <f t="shared" si="93"/>
        <v>0</v>
      </c>
      <c r="NV34" s="13"/>
    </row>
    <row r="35" spans="1:386" customFormat="1" x14ac:dyDescent="0.25">
      <c r="A35">
        <v>32</v>
      </c>
      <c r="B35">
        <f>'6'!AB131</f>
        <v>0</v>
      </c>
      <c r="C35">
        <f>'6'!AC131</f>
        <v>0</v>
      </c>
      <c r="D35">
        <f>'6'!AD131</f>
        <v>0</v>
      </c>
      <c r="E35">
        <f>'6'!AE131</f>
        <v>0</v>
      </c>
      <c r="F35">
        <f>'6'!AF131</f>
        <v>0</v>
      </c>
      <c r="G35">
        <f>'6'!AG131</f>
        <v>0</v>
      </c>
      <c r="H35">
        <f>'6'!AH131</f>
        <v>0</v>
      </c>
      <c r="I35">
        <f>'6'!AI131</f>
        <v>0</v>
      </c>
      <c r="J35">
        <f>'6'!AJ131</f>
        <v>0</v>
      </c>
      <c r="K35">
        <f>'6'!AK131</f>
        <v>0</v>
      </c>
      <c r="L35">
        <f>'6'!AL131</f>
        <v>0</v>
      </c>
      <c r="M35">
        <f>'6'!AM131</f>
        <v>0</v>
      </c>
      <c r="N35">
        <f>'6'!AN131</f>
        <v>0</v>
      </c>
      <c r="O35">
        <f>'6'!AO131</f>
        <v>0</v>
      </c>
      <c r="P35">
        <f>'6'!AP131</f>
        <v>0</v>
      </c>
      <c r="Q35">
        <f>'6'!AQ131</f>
        <v>0</v>
      </c>
      <c r="R35">
        <f>'6'!AR131</f>
        <v>0</v>
      </c>
      <c r="S35">
        <f>'6'!AS131</f>
        <v>0</v>
      </c>
      <c r="T35">
        <f>'6'!AT131</f>
        <v>0</v>
      </c>
      <c r="U35">
        <f>'6'!AU131</f>
        <v>0</v>
      </c>
      <c r="V35">
        <f>'6'!AV131</f>
        <v>0</v>
      </c>
      <c r="W35">
        <f>'6'!AW131</f>
        <v>0</v>
      </c>
      <c r="X35">
        <f>'6'!AX131</f>
        <v>0</v>
      </c>
      <c r="Y35">
        <f>'6'!AY131</f>
        <v>0</v>
      </c>
      <c r="Z35">
        <f>'6'!AZ131</f>
        <v>0</v>
      </c>
      <c r="AA35">
        <f>'6'!BA131</f>
        <v>0</v>
      </c>
      <c r="AB35">
        <f>'6'!BB131</f>
        <v>0</v>
      </c>
      <c r="AC35">
        <f>'6'!BC131</f>
        <v>0</v>
      </c>
      <c r="AD35">
        <f>'6'!BD131</f>
        <v>0</v>
      </c>
      <c r="AE35">
        <f>'6'!BE131</f>
        <v>0</v>
      </c>
      <c r="AF35">
        <f>'6'!BF131</f>
        <v>0</v>
      </c>
      <c r="AG35">
        <f>'6'!BG131</f>
        <v>0</v>
      </c>
      <c r="AH35">
        <f>'6'!BH131</f>
        <v>0</v>
      </c>
      <c r="AI35">
        <f>'6'!BI131</f>
        <v>0</v>
      </c>
      <c r="AJ35">
        <f>'6'!BJ131</f>
        <v>0</v>
      </c>
      <c r="AK35">
        <f>'6'!BK131</f>
        <v>0</v>
      </c>
      <c r="AL35">
        <f>'6'!BL131</f>
        <v>0</v>
      </c>
      <c r="AM35">
        <f>'6'!BM131</f>
        <v>0</v>
      </c>
      <c r="AN35">
        <f>'6'!BN131</f>
        <v>0</v>
      </c>
      <c r="AO35">
        <f>'6'!BO131</f>
        <v>0</v>
      </c>
      <c r="AP35">
        <f>'6'!BP131</f>
        <v>0</v>
      </c>
      <c r="AQ35">
        <f>'6'!BQ131</f>
        <v>0</v>
      </c>
      <c r="AR35">
        <f>'6'!BR131</f>
        <v>0</v>
      </c>
      <c r="AS35">
        <f>'6'!BS131</f>
        <v>0</v>
      </c>
      <c r="AT35">
        <f>'6'!BT131</f>
        <v>0</v>
      </c>
      <c r="AU35">
        <f>'6'!BU131</f>
        <v>0</v>
      </c>
      <c r="AV35">
        <f>'6'!BV131</f>
        <v>0</v>
      </c>
      <c r="AW35">
        <f>'6'!BW131</f>
        <v>0</v>
      </c>
      <c r="AX35">
        <f>'6'!BX131</f>
        <v>0</v>
      </c>
      <c r="AY35">
        <f>'6'!BY131</f>
        <v>0</v>
      </c>
      <c r="AZ35">
        <f>'6'!BZ131</f>
        <v>0</v>
      </c>
      <c r="BA35">
        <f>'6'!CA131</f>
        <v>0</v>
      </c>
      <c r="BB35">
        <f>'6'!CB131</f>
        <v>0</v>
      </c>
      <c r="BC35">
        <f>'6'!CC131</f>
        <v>0</v>
      </c>
      <c r="BD35">
        <f>'6'!CD131</f>
        <v>0</v>
      </c>
      <c r="BE35">
        <f>'6'!CE131</f>
        <v>0</v>
      </c>
      <c r="BF35">
        <f>'6'!CF131</f>
        <v>0</v>
      </c>
      <c r="BG35">
        <f>'6'!CG131</f>
        <v>0</v>
      </c>
      <c r="BH35">
        <f>'6'!CH131</f>
        <v>0</v>
      </c>
      <c r="BI35">
        <f>'6'!CI131</f>
        <v>0</v>
      </c>
      <c r="BJ35">
        <f>'6'!CJ131</f>
        <v>0</v>
      </c>
      <c r="BK35">
        <f>'6'!CK131</f>
        <v>0</v>
      </c>
      <c r="BL35">
        <f>'6'!CL131</f>
        <v>0</v>
      </c>
      <c r="BM35">
        <f>'6'!CM131</f>
        <v>0</v>
      </c>
      <c r="BN35">
        <f>'6'!CN131</f>
        <v>0</v>
      </c>
      <c r="BO35">
        <f>'6'!CO131</f>
        <v>0</v>
      </c>
      <c r="BP35">
        <f>'6'!CP131</f>
        <v>0</v>
      </c>
      <c r="BQ35">
        <f>'6'!CQ131</f>
        <v>0</v>
      </c>
      <c r="BR35">
        <f>'6'!CR131</f>
        <v>0</v>
      </c>
      <c r="BS35">
        <f>'6'!CS131</f>
        <v>0</v>
      </c>
      <c r="BT35">
        <f>'6'!CT131</f>
        <v>0</v>
      </c>
      <c r="BU35">
        <f>'6'!CU131</f>
        <v>0</v>
      </c>
      <c r="BV35">
        <f>'6'!CV131</f>
        <v>0</v>
      </c>
      <c r="BW35">
        <f>'6'!CW131</f>
        <v>0</v>
      </c>
      <c r="BX35">
        <f>'6'!CX131</f>
        <v>0</v>
      </c>
      <c r="BY35">
        <f>'6'!CY131</f>
        <v>0</v>
      </c>
      <c r="BZ35">
        <f>'6'!CZ131</f>
        <v>0</v>
      </c>
      <c r="CA35">
        <f>'6'!DA131</f>
        <v>0</v>
      </c>
      <c r="CB35">
        <f>'6'!DB131</f>
        <v>0</v>
      </c>
      <c r="CC35">
        <f>'6'!DC131</f>
        <v>0</v>
      </c>
      <c r="CD35">
        <f>'6'!DD131</f>
        <v>0</v>
      </c>
      <c r="CE35">
        <f>'6'!DE131</f>
        <v>0</v>
      </c>
      <c r="CF35">
        <f>'6'!DF131</f>
        <v>0</v>
      </c>
      <c r="CG35">
        <f>'6'!DG131</f>
        <v>0</v>
      </c>
      <c r="CH35">
        <f>SUM('7'!AB257:AB261)</f>
        <v>0</v>
      </c>
      <c r="CI35">
        <f>SUM('7'!AC257:AC261)</f>
        <v>0</v>
      </c>
      <c r="CJ35">
        <f>SUM('7'!AD257:AD261)</f>
        <v>0</v>
      </c>
      <c r="CK35">
        <f>SUM('7'!AE257:AE261)</f>
        <v>0</v>
      </c>
      <c r="CL35">
        <f>SUM('7'!AF257:AF261)</f>
        <v>0</v>
      </c>
      <c r="CM35">
        <f>SUM('7'!AG257:AG261)</f>
        <v>0</v>
      </c>
      <c r="CN35">
        <f>SUM('7'!AH257:AH261)</f>
        <v>0</v>
      </c>
      <c r="CO35">
        <f>SUM('7'!AI257:AI261)</f>
        <v>0</v>
      </c>
      <c r="CP35">
        <f>SUM('7'!AJ257:AJ261)</f>
        <v>0</v>
      </c>
      <c r="CQ35">
        <f>SUM('7'!AK257:AK261)</f>
        <v>0</v>
      </c>
      <c r="CR35">
        <f>SUM('7'!AL257:AL261)</f>
        <v>0</v>
      </c>
      <c r="CS35">
        <f>SUM('7'!AM257:AM261)</f>
        <v>0</v>
      </c>
      <c r="CT35">
        <f>SUM('7'!AN257:AN261)</f>
        <v>0</v>
      </c>
      <c r="CU35">
        <f>SUM('7'!AO257:AO261)</f>
        <v>0</v>
      </c>
      <c r="CV35">
        <f>SUM('7'!AP257:AP261)</f>
        <v>0</v>
      </c>
      <c r="CW35">
        <f>SUM('7'!AQ257:AQ261)</f>
        <v>0</v>
      </c>
      <c r="CX35">
        <f>SUM('7'!AR257:AR261)</f>
        <v>0</v>
      </c>
      <c r="CY35">
        <f>SUM('7'!AS257:AS261)</f>
        <v>0</v>
      </c>
      <c r="CZ35">
        <f>SUM('7'!AT257:AT261)</f>
        <v>0</v>
      </c>
      <c r="DA35">
        <f>SUM('7'!AU257:AU261)</f>
        <v>0</v>
      </c>
      <c r="DB35">
        <f>SUM('7'!AV257:AV261)</f>
        <v>0</v>
      </c>
      <c r="DC35">
        <f>SUM('7'!AW257:AW261)</f>
        <v>0</v>
      </c>
      <c r="DD35">
        <f>SUM('7'!AX257:AX261)</f>
        <v>0</v>
      </c>
      <c r="DE35">
        <f>SUM('7'!AY257:AY261)</f>
        <v>0</v>
      </c>
      <c r="DF35">
        <f>SUM('7'!AZ257:AZ261)</f>
        <v>0</v>
      </c>
      <c r="DG35">
        <f>SUM('7'!BA257:BA261)</f>
        <v>0</v>
      </c>
      <c r="DH35">
        <f>SUM('7'!BB257:BB261)</f>
        <v>0</v>
      </c>
      <c r="DI35">
        <f>SUM('7'!BC257:BC261)</f>
        <v>0</v>
      </c>
      <c r="DJ35">
        <f>SUM('7'!BD257:BD261)</f>
        <v>0</v>
      </c>
      <c r="DK35">
        <f>SUM('7'!BE257:BE261)</f>
        <v>0</v>
      </c>
      <c r="DL35">
        <f>SUM('7'!BF257:BF261)</f>
        <v>0</v>
      </c>
      <c r="DM35">
        <f>SUM('7'!BG257:BG261)</f>
        <v>0</v>
      </c>
      <c r="DN35">
        <f>SUM('7'!BH257:BH261)</f>
        <v>0</v>
      </c>
      <c r="DO35">
        <f>SUM('7'!BI257:BI261)</f>
        <v>0</v>
      </c>
      <c r="DP35">
        <f>SUM('7'!BJ257:BJ261)</f>
        <v>0</v>
      </c>
      <c r="DQ35">
        <f>SUM('7'!BK257:BK261)</f>
        <v>0</v>
      </c>
      <c r="DR35">
        <f>SUM('7'!BL257:BL261)</f>
        <v>0</v>
      </c>
      <c r="DS35">
        <f>SUM('7'!BM257:BM261)</f>
        <v>0</v>
      </c>
      <c r="DT35">
        <f>SUM('7'!BN257:BN261)</f>
        <v>0</v>
      </c>
      <c r="DU35">
        <f>SUM('7'!BO257:BO261)</f>
        <v>0</v>
      </c>
      <c r="DV35">
        <f>SUM('7'!BP257:BP261)</f>
        <v>0</v>
      </c>
      <c r="DW35">
        <f>SUM('7'!BQ257:BQ261)</f>
        <v>0</v>
      </c>
      <c r="DX35">
        <f>SUM('7'!BR257:BR261)</f>
        <v>0</v>
      </c>
      <c r="DY35">
        <f>SUM('7'!BS257:BS261)</f>
        <v>0</v>
      </c>
      <c r="DZ35">
        <f>SUM('7'!BT257:BT261)</f>
        <v>0</v>
      </c>
      <c r="EA35">
        <f>SUM('7'!BU257:BU261)</f>
        <v>0</v>
      </c>
      <c r="EB35">
        <f>SUM('7'!BV257:BV261)</f>
        <v>0</v>
      </c>
      <c r="EC35">
        <f>SUM('7'!BW257:BW261)</f>
        <v>0</v>
      </c>
      <c r="ED35">
        <f>SUM('7'!BX257:BX261)</f>
        <v>0</v>
      </c>
      <c r="EE35">
        <f>SUM('7'!BY257:BY261)</f>
        <v>0</v>
      </c>
      <c r="EF35">
        <f>SUM('7'!BZ257:BZ261)</f>
        <v>0</v>
      </c>
      <c r="EG35">
        <f>SUM('7'!CA257:CA261)</f>
        <v>0</v>
      </c>
      <c r="EH35">
        <f>SUM('7'!CB257:CB261)</f>
        <v>0</v>
      </c>
      <c r="EI35">
        <f>SUM('7'!CC257:CC261)</f>
        <v>0</v>
      </c>
      <c r="EJ35">
        <f>SUM('7'!CD257:CD261)</f>
        <v>0</v>
      </c>
      <c r="EK35">
        <f>SUM('7'!CE257:CE261)</f>
        <v>0</v>
      </c>
      <c r="EL35">
        <f>SUM('7'!CF257:CF261)</f>
        <v>0</v>
      </c>
      <c r="EM35">
        <f>SUM('7'!CG257:CG261)</f>
        <v>0</v>
      </c>
      <c r="EN35">
        <f>SUM('7'!CH257:CH261)</f>
        <v>0</v>
      </c>
      <c r="EO35">
        <f>SUM('7'!CI257:CI261)</f>
        <v>0</v>
      </c>
      <c r="EP35">
        <f>SUM('7'!CJ257:CJ261)</f>
        <v>0</v>
      </c>
      <c r="EQ35">
        <f>SUM('7'!CK257:CK261)</f>
        <v>0</v>
      </c>
      <c r="ER35">
        <f>SUM('7'!CL257:CL261)</f>
        <v>0</v>
      </c>
      <c r="ES35">
        <f>SUM('7'!CM257:CM261)</f>
        <v>0</v>
      </c>
      <c r="ET35">
        <f>SUM('7'!CN257:CN261)</f>
        <v>0</v>
      </c>
      <c r="EU35">
        <f>SUM('7'!CO257:CO261)</f>
        <v>0</v>
      </c>
      <c r="EV35">
        <f>SUM('7'!CP257:CP261)</f>
        <v>0</v>
      </c>
      <c r="EW35">
        <f>SUM('7'!CQ257:CQ261)</f>
        <v>0</v>
      </c>
      <c r="EX35">
        <f>SUM('7'!CR257:CR261)</f>
        <v>0</v>
      </c>
      <c r="EY35">
        <f>SUM('7'!CS257:CS261)</f>
        <v>0</v>
      </c>
      <c r="EZ35">
        <f>SUM('7'!CT257:CT261)</f>
        <v>0</v>
      </c>
      <c r="FA35">
        <f>SUM('7'!CU257:CU261)</f>
        <v>0</v>
      </c>
      <c r="FB35">
        <f>SUM('7'!CV257:CV261)</f>
        <v>0</v>
      </c>
      <c r="FC35">
        <f>SUM('7'!CW257:CW261)</f>
        <v>0</v>
      </c>
      <c r="FD35">
        <f>SUM('7'!CX257:CX261)</f>
        <v>0</v>
      </c>
      <c r="FE35">
        <f>SUM('7'!CY257:CY261)</f>
        <v>0</v>
      </c>
      <c r="FF35">
        <f>SUM('7'!CZ257:CZ261)</f>
        <v>0</v>
      </c>
      <c r="FG35">
        <f>SUM('7'!DA257:DA261)</f>
        <v>0</v>
      </c>
      <c r="FH35">
        <f>SUM('7'!DB257:DB261)</f>
        <v>0</v>
      </c>
      <c r="FI35">
        <f>SUM('7'!DC257:DC261)</f>
        <v>0</v>
      </c>
      <c r="FJ35">
        <f>SUM('7'!DD257:DD261)</f>
        <v>0</v>
      </c>
      <c r="FK35">
        <f>SUM('7'!DE257:DE261)</f>
        <v>0</v>
      </c>
      <c r="FL35">
        <f>SUM('7'!DF257:DF261)</f>
        <v>0</v>
      </c>
      <c r="FM35">
        <f>SUM('7'!DG257:DG261)</f>
        <v>0</v>
      </c>
      <c r="FN35" t="s">
        <v>3655</v>
      </c>
      <c r="FO35">
        <f t="shared" si="94"/>
        <v>0</v>
      </c>
      <c r="FP35" t="s">
        <v>3656</v>
      </c>
      <c r="FQ35">
        <f t="shared" si="0"/>
        <v>0</v>
      </c>
      <c r="FR35" t="s">
        <v>3657</v>
      </c>
      <c r="FS35">
        <f t="shared" si="1"/>
        <v>0</v>
      </c>
      <c r="FT35" t="s">
        <v>3658</v>
      </c>
      <c r="FU35">
        <f t="shared" si="2"/>
        <v>0</v>
      </c>
      <c r="FV35" t="s">
        <v>3659</v>
      </c>
      <c r="FW35">
        <f t="shared" si="3"/>
        <v>0</v>
      </c>
      <c r="FX35" t="s">
        <v>3660</v>
      </c>
      <c r="FY35">
        <f t="shared" si="4"/>
        <v>0</v>
      </c>
      <c r="FZ35" t="s">
        <v>3661</v>
      </c>
      <c r="GA35">
        <f t="shared" si="5"/>
        <v>0</v>
      </c>
      <c r="GB35" t="s">
        <v>3662</v>
      </c>
      <c r="GC35">
        <f t="shared" si="6"/>
        <v>0</v>
      </c>
      <c r="GD35" t="s">
        <v>3663</v>
      </c>
      <c r="GE35">
        <f t="shared" si="7"/>
        <v>0</v>
      </c>
      <c r="GF35" t="s">
        <v>3664</v>
      </c>
      <c r="GG35">
        <f t="shared" si="8"/>
        <v>0</v>
      </c>
      <c r="GH35" t="s">
        <v>3665</v>
      </c>
      <c r="GI35">
        <f t="shared" si="9"/>
        <v>0</v>
      </c>
      <c r="GJ35" t="s">
        <v>3666</v>
      </c>
      <c r="GK35">
        <f t="shared" si="10"/>
        <v>0</v>
      </c>
      <c r="GL35" t="s">
        <v>3667</v>
      </c>
      <c r="GM35">
        <f t="shared" si="11"/>
        <v>0</v>
      </c>
      <c r="GN35" t="s">
        <v>3668</v>
      </c>
      <c r="GO35">
        <f t="shared" si="95"/>
        <v>0</v>
      </c>
      <c r="GP35" t="s">
        <v>3669</v>
      </c>
      <c r="GQ35">
        <f t="shared" si="12"/>
        <v>0</v>
      </c>
      <c r="GR35" t="s">
        <v>3670</v>
      </c>
      <c r="GS35">
        <f t="shared" si="13"/>
        <v>0</v>
      </c>
      <c r="GT35" t="s">
        <v>3671</v>
      </c>
      <c r="GU35">
        <f t="shared" si="14"/>
        <v>0</v>
      </c>
      <c r="GV35" t="s">
        <v>3672</v>
      </c>
      <c r="GW35">
        <f t="shared" si="15"/>
        <v>0</v>
      </c>
      <c r="GX35" t="s">
        <v>3673</v>
      </c>
      <c r="GY35">
        <f t="shared" si="16"/>
        <v>0</v>
      </c>
      <c r="GZ35" t="s">
        <v>3674</v>
      </c>
      <c r="HA35">
        <f t="shared" si="17"/>
        <v>0</v>
      </c>
      <c r="HB35" t="s">
        <v>3675</v>
      </c>
      <c r="HC35">
        <f t="shared" si="18"/>
        <v>0</v>
      </c>
      <c r="HD35" t="s">
        <v>3676</v>
      </c>
      <c r="HE35">
        <f t="shared" si="19"/>
        <v>0</v>
      </c>
      <c r="HF35" t="s">
        <v>3677</v>
      </c>
      <c r="HG35">
        <f t="shared" si="20"/>
        <v>0</v>
      </c>
      <c r="HH35" t="s">
        <v>3678</v>
      </c>
      <c r="HI35">
        <f t="shared" si="21"/>
        <v>0</v>
      </c>
      <c r="HJ35" t="s">
        <v>3679</v>
      </c>
      <c r="HK35">
        <f t="shared" si="22"/>
        <v>0</v>
      </c>
      <c r="HL35" t="s">
        <v>3680</v>
      </c>
      <c r="HM35">
        <f t="shared" si="23"/>
        <v>0</v>
      </c>
      <c r="HN35" t="s">
        <v>3681</v>
      </c>
      <c r="HO35">
        <f t="shared" si="24"/>
        <v>0</v>
      </c>
      <c r="HP35" t="s">
        <v>3682</v>
      </c>
      <c r="HQ35">
        <f t="shared" si="25"/>
        <v>0</v>
      </c>
      <c r="HR35" t="s">
        <v>3683</v>
      </c>
      <c r="HS35">
        <f t="shared" si="26"/>
        <v>0</v>
      </c>
      <c r="HT35" t="s">
        <v>3684</v>
      </c>
      <c r="HU35">
        <f t="shared" si="27"/>
        <v>0</v>
      </c>
      <c r="HV35" t="s">
        <v>3685</v>
      </c>
      <c r="HW35">
        <f t="shared" si="28"/>
        <v>0</v>
      </c>
      <c r="HX35" t="s">
        <v>3686</v>
      </c>
      <c r="HY35">
        <f t="shared" si="29"/>
        <v>0</v>
      </c>
      <c r="HZ35" t="s">
        <v>3687</v>
      </c>
      <c r="IA35">
        <f t="shared" si="30"/>
        <v>0</v>
      </c>
      <c r="IB35" t="s">
        <v>3688</v>
      </c>
      <c r="IC35">
        <f t="shared" si="31"/>
        <v>0</v>
      </c>
      <c r="ID35" t="s">
        <v>3689</v>
      </c>
      <c r="IE35">
        <f t="shared" si="32"/>
        <v>0</v>
      </c>
      <c r="IF35" t="s">
        <v>3690</v>
      </c>
      <c r="IG35">
        <f t="shared" si="33"/>
        <v>0</v>
      </c>
      <c r="IH35" t="s">
        <v>3691</v>
      </c>
      <c r="II35">
        <f t="shared" si="34"/>
        <v>0</v>
      </c>
      <c r="IJ35" t="s">
        <v>3692</v>
      </c>
      <c r="IK35">
        <f t="shared" si="35"/>
        <v>0</v>
      </c>
      <c r="IL35" t="s">
        <v>3693</v>
      </c>
      <c r="IM35">
        <f t="shared" si="36"/>
        <v>0</v>
      </c>
      <c r="IN35" t="s">
        <v>3694</v>
      </c>
      <c r="IO35">
        <f t="shared" si="37"/>
        <v>0</v>
      </c>
      <c r="IP35" t="s">
        <v>3695</v>
      </c>
      <c r="IQ35">
        <f t="shared" si="38"/>
        <v>0</v>
      </c>
      <c r="IR35" t="s">
        <v>3696</v>
      </c>
      <c r="IS35">
        <f t="shared" si="39"/>
        <v>0</v>
      </c>
      <c r="IT35" t="s">
        <v>3697</v>
      </c>
      <c r="IU35">
        <f t="shared" si="40"/>
        <v>0</v>
      </c>
      <c r="IV35" t="s">
        <v>3698</v>
      </c>
      <c r="IW35">
        <f t="shared" si="41"/>
        <v>0</v>
      </c>
      <c r="IX35" t="s">
        <v>3699</v>
      </c>
      <c r="IY35">
        <f t="shared" si="42"/>
        <v>0</v>
      </c>
      <c r="IZ35" t="s">
        <v>3700</v>
      </c>
      <c r="JA35">
        <f t="shared" si="43"/>
        <v>0</v>
      </c>
      <c r="JB35" t="s">
        <v>3701</v>
      </c>
      <c r="JC35">
        <f t="shared" si="44"/>
        <v>0</v>
      </c>
      <c r="JD35" t="s">
        <v>3702</v>
      </c>
      <c r="JE35">
        <f t="shared" si="45"/>
        <v>0</v>
      </c>
      <c r="JF35" t="s">
        <v>3703</v>
      </c>
      <c r="JG35">
        <f t="shared" si="46"/>
        <v>0</v>
      </c>
      <c r="JH35" t="s">
        <v>3704</v>
      </c>
      <c r="JI35">
        <f t="shared" si="47"/>
        <v>0</v>
      </c>
      <c r="JJ35" t="s">
        <v>3705</v>
      </c>
      <c r="JK35">
        <f t="shared" si="48"/>
        <v>0</v>
      </c>
      <c r="JL35" t="s">
        <v>3706</v>
      </c>
      <c r="JM35">
        <f t="shared" si="49"/>
        <v>0</v>
      </c>
      <c r="JN35" t="s">
        <v>3707</v>
      </c>
      <c r="JO35">
        <f t="shared" si="50"/>
        <v>0</v>
      </c>
      <c r="JP35" t="s">
        <v>3708</v>
      </c>
      <c r="JQ35">
        <f t="shared" si="51"/>
        <v>0</v>
      </c>
      <c r="JR35" t="s">
        <v>3709</v>
      </c>
      <c r="JS35">
        <f t="shared" si="52"/>
        <v>0</v>
      </c>
      <c r="JT35" t="s">
        <v>3710</v>
      </c>
      <c r="JU35">
        <f t="shared" si="53"/>
        <v>0</v>
      </c>
      <c r="JV35" t="s">
        <v>3711</v>
      </c>
      <c r="JW35">
        <f t="shared" si="54"/>
        <v>0</v>
      </c>
      <c r="JX35" t="s">
        <v>3712</v>
      </c>
      <c r="JY35">
        <f t="shared" si="55"/>
        <v>0</v>
      </c>
      <c r="JZ35" t="s">
        <v>3713</v>
      </c>
      <c r="KA35">
        <f t="shared" si="56"/>
        <v>0</v>
      </c>
      <c r="KB35" t="s">
        <v>3714</v>
      </c>
      <c r="KC35">
        <f t="shared" si="57"/>
        <v>0</v>
      </c>
      <c r="KD35" t="s">
        <v>3715</v>
      </c>
      <c r="KE35">
        <f t="shared" si="58"/>
        <v>0</v>
      </c>
      <c r="KF35" t="s">
        <v>3716</v>
      </c>
      <c r="KG35">
        <f t="shared" si="59"/>
        <v>0</v>
      </c>
      <c r="KH35" t="s">
        <v>3717</v>
      </c>
      <c r="KI35">
        <f t="shared" si="60"/>
        <v>0</v>
      </c>
      <c r="KJ35" t="s">
        <v>3718</v>
      </c>
      <c r="KK35">
        <f t="shared" si="61"/>
        <v>0</v>
      </c>
      <c r="KL35" t="s">
        <v>3719</v>
      </c>
      <c r="KM35">
        <f t="shared" si="62"/>
        <v>0</v>
      </c>
      <c r="KN35" t="s">
        <v>3720</v>
      </c>
      <c r="KO35">
        <f t="shared" si="63"/>
        <v>0</v>
      </c>
      <c r="KP35" t="s">
        <v>3721</v>
      </c>
      <c r="KQ35">
        <f t="shared" si="64"/>
        <v>0</v>
      </c>
      <c r="KR35" t="s">
        <v>3722</v>
      </c>
      <c r="KS35">
        <f t="shared" si="65"/>
        <v>0</v>
      </c>
      <c r="KT35" t="s">
        <v>3723</v>
      </c>
      <c r="KU35">
        <f t="shared" si="66"/>
        <v>0</v>
      </c>
      <c r="KV35" t="s">
        <v>3724</v>
      </c>
      <c r="KW35">
        <f t="shared" si="67"/>
        <v>0</v>
      </c>
      <c r="KX35" t="s">
        <v>3725</v>
      </c>
      <c r="KY35">
        <f t="shared" si="68"/>
        <v>0</v>
      </c>
      <c r="KZ35" t="s">
        <v>3726</v>
      </c>
      <c r="LA35">
        <f t="shared" si="69"/>
        <v>0</v>
      </c>
      <c r="LB35" t="s">
        <v>3727</v>
      </c>
      <c r="LC35">
        <f t="shared" si="70"/>
        <v>0</v>
      </c>
      <c r="LD35" t="s">
        <v>3728</v>
      </c>
      <c r="LE35">
        <f t="shared" si="71"/>
        <v>0</v>
      </c>
      <c r="LF35" t="s">
        <v>3729</v>
      </c>
      <c r="LG35">
        <f t="shared" si="72"/>
        <v>0</v>
      </c>
      <c r="LH35" t="s">
        <v>3730</v>
      </c>
      <c r="LI35">
        <f t="shared" si="73"/>
        <v>0</v>
      </c>
      <c r="LJ35" t="s">
        <v>3731</v>
      </c>
      <c r="LK35">
        <f t="shared" si="74"/>
        <v>0</v>
      </c>
      <c r="LL35" t="s">
        <v>3732</v>
      </c>
      <c r="LM35">
        <f t="shared" si="75"/>
        <v>0</v>
      </c>
      <c r="LN35" t="s">
        <v>3733</v>
      </c>
      <c r="LO35">
        <f t="shared" si="76"/>
        <v>0</v>
      </c>
      <c r="LP35" t="s">
        <v>3734</v>
      </c>
      <c r="LQ35">
        <f t="shared" si="77"/>
        <v>0</v>
      </c>
      <c r="LR35" t="s">
        <v>3735</v>
      </c>
      <c r="LS35">
        <f t="shared" si="78"/>
        <v>0</v>
      </c>
      <c r="LT35" t="s">
        <v>3736</v>
      </c>
      <c r="LU35">
        <f t="shared" si="79"/>
        <v>0</v>
      </c>
      <c r="LV35" t="s">
        <v>3737</v>
      </c>
      <c r="LW35">
        <f t="shared" si="80"/>
        <v>0</v>
      </c>
      <c r="LX35" t="s">
        <v>3738</v>
      </c>
      <c r="LY35">
        <f t="shared" si="81"/>
        <v>0</v>
      </c>
      <c r="LZ35">
        <f>'6'!B132</f>
        <v>0</v>
      </c>
      <c r="MA35">
        <f>'6'!C132</f>
        <v>0</v>
      </c>
      <c r="MB35">
        <f>'6'!D132</f>
        <v>0</v>
      </c>
      <c r="MC35">
        <f>'6'!E132</f>
        <v>0</v>
      </c>
      <c r="MD35">
        <f>'6'!F132</f>
        <v>0</v>
      </c>
      <c r="ME35">
        <f>'6'!G132</f>
        <v>0</v>
      </c>
      <c r="MF35">
        <f>'6'!H132</f>
        <v>0</v>
      </c>
      <c r="MG35">
        <f>'6'!I132</f>
        <v>0</v>
      </c>
      <c r="MH35">
        <f>'6'!J132</f>
        <v>0</v>
      </c>
      <c r="MI35">
        <f>'6'!K132</f>
        <v>0</v>
      </c>
      <c r="MJ35">
        <f>'6'!L132</f>
        <v>0</v>
      </c>
      <c r="MK35">
        <f>'6'!M132</f>
        <v>0</v>
      </c>
      <c r="ML35" s="13">
        <f>'7'!B255</f>
        <v>0</v>
      </c>
      <c r="MM35" s="13">
        <f>'7'!C255</f>
        <v>0</v>
      </c>
      <c r="MN35" s="13">
        <f>'7'!D255</f>
        <v>0</v>
      </c>
      <c r="MO35" s="13">
        <f>'7'!E255</f>
        <v>0</v>
      </c>
      <c r="MP35" s="13">
        <f>'7'!F255</f>
        <v>0</v>
      </c>
      <c r="MQ35" s="13">
        <f>'7'!G255</f>
        <v>0</v>
      </c>
      <c r="MR35" s="13">
        <f>'7'!H255</f>
        <v>0</v>
      </c>
      <c r="MS35" s="13">
        <f>'7'!I255</f>
        <v>0</v>
      </c>
      <c r="MT35" s="13">
        <f>'7'!J255</f>
        <v>0</v>
      </c>
      <c r="MU35" s="13">
        <f>'7'!K255</f>
        <v>0</v>
      </c>
      <c r="MV35" s="13">
        <f>'7'!L255</f>
        <v>0</v>
      </c>
      <c r="MW35" s="13">
        <f>'7'!M255</f>
        <v>0</v>
      </c>
      <c r="MX35" s="13" t="s">
        <v>3739</v>
      </c>
      <c r="MY35">
        <f t="shared" si="82"/>
        <v>0</v>
      </c>
      <c r="MZ35" s="13" t="s">
        <v>3740</v>
      </c>
      <c r="NA35">
        <f t="shared" si="83"/>
        <v>0</v>
      </c>
      <c r="NB35" s="13" t="s">
        <v>3741</v>
      </c>
      <c r="NC35">
        <f t="shared" si="84"/>
        <v>0</v>
      </c>
      <c r="ND35" s="13" t="s">
        <v>3742</v>
      </c>
      <c r="NE35">
        <f t="shared" si="85"/>
        <v>0</v>
      </c>
      <c r="NF35" s="13" t="s">
        <v>3743</v>
      </c>
      <c r="NG35">
        <f t="shared" si="86"/>
        <v>0</v>
      </c>
      <c r="NH35" s="13" t="s">
        <v>3744</v>
      </c>
      <c r="NI35">
        <f t="shared" si="87"/>
        <v>0</v>
      </c>
      <c r="NJ35" s="13" t="s">
        <v>3745</v>
      </c>
      <c r="NK35">
        <f t="shared" si="88"/>
        <v>0</v>
      </c>
      <c r="NL35" s="13" t="s">
        <v>3746</v>
      </c>
      <c r="NM35">
        <f t="shared" si="89"/>
        <v>0</v>
      </c>
      <c r="NN35" s="13" t="s">
        <v>3747</v>
      </c>
      <c r="NO35">
        <f t="shared" si="90"/>
        <v>0</v>
      </c>
      <c r="NP35" s="13" t="s">
        <v>3748</v>
      </c>
      <c r="NQ35">
        <f t="shared" si="91"/>
        <v>0</v>
      </c>
      <c r="NR35" s="13" t="s">
        <v>3749</v>
      </c>
      <c r="NS35">
        <f t="shared" si="92"/>
        <v>0</v>
      </c>
      <c r="NT35" s="13" t="s">
        <v>3750</v>
      </c>
      <c r="NU35">
        <f t="shared" si="93"/>
        <v>0</v>
      </c>
      <c r="NV35" s="13"/>
    </row>
    <row r="36" spans="1:386" customFormat="1" x14ac:dyDescent="0.25">
      <c r="A36">
        <v>33</v>
      </c>
      <c r="B36">
        <f>'6'!AB135</f>
        <v>0</v>
      </c>
      <c r="C36">
        <f>'6'!AC135</f>
        <v>0</v>
      </c>
      <c r="D36">
        <f>'6'!AD135</f>
        <v>0</v>
      </c>
      <c r="E36">
        <f>'6'!AE135</f>
        <v>0</v>
      </c>
      <c r="F36">
        <f>'6'!AF135</f>
        <v>0</v>
      </c>
      <c r="G36">
        <f>'6'!AG135</f>
        <v>0</v>
      </c>
      <c r="H36">
        <f>'6'!AH135</f>
        <v>0</v>
      </c>
      <c r="I36">
        <f>'6'!AI135</f>
        <v>0</v>
      </c>
      <c r="J36">
        <f>'6'!AJ135</f>
        <v>0</v>
      </c>
      <c r="K36">
        <f>'6'!AK135</f>
        <v>0</v>
      </c>
      <c r="L36">
        <f>'6'!AL135</f>
        <v>0</v>
      </c>
      <c r="M36">
        <f>'6'!AM135</f>
        <v>0</v>
      </c>
      <c r="N36">
        <f>'6'!AN135</f>
        <v>0</v>
      </c>
      <c r="O36">
        <f>'6'!AO135</f>
        <v>0</v>
      </c>
      <c r="P36">
        <f>'6'!AP135</f>
        <v>0</v>
      </c>
      <c r="Q36">
        <f>'6'!AQ135</f>
        <v>0</v>
      </c>
      <c r="R36">
        <f>'6'!AR135</f>
        <v>0</v>
      </c>
      <c r="S36">
        <f>'6'!AS135</f>
        <v>0</v>
      </c>
      <c r="T36">
        <f>'6'!AT135</f>
        <v>0</v>
      </c>
      <c r="U36">
        <f>'6'!AU135</f>
        <v>0</v>
      </c>
      <c r="V36">
        <f>'6'!AV135</f>
        <v>0</v>
      </c>
      <c r="W36">
        <f>'6'!AW135</f>
        <v>0</v>
      </c>
      <c r="X36">
        <f>'6'!AX135</f>
        <v>0</v>
      </c>
      <c r="Y36">
        <f>'6'!AY135</f>
        <v>0</v>
      </c>
      <c r="Z36">
        <f>'6'!AZ135</f>
        <v>0</v>
      </c>
      <c r="AA36">
        <f>'6'!BA135</f>
        <v>0</v>
      </c>
      <c r="AB36">
        <f>'6'!BB135</f>
        <v>0</v>
      </c>
      <c r="AC36">
        <f>'6'!BC135</f>
        <v>0</v>
      </c>
      <c r="AD36">
        <f>'6'!BD135</f>
        <v>0</v>
      </c>
      <c r="AE36">
        <f>'6'!BE135</f>
        <v>0</v>
      </c>
      <c r="AF36">
        <f>'6'!BF135</f>
        <v>0</v>
      </c>
      <c r="AG36">
        <f>'6'!BG135</f>
        <v>0</v>
      </c>
      <c r="AH36">
        <f>'6'!BH135</f>
        <v>0</v>
      </c>
      <c r="AI36">
        <f>'6'!BI135</f>
        <v>0</v>
      </c>
      <c r="AJ36">
        <f>'6'!BJ135</f>
        <v>0</v>
      </c>
      <c r="AK36">
        <f>'6'!BK135</f>
        <v>0</v>
      </c>
      <c r="AL36">
        <f>'6'!BL135</f>
        <v>0</v>
      </c>
      <c r="AM36">
        <f>'6'!BM135</f>
        <v>0</v>
      </c>
      <c r="AN36">
        <f>'6'!BN135</f>
        <v>0</v>
      </c>
      <c r="AO36">
        <f>'6'!BO135</f>
        <v>0</v>
      </c>
      <c r="AP36">
        <f>'6'!BP135</f>
        <v>0</v>
      </c>
      <c r="AQ36">
        <f>'6'!BQ135</f>
        <v>0</v>
      </c>
      <c r="AR36">
        <f>'6'!BR135</f>
        <v>0</v>
      </c>
      <c r="AS36">
        <f>'6'!BS135</f>
        <v>0</v>
      </c>
      <c r="AT36">
        <f>'6'!BT135</f>
        <v>0</v>
      </c>
      <c r="AU36">
        <f>'6'!BU135</f>
        <v>0</v>
      </c>
      <c r="AV36">
        <f>'6'!BV135</f>
        <v>0</v>
      </c>
      <c r="AW36">
        <f>'6'!BW135</f>
        <v>0</v>
      </c>
      <c r="AX36">
        <f>'6'!BX135</f>
        <v>0</v>
      </c>
      <c r="AY36">
        <f>'6'!BY135</f>
        <v>0</v>
      </c>
      <c r="AZ36">
        <f>'6'!BZ135</f>
        <v>0</v>
      </c>
      <c r="BA36">
        <f>'6'!CA135</f>
        <v>0</v>
      </c>
      <c r="BB36">
        <f>'6'!CB135</f>
        <v>0</v>
      </c>
      <c r="BC36">
        <f>'6'!CC135</f>
        <v>0</v>
      </c>
      <c r="BD36">
        <f>'6'!CD135</f>
        <v>0</v>
      </c>
      <c r="BE36">
        <f>'6'!CE135</f>
        <v>0</v>
      </c>
      <c r="BF36">
        <f>'6'!CF135</f>
        <v>0</v>
      </c>
      <c r="BG36">
        <f>'6'!CG135</f>
        <v>0</v>
      </c>
      <c r="BH36">
        <f>'6'!CH135</f>
        <v>0</v>
      </c>
      <c r="BI36">
        <f>'6'!CI135</f>
        <v>0</v>
      </c>
      <c r="BJ36">
        <f>'6'!CJ135</f>
        <v>0</v>
      </c>
      <c r="BK36">
        <f>'6'!CK135</f>
        <v>0</v>
      </c>
      <c r="BL36">
        <f>'6'!CL135</f>
        <v>0</v>
      </c>
      <c r="BM36">
        <f>'6'!CM135</f>
        <v>0</v>
      </c>
      <c r="BN36">
        <f>'6'!CN135</f>
        <v>0</v>
      </c>
      <c r="BO36">
        <f>'6'!CO135</f>
        <v>0</v>
      </c>
      <c r="BP36">
        <f>'6'!CP135</f>
        <v>0</v>
      </c>
      <c r="BQ36">
        <f>'6'!CQ135</f>
        <v>0</v>
      </c>
      <c r="BR36">
        <f>'6'!CR135</f>
        <v>0</v>
      </c>
      <c r="BS36">
        <f>'6'!CS135</f>
        <v>0</v>
      </c>
      <c r="BT36">
        <f>'6'!CT135</f>
        <v>0</v>
      </c>
      <c r="BU36">
        <f>'6'!CU135</f>
        <v>0</v>
      </c>
      <c r="BV36">
        <f>'6'!CV135</f>
        <v>0</v>
      </c>
      <c r="BW36">
        <f>'6'!CW135</f>
        <v>0</v>
      </c>
      <c r="BX36">
        <f>'6'!CX135</f>
        <v>0</v>
      </c>
      <c r="BY36">
        <f>'6'!CY135</f>
        <v>0</v>
      </c>
      <c r="BZ36">
        <f>'6'!CZ135</f>
        <v>0</v>
      </c>
      <c r="CA36">
        <f>'6'!DA135</f>
        <v>0</v>
      </c>
      <c r="CB36">
        <f>'6'!DB135</f>
        <v>0</v>
      </c>
      <c r="CC36">
        <f>'6'!DC135</f>
        <v>0</v>
      </c>
      <c r="CD36">
        <f>'6'!DD135</f>
        <v>0</v>
      </c>
      <c r="CE36">
        <f>'6'!DE135</f>
        <v>0</v>
      </c>
      <c r="CF36">
        <f>'6'!DF135</f>
        <v>0</v>
      </c>
      <c r="CG36">
        <f>'6'!DG135</f>
        <v>0</v>
      </c>
      <c r="CH36">
        <f>SUM('7'!AB265:AB269)</f>
        <v>0</v>
      </c>
      <c r="CI36">
        <f>SUM('7'!AC265:AC269)</f>
        <v>0</v>
      </c>
      <c r="CJ36">
        <f>SUM('7'!AD265:AD269)</f>
        <v>0</v>
      </c>
      <c r="CK36">
        <f>SUM('7'!AE265:AE269)</f>
        <v>0</v>
      </c>
      <c r="CL36">
        <f>SUM('7'!AF265:AF269)</f>
        <v>0</v>
      </c>
      <c r="CM36">
        <f>SUM('7'!AG265:AG269)</f>
        <v>0</v>
      </c>
      <c r="CN36">
        <f>SUM('7'!AH265:AH269)</f>
        <v>0</v>
      </c>
      <c r="CO36">
        <f>SUM('7'!AI265:AI269)</f>
        <v>0</v>
      </c>
      <c r="CP36">
        <f>SUM('7'!AJ265:AJ269)</f>
        <v>0</v>
      </c>
      <c r="CQ36">
        <f>SUM('7'!AK265:AK269)</f>
        <v>0</v>
      </c>
      <c r="CR36">
        <f>SUM('7'!AL265:AL269)</f>
        <v>0</v>
      </c>
      <c r="CS36">
        <f>SUM('7'!AM265:AM269)</f>
        <v>0</v>
      </c>
      <c r="CT36">
        <f>SUM('7'!AN265:AN269)</f>
        <v>0</v>
      </c>
      <c r="CU36">
        <f>SUM('7'!AO265:AO269)</f>
        <v>0</v>
      </c>
      <c r="CV36">
        <f>SUM('7'!AP265:AP269)</f>
        <v>0</v>
      </c>
      <c r="CW36">
        <f>SUM('7'!AQ265:AQ269)</f>
        <v>0</v>
      </c>
      <c r="CX36">
        <f>SUM('7'!AR265:AR269)</f>
        <v>0</v>
      </c>
      <c r="CY36">
        <f>SUM('7'!AS265:AS269)</f>
        <v>0</v>
      </c>
      <c r="CZ36">
        <f>SUM('7'!AT265:AT269)</f>
        <v>0</v>
      </c>
      <c r="DA36">
        <f>SUM('7'!AU265:AU269)</f>
        <v>0</v>
      </c>
      <c r="DB36">
        <f>SUM('7'!AV265:AV269)</f>
        <v>0</v>
      </c>
      <c r="DC36">
        <f>SUM('7'!AW265:AW269)</f>
        <v>0</v>
      </c>
      <c r="DD36">
        <f>SUM('7'!AX265:AX269)</f>
        <v>0</v>
      </c>
      <c r="DE36">
        <f>SUM('7'!AY265:AY269)</f>
        <v>0</v>
      </c>
      <c r="DF36">
        <f>SUM('7'!AZ265:AZ269)</f>
        <v>0</v>
      </c>
      <c r="DG36">
        <f>SUM('7'!BA265:BA269)</f>
        <v>0</v>
      </c>
      <c r="DH36">
        <f>SUM('7'!BB265:BB269)</f>
        <v>0</v>
      </c>
      <c r="DI36">
        <f>SUM('7'!BC265:BC269)</f>
        <v>0</v>
      </c>
      <c r="DJ36">
        <f>SUM('7'!BD265:BD269)</f>
        <v>0</v>
      </c>
      <c r="DK36">
        <f>SUM('7'!BE265:BE269)</f>
        <v>0</v>
      </c>
      <c r="DL36">
        <f>SUM('7'!BF265:BF269)</f>
        <v>0</v>
      </c>
      <c r="DM36">
        <f>SUM('7'!BG265:BG269)</f>
        <v>0</v>
      </c>
      <c r="DN36">
        <f>SUM('7'!BH265:BH269)</f>
        <v>0</v>
      </c>
      <c r="DO36">
        <f>SUM('7'!BI265:BI269)</f>
        <v>0</v>
      </c>
      <c r="DP36">
        <f>SUM('7'!BJ265:BJ269)</f>
        <v>0</v>
      </c>
      <c r="DQ36">
        <f>SUM('7'!BK265:BK269)</f>
        <v>0</v>
      </c>
      <c r="DR36">
        <f>SUM('7'!BL265:BL269)</f>
        <v>0</v>
      </c>
      <c r="DS36">
        <f>SUM('7'!BM265:BM269)</f>
        <v>0</v>
      </c>
      <c r="DT36">
        <f>SUM('7'!BN265:BN269)</f>
        <v>0</v>
      </c>
      <c r="DU36">
        <f>SUM('7'!BO265:BO269)</f>
        <v>0</v>
      </c>
      <c r="DV36">
        <f>SUM('7'!BP265:BP269)</f>
        <v>0</v>
      </c>
      <c r="DW36">
        <f>SUM('7'!BQ265:BQ269)</f>
        <v>0</v>
      </c>
      <c r="DX36">
        <f>SUM('7'!BR265:BR269)</f>
        <v>0</v>
      </c>
      <c r="DY36">
        <f>SUM('7'!BS265:BS269)</f>
        <v>0</v>
      </c>
      <c r="DZ36">
        <f>SUM('7'!BT265:BT269)</f>
        <v>0</v>
      </c>
      <c r="EA36">
        <f>SUM('7'!BU265:BU269)</f>
        <v>0</v>
      </c>
      <c r="EB36">
        <f>SUM('7'!BV265:BV269)</f>
        <v>0</v>
      </c>
      <c r="EC36">
        <f>SUM('7'!BW265:BW269)</f>
        <v>0</v>
      </c>
      <c r="ED36">
        <f>SUM('7'!BX265:BX269)</f>
        <v>0</v>
      </c>
      <c r="EE36">
        <f>SUM('7'!BY265:BY269)</f>
        <v>0</v>
      </c>
      <c r="EF36">
        <f>SUM('7'!BZ265:BZ269)</f>
        <v>0</v>
      </c>
      <c r="EG36">
        <f>SUM('7'!CA265:CA269)</f>
        <v>0</v>
      </c>
      <c r="EH36">
        <f>SUM('7'!CB265:CB269)</f>
        <v>0</v>
      </c>
      <c r="EI36">
        <f>SUM('7'!CC265:CC269)</f>
        <v>0</v>
      </c>
      <c r="EJ36">
        <f>SUM('7'!CD265:CD269)</f>
        <v>0</v>
      </c>
      <c r="EK36">
        <f>SUM('7'!CE265:CE269)</f>
        <v>0</v>
      </c>
      <c r="EL36">
        <f>SUM('7'!CF265:CF269)</f>
        <v>0</v>
      </c>
      <c r="EM36">
        <f>SUM('7'!CG265:CG269)</f>
        <v>0</v>
      </c>
      <c r="EN36">
        <f>SUM('7'!CH265:CH269)</f>
        <v>0</v>
      </c>
      <c r="EO36">
        <f>SUM('7'!CI265:CI269)</f>
        <v>0</v>
      </c>
      <c r="EP36">
        <f>SUM('7'!CJ265:CJ269)</f>
        <v>0</v>
      </c>
      <c r="EQ36">
        <f>SUM('7'!CK265:CK269)</f>
        <v>0</v>
      </c>
      <c r="ER36">
        <f>SUM('7'!CL265:CL269)</f>
        <v>0</v>
      </c>
      <c r="ES36">
        <f>SUM('7'!CM265:CM269)</f>
        <v>0</v>
      </c>
      <c r="ET36">
        <f>SUM('7'!CN265:CN269)</f>
        <v>0</v>
      </c>
      <c r="EU36">
        <f>SUM('7'!CO265:CO269)</f>
        <v>0</v>
      </c>
      <c r="EV36">
        <f>SUM('7'!CP265:CP269)</f>
        <v>0</v>
      </c>
      <c r="EW36">
        <f>SUM('7'!CQ265:CQ269)</f>
        <v>0</v>
      </c>
      <c r="EX36">
        <f>SUM('7'!CR265:CR269)</f>
        <v>0</v>
      </c>
      <c r="EY36">
        <f>SUM('7'!CS265:CS269)</f>
        <v>0</v>
      </c>
      <c r="EZ36">
        <f>SUM('7'!CT265:CT269)</f>
        <v>0</v>
      </c>
      <c r="FA36">
        <f>SUM('7'!CU265:CU269)</f>
        <v>0</v>
      </c>
      <c r="FB36">
        <f>SUM('7'!CV265:CV269)</f>
        <v>0</v>
      </c>
      <c r="FC36">
        <f>SUM('7'!CW265:CW269)</f>
        <v>0</v>
      </c>
      <c r="FD36">
        <f>SUM('7'!CX265:CX269)</f>
        <v>0</v>
      </c>
      <c r="FE36">
        <f>SUM('7'!CY265:CY269)</f>
        <v>0</v>
      </c>
      <c r="FF36">
        <f>SUM('7'!CZ265:CZ269)</f>
        <v>0</v>
      </c>
      <c r="FG36">
        <f>SUM('7'!DA265:DA269)</f>
        <v>0</v>
      </c>
      <c r="FH36">
        <f>SUM('7'!DB265:DB269)</f>
        <v>0</v>
      </c>
      <c r="FI36">
        <f>SUM('7'!DC265:DC269)</f>
        <v>0</v>
      </c>
      <c r="FJ36">
        <f>SUM('7'!DD265:DD269)</f>
        <v>0</v>
      </c>
      <c r="FK36">
        <f>SUM('7'!DE265:DE269)</f>
        <v>0</v>
      </c>
      <c r="FL36">
        <f>SUM('7'!DF265:DF269)</f>
        <v>0</v>
      </c>
      <c r="FM36">
        <f>SUM('7'!DG265:DG269)</f>
        <v>0</v>
      </c>
      <c r="FN36" t="s">
        <v>3751</v>
      </c>
      <c r="FO36">
        <f t="shared" ref="FO36:FO43" si="96">IF(Diseño="Bloque",B36,CH36)</f>
        <v>0</v>
      </c>
      <c r="FP36" t="s">
        <v>3752</v>
      </c>
      <c r="FQ36">
        <f t="shared" ref="FQ36:FQ43" si="97">IF(Diseño="Bloque",C36,CI36)</f>
        <v>0</v>
      </c>
      <c r="FR36" t="s">
        <v>3753</v>
      </c>
      <c r="FS36">
        <f t="shared" ref="FS36:FS43" si="98">IF(Diseño="Bloque",D36,CJ36)</f>
        <v>0</v>
      </c>
      <c r="FT36" t="s">
        <v>3754</v>
      </c>
      <c r="FU36">
        <f t="shared" ref="FU36:FU43" si="99">IF(Diseño="Bloque",E36,CK36)</f>
        <v>0</v>
      </c>
      <c r="FV36" t="s">
        <v>3755</v>
      </c>
      <c r="FW36">
        <f t="shared" ref="FW36:FW43" si="100">IF(Diseño="Bloque",F36,CL36)</f>
        <v>0</v>
      </c>
      <c r="FX36" t="s">
        <v>3756</v>
      </c>
      <c r="FY36">
        <f t="shared" ref="FY36:FY43" si="101">IF(Diseño="Bloque",G36,CM36)</f>
        <v>0</v>
      </c>
      <c r="FZ36" t="s">
        <v>3757</v>
      </c>
      <c r="GA36">
        <f t="shared" ref="GA36:GA43" si="102">IF(Diseño="Bloque",H36,CN36)</f>
        <v>0</v>
      </c>
      <c r="GB36" t="s">
        <v>3758</v>
      </c>
      <c r="GC36">
        <f t="shared" ref="GC36:GC43" si="103">IF(Diseño="Bloque",I36,CO36)</f>
        <v>0</v>
      </c>
      <c r="GD36" t="s">
        <v>3759</v>
      </c>
      <c r="GE36">
        <f t="shared" ref="GE36:GE43" si="104">IF(Diseño="Bloque",J36,CP36)</f>
        <v>0</v>
      </c>
      <c r="GF36" t="s">
        <v>3760</v>
      </c>
      <c r="GG36">
        <f t="shared" ref="GG36:GG43" si="105">IF(Diseño="Bloque",K36,CQ36)</f>
        <v>0</v>
      </c>
      <c r="GH36" t="s">
        <v>3761</v>
      </c>
      <c r="GI36">
        <f t="shared" ref="GI36:GI43" si="106">IF(Diseño="Bloque",L36,CR36)</f>
        <v>0</v>
      </c>
      <c r="GJ36" t="s">
        <v>3762</v>
      </c>
      <c r="GK36">
        <f t="shared" ref="GK36:GK43" si="107">IF(Diseño="Bloque",M36,CS36)</f>
        <v>0</v>
      </c>
      <c r="GL36" t="s">
        <v>3763</v>
      </c>
      <c r="GM36">
        <f t="shared" ref="GM36:GM43" si="108">IF(Diseño="Bloque",N36,CT36)</f>
        <v>0</v>
      </c>
      <c r="GN36" t="s">
        <v>3764</v>
      </c>
      <c r="GO36">
        <f t="shared" ref="GO36:GO43" si="109">IF(Diseño="Bloque",O36,CU36)</f>
        <v>0</v>
      </c>
      <c r="GP36" t="s">
        <v>3765</v>
      </c>
      <c r="GQ36">
        <f t="shared" ref="GQ36:GQ43" si="110">IF(Diseño="Bloque",P36,CV36)</f>
        <v>0</v>
      </c>
      <c r="GR36" t="s">
        <v>3766</v>
      </c>
      <c r="GS36">
        <f t="shared" ref="GS36:GS43" si="111">IF(Diseño="Bloque",Q36,CW36)</f>
        <v>0</v>
      </c>
      <c r="GT36" t="s">
        <v>3767</v>
      </c>
      <c r="GU36">
        <f t="shared" ref="GU36:GU43" si="112">IF(Diseño="Bloque",R36,CX36)</f>
        <v>0</v>
      </c>
      <c r="GV36" t="s">
        <v>3768</v>
      </c>
      <c r="GW36">
        <f t="shared" ref="GW36:GW43" si="113">IF(Diseño="Bloque",S36,CY36)</f>
        <v>0</v>
      </c>
      <c r="GX36" t="s">
        <v>3769</v>
      </c>
      <c r="GY36">
        <f t="shared" ref="GY36:GY43" si="114">IF(Diseño="Bloque",T36,CZ36)</f>
        <v>0</v>
      </c>
      <c r="GZ36" t="s">
        <v>3770</v>
      </c>
      <c r="HA36">
        <f t="shared" ref="HA36:HA43" si="115">IF(Diseño="Bloque",U36,DA36)</f>
        <v>0</v>
      </c>
      <c r="HB36" t="s">
        <v>3771</v>
      </c>
      <c r="HC36">
        <f t="shared" ref="HC36:HC43" si="116">IF(Diseño="Bloque",V36,DB36)</f>
        <v>0</v>
      </c>
      <c r="HD36" t="s">
        <v>3772</v>
      </c>
      <c r="HE36">
        <f t="shared" ref="HE36:HE43" si="117">IF(Diseño="Bloque",W36,DC36)</f>
        <v>0</v>
      </c>
      <c r="HF36" t="s">
        <v>3773</v>
      </c>
      <c r="HG36">
        <f t="shared" ref="HG36:HG43" si="118">IF(Diseño="Bloque",X36,DD36)</f>
        <v>0</v>
      </c>
      <c r="HH36" t="s">
        <v>3774</v>
      </c>
      <c r="HI36">
        <f t="shared" ref="HI36:HI43" si="119">IF(Diseño="Bloque",Y36,DE36)</f>
        <v>0</v>
      </c>
      <c r="HJ36" t="s">
        <v>3775</v>
      </c>
      <c r="HK36">
        <f t="shared" ref="HK36:HK43" si="120">IF(Diseño="Bloque",Z36,DF36)</f>
        <v>0</v>
      </c>
      <c r="HL36" t="s">
        <v>3776</v>
      </c>
      <c r="HM36">
        <f t="shared" ref="HM36:HM43" si="121">IF(Diseño="Bloque",AA36,DG36)</f>
        <v>0</v>
      </c>
      <c r="HN36" t="s">
        <v>3777</v>
      </c>
      <c r="HO36">
        <f t="shared" ref="HO36:HO43" si="122">IF(Diseño="Bloque",AB36,DH36)</f>
        <v>0</v>
      </c>
      <c r="HP36" t="s">
        <v>3778</v>
      </c>
      <c r="HQ36">
        <f t="shared" ref="HQ36:HQ43" si="123">IF(Diseño="Bloque",AC36,DI36)</f>
        <v>0</v>
      </c>
      <c r="HR36" t="s">
        <v>3779</v>
      </c>
      <c r="HS36">
        <f t="shared" ref="HS36:HS43" si="124">IF(Diseño="Bloque",AD36,DJ36)</f>
        <v>0</v>
      </c>
      <c r="HT36" t="s">
        <v>3780</v>
      </c>
      <c r="HU36">
        <f t="shared" ref="HU36:HU43" si="125">IF(Diseño="Bloque",AE36,DK36)</f>
        <v>0</v>
      </c>
      <c r="HV36" t="s">
        <v>3781</v>
      </c>
      <c r="HW36">
        <f t="shared" ref="HW36:HW43" si="126">IF(Diseño="Bloque",AF36,DL36)</f>
        <v>0</v>
      </c>
      <c r="HX36" t="s">
        <v>3782</v>
      </c>
      <c r="HY36">
        <f t="shared" ref="HY36:HY43" si="127">IF(Diseño="Bloque",AG36,DM36)</f>
        <v>0</v>
      </c>
      <c r="HZ36" t="s">
        <v>3783</v>
      </c>
      <c r="IA36">
        <f t="shared" ref="IA36:IA43" si="128">IF(Diseño="Bloque",AH36,DN36)</f>
        <v>0</v>
      </c>
      <c r="IB36" t="s">
        <v>3784</v>
      </c>
      <c r="IC36">
        <f t="shared" ref="IC36:IC43" si="129">IF(Diseño="Bloque",AI36,DO36)</f>
        <v>0</v>
      </c>
      <c r="ID36" t="s">
        <v>3785</v>
      </c>
      <c r="IE36">
        <f t="shared" ref="IE36:IE43" si="130">IF(Diseño="Bloque",AJ36,DP36)</f>
        <v>0</v>
      </c>
      <c r="IF36" t="s">
        <v>3786</v>
      </c>
      <c r="IG36">
        <f t="shared" ref="IG36:IG43" si="131">IF(Diseño="Bloque",AK36,DQ36)</f>
        <v>0</v>
      </c>
      <c r="IH36" t="s">
        <v>3787</v>
      </c>
      <c r="II36">
        <f t="shared" ref="II36:II43" si="132">IF(Diseño="Bloque",AL36,DR36)</f>
        <v>0</v>
      </c>
      <c r="IJ36" t="s">
        <v>3788</v>
      </c>
      <c r="IK36">
        <f t="shared" ref="IK36:IK43" si="133">IF(Diseño="Bloque",AM36,DS36)</f>
        <v>0</v>
      </c>
      <c r="IL36" t="s">
        <v>3789</v>
      </c>
      <c r="IM36">
        <f t="shared" ref="IM36:IM43" si="134">IF(Diseño="Bloque",AN36,DT36)</f>
        <v>0</v>
      </c>
      <c r="IN36" t="s">
        <v>3790</v>
      </c>
      <c r="IO36">
        <f t="shared" ref="IO36:IO43" si="135">IF(Diseño="Bloque",AO36,DU36)</f>
        <v>0</v>
      </c>
      <c r="IP36" t="s">
        <v>3791</v>
      </c>
      <c r="IQ36">
        <f t="shared" ref="IQ36:IQ43" si="136">IF(Diseño="Bloque",AP36,DV36)</f>
        <v>0</v>
      </c>
      <c r="IR36" t="s">
        <v>3792</v>
      </c>
      <c r="IS36">
        <f t="shared" ref="IS36:IS43" si="137">IF(Diseño="Bloque",AQ36,DW36)</f>
        <v>0</v>
      </c>
      <c r="IT36" t="s">
        <v>3793</v>
      </c>
      <c r="IU36">
        <f t="shared" ref="IU36:IU43" si="138">IF(Diseño="Bloque",AR36,DX36)</f>
        <v>0</v>
      </c>
      <c r="IV36" t="s">
        <v>3794</v>
      </c>
      <c r="IW36">
        <f t="shared" ref="IW36:IW43" si="139">IF(Diseño="Bloque",AS36,DY36)</f>
        <v>0</v>
      </c>
      <c r="IX36" t="s">
        <v>3795</v>
      </c>
      <c r="IY36">
        <f t="shared" ref="IY36:IY43" si="140">IF(Diseño="Bloque",AT36,DZ36)</f>
        <v>0</v>
      </c>
      <c r="IZ36" t="s">
        <v>3796</v>
      </c>
      <c r="JA36">
        <f t="shared" ref="JA36:JA43" si="141">IF(Diseño="Bloque",AU36,EA36)</f>
        <v>0</v>
      </c>
      <c r="JB36" t="s">
        <v>3797</v>
      </c>
      <c r="JC36">
        <f t="shared" ref="JC36:JC43" si="142">IF(Diseño="Bloque",AV36,EB36)</f>
        <v>0</v>
      </c>
      <c r="JD36" t="s">
        <v>3798</v>
      </c>
      <c r="JE36">
        <f t="shared" ref="JE36:JE43" si="143">IF(Diseño="Bloque",AW36,EC36)</f>
        <v>0</v>
      </c>
      <c r="JF36" t="s">
        <v>3799</v>
      </c>
      <c r="JG36">
        <f t="shared" ref="JG36:JG43" si="144">IF(Diseño="Bloque",AX36,ED36)</f>
        <v>0</v>
      </c>
      <c r="JH36" t="s">
        <v>3800</v>
      </c>
      <c r="JI36">
        <f t="shared" ref="JI36:JI43" si="145">IF(Diseño="Bloque",AY36,EE36)</f>
        <v>0</v>
      </c>
      <c r="JJ36" t="s">
        <v>3801</v>
      </c>
      <c r="JK36">
        <f t="shared" ref="JK36:JK43" si="146">IF(Diseño="Bloque",AZ36,EF36)</f>
        <v>0</v>
      </c>
      <c r="JL36" t="s">
        <v>3802</v>
      </c>
      <c r="JM36">
        <f t="shared" ref="JM36:JM43" si="147">IF(Diseño="Bloque",BA36,EG36)</f>
        <v>0</v>
      </c>
      <c r="JN36" t="s">
        <v>3803</v>
      </c>
      <c r="JO36">
        <f t="shared" ref="JO36:JO43" si="148">IF(Diseño="Bloque",BB36,EH36)</f>
        <v>0</v>
      </c>
      <c r="JP36" t="s">
        <v>3804</v>
      </c>
      <c r="JQ36">
        <f t="shared" ref="JQ36:JQ43" si="149">IF(Diseño="Bloque",BC36,EI36)</f>
        <v>0</v>
      </c>
      <c r="JR36" t="s">
        <v>3805</v>
      </c>
      <c r="JS36">
        <f t="shared" ref="JS36:JS43" si="150">IF(Diseño="Bloque",BD36,EJ36)</f>
        <v>0</v>
      </c>
      <c r="JT36" t="s">
        <v>3806</v>
      </c>
      <c r="JU36">
        <f t="shared" ref="JU36:JU43" si="151">IF(Diseño="Bloque",BE36,EK36)</f>
        <v>0</v>
      </c>
      <c r="JV36" t="s">
        <v>3807</v>
      </c>
      <c r="JW36">
        <f t="shared" ref="JW36:JW43" si="152">IF(Diseño="Bloque",BF36,EL36)</f>
        <v>0</v>
      </c>
      <c r="JX36" t="s">
        <v>3808</v>
      </c>
      <c r="JY36">
        <f t="shared" ref="JY36:JY43" si="153">IF(Diseño="Bloque",BG36,EM36)</f>
        <v>0</v>
      </c>
      <c r="JZ36" t="s">
        <v>3809</v>
      </c>
      <c r="KA36">
        <f t="shared" ref="KA36:KA43" si="154">IF(Diseño="Bloque",BH36,EN36)</f>
        <v>0</v>
      </c>
      <c r="KB36" t="s">
        <v>3810</v>
      </c>
      <c r="KC36">
        <f t="shared" ref="KC36:KC43" si="155">IF(Diseño="Bloque",BI36,EO36)</f>
        <v>0</v>
      </c>
      <c r="KD36" t="s">
        <v>3811</v>
      </c>
      <c r="KE36">
        <f t="shared" ref="KE36:KE43" si="156">IF(Diseño="Bloque",BJ36,EP36)</f>
        <v>0</v>
      </c>
      <c r="KF36" t="s">
        <v>3812</v>
      </c>
      <c r="KG36">
        <f t="shared" ref="KG36:KG43" si="157">IF(Diseño="Bloque",BK36,EQ36)</f>
        <v>0</v>
      </c>
      <c r="KH36" t="s">
        <v>3813</v>
      </c>
      <c r="KI36">
        <f t="shared" ref="KI36:KI43" si="158">IF(Diseño="Bloque",BL36,ER36)</f>
        <v>0</v>
      </c>
      <c r="KJ36" t="s">
        <v>3814</v>
      </c>
      <c r="KK36">
        <f t="shared" ref="KK36:KK43" si="159">IF(Diseño="Bloque",BM36,ES36)</f>
        <v>0</v>
      </c>
      <c r="KL36" t="s">
        <v>3815</v>
      </c>
      <c r="KM36">
        <f t="shared" ref="KM36:KM43" si="160">IF(Diseño="Bloque",BN36,ET36)</f>
        <v>0</v>
      </c>
      <c r="KN36" t="s">
        <v>3816</v>
      </c>
      <c r="KO36">
        <f t="shared" ref="KO36:KO43" si="161">IF(Diseño="Bloque",BO36,EU36)</f>
        <v>0</v>
      </c>
      <c r="KP36" t="s">
        <v>3817</v>
      </c>
      <c r="KQ36">
        <f t="shared" ref="KQ36:KQ43" si="162">IF(Diseño="Bloque",BP36,EV36)</f>
        <v>0</v>
      </c>
      <c r="KR36" t="s">
        <v>3818</v>
      </c>
      <c r="KS36">
        <f t="shared" ref="KS36:KS43" si="163">IF(Diseño="Bloque",BQ36,EW36)</f>
        <v>0</v>
      </c>
      <c r="KT36" t="s">
        <v>3819</v>
      </c>
      <c r="KU36">
        <f t="shared" ref="KU36:KU43" si="164">IF(Diseño="Bloque",BR36,EX36)</f>
        <v>0</v>
      </c>
      <c r="KV36" t="s">
        <v>3820</v>
      </c>
      <c r="KW36">
        <f t="shared" ref="KW36:KW43" si="165">IF(Diseño="Bloque",BS36,EY36)</f>
        <v>0</v>
      </c>
      <c r="KX36" t="s">
        <v>3821</v>
      </c>
      <c r="KY36">
        <f t="shared" ref="KY36:KY43" si="166">IF(Diseño="Bloque",BT36,EZ36)</f>
        <v>0</v>
      </c>
      <c r="KZ36" t="s">
        <v>3822</v>
      </c>
      <c r="LA36">
        <f t="shared" ref="LA36:LA43" si="167">IF(Diseño="Bloque",BU36,FA36)</f>
        <v>0</v>
      </c>
      <c r="LB36" t="s">
        <v>3823</v>
      </c>
      <c r="LC36">
        <f t="shared" ref="LC36:LC43" si="168">IF(Diseño="Bloque",BV36,FB36)</f>
        <v>0</v>
      </c>
      <c r="LD36" t="s">
        <v>3824</v>
      </c>
      <c r="LE36">
        <f t="shared" ref="LE36:LE43" si="169">IF(Diseño="Bloque",BW36,FC36)</f>
        <v>0</v>
      </c>
      <c r="LF36" t="s">
        <v>3825</v>
      </c>
      <c r="LG36">
        <f t="shared" ref="LG36:LG43" si="170">IF(Diseño="Bloque",BX36,FD36)</f>
        <v>0</v>
      </c>
      <c r="LH36" t="s">
        <v>3826</v>
      </c>
      <c r="LI36">
        <f t="shared" ref="LI36:LI43" si="171">IF(Diseño="Bloque",BY36,FE36)</f>
        <v>0</v>
      </c>
      <c r="LJ36" t="s">
        <v>3827</v>
      </c>
      <c r="LK36">
        <f t="shared" ref="LK36:LK43" si="172">IF(Diseño="Bloque",BZ36,FF36)</f>
        <v>0</v>
      </c>
      <c r="LL36" t="s">
        <v>3828</v>
      </c>
      <c r="LM36">
        <f t="shared" ref="LM36:LM43" si="173">IF(Diseño="Bloque",CA36,FG36)</f>
        <v>0</v>
      </c>
      <c r="LN36" t="s">
        <v>3829</v>
      </c>
      <c r="LO36">
        <f t="shared" ref="LO36:LO43" si="174">IF(Diseño="Bloque",CB36,FH36)</f>
        <v>0</v>
      </c>
      <c r="LP36" t="s">
        <v>3830</v>
      </c>
      <c r="LQ36">
        <f t="shared" ref="LQ36:LQ43" si="175">IF(Diseño="Bloque",CC36,FI36)</f>
        <v>0</v>
      </c>
      <c r="LR36" t="s">
        <v>3831</v>
      </c>
      <c r="LS36">
        <f t="shared" ref="LS36:LS43" si="176">IF(Diseño="Bloque",CD36,FJ36)</f>
        <v>0</v>
      </c>
      <c r="LT36" t="s">
        <v>3832</v>
      </c>
      <c r="LU36">
        <f t="shared" ref="LU36:LU43" si="177">IF(Diseño="Bloque",CE36,FK36)</f>
        <v>0</v>
      </c>
      <c r="LV36" t="s">
        <v>3833</v>
      </c>
      <c r="LW36">
        <f t="shared" ref="LW36:LW43" si="178">IF(Diseño="Bloque",CF36,FL36)</f>
        <v>0</v>
      </c>
      <c r="LX36" t="s">
        <v>3834</v>
      </c>
      <c r="LY36">
        <f t="shared" ref="LY36:LY43" si="179">IF(Diseño="Bloque",CG36,FM36)</f>
        <v>0</v>
      </c>
      <c r="LZ36">
        <f>'6'!B136</f>
        <v>0</v>
      </c>
      <c r="MA36">
        <f>'6'!C136</f>
        <v>0</v>
      </c>
      <c r="MB36">
        <f>'6'!D136</f>
        <v>0</v>
      </c>
      <c r="MC36">
        <f>'6'!E136</f>
        <v>0</v>
      </c>
      <c r="MD36">
        <f>'6'!F136</f>
        <v>0</v>
      </c>
      <c r="ME36">
        <f>'6'!G136</f>
        <v>0</v>
      </c>
      <c r="MF36">
        <f>'6'!H136</f>
        <v>0</v>
      </c>
      <c r="MG36">
        <f>'6'!I136</f>
        <v>0</v>
      </c>
      <c r="MH36">
        <f>'6'!J136</f>
        <v>0</v>
      </c>
      <c r="MI36">
        <f>'6'!K136</f>
        <v>0</v>
      </c>
      <c r="MJ36">
        <f>'6'!L136</f>
        <v>0</v>
      </c>
      <c r="MK36">
        <f>'6'!M136</f>
        <v>0</v>
      </c>
      <c r="ML36" s="13">
        <f>'7'!B263</f>
        <v>0</v>
      </c>
      <c r="MM36" s="13">
        <f>'7'!C263</f>
        <v>0</v>
      </c>
      <c r="MN36" s="13">
        <f>'7'!D263</f>
        <v>0</v>
      </c>
      <c r="MO36" s="13">
        <f>'7'!E263</f>
        <v>0</v>
      </c>
      <c r="MP36" s="13">
        <f>'7'!F263</f>
        <v>0</v>
      </c>
      <c r="MQ36" s="13">
        <f>'7'!G263</f>
        <v>0</v>
      </c>
      <c r="MR36" s="13">
        <f>'7'!H263</f>
        <v>0</v>
      </c>
      <c r="MS36" s="13">
        <f>'7'!I263</f>
        <v>0</v>
      </c>
      <c r="MT36" s="13">
        <f>'7'!J263</f>
        <v>0</v>
      </c>
      <c r="MU36" s="13">
        <f>'7'!K263</f>
        <v>0</v>
      </c>
      <c r="MV36" s="13">
        <f>'7'!L263</f>
        <v>0</v>
      </c>
      <c r="MW36" s="13">
        <f>'7'!M263</f>
        <v>0</v>
      </c>
      <c r="MX36" s="13" t="s">
        <v>3835</v>
      </c>
      <c r="MY36">
        <f t="shared" ref="MY36:MY43" si="180">IF(Diseño="Bloque",LZ36,ML36)</f>
        <v>0</v>
      </c>
      <c r="MZ36" s="13" t="s">
        <v>3836</v>
      </c>
      <c r="NA36">
        <f t="shared" ref="NA36:NA43" si="181">IF(Diseño="Bloque",MA36,MM36)</f>
        <v>0</v>
      </c>
      <c r="NB36" s="13" t="s">
        <v>3837</v>
      </c>
      <c r="NC36">
        <f t="shared" ref="NC36:NC43" si="182">IF(Diseño="Bloque",MB36,MN36)</f>
        <v>0</v>
      </c>
      <c r="ND36" s="13" t="s">
        <v>3838</v>
      </c>
      <c r="NE36">
        <f t="shared" ref="NE36:NE43" si="183">IF(Diseño="Bloque",MC36,MO36)</f>
        <v>0</v>
      </c>
      <c r="NF36" s="13" t="s">
        <v>3839</v>
      </c>
      <c r="NG36">
        <f t="shared" ref="NG36:NG43" si="184">IF(Diseño="Bloque",MD36,MP36)</f>
        <v>0</v>
      </c>
      <c r="NH36" s="13" t="s">
        <v>3840</v>
      </c>
      <c r="NI36">
        <f t="shared" ref="NI36:NI43" si="185">IF(Diseño="Bloque",ME36,MQ36)</f>
        <v>0</v>
      </c>
      <c r="NJ36" s="13" t="s">
        <v>3841</v>
      </c>
      <c r="NK36">
        <f t="shared" ref="NK36:NK43" si="186">IF(Diseño="Bloque",MF36,MR36)</f>
        <v>0</v>
      </c>
      <c r="NL36" s="13" t="s">
        <v>3842</v>
      </c>
      <c r="NM36">
        <f t="shared" ref="NM36:NM43" si="187">IF(Diseño="Bloque",MG36,MS36)</f>
        <v>0</v>
      </c>
      <c r="NN36" s="13" t="s">
        <v>3843</v>
      </c>
      <c r="NO36">
        <f t="shared" ref="NO36:NO43" si="188">IF(Diseño="Bloque",MH36,MT36)</f>
        <v>0</v>
      </c>
      <c r="NP36" s="13" t="s">
        <v>3844</v>
      </c>
      <c r="NQ36">
        <f t="shared" ref="NQ36:NQ43" si="189">IF(Diseño="Bloque",MI36,MU36)</f>
        <v>0</v>
      </c>
      <c r="NR36" s="13" t="s">
        <v>3845</v>
      </c>
      <c r="NS36">
        <f t="shared" ref="NS36:NS43" si="190">IF(Diseño="Bloque",MJ36,MV36)</f>
        <v>0</v>
      </c>
      <c r="NT36" s="13" t="s">
        <v>3846</v>
      </c>
      <c r="NU36">
        <f t="shared" ref="NU36:NU43" si="191">IF(Diseño="Bloque",MK36,MW36)</f>
        <v>0</v>
      </c>
      <c r="NV36" s="13"/>
    </row>
    <row r="37" spans="1:386" customFormat="1" x14ac:dyDescent="0.25">
      <c r="A37">
        <v>34</v>
      </c>
      <c r="B37">
        <f>'6'!AB139</f>
        <v>0</v>
      </c>
      <c r="C37">
        <f>'6'!AC139</f>
        <v>0</v>
      </c>
      <c r="D37">
        <f>'6'!AD139</f>
        <v>0</v>
      </c>
      <c r="E37">
        <f>'6'!AE139</f>
        <v>0</v>
      </c>
      <c r="F37">
        <f>'6'!AF139</f>
        <v>0</v>
      </c>
      <c r="G37">
        <f>'6'!AG139</f>
        <v>0</v>
      </c>
      <c r="H37">
        <f>'6'!AH139</f>
        <v>0</v>
      </c>
      <c r="I37">
        <f>'6'!AI139</f>
        <v>0</v>
      </c>
      <c r="J37">
        <f>'6'!AJ139</f>
        <v>0</v>
      </c>
      <c r="K37">
        <f>'6'!AK139</f>
        <v>0</v>
      </c>
      <c r="L37">
        <f>'6'!AL139</f>
        <v>0</v>
      </c>
      <c r="M37">
        <f>'6'!AM139</f>
        <v>0</v>
      </c>
      <c r="N37">
        <f>'6'!AN139</f>
        <v>0</v>
      </c>
      <c r="O37">
        <f>'6'!AO139</f>
        <v>0</v>
      </c>
      <c r="P37">
        <f>'6'!AP139</f>
        <v>0</v>
      </c>
      <c r="Q37">
        <f>'6'!AQ139</f>
        <v>0</v>
      </c>
      <c r="R37">
        <f>'6'!AR139</f>
        <v>0</v>
      </c>
      <c r="S37">
        <f>'6'!AS139</f>
        <v>0</v>
      </c>
      <c r="T37">
        <f>'6'!AT139</f>
        <v>0</v>
      </c>
      <c r="U37">
        <f>'6'!AU139</f>
        <v>0</v>
      </c>
      <c r="V37">
        <f>'6'!AV139</f>
        <v>0</v>
      </c>
      <c r="W37">
        <f>'6'!AW139</f>
        <v>0</v>
      </c>
      <c r="X37">
        <f>'6'!AX139</f>
        <v>0</v>
      </c>
      <c r="Y37">
        <f>'6'!AY139</f>
        <v>0</v>
      </c>
      <c r="Z37">
        <f>'6'!AZ139</f>
        <v>0</v>
      </c>
      <c r="AA37">
        <f>'6'!BA139</f>
        <v>0</v>
      </c>
      <c r="AB37">
        <f>'6'!BB139</f>
        <v>0</v>
      </c>
      <c r="AC37">
        <f>'6'!BC139</f>
        <v>0</v>
      </c>
      <c r="AD37">
        <f>'6'!BD139</f>
        <v>0</v>
      </c>
      <c r="AE37">
        <f>'6'!BE139</f>
        <v>0</v>
      </c>
      <c r="AF37">
        <f>'6'!BF139</f>
        <v>0</v>
      </c>
      <c r="AG37">
        <f>'6'!BG139</f>
        <v>0</v>
      </c>
      <c r="AH37">
        <f>'6'!BH139</f>
        <v>0</v>
      </c>
      <c r="AI37">
        <f>'6'!BI139</f>
        <v>0</v>
      </c>
      <c r="AJ37">
        <f>'6'!BJ139</f>
        <v>0</v>
      </c>
      <c r="AK37">
        <f>'6'!BK139</f>
        <v>0</v>
      </c>
      <c r="AL37">
        <f>'6'!BL139</f>
        <v>0</v>
      </c>
      <c r="AM37">
        <f>'6'!BM139</f>
        <v>0</v>
      </c>
      <c r="AN37">
        <f>'6'!BN139</f>
        <v>0</v>
      </c>
      <c r="AO37">
        <f>'6'!BO139</f>
        <v>0</v>
      </c>
      <c r="AP37">
        <f>'6'!BP139</f>
        <v>0</v>
      </c>
      <c r="AQ37">
        <f>'6'!BQ139</f>
        <v>0</v>
      </c>
      <c r="AR37">
        <f>'6'!BR139</f>
        <v>0</v>
      </c>
      <c r="AS37">
        <f>'6'!BS139</f>
        <v>0</v>
      </c>
      <c r="AT37">
        <f>'6'!BT139</f>
        <v>0</v>
      </c>
      <c r="AU37">
        <f>'6'!BU139</f>
        <v>0</v>
      </c>
      <c r="AV37">
        <f>'6'!BV139</f>
        <v>0</v>
      </c>
      <c r="AW37">
        <f>'6'!BW139</f>
        <v>0</v>
      </c>
      <c r="AX37">
        <f>'6'!BX139</f>
        <v>0</v>
      </c>
      <c r="AY37">
        <f>'6'!BY139</f>
        <v>0</v>
      </c>
      <c r="AZ37">
        <f>'6'!BZ139</f>
        <v>0</v>
      </c>
      <c r="BA37">
        <f>'6'!CA139</f>
        <v>0</v>
      </c>
      <c r="BB37">
        <f>'6'!CB139</f>
        <v>0</v>
      </c>
      <c r="BC37">
        <f>'6'!CC139</f>
        <v>0</v>
      </c>
      <c r="BD37">
        <f>'6'!CD139</f>
        <v>0</v>
      </c>
      <c r="BE37">
        <f>'6'!CE139</f>
        <v>0</v>
      </c>
      <c r="BF37">
        <f>'6'!CF139</f>
        <v>0</v>
      </c>
      <c r="BG37">
        <f>'6'!CG139</f>
        <v>0</v>
      </c>
      <c r="BH37">
        <f>'6'!CH139</f>
        <v>0</v>
      </c>
      <c r="BI37">
        <f>'6'!CI139</f>
        <v>0</v>
      </c>
      <c r="BJ37">
        <f>'6'!CJ139</f>
        <v>0</v>
      </c>
      <c r="BK37">
        <f>'6'!CK139</f>
        <v>0</v>
      </c>
      <c r="BL37">
        <f>'6'!CL139</f>
        <v>0</v>
      </c>
      <c r="BM37">
        <f>'6'!CM139</f>
        <v>0</v>
      </c>
      <c r="BN37">
        <f>'6'!CN139</f>
        <v>0</v>
      </c>
      <c r="BO37">
        <f>'6'!CO139</f>
        <v>0</v>
      </c>
      <c r="BP37">
        <f>'6'!CP139</f>
        <v>0</v>
      </c>
      <c r="BQ37">
        <f>'6'!CQ139</f>
        <v>0</v>
      </c>
      <c r="BR37">
        <f>'6'!CR139</f>
        <v>0</v>
      </c>
      <c r="BS37">
        <f>'6'!CS139</f>
        <v>0</v>
      </c>
      <c r="BT37">
        <f>'6'!CT139</f>
        <v>0</v>
      </c>
      <c r="BU37">
        <f>'6'!CU139</f>
        <v>0</v>
      </c>
      <c r="BV37">
        <f>'6'!CV139</f>
        <v>0</v>
      </c>
      <c r="BW37">
        <f>'6'!CW139</f>
        <v>0</v>
      </c>
      <c r="BX37">
        <f>'6'!CX139</f>
        <v>0</v>
      </c>
      <c r="BY37">
        <f>'6'!CY139</f>
        <v>0</v>
      </c>
      <c r="BZ37">
        <f>'6'!CZ139</f>
        <v>0</v>
      </c>
      <c r="CA37">
        <f>'6'!DA139</f>
        <v>0</v>
      </c>
      <c r="CB37">
        <f>'6'!DB139</f>
        <v>0</v>
      </c>
      <c r="CC37">
        <f>'6'!DC139</f>
        <v>0</v>
      </c>
      <c r="CD37">
        <f>'6'!DD139</f>
        <v>0</v>
      </c>
      <c r="CE37">
        <f>'6'!DE139</f>
        <v>0</v>
      </c>
      <c r="CF37">
        <f>'6'!DF139</f>
        <v>0</v>
      </c>
      <c r="CG37">
        <f>'6'!DG139</f>
        <v>0</v>
      </c>
      <c r="CH37">
        <f>SUM('7'!AB273:AB277)</f>
        <v>0</v>
      </c>
      <c r="CI37">
        <f>SUM('7'!AC273:AC277)</f>
        <v>0</v>
      </c>
      <c r="CJ37">
        <f>SUM('7'!AD273:AD277)</f>
        <v>0</v>
      </c>
      <c r="CK37">
        <f>SUM('7'!AE273:AE277)</f>
        <v>0</v>
      </c>
      <c r="CL37">
        <f>SUM('7'!AF273:AF277)</f>
        <v>0</v>
      </c>
      <c r="CM37">
        <f>SUM('7'!AG273:AG277)</f>
        <v>0</v>
      </c>
      <c r="CN37">
        <f>SUM('7'!AH273:AH277)</f>
        <v>0</v>
      </c>
      <c r="CO37">
        <f>SUM('7'!AI273:AI277)</f>
        <v>0</v>
      </c>
      <c r="CP37">
        <f>SUM('7'!AJ273:AJ277)</f>
        <v>0</v>
      </c>
      <c r="CQ37">
        <f>SUM('7'!AK273:AK277)</f>
        <v>0</v>
      </c>
      <c r="CR37">
        <f>SUM('7'!AL273:AL277)</f>
        <v>0</v>
      </c>
      <c r="CS37">
        <f>SUM('7'!AM273:AM277)</f>
        <v>0</v>
      </c>
      <c r="CT37">
        <f>SUM('7'!AN273:AN277)</f>
        <v>0</v>
      </c>
      <c r="CU37">
        <f>SUM('7'!AO273:AO277)</f>
        <v>0</v>
      </c>
      <c r="CV37">
        <f>SUM('7'!AP273:AP277)</f>
        <v>0</v>
      </c>
      <c r="CW37">
        <f>SUM('7'!AQ273:AQ277)</f>
        <v>0</v>
      </c>
      <c r="CX37">
        <f>SUM('7'!AR273:AR277)</f>
        <v>0</v>
      </c>
      <c r="CY37">
        <f>SUM('7'!AS273:AS277)</f>
        <v>0</v>
      </c>
      <c r="CZ37">
        <f>SUM('7'!AT273:AT277)</f>
        <v>0</v>
      </c>
      <c r="DA37">
        <f>SUM('7'!AU273:AU277)</f>
        <v>0</v>
      </c>
      <c r="DB37">
        <f>SUM('7'!AV273:AV277)</f>
        <v>0</v>
      </c>
      <c r="DC37">
        <f>SUM('7'!AW273:AW277)</f>
        <v>0</v>
      </c>
      <c r="DD37">
        <f>SUM('7'!AX273:AX277)</f>
        <v>0</v>
      </c>
      <c r="DE37">
        <f>SUM('7'!AY273:AY277)</f>
        <v>0</v>
      </c>
      <c r="DF37">
        <f>SUM('7'!AZ273:AZ277)</f>
        <v>0</v>
      </c>
      <c r="DG37">
        <f>SUM('7'!BA273:BA277)</f>
        <v>0</v>
      </c>
      <c r="DH37">
        <f>SUM('7'!BB273:BB277)</f>
        <v>0</v>
      </c>
      <c r="DI37">
        <f>SUM('7'!BC273:BC277)</f>
        <v>0</v>
      </c>
      <c r="DJ37">
        <f>SUM('7'!BD273:BD277)</f>
        <v>0</v>
      </c>
      <c r="DK37">
        <f>SUM('7'!BE273:BE277)</f>
        <v>0</v>
      </c>
      <c r="DL37">
        <f>SUM('7'!BF273:BF277)</f>
        <v>0</v>
      </c>
      <c r="DM37">
        <f>SUM('7'!BG273:BG277)</f>
        <v>0</v>
      </c>
      <c r="DN37">
        <f>SUM('7'!BH273:BH277)</f>
        <v>0</v>
      </c>
      <c r="DO37">
        <f>SUM('7'!BI273:BI277)</f>
        <v>0</v>
      </c>
      <c r="DP37">
        <f>SUM('7'!BJ273:BJ277)</f>
        <v>0</v>
      </c>
      <c r="DQ37">
        <f>SUM('7'!BK273:BK277)</f>
        <v>0</v>
      </c>
      <c r="DR37">
        <f>SUM('7'!BL273:BL277)</f>
        <v>0</v>
      </c>
      <c r="DS37">
        <f>SUM('7'!BM273:BM277)</f>
        <v>0</v>
      </c>
      <c r="DT37">
        <f>SUM('7'!BN273:BN277)</f>
        <v>0</v>
      </c>
      <c r="DU37">
        <f>SUM('7'!BO273:BO277)</f>
        <v>0</v>
      </c>
      <c r="DV37">
        <f>SUM('7'!BP273:BP277)</f>
        <v>0</v>
      </c>
      <c r="DW37">
        <f>SUM('7'!BQ273:BQ277)</f>
        <v>0</v>
      </c>
      <c r="DX37">
        <f>SUM('7'!BR273:BR277)</f>
        <v>0</v>
      </c>
      <c r="DY37">
        <f>SUM('7'!BS273:BS277)</f>
        <v>0</v>
      </c>
      <c r="DZ37">
        <f>SUM('7'!BT273:BT277)</f>
        <v>0</v>
      </c>
      <c r="EA37">
        <f>SUM('7'!BU273:BU277)</f>
        <v>0</v>
      </c>
      <c r="EB37">
        <f>SUM('7'!BV273:BV277)</f>
        <v>0</v>
      </c>
      <c r="EC37">
        <f>SUM('7'!BW273:BW277)</f>
        <v>0</v>
      </c>
      <c r="ED37">
        <f>SUM('7'!BX273:BX277)</f>
        <v>0</v>
      </c>
      <c r="EE37">
        <f>SUM('7'!BY273:BY277)</f>
        <v>0</v>
      </c>
      <c r="EF37">
        <f>SUM('7'!BZ273:BZ277)</f>
        <v>0</v>
      </c>
      <c r="EG37">
        <f>SUM('7'!CA273:CA277)</f>
        <v>0</v>
      </c>
      <c r="EH37">
        <f>SUM('7'!CB273:CB277)</f>
        <v>0</v>
      </c>
      <c r="EI37">
        <f>SUM('7'!CC273:CC277)</f>
        <v>0</v>
      </c>
      <c r="EJ37">
        <f>SUM('7'!CD273:CD277)</f>
        <v>0</v>
      </c>
      <c r="EK37">
        <f>SUM('7'!CE273:CE277)</f>
        <v>0</v>
      </c>
      <c r="EL37">
        <f>SUM('7'!CF273:CF277)</f>
        <v>0</v>
      </c>
      <c r="EM37">
        <f>SUM('7'!CG273:CG277)</f>
        <v>0</v>
      </c>
      <c r="EN37">
        <f>SUM('7'!CH273:CH277)</f>
        <v>0</v>
      </c>
      <c r="EO37">
        <f>SUM('7'!CI273:CI277)</f>
        <v>0</v>
      </c>
      <c r="EP37">
        <f>SUM('7'!CJ273:CJ277)</f>
        <v>0</v>
      </c>
      <c r="EQ37">
        <f>SUM('7'!CK273:CK277)</f>
        <v>0</v>
      </c>
      <c r="ER37">
        <f>SUM('7'!CL273:CL277)</f>
        <v>0</v>
      </c>
      <c r="ES37">
        <f>SUM('7'!CM273:CM277)</f>
        <v>0</v>
      </c>
      <c r="ET37">
        <f>SUM('7'!CN273:CN277)</f>
        <v>0</v>
      </c>
      <c r="EU37">
        <f>SUM('7'!CO273:CO277)</f>
        <v>0</v>
      </c>
      <c r="EV37">
        <f>SUM('7'!CP273:CP277)</f>
        <v>0</v>
      </c>
      <c r="EW37">
        <f>SUM('7'!CQ273:CQ277)</f>
        <v>0</v>
      </c>
      <c r="EX37">
        <f>SUM('7'!CR273:CR277)</f>
        <v>0</v>
      </c>
      <c r="EY37">
        <f>SUM('7'!CS273:CS277)</f>
        <v>0</v>
      </c>
      <c r="EZ37">
        <f>SUM('7'!CT273:CT277)</f>
        <v>0</v>
      </c>
      <c r="FA37">
        <f>SUM('7'!CU273:CU277)</f>
        <v>0</v>
      </c>
      <c r="FB37">
        <f>SUM('7'!CV273:CV277)</f>
        <v>0</v>
      </c>
      <c r="FC37">
        <f>SUM('7'!CW273:CW277)</f>
        <v>0</v>
      </c>
      <c r="FD37">
        <f>SUM('7'!CX273:CX277)</f>
        <v>0</v>
      </c>
      <c r="FE37">
        <f>SUM('7'!CY273:CY277)</f>
        <v>0</v>
      </c>
      <c r="FF37">
        <f>SUM('7'!CZ273:CZ277)</f>
        <v>0</v>
      </c>
      <c r="FG37">
        <f>SUM('7'!DA273:DA277)</f>
        <v>0</v>
      </c>
      <c r="FH37">
        <f>SUM('7'!DB273:DB277)</f>
        <v>0</v>
      </c>
      <c r="FI37">
        <f>SUM('7'!DC273:DC277)</f>
        <v>0</v>
      </c>
      <c r="FJ37">
        <f>SUM('7'!DD273:DD277)</f>
        <v>0</v>
      </c>
      <c r="FK37">
        <f>SUM('7'!DE273:DE277)</f>
        <v>0</v>
      </c>
      <c r="FL37">
        <f>SUM('7'!DF273:DF277)</f>
        <v>0</v>
      </c>
      <c r="FM37">
        <f>SUM('7'!DG273:DG277)</f>
        <v>0</v>
      </c>
      <c r="FN37" t="s">
        <v>3847</v>
      </c>
      <c r="FO37">
        <f t="shared" si="96"/>
        <v>0</v>
      </c>
      <c r="FP37" t="s">
        <v>3848</v>
      </c>
      <c r="FQ37">
        <f t="shared" si="97"/>
        <v>0</v>
      </c>
      <c r="FR37" t="s">
        <v>3849</v>
      </c>
      <c r="FS37">
        <f t="shared" si="98"/>
        <v>0</v>
      </c>
      <c r="FT37" t="s">
        <v>3850</v>
      </c>
      <c r="FU37">
        <f t="shared" si="99"/>
        <v>0</v>
      </c>
      <c r="FV37" t="s">
        <v>3851</v>
      </c>
      <c r="FW37">
        <f t="shared" si="100"/>
        <v>0</v>
      </c>
      <c r="FX37" t="s">
        <v>3852</v>
      </c>
      <c r="FY37">
        <f t="shared" si="101"/>
        <v>0</v>
      </c>
      <c r="FZ37" t="s">
        <v>3853</v>
      </c>
      <c r="GA37">
        <f t="shared" si="102"/>
        <v>0</v>
      </c>
      <c r="GB37" t="s">
        <v>3854</v>
      </c>
      <c r="GC37">
        <f t="shared" si="103"/>
        <v>0</v>
      </c>
      <c r="GD37" t="s">
        <v>3855</v>
      </c>
      <c r="GE37">
        <f t="shared" si="104"/>
        <v>0</v>
      </c>
      <c r="GF37" t="s">
        <v>3856</v>
      </c>
      <c r="GG37">
        <f t="shared" si="105"/>
        <v>0</v>
      </c>
      <c r="GH37" t="s">
        <v>3857</v>
      </c>
      <c r="GI37">
        <f t="shared" si="106"/>
        <v>0</v>
      </c>
      <c r="GJ37" t="s">
        <v>3858</v>
      </c>
      <c r="GK37">
        <f t="shared" si="107"/>
        <v>0</v>
      </c>
      <c r="GL37" t="s">
        <v>3859</v>
      </c>
      <c r="GM37">
        <f t="shared" si="108"/>
        <v>0</v>
      </c>
      <c r="GN37" t="s">
        <v>3860</v>
      </c>
      <c r="GO37">
        <f t="shared" si="109"/>
        <v>0</v>
      </c>
      <c r="GP37" t="s">
        <v>3861</v>
      </c>
      <c r="GQ37">
        <f t="shared" si="110"/>
        <v>0</v>
      </c>
      <c r="GR37" t="s">
        <v>3862</v>
      </c>
      <c r="GS37">
        <f t="shared" si="111"/>
        <v>0</v>
      </c>
      <c r="GT37" t="s">
        <v>3863</v>
      </c>
      <c r="GU37">
        <f t="shared" si="112"/>
        <v>0</v>
      </c>
      <c r="GV37" t="s">
        <v>3864</v>
      </c>
      <c r="GW37">
        <f t="shared" si="113"/>
        <v>0</v>
      </c>
      <c r="GX37" t="s">
        <v>3865</v>
      </c>
      <c r="GY37">
        <f t="shared" si="114"/>
        <v>0</v>
      </c>
      <c r="GZ37" t="s">
        <v>3866</v>
      </c>
      <c r="HA37">
        <f t="shared" si="115"/>
        <v>0</v>
      </c>
      <c r="HB37" t="s">
        <v>3867</v>
      </c>
      <c r="HC37">
        <f t="shared" si="116"/>
        <v>0</v>
      </c>
      <c r="HD37" t="s">
        <v>3868</v>
      </c>
      <c r="HE37">
        <f t="shared" si="117"/>
        <v>0</v>
      </c>
      <c r="HF37" t="s">
        <v>3869</v>
      </c>
      <c r="HG37">
        <f t="shared" si="118"/>
        <v>0</v>
      </c>
      <c r="HH37" t="s">
        <v>3870</v>
      </c>
      <c r="HI37">
        <f t="shared" si="119"/>
        <v>0</v>
      </c>
      <c r="HJ37" t="s">
        <v>3871</v>
      </c>
      <c r="HK37">
        <f t="shared" si="120"/>
        <v>0</v>
      </c>
      <c r="HL37" t="s">
        <v>3872</v>
      </c>
      <c r="HM37">
        <f t="shared" si="121"/>
        <v>0</v>
      </c>
      <c r="HN37" t="s">
        <v>3873</v>
      </c>
      <c r="HO37">
        <f t="shared" si="122"/>
        <v>0</v>
      </c>
      <c r="HP37" t="s">
        <v>3874</v>
      </c>
      <c r="HQ37">
        <f t="shared" si="123"/>
        <v>0</v>
      </c>
      <c r="HR37" t="s">
        <v>3875</v>
      </c>
      <c r="HS37">
        <f t="shared" si="124"/>
        <v>0</v>
      </c>
      <c r="HT37" t="s">
        <v>3876</v>
      </c>
      <c r="HU37">
        <f t="shared" si="125"/>
        <v>0</v>
      </c>
      <c r="HV37" t="s">
        <v>3877</v>
      </c>
      <c r="HW37">
        <f t="shared" si="126"/>
        <v>0</v>
      </c>
      <c r="HX37" t="s">
        <v>3878</v>
      </c>
      <c r="HY37">
        <f t="shared" si="127"/>
        <v>0</v>
      </c>
      <c r="HZ37" t="s">
        <v>3879</v>
      </c>
      <c r="IA37">
        <f t="shared" si="128"/>
        <v>0</v>
      </c>
      <c r="IB37" t="s">
        <v>3880</v>
      </c>
      <c r="IC37">
        <f t="shared" si="129"/>
        <v>0</v>
      </c>
      <c r="ID37" t="s">
        <v>3881</v>
      </c>
      <c r="IE37">
        <f t="shared" si="130"/>
        <v>0</v>
      </c>
      <c r="IF37" t="s">
        <v>3882</v>
      </c>
      <c r="IG37">
        <f t="shared" si="131"/>
        <v>0</v>
      </c>
      <c r="IH37" t="s">
        <v>3883</v>
      </c>
      <c r="II37">
        <f t="shared" si="132"/>
        <v>0</v>
      </c>
      <c r="IJ37" t="s">
        <v>3884</v>
      </c>
      <c r="IK37">
        <f t="shared" si="133"/>
        <v>0</v>
      </c>
      <c r="IL37" t="s">
        <v>3885</v>
      </c>
      <c r="IM37">
        <f t="shared" si="134"/>
        <v>0</v>
      </c>
      <c r="IN37" t="s">
        <v>3886</v>
      </c>
      <c r="IO37">
        <f t="shared" si="135"/>
        <v>0</v>
      </c>
      <c r="IP37" t="s">
        <v>3887</v>
      </c>
      <c r="IQ37">
        <f t="shared" si="136"/>
        <v>0</v>
      </c>
      <c r="IR37" t="s">
        <v>3888</v>
      </c>
      <c r="IS37">
        <f t="shared" si="137"/>
        <v>0</v>
      </c>
      <c r="IT37" t="s">
        <v>3889</v>
      </c>
      <c r="IU37">
        <f t="shared" si="138"/>
        <v>0</v>
      </c>
      <c r="IV37" t="s">
        <v>3890</v>
      </c>
      <c r="IW37">
        <f t="shared" si="139"/>
        <v>0</v>
      </c>
      <c r="IX37" t="s">
        <v>3891</v>
      </c>
      <c r="IY37">
        <f t="shared" si="140"/>
        <v>0</v>
      </c>
      <c r="IZ37" t="s">
        <v>3892</v>
      </c>
      <c r="JA37">
        <f t="shared" si="141"/>
        <v>0</v>
      </c>
      <c r="JB37" t="s">
        <v>3893</v>
      </c>
      <c r="JC37">
        <f t="shared" si="142"/>
        <v>0</v>
      </c>
      <c r="JD37" t="s">
        <v>3894</v>
      </c>
      <c r="JE37">
        <f t="shared" si="143"/>
        <v>0</v>
      </c>
      <c r="JF37" t="s">
        <v>3895</v>
      </c>
      <c r="JG37">
        <f t="shared" si="144"/>
        <v>0</v>
      </c>
      <c r="JH37" t="s">
        <v>3896</v>
      </c>
      <c r="JI37">
        <f t="shared" si="145"/>
        <v>0</v>
      </c>
      <c r="JJ37" t="s">
        <v>3897</v>
      </c>
      <c r="JK37">
        <f t="shared" si="146"/>
        <v>0</v>
      </c>
      <c r="JL37" t="s">
        <v>3898</v>
      </c>
      <c r="JM37">
        <f t="shared" si="147"/>
        <v>0</v>
      </c>
      <c r="JN37" t="s">
        <v>3899</v>
      </c>
      <c r="JO37">
        <f t="shared" si="148"/>
        <v>0</v>
      </c>
      <c r="JP37" t="s">
        <v>3900</v>
      </c>
      <c r="JQ37">
        <f t="shared" si="149"/>
        <v>0</v>
      </c>
      <c r="JR37" t="s">
        <v>3901</v>
      </c>
      <c r="JS37">
        <f t="shared" si="150"/>
        <v>0</v>
      </c>
      <c r="JT37" t="s">
        <v>3902</v>
      </c>
      <c r="JU37">
        <f t="shared" si="151"/>
        <v>0</v>
      </c>
      <c r="JV37" t="s">
        <v>3903</v>
      </c>
      <c r="JW37">
        <f t="shared" si="152"/>
        <v>0</v>
      </c>
      <c r="JX37" t="s">
        <v>3904</v>
      </c>
      <c r="JY37">
        <f t="shared" si="153"/>
        <v>0</v>
      </c>
      <c r="JZ37" t="s">
        <v>3905</v>
      </c>
      <c r="KA37">
        <f t="shared" si="154"/>
        <v>0</v>
      </c>
      <c r="KB37" t="s">
        <v>3906</v>
      </c>
      <c r="KC37">
        <f t="shared" si="155"/>
        <v>0</v>
      </c>
      <c r="KD37" t="s">
        <v>3907</v>
      </c>
      <c r="KE37">
        <f t="shared" si="156"/>
        <v>0</v>
      </c>
      <c r="KF37" t="s">
        <v>3908</v>
      </c>
      <c r="KG37">
        <f t="shared" si="157"/>
        <v>0</v>
      </c>
      <c r="KH37" t="s">
        <v>3909</v>
      </c>
      <c r="KI37">
        <f t="shared" si="158"/>
        <v>0</v>
      </c>
      <c r="KJ37" t="s">
        <v>3910</v>
      </c>
      <c r="KK37">
        <f t="shared" si="159"/>
        <v>0</v>
      </c>
      <c r="KL37" t="s">
        <v>3911</v>
      </c>
      <c r="KM37">
        <f t="shared" si="160"/>
        <v>0</v>
      </c>
      <c r="KN37" t="s">
        <v>3912</v>
      </c>
      <c r="KO37">
        <f t="shared" si="161"/>
        <v>0</v>
      </c>
      <c r="KP37" t="s">
        <v>3913</v>
      </c>
      <c r="KQ37">
        <f t="shared" si="162"/>
        <v>0</v>
      </c>
      <c r="KR37" t="s">
        <v>3914</v>
      </c>
      <c r="KS37">
        <f t="shared" si="163"/>
        <v>0</v>
      </c>
      <c r="KT37" t="s">
        <v>3915</v>
      </c>
      <c r="KU37">
        <f t="shared" si="164"/>
        <v>0</v>
      </c>
      <c r="KV37" t="s">
        <v>3916</v>
      </c>
      <c r="KW37">
        <f t="shared" si="165"/>
        <v>0</v>
      </c>
      <c r="KX37" t="s">
        <v>3917</v>
      </c>
      <c r="KY37">
        <f t="shared" si="166"/>
        <v>0</v>
      </c>
      <c r="KZ37" t="s">
        <v>3918</v>
      </c>
      <c r="LA37">
        <f t="shared" si="167"/>
        <v>0</v>
      </c>
      <c r="LB37" t="s">
        <v>3919</v>
      </c>
      <c r="LC37">
        <f t="shared" si="168"/>
        <v>0</v>
      </c>
      <c r="LD37" t="s">
        <v>3920</v>
      </c>
      <c r="LE37">
        <f t="shared" si="169"/>
        <v>0</v>
      </c>
      <c r="LF37" t="s">
        <v>3921</v>
      </c>
      <c r="LG37">
        <f t="shared" si="170"/>
        <v>0</v>
      </c>
      <c r="LH37" t="s">
        <v>3922</v>
      </c>
      <c r="LI37">
        <f t="shared" si="171"/>
        <v>0</v>
      </c>
      <c r="LJ37" t="s">
        <v>3923</v>
      </c>
      <c r="LK37">
        <f t="shared" si="172"/>
        <v>0</v>
      </c>
      <c r="LL37" t="s">
        <v>3924</v>
      </c>
      <c r="LM37">
        <f t="shared" si="173"/>
        <v>0</v>
      </c>
      <c r="LN37" t="s">
        <v>3925</v>
      </c>
      <c r="LO37">
        <f t="shared" si="174"/>
        <v>0</v>
      </c>
      <c r="LP37" t="s">
        <v>3926</v>
      </c>
      <c r="LQ37">
        <f t="shared" si="175"/>
        <v>0</v>
      </c>
      <c r="LR37" t="s">
        <v>3927</v>
      </c>
      <c r="LS37">
        <f t="shared" si="176"/>
        <v>0</v>
      </c>
      <c r="LT37" t="s">
        <v>3928</v>
      </c>
      <c r="LU37">
        <f t="shared" si="177"/>
        <v>0</v>
      </c>
      <c r="LV37" t="s">
        <v>3929</v>
      </c>
      <c r="LW37">
        <f t="shared" si="178"/>
        <v>0</v>
      </c>
      <c r="LX37" t="s">
        <v>3930</v>
      </c>
      <c r="LY37">
        <f t="shared" si="179"/>
        <v>0</v>
      </c>
      <c r="LZ37">
        <f>'6'!B140</f>
        <v>0</v>
      </c>
      <c r="MA37">
        <f>'6'!C140</f>
        <v>0</v>
      </c>
      <c r="MB37">
        <f>'6'!D140</f>
        <v>0</v>
      </c>
      <c r="MC37">
        <f>'6'!E140</f>
        <v>0</v>
      </c>
      <c r="MD37">
        <f>'6'!F140</f>
        <v>0</v>
      </c>
      <c r="ME37">
        <f>'6'!G140</f>
        <v>0</v>
      </c>
      <c r="MF37">
        <f>'6'!H140</f>
        <v>0</v>
      </c>
      <c r="MG37">
        <f>'6'!I140</f>
        <v>0</v>
      </c>
      <c r="MH37">
        <f>'6'!J140</f>
        <v>0</v>
      </c>
      <c r="MI37">
        <f>'6'!K140</f>
        <v>0</v>
      </c>
      <c r="MJ37">
        <f>'6'!L140</f>
        <v>0</v>
      </c>
      <c r="MK37">
        <f>'6'!M140</f>
        <v>0</v>
      </c>
      <c r="ML37" s="13">
        <f>'7'!B271</f>
        <v>0</v>
      </c>
      <c r="MM37" s="13">
        <f>'7'!C271</f>
        <v>0</v>
      </c>
      <c r="MN37" s="13">
        <f>'7'!D271</f>
        <v>0</v>
      </c>
      <c r="MO37" s="13">
        <f>'7'!E271</f>
        <v>0</v>
      </c>
      <c r="MP37" s="13">
        <f>'7'!F271</f>
        <v>0</v>
      </c>
      <c r="MQ37" s="13">
        <f>'7'!G271</f>
        <v>0</v>
      </c>
      <c r="MR37" s="13">
        <f>'7'!H271</f>
        <v>0</v>
      </c>
      <c r="MS37" s="13">
        <f>'7'!I271</f>
        <v>0</v>
      </c>
      <c r="MT37" s="13">
        <f>'7'!J271</f>
        <v>0</v>
      </c>
      <c r="MU37" s="13">
        <f>'7'!K271</f>
        <v>0</v>
      </c>
      <c r="MV37" s="13">
        <f>'7'!L271</f>
        <v>0</v>
      </c>
      <c r="MW37" s="13">
        <f>'7'!M271</f>
        <v>0</v>
      </c>
      <c r="MX37" s="13" t="s">
        <v>3931</v>
      </c>
      <c r="MY37">
        <f t="shared" si="180"/>
        <v>0</v>
      </c>
      <c r="MZ37" s="13" t="s">
        <v>3932</v>
      </c>
      <c r="NA37">
        <f t="shared" si="181"/>
        <v>0</v>
      </c>
      <c r="NB37" s="13" t="s">
        <v>3933</v>
      </c>
      <c r="NC37">
        <f t="shared" si="182"/>
        <v>0</v>
      </c>
      <c r="ND37" s="13" t="s">
        <v>3934</v>
      </c>
      <c r="NE37">
        <f t="shared" si="183"/>
        <v>0</v>
      </c>
      <c r="NF37" s="13" t="s">
        <v>3935</v>
      </c>
      <c r="NG37">
        <f t="shared" si="184"/>
        <v>0</v>
      </c>
      <c r="NH37" s="13" t="s">
        <v>3936</v>
      </c>
      <c r="NI37">
        <f t="shared" si="185"/>
        <v>0</v>
      </c>
      <c r="NJ37" s="13" t="s">
        <v>3937</v>
      </c>
      <c r="NK37">
        <f t="shared" si="186"/>
        <v>0</v>
      </c>
      <c r="NL37" s="13" t="s">
        <v>3938</v>
      </c>
      <c r="NM37">
        <f t="shared" si="187"/>
        <v>0</v>
      </c>
      <c r="NN37" s="13" t="s">
        <v>3939</v>
      </c>
      <c r="NO37">
        <f t="shared" si="188"/>
        <v>0</v>
      </c>
      <c r="NP37" s="13" t="s">
        <v>3940</v>
      </c>
      <c r="NQ37">
        <f t="shared" si="189"/>
        <v>0</v>
      </c>
      <c r="NR37" s="13" t="s">
        <v>3941</v>
      </c>
      <c r="NS37">
        <f t="shared" si="190"/>
        <v>0</v>
      </c>
      <c r="NT37" s="13" t="s">
        <v>3942</v>
      </c>
      <c r="NU37">
        <f t="shared" si="191"/>
        <v>0</v>
      </c>
      <c r="NV37" s="13"/>
    </row>
    <row r="38" spans="1:386" customFormat="1" x14ac:dyDescent="0.25">
      <c r="A38">
        <v>35</v>
      </c>
      <c r="B38">
        <f>'6'!AB143</f>
        <v>0</v>
      </c>
      <c r="C38">
        <f>'6'!AC143</f>
        <v>0</v>
      </c>
      <c r="D38">
        <f>'6'!AD143</f>
        <v>0</v>
      </c>
      <c r="E38">
        <f>'6'!AE143</f>
        <v>0</v>
      </c>
      <c r="F38">
        <f>'6'!AF143</f>
        <v>0</v>
      </c>
      <c r="G38">
        <f>'6'!AG143</f>
        <v>0</v>
      </c>
      <c r="H38">
        <f>'6'!AH143</f>
        <v>0</v>
      </c>
      <c r="I38">
        <f>'6'!AI143</f>
        <v>0</v>
      </c>
      <c r="J38">
        <f>'6'!AJ143</f>
        <v>0</v>
      </c>
      <c r="K38">
        <f>'6'!AK143</f>
        <v>0</v>
      </c>
      <c r="L38">
        <f>'6'!AL143</f>
        <v>0</v>
      </c>
      <c r="M38">
        <f>'6'!AM143</f>
        <v>0</v>
      </c>
      <c r="N38">
        <f>'6'!AN143</f>
        <v>0</v>
      </c>
      <c r="O38">
        <f>'6'!AO143</f>
        <v>0</v>
      </c>
      <c r="P38">
        <f>'6'!AP143</f>
        <v>0</v>
      </c>
      <c r="Q38">
        <f>'6'!AQ143</f>
        <v>0</v>
      </c>
      <c r="R38">
        <f>'6'!AR143</f>
        <v>0</v>
      </c>
      <c r="S38">
        <f>'6'!AS143</f>
        <v>0</v>
      </c>
      <c r="T38">
        <f>'6'!AT143</f>
        <v>0</v>
      </c>
      <c r="U38">
        <f>'6'!AU143</f>
        <v>0</v>
      </c>
      <c r="V38">
        <f>'6'!AV143</f>
        <v>0</v>
      </c>
      <c r="W38">
        <f>'6'!AW143</f>
        <v>0</v>
      </c>
      <c r="X38">
        <f>'6'!AX143</f>
        <v>0</v>
      </c>
      <c r="Y38">
        <f>'6'!AY143</f>
        <v>0</v>
      </c>
      <c r="Z38">
        <f>'6'!AZ143</f>
        <v>0</v>
      </c>
      <c r="AA38">
        <f>'6'!BA143</f>
        <v>0</v>
      </c>
      <c r="AB38">
        <f>'6'!BB143</f>
        <v>0</v>
      </c>
      <c r="AC38">
        <f>'6'!BC143</f>
        <v>0</v>
      </c>
      <c r="AD38">
        <f>'6'!BD143</f>
        <v>0</v>
      </c>
      <c r="AE38">
        <f>'6'!BE143</f>
        <v>0</v>
      </c>
      <c r="AF38">
        <f>'6'!BF143</f>
        <v>0</v>
      </c>
      <c r="AG38">
        <f>'6'!BG143</f>
        <v>0</v>
      </c>
      <c r="AH38">
        <f>'6'!BH143</f>
        <v>0</v>
      </c>
      <c r="AI38">
        <f>'6'!BI143</f>
        <v>0</v>
      </c>
      <c r="AJ38">
        <f>'6'!BJ143</f>
        <v>0</v>
      </c>
      <c r="AK38">
        <f>'6'!BK143</f>
        <v>0</v>
      </c>
      <c r="AL38">
        <f>'6'!BL143</f>
        <v>0</v>
      </c>
      <c r="AM38">
        <f>'6'!BM143</f>
        <v>0</v>
      </c>
      <c r="AN38">
        <f>'6'!BN143</f>
        <v>0</v>
      </c>
      <c r="AO38">
        <f>'6'!BO143</f>
        <v>0</v>
      </c>
      <c r="AP38">
        <f>'6'!BP143</f>
        <v>0</v>
      </c>
      <c r="AQ38">
        <f>'6'!BQ143</f>
        <v>0</v>
      </c>
      <c r="AR38">
        <f>'6'!BR143</f>
        <v>0</v>
      </c>
      <c r="AS38">
        <f>'6'!BS143</f>
        <v>0</v>
      </c>
      <c r="AT38">
        <f>'6'!BT143</f>
        <v>0</v>
      </c>
      <c r="AU38">
        <f>'6'!BU143</f>
        <v>0</v>
      </c>
      <c r="AV38">
        <f>'6'!BV143</f>
        <v>0</v>
      </c>
      <c r="AW38">
        <f>'6'!BW143</f>
        <v>0</v>
      </c>
      <c r="AX38">
        <f>'6'!BX143</f>
        <v>0</v>
      </c>
      <c r="AY38">
        <f>'6'!BY143</f>
        <v>0</v>
      </c>
      <c r="AZ38">
        <f>'6'!BZ143</f>
        <v>0</v>
      </c>
      <c r="BA38">
        <f>'6'!CA143</f>
        <v>0</v>
      </c>
      <c r="BB38">
        <f>'6'!CB143</f>
        <v>0</v>
      </c>
      <c r="BC38">
        <f>'6'!CC143</f>
        <v>0</v>
      </c>
      <c r="BD38">
        <f>'6'!CD143</f>
        <v>0</v>
      </c>
      <c r="BE38">
        <f>'6'!CE143</f>
        <v>0</v>
      </c>
      <c r="BF38">
        <f>'6'!CF143</f>
        <v>0</v>
      </c>
      <c r="BG38">
        <f>'6'!CG143</f>
        <v>0</v>
      </c>
      <c r="BH38">
        <f>'6'!CH143</f>
        <v>0</v>
      </c>
      <c r="BI38">
        <f>'6'!CI143</f>
        <v>0</v>
      </c>
      <c r="BJ38">
        <f>'6'!CJ143</f>
        <v>0</v>
      </c>
      <c r="BK38">
        <f>'6'!CK143</f>
        <v>0</v>
      </c>
      <c r="BL38">
        <f>'6'!CL143</f>
        <v>0</v>
      </c>
      <c r="BM38">
        <f>'6'!CM143</f>
        <v>0</v>
      </c>
      <c r="BN38">
        <f>'6'!CN143</f>
        <v>0</v>
      </c>
      <c r="BO38">
        <f>'6'!CO143</f>
        <v>0</v>
      </c>
      <c r="BP38">
        <f>'6'!CP143</f>
        <v>0</v>
      </c>
      <c r="BQ38">
        <f>'6'!CQ143</f>
        <v>0</v>
      </c>
      <c r="BR38">
        <f>'6'!CR143</f>
        <v>0</v>
      </c>
      <c r="BS38">
        <f>'6'!CS143</f>
        <v>0</v>
      </c>
      <c r="BT38">
        <f>'6'!CT143</f>
        <v>0</v>
      </c>
      <c r="BU38">
        <f>'6'!CU143</f>
        <v>0</v>
      </c>
      <c r="BV38">
        <f>'6'!CV143</f>
        <v>0</v>
      </c>
      <c r="BW38">
        <f>'6'!CW143</f>
        <v>0</v>
      </c>
      <c r="BX38">
        <f>'6'!CX143</f>
        <v>0</v>
      </c>
      <c r="BY38">
        <f>'6'!CY143</f>
        <v>0</v>
      </c>
      <c r="BZ38">
        <f>'6'!CZ143</f>
        <v>0</v>
      </c>
      <c r="CA38">
        <f>'6'!DA143</f>
        <v>0</v>
      </c>
      <c r="CB38">
        <f>'6'!DB143</f>
        <v>0</v>
      </c>
      <c r="CC38">
        <f>'6'!DC143</f>
        <v>0</v>
      </c>
      <c r="CD38">
        <f>'6'!DD143</f>
        <v>0</v>
      </c>
      <c r="CE38">
        <f>'6'!DE143</f>
        <v>0</v>
      </c>
      <c r="CF38">
        <f>'6'!DF143</f>
        <v>0</v>
      </c>
      <c r="CG38">
        <f>'6'!DG143</f>
        <v>0</v>
      </c>
      <c r="CH38">
        <f>SUM('7'!AB281:AB285)</f>
        <v>0</v>
      </c>
      <c r="CI38">
        <f>SUM('7'!AC281:AC285)</f>
        <v>0</v>
      </c>
      <c r="CJ38">
        <f>SUM('7'!AD281:AD285)</f>
        <v>0</v>
      </c>
      <c r="CK38">
        <f>SUM('7'!AE281:AE285)</f>
        <v>0</v>
      </c>
      <c r="CL38">
        <f>SUM('7'!AF281:AF285)</f>
        <v>0</v>
      </c>
      <c r="CM38">
        <f>SUM('7'!AG281:AG285)</f>
        <v>0</v>
      </c>
      <c r="CN38">
        <f>SUM('7'!AH281:AH285)</f>
        <v>0</v>
      </c>
      <c r="CO38">
        <f>SUM('7'!AI281:AI285)</f>
        <v>0</v>
      </c>
      <c r="CP38">
        <f>SUM('7'!AJ281:AJ285)</f>
        <v>0</v>
      </c>
      <c r="CQ38">
        <f>SUM('7'!AK281:AK285)</f>
        <v>0</v>
      </c>
      <c r="CR38">
        <f>SUM('7'!AL281:AL285)</f>
        <v>0</v>
      </c>
      <c r="CS38">
        <f>SUM('7'!AM281:AM285)</f>
        <v>0</v>
      </c>
      <c r="CT38">
        <f>SUM('7'!AN281:AN285)</f>
        <v>0</v>
      </c>
      <c r="CU38">
        <f>SUM('7'!AO281:AO285)</f>
        <v>0</v>
      </c>
      <c r="CV38">
        <f>SUM('7'!AP281:AP285)</f>
        <v>0</v>
      </c>
      <c r="CW38">
        <f>SUM('7'!AQ281:AQ285)</f>
        <v>0</v>
      </c>
      <c r="CX38">
        <f>SUM('7'!AR281:AR285)</f>
        <v>0</v>
      </c>
      <c r="CY38">
        <f>SUM('7'!AS281:AS285)</f>
        <v>0</v>
      </c>
      <c r="CZ38">
        <f>SUM('7'!AT281:AT285)</f>
        <v>0</v>
      </c>
      <c r="DA38">
        <f>SUM('7'!AU281:AU285)</f>
        <v>0</v>
      </c>
      <c r="DB38">
        <f>SUM('7'!AV281:AV285)</f>
        <v>0</v>
      </c>
      <c r="DC38">
        <f>SUM('7'!AW281:AW285)</f>
        <v>0</v>
      </c>
      <c r="DD38">
        <f>SUM('7'!AX281:AX285)</f>
        <v>0</v>
      </c>
      <c r="DE38">
        <f>SUM('7'!AY281:AY285)</f>
        <v>0</v>
      </c>
      <c r="DF38">
        <f>SUM('7'!AZ281:AZ285)</f>
        <v>0</v>
      </c>
      <c r="DG38">
        <f>SUM('7'!BA281:BA285)</f>
        <v>0</v>
      </c>
      <c r="DH38">
        <f>SUM('7'!BB281:BB285)</f>
        <v>0</v>
      </c>
      <c r="DI38">
        <f>SUM('7'!BC281:BC285)</f>
        <v>0</v>
      </c>
      <c r="DJ38">
        <f>SUM('7'!BD281:BD285)</f>
        <v>0</v>
      </c>
      <c r="DK38">
        <f>SUM('7'!BE281:BE285)</f>
        <v>0</v>
      </c>
      <c r="DL38">
        <f>SUM('7'!BF281:BF285)</f>
        <v>0</v>
      </c>
      <c r="DM38">
        <f>SUM('7'!BG281:BG285)</f>
        <v>0</v>
      </c>
      <c r="DN38">
        <f>SUM('7'!BH281:BH285)</f>
        <v>0</v>
      </c>
      <c r="DO38">
        <f>SUM('7'!BI281:BI285)</f>
        <v>0</v>
      </c>
      <c r="DP38">
        <f>SUM('7'!BJ281:BJ285)</f>
        <v>0</v>
      </c>
      <c r="DQ38">
        <f>SUM('7'!BK281:BK285)</f>
        <v>0</v>
      </c>
      <c r="DR38">
        <f>SUM('7'!BL281:BL285)</f>
        <v>0</v>
      </c>
      <c r="DS38">
        <f>SUM('7'!BM281:BM285)</f>
        <v>0</v>
      </c>
      <c r="DT38">
        <f>SUM('7'!BN281:BN285)</f>
        <v>0</v>
      </c>
      <c r="DU38">
        <f>SUM('7'!BO281:BO285)</f>
        <v>0</v>
      </c>
      <c r="DV38">
        <f>SUM('7'!BP281:BP285)</f>
        <v>0</v>
      </c>
      <c r="DW38">
        <f>SUM('7'!BQ281:BQ285)</f>
        <v>0</v>
      </c>
      <c r="DX38">
        <f>SUM('7'!BR281:BR285)</f>
        <v>0</v>
      </c>
      <c r="DY38">
        <f>SUM('7'!BS281:BS285)</f>
        <v>0</v>
      </c>
      <c r="DZ38">
        <f>SUM('7'!BT281:BT285)</f>
        <v>0</v>
      </c>
      <c r="EA38">
        <f>SUM('7'!BU281:BU285)</f>
        <v>0</v>
      </c>
      <c r="EB38">
        <f>SUM('7'!BV281:BV285)</f>
        <v>0</v>
      </c>
      <c r="EC38">
        <f>SUM('7'!BW281:BW285)</f>
        <v>0</v>
      </c>
      <c r="ED38">
        <f>SUM('7'!BX281:BX285)</f>
        <v>0</v>
      </c>
      <c r="EE38">
        <f>SUM('7'!BY281:BY285)</f>
        <v>0</v>
      </c>
      <c r="EF38">
        <f>SUM('7'!BZ281:BZ285)</f>
        <v>0</v>
      </c>
      <c r="EG38">
        <f>SUM('7'!CA281:CA285)</f>
        <v>0</v>
      </c>
      <c r="EH38">
        <f>SUM('7'!CB281:CB285)</f>
        <v>0</v>
      </c>
      <c r="EI38">
        <f>SUM('7'!CC281:CC285)</f>
        <v>0</v>
      </c>
      <c r="EJ38">
        <f>SUM('7'!CD281:CD285)</f>
        <v>0</v>
      </c>
      <c r="EK38">
        <f>SUM('7'!CE281:CE285)</f>
        <v>0</v>
      </c>
      <c r="EL38">
        <f>SUM('7'!CF281:CF285)</f>
        <v>0</v>
      </c>
      <c r="EM38">
        <f>SUM('7'!CG281:CG285)</f>
        <v>0</v>
      </c>
      <c r="EN38">
        <f>SUM('7'!CH281:CH285)</f>
        <v>0</v>
      </c>
      <c r="EO38">
        <f>SUM('7'!CI281:CI285)</f>
        <v>0</v>
      </c>
      <c r="EP38">
        <f>SUM('7'!CJ281:CJ285)</f>
        <v>0</v>
      </c>
      <c r="EQ38">
        <f>SUM('7'!CK281:CK285)</f>
        <v>0</v>
      </c>
      <c r="ER38">
        <f>SUM('7'!CL281:CL285)</f>
        <v>0</v>
      </c>
      <c r="ES38">
        <f>SUM('7'!CM281:CM285)</f>
        <v>0</v>
      </c>
      <c r="ET38">
        <f>SUM('7'!CN281:CN285)</f>
        <v>0</v>
      </c>
      <c r="EU38">
        <f>SUM('7'!CO281:CO285)</f>
        <v>0</v>
      </c>
      <c r="EV38">
        <f>SUM('7'!CP281:CP285)</f>
        <v>0</v>
      </c>
      <c r="EW38">
        <f>SUM('7'!CQ281:CQ285)</f>
        <v>0</v>
      </c>
      <c r="EX38">
        <f>SUM('7'!CR281:CR285)</f>
        <v>0</v>
      </c>
      <c r="EY38">
        <f>SUM('7'!CS281:CS285)</f>
        <v>0</v>
      </c>
      <c r="EZ38">
        <f>SUM('7'!CT281:CT285)</f>
        <v>0</v>
      </c>
      <c r="FA38">
        <f>SUM('7'!CU281:CU285)</f>
        <v>0</v>
      </c>
      <c r="FB38">
        <f>SUM('7'!CV281:CV285)</f>
        <v>0</v>
      </c>
      <c r="FC38">
        <f>SUM('7'!CW281:CW285)</f>
        <v>0</v>
      </c>
      <c r="FD38">
        <f>SUM('7'!CX281:CX285)</f>
        <v>0</v>
      </c>
      <c r="FE38">
        <f>SUM('7'!CY281:CY285)</f>
        <v>0</v>
      </c>
      <c r="FF38">
        <f>SUM('7'!CZ281:CZ285)</f>
        <v>0</v>
      </c>
      <c r="FG38">
        <f>SUM('7'!DA281:DA285)</f>
        <v>0</v>
      </c>
      <c r="FH38">
        <f>SUM('7'!DB281:DB285)</f>
        <v>0</v>
      </c>
      <c r="FI38">
        <f>SUM('7'!DC281:DC285)</f>
        <v>0</v>
      </c>
      <c r="FJ38">
        <f>SUM('7'!DD281:DD285)</f>
        <v>0</v>
      </c>
      <c r="FK38">
        <f>SUM('7'!DE281:DE285)</f>
        <v>0</v>
      </c>
      <c r="FL38">
        <f>SUM('7'!DF281:DF285)</f>
        <v>0</v>
      </c>
      <c r="FM38">
        <f>SUM('7'!DG281:DG285)</f>
        <v>0</v>
      </c>
      <c r="FN38" t="s">
        <v>3943</v>
      </c>
      <c r="FO38">
        <f t="shared" si="96"/>
        <v>0</v>
      </c>
      <c r="FP38" t="s">
        <v>3944</v>
      </c>
      <c r="FQ38">
        <f t="shared" si="97"/>
        <v>0</v>
      </c>
      <c r="FR38" t="s">
        <v>3945</v>
      </c>
      <c r="FS38">
        <f t="shared" si="98"/>
        <v>0</v>
      </c>
      <c r="FT38" t="s">
        <v>3946</v>
      </c>
      <c r="FU38">
        <f t="shared" si="99"/>
        <v>0</v>
      </c>
      <c r="FV38" t="s">
        <v>3947</v>
      </c>
      <c r="FW38">
        <f t="shared" si="100"/>
        <v>0</v>
      </c>
      <c r="FX38" t="s">
        <v>3948</v>
      </c>
      <c r="FY38">
        <f t="shared" si="101"/>
        <v>0</v>
      </c>
      <c r="FZ38" t="s">
        <v>3949</v>
      </c>
      <c r="GA38">
        <f t="shared" si="102"/>
        <v>0</v>
      </c>
      <c r="GB38" t="s">
        <v>3950</v>
      </c>
      <c r="GC38">
        <f t="shared" si="103"/>
        <v>0</v>
      </c>
      <c r="GD38" t="s">
        <v>3951</v>
      </c>
      <c r="GE38">
        <f t="shared" si="104"/>
        <v>0</v>
      </c>
      <c r="GF38" t="s">
        <v>3952</v>
      </c>
      <c r="GG38">
        <f t="shared" si="105"/>
        <v>0</v>
      </c>
      <c r="GH38" t="s">
        <v>3953</v>
      </c>
      <c r="GI38">
        <f t="shared" si="106"/>
        <v>0</v>
      </c>
      <c r="GJ38" t="s">
        <v>3954</v>
      </c>
      <c r="GK38">
        <f t="shared" si="107"/>
        <v>0</v>
      </c>
      <c r="GL38" t="s">
        <v>3955</v>
      </c>
      <c r="GM38">
        <f t="shared" si="108"/>
        <v>0</v>
      </c>
      <c r="GN38" t="s">
        <v>3956</v>
      </c>
      <c r="GO38">
        <f t="shared" si="109"/>
        <v>0</v>
      </c>
      <c r="GP38" t="s">
        <v>3957</v>
      </c>
      <c r="GQ38">
        <f t="shared" si="110"/>
        <v>0</v>
      </c>
      <c r="GR38" t="s">
        <v>3958</v>
      </c>
      <c r="GS38">
        <f t="shared" si="111"/>
        <v>0</v>
      </c>
      <c r="GT38" t="s">
        <v>3959</v>
      </c>
      <c r="GU38">
        <f t="shared" si="112"/>
        <v>0</v>
      </c>
      <c r="GV38" t="s">
        <v>3960</v>
      </c>
      <c r="GW38">
        <f t="shared" si="113"/>
        <v>0</v>
      </c>
      <c r="GX38" t="s">
        <v>3961</v>
      </c>
      <c r="GY38">
        <f t="shared" si="114"/>
        <v>0</v>
      </c>
      <c r="GZ38" t="s">
        <v>3962</v>
      </c>
      <c r="HA38">
        <f t="shared" si="115"/>
        <v>0</v>
      </c>
      <c r="HB38" t="s">
        <v>3963</v>
      </c>
      <c r="HC38">
        <f t="shared" si="116"/>
        <v>0</v>
      </c>
      <c r="HD38" t="s">
        <v>3964</v>
      </c>
      <c r="HE38">
        <f t="shared" si="117"/>
        <v>0</v>
      </c>
      <c r="HF38" t="s">
        <v>3965</v>
      </c>
      <c r="HG38">
        <f t="shared" si="118"/>
        <v>0</v>
      </c>
      <c r="HH38" t="s">
        <v>3966</v>
      </c>
      <c r="HI38">
        <f t="shared" si="119"/>
        <v>0</v>
      </c>
      <c r="HJ38" t="s">
        <v>3967</v>
      </c>
      <c r="HK38">
        <f t="shared" si="120"/>
        <v>0</v>
      </c>
      <c r="HL38" t="s">
        <v>3968</v>
      </c>
      <c r="HM38">
        <f t="shared" si="121"/>
        <v>0</v>
      </c>
      <c r="HN38" t="s">
        <v>3969</v>
      </c>
      <c r="HO38">
        <f t="shared" si="122"/>
        <v>0</v>
      </c>
      <c r="HP38" t="s">
        <v>3970</v>
      </c>
      <c r="HQ38">
        <f t="shared" si="123"/>
        <v>0</v>
      </c>
      <c r="HR38" t="s">
        <v>3971</v>
      </c>
      <c r="HS38">
        <f t="shared" si="124"/>
        <v>0</v>
      </c>
      <c r="HT38" t="s">
        <v>3972</v>
      </c>
      <c r="HU38">
        <f t="shared" si="125"/>
        <v>0</v>
      </c>
      <c r="HV38" t="s">
        <v>3973</v>
      </c>
      <c r="HW38">
        <f t="shared" si="126"/>
        <v>0</v>
      </c>
      <c r="HX38" t="s">
        <v>3974</v>
      </c>
      <c r="HY38">
        <f t="shared" si="127"/>
        <v>0</v>
      </c>
      <c r="HZ38" t="s">
        <v>3975</v>
      </c>
      <c r="IA38">
        <f t="shared" si="128"/>
        <v>0</v>
      </c>
      <c r="IB38" t="s">
        <v>3976</v>
      </c>
      <c r="IC38">
        <f t="shared" si="129"/>
        <v>0</v>
      </c>
      <c r="ID38" t="s">
        <v>3977</v>
      </c>
      <c r="IE38">
        <f t="shared" si="130"/>
        <v>0</v>
      </c>
      <c r="IF38" t="s">
        <v>3978</v>
      </c>
      <c r="IG38">
        <f t="shared" si="131"/>
        <v>0</v>
      </c>
      <c r="IH38" t="s">
        <v>3979</v>
      </c>
      <c r="II38">
        <f t="shared" si="132"/>
        <v>0</v>
      </c>
      <c r="IJ38" t="s">
        <v>3980</v>
      </c>
      <c r="IK38">
        <f t="shared" si="133"/>
        <v>0</v>
      </c>
      <c r="IL38" t="s">
        <v>3981</v>
      </c>
      <c r="IM38">
        <f t="shared" si="134"/>
        <v>0</v>
      </c>
      <c r="IN38" t="s">
        <v>3982</v>
      </c>
      <c r="IO38">
        <f t="shared" si="135"/>
        <v>0</v>
      </c>
      <c r="IP38" t="s">
        <v>3983</v>
      </c>
      <c r="IQ38">
        <f t="shared" si="136"/>
        <v>0</v>
      </c>
      <c r="IR38" t="s">
        <v>3984</v>
      </c>
      <c r="IS38">
        <f t="shared" si="137"/>
        <v>0</v>
      </c>
      <c r="IT38" t="s">
        <v>3985</v>
      </c>
      <c r="IU38">
        <f t="shared" si="138"/>
        <v>0</v>
      </c>
      <c r="IV38" t="s">
        <v>3986</v>
      </c>
      <c r="IW38">
        <f t="shared" si="139"/>
        <v>0</v>
      </c>
      <c r="IX38" t="s">
        <v>3987</v>
      </c>
      <c r="IY38">
        <f t="shared" si="140"/>
        <v>0</v>
      </c>
      <c r="IZ38" t="s">
        <v>3988</v>
      </c>
      <c r="JA38">
        <f t="shared" si="141"/>
        <v>0</v>
      </c>
      <c r="JB38" t="s">
        <v>3989</v>
      </c>
      <c r="JC38">
        <f t="shared" si="142"/>
        <v>0</v>
      </c>
      <c r="JD38" t="s">
        <v>3990</v>
      </c>
      <c r="JE38">
        <f t="shared" si="143"/>
        <v>0</v>
      </c>
      <c r="JF38" t="s">
        <v>3991</v>
      </c>
      <c r="JG38">
        <f t="shared" si="144"/>
        <v>0</v>
      </c>
      <c r="JH38" t="s">
        <v>3992</v>
      </c>
      <c r="JI38">
        <f t="shared" si="145"/>
        <v>0</v>
      </c>
      <c r="JJ38" t="s">
        <v>3993</v>
      </c>
      <c r="JK38">
        <f t="shared" si="146"/>
        <v>0</v>
      </c>
      <c r="JL38" t="s">
        <v>3994</v>
      </c>
      <c r="JM38">
        <f t="shared" si="147"/>
        <v>0</v>
      </c>
      <c r="JN38" t="s">
        <v>3995</v>
      </c>
      <c r="JO38">
        <f t="shared" si="148"/>
        <v>0</v>
      </c>
      <c r="JP38" t="s">
        <v>3996</v>
      </c>
      <c r="JQ38">
        <f t="shared" si="149"/>
        <v>0</v>
      </c>
      <c r="JR38" t="s">
        <v>3997</v>
      </c>
      <c r="JS38">
        <f t="shared" si="150"/>
        <v>0</v>
      </c>
      <c r="JT38" t="s">
        <v>3998</v>
      </c>
      <c r="JU38">
        <f t="shared" si="151"/>
        <v>0</v>
      </c>
      <c r="JV38" t="s">
        <v>3999</v>
      </c>
      <c r="JW38">
        <f t="shared" si="152"/>
        <v>0</v>
      </c>
      <c r="JX38" t="s">
        <v>4000</v>
      </c>
      <c r="JY38">
        <f t="shared" si="153"/>
        <v>0</v>
      </c>
      <c r="JZ38" t="s">
        <v>4001</v>
      </c>
      <c r="KA38">
        <f t="shared" si="154"/>
        <v>0</v>
      </c>
      <c r="KB38" t="s">
        <v>4002</v>
      </c>
      <c r="KC38">
        <f t="shared" si="155"/>
        <v>0</v>
      </c>
      <c r="KD38" t="s">
        <v>4003</v>
      </c>
      <c r="KE38">
        <f t="shared" si="156"/>
        <v>0</v>
      </c>
      <c r="KF38" t="s">
        <v>4004</v>
      </c>
      <c r="KG38">
        <f t="shared" si="157"/>
        <v>0</v>
      </c>
      <c r="KH38" t="s">
        <v>4005</v>
      </c>
      <c r="KI38">
        <f t="shared" si="158"/>
        <v>0</v>
      </c>
      <c r="KJ38" t="s">
        <v>4006</v>
      </c>
      <c r="KK38">
        <f t="shared" si="159"/>
        <v>0</v>
      </c>
      <c r="KL38" t="s">
        <v>4007</v>
      </c>
      <c r="KM38">
        <f t="shared" si="160"/>
        <v>0</v>
      </c>
      <c r="KN38" t="s">
        <v>4008</v>
      </c>
      <c r="KO38">
        <f t="shared" si="161"/>
        <v>0</v>
      </c>
      <c r="KP38" t="s">
        <v>4009</v>
      </c>
      <c r="KQ38">
        <f t="shared" si="162"/>
        <v>0</v>
      </c>
      <c r="KR38" t="s">
        <v>4010</v>
      </c>
      <c r="KS38">
        <f t="shared" si="163"/>
        <v>0</v>
      </c>
      <c r="KT38" t="s">
        <v>4011</v>
      </c>
      <c r="KU38">
        <f t="shared" si="164"/>
        <v>0</v>
      </c>
      <c r="KV38" t="s">
        <v>4012</v>
      </c>
      <c r="KW38">
        <f t="shared" si="165"/>
        <v>0</v>
      </c>
      <c r="KX38" t="s">
        <v>4013</v>
      </c>
      <c r="KY38">
        <f t="shared" si="166"/>
        <v>0</v>
      </c>
      <c r="KZ38" t="s">
        <v>4014</v>
      </c>
      <c r="LA38">
        <f t="shared" si="167"/>
        <v>0</v>
      </c>
      <c r="LB38" t="s">
        <v>4015</v>
      </c>
      <c r="LC38">
        <f t="shared" si="168"/>
        <v>0</v>
      </c>
      <c r="LD38" t="s">
        <v>4016</v>
      </c>
      <c r="LE38">
        <f t="shared" si="169"/>
        <v>0</v>
      </c>
      <c r="LF38" t="s">
        <v>4017</v>
      </c>
      <c r="LG38">
        <f t="shared" si="170"/>
        <v>0</v>
      </c>
      <c r="LH38" t="s">
        <v>4018</v>
      </c>
      <c r="LI38">
        <f t="shared" si="171"/>
        <v>0</v>
      </c>
      <c r="LJ38" t="s">
        <v>4019</v>
      </c>
      <c r="LK38">
        <f t="shared" si="172"/>
        <v>0</v>
      </c>
      <c r="LL38" t="s">
        <v>4020</v>
      </c>
      <c r="LM38">
        <f t="shared" si="173"/>
        <v>0</v>
      </c>
      <c r="LN38" t="s">
        <v>4021</v>
      </c>
      <c r="LO38">
        <f t="shared" si="174"/>
        <v>0</v>
      </c>
      <c r="LP38" t="s">
        <v>4022</v>
      </c>
      <c r="LQ38">
        <f t="shared" si="175"/>
        <v>0</v>
      </c>
      <c r="LR38" t="s">
        <v>4023</v>
      </c>
      <c r="LS38">
        <f t="shared" si="176"/>
        <v>0</v>
      </c>
      <c r="LT38" t="s">
        <v>4024</v>
      </c>
      <c r="LU38">
        <f t="shared" si="177"/>
        <v>0</v>
      </c>
      <c r="LV38" t="s">
        <v>4025</v>
      </c>
      <c r="LW38">
        <f t="shared" si="178"/>
        <v>0</v>
      </c>
      <c r="LX38" t="s">
        <v>4026</v>
      </c>
      <c r="LY38">
        <f t="shared" si="179"/>
        <v>0</v>
      </c>
      <c r="LZ38">
        <f>'6'!B144</f>
        <v>0</v>
      </c>
      <c r="MA38">
        <f>'6'!C144</f>
        <v>0</v>
      </c>
      <c r="MB38">
        <f>'6'!D144</f>
        <v>0</v>
      </c>
      <c r="MC38">
        <f>'6'!E144</f>
        <v>0</v>
      </c>
      <c r="MD38">
        <f>'6'!F144</f>
        <v>0</v>
      </c>
      <c r="ME38">
        <f>'6'!G144</f>
        <v>0</v>
      </c>
      <c r="MF38">
        <f>'6'!H144</f>
        <v>0</v>
      </c>
      <c r="MG38">
        <f>'6'!I144</f>
        <v>0</v>
      </c>
      <c r="MH38">
        <f>'6'!J144</f>
        <v>0</v>
      </c>
      <c r="MI38">
        <f>'6'!K144</f>
        <v>0</v>
      </c>
      <c r="MJ38">
        <f>'6'!L144</f>
        <v>0</v>
      </c>
      <c r="MK38">
        <f>'6'!M144</f>
        <v>0</v>
      </c>
      <c r="ML38" s="13">
        <f>'7'!B279</f>
        <v>0</v>
      </c>
      <c r="MM38" s="13">
        <f>'7'!C279</f>
        <v>0</v>
      </c>
      <c r="MN38" s="13">
        <f>'7'!D279</f>
        <v>0</v>
      </c>
      <c r="MO38" s="13">
        <f>'7'!E279</f>
        <v>0</v>
      </c>
      <c r="MP38" s="13">
        <f>'7'!F279</f>
        <v>0</v>
      </c>
      <c r="MQ38" s="13">
        <f>'7'!G279</f>
        <v>0</v>
      </c>
      <c r="MR38" s="13">
        <f>'7'!H279</f>
        <v>0</v>
      </c>
      <c r="MS38" s="13">
        <f>'7'!I279</f>
        <v>0</v>
      </c>
      <c r="MT38" s="13">
        <f>'7'!J279</f>
        <v>0</v>
      </c>
      <c r="MU38" s="13">
        <f>'7'!K279</f>
        <v>0</v>
      </c>
      <c r="MV38" s="13">
        <f>'7'!L279</f>
        <v>0</v>
      </c>
      <c r="MW38" s="13">
        <f>'7'!M279</f>
        <v>0</v>
      </c>
      <c r="MX38" s="13" t="s">
        <v>4027</v>
      </c>
      <c r="MY38">
        <f t="shared" si="180"/>
        <v>0</v>
      </c>
      <c r="MZ38" s="13" t="s">
        <v>4028</v>
      </c>
      <c r="NA38">
        <f t="shared" si="181"/>
        <v>0</v>
      </c>
      <c r="NB38" s="13" t="s">
        <v>4029</v>
      </c>
      <c r="NC38">
        <f t="shared" si="182"/>
        <v>0</v>
      </c>
      <c r="ND38" s="13" t="s">
        <v>4030</v>
      </c>
      <c r="NE38">
        <f t="shared" si="183"/>
        <v>0</v>
      </c>
      <c r="NF38" s="13" t="s">
        <v>4031</v>
      </c>
      <c r="NG38">
        <f t="shared" si="184"/>
        <v>0</v>
      </c>
      <c r="NH38" s="13" t="s">
        <v>4032</v>
      </c>
      <c r="NI38">
        <f t="shared" si="185"/>
        <v>0</v>
      </c>
      <c r="NJ38" s="13" t="s">
        <v>4033</v>
      </c>
      <c r="NK38">
        <f t="shared" si="186"/>
        <v>0</v>
      </c>
      <c r="NL38" s="13" t="s">
        <v>4034</v>
      </c>
      <c r="NM38">
        <f t="shared" si="187"/>
        <v>0</v>
      </c>
      <c r="NN38" s="13" t="s">
        <v>4035</v>
      </c>
      <c r="NO38">
        <f t="shared" si="188"/>
        <v>0</v>
      </c>
      <c r="NP38" s="13" t="s">
        <v>4036</v>
      </c>
      <c r="NQ38">
        <f t="shared" si="189"/>
        <v>0</v>
      </c>
      <c r="NR38" s="13" t="s">
        <v>4037</v>
      </c>
      <c r="NS38">
        <f t="shared" si="190"/>
        <v>0</v>
      </c>
      <c r="NT38" s="13" t="s">
        <v>4038</v>
      </c>
      <c r="NU38">
        <f t="shared" si="191"/>
        <v>0</v>
      </c>
      <c r="NV38" s="13"/>
    </row>
    <row r="39" spans="1:386" customFormat="1" x14ac:dyDescent="0.25">
      <c r="A39">
        <v>36</v>
      </c>
      <c r="B39">
        <f>'6'!AB147</f>
        <v>0</v>
      </c>
      <c r="C39">
        <f>'6'!AC147</f>
        <v>0</v>
      </c>
      <c r="D39">
        <f>'6'!AD147</f>
        <v>0</v>
      </c>
      <c r="E39">
        <f>'6'!AE147</f>
        <v>0</v>
      </c>
      <c r="F39">
        <f>'6'!AF147</f>
        <v>0</v>
      </c>
      <c r="G39">
        <f>'6'!AG147</f>
        <v>0</v>
      </c>
      <c r="H39">
        <f>'6'!AH147</f>
        <v>0</v>
      </c>
      <c r="I39">
        <f>'6'!AI147</f>
        <v>0</v>
      </c>
      <c r="J39">
        <f>'6'!AJ147</f>
        <v>0</v>
      </c>
      <c r="K39">
        <f>'6'!AK147</f>
        <v>0</v>
      </c>
      <c r="L39">
        <f>'6'!AL147</f>
        <v>0</v>
      </c>
      <c r="M39">
        <f>'6'!AM147</f>
        <v>0</v>
      </c>
      <c r="N39">
        <f>'6'!AN147</f>
        <v>0</v>
      </c>
      <c r="O39">
        <f>'6'!AO147</f>
        <v>0</v>
      </c>
      <c r="P39">
        <f>'6'!AP147</f>
        <v>0</v>
      </c>
      <c r="Q39">
        <f>'6'!AQ147</f>
        <v>0</v>
      </c>
      <c r="R39">
        <f>'6'!AR147</f>
        <v>0</v>
      </c>
      <c r="S39">
        <f>'6'!AS147</f>
        <v>0</v>
      </c>
      <c r="T39">
        <f>'6'!AT147</f>
        <v>0</v>
      </c>
      <c r="U39">
        <f>'6'!AU147</f>
        <v>0</v>
      </c>
      <c r="V39">
        <f>'6'!AV147</f>
        <v>0</v>
      </c>
      <c r="W39">
        <f>'6'!AW147</f>
        <v>0</v>
      </c>
      <c r="X39">
        <f>'6'!AX147</f>
        <v>0</v>
      </c>
      <c r="Y39">
        <f>'6'!AY147</f>
        <v>0</v>
      </c>
      <c r="Z39">
        <f>'6'!AZ147</f>
        <v>0</v>
      </c>
      <c r="AA39">
        <f>'6'!BA147</f>
        <v>0</v>
      </c>
      <c r="AB39">
        <f>'6'!BB147</f>
        <v>0</v>
      </c>
      <c r="AC39">
        <f>'6'!BC147</f>
        <v>0</v>
      </c>
      <c r="AD39">
        <f>'6'!BD147</f>
        <v>0</v>
      </c>
      <c r="AE39">
        <f>'6'!BE147</f>
        <v>0</v>
      </c>
      <c r="AF39">
        <f>'6'!BF147</f>
        <v>0</v>
      </c>
      <c r="AG39">
        <f>'6'!BG147</f>
        <v>0</v>
      </c>
      <c r="AH39">
        <f>'6'!BH147</f>
        <v>0</v>
      </c>
      <c r="AI39">
        <f>'6'!BI147</f>
        <v>0</v>
      </c>
      <c r="AJ39">
        <f>'6'!BJ147</f>
        <v>0</v>
      </c>
      <c r="AK39">
        <f>'6'!BK147</f>
        <v>0</v>
      </c>
      <c r="AL39">
        <f>'6'!BL147</f>
        <v>0</v>
      </c>
      <c r="AM39">
        <f>'6'!BM147</f>
        <v>0</v>
      </c>
      <c r="AN39">
        <f>'6'!BN147</f>
        <v>0</v>
      </c>
      <c r="AO39">
        <f>'6'!BO147</f>
        <v>0</v>
      </c>
      <c r="AP39">
        <f>'6'!BP147</f>
        <v>0</v>
      </c>
      <c r="AQ39">
        <f>'6'!BQ147</f>
        <v>0</v>
      </c>
      <c r="AR39">
        <f>'6'!BR147</f>
        <v>0</v>
      </c>
      <c r="AS39">
        <f>'6'!BS147</f>
        <v>0</v>
      </c>
      <c r="AT39">
        <f>'6'!BT147</f>
        <v>0</v>
      </c>
      <c r="AU39">
        <f>'6'!BU147</f>
        <v>0</v>
      </c>
      <c r="AV39">
        <f>'6'!BV147</f>
        <v>0</v>
      </c>
      <c r="AW39">
        <f>'6'!BW147</f>
        <v>0</v>
      </c>
      <c r="AX39">
        <f>'6'!BX147</f>
        <v>0</v>
      </c>
      <c r="AY39">
        <f>'6'!BY147</f>
        <v>0</v>
      </c>
      <c r="AZ39">
        <f>'6'!BZ147</f>
        <v>0</v>
      </c>
      <c r="BA39">
        <f>'6'!CA147</f>
        <v>0</v>
      </c>
      <c r="BB39">
        <f>'6'!CB147</f>
        <v>0</v>
      </c>
      <c r="BC39">
        <f>'6'!CC147</f>
        <v>0</v>
      </c>
      <c r="BD39">
        <f>'6'!CD147</f>
        <v>0</v>
      </c>
      <c r="BE39">
        <f>'6'!CE147</f>
        <v>0</v>
      </c>
      <c r="BF39">
        <f>'6'!CF147</f>
        <v>0</v>
      </c>
      <c r="BG39">
        <f>'6'!CG147</f>
        <v>0</v>
      </c>
      <c r="BH39">
        <f>'6'!CH147</f>
        <v>0</v>
      </c>
      <c r="BI39">
        <f>'6'!CI147</f>
        <v>0</v>
      </c>
      <c r="BJ39">
        <f>'6'!CJ147</f>
        <v>0</v>
      </c>
      <c r="BK39">
        <f>'6'!CK147</f>
        <v>0</v>
      </c>
      <c r="BL39">
        <f>'6'!CL147</f>
        <v>0</v>
      </c>
      <c r="BM39">
        <f>'6'!CM147</f>
        <v>0</v>
      </c>
      <c r="BN39">
        <f>'6'!CN147</f>
        <v>0</v>
      </c>
      <c r="BO39">
        <f>'6'!CO147</f>
        <v>0</v>
      </c>
      <c r="BP39">
        <f>'6'!CP147</f>
        <v>0</v>
      </c>
      <c r="BQ39">
        <f>'6'!CQ147</f>
        <v>0</v>
      </c>
      <c r="BR39">
        <f>'6'!CR147</f>
        <v>0</v>
      </c>
      <c r="BS39">
        <f>'6'!CS147</f>
        <v>0</v>
      </c>
      <c r="BT39">
        <f>'6'!CT147</f>
        <v>0</v>
      </c>
      <c r="BU39">
        <f>'6'!CU147</f>
        <v>0</v>
      </c>
      <c r="BV39">
        <f>'6'!CV147</f>
        <v>0</v>
      </c>
      <c r="BW39">
        <f>'6'!CW147</f>
        <v>0</v>
      </c>
      <c r="BX39">
        <f>'6'!CX147</f>
        <v>0</v>
      </c>
      <c r="BY39">
        <f>'6'!CY147</f>
        <v>0</v>
      </c>
      <c r="BZ39">
        <f>'6'!CZ147</f>
        <v>0</v>
      </c>
      <c r="CA39">
        <f>'6'!DA147</f>
        <v>0</v>
      </c>
      <c r="CB39">
        <f>'6'!DB147</f>
        <v>0</v>
      </c>
      <c r="CC39">
        <f>'6'!DC147</f>
        <v>0</v>
      </c>
      <c r="CD39">
        <f>'6'!DD147</f>
        <v>0</v>
      </c>
      <c r="CE39">
        <f>'6'!DE147</f>
        <v>0</v>
      </c>
      <c r="CF39">
        <f>'6'!DF147</f>
        <v>0</v>
      </c>
      <c r="CG39">
        <f>'6'!DG147</f>
        <v>0</v>
      </c>
      <c r="CH39">
        <f>SUM('7'!AB289:AB293)</f>
        <v>0</v>
      </c>
      <c r="CI39">
        <f>SUM('7'!AC289:AC293)</f>
        <v>0</v>
      </c>
      <c r="CJ39">
        <f>SUM('7'!AD289:AD293)</f>
        <v>0</v>
      </c>
      <c r="CK39">
        <f>SUM('7'!AE289:AE293)</f>
        <v>0</v>
      </c>
      <c r="CL39">
        <f>SUM('7'!AF289:AF293)</f>
        <v>0</v>
      </c>
      <c r="CM39">
        <f>SUM('7'!AG289:AG293)</f>
        <v>0</v>
      </c>
      <c r="CN39">
        <f>SUM('7'!AH289:AH293)</f>
        <v>0</v>
      </c>
      <c r="CO39">
        <f>SUM('7'!AI289:AI293)</f>
        <v>0</v>
      </c>
      <c r="CP39">
        <f>SUM('7'!AJ289:AJ293)</f>
        <v>0</v>
      </c>
      <c r="CQ39">
        <f>SUM('7'!AK289:AK293)</f>
        <v>0</v>
      </c>
      <c r="CR39">
        <f>SUM('7'!AL289:AL293)</f>
        <v>0</v>
      </c>
      <c r="CS39">
        <f>SUM('7'!AM289:AM293)</f>
        <v>0</v>
      </c>
      <c r="CT39">
        <f>SUM('7'!AN289:AN293)</f>
        <v>0</v>
      </c>
      <c r="CU39">
        <f>SUM('7'!AO289:AO293)</f>
        <v>0</v>
      </c>
      <c r="CV39">
        <f>SUM('7'!AP289:AP293)</f>
        <v>0</v>
      </c>
      <c r="CW39">
        <f>SUM('7'!AQ289:AQ293)</f>
        <v>0</v>
      </c>
      <c r="CX39">
        <f>SUM('7'!AR289:AR293)</f>
        <v>0</v>
      </c>
      <c r="CY39">
        <f>SUM('7'!AS289:AS293)</f>
        <v>0</v>
      </c>
      <c r="CZ39">
        <f>SUM('7'!AT289:AT293)</f>
        <v>0</v>
      </c>
      <c r="DA39">
        <f>SUM('7'!AU289:AU293)</f>
        <v>0</v>
      </c>
      <c r="DB39">
        <f>SUM('7'!AV289:AV293)</f>
        <v>0</v>
      </c>
      <c r="DC39">
        <f>SUM('7'!AW289:AW293)</f>
        <v>0</v>
      </c>
      <c r="DD39">
        <f>SUM('7'!AX289:AX293)</f>
        <v>0</v>
      </c>
      <c r="DE39">
        <f>SUM('7'!AY289:AY293)</f>
        <v>0</v>
      </c>
      <c r="DF39">
        <f>SUM('7'!AZ289:AZ293)</f>
        <v>0</v>
      </c>
      <c r="DG39">
        <f>SUM('7'!BA289:BA293)</f>
        <v>0</v>
      </c>
      <c r="DH39">
        <f>SUM('7'!BB289:BB293)</f>
        <v>0</v>
      </c>
      <c r="DI39">
        <f>SUM('7'!BC289:BC293)</f>
        <v>0</v>
      </c>
      <c r="DJ39">
        <f>SUM('7'!BD289:BD293)</f>
        <v>0</v>
      </c>
      <c r="DK39">
        <f>SUM('7'!BE289:BE293)</f>
        <v>0</v>
      </c>
      <c r="DL39">
        <f>SUM('7'!BF289:BF293)</f>
        <v>0</v>
      </c>
      <c r="DM39">
        <f>SUM('7'!BG289:BG293)</f>
        <v>0</v>
      </c>
      <c r="DN39">
        <f>SUM('7'!BH289:BH293)</f>
        <v>0</v>
      </c>
      <c r="DO39">
        <f>SUM('7'!BI289:BI293)</f>
        <v>0</v>
      </c>
      <c r="DP39">
        <f>SUM('7'!BJ289:BJ293)</f>
        <v>0</v>
      </c>
      <c r="DQ39">
        <f>SUM('7'!BK289:BK293)</f>
        <v>0</v>
      </c>
      <c r="DR39">
        <f>SUM('7'!BL289:BL293)</f>
        <v>0</v>
      </c>
      <c r="DS39">
        <f>SUM('7'!BM289:BM293)</f>
        <v>0</v>
      </c>
      <c r="DT39">
        <f>SUM('7'!BN289:BN293)</f>
        <v>0</v>
      </c>
      <c r="DU39">
        <f>SUM('7'!BO289:BO293)</f>
        <v>0</v>
      </c>
      <c r="DV39">
        <f>SUM('7'!BP289:BP293)</f>
        <v>0</v>
      </c>
      <c r="DW39">
        <f>SUM('7'!BQ289:BQ293)</f>
        <v>0</v>
      </c>
      <c r="DX39">
        <f>SUM('7'!BR289:BR293)</f>
        <v>0</v>
      </c>
      <c r="DY39">
        <f>SUM('7'!BS289:BS293)</f>
        <v>0</v>
      </c>
      <c r="DZ39">
        <f>SUM('7'!BT289:BT293)</f>
        <v>0</v>
      </c>
      <c r="EA39">
        <f>SUM('7'!BU289:BU293)</f>
        <v>0</v>
      </c>
      <c r="EB39">
        <f>SUM('7'!BV289:BV293)</f>
        <v>0</v>
      </c>
      <c r="EC39">
        <f>SUM('7'!BW289:BW293)</f>
        <v>0</v>
      </c>
      <c r="ED39">
        <f>SUM('7'!BX289:BX293)</f>
        <v>0</v>
      </c>
      <c r="EE39">
        <f>SUM('7'!BY289:BY293)</f>
        <v>0</v>
      </c>
      <c r="EF39">
        <f>SUM('7'!BZ289:BZ293)</f>
        <v>0</v>
      </c>
      <c r="EG39">
        <f>SUM('7'!CA289:CA293)</f>
        <v>0</v>
      </c>
      <c r="EH39">
        <f>SUM('7'!CB289:CB293)</f>
        <v>0</v>
      </c>
      <c r="EI39">
        <f>SUM('7'!CC289:CC293)</f>
        <v>0</v>
      </c>
      <c r="EJ39">
        <f>SUM('7'!CD289:CD293)</f>
        <v>0</v>
      </c>
      <c r="EK39">
        <f>SUM('7'!CE289:CE293)</f>
        <v>0</v>
      </c>
      <c r="EL39">
        <f>SUM('7'!CF289:CF293)</f>
        <v>0</v>
      </c>
      <c r="EM39">
        <f>SUM('7'!CG289:CG293)</f>
        <v>0</v>
      </c>
      <c r="EN39">
        <f>SUM('7'!CH289:CH293)</f>
        <v>0</v>
      </c>
      <c r="EO39">
        <f>SUM('7'!CI289:CI293)</f>
        <v>0</v>
      </c>
      <c r="EP39">
        <f>SUM('7'!CJ289:CJ293)</f>
        <v>0</v>
      </c>
      <c r="EQ39">
        <f>SUM('7'!CK289:CK293)</f>
        <v>0</v>
      </c>
      <c r="ER39">
        <f>SUM('7'!CL289:CL293)</f>
        <v>0</v>
      </c>
      <c r="ES39">
        <f>SUM('7'!CM289:CM293)</f>
        <v>0</v>
      </c>
      <c r="ET39">
        <f>SUM('7'!CN289:CN293)</f>
        <v>0</v>
      </c>
      <c r="EU39">
        <f>SUM('7'!CO289:CO293)</f>
        <v>0</v>
      </c>
      <c r="EV39">
        <f>SUM('7'!CP289:CP293)</f>
        <v>0</v>
      </c>
      <c r="EW39">
        <f>SUM('7'!CQ289:CQ293)</f>
        <v>0</v>
      </c>
      <c r="EX39">
        <f>SUM('7'!CR289:CR293)</f>
        <v>0</v>
      </c>
      <c r="EY39">
        <f>SUM('7'!CS289:CS293)</f>
        <v>0</v>
      </c>
      <c r="EZ39">
        <f>SUM('7'!CT289:CT293)</f>
        <v>0</v>
      </c>
      <c r="FA39">
        <f>SUM('7'!CU289:CU293)</f>
        <v>0</v>
      </c>
      <c r="FB39">
        <f>SUM('7'!CV289:CV293)</f>
        <v>0</v>
      </c>
      <c r="FC39">
        <f>SUM('7'!CW289:CW293)</f>
        <v>0</v>
      </c>
      <c r="FD39">
        <f>SUM('7'!CX289:CX293)</f>
        <v>0</v>
      </c>
      <c r="FE39">
        <f>SUM('7'!CY289:CY293)</f>
        <v>0</v>
      </c>
      <c r="FF39">
        <f>SUM('7'!CZ289:CZ293)</f>
        <v>0</v>
      </c>
      <c r="FG39">
        <f>SUM('7'!DA289:DA293)</f>
        <v>0</v>
      </c>
      <c r="FH39">
        <f>SUM('7'!DB289:DB293)</f>
        <v>0</v>
      </c>
      <c r="FI39">
        <f>SUM('7'!DC289:DC293)</f>
        <v>0</v>
      </c>
      <c r="FJ39">
        <f>SUM('7'!DD289:DD293)</f>
        <v>0</v>
      </c>
      <c r="FK39">
        <f>SUM('7'!DE289:DE293)</f>
        <v>0</v>
      </c>
      <c r="FL39">
        <f>SUM('7'!DF289:DF293)</f>
        <v>0</v>
      </c>
      <c r="FM39">
        <f>SUM('7'!DG289:DG293)</f>
        <v>0</v>
      </c>
      <c r="FN39" t="s">
        <v>4039</v>
      </c>
      <c r="FO39">
        <f t="shared" si="96"/>
        <v>0</v>
      </c>
      <c r="FP39" t="s">
        <v>4040</v>
      </c>
      <c r="FQ39">
        <f t="shared" si="97"/>
        <v>0</v>
      </c>
      <c r="FR39" t="s">
        <v>4041</v>
      </c>
      <c r="FS39">
        <f t="shared" si="98"/>
        <v>0</v>
      </c>
      <c r="FT39" t="s">
        <v>4042</v>
      </c>
      <c r="FU39">
        <f t="shared" si="99"/>
        <v>0</v>
      </c>
      <c r="FV39" t="s">
        <v>4043</v>
      </c>
      <c r="FW39">
        <f t="shared" si="100"/>
        <v>0</v>
      </c>
      <c r="FX39" t="s">
        <v>4044</v>
      </c>
      <c r="FY39">
        <f t="shared" si="101"/>
        <v>0</v>
      </c>
      <c r="FZ39" t="s">
        <v>4045</v>
      </c>
      <c r="GA39">
        <f t="shared" si="102"/>
        <v>0</v>
      </c>
      <c r="GB39" t="s">
        <v>4046</v>
      </c>
      <c r="GC39">
        <f t="shared" si="103"/>
        <v>0</v>
      </c>
      <c r="GD39" t="s">
        <v>4047</v>
      </c>
      <c r="GE39">
        <f t="shared" si="104"/>
        <v>0</v>
      </c>
      <c r="GF39" t="s">
        <v>4048</v>
      </c>
      <c r="GG39">
        <f t="shared" si="105"/>
        <v>0</v>
      </c>
      <c r="GH39" t="s">
        <v>4049</v>
      </c>
      <c r="GI39">
        <f t="shared" si="106"/>
        <v>0</v>
      </c>
      <c r="GJ39" t="s">
        <v>4050</v>
      </c>
      <c r="GK39">
        <f t="shared" si="107"/>
        <v>0</v>
      </c>
      <c r="GL39" t="s">
        <v>4051</v>
      </c>
      <c r="GM39">
        <f t="shared" si="108"/>
        <v>0</v>
      </c>
      <c r="GN39" t="s">
        <v>4052</v>
      </c>
      <c r="GO39">
        <f t="shared" si="109"/>
        <v>0</v>
      </c>
      <c r="GP39" t="s">
        <v>4053</v>
      </c>
      <c r="GQ39">
        <f t="shared" si="110"/>
        <v>0</v>
      </c>
      <c r="GR39" t="s">
        <v>4054</v>
      </c>
      <c r="GS39">
        <f t="shared" si="111"/>
        <v>0</v>
      </c>
      <c r="GT39" t="s">
        <v>4055</v>
      </c>
      <c r="GU39">
        <f t="shared" si="112"/>
        <v>0</v>
      </c>
      <c r="GV39" t="s">
        <v>4056</v>
      </c>
      <c r="GW39">
        <f t="shared" si="113"/>
        <v>0</v>
      </c>
      <c r="GX39" t="s">
        <v>4057</v>
      </c>
      <c r="GY39">
        <f t="shared" si="114"/>
        <v>0</v>
      </c>
      <c r="GZ39" t="s">
        <v>4058</v>
      </c>
      <c r="HA39">
        <f t="shared" si="115"/>
        <v>0</v>
      </c>
      <c r="HB39" t="s">
        <v>4059</v>
      </c>
      <c r="HC39">
        <f t="shared" si="116"/>
        <v>0</v>
      </c>
      <c r="HD39" t="s">
        <v>4060</v>
      </c>
      <c r="HE39">
        <f t="shared" si="117"/>
        <v>0</v>
      </c>
      <c r="HF39" t="s">
        <v>4061</v>
      </c>
      <c r="HG39">
        <f t="shared" si="118"/>
        <v>0</v>
      </c>
      <c r="HH39" t="s">
        <v>4062</v>
      </c>
      <c r="HI39">
        <f t="shared" si="119"/>
        <v>0</v>
      </c>
      <c r="HJ39" t="s">
        <v>4063</v>
      </c>
      <c r="HK39">
        <f t="shared" si="120"/>
        <v>0</v>
      </c>
      <c r="HL39" t="s">
        <v>4064</v>
      </c>
      <c r="HM39">
        <f t="shared" si="121"/>
        <v>0</v>
      </c>
      <c r="HN39" t="s">
        <v>4065</v>
      </c>
      <c r="HO39">
        <f t="shared" si="122"/>
        <v>0</v>
      </c>
      <c r="HP39" t="s">
        <v>4066</v>
      </c>
      <c r="HQ39">
        <f t="shared" si="123"/>
        <v>0</v>
      </c>
      <c r="HR39" t="s">
        <v>4067</v>
      </c>
      <c r="HS39">
        <f t="shared" si="124"/>
        <v>0</v>
      </c>
      <c r="HT39" t="s">
        <v>4068</v>
      </c>
      <c r="HU39">
        <f t="shared" si="125"/>
        <v>0</v>
      </c>
      <c r="HV39" t="s">
        <v>4069</v>
      </c>
      <c r="HW39">
        <f t="shared" si="126"/>
        <v>0</v>
      </c>
      <c r="HX39" t="s">
        <v>4070</v>
      </c>
      <c r="HY39">
        <f t="shared" si="127"/>
        <v>0</v>
      </c>
      <c r="HZ39" t="s">
        <v>4071</v>
      </c>
      <c r="IA39">
        <f t="shared" si="128"/>
        <v>0</v>
      </c>
      <c r="IB39" t="s">
        <v>4072</v>
      </c>
      <c r="IC39">
        <f t="shared" si="129"/>
        <v>0</v>
      </c>
      <c r="ID39" t="s">
        <v>4073</v>
      </c>
      <c r="IE39">
        <f t="shared" si="130"/>
        <v>0</v>
      </c>
      <c r="IF39" t="s">
        <v>4074</v>
      </c>
      <c r="IG39">
        <f t="shared" si="131"/>
        <v>0</v>
      </c>
      <c r="IH39" t="s">
        <v>4075</v>
      </c>
      <c r="II39">
        <f t="shared" si="132"/>
        <v>0</v>
      </c>
      <c r="IJ39" t="s">
        <v>4076</v>
      </c>
      <c r="IK39">
        <f t="shared" si="133"/>
        <v>0</v>
      </c>
      <c r="IL39" t="s">
        <v>4077</v>
      </c>
      <c r="IM39">
        <f t="shared" si="134"/>
        <v>0</v>
      </c>
      <c r="IN39" t="s">
        <v>4078</v>
      </c>
      <c r="IO39">
        <f t="shared" si="135"/>
        <v>0</v>
      </c>
      <c r="IP39" t="s">
        <v>4079</v>
      </c>
      <c r="IQ39">
        <f t="shared" si="136"/>
        <v>0</v>
      </c>
      <c r="IR39" t="s">
        <v>4080</v>
      </c>
      <c r="IS39">
        <f t="shared" si="137"/>
        <v>0</v>
      </c>
      <c r="IT39" t="s">
        <v>4081</v>
      </c>
      <c r="IU39">
        <f t="shared" si="138"/>
        <v>0</v>
      </c>
      <c r="IV39" t="s">
        <v>4082</v>
      </c>
      <c r="IW39">
        <f t="shared" si="139"/>
        <v>0</v>
      </c>
      <c r="IX39" t="s">
        <v>4083</v>
      </c>
      <c r="IY39">
        <f t="shared" si="140"/>
        <v>0</v>
      </c>
      <c r="IZ39" t="s">
        <v>4084</v>
      </c>
      <c r="JA39">
        <f t="shared" si="141"/>
        <v>0</v>
      </c>
      <c r="JB39" t="s">
        <v>4085</v>
      </c>
      <c r="JC39">
        <f t="shared" si="142"/>
        <v>0</v>
      </c>
      <c r="JD39" t="s">
        <v>4086</v>
      </c>
      <c r="JE39">
        <f t="shared" si="143"/>
        <v>0</v>
      </c>
      <c r="JF39" t="s">
        <v>4087</v>
      </c>
      <c r="JG39">
        <f t="shared" si="144"/>
        <v>0</v>
      </c>
      <c r="JH39" t="s">
        <v>4088</v>
      </c>
      <c r="JI39">
        <f t="shared" si="145"/>
        <v>0</v>
      </c>
      <c r="JJ39" t="s">
        <v>4089</v>
      </c>
      <c r="JK39">
        <f t="shared" si="146"/>
        <v>0</v>
      </c>
      <c r="JL39" t="s">
        <v>4090</v>
      </c>
      <c r="JM39">
        <f t="shared" si="147"/>
        <v>0</v>
      </c>
      <c r="JN39" t="s">
        <v>4091</v>
      </c>
      <c r="JO39">
        <f t="shared" si="148"/>
        <v>0</v>
      </c>
      <c r="JP39" t="s">
        <v>4092</v>
      </c>
      <c r="JQ39">
        <f t="shared" si="149"/>
        <v>0</v>
      </c>
      <c r="JR39" t="s">
        <v>4093</v>
      </c>
      <c r="JS39">
        <f t="shared" si="150"/>
        <v>0</v>
      </c>
      <c r="JT39" t="s">
        <v>4094</v>
      </c>
      <c r="JU39">
        <f t="shared" si="151"/>
        <v>0</v>
      </c>
      <c r="JV39" t="s">
        <v>4095</v>
      </c>
      <c r="JW39">
        <f t="shared" si="152"/>
        <v>0</v>
      </c>
      <c r="JX39" t="s">
        <v>4096</v>
      </c>
      <c r="JY39">
        <f t="shared" si="153"/>
        <v>0</v>
      </c>
      <c r="JZ39" t="s">
        <v>4097</v>
      </c>
      <c r="KA39">
        <f t="shared" si="154"/>
        <v>0</v>
      </c>
      <c r="KB39" t="s">
        <v>4098</v>
      </c>
      <c r="KC39">
        <f t="shared" si="155"/>
        <v>0</v>
      </c>
      <c r="KD39" t="s">
        <v>4099</v>
      </c>
      <c r="KE39">
        <f t="shared" si="156"/>
        <v>0</v>
      </c>
      <c r="KF39" t="s">
        <v>4100</v>
      </c>
      <c r="KG39">
        <f t="shared" si="157"/>
        <v>0</v>
      </c>
      <c r="KH39" t="s">
        <v>4101</v>
      </c>
      <c r="KI39">
        <f t="shared" si="158"/>
        <v>0</v>
      </c>
      <c r="KJ39" t="s">
        <v>4102</v>
      </c>
      <c r="KK39">
        <f t="shared" si="159"/>
        <v>0</v>
      </c>
      <c r="KL39" t="s">
        <v>4103</v>
      </c>
      <c r="KM39">
        <f t="shared" si="160"/>
        <v>0</v>
      </c>
      <c r="KN39" t="s">
        <v>4104</v>
      </c>
      <c r="KO39">
        <f t="shared" si="161"/>
        <v>0</v>
      </c>
      <c r="KP39" t="s">
        <v>4105</v>
      </c>
      <c r="KQ39">
        <f t="shared" si="162"/>
        <v>0</v>
      </c>
      <c r="KR39" t="s">
        <v>4106</v>
      </c>
      <c r="KS39">
        <f t="shared" si="163"/>
        <v>0</v>
      </c>
      <c r="KT39" t="s">
        <v>4107</v>
      </c>
      <c r="KU39">
        <f t="shared" si="164"/>
        <v>0</v>
      </c>
      <c r="KV39" t="s">
        <v>4108</v>
      </c>
      <c r="KW39">
        <f t="shared" si="165"/>
        <v>0</v>
      </c>
      <c r="KX39" t="s">
        <v>4109</v>
      </c>
      <c r="KY39">
        <f t="shared" si="166"/>
        <v>0</v>
      </c>
      <c r="KZ39" t="s">
        <v>4110</v>
      </c>
      <c r="LA39">
        <f t="shared" si="167"/>
        <v>0</v>
      </c>
      <c r="LB39" t="s">
        <v>4111</v>
      </c>
      <c r="LC39">
        <f t="shared" si="168"/>
        <v>0</v>
      </c>
      <c r="LD39" t="s">
        <v>4112</v>
      </c>
      <c r="LE39">
        <f t="shared" si="169"/>
        <v>0</v>
      </c>
      <c r="LF39" t="s">
        <v>4113</v>
      </c>
      <c r="LG39">
        <f t="shared" si="170"/>
        <v>0</v>
      </c>
      <c r="LH39" t="s">
        <v>4114</v>
      </c>
      <c r="LI39">
        <f t="shared" si="171"/>
        <v>0</v>
      </c>
      <c r="LJ39" t="s">
        <v>4115</v>
      </c>
      <c r="LK39">
        <f t="shared" si="172"/>
        <v>0</v>
      </c>
      <c r="LL39" t="s">
        <v>4116</v>
      </c>
      <c r="LM39">
        <f t="shared" si="173"/>
        <v>0</v>
      </c>
      <c r="LN39" t="s">
        <v>4117</v>
      </c>
      <c r="LO39">
        <f t="shared" si="174"/>
        <v>0</v>
      </c>
      <c r="LP39" t="s">
        <v>4118</v>
      </c>
      <c r="LQ39">
        <f t="shared" si="175"/>
        <v>0</v>
      </c>
      <c r="LR39" t="s">
        <v>4119</v>
      </c>
      <c r="LS39">
        <f t="shared" si="176"/>
        <v>0</v>
      </c>
      <c r="LT39" t="s">
        <v>4120</v>
      </c>
      <c r="LU39">
        <f t="shared" si="177"/>
        <v>0</v>
      </c>
      <c r="LV39" t="s">
        <v>4121</v>
      </c>
      <c r="LW39">
        <f t="shared" si="178"/>
        <v>0</v>
      </c>
      <c r="LX39" t="s">
        <v>4122</v>
      </c>
      <c r="LY39">
        <f t="shared" si="179"/>
        <v>0</v>
      </c>
      <c r="LZ39">
        <f>'6'!B148</f>
        <v>0</v>
      </c>
      <c r="MA39">
        <f>'6'!C148</f>
        <v>0</v>
      </c>
      <c r="MB39">
        <f>'6'!D148</f>
        <v>0</v>
      </c>
      <c r="MC39">
        <f>'6'!E148</f>
        <v>0</v>
      </c>
      <c r="MD39">
        <f>'6'!F148</f>
        <v>0</v>
      </c>
      <c r="ME39">
        <f>'6'!G148</f>
        <v>0</v>
      </c>
      <c r="MF39">
        <f>'6'!H148</f>
        <v>0</v>
      </c>
      <c r="MG39">
        <f>'6'!I148</f>
        <v>0</v>
      </c>
      <c r="MH39">
        <f>'6'!J148</f>
        <v>0</v>
      </c>
      <c r="MI39">
        <f>'6'!K148</f>
        <v>0</v>
      </c>
      <c r="MJ39">
        <f>'6'!L148</f>
        <v>0</v>
      </c>
      <c r="MK39">
        <f>'6'!M148</f>
        <v>0</v>
      </c>
      <c r="ML39" s="13">
        <f>'7'!B287</f>
        <v>0</v>
      </c>
      <c r="MM39" s="13">
        <f>'7'!C287</f>
        <v>0</v>
      </c>
      <c r="MN39" s="13">
        <f>'7'!D287</f>
        <v>0</v>
      </c>
      <c r="MO39" s="13">
        <f>'7'!E287</f>
        <v>0</v>
      </c>
      <c r="MP39" s="13">
        <f>'7'!F287</f>
        <v>0</v>
      </c>
      <c r="MQ39" s="13">
        <f>'7'!G287</f>
        <v>0</v>
      </c>
      <c r="MR39" s="13">
        <f>'7'!H287</f>
        <v>0</v>
      </c>
      <c r="MS39" s="13">
        <f>'7'!I287</f>
        <v>0</v>
      </c>
      <c r="MT39" s="13">
        <f>'7'!J287</f>
        <v>0</v>
      </c>
      <c r="MU39" s="13">
        <f>'7'!K287</f>
        <v>0</v>
      </c>
      <c r="MV39" s="13">
        <f>'7'!L287</f>
        <v>0</v>
      </c>
      <c r="MW39" s="13">
        <f>'7'!M287</f>
        <v>0</v>
      </c>
      <c r="MX39" s="13" t="s">
        <v>4123</v>
      </c>
      <c r="MY39">
        <f t="shared" si="180"/>
        <v>0</v>
      </c>
      <c r="MZ39" s="13" t="s">
        <v>4124</v>
      </c>
      <c r="NA39">
        <f t="shared" si="181"/>
        <v>0</v>
      </c>
      <c r="NB39" s="13" t="s">
        <v>4125</v>
      </c>
      <c r="NC39">
        <f t="shared" si="182"/>
        <v>0</v>
      </c>
      <c r="ND39" s="13" t="s">
        <v>4126</v>
      </c>
      <c r="NE39">
        <f t="shared" si="183"/>
        <v>0</v>
      </c>
      <c r="NF39" s="13" t="s">
        <v>4127</v>
      </c>
      <c r="NG39">
        <f t="shared" si="184"/>
        <v>0</v>
      </c>
      <c r="NH39" s="13" t="s">
        <v>4128</v>
      </c>
      <c r="NI39">
        <f t="shared" si="185"/>
        <v>0</v>
      </c>
      <c r="NJ39" s="13" t="s">
        <v>4129</v>
      </c>
      <c r="NK39">
        <f t="shared" si="186"/>
        <v>0</v>
      </c>
      <c r="NL39" s="13" t="s">
        <v>4130</v>
      </c>
      <c r="NM39">
        <f t="shared" si="187"/>
        <v>0</v>
      </c>
      <c r="NN39" s="13" t="s">
        <v>4131</v>
      </c>
      <c r="NO39">
        <f t="shared" si="188"/>
        <v>0</v>
      </c>
      <c r="NP39" s="13" t="s">
        <v>4132</v>
      </c>
      <c r="NQ39">
        <f t="shared" si="189"/>
        <v>0</v>
      </c>
      <c r="NR39" s="13" t="s">
        <v>4133</v>
      </c>
      <c r="NS39">
        <f t="shared" si="190"/>
        <v>0</v>
      </c>
      <c r="NT39" s="13" t="s">
        <v>4134</v>
      </c>
      <c r="NU39">
        <f t="shared" si="191"/>
        <v>0</v>
      </c>
      <c r="NV39" s="13"/>
    </row>
    <row r="40" spans="1:386" customFormat="1" x14ac:dyDescent="0.25">
      <c r="A40">
        <v>37</v>
      </c>
      <c r="B40">
        <f>'6'!AB151</f>
        <v>0</v>
      </c>
      <c r="C40">
        <f>'6'!AC151</f>
        <v>0</v>
      </c>
      <c r="D40">
        <f>'6'!AD151</f>
        <v>0</v>
      </c>
      <c r="E40">
        <f>'6'!AE151</f>
        <v>0</v>
      </c>
      <c r="F40">
        <f>'6'!AF151</f>
        <v>0</v>
      </c>
      <c r="G40">
        <f>'6'!AG151</f>
        <v>0</v>
      </c>
      <c r="H40">
        <f>'6'!AH151</f>
        <v>0</v>
      </c>
      <c r="I40">
        <f>'6'!AI151</f>
        <v>0</v>
      </c>
      <c r="J40">
        <f>'6'!AJ151</f>
        <v>0</v>
      </c>
      <c r="K40">
        <f>'6'!AK151</f>
        <v>0</v>
      </c>
      <c r="L40">
        <f>'6'!AL151</f>
        <v>0</v>
      </c>
      <c r="M40">
        <f>'6'!AM151</f>
        <v>0</v>
      </c>
      <c r="N40">
        <f>'6'!AN151</f>
        <v>0</v>
      </c>
      <c r="O40">
        <f>'6'!AO151</f>
        <v>0</v>
      </c>
      <c r="P40">
        <f>'6'!AP151</f>
        <v>0</v>
      </c>
      <c r="Q40">
        <f>'6'!AQ151</f>
        <v>0</v>
      </c>
      <c r="R40">
        <f>'6'!AR151</f>
        <v>0</v>
      </c>
      <c r="S40">
        <f>'6'!AS151</f>
        <v>0</v>
      </c>
      <c r="T40">
        <f>'6'!AT151</f>
        <v>0</v>
      </c>
      <c r="U40">
        <f>'6'!AU151</f>
        <v>0</v>
      </c>
      <c r="V40">
        <f>'6'!AV151</f>
        <v>0</v>
      </c>
      <c r="W40">
        <f>'6'!AW151</f>
        <v>0</v>
      </c>
      <c r="X40">
        <f>'6'!AX151</f>
        <v>0</v>
      </c>
      <c r="Y40">
        <f>'6'!AY151</f>
        <v>0</v>
      </c>
      <c r="Z40">
        <f>'6'!AZ151</f>
        <v>0</v>
      </c>
      <c r="AA40">
        <f>'6'!BA151</f>
        <v>0</v>
      </c>
      <c r="AB40">
        <f>'6'!BB151</f>
        <v>0</v>
      </c>
      <c r="AC40">
        <f>'6'!BC151</f>
        <v>0</v>
      </c>
      <c r="AD40">
        <f>'6'!BD151</f>
        <v>0</v>
      </c>
      <c r="AE40">
        <f>'6'!BE151</f>
        <v>0</v>
      </c>
      <c r="AF40">
        <f>'6'!BF151</f>
        <v>0</v>
      </c>
      <c r="AG40">
        <f>'6'!BG151</f>
        <v>0</v>
      </c>
      <c r="AH40">
        <f>'6'!BH151</f>
        <v>0</v>
      </c>
      <c r="AI40">
        <f>'6'!BI151</f>
        <v>0</v>
      </c>
      <c r="AJ40">
        <f>'6'!BJ151</f>
        <v>0</v>
      </c>
      <c r="AK40">
        <f>'6'!BK151</f>
        <v>0</v>
      </c>
      <c r="AL40">
        <f>'6'!BL151</f>
        <v>0</v>
      </c>
      <c r="AM40">
        <f>'6'!BM151</f>
        <v>0</v>
      </c>
      <c r="AN40">
        <f>'6'!BN151</f>
        <v>0</v>
      </c>
      <c r="AO40">
        <f>'6'!BO151</f>
        <v>0</v>
      </c>
      <c r="AP40">
        <f>'6'!BP151</f>
        <v>0</v>
      </c>
      <c r="AQ40">
        <f>'6'!BQ151</f>
        <v>0</v>
      </c>
      <c r="AR40">
        <f>'6'!BR151</f>
        <v>0</v>
      </c>
      <c r="AS40">
        <f>'6'!BS151</f>
        <v>0</v>
      </c>
      <c r="AT40">
        <f>'6'!BT151</f>
        <v>0</v>
      </c>
      <c r="AU40">
        <f>'6'!BU151</f>
        <v>0</v>
      </c>
      <c r="AV40">
        <f>'6'!BV151</f>
        <v>0</v>
      </c>
      <c r="AW40">
        <f>'6'!BW151</f>
        <v>0</v>
      </c>
      <c r="AX40">
        <f>'6'!BX151</f>
        <v>0</v>
      </c>
      <c r="AY40">
        <f>'6'!BY151</f>
        <v>0</v>
      </c>
      <c r="AZ40">
        <f>'6'!BZ151</f>
        <v>0</v>
      </c>
      <c r="BA40">
        <f>'6'!CA151</f>
        <v>0</v>
      </c>
      <c r="BB40">
        <f>'6'!CB151</f>
        <v>0</v>
      </c>
      <c r="BC40">
        <f>'6'!CC151</f>
        <v>0</v>
      </c>
      <c r="BD40">
        <f>'6'!CD151</f>
        <v>0</v>
      </c>
      <c r="BE40">
        <f>'6'!CE151</f>
        <v>0</v>
      </c>
      <c r="BF40">
        <f>'6'!CF151</f>
        <v>0</v>
      </c>
      <c r="BG40">
        <f>'6'!CG151</f>
        <v>0</v>
      </c>
      <c r="BH40">
        <f>'6'!CH151</f>
        <v>0</v>
      </c>
      <c r="BI40">
        <f>'6'!CI151</f>
        <v>0</v>
      </c>
      <c r="BJ40">
        <f>'6'!CJ151</f>
        <v>0</v>
      </c>
      <c r="BK40">
        <f>'6'!CK151</f>
        <v>0</v>
      </c>
      <c r="BL40">
        <f>'6'!CL151</f>
        <v>0</v>
      </c>
      <c r="BM40">
        <f>'6'!CM151</f>
        <v>0</v>
      </c>
      <c r="BN40">
        <f>'6'!CN151</f>
        <v>0</v>
      </c>
      <c r="BO40">
        <f>'6'!CO151</f>
        <v>0</v>
      </c>
      <c r="BP40">
        <f>'6'!CP151</f>
        <v>0</v>
      </c>
      <c r="BQ40">
        <f>'6'!CQ151</f>
        <v>0</v>
      </c>
      <c r="BR40">
        <f>'6'!CR151</f>
        <v>0</v>
      </c>
      <c r="BS40">
        <f>'6'!CS151</f>
        <v>0</v>
      </c>
      <c r="BT40">
        <f>'6'!CT151</f>
        <v>0</v>
      </c>
      <c r="BU40">
        <f>'6'!CU151</f>
        <v>0</v>
      </c>
      <c r="BV40">
        <f>'6'!CV151</f>
        <v>0</v>
      </c>
      <c r="BW40">
        <f>'6'!CW151</f>
        <v>0</v>
      </c>
      <c r="BX40">
        <f>'6'!CX151</f>
        <v>0</v>
      </c>
      <c r="BY40">
        <f>'6'!CY151</f>
        <v>0</v>
      </c>
      <c r="BZ40">
        <f>'6'!CZ151</f>
        <v>0</v>
      </c>
      <c r="CA40">
        <f>'6'!DA151</f>
        <v>0</v>
      </c>
      <c r="CB40">
        <f>'6'!DB151</f>
        <v>0</v>
      </c>
      <c r="CC40">
        <f>'6'!DC151</f>
        <v>0</v>
      </c>
      <c r="CD40">
        <f>'6'!DD151</f>
        <v>0</v>
      </c>
      <c r="CE40">
        <f>'6'!DE151</f>
        <v>0</v>
      </c>
      <c r="CF40">
        <f>'6'!DF151</f>
        <v>0</v>
      </c>
      <c r="CG40">
        <f>'6'!DG151</f>
        <v>0</v>
      </c>
      <c r="CH40">
        <f>SUM('7'!AB297:AB301)</f>
        <v>0</v>
      </c>
      <c r="CI40">
        <f>SUM('7'!AC297:AC301)</f>
        <v>0</v>
      </c>
      <c r="CJ40">
        <f>SUM('7'!AD297:AD301)</f>
        <v>0</v>
      </c>
      <c r="CK40">
        <f>SUM('7'!AE297:AE301)</f>
        <v>0</v>
      </c>
      <c r="CL40">
        <f>SUM('7'!AF297:AF301)</f>
        <v>0</v>
      </c>
      <c r="CM40">
        <f>SUM('7'!AG297:AG301)</f>
        <v>0</v>
      </c>
      <c r="CN40">
        <f>SUM('7'!AH297:AH301)</f>
        <v>0</v>
      </c>
      <c r="CO40">
        <f>SUM('7'!AI297:AI301)</f>
        <v>0</v>
      </c>
      <c r="CP40">
        <f>SUM('7'!AJ297:AJ301)</f>
        <v>0</v>
      </c>
      <c r="CQ40">
        <f>SUM('7'!AK297:AK301)</f>
        <v>0</v>
      </c>
      <c r="CR40">
        <f>SUM('7'!AL297:AL301)</f>
        <v>0</v>
      </c>
      <c r="CS40">
        <f>SUM('7'!AM297:AM301)</f>
        <v>0</v>
      </c>
      <c r="CT40">
        <f>SUM('7'!AN297:AN301)</f>
        <v>0</v>
      </c>
      <c r="CU40">
        <f>SUM('7'!AO297:AO301)</f>
        <v>0</v>
      </c>
      <c r="CV40">
        <f>SUM('7'!AP297:AP301)</f>
        <v>0</v>
      </c>
      <c r="CW40">
        <f>SUM('7'!AQ297:AQ301)</f>
        <v>0</v>
      </c>
      <c r="CX40">
        <f>SUM('7'!AR297:AR301)</f>
        <v>0</v>
      </c>
      <c r="CY40">
        <f>SUM('7'!AS297:AS301)</f>
        <v>0</v>
      </c>
      <c r="CZ40">
        <f>SUM('7'!AT297:AT301)</f>
        <v>0</v>
      </c>
      <c r="DA40">
        <f>SUM('7'!AU297:AU301)</f>
        <v>0</v>
      </c>
      <c r="DB40">
        <f>SUM('7'!AV297:AV301)</f>
        <v>0</v>
      </c>
      <c r="DC40">
        <f>SUM('7'!AW297:AW301)</f>
        <v>0</v>
      </c>
      <c r="DD40">
        <f>SUM('7'!AX297:AX301)</f>
        <v>0</v>
      </c>
      <c r="DE40">
        <f>SUM('7'!AY297:AY301)</f>
        <v>0</v>
      </c>
      <c r="DF40">
        <f>SUM('7'!AZ297:AZ301)</f>
        <v>0</v>
      </c>
      <c r="DG40">
        <f>SUM('7'!BA297:BA301)</f>
        <v>0</v>
      </c>
      <c r="DH40">
        <f>SUM('7'!BB297:BB301)</f>
        <v>0</v>
      </c>
      <c r="DI40">
        <f>SUM('7'!BC297:BC301)</f>
        <v>0</v>
      </c>
      <c r="DJ40">
        <f>SUM('7'!BD297:BD301)</f>
        <v>0</v>
      </c>
      <c r="DK40">
        <f>SUM('7'!BE297:BE301)</f>
        <v>0</v>
      </c>
      <c r="DL40">
        <f>SUM('7'!BF297:BF301)</f>
        <v>0</v>
      </c>
      <c r="DM40">
        <f>SUM('7'!BG297:BG301)</f>
        <v>0</v>
      </c>
      <c r="DN40">
        <f>SUM('7'!BH297:BH301)</f>
        <v>0</v>
      </c>
      <c r="DO40">
        <f>SUM('7'!BI297:BI301)</f>
        <v>0</v>
      </c>
      <c r="DP40">
        <f>SUM('7'!BJ297:BJ301)</f>
        <v>0</v>
      </c>
      <c r="DQ40">
        <f>SUM('7'!BK297:BK301)</f>
        <v>0</v>
      </c>
      <c r="DR40">
        <f>SUM('7'!BL297:BL301)</f>
        <v>0</v>
      </c>
      <c r="DS40">
        <f>SUM('7'!BM297:BM301)</f>
        <v>0</v>
      </c>
      <c r="DT40">
        <f>SUM('7'!BN297:BN301)</f>
        <v>0</v>
      </c>
      <c r="DU40">
        <f>SUM('7'!BO297:BO301)</f>
        <v>0</v>
      </c>
      <c r="DV40">
        <f>SUM('7'!BP297:BP301)</f>
        <v>0</v>
      </c>
      <c r="DW40">
        <f>SUM('7'!BQ297:BQ301)</f>
        <v>0</v>
      </c>
      <c r="DX40">
        <f>SUM('7'!BR297:BR301)</f>
        <v>0</v>
      </c>
      <c r="DY40">
        <f>SUM('7'!BS297:BS301)</f>
        <v>0</v>
      </c>
      <c r="DZ40">
        <f>SUM('7'!BT297:BT301)</f>
        <v>0</v>
      </c>
      <c r="EA40">
        <f>SUM('7'!BU297:BU301)</f>
        <v>0</v>
      </c>
      <c r="EB40">
        <f>SUM('7'!BV297:BV301)</f>
        <v>0</v>
      </c>
      <c r="EC40">
        <f>SUM('7'!BW297:BW301)</f>
        <v>0</v>
      </c>
      <c r="ED40">
        <f>SUM('7'!BX297:BX301)</f>
        <v>0</v>
      </c>
      <c r="EE40">
        <f>SUM('7'!BY297:BY301)</f>
        <v>0</v>
      </c>
      <c r="EF40">
        <f>SUM('7'!BZ297:BZ301)</f>
        <v>0</v>
      </c>
      <c r="EG40">
        <f>SUM('7'!CA297:CA301)</f>
        <v>0</v>
      </c>
      <c r="EH40">
        <f>SUM('7'!CB297:CB301)</f>
        <v>0</v>
      </c>
      <c r="EI40">
        <f>SUM('7'!CC297:CC301)</f>
        <v>0</v>
      </c>
      <c r="EJ40">
        <f>SUM('7'!CD297:CD301)</f>
        <v>0</v>
      </c>
      <c r="EK40">
        <f>SUM('7'!CE297:CE301)</f>
        <v>0</v>
      </c>
      <c r="EL40">
        <f>SUM('7'!CF297:CF301)</f>
        <v>0</v>
      </c>
      <c r="EM40">
        <f>SUM('7'!CG297:CG301)</f>
        <v>0</v>
      </c>
      <c r="EN40">
        <f>SUM('7'!CH297:CH301)</f>
        <v>0</v>
      </c>
      <c r="EO40">
        <f>SUM('7'!CI297:CI301)</f>
        <v>0</v>
      </c>
      <c r="EP40">
        <f>SUM('7'!CJ297:CJ301)</f>
        <v>0</v>
      </c>
      <c r="EQ40">
        <f>SUM('7'!CK297:CK301)</f>
        <v>0</v>
      </c>
      <c r="ER40">
        <f>SUM('7'!CL297:CL301)</f>
        <v>0</v>
      </c>
      <c r="ES40">
        <f>SUM('7'!CM297:CM301)</f>
        <v>0</v>
      </c>
      <c r="ET40">
        <f>SUM('7'!CN297:CN301)</f>
        <v>0</v>
      </c>
      <c r="EU40">
        <f>SUM('7'!CO297:CO301)</f>
        <v>0</v>
      </c>
      <c r="EV40">
        <f>SUM('7'!CP297:CP301)</f>
        <v>0</v>
      </c>
      <c r="EW40">
        <f>SUM('7'!CQ297:CQ301)</f>
        <v>0</v>
      </c>
      <c r="EX40">
        <f>SUM('7'!CR297:CR301)</f>
        <v>0</v>
      </c>
      <c r="EY40">
        <f>SUM('7'!CS297:CS301)</f>
        <v>0</v>
      </c>
      <c r="EZ40">
        <f>SUM('7'!CT297:CT301)</f>
        <v>0</v>
      </c>
      <c r="FA40">
        <f>SUM('7'!CU297:CU301)</f>
        <v>0</v>
      </c>
      <c r="FB40">
        <f>SUM('7'!CV297:CV301)</f>
        <v>0</v>
      </c>
      <c r="FC40">
        <f>SUM('7'!CW297:CW301)</f>
        <v>0</v>
      </c>
      <c r="FD40">
        <f>SUM('7'!CX297:CX301)</f>
        <v>0</v>
      </c>
      <c r="FE40">
        <f>SUM('7'!CY297:CY301)</f>
        <v>0</v>
      </c>
      <c r="FF40">
        <f>SUM('7'!CZ297:CZ301)</f>
        <v>0</v>
      </c>
      <c r="FG40">
        <f>SUM('7'!DA297:DA301)</f>
        <v>0</v>
      </c>
      <c r="FH40">
        <f>SUM('7'!DB297:DB301)</f>
        <v>0</v>
      </c>
      <c r="FI40">
        <f>SUM('7'!DC297:DC301)</f>
        <v>0</v>
      </c>
      <c r="FJ40">
        <f>SUM('7'!DD297:DD301)</f>
        <v>0</v>
      </c>
      <c r="FK40">
        <f>SUM('7'!DE297:DE301)</f>
        <v>0</v>
      </c>
      <c r="FL40">
        <f>SUM('7'!DF297:DF301)</f>
        <v>0</v>
      </c>
      <c r="FM40">
        <f>SUM('7'!DG297:DG301)</f>
        <v>0</v>
      </c>
      <c r="FN40" t="s">
        <v>4135</v>
      </c>
      <c r="FO40">
        <f t="shared" si="96"/>
        <v>0</v>
      </c>
      <c r="FP40" t="s">
        <v>4136</v>
      </c>
      <c r="FQ40">
        <f t="shared" si="97"/>
        <v>0</v>
      </c>
      <c r="FR40" t="s">
        <v>4137</v>
      </c>
      <c r="FS40">
        <f t="shared" si="98"/>
        <v>0</v>
      </c>
      <c r="FT40" t="s">
        <v>4138</v>
      </c>
      <c r="FU40">
        <f t="shared" si="99"/>
        <v>0</v>
      </c>
      <c r="FV40" t="s">
        <v>4139</v>
      </c>
      <c r="FW40">
        <f t="shared" si="100"/>
        <v>0</v>
      </c>
      <c r="FX40" t="s">
        <v>4140</v>
      </c>
      <c r="FY40">
        <f t="shared" si="101"/>
        <v>0</v>
      </c>
      <c r="FZ40" t="s">
        <v>4141</v>
      </c>
      <c r="GA40">
        <f t="shared" si="102"/>
        <v>0</v>
      </c>
      <c r="GB40" t="s">
        <v>4142</v>
      </c>
      <c r="GC40">
        <f t="shared" si="103"/>
        <v>0</v>
      </c>
      <c r="GD40" t="s">
        <v>4143</v>
      </c>
      <c r="GE40">
        <f t="shared" si="104"/>
        <v>0</v>
      </c>
      <c r="GF40" t="s">
        <v>4144</v>
      </c>
      <c r="GG40">
        <f t="shared" si="105"/>
        <v>0</v>
      </c>
      <c r="GH40" t="s">
        <v>4145</v>
      </c>
      <c r="GI40">
        <f t="shared" si="106"/>
        <v>0</v>
      </c>
      <c r="GJ40" t="s">
        <v>4146</v>
      </c>
      <c r="GK40">
        <f t="shared" si="107"/>
        <v>0</v>
      </c>
      <c r="GL40" t="s">
        <v>4147</v>
      </c>
      <c r="GM40">
        <f t="shared" si="108"/>
        <v>0</v>
      </c>
      <c r="GN40" t="s">
        <v>4148</v>
      </c>
      <c r="GO40">
        <f t="shared" si="109"/>
        <v>0</v>
      </c>
      <c r="GP40" t="s">
        <v>4149</v>
      </c>
      <c r="GQ40">
        <f t="shared" si="110"/>
        <v>0</v>
      </c>
      <c r="GR40" t="s">
        <v>4150</v>
      </c>
      <c r="GS40">
        <f t="shared" si="111"/>
        <v>0</v>
      </c>
      <c r="GT40" t="s">
        <v>4151</v>
      </c>
      <c r="GU40">
        <f t="shared" si="112"/>
        <v>0</v>
      </c>
      <c r="GV40" t="s">
        <v>4152</v>
      </c>
      <c r="GW40">
        <f t="shared" si="113"/>
        <v>0</v>
      </c>
      <c r="GX40" t="s">
        <v>4153</v>
      </c>
      <c r="GY40">
        <f t="shared" si="114"/>
        <v>0</v>
      </c>
      <c r="GZ40" t="s">
        <v>4154</v>
      </c>
      <c r="HA40">
        <f t="shared" si="115"/>
        <v>0</v>
      </c>
      <c r="HB40" t="s">
        <v>4155</v>
      </c>
      <c r="HC40">
        <f t="shared" si="116"/>
        <v>0</v>
      </c>
      <c r="HD40" t="s">
        <v>4156</v>
      </c>
      <c r="HE40">
        <f t="shared" si="117"/>
        <v>0</v>
      </c>
      <c r="HF40" t="s">
        <v>4157</v>
      </c>
      <c r="HG40">
        <f t="shared" si="118"/>
        <v>0</v>
      </c>
      <c r="HH40" t="s">
        <v>4158</v>
      </c>
      <c r="HI40">
        <f t="shared" si="119"/>
        <v>0</v>
      </c>
      <c r="HJ40" t="s">
        <v>4159</v>
      </c>
      <c r="HK40">
        <f t="shared" si="120"/>
        <v>0</v>
      </c>
      <c r="HL40" t="s">
        <v>4160</v>
      </c>
      <c r="HM40">
        <f t="shared" si="121"/>
        <v>0</v>
      </c>
      <c r="HN40" t="s">
        <v>4161</v>
      </c>
      <c r="HO40">
        <f t="shared" si="122"/>
        <v>0</v>
      </c>
      <c r="HP40" t="s">
        <v>4162</v>
      </c>
      <c r="HQ40">
        <f t="shared" si="123"/>
        <v>0</v>
      </c>
      <c r="HR40" t="s">
        <v>4163</v>
      </c>
      <c r="HS40">
        <f t="shared" si="124"/>
        <v>0</v>
      </c>
      <c r="HT40" t="s">
        <v>4164</v>
      </c>
      <c r="HU40">
        <f t="shared" si="125"/>
        <v>0</v>
      </c>
      <c r="HV40" t="s">
        <v>4165</v>
      </c>
      <c r="HW40">
        <f t="shared" si="126"/>
        <v>0</v>
      </c>
      <c r="HX40" t="s">
        <v>4166</v>
      </c>
      <c r="HY40">
        <f t="shared" si="127"/>
        <v>0</v>
      </c>
      <c r="HZ40" t="s">
        <v>4167</v>
      </c>
      <c r="IA40">
        <f t="shared" si="128"/>
        <v>0</v>
      </c>
      <c r="IB40" t="s">
        <v>4168</v>
      </c>
      <c r="IC40">
        <f t="shared" si="129"/>
        <v>0</v>
      </c>
      <c r="ID40" t="s">
        <v>4169</v>
      </c>
      <c r="IE40">
        <f t="shared" si="130"/>
        <v>0</v>
      </c>
      <c r="IF40" t="s">
        <v>4170</v>
      </c>
      <c r="IG40">
        <f t="shared" si="131"/>
        <v>0</v>
      </c>
      <c r="IH40" t="s">
        <v>4171</v>
      </c>
      <c r="II40">
        <f t="shared" si="132"/>
        <v>0</v>
      </c>
      <c r="IJ40" t="s">
        <v>4172</v>
      </c>
      <c r="IK40">
        <f t="shared" si="133"/>
        <v>0</v>
      </c>
      <c r="IL40" t="s">
        <v>4173</v>
      </c>
      <c r="IM40">
        <f t="shared" si="134"/>
        <v>0</v>
      </c>
      <c r="IN40" t="s">
        <v>4174</v>
      </c>
      <c r="IO40">
        <f t="shared" si="135"/>
        <v>0</v>
      </c>
      <c r="IP40" t="s">
        <v>4175</v>
      </c>
      <c r="IQ40">
        <f t="shared" si="136"/>
        <v>0</v>
      </c>
      <c r="IR40" t="s">
        <v>4176</v>
      </c>
      <c r="IS40">
        <f t="shared" si="137"/>
        <v>0</v>
      </c>
      <c r="IT40" t="s">
        <v>4177</v>
      </c>
      <c r="IU40">
        <f t="shared" si="138"/>
        <v>0</v>
      </c>
      <c r="IV40" t="s">
        <v>4178</v>
      </c>
      <c r="IW40">
        <f t="shared" si="139"/>
        <v>0</v>
      </c>
      <c r="IX40" t="s">
        <v>4179</v>
      </c>
      <c r="IY40">
        <f t="shared" si="140"/>
        <v>0</v>
      </c>
      <c r="IZ40" t="s">
        <v>4180</v>
      </c>
      <c r="JA40">
        <f t="shared" si="141"/>
        <v>0</v>
      </c>
      <c r="JB40" t="s">
        <v>4181</v>
      </c>
      <c r="JC40">
        <f t="shared" si="142"/>
        <v>0</v>
      </c>
      <c r="JD40" t="s">
        <v>4182</v>
      </c>
      <c r="JE40">
        <f t="shared" si="143"/>
        <v>0</v>
      </c>
      <c r="JF40" t="s">
        <v>4183</v>
      </c>
      <c r="JG40">
        <f t="shared" si="144"/>
        <v>0</v>
      </c>
      <c r="JH40" t="s">
        <v>4184</v>
      </c>
      <c r="JI40">
        <f t="shared" si="145"/>
        <v>0</v>
      </c>
      <c r="JJ40" t="s">
        <v>4185</v>
      </c>
      <c r="JK40">
        <f t="shared" si="146"/>
        <v>0</v>
      </c>
      <c r="JL40" t="s">
        <v>4186</v>
      </c>
      <c r="JM40">
        <f t="shared" si="147"/>
        <v>0</v>
      </c>
      <c r="JN40" t="s">
        <v>4187</v>
      </c>
      <c r="JO40">
        <f t="shared" si="148"/>
        <v>0</v>
      </c>
      <c r="JP40" t="s">
        <v>4188</v>
      </c>
      <c r="JQ40">
        <f t="shared" si="149"/>
        <v>0</v>
      </c>
      <c r="JR40" t="s">
        <v>4189</v>
      </c>
      <c r="JS40">
        <f t="shared" si="150"/>
        <v>0</v>
      </c>
      <c r="JT40" t="s">
        <v>4190</v>
      </c>
      <c r="JU40">
        <f t="shared" si="151"/>
        <v>0</v>
      </c>
      <c r="JV40" t="s">
        <v>4191</v>
      </c>
      <c r="JW40">
        <f t="shared" si="152"/>
        <v>0</v>
      </c>
      <c r="JX40" t="s">
        <v>4192</v>
      </c>
      <c r="JY40">
        <f t="shared" si="153"/>
        <v>0</v>
      </c>
      <c r="JZ40" t="s">
        <v>4193</v>
      </c>
      <c r="KA40">
        <f t="shared" si="154"/>
        <v>0</v>
      </c>
      <c r="KB40" t="s">
        <v>4194</v>
      </c>
      <c r="KC40">
        <f t="shared" si="155"/>
        <v>0</v>
      </c>
      <c r="KD40" t="s">
        <v>4195</v>
      </c>
      <c r="KE40">
        <f t="shared" si="156"/>
        <v>0</v>
      </c>
      <c r="KF40" t="s">
        <v>4196</v>
      </c>
      <c r="KG40">
        <f t="shared" si="157"/>
        <v>0</v>
      </c>
      <c r="KH40" t="s">
        <v>4197</v>
      </c>
      <c r="KI40">
        <f t="shared" si="158"/>
        <v>0</v>
      </c>
      <c r="KJ40" t="s">
        <v>4198</v>
      </c>
      <c r="KK40">
        <f t="shared" si="159"/>
        <v>0</v>
      </c>
      <c r="KL40" t="s">
        <v>4199</v>
      </c>
      <c r="KM40">
        <f t="shared" si="160"/>
        <v>0</v>
      </c>
      <c r="KN40" t="s">
        <v>4200</v>
      </c>
      <c r="KO40">
        <f t="shared" si="161"/>
        <v>0</v>
      </c>
      <c r="KP40" t="s">
        <v>4201</v>
      </c>
      <c r="KQ40">
        <f t="shared" si="162"/>
        <v>0</v>
      </c>
      <c r="KR40" t="s">
        <v>4202</v>
      </c>
      <c r="KS40">
        <f t="shared" si="163"/>
        <v>0</v>
      </c>
      <c r="KT40" t="s">
        <v>4203</v>
      </c>
      <c r="KU40">
        <f t="shared" si="164"/>
        <v>0</v>
      </c>
      <c r="KV40" t="s">
        <v>4204</v>
      </c>
      <c r="KW40">
        <f t="shared" si="165"/>
        <v>0</v>
      </c>
      <c r="KX40" t="s">
        <v>4205</v>
      </c>
      <c r="KY40">
        <f t="shared" si="166"/>
        <v>0</v>
      </c>
      <c r="KZ40" t="s">
        <v>4206</v>
      </c>
      <c r="LA40">
        <f t="shared" si="167"/>
        <v>0</v>
      </c>
      <c r="LB40" t="s">
        <v>4207</v>
      </c>
      <c r="LC40">
        <f t="shared" si="168"/>
        <v>0</v>
      </c>
      <c r="LD40" t="s">
        <v>4208</v>
      </c>
      <c r="LE40">
        <f t="shared" si="169"/>
        <v>0</v>
      </c>
      <c r="LF40" t="s">
        <v>4209</v>
      </c>
      <c r="LG40">
        <f t="shared" si="170"/>
        <v>0</v>
      </c>
      <c r="LH40" t="s">
        <v>4210</v>
      </c>
      <c r="LI40">
        <f t="shared" si="171"/>
        <v>0</v>
      </c>
      <c r="LJ40" t="s">
        <v>4211</v>
      </c>
      <c r="LK40">
        <f t="shared" si="172"/>
        <v>0</v>
      </c>
      <c r="LL40" t="s">
        <v>4212</v>
      </c>
      <c r="LM40">
        <f t="shared" si="173"/>
        <v>0</v>
      </c>
      <c r="LN40" t="s">
        <v>4213</v>
      </c>
      <c r="LO40">
        <f t="shared" si="174"/>
        <v>0</v>
      </c>
      <c r="LP40" t="s">
        <v>4214</v>
      </c>
      <c r="LQ40">
        <f t="shared" si="175"/>
        <v>0</v>
      </c>
      <c r="LR40" t="s">
        <v>4215</v>
      </c>
      <c r="LS40">
        <f t="shared" si="176"/>
        <v>0</v>
      </c>
      <c r="LT40" t="s">
        <v>4216</v>
      </c>
      <c r="LU40">
        <f t="shared" si="177"/>
        <v>0</v>
      </c>
      <c r="LV40" t="s">
        <v>4217</v>
      </c>
      <c r="LW40">
        <f t="shared" si="178"/>
        <v>0</v>
      </c>
      <c r="LX40" t="s">
        <v>4218</v>
      </c>
      <c r="LY40">
        <f t="shared" si="179"/>
        <v>0</v>
      </c>
      <c r="LZ40">
        <f>'6'!B152</f>
        <v>0</v>
      </c>
      <c r="MA40">
        <f>'6'!C152</f>
        <v>0</v>
      </c>
      <c r="MB40">
        <f>'6'!D152</f>
        <v>0</v>
      </c>
      <c r="MC40">
        <f>'6'!E152</f>
        <v>0</v>
      </c>
      <c r="MD40">
        <f>'6'!F152</f>
        <v>0</v>
      </c>
      <c r="ME40">
        <f>'6'!G152</f>
        <v>0</v>
      </c>
      <c r="MF40">
        <f>'6'!H152</f>
        <v>0</v>
      </c>
      <c r="MG40">
        <f>'6'!I152</f>
        <v>0</v>
      </c>
      <c r="MH40">
        <f>'6'!J152</f>
        <v>0</v>
      </c>
      <c r="MI40">
        <f>'6'!K152</f>
        <v>0</v>
      </c>
      <c r="MJ40">
        <f>'6'!L152</f>
        <v>0</v>
      </c>
      <c r="MK40">
        <f>'6'!M152</f>
        <v>0</v>
      </c>
      <c r="ML40" s="13">
        <f>'7'!B295</f>
        <v>0</v>
      </c>
      <c r="MM40" s="13">
        <f>'7'!C295</f>
        <v>0</v>
      </c>
      <c r="MN40" s="13">
        <f>'7'!D295</f>
        <v>0</v>
      </c>
      <c r="MO40" s="13">
        <f>'7'!E295</f>
        <v>0</v>
      </c>
      <c r="MP40" s="13">
        <f>'7'!F295</f>
        <v>0</v>
      </c>
      <c r="MQ40" s="13">
        <f>'7'!G295</f>
        <v>0</v>
      </c>
      <c r="MR40" s="13">
        <f>'7'!H295</f>
        <v>0</v>
      </c>
      <c r="MS40" s="13">
        <f>'7'!I295</f>
        <v>0</v>
      </c>
      <c r="MT40" s="13">
        <f>'7'!J295</f>
        <v>0</v>
      </c>
      <c r="MU40" s="13">
        <f>'7'!K295</f>
        <v>0</v>
      </c>
      <c r="MV40" s="13">
        <f>'7'!L295</f>
        <v>0</v>
      </c>
      <c r="MW40" s="13">
        <f>'7'!M295</f>
        <v>0</v>
      </c>
      <c r="MX40" s="13" t="s">
        <v>4219</v>
      </c>
      <c r="MY40">
        <f t="shared" si="180"/>
        <v>0</v>
      </c>
      <c r="MZ40" s="13" t="s">
        <v>4220</v>
      </c>
      <c r="NA40">
        <f t="shared" si="181"/>
        <v>0</v>
      </c>
      <c r="NB40" s="13" t="s">
        <v>4221</v>
      </c>
      <c r="NC40">
        <f t="shared" si="182"/>
        <v>0</v>
      </c>
      <c r="ND40" s="13" t="s">
        <v>4222</v>
      </c>
      <c r="NE40">
        <f t="shared" si="183"/>
        <v>0</v>
      </c>
      <c r="NF40" s="13" t="s">
        <v>4223</v>
      </c>
      <c r="NG40">
        <f t="shared" si="184"/>
        <v>0</v>
      </c>
      <c r="NH40" s="13" t="s">
        <v>4224</v>
      </c>
      <c r="NI40">
        <f t="shared" si="185"/>
        <v>0</v>
      </c>
      <c r="NJ40" s="13" t="s">
        <v>4225</v>
      </c>
      <c r="NK40">
        <f t="shared" si="186"/>
        <v>0</v>
      </c>
      <c r="NL40" s="13" t="s">
        <v>4226</v>
      </c>
      <c r="NM40">
        <f t="shared" si="187"/>
        <v>0</v>
      </c>
      <c r="NN40" s="13" t="s">
        <v>4227</v>
      </c>
      <c r="NO40">
        <f t="shared" si="188"/>
        <v>0</v>
      </c>
      <c r="NP40" s="13" t="s">
        <v>4228</v>
      </c>
      <c r="NQ40">
        <f t="shared" si="189"/>
        <v>0</v>
      </c>
      <c r="NR40" s="13" t="s">
        <v>4229</v>
      </c>
      <c r="NS40">
        <f t="shared" si="190"/>
        <v>0</v>
      </c>
      <c r="NT40" s="13" t="s">
        <v>4230</v>
      </c>
      <c r="NU40">
        <f t="shared" si="191"/>
        <v>0</v>
      </c>
      <c r="NV40" s="13"/>
    </row>
    <row r="41" spans="1:386" customFormat="1" x14ac:dyDescent="0.25">
      <c r="A41">
        <v>38</v>
      </c>
      <c r="B41">
        <f>'6'!AB155</f>
        <v>0</v>
      </c>
      <c r="C41">
        <f>'6'!AC155</f>
        <v>0</v>
      </c>
      <c r="D41">
        <f>'6'!AD155</f>
        <v>0</v>
      </c>
      <c r="E41">
        <f>'6'!AE155</f>
        <v>0</v>
      </c>
      <c r="F41">
        <f>'6'!AF155</f>
        <v>0</v>
      </c>
      <c r="G41">
        <f>'6'!AG155</f>
        <v>0</v>
      </c>
      <c r="H41">
        <f>'6'!AH155</f>
        <v>0</v>
      </c>
      <c r="I41">
        <f>'6'!AI155</f>
        <v>0</v>
      </c>
      <c r="J41">
        <f>'6'!AJ155</f>
        <v>0</v>
      </c>
      <c r="K41">
        <f>'6'!AK155</f>
        <v>0</v>
      </c>
      <c r="L41">
        <f>'6'!AL155</f>
        <v>0</v>
      </c>
      <c r="M41">
        <f>'6'!AM155</f>
        <v>0</v>
      </c>
      <c r="N41">
        <f>'6'!AN155</f>
        <v>0</v>
      </c>
      <c r="O41">
        <f>'6'!AO155</f>
        <v>0</v>
      </c>
      <c r="P41">
        <f>'6'!AP155</f>
        <v>0</v>
      </c>
      <c r="Q41">
        <f>'6'!AQ155</f>
        <v>0</v>
      </c>
      <c r="R41">
        <f>'6'!AR155</f>
        <v>0</v>
      </c>
      <c r="S41">
        <f>'6'!AS155</f>
        <v>0</v>
      </c>
      <c r="T41">
        <f>'6'!AT155</f>
        <v>0</v>
      </c>
      <c r="U41">
        <f>'6'!AU155</f>
        <v>0</v>
      </c>
      <c r="V41">
        <f>'6'!AV155</f>
        <v>0</v>
      </c>
      <c r="W41">
        <f>'6'!AW155</f>
        <v>0</v>
      </c>
      <c r="X41">
        <f>'6'!AX155</f>
        <v>0</v>
      </c>
      <c r="Y41">
        <f>'6'!AY155</f>
        <v>0</v>
      </c>
      <c r="Z41">
        <f>'6'!AZ155</f>
        <v>0</v>
      </c>
      <c r="AA41">
        <f>'6'!BA155</f>
        <v>0</v>
      </c>
      <c r="AB41">
        <f>'6'!BB155</f>
        <v>0</v>
      </c>
      <c r="AC41">
        <f>'6'!BC155</f>
        <v>0</v>
      </c>
      <c r="AD41">
        <f>'6'!BD155</f>
        <v>0</v>
      </c>
      <c r="AE41">
        <f>'6'!BE155</f>
        <v>0</v>
      </c>
      <c r="AF41">
        <f>'6'!BF155</f>
        <v>0</v>
      </c>
      <c r="AG41">
        <f>'6'!BG155</f>
        <v>0</v>
      </c>
      <c r="AH41">
        <f>'6'!BH155</f>
        <v>0</v>
      </c>
      <c r="AI41">
        <f>'6'!BI155</f>
        <v>0</v>
      </c>
      <c r="AJ41">
        <f>'6'!BJ155</f>
        <v>0</v>
      </c>
      <c r="AK41">
        <f>'6'!BK155</f>
        <v>0</v>
      </c>
      <c r="AL41">
        <f>'6'!BL155</f>
        <v>0</v>
      </c>
      <c r="AM41">
        <f>'6'!BM155</f>
        <v>0</v>
      </c>
      <c r="AN41">
        <f>'6'!BN155</f>
        <v>0</v>
      </c>
      <c r="AO41">
        <f>'6'!BO155</f>
        <v>0</v>
      </c>
      <c r="AP41">
        <f>'6'!BP155</f>
        <v>0</v>
      </c>
      <c r="AQ41">
        <f>'6'!BQ155</f>
        <v>0</v>
      </c>
      <c r="AR41">
        <f>'6'!BR155</f>
        <v>0</v>
      </c>
      <c r="AS41">
        <f>'6'!BS155</f>
        <v>0</v>
      </c>
      <c r="AT41">
        <f>'6'!BT155</f>
        <v>0</v>
      </c>
      <c r="AU41">
        <f>'6'!BU155</f>
        <v>0</v>
      </c>
      <c r="AV41">
        <f>'6'!BV155</f>
        <v>0</v>
      </c>
      <c r="AW41">
        <f>'6'!BW155</f>
        <v>0</v>
      </c>
      <c r="AX41">
        <f>'6'!BX155</f>
        <v>0</v>
      </c>
      <c r="AY41">
        <f>'6'!BY155</f>
        <v>0</v>
      </c>
      <c r="AZ41">
        <f>'6'!BZ155</f>
        <v>0</v>
      </c>
      <c r="BA41">
        <f>'6'!CA155</f>
        <v>0</v>
      </c>
      <c r="BB41">
        <f>'6'!CB155</f>
        <v>0</v>
      </c>
      <c r="BC41">
        <f>'6'!CC155</f>
        <v>0</v>
      </c>
      <c r="BD41">
        <f>'6'!CD155</f>
        <v>0</v>
      </c>
      <c r="BE41">
        <f>'6'!CE155</f>
        <v>0</v>
      </c>
      <c r="BF41">
        <f>'6'!CF155</f>
        <v>0</v>
      </c>
      <c r="BG41">
        <f>'6'!CG155</f>
        <v>0</v>
      </c>
      <c r="BH41">
        <f>'6'!CH155</f>
        <v>0</v>
      </c>
      <c r="BI41">
        <f>'6'!CI155</f>
        <v>0</v>
      </c>
      <c r="BJ41">
        <f>'6'!CJ155</f>
        <v>0</v>
      </c>
      <c r="BK41">
        <f>'6'!CK155</f>
        <v>0</v>
      </c>
      <c r="BL41">
        <f>'6'!CL155</f>
        <v>0</v>
      </c>
      <c r="BM41">
        <f>'6'!CM155</f>
        <v>0</v>
      </c>
      <c r="BN41">
        <f>'6'!CN155</f>
        <v>0</v>
      </c>
      <c r="BO41">
        <f>'6'!CO155</f>
        <v>0</v>
      </c>
      <c r="BP41">
        <f>'6'!CP155</f>
        <v>0</v>
      </c>
      <c r="BQ41">
        <f>'6'!CQ155</f>
        <v>0</v>
      </c>
      <c r="BR41">
        <f>'6'!CR155</f>
        <v>0</v>
      </c>
      <c r="BS41">
        <f>'6'!CS155</f>
        <v>0</v>
      </c>
      <c r="BT41">
        <f>'6'!CT155</f>
        <v>0</v>
      </c>
      <c r="BU41">
        <f>'6'!CU155</f>
        <v>0</v>
      </c>
      <c r="BV41">
        <f>'6'!CV155</f>
        <v>0</v>
      </c>
      <c r="BW41">
        <f>'6'!CW155</f>
        <v>0</v>
      </c>
      <c r="BX41">
        <f>'6'!CX155</f>
        <v>0</v>
      </c>
      <c r="BY41">
        <f>'6'!CY155</f>
        <v>0</v>
      </c>
      <c r="BZ41">
        <f>'6'!CZ155</f>
        <v>0</v>
      </c>
      <c r="CA41">
        <f>'6'!DA155</f>
        <v>0</v>
      </c>
      <c r="CB41">
        <f>'6'!DB155</f>
        <v>0</v>
      </c>
      <c r="CC41">
        <f>'6'!DC155</f>
        <v>0</v>
      </c>
      <c r="CD41">
        <f>'6'!DD155</f>
        <v>0</v>
      </c>
      <c r="CE41">
        <f>'6'!DE155</f>
        <v>0</v>
      </c>
      <c r="CF41">
        <f>'6'!DF155</f>
        <v>0</v>
      </c>
      <c r="CG41">
        <f>'6'!DG155</f>
        <v>0</v>
      </c>
      <c r="CH41">
        <f>SUM('7'!AB305:AB309)</f>
        <v>0</v>
      </c>
      <c r="CI41">
        <f>SUM('7'!AC305:AC309)</f>
        <v>0</v>
      </c>
      <c r="CJ41">
        <f>SUM('7'!AD305:AD309)</f>
        <v>0</v>
      </c>
      <c r="CK41">
        <f>SUM('7'!AE305:AE309)</f>
        <v>0</v>
      </c>
      <c r="CL41">
        <f>SUM('7'!AF305:AF309)</f>
        <v>0</v>
      </c>
      <c r="CM41">
        <f>SUM('7'!AG305:AG309)</f>
        <v>0</v>
      </c>
      <c r="CN41">
        <f>SUM('7'!AH305:AH309)</f>
        <v>0</v>
      </c>
      <c r="CO41">
        <f>SUM('7'!AI305:AI309)</f>
        <v>0</v>
      </c>
      <c r="CP41">
        <f>SUM('7'!AJ305:AJ309)</f>
        <v>0</v>
      </c>
      <c r="CQ41">
        <f>SUM('7'!AK305:AK309)</f>
        <v>0</v>
      </c>
      <c r="CR41">
        <f>SUM('7'!AL305:AL309)</f>
        <v>0</v>
      </c>
      <c r="CS41">
        <f>SUM('7'!AM305:AM309)</f>
        <v>0</v>
      </c>
      <c r="CT41">
        <f>SUM('7'!AN305:AN309)</f>
        <v>0</v>
      </c>
      <c r="CU41">
        <f>SUM('7'!AO305:AO309)</f>
        <v>0</v>
      </c>
      <c r="CV41">
        <f>SUM('7'!AP305:AP309)</f>
        <v>0</v>
      </c>
      <c r="CW41">
        <f>SUM('7'!AQ305:AQ309)</f>
        <v>0</v>
      </c>
      <c r="CX41">
        <f>SUM('7'!AR305:AR309)</f>
        <v>0</v>
      </c>
      <c r="CY41">
        <f>SUM('7'!AS305:AS309)</f>
        <v>0</v>
      </c>
      <c r="CZ41">
        <f>SUM('7'!AT305:AT309)</f>
        <v>0</v>
      </c>
      <c r="DA41">
        <f>SUM('7'!AU305:AU309)</f>
        <v>0</v>
      </c>
      <c r="DB41">
        <f>SUM('7'!AV305:AV309)</f>
        <v>0</v>
      </c>
      <c r="DC41">
        <f>SUM('7'!AW305:AW309)</f>
        <v>0</v>
      </c>
      <c r="DD41">
        <f>SUM('7'!AX305:AX309)</f>
        <v>0</v>
      </c>
      <c r="DE41">
        <f>SUM('7'!AY305:AY309)</f>
        <v>0</v>
      </c>
      <c r="DF41">
        <f>SUM('7'!AZ305:AZ309)</f>
        <v>0</v>
      </c>
      <c r="DG41">
        <f>SUM('7'!BA305:BA309)</f>
        <v>0</v>
      </c>
      <c r="DH41">
        <f>SUM('7'!BB305:BB309)</f>
        <v>0</v>
      </c>
      <c r="DI41">
        <f>SUM('7'!BC305:BC309)</f>
        <v>0</v>
      </c>
      <c r="DJ41">
        <f>SUM('7'!BD305:BD309)</f>
        <v>0</v>
      </c>
      <c r="DK41">
        <f>SUM('7'!BE305:BE309)</f>
        <v>0</v>
      </c>
      <c r="DL41">
        <f>SUM('7'!BF305:BF309)</f>
        <v>0</v>
      </c>
      <c r="DM41">
        <f>SUM('7'!BG305:BG309)</f>
        <v>0</v>
      </c>
      <c r="DN41">
        <f>SUM('7'!BH305:BH309)</f>
        <v>0</v>
      </c>
      <c r="DO41">
        <f>SUM('7'!BI305:BI309)</f>
        <v>0</v>
      </c>
      <c r="DP41">
        <f>SUM('7'!BJ305:BJ309)</f>
        <v>0</v>
      </c>
      <c r="DQ41">
        <f>SUM('7'!BK305:BK309)</f>
        <v>0</v>
      </c>
      <c r="DR41">
        <f>SUM('7'!BL305:BL309)</f>
        <v>0</v>
      </c>
      <c r="DS41">
        <f>SUM('7'!BM305:BM309)</f>
        <v>0</v>
      </c>
      <c r="DT41">
        <f>SUM('7'!BN305:BN309)</f>
        <v>0</v>
      </c>
      <c r="DU41">
        <f>SUM('7'!BO305:BO309)</f>
        <v>0</v>
      </c>
      <c r="DV41">
        <f>SUM('7'!BP305:BP309)</f>
        <v>0</v>
      </c>
      <c r="DW41">
        <f>SUM('7'!BQ305:BQ309)</f>
        <v>0</v>
      </c>
      <c r="DX41">
        <f>SUM('7'!BR305:BR309)</f>
        <v>0</v>
      </c>
      <c r="DY41">
        <f>SUM('7'!BS305:BS309)</f>
        <v>0</v>
      </c>
      <c r="DZ41">
        <f>SUM('7'!BT305:BT309)</f>
        <v>0</v>
      </c>
      <c r="EA41">
        <f>SUM('7'!BU305:BU309)</f>
        <v>0</v>
      </c>
      <c r="EB41">
        <f>SUM('7'!BV305:BV309)</f>
        <v>0</v>
      </c>
      <c r="EC41">
        <f>SUM('7'!BW305:BW309)</f>
        <v>0</v>
      </c>
      <c r="ED41">
        <f>SUM('7'!BX305:BX309)</f>
        <v>0</v>
      </c>
      <c r="EE41">
        <f>SUM('7'!BY305:BY309)</f>
        <v>0</v>
      </c>
      <c r="EF41">
        <f>SUM('7'!BZ305:BZ309)</f>
        <v>0</v>
      </c>
      <c r="EG41">
        <f>SUM('7'!CA305:CA309)</f>
        <v>0</v>
      </c>
      <c r="EH41">
        <f>SUM('7'!CB305:CB309)</f>
        <v>0</v>
      </c>
      <c r="EI41">
        <f>SUM('7'!CC305:CC309)</f>
        <v>0</v>
      </c>
      <c r="EJ41">
        <f>SUM('7'!CD305:CD309)</f>
        <v>0</v>
      </c>
      <c r="EK41">
        <f>SUM('7'!CE305:CE309)</f>
        <v>0</v>
      </c>
      <c r="EL41">
        <f>SUM('7'!CF305:CF309)</f>
        <v>0</v>
      </c>
      <c r="EM41">
        <f>SUM('7'!CG305:CG309)</f>
        <v>0</v>
      </c>
      <c r="EN41">
        <f>SUM('7'!CH305:CH309)</f>
        <v>0</v>
      </c>
      <c r="EO41">
        <f>SUM('7'!CI305:CI309)</f>
        <v>0</v>
      </c>
      <c r="EP41">
        <f>SUM('7'!CJ305:CJ309)</f>
        <v>0</v>
      </c>
      <c r="EQ41">
        <f>SUM('7'!CK305:CK309)</f>
        <v>0</v>
      </c>
      <c r="ER41">
        <f>SUM('7'!CL305:CL309)</f>
        <v>0</v>
      </c>
      <c r="ES41">
        <f>SUM('7'!CM305:CM309)</f>
        <v>0</v>
      </c>
      <c r="ET41">
        <f>SUM('7'!CN305:CN309)</f>
        <v>0</v>
      </c>
      <c r="EU41">
        <f>SUM('7'!CO305:CO309)</f>
        <v>0</v>
      </c>
      <c r="EV41">
        <f>SUM('7'!CP305:CP309)</f>
        <v>0</v>
      </c>
      <c r="EW41">
        <f>SUM('7'!CQ305:CQ309)</f>
        <v>0</v>
      </c>
      <c r="EX41">
        <f>SUM('7'!CR305:CR309)</f>
        <v>0</v>
      </c>
      <c r="EY41">
        <f>SUM('7'!CS305:CS309)</f>
        <v>0</v>
      </c>
      <c r="EZ41">
        <f>SUM('7'!CT305:CT309)</f>
        <v>0</v>
      </c>
      <c r="FA41">
        <f>SUM('7'!CU305:CU309)</f>
        <v>0</v>
      </c>
      <c r="FB41">
        <f>SUM('7'!CV305:CV309)</f>
        <v>0</v>
      </c>
      <c r="FC41">
        <f>SUM('7'!CW305:CW309)</f>
        <v>0</v>
      </c>
      <c r="FD41">
        <f>SUM('7'!CX305:CX309)</f>
        <v>0</v>
      </c>
      <c r="FE41">
        <f>SUM('7'!CY305:CY309)</f>
        <v>0</v>
      </c>
      <c r="FF41">
        <f>SUM('7'!CZ305:CZ309)</f>
        <v>0</v>
      </c>
      <c r="FG41">
        <f>SUM('7'!DA305:DA309)</f>
        <v>0</v>
      </c>
      <c r="FH41">
        <f>SUM('7'!DB305:DB309)</f>
        <v>0</v>
      </c>
      <c r="FI41">
        <f>SUM('7'!DC305:DC309)</f>
        <v>0</v>
      </c>
      <c r="FJ41">
        <f>SUM('7'!DD305:DD309)</f>
        <v>0</v>
      </c>
      <c r="FK41">
        <f>SUM('7'!DE305:DE309)</f>
        <v>0</v>
      </c>
      <c r="FL41">
        <f>SUM('7'!DF305:DF309)</f>
        <v>0</v>
      </c>
      <c r="FM41">
        <f>SUM('7'!DG305:DG309)</f>
        <v>0</v>
      </c>
      <c r="FN41" t="s">
        <v>4231</v>
      </c>
      <c r="FO41">
        <f t="shared" si="96"/>
        <v>0</v>
      </c>
      <c r="FP41" t="s">
        <v>4232</v>
      </c>
      <c r="FQ41">
        <f t="shared" si="97"/>
        <v>0</v>
      </c>
      <c r="FR41" t="s">
        <v>4233</v>
      </c>
      <c r="FS41">
        <f t="shared" si="98"/>
        <v>0</v>
      </c>
      <c r="FT41" t="s">
        <v>4234</v>
      </c>
      <c r="FU41">
        <f t="shared" si="99"/>
        <v>0</v>
      </c>
      <c r="FV41" t="s">
        <v>4235</v>
      </c>
      <c r="FW41">
        <f t="shared" si="100"/>
        <v>0</v>
      </c>
      <c r="FX41" t="s">
        <v>4236</v>
      </c>
      <c r="FY41">
        <f t="shared" si="101"/>
        <v>0</v>
      </c>
      <c r="FZ41" t="s">
        <v>4237</v>
      </c>
      <c r="GA41">
        <f t="shared" si="102"/>
        <v>0</v>
      </c>
      <c r="GB41" t="s">
        <v>4238</v>
      </c>
      <c r="GC41">
        <f t="shared" si="103"/>
        <v>0</v>
      </c>
      <c r="GD41" t="s">
        <v>4239</v>
      </c>
      <c r="GE41">
        <f t="shared" si="104"/>
        <v>0</v>
      </c>
      <c r="GF41" t="s">
        <v>4240</v>
      </c>
      <c r="GG41">
        <f t="shared" si="105"/>
        <v>0</v>
      </c>
      <c r="GH41" t="s">
        <v>4241</v>
      </c>
      <c r="GI41">
        <f t="shared" si="106"/>
        <v>0</v>
      </c>
      <c r="GJ41" t="s">
        <v>4242</v>
      </c>
      <c r="GK41">
        <f t="shared" si="107"/>
        <v>0</v>
      </c>
      <c r="GL41" t="s">
        <v>4243</v>
      </c>
      <c r="GM41">
        <f t="shared" si="108"/>
        <v>0</v>
      </c>
      <c r="GN41" t="s">
        <v>4244</v>
      </c>
      <c r="GO41">
        <f t="shared" si="109"/>
        <v>0</v>
      </c>
      <c r="GP41" t="s">
        <v>4245</v>
      </c>
      <c r="GQ41">
        <f t="shared" si="110"/>
        <v>0</v>
      </c>
      <c r="GR41" t="s">
        <v>4246</v>
      </c>
      <c r="GS41">
        <f t="shared" si="111"/>
        <v>0</v>
      </c>
      <c r="GT41" t="s">
        <v>4247</v>
      </c>
      <c r="GU41">
        <f t="shared" si="112"/>
        <v>0</v>
      </c>
      <c r="GV41" t="s">
        <v>4248</v>
      </c>
      <c r="GW41">
        <f t="shared" si="113"/>
        <v>0</v>
      </c>
      <c r="GX41" t="s">
        <v>4249</v>
      </c>
      <c r="GY41">
        <f t="shared" si="114"/>
        <v>0</v>
      </c>
      <c r="GZ41" t="s">
        <v>4250</v>
      </c>
      <c r="HA41">
        <f t="shared" si="115"/>
        <v>0</v>
      </c>
      <c r="HB41" t="s">
        <v>4251</v>
      </c>
      <c r="HC41">
        <f t="shared" si="116"/>
        <v>0</v>
      </c>
      <c r="HD41" t="s">
        <v>4252</v>
      </c>
      <c r="HE41">
        <f t="shared" si="117"/>
        <v>0</v>
      </c>
      <c r="HF41" t="s">
        <v>4253</v>
      </c>
      <c r="HG41">
        <f t="shared" si="118"/>
        <v>0</v>
      </c>
      <c r="HH41" t="s">
        <v>4254</v>
      </c>
      <c r="HI41">
        <f t="shared" si="119"/>
        <v>0</v>
      </c>
      <c r="HJ41" t="s">
        <v>4255</v>
      </c>
      <c r="HK41">
        <f t="shared" si="120"/>
        <v>0</v>
      </c>
      <c r="HL41" t="s">
        <v>4256</v>
      </c>
      <c r="HM41">
        <f t="shared" si="121"/>
        <v>0</v>
      </c>
      <c r="HN41" t="s">
        <v>4257</v>
      </c>
      <c r="HO41">
        <f t="shared" si="122"/>
        <v>0</v>
      </c>
      <c r="HP41" t="s">
        <v>4258</v>
      </c>
      <c r="HQ41">
        <f t="shared" si="123"/>
        <v>0</v>
      </c>
      <c r="HR41" t="s">
        <v>4259</v>
      </c>
      <c r="HS41">
        <f t="shared" si="124"/>
        <v>0</v>
      </c>
      <c r="HT41" t="s">
        <v>4260</v>
      </c>
      <c r="HU41">
        <f t="shared" si="125"/>
        <v>0</v>
      </c>
      <c r="HV41" t="s">
        <v>4261</v>
      </c>
      <c r="HW41">
        <f t="shared" si="126"/>
        <v>0</v>
      </c>
      <c r="HX41" t="s">
        <v>4262</v>
      </c>
      <c r="HY41">
        <f t="shared" si="127"/>
        <v>0</v>
      </c>
      <c r="HZ41" t="s">
        <v>4263</v>
      </c>
      <c r="IA41">
        <f t="shared" si="128"/>
        <v>0</v>
      </c>
      <c r="IB41" t="s">
        <v>4264</v>
      </c>
      <c r="IC41">
        <f t="shared" si="129"/>
        <v>0</v>
      </c>
      <c r="ID41" t="s">
        <v>4265</v>
      </c>
      <c r="IE41">
        <f t="shared" si="130"/>
        <v>0</v>
      </c>
      <c r="IF41" t="s">
        <v>4266</v>
      </c>
      <c r="IG41">
        <f t="shared" si="131"/>
        <v>0</v>
      </c>
      <c r="IH41" t="s">
        <v>4267</v>
      </c>
      <c r="II41">
        <f t="shared" si="132"/>
        <v>0</v>
      </c>
      <c r="IJ41" t="s">
        <v>4268</v>
      </c>
      <c r="IK41">
        <f t="shared" si="133"/>
        <v>0</v>
      </c>
      <c r="IL41" t="s">
        <v>4269</v>
      </c>
      <c r="IM41">
        <f t="shared" si="134"/>
        <v>0</v>
      </c>
      <c r="IN41" t="s">
        <v>4270</v>
      </c>
      <c r="IO41">
        <f t="shared" si="135"/>
        <v>0</v>
      </c>
      <c r="IP41" t="s">
        <v>4271</v>
      </c>
      <c r="IQ41">
        <f t="shared" si="136"/>
        <v>0</v>
      </c>
      <c r="IR41" t="s">
        <v>4272</v>
      </c>
      <c r="IS41">
        <f t="shared" si="137"/>
        <v>0</v>
      </c>
      <c r="IT41" t="s">
        <v>4273</v>
      </c>
      <c r="IU41">
        <f t="shared" si="138"/>
        <v>0</v>
      </c>
      <c r="IV41" t="s">
        <v>4274</v>
      </c>
      <c r="IW41">
        <f t="shared" si="139"/>
        <v>0</v>
      </c>
      <c r="IX41" t="s">
        <v>4275</v>
      </c>
      <c r="IY41">
        <f t="shared" si="140"/>
        <v>0</v>
      </c>
      <c r="IZ41" t="s">
        <v>4276</v>
      </c>
      <c r="JA41">
        <f t="shared" si="141"/>
        <v>0</v>
      </c>
      <c r="JB41" t="s">
        <v>4277</v>
      </c>
      <c r="JC41">
        <f t="shared" si="142"/>
        <v>0</v>
      </c>
      <c r="JD41" t="s">
        <v>4278</v>
      </c>
      <c r="JE41">
        <f t="shared" si="143"/>
        <v>0</v>
      </c>
      <c r="JF41" t="s">
        <v>4279</v>
      </c>
      <c r="JG41">
        <f t="shared" si="144"/>
        <v>0</v>
      </c>
      <c r="JH41" t="s">
        <v>4280</v>
      </c>
      <c r="JI41">
        <f t="shared" si="145"/>
        <v>0</v>
      </c>
      <c r="JJ41" t="s">
        <v>4281</v>
      </c>
      <c r="JK41">
        <f t="shared" si="146"/>
        <v>0</v>
      </c>
      <c r="JL41" t="s">
        <v>4282</v>
      </c>
      <c r="JM41">
        <f t="shared" si="147"/>
        <v>0</v>
      </c>
      <c r="JN41" t="s">
        <v>4283</v>
      </c>
      <c r="JO41">
        <f t="shared" si="148"/>
        <v>0</v>
      </c>
      <c r="JP41" t="s">
        <v>4284</v>
      </c>
      <c r="JQ41">
        <f t="shared" si="149"/>
        <v>0</v>
      </c>
      <c r="JR41" t="s">
        <v>4285</v>
      </c>
      <c r="JS41">
        <f t="shared" si="150"/>
        <v>0</v>
      </c>
      <c r="JT41" t="s">
        <v>4286</v>
      </c>
      <c r="JU41">
        <f t="shared" si="151"/>
        <v>0</v>
      </c>
      <c r="JV41" t="s">
        <v>4287</v>
      </c>
      <c r="JW41">
        <f t="shared" si="152"/>
        <v>0</v>
      </c>
      <c r="JX41" t="s">
        <v>4288</v>
      </c>
      <c r="JY41">
        <f t="shared" si="153"/>
        <v>0</v>
      </c>
      <c r="JZ41" t="s">
        <v>4289</v>
      </c>
      <c r="KA41">
        <f t="shared" si="154"/>
        <v>0</v>
      </c>
      <c r="KB41" t="s">
        <v>4290</v>
      </c>
      <c r="KC41">
        <f t="shared" si="155"/>
        <v>0</v>
      </c>
      <c r="KD41" t="s">
        <v>4291</v>
      </c>
      <c r="KE41">
        <f t="shared" si="156"/>
        <v>0</v>
      </c>
      <c r="KF41" t="s">
        <v>4292</v>
      </c>
      <c r="KG41">
        <f t="shared" si="157"/>
        <v>0</v>
      </c>
      <c r="KH41" t="s">
        <v>4293</v>
      </c>
      <c r="KI41">
        <f t="shared" si="158"/>
        <v>0</v>
      </c>
      <c r="KJ41" t="s">
        <v>4294</v>
      </c>
      <c r="KK41">
        <f t="shared" si="159"/>
        <v>0</v>
      </c>
      <c r="KL41" t="s">
        <v>4295</v>
      </c>
      <c r="KM41">
        <f t="shared" si="160"/>
        <v>0</v>
      </c>
      <c r="KN41" t="s">
        <v>4296</v>
      </c>
      <c r="KO41">
        <f t="shared" si="161"/>
        <v>0</v>
      </c>
      <c r="KP41" t="s">
        <v>4297</v>
      </c>
      <c r="KQ41">
        <f t="shared" si="162"/>
        <v>0</v>
      </c>
      <c r="KR41" t="s">
        <v>4298</v>
      </c>
      <c r="KS41">
        <f t="shared" si="163"/>
        <v>0</v>
      </c>
      <c r="KT41" t="s">
        <v>4299</v>
      </c>
      <c r="KU41">
        <f t="shared" si="164"/>
        <v>0</v>
      </c>
      <c r="KV41" t="s">
        <v>4300</v>
      </c>
      <c r="KW41">
        <f t="shared" si="165"/>
        <v>0</v>
      </c>
      <c r="KX41" t="s">
        <v>4301</v>
      </c>
      <c r="KY41">
        <f t="shared" si="166"/>
        <v>0</v>
      </c>
      <c r="KZ41" t="s">
        <v>4302</v>
      </c>
      <c r="LA41">
        <f t="shared" si="167"/>
        <v>0</v>
      </c>
      <c r="LB41" t="s">
        <v>4303</v>
      </c>
      <c r="LC41">
        <f t="shared" si="168"/>
        <v>0</v>
      </c>
      <c r="LD41" t="s">
        <v>4304</v>
      </c>
      <c r="LE41">
        <f t="shared" si="169"/>
        <v>0</v>
      </c>
      <c r="LF41" t="s">
        <v>4305</v>
      </c>
      <c r="LG41">
        <f t="shared" si="170"/>
        <v>0</v>
      </c>
      <c r="LH41" t="s">
        <v>4306</v>
      </c>
      <c r="LI41">
        <f t="shared" si="171"/>
        <v>0</v>
      </c>
      <c r="LJ41" t="s">
        <v>4307</v>
      </c>
      <c r="LK41">
        <f t="shared" si="172"/>
        <v>0</v>
      </c>
      <c r="LL41" t="s">
        <v>4308</v>
      </c>
      <c r="LM41">
        <f t="shared" si="173"/>
        <v>0</v>
      </c>
      <c r="LN41" t="s">
        <v>4309</v>
      </c>
      <c r="LO41">
        <f t="shared" si="174"/>
        <v>0</v>
      </c>
      <c r="LP41" t="s">
        <v>4310</v>
      </c>
      <c r="LQ41">
        <f t="shared" si="175"/>
        <v>0</v>
      </c>
      <c r="LR41" t="s">
        <v>4311</v>
      </c>
      <c r="LS41">
        <f t="shared" si="176"/>
        <v>0</v>
      </c>
      <c r="LT41" t="s">
        <v>4312</v>
      </c>
      <c r="LU41">
        <f t="shared" si="177"/>
        <v>0</v>
      </c>
      <c r="LV41" t="s">
        <v>4313</v>
      </c>
      <c r="LW41">
        <f t="shared" si="178"/>
        <v>0</v>
      </c>
      <c r="LX41" t="s">
        <v>4314</v>
      </c>
      <c r="LY41">
        <f t="shared" si="179"/>
        <v>0</v>
      </c>
      <c r="LZ41">
        <f>'6'!B156</f>
        <v>0</v>
      </c>
      <c r="MA41">
        <f>'6'!C156</f>
        <v>0</v>
      </c>
      <c r="MB41">
        <f>'6'!D156</f>
        <v>0</v>
      </c>
      <c r="MC41">
        <f>'6'!E156</f>
        <v>0</v>
      </c>
      <c r="MD41">
        <f>'6'!F156</f>
        <v>0</v>
      </c>
      <c r="ME41">
        <f>'6'!G156</f>
        <v>0</v>
      </c>
      <c r="MF41">
        <f>'6'!H156</f>
        <v>0</v>
      </c>
      <c r="MG41">
        <f>'6'!I156</f>
        <v>0</v>
      </c>
      <c r="MH41">
        <f>'6'!J156</f>
        <v>0</v>
      </c>
      <c r="MI41">
        <f>'6'!K156</f>
        <v>0</v>
      </c>
      <c r="MJ41">
        <f>'6'!L156</f>
        <v>0</v>
      </c>
      <c r="MK41">
        <f>'6'!M156</f>
        <v>0</v>
      </c>
      <c r="ML41" s="13">
        <f>'7'!B303</f>
        <v>0</v>
      </c>
      <c r="MM41" s="13">
        <f>'7'!C303</f>
        <v>0</v>
      </c>
      <c r="MN41" s="13">
        <f>'7'!D303</f>
        <v>0</v>
      </c>
      <c r="MO41" s="13">
        <f>'7'!E303</f>
        <v>0</v>
      </c>
      <c r="MP41" s="13">
        <f>'7'!F303</f>
        <v>0</v>
      </c>
      <c r="MQ41" s="13">
        <f>'7'!G303</f>
        <v>0</v>
      </c>
      <c r="MR41" s="13">
        <f>'7'!H303</f>
        <v>0</v>
      </c>
      <c r="MS41" s="13">
        <f>'7'!I303</f>
        <v>0</v>
      </c>
      <c r="MT41" s="13">
        <f>'7'!J303</f>
        <v>0</v>
      </c>
      <c r="MU41" s="13">
        <f>'7'!K303</f>
        <v>0</v>
      </c>
      <c r="MV41" s="13">
        <f>'7'!L303</f>
        <v>0</v>
      </c>
      <c r="MW41" s="13">
        <f>'7'!M303</f>
        <v>0</v>
      </c>
      <c r="MX41" s="13" t="s">
        <v>4315</v>
      </c>
      <c r="MY41">
        <f t="shared" si="180"/>
        <v>0</v>
      </c>
      <c r="MZ41" s="13" t="s">
        <v>4316</v>
      </c>
      <c r="NA41">
        <f t="shared" si="181"/>
        <v>0</v>
      </c>
      <c r="NB41" s="13" t="s">
        <v>4317</v>
      </c>
      <c r="NC41">
        <f t="shared" si="182"/>
        <v>0</v>
      </c>
      <c r="ND41" s="13" t="s">
        <v>4318</v>
      </c>
      <c r="NE41">
        <f t="shared" si="183"/>
        <v>0</v>
      </c>
      <c r="NF41" s="13" t="s">
        <v>4319</v>
      </c>
      <c r="NG41">
        <f t="shared" si="184"/>
        <v>0</v>
      </c>
      <c r="NH41" s="13" t="s">
        <v>4320</v>
      </c>
      <c r="NI41">
        <f t="shared" si="185"/>
        <v>0</v>
      </c>
      <c r="NJ41" s="13" t="s">
        <v>4321</v>
      </c>
      <c r="NK41">
        <f t="shared" si="186"/>
        <v>0</v>
      </c>
      <c r="NL41" s="13" t="s">
        <v>4322</v>
      </c>
      <c r="NM41">
        <f t="shared" si="187"/>
        <v>0</v>
      </c>
      <c r="NN41" s="13" t="s">
        <v>4323</v>
      </c>
      <c r="NO41">
        <f t="shared" si="188"/>
        <v>0</v>
      </c>
      <c r="NP41" s="13" t="s">
        <v>4324</v>
      </c>
      <c r="NQ41">
        <f t="shared" si="189"/>
        <v>0</v>
      </c>
      <c r="NR41" s="13" t="s">
        <v>4325</v>
      </c>
      <c r="NS41">
        <f t="shared" si="190"/>
        <v>0</v>
      </c>
      <c r="NT41" s="13" t="s">
        <v>4326</v>
      </c>
      <c r="NU41">
        <f t="shared" si="191"/>
        <v>0</v>
      </c>
      <c r="NV41" s="13"/>
    </row>
    <row r="42" spans="1:386" customFormat="1" x14ac:dyDescent="0.25">
      <c r="A42">
        <v>39</v>
      </c>
      <c r="B42">
        <f>'6'!AB159</f>
        <v>0</v>
      </c>
      <c r="C42">
        <f>'6'!AC159</f>
        <v>0</v>
      </c>
      <c r="D42">
        <f>'6'!AD159</f>
        <v>0</v>
      </c>
      <c r="E42">
        <f>'6'!AE159</f>
        <v>0</v>
      </c>
      <c r="F42">
        <f>'6'!AF159</f>
        <v>0</v>
      </c>
      <c r="G42">
        <f>'6'!AG159</f>
        <v>0</v>
      </c>
      <c r="H42">
        <f>'6'!AH159</f>
        <v>0</v>
      </c>
      <c r="I42">
        <f>'6'!AI159</f>
        <v>0</v>
      </c>
      <c r="J42">
        <f>'6'!AJ159</f>
        <v>0</v>
      </c>
      <c r="K42">
        <f>'6'!AK159</f>
        <v>0</v>
      </c>
      <c r="L42">
        <f>'6'!AL159</f>
        <v>0</v>
      </c>
      <c r="M42">
        <f>'6'!AM159</f>
        <v>0</v>
      </c>
      <c r="N42">
        <f>'6'!AN159</f>
        <v>0</v>
      </c>
      <c r="O42">
        <f>'6'!AO159</f>
        <v>0</v>
      </c>
      <c r="P42">
        <f>'6'!AP159</f>
        <v>0</v>
      </c>
      <c r="Q42">
        <f>'6'!AQ159</f>
        <v>0</v>
      </c>
      <c r="R42">
        <f>'6'!AR159</f>
        <v>0</v>
      </c>
      <c r="S42">
        <f>'6'!AS159</f>
        <v>0</v>
      </c>
      <c r="T42">
        <f>'6'!AT159</f>
        <v>0</v>
      </c>
      <c r="U42">
        <f>'6'!AU159</f>
        <v>0</v>
      </c>
      <c r="V42">
        <f>'6'!AV159</f>
        <v>0</v>
      </c>
      <c r="W42">
        <f>'6'!AW159</f>
        <v>0</v>
      </c>
      <c r="X42">
        <f>'6'!AX159</f>
        <v>0</v>
      </c>
      <c r="Y42">
        <f>'6'!AY159</f>
        <v>0</v>
      </c>
      <c r="Z42">
        <f>'6'!AZ159</f>
        <v>0</v>
      </c>
      <c r="AA42">
        <f>'6'!BA159</f>
        <v>0</v>
      </c>
      <c r="AB42">
        <f>'6'!BB159</f>
        <v>0</v>
      </c>
      <c r="AC42">
        <f>'6'!BC159</f>
        <v>0</v>
      </c>
      <c r="AD42">
        <f>'6'!BD159</f>
        <v>0</v>
      </c>
      <c r="AE42">
        <f>'6'!BE159</f>
        <v>0</v>
      </c>
      <c r="AF42">
        <f>'6'!BF159</f>
        <v>0</v>
      </c>
      <c r="AG42">
        <f>'6'!BG159</f>
        <v>0</v>
      </c>
      <c r="AH42">
        <f>'6'!BH159</f>
        <v>0</v>
      </c>
      <c r="AI42">
        <f>'6'!BI159</f>
        <v>0</v>
      </c>
      <c r="AJ42">
        <f>'6'!BJ159</f>
        <v>0</v>
      </c>
      <c r="AK42">
        <f>'6'!BK159</f>
        <v>0</v>
      </c>
      <c r="AL42">
        <f>'6'!BL159</f>
        <v>0</v>
      </c>
      <c r="AM42">
        <f>'6'!BM159</f>
        <v>0</v>
      </c>
      <c r="AN42">
        <f>'6'!BN159</f>
        <v>0</v>
      </c>
      <c r="AO42">
        <f>'6'!BO159</f>
        <v>0</v>
      </c>
      <c r="AP42">
        <f>'6'!BP159</f>
        <v>0</v>
      </c>
      <c r="AQ42">
        <f>'6'!BQ159</f>
        <v>0</v>
      </c>
      <c r="AR42">
        <f>'6'!BR159</f>
        <v>0</v>
      </c>
      <c r="AS42">
        <f>'6'!BS159</f>
        <v>0</v>
      </c>
      <c r="AT42">
        <f>'6'!BT159</f>
        <v>0</v>
      </c>
      <c r="AU42">
        <f>'6'!BU159</f>
        <v>0</v>
      </c>
      <c r="AV42">
        <f>'6'!BV159</f>
        <v>0</v>
      </c>
      <c r="AW42">
        <f>'6'!BW159</f>
        <v>0</v>
      </c>
      <c r="AX42">
        <f>'6'!BX159</f>
        <v>0</v>
      </c>
      <c r="AY42">
        <f>'6'!BY159</f>
        <v>0</v>
      </c>
      <c r="AZ42">
        <f>'6'!BZ159</f>
        <v>0</v>
      </c>
      <c r="BA42">
        <f>'6'!CA159</f>
        <v>0</v>
      </c>
      <c r="BB42">
        <f>'6'!CB159</f>
        <v>0</v>
      </c>
      <c r="BC42">
        <f>'6'!CC159</f>
        <v>0</v>
      </c>
      <c r="BD42">
        <f>'6'!CD159</f>
        <v>0</v>
      </c>
      <c r="BE42">
        <f>'6'!CE159</f>
        <v>0</v>
      </c>
      <c r="BF42">
        <f>'6'!CF159</f>
        <v>0</v>
      </c>
      <c r="BG42">
        <f>'6'!CG159</f>
        <v>0</v>
      </c>
      <c r="BH42">
        <f>'6'!CH159</f>
        <v>0</v>
      </c>
      <c r="BI42">
        <f>'6'!CI159</f>
        <v>0</v>
      </c>
      <c r="BJ42">
        <f>'6'!CJ159</f>
        <v>0</v>
      </c>
      <c r="BK42">
        <f>'6'!CK159</f>
        <v>0</v>
      </c>
      <c r="BL42">
        <f>'6'!CL159</f>
        <v>0</v>
      </c>
      <c r="BM42">
        <f>'6'!CM159</f>
        <v>0</v>
      </c>
      <c r="BN42">
        <f>'6'!CN159</f>
        <v>0</v>
      </c>
      <c r="BO42">
        <f>'6'!CO159</f>
        <v>0</v>
      </c>
      <c r="BP42">
        <f>'6'!CP159</f>
        <v>0</v>
      </c>
      <c r="BQ42">
        <f>'6'!CQ159</f>
        <v>0</v>
      </c>
      <c r="BR42">
        <f>'6'!CR159</f>
        <v>0</v>
      </c>
      <c r="BS42">
        <f>'6'!CS159</f>
        <v>0</v>
      </c>
      <c r="BT42">
        <f>'6'!CT159</f>
        <v>0</v>
      </c>
      <c r="BU42">
        <f>'6'!CU159</f>
        <v>0</v>
      </c>
      <c r="BV42">
        <f>'6'!CV159</f>
        <v>0</v>
      </c>
      <c r="BW42">
        <f>'6'!CW159</f>
        <v>0</v>
      </c>
      <c r="BX42">
        <f>'6'!CX159</f>
        <v>0</v>
      </c>
      <c r="BY42">
        <f>'6'!CY159</f>
        <v>0</v>
      </c>
      <c r="BZ42">
        <f>'6'!CZ159</f>
        <v>0</v>
      </c>
      <c r="CA42">
        <f>'6'!DA159</f>
        <v>0</v>
      </c>
      <c r="CB42">
        <f>'6'!DB159</f>
        <v>0</v>
      </c>
      <c r="CC42">
        <f>'6'!DC159</f>
        <v>0</v>
      </c>
      <c r="CD42">
        <f>'6'!DD159</f>
        <v>0</v>
      </c>
      <c r="CE42">
        <f>'6'!DE159</f>
        <v>0</v>
      </c>
      <c r="CF42">
        <f>'6'!DF159</f>
        <v>0</v>
      </c>
      <c r="CG42">
        <f>'6'!DG159</f>
        <v>0</v>
      </c>
      <c r="CH42">
        <f>SUM('7'!AB313:AB317)</f>
        <v>0</v>
      </c>
      <c r="CI42">
        <f>SUM('7'!AC313:AC317)</f>
        <v>0</v>
      </c>
      <c r="CJ42">
        <f>SUM('7'!AD313:AD317)</f>
        <v>0</v>
      </c>
      <c r="CK42">
        <f>SUM('7'!AE313:AE317)</f>
        <v>0</v>
      </c>
      <c r="CL42">
        <f>SUM('7'!AF313:AF317)</f>
        <v>0</v>
      </c>
      <c r="CM42">
        <f>SUM('7'!AG313:AG317)</f>
        <v>0</v>
      </c>
      <c r="CN42">
        <f>SUM('7'!AH313:AH317)</f>
        <v>0</v>
      </c>
      <c r="CO42">
        <f>SUM('7'!AI313:AI317)</f>
        <v>0</v>
      </c>
      <c r="CP42">
        <f>SUM('7'!AJ313:AJ317)</f>
        <v>0</v>
      </c>
      <c r="CQ42">
        <f>SUM('7'!AK313:AK317)</f>
        <v>0</v>
      </c>
      <c r="CR42">
        <f>SUM('7'!AL313:AL317)</f>
        <v>0</v>
      </c>
      <c r="CS42">
        <f>SUM('7'!AM313:AM317)</f>
        <v>0</v>
      </c>
      <c r="CT42">
        <f>SUM('7'!AN313:AN317)</f>
        <v>0</v>
      </c>
      <c r="CU42">
        <f>SUM('7'!AO313:AO317)</f>
        <v>0</v>
      </c>
      <c r="CV42">
        <f>SUM('7'!AP313:AP317)</f>
        <v>0</v>
      </c>
      <c r="CW42">
        <f>SUM('7'!AQ313:AQ317)</f>
        <v>0</v>
      </c>
      <c r="CX42">
        <f>SUM('7'!AR313:AR317)</f>
        <v>0</v>
      </c>
      <c r="CY42">
        <f>SUM('7'!AS313:AS317)</f>
        <v>0</v>
      </c>
      <c r="CZ42">
        <f>SUM('7'!AT313:AT317)</f>
        <v>0</v>
      </c>
      <c r="DA42">
        <f>SUM('7'!AU313:AU317)</f>
        <v>0</v>
      </c>
      <c r="DB42">
        <f>SUM('7'!AV313:AV317)</f>
        <v>0</v>
      </c>
      <c r="DC42">
        <f>SUM('7'!AW313:AW317)</f>
        <v>0</v>
      </c>
      <c r="DD42">
        <f>SUM('7'!AX313:AX317)</f>
        <v>0</v>
      </c>
      <c r="DE42">
        <f>SUM('7'!AY313:AY317)</f>
        <v>0</v>
      </c>
      <c r="DF42">
        <f>SUM('7'!AZ313:AZ317)</f>
        <v>0</v>
      </c>
      <c r="DG42">
        <f>SUM('7'!BA313:BA317)</f>
        <v>0</v>
      </c>
      <c r="DH42">
        <f>SUM('7'!BB313:BB317)</f>
        <v>0</v>
      </c>
      <c r="DI42">
        <f>SUM('7'!BC313:BC317)</f>
        <v>0</v>
      </c>
      <c r="DJ42">
        <f>SUM('7'!BD313:BD317)</f>
        <v>0</v>
      </c>
      <c r="DK42">
        <f>SUM('7'!BE313:BE317)</f>
        <v>0</v>
      </c>
      <c r="DL42">
        <f>SUM('7'!BF313:BF317)</f>
        <v>0</v>
      </c>
      <c r="DM42">
        <f>SUM('7'!BG313:BG317)</f>
        <v>0</v>
      </c>
      <c r="DN42">
        <f>SUM('7'!BH313:BH317)</f>
        <v>0</v>
      </c>
      <c r="DO42">
        <f>SUM('7'!BI313:BI317)</f>
        <v>0</v>
      </c>
      <c r="DP42">
        <f>SUM('7'!BJ313:BJ317)</f>
        <v>0</v>
      </c>
      <c r="DQ42">
        <f>SUM('7'!BK313:BK317)</f>
        <v>0</v>
      </c>
      <c r="DR42">
        <f>SUM('7'!BL313:BL317)</f>
        <v>0</v>
      </c>
      <c r="DS42">
        <f>SUM('7'!BM313:BM317)</f>
        <v>0</v>
      </c>
      <c r="DT42">
        <f>SUM('7'!BN313:BN317)</f>
        <v>0</v>
      </c>
      <c r="DU42">
        <f>SUM('7'!BO313:BO317)</f>
        <v>0</v>
      </c>
      <c r="DV42">
        <f>SUM('7'!BP313:BP317)</f>
        <v>0</v>
      </c>
      <c r="DW42">
        <f>SUM('7'!BQ313:BQ317)</f>
        <v>0</v>
      </c>
      <c r="DX42">
        <f>SUM('7'!BR313:BR317)</f>
        <v>0</v>
      </c>
      <c r="DY42">
        <f>SUM('7'!BS313:BS317)</f>
        <v>0</v>
      </c>
      <c r="DZ42">
        <f>SUM('7'!BT313:BT317)</f>
        <v>0</v>
      </c>
      <c r="EA42">
        <f>SUM('7'!BU313:BU317)</f>
        <v>0</v>
      </c>
      <c r="EB42">
        <f>SUM('7'!BV313:BV317)</f>
        <v>0</v>
      </c>
      <c r="EC42">
        <f>SUM('7'!BW313:BW317)</f>
        <v>0</v>
      </c>
      <c r="ED42">
        <f>SUM('7'!BX313:BX317)</f>
        <v>0</v>
      </c>
      <c r="EE42">
        <f>SUM('7'!BY313:BY317)</f>
        <v>0</v>
      </c>
      <c r="EF42">
        <f>SUM('7'!BZ313:BZ317)</f>
        <v>0</v>
      </c>
      <c r="EG42">
        <f>SUM('7'!CA313:CA317)</f>
        <v>0</v>
      </c>
      <c r="EH42">
        <f>SUM('7'!CB313:CB317)</f>
        <v>0</v>
      </c>
      <c r="EI42">
        <f>SUM('7'!CC313:CC317)</f>
        <v>0</v>
      </c>
      <c r="EJ42">
        <f>SUM('7'!CD313:CD317)</f>
        <v>0</v>
      </c>
      <c r="EK42">
        <f>SUM('7'!CE313:CE317)</f>
        <v>0</v>
      </c>
      <c r="EL42">
        <f>SUM('7'!CF313:CF317)</f>
        <v>0</v>
      </c>
      <c r="EM42">
        <f>SUM('7'!CG313:CG317)</f>
        <v>0</v>
      </c>
      <c r="EN42">
        <f>SUM('7'!CH313:CH317)</f>
        <v>0</v>
      </c>
      <c r="EO42">
        <f>SUM('7'!CI313:CI317)</f>
        <v>0</v>
      </c>
      <c r="EP42">
        <f>SUM('7'!CJ313:CJ317)</f>
        <v>0</v>
      </c>
      <c r="EQ42">
        <f>SUM('7'!CK313:CK317)</f>
        <v>0</v>
      </c>
      <c r="ER42">
        <f>SUM('7'!CL313:CL317)</f>
        <v>0</v>
      </c>
      <c r="ES42">
        <f>SUM('7'!CM313:CM317)</f>
        <v>0</v>
      </c>
      <c r="ET42">
        <f>SUM('7'!CN313:CN317)</f>
        <v>0</v>
      </c>
      <c r="EU42">
        <f>SUM('7'!CO313:CO317)</f>
        <v>0</v>
      </c>
      <c r="EV42">
        <f>SUM('7'!CP313:CP317)</f>
        <v>0</v>
      </c>
      <c r="EW42">
        <f>SUM('7'!CQ313:CQ317)</f>
        <v>0</v>
      </c>
      <c r="EX42">
        <f>SUM('7'!CR313:CR317)</f>
        <v>0</v>
      </c>
      <c r="EY42">
        <f>SUM('7'!CS313:CS317)</f>
        <v>0</v>
      </c>
      <c r="EZ42">
        <f>SUM('7'!CT313:CT317)</f>
        <v>0</v>
      </c>
      <c r="FA42">
        <f>SUM('7'!CU313:CU317)</f>
        <v>0</v>
      </c>
      <c r="FB42">
        <f>SUM('7'!CV313:CV317)</f>
        <v>0</v>
      </c>
      <c r="FC42">
        <f>SUM('7'!CW313:CW317)</f>
        <v>0</v>
      </c>
      <c r="FD42">
        <f>SUM('7'!CX313:CX317)</f>
        <v>0</v>
      </c>
      <c r="FE42">
        <f>SUM('7'!CY313:CY317)</f>
        <v>0</v>
      </c>
      <c r="FF42">
        <f>SUM('7'!CZ313:CZ317)</f>
        <v>0</v>
      </c>
      <c r="FG42">
        <f>SUM('7'!DA313:DA317)</f>
        <v>0</v>
      </c>
      <c r="FH42">
        <f>SUM('7'!DB313:DB317)</f>
        <v>0</v>
      </c>
      <c r="FI42">
        <f>SUM('7'!DC313:DC317)</f>
        <v>0</v>
      </c>
      <c r="FJ42">
        <f>SUM('7'!DD313:DD317)</f>
        <v>0</v>
      </c>
      <c r="FK42">
        <f>SUM('7'!DE313:DE317)</f>
        <v>0</v>
      </c>
      <c r="FL42">
        <f>SUM('7'!DF313:DF317)</f>
        <v>0</v>
      </c>
      <c r="FM42">
        <f>SUM('7'!DG313:DG317)</f>
        <v>0</v>
      </c>
      <c r="FN42" t="s">
        <v>4327</v>
      </c>
      <c r="FO42">
        <f t="shared" si="96"/>
        <v>0</v>
      </c>
      <c r="FP42" t="s">
        <v>4328</v>
      </c>
      <c r="FQ42">
        <f t="shared" si="97"/>
        <v>0</v>
      </c>
      <c r="FR42" t="s">
        <v>4329</v>
      </c>
      <c r="FS42">
        <f t="shared" si="98"/>
        <v>0</v>
      </c>
      <c r="FT42" t="s">
        <v>4330</v>
      </c>
      <c r="FU42">
        <f t="shared" si="99"/>
        <v>0</v>
      </c>
      <c r="FV42" t="s">
        <v>4331</v>
      </c>
      <c r="FW42">
        <f t="shared" si="100"/>
        <v>0</v>
      </c>
      <c r="FX42" t="s">
        <v>4332</v>
      </c>
      <c r="FY42">
        <f t="shared" si="101"/>
        <v>0</v>
      </c>
      <c r="FZ42" t="s">
        <v>4333</v>
      </c>
      <c r="GA42">
        <f t="shared" si="102"/>
        <v>0</v>
      </c>
      <c r="GB42" t="s">
        <v>4334</v>
      </c>
      <c r="GC42">
        <f t="shared" si="103"/>
        <v>0</v>
      </c>
      <c r="GD42" t="s">
        <v>4335</v>
      </c>
      <c r="GE42">
        <f t="shared" si="104"/>
        <v>0</v>
      </c>
      <c r="GF42" t="s">
        <v>4336</v>
      </c>
      <c r="GG42">
        <f t="shared" si="105"/>
        <v>0</v>
      </c>
      <c r="GH42" t="s">
        <v>4337</v>
      </c>
      <c r="GI42">
        <f t="shared" si="106"/>
        <v>0</v>
      </c>
      <c r="GJ42" t="s">
        <v>4338</v>
      </c>
      <c r="GK42">
        <f t="shared" si="107"/>
        <v>0</v>
      </c>
      <c r="GL42" t="s">
        <v>4339</v>
      </c>
      <c r="GM42">
        <f t="shared" si="108"/>
        <v>0</v>
      </c>
      <c r="GN42" t="s">
        <v>4340</v>
      </c>
      <c r="GO42">
        <f t="shared" si="109"/>
        <v>0</v>
      </c>
      <c r="GP42" t="s">
        <v>4341</v>
      </c>
      <c r="GQ42">
        <f t="shared" si="110"/>
        <v>0</v>
      </c>
      <c r="GR42" t="s">
        <v>4342</v>
      </c>
      <c r="GS42">
        <f t="shared" si="111"/>
        <v>0</v>
      </c>
      <c r="GT42" t="s">
        <v>4343</v>
      </c>
      <c r="GU42">
        <f t="shared" si="112"/>
        <v>0</v>
      </c>
      <c r="GV42" t="s">
        <v>4344</v>
      </c>
      <c r="GW42">
        <f t="shared" si="113"/>
        <v>0</v>
      </c>
      <c r="GX42" t="s">
        <v>4345</v>
      </c>
      <c r="GY42">
        <f t="shared" si="114"/>
        <v>0</v>
      </c>
      <c r="GZ42" t="s">
        <v>4346</v>
      </c>
      <c r="HA42">
        <f t="shared" si="115"/>
        <v>0</v>
      </c>
      <c r="HB42" t="s">
        <v>4347</v>
      </c>
      <c r="HC42">
        <f t="shared" si="116"/>
        <v>0</v>
      </c>
      <c r="HD42" t="s">
        <v>4348</v>
      </c>
      <c r="HE42">
        <f t="shared" si="117"/>
        <v>0</v>
      </c>
      <c r="HF42" t="s">
        <v>4349</v>
      </c>
      <c r="HG42">
        <f t="shared" si="118"/>
        <v>0</v>
      </c>
      <c r="HH42" t="s">
        <v>4350</v>
      </c>
      <c r="HI42">
        <f t="shared" si="119"/>
        <v>0</v>
      </c>
      <c r="HJ42" t="s">
        <v>4351</v>
      </c>
      <c r="HK42">
        <f t="shared" si="120"/>
        <v>0</v>
      </c>
      <c r="HL42" t="s">
        <v>4352</v>
      </c>
      <c r="HM42">
        <f t="shared" si="121"/>
        <v>0</v>
      </c>
      <c r="HN42" t="s">
        <v>4353</v>
      </c>
      <c r="HO42">
        <f t="shared" si="122"/>
        <v>0</v>
      </c>
      <c r="HP42" t="s">
        <v>4354</v>
      </c>
      <c r="HQ42">
        <f t="shared" si="123"/>
        <v>0</v>
      </c>
      <c r="HR42" t="s">
        <v>4355</v>
      </c>
      <c r="HS42">
        <f t="shared" si="124"/>
        <v>0</v>
      </c>
      <c r="HT42" t="s">
        <v>4356</v>
      </c>
      <c r="HU42">
        <f t="shared" si="125"/>
        <v>0</v>
      </c>
      <c r="HV42" t="s">
        <v>4357</v>
      </c>
      <c r="HW42">
        <f t="shared" si="126"/>
        <v>0</v>
      </c>
      <c r="HX42" t="s">
        <v>4358</v>
      </c>
      <c r="HY42">
        <f t="shared" si="127"/>
        <v>0</v>
      </c>
      <c r="HZ42" t="s">
        <v>4359</v>
      </c>
      <c r="IA42">
        <f t="shared" si="128"/>
        <v>0</v>
      </c>
      <c r="IB42" t="s">
        <v>4360</v>
      </c>
      <c r="IC42">
        <f t="shared" si="129"/>
        <v>0</v>
      </c>
      <c r="ID42" t="s">
        <v>4361</v>
      </c>
      <c r="IE42">
        <f t="shared" si="130"/>
        <v>0</v>
      </c>
      <c r="IF42" t="s">
        <v>4362</v>
      </c>
      <c r="IG42">
        <f t="shared" si="131"/>
        <v>0</v>
      </c>
      <c r="IH42" t="s">
        <v>4363</v>
      </c>
      <c r="II42">
        <f t="shared" si="132"/>
        <v>0</v>
      </c>
      <c r="IJ42" t="s">
        <v>4364</v>
      </c>
      <c r="IK42">
        <f t="shared" si="133"/>
        <v>0</v>
      </c>
      <c r="IL42" t="s">
        <v>4365</v>
      </c>
      <c r="IM42">
        <f t="shared" si="134"/>
        <v>0</v>
      </c>
      <c r="IN42" t="s">
        <v>4366</v>
      </c>
      <c r="IO42">
        <f t="shared" si="135"/>
        <v>0</v>
      </c>
      <c r="IP42" t="s">
        <v>4367</v>
      </c>
      <c r="IQ42">
        <f t="shared" si="136"/>
        <v>0</v>
      </c>
      <c r="IR42" t="s">
        <v>4368</v>
      </c>
      <c r="IS42">
        <f t="shared" si="137"/>
        <v>0</v>
      </c>
      <c r="IT42" t="s">
        <v>4369</v>
      </c>
      <c r="IU42">
        <f t="shared" si="138"/>
        <v>0</v>
      </c>
      <c r="IV42" t="s">
        <v>4370</v>
      </c>
      <c r="IW42">
        <f t="shared" si="139"/>
        <v>0</v>
      </c>
      <c r="IX42" t="s">
        <v>4371</v>
      </c>
      <c r="IY42">
        <f t="shared" si="140"/>
        <v>0</v>
      </c>
      <c r="IZ42" t="s">
        <v>4372</v>
      </c>
      <c r="JA42">
        <f t="shared" si="141"/>
        <v>0</v>
      </c>
      <c r="JB42" t="s">
        <v>4373</v>
      </c>
      <c r="JC42">
        <f t="shared" si="142"/>
        <v>0</v>
      </c>
      <c r="JD42" t="s">
        <v>4374</v>
      </c>
      <c r="JE42">
        <f t="shared" si="143"/>
        <v>0</v>
      </c>
      <c r="JF42" t="s">
        <v>4375</v>
      </c>
      <c r="JG42">
        <f t="shared" si="144"/>
        <v>0</v>
      </c>
      <c r="JH42" t="s">
        <v>4376</v>
      </c>
      <c r="JI42">
        <f t="shared" si="145"/>
        <v>0</v>
      </c>
      <c r="JJ42" t="s">
        <v>4377</v>
      </c>
      <c r="JK42">
        <f t="shared" si="146"/>
        <v>0</v>
      </c>
      <c r="JL42" t="s">
        <v>4378</v>
      </c>
      <c r="JM42">
        <f t="shared" si="147"/>
        <v>0</v>
      </c>
      <c r="JN42" t="s">
        <v>4379</v>
      </c>
      <c r="JO42">
        <f t="shared" si="148"/>
        <v>0</v>
      </c>
      <c r="JP42" t="s">
        <v>4380</v>
      </c>
      <c r="JQ42">
        <f t="shared" si="149"/>
        <v>0</v>
      </c>
      <c r="JR42" t="s">
        <v>4381</v>
      </c>
      <c r="JS42">
        <f t="shared" si="150"/>
        <v>0</v>
      </c>
      <c r="JT42" t="s">
        <v>4382</v>
      </c>
      <c r="JU42">
        <f t="shared" si="151"/>
        <v>0</v>
      </c>
      <c r="JV42" t="s">
        <v>4383</v>
      </c>
      <c r="JW42">
        <f t="shared" si="152"/>
        <v>0</v>
      </c>
      <c r="JX42" t="s">
        <v>4384</v>
      </c>
      <c r="JY42">
        <f t="shared" si="153"/>
        <v>0</v>
      </c>
      <c r="JZ42" t="s">
        <v>4385</v>
      </c>
      <c r="KA42">
        <f t="shared" si="154"/>
        <v>0</v>
      </c>
      <c r="KB42" t="s">
        <v>4386</v>
      </c>
      <c r="KC42">
        <f t="shared" si="155"/>
        <v>0</v>
      </c>
      <c r="KD42" t="s">
        <v>4387</v>
      </c>
      <c r="KE42">
        <f t="shared" si="156"/>
        <v>0</v>
      </c>
      <c r="KF42" t="s">
        <v>4388</v>
      </c>
      <c r="KG42">
        <f t="shared" si="157"/>
        <v>0</v>
      </c>
      <c r="KH42" t="s">
        <v>4389</v>
      </c>
      <c r="KI42">
        <f t="shared" si="158"/>
        <v>0</v>
      </c>
      <c r="KJ42" t="s">
        <v>4390</v>
      </c>
      <c r="KK42">
        <f t="shared" si="159"/>
        <v>0</v>
      </c>
      <c r="KL42" t="s">
        <v>4391</v>
      </c>
      <c r="KM42">
        <f t="shared" si="160"/>
        <v>0</v>
      </c>
      <c r="KN42" t="s">
        <v>4392</v>
      </c>
      <c r="KO42">
        <f t="shared" si="161"/>
        <v>0</v>
      </c>
      <c r="KP42" t="s">
        <v>4393</v>
      </c>
      <c r="KQ42">
        <f t="shared" si="162"/>
        <v>0</v>
      </c>
      <c r="KR42" t="s">
        <v>4394</v>
      </c>
      <c r="KS42">
        <f t="shared" si="163"/>
        <v>0</v>
      </c>
      <c r="KT42" t="s">
        <v>4395</v>
      </c>
      <c r="KU42">
        <f t="shared" si="164"/>
        <v>0</v>
      </c>
      <c r="KV42" t="s">
        <v>4396</v>
      </c>
      <c r="KW42">
        <f t="shared" si="165"/>
        <v>0</v>
      </c>
      <c r="KX42" t="s">
        <v>4397</v>
      </c>
      <c r="KY42">
        <f t="shared" si="166"/>
        <v>0</v>
      </c>
      <c r="KZ42" t="s">
        <v>4398</v>
      </c>
      <c r="LA42">
        <f t="shared" si="167"/>
        <v>0</v>
      </c>
      <c r="LB42" t="s">
        <v>4399</v>
      </c>
      <c r="LC42">
        <f t="shared" si="168"/>
        <v>0</v>
      </c>
      <c r="LD42" t="s">
        <v>4400</v>
      </c>
      <c r="LE42">
        <f t="shared" si="169"/>
        <v>0</v>
      </c>
      <c r="LF42" t="s">
        <v>4401</v>
      </c>
      <c r="LG42">
        <f t="shared" si="170"/>
        <v>0</v>
      </c>
      <c r="LH42" t="s">
        <v>4402</v>
      </c>
      <c r="LI42">
        <f t="shared" si="171"/>
        <v>0</v>
      </c>
      <c r="LJ42" t="s">
        <v>4403</v>
      </c>
      <c r="LK42">
        <f t="shared" si="172"/>
        <v>0</v>
      </c>
      <c r="LL42" t="s">
        <v>4404</v>
      </c>
      <c r="LM42">
        <f t="shared" si="173"/>
        <v>0</v>
      </c>
      <c r="LN42" t="s">
        <v>4405</v>
      </c>
      <c r="LO42">
        <f t="shared" si="174"/>
        <v>0</v>
      </c>
      <c r="LP42" t="s">
        <v>4406</v>
      </c>
      <c r="LQ42">
        <f t="shared" si="175"/>
        <v>0</v>
      </c>
      <c r="LR42" t="s">
        <v>4407</v>
      </c>
      <c r="LS42">
        <f t="shared" si="176"/>
        <v>0</v>
      </c>
      <c r="LT42" t="s">
        <v>4408</v>
      </c>
      <c r="LU42">
        <f t="shared" si="177"/>
        <v>0</v>
      </c>
      <c r="LV42" t="s">
        <v>4409</v>
      </c>
      <c r="LW42">
        <f t="shared" si="178"/>
        <v>0</v>
      </c>
      <c r="LX42" t="s">
        <v>4410</v>
      </c>
      <c r="LY42">
        <f t="shared" si="179"/>
        <v>0</v>
      </c>
      <c r="LZ42">
        <f>'6'!B160</f>
        <v>0</v>
      </c>
      <c r="MA42">
        <f>'6'!C160</f>
        <v>0</v>
      </c>
      <c r="MB42">
        <f>'6'!D160</f>
        <v>0</v>
      </c>
      <c r="MC42">
        <f>'6'!E160</f>
        <v>0</v>
      </c>
      <c r="MD42">
        <f>'6'!F160</f>
        <v>0</v>
      </c>
      <c r="ME42">
        <f>'6'!G160</f>
        <v>0</v>
      </c>
      <c r="MF42">
        <f>'6'!H160</f>
        <v>0</v>
      </c>
      <c r="MG42">
        <f>'6'!I160</f>
        <v>0</v>
      </c>
      <c r="MH42">
        <f>'6'!J160</f>
        <v>0</v>
      </c>
      <c r="MI42">
        <f>'6'!K160</f>
        <v>0</v>
      </c>
      <c r="MJ42">
        <f>'6'!L160</f>
        <v>0</v>
      </c>
      <c r="MK42">
        <f>'6'!M160</f>
        <v>0</v>
      </c>
      <c r="ML42" s="13">
        <f>'7'!B311</f>
        <v>0</v>
      </c>
      <c r="MM42" s="13">
        <f>'7'!C311</f>
        <v>0</v>
      </c>
      <c r="MN42" s="13">
        <f>'7'!D311</f>
        <v>0</v>
      </c>
      <c r="MO42" s="13">
        <f>'7'!E311</f>
        <v>0</v>
      </c>
      <c r="MP42" s="13">
        <f>'7'!F311</f>
        <v>0</v>
      </c>
      <c r="MQ42" s="13">
        <f>'7'!G311</f>
        <v>0</v>
      </c>
      <c r="MR42" s="13">
        <f>'7'!H311</f>
        <v>0</v>
      </c>
      <c r="MS42" s="13">
        <f>'7'!I311</f>
        <v>0</v>
      </c>
      <c r="MT42" s="13">
        <f>'7'!J311</f>
        <v>0</v>
      </c>
      <c r="MU42" s="13">
        <f>'7'!K311</f>
        <v>0</v>
      </c>
      <c r="MV42" s="13">
        <f>'7'!L311</f>
        <v>0</v>
      </c>
      <c r="MW42" s="13">
        <f>'7'!M311</f>
        <v>0</v>
      </c>
      <c r="MX42" s="13" t="s">
        <v>4411</v>
      </c>
      <c r="MY42">
        <f t="shared" si="180"/>
        <v>0</v>
      </c>
      <c r="MZ42" s="13" t="s">
        <v>4412</v>
      </c>
      <c r="NA42">
        <f t="shared" si="181"/>
        <v>0</v>
      </c>
      <c r="NB42" s="13" t="s">
        <v>4413</v>
      </c>
      <c r="NC42">
        <f t="shared" si="182"/>
        <v>0</v>
      </c>
      <c r="ND42" s="13" t="s">
        <v>4414</v>
      </c>
      <c r="NE42">
        <f t="shared" si="183"/>
        <v>0</v>
      </c>
      <c r="NF42" s="13" t="s">
        <v>4415</v>
      </c>
      <c r="NG42">
        <f t="shared" si="184"/>
        <v>0</v>
      </c>
      <c r="NH42" s="13" t="s">
        <v>4416</v>
      </c>
      <c r="NI42">
        <f t="shared" si="185"/>
        <v>0</v>
      </c>
      <c r="NJ42" s="13" t="s">
        <v>4417</v>
      </c>
      <c r="NK42">
        <f t="shared" si="186"/>
        <v>0</v>
      </c>
      <c r="NL42" s="13" t="s">
        <v>4418</v>
      </c>
      <c r="NM42">
        <f t="shared" si="187"/>
        <v>0</v>
      </c>
      <c r="NN42" s="13" t="s">
        <v>4419</v>
      </c>
      <c r="NO42">
        <f t="shared" si="188"/>
        <v>0</v>
      </c>
      <c r="NP42" s="13" t="s">
        <v>4420</v>
      </c>
      <c r="NQ42">
        <f t="shared" si="189"/>
        <v>0</v>
      </c>
      <c r="NR42" s="13" t="s">
        <v>4421</v>
      </c>
      <c r="NS42">
        <f t="shared" si="190"/>
        <v>0</v>
      </c>
      <c r="NT42" s="13" t="s">
        <v>4422</v>
      </c>
      <c r="NU42">
        <f t="shared" si="191"/>
        <v>0</v>
      </c>
      <c r="NV42" s="13"/>
    </row>
    <row r="43" spans="1:386" customFormat="1" x14ac:dyDescent="0.25">
      <c r="A43">
        <v>40</v>
      </c>
      <c r="B43">
        <f>'6'!AB163</f>
        <v>0</v>
      </c>
      <c r="C43">
        <f>'6'!AC163</f>
        <v>0</v>
      </c>
      <c r="D43">
        <f>'6'!AD163</f>
        <v>0</v>
      </c>
      <c r="E43">
        <f>'6'!AE163</f>
        <v>0</v>
      </c>
      <c r="F43">
        <f>'6'!AF163</f>
        <v>0</v>
      </c>
      <c r="G43">
        <f>'6'!AG163</f>
        <v>0</v>
      </c>
      <c r="H43">
        <f>'6'!AH163</f>
        <v>0</v>
      </c>
      <c r="I43">
        <f>'6'!AI163</f>
        <v>0</v>
      </c>
      <c r="J43">
        <f>'6'!AJ163</f>
        <v>0</v>
      </c>
      <c r="K43">
        <f>'6'!AK163</f>
        <v>0</v>
      </c>
      <c r="L43">
        <f>'6'!AL163</f>
        <v>0</v>
      </c>
      <c r="M43">
        <f>'6'!AM163</f>
        <v>0</v>
      </c>
      <c r="N43">
        <f>'6'!AN163</f>
        <v>0</v>
      </c>
      <c r="O43">
        <f>'6'!AO163</f>
        <v>0</v>
      </c>
      <c r="P43">
        <f>'6'!AP163</f>
        <v>0</v>
      </c>
      <c r="Q43">
        <f>'6'!AQ163</f>
        <v>0</v>
      </c>
      <c r="R43">
        <f>'6'!AR163</f>
        <v>0</v>
      </c>
      <c r="S43">
        <f>'6'!AS163</f>
        <v>0</v>
      </c>
      <c r="T43">
        <f>'6'!AT163</f>
        <v>0</v>
      </c>
      <c r="U43">
        <f>'6'!AU163</f>
        <v>0</v>
      </c>
      <c r="V43">
        <f>'6'!AV163</f>
        <v>0</v>
      </c>
      <c r="W43">
        <f>'6'!AW163</f>
        <v>0</v>
      </c>
      <c r="X43">
        <f>'6'!AX163</f>
        <v>0</v>
      </c>
      <c r="Y43">
        <f>'6'!AY163</f>
        <v>0</v>
      </c>
      <c r="Z43">
        <f>'6'!AZ163</f>
        <v>0</v>
      </c>
      <c r="AA43">
        <f>'6'!BA163</f>
        <v>0</v>
      </c>
      <c r="AB43">
        <f>'6'!BB163</f>
        <v>0</v>
      </c>
      <c r="AC43">
        <f>'6'!BC163</f>
        <v>0</v>
      </c>
      <c r="AD43">
        <f>'6'!BD163</f>
        <v>0</v>
      </c>
      <c r="AE43">
        <f>'6'!BE163</f>
        <v>0</v>
      </c>
      <c r="AF43">
        <f>'6'!BF163</f>
        <v>0</v>
      </c>
      <c r="AG43">
        <f>'6'!BG163</f>
        <v>0</v>
      </c>
      <c r="AH43">
        <f>'6'!BH163</f>
        <v>0</v>
      </c>
      <c r="AI43">
        <f>'6'!BI163</f>
        <v>0</v>
      </c>
      <c r="AJ43">
        <f>'6'!BJ163</f>
        <v>0</v>
      </c>
      <c r="AK43">
        <f>'6'!BK163</f>
        <v>0</v>
      </c>
      <c r="AL43">
        <f>'6'!BL163</f>
        <v>0</v>
      </c>
      <c r="AM43">
        <f>'6'!BM163</f>
        <v>0</v>
      </c>
      <c r="AN43">
        <f>'6'!BN163</f>
        <v>0</v>
      </c>
      <c r="AO43">
        <f>'6'!BO163</f>
        <v>0</v>
      </c>
      <c r="AP43">
        <f>'6'!BP163</f>
        <v>0</v>
      </c>
      <c r="AQ43">
        <f>'6'!BQ163</f>
        <v>0</v>
      </c>
      <c r="AR43">
        <f>'6'!BR163</f>
        <v>0</v>
      </c>
      <c r="AS43">
        <f>'6'!BS163</f>
        <v>0</v>
      </c>
      <c r="AT43">
        <f>'6'!BT163</f>
        <v>0</v>
      </c>
      <c r="AU43">
        <f>'6'!BU163</f>
        <v>0</v>
      </c>
      <c r="AV43">
        <f>'6'!BV163</f>
        <v>0</v>
      </c>
      <c r="AW43">
        <f>'6'!BW163</f>
        <v>0</v>
      </c>
      <c r="AX43">
        <f>'6'!BX163</f>
        <v>0</v>
      </c>
      <c r="AY43">
        <f>'6'!BY163</f>
        <v>0</v>
      </c>
      <c r="AZ43">
        <f>'6'!BZ163</f>
        <v>0</v>
      </c>
      <c r="BA43">
        <f>'6'!CA163</f>
        <v>0</v>
      </c>
      <c r="BB43">
        <f>'6'!CB163</f>
        <v>0</v>
      </c>
      <c r="BC43">
        <f>'6'!CC163</f>
        <v>0</v>
      </c>
      <c r="BD43">
        <f>'6'!CD163</f>
        <v>0</v>
      </c>
      <c r="BE43">
        <f>'6'!CE163</f>
        <v>0</v>
      </c>
      <c r="BF43">
        <f>'6'!CF163</f>
        <v>0</v>
      </c>
      <c r="BG43">
        <f>'6'!CG163</f>
        <v>0</v>
      </c>
      <c r="BH43">
        <f>'6'!CH163</f>
        <v>0</v>
      </c>
      <c r="BI43">
        <f>'6'!CI163</f>
        <v>0</v>
      </c>
      <c r="BJ43">
        <f>'6'!CJ163</f>
        <v>0</v>
      </c>
      <c r="BK43">
        <f>'6'!CK163</f>
        <v>0</v>
      </c>
      <c r="BL43">
        <f>'6'!CL163</f>
        <v>0</v>
      </c>
      <c r="BM43">
        <f>'6'!CM163</f>
        <v>0</v>
      </c>
      <c r="BN43">
        <f>'6'!CN163</f>
        <v>0</v>
      </c>
      <c r="BO43">
        <f>'6'!CO163</f>
        <v>0</v>
      </c>
      <c r="BP43">
        <f>'6'!CP163</f>
        <v>0</v>
      </c>
      <c r="BQ43">
        <f>'6'!CQ163</f>
        <v>0</v>
      </c>
      <c r="BR43">
        <f>'6'!CR163</f>
        <v>0</v>
      </c>
      <c r="BS43">
        <f>'6'!CS163</f>
        <v>0</v>
      </c>
      <c r="BT43">
        <f>'6'!CT163</f>
        <v>0</v>
      </c>
      <c r="BU43">
        <f>'6'!CU163</f>
        <v>0</v>
      </c>
      <c r="BV43">
        <f>'6'!CV163</f>
        <v>0</v>
      </c>
      <c r="BW43">
        <f>'6'!CW163</f>
        <v>0</v>
      </c>
      <c r="BX43">
        <f>'6'!CX163</f>
        <v>0</v>
      </c>
      <c r="BY43">
        <f>'6'!CY163</f>
        <v>0</v>
      </c>
      <c r="BZ43">
        <f>'6'!CZ163</f>
        <v>0</v>
      </c>
      <c r="CA43">
        <f>'6'!DA163</f>
        <v>0</v>
      </c>
      <c r="CB43">
        <f>'6'!DB163</f>
        <v>0</v>
      </c>
      <c r="CC43">
        <f>'6'!DC163</f>
        <v>0</v>
      </c>
      <c r="CD43">
        <f>'6'!DD163</f>
        <v>0</v>
      </c>
      <c r="CE43">
        <f>'6'!DE163</f>
        <v>0</v>
      </c>
      <c r="CF43">
        <f>'6'!DF163</f>
        <v>0</v>
      </c>
      <c r="CG43">
        <f>'6'!DG163</f>
        <v>0</v>
      </c>
      <c r="CH43">
        <f>SUM('7'!AB321:AB325)</f>
        <v>0</v>
      </c>
      <c r="CI43">
        <f>SUM('7'!AC321:AC325)</f>
        <v>0</v>
      </c>
      <c r="CJ43">
        <f>SUM('7'!AD321:AD325)</f>
        <v>0</v>
      </c>
      <c r="CK43">
        <f>SUM('7'!AE321:AE325)</f>
        <v>0</v>
      </c>
      <c r="CL43">
        <f>SUM('7'!AF321:AF325)</f>
        <v>0</v>
      </c>
      <c r="CM43">
        <f>SUM('7'!AG321:AG325)</f>
        <v>0</v>
      </c>
      <c r="CN43">
        <f>SUM('7'!AH321:AH325)</f>
        <v>0</v>
      </c>
      <c r="CO43">
        <f>SUM('7'!AI321:AI325)</f>
        <v>0</v>
      </c>
      <c r="CP43">
        <f>SUM('7'!AJ321:AJ325)</f>
        <v>0</v>
      </c>
      <c r="CQ43">
        <f>SUM('7'!AK321:AK325)</f>
        <v>0</v>
      </c>
      <c r="CR43">
        <f>SUM('7'!AL321:AL325)</f>
        <v>0</v>
      </c>
      <c r="CS43">
        <f>SUM('7'!AM321:AM325)</f>
        <v>0</v>
      </c>
      <c r="CT43">
        <f>SUM('7'!AN321:AN325)</f>
        <v>0</v>
      </c>
      <c r="CU43">
        <f>SUM('7'!AO321:AO325)</f>
        <v>0</v>
      </c>
      <c r="CV43">
        <f>SUM('7'!AP321:AP325)</f>
        <v>0</v>
      </c>
      <c r="CW43">
        <f>SUM('7'!AQ321:AQ325)</f>
        <v>0</v>
      </c>
      <c r="CX43">
        <f>SUM('7'!AR321:AR325)</f>
        <v>0</v>
      </c>
      <c r="CY43">
        <f>SUM('7'!AS321:AS325)</f>
        <v>0</v>
      </c>
      <c r="CZ43">
        <f>SUM('7'!AT321:AT325)</f>
        <v>0</v>
      </c>
      <c r="DA43">
        <f>SUM('7'!AU321:AU325)</f>
        <v>0</v>
      </c>
      <c r="DB43">
        <f>SUM('7'!AV321:AV325)</f>
        <v>0</v>
      </c>
      <c r="DC43">
        <f>SUM('7'!AW321:AW325)</f>
        <v>0</v>
      </c>
      <c r="DD43">
        <f>SUM('7'!AX321:AX325)</f>
        <v>0</v>
      </c>
      <c r="DE43">
        <f>SUM('7'!AY321:AY325)</f>
        <v>0</v>
      </c>
      <c r="DF43">
        <f>SUM('7'!AZ321:AZ325)</f>
        <v>0</v>
      </c>
      <c r="DG43">
        <f>SUM('7'!BA321:BA325)</f>
        <v>0</v>
      </c>
      <c r="DH43">
        <f>SUM('7'!BB321:BB325)</f>
        <v>0</v>
      </c>
      <c r="DI43">
        <f>SUM('7'!BC321:BC325)</f>
        <v>0</v>
      </c>
      <c r="DJ43">
        <f>SUM('7'!BD321:BD325)</f>
        <v>0</v>
      </c>
      <c r="DK43">
        <f>SUM('7'!BE321:BE325)</f>
        <v>0</v>
      </c>
      <c r="DL43">
        <f>SUM('7'!BF321:BF325)</f>
        <v>0</v>
      </c>
      <c r="DM43">
        <f>SUM('7'!BG321:BG325)</f>
        <v>0</v>
      </c>
      <c r="DN43">
        <f>SUM('7'!BH321:BH325)</f>
        <v>0</v>
      </c>
      <c r="DO43">
        <f>SUM('7'!BI321:BI325)</f>
        <v>0</v>
      </c>
      <c r="DP43">
        <f>SUM('7'!BJ321:BJ325)</f>
        <v>0</v>
      </c>
      <c r="DQ43">
        <f>SUM('7'!BK321:BK325)</f>
        <v>0</v>
      </c>
      <c r="DR43">
        <f>SUM('7'!BL321:BL325)</f>
        <v>0</v>
      </c>
      <c r="DS43">
        <f>SUM('7'!BM321:BM325)</f>
        <v>0</v>
      </c>
      <c r="DT43">
        <f>SUM('7'!BN321:BN325)</f>
        <v>0</v>
      </c>
      <c r="DU43">
        <f>SUM('7'!BO321:BO325)</f>
        <v>0</v>
      </c>
      <c r="DV43">
        <f>SUM('7'!BP321:BP325)</f>
        <v>0</v>
      </c>
      <c r="DW43">
        <f>SUM('7'!BQ321:BQ325)</f>
        <v>0</v>
      </c>
      <c r="DX43">
        <f>SUM('7'!BR321:BR325)</f>
        <v>0</v>
      </c>
      <c r="DY43">
        <f>SUM('7'!BS321:BS325)</f>
        <v>0</v>
      </c>
      <c r="DZ43">
        <f>SUM('7'!BT321:BT325)</f>
        <v>0</v>
      </c>
      <c r="EA43">
        <f>SUM('7'!BU321:BU325)</f>
        <v>0</v>
      </c>
      <c r="EB43">
        <f>SUM('7'!BV321:BV325)</f>
        <v>0</v>
      </c>
      <c r="EC43">
        <f>SUM('7'!BW321:BW325)</f>
        <v>0</v>
      </c>
      <c r="ED43">
        <f>SUM('7'!BX321:BX325)</f>
        <v>0</v>
      </c>
      <c r="EE43">
        <f>SUM('7'!BY321:BY325)</f>
        <v>0</v>
      </c>
      <c r="EF43">
        <f>SUM('7'!BZ321:BZ325)</f>
        <v>0</v>
      </c>
      <c r="EG43">
        <f>SUM('7'!CA321:CA325)</f>
        <v>0</v>
      </c>
      <c r="EH43">
        <f>SUM('7'!CB321:CB325)</f>
        <v>0</v>
      </c>
      <c r="EI43">
        <f>SUM('7'!CC321:CC325)</f>
        <v>0</v>
      </c>
      <c r="EJ43">
        <f>SUM('7'!CD321:CD325)</f>
        <v>0</v>
      </c>
      <c r="EK43">
        <f>SUM('7'!CE321:CE325)</f>
        <v>0</v>
      </c>
      <c r="EL43">
        <f>SUM('7'!CF321:CF325)</f>
        <v>0</v>
      </c>
      <c r="EM43">
        <f>SUM('7'!CG321:CG325)</f>
        <v>0</v>
      </c>
      <c r="EN43">
        <f>SUM('7'!CH321:CH325)</f>
        <v>0</v>
      </c>
      <c r="EO43">
        <f>SUM('7'!CI321:CI325)</f>
        <v>0</v>
      </c>
      <c r="EP43">
        <f>SUM('7'!CJ321:CJ325)</f>
        <v>0</v>
      </c>
      <c r="EQ43">
        <f>SUM('7'!CK321:CK325)</f>
        <v>0</v>
      </c>
      <c r="ER43">
        <f>SUM('7'!CL321:CL325)</f>
        <v>0</v>
      </c>
      <c r="ES43">
        <f>SUM('7'!CM321:CM325)</f>
        <v>0</v>
      </c>
      <c r="ET43">
        <f>SUM('7'!CN321:CN325)</f>
        <v>0</v>
      </c>
      <c r="EU43">
        <f>SUM('7'!CO321:CO325)</f>
        <v>0</v>
      </c>
      <c r="EV43">
        <f>SUM('7'!CP321:CP325)</f>
        <v>0</v>
      </c>
      <c r="EW43">
        <f>SUM('7'!CQ321:CQ325)</f>
        <v>0</v>
      </c>
      <c r="EX43">
        <f>SUM('7'!CR321:CR325)</f>
        <v>0</v>
      </c>
      <c r="EY43">
        <f>SUM('7'!CS321:CS325)</f>
        <v>0</v>
      </c>
      <c r="EZ43">
        <f>SUM('7'!CT321:CT325)</f>
        <v>0</v>
      </c>
      <c r="FA43">
        <f>SUM('7'!CU321:CU325)</f>
        <v>0</v>
      </c>
      <c r="FB43">
        <f>SUM('7'!CV321:CV325)</f>
        <v>0</v>
      </c>
      <c r="FC43">
        <f>SUM('7'!CW321:CW325)</f>
        <v>0</v>
      </c>
      <c r="FD43">
        <f>SUM('7'!CX321:CX325)</f>
        <v>0</v>
      </c>
      <c r="FE43">
        <f>SUM('7'!CY321:CY325)</f>
        <v>0</v>
      </c>
      <c r="FF43">
        <f>SUM('7'!CZ321:CZ325)</f>
        <v>0</v>
      </c>
      <c r="FG43">
        <f>SUM('7'!DA321:DA325)</f>
        <v>0</v>
      </c>
      <c r="FH43">
        <f>SUM('7'!DB321:DB325)</f>
        <v>0</v>
      </c>
      <c r="FI43">
        <f>SUM('7'!DC321:DC325)</f>
        <v>0</v>
      </c>
      <c r="FJ43">
        <f>SUM('7'!DD321:DD325)</f>
        <v>0</v>
      </c>
      <c r="FK43">
        <f>SUM('7'!DE321:DE325)</f>
        <v>0</v>
      </c>
      <c r="FL43">
        <f>SUM('7'!DF321:DF325)</f>
        <v>0</v>
      </c>
      <c r="FM43">
        <f>SUM('7'!DG321:DG325)</f>
        <v>0</v>
      </c>
      <c r="FN43" t="s">
        <v>4423</v>
      </c>
      <c r="FO43">
        <f t="shared" si="96"/>
        <v>0</v>
      </c>
      <c r="FP43" t="s">
        <v>4424</v>
      </c>
      <c r="FQ43">
        <f t="shared" si="97"/>
        <v>0</v>
      </c>
      <c r="FR43" t="s">
        <v>4425</v>
      </c>
      <c r="FS43">
        <f t="shared" si="98"/>
        <v>0</v>
      </c>
      <c r="FT43" t="s">
        <v>4426</v>
      </c>
      <c r="FU43">
        <f t="shared" si="99"/>
        <v>0</v>
      </c>
      <c r="FV43" t="s">
        <v>4427</v>
      </c>
      <c r="FW43">
        <f t="shared" si="100"/>
        <v>0</v>
      </c>
      <c r="FX43" t="s">
        <v>4428</v>
      </c>
      <c r="FY43">
        <f t="shared" si="101"/>
        <v>0</v>
      </c>
      <c r="FZ43" t="s">
        <v>4429</v>
      </c>
      <c r="GA43">
        <f t="shared" si="102"/>
        <v>0</v>
      </c>
      <c r="GB43" t="s">
        <v>4430</v>
      </c>
      <c r="GC43">
        <f t="shared" si="103"/>
        <v>0</v>
      </c>
      <c r="GD43" t="s">
        <v>4431</v>
      </c>
      <c r="GE43">
        <f t="shared" si="104"/>
        <v>0</v>
      </c>
      <c r="GF43" t="s">
        <v>4432</v>
      </c>
      <c r="GG43">
        <f t="shared" si="105"/>
        <v>0</v>
      </c>
      <c r="GH43" t="s">
        <v>4433</v>
      </c>
      <c r="GI43">
        <f t="shared" si="106"/>
        <v>0</v>
      </c>
      <c r="GJ43" t="s">
        <v>4434</v>
      </c>
      <c r="GK43">
        <f t="shared" si="107"/>
        <v>0</v>
      </c>
      <c r="GL43" t="s">
        <v>4435</v>
      </c>
      <c r="GM43">
        <f t="shared" si="108"/>
        <v>0</v>
      </c>
      <c r="GN43" t="s">
        <v>4436</v>
      </c>
      <c r="GO43">
        <f t="shared" si="109"/>
        <v>0</v>
      </c>
      <c r="GP43" t="s">
        <v>4437</v>
      </c>
      <c r="GQ43">
        <f t="shared" si="110"/>
        <v>0</v>
      </c>
      <c r="GR43" t="s">
        <v>4438</v>
      </c>
      <c r="GS43">
        <f t="shared" si="111"/>
        <v>0</v>
      </c>
      <c r="GT43" t="s">
        <v>4439</v>
      </c>
      <c r="GU43">
        <f t="shared" si="112"/>
        <v>0</v>
      </c>
      <c r="GV43" t="s">
        <v>4440</v>
      </c>
      <c r="GW43">
        <f t="shared" si="113"/>
        <v>0</v>
      </c>
      <c r="GX43" t="s">
        <v>4441</v>
      </c>
      <c r="GY43">
        <f t="shared" si="114"/>
        <v>0</v>
      </c>
      <c r="GZ43" t="s">
        <v>4442</v>
      </c>
      <c r="HA43">
        <f t="shared" si="115"/>
        <v>0</v>
      </c>
      <c r="HB43" t="s">
        <v>4443</v>
      </c>
      <c r="HC43">
        <f t="shared" si="116"/>
        <v>0</v>
      </c>
      <c r="HD43" t="s">
        <v>4444</v>
      </c>
      <c r="HE43">
        <f t="shared" si="117"/>
        <v>0</v>
      </c>
      <c r="HF43" t="s">
        <v>4445</v>
      </c>
      <c r="HG43">
        <f t="shared" si="118"/>
        <v>0</v>
      </c>
      <c r="HH43" t="s">
        <v>4446</v>
      </c>
      <c r="HI43">
        <f t="shared" si="119"/>
        <v>0</v>
      </c>
      <c r="HJ43" t="s">
        <v>4447</v>
      </c>
      <c r="HK43">
        <f t="shared" si="120"/>
        <v>0</v>
      </c>
      <c r="HL43" t="s">
        <v>4448</v>
      </c>
      <c r="HM43">
        <f t="shared" si="121"/>
        <v>0</v>
      </c>
      <c r="HN43" t="s">
        <v>4449</v>
      </c>
      <c r="HO43">
        <f t="shared" si="122"/>
        <v>0</v>
      </c>
      <c r="HP43" t="s">
        <v>4450</v>
      </c>
      <c r="HQ43">
        <f t="shared" si="123"/>
        <v>0</v>
      </c>
      <c r="HR43" t="s">
        <v>4451</v>
      </c>
      <c r="HS43">
        <f t="shared" si="124"/>
        <v>0</v>
      </c>
      <c r="HT43" t="s">
        <v>4452</v>
      </c>
      <c r="HU43">
        <f t="shared" si="125"/>
        <v>0</v>
      </c>
      <c r="HV43" t="s">
        <v>4453</v>
      </c>
      <c r="HW43">
        <f t="shared" si="126"/>
        <v>0</v>
      </c>
      <c r="HX43" t="s">
        <v>4454</v>
      </c>
      <c r="HY43">
        <f t="shared" si="127"/>
        <v>0</v>
      </c>
      <c r="HZ43" t="s">
        <v>4455</v>
      </c>
      <c r="IA43">
        <f t="shared" si="128"/>
        <v>0</v>
      </c>
      <c r="IB43" t="s">
        <v>4456</v>
      </c>
      <c r="IC43">
        <f t="shared" si="129"/>
        <v>0</v>
      </c>
      <c r="ID43" t="s">
        <v>4457</v>
      </c>
      <c r="IE43">
        <f t="shared" si="130"/>
        <v>0</v>
      </c>
      <c r="IF43" t="s">
        <v>4458</v>
      </c>
      <c r="IG43">
        <f t="shared" si="131"/>
        <v>0</v>
      </c>
      <c r="IH43" t="s">
        <v>4459</v>
      </c>
      <c r="II43">
        <f t="shared" si="132"/>
        <v>0</v>
      </c>
      <c r="IJ43" t="s">
        <v>4460</v>
      </c>
      <c r="IK43">
        <f t="shared" si="133"/>
        <v>0</v>
      </c>
      <c r="IL43" t="s">
        <v>4461</v>
      </c>
      <c r="IM43">
        <f t="shared" si="134"/>
        <v>0</v>
      </c>
      <c r="IN43" t="s">
        <v>4462</v>
      </c>
      <c r="IO43">
        <f t="shared" si="135"/>
        <v>0</v>
      </c>
      <c r="IP43" t="s">
        <v>4463</v>
      </c>
      <c r="IQ43">
        <f t="shared" si="136"/>
        <v>0</v>
      </c>
      <c r="IR43" t="s">
        <v>4464</v>
      </c>
      <c r="IS43">
        <f t="shared" si="137"/>
        <v>0</v>
      </c>
      <c r="IT43" t="s">
        <v>4465</v>
      </c>
      <c r="IU43">
        <f t="shared" si="138"/>
        <v>0</v>
      </c>
      <c r="IV43" t="s">
        <v>4466</v>
      </c>
      <c r="IW43">
        <f t="shared" si="139"/>
        <v>0</v>
      </c>
      <c r="IX43" t="s">
        <v>4467</v>
      </c>
      <c r="IY43">
        <f t="shared" si="140"/>
        <v>0</v>
      </c>
      <c r="IZ43" t="s">
        <v>4468</v>
      </c>
      <c r="JA43">
        <f t="shared" si="141"/>
        <v>0</v>
      </c>
      <c r="JB43" t="s">
        <v>4469</v>
      </c>
      <c r="JC43">
        <f t="shared" si="142"/>
        <v>0</v>
      </c>
      <c r="JD43" t="s">
        <v>4470</v>
      </c>
      <c r="JE43">
        <f t="shared" si="143"/>
        <v>0</v>
      </c>
      <c r="JF43" t="s">
        <v>4471</v>
      </c>
      <c r="JG43">
        <f t="shared" si="144"/>
        <v>0</v>
      </c>
      <c r="JH43" t="s">
        <v>4472</v>
      </c>
      <c r="JI43">
        <f t="shared" si="145"/>
        <v>0</v>
      </c>
      <c r="JJ43" t="s">
        <v>4473</v>
      </c>
      <c r="JK43">
        <f t="shared" si="146"/>
        <v>0</v>
      </c>
      <c r="JL43" t="s">
        <v>4474</v>
      </c>
      <c r="JM43">
        <f t="shared" si="147"/>
        <v>0</v>
      </c>
      <c r="JN43" t="s">
        <v>4475</v>
      </c>
      <c r="JO43">
        <f t="shared" si="148"/>
        <v>0</v>
      </c>
      <c r="JP43" t="s">
        <v>4476</v>
      </c>
      <c r="JQ43">
        <f t="shared" si="149"/>
        <v>0</v>
      </c>
      <c r="JR43" t="s">
        <v>4477</v>
      </c>
      <c r="JS43">
        <f t="shared" si="150"/>
        <v>0</v>
      </c>
      <c r="JT43" t="s">
        <v>4478</v>
      </c>
      <c r="JU43">
        <f t="shared" si="151"/>
        <v>0</v>
      </c>
      <c r="JV43" t="s">
        <v>4479</v>
      </c>
      <c r="JW43">
        <f t="shared" si="152"/>
        <v>0</v>
      </c>
      <c r="JX43" t="s">
        <v>4480</v>
      </c>
      <c r="JY43">
        <f t="shared" si="153"/>
        <v>0</v>
      </c>
      <c r="JZ43" t="s">
        <v>4481</v>
      </c>
      <c r="KA43">
        <f t="shared" si="154"/>
        <v>0</v>
      </c>
      <c r="KB43" t="s">
        <v>4482</v>
      </c>
      <c r="KC43">
        <f t="shared" si="155"/>
        <v>0</v>
      </c>
      <c r="KD43" t="s">
        <v>4483</v>
      </c>
      <c r="KE43">
        <f t="shared" si="156"/>
        <v>0</v>
      </c>
      <c r="KF43" t="s">
        <v>4484</v>
      </c>
      <c r="KG43">
        <f t="shared" si="157"/>
        <v>0</v>
      </c>
      <c r="KH43" t="s">
        <v>4485</v>
      </c>
      <c r="KI43">
        <f t="shared" si="158"/>
        <v>0</v>
      </c>
      <c r="KJ43" t="s">
        <v>4486</v>
      </c>
      <c r="KK43">
        <f t="shared" si="159"/>
        <v>0</v>
      </c>
      <c r="KL43" t="s">
        <v>4487</v>
      </c>
      <c r="KM43">
        <f t="shared" si="160"/>
        <v>0</v>
      </c>
      <c r="KN43" t="s">
        <v>4488</v>
      </c>
      <c r="KO43">
        <f t="shared" si="161"/>
        <v>0</v>
      </c>
      <c r="KP43" t="s">
        <v>4489</v>
      </c>
      <c r="KQ43">
        <f t="shared" si="162"/>
        <v>0</v>
      </c>
      <c r="KR43" t="s">
        <v>4490</v>
      </c>
      <c r="KS43">
        <f t="shared" si="163"/>
        <v>0</v>
      </c>
      <c r="KT43" t="s">
        <v>4491</v>
      </c>
      <c r="KU43">
        <f t="shared" si="164"/>
        <v>0</v>
      </c>
      <c r="KV43" t="s">
        <v>4492</v>
      </c>
      <c r="KW43">
        <f t="shared" si="165"/>
        <v>0</v>
      </c>
      <c r="KX43" t="s">
        <v>4493</v>
      </c>
      <c r="KY43">
        <f t="shared" si="166"/>
        <v>0</v>
      </c>
      <c r="KZ43" t="s">
        <v>4494</v>
      </c>
      <c r="LA43">
        <f t="shared" si="167"/>
        <v>0</v>
      </c>
      <c r="LB43" t="s">
        <v>4495</v>
      </c>
      <c r="LC43">
        <f t="shared" si="168"/>
        <v>0</v>
      </c>
      <c r="LD43" t="s">
        <v>4496</v>
      </c>
      <c r="LE43">
        <f t="shared" si="169"/>
        <v>0</v>
      </c>
      <c r="LF43" t="s">
        <v>4497</v>
      </c>
      <c r="LG43">
        <f t="shared" si="170"/>
        <v>0</v>
      </c>
      <c r="LH43" t="s">
        <v>4498</v>
      </c>
      <c r="LI43">
        <f t="shared" si="171"/>
        <v>0</v>
      </c>
      <c r="LJ43" t="s">
        <v>4499</v>
      </c>
      <c r="LK43">
        <f t="shared" si="172"/>
        <v>0</v>
      </c>
      <c r="LL43" t="s">
        <v>4500</v>
      </c>
      <c r="LM43">
        <f t="shared" si="173"/>
        <v>0</v>
      </c>
      <c r="LN43" t="s">
        <v>4501</v>
      </c>
      <c r="LO43">
        <f t="shared" si="174"/>
        <v>0</v>
      </c>
      <c r="LP43" t="s">
        <v>4502</v>
      </c>
      <c r="LQ43">
        <f t="shared" si="175"/>
        <v>0</v>
      </c>
      <c r="LR43" t="s">
        <v>4503</v>
      </c>
      <c r="LS43">
        <f t="shared" si="176"/>
        <v>0</v>
      </c>
      <c r="LT43" t="s">
        <v>4504</v>
      </c>
      <c r="LU43">
        <f t="shared" si="177"/>
        <v>0</v>
      </c>
      <c r="LV43" t="s">
        <v>4505</v>
      </c>
      <c r="LW43">
        <f t="shared" si="178"/>
        <v>0</v>
      </c>
      <c r="LX43" t="s">
        <v>4506</v>
      </c>
      <c r="LY43">
        <f t="shared" si="179"/>
        <v>0</v>
      </c>
      <c r="LZ43">
        <f>'6'!B164</f>
        <v>0</v>
      </c>
      <c r="MA43">
        <f>'6'!C164</f>
        <v>0</v>
      </c>
      <c r="MB43">
        <f>'6'!D164</f>
        <v>0</v>
      </c>
      <c r="MC43">
        <f>'6'!E164</f>
        <v>0</v>
      </c>
      <c r="MD43">
        <f>'6'!F164</f>
        <v>0</v>
      </c>
      <c r="ME43">
        <f>'6'!G164</f>
        <v>0</v>
      </c>
      <c r="MF43">
        <f>'6'!H164</f>
        <v>0</v>
      </c>
      <c r="MG43">
        <f>'6'!I164</f>
        <v>0</v>
      </c>
      <c r="MH43">
        <f>'6'!J164</f>
        <v>0</v>
      </c>
      <c r="MI43">
        <f>'6'!K164</f>
        <v>0</v>
      </c>
      <c r="MJ43">
        <f>'6'!L164</f>
        <v>0</v>
      </c>
      <c r="MK43">
        <f>'6'!M164</f>
        <v>0</v>
      </c>
      <c r="ML43" s="13">
        <f>'7'!B319</f>
        <v>0</v>
      </c>
      <c r="MM43" s="13">
        <f>'7'!C319</f>
        <v>0</v>
      </c>
      <c r="MN43" s="13">
        <f>'7'!D319</f>
        <v>0</v>
      </c>
      <c r="MO43" s="13">
        <f>'7'!E319</f>
        <v>0</v>
      </c>
      <c r="MP43" s="13">
        <f>'7'!F319</f>
        <v>0</v>
      </c>
      <c r="MQ43" s="13">
        <f>'7'!G319</f>
        <v>0</v>
      </c>
      <c r="MR43" s="13">
        <f>'7'!H319</f>
        <v>0</v>
      </c>
      <c r="MS43" s="13">
        <f>'7'!I319</f>
        <v>0</v>
      </c>
      <c r="MT43" s="13">
        <f>'7'!J319</f>
        <v>0</v>
      </c>
      <c r="MU43" s="13">
        <f>'7'!K319</f>
        <v>0</v>
      </c>
      <c r="MV43" s="13">
        <f>'7'!L319</f>
        <v>0</v>
      </c>
      <c r="MW43" s="13">
        <f>'7'!M319</f>
        <v>0</v>
      </c>
      <c r="MX43" s="13" t="s">
        <v>4507</v>
      </c>
      <c r="MY43">
        <f t="shared" si="180"/>
        <v>0</v>
      </c>
      <c r="MZ43" s="13" t="s">
        <v>4508</v>
      </c>
      <c r="NA43">
        <f t="shared" si="181"/>
        <v>0</v>
      </c>
      <c r="NB43" s="13" t="s">
        <v>4509</v>
      </c>
      <c r="NC43">
        <f t="shared" si="182"/>
        <v>0</v>
      </c>
      <c r="ND43" s="13" t="s">
        <v>4510</v>
      </c>
      <c r="NE43">
        <f t="shared" si="183"/>
        <v>0</v>
      </c>
      <c r="NF43" s="13" t="s">
        <v>4511</v>
      </c>
      <c r="NG43">
        <f t="shared" si="184"/>
        <v>0</v>
      </c>
      <c r="NH43" s="13" t="s">
        <v>4512</v>
      </c>
      <c r="NI43">
        <f t="shared" si="185"/>
        <v>0</v>
      </c>
      <c r="NJ43" s="13" t="s">
        <v>4513</v>
      </c>
      <c r="NK43">
        <f t="shared" si="186"/>
        <v>0</v>
      </c>
      <c r="NL43" s="13" t="s">
        <v>4514</v>
      </c>
      <c r="NM43">
        <f t="shared" si="187"/>
        <v>0</v>
      </c>
      <c r="NN43" s="13" t="s">
        <v>4515</v>
      </c>
      <c r="NO43">
        <f t="shared" si="188"/>
        <v>0</v>
      </c>
      <c r="NP43" s="13" t="s">
        <v>4516</v>
      </c>
      <c r="NQ43">
        <f t="shared" si="189"/>
        <v>0</v>
      </c>
      <c r="NR43" s="13" t="s">
        <v>4517</v>
      </c>
      <c r="NS43">
        <f t="shared" si="190"/>
        <v>0</v>
      </c>
      <c r="NT43" s="13" t="s">
        <v>4518</v>
      </c>
      <c r="NU43">
        <f t="shared" si="191"/>
        <v>0</v>
      </c>
      <c r="NV43" s="13"/>
    </row>
    <row r="44" spans="1:386" customFormat="1" x14ac:dyDescent="0.25"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P44" s="1"/>
      <c r="FR44" s="1"/>
      <c r="FT44" s="1"/>
      <c r="FV44" s="1"/>
      <c r="FX44" s="1"/>
      <c r="FZ44" s="1"/>
      <c r="GB44" s="1"/>
      <c r="GD44" s="1"/>
      <c r="GF44" s="1"/>
      <c r="GH44" s="1"/>
      <c r="GJ44" s="1"/>
      <c r="GL44" s="1"/>
      <c r="GN44" s="1"/>
      <c r="GP44" s="1"/>
      <c r="GR44" s="1"/>
      <c r="GT44" s="1"/>
      <c r="GV44" s="1"/>
      <c r="GX44" s="1"/>
      <c r="GZ44" s="1"/>
      <c r="HB44" s="1"/>
      <c r="HD44" s="1"/>
      <c r="HF44" s="1"/>
      <c r="HH44" s="1"/>
      <c r="HJ44" s="1"/>
      <c r="HL44" s="1"/>
      <c r="HN44" s="1"/>
      <c r="HP44" s="1"/>
      <c r="HR44" s="1"/>
      <c r="HT44" s="1"/>
      <c r="HV44" s="1"/>
      <c r="HX44" s="1"/>
      <c r="HZ44" s="1"/>
      <c r="IB44" s="1"/>
      <c r="ID44" s="1"/>
      <c r="IF44" s="1"/>
      <c r="IH44" s="1"/>
      <c r="IJ44" s="1"/>
      <c r="IL44" s="1"/>
      <c r="IN44" s="1"/>
      <c r="IP44" s="1"/>
      <c r="IR44" s="1"/>
      <c r="IT44" s="1"/>
      <c r="IV44" s="1"/>
      <c r="IX44" s="1"/>
      <c r="IZ44" s="1"/>
      <c r="JB44" s="1"/>
      <c r="JD44" s="1"/>
      <c r="JF44" s="1"/>
      <c r="JH44" s="1"/>
      <c r="JJ44" s="1"/>
      <c r="JL44" s="1"/>
      <c r="JN44" s="1"/>
      <c r="JP44" s="1"/>
      <c r="JR44" s="1"/>
      <c r="JT44" s="1"/>
      <c r="JV44" s="1"/>
      <c r="JX44" s="1"/>
      <c r="JZ44" s="1"/>
      <c r="KB44" s="1"/>
      <c r="KD44" s="1"/>
      <c r="KF44" s="1"/>
      <c r="KH44" s="1"/>
      <c r="KJ44" s="1"/>
      <c r="KL44" s="1"/>
      <c r="KN44" s="1"/>
      <c r="KP44" s="1"/>
      <c r="KR44" s="1"/>
      <c r="KT44" s="1"/>
      <c r="KV44" s="1"/>
      <c r="KX44" s="1"/>
      <c r="KZ44" s="1"/>
      <c r="LB44" s="1"/>
      <c r="LD44" s="1"/>
      <c r="LF44" s="1"/>
      <c r="LH44" s="1"/>
      <c r="LJ44" s="1"/>
      <c r="LL44" s="1"/>
      <c r="LN44" s="1"/>
      <c r="LP44" s="1"/>
      <c r="LR44" s="1"/>
      <c r="LT44" s="1"/>
      <c r="LV44" s="1"/>
      <c r="LX44" s="1"/>
    </row>
    <row r="45" spans="1:386" customFormat="1" x14ac:dyDescent="0.25"/>
    <row r="46" spans="1:386" customFormat="1" x14ac:dyDescent="0.25"/>
    <row r="47" spans="1:386" customFormat="1" x14ac:dyDescent="0.25"/>
    <row r="48" spans="1:386" customFormat="1" x14ac:dyDescent="0.25"/>
    <row r="149" spans="2:13" x14ac:dyDescent="0.25">
      <c r="B149" s="13"/>
      <c r="C149" s="13"/>
      <c r="D149" s="13"/>
      <c r="E149" s="13"/>
      <c r="F149" s="13"/>
      <c r="G149" s="13"/>
      <c r="H149" s="13"/>
      <c r="I149" s="13"/>
      <c r="J149" s="13"/>
      <c r="K149" s="13"/>
      <c r="L149" s="13"/>
      <c r="M149" s="13"/>
    </row>
    <row r="150" spans="2:13" x14ac:dyDescent="0.25">
      <c r="B150" s="13"/>
      <c r="C150" s="13"/>
      <c r="D150" s="13"/>
      <c r="E150" s="13"/>
      <c r="F150" s="13"/>
      <c r="G150" s="13"/>
      <c r="H150" s="13"/>
      <c r="I150" s="13"/>
      <c r="J150" s="13"/>
      <c r="K150" s="13"/>
      <c r="L150" s="13"/>
      <c r="M150" s="13"/>
    </row>
    <row r="151" spans="2:13" x14ac:dyDescent="0.25">
      <c r="B151" s="13"/>
      <c r="C151" s="13"/>
      <c r="D151" s="13"/>
      <c r="E151" s="13"/>
      <c r="F151" s="13"/>
      <c r="G151" s="13"/>
      <c r="H151" s="13"/>
      <c r="I151" s="13"/>
      <c r="J151" s="13"/>
      <c r="K151" s="13"/>
      <c r="L151" s="13"/>
      <c r="M151" s="13"/>
    </row>
    <row r="152" spans="2:13" x14ac:dyDescent="0.25">
      <c r="B152" s="13"/>
      <c r="C152" s="13"/>
      <c r="D152" s="13"/>
      <c r="E152" s="13"/>
      <c r="F152" s="13"/>
      <c r="G152" s="13"/>
      <c r="H152" s="13"/>
      <c r="I152" s="13"/>
      <c r="J152" s="13"/>
      <c r="K152" s="13"/>
      <c r="L152" s="13"/>
      <c r="M152" s="13"/>
    </row>
    <row r="153" spans="2:13" x14ac:dyDescent="0.25">
      <c r="B153" s="13"/>
      <c r="C153" s="13"/>
      <c r="D153" s="13"/>
      <c r="E153" s="13"/>
      <c r="F153" s="13"/>
      <c r="G153" s="13"/>
      <c r="H153" s="13"/>
      <c r="I153" s="13"/>
      <c r="J153" s="13"/>
      <c r="K153" s="13"/>
      <c r="L153" s="13"/>
      <c r="M153" s="13"/>
    </row>
    <row r="154" spans="2:13" x14ac:dyDescent="0.25">
      <c r="B154" s="13"/>
      <c r="C154" s="13"/>
      <c r="D154" s="13"/>
      <c r="E154" s="13"/>
      <c r="F154" s="13"/>
      <c r="G154" s="13"/>
      <c r="H154" s="13"/>
      <c r="I154" s="13"/>
      <c r="J154" s="13"/>
      <c r="K154" s="13"/>
      <c r="L154" s="13"/>
      <c r="M154" s="13"/>
    </row>
    <row r="155" spans="2:13" x14ac:dyDescent="0.25">
      <c r="B155" s="13"/>
      <c r="C155" s="13"/>
      <c r="D155" s="13"/>
      <c r="E155" s="13"/>
      <c r="F155" s="13"/>
      <c r="G155" s="13"/>
      <c r="H155" s="13"/>
      <c r="I155" s="13"/>
      <c r="J155" s="13"/>
      <c r="K155" s="13"/>
      <c r="L155" s="13"/>
      <c r="M155" s="13"/>
    </row>
    <row r="156" spans="2:13" x14ac:dyDescent="0.25">
      <c r="B156" s="13"/>
      <c r="C156" s="13"/>
      <c r="D156" s="13"/>
      <c r="E156" s="13"/>
      <c r="F156" s="13"/>
      <c r="G156" s="13"/>
      <c r="H156" s="13"/>
      <c r="I156" s="13"/>
      <c r="J156" s="13"/>
      <c r="K156" s="13"/>
      <c r="L156" s="13"/>
      <c r="M156" s="13"/>
    </row>
    <row r="157" spans="2:13" x14ac:dyDescent="0.25">
      <c r="B157" s="13"/>
      <c r="C157" s="13"/>
      <c r="D157" s="13"/>
      <c r="E157" s="13"/>
      <c r="F157" s="13"/>
      <c r="G157" s="13"/>
      <c r="H157" s="13"/>
      <c r="I157" s="13"/>
      <c r="J157" s="13"/>
      <c r="K157" s="13"/>
      <c r="L157" s="13"/>
      <c r="M157" s="13"/>
    </row>
    <row r="158" spans="2:13" x14ac:dyDescent="0.25">
      <c r="B158" s="13"/>
      <c r="C158" s="13"/>
      <c r="D158" s="13"/>
      <c r="E158" s="13"/>
      <c r="F158" s="13"/>
      <c r="G158" s="13"/>
      <c r="H158" s="13"/>
      <c r="I158" s="13"/>
      <c r="J158" s="13"/>
      <c r="K158" s="13"/>
      <c r="L158" s="13"/>
      <c r="M158" s="13"/>
    </row>
    <row r="159" spans="2:13" x14ac:dyDescent="0.25">
      <c r="B159" s="13"/>
      <c r="C159" s="13"/>
      <c r="D159" s="13"/>
      <c r="E159" s="13"/>
      <c r="F159" s="13"/>
      <c r="G159" s="13"/>
      <c r="H159" s="13"/>
      <c r="I159" s="13"/>
      <c r="J159" s="13"/>
      <c r="K159" s="13"/>
      <c r="L159" s="13"/>
      <c r="M159" s="13"/>
    </row>
    <row r="160" spans="2:13" x14ac:dyDescent="0.25">
      <c r="B160" s="13"/>
      <c r="C160" s="13"/>
      <c r="D160" s="13"/>
      <c r="E160" s="13"/>
      <c r="F160" s="13"/>
      <c r="G160" s="13"/>
      <c r="H160" s="13"/>
      <c r="I160" s="13"/>
      <c r="J160" s="13"/>
      <c r="K160" s="13"/>
      <c r="L160" s="13"/>
      <c r="M160" s="13"/>
    </row>
  </sheetData>
  <phoneticPr fontId="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60DD77-8F83-B443-A8F2-B6873D3EDEDF}">
  <sheetPr codeName="Hoja8"/>
  <dimension ref="A1:F116406"/>
  <sheetViews>
    <sheetView showGridLines="0" zoomScaleNormal="80" workbookViewId="0">
      <pane ySplit="4" topLeftCell="A5" activePane="bottomLeft" state="frozen"/>
      <selection activeCell="C5" sqref="C5"/>
      <selection pane="bottomLeft"/>
    </sheetView>
  </sheetViews>
  <sheetFormatPr baseColWidth="10" defaultColWidth="11" defaultRowHeight="17.25" x14ac:dyDescent="0.3"/>
  <cols>
    <col min="1" max="1" width="25.125" style="193" customWidth="1"/>
    <col min="2" max="2" width="27.375" style="193" customWidth="1"/>
    <col min="3" max="3" width="38" style="193" customWidth="1"/>
    <col min="4" max="4" width="45" style="193" customWidth="1"/>
    <col min="5" max="5" width="19.125" style="356" customWidth="1"/>
    <col min="6" max="6" width="46" style="131" customWidth="1"/>
    <col min="7" max="16384" width="11" style="131"/>
  </cols>
  <sheetData>
    <row r="1" spans="1:6" ht="35.1" customHeight="1" thickBot="1" x14ac:dyDescent="0.35">
      <c r="A1" s="368" t="s">
        <v>21</v>
      </c>
      <c r="B1" s="369"/>
      <c r="C1" s="369"/>
      <c r="D1" s="369"/>
      <c r="E1" s="369"/>
      <c r="F1" s="370"/>
    </row>
    <row r="2" spans="1:6" ht="51" customHeight="1" thickBot="1" x14ac:dyDescent="0.35">
      <c r="A2" s="469" t="str">
        <f>CONCATENATE("Planificación financiera ",Up," | Registro de ingresos y costos")</f>
        <v>Planificación financiera  | Registro de ingresos y costos</v>
      </c>
      <c r="B2" s="470"/>
      <c r="C2" s="470"/>
      <c r="D2" s="470"/>
      <c r="E2" s="470"/>
      <c r="F2" s="471"/>
    </row>
    <row r="3" spans="1:6" ht="6.75" customHeight="1" thickBot="1" x14ac:dyDescent="0.35">
      <c r="A3" s="371"/>
      <c r="B3" s="372"/>
      <c r="C3" s="372"/>
      <c r="D3" s="372"/>
      <c r="E3" s="373"/>
      <c r="F3" s="373"/>
    </row>
    <row r="4" spans="1:6" ht="18" thickBot="1" x14ac:dyDescent="0.35">
      <c r="A4" s="32" t="s">
        <v>4519</v>
      </c>
      <c r="B4" s="33" t="s">
        <v>557</v>
      </c>
      <c r="C4" s="34" t="s">
        <v>86</v>
      </c>
      <c r="D4" s="35" t="s">
        <v>101</v>
      </c>
      <c r="E4" s="254" t="s">
        <v>4520</v>
      </c>
      <c r="F4" s="254" t="s">
        <v>65</v>
      </c>
    </row>
    <row r="5" spans="1:6" x14ac:dyDescent="0.3">
      <c r="F5" s="193"/>
    </row>
    <row r="6" spans="1:6" x14ac:dyDescent="0.3">
      <c r="F6" s="193"/>
    </row>
    <row r="7" spans="1:6" x14ac:dyDescent="0.3">
      <c r="F7" s="193"/>
    </row>
    <row r="8" spans="1:6" x14ac:dyDescent="0.3">
      <c r="F8" s="193"/>
    </row>
    <row r="9" spans="1:6" x14ac:dyDescent="0.3">
      <c r="F9" s="193"/>
    </row>
    <row r="10" spans="1:6" x14ac:dyDescent="0.3">
      <c r="F10" s="193"/>
    </row>
    <row r="11" spans="1:6" x14ac:dyDescent="0.3">
      <c r="F11" s="193"/>
    </row>
    <row r="12" spans="1:6" x14ac:dyDescent="0.3">
      <c r="F12" s="193"/>
    </row>
    <row r="13" spans="1:6" x14ac:dyDescent="0.3">
      <c r="F13" s="193"/>
    </row>
    <row r="14" spans="1:6" x14ac:dyDescent="0.3">
      <c r="F14" s="193"/>
    </row>
    <row r="15" spans="1:6" x14ac:dyDescent="0.3">
      <c r="F15" s="193"/>
    </row>
    <row r="16" spans="1:6" x14ac:dyDescent="0.3">
      <c r="F16" s="193"/>
    </row>
    <row r="17" spans="6:6" x14ac:dyDescent="0.3">
      <c r="F17" s="193"/>
    </row>
    <row r="18" spans="6:6" x14ac:dyDescent="0.3">
      <c r="F18" s="193"/>
    </row>
    <row r="19" spans="6:6" x14ac:dyDescent="0.3">
      <c r="F19" s="193"/>
    </row>
    <row r="20" spans="6:6" x14ac:dyDescent="0.3">
      <c r="F20" s="193"/>
    </row>
    <row r="21" spans="6:6" x14ac:dyDescent="0.3">
      <c r="F21" s="193"/>
    </row>
    <row r="22" spans="6:6" x14ac:dyDescent="0.3">
      <c r="F22" s="193"/>
    </row>
    <row r="23" spans="6:6" x14ac:dyDescent="0.3">
      <c r="F23" s="193"/>
    </row>
    <row r="24" spans="6:6" x14ac:dyDescent="0.3">
      <c r="F24" s="193"/>
    </row>
    <row r="25" spans="6:6" x14ac:dyDescent="0.3">
      <c r="F25" s="193"/>
    </row>
    <row r="26" spans="6:6" x14ac:dyDescent="0.3">
      <c r="F26" s="193"/>
    </row>
    <row r="27" spans="6:6" x14ac:dyDescent="0.3">
      <c r="F27" s="193"/>
    </row>
    <row r="28" spans="6:6" x14ac:dyDescent="0.3">
      <c r="F28" s="193"/>
    </row>
    <row r="29" spans="6:6" x14ac:dyDescent="0.3">
      <c r="F29" s="193"/>
    </row>
    <row r="30" spans="6:6" x14ac:dyDescent="0.3">
      <c r="F30" s="193"/>
    </row>
    <row r="31" spans="6:6" x14ac:dyDescent="0.3">
      <c r="F31" s="193"/>
    </row>
    <row r="32" spans="6:6" x14ac:dyDescent="0.3">
      <c r="F32" s="193"/>
    </row>
    <row r="33" spans="6:6" x14ac:dyDescent="0.3">
      <c r="F33" s="193"/>
    </row>
    <row r="34" spans="6:6" x14ac:dyDescent="0.3">
      <c r="F34" s="193"/>
    </row>
    <row r="35" spans="6:6" x14ac:dyDescent="0.3">
      <c r="F35" s="193"/>
    </row>
    <row r="36" spans="6:6" x14ac:dyDescent="0.3">
      <c r="F36" s="193"/>
    </row>
    <row r="37" spans="6:6" x14ac:dyDescent="0.3">
      <c r="F37" s="193"/>
    </row>
    <row r="38" spans="6:6" x14ac:dyDescent="0.3">
      <c r="F38" s="193"/>
    </row>
    <row r="39" spans="6:6" x14ac:dyDescent="0.3">
      <c r="F39" s="193"/>
    </row>
    <row r="40" spans="6:6" x14ac:dyDescent="0.3">
      <c r="F40" s="193"/>
    </row>
    <row r="41" spans="6:6" x14ac:dyDescent="0.3">
      <c r="F41" s="193"/>
    </row>
    <row r="42" spans="6:6" x14ac:dyDescent="0.3">
      <c r="F42" s="193"/>
    </row>
    <row r="43" spans="6:6" x14ac:dyDescent="0.3">
      <c r="F43" s="193"/>
    </row>
    <row r="44" spans="6:6" x14ac:dyDescent="0.3">
      <c r="F44" s="193"/>
    </row>
    <row r="45" spans="6:6" x14ac:dyDescent="0.3">
      <c r="F45" s="193"/>
    </row>
    <row r="46" spans="6:6" x14ac:dyDescent="0.3">
      <c r="F46" s="193"/>
    </row>
    <row r="47" spans="6:6" x14ac:dyDescent="0.3">
      <c r="F47" s="193"/>
    </row>
    <row r="48" spans="6:6" x14ac:dyDescent="0.3">
      <c r="F48" s="193"/>
    </row>
    <row r="49" spans="6:6" x14ac:dyDescent="0.3">
      <c r="F49" s="193"/>
    </row>
    <row r="50" spans="6:6" x14ac:dyDescent="0.3">
      <c r="F50" s="193"/>
    </row>
    <row r="51" spans="6:6" x14ac:dyDescent="0.3">
      <c r="F51" s="193"/>
    </row>
    <row r="52" spans="6:6" x14ac:dyDescent="0.3">
      <c r="F52" s="193"/>
    </row>
    <row r="53" spans="6:6" x14ac:dyDescent="0.3">
      <c r="F53" s="193"/>
    </row>
    <row r="54" spans="6:6" x14ac:dyDescent="0.3">
      <c r="F54" s="193"/>
    </row>
    <row r="55" spans="6:6" x14ac:dyDescent="0.3">
      <c r="F55" s="193"/>
    </row>
    <row r="56" spans="6:6" x14ac:dyDescent="0.3">
      <c r="F56" s="193"/>
    </row>
    <row r="57" spans="6:6" x14ac:dyDescent="0.3">
      <c r="F57" s="193"/>
    </row>
    <row r="58" spans="6:6" x14ac:dyDescent="0.3">
      <c r="F58" s="193"/>
    </row>
    <row r="59" spans="6:6" x14ac:dyDescent="0.3">
      <c r="F59" s="193"/>
    </row>
    <row r="60" spans="6:6" x14ac:dyDescent="0.3">
      <c r="F60" s="193"/>
    </row>
    <row r="61" spans="6:6" x14ac:dyDescent="0.3">
      <c r="F61" s="193"/>
    </row>
    <row r="62" spans="6:6" x14ac:dyDescent="0.3">
      <c r="F62" s="193"/>
    </row>
    <row r="63" spans="6:6" x14ac:dyDescent="0.3">
      <c r="F63" s="193"/>
    </row>
    <row r="64" spans="6:6" x14ac:dyDescent="0.3">
      <c r="F64" s="193"/>
    </row>
    <row r="65" spans="6:6" x14ac:dyDescent="0.3">
      <c r="F65" s="193"/>
    </row>
    <row r="66" spans="6:6" x14ac:dyDescent="0.3">
      <c r="F66" s="193"/>
    </row>
    <row r="67" spans="6:6" x14ac:dyDescent="0.3">
      <c r="F67" s="193"/>
    </row>
    <row r="68" spans="6:6" x14ac:dyDescent="0.3">
      <c r="F68" s="193"/>
    </row>
    <row r="69" spans="6:6" x14ac:dyDescent="0.3">
      <c r="F69" s="193"/>
    </row>
    <row r="70" spans="6:6" x14ac:dyDescent="0.3">
      <c r="F70" s="193"/>
    </row>
    <row r="71" spans="6:6" x14ac:dyDescent="0.3">
      <c r="F71" s="193"/>
    </row>
    <row r="72" spans="6:6" x14ac:dyDescent="0.3">
      <c r="F72" s="193"/>
    </row>
    <row r="73" spans="6:6" x14ac:dyDescent="0.3">
      <c r="F73" s="193"/>
    </row>
    <row r="74" spans="6:6" x14ac:dyDescent="0.3">
      <c r="F74" s="193"/>
    </row>
    <row r="75" spans="6:6" x14ac:dyDescent="0.3">
      <c r="F75" s="193"/>
    </row>
    <row r="76" spans="6:6" x14ac:dyDescent="0.3">
      <c r="F76" s="193"/>
    </row>
    <row r="77" spans="6:6" x14ac:dyDescent="0.3">
      <c r="F77" s="193"/>
    </row>
    <row r="78" spans="6:6" x14ac:dyDescent="0.3">
      <c r="F78" s="193"/>
    </row>
    <row r="79" spans="6:6" x14ac:dyDescent="0.3">
      <c r="F79" s="193"/>
    </row>
    <row r="80" spans="6:6" x14ac:dyDescent="0.3">
      <c r="F80" s="193"/>
    </row>
    <row r="81" spans="6:6" x14ac:dyDescent="0.3">
      <c r="F81" s="193"/>
    </row>
    <row r="82" spans="6:6" x14ac:dyDescent="0.3">
      <c r="F82" s="193"/>
    </row>
    <row r="83" spans="6:6" x14ac:dyDescent="0.3">
      <c r="F83" s="193"/>
    </row>
    <row r="84" spans="6:6" x14ac:dyDescent="0.3">
      <c r="F84" s="193"/>
    </row>
    <row r="85" spans="6:6" x14ac:dyDescent="0.3">
      <c r="F85" s="193"/>
    </row>
    <row r="86" spans="6:6" x14ac:dyDescent="0.3">
      <c r="F86" s="193"/>
    </row>
    <row r="87" spans="6:6" x14ac:dyDescent="0.3">
      <c r="F87" s="193"/>
    </row>
    <row r="88" spans="6:6" x14ac:dyDescent="0.3">
      <c r="F88" s="193"/>
    </row>
    <row r="89" spans="6:6" x14ac:dyDescent="0.3">
      <c r="F89" s="193"/>
    </row>
    <row r="90" spans="6:6" x14ac:dyDescent="0.3">
      <c r="F90" s="193"/>
    </row>
    <row r="91" spans="6:6" x14ac:dyDescent="0.3">
      <c r="F91" s="193"/>
    </row>
    <row r="92" spans="6:6" x14ac:dyDescent="0.3">
      <c r="F92" s="193"/>
    </row>
    <row r="93" spans="6:6" x14ac:dyDescent="0.3">
      <c r="F93" s="193"/>
    </row>
    <row r="94" spans="6:6" x14ac:dyDescent="0.3">
      <c r="F94" s="193"/>
    </row>
    <row r="95" spans="6:6" x14ac:dyDescent="0.3">
      <c r="F95" s="193"/>
    </row>
    <row r="96" spans="6:6" x14ac:dyDescent="0.3">
      <c r="F96" s="193"/>
    </row>
    <row r="97" spans="6:6" x14ac:dyDescent="0.3">
      <c r="F97" s="193"/>
    </row>
    <row r="98" spans="6:6" x14ac:dyDescent="0.3">
      <c r="F98" s="193"/>
    </row>
    <row r="99" spans="6:6" x14ac:dyDescent="0.3">
      <c r="F99" s="193"/>
    </row>
    <row r="100" spans="6:6" x14ac:dyDescent="0.3">
      <c r="F100" s="193"/>
    </row>
    <row r="101" spans="6:6" x14ac:dyDescent="0.3">
      <c r="F101" s="193"/>
    </row>
    <row r="102" spans="6:6" x14ac:dyDescent="0.3">
      <c r="F102" s="193"/>
    </row>
    <row r="103" spans="6:6" x14ac:dyDescent="0.3">
      <c r="F103" s="193"/>
    </row>
    <row r="104" spans="6:6" x14ac:dyDescent="0.3">
      <c r="F104" s="193"/>
    </row>
    <row r="105" spans="6:6" x14ac:dyDescent="0.3">
      <c r="F105" s="193"/>
    </row>
    <row r="106" spans="6:6" x14ac:dyDescent="0.3">
      <c r="F106" s="193"/>
    </row>
    <row r="107" spans="6:6" x14ac:dyDescent="0.3">
      <c r="F107" s="193"/>
    </row>
    <row r="108" spans="6:6" x14ac:dyDescent="0.3">
      <c r="F108" s="193"/>
    </row>
    <row r="109" spans="6:6" x14ac:dyDescent="0.3">
      <c r="F109" s="193"/>
    </row>
    <row r="110" spans="6:6" x14ac:dyDescent="0.3">
      <c r="F110" s="193"/>
    </row>
    <row r="111" spans="6:6" x14ac:dyDescent="0.3">
      <c r="F111" s="193"/>
    </row>
    <row r="112" spans="6:6" x14ac:dyDescent="0.3">
      <c r="F112" s="193"/>
    </row>
    <row r="113" spans="6:6" x14ac:dyDescent="0.3">
      <c r="F113" s="193"/>
    </row>
    <row r="114" spans="6:6" x14ac:dyDescent="0.3">
      <c r="F114" s="193"/>
    </row>
    <row r="115" spans="6:6" x14ac:dyDescent="0.3">
      <c r="F115" s="193"/>
    </row>
    <row r="116" spans="6:6" x14ac:dyDescent="0.3">
      <c r="F116" s="193"/>
    </row>
    <row r="117" spans="6:6" x14ac:dyDescent="0.3">
      <c r="F117" s="193"/>
    </row>
    <row r="118" spans="6:6" x14ac:dyDescent="0.3">
      <c r="F118" s="193"/>
    </row>
    <row r="119" spans="6:6" x14ac:dyDescent="0.3">
      <c r="F119" s="193"/>
    </row>
    <row r="120" spans="6:6" x14ac:dyDescent="0.3">
      <c r="F120" s="193"/>
    </row>
    <row r="121" spans="6:6" x14ac:dyDescent="0.3">
      <c r="F121" s="193"/>
    </row>
    <row r="122" spans="6:6" x14ac:dyDescent="0.3">
      <c r="F122" s="193"/>
    </row>
    <row r="123" spans="6:6" x14ac:dyDescent="0.3">
      <c r="F123" s="193"/>
    </row>
    <row r="124" spans="6:6" x14ac:dyDescent="0.3">
      <c r="F124" s="193"/>
    </row>
    <row r="125" spans="6:6" x14ac:dyDescent="0.3">
      <c r="F125" s="193"/>
    </row>
    <row r="126" spans="6:6" x14ac:dyDescent="0.3">
      <c r="F126" s="193"/>
    </row>
    <row r="127" spans="6:6" x14ac:dyDescent="0.3">
      <c r="F127" s="193"/>
    </row>
    <row r="128" spans="6:6" x14ac:dyDescent="0.3">
      <c r="F128" s="193"/>
    </row>
    <row r="129" spans="6:6" x14ac:dyDescent="0.3">
      <c r="F129" s="193"/>
    </row>
    <row r="130" spans="6:6" x14ac:dyDescent="0.3">
      <c r="F130" s="193"/>
    </row>
    <row r="131" spans="6:6" x14ac:dyDescent="0.3">
      <c r="F131" s="193"/>
    </row>
    <row r="132" spans="6:6" x14ac:dyDescent="0.3">
      <c r="F132" s="193"/>
    </row>
    <row r="133" spans="6:6" x14ac:dyDescent="0.3">
      <c r="F133" s="193"/>
    </row>
    <row r="134" spans="6:6" x14ac:dyDescent="0.3">
      <c r="F134" s="193"/>
    </row>
    <row r="135" spans="6:6" x14ac:dyDescent="0.3">
      <c r="F135" s="193"/>
    </row>
    <row r="136" spans="6:6" x14ac:dyDescent="0.3">
      <c r="F136" s="193"/>
    </row>
    <row r="137" spans="6:6" x14ac:dyDescent="0.3">
      <c r="F137" s="193"/>
    </row>
    <row r="138" spans="6:6" x14ac:dyDescent="0.3">
      <c r="F138" s="193"/>
    </row>
    <row r="139" spans="6:6" x14ac:dyDescent="0.3">
      <c r="F139" s="193"/>
    </row>
    <row r="140" spans="6:6" x14ac:dyDescent="0.3">
      <c r="F140" s="193"/>
    </row>
    <row r="141" spans="6:6" x14ac:dyDescent="0.3">
      <c r="F141" s="193"/>
    </row>
    <row r="142" spans="6:6" x14ac:dyDescent="0.3">
      <c r="F142" s="193"/>
    </row>
    <row r="143" spans="6:6" x14ac:dyDescent="0.3">
      <c r="F143" s="193"/>
    </row>
    <row r="144" spans="6:6" x14ac:dyDescent="0.3">
      <c r="F144" s="193"/>
    </row>
    <row r="145" spans="6:6" x14ac:dyDescent="0.3">
      <c r="F145" s="193"/>
    </row>
    <row r="146" spans="6:6" x14ac:dyDescent="0.3">
      <c r="F146" s="193"/>
    </row>
    <row r="147" spans="6:6" x14ac:dyDescent="0.3">
      <c r="F147" s="193"/>
    </row>
    <row r="148" spans="6:6" x14ac:dyDescent="0.3">
      <c r="F148" s="193"/>
    </row>
    <row r="149" spans="6:6" x14ac:dyDescent="0.3">
      <c r="F149" s="193"/>
    </row>
    <row r="150" spans="6:6" x14ac:dyDescent="0.3">
      <c r="F150" s="193"/>
    </row>
    <row r="151" spans="6:6" x14ac:dyDescent="0.3">
      <c r="F151" s="193"/>
    </row>
    <row r="152" spans="6:6" x14ac:dyDescent="0.3">
      <c r="F152" s="193"/>
    </row>
    <row r="153" spans="6:6" x14ac:dyDescent="0.3">
      <c r="F153" s="193"/>
    </row>
    <row r="154" spans="6:6" x14ac:dyDescent="0.3">
      <c r="F154" s="193"/>
    </row>
    <row r="155" spans="6:6" x14ac:dyDescent="0.3">
      <c r="F155" s="193"/>
    </row>
    <row r="156" spans="6:6" x14ac:dyDescent="0.3">
      <c r="F156" s="193"/>
    </row>
    <row r="157" spans="6:6" x14ac:dyDescent="0.3">
      <c r="F157" s="193"/>
    </row>
    <row r="158" spans="6:6" x14ac:dyDescent="0.3">
      <c r="F158" s="193"/>
    </row>
    <row r="159" spans="6:6" x14ac:dyDescent="0.3">
      <c r="F159" s="193"/>
    </row>
    <row r="160" spans="6:6" x14ac:dyDescent="0.3">
      <c r="F160" s="193"/>
    </row>
    <row r="161" spans="6:6" x14ac:dyDescent="0.3">
      <c r="F161" s="193"/>
    </row>
    <row r="162" spans="6:6" x14ac:dyDescent="0.3">
      <c r="F162" s="193"/>
    </row>
    <row r="163" spans="6:6" x14ac:dyDescent="0.3">
      <c r="F163" s="193"/>
    </row>
    <row r="164" spans="6:6" x14ac:dyDescent="0.3">
      <c r="F164" s="193"/>
    </row>
    <row r="165" spans="6:6" x14ac:dyDescent="0.3">
      <c r="F165" s="193"/>
    </row>
    <row r="166" spans="6:6" x14ac:dyDescent="0.3">
      <c r="F166" s="193"/>
    </row>
    <row r="167" spans="6:6" x14ac:dyDescent="0.3">
      <c r="F167" s="193"/>
    </row>
    <row r="168" spans="6:6" x14ac:dyDescent="0.3">
      <c r="F168" s="193"/>
    </row>
    <row r="169" spans="6:6" x14ac:dyDescent="0.3">
      <c r="F169" s="193"/>
    </row>
    <row r="170" spans="6:6" x14ac:dyDescent="0.3">
      <c r="F170" s="193"/>
    </row>
    <row r="171" spans="6:6" x14ac:dyDescent="0.3">
      <c r="F171" s="193"/>
    </row>
    <row r="172" spans="6:6" x14ac:dyDescent="0.3">
      <c r="F172" s="193"/>
    </row>
    <row r="173" spans="6:6" x14ac:dyDescent="0.3">
      <c r="F173" s="193"/>
    </row>
    <row r="174" spans="6:6" x14ac:dyDescent="0.3">
      <c r="F174" s="193"/>
    </row>
    <row r="175" spans="6:6" x14ac:dyDescent="0.3">
      <c r="F175" s="193"/>
    </row>
    <row r="176" spans="6:6" x14ac:dyDescent="0.3">
      <c r="F176" s="193"/>
    </row>
    <row r="177" spans="6:6" x14ac:dyDescent="0.3">
      <c r="F177" s="193"/>
    </row>
    <row r="178" spans="6:6" x14ac:dyDescent="0.3">
      <c r="F178" s="193"/>
    </row>
    <row r="179" spans="6:6" x14ac:dyDescent="0.3">
      <c r="F179" s="193"/>
    </row>
    <row r="180" spans="6:6" x14ac:dyDescent="0.3">
      <c r="F180" s="193"/>
    </row>
    <row r="181" spans="6:6" x14ac:dyDescent="0.3">
      <c r="F181" s="193"/>
    </row>
    <row r="182" spans="6:6" x14ac:dyDescent="0.3">
      <c r="F182" s="193"/>
    </row>
    <row r="183" spans="6:6" x14ac:dyDescent="0.3">
      <c r="F183" s="193"/>
    </row>
    <row r="184" spans="6:6" x14ac:dyDescent="0.3">
      <c r="F184" s="193"/>
    </row>
    <row r="185" spans="6:6" x14ac:dyDescent="0.3">
      <c r="F185" s="193"/>
    </row>
    <row r="186" spans="6:6" x14ac:dyDescent="0.3">
      <c r="F186" s="193"/>
    </row>
    <row r="187" spans="6:6" x14ac:dyDescent="0.3">
      <c r="F187" s="193"/>
    </row>
    <row r="188" spans="6:6" x14ac:dyDescent="0.3">
      <c r="F188" s="193"/>
    </row>
    <row r="189" spans="6:6" x14ac:dyDescent="0.3">
      <c r="F189" s="193"/>
    </row>
    <row r="190" spans="6:6" x14ac:dyDescent="0.3">
      <c r="F190" s="193"/>
    </row>
    <row r="191" spans="6:6" x14ac:dyDescent="0.3">
      <c r="F191" s="193"/>
    </row>
    <row r="192" spans="6:6" x14ac:dyDescent="0.3">
      <c r="F192" s="193"/>
    </row>
    <row r="193" spans="6:6" x14ac:dyDescent="0.3">
      <c r="F193" s="193"/>
    </row>
    <row r="194" spans="6:6" x14ac:dyDescent="0.3">
      <c r="F194" s="193"/>
    </row>
    <row r="195" spans="6:6" x14ac:dyDescent="0.3">
      <c r="F195" s="193"/>
    </row>
    <row r="196" spans="6:6" x14ac:dyDescent="0.3">
      <c r="F196" s="193"/>
    </row>
    <row r="197" spans="6:6" x14ac:dyDescent="0.3">
      <c r="F197" s="193"/>
    </row>
    <row r="198" spans="6:6" x14ac:dyDescent="0.3">
      <c r="F198" s="193"/>
    </row>
    <row r="199" spans="6:6" x14ac:dyDescent="0.3">
      <c r="F199" s="193"/>
    </row>
    <row r="200" spans="6:6" x14ac:dyDescent="0.3">
      <c r="F200" s="193"/>
    </row>
    <row r="201" spans="6:6" x14ac:dyDescent="0.3">
      <c r="F201" s="193"/>
    </row>
    <row r="202" spans="6:6" x14ac:dyDescent="0.3">
      <c r="F202" s="193"/>
    </row>
    <row r="203" spans="6:6" x14ac:dyDescent="0.3">
      <c r="F203" s="193"/>
    </row>
    <row r="204" spans="6:6" x14ac:dyDescent="0.3">
      <c r="F204" s="193"/>
    </row>
    <row r="205" spans="6:6" x14ac:dyDescent="0.3">
      <c r="F205" s="193"/>
    </row>
    <row r="206" spans="6:6" x14ac:dyDescent="0.3">
      <c r="F206" s="193"/>
    </row>
    <row r="207" spans="6:6" x14ac:dyDescent="0.3">
      <c r="F207" s="193"/>
    </row>
    <row r="208" spans="6:6" x14ac:dyDescent="0.3">
      <c r="F208" s="193"/>
    </row>
    <row r="209" spans="6:6" x14ac:dyDescent="0.3">
      <c r="F209" s="193"/>
    </row>
    <row r="210" spans="6:6" x14ac:dyDescent="0.3">
      <c r="F210" s="193"/>
    </row>
    <row r="211" spans="6:6" x14ac:dyDescent="0.3">
      <c r="F211" s="193"/>
    </row>
    <row r="212" spans="6:6" x14ac:dyDescent="0.3">
      <c r="F212" s="193"/>
    </row>
    <row r="213" spans="6:6" x14ac:dyDescent="0.3">
      <c r="F213" s="193"/>
    </row>
    <row r="214" spans="6:6" x14ac:dyDescent="0.3">
      <c r="F214" s="193"/>
    </row>
    <row r="215" spans="6:6" x14ac:dyDescent="0.3">
      <c r="F215" s="193"/>
    </row>
    <row r="216" spans="6:6" x14ac:dyDescent="0.3">
      <c r="F216" s="193"/>
    </row>
    <row r="217" spans="6:6" x14ac:dyDescent="0.3">
      <c r="F217" s="193"/>
    </row>
    <row r="218" spans="6:6" x14ac:dyDescent="0.3">
      <c r="F218" s="193"/>
    </row>
    <row r="219" spans="6:6" x14ac:dyDescent="0.3">
      <c r="F219" s="193"/>
    </row>
    <row r="220" spans="6:6" x14ac:dyDescent="0.3">
      <c r="F220" s="193"/>
    </row>
    <row r="221" spans="6:6" x14ac:dyDescent="0.3">
      <c r="F221" s="193"/>
    </row>
    <row r="222" spans="6:6" x14ac:dyDescent="0.3">
      <c r="F222" s="193"/>
    </row>
    <row r="223" spans="6:6" x14ac:dyDescent="0.3">
      <c r="F223" s="193"/>
    </row>
    <row r="224" spans="6:6" x14ac:dyDescent="0.3">
      <c r="F224" s="193"/>
    </row>
    <row r="225" spans="6:6" x14ac:dyDescent="0.3">
      <c r="F225" s="193"/>
    </row>
    <row r="226" spans="6:6" x14ac:dyDescent="0.3">
      <c r="F226" s="193"/>
    </row>
    <row r="227" spans="6:6" x14ac:dyDescent="0.3">
      <c r="F227" s="193"/>
    </row>
    <row r="228" spans="6:6" x14ac:dyDescent="0.3">
      <c r="F228" s="193"/>
    </row>
    <row r="229" spans="6:6" x14ac:dyDescent="0.3">
      <c r="F229" s="193"/>
    </row>
    <row r="230" spans="6:6" x14ac:dyDescent="0.3">
      <c r="F230" s="193"/>
    </row>
    <row r="231" spans="6:6" x14ac:dyDescent="0.3">
      <c r="F231" s="193"/>
    </row>
    <row r="232" spans="6:6" x14ac:dyDescent="0.3">
      <c r="F232" s="193"/>
    </row>
    <row r="233" spans="6:6" x14ac:dyDescent="0.3">
      <c r="F233" s="193"/>
    </row>
    <row r="234" spans="6:6" x14ac:dyDescent="0.3">
      <c r="F234" s="193"/>
    </row>
    <row r="235" spans="6:6" x14ac:dyDescent="0.3">
      <c r="F235" s="193"/>
    </row>
    <row r="236" spans="6:6" x14ac:dyDescent="0.3">
      <c r="F236" s="193"/>
    </row>
    <row r="237" spans="6:6" x14ac:dyDescent="0.3">
      <c r="F237" s="193"/>
    </row>
    <row r="238" spans="6:6" x14ac:dyDescent="0.3">
      <c r="F238" s="193"/>
    </row>
    <row r="239" spans="6:6" x14ac:dyDescent="0.3">
      <c r="F239" s="193"/>
    </row>
    <row r="240" spans="6:6" x14ac:dyDescent="0.3">
      <c r="F240" s="193"/>
    </row>
    <row r="241" spans="6:6" x14ac:dyDescent="0.3">
      <c r="F241" s="193"/>
    </row>
    <row r="242" spans="6:6" x14ac:dyDescent="0.3">
      <c r="F242" s="193"/>
    </row>
    <row r="243" spans="6:6" x14ac:dyDescent="0.3">
      <c r="F243" s="193"/>
    </row>
    <row r="244" spans="6:6" x14ac:dyDescent="0.3">
      <c r="F244" s="193"/>
    </row>
    <row r="245" spans="6:6" x14ac:dyDescent="0.3">
      <c r="F245" s="193"/>
    </row>
    <row r="246" spans="6:6" x14ac:dyDescent="0.3">
      <c r="F246" s="193"/>
    </row>
    <row r="247" spans="6:6" x14ac:dyDescent="0.3">
      <c r="F247" s="193"/>
    </row>
    <row r="248" spans="6:6" x14ac:dyDescent="0.3">
      <c r="F248" s="193"/>
    </row>
    <row r="249" spans="6:6" x14ac:dyDescent="0.3">
      <c r="F249" s="193"/>
    </row>
    <row r="250" spans="6:6" x14ac:dyDescent="0.3">
      <c r="F250" s="193"/>
    </row>
    <row r="251" spans="6:6" x14ac:dyDescent="0.3">
      <c r="F251" s="193"/>
    </row>
    <row r="252" spans="6:6" x14ac:dyDescent="0.3">
      <c r="F252" s="193"/>
    </row>
    <row r="253" spans="6:6" x14ac:dyDescent="0.3">
      <c r="F253" s="193"/>
    </row>
    <row r="254" spans="6:6" x14ac:dyDescent="0.3">
      <c r="F254" s="193"/>
    </row>
    <row r="255" spans="6:6" x14ac:dyDescent="0.3">
      <c r="F255" s="193"/>
    </row>
    <row r="256" spans="6:6" x14ac:dyDescent="0.3">
      <c r="F256" s="193"/>
    </row>
    <row r="257" spans="6:6" x14ac:dyDescent="0.3">
      <c r="F257" s="193"/>
    </row>
    <row r="258" spans="6:6" x14ac:dyDescent="0.3">
      <c r="F258" s="193"/>
    </row>
    <row r="259" spans="6:6" x14ac:dyDescent="0.3">
      <c r="F259" s="193"/>
    </row>
    <row r="260" spans="6:6" x14ac:dyDescent="0.3">
      <c r="F260" s="193"/>
    </row>
    <row r="261" spans="6:6" x14ac:dyDescent="0.3">
      <c r="F261" s="193"/>
    </row>
    <row r="262" spans="6:6" x14ac:dyDescent="0.3">
      <c r="F262" s="193"/>
    </row>
    <row r="263" spans="6:6" x14ac:dyDescent="0.3">
      <c r="F263" s="193"/>
    </row>
    <row r="264" spans="6:6" x14ac:dyDescent="0.3">
      <c r="F264" s="193"/>
    </row>
    <row r="265" spans="6:6" x14ac:dyDescent="0.3">
      <c r="F265" s="193"/>
    </row>
    <row r="266" spans="6:6" x14ac:dyDescent="0.3">
      <c r="F266" s="193"/>
    </row>
    <row r="267" spans="6:6" x14ac:dyDescent="0.3">
      <c r="F267" s="193"/>
    </row>
    <row r="268" spans="6:6" x14ac:dyDescent="0.3">
      <c r="F268" s="193"/>
    </row>
    <row r="269" spans="6:6" x14ac:dyDescent="0.3">
      <c r="F269" s="193"/>
    </row>
    <row r="270" spans="6:6" x14ac:dyDescent="0.3">
      <c r="F270" s="193"/>
    </row>
    <row r="271" spans="6:6" x14ac:dyDescent="0.3">
      <c r="F271" s="193"/>
    </row>
    <row r="272" spans="6:6" x14ac:dyDescent="0.3">
      <c r="F272" s="193"/>
    </row>
    <row r="273" spans="6:6" x14ac:dyDescent="0.3">
      <c r="F273" s="193"/>
    </row>
    <row r="274" spans="6:6" x14ac:dyDescent="0.3">
      <c r="F274" s="193"/>
    </row>
    <row r="275" spans="6:6" x14ac:dyDescent="0.3">
      <c r="F275" s="193"/>
    </row>
    <row r="276" spans="6:6" x14ac:dyDescent="0.3">
      <c r="F276" s="193"/>
    </row>
    <row r="277" spans="6:6" x14ac:dyDescent="0.3">
      <c r="F277" s="193"/>
    </row>
    <row r="278" spans="6:6" x14ac:dyDescent="0.3">
      <c r="F278" s="193"/>
    </row>
    <row r="279" spans="6:6" x14ac:dyDescent="0.3">
      <c r="F279" s="193"/>
    </row>
    <row r="280" spans="6:6" x14ac:dyDescent="0.3">
      <c r="F280" s="193"/>
    </row>
    <row r="281" spans="6:6" x14ac:dyDescent="0.3">
      <c r="F281" s="193"/>
    </row>
    <row r="282" spans="6:6" x14ac:dyDescent="0.3">
      <c r="F282" s="193"/>
    </row>
    <row r="283" spans="6:6" x14ac:dyDescent="0.3">
      <c r="F283" s="193"/>
    </row>
    <row r="284" spans="6:6" x14ac:dyDescent="0.3">
      <c r="F284" s="193"/>
    </row>
    <row r="285" spans="6:6" x14ac:dyDescent="0.3">
      <c r="F285" s="193"/>
    </row>
    <row r="286" spans="6:6" x14ac:dyDescent="0.3">
      <c r="F286" s="193"/>
    </row>
    <row r="287" spans="6:6" x14ac:dyDescent="0.3">
      <c r="F287" s="193"/>
    </row>
    <row r="288" spans="6:6" x14ac:dyDescent="0.3">
      <c r="F288" s="193"/>
    </row>
    <row r="289" spans="6:6" x14ac:dyDescent="0.3">
      <c r="F289" s="193"/>
    </row>
    <row r="290" spans="6:6" x14ac:dyDescent="0.3">
      <c r="F290" s="193"/>
    </row>
    <row r="291" spans="6:6" x14ac:dyDescent="0.3">
      <c r="F291" s="193"/>
    </row>
    <row r="292" spans="6:6" x14ac:dyDescent="0.3">
      <c r="F292" s="193"/>
    </row>
    <row r="293" spans="6:6" x14ac:dyDescent="0.3">
      <c r="F293" s="193"/>
    </row>
    <row r="294" spans="6:6" x14ac:dyDescent="0.3">
      <c r="F294" s="193"/>
    </row>
    <row r="295" spans="6:6" x14ac:dyDescent="0.3">
      <c r="F295" s="193"/>
    </row>
    <row r="296" spans="6:6" x14ac:dyDescent="0.3">
      <c r="F296" s="193"/>
    </row>
    <row r="297" spans="6:6" x14ac:dyDescent="0.3">
      <c r="F297" s="193"/>
    </row>
    <row r="298" spans="6:6" x14ac:dyDescent="0.3">
      <c r="F298" s="193"/>
    </row>
    <row r="299" spans="6:6" x14ac:dyDescent="0.3">
      <c r="F299" s="193"/>
    </row>
    <row r="300" spans="6:6" x14ac:dyDescent="0.3">
      <c r="F300" s="193"/>
    </row>
    <row r="301" spans="6:6" x14ac:dyDescent="0.3">
      <c r="F301" s="193"/>
    </row>
    <row r="302" spans="6:6" x14ac:dyDescent="0.3">
      <c r="F302" s="193"/>
    </row>
    <row r="303" spans="6:6" x14ac:dyDescent="0.3">
      <c r="F303" s="193"/>
    </row>
    <row r="304" spans="6:6" x14ac:dyDescent="0.3">
      <c r="F304" s="193"/>
    </row>
    <row r="305" spans="6:6" x14ac:dyDescent="0.3">
      <c r="F305" s="193"/>
    </row>
    <row r="306" spans="6:6" x14ac:dyDescent="0.3">
      <c r="F306" s="193"/>
    </row>
    <row r="307" spans="6:6" x14ac:dyDescent="0.3">
      <c r="F307" s="193"/>
    </row>
    <row r="308" spans="6:6" x14ac:dyDescent="0.3">
      <c r="F308" s="193"/>
    </row>
    <row r="309" spans="6:6" x14ac:dyDescent="0.3">
      <c r="F309" s="193"/>
    </row>
    <row r="310" spans="6:6" x14ac:dyDescent="0.3">
      <c r="F310" s="193"/>
    </row>
    <row r="311" spans="6:6" x14ac:dyDescent="0.3">
      <c r="F311" s="193"/>
    </row>
    <row r="312" spans="6:6" x14ac:dyDescent="0.3">
      <c r="F312" s="193"/>
    </row>
    <row r="313" spans="6:6" x14ac:dyDescent="0.3">
      <c r="F313" s="193"/>
    </row>
    <row r="314" spans="6:6" x14ac:dyDescent="0.3">
      <c r="F314" s="193"/>
    </row>
    <row r="315" spans="6:6" x14ac:dyDescent="0.3">
      <c r="F315" s="193"/>
    </row>
    <row r="316" spans="6:6" x14ac:dyDescent="0.3">
      <c r="F316" s="193"/>
    </row>
    <row r="317" spans="6:6" x14ac:dyDescent="0.3">
      <c r="F317" s="193"/>
    </row>
    <row r="318" spans="6:6" x14ac:dyDescent="0.3">
      <c r="F318" s="193"/>
    </row>
    <row r="319" spans="6:6" x14ac:dyDescent="0.3">
      <c r="F319" s="193"/>
    </row>
    <row r="320" spans="6:6" x14ac:dyDescent="0.3">
      <c r="F320" s="193"/>
    </row>
    <row r="321" spans="6:6" x14ac:dyDescent="0.3">
      <c r="F321" s="193"/>
    </row>
    <row r="322" spans="6:6" x14ac:dyDescent="0.3">
      <c r="F322" s="193"/>
    </row>
    <row r="323" spans="6:6" x14ac:dyDescent="0.3">
      <c r="F323" s="193"/>
    </row>
    <row r="324" spans="6:6" x14ac:dyDescent="0.3">
      <c r="F324" s="193"/>
    </row>
    <row r="325" spans="6:6" x14ac:dyDescent="0.3">
      <c r="F325" s="193"/>
    </row>
    <row r="326" spans="6:6" x14ac:dyDescent="0.3">
      <c r="F326" s="193"/>
    </row>
    <row r="327" spans="6:6" x14ac:dyDescent="0.3">
      <c r="F327" s="193"/>
    </row>
    <row r="328" spans="6:6" x14ac:dyDescent="0.3">
      <c r="F328" s="193"/>
    </row>
    <row r="329" spans="6:6" x14ac:dyDescent="0.3">
      <c r="F329" s="193"/>
    </row>
    <row r="330" spans="6:6" x14ac:dyDescent="0.3">
      <c r="F330" s="193"/>
    </row>
    <row r="331" spans="6:6" x14ac:dyDescent="0.3">
      <c r="F331" s="193"/>
    </row>
    <row r="332" spans="6:6" x14ac:dyDescent="0.3">
      <c r="F332" s="193"/>
    </row>
    <row r="333" spans="6:6" x14ac:dyDescent="0.3">
      <c r="F333" s="193"/>
    </row>
    <row r="334" spans="6:6" x14ac:dyDescent="0.3">
      <c r="F334" s="193"/>
    </row>
    <row r="335" spans="6:6" x14ac:dyDescent="0.3">
      <c r="F335" s="193"/>
    </row>
    <row r="336" spans="6:6" x14ac:dyDescent="0.3">
      <c r="F336" s="193"/>
    </row>
    <row r="337" spans="6:6" x14ac:dyDescent="0.3">
      <c r="F337" s="193"/>
    </row>
    <row r="338" spans="6:6" x14ac:dyDescent="0.3">
      <c r="F338" s="193"/>
    </row>
    <row r="339" spans="6:6" x14ac:dyDescent="0.3">
      <c r="F339" s="193"/>
    </row>
    <row r="340" spans="6:6" x14ac:dyDescent="0.3">
      <c r="F340" s="193"/>
    </row>
    <row r="341" spans="6:6" x14ac:dyDescent="0.3">
      <c r="F341" s="193"/>
    </row>
    <row r="342" spans="6:6" x14ac:dyDescent="0.3">
      <c r="F342" s="193"/>
    </row>
    <row r="343" spans="6:6" x14ac:dyDescent="0.3">
      <c r="F343" s="193"/>
    </row>
    <row r="344" spans="6:6" x14ac:dyDescent="0.3">
      <c r="F344" s="193"/>
    </row>
    <row r="345" spans="6:6" x14ac:dyDescent="0.3">
      <c r="F345" s="193"/>
    </row>
    <row r="346" spans="6:6" x14ac:dyDescent="0.3">
      <c r="F346" s="193"/>
    </row>
    <row r="347" spans="6:6" x14ac:dyDescent="0.3">
      <c r="F347" s="193"/>
    </row>
    <row r="348" spans="6:6" x14ac:dyDescent="0.3">
      <c r="F348" s="193"/>
    </row>
    <row r="349" spans="6:6" x14ac:dyDescent="0.3">
      <c r="F349" s="193"/>
    </row>
    <row r="350" spans="6:6" x14ac:dyDescent="0.3">
      <c r="F350" s="193"/>
    </row>
    <row r="351" spans="6:6" x14ac:dyDescent="0.3">
      <c r="F351" s="193"/>
    </row>
    <row r="352" spans="6:6" x14ac:dyDescent="0.3">
      <c r="F352" s="193"/>
    </row>
    <row r="353" spans="6:6" x14ac:dyDescent="0.3">
      <c r="F353" s="193"/>
    </row>
    <row r="354" spans="6:6" x14ac:dyDescent="0.3">
      <c r="F354" s="193"/>
    </row>
    <row r="355" spans="6:6" x14ac:dyDescent="0.3">
      <c r="F355" s="193"/>
    </row>
    <row r="356" spans="6:6" x14ac:dyDescent="0.3">
      <c r="F356" s="193"/>
    </row>
    <row r="357" spans="6:6" x14ac:dyDescent="0.3">
      <c r="F357" s="193"/>
    </row>
    <row r="358" spans="6:6" x14ac:dyDescent="0.3">
      <c r="F358" s="193"/>
    </row>
    <row r="359" spans="6:6" x14ac:dyDescent="0.3">
      <c r="F359" s="193"/>
    </row>
    <row r="360" spans="6:6" x14ac:dyDescent="0.3">
      <c r="F360" s="193"/>
    </row>
    <row r="361" spans="6:6" x14ac:dyDescent="0.3">
      <c r="F361" s="193"/>
    </row>
    <row r="362" spans="6:6" x14ac:dyDescent="0.3">
      <c r="F362" s="193"/>
    </row>
    <row r="363" spans="6:6" x14ac:dyDescent="0.3">
      <c r="F363" s="193"/>
    </row>
    <row r="364" spans="6:6" x14ac:dyDescent="0.3">
      <c r="F364" s="193"/>
    </row>
    <row r="365" spans="6:6" x14ac:dyDescent="0.3">
      <c r="F365" s="193"/>
    </row>
    <row r="366" spans="6:6" x14ac:dyDescent="0.3">
      <c r="F366" s="193"/>
    </row>
    <row r="367" spans="6:6" x14ac:dyDescent="0.3">
      <c r="F367" s="193"/>
    </row>
    <row r="368" spans="6:6" x14ac:dyDescent="0.3">
      <c r="F368" s="193"/>
    </row>
    <row r="369" spans="6:6" x14ac:dyDescent="0.3">
      <c r="F369" s="193"/>
    </row>
    <row r="370" spans="6:6" x14ac:dyDescent="0.3">
      <c r="F370" s="193"/>
    </row>
    <row r="371" spans="6:6" x14ac:dyDescent="0.3">
      <c r="F371" s="193"/>
    </row>
    <row r="372" spans="6:6" x14ac:dyDescent="0.3">
      <c r="F372" s="193"/>
    </row>
    <row r="373" spans="6:6" x14ac:dyDescent="0.3">
      <c r="F373" s="193"/>
    </row>
    <row r="374" spans="6:6" x14ac:dyDescent="0.3">
      <c r="F374" s="193"/>
    </row>
    <row r="375" spans="6:6" x14ac:dyDescent="0.3">
      <c r="F375" s="193"/>
    </row>
    <row r="376" spans="6:6" x14ac:dyDescent="0.3">
      <c r="F376" s="193"/>
    </row>
    <row r="377" spans="6:6" x14ac:dyDescent="0.3">
      <c r="F377" s="193"/>
    </row>
    <row r="378" spans="6:6" x14ac:dyDescent="0.3">
      <c r="F378" s="193"/>
    </row>
    <row r="379" spans="6:6" x14ac:dyDescent="0.3">
      <c r="F379" s="193"/>
    </row>
    <row r="380" spans="6:6" x14ac:dyDescent="0.3">
      <c r="F380" s="193"/>
    </row>
    <row r="381" spans="6:6" x14ac:dyDescent="0.3">
      <c r="F381" s="193"/>
    </row>
    <row r="382" spans="6:6" x14ac:dyDescent="0.3">
      <c r="F382" s="193"/>
    </row>
    <row r="383" spans="6:6" x14ac:dyDescent="0.3">
      <c r="F383" s="193"/>
    </row>
    <row r="384" spans="6:6" x14ac:dyDescent="0.3">
      <c r="F384" s="193"/>
    </row>
    <row r="385" spans="6:6" x14ac:dyDescent="0.3">
      <c r="F385" s="193"/>
    </row>
    <row r="386" spans="6:6" x14ac:dyDescent="0.3">
      <c r="F386" s="193"/>
    </row>
    <row r="387" spans="6:6" x14ac:dyDescent="0.3">
      <c r="F387" s="193"/>
    </row>
    <row r="388" spans="6:6" x14ac:dyDescent="0.3">
      <c r="F388" s="193"/>
    </row>
    <row r="389" spans="6:6" x14ac:dyDescent="0.3">
      <c r="F389" s="193"/>
    </row>
    <row r="390" spans="6:6" x14ac:dyDescent="0.3">
      <c r="F390" s="193"/>
    </row>
    <row r="391" spans="6:6" x14ac:dyDescent="0.3">
      <c r="F391" s="193"/>
    </row>
    <row r="392" spans="6:6" x14ac:dyDescent="0.3">
      <c r="F392" s="193"/>
    </row>
    <row r="393" spans="6:6" x14ac:dyDescent="0.3">
      <c r="F393" s="193"/>
    </row>
    <row r="394" spans="6:6" x14ac:dyDescent="0.3">
      <c r="F394" s="193"/>
    </row>
    <row r="395" spans="6:6" x14ac:dyDescent="0.3">
      <c r="F395" s="193"/>
    </row>
    <row r="396" spans="6:6" x14ac:dyDescent="0.3">
      <c r="F396" s="193"/>
    </row>
    <row r="397" spans="6:6" x14ac:dyDescent="0.3">
      <c r="F397" s="193"/>
    </row>
    <row r="398" spans="6:6" x14ac:dyDescent="0.3">
      <c r="F398" s="193"/>
    </row>
    <row r="399" spans="6:6" x14ac:dyDescent="0.3">
      <c r="F399" s="193"/>
    </row>
    <row r="400" spans="6:6" x14ac:dyDescent="0.3">
      <c r="F400" s="193"/>
    </row>
    <row r="401" spans="6:6" x14ac:dyDescent="0.3">
      <c r="F401" s="193"/>
    </row>
    <row r="402" spans="6:6" x14ac:dyDescent="0.3">
      <c r="F402" s="193"/>
    </row>
    <row r="403" spans="6:6" x14ac:dyDescent="0.3">
      <c r="F403" s="193"/>
    </row>
    <row r="404" spans="6:6" x14ac:dyDescent="0.3">
      <c r="F404" s="193"/>
    </row>
    <row r="405" spans="6:6" x14ac:dyDescent="0.3">
      <c r="F405" s="193"/>
    </row>
    <row r="406" spans="6:6" x14ac:dyDescent="0.3">
      <c r="F406" s="193"/>
    </row>
    <row r="407" spans="6:6" x14ac:dyDescent="0.3">
      <c r="F407" s="193"/>
    </row>
    <row r="408" spans="6:6" x14ac:dyDescent="0.3">
      <c r="F408" s="193"/>
    </row>
    <row r="409" spans="6:6" x14ac:dyDescent="0.3">
      <c r="F409" s="193"/>
    </row>
    <row r="410" spans="6:6" x14ac:dyDescent="0.3">
      <c r="F410" s="193"/>
    </row>
    <row r="411" spans="6:6" x14ac:dyDescent="0.3">
      <c r="F411" s="193"/>
    </row>
    <row r="412" spans="6:6" x14ac:dyDescent="0.3">
      <c r="F412" s="193"/>
    </row>
    <row r="413" spans="6:6" x14ac:dyDescent="0.3">
      <c r="F413" s="193"/>
    </row>
    <row r="414" spans="6:6" x14ac:dyDescent="0.3">
      <c r="F414" s="193"/>
    </row>
    <row r="415" spans="6:6" x14ac:dyDescent="0.3">
      <c r="F415" s="193"/>
    </row>
    <row r="416" spans="6:6" x14ac:dyDescent="0.3">
      <c r="F416" s="193"/>
    </row>
    <row r="417" spans="6:6" x14ac:dyDescent="0.3">
      <c r="F417" s="193"/>
    </row>
    <row r="418" spans="6:6" x14ac:dyDescent="0.3">
      <c r="F418" s="193"/>
    </row>
    <row r="419" spans="6:6" x14ac:dyDescent="0.3">
      <c r="F419" s="193"/>
    </row>
    <row r="420" spans="6:6" x14ac:dyDescent="0.3">
      <c r="F420" s="193"/>
    </row>
    <row r="421" spans="6:6" x14ac:dyDescent="0.3">
      <c r="F421" s="193"/>
    </row>
    <row r="422" spans="6:6" x14ac:dyDescent="0.3">
      <c r="F422" s="193"/>
    </row>
    <row r="423" spans="6:6" x14ac:dyDescent="0.3">
      <c r="F423" s="193"/>
    </row>
    <row r="424" spans="6:6" x14ac:dyDescent="0.3">
      <c r="F424" s="193"/>
    </row>
    <row r="425" spans="6:6" x14ac:dyDescent="0.3">
      <c r="F425" s="193"/>
    </row>
    <row r="426" spans="6:6" x14ac:dyDescent="0.3">
      <c r="F426" s="193"/>
    </row>
    <row r="427" spans="6:6" x14ac:dyDescent="0.3">
      <c r="F427" s="193"/>
    </row>
    <row r="428" spans="6:6" x14ac:dyDescent="0.3">
      <c r="F428" s="193"/>
    </row>
    <row r="429" spans="6:6" x14ac:dyDescent="0.3">
      <c r="F429" s="193"/>
    </row>
    <row r="430" spans="6:6" x14ac:dyDescent="0.3">
      <c r="F430" s="193"/>
    </row>
    <row r="431" spans="6:6" x14ac:dyDescent="0.3">
      <c r="F431" s="193"/>
    </row>
    <row r="432" spans="6:6" x14ac:dyDescent="0.3">
      <c r="F432" s="193"/>
    </row>
    <row r="433" spans="6:6" x14ac:dyDescent="0.3">
      <c r="F433" s="193"/>
    </row>
    <row r="434" spans="6:6" x14ac:dyDescent="0.3">
      <c r="F434" s="193"/>
    </row>
    <row r="435" spans="6:6" x14ac:dyDescent="0.3">
      <c r="F435" s="193"/>
    </row>
    <row r="436" spans="6:6" x14ac:dyDescent="0.3">
      <c r="F436" s="193"/>
    </row>
    <row r="437" spans="6:6" x14ac:dyDescent="0.3">
      <c r="F437" s="193"/>
    </row>
    <row r="438" spans="6:6" x14ac:dyDescent="0.3">
      <c r="F438" s="193"/>
    </row>
    <row r="439" spans="6:6" x14ac:dyDescent="0.3">
      <c r="F439" s="193"/>
    </row>
    <row r="440" spans="6:6" x14ac:dyDescent="0.3">
      <c r="F440" s="193"/>
    </row>
    <row r="441" spans="6:6" x14ac:dyDescent="0.3">
      <c r="F441" s="193"/>
    </row>
    <row r="442" spans="6:6" x14ac:dyDescent="0.3">
      <c r="F442" s="193"/>
    </row>
    <row r="443" spans="6:6" x14ac:dyDescent="0.3">
      <c r="F443" s="193"/>
    </row>
    <row r="444" spans="6:6" x14ac:dyDescent="0.3">
      <c r="F444" s="193"/>
    </row>
    <row r="445" spans="6:6" x14ac:dyDescent="0.3">
      <c r="F445" s="193"/>
    </row>
    <row r="446" spans="6:6" x14ac:dyDescent="0.3">
      <c r="F446" s="193"/>
    </row>
    <row r="447" spans="6:6" x14ac:dyDescent="0.3">
      <c r="F447" s="193"/>
    </row>
    <row r="448" spans="6:6" x14ac:dyDescent="0.3">
      <c r="F448" s="193"/>
    </row>
    <row r="449" spans="6:6" x14ac:dyDescent="0.3">
      <c r="F449" s="193"/>
    </row>
    <row r="450" spans="6:6" x14ac:dyDescent="0.3">
      <c r="F450" s="193"/>
    </row>
    <row r="451" spans="6:6" x14ac:dyDescent="0.3">
      <c r="F451" s="193"/>
    </row>
    <row r="452" spans="6:6" x14ac:dyDescent="0.3">
      <c r="F452" s="193"/>
    </row>
    <row r="453" spans="6:6" x14ac:dyDescent="0.3">
      <c r="F453" s="193"/>
    </row>
    <row r="454" spans="6:6" x14ac:dyDescent="0.3">
      <c r="F454" s="193"/>
    </row>
    <row r="455" spans="6:6" x14ac:dyDescent="0.3">
      <c r="F455" s="193"/>
    </row>
    <row r="456" spans="6:6" x14ac:dyDescent="0.3">
      <c r="F456" s="193"/>
    </row>
    <row r="457" spans="6:6" x14ac:dyDescent="0.3">
      <c r="F457" s="193"/>
    </row>
    <row r="458" spans="6:6" x14ac:dyDescent="0.3">
      <c r="F458" s="193"/>
    </row>
    <row r="459" spans="6:6" x14ac:dyDescent="0.3">
      <c r="F459" s="193"/>
    </row>
    <row r="460" spans="6:6" x14ac:dyDescent="0.3">
      <c r="F460" s="193"/>
    </row>
    <row r="461" spans="6:6" x14ac:dyDescent="0.3">
      <c r="F461" s="193"/>
    </row>
    <row r="462" spans="6:6" x14ac:dyDescent="0.3">
      <c r="F462" s="193"/>
    </row>
    <row r="463" spans="6:6" x14ac:dyDescent="0.3">
      <c r="F463" s="193"/>
    </row>
    <row r="464" spans="6:6" x14ac:dyDescent="0.3">
      <c r="F464" s="193"/>
    </row>
    <row r="465" spans="6:6" x14ac:dyDescent="0.3">
      <c r="F465" s="193"/>
    </row>
    <row r="466" spans="6:6" x14ac:dyDescent="0.3">
      <c r="F466" s="193"/>
    </row>
    <row r="467" spans="6:6" x14ac:dyDescent="0.3">
      <c r="F467" s="193"/>
    </row>
    <row r="468" spans="6:6" x14ac:dyDescent="0.3">
      <c r="F468" s="193"/>
    </row>
    <row r="469" spans="6:6" x14ac:dyDescent="0.3">
      <c r="F469" s="193"/>
    </row>
    <row r="470" spans="6:6" x14ac:dyDescent="0.3">
      <c r="F470" s="193"/>
    </row>
    <row r="471" spans="6:6" x14ac:dyDescent="0.3">
      <c r="F471" s="193"/>
    </row>
    <row r="472" spans="6:6" x14ac:dyDescent="0.3">
      <c r="F472" s="193"/>
    </row>
    <row r="473" spans="6:6" x14ac:dyDescent="0.3">
      <c r="F473" s="193"/>
    </row>
    <row r="474" spans="6:6" x14ac:dyDescent="0.3">
      <c r="F474" s="193"/>
    </row>
    <row r="475" spans="6:6" x14ac:dyDescent="0.3">
      <c r="F475" s="193"/>
    </row>
    <row r="476" spans="6:6" x14ac:dyDescent="0.3">
      <c r="F476" s="193"/>
    </row>
    <row r="477" spans="6:6" x14ac:dyDescent="0.3">
      <c r="F477" s="193"/>
    </row>
    <row r="478" spans="6:6" x14ac:dyDescent="0.3">
      <c r="F478" s="193"/>
    </row>
    <row r="479" spans="6:6" x14ac:dyDescent="0.3">
      <c r="F479" s="193"/>
    </row>
    <row r="480" spans="6:6" x14ac:dyDescent="0.3">
      <c r="F480" s="193"/>
    </row>
    <row r="481" spans="6:6" x14ac:dyDescent="0.3">
      <c r="F481" s="193"/>
    </row>
    <row r="482" spans="6:6" x14ac:dyDescent="0.3">
      <c r="F482" s="193"/>
    </row>
    <row r="483" spans="6:6" x14ac:dyDescent="0.3">
      <c r="F483" s="193"/>
    </row>
    <row r="484" spans="6:6" x14ac:dyDescent="0.3">
      <c r="F484" s="193"/>
    </row>
    <row r="485" spans="6:6" x14ac:dyDescent="0.3">
      <c r="F485" s="193"/>
    </row>
    <row r="486" spans="6:6" x14ac:dyDescent="0.3">
      <c r="F486" s="193"/>
    </row>
    <row r="487" spans="6:6" x14ac:dyDescent="0.3">
      <c r="F487" s="193"/>
    </row>
    <row r="488" spans="6:6" x14ac:dyDescent="0.3">
      <c r="F488" s="193"/>
    </row>
    <row r="489" spans="6:6" x14ac:dyDescent="0.3">
      <c r="F489" s="193"/>
    </row>
    <row r="490" spans="6:6" x14ac:dyDescent="0.3">
      <c r="F490" s="193"/>
    </row>
    <row r="491" spans="6:6" x14ac:dyDescent="0.3">
      <c r="F491" s="193"/>
    </row>
    <row r="492" spans="6:6" x14ac:dyDescent="0.3">
      <c r="F492" s="193"/>
    </row>
    <row r="493" spans="6:6" x14ac:dyDescent="0.3">
      <c r="F493" s="193"/>
    </row>
    <row r="494" spans="6:6" x14ac:dyDescent="0.3">
      <c r="F494" s="193"/>
    </row>
    <row r="495" spans="6:6" x14ac:dyDescent="0.3">
      <c r="F495" s="193"/>
    </row>
    <row r="496" spans="6:6" x14ac:dyDescent="0.3">
      <c r="F496" s="193"/>
    </row>
    <row r="497" spans="6:6" x14ac:dyDescent="0.3">
      <c r="F497" s="193"/>
    </row>
    <row r="498" spans="6:6" x14ac:dyDescent="0.3">
      <c r="F498" s="193"/>
    </row>
    <row r="499" spans="6:6" x14ac:dyDescent="0.3">
      <c r="F499" s="193"/>
    </row>
    <row r="500" spans="6:6" x14ac:dyDescent="0.3">
      <c r="F500" s="193"/>
    </row>
    <row r="501" spans="6:6" x14ac:dyDescent="0.3">
      <c r="F501" s="193"/>
    </row>
    <row r="502" spans="6:6" x14ac:dyDescent="0.3">
      <c r="F502" s="193"/>
    </row>
    <row r="503" spans="6:6" x14ac:dyDescent="0.3">
      <c r="F503" s="193"/>
    </row>
    <row r="504" spans="6:6" x14ac:dyDescent="0.3">
      <c r="F504" s="193"/>
    </row>
    <row r="505" spans="6:6" x14ac:dyDescent="0.3">
      <c r="F505" s="193"/>
    </row>
    <row r="506" spans="6:6" x14ac:dyDescent="0.3">
      <c r="F506" s="193"/>
    </row>
    <row r="507" spans="6:6" x14ac:dyDescent="0.3">
      <c r="F507" s="193"/>
    </row>
    <row r="508" spans="6:6" x14ac:dyDescent="0.3">
      <c r="F508" s="193"/>
    </row>
    <row r="509" spans="6:6" x14ac:dyDescent="0.3">
      <c r="F509" s="193"/>
    </row>
    <row r="510" spans="6:6" x14ac:dyDescent="0.3">
      <c r="F510" s="193"/>
    </row>
    <row r="511" spans="6:6" x14ac:dyDescent="0.3">
      <c r="F511" s="193"/>
    </row>
    <row r="512" spans="6:6" x14ac:dyDescent="0.3">
      <c r="F512" s="193"/>
    </row>
    <row r="513" spans="6:6" x14ac:dyDescent="0.3">
      <c r="F513" s="193"/>
    </row>
    <row r="514" spans="6:6" x14ac:dyDescent="0.3">
      <c r="F514" s="193"/>
    </row>
    <row r="515" spans="6:6" x14ac:dyDescent="0.3">
      <c r="F515" s="193"/>
    </row>
    <row r="516" spans="6:6" x14ac:dyDescent="0.3">
      <c r="F516" s="193"/>
    </row>
    <row r="517" spans="6:6" x14ac:dyDescent="0.3">
      <c r="F517" s="193"/>
    </row>
    <row r="518" spans="6:6" x14ac:dyDescent="0.3">
      <c r="F518" s="193"/>
    </row>
    <row r="519" spans="6:6" x14ac:dyDescent="0.3">
      <c r="F519" s="193"/>
    </row>
    <row r="520" spans="6:6" x14ac:dyDescent="0.3">
      <c r="F520" s="193"/>
    </row>
    <row r="521" spans="6:6" x14ac:dyDescent="0.3">
      <c r="F521" s="193"/>
    </row>
    <row r="522" spans="6:6" x14ac:dyDescent="0.3">
      <c r="F522" s="193"/>
    </row>
    <row r="523" spans="6:6" x14ac:dyDescent="0.3">
      <c r="F523" s="193"/>
    </row>
    <row r="524" spans="6:6" x14ac:dyDescent="0.3">
      <c r="F524" s="193"/>
    </row>
    <row r="525" spans="6:6" x14ac:dyDescent="0.3">
      <c r="F525" s="193"/>
    </row>
    <row r="526" spans="6:6" x14ac:dyDescent="0.3">
      <c r="F526" s="193"/>
    </row>
    <row r="527" spans="6:6" x14ac:dyDescent="0.3">
      <c r="F527" s="193"/>
    </row>
    <row r="528" spans="6:6" x14ac:dyDescent="0.3">
      <c r="F528" s="193"/>
    </row>
    <row r="529" spans="6:6" x14ac:dyDescent="0.3">
      <c r="F529" s="193"/>
    </row>
    <row r="530" spans="6:6" x14ac:dyDescent="0.3">
      <c r="F530" s="193"/>
    </row>
    <row r="531" spans="6:6" x14ac:dyDescent="0.3">
      <c r="F531" s="193"/>
    </row>
    <row r="532" spans="6:6" x14ac:dyDescent="0.3">
      <c r="F532" s="193"/>
    </row>
    <row r="533" spans="6:6" x14ac:dyDescent="0.3">
      <c r="F533" s="193"/>
    </row>
    <row r="534" spans="6:6" x14ac:dyDescent="0.3">
      <c r="F534" s="193"/>
    </row>
    <row r="535" spans="6:6" x14ac:dyDescent="0.3">
      <c r="F535" s="193"/>
    </row>
    <row r="536" spans="6:6" x14ac:dyDescent="0.3">
      <c r="F536" s="193"/>
    </row>
    <row r="537" spans="6:6" x14ac:dyDescent="0.3">
      <c r="F537" s="193"/>
    </row>
    <row r="538" spans="6:6" x14ac:dyDescent="0.3">
      <c r="F538" s="193"/>
    </row>
    <row r="539" spans="6:6" x14ac:dyDescent="0.3">
      <c r="F539" s="193"/>
    </row>
    <row r="540" spans="6:6" x14ac:dyDescent="0.3">
      <c r="F540" s="193"/>
    </row>
    <row r="541" spans="6:6" x14ac:dyDescent="0.3">
      <c r="F541" s="193"/>
    </row>
    <row r="542" spans="6:6" x14ac:dyDescent="0.3">
      <c r="F542" s="193"/>
    </row>
    <row r="543" spans="6:6" x14ac:dyDescent="0.3">
      <c r="F543" s="193"/>
    </row>
    <row r="544" spans="6:6" x14ac:dyDescent="0.3">
      <c r="F544" s="193"/>
    </row>
    <row r="545" spans="6:6" x14ac:dyDescent="0.3">
      <c r="F545" s="193"/>
    </row>
    <row r="546" spans="6:6" x14ac:dyDescent="0.3">
      <c r="F546" s="193"/>
    </row>
    <row r="547" spans="6:6" x14ac:dyDescent="0.3">
      <c r="F547" s="193"/>
    </row>
    <row r="548" spans="6:6" x14ac:dyDescent="0.3">
      <c r="F548" s="193"/>
    </row>
    <row r="549" spans="6:6" x14ac:dyDescent="0.3">
      <c r="F549" s="193"/>
    </row>
    <row r="550" spans="6:6" x14ac:dyDescent="0.3">
      <c r="F550" s="193"/>
    </row>
    <row r="551" spans="6:6" x14ac:dyDescent="0.3">
      <c r="F551" s="193"/>
    </row>
    <row r="552" spans="6:6" x14ac:dyDescent="0.3">
      <c r="F552" s="193"/>
    </row>
    <row r="553" spans="6:6" x14ac:dyDescent="0.3">
      <c r="F553" s="193"/>
    </row>
    <row r="554" spans="6:6" x14ac:dyDescent="0.3">
      <c r="F554" s="193"/>
    </row>
    <row r="555" spans="6:6" x14ac:dyDescent="0.3">
      <c r="F555" s="193"/>
    </row>
    <row r="556" spans="6:6" x14ac:dyDescent="0.3">
      <c r="F556" s="193"/>
    </row>
    <row r="557" spans="6:6" x14ac:dyDescent="0.3">
      <c r="F557" s="193"/>
    </row>
    <row r="558" spans="6:6" x14ac:dyDescent="0.3">
      <c r="F558" s="193"/>
    </row>
    <row r="559" spans="6:6" x14ac:dyDescent="0.3">
      <c r="F559" s="193"/>
    </row>
    <row r="560" spans="6:6" x14ac:dyDescent="0.3">
      <c r="F560" s="193"/>
    </row>
    <row r="561" spans="6:6" x14ac:dyDescent="0.3">
      <c r="F561" s="193"/>
    </row>
    <row r="562" spans="6:6" x14ac:dyDescent="0.3">
      <c r="F562" s="193"/>
    </row>
    <row r="563" spans="6:6" x14ac:dyDescent="0.3">
      <c r="F563" s="193"/>
    </row>
    <row r="564" spans="6:6" x14ac:dyDescent="0.3">
      <c r="F564" s="193"/>
    </row>
    <row r="565" spans="6:6" x14ac:dyDescent="0.3">
      <c r="F565" s="193"/>
    </row>
    <row r="566" spans="6:6" x14ac:dyDescent="0.3">
      <c r="F566" s="193"/>
    </row>
    <row r="567" spans="6:6" x14ac:dyDescent="0.3">
      <c r="F567" s="193"/>
    </row>
    <row r="568" spans="6:6" x14ac:dyDescent="0.3">
      <c r="F568" s="193"/>
    </row>
    <row r="569" spans="6:6" x14ac:dyDescent="0.3">
      <c r="F569" s="193"/>
    </row>
    <row r="570" spans="6:6" x14ac:dyDescent="0.3">
      <c r="F570" s="193"/>
    </row>
    <row r="571" spans="6:6" x14ac:dyDescent="0.3">
      <c r="F571" s="193"/>
    </row>
    <row r="572" spans="6:6" x14ac:dyDescent="0.3">
      <c r="F572" s="193"/>
    </row>
    <row r="573" spans="6:6" x14ac:dyDescent="0.3">
      <c r="F573" s="193"/>
    </row>
    <row r="574" spans="6:6" x14ac:dyDescent="0.3">
      <c r="F574" s="193"/>
    </row>
    <row r="575" spans="6:6" x14ac:dyDescent="0.3">
      <c r="F575" s="193"/>
    </row>
    <row r="576" spans="6:6" x14ac:dyDescent="0.3">
      <c r="F576" s="193"/>
    </row>
    <row r="577" spans="6:6" x14ac:dyDescent="0.3">
      <c r="F577" s="193"/>
    </row>
    <row r="578" spans="6:6" x14ac:dyDescent="0.3">
      <c r="F578" s="193"/>
    </row>
    <row r="579" spans="6:6" x14ac:dyDescent="0.3">
      <c r="F579" s="193"/>
    </row>
    <row r="580" spans="6:6" x14ac:dyDescent="0.3">
      <c r="F580" s="193"/>
    </row>
    <row r="581" spans="6:6" x14ac:dyDescent="0.3">
      <c r="F581" s="193"/>
    </row>
    <row r="582" spans="6:6" x14ac:dyDescent="0.3">
      <c r="F582" s="193"/>
    </row>
    <row r="583" spans="6:6" x14ac:dyDescent="0.3">
      <c r="F583" s="193"/>
    </row>
    <row r="584" spans="6:6" x14ac:dyDescent="0.3">
      <c r="F584" s="193"/>
    </row>
    <row r="585" spans="6:6" x14ac:dyDescent="0.3">
      <c r="F585" s="193"/>
    </row>
    <row r="586" spans="6:6" x14ac:dyDescent="0.3">
      <c r="F586" s="193"/>
    </row>
    <row r="587" spans="6:6" x14ac:dyDescent="0.3">
      <c r="F587" s="193"/>
    </row>
    <row r="588" spans="6:6" x14ac:dyDescent="0.3">
      <c r="F588" s="193"/>
    </row>
    <row r="589" spans="6:6" x14ac:dyDescent="0.3">
      <c r="F589" s="193"/>
    </row>
    <row r="590" spans="6:6" x14ac:dyDescent="0.3">
      <c r="F590" s="193"/>
    </row>
    <row r="591" spans="6:6" x14ac:dyDescent="0.3">
      <c r="F591" s="193"/>
    </row>
    <row r="592" spans="6:6" x14ac:dyDescent="0.3">
      <c r="F592" s="193"/>
    </row>
    <row r="593" spans="6:6" x14ac:dyDescent="0.3">
      <c r="F593" s="193"/>
    </row>
    <row r="594" spans="6:6" x14ac:dyDescent="0.3">
      <c r="F594" s="193"/>
    </row>
    <row r="595" spans="6:6" x14ac:dyDescent="0.3">
      <c r="F595" s="193"/>
    </row>
    <row r="596" spans="6:6" x14ac:dyDescent="0.3">
      <c r="F596" s="193"/>
    </row>
    <row r="597" spans="6:6" x14ac:dyDescent="0.3">
      <c r="F597" s="193"/>
    </row>
    <row r="598" spans="6:6" x14ac:dyDescent="0.3">
      <c r="F598" s="193"/>
    </row>
    <row r="599" spans="6:6" x14ac:dyDescent="0.3">
      <c r="F599" s="193"/>
    </row>
    <row r="600" spans="6:6" x14ac:dyDescent="0.3">
      <c r="F600" s="193"/>
    </row>
    <row r="601" spans="6:6" x14ac:dyDescent="0.3">
      <c r="F601" s="193"/>
    </row>
    <row r="602" spans="6:6" x14ac:dyDescent="0.3">
      <c r="F602" s="193"/>
    </row>
    <row r="603" spans="6:6" x14ac:dyDescent="0.3">
      <c r="F603" s="193"/>
    </row>
    <row r="604" spans="6:6" x14ac:dyDescent="0.3">
      <c r="F604" s="193"/>
    </row>
    <row r="605" spans="6:6" x14ac:dyDescent="0.3">
      <c r="F605" s="193"/>
    </row>
    <row r="606" spans="6:6" x14ac:dyDescent="0.3">
      <c r="F606" s="193"/>
    </row>
    <row r="607" spans="6:6" x14ac:dyDescent="0.3">
      <c r="F607" s="193"/>
    </row>
    <row r="608" spans="6:6" x14ac:dyDescent="0.3">
      <c r="F608" s="193"/>
    </row>
    <row r="609" spans="6:6" x14ac:dyDescent="0.3">
      <c r="F609" s="193"/>
    </row>
    <row r="610" spans="6:6" x14ac:dyDescent="0.3">
      <c r="F610" s="193"/>
    </row>
    <row r="611" spans="6:6" x14ac:dyDescent="0.3">
      <c r="F611" s="193"/>
    </row>
    <row r="612" spans="6:6" x14ac:dyDescent="0.3">
      <c r="F612" s="193"/>
    </row>
    <row r="613" spans="6:6" x14ac:dyDescent="0.3">
      <c r="F613" s="193"/>
    </row>
    <row r="614" spans="6:6" x14ac:dyDescent="0.3">
      <c r="F614" s="193"/>
    </row>
    <row r="615" spans="6:6" x14ac:dyDescent="0.3">
      <c r="F615" s="193"/>
    </row>
    <row r="616" spans="6:6" x14ac:dyDescent="0.3">
      <c r="F616" s="193"/>
    </row>
    <row r="617" spans="6:6" x14ac:dyDescent="0.3">
      <c r="F617" s="193"/>
    </row>
    <row r="618" spans="6:6" x14ac:dyDescent="0.3">
      <c r="F618" s="193"/>
    </row>
    <row r="619" spans="6:6" x14ac:dyDescent="0.3">
      <c r="F619" s="193"/>
    </row>
    <row r="620" spans="6:6" x14ac:dyDescent="0.3">
      <c r="F620" s="193"/>
    </row>
    <row r="621" spans="6:6" x14ac:dyDescent="0.3">
      <c r="F621" s="193"/>
    </row>
    <row r="622" spans="6:6" x14ac:dyDescent="0.3">
      <c r="F622" s="193"/>
    </row>
    <row r="623" spans="6:6" x14ac:dyDescent="0.3">
      <c r="F623" s="193"/>
    </row>
    <row r="624" spans="6:6" x14ac:dyDescent="0.3">
      <c r="F624" s="193"/>
    </row>
    <row r="625" spans="6:6" x14ac:dyDescent="0.3">
      <c r="F625" s="193"/>
    </row>
    <row r="626" spans="6:6" x14ac:dyDescent="0.3">
      <c r="F626" s="193"/>
    </row>
    <row r="627" spans="6:6" x14ac:dyDescent="0.3">
      <c r="F627" s="193"/>
    </row>
    <row r="628" spans="6:6" x14ac:dyDescent="0.3">
      <c r="F628" s="193"/>
    </row>
    <row r="629" spans="6:6" x14ac:dyDescent="0.3">
      <c r="F629" s="193"/>
    </row>
    <row r="630" spans="6:6" x14ac:dyDescent="0.3">
      <c r="F630" s="193"/>
    </row>
    <row r="631" spans="6:6" x14ac:dyDescent="0.3">
      <c r="F631" s="193"/>
    </row>
    <row r="632" spans="6:6" x14ac:dyDescent="0.3">
      <c r="F632" s="193"/>
    </row>
    <row r="633" spans="6:6" x14ac:dyDescent="0.3">
      <c r="F633" s="193"/>
    </row>
    <row r="634" spans="6:6" x14ac:dyDescent="0.3">
      <c r="F634" s="193"/>
    </row>
    <row r="635" spans="6:6" x14ac:dyDescent="0.3">
      <c r="F635" s="193"/>
    </row>
    <row r="636" spans="6:6" x14ac:dyDescent="0.3">
      <c r="F636" s="193"/>
    </row>
    <row r="637" spans="6:6" x14ac:dyDescent="0.3">
      <c r="F637" s="193"/>
    </row>
    <row r="638" spans="6:6" x14ac:dyDescent="0.3">
      <c r="F638" s="193"/>
    </row>
    <row r="639" spans="6:6" x14ac:dyDescent="0.3">
      <c r="F639" s="193"/>
    </row>
    <row r="640" spans="6:6" x14ac:dyDescent="0.3">
      <c r="F640" s="193"/>
    </row>
    <row r="641" spans="6:6" x14ac:dyDescent="0.3">
      <c r="F641" s="193"/>
    </row>
    <row r="642" spans="6:6" x14ac:dyDescent="0.3">
      <c r="F642" s="193"/>
    </row>
    <row r="643" spans="6:6" x14ac:dyDescent="0.3">
      <c r="F643" s="193"/>
    </row>
    <row r="644" spans="6:6" x14ac:dyDescent="0.3">
      <c r="F644" s="193"/>
    </row>
    <row r="645" spans="6:6" x14ac:dyDescent="0.3">
      <c r="F645" s="193"/>
    </row>
    <row r="646" spans="6:6" x14ac:dyDescent="0.3">
      <c r="F646" s="193"/>
    </row>
    <row r="647" spans="6:6" x14ac:dyDescent="0.3">
      <c r="F647" s="193"/>
    </row>
    <row r="648" spans="6:6" x14ac:dyDescent="0.3">
      <c r="F648" s="193"/>
    </row>
    <row r="649" spans="6:6" x14ac:dyDescent="0.3">
      <c r="F649" s="193"/>
    </row>
    <row r="650" spans="6:6" x14ac:dyDescent="0.3">
      <c r="F650" s="193"/>
    </row>
    <row r="651" spans="6:6" x14ac:dyDescent="0.3">
      <c r="F651" s="193"/>
    </row>
    <row r="652" spans="6:6" x14ac:dyDescent="0.3">
      <c r="F652" s="193"/>
    </row>
    <row r="653" spans="6:6" x14ac:dyDescent="0.3">
      <c r="F653" s="193"/>
    </row>
    <row r="654" spans="6:6" x14ac:dyDescent="0.3">
      <c r="F654" s="193"/>
    </row>
    <row r="655" spans="6:6" x14ac:dyDescent="0.3">
      <c r="F655" s="193"/>
    </row>
    <row r="656" spans="6:6" x14ac:dyDescent="0.3">
      <c r="F656" s="193"/>
    </row>
    <row r="657" spans="6:6" x14ac:dyDescent="0.3">
      <c r="F657" s="193"/>
    </row>
    <row r="658" spans="6:6" x14ac:dyDescent="0.3">
      <c r="F658" s="193"/>
    </row>
    <row r="659" spans="6:6" x14ac:dyDescent="0.3">
      <c r="F659" s="193"/>
    </row>
    <row r="660" spans="6:6" x14ac:dyDescent="0.3">
      <c r="F660" s="193"/>
    </row>
    <row r="661" spans="6:6" x14ac:dyDescent="0.3">
      <c r="F661" s="193"/>
    </row>
    <row r="662" spans="6:6" x14ac:dyDescent="0.3">
      <c r="F662" s="193"/>
    </row>
    <row r="663" spans="6:6" x14ac:dyDescent="0.3">
      <c r="F663" s="193"/>
    </row>
    <row r="664" spans="6:6" x14ac:dyDescent="0.3">
      <c r="F664" s="193"/>
    </row>
    <row r="665" spans="6:6" x14ac:dyDescent="0.3">
      <c r="F665" s="193"/>
    </row>
    <row r="666" spans="6:6" x14ac:dyDescent="0.3">
      <c r="F666" s="193"/>
    </row>
    <row r="667" spans="6:6" x14ac:dyDescent="0.3">
      <c r="F667" s="193"/>
    </row>
    <row r="668" spans="6:6" x14ac:dyDescent="0.3">
      <c r="F668" s="193"/>
    </row>
    <row r="669" spans="6:6" x14ac:dyDescent="0.3">
      <c r="F669" s="193"/>
    </row>
    <row r="670" spans="6:6" x14ac:dyDescent="0.3">
      <c r="F670" s="193"/>
    </row>
    <row r="671" spans="6:6" x14ac:dyDescent="0.3">
      <c r="F671" s="193"/>
    </row>
    <row r="672" spans="6:6" x14ac:dyDescent="0.3">
      <c r="F672" s="193"/>
    </row>
    <row r="673" spans="6:6" x14ac:dyDescent="0.3">
      <c r="F673" s="193"/>
    </row>
    <row r="674" spans="6:6" x14ac:dyDescent="0.3">
      <c r="F674" s="193"/>
    </row>
    <row r="675" spans="6:6" x14ac:dyDescent="0.3">
      <c r="F675" s="193"/>
    </row>
    <row r="676" spans="6:6" x14ac:dyDescent="0.3">
      <c r="F676" s="193"/>
    </row>
    <row r="677" spans="6:6" x14ac:dyDescent="0.3">
      <c r="F677" s="193"/>
    </row>
    <row r="678" spans="6:6" x14ac:dyDescent="0.3">
      <c r="F678" s="193"/>
    </row>
    <row r="679" spans="6:6" x14ac:dyDescent="0.3">
      <c r="F679" s="193"/>
    </row>
    <row r="680" spans="6:6" x14ac:dyDescent="0.3">
      <c r="F680" s="193"/>
    </row>
    <row r="681" spans="6:6" x14ac:dyDescent="0.3">
      <c r="F681" s="193"/>
    </row>
    <row r="682" spans="6:6" x14ac:dyDescent="0.3">
      <c r="F682" s="193"/>
    </row>
    <row r="683" spans="6:6" x14ac:dyDescent="0.3">
      <c r="F683" s="193"/>
    </row>
    <row r="684" spans="6:6" x14ac:dyDescent="0.3">
      <c r="F684" s="193"/>
    </row>
    <row r="685" spans="6:6" x14ac:dyDescent="0.3">
      <c r="F685" s="193"/>
    </row>
    <row r="686" spans="6:6" x14ac:dyDescent="0.3">
      <c r="F686" s="193"/>
    </row>
    <row r="687" spans="6:6" x14ac:dyDescent="0.3">
      <c r="F687" s="193"/>
    </row>
    <row r="688" spans="6:6" x14ac:dyDescent="0.3">
      <c r="F688" s="193"/>
    </row>
    <row r="689" spans="6:6" x14ac:dyDescent="0.3">
      <c r="F689" s="193"/>
    </row>
    <row r="690" spans="6:6" x14ac:dyDescent="0.3">
      <c r="F690" s="193"/>
    </row>
    <row r="691" spans="6:6" x14ac:dyDescent="0.3">
      <c r="F691" s="193"/>
    </row>
    <row r="692" spans="6:6" x14ac:dyDescent="0.3">
      <c r="F692" s="193"/>
    </row>
    <row r="693" spans="6:6" x14ac:dyDescent="0.3">
      <c r="F693" s="193"/>
    </row>
    <row r="694" spans="6:6" x14ac:dyDescent="0.3">
      <c r="F694" s="193"/>
    </row>
    <row r="695" spans="6:6" x14ac:dyDescent="0.3">
      <c r="F695" s="193"/>
    </row>
    <row r="696" spans="6:6" x14ac:dyDescent="0.3">
      <c r="F696" s="193"/>
    </row>
    <row r="697" spans="6:6" x14ac:dyDescent="0.3">
      <c r="F697" s="193"/>
    </row>
    <row r="698" spans="6:6" x14ac:dyDescent="0.3">
      <c r="F698" s="193"/>
    </row>
    <row r="699" spans="6:6" x14ac:dyDescent="0.3">
      <c r="F699" s="193"/>
    </row>
    <row r="700" spans="6:6" x14ac:dyDescent="0.3">
      <c r="F700" s="193"/>
    </row>
    <row r="701" spans="6:6" x14ac:dyDescent="0.3">
      <c r="F701" s="193"/>
    </row>
    <row r="702" spans="6:6" x14ac:dyDescent="0.3">
      <c r="F702" s="193"/>
    </row>
    <row r="703" spans="6:6" x14ac:dyDescent="0.3">
      <c r="F703" s="193"/>
    </row>
    <row r="704" spans="6:6" x14ac:dyDescent="0.3">
      <c r="F704" s="193"/>
    </row>
    <row r="705" spans="6:6" x14ac:dyDescent="0.3">
      <c r="F705" s="193"/>
    </row>
    <row r="706" spans="6:6" x14ac:dyDescent="0.3">
      <c r="F706" s="193"/>
    </row>
    <row r="707" spans="6:6" x14ac:dyDescent="0.3">
      <c r="F707" s="193"/>
    </row>
    <row r="708" spans="6:6" x14ac:dyDescent="0.3">
      <c r="F708" s="193"/>
    </row>
    <row r="709" spans="6:6" x14ac:dyDescent="0.3">
      <c r="F709" s="193"/>
    </row>
    <row r="710" spans="6:6" x14ac:dyDescent="0.3">
      <c r="F710" s="193"/>
    </row>
    <row r="711" spans="6:6" x14ac:dyDescent="0.3">
      <c r="F711" s="193"/>
    </row>
    <row r="712" spans="6:6" x14ac:dyDescent="0.3">
      <c r="F712" s="193"/>
    </row>
    <row r="713" spans="6:6" x14ac:dyDescent="0.3">
      <c r="F713" s="193"/>
    </row>
    <row r="714" spans="6:6" x14ac:dyDescent="0.3">
      <c r="F714" s="193"/>
    </row>
    <row r="715" spans="6:6" x14ac:dyDescent="0.3">
      <c r="F715" s="193"/>
    </row>
    <row r="716" spans="6:6" x14ac:dyDescent="0.3">
      <c r="F716" s="193"/>
    </row>
    <row r="717" spans="6:6" x14ac:dyDescent="0.3">
      <c r="F717" s="193"/>
    </row>
    <row r="718" spans="6:6" x14ac:dyDescent="0.3">
      <c r="F718" s="193"/>
    </row>
    <row r="719" spans="6:6" x14ac:dyDescent="0.3">
      <c r="F719" s="193"/>
    </row>
    <row r="720" spans="6:6" x14ac:dyDescent="0.3">
      <c r="F720" s="193"/>
    </row>
    <row r="721" spans="6:6" x14ac:dyDescent="0.3">
      <c r="F721" s="193"/>
    </row>
    <row r="722" spans="6:6" x14ac:dyDescent="0.3">
      <c r="F722" s="193"/>
    </row>
    <row r="723" spans="6:6" x14ac:dyDescent="0.3">
      <c r="F723" s="193"/>
    </row>
    <row r="724" spans="6:6" x14ac:dyDescent="0.3">
      <c r="F724" s="193"/>
    </row>
    <row r="725" spans="6:6" x14ac:dyDescent="0.3">
      <c r="F725" s="193"/>
    </row>
    <row r="726" spans="6:6" x14ac:dyDescent="0.3">
      <c r="F726" s="193"/>
    </row>
    <row r="727" spans="6:6" x14ac:dyDescent="0.3">
      <c r="F727" s="193"/>
    </row>
    <row r="728" spans="6:6" x14ac:dyDescent="0.3">
      <c r="F728" s="193"/>
    </row>
    <row r="729" spans="6:6" x14ac:dyDescent="0.3">
      <c r="F729" s="193"/>
    </row>
    <row r="730" spans="6:6" x14ac:dyDescent="0.3">
      <c r="F730" s="193"/>
    </row>
    <row r="731" spans="6:6" x14ac:dyDescent="0.3">
      <c r="F731" s="193"/>
    </row>
    <row r="732" spans="6:6" x14ac:dyDescent="0.3">
      <c r="F732" s="193"/>
    </row>
    <row r="733" spans="6:6" x14ac:dyDescent="0.3">
      <c r="F733" s="193"/>
    </row>
    <row r="734" spans="6:6" x14ac:dyDescent="0.3">
      <c r="F734" s="193"/>
    </row>
    <row r="735" spans="6:6" x14ac:dyDescent="0.3">
      <c r="F735" s="193"/>
    </row>
    <row r="736" spans="6:6" x14ac:dyDescent="0.3">
      <c r="F736" s="193"/>
    </row>
    <row r="737" spans="6:6" x14ac:dyDescent="0.3">
      <c r="F737" s="193"/>
    </row>
    <row r="738" spans="6:6" x14ac:dyDescent="0.3">
      <c r="F738" s="193"/>
    </row>
    <row r="739" spans="6:6" x14ac:dyDescent="0.3">
      <c r="F739" s="193"/>
    </row>
    <row r="740" spans="6:6" x14ac:dyDescent="0.3">
      <c r="F740" s="193"/>
    </row>
    <row r="741" spans="6:6" x14ac:dyDescent="0.3">
      <c r="F741" s="193"/>
    </row>
    <row r="742" spans="6:6" x14ac:dyDescent="0.3">
      <c r="F742" s="193"/>
    </row>
    <row r="743" spans="6:6" x14ac:dyDescent="0.3">
      <c r="F743" s="193"/>
    </row>
    <row r="744" spans="6:6" x14ac:dyDescent="0.3">
      <c r="F744" s="193"/>
    </row>
    <row r="745" spans="6:6" x14ac:dyDescent="0.3">
      <c r="F745" s="193"/>
    </row>
    <row r="746" spans="6:6" x14ac:dyDescent="0.3">
      <c r="F746" s="193"/>
    </row>
    <row r="747" spans="6:6" x14ac:dyDescent="0.3">
      <c r="F747" s="193"/>
    </row>
    <row r="748" spans="6:6" x14ac:dyDescent="0.3">
      <c r="F748" s="193"/>
    </row>
    <row r="749" spans="6:6" x14ac:dyDescent="0.3">
      <c r="F749" s="193"/>
    </row>
    <row r="750" spans="6:6" x14ac:dyDescent="0.3">
      <c r="F750" s="193"/>
    </row>
    <row r="751" spans="6:6" x14ac:dyDescent="0.3">
      <c r="F751" s="193"/>
    </row>
    <row r="752" spans="6:6" x14ac:dyDescent="0.3">
      <c r="F752" s="193"/>
    </row>
    <row r="753" spans="6:6" x14ac:dyDescent="0.3">
      <c r="F753" s="193"/>
    </row>
    <row r="754" spans="6:6" x14ac:dyDescent="0.3">
      <c r="F754" s="193"/>
    </row>
    <row r="755" spans="6:6" x14ac:dyDescent="0.3">
      <c r="F755" s="193"/>
    </row>
    <row r="756" spans="6:6" x14ac:dyDescent="0.3">
      <c r="F756" s="193"/>
    </row>
    <row r="757" spans="6:6" x14ac:dyDescent="0.3">
      <c r="F757" s="193"/>
    </row>
    <row r="758" spans="6:6" x14ac:dyDescent="0.3">
      <c r="F758" s="193"/>
    </row>
    <row r="759" spans="6:6" x14ac:dyDescent="0.3">
      <c r="F759" s="193"/>
    </row>
    <row r="760" spans="6:6" x14ac:dyDescent="0.3">
      <c r="F760" s="193"/>
    </row>
    <row r="761" spans="6:6" x14ac:dyDescent="0.3">
      <c r="F761" s="193"/>
    </row>
    <row r="762" spans="6:6" x14ac:dyDescent="0.3">
      <c r="F762" s="193"/>
    </row>
    <row r="763" spans="6:6" x14ac:dyDescent="0.3">
      <c r="F763" s="193"/>
    </row>
    <row r="764" spans="6:6" x14ac:dyDescent="0.3">
      <c r="F764" s="193"/>
    </row>
    <row r="765" spans="6:6" x14ac:dyDescent="0.3">
      <c r="F765" s="193"/>
    </row>
    <row r="766" spans="6:6" x14ac:dyDescent="0.3">
      <c r="F766" s="193"/>
    </row>
    <row r="767" spans="6:6" x14ac:dyDescent="0.3">
      <c r="F767" s="193"/>
    </row>
    <row r="768" spans="6:6" x14ac:dyDescent="0.3">
      <c r="F768" s="193"/>
    </row>
    <row r="769" spans="6:6" x14ac:dyDescent="0.3">
      <c r="F769" s="193"/>
    </row>
    <row r="770" spans="6:6" x14ac:dyDescent="0.3">
      <c r="F770" s="193"/>
    </row>
    <row r="771" spans="6:6" x14ac:dyDescent="0.3">
      <c r="F771" s="193"/>
    </row>
    <row r="772" spans="6:6" x14ac:dyDescent="0.3">
      <c r="F772" s="193"/>
    </row>
    <row r="773" spans="6:6" x14ac:dyDescent="0.3">
      <c r="F773" s="193"/>
    </row>
    <row r="774" spans="6:6" x14ac:dyDescent="0.3">
      <c r="F774" s="193"/>
    </row>
    <row r="775" spans="6:6" x14ac:dyDescent="0.3">
      <c r="F775" s="193"/>
    </row>
    <row r="776" spans="6:6" x14ac:dyDescent="0.3">
      <c r="F776" s="193"/>
    </row>
    <row r="777" spans="6:6" x14ac:dyDescent="0.3">
      <c r="F777" s="193"/>
    </row>
    <row r="778" spans="6:6" x14ac:dyDescent="0.3">
      <c r="F778" s="193"/>
    </row>
    <row r="779" spans="6:6" x14ac:dyDescent="0.3">
      <c r="F779" s="193"/>
    </row>
    <row r="780" spans="6:6" x14ac:dyDescent="0.3">
      <c r="F780" s="193"/>
    </row>
    <row r="781" spans="6:6" x14ac:dyDescent="0.3">
      <c r="F781" s="193"/>
    </row>
    <row r="782" spans="6:6" x14ac:dyDescent="0.3">
      <c r="F782" s="193"/>
    </row>
    <row r="783" spans="6:6" x14ac:dyDescent="0.3">
      <c r="F783" s="193"/>
    </row>
    <row r="784" spans="6:6" x14ac:dyDescent="0.3">
      <c r="F784" s="193"/>
    </row>
    <row r="785" spans="6:6" x14ac:dyDescent="0.3">
      <c r="F785" s="193"/>
    </row>
    <row r="786" spans="6:6" x14ac:dyDescent="0.3">
      <c r="F786" s="193"/>
    </row>
    <row r="787" spans="6:6" x14ac:dyDescent="0.3">
      <c r="F787" s="193"/>
    </row>
    <row r="788" spans="6:6" x14ac:dyDescent="0.3">
      <c r="F788" s="193"/>
    </row>
    <row r="789" spans="6:6" x14ac:dyDescent="0.3">
      <c r="F789" s="193"/>
    </row>
    <row r="790" spans="6:6" x14ac:dyDescent="0.3">
      <c r="F790" s="193"/>
    </row>
    <row r="791" spans="6:6" x14ac:dyDescent="0.3">
      <c r="F791" s="193"/>
    </row>
    <row r="792" spans="6:6" x14ac:dyDescent="0.3">
      <c r="F792" s="193"/>
    </row>
    <row r="793" spans="6:6" x14ac:dyDescent="0.3">
      <c r="F793" s="193"/>
    </row>
    <row r="794" spans="6:6" x14ac:dyDescent="0.3">
      <c r="F794" s="193"/>
    </row>
    <row r="795" spans="6:6" x14ac:dyDescent="0.3">
      <c r="F795" s="193"/>
    </row>
    <row r="796" spans="6:6" x14ac:dyDescent="0.3">
      <c r="F796" s="193"/>
    </row>
    <row r="797" spans="6:6" x14ac:dyDescent="0.3">
      <c r="F797" s="193"/>
    </row>
    <row r="798" spans="6:6" x14ac:dyDescent="0.3">
      <c r="F798" s="193"/>
    </row>
    <row r="799" spans="6:6" x14ac:dyDescent="0.3">
      <c r="F799" s="193"/>
    </row>
    <row r="800" spans="6:6" x14ac:dyDescent="0.3">
      <c r="F800" s="193"/>
    </row>
    <row r="801" spans="6:6" x14ac:dyDescent="0.3">
      <c r="F801" s="193"/>
    </row>
    <row r="802" spans="6:6" x14ac:dyDescent="0.3">
      <c r="F802" s="193"/>
    </row>
    <row r="803" spans="6:6" x14ac:dyDescent="0.3">
      <c r="F803" s="193"/>
    </row>
    <row r="804" spans="6:6" x14ac:dyDescent="0.3">
      <c r="F804" s="193"/>
    </row>
    <row r="805" spans="6:6" x14ac:dyDescent="0.3">
      <c r="F805" s="193"/>
    </row>
    <row r="806" spans="6:6" x14ac:dyDescent="0.3">
      <c r="F806" s="193"/>
    </row>
    <row r="807" spans="6:6" x14ac:dyDescent="0.3">
      <c r="F807" s="193"/>
    </row>
    <row r="808" spans="6:6" x14ac:dyDescent="0.3">
      <c r="F808" s="193"/>
    </row>
    <row r="809" spans="6:6" x14ac:dyDescent="0.3">
      <c r="F809" s="193"/>
    </row>
    <row r="810" spans="6:6" x14ac:dyDescent="0.3">
      <c r="F810" s="193"/>
    </row>
    <row r="811" spans="6:6" x14ac:dyDescent="0.3">
      <c r="F811" s="193"/>
    </row>
    <row r="812" spans="6:6" x14ac:dyDescent="0.3">
      <c r="F812" s="193"/>
    </row>
    <row r="813" spans="6:6" x14ac:dyDescent="0.3">
      <c r="F813" s="193"/>
    </row>
    <row r="814" spans="6:6" x14ac:dyDescent="0.3">
      <c r="F814" s="193"/>
    </row>
    <row r="815" spans="6:6" x14ac:dyDescent="0.3">
      <c r="F815" s="193"/>
    </row>
    <row r="816" spans="6:6" x14ac:dyDescent="0.3">
      <c r="F816" s="193"/>
    </row>
    <row r="817" spans="6:6" x14ac:dyDescent="0.3">
      <c r="F817" s="193"/>
    </row>
    <row r="818" spans="6:6" x14ac:dyDescent="0.3">
      <c r="F818" s="193"/>
    </row>
    <row r="819" spans="6:6" x14ac:dyDescent="0.3">
      <c r="F819" s="193"/>
    </row>
    <row r="820" spans="6:6" x14ac:dyDescent="0.3">
      <c r="F820" s="193"/>
    </row>
    <row r="821" spans="6:6" x14ac:dyDescent="0.3">
      <c r="F821" s="193"/>
    </row>
    <row r="822" spans="6:6" x14ac:dyDescent="0.3">
      <c r="F822" s="193"/>
    </row>
    <row r="823" spans="6:6" x14ac:dyDescent="0.3">
      <c r="F823" s="193"/>
    </row>
    <row r="824" spans="6:6" x14ac:dyDescent="0.3">
      <c r="F824" s="193"/>
    </row>
    <row r="825" spans="6:6" x14ac:dyDescent="0.3">
      <c r="F825" s="193"/>
    </row>
    <row r="826" spans="6:6" x14ac:dyDescent="0.3">
      <c r="F826" s="193"/>
    </row>
    <row r="827" spans="6:6" x14ac:dyDescent="0.3">
      <c r="F827" s="193"/>
    </row>
    <row r="828" spans="6:6" x14ac:dyDescent="0.3">
      <c r="F828" s="193"/>
    </row>
    <row r="829" spans="6:6" x14ac:dyDescent="0.3">
      <c r="F829" s="193"/>
    </row>
    <row r="830" spans="6:6" x14ac:dyDescent="0.3">
      <c r="F830" s="193"/>
    </row>
    <row r="831" spans="6:6" x14ac:dyDescent="0.3">
      <c r="F831" s="193"/>
    </row>
    <row r="832" spans="6:6" x14ac:dyDescent="0.3">
      <c r="F832" s="193"/>
    </row>
    <row r="833" spans="6:6" x14ac:dyDescent="0.3">
      <c r="F833" s="193"/>
    </row>
    <row r="834" spans="6:6" x14ac:dyDescent="0.3">
      <c r="F834" s="193"/>
    </row>
    <row r="835" spans="6:6" x14ac:dyDescent="0.3">
      <c r="F835" s="193"/>
    </row>
    <row r="836" spans="6:6" x14ac:dyDescent="0.3">
      <c r="F836" s="193"/>
    </row>
    <row r="837" spans="6:6" x14ac:dyDescent="0.3">
      <c r="F837" s="193"/>
    </row>
    <row r="838" spans="6:6" x14ac:dyDescent="0.3">
      <c r="F838" s="193"/>
    </row>
    <row r="839" spans="6:6" x14ac:dyDescent="0.3">
      <c r="F839" s="193"/>
    </row>
    <row r="840" spans="6:6" x14ac:dyDescent="0.3">
      <c r="F840" s="193"/>
    </row>
    <row r="841" spans="6:6" x14ac:dyDescent="0.3">
      <c r="F841" s="193"/>
    </row>
    <row r="842" spans="6:6" x14ac:dyDescent="0.3">
      <c r="F842" s="193"/>
    </row>
    <row r="843" spans="6:6" x14ac:dyDescent="0.3">
      <c r="F843" s="193"/>
    </row>
    <row r="844" spans="6:6" x14ac:dyDescent="0.3">
      <c r="F844" s="193"/>
    </row>
    <row r="845" spans="6:6" x14ac:dyDescent="0.3">
      <c r="F845" s="193"/>
    </row>
    <row r="846" spans="6:6" x14ac:dyDescent="0.3">
      <c r="F846" s="193"/>
    </row>
    <row r="847" spans="6:6" x14ac:dyDescent="0.3">
      <c r="F847" s="193"/>
    </row>
    <row r="848" spans="6:6" x14ac:dyDescent="0.3">
      <c r="F848" s="193"/>
    </row>
    <row r="849" spans="6:6" x14ac:dyDescent="0.3">
      <c r="F849" s="193"/>
    </row>
    <row r="850" spans="6:6" x14ac:dyDescent="0.3">
      <c r="F850" s="193"/>
    </row>
    <row r="851" spans="6:6" x14ac:dyDescent="0.3">
      <c r="F851" s="193"/>
    </row>
    <row r="852" spans="6:6" x14ac:dyDescent="0.3">
      <c r="F852" s="193"/>
    </row>
    <row r="853" spans="6:6" x14ac:dyDescent="0.3">
      <c r="F853" s="193"/>
    </row>
    <row r="854" spans="6:6" x14ac:dyDescent="0.3">
      <c r="F854" s="193"/>
    </row>
    <row r="855" spans="6:6" x14ac:dyDescent="0.3">
      <c r="F855" s="193"/>
    </row>
    <row r="856" spans="6:6" x14ac:dyDescent="0.3">
      <c r="F856" s="193"/>
    </row>
    <row r="857" spans="6:6" x14ac:dyDescent="0.3">
      <c r="F857" s="193"/>
    </row>
    <row r="858" spans="6:6" x14ac:dyDescent="0.3">
      <c r="F858" s="193"/>
    </row>
    <row r="859" spans="6:6" x14ac:dyDescent="0.3">
      <c r="F859" s="193"/>
    </row>
    <row r="860" spans="6:6" x14ac:dyDescent="0.3">
      <c r="F860" s="193"/>
    </row>
    <row r="861" spans="6:6" x14ac:dyDescent="0.3">
      <c r="F861" s="193"/>
    </row>
    <row r="862" spans="6:6" x14ac:dyDescent="0.3">
      <c r="F862" s="193"/>
    </row>
    <row r="863" spans="6:6" x14ac:dyDescent="0.3">
      <c r="F863" s="193"/>
    </row>
    <row r="864" spans="6:6" x14ac:dyDescent="0.3">
      <c r="F864" s="193"/>
    </row>
    <row r="865" spans="6:6" x14ac:dyDescent="0.3">
      <c r="F865" s="193"/>
    </row>
    <row r="866" spans="6:6" x14ac:dyDescent="0.3">
      <c r="F866" s="193"/>
    </row>
    <row r="867" spans="6:6" x14ac:dyDescent="0.3">
      <c r="F867" s="193"/>
    </row>
    <row r="868" spans="6:6" x14ac:dyDescent="0.3">
      <c r="F868" s="193"/>
    </row>
    <row r="869" spans="6:6" x14ac:dyDescent="0.3">
      <c r="F869" s="193"/>
    </row>
    <row r="870" spans="6:6" x14ac:dyDescent="0.3">
      <c r="F870" s="193"/>
    </row>
    <row r="871" spans="6:6" x14ac:dyDescent="0.3">
      <c r="F871" s="193"/>
    </row>
    <row r="872" spans="6:6" x14ac:dyDescent="0.3">
      <c r="F872" s="193"/>
    </row>
    <row r="873" spans="6:6" x14ac:dyDescent="0.3">
      <c r="F873" s="193"/>
    </row>
    <row r="874" spans="6:6" x14ac:dyDescent="0.3">
      <c r="F874" s="193"/>
    </row>
    <row r="875" spans="6:6" x14ac:dyDescent="0.3">
      <c r="F875" s="193"/>
    </row>
    <row r="876" spans="6:6" x14ac:dyDescent="0.3">
      <c r="F876" s="193"/>
    </row>
    <row r="877" spans="6:6" x14ac:dyDescent="0.3">
      <c r="F877" s="193"/>
    </row>
    <row r="878" spans="6:6" x14ac:dyDescent="0.3">
      <c r="F878" s="193"/>
    </row>
    <row r="879" spans="6:6" x14ac:dyDescent="0.3">
      <c r="F879" s="193"/>
    </row>
    <row r="880" spans="6:6" x14ac:dyDescent="0.3">
      <c r="F880" s="193"/>
    </row>
    <row r="881" spans="6:6" x14ac:dyDescent="0.3">
      <c r="F881" s="193"/>
    </row>
    <row r="882" spans="6:6" x14ac:dyDescent="0.3">
      <c r="F882" s="193"/>
    </row>
    <row r="883" spans="6:6" x14ac:dyDescent="0.3">
      <c r="F883" s="193"/>
    </row>
    <row r="884" spans="6:6" x14ac:dyDescent="0.3">
      <c r="F884" s="193"/>
    </row>
    <row r="885" spans="6:6" x14ac:dyDescent="0.3">
      <c r="F885" s="193"/>
    </row>
    <row r="886" spans="6:6" x14ac:dyDescent="0.3">
      <c r="F886" s="193"/>
    </row>
    <row r="887" spans="6:6" x14ac:dyDescent="0.3">
      <c r="F887" s="193"/>
    </row>
    <row r="888" spans="6:6" x14ac:dyDescent="0.3">
      <c r="F888" s="193"/>
    </row>
    <row r="889" spans="6:6" x14ac:dyDescent="0.3">
      <c r="F889" s="193"/>
    </row>
    <row r="890" spans="6:6" x14ac:dyDescent="0.3">
      <c r="F890" s="193"/>
    </row>
    <row r="891" spans="6:6" x14ac:dyDescent="0.3">
      <c r="F891" s="193"/>
    </row>
    <row r="892" spans="6:6" x14ac:dyDescent="0.3">
      <c r="F892" s="193"/>
    </row>
    <row r="893" spans="6:6" x14ac:dyDescent="0.3">
      <c r="F893" s="193"/>
    </row>
    <row r="894" spans="6:6" x14ac:dyDescent="0.3">
      <c r="F894" s="193"/>
    </row>
    <row r="895" spans="6:6" x14ac:dyDescent="0.3">
      <c r="F895" s="193"/>
    </row>
    <row r="896" spans="6:6" x14ac:dyDescent="0.3">
      <c r="F896" s="193"/>
    </row>
    <row r="897" spans="6:6" x14ac:dyDescent="0.3">
      <c r="F897" s="193"/>
    </row>
    <row r="898" spans="6:6" x14ac:dyDescent="0.3">
      <c r="F898" s="193"/>
    </row>
    <row r="899" spans="6:6" x14ac:dyDescent="0.3">
      <c r="F899" s="193"/>
    </row>
    <row r="900" spans="6:6" x14ac:dyDescent="0.3">
      <c r="F900" s="193"/>
    </row>
    <row r="901" spans="6:6" x14ac:dyDescent="0.3">
      <c r="F901" s="193"/>
    </row>
    <row r="902" spans="6:6" x14ac:dyDescent="0.3">
      <c r="F902" s="193"/>
    </row>
    <row r="903" spans="6:6" x14ac:dyDescent="0.3">
      <c r="F903" s="193"/>
    </row>
    <row r="904" spans="6:6" x14ac:dyDescent="0.3">
      <c r="F904" s="193"/>
    </row>
    <row r="905" spans="6:6" x14ac:dyDescent="0.3">
      <c r="F905" s="193"/>
    </row>
    <row r="906" spans="6:6" x14ac:dyDescent="0.3">
      <c r="F906" s="193"/>
    </row>
    <row r="907" spans="6:6" x14ac:dyDescent="0.3">
      <c r="F907" s="193"/>
    </row>
    <row r="908" spans="6:6" x14ac:dyDescent="0.3">
      <c r="F908" s="193"/>
    </row>
    <row r="909" spans="6:6" x14ac:dyDescent="0.3">
      <c r="F909" s="193"/>
    </row>
    <row r="910" spans="6:6" x14ac:dyDescent="0.3">
      <c r="F910" s="193"/>
    </row>
    <row r="911" spans="6:6" x14ac:dyDescent="0.3">
      <c r="F911" s="193"/>
    </row>
    <row r="912" spans="6:6" x14ac:dyDescent="0.3">
      <c r="F912" s="193"/>
    </row>
    <row r="913" spans="6:6" x14ac:dyDescent="0.3">
      <c r="F913" s="193"/>
    </row>
    <row r="914" spans="6:6" x14ac:dyDescent="0.3">
      <c r="F914" s="193"/>
    </row>
    <row r="915" spans="6:6" x14ac:dyDescent="0.3">
      <c r="F915" s="193"/>
    </row>
    <row r="916" spans="6:6" x14ac:dyDescent="0.3">
      <c r="F916" s="193"/>
    </row>
    <row r="917" spans="6:6" x14ac:dyDescent="0.3">
      <c r="F917" s="193"/>
    </row>
    <row r="918" spans="6:6" x14ac:dyDescent="0.3">
      <c r="F918" s="193"/>
    </row>
    <row r="919" spans="6:6" x14ac:dyDescent="0.3">
      <c r="F919" s="193"/>
    </row>
    <row r="920" spans="6:6" x14ac:dyDescent="0.3">
      <c r="F920" s="193"/>
    </row>
    <row r="921" spans="6:6" x14ac:dyDescent="0.3">
      <c r="F921" s="193"/>
    </row>
    <row r="922" spans="6:6" x14ac:dyDescent="0.3">
      <c r="F922" s="193"/>
    </row>
    <row r="923" spans="6:6" x14ac:dyDescent="0.3">
      <c r="F923" s="193"/>
    </row>
    <row r="924" spans="6:6" x14ac:dyDescent="0.3">
      <c r="F924" s="193"/>
    </row>
    <row r="925" spans="6:6" x14ac:dyDescent="0.3">
      <c r="F925" s="193"/>
    </row>
    <row r="926" spans="6:6" x14ac:dyDescent="0.3">
      <c r="F926" s="193"/>
    </row>
    <row r="927" spans="6:6" x14ac:dyDescent="0.3">
      <c r="F927" s="193"/>
    </row>
    <row r="928" spans="6:6" x14ac:dyDescent="0.3">
      <c r="F928" s="193"/>
    </row>
    <row r="929" spans="6:6" x14ac:dyDescent="0.3">
      <c r="F929" s="193"/>
    </row>
    <row r="930" spans="6:6" x14ac:dyDescent="0.3">
      <c r="F930" s="193"/>
    </row>
    <row r="931" spans="6:6" x14ac:dyDescent="0.3">
      <c r="F931" s="193"/>
    </row>
    <row r="932" spans="6:6" x14ac:dyDescent="0.3">
      <c r="F932" s="193"/>
    </row>
    <row r="933" spans="6:6" x14ac:dyDescent="0.3">
      <c r="F933" s="193"/>
    </row>
    <row r="934" spans="6:6" x14ac:dyDescent="0.3">
      <c r="F934" s="193"/>
    </row>
    <row r="935" spans="6:6" x14ac:dyDescent="0.3">
      <c r="F935" s="193"/>
    </row>
    <row r="936" spans="6:6" x14ac:dyDescent="0.3">
      <c r="F936" s="193"/>
    </row>
    <row r="937" spans="6:6" x14ac:dyDescent="0.3">
      <c r="F937" s="193"/>
    </row>
    <row r="938" spans="6:6" x14ac:dyDescent="0.3">
      <c r="F938" s="193"/>
    </row>
    <row r="939" spans="6:6" x14ac:dyDescent="0.3">
      <c r="F939" s="193"/>
    </row>
    <row r="940" spans="6:6" x14ac:dyDescent="0.3">
      <c r="F940" s="193"/>
    </row>
    <row r="941" spans="6:6" x14ac:dyDescent="0.3">
      <c r="F941" s="193"/>
    </row>
    <row r="942" spans="6:6" x14ac:dyDescent="0.3">
      <c r="F942" s="193"/>
    </row>
    <row r="943" spans="6:6" x14ac:dyDescent="0.3">
      <c r="F943" s="193"/>
    </row>
    <row r="944" spans="6:6" x14ac:dyDescent="0.3">
      <c r="F944" s="193"/>
    </row>
    <row r="945" spans="6:6" x14ac:dyDescent="0.3">
      <c r="F945" s="193"/>
    </row>
    <row r="946" spans="6:6" x14ac:dyDescent="0.3">
      <c r="F946" s="193"/>
    </row>
    <row r="947" spans="6:6" x14ac:dyDescent="0.3">
      <c r="F947" s="193"/>
    </row>
    <row r="948" spans="6:6" x14ac:dyDescent="0.3">
      <c r="F948" s="193"/>
    </row>
    <row r="949" spans="6:6" x14ac:dyDescent="0.3">
      <c r="F949" s="193"/>
    </row>
    <row r="950" spans="6:6" x14ac:dyDescent="0.3">
      <c r="F950" s="193"/>
    </row>
    <row r="951" spans="6:6" x14ac:dyDescent="0.3">
      <c r="F951" s="193"/>
    </row>
    <row r="952" spans="6:6" x14ac:dyDescent="0.3">
      <c r="F952" s="193"/>
    </row>
    <row r="953" spans="6:6" x14ac:dyDescent="0.3">
      <c r="F953" s="193"/>
    </row>
    <row r="954" spans="6:6" x14ac:dyDescent="0.3">
      <c r="F954" s="193"/>
    </row>
    <row r="955" spans="6:6" x14ac:dyDescent="0.3">
      <c r="F955" s="193"/>
    </row>
    <row r="956" spans="6:6" x14ac:dyDescent="0.3">
      <c r="F956" s="193"/>
    </row>
    <row r="957" spans="6:6" x14ac:dyDescent="0.3">
      <c r="F957" s="193"/>
    </row>
    <row r="958" spans="6:6" x14ac:dyDescent="0.3">
      <c r="F958" s="193"/>
    </row>
    <row r="959" spans="6:6" x14ac:dyDescent="0.3">
      <c r="F959" s="193"/>
    </row>
    <row r="960" spans="6:6" x14ac:dyDescent="0.3">
      <c r="F960" s="193"/>
    </row>
    <row r="961" spans="6:6" x14ac:dyDescent="0.3">
      <c r="F961" s="193"/>
    </row>
    <row r="962" spans="6:6" x14ac:dyDescent="0.3">
      <c r="F962" s="193"/>
    </row>
    <row r="963" spans="6:6" x14ac:dyDescent="0.3">
      <c r="F963" s="193"/>
    </row>
    <row r="964" spans="6:6" x14ac:dyDescent="0.3">
      <c r="F964" s="193"/>
    </row>
    <row r="965" spans="6:6" x14ac:dyDescent="0.3">
      <c r="F965" s="193"/>
    </row>
    <row r="966" spans="6:6" x14ac:dyDescent="0.3">
      <c r="F966" s="193"/>
    </row>
    <row r="967" spans="6:6" x14ac:dyDescent="0.3">
      <c r="F967" s="193"/>
    </row>
    <row r="968" spans="6:6" x14ac:dyDescent="0.3">
      <c r="F968" s="193"/>
    </row>
    <row r="969" spans="6:6" x14ac:dyDescent="0.3">
      <c r="F969" s="193"/>
    </row>
    <row r="970" spans="6:6" x14ac:dyDescent="0.3">
      <c r="F970" s="193"/>
    </row>
    <row r="971" spans="6:6" x14ac:dyDescent="0.3">
      <c r="F971" s="193"/>
    </row>
    <row r="972" spans="6:6" x14ac:dyDescent="0.3">
      <c r="F972" s="193"/>
    </row>
    <row r="973" spans="6:6" x14ac:dyDescent="0.3">
      <c r="F973" s="193"/>
    </row>
    <row r="974" spans="6:6" x14ac:dyDescent="0.3">
      <c r="F974" s="193"/>
    </row>
    <row r="975" spans="6:6" x14ac:dyDescent="0.3">
      <c r="F975" s="193"/>
    </row>
    <row r="976" spans="6:6" x14ac:dyDescent="0.3">
      <c r="F976" s="193"/>
    </row>
    <row r="977" spans="6:6" x14ac:dyDescent="0.3">
      <c r="F977" s="193"/>
    </row>
    <row r="978" spans="6:6" x14ac:dyDescent="0.3">
      <c r="F978" s="193"/>
    </row>
    <row r="979" spans="6:6" x14ac:dyDescent="0.3">
      <c r="F979" s="193"/>
    </row>
    <row r="980" spans="6:6" x14ac:dyDescent="0.3">
      <c r="F980" s="193"/>
    </row>
    <row r="981" spans="6:6" x14ac:dyDescent="0.3">
      <c r="F981" s="193"/>
    </row>
    <row r="982" spans="6:6" x14ac:dyDescent="0.3">
      <c r="F982" s="193"/>
    </row>
    <row r="983" spans="6:6" x14ac:dyDescent="0.3">
      <c r="F983" s="193"/>
    </row>
    <row r="984" spans="6:6" x14ac:dyDescent="0.3">
      <c r="F984" s="193"/>
    </row>
    <row r="985" spans="6:6" x14ac:dyDescent="0.3">
      <c r="F985" s="193"/>
    </row>
    <row r="986" spans="6:6" x14ac:dyDescent="0.3">
      <c r="F986" s="193"/>
    </row>
    <row r="987" spans="6:6" x14ac:dyDescent="0.3">
      <c r="F987" s="193"/>
    </row>
    <row r="988" spans="6:6" x14ac:dyDescent="0.3">
      <c r="F988" s="193"/>
    </row>
    <row r="989" spans="6:6" x14ac:dyDescent="0.3">
      <c r="F989" s="193"/>
    </row>
    <row r="990" spans="6:6" x14ac:dyDescent="0.3">
      <c r="F990" s="193"/>
    </row>
    <row r="991" spans="6:6" x14ac:dyDescent="0.3">
      <c r="F991" s="193"/>
    </row>
    <row r="992" spans="6:6" x14ac:dyDescent="0.3">
      <c r="F992" s="193"/>
    </row>
    <row r="993" spans="6:6" x14ac:dyDescent="0.3">
      <c r="F993" s="193"/>
    </row>
    <row r="994" spans="6:6" x14ac:dyDescent="0.3">
      <c r="F994" s="193"/>
    </row>
    <row r="995" spans="6:6" x14ac:dyDescent="0.3">
      <c r="F995" s="193"/>
    </row>
    <row r="996" spans="6:6" x14ac:dyDescent="0.3">
      <c r="F996" s="193"/>
    </row>
    <row r="997" spans="6:6" x14ac:dyDescent="0.3">
      <c r="F997" s="193"/>
    </row>
    <row r="998" spans="6:6" x14ac:dyDescent="0.3">
      <c r="F998" s="193"/>
    </row>
    <row r="999" spans="6:6" x14ac:dyDescent="0.3">
      <c r="F999" s="193"/>
    </row>
    <row r="1000" spans="6:6" x14ac:dyDescent="0.3">
      <c r="F1000" s="193"/>
    </row>
    <row r="1001" spans="6:6" x14ac:dyDescent="0.3">
      <c r="F1001" s="193"/>
    </row>
    <row r="1002" spans="6:6" x14ac:dyDescent="0.3">
      <c r="F1002" s="193"/>
    </row>
    <row r="1003" spans="6:6" x14ac:dyDescent="0.3">
      <c r="F1003" s="193"/>
    </row>
    <row r="1004" spans="6:6" x14ac:dyDescent="0.3">
      <c r="F1004" s="193"/>
    </row>
    <row r="1005" spans="6:6" x14ac:dyDescent="0.3">
      <c r="F1005" s="193"/>
    </row>
    <row r="1006" spans="6:6" x14ac:dyDescent="0.3">
      <c r="F1006" s="193"/>
    </row>
    <row r="1007" spans="6:6" x14ac:dyDescent="0.3">
      <c r="F1007" s="193"/>
    </row>
    <row r="1008" spans="6:6" x14ac:dyDescent="0.3">
      <c r="F1008" s="193"/>
    </row>
    <row r="1009" spans="6:6" x14ac:dyDescent="0.3">
      <c r="F1009" s="193"/>
    </row>
    <row r="1010" spans="6:6" x14ac:dyDescent="0.3">
      <c r="F1010" s="193"/>
    </row>
    <row r="1011" spans="6:6" x14ac:dyDescent="0.3">
      <c r="F1011" s="193"/>
    </row>
    <row r="1012" spans="6:6" x14ac:dyDescent="0.3">
      <c r="F1012" s="193"/>
    </row>
    <row r="1013" spans="6:6" x14ac:dyDescent="0.3">
      <c r="F1013" s="193"/>
    </row>
    <row r="1014" spans="6:6" x14ac:dyDescent="0.3">
      <c r="F1014" s="193"/>
    </row>
    <row r="1015" spans="6:6" x14ac:dyDescent="0.3">
      <c r="F1015" s="193"/>
    </row>
    <row r="1016" spans="6:6" x14ac:dyDescent="0.3">
      <c r="F1016" s="193"/>
    </row>
    <row r="1017" spans="6:6" x14ac:dyDescent="0.3">
      <c r="F1017" s="193"/>
    </row>
    <row r="1018" spans="6:6" x14ac:dyDescent="0.3">
      <c r="F1018" s="193"/>
    </row>
    <row r="1019" spans="6:6" x14ac:dyDescent="0.3">
      <c r="F1019" s="193"/>
    </row>
    <row r="1020" spans="6:6" x14ac:dyDescent="0.3">
      <c r="F1020" s="193"/>
    </row>
    <row r="1021" spans="6:6" x14ac:dyDescent="0.3">
      <c r="F1021" s="193"/>
    </row>
    <row r="1022" spans="6:6" x14ac:dyDescent="0.3">
      <c r="F1022" s="193"/>
    </row>
    <row r="1023" spans="6:6" x14ac:dyDescent="0.3">
      <c r="F1023" s="193"/>
    </row>
    <row r="1024" spans="6:6" x14ac:dyDescent="0.3">
      <c r="F1024" s="193"/>
    </row>
    <row r="1025" spans="6:6" x14ac:dyDescent="0.3">
      <c r="F1025" s="193"/>
    </row>
    <row r="1026" spans="6:6" x14ac:dyDescent="0.3">
      <c r="F1026" s="193"/>
    </row>
    <row r="1027" spans="6:6" x14ac:dyDescent="0.3">
      <c r="F1027" s="193"/>
    </row>
    <row r="1028" spans="6:6" x14ac:dyDescent="0.3">
      <c r="F1028" s="193"/>
    </row>
    <row r="1029" spans="6:6" x14ac:dyDescent="0.3">
      <c r="F1029" s="193"/>
    </row>
    <row r="1030" spans="6:6" x14ac:dyDescent="0.3">
      <c r="F1030" s="193"/>
    </row>
    <row r="1031" spans="6:6" x14ac:dyDescent="0.3">
      <c r="F1031" s="193"/>
    </row>
    <row r="1032" spans="6:6" x14ac:dyDescent="0.3">
      <c r="F1032" s="193"/>
    </row>
    <row r="1033" spans="6:6" x14ac:dyDescent="0.3">
      <c r="F1033" s="193"/>
    </row>
    <row r="1034" spans="6:6" x14ac:dyDescent="0.3">
      <c r="F1034" s="193"/>
    </row>
    <row r="1035" spans="6:6" x14ac:dyDescent="0.3">
      <c r="F1035" s="193"/>
    </row>
    <row r="1036" spans="6:6" x14ac:dyDescent="0.3">
      <c r="F1036" s="193"/>
    </row>
    <row r="1037" spans="6:6" x14ac:dyDescent="0.3">
      <c r="F1037" s="193"/>
    </row>
    <row r="1038" spans="6:6" x14ac:dyDescent="0.3">
      <c r="F1038" s="193"/>
    </row>
    <row r="1039" spans="6:6" x14ac:dyDescent="0.3">
      <c r="F1039" s="193"/>
    </row>
    <row r="1040" spans="6:6" x14ac:dyDescent="0.3">
      <c r="F1040" s="193"/>
    </row>
    <row r="1041" spans="6:6" x14ac:dyDescent="0.3">
      <c r="F1041" s="193"/>
    </row>
    <row r="1042" spans="6:6" x14ac:dyDescent="0.3">
      <c r="F1042" s="193"/>
    </row>
    <row r="1043" spans="6:6" x14ac:dyDescent="0.3">
      <c r="F1043" s="193"/>
    </row>
    <row r="1044" spans="6:6" x14ac:dyDescent="0.3">
      <c r="F1044" s="193"/>
    </row>
    <row r="1045" spans="6:6" x14ac:dyDescent="0.3">
      <c r="F1045" s="193"/>
    </row>
    <row r="1046" spans="6:6" x14ac:dyDescent="0.3">
      <c r="F1046" s="193"/>
    </row>
    <row r="1047" spans="6:6" x14ac:dyDescent="0.3">
      <c r="F1047" s="193"/>
    </row>
    <row r="1048" spans="6:6" x14ac:dyDescent="0.3">
      <c r="F1048" s="193"/>
    </row>
    <row r="1049" spans="6:6" x14ac:dyDescent="0.3">
      <c r="F1049" s="193"/>
    </row>
    <row r="1050" spans="6:6" x14ac:dyDescent="0.3">
      <c r="F1050" s="193"/>
    </row>
    <row r="1051" spans="6:6" x14ac:dyDescent="0.3">
      <c r="F1051" s="193"/>
    </row>
    <row r="1052" spans="6:6" x14ac:dyDescent="0.3">
      <c r="F1052" s="193"/>
    </row>
    <row r="1053" spans="6:6" x14ac:dyDescent="0.3">
      <c r="F1053" s="193"/>
    </row>
    <row r="1054" spans="6:6" x14ac:dyDescent="0.3">
      <c r="F1054" s="193"/>
    </row>
    <row r="1055" spans="6:6" x14ac:dyDescent="0.3">
      <c r="F1055" s="193"/>
    </row>
    <row r="1056" spans="6:6" x14ac:dyDescent="0.3">
      <c r="F1056" s="193"/>
    </row>
    <row r="1057" spans="6:6" x14ac:dyDescent="0.3">
      <c r="F1057" s="193"/>
    </row>
    <row r="1058" spans="6:6" x14ac:dyDescent="0.3">
      <c r="F1058" s="193"/>
    </row>
    <row r="1059" spans="6:6" x14ac:dyDescent="0.3">
      <c r="F1059" s="193"/>
    </row>
    <row r="1060" spans="6:6" x14ac:dyDescent="0.3">
      <c r="F1060" s="193"/>
    </row>
    <row r="1061" spans="6:6" x14ac:dyDescent="0.3">
      <c r="F1061" s="193"/>
    </row>
    <row r="1062" spans="6:6" x14ac:dyDescent="0.3">
      <c r="F1062" s="193"/>
    </row>
    <row r="1063" spans="6:6" x14ac:dyDescent="0.3">
      <c r="F1063" s="193"/>
    </row>
    <row r="1064" spans="6:6" x14ac:dyDescent="0.3">
      <c r="F1064" s="193"/>
    </row>
    <row r="1065" spans="6:6" x14ac:dyDescent="0.3">
      <c r="F1065" s="193"/>
    </row>
    <row r="1066" spans="6:6" x14ac:dyDescent="0.3">
      <c r="F1066" s="193"/>
    </row>
    <row r="1067" spans="6:6" x14ac:dyDescent="0.3">
      <c r="F1067" s="193"/>
    </row>
    <row r="1068" spans="6:6" x14ac:dyDescent="0.3">
      <c r="F1068" s="193"/>
    </row>
    <row r="1069" spans="6:6" x14ac:dyDescent="0.3">
      <c r="F1069" s="193"/>
    </row>
    <row r="1070" spans="6:6" x14ac:dyDescent="0.3">
      <c r="F1070" s="193"/>
    </row>
    <row r="1071" spans="6:6" x14ac:dyDescent="0.3">
      <c r="F1071" s="193"/>
    </row>
    <row r="1072" spans="6:6" x14ac:dyDescent="0.3">
      <c r="F1072" s="193"/>
    </row>
    <row r="1073" spans="6:6" x14ac:dyDescent="0.3">
      <c r="F1073" s="193"/>
    </row>
    <row r="1074" spans="6:6" x14ac:dyDescent="0.3">
      <c r="F1074" s="193"/>
    </row>
    <row r="1075" spans="6:6" x14ac:dyDescent="0.3">
      <c r="F1075" s="193"/>
    </row>
    <row r="1076" spans="6:6" x14ac:dyDescent="0.3">
      <c r="F1076" s="193"/>
    </row>
    <row r="1077" spans="6:6" x14ac:dyDescent="0.3">
      <c r="F1077" s="193"/>
    </row>
    <row r="1078" spans="6:6" x14ac:dyDescent="0.3">
      <c r="F1078" s="193"/>
    </row>
    <row r="1079" spans="6:6" x14ac:dyDescent="0.3">
      <c r="F1079" s="193"/>
    </row>
    <row r="1080" spans="6:6" x14ac:dyDescent="0.3">
      <c r="F1080" s="193"/>
    </row>
    <row r="1081" spans="6:6" x14ac:dyDescent="0.3">
      <c r="F1081" s="193"/>
    </row>
    <row r="1082" spans="6:6" x14ac:dyDescent="0.3">
      <c r="F1082" s="193"/>
    </row>
    <row r="1083" spans="6:6" x14ac:dyDescent="0.3">
      <c r="F1083" s="193"/>
    </row>
    <row r="1084" spans="6:6" x14ac:dyDescent="0.3">
      <c r="F1084" s="193"/>
    </row>
    <row r="1085" spans="6:6" x14ac:dyDescent="0.3">
      <c r="F1085" s="193"/>
    </row>
    <row r="1086" spans="6:6" x14ac:dyDescent="0.3">
      <c r="F1086" s="193"/>
    </row>
    <row r="1087" spans="6:6" x14ac:dyDescent="0.3">
      <c r="F1087" s="193"/>
    </row>
    <row r="1088" spans="6:6" x14ac:dyDescent="0.3">
      <c r="F1088" s="193"/>
    </row>
    <row r="1089" spans="6:6" x14ac:dyDescent="0.3">
      <c r="F1089" s="193"/>
    </row>
    <row r="1090" spans="6:6" x14ac:dyDescent="0.3">
      <c r="F1090" s="193"/>
    </row>
    <row r="1091" spans="6:6" x14ac:dyDescent="0.3">
      <c r="F1091" s="193"/>
    </row>
    <row r="1092" spans="6:6" x14ac:dyDescent="0.3">
      <c r="F1092" s="193"/>
    </row>
    <row r="1093" spans="6:6" x14ac:dyDescent="0.3">
      <c r="F1093" s="193"/>
    </row>
    <row r="1094" spans="6:6" x14ac:dyDescent="0.3">
      <c r="F1094" s="193"/>
    </row>
    <row r="1095" spans="6:6" x14ac:dyDescent="0.3">
      <c r="F1095" s="193"/>
    </row>
    <row r="1096" spans="6:6" x14ac:dyDescent="0.3">
      <c r="F1096" s="193"/>
    </row>
    <row r="1097" spans="6:6" x14ac:dyDescent="0.3">
      <c r="F1097" s="193"/>
    </row>
    <row r="1098" spans="6:6" x14ac:dyDescent="0.3">
      <c r="F1098" s="193"/>
    </row>
    <row r="1099" spans="6:6" x14ac:dyDescent="0.3">
      <c r="F1099" s="193"/>
    </row>
    <row r="1100" spans="6:6" x14ac:dyDescent="0.3">
      <c r="F1100" s="193"/>
    </row>
    <row r="1101" spans="6:6" x14ac:dyDescent="0.3">
      <c r="F1101" s="193"/>
    </row>
    <row r="1102" spans="6:6" x14ac:dyDescent="0.3">
      <c r="F1102" s="193"/>
    </row>
    <row r="1103" spans="6:6" x14ac:dyDescent="0.3">
      <c r="F1103" s="193"/>
    </row>
    <row r="1104" spans="6:6" x14ac:dyDescent="0.3">
      <c r="F1104" s="193"/>
    </row>
    <row r="1105" spans="6:6" x14ac:dyDescent="0.3">
      <c r="F1105" s="193"/>
    </row>
    <row r="1106" spans="6:6" x14ac:dyDescent="0.3">
      <c r="F1106" s="193"/>
    </row>
    <row r="1107" spans="6:6" x14ac:dyDescent="0.3">
      <c r="F1107" s="193"/>
    </row>
    <row r="1108" spans="6:6" x14ac:dyDescent="0.3">
      <c r="F1108" s="193"/>
    </row>
    <row r="1109" spans="6:6" x14ac:dyDescent="0.3">
      <c r="F1109" s="193"/>
    </row>
    <row r="1110" spans="6:6" x14ac:dyDescent="0.3">
      <c r="F1110" s="193"/>
    </row>
    <row r="1111" spans="6:6" x14ac:dyDescent="0.3">
      <c r="F1111" s="193"/>
    </row>
    <row r="1112" spans="6:6" x14ac:dyDescent="0.3">
      <c r="F1112" s="193"/>
    </row>
    <row r="1113" spans="6:6" x14ac:dyDescent="0.3">
      <c r="F1113" s="193"/>
    </row>
    <row r="1114" spans="6:6" x14ac:dyDescent="0.3">
      <c r="F1114" s="193"/>
    </row>
    <row r="1115" spans="6:6" x14ac:dyDescent="0.3">
      <c r="F1115" s="193"/>
    </row>
    <row r="1116" spans="6:6" x14ac:dyDescent="0.3">
      <c r="F1116" s="193"/>
    </row>
    <row r="1117" spans="6:6" x14ac:dyDescent="0.3">
      <c r="F1117" s="193"/>
    </row>
    <row r="1118" spans="6:6" x14ac:dyDescent="0.3">
      <c r="F1118" s="193"/>
    </row>
    <row r="1119" spans="6:6" x14ac:dyDescent="0.3">
      <c r="F1119" s="193"/>
    </row>
    <row r="1120" spans="6:6" x14ac:dyDescent="0.3">
      <c r="F1120" s="193"/>
    </row>
    <row r="1121" spans="6:6" x14ac:dyDescent="0.3">
      <c r="F1121" s="193"/>
    </row>
    <row r="1122" spans="6:6" x14ac:dyDescent="0.3">
      <c r="F1122" s="193"/>
    </row>
    <row r="1123" spans="6:6" x14ac:dyDescent="0.3">
      <c r="F1123" s="193"/>
    </row>
    <row r="1124" spans="6:6" x14ac:dyDescent="0.3">
      <c r="F1124" s="193"/>
    </row>
    <row r="1125" spans="6:6" x14ac:dyDescent="0.3">
      <c r="F1125" s="193"/>
    </row>
    <row r="1126" spans="6:6" x14ac:dyDescent="0.3">
      <c r="F1126" s="193"/>
    </row>
    <row r="1127" spans="6:6" x14ac:dyDescent="0.3">
      <c r="F1127" s="193"/>
    </row>
    <row r="1128" spans="6:6" x14ac:dyDescent="0.3">
      <c r="F1128" s="193"/>
    </row>
    <row r="1129" spans="6:6" x14ac:dyDescent="0.3">
      <c r="F1129" s="193"/>
    </row>
    <row r="1130" spans="6:6" x14ac:dyDescent="0.3">
      <c r="F1130" s="193"/>
    </row>
    <row r="1131" spans="6:6" x14ac:dyDescent="0.3">
      <c r="F1131" s="193"/>
    </row>
    <row r="1132" spans="6:6" x14ac:dyDescent="0.3">
      <c r="F1132" s="193"/>
    </row>
    <row r="1133" spans="6:6" x14ac:dyDescent="0.3">
      <c r="F1133" s="193"/>
    </row>
    <row r="1134" spans="6:6" x14ac:dyDescent="0.3">
      <c r="F1134" s="193"/>
    </row>
    <row r="1135" spans="6:6" x14ac:dyDescent="0.3">
      <c r="F1135" s="193"/>
    </row>
    <row r="1136" spans="6:6" x14ac:dyDescent="0.3">
      <c r="F1136" s="193"/>
    </row>
    <row r="1137" spans="6:6" x14ac:dyDescent="0.3">
      <c r="F1137" s="193"/>
    </row>
    <row r="1138" spans="6:6" x14ac:dyDescent="0.3">
      <c r="F1138" s="193"/>
    </row>
    <row r="1139" spans="6:6" x14ac:dyDescent="0.3">
      <c r="F1139" s="193"/>
    </row>
    <row r="1140" spans="6:6" x14ac:dyDescent="0.3">
      <c r="F1140" s="193"/>
    </row>
    <row r="1141" spans="6:6" x14ac:dyDescent="0.3">
      <c r="F1141" s="193"/>
    </row>
    <row r="1142" spans="6:6" x14ac:dyDescent="0.3">
      <c r="F1142" s="193"/>
    </row>
    <row r="1143" spans="6:6" x14ac:dyDescent="0.3">
      <c r="F1143" s="193"/>
    </row>
    <row r="1144" spans="6:6" x14ac:dyDescent="0.3">
      <c r="F1144" s="193"/>
    </row>
    <row r="1145" spans="6:6" x14ac:dyDescent="0.3">
      <c r="F1145" s="193"/>
    </row>
    <row r="1146" spans="6:6" x14ac:dyDescent="0.3">
      <c r="F1146" s="193"/>
    </row>
    <row r="1147" spans="6:6" x14ac:dyDescent="0.3">
      <c r="F1147" s="193"/>
    </row>
    <row r="1148" spans="6:6" x14ac:dyDescent="0.3">
      <c r="F1148" s="193"/>
    </row>
    <row r="1149" spans="6:6" x14ac:dyDescent="0.3">
      <c r="F1149" s="193"/>
    </row>
    <row r="1150" spans="6:6" x14ac:dyDescent="0.3">
      <c r="F1150" s="193"/>
    </row>
    <row r="1151" spans="6:6" x14ac:dyDescent="0.3">
      <c r="F1151" s="193"/>
    </row>
    <row r="1152" spans="6:6" x14ac:dyDescent="0.3">
      <c r="F1152" s="193"/>
    </row>
    <row r="1153" spans="6:6" x14ac:dyDescent="0.3">
      <c r="F1153" s="193"/>
    </row>
    <row r="1154" spans="6:6" x14ac:dyDescent="0.3">
      <c r="F1154" s="193"/>
    </row>
    <row r="1155" spans="6:6" x14ac:dyDescent="0.3">
      <c r="F1155" s="193"/>
    </row>
    <row r="1156" spans="6:6" x14ac:dyDescent="0.3">
      <c r="F1156" s="193"/>
    </row>
    <row r="1157" spans="6:6" x14ac:dyDescent="0.3">
      <c r="F1157" s="193"/>
    </row>
    <row r="1158" spans="6:6" x14ac:dyDescent="0.3">
      <c r="F1158" s="193"/>
    </row>
    <row r="1159" spans="6:6" x14ac:dyDescent="0.3">
      <c r="F1159" s="193"/>
    </row>
    <row r="1160" spans="6:6" x14ac:dyDescent="0.3">
      <c r="F1160" s="193"/>
    </row>
    <row r="1161" spans="6:6" x14ac:dyDescent="0.3">
      <c r="F1161" s="193"/>
    </row>
    <row r="1162" spans="6:6" x14ac:dyDescent="0.3">
      <c r="F1162" s="193"/>
    </row>
    <row r="1163" spans="6:6" x14ac:dyDescent="0.3">
      <c r="F1163" s="193"/>
    </row>
    <row r="1164" spans="6:6" x14ac:dyDescent="0.3">
      <c r="F1164" s="193"/>
    </row>
    <row r="1165" spans="6:6" x14ac:dyDescent="0.3">
      <c r="F1165" s="193"/>
    </row>
    <row r="1166" spans="6:6" x14ac:dyDescent="0.3">
      <c r="F1166" s="193"/>
    </row>
    <row r="1167" spans="6:6" x14ac:dyDescent="0.3">
      <c r="F1167" s="193"/>
    </row>
    <row r="1168" spans="6:6" x14ac:dyDescent="0.3">
      <c r="F1168" s="193"/>
    </row>
    <row r="1169" spans="6:6" x14ac:dyDescent="0.3">
      <c r="F1169" s="193"/>
    </row>
    <row r="1170" spans="6:6" x14ac:dyDescent="0.3">
      <c r="F1170" s="193"/>
    </row>
    <row r="1171" spans="6:6" x14ac:dyDescent="0.3">
      <c r="F1171" s="193"/>
    </row>
    <row r="1172" spans="6:6" x14ac:dyDescent="0.3">
      <c r="F1172" s="193"/>
    </row>
    <row r="1173" spans="6:6" x14ac:dyDescent="0.3">
      <c r="F1173" s="193"/>
    </row>
    <row r="1174" spans="6:6" x14ac:dyDescent="0.3">
      <c r="F1174" s="193"/>
    </row>
    <row r="1175" spans="6:6" x14ac:dyDescent="0.3">
      <c r="F1175" s="193"/>
    </row>
    <row r="1176" spans="6:6" x14ac:dyDescent="0.3">
      <c r="F1176" s="193"/>
    </row>
    <row r="1177" spans="6:6" x14ac:dyDescent="0.3">
      <c r="F1177" s="193"/>
    </row>
    <row r="1178" spans="6:6" x14ac:dyDescent="0.3">
      <c r="F1178" s="193"/>
    </row>
    <row r="1179" spans="6:6" x14ac:dyDescent="0.3">
      <c r="F1179" s="193"/>
    </row>
    <row r="1180" spans="6:6" x14ac:dyDescent="0.3">
      <c r="F1180" s="193"/>
    </row>
    <row r="1181" spans="6:6" x14ac:dyDescent="0.3">
      <c r="F1181" s="193"/>
    </row>
    <row r="1182" spans="6:6" x14ac:dyDescent="0.3">
      <c r="F1182" s="193"/>
    </row>
    <row r="1183" spans="6:6" x14ac:dyDescent="0.3">
      <c r="F1183" s="193"/>
    </row>
    <row r="1184" spans="6:6" x14ac:dyDescent="0.3">
      <c r="F1184" s="193"/>
    </row>
    <row r="1185" spans="6:6" x14ac:dyDescent="0.3">
      <c r="F1185" s="193"/>
    </row>
    <row r="1186" spans="6:6" x14ac:dyDescent="0.3">
      <c r="F1186" s="193"/>
    </row>
    <row r="1187" spans="6:6" x14ac:dyDescent="0.3">
      <c r="F1187" s="193"/>
    </row>
    <row r="1188" spans="6:6" x14ac:dyDescent="0.3">
      <c r="F1188" s="193"/>
    </row>
    <row r="1189" spans="6:6" x14ac:dyDescent="0.3">
      <c r="F1189" s="193"/>
    </row>
    <row r="1190" spans="6:6" x14ac:dyDescent="0.3">
      <c r="F1190" s="193"/>
    </row>
    <row r="1191" spans="6:6" x14ac:dyDescent="0.3">
      <c r="F1191" s="193"/>
    </row>
    <row r="1192" spans="6:6" x14ac:dyDescent="0.3">
      <c r="F1192" s="193"/>
    </row>
    <row r="1193" spans="6:6" x14ac:dyDescent="0.3">
      <c r="F1193" s="193"/>
    </row>
    <row r="1194" spans="6:6" x14ac:dyDescent="0.3">
      <c r="F1194" s="193"/>
    </row>
    <row r="1195" spans="6:6" x14ac:dyDescent="0.3">
      <c r="F1195" s="193"/>
    </row>
    <row r="1196" spans="6:6" x14ac:dyDescent="0.3">
      <c r="F1196" s="193"/>
    </row>
    <row r="1197" spans="6:6" x14ac:dyDescent="0.3">
      <c r="F1197" s="193"/>
    </row>
    <row r="1198" spans="6:6" x14ac:dyDescent="0.3">
      <c r="F1198" s="193"/>
    </row>
    <row r="1199" spans="6:6" x14ac:dyDescent="0.3">
      <c r="F1199" s="193"/>
    </row>
    <row r="1200" spans="6:6" x14ac:dyDescent="0.3">
      <c r="F1200" s="193"/>
    </row>
    <row r="1201" spans="6:6" x14ac:dyDescent="0.3">
      <c r="F1201" s="193"/>
    </row>
    <row r="1202" spans="6:6" x14ac:dyDescent="0.3">
      <c r="F1202" s="193"/>
    </row>
    <row r="1203" spans="6:6" x14ac:dyDescent="0.3">
      <c r="F1203" s="193"/>
    </row>
    <row r="1204" spans="6:6" x14ac:dyDescent="0.3">
      <c r="F1204" s="193"/>
    </row>
    <row r="1205" spans="6:6" x14ac:dyDescent="0.3">
      <c r="F1205" s="193"/>
    </row>
    <row r="1206" spans="6:6" x14ac:dyDescent="0.3">
      <c r="F1206" s="193"/>
    </row>
    <row r="1207" spans="6:6" x14ac:dyDescent="0.3">
      <c r="F1207" s="193"/>
    </row>
    <row r="1208" spans="6:6" x14ac:dyDescent="0.3">
      <c r="F1208" s="193"/>
    </row>
    <row r="1209" spans="6:6" x14ac:dyDescent="0.3">
      <c r="F1209" s="193"/>
    </row>
    <row r="1210" spans="6:6" x14ac:dyDescent="0.3">
      <c r="F1210" s="193"/>
    </row>
    <row r="1211" spans="6:6" x14ac:dyDescent="0.3">
      <c r="F1211" s="193"/>
    </row>
    <row r="1212" spans="6:6" x14ac:dyDescent="0.3">
      <c r="F1212" s="193"/>
    </row>
    <row r="1213" spans="6:6" x14ac:dyDescent="0.3">
      <c r="F1213" s="193"/>
    </row>
    <row r="1214" spans="6:6" x14ac:dyDescent="0.3">
      <c r="F1214" s="193"/>
    </row>
    <row r="1215" spans="6:6" x14ac:dyDescent="0.3">
      <c r="F1215" s="193"/>
    </row>
    <row r="1216" spans="6:6" x14ac:dyDescent="0.3">
      <c r="F1216" s="193"/>
    </row>
    <row r="1217" spans="6:6" x14ac:dyDescent="0.3">
      <c r="F1217" s="193"/>
    </row>
    <row r="1218" spans="6:6" x14ac:dyDescent="0.3">
      <c r="F1218" s="193"/>
    </row>
    <row r="1219" spans="6:6" x14ac:dyDescent="0.3">
      <c r="F1219" s="193"/>
    </row>
    <row r="1220" spans="6:6" x14ac:dyDescent="0.3">
      <c r="F1220" s="193"/>
    </row>
    <row r="1221" spans="6:6" x14ac:dyDescent="0.3">
      <c r="F1221" s="193"/>
    </row>
    <row r="1222" spans="6:6" x14ac:dyDescent="0.3">
      <c r="F1222" s="193"/>
    </row>
    <row r="1223" spans="6:6" x14ac:dyDescent="0.3">
      <c r="F1223" s="193"/>
    </row>
    <row r="1224" spans="6:6" x14ac:dyDescent="0.3">
      <c r="F1224" s="193"/>
    </row>
    <row r="1225" spans="6:6" x14ac:dyDescent="0.3">
      <c r="F1225" s="193"/>
    </row>
    <row r="1226" spans="6:6" x14ac:dyDescent="0.3">
      <c r="F1226" s="193"/>
    </row>
    <row r="1227" spans="6:6" x14ac:dyDescent="0.3">
      <c r="F1227" s="193"/>
    </row>
    <row r="1228" spans="6:6" x14ac:dyDescent="0.3">
      <c r="F1228" s="193"/>
    </row>
    <row r="1229" spans="6:6" x14ac:dyDescent="0.3">
      <c r="F1229" s="193"/>
    </row>
    <row r="1230" spans="6:6" x14ac:dyDescent="0.3">
      <c r="F1230" s="193"/>
    </row>
    <row r="1231" spans="6:6" x14ac:dyDescent="0.3">
      <c r="F1231" s="193"/>
    </row>
    <row r="1232" spans="6:6" x14ac:dyDescent="0.3">
      <c r="F1232" s="193"/>
    </row>
    <row r="1233" spans="6:6" x14ac:dyDescent="0.3">
      <c r="F1233" s="193"/>
    </row>
    <row r="1234" spans="6:6" x14ac:dyDescent="0.3">
      <c r="F1234" s="193"/>
    </row>
    <row r="1235" spans="6:6" x14ac:dyDescent="0.3">
      <c r="F1235" s="193"/>
    </row>
    <row r="1236" spans="6:6" x14ac:dyDescent="0.3">
      <c r="F1236" s="193"/>
    </row>
    <row r="1237" spans="6:6" x14ac:dyDescent="0.3">
      <c r="F1237" s="193"/>
    </row>
    <row r="1238" spans="6:6" x14ac:dyDescent="0.3">
      <c r="F1238" s="193"/>
    </row>
    <row r="1239" spans="6:6" x14ac:dyDescent="0.3">
      <c r="F1239" s="193"/>
    </row>
    <row r="1240" spans="6:6" x14ac:dyDescent="0.3">
      <c r="F1240" s="193"/>
    </row>
    <row r="1241" spans="6:6" x14ac:dyDescent="0.3">
      <c r="F1241" s="193"/>
    </row>
    <row r="1242" spans="6:6" x14ac:dyDescent="0.3">
      <c r="F1242" s="193"/>
    </row>
    <row r="1243" spans="6:6" x14ac:dyDescent="0.3">
      <c r="F1243" s="193"/>
    </row>
    <row r="1244" spans="6:6" x14ac:dyDescent="0.3">
      <c r="F1244" s="193"/>
    </row>
    <row r="1245" spans="6:6" x14ac:dyDescent="0.3">
      <c r="F1245" s="193"/>
    </row>
    <row r="1246" spans="6:6" x14ac:dyDescent="0.3">
      <c r="F1246" s="193"/>
    </row>
    <row r="1247" spans="6:6" x14ac:dyDescent="0.3">
      <c r="F1247" s="193"/>
    </row>
    <row r="1248" spans="6:6" x14ac:dyDescent="0.3">
      <c r="F1248" s="193"/>
    </row>
    <row r="1249" spans="6:6" x14ac:dyDescent="0.3">
      <c r="F1249" s="193"/>
    </row>
    <row r="1250" spans="6:6" x14ac:dyDescent="0.3">
      <c r="F1250" s="193"/>
    </row>
    <row r="1251" spans="6:6" x14ac:dyDescent="0.3">
      <c r="F1251" s="193"/>
    </row>
    <row r="1252" spans="6:6" x14ac:dyDescent="0.3">
      <c r="F1252" s="193"/>
    </row>
    <row r="1253" spans="6:6" x14ac:dyDescent="0.3">
      <c r="F1253" s="193"/>
    </row>
    <row r="1254" spans="6:6" x14ac:dyDescent="0.3">
      <c r="F1254" s="193"/>
    </row>
    <row r="1255" spans="6:6" x14ac:dyDescent="0.3">
      <c r="F1255" s="193"/>
    </row>
    <row r="1256" spans="6:6" x14ac:dyDescent="0.3">
      <c r="F1256" s="193"/>
    </row>
    <row r="1257" spans="6:6" x14ac:dyDescent="0.3">
      <c r="F1257" s="193"/>
    </row>
    <row r="1258" spans="6:6" x14ac:dyDescent="0.3">
      <c r="F1258" s="193"/>
    </row>
    <row r="1259" spans="6:6" x14ac:dyDescent="0.3">
      <c r="F1259" s="193"/>
    </row>
    <row r="1260" spans="6:6" x14ac:dyDescent="0.3">
      <c r="F1260" s="193"/>
    </row>
    <row r="1261" spans="6:6" x14ac:dyDescent="0.3">
      <c r="F1261" s="193"/>
    </row>
    <row r="1262" spans="6:6" x14ac:dyDescent="0.3">
      <c r="F1262" s="193"/>
    </row>
    <row r="1263" spans="6:6" x14ac:dyDescent="0.3">
      <c r="F1263" s="193"/>
    </row>
    <row r="1264" spans="6:6" x14ac:dyDescent="0.3">
      <c r="F1264" s="193"/>
    </row>
    <row r="1265" spans="6:6" x14ac:dyDescent="0.3">
      <c r="F1265" s="193"/>
    </row>
    <row r="1266" spans="6:6" x14ac:dyDescent="0.3">
      <c r="F1266" s="193"/>
    </row>
    <row r="1267" spans="6:6" x14ac:dyDescent="0.3">
      <c r="F1267" s="193"/>
    </row>
    <row r="1268" spans="6:6" x14ac:dyDescent="0.3">
      <c r="F1268" s="193"/>
    </row>
    <row r="1269" spans="6:6" x14ac:dyDescent="0.3">
      <c r="F1269" s="193"/>
    </row>
    <row r="1270" spans="6:6" x14ac:dyDescent="0.3">
      <c r="F1270" s="193"/>
    </row>
    <row r="1271" spans="6:6" x14ac:dyDescent="0.3">
      <c r="F1271" s="193"/>
    </row>
    <row r="1272" spans="6:6" x14ac:dyDescent="0.3">
      <c r="F1272" s="193"/>
    </row>
    <row r="1273" spans="6:6" x14ac:dyDescent="0.3">
      <c r="F1273" s="193"/>
    </row>
    <row r="1274" spans="6:6" x14ac:dyDescent="0.3">
      <c r="F1274" s="193"/>
    </row>
    <row r="1275" spans="6:6" x14ac:dyDescent="0.3">
      <c r="F1275" s="193"/>
    </row>
    <row r="1276" spans="6:6" x14ac:dyDescent="0.3">
      <c r="F1276" s="193"/>
    </row>
    <row r="1277" spans="6:6" x14ac:dyDescent="0.3">
      <c r="F1277" s="193"/>
    </row>
    <row r="1278" spans="6:6" x14ac:dyDescent="0.3">
      <c r="F1278" s="193"/>
    </row>
    <row r="1279" spans="6:6" x14ac:dyDescent="0.3">
      <c r="F1279" s="193"/>
    </row>
    <row r="1280" spans="6:6" x14ac:dyDescent="0.3">
      <c r="F1280" s="193"/>
    </row>
    <row r="1281" spans="6:6" x14ac:dyDescent="0.3">
      <c r="F1281" s="193"/>
    </row>
    <row r="1282" spans="6:6" x14ac:dyDescent="0.3">
      <c r="F1282" s="193"/>
    </row>
    <row r="1283" spans="6:6" x14ac:dyDescent="0.3">
      <c r="F1283" s="193"/>
    </row>
    <row r="1284" spans="6:6" x14ac:dyDescent="0.3">
      <c r="F1284" s="193"/>
    </row>
    <row r="1285" spans="6:6" x14ac:dyDescent="0.3">
      <c r="F1285" s="193"/>
    </row>
    <row r="1286" spans="6:6" x14ac:dyDescent="0.3">
      <c r="F1286" s="193"/>
    </row>
    <row r="1287" spans="6:6" x14ac:dyDescent="0.3">
      <c r="F1287" s="193"/>
    </row>
    <row r="1288" spans="6:6" x14ac:dyDescent="0.3">
      <c r="F1288" s="193"/>
    </row>
    <row r="1289" spans="6:6" x14ac:dyDescent="0.3">
      <c r="F1289" s="193"/>
    </row>
    <row r="1290" spans="6:6" x14ac:dyDescent="0.3">
      <c r="F1290" s="193"/>
    </row>
    <row r="1291" spans="6:6" x14ac:dyDescent="0.3">
      <c r="F1291" s="193"/>
    </row>
    <row r="1292" spans="6:6" x14ac:dyDescent="0.3">
      <c r="F1292" s="193"/>
    </row>
    <row r="1293" spans="6:6" x14ac:dyDescent="0.3">
      <c r="F1293" s="193"/>
    </row>
    <row r="1294" spans="6:6" x14ac:dyDescent="0.3">
      <c r="F1294" s="193"/>
    </row>
    <row r="1295" spans="6:6" x14ac:dyDescent="0.3">
      <c r="F1295" s="193"/>
    </row>
    <row r="1296" spans="6:6" x14ac:dyDescent="0.3">
      <c r="F1296" s="193"/>
    </row>
    <row r="1297" spans="6:6" x14ac:dyDescent="0.3">
      <c r="F1297" s="193"/>
    </row>
    <row r="1298" spans="6:6" x14ac:dyDescent="0.3">
      <c r="F1298" s="193"/>
    </row>
    <row r="1299" spans="6:6" x14ac:dyDescent="0.3">
      <c r="F1299" s="193"/>
    </row>
    <row r="1300" spans="6:6" x14ac:dyDescent="0.3">
      <c r="F1300" s="193"/>
    </row>
    <row r="1301" spans="6:6" x14ac:dyDescent="0.3">
      <c r="F1301" s="193"/>
    </row>
    <row r="1302" spans="6:6" x14ac:dyDescent="0.3">
      <c r="F1302" s="193"/>
    </row>
    <row r="1303" spans="6:6" x14ac:dyDescent="0.3">
      <c r="F1303" s="193"/>
    </row>
    <row r="1304" spans="6:6" x14ac:dyDescent="0.3">
      <c r="F1304" s="193"/>
    </row>
    <row r="1305" spans="6:6" x14ac:dyDescent="0.3">
      <c r="F1305" s="193"/>
    </row>
    <row r="1306" spans="6:6" x14ac:dyDescent="0.3">
      <c r="F1306" s="193"/>
    </row>
    <row r="1307" spans="6:6" x14ac:dyDescent="0.3">
      <c r="F1307" s="193"/>
    </row>
    <row r="1308" spans="6:6" x14ac:dyDescent="0.3">
      <c r="F1308" s="193"/>
    </row>
    <row r="1309" spans="6:6" x14ac:dyDescent="0.3">
      <c r="F1309" s="193"/>
    </row>
    <row r="1310" spans="6:6" x14ac:dyDescent="0.3">
      <c r="F1310" s="193"/>
    </row>
    <row r="1311" spans="6:6" x14ac:dyDescent="0.3">
      <c r="F1311" s="193"/>
    </row>
    <row r="1312" spans="6:6" x14ac:dyDescent="0.3">
      <c r="F1312" s="193"/>
    </row>
    <row r="1313" spans="6:6" x14ac:dyDescent="0.3">
      <c r="F1313" s="193"/>
    </row>
    <row r="1314" spans="6:6" x14ac:dyDescent="0.3">
      <c r="F1314" s="193"/>
    </row>
    <row r="1315" spans="6:6" x14ac:dyDescent="0.3">
      <c r="F1315" s="193"/>
    </row>
    <row r="1316" spans="6:6" x14ac:dyDescent="0.3">
      <c r="F1316" s="193"/>
    </row>
    <row r="1317" spans="6:6" x14ac:dyDescent="0.3">
      <c r="F1317" s="193"/>
    </row>
    <row r="1318" spans="6:6" x14ac:dyDescent="0.3">
      <c r="F1318" s="193"/>
    </row>
    <row r="1319" spans="6:6" x14ac:dyDescent="0.3">
      <c r="F1319" s="193"/>
    </row>
    <row r="1320" spans="6:6" x14ac:dyDescent="0.3">
      <c r="F1320" s="193"/>
    </row>
    <row r="1321" spans="6:6" x14ac:dyDescent="0.3">
      <c r="F1321" s="193"/>
    </row>
    <row r="1322" spans="6:6" x14ac:dyDescent="0.3">
      <c r="F1322" s="193"/>
    </row>
    <row r="1323" spans="6:6" x14ac:dyDescent="0.3">
      <c r="F1323" s="193"/>
    </row>
    <row r="1324" spans="6:6" x14ac:dyDescent="0.3">
      <c r="F1324" s="193"/>
    </row>
    <row r="1325" spans="6:6" x14ac:dyDescent="0.3">
      <c r="F1325" s="193"/>
    </row>
    <row r="1326" spans="6:6" x14ac:dyDescent="0.3">
      <c r="F1326" s="193"/>
    </row>
    <row r="1327" spans="6:6" x14ac:dyDescent="0.3">
      <c r="F1327" s="193"/>
    </row>
    <row r="1328" spans="6:6" x14ac:dyDescent="0.3">
      <c r="F1328" s="193"/>
    </row>
    <row r="1329" spans="6:6" x14ac:dyDescent="0.3">
      <c r="F1329" s="193"/>
    </row>
    <row r="1330" spans="6:6" x14ac:dyDescent="0.3">
      <c r="F1330" s="193"/>
    </row>
    <row r="1331" spans="6:6" x14ac:dyDescent="0.3">
      <c r="F1331" s="193"/>
    </row>
    <row r="1332" spans="6:6" x14ac:dyDescent="0.3">
      <c r="F1332" s="193"/>
    </row>
    <row r="1333" spans="6:6" x14ac:dyDescent="0.3">
      <c r="F1333" s="193"/>
    </row>
    <row r="1334" spans="6:6" x14ac:dyDescent="0.3">
      <c r="F1334" s="193"/>
    </row>
    <row r="1335" spans="6:6" x14ac:dyDescent="0.3">
      <c r="F1335" s="193"/>
    </row>
    <row r="1336" spans="6:6" x14ac:dyDescent="0.3">
      <c r="F1336" s="193"/>
    </row>
    <row r="1337" spans="6:6" x14ac:dyDescent="0.3">
      <c r="F1337" s="193"/>
    </row>
    <row r="1338" spans="6:6" x14ac:dyDescent="0.3">
      <c r="F1338" s="193"/>
    </row>
    <row r="1339" spans="6:6" x14ac:dyDescent="0.3">
      <c r="F1339" s="193"/>
    </row>
    <row r="1340" spans="6:6" x14ac:dyDescent="0.3">
      <c r="F1340" s="193"/>
    </row>
    <row r="1341" spans="6:6" x14ac:dyDescent="0.3">
      <c r="F1341" s="193"/>
    </row>
    <row r="1342" spans="6:6" x14ac:dyDescent="0.3">
      <c r="F1342" s="193"/>
    </row>
    <row r="1343" spans="6:6" x14ac:dyDescent="0.3">
      <c r="F1343" s="193"/>
    </row>
    <row r="1344" spans="6:6" x14ac:dyDescent="0.3">
      <c r="F1344" s="193"/>
    </row>
    <row r="1345" spans="6:6" x14ac:dyDescent="0.3">
      <c r="F1345" s="193"/>
    </row>
    <row r="1346" spans="6:6" x14ac:dyDescent="0.3">
      <c r="F1346" s="193"/>
    </row>
    <row r="1347" spans="6:6" x14ac:dyDescent="0.3">
      <c r="F1347" s="193"/>
    </row>
    <row r="1348" spans="6:6" x14ac:dyDescent="0.3">
      <c r="F1348" s="193"/>
    </row>
    <row r="1349" spans="6:6" x14ac:dyDescent="0.3">
      <c r="F1349" s="193"/>
    </row>
    <row r="1350" spans="6:6" x14ac:dyDescent="0.3">
      <c r="F1350" s="193"/>
    </row>
    <row r="1351" spans="6:6" x14ac:dyDescent="0.3">
      <c r="F1351" s="193"/>
    </row>
    <row r="1352" spans="6:6" x14ac:dyDescent="0.3">
      <c r="F1352" s="193"/>
    </row>
    <row r="1353" spans="6:6" x14ac:dyDescent="0.3">
      <c r="F1353" s="193"/>
    </row>
    <row r="1354" spans="6:6" x14ac:dyDescent="0.3">
      <c r="F1354" s="193"/>
    </row>
    <row r="1355" spans="6:6" x14ac:dyDescent="0.3">
      <c r="F1355" s="193"/>
    </row>
    <row r="1356" spans="6:6" x14ac:dyDescent="0.3">
      <c r="F1356" s="193"/>
    </row>
    <row r="1357" spans="6:6" x14ac:dyDescent="0.3">
      <c r="F1357" s="193"/>
    </row>
    <row r="1358" spans="6:6" x14ac:dyDescent="0.3">
      <c r="F1358" s="193"/>
    </row>
    <row r="1359" spans="6:6" x14ac:dyDescent="0.3">
      <c r="F1359" s="193"/>
    </row>
    <row r="1360" spans="6:6" x14ac:dyDescent="0.3">
      <c r="F1360" s="193"/>
    </row>
    <row r="1361" spans="6:6" x14ac:dyDescent="0.3">
      <c r="F1361" s="193"/>
    </row>
    <row r="1362" spans="6:6" x14ac:dyDescent="0.3">
      <c r="F1362" s="193"/>
    </row>
    <row r="1363" spans="6:6" x14ac:dyDescent="0.3">
      <c r="F1363" s="193"/>
    </row>
    <row r="1364" spans="6:6" x14ac:dyDescent="0.3">
      <c r="F1364" s="193"/>
    </row>
    <row r="1365" spans="6:6" x14ac:dyDescent="0.3">
      <c r="F1365" s="193"/>
    </row>
    <row r="1366" spans="6:6" x14ac:dyDescent="0.3">
      <c r="F1366" s="193"/>
    </row>
    <row r="1367" spans="6:6" x14ac:dyDescent="0.3">
      <c r="F1367" s="193"/>
    </row>
    <row r="1368" spans="6:6" x14ac:dyDescent="0.3">
      <c r="F1368" s="193"/>
    </row>
    <row r="1369" spans="6:6" x14ac:dyDescent="0.3">
      <c r="F1369" s="193"/>
    </row>
    <row r="1370" spans="6:6" x14ac:dyDescent="0.3">
      <c r="F1370" s="193"/>
    </row>
    <row r="1371" spans="6:6" x14ac:dyDescent="0.3">
      <c r="F1371" s="193"/>
    </row>
    <row r="1372" spans="6:6" x14ac:dyDescent="0.3">
      <c r="F1372" s="193"/>
    </row>
    <row r="1373" spans="6:6" x14ac:dyDescent="0.3">
      <c r="F1373" s="193"/>
    </row>
    <row r="1374" spans="6:6" x14ac:dyDescent="0.3">
      <c r="F1374" s="193"/>
    </row>
    <row r="1375" spans="6:6" x14ac:dyDescent="0.3">
      <c r="F1375" s="193"/>
    </row>
    <row r="1376" spans="6:6" x14ac:dyDescent="0.3">
      <c r="F1376" s="193"/>
    </row>
    <row r="1377" spans="6:6" x14ac:dyDescent="0.3">
      <c r="F1377" s="193"/>
    </row>
    <row r="1378" spans="6:6" x14ac:dyDescent="0.3">
      <c r="F1378" s="193"/>
    </row>
    <row r="1379" spans="6:6" x14ac:dyDescent="0.3">
      <c r="F1379" s="193"/>
    </row>
    <row r="1380" spans="6:6" x14ac:dyDescent="0.3">
      <c r="F1380" s="193"/>
    </row>
    <row r="1381" spans="6:6" x14ac:dyDescent="0.3">
      <c r="F1381" s="193"/>
    </row>
    <row r="1382" spans="6:6" x14ac:dyDescent="0.3">
      <c r="F1382" s="193"/>
    </row>
    <row r="1383" spans="6:6" x14ac:dyDescent="0.3">
      <c r="F1383" s="193"/>
    </row>
    <row r="1384" spans="6:6" x14ac:dyDescent="0.3">
      <c r="F1384" s="193"/>
    </row>
    <row r="1385" spans="6:6" x14ac:dyDescent="0.3">
      <c r="F1385" s="193"/>
    </row>
    <row r="1386" spans="6:6" x14ac:dyDescent="0.3">
      <c r="F1386" s="193"/>
    </row>
    <row r="1387" spans="6:6" x14ac:dyDescent="0.3">
      <c r="F1387" s="193"/>
    </row>
    <row r="1388" spans="6:6" x14ac:dyDescent="0.3">
      <c r="F1388" s="193"/>
    </row>
    <row r="1389" spans="6:6" x14ac:dyDescent="0.3">
      <c r="F1389" s="193"/>
    </row>
    <row r="1390" spans="6:6" x14ac:dyDescent="0.3">
      <c r="F1390" s="193"/>
    </row>
    <row r="1391" spans="6:6" x14ac:dyDescent="0.3">
      <c r="F1391" s="193"/>
    </row>
    <row r="1392" spans="6:6" x14ac:dyDescent="0.3">
      <c r="F1392" s="193"/>
    </row>
    <row r="1393" spans="6:6" x14ac:dyDescent="0.3">
      <c r="F1393" s="193"/>
    </row>
    <row r="1394" spans="6:6" x14ac:dyDescent="0.3">
      <c r="F1394" s="193"/>
    </row>
    <row r="1395" spans="6:6" x14ac:dyDescent="0.3">
      <c r="F1395" s="193"/>
    </row>
    <row r="1396" spans="6:6" x14ac:dyDescent="0.3">
      <c r="F1396" s="193"/>
    </row>
    <row r="1397" spans="6:6" x14ac:dyDescent="0.3">
      <c r="F1397" s="193"/>
    </row>
    <row r="1398" spans="6:6" x14ac:dyDescent="0.3">
      <c r="F1398" s="193"/>
    </row>
    <row r="1399" spans="6:6" x14ac:dyDescent="0.3">
      <c r="F1399" s="193"/>
    </row>
    <row r="1400" spans="6:6" x14ac:dyDescent="0.3">
      <c r="F1400" s="193"/>
    </row>
    <row r="1401" spans="6:6" x14ac:dyDescent="0.3">
      <c r="F1401" s="193"/>
    </row>
    <row r="1402" spans="6:6" x14ac:dyDescent="0.3">
      <c r="F1402" s="193"/>
    </row>
    <row r="1403" spans="6:6" x14ac:dyDescent="0.3">
      <c r="F1403" s="193"/>
    </row>
    <row r="1404" spans="6:6" x14ac:dyDescent="0.3">
      <c r="F1404" s="193"/>
    </row>
    <row r="1405" spans="6:6" x14ac:dyDescent="0.3">
      <c r="F1405" s="193"/>
    </row>
    <row r="1406" spans="6:6" x14ac:dyDescent="0.3">
      <c r="F1406" s="193"/>
    </row>
    <row r="1407" spans="6:6" x14ac:dyDescent="0.3">
      <c r="F1407" s="193"/>
    </row>
    <row r="1408" spans="6:6" x14ac:dyDescent="0.3">
      <c r="F1408" s="193"/>
    </row>
    <row r="1409" spans="6:6" x14ac:dyDescent="0.3">
      <c r="F1409" s="193"/>
    </row>
    <row r="1410" spans="6:6" x14ac:dyDescent="0.3">
      <c r="F1410" s="193"/>
    </row>
    <row r="1411" spans="6:6" x14ac:dyDescent="0.3">
      <c r="F1411" s="193"/>
    </row>
    <row r="1412" spans="6:6" x14ac:dyDescent="0.3">
      <c r="F1412" s="193"/>
    </row>
    <row r="1413" spans="6:6" x14ac:dyDescent="0.3">
      <c r="F1413" s="193"/>
    </row>
    <row r="1414" spans="6:6" x14ac:dyDescent="0.3">
      <c r="F1414" s="193"/>
    </row>
    <row r="1415" spans="6:6" x14ac:dyDescent="0.3">
      <c r="F1415" s="193"/>
    </row>
    <row r="1416" spans="6:6" x14ac:dyDescent="0.3">
      <c r="F1416" s="193"/>
    </row>
    <row r="1417" spans="6:6" x14ac:dyDescent="0.3">
      <c r="F1417" s="193"/>
    </row>
    <row r="1418" spans="6:6" x14ac:dyDescent="0.3">
      <c r="F1418" s="193"/>
    </row>
    <row r="1419" spans="6:6" x14ac:dyDescent="0.3">
      <c r="F1419" s="193"/>
    </row>
    <row r="1420" spans="6:6" x14ac:dyDescent="0.3">
      <c r="F1420" s="193"/>
    </row>
    <row r="1421" spans="6:6" x14ac:dyDescent="0.3">
      <c r="F1421" s="193"/>
    </row>
    <row r="1422" spans="6:6" x14ac:dyDescent="0.3">
      <c r="F1422" s="193"/>
    </row>
    <row r="1423" spans="6:6" x14ac:dyDescent="0.3">
      <c r="F1423" s="193"/>
    </row>
    <row r="1424" spans="6:6" x14ac:dyDescent="0.3">
      <c r="F1424" s="193"/>
    </row>
    <row r="1425" spans="6:6" x14ac:dyDescent="0.3">
      <c r="F1425" s="193"/>
    </row>
    <row r="1426" spans="6:6" x14ac:dyDescent="0.3">
      <c r="F1426" s="193"/>
    </row>
    <row r="1427" spans="6:6" x14ac:dyDescent="0.3">
      <c r="F1427" s="193"/>
    </row>
    <row r="1428" spans="6:6" x14ac:dyDescent="0.3">
      <c r="F1428" s="193"/>
    </row>
    <row r="1429" spans="6:6" x14ac:dyDescent="0.3">
      <c r="F1429" s="193"/>
    </row>
    <row r="1430" spans="6:6" x14ac:dyDescent="0.3">
      <c r="F1430" s="193"/>
    </row>
    <row r="1431" spans="6:6" x14ac:dyDescent="0.3">
      <c r="F1431" s="193"/>
    </row>
    <row r="1432" spans="6:6" x14ac:dyDescent="0.3">
      <c r="F1432" s="193"/>
    </row>
    <row r="1433" spans="6:6" x14ac:dyDescent="0.3">
      <c r="F1433" s="193"/>
    </row>
    <row r="1434" spans="6:6" x14ac:dyDescent="0.3">
      <c r="F1434" s="193"/>
    </row>
    <row r="1435" spans="6:6" x14ac:dyDescent="0.3">
      <c r="F1435" s="193"/>
    </row>
    <row r="1436" spans="6:6" x14ac:dyDescent="0.3">
      <c r="F1436" s="193"/>
    </row>
    <row r="1437" spans="6:6" x14ac:dyDescent="0.3">
      <c r="F1437" s="193"/>
    </row>
    <row r="1438" spans="6:6" x14ac:dyDescent="0.3">
      <c r="F1438" s="193"/>
    </row>
    <row r="1439" spans="6:6" x14ac:dyDescent="0.3">
      <c r="F1439" s="193"/>
    </row>
    <row r="1440" spans="6:6" x14ac:dyDescent="0.3">
      <c r="F1440" s="193"/>
    </row>
    <row r="1441" spans="6:6" x14ac:dyDescent="0.3">
      <c r="F1441" s="193"/>
    </row>
    <row r="1442" spans="6:6" x14ac:dyDescent="0.3">
      <c r="F1442" s="193"/>
    </row>
    <row r="1443" spans="6:6" x14ac:dyDescent="0.3">
      <c r="F1443" s="193"/>
    </row>
    <row r="1444" spans="6:6" x14ac:dyDescent="0.3">
      <c r="F1444" s="193"/>
    </row>
    <row r="1445" spans="6:6" x14ac:dyDescent="0.3">
      <c r="F1445" s="193"/>
    </row>
    <row r="1446" spans="6:6" x14ac:dyDescent="0.3">
      <c r="F1446" s="193"/>
    </row>
    <row r="1447" spans="6:6" x14ac:dyDescent="0.3">
      <c r="F1447" s="193"/>
    </row>
    <row r="1448" spans="6:6" x14ac:dyDescent="0.3">
      <c r="F1448" s="193"/>
    </row>
    <row r="1449" spans="6:6" x14ac:dyDescent="0.3">
      <c r="F1449" s="193"/>
    </row>
    <row r="1450" spans="6:6" x14ac:dyDescent="0.3">
      <c r="F1450" s="193"/>
    </row>
    <row r="1451" spans="6:6" x14ac:dyDescent="0.3">
      <c r="F1451" s="193"/>
    </row>
    <row r="1452" spans="6:6" x14ac:dyDescent="0.3">
      <c r="F1452" s="193"/>
    </row>
    <row r="1453" spans="6:6" x14ac:dyDescent="0.3">
      <c r="F1453" s="193"/>
    </row>
    <row r="1454" spans="6:6" x14ac:dyDescent="0.3">
      <c r="F1454" s="193"/>
    </row>
    <row r="1455" spans="6:6" x14ac:dyDescent="0.3">
      <c r="F1455" s="193"/>
    </row>
    <row r="1456" spans="6:6" x14ac:dyDescent="0.3">
      <c r="F1456" s="193"/>
    </row>
    <row r="1457" spans="6:6" x14ac:dyDescent="0.3">
      <c r="F1457" s="193"/>
    </row>
    <row r="1458" spans="6:6" x14ac:dyDescent="0.3">
      <c r="F1458" s="193"/>
    </row>
    <row r="1459" spans="6:6" x14ac:dyDescent="0.3">
      <c r="F1459" s="193"/>
    </row>
    <row r="1460" spans="6:6" x14ac:dyDescent="0.3">
      <c r="F1460" s="193"/>
    </row>
    <row r="1461" spans="6:6" x14ac:dyDescent="0.3">
      <c r="F1461" s="193"/>
    </row>
    <row r="1462" spans="6:6" x14ac:dyDescent="0.3">
      <c r="F1462" s="193"/>
    </row>
    <row r="1463" spans="6:6" x14ac:dyDescent="0.3">
      <c r="F1463" s="193"/>
    </row>
    <row r="1464" spans="6:6" x14ac:dyDescent="0.3">
      <c r="F1464" s="193"/>
    </row>
    <row r="1465" spans="6:6" x14ac:dyDescent="0.3">
      <c r="F1465" s="193"/>
    </row>
    <row r="1466" spans="6:6" x14ac:dyDescent="0.3">
      <c r="F1466" s="193"/>
    </row>
    <row r="1467" spans="6:6" x14ac:dyDescent="0.3">
      <c r="F1467" s="193"/>
    </row>
    <row r="1468" spans="6:6" x14ac:dyDescent="0.3">
      <c r="F1468" s="193"/>
    </row>
    <row r="1469" spans="6:6" x14ac:dyDescent="0.3">
      <c r="F1469" s="193"/>
    </row>
    <row r="1470" spans="6:6" x14ac:dyDescent="0.3">
      <c r="F1470" s="193"/>
    </row>
    <row r="1471" spans="6:6" x14ac:dyDescent="0.3">
      <c r="F1471" s="193"/>
    </row>
    <row r="1472" spans="6:6" x14ac:dyDescent="0.3">
      <c r="F1472" s="193"/>
    </row>
    <row r="1473" spans="6:6" x14ac:dyDescent="0.3">
      <c r="F1473" s="193"/>
    </row>
    <row r="1474" spans="6:6" x14ac:dyDescent="0.3">
      <c r="F1474" s="193"/>
    </row>
    <row r="1475" spans="6:6" x14ac:dyDescent="0.3">
      <c r="F1475" s="193"/>
    </row>
    <row r="1476" spans="6:6" x14ac:dyDescent="0.3">
      <c r="F1476" s="193"/>
    </row>
    <row r="1477" spans="6:6" x14ac:dyDescent="0.3">
      <c r="F1477" s="193"/>
    </row>
    <row r="1478" spans="6:6" x14ac:dyDescent="0.3">
      <c r="F1478" s="193"/>
    </row>
    <row r="1479" spans="6:6" x14ac:dyDescent="0.3">
      <c r="F1479" s="193"/>
    </row>
    <row r="1480" spans="6:6" x14ac:dyDescent="0.3">
      <c r="F1480" s="193"/>
    </row>
    <row r="1481" spans="6:6" x14ac:dyDescent="0.3">
      <c r="F1481" s="193"/>
    </row>
    <row r="1482" spans="6:6" x14ac:dyDescent="0.3">
      <c r="F1482" s="193"/>
    </row>
    <row r="1483" spans="6:6" x14ac:dyDescent="0.3">
      <c r="F1483" s="193"/>
    </row>
    <row r="1484" spans="6:6" x14ac:dyDescent="0.3">
      <c r="F1484" s="193"/>
    </row>
    <row r="1485" spans="6:6" x14ac:dyDescent="0.3">
      <c r="F1485" s="193"/>
    </row>
    <row r="1486" spans="6:6" x14ac:dyDescent="0.3">
      <c r="F1486" s="193"/>
    </row>
    <row r="1487" spans="6:6" x14ac:dyDescent="0.3">
      <c r="F1487" s="193"/>
    </row>
    <row r="1488" spans="6:6" x14ac:dyDescent="0.3">
      <c r="F1488" s="193"/>
    </row>
    <row r="1489" spans="6:6" x14ac:dyDescent="0.3">
      <c r="F1489" s="193"/>
    </row>
    <row r="1490" spans="6:6" x14ac:dyDescent="0.3">
      <c r="F1490" s="193"/>
    </row>
    <row r="1491" spans="6:6" x14ac:dyDescent="0.3">
      <c r="F1491" s="193"/>
    </row>
    <row r="1492" spans="6:6" x14ac:dyDescent="0.3">
      <c r="F1492" s="193"/>
    </row>
    <row r="1493" spans="6:6" x14ac:dyDescent="0.3">
      <c r="F1493" s="193"/>
    </row>
    <row r="1494" spans="6:6" x14ac:dyDescent="0.3">
      <c r="F1494" s="193"/>
    </row>
    <row r="1495" spans="6:6" x14ac:dyDescent="0.3">
      <c r="F1495" s="193"/>
    </row>
    <row r="1496" spans="6:6" x14ac:dyDescent="0.3">
      <c r="F1496" s="193"/>
    </row>
    <row r="1497" spans="6:6" x14ac:dyDescent="0.3">
      <c r="F1497" s="193"/>
    </row>
    <row r="1498" spans="6:6" x14ac:dyDescent="0.3">
      <c r="F1498" s="193"/>
    </row>
    <row r="1499" spans="6:6" x14ac:dyDescent="0.3">
      <c r="F1499" s="193"/>
    </row>
    <row r="1500" spans="6:6" x14ac:dyDescent="0.3">
      <c r="F1500" s="193"/>
    </row>
    <row r="1501" spans="6:6" x14ac:dyDescent="0.3">
      <c r="F1501" s="193"/>
    </row>
    <row r="1502" spans="6:6" x14ac:dyDescent="0.3">
      <c r="F1502" s="193"/>
    </row>
    <row r="1503" spans="6:6" x14ac:dyDescent="0.3">
      <c r="F1503" s="193"/>
    </row>
    <row r="1504" spans="6:6" x14ac:dyDescent="0.3">
      <c r="F1504" s="193"/>
    </row>
    <row r="1505" spans="6:6" x14ac:dyDescent="0.3">
      <c r="F1505" s="193"/>
    </row>
    <row r="1506" spans="6:6" x14ac:dyDescent="0.3">
      <c r="F1506" s="193"/>
    </row>
    <row r="1507" spans="6:6" x14ac:dyDescent="0.3">
      <c r="F1507" s="193"/>
    </row>
    <row r="1508" spans="6:6" x14ac:dyDescent="0.3">
      <c r="F1508" s="193"/>
    </row>
    <row r="1509" spans="6:6" x14ac:dyDescent="0.3">
      <c r="F1509" s="193"/>
    </row>
    <row r="1510" spans="6:6" x14ac:dyDescent="0.3">
      <c r="F1510" s="193"/>
    </row>
    <row r="1511" spans="6:6" x14ac:dyDescent="0.3">
      <c r="F1511" s="193"/>
    </row>
    <row r="1512" spans="6:6" x14ac:dyDescent="0.3">
      <c r="F1512" s="193"/>
    </row>
    <row r="1513" spans="6:6" x14ac:dyDescent="0.3">
      <c r="F1513" s="193"/>
    </row>
    <row r="1514" spans="6:6" x14ac:dyDescent="0.3">
      <c r="F1514" s="193"/>
    </row>
    <row r="1515" spans="6:6" x14ac:dyDescent="0.3">
      <c r="F1515" s="193"/>
    </row>
    <row r="1516" spans="6:6" x14ac:dyDescent="0.3">
      <c r="F1516" s="193"/>
    </row>
    <row r="1517" spans="6:6" x14ac:dyDescent="0.3">
      <c r="F1517" s="193"/>
    </row>
    <row r="1518" spans="6:6" x14ac:dyDescent="0.3">
      <c r="F1518" s="193"/>
    </row>
    <row r="1519" spans="6:6" x14ac:dyDescent="0.3">
      <c r="F1519" s="193"/>
    </row>
    <row r="1520" spans="6:6" x14ac:dyDescent="0.3">
      <c r="F1520" s="193"/>
    </row>
    <row r="1521" spans="6:6" x14ac:dyDescent="0.3">
      <c r="F1521" s="193"/>
    </row>
    <row r="1522" spans="6:6" x14ac:dyDescent="0.3">
      <c r="F1522" s="193"/>
    </row>
    <row r="1523" spans="6:6" x14ac:dyDescent="0.3">
      <c r="F1523" s="193"/>
    </row>
    <row r="1524" spans="6:6" x14ac:dyDescent="0.3">
      <c r="F1524" s="193"/>
    </row>
    <row r="1525" spans="6:6" x14ac:dyDescent="0.3">
      <c r="F1525" s="193"/>
    </row>
    <row r="1526" spans="6:6" x14ac:dyDescent="0.3">
      <c r="F1526" s="193"/>
    </row>
    <row r="1527" spans="6:6" x14ac:dyDescent="0.3">
      <c r="F1527" s="193"/>
    </row>
    <row r="1528" spans="6:6" x14ac:dyDescent="0.3">
      <c r="F1528" s="193"/>
    </row>
    <row r="1529" spans="6:6" x14ac:dyDescent="0.3">
      <c r="F1529" s="193"/>
    </row>
    <row r="1530" spans="6:6" x14ac:dyDescent="0.3">
      <c r="F1530" s="193"/>
    </row>
    <row r="1531" spans="6:6" x14ac:dyDescent="0.3">
      <c r="F1531" s="193"/>
    </row>
    <row r="1532" spans="6:6" x14ac:dyDescent="0.3">
      <c r="F1532" s="193"/>
    </row>
    <row r="1533" spans="6:6" x14ac:dyDescent="0.3">
      <c r="F1533" s="193"/>
    </row>
    <row r="1534" spans="6:6" x14ac:dyDescent="0.3">
      <c r="F1534" s="193"/>
    </row>
    <row r="1535" spans="6:6" x14ac:dyDescent="0.3">
      <c r="F1535" s="193"/>
    </row>
    <row r="1536" spans="6:6" x14ac:dyDescent="0.3">
      <c r="F1536" s="193"/>
    </row>
    <row r="1537" spans="6:6" x14ac:dyDescent="0.3">
      <c r="F1537" s="193"/>
    </row>
    <row r="1538" spans="6:6" x14ac:dyDescent="0.3">
      <c r="F1538" s="193"/>
    </row>
    <row r="1539" spans="6:6" x14ac:dyDescent="0.3">
      <c r="F1539" s="193"/>
    </row>
    <row r="1540" spans="6:6" x14ac:dyDescent="0.3">
      <c r="F1540" s="193"/>
    </row>
    <row r="1541" spans="6:6" x14ac:dyDescent="0.3">
      <c r="F1541" s="193"/>
    </row>
    <row r="1542" spans="6:6" x14ac:dyDescent="0.3">
      <c r="F1542" s="193"/>
    </row>
    <row r="1543" spans="6:6" x14ac:dyDescent="0.3">
      <c r="F1543" s="193"/>
    </row>
    <row r="1544" spans="6:6" x14ac:dyDescent="0.3">
      <c r="F1544" s="193"/>
    </row>
    <row r="1545" spans="6:6" x14ac:dyDescent="0.3">
      <c r="F1545" s="193"/>
    </row>
    <row r="1546" spans="6:6" x14ac:dyDescent="0.3">
      <c r="F1546" s="193"/>
    </row>
    <row r="1547" spans="6:6" x14ac:dyDescent="0.3">
      <c r="F1547" s="193"/>
    </row>
    <row r="1548" spans="6:6" x14ac:dyDescent="0.3">
      <c r="F1548" s="193"/>
    </row>
    <row r="1549" spans="6:6" x14ac:dyDescent="0.3">
      <c r="F1549" s="193"/>
    </row>
    <row r="1550" spans="6:6" x14ac:dyDescent="0.3">
      <c r="F1550" s="193"/>
    </row>
    <row r="1551" spans="6:6" x14ac:dyDescent="0.3">
      <c r="F1551" s="193"/>
    </row>
    <row r="1552" spans="6:6" x14ac:dyDescent="0.3">
      <c r="F1552" s="193"/>
    </row>
    <row r="1553" spans="6:6" x14ac:dyDescent="0.3">
      <c r="F1553" s="193"/>
    </row>
    <row r="1554" spans="6:6" x14ac:dyDescent="0.3">
      <c r="F1554" s="193"/>
    </row>
    <row r="1555" spans="6:6" x14ac:dyDescent="0.3">
      <c r="F1555" s="193"/>
    </row>
    <row r="1556" spans="6:6" x14ac:dyDescent="0.3">
      <c r="F1556" s="193"/>
    </row>
    <row r="1557" spans="6:6" x14ac:dyDescent="0.3">
      <c r="F1557" s="193"/>
    </row>
    <row r="1558" spans="6:6" x14ac:dyDescent="0.3">
      <c r="F1558" s="193"/>
    </row>
    <row r="1559" spans="6:6" x14ac:dyDescent="0.3">
      <c r="F1559" s="193"/>
    </row>
    <row r="1560" spans="6:6" x14ac:dyDescent="0.3">
      <c r="F1560" s="193"/>
    </row>
    <row r="1561" spans="6:6" x14ac:dyDescent="0.3">
      <c r="F1561" s="193"/>
    </row>
    <row r="1562" spans="6:6" x14ac:dyDescent="0.3">
      <c r="F1562" s="193"/>
    </row>
    <row r="1563" spans="6:6" x14ac:dyDescent="0.3">
      <c r="F1563" s="193"/>
    </row>
    <row r="1564" spans="6:6" x14ac:dyDescent="0.3">
      <c r="F1564" s="193"/>
    </row>
    <row r="1565" spans="6:6" x14ac:dyDescent="0.3">
      <c r="F1565" s="193"/>
    </row>
    <row r="1566" spans="6:6" x14ac:dyDescent="0.3">
      <c r="F1566" s="193"/>
    </row>
    <row r="1567" spans="6:6" x14ac:dyDescent="0.3">
      <c r="F1567" s="193"/>
    </row>
    <row r="1568" spans="6:6" x14ac:dyDescent="0.3">
      <c r="F1568" s="193"/>
    </row>
    <row r="1569" spans="6:6" x14ac:dyDescent="0.3">
      <c r="F1569" s="193"/>
    </row>
    <row r="1570" spans="6:6" x14ac:dyDescent="0.3">
      <c r="F1570" s="193"/>
    </row>
    <row r="1571" spans="6:6" x14ac:dyDescent="0.3">
      <c r="F1571" s="193"/>
    </row>
    <row r="1572" spans="6:6" x14ac:dyDescent="0.3">
      <c r="F1572" s="193"/>
    </row>
    <row r="1573" spans="6:6" x14ac:dyDescent="0.3">
      <c r="F1573" s="193"/>
    </row>
    <row r="1574" spans="6:6" x14ac:dyDescent="0.3">
      <c r="F1574" s="193"/>
    </row>
    <row r="1575" spans="6:6" x14ac:dyDescent="0.3">
      <c r="F1575" s="193"/>
    </row>
    <row r="1576" spans="6:6" x14ac:dyDescent="0.3">
      <c r="F1576" s="193"/>
    </row>
    <row r="1577" spans="6:6" x14ac:dyDescent="0.3">
      <c r="F1577" s="193"/>
    </row>
    <row r="1578" spans="6:6" x14ac:dyDescent="0.3">
      <c r="F1578" s="193"/>
    </row>
    <row r="1579" spans="6:6" x14ac:dyDescent="0.3">
      <c r="F1579" s="193"/>
    </row>
    <row r="1580" spans="6:6" x14ac:dyDescent="0.3">
      <c r="F1580" s="193"/>
    </row>
    <row r="1581" spans="6:6" x14ac:dyDescent="0.3">
      <c r="F1581" s="193"/>
    </row>
    <row r="1582" spans="6:6" x14ac:dyDescent="0.3">
      <c r="F1582" s="193"/>
    </row>
    <row r="1583" spans="6:6" x14ac:dyDescent="0.3">
      <c r="F1583" s="193"/>
    </row>
    <row r="1584" spans="6:6" x14ac:dyDescent="0.3">
      <c r="F1584" s="193"/>
    </row>
    <row r="1585" spans="6:6" x14ac:dyDescent="0.3">
      <c r="F1585" s="193"/>
    </row>
    <row r="1586" spans="6:6" x14ac:dyDescent="0.3">
      <c r="F1586" s="193"/>
    </row>
    <row r="1587" spans="6:6" x14ac:dyDescent="0.3">
      <c r="F1587" s="193"/>
    </row>
    <row r="1588" spans="6:6" x14ac:dyDescent="0.3">
      <c r="F1588" s="193"/>
    </row>
    <row r="1589" spans="6:6" x14ac:dyDescent="0.3">
      <c r="F1589" s="193"/>
    </row>
    <row r="1590" spans="6:6" x14ac:dyDescent="0.3">
      <c r="F1590" s="193"/>
    </row>
    <row r="1591" spans="6:6" x14ac:dyDescent="0.3">
      <c r="F1591" s="193"/>
    </row>
    <row r="1592" spans="6:6" x14ac:dyDescent="0.3">
      <c r="F1592" s="193"/>
    </row>
    <row r="1593" spans="6:6" x14ac:dyDescent="0.3">
      <c r="F1593" s="193"/>
    </row>
    <row r="1594" spans="6:6" x14ac:dyDescent="0.3">
      <c r="F1594" s="193"/>
    </row>
    <row r="1595" spans="6:6" x14ac:dyDescent="0.3">
      <c r="F1595" s="193"/>
    </row>
    <row r="1596" spans="6:6" x14ac:dyDescent="0.3">
      <c r="F1596" s="193"/>
    </row>
    <row r="1597" spans="6:6" x14ac:dyDescent="0.3">
      <c r="F1597" s="193"/>
    </row>
    <row r="1598" spans="6:6" x14ac:dyDescent="0.3">
      <c r="F1598" s="193"/>
    </row>
    <row r="1599" spans="6:6" x14ac:dyDescent="0.3">
      <c r="F1599" s="193"/>
    </row>
    <row r="1600" spans="6:6" x14ac:dyDescent="0.3">
      <c r="F1600" s="193"/>
    </row>
    <row r="1601" spans="6:6" x14ac:dyDescent="0.3">
      <c r="F1601" s="193"/>
    </row>
    <row r="1602" spans="6:6" x14ac:dyDescent="0.3">
      <c r="F1602" s="193"/>
    </row>
    <row r="1603" spans="6:6" x14ac:dyDescent="0.3">
      <c r="F1603" s="193"/>
    </row>
    <row r="1604" spans="6:6" x14ac:dyDescent="0.3">
      <c r="F1604" s="193"/>
    </row>
    <row r="1605" spans="6:6" x14ac:dyDescent="0.3">
      <c r="F1605" s="193"/>
    </row>
    <row r="1606" spans="6:6" x14ac:dyDescent="0.3">
      <c r="F1606" s="193"/>
    </row>
    <row r="1607" spans="6:6" x14ac:dyDescent="0.3">
      <c r="F1607" s="193"/>
    </row>
    <row r="1608" spans="6:6" x14ac:dyDescent="0.3">
      <c r="F1608" s="193"/>
    </row>
    <row r="1609" spans="6:6" x14ac:dyDescent="0.3">
      <c r="F1609" s="193"/>
    </row>
    <row r="1610" spans="6:6" x14ac:dyDescent="0.3">
      <c r="F1610" s="193"/>
    </row>
    <row r="1611" spans="6:6" x14ac:dyDescent="0.3">
      <c r="F1611" s="193"/>
    </row>
    <row r="1612" spans="6:6" x14ac:dyDescent="0.3">
      <c r="F1612" s="193"/>
    </row>
    <row r="1613" spans="6:6" x14ac:dyDescent="0.3">
      <c r="F1613" s="193"/>
    </row>
    <row r="1614" spans="6:6" x14ac:dyDescent="0.3">
      <c r="F1614" s="193"/>
    </row>
    <row r="1615" spans="6:6" x14ac:dyDescent="0.3">
      <c r="F1615" s="193"/>
    </row>
    <row r="1616" spans="6:6" x14ac:dyDescent="0.3">
      <c r="F1616" s="193"/>
    </row>
    <row r="1617" spans="6:6" x14ac:dyDescent="0.3">
      <c r="F1617" s="193"/>
    </row>
    <row r="1618" spans="6:6" x14ac:dyDescent="0.3">
      <c r="F1618" s="193"/>
    </row>
    <row r="1619" spans="6:6" x14ac:dyDescent="0.3">
      <c r="F1619" s="193"/>
    </row>
    <row r="1620" spans="6:6" x14ac:dyDescent="0.3">
      <c r="F1620" s="193"/>
    </row>
    <row r="1621" spans="6:6" x14ac:dyDescent="0.3">
      <c r="F1621" s="193"/>
    </row>
    <row r="1622" spans="6:6" x14ac:dyDescent="0.3">
      <c r="F1622" s="193"/>
    </row>
    <row r="1623" spans="6:6" x14ac:dyDescent="0.3">
      <c r="F1623" s="193"/>
    </row>
    <row r="1624" spans="6:6" x14ac:dyDescent="0.3">
      <c r="F1624" s="193"/>
    </row>
    <row r="1625" spans="6:6" x14ac:dyDescent="0.3">
      <c r="F1625" s="193"/>
    </row>
    <row r="1626" spans="6:6" x14ac:dyDescent="0.3">
      <c r="F1626" s="193"/>
    </row>
    <row r="1627" spans="6:6" x14ac:dyDescent="0.3">
      <c r="F1627" s="193"/>
    </row>
    <row r="1628" spans="6:6" x14ac:dyDescent="0.3">
      <c r="F1628" s="193"/>
    </row>
    <row r="1629" spans="6:6" x14ac:dyDescent="0.3">
      <c r="F1629" s="193"/>
    </row>
    <row r="1630" spans="6:6" x14ac:dyDescent="0.3">
      <c r="F1630" s="193"/>
    </row>
    <row r="1631" spans="6:6" x14ac:dyDescent="0.3">
      <c r="F1631" s="193"/>
    </row>
    <row r="1632" spans="6:6" x14ac:dyDescent="0.3">
      <c r="F1632" s="193"/>
    </row>
    <row r="1633" spans="6:6" x14ac:dyDescent="0.3">
      <c r="F1633" s="193"/>
    </row>
    <row r="1634" spans="6:6" x14ac:dyDescent="0.3">
      <c r="F1634" s="193"/>
    </row>
    <row r="1635" spans="6:6" x14ac:dyDescent="0.3">
      <c r="F1635" s="193"/>
    </row>
    <row r="1636" spans="6:6" x14ac:dyDescent="0.3">
      <c r="F1636" s="193"/>
    </row>
    <row r="1637" spans="6:6" x14ac:dyDescent="0.3">
      <c r="F1637" s="193"/>
    </row>
    <row r="1638" spans="6:6" x14ac:dyDescent="0.3">
      <c r="F1638" s="193"/>
    </row>
    <row r="1639" spans="6:6" x14ac:dyDescent="0.3">
      <c r="F1639" s="193"/>
    </row>
    <row r="1640" spans="6:6" x14ac:dyDescent="0.3">
      <c r="F1640" s="193"/>
    </row>
    <row r="1641" spans="6:6" x14ac:dyDescent="0.3">
      <c r="F1641" s="193"/>
    </row>
    <row r="1642" spans="6:6" x14ac:dyDescent="0.3">
      <c r="F1642" s="193"/>
    </row>
    <row r="1643" spans="6:6" x14ac:dyDescent="0.3">
      <c r="F1643" s="193"/>
    </row>
    <row r="1644" spans="6:6" x14ac:dyDescent="0.3">
      <c r="F1644" s="193"/>
    </row>
    <row r="1645" spans="6:6" x14ac:dyDescent="0.3">
      <c r="F1645" s="193"/>
    </row>
    <row r="1646" spans="6:6" x14ac:dyDescent="0.3">
      <c r="F1646" s="193"/>
    </row>
    <row r="1647" spans="6:6" x14ac:dyDescent="0.3">
      <c r="F1647" s="193"/>
    </row>
    <row r="1648" spans="6:6" x14ac:dyDescent="0.3">
      <c r="F1648" s="193"/>
    </row>
    <row r="1649" spans="6:6" x14ac:dyDescent="0.3">
      <c r="F1649" s="193"/>
    </row>
    <row r="1650" spans="6:6" x14ac:dyDescent="0.3">
      <c r="F1650" s="193"/>
    </row>
    <row r="1651" spans="6:6" x14ac:dyDescent="0.3">
      <c r="F1651" s="193"/>
    </row>
    <row r="1652" spans="6:6" x14ac:dyDescent="0.3">
      <c r="F1652" s="193"/>
    </row>
    <row r="1653" spans="6:6" x14ac:dyDescent="0.3">
      <c r="F1653" s="193"/>
    </row>
    <row r="1654" spans="6:6" x14ac:dyDescent="0.3">
      <c r="F1654" s="193"/>
    </row>
    <row r="1655" spans="6:6" x14ac:dyDescent="0.3">
      <c r="F1655" s="193"/>
    </row>
    <row r="1656" spans="6:6" x14ac:dyDescent="0.3">
      <c r="F1656" s="193"/>
    </row>
    <row r="1657" spans="6:6" x14ac:dyDescent="0.3">
      <c r="F1657" s="193"/>
    </row>
    <row r="1658" spans="6:6" x14ac:dyDescent="0.3">
      <c r="F1658" s="193"/>
    </row>
    <row r="1659" spans="6:6" x14ac:dyDescent="0.3">
      <c r="F1659" s="193"/>
    </row>
    <row r="1660" spans="6:6" x14ac:dyDescent="0.3">
      <c r="F1660" s="193"/>
    </row>
    <row r="1661" spans="6:6" x14ac:dyDescent="0.3">
      <c r="F1661" s="193"/>
    </row>
    <row r="1662" spans="6:6" x14ac:dyDescent="0.3">
      <c r="F1662" s="193"/>
    </row>
    <row r="1663" spans="6:6" x14ac:dyDescent="0.3">
      <c r="F1663" s="193"/>
    </row>
    <row r="1664" spans="6:6" x14ac:dyDescent="0.3">
      <c r="F1664" s="193"/>
    </row>
    <row r="1665" spans="6:6" x14ac:dyDescent="0.3">
      <c r="F1665" s="193"/>
    </row>
    <row r="1666" spans="6:6" x14ac:dyDescent="0.3">
      <c r="F1666" s="193"/>
    </row>
    <row r="1667" spans="6:6" x14ac:dyDescent="0.3">
      <c r="F1667" s="193"/>
    </row>
    <row r="1668" spans="6:6" x14ac:dyDescent="0.3">
      <c r="F1668" s="193"/>
    </row>
    <row r="1669" spans="6:6" x14ac:dyDescent="0.3">
      <c r="F1669" s="193"/>
    </row>
    <row r="1670" spans="6:6" x14ac:dyDescent="0.3">
      <c r="F1670" s="193"/>
    </row>
    <row r="1671" spans="6:6" x14ac:dyDescent="0.3">
      <c r="F1671" s="193"/>
    </row>
    <row r="1672" spans="6:6" x14ac:dyDescent="0.3">
      <c r="F1672" s="193"/>
    </row>
    <row r="1673" spans="6:6" x14ac:dyDescent="0.3">
      <c r="F1673" s="193"/>
    </row>
    <row r="1674" spans="6:6" x14ac:dyDescent="0.3">
      <c r="F1674" s="193"/>
    </row>
    <row r="1675" spans="6:6" x14ac:dyDescent="0.3">
      <c r="F1675" s="193"/>
    </row>
    <row r="1676" spans="6:6" x14ac:dyDescent="0.3">
      <c r="F1676" s="193"/>
    </row>
    <row r="1677" spans="6:6" x14ac:dyDescent="0.3">
      <c r="F1677" s="193"/>
    </row>
    <row r="1678" spans="6:6" x14ac:dyDescent="0.3">
      <c r="F1678" s="193"/>
    </row>
    <row r="1679" spans="6:6" x14ac:dyDescent="0.3">
      <c r="F1679" s="193"/>
    </row>
    <row r="1680" spans="6:6" x14ac:dyDescent="0.3">
      <c r="F1680" s="193"/>
    </row>
    <row r="1681" spans="6:6" x14ac:dyDescent="0.3">
      <c r="F1681" s="193"/>
    </row>
    <row r="1682" spans="6:6" x14ac:dyDescent="0.3">
      <c r="F1682" s="193"/>
    </row>
    <row r="1683" spans="6:6" x14ac:dyDescent="0.3">
      <c r="F1683" s="193"/>
    </row>
    <row r="1684" spans="6:6" x14ac:dyDescent="0.3">
      <c r="F1684" s="193"/>
    </row>
    <row r="1685" spans="6:6" x14ac:dyDescent="0.3">
      <c r="F1685" s="193"/>
    </row>
    <row r="1686" spans="6:6" x14ac:dyDescent="0.3">
      <c r="F1686" s="193"/>
    </row>
    <row r="1687" spans="6:6" x14ac:dyDescent="0.3">
      <c r="F1687" s="193"/>
    </row>
    <row r="1688" spans="6:6" x14ac:dyDescent="0.3">
      <c r="F1688" s="193"/>
    </row>
    <row r="1689" spans="6:6" x14ac:dyDescent="0.3">
      <c r="F1689" s="193"/>
    </row>
    <row r="1690" spans="6:6" x14ac:dyDescent="0.3">
      <c r="F1690" s="193"/>
    </row>
    <row r="1691" spans="6:6" x14ac:dyDescent="0.3">
      <c r="F1691" s="193"/>
    </row>
    <row r="1692" spans="6:6" x14ac:dyDescent="0.3">
      <c r="F1692" s="193"/>
    </row>
    <row r="1693" spans="6:6" x14ac:dyDescent="0.3">
      <c r="F1693" s="193"/>
    </row>
    <row r="1694" spans="6:6" x14ac:dyDescent="0.3">
      <c r="F1694" s="193"/>
    </row>
    <row r="1695" spans="6:6" x14ac:dyDescent="0.3">
      <c r="F1695" s="193"/>
    </row>
    <row r="1696" spans="6:6" x14ac:dyDescent="0.3">
      <c r="F1696" s="193"/>
    </row>
    <row r="1697" spans="6:6" x14ac:dyDescent="0.3">
      <c r="F1697" s="193"/>
    </row>
    <row r="1698" spans="6:6" x14ac:dyDescent="0.3">
      <c r="F1698" s="193"/>
    </row>
    <row r="1699" spans="6:6" x14ac:dyDescent="0.3">
      <c r="F1699" s="193"/>
    </row>
    <row r="1700" spans="6:6" x14ac:dyDescent="0.3">
      <c r="F1700" s="193"/>
    </row>
    <row r="1701" spans="6:6" x14ac:dyDescent="0.3">
      <c r="F1701" s="193"/>
    </row>
    <row r="1702" spans="6:6" x14ac:dyDescent="0.3">
      <c r="F1702" s="193"/>
    </row>
    <row r="1703" spans="6:6" x14ac:dyDescent="0.3">
      <c r="F1703" s="193"/>
    </row>
    <row r="1704" spans="6:6" x14ac:dyDescent="0.3">
      <c r="F1704" s="193"/>
    </row>
    <row r="1705" spans="6:6" x14ac:dyDescent="0.3">
      <c r="F1705" s="193"/>
    </row>
    <row r="1706" spans="6:6" x14ac:dyDescent="0.3">
      <c r="F1706" s="193"/>
    </row>
    <row r="1707" spans="6:6" x14ac:dyDescent="0.3">
      <c r="F1707" s="193"/>
    </row>
    <row r="1708" spans="6:6" x14ac:dyDescent="0.3">
      <c r="F1708" s="193"/>
    </row>
    <row r="1709" spans="6:6" x14ac:dyDescent="0.3">
      <c r="F1709" s="193"/>
    </row>
    <row r="1710" spans="6:6" x14ac:dyDescent="0.3">
      <c r="F1710" s="193"/>
    </row>
    <row r="1711" spans="6:6" x14ac:dyDescent="0.3">
      <c r="F1711" s="193"/>
    </row>
    <row r="1712" spans="6:6" x14ac:dyDescent="0.3">
      <c r="F1712" s="193"/>
    </row>
    <row r="1713" spans="6:6" x14ac:dyDescent="0.3">
      <c r="F1713" s="193"/>
    </row>
    <row r="1714" spans="6:6" x14ac:dyDescent="0.3">
      <c r="F1714" s="193"/>
    </row>
    <row r="1715" spans="6:6" x14ac:dyDescent="0.3">
      <c r="F1715" s="193"/>
    </row>
    <row r="1716" spans="6:6" x14ac:dyDescent="0.3">
      <c r="F1716" s="193"/>
    </row>
    <row r="1717" spans="6:6" x14ac:dyDescent="0.3">
      <c r="F1717" s="193"/>
    </row>
    <row r="1718" spans="6:6" x14ac:dyDescent="0.3">
      <c r="F1718" s="193"/>
    </row>
    <row r="1719" spans="6:6" x14ac:dyDescent="0.3">
      <c r="F1719" s="193"/>
    </row>
    <row r="1720" spans="6:6" x14ac:dyDescent="0.3">
      <c r="F1720" s="193"/>
    </row>
    <row r="1721" spans="6:6" x14ac:dyDescent="0.3">
      <c r="F1721" s="193"/>
    </row>
    <row r="1722" spans="6:6" x14ac:dyDescent="0.3">
      <c r="F1722" s="193"/>
    </row>
    <row r="1723" spans="6:6" x14ac:dyDescent="0.3">
      <c r="F1723" s="193"/>
    </row>
    <row r="1724" spans="6:6" x14ac:dyDescent="0.3">
      <c r="F1724" s="193"/>
    </row>
    <row r="1725" spans="6:6" x14ac:dyDescent="0.3">
      <c r="F1725" s="193"/>
    </row>
    <row r="1726" spans="6:6" x14ac:dyDescent="0.3">
      <c r="F1726" s="193"/>
    </row>
    <row r="1727" spans="6:6" x14ac:dyDescent="0.3">
      <c r="F1727" s="193"/>
    </row>
    <row r="1728" spans="6:6" x14ac:dyDescent="0.3">
      <c r="F1728" s="193"/>
    </row>
    <row r="1729" spans="6:6" x14ac:dyDescent="0.3">
      <c r="F1729" s="193"/>
    </row>
    <row r="1730" spans="6:6" x14ac:dyDescent="0.3">
      <c r="F1730" s="193"/>
    </row>
    <row r="1731" spans="6:6" x14ac:dyDescent="0.3">
      <c r="F1731" s="193"/>
    </row>
    <row r="1732" spans="6:6" x14ac:dyDescent="0.3">
      <c r="F1732" s="193"/>
    </row>
    <row r="1733" spans="6:6" x14ac:dyDescent="0.3">
      <c r="F1733" s="193"/>
    </row>
    <row r="1734" spans="6:6" x14ac:dyDescent="0.3">
      <c r="F1734" s="193"/>
    </row>
    <row r="1735" spans="6:6" x14ac:dyDescent="0.3">
      <c r="F1735" s="193"/>
    </row>
    <row r="1736" spans="6:6" x14ac:dyDescent="0.3">
      <c r="F1736" s="193"/>
    </row>
    <row r="1737" spans="6:6" x14ac:dyDescent="0.3">
      <c r="F1737" s="193"/>
    </row>
    <row r="1738" spans="6:6" x14ac:dyDescent="0.3">
      <c r="F1738" s="193"/>
    </row>
    <row r="1739" spans="6:6" x14ac:dyDescent="0.3">
      <c r="F1739" s="193"/>
    </row>
    <row r="1740" spans="6:6" x14ac:dyDescent="0.3">
      <c r="F1740" s="193"/>
    </row>
    <row r="1741" spans="6:6" x14ac:dyDescent="0.3">
      <c r="F1741" s="193"/>
    </row>
    <row r="1742" spans="6:6" x14ac:dyDescent="0.3">
      <c r="F1742" s="193"/>
    </row>
    <row r="1743" spans="6:6" x14ac:dyDescent="0.3">
      <c r="F1743" s="193"/>
    </row>
    <row r="1744" spans="6:6" x14ac:dyDescent="0.3">
      <c r="F1744" s="193"/>
    </row>
    <row r="1745" spans="6:6" x14ac:dyDescent="0.3">
      <c r="F1745" s="193"/>
    </row>
    <row r="1746" spans="6:6" x14ac:dyDescent="0.3">
      <c r="F1746" s="193"/>
    </row>
    <row r="1747" spans="6:6" x14ac:dyDescent="0.3">
      <c r="F1747" s="193"/>
    </row>
    <row r="1748" spans="6:6" x14ac:dyDescent="0.3">
      <c r="F1748" s="193"/>
    </row>
    <row r="1749" spans="6:6" x14ac:dyDescent="0.3">
      <c r="F1749" s="193"/>
    </row>
    <row r="1750" spans="6:6" x14ac:dyDescent="0.3">
      <c r="F1750" s="193"/>
    </row>
    <row r="1751" spans="6:6" x14ac:dyDescent="0.3">
      <c r="F1751" s="193"/>
    </row>
    <row r="1752" spans="6:6" x14ac:dyDescent="0.3">
      <c r="F1752" s="193"/>
    </row>
    <row r="1753" spans="6:6" x14ac:dyDescent="0.3">
      <c r="F1753" s="193"/>
    </row>
    <row r="1754" spans="6:6" x14ac:dyDescent="0.3">
      <c r="F1754" s="193"/>
    </row>
    <row r="1755" spans="6:6" x14ac:dyDescent="0.3">
      <c r="F1755" s="193"/>
    </row>
    <row r="1756" spans="6:6" x14ac:dyDescent="0.3">
      <c r="F1756" s="193"/>
    </row>
    <row r="1757" spans="6:6" x14ac:dyDescent="0.3">
      <c r="F1757" s="193"/>
    </row>
    <row r="1758" spans="6:6" x14ac:dyDescent="0.3">
      <c r="F1758" s="193"/>
    </row>
    <row r="1759" spans="6:6" x14ac:dyDescent="0.3">
      <c r="F1759" s="193"/>
    </row>
    <row r="1760" spans="6:6" x14ac:dyDescent="0.3">
      <c r="F1760" s="193"/>
    </row>
    <row r="1761" spans="6:6" x14ac:dyDescent="0.3">
      <c r="F1761" s="193"/>
    </row>
    <row r="1762" spans="6:6" x14ac:dyDescent="0.3">
      <c r="F1762" s="193"/>
    </row>
    <row r="1763" spans="6:6" x14ac:dyDescent="0.3">
      <c r="F1763" s="193"/>
    </row>
    <row r="1764" spans="6:6" x14ac:dyDescent="0.3">
      <c r="F1764" s="193"/>
    </row>
    <row r="1765" spans="6:6" x14ac:dyDescent="0.3">
      <c r="F1765" s="193"/>
    </row>
    <row r="1766" spans="6:6" x14ac:dyDescent="0.3">
      <c r="F1766" s="193"/>
    </row>
    <row r="1767" spans="6:6" x14ac:dyDescent="0.3">
      <c r="F1767" s="193"/>
    </row>
    <row r="1768" spans="6:6" x14ac:dyDescent="0.3">
      <c r="F1768" s="193"/>
    </row>
    <row r="1769" spans="6:6" x14ac:dyDescent="0.3">
      <c r="F1769" s="193"/>
    </row>
    <row r="1770" spans="6:6" x14ac:dyDescent="0.3">
      <c r="F1770" s="193"/>
    </row>
    <row r="1771" spans="6:6" x14ac:dyDescent="0.3">
      <c r="F1771" s="193"/>
    </row>
    <row r="1772" spans="6:6" x14ac:dyDescent="0.3">
      <c r="F1772" s="193"/>
    </row>
    <row r="1773" spans="6:6" x14ac:dyDescent="0.3">
      <c r="F1773" s="193"/>
    </row>
    <row r="1774" spans="6:6" x14ac:dyDescent="0.3">
      <c r="F1774" s="193"/>
    </row>
    <row r="1775" spans="6:6" x14ac:dyDescent="0.3">
      <c r="F1775" s="193"/>
    </row>
    <row r="1776" spans="6:6" x14ac:dyDescent="0.3">
      <c r="F1776" s="193"/>
    </row>
    <row r="1777" spans="6:6" x14ac:dyDescent="0.3">
      <c r="F1777" s="193"/>
    </row>
    <row r="1778" spans="6:6" x14ac:dyDescent="0.3">
      <c r="F1778" s="193"/>
    </row>
    <row r="1779" spans="6:6" x14ac:dyDescent="0.3">
      <c r="F1779" s="193"/>
    </row>
    <row r="1780" spans="6:6" x14ac:dyDescent="0.3">
      <c r="F1780" s="193"/>
    </row>
    <row r="1781" spans="6:6" x14ac:dyDescent="0.3">
      <c r="F1781" s="193"/>
    </row>
    <row r="1782" spans="6:6" x14ac:dyDescent="0.3">
      <c r="F1782" s="193"/>
    </row>
    <row r="1783" spans="6:6" x14ac:dyDescent="0.3">
      <c r="F1783" s="193"/>
    </row>
    <row r="1784" spans="6:6" x14ac:dyDescent="0.3">
      <c r="F1784" s="193"/>
    </row>
    <row r="1785" spans="6:6" x14ac:dyDescent="0.3">
      <c r="F1785" s="193"/>
    </row>
    <row r="1786" spans="6:6" x14ac:dyDescent="0.3">
      <c r="F1786" s="193"/>
    </row>
    <row r="1787" spans="6:6" x14ac:dyDescent="0.3">
      <c r="F1787" s="193"/>
    </row>
    <row r="1788" spans="6:6" x14ac:dyDescent="0.3">
      <c r="F1788" s="193"/>
    </row>
    <row r="1789" spans="6:6" x14ac:dyDescent="0.3">
      <c r="F1789" s="193"/>
    </row>
    <row r="1790" spans="6:6" x14ac:dyDescent="0.3">
      <c r="F1790" s="193"/>
    </row>
    <row r="1791" spans="6:6" x14ac:dyDescent="0.3">
      <c r="F1791" s="193"/>
    </row>
    <row r="1792" spans="6:6" x14ac:dyDescent="0.3">
      <c r="F1792" s="193"/>
    </row>
    <row r="1793" spans="6:6" x14ac:dyDescent="0.3">
      <c r="F1793" s="193"/>
    </row>
    <row r="1794" spans="6:6" x14ac:dyDescent="0.3">
      <c r="F1794" s="193"/>
    </row>
    <row r="1795" spans="6:6" x14ac:dyDescent="0.3">
      <c r="F1795" s="193"/>
    </row>
    <row r="1796" spans="6:6" x14ac:dyDescent="0.3">
      <c r="F1796" s="193"/>
    </row>
    <row r="1797" spans="6:6" x14ac:dyDescent="0.3">
      <c r="F1797" s="193"/>
    </row>
    <row r="1798" spans="6:6" x14ac:dyDescent="0.3">
      <c r="F1798" s="193"/>
    </row>
    <row r="1799" spans="6:6" x14ac:dyDescent="0.3">
      <c r="F1799" s="193"/>
    </row>
    <row r="1800" spans="6:6" x14ac:dyDescent="0.3">
      <c r="F1800" s="193"/>
    </row>
    <row r="1801" spans="6:6" x14ac:dyDescent="0.3">
      <c r="F1801" s="193"/>
    </row>
    <row r="1802" spans="6:6" x14ac:dyDescent="0.3">
      <c r="F1802" s="193"/>
    </row>
    <row r="1803" spans="6:6" x14ac:dyDescent="0.3">
      <c r="F1803" s="193"/>
    </row>
    <row r="1804" spans="6:6" x14ac:dyDescent="0.3">
      <c r="F1804" s="193"/>
    </row>
    <row r="1805" spans="6:6" x14ac:dyDescent="0.3">
      <c r="F1805" s="193"/>
    </row>
    <row r="1806" spans="6:6" x14ac:dyDescent="0.3">
      <c r="F1806" s="193"/>
    </row>
    <row r="1807" spans="6:6" x14ac:dyDescent="0.3">
      <c r="F1807" s="193"/>
    </row>
    <row r="1808" spans="6:6" x14ac:dyDescent="0.3">
      <c r="F1808" s="193"/>
    </row>
    <row r="1809" spans="6:6" x14ac:dyDescent="0.3">
      <c r="F1809" s="193"/>
    </row>
    <row r="1810" spans="6:6" x14ac:dyDescent="0.3">
      <c r="F1810" s="193"/>
    </row>
    <row r="1811" spans="6:6" x14ac:dyDescent="0.3">
      <c r="F1811" s="193"/>
    </row>
    <row r="1812" spans="6:6" x14ac:dyDescent="0.3">
      <c r="F1812" s="193"/>
    </row>
    <row r="1813" spans="6:6" x14ac:dyDescent="0.3">
      <c r="F1813" s="193"/>
    </row>
    <row r="1814" spans="6:6" x14ac:dyDescent="0.3">
      <c r="F1814" s="193"/>
    </row>
    <row r="1815" spans="6:6" x14ac:dyDescent="0.3">
      <c r="F1815" s="193"/>
    </row>
    <row r="1816" spans="6:6" x14ac:dyDescent="0.3">
      <c r="F1816" s="193"/>
    </row>
    <row r="1817" spans="6:6" x14ac:dyDescent="0.3">
      <c r="F1817" s="193"/>
    </row>
    <row r="1818" spans="6:6" x14ac:dyDescent="0.3">
      <c r="F1818" s="193"/>
    </row>
    <row r="1819" spans="6:6" x14ac:dyDescent="0.3">
      <c r="F1819" s="193"/>
    </row>
    <row r="1820" spans="6:6" x14ac:dyDescent="0.3">
      <c r="F1820" s="193"/>
    </row>
    <row r="1821" spans="6:6" x14ac:dyDescent="0.3">
      <c r="F1821" s="193"/>
    </row>
    <row r="1822" spans="6:6" x14ac:dyDescent="0.3">
      <c r="F1822" s="193"/>
    </row>
    <row r="1823" spans="6:6" x14ac:dyDescent="0.3">
      <c r="F1823" s="193"/>
    </row>
    <row r="1824" spans="6:6" x14ac:dyDescent="0.3">
      <c r="F1824" s="193"/>
    </row>
    <row r="1825" spans="6:6" x14ac:dyDescent="0.3">
      <c r="F1825" s="193"/>
    </row>
    <row r="1826" spans="6:6" x14ac:dyDescent="0.3">
      <c r="F1826" s="193"/>
    </row>
    <row r="1827" spans="6:6" x14ac:dyDescent="0.3">
      <c r="F1827" s="193"/>
    </row>
    <row r="1828" spans="6:6" x14ac:dyDescent="0.3">
      <c r="F1828" s="193"/>
    </row>
    <row r="1829" spans="6:6" x14ac:dyDescent="0.3">
      <c r="F1829" s="193"/>
    </row>
    <row r="1830" spans="6:6" x14ac:dyDescent="0.3">
      <c r="F1830" s="193"/>
    </row>
    <row r="1831" spans="6:6" x14ac:dyDescent="0.3">
      <c r="F1831" s="193"/>
    </row>
    <row r="1832" spans="6:6" x14ac:dyDescent="0.3">
      <c r="F1832" s="193"/>
    </row>
    <row r="1833" spans="6:6" x14ac:dyDescent="0.3">
      <c r="F1833" s="193"/>
    </row>
    <row r="1834" spans="6:6" x14ac:dyDescent="0.3">
      <c r="F1834" s="193"/>
    </row>
    <row r="1835" spans="6:6" x14ac:dyDescent="0.3">
      <c r="F1835" s="193"/>
    </row>
    <row r="1836" spans="6:6" x14ac:dyDescent="0.3">
      <c r="F1836" s="193"/>
    </row>
    <row r="1837" spans="6:6" x14ac:dyDescent="0.3">
      <c r="F1837" s="193"/>
    </row>
    <row r="1838" spans="6:6" x14ac:dyDescent="0.3">
      <c r="F1838" s="193"/>
    </row>
    <row r="1839" spans="6:6" x14ac:dyDescent="0.3">
      <c r="F1839" s="193"/>
    </row>
    <row r="1840" spans="6:6" x14ac:dyDescent="0.3">
      <c r="F1840" s="193"/>
    </row>
    <row r="1841" spans="6:6" x14ac:dyDescent="0.3">
      <c r="F1841" s="193"/>
    </row>
    <row r="1842" spans="6:6" x14ac:dyDescent="0.3">
      <c r="F1842" s="193"/>
    </row>
    <row r="1843" spans="6:6" x14ac:dyDescent="0.3">
      <c r="F1843" s="193"/>
    </row>
    <row r="1844" spans="6:6" x14ac:dyDescent="0.3">
      <c r="F1844" s="193"/>
    </row>
    <row r="1845" spans="6:6" x14ac:dyDescent="0.3">
      <c r="F1845" s="193"/>
    </row>
    <row r="1846" spans="6:6" x14ac:dyDescent="0.3">
      <c r="F1846" s="193"/>
    </row>
    <row r="1847" spans="6:6" x14ac:dyDescent="0.3">
      <c r="F1847" s="193"/>
    </row>
    <row r="1848" spans="6:6" x14ac:dyDescent="0.3">
      <c r="F1848" s="193"/>
    </row>
    <row r="1849" spans="6:6" x14ac:dyDescent="0.3">
      <c r="F1849" s="193"/>
    </row>
    <row r="1850" spans="6:6" x14ac:dyDescent="0.3">
      <c r="F1850" s="193"/>
    </row>
    <row r="1851" spans="6:6" x14ac:dyDescent="0.3">
      <c r="F1851" s="193"/>
    </row>
    <row r="1852" spans="6:6" x14ac:dyDescent="0.3">
      <c r="F1852" s="193"/>
    </row>
    <row r="1853" spans="6:6" x14ac:dyDescent="0.3">
      <c r="F1853" s="193"/>
    </row>
    <row r="1854" spans="6:6" x14ac:dyDescent="0.3">
      <c r="F1854" s="193"/>
    </row>
    <row r="1855" spans="6:6" x14ac:dyDescent="0.3">
      <c r="F1855" s="193"/>
    </row>
    <row r="1856" spans="6:6" x14ac:dyDescent="0.3">
      <c r="F1856" s="193"/>
    </row>
    <row r="1857" spans="6:6" x14ac:dyDescent="0.3">
      <c r="F1857" s="193"/>
    </row>
    <row r="1858" spans="6:6" x14ac:dyDescent="0.3">
      <c r="F1858" s="193"/>
    </row>
    <row r="1859" spans="6:6" x14ac:dyDescent="0.3">
      <c r="F1859" s="193"/>
    </row>
    <row r="1860" spans="6:6" x14ac:dyDescent="0.3">
      <c r="F1860" s="193"/>
    </row>
    <row r="1861" spans="6:6" x14ac:dyDescent="0.3">
      <c r="F1861" s="193"/>
    </row>
    <row r="1862" spans="6:6" x14ac:dyDescent="0.3">
      <c r="F1862" s="193"/>
    </row>
    <row r="1863" spans="6:6" x14ac:dyDescent="0.3">
      <c r="F1863" s="193"/>
    </row>
    <row r="1864" spans="6:6" x14ac:dyDescent="0.3">
      <c r="F1864" s="193"/>
    </row>
    <row r="1865" spans="6:6" x14ac:dyDescent="0.3">
      <c r="F1865" s="193"/>
    </row>
    <row r="1866" spans="6:6" x14ac:dyDescent="0.3">
      <c r="F1866" s="193"/>
    </row>
    <row r="1867" spans="6:6" x14ac:dyDescent="0.3">
      <c r="F1867" s="193"/>
    </row>
    <row r="1868" spans="6:6" x14ac:dyDescent="0.3">
      <c r="F1868" s="193"/>
    </row>
    <row r="1869" spans="6:6" x14ac:dyDescent="0.3">
      <c r="F1869" s="193"/>
    </row>
    <row r="1870" spans="6:6" x14ac:dyDescent="0.3">
      <c r="F1870" s="193"/>
    </row>
    <row r="1871" spans="6:6" x14ac:dyDescent="0.3">
      <c r="F1871" s="193"/>
    </row>
    <row r="1872" spans="6:6" x14ac:dyDescent="0.3">
      <c r="F1872" s="193"/>
    </row>
    <row r="1873" spans="6:6" x14ac:dyDescent="0.3">
      <c r="F1873" s="193"/>
    </row>
    <row r="1874" spans="6:6" x14ac:dyDescent="0.3">
      <c r="F1874" s="193"/>
    </row>
    <row r="1875" spans="6:6" x14ac:dyDescent="0.3">
      <c r="F1875" s="193"/>
    </row>
    <row r="1876" spans="6:6" x14ac:dyDescent="0.3">
      <c r="F1876" s="193"/>
    </row>
    <row r="1877" spans="6:6" x14ac:dyDescent="0.3">
      <c r="F1877" s="193"/>
    </row>
    <row r="1878" spans="6:6" x14ac:dyDescent="0.3">
      <c r="F1878" s="193"/>
    </row>
    <row r="1879" spans="6:6" x14ac:dyDescent="0.3">
      <c r="F1879" s="193"/>
    </row>
    <row r="1880" spans="6:6" x14ac:dyDescent="0.3">
      <c r="F1880" s="193"/>
    </row>
    <row r="1881" spans="6:6" x14ac:dyDescent="0.3">
      <c r="F1881" s="193"/>
    </row>
    <row r="1882" spans="6:6" x14ac:dyDescent="0.3">
      <c r="F1882" s="193"/>
    </row>
    <row r="1883" spans="6:6" x14ac:dyDescent="0.3">
      <c r="F1883" s="193"/>
    </row>
    <row r="1884" spans="6:6" x14ac:dyDescent="0.3">
      <c r="F1884" s="193"/>
    </row>
    <row r="1885" spans="6:6" x14ac:dyDescent="0.3">
      <c r="F1885" s="193"/>
    </row>
    <row r="1886" spans="6:6" x14ac:dyDescent="0.3">
      <c r="F1886" s="193"/>
    </row>
    <row r="1887" spans="6:6" x14ac:dyDescent="0.3">
      <c r="F1887" s="193"/>
    </row>
    <row r="1888" spans="6:6" x14ac:dyDescent="0.3">
      <c r="F1888" s="193"/>
    </row>
    <row r="1889" spans="6:6" x14ac:dyDescent="0.3">
      <c r="F1889" s="193"/>
    </row>
    <row r="1890" spans="6:6" x14ac:dyDescent="0.3">
      <c r="F1890" s="193"/>
    </row>
    <row r="1891" spans="6:6" x14ac:dyDescent="0.3">
      <c r="F1891" s="193"/>
    </row>
    <row r="1892" spans="6:6" x14ac:dyDescent="0.3">
      <c r="F1892" s="193"/>
    </row>
    <row r="1893" spans="6:6" x14ac:dyDescent="0.3">
      <c r="F1893" s="193"/>
    </row>
    <row r="1894" spans="6:6" x14ac:dyDescent="0.3">
      <c r="F1894" s="193"/>
    </row>
    <row r="1895" spans="6:6" x14ac:dyDescent="0.3">
      <c r="F1895" s="193"/>
    </row>
    <row r="1896" spans="6:6" x14ac:dyDescent="0.3">
      <c r="F1896" s="193"/>
    </row>
    <row r="1897" spans="6:6" x14ac:dyDescent="0.3">
      <c r="F1897" s="193"/>
    </row>
    <row r="1898" spans="6:6" x14ac:dyDescent="0.3">
      <c r="F1898" s="193"/>
    </row>
    <row r="1899" spans="6:6" x14ac:dyDescent="0.3">
      <c r="F1899" s="193"/>
    </row>
    <row r="1900" spans="6:6" x14ac:dyDescent="0.3">
      <c r="F1900" s="193"/>
    </row>
    <row r="1901" spans="6:6" x14ac:dyDescent="0.3">
      <c r="F1901" s="193"/>
    </row>
    <row r="1902" spans="6:6" x14ac:dyDescent="0.3">
      <c r="F1902" s="193"/>
    </row>
    <row r="1903" spans="6:6" x14ac:dyDescent="0.3">
      <c r="F1903" s="193"/>
    </row>
    <row r="1904" spans="6:6" x14ac:dyDescent="0.3">
      <c r="F1904" s="193"/>
    </row>
    <row r="1905" spans="6:6" x14ac:dyDescent="0.3">
      <c r="F1905" s="193"/>
    </row>
    <row r="1906" spans="6:6" x14ac:dyDescent="0.3">
      <c r="F1906" s="193"/>
    </row>
    <row r="1907" spans="6:6" x14ac:dyDescent="0.3">
      <c r="F1907" s="193"/>
    </row>
    <row r="1908" spans="6:6" x14ac:dyDescent="0.3">
      <c r="F1908" s="193"/>
    </row>
    <row r="1909" spans="6:6" x14ac:dyDescent="0.3">
      <c r="F1909" s="193"/>
    </row>
    <row r="1910" spans="6:6" x14ac:dyDescent="0.3">
      <c r="F1910" s="193"/>
    </row>
    <row r="1911" spans="6:6" x14ac:dyDescent="0.3">
      <c r="F1911" s="193"/>
    </row>
    <row r="1912" spans="6:6" x14ac:dyDescent="0.3">
      <c r="F1912" s="193"/>
    </row>
    <row r="1913" spans="6:6" x14ac:dyDescent="0.3">
      <c r="F1913" s="193"/>
    </row>
    <row r="1914" spans="6:6" x14ac:dyDescent="0.3">
      <c r="F1914" s="193"/>
    </row>
    <row r="1915" spans="6:6" x14ac:dyDescent="0.3">
      <c r="F1915" s="193"/>
    </row>
    <row r="1916" spans="6:6" x14ac:dyDescent="0.3">
      <c r="F1916" s="193"/>
    </row>
    <row r="1917" spans="6:6" x14ac:dyDescent="0.3">
      <c r="F1917" s="193"/>
    </row>
    <row r="1918" spans="6:6" x14ac:dyDescent="0.3">
      <c r="F1918" s="193"/>
    </row>
    <row r="1919" spans="6:6" x14ac:dyDescent="0.3">
      <c r="F1919" s="193"/>
    </row>
    <row r="1920" spans="6:6" x14ac:dyDescent="0.3">
      <c r="F1920" s="193"/>
    </row>
    <row r="1921" spans="6:6" x14ac:dyDescent="0.3">
      <c r="F1921" s="193"/>
    </row>
    <row r="1922" spans="6:6" x14ac:dyDescent="0.3">
      <c r="F1922" s="193"/>
    </row>
    <row r="1923" spans="6:6" x14ac:dyDescent="0.3">
      <c r="F1923" s="193"/>
    </row>
    <row r="1924" spans="6:6" x14ac:dyDescent="0.3">
      <c r="F1924" s="193"/>
    </row>
    <row r="1925" spans="6:6" x14ac:dyDescent="0.3">
      <c r="F1925" s="193"/>
    </row>
    <row r="1926" spans="6:6" x14ac:dyDescent="0.3">
      <c r="F1926" s="193"/>
    </row>
    <row r="1927" spans="6:6" x14ac:dyDescent="0.3">
      <c r="F1927" s="193"/>
    </row>
    <row r="1928" spans="6:6" x14ac:dyDescent="0.3">
      <c r="F1928" s="193"/>
    </row>
    <row r="1929" spans="6:6" x14ac:dyDescent="0.3">
      <c r="F1929" s="193"/>
    </row>
    <row r="1930" spans="6:6" x14ac:dyDescent="0.3">
      <c r="F1930" s="193"/>
    </row>
    <row r="1931" spans="6:6" x14ac:dyDescent="0.3">
      <c r="F1931" s="193"/>
    </row>
    <row r="1932" spans="6:6" x14ac:dyDescent="0.3">
      <c r="F1932" s="193"/>
    </row>
    <row r="1933" spans="6:6" x14ac:dyDescent="0.3">
      <c r="F1933" s="193"/>
    </row>
    <row r="1934" spans="6:6" x14ac:dyDescent="0.3">
      <c r="F1934" s="193"/>
    </row>
    <row r="1935" spans="6:6" x14ac:dyDescent="0.3">
      <c r="F1935" s="193"/>
    </row>
    <row r="1936" spans="6:6" x14ac:dyDescent="0.3">
      <c r="F1936" s="193"/>
    </row>
    <row r="1937" spans="6:6" x14ac:dyDescent="0.3">
      <c r="F1937" s="193"/>
    </row>
    <row r="1938" spans="6:6" x14ac:dyDescent="0.3">
      <c r="F1938" s="193"/>
    </row>
    <row r="1939" spans="6:6" x14ac:dyDescent="0.3">
      <c r="F1939" s="193"/>
    </row>
    <row r="1940" spans="6:6" x14ac:dyDescent="0.3">
      <c r="F1940" s="193"/>
    </row>
    <row r="1941" spans="6:6" x14ac:dyDescent="0.3">
      <c r="F1941" s="193"/>
    </row>
    <row r="1942" spans="6:6" x14ac:dyDescent="0.3">
      <c r="F1942" s="193"/>
    </row>
    <row r="1943" spans="6:6" x14ac:dyDescent="0.3">
      <c r="F1943" s="193"/>
    </row>
    <row r="1944" spans="6:6" x14ac:dyDescent="0.3">
      <c r="F1944" s="193"/>
    </row>
    <row r="1945" spans="6:6" x14ac:dyDescent="0.3">
      <c r="F1945" s="193"/>
    </row>
    <row r="1946" spans="6:6" x14ac:dyDescent="0.3">
      <c r="F1946" s="193"/>
    </row>
    <row r="1947" spans="6:6" x14ac:dyDescent="0.3">
      <c r="F1947" s="193"/>
    </row>
    <row r="1948" spans="6:6" x14ac:dyDescent="0.3">
      <c r="F1948" s="193"/>
    </row>
    <row r="1949" spans="6:6" x14ac:dyDescent="0.3">
      <c r="F1949" s="193"/>
    </row>
    <row r="1950" spans="6:6" x14ac:dyDescent="0.3">
      <c r="F1950" s="193"/>
    </row>
    <row r="1951" spans="6:6" x14ac:dyDescent="0.3">
      <c r="F1951" s="193"/>
    </row>
    <row r="1952" spans="6:6" x14ac:dyDescent="0.3">
      <c r="F1952" s="193"/>
    </row>
    <row r="1953" spans="6:6" x14ac:dyDescent="0.3">
      <c r="F1953" s="193"/>
    </row>
    <row r="1954" spans="6:6" x14ac:dyDescent="0.3">
      <c r="F1954" s="193"/>
    </row>
    <row r="1955" spans="6:6" x14ac:dyDescent="0.3">
      <c r="F1955" s="193"/>
    </row>
    <row r="1956" spans="6:6" x14ac:dyDescent="0.3">
      <c r="F1956" s="193"/>
    </row>
    <row r="1957" spans="6:6" x14ac:dyDescent="0.3">
      <c r="F1957" s="193"/>
    </row>
    <row r="1958" spans="6:6" x14ac:dyDescent="0.3">
      <c r="F1958" s="193"/>
    </row>
    <row r="1959" spans="6:6" x14ac:dyDescent="0.3">
      <c r="F1959" s="193"/>
    </row>
    <row r="1960" spans="6:6" x14ac:dyDescent="0.3">
      <c r="F1960" s="193"/>
    </row>
    <row r="1961" spans="6:6" x14ac:dyDescent="0.3">
      <c r="F1961" s="193"/>
    </row>
    <row r="1962" spans="6:6" x14ac:dyDescent="0.3">
      <c r="F1962" s="193"/>
    </row>
    <row r="1963" spans="6:6" x14ac:dyDescent="0.3">
      <c r="F1963" s="193"/>
    </row>
    <row r="1964" spans="6:6" x14ac:dyDescent="0.3">
      <c r="F1964" s="193"/>
    </row>
    <row r="1965" spans="6:6" x14ac:dyDescent="0.3">
      <c r="F1965" s="193"/>
    </row>
    <row r="1966" spans="6:6" x14ac:dyDescent="0.3">
      <c r="F1966" s="193"/>
    </row>
    <row r="1967" spans="6:6" x14ac:dyDescent="0.3">
      <c r="F1967" s="193"/>
    </row>
    <row r="1968" spans="6:6" x14ac:dyDescent="0.3">
      <c r="F1968" s="193"/>
    </row>
    <row r="1969" spans="6:6" x14ac:dyDescent="0.3">
      <c r="F1969" s="193"/>
    </row>
    <row r="1970" spans="6:6" x14ac:dyDescent="0.3">
      <c r="F1970" s="193"/>
    </row>
    <row r="1971" spans="6:6" x14ac:dyDescent="0.3">
      <c r="F1971" s="193"/>
    </row>
    <row r="1972" spans="6:6" x14ac:dyDescent="0.3">
      <c r="F1972" s="193"/>
    </row>
    <row r="1973" spans="6:6" x14ac:dyDescent="0.3">
      <c r="F1973" s="193"/>
    </row>
    <row r="1974" spans="6:6" x14ac:dyDescent="0.3">
      <c r="F1974" s="193"/>
    </row>
    <row r="1975" spans="6:6" x14ac:dyDescent="0.3">
      <c r="F1975" s="193"/>
    </row>
    <row r="1976" spans="6:6" x14ac:dyDescent="0.3">
      <c r="F1976" s="193"/>
    </row>
    <row r="1977" spans="6:6" x14ac:dyDescent="0.3">
      <c r="F1977" s="193"/>
    </row>
    <row r="1978" spans="6:6" x14ac:dyDescent="0.3">
      <c r="F1978" s="193"/>
    </row>
    <row r="1979" spans="6:6" x14ac:dyDescent="0.3">
      <c r="F1979" s="193"/>
    </row>
    <row r="1980" spans="6:6" x14ac:dyDescent="0.3">
      <c r="F1980" s="193"/>
    </row>
    <row r="1981" spans="6:6" x14ac:dyDescent="0.3">
      <c r="F1981" s="193"/>
    </row>
    <row r="1982" spans="6:6" x14ac:dyDescent="0.3">
      <c r="F1982" s="193"/>
    </row>
    <row r="1983" spans="6:6" x14ac:dyDescent="0.3">
      <c r="F1983" s="193"/>
    </row>
    <row r="1984" spans="6:6" x14ac:dyDescent="0.3">
      <c r="F1984" s="193"/>
    </row>
    <row r="1985" spans="6:6" x14ac:dyDescent="0.3">
      <c r="F1985" s="193"/>
    </row>
    <row r="1986" spans="6:6" x14ac:dyDescent="0.3">
      <c r="F1986" s="193"/>
    </row>
    <row r="1987" spans="6:6" x14ac:dyDescent="0.3">
      <c r="F1987" s="193"/>
    </row>
    <row r="1988" spans="6:6" x14ac:dyDescent="0.3">
      <c r="F1988" s="193"/>
    </row>
    <row r="1989" spans="6:6" x14ac:dyDescent="0.3">
      <c r="F1989" s="193"/>
    </row>
    <row r="1990" spans="6:6" x14ac:dyDescent="0.3">
      <c r="F1990" s="193"/>
    </row>
    <row r="1991" spans="6:6" x14ac:dyDescent="0.3">
      <c r="F1991" s="193"/>
    </row>
    <row r="1992" spans="6:6" x14ac:dyDescent="0.3">
      <c r="F1992" s="193"/>
    </row>
    <row r="1993" spans="6:6" x14ac:dyDescent="0.3">
      <c r="F1993" s="193"/>
    </row>
    <row r="1994" spans="6:6" x14ac:dyDescent="0.3">
      <c r="F1994" s="193"/>
    </row>
    <row r="1995" spans="6:6" x14ac:dyDescent="0.3">
      <c r="F1995" s="193"/>
    </row>
    <row r="1996" spans="6:6" x14ac:dyDescent="0.3">
      <c r="F1996" s="193"/>
    </row>
    <row r="1997" spans="6:6" x14ac:dyDescent="0.3">
      <c r="F1997" s="193"/>
    </row>
    <row r="1998" spans="6:6" x14ac:dyDescent="0.3">
      <c r="F1998" s="193"/>
    </row>
    <row r="1999" spans="6:6" x14ac:dyDescent="0.3">
      <c r="F1999" s="193"/>
    </row>
    <row r="2000" spans="6:6" x14ac:dyDescent="0.3">
      <c r="F2000" s="193"/>
    </row>
    <row r="2001" spans="6:6" x14ac:dyDescent="0.3">
      <c r="F2001" s="193"/>
    </row>
    <row r="2002" spans="6:6" x14ac:dyDescent="0.3">
      <c r="F2002" s="193"/>
    </row>
    <row r="2003" spans="6:6" x14ac:dyDescent="0.3">
      <c r="F2003" s="193"/>
    </row>
    <row r="2004" spans="6:6" x14ac:dyDescent="0.3">
      <c r="F2004" s="193"/>
    </row>
    <row r="2005" spans="6:6" x14ac:dyDescent="0.3">
      <c r="F2005" s="193"/>
    </row>
    <row r="2006" spans="6:6" x14ac:dyDescent="0.3">
      <c r="F2006" s="193"/>
    </row>
    <row r="2007" spans="6:6" x14ac:dyDescent="0.3">
      <c r="F2007" s="193"/>
    </row>
    <row r="2008" spans="6:6" x14ac:dyDescent="0.3">
      <c r="F2008" s="193"/>
    </row>
    <row r="2009" spans="6:6" x14ac:dyDescent="0.3">
      <c r="F2009" s="193"/>
    </row>
    <row r="2010" spans="6:6" x14ac:dyDescent="0.3">
      <c r="F2010" s="193"/>
    </row>
    <row r="2011" spans="6:6" x14ac:dyDescent="0.3">
      <c r="F2011" s="193"/>
    </row>
    <row r="2012" spans="6:6" x14ac:dyDescent="0.3">
      <c r="F2012" s="193"/>
    </row>
    <row r="2013" spans="6:6" x14ac:dyDescent="0.3">
      <c r="F2013" s="193"/>
    </row>
    <row r="2014" spans="6:6" x14ac:dyDescent="0.3">
      <c r="F2014" s="193"/>
    </row>
    <row r="2015" spans="6:6" x14ac:dyDescent="0.3">
      <c r="F2015" s="193"/>
    </row>
    <row r="2016" spans="6:6" x14ac:dyDescent="0.3">
      <c r="F2016" s="193"/>
    </row>
    <row r="2017" spans="6:6" x14ac:dyDescent="0.3">
      <c r="F2017" s="193"/>
    </row>
    <row r="2018" spans="6:6" x14ac:dyDescent="0.3">
      <c r="F2018" s="193"/>
    </row>
    <row r="2019" spans="6:6" x14ac:dyDescent="0.3">
      <c r="F2019" s="193"/>
    </row>
    <row r="2020" spans="6:6" x14ac:dyDescent="0.3">
      <c r="F2020" s="193"/>
    </row>
    <row r="2021" spans="6:6" x14ac:dyDescent="0.3">
      <c r="F2021" s="193"/>
    </row>
    <row r="2022" spans="6:6" x14ac:dyDescent="0.3">
      <c r="F2022" s="193"/>
    </row>
    <row r="2023" spans="6:6" x14ac:dyDescent="0.3">
      <c r="F2023" s="193"/>
    </row>
    <row r="2024" spans="6:6" x14ac:dyDescent="0.3">
      <c r="F2024" s="193"/>
    </row>
    <row r="2025" spans="6:6" x14ac:dyDescent="0.3">
      <c r="F2025" s="193"/>
    </row>
    <row r="2026" spans="6:6" x14ac:dyDescent="0.3">
      <c r="F2026" s="193"/>
    </row>
    <row r="2027" spans="6:6" x14ac:dyDescent="0.3">
      <c r="F2027" s="193"/>
    </row>
    <row r="2028" spans="6:6" x14ac:dyDescent="0.3">
      <c r="F2028" s="193"/>
    </row>
    <row r="2029" spans="6:6" x14ac:dyDescent="0.3">
      <c r="F2029" s="193"/>
    </row>
    <row r="2030" spans="6:6" x14ac:dyDescent="0.3">
      <c r="F2030" s="193"/>
    </row>
    <row r="2031" spans="6:6" x14ac:dyDescent="0.3">
      <c r="F2031" s="193"/>
    </row>
    <row r="2032" spans="6:6" x14ac:dyDescent="0.3">
      <c r="F2032" s="193"/>
    </row>
    <row r="2033" spans="6:6" x14ac:dyDescent="0.3">
      <c r="F2033" s="193"/>
    </row>
    <row r="2034" spans="6:6" x14ac:dyDescent="0.3">
      <c r="F2034" s="193"/>
    </row>
    <row r="2035" spans="6:6" x14ac:dyDescent="0.3">
      <c r="F2035" s="193"/>
    </row>
    <row r="2036" spans="6:6" x14ac:dyDescent="0.3">
      <c r="F2036" s="193"/>
    </row>
    <row r="2037" spans="6:6" x14ac:dyDescent="0.3">
      <c r="F2037" s="193"/>
    </row>
    <row r="2038" spans="6:6" x14ac:dyDescent="0.3">
      <c r="F2038" s="193"/>
    </row>
    <row r="2039" spans="6:6" x14ac:dyDescent="0.3">
      <c r="F2039" s="193"/>
    </row>
    <row r="2040" spans="6:6" x14ac:dyDescent="0.3">
      <c r="F2040" s="193"/>
    </row>
    <row r="2041" spans="6:6" x14ac:dyDescent="0.3">
      <c r="F2041" s="193"/>
    </row>
    <row r="2042" spans="6:6" x14ac:dyDescent="0.3">
      <c r="F2042" s="193"/>
    </row>
    <row r="2043" spans="6:6" x14ac:dyDescent="0.3">
      <c r="F2043" s="193"/>
    </row>
    <row r="2044" spans="6:6" x14ac:dyDescent="0.3">
      <c r="F2044" s="193"/>
    </row>
    <row r="2045" spans="6:6" x14ac:dyDescent="0.3">
      <c r="F2045" s="193"/>
    </row>
    <row r="2046" spans="6:6" x14ac:dyDescent="0.3">
      <c r="F2046" s="193"/>
    </row>
    <row r="2047" spans="6:6" x14ac:dyDescent="0.3">
      <c r="F2047" s="193"/>
    </row>
    <row r="2048" spans="6:6" x14ac:dyDescent="0.3">
      <c r="F2048" s="193"/>
    </row>
    <row r="2049" spans="6:6" x14ac:dyDescent="0.3">
      <c r="F2049" s="193"/>
    </row>
    <row r="2050" spans="6:6" x14ac:dyDescent="0.3">
      <c r="F2050" s="193"/>
    </row>
    <row r="2051" spans="6:6" x14ac:dyDescent="0.3">
      <c r="F2051" s="193"/>
    </row>
    <row r="2052" spans="6:6" x14ac:dyDescent="0.3">
      <c r="F2052" s="193"/>
    </row>
    <row r="2053" spans="6:6" x14ac:dyDescent="0.3">
      <c r="F2053" s="193"/>
    </row>
    <row r="2054" spans="6:6" x14ac:dyDescent="0.3">
      <c r="F2054" s="193"/>
    </row>
    <row r="2055" spans="6:6" x14ac:dyDescent="0.3">
      <c r="F2055" s="193"/>
    </row>
    <row r="2056" spans="6:6" x14ac:dyDescent="0.3">
      <c r="F2056" s="193"/>
    </row>
    <row r="2057" spans="6:6" x14ac:dyDescent="0.3">
      <c r="F2057" s="193"/>
    </row>
    <row r="2058" spans="6:6" x14ac:dyDescent="0.3">
      <c r="F2058" s="193"/>
    </row>
    <row r="2059" spans="6:6" x14ac:dyDescent="0.3">
      <c r="F2059" s="193"/>
    </row>
    <row r="2060" spans="6:6" x14ac:dyDescent="0.3">
      <c r="F2060" s="193"/>
    </row>
    <row r="2061" spans="6:6" x14ac:dyDescent="0.3">
      <c r="F2061" s="193"/>
    </row>
    <row r="2062" spans="6:6" x14ac:dyDescent="0.3">
      <c r="F2062" s="193"/>
    </row>
    <row r="2063" spans="6:6" x14ac:dyDescent="0.3">
      <c r="F2063" s="193"/>
    </row>
    <row r="2064" spans="6:6" x14ac:dyDescent="0.3">
      <c r="F2064" s="193"/>
    </row>
    <row r="2065" spans="6:6" x14ac:dyDescent="0.3">
      <c r="F2065" s="193"/>
    </row>
    <row r="2066" spans="6:6" x14ac:dyDescent="0.3">
      <c r="F2066" s="193"/>
    </row>
    <row r="2067" spans="6:6" x14ac:dyDescent="0.3">
      <c r="F2067" s="193"/>
    </row>
    <row r="2068" spans="6:6" x14ac:dyDescent="0.3">
      <c r="F2068" s="193"/>
    </row>
    <row r="2069" spans="6:6" x14ac:dyDescent="0.3">
      <c r="F2069" s="193"/>
    </row>
    <row r="2070" spans="6:6" x14ac:dyDescent="0.3">
      <c r="F2070" s="193"/>
    </row>
    <row r="2071" spans="6:6" x14ac:dyDescent="0.3">
      <c r="F2071" s="193"/>
    </row>
    <row r="2072" spans="6:6" x14ac:dyDescent="0.3">
      <c r="F2072" s="193"/>
    </row>
    <row r="2073" spans="6:6" x14ac:dyDescent="0.3">
      <c r="F2073" s="193"/>
    </row>
    <row r="2074" spans="6:6" x14ac:dyDescent="0.3">
      <c r="F2074" s="193"/>
    </row>
    <row r="2075" spans="6:6" x14ac:dyDescent="0.3">
      <c r="F2075" s="193"/>
    </row>
    <row r="2076" spans="6:6" x14ac:dyDescent="0.3">
      <c r="F2076" s="193"/>
    </row>
    <row r="2077" spans="6:6" x14ac:dyDescent="0.3">
      <c r="F2077" s="193"/>
    </row>
    <row r="2078" spans="6:6" x14ac:dyDescent="0.3">
      <c r="F2078" s="193"/>
    </row>
    <row r="2079" spans="6:6" x14ac:dyDescent="0.3">
      <c r="F2079" s="193"/>
    </row>
    <row r="2080" spans="6:6" x14ac:dyDescent="0.3">
      <c r="F2080" s="193"/>
    </row>
    <row r="2081" spans="6:6" x14ac:dyDescent="0.3">
      <c r="F2081" s="193"/>
    </row>
    <row r="2082" spans="6:6" x14ac:dyDescent="0.3">
      <c r="F2082" s="193"/>
    </row>
    <row r="2083" spans="6:6" x14ac:dyDescent="0.3">
      <c r="F2083" s="193"/>
    </row>
    <row r="2084" spans="6:6" x14ac:dyDescent="0.3">
      <c r="F2084" s="193"/>
    </row>
    <row r="2085" spans="6:6" x14ac:dyDescent="0.3">
      <c r="F2085" s="193"/>
    </row>
    <row r="2086" spans="6:6" x14ac:dyDescent="0.3">
      <c r="F2086" s="193"/>
    </row>
    <row r="2087" spans="6:6" x14ac:dyDescent="0.3">
      <c r="F2087" s="193"/>
    </row>
    <row r="2088" spans="6:6" x14ac:dyDescent="0.3">
      <c r="F2088" s="193"/>
    </row>
    <row r="2089" spans="6:6" x14ac:dyDescent="0.3">
      <c r="F2089" s="193"/>
    </row>
    <row r="2090" spans="6:6" x14ac:dyDescent="0.3">
      <c r="F2090" s="193"/>
    </row>
    <row r="2091" spans="6:6" x14ac:dyDescent="0.3">
      <c r="F2091" s="193"/>
    </row>
    <row r="2092" spans="6:6" x14ac:dyDescent="0.3">
      <c r="F2092" s="193"/>
    </row>
    <row r="2093" spans="6:6" x14ac:dyDescent="0.3">
      <c r="F2093" s="193"/>
    </row>
    <row r="2094" spans="6:6" x14ac:dyDescent="0.3">
      <c r="F2094" s="193"/>
    </row>
    <row r="2095" spans="6:6" x14ac:dyDescent="0.3">
      <c r="F2095" s="193"/>
    </row>
    <row r="2096" spans="6:6" x14ac:dyDescent="0.3">
      <c r="F2096" s="193"/>
    </row>
    <row r="2097" spans="6:6" x14ac:dyDescent="0.3">
      <c r="F2097" s="193"/>
    </row>
    <row r="2098" spans="6:6" x14ac:dyDescent="0.3">
      <c r="F2098" s="193"/>
    </row>
    <row r="2099" spans="6:6" x14ac:dyDescent="0.3">
      <c r="F2099" s="193"/>
    </row>
    <row r="2100" spans="6:6" x14ac:dyDescent="0.3">
      <c r="F2100" s="193"/>
    </row>
    <row r="2101" spans="6:6" x14ac:dyDescent="0.3">
      <c r="F2101" s="193"/>
    </row>
    <row r="2102" spans="6:6" x14ac:dyDescent="0.3">
      <c r="F2102" s="193"/>
    </row>
    <row r="2103" spans="6:6" x14ac:dyDescent="0.3">
      <c r="F2103" s="193"/>
    </row>
    <row r="2104" spans="6:6" x14ac:dyDescent="0.3">
      <c r="F2104" s="193"/>
    </row>
    <row r="2105" spans="6:6" x14ac:dyDescent="0.3">
      <c r="F2105" s="193"/>
    </row>
    <row r="2106" spans="6:6" x14ac:dyDescent="0.3">
      <c r="F2106" s="193"/>
    </row>
    <row r="2107" spans="6:6" x14ac:dyDescent="0.3">
      <c r="F2107" s="193"/>
    </row>
    <row r="2108" spans="6:6" x14ac:dyDescent="0.3">
      <c r="F2108" s="193"/>
    </row>
    <row r="2109" spans="6:6" x14ac:dyDescent="0.3">
      <c r="F2109" s="193"/>
    </row>
    <row r="2110" spans="6:6" x14ac:dyDescent="0.3">
      <c r="F2110" s="193"/>
    </row>
    <row r="2111" spans="6:6" x14ac:dyDescent="0.3">
      <c r="F2111" s="193"/>
    </row>
    <row r="2112" spans="6:6" x14ac:dyDescent="0.3">
      <c r="F2112" s="193"/>
    </row>
    <row r="2113" spans="6:6" x14ac:dyDescent="0.3">
      <c r="F2113" s="193"/>
    </row>
    <row r="2114" spans="6:6" x14ac:dyDescent="0.3">
      <c r="F2114" s="193"/>
    </row>
    <row r="2115" spans="6:6" x14ac:dyDescent="0.3">
      <c r="F2115" s="193"/>
    </row>
    <row r="2116" spans="6:6" x14ac:dyDescent="0.3">
      <c r="F2116" s="193"/>
    </row>
    <row r="2117" spans="6:6" x14ac:dyDescent="0.3">
      <c r="F2117" s="193"/>
    </row>
    <row r="2118" spans="6:6" x14ac:dyDescent="0.3">
      <c r="F2118" s="193"/>
    </row>
    <row r="2119" spans="6:6" x14ac:dyDescent="0.3">
      <c r="F2119" s="193"/>
    </row>
    <row r="2120" spans="6:6" x14ac:dyDescent="0.3">
      <c r="F2120" s="193"/>
    </row>
    <row r="2121" spans="6:6" x14ac:dyDescent="0.3">
      <c r="F2121" s="193"/>
    </row>
    <row r="2122" spans="6:6" x14ac:dyDescent="0.3">
      <c r="F2122" s="193"/>
    </row>
    <row r="2123" spans="6:6" x14ac:dyDescent="0.3">
      <c r="F2123" s="193"/>
    </row>
    <row r="2124" spans="6:6" x14ac:dyDescent="0.3">
      <c r="F2124" s="193"/>
    </row>
    <row r="2125" spans="6:6" x14ac:dyDescent="0.3">
      <c r="F2125" s="193"/>
    </row>
    <row r="2126" spans="6:6" x14ac:dyDescent="0.3">
      <c r="F2126" s="193"/>
    </row>
    <row r="2127" spans="6:6" x14ac:dyDescent="0.3">
      <c r="F2127" s="193"/>
    </row>
    <row r="2128" spans="6:6" x14ac:dyDescent="0.3">
      <c r="F2128" s="193"/>
    </row>
    <row r="2129" spans="6:6" x14ac:dyDescent="0.3">
      <c r="F2129" s="193"/>
    </row>
    <row r="2130" spans="6:6" x14ac:dyDescent="0.3">
      <c r="F2130" s="193"/>
    </row>
    <row r="2131" spans="6:6" x14ac:dyDescent="0.3">
      <c r="F2131" s="193"/>
    </row>
    <row r="2132" spans="6:6" x14ac:dyDescent="0.3">
      <c r="F2132" s="193"/>
    </row>
    <row r="2133" spans="6:6" x14ac:dyDescent="0.3">
      <c r="F2133" s="193"/>
    </row>
    <row r="2134" spans="6:6" x14ac:dyDescent="0.3">
      <c r="F2134" s="193"/>
    </row>
    <row r="2135" spans="6:6" x14ac:dyDescent="0.3">
      <c r="F2135" s="193"/>
    </row>
    <row r="2136" spans="6:6" x14ac:dyDescent="0.3">
      <c r="F2136" s="193"/>
    </row>
    <row r="2137" spans="6:6" x14ac:dyDescent="0.3">
      <c r="F2137" s="193"/>
    </row>
    <row r="2138" spans="6:6" x14ac:dyDescent="0.3">
      <c r="F2138" s="193"/>
    </row>
    <row r="2139" spans="6:6" x14ac:dyDescent="0.3">
      <c r="F2139" s="193"/>
    </row>
    <row r="2140" spans="6:6" x14ac:dyDescent="0.3">
      <c r="F2140" s="193"/>
    </row>
    <row r="2141" spans="6:6" x14ac:dyDescent="0.3">
      <c r="F2141" s="193"/>
    </row>
    <row r="2142" spans="6:6" x14ac:dyDescent="0.3">
      <c r="F2142" s="193"/>
    </row>
    <row r="2143" spans="6:6" x14ac:dyDescent="0.3">
      <c r="F2143" s="193"/>
    </row>
    <row r="2144" spans="6:6" x14ac:dyDescent="0.3">
      <c r="F2144" s="193"/>
    </row>
    <row r="2145" spans="6:6" x14ac:dyDescent="0.3">
      <c r="F2145" s="193"/>
    </row>
    <row r="2146" spans="6:6" x14ac:dyDescent="0.3">
      <c r="F2146" s="193"/>
    </row>
    <row r="2147" spans="6:6" x14ac:dyDescent="0.3">
      <c r="F2147" s="193"/>
    </row>
    <row r="2148" spans="6:6" x14ac:dyDescent="0.3">
      <c r="F2148" s="193"/>
    </row>
    <row r="2149" spans="6:6" x14ac:dyDescent="0.3">
      <c r="F2149" s="193"/>
    </row>
    <row r="2150" spans="6:6" x14ac:dyDescent="0.3">
      <c r="F2150" s="193"/>
    </row>
    <row r="2151" spans="6:6" x14ac:dyDescent="0.3">
      <c r="F2151" s="193"/>
    </row>
    <row r="2152" spans="6:6" x14ac:dyDescent="0.3">
      <c r="F2152" s="193"/>
    </row>
    <row r="2153" spans="6:6" x14ac:dyDescent="0.3">
      <c r="F2153" s="193"/>
    </row>
    <row r="2154" spans="6:6" x14ac:dyDescent="0.3">
      <c r="F2154" s="193"/>
    </row>
    <row r="2155" spans="6:6" x14ac:dyDescent="0.3">
      <c r="F2155" s="193"/>
    </row>
    <row r="2156" spans="6:6" x14ac:dyDescent="0.3">
      <c r="F2156" s="193"/>
    </row>
    <row r="2157" spans="6:6" x14ac:dyDescent="0.3">
      <c r="F2157" s="193"/>
    </row>
    <row r="2158" spans="6:6" x14ac:dyDescent="0.3">
      <c r="F2158" s="193"/>
    </row>
    <row r="2159" spans="6:6" x14ac:dyDescent="0.3">
      <c r="F2159" s="193"/>
    </row>
    <row r="2160" spans="6:6" x14ac:dyDescent="0.3">
      <c r="F2160" s="193"/>
    </row>
    <row r="2161" spans="6:6" x14ac:dyDescent="0.3">
      <c r="F2161" s="193"/>
    </row>
    <row r="2162" spans="6:6" x14ac:dyDescent="0.3">
      <c r="F2162" s="193"/>
    </row>
    <row r="2163" spans="6:6" x14ac:dyDescent="0.3">
      <c r="F2163" s="193"/>
    </row>
    <row r="2164" spans="6:6" x14ac:dyDescent="0.3">
      <c r="F2164" s="193"/>
    </row>
    <row r="2165" spans="6:6" x14ac:dyDescent="0.3">
      <c r="F2165" s="193"/>
    </row>
    <row r="2166" spans="6:6" x14ac:dyDescent="0.3">
      <c r="F2166" s="193"/>
    </row>
    <row r="2167" spans="6:6" x14ac:dyDescent="0.3">
      <c r="F2167" s="193"/>
    </row>
    <row r="2168" spans="6:6" x14ac:dyDescent="0.3">
      <c r="F2168" s="193"/>
    </row>
    <row r="2169" spans="6:6" x14ac:dyDescent="0.3">
      <c r="F2169" s="193"/>
    </row>
    <row r="2170" spans="6:6" x14ac:dyDescent="0.3">
      <c r="F2170" s="193"/>
    </row>
    <row r="2171" spans="6:6" x14ac:dyDescent="0.3">
      <c r="F2171" s="193"/>
    </row>
    <row r="2172" spans="6:6" x14ac:dyDescent="0.3">
      <c r="F2172" s="193"/>
    </row>
    <row r="2173" spans="6:6" x14ac:dyDescent="0.3">
      <c r="F2173" s="193"/>
    </row>
    <row r="2174" spans="6:6" x14ac:dyDescent="0.3">
      <c r="F2174" s="193"/>
    </row>
    <row r="2175" spans="6:6" x14ac:dyDescent="0.3">
      <c r="F2175" s="193"/>
    </row>
    <row r="2176" spans="6:6" x14ac:dyDescent="0.3">
      <c r="F2176" s="193"/>
    </row>
    <row r="2177" spans="6:6" x14ac:dyDescent="0.3">
      <c r="F2177" s="193"/>
    </row>
    <row r="2178" spans="6:6" x14ac:dyDescent="0.3">
      <c r="F2178" s="193"/>
    </row>
    <row r="2179" spans="6:6" x14ac:dyDescent="0.3">
      <c r="F2179" s="193"/>
    </row>
    <row r="2180" spans="6:6" x14ac:dyDescent="0.3">
      <c r="F2180" s="193"/>
    </row>
    <row r="2181" spans="6:6" x14ac:dyDescent="0.3">
      <c r="F2181" s="193"/>
    </row>
    <row r="2182" spans="6:6" x14ac:dyDescent="0.3">
      <c r="F2182" s="193"/>
    </row>
    <row r="2183" spans="6:6" x14ac:dyDescent="0.3">
      <c r="F2183" s="193"/>
    </row>
    <row r="2184" spans="6:6" x14ac:dyDescent="0.3">
      <c r="F2184" s="193"/>
    </row>
    <row r="2185" spans="6:6" x14ac:dyDescent="0.3">
      <c r="F2185" s="193"/>
    </row>
    <row r="2186" spans="6:6" x14ac:dyDescent="0.3">
      <c r="F2186" s="193"/>
    </row>
    <row r="2187" spans="6:6" x14ac:dyDescent="0.3">
      <c r="F2187" s="193"/>
    </row>
    <row r="2188" spans="6:6" x14ac:dyDescent="0.3">
      <c r="F2188" s="193"/>
    </row>
    <row r="2189" spans="6:6" x14ac:dyDescent="0.3">
      <c r="F2189" s="193"/>
    </row>
    <row r="2190" spans="6:6" x14ac:dyDescent="0.3">
      <c r="F2190" s="193"/>
    </row>
    <row r="2191" spans="6:6" x14ac:dyDescent="0.3">
      <c r="F2191" s="193"/>
    </row>
    <row r="2192" spans="6:6" x14ac:dyDescent="0.3">
      <c r="F2192" s="193"/>
    </row>
    <row r="2193" spans="6:6" x14ac:dyDescent="0.3">
      <c r="F2193" s="193"/>
    </row>
    <row r="2194" spans="6:6" x14ac:dyDescent="0.3">
      <c r="F2194" s="193"/>
    </row>
    <row r="2195" spans="6:6" x14ac:dyDescent="0.3">
      <c r="F2195" s="193"/>
    </row>
    <row r="2196" spans="6:6" x14ac:dyDescent="0.3">
      <c r="F2196" s="193"/>
    </row>
    <row r="2197" spans="6:6" x14ac:dyDescent="0.3">
      <c r="F2197" s="193"/>
    </row>
    <row r="2198" spans="6:6" x14ac:dyDescent="0.3">
      <c r="F2198" s="193"/>
    </row>
    <row r="2199" spans="6:6" x14ac:dyDescent="0.3">
      <c r="F2199" s="193"/>
    </row>
    <row r="2200" spans="6:6" x14ac:dyDescent="0.3">
      <c r="F2200" s="193"/>
    </row>
    <row r="2201" spans="6:6" x14ac:dyDescent="0.3">
      <c r="F2201" s="193"/>
    </row>
    <row r="2202" spans="6:6" x14ac:dyDescent="0.3">
      <c r="F2202" s="193"/>
    </row>
    <row r="2203" spans="6:6" x14ac:dyDescent="0.3">
      <c r="F2203" s="193"/>
    </row>
    <row r="2204" spans="6:6" x14ac:dyDescent="0.3">
      <c r="F2204" s="193"/>
    </row>
    <row r="2205" spans="6:6" x14ac:dyDescent="0.3">
      <c r="F2205" s="193"/>
    </row>
    <row r="2206" spans="6:6" x14ac:dyDescent="0.3">
      <c r="F2206" s="193"/>
    </row>
    <row r="2207" spans="6:6" x14ac:dyDescent="0.3">
      <c r="F2207" s="193"/>
    </row>
    <row r="2208" spans="6:6" x14ac:dyDescent="0.3">
      <c r="F2208" s="193"/>
    </row>
    <row r="2209" spans="6:6" x14ac:dyDescent="0.3">
      <c r="F2209" s="193"/>
    </row>
    <row r="2210" spans="6:6" x14ac:dyDescent="0.3">
      <c r="F2210" s="193"/>
    </row>
    <row r="2211" spans="6:6" x14ac:dyDescent="0.3">
      <c r="F2211" s="193"/>
    </row>
    <row r="2212" spans="6:6" x14ac:dyDescent="0.3">
      <c r="F2212" s="193"/>
    </row>
    <row r="2213" spans="6:6" x14ac:dyDescent="0.3">
      <c r="F2213" s="193"/>
    </row>
    <row r="2214" spans="6:6" x14ac:dyDescent="0.3">
      <c r="F2214" s="193"/>
    </row>
    <row r="2215" spans="6:6" x14ac:dyDescent="0.3">
      <c r="F2215" s="193"/>
    </row>
    <row r="2216" spans="6:6" x14ac:dyDescent="0.3">
      <c r="F2216" s="193"/>
    </row>
    <row r="2217" spans="6:6" x14ac:dyDescent="0.3">
      <c r="F2217" s="193"/>
    </row>
    <row r="2218" spans="6:6" x14ac:dyDescent="0.3">
      <c r="F2218" s="193"/>
    </row>
    <row r="2219" spans="6:6" x14ac:dyDescent="0.3">
      <c r="F2219" s="193"/>
    </row>
    <row r="2220" spans="6:6" x14ac:dyDescent="0.3">
      <c r="F2220" s="193"/>
    </row>
    <row r="2221" spans="6:6" x14ac:dyDescent="0.3">
      <c r="F2221" s="193"/>
    </row>
    <row r="2222" spans="6:6" x14ac:dyDescent="0.3">
      <c r="F2222" s="193"/>
    </row>
    <row r="2223" spans="6:6" x14ac:dyDescent="0.3">
      <c r="F2223" s="193"/>
    </row>
    <row r="2224" spans="6:6" x14ac:dyDescent="0.3">
      <c r="F2224" s="193"/>
    </row>
    <row r="2225" spans="6:6" x14ac:dyDescent="0.3">
      <c r="F2225" s="193"/>
    </row>
    <row r="2226" spans="6:6" x14ac:dyDescent="0.3">
      <c r="F2226" s="193"/>
    </row>
    <row r="2227" spans="6:6" x14ac:dyDescent="0.3">
      <c r="F2227" s="193"/>
    </row>
    <row r="2228" spans="6:6" x14ac:dyDescent="0.3">
      <c r="F2228" s="193"/>
    </row>
    <row r="2229" spans="6:6" x14ac:dyDescent="0.3">
      <c r="F2229" s="193"/>
    </row>
    <row r="2230" spans="6:6" x14ac:dyDescent="0.3">
      <c r="F2230" s="193"/>
    </row>
    <row r="2231" spans="6:6" x14ac:dyDescent="0.3">
      <c r="F2231" s="193"/>
    </row>
    <row r="2232" spans="6:6" x14ac:dyDescent="0.3">
      <c r="F2232" s="193"/>
    </row>
    <row r="2233" spans="6:6" x14ac:dyDescent="0.3">
      <c r="F2233" s="193"/>
    </row>
    <row r="2234" spans="6:6" x14ac:dyDescent="0.3">
      <c r="F2234" s="193"/>
    </row>
    <row r="2235" spans="6:6" x14ac:dyDescent="0.3">
      <c r="F2235" s="193"/>
    </row>
    <row r="2236" spans="6:6" x14ac:dyDescent="0.3">
      <c r="F2236" s="193"/>
    </row>
    <row r="2237" spans="6:6" x14ac:dyDescent="0.3">
      <c r="F2237" s="193"/>
    </row>
    <row r="2238" spans="6:6" x14ac:dyDescent="0.3">
      <c r="F2238" s="193"/>
    </row>
    <row r="2239" spans="6:6" x14ac:dyDescent="0.3">
      <c r="F2239" s="193"/>
    </row>
    <row r="2240" spans="6:6" x14ac:dyDescent="0.3">
      <c r="F2240" s="193"/>
    </row>
    <row r="2241" spans="6:6" x14ac:dyDescent="0.3">
      <c r="F2241" s="193"/>
    </row>
    <row r="2242" spans="6:6" x14ac:dyDescent="0.3">
      <c r="F2242" s="193"/>
    </row>
    <row r="2243" spans="6:6" x14ac:dyDescent="0.3">
      <c r="F2243" s="193"/>
    </row>
    <row r="2244" spans="6:6" x14ac:dyDescent="0.3">
      <c r="F2244" s="193"/>
    </row>
    <row r="2245" spans="6:6" x14ac:dyDescent="0.3">
      <c r="F2245" s="193"/>
    </row>
    <row r="2246" spans="6:6" x14ac:dyDescent="0.3">
      <c r="F2246" s="193"/>
    </row>
    <row r="2247" spans="6:6" x14ac:dyDescent="0.3">
      <c r="F2247" s="193"/>
    </row>
    <row r="2248" spans="6:6" x14ac:dyDescent="0.3">
      <c r="F2248" s="193"/>
    </row>
    <row r="2249" spans="6:6" x14ac:dyDescent="0.3">
      <c r="F2249" s="193"/>
    </row>
    <row r="2250" spans="6:6" x14ac:dyDescent="0.3">
      <c r="F2250" s="193"/>
    </row>
    <row r="2251" spans="6:6" x14ac:dyDescent="0.3">
      <c r="F2251" s="193"/>
    </row>
    <row r="2252" spans="6:6" x14ac:dyDescent="0.3">
      <c r="F2252" s="193"/>
    </row>
    <row r="2253" spans="6:6" x14ac:dyDescent="0.3">
      <c r="F2253" s="193"/>
    </row>
    <row r="2254" spans="6:6" x14ac:dyDescent="0.3">
      <c r="F2254" s="193"/>
    </row>
    <row r="2255" spans="6:6" x14ac:dyDescent="0.3">
      <c r="F2255" s="193"/>
    </row>
    <row r="2256" spans="6:6" x14ac:dyDescent="0.3">
      <c r="F2256" s="193"/>
    </row>
    <row r="2257" spans="6:6" x14ac:dyDescent="0.3">
      <c r="F2257" s="193"/>
    </row>
    <row r="2258" spans="6:6" x14ac:dyDescent="0.3">
      <c r="F2258" s="193"/>
    </row>
    <row r="2259" spans="6:6" x14ac:dyDescent="0.3">
      <c r="F2259" s="193"/>
    </row>
    <row r="2260" spans="6:6" x14ac:dyDescent="0.3">
      <c r="F2260" s="193"/>
    </row>
    <row r="2261" spans="6:6" x14ac:dyDescent="0.3">
      <c r="F2261" s="193"/>
    </row>
    <row r="2262" spans="6:6" x14ac:dyDescent="0.3">
      <c r="F2262" s="193"/>
    </row>
    <row r="2263" spans="6:6" x14ac:dyDescent="0.3">
      <c r="F2263" s="193"/>
    </row>
    <row r="2264" spans="6:6" x14ac:dyDescent="0.3">
      <c r="F2264" s="193"/>
    </row>
    <row r="2265" spans="6:6" x14ac:dyDescent="0.3">
      <c r="F2265" s="193"/>
    </row>
    <row r="2266" spans="6:6" x14ac:dyDescent="0.3">
      <c r="F2266" s="193"/>
    </row>
    <row r="2267" spans="6:6" x14ac:dyDescent="0.3">
      <c r="F2267" s="193"/>
    </row>
    <row r="2268" spans="6:6" x14ac:dyDescent="0.3">
      <c r="F2268" s="193"/>
    </row>
    <row r="2269" spans="6:6" x14ac:dyDescent="0.3">
      <c r="F2269" s="193"/>
    </row>
    <row r="2270" spans="6:6" x14ac:dyDescent="0.3">
      <c r="F2270" s="193"/>
    </row>
    <row r="2271" spans="6:6" x14ac:dyDescent="0.3">
      <c r="F2271" s="193"/>
    </row>
    <row r="2272" spans="6:6" x14ac:dyDescent="0.3">
      <c r="F2272" s="193"/>
    </row>
    <row r="2273" spans="6:6" x14ac:dyDescent="0.3">
      <c r="F2273" s="193"/>
    </row>
    <row r="2274" spans="6:6" x14ac:dyDescent="0.3">
      <c r="F2274" s="193"/>
    </row>
    <row r="2275" spans="6:6" x14ac:dyDescent="0.3">
      <c r="F2275" s="193"/>
    </row>
    <row r="2276" spans="6:6" x14ac:dyDescent="0.3">
      <c r="F2276" s="193"/>
    </row>
    <row r="2277" spans="6:6" x14ac:dyDescent="0.3">
      <c r="F2277" s="193"/>
    </row>
    <row r="2278" spans="6:6" x14ac:dyDescent="0.3">
      <c r="F2278" s="193"/>
    </row>
    <row r="2279" spans="6:6" x14ac:dyDescent="0.3">
      <c r="F2279" s="193"/>
    </row>
    <row r="2280" spans="6:6" x14ac:dyDescent="0.3">
      <c r="F2280" s="193"/>
    </row>
    <row r="2281" spans="6:6" x14ac:dyDescent="0.3">
      <c r="F2281" s="193"/>
    </row>
    <row r="2282" spans="6:6" x14ac:dyDescent="0.3">
      <c r="F2282" s="193"/>
    </row>
    <row r="2283" spans="6:6" x14ac:dyDescent="0.3">
      <c r="F2283" s="193"/>
    </row>
    <row r="2284" spans="6:6" x14ac:dyDescent="0.3">
      <c r="F2284" s="193"/>
    </row>
    <row r="2285" spans="6:6" x14ac:dyDescent="0.3">
      <c r="F2285" s="193"/>
    </row>
    <row r="2286" spans="6:6" x14ac:dyDescent="0.3">
      <c r="F2286" s="193"/>
    </row>
    <row r="2287" spans="6:6" x14ac:dyDescent="0.3">
      <c r="F2287" s="193"/>
    </row>
    <row r="2288" spans="6:6" x14ac:dyDescent="0.3">
      <c r="F2288" s="193"/>
    </row>
    <row r="2289" spans="6:6" x14ac:dyDescent="0.3">
      <c r="F2289" s="193"/>
    </row>
    <row r="2290" spans="6:6" x14ac:dyDescent="0.3">
      <c r="F2290" s="193"/>
    </row>
    <row r="2291" spans="6:6" x14ac:dyDescent="0.3">
      <c r="F2291" s="193"/>
    </row>
    <row r="2292" spans="6:6" x14ac:dyDescent="0.3">
      <c r="F2292" s="193"/>
    </row>
    <row r="2293" spans="6:6" x14ac:dyDescent="0.3">
      <c r="F2293" s="193"/>
    </row>
    <row r="2294" spans="6:6" x14ac:dyDescent="0.3">
      <c r="F2294" s="193"/>
    </row>
    <row r="2295" spans="6:6" x14ac:dyDescent="0.3">
      <c r="F2295" s="193"/>
    </row>
    <row r="2296" spans="6:6" x14ac:dyDescent="0.3">
      <c r="F2296" s="193"/>
    </row>
    <row r="2297" spans="6:6" x14ac:dyDescent="0.3">
      <c r="F2297" s="193"/>
    </row>
    <row r="2298" spans="6:6" x14ac:dyDescent="0.3">
      <c r="F2298" s="193"/>
    </row>
    <row r="2299" spans="6:6" x14ac:dyDescent="0.3">
      <c r="F2299" s="193"/>
    </row>
    <row r="2300" spans="6:6" x14ac:dyDescent="0.3">
      <c r="F2300" s="193"/>
    </row>
    <row r="2301" spans="6:6" x14ac:dyDescent="0.3">
      <c r="F2301" s="193"/>
    </row>
    <row r="2302" spans="6:6" x14ac:dyDescent="0.3">
      <c r="F2302" s="193"/>
    </row>
    <row r="2303" spans="6:6" x14ac:dyDescent="0.3">
      <c r="F2303" s="193"/>
    </row>
    <row r="2304" spans="6:6" x14ac:dyDescent="0.3">
      <c r="F2304" s="193"/>
    </row>
    <row r="2305" spans="6:6" x14ac:dyDescent="0.3">
      <c r="F2305" s="193"/>
    </row>
    <row r="2306" spans="6:6" x14ac:dyDescent="0.3">
      <c r="F2306" s="193"/>
    </row>
    <row r="2307" spans="6:6" x14ac:dyDescent="0.3">
      <c r="F2307" s="193"/>
    </row>
    <row r="2308" spans="6:6" x14ac:dyDescent="0.3">
      <c r="F2308" s="193"/>
    </row>
    <row r="2309" spans="6:6" x14ac:dyDescent="0.3">
      <c r="F2309" s="193"/>
    </row>
    <row r="2310" spans="6:6" x14ac:dyDescent="0.3">
      <c r="F2310" s="193"/>
    </row>
    <row r="2311" spans="6:6" x14ac:dyDescent="0.3">
      <c r="F2311" s="193"/>
    </row>
    <row r="2312" spans="6:6" x14ac:dyDescent="0.3">
      <c r="F2312" s="193"/>
    </row>
    <row r="2313" spans="6:6" x14ac:dyDescent="0.3">
      <c r="F2313" s="193"/>
    </row>
    <row r="2314" spans="6:6" x14ac:dyDescent="0.3">
      <c r="F2314" s="193"/>
    </row>
    <row r="2315" spans="6:6" x14ac:dyDescent="0.3">
      <c r="F2315" s="193"/>
    </row>
    <row r="2316" spans="6:6" x14ac:dyDescent="0.3">
      <c r="F2316" s="193"/>
    </row>
    <row r="2317" spans="6:6" x14ac:dyDescent="0.3">
      <c r="F2317" s="193"/>
    </row>
    <row r="2318" spans="6:6" x14ac:dyDescent="0.3">
      <c r="F2318" s="193"/>
    </row>
    <row r="2319" spans="6:6" x14ac:dyDescent="0.3">
      <c r="F2319" s="193"/>
    </row>
    <row r="2320" spans="6:6" x14ac:dyDescent="0.3">
      <c r="F2320" s="193"/>
    </row>
    <row r="2321" spans="6:6" x14ac:dyDescent="0.3">
      <c r="F2321" s="193"/>
    </row>
    <row r="2322" spans="6:6" x14ac:dyDescent="0.3">
      <c r="F2322" s="193"/>
    </row>
    <row r="2323" spans="6:6" x14ac:dyDescent="0.3">
      <c r="F2323" s="193"/>
    </row>
    <row r="2324" spans="6:6" x14ac:dyDescent="0.3">
      <c r="F2324" s="193"/>
    </row>
    <row r="2325" spans="6:6" x14ac:dyDescent="0.3">
      <c r="F2325" s="193"/>
    </row>
    <row r="2326" spans="6:6" x14ac:dyDescent="0.3">
      <c r="F2326" s="193"/>
    </row>
    <row r="2327" spans="6:6" x14ac:dyDescent="0.3">
      <c r="F2327" s="193"/>
    </row>
    <row r="2328" spans="6:6" x14ac:dyDescent="0.3">
      <c r="F2328" s="193"/>
    </row>
    <row r="2329" spans="6:6" x14ac:dyDescent="0.3">
      <c r="F2329" s="193"/>
    </row>
    <row r="2330" spans="6:6" x14ac:dyDescent="0.3">
      <c r="F2330" s="193"/>
    </row>
    <row r="2331" spans="6:6" x14ac:dyDescent="0.3">
      <c r="F2331" s="193"/>
    </row>
    <row r="2332" spans="6:6" x14ac:dyDescent="0.3">
      <c r="F2332" s="193"/>
    </row>
    <row r="2333" spans="6:6" x14ac:dyDescent="0.3">
      <c r="F2333" s="193"/>
    </row>
    <row r="2334" spans="6:6" x14ac:dyDescent="0.3">
      <c r="F2334" s="193"/>
    </row>
    <row r="2335" spans="6:6" x14ac:dyDescent="0.3">
      <c r="F2335" s="193"/>
    </row>
    <row r="2336" spans="6:6" x14ac:dyDescent="0.3">
      <c r="F2336" s="193"/>
    </row>
    <row r="2337" spans="6:6" x14ac:dyDescent="0.3">
      <c r="F2337" s="193"/>
    </row>
    <row r="2338" spans="6:6" x14ac:dyDescent="0.3">
      <c r="F2338" s="193"/>
    </row>
    <row r="2339" spans="6:6" x14ac:dyDescent="0.3">
      <c r="F2339" s="193"/>
    </row>
    <row r="2340" spans="6:6" x14ac:dyDescent="0.3">
      <c r="F2340" s="193"/>
    </row>
    <row r="2341" spans="6:6" x14ac:dyDescent="0.3">
      <c r="F2341" s="193"/>
    </row>
    <row r="2342" spans="6:6" x14ac:dyDescent="0.3">
      <c r="F2342" s="193"/>
    </row>
    <row r="2343" spans="6:6" x14ac:dyDescent="0.3">
      <c r="F2343" s="193"/>
    </row>
    <row r="2344" spans="6:6" x14ac:dyDescent="0.3">
      <c r="F2344" s="193"/>
    </row>
    <row r="2345" spans="6:6" x14ac:dyDescent="0.3">
      <c r="F2345" s="193"/>
    </row>
    <row r="2346" spans="6:6" x14ac:dyDescent="0.3">
      <c r="F2346" s="193"/>
    </row>
    <row r="2347" spans="6:6" x14ac:dyDescent="0.3">
      <c r="F2347" s="193"/>
    </row>
    <row r="2348" spans="6:6" x14ac:dyDescent="0.3">
      <c r="F2348" s="193"/>
    </row>
    <row r="2349" spans="6:6" x14ac:dyDescent="0.3">
      <c r="F2349" s="193"/>
    </row>
    <row r="2350" spans="6:6" x14ac:dyDescent="0.3">
      <c r="F2350" s="193"/>
    </row>
    <row r="2351" spans="6:6" x14ac:dyDescent="0.3">
      <c r="F2351" s="193"/>
    </row>
    <row r="2352" spans="6:6" x14ac:dyDescent="0.3">
      <c r="F2352" s="193"/>
    </row>
    <row r="2353" spans="6:6" x14ac:dyDescent="0.3">
      <c r="F2353" s="193"/>
    </row>
    <row r="2354" spans="6:6" x14ac:dyDescent="0.3">
      <c r="F2354" s="193"/>
    </row>
    <row r="2355" spans="6:6" x14ac:dyDescent="0.3">
      <c r="F2355" s="193"/>
    </row>
    <row r="2356" spans="6:6" x14ac:dyDescent="0.3">
      <c r="F2356" s="193"/>
    </row>
    <row r="2357" spans="6:6" x14ac:dyDescent="0.3">
      <c r="F2357" s="193"/>
    </row>
    <row r="2358" spans="6:6" x14ac:dyDescent="0.3">
      <c r="F2358" s="193"/>
    </row>
    <row r="2359" spans="6:6" x14ac:dyDescent="0.3">
      <c r="F2359" s="193"/>
    </row>
    <row r="2360" spans="6:6" x14ac:dyDescent="0.3">
      <c r="F2360" s="193"/>
    </row>
    <row r="2361" spans="6:6" x14ac:dyDescent="0.3">
      <c r="F2361" s="193"/>
    </row>
    <row r="2362" spans="6:6" x14ac:dyDescent="0.3">
      <c r="F2362" s="193"/>
    </row>
    <row r="2363" spans="6:6" x14ac:dyDescent="0.3">
      <c r="F2363" s="193"/>
    </row>
    <row r="2364" spans="6:6" x14ac:dyDescent="0.3">
      <c r="F2364" s="193"/>
    </row>
    <row r="2365" spans="6:6" x14ac:dyDescent="0.3">
      <c r="F2365" s="193"/>
    </row>
    <row r="2366" spans="6:6" x14ac:dyDescent="0.3">
      <c r="F2366" s="193"/>
    </row>
    <row r="2367" spans="6:6" x14ac:dyDescent="0.3">
      <c r="F2367" s="193"/>
    </row>
    <row r="2368" spans="6:6" x14ac:dyDescent="0.3">
      <c r="F2368" s="193"/>
    </row>
    <row r="2369" spans="6:6" x14ac:dyDescent="0.3">
      <c r="F2369" s="193"/>
    </row>
    <row r="2370" spans="6:6" x14ac:dyDescent="0.3">
      <c r="F2370" s="193"/>
    </row>
    <row r="2371" spans="6:6" x14ac:dyDescent="0.3">
      <c r="F2371" s="193"/>
    </row>
    <row r="2372" spans="6:6" x14ac:dyDescent="0.3">
      <c r="F2372" s="193"/>
    </row>
    <row r="2373" spans="6:6" x14ac:dyDescent="0.3">
      <c r="F2373" s="193"/>
    </row>
    <row r="2374" spans="6:6" x14ac:dyDescent="0.3">
      <c r="F2374" s="193"/>
    </row>
    <row r="2375" spans="6:6" x14ac:dyDescent="0.3">
      <c r="F2375" s="193"/>
    </row>
    <row r="2376" spans="6:6" x14ac:dyDescent="0.3">
      <c r="F2376" s="193"/>
    </row>
    <row r="2377" spans="6:6" x14ac:dyDescent="0.3">
      <c r="F2377" s="193"/>
    </row>
    <row r="2378" spans="6:6" x14ac:dyDescent="0.3">
      <c r="F2378" s="193"/>
    </row>
    <row r="2379" spans="6:6" x14ac:dyDescent="0.3">
      <c r="F2379" s="193"/>
    </row>
    <row r="2380" spans="6:6" x14ac:dyDescent="0.3">
      <c r="F2380" s="193"/>
    </row>
    <row r="2381" spans="6:6" x14ac:dyDescent="0.3">
      <c r="F2381" s="193"/>
    </row>
    <row r="2382" spans="6:6" x14ac:dyDescent="0.3">
      <c r="F2382" s="193"/>
    </row>
    <row r="2383" spans="6:6" x14ac:dyDescent="0.3">
      <c r="F2383" s="193"/>
    </row>
    <row r="2384" spans="6:6" x14ac:dyDescent="0.3">
      <c r="F2384" s="193"/>
    </row>
    <row r="2385" spans="6:6" x14ac:dyDescent="0.3">
      <c r="F2385" s="193"/>
    </row>
    <row r="2386" spans="6:6" x14ac:dyDescent="0.3">
      <c r="F2386" s="193"/>
    </row>
    <row r="2387" spans="6:6" x14ac:dyDescent="0.3">
      <c r="F2387" s="193"/>
    </row>
    <row r="2388" spans="6:6" x14ac:dyDescent="0.3">
      <c r="F2388" s="193"/>
    </row>
    <row r="2389" spans="6:6" x14ac:dyDescent="0.3">
      <c r="F2389" s="193"/>
    </row>
    <row r="2390" spans="6:6" x14ac:dyDescent="0.3">
      <c r="F2390" s="193"/>
    </row>
    <row r="2391" spans="6:6" x14ac:dyDescent="0.3">
      <c r="F2391" s="193"/>
    </row>
    <row r="2392" spans="6:6" x14ac:dyDescent="0.3">
      <c r="F2392" s="193"/>
    </row>
    <row r="2393" spans="6:6" x14ac:dyDescent="0.3">
      <c r="F2393" s="193"/>
    </row>
    <row r="2394" spans="6:6" x14ac:dyDescent="0.3">
      <c r="F2394" s="193"/>
    </row>
    <row r="2395" spans="6:6" x14ac:dyDescent="0.3">
      <c r="F2395" s="193"/>
    </row>
    <row r="2396" spans="6:6" x14ac:dyDescent="0.3">
      <c r="F2396" s="193"/>
    </row>
    <row r="2397" spans="6:6" x14ac:dyDescent="0.3">
      <c r="F2397" s="193"/>
    </row>
    <row r="2398" spans="6:6" x14ac:dyDescent="0.3">
      <c r="F2398" s="193"/>
    </row>
    <row r="2399" spans="6:6" x14ac:dyDescent="0.3">
      <c r="F2399" s="193"/>
    </row>
    <row r="2400" spans="6:6" x14ac:dyDescent="0.3">
      <c r="F2400" s="193"/>
    </row>
    <row r="2401" spans="6:6" x14ac:dyDescent="0.3">
      <c r="F2401" s="193"/>
    </row>
    <row r="2402" spans="6:6" x14ac:dyDescent="0.3">
      <c r="F2402" s="193"/>
    </row>
    <row r="2403" spans="6:6" x14ac:dyDescent="0.3">
      <c r="F2403" s="193"/>
    </row>
    <row r="2404" spans="6:6" x14ac:dyDescent="0.3">
      <c r="F2404" s="193"/>
    </row>
    <row r="2405" spans="6:6" x14ac:dyDescent="0.3">
      <c r="F2405" s="193"/>
    </row>
    <row r="2406" spans="6:6" x14ac:dyDescent="0.3">
      <c r="F2406" s="193"/>
    </row>
    <row r="2407" spans="6:6" x14ac:dyDescent="0.3">
      <c r="F2407" s="193"/>
    </row>
    <row r="2408" spans="6:6" x14ac:dyDescent="0.3">
      <c r="F2408" s="193"/>
    </row>
    <row r="2409" spans="6:6" x14ac:dyDescent="0.3">
      <c r="F2409" s="193"/>
    </row>
    <row r="2410" spans="6:6" x14ac:dyDescent="0.3">
      <c r="F2410" s="193"/>
    </row>
    <row r="2411" spans="6:6" x14ac:dyDescent="0.3">
      <c r="F2411" s="193"/>
    </row>
    <row r="2412" spans="6:6" x14ac:dyDescent="0.3">
      <c r="F2412" s="193"/>
    </row>
    <row r="2413" spans="6:6" x14ac:dyDescent="0.3">
      <c r="F2413" s="193"/>
    </row>
    <row r="2414" spans="6:6" x14ac:dyDescent="0.3">
      <c r="F2414" s="193"/>
    </row>
    <row r="2415" spans="6:6" x14ac:dyDescent="0.3">
      <c r="F2415" s="193"/>
    </row>
    <row r="2416" spans="6:6" x14ac:dyDescent="0.3">
      <c r="F2416" s="193"/>
    </row>
    <row r="2417" spans="6:6" x14ac:dyDescent="0.3">
      <c r="F2417" s="193"/>
    </row>
    <row r="2418" spans="6:6" x14ac:dyDescent="0.3">
      <c r="F2418" s="193"/>
    </row>
    <row r="2419" spans="6:6" x14ac:dyDescent="0.3">
      <c r="F2419" s="193"/>
    </row>
    <row r="2420" spans="6:6" x14ac:dyDescent="0.3">
      <c r="F2420" s="193"/>
    </row>
    <row r="2421" spans="6:6" x14ac:dyDescent="0.3">
      <c r="F2421" s="193"/>
    </row>
    <row r="2422" spans="6:6" x14ac:dyDescent="0.3">
      <c r="F2422" s="193"/>
    </row>
    <row r="2423" spans="6:6" x14ac:dyDescent="0.3">
      <c r="F2423" s="193"/>
    </row>
    <row r="2424" spans="6:6" x14ac:dyDescent="0.3">
      <c r="F2424" s="193"/>
    </row>
    <row r="2425" spans="6:6" x14ac:dyDescent="0.3">
      <c r="F2425" s="193"/>
    </row>
    <row r="2426" spans="6:6" x14ac:dyDescent="0.3">
      <c r="F2426" s="193"/>
    </row>
    <row r="2427" spans="6:6" x14ac:dyDescent="0.3">
      <c r="F2427" s="193"/>
    </row>
    <row r="2428" spans="6:6" x14ac:dyDescent="0.3">
      <c r="F2428" s="193"/>
    </row>
    <row r="2429" spans="6:6" x14ac:dyDescent="0.3">
      <c r="F2429" s="193"/>
    </row>
    <row r="2430" spans="6:6" x14ac:dyDescent="0.3">
      <c r="F2430" s="193"/>
    </row>
    <row r="2431" spans="6:6" x14ac:dyDescent="0.3">
      <c r="F2431" s="193"/>
    </row>
    <row r="2432" spans="6:6" x14ac:dyDescent="0.3">
      <c r="F2432" s="193"/>
    </row>
    <row r="2433" spans="6:6" x14ac:dyDescent="0.3">
      <c r="F2433" s="193"/>
    </row>
    <row r="2434" spans="6:6" x14ac:dyDescent="0.3">
      <c r="F2434" s="193"/>
    </row>
    <row r="2435" spans="6:6" x14ac:dyDescent="0.3">
      <c r="F2435" s="193"/>
    </row>
    <row r="2436" spans="6:6" x14ac:dyDescent="0.3">
      <c r="F2436" s="193"/>
    </row>
    <row r="2437" spans="6:6" x14ac:dyDescent="0.3">
      <c r="F2437" s="193"/>
    </row>
    <row r="2438" spans="6:6" x14ac:dyDescent="0.3">
      <c r="F2438" s="193"/>
    </row>
    <row r="2439" spans="6:6" x14ac:dyDescent="0.3">
      <c r="F2439" s="193"/>
    </row>
    <row r="2440" spans="6:6" x14ac:dyDescent="0.3">
      <c r="F2440" s="193"/>
    </row>
    <row r="2441" spans="6:6" x14ac:dyDescent="0.3">
      <c r="F2441" s="193"/>
    </row>
    <row r="2442" spans="6:6" x14ac:dyDescent="0.3">
      <c r="F2442" s="193"/>
    </row>
    <row r="2443" spans="6:6" x14ac:dyDescent="0.3">
      <c r="F2443" s="193"/>
    </row>
    <row r="2444" spans="6:6" x14ac:dyDescent="0.3">
      <c r="F2444" s="193"/>
    </row>
    <row r="2445" spans="6:6" x14ac:dyDescent="0.3">
      <c r="F2445" s="193"/>
    </row>
    <row r="2446" spans="6:6" x14ac:dyDescent="0.3">
      <c r="F2446" s="193"/>
    </row>
    <row r="2447" spans="6:6" x14ac:dyDescent="0.3">
      <c r="F2447" s="193"/>
    </row>
    <row r="2448" spans="6:6" x14ac:dyDescent="0.3">
      <c r="F2448" s="193"/>
    </row>
    <row r="2449" spans="6:6" x14ac:dyDescent="0.3">
      <c r="F2449" s="193"/>
    </row>
    <row r="2450" spans="6:6" x14ac:dyDescent="0.3">
      <c r="F2450" s="193"/>
    </row>
    <row r="2451" spans="6:6" x14ac:dyDescent="0.3">
      <c r="F2451" s="193"/>
    </row>
    <row r="2452" spans="6:6" x14ac:dyDescent="0.3">
      <c r="F2452" s="193"/>
    </row>
    <row r="2453" spans="6:6" x14ac:dyDescent="0.3">
      <c r="F2453" s="193"/>
    </row>
    <row r="2454" spans="6:6" x14ac:dyDescent="0.3">
      <c r="F2454" s="193"/>
    </row>
    <row r="2455" spans="6:6" x14ac:dyDescent="0.3">
      <c r="F2455" s="193"/>
    </row>
    <row r="2456" spans="6:6" x14ac:dyDescent="0.3">
      <c r="F2456" s="193"/>
    </row>
    <row r="2457" spans="6:6" x14ac:dyDescent="0.3">
      <c r="F2457" s="193"/>
    </row>
    <row r="2458" spans="6:6" x14ac:dyDescent="0.3">
      <c r="F2458" s="193"/>
    </row>
    <row r="2459" spans="6:6" x14ac:dyDescent="0.3">
      <c r="F2459" s="193"/>
    </row>
    <row r="2460" spans="6:6" x14ac:dyDescent="0.3">
      <c r="F2460" s="193"/>
    </row>
    <row r="2461" spans="6:6" x14ac:dyDescent="0.3">
      <c r="F2461" s="193"/>
    </row>
    <row r="2462" spans="6:6" x14ac:dyDescent="0.3">
      <c r="F2462" s="193"/>
    </row>
    <row r="2463" spans="6:6" x14ac:dyDescent="0.3">
      <c r="F2463" s="193"/>
    </row>
    <row r="2464" spans="6:6" x14ac:dyDescent="0.3">
      <c r="F2464" s="193"/>
    </row>
    <row r="2465" spans="6:6" x14ac:dyDescent="0.3">
      <c r="F2465" s="193"/>
    </row>
    <row r="2466" spans="6:6" x14ac:dyDescent="0.3">
      <c r="F2466" s="193"/>
    </row>
    <row r="2467" spans="6:6" x14ac:dyDescent="0.3">
      <c r="F2467" s="193"/>
    </row>
    <row r="2468" spans="6:6" x14ac:dyDescent="0.3">
      <c r="F2468" s="193"/>
    </row>
    <row r="2469" spans="6:6" x14ac:dyDescent="0.3">
      <c r="F2469" s="193"/>
    </row>
    <row r="2470" spans="6:6" x14ac:dyDescent="0.3">
      <c r="F2470" s="193"/>
    </row>
    <row r="2471" spans="6:6" x14ac:dyDescent="0.3">
      <c r="F2471" s="193"/>
    </row>
    <row r="2472" spans="6:6" x14ac:dyDescent="0.3">
      <c r="F2472" s="193"/>
    </row>
    <row r="2473" spans="6:6" x14ac:dyDescent="0.3">
      <c r="F2473" s="193"/>
    </row>
    <row r="2474" spans="6:6" x14ac:dyDescent="0.3">
      <c r="F2474" s="193"/>
    </row>
    <row r="2475" spans="6:6" x14ac:dyDescent="0.3">
      <c r="F2475" s="193"/>
    </row>
    <row r="2476" spans="6:6" x14ac:dyDescent="0.3">
      <c r="F2476" s="193"/>
    </row>
    <row r="2477" spans="6:6" x14ac:dyDescent="0.3">
      <c r="F2477" s="193"/>
    </row>
    <row r="2478" spans="6:6" x14ac:dyDescent="0.3">
      <c r="F2478" s="193"/>
    </row>
    <row r="2479" spans="6:6" x14ac:dyDescent="0.3">
      <c r="F2479" s="193"/>
    </row>
    <row r="2480" spans="6:6" x14ac:dyDescent="0.3">
      <c r="F2480" s="193"/>
    </row>
    <row r="2481" spans="6:6" x14ac:dyDescent="0.3">
      <c r="F2481" s="193"/>
    </row>
    <row r="2482" spans="6:6" x14ac:dyDescent="0.3">
      <c r="F2482" s="193"/>
    </row>
    <row r="2483" spans="6:6" x14ac:dyDescent="0.3">
      <c r="F2483" s="193"/>
    </row>
    <row r="2484" spans="6:6" x14ac:dyDescent="0.3">
      <c r="F2484" s="193"/>
    </row>
    <row r="2485" spans="6:6" x14ac:dyDescent="0.3">
      <c r="F2485" s="193"/>
    </row>
    <row r="2486" spans="6:6" x14ac:dyDescent="0.3">
      <c r="F2486" s="193"/>
    </row>
    <row r="2487" spans="6:6" x14ac:dyDescent="0.3">
      <c r="F2487" s="193"/>
    </row>
    <row r="2488" spans="6:6" x14ac:dyDescent="0.3">
      <c r="F2488" s="193"/>
    </row>
    <row r="2489" spans="6:6" x14ac:dyDescent="0.3">
      <c r="F2489" s="193"/>
    </row>
    <row r="2490" spans="6:6" x14ac:dyDescent="0.3">
      <c r="F2490" s="193"/>
    </row>
    <row r="2491" spans="6:6" x14ac:dyDescent="0.3">
      <c r="F2491" s="193"/>
    </row>
    <row r="2492" spans="6:6" x14ac:dyDescent="0.3">
      <c r="F2492" s="193"/>
    </row>
    <row r="2493" spans="6:6" x14ac:dyDescent="0.3">
      <c r="F2493" s="193"/>
    </row>
    <row r="2494" spans="6:6" x14ac:dyDescent="0.3">
      <c r="F2494" s="193"/>
    </row>
    <row r="2495" spans="6:6" x14ac:dyDescent="0.3">
      <c r="F2495" s="193"/>
    </row>
    <row r="2496" spans="6:6" x14ac:dyDescent="0.3">
      <c r="F2496" s="193"/>
    </row>
    <row r="2497" spans="6:6" x14ac:dyDescent="0.3">
      <c r="F2497" s="193"/>
    </row>
    <row r="2498" spans="6:6" x14ac:dyDescent="0.3">
      <c r="F2498" s="193"/>
    </row>
    <row r="2499" spans="6:6" x14ac:dyDescent="0.3">
      <c r="F2499" s="193"/>
    </row>
    <row r="2500" spans="6:6" x14ac:dyDescent="0.3">
      <c r="F2500" s="193"/>
    </row>
    <row r="2501" spans="6:6" x14ac:dyDescent="0.3">
      <c r="F2501" s="193"/>
    </row>
    <row r="2502" spans="6:6" x14ac:dyDescent="0.3">
      <c r="F2502" s="193"/>
    </row>
    <row r="2503" spans="6:6" x14ac:dyDescent="0.3">
      <c r="F2503" s="193"/>
    </row>
    <row r="2504" spans="6:6" x14ac:dyDescent="0.3">
      <c r="F2504" s="193"/>
    </row>
    <row r="2505" spans="6:6" x14ac:dyDescent="0.3">
      <c r="F2505" s="193"/>
    </row>
    <row r="2506" spans="6:6" x14ac:dyDescent="0.3">
      <c r="F2506" s="193"/>
    </row>
    <row r="2507" spans="6:6" x14ac:dyDescent="0.3">
      <c r="F2507" s="193"/>
    </row>
    <row r="2508" spans="6:6" x14ac:dyDescent="0.3">
      <c r="F2508" s="193"/>
    </row>
    <row r="2509" spans="6:6" x14ac:dyDescent="0.3">
      <c r="F2509" s="193"/>
    </row>
    <row r="2510" spans="6:6" x14ac:dyDescent="0.3">
      <c r="F2510" s="193"/>
    </row>
    <row r="2511" spans="6:6" x14ac:dyDescent="0.3">
      <c r="F2511" s="193"/>
    </row>
    <row r="2512" spans="6:6" x14ac:dyDescent="0.3">
      <c r="F2512" s="193"/>
    </row>
    <row r="2513" spans="6:6" x14ac:dyDescent="0.3">
      <c r="F2513" s="193"/>
    </row>
    <row r="2514" spans="6:6" x14ac:dyDescent="0.3">
      <c r="F2514" s="193"/>
    </row>
    <row r="2515" spans="6:6" x14ac:dyDescent="0.3">
      <c r="F2515" s="193"/>
    </row>
    <row r="2516" spans="6:6" x14ac:dyDescent="0.3">
      <c r="F2516" s="193"/>
    </row>
    <row r="2517" spans="6:6" x14ac:dyDescent="0.3">
      <c r="F2517" s="193"/>
    </row>
    <row r="2518" spans="6:6" x14ac:dyDescent="0.3">
      <c r="F2518" s="193"/>
    </row>
    <row r="2519" spans="6:6" x14ac:dyDescent="0.3">
      <c r="F2519" s="193"/>
    </row>
    <row r="2520" spans="6:6" x14ac:dyDescent="0.3">
      <c r="F2520" s="193"/>
    </row>
    <row r="2521" spans="6:6" x14ac:dyDescent="0.3">
      <c r="F2521" s="193"/>
    </row>
    <row r="2522" spans="6:6" x14ac:dyDescent="0.3">
      <c r="F2522" s="193"/>
    </row>
    <row r="2523" spans="6:6" x14ac:dyDescent="0.3">
      <c r="F2523" s="193"/>
    </row>
    <row r="2524" spans="6:6" x14ac:dyDescent="0.3">
      <c r="F2524" s="193"/>
    </row>
    <row r="2525" spans="6:6" x14ac:dyDescent="0.3">
      <c r="F2525" s="193"/>
    </row>
    <row r="2526" spans="6:6" x14ac:dyDescent="0.3">
      <c r="F2526" s="193"/>
    </row>
    <row r="2527" spans="6:6" x14ac:dyDescent="0.3">
      <c r="F2527" s="193"/>
    </row>
    <row r="2528" spans="6:6" x14ac:dyDescent="0.3">
      <c r="F2528" s="193"/>
    </row>
    <row r="2529" spans="6:6" x14ac:dyDescent="0.3">
      <c r="F2529" s="193"/>
    </row>
    <row r="2530" spans="6:6" x14ac:dyDescent="0.3">
      <c r="F2530" s="193"/>
    </row>
    <row r="2531" spans="6:6" x14ac:dyDescent="0.3">
      <c r="F2531" s="193"/>
    </row>
    <row r="2532" spans="6:6" x14ac:dyDescent="0.3">
      <c r="F2532" s="193"/>
    </row>
    <row r="2533" spans="6:6" x14ac:dyDescent="0.3">
      <c r="F2533" s="193"/>
    </row>
    <row r="2534" spans="6:6" x14ac:dyDescent="0.3">
      <c r="F2534" s="193"/>
    </row>
    <row r="2535" spans="6:6" x14ac:dyDescent="0.3">
      <c r="F2535" s="193"/>
    </row>
    <row r="2536" spans="6:6" x14ac:dyDescent="0.3">
      <c r="F2536" s="193"/>
    </row>
    <row r="2537" spans="6:6" x14ac:dyDescent="0.3">
      <c r="F2537" s="193"/>
    </row>
    <row r="2538" spans="6:6" x14ac:dyDescent="0.3">
      <c r="F2538" s="193"/>
    </row>
    <row r="2539" spans="6:6" x14ac:dyDescent="0.3">
      <c r="F2539" s="193"/>
    </row>
    <row r="2540" spans="6:6" x14ac:dyDescent="0.3">
      <c r="F2540" s="193"/>
    </row>
    <row r="2541" spans="6:6" x14ac:dyDescent="0.3">
      <c r="F2541" s="193"/>
    </row>
    <row r="2542" spans="6:6" x14ac:dyDescent="0.3">
      <c r="F2542" s="193"/>
    </row>
    <row r="2543" spans="6:6" x14ac:dyDescent="0.3">
      <c r="F2543" s="193"/>
    </row>
    <row r="2544" spans="6:6" x14ac:dyDescent="0.3">
      <c r="F2544" s="193"/>
    </row>
    <row r="2545" spans="6:6" x14ac:dyDescent="0.3">
      <c r="F2545" s="193"/>
    </row>
    <row r="2546" spans="6:6" x14ac:dyDescent="0.3">
      <c r="F2546" s="193"/>
    </row>
    <row r="2547" spans="6:6" x14ac:dyDescent="0.3">
      <c r="F2547" s="193"/>
    </row>
    <row r="2548" spans="6:6" x14ac:dyDescent="0.3">
      <c r="F2548" s="193"/>
    </row>
    <row r="2549" spans="6:6" x14ac:dyDescent="0.3">
      <c r="F2549" s="193"/>
    </row>
    <row r="2550" spans="6:6" x14ac:dyDescent="0.3">
      <c r="F2550" s="193"/>
    </row>
    <row r="2551" spans="6:6" x14ac:dyDescent="0.3">
      <c r="F2551" s="193"/>
    </row>
    <row r="2552" spans="6:6" x14ac:dyDescent="0.3">
      <c r="F2552" s="193"/>
    </row>
    <row r="2553" spans="6:6" x14ac:dyDescent="0.3">
      <c r="F2553" s="193"/>
    </row>
    <row r="2554" spans="6:6" x14ac:dyDescent="0.3">
      <c r="F2554" s="193"/>
    </row>
    <row r="2555" spans="6:6" x14ac:dyDescent="0.3">
      <c r="F2555" s="193"/>
    </row>
    <row r="2556" spans="6:6" x14ac:dyDescent="0.3">
      <c r="F2556" s="193"/>
    </row>
    <row r="2557" spans="6:6" x14ac:dyDescent="0.3">
      <c r="F2557" s="193"/>
    </row>
    <row r="2558" spans="6:6" x14ac:dyDescent="0.3">
      <c r="F2558" s="193"/>
    </row>
    <row r="2559" spans="6:6" x14ac:dyDescent="0.3">
      <c r="F2559" s="193"/>
    </row>
    <row r="2560" spans="6:6" x14ac:dyDescent="0.3">
      <c r="F2560" s="193"/>
    </row>
    <row r="2561" spans="6:6" x14ac:dyDescent="0.3">
      <c r="F2561" s="193"/>
    </row>
    <row r="2562" spans="6:6" x14ac:dyDescent="0.3">
      <c r="F2562" s="193"/>
    </row>
    <row r="2563" spans="6:6" x14ac:dyDescent="0.3">
      <c r="F2563" s="193"/>
    </row>
    <row r="2564" spans="6:6" x14ac:dyDescent="0.3">
      <c r="F2564" s="193"/>
    </row>
    <row r="2565" spans="6:6" x14ac:dyDescent="0.3">
      <c r="F2565" s="193"/>
    </row>
    <row r="2566" spans="6:6" x14ac:dyDescent="0.3">
      <c r="F2566" s="193"/>
    </row>
    <row r="2567" spans="6:6" x14ac:dyDescent="0.3">
      <c r="F2567" s="193"/>
    </row>
    <row r="2568" spans="6:6" x14ac:dyDescent="0.3">
      <c r="F2568" s="193"/>
    </row>
    <row r="2569" spans="6:6" x14ac:dyDescent="0.3">
      <c r="F2569" s="193"/>
    </row>
    <row r="2570" spans="6:6" x14ac:dyDescent="0.3">
      <c r="F2570" s="193"/>
    </row>
    <row r="2571" spans="6:6" x14ac:dyDescent="0.3">
      <c r="F2571" s="193"/>
    </row>
    <row r="2572" spans="6:6" x14ac:dyDescent="0.3">
      <c r="F2572" s="193"/>
    </row>
    <row r="2573" spans="6:6" x14ac:dyDescent="0.3">
      <c r="F2573" s="193"/>
    </row>
    <row r="2574" spans="6:6" x14ac:dyDescent="0.3">
      <c r="F2574" s="193"/>
    </row>
    <row r="2575" spans="6:6" x14ac:dyDescent="0.3">
      <c r="F2575" s="193"/>
    </row>
    <row r="2576" spans="6:6" x14ac:dyDescent="0.3">
      <c r="F2576" s="193"/>
    </row>
    <row r="2577" spans="6:6" x14ac:dyDescent="0.3">
      <c r="F2577" s="193"/>
    </row>
    <row r="2578" spans="6:6" x14ac:dyDescent="0.3">
      <c r="F2578" s="193"/>
    </row>
    <row r="2579" spans="6:6" x14ac:dyDescent="0.3">
      <c r="F2579" s="193"/>
    </row>
    <row r="2580" spans="6:6" x14ac:dyDescent="0.3">
      <c r="F2580" s="193"/>
    </row>
    <row r="2581" spans="6:6" x14ac:dyDescent="0.3">
      <c r="F2581" s="193"/>
    </row>
    <row r="2582" spans="6:6" x14ac:dyDescent="0.3">
      <c r="F2582" s="193"/>
    </row>
    <row r="2583" spans="6:6" x14ac:dyDescent="0.3">
      <c r="F2583" s="193"/>
    </row>
    <row r="2584" spans="6:6" x14ac:dyDescent="0.3">
      <c r="F2584" s="193"/>
    </row>
    <row r="2585" spans="6:6" x14ac:dyDescent="0.3">
      <c r="F2585" s="193"/>
    </row>
    <row r="2586" spans="6:6" x14ac:dyDescent="0.3">
      <c r="F2586" s="193"/>
    </row>
    <row r="2587" spans="6:6" x14ac:dyDescent="0.3">
      <c r="F2587" s="193"/>
    </row>
    <row r="2588" spans="6:6" x14ac:dyDescent="0.3">
      <c r="F2588" s="193"/>
    </row>
    <row r="2589" spans="6:6" x14ac:dyDescent="0.3">
      <c r="F2589" s="193"/>
    </row>
    <row r="2590" spans="6:6" x14ac:dyDescent="0.3">
      <c r="F2590" s="193"/>
    </row>
    <row r="2591" spans="6:6" x14ac:dyDescent="0.3">
      <c r="F2591" s="193"/>
    </row>
    <row r="2592" spans="6:6" x14ac:dyDescent="0.3">
      <c r="F2592" s="193"/>
    </row>
    <row r="2593" spans="6:6" x14ac:dyDescent="0.3">
      <c r="F2593" s="193"/>
    </row>
    <row r="2594" spans="6:6" x14ac:dyDescent="0.3">
      <c r="F2594" s="193"/>
    </row>
    <row r="2595" spans="6:6" x14ac:dyDescent="0.3">
      <c r="F2595" s="193"/>
    </row>
    <row r="2596" spans="6:6" x14ac:dyDescent="0.3">
      <c r="F2596" s="193"/>
    </row>
    <row r="2597" spans="6:6" x14ac:dyDescent="0.3">
      <c r="F2597" s="193"/>
    </row>
    <row r="2598" spans="6:6" x14ac:dyDescent="0.3">
      <c r="F2598" s="193"/>
    </row>
    <row r="2599" spans="6:6" x14ac:dyDescent="0.3">
      <c r="F2599" s="193"/>
    </row>
    <row r="2600" spans="6:6" x14ac:dyDescent="0.3">
      <c r="F2600" s="193"/>
    </row>
    <row r="2601" spans="6:6" x14ac:dyDescent="0.3">
      <c r="F2601" s="193"/>
    </row>
    <row r="2602" spans="6:6" x14ac:dyDescent="0.3">
      <c r="F2602" s="193"/>
    </row>
    <row r="2603" spans="6:6" x14ac:dyDescent="0.3">
      <c r="F2603" s="193"/>
    </row>
    <row r="2604" spans="6:6" x14ac:dyDescent="0.3">
      <c r="F2604" s="193"/>
    </row>
    <row r="2605" spans="6:6" x14ac:dyDescent="0.3">
      <c r="F2605" s="193"/>
    </row>
    <row r="2606" spans="6:6" x14ac:dyDescent="0.3">
      <c r="F2606" s="193"/>
    </row>
    <row r="2607" spans="6:6" x14ac:dyDescent="0.3">
      <c r="F2607" s="193"/>
    </row>
    <row r="2608" spans="6:6" x14ac:dyDescent="0.3">
      <c r="F2608" s="193"/>
    </row>
    <row r="2609" spans="6:6" x14ac:dyDescent="0.3">
      <c r="F2609" s="193"/>
    </row>
    <row r="2610" spans="6:6" x14ac:dyDescent="0.3">
      <c r="F2610" s="193"/>
    </row>
    <row r="2611" spans="6:6" x14ac:dyDescent="0.3">
      <c r="F2611" s="193"/>
    </row>
    <row r="2612" spans="6:6" x14ac:dyDescent="0.3">
      <c r="F2612" s="193"/>
    </row>
    <row r="2613" spans="6:6" x14ac:dyDescent="0.3">
      <c r="F2613" s="193"/>
    </row>
    <row r="2614" spans="6:6" x14ac:dyDescent="0.3">
      <c r="F2614" s="193"/>
    </row>
    <row r="2615" spans="6:6" x14ac:dyDescent="0.3">
      <c r="F2615" s="193"/>
    </row>
    <row r="2616" spans="6:6" x14ac:dyDescent="0.3">
      <c r="F2616" s="193"/>
    </row>
    <row r="2617" spans="6:6" x14ac:dyDescent="0.3">
      <c r="F2617" s="193"/>
    </row>
    <row r="2618" spans="6:6" x14ac:dyDescent="0.3">
      <c r="F2618" s="193"/>
    </row>
    <row r="2619" spans="6:6" x14ac:dyDescent="0.3">
      <c r="F2619" s="193"/>
    </row>
    <row r="2620" spans="6:6" x14ac:dyDescent="0.3">
      <c r="F2620" s="193"/>
    </row>
    <row r="2621" spans="6:6" x14ac:dyDescent="0.3">
      <c r="F2621" s="193"/>
    </row>
    <row r="2622" spans="6:6" x14ac:dyDescent="0.3">
      <c r="F2622" s="193"/>
    </row>
    <row r="2623" spans="6:6" x14ac:dyDescent="0.3">
      <c r="F2623" s="193"/>
    </row>
    <row r="2624" spans="6:6" x14ac:dyDescent="0.3">
      <c r="F2624" s="193"/>
    </row>
    <row r="2625" spans="6:6" x14ac:dyDescent="0.3">
      <c r="F2625" s="193"/>
    </row>
    <row r="2626" spans="6:6" x14ac:dyDescent="0.3">
      <c r="F2626" s="193"/>
    </row>
    <row r="2627" spans="6:6" x14ac:dyDescent="0.3">
      <c r="F2627" s="193"/>
    </row>
    <row r="2628" spans="6:6" x14ac:dyDescent="0.3">
      <c r="F2628" s="193"/>
    </row>
    <row r="2629" spans="6:6" x14ac:dyDescent="0.3">
      <c r="F2629" s="193"/>
    </row>
    <row r="2630" spans="6:6" x14ac:dyDescent="0.3">
      <c r="F2630" s="193"/>
    </row>
    <row r="2631" spans="6:6" x14ac:dyDescent="0.3">
      <c r="F2631" s="193"/>
    </row>
    <row r="2632" spans="6:6" x14ac:dyDescent="0.3">
      <c r="F2632" s="193"/>
    </row>
    <row r="2633" spans="6:6" x14ac:dyDescent="0.3">
      <c r="F2633" s="193"/>
    </row>
    <row r="2634" spans="6:6" x14ac:dyDescent="0.3">
      <c r="F2634" s="193"/>
    </row>
    <row r="2635" spans="6:6" x14ac:dyDescent="0.3">
      <c r="F2635" s="193"/>
    </row>
    <row r="2636" spans="6:6" x14ac:dyDescent="0.3">
      <c r="F2636" s="193"/>
    </row>
    <row r="2637" spans="6:6" x14ac:dyDescent="0.3">
      <c r="F2637" s="193"/>
    </row>
    <row r="2638" spans="6:6" x14ac:dyDescent="0.3">
      <c r="F2638" s="193"/>
    </row>
    <row r="2639" spans="6:6" x14ac:dyDescent="0.3">
      <c r="F2639" s="193"/>
    </row>
    <row r="2640" spans="6:6" x14ac:dyDescent="0.3">
      <c r="F2640" s="193"/>
    </row>
    <row r="2641" spans="6:6" x14ac:dyDescent="0.3">
      <c r="F2641" s="193"/>
    </row>
    <row r="2642" spans="6:6" x14ac:dyDescent="0.3">
      <c r="F2642" s="193"/>
    </row>
    <row r="2643" spans="6:6" x14ac:dyDescent="0.3">
      <c r="F2643" s="193"/>
    </row>
    <row r="2644" spans="6:6" x14ac:dyDescent="0.3">
      <c r="F2644" s="193"/>
    </row>
    <row r="2645" spans="6:6" x14ac:dyDescent="0.3">
      <c r="F2645" s="193"/>
    </row>
    <row r="2646" spans="6:6" x14ac:dyDescent="0.3">
      <c r="F2646" s="193"/>
    </row>
    <row r="2647" spans="6:6" x14ac:dyDescent="0.3">
      <c r="F2647" s="193"/>
    </row>
    <row r="2648" spans="6:6" x14ac:dyDescent="0.3">
      <c r="F2648" s="193"/>
    </row>
    <row r="2649" spans="6:6" x14ac:dyDescent="0.3">
      <c r="F2649" s="193"/>
    </row>
    <row r="2650" spans="6:6" x14ac:dyDescent="0.3">
      <c r="F2650" s="193"/>
    </row>
    <row r="2651" spans="6:6" x14ac:dyDescent="0.3">
      <c r="F2651" s="193"/>
    </row>
    <row r="2652" spans="6:6" x14ac:dyDescent="0.3">
      <c r="F2652" s="193"/>
    </row>
    <row r="2653" spans="6:6" x14ac:dyDescent="0.3">
      <c r="F2653" s="193"/>
    </row>
    <row r="2654" spans="6:6" x14ac:dyDescent="0.3">
      <c r="F2654" s="193"/>
    </row>
    <row r="2655" spans="6:6" x14ac:dyDescent="0.3">
      <c r="F2655" s="193"/>
    </row>
    <row r="2656" spans="6:6" x14ac:dyDescent="0.3">
      <c r="F2656" s="193"/>
    </row>
    <row r="2657" spans="6:6" x14ac:dyDescent="0.3">
      <c r="F2657" s="193"/>
    </row>
    <row r="2658" spans="6:6" x14ac:dyDescent="0.3">
      <c r="F2658" s="193"/>
    </row>
    <row r="2659" spans="6:6" x14ac:dyDescent="0.3">
      <c r="F2659" s="193"/>
    </row>
    <row r="2660" spans="6:6" x14ac:dyDescent="0.3">
      <c r="F2660" s="193"/>
    </row>
    <row r="2661" spans="6:6" x14ac:dyDescent="0.3">
      <c r="F2661" s="193"/>
    </row>
    <row r="2662" spans="6:6" x14ac:dyDescent="0.3">
      <c r="F2662" s="193"/>
    </row>
    <row r="2663" spans="6:6" x14ac:dyDescent="0.3">
      <c r="F2663" s="193"/>
    </row>
    <row r="2664" spans="6:6" x14ac:dyDescent="0.3">
      <c r="F2664" s="193"/>
    </row>
    <row r="2665" spans="6:6" x14ac:dyDescent="0.3">
      <c r="F2665" s="193"/>
    </row>
    <row r="2666" spans="6:6" x14ac:dyDescent="0.3">
      <c r="F2666" s="193"/>
    </row>
    <row r="2667" spans="6:6" x14ac:dyDescent="0.3">
      <c r="F2667" s="193"/>
    </row>
    <row r="2668" spans="6:6" x14ac:dyDescent="0.3">
      <c r="F2668" s="193"/>
    </row>
    <row r="2669" spans="6:6" x14ac:dyDescent="0.3">
      <c r="F2669" s="193"/>
    </row>
    <row r="2670" spans="6:6" x14ac:dyDescent="0.3">
      <c r="F2670" s="193"/>
    </row>
    <row r="2671" spans="6:6" x14ac:dyDescent="0.3">
      <c r="F2671" s="193"/>
    </row>
    <row r="2672" spans="6:6" x14ac:dyDescent="0.3">
      <c r="F2672" s="193"/>
    </row>
    <row r="2673" spans="6:6" x14ac:dyDescent="0.3">
      <c r="F2673" s="193"/>
    </row>
    <row r="2674" spans="6:6" x14ac:dyDescent="0.3">
      <c r="F2674" s="193"/>
    </row>
    <row r="2675" spans="6:6" x14ac:dyDescent="0.3">
      <c r="F2675" s="193"/>
    </row>
    <row r="2676" spans="6:6" x14ac:dyDescent="0.3">
      <c r="F2676" s="193"/>
    </row>
    <row r="2677" spans="6:6" x14ac:dyDescent="0.3">
      <c r="F2677" s="193"/>
    </row>
    <row r="2678" spans="6:6" x14ac:dyDescent="0.3">
      <c r="F2678" s="193"/>
    </row>
    <row r="2679" spans="6:6" x14ac:dyDescent="0.3">
      <c r="F2679" s="193"/>
    </row>
    <row r="2680" spans="6:6" x14ac:dyDescent="0.3">
      <c r="F2680" s="193"/>
    </row>
    <row r="2681" spans="6:6" x14ac:dyDescent="0.3">
      <c r="F2681" s="193"/>
    </row>
    <row r="2682" spans="6:6" x14ac:dyDescent="0.3">
      <c r="F2682" s="193"/>
    </row>
    <row r="2683" spans="6:6" x14ac:dyDescent="0.3">
      <c r="F2683" s="193"/>
    </row>
    <row r="2684" spans="6:6" x14ac:dyDescent="0.3">
      <c r="F2684" s="193"/>
    </row>
    <row r="2685" spans="6:6" x14ac:dyDescent="0.3">
      <c r="F2685" s="193"/>
    </row>
    <row r="2686" spans="6:6" x14ac:dyDescent="0.3">
      <c r="F2686" s="193"/>
    </row>
    <row r="2687" spans="6:6" x14ac:dyDescent="0.3">
      <c r="F2687" s="193"/>
    </row>
    <row r="2688" spans="6:6" x14ac:dyDescent="0.3">
      <c r="F2688" s="193"/>
    </row>
    <row r="2689" spans="6:6" x14ac:dyDescent="0.3">
      <c r="F2689" s="193"/>
    </row>
    <row r="2690" spans="6:6" x14ac:dyDescent="0.3">
      <c r="F2690" s="193"/>
    </row>
    <row r="2691" spans="6:6" x14ac:dyDescent="0.3">
      <c r="F2691" s="193"/>
    </row>
    <row r="2692" spans="6:6" x14ac:dyDescent="0.3">
      <c r="F2692" s="193"/>
    </row>
    <row r="2693" spans="6:6" x14ac:dyDescent="0.3">
      <c r="F2693" s="193"/>
    </row>
    <row r="2694" spans="6:6" x14ac:dyDescent="0.3">
      <c r="F2694" s="193"/>
    </row>
    <row r="2695" spans="6:6" x14ac:dyDescent="0.3">
      <c r="F2695" s="193"/>
    </row>
    <row r="2696" spans="6:6" x14ac:dyDescent="0.3">
      <c r="F2696" s="193"/>
    </row>
    <row r="2697" spans="6:6" x14ac:dyDescent="0.3">
      <c r="F2697" s="193"/>
    </row>
    <row r="2698" spans="6:6" x14ac:dyDescent="0.3">
      <c r="F2698" s="193"/>
    </row>
    <row r="2699" spans="6:6" x14ac:dyDescent="0.3">
      <c r="F2699" s="193"/>
    </row>
    <row r="2700" spans="6:6" x14ac:dyDescent="0.3">
      <c r="F2700" s="193"/>
    </row>
    <row r="2701" spans="6:6" x14ac:dyDescent="0.3">
      <c r="F2701" s="193"/>
    </row>
    <row r="2702" spans="6:6" x14ac:dyDescent="0.3">
      <c r="F2702" s="193"/>
    </row>
    <row r="2703" spans="6:6" x14ac:dyDescent="0.3">
      <c r="F2703" s="193"/>
    </row>
    <row r="2704" spans="6:6" x14ac:dyDescent="0.3">
      <c r="F2704" s="193"/>
    </row>
    <row r="2705" spans="6:6" x14ac:dyDescent="0.3">
      <c r="F2705" s="193"/>
    </row>
    <row r="2706" spans="6:6" x14ac:dyDescent="0.3">
      <c r="F2706" s="193"/>
    </row>
    <row r="2707" spans="6:6" x14ac:dyDescent="0.3">
      <c r="F2707" s="193"/>
    </row>
    <row r="2708" spans="6:6" x14ac:dyDescent="0.3">
      <c r="F2708" s="193"/>
    </row>
    <row r="2709" spans="6:6" x14ac:dyDescent="0.3">
      <c r="F2709" s="193"/>
    </row>
    <row r="2710" spans="6:6" x14ac:dyDescent="0.3">
      <c r="F2710" s="193"/>
    </row>
    <row r="2711" spans="6:6" x14ac:dyDescent="0.3">
      <c r="F2711" s="193"/>
    </row>
    <row r="2712" spans="6:6" x14ac:dyDescent="0.3">
      <c r="F2712" s="193"/>
    </row>
    <row r="2713" spans="6:6" x14ac:dyDescent="0.3">
      <c r="F2713" s="193"/>
    </row>
    <row r="2714" spans="6:6" x14ac:dyDescent="0.3">
      <c r="F2714" s="193"/>
    </row>
    <row r="2715" spans="6:6" x14ac:dyDescent="0.3">
      <c r="F2715" s="193"/>
    </row>
    <row r="2716" spans="6:6" x14ac:dyDescent="0.3">
      <c r="F2716" s="193"/>
    </row>
    <row r="2717" spans="6:6" x14ac:dyDescent="0.3">
      <c r="F2717" s="193"/>
    </row>
    <row r="2718" spans="6:6" x14ac:dyDescent="0.3">
      <c r="F2718" s="193"/>
    </row>
    <row r="2719" spans="6:6" x14ac:dyDescent="0.3">
      <c r="F2719" s="193"/>
    </row>
    <row r="2720" spans="6:6" x14ac:dyDescent="0.3">
      <c r="F2720" s="193"/>
    </row>
    <row r="2721" spans="6:6" x14ac:dyDescent="0.3">
      <c r="F2721" s="193"/>
    </row>
    <row r="2722" spans="6:6" x14ac:dyDescent="0.3">
      <c r="F2722" s="193"/>
    </row>
    <row r="2723" spans="6:6" x14ac:dyDescent="0.3">
      <c r="F2723" s="193"/>
    </row>
    <row r="2724" spans="6:6" x14ac:dyDescent="0.3">
      <c r="F2724" s="193"/>
    </row>
    <row r="2725" spans="6:6" x14ac:dyDescent="0.3">
      <c r="F2725" s="193"/>
    </row>
    <row r="2726" spans="6:6" x14ac:dyDescent="0.3">
      <c r="F2726" s="193"/>
    </row>
    <row r="2727" spans="6:6" x14ac:dyDescent="0.3">
      <c r="F2727" s="193"/>
    </row>
    <row r="2728" spans="6:6" x14ac:dyDescent="0.3">
      <c r="F2728" s="193"/>
    </row>
    <row r="2729" spans="6:6" x14ac:dyDescent="0.3">
      <c r="F2729" s="193"/>
    </row>
    <row r="2730" spans="6:6" x14ac:dyDescent="0.3">
      <c r="F2730" s="193"/>
    </row>
    <row r="2731" spans="6:6" x14ac:dyDescent="0.3">
      <c r="F2731" s="193"/>
    </row>
    <row r="2732" spans="6:6" x14ac:dyDescent="0.3">
      <c r="F2732" s="193"/>
    </row>
    <row r="2733" spans="6:6" x14ac:dyDescent="0.3">
      <c r="F2733" s="193"/>
    </row>
    <row r="2734" spans="6:6" x14ac:dyDescent="0.3">
      <c r="F2734" s="193"/>
    </row>
    <row r="2735" spans="6:6" x14ac:dyDescent="0.3">
      <c r="F2735" s="193"/>
    </row>
    <row r="2736" spans="6:6" x14ac:dyDescent="0.3">
      <c r="F2736" s="193"/>
    </row>
    <row r="2737" spans="6:6" x14ac:dyDescent="0.3">
      <c r="F2737" s="193"/>
    </row>
    <row r="2738" spans="6:6" x14ac:dyDescent="0.3">
      <c r="F2738" s="193"/>
    </row>
    <row r="2739" spans="6:6" x14ac:dyDescent="0.3">
      <c r="F2739" s="193"/>
    </row>
    <row r="2740" spans="6:6" x14ac:dyDescent="0.3">
      <c r="F2740" s="193"/>
    </row>
    <row r="2741" spans="6:6" x14ac:dyDescent="0.3">
      <c r="F2741" s="193"/>
    </row>
    <row r="2742" spans="6:6" x14ac:dyDescent="0.3">
      <c r="F2742" s="193"/>
    </row>
    <row r="2743" spans="6:6" x14ac:dyDescent="0.3">
      <c r="F2743" s="193"/>
    </row>
    <row r="2744" spans="6:6" x14ac:dyDescent="0.3">
      <c r="F2744" s="193"/>
    </row>
    <row r="2745" spans="6:6" x14ac:dyDescent="0.3">
      <c r="F2745" s="193"/>
    </row>
    <row r="2746" spans="6:6" x14ac:dyDescent="0.3">
      <c r="F2746" s="193"/>
    </row>
    <row r="2747" spans="6:6" x14ac:dyDescent="0.3">
      <c r="F2747" s="193"/>
    </row>
    <row r="2748" spans="6:6" x14ac:dyDescent="0.3">
      <c r="F2748" s="193"/>
    </row>
    <row r="2749" spans="6:6" x14ac:dyDescent="0.3">
      <c r="F2749" s="193"/>
    </row>
    <row r="2750" spans="6:6" x14ac:dyDescent="0.3">
      <c r="F2750" s="193"/>
    </row>
    <row r="2751" spans="6:6" x14ac:dyDescent="0.3">
      <c r="F2751" s="193"/>
    </row>
    <row r="2752" spans="6:6" x14ac:dyDescent="0.3">
      <c r="F2752" s="193"/>
    </row>
    <row r="2753" spans="6:6" x14ac:dyDescent="0.3">
      <c r="F2753" s="193"/>
    </row>
    <row r="2754" spans="6:6" x14ac:dyDescent="0.3">
      <c r="F2754" s="193"/>
    </row>
    <row r="2755" spans="6:6" x14ac:dyDescent="0.3">
      <c r="F2755" s="193"/>
    </row>
    <row r="2756" spans="6:6" x14ac:dyDescent="0.3">
      <c r="F2756" s="193"/>
    </row>
    <row r="2757" spans="6:6" x14ac:dyDescent="0.3">
      <c r="F2757" s="193"/>
    </row>
    <row r="2758" spans="6:6" x14ac:dyDescent="0.3">
      <c r="F2758" s="193"/>
    </row>
    <row r="2759" spans="6:6" x14ac:dyDescent="0.3">
      <c r="F2759" s="193"/>
    </row>
    <row r="2760" spans="6:6" x14ac:dyDescent="0.3">
      <c r="F2760" s="193"/>
    </row>
    <row r="2761" spans="6:6" x14ac:dyDescent="0.3">
      <c r="F2761" s="193"/>
    </row>
    <row r="2762" spans="6:6" x14ac:dyDescent="0.3">
      <c r="F2762" s="193"/>
    </row>
    <row r="2763" spans="6:6" x14ac:dyDescent="0.3">
      <c r="F2763" s="193"/>
    </row>
    <row r="2764" spans="6:6" x14ac:dyDescent="0.3">
      <c r="F2764" s="193"/>
    </row>
    <row r="2765" spans="6:6" x14ac:dyDescent="0.3">
      <c r="F2765" s="193"/>
    </row>
    <row r="2766" spans="6:6" x14ac:dyDescent="0.3">
      <c r="F2766" s="193"/>
    </row>
    <row r="2767" spans="6:6" x14ac:dyDescent="0.3">
      <c r="F2767" s="193"/>
    </row>
    <row r="2768" spans="6:6" x14ac:dyDescent="0.3">
      <c r="F2768" s="193"/>
    </row>
    <row r="2769" spans="6:6" x14ac:dyDescent="0.3">
      <c r="F2769" s="193"/>
    </row>
    <row r="2770" spans="6:6" x14ac:dyDescent="0.3">
      <c r="F2770" s="193"/>
    </row>
    <row r="2771" spans="6:6" x14ac:dyDescent="0.3">
      <c r="F2771" s="193"/>
    </row>
    <row r="2772" spans="6:6" x14ac:dyDescent="0.3">
      <c r="F2772" s="193"/>
    </row>
    <row r="2773" spans="6:6" x14ac:dyDescent="0.3">
      <c r="F2773" s="193"/>
    </row>
    <row r="2774" spans="6:6" x14ac:dyDescent="0.3">
      <c r="F2774" s="193"/>
    </row>
    <row r="2775" spans="6:6" x14ac:dyDescent="0.3">
      <c r="F2775" s="193"/>
    </row>
    <row r="2776" spans="6:6" x14ac:dyDescent="0.3">
      <c r="F2776" s="193"/>
    </row>
    <row r="2777" spans="6:6" x14ac:dyDescent="0.3">
      <c r="F2777" s="193"/>
    </row>
    <row r="2778" spans="6:6" x14ac:dyDescent="0.3">
      <c r="F2778" s="193"/>
    </row>
    <row r="2779" spans="6:6" x14ac:dyDescent="0.3">
      <c r="F2779" s="193"/>
    </row>
    <row r="2780" spans="6:6" x14ac:dyDescent="0.3">
      <c r="F2780" s="193"/>
    </row>
    <row r="2781" spans="6:6" x14ac:dyDescent="0.3">
      <c r="F2781" s="193"/>
    </row>
    <row r="2782" spans="6:6" x14ac:dyDescent="0.3">
      <c r="F2782" s="193"/>
    </row>
    <row r="2783" spans="6:6" x14ac:dyDescent="0.3">
      <c r="F2783" s="193"/>
    </row>
    <row r="2784" spans="6:6" x14ac:dyDescent="0.3">
      <c r="F2784" s="193"/>
    </row>
    <row r="2785" spans="6:6" x14ac:dyDescent="0.3">
      <c r="F2785" s="193"/>
    </row>
    <row r="2786" spans="6:6" x14ac:dyDescent="0.3">
      <c r="F2786" s="193"/>
    </row>
    <row r="2787" spans="6:6" x14ac:dyDescent="0.3">
      <c r="F2787" s="193"/>
    </row>
    <row r="2788" spans="6:6" x14ac:dyDescent="0.3">
      <c r="F2788" s="193"/>
    </row>
    <row r="2789" spans="6:6" x14ac:dyDescent="0.3">
      <c r="F2789" s="193"/>
    </row>
    <row r="2790" spans="6:6" x14ac:dyDescent="0.3">
      <c r="F2790" s="193"/>
    </row>
    <row r="2791" spans="6:6" x14ac:dyDescent="0.3">
      <c r="F2791" s="193"/>
    </row>
    <row r="2792" spans="6:6" x14ac:dyDescent="0.3">
      <c r="F2792" s="193"/>
    </row>
    <row r="2793" spans="6:6" x14ac:dyDescent="0.3">
      <c r="F2793" s="193"/>
    </row>
    <row r="2794" spans="6:6" x14ac:dyDescent="0.3">
      <c r="F2794" s="193"/>
    </row>
    <row r="2795" spans="6:6" x14ac:dyDescent="0.3">
      <c r="F2795" s="193"/>
    </row>
    <row r="2796" spans="6:6" x14ac:dyDescent="0.3">
      <c r="F2796" s="193"/>
    </row>
    <row r="2797" spans="6:6" x14ac:dyDescent="0.3">
      <c r="F2797" s="193"/>
    </row>
    <row r="2798" spans="6:6" x14ac:dyDescent="0.3">
      <c r="F2798" s="193"/>
    </row>
    <row r="2799" spans="6:6" x14ac:dyDescent="0.3">
      <c r="F2799" s="193"/>
    </row>
    <row r="2800" spans="6:6" x14ac:dyDescent="0.3">
      <c r="F2800" s="193"/>
    </row>
    <row r="2801" spans="6:6" x14ac:dyDescent="0.3">
      <c r="F2801" s="193"/>
    </row>
    <row r="2802" spans="6:6" x14ac:dyDescent="0.3">
      <c r="F2802" s="193"/>
    </row>
    <row r="2803" spans="6:6" x14ac:dyDescent="0.3">
      <c r="F2803" s="193"/>
    </row>
    <row r="2804" spans="6:6" x14ac:dyDescent="0.3">
      <c r="F2804" s="193"/>
    </row>
    <row r="2805" spans="6:6" x14ac:dyDescent="0.3">
      <c r="F2805" s="193"/>
    </row>
    <row r="2806" spans="6:6" x14ac:dyDescent="0.3">
      <c r="F2806" s="193"/>
    </row>
    <row r="2807" spans="6:6" x14ac:dyDescent="0.3">
      <c r="F2807" s="193"/>
    </row>
    <row r="2808" spans="6:6" x14ac:dyDescent="0.3">
      <c r="F2808" s="193"/>
    </row>
    <row r="2809" spans="6:6" x14ac:dyDescent="0.3">
      <c r="F2809" s="193"/>
    </row>
    <row r="2810" spans="6:6" x14ac:dyDescent="0.3">
      <c r="F2810" s="193"/>
    </row>
    <row r="2811" spans="6:6" x14ac:dyDescent="0.3">
      <c r="F2811" s="193"/>
    </row>
    <row r="2812" spans="6:6" x14ac:dyDescent="0.3">
      <c r="F2812" s="193"/>
    </row>
    <row r="2813" spans="6:6" x14ac:dyDescent="0.3">
      <c r="F2813" s="193"/>
    </row>
    <row r="2814" spans="6:6" x14ac:dyDescent="0.3">
      <c r="F2814" s="193"/>
    </row>
    <row r="2815" spans="6:6" x14ac:dyDescent="0.3">
      <c r="F2815" s="193"/>
    </row>
    <row r="2816" spans="6:6" x14ac:dyDescent="0.3">
      <c r="F2816" s="193"/>
    </row>
    <row r="2817" spans="6:6" x14ac:dyDescent="0.3">
      <c r="F2817" s="193"/>
    </row>
    <row r="2818" spans="6:6" x14ac:dyDescent="0.3">
      <c r="F2818" s="193"/>
    </row>
    <row r="2819" spans="6:6" x14ac:dyDescent="0.3">
      <c r="F2819" s="193"/>
    </row>
    <row r="2820" spans="6:6" x14ac:dyDescent="0.3">
      <c r="F2820" s="193"/>
    </row>
    <row r="2821" spans="6:6" x14ac:dyDescent="0.3">
      <c r="F2821" s="193"/>
    </row>
    <row r="2822" spans="6:6" x14ac:dyDescent="0.3">
      <c r="F2822" s="193"/>
    </row>
    <row r="2823" spans="6:6" x14ac:dyDescent="0.3">
      <c r="F2823" s="193"/>
    </row>
    <row r="2824" spans="6:6" x14ac:dyDescent="0.3">
      <c r="F2824" s="193"/>
    </row>
    <row r="2825" spans="6:6" x14ac:dyDescent="0.3">
      <c r="F2825" s="193"/>
    </row>
    <row r="2826" spans="6:6" x14ac:dyDescent="0.3">
      <c r="F2826" s="193"/>
    </row>
    <row r="2827" spans="6:6" x14ac:dyDescent="0.3">
      <c r="F2827" s="193"/>
    </row>
    <row r="2828" spans="6:6" x14ac:dyDescent="0.3">
      <c r="F2828" s="193"/>
    </row>
    <row r="2829" spans="6:6" x14ac:dyDescent="0.3">
      <c r="F2829" s="193"/>
    </row>
    <row r="2830" spans="6:6" x14ac:dyDescent="0.3">
      <c r="F2830" s="193"/>
    </row>
    <row r="2831" spans="6:6" x14ac:dyDescent="0.3">
      <c r="F2831" s="193"/>
    </row>
    <row r="2832" spans="6:6" x14ac:dyDescent="0.3">
      <c r="F2832" s="193"/>
    </row>
    <row r="2833" spans="6:6" x14ac:dyDescent="0.3">
      <c r="F2833" s="193"/>
    </row>
    <row r="2834" spans="6:6" x14ac:dyDescent="0.3">
      <c r="F2834" s="193"/>
    </row>
    <row r="2835" spans="6:6" x14ac:dyDescent="0.3">
      <c r="F2835" s="193"/>
    </row>
    <row r="2836" spans="6:6" x14ac:dyDescent="0.3">
      <c r="F2836" s="193"/>
    </row>
    <row r="2837" spans="6:6" x14ac:dyDescent="0.3">
      <c r="F2837" s="193"/>
    </row>
    <row r="2838" spans="6:6" x14ac:dyDescent="0.3">
      <c r="F2838" s="193"/>
    </row>
    <row r="2839" spans="6:6" x14ac:dyDescent="0.3">
      <c r="F2839" s="193"/>
    </row>
    <row r="2840" spans="6:6" x14ac:dyDescent="0.3">
      <c r="F2840" s="193"/>
    </row>
    <row r="2841" spans="6:6" x14ac:dyDescent="0.3">
      <c r="F2841" s="193"/>
    </row>
    <row r="2842" spans="6:6" x14ac:dyDescent="0.3">
      <c r="F2842" s="193"/>
    </row>
    <row r="2843" spans="6:6" x14ac:dyDescent="0.3">
      <c r="F2843" s="193"/>
    </row>
    <row r="2844" spans="6:6" x14ac:dyDescent="0.3">
      <c r="F2844" s="193"/>
    </row>
    <row r="2845" spans="6:6" x14ac:dyDescent="0.3">
      <c r="F2845" s="193"/>
    </row>
    <row r="2846" spans="6:6" x14ac:dyDescent="0.3">
      <c r="F2846" s="193"/>
    </row>
    <row r="2847" spans="6:6" x14ac:dyDescent="0.3">
      <c r="F2847" s="193"/>
    </row>
    <row r="2848" spans="6:6" x14ac:dyDescent="0.3">
      <c r="F2848" s="193"/>
    </row>
    <row r="2849" spans="6:6" x14ac:dyDescent="0.3">
      <c r="F2849" s="193"/>
    </row>
    <row r="2850" spans="6:6" x14ac:dyDescent="0.3">
      <c r="F2850" s="193"/>
    </row>
    <row r="2851" spans="6:6" x14ac:dyDescent="0.3">
      <c r="F2851" s="193"/>
    </row>
    <row r="2852" spans="6:6" x14ac:dyDescent="0.3">
      <c r="F2852" s="193"/>
    </row>
    <row r="2853" spans="6:6" x14ac:dyDescent="0.3">
      <c r="F2853" s="193"/>
    </row>
    <row r="2854" spans="6:6" x14ac:dyDescent="0.3">
      <c r="F2854" s="193"/>
    </row>
    <row r="2855" spans="6:6" x14ac:dyDescent="0.3">
      <c r="F2855" s="193"/>
    </row>
    <row r="2856" spans="6:6" x14ac:dyDescent="0.3">
      <c r="F2856" s="193"/>
    </row>
    <row r="2857" spans="6:6" x14ac:dyDescent="0.3">
      <c r="F2857" s="193"/>
    </row>
    <row r="2858" spans="6:6" x14ac:dyDescent="0.3">
      <c r="F2858" s="193"/>
    </row>
    <row r="2859" spans="6:6" x14ac:dyDescent="0.3">
      <c r="F2859" s="193"/>
    </row>
    <row r="2860" spans="6:6" x14ac:dyDescent="0.3">
      <c r="F2860" s="193"/>
    </row>
    <row r="2861" spans="6:6" x14ac:dyDescent="0.3">
      <c r="F2861" s="193"/>
    </row>
    <row r="2862" spans="6:6" x14ac:dyDescent="0.3">
      <c r="F2862" s="193"/>
    </row>
    <row r="2863" spans="6:6" x14ac:dyDescent="0.3">
      <c r="F2863" s="193"/>
    </row>
    <row r="2864" spans="6:6" x14ac:dyDescent="0.3">
      <c r="F2864" s="193"/>
    </row>
    <row r="2865" spans="6:6" x14ac:dyDescent="0.3">
      <c r="F2865" s="193"/>
    </row>
    <row r="2866" spans="6:6" x14ac:dyDescent="0.3">
      <c r="F2866" s="193"/>
    </row>
    <row r="2867" spans="6:6" x14ac:dyDescent="0.3">
      <c r="F2867" s="193"/>
    </row>
    <row r="2868" spans="6:6" x14ac:dyDescent="0.3">
      <c r="F2868" s="193"/>
    </row>
    <row r="2869" spans="6:6" x14ac:dyDescent="0.3">
      <c r="F2869" s="193"/>
    </row>
    <row r="2870" spans="6:6" x14ac:dyDescent="0.3">
      <c r="F2870" s="193"/>
    </row>
    <row r="2871" spans="6:6" x14ac:dyDescent="0.3">
      <c r="F2871" s="193"/>
    </row>
    <row r="2872" spans="6:6" x14ac:dyDescent="0.3">
      <c r="F2872" s="193"/>
    </row>
    <row r="2873" spans="6:6" x14ac:dyDescent="0.3">
      <c r="F2873" s="193"/>
    </row>
    <row r="2874" spans="6:6" x14ac:dyDescent="0.3">
      <c r="F2874" s="193"/>
    </row>
    <row r="2875" spans="6:6" x14ac:dyDescent="0.3">
      <c r="F2875" s="193"/>
    </row>
    <row r="2876" spans="6:6" x14ac:dyDescent="0.3">
      <c r="F2876" s="193"/>
    </row>
    <row r="2877" spans="6:6" x14ac:dyDescent="0.3">
      <c r="F2877" s="193"/>
    </row>
    <row r="2878" spans="6:6" x14ac:dyDescent="0.3">
      <c r="F2878" s="193"/>
    </row>
    <row r="2879" spans="6:6" x14ac:dyDescent="0.3">
      <c r="F2879" s="193"/>
    </row>
    <row r="2880" spans="6:6" x14ac:dyDescent="0.3">
      <c r="F2880" s="193"/>
    </row>
    <row r="2881" spans="6:6" x14ac:dyDescent="0.3">
      <c r="F2881" s="193"/>
    </row>
    <row r="2882" spans="6:6" x14ac:dyDescent="0.3">
      <c r="F2882" s="193"/>
    </row>
    <row r="2883" spans="6:6" x14ac:dyDescent="0.3">
      <c r="F2883" s="193"/>
    </row>
    <row r="2884" spans="6:6" x14ac:dyDescent="0.3">
      <c r="F2884" s="193"/>
    </row>
    <row r="2885" spans="6:6" x14ac:dyDescent="0.3">
      <c r="F2885" s="193"/>
    </row>
    <row r="2886" spans="6:6" x14ac:dyDescent="0.3">
      <c r="F2886" s="193"/>
    </row>
    <row r="2887" spans="6:6" x14ac:dyDescent="0.3">
      <c r="F2887" s="193"/>
    </row>
    <row r="2888" spans="6:6" x14ac:dyDescent="0.3">
      <c r="F2888" s="193"/>
    </row>
    <row r="2889" spans="6:6" x14ac:dyDescent="0.3">
      <c r="F2889" s="193"/>
    </row>
    <row r="2890" spans="6:6" x14ac:dyDescent="0.3">
      <c r="F2890" s="193"/>
    </row>
    <row r="2891" spans="6:6" x14ac:dyDescent="0.3">
      <c r="F2891" s="193"/>
    </row>
    <row r="2892" spans="6:6" x14ac:dyDescent="0.3">
      <c r="F2892" s="193"/>
    </row>
    <row r="2893" spans="6:6" x14ac:dyDescent="0.3">
      <c r="F2893" s="193"/>
    </row>
    <row r="2894" spans="6:6" x14ac:dyDescent="0.3">
      <c r="F2894" s="193"/>
    </row>
    <row r="2895" spans="6:6" x14ac:dyDescent="0.3">
      <c r="F2895" s="193"/>
    </row>
    <row r="2896" spans="6:6" x14ac:dyDescent="0.3">
      <c r="F2896" s="193"/>
    </row>
    <row r="2897" spans="6:6" x14ac:dyDescent="0.3">
      <c r="F2897" s="193"/>
    </row>
    <row r="2898" spans="6:6" x14ac:dyDescent="0.3">
      <c r="F2898" s="193"/>
    </row>
    <row r="2899" spans="6:6" x14ac:dyDescent="0.3">
      <c r="F2899" s="193"/>
    </row>
    <row r="2900" spans="6:6" x14ac:dyDescent="0.3">
      <c r="F2900" s="193"/>
    </row>
    <row r="2901" spans="6:6" x14ac:dyDescent="0.3">
      <c r="F2901" s="193"/>
    </row>
    <row r="2902" spans="6:6" x14ac:dyDescent="0.3">
      <c r="F2902" s="193"/>
    </row>
    <row r="2903" spans="6:6" x14ac:dyDescent="0.3">
      <c r="F2903" s="193"/>
    </row>
    <row r="2904" spans="6:6" x14ac:dyDescent="0.3">
      <c r="F2904" s="193"/>
    </row>
    <row r="2905" spans="6:6" x14ac:dyDescent="0.3">
      <c r="F2905" s="193"/>
    </row>
    <row r="2906" spans="6:6" x14ac:dyDescent="0.3">
      <c r="F2906" s="193"/>
    </row>
    <row r="2907" spans="6:6" x14ac:dyDescent="0.3">
      <c r="F2907" s="193"/>
    </row>
    <row r="2908" spans="6:6" x14ac:dyDescent="0.3">
      <c r="F2908" s="193"/>
    </row>
    <row r="2909" spans="6:6" x14ac:dyDescent="0.3">
      <c r="F2909" s="193"/>
    </row>
    <row r="2910" spans="6:6" x14ac:dyDescent="0.3">
      <c r="F2910" s="193"/>
    </row>
    <row r="2911" spans="6:6" x14ac:dyDescent="0.3">
      <c r="F2911" s="193"/>
    </row>
    <row r="2912" spans="6:6" x14ac:dyDescent="0.3">
      <c r="F2912" s="193"/>
    </row>
    <row r="2913" spans="6:6" x14ac:dyDescent="0.3">
      <c r="F2913" s="193"/>
    </row>
    <row r="2914" spans="6:6" x14ac:dyDescent="0.3">
      <c r="F2914" s="193"/>
    </row>
    <row r="2915" spans="6:6" x14ac:dyDescent="0.3">
      <c r="F2915" s="193"/>
    </row>
    <row r="2916" spans="6:6" x14ac:dyDescent="0.3">
      <c r="F2916" s="193"/>
    </row>
    <row r="2917" spans="6:6" x14ac:dyDescent="0.3">
      <c r="F2917" s="193"/>
    </row>
    <row r="2918" spans="6:6" x14ac:dyDescent="0.3">
      <c r="F2918" s="193"/>
    </row>
    <row r="2919" spans="6:6" x14ac:dyDescent="0.3">
      <c r="F2919" s="193"/>
    </row>
    <row r="2920" spans="6:6" x14ac:dyDescent="0.3">
      <c r="F2920" s="193"/>
    </row>
    <row r="2921" spans="6:6" x14ac:dyDescent="0.3">
      <c r="F2921" s="193"/>
    </row>
    <row r="2922" spans="6:6" x14ac:dyDescent="0.3">
      <c r="F2922" s="193"/>
    </row>
    <row r="2923" spans="6:6" x14ac:dyDescent="0.3">
      <c r="F2923" s="193"/>
    </row>
    <row r="2924" spans="6:6" x14ac:dyDescent="0.3">
      <c r="F2924" s="193"/>
    </row>
    <row r="2925" spans="6:6" x14ac:dyDescent="0.3">
      <c r="F2925" s="193"/>
    </row>
    <row r="2926" spans="6:6" x14ac:dyDescent="0.3">
      <c r="F2926" s="193"/>
    </row>
    <row r="2927" spans="6:6" x14ac:dyDescent="0.3">
      <c r="F2927" s="193"/>
    </row>
    <row r="2928" spans="6:6" x14ac:dyDescent="0.3">
      <c r="F2928" s="193"/>
    </row>
    <row r="2929" spans="6:6" x14ac:dyDescent="0.3">
      <c r="F2929" s="193"/>
    </row>
    <row r="2930" spans="6:6" x14ac:dyDescent="0.3">
      <c r="F2930" s="193"/>
    </row>
    <row r="2931" spans="6:6" x14ac:dyDescent="0.3">
      <c r="F2931" s="193"/>
    </row>
    <row r="2932" spans="6:6" x14ac:dyDescent="0.3">
      <c r="F2932" s="193"/>
    </row>
    <row r="2933" spans="6:6" x14ac:dyDescent="0.3">
      <c r="F2933" s="193"/>
    </row>
    <row r="2934" spans="6:6" x14ac:dyDescent="0.3">
      <c r="F2934" s="193"/>
    </row>
    <row r="2935" spans="6:6" x14ac:dyDescent="0.3">
      <c r="F2935" s="193"/>
    </row>
    <row r="2936" spans="6:6" x14ac:dyDescent="0.3">
      <c r="F2936" s="193"/>
    </row>
    <row r="2937" spans="6:6" x14ac:dyDescent="0.3">
      <c r="F2937" s="193"/>
    </row>
    <row r="2938" spans="6:6" x14ac:dyDescent="0.3">
      <c r="F2938" s="193"/>
    </row>
    <row r="2939" spans="6:6" x14ac:dyDescent="0.3">
      <c r="F2939" s="193"/>
    </row>
    <row r="2940" spans="6:6" x14ac:dyDescent="0.3">
      <c r="F2940" s="193"/>
    </row>
    <row r="2941" spans="6:6" x14ac:dyDescent="0.3">
      <c r="F2941" s="193"/>
    </row>
    <row r="2942" spans="6:6" x14ac:dyDescent="0.3">
      <c r="F2942" s="193"/>
    </row>
    <row r="2943" spans="6:6" x14ac:dyDescent="0.3">
      <c r="F2943" s="193"/>
    </row>
    <row r="2944" spans="6:6" x14ac:dyDescent="0.3">
      <c r="F2944" s="193"/>
    </row>
    <row r="2945" spans="6:6" x14ac:dyDescent="0.3">
      <c r="F2945" s="193"/>
    </row>
    <row r="2946" spans="6:6" x14ac:dyDescent="0.3">
      <c r="F2946" s="193"/>
    </row>
    <row r="2947" spans="6:6" x14ac:dyDescent="0.3">
      <c r="F2947" s="193"/>
    </row>
    <row r="2948" spans="6:6" x14ac:dyDescent="0.3">
      <c r="F2948" s="193"/>
    </row>
    <row r="2949" spans="6:6" x14ac:dyDescent="0.3">
      <c r="F2949" s="193"/>
    </row>
    <row r="2950" spans="6:6" x14ac:dyDescent="0.3">
      <c r="F2950" s="193"/>
    </row>
    <row r="2951" spans="6:6" x14ac:dyDescent="0.3">
      <c r="F2951" s="193"/>
    </row>
    <row r="2952" spans="6:6" x14ac:dyDescent="0.3">
      <c r="F2952" s="193"/>
    </row>
    <row r="2953" spans="6:6" x14ac:dyDescent="0.3">
      <c r="F2953" s="193"/>
    </row>
    <row r="2954" spans="6:6" x14ac:dyDescent="0.3">
      <c r="F2954" s="193"/>
    </row>
    <row r="2955" spans="6:6" x14ac:dyDescent="0.3">
      <c r="F2955" s="193"/>
    </row>
    <row r="2956" spans="6:6" x14ac:dyDescent="0.3">
      <c r="F2956" s="193"/>
    </row>
    <row r="2957" spans="6:6" x14ac:dyDescent="0.3">
      <c r="F2957" s="193"/>
    </row>
    <row r="2958" spans="6:6" x14ac:dyDescent="0.3">
      <c r="F2958" s="193"/>
    </row>
    <row r="2959" spans="6:6" x14ac:dyDescent="0.3">
      <c r="F2959" s="193"/>
    </row>
    <row r="2960" spans="6:6" x14ac:dyDescent="0.3">
      <c r="F2960" s="193"/>
    </row>
    <row r="2961" spans="6:6" x14ac:dyDescent="0.3">
      <c r="F2961" s="193"/>
    </row>
    <row r="2962" spans="6:6" x14ac:dyDescent="0.3">
      <c r="F2962" s="193"/>
    </row>
    <row r="2963" spans="6:6" x14ac:dyDescent="0.3">
      <c r="F2963" s="193"/>
    </row>
    <row r="2964" spans="6:6" x14ac:dyDescent="0.3">
      <c r="F2964" s="193"/>
    </row>
    <row r="2965" spans="6:6" x14ac:dyDescent="0.3">
      <c r="F2965" s="193"/>
    </row>
    <row r="2966" spans="6:6" x14ac:dyDescent="0.3">
      <c r="F2966" s="193"/>
    </row>
    <row r="2967" spans="6:6" x14ac:dyDescent="0.3">
      <c r="F2967" s="193"/>
    </row>
    <row r="2968" spans="6:6" x14ac:dyDescent="0.3">
      <c r="F2968" s="193"/>
    </row>
    <row r="2969" spans="6:6" x14ac:dyDescent="0.3">
      <c r="F2969" s="193"/>
    </row>
    <row r="2970" spans="6:6" x14ac:dyDescent="0.3">
      <c r="F2970" s="193"/>
    </row>
    <row r="2971" spans="6:6" x14ac:dyDescent="0.3">
      <c r="F2971" s="193"/>
    </row>
    <row r="2972" spans="6:6" x14ac:dyDescent="0.3">
      <c r="F2972" s="193"/>
    </row>
    <row r="2973" spans="6:6" x14ac:dyDescent="0.3">
      <c r="F2973" s="193"/>
    </row>
    <row r="2974" spans="6:6" x14ac:dyDescent="0.3">
      <c r="F2974" s="193"/>
    </row>
    <row r="2975" spans="6:6" x14ac:dyDescent="0.3">
      <c r="F2975" s="193"/>
    </row>
    <row r="2976" spans="6:6" x14ac:dyDescent="0.3">
      <c r="F2976" s="193"/>
    </row>
    <row r="2977" spans="6:6" x14ac:dyDescent="0.3">
      <c r="F2977" s="193"/>
    </row>
    <row r="2978" spans="6:6" x14ac:dyDescent="0.3">
      <c r="F2978" s="193"/>
    </row>
    <row r="2979" spans="6:6" x14ac:dyDescent="0.3">
      <c r="F2979" s="193"/>
    </row>
    <row r="2980" spans="6:6" x14ac:dyDescent="0.3">
      <c r="F2980" s="193"/>
    </row>
    <row r="2981" spans="6:6" x14ac:dyDescent="0.3">
      <c r="F2981" s="193"/>
    </row>
    <row r="2982" spans="6:6" x14ac:dyDescent="0.3">
      <c r="F2982" s="193"/>
    </row>
    <row r="2983" spans="6:6" x14ac:dyDescent="0.3">
      <c r="F2983" s="193"/>
    </row>
    <row r="2984" spans="6:6" x14ac:dyDescent="0.3">
      <c r="F2984" s="193"/>
    </row>
    <row r="2985" spans="6:6" x14ac:dyDescent="0.3">
      <c r="F2985" s="193"/>
    </row>
    <row r="2986" spans="6:6" x14ac:dyDescent="0.3">
      <c r="F2986" s="193"/>
    </row>
    <row r="2987" spans="6:6" x14ac:dyDescent="0.3">
      <c r="F2987" s="193"/>
    </row>
    <row r="2988" spans="6:6" x14ac:dyDescent="0.3">
      <c r="F2988" s="193"/>
    </row>
    <row r="2989" spans="6:6" x14ac:dyDescent="0.3">
      <c r="F2989" s="193"/>
    </row>
    <row r="2990" spans="6:6" x14ac:dyDescent="0.3">
      <c r="F2990" s="193"/>
    </row>
    <row r="2991" spans="6:6" x14ac:dyDescent="0.3">
      <c r="F2991" s="193"/>
    </row>
    <row r="2992" spans="6:6" x14ac:dyDescent="0.3">
      <c r="F2992" s="193"/>
    </row>
    <row r="2993" spans="6:6" x14ac:dyDescent="0.3">
      <c r="F2993" s="193"/>
    </row>
    <row r="2994" spans="6:6" x14ac:dyDescent="0.3">
      <c r="F2994" s="193"/>
    </row>
    <row r="2995" spans="6:6" x14ac:dyDescent="0.3">
      <c r="F2995" s="193"/>
    </row>
    <row r="2996" spans="6:6" x14ac:dyDescent="0.3">
      <c r="F2996" s="193"/>
    </row>
    <row r="2997" spans="6:6" x14ac:dyDescent="0.3">
      <c r="F2997" s="193"/>
    </row>
    <row r="2998" spans="6:6" x14ac:dyDescent="0.3">
      <c r="F2998" s="193"/>
    </row>
    <row r="2999" spans="6:6" x14ac:dyDescent="0.3">
      <c r="F2999" s="193"/>
    </row>
    <row r="3000" spans="6:6" x14ac:dyDescent="0.3">
      <c r="F3000" s="193"/>
    </row>
    <row r="3001" spans="6:6" x14ac:dyDescent="0.3">
      <c r="F3001" s="193"/>
    </row>
    <row r="3002" spans="6:6" x14ac:dyDescent="0.3">
      <c r="F3002" s="193"/>
    </row>
    <row r="3003" spans="6:6" x14ac:dyDescent="0.3">
      <c r="F3003" s="193"/>
    </row>
    <row r="3004" spans="6:6" x14ac:dyDescent="0.3">
      <c r="F3004" s="193"/>
    </row>
    <row r="3005" spans="6:6" x14ac:dyDescent="0.3">
      <c r="F3005" s="193"/>
    </row>
    <row r="3006" spans="6:6" x14ac:dyDescent="0.3">
      <c r="F3006" s="193"/>
    </row>
    <row r="3007" spans="6:6" x14ac:dyDescent="0.3">
      <c r="F3007" s="193"/>
    </row>
    <row r="3008" spans="6:6" x14ac:dyDescent="0.3">
      <c r="F3008" s="193"/>
    </row>
    <row r="3009" spans="6:6" x14ac:dyDescent="0.3">
      <c r="F3009" s="193"/>
    </row>
    <row r="3010" spans="6:6" x14ac:dyDescent="0.3">
      <c r="F3010" s="193"/>
    </row>
    <row r="3011" spans="6:6" x14ac:dyDescent="0.3">
      <c r="F3011" s="193"/>
    </row>
    <row r="3012" spans="6:6" x14ac:dyDescent="0.3">
      <c r="F3012" s="193"/>
    </row>
    <row r="3013" spans="6:6" x14ac:dyDescent="0.3">
      <c r="F3013" s="193"/>
    </row>
    <row r="3014" spans="6:6" x14ac:dyDescent="0.3">
      <c r="F3014" s="193"/>
    </row>
    <row r="3015" spans="6:6" x14ac:dyDescent="0.3">
      <c r="F3015" s="193"/>
    </row>
    <row r="3016" spans="6:6" x14ac:dyDescent="0.3">
      <c r="F3016" s="193"/>
    </row>
    <row r="3017" spans="6:6" x14ac:dyDescent="0.3">
      <c r="F3017" s="193"/>
    </row>
    <row r="3018" spans="6:6" x14ac:dyDescent="0.3">
      <c r="F3018" s="193"/>
    </row>
    <row r="3019" spans="6:6" x14ac:dyDescent="0.3">
      <c r="F3019" s="193"/>
    </row>
    <row r="3020" spans="6:6" x14ac:dyDescent="0.3">
      <c r="F3020" s="193"/>
    </row>
    <row r="3021" spans="6:6" x14ac:dyDescent="0.3">
      <c r="F3021" s="193"/>
    </row>
    <row r="3022" spans="6:6" x14ac:dyDescent="0.3">
      <c r="F3022" s="193"/>
    </row>
    <row r="3023" spans="6:6" x14ac:dyDescent="0.3">
      <c r="F3023" s="193"/>
    </row>
    <row r="3024" spans="6:6" x14ac:dyDescent="0.3">
      <c r="F3024" s="193"/>
    </row>
    <row r="3025" spans="6:6" x14ac:dyDescent="0.3">
      <c r="F3025" s="193"/>
    </row>
    <row r="3026" spans="6:6" x14ac:dyDescent="0.3">
      <c r="F3026" s="193"/>
    </row>
    <row r="3027" spans="6:6" x14ac:dyDescent="0.3">
      <c r="F3027" s="193"/>
    </row>
    <row r="3028" spans="6:6" x14ac:dyDescent="0.3">
      <c r="F3028" s="193"/>
    </row>
    <row r="3029" spans="6:6" x14ac:dyDescent="0.3">
      <c r="F3029" s="193"/>
    </row>
    <row r="3030" spans="6:6" x14ac:dyDescent="0.3">
      <c r="F3030" s="193"/>
    </row>
    <row r="3031" spans="6:6" x14ac:dyDescent="0.3">
      <c r="F3031" s="193"/>
    </row>
    <row r="3032" spans="6:6" x14ac:dyDescent="0.3">
      <c r="F3032" s="193"/>
    </row>
    <row r="3033" spans="6:6" x14ac:dyDescent="0.3">
      <c r="F3033" s="193"/>
    </row>
    <row r="3034" spans="6:6" x14ac:dyDescent="0.3">
      <c r="F3034" s="193"/>
    </row>
    <row r="3035" spans="6:6" x14ac:dyDescent="0.3">
      <c r="F3035" s="193"/>
    </row>
    <row r="3036" spans="6:6" x14ac:dyDescent="0.3">
      <c r="F3036" s="193"/>
    </row>
    <row r="3037" spans="6:6" x14ac:dyDescent="0.3">
      <c r="F3037" s="193"/>
    </row>
    <row r="3038" spans="6:6" x14ac:dyDescent="0.3">
      <c r="F3038" s="193"/>
    </row>
    <row r="3039" spans="6:6" x14ac:dyDescent="0.3">
      <c r="F3039" s="193"/>
    </row>
    <row r="3040" spans="6:6" x14ac:dyDescent="0.3">
      <c r="F3040" s="193"/>
    </row>
    <row r="3041" spans="6:6" x14ac:dyDescent="0.3">
      <c r="F3041" s="193"/>
    </row>
    <row r="3042" spans="6:6" x14ac:dyDescent="0.3">
      <c r="F3042" s="193"/>
    </row>
    <row r="3043" spans="6:6" x14ac:dyDescent="0.3">
      <c r="F3043" s="193"/>
    </row>
    <row r="3044" spans="6:6" x14ac:dyDescent="0.3">
      <c r="F3044" s="193"/>
    </row>
    <row r="3045" spans="6:6" x14ac:dyDescent="0.3">
      <c r="F3045" s="193"/>
    </row>
    <row r="3046" spans="6:6" x14ac:dyDescent="0.3">
      <c r="F3046" s="193"/>
    </row>
    <row r="3047" spans="6:6" x14ac:dyDescent="0.3">
      <c r="F3047" s="193"/>
    </row>
    <row r="3048" spans="6:6" x14ac:dyDescent="0.3">
      <c r="F3048" s="193"/>
    </row>
    <row r="3049" spans="6:6" x14ac:dyDescent="0.3">
      <c r="F3049" s="193"/>
    </row>
    <row r="3050" spans="6:6" x14ac:dyDescent="0.3">
      <c r="F3050" s="193"/>
    </row>
    <row r="3051" spans="6:6" x14ac:dyDescent="0.3">
      <c r="F3051" s="193"/>
    </row>
    <row r="3052" spans="6:6" x14ac:dyDescent="0.3">
      <c r="F3052" s="193"/>
    </row>
    <row r="3053" spans="6:6" x14ac:dyDescent="0.3">
      <c r="F3053" s="193"/>
    </row>
    <row r="3054" spans="6:6" x14ac:dyDescent="0.3">
      <c r="F3054" s="193"/>
    </row>
    <row r="3055" spans="6:6" x14ac:dyDescent="0.3">
      <c r="F3055" s="193"/>
    </row>
    <row r="3056" spans="6:6" x14ac:dyDescent="0.3">
      <c r="F3056" s="193"/>
    </row>
    <row r="3057" spans="6:6" x14ac:dyDescent="0.3">
      <c r="F3057" s="193"/>
    </row>
    <row r="3058" spans="6:6" x14ac:dyDescent="0.3">
      <c r="F3058" s="193"/>
    </row>
    <row r="3059" spans="6:6" x14ac:dyDescent="0.3">
      <c r="F3059" s="193"/>
    </row>
    <row r="3060" spans="6:6" x14ac:dyDescent="0.3">
      <c r="F3060" s="193"/>
    </row>
    <row r="3061" spans="6:6" x14ac:dyDescent="0.3">
      <c r="F3061" s="193"/>
    </row>
    <row r="3062" spans="6:6" x14ac:dyDescent="0.3">
      <c r="F3062" s="193"/>
    </row>
    <row r="3063" spans="6:6" x14ac:dyDescent="0.3">
      <c r="F3063" s="193"/>
    </row>
    <row r="3064" spans="6:6" x14ac:dyDescent="0.3">
      <c r="F3064" s="193"/>
    </row>
    <row r="3065" spans="6:6" x14ac:dyDescent="0.3">
      <c r="F3065" s="193"/>
    </row>
    <row r="3066" spans="6:6" x14ac:dyDescent="0.3">
      <c r="F3066" s="193"/>
    </row>
    <row r="3067" spans="6:6" x14ac:dyDescent="0.3">
      <c r="F3067" s="193"/>
    </row>
    <row r="3068" spans="6:6" x14ac:dyDescent="0.3">
      <c r="F3068" s="193"/>
    </row>
    <row r="3069" spans="6:6" x14ac:dyDescent="0.3">
      <c r="F3069" s="193"/>
    </row>
    <row r="3070" spans="6:6" x14ac:dyDescent="0.3">
      <c r="F3070" s="193"/>
    </row>
    <row r="3071" spans="6:6" x14ac:dyDescent="0.3">
      <c r="F3071" s="193"/>
    </row>
    <row r="3072" spans="6:6" x14ac:dyDescent="0.3">
      <c r="F3072" s="193"/>
    </row>
    <row r="3073" spans="6:6" x14ac:dyDescent="0.3">
      <c r="F3073" s="193"/>
    </row>
    <row r="3074" spans="6:6" x14ac:dyDescent="0.3">
      <c r="F3074" s="193"/>
    </row>
    <row r="3075" spans="6:6" x14ac:dyDescent="0.3">
      <c r="F3075" s="193"/>
    </row>
    <row r="3076" spans="6:6" x14ac:dyDescent="0.3">
      <c r="F3076" s="193"/>
    </row>
    <row r="3077" spans="6:6" x14ac:dyDescent="0.3">
      <c r="F3077" s="193"/>
    </row>
    <row r="3078" spans="6:6" x14ac:dyDescent="0.3">
      <c r="F3078" s="193"/>
    </row>
    <row r="3079" spans="6:6" x14ac:dyDescent="0.3">
      <c r="F3079" s="193"/>
    </row>
    <row r="3080" spans="6:6" x14ac:dyDescent="0.3">
      <c r="F3080" s="193"/>
    </row>
    <row r="3081" spans="6:6" x14ac:dyDescent="0.3">
      <c r="F3081" s="193"/>
    </row>
    <row r="3082" spans="6:6" x14ac:dyDescent="0.3">
      <c r="F3082" s="193"/>
    </row>
    <row r="3083" spans="6:6" x14ac:dyDescent="0.3">
      <c r="F3083" s="193"/>
    </row>
    <row r="3084" spans="6:6" x14ac:dyDescent="0.3">
      <c r="F3084" s="193"/>
    </row>
    <row r="3085" spans="6:6" x14ac:dyDescent="0.3">
      <c r="F3085" s="193"/>
    </row>
    <row r="3086" spans="6:6" x14ac:dyDescent="0.3">
      <c r="F3086" s="193"/>
    </row>
    <row r="3087" spans="6:6" x14ac:dyDescent="0.3">
      <c r="F3087" s="193"/>
    </row>
    <row r="3088" spans="6:6" x14ac:dyDescent="0.3">
      <c r="F3088" s="193"/>
    </row>
    <row r="3089" spans="6:6" x14ac:dyDescent="0.3">
      <c r="F3089" s="193"/>
    </row>
    <row r="3090" spans="6:6" x14ac:dyDescent="0.3">
      <c r="F3090" s="193"/>
    </row>
    <row r="3091" spans="6:6" x14ac:dyDescent="0.3">
      <c r="F3091" s="193"/>
    </row>
    <row r="3092" spans="6:6" x14ac:dyDescent="0.3">
      <c r="F3092" s="193"/>
    </row>
    <row r="3093" spans="6:6" x14ac:dyDescent="0.3">
      <c r="F3093" s="193"/>
    </row>
    <row r="3094" spans="6:6" x14ac:dyDescent="0.3">
      <c r="F3094" s="193"/>
    </row>
    <row r="3095" spans="6:6" x14ac:dyDescent="0.3">
      <c r="F3095" s="193"/>
    </row>
    <row r="3096" spans="6:6" x14ac:dyDescent="0.3">
      <c r="F3096" s="193"/>
    </row>
    <row r="3097" spans="6:6" x14ac:dyDescent="0.3">
      <c r="F3097" s="193"/>
    </row>
    <row r="3098" spans="6:6" x14ac:dyDescent="0.3">
      <c r="F3098" s="193"/>
    </row>
    <row r="3099" spans="6:6" x14ac:dyDescent="0.3">
      <c r="F3099" s="193"/>
    </row>
    <row r="3100" spans="6:6" x14ac:dyDescent="0.3">
      <c r="F3100" s="193"/>
    </row>
    <row r="3101" spans="6:6" x14ac:dyDescent="0.3">
      <c r="F3101" s="193"/>
    </row>
    <row r="3102" spans="6:6" x14ac:dyDescent="0.3">
      <c r="F3102" s="193"/>
    </row>
    <row r="3103" spans="6:6" x14ac:dyDescent="0.3">
      <c r="F3103" s="193"/>
    </row>
    <row r="3104" spans="6:6" x14ac:dyDescent="0.3">
      <c r="F3104" s="193"/>
    </row>
    <row r="3105" spans="6:6" x14ac:dyDescent="0.3">
      <c r="F3105" s="193"/>
    </row>
    <row r="3106" spans="6:6" x14ac:dyDescent="0.3">
      <c r="F3106" s="193"/>
    </row>
    <row r="3107" spans="6:6" x14ac:dyDescent="0.3">
      <c r="F3107" s="193"/>
    </row>
    <row r="3108" spans="6:6" x14ac:dyDescent="0.3">
      <c r="F3108" s="193"/>
    </row>
    <row r="3109" spans="6:6" x14ac:dyDescent="0.3">
      <c r="F3109" s="193"/>
    </row>
    <row r="3110" spans="6:6" x14ac:dyDescent="0.3">
      <c r="F3110" s="193"/>
    </row>
    <row r="3111" spans="6:6" x14ac:dyDescent="0.3">
      <c r="F3111" s="193"/>
    </row>
    <row r="3112" spans="6:6" x14ac:dyDescent="0.3">
      <c r="F3112" s="193"/>
    </row>
    <row r="3113" spans="6:6" x14ac:dyDescent="0.3">
      <c r="F3113" s="193"/>
    </row>
    <row r="3114" spans="6:6" x14ac:dyDescent="0.3">
      <c r="F3114" s="193"/>
    </row>
    <row r="3115" spans="6:6" x14ac:dyDescent="0.3">
      <c r="F3115" s="193"/>
    </row>
    <row r="3116" spans="6:6" x14ac:dyDescent="0.3">
      <c r="F3116" s="193"/>
    </row>
    <row r="3117" spans="6:6" x14ac:dyDescent="0.3">
      <c r="F3117" s="193"/>
    </row>
    <row r="3118" spans="6:6" x14ac:dyDescent="0.3">
      <c r="F3118" s="193"/>
    </row>
    <row r="3119" spans="6:6" x14ac:dyDescent="0.3">
      <c r="F3119" s="193"/>
    </row>
    <row r="3120" spans="6:6" x14ac:dyDescent="0.3">
      <c r="F3120" s="193"/>
    </row>
    <row r="3121" spans="6:6" x14ac:dyDescent="0.3">
      <c r="F3121" s="193"/>
    </row>
    <row r="3122" spans="6:6" x14ac:dyDescent="0.3">
      <c r="F3122" s="193"/>
    </row>
    <row r="3123" spans="6:6" x14ac:dyDescent="0.3">
      <c r="F3123" s="193"/>
    </row>
    <row r="3124" spans="6:6" x14ac:dyDescent="0.3">
      <c r="F3124" s="193"/>
    </row>
    <row r="3125" spans="6:6" x14ac:dyDescent="0.3">
      <c r="F3125" s="193"/>
    </row>
    <row r="3126" spans="6:6" x14ac:dyDescent="0.3">
      <c r="F3126" s="193"/>
    </row>
    <row r="3127" spans="6:6" x14ac:dyDescent="0.3">
      <c r="F3127" s="193"/>
    </row>
    <row r="3128" spans="6:6" x14ac:dyDescent="0.3">
      <c r="F3128" s="193"/>
    </row>
    <row r="3129" spans="6:6" x14ac:dyDescent="0.3">
      <c r="F3129" s="193"/>
    </row>
    <row r="3130" spans="6:6" x14ac:dyDescent="0.3">
      <c r="F3130" s="193"/>
    </row>
    <row r="3131" spans="6:6" x14ac:dyDescent="0.3">
      <c r="F3131" s="193"/>
    </row>
    <row r="3132" spans="6:6" x14ac:dyDescent="0.3">
      <c r="F3132" s="193"/>
    </row>
    <row r="3133" spans="6:6" x14ac:dyDescent="0.3">
      <c r="F3133" s="193"/>
    </row>
    <row r="3134" spans="6:6" x14ac:dyDescent="0.3">
      <c r="F3134" s="193"/>
    </row>
    <row r="3135" spans="6:6" x14ac:dyDescent="0.3">
      <c r="F3135" s="193"/>
    </row>
    <row r="3136" spans="6:6" x14ac:dyDescent="0.3">
      <c r="F3136" s="193"/>
    </row>
    <row r="3137" spans="6:6" x14ac:dyDescent="0.3">
      <c r="F3137" s="193"/>
    </row>
    <row r="3138" spans="6:6" x14ac:dyDescent="0.3">
      <c r="F3138" s="193"/>
    </row>
    <row r="3139" spans="6:6" x14ac:dyDescent="0.3">
      <c r="F3139" s="193"/>
    </row>
    <row r="3140" spans="6:6" x14ac:dyDescent="0.3">
      <c r="F3140" s="193"/>
    </row>
    <row r="3141" spans="6:6" x14ac:dyDescent="0.3">
      <c r="F3141" s="193"/>
    </row>
    <row r="3142" spans="6:6" x14ac:dyDescent="0.3">
      <c r="F3142" s="193"/>
    </row>
    <row r="3143" spans="6:6" x14ac:dyDescent="0.3">
      <c r="F3143" s="193"/>
    </row>
    <row r="3144" spans="6:6" x14ac:dyDescent="0.3">
      <c r="F3144" s="193"/>
    </row>
    <row r="3145" spans="6:6" x14ac:dyDescent="0.3">
      <c r="F3145" s="193"/>
    </row>
    <row r="3146" spans="6:6" x14ac:dyDescent="0.3">
      <c r="F3146" s="193"/>
    </row>
    <row r="3147" spans="6:6" x14ac:dyDescent="0.3">
      <c r="F3147" s="193"/>
    </row>
    <row r="3148" spans="6:6" x14ac:dyDescent="0.3">
      <c r="F3148" s="193"/>
    </row>
    <row r="3149" spans="6:6" x14ac:dyDescent="0.3">
      <c r="F3149" s="193"/>
    </row>
    <row r="3150" spans="6:6" x14ac:dyDescent="0.3">
      <c r="F3150" s="193"/>
    </row>
    <row r="3151" spans="6:6" x14ac:dyDescent="0.3">
      <c r="F3151" s="193"/>
    </row>
    <row r="3152" spans="6:6" x14ac:dyDescent="0.3">
      <c r="F3152" s="193"/>
    </row>
    <row r="3153" spans="6:6" x14ac:dyDescent="0.3">
      <c r="F3153" s="193"/>
    </row>
    <row r="3154" spans="6:6" x14ac:dyDescent="0.3">
      <c r="F3154" s="193"/>
    </row>
    <row r="3155" spans="6:6" x14ac:dyDescent="0.3">
      <c r="F3155" s="193"/>
    </row>
    <row r="3156" spans="6:6" x14ac:dyDescent="0.3">
      <c r="F3156" s="193"/>
    </row>
    <row r="3157" spans="6:6" x14ac:dyDescent="0.3">
      <c r="F3157" s="193"/>
    </row>
    <row r="3158" spans="6:6" x14ac:dyDescent="0.3">
      <c r="F3158" s="193"/>
    </row>
    <row r="3159" spans="6:6" x14ac:dyDescent="0.3">
      <c r="F3159" s="193"/>
    </row>
    <row r="3160" spans="6:6" x14ac:dyDescent="0.3">
      <c r="F3160" s="193"/>
    </row>
    <row r="3161" spans="6:6" x14ac:dyDescent="0.3">
      <c r="F3161" s="193"/>
    </row>
    <row r="3162" spans="6:6" x14ac:dyDescent="0.3">
      <c r="F3162" s="193"/>
    </row>
    <row r="3163" spans="6:6" x14ac:dyDescent="0.3">
      <c r="F3163" s="193"/>
    </row>
    <row r="3164" spans="6:6" x14ac:dyDescent="0.3">
      <c r="F3164" s="193"/>
    </row>
    <row r="3165" spans="6:6" x14ac:dyDescent="0.3">
      <c r="F3165" s="193"/>
    </row>
    <row r="3166" spans="6:6" x14ac:dyDescent="0.3">
      <c r="F3166" s="193"/>
    </row>
    <row r="3167" spans="6:6" x14ac:dyDescent="0.3">
      <c r="F3167" s="193"/>
    </row>
    <row r="3168" spans="6:6" x14ac:dyDescent="0.3">
      <c r="F3168" s="193"/>
    </row>
    <row r="3169" spans="6:6" x14ac:dyDescent="0.3">
      <c r="F3169" s="193"/>
    </row>
    <row r="3170" spans="6:6" x14ac:dyDescent="0.3">
      <c r="F3170" s="193"/>
    </row>
    <row r="3171" spans="6:6" x14ac:dyDescent="0.3">
      <c r="F3171" s="193"/>
    </row>
    <row r="3172" spans="6:6" x14ac:dyDescent="0.3">
      <c r="F3172" s="193"/>
    </row>
    <row r="3173" spans="6:6" x14ac:dyDescent="0.3">
      <c r="F3173" s="193"/>
    </row>
    <row r="3174" spans="6:6" x14ac:dyDescent="0.3">
      <c r="F3174" s="193"/>
    </row>
    <row r="3175" spans="6:6" x14ac:dyDescent="0.3">
      <c r="F3175" s="193"/>
    </row>
    <row r="3176" spans="6:6" x14ac:dyDescent="0.3">
      <c r="F3176" s="193"/>
    </row>
    <row r="3177" spans="6:6" x14ac:dyDescent="0.3">
      <c r="F3177" s="193"/>
    </row>
    <row r="3178" spans="6:6" x14ac:dyDescent="0.3">
      <c r="F3178" s="193"/>
    </row>
    <row r="3179" spans="6:6" x14ac:dyDescent="0.3">
      <c r="F3179" s="193"/>
    </row>
    <row r="3180" spans="6:6" x14ac:dyDescent="0.3">
      <c r="F3180" s="193"/>
    </row>
    <row r="3181" spans="6:6" x14ac:dyDescent="0.3">
      <c r="F3181" s="193"/>
    </row>
    <row r="3182" spans="6:6" x14ac:dyDescent="0.3">
      <c r="F3182" s="193"/>
    </row>
    <row r="3183" spans="6:6" x14ac:dyDescent="0.3">
      <c r="F3183" s="193"/>
    </row>
    <row r="3184" spans="6:6" x14ac:dyDescent="0.3">
      <c r="F3184" s="193"/>
    </row>
    <row r="3185" spans="6:6" x14ac:dyDescent="0.3">
      <c r="F3185" s="193"/>
    </row>
    <row r="3186" spans="6:6" x14ac:dyDescent="0.3">
      <c r="F3186" s="193"/>
    </row>
    <row r="3187" spans="6:6" x14ac:dyDescent="0.3">
      <c r="F3187" s="193"/>
    </row>
    <row r="3188" spans="6:6" x14ac:dyDescent="0.3">
      <c r="F3188" s="193"/>
    </row>
    <row r="3189" spans="6:6" x14ac:dyDescent="0.3">
      <c r="F3189" s="193"/>
    </row>
    <row r="3190" spans="6:6" x14ac:dyDescent="0.3">
      <c r="F3190" s="193"/>
    </row>
    <row r="3191" spans="6:6" x14ac:dyDescent="0.3">
      <c r="F3191" s="193"/>
    </row>
    <row r="3192" spans="6:6" x14ac:dyDescent="0.3">
      <c r="F3192" s="193"/>
    </row>
    <row r="3193" spans="6:6" x14ac:dyDescent="0.3">
      <c r="F3193" s="193"/>
    </row>
    <row r="3194" spans="6:6" x14ac:dyDescent="0.3">
      <c r="F3194" s="193"/>
    </row>
    <row r="3195" spans="6:6" x14ac:dyDescent="0.3">
      <c r="F3195" s="193"/>
    </row>
    <row r="3196" spans="6:6" x14ac:dyDescent="0.3">
      <c r="F3196" s="193"/>
    </row>
    <row r="3197" spans="6:6" x14ac:dyDescent="0.3">
      <c r="F3197" s="193"/>
    </row>
    <row r="3198" spans="6:6" x14ac:dyDescent="0.3">
      <c r="F3198" s="193"/>
    </row>
    <row r="3199" spans="6:6" x14ac:dyDescent="0.3">
      <c r="F3199" s="193"/>
    </row>
    <row r="3200" spans="6:6" x14ac:dyDescent="0.3">
      <c r="F3200" s="193"/>
    </row>
    <row r="3201" spans="6:6" x14ac:dyDescent="0.3">
      <c r="F3201" s="193"/>
    </row>
    <row r="3202" spans="6:6" x14ac:dyDescent="0.3">
      <c r="F3202" s="193"/>
    </row>
    <row r="3203" spans="6:6" x14ac:dyDescent="0.3">
      <c r="F3203" s="193"/>
    </row>
    <row r="3204" spans="6:6" x14ac:dyDescent="0.3">
      <c r="F3204" s="193"/>
    </row>
    <row r="3205" spans="6:6" x14ac:dyDescent="0.3">
      <c r="F3205" s="193"/>
    </row>
    <row r="3206" spans="6:6" x14ac:dyDescent="0.3">
      <c r="F3206" s="193"/>
    </row>
    <row r="3207" spans="6:6" x14ac:dyDescent="0.3">
      <c r="F3207" s="193"/>
    </row>
    <row r="3208" spans="6:6" x14ac:dyDescent="0.3">
      <c r="F3208" s="193"/>
    </row>
    <row r="3209" spans="6:6" x14ac:dyDescent="0.3">
      <c r="F3209" s="193"/>
    </row>
    <row r="3210" spans="6:6" x14ac:dyDescent="0.3">
      <c r="F3210" s="193"/>
    </row>
    <row r="3211" spans="6:6" x14ac:dyDescent="0.3">
      <c r="F3211" s="193"/>
    </row>
    <row r="3212" spans="6:6" x14ac:dyDescent="0.3">
      <c r="F3212" s="193"/>
    </row>
    <row r="3213" spans="6:6" x14ac:dyDescent="0.3">
      <c r="F3213" s="193"/>
    </row>
    <row r="3214" spans="6:6" x14ac:dyDescent="0.3">
      <c r="F3214" s="193"/>
    </row>
    <row r="3215" spans="6:6" x14ac:dyDescent="0.3">
      <c r="F3215" s="193"/>
    </row>
    <row r="3216" spans="6:6" x14ac:dyDescent="0.3">
      <c r="F3216" s="193"/>
    </row>
    <row r="3217" spans="6:6" x14ac:dyDescent="0.3">
      <c r="F3217" s="193"/>
    </row>
    <row r="3218" spans="6:6" x14ac:dyDescent="0.3">
      <c r="F3218" s="193"/>
    </row>
    <row r="3219" spans="6:6" x14ac:dyDescent="0.3">
      <c r="F3219" s="193"/>
    </row>
    <row r="3220" spans="6:6" x14ac:dyDescent="0.3">
      <c r="F3220" s="193"/>
    </row>
    <row r="3221" spans="6:6" x14ac:dyDescent="0.3">
      <c r="F3221" s="193"/>
    </row>
    <row r="3222" spans="6:6" x14ac:dyDescent="0.3">
      <c r="F3222" s="193"/>
    </row>
    <row r="3223" spans="6:6" x14ac:dyDescent="0.3">
      <c r="F3223" s="193"/>
    </row>
    <row r="3224" spans="6:6" x14ac:dyDescent="0.3">
      <c r="F3224" s="193"/>
    </row>
    <row r="3225" spans="6:6" x14ac:dyDescent="0.3">
      <c r="F3225" s="193"/>
    </row>
    <row r="3226" spans="6:6" x14ac:dyDescent="0.3">
      <c r="F3226" s="193"/>
    </row>
    <row r="3227" spans="6:6" x14ac:dyDescent="0.3">
      <c r="F3227" s="193"/>
    </row>
    <row r="3228" spans="6:6" x14ac:dyDescent="0.3">
      <c r="F3228" s="193"/>
    </row>
    <row r="3229" spans="6:6" x14ac:dyDescent="0.3">
      <c r="F3229" s="193"/>
    </row>
    <row r="3230" spans="6:6" x14ac:dyDescent="0.3">
      <c r="F3230" s="193"/>
    </row>
    <row r="3231" spans="6:6" x14ac:dyDescent="0.3">
      <c r="F3231" s="193"/>
    </row>
    <row r="3232" spans="6:6" x14ac:dyDescent="0.3">
      <c r="F3232" s="193"/>
    </row>
    <row r="3233" spans="6:6" x14ac:dyDescent="0.3">
      <c r="F3233" s="193"/>
    </row>
    <row r="3234" spans="6:6" x14ac:dyDescent="0.3">
      <c r="F3234" s="193"/>
    </row>
    <row r="3235" spans="6:6" x14ac:dyDescent="0.3">
      <c r="F3235" s="193"/>
    </row>
    <row r="3236" spans="6:6" x14ac:dyDescent="0.3">
      <c r="F3236" s="193"/>
    </row>
    <row r="3237" spans="6:6" x14ac:dyDescent="0.3">
      <c r="F3237" s="193"/>
    </row>
    <row r="3238" spans="6:6" x14ac:dyDescent="0.3">
      <c r="F3238" s="193"/>
    </row>
    <row r="3239" spans="6:6" x14ac:dyDescent="0.3">
      <c r="F3239" s="193"/>
    </row>
    <row r="3240" spans="6:6" x14ac:dyDescent="0.3">
      <c r="F3240" s="193"/>
    </row>
    <row r="3241" spans="6:6" x14ac:dyDescent="0.3">
      <c r="F3241" s="193"/>
    </row>
    <row r="3242" spans="6:6" x14ac:dyDescent="0.3">
      <c r="F3242" s="193"/>
    </row>
    <row r="3243" spans="6:6" x14ac:dyDescent="0.3">
      <c r="F3243" s="193"/>
    </row>
    <row r="3244" spans="6:6" x14ac:dyDescent="0.3">
      <c r="F3244" s="193"/>
    </row>
    <row r="3245" spans="6:6" x14ac:dyDescent="0.3">
      <c r="F3245" s="193"/>
    </row>
    <row r="3246" spans="6:6" x14ac:dyDescent="0.3">
      <c r="F3246" s="193"/>
    </row>
    <row r="3247" spans="6:6" x14ac:dyDescent="0.3">
      <c r="F3247" s="193"/>
    </row>
    <row r="3248" spans="6:6" x14ac:dyDescent="0.3">
      <c r="F3248" s="193"/>
    </row>
    <row r="3249" spans="6:6" x14ac:dyDescent="0.3">
      <c r="F3249" s="193"/>
    </row>
    <row r="3250" spans="6:6" x14ac:dyDescent="0.3">
      <c r="F3250" s="193"/>
    </row>
    <row r="3251" spans="6:6" x14ac:dyDescent="0.3">
      <c r="F3251" s="193"/>
    </row>
    <row r="3252" spans="6:6" x14ac:dyDescent="0.3">
      <c r="F3252" s="193"/>
    </row>
    <row r="3253" spans="6:6" x14ac:dyDescent="0.3">
      <c r="F3253" s="193"/>
    </row>
    <row r="3254" spans="6:6" x14ac:dyDescent="0.3">
      <c r="F3254" s="193"/>
    </row>
    <row r="3255" spans="6:6" x14ac:dyDescent="0.3">
      <c r="F3255" s="193"/>
    </row>
    <row r="3256" spans="6:6" x14ac:dyDescent="0.3">
      <c r="F3256" s="193"/>
    </row>
    <row r="3257" spans="6:6" x14ac:dyDescent="0.3">
      <c r="F3257" s="193"/>
    </row>
    <row r="3258" spans="6:6" x14ac:dyDescent="0.3">
      <c r="F3258" s="193"/>
    </row>
    <row r="3259" spans="6:6" x14ac:dyDescent="0.3">
      <c r="F3259" s="193"/>
    </row>
    <row r="3260" spans="6:6" x14ac:dyDescent="0.3">
      <c r="F3260" s="193"/>
    </row>
    <row r="3261" spans="6:6" x14ac:dyDescent="0.3">
      <c r="F3261" s="193"/>
    </row>
    <row r="3262" spans="6:6" x14ac:dyDescent="0.3">
      <c r="F3262" s="193"/>
    </row>
    <row r="3263" spans="6:6" x14ac:dyDescent="0.3">
      <c r="F3263" s="193"/>
    </row>
    <row r="3264" spans="6:6" x14ac:dyDescent="0.3">
      <c r="F3264" s="193"/>
    </row>
    <row r="3265" spans="6:6" x14ac:dyDescent="0.3">
      <c r="F3265" s="193"/>
    </row>
    <row r="3266" spans="6:6" x14ac:dyDescent="0.3">
      <c r="F3266" s="193"/>
    </row>
    <row r="3267" spans="6:6" x14ac:dyDescent="0.3">
      <c r="F3267" s="193"/>
    </row>
    <row r="3268" spans="6:6" x14ac:dyDescent="0.3">
      <c r="F3268" s="193"/>
    </row>
    <row r="3269" spans="6:6" x14ac:dyDescent="0.3">
      <c r="F3269" s="193"/>
    </row>
    <row r="3270" spans="6:6" x14ac:dyDescent="0.3">
      <c r="F3270" s="193"/>
    </row>
    <row r="3271" spans="6:6" x14ac:dyDescent="0.3">
      <c r="F3271" s="193"/>
    </row>
    <row r="3272" spans="6:6" x14ac:dyDescent="0.3">
      <c r="F3272" s="193"/>
    </row>
    <row r="3273" spans="6:6" x14ac:dyDescent="0.3">
      <c r="F3273" s="193"/>
    </row>
    <row r="3274" spans="6:6" x14ac:dyDescent="0.3">
      <c r="F3274" s="193"/>
    </row>
    <row r="3275" spans="6:6" x14ac:dyDescent="0.3">
      <c r="F3275" s="193"/>
    </row>
    <row r="3276" spans="6:6" x14ac:dyDescent="0.3">
      <c r="F3276" s="193"/>
    </row>
    <row r="3277" spans="6:6" x14ac:dyDescent="0.3">
      <c r="F3277" s="193"/>
    </row>
    <row r="3278" spans="6:6" x14ac:dyDescent="0.3">
      <c r="F3278" s="193"/>
    </row>
    <row r="3279" spans="6:6" x14ac:dyDescent="0.3">
      <c r="F3279" s="193"/>
    </row>
    <row r="3280" spans="6:6" x14ac:dyDescent="0.3">
      <c r="F3280" s="193"/>
    </row>
    <row r="3281" spans="6:6" x14ac:dyDescent="0.3">
      <c r="F3281" s="193"/>
    </row>
    <row r="3282" spans="6:6" x14ac:dyDescent="0.3">
      <c r="F3282" s="193"/>
    </row>
    <row r="3283" spans="6:6" x14ac:dyDescent="0.3">
      <c r="F3283" s="193"/>
    </row>
    <row r="3284" spans="6:6" x14ac:dyDescent="0.3">
      <c r="F3284" s="193"/>
    </row>
    <row r="3285" spans="6:6" x14ac:dyDescent="0.3">
      <c r="F3285" s="193"/>
    </row>
    <row r="3286" spans="6:6" x14ac:dyDescent="0.3">
      <c r="F3286" s="193"/>
    </row>
    <row r="3287" spans="6:6" x14ac:dyDescent="0.3">
      <c r="F3287" s="193"/>
    </row>
    <row r="3288" spans="6:6" x14ac:dyDescent="0.3">
      <c r="F3288" s="193"/>
    </row>
    <row r="3289" spans="6:6" x14ac:dyDescent="0.3">
      <c r="F3289" s="193"/>
    </row>
    <row r="3290" spans="6:6" x14ac:dyDescent="0.3">
      <c r="F3290" s="193"/>
    </row>
    <row r="3291" spans="6:6" x14ac:dyDescent="0.3">
      <c r="F3291" s="193"/>
    </row>
    <row r="3292" spans="6:6" x14ac:dyDescent="0.3">
      <c r="F3292" s="193"/>
    </row>
    <row r="3293" spans="6:6" x14ac:dyDescent="0.3">
      <c r="F3293" s="193"/>
    </row>
    <row r="3294" spans="6:6" x14ac:dyDescent="0.3">
      <c r="F3294" s="193"/>
    </row>
    <row r="3295" spans="6:6" x14ac:dyDescent="0.3">
      <c r="F3295" s="193"/>
    </row>
    <row r="3296" spans="6:6" x14ac:dyDescent="0.3">
      <c r="F3296" s="193"/>
    </row>
    <row r="3297" spans="6:6" x14ac:dyDescent="0.3">
      <c r="F3297" s="193"/>
    </row>
    <row r="3298" spans="6:6" x14ac:dyDescent="0.3">
      <c r="F3298" s="193"/>
    </row>
    <row r="3299" spans="6:6" x14ac:dyDescent="0.3">
      <c r="F3299" s="193"/>
    </row>
    <row r="3300" spans="6:6" x14ac:dyDescent="0.3">
      <c r="F3300" s="193"/>
    </row>
    <row r="3301" spans="6:6" x14ac:dyDescent="0.3">
      <c r="F3301" s="193"/>
    </row>
    <row r="3302" spans="6:6" x14ac:dyDescent="0.3">
      <c r="F3302" s="193"/>
    </row>
    <row r="3303" spans="6:6" x14ac:dyDescent="0.3">
      <c r="F3303" s="193"/>
    </row>
    <row r="3304" spans="6:6" x14ac:dyDescent="0.3">
      <c r="F3304" s="193"/>
    </row>
    <row r="3305" spans="6:6" x14ac:dyDescent="0.3">
      <c r="F3305" s="193"/>
    </row>
    <row r="3306" spans="6:6" x14ac:dyDescent="0.3">
      <c r="F3306" s="193"/>
    </row>
    <row r="3307" spans="6:6" x14ac:dyDescent="0.3">
      <c r="F3307" s="193"/>
    </row>
    <row r="3308" spans="6:6" x14ac:dyDescent="0.3">
      <c r="F3308" s="193"/>
    </row>
    <row r="3309" spans="6:6" x14ac:dyDescent="0.3">
      <c r="F3309" s="193"/>
    </row>
    <row r="3310" spans="6:6" x14ac:dyDescent="0.3">
      <c r="F3310" s="193"/>
    </row>
    <row r="3311" spans="6:6" x14ac:dyDescent="0.3">
      <c r="F3311" s="193"/>
    </row>
    <row r="3312" spans="6:6" x14ac:dyDescent="0.3">
      <c r="F3312" s="193"/>
    </row>
    <row r="3313" spans="6:6" x14ac:dyDescent="0.3">
      <c r="F3313" s="193"/>
    </row>
    <row r="3314" spans="6:6" x14ac:dyDescent="0.3">
      <c r="F3314" s="193"/>
    </row>
    <row r="3315" spans="6:6" x14ac:dyDescent="0.3">
      <c r="F3315" s="193"/>
    </row>
    <row r="3316" spans="6:6" x14ac:dyDescent="0.3">
      <c r="F3316" s="193"/>
    </row>
    <row r="3317" spans="6:6" x14ac:dyDescent="0.3">
      <c r="F3317" s="193"/>
    </row>
    <row r="3318" spans="6:6" x14ac:dyDescent="0.3">
      <c r="F3318" s="193"/>
    </row>
    <row r="3319" spans="6:6" x14ac:dyDescent="0.3">
      <c r="F3319" s="193"/>
    </row>
    <row r="3320" spans="6:6" x14ac:dyDescent="0.3">
      <c r="F3320" s="193"/>
    </row>
    <row r="3321" spans="6:6" x14ac:dyDescent="0.3">
      <c r="F3321" s="193"/>
    </row>
    <row r="3322" spans="6:6" x14ac:dyDescent="0.3">
      <c r="F3322" s="193"/>
    </row>
    <row r="3323" spans="6:6" x14ac:dyDescent="0.3">
      <c r="F3323" s="193"/>
    </row>
    <row r="3324" spans="6:6" x14ac:dyDescent="0.3">
      <c r="F3324" s="193"/>
    </row>
    <row r="3325" spans="6:6" x14ac:dyDescent="0.3">
      <c r="F3325" s="193"/>
    </row>
    <row r="3326" spans="6:6" x14ac:dyDescent="0.3">
      <c r="F3326" s="193"/>
    </row>
    <row r="3327" spans="6:6" x14ac:dyDescent="0.3">
      <c r="F3327" s="193"/>
    </row>
    <row r="3328" spans="6:6" x14ac:dyDescent="0.3">
      <c r="F3328" s="193"/>
    </row>
    <row r="3329" spans="6:6" x14ac:dyDescent="0.3">
      <c r="F3329" s="193"/>
    </row>
    <row r="3330" spans="6:6" x14ac:dyDescent="0.3">
      <c r="F3330" s="193"/>
    </row>
    <row r="3331" spans="6:6" x14ac:dyDescent="0.3">
      <c r="F3331" s="193"/>
    </row>
    <row r="3332" spans="6:6" x14ac:dyDescent="0.3">
      <c r="F3332" s="193"/>
    </row>
    <row r="3333" spans="6:6" x14ac:dyDescent="0.3">
      <c r="F3333" s="193"/>
    </row>
    <row r="3334" spans="6:6" x14ac:dyDescent="0.3">
      <c r="F3334" s="193"/>
    </row>
    <row r="3335" spans="6:6" x14ac:dyDescent="0.3">
      <c r="F3335" s="193"/>
    </row>
    <row r="3336" spans="6:6" x14ac:dyDescent="0.3">
      <c r="F3336" s="193"/>
    </row>
    <row r="3337" spans="6:6" x14ac:dyDescent="0.3">
      <c r="F3337" s="193"/>
    </row>
    <row r="3338" spans="6:6" x14ac:dyDescent="0.3">
      <c r="F3338" s="193"/>
    </row>
    <row r="3339" spans="6:6" x14ac:dyDescent="0.3">
      <c r="F3339" s="193"/>
    </row>
    <row r="3340" spans="6:6" x14ac:dyDescent="0.3">
      <c r="F3340" s="193"/>
    </row>
    <row r="3341" spans="6:6" x14ac:dyDescent="0.3">
      <c r="F3341" s="193"/>
    </row>
    <row r="3342" spans="6:6" x14ac:dyDescent="0.3">
      <c r="F3342" s="193"/>
    </row>
    <row r="3343" spans="6:6" x14ac:dyDescent="0.3">
      <c r="F3343" s="193"/>
    </row>
    <row r="3344" spans="6:6" x14ac:dyDescent="0.3">
      <c r="F3344" s="193"/>
    </row>
    <row r="3345" spans="6:6" x14ac:dyDescent="0.3">
      <c r="F3345" s="193"/>
    </row>
    <row r="3346" spans="6:6" x14ac:dyDescent="0.3">
      <c r="F3346" s="193"/>
    </row>
    <row r="3347" spans="6:6" x14ac:dyDescent="0.3">
      <c r="F3347" s="193"/>
    </row>
    <row r="3348" spans="6:6" x14ac:dyDescent="0.3">
      <c r="F3348" s="193"/>
    </row>
    <row r="3349" spans="6:6" x14ac:dyDescent="0.3">
      <c r="F3349" s="193"/>
    </row>
    <row r="3350" spans="6:6" x14ac:dyDescent="0.3">
      <c r="F3350" s="193"/>
    </row>
    <row r="3351" spans="6:6" x14ac:dyDescent="0.3">
      <c r="F3351" s="193"/>
    </row>
    <row r="3352" spans="6:6" x14ac:dyDescent="0.3">
      <c r="F3352" s="193"/>
    </row>
    <row r="3353" spans="6:6" x14ac:dyDescent="0.3">
      <c r="F3353" s="193"/>
    </row>
    <row r="3354" spans="6:6" x14ac:dyDescent="0.3">
      <c r="F3354" s="193"/>
    </row>
    <row r="3355" spans="6:6" x14ac:dyDescent="0.3">
      <c r="F3355" s="193"/>
    </row>
    <row r="3356" spans="6:6" x14ac:dyDescent="0.3">
      <c r="F3356" s="193"/>
    </row>
    <row r="3357" spans="6:6" x14ac:dyDescent="0.3">
      <c r="F3357" s="193"/>
    </row>
    <row r="3358" spans="6:6" x14ac:dyDescent="0.3">
      <c r="F3358" s="193"/>
    </row>
    <row r="3359" spans="6:6" x14ac:dyDescent="0.3">
      <c r="F3359" s="193"/>
    </row>
    <row r="3360" spans="6:6" x14ac:dyDescent="0.3">
      <c r="F3360" s="193"/>
    </row>
    <row r="3361" spans="6:6" x14ac:dyDescent="0.3">
      <c r="F3361" s="193"/>
    </row>
    <row r="3362" spans="6:6" x14ac:dyDescent="0.3">
      <c r="F3362" s="193"/>
    </row>
    <row r="3363" spans="6:6" x14ac:dyDescent="0.3">
      <c r="F3363" s="193"/>
    </row>
    <row r="3364" spans="6:6" x14ac:dyDescent="0.3">
      <c r="F3364" s="193"/>
    </row>
    <row r="3365" spans="6:6" x14ac:dyDescent="0.3">
      <c r="F3365" s="193"/>
    </row>
    <row r="3366" spans="6:6" x14ac:dyDescent="0.3">
      <c r="F3366" s="193"/>
    </row>
    <row r="3367" spans="6:6" x14ac:dyDescent="0.3">
      <c r="F3367" s="193"/>
    </row>
    <row r="3368" spans="6:6" x14ac:dyDescent="0.3">
      <c r="F3368" s="193"/>
    </row>
    <row r="3369" spans="6:6" x14ac:dyDescent="0.3">
      <c r="F3369" s="193"/>
    </row>
    <row r="3370" spans="6:6" x14ac:dyDescent="0.3">
      <c r="F3370" s="193"/>
    </row>
    <row r="3371" spans="6:6" x14ac:dyDescent="0.3">
      <c r="F3371" s="193"/>
    </row>
    <row r="3372" spans="6:6" x14ac:dyDescent="0.3">
      <c r="F3372" s="193"/>
    </row>
    <row r="3373" spans="6:6" x14ac:dyDescent="0.3">
      <c r="F3373" s="193"/>
    </row>
    <row r="3374" spans="6:6" x14ac:dyDescent="0.3">
      <c r="F3374" s="193"/>
    </row>
    <row r="3375" spans="6:6" x14ac:dyDescent="0.3">
      <c r="F3375" s="193"/>
    </row>
    <row r="3376" spans="6:6" x14ac:dyDescent="0.3">
      <c r="F3376" s="193"/>
    </row>
    <row r="3377" spans="6:6" x14ac:dyDescent="0.3">
      <c r="F3377" s="193"/>
    </row>
    <row r="3378" spans="6:6" x14ac:dyDescent="0.3">
      <c r="F3378" s="193"/>
    </row>
    <row r="3379" spans="6:6" x14ac:dyDescent="0.3">
      <c r="F3379" s="193"/>
    </row>
    <row r="3380" spans="6:6" x14ac:dyDescent="0.3">
      <c r="F3380" s="193"/>
    </row>
    <row r="3381" spans="6:6" x14ac:dyDescent="0.3">
      <c r="F3381" s="193"/>
    </row>
    <row r="3382" spans="6:6" x14ac:dyDescent="0.3">
      <c r="F3382" s="193"/>
    </row>
    <row r="3383" spans="6:6" x14ac:dyDescent="0.3">
      <c r="F3383" s="193"/>
    </row>
    <row r="3384" spans="6:6" x14ac:dyDescent="0.3">
      <c r="F3384" s="193"/>
    </row>
    <row r="3385" spans="6:6" x14ac:dyDescent="0.3">
      <c r="F3385" s="193"/>
    </row>
    <row r="3386" spans="6:6" x14ac:dyDescent="0.3">
      <c r="F3386" s="193"/>
    </row>
    <row r="3387" spans="6:6" x14ac:dyDescent="0.3">
      <c r="F3387" s="193"/>
    </row>
    <row r="3388" spans="6:6" x14ac:dyDescent="0.3">
      <c r="F3388" s="193"/>
    </row>
    <row r="3389" spans="6:6" x14ac:dyDescent="0.3">
      <c r="F3389" s="193"/>
    </row>
    <row r="3390" spans="6:6" x14ac:dyDescent="0.3">
      <c r="F3390" s="193"/>
    </row>
    <row r="3391" spans="6:6" x14ac:dyDescent="0.3">
      <c r="F3391" s="193"/>
    </row>
    <row r="3392" spans="6:6" x14ac:dyDescent="0.3">
      <c r="F3392" s="193"/>
    </row>
    <row r="3393" spans="6:6" x14ac:dyDescent="0.3">
      <c r="F3393" s="193"/>
    </row>
    <row r="3394" spans="6:6" x14ac:dyDescent="0.3">
      <c r="F3394" s="193"/>
    </row>
    <row r="3395" spans="6:6" x14ac:dyDescent="0.3">
      <c r="F3395" s="193"/>
    </row>
    <row r="3396" spans="6:6" x14ac:dyDescent="0.3">
      <c r="F3396" s="193"/>
    </row>
    <row r="3397" spans="6:6" x14ac:dyDescent="0.3">
      <c r="F3397" s="193"/>
    </row>
    <row r="3398" spans="6:6" x14ac:dyDescent="0.3">
      <c r="F3398" s="193"/>
    </row>
    <row r="3399" spans="6:6" x14ac:dyDescent="0.3">
      <c r="F3399" s="193"/>
    </row>
    <row r="3400" spans="6:6" x14ac:dyDescent="0.3">
      <c r="F3400" s="193"/>
    </row>
    <row r="3401" spans="6:6" x14ac:dyDescent="0.3">
      <c r="F3401" s="193"/>
    </row>
    <row r="3402" spans="6:6" x14ac:dyDescent="0.3">
      <c r="F3402" s="193"/>
    </row>
    <row r="3403" spans="6:6" x14ac:dyDescent="0.3">
      <c r="F3403" s="193"/>
    </row>
    <row r="3404" spans="6:6" x14ac:dyDescent="0.3">
      <c r="F3404" s="193"/>
    </row>
    <row r="3405" spans="6:6" x14ac:dyDescent="0.3">
      <c r="F3405" s="193"/>
    </row>
    <row r="3406" spans="6:6" x14ac:dyDescent="0.3">
      <c r="F3406" s="193"/>
    </row>
    <row r="3407" spans="6:6" x14ac:dyDescent="0.3">
      <c r="F3407" s="193"/>
    </row>
    <row r="3408" spans="6:6" x14ac:dyDescent="0.3">
      <c r="F3408" s="193"/>
    </row>
    <row r="3409" spans="6:6" x14ac:dyDescent="0.3">
      <c r="F3409" s="193"/>
    </row>
    <row r="3410" spans="6:6" x14ac:dyDescent="0.3">
      <c r="F3410" s="193"/>
    </row>
    <row r="3411" spans="6:6" x14ac:dyDescent="0.3">
      <c r="F3411" s="193"/>
    </row>
    <row r="3412" spans="6:6" x14ac:dyDescent="0.3">
      <c r="F3412" s="193"/>
    </row>
    <row r="3413" spans="6:6" x14ac:dyDescent="0.3">
      <c r="F3413" s="193"/>
    </row>
    <row r="3414" spans="6:6" x14ac:dyDescent="0.3">
      <c r="F3414" s="193"/>
    </row>
    <row r="3415" spans="6:6" x14ac:dyDescent="0.3">
      <c r="F3415" s="193"/>
    </row>
    <row r="3416" spans="6:6" x14ac:dyDescent="0.3">
      <c r="F3416" s="193"/>
    </row>
    <row r="3417" spans="6:6" x14ac:dyDescent="0.3">
      <c r="F3417" s="193"/>
    </row>
    <row r="3418" spans="6:6" x14ac:dyDescent="0.3">
      <c r="F3418" s="193"/>
    </row>
    <row r="3419" spans="6:6" x14ac:dyDescent="0.3">
      <c r="F3419" s="193"/>
    </row>
    <row r="3420" spans="6:6" x14ac:dyDescent="0.3">
      <c r="F3420" s="193"/>
    </row>
    <row r="3421" spans="6:6" x14ac:dyDescent="0.3">
      <c r="F3421" s="193"/>
    </row>
    <row r="3422" spans="6:6" x14ac:dyDescent="0.3">
      <c r="F3422" s="193"/>
    </row>
    <row r="3423" spans="6:6" x14ac:dyDescent="0.3">
      <c r="F3423" s="193"/>
    </row>
    <row r="3424" spans="6:6" x14ac:dyDescent="0.3">
      <c r="F3424" s="193"/>
    </row>
    <row r="3425" spans="6:6" x14ac:dyDescent="0.3">
      <c r="F3425" s="193"/>
    </row>
    <row r="3426" spans="6:6" x14ac:dyDescent="0.3">
      <c r="F3426" s="193"/>
    </row>
    <row r="3427" spans="6:6" x14ac:dyDescent="0.3">
      <c r="F3427" s="193"/>
    </row>
    <row r="3428" spans="6:6" x14ac:dyDescent="0.3">
      <c r="F3428" s="193"/>
    </row>
    <row r="3429" spans="6:6" x14ac:dyDescent="0.3">
      <c r="F3429" s="193"/>
    </row>
    <row r="3430" spans="6:6" x14ac:dyDescent="0.3">
      <c r="F3430" s="193"/>
    </row>
    <row r="3431" spans="6:6" x14ac:dyDescent="0.3">
      <c r="F3431" s="193"/>
    </row>
    <row r="3432" spans="6:6" x14ac:dyDescent="0.3">
      <c r="F3432" s="193"/>
    </row>
    <row r="3433" spans="6:6" x14ac:dyDescent="0.3">
      <c r="F3433" s="193"/>
    </row>
    <row r="3434" spans="6:6" x14ac:dyDescent="0.3">
      <c r="F3434" s="193"/>
    </row>
    <row r="3435" spans="6:6" x14ac:dyDescent="0.3">
      <c r="F3435" s="193"/>
    </row>
    <row r="3436" spans="6:6" x14ac:dyDescent="0.3">
      <c r="F3436" s="193"/>
    </row>
    <row r="3437" spans="6:6" x14ac:dyDescent="0.3">
      <c r="F3437" s="193"/>
    </row>
    <row r="3438" spans="6:6" x14ac:dyDescent="0.3">
      <c r="F3438" s="193"/>
    </row>
    <row r="3439" spans="6:6" x14ac:dyDescent="0.3">
      <c r="F3439" s="193"/>
    </row>
    <row r="3440" spans="6:6" x14ac:dyDescent="0.3">
      <c r="F3440" s="193"/>
    </row>
    <row r="3441" spans="6:6" x14ac:dyDescent="0.3">
      <c r="F3441" s="193"/>
    </row>
    <row r="3442" spans="6:6" x14ac:dyDescent="0.3">
      <c r="F3442" s="193"/>
    </row>
    <row r="3443" spans="6:6" x14ac:dyDescent="0.3">
      <c r="F3443" s="193"/>
    </row>
    <row r="3444" spans="6:6" x14ac:dyDescent="0.3">
      <c r="F3444" s="193"/>
    </row>
    <row r="3445" spans="6:6" x14ac:dyDescent="0.3">
      <c r="F3445" s="193"/>
    </row>
    <row r="3446" spans="6:6" x14ac:dyDescent="0.3">
      <c r="F3446" s="193"/>
    </row>
    <row r="3447" spans="6:6" x14ac:dyDescent="0.3">
      <c r="F3447" s="193"/>
    </row>
    <row r="3448" spans="6:6" x14ac:dyDescent="0.3">
      <c r="F3448" s="193"/>
    </row>
    <row r="3449" spans="6:6" x14ac:dyDescent="0.3">
      <c r="F3449" s="193"/>
    </row>
    <row r="3450" spans="6:6" x14ac:dyDescent="0.3">
      <c r="F3450" s="193"/>
    </row>
    <row r="3451" spans="6:6" x14ac:dyDescent="0.3">
      <c r="F3451" s="193"/>
    </row>
    <row r="3452" spans="6:6" x14ac:dyDescent="0.3">
      <c r="F3452" s="193"/>
    </row>
    <row r="3453" spans="6:6" x14ac:dyDescent="0.3">
      <c r="F3453" s="193"/>
    </row>
    <row r="3454" spans="6:6" x14ac:dyDescent="0.3">
      <c r="F3454" s="193"/>
    </row>
    <row r="3455" spans="6:6" x14ac:dyDescent="0.3">
      <c r="F3455" s="193"/>
    </row>
    <row r="3456" spans="6:6" x14ac:dyDescent="0.3">
      <c r="F3456" s="193"/>
    </row>
    <row r="3457" spans="6:6" x14ac:dyDescent="0.3">
      <c r="F3457" s="193"/>
    </row>
    <row r="3458" spans="6:6" x14ac:dyDescent="0.3">
      <c r="F3458" s="193"/>
    </row>
    <row r="3459" spans="6:6" x14ac:dyDescent="0.3">
      <c r="F3459" s="193"/>
    </row>
    <row r="3460" spans="6:6" x14ac:dyDescent="0.3">
      <c r="F3460" s="193"/>
    </row>
    <row r="3461" spans="6:6" x14ac:dyDescent="0.3">
      <c r="F3461" s="193"/>
    </row>
    <row r="3462" spans="6:6" x14ac:dyDescent="0.3">
      <c r="F3462" s="193"/>
    </row>
    <row r="3463" spans="6:6" x14ac:dyDescent="0.3">
      <c r="F3463" s="193"/>
    </row>
    <row r="3464" spans="6:6" x14ac:dyDescent="0.3">
      <c r="F3464" s="193"/>
    </row>
    <row r="3465" spans="6:6" x14ac:dyDescent="0.3">
      <c r="F3465" s="193"/>
    </row>
    <row r="3466" spans="6:6" x14ac:dyDescent="0.3">
      <c r="F3466" s="193"/>
    </row>
    <row r="3467" spans="6:6" x14ac:dyDescent="0.3">
      <c r="F3467" s="193"/>
    </row>
    <row r="3468" spans="6:6" x14ac:dyDescent="0.3">
      <c r="F3468" s="193"/>
    </row>
    <row r="3469" spans="6:6" x14ac:dyDescent="0.3">
      <c r="F3469" s="193"/>
    </row>
    <row r="3470" spans="6:6" x14ac:dyDescent="0.3">
      <c r="F3470" s="193"/>
    </row>
    <row r="3471" spans="6:6" x14ac:dyDescent="0.3">
      <c r="F3471" s="193"/>
    </row>
    <row r="3472" spans="6:6" x14ac:dyDescent="0.3">
      <c r="F3472" s="193"/>
    </row>
    <row r="3473" spans="6:6" x14ac:dyDescent="0.3">
      <c r="F3473" s="193"/>
    </row>
    <row r="3474" spans="6:6" x14ac:dyDescent="0.3">
      <c r="F3474" s="193"/>
    </row>
    <row r="3475" spans="6:6" x14ac:dyDescent="0.3">
      <c r="F3475" s="193"/>
    </row>
    <row r="3476" spans="6:6" x14ac:dyDescent="0.3">
      <c r="F3476" s="193"/>
    </row>
    <row r="3477" spans="6:6" x14ac:dyDescent="0.3">
      <c r="F3477" s="193"/>
    </row>
    <row r="3478" spans="6:6" x14ac:dyDescent="0.3">
      <c r="F3478" s="193"/>
    </row>
    <row r="3479" spans="6:6" x14ac:dyDescent="0.3">
      <c r="F3479" s="193"/>
    </row>
    <row r="3480" spans="6:6" x14ac:dyDescent="0.3">
      <c r="F3480" s="193"/>
    </row>
    <row r="3481" spans="6:6" x14ac:dyDescent="0.3">
      <c r="F3481" s="193"/>
    </row>
    <row r="3482" spans="6:6" x14ac:dyDescent="0.3">
      <c r="F3482" s="193"/>
    </row>
    <row r="3483" spans="6:6" x14ac:dyDescent="0.3">
      <c r="F3483" s="193"/>
    </row>
    <row r="3484" spans="6:6" x14ac:dyDescent="0.3">
      <c r="F3484" s="193"/>
    </row>
    <row r="3485" spans="6:6" x14ac:dyDescent="0.3">
      <c r="F3485" s="193"/>
    </row>
    <row r="3486" spans="6:6" x14ac:dyDescent="0.3">
      <c r="F3486" s="193"/>
    </row>
    <row r="3487" spans="6:6" x14ac:dyDescent="0.3">
      <c r="F3487" s="193"/>
    </row>
    <row r="3488" spans="6:6" x14ac:dyDescent="0.3">
      <c r="F3488" s="193"/>
    </row>
    <row r="3489" spans="6:6" x14ac:dyDescent="0.3">
      <c r="F3489" s="193"/>
    </row>
    <row r="3490" spans="6:6" x14ac:dyDescent="0.3">
      <c r="F3490" s="193"/>
    </row>
    <row r="3491" spans="6:6" x14ac:dyDescent="0.3">
      <c r="F3491" s="193"/>
    </row>
    <row r="3492" spans="6:6" x14ac:dyDescent="0.3">
      <c r="F3492" s="193"/>
    </row>
    <row r="3493" spans="6:6" x14ac:dyDescent="0.3">
      <c r="F3493" s="193"/>
    </row>
    <row r="3494" spans="6:6" x14ac:dyDescent="0.3">
      <c r="F3494" s="193"/>
    </row>
    <row r="3495" spans="6:6" x14ac:dyDescent="0.3">
      <c r="F3495" s="193"/>
    </row>
    <row r="3496" spans="6:6" x14ac:dyDescent="0.3">
      <c r="F3496" s="193"/>
    </row>
    <row r="3497" spans="6:6" x14ac:dyDescent="0.3">
      <c r="F3497" s="193"/>
    </row>
    <row r="3498" spans="6:6" x14ac:dyDescent="0.3">
      <c r="F3498" s="193"/>
    </row>
    <row r="3499" spans="6:6" x14ac:dyDescent="0.3">
      <c r="F3499" s="193"/>
    </row>
    <row r="3500" spans="6:6" x14ac:dyDescent="0.3">
      <c r="F3500" s="193"/>
    </row>
    <row r="3501" spans="6:6" x14ac:dyDescent="0.3">
      <c r="F3501" s="193"/>
    </row>
    <row r="3502" spans="6:6" x14ac:dyDescent="0.3">
      <c r="F3502" s="193"/>
    </row>
    <row r="3503" spans="6:6" x14ac:dyDescent="0.3">
      <c r="F3503" s="193"/>
    </row>
    <row r="3504" spans="6:6" x14ac:dyDescent="0.3">
      <c r="F3504" s="193"/>
    </row>
    <row r="3505" spans="6:6" x14ac:dyDescent="0.3">
      <c r="F3505" s="193"/>
    </row>
    <row r="3506" spans="6:6" x14ac:dyDescent="0.3">
      <c r="F3506" s="193"/>
    </row>
    <row r="3507" spans="6:6" x14ac:dyDescent="0.3">
      <c r="F3507" s="193"/>
    </row>
    <row r="3508" spans="6:6" x14ac:dyDescent="0.3">
      <c r="F3508" s="193"/>
    </row>
    <row r="3509" spans="6:6" x14ac:dyDescent="0.3">
      <c r="F3509" s="193"/>
    </row>
    <row r="3510" spans="6:6" x14ac:dyDescent="0.3">
      <c r="F3510" s="193"/>
    </row>
    <row r="3511" spans="6:6" x14ac:dyDescent="0.3">
      <c r="F3511" s="193"/>
    </row>
    <row r="3512" spans="6:6" x14ac:dyDescent="0.3">
      <c r="F3512" s="193"/>
    </row>
    <row r="3513" spans="6:6" x14ac:dyDescent="0.3">
      <c r="F3513" s="193"/>
    </row>
    <row r="3514" spans="6:6" x14ac:dyDescent="0.3">
      <c r="F3514" s="193"/>
    </row>
    <row r="3515" spans="6:6" x14ac:dyDescent="0.3">
      <c r="F3515" s="193"/>
    </row>
    <row r="3516" spans="6:6" x14ac:dyDescent="0.3">
      <c r="F3516" s="193"/>
    </row>
    <row r="3517" spans="6:6" x14ac:dyDescent="0.3">
      <c r="F3517" s="193"/>
    </row>
    <row r="3518" spans="6:6" x14ac:dyDescent="0.3">
      <c r="F3518" s="193"/>
    </row>
    <row r="3519" spans="6:6" x14ac:dyDescent="0.3">
      <c r="F3519" s="193"/>
    </row>
    <row r="3520" spans="6:6" x14ac:dyDescent="0.3">
      <c r="F3520" s="193"/>
    </row>
    <row r="3521" spans="6:6" x14ac:dyDescent="0.3">
      <c r="F3521" s="193"/>
    </row>
    <row r="3522" spans="6:6" x14ac:dyDescent="0.3">
      <c r="F3522" s="193"/>
    </row>
    <row r="3523" spans="6:6" x14ac:dyDescent="0.3">
      <c r="F3523" s="193"/>
    </row>
    <row r="3524" spans="6:6" x14ac:dyDescent="0.3">
      <c r="F3524" s="193"/>
    </row>
    <row r="3525" spans="6:6" x14ac:dyDescent="0.3">
      <c r="F3525" s="193"/>
    </row>
    <row r="3526" spans="6:6" x14ac:dyDescent="0.3">
      <c r="F3526" s="193"/>
    </row>
    <row r="3527" spans="6:6" x14ac:dyDescent="0.3">
      <c r="F3527" s="193"/>
    </row>
    <row r="3528" spans="6:6" x14ac:dyDescent="0.3">
      <c r="F3528" s="193"/>
    </row>
    <row r="3529" spans="6:6" x14ac:dyDescent="0.3">
      <c r="F3529" s="193"/>
    </row>
    <row r="3530" spans="6:6" x14ac:dyDescent="0.3">
      <c r="F3530" s="193"/>
    </row>
    <row r="3531" spans="6:6" x14ac:dyDescent="0.3">
      <c r="F3531" s="193"/>
    </row>
    <row r="3532" spans="6:6" x14ac:dyDescent="0.3">
      <c r="F3532" s="193"/>
    </row>
    <row r="3533" spans="6:6" x14ac:dyDescent="0.3">
      <c r="F3533" s="193"/>
    </row>
    <row r="3534" spans="6:6" x14ac:dyDescent="0.3">
      <c r="F3534" s="193"/>
    </row>
    <row r="3535" spans="6:6" x14ac:dyDescent="0.3">
      <c r="F3535" s="193"/>
    </row>
    <row r="3536" spans="6:6" x14ac:dyDescent="0.3">
      <c r="F3536" s="193"/>
    </row>
    <row r="3537" spans="6:6" x14ac:dyDescent="0.3">
      <c r="F3537" s="193"/>
    </row>
    <row r="3538" spans="6:6" x14ac:dyDescent="0.3">
      <c r="F3538" s="193"/>
    </row>
    <row r="3539" spans="6:6" x14ac:dyDescent="0.3">
      <c r="F3539" s="193"/>
    </row>
    <row r="3540" spans="6:6" x14ac:dyDescent="0.3">
      <c r="F3540" s="193"/>
    </row>
    <row r="3541" spans="6:6" x14ac:dyDescent="0.3">
      <c r="F3541" s="193"/>
    </row>
    <row r="3542" spans="6:6" x14ac:dyDescent="0.3">
      <c r="F3542" s="193"/>
    </row>
    <row r="3543" spans="6:6" x14ac:dyDescent="0.3">
      <c r="F3543" s="193"/>
    </row>
    <row r="3544" spans="6:6" x14ac:dyDescent="0.3">
      <c r="F3544" s="193"/>
    </row>
    <row r="3545" spans="6:6" x14ac:dyDescent="0.3">
      <c r="F3545" s="193"/>
    </row>
    <row r="3546" spans="6:6" x14ac:dyDescent="0.3">
      <c r="F3546" s="193"/>
    </row>
    <row r="3547" spans="6:6" x14ac:dyDescent="0.3">
      <c r="F3547" s="193"/>
    </row>
    <row r="3548" spans="6:6" x14ac:dyDescent="0.3">
      <c r="F3548" s="193"/>
    </row>
    <row r="3549" spans="6:6" x14ac:dyDescent="0.3">
      <c r="F3549" s="193"/>
    </row>
    <row r="3550" spans="6:6" x14ac:dyDescent="0.3">
      <c r="F3550" s="193"/>
    </row>
    <row r="3551" spans="6:6" x14ac:dyDescent="0.3">
      <c r="F3551" s="193"/>
    </row>
    <row r="3552" spans="6:6" x14ac:dyDescent="0.3">
      <c r="F3552" s="193"/>
    </row>
    <row r="3553" spans="6:6" x14ac:dyDescent="0.3">
      <c r="F3553" s="193"/>
    </row>
    <row r="3554" spans="6:6" x14ac:dyDescent="0.3">
      <c r="F3554" s="193"/>
    </row>
    <row r="3555" spans="6:6" x14ac:dyDescent="0.3">
      <c r="F3555" s="193"/>
    </row>
    <row r="3556" spans="6:6" x14ac:dyDescent="0.3">
      <c r="F3556" s="193"/>
    </row>
    <row r="3557" spans="6:6" x14ac:dyDescent="0.3">
      <c r="F3557" s="193"/>
    </row>
    <row r="3558" spans="6:6" x14ac:dyDescent="0.3">
      <c r="F3558" s="193"/>
    </row>
    <row r="3559" spans="6:6" x14ac:dyDescent="0.3">
      <c r="F3559" s="193"/>
    </row>
    <row r="3560" spans="6:6" x14ac:dyDescent="0.3">
      <c r="F3560" s="193"/>
    </row>
    <row r="3561" spans="6:6" x14ac:dyDescent="0.3">
      <c r="F3561" s="193"/>
    </row>
    <row r="3562" spans="6:6" x14ac:dyDescent="0.3">
      <c r="F3562" s="193"/>
    </row>
    <row r="3563" spans="6:6" x14ac:dyDescent="0.3">
      <c r="F3563" s="193"/>
    </row>
    <row r="3564" spans="6:6" x14ac:dyDescent="0.3">
      <c r="F3564" s="193"/>
    </row>
    <row r="3565" spans="6:6" x14ac:dyDescent="0.3">
      <c r="F3565" s="193"/>
    </row>
    <row r="3566" spans="6:6" x14ac:dyDescent="0.3">
      <c r="F3566" s="193"/>
    </row>
    <row r="3567" spans="6:6" x14ac:dyDescent="0.3">
      <c r="F3567" s="193"/>
    </row>
    <row r="3568" spans="6:6" x14ac:dyDescent="0.3">
      <c r="F3568" s="193"/>
    </row>
    <row r="3569" spans="6:6" x14ac:dyDescent="0.3">
      <c r="F3569" s="193"/>
    </row>
    <row r="3570" spans="6:6" x14ac:dyDescent="0.3">
      <c r="F3570" s="193"/>
    </row>
    <row r="3571" spans="6:6" x14ac:dyDescent="0.3">
      <c r="F3571" s="193"/>
    </row>
    <row r="3572" spans="6:6" x14ac:dyDescent="0.3">
      <c r="F3572" s="193"/>
    </row>
    <row r="3573" spans="6:6" x14ac:dyDescent="0.3">
      <c r="F3573" s="193"/>
    </row>
    <row r="3574" spans="6:6" x14ac:dyDescent="0.3">
      <c r="F3574" s="193"/>
    </row>
    <row r="3575" spans="6:6" x14ac:dyDescent="0.3">
      <c r="F3575" s="193"/>
    </row>
    <row r="3576" spans="6:6" x14ac:dyDescent="0.3">
      <c r="F3576" s="193"/>
    </row>
    <row r="3577" spans="6:6" x14ac:dyDescent="0.3">
      <c r="F3577" s="193"/>
    </row>
    <row r="3578" spans="6:6" x14ac:dyDescent="0.3">
      <c r="F3578" s="193"/>
    </row>
    <row r="3579" spans="6:6" x14ac:dyDescent="0.3">
      <c r="F3579" s="193"/>
    </row>
    <row r="3580" spans="6:6" x14ac:dyDescent="0.3">
      <c r="F3580" s="193"/>
    </row>
    <row r="3581" spans="6:6" x14ac:dyDescent="0.3">
      <c r="F3581" s="193"/>
    </row>
    <row r="3582" spans="6:6" x14ac:dyDescent="0.3">
      <c r="F3582" s="193"/>
    </row>
    <row r="3583" spans="6:6" x14ac:dyDescent="0.3">
      <c r="F3583" s="193"/>
    </row>
    <row r="3584" spans="6:6" x14ac:dyDescent="0.3">
      <c r="F3584" s="193"/>
    </row>
    <row r="3585" spans="6:6" x14ac:dyDescent="0.3">
      <c r="F3585" s="193"/>
    </row>
    <row r="3586" spans="6:6" x14ac:dyDescent="0.3">
      <c r="F3586" s="193"/>
    </row>
    <row r="3587" spans="6:6" x14ac:dyDescent="0.3">
      <c r="F3587" s="193"/>
    </row>
    <row r="3588" spans="6:6" x14ac:dyDescent="0.3">
      <c r="F3588" s="193"/>
    </row>
    <row r="3589" spans="6:6" x14ac:dyDescent="0.3">
      <c r="F3589" s="193"/>
    </row>
    <row r="3590" spans="6:6" x14ac:dyDescent="0.3">
      <c r="F3590" s="193"/>
    </row>
    <row r="3591" spans="6:6" x14ac:dyDescent="0.3">
      <c r="F3591" s="193"/>
    </row>
    <row r="3592" spans="6:6" x14ac:dyDescent="0.3">
      <c r="F3592" s="193"/>
    </row>
    <row r="3593" spans="6:6" x14ac:dyDescent="0.3">
      <c r="F3593" s="193"/>
    </row>
    <row r="3594" spans="6:6" x14ac:dyDescent="0.3">
      <c r="F3594" s="193"/>
    </row>
    <row r="3595" spans="6:6" x14ac:dyDescent="0.3">
      <c r="F3595" s="193"/>
    </row>
    <row r="3596" spans="6:6" x14ac:dyDescent="0.3">
      <c r="F3596" s="193"/>
    </row>
    <row r="3597" spans="6:6" x14ac:dyDescent="0.3">
      <c r="F3597" s="193"/>
    </row>
    <row r="3598" spans="6:6" x14ac:dyDescent="0.3">
      <c r="F3598" s="193"/>
    </row>
    <row r="3599" spans="6:6" x14ac:dyDescent="0.3">
      <c r="F3599" s="193"/>
    </row>
    <row r="3600" spans="6:6" x14ac:dyDescent="0.3">
      <c r="F3600" s="193"/>
    </row>
    <row r="3601" spans="6:6" x14ac:dyDescent="0.3">
      <c r="F3601" s="193"/>
    </row>
    <row r="3602" spans="6:6" x14ac:dyDescent="0.3">
      <c r="F3602" s="193"/>
    </row>
    <row r="3603" spans="6:6" x14ac:dyDescent="0.3">
      <c r="F3603" s="193"/>
    </row>
    <row r="3604" spans="6:6" x14ac:dyDescent="0.3">
      <c r="F3604" s="193"/>
    </row>
    <row r="3605" spans="6:6" x14ac:dyDescent="0.3">
      <c r="F3605" s="193"/>
    </row>
    <row r="3606" spans="6:6" x14ac:dyDescent="0.3">
      <c r="F3606" s="193"/>
    </row>
    <row r="3607" spans="6:6" x14ac:dyDescent="0.3">
      <c r="F3607" s="193"/>
    </row>
    <row r="3608" spans="6:6" x14ac:dyDescent="0.3">
      <c r="F3608" s="193"/>
    </row>
    <row r="3609" spans="6:6" x14ac:dyDescent="0.3">
      <c r="F3609" s="193"/>
    </row>
    <row r="3610" spans="6:6" x14ac:dyDescent="0.3">
      <c r="F3610" s="193"/>
    </row>
    <row r="3611" spans="6:6" x14ac:dyDescent="0.3">
      <c r="F3611" s="193"/>
    </row>
    <row r="3612" spans="6:6" x14ac:dyDescent="0.3">
      <c r="F3612" s="193"/>
    </row>
    <row r="3613" spans="6:6" x14ac:dyDescent="0.3">
      <c r="F3613" s="193"/>
    </row>
    <row r="3614" spans="6:6" x14ac:dyDescent="0.3">
      <c r="F3614" s="193"/>
    </row>
    <row r="3615" spans="6:6" x14ac:dyDescent="0.3">
      <c r="F3615" s="193"/>
    </row>
    <row r="3616" spans="6:6" x14ac:dyDescent="0.3">
      <c r="F3616" s="193"/>
    </row>
    <row r="3617" spans="6:6" x14ac:dyDescent="0.3">
      <c r="F3617" s="193"/>
    </row>
    <row r="3618" spans="6:6" x14ac:dyDescent="0.3">
      <c r="F3618" s="193"/>
    </row>
    <row r="3619" spans="6:6" x14ac:dyDescent="0.3">
      <c r="F3619" s="193"/>
    </row>
    <row r="3620" spans="6:6" x14ac:dyDescent="0.3">
      <c r="F3620" s="193"/>
    </row>
    <row r="3621" spans="6:6" x14ac:dyDescent="0.3">
      <c r="F3621" s="193"/>
    </row>
    <row r="3622" spans="6:6" x14ac:dyDescent="0.3">
      <c r="F3622" s="193"/>
    </row>
    <row r="3623" spans="6:6" x14ac:dyDescent="0.3">
      <c r="F3623" s="193"/>
    </row>
    <row r="3624" spans="6:6" x14ac:dyDescent="0.3">
      <c r="F3624" s="193"/>
    </row>
    <row r="3625" spans="6:6" x14ac:dyDescent="0.3">
      <c r="F3625" s="193"/>
    </row>
    <row r="3626" spans="6:6" x14ac:dyDescent="0.3">
      <c r="F3626" s="193"/>
    </row>
    <row r="3627" spans="6:6" x14ac:dyDescent="0.3">
      <c r="F3627" s="193"/>
    </row>
    <row r="3628" spans="6:6" x14ac:dyDescent="0.3">
      <c r="F3628" s="193"/>
    </row>
    <row r="3629" spans="6:6" x14ac:dyDescent="0.3">
      <c r="F3629" s="193"/>
    </row>
    <row r="3630" spans="6:6" x14ac:dyDescent="0.3">
      <c r="F3630" s="193"/>
    </row>
    <row r="3631" spans="6:6" x14ac:dyDescent="0.3">
      <c r="F3631" s="193"/>
    </row>
    <row r="3632" spans="6:6" x14ac:dyDescent="0.3">
      <c r="F3632" s="193"/>
    </row>
    <row r="3633" spans="6:6" x14ac:dyDescent="0.3">
      <c r="F3633" s="193"/>
    </row>
    <row r="3634" spans="6:6" x14ac:dyDescent="0.3">
      <c r="F3634" s="193"/>
    </row>
    <row r="3635" spans="6:6" x14ac:dyDescent="0.3">
      <c r="F3635" s="193"/>
    </row>
    <row r="3636" spans="6:6" x14ac:dyDescent="0.3">
      <c r="F3636" s="193"/>
    </row>
    <row r="3637" spans="6:6" x14ac:dyDescent="0.3">
      <c r="F3637" s="193"/>
    </row>
    <row r="3638" spans="6:6" x14ac:dyDescent="0.3">
      <c r="F3638" s="193"/>
    </row>
    <row r="3639" spans="6:6" x14ac:dyDescent="0.3">
      <c r="F3639" s="193"/>
    </row>
    <row r="3640" spans="6:6" x14ac:dyDescent="0.3">
      <c r="F3640" s="193"/>
    </row>
    <row r="3641" spans="6:6" x14ac:dyDescent="0.3">
      <c r="F3641" s="193"/>
    </row>
    <row r="3642" spans="6:6" x14ac:dyDescent="0.3">
      <c r="F3642" s="193"/>
    </row>
    <row r="3643" spans="6:6" x14ac:dyDescent="0.3">
      <c r="F3643" s="193"/>
    </row>
    <row r="3644" spans="6:6" x14ac:dyDescent="0.3">
      <c r="F3644" s="193"/>
    </row>
    <row r="3645" spans="6:6" x14ac:dyDescent="0.3">
      <c r="F3645" s="193"/>
    </row>
    <row r="3646" spans="6:6" x14ac:dyDescent="0.3">
      <c r="F3646" s="193"/>
    </row>
    <row r="3647" spans="6:6" x14ac:dyDescent="0.3">
      <c r="F3647" s="193"/>
    </row>
    <row r="3648" spans="6:6" x14ac:dyDescent="0.3">
      <c r="F3648" s="193"/>
    </row>
    <row r="3649" spans="6:6" x14ac:dyDescent="0.3">
      <c r="F3649" s="193"/>
    </row>
    <row r="3650" spans="6:6" x14ac:dyDescent="0.3">
      <c r="F3650" s="193"/>
    </row>
    <row r="3651" spans="6:6" x14ac:dyDescent="0.3">
      <c r="F3651" s="193"/>
    </row>
    <row r="3652" spans="6:6" x14ac:dyDescent="0.3">
      <c r="F3652" s="193"/>
    </row>
    <row r="3653" spans="6:6" x14ac:dyDescent="0.3">
      <c r="F3653" s="193"/>
    </row>
    <row r="3654" spans="6:6" x14ac:dyDescent="0.3">
      <c r="F3654" s="193"/>
    </row>
    <row r="3655" spans="6:6" x14ac:dyDescent="0.3">
      <c r="F3655" s="193"/>
    </row>
    <row r="3656" spans="6:6" x14ac:dyDescent="0.3">
      <c r="F3656" s="193"/>
    </row>
    <row r="3657" spans="6:6" x14ac:dyDescent="0.3">
      <c r="F3657" s="193"/>
    </row>
    <row r="3658" spans="6:6" x14ac:dyDescent="0.3">
      <c r="F3658" s="193"/>
    </row>
    <row r="3659" spans="6:6" x14ac:dyDescent="0.3">
      <c r="F3659" s="193"/>
    </row>
    <row r="3660" spans="6:6" x14ac:dyDescent="0.3">
      <c r="F3660" s="193"/>
    </row>
    <row r="3661" spans="6:6" x14ac:dyDescent="0.3">
      <c r="F3661" s="193"/>
    </row>
    <row r="3662" spans="6:6" x14ac:dyDescent="0.3">
      <c r="F3662" s="193"/>
    </row>
    <row r="3663" spans="6:6" x14ac:dyDescent="0.3">
      <c r="F3663" s="193"/>
    </row>
    <row r="3664" spans="6:6" x14ac:dyDescent="0.3">
      <c r="F3664" s="193"/>
    </row>
    <row r="3665" spans="6:6" x14ac:dyDescent="0.3">
      <c r="F3665" s="193"/>
    </row>
    <row r="3666" spans="6:6" x14ac:dyDescent="0.3">
      <c r="F3666" s="193"/>
    </row>
    <row r="3667" spans="6:6" x14ac:dyDescent="0.3">
      <c r="F3667" s="193"/>
    </row>
    <row r="3668" spans="6:6" x14ac:dyDescent="0.3">
      <c r="F3668" s="193"/>
    </row>
    <row r="3669" spans="6:6" x14ac:dyDescent="0.3">
      <c r="F3669" s="193"/>
    </row>
    <row r="3670" spans="6:6" x14ac:dyDescent="0.3">
      <c r="F3670" s="193"/>
    </row>
    <row r="3671" spans="6:6" x14ac:dyDescent="0.3">
      <c r="F3671" s="193"/>
    </row>
    <row r="3672" spans="6:6" x14ac:dyDescent="0.3">
      <c r="F3672" s="193"/>
    </row>
    <row r="3673" spans="6:6" x14ac:dyDescent="0.3">
      <c r="F3673" s="193"/>
    </row>
    <row r="3674" spans="6:6" x14ac:dyDescent="0.3">
      <c r="F3674" s="193"/>
    </row>
    <row r="3675" spans="6:6" x14ac:dyDescent="0.3">
      <c r="F3675" s="193"/>
    </row>
    <row r="3676" spans="6:6" x14ac:dyDescent="0.3">
      <c r="F3676" s="193"/>
    </row>
    <row r="3677" spans="6:6" x14ac:dyDescent="0.3">
      <c r="F3677" s="193"/>
    </row>
    <row r="3678" spans="6:6" x14ac:dyDescent="0.3">
      <c r="F3678" s="193"/>
    </row>
    <row r="3679" spans="6:6" x14ac:dyDescent="0.3">
      <c r="F3679" s="193"/>
    </row>
    <row r="3680" spans="6:6" x14ac:dyDescent="0.3">
      <c r="F3680" s="193"/>
    </row>
    <row r="3681" spans="6:6" x14ac:dyDescent="0.3">
      <c r="F3681" s="193"/>
    </row>
    <row r="3682" spans="6:6" x14ac:dyDescent="0.3">
      <c r="F3682" s="193"/>
    </row>
    <row r="3683" spans="6:6" x14ac:dyDescent="0.3">
      <c r="F3683" s="193"/>
    </row>
    <row r="3684" spans="6:6" x14ac:dyDescent="0.3">
      <c r="F3684" s="193"/>
    </row>
    <row r="3685" spans="6:6" x14ac:dyDescent="0.3">
      <c r="F3685" s="193"/>
    </row>
    <row r="3686" spans="6:6" x14ac:dyDescent="0.3">
      <c r="F3686" s="193"/>
    </row>
    <row r="3687" spans="6:6" x14ac:dyDescent="0.3">
      <c r="F3687" s="193"/>
    </row>
    <row r="3688" spans="6:6" x14ac:dyDescent="0.3">
      <c r="F3688" s="193"/>
    </row>
    <row r="3689" spans="6:6" x14ac:dyDescent="0.3">
      <c r="F3689" s="193"/>
    </row>
    <row r="3690" spans="6:6" x14ac:dyDescent="0.3">
      <c r="F3690" s="193"/>
    </row>
    <row r="3691" spans="6:6" x14ac:dyDescent="0.3">
      <c r="F3691" s="193"/>
    </row>
    <row r="3692" spans="6:6" x14ac:dyDescent="0.3">
      <c r="F3692" s="193"/>
    </row>
    <row r="3693" spans="6:6" x14ac:dyDescent="0.3">
      <c r="F3693" s="193"/>
    </row>
    <row r="3694" spans="6:6" x14ac:dyDescent="0.3">
      <c r="F3694" s="193"/>
    </row>
    <row r="3695" spans="6:6" x14ac:dyDescent="0.3">
      <c r="F3695" s="193"/>
    </row>
    <row r="3696" spans="6:6" x14ac:dyDescent="0.3">
      <c r="F3696" s="193"/>
    </row>
    <row r="3697" spans="6:6" x14ac:dyDescent="0.3">
      <c r="F3697" s="193"/>
    </row>
    <row r="3698" spans="6:6" x14ac:dyDescent="0.3">
      <c r="F3698" s="193"/>
    </row>
    <row r="3699" spans="6:6" x14ac:dyDescent="0.3">
      <c r="F3699" s="193"/>
    </row>
    <row r="3700" spans="6:6" x14ac:dyDescent="0.3">
      <c r="F3700" s="193"/>
    </row>
    <row r="3701" spans="6:6" x14ac:dyDescent="0.3">
      <c r="F3701" s="193"/>
    </row>
    <row r="3702" spans="6:6" x14ac:dyDescent="0.3">
      <c r="F3702" s="193"/>
    </row>
    <row r="3703" spans="6:6" x14ac:dyDescent="0.3">
      <c r="F3703" s="193"/>
    </row>
    <row r="3704" spans="6:6" x14ac:dyDescent="0.3">
      <c r="F3704" s="193"/>
    </row>
    <row r="3705" spans="6:6" x14ac:dyDescent="0.3">
      <c r="F3705" s="193"/>
    </row>
    <row r="3706" spans="6:6" x14ac:dyDescent="0.3">
      <c r="F3706" s="193"/>
    </row>
    <row r="3707" spans="6:6" x14ac:dyDescent="0.3">
      <c r="F3707" s="193"/>
    </row>
    <row r="3708" spans="6:6" x14ac:dyDescent="0.3">
      <c r="F3708" s="193"/>
    </row>
    <row r="3709" spans="6:6" x14ac:dyDescent="0.3">
      <c r="F3709" s="193"/>
    </row>
    <row r="3710" spans="6:6" x14ac:dyDescent="0.3">
      <c r="F3710" s="193"/>
    </row>
    <row r="3711" spans="6:6" x14ac:dyDescent="0.3">
      <c r="F3711" s="193"/>
    </row>
    <row r="3712" spans="6:6" x14ac:dyDescent="0.3">
      <c r="F3712" s="193"/>
    </row>
    <row r="3713" spans="6:6" x14ac:dyDescent="0.3">
      <c r="F3713" s="193"/>
    </row>
    <row r="3714" spans="6:6" x14ac:dyDescent="0.3">
      <c r="F3714" s="193"/>
    </row>
    <row r="3715" spans="6:6" x14ac:dyDescent="0.3">
      <c r="F3715" s="193"/>
    </row>
    <row r="3716" spans="6:6" x14ac:dyDescent="0.3">
      <c r="F3716" s="193"/>
    </row>
    <row r="3717" spans="6:6" x14ac:dyDescent="0.3">
      <c r="F3717" s="193"/>
    </row>
    <row r="3718" spans="6:6" x14ac:dyDescent="0.3">
      <c r="F3718" s="193"/>
    </row>
    <row r="3719" spans="6:6" x14ac:dyDescent="0.3">
      <c r="F3719" s="193"/>
    </row>
    <row r="3720" spans="6:6" x14ac:dyDescent="0.3">
      <c r="F3720" s="193"/>
    </row>
    <row r="3721" spans="6:6" x14ac:dyDescent="0.3">
      <c r="F3721" s="193"/>
    </row>
    <row r="3722" spans="6:6" x14ac:dyDescent="0.3">
      <c r="F3722" s="193"/>
    </row>
    <row r="3723" spans="6:6" x14ac:dyDescent="0.3">
      <c r="F3723" s="193"/>
    </row>
    <row r="3724" spans="6:6" x14ac:dyDescent="0.3">
      <c r="F3724" s="193"/>
    </row>
    <row r="3725" spans="6:6" x14ac:dyDescent="0.3">
      <c r="F3725" s="193"/>
    </row>
    <row r="3726" spans="6:6" x14ac:dyDescent="0.3">
      <c r="F3726" s="193"/>
    </row>
    <row r="3727" spans="6:6" x14ac:dyDescent="0.3">
      <c r="F3727" s="193"/>
    </row>
    <row r="3728" spans="6:6" x14ac:dyDescent="0.3">
      <c r="F3728" s="193"/>
    </row>
    <row r="3729" spans="6:6" x14ac:dyDescent="0.3">
      <c r="F3729" s="193"/>
    </row>
    <row r="3730" spans="6:6" x14ac:dyDescent="0.3">
      <c r="F3730" s="193"/>
    </row>
    <row r="3731" spans="6:6" x14ac:dyDescent="0.3">
      <c r="F3731" s="193"/>
    </row>
    <row r="3732" spans="6:6" x14ac:dyDescent="0.3">
      <c r="F3732" s="193"/>
    </row>
    <row r="3733" spans="6:6" x14ac:dyDescent="0.3">
      <c r="F3733" s="193"/>
    </row>
    <row r="3734" spans="6:6" x14ac:dyDescent="0.3">
      <c r="F3734" s="193"/>
    </row>
    <row r="3735" spans="6:6" x14ac:dyDescent="0.3">
      <c r="F3735" s="193"/>
    </row>
    <row r="3736" spans="6:6" x14ac:dyDescent="0.3">
      <c r="F3736" s="193"/>
    </row>
    <row r="3737" spans="6:6" x14ac:dyDescent="0.3">
      <c r="F3737" s="193"/>
    </row>
    <row r="3738" spans="6:6" x14ac:dyDescent="0.3">
      <c r="F3738" s="193"/>
    </row>
    <row r="3739" spans="6:6" x14ac:dyDescent="0.3">
      <c r="F3739" s="193"/>
    </row>
    <row r="3740" spans="6:6" x14ac:dyDescent="0.3">
      <c r="F3740" s="193"/>
    </row>
    <row r="3741" spans="6:6" x14ac:dyDescent="0.3">
      <c r="F3741" s="193"/>
    </row>
    <row r="3742" spans="6:6" x14ac:dyDescent="0.3">
      <c r="F3742" s="193"/>
    </row>
    <row r="3743" spans="6:6" x14ac:dyDescent="0.3">
      <c r="F3743" s="193"/>
    </row>
    <row r="3744" spans="6:6" x14ac:dyDescent="0.3">
      <c r="F3744" s="193"/>
    </row>
    <row r="3745" spans="6:6" x14ac:dyDescent="0.3">
      <c r="F3745" s="193"/>
    </row>
    <row r="3746" spans="6:6" x14ac:dyDescent="0.3">
      <c r="F3746" s="193"/>
    </row>
    <row r="3747" spans="6:6" x14ac:dyDescent="0.3">
      <c r="F3747" s="193"/>
    </row>
    <row r="3748" spans="6:6" x14ac:dyDescent="0.3">
      <c r="F3748" s="193"/>
    </row>
    <row r="3749" spans="6:6" x14ac:dyDescent="0.3">
      <c r="F3749" s="193"/>
    </row>
    <row r="3750" spans="6:6" x14ac:dyDescent="0.3">
      <c r="F3750" s="193"/>
    </row>
    <row r="3751" spans="6:6" x14ac:dyDescent="0.3">
      <c r="F3751" s="193"/>
    </row>
    <row r="3752" spans="6:6" x14ac:dyDescent="0.3">
      <c r="F3752" s="193"/>
    </row>
    <row r="3753" spans="6:6" x14ac:dyDescent="0.3">
      <c r="F3753" s="193"/>
    </row>
    <row r="3754" spans="6:6" x14ac:dyDescent="0.3">
      <c r="F3754" s="193"/>
    </row>
    <row r="3755" spans="6:6" x14ac:dyDescent="0.3">
      <c r="F3755" s="193"/>
    </row>
    <row r="3756" spans="6:6" x14ac:dyDescent="0.3">
      <c r="F3756" s="193"/>
    </row>
    <row r="3757" spans="6:6" x14ac:dyDescent="0.3">
      <c r="F3757" s="193"/>
    </row>
    <row r="3758" spans="6:6" x14ac:dyDescent="0.3">
      <c r="F3758" s="193"/>
    </row>
    <row r="3759" spans="6:6" x14ac:dyDescent="0.3">
      <c r="F3759" s="193"/>
    </row>
    <row r="3760" spans="6:6" x14ac:dyDescent="0.3">
      <c r="F3760" s="193"/>
    </row>
    <row r="3761" spans="6:6" x14ac:dyDescent="0.3">
      <c r="F3761" s="193"/>
    </row>
    <row r="3762" spans="6:6" x14ac:dyDescent="0.3">
      <c r="F3762" s="193"/>
    </row>
    <row r="3763" spans="6:6" x14ac:dyDescent="0.3">
      <c r="F3763" s="193"/>
    </row>
    <row r="3764" spans="6:6" x14ac:dyDescent="0.3">
      <c r="F3764" s="193"/>
    </row>
    <row r="3765" spans="6:6" x14ac:dyDescent="0.3">
      <c r="F3765" s="193"/>
    </row>
    <row r="3766" spans="6:6" x14ac:dyDescent="0.3">
      <c r="F3766" s="193"/>
    </row>
    <row r="3767" spans="6:6" x14ac:dyDescent="0.3">
      <c r="F3767" s="193"/>
    </row>
    <row r="3768" spans="6:6" x14ac:dyDescent="0.3">
      <c r="F3768" s="193"/>
    </row>
    <row r="3769" spans="6:6" x14ac:dyDescent="0.3">
      <c r="F3769" s="193"/>
    </row>
    <row r="3770" spans="6:6" x14ac:dyDescent="0.3">
      <c r="F3770" s="193"/>
    </row>
    <row r="3771" spans="6:6" x14ac:dyDescent="0.3">
      <c r="F3771" s="193"/>
    </row>
    <row r="3772" spans="6:6" x14ac:dyDescent="0.3">
      <c r="F3772" s="193"/>
    </row>
    <row r="3773" spans="6:6" x14ac:dyDescent="0.3">
      <c r="F3773" s="193"/>
    </row>
    <row r="3774" spans="6:6" x14ac:dyDescent="0.3">
      <c r="F3774" s="193"/>
    </row>
    <row r="3775" spans="6:6" x14ac:dyDescent="0.3">
      <c r="F3775" s="193"/>
    </row>
    <row r="3776" spans="6:6" x14ac:dyDescent="0.3">
      <c r="F3776" s="193"/>
    </row>
    <row r="3777" spans="6:6" x14ac:dyDescent="0.3">
      <c r="F3777" s="193"/>
    </row>
    <row r="3778" spans="6:6" x14ac:dyDescent="0.3">
      <c r="F3778" s="193"/>
    </row>
    <row r="3779" spans="6:6" x14ac:dyDescent="0.3">
      <c r="F3779" s="193"/>
    </row>
    <row r="3780" spans="6:6" x14ac:dyDescent="0.3">
      <c r="F3780" s="193"/>
    </row>
    <row r="3781" spans="6:6" x14ac:dyDescent="0.3">
      <c r="F3781" s="193"/>
    </row>
    <row r="3782" spans="6:6" x14ac:dyDescent="0.3">
      <c r="F3782" s="193"/>
    </row>
    <row r="3783" spans="6:6" x14ac:dyDescent="0.3">
      <c r="F3783" s="193"/>
    </row>
    <row r="3784" spans="6:6" x14ac:dyDescent="0.3">
      <c r="F3784" s="193"/>
    </row>
    <row r="3785" spans="6:6" x14ac:dyDescent="0.3">
      <c r="F3785" s="193"/>
    </row>
    <row r="3786" spans="6:6" x14ac:dyDescent="0.3">
      <c r="F3786" s="193"/>
    </row>
    <row r="3787" spans="6:6" x14ac:dyDescent="0.3">
      <c r="F3787" s="193"/>
    </row>
    <row r="3788" spans="6:6" x14ac:dyDescent="0.3">
      <c r="F3788" s="193"/>
    </row>
    <row r="3789" spans="6:6" x14ac:dyDescent="0.3">
      <c r="F3789" s="193"/>
    </row>
    <row r="3790" spans="6:6" x14ac:dyDescent="0.3">
      <c r="F3790" s="193"/>
    </row>
    <row r="3791" spans="6:6" x14ac:dyDescent="0.3">
      <c r="F3791" s="193"/>
    </row>
    <row r="3792" spans="6:6" x14ac:dyDescent="0.3">
      <c r="F3792" s="193"/>
    </row>
    <row r="3793" spans="6:6" x14ac:dyDescent="0.3">
      <c r="F3793" s="193"/>
    </row>
    <row r="3794" spans="6:6" x14ac:dyDescent="0.3">
      <c r="F3794" s="193"/>
    </row>
    <row r="3795" spans="6:6" x14ac:dyDescent="0.3">
      <c r="F3795" s="193"/>
    </row>
    <row r="3796" spans="6:6" x14ac:dyDescent="0.3">
      <c r="F3796" s="193"/>
    </row>
    <row r="3797" spans="6:6" x14ac:dyDescent="0.3">
      <c r="F3797" s="193"/>
    </row>
    <row r="3798" spans="6:6" x14ac:dyDescent="0.3">
      <c r="F3798" s="193"/>
    </row>
    <row r="3799" spans="6:6" x14ac:dyDescent="0.3">
      <c r="F3799" s="193"/>
    </row>
    <row r="3800" spans="6:6" x14ac:dyDescent="0.3">
      <c r="F3800" s="193"/>
    </row>
    <row r="3801" spans="6:6" x14ac:dyDescent="0.3">
      <c r="F3801" s="193"/>
    </row>
    <row r="3802" spans="6:6" x14ac:dyDescent="0.3">
      <c r="F3802" s="193"/>
    </row>
    <row r="3803" spans="6:6" x14ac:dyDescent="0.3">
      <c r="F3803" s="193"/>
    </row>
    <row r="3804" spans="6:6" x14ac:dyDescent="0.3">
      <c r="F3804" s="193"/>
    </row>
    <row r="3805" spans="6:6" x14ac:dyDescent="0.3">
      <c r="F3805" s="193"/>
    </row>
    <row r="3806" spans="6:6" x14ac:dyDescent="0.3">
      <c r="F3806" s="193"/>
    </row>
    <row r="3807" spans="6:6" x14ac:dyDescent="0.3">
      <c r="F3807" s="193"/>
    </row>
    <row r="3808" spans="6:6" x14ac:dyDescent="0.3">
      <c r="F3808" s="193"/>
    </row>
    <row r="3809" spans="6:6" x14ac:dyDescent="0.3">
      <c r="F3809" s="193"/>
    </row>
    <row r="3810" spans="6:6" x14ac:dyDescent="0.3">
      <c r="F3810" s="193"/>
    </row>
    <row r="3811" spans="6:6" x14ac:dyDescent="0.3">
      <c r="F3811" s="193"/>
    </row>
    <row r="3812" spans="6:6" x14ac:dyDescent="0.3">
      <c r="F3812" s="193"/>
    </row>
    <row r="3813" spans="6:6" x14ac:dyDescent="0.3">
      <c r="F3813" s="193"/>
    </row>
    <row r="3814" spans="6:6" x14ac:dyDescent="0.3">
      <c r="F3814" s="193"/>
    </row>
    <row r="3815" spans="6:6" x14ac:dyDescent="0.3">
      <c r="F3815" s="193"/>
    </row>
    <row r="3816" spans="6:6" x14ac:dyDescent="0.3">
      <c r="F3816" s="193"/>
    </row>
    <row r="3817" spans="6:6" x14ac:dyDescent="0.3">
      <c r="F3817" s="193"/>
    </row>
    <row r="3818" spans="6:6" x14ac:dyDescent="0.3">
      <c r="F3818" s="193"/>
    </row>
    <row r="3819" spans="6:6" x14ac:dyDescent="0.3">
      <c r="F3819" s="193"/>
    </row>
    <row r="3820" spans="6:6" x14ac:dyDescent="0.3">
      <c r="F3820" s="193"/>
    </row>
    <row r="3821" spans="6:6" x14ac:dyDescent="0.3">
      <c r="F3821" s="193"/>
    </row>
    <row r="3822" spans="6:6" x14ac:dyDescent="0.3">
      <c r="F3822" s="193"/>
    </row>
    <row r="3823" spans="6:6" x14ac:dyDescent="0.3">
      <c r="F3823" s="193"/>
    </row>
    <row r="3824" spans="6:6" x14ac:dyDescent="0.3">
      <c r="F3824" s="193"/>
    </row>
    <row r="3825" spans="6:6" x14ac:dyDescent="0.3">
      <c r="F3825" s="193"/>
    </row>
    <row r="3826" spans="6:6" x14ac:dyDescent="0.3">
      <c r="F3826" s="193"/>
    </row>
    <row r="3827" spans="6:6" x14ac:dyDescent="0.3">
      <c r="F3827" s="193"/>
    </row>
    <row r="3828" spans="6:6" x14ac:dyDescent="0.3">
      <c r="F3828" s="193"/>
    </row>
    <row r="3829" spans="6:6" x14ac:dyDescent="0.3">
      <c r="F3829" s="193"/>
    </row>
    <row r="3830" spans="6:6" x14ac:dyDescent="0.3">
      <c r="F3830" s="193"/>
    </row>
    <row r="3831" spans="6:6" x14ac:dyDescent="0.3">
      <c r="F3831" s="193"/>
    </row>
    <row r="3832" spans="6:6" x14ac:dyDescent="0.3">
      <c r="F3832" s="193"/>
    </row>
    <row r="3833" spans="6:6" x14ac:dyDescent="0.3">
      <c r="F3833" s="193"/>
    </row>
    <row r="3834" spans="6:6" x14ac:dyDescent="0.3">
      <c r="F3834" s="193"/>
    </row>
    <row r="3835" spans="6:6" x14ac:dyDescent="0.3">
      <c r="F3835" s="193"/>
    </row>
    <row r="3836" spans="6:6" x14ac:dyDescent="0.3">
      <c r="F3836" s="193"/>
    </row>
    <row r="3837" spans="6:6" x14ac:dyDescent="0.3">
      <c r="F3837" s="193"/>
    </row>
    <row r="3838" spans="6:6" x14ac:dyDescent="0.3">
      <c r="F3838" s="193"/>
    </row>
    <row r="3839" spans="6:6" x14ac:dyDescent="0.3">
      <c r="F3839" s="193"/>
    </row>
    <row r="3840" spans="6:6" x14ac:dyDescent="0.3">
      <c r="F3840" s="193"/>
    </row>
    <row r="3841" spans="6:6" x14ac:dyDescent="0.3">
      <c r="F3841" s="193"/>
    </row>
    <row r="3842" spans="6:6" x14ac:dyDescent="0.3">
      <c r="F3842" s="193"/>
    </row>
    <row r="3843" spans="6:6" x14ac:dyDescent="0.3">
      <c r="F3843" s="193"/>
    </row>
    <row r="3844" spans="6:6" x14ac:dyDescent="0.3">
      <c r="F3844" s="193"/>
    </row>
    <row r="3845" spans="6:6" x14ac:dyDescent="0.3">
      <c r="F3845" s="193"/>
    </row>
    <row r="3846" spans="6:6" x14ac:dyDescent="0.3">
      <c r="F3846" s="193"/>
    </row>
    <row r="3847" spans="6:6" x14ac:dyDescent="0.3">
      <c r="F3847" s="193"/>
    </row>
    <row r="3848" spans="6:6" x14ac:dyDescent="0.3">
      <c r="F3848" s="193"/>
    </row>
    <row r="3849" spans="6:6" x14ac:dyDescent="0.3">
      <c r="F3849" s="193"/>
    </row>
    <row r="3850" spans="6:6" x14ac:dyDescent="0.3">
      <c r="F3850" s="193"/>
    </row>
    <row r="3851" spans="6:6" x14ac:dyDescent="0.3">
      <c r="F3851" s="193"/>
    </row>
    <row r="3852" spans="6:6" x14ac:dyDescent="0.3">
      <c r="F3852" s="193"/>
    </row>
    <row r="3853" spans="6:6" x14ac:dyDescent="0.3">
      <c r="F3853" s="193"/>
    </row>
    <row r="3854" spans="6:6" x14ac:dyDescent="0.3">
      <c r="F3854" s="193"/>
    </row>
    <row r="3855" spans="6:6" x14ac:dyDescent="0.3">
      <c r="F3855" s="193"/>
    </row>
    <row r="3856" spans="6:6" x14ac:dyDescent="0.3">
      <c r="F3856" s="193"/>
    </row>
    <row r="3857" spans="6:6" x14ac:dyDescent="0.3">
      <c r="F3857" s="193"/>
    </row>
    <row r="3858" spans="6:6" x14ac:dyDescent="0.3">
      <c r="F3858" s="193"/>
    </row>
    <row r="3859" spans="6:6" x14ac:dyDescent="0.3">
      <c r="F3859" s="193"/>
    </row>
    <row r="3860" spans="6:6" x14ac:dyDescent="0.3">
      <c r="F3860" s="193"/>
    </row>
    <row r="3861" spans="6:6" x14ac:dyDescent="0.3">
      <c r="F3861" s="193"/>
    </row>
    <row r="3862" spans="6:6" x14ac:dyDescent="0.3">
      <c r="F3862" s="193"/>
    </row>
    <row r="3863" spans="6:6" x14ac:dyDescent="0.3">
      <c r="F3863" s="193"/>
    </row>
    <row r="3864" spans="6:6" x14ac:dyDescent="0.3">
      <c r="F3864" s="193"/>
    </row>
    <row r="3865" spans="6:6" x14ac:dyDescent="0.3">
      <c r="F3865" s="193"/>
    </row>
    <row r="3866" spans="6:6" x14ac:dyDescent="0.3">
      <c r="F3866" s="193"/>
    </row>
    <row r="3867" spans="6:6" x14ac:dyDescent="0.3">
      <c r="F3867" s="193"/>
    </row>
    <row r="3868" spans="6:6" x14ac:dyDescent="0.3">
      <c r="F3868" s="193"/>
    </row>
    <row r="3869" spans="6:6" x14ac:dyDescent="0.3">
      <c r="F3869" s="193"/>
    </row>
    <row r="3870" spans="6:6" x14ac:dyDescent="0.3">
      <c r="F3870" s="193"/>
    </row>
    <row r="3871" spans="6:6" x14ac:dyDescent="0.3">
      <c r="F3871" s="193"/>
    </row>
    <row r="3872" spans="6:6" x14ac:dyDescent="0.3">
      <c r="F3872" s="193"/>
    </row>
    <row r="3873" spans="6:6" x14ac:dyDescent="0.3">
      <c r="F3873" s="193"/>
    </row>
    <row r="3874" spans="6:6" x14ac:dyDescent="0.3">
      <c r="F3874" s="193"/>
    </row>
    <row r="3875" spans="6:6" x14ac:dyDescent="0.3">
      <c r="F3875" s="193"/>
    </row>
    <row r="3876" spans="6:6" x14ac:dyDescent="0.3">
      <c r="F3876" s="193"/>
    </row>
    <row r="3877" spans="6:6" x14ac:dyDescent="0.3">
      <c r="F3877" s="193"/>
    </row>
    <row r="3878" spans="6:6" x14ac:dyDescent="0.3">
      <c r="F3878" s="193"/>
    </row>
    <row r="3879" spans="6:6" x14ac:dyDescent="0.3">
      <c r="F3879" s="193"/>
    </row>
    <row r="3880" spans="6:6" x14ac:dyDescent="0.3">
      <c r="F3880" s="193"/>
    </row>
    <row r="3881" spans="6:6" x14ac:dyDescent="0.3">
      <c r="F3881" s="193"/>
    </row>
    <row r="3882" spans="6:6" x14ac:dyDescent="0.3">
      <c r="F3882" s="193"/>
    </row>
    <row r="3883" spans="6:6" x14ac:dyDescent="0.3">
      <c r="F3883" s="193"/>
    </row>
    <row r="3884" spans="6:6" x14ac:dyDescent="0.3">
      <c r="F3884" s="193"/>
    </row>
    <row r="3885" spans="6:6" x14ac:dyDescent="0.3">
      <c r="F3885" s="193"/>
    </row>
    <row r="3886" spans="6:6" x14ac:dyDescent="0.3">
      <c r="F3886" s="193"/>
    </row>
    <row r="3887" spans="6:6" x14ac:dyDescent="0.3">
      <c r="F3887" s="193"/>
    </row>
    <row r="3888" spans="6:6" x14ac:dyDescent="0.3">
      <c r="F3888" s="193"/>
    </row>
    <row r="3889" spans="6:6" x14ac:dyDescent="0.3">
      <c r="F3889" s="193"/>
    </row>
    <row r="3890" spans="6:6" x14ac:dyDescent="0.3">
      <c r="F3890" s="193"/>
    </row>
    <row r="3891" spans="6:6" x14ac:dyDescent="0.3">
      <c r="F3891" s="193"/>
    </row>
    <row r="3892" spans="6:6" x14ac:dyDescent="0.3">
      <c r="F3892" s="193"/>
    </row>
    <row r="3893" spans="6:6" x14ac:dyDescent="0.3">
      <c r="F3893" s="193"/>
    </row>
    <row r="3894" spans="6:6" x14ac:dyDescent="0.3">
      <c r="F3894" s="193"/>
    </row>
    <row r="3895" spans="6:6" x14ac:dyDescent="0.3">
      <c r="F3895" s="193"/>
    </row>
    <row r="3896" spans="6:6" x14ac:dyDescent="0.3">
      <c r="F3896" s="193"/>
    </row>
    <row r="3897" spans="6:6" x14ac:dyDescent="0.3">
      <c r="F3897" s="193"/>
    </row>
    <row r="3898" spans="6:6" x14ac:dyDescent="0.3">
      <c r="F3898" s="193"/>
    </row>
    <row r="3899" spans="6:6" x14ac:dyDescent="0.3">
      <c r="F3899" s="193"/>
    </row>
    <row r="3900" spans="6:6" x14ac:dyDescent="0.3">
      <c r="F3900" s="193"/>
    </row>
    <row r="3901" spans="6:6" x14ac:dyDescent="0.3">
      <c r="F3901" s="193"/>
    </row>
    <row r="3902" spans="6:6" x14ac:dyDescent="0.3">
      <c r="F3902" s="193"/>
    </row>
    <row r="3903" spans="6:6" x14ac:dyDescent="0.3">
      <c r="F3903" s="193"/>
    </row>
    <row r="3904" spans="6:6" x14ac:dyDescent="0.3">
      <c r="F3904" s="193"/>
    </row>
    <row r="3905" spans="6:6" x14ac:dyDescent="0.3">
      <c r="F3905" s="193"/>
    </row>
    <row r="3906" spans="6:6" x14ac:dyDescent="0.3">
      <c r="F3906" s="193"/>
    </row>
    <row r="3907" spans="6:6" x14ac:dyDescent="0.3">
      <c r="F3907" s="193"/>
    </row>
    <row r="3908" spans="6:6" x14ac:dyDescent="0.3">
      <c r="F3908" s="193"/>
    </row>
    <row r="3909" spans="6:6" x14ac:dyDescent="0.3">
      <c r="F3909" s="193"/>
    </row>
    <row r="3910" spans="6:6" x14ac:dyDescent="0.3">
      <c r="F3910" s="193"/>
    </row>
    <row r="3911" spans="6:6" x14ac:dyDescent="0.3">
      <c r="F3911" s="193"/>
    </row>
    <row r="3912" spans="6:6" x14ac:dyDescent="0.3">
      <c r="F3912" s="193"/>
    </row>
    <row r="3913" spans="6:6" x14ac:dyDescent="0.3">
      <c r="F3913" s="193"/>
    </row>
    <row r="3914" spans="6:6" x14ac:dyDescent="0.3">
      <c r="F3914" s="193"/>
    </row>
    <row r="3915" spans="6:6" x14ac:dyDescent="0.3">
      <c r="F3915" s="193"/>
    </row>
    <row r="3916" spans="6:6" x14ac:dyDescent="0.3">
      <c r="F3916" s="193"/>
    </row>
    <row r="3917" spans="6:6" x14ac:dyDescent="0.3">
      <c r="F3917" s="193"/>
    </row>
    <row r="3918" spans="6:6" x14ac:dyDescent="0.3">
      <c r="F3918" s="193"/>
    </row>
    <row r="3919" spans="6:6" x14ac:dyDescent="0.3">
      <c r="F3919" s="193"/>
    </row>
    <row r="3920" spans="6:6" x14ac:dyDescent="0.3">
      <c r="F3920" s="193"/>
    </row>
    <row r="3921" spans="6:6" x14ac:dyDescent="0.3">
      <c r="F3921" s="193"/>
    </row>
    <row r="3922" spans="6:6" x14ac:dyDescent="0.3">
      <c r="F3922" s="193"/>
    </row>
    <row r="3923" spans="6:6" x14ac:dyDescent="0.3">
      <c r="F3923" s="193"/>
    </row>
    <row r="3924" spans="6:6" x14ac:dyDescent="0.3">
      <c r="F3924" s="193"/>
    </row>
    <row r="3925" spans="6:6" x14ac:dyDescent="0.3">
      <c r="F3925" s="193"/>
    </row>
    <row r="3926" spans="6:6" x14ac:dyDescent="0.3">
      <c r="F3926" s="193"/>
    </row>
    <row r="3927" spans="6:6" x14ac:dyDescent="0.3">
      <c r="F3927" s="193"/>
    </row>
    <row r="3928" spans="6:6" x14ac:dyDescent="0.3">
      <c r="F3928" s="193"/>
    </row>
    <row r="3929" spans="6:6" x14ac:dyDescent="0.3">
      <c r="F3929" s="193"/>
    </row>
    <row r="3930" spans="6:6" x14ac:dyDescent="0.3">
      <c r="F3930" s="193"/>
    </row>
    <row r="3931" spans="6:6" x14ac:dyDescent="0.3">
      <c r="F3931" s="193"/>
    </row>
    <row r="3932" spans="6:6" x14ac:dyDescent="0.3">
      <c r="F3932" s="193"/>
    </row>
    <row r="3933" spans="6:6" x14ac:dyDescent="0.3">
      <c r="F3933" s="193"/>
    </row>
    <row r="3934" spans="6:6" x14ac:dyDescent="0.3">
      <c r="F3934" s="193"/>
    </row>
    <row r="3935" spans="6:6" x14ac:dyDescent="0.3">
      <c r="F3935" s="193"/>
    </row>
    <row r="3936" spans="6:6" x14ac:dyDescent="0.3">
      <c r="F3936" s="193"/>
    </row>
    <row r="3937" spans="6:6" x14ac:dyDescent="0.3">
      <c r="F3937" s="193"/>
    </row>
    <row r="3938" spans="6:6" x14ac:dyDescent="0.3">
      <c r="F3938" s="193"/>
    </row>
    <row r="3939" spans="6:6" x14ac:dyDescent="0.3">
      <c r="F3939" s="193"/>
    </row>
    <row r="3940" spans="6:6" x14ac:dyDescent="0.3">
      <c r="F3940" s="193"/>
    </row>
    <row r="3941" spans="6:6" x14ac:dyDescent="0.3">
      <c r="F3941" s="193"/>
    </row>
    <row r="3942" spans="6:6" x14ac:dyDescent="0.3">
      <c r="F3942" s="193"/>
    </row>
    <row r="3943" spans="6:6" x14ac:dyDescent="0.3">
      <c r="F3943" s="193"/>
    </row>
    <row r="3944" spans="6:6" x14ac:dyDescent="0.3">
      <c r="F3944" s="193"/>
    </row>
    <row r="3945" spans="6:6" x14ac:dyDescent="0.3">
      <c r="F3945" s="193"/>
    </row>
    <row r="3946" spans="6:6" x14ac:dyDescent="0.3">
      <c r="F3946" s="193"/>
    </row>
    <row r="3947" spans="6:6" x14ac:dyDescent="0.3">
      <c r="F3947" s="193"/>
    </row>
    <row r="3948" spans="6:6" x14ac:dyDescent="0.3">
      <c r="F3948" s="193"/>
    </row>
    <row r="3949" spans="6:6" x14ac:dyDescent="0.3">
      <c r="F3949" s="193"/>
    </row>
    <row r="3950" spans="6:6" x14ac:dyDescent="0.3">
      <c r="F3950" s="193"/>
    </row>
    <row r="3951" spans="6:6" x14ac:dyDescent="0.3">
      <c r="F3951" s="193"/>
    </row>
    <row r="3952" spans="6:6" x14ac:dyDescent="0.3">
      <c r="F3952" s="193"/>
    </row>
    <row r="3953" spans="6:6" x14ac:dyDescent="0.3">
      <c r="F3953" s="193"/>
    </row>
    <row r="3954" spans="6:6" x14ac:dyDescent="0.3">
      <c r="F3954" s="193"/>
    </row>
    <row r="3955" spans="6:6" x14ac:dyDescent="0.3">
      <c r="F3955" s="193"/>
    </row>
    <row r="3956" spans="6:6" x14ac:dyDescent="0.3">
      <c r="F3956" s="193"/>
    </row>
    <row r="3957" spans="6:6" x14ac:dyDescent="0.3">
      <c r="F3957" s="193"/>
    </row>
    <row r="3958" spans="6:6" x14ac:dyDescent="0.3">
      <c r="F3958" s="193"/>
    </row>
    <row r="3959" spans="6:6" x14ac:dyDescent="0.3">
      <c r="F3959" s="193"/>
    </row>
    <row r="3960" spans="6:6" x14ac:dyDescent="0.3">
      <c r="F3960" s="193"/>
    </row>
    <row r="3961" spans="6:6" x14ac:dyDescent="0.3">
      <c r="F3961" s="193"/>
    </row>
    <row r="3962" spans="6:6" x14ac:dyDescent="0.3">
      <c r="F3962" s="193"/>
    </row>
    <row r="3963" spans="6:6" x14ac:dyDescent="0.3">
      <c r="F3963" s="193"/>
    </row>
    <row r="3964" spans="6:6" x14ac:dyDescent="0.3">
      <c r="F3964" s="193"/>
    </row>
    <row r="3965" spans="6:6" x14ac:dyDescent="0.3">
      <c r="F3965" s="193"/>
    </row>
    <row r="3966" spans="6:6" x14ac:dyDescent="0.3">
      <c r="F3966" s="193"/>
    </row>
    <row r="3967" spans="6:6" x14ac:dyDescent="0.3">
      <c r="F3967" s="193"/>
    </row>
    <row r="3968" spans="6:6" x14ac:dyDescent="0.3">
      <c r="F3968" s="193"/>
    </row>
    <row r="3969" spans="6:6" x14ac:dyDescent="0.3">
      <c r="F3969" s="193"/>
    </row>
    <row r="3970" spans="6:6" x14ac:dyDescent="0.3">
      <c r="F3970" s="193"/>
    </row>
    <row r="3971" spans="6:6" x14ac:dyDescent="0.3">
      <c r="F3971" s="193"/>
    </row>
    <row r="3972" spans="6:6" x14ac:dyDescent="0.3">
      <c r="F3972" s="193"/>
    </row>
    <row r="3973" spans="6:6" x14ac:dyDescent="0.3">
      <c r="F3973" s="193"/>
    </row>
    <row r="3974" spans="6:6" x14ac:dyDescent="0.3">
      <c r="F3974" s="193"/>
    </row>
    <row r="3975" spans="6:6" x14ac:dyDescent="0.3">
      <c r="F3975" s="193"/>
    </row>
    <row r="3976" spans="6:6" x14ac:dyDescent="0.3">
      <c r="F3976" s="193"/>
    </row>
    <row r="3977" spans="6:6" x14ac:dyDescent="0.3">
      <c r="F3977" s="193"/>
    </row>
    <row r="3978" spans="6:6" x14ac:dyDescent="0.3">
      <c r="F3978" s="193"/>
    </row>
    <row r="3979" spans="6:6" x14ac:dyDescent="0.3">
      <c r="F3979" s="193"/>
    </row>
    <row r="3980" spans="6:6" x14ac:dyDescent="0.3">
      <c r="F3980" s="193"/>
    </row>
    <row r="3981" spans="6:6" x14ac:dyDescent="0.3">
      <c r="F3981" s="193"/>
    </row>
    <row r="3982" spans="6:6" x14ac:dyDescent="0.3">
      <c r="F3982" s="193"/>
    </row>
    <row r="3983" spans="6:6" x14ac:dyDescent="0.3">
      <c r="F3983" s="193"/>
    </row>
    <row r="3984" spans="6:6" x14ac:dyDescent="0.3">
      <c r="F3984" s="193"/>
    </row>
    <row r="3985" spans="6:6" x14ac:dyDescent="0.3">
      <c r="F3985" s="193"/>
    </row>
    <row r="3986" spans="6:6" x14ac:dyDescent="0.3">
      <c r="F3986" s="193"/>
    </row>
    <row r="3987" spans="6:6" x14ac:dyDescent="0.3">
      <c r="F3987" s="193"/>
    </row>
    <row r="3988" spans="6:6" x14ac:dyDescent="0.3">
      <c r="F3988" s="193"/>
    </row>
    <row r="3989" spans="6:6" x14ac:dyDescent="0.3">
      <c r="F3989" s="193"/>
    </row>
    <row r="3990" spans="6:6" x14ac:dyDescent="0.3">
      <c r="F3990" s="193"/>
    </row>
    <row r="3991" spans="6:6" x14ac:dyDescent="0.3">
      <c r="F3991" s="193"/>
    </row>
    <row r="3992" spans="6:6" x14ac:dyDescent="0.3">
      <c r="F3992" s="193"/>
    </row>
    <row r="3993" spans="6:6" x14ac:dyDescent="0.3">
      <c r="F3993" s="193"/>
    </row>
    <row r="3994" spans="6:6" x14ac:dyDescent="0.3">
      <c r="F3994" s="193"/>
    </row>
    <row r="3995" spans="6:6" x14ac:dyDescent="0.3">
      <c r="F3995" s="193"/>
    </row>
    <row r="3996" spans="6:6" x14ac:dyDescent="0.3">
      <c r="F3996" s="193"/>
    </row>
    <row r="3997" spans="6:6" x14ac:dyDescent="0.3">
      <c r="F3997" s="193"/>
    </row>
    <row r="3998" spans="6:6" x14ac:dyDescent="0.3">
      <c r="F3998" s="193"/>
    </row>
    <row r="3999" spans="6:6" x14ac:dyDescent="0.3">
      <c r="F3999" s="193"/>
    </row>
    <row r="4000" spans="6:6" x14ac:dyDescent="0.3">
      <c r="F4000" s="193"/>
    </row>
    <row r="4001" spans="6:6" x14ac:dyDescent="0.3">
      <c r="F4001" s="193"/>
    </row>
    <row r="4002" spans="6:6" x14ac:dyDescent="0.3">
      <c r="F4002" s="193"/>
    </row>
    <row r="4003" spans="6:6" x14ac:dyDescent="0.3">
      <c r="F4003" s="193"/>
    </row>
    <row r="4004" spans="6:6" x14ac:dyDescent="0.3">
      <c r="F4004" s="193"/>
    </row>
    <row r="4005" spans="6:6" x14ac:dyDescent="0.3">
      <c r="F4005" s="193"/>
    </row>
    <row r="4006" spans="6:6" x14ac:dyDescent="0.3">
      <c r="F4006" s="193"/>
    </row>
    <row r="4007" spans="6:6" x14ac:dyDescent="0.3">
      <c r="F4007" s="193"/>
    </row>
    <row r="4008" spans="6:6" x14ac:dyDescent="0.3">
      <c r="F4008" s="193"/>
    </row>
    <row r="4009" spans="6:6" x14ac:dyDescent="0.3">
      <c r="F4009" s="193"/>
    </row>
    <row r="4010" spans="6:6" x14ac:dyDescent="0.3">
      <c r="F4010" s="193"/>
    </row>
    <row r="4011" spans="6:6" x14ac:dyDescent="0.3">
      <c r="F4011" s="193"/>
    </row>
    <row r="4012" spans="6:6" x14ac:dyDescent="0.3">
      <c r="F4012" s="193"/>
    </row>
    <row r="4013" spans="6:6" x14ac:dyDescent="0.3">
      <c r="F4013" s="193"/>
    </row>
    <row r="4014" spans="6:6" x14ac:dyDescent="0.3">
      <c r="F4014" s="193"/>
    </row>
    <row r="4015" spans="6:6" x14ac:dyDescent="0.3">
      <c r="F4015" s="193"/>
    </row>
    <row r="4016" spans="6:6" x14ac:dyDescent="0.3">
      <c r="F4016" s="193"/>
    </row>
    <row r="4017" spans="6:6" x14ac:dyDescent="0.3">
      <c r="F4017" s="193"/>
    </row>
    <row r="4018" spans="6:6" x14ac:dyDescent="0.3">
      <c r="F4018" s="193"/>
    </row>
    <row r="4019" spans="6:6" x14ac:dyDescent="0.3">
      <c r="F4019" s="193"/>
    </row>
    <row r="4020" spans="6:6" x14ac:dyDescent="0.3">
      <c r="F4020" s="193"/>
    </row>
    <row r="4021" spans="6:6" x14ac:dyDescent="0.3">
      <c r="F4021" s="193"/>
    </row>
    <row r="4022" spans="6:6" x14ac:dyDescent="0.3">
      <c r="F4022" s="193"/>
    </row>
    <row r="4023" spans="6:6" x14ac:dyDescent="0.3">
      <c r="F4023" s="193"/>
    </row>
    <row r="4024" spans="6:6" x14ac:dyDescent="0.3">
      <c r="F4024" s="193"/>
    </row>
    <row r="4025" spans="6:6" x14ac:dyDescent="0.3">
      <c r="F4025" s="193"/>
    </row>
    <row r="4026" spans="6:6" x14ac:dyDescent="0.3">
      <c r="F4026" s="193"/>
    </row>
    <row r="4027" spans="6:6" x14ac:dyDescent="0.3">
      <c r="F4027" s="193"/>
    </row>
    <row r="4028" spans="6:6" x14ac:dyDescent="0.3">
      <c r="F4028" s="193"/>
    </row>
    <row r="4029" spans="6:6" x14ac:dyDescent="0.3">
      <c r="F4029" s="193"/>
    </row>
    <row r="4030" spans="6:6" x14ac:dyDescent="0.3">
      <c r="F4030" s="193"/>
    </row>
    <row r="4031" spans="6:6" x14ac:dyDescent="0.3">
      <c r="F4031" s="193"/>
    </row>
    <row r="4032" spans="6:6" x14ac:dyDescent="0.3">
      <c r="F4032" s="193"/>
    </row>
    <row r="4033" spans="6:6" x14ac:dyDescent="0.3">
      <c r="F4033" s="193"/>
    </row>
    <row r="4034" spans="6:6" x14ac:dyDescent="0.3">
      <c r="F4034" s="193"/>
    </row>
    <row r="4035" spans="6:6" x14ac:dyDescent="0.3">
      <c r="F4035" s="193"/>
    </row>
    <row r="4036" spans="6:6" x14ac:dyDescent="0.3">
      <c r="F4036" s="193"/>
    </row>
    <row r="4037" spans="6:6" x14ac:dyDescent="0.3">
      <c r="F4037" s="193"/>
    </row>
    <row r="4038" spans="6:6" x14ac:dyDescent="0.3">
      <c r="F4038" s="193"/>
    </row>
    <row r="4039" spans="6:6" x14ac:dyDescent="0.3">
      <c r="F4039" s="193"/>
    </row>
    <row r="4040" spans="6:6" x14ac:dyDescent="0.3">
      <c r="F4040" s="193"/>
    </row>
    <row r="4041" spans="6:6" x14ac:dyDescent="0.3">
      <c r="F4041" s="193"/>
    </row>
    <row r="4042" spans="6:6" x14ac:dyDescent="0.3">
      <c r="F4042" s="193"/>
    </row>
    <row r="4043" spans="6:6" x14ac:dyDescent="0.3">
      <c r="F4043" s="193"/>
    </row>
    <row r="4044" spans="6:6" x14ac:dyDescent="0.3">
      <c r="F4044" s="193"/>
    </row>
    <row r="4045" spans="6:6" x14ac:dyDescent="0.3">
      <c r="F4045" s="193"/>
    </row>
    <row r="4046" spans="6:6" x14ac:dyDescent="0.3">
      <c r="F4046" s="193"/>
    </row>
    <row r="4047" spans="6:6" x14ac:dyDescent="0.3">
      <c r="F4047" s="193"/>
    </row>
    <row r="4048" spans="6:6" x14ac:dyDescent="0.3">
      <c r="F4048" s="193"/>
    </row>
    <row r="4049" spans="6:6" x14ac:dyDescent="0.3">
      <c r="F4049" s="193"/>
    </row>
    <row r="4050" spans="6:6" x14ac:dyDescent="0.3">
      <c r="F4050" s="193"/>
    </row>
    <row r="4051" spans="6:6" x14ac:dyDescent="0.3">
      <c r="F4051" s="193"/>
    </row>
    <row r="4052" spans="6:6" x14ac:dyDescent="0.3">
      <c r="F4052" s="193"/>
    </row>
    <row r="4053" spans="6:6" x14ac:dyDescent="0.3">
      <c r="F4053" s="193"/>
    </row>
    <row r="4054" spans="6:6" x14ac:dyDescent="0.3">
      <c r="F4054" s="193"/>
    </row>
    <row r="4055" spans="6:6" x14ac:dyDescent="0.3">
      <c r="F4055" s="193"/>
    </row>
    <row r="4056" spans="6:6" x14ac:dyDescent="0.3">
      <c r="F4056" s="193"/>
    </row>
    <row r="4057" spans="6:6" x14ac:dyDescent="0.3">
      <c r="F4057" s="193"/>
    </row>
    <row r="4058" spans="6:6" x14ac:dyDescent="0.3">
      <c r="F4058" s="193"/>
    </row>
    <row r="4059" spans="6:6" x14ac:dyDescent="0.3">
      <c r="F4059" s="193"/>
    </row>
    <row r="4060" spans="6:6" x14ac:dyDescent="0.3">
      <c r="F4060" s="193"/>
    </row>
    <row r="4061" spans="6:6" x14ac:dyDescent="0.3">
      <c r="F4061" s="193"/>
    </row>
    <row r="4062" spans="6:6" x14ac:dyDescent="0.3">
      <c r="F4062" s="193"/>
    </row>
    <row r="4063" spans="6:6" x14ac:dyDescent="0.3">
      <c r="F4063" s="193"/>
    </row>
    <row r="4064" spans="6:6" x14ac:dyDescent="0.3">
      <c r="F4064" s="193"/>
    </row>
    <row r="4065" spans="6:6" x14ac:dyDescent="0.3">
      <c r="F4065" s="193"/>
    </row>
    <row r="4066" spans="6:6" x14ac:dyDescent="0.3">
      <c r="F4066" s="193"/>
    </row>
    <row r="4067" spans="6:6" x14ac:dyDescent="0.3">
      <c r="F4067" s="193"/>
    </row>
    <row r="4068" spans="6:6" x14ac:dyDescent="0.3">
      <c r="F4068" s="193"/>
    </row>
    <row r="4069" spans="6:6" x14ac:dyDescent="0.3">
      <c r="F4069" s="193"/>
    </row>
    <row r="4070" spans="6:6" x14ac:dyDescent="0.3">
      <c r="F4070" s="193"/>
    </row>
    <row r="4071" spans="6:6" x14ac:dyDescent="0.3">
      <c r="F4071" s="193"/>
    </row>
    <row r="4072" spans="6:6" x14ac:dyDescent="0.3">
      <c r="F4072" s="193"/>
    </row>
    <row r="4073" spans="6:6" x14ac:dyDescent="0.3">
      <c r="F4073" s="193"/>
    </row>
    <row r="4074" spans="6:6" x14ac:dyDescent="0.3">
      <c r="F4074" s="193"/>
    </row>
    <row r="4075" spans="6:6" x14ac:dyDescent="0.3">
      <c r="F4075" s="193"/>
    </row>
    <row r="4076" spans="6:6" x14ac:dyDescent="0.3">
      <c r="F4076" s="193"/>
    </row>
    <row r="4077" spans="6:6" x14ac:dyDescent="0.3">
      <c r="F4077" s="193"/>
    </row>
    <row r="4078" spans="6:6" x14ac:dyDescent="0.3">
      <c r="F4078" s="193"/>
    </row>
    <row r="4079" spans="6:6" x14ac:dyDescent="0.3">
      <c r="F4079" s="193"/>
    </row>
    <row r="4080" spans="6:6" x14ac:dyDescent="0.3">
      <c r="F4080" s="193"/>
    </row>
    <row r="4081" spans="6:6" x14ac:dyDescent="0.3">
      <c r="F4081" s="193"/>
    </row>
    <row r="4082" spans="6:6" x14ac:dyDescent="0.3">
      <c r="F4082" s="193"/>
    </row>
    <row r="4083" spans="6:6" x14ac:dyDescent="0.3">
      <c r="F4083" s="193"/>
    </row>
    <row r="4084" spans="6:6" x14ac:dyDescent="0.3">
      <c r="F4084" s="193"/>
    </row>
    <row r="4085" spans="6:6" x14ac:dyDescent="0.3">
      <c r="F4085" s="193"/>
    </row>
    <row r="4086" spans="6:6" x14ac:dyDescent="0.3">
      <c r="F4086" s="193"/>
    </row>
    <row r="4087" spans="6:6" x14ac:dyDescent="0.3">
      <c r="F4087" s="193"/>
    </row>
    <row r="4088" spans="6:6" x14ac:dyDescent="0.3">
      <c r="F4088" s="193"/>
    </row>
    <row r="4089" spans="6:6" x14ac:dyDescent="0.3">
      <c r="F4089" s="193"/>
    </row>
    <row r="4090" spans="6:6" x14ac:dyDescent="0.3">
      <c r="F4090" s="193"/>
    </row>
    <row r="4091" spans="6:6" x14ac:dyDescent="0.3">
      <c r="F4091" s="193"/>
    </row>
    <row r="4092" spans="6:6" x14ac:dyDescent="0.3">
      <c r="F4092" s="193"/>
    </row>
    <row r="4093" spans="6:6" x14ac:dyDescent="0.3">
      <c r="F4093" s="193"/>
    </row>
    <row r="4094" spans="6:6" x14ac:dyDescent="0.3">
      <c r="F4094" s="193"/>
    </row>
    <row r="4095" spans="6:6" x14ac:dyDescent="0.3">
      <c r="F4095" s="193"/>
    </row>
    <row r="4096" spans="6:6" x14ac:dyDescent="0.3">
      <c r="F4096" s="193"/>
    </row>
    <row r="4097" spans="6:6" x14ac:dyDescent="0.3">
      <c r="F4097" s="193"/>
    </row>
    <row r="4098" spans="6:6" x14ac:dyDescent="0.3">
      <c r="F4098" s="193"/>
    </row>
    <row r="4099" spans="6:6" x14ac:dyDescent="0.3">
      <c r="F4099" s="193"/>
    </row>
    <row r="4100" spans="6:6" x14ac:dyDescent="0.3">
      <c r="F4100" s="193"/>
    </row>
    <row r="4101" spans="6:6" x14ac:dyDescent="0.3">
      <c r="F4101" s="193"/>
    </row>
    <row r="4102" spans="6:6" x14ac:dyDescent="0.3">
      <c r="F4102" s="193"/>
    </row>
    <row r="4103" spans="6:6" x14ac:dyDescent="0.3">
      <c r="F4103" s="193"/>
    </row>
    <row r="4104" spans="6:6" x14ac:dyDescent="0.3">
      <c r="F4104" s="193"/>
    </row>
    <row r="4105" spans="6:6" x14ac:dyDescent="0.3">
      <c r="F4105" s="193"/>
    </row>
    <row r="4106" spans="6:6" x14ac:dyDescent="0.3">
      <c r="F4106" s="193"/>
    </row>
    <row r="4107" spans="6:6" x14ac:dyDescent="0.3">
      <c r="F4107" s="193"/>
    </row>
    <row r="4108" spans="6:6" x14ac:dyDescent="0.3">
      <c r="F4108" s="193"/>
    </row>
    <row r="4109" spans="6:6" x14ac:dyDescent="0.3">
      <c r="F4109" s="193"/>
    </row>
    <row r="4110" spans="6:6" x14ac:dyDescent="0.3">
      <c r="F4110" s="193"/>
    </row>
    <row r="4111" spans="6:6" x14ac:dyDescent="0.3">
      <c r="F4111" s="193"/>
    </row>
    <row r="4112" spans="6:6" x14ac:dyDescent="0.3">
      <c r="F4112" s="193"/>
    </row>
    <row r="4113" spans="6:6" x14ac:dyDescent="0.3">
      <c r="F4113" s="193"/>
    </row>
    <row r="4114" spans="6:6" x14ac:dyDescent="0.3">
      <c r="F4114" s="193"/>
    </row>
    <row r="4115" spans="6:6" x14ac:dyDescent="0.3">
      <c r="F4115" s="193"/>
    </row>
    <row r="4116" spans="6:6" x14ac:dyDescent="0.3">
      <c r="F4116" s="193"/>
    </row>
    <row r="4117" spans="6:6" x14ac:dyDescent="0.3">
      <c r="F4117" s="193"/>
    </row>
    <row r="4118" spans="6:6" x14ac:dyDescent="0.3">
      <c r="F4118" s="193"/>
    </row>
    <row r="4119" spans="6:6" x14ac:dyDescent="0.3">
      <c r="F4119" s="193"/>
    </row>
    <row r="4120" spans="6:6" x14ac:dyDescent="0.3">
      <c r="F4120" s="193"/>
    </row>
    <row r="4121" spans="6:6" x14ac:dyDescent="0.3">
      <c r="F4121" s="193"/>
    </row>
    <row r="4122" spans="6:6" x14ac:dyDescent="0.3">
      <c r="F4122" s="193"/>
    </row>
    <row r="4123" spans="6:6" x14ac:dyDescent="0.3">
      <c r="F4123" s="193"/>
    </row>
    <row r="4124" spans="6:6" x14ac:dyDescent="0.3">
      <c r="F4124" s="193"/>
    </row>
    <row r="4125" spans="6:6" x14ac:dyDescent="0.3">
      <c r="F4125" s="193"/>
    </row>
    <row r="4126" spans="6:6" x14ac:dyDescent="0.3">
      <c r="F4126" s="193"/>
    </row>
    <row r="4127" spans="6:6" x14ac:dyDescent="0.3">
      <c r="F4127" s="193"/>
    </row>
    <row r="4128" spans="6:6" x14ac:dyDescent="0.3">
      <c r="F4128" s="193"/>
    </row>
    <row r="4129" spans="6:6" x14ac:dyDescent="0.3">
      <c r="F4129" s="193"/>
    </row>
    <row r="4130" spans="6:6" x14ac:dyDescent="0.3">
      <c r="F4130" s="193"/>
    </row>
    <row r="4131" spans="6:6" x14ac:dyDescent="0.3">
      <c r="F4131" s="193"/>
    </row>
    <row r="4132" spans="6:6" x14ac:dyDescent="0.3">
      <c r="F4132" s="193"/>
    </row>
    <row r="4133" spans="6:6" x14ac:dyDescent="0.3">
      <c r="F4133" s="193"/>
    </row>
    <row r="4134" spans="6:6" x14ac:dyDescent="0.3">
      <c r="F4134" s="193"/>
    </row>
    <row r="4135" spans="6:6" x14ac:dyDescent="0.3">
      <c r="F4135" s="193"/>
    </row>
    <row r="4136" spans="6:6" x14ac:dyDescent="0.3">
      <c r="F4136" s="193"/>
    </row>
    <row r="4137" spans="6:6" x14ac:dyDescent="0.3">
      <c r="F4137" s="193"/>
    </row>
    <row r="4138" spans="6:6" x14ac:dyDescent="0.3">
      <c r="F4138" s="193"/>
    </row>
    <row r="4139" spans="6:6" x14ac:dyDescent="0.3">
      <c r="F4139" s="193"/>
    </row>
    <row r="4140" spans="6:6" x14ac:dyDescent="0.3">
      <c r="F4140" s="193"/>
    </row>
    <row r="4141" spans="6:6" x14ac:dyDescent="0.3">
      <c r="F4141" s="193"/>
    </row>
    <row r="4142" spans="6:6" x14ac:dyDescent="0.3">
      <c r="F4142" s="193"/>
    </row>
    <row r="4143" spans="6:6" x14ac:dyDescent="0.3">
      <c r="F4143" s="193"/>
    </row>
    <row r="4144" spans="6:6" x14ac:dyDescent="0.3">
      <c r="F4144" s="193"/>
    </row>
    <row r="4145" spans="6:6" x14ac:dyDescent="0.3">
      <c r="F4145" s="193"/>
    </row>
    <row r="4146" spans="6:6" x14ac:dyDescent="0.3">
      <c r="F4146" s="193"/>
    </row>
    <row r="4147" spans="6:6" x14ac:dyDescent="0.3">
      <c r="F4147" s="193"/>
    </row>
    <row r="4148" spans="6:6" x14ac:dyDescent="0.3">
      <c r="F4148" s="193"/>
    </row>
    <row r="4149" spans="6:6" x14ac:dyDescent="0.3">
      <c r="F4149" s="193"/>
    </row>
    <row r="4150" spans="6:6" x14ac:dyDescent="0.3">
      <c r="F4150" s="193"/>
    </row>
    <row r="4151" spans="6:6" x14ac:dyDescent="0.3">
      <c r="F4151" s="193"/>
    </row>
    <row r="4152" spans="6:6" x14ac:dyDescent="0.3">
      <c r="F4152" s="193"/>
    </row>
    <row r="4153" spans="6:6" x14ac:dyDescent="0.3">
      <c r="F4153" s="193"/>
    </row>
    <row r="4154" spans="6:6" x14ac:dyDescent="0.3">
      <c r="F4154" s="193"/>
    </row>
    <row r="4155" spans="6:6" x14ac:dyDescent="0.3">
      <c r="F4155" s="193"/>
    </row>
    <row r="4156" spans="6:6" x14ac:dyDescent="0.3">
      <c r="F4156" s="193"/>
    </row>
    <row r="4157" spans="6:6" x14ac:dyDescent="0.3">
      <c r="F4157" s="193"/>
    </row>
    <row r="4158" spans="6:6" x14ac:dyDescent="0.3">
      <c r="F4158" s="193"/>
    </row>
    <row r="4159" spans="6:6" x14ac:dyDescent="0.3">
      <c r="F4159" s="193"/>
    </row>
    <row r="4160" spans="6:6" x14ac:dyDescent="0.3">
      <c r="F4160" s="193"/>
    </row>
    <row r="4161" spans="6:6" x14ac:dyDescent="0.3">
      <c r="F4161" s="193"/>
    </row>
    <row r="4162" spans="6:6" x14ac:dyDescent="0.3">
      <c r="F4162" s="193"/>
    </row>
    <row r="4163" spans="6:6" x14ac:dyDescent="0.3">
      <c r="F4163" s="193"/>
    </row>
    <row r="4164" spans="6:6" x14ac:dyDescent="0.3">
      <c r="F4164" s="193"/>
    </row>
    <row r="4165" spans="6:6" x14ac:dyDescent="0.3">
      <c r="F4165" s="193"/>
    </row>
    <row r="4166" spans="6:6" x14ac:dyDescent="0.3">
      <c r="F4166" s="193"/>
    </row>
    <row r="4167" spans="6:6" x14ac:dyDescent="0.3">
      <c r="F4167" s="193"/>
    </row>
    <row r="4168" spans="6:6" x14ac:dyDescent="0.3">
      <c r="F4168" s="193"/>
    </row>
    <row r="4169" spans="6:6" x14ac:dyDescent="0.3">
      <c r="F4169" s="193"/>
    </row>
    <row r="4170" spans="6:6" x14ac:dyDescent="0.3">
      <c r="F4170" s="193"/>
    </row>
    <row r="4171" spans="6:6" x14ac:dyDescent="0.3">
      <c r="F4171" s="193"/>
    </row>
    <row r="4172" spans="6:6" x14ac:dyDescent="0.3">
      <c r="F4172" s="193"/>
    </row>
    <row r="4173" spans="6:6" x14ac:dyDescent="0.3">
      <c r="F4173" s="193"/>
    </row>
    <row r="4174" spans="6:6" x14ac:dyDescent="0.3">
      <c r="F4174" s="193"/>
    </row>
    <row r="4175" spans="6:6" x14ac:dyDescent="0.3">
      <c r="F4175" s="193"/>
    </row>
    <row r="4176" spans="6:6" x14ac:dyDescent="0.3">
      <c r="F4176" s="193"/>
    </row>
    <row r="4177" spans="6:6" x14ac:dyDescent="0.3">
      <c r="F4177" s="193"/>
    </row>
    <row r="4178" spans="6:6" x14ac:dyDescent="0.3">
      <c r="F4178" s="193"/>
    </row>
    <row r="4179" spans="6:6" x14ac:dyDescent="0.3">
      <c r="F4179" s="193"/>
    </row>
    <row r="4180" spans="6:6" x14ac:dyDescent="0.3">
      <c r="F4180" s="193"/>
    </row>
    <row r="4181" spans="6:6" x14ac:dyDescent="0.3">
      <c r="F4181" s="193"/>
    </row>
    <row r="4182" spans="6:6" x14ac:dyDescent="0.3">
      <c r="F4182" s="193"/>
    </row>
    <row r="4183" spans="6:6" x14ac:dyDescent="0.3">
      <c r="F4183" s="193"/>
    </row>
    <row r="4184" spans="6:6" x14ac:dyDescent="0.3">
      <c r="F4184" s="193"/>
    </row>
    <row r="4185" spans="6:6" x14ac:dyDescent="0.3">
      <c r="F4185" s="193"/>
    </row>
    <row r="4186" spans="6:6" x14ac:dyDescent="0.3">
      <c r="F4186" s="193"/>
    </row>
    <row r="4187" spans="6:6" x14ac:dyDescent="0.3">
      <c r="F4187" s="193"/>
    </row>
    <row r="4188" spans="6:6" x14ac:dyDescent="0.3">
      <c r="F4188" s="193"/>
    </row>
    <row r="4189" spans="6:6" x14ac:dyDescent="0.3">
      <c r="F4189" s="193"/>
    </row>
    <row r="4190" spans="6:6" x14ac:dyDescent="0.3">
      <c r="F4190" s="193"/>
    </row>
    <row r="4191" spans="6:6" x14ac:dyDescent="0.3">
      <c r="F4191" s="193"/>
    </row>
    <row r="4192" spans="6:6" x14ac:dyDescent="0.3">
      <c r="F4192" s="193"/>
    </row>
    <row r="4193" spans="6:6" x14ac:dyDescent="0.3">
      <c r="F4193" s="193"/>
    </row>
    <row r="4194" spans="6:6" x14ac:dyDescent="0.3">
      <c r="F4194" s="193"/>
    </row>
    <row r="4195" spans="6:6" x14ac:dyDescent="0.3">
      <c r="F4195" s="193"/>
    </row>
    <row r="4196" spans="6:6" x14ac:dyDescent="0.3">
      <c r="F4196" s="193"/>
    </row>
    <row r="4197" spans="6:6" x14ac:dyDescent="0.3">
      <c r="F4197" s="193"/>
    </row>
    <row r="4198" spans="6:6" x14ac:dyDescent="0.3">
      <c r="F4198" s="193"/>
    </row>
    <row r="4199" spans="6:6" x14ac:dyDescent="0.3">
      <c r="F4199" s="193"/>
    </row>
    <row r="4200" spans="6:6" x14ac:dyDescent="0.3">
      <c r="F4200" s="193"/>
    </row>
    <row r="4201" spans="6:6" x14ac:dyDescent="0.3">
      <c r="F4201" s="193"/>
    </row>
    <row r="4202" spans="6:6" x14ac:dyDescent="0.3">
      <c r="F4202" s="193"/>
    </row>
    <row r="4203" spans="6:6" x14ac:dyDescent="0.3">
      <c r="F4203" s="193"/>
    </row>
    <row r="4204" spans="6:6" x14ac:dyDescent="0.3">
      <c r="F4204" s="193"/>
    </row>
    <row r="4205" spans="6:6" x14ac:dyDescent="0.3">
      <c r="F4205" s="193"/>
    </row>
    <row r="4206" spans="6:6" x14ac:dyDescent="0.3">
      <c r="F4206" s="193"/>
    </row>
    <row r="4207" spans="6:6" x14ac:dyDescent="0.3">
      <c r="F4207" s="193"/>
    </row>
    <row r="4208" spans="6:6" x14ac:dyDescent="0.3">
      <c r="F4208" s="193"/>
    </row>
    <row r="4209" spans="6:6" x14ac:dyDescent="0.3">
      <c r="F4209" s="193"/>
    </row>
    <row r="4210" spans="6:6" x14ac:dyDescent="0.3">
      <c r="F4210" s="193"/>
    </row>
    <row r="4211" spans="6:6" x14ac:dyDescent="0.3">
      <c r="F4211" s="193"/>
    </row>
    <row r="4212" spans="6:6" x14ac:dyDescent="0.3">
      <c r="F4212" s="193"/>
    </row>
    <row r="4213" spans="6:6" x14ac:dyDescent="0.3">
      <c r="F4213" s="193"/>
    </row>
    <row r="4214" spans="6:6" x14ac:dyDescent="0.3">
      <c r="F4214" s="193"/>
    </row>
    <row r="4215" spans="6:6" x14ac:dyDescent="0.3">
      <c r="F4215" s="193"/>
    </row>
    <row r="4216" spans="6:6" x14ac:dyDescent="0.3">
      <c r="F4216" s="193"/>
    </row>
    <row r="4217" spans="6:6" x14ac:dyDescent="0.3">
      <c r="F4217" s="193"/>
    </row>
    <row r="4218" spans="6:6" x14ac:dyDescent="0.3">
      <c r="F4218" s="193"/>
    </row>
    <row r="4219" spans="6:6" x14ac:dyDescent="0.3">
      <c r="F4219" s="193"/>
    </row>
    <row r="4220" spans="6:6" x14ac:dyDescent="0.3">
      <c r="F4220" s="193"/>
    </row>
    <row r="4221" spans="6:6" x14ac:dyDescent="0.3">
      <c r="F4221" s="193"/>
    </row>
    <row r="4222" spans="6:6" x14ac:dyDescent="0.3">
      <c r="F4222" s="193"/>
    </row>
    <row r="4223" spans="6:6" x14ac:dyDescent="0.3">
      <c r="F4223" s="193"/>
    </row>
    <row r="4224" spans="6:6" x14ac:dyDescent="0.3">
      <c r="F4224" s="193"/>
    </row>
    <row r="4225" spans="6:6" x14ac:dyDescent="0.3">
      <c r="F4225" s="193"/>
    </row>
    <row r="4226" spans="6:6" x14ac:dyDescent="0.3">
      <c r="F4226" s="193"/>
    </row>
    <row r="4227" spans="6:6" x14ac:dyDescent="0.3">
      <c r="F4227" s="193"/>
    </row>
    <row r="4228" spans="6:6" x14ac:dyDescent="0.3">
      <c r="F4228" s="193"/>
    </row>
    <row r="4229" spans="6:6" x14ac:dyDescent="0.3">
      <c r="F4229" s="193"/>
    </row>
    <row r="4230" spans="6:6" x14ac:dyDescent="0.3">
      <c r="F4230" s="193"/>
    </row>
    <row r="4231" spans="6:6" x14ac:dyDescent="0.3">
      <c r="F4231" s="193"/>
    </row>
    <row r="4232" spans="6:6" x14ac:dyDescent="0.3">
      <c r="F4232" s="193"/>
    </row>
    <row r="4233" spans="6:6" x14ac:dyDescent="0.3">
      <c r="F4233" s="193"/>
    </row>
    <row r="4234" spans="6:6" x14ac:dyDescent="0.3">
      <c r="F4234" s="193"/>
    </row>
    <row r="4235" spans="6:6" x14ac:dyDescent="0.3">
      <c r="F4235" s="193"/>
    </row>
    <row r="4236" spans="6:6" x14ac:dyDescent="0.3">
      <c r="F4236" s="193"/>
    </row>
    <row r="4237" spans="6:6" x14ac:dyDescent="0.3">
      <c r="F4237" s="193"/>
    </row>
    <row r="4238" spans="6:6" x14ac:dyDescent="0.3">
      <c r="F4238" s="193"/>
    </row>
    <row r="4239" spans="6:6" x14ac:dyDescent="0.3">
      <c r="F4239" s="193"/>
    </row>
    <row r="4240" spans="6:6" x14ac:dyDescent="0.3">
      <c r="F4240" s="193"/>
    </row>
    <row r="4241" spans="6:6" x14ac:dyDescent="0.3">
      <c r="F4241" s="193"/>
    </row>
    <row r="4242" spans="6:6" x14ac:dyDescent="0.3">
      <c r="F4242" s="193"/>
    </row>
    <row r="4243" spans="6:6" x14ac:dyDescent="0.3">
      <c r="F4243" s="193"/>
    </row>
    <row r="4244" spans="6:6" x14ac:dyDescent="0.3">
      <c r="F4244" s="193"/>
    </row>
    <row r="4245" spans="6:6" x14ac:dyDescent="0.3">
      <c r="F4245" s="193"/>
    </row>
    <row r="4246" spans="6:6" x14ac:dyDescent="0.3">
      <c r="F4246" s="193"/>
    </row>
    <row r="4247" spans="6:6" x14ac:dyDescent="0.3">
      <c r="F4247" s="193"/>
    </row>
    <row r="4248" spans="6:6" x14ac:dyDescent="0.3">
      <c r="F4248" s="193"/>
    </row>
    <row r="4249" spans="6:6" x14ac:dyDescent="0.3">
      <c r="F4249" s="193"/>
    </row>
    <row r="4250" spans="6:6" x14ac:dyDescent="0.3">
      <c r="F4250" s="193"/>
    </row>
    <row r="4251" spans="6:6" x14ac:dyDescent="0.3">
      <c r="F4251" s="193"/>
    </row>
    <row r="4252" spans="6:6" x14ac:dyDescent="0.3">
      <c r="F4252" s="193"/>
    </row>
    <row r="4253" spans="6:6" x14ac:dyDescent="0.3">
      <c r="F4253" s="193"/>
    </row>
    <row r="4254" spans="6:6" x14ac:dyDescent="0.3">
      <c r="F4254" s="193"/>
    </row>
    <row r="4255" spans="6:6" x14ac:dyDescent="0.3">
      <c r="F4255" s="193"/>
    </row>
    <row r="4256" spans="6:6" x14ac:dyDescent="0.3">
      <c r="F4256" s="193"/>
    </row>
    <row r="4257" spans="6:6" x14ac:dyDescent="0.3">
      <c r="F4257" s="193"/>
    </row>
    <row r="4258" spans="6:6" x14ac:dyDescent="0.3">
      <c r="F4258" s="193"/>
    </row>
    <row r="4259" spans="6:6" x14ac:dyDescent="0.3">
      <c r="F4259" s="193"/>
    </row>
    <row r="4260" spans="6:6" x14ac:dyDescent="0.3">
      <c r="F4260" s="193"/>
    </row>
    <row r="4261" spans="6:6" x14ac:dyDescent="0.3">
      <c r="F4261" s="193"/>
    </row>
    <row r="4262" spans="6:6" x14ac:dyDescent="0.3">
      <c r="F4262" s="193"/>
    </row>
    <row r="4263" spans="6:6" x14ac:dyDescent="0.3">
      <c r="F4263" s="193"/>
    </row>
    <row r="4264" spans="6:6" x14ac:dyDescent="0.3">
      <c r="F4264" s="193"/>
    </row>
    <row r="4265" spans="6:6" x14ac:dyDescent="0.3">
      <c r="F4265" s="193"/>
    </row>
    <row r="4266" spans="6:6" x14ac:dyDescent="0.3">
      <c r="F4266" s="193"/>
    </row>
    <row r="4267" spans="6:6" x14ac:dyDescent="0.3">
      <c r="F4267" s="193"/>
    </row>
    <row r="4268" spans="6:6" x14ac:dyDescent="0.3">
      <c r="F4268" s="193"/>
    </row>
    <row r="4269" spans="6:6" x14ac:dyDescent="0.3">
      <c r="F4269" s="193"/>
    </row>
    <row r="4270" spans="6:6" x14ac:dyDescent="0.3">
      <c r="F4270" s="193"/>
    </row>
    <row r="4271" spans="6:6" x14ac:dyDescent="0.3">
      <c r="F4271" s="193"/>
    </row>
    <row r="4272" spans="6:6" x14ac:dyDescent="0.3">
      <c r="F4272" s="193"/>
    </row>
    <row r="4273" spans="6:6" x14ac:dyDescent="0.3">
      <c r="F4273" s="193"/>
    </row>
    <row r="4274" spans="6:6" x14ac:dyDescent="0.3">
      <c r="F4274" s="193"/>
    </row>
    <row r="4275" spans="6:6" x14ac:dyDescent="0.3">
      <c r="F4275" s="193"/>
    </row>
    <row r="4276" spans="6:6" x14ac:dyDescent="0.3">
      <c r="F4276" s="193"/>
    </row>
    <row r="4277" spans="6:6" x14ac:dyDescent="0.3">
      <c r="F4277" s="193"/>
    </row>
    <row r="4278" spans="6:6" x14ac:dyDescent="0.3">
      <c r="F4278" s="193"/>
    </row>
    <row r="4279" spans="6:6" x14ac:dyDescent="0.3">
      <c r="F4279" s="193"/>
    </row>
    <row r="4280" spans="6:6" x14ac:dyDescent="0.3">
      <c r="F4280" s="193"/>
    </row>
    <row r="4281" spans="6:6" x14ac:dyDescent="0.3">
      <c r="F4281" s="193"/>
    </row>
    <row r="4282" spans="6:6" x14ac:dyDescent="0.3">
      <c r="F4282" s="193"/>
    </row>
    <row r="4283" spans="6:6" x14ac:dyDescent="0.3">
      <c r="F4283" s="193"/>
    </row>
    <row r="4284" spans="6:6" x14ac:dyDescent="0.3">
      <c r="F4284" s="193"/>
    </row>
    <row r="4285" spans="6:6" x14ac:dyDescent="0.3">
      <c r="F4285" s="193"/>
    </row>
    <row r="4286" spans="6:6" x14ac:dyDescent="0.3">
      <c r="F4286" s="193"/>
    </row>
    <row r="4287" spans="6:6" x14ac:dyDescent="0.3">
      <c r="F4287" s="193"/>
    </row>
    <row r="4288" spans="6:6" x14ac:dyDescent="0.3">
      <c r="F4288" s="193"/>
    </row>
    <row r="4289" spans="6:6" x14ac:dyDescent="0.3">
      <c r="F4289" s="193"/>
    </row>
    <row r="4290" spans="6:6" x14ac:dyDescent="0.3">
      <c r="F4290" s="193"/>
    </row>
    <row r="4291" spans="6:6" x14ac:dyDescent="0.3">
      <c r="F4291" s="193"/>
    </row>
    <row r="4292" spans="6:6" x14ac:dyDescent="0.3">
      <c r="F4292" s="193"/>
    </row>
    <row r="4293" spans="6:6" x14ac:dyDescent="0.3">
      <c r="F4293" s="193"/>
    </row>
    <row r="4294" spans="6:6" x14ac:dyDescent="0.3">
      <c r="F4294" s="193"/>
    </row>
    <row r="4295" spans="6:6" x14ac:dyDescent="0.3">
      <c r="F4295" s="193"/>
    </row>
    <row r="4296" spans="6:6" x14ac:dyDescent="0.3">
      <c r="F4296" s="193"/>
    </row>
    <row r="4297" spans="6:6" x14ac:dyDescent="0.3">
      <c r="F4297" s="193"/>
    </row>
    <row r="4298" spans="6:6" x14ac:dyDescent="0.3">
      <c r="F4298" s="193"/>
    </row>
    <row r="4299" spans="6:6" x14ac:dyDescent="0.3">
      <c r="F4299" s="193"/>
    </row>
    <row r="4300" spans="6:6" x14ac:dyDescent="0.3">
      <c r="F4300" s="193"/>
    </row>
    <row r="4301" spans="6:6" x14ac:dyDescent="0.3">
      <c r="F4301" s="193"/>
    </row>
    <row r="4302" spans="6:6" x14ac:dyDescent="0.3">
      <c r="F4302" s="193"/>
    </row>
    <row r="4303" spans="6:6" x14ac:dyDescent="0.3">
      <c r="F4303" s="193"/>
    </row>
    <row r="4304" spans="6:6" x14ac:dyDescent="0.3">
      <c r="F4304" s="193"/>
    </row>
    <row r="4305" spans="6:6" x14ac:dyDescent="0.3">
      <c r="F4305" s="193"/>
    </row>
    <row r="4306" spans="6:6" x14ac:dyDescent="0.3">
      <c r="F4306" s="193"/>
    </row>
    <row r="4307" spans="6:6" x14ac:dyDescent="0.3">
      <c r="F4307" s="193"/>
    </row>
    <row r="4308" spans="6:6" x14ac:dyDescent="0.3">
      <c r="F4308" s="193"/>
    </row>
    <row r="4309" spans="6:6" x14ac:dyDescent="0.3">
      <c r="F4309" s="193"/>
    </row>
    <row r="4310" spans="6:6" x14ac:dyDescent="0.3">
      <c r="F4310" s="193"/>
    </row>
    <row r="4311" spans="6:6" x14ac:dyDescent="0.3">
      <c r="F4311" s="193"/>
    </row>
    <row r="4312" spans="6:6" x14ac:dyDescent="0.3">
      <c r="F4312" s="193"/>
    </row>
    <row r="4313" spans="6:6" x14ac:dyDescent="0.3">
      <c r="F4313" s="193"/>
    </row>
    <row r="4314" spans="6:6" x14ac:dyDescent="0.3">
      <c r="F4314" s="193"/>
    </row>
    <row r="4315" spans="6:6" x14ac:dyDescent="0.3">
      <c r="F4315" s="193"/>
    </row>
    <row r="4316" spans="6:6" x14ac:dyDescent="0.3">
      <c r="F4316" s="193"/>
    </row>
    <row r="4317" spans="6:6" x14ac:dyDescent="0.3">
      <c r="F4317" s="193"/>
    </row>
    <row r="4318" spans="6:6" x14ac:dyDescent="0.3">
      <c r="F4318" s="193"/>
    </row>
    <row r="4319" spans="6:6" x14ac:dyDescent="0.3">
      <c r="F4319" s="193"/>
    </row>
    <row r="4320" spans="6:6" x14ac:dyDescent="0.3">
      <c r="F4320" s="193"/>
    </row>
    <row r="4321" spans="6:6" x14ac:dyDescent="0.3">
      <c r="F4321" s="193"/>
    </row>
    <row r="4322" spans="6:6" x14ac:dyDescent="0.3">
      <c r="F4322" s="193"/>
    </row>
    <row r="4323" spans="6:6" x14ac:dyDescent="0.3">
      <c r="F4323" s="193"/>
    </row>
    <row r="4324" spans="6:6" x14ac:dyDescent="0.3">
      <c r="F4324" s="193"/>
    </row>
    <row r="4325" spans="6:6" x14ac:dyDescent="0.3">
      <c r="F4325" s="193"/>
    </row>
    <row r="4326" spans="6:6" x14ac:dyDescent="0.3">
      <c r="F4326" s="193"/>
    </row>
    <row r="4327" spans="6:6" x14ac:dyDescent="0.3">
      <c r="F4327" s="193"/>
    </row>
    <row r="4328" spans="6:6" x14ac:dyDescent="0.3">
      <c r="F4328" s="193"/>
    </row>
    <row r="4329" spans="6:6" x14ac:dyDescent="0.3">
      <c r="F4329" s="193"/>
    </row>
    <row r="4330" spans="6:6" x14ac:dyDescent="0.3">
      <c r="F4330" s="193"/>
    </row>
    <row r="4331" spans="6:6" x14ac:dyDescent="0.3">
      <c r="F4331" s="193"/>
    </row>
    <row r="4332" spans="6:6" x14ac:dyDescent="0.3">
      <c r="F4332" s="193"/>
    </row>
    <row r="4333" spans="6:6" x14ac:dyDescent="0.3">
      <c r="F4333" s="193"/>
    </row>
    <row r="4334" spans="6:6" x14ac:dyDescent="0.3">
      <c r="F4334" s="193"/>
    </row>
    <row r="4335" spans="6:6" x14ac:dyDescent="0.3">
      <c r="F4335" s="193"/>
    </row>
    <row r="4336" spans="6:6" x14ac:dyDescent="0.3">
      <c r="F4336" s="193"/>
    </row>
    <row r="4337" spans="6:6" x14ac:dyDescent="0.3">
      <c r="F4337" s="193"/>
    </row>
    <row r="4338" spans="6:6" x14ac:dyDescent="0.3">
      <c r="F4338" s="193"/>
    </row>
    <row r="4339" spans="6:6" x14ac:dyDescent="0.3">
      <c r="F4339" s="193"/>
    </row>
    <row r="4340" spans="6:6" x14ac:dyDescent="0.3">
      <c r="F4340" s="193"/>
    </row>
    <row r="4341" spans="6:6" x14ac:dyDescent="0.3">
      <c r="F4341" s="193"/>
    </row>
    <row r="4342" spans="6:6" x14ac:dyDescent="0.3">
      <c r="F4342" s="193"/>
    </row>
    <row r="4343" spans="6:6" x14ac:dyDescent="0.3">
      <c r="F4343" s="193"/>
    </row>
    <row r="4344" spans="6:6" x14ac:dyDescent="0.3">
      <c r="F4344" s="193"/>
    </row>
    <row r="4345" spans="6:6" x14ac:dyDescent="0.3">
      <c r="F4345" s="193"/>
    </row>
    <row r="4346" spans="6:6" x14ac:dyDescent="0.3">
      <c r="F4346" s="193"/>
    </row>
    <row r="4347" spans="6:6" x14ac:dyDescent="0.3">
      <c r="F4347" s="193"/>
    </row>
    <row r="4348" spans="6:6" x14ac:dyDescent="0.3">
      <c r="F4348" s="193"/>
    </row>
    <row r="4349" spans="6:6" x14ac:dyDescent="0.3">
      <c r="F4349" s="193"/>
    </row>
    <row r="4350" spans="6:6" x14ac:dyDescent="0.3">
      <c r="F4350" s="193"/>
    </row>
    <row r="4351" spans="6:6" x14ac:dyDescent="0.3">
      <c r="F4351" s="193"/>
    </row>
    <row r="4352" spans="6:6" x14ac:dyDescent="0.3">
      <c r="F4352" s="193"/>
    </row>
    <row r="4353" spans="6:6" x14ac:dyDescent="0.3">
      <c r="F4353" s="193"/>
    </row>
    <row r="4354" spans="6:6" x14ac:dyDescent="0.3">
      <c r="F4354" s="193"/>
    </row>
    <row r="4355" spans="6:6" x14ac:dyDescent="0.3">
      <c r="F4355" s="193"/>
    </row>
    <row r="4356" spans="6:6" x14ac:dyDescent="0.3">
      <c r="F4356" s="193"/>
    </row>
    <row r="4357" spans="6:6" x14ac:dyDescent="0.3">
      <c r="F4357" s="193"/>
    </row>
    <row r="4358" spans="6:6" x14ac:dyDescent="0.3">
      <c r="F4358" s="193"/>
    </row>
    <row r="4359" spans="6:6" x14ac:dyDescent="0.3">
      <c r="F4359" s="193"/>
    </row>
    <row r="4360" spans="6:6" x14ac:dyDescent="0.3">
      <c r="F4360" s="193"/>
    </row>
    <row r="4361" spans="6:6" x14ac:dyDescent="0.3">
      <c r="F4361" s="193"/>
    </row>
    <row r="4362" spans="6:6" x14ac:dyDescent="0.3">
      <c r="F4362" s="193"/>
    </row>
    <row r="4363" spans="6:6" x14ac:dyDescent="0.3">
      <c r="F4363" s="193"/>
    </row>
    <row r="4364" spans="6:6" x14ac:dyDescent="0.3">
      <c r="F4364" s="193"/>
    </row>
    <row r="4365" spans="6:6" x14ac:dyDescent="0.3">
      <c r="F4365" s="193"/>
    </row>
    <row r="4366" spans="6:6" x14ac:dyDescent="0.3">
      <c r="F4366" s="193"/>
    </row>
    <row r="4367" spans="6:6" x14ac:dyDescent="0.3">
      <c r="F4367" s="193"/>
    </row>
    <row r="4368" spans="6:6" x14ac:dyDescent="0.3">
      <c r="F4368" s="193"/>
    </row>
    <row r="4369" spans="6:6" x14ac:dyDescent="0.3">
      <c r="F4369" s="193"/>
    </row>
    <row r="4370" spans="6:6" x14ac:dyDescent="0.3">
      <c r="F4370" s="193"/>
    </row>
    <row r="4371" spans="6:6" x14ac:dyDescent="0.3">
      <c r="F4371" s="193"/>
    </row>
    <row r="4372" spans="6:6" x14ac:dyDescent="0.3">
      <c r="F4372" s="193"/>
    </row>
    <row r="4373" spans="6:6" x14ac:dyDescent="0.3">
      <c r="F4373" s="193"/>
    </row>
    <row r="4374" spans="6:6" x14ac:dyDescent="0.3">
      <c r="F4374" s="193"/>
    </row>
    <row r="4375" spans="6:6" x14ac:dyDescent="0.3">
      <c r="F4375" s="193"/>
    </row>
    <row r="4376" spans="6:6" x14ac:dyDescent="0.3">
      <c r="F4376" s="193"/>
    </row>
    <row r="4377" spans="6:6" x14ac:dyDescent="0.3">
      <c r="F4377" s="193"/>
    </row>
    <row r="4378" spans="6:6" x14ac:dyDescent="0.3">
      <c r="F4378" s="193"/>
    </row>
    <row r="4379" spans="6:6" x14ac:dyDescent="0.3">
      <c r="F4379" s="193"/>
    </row>
    <row r="4380" spans="6:6" x14ac:dyDescent="0.3">
      <c r="F4380" s="193"/>
    </row>
    <row r="4381" spans="6:6" x14ac:dyDescent="0.3">
      <c r="F4381" s="193"/>
    </row>
    <row r="4382" spans="6:6" x14ac:dyDescent="0.3">
      <c r="F4382" s="193"/>
    </row>
    <row r="4383" spans="6:6" x14ac:dyDescent="0.3">
      <c r="F4383" s="193"/>
    </row>
    <row r="4384" spans="6:6" x14ac:dyDescent="0.3">
      <c r="F4384" s="193"/>
    </row>
    <row r="4385" spans="6:6" x14ac:dyDescent="0.3">
      <c r="F4385" s="193"/>
    </row>
    <row r="4386" spans="6:6" x14ac:dyDescent="0.3">
      <c r="F4386" s="193"/>
    </row>
    <row r="4387" spans="6:6" x14ac:dyDescent="0.3">
      <c r="F4387" s="193"/>
    </row>
    <row r="4388" spans="6:6" x14ac:dyDescent="0.3">
      <c r="F4388" s="193"/>
    </row>
    <row r="4389" spans="6:6" x14ac:dyDescent="0.3">
      <c r="F4389" s="193"/>
    </row>
    <row r="4390" spans="6:6" x14ac:dyDescent="0.3">
      <c r="F4390" s="193"/>
    </row>
    <row r="4391" spans="6:6" x14ac:dyDescent="0.3">
      <c r="F4391" s="193"/>
    </row>
    <row r="4392" spans="6:6" x14ac:dyDescent="0.3">
      <c r="F4392" s="193"/>
    </row>
    <row r="4393" spans="6:6" x14ac:dyDescent="0.3">
      <c r="F4393" s="193"/>
    </row>
    <row r="4394" spans="6:6" x14ac:dyDescent="0.3">
      <c r="F4394" s="193"/>
    </row>
    <row r="4395" spans="6:6" x14ac:dyDescent="0.3">
      <c r="F4395" s="193"/>
    </row>
    <row r="4396" spans="6:6" x14ac:dyDescent="0.3">
      <c r="F4396" s="193"/>
    </row>
    <row r="4397" spans="6:6" x14ac:dyDescent="0.3">
      <c r="F4397" s="193"/>
    </row>
    <row r="4398" spans="6:6" x14ac:dyDescent="0.3">
      <c r="F4398" s="193"/>
    </row>
    <row r="4399" spans="6:6" x14ac:dyDescent="0.3">
      <c r="F4399" s="193"/>
    </row>
    <row r="4400" spans="6:6" x14ac:dyDescent="0.3">
      <c r="F4400" s="193"/>
    </row>
    <row r="4401" spans="6:6" x14ac:dyDescent="0.3">
      <c r="F4401" s="193"/>
    </row>
    <row r="4402" spans="6:6" x14ac:dyDescent="0.3">
      <c r="F4402" s="193"/>
    </row>
    <row r="4403" spans="6:6" x14ac:dyDescent="0.3">
      <c r="F4403" s="193"/>
    </row>
    <row r="4404" spans="6:6" x14ac:dyDescent="0.3">
      <c r="F4404" s="193"/>
    </row>
    <row r="4405" spans="6:6" x14ac:dyDescent="0.3">
      <c r="F4405" s="193"/>
    </row>
    <row r="4406" spans="6:6" x14ac:dyDescent="0.3">
      <c r="F4406" s="193"/>
    </row>
    <row r="4407" spans="6:6" x14ac:dyDescent="0.3">
      <c r="F4407" s="193"/>
    </row>
    <row r="4408" spans="6:6" x14ac:dyDescent="0.3">
      <c r="F4408" s="193"/>
    </row>
    <row r="4409" spans="6:6" x14ac:dyDescent="0.3">
      <c r="F4409" s="193"/>
    </row>
    <row r="4410" spans="6:6" x14ac:dyDescent="0.3">
      <c r="F4410" s="193"/>
    </row>
    <row r="4411" spans="6:6" x14ac:dyDescent="0.3">
      <c r="F4411" s="193"/>
    </row>
    <row r="4412" spans="6:6" x14ac:dyDescent="0.3">
      <c r="F4412" s="193"/>
    </row>
    <row r="4413" spans="6:6" x14ac:dyDescent="0.3">
      <c r="F4413" s="193"/>
    </row>
    <row r="4414" spans="6:6" x14ac:dyDescent="0.3">
      <c r="F4414" s="193"/>
    </row>
    <row r="4415" spans="6:6" x14ac:dyDescent="0.3">
      <c r="F4415" s="193"/>
    </row>
    <row r="4416" spans="6:6" x14ac:dyDescent="0.3">
      <c r="F4416" s="193"/>
    </row>
    <row r="4417" spans="6:6" x14ac:dyDescent="0.3">
      <c r="F4417" s="193"/>
    </row>
    <row r="4418" spans="6:6" x14ac:dyDescent="0.3">
      <c r="F4418" s="193"/>
    </row>
    <row r="4419" spans="6:6" x14ac:dyDescent="0.3">
      <c r="F4419" s="193"/>
    </row>
    <row r="4420" spans="6:6" x14ac:dyDescent="0.3">
      <c r="F4420" s="193"/>
    </row>
    <row r="4421" spans="6:6" x14ac:dyDescent="0.3">
      <c r="F4421" s="193"/>
    </row>
    <row r="4422" spans="6:6" x14ac:dyDescent="0.3">
      <c r="F4422" s="193"/>
    </row>
    <row r="4423" spans="6:6" x14ac:dyDescent="0.3">
      <c r="F4423" s="193"/>
    </row>
    <row r="4424" spans="6:6" x14ac:dyDescent="0.3">
      <c r="F4424" s="193"/>
    </row>
    <row r="4425" spans="6:6" x14ac:dyDescent="0.3">
      <c r="F4425" s="193"/>
    </row>
    <row r="4426" spans="6:6" x14ac:dyDescent="0.3">
      <c r="F4426" s="193"/>
    </row>
    <row r="4427" spans="6:6" x14ac:dyDescent="0.3">
      <c r="F4427" s="193"/>
    </row>
    <row r="4428" spans="6:6" x14ac:dyDescent="0.3">
      <c r="F4428" s="193"/>
    </row>
    <row r="4429" spans="6:6" x14ac:dyDescent="0.3">
      <c r="F4429" s="193"/>
    </row>
    <row r="4430" spans="6:6" x14ac:dyDescent="0.3">
      <c r="F4430" s="193"/>
    </row>
    <row r="4431" spans="6:6" x14ac:dyDescent="0.3">
      <c r="F4431" s="193"/>
    </row>
    <row r="4432" spans="6:6" x14ac:dyDescent="0.3">
      <c r="F4432" s="193"/>
    </row>
    <row r="4433" spans="6:6" x14ac:dyDescent="0.3">
      <c r="F4433" s="193"/>
    </row>
    <row r="4434" spans="6:6" x14ac:dyDescent="0.3">
      <c r="F4434" s="193"/>
    </row>
    <row r="4435" spans="6:6" x14ac:dyDescent="0.3">
      <c r="F4435" s="193"/>
    </row>
    <row r="4436" spans="6:6" x14ac:dyDescent="0.3">
      <c r="F4436" s="193"/>
    </row>
    <row r="4437" spans="6:6" x14ac:dyDescent="0.3">
      <c r="F4437" s="193"/>
    </row>
    <row r="4438" spans="6:6" x14ac:dyDescent="0.3">
      <c r="F4438" s="193"/>
    </row>
    <row r="4439" spans="6:6" x14ac:dyDescent="0.3">
      <c r="F4439" s="193"/>
    </row>
    <row r="4440" spans="6:6" x14ac:dyDescent="0.3">
      <c r="F4440" s="193"/>
    </row>
    <row r="4441" spans="6:6" x14ac:dyDescent="0.3">
      <c r="F4441" s="193"/>
    </row>
    <row r="4442" spans="6:6" x14ac:dyDescent="0.3">
      <c r="F4442" s="193"/>
    </row>
    <row r="4443" spans="6:6" x14ac:dyDescent="0.3">
      <c r="F4443" s="193"/>
    </row>
    <row r="4444" spans="6:6" x14ac:dyDescent="0.3">
      <c r="F4444" s="193"/>
    </row>
    <row r="4445" spans="6:6" x14ac:dyDescent="0.3">
      <c r="F4445" s="193"/>
    </row>
    <row r="4446" spans="6:6" x14ac:dyDescent="0.3">
      <c r="F4446" s="193"/>
    </row>
    <row r="4447" spans="6:6" x14ac:dyDescent="0.3">
      <c r="F4447" s="193"/>
    </row>
    <row r="4448" spans="6:6" x14ac:dyDescent="0.3">
      <c r="F4448" s="193"/>
    </row>
    <row r="4449" spans="6:6" x14ac:dyDescent="0.3">
      <c r="F4449" s="193"/>
    </row>
    <row r="4450" spans="6:6" x14ac:dyDescent="0.3">
      <c r="F4450" s="193"/>
    </row>
    <row r="4451" spans="6:6" x14ac:dyDescent="0.3">
      <c r="F4451" s="193"/>
    </row>
    <row r="4452" spans="6:6" x14ac:dyDescent="0.3">
      <c r="F4452" s="193"/>
    </row>
    <row r="4453" spans="6:6" x14ac:dyDescent="0.3">
      <c r="F4453" s="193"/>
    </row>
    <row r="4454" spans="6:6" x14ac:dyDescent="0.3">
      <c r="F4454" s="193"/>
    </row>
    <row r="4455" spans="6:6" x14ac:dyDescent="0.3">
      <c r="F4455" s="193"/>
    </row>
    <row r="4456" spans="6:6" x14ac:dyDescent="0.3">
      <c r="F4456" s="193"/>
    </row>
    <row r="4457" spans="6:6" x14ac:dyDescent="0.3">
      <c r="F4457" s="193"/>
    </row>
    <row r="4458" spans="6:6" x14ac:dyDescent="0.3">
      <c r="F4458" s="193"/>
    </row>
    <row r="4459" spans="6:6" x14ac:dyDescent="0.3">
      <c r="F4459" s="193"/>
    </row>
    <row r="4460" spans="6:6" x14ac:dyDescent="0.3">
      <c r="F4460" s="193"/>
    </row>
    <row r="4461" spans="6:6" x14ac:dyDescent="0.3">
      <c r="F4461" s="193"/>
    </row>
    <row r="4462" spans="6:6" x14ac:dyDescent="0.3">
      <c r="F4462" s="193"/>
    </row>
    <row r="4463" spans="6:6" x14ac:dyDescent="0.3">
      <c r="F4463" s="193"/>
    </row>
    <row r="4464" spans="6:6" x14ac:dyDescent="0.3">
      <c r="F4464" s="193"/>
    </row>
    <row r="4465" spans="6:6" x14ac:dyDescent="0.3">
      <c r="F4465" s="193"/>
    </row>
    <row r="4466" spans="6:6" x14ac:dyDescent="0.3">
      <c r="F4466" s="193"/>
    </row>
    <row r="4467" spans="6:6" x14ac:dyDescent="0.3">
      <c r="F4467" s="193"/>
    </row>
    <row r="4468" spans="6:6" x14ac:dyDescent="0.3">
      <c r="F4468" s="193"/>
    </row>
    <row r="4469" spans="6:6" x14ac:dyDescent="0.3">
      <c r="F4469" s="193"/>
    </row>
    <row r="4470" spans="6:6" x14ac:dyDescent="0.3">
      <c r="F4470" s="193"/>
    </row>
    <row r="4471" spans="6:6" x14ac:dyDescent="0.3">
      <c r="F4471" s="193"/>
    </row>
    <row r="4472" spans="6:6" x14ac:dyDescent="0.3">
      <c r="F4472" s="193"/>
    </row>
    <row r="4473" spans="6:6" x14ac:dyDescent="0.3">
      <c r="F4473" s="193"/>
    </row>
    <row r="4474" spans="6:6" x14ac:dyDescent="0.3">
      <c r="F4474" s="193"/>
    </row>
    <row r="4475" spans="6:6" x14ac:dyDescent="0.3">
      <c r="F4475" s="193"/>
    </row>
    <row r="4476" spans="6:6" x14ac:dyDescent="0.3">
      <c r="F4476" s="193"/>
    </row>
    <row r="4477" spans="6:6" x14ac:dyDescent="0.3">
      <c r="F4477" s="193"/>
    </row>
    <row r="4478" spans="6:6" x14ac:dyDescent="0.3">
      <c r="F4478" s="193"/>
    </row>
    <row r="4479" spans="6:6" x14ac:dyDescent="0.3">
      <c r="F4479" s="193"/>
    </row>
    <row r="4480" spans="6:6" x14ac:dyDescent="0.3">
      <c r="F4480" s="193"/>
    </row>
    <row r="4481" spans="6:6" x14ac:dyDescent="0.3">
      <c r="F4481" s="193"/>
    </row>
    <row r="4482" spans="6:6" x14ac:dyDescent="0.3">
      <c r="F4482" s="193"/>
    </row>
    <row r="4483" spans="6:6" x14ac:dyDescent="0.3">
      <c r="F4483" s="193"/>
    </row>
    <row r="4484" spans="6:6" x14ac:dyDescent="0.3">
      <c r="F4484" s="193"/>
    </row>
    <row r="4485" spans="6:6" x14ac:dyDescent="0.3">
      <c r="F4485" s="193"/>
    </row>
    <row r="4486" spans="6:6" x14ac:dyDescent="0.3">
      <c r="F4486" s="193"/>
    </row>
    <row r="4487" spans="6:6" x14ac:dyDescent="0.3">
      <c r="F4487" s="193"/>
    </row>
    <row r="4488" spans="6:6" x14ac:dyDescent="0.3">
      <c r="F4488" s="193"/>
    </row>
    <row r="4489" spans="6:6" x14ac:dyDescent="0.3">
      <c r="F4489" s="193"/>
    </row>
    <row r="4490" spans="6:6" x14ac:dyDescent="0.3">
      <c r="F4490" s="193"/>
    </row>
    <row r="4491" spans="6:6" x14ac:dyDescent="0.3">
      <c r="F4491" s="193"/>
    </row>
    <row r="4492" spans="6:6" x14ac:dyDescent="0.3">
      <c r="F4492" s="193"/>
    </row>
    <row r="4493" spans="6:6" x14ac:dyDescent="0.3">
      <c r="F4493" s="193"/>
    </row>
    <row r="4494" spans="6:6" x14ac:dyDescent="0.3">
      <c r="F4494" s="193"/>
    </row>
    <row r="4495" spans="6:6" x14ac:dyDescent="0.3">
      <c r="F4495" s="193"/>
    </row>
    <row r="4496" spans="6:6" x14ac:dyDescent="0.3">
      <c r="F4496" s="193"/>
    </row>
    <row r="4497" spans="6:6" x14ac:dyDescent="0.3">
      <c r="F4497" s="193"/>
    </row>
    <row r="4498" spans="6:6" x14ac:dyDescent="0.3">
      <c r="F4498" s="193"/>
    </row>
    <row r="4499" spans="6:6" x14ac:dyDescent="0.3">
      <c r="F4499" s="193"/>
    </row>
    <row r="4500" spans="6:6" x14ac:dyDescent="0.3">
      <c r="F4500" s="193"/>
    </row>
    <row r="4501" spans="6:6" x14ac:dyDescent="0.3">
      <c r="F4501" s="193"/>
    </row>
    <row r="4502" spans="6:6" x14ac:dyDescent="0.3">
      <c r="F4502" s="193"/>
    </row>
    <row r="4503" spans="6:6" x14ac:dyDescent="0.3">
      <c r="F4503" s="193"/>
    </row>
    <row r="4504" spans="6:6" x14ac:dyDescent="0.3">
      <c r="F4504" s="193"/>
    </row>
    <row r="4505" spans="6:6" x14ac:dyDescent="0.3">
      <c r="F4505" s="193"/>
    </row>
    <row r="4506" spans="6:6" x14ac:dyDescent="0.3">
      <c r="F4506" s="193"/>
    </row>
    <row r="4507" spans="6:6" x14ac:dyDescent="0.3">
      <c r="F4507" s="193"/>
    </row>
    <row r="4508" spans="6:6" x14ac:dyDescent="0.3">
      <c r="F4508" s="193"/>
    </row>
    <row r="4509" spans="6:6" x14ac:dyDescent="0.3">
      <c r="F4509" s="193"/>
    </row>
    <row r="4510" spans="6:6" x14ac:dyDescent="0.3">
      <c r="F4510" s="193"/>
    </row>
    <row r="4511" spans="6:6" x14ac:dyDescent="0.3">
      <c r="F4511" s="193"/>
    </row>
    <row r="4512" spans="6:6" x14ac:dyDescent="0.3">
      <c r="F4512" s="193"/>
    </row>
    <row r="4513" spans="6:6" x14ac:dyDescent="0.3">
      <c r="F4513" s="193"/>
    </row>
    <row r="4514" spans="6:6" x14ac:dyDescent="0.3">
      <c r="F4514" s="193"/>
    </row>
    <row r="4515" spans="6:6" x14ac:dyDescent="0.3">
      <c r="F4515" s="193"/>
    </row>
    <row r="4516" spans="6:6" x14ac:dyDescent="0.3">
      <c r="F4516" s="193"/>
    </row>
    <row r="4517" spans="6:6" x14ac:dyDescent="0.3">
      <c r="F4517" s="193"/>
    </row>
    <row r="4518" spans="6:6" x14ac:dyDescent="0.3">
      <c r="F4518" s="193"/>
    </row>
    <row r="4519" spans="6:6" x14ac:dyDescent="0.3">
      <c r="F4519" s="193"/>
    </row>
    <row r="4520" spans="6:6" x14ac:dyDescent="0.3">
      <c r="F4520" s="193"/>
    </row>
    <row r="4521" spans="6:6" x14ac:dyDescent="0.3">
      <c r="F4521" s="193"/>
    </row>
    <row r="4522" spans="6:6" x14ac:dyDescent="0.3">
      <c r="F4522" s="193"/>
    </row>
    <row r="4523" spans="6:6" x14ac:dyDescent="0.3">
      <c r="F4523" s="193"/>
    </row>
    <row r="4524" spans="6:6" x14ac:dyDescent="0.3">
      <c r="F4524" s="193"/>
    </row>
    <row r="4525" spans="6:6" x14ac:dyDescent="0.3">
      <c r="F4525" s="193"/>
    </row>
    <row r="4526" spans="6:6" x14ac:dyDescent="0.3">
      <c r="F4526" s="193"/>
    </row>
    <row r="4527" spans="6:6" x14ac:dyDescent="0.3">
      <c r="F4527" s="193"/>
    </row>
    <row r="4528" spans="6:6" x14ac:dyDescent="0.3">
      <c r="F4528" s="193"/>
    </row>
    <row r="4529" spans="6:6" x14ac:dyDescent="0.3">
      <c r="F4529" s="193"/>
    </row>
    <row r="4530" spans="6:6" x14ac:dyDescent="0.3">
      <c r="F4530" s="193"/>
    </row>
    <row r="4531" spans="6:6" x14ac:dyDescent="0.3">
      <c r="F4531" s="193"/>
    </row>
    <row r="4532" spans="6:6" x14ac:dyDescent="0.3">
      <c r="F4532" s="193"/>
    </row>
    <row r="4533" spans="6:6" x14ac:dyDescent="0.3">
      <c r="F4533" s="193"/>
    </row>
    <row r="4534" spans="6:6" x14ac:dyDescent="0.3">
      <c r="F4534" s="193"/>
    </row>
    <row r="4535" spans="6:6" x14ac:dyDescent="0.3">
      <c r="F4535" s="193"/>
    </row>
    <row r="4536" spans="6:6" x14ac:dyDescent="0.3">
      <c r="F4536" s="193"/>
    </row>
    <row r="4537" spans="6:6" x14ac:dyDescent="0.3">
      <c r="F4537" s="193"/>
    </row>
    <row r="4538" spans="6:6" x14ac:dyDescent="0.3">
      <c r="F4538" s="193"/>
    </row>
    <row r="4539" spans="6:6" x14ac:dyDescent="0.3">
      <c r="F4539" s="193"/>
    </row>
    <row r="4540" spans="6:6" x14ac:dyDescent="0.3">
      <c r="F4540" s="193"/>
    </row>
    <row r="4541" spans="6:6" x14ac:dyDescent="0.3">
      <c r="F4541" s="193"/>
    </row>
    <row r="4542" spans="6:6" x14ac:dyDescent="0.3">
      <c r="F4542" s="193"/>
    </row>
    <row r="4543" spans="6:6" x14ac:dyDescent="0.3">
      <c r="F4543" s="193"/>
    </row>
    <row r="4544" spans="6:6" x14ac:dyDescent="0.3">
      <c r="F4544" s="193"/>
    </row>
    <row r="4545" spans="6:6" x14ac:dyDescent="0.3">
      <c r="F4545" s="193"/>
    </row>
    <row r="4546" spans="6:6" x14ac:dyDescent="0.3">
      <c r="F4546" s="193"/>
    </row>
    <row r="4547" spans="6:6" x14ac:dyDescent="0.3">
      <c r="F4547" s="193"/>
    </row>
    <row r="4548" spans="6:6" x14ac:dyDescent="0.3">
      <c r="F4548" s="193"/>
    </row>
    <row r="4549" spans="6:6" x14ac:dyDescent="0.3">
      <c r="F4549" s="193"/>
    </row>
    <row r="4550" spans="6:6" x14ac:dyDescent="0.3">
      <c r="F4550" s="193"/>
    </row>
    <row r="4551" spans="6:6" x14ac:dyDescent="0.3">
      <c r="F4551" s="193"/>
    </row>
    <row r="4552" spans="6:6" x14ac:dyDescent="0.3">
      <c r="F4552" s="193"/>
    </row>
    <row r="4553" spans="6:6" x14ac:dyDescent="0.3">
      <c r="F4553" s="193"/>
    </row>
    <row r="4554" spans="6:6" x14ac:dyDescent="0.3">
      <c r="F4554" s="193"/>
    </row>
    <row r="4555" spans="6:6" x14ac:dyDescent="0.3">
      <c r="F4555" s="193"/>
    </row>
    <row r="4556" spans="6:6" x14ac:dyDescent="0.3">
      <c r="F4556" s="193"/>
    </row>
    <row r="4557" spans="6:6" x14ac:dyDescent="0.3">
      <c r="F4557" s="193"/>
    </row>
    <row r="4558" spans="6:6" x14ac:dyDescent="0.3">
      <c r="F4558" s="193"/>
    </row>
    <row r="4559" spans="6:6" x14ac:dyDescent="0.3">
      <c r="F4559" s="193"/>
    </row>
    <row r="4560" spans="6:6" x14ac:dyDescent="0.3">
      <c r="F4560" s="193"/>
    </row>
    <row r="4561" spans="6:6" x14ac:dyDescent="0.3">
      <c r="F4561" s="193"/>
    </row>
    <row r="4562" spans="6:6" x14ac:dyDescent="0.3">
      <c r="F4562" s="193"/>
    </row>
    <row r="4563" spans="6:6" x14ac:dyDescent="0.3">
      <c r="F4563" s="193"/>
    </row>
    <row r="4564" spans="6:6" x14ac:dyDescent="0.3">
      <c r="F4564" s="193"/>
    </row>
    <row r="4565" spans="6:6" x14ac:dyDescent="0.3">
      <c r="F4565" s="193"/>
    </row>
    <row r="4566" spans="6:6" x14ac:dyDescent="0.3">
      <c r="F4566" s="193"/>
    </row>
    <row r="4567" spans="6:6" x14ac:dyDescent="0.3">
      <c r="F4567" s="193"/>
    </row>
    <row r="4568" spans="6:6" x14ac:dyDescent="0.3">
      <c r="F4568" s="193"/>
    </row>
    <row r="4569" spans="6:6" x14ac:dyDescent="0.3">
      <c r="F4569" s="193"/>
    </row>
    <row r="4570" spans="6:6" x14ac:dyDescent="0.3">
      <c r="F4570" s="193"/>
    </row>
    <row r="4571" spans="6:6" x14ac:dyDescent="0.3">
      <c r="F4571" s="193"/>
    </row>
    <row r="4572" spans="6:6" x14ac:dyDescent="0.3">
      <c r="F4572" s="193"/>
    </row>
    <row r="4573" spans="6:6" x14ac:dyDescent="0.3">
      <c r="F4573" s="193"/>
    </row>
    <row r="4574" spans="6:6" x14ac:dyDescent="0.3">
      <c r="F4574" s="193"/>
    </row>
    <row r="4575" spans="6:6" x14ac:dyDescent="0.3">
      <c r="F4575" s="193"/>
    </row>
    <row r="4576" spans="6:6" x14ac:dyDescent="0.3">
      <c r="F4576" s="193"/>
    </row>
    <row r="4577" spans="6:6" x14ac:dyDescent="0.3">
      <c r="F4577" s="193"/>
    </row>
    <row r="4578" spans="6:6" x14ac:dyDescent="0.3">
      <c r="F4578" s="193"/>
    </row>
    <row r="4579" spans="6:6" x14ac:dyDescent="0.3">
      <c r="F4579" s="193"/>
    </row>
    <row r="4580" spans="6:6" x14ac:dyDescent="0.3">
      <c r="F4580" s="193"/>
    </row>
    <row r="4581" spans="6:6" x14ac:dyDescent="0.3">
      <c r="F4581" s="193"/>
    </row>
    <row r="4582" spans="6:6" x14ac:dyDescent="0.3">
      <c r="F4582" s="193"/>
    </row>
    <row r="4583" spans="6:6" x14ac:dyDescent="0.3">
      <c r="F4583" s="193"/>
    </row>
    <row r="4584" spans="6:6" x14ac:dyDescent="0.3">
      <c r="F4584" s="193"/>
    </row>
    <row r="4585" spans="6:6" x14ac:dyDescent="0.3">
      <c r="F4585" s="193"/>
    </row>
    <row r="4586" spans="6:6" x14ac:dyDescent="0.3">
      <c r="F4586" s="193"/>
    </row>
    <row r="4587" spans="6:6" x14ac:dyDescent="0.3">
      <c r="F4587" s="193"/>
    </row>
    <row r="4588" spans="6:6" x14ac:dyDescent="0.3">
      <c r="F4588" s="193"/>
    </row>
    <row r="4589" spans="6:6" x14ac:dyDescent="0.3">
      <c r="F4589" s="193"/>
    </row>
    <row r="4590" spans="6:6" x14ac:dyDescent="0.3">
      <c r="F4590" s="193"/>
    </row>
    <row r="4591" spans="6:6" x14ac:dyDescent="0.3">
      <c r="F4591" s="193"/>
    </row>
    <row r="4592" spans="6:6" x14ac:dyDescent="0.3">
      <c r="F4592" s="193"/>
    </row>
    <row r="4593" spans="6:6" x14ac:dyDescent="0.3">
      <c r="F4593" s="193"/>
    </row>
    <row r="4594" spans="6:6" x14ac:dyDescent="0.3">
      <c r="F4594" s="193"/>
    </row>
    <row r="4595" spans="6:6" x14ac:dyDescent="0.3">
      <c r="F4595" s="193"/>
    </row>
    <row r="4596" spans="6:6" x14ac:dyDescent="0.3">
      <c r="F4596" s="193"/>
    </row>
    <row r="4597" spans="6:6" x14ac:dyDescent="0.3">
      <c r="F4597" s="193"/>
    </row>
    <row r="4598" spans="6:6" x14ac:dyDescent="0.3">
      <c r="F4598" s="193"/>
    </row>
    <row r="4599" spans="6:6" x14ac:dyDescent="0.3">
      <c r="F4599" s="193"/>
    </row>
    <row r="4600" spans="6:6" x14ac:dyDescent="0.3">
      <c r="F4600" s="193"/>
    </row>
    <row r="4601" spans="6:6" x14ac:dyDescent="0.3">
      <c r="F4601" s="193"/>
    </row>
    <row r="4602" spans="6:6" x14ac:dyDescent="0.3">
      <c r="F4602" s="193"/>
    </row>
    <row r="4603" spans="6:6" x14ac:dyDescent="0.3">
      <c r="F4603" s="193"/>
    </row>
    <row r="4604" spans="6:6" x14ac:dyDescent="0.3">
      <c r="F4604" s="193"/>
    </row>
    <row r="4605" spans="6:6" x14ac:dyDescent="0.3">
      <c r="F4605" s="193"/>
    </row>
    <row r="4606" spans="6:6" x14ac:dyDescent="0.3">
      <c r="F4606" s="193"/>
    </row>
    <row r="4607" spans="6:6" x14ac:dyDescent="0.3">
      <c r="F4607" s="193"/>
    </row>
    <row r="4608" spans="6:6" x14ac:dyDescent="0.3">
      <c r="F4608" s="193"/>
    </row>
    <row r="4609" spans="6:6" x14ac:dyDescent="0.3">
      <c r="F4609" s="193"/>
    </row>
    <row r="4610" spans="6:6" x14ac:dyDescent="0.3">
      <c r="F4610" s="193"/>
    </row>
    <row r="4611" spans="6:6" x14ac:dyDescent="0.3">
      <c r="F4611" s="193"/>
    </row>
    <row r="4612" spans="6:6" x14ac:dyDescent="0.3">
      <c r="F4612" s="193"/>
    </row>
    <row r="4613" spans="6:6" x14ac:dyDescent="0.3">
      <c r="F4613" s="193"/>
    </row>
    <row r="4614" spans="6:6" x14ac:dyDescent="0.3">
      <c r="F4614" s="193"/>
    </row>
    <row r="4615" spans="6:6" x14ac:dyDescent="0.3">
      <c r="F4615" s="193"/>
    </row>
    <row r="4616" spans="6:6" x14ac:dyDescent="0.3">
      <c r="F4616" s="193"/>
    </row>
    <row r="4617" spans="6:6" x14ac:dyDescent="0.3">
      <c r="F4617" s="193"/>
    </row>
    <row r="4618" spans="6:6" x14ac:dyDescent="0.3">
      <c r="F4618" s="193"/>
    </row>
    <row r="4619" spans="6:6" x14ac:dyDescent="0.3">
      <c r="F4619" s="193"/>
    </row>
    <row r="4620" spans="6:6" x14ac:dyDescent="0.3">
      <c r="F4620" s="193"/>
    </row>
    <row r="4621" spans="6:6" x14ac:dyDescent="0.3">
      <c r="F4621" s="193"/>
    </row>
    <row r="4622" spans="6:6" x14ac:dyDescent="0.3">
      <c r="F4622" s="193"/>
    </row>
    <row r="4623" spans="6:6" x14ac:dyDescent="0.3">
      <c r="F4623" s="193"/>
    </row>
    <row r="4624" spans="6:6" x14ac:dyDescent="0.3">
      <c r="F4624" s="193"/>
    </row>
    <row r="4625" spans="6:6" x14ac:dyDescent="0.3">
      <c r="F4625" s="193"/>
    </row>
    <row r="4626" spans="6:6" x14ac:dyDescent="0.3">
      <c r="F4626" s="193"/>
    </row>
    <row r="4627" spans="6:6" x14ac:dyDescent="0.3">
      <c r="F4627" s="193"/>
    </row>
    <row r="4628" spans="6:6" x14ac:dyDescent="0.3">
      <c r="F4628" s="193"/>
    </row>
    <row r="4629" spans="6:6" x14ac:dyDescent="0.3">
      <c r="F4629" s="193"/>
    </row>
    <row r="4630" spans="6:6" x14ac:dyDescent="0.3">
      <c r="F4630" s="193"/>
    </row>
    <row r="4631" spans="6:6" x14ac:dyDescent="0.3">
      <c r="F4631" s="193"/>
    </row>
    <row r="4632" spans="6:6" x14ac:dyDescent="0.3">
      <c r="F4632" s="193"/>
    </row>
    <row r="4633" spans="6:6" x14ac:dyDescent="0.3">
      <c r="F4633" s="193"/>
    </row>
    <row r="4634" spans="6:6" x14ac:dyDescent="0.3">
      <c r="F4634" s="193"/>
    </row>
    <row r="4635" spans="6:6" x14ac:dyDescent="0.3">
      <c r="F4635" s="193"/>
    </row>
    <row r="4636" spans="6:6" x14ac:dyDescent="0.3">
      <c r="F4636" s="193"/>
    </row>
    <row r="4637" spans="6:6" x14ac:dyDescent="0.3">
      <c r="F4637" s="193"/>
    </row>
    <row r="4638" spans="6:6" x14ac:dyDescent="0.3">
      <c r="F4638" s="193"/>
    </row>
    <row r="4639" spans="6:6" x14ac:dyDescent="0.3">
      <c r="F4639" s="193"/>
    </row>
    <row r="4640" spans="6:6" x14ac:dyDescent="0.3">
      <c r="F4640" s="193"/>
    </row>
    <row r="4641" spans="6:6" x14ac:dyDescent="0.3">
      <c r="F4641" s="193"/>
    </row>
    <row r="4642" spans="6:6" x14ac:dyDescent="0.3">
      <c r="F4642" s="193"/>
    </row>
    <row r="4643" spans="6:6" x14ac:dyDescent="0.3">
      <c r="F4643" s="193"/>
    </row>
    <row r="4644" spans="6:6" x14ac:dyDescent="0.3">
      <c r="F4644" s="193"/>
    </row>
    <row r="4645" spans="6:6" x14ac:dyDescent="0.3">
      <c r="F4645" s="193"/>
    </row>
    <row r="4646" spans="6:6" x14ac:dyDescent="0.3">
      <c r="F4646" s="193"/>
    </row>
    <row r="4647" spans="6:6" x14ac:dyDescent="0.3">
      <c r="F4647" s="193"/>
    </row>
    <row r="4648" spans="6:6" x14ac:dyDescent="0.3">
      <c r="F4648" s="193"/>
    </row>
    <row r="4649" spans="6:6" x14ac:dyDescent="0.3">
      <c r="F4649" s="193"/>
    </row>
    <row r="4650" spans="6:6" x14ac:dyDescent="0.3">
      <c r="F4650" s="193"/>
    </row>
    <row r="4651" spans="6:6" x14ac:dyDescent="0.3">
      <c r="F4651" s="193"/>
    </row>
    <row r="4652" spans="6:6" x14ac:dyDescent="0.3">
      <c r="F4652" s="193"/>
    </row>
    <row r="4653" spans="6:6" x14ac:dyDescent="0.3">
      <c r="F4653" s="193"/>
    </row>
    <row r="4654" spans="6:6" x14ac:dyDescent="0.3">
      <c r="F4654" s="193"/>
    </row>
    <row r="4655" spans="6:6" x14ac:dyDescent="0.3">
      <c r="F4655" s="193"/>
    </row>
    <row r="4656" spans="6:6" x14ac:dyDescent="0.3">
      <c r="F4656" s="193"/>
    </row>
    <row r="4657" spans="6:6" x14ac:dyDescent="0.3">
      <c r="F4657" s="193"/>
    </row>
    <row r="4658" spans="6:6" x14ac:dyDescent="0.3">
      <c r="F4658" s="193"/>
    </row>
    <row r="4659" spans="6:6" x14ac:dyDescent="0.3">
      <c r="F4659" s="193"/>
    </row>
    <row r="4660" spans="6:6" x14ac:dyDescent="0.3">
      <c r="F4660" s="193"/>
    </row>
    <row r="4661" spans="6:6" x14ac:dyDescent="0.3">
      <c r="F4661" s="193"/>
    </row>
    <row r="4662" spans="6:6" x14ac:dyDescent="0.3">
      <c r="F4662" s="193"/>
    </row>
    <row r="4663" spans="6:6" x14ac:dyDescent="0.3">
      <c r="F4663" s="193"/>
    </row>
    <row r="4664" spans="6:6" x14ac:dyDescent="0.3">
      <c r="F4664" s="193"/>
    </row>
    <row r="4665" spans="6:6" x14ac:dyDescent="0.3">
      <c r="F4665" s="193"/>
    </row>
    <row r="4666" spans="6:6" x14ac:dyDescent="0.3">
      <c r="F4666" s="193"/>
    </row>
    <row r="4667" spans="6:6" x14ac:dyDescent="0.3">
      <c r="F4667" s="193"/>
    </row>
    <row r="4668" spans="6:6" x14ac:dyDescent="0.3">
      <c r="F4668" s="193"/>
    </row>
    <row r="4669" spans="6:6" x14ac:dyDescent="0.3">
      <c r="F4669" s="193"/>
    </row>
    <row r="4670" spans="6:6" x14ac:dyDescent="0.3">
      <c r="F4670" s="193"/>
    </row>
    <row r="4671" spans="6:6" x14ac:dyDescent="0.3">
      <c r="F4671" s="193"/>
    </row>
    <row r="4672" spans="6:6" x14ac:dyDescent="0.3">
      <c r="F4672" s="193"/>
    </row>
    <row r="4673" spans="6:6" x14ac:dyDescent="0.3">
      <c r="F4673" s="193"/>
    </row>
    <row r="4674" spans="6:6" x14ac:dyDescent="0.3">
      <c r="F4674" s="193"/>
    </row>
    <row r="4675" spans="6:6" x14ac:dyDescent="0.3">
      <c r="F4675" s="193"/>
    </row>
    <row r="4676" spans="6:6" x14ac:dyDescent="0.3">
      <c r="F4676" s="193"/>
    </row>
    <row r="4677" spans="6:6" x14ac:dyDescent="0.3">
      <c r="F4677" s="193"/>
    </row>
    <row r="4678" spans="6:6" x14ac:dyDescent="0.3">
      <c r="F4678" s="193"/>
    </row>
    <row r="4679" spans="6:6" x14ac:dyDescent="0.3">
      <c r="F4679" s="193"/>
    </row>
    <row r="4680" spans="6:6" x14ac:dyDescent="0.3">
      <c r="F4680" s="193"/>
    </row>
    <row r="4681" spans="6:6" x14ac:dyDescent="0.3">
      <c r="F4681" s="193"/>
    </row>
    <row r="4682" spans="6:6" x14ac:dyDescent="0.3">
      <c r="F4682" s="193"/>
    </row>
    <row r="4683" spans="6:6" x14ac:dyDescent="0.3">
      <c r="F4683" s="193"/>
    </row>
    <row r="4684" spans="6:6" x14ac:dyDescent="0.3">
      <c r="F4684" s="193"/>
    </row>
    <row r="4685" spans="6:6" x14ac:dyDescent="0.3">
      <c r="F4685" s="193"/>
    </row>
    <row r="4686" spans="6:6" x14ac:dyDescent="0.3">
      <c r="F4686" s="193"/>
    </row>
    <row r="4687" spans="6:6" x14ac:dyDescent="0.3">
      <c r="F4687" s="193"/>
    </row>
    <row r="4688" spans="6:6" x14ac:dyDescent="0.3">
      <c r="F4688" s="193"/>
    </row>
    <row r="4689" spans="6:6" x14ac:dyDescent="0.3">
      <c r="F4689" s="193"/>
    </row>
    <row r="4690" spans="6:6" x14ac:dyDescent="0.3">
      <c r="F4690" s="193"/>
    </row>
    <row r="4691" spans="6:6" x14ac:dyDescent="0.3">
      <c r="F4691" s="193"/>
    </row>
    <row r="4692" spans="6:6" x14ac:dyDescent="0.3">
      <c r="F4692" s="193"/>
    </row>
    <row r="4693" spans="6:6" x14ac:dyDescent="0.3">
      <c r="F4693" s="193"/>
    </row>
    <row r="4694" spans="6:6" x14ac:dyDescent="0.3">
      <c r="F4694" s="193"/>
    </row>
    <row r="4695" spans="6:6" x14ac:dyDescent="0.3">
      <c r="F4695" s="193"/>
    </row>
    <row r="4696" spans="6:6" x14ac:dyDescent="0.3">
      <c r="F4696" s="193"/>
    </row>
    <row r="4697" spans="6:6" x14ac:dyDescent="0.3">
      <c r="F4697" s="193"/>
    </row>
    <row r="4698" spans="6:6" x14ac:dyDescent="0.3">
      <c r="F4698" s="193"/>
    </row>
    <row r="4699" spans="6:6" x14ac:dyDescent="0.3">
      <c r="F4699" s="193"/>
    </row>
    <row r="4700" spans="6:6" x14ac:dyDescent="0.3">
      <c r="F4700" s="193"/>
    </row>
    <row r="4701" spans="6:6" x14ac:dyDescent="0.3">
      <c r="F4701" s="193"/>
    </row>
    <row r="4702" spans="6:6" x14ac:dyDescent="0.3">
      <c r="F4702" s="193"/>
    </row>
    <row r="4703" spans="6:6" x14ac:dyDescent="0.3">
      <c r="F4703" s="193"/>
    </row>
    <row r="4704" spans="6:6" x14ac:dyDescent="0.3">
      <c r="F4704" s="193"/>
    </row>
    <row r="4705" spans="6:6" x14ac:dyDescent="0.3">
      <c r="F4705" s="193"/>
    </row>
    <row r="4706" spans="6:6" x14ac:dyDescent="0.3">
      <c r="F4706" s="193"/>
    </row>
    <row r="4707" spans="6:6" x14ac:dyDescent="0.3">
      <c r="F4707" s="193"/>
    </row>
    <row r="4708" spans="6:6" x14ac:dyDescent="0.3">
      <c r="F4708" s="193"/>
    </row>
    <row r="4709" spans="6:6" x14ac:dyDescent="0.3">
      <c r="F4709" s="193"/>
    </row>
    <row r="4710" spans="6:6" x14ac:dyDescent="0.3">
      <c r="F4710" s="193"/>
    </row>
    <row r="4711" spans="6:6" x14ac:dyDescent="0.3">
      <c r="F4711" s="193"/>
    </row>
    <row r="4712" spans="6:6" x14ac:dyDescent="0.3">
      <c r="F4712" s="193"/>
    </row>
    <row r="4713" spans="6:6" x14ac:dyDescent="0.3">
      <c r="F4713" s="193"/>
    </row>
    <row r="4714" spans="6:6" x14ac:dyDescent="0.3">
      <c r="F4714" s="193"/>
    </row>
    <row r="4715" spans="6:6" x14ac:dyDescent="0.3">
      <c r="F4715" s="193"/>
    </row>
    <row r="4716" spans="6:6" x14ac:dyDescent="0.3">
      <c r="F4716" s="193"/>
    </row>
    <row r="4717" spans="6:6" x14ac:dyDescent="0.3">
      <c r="F4717" s="193"/>
    </row>
    <row r="4718" spans="6:6" x14ac:dyDescent="0.3">
      <c r="F4718" s="193"/>
    </row>
    <row r="4719" spans="6:6" x14ac:dyDescent="0.3">
      <c r="F4719" s="193"/>
    </row>
    <row r="4720" spans="6:6" x14ac:dyDescent="0.3">
      <c r="F4720" s="193"/>
    </row>
    <row r="4721" spans="6:6" x14ac:dyDescent="0.3">
      <c r="F4721" s="193"/>
    </row>
    <row r="4722" spans="6:6" x14ac:dyDescent="0.3">
      <c r="F4722" s="193"/>
    </row>
    <row r="4723" spans="6:6" x14ac:dyDescent="0.3">
      <c r="F4723" s="193"/>
    </row>
    <row r="4724" spans="6:6" x14ac:dyDescent="0.3">
      <c r="F4724" s="193"/>
    </row>
    <row r="4725" spans="6:6" x14ac:dyDescent="0.3">
      <c r="F4725" s="193"/>
    </row>
    <row r="4726" spans="6:6" x14ac:dyDescent="0.3">
      <c r="F4726" s="193"/>
    </row>
    <row r="4727" spans="6:6" x14ac:dyDescent="0.3">
      <c r="F4727" s="193"/>
    </row>
    <row r="4728" spans="6:6" x14ac:dyDescent="0.3">
      <c r="F4728" s="193"/>
    </row>
    <row r="4729" spans="6:6" x14ac:dyDescent="0.3">
      <c r="F4729" s="193"/>
    </row>
    <row r="4730" spans="6:6" x14ac:dyDescent="0.3">
      <c r="F4730" s="193"/>
    </row>
    <row r="4731" spans="6:6" x14ac:dyDescent="0.3">
      <c r="F4731" s="193"/>
    </row>
    <row r="4732" spans="6:6" x14ac:dyDescent="0.3">
      <c r="F4732" s="193"/>
    </row>
    <row r="4733" spans="6:6" x14ac:dyDescent="0.3">
      <c r="F4733" s="193"/>
    </row>
    <row r="4734" spans="6:6" x14ac:dyDescent="0.3">
      <c r="F4734" s="193"/>
    </row>
    <row r="4735" spans="6:6" x14ac:dyDescent="0.3">
      <c r="F4735" s="193"/>
    </row>
    <row r="4736" spans="6:6" x14ac:dyDescent="0.3">
      <c r="F4736" s="193"/>
    </row>
    <row r="4737" spans="6:6" x14ac:dyDescent="0.3">
      <c r="F4737" s="193"/>
    </row>
    <row r="4738" spans="6:6" x14ac:dyDescent="0.3">
      <c r="F4738" s="193"/>
    </row>
    <row r="4739" spans="6:6" x14ac:dyDescent="0.3">
      <c r="F4739" s="193"/>
    </row>
    <row r="4740" spans="6:6" x14ac:dyDescent="0.3">
      <c r="F4740" s="193"/>
    </row>
    <row r="4741" spans="6:6" x14ac:dyDescent="0.3">
      <c r="F4741" s="193"/>
    </row>
    <row r="4742" spans="6:6" x14ac:dyDescent="0.3">
      <c r="F4742" s="193"/>
    </row>
    <row r="4743" spans="6:6" x14ac:dyDescent="0.3">
      <c r="F4743" s="193"/>
    </row>
    <row r="4744" spans="6:6" x14ac:dyDescent="0.3">
      <c r="F4744" s="193"/>
    </row>
    <row r="4745" spans="6:6" x14ac:dyDescent="0.3">
      <c r="F4745" s="193"/>
    </row>
    <row r="4746" spans="6:6" x14ac:dyDescent="0.3">
      <c r="F4746" s="193"/>
    </row>
    <row r="4747" spans="6:6" x14ac:dyDescent="0.3">
      <c r="F4747" s="193"/>
    </row>
    <row r="4748" spans="6:6" x14ac:dyDescent="0.3">
      <c r="F4748" s="193"/>
    </row>
    <row r="4749" spans="6:6" x14ac:dyDescent="0.3">
      <c r="F4749" s="193"/>
    </row>
    <row r="4750" spans="6:6" x14ac:dyDescent="0.3">
      <c r="F4750" s="193"/>
    </row>
    <row r="4751" spans="6:6" x14ac:dyDescent="0.3">
      <c r="F4751" s="193"/>
    </row>
    <row r="4752" spans="6:6" x14ac:dyDescent="0.3">
      <c r="F4752" s="193"/>
    </row>
    <row r="4753" spans="6:6" x14ac:dyDescent="0.3">
      <c r="F4753" s="193"/>
    </row>
    <row r="4754" spans="6:6" x14ac:dyDescent="0.3">
      <c r="F4754" s="193"/>
    </row>
    <row r="4755" spans="6:6" x14ac:dyDescent="0.3">
      <c r="F4755" s="193"/>
    </row>
    <row r="4756" spans="6:6" x14ac:dyDescent="0.3">
      <c r="F4756" s="193"/>
    </row>
    <row r="4757" spans="6:6" x14ac:dyDescent="0.3">
      <c r="F4757" s="193"/>
    </row>
    <row r="4758" spans="6:6" x14ac:dyDescent="0.3">
      <c r="F4758" s="193"/>
    </row>
    <row r="4759" spans="6:6" x14ac:dyDescent="0.3">
      <c r="F4759" s="193"/>
    </row>
    <row r="4760" spans="6:6" x14ac:dyDescent="0.3">
      <c r="F4760" s="193"/>
    </row>
    <row r="4761" spans="6:6" x14ac:dyDescent="0.3">
      <c r="F4761" s="193"/>
    </row>
    <row r="4762" spans="6:6" x14ac:dyDescent="0.3">
      <c r="F4762" s="193"/>
    </row>
    <row r="4763" spans="6:6" x14ac:dyDescent="0.3">
      <c r="F4763" s="193"/>
    </row>
    <row r="4764" spans="6:6" x14ac:dyDescent="0.3">
      <c r="F4764" s="193"/>
    </row>
    <row r="4765" spans="6:6" x14ac:dyDescent="0.3">
      <c r="F4765" s="193"/>
    </row>
    <row r="4766" spans="6:6" x14ac:dyDescent="0.3">
      <c r="F4766" s="193"/>
    </row>
    <row r="4767" spans="6:6" x14ac:dyDescent="0.3">
      <c r="F4767" s="193"/>
    </row>
    <row r="4768" spans="6:6" x14ac:dyDescent="0.3">
      <c r="F4768" s="193"/>
    </row>
    <row r="4769" spans="6:6" x14ac:dyDescent="0.3">
      <c r="F4769" s="193"/>
    </row>
    <row r="4770" spans="6:6" x14ac:dyDescent="0.3">
      <c r="F4770" s="193"/>
    </row>
    <row r="4771" spans="6:6" x14ac:dyDescent="0.3">
      <c r="F4771" s="193"/>
    </row>
    <row r="4772" spans="6:6" x14ac:dyDescent="0.3">
      <c r="F4772" s="193"/>
    </row>
    <row r="4773" spans="6:6" x14ac:dyDescent="0.3">
      <c r="F4773" s="193"/>
    </row>
    <row r="4774" spans="6:6" x14ac:dyDescent="0.3">
      <c r="F4774" s="193"/>
    </row>
    <row r="4775" spans="6:6" x14ac:dyDescent="0.3">
      <c r="F4775" s="193"/>
    </row>
    <row r="4776" spans="6:6" x14ac:dyDescent="0.3">
      <c r="F4776" s="193"/>
    </row>
    <row r="4777" spans="6:6" x14ac:dyDescent="0.3">
      <c r="F4777" s="193"/>
    </row>
    <row r="4778" spans="6:6" x14ac:dyDescent="0.3">
      <c r="F4778" s="193"/>
    </row>
    <row r="4779" spans="6:6" x14ac:dyDescent="0.3">
      <c r="F4779" s="193"/>
    </row>
    <row r="4780" spans="6:6" x14ac:dyDescent="0.3">
      <c r="F4780" s="193"/>
    </row>
    <row r="4781" spans="6:6" x14ac:dyDescent="0.3">
      <c r="F4781" s="193"/>
    </row>
    <row r="4782" spans="6:6" x14ac:dyDescent="0.3">
      <c r="F4782" s="193"/>
    </row>
    <row r="4783" spans="6:6" x14ac:dyDescent="0.3">
      <c r="F4783" s="193"/>
    </row>
    <row r="4784" spans="6:6" x14ac:dyDescent="0.3">
      <c r="F4784" s="193"/>
    </row>
    <row r="4785" spans="6:6" x14ac:dyDescent="0.3">
      <c r="F4785" s="193"/>
    </row>
    <row r="4786" spans="6:6" x14ac:dyDescent="0.3">
      <c r="F4786" s="193"/>
    </row>
    <row r="4787" spans="6:6" x14ac:dyDescent="0.3">
      <c r="F4787" s="193"/>
    </row>
    <row r="4788" spans="6:6" x14ac:dyDescent="0.3">
      <c r="F4788" s="193"/>
    </row>
    <row r="4789" spans="6:6" x14ac:dyDescent="0.3">
      <c r="F4789" s="193"/>
    </row>
    <row r="4790" spans="6:6" x14ac:dyDescent="0.3">
      <c r="F4790" s="193"/>
    </row>
    <row r="4791" spans="6:6" x14ac:dyDescent="0.3">
      <c r="F4791" s="193"/>
    </row>
    <row r="4792" spans="6:6" x14ac:dyDescent="0.3">
      <c r="F4792" s="193"/>
    </row>
    <row r="4793" spans="6:6" x14ac:dyDescent="0.3">
      <c r="F4793" s="193"/>
    </row>
    <row r="4794" spans="6:6" x14ac:dyDescent="0.3">
      <c r="F4794" s="193"/>
    </row>
    <row r="4795" spans="6:6" x14ac:dyDescent="0.3">
      <c r="F4795" s="193"/>
    </row>
    <row r="4796" spans="6:6" x14ac:dyDescent="0.3">
      <c r="F4796" s="193"/>
    </row>
    <row r="4797" spans="6:6" x14ac:dyDescent="0.3">
      <c r="F4797" s="193"/>
    </row>
    <row r="4798" spans="6:6" x14ac:dyDescent="0.3">
      <c r="F4798" s="193"/>
    </row>
    <row r="4799" spans="6:6" x14ac:dyDescent="0.3">
      <c r="F4799" s="193"/>
    </row>
    <row r="4800" spans="6:6" x14ac:dyDescent="0.3">
      <c r="F4800" s="193"/>
    </row>
    <row r="4801" spans="6:6" x14ac:dyDescent="0.3">
      <c r="F4801" s="193"/>
    </row>
    <row r="4802" spans="6:6" x14ac:dyDescent="0.3">
      <c r="F4802" s="193"/>
    </row>
    <row r="4803" spans="6:6" x14ac:dyDescent="0.3">
      <c r="F4803" s="193"/>
    </row>
    <row r="4804" spans="6:6" x14ac:dyDescent="0.3">
      <c r="F4804" s="193"/>
    </row>
    <row r="4805" spans="6:6" x14ac:dyDescent="0.3">
      <c r="F4805" s="193"/>
    </row>
    <row r="4806" spans="6:6" x14ac:dyDescent="0.3">
      <c r="F4806" s="193"/>
    </row>
    <row r="4807" spans="6:6" x14ac:dyDescent="0.3">
      <c r="F4807" s="193"/>
    </row>
    <row r="4808" spans="6:6" x14ac:dyDescent="0.3">
      <c r="F4808" s="193"/>
    </row>
    <row r="4809" spans="6:6" x14ac:dyDescent="0.3">
      <c r="F4809" s="193"/>
    </row>
    <row r="4810" spans="6:6" x14ac:dyDescent="0.3">
      <c r="F4810" s="193"/>
    </row>
    <row r="4811" spans="6:6" x14ac:dyDescent="0.3">
      <c r="F4811" s="193"/>
    </row>
    <row r="4812" spans="6:6" x14ac:dyDescent="0.3">
      <c r="F4812" s="193"/>
    </row>
    <row r="4813" spans="6:6" x14ac:dyDescent="0.3">
      <c r="F4813" s="193"/>
    </row>
    <row r="4814" spans="6:6" x14ac:dyDescent="0.3">
      <c r="F4814" s="193"/>
    </row>
    <row r="4815" spans="6:6" x14ac:dyDescent="0.3">
      <c r="F4815" s="193"/>
    </row>
    <row r="4816" spans="6:6" x14ac:dyDescent="0.3">
      <c r="F4816" s="193"/>
    </row>
    <row r="4817" spans="6:6" x14ac:dyDescent="0.3">
      <c r="F4817" s="193"/>
    </row>
    <row r="4818" spans="6:6" x14ac:dyDescent="0.3">
      <c r="F4818" s="193"/>
    </row>
    <row r="4819" spans="6:6" x14ac:dyDescent="0.3">
      <c r="F4819" s="193"/>
    </row>
    <row r="4820" spans="6:6" x14ac:dyDescent="0.3">
      <c r="F4820" s="193"/>
    </row>
    <row r="4821" spans="6:6" x14ac:dyDescent="0.3">
      <c r="F4821" s="193"/>
    </row>
    <row r="4822" spans="6:6" x14ac:dyDescent="0.3">
      <c r="F4822" s="193"/>
    </row>
    <row r="4823" spans="6:6" x14ac:dyDescent="0.3">
      <c r="F4823" s="193"/>
    </row>
    <row r="4824" spans="6:6" x14ac:dyDescent="0.3">
      <c r="F4824" s="193"/>
    </row>
    <row r="4825" spans="6:6" x14ac:dyDescent="0.3">
      <c r="F4825" s="193"/>
    </row>
    <row r="4826" spans="6:6" x14ac:dyDescent="0.3">
      <c r="F4826" s="193"/>
    </row>
    <row r="4827" spans="6:6" x14ac:dyDescent="0.3">
      <c r="F4827" s="193"/>
    </row>
    <row r="4828" spans="6:6" x14ac:dyDescent="0.3">
      <c r="F4828" s="193"/>
    </row>
    <row r="4829" spans="6:6" x14ac:dyDescent="0.3">
      <c r="F4829" s="193"/>
    </row>
    <row r="4830" spans="6:6" x14ac:dyDescent="0.3">
      <c r="F4830" s="193"/>
    </row>
    <row r="4831" spans="6:6" x14ac:dyDescent="0.3">
      <c r="F4831" s="193"/>
    </row>
    <row r="4832" spans="6:6" x14ac:dyDescent="0.3">
      <c r="F4832" s="193"/>
    </row>
    <row r="4833" spans="6:6" x14ac:dyDescent="0.3">
      <c r="F4833" s="193"/>
    </row>
    <row r="4834" spans="6:6" x14ac:dyDescent="0.3">
      <c r="F4834" s="193"/>
    </row>
    <row r="4835" spans="6:6" x14ac:dyDescent="0.3">
      <c r="F4835" s="193"/>
    </row>
    <row r="4836" spans="6:6" x14ac:dyDescent="0.3">
      <c r="F4836" s="193"/>
    </row>
    <row r="4837" spans="6:6" x14ac:dyDescent="0.3">
      <c r="F4837" s="193"/>
    </row>
    <row r="4838" spans="6:6" x14ac:dyDescent="0.3">
      <c r="F4838" s="193"/>
    </row>
    <row r="4839" spans="6:6" x14ac:dyDescent="0.3">
      <c r="F4839" s="193"/>
    </row>
    <row r="4840" spans="6:6" x14ac:dyDescent="0.3">
      <c r="F4840" s="193"/>
    </row>
    <row r="4841" spans="6:6" x14ac:dyDescent="0.3">
      <c r="F4841" s="193"/>
    </row>
    <row r="4842" spans="6:6" x14ac:dyDescent="0.3">
      <c r="F4842" s="193"/>
    </row>
    <row r="4843" spans="6:6" x14ac:dyDescent="0.3">
      <c r="F4843" s="193"/>
    </row>
    <row r="4844" spans="6:6" x14ac:dyDescent="0.3">
      <c r="F4844" s="193"/>
    </row>
    <row r="4845" spans="6:6" x14ac:dyDescent="0.3">
      <c r="F4845" s="193"/>
    </row>
    <row r="4846" spans="6:6" x14ac:dyDescent="0.3">
      <c r="F4846" s="193"/>
    </row>
    <row r="4847" spans="6:6" x14ac:dyDescent="0.3">
      <c r="F4847" s="193"/>
    </row>
    <row r="4848" spans="6:6" x14ac:dyDescent="0.3">
      <c r="F4848" s="193"/>
    </row>
    <row r="4849" spans="6:6" x14ac:dyDescent="0.3">
      <c r="F4849" s="193"/>
    </row>
    <row r="4850" spans="6:6" x14ac:dyDescent="0.3">
      <c r="F4850" s="193"/>
    </row>
    <row r="4851" spans="6:6" x14ac:dyDescent="0.3">
      <c r="F4851" s="193"/>
    </row>
    <row r="4852" spans="6:6" x14ac:dyDescent="0.3">
      <c r="F4852" s="193"/>
    </row>
    <row r="4853" spans="6:6" x14ac:dyDescent="0.3">
      <c r="F4853" s="193"/>
    </row>
    <row r="4854" spans="6:6" x14ac:dyDescent="0.3">
      <c r="F4854" s="193"/>
    </row>
    <row r="4855" spans="6:6" x14ac:dyDescent="0.3">
      <c r="F4855" s="193"/>
    </row>
    <row r="4856" spans="6:6" x14ac:dyDescent="0.3">
      <c r="F4856" s="193"/>
    </row>
    <row r="4857" spans="6:6" x14ac:dyDescent="0.3">
      <c r="F4857" s="193"/>
    </row>
    <row r="4858" spans="6:6" x14ac:dyDescent="0.3">
      <c r="F4858" s="193"/>
    </row>
    <row r="4859" spans="6:6" x14ac:dyDescent="0.3">
      <c r="F4859" s="193"/>
    </row>
    <row r="4860" spans="6:6" x14ac:dyDescent="0.3">
      <c r="F4860" s="193"/>
    </row>
    <row r="4861" spans="6:6" x14ac:dyDescent="0.3">
      <c r="F4861" s="193"/>
    </row>
    <row r="4862" spans="6:6" x14ac:dyDescent="0.3">
      <c r="F4862" s="193"/>
    </row>
    <row r="4863" spans="6:6" x14ac:dyDescent="0.3">
      <c r="F4863" s="193"/>
    </row>
    <row r="4864" spans="6:6" x14ac:dyDescent="0.3">
      <c r="F4864" s="193"/>
    </row>
    <row r="4865" spans="6:6" x14ac:dyDescent="0.3">
      <c r="F4865" s="193"/>
    </row>
    <row r="4866" spans="6:6" x14ac:dyDescent="0.3">
      <c r="F4866" s="193"/>
    </row>
    <row r="4867" spans="6:6" x14ac:dyDescent="0.3">
      <c r="F4867" s="193"/>
    </row>
    <row r="4868" spans="6:6" x14ac:dyDescent="0.3">
      <c r="F4868" s="193"/>
    </row>
    <row r="4869" spans="6:6" x14ac:dyDescent="0.3">
      <c r="F4869" s="193"/>
    </row>
    <row r="4870" spans="6:6" x14ac:dyDescent="0.3">
      <c r="F4870" s="193"/>
    </row>
    <row r="4871" spans="6:6" x14ac:dyDescent="0.3">
      <c r="F4871" s="193"/>
    </row>
    <row r="4872" spans="6:6" x14ac:dyDescent="0.3">
      <c r="F4872" s="193"/>
    </row>
    <row r="4873" spans="6:6" x14ac:dyDescent="0.3">
      <c r="F4873" s="193"/>
    </row>
    <row r="4874" spans="6:6" x14ac:dyDescent="0.3">
      <c r="F4874" s="193"/>
    </row>
    <row r="4875" spans="6:6" x14ac:dyDescent="0.3">
      <c r="F4875" s="193"/>
    </row>
    <row r="4876" spans="6:6" x14ac:dyDescent="0.3">
      <c r="F4876" s="193"/>
    </row>
    <row r="4877" spans="6:6" x14ac:dyDescent="0.3">
      <c r="F4877" s="193"/>
    </row>
    <row r="4878" spans="6:6" x14ac:dyDescent="0.3">
      <c r="F4878" s="193"/>
    </row>
    <row r="4879" spans="6:6" x14ac:dyDescent="0.3">
      <c r="F4879" s="193"/>
    </row>
    <row r="4880" spans="6:6" x14ac:dyDescent="0.3">
      <c r="F4880" s="193"/>
    </row>
    <row r="4881" spans="6:6" x14ac:dyDescent="0.3">
      <c r="F4881" s="193"/>
    </row>
    <row r="4882" spans="6:6" x14ac:dyDescent="0.3">
      <c r="F4882" s="193"/>
    </row>
    <row r="4883" spans="6:6" x14ac:dyDescent="0.3">
      <c r="F4883" s="193"/>
    </row>
    <row r="4884" spans="6:6" x14ac:dyDescent="0.3">
      <c r="F4884" s="193"/>
    </row>
    <row r="4885" spans="6:6" x14ac:dyDescent="0.3">
      <c r="F4885" s="193"/>
    </row>
    <row r="4886" spans="6:6" x14ac:dyDescent="0.3">
      <c r="F4886" s="193"/>
    </row>
    <row r="4887" spans="6:6" x14ac:dyDescent="0.3">
      <c r="F4887" s="193"/>
    </row>
    <row r="4888" spans="6:6" x14ac:dyDescent="0.3">
      <c r="F4888" s="193"/>
    </row>
    <row r="4889" spans="6:6" x14ac:dyDescent="0.3">
      <c r="F4889" s="193"/>
    </row>
    <row r="4890" spans="6:6" x14ac:dyDescent="0.3">
      <c r="F4890" s="193"/>
    </row>
    <row r="4891" spans="6:6" x14ac:dyDescent="0.3">
      <c r="F4891" s="193"/>
    </row>
    <row r="4892" spans="6:6" x14ac:dyDescent="0.3">
      <c r="F4892" s="193"/>
    </row>
    <row r="4893" spans="6:6" x14ac:dyDescent="0.3">
      <c r="F4893" s="193"/>
    </row>
    <row r="4894" spans="6:6" x14ac:dyDescent="0.3">
      <c r="F4894" s="193"/>
    </row>
    <row r="4895" spans="6:6" x14ac:dyDescent="0.3">
      <c r="F4895" s="193"/>
    </row>
    <row r="4896" spans="6:6" x14ac:dyDescent="0.3">
      <c r="F4896" s="193"/>
    </row>
    <row r="4897" spans="6:6" x14ac:dyDescent="0.3">
      <c r="F4897" s="193"/>
    </row>
    <row r="4898" spans="6:6" x14ac:dyDescent="0.3">
      <c r="F4898" s="193"/>
    </row>
    <row r="4899" spans="6:6" x14ac:dyDescent="0.3">
      <c r="F4899" s="193"/>
    </row>
    <row r="4900" spans="6:6" x14ac:dyDescent="0.3">
      <c r="F4900" s="193"/>
    </row>
    <row r="4901" spans="6:6" x14ac:dyDescent="0.3">
      <c r="F4901" s="193"/>
    </row>
    <row r="4902" spans="6:6" x14ac:dyDescent="0.3">
      <c r="F4902" s="193"/>
    </row>
    <row r="4903" spans="6:6" x14ac:dyDescent="0.3">
      <c r="F4903" s="193"/>
    </row>
    <row r="4904" spans="6:6" x14ac:dyDescent="0.3">
      <c r="F4904" s="193"/>
    </row>
    <row r="4905" spans="6:6" x14ac:dyDescent="0.3">
      <c r="F4905" s="193"/>
    </row>
    <row r="4906" spans="6:6" x14ac:dyDescent="0.3">
      <c r="F4906" s="193"/>
    </row>
    <row r="4907" spans="6:6" x14ac:dyDescent="0.3">
      <c r="F4907" s="193"/>
    </row>
    <row r="4908" spans="6:6" x14ac:dyDescent="0.3">
      <c r="F4908" s="193"/>
    </row>
    <row r="4909" spans="6:6" x14ac:dyDescent="0.3">
      <c r="F4909" s="193"/>
    </row>
    <row r="4910" spans="6:6" x14ac:dyDescent="0.3">
      <c r="F4910" s="193"/>
    </row>
    <row r="4911" spans="6:6" x14ac:dyDescent="0.3">
      <c r="F4911" s="193"/>
    </row>
    <row r="4912" spans="6:6" x14ac:dyDescent="0.3">
      <c r="F4912" s="193"/>
    </row>
    <row r="4913" spans="6:6" x14ac:dyDescent="0.3">
      <c r="F4913" s="193"/>
    </row>
    <row r="4914" spans="6:6" x14ac:dyDescent="0.3">
      <c r="F4914" s="193"/>
    </row>
    <row r="4915" spans="6:6" x14ac:dyDescent="0.3">
      <c r="F4915" s="193"/>
    </row>
    <row r="4916" spans="6:6" x14ac:dyDescent="0.3">
      <c r="F4916" s="193"/>
    </row>
    <row r="4917" spans="6:6" x14ac:dyDescent="0.3">
      <c r="F4917" s="193"/>
    </row>
    <row r="4918" spans="6:6" x14ac:dyDescent="0.3">
      <c r="F4918" s="193"/>
    </row>
    <row r="4919" spans="6:6" x14ac:dyDescent="0.3">
      <c r="F4919" s="193"/>
    </row>
    <row r="4920" spans="6:6" x14ac:dyDescent="0.3">
      <c r="F4920" s="193"/>
    </row>
    <row r="4921" spans="6:6" x14ac:dyDescent="0.3">
      <c r="F4921" s="193"/>
    </row>
    <row r="4922" spans="6:6" x14ac:dyDescent="0.3">
      <c r="F4922" s="193"/>
    </row>
    <row r="4923" spans="6:6" x14ac:dyDescent="0.3">
      <c r="F4923" s="193"/>
    </row>
    <row r="4924" spans="6:6" x14ac:dyDescent="0.3">
      <c r="F4924" s="193"/>
    </row>
    <row r="4925" spans="6:6" x14ac:dyDescent="0.3">
      <c r="F4925" s="193"/>
    </row>
    <row r="4926" spans="6:6" x14ac:dyDescent="0.3">
      <c r="F4926" s="193"/>
    </row>
    <row r="4927" spans="6:6" x14ac:dyDescent="0.3">
      <c r="F4927" s="193"/>
    </row>
    <row r="4928" spans="6:6" x14ac:dyDescent="0.3">
      <c r="F4928" s="193"/>
    </row>
    <row r="4929" spans="6:6" x14ac:dyDescent="0.3">
      <c r="F4929" s="193"/>
    </row>
    <row r="4930" spans="6:6" x14ac:dyDescent="0.3">
      <c r="F4930" s="193"/>
    </row>
    <row r="4931" spans="6:6" x14ac:dyDescent="0.3">
      <c r="F4931" s="193"/>
    </row>
    <row r="4932" spans="6:6" x14ac:dyDescent="0.3">
      <c r="F4932" s="193"/>
    </row>
    <row r="4933" spans="6:6" x14ac:dyDescent="0.3">
      <c r="F4933" s="193"/>
    </row>
    <row r="4934" spans="6:6" x14ac:dyDescent="0.3">
      <c r="F4934" s="193"/>
    </row>
    <row r="4935" spans="6:6" x14ac:dyDescent="0.3">
      <c r="F4935" s="193"/>
    </row>
    <row r="4936" spans="6:6" x14ac:dyDescent="0.3">
      <c r="F4936" s="193"/>
    </row>
    <row r="4937" spans="6:6" x14ac:dyDescent="0.3">
      <c r="F4937" s="193"/>
    </row>
    <row r="4938" spans="6:6" x14ac:dyDescent="0.3">
      <c r="F4938" s="193"/>
    </row>
    <row r="4939" spans="6:6" x14ac:dyDescent="0.3">
      <c r="F4939" s="193"/>
    </row>
    <row r="4940" spans="6:6" x14ac:dyDescent="0.3">
      <c r="F4940" s="193"/>
    </row>
    <row r="4941" spans="6:6" x14ac:dyDescent="0.3">
      <c r="F4941" s="193"/>
    </row>
    <row r="4942" spans="6:6" x14ac:dyDescent="0.3">
      <c r="F4942" s="193"/>
    </row>
    <row r="4943" spans="6:6" x14ac:dyDescent="0.3">
      <c r="F4943" s="193"/>
    </row>
    <row r="4944" spans="6:6" x14ac:dyDescent="0.3">
      <c r="F4944" s="193"/>
    </row>
    <row r="4945" spans="6:6" x14ac:dyDescent="0.3">
      <c r="F4945" s="193"/>
    </row>
    <row r="4946" spans="6:6" x14ac:dyDescent="0.3">
      <c r="F4946" s="193"/>
    </row>
    <row r="4947" spans="6:6" x14ac:dyDescent="0.3">
      <c r="F4947" s="193"/>
    </row>
    <row r="4948" spans="6:6" x14ac:dyDescent="0.3">
      <c r="F4948" s="193"/>
    </row>
    <row r="4949" spans="6:6" x14ac:dyDescent="0.3">
      <c r="F4949" s="193"/>
    </row>
    <row r="4950" spans="6:6" x14ac:dyDescent="0.3">
      <c r="F4950" s="193"/>
    </row>
    <row r="4951" spans="6:6" x14ac:dyDescent="0.3">
      <c r="F4951" s="193"/>
    </row>
    <row r="4952" spans="6:6" x14ac:dyDescent="0.3">
      <c r="F4952" s="193"/>
    </row>
    <row r="4953" spans="6:6" x14ac:dyDescent="0.3">
      <c r="F4953" s="193"/>
    </row>
    <row r="4954" spans="6:6" x14ac:dyDescent="0.3">
      <c r="F4954" s="193"/>
    </row>
    <row r="4955" spans="6:6" x14ac:dyDescent="0.3">
      <c r="F4955" s="193"/>
    </row>
    <row r="4956" spans="6:6" x14ac:dyDescent="0.3">
      <c r="F4956" s="193"/>
    </row>
    <row r="4957" spans="6:6" x14ac:dyDescent="0.3">
      <c r="F4957" s="193"/>
    </row>
    <row r="4958" spans="6:6" x14ac:dyDescent="0.3">
      <c r="F4958" s="193"/>
    </row>
    <row r="4959" spans="6:6" x14ac:dyDescent="0.3">
      <c r="F4959" s="193"/>
    </row>
    <row r="4960" spans="6:6" x14ac:dyDescent="0.3">
      <c r="F4960" s="193"/>
    </row>
    <row r="4961" spans="6:6" x14ac:dyDescent="0.3">
      <c r="F4961" s="193"/>
    </row>
    <row r="4962" spans="6:6" x14ac:dyDescent="0.3">
      <c r="F4962" s="193"/>
    </row>
    <row r="4963" spans="6:6" x14ac:dyDescent="0.3">
      <c r="F4963" s="193"/>
    </row>
    <row r="4964" spans="6:6" x14ac:dyDescent="0.3">
      <c r="F4964" s="193"/>
    </row>
    <row r="4965" spans="6:6" x14ac:dyDescent="0.3">
      <c r="F4965" s="193"/>
    </row>
    <row r="4966" spans="6:6" x14ac:dyDescent="0.3">
      <c r="F4966" s="193"/>
    </row>
    <row r="4967" spans="6:6" x14ac:dyDescent="0.3">
      <c r="F4967" s="193"/>
    </row>
    <row r="4968" spans="6:6" x14ac:dyDescent="0.3">
      <c r="F4968" s="193"/>
    </row>
    <row r="4969" spans="6:6" x14ac:dyDescent="0.3">
      <c r="F4969" s="193"/>
    </row>
    <row r="4970" spans="6:6" x14ac:dyDescent="0.3">
      <c r="F4970" s="193"/>
    </row>
    <row r="4971" spans="6:6" x14ac:dyDescent="0.3">
      <c r="F4971" s="193"/>
    </row>
    <row r="4972" spans="6:6" x14ac:dyDescent="0.3">
      <c r="F4972" s="193"/>
    </row>
    <row r="4973" spans="6:6" x14ac:dyDescent="0.3">
      <c r="F4973" s="193"/>
    </row>
    <row r="4974" spans="6:6" x14ac:dyDescent="0.3">
      <c r="F4974" s="193"/>
    </row>
    <row r="4975" spans="6:6" x14ac:dyDescent="0.3">
      <c r="F4975" s="193"/>
    </row>
    <row r="4976" spans="6:6" x14ac:dyDescent="0.3">
      <c r="F4976" s="193"/>
    </row>
    <row r="4977" spans="6:6" x14ac:dyDescent="0.3">
      <c r="F4977" s="193"/>
    </row>
    <row r="4978" spans="6:6" x14ac:dyDescent="0.3">
      <c r="F4978" s="193"/>
    </row>
    <row r="4979" spans="6:6" x14ac:dyDescent="0.3">
      <c r="F4979" s="193"/>
    </row>
    <row r="4980" spans="6:6" x14ac:dyDescent="0.3">
      <c r="F4980" s="193"/>
    </row>
    <row r="4981" spans="6:6" x14ac:dyDescent="0.3">
      <c r="F4981" s="193"/>
    </row>
    <row r="4982" spans="6:6" x14ac:dyDescent="0.3">
      <c r="F4982" s="193"/>
    </row>
    <row r="4983" spans="6:6" x14ac:dyDescent="0.3">
      <c r="F4983" s="193"/>
    </row>
    <row r="4984" spans="6:6" x14ac:dyDescent="0.3">
      <c r="F4984" s="193"/>
    </row>
    <row r="4985" spans="6:6" x14ac:dyDescent="0.3">
      <c r="F4985" s="193"/>
    </row>
    <row r="4986" spans="6:6" x14ac:dyDescent="0.3">
      <c r="F4986" s="193"/>
    </row>
    <row r="4987" spans="6:6" x14ac:dyDescent="0.3">
      <c r="F4987" s="193"/>
    </row>
    <row r="4988" spans="6:6" x14ac:dyDescent="0.3">
      <c r="F4988" s="193"/>
    </row>
    <row r="4989" spans="6:6" x14ac:dyDescent="0.3">
      <c r="F4989" s="193"/>
    </row>
    <row r="4990" spans="6:6" x14ac:dyDescent="0.3">
      <c r="F4990" s="193"/>
    </row>
    <row r="4991" spans="6:6" x14ac:dyDescent="0.3">
      <c r="F4991" s="193"/>
    </row>
    <row r="4992" spans="6:6" x14ac:dyDescent="0.3">
      <c r="F4992" s="193"/>
    </row>
    <row r="4993" spans="6:6" x14ac:dyDescent="0.3">
      <c r="F4993" s="193"/>
    </row>
    <row r="4994" spans="6:6" x14ac:dyDescent="0.3">
      <c r="F4994" s="193"/>
    </row>
    <row r="4995" spans="6:6" x14ac:dyDescent="0.3">
      <c r="F4995" s="193"/>
    </row>
    <row r="4996" spans="6:6" x14ac:dyDescent="0.3">
      <c r="F4996" s="193"/>
    </row>
    <row r="4997" spans="6:6" x14ac:dyDescent="0.3">
      <c r="F4997" s="193"/>
    </row>
    <row r="4998" spans="6:6" x14ac:dyDescent="0.3">
      <c r="F4998" s="193"/>
    </row>
    <row r="4999" spans="6:6" x14ac:dyDescent="0.3">
      <c r="F4999" s="193"/>
    </row>
    <row r="5000" spans="6:6" x14ac:dyDescent="0.3">
      <c r="F5000" s="193"/>
    </row>
    <row r="5001" spans="6:6" x14ac:dyDescent="0.3">
      <c r="F5001" s="193"/>
    </row>
    <row r="5002" spans="6:6" x14ac:dyDescent="0.3">
      <c r="F5002" s="193"/>
    </row>
    <row r="5003" spans="6:6" x14ac:dyDescent="0.3">
      <c r="F5003" s="193"/>
    </row>
    <row r="5004" spans="6:6" x14ac:dyDescent="0.3">
      <c r="F5004" s="193"/>
    </row>
    <row r="5005" spans="6:6" x14ac:dyDescent="0.3">
      <c r="F5005" s="193"/>
    </row>
    <row r="5006" spans="6:6" x14ac:dyDescent="0.3">
      <c r="F5006" s="193"/>
    </row>
    <row r="5007" spans="6:6" x14ac:dyDescent="0.3">
      <c r="F5007" s="193"/>
    </row>
    <row r="5008" spans="6:6" x14ac:dyDescent="0.3">
      <c r="F5008" s="193"/>
    </row>
    <row r="5009" spans="6:6" x14ac:dyDescent="0.3">
      <c r="F5009" s="193"/>
    </row>
    <row r="5010" spans="6:6" x14ac:dyDescent="0.3">
      <c r="F5010" s="193"/>
    </row>
    <row r="5011" spans="6:6" x14ac:dyDescent="0.3">
      <c r="F5011" s="193"/>
    </row>
    <row r="5012" spans="6:6" x14ac:dyDescent="0.3">
      <c r="F5012" s="193"/>
    </row>
    <row r="5013" spans="6:6" x14ac:dyDescent="0.3">
      <c r="F5013" s="193"/>
    </row>
    <row r="5014" spans="6:6" x14ac:dyDescent="0.3">
      <c r="F5014" s="193"/>
    </row>
    <row r="5015" spans="6:6" x14ac:dyDescent="0.3">
      <c r="F5015" s="193"/>
    </row>
    <row r="5016" spans="6:6" x14ac:dyDescent="0.3">
      <c r="F5016" s="193"/>
    </row>
    <row r="5017" spans="6:6" x14ac:dyDescent="0.3">
      <c r="F5017" s="193"/>
    </row>
    <row r="5018" spans="6:6" x14ac:dyDescent="0.3">
      <c r="F5018" s="193"/>
    </row>
    <row r="5019" spans="6:6" x14ac:dyDescent="0.3">
      <c r="F5019" s="193"/>
    </row>
    <row r="5020" spans="6:6" x14ac:dyDescent="0.3">
      <c r="F5020" s="193"/>
    </row>
    <row r="5021" spans="6:6" x14ac:dyDescent="0.3">
      <c r="F5021" s="193"/>
    </row>
    <row r="5022" spans="6:6" x14ac:dyDescent="0.3">
      <c r="F5022" s="193"/>
    </row>
    <row r="5023" spans="6:6" x14ac:dyDescent="0.3">
      <c r="F5023" s="193"/>
    </row>
    <row r="5024" spans="6:6" x14ac:dyDescent="0.3">
      <c r="F5024" s="193"/>
    </row>
    <row r="5025" spans="6:6" x14ac:dyDescent="0.3">
      <c r="F5025" s="193"/>
    </row>
    <row r="5026" spans="6:6" x14ac:dyDescent="0.3">
      <c r="F5026" s="193"/>
    </row>
    <row r="5027" spans="6:6" x14ac:dyDescent="0.3">
      <c r="F5027" s="193"/>
    </row>
    <row r="5028" spans="6:6" x14ac:dyDescent="0.3">
      <c r="F5028" s="193"/>
    </row>
    <row r="5029" spans="6:6" x14ac:dyDescent="0.3">
      <c r="F5029" s="193"/>
    </row>
    <row r="5030" spans="6:6" x14ac:dyDescent="0.3">
      <c r="F5030" s="193"/>
    </row>
    <row r="5031" spans="6:6" x14ac:dyDescent="0.3">
      <c r="F5031" s="193"/>
    </row>
    <row r="5032" spans="6:6" x14ac:dyDescent="0.3">
      <c r="F5032" s="193"/>
    </row>
    <row r="5033" spans="6:6" x14ac:dyDescent="0.3">
      <c r="F5033" s="193"/>
    </row>
    <row r="5034" spans="6:6" x14ac:dyDescent="0.3">
      <c r="F5034" s="193"/>
    </row>
    <row r="5035" spans="6:6" x14ac:dyDescent="0.3">
      <c r="F5035" s="193"/>
    </row>
    <row r="5036" spans="6:6" x14ac:dyDescent="0.3">
      <c r="F5036" s="193"/>
    </row>
    <row r="5037" spans="6:6" x14ac:dyDescent="0.3">
      <c r="F5037" s="193"/>
    </row>
    <row r="5038" spans="6:6" x14ac:dyDescent="0.3">
      <c r="F5038" s="193"/>
    </row>
    <row r="5039" spans="6:6" x14ac:dyDescent="0.3">
      <c r="F5039" s="193"/>
    </row>
    <row r="5040" spans="6:6" x14ac:dyDescent="0.3">
      <c r="F5040" s="193"/>
    </row>
    <row r="5041" spans="6:6" x14ac:dyDescent="0.3">
      <c r="F5041" s="193"/>
    </row>
    <row r="5042" spans="6:6" x14ac:dyDescent="0.3">
      <c r="F5042" s="193"/>
    </row>
    <row r="5043" spans="6:6" x14ac:dyDescent="0.3">
      <c r="F5043" s="193"/>
    </row>
    <row r="5044" spans="6:6" x14ac:dyDescent="0.3">
      <c r="F5044" s="193"/>
    </row>
    <row r="5045" spans="6:6" x14ac:dyDescent="0.3">
      <c r="F5045" s="193"/>
    </row>
    <row r="5046" spans="6:6" x14ac:dyDescent="0.3">
      <c r="F5046" s="193"/>
    </row>
    <row r="5047" spans="6:6" x14ac:dyDescent="0.3">
      <c r="F5047" s="193"/>
    </row>
    <row r="5048" spans="6:6" x14ac:dyDescent="0.3">
      <c r="F5048" s="193"/>
    </row>
    <row r="5049" spans="6:6" x14ac:dyDescent="0.3">
      <c r="F5049" s="193"/>
    </row>
    <row r="5050" spans="6:6" x14ac:dyDescent="0.3">
      <c r="F5050" s="193"/>
    </row>
    <row r="5051" spans="6:6" x14ac:dyDescent="0.3">
      <c r="F5051" s="193"/>
    </row>
    <row r="5052" spans="6:6" x14ac:dyDescent="0.3">
      <c r="F5052" s="193"/>
    </row>
    <row r="5053" spans="6:6" x14ac:dyDescent="0.3">
      <c r="F5053" s="193"/>
    </row>
    <row r="5054" spans="6:6" x14ac:dyDescent="0.3">
      <c r="F5054" s="193"/>
    </row>
    <row r="5055" spans="6:6" x14ac:dyDescent="0.3">
      <c r="F5055" s="193"/>
    </row>
    <row r="5056" spans="6:6" x14ac:dyDescent="0.3">
      <c r="F5056" s="193"/>
    </row>
    <row r="5057" spans="6:6" x14ac:dyDescent="0.3">
      <c r="F5057" s="193"/>
    </row>
    <row r="5058" spans="6:6" x14ac:dyDescent="0.3">
      <c r="F5058" s="193"/>
    </row>
    <row r="5059" spans="6:6" x14ac:dyDescent="0.3">
      <c r="F5059" s="193"/>
    </row>
    <row r="5060" spans="6:6" x14ac:dyDescent="0.3">
      <c r="F5060" s="193"/>
    </row>
    <row r="5061" spans="6:6" x14ac:dyDescent="0.3">
      <c r="F5061" s="193"/>
    </row>
    <row r="5062" spans="6:6" x14ac:dyDescent="0.3">
      <c r="F5062" s="193"/>
    </row>
    <row r="5063" spans="6:6" x14ac:dyDescent="0.3">
      <c r="F5063" s="193"/>
    </row>
    <row r="5064" spans="6:6" x14ac:dyDescent="0.3">
      <c r="F5064" s="193"/>
    </row>
    <row r="5065" spans="6:6" x14ac:dyDescent="0.3">
      <c r="F5065" s="193"/>
    </row>
    <row r="5066" spans="6:6" x14ac:dyDescent="0.3">
      <c r="F5066" s="193"/>
    </row>
    <row r="5067" spans="6:6" x14ac:dyDescent="0.3">
      <c r="F5067" s="193"/>
    </row>
    <row r="5068" spans="6:6" x14ac:dyDescent="0.3">
      <c r="F5068" s="193"/>
    </row>
    <row r="5069" spans="6:6" x14ac:dyDescent="0.3">
      <c r="F5069" s="193"/>
    </row>
    <row r="5070" spans="6:6" x14ac:dyDescent="0.3">
      <c r="F5070" s="193"/>
    </row>
    <row r="5071" spans="6:6" x14ac:dyDescent="0.3">
      <c r="F5071" s="193"/>
    </row>
    <row r="5072" spans="6:6" x14ac:dyDescent="0.3">
      <c r="F5072" s="193"/>
    </row>
    <row r="5073" spans="6:6" x14ac:dyDescent="0.3">
      <c r="F5073" s="193"/>
    </row>
    <row r="5074" spans="6:6" x14ac:dyDescent="0.3">
      <c r="F5074" s="193"/>
    </row>
    <row r="5075" spans="6:6" x14ac:dyDescent="0.3">
      <c r="F5075" s="193"/>
    </row>
    <row r="5076" spans="6:6" x14ac:dyDescent="0.3">
      <c r="F5076" s="193"/>
    </row>
    <row r="5077" spans="6:6" x14ac:dyDescent="0.3">
      <c r="F5077" s="193"/>
    </row>
    <row r="5078" spans="6:6" x14ac:dyDescent="0.3">
      <c r="F5078" s="193"/>
    </row>
    <row r="5079" spans="6:6" x14ac:dyDescent="0.3">
      <c r="F5079" s="193"/>
    </row>
    <row r="5080" spans="6:6" x14ac:dyDescent="0.3">
      <c r="F5080" s="193"/>
    </row>
    <row r="5081" spans="6:6" x14ac:dyDescent="0.3">
      <c r="F5081" s="193"/>
    </row>
    <row r="5082" spans="6:6" x14ac:dyDescent="0.3">
      <c r="F5082" s="193"/>
    </row>
    <row r="5083" spans="6:6" x14ac:dyDescent="0.3">
      <c r="F5083" s="193"/>
    </row>
    <row r="5084" spans="6:6" x14ac:dyDescent="0.3">
      <c r="F5084" s="193"/>
    </row>
    <row r="5085" spans="6:6" x14ac:dyDescent="0.3">
      <c r="F5085" s="193"/>
    </row>
    <row r="5086" spans="6:6" x14ac:dyDescent="0.3">
      <c r="F5086" s="193"/>
    </row>
    <row r="5087" spans="6:6" x14ac:dyDescent="0.3">
      <c r="F5087" s="193"/>
    </row>
    <row r="5088" spans="6:6" x14ac:dyDescent="0.3">
      <c r="F5088" s="193"/>
    </row>
    <row r="5089" spans="6:6" x14ac:dyDescent="0.3">
      <c r="F5089" s="193"/>
    </row>
    <row r="5090" spans="6:6" x14ac:dyDescent="0.3">
      <c r="F5090" s="193"/>
    </row>
    <row r="5091" spans="6:6" x14ac:dyDescent="0.3">
      <c r="F5091" s="193"/>
    </row>
    <row r="5092" spans="6:6" x14ac:dyDescent="0.3">
      <c r="F5092" s="193"/>
    </row>
    <row r="5093" spans="6:6" x14ac:dyDescent="0.3">
      <c r="F5093" s="193"/>
    </row>
    <row r="5094" spans="6:6" x14ac:dyDescent="0.3">
      <c r="F5094" s="193"/>
    </row>
    <row r="5095" spans="6:6" x14ac:dyDescent="0.3">
      <c r="F5095" s="193"/>
    </row>
    <row r="5096" spans="6:6" x14ac:dyDescent="0.3">
      <c r="F5096" s="193"/>
    </row>
    <row r="5097" spans="6:6" x14ac:dyDescent="0.3">
      <c r="F5097" s="193"/>
    </row>
    <row r="5098" spans="6:6" x14ac:dyDescent="0.3">
      <c r="F5098" s="193"/>
    </row>
    <row r="5099" spans="6:6" x14ac:dyDescent="0.3">
      <c r="F5099" s="193"/>
    </row>
    <row r="5100" spans="6:6" x14ac:dyDescent="0.3">
      <c r="F5100" s="193"/>
    </row>
    <row r="5101" spans="6:6" x14ac:dyDescent="0.3">
      <c r="F5101" s="193"/>
    </row>
    <row r="5102" spans="6:6" x14ac:dyDescent="0.3">
      <c r="F5102" s="193"/>
    </row>
    <row r="5103" spans="6:6" x14ac:dyDescent="0.3">
      <c r="F5103" s="193"/>
    </row>
    <row r="5104" spans="6:6" x14ac:dyDescent="0.3">
      <c r="F5104" s="193"/>
    </row>
    <row r="5105" spans="6:6" x14ac:dyDescent="0.3">
      <c r="F5105" s="193"/>
    </row>
    <row r="5106" spans="6:6" x14ac:dyDescent="0.3">
      <c r="F5106" s="193"/>
    </row>
    <row r="5107" spans="6:6" x14ac:dyDescent="0.3">
      <c r="F5107" s="193"/>
    </row>
    <row r="5108" spans="6:6" x14ac:dyDescent="0.3">
      <c r="F5108" s="193"/>
    </row>
    <row r="5109" spans="6:6" x14ac:dyDescent="0.3">
      <c r="F5109" s="193"/>
    </row>
    <row r="5110" spans="6:6" x14ac:dyDescent="0.3">
      <c r="F5110" s="193"/>
    </row>
    <row r="5111" spans="6:6" x14ac:dyDescent="0.3">
      <c r="F5111" s="193"/>
    </row>
    <row r="5112" spans="6:6" x14ac:dyDescent="0.3">
      <c r="F5112" s="193"/>
    </row>
    <row r="5113" spans="6:6" x14ac:dyDescent="0.3">
      <c r="F5113" s="193"/>
    </row>
    <row r="5114" spans="6:6" x14ac:dyDescent="0.3">
      <c r="F5114" s="193"/>
    </row>
    <row r="5115" spans="6:6" x14ac:dyDescent="0.3">
      <c r="F5115" s="193"/>
    </row>
    <row r="5116" spans="6:6" x14ac:dyDescent="0.3">
      <c r="F5116" s="193"/>
    </row>
    <row r="5117" spans="6:6" x14ac:dyDescent="0.3">
      <c r="F5117" s="193"/>
    </row>
    <row r="5118" spans="6:6" x14ac:dyDescent="0.3">
      <c r="F5118" s="193"/>
    </row>
    <row r="5119" spans="6:6" x14ac:dyDescent="0.3">
      <c r="F5119" s="193"/>
    </row>
    <row r="5120" spans="6:6" x14ac:dyDescent="0.3">
      <c r="F5120" s="193"/>
    </row>
    <row r="5121" spans="6:6" x14ac:dyDescent="0.3">
      <c r="F5121" s="193"/>
    </row>
    <row r="5122" spans="6:6" x14ac:dyDescent="0.3">
      <c r="F5122" s="193"/>
    </row>
    <row r="5123" spans="6:6" x14ac:dyDescent="0.3">
      <c r="F5123" s="193"/>
    </row>
    <row r="5124" spans="6:6" x14ac:dyDescent="0.3">
      <c r="F5124" s="193"/>
    </row>
    <row r="5125" spans="6:6" x14ac:dyDescent="0.3">
      <c r="F5125" s="193"/>
    </row>
    <row r="5126" spans="6:6" x14ac:dyDescent="0.3">
      <c r="F5126" s="193"/>
    </row>
    <row r="5127" spans="6:6" x14ac:dyDescent="0.3">
      <c r="F5127" s="193"/>
    </row>
    <row r="5128" spans="6:6" x14ac:dyDescent="0.3">
      <c r="F5128" s="193"/>
    </row>
    <row r="5129" spans="6:6" x14ac:dyDescent="0.3">
      <c r="F5129" s="193"/>
    </row>
    <row r="5130" spans="6:6" x14ac:dyDescent="0.3">
      <c r="F5130" s="193"/>
    </row>
    <row r="5131" spans="6:6" x14ac:dyDescent="0.3">
      <c r="F5131" s="193"/>
    </row>
    <row r="5132" spans="6:6" x14ac:dyDescent="0.3">
      <c r="F5132" s="193"/>
    </row>
    <row r="5133" spans="6:6" x14ac:dyDescent="0.3">
      <c r="F5133" s="193"/>
    </row>
    <row r="5134" spans="6:6" x14ac:dyDescent="0.3">
      <c r="F5134" s="193"/>
    </row>
    <row r="5135" spans="6:6" x14ac:dyDescent="0.3">
      <c r="F5135" s="193"/>
    </row>
    <row r="5136" spans="6:6" x14ac:dyDescent="0.3">
      <c r="F5136" s="193"/>
    </row>
    <row r="5137" spans="6:6" x14ac:dyDescent="0.3">
      <c r="F5137" s="193"/>
    </row>
    <row r="5138" spans="6:6" x14ac:dyDescent="0.3">
      <c r="F5138" s="193"/>
    </row>
    <row r="5139" spans="6:6" x14ac:dyDescent="0.3">
      <c r="F5139" s="193"/>
    </row>
    <row r="5140" spans="6:6" x14ac:dyDescent="0.3">
      <c r="F5140" s="193"/>
    </row>
    <row r="5141" spans="6:6" x14ac:dyDescent="0.3">
      <c r="F5141" s="193"/>
    </row>
    <row r="5142" spans="6:6" x14ac:dyDescent="0.3">
      <c r="F5142" s="193"/>
    </row>
    <row r="5143" spans="6:6" x14ac:dyDescent="0.3">
      <c r="F5143" s="193"/>
    </row>
    <row r="5144" spans="6:6" x14ac:dyDescent="0.3">
      <c r="F5144" s="193"/>
    </row>
    <row r="5145" spans="6:6" x14ac:dyDescent="0.3">
      <c r="F5145" s="193"/>
    </row>
    <row r="5146" spans="6:6" x14ac:dyDescent="0.3">
      <c r="F5146" s="193"/>
    </row>
    <row r="5147" spans="6:6" x14ac:dyDescent="0.3">
      <c r="F5147" s="193"/>
    </row>
    <row r="5148" spans="6:6" x14ac:dyDescent="0.3">
      <c r="F5148" s="193"/>
    </row>
    <row r="5149" spans="6:6" x14ac:dyDescent="0.3">
      <c r="F5149" s="193"/>
    </row>
    <row r="5150" spans="6:6" x14ac:dyDescent="0.3">
      <c r="F5150" s="193"/>
    </row>
    <row r="5151" spans="6:6" x14ac:dyDescent="0.3">
      <c r="F5151" s="193"/>
    </row>
    <row r="5152" spans="6:6" x14ac:dyDescent="0.3">
      <c r="F5152" s="193"/>
    </row>
    <row r="5153" spans="6:6" x14ac:dyDescent="0.3">
      <c r="F5153" s="193"/>
    </row>
    <row r="5154" spans="6:6" x14ac:dyDescent="0.3">
      <c r="F5154" s="193"/>
    </row>
    <row r="5155" spans="6:6" x14ac:dyDescent="0.3">
      <c r="F5155" s="193"/>
    </row>
    <row r="5156" spans="6:6" x14ac:dyDescent="0.3">
      <c r="F5156" s="193"/>
    </row>
    <row r="5157" spans="6:6" x14ac:dyDescent="0.3">
      <c r="F5157" s="193"/>
    </row>
    <row r="5158" spans="6:6" x14ac:dyDescent="0.3">
      <c r="F5158" s="193"/>
    </row>
    <row r="5159" spans="6:6" x14ac:dyDescent="0.3">
      <c r="F5159" s="193"/>
    </row>
    <row r="5160" spans="6:6" x14ac:dyDescent="0.3">
      <c r="F5160" s="193"/>
    </row>
    <row r="5161" spans="6:6" x14ac:dyDescent="0.3">
      <c r="F5161" s="193"/>
    </row>
    <row r="5162" spans="6:6" x14ac:dyDescent="0.3">
      <c r="F5162" s="193"/>
    </row>
    <row r="5163" spans="6:6" x14ac:dyDescent="0.3">
      <c r="F5163" s="193"/>
    </row>
    <row r="5164" spans="6:6" x14ac:dyDescent="0.3">
      <c r="F5164" s="193"/>
    </row>
    <row r="5165" spans="6:6" x14ac:dyDescent="0.3">
      <c r="F5165" s="193"/>
    </row>
    <row r="5166" spans="6:6" x14ac:dyDescent="0.3">
      <c r="F5166" s="193"/>
    </row>
    <row r="5167" spans="6:6" x14ac:dyDescent="0.3">
      <c r="F5167" s="193"/>
    </row>
    <row r="5168" spans="6:6" x14ac:dyDescent="0.3">
      <c r="F5168" s="193"/>
    </row>
    <row r="5169" spans="6:6" x14ac:dyDescent="0.3">
      <c r="F5169" s="193"/>
    </row>
    <row r="5170" spans="6:6" x14ac:dyDescent="0.3">
      <c r="F5170" s="193"/>
    </row>
    <row r="5171" spans="6:6" x14ac:dyDescent="0.3">
      <c r="F5171" s="193"/>
    </row>
    <row r="5172" spans="6:6" x14ac:dyDescent="0.3">
      <c r="F5172" s="193"/>
    </row>
    <row r="5173" spans="6:6" x14ac:dyDescent="0.3">
      <c r="F5173" s="193"/>
    </row>
    <row r="5174" spans="6:6" x14ac:dyDescent="0.3">
      <c r="F5174" s="193"/>
    </row>
    <row r="5175" spans="6:6" x14ac:dyDescent="0.3">
      <c r="F5175" s="193"/>
    </row>
    <row r="5176" spans="6:6" x14ac:dyDescent="0.3">
      <c r="F5176" s="193"/>
    </row>
    <row r="5177" spans="6:6" x14ac:dyDescent="0.3">
      <c r="F5177" s="193"/>
    </row>
    <row r="5178" spans="6:6" x14ac:dyDescent="0.3">
      <c r="F5178" s="193"/>
    </row>
    <row r="5179" spans="6:6" x14ac:dyDescent="0.3">
      <c r="F5179" s="193"/>
    </row>
    <row r="5180" spans="6:6" x14ac:dyDescent="0.3">
      <c r="F5180" s="193"/>
    </row>
    <row r="5181" spans="6:6" x14ac:dyDescent="0.3">
      <c r="F5181" s="193"/>
    </row>
    <row r="5182" spans="6:6" x14ac:dyDescent="0.3">
      <c r="F5182" s="193"/>
    </row>
    <row r="5183" spans="6:6" x14ac:dyDescent="0.3">
      <c r="F5183" s="193"/>
    </row>
    <row r="5184" spans="6:6" x14ac:dyDescent="0.3">
      <c r="F5184" s="193"/>
    </row>
    <row r="5185" spans="6:6" x14ac:dyDescent="0.3">
      <c r="F5185" s="193"/>
    </row>
    <row r="5186" spans="6:6" x14ac:dyDescent="0.3">
      <c r="F5186" s="193"/>
    </row>
    <row r="5187" spans="6:6" x14ac:dyDescent="0.3">
      <c r="F5187" s="193"/>
    </row>
    <row r="5188" spans="6:6" x14ac:dyDescent="0.3">
      <c r="F5188" s="193"/>
    </row>
    <row r="5189" spans="6:6" x14ac:dyDescent="0.3">
      <c r="F5189" s="193"/>
    </row>
    <row r="5190" spans="6:6" x14ac:dyDescent="0.3">
      <c r="F5190" s="193"/>
    </row>
    <row r="5191" spans="6:6" x14ac:dyDescent="0.3">
      <c r="F5191" s="193"/>
    </row>
    <row r="5192" spans="6:6" x14ac:dyDescent="0.3">
      <c r="F5192" s="193"/>
    </row>
    <row r="5193" spans="6:6" x14ac:dyDescent="0.3">
      <c r="F5193" s="193"/>
    </row>
    <row r="5194" spans="6:6" x14ac:dyDescent="0.3">
      <c r="F5194" s="193"/>
    </row>
    <row r="5195" spans="6:6" x14ac:dyDescent="0.3">
      <c r="F5195" s="193"/>
    </row>
    <row r="5196" spans="6:6" x14ac:dyDescent="0.3">
      <c r="F5196" s="193"/>
    </row>
    <row r="5197" spans="6:6" x14ac:dyDescent="0.3">
      <c r="F5197" s="193"/>
    </row>
    <row r="5198" spans="6:6" x14ac:dyDescent="0.3">
      <c r="F5198" s="193"/>
    </row>
    <row r="5199" spans="6:6" x14ac:dyDescent="0.3">
      <c r="F5199" s="193"/>
    </row>
    <row r="5200" spans="6:6" x14ac:dyDescent="0.3">
      <c r="F5200" s="193"/>
    </row>
    <row r="5201" spans="6:6" x14ac:dyDescent="0.3">
      <c r="F5201" s="193"/>
    </row>
    <row r="5202" spans="6:6" x14ac:dyDescent="0.3">
      <c r="F5202" s="193"/>
    </row>
    <row r="5203" spans="6:6" x14ac:dyDescent="0.3">
      <c r="F5203" s="193"/>
    </row>
    <row r="5204" spans="6:6" x14ac:dyDescent="0.3">
      <c r="F5204" s="193"/>
    </row>
    <row r="5205" spans="6:6" x14ac:dyDescent="0.3">
      <c r="F5205" s="193"/>
    </row>
    <row r="5206" spans="6:6" x14ac:dyDescent="0.3">
      <c r="F5206" s="193"/>
    </row>
    <row r="5207" spans="6:6" x14ac:dyDescent="0.3">
      <c r="F5207" s="193"/>
    </row>
    <row r="5208" spans="6:6" x14ac:dyDescent="0.3">
      <c r="F5208" s="193"/>
    </row>
    <row r="5209" spans="6:6" x14ac:dyDescent="0.3">
      <c r="F5209" s="193"/>
    </row>
    <row r="5210" spans="6:6" x14ac:dyDescent="0.3">
      <c r="F5210" s="193"/>
    </row>
    <row r="5211" spans="6:6" x14ac:dyDescent="0.3">
      <c r="F5211" s="193"/>
    </row>
    <row r="5212" spans="6:6" x14ac:dyDescent="0.3">
      <c r="F5212" s="193"/>
    </row>
    <row r="5213" spans="6:6" x14ac:dyDescent="0.3">
      <c r="F5213" s="193"/>
    </row>
    <row r="5214" spans="6:6" x14ac:dyDescent="0.3">
      <c r="F5214" s="193"/>
    </row>
    <row r="5215" spans="6:6" x14ac:dyDescent="0.3">
      <c r="F5215" s="193"/>
    </row>
    <row r="5216" spans="6:6" x14ac:dyDescent="0.3">
      <c r="F5216" s="193"/>
    </row>
    <row r="5217" spans="6:6" x14ac:dyDescent="0.3">
      <c r="F5217" s="193"/>
    </row>
    <row r="5218" spans="6:6" x14ac:dyDescent="0.3">
      <c r="F5218" s="193"/>
    </row>
    <row r="5219" spans="6:6" x14ac:dyDescent="0.3">
      <c r="F5219" s="193"/>
    </row>
    <row r="5220" spans="6:6" x14ac:dyDescent="0.3">
      <c r="F5220" s="193"/>
    </row>
    <row r="5221" spans="6:6" x14ac:dyDescent="0.3">
      <c r="F5221" s="193"/>
    </row>
    <row r="5222" spans="6:6" x14ac:dyDescent="0.3">
      <c r="F5222" s="193"/>
    </row>
    <row r="5223" spans="6:6" x14ac:dyDescent="0.3">
      <c r="F5223" s="193"/>
    </row>
    <row r="5224" spans="6:6" x14ac:dyDescent="0.3">
      <c r="F5224" s="193"/>
    </row>
    <row r="5225" spans="6:6" x14ac:dyDescent="0.3">
      <c r="F5225" s="193"/>
    </row>
    <row r="5226" spans="6:6" x14ac:dyDescent="0.3">
      <c r="F5226" s="193"/>
    </row>
    <row r="5227" spans="6:6" x14ac:dyDescent="0.3">
      <c r="F5227" s="193"/>
    </row>
    <row r="5228" spans="6:6" x14ac:dyDescent="0.3">
      <c r="F5228" s="193"/>
    </row>
    <row r="5229" spans="6:6" x14ac:dyDescent="0.3">
      <c r="F5229" s="193"/>
    </row>
    <row r="5230" spans="6:6" x14ac:dyDescent="0.3">
      <c r="F5230" s="193"/>
    </row>
    <row r="5231" spans="6:6" x14ac:dyDescent="0.3">
      <c r="F5231" s="193"/>
    </row>
    <row r="5232" spans="6:6" x14ac:dyDescent="0.3">
      <c r="F5232" s="193"/>
    </row>
    <row r="5233" spans="6:6" x14ac:dyDescent="0.3">
      <c r="F5233" s="193"/>
    </row>
    <row r="5234" spans="6:6" x14ac:dyDescent="0.3">
      <c r="F5234" s="193"/>
    </row>
    <row r="5235" spans="6:6" x14ac:dyDescent="0.3">
      <c r="F5235" s="193"/>
    </row>
    <row r="5236" spans="6:6" x14ac:dyDescent="0.3">
      <c r="F5236" s="193"/>
    </row>
    <row r="5237" spans="6:6" x14ac:dyDescent="0.3">
      <c r="F5237" s="193"/>
    </row>
    <row r="5238" spans="6:6" x14ac:dyDescent="0.3">
      <c r="F5238" s="193"/>
    </row>
    <row r="5239" spans="6:6" x14ac:dyDescent="0.3">
      <c r="F5239" s="193"/>
    </row>
    <row r="5240" spans="6:6" x14ac:dyDescent="0.3">
      <c r="F5240" s="193"/>
    </row>
    <row r="5241" spans="6:6" x14ac:dyDescent="0.3">
      <c r="F5241" s="193"/>
    </row>
    <row r="5242" spans="6:6" x14ac:dyDescent="0.3">
      <c r="F5242" s="193"/>
    </row>
    <row r="5243" spans="6:6" x14ac:dyDescent="0.3">
      <c r="F5243" s="193"/>
    </row>
    <row r="5244" spans="6:6" x14ac:dyDescent="0.3">
      <c r="F5244" s="193"/>
    </row>
    <row r="5245" spans="6:6" x14ac:dyDescent="0.3">
      <c r="F5245" s="193"/>
    </row>
    <row r="5246" spans="6:6" x14ac:dyDescent="0.3">
      <c r="F5246" s="193"/>
    </row>
    <row r="5247" spans="6:6" x14ac:dyDescent="0.3">
      <c r="F5247" s="193"/>
    </row>
    <row r="5248" spans="6:6" x14ac:dyDescent="0.3">
      <c r="F5248" s="193"/>
    </row>
    <row r="5249" spans="6:6" x14ac:dyDescent="0.3">
      <c r="F5249" s="193"/>
    </row>
    <row r="5250" spans="6:6" x14ac:dyDescent="0.3">
      <c r="F5250" s="193"/>
    </row>
    <row r="5251" spans="6:6" x14ac:dyDescent="0.3">
      <c r="F5251" s="193"/>
    </row>
    <row r="5252" spans="6:6" x14ac:dyDescent="0.3">
      <c r="F5252" s="193"/>
    </row>
    <row r="5253" spans="6:6" x14ac:dyDescent="0.3">
      <c r="F5253" s="193"/>
    </row>
    <row r="5254" spans="6:6" x14ac:dyDescent="0.3">
      <c r="F5254" s="193"/>
    </row>
    <row r="5255" spans="6:6" x14ac:dyDescent="0.3">
      <c r="F5255" s="193"/>
    </row>
    <row r="5256" spans="6:6" x14ac:dyDescent="0.3">
      <c r="F5256" s="193"/>
    </row>
    <row r="5257" spans="6:6" x14ac:dyDescent="0.3">
      <c r="F5257" s="193"/>
    </row>
    <row r="5258" spans="6:6" x14ac:dyDescent="0.3">
      <c r="F5258" s="193"/>
    </row>
    <row r="5259" spans="6:6" x14ac:dyDescent="0.3">
      <c r="F5259" s="193"/>
    </row>
    <row r="5260" spans="6:6" x14ac:dyDescent="0.3">
      <c r="F5260" s="193"/>
    </row>
    <row r="5261" spans="6:6" x14ac:dyDescent="0.3">
      <c r="F5261" s="193"/>
    </row>
    <row r="5262" spans="6:6" x14ac:dyDescent="0.3">
      <c r="F5262" s="193"/>
    </row>
    <row r="5263" spans="6:6" x14ac:dyDescent="0.3">
      <c r="F5263" s="193"/>
    </row>
    <row r="5264" spans="6:6" x14ac:dyDescent="0.3">
      <c r="F5264" s="193"/>
    </row>
    <row r="5265" spans="6:6" x14ac:dyDescent="0.3">
      <c r="F5265" s="193"/>
    </row>
    <row r="5266" spans="6:6" x14ac:dyDescent="0.3">
      <c r="F5266" s="193"/>
    </row>
    <row r="5267" spans="6:6" x14ac:dyDescent="0.3">
      <c r="F5267" s="193"/>
    </row>
    <row r="5268" spans="6:6" x14ac:dyDescent="0.3">
      <c r="F5268" s="193"/>
    </row>
    <row r="5269" spans="6:6" x14ac:dyDescent="0.3">
      <c r="F5269" s="193"/>
    </row>
    <row r="5270" spans="6:6" x14ac:dyDescent="0.3">
      <c r="F5270" s="193"/>
    </row>
    <row r="5271" spans="6:6" x14ac:dyDescent="0.3">
      <c r="F5271" s="193"/>
    </row>
    <row r="5272" spans="6:6" x14ac:dyDescent="0.3">
      <c r="F5272" s="193"/>
    </row>
    <row r="5273" spans="6:6" x14ac:dyDescent="0.3">
      <c r="F5273" s="193"/>
    </row>
    <row r="5274" spans="6:6" x14ac:dyDescent="0.3">
      <c r="F5274" s="193"/>
    </row>
    <row r="5275" spans="6:6" x14ac:dyDescent="0.3">
      <c r="F5275" s="193"/>
    </row>
    <row r="5276" spans="6:6" x14ac:dyDescent="0.3">
      <c r="F5276" s="193"/>
    </row>
    <row r="5277" spans="6:6" x14ac:dyDescent="0.3">
      <c r="F5277" s="193"/>
    </row>
    <row r="5278" spans="6:6" x14ac:dyDescent="0.3">
      <c r="F5278" s="193"/>
    </row>
    <row r="5279" spans="6:6" x14ac:dyDescent="0.3">
      <c r="F5279" s="193"/>
    </row>
    <row r="5280" spans="6:6" x14ac:dyDescent="0.3">
      <c r="F5280" s="193"/>
    </row>
    <row r="5281" spans="6:6" x14ac:dyDescent="0.3">
      <c r="F5281" s="193"/>
    </row>
    <row r="5282" spans="6:6" x14ac:dyDescent="0.3">
      <c r="F5282" s="193"/>
    </row>
    <row r="5283" spans="6:6" x14ac:dyDescent="0.3">
      <c r="F5283" s="193"/>
    </row>
    <row r="5284" spans="6:6" x14ac:dyDescent="0.3">
      <c r="F5284" s="193"/>
    </row>
    <row r="5285" spans="6:6" x14ac:dyDescent="0.3">
      <c r="F5285" s="193"/>
    </row>
    <row r="5286" spans="6:6" x14ac:dyDescent="0.3">
      <c r="F5286" s="193"/>
    </row>
    <row r="5287" spans="6:6" x14ac:dyDescent="0.3">
      <c r="F5287" s="193"/>
    </row>
    <row r="5288" spans="6:6" x14ac:dyDescent="0.3">
      <c r="F5288" s="193"/>
    </row>
    <row r="5289" spans="6:6" x14ac:dyDescent="0.3">
      <c r="F5289" s="193"/>
    </row>
    <row r="5290" spans="6:6" x14ac:dyDescent="0.3">
      <c r="F5290" s="193"/>
    </row>
    <row r="5291" spans="6:6" x14ac:dyDescent="0.3">
      <c r="F5291" s="193"/>
    </row>
    <row r="5292" spans="6:6" x14ac:dyDescent="0.3">
      <c r="F5292" s="193"/>
    </row>
    <row r="5293" spans="6:6" x14ac:dyDescent="0.3">
      <c r="F5293" s="193"/>
    </row>
    <row r="5294" spans="6:6" x14ac:dyDescent="0.3">
      <c r="F5294" s="193"/>
    </row>
    <row r="5295" spans="6:6" x14ac:dyDescent="0.3">
      <c r="F5295" s="193"/>
    </row>
    <row r="5296" spans="6:6" x14ac:dyDescent="0.3">
      <c r="F5296" s="193"/>
    </row>
    <row r="5297" spans="6:6" x14ac:dyDescent="0.3">
      <c r="F5297" s="193"/>
    </row>
    <row r="5298" spans="6:6" x14ac:dyDescent="0.3">
      <c r="F5298" s="193"/>
    </row>
    <row r="5299" spans="6:6" x14ac:dyDescent="0.3">
      <c r="F5299" s="193"/>
    </row>
    <row r="5300" spans="6:6" x14ac:dyDescent="0.3">
      <c r="F5300" s="193"/>
    </row>
    <row r="5301" spans="6:6" x14ac:dyDescent="0.3">
      <c r="F5301" s="193"/>
    </row>
    <row r="5302" spans="6:6" x14ac:dyDescent="0.3">
      <c r="F5302" s="193"/>
    </row>
    <row r="5303" spans="6:6" x14ac:dyDescent="0.3">
      <c r="F5303" s="193"/>
    </row>
    <row r="5304" spans="6:6" x14ac:dyDescent="0.3">
      <c r="F5304" s="193"/>
    </row>
    <row r="5305" spans="6:6" x14ac:dyDescent="0.3">
      <c r="F5305" s="193"/>
    </row>
    <row r="5306" spans="6:6" x14ac:dyDescent="0.3">
      <c r="F5306" s="193"/>
    </row>
    <row r="5307" spans="6:6" x14ac:dyDescent="0.3">
      <c r="F5307" s="193"/>
    </row>
    <row r="5308" spans="6:6" x14ac:dyDescent="0.3">
      <c r="F5308" s="193"/>
    </row>
    <row r="5309" spans="6:6" x14ac:dyDescent="0.3">
      <c r="F5309" s="193"/>
    </row>
    <row r="5310" spans="6:6" x14ac:dyDescent="0.3">
      <c r="F5310" s="193"/>
    </row>
    <row r="5311" spans="6:6" x14ac:dyDescent="0.3">
      <c r="F5311" s="193"/>
    </row>
    <row r="5312" spans="6:6" x14ac:dyDescent="0.3">
      <c r="F5312" s="193"/>
    </row>
    <row r="5313" spans="6:6" x14ac:dyDescent="0.3">
      <c r="F5313" s="193"/>
    </row>
    <row r="5314" spans="6:6" x14ac:dyDescent="0.3">
      <c r="F5314" s="193"/>
    </row>
    <row r="5315" spans="6:6" x14ac:dyDescent="0.3">
      <c r="F5315" s="193"/>
    </row>
    <row r="5316" spans="6:6" x14ac:dyDescent="0.3">
      <c r="F5316" s="193"/>
    </row>
    <row r="5317" spans="6:6" x14ac:dyDescent="0.3">
      <c r="F5317" s="193"/>
    </row>
    <row r="5318" spans="6:6" x14ac:dyDescent="0.3">
      <c r="F5318" s="193"/>
    </row>
    <row r="5319" spans="6:6" x14ac:dyDescent="0.3">
      <c r="F5319" s="193"/>
    </row>
    <row r="5320" spans="6:6" x14ac:dyDescent="0.3">
      <c r="F5320" s="193"/>
    </row>
    <row r="5321" spans="6:6" x14ac:dyDescent="0.3">
      <c r="F5321" s="193"/>
    </row>
    <row r="5322" spans="6:6" x14ac:dyDescent="0.3">
      <c r="F5322" s="193"/>
    </row>
    <row r="5323" spans="6:6" x14ac:dyDescent="0.3">
      <c r="F5323" s="193"/>
    </row>
    <row r="5324" spans="6:6" x14ac:dyDescent="0.3">
      <c r="F5324" s="193"/>
    </row>
    <row r="5325" spans="6:6" x14ac:dyDescent="0.3">
      <c r="F5325" s="193"/>
    </row>
    <row r="5326" spans="6:6" x14ac:dyDescent="0.3">
      <c r="F5326" s="193"/>
    </row>
    <row r="5327" spans="6:6" x14ac:dyDescent="0.3">
      <c r="F5327" s="193"/>
    </row>
    <row r="5328" spans="6:6" x14ac:dyDescent="0.3">
      <c r="F5328" s="193"/>
    </row>
    <row r="5329" spans="6:6" x14ac:dyDescent="0.3">
      <c r="F5329" s="193"/>
    </row>
    <row r="5330" spans="6:6" x14ac:dyDescent="0.3">
      <c r="F5330" s="193"/>
    </row>
    <row r="5331" spans="6:6" x14ac:dyDescent="0.3">
      <c r="F5331" s="193"/>
    </row>
    <row r="5332" spans="6:6" x14ac:dyDescent="0.3">
      <c r="F5332" s="193"/>
    </row>
    <row r="5333" spans="6:6" x14ac:dyDescent="0.3">
      <c r="F5333" s="193"/>
    </row>
    <row r="5334" spans="6:6" x14ac:dyDescent="0.3">
      <c r="F5334" s="193"/>
    </row>
    <row r="5335" spans="6:6" x14ac:dyDescent="0.3">
      <c r="F5335" s="193"/>
    </row>
    <row r="5336" spans="6:6" x14ac:dyDescent="0.3">
      <c r="F5336" s="193"/>
    </row>
    <row r="5337" spans="6:6" x14ac:dyDescent="0.3">
      <c r="F5337" s="193"/>
    </row>
    <row r="5338" spans="6:6" x14ac:dyDescent="0.3">
      <c r="F5338" s="193"/>
    </row>
    <row r="5339" spans="6:6" x14ac:dyDescent="0.3">
      <c r="F5339" s="193"/>
    </row>
    <row r="5340" spans="6:6" x14ac:dyDescent="0.3">
      <c r="F5340" s="193"/>
    </row>
    <row r="5341" spans="6:6" x14ac:dyDescent="0.3">
      <c r="F5341" s="193"/>
    </row>
    <row r="5342" spans="6:6" x14ac:dyDescent="0.3">
      <c r="F5342" s="193"/>
    </row>
    <row r="5343" spans="6:6" x14ac:dyDescent="0.3">
      <c r="F5343" s="193"/>
    </row>
    <row r="5344" spans="6:6" x14ac:dyDescent="0.3">
      <c r="F5344" s="193"/>
    </row>
    <row r="5345" spans="6:6" x14ac:dyDescent="0.3">
      <c r="F5345" s="193"/>
    </row>
    <row r="5346" spans="6:6" x14ac:dyDescent="0.3">
      <c r="F5346" s="193"/>
    </row>
    <row r="5347" spans="6:6" x14ac:dyDescent="0.3">
      <c r="F5347" s="193"/>
    </row>
    <row r="5348" spans="6:6" x14ac:dyDescent="0.3">
      <c r="F5348" s="193"/>
    </row>
    <row r="5349" spans="6:6" x14ac:dyDescent="0.3">
      <c r="F5349" s="193"/>
    </row>
    <row r="5350" spans="6:6" x14ac:dyDescent="0.3">
      <c r="F5350" s="193"/>
    </row>
    <row r="5351" spans="6:6" x14ac:dyDescent="0.3">
      <c r="F5351" s="193"/>
    </row>
    <row r="5352" spans="6:6" x14ac:dyDescent="0.3">
      <c r="F5352" s="193"/>
    </row>
    <row r="5353" spans="6:6" x14ac:dyDescent="0.3">
      <c r="F5353" s="193"/>
    </row>
    <row r="5354" spans="6:6" x14ac:dyDescent="0.3">
      <c r="F5354" s="193"/>
    </row>
    <row r="5355" spans="6:6" x14ac:dyDescent="0.3">
      <c r="F5355" s="193"/>
    </row>
    <row r="5356" spans="6:6" x14ac:dyDescent="0.3">
      <c r="F5356" s="193"/>
    </row>
    <row r="5357" spans="6:6" x14ac:dyDescent="0.3">
      <c r="F5357" s="193"/>
    </row>
    <row r="5358" spans="6:6" x14ac:dyDescent="0.3">
      <c r="F5358" s="193"/>
    </row>
    <row r="5359" spans="6:6" x14ac:dyDescent="0.3">
      <c r="F5359" s="193"/>
    </row>
    <row r="5360" spans="6:6" x14ac:dyDescent="0.3">
      <c r="F5360" s="193"/>
    </row>
    <row r="5361" spans="6:6" x14ac:dyDescent="0.3">
      <c r="F5361" s="193"/>
    </row>
    <row r="5362" spans="6:6" x14ac:dyDescent="0.3">
      <c r="F5362" s="193"/>
    </row>
    <row r="5363" spans="6:6" x14ac:dyDescent="0.3">
      <c r="F5363" s="193"/>
    </row>
    <row r="5364" spans="6:6" x14ac:dyDescent="0.3">
      <c r="F5364" s="193"/>
    </row>
    <row r="5365" spans="6:6" x14ac:dyDescent="0.3">
      <c r="F5365" s="193"/>
    </row>
    <row r="5366" spans="6:6" x14ac:dyDescent="0.3">
      <c r="F5366" s="193"/>
    </row>
    <row r="5367" spans="6:6" x14ac:dyDescent="0.3">
      <c r="F5367" s="193"/>
    </row>
    <row r="5368" spans="6:6" x14ac:dyDescent="0.3">
      <c r="F5368" s="193"/>
    </row>
    <row r="5369" spans="6:6" x14ac:dyDescent="0.3">
      <c r="F5369" s="193"/>
    </row>
    <row r="5370" spans="6:6" x14ac:dyDescent="0.3">
      <c r="F5370" s="193"/>
    </row>
    <row r="5371" spans="6:6" x14ac:dyDescent="0.3">
      <c r="F5371" s="193"/>
    </row>
    <row r="5372" spans="6:6" x14ac:dyDescent="0.3">
      <c r="F5372" s="193"/>
    </row>
    <row r="5373" spans="6:6" x14ac:dyDescent="0.3">
      <c r="F5373" s="193"/>
    </row>
    <row r="5374" spans="6:6" x14ac:dyDescent="0.3">
      <c r="F5374" s="193"/>
    </row>
    <row r="5375" spans="6:6" x14ac:dyDescent="0.3">
      <c r="F5375" s="193"/>
    </row>
    <row r="5376" spans="6:6" x14ac:dyDescent="0.3">
      <c r="F5376" s="193"/>
    </row>
    <row r="5377" spans="6:6" x14ac:dyDescent="0.3">
      <c r="F5377" s="193"/>
    </row>
    <row r="5378" spans="6:6" x14ac:dyDescent="0.3">
      <c r="F5378" s="193"/>
    </row>
    <row r="5379" spans="6:6" x14ac:dyDescent="0.3">
      <c r="F5379" s="193"/>
    </row>
    <row r="5380" spans="6:6" x14ac:dyDescent="0.3">
      <c r="F5380" s="193"/>
    </row>
    <row r="5381" spans="6:6" x14ac:dyDescent="0.3">
      <c r="F5381" s="193"/>
    </row>
    <row r="5382" spans="6:6" x14ac:dyDescent="0.3">
      <c r="F5382" s="193"/>
    </row>
    <row r="5383" spans="6:6" x14ac:dyDescent="0.3">
      <c r="F5383" s="193"/>
    </row>
    <row r="5384" spans="6:6" x14ac:dyDescent="0.3">
      <c r="F5384" s="193"/>
    </row>
    <row r="5385" spans="6:6" x14ac:dyDescent="0.3">
      <c r="F5385" s="193"/>
    </row>
    <row r="5386" spans="6:6" x14ac:dyDescent="0.3">
      <c r="F5386" s="193"/>
    </row>
    <row r="5387" spans="6:6" x14ac:dyDescent="0.3">
      <c r="F5387" s="193"/>
    </row>
    <row r="5388" spans="6:6" x14ac:dyDescent="0.3">
      <c r="F5388" s="193"/>
    </row>
    <row r="5389" spans="6:6" x14ac:dyDescent="0.3">
      <c r="F5389" s="193"/>
    </row>
    <row r="5390" spans="6:6" x14ac:dyDescent="0.3">
      <c r="F5390" s="193"/>
    </row>
    <row r="5391" spans="6:6" x14ac:dyDescent="0.3">
      <c r="F5391" s="193"/>
    </row>
    <row r="5392" spans="6:6" x14ac:dyDescent="0.3">
      <c r="F5392" s="193"/>
    </row>
    <row r="5393" spans="6:6" x14ac:dyDescent="0.3">
      <c r="F5393" s="193"/>
    </row>
    <row r="5394" spans="6:6" x14ac:dyDescent="0.3">
      <c r="F5394" s="193"/>
    </row>
    <row r="5395" spans="6:6" x14ac:dyDescent="0.3">
      <c r="F5395" s="193"/>
    </row>
    <row r="5396" spans="6:6" x14ac:dyDescent="0.3">
      <c r="F5396" s="193"/>
    </row>
    <row r="5397" spans="6:6" x14ac:dyDescent="0.3">
      <c r="F5397" s="193"/>
    </row>
    <row r="5398" spans="6:6" x14ac:dyDescent="0.3">
      <c r="F5398" s="193"/>
    </row>
    <row r="5399" spans="6:6" x14ac:dyDescent="0.3">
      <c r="F5399" s="193"/>
    </row>
    <row r="5400" spans="6:6" x14ac:dyDescent="0.3">
      <c r="F5400" s="193"/>
    </row>
    <row r="5401" spans="6:6" x14ac:dyDescent="0.3">
      <c r="F5401" s="193"/>
    </row>
    <row r="5402" spans="6:6" x14ac:dyDescent="0.3">
      <c r="F5402" s="193"/>
    </row>
    <row r="5403" spans="6:6" x14ac:dyDescent="0.3">
      <c r="F5403" s="193"/>
    </row>
    <row r="5404" spans="6:6" x14ac:dyDescent="0.3">
      <c r="F5404" s="193"/>
    </row>
    <row r="5405" spans="6:6" x14ac:dyDescent="0.3">
      <c r="F5405" s="193"/>
    </row>
    <row r="5406" spans="6:6" x14ac:dyDescent="0.3">
      <c r="F5406" s="193"/>
    </row>
    <row r="5407" spans="6:6" x14ac:dyDescent="0.3">
      <c r="F5407" s="193"/>
    </row>
    <row r="5408" spans="6:6" x14ac:dyDescent="0.3">
      <c r="F5408" s="193"/>
    </row>
    <row r="5409" spans="6:6" x14ac:dyDescent="0.3">
      <c r="F5409" s="193"/>
    </row>
    <row r="5410" spans="6:6" x14ac:dyDescent="0.3">
      <c r="F5410" s="193"/>
    </row>
    <row r="5411" spans="6:6" x14ac:dyDescent="0.3">
      <c r="F5411" s="193"/>
    </row>
    <row r="5412" spans="6:6" x14ac:dyDescent="0.3">
      <c r="F5412" s="193"/>
    </row>
    <row r="5413" spans="6:6" x14ac:dyDescent="0.3">
      <c r="F5413" s="193"/>
    </row>
    <row r="5414" spans="6:6" x14ac:dyDescent="0.3">
      <c r="F5414" s="193"/>
    </row>
    <row r="5415" spans="6:6" x14ac:dyDescent="0.3">
      <c r="F5415" s="193"/>
    </row>
    <row r="5416" spans="6:6" x14ac:dyDescent="0.3">
      <c r="F5416" s="193"/>
    </row>
    <row r="5417" spans="6:6" x14ac:dyDescent="0.3">
      <c r="F5417" s="193"/>
    </row>
    <row r="5418" spans="6:6" x14ac:dyDescent="0.3">
      <c r="F5418" s="193"/>
    </row>
    <row r="5419" spans="6:6" x14ac:dyDescent="0.3">
      <c r="F5419" s="193"/>
    </row>
    <row r="5420" spans="6:6" x14ac:dyDescent="0.3">
      <c r="F5420" s="193"/>
    </row>
    <row r="5421" spans="6:6" x14ac:dyDescent="0.3">
      <c r="F5421" s="193"/>
    </row>
    <row r="5422" spans="6:6" x14ac:dyDescent="0.3">
      <c r="F5422" s="193"/>
    </row>
    <row r="5423" spans="6:6" x14ac:dyDescent="0.3">
      <c r="F5423" s="193"/>
    </row>
    <row r="5424" spans="6:6" x14ac:dyDescent="0.3">
      <c r="F5424" s="193"/>
    </row>
    <row r="5425" spans="6:6" x14ac:dyDescent="0.3">
      <c r="F5425" s="193"/>
    </row>
    <row r="5426" spans="6:6" x14ac:dyDescent="0.3">
      <c r="F5426" s="193"/>
    </row>
    <row r="5427" spans="6:6" x14ac:dyDescent="0.3">
      <c r="F5427" s="193"/>
    </row>
    <row r="5428" spans="6:6" x14ac:dyDescent="0.3">
      <c r="F5428" s="193"/>
    </row>
    <row r="5429" spans="6:6" x14ac:dyDescent="0.3">
      <c r="F5429" s="193"/>
    </row>
    <row r="5430" spans="6:6" x14ac:dyDescent="0.3">
      <c r="F5430" s="193"/>
    </row>
    <row r="5431" spans="6:6" x14ac:dyDescent="0.3">
      <c r="F5431" s="193"/>
    </row>
    <row r="5432" spans="6:6" x14ac:dyDescent="0.3">
      <c r="F5432" s="193"/>
    </row>
    <row r="5433" spans="6:6" x14ac:dyDescent="0.3">
      <c r="F5433" s="193"/>
    </row>
    <row r="5434" spans="6:6" x14ac:dyDescent="0.3">
      <c r="F5434" s="193"/>
    </row>
    <row r="5435" spans="6:6" x14ac:dyDescent="0.3">
      <c r="F5435" s="193"/>
    </row>
    <row r="5436" spans="6:6" x14ac:dyDescent="0.3">
      <c r="F5436" s="193"/>
    </row>
    <row r="5437" spans="6:6" x14ac:dyDescent="0.3">
      <c r="F5437" s="193"/>
    </row>
    <row r="5438" spans="6:6" x14ac:dyDescent="0.3">
      <c r="F5438" s="193"/>
    </row>
    <row r="5439" spans="6:6" x14ac:dyDescent="0.3">
      <c r="F5439" s="193"/>
    </row>
    <row r="5440" spans="6:6" x14ac:dyDescent="0.3">
      <c r="F5440" s="193"/>
    </row>
    <row r="5441" spans="6:6" x14ac:dyDescent="0.3">
      <c r="F5441" s="193"/>
    </row>
    <row r="5442" spans="6:6" x14ac:dyDescent="0.3">
      <c r="F5442" s="193"/>
    </row>
    <row r="5443" spans="6:6" x14ac:dyDescent="0.3">
      <c r="F5443" s="193"/>
    </row>
    <row r="5444" spans="6:6" x14ac:dyDescent="0.3">
      <c r="F5444" s="193"/>
    </row>
    <row r="5445" spans="6:6" x14ac:dyDescent="0.3">
      <c r="F5445" s="193"/>
    </row>
    <row r="5446" spans="6:6" x14ac:dyDescent="0.3">
      <c r="F5446" s="193"/>
    </row>
    <row r="5447" spans="6:6" x14ac:dyDescent="0.3">
      <c r="F5447" s="193"/>
    </row>
    <row r="5448" spans="6:6" x14ac:dyDescent="0.3">
      <c r="F5448" s="193"/>
    </row>
    <row r="5449" spans="6:6" x14ac:dyDescent="0.3">
      <c r="F5449" s="193"/>
    </row>
    <row r="5450" spans="6:6" x14ac:dyDescent="0.3">
      <c r="F5450" s="193"/>
    </row>
    <row r="5451" spans="6:6" x14ac:dyDescent="0.3">
      <c r="F5451" s="193"/>
    </row>
    <row r="5452" spans="6:6" x14ac:dyDescent="0.3">
      <c r="F5452" s="193"/>
    </row>
    <row r="5453" spans="6:6" x14ac:dyDescent="0.3">
      <c r="F5453" s="193"/>
    </row>
    <row r="5454" spans="6:6" x14ac:dyDescent="0.3">
      <c r="F5454" s="193"/>
    </row>
    <row r="5455" spans="6:6" x14ac:dyDescent="0.3">
      <c r="F5455" s="193"/>
    </row>
    <row r="5456" spans="6:6" x14ac:dyDescent="0.3">
      <c r="F5456" s="193"/>
    </row>
    <row r="5457" spans="6:6" x14ac:dyDescent="0.3">
      <c r="F5457" s="193"/>
    </row>
    <row r="5458" spans="6:6" x14ac:dyDescent="0.3">
      <c r="F5458" s="193"/>
    </row>
    <row r="5459" spans="6:6" x14ac:dyDescent="0.3">
      <c r="F5459" s="193"/>
    </row>
    <row r="5460" spans="6:6" x14ac:dyDescent="0.3">
      <c r="F5460" s="193"/>
    </row>
    <row r="5461" spans="6:6" x14ac:dyDescent="0.3">
      <c r="F5461" s="193"/>
    </row>
    <row r="5462" spans="6:6" x14ac:dyDescent="0.3">
      <c r="F5462" s="193"/>
    </row>
    <row r="5463" spans="6:6" x14ac:dyDescent="0.3">
      <c r="F5463" s="193"/>
    </row>
    <row r="5464" spans="6:6" x14ac:dyDescent="0.3">
      <c r="F5464" s="193"/>
    </row>
    <row r="5465" spans="6:6" x14ac:dyDescent="0.3">
      <c r="F5465" s="193"/>
    </row>
    <row r="5466" spans="6:6" x14ac:dyDescent="0.3">
      <c r="F5466" s="193"/>
    </row>
    <row r="5467" spans="6:6" x14ac:dyDescent="0.3">
      <c r="F5467" s="193"/>
    </row>
    <row r="5468" spans="6:6" x14ac:dyDescent="0.3">
      <c r="F5468" s="193"/>
    </row>
    <row r="5469" spans="6:6" x14ac:dyDescent="0.3">
      <c r="F5469" s="193"/>
    </row>
    <row r="5470" spans="6:6" x14ac:dyDescent="0.3">
      <c r="F5470" s="193"/>
    </row>
    <row r="5471" spans="6:6" x14ac:dyDescent="0.3">
      <c r="F5471" s="193"/>
    </row>
    <row r="5472" spans="6:6" x14ac:dyDescent="0.3">
      <c r="F5472" s="193"/>
    </row>
    <row r="5473" spans="6:6" x14ac:dyDescent="0.3">
      <c r="F5473" s="193"/>
    </row>
    <row r="5474" spans="6:6" x14ac:dyDescent="0.3">
      <c r="F5474" s="193"/>
    </row>
    <row r="5475" spans="6:6" x14ac:dyDescent="0.3">
      <c r="F5475" s="193"/>
    </row>
    <row r="5476" spans="6:6" x14ac:dyDescent="0.3">
      <c r="F5476" s="193"/>
    </row>
    <row r="5477" spans="6:6" x14ac:dyDescent="0.3">
      <c r="F5477" s="193"/>
    </row>
    <row r="5478" spans="6:6" x14ac:dyDescent="0.3">
      <c r="F5478" s="193"/>
    </row>
    <row r="5479" spans="6:6" x14ac:dyDescent="0.3">
      <c r="F5479" s="193"/>
    </row>
    <row r="5480" spans="6:6" x14ac:dyDescent="0.3">
      <c r="F5480" s="193"/>
    </row>
    <row r="5481" spans="6:6" x14ac:dyDescent="0.3">
      <c r="F5481" s="193"/>
    </row>
    <row r="5482" spans="6:6" x14ac:dyDescent="0.3">
      <c r="F5482" s="193"/>
    </row>
    <row r="5483" spans="6:6" x14ac:dyDescent="0.3">
      <c r="F5483" s="193"/>
    </row>
    <row r="5484" spans="6:6" x14ac:dyDescent="0.3">
      <c r="F5484" s="193"/>
    </row>
    <row r="5485" spans="6:6" x14ac:dyDescent="0.3">
      <c r="F5485" s="193"/>
    </row>
    <row r="5486" spans="6:6" x14ac:dyDescent="0.3">
      <c r="F5486" s="193"/>
    </row>
    <row r="5487" spans="6:6" x14ac:dyDescent="0.3">
      <c r="F5487" s="193"/>
    </row>
    <row r="5488" spans="6:6" x14ac:dyDescent="0.3">
      <c r="F5488" s="193"/>
    </row>
    <row r="5489" spans="6:6" x14ac:dyDescent="0.3">
      <c r="F5489" s="193"/>
    </row>
    <row r="5490" spans="6:6" x14ac:dyDescent="0.3">
      <c r="F5490" s="193"/>
    </row>
    <row r="5491" spans="6:6" x14ac:dyDescent="0.3">
      <c r="F5491" s="193"/>
    </row>
    <row r="5492" spans="6:6" x14ac:dyDescent="0.3">
      <c r="F5492" s="193"/>
    </row>
    <row r="5493" spans="6:6" x14ac:dyDescent="0.3">
      <c r="F5493" s="193"/>
    </row>
    <row r="5494" spans="6:6" x14ac:dyDescent="0.3">
      <c r="F5494" s="193"/>
    </row>
    <row r="5495" spans="6:6" x14ac:dyDescent="0.3">
      <c r="F5495" s="193"/>
    </row>
    <row r="5496" spans="6:6" x14ac:dyDescent="0.3">
      <c r="F5496" s="193"/>
    </row>
    <row r="5497" spans="6:6" x14ac:dyDescent="0.3">
      <c r="F5497" s="193"/>
    </row>
    <row r="5498" spans="6:6" x14ac:dyDescent="0.3">
      <c r="F5498" s="193"/>
    </row>
    <row r="5499" spans="6:6" x14ac:dyDescent="0.3">
      <c r="F5499" s="193"/>
    </row>
    <row r="5500" spans="6:6" x14ac:dyDescent="0.3">
      <c r="F5500" s="193"/>
    </row>
    <row r="5501" spans="6:6" x14ac:dyDescent="0.3">
      <c r="F5501" s="193"/>
    </row>
    <row r="5502" spans="6:6" x14ac:dyDescent="0.3">
      <c r="F5502" s="193"/>
    </row>
    <row r="5503" spans="6:6" x14ac:dyDescent="0.3">
      <c r="F5503" s="193"/>
    </row>
    <row r="5504" spans="6:6" x14ac:dyDescent="0.3">
      <c r="F5504" s="193"/>
    </row>
    <row r="5505" spans="6:6" x14ac:dyDescent="0.3">
      <c r="F5505" s="193"/>
    </row>
    <row r="5506" spans="6:6" x14ac:dyDescent="0.3">
      <c r="F5506" s="193"/>
    </row>
    <row r="5507" spans="6:6" x14ac:dyDescent="0.3">
      <c r="F5507" s="193"/>
    </row>
    <row r="5508" spans="6:6" x14ac:dyDescent="0.3">
      <c r="F5508" s="193"/>
    </row>
    <row r="5509" spans="6:6" x14ac:dyDescent="0.3">
      <c r="F5509" s="193"/>
    </row>
    <row r="5510" spans="6:6" x14ac:dyDescent="0.3">
      <c r="F5510" s="193"/>
    </row>
    <row r="5511" spans="6:6" x14ac:dyDescent="0.3">
      <c r="F5511" s="193"/>
    </row>
    <row r="5512" spans="6:6" x14ac:dyDescent="0.3">
      <c r="F5512" s="193"/>
    </row>
    <row r="5513" spans="6:6" x14ac:dyDescent="0.3">
      <c r="F5513" s="193"/>
    </row>
    <row r="5514" spans="6:6" x14ac:dyDescent="0.3">
      <c r="F5514" s="193"/>
    </row>
    <row r="5515" spans="6:6" x14ac:dyDescent="0.3">
      <c r="F5515" s="193"/>
    </row>
    <row r="5516" spans="6:6" x14ac:dyDescent="0.3">
      <c r="F5516" s="193"/>
    </row>
    <row r="5517" spans="6:6" x14ac:dyDescent="0.3">
      <c r="F5517" s="193"/>
    </row>
    <row r="5518" spans="6:6" x14ac:dyDescent="0.3">
      <c r="F5518" s="193"/>
    </row>
    <row r="5519" spans="6:6" x14ac:dyDescent="0.3">
      <c r="F5519" s="193"/>
    </row>
    <row r="5520" spans="6:6" x14ac:dyDescent="0.3">
      <c r="F5520" s="193"/>
    </row>
    <row r="5521" spans="6:6" x14ac:dyDescent="0.3">
      <c r="F5521" s="193"/>
    </row>
    <row r="5522" spans="6:6" x14ac:dyDescent="0.3">
      <c r="F5522" s="193"/>
    </row>
    <row r="5523" spans="6:6" x14ac:dyDescent="0.3">
      <c r="F5523" s="193"/>
    </row>
    <row r="5524" spans="6:6" x14ac:dyDescent="0.3">
      <c r="F5524" s="193"/>
    </row>
    <row r="5525" spans="6:6" x14ac:dyDescent="0.3">
      <c r="F5525" s="193"/>
    </row>
    <row r="5526" spans="6:6" x14ac:dyDescent="0.3">
      <c r="F5526" s="193"/>
    </row>
    <row r="5527" spans="6:6" x14ac:dyDescent="0.3">
      <c r="F5527" s="193"/>
    </row>
    <row r="5528" spans="6:6" x14ac:dyDescent="0.3">
      <c r="F5528" s="193"/>
    </row>
    <row r="5529" spans="6:6" x14ac:dyDescent="0.3">
      <c r="F5529" s="193"/>
    </row>
    <row r="5530" spans="6:6" x14ac:dyDescent="0.3">
      <c r="F5530" s="193"/>
    </row>
    <row r="5531" spans="6:6" x14ac:dyDescent="0.3">
      <c r="F5531" s="193"/>
    </row>
    <row r="5532" spans="6:6" x14ac:dyDescent="0.3">
      <c r="F5532" s="193"/>
    </row>
    <row r="5533" spans="6:6" x14ac:dyDescent="0.3">
      <c r="F5533" s="193"/>
    </row>
    <row r="5534" spans="6:6" x14ac:dyDescent="0.3">
      <c r="F5534" s="193"/>
    </row>
    <row r="5535" spans="6:6" x14ac:dyDescent="0.3">
      <c r="F5535" s="193"/>
    </row>
    <row r="5536" spans="6:6" x14ac:dyDescent="0.3">
      <c r="F5536" s="193"/>
    </row>
    <row r="5537" spans="6:6" x14ac:dyDescent="0.3">
      <c r="F5537" s="193"/>
    </row>
    <row r="5538" spans="6:6" x14ac:dyDescent="0.3">
      <c r="F5538" s="193"/>
    </row>
    <row r="5539" spans="6:6" x14ac:dyDescent="0.3">
      <c r="F5539" s="193"/>
    </row>
    <row r="5540" spans="6:6" x14ac:dyDescent="0.3">
      <c r="F5540" s="193"/>
    </row>
    <row r="5541" spans="6:6" x14ac:dyDescent="0.3">
      <c r="F5541" s="193"/>
    </row>
    <row r="5542" spans="6:6" x14ac:dyDescent="0.3">
      <c r="F5542" s="193"/>
    </row>
    <row r="5543" spans="6:6" x14ac:dyDescent="0.3">
      <c r="F5543" s="193"/>
    </row>
    <row r="5544" spans="6:6" x14ac:dyDescent="0.3">
      <c r="F5544" s="193"/>
    </row>
    <row r="5545" spans="6:6" x14ac:dyDescent="0.3">
      <c r="F5545" s="193"/>
    </row>
    <row r="5546" spans="6:6" x14ac:dyDescent="0.3">
      <c r="F5546" s="193"/>
    </row>
    <row r="5547" spans="6:6" x14ac:dyDescent="0.3">
      <c r="F5547" s="193"/>
    </row>
    <row r="5548" spans="6:6" x14ac:dyDescent="0.3">
      <c r="F5548" s="193"/>
    </row>
    <row r="5549" spans="6:6" x14ac:dyDescent="0.3">
      <c r="F5549" s="193"/>
    </row>
    <row r="5550" spans="6:6" x14ac:dyDescent="0.3">
      <c r="F5550" s="193"/>
    </row>
    <row r="5551" spans="6:6" x14ac:dyDescent="0.3">
      <c r="F5551" s="193"/>
    </row>
    <row r="5552" spans="6:6" x14ac:dyDescent="0.3">
      <c r="F5552" s="193"/>
    </row>
    <row r="5553" spans="6:6" x14ac:dyDescent="0.3">
      <c r="F5553" s="193"/>
    </row>
    <row r="5554" spans="6:6" x14ac:dyDescent="0.3">
      <c r="F5554" s="193"/>
    </row>
    <row r="5555" spans="6:6" x14ac:dyDescent="0.3">
      <c r="F5555" s="193"/>
    </row>
    <row r="5556" spans="6:6" x14ac:dyDescent="0.3">
      <c r="F5556" s="193"/>
    </row>
    <row r="5557" spans="6:6" x14ac:dyDescent="0.3">
      <c r="F5557" s="193"/>
    </row>
    <row r="5558" spans="6:6" x14ac:dyDescent="0.3">
      <c r="F5558" s="193"/>
    </row>
    <row r="5559" spans="6:6" x14ac:dyDescent="0.3">
      <c r="F5559" s="193"/>
    </row>
    <row r="5560" spans="6:6" x14ac:dyDescent="0.3">
      <c r="F5560" s="193"/>
    </row>
    <row r="5561" spans="6:6" x14ac:dyDescent="0.3">
      <c r="F5561" s="193"/>
    </row>
    <row r="5562" spans="6:6" x14ac:dyDescent="0.3">
      <c r="F5562" s="193"/>
    </row>
    <row r="5563" spans="6:6" x14ac:dyDescent="0.3">
      <c r="F5563" s="193"/>
    </row>
    <row r="5564" spans="6:6" x14ac:dyDescent="0.3">
      <c r="F5564" s="193"/>
    </row>
    <row r="5565" spans="6:6" x14ac:dyDescent="0.3">
      <c r="F5565" s="193"/>
    </row>
    <row r="5566" spans="6:6" x14ac:dyDescent="0.3">
      <c r="F5566" s="193"/>
    </row>
    <row r="5567" spans="6:6" x14ac:dyDescent="0.3">
      <c r="F5567" s="193"/>
    </row>
    <row r="5568" spans="6:6" x14ac:dyDescent="0.3">
      <c r="F5568" s="193"/>
    </row>
    <row r="5569" spans="6:6" x14ac:dyDescent="0.3">
      <c r="F5569" s="193"/>
    </row>
    <row r="5570" spans="6:6" x14ac:dyDescent="0.3">
      <c r="F5570" s="193"/>
    </row>
    <row r="5571" spans="6:6" x14ac:dyDescent="0.3">
      <c r="F5571" s="193"/>
    </row>
    <row r="5572" spans="6:6" x14ac:dyDescent="0.3">
      <c r="F5572" s="193"/>
    </row>
    <row r="5573" spans="6:6" x14ac:dyDescent="0.3">
      <c r="F5573" s="193"/>
    </row>
    <row r="5574" spans="6:6" x14ac:dyDescent="0.3">
      <c r="F5574" s="193"/>
    </row>
    <row r="5575" spans="6:6" x14ac:dyDescent="0.3">
      <c r="F5575" s="193"/>
    </row>
    <row r="5576" spans="6:6" x14ac:dyDescent="0.3">
      <c r="F5576" s="193"/>
    </row>
    <row r="5577" spans="6:6" x14ac:dyDescent="0.3">
      <c r="F5577" s="193"/>
    </row>
    <row r="5578" spans="6:6" x14ac:dyDescent="0.3">
      <c r="F5578" s="193"/>
    </row>
    <row r="5579" spans="6:6" x14ac:dyDescent="0.3">
      <c r="F5579" s="193"/>
    </row>
    <row r="5580" spans="6:6" x14ac:dyDescent="0.3">
      <c r="F5580" s="193"/>
    </row>
    <row r="5581" spans="6:6" x14ac:dyDescent="0.3">
      <c r="F5581" s="193"/>
    </row>
    <row r="5582" spans="6:6" x14ac:dyDescent="0.3">
      <c r="F5582" s="193"/>
    </row>
    <row r="5583" spans="6:6" x14ac:dyDescent="0.3">
      <c r="F5583" s="193"/>
    </row>
    <row r="5584" spans="6:6" x14ac:dyDescent="0.3">
      <c r="F5584" s="193"/>
    </row>
    <row r="5585" spans="6:6" x14ac:dyDescent="0.3">
      <c r="F5585" s="193"/>
    </row>
    <row r="5586" spans="6:6" x14ac:dyDescent="0.3">
      <c r="F5586" s="193"/>
    </row>
    <row r="5587" spans="6:6" x14ac:dyDescent="0.3">
      <c r="F5587" s="193"/>
    </row>
    <row r="5588" spans="6:6" x14ac:dyDescent="0.3">
      <c r="F5588" s="193"/>
    </row>
    <row r="5589" spans="6:6" x14ac:dyDescent="0.3">
      <c r="F5589" s="193"/>
    </row>
    <row r="5590" spans="6:6" x14ac:dyDescent="0.3">
      <c r="F5590" s="193"/>
    </row>
    <row r="5591" spans="6:6" x14ac:dyDescent="0.3">
      <c r="F5591" s="193"/>
    </row>
    <row r="5592" spans="6:6" x14ac:dyDescent="0.3">
      <c r="F5592" s="193"/>
    </row>
    <row r="5593" spans="6:6" x14ac:dyDescent="0.3">
      <c r="F5593" s="193"/>
    </row>
    <row r="5594" spans="6:6" x14ac:dyDescent="0.3">
      <c r="F5594" s="193"/>
    </row>
    <row r="5595" spans="6:6" x14ac:dyDescent="0.3">
      <c r="F5595" s="193"/>
    </row>
    <row r="5596" spans="6:6" x14ac:dyDescent="0.3">
      <c r="F5596" s="193"/>
    </row>
    <row r="5597" spans="6:6" x14ac:dyDescent="0.3">
      <c r="F5597" s="193"/>
    </row>
    <row r="5598" spans="6:6" x14ac:dyDescent="0.3">
      <c r="F5598" s="193"/>
    </row>
    <row r="5599" spans="6:6" x14ac:dyDescent="0.3">
      <c r="F5599" s="193"/>
    </row>
    <row r="5600" spans="6:6" x14ac:dyDescent="0.3">
      <c r="F5600" s="193"/>
    </row>
    <row r="5601" spans="6:6" x14ac:dyDescent="0.3">
      <c r="F5601" s="193"/>
    </row>
    <row r="5602" spans="6:6" x14ac:dyDescent="0.3">
      <c r="F5602" s="193"/>
    </row>
    <row r="5603" spans="6:6" x14ac:dyDescent="0.3">
      <c r="F5603" s="193"/>
    </row>
    <row r="5604" spans="6:6" x14ac:dyDescent="0.3">
      <c r="F5604" s="193"/>
    </row>
    <row r="5605" spans="6:6" x14ac:dyDescent="0.3">
      <c r="F5605" s="193"/>
    </row>
    <row r="5606" spans="6:6" x14ac:dyDescent="0.3">
      <c r="F5606" s="193"/>
    </row>
    <row r="5607" spans="6:6" x14ac:dyDescent="0.3">
      <c r="F5607" s="193"/>
    </row>
    <row r="5608" spans="6:6" x14ac:dyDescent="0.3">
      <c r="F5608" s="193"/>
    </row>
    <row r="5609" spans="6:6" x14ac:dyDescent="0.3">
      <c r="F5609" s="193"/>
    </row>
    <row r="5610" spans="6:6" x14ac:dyDescent="0.3">
      <c r="F5610" s="193"/>
    </row>
    <row r="5611" spans="6:6" x14ac:dyDescent="0.3">
      <c r="F5611" s="193"/>
    </row>
    <row r="5612" spans="6:6" x14ac:dyDescent="0.3">
      <c r="F5612" s="193"/>
    </row>
    <row r="5613" spans="6:6" x14ac:dyDescent="0.3">
      <c r="F5613" s="193"/>
    </row>
    <row r="5614" spans="6:6" x14ac:dyDescent="0.3">
      <c r="F5614" s="193"/>
    </row>
    <row r="5615" spans="6:6" x14ac:dyDescent="0.3">
      <c r="F5615" s="193"/>
    </row>
    <row r="5616" spans="6:6" x14ac:dyDescent="0.3">
      <c r="F5616" s="193"/>
    </row>
    <row r="5617" spans="6:6" x14ac:dyDescent="0.3">
      <c r="F5617" s="193"/>
    </row>
    <row r="5618" spans="6:6" x14ac:dyDescent="0.3">
      <c r="F5618" s="193"/>
    </row>
    <row r="5619" spans="6:6" x14ac:dyDescent="0.3">
      <c r="F5619" s="193"/>
    </row>
    <row r="5620" spans="6:6" x14ac:dyDescent="0.3">
      <c r="F5620" s="193"/>
    </row>
    <row r="5621" spans="6:6" x14ac:dyDescent="0.3">
      <c r="F5621" s="193"/>
    </row>
    <row r="5622" spans="6:6" x14ac:dyDescent="0.3">
      <c r="F5622" s="193"/>
    </row>
    <row r="5623" spans="6:6" x14ac:dyDescent="0.3">
      <c r="F5623" s="193"/>
    </row>
    <row r="5624" spans="6:6" x14ac:dyDescent="0.3">
      <c r="F5624" s="193"/>
    </row>
    <row r="5625" spans="6:6" x14ac:dyDescent="0.3">
      <c r="F5625" s="193"/>
    </row>
    <row r="5626" spans="6:6" x14ac:dyDescent="0.3">
      <c r="F5626" s="193"/>
    </row>
    <row r="5627" spans="6:6" x14ac:dyDescent="0.3">
      <c r="F5627" s="193"/>
    </row>
    <row r="5628" spans="6:6" x14ac:dyDescent="0.3">
      <c r="F5628" s="193"/>
    </row>
    <row r="5629" spans="6:6" x14ac:dyDescent="0.3">
      <c r="F5629" s="193"/>
    </row>
    <row r="5630" spans="6:6" x14ac:dyDescent="0.3">
      <c r="F5630" s="193"/>
    </row>
    <row r="5631" spans="6:6" x14ac:dyDescent="0.3">
      <c r="F5631" s="193"/>
    </row>
    <row r="5632" spans="6:6" x14ac:dyDescent="0.3">
      <c r="F5632" s="193"/>
    </row>
    <row r="5633" spans="6:6" x14ac:dyDescent="0.3">
      <c r="F5633" s="193"/>
    </row>
    <row r="5634" spans="6:6" x14ac:dyDescent="0.3">
      <c r="F5634" s="193"/>
    </row>
    <row r="5635" spans="6:6" x14ac:dyDescent="0.3">
      <c r="F5635" s="193"/>
    </row>
    <row r="5636" spans="6:6" x14ac:dyDescent="0.3">
      <c r="F5636" s="193"/>
    </row>
    <row r="5637" spans="6:6" x14ac:dyDescent="0.3">
      <c r="F5637" s="193"/>
    </row>
    <row r="5638" spans="6:6" x14ac:dyDescent="0.3">
      <c r="F5638" s="193"/>
    </row>
    <row r="5639" spans="6:6" x14ac:dyDescent="0.3">
      <c r="F5639" s="193"/>
    </row>
    <row r="5640" spans="6:6" x14ac:dyDescent="0.3">
      <c r="F5640" s="193"/>
    </row>
    <row r="5641" spans="6:6" x14ac:dyDescent="0.3">
      <c r="F5641" s="193"/>
    </row>
    <row r="5642" spans="6:6" x14ac:dyDescent="0.3">
      <c r="F5642" s="193"/>
    </row>
    <row r="5643" spans="6:6" x14ac:dyDescent="0.3">
      <c r="F5643" s="193"/>
    </row>
    <row r="5644" spans="6:6" x14ac:dyDescent="0.3">
      <c r="F5644" s="193"/>
    </row>
    <row r="5645" spans="6:6" x14ac:dyDescent="0.3">
      <c r="F5645" s="193"/>
    </row>
    <row r="5646" spans="6:6" x14ac:dyDescent="0.3">
      <c r="F5646" s="193"/>
    </row>
    <row r="5647" spans="6:6" x14ac:dyDescent="0.3">
      <c r="F5647" s="193"/>
    </row>
    <row r="5648" spans="6:6" x14ac:dyDescent="0.3">
      <c r="F5648" s="193"/>
    </row>
    <row r="5649" spans="6:6" x14ac:dyDescent="0.3">
      <c r="F5649" s="193"/>
    </row>
    <row r="5650" spans="6:6" x14ac:dyDescent="0.3">
      <c r="F5650" s="193"/>
    </row>
    <row r="5651" spans="6:6" x14ac:dyDescent="0.3">
      <c r="F5651" s="193"/>
    </row>
    <row r="5652" spans="6:6" x14ac:dyDescent="0.3">
      <c r="F5652" s="193"/>
    </row>
    <row r="5653" spans="6:6" x14ac:dyDescent="0.3">
      <c r="F5653" s="193"/>
    </row>
    <row r="5654" spans="6:6" x14ac:dyDescent="0.3">
      <c r="F5654" s="193"/>
    </row>
    <row r="5655" spans="6:6" x14ac:dyDescent="0.3">
      <c r="F5655" s="193"/>
    </row>
    <row r="5656" spans="6:6" x14ac:dyDescent="0.3">
      <c r="F5656" s="193"/>
    </row>
    <row r="5657" spans="6:6" x14ac:dyDescent="0.3">
      <c r="F5657" s="193"/>
    </row>
    <row r="5658" spans="6:6" x14ac:dyDescent="0.3">
      <c r="F5658" s="193"/>
    </row>
    <row r="5659" spans="6:6" x14ac:dyDescent="0.3">
      <c r="F5659" s="193"/>
    </row>
    <row r="5660" spans="6:6" x14ac:dyDescent="0.3">
      <c r="F5660" s="193"/>
    </row>
    <row r="5661" spans="6:6" x14ac:dyDescent="0.3">
      <c r="F5661" s="193"/>
    </row>
    <row r="5662" spans="6:6" x14ac:dyDescent="0.3">
      <c r="F5662" s="193"/>
    </row>
    <row r="5663" spans="6:6" x14ac:dyDescent="0.3">
      <c r="F5663" s="193"/>
    </row>
    <row r="5664" spans="6:6" x14ac:dyDescent="0.3">
      <c r="F5664" s="193"/>
    </row>
    <row r="5665" spans="6:6" x14ac:dyDescent="0.3">
      <c r="F5665" s="193"/>
    </row>
    <row r="5666" spans="6:6" x14ac:dyDescent="0.3">
      <c r="F5666" s="193"/>
    </row>
    <row r="5667" spans="6:6" x14ac:dyDescent="0.3">
      <c r="F5667" s="193"/>
    </row>
    <row r="5668" spans="6:6" x14ac:dyDescent="0.3">
      <c r="F5668" s="193"/>
    </row>
    <row r="5669" spans="6:6" x14ac:dyDescent="0.3">
      <c r="F5669" s="193"/>
    </row>
    <row r="5670" spans="6:6" x14ac:dyDescent="0.3">
      <c r="F5670" s="193"/>
    </row>
    <row r="5671" spans="6:6" x14ac:dyDescent="0.3">
      <c r="F5671" s="193"/>
    </row>
    <row r="5672" spans="6:6" x14ac:dyDescent="0.3">
      <c r="F5672" s="193"/>
    </row>
    <row r="5673" spans="6:6" x14ac:dyDescent="0.3">
      <c r="F5673" s="193"/>
    </row>
    <row r="5674" spans="6:6" x14ac:dyDescent="0.3">
      <c r="F5674" s="193"/>
    </row>
    <row r="5675" spans="6:6" x14ac:dyDescent="0.3">
      <c r="F5675" s="193"/>
    </row>
    <row r="5676" spans="6:6" x14ac:dyDescent="0.3">
      <c r="F5676" s="193"/>
    </row>
    <row r="5677" spans="6:6" x14ac:dyDescent="0.3">
      <c r="F5677" s="193"/>
    </row>
    <row r="5678" spans="6:6" x14ac:dyDescent="0.3">
      <c r="F5678" s="193"/>
    </row>
    <row r="5679" spans="6:6" x14ac:dyDescent="0.3">
      <c r="F5679" s="193"/>
    </row>
    <row r="5680" spans="6:6" x14ac:dyDescent="0.3">
      <c r="F5680" s="193"/>
    </row>
    <row r="5681" spans="6:6" x14ac:dyDescent="0.3">
      <c r="F5681" s="193"/>
    </row>
    <row r="5682" spans="6:6" x14ac:dyDescent="0.3">
      <c r="F5682" s="193"/>
    </row>
    <row r="5683" spans="6:6" x14ac:dyDescent="0.3">
      <c r="F5683" s="193"/>
    </row>
    <row r="5684" spans="6:6" x14ac:dyDescent="0.3">
      <c r="F5684" s="193"/>
    </row>
    <row r="5685" spans="6:6" x14ac:dyDescent="0.3">
      <c r="F5685" s="193"/>
    </row>
    <row r="5686" spans="6:6" x14ac:dyDescent="0.3">
      <c r="F5686" s="193"/>
    </row>
    <row r="5687" spans="6:6" x14ac:dyDescent="0.3">
      <c r="F5687" s="193"/>
    </row>
    <row r="5688" spans="6:6" x14ac:dyDescent="0.3">
      <c r="F5688" s="193"/>
    </row>
    <row r="5689" spans="6:6" x14ac:dyDescent="0.3">
      <c r="F5689" s="193"/>
    </row>
    <row r="5690" spans="6:6" x14ac:dyDescent="0.3">
      <c r="F5690" s="193"/>
    </row>
    <row r="5691" spans="6:6" x14ac:dyDescent="0.3">
      <c r="F5691" s="193"/>
    </row>
    <row r="5692" spans="6:6" x14ac:dyDescent="0.3">
      <c r="F5692" s="193"/>
    </row>
    <row r="5693" spans="6:6" x14ac:dyDescent="0.3">
      <c r="F5693" s="193"/>
    </row>
    <row r="5694" spans="6:6" x14ac:dyDescent="0.3">
      <c r="F5694" s="193"/>
    </row>
    <row r="5695" spans="6:6" x14ac:dyDescent="0.3">
      <c r="F5695" s="193"/>
    </row>
    <row r="5696" spans="6:6" x14ac:dyDescent="0.3">
      <c r="F5696" s="193"/>
    </row>
    <row r="5697" spans="6:6" x14ac:dyDescent="0.3">
      <c r="F5697" s="193"/>
    </row>
    <row r="5698" spans="6:6" x14ac:dyDescent="0.3">
      <c r="F5698" s="193"/>
    </row>
    <row r="5699" spans="6:6" x14ac:dyDescent="0.3">
      <c r="F5699" s="193"/>
    </row>
    <row r="5700" spans="6:6" x14ac:dyDescent="0.3">
      <c r="F5700" s="193"/>
    </row>
    <row r="5701" spans="6:6" x14ac:dyDescent="0.3">
      <c r="F5701" s="193"/>
    </row>
    <row r="5702" spans="6:6" x14ac:dyDescent="0.3">
      <c r="F5702" s="193"/>
    </row>
    <row r="5703" spans="6:6" x14ac:dyDescent="0.3">
      <c r="F5703" s="193"/>
    </row>
    <row r="5704" spans="6:6" x14ac:dyDescent="0.3">
      <c r="F5704" s="193"/>
    </row>
    <row r="5705" spans="6:6" x14ac:dyDescent="0.3">
      <c r="F5705" s="193"/>
    </row>
    <row r="5706" spans="6:6" x14ac:dyDescent="0.3">
      <c r="F5706" s="193"/>
    </row>
    <row r="5707" spans="6:6" x14ac:dyDescent="0.3">
      <c r="F5707" s="193"/>
    </row>
    <row r="5708" spans="6:6" x14ac:dyDescent="0.3">
      <c r="F5708" s="193"/>
    </row>
    <row r="5709" spans="6:6" x14ac:dyDescent="0.3">
      <c r="F5709" s="193"/>
    </row>
    <row r="5710" spans="6:6" x14ac:dyDescent="0.3">
      <c r="F5710" s="193"/>
    </row>
    <row r="5711" spans="6:6" x14ac:dyDescent="0.3">
      <c r="F5711" s="193"/>
    </row>
    <row r="5712" spans="6:6" x14ac:dyDescent="0.3">
      <c r="F5712" s="193"/>
    </row>
    <row r="5713" spans="6:6" x14ac:dyDescent="0.3">
      <c r="F5713" s="193"/>
    </row>
    <row r="5714" spans="6:6" x14ac:dyDescent="0.3">
      <c r="F5714" s="193"/>
    </row>
    <row r="5715" spans="6:6" x14ac:dyDescent="0.3">
      <c r="F5715" s="193"/>
    </row>
    <row r="5716" spans="6:6" x14ac:dyDescent="0.3">
      <c r="F5716" s="193"/>
    </row>
    <row r="5717" spans="6:6" x14ac:dyDescent="0.3">
      <c r="F5717" s="193"/>
    </row>
    <row r="5718" spans="6:6" x14ac:dyDescent="0.3">
      <c r="F5718" s="193"/>
    </row>
    <row r="5719" spans="6:6" x14ac:dyDescent="0.3">
      <c r="F5719" s="193"/>
    </row>
    <row r="5720" spans="6:6" x14ac:dyDescent="0.3">
      <c r="F5720" s="193"/>
    </row>
    <row r="5721" spans="6:6" x14ac:dyDescent="0.3">
      <c r="F5721" s="193"/>
    </row>
    <row r="5722" spans="6:6" x14ac:dyDescent="0.3">
      <c r="F5722" s="193"/>
    </row>
    <row r="5723" spans="6:6" x14ac:dyDescent="0.3">
      <c r="F5723" s="193"/>
    </row>
    <row r="5724" spans="6:6" x14ac:dyDescent="0.3">
      <c r="F5724" s="193"/>
    </row>
    <row r="5725" spans="6:6" x14ac:dyDescent="0.3">
      <c r="F5725" s="193"/>
    </row>
    <row r="5726" spans="6:6" x14ac:dyDescent="0.3">
      <c r="F5726" s="193"/>
    </row>
    <row r="5727" spans="6:6" x14ac:dyDescent="0.3">
      <c r="F5727" s="193"/>
    </row>
    <row r="5728" spans="6:6" x14ac:dyDescent="0.3">
      <c r="F5728" s="193"/>
    </row>
    <row r="5729" spans="6:6" x14ac:dyDescent="0.3">
      <c r="F5729" s="193"/>
    </row>
    <row r="5730" spans="6:6" x14ac:dyDescent="0.3">
      <c r="F5730" s="193"/>
    </row>
    <row r="5731" spans="6:6" x14ac:dyDescent="0.3">
      <c r="F5731" s="193"/>
    </row>
    <row r="5732" spans="6:6" x14ac:dyDescent="0.3">
      <c r="F5732" s="193"/>
    </row>
    <row r="5733" spans="6:6" x14ac:dyDescent="0.3">
      <c r="F5733" s="193"/>
    </row>
    <row r="5734" spans="6:6" x14ac:dyDescent="0.3">
      <c r="F5734" s="193"/>
    </row>
    <row r="5735" spans="6:6" x14ac:dyDescent="0.3">
      <c r="F5735" s="193"/>
    </row>
    <row r="5736" spans="6:6" x14ac:dyDescent="0.3">
      <c r="F5736" s="193"/>
    </row>
    <row r="5737" spans="6:6" x14ac:dyDescent="0.3">
      <c r="F5737" s="193"/>
    </row>
    <row r="5738" spans="6:6" x14ac:dyDescent="0.3">
      <c r="F5738" s="193"/>
    </row>
    <row r="5739" spans="6:6" x14ac:dyDescent="0.3">
      <c r="F5739" s="193"/>
    </row>
    <row r="5740" spans="6:6" x14ac:dyDescent="0.3">
      <c r="F5740" s="193"/>
    </row>
    <row r="5741" spans="6:6" x14ac:dyDescent="0.3">
      <c r="F5741" s="193"/>
    </row>
    <row r="5742" spans="6:6" x14ac:dyDescent="0.3">
      <c r="F5742" s="193"/>
    </row>
    <row r="5743" spans="6:6" x14ac:dyDescent="0.3">
      <c r="F5743" s="193"/>
    </row>
    <row r="5744" spans="6:6" x14ac:dyDescent="0.3">
      <c r="F5744" s="193"/>
    </row>
    <row r="5745" spans="6:6" x14ac:dyDescent="0.3">
      <c r="F5745" s="193"/>
    </row>
    <row r="5746" spans="6:6" x14ac:dyDescent="0.3">
      <c r="F5746" s="193"/>
    </row>
    <row r="5747" spans="6:6" x14ac:dyDescent="0.3">
      <c r="F5747" s="193"/>
    </row>
    <row r="5748" spans="6:6" x14ac:dyDescent="0.3">
      <c r="F5748" s="193"/>
    </row>
    <row r="5749" spans="6:6" x14ac:dyDescent="0.3">
      <c r="F5749" s="193"/>
    </row>
    <row r="5750" spans="6:6" x14ac:dyDescent="0.3">
      <c r="F5750" s="193"/>
    </row>
    <row r="5751" spans="6:6" x14ac:dyDescent="0.3">
      <c r="F5751" s="193"/>
    </row>
    <row r="5752" spans="6:6" x14ac:dyDescent="0.3">
      <c r="F5752" s="193"/>
    </row>
    <row r="5753" spans="6:6" x14ac:dyDescent="0.3">
      <c r="F5753" s="193"/>
    </row>
    <row r="5754" spans="6:6" x14ac:dyDescent="0.3">
      <c r="F5754" s="193"/>
    </row>
    <row r="5755" spans="6:6" x14ac:dyDescent="0.3">
      <c r="F5755" s="193"/>
    </row>
    <row r="5756" spans="6:6" x14ac:dyDescent="0.3">
      <c r="F5756" s="193"/>
    </row>
    <row r="5757" spans="6:6" x14ac:dyDescent="0.3">
      <c r="F5757" s="193"/>
    </row>
    <row r="5758" spans="6:6" x14ac:dyDescent="0.3">
      <c r="F5758" s="193"/>
    </row>
    <row r="5759" spans="6:6" x14ac:dyDescent="0.3">
      <c r="F5759" s="193"/>
    </row>
    <row r="5760" spans="6:6" x14ac:dyDescent="0.3">
      <c r="F5760" s="193"/>
    </row>
    <row r="5761" spans="6:6" x14ac:dyDescent="0.3">
      <c r="F5761" s="193"/>
    </row>
    <row r="5762" spans="6:6" x14ac:dyDescent="0.3">
      <c r="F5762" s="193"/>
    </row>
    <row r="5763" spans="6:6" x14ac:dyDescent="0.3">
      <c r="F5763" s="193"/>
    </row>
    <row r="5764" spans="6:6" x14ac:dyDescent="0.3">
      <c r="F5764" s="193"/>
    </row>
    <row r="5765" spans="6:6" x14ac:dyDescent="0.3">
      <c r="F5765" s="193"/>
    </row>
    <row r="5766" spans="6:6" x14ac:dyDescent="0.3">
      <c r="F5766" s="193"/>
    </row>
    <row r="5767" spans="6:6" x14ac:dyDescent="0.3">
      <c r="F5767" s="193"/>
    </row>
    <row r="5768" spans="6:6" x14ac:dyDescent="0.3">
      <c r="F5768" s="193"/>
    </row>
    <row r="5769" spans="6:6" x14ac:dyDescent="0.3">
      <c r="F5769" s="193"/>
    </row>
    <row r="5770" spans="6:6" x14ac:dyDescent="0.3">
      <c r="F5770" s="193"/>
    </row>
    <row r="5771" spans="6:6" x14ac:dyDescent="0.3">
      <c r="F5771" s="193"/>
    </row>
    <row r="5772" spans="6:6" x14ac:dyDescent="0.3">
      <c r="F5772" s="193"/>
    </row>
    <row r="5773" spans="6:6" x14ac:dyDescent="0.3">
      <c r="F5773" s="193"/>
    </row>
    <row r="5774" spans="6:6" x14ac:dyDescent="0.3">
      <c r="F5774" s="193"/>
    </row>
    <row r="5775" spans="6:6" x14ac:dyDescent="0.3">
      <c r="F5775" s="193"/>
    </row>
    <row r="5776" spans="6:6" x14ac:dyDescent="0.3">
      <c r="F5776" s="193"/>
    </row>
    <row r="5777" spans="6:6" x14ac:dyDescent="0.3">
      <c r="F5777" s="193"/>
    </row>
    <row r="5778" spans="6:6" x14ac:dyDescent="0.3">
      <c r="F5778" s="193"/>
    </row>
    <row r="5779" spans="6:6" x14ac:dyDescent="0.3">
      <c r="F5779" s="193"/>
    </row>
    <row r="5780" spans="6:6" x14ac:dyDescent="0.3">
      <c r="F5780" s="193"/>
    </row>
    <row r="5781" spans="6:6" x14ac:dyDescent="0.3">
      <c r="F5781" s="193"/>
    </row>
    <row r="5782" spans="6:6" x14ac:dyDescent="0.3">
      <c r="F5782" s="193"/>
    </row>
    <row r="5783" spans="6:6" x14ac:dyDescent="0.3">
      <c r="F5783" s="193"/>
    </row>
    <row r="5784" spans="6:6" x14ac:dyDescent="0.3">
      <c r="F5784" s="193"/>
    </row>
    <row r="5785" spans="6:6" x14ac:dyDescent="0.3">
      <c r="F5785" s="193"/>
    </row>
    <row r="5786" spans="6:6" x14ac:dyDescent="0.3">
      <c r="F5786" s="193"/>
    </row>
    <row r="5787" spans="6:6" x14ac:dyDescent="0.3">
      <c r="F5787" s="193"/>
    </row>
    <row r="5788" spans="6:6" x14ac:dyDescent="0.3">
      <c r="F5788" s="193"/>
    </row>
    <row r="5789" spans="6:6" x14ac:dyDescent="0.3">
      <c r="F5789" s="193"/>
    </row>
    <row r="5790" spans="6:6" x14ac:dyDescent="0.3">
      <c r="F5790" s="193"/>
    </row>
    <row r="5791" spans="6:6" x14ac:dyDescent="0.3">
      <c r="F5791" s="193"/>
    </row>
    <row r="5792" spans="6:6" x14ac:dyDescent="0.3">
      <c r="F5792" s="193"/>
    </row>
    <row r="5793" spans="6:6" x14ac:dyDescent="0.3">
      <c r="F5793" s="193"/>
    </row>
    <row r="5794" spans="6:6" x14ac:dyDescent="0.3">
      <c r="F5794" s="193"/>
    </row>
    <row r="5795" spans="6:6" x14ac:dyDescent="0.3">
      <c r="F5795" s="193"/>
    </row>
    <row r="5796" spans="6:6" x14ac:dyDescent="0.3">
      <c r="F5796" s="193"/>
    </row>
    <row r="5797" spans="6:6" x14ac:dyDescent="0.3">
      <c r="F5797" s="193"/>
    </row>
    <row r="5798" spans="6:6" x14ac:dyDescent="0.3">
      <c r="F5798" s="193"/>
    </row>
    <row r="5799" spans="6:6" x14ac:dyDescent="0.3">
      <c r="F5799" s="193"/>
    </row>
    <row r="5800" spans="6:6" x14ac:dyDescent="0.3">
      <c r="F5800" s="193"/>
    </row>
    <row r="5801" spans="6:6" x14ac:dyDescent="0.3">
      <c r="F5801" s="193"/>
    </row>
    <row r="5802" spans="6:6" x14ac:dyDescent="0.3">
      <c r="F5802" s="193"/>
    </row>
    <row r="5803" spans="6:6" x14ac:dyDescent="0.3">
      <c r="F5803" s="193"/>
    </row>
    <row r="5804" spans="6:6" x14ac:dyDescent="0.3">
      <c r="F5804" s="193"/>
    </row>
    <row r="5805" spans="6:6" x14ac:dyDescent="0.3">
      <c r="F5805" s="193"/>
    </row>
    <row r="5806" spans="6:6" x14ac:dyDescent="0.3">
      <c r="F5806" s="193"/>
    </row>
    <row r="5807" spans="6:6" x14ac:dyDescent="0.3">
      <c r="F5807" s="193"/>
    </row>
    <row r="5808" spans="6:6" x14ac:dyDescent="0.3">
      <c r="F5808" s="193"/>
    </row>
    <row r="5809" spans="6:6" x14ac:dyDescent="0.3">
      <c r="F5809" s="193"/>
    </row>
    <row r="5810" spans="6:6" x14ac:dyDescent="0.3">
      <c r="F5810" s="193"/>
    </row>
    <row r="5811" spans="6:6" x14ac:dyDescent="0.3">
      <c r="F5811" s="193"/>
    </row>
    <row r="5812" spans="6:6" x14ac:dyDescent="0.3">
      <c r="F5812" s="193"/>
    </row>
    <row r="5813" spans="6:6" x14ac:dyDescent="0.3">
      <c r="F5813" s="193"/>
    </row>
    <row r="5814" spans="6:6" x14ac:dyDescent="0.3">
      <c r="F5814" s="193"/>
    </row>
    <row r="5815" spans="6:6" x14ac:dyDescent="0.3">
      <c r="F5815" s="193"/>
    </row>
    <row r="5816" spans="6:6" x14ac:dyDescent="0.3">
      <c r="F5816" s="193"/>
    </row>
    <row r="5817" spans="6:6" x14ac:dyDescent="0.3">
      <c r="F5817" s="193"/>
    </row>
    <row r="5818" spans="6:6" x14ac:dyDescent="0.3">
      <c r="F5818" s="193"/>
    </row>
    <row r="5819" spans="6:6" x14ac:dyDescent="0.3">
      <c r="F5819" s="193"/>
    </row>
    <row r="5820" spans="6:6" x14ac:dyDescent="0.3">
      <c r="F5820" s="193"/>
    </row>
    <row r="5821" spans="6:6" x14ac:dyDescent="0.3">
      <c r="F5821" s="193"/>
    </row>
    <row r="5822" spans="6:6" x14ac:dyDescent="0.3">
      <c r="F5822" s="193"/>
    </row>
    <row r="5823" spans="6:6" x14ac:dyDescent="0.3">
      <c r="F5823" s="193"/>
    </row>
    <row r="5824" spans="6:6" x14ac:dyDescent="0.3">
      <c r="F5824" s="193"/>
    </row>
    <row r="5825" spans="6:6" x14ac:dyDescent="0.3">
      <c r="F5825" s="193"/>
    </row>
    <row r="5826" spans="6:6" x14ac:dyDescent="0.3">
      <c r="F5826" s="193"/>
    </row>
    <row r="5827" spans="6:6" x14ac:dyDescent="0.3">
      <c r="F5827" s="193"/>
    </row>
    <row r="5828" spans="6:6" x14ac:dyDescent="0.3">
      <c r="F5828" s="193"/>
    </row>
    <row r="5829" spans="6:6" x14ac:dyDescent="0.3">
      <c r="F5829" s="193"/>
    </row>
    <row r="5830" spans="6:6" x14ac:dyDescent="0.3">
      <c r="F5830" s="193"/>
    </row>
    <row r="5831" spans="6:6" x14ac:dyDescent="0.3">
      <c r="F5831" s="193"/>
    </row>
    <row r="5832" spans="6:6" x14ac:dyDescent="0.3">
      <c r="F5832" s="193"/>
    </row>
    <row r="5833" spans="6:6" x14ac:dyDescent="0.3">
      <c r="F5833" s="193"/>
    </row>
    <row r="5834" spans="6:6" x14ac:dyDescent="0.3">
      <c r="F5834" s="193"/>
    </row>
    <row r="5835" spans="6:6" x14ac:dyDescent="0.3">
      <c r="F5835" s="193"/>
    </row>
    <row r="5836" spans="6:6" x14ac:dyDescent="0.3">
      <c r="F5836" s="193"/>
    </row>
    <row r="5837" spans="6:6" x14ac:dyDescent="0.3">
      <c r="F5837" s="193"/>
    </row>
    <row r="5838" spans="6:6" x14ac:dyDescent="0.3">
      <c r="F5838" s="193"/>
    </row>
    <row r="5839" spans="6:6" x14ac:dyDescent="0.3">
      <c r="F5839" s="193"/>
    </row>
    <row r="5840" spans="6:6" x14ac:dyDescent="0.3">
      <c r="F5840" s="193"/>
    </row>
    <row r="5841" spans="6:6" x14ac:dyDescent="0.3">
      <c r="F5841" s="193"/>
    </row>
    <row r="5842" spans="6:6" x14ac:dyDescent="0.3">
      <c r="F5842" s="193"/>
    </row>
    <row r="5843" spans="6:6" x14ac:dyDescent="0.3">
      <c r="F5843" s="193"/>
    </row>
    <row r="5844" spans="6:6" x14ac:dyDescent="0.3">
      <c r="F5844" s="193"/>
    </row>
    <row r="5845" spans="6:6" x14ac:dyDescent="0.3">
      <c r="F5845" s="193"/>
    </row>
    <row r="5846" spans="6:6" x14ac:dyDescent="0.3">
      <c r="F5846" s="193"/>
    </row>
    <row r="5847" spans="6:6" x14ac:dyDescent="0.3">
      <c r="F5847" s="193"/>
    </row>
    <row r="5848" spans="6:6" x14ac:dyDescent="0.3">
      <c r="F5848" s="193"/>
    </row>
    <row r="5849" spans="6:6" x14ac:dyDescent="0.3">
      <c r="F5849" s="193"/>
    </row>
    <row r="5850" spans="6:6" x14ac:dyDescent="0.3">
      <c r="F5850" s="193"/>
    </row>
    <row r="5851" spans="6:6" x14ac:dyDescent="0.3">
      <c r="F5851" s="193"/>
    </row>
    <row r="5852" spans="6:6" x14ac:dyDescent="0.3">
      <c r="F5852" s="193"/>
    </row>
    <row r="5853" spans="6:6" x14ac:dyDescent="0.3">
      <c r="F5853" s="193"/>
    </row>
    <row r="5854" spans="6:6" x14ac:dyDescent="0.3">
      <c r="F5854" s="193"/>
    </row>
    <row r="5855" spans="6:6" x14ac:dyDescent="0.3">
      <c r="F5855" s="193"/>
    </row>
    <row r="5856" spans="6:6" x14ac:dyDescent="0.3">
      <c r="F5856" s="193"/>
    </row>
    <row r="5857" spans="6:6" x14ac:dyDescent="0.3">
      <c r="F5857" s="193"/>
    </row>
    <row r="5858" spans="6:6" x14ac:dyDescent="0.3">
      <c r="F5858" s="193"/>
    </row>
    <row r="5859" spans="6:6" x14ac:dyDescent="0.3">
      <c r="F5859" s="193"/>
    </row>
    <row r="5860" spans="6:6" x14ac:dyDescent="0.3">
      <c r="F5860" s="193"/>
    </row>
    <row r="5861" spans="6:6" x14ac:dyDescent="0.3">
      <c r="F5861" s="193"/>
    </row>
    <row r="5862" spans="6:6" x14ac:dyDescent="0.3">
      <c r="F5862" s="193"/>
    </row>
    <row r="5863" spans="6:6" x14ac:dyDescent="0.3">
      <c r="F5863" s="193"/>
    </row>
    <row r="5864" spans="6:6" x14ac:dyDescent="0.3">
      <c r="F5864" s="193"/>
    </row>
    <row r="5865" spans="6:6" x14ac:dyDescent="0.3">
      <c r="F5865" s="193"/>
    </row>
    <row r="5866" spans="6:6" x14ac:dyDescent="0.3">
      <c r="F5866" s="193"/>
    </row>
    <row r="5867" spans="6:6" x14ac:dyDescent="0.3">
      <c r="F5867" s="193"/>
    </row>
    <row r="5868" spans="6:6" x14ac:dyDescent="0.3">
      <c r="F5868" s="193"/>
    </row>
    <row r="5869" spans="6:6" x14ac:dyDescent="0.3">
      <c r="F5869" s="193"/>
    </row>
    <row r="5870" spans="6:6" x14ac:dyDescent="0.3">
      <c r="F5870" s="193"/>
    </row>
    <row r="5871" spans="6:6" x14ac:dyDescent="0.3">
      <c r="F5871" s="193"/>
    </row>
    <row r="5872" spans="6:6" x14ac:dyDescent="0.3">
      <c r="F5872" s="193"/>
    </row>
    <row r="5873" spans="6:6" x14ac:dyDescent="0.3">
      <c r="F5873" s="193"/>
    </row>
    <row r="5874" spans="6:6" x14ac:dyDescent="0.3">
      <c r="F5874" s="193"/>
    </row>
    <row r="5875" spans="6:6" x14ac:dyDescent="0.3">
      <c r="F5875" s="193"/>
    </row>
    <row r="5876" spans="6:6" x14ac:dyDescent="0.3">
      <c r="F5876" s="193"/>
    </row>
    <row r="5877" spans="6:6" x14ac:dyDescent="0.3">
      <c r="F5877" s="193"/>
    </row>
    <row r="5878" spans="6:6" x14ac:dyDescent="0.3">
      <c r="F5878" s="193"/>
    </row>
    <row r="5879" spans="6:6" x14ac:dyDescent="0.3">
      <c r="F5879" s="193"/>
    </row>
    <row r="5880" spans="6:6" x14ac:dyDescent="0.3">
      <c r="F5880" s="193"/>
    </row>
    <row r="5881" spans="6:6" x14ac:dyDescent="0.3">
      <c r="F5881" s="193"/>
    </row>
    <row r="5882" spans="6:6" x14ac:dyDescent="0.3">
      <c r="F5882" s="193"/>
    </row>
    <row r="5883" spans="6:6" x14ac:dyDescent="0.3">
      <c r="F5883" s="193"/>
    </row>
    <row r="5884" spans="6:6" x14ac:dyDescent="0.3">
      <c r="F5884" s="193"/>
    </row>
    <row r="5885" spans="6:6" x14ac:dyDescent="0.3">
      <c r="F5885" s="193"/>
    </row>
    <row r="5886" spans="6:6" x14ac:dyDescent="0.3">
      <c r="F5886" s="193"/>
    </row>
    <row r="5887" spans="6:6" x14ac:dyDescent="0.3">
      <c r="F5887" s="193"/>
    </row>
    <row r="5888" spans="6:6" x14ac:dyDescent="0.3">
      <c r="F5888" s="193"/>
    </row>
    <row r="5889" spans="6:6" x14ac:dyDescent="0.3">
      <c r="F5889" s="193"/>
    </row>
    <row r="5890" spans="6:6" x14ac:dyDescent="0.3">
      <c r="F5890" s="193"/>
    </row>
    <row r="5891" spans="6:6" x14ac:dyDescent="0.3">
      <c r="F5891" s="193"/>
    </row>
    <row r="5892" spans="6:6" x14ac:dyDescent="0.3">
      <c r="F5892" s="193"/>
    </row>
    <row r="5893" spans="6:6" x14ac:dyDescent="0.3">
      <c r="F5893" s="193"/>
    </row>
    <row r="5894" spans="6:6" x14ac:dyDescent="0.3">
      <c r="F5894" s="193"/>
    </row>
    <row r="5895" spans="6:6" x14ac:dyDescent="0.3">
      <c r="F5895" s="193"/>
    </row>
    <row r="5896" spans="6:6" x14ac:dyDescent="0.3">
      <c r="F5896" s="193"/>
    </row>
    <row r="5897" spans="6:6" x14ac:dyDescent="0.3">
      <c r="F5897" s="193"/>
    </row>
    <row r="5898" spans="6:6" x14ac:dyDescent="0.3">
      <c r="F5898" s="193"/>
    </row>
    <row r="5899" spans="6:6" x14ac:dyDescent="0.3">
      <c r="F5899" s="193"/>
    </row>
    <row r="5900" spans="6:6" x14ac:dyDescent="0.3">
      <c r="F5900" s="193"/>
    </row>
    <row r="5901" spans="6:6" x14ac:dyDescent="0.3">
      <c r="F5901" s="193"/>
    </row>
    <row r="5902" spans="6:6" x14ac:dyDescent="0.3">
      <c r="F5902" s="193"/>
    </row>
    <row r="5903" spans="6:6" x14ac:dyDescent="0.3">
      <c r="F5903" s="193"/>
    </row>
    <row r="5904" spans="6:6" x14ac:dyDescent="0.3">
      <c r="F5904" s="193"/>
    </row>
    <row r="5905" spans="6:6" x14ac:dyDescent="0.3">
      <c r="F5905" s="193"/>
    </row>
    <row r="5906" spans="6:6" x14ac:dyDescent="0.3">
      <c r="F5906" s="193"/>
    </row>
    <row r="5907" spans="6:6" x14ac:dyDescent="0.3">
      <c r="F5907" s="193"/>
    </row>
    <row r="5908" spans="6:6" x14ac:dyDescent="0.3">
      <c r="F5908" s="193"/>
    </row>
    <row r="5909" spans="6:6" x14ac:dyDescent="0.3">
      <c r="F5909" s="193"/>
    </row>
    <row r="5910" spans="6:6" x14ac:dyDescent="0.3">
      <c r="F5910" s="193"/>
    </row>
    <row r="5911" spans="6:6" x14ac:dyDescent="0.3">
      <c r="F5911" s="193"/>
    </row>
    <row r="5912" spans="6:6" x14ac:dyDescent="0.3">
      <c r="F5912" s="193"/>
    </row>
    <row r="5913" spans="6:6" x14ac:dyDescent="0.3">
      <c r="F5913" s="193"/>
    </row>
    <row r="5914" spans="6:6" x14ac:dyDescent="0.3">
      <c r="F5914" s="193"/>
    </row>
    <row r="5915" spans="6:6" x14ac:dyDescent="0.3">
      <c r="F5915" s="193"/>
    </row>
    <row r="5916" spans="6:6" x14ac:dyDescent="0.3">
      <c r="F5916" s="193"/>
    </row>
    <row r="5917" spans="6:6" x14ac:dyDescent="0.3">
      <c r="F5917" s="193"/>
    </row>
    <row r="5918" spans="6:6" x14ac:dyDescent="0.3">
      <c r="F5918" s="193"/>
    </row>
    <row r="5919" spans="6:6" x14ac:dyDescent="0.3">
      <c r="F5919" s="193"/>
    </row>
    <row r="5920" spans="6:6" x14ac:dyDescent="0.3">
      <c r="F5920" s="193"/>
    </row>
    <row r="5921" spans="6:6" x14ac:dyDescent="0.3">
      <c r="F5921" s="193"/>
    </row>
    <row r="5922" spans="6:6" x14ac:dyDescent="0.3">
      <c r="F5922" s="193"/>
    </row>
    <row r="5923" spans="6:6" x14ac:dyDescent="0.3">
      <c r="F5923" s="193"/>
    </row>
    <row r="5924" spans="6:6" x14ac:dyDescent="0.3">
      <c r="F5924" s="193"/>
    </row>
    <row r="5925" spans="6:6" x14ac:dyDescent="0.3">
      <c r="F5925" s="193"/>
    </row>
    <row r="5926" spans="6:6" x14ac:dyDescent="0.3">
      <c r="F5926" s="193"/>
    </row>
    <row r="5927" spans="6:6" x14ac:dyDescent="0.3">
      <c r="F5927" s="193"/>
    </row>
    <row r="5928" spans="6:6" x14ac:dyDescent="0.3">
      <c r="F5928" s="193"/>
    </row>
    <row r="5929" spans="6:6" x14ac:dyDescent="0.3">
      <c r="F5929" s="193"/>
    </row>
    <row r="5930" spans="6:6" x14ac:dyDescent="0.3">
      <c r="F5930" s="193"/>
    </row>
    <row r="5931" spans="6:6" x14ac:dyDescent="0.3">
      <c r="F5931" s="193"/>
    </row>
    <row r="5932" spans="6:6" x14ac:dyDescent="0.3">
      <c r="F5932" s="193"/>
    </row>
    <row r="5933" spans="6:6" x14ac:dyDescent="0.3">
      <c r="F5933" s="193"/>
    </row>
    <row r="5934" spans="6:6" x14ac:dyDescent="0.3">
      <c r="F5934" s="193"/>
    </row>
    <row r="5935" spans="6:6" x14ac:dyDescent="0.3">
      <c r="F5935" s="193"/>
    </row>
    <row r="5936" spans="6:6" x14ac:dyDescent="0.3">
      <c r="F5936" s="193"/>
    </row>
    <row r="5937" spans="6:6" x14ac:dyDescent="0.3">
      <c r="F5937" s="193"/>
    </row>
    <row r="5938" spans="6:6" x14ac:dyDescent="0.3">
      <c r="F5938" s="193"/>
    </row>
    <row r="5939" spans="6:6" x14ac:dyDescent="0.3">
      <c r="F5939" s="193"/>
    </row>
    <row r="5940" spans="6:6" x14ac:dyDescent="0.3">
      <c r="F5940" s="193"/>
    </row>
    <row r="5941" spans="6:6" x14ac:dyDescent="0.3">
      <c r="F5941" s="193"/>
    </row>
    <row r="5942" spans="6:6" x14ac:dyDescent="0.3">
      <c r="F5942" s="193"/>
    </row>
    <row r="5943" spans="6:6" x14ac:dyDescent="0.3">
      <c r="F5943" s="193"/>
    </row>
    <row r="5944" spans="6:6" x14ac:dyDescent="0.3">
      <c r="F5944" s="193"/>
    </row>
    <row r="5945" spans="6:6" x14ac:dyDescent="0.3">
      <c r="F5945" s="193"/>
    </row>
    <row r="5946" spans="6:6" x14ac:dyDescent="0.3">
      <c r="F5946" s="193"/>
    </row>
    <row r="5947" spans="6:6" x14ac:dyDescent="0.3">
      <c r="F5947" s="193"/>
    </row>
    <row r="5948" spans="6:6" x14ac:dyDescent="0.3">
      <c r="F5948" s="193"/>
    </row>
    <row r="5949" spans="6:6" x14ac:dyDescent="0.3">
      <c r="F5949" s="193"/>
    </row>
    <row r="5950" spans="6:6" x14ac:dyDescent="0.3">
      <c r="F5950" s="193"/>
    </row>
    <row r="5951" spans="6:6" x14ac:dyDescent="0.3">
      <c r="F5951" s="193"/>
    </row>
    <row r="5952" spans="6:6" x14ac:dyDescent="0.3">
      <c r="F5952" s="193"/>
    </row>
    <row r="5953" spans="6:6" x14ac:dyDescent="0.3">
      <c r="F5953" s="193"/>
    </row>
    <row r="5954" spans="6:6" x14ac:dyDescent="0.3">
      <c r="F5954" s="193"/>
    </row>
    <row r="5955" spans="6:6" x14ac:dyDescent="0.3">
      <c r="F5955" s="193"/>
    </row>
    <row r="5956" spans="6:6" x14ac:dyDescent="0.3">
      <c r="F5956" s="193"/>
    </row>
    <row r="5957" spans="6:6" x14ac:dyDescent="0.3">
      <c r="F5957" s="193"/>
    </row>
    <row r="5958" spans="6:6" x14ac:dyDescent="0.3">
      <c r="F5958" s="193"/>
    </row>
    <row r="5959" spans="6:6" x14ac:dyDescent="0.3">
      <c r="F5959" s="193"/>
    </row>
    <row r="5960" spans="6:6" x14ac:dyDescent="0.3">
      <c r="F5960" s="193"/>
    </row>
    <row r="5961" spans="6:6" x14ac:dyDescent="0.3">
      <c r="F5961" s="193"/>
    </row>
    <row r="5962" spans="6:6" x14ac:dyDescent="0.3">
      <c r="F5962" s="193"/>
    </row>
    <row r="5963" spans="6:6" x14ac:dyDescent="0.3">
      <c r="F5963" s="193"/>
    </row>
    <row r="5964" spans="6:6" x14ac:dyDescent="0.3">
      <c r="F5964" s="193"/>
    </row>
    <row r="5965" spans="6:6" x14ac:dyDescent="0.3">
      <c r="F5965" s="193"/>
    </row>
    <row r="5966" spans="6:6" x14ac:dyDescent="0.3">
      <c r="F5966" s="193"/>
    </row>
    <row r="5967" spans="6:6" x14ac:dyDescent="0.3">
      <c r="F5967" s="193"/>
    </row>
    <row r="5968" spans="6:6" x14ac:dyDescent="0.3">
      <c r="F5968" s="193"/>
    </row>
    <row r="5969" spans="6:6" x14ac:dyDescent="0.3">
      <c r="F5969" s="193"/>
    </row>
    <row r="5970" spans="6:6" x14ac:dyDescent="0.3">
      <c r="F5970" s="193"/>
    </row>
    <row r="5971" spans="6:6" x14ac:dyDescent="0.3">
      <c r="F5971" s="193"/>
    </row>
    <row r="5972" spans="6:6" x14ac:dyDescent="0.3">
      <c r="F5972" s="193"/>
    </row>
    <row r="5973" spans="6:6" x14ac:dyDescent="0.3">
      <c r="F5973" s="193"/>
    </row>
    <row r="5974" spans="6:6" x14ac:dyDescent="0.3">
      <c r="F5974" s="193"/>
    </row>
    <row r="5975" spans="6:6" x14ac:dyDescent="0.3">
      <c r="F5975" s="193"/>
    </row>
    <row r="5976" spans="6:6" x14ac:dyDescent="0.3">
      <c r="F5976" s="193"/>
    </row>
    <row r="5977" spans="6:6" x14ac:dyDescent="0.3">
      <c r="F5977" s="193"/>
    </row>
    <row r="5978" spans="6:6" x14ac:dyDescent="0.3">
      <c r="F5978" s="193"/>
    </row>
    <row r="5979" spans="6:6" x14ac:dyDescent="0.3">
      <c r="F5979" s="193"/>
    </row>
    <row r="5980" spans="6:6" x14ac:dyDescent="0.3">
      <c r="F5980" s="193"/>
    </row>
    <row r="5981" spans="6:6" x14ac:dyDescent="0.3">
      <c r="F5981" s="193"/>
    </row>
    <row r="5982" spans="6:6" x14ac:dyDescent="0.3">
      <c r="F5982" s="193"/>
    </row>
    <row r="5983" spans="6:6" x14ac:dyDescent="0.3">
      <c r="F5983" s="193"/>
    </row>
    <row r="5984" spans="6:6" x14ac:dyDescent="0.3">
      <c r="F5984" s="193"/>
    </row>
    <row r="5985" spans="6:6" x14ac:dyDescent="0.3">
      <c r="F5985" s="193"/>
    </row>
    <row r="5986" spans="6:6" x14ac:dyDescent="0.3">
      <c r="F5986" s="193"/>
    </row>
    <row r="5987" spans="6:6" x14ac:dyDescent="0.3">
      <c r="F5987" s="193"/>
    </row>
    <row r="5988" spans="6:6" x14ac:dyDescent="0.3">
      <c r="F5988" s="193"/>
    </row>
    <row r="5989" spans="6:6" x14ac:dyDescent="0.3">
      <c r="F5989" s="193"/>
    </row>
    <row r="5990" spans="6:6" x14ac:dyDescent="0.3">
      <c r="F5990" s="193"/>
    </row>
    <row r="5991" spans="6:6" x14ac:dyDescent="0.3">
      <c r="F5991" s="193"/>
    </row>
    <row r="5992" spans="6:6" x14ac:dyDescent="0.3">
      <c r="F5992" s="193"/>
    </row>
    <row r="5993" spans="6:6" x14ac:dyDescent="0.3">
      <c r="F5993" s="193"/>
    </row>
    <row r="5994" spans="6:6" x14ac:dyDescent="0.3">
      <c r="F5994" s="193"/>
    </row>
    <row r="5995" spans="6:6" x14ac:dyDescent="0.3">
      <c r="F5995" s="193"/>
    </row>
    <row r="5996" spans="6:6" x14ac:dyDescent="0.3">
      <c r="F5996" s="193"/>
    </row>
    <row r="5997" spans="6:6" x14ac:dyDescent="0.3">
      <c r="F5997" s="193"/>
    </row>
    <row r="5998" spans="6:6" x14ac:dyDescent="0.3">
      <c r="F5998" s="193"/>
    </row>
    <row r="5999" spans="6:6" x14ac:dyDescent="0.3">
      <c r="F5999" s="193"/>
    </row>
    <row r="6000" spans="6:6" x14ac:dyDescent="0.3">
      <c r="F6000" s="193"/>
    </row>
    <row r="6001" spans="6:6" x14ac:dyDescent="0.3">
      <c r="F6001" s="193"/>
    </row>
    <row r="6002" spans="6:6" x14ac:dyDescent="0.3">
      <c r="F6002" s="193"/>
    </row>
    <row r="6003" spans="6:6" x14ac:dyDescent="0.3">
      <c r="F6003" s="193"/>
    </row>
    <row r="6004" spans="6:6" x14ac:dyDescent="0.3">
      <c r="F6004" s="193"/>
    </row>
    <row r="6005" spans="6:6" x14ac:dyDescent="0.3">
      <c r="F6005" s="193"/>
    </row>
    <row r="6006" spans="6:6" x14ac:dyDescent="0.3">
      <c r="F6006" s="193"/>
    </row>
    <row r="6007" spans="6:6" x14ac:dyDescent="0.3">
      <c r="F6007" s="193"/>
    </row>
    <row r="6008" spans="6:6" x14ac:dyDescent="0.3">
      <c r="F6008" s="193"/>
    </row>
    <row r="6009" spans="6:6" x14ac:dyDescent="0.3">
      <c r="F6009" s="193"/>
    </row>
    <row r="6010" spans="6:6" x14ac:dyDescent="0.3">
      <c r="F6010" s="193"/>
    </row>
    <row r="6011" spans="6:6" x14ac:dyDescent="0.3">
      <c r="F6011" s="193"/>
    </row>
    <row r="6012" spans="6:6" x14ac:dyDescent="0.3">
      <c r="F6012" s="193"/>
    </row>
    <row r="6013" spans="6:6" x14ac:dyDescent="0.3">
      <c r="F6013" s="193"/>
    </row>
    <row r="6014" spans="6:6" x14ac:dyDescent="0.3">
      <c r="F6014" s="193"/>
    </row>
    <row r="6015" spans="6:6" x14ac:dyDescent="0.3">
      <c r="F6015" s="193"/>
    </row>
    <row r="6016" spans="6:6" x14ac:dyDescent="0.3">
      <c r="F6016" s="193"/>
    </row>
    <row r="6017" spans="6:6" x14ac:dyDescent="0.3">
      <c r="F6017" s="193"/>
    </row>
    <row r="6018" spans="6:6" x14ac:dyDescent="0.3">
      <c r="F6018" s="193"/>
    </row>
    <row r="6019" spans="6:6" x14ac:dyDescent="0.3">
      <c r="F6019" s="193"/>
    </row>
    <row r="6020" spans="6:6" x14ac:dyDescent="0.3">
      <c r="F6020" s="193"/>
    </row>
    <row r="6021" spans="6:6" x14ac:dyDescent="0.3">
      <c r="F6021" s="193"/>
    </row>
    <row r="6022" spans="6:6" x14ac:dyDescent="0.3">
      <c r="F6022" s="193"/>
    </row>
    <row r="6023" spans="6:6" x14ac:dyDescent="0.3">
      <c r="F6023" s="193"/>
    </row>
    <row r="6024" spans="6:6" x14ac:dyDescent="0.3">
      <c r="F6024" s="193"/>
    </row>
    <row r="6025" spans="6:6" x14ac:dyDescent="0.3">
      <c r="F6025" s="193"/>
    </row>
    <row r="6026" spans="6:6" x14ac:dyDescent="0.3">
      <c r="F6026" s="193"/>
    </row>
    <row r="6027" spans="6:6" x14ac:dyDescent="0.3">
      <c r="F6027" s="193"/>
    </row>
    <row r="6028" spans="6:6" x14ac:dyDescent="0.3">
      <c r="F6028" s="193"/>
    </row>
    <row r="6029" spans="6:6" x14ac:dyDescent="0.3">
      <c r="F6029" s="193"/>
    </row>
    <row r="6030" spans="6:6" x14ac:dyDescent="0.3">
      <c r="F6030" s="193"/>
    </row>
    <row r="6031" spans="6:6" x14ac:dyDescent="0.3">
      <c r="F6031" s="193"/>
    </row>
    <row r="6032" spans="6:6" x14ac:dyDescent="0.3">
      <c r="F6032" s="193"/>
    </row>
    <row r="6033" spans="6:6" x14ac:dyDescent="0.3">
      <c r="F6033" s="193"/>
    </row>
    <row r="6034" spans="6:6" x14ac:dyDescent="0.3">
      <c r="F6034" s="193"/>
    </row>
    <row r="6035" spans="6:6" x14ac:dyDescent="0.3">
      <c r="F6035" s="193"/>
    </row>
    <row r="6036" spans="6:6" x14ac:dyDescent="0.3">
      <c r="F6036" s="193"/>
    </row>
    <row r="6037" spans="6:6" x14ac:dyDescent="0.3">
      <c r="F6037" s="193"/>
    </row>
    <row r="6038" spans="6:6" x14ac:dyDescent="0.3">
      <c r="F6038" s="193"/>
    </row>
    <row r="6039" spans="6:6" x14ac:dyDescent="0.3">
      <c r="F6039" s="193"/>
    </row>
    <row r="6040" spans="6:6" x14ac:dyDescent="0.3">
      <c r="F6040" s="193"/>
    </row>
    <row r="6041" spans="6:6" x14ac:dyDescent="0.3">
      <c r="F6041" s="193"/>
    </row>
    <row r="6042" spans="6:6" x14ac:dyDescent="0.3">
      <c r="F6042" s="193"/>
    </row>
    <row r="6043" spans="6:6" x14ac:dyDescent="0.3">
      <c r="F6043" s="193"/>
    </row>
    <row r="6044" spans="6:6" x14ac:dyDescent="0.3">
      <c r="F6044" s="193"/>
    </row>
    <row r="6045" spans="6:6" x14ac:dyDescent="0.3">
      <c r="F6045" s="193"/>
    </row>
    <row r="6046" spans="6:6" x14ac:dyDescent="0.3">
      <c r="F6046" s="193"/>
    </row>
    <row r="6047" spans="6:6" x14ac:dyDescent="0.3">
      <c r="F6047" s="193"/>
    </row>
    <row r="6048" spans="6:6" x14ac:dyDescent="0.3">
      <c r="F6048" s="193"/>
    </row>
    <row r="6049" spans="6:6" x14ac:dyDescent="0.3">
      <c r="F6049" s="193"/>
    </row>
    <row r="6050" spans="6:6" x14ac:dyDescent="0.3">
      <c r="F6050" s="193"/>
    </row>
    <row r="6051" spans="6:6" x14ac:dyDescent="0.3">
      <c r="F6051" s="193"/>
    </row>
    <row r="6052" spans="6:6" x14ac:dyDescent="0.3">
      <c r="F6052" s="193"/>
    </row>
    <row r="6053" spans="6:6" x14ac:dyDescent="0.3">
      <c r="F6053" s="193"/>
    </row>
    <row r="6054" spans="6:6" x14ac:dyDescent="0.3">
      <c r="F6054" s="193"/>
    </row>
    <row r="6055" spans="6:6" x14ac:dyDescent="0.3">
      <c r="F6055" s="193"/>
    </row>
    <row r="6056" spans="6:6" x14ac:dyDescent="0.3">
      <c r="F6056" s="193"/>
    </row>
    <row r="6057" spans="6:6" x14ac:dyDescent="0.3">
      <c r="F6057" s="193"/>
    </row>
    <row r="6058" spans="6:6" x14ac:dyDescent="0.3">
      <c r="F6058" s="193"/>
    </row>
    <row r="6059" spans="6:6" x14ac:dyDescent="0.3">
      <c r="F6059" s="193"/>
    </row>
    <row r="6060" spans="6:6" x14ac:dyDescent="0.3">
      <c r="F6060" s="193"/>
    </row>
    <row r="6061" spans="6:6" x14ac:dyDescent="0.3">
      <c r="F6061" s="193"/>
    </row>
    <row r="6062" spans="6:6" x14ac:dyDescent="0.3">
      <c r="F6062" s="193"/>
    </row>
    <row r="6063" spans="6:6" x14ac:dyDescent="0.3">
      <c r="F6063" s="193"/>
    </row>
    <row r="6064" spans="6:6" x14ac:dyDescent="0.3">
      <c r="F6064" s="193"/>
    </row>
    <row r="6065" spans="6:6" x14ac:dyDescent="0.3">
      <c r="F6065" s="193"/>
    </row>
    <row r="6066" spans="6:6" x14ac:dyDescent="0.3">
      <c r="F6066" s="193"/>
    </row>
    <row r="6067" spans="6:6" x14ac:dyDescent="0.3">
      <c r="F6067" s="193"/>
    </row>
    <row r="6068" spans="6:6" x14ac:dyDescent="0.3">
      <c r="F6068" s="193"/>
    </row>
    <row r="6069" spans="6:6" x14ac:dyDescent="0.3">
      <c r="F6069" s="193"/>
    </row>
    <row r="6070" spans="6:6" x14ac:dyDescent="0.3">
      <c r="F6070" s="193"/>
    </row>
    <row r="6071" spans="6:6" x14ac:dyDescent="0.3">
      <c r="F6071" s="193"/>
    </row>
    <row r="6072" spans="6:6" x14ac:dyDescent="0.3">
      <c r="F6072" s="193"/>
    </row>
    <row r="6073" spans="6:6" x14ac:dyDescent="0.3">
      <c r="F6073" s="193"/>
    </row>
    <row r="6074" spans="6:6" x14ac:dyDescent="0.3">
      <c r="F6074" s="193"/>
    </row>
    <row r="6075" spans="6:6" x14ac:dyDescent="0.3">
      <c r="F6075" s="193"/>
    </row>
    <row r="6076" spans="6:6" x14ac:dyDescent="0.3">
      <c r="F6076" s="193"/>
    </row>
    <row r="6077" spans="6:6" x14ac:dyDescent="0.3">
      <c r="F6077" s="193"/>
    </row>
    <row r="6078" spans="6:6" x14ac:dyDescent="0.3">
      <c r="F6078" s="193"/>
    </row>
    <row r="6079" spans="6:6" x14ac:dyDescent="0.3">
      <c r="F6079" s="193"/>
    </row>
    <row r="6080" spans="6:6" x14ac:dyDescent="0.3">
      <c r="F6080" s="193"/>
    </row>
    <row r="6081" spans="6:6" x14ac:dyDescent="0.3">
      <c r="F6081" s="193"/>
    </row>
    <row r="6082" spans="6:6" x14ac:dyDescent="0.3">
      <c r="F6082" s="193"/>
    </row>
    <row r="6083" spans="6:6" x14ac:dyDescent="0.3">
      <c r="F6083" s="193"/>
    </row>
    <row r="6084" spans="6:6" x14ac:dyDescent="0.3">
      <c r="F6084" s="193"/>
    </row>
    <row r="6085" spans="6:6" x14ac:dyDescent="0.3">
      <c r="F6085" s="193"/>
    </row>
    <row r="6086" spans="6:6" x14ac:dyDescent="0.3">
      <c r="F6086" s="193"/>
    </row>
    <row r="6087" spans="6:6" x14ac:dyDescent="0.3">
      <c r="F6087" s="193"/>
    </row>
    <row r="6088" spans="6:6" x14ac:dyDescent="0.3">
      <c r="F6088" s="193"/>
    </row>
    <row r="6089" spans="6:6" x14ac:dyDescent="0.3">
      <c r="F6089" s="193"/>
    </row>
    <row r="6090" spans="6:6" x14ac:dyDescent="0.3">
      <c r="F6090" s="193"/>
    </row>
    <row r="6091" spans="6:6" x14ac:dyDescent="0.3">
      <c r="F6091" s="193"/>
    </row>
    <row r="6092" spans="6:6" x14ac:dyDescent="0.3">
      <c r="F6092" s="193"/>
    </row>
    <row r="6093" spans="6:6" x14ac:dyDescent="0.3">
      <c r="F6093" s="193"/>
    </row>
    <row r="6094" spans="6:6" x14ac:dyDescent="0.3">
      <c r="F6094" s="193"/>
    </row>
    <row r="6095" spans="6:6" x14ac:dyDescent="0.3">
      <c r="F6095" s="193"/>
    </row>
    <row r="6096" spans="6:6" x14ac:dyDescent="0.3">
      <c r="F6096" s="193"/>
    </row>
    <row r="6097" spans="6:6" x14ac:dyDescent="0.3">
      <c r="F6097" s="193"/>
    </row>
    <row r="6098" spans="6:6" x14ac:dyDescent="0.3">
      <c r="F6098" s="193"/>
    </row>
    <row r="6099" spans="6:6" x14ac:dyDescent="0.3">
      <c r="F6099" s="193"/>
    </row>
    <row r="6100" spans="6:6" x14ac:dyDescent="0.3">
      <c r="F6100" s="193"/>
    </row>
    <row r="6101" spans="6:6" x14ac:dyDescent="0.3">
      <c r="F6101" s="193"/>
    </row>
    <row r="6102" spans="6:6" x14ac:dyDescent="0.3">
      <c r="F6102" s="193"/>
    </row>
    <row r="6103" spans="6:6" x14ac:dyDescent="0.3">
      <c r="F6103" s="193"/>
    </row>
    <row r="6104" spans="6:6" x14ac:dyDescent="0.3">
      <c r="F6104" s="193"/>
    </row>
    <row r="6105" spans="6:6" x14ac:dyDescent="0.3">
      <c r="F6105" s="193"/>
    </row>
    <row r="6106" spans="6:6" x14ac:dyDescent="0.3">
      <c r="F6106" s="193"/>
    </row>
    <row r="6107" spans="6:6" x14ac:dyDescent="0.3">
      <c r="F6107" s="193"/>
    </row>
    <row r="6108" spans="6:6" x14ac:dyDescent="0.3">
      <c r="F6108" s="193"/>
    </row>
    <row r="6109" spans="6:6" x14ac:dyDescent="0.3">
      <c r="F6109" s="193"/>
    </row>
    <row r="6110" spans="6:6" x14ac:dyDescent="0.3">
      <c r="F6110" s="193"/>
    </row>
    <row r="6111" spans="6:6" x14ac:dyDescent="0.3">
      <c r="F6111" s="193"/>
    </row>
    <row r="6112" spans="6:6" x14ac:dyDescent="0.3">
      <c r="F6112" s="193"/>
    </row>
    <row r="6113" spans="6:6" x14ac:dyDescent="0.3">
      <c r="F6113" s="193"/>
    </row>
    <row r="6114" spans="6:6" x14ac:dyDescent="0.3">
      <c r="F6114" s="193"/>
    </row>
    <row r="6115" spans="6:6" x14ac:dyDescent="0.3">
      <c r="F6115" s="193"/>
    </row>
    <row r="6116" spans="6:6" x14ac:dyDescent="0.3">
      <c r="F6116" s="193"/>
    </row>
    <row r="6117" spans="6:6" x14ac:dyDescent="0.3">
      <c r="F6117" s="193"/>
    </row>
    <row r="6118" spans="6:6" x14ac:dyDescent="0.3">
      <c r="F6118" s="193"/>
    </row>
    <row r="6119" spans="6:6" x14ac:dyDescent="0.3">
      <c r="F6119" s="193"/>
    </row>
    <row r="6120" spans="6:6" x14ac:dyDescent="0.3">
      <c r="F6120" s="193"/>
    </row>
    <row r="6121" spans="6:6" x14ac:dyDescent="0.3">
      <c r="F6121" s="193"/>
    </row>
    <row r="6122" spans="6:6" x14ac:dyDescent="0.3">
      <c r="F6122" s="193"/>
    </row>
    <row r="6123" spans="6:6" x14ac:dyDescent="0.3">
      <c r="F6123" s="193"/>
    </row>
    <row r="6124" spans="6:6" x14ac:dyDescent="0.3">
      <c r="F6124" s="193"/>
    </row>
    <row r="6125" spans="6:6" x14ac:dyDescent="0.3">
      <c r="F6125" s="193"/>
    </row>
    <row r="6126" spans="6:6" x14ac:dyDescent="0.3">
      <c r="F6126" s="193"/>
    </row>
    <row r="6127" spans="6:6" x14ac:dyDescent="0.3">
      <c r="F6127" s="193"/>
    </row>
    <row r="6128" spans="6:6" x14ac:dyDescent="0.3">
      <c r="F6128" s="193"/>
    </row>
    <row r="6129" spans="6:6" x14ac:dyDescent="0.3">
      <c r="F6129" s="193"/>
    </row>
    <row r="6130" spans="6:6" x14ac:dyDescent="0.3">
      <c r="F6130" s="193"/>
    </row>
    <row r="6131" spans="6:6" x14ac:dyDescent="0.3">
      <c r="F6131" s="193"/>
    </row>
    <row r="6132" spans="6:6" x14ac:dyDescent="0.3">
      <c r="F6132" s="193"/>
    </row>
    <row r="6133" spans="6:6" x14ac:dyDescent="0.3">
      <c r="F6133" s="193"/>
    </row>
    <row r="6134" spans="6:6" x14ac:dyDescent="0.3">
      <c r="F6134" s="193"/>
    </row>
    <row r="6135" spans="6:6" x14ac:dyDescent="0.3">
      <c r="F6135" s="193"/>
    </row>
    <row r="6136" spans="6:6" x14ac:dyDescent="0.3">
      <c r="F6136" s="193"/>
    </row>
    <row r="6137" spans="6:6" x14ac:dyDescent="0.3">
      <c r="F6137" s="193"/>
    </row>
    <row r="6138" spans="6:6" x14ac:dyDescent="0.3">
      <c r="F6138" s="193"/>
    </row>
    <row r="6139" spans="6:6" x14ac:dyDescent="0.3">
      <c r="F6139" s="193"/>
    </row>
    <row r="6140" spans="6:6" x14ac:dyDescent="0.3">
      <c r="F6140" s="193"/>
    </row>
    <row r="6141" spans="6:6" x14ac:dyDescent="0.3">
      <c r="F6141" s="193"/>
    </row>
    <row r="6142" spans="6:6" x14ac:dyDescent="0.3">
      <c r="F6142" s="193"/>
    </row>
    <row r="6143" spans="6:6" x14ac:dyDescent="0.3">
      <c r="F6143" s="193"/>
    </row>
    <row r="6144" spans="6:6" x14ac:dyDescent="0.3">
      <c r="F6144" s="193"/>
    </row>
    <row r="6145" spans="6:6" x14ac:dyDescent="0.3">
      <c r="F6145" s="193"/>
    </row>
    <row r="6146" spans="6:6" x14ac:dyDescent="0.3">
      <c r="F6146" s="193"/>
    </row>
    <row r="6147" spans="6:6" x14ac:dyDescent="0.3">
      <c r="F6147" s="193"/>
    </row>
    <row r="6148" spans="6:6" x14ac:dyDescent="0.3">
      <c r="F6148" s="193"/>
    </row>
    <row r="6149" spans="6:6" x14ac:dyDescent="0.3">
      <c r="F6149" s="193"/>
    </row>
    <row r="6150" spans="6:6" x14ac:dyDescent="0.3">
      <c r="F6150" s="193"/>
    </row>
    <row r="6151" spans="6:6" x14ac:dyDescent="0.3">
      <c r="F6151" s="193"/>
    </row>
    <row r="6152" spans="6:6" x14ac:dyDescent="0.3">
      <c r="F6152" s="193"/>
    </row>
    <row r="6153" spans="6:6" x14ac:dyDescent="0.3">
      <c r="F6153" s="193"/>
    </row>
    <row r="6154" spans="6:6" x14ac:dyDescent="0.3">
      <c r="F6154" s="193"/>
    </row>
    <row r="6155" spans="6:6" x14ac:dyDescent="0.3">
      <c r="F6155" s="193"/>
    </row>
    <row r="6156" spans="6:6" x14ac:dyDescent="0.3">
      <c r="F6156" s="193"/>
    </row>
    <row r="6157" spans="6:6" x14ac:dyDescent="0.3">
      <c r="F6157" s="193"/>
    </row>
    <row r="6158" spans="6:6" x14ac:dyDescent="0.3">
      <c r="F6158" s="193"/>
    </row>
    <row r="6159" spans="6:6" x14ac:dyDescent="0.3">
      <c r="F6159" s="193"/>
    </row>
    <row r="6160" spans="6:6" x14ac:dyDescent="0.3">
      <c r="F6160" s="193"/>
    </row>
    <row r="6161" spans="6:6" x14ac:dyDescent="0.3">
      <c r="F6161" s="193"/>
    </row>
    <row r="6162" spans="6:6" x14ac:dyDescent="0.3">
      <c r="F6162" s="193"/>
    </row>
    <row r="6163" spans="6:6" x14ac:dyDescent="0.3">
      <c r="F6163" s="193"/>
    </row>
    <row r="6164" spans="6:6" x14ac:dyDescent="0.3">
      <c r="F6164" s="193"/>
    </row>
    <row r="6165" spans="6:6" x14ac:dyDescent="0.3">
      <c r="F6165" s="193"/>
    </row>
    <row r="6166" spans="6:6" x14ac:dyDescent="0.3">
      <c r="F6166" s="193"/>
    </row>
    <row r="6167" spans="6:6" x14ac:dyDescent="0.3">
      <c r="F6167" s="193"/>
    </row>
    <row r="6168" spans="6:6" x14ac:dyDescent="0.3">
      <c r="F6168" s="193"/>
    </row>
    <row r="6169" spans="6:6" x14ac:dyDescent="0.3">
      <c r="F6169" s="193"/>
    </row>
    <row r="6170" spans="6:6" x14ac:dyDescent="0.3">
      <c r="F6170" s="193"/>
    </row>
    <row r="6171" spans="6:6" x14ac:dyDescent="0.3">
      <c r="F6171" s="193"/>
    </row>
    <row r="6172" spans="6:6" x14ac:dyDescent="0.3">
      <c r="F6172" s="193"/>
    </row>
    <row r="6173" spans="6:6" x14ac:dyDescent="0.3">
      <c r="F6173" s="193"/>
    </row>
    <row r="6174" spans="6:6" x14ac:dyDescent="0.3">
      <c r="F6174" s="193"/>
    </row>
    <row r="6175" spans="6:6" x14ac:dyDescent="0.3">
      <c r="F6175" s="193"/>
    </row>
    <row r="6176" spans="6:6" x14ac:dyDescent="0.3">
      <c r="F6176" s="193"/>
    </row>
    <row r="6177" spans="6:6" x14ac:dyDescent="0.3">
      <c r="F6177" s="193"/>
    </row>
    <row r="6178" spans="6:6" x14ac:dyDescent="0.3">
      <c r="F6178" s="193"/>
    </row>
    <row r="6179" spans="6:6" x14ac:dyDescent="0.3">
      <c r="F6179" s="193"/>
    </row>
    <row r="6180" spans="6:6" x14ac:dyDescent="0.3">
      <c r="F6180" s="193"/>
    </row>
    <row r="6181" spans="6:6" x14ac:dyDescent="0.3">
      <c r="F6181" s="193"/>
    </row>
    <row r="6182" spans="6:6" x14ac:dyDescent="0.3">
      <c r="F6182" s="193"/>
    </row>
    <row r="6183" spans="6:6" x14ac:dyDescent="0.3">
      <c r="F6183" s="193"/>
    </row>
    <row r="6184" spans="6:6" x14ac:dyDescent="0.3">
      <c r="F6184" s="193"/>
    </row>
    <row r="6185" spans="6:6" x14ac:dyDescent="0.3">
      <c r="F6185" s="193"/>
    </row>
    <row r="6186" spans="6:6" x14ac:dyDescent="0.3">
      <c r="F6186" s="193"/>
    </row>
    <row r="6187" spans="6:6" x14ac:dyDescent="0.3">
      <c r="F6187" s="193"/>
    </row>
    <row r="6188" spans="6:6" x14ac:dyDescent="0.3">
      <c r="F6188" s="193"/>
    </row>
    <row r="6189" spans="6:6" x14ac:dyDescent="0.3">
      <c r="F6189" s="193"/>
    </row>
    <row r="6190" spans="6:6" x14ac:dyDescent="0.3">
      <c r="F6190" s="193"/>
    </row>
    <row r="6191" spans="6:6" x14ac:dyDescent="0.3">
      <c r="F6191" s="193"/>
    </row>
    <row r="6192" spans="6:6" x14ac:dyDescent="0.3">
      <c r="F6192" s="193"/>
    </row>
    <row r="6193" spans="6:6" x14ac:dyDescent="0.3">
      <c r="F6193" s="193"/>
    </row>
    <row r="6194" spans="6:6" x14ac:dyDescent="0.3">
      <c r="F6194" s="193"/>
    </row>
    <row r="6195" spans="6:6" x14ac:dyDescent="0.3">
      <c r="F6195" s="193"/>
    </row>
    <row r="6196" spans="6:6" x14ac:dyDescent="0.3">
      <c r="F6196" s="193"/>
    </row>
    <row r="6197" spans="6:6" x14ac:dyDescent="0.3">
      <c r="F6197" s="193"/>
    </row>
    <row r="6198" spans="6:6" x14ac:dyDescent="0.3">
      <c r="F6198" s="193"/>
    </row>
    <row r="6199" spans="6:6" x14ac:dyDescent="0.3">
      <c r="F6199" s="193"/>
    </row>
    <row r="6200" spans="6:6" x14ac:dyDescent="0.3">
      <c r="F6200" s="193"/>
    </row>
    <row r="6201" spans="6:6" x14ac:dyDescent="0.3">
      <c r="F6201" s="193"/>
    </row>
    <row r="6202" spans="6:6" x14ac:dyDescent="0.3">
      <c r="F6202" s="193"/>
    </row>
    <row r="6203" spans="6:6" x14ac:dyDescent="0.3">
      <c r="F6203" s="193"/>
    </row>
    <row r="6204" spans="6:6" x14ac:dyDescent="0.3">
      <c r="F6204" s="193"/>
    </row>
    <row r="6205" spans="6:6" x14ac:dyDescent="0.3">
      <c r="F6205" s="193"/>
    </row>
    <row r="6206" spans="6:6" x14ac:dyDescent="0.3">
      <c r="F6206" s="193"/>
    </row>
    <row r="6207" spans="6:6" x14ac:dyDescent="0.3">
      <c r="F6207" s="193"/>
    </row>
    <row r="6208" spans="6:6" x14ac:dyDescent="0.3">
      <c r="F6208" s="193"/>
    </row>
    <row r="6209" spans="6:6" x14ac:dyDescent="0.3">
      <c r="F6209" s="193"/>
    </row>
    <row r="6210" spans="6:6" x14ac:dyDescent="0.3">
      <c r="F6210" s="193"/>
    </row>
    <row r="6211" spans="6:6" x14ac:dyDescent="0.3">
      <c r="F6211" s="193"/>
    </row>
    <row r="6212" spans="6:6" x14ac:dyDescent="0.3">
      <c r="F6212" s="193"/>
    </row>
    <row r="6213" spans="6:6" x14ac:dyDescent="0.3">
      <c r="F6213" s="193"/>
    </row>
    <row r="6214" spans="6:6" x14ac:dyDescent="0.3">
      <c r="F6214" s="193"/>
    </row>
    <row r="6215" spans="6:6" x14ac:dyDescent="0.3">
      <c r="F6215" s="193"/>
    </row>
    <row r="6216" spans="6:6" x14ac:dyDescent="0.3">
      <c r="F6216" s="193"/>
    </row>
    <row r="6217" spans="6:6" x14ac:dyDescent="0.3">
      <c r="F6217" s="193"/>
    </row>
    <row r="6218" spans="6:6" x14ac:dyDescent="0.3">
      <c r="F6218" s="193"/>
    </row>
    <row r="6219" spans="6:6" x14ac:dyDescent="0.3">
      <c r="F6219" s="193"/>
    </row>
    <row r="6220" spans="6:6" x14ac:dyDescent="0.3">
      <c r="F6220" s="193"/>
    </row>
    <row r="6221" spans="6:6" x14ac:dyDescent="0.3">
      <c r="F6221" s="193"/>
    </row>
    <row r="6222" spans="6:6" x14ac:dyDescent="0.3">
      <c r="F6222" s="193"/>
    </row>
    <row r="6223" spans="6:6" x14ac:dyDescent="0.3">
      <c r="F6223" s="193"/>
    </row>
    <row r="6224" spans="6:6" x14ac:dyDescent="0.3">
      <c r="F6224" s="193"/>
    </row>
    <row r="6225" spans="6:6" x14ac:dyDescent="0.3">
      <c r="F6225" s="193"/>
    </row>
    <row r="6226" spans="6:6" x14ac:dyDescent="0.3">
      <c r="F6226" s="193"/>
    </row>
    <row r="6227" spans="6:6" x14ac:dyDescent="0.3">
      <c r="F6227" s="193"/>
    </row>
    <row r="6228" spans="6:6" x14ac:dyDescent="0.3">
      <c r="F6228" s="193"/>
    </row>
    <row r="6229" spans="6:6" x14ac:dyDescent="0.3">
      <c r="F6229" s="193"/>
    </row>
    <row r="6230" spans="6:6" x14ac:dyDescent="0.3">
      <c r="F6230" s="193"/>
    </row>
    <row r="6231" spans="6:6" x14ac:dyDescent="0.3">
      <c r="F6231" s="193"/>
    </row>
    <row r="6232" spans="6:6" x14ac:dyDescent="0.3">
      <c r="F6232" s="193"/>
    </row>
    <row r="6233" spans="6:6" x14ac:dyDescent="0.3">
      <c r="F6233" s="193"/>
    </row>
    <row r="6234" spans="6:6" x14ac:dyDescent="0.3">
      <c r="F6234" s="193"/>
    </row>
    <row r="6235" spans="6:6" x14ac:dyDescent="0.3">
      <c r="F6235" s="193"/>
    </row>
    <row r="6236" spans="6:6" x14ac:dyDescent="0.3">
      <c r="F6236" s="193"/>
    </row>
    <row r="6237" spans="6:6" x14ac:dyDescent="0.3">
      <c r="F6237" s="193"/>
    </row>
    <row r="6238" spans="6:6" x14ac:dyDescent="0.3">
      <c r="F6238" s="193"/>
    </row>
    <row r="6239" spans="6:6" x14ac:dyDescent="0.3">
      <c r="F6239" s="193"/>
    </row>
    <row r="6240" spans="6:6" x14ac:dyDescent="0.3">
      <c r="F6240" s="193"/>
    </row>
    <row r="6241" spans="6:6" x14ac:dyDescent="0.3">
      <c r="F6241" s="193"/>
    </row>
    <row r="6242" spans="6:6" x14ac:dyDescent="0.3">
      <c r="F6242" s="193"/>
    </row>
    <row r="6243" spans="6:6" x14ac:dyDescent="0.3">
      <c r="F6243" s="193"/>
    </row>
    <row r="6244" spans="6:6" x14ac:dyDescent="0.3">
      <c r="F6244" s="193"/>
    </row>
    <row r="6245" spans="6:6" x14ac:dyDescent="0.3">
      <c r="F6245" s="193"/>
    </row>
    <row r="6246" spans="6:6" x14ac:dyDescent="0.3">
      <c r="F6246" s="193"/>
    </row>
    <row r="6247" spans="6:6" x14ac:dyDescent="0.3">
      <c r="F6247" s="193"/>
    </row>
    <row r="6248" spans="6:6" x14ac:dyDescent="0.3">
      <c r="F6248" s="193"/>
    </row>
    <row r="6249" spans="6:6" x14ac:dyDescent="0.3">
      <c r="F6249" s="193"/>
    </row>
    <row r="6250" spans="6:6" x14ac:dyDescent="0.3">
      <c r="F6250" s="193"/>
    </row>
    <row r="6251" spans="6:6" x14ac:dyDescent="0.3">
      <c r="F6251" s="193"/>
    </row>
    <row r="6252" spans="6:6" x14ac:dyDescent="0.3">
      <c r="F6252" s="193"/>
    </row>
    <row r="6253" spans="6:6" x14ac:dyDescent="0.3">
      <c r="F6253" s="193"/>
    </row>
    <row r="6254" spans="6:6" x14ac:dyDescent="0.3">
      <c r="F6254" s="193"/>
    </row>
    <row r="6255" spans="6:6" x14ac:dyDescent="0.3">
      <c r="F6255" s="193"/>
    </row>
    <row r="6256" spans="6:6" x14ac:dyDescent="0.3">
      <c r="F6256" s="193"/>
    </row>
    <row r="6257" spans="6:6" x14ac:dyDescent="0.3">
      <c r="F6257" s="193"/>
    </row>
    <row r="6258" spans="6:6" x14ac:dyDescent="0.3">
      <c r="F6258" s="193"/>
    </row>
    <row r="6259" spans="6:6" x14ac:dyDescent="0.3">
      <c r="F6259" s="193"/>
    </row>
    <row r="6260" spans="6:6" x14ac:dyDescent="0.3">
      <c r="F6260" s="193"/>
    </row>
    <row r="6261" spans="6:6" x14ac:dyDescent="0.3">
      <c r="F6261" s="193"/>
    </row>
    <row r="6262" spans="6:6" x14ac:dyDescent="0.3">
      <c r="F6262" s="193"/>
    </row>
    <row r="6263" spans="6:6" x14ac:dyDescent="0.3">
      <c r="F6263" s="193"/>
    </row>
    <row r="6264" spans="6:6" x14ac:dyDescent="0.3">
      <c r="F6264" s="193"/>
    </row>
    <row r="6265" spans="6:6" x14ac:dyDescent="0.3">
      <c r="F6265" s="193"/>
    </row>
    <row r="6266" spans="6:6" x14ac:dyDescent="0.3">
      <c r="F6266" s="193"/>
    </row>
    <row r="6267" spans="6:6" x14ac:dyDescent="0.3">
      <c r="F6267" s="193"/>
    </row>
    <row r="6268" spans="6:6" x14ac:dyDescent="0.3">
      <c r="F6268" s="193"/>
    </row>
    <row r="6269" spans="6:6" x14ac:dyDescent="0.3">
      <c r="F6269" s="193"/>
    </row>
    <row r="6270" spans="6:6" x14ac:dyDescent="0.3">
      <c r="F6270" s="193"/>
    </row>
    <row r="6271" spans="6:6" x14ac:dyDescent="0.3">
      <c r="F6271" s="193"/>
    </row>
    <row r="6272" spans="6:6" x14ac:dyDescent="0.3">
      <c r="F6272" s="193"/>
    </row>
    <row r="6273" spans="6:6" x14ac:dyDescent="0.3">
      <c r="F6273" s="193"/>
    </row>
    <row r="6274" spans="6:6" x14ac:dyDescent="0.3">
      <c r="F6274" s="193"/>
    </row>
    <row r="6275" spans="6:6" x14ac:dyDescent="0.3">
      <c r="F6275" s="193"/>
    </row>
    <row r="6276" spans="6:6" x14ac:dyDescent="0.3">
      <c r="F6276" s="193"/>
    </row>
    <row r="6277" spans="6:6" x14ac:dyDescent="0.3">
      <c r="F6277" s="193"/>
    </row>
    <row r="6278" spans="6:6" x14ac:dyDescent="0.3">
      <c r="F6278" s="193"/>
    </row>
    <row r="6279" spans="6:6" x14ac:dyDescent="0.3">
      <c r="F6279" s="193"/>
    </row>
    <row r="6280" spans="6:6" x14ac:dyDescent="0.3">
      <c r="F6280" s="193"/>
    </row>
    <row r="6281" spans="6:6" x14ac:dyDescent="0.3">
      <c r="F6281" s="193"/>
    </row>
    <row r="6282" spans="6:6" x14ac:dyDescent="0.3">
      <c r="F6282" s="193"/>
    </row>
    <row r="6283" spans="6:6" x14ac:dyDescent="0.3">
      <c r="F6283" s="193"/>
    </row>
    <row r="6284" spans="6:6" x14ac:dyDescent="0.3">
      <c r="F6284" s="193"/>
    </row>
    <row r="6285" spans="6:6" x14ac:dyDescent="0.3">
      <c r="F6285" s="193"/>
    </row>
    <row r="6286" spans="6:6" x14ac:dyDescent="0.3">
      <c r="F6286" s="193"/>
    </row>
    <row r="6287" spans="6:6" x14ac:dyDescent="0.3">
      <c r="F6287" s="193"/>
    </row>
    <row r="6288" spans="6:6" x14ac:dyDescent="0.3">
      <c r="F6288" s="193"/>
    </row>
    <row r="6289" spans="6:6" x14ac:dyDescent="0.3">
      <c r="F6289" s="193"/>
    </row>
    <row r="6290" spans="6:6" x14ac:dyDescent="0.3">
      <c r="F6290" s="193"/>
    </row>
    <row r="6291" spans="6:6" x14ac:dyDescent="0.3">
      <c r="F6291" s="193"/>
    </row>
    <row r="6292" spans="6:6" x14ac:dyDescent="0.3">
      <c r="F6292" s="193"/>
    </row>
    <row r="6293" spans="6:6" x14ac:dyDescent="0.3">
      <c r="F6293" s="193"/>
    </row>
    <row r="6294" spans="6:6" x14ac:dyDescent="0.3">
      <c r="F6294" s="193"/>
    </row>
    <row r="6295" spans="6:6" x14ac:dyDescent="0.3">
      <c r="F6295" s="193"/>
    </row>
    <row r="6296" spans="6:6" x14ac:dyDescent="0.3">
      <c r="F6296" s="193"/>
    </row>
    <row r="6297" spans="6:6" x14ac:dyDescent="0.3">
      <c r="F6297" s="193"/>
    </row>
    <row r="6298" spans="6:6" x14ac:dyDescent="0.3">
      <c r="F6298" s="193"/>
    </row>
    <row r="6299" spans="6:6" x14ac:dyDescent="0.3">
      <c r="F6299" s="193"/>
    </row>
    <row r="6300" spans="6:6" x14ac:dyDescent="0.3">
      <c r="F6300" s="193"/>
    </row>
    <row r="6301" spans="6:6" x14ac:dyDescent="0.3">
      <c r="F6301" s="193"/>
    </row>
    <row r="6302" spans="6:6" x14ac:dyDescent="0.3">
      <c r="F6302" s="193"/>
    </row>
    <row r="6303" spans="6:6" x14ac:dyDescent="0.3">
      <c r="F6303" s="193"/>
    </row>
    <row r="6304" spans="6:6" x14ac:dyDescent="0.3">
      <c r="F6304" s="193"/>
    </row>
    <row r="6305" spans="6:6" x14ac:dyDescent="0.3">
      <c r="F6305" s="193"/>
    </row>
    <row r="6306" spans="6:6" x14ac:dyDescent="0.3">
      <c r="F6306" s="193"/>
    </row>
    <row r="6307" spans="6:6" x14ac:dyDescent="0.3">
      <c r="F6307" s="193"/>
    </row>
    <row r="6308" spans="6:6" x14ac:dyDescent="0.3">
      <c r="F6308" s="193"/>
    </row>
    <row r="6309" spans="6:6" x14ac:dyDescent="0.3">
      <c r="F6309" s="193"/>
    </row>
    <row r="6310" spans="6:6" x14ac:dyDescent="0.3">
      <c r="F6310" s="193"/>
    </row>
    <row r="6311" spans="6:6" x14ac:dyDescent="0.3">
      <c r="F6311" s="193"/>
    </row>
    <row r="6312" spans="6:6" x14ac:dyDescent="0.3">
      <c r="F6312" s="193"/>
    </row>
    <row r="6313" spans="6:6" x14ac:dyDescent="0.3">
      <c r="F6313" s="193"/>
    </row>
    <row r="6314" spans="6:6" x14ac:dyDescent="0.3">
      <c r="F6314" s="193"/>
    </row>
    <row r="6315" spans="6:6" x14ac:dyDescent="0.3">
      <c r="F6315" s="193"/>
    </row>
    <row r="6316" spans="6:6" x14ac:dyDescent="0.3">
      <c r="F6316" s="193"/>
    </row>
    <row r="6317" spans="6:6" x14ac:dyDescent="0.3">
      <c r="F6317" s="193"/>
    </row>
    <row r="6318" spans="6:6" x14ac:dyDescent="0.3">
      <c r="F6318" s="193"/>
    </row>
    <row r="6319" spans="6:6" x14ac:dyDescent="0.3">
      <c r="F6319" s="193"/>
    </row>
    <row r="6320" spans="6:6" x14ac:dyDescent="0.3">
      <c r="F6320" s="193"/>
    </row>
    <row r="6321" spans="6:6" x14ac:dyDescent="0.3">
      <c r="F6321" s="193"/>
    </row>
    <row r="6322" spans="6:6" x14ac:dyDescent="0.3">
      <c r="F6322" s="193"/>
    </row>
    <row r="6323" spans="6:6" x14ac:dyDescent="0.3">
      <c r="F6323" s="193"/>
    </row>
    <row r="6324" spans="6:6" x14ac:dyDescent="0.3">
      <c r="F6324" s="193"/>
    </row>
    <row r="6325" spans="6:6" x14ac:dyDescent="0.3">
      <c r="F6325" s="193"/>
    </row>
    <row r="6326" spans="6:6" x14ac:dyDescent="0.3">
      <c r="F6326" s="193"/>
    </row>
    <row r="6327" spans="6:6" x14ac:dyDescent="0.3">
      <c r="F6327" s="193"/>
    </row>
    <row r="6328" spans="6:6" x14ac:dyDescent="0.3">
      <c r="F6328" s="193"/>
    </row>
    <row r="6329" spans="6:6" x14ac:dyDescent="0.3">
      <c r="F6329" s="193"/>
    </row>
    <row r="6330" spans="6:6" x14ac:dyDescent="0.3">
      <c r="F6330" s="193"/>
    </row>
    <row r="6331" spans="6:6" x14ac:dyDescent="0.3">
      <c r="F6331" s="193"/>
    </row>
    <row r="6332" spans="6:6" x14ac:dyDescent="0.3">
      <c r="F6332" s="193"/>
    </row>
    <row r="6333" spans="6:6" x14ac:dyDescent="0.3">
      <c r="F6333" s="193"/>
    </row>
    <row r="6334" spans="6:6" x14ac:dyDescent="0.3">
      <c r="F6334" s="193"/>
    </row>
    <row r="6335" spans="6:6" x14ac:dyDescent="0.3">
      <c r="F6335" s="193"/>
    </row>
    <row r="6336" spans="6:6" x14ac:dyDescent="0.3">
      <c r="F6336" s="193"/>
    </row>
    <row r="6337" spans="6:6" x14ac:dyDescent="0.3">
      <c r="F6337" s="193"/>
    </row>
    <row r="6338" spans="6:6" x14ac:dyDescent="0.3">
      <c r="F6338" s="193"/>
    </row>
    <row r="6339" spans="6:6" x14ac:dyDescent="0.3">
      <c r="F6339" s="193"/>
    </row>
    <row r="6340" spans="6:6" x14ac:dyDescent="0.3">
      <c r="F6340" s="193"/>
    </row>
    <row r="6341" spans="6:6" x14ac:dyDescent="0.3">
      <c r="F6341" s="193"/>
    </row>
    <row r="6342" spans="6:6" x14ac:dyDescent="0.3">
      <c r="F6342" s="193"/>
    </row>
    <row r="6343" spans="6:6" x14ac:dyDescent="0.3">
      <c r="F6343" s="193"/>
    </row>
    <row r="6344" spans="6:6" x14ac:dyDescent="0.3">
      <c r="F6344" s="193"/>
    </row>
    <row r="6345" spans="6:6" x14ac:dyDescent="0.3">
      <c r="F6345" s="193"/>
    </row>
    <row r="6346" spans="6:6" x14ac:dyDescent="0.3">
      <c r="F6346" s="193"/>
    </row>
    <row r="6347" spans="6:6" x14ac:dyDescent="0.3">
      <c r="F6347" s="193"/>
    </row>
    <row r="6348" spans="6:6" x14ac:dyDescent="0.3">
      <c r="F6348" s="193"/>
    </row>
    <row r="6349" spans="6:6" x14ac:dyDescent="0.3">
      <c r="F6349" s="193"/>
    </row>
    <row r="6350" spans="6:6" x14ac:dyDescent="0.3">
      <c r="F6350" s="193"/>
    </row>
    <row r="6351" spans="6:6" x14ac:dyDescent="0.3">
      <c r="F6351" s="193"/>
    </row>
    <row r="6352" spans="6:6" x14ac:dyDescent="0.3">
      <c r="F6352" s="193"/>
    </row>
    <row r="6353" spans="6:6" x14ac:dyDescent="0.3">
      <c r="F6353" s="193"/>
    </row>
    <row r="6354" spans="6:6" x14ac:dyDescent="0.3">
      <c r="F6354" s="193"/>
    </row>
    <row r="6355" spans="6:6" x14ac:dyDescent="0.3">
      <c r="F6355" s="193"/>
    </row>
    <row r="6356" spans="6:6" x14ac:dyDescent="0.3">
      <c r="F6356" s="193"/>
    </row>
    <row r="6357" spans="6:6" x14ac:dyDescent="0.3">
      <c r="F6357" s="193"/>
    </row>
    <row r="6358" spans="6:6" x14ac:dyDescent="0.3">
      <c r="F6358" s="193"/>
    </row>
    <row r="6359" spans="6:6" x14ac:dyDescent="0.3">
      <c r="F6359" s="193"/>
    </row>
    <row r="6360" spans="6:6" x14ac:dyDescent="0.3">
      <c r="F6360" s="193"/>
    </row>
    <row r="6361" spans="6:6" x14ac:dyDescent="0.3">
      <c r="F6361" s="193"/>
    </row>
    <row r="6362" spans="6:6" x14ac:dyDescent="0.3">
      <c r="F6362" s="193"/>
    </row>
    <row r="6363" spans="6:6" x14ac:dyDescent="0.3">
      <c r="F6363" s="193"/>
    </row>
    <row r="6364" spans="6:6" x14ac:dyDescent="0.3">
      <c r="F6364" s="193"/>
    </row>
    <row r="6365" spans="6:6" x14ac:dyDescent="0.3">
      <c r="F6365" s="193"/>
    </row>
    <row r="6366" spans="6:6" x14ac:dyDescent="0.3">
      <c r="F6366" s="193"/>
    </row>
    <row r="6367" spans="6:6" x14ac:dyDescent="0.3">
      <c r="F6367" s="193"/>
    </row>
    <row r="6368" spans="6:6" x14ac:dyDescent="0.3">
      <c r="F6368" s="193"/>
    </row>
    <row r="6369" spans="6:6" x14ac:dyDescent="0.3">
      <c r="F6369" s="193"/>
    </row>
    <row r="6370" spans="6:6" x14ac:dyDescent="0.3">
      <c r="F6370" s="193"/>
    </row>
    <row r="6371" spans="6:6" x14ac:dyDescent="0.3">
      <c r="F6371" s="193"/>
    </row>
    <row r="6372" spans="6:6" x14ac:dyDescent="0.3">
      <c r="F6372" s="193"/>
    </row>
    <row r="6373" spans="6:6" x14ac:dyDescent="0.3">
      <c r="F6373" s="193"/>
    </row>
    <row r="6374" spans="6:6" x14ac:dyDescent="0.3">
      <c r="F6374" s="193"/>
    </row>
    <row r="6375" spans="6:6" x14ac:dyDescent="0.3">
      <c r="F6375" s="193"/>
    </row>
    <row r="6376" spans="6:6" x14ac:dyDescent="0.3">
      <c r="F6376" s="193"/>
    </row>
    <row r="6377" spans="6:6" x14ac:dyDescent="0.3">
      <c r="F6377" s="193"/>
    </row>
    <row r="6378" spans="6:6" x14ac:dyDescent="0.3">
      <c r="F6378" s="193"/>
    </row>
    <row r="6379" spans="6:6" x14ac:dyDescent="0.3">
      <c r="F6379" s="193"/>
    </row>
    <row r="6380" spans="6:6" x14ac:dyDescent="0.3">
      <c r="F6380" s="193"/>
    </row>
    <row r="6381" spans="6:6" x14ac:dyDescent="0.3">
      <c r="F6381" s="193"/>
    </row>
    <row r="6382" spans="6:6" x14ac:dyDescent="0.3">
      <c r="F6382" s="193"/>
    </row>
    <row r="6383" spans="6:6" x14ac:dyDescent="0.3">
      <c r="F6383" s="193"/>
    </row>
    <row r="6384" spans="6:6" x14ac:dyDescent="0.3">
      <c r="F6384" s="193"/>
    </row>
    <row r="6385" spans="6:6" x14ac:dyDescent="0.3">
      <c r="F6385" s="193"/>
    </row>
    <row r="6386" spans="6:6" x14ac:dyDescent="0.3">
      <c r="F6386" s="193"/>
    </row>
    <row r="6387" spans="6:6" x14ac:dyDescent="0.3">
      <c r="F6387" s="193"/>
    </row>
    <row r="6388" spans="6:6" x14ac:dyDescent="0.3">
      <c r="F6388" s="193"/>
    </row>
    <row r="6389" spans="6:6" x14ac:dyDescent="0.3">
      <c r="F6389" s="193"/>
    </row>
    <row r="6390" spans="6:6" x14ac:dyDescent="0.3">
      <c r="F6390" s="193"/>
    </row>
    <row r="6391" spans="6:6" x14ac:dyDescent="0.3">
      <c r="F6391" s="193"/>
    </row>
    <row r="6392" spans="6:6" x14ac:dyDescent="0.3">
      <c r="F6392" s="193"/>
    </row>
    <row r="6393" spans="6:6" x14ac:dyDescent="0.3">
      <c r="F6393" s="193"/>
    </row>
    <row r="6394" spans="6:6" x14ac:dyDescent="0.3">
      <c r="F6394" s="193"/>
    </row>
    <row r="6395" spans="6:6" x14ac:dyDescent="0.3">
      <c r="F6395" s="193"/>
    </row>
    <row r="6396" spans="6:6" x14ac:dyDescent="0.3">
      <c r="F6396" s="193"/>
    </row>
    <row r="6397" spans="6:6" x14ac:dyDescent="0.3">
      <c r="F6397" s="193"/>
    </row>
    <row r="6398" spans="6:6" x14ac:dyDescent="0.3">
      <c r="F6398" s="193"/>
    </row>
    <row r="6399" spans="6:6" x14ac:dyDescent="0.3">
      <c r="F6399" s="193"/>
    </row>
    <row r="6400" spans="6:6" x14ac:dyDescent="0.3">
      <c r="F6400" s="193"/>
    </row>
    <row r="6401" spans="6:6" x14ac:dyDescent="0.3">
      <c r="F6401" s="193"/>
    </row>
    <row r="6402" spans="6:6" x14ac:dyDescent="0.3">
      <c r="F6402" s="193"/>
    </row>
    <row r="6403" spans="6:6" x14ac:dyDescent="0.3">
      <c r="F6403" s="193"/>
    </row>
    <row r="6404" spans="6:6" x14ac:dyDescent="0.3">
      <c r="F6404" s="193"/>
    </row>
    <row r="6405" spans="6:6" x14ac:dyDescent="0.3">
      <c r="F6405" s="193"/>
    </row>
    <row r="6406" spans="6:6" x14ac:dyDescent="0.3">
      <c r="F6406" s="193"/>
    </row>
    <row r="6407" spans="6:6" x14ac:dyDescent="0.3">
      <c r="F6407" s="193"/>
    </row>
    <row r="6408" spans="6:6" x14ac:dyDescent="0.3">
      <c r="F6408" s="193"/>
    </row>
    <row r="6409" spans="6:6" x14ac:dyDescent="0.3">
      <c r="F6409" s="193"/>
    </row>
    <row r="6410" spans="6:6" x14ac:dyDescent="0.3">
      <c r="F6410" s="193"/>
    </row>
    <row r="6411" spans="6:6" x14ac:dyDescent="0.3">
      <c r="F6411" s="193"/>
    </row>
    <row r="6412" spans="6:6" x14ac:dyDescent="0.3">
      <c r="F6412" s="193"/>
    </row>
    <row r="6413" spans="6:6" x14ac:dyDescent="0.3">
      <c r="F6413" s="193"/>
    </row>
    <row r="6414" spans="6:6" x14ac:dyDescent="0.3">
      <c r="F6414" s="193"/>
    </row>
    <row r="6415" spans="6:6" x14ac:dyDescent="0.3">
      <c r="F6415" s="193"/>
    </row>
    <row r="6416" spans="6:6" x14ac:dyDescent="0.3">
      <c r="F6416" s="193"/>
    </row>
    <row r="6417" spans="6:6" x14ac:dyDescent="0.3">
      <c r="F6417" s="193"/>
    </row>
    <row r="6418" spans="6:6" x14ac:dyDescent="0.3">
      <c r="F6418" s="193"/>
    </row>
    <row r="6419" spans="6:6" x14ac:dyDescent="0.3">
      <c r="F6419" s="193"/>
    </row>
    <row r="6420" spans="6:6" x14ac:dyDescent="0.3">
      <c r="F6420" s="193"/>
    </row>
    <row r="6421" spans="6:6" x14ac:dyDescent="0.3">
      <c r="F6421" s="193"/>
    </row>
    <row r="6422" spans="6:6" x14ac:dyDescent="0.3">
      <c r="F6422" s="193"/>
    </row>
    <row r="6423" spans="6:6" x14ac:dyDescent="0.3">
      <c r="F6423" s="193"/>
    </row>
    <row r="6424" spans="6:6" x14ac:dyDescent="0.3">
      <c r="F6424" s="193"/>
    </row>
    <row r="6425" spans="6:6" x14ac:dyDescent="0.3">
      <c r="F6425" s="193"/>
    </row>
    <row r="6426" spans="6:6" x14ac:dyDescent="0.3">
      <c r="F6426" s="193"/>
    </row>
    <row r="6427" spans="6:6" x14ac:dyDescent="0.3">
      <c r="F6427" s="193"/>
    </row>
    <row r="6428" spans="6:6" x14ac:dyDescent="0.3">
      <c r="F6428" s="193"/>
    </row>
    <row r="6429" spans="6:6" x14ac:dyDescent="0.3">
      <c r="F6429" s="193"/>
    </row>
    <row r="6430" spans="6:6" x14ac:dyDescent="0.3">
      <c r="F6430" s="193"/>
    </row>
    <row r="6431" spans="6:6" x14ac:dyDescent="0.3">
      <c r="F6431" s="193"/>
    </row>
    <row r="6432" spans="6:6" x14ac:dyDescent="0.3">
      <c r="F6432" s="193"/>
    </row>
    <row r="6433" spans="6:6" x14ac:dyDescent="0.3">
      <c r="F6433" s="193"/>
    </row>
    <row r="6434" spans="6:6" x14ac:dyDescent="0.3">
      <c r="F6434" s="193"/>
    </row>
    <row r="6435" spans="6:6" x14ac:dyDescent="0.3">
      <c r="F6435" s="193"/>
    </row>
    <row r="6436" spans="6:6" x14ac:dyDescent="0.3">
      <c r="F6436" s="193"/>
    </row>
    <row r="6437" spans="6:6" x14ac:dyDescent="0.3">
      <c r="F6437" s="193"/>
    </row>
    <row r="6438" spans="6:6" x14ac:dyDescent="0.3">
      <c r="F6438" s="193"/>
    </row>
    <row r="6439" spans="6:6" x14ac:dyDescent="0.3">
      <c r="F6439" s="193"/>
    </row>
    <row r="6440" spans="6:6" x14ac:dyDescent="0.3">
      <c r="F6440" s="193"/>
    </row>
    <row r="6441" spans="6:6" x14ac:dyDescent="0.3">
      <c r="F6441" s="193"/>
    </row>
    <row r="6442" spans="6:6" x14ac:dyDescent="0.3">
      <c r="F6442" s="193"/>
    </row>
    <row r="6443" spans="6:6" x14ac:dyDescent="0.3">
      <c r="F6443" s="193"/>
    </row>
    <row r="6444" spans="6:6" x14ac:dyDescent="0.3">
      <c r="F6444" s="193"/>
    </row>
    <row r="6445" spans="6:6" x14ac:dyDescent="0.3">
      <c r="F6445" s="193"/>
    </row>
    <row r="6446" spans="6:6" x14ac:dyDescent="0.3">
      <c r="F6446" s="193"/>
    </row>
    <row r="6447" spans="6:6" x14ac:dyDescent="0.3">
      <c r="F6447" s="193"/>
    </row>
    <row r="6448" spans="6:6" x14ac:dyDescent="0.3">
      <c r="F6448" s="193"/>
    </row>
    <row r="6449" spans="6:6" x14ac:dyDescent="0.3">
      <c r="F6449" s="193"/>
    </row>
    <row r="6450" spans="6:6" x14ac:dyDescent="0.3">
      <c r="F6450" s="193"/>
    </row>
    <row r="6451" spans="6:6" x14ac:dyDescent="0.3">
      <c r="F6451" s="193"/>
    </row>
    <row r="6452" spans="6:6" x14ac:dyDescent="0.3">
      <c r="F6452" s="193"/>
    </row>
    <row r="6453" spans="6:6" x14ac:dyDescent="0.3">
      <c r="F6453" s="193"/>
    </row>
    <row r="6454" spans="6:6" x14ac:dyDescent="0.3">
      <c r="F6454" s="193"/>
    </row>
    <row r="6455" spans="6:6" x14ac:dyDescent="0.3">
      <c r="F6455" s="193"/>
    </row>
    <row r="6456" spans="6:6" x14ac:dyDescent="0.3">
      <c r="F6456" s="193"/>
    </row>
    <row r="6457" spans="6:6" x14ac:dyDescent="0.3">
      <c r="F6457" s="193"/>
    </row>
    <row r="6458" spans="6:6" x14ac:dyDescent="0.3">
      <c r="F6458" s="193"/>
    </row>
    <row r="6459" spans="6:6" x14ac:dyDescent="0.3">
      <c r="F6459" s="193"/>
    </row>
    <row r="6460" spans="6:6" x14ac:dyDescent="0.3">
      <c r="F6460" s="193"/>
    </row>
    <row r="6461" spans="6:6" x14ac:dyDescent="0.3">
      <c r="F6461" s="193"/>
    </row>
    <row r="6462" spans="6:6" x14ac:dyDescent="0.3">
      <c r="F6462" s="193"/>
    </row>
    <row r="6463" spans="6:6" x14ac:dyDescent="0.3">
      <c r="F6463" s="193"/>
    </row>
    <row r="6464" spans="6:6" x14ac:dyDescent="0.3">
      <c r="F6464" s="193"/>
    </row>
    <row r="6465" spans="6:6" x14ac:dyDescent="0.3">
      <c r="F6465" s="193"/>
    </row>
    <row r="6466" spans="6:6" x14ac:dyDescent="0.3">
      <c r="F6466" s="193"/>
    </row>
    <row r="6467" spans="6:6" x14ac:dyDescent="0.3">
      <c r="F6467" s="193"/>
    </row>
    <row r="6468" spans="6:6" x14ac:dyDescent="0.3">
      <c r="F6468" s="193"/>
    </row>
    <row r="6469" spans="6:6" x14ac:dyDescent="0.3">
      <c r="F6469" s="193"/>
    </row>
    <row r="6470" spans="6:6" x14ac:dyDescent="0.3">
      <c r="F6470" s="193"/>
    </row>
    <row r="6471" spans="6:6" x14ac:dyDescent="0.3">
      <c r="F6471" s="193"/>
    </row>
    <row r="6472" spans="6:6" x14ac:dyDescent="0.3">
      <c r="F6472" s="193"/>
    </row>
    <row r="6473" spans="6:6" x14ac:dyDescent="0.3">
      <c r="F6473" s="193"/>
    </row>
    <row r="6474" spans="6:6" x14ac:dyDescent="0.3">
      <c r="F6474" s="193"/>
    </row>
    <row r="6475" spans="6:6" x14ac:dyDescent="0.3">
      <c r="F6475" s="193"/>
    </row>
    <row r="6476" spans="6:6" x14ac:dyDescent="0.3">
      <c r="F6476" s="193"/>
    </row>
    <row r="6477" spans="6:6" x14ac:dyDescent="0.3">
      <c r="F6477" s="193"/>
    </row>
    <row r="6478" spans="6:6" x14ac:dyDescent="0.3">
      <c r="F6478" s="193"/>
    </row>
    <row r="6479" spans="6:6" x14ac:dyDescent="0.3">
      <c r="F6479" s="193"/>
    </row>
    <row r="6480" spans="6:6" x14ac:dyDescent="0.3">
      <c r="F6480" s="193"/>
    </row>
    <row r="6481" spans="6:6" x14ac:dyDescent="0.3">
      <c r="F6481" s="193"/>
    </row>
    <row r="6482" spans="6:6" x14ac:dyDescent="0.3">
      <c r="F6482" s="193"/>
    </row>
    <row r="6483" spans="6:6" x14ac:dyDescent="0.3">
      <c r="F6483" s="193"/>
    </row>
    <row r="6484" spans="6:6" x14ac:dyDescent="0.3">
      <c r="F6484" s="193"/>
    </row>
    <row r="6485" spans="6:6" x14ac:dyDescent="0.3">
      <c r="F6485" s="193"/>
    </row>
    <row r="6486" spans="6:6" x14ac:dyDescent="0.3">
      <c r="F6486" s="193"/>
    </row>
    <row r="6487" spans="6:6" x14ac:dyDescent="0.3">
      <c r="F6487" s="193"/>
    </row>
    <row r="6488" spans="6:6" x14ac:dyDescent="0.3">
      <c r="F6488" s="193"/>
    </row>
    <row r="6489" spans="6:6" x14ac:dyDescent="0.3">
      <c r="F6489" s="193"/>
    </row>
    <row r="6490" spans="6:6" x14ac:dyDescent="0.3">
      <c r="F6490" s="193"/>
    </row>
    <row r="6491" spans="6:6" x14ac:dyDescent="0.3">
      <c r="F6491" s="193"/>
    </row>
    <row r="6492" spans="6:6" x14ac:dyDescent="0.3">
      <c r="F6492" s="193"/>
    </row>
    <row r="6493" spans="6:6" x14ac:dyDescent="0.3">
      <c r="F6493" s="193"/>
    </row>
    <row r="6494" spans="6:6" x14ac:dyDescent="0.3">
      <c r="F6494" s="193"/>
    </row>
    <row r="6495" spans="6:6" x14ac:dyDescent="0.3">
      <c r="F6495" s="193"/>
    </row>
    <row r="6496" spans="6:6" x14ac:dyDescent="0.3">
      <c r="F6496" s="193"/>
    </row>
    <row r="6497" spans="6:6" x14ac:dyDescent="0.3">
      <c r="F6497" s="193"/>
    </row>
    <row r="6498" spans="6:6" x14ac:dyDescent="0.3">
      <c r="F6498" s="193"/>
    </row>
    <row r="6499" spans="6:6" x14ac:dyDescent="0.3">
      <c r="F6499" s="193"/>
    </row>
    <row r="6500" spans="6:6" x14ac:dyDescent="0.3">
      <c r="F6500" s="193"/>
    </row>
    <row r="6501" spans="6:6" x14ac:dyDescent="0.3">
      <c r="F6501" s="193"/>
    </row>
    <row r="6502" spans="6:6" x14ac:dyDescent="0.3">
      <c r="F6502" s="193"/>
    </row>
    <row r="6503" spans="6:6" x14ac:dyDescent="0.3">
      <c r="F6503" s="193"/>
    </row>
    <row r="6504" spans="6:6" x14ac:dyDescent="0.3">
      <c r="F6504" s="193"/>
    </row>
    <row r="6505" spans="6:6" x14ac:dyDescent="0.3">
      <c r="F6505" s="193"/>
    </row>
    <row r="6506" spans="6:6" x14ac:dyDescent="0.3">
      <c r="F6506" s="193"/>
    </row>
    <row r="6507" spans="6:6" x14ac:dyDescent="0.3">
      <c r="F6507" s="193"/>
    </row>
    <row r="6508" spans="6:6" x14ac:dyDescent="0.3">
      <c r="F6508" s="193"/>
    </row>
    <row r="6509" spans="6:6" x14ac:dyDescent="0.3">
      <c r="F6509" s="193"/>
    </row>
    <row r="6510" spans="6:6" x14ac:dyDescent="0.3">
      <c r="F6510" s="193"/>
    </row>
    <row r="6511" spans="6:6" x14ac:dyDescent="0.3">
      <c r="F6511" s="193"/>
    </row>
    <row r="6512" spans="6:6" x14ac:dyDescent="0.3">
      <c r="F6512" s="193"/>
    </row>
    <row r="6513" spans="6:6" x14ac:dyDescent="0.3">
      <c r="F6513" s="193"/>
    </row>
    <row r="6514" spans="6:6" x14ac:dyDescent="0.3">
      <c r="F6514" s="193"/>
    </row>
    <row r="6515" spans="6:6" x14ac:dyDescent="0.3">
      <c r="F6515" s="193"/>
    </row>
    <row r="6516" spans="6:6" x14ac:dyDescent="0.3">
      <c r="F6516" s="193"/>
    </row>
    <row r="6517" spans="6:6" x14ac:dyDescent="0.3">
      <c r="F6517" s="193"/>
    </row>
    <row r="6518" spans="6:6" x14ac:dyDescent="0.3">
      <c r="F6518" s="193"/>
    </row>
    <row r="6519" spans="6:6" x14ac:dyDescent="0.3">
      <c r="F6519" s="193"/>
    </row>
    <row r="6520" spans="6:6" x14ac:dyDescent="0.3">
      <c r="F6520" s="193"/>
    </row>
    <row r="6521" spans="6:6" x14ac:dyDescent="0.3">
      <c r="F6521" s="193"/>
    </row>
    <row r="6522" spans="6:6" x14ac:dyDescent="0.3">
      <c r="F6522" s="193"/>
    </row>
    <row r="6523" spans="6:6" x14ac:dyDescent="0.3">
      <c r="F6523" s="193"/>
    </row>
    <row r="6524" spans="6:6" x14ac:dyDescent="0.3">
      <c r="F6524" s="193"/>
    </row>
    <row r="6525" spans="6:6" x14ac:dyDescent="0.3">
      <c r="F6525" s="193"/>
    </row>
    <row r="6526" spans="6:6" x14ac:dyDescent="0.3">
      <c r="F6526" s="193"/>
    </row>
    <row r="6527" spans="6:6" x14ac:dyDescent="0.3">
      <c r="F6527" s="193"/>
    </row>
    <row r="6528" spans="6:6" x14ac:dyDescent="0.3">
      <c r="F6528" s="193"/>
    </row>
    <row r="6529" spans="6:6" x14ac:dyDescent="0.3">
      <c r="F6529" s="193"/>
    </row>
    <row r="6530" spans="6:6" x14ac:dyDescent="0.3">
      <c r="F6530" s="193"/>
    </row>
    <row r="6531" spans="6:6" x14ac:dyDescent="0.3">
      <c r="F6531" s="193"/>
    </row>
    <row r="6532" spans="6:6" x14ac:dyDescent="0.3">
      <c r="F6532" s="193"/>
    </row>
    <row r="6533" spans="6:6" x14ac:dyDescent="0.3">
      <c r="F6533" s="193"/>
    </row>
    <row r="6534" spans="6:6" x14ac:dyDescent="0.3">
      <c r="F6534" s="193"/>
    </row>
    <row r="6535" spans="6:6" x14ac:dyDescent="0.3">
      <c r="F6535" s="193"/>
    </row>
    <row r="6536" spans="6:6" x14ac:dyDescent="0.3">
      <c r="F6536" s="193"/>
    </row>
    <row r="6537" spans="6:6" x14ac:dyDescent="0.3">
      <c r="F6537" s="193"/>
    </row>
    <row r="6538" spans="6:6" x14ac:dyDescent="0.3">
      <c r="F6538" s="193"/>
    </row>
    <row r="6539" spans="6:6" x14ac:dyDescent="0.3">
      <c r="F6539" s="193"/>
    </row>
    <row r="6540" spans="6:6" x14ac:dyDescent="0.3">
      <c r="F6540" s="193"/>
    </row>
    <row r="6541" spans="6:6" x14ac:dyDescent="0.3">
      <c r="F6541" s="193"/>
    </row>
    <row r="6542" spans="6:6" x14ac:dyDescent="0.3">
      <c r="F6542" s="193"/>
    </row>
    <row r="6543" spans="6:6" x14ac:dyDescent="0.3">
      <c r="F6543" s="193"/>
    </row>
    <row r="6544" spans="6:6" x14ac:dyDescent="0.3">
      <c r="F6544" s="193"/>
    </row>
    <row r="6545" spans="6:6" x14ac:dyDescent="0.3">
      <c r="F6545" s="193"/>
    </row>
    <row r="6546" spans="6:6" x14ac:dyDescent="0.3">
      <c r="F6546" s="193"/>
    </row>
    <row r="6547" spans="6:6" x14ac:dyDescent="0.3">
      <c r="F6547" s="193"/>
    </row>
    <row r="6548" spans="6:6" x14ac:dyDescent="0.3">
      <c r="F6548" s="193"/>
    </row>
    <row r="6549" spans="6:6" x14ac:dyDescent="0.3">
      <c r="F6549" s="193"/>
    </row>
    <row r="6550" spans="6:6" x14ac:dyDescent="0.3">
      <c r="F6550" s="193"/>
    </row>
    <row r="6551" spans="6:6" x14ac:dyDescent="0.3">
      <c r="F6551" s="193"/>
    </row>
    <row r="6552" spans="6:6" x14ac:dyDescent="0.3">
      <c r="F6552" s="193"/>
    </row>
    <row r="6553" spans="6:6" x14ac:dyDescent="0.3">
      <c r="F6553" s="193"/>
    </row>
    <row r="6554" spans="6:6" x14ac:dyDescent="0.3">
      <c r="F6554" s="193"/>
    </row>
    <row r="6555" spans="6:6" x14ac:dyDescent="0.3">
      <c r="F6555" s="193"/>
    </row>
    <row r="6556" spans="6:6" x14ac:dyDescent="0.3">
      <c r="F6556" s="193"/>
    </row>
    <row r="6557" spans="6:6" x14ac:dyDescent="0.3">
      <c r="F6557" s="193"/>
    </row>
    <row r="6558" spans="6:6" x14ac:dyDescent="0.3">
      <c r="F6558" s="193"/>
    </row>
    <row r="6559" spans="6:6" x14ac:dyDescent="0.3">
      <c r="F6559" s="193"/>
    </row>
    <row r="6560" spans="6:6" x14ac:dyDescent="0.3">
      <c r="F6560" s="193"/>
    </row>
    <row r="6561" spans="6:6" x14ac:dyDescent="0.3">
      <c r="F6561" s="193"/>
    </row>
    <row r="6562" spans="6:6" x14ac:dyDescent="0.3">
      <c r="F6562" s="193"/>
    </row>
    <row r="6563" spans="6:6" x14ac:dyDescent="0.3">
      <c r="F6563" s="193"/>
    </row>
    <row r="6564" spans="6:6" x14ac:dyDescent="0.3">
      <c r="F6564" s="193"/>
    </row>
    <row r="6565" spans="6:6" x14ac:dyDescent="0.3">
      <c r="F6565" s="193"/>
    </row>
    <row r="6566" spans="6:6" x14ac:dyDescent="0.3">
      <c r="F6566" s="193"/>
    </row>
    <row r="6567" spans="6:6" x14ac:dyDescent="0.3">
      <c r="F6567" s="193"/>
    </row>
    <row r="6568" spans="6:6" x14ac:dyDescent="0.3">
      <c r="F6568" s="193"/>
    </row>
    <row r="6569" spans="6:6" x14ac:dyDescent="0.3">
      <c r="F6569" s="193"/>
    </row>
    <row r="6570" spans="6:6" x14ac:dyDescent="0.3">
      <c r="F6570" s="193"/>
    </row>
    <row r="6571" spans="6:6" x14ac:dyDescent="0.3">
      <c r="F6571" s="193"/>
    </row>
    <row r="6572" spans="6:6" x14ac:dyDescent="0.3">
      <c r="F6572" s="193"/>
    </row>
    <row r="6573" spans="6:6" x14ac:dyDescent="0.3">
      <c r="F6573" s="193"/>
    </row>
    <row r="6574" spans="6:6" x14ac:dyDescent="0.3">
      <c r="F6574" s="193"/>
    </row>
    <row r="6575" spans="6:6" x14ac:dyDescent="0.3">
      <c r="F6575" s="193"/>
    </row>
    <row r="6576" spans="6:6" x14ac:dyDescent="0.3">
      <c r="F6576" s="193"/>
    </row>
    <row r="6577" spans="6:6" x14ac:dyDescent="0.3">
      <c r="F6577" s="193"/>
    </row>
    <row r="6578" spans="6:6" x14ac:dyDescent="0.3">
      <c r="F6578" s="193"/>
    </row>
    <row r="6579" spans="6:6" x14ac:dyDescent="0.3">
      <c r="F6579" s="193"/>
    </row>
    <row r="6580" spans="6:6" x14ac:dyDescent="0.3">
      <c r="F6580" s="193"/>
    </row>
    <row r="6581" spans="6:6" x14ac:dyDescent="0.3">
      <c r="F6581" s="193"/>
    </row>
    <row r="6582" spans="6:6" x14ac:dyDescent="0.3">
      <c r="F6582" s="193"/>
    </row>
    <row r="6583" spans="6:6" x14ac:dyDescent="0.3">
      <c r="F6583" s="193"/>
    </row>
    <row r="6584" spans="6:6" x14ac:dyDescent="0.3">
      <c r="F6584" s="193"/>
    </row>
    <row r="6585" spans="6:6" x14ac:dyDescent="0.3">
      <c r="F6585" s="193"/>
    </row>
    <row r="6586" spans="6:6" x14ac:dyDescent="0.3">
      <c r="F6586" s="193"/>
    </row>
    <row r="6587" spans="6:6" x14ac:dyDescent="0.3">
      <c r="F6587" s="193"/>
    </row>
    <row r="6588" spans="6:6" x14ac:dyDescent="0.3">
      <c r="F6588" s="193"/>
    </row>
    <row r="6589" spans="6:6" x14ac:dyDescent="0.3">
      <c r="F6589" s="193"/>
    </row>
    <row r="6590" spans="6:6" x14ac:dyDescent="0.3">
      <c r="F6590" s="193"/>
    </row>
    <row r="6591" spans="6:6" x14ac:dyDescent="0.3">
      <c r="F6591" s="193"/>
    </row>
    <row r="6592" spans="6:6" x14ac:dyDescent="0.3">
      <c r="F6592" s="193"/>
    </row>
    <row r="6593" spans="6:6" x14ac:dyDescent="0.3">
      <c r="F6593" s="193"/>
    </row>
    <row r="6594" spans="6:6" x14ac:dyDescent="0.3">
      <c r="F6594" s="193"/>
    </row>
    <row r="6595" spans="6:6" x14ac:dyDescent="0.3">
      <c r="F6595" s="193"/>
    </row>
    <row r="6596" spans="6:6" x14ac:dyDescent="0.3">
      <c r="F6596" s="193"/>
    </row>
    <row r="6597" spans="6:6" x14ac:dyDescent="0.3">
      <c r="F6597" s="193"/>
    </row>
    <row r="6598" spans="6:6" x14ac:dyDescent="0.3">
      <c r="F6598" s="193"/>
    </row>
    <row r="6599" spans="6:6" x14ac:dyDescent="0.3">
      <c r="F6599" s="193"/>
    </row>
    <row r="6600" spans="6:6" x14ac:dyDescent="0.3">
      <c r="F6600" s="193"/>
    </row>
    <row r="6601" spans="6:6" x14ac:dyDescent="0.3">
      <c r="F6601" s="193"/>
    </row>
    <row r="6602" spans="6:6" x14ac:dyDescent="0.3">
      <c r="F6602" s="193"/>
    </row>
    <row r="6603" spans="6:6" x14ac:dyDescent="0.3">
      <c r="F6603" s="193"/>
    </row>
    <row r="6604" spans="6:6" x14ac:dyDescent="0.3">
      <c r="F6604" s="193"/>
    </row>
    <row r="6605" spans="6:6" x14ac:dyDescent="0.3">
      <c r="F6605" s="193"/>
    </row>
    <row r="6606" spans="6:6" x14ac:dyDescent="0.3">
      <c r="F6606" s="193"/>
    </row>
    <row r="6607" spans="6:6" x14ac:dyDescent="0.3">
      <c r="F6607" s="193"/>
    </row>
    <row r="6608" spans="6:6" x14ac:dyDescent="0.3">
      <c r="F6608" s="193"/>
    </row>
    <row r="6609" spans="6:6" x14ac:dyDescent="0.3">
      <c r="F6609" s="193"/>
    </row>
    <row r="6610" spans="6:6" x14ac:dyDescent="0.3">
      <c r="F6610" s="193"/>
    </row>
    <row r="6611" spans="6:6" x14ac:dyDescent="0.3">
      <c r="F6611" s="193"/>
    </row>
    <row r="6612" spans="6:6" x14ac:dyDescent="0.3">
      <c r="F6612" s="193"/>
    </row>
    <row r="6613" spans="6:6" x14ac:dyDescent="0.3">
      <c r="F6613" s="193"/>
    </row>
    <row r="6614" spans="6:6" x14ac:dyDescent="0.3">
      <c r="F6614" s="193"/>
    </row>
    <row r="6615" spans="6:6" x14ac:dyDescent="0.3">
      <c r="F6615" s="193"/>
    </row>
    <row r="6616" spans="6:6" x14ac:dyDescent="0.3">
      <c r="F6616" s="193"/>
    </row>
    <row r="6617" spans="6:6" x14ac:dyDescent="0.3">
      <c r="F6617" s="193"/>
    </row>
    <row r="6618" spans="6:6" x14ac:dyDescent="0.3">
      <c r="F6618" s="193"/>
    </row>
    <row r="6619" spans="6:6" x14ac:dyDescent="0.3">
      <c r="F6619" s="193"/>
    </row>
    <row r="6620" spans="6:6" x14ac:dyDescent="0.3">
      <c r="F6620" s="193"/>
    </row>
    <row r="6621" spans="6:6" x14ac:dyDescent="0.3">
      <c r="F6621" s="193"/>
    </row>
    <row r="6622" spans="6:6" x14ac:dyDescent="0.3">
      <c r="F6622" s="193"/>
    </row>
    <row r="6623" spans="6:6" x14ac:dyDescent="0.3">
      <c r="F6623" s="193"/>
    </row>
    <row r="6624" spans="6:6" x14ac:dyDescent="0.3">
      <c r="F6624" s="193"/>
    </row>
    <row r="6625" spans="6:6" x14ac:dyDescent="0.3">
      <c r="F6625" s="193"/>
    </row>
    <row r="6626" spans="6:6" x14ac:dyDescent="0.3">
      <c r="F6626" s="193"/>
    </row>
    <row r="6627" spans="6:6" x14ac:dyDescent="0.3">
      <c r="F6627" s="193"/>
    </row>
    <row r="6628" spans="6:6" x14ac:dyDescent="0.3">
      <c r="F6628" s="193"/>
    </row>
    <row r="6629" spans="6:6" x14ac:dyDescent="0.3">
      <c r="F6629" s="193"/>
    </row>
    <row r="6630" spans="6:6" x14ac:dyDescent="0.3">
      <c r="F6630" s="193"/>
    </row>
    <row r="6631" spans="6:6" x14ac:dyDescent="0.3">
      <c r="F6631" s="193"/>
    </row>
    <row r="6632" spans="6:6" x14ac:dyDescent="0.3">
      <c r="F6632" s="193"/>
    </row>
    <row r="6633" spans="6:6" x14ac:dyDescent="0.3">
      <c r="F6633" s="193"/>
    </row>
    <row r="6634" spans="6:6" x14ac:dyDescent="0.3">
      <c r="F6634" s="193"/>
    </row>
    <row r="6635" spans="6:6" x14ac:dyDescent="0.3">
      <c r="F6635" s="193"/>
    </row>
    <row r="6636" spans="6:6" x14ac:dyDescent="0.3">
      <c r="F6636" s="193"/>
    </row>
    <row r="6637" spans="6:6" x14ac:dyDescent="0.3">
      <c r="F6637" s="193"/>
    </row>
    <row r="6638" spans="6:6" x14ac:dyDescent="0.3">
      <c r="F6638" s="193"/>
    </row>
    <row r="6639" spans="6:6" x14ac:dyDescent="0.3">
      <c r="F6639" s="193"/>
    </row>
    <row r="6640" spans="6:6" x14ac:dyDescent="0.3">
      <c r="F6640" s="193"/>
    </row>
    <row r="6641" spans="6:6" x14ac:dyDescent="0.3">
      <c r="F6641" s="193"/>
    </row>
    <row r="6642" spans="6:6" x14ac:dyDescent="0.3">
      <c r="F6642" s="193"/>
    </row>
    <row r="6643" spans="6:6" x14ac:dyDescent="0.3">
      <c r="F6643" s="193"/>
    </row>
    <row r="6644" spans="6:6" x14ac:dyDescent="0.3">
      <c r="F6644" s="193"/>
    </row>
    <row r="6645" spans="6:6" x14ac:dyDescent="0.3">
      <c r="F6645" s="193"/>
    </row>
    <row r="6646" spans="6:6" x14ac:dyDescent="0.3">
      <c r="F6646" s="193"/>
    </row>
    <row r="6647" spans="6:6" x14ac:dyDescent="0.3">
      <c r="F6647" s="193"/>
    </row>
    <row r="6648" spans="6:6" x14ac:dyDescent="0.3">
      <c r="F6648" s="193"/>
    </row>
    <row r="6649" spans="6:6" x14ac:dyDescent="0.3">
      <c r="F6649" s="193"/>
    </row>
    <row r="6650" spans="6:6" x14ac:dyDescent="0.3">
      <c r="F6650" s="193"/>
    </row>
    <row r="6651" spans="6:6" x14ac:dyDescent="0.3">
      <c r="F6651" s="193"/>
    </row>
    <row r="6652" spans="6:6" x14ac:dyDescent="0.3">
      <c r="F6652" s="193"/>
    </row>
    <row r="6653" spans="6:6" x14ac:dyDescent="0.3">
      <c r="F6653" s="193"/>
    </row>
    <row r="6654" spans="6:6" x14ac:dyDescent="0.3">
      <c r="F6654" s="193"/>
    </row>
    <row r="6655" spans="6:6" x14ac:dyDescent="0.3">
      <c r="F6655" s="193"/>
    </row>
    <row r="6656" spans="6:6" x14ac:dyDescent="0.3">
      <c r="F6656" s="193"/>
    </row>
    <row r="6657" spans="6:6" x14ac:dyDescent="0.3">
      <c r="F6657" s="193"/>
    </row>
    <row r="6658" spans="6:6" x14ac:dyDescent="0.3">
      <c r="F6658" s="193"/>
    </row>
    <row r="6659" spans="6:6" x14ac:dyDescent="0.3">
      <c r="F6659" s="193"/>
    </row>
    <row r="6660" spans="6:6" x14ac:dyDescent="0.3">
      <c r="F6660" s="193"/>
    </row>
    <row r="6661" spans="6:6" x14ac:dyDescent="0.3">
      <c r="F6661" s="193"/>
    </row>
    <row r="6662" spans="6:6" x14ac:dyDescent="0.3">
      <c r="F6662" s="193"/>
    </row>
    <row r="6663" spans="6:6" x14ac:dyDescent="0.3">
      <c r="F6663" s="193"/>
    </row>
    <row r="6664" spans="6:6" x14ac:dyDescent="0.3">
      <c r="F6664" s="193"/>
    </row>
    <row r="6665" spans="6:6" x14ac:dyDescent="0.3">
      <c r="F6665" s="193"/>
    </row>
    <row r="6666" spans="6:6" x14ac:dyDescent="0.3">
      <c r="F6666" s="193"/>
    </row>
    <row r="6667" spans="6:6" x14ac:dyDescent="0.3">
      <c r="F6667" s="193"/>
    </row>
    <row r="6668" spans="6:6" x14ac:dyDescent="0.3">
      <c r="F6668" s="193"/>
    </row>
    <row r="6669" spans="6:6" x14ac:dyDescent="0.3">
      <c r="F6669" s="193"/>
    </row>
    <row r="6670" spans="6:6" x14ac:dyDescent="0.3">
      <c r="F6670" s="193"/>
    </row>
    <row r="6671" spans="6:6" x14ac:dyDescent="0.3">
      <c r="F6671" s="193"/>
    </row>
    <row r="6672" spans="6:6" x14ac:dyDescent="0.3">
      <c r="F6672" s="193"/>
    </row>
    <row r="6673" spans="6:6" x14ac:dyDescent="0.3">
      <c r="F6673" s="193"/>
    </row>
    <row r="6674" spans="6:6" x14ac:dyDescent="0.3">
      <c r="F6674" s="193"/>
    </row>
    <row r="6675" spans="6:6" x14ac:dyDescent="0.3">
      <c r="F6675" s="193"/>
    </row>
    <row r="6676" spans="6:6" x14ac:dyDescent="0.3">
      <c r="F6676" s="193"/>
    </row>
    <row r="6677" spans="6:6" x14ac:dyDescent="0.3">
      <c r="F6677" s="193"/>
    </row>
    <row r="6678" spans="6:6" x14ac:dyDescent="0.3">
      <c r="F6678" s="193"/>
    </row>
    <row r="6679" spans="6:6" x14ac:dyDescent="0.3">
      <c r="F6679" s="193"/>
    </row>
    <row r="6680" spans="6:6" x14ac:dyDescent="0.3">
      <c r="F6680" s="193"/>
    </row>
    <row r="6681" spans="6:6" x14ac:dyDescent="0.3">
      <c r="F6681" s="193"/>
    </row>
    <row r="6682" spans="6:6" x14ac:dyDescent="0.3">
      <c r="F6682" s="193"/>
    </row>
    <row r="6683" spans="6:6" x14ac:dyDescent="0.3">
      <c r="F6683" s="193"/>
    </row>
    <row r="6684" spans="6:6" x14ac:dyDescent="0.3">
      <c r="F6684" s="193"/>
    </row>
    <row r="6685" spans="6:6" x14ac:dyDescent="0.3">
      <c r="F6685" s="193"/>
    </row>
    <row r="6686" spans="6:6" x14ac:dyDescent="0.3">
      <c r="F6686" s="193"/>
    </row>
    <row r="6687" spans="6:6" x14ac:dyDescent="0.3">
      <c r="F6687" s="193"/>
    </row>
    <row r="6688" spans="6:6" x14ac:dyDescent="0.3">
      <c r="F6688" s="193"/>
    </row>
    <row r="6689" spans="6:6" x14ac:dyDescent="0.3">
      <c r="F6689" s="193"/>
    </row>
    <row r="6690" spans="6:6" x14ac:dyDescent="0.3">
      <c r="F6690" s="193"/>
    </row>
    <row r="6691" spans="6:6" x14ac:dyDescent="0.3">
      <c r="F6691" s="193"/>
    </row>
    <row r="6692" spans="6:6" x14ac:dyDescent="0.3">
      <c r="F6692" s="193"/>
    </row>
    <row r="6693" spans="6:6" x14ac:dyDescent="0.3">
      <c r="F6693" s="193"/>
    </row>
    <row r="6694" spans="6:6" x14ac:dyDescent="0.3">
      <c r="F6694" s="193"/>
    </row>
    <row r="6695" spans="6:6" x14ac:dyDescent="0.3">
      <c r="F6695" s="193"/>
    </row>
    <row r="6696" spans="6:6" x14ac:dyDescent="0.3">
      <c r="F6696" s="193"/>
    </row>
    <row r="6697" spans="6:6" x14ac:dyDescent="0.3">
      <c r="F6697" s="193"/>
    </row>
    <row r="6698" spans="6:6" x14ac:dyDescent="0.3">
      <c r="F6698" s="193"/>
    </row>
    <row r="6699" spans="6:6" x14ac:dyDescent="0.3">
      <c r="F6699" s="193"/>
    </row>
    <row r="6700" spans="6:6" x14ac:dyDescent="0.3">
      <c r="F6700" s="193"/>
    </row>
    <row r="6701" spans="6:6" x14ac:dyDescent="0.3">
      <c r="F6701" s="193"/>
    </row>
    <row r="6702" spans="6:6" x14ac:dyDescent="0.3">
      <c r="F6702" s="193"/>
    </row>
    <row r="6703" spans="6:6" x14ac:dyDescent="0.3">
      <c r="F6703" s="193"/>
    </row>
    <row r="6704" spans="6:6" x14ac:dyDescent="0.3">
      <c r="F6704" s="193"/>
    </row>
    <row r="6705" spans="6:6" x14ac:dyDescent="0.3">
      <c r="F6705" s="193"/>
    </row>
    <row r="6706" spans="6:6" x14ac:dyDescent="0.3">
      <c r="F6706" s="193"/>
    </row>
    <row r="6707" spans="6:6" x14ac:dyDescent="0.3">
      <c r="F6707" s="193"/>
    </row>
    <row r="6708" spans="6:6" x14ac:dyDescent="0.3">
      <c r="F6708" s="193"/>
    </row>
    <row r="6709" spans="6:6" x14ac:dyDescent="0.3">
      <c r="F6709" s="193"/>
    </row>
    <row r="6710" spans="6:6" x14ac:dyDescent="0.3">
      <c r="F6710" s="193"/>
    </row>
    <row r="6711" spans="6:6" x14ac:dyDescent="0.3">
      <c r="F6711" s="193"/>
    </row>
    <row r="6712" spans="6:6" x14ac:dyDescent="0.3">
      <c r="F6712" s="193"/>
    </row>
    <row r="6713" spans="6:6" x14ac:dyDescent="0.3">
      <c r="F6713" s="193"/>
    </row>
    <row r="6714" spans="6:6" x14ac:dyDescent="0.3">
      <c r="F6714" s="193"/>
    </row>
    <row r="6715" spans="6:6" x14ac:dyDescent="0.3">
      <c r="F6715" s="193"/>
    </row>
    <row r="6716" spans="6:6" x14ac:dyDescent="0.3">
      <c r="F6716" s="193"/>
    </row>
    <row r="6717" spans="6:6" x14ac:dyDescent="0.3">
      <c r="F6717" s="193"/>
    </row>
    <row r="6718" spans="6:6" x14ac:dyDescent="0.3">
      <c r="F6718" s="193"/>
    </row>
    <row r="6719" spans="6:6" x14ac:dyDescent="0.3">
      <c r="F6719" s="193"/>
    </row>
    <row r="6720" spans="6:6" x14ac:dyDescent="0.3">
      <c r="F6720" s="193"/>
    </row>
    <row r="6721" spans="6:6" x14ac:dyDescent="0.3">
      <c r="F6721" s="193"/>
    </row>
    <row r="6722" spans="6:6" x14ac:dyDescent="0.3">
      <c r="F6722" s="193"/>
    </row>
    <row r="6723" spans="6:6" x14ac:dyDescent="0.3">
      <c r="F6723" s="193"/>
    </row>
    <row r="6724" spans="6:6" x14ac:dyDescent="0.3">
      <c r="F6724" s="193"/>
    </row>
    <row r="6725" spans="6:6" x14ac:dyDescent="0.3">
      <c r="F6725" s="193"/>
    </row>
    <row r="6726" spans="6:6" x14ac:dyDescent="0.3">
      <c r="F6726" s="193"/>
    </row>
    <row r="6727" spans="6:6" x14ac:dyDescent="0.3">
      <c r="F6727" s="193"/>
    </row>
    <row r="6728" spans="6:6" x14ac:dyDescent="0.3">
      <c r="F6728" s="193"/>
    </row>
    <row r="6729" spans="6:6" x14ac:dyDescent="0.3">
      <c r="F6729" s="193"/>
    </row>
    <row r="6730" spans="6:6" x14ac:dyDescent="0.3">
      <c r="F6730" s="193"/>
    </row>
    <row r="6731" spans="6:6" x14ac:dyDescent="0.3">
      <c r="F6731" s="193"/>
    </row>
    <row r="6732" spans="6:6" x14ac:dyDescent="0.3">
      <c r="F6732" s="193"/>
    </row>
    <row r="6733" spans="6:6" x14ac:dyDescent="0.3">
      <c r="F6733" s="193"/>
    </row>
    <row r="6734" spans="6:6" x14ac:dyDescent="0.3">
      <c r="F6734" s="193"/>
    </row>
    <row r="6735" spans="6:6" x14ac:dyDescent="0.3">
      <c r="F6735" s="193"/>
    </row>
    <row r="6736" spans="6:6" x14ac:dyDescent="0.3">
      <c r="F6736" s="193"/>
    </row>
    <row r="6737" spans="6:6" x14ac:dyDescent="0.3">
      <c r="F6737" s="193"/>
    </row>
    <row r="6738" spans="6:6" x14ac:dyDescent="0.3">
      <c r="F6738" s="193"/>
    </row>
    <row r="6739" spans="6:6" x14ac:dyDescent="0.3">
      <c r="F6739" s="193"/>
    </row>
    <row r="6740" spans="6:6" x14ac:dyDescent="0.3">
      <c r="F6740" s="193"/>
    </row>
    <row r="6741" spans="6:6" x14ac:dyDescent="0.3">
      <c r="F6741" s="193"/>
    </row>
    <row r="6742" spans="6:6" x14ac:dyDescent="0.3">
      <c r="F6742" s="193"/>
    </row>
    <row r="6743" spans="6:6" x14ac:dyDescent="0.3">
      <c r="F6743" s="193"/>
    </row>
    <row r="6744" spans="6:6" x14ac:dyDescent="0.3">
      <c r="F6744" s="193"/>
    </row>
    <row r="6745" spans="6:6" x14ac:dyDescent="0.3">
      <c r="F6745" s="193"/>
    </row>
    <row r="6746" spans="6:6" x14ac:dyDescent="0.3">
      <c r="F6746" s="193"/>
    </row>
    <row r="6747" spans="6:6" x14ac:dyDescent="0.3">
      <c r="F6747" s="193"/>
    </row>
    <row r="6748" spans="6:6" x14ac:dyDescent="0.3">
      <c r="F6748" s="193"/>
    </row>
    <row r="6749" spans="6:6" x14ac:dyDescent="0.3">
      <c r="F6749" s="193"/>
    </row>
    <row r="6750" spans="6:6" x14ac:dyDescent="0.3">
      <c r="F6750" s="193"/>
    </row>
    <row r="6751" spans="6:6" x14ac:dyDescent="0.3">
      <c r="F6751" s="193"/>
    </row>
    <row r="6752" spans="6:6" x14ac:dyDescent="0.3">
      <c r="F6752" s="193"/>
    </row>
    <row r="6753" spans="6:6" x14ac:dyDescent="0.3">
      <c r="F6753" s="193"/>
    </row>
    <row r="6754" spans="6:6" x14ac:dyDescent="0.3">
      <c r="F6754" s="193"/>
    </row>
    <row r="6755" spans="6:6" x14ac:dyDescent="0.3">
      <c r="F6755" s="193"/>
    </row>
    <row r="6756" spans="6:6" x14ac:dyDescent="0.3">
      <c r="F6756" s="193"/>
    </row>
    <row r="6757" spans="6:6" x14ac:dyDescent="0.3">
      <c r="F6757" s="193"/>
    </row>
    <row r="6758" spans="6:6" x14ac:dyDescent="0.3">
      <c r="F6758" s="193"/>
    </row>
    <row r="6759" spans="6:6" x14ac:dyDescent="0.3">
      <c r="F6759" s="193"/>
    </row>
    <row r="6760" spans="6:6" x14ac:dyDescent="0.3">
      <c r="F6760" s="193"/>
    </row>
    <row r="6761" spans="6:6" x14ac:dyDescent="0.3">
      <c r="F6761" s="193"/>
    </row>
    <row r="6762" spans="6:6" x14ac:dyDescent="0.3">
      <c r="F6762" s="193"/>
    </row>
    <row r="6763" spans="6:6" x14ac:dyDescent="0.3">
      <c r="F6763" s="193"/>
    </row>
    <row r="6764" spans="6:6" x14ac:dyDescent="0.3">
      <c r="F6764" s="193"/>
    </row>
    <row r="6765" spans="6:6" x14ac:dyDescent="0.3">
      <c r="F6765" s="193"/>
    </row>
    <row r="6766" spans="6:6" x14ac:dyDescent="0.3">
      <c r="F6766" s="193"/>
    </row>
    <row r="6767" spans="6:6" x14ac:dyDescent="0.3">
      <c r="F6767" s="193"/>
    </row>
    <row r="6768" spans="6:6" x14ac:dyDescent="0.3">
      <c r="F6768" s="193"/>
    </row>
    <row r="6769" spans="6:6" x14ac:dyDescent="0.3">
      <c r="F6769" s="193"/>
    </row>
    <row r="6770" spans="6:6" x14ac:dyDescent="0.3">
      <c r="F6770" s="193"/>
    </row>
    <row r="6771" spans="6:6" x14ac:dyDescent="0.3">
      <c r="F6771" s="193"/>
    </row>
    <row r="6772" spans="6:6" x14ac:dyDescent="0.3">
      <c r="F6772" s="193"/>
    </row>
    <row r="6773" spans="6:6" x14ac:dyDescent="0.3">
      <c r="F6773" s="193"/>
    </row>
    <row r="6774" spans="6:6" x14ac:dyDescent="0.3">
      <c r="F6774" s="193"/>
    </row>
    <row r="6775" spans="6:6" x14ac:dyDescent="0.3">
      <c r="F6775" s="193"/>
    </row>
    <row r="6776" spans="6:6" x14ac:dyDescent="0.3">
      <c r="F6776" s="193"/>
    </row>
    <row r="6777" spans="6:6" x14ac:dyDescent="0.3">
      <c r="F6777" s="193"/>
    </row>
    <row r="6778" spans="6:6" x14ac:dyDescent="0.3">
      <c r="F6778" s="193"/>
    </row>
    <row r="6779" spans="6:6" x14ac:dyDescent="0.3">
      <c r="F6779" s="193"/>
    </row>
    <row r="6780" spans="6:6" x14ac:dyDescent="0.3">
      <c r="F6780" s="193"/>
    </row>
    <row r="6781" spans="6:6" x14ac:dyDescent="0.3">
      <c r="F6781" s="193"/>
    </row>
    <row r="6782" spans="6:6" x14ac:dyDescent="0.3">
      <c r="F6782" s="193"/>
    </row>
    <row r="6783" spans="6:6" x14ac:dyDescent="0.3">
      <c r="F6783" s="193"/>
    </row>
    <row r="6784" spans="6:6" x14ac:dyDescent="0.3">
      <c r="F6784" s="193"/>
    </row>
    <row r="6785" spans="6:6" x14ac:dyDescent="0.3">
      <c r="F6785" s="193"/>
    </row>
    <row r="6786" spans="6:6" x14ac:dyDescent="0.3">
      <c r="F6786" s="193"/>
    </row>
    <row r="6787" spans="6:6" x14ac:dyDescent="0.3">
      <c r="F6787" s="193"/>
    </row>
    <row r="6788" spans="6:6" x14ac:dyDescent="0.3">
      <c r="F6788" s="193"/>
    </row>
    <row r="6789" spans="6:6" x14ac:dyDescent="0.3">
      <c r="F6789" s="193"/>
    </row>
    <row r="6790" spans="6:6" x14ac:dyDescent="0.3">
      <c r="F6790" s="193"/>
    </row>
    <row r="6791" spans="6:6" x14ac:dyDescent="0.3">
      <c r="F6791" s="193"/>
    </row>
    <row r="6792" spans="6:6" x14ac:dyDescent="0.3">
      <c r="F6792" s="193"/>
    </row>
    <row r="6793" spans="6:6" x14ac:dyDescent="0.3">
      <c r="F6793" s="193"/>
    </row>
    <row r="6794" spans="6:6" x14ac:dyDescent="0.3">
      <c r="F6794" s="193"/>
    </row>
    <row r="6795" spans="6:6" x14ac:dyDescent="0.3">
      <c r="F6795" s="193"/>
    </row>
    <row r="6796" spans="6:6" x14ac:dyDescent="0.3">
      <c r="F6796" s="193"/>
    </row>
    <row r="6797" spans="6:6" x14ac:dyDescent="0.3">
      <c r="F6797" s="193"/>
    </row>
    <row r="6798" spans="6:6" x14ac:dyDescent="0.3">
      <c r="F6798" s="193"/>
    </row>
    <row r="6799" spans="6:6" x14ac:dyDescent="0.3">
      <c r="F6799" s="193"/>
    </row>
    <row r="6800" spans="6:6" x14ac:dyDescent="0.3">
      <c r="F6800" s="193"/>
    </row>
    <row r="6801" spans="6:6" x14ac:dyDescent="0.3">
      <c r="F6801" s="193"/>
    </row>
    <row r="6802" spans="6:6" x14ac:dyDescent="0.3">
      <c r="F6802" s="193"/>
    </row>
    <row r="6803" spans="6:6" x14ac:dyDescent="0.3">
      <c r="F6803" s="193"/>
    </row>
    <row r="6804" spans="6:6" x14ac:dyDescent="0.3">
      <c r="F6804" s="193"/>
    </row>
    <row r="6805" spans="6:6" x14ac:dyDescent="0.3">
      <c r="F6805" s="193"/>
    </row>
    <row r="6806" spans="6:6" x14ac:dyDescent="0.3">
      <c r="F6806" s="193"/>
    </row>
    <row r="6807" spans="6:6" x14ac:dyDescent="0.3">
      <c r="F6807" s="193"/>
    </row>
    <row r="6808" spans="6:6" x14ac:dyDescent="0.3">
      <c r="F6808" s="193"/>
    </row>
    <row r="6809" spans="6:6" x14ac:dyDescent="0.3">
      <c r="F6809" s="193"/>
    </row>
    <row r="6810" spans="6:6" x14ac:dyDescent="0.3">
      <c r="F6810" s="193"/>
    </row>
    <row r="6811" spans="6:6" x14ac:dyDescent="0.3">
      <c r="F6811" s="193"/>
    </row>
    <row r="6812" spans="6:6" x14ac:dyDescent="0.3">
      <c r="F6812" s="193"/>
    </row>
    <row r="6813" spans="6:6" x14ac:dyDescent="0.3">
      <c r="F6813" s="193"/>
    </row>
    <row r="6814" spans="6:6" x14ac:dyDescent="0.3">
      <c r="F6814" s="193"/>
    </row>
    <row r="6815" spans="6:6" x14ac:dyDescent="0.3">
      <c r="F6815" s="193"/>
    </row>
    <row r="6816" spans="6:6" x14ac:dyDescent="0.3">
      <c r="F6816" s="193"/>
    </row>
    <row r="6817" spans="6:6" x14ac:dyDescent="0.3">
      <c r="F6817" s="193"/>
    </row>
    <row r="6818" spans="6:6" x14ac:dyDescent="0.3">
      <c r="F6818" s="193"/>
    </row>
    <row r="6819" spans="6:6" x14ac:dyDescent="0.3">
      <c r="F6819" s="193"/>
    </row>
    <row r="6820" spans="6:6" x14ac:dyDescent="0.3">
      <c r="F6820" s="193"/>
    </row>
    <row r="6821" spans="6:6" x14ac:dyDescent="0.3">
      <c r="F6821" s="193"/>
    </row>
    <row r="6822" spans="6:6" x14ac:dyDescent="0.3">
      <c r="F6822" s="193"/>
    </row>
    <row r="6823" spans="6:6" x14ac:dyDescent="0.3">
      <c r="F6823" s="193"/>
    </row>
    <row r="6824" spans="6:6" x14ac:dyDescent="0.3">
      <c r="F6824" s="193"/>
    </row>
    <row r="6825" spans="6:6" x14ac:dyDescent="0.3">
      <c r="F6825" s="193"/>
    </row>
    <row r="6826" spans="6:6" x14ac:dyDescent="0.3">
      <c r="F6826" s="193"/>
    </row>
    <row r="6827" spans="6:6" x14ac:dyDescent="0.3">
      <c r="F6827" s="193"/>
    </row>
    <row r="6828" spans="6:6" x14ac:dyDescent="0.3">
      <c r="F6828" s="193"/>
    </row>
    <row r="6829" spans="6:6" x14ac:dyDescent="0.3">
      <c r="F6829" s="193"/>
    </row>
    <row r="6830" spans="6:6" x14ac:dyDescent="0.3">
      <c r="F6830" s="193"/>
    </row>
    <row r="6831" spans="6:6" x14ac:dyDescent="0.3">
      <c r="F6831" s="193"/>
    </row>
    <row r="6832" spans="6:6" x14ac:dyDescent="0.3">
      <c r="F6832" s="193"/>
    </row>
    <row r="6833" spans="6:6" x14ac:dyDescent="0.3">
      <c r="F6833" s="193"/>
    </row>
    <row r="6834" spans="6:6" x14ac:dyDescent="0.3">
      <c r="F6834" s="193"/>
    </row>
    <row r="6835" spans="6:6" x14ac:dyDescent="0.3">
      <c r="F6835" s="193"/>
    </row>
    <row r="6836" spans="6:6" x14ac:dyDescent="0.3">
      <c r="F6836" s="193"/>
    </row>
    <row r="6837" spans="6:6" x14ac:dyDescent="0.3">
      <c r="F6837" s="193"/>
    </row>
    <row r="6838" spans="6:6" x14ac:dyDescent="0.3">
      <c r="F6838" s="193"/>
    </row>
    <row r="6839" spans="6:6" x14ac:dyDescent="0.3">
      <c r="F6839" s="193"/>
    </row>
    <row r="6840" spans="6:6" x14ac:dyDescent="0.3">
      <c r="F6840" s="193"/>
    </row>
    <row r="6841" spans="6:6" x14ac:dyDescent="0.3">
      <c r="F6841" s="193"/>
    </row>
    <row r="6842" spans="6:6" x14ac:dyDescent="0.3">
      <c r="F6842" s="193"/>
    </row>
    <row r="6843" spans="6:6" x14ac:dyDescent="0.3">
      <c r="F6843" s="193"/>
    </row>
    <row r="6844" spans="6:6" x14ac:dyDescent="0.3">
      <c r="F6844" s="193"/>
    </row>
    <row r="6845" spans="6:6" x14ac:dyDescent="0.3">
      <c r="F6845" s="193"/>
    </row>
    <row r="6846" spans="6:6" x14ac:dyDescent="0.3">
      <c r="F6846" s="193"/>
    </row>
    <row r="6847" spans="6:6" x14ac:dyDescent="0.3">
      <c r="F6847" s="193"/>
    </row>
    <row r="6848" spans="6:6" x14ac:dyDescent="0.3">
      <c r="F6848" s="193"/>
    </row>
    <row r="6849" spans="6:6" x14ac:dyDescent="0.3">
      <c r="F6849" s="193"/>
    </row>
    <row r="6850" spans="6:6" x14ac:dyDescent="0.3">
      <c r="F6850" s="193"/>
    </row>
    <row r="6851" spans="6:6" x14ac:dyDescent="0.3">
      <c r="F6851" s="193"/>
    </row>
    <row r="6852" spans="6:6" x14ac:dyDescent="0.3">
      <c r="F6852" s="193"/>
    </row>
    <row r="6853" spans="6:6" x14ac:dyDescent="0.3">
      <c r="F6853" s="193"/>
    </row>
    <row r="6854" spans="6:6" x14ac:dyDescent="0.3">
      <c r="F6854" s="193"/>
    </row>
    <row r="6855" spans="6:6" x14ac:dyDescent="0.3">
      <c r="F6855" s="193"/>
    </row>
    <row r="6856" spans="6:6" x14ac:dyDescent="0.3">
      <c r="F6856" s="193"/>
    </row>
    <row r="6857" spans="6:6" x14ac:dyDescent="0.3">
      <c r="F6857" s="193"/>
    </row>
    <row r="6858" spans="6:6" x14ac:dyDescent="0.3">
      <c r="F6858" s="193"/>
    </row>
    <row r="6859" spans="6:6" x14ac:dyDescent="0.3">
      <c r="F6859" s="193"/>
    </row>
    <row r="6860" spans="6:6" x14ac:dyDescent="0.3">
      <c r="F6860" s="193"/>
    </row>
    <row r="6861" spans="6:6" x14ac:dyDescent="0.3">
      <c r="F6861" s="193"/>
    </row>
    <row r="6862" spans="6:6" x14ac:dyDescent="0.3">
      <c r="F6862" s="193"/>
    </row>
    <row r="6863" spans="6:6" x14ac:dyDescent="0.3">
      <c r="F6863" s="193"/>
    </row>
    <row r="6864" spans="6:6" x14ac:dyDescent="0.3">
      <c r="F6864" s="193"/>
    </row>
    <row r="6865" spans="6:6" x14ac:dyDescent="0.3">
      <c r="F6865" s="193"/>
    </row>
    <row r="6866" spans="6:6" x14ac:dyDescent="0.3">
      <c r="F6866" s="193"/>
    </row>
    <row r="6867" spans="6:6" x14ac:dyDescent="0.3">
      <c r="F6867" s="193"/>
    </row>
    <row r="6868" spans="6:6" x14ac:dyDescent="0.3">
      <c r="F6868" s="193"/>
    </row>
    <row r="6869" spans="6:6" x14ac:dyDescent="0.3">
      <c r="F6869" s="193"/>
    </row>
    <row r="6870" spans="6:6" x14ac:dyDescent="0.3">
      <c r="F6870" s="193"/>
    </row>
    <row r="6871" spans="6:6" x14ac:dyDescent="0.3">
      <c r="F6871" s="193"/>
    </row>
    <row r="6872" spans="6:6" x14ac:dyDescent="0.3">
      <c r="F6872" s="193"/>
    </row>
    <row r="6873" spans="6:6" x14ac:dyDescent="0.3">
      <c r="F6873" s="193"/>
    </row>
    <row r="6874" spans="6:6" x14ac:dyDescent="0.3">
      <c r="F6874" s="193"/>
    </row>
    <row r="6875" spans="6:6" x14ac:dyDescent="0.3">
      <c r="F6875" s="193"/>
    </row>
    <row r="6876" spans="6:6" x14ac:dyDescent="0.3">
      <c r="F6876" s="193"/>
    </row>
    <row r="6877" spans="6:6" x14ac:dyDescent="0.3">
      <c r="F6877" s="193"/>
    </row>
    <row r="6878" spans="6:6" x14ac:dyDescent="0.3">
      <c r="F6878" s="193"/>
    </row>
    <row r="6879" spans="6:6" x14ac:dyDescent="0.3">
      <c r="F6879" s="193"/>
    </row>
    <row r="6880" spans="6:6" x14ac:dyDescent="0.3">
      <c r="F6880" s="193"/>
    </row>
    <row r="6881" spans="6:6" x14ac:dyDescent="0.3">
      <c r="F6881" s="193"/>
    </row>
    <row r="6882" spans="6:6" x14ac:dyDescent="0.3">
      <c r="F6882" s="193"/>
    </row>
    <row r="6883" spans="6:6" x14ac:dyDescent="0.3">
      <c r="F6883" s="193"/>
    </row>
    <row r="6884" spans="6:6" x14ac:dyDescent="0.3">
      <c r="F6884" s="193"/>
    </row>
    <row r="6885" spans="6:6" x14ac:dyDescent="0.3">
      <c r="F6885" s="193"/>
    </row>
    <row r="6886" spans="6:6" x14ac:dyDescent="0.3">
      <c r="F6886" s="193"/>
    </row>
    <row r="6887" spans="6:6" x14ac:dyDescent="0.3">
      <c r="F6887" s="193"/>
    </row>
    <row r="6888" spans="6:6" x14ac:dyDescent="0.3">
      <c r="F6888" s="193"/>
    </row>
    <row r="6889" spans="6:6" x14ac:dyDescent="0.3">
      <c r="F6889" s="193"/>
    </row>
    <row r="6890" spans="6:6" x14ac:dyDescent="0.3">
      <c r="F6890" s="193"/>
    </row>
    <row r="6891" spans="6:6" x14ac:dyDescent="0.3">
      <c r="F6891" s="193"/>
    </row>
    <row r="6892" spans="6:6" x14ac:dyDescent="0.3">
      <c r="F6892" s="193"/>
    </row>
    <row r="6893" spans="6:6" x14ac:dyDescent="0.3">
      <c r="F6893" s="193"/>
    </row>
    <row r="6894" spans="6:6" x14ac:dyDescent="0.3">
      <c r="F6894" s="193"/>
    </row>
    <row r="6895" spans="6:6" x14ac:dyDescent="0.3">
      <c r="F6895" s="193"/>
    </row>
    <row r="6896" spans="6:6" x14ac:dyDescent="0.3">
      <c r="F6896" s="193"/>
    </row>
    <row r="6897" spans="6:6" x14ac:dyDescent="0.3">
      <c r="F6897" s="193"/>
    </row>
    <row r="6898" spans="6:6" x14ac:dyDescent="0.3">
      <c r="F6898" s="193"/>
    </row>
    <row r="6899" spans="6:6" x14ac:dyDescent="0.3">
      <c r="F6899" s="193"/>
    </row>
    <row r="6900" spans="6:6" x14ac:dyDescent="0.3">
      <c r="F6900" s="193"/>
    </row>
    <row r="6901" spans="6:6" x14ac:dyDescent="0.3">
      <c r="F6901" s="193"/>
    </row>
    <row r="6902" spans="6:6" x14ac:dyDescent="0.3">
      <c r="F6902" s="193"/>
    </row>
    <row r="6903" spans="6:6" x14ac:dyDescent="0.3">
      <c r="F6903" s="193"/>
    </row>
    <row r="6904" spans="6:6" x14ac:dyDescent="0.3">
      <c r="F6904" s="193"/>
    </row>
    <row r="6905" spans="6:6" x14ac:dyDescent="0.3">
      <c r="F6905" s="193"/>
    </row>
    <row r="6906" spans="6:6" x14ac:dyDescent="0.3">
      <c r="F6906" s="193"/>
    </row>
    <row r="6907" spans="6:6" x14ac:dyDescent="0.3">
      <c r="F6907" s="193"/>
    </row>
    <row r="6908" spans="6:6" x14ac:dyDescent="0.3">
      <c r="F6908" s="193"/>
    </row>
    <row r="6909" spans="6:6" x14ac:dyDescent="0.3">
      <c r="F6909" s="193"/>
    </row>
    <row r="6910" spans="6:6" x14ac:dyDescent="0.3">
      <c r="F6910" s="193"/>
    </row>
    <row r="6911" spans="6:6" x14ac:dyDescent="0.3">
      <c r="F6911" s="193"/>
    </row>
    <row r="6912" spans="6:6" x14ac:dyDescent="0.3">
      <c r="F6912" s="193"/>
    </row>
    <row r="6913" spans="6:6" x14ac:dyDescent="0.3">
      <c r="F6913" s="193"/>
    </row>
    <row r="6914" spans="6:6" x14ac:dyDescent="0.3">
      <c r="F6914" s="193"/>
    </row>
    <row r="6915" spans="6:6" x14ac:dyDescent="0.3">
      <c r="F6915" s="193"/>
    </row>
    <row r="6916" spans="6:6" x14ac:dyDescent="0.3">
      <c r="F6916" s="193"/>
    </row>
    <row r="6917" spans="6:6" x14ac:dyDescent="0.3">
      <c r="F6917" s="193"/>
    </row>
    <row r="6918" spans="6:6" x14ac:dyDescent="0.3">
      <c r="F6918" s="193"/>
    </row>
    <row r="6919" spans="6:6" x14ac:dyDescent="0.3">
      <c r="F6919" s="193"/>
    </row>
    <row r="6920" spans="6:6" x14ac:dyDescent="0.3">
      <c r="F6920" s="193"/>
    </row>
    <row r="6921" spans="6:6" x14ac:dyDescent="0.3">
      <c r="F6921" s="193"/>
    </row>
    <row r="6922" spans="6:6" x14ac:dyDescent="0.3">
      <c r="F6922" s="193"/>
    </row>
    <row r="6923" spans="6:6" x14ac:dyDescent="0.3">
      <c r="F6923" s="193"/>
    </row>
    <row r="6924" spans="6:6" x14ac:dyDescent="0.3">
      <c r="F6924" s="193"/>
    </row>
    <row r="6925" spans="6:6" x14ac:dyDescent="0.3">
      <c r="F6925" s="193"/>
    </row>
    <row r="6926" spans="6:6" x14ac:dyDescent="0.3">
      <c r="F6926" s="193"/>
    </row>
    <row r="6927" spans="6:6" x14ac:dyDescent="0.3">
      <c r="F6927" s="193"/>
    </row>
    <row r="6928" spans="6:6" x14ac:dyDescent="0.3">
      <c r="F6928" s="193"/>
    </row>
    <row r="6929" spans="6:6" x14ac:dyDescent="0.3">
      <c r="F6929" s="193"/>
    </row>
    <row r="6930" spans="6:6" x14ac:dyDescent="0.3">
      <c r="F6930" s="193"/>
    </row>
    <row r="6931" spans="6:6" x14ac:dyDescent="0.3">
      <c r="F6931" s="193"/>
    </row>
    <row r="6932" spans="6:6" x14ac:dyDescent="0.3">
      <c r="F6932" s="193"/>
    </row>
    <row r="6933" spans="6:6" x14ac:dyDescent="0.3">
      <c r="F6933" s="193"/>
    </row>
    <row r="6934" spans="6:6" x14ac:dyDescent="0.3">
      <c r="F6934" s="193"/>
    </row>
    <row r="6935" spans="6:6" x14ac:dyDescent="0.3">
      <c r="F6935" s="193"/>
    </row>
    <row r="6936" spans="6:6" x14ac:dyDescent="0.3">
      <c r="F6936" s="193"/>
    </row>
    <row r="6937" spans="6:6" x14ac:dyDescent="0.3">
      <c r="F6937" s="193"/>
    </row>
    <row r="6938" spans="6:6" x14ac:dyDescent="0.3">
      <c r="F6938" s="193"/>
    </row>
    <row r="6939" spans="6:6" x14ac:dyDescent="0.3">
      <c r="F6939" s="193"/>
    </row>
    <row r="6940" spans="6:6" x14ac:dyDescent="0.3">
      <c r="F6940" s="193"/>
    </row>
    <row r="6941" spans="6:6" x14ac:dyDescent="0.3">
      <c r="F6941" s="193"/>
    </row>
    <row r="6942" spans="6:6" x14ac:dyDescent="0.3">
      <c r="F6942" s="193"/>
    </row>
    <row r="6943" spans="6:6" x14ac:dyDescent="0.3">
      <c r="F6943" s="193"/>
    </row>
    <row r="6944" spans="6:6" x14ac:dyDescent="0.3">
      <c r="F6944" s="193"/>
    </row>
    <row r="6945" spans="6:6" x14ac:dyDescent="0.3">
      <c r="F6945" s="193"/>
    </row>
    <row r="6946" spans="6:6" x14ac:dyDescent="0.3">
      <c r="F6946" s="193"/>
    </row>
    <row r="6947" spans="6:6" x14ac:dyDescent="0.3">
      <c r="F6947" s="193"/>
    </row>
    <row r="6948" spans="6:6" x14ac:dyDescent="0.3">
      <c r="F6948" s="193"/>
    </row>
    <row r="6949" spans="6:6" x14ac:dyDescent="0.3">
      <c r="F6949" s="193"/>
    </row>
    <row r="6950" spans="6:6" x14ac:dyDescent="0.3">
      <c r="F6950" s="193"/>
    </row>
    <row r="6951" spans="6:6" x14ac:dyDescent="0.3">
      <c r="F6951" s="193"/>
    </row>
    <row r="6952" spans="6:6" x14ac:dyDescent="0.3">
      <c r="F6952" s="193"/>
    </row>
    <row r="6953" spans="6:6" x14ac:dyDescent="0.3">
      <c r="F6953" s="193"/>
    </row>
    <row r="6954" spans="6:6" x14ac:dyDescent="0.3">
      <c r="F6954" s="193"/>
    </row>
    <row r="6955" spans="6:6" x14ac:dyDescent="0.3">
      <c r="F6955" s="193"/>
    </row>
    <row r="6956" spans="6:6" x14ac:dyDescent="0.3">
      <c r="F6956" s="193"/>
    </row>
    <row r="6957" spans="6:6" x14ac:dyDescent="0.3">
      <c r="F6957" s="193"/>
    </row>
    <row r="6958" spans="6:6" x14ac:dyDescent="0.3">
      <c r="F6958" s="193"/>
    </row>
    <row r="6959" spans="6:6" x14ac:dyDescent="0.3">
      <c r="F6959" s="193"/>
    </row>
    <row r="6960" spans="6:6" x14ac:dyDescent="0.3">
      <c r="F6960" s="193"/>
    </row>
    <row r="6961" spans="6:6" x14ac:dyDescent="0.3">
      <c r="F6961" s="193"/>
    </row>
    <row r="6962" spans="6:6" x14ac:dyDescent="0.3">
      <c r="F6962" s="193"/>
    </row>
    <row r="6963" spans="6:6" x14ac:dyDescent="0.3">
      <c r="F6963" s="193"/>
    </row>
    <row r="6964" spans="6:6" x14ac:dyDescent="0.3">
      <c r="F6964" s="193"/>
    </row>
    <row r="6965" spans="6:6" x14ac:dyDescent="0.3">
      <c r="F6965" s="193"/>
    </row>
    <row r="6966" spans="6:6" x14ac:dyDescent="0.3">
      <c r="F6966" s="193"/>
    </row>
    <row r="6967" spans="6:6" x14ac:dyDescent="0.3">
      <c r="F6967" s="193"/>
    </row>
    <row r="6968" spans="6:6" x14ac:dyDescent="0.3">
      <c r="F6968" s="193"/>
    </row>
    <row r="6969" spans="6:6" x14ac:dyDescent="0.3">
      <c r="F6969" s="193"/>
    </row>
    <row r="6970" spans="6:6" x14ac:dyDescent="0.3">
      <c r="F6970" s="193"/>
    </row>
    <row r="6971" spans="6:6" x14ac:dyDescent="0.3">
      <c r="F6971" s="193"/>
    </row>
    <row r="6972" spans="6:6" x14ac:dyDescent="0.3">
      <c r="F6972" s="193"/>
    </row>
    <row r="6973" spans="6:6" x14ac:dyDescent="0.3">
      <c r="F6973" s="193"/>
    </row>
    <row r="6974" spans="6:6" x14ac:dyDescent="0.3">
      <c r="F6974" s="193"/>
    </row>
    <row r="6975" spans="6:6" x14ac:dyDescent="0.3">
      <c r="F6975" s="193"/>
    </row>
    <row r="6976" spans="6:6" x14ac:dyDescent="0.3">
      <c r="F6976" s="193"/>
    </row>
    <row r="6977" spans="6:6" x14ac:dyDescent="0.3">
      <c r="F6977" s="193"/>
    </row>
    <row r="6978" spans="6:6" x14ac:dyDescent="0.3">
      <c r="F6978" s="193"/>
    </row>
    <row r="6979" spans="6:6" x14ac:dyDescent="0.3">
      <c r="F6979" s="193"/>
    </row>
    <row r="6980" spans="6:6" x14ac:dyDescent="0.3">
      <c r="F6980" s="193"/>
    </row>
    <row r="6981" spans="6:6" x14ac:dyDescent="0.3">
      <c r="F6981" s="193"/>
    </row>
    <row r="6982" spans="6:6" x14ac:dyDescent="0.3">
      <c r="F6982" s="193"/>
    </row>
    <row r="6983" spans="6:6" x14ac:dyDescent="0.3">
      <c r="F6983" s="193"/>
    </row>
    <row r="6984" spans="6:6" x14ac:dyDescent="0.3">
      <c r="F6984" s="193"/>
    </row>
    <row r="6985" spans="6:6" x14ac:dyDescent="0.3">
      <c r="F6985" s="193"/>
    </row>
    <row r="6986" spans="6:6" x14ac:dyDescent="0.3">
      <c r="F6986" s="193"/>
    </row>
    <row r="6987" spans="6:6" x14ac:dyDescent="0.3">
      <c r="F6987" s="193"/>
    </row>
    <row r="6988" spans="6:6" x14ac:dyDescent="0.3">
      <c r="F6988" s="193"/>
    </row>
    <row r="6989" spans="6:6" x14ac:dyDescent="0.3">
      <c r="F6989" s="193"/>
    </row>
    <row r="6990" spans="6:6" x14ac:dyDescent="0.3">
      <c r="F6990" s="193"/>
    </row>
    <row r="6991" spans="6:6" x14ac:dyDescent="0.3">
      <c r="F6991" s="193"/>
    </row>
    <row r="6992" spans="6:6" x14ac:dyDescent="0.3">
      <c r="F6992" s="193"/>
    </row>
    <row r="6993" spans="6:6" x14ac:dyDescent="0.3">
      <c r="F6993" s="193"/>
    </row>
    <row r="6994" spans="6:6" x14ac:dyDescent="0.3">
      <c r="F6994" s="193"/>
    </row>
    <row r="6995" spans="6:6" x14ac:dyDescent="0.3">
      <c r="F6995" s="193"/>
    </row>
    <row r="6996" spans="6:6" x14ac:dyDescent="0.3">
      <c r="F6996" s="193"/>
    </row>
    <row r="6997" spans="6:6" x14ac:dyDescent="0.3">
      <c r="F6997" s="193"/>
    </row>
    <row r="6998" spans="6:6" x14ac:dyDescent="0.3">
      <c r="F6998" s="193"/>
    </row>
    <row r="6999" spans="6:6" x14ac:dyDescent="0.3">
      <c r="F6999" s="193"/>
    </row>
    <row r="7000" spans="6:6" x14ac:dyDescent="0.3">
      <c r="F7000" s="193"/>
    </row>
    <row r="7001" spans="6:6" x14ac:dyDescent="0.3">
      <c r="F7001" s="193"/>
    </row>
    <row r="7002" spans="6:6" x14ac:dyDescent="0.3">
      <c r="F7002" s="193"/>
    </row>
    <row r="7003" spans="6:6" x14ac:dyDescent="0.3">
      <c r="F7003" s="193"/>
    </row>
    <row r="7004" spans="6:6" x14ac:dyDescent="0.3">
      <c r="F7004" s="193"/>
    </row>
    <row r="7005" spans="6:6" x14ac:dyDescent="0.3">
      <c r="F7005" s="193"/>
    </row>
    <row r="7006" spans="6:6" x14ac:dyDescent="0.3">
      <c r="F7006" s="193"/>
    </row>
    <row r="7007" spans="6:6" x14ac:dyDescent="0.3">
      <c r="F7007" s="193"/>
    </row>
    <row r="7008" spans="6:6" x14ac:dyDescent="0.3">
      <c r="F7008" s="193"/>
    </row>
    <row r="7009" spans="6:6" x14ac:dyDescent="0.3">
      <c r="F7009" s="193"/>
    </row>
    <row r="7010" spans="6:6" x14ac:dyDescent="0.3">
      <c r="F7010" s="193"/>
    </row>
    <row r="7011" spans="6:6" x14ac:dyDescent="0.3">
      <c r="F7011" s="193"/>
    </row>
    <row r="7012" spans="6:6" x14ac:dyDescent="0.3">
      <c r="F7012" s="193"/>
    </row>
    <row r="7013" spans="6:6" x14ac:dyDescent="0.3">
      <c r="F7013" s="193"/>
    </row>
    <row r="7014" spans="6:6" x14ac:dyDescent="0.3">
      <c r="F7014" s="193"/>
    </row>
    <row r="7015" spans="6:6" x14ac:dyDescent="0.3">
      <c r="F7015" s="193"/>
    </row>
    <row r="7016" spans="6:6" x14ac:dyDescent="0.3">
      <c r="F7016" s="193"/>
    </row>
    <row r="7017" spans="6:6" x14ac:dyDescent="0.3">
      <c r="F7017" s="193"/>
    </row>
    <row r="7018" spans="6:6" x14ac:dyDescent="0.3">
      <c r="F7018" s="193"/>
    </row>
    <row r="7019" spans="6:6" x14ac:dyDescent="0.3">
      <c r="F7019" s="193"/>
    </row>
    <row r="7020" spans="6:6" x14ac:dyDescent="0.3">
      <c r="F7020" s="193"/>
    </row>
    <row r="7021" spans="6:6" x14ac:dyDescent="0.3">
      <c r="F7021" s="193"/>
    </row>
    <row r="7022" spans="6:6" x14ac:dyDescent="0.3">
      <c r="F7022" s="193"/>
    </row>
    <row r="7023" spans="6:6" x14ac:dyDescent="0.3">
      <c r="F7023" s="193"/>
    </row>
    <row r="7024" spans="6:6" x14ac:dyDescent="0.3">
      <c r="F7024" s="193"/>
    </row>
    <row r="7025" spans="6:6" x14ac:dyDescent="0.3">
      <c r="F7025" s="193"/>
    </row>
    <row r="7026" spans="6:6" x14ac:dyDescent="0.3">
      <c r="F7026" s="193"/>
    </row>
    <row r="7027" spans="6:6" x14ac:dyDescent="0.3">
      <c r="F7027" s="193"/>
    </row>
    <row r="7028" spans="6:6" x14ac:dyDescent="0.3">
      <c r="F7028" s="193"/>
    </row>
    <row r="7029" spans="6:6" x14ac:dyDescent="0.3">
      <c r="F7029" s="193"/>
    </row>
    <row r="7030" spans="6:6" x14ac:dyDescent="0.3">
      <c r="F7030" s="193"/>
    </row>
    <row r="7031" spans="6:6" x14ac:dyDescent="0.3">
      <c r="F7031" s="193"/>
    </row>
    <row r="7032" spans="6:6" x14ac:dyDescent="0.3">
      <c r="F7032" s="193"/>
    </row>
    <row r="7033" spans="6:6" x14ac:dyDescent="0.3">
      <c r="F7033" s="193"/>
    </row>
    <row r="7034" spans="6:6" x14ac:dyDescent="0.3">
      <c r="F7034" s="193"/>
    </row>
    <row r="7035" spans="6:6" x14ac:dyDescent="0.3">
      <c r="F7035" s="193"/>
    </row>
    <row r="7036" spans="6:6" x14ac:dyDescent="0.3">
      <c r="F7036" s="193"/>
    </row>
    <row r="7037" spans="6:6" x14ac:dyDescent="0.3">
      <c r="F7037" s="193"/>
    </row>
    <row r="7038" spans="6:6" x14ac:dyDescent="0.3">
      <c r="F7038" s="193"/>
    </row>
    <row r="7039" spans="6:6" x14ac:dyDescent="0.3">
      <c r="F7039" s="193"/>
    </row>
    <row r="7040" spans="6:6" x14ac:dyDescent="0.3">
      <c r="F7040" s="193"/>
    </row>
    <row r="7041" spans="6:6" x14ac:dyDescent="0.3">
      <c r="F7041" s="193"/>
    </row>
    <row r="7042" spans="6:6" x14ac:dyDescent="0.3">
      <c r="F7042" s="193"/>
    </row>
    <row r="7043" spans="6:6" x14ac:dyDescent="0.3">
      <c r="F7043" s="193"/>
    </row>
    <row r="7044" spans="6:6" x14ac:dyDescent="0.3">
      <c r="F7044" s="193"/>
    </row>
    <row r="7045" spans="6:6" x14ac:dyDescent="0.3">
      <c r="F7045" s="193"/>
    </row>
    <row r="7046" spans="6:6" x14ac:dyDescent="0.3">
      <c r="F7046" s="193"/>
    </row>
    <row r="7047" spans="6:6" x14ac:dyDescent="0.3">
      <c r="F7047" s="193"/>
    </row>
    <row r="7048" spans="6:6" x14ac:dyDescent="0.3">
      <c r="F7048" s="193"/>
    </row>
    <row r="7049" spans="6:6" x14ac:dyDescent="0.3">
      <c r="F7049" s="193"/>
    </row>
    <row r="7050" spans="6:6" x14ac:dyDescent="0.3">
      <c r="F7050" s="193"/>
    </row>
    <row r="7051" spans="6:6" x14ac:dyDescent="0.3">
      <c r="F7051" s="193"/>
    </row>
    <row r="7052" spans="6:6" x14ac:dyDescent="0.3">
      <c r="F7052" s="193"/>
    </row>
    <row r="7053" spans="6:6" x14ac:dyDescent="0.3">
      <c r="F7053" s="193"/>
    </row>
    <row r="7054" spans="6:6" x14ac:dyDescent="0.3">
      <c r="F7054" s="193"/>
    </row>
    <row r="7055" spans="6:6" x14ac:dyDescent="0.3">
      <c r="F7055" s="193"/>
    </row>
    <row r="7056" spans="6:6" x14ac:dyDescent="0.3">
      <c r="F7056" s="193"/>
    </row>
    <row r="7057" spans="6:6" x14ac:dyDescent="0.3">
      <c r="F7057" s="193"/>
    </row>
    <row r="7058" spans="6:6" x14ac:dyDescent="0.3">
      <c r="F7058" s="193"/>
    </row>
    <row r="7059" spans="6:6" x14ac:dyDescent="0.3">
      <c r="F7059" s="193"/>
    </row>
    <row r="7060" spans="6:6" x14ac:dyDescent="0.3">
      <c r="F7060" s="193"/>
    </row>
    <row r="7061" spans="6:6" x14ac:dyDescent="0.3">
      <c r="F7061" s="193"/>
    </row>
    <row r="7062" spans="6:6" x14ac:dyDescent="0.3">
      <c r="F7062" s="193"/>
    </row>
    <row r="7063" spans="6:6" x14ac:dyDescent="0.3">
      <c r="F7063" s="193"/>
    </row>
    <row r="7064" spans="6:6" x14ac:dyDescent="0.3">
      <c r="F7064" s="193"/>
    </row>
    <row r="7065" spans="6:6" x14ac:dyDescent="0.3">
      <c r="F7065" s="193"/>
    </row>
    <row r="7066" spans="6:6" x14ac:dyDescent="0.3">
      <c r="F7066" s="193"/>
    </row>
    <row r="7067" spans="6:6" x14ac:dyDescent="0.3">
      <c r="F7067" s="193"/>
    </row>
    <row r="7068" spans="6:6" x14ac:dyDescent="0.3">
      <c r="F7068" s="193"/>
    </row>
    <row r="7069" spans="6:6" x14ac:dyDescent="0.3">
      <c r="F7069" s="193"/>
    </row>
    <row r="7070" spans="6:6" x14ac:dyDescent="0.3">
      <c r="F7070" s="193"/>
    </row>
    <row r="7071" spans="6:6" x14ac:dyDescent="0.3">
      <c r="F7071" s="193"/>
    </row>
    <row r="7072" spans="6:6" x14ac:dyDescent="0.3">
      <c r="F7072" s="193"/>
    </row>
    <row r="7073" spans="6:6" x14ac:dyDescent="0.3">
      <c r="F7073" s="193"/>
    </row>
    <row r="7074" spans="6:6" x14ac:dyDescent="0.3">
      <c r="F7074" s="193"/>
    </row>
    <row r="7075" spans="6:6" x14ac:dyDescent="0.3">
      <c r="F7075" s="193"/>
    </row>
    <row r="7076" spans="6:6" x14ac:dyDescent="0.3">
      <c r="F7076" s="193"/>
    </row>
    <row r="7077" spans="6:6" x14ac:dyDescent="0.3">
      <c r="F7077" s="193"/>
    </row>
    <row r="7078" spans="6:6" x14ac:dyDescent="0.3">
      <c r="F7078" s="193"/>
    </row>
    <row r="7079" spans="6:6" x14ac:dyDescent="0.3">
      <c r="F7079" s="193"/>
    </row>
    <row r="7080" spans="6:6" x14ac:dyDescent="0.3">
      <c r="F7080" s="193"/>
    </row>
    <row r="7081" spans="6:6" x14ac:dyDescent="0.3">
      <c r="F7081" s="193"/>
    </row>
    <row r="7082" spans="6:6" x14ac:dyDescent="0.3">
      <c r="F7082" s="193"/>
    </row>
    <row r="7083" spans="6:6" x14ac:dyDescent="0.3">
      <c r="F7083" s="193"/>
    </row>
    <row r="7084" spans="6:6" x14ac:dyDescent="0.3">
      <c r="F7084" s="193"/>
    </row>
    <row r="7085" spans="6:6" x14ac:dyDescent="0.3">
      <c r="F7085" s="193"/>
    </row>
    <row r="7086" spans="6:6" x14ac:dyDescent="0.3">
      <c r="F7086" s="193"/>
    </row>
    <row r="7087" spans="6:6" x14ac:dyDescent="0.3">
      <c r="F7087" s="193"/>
    </row>
    <row r="7088" spans="6:6" x14ac:dyDescent="0.3">
      <c r="F7088" s="193"/>
    </row>
    <row r="7089" spans="6:6" x14ac:dyDescent="0.3">
      <c r="F7089" s="193"/>
    </row>
    <row r="7090" spans="6:6" x14ac:dyDescent="0.3">
      <c r="F7090" s="193"/>
    </row>
    <row r="7091" spans="6:6" x14ac:dyDescent="0.3">
      <c r="F7091" s="193"/>
    </row>
    <row r="7092" spans="6:6" x14ac:dyDescent="0.3">
      <c r="F7092" s="193"/>
    </row>
    <row r="7093" spans="6:6" x14ac:dyDescent="0.3">
      <c r="F7093" s="193"/>
    </row>
    <row r="7094" spans="6:6" x14ac:dyDescent="0.3">
      <c r="F7094" s="193"/>
    </row>
    <row r="7095" spans="6:6" x14ac:dyDescent="0.3">
      <c r="F7095" s="193"/>
    </row>
    <row r="7096" spans="6:6" x14ac:dyDescent="0.3">
      <c r="F7096" s="193"/>
    </row>
    <row r="7097" spans="6:6" x14ac:dyDescent="0.3">
      <c r="F7097" s="193"/>
    </row>
    <row r="7098" spans="6:6" x14ac:dyDescent="0.3">
      <c r="F7098" s="193"/>
    </row>
    <row r="7099" spans="6:6" x14ac:dyDescent="0.3">
      <c r="F7099" s="193"/>
    </row>
    <row r="7100" spans="6:6" x14ac:dyDescent="0.3">
      <c r="F7100" s="193"/>
    </row>
    <row r="7101" spans="6:6" x14ac:dyDescent="0.3">
      <c r="F7101" s="193"/>
    </row>
    <row r="7102" spans="6:6" x14ac:dyDescent="0.3">
      <c r="F7102" s="193"/>
    </row>
    <row r="7103" spans="6:6" x14ac:dyDescent="0.3">
      <c r="F7103" s="193"/>
    </row>
    <row r="7104" spans="6:6" x14ac:dyDescent="0.3">
      <c r="F7104" s="193"/>
    </row>
    <row r="7105" spans="6:6" x14ac:dyDescent="0.3">
      <c r="F7105" s="193"/>
    </row>
    <row r="7106" spans="6:6" x14ac:dyDescent="0.3">
      <c r="F7106" s="193"/>
    </row>
    <row r="7107" spans="6:6" x14ac:dyDescent="0.3">
      <c r="F7107" s="193"/>
    </row>
    <row r="7108" spans="6:6" x14ac:dyDescent="0.3">
      <c r="F7108" s="193"/>
    </row>
    <row r="7109" spans="6:6" x14ac:dyDescent="0.3">
      <c r="F7109" s="193"/>
    </row>
    <row r="7110" spans="6:6" x14ac:dyDescent="0.3">
      <c r="F7110" s="193"/>
    </row>
    <row r="7111" spans="6:6" x14ac:dyDescent="0.3">
      <c r="F7111" s="193"/>
    </row>
    <row r="7112" spans="6:6" x14ac:dyDescent="0.3">
      <c r="F7112" s="193"/>
    </row>
    <row r="7113" spans="6:6" x14ac:dyDescent="0.3">
      <c r="F7113" s="193"/>
    </row>
    <row r="7114" spans="6:6" x14ac:dyDescent="0.3">
      <c r="F7114" s="193"/>
    </row>
    <row r="7115" spans="6:6" x14ac:dyDescent="0.3">
      <c r="F7115" s="193"/>
    </row>
    <row r="7116" spans="6:6" x14ac:dyDescent="0.3">
      <c r="F7116" s="193"/>
    </row>
    <row r="7117" spans="6:6" x14ac:dyDescent="0.3">
      <c r="F7117" s="193"/>
    </row>
    <row r="7118" spans="6:6" x14ac:dyDescent="0.3">
      <c r="F7118" s="193"/>
    </row>
    <row r="7119" spans="6:6" x14ac:dyDescent="0.3">
      <c r="F7119" s="193"/>
    </row>
    <row r="7120" spans="6:6" x14ac:dyDescent="0.3">
      <c r="F7120" s="193"/>
    </row>
    <row r="7121" spans="6:6" x14ac:dyDescent="0.3">
      <c r="F7121" s="193"/>
    </row>
    <row r="7122" spans="6:6" x14ac:dyDescent="0.3">
      <c r="F7122" s="193"/>
    </row>
    <row r="7123" spans="6:6" x14ac:dyDescent="0.3">
      <c r="F7123" s="193"/>
    </row>
    <row r="7124" spans="6:6" x14ac:dyDescent="0.3">
      <c r="F7124" s="193"/>
    </row>
    <row r="7125" spans="6:6" x14ac:dyDescent="0.3">
      <c r="F7125" s="193"/>
    </row>
    <row r="7126" spans="6:6" x14ac:dyDescent="0.3">
      <c r="F7126" s="193"/>
    </row>
    <row r="7127" spans="6:6" x14ac:dyDescent="0.3">
      <c r="F7127" s="193"/>
    </row>
    <row r="7128" spans="6:6" x14ac:dyDescent="0.3">
      <c r="F7128" s="193"/>
    </row>
    <row r="7129" spans="6:6" x14ac:dyDescent="0.3">
      <c r="F7129" s="193"/>
    </row>
    <row r="7130" spans="6:6" x14ac:dyDescent="0.3">
      <c r="F7130" s="193"/>
    </row>
    <row r="7131" spans="6:6" x14ac:dyDescent="0.3">
      <c r="F7131" s="193"/>
    </row>
    <row r="7132" spans="6:6" x14ac:dyDescent="0.3">
      <c r="F7132" s="193"/>
    </row>
    <row r="7133" spans="6:6" x14ac:dyDescent="0.3">
      <c r="F7133" s="193"/>
    </row>
    <row r="7134" spans="6:6" x14ac:dyDescent="0.3">
      <c r="F7134" s="193"/>
    </row>
    <row r="7135" spans="6:6" x14ac:dyDescent="0.3">
      <c r="F7135" s="193"/>
    </row>
    <row r="7136" spans="6:6" x14ac:dyDescent="0.3">
      <c r="F7136" s="193"/>
    </row>
    <row r="7137" spans="6:6" x14ac:dyDescent="0.3">
      <c r="F7137" s="193"/>
    </row>
    <row r="7138" spans="6:6" x14ac:dyDescent="0.3">
      <c r="F7138" s="193"/>
    </row>
    <row r="7139" spans="6:6" x14ac:dyDescent="0.3">
      <c r="F7139" s="193"/>
    </row>
    <row r="7140" spans="6:6" x14ac:dyDescent="0.3">
      <c r="F7140" s="193"/>
    </row>
    <row r="7141" spans="6:6" x14ac:dyDescent="0.3">
      <c r="F7141" s="193"/>
    </row>
    <row r="7142" spans="6:6" x14ac:dyDescent="0.3">
      <c r="F7142" s="193"/>
    </row>
    <row r="7143" spans="6:6" x14ac:dyDescent="0.3">
      <c r="F7143" s="193"/>
    </row>
    <row r="7144" spans="6:6" x14ac:dyDescent="0.3">
      <c r="F7144" s="193"/>
    </row>
    <row r="7145" spans="6:6" x14ac:dyDescent="0.3">
      <c r="F7145" s="193"/>
    </row>
    <row r="7146" spans="6:6" x14ac:dyDescent="0.3">
      <c r="F7146" s="193"/>
    </row>
    <row r="7147" spans="6:6" x14ac:dyDescent="0.3">
      <c r="F7147" s="193"/>
    </row>
    <row r="7148" spans="6:6" x14ac:dyDescent="0.3">
      <c r="F7148" s="193"/>
    </row>
    <row r="7149" spans="6:6" x14ac:dyDescent="0.3">
      <c r="F7149" s="193"/>
    </row>
    <row r="7150" spans="6:6" x14ac:dyDescent="0.3">
      <c r="F7150" s="193"/>
    </row>
    <row r="7151" spans="6:6" x14ac:dyDescent="0.3">
      <c r="F7151" s="193"/>
    </row>
    <row r="7152" spans="6:6" x14ac:dyDescent="0.3">
      <c r="F7152" s="193"/>
    </row>
    <row r="7153" spans="6:6" x14ac:dyDescent="0.3">
      <c r="F7153" s="193"/>
    </row>
    <row r="7154" spans="6:6" x14ac:dyDescent="0.3">
      <c r="F7154" s="193"/>
    </row>
    <row r="7155" spans="6:6" x14ac:dyDescent="0.3">
      <c r="F7155" s="193"/>
    </row>
    <row r="7156" spans="6:6" x14ac:dyDescent="0.3">
      <c r="F7156" s="193"/>
    </row>
    <row r="7157" spans="6:6" x14ac:dyDescent="0.3">
      <c r="F7157" s="193"/>
    </row>
    <row r="7158" spans="6:6" x14ac:dyDescent="0.3">
      <c r="F7158" s="193"/>
    </row>
    <row r="7159" spans="6:6" x14ac:dyDescent="0.3">
      <c r="F7159" s="193"/>
    </row>
    <row r="7160" spans="6:6" x14ac:dyDescent="0.3">
      <c r="F7160" s="193"/>
    </row>
    <row r="7161" spans="6:6" x14ac:dyDescent="0.3">
      <c r="F7161" s="193"/>
    </row>
    <row r="7162" spans="6:6" x14ac:dyDescent="0.3">
      <c r="F7162" s="193"/>
    </row>
    <row r="7163" spans="6:6" x14ac:dyDescent="0.3">
      <c r="F7163" s="193"/>
    </row>
    <row r="7164" spans="6:6" x14ac:dyDescent="0.3">
      <c r="F7164" s="193"/>
    </row>
    <row r="7165" spans="6:6" x14ac:dyDescent="0.3">
      <c r="F7165" s="193"/>
    </row>
    <row r="7166" spans="6:6" x14ac:dyDescent="0.3">
      <c r="F7166" s="193"/>
    </row>
    <row r="7167" spans="6:6" x14ac:dyDescent="0.3">
      <c r="F7167" s="193"/>
    </row>
    <row r="7168" spans="6:6" x14ac:dyDescent="0.3">
      <c r="F7168" s="193"/>
    </row>
    <row r="7169" spans="6:6" x14ac:dyDescent="0.3">
      <c r="F7169" s="193"/>
    </row>
    <row r="7170" spans="6:6" x14ac:dyDescent="0.3">
      <c r="F7170" s="193"/>
    </row>
    <row r="7171" spans="6:6" x14ac:dyDescent="0.3">
      <c r="F7171" s="193"/>
    </row>
    <row r="7172" spans="6:6" x14ac:dyDescent="0.3">
      <c r="F7172" s="193"/>
    </row>
    <row r="7173" spans="6:6" x14ac:dyDescent="0.3">
      <c r="F7173" s="193"/>
    </row>
    <row r="7174" spans="6:6" x14ac:dyDescent="0.3">
      <c r="F7174" s="193"/>
    </row>
    <row r="7175" spans="6:6" x14ac:dyDescent="0.3">
      <c r="F7175" s="193"/>
    </row>
    <row r="7176" spans="6:6" x14ac:dyDescent="0.3">
      <c r="F7176" s="193"/>
    </row>
    <row r="7177" spans="6:6" x14ac:dyDescent="0.3">
      <c r="F7177" s="193"/>
    </row>
    <row r="7178" spans="6:6" x14ac:dyDescent="0.3">
      <c r="F7178" s="193"/>
    </row>
    <row r="7179" spans="6:6" x14ac:dyDescent="0.3">
      <c r="F7179" s="193"/>
    </row>
    <row r="7180" spans="6:6" x14ac:dyDescent="0.3">
      <c r="F7180" s="193"/>
    </row>
    <row r="7181" spans="6:6" x14ac:dyDescent="0.3">
      <c r="F7181" s="193"/>
    </row>
    <row r="7182" spans="6:6" x14ac:dyDescent="0.3">
      <c r="F7182" s="193"/>
    </row>
    <row r="7183" spans="6:6" x14ac:dyDescent="0.3">
      <c r="F7183" s="193"/>
    </row>
    <row r="7184" spans="6:6" x14ac:dyDescent="0.3">
      <c r="F7184" s="193"/>
    </row>
    <row r="7185" spans="6:6" x14ac:dyDescent="0.3">
      <c r="F7185" s="193"/>
    </row>
    <row r="7186" spans="6:6" x14ac:dyDescent="0.3">
      <c r="F7186" s="193"/>
    </row>
    <row r="7187" spans="6:6" x14ac:dyDescent="0.3">
      <c r="F7187" s="193"/>
    </row>
    <row r="7188" spans="6:6" x14ac:dyDescent="0.3">
      <c r="F7188" s="193"/>
    </row>
    <row r="7189" spans="6:6" x14ac:dyDescent="0.3">
      <c r="F7189" s="193"/>
    </row>
    <row r="7190" spans="6:6" x14ac:dyDescent="0.3">
      <c r="F7190" s="193"/>
    </row>
    <row r="7191" spans="6:6" x14ac:dyDescent="0.3">
      <c r="F7191" s="193"/>
    </row>
    <row r="7192" spans="6:6" x14ac:dyDescent="0.3">
      <c r="F7192" s="193"/>
    </row>
    <row r="7193" spans="6:6" x14ac:dyDescent="0.3">
      <c r="F7193" s="193"/>
    </row>
    <row r="7194" spans="6:6" x14ac:dyDescent="0.3">
      <c r="F7194" s="193"/>
    </row>
    <row r="7195" spans="6:6" x14ac:dyDescent="0.3">
      <c r="F7195" s="193"/>
    </row>
    <row r="7196" spans="6:6" x14ac:dyDescent="0.3">
      <c r="F7196" s="193"/>
    </row>
    <row r="7197" spans="6:6" x14ac:dyDescent="0.3">
      <c r="F7197" s="193"/>
    </row>
    <row r="7198" spans="6:6" x14ac:dyDescent="0.3">
      <c r="F7198" s="193"/>
    </row>
    <row r="7199" spans="6:6" x14ac:dyDescent="0.3">
      <c r="F7199" s="193"/>
    </row>
    <row r="7200" spans="6:6" x14ac:dyDescent="0.3">
      <c r="F7200" s="193"/>
    </row>
    <row r="7201" spans="6:6" x14ac:dyDescent="0.3">
      <c r="F7201" s="193"/>
    </row>
    <row r="7202" spans="6:6" x14ac:dyDescent="0.3">
      <c r="F7202" s="193"/>
    </row>
    <row r="7203" spans="6:6" x14ac:dyDescent="0.3">
      <c r="F7203" s="193"/>
    </row>
    <row r="7204" spans="6:6" x14ac:dyDescent="0.3">
      <c r="F7204" s="193"/>
    </row>
    <row r="7205" spans="6:6" x14ac:dyDescent="0.3">
      <c r="F7205" s="193"/>
    </row>
    <row r="7206" spans="6:6" x14ac:dyDescent="0.3">
      <c r="F7206" s="193"/>
    </row>
    <row r="7207" spans="6:6" x14ac:dyDescent="0.3">
      <c r="F7207" s="193"/>
    </row>
    <row r="7208" spans="6:6" x14ac:dyDescent="0.3">
      <c r="F7208" s="193"/>
    </row>
    <row r="7209" spans="6:6" x14ac:dyDescent="0.3">
      <c r="F7209" s="193"/>
    </row>
    <row r="7210" spans="6:6" x14ac:dyDescent="0.3">
      <c r="F7210" s="193"/>
    </row>
    <row r="7211" spans="6:6" x14ac:dyDescent="0.3">
      <c r="F7211" s="193"/>
    </row>
    <row r="7212" spans="6:6" x14ac:dyDescent="0.3">
      <c r="F7212" s="193"/>
    </row>
    <row r="7213" spans="6:6" x14ac:dyDescent="0.3">
      <c r="F7213" s="193"/>
    </row>
    <row r="7214" spans="6:6" x14ac:dyDescent="0.3">
      <c r="F7214" s="193"/>
    </row>
    <row r="7215" spans="6:6" x14ac:dyDescent="0.3">
      <c r="F7215" s="193"/>
    </row>
    <row r="7216" spans="6:6" x14ac:dyDescent="0.3">
      <c r="F7216" s="193"/>
    </row>
    <row r="7217" spans="6:6" x14ac:dyDescent="0.3">
      <c r="F7217" s="193"/>
    </row>
    <row r="7218" spans="6:6" x14ac:dyDescent="0.3">
      <c r="F7218" s="193"/>
    </row>
    <row r="7219" spans="6:6" x14ac:dyDescent="0.3">
      <c r="F7219" s="193"/>
    </row>
    <row r="7220" spans="6:6" x14ac:dyDescent="0.3">
      <c r="F7220" s="193"/>
    </row>
    <row r="7221" spans="6:6" x14ac:dyDescent="0.3">
      <c r="F7221" s="193"/>
    </row>
    <row r="7222" spans="6:6" x14ac:dyDescent="0.3">
      <c r="F7222" s="193"/>
    </row>
    <row r="7223" spans="6:6" x14ac:dyDescent="0.3">
      <c r="F7223" s="193"/>
    </row>
    <row r="7224" spans="6:6" x14ac:dyDescent="0.3">
      <c r="F7224" s="193"/>
    </row>
    <row r="7225" spans="6:6" x14ac:dyDescent="0.3">
      <c r="F7225" s="193"/>
    </row>
    <row r="7226" spans="6:6" x14ac:dyDescent="0.3">
      <c r="F7226" s="193"/>
    </row>
    <row r="7227" spans="6:6" x14ac:dyDescent="0.3">
      <c r="F7227" s="193"/>
    </row>
    <row r="7228" spans="6:6" x14ac:dyDescent="0.3">
      <c r="F7228" s="193"/>
    </row>
    <row r="7229" spans="6:6" x14ac:dyDescent="0.3">
      <c r="F7229" s="193"/>
    </row>
    <row r="7230" spans="6:6" x14ac:dyDescent="0.3">
      <c r="F7230" s="193"/>
    </row>
    <row r="7231" spans="6:6" x14ac:dyDescent="0.3">
      <c r="F7231" s="193"/>
    </row>
    <row r="7232" spans="6:6" x14ac:dyDescent="0.3">
      <c r="F7232" s="193"/>
    </row>
    <row r="7233" spans="6:6" x14ac:dyDescent="0.3">
      <c r="F7233" s="193"/>
    </row>
    <row r="7234" spans="6:6" x14ac:dyDescent="0.3">
      <c r="F7234" s="193"/>
    </row>
    <row r="7235" spans="6:6" x14ac:dyDescent="0.3">
      <c r="F7235" s="193"/>
    </row>
    <row r="7236" spans="6:6" x14ac:dyDescent="0.3">
      <c r="F7236" s="193"/>
    </row>
    <row r="7237" spans="6:6" x14ac:dyDescent="0.3">
      <c r="F7237" s="193"/>
    </row>
    <row r="7238" spans="6:6" x14ac:dyDescent="0.3">
      <c r="F7238" s="193"/>
    </row>
    <row r="7239" spans="6:6" x14ac:dyDescent="0.3">
      <c r="F7239" s="193"/>
    </row>
    <row r="7240" spans="6:6" x14ac:dyDescent="0.3">
      <c r="F7240" s="193"/>
    </row>
    <row r="7241" spans="6:6" x14ac:dyDescent="0.3">
      <c r="F7241" s="193"/>
    </row>
    <row r="7242" spans="6:6" x14ac:dyDescent="0.3">
      <c r="F7242" s="193"/>
    </row>
    <row r="7243" spans="6:6" x14ac:dyDescent="0.3">
      <c r="F7243" s="193"/>
    </row>
    <row r="7244" spans="6:6" x14ac:dyDescent="0.3">
      <c r="F7244" s="193"/>
    </row>
    <row r="7245" spans="6:6" x14ac:dyDescent="0.3">
      <c r="F7245" s="193"/>
    </row>
    <row r="7246" spans="6:6" x14ac:dyDescent="0.3">
      <c r="F7246" s="193"/>
    </row>
    <row r="7247" spans="6:6" x14ac:dyDescent="0.3">
      <c r="F7247" s="193"/>
    </row>
    <row r="7248" spans="6:6" x14ac:dyDescent="0.3">
      <c r="F7248" s="193"/>
    </row>
    <row r="7249" spans="6:6" x14ac:dyDescent="0.3">
      <c r="F7249" s="193"/>
    </row>
    <row r="7250" spans="6:6" x14ac:dyDescent="0.3">
      <c r="F7250" s="193"/>
    </row>
    <row r="7251" spans="6:6" x14ac:dyDescent="0.3">
      <c r="F7251" s="193"/>
    </row>
    <row r="7252" spans="6:6" x14ac:dyDescent="0.3">
      <c r="F7252" s="193"/>
    </row>
    <row r="7253" spans="6:6" x14ac:dyDescent="0.3">
      <c r="F7253" s="193"/>
    </row>
    <row r="7254" spans="6:6" x14ac:dyDescent="0.3">
      <c r="F7254" s="193"/>
    </row>
    <row r="7255" spans="6:6" x14ac:dyDescent="0.3">
      <c r="F7255" s="193"/>
    </row>
    <row r="7256" spans="6:6" x14ac:dyDescent="0.3">
      <c r="F7256" s="193"/>
    </row>
    <row r="7257" spans="6:6" x14ac:dyDescent="0.3">
      <c r="F7257" s="193"/>
    </row>
    <row r="7258" spans="6:6" x14ac:dyDescent="0.3">
      <c r="F7258" s="193"/>
    </row>
    <row r="7259" spans="6:6" x14ac:dyDescent="0.3">
      <c r="F7259" s="193"/>
    </row>
    <row r="7260" spans="6:6" x14ac:dyDescent="0.3">
      <c r="F7260" s="193"/>
    </row>
    <row r="7261" spans="6:6" x14ac:dyDescent="0.3">
      <c r="F7261" s="193"/>
    </row>
    <row r="7262" spans="6:6" x14ac:dyDescent="0.3">
      <c r="F7262" s="193"/>
    </row>
    <row r="7263" spans="6:6" x14ac:dyDescent="0.3">
      <c r="F7263" s="193"/>
    </row>
    <row r="7264" spans="6:6" x14ac:dyDescent="0.3">
      <c r="F7264" s="193"/>
    </row>
    <row r="7265" spans="6:6" x14ac:dyDescent="0.3">
      <c r="F7265" s="193"/>
    </row>
    <row r="7266" spans="6:6" x14ac:dyDescent="0.3">
      <c r="F7266" s="193"/>
    </row>
    <row r="7267" spans="6:6" x14ac:dyDescent="0.3">
      <c r="F7267" s="193"/>
    </row>
    <row r="7268" spans="6:6" x14ac:dyDescent="0.3">
      <c r="F7268" s="193"/>
    </row>
    <row r="7269" spans="6:6" x14ac:dyDescent="0.3">
      <c r="F7269" s="193"/>
    </row>
    <row r="7270" spans="6:6" x14ac:dyDescent="0.3">
      <c r="F7270" s="193"/>
    </row>
    <row r="7271" spans="6:6" x14ac:dyDescent="0.3">
      <c r="F7271" s="193"/>
    </row>
    <row r="7272" spans="6:6" x14ac:dyDescent="0.3">
      <c r="F7272" s="193"/>
    </row>
    <row r="7273" spans="6:6" x14ac:dyDescent="0.3">
      <c r="F7273" s="193"/>
    </row>
    <row r="7274" spans="6:6" x14ac:dyDescent="0.3">
      <c r="F7274" s="193"/>
    </row>
    <row r="7275" spans="6:6" x14ac:dyDescent="0.3">
      <c r="F7275" s="193"/>
    </row>
    <row r="7276" spans="6:6" x14ac:dyDescent="0.3">
      <c r="F7276" s="193"/>
    </row>
    <row r="7277" spans="6:6" x14ac:dyDescent="0.3">
      <c r="F7277" s="193"/>
    </row>
    <row r="7278" spans="6:6" x14ac:dyDescent="0.3">
      <c r="F7278" s="193"/>
    </row>
    <row r="7279" spans="6:6" x14ac:dyDescent="0.3">
      <c r="F7279" s="193"/>
    </row>
    <row r="7280" spans="6:6" x14ac:dyDescent="0.3">
      <c r="F7280" s="193"/>
    </row>
    <row r="7281" spans="6:6" x14ac:dyDescent="0.3">
      <c r="F7281" s="193"/>
    </row>
    <row r="7282" spans="6:6" x14ac:dyDescent="0.3">
      <c r="F7282" s="193"/>
    </row>
    <row r="7283" spans="6:6" x14ac:dyDescent="0.3">
      <c r="F7283" s="193"/>
    </row>
    <row r="7284" spans="6:6" x14ac:dyDescent="0.3">
      <c r="F7284" s="193"/>
    </row>
    <row r="7285" spans="6:6" x14ac:dyDescent="0.3">
      <c r="F7285" s="193"/>
    </row>
    <row r="7286" spans="6:6" x14ac:dyDescent="0.3">
      <c r="F7286" s="193"/>
    </row>
    <row r="7287" spans="6:6" x14ac:dyDescent="0.3">
      <c r="F7287" s="193"/>
    </row>
    <row r="7288" spans="6:6" x14ac:dyDescent="0.3">
      <c r="F7288" s="193"/>
    </row>
    <row r="7289" spans="6:6" x14ac:dyDescent="0.3">
      <c r="F7289" s="193"/>
    </row>
    <row r="7290" spans="6:6" x14ac:dyDescent="0.3">
      <c r="F7290" s="193"/>
    </row>
    <row r="7291" spans="6:6" x14ac:dyDescent="0.3">
      <c r="F7291" s="193"/>
    </row>
    <row r="7292" spans="6:6" x14ac:dyDescent="0.3">
      <c r="F7292" s="193"/>
    </row>
    <row r="7293" spans="6:6" x14ac:dyDescent="0.3">
      <c r="F7293" s="193"/>
    </row>
    <row r="7294" spans="6:6" x14ac:dyDescent="0.3">
      <c r="F7294" s="193"/>
    </row>
    <row r="7295" spans="6:6" x14ac:dyDescent="0.3">
      <c r="F7295" s="193"/>
    </row>
    <row r="7296" spans="6:6" x14ac:dyDescent="0.3">
      <c r="F7296" s="193"/>
    </row>
    <row r="7297" spans="6:6" x14ac:dyDescent="0.3">
      <c r="F7297" s="193"/>
    </row>
    <row r="7298" spans="6:6" x14ac:dyDescent="0.3">
      <c r="F7298" s="193"/>
    </row>
    <row r="7299" spans="6:6" x14ac:dyDescent="0.3">
      <c r="F7299" s="193"/>
    </row>
    <row r="7300" spans="6:6" x14ac:dyDescent="0.3">
      <c r="F7300" s="193"/>
    </row>
    <row r="7301" spans="6:6" x14ac:dyDescent="0.3">
      <c r="F7301" s="193"/>
    </row>
    <row r="7302" spans="6:6" x14ac:dyDescent="0.3">
      <c r="F7302" s="193"/>
    </row>
    <row r="7303" spans="6:6" x14ac:dyDescent="0.3">
      <c r="F7303" s="193"/>
    </row>
    <row r="7304" spans="6:6" x14ac:dyDescent="0.3">
      <c r="F7304" s="193"/>
    </row>
    <row r="7305" spans="6:6" x14ac:dyDescent="0.3">
      <c r="F7305" s="193"/>
    </row>
    <row r="7306" spans="6:6" x14ac:dyDescent="0.3">
      <c r="F7306" s="193"/>
    </row>
    <row r="7307" spans="6:6" x14ac:dyDescent="0.3">
      <c r="F7307" s="193"/>
    </row>
    <row r="7308" spans="6:6" x14ac:dyDescent="0.3">
      <c r="F7308" s="193"/>
    </row>
    <row r="7309" spans="6:6" x14ac:dyDescent="0.3">
      <c r="F7309" s="193"/>
    </row>
    <row r="7310" spans="6:6" x14ac:dyDescent="0.3">
      <c r="F7310" s="193"/>
    </row>
    <row r="7311" spans="6:6" x14ac:dyDescent="0.3">
      <c r="F7311" s="193"/>
    </row>
    <row r="7312" spans="6:6" x14ac:dyDescent="0.3">
      <c r="F7312" s="193"/>
    </row>
    <row r="7313" spans="6:6" x14ac:dyDescent="0.3">
      <c r="F7313" s="193"/>
    </row>
    <row r="7314" spans="6:6" x14ac:dyDescent="0.3">
      <c r="F7314" s="193"/>
    </row>
    <row r="7315" spans="6:6" x14ac:dyDescent="0.3">
      <c r="F7315" s="193"/>
    </row>
    <row r="7316" spans="6:6" x14ac:dyDescent="0.3">
      <c r="F7316" s="193"/>
    </row>
    <row r="7317" spans="6:6" x14ac:dyDescent="0.3">
      <c r="F7317" s="193"/>
    </row>
    <row r="7318" spans="6:6" x14ac:dyDescent="0.3">
      <c r="F7318" s="193"/>
    </row>
    <row r="7319" spans="6:6" x14ac:dyDescent="0.3">
      <c r="F7319" s="193"/>
    </row>
    <row r="7320" spans="6:6" x14ac:dyDescent="0.3">
      <c r="F7320" s="193"/>
    </row>
    <row r="7321" spans="6:6" x14ac:dyDescent="0.3">
      <c r="F7321" s="193"/>
    </row>
    <row r="7322" spans="6:6" x14ac:dyDescent="0.3">
      <c r="F7322" s="193"/>
    </row>
    <row r="7323" spans="6:6" x14ac:dyDescent="0.3">
      <c r="F7323" s="193"/>
    </row>
    <row r="7324" spans="6:6" x14ac:dyDescent="0.3">
      <c r="F7324" s="193"/>
    </row>
    <row r="7325" spans="6:6" x14ac:dyDescent="0.3">
      <c r="F7325" s="193"/>
    </row>
    <row r="7326" spans="6:6" x14ac:dyDescent="0.3">
      <c r="F7326" s="193"/>
    </row>
    <row r="7327" spans="6:6" x14ac:dyDescent="0.3">
      <c r="F7327" s="193"/>
    </row>
    <row r="7328" spans="6:6" x14ac:dyDescent="0.3">
      <c r="F7328" s="193"/>
    </row>
    <row r="7329" spans="6:6" x14ac:dyDescent="0.3">
      <c r="F7329" s="193"/>
    </row>
    <row r="7330" spans="6:6" x14ac:dyDescent="0.3">
      <c r="F7330" s="193"/>
    </row>
    <row r="7331" spans="6:6" x14ac:dyDescent="0.3">
      <c r="F7331" s="193"/>
    </row>
    <row r="7332" spans="6:6" x14ac:dyDescent="0.3">
      <c r="F7332" s="193"/>
    </row>
    <row r="7333" spans="6:6" x14ac:dyDescent="0.3">
      <c r="F7333" s="193"/>
    </row>
    <row r="7334" spans="6:6" x14ac:dyDescent="0.3">
      <c r="F7334" s="193"/>
    </row>
    <row r="7335" spans="6:6" x14ac:dyDescent="0.3">
      <c r="F7335" s="193"/>
    </row>
    <row r="7336" spans="6:6" x14ac:dyDescent="0.3">
      <c r="F7336" s="193"/>
    </row>
    <row r="7337" spans="6:6" x14ac:dyDescent="0.3">
      <c r="F7337" s="193"/>
    </row>
    <row r="7338" spans="6:6" x14ac:dyDescent="0.3">
      <c r="F7338" s="193"/>
    </row>
    <row r="7339" spans="6:6" x14ac:dyDescent="0.3">
      <c r="F7339" s="193"/>
    </row>
    <row r="7340" spans="6:6" x14ac:dyDescent="0.3">
      <c r="F7340" s="193"/>
    </row>
    <row r="7341" spans="6:6" x14ac:dyDescent="0.3">
      <c r="F7341" s="193"/>
    </row>
    <row r="7342" spans="6:6" x14ac:dyDescent="0.3">
      <c r="F7342" s="193"/>
    </row>
    <row r="7343" spans="6:6" x14ac:dyDescent="0.3">
      <c r="F7343" s="193"/>
    </row>
    <row r="7344" spans="6:6" x14ac:dyDescent="0.3">
      <c r="F7344" s="193"/>
    </row>
    <row r="7345" spans="6:6" x14ac:dyDescent="0.3">
      <c r="F7345" s="193"/>
    </row>
    <row r="7346" spans="6:6" x14ac:dyDescent="0.3">
      <c r="F7346" s="193"/>
    </row>
    <row r="7347" spans="6:6" x14ac:dyDescent="0.3">
      <c r="F7347" s="193"/>
    </row>
    <row r="7348" spans="6:6" x14ac:dyDescent="0.3">
      <c r="F7348" s="193"/>
    </row>
    <row r="7349" spans="6:6" x14ac:dyDescent="0.3">
      <c r="F7349" s="193"/>
    </row>
    <row r="7350" spans="6:6" x14ac:dyDescent="0.3">
      <c r="F7350" s="193"/>
    </row>
    <row r="7351" spans="6:6" x14ac:dyDescent="0.3">
      <c r="F7351" s="193"/>
    </row>
    <row r="7352" spans="6:6" x14ac:dyDescent="0.3">
      <c r="F7352" s="193"/>
    </row>
    <row r="7353" spans="6:6" x14ac:dyDescent="0.3">
      <c r="F7353" s="193"/>
    </row>
    <row r="7354" spans="6:6" x14ac:dyDescent="0.3">
      <c r="F7354" s="193"/>
    </row>
    <row r="7355" spans="6:6" x14ac:dyDescent="0.3">
      <c r="F7355" s="193"/>
    </row>
    <row r="7356" spans="6:6" x14ac:dyDescent="0.3">
      <c r="F7356" s="193"/>
    </row>
    <row r="7357" spans="6:6" x14ac:dyDescent="0.3">
      <c r="F7357" s="193"/>
    </row>
    <row r="7358" spans="6:6" x14ac:dyDescent="0.3">
      <c r="F7358" s="193"/>
    </row>
    <row r="7359" spans="6:6" x14ac:dyDescent="0.3">
      <c r="F7359" s="193"/>
    </row>
    <row r="7360" spans="6:6" x14ac:dyDescent="0.3">
      <c r="F7360" s="193"/>
    </row>
    <row r="7361" spans="6:6" x14ac:dyDescent="0.3">
      <c r="F7361" s="193"/>
    </row>
    <row r="7362" spans="6:6" x14ac:dyDescent="0.3">
      <c r="F7362" s="193"/>
    </row>
    <row r="7363" spans="6:6" x14ac:dyDescent="0.3">
      <c r="F7363" s="193"/>
    </row>
    <row r="7364" spans="6:6" x14ac:dyDescent="0.3">
      <c r="F7364" s="193"/>
    </row>
    <row r="7365" spans="6:6" x14ac:dyDescent="0.3">
      <c r="F7365" s="193"/>
    </row>
    <row r="7366" spans="6:6" x14ac:dyDescent="0.3">
      <c r="F7366" s="193"/>
    </row>
    <row r="7367" spans="6:6" x14ac:dyDescent="0.3">
      <c r="F7367" s="193"/>
    </row>
    <row r="7368" spans="6:6" x14ac:dyDescent="0.3">
      <c r="F7368" s="193"/>
    </row>
    <row r="7369" spans="6:6" x14ac:dyDescent="0.3">
      <c r="F7369" s="193"/>
    </row>
    <row r="7370" spans="6:6" x14ac:dyDescent="0.3">
      <c r="F7370" s="193"/>
    </row>
    <row r="7371" spans="6:6" x14ac:dyDescent="0.3">
      <c r="F7371" s="193"/>
    </row>
    <row r="7372" spans="6:6" x14ac:dyDescent="0.3">
      <c r="F7372" s="193"/>
    </row>
    <row r="7373" spans="6:6" x14ac:dyDescent="0.3">
      <c r="F7373" s="193"/>
    </row>
    <row r="7374" spans="6:6" x14ac:dyDescent="0.3">
      <c r="F7374" s="193"/>
    </row>
    <row r="7375" spans="6:6" x14ac:dyDescent="0.3">
      <c r="F7375" s="193"/>
    </row>
    <row r="7376" spans="6:6" x14ac:dyDescent="0.3">
      <c r="F7376" s="193"/>
    </row>
    <row r="7377" spans="6:6" x14ac:dyDescent="0.3">
      <c r="F7377" s="193"/>
    </row>
    <row r="7378" spans="6:6" x14ac:dyDescent="0.3">
      <c r="F7378" s="193"/>
    </row>
    <row r="7379" spans="6:6" x14ac:dyDescent="0.3">
      <c r="F7379" s="193"/>
    </row>
    <row r="7380" spans="6:6" x14ac:dyDescent="0.3">
      <c r="F7380" s="193"/>
    </row>
    <row r="7381" spans="6:6" x14ac:dyDescent="0.3">
      <c r="F7381" s="193"/>
    </row>
    <row r="7382" spans="6:6" x14ac:dyDescent="0.3">
      <c r="F7382" s="193"/>
    </row>
    <row r="7383" spans="6:6" x14ac:dyDescent="0.3">
      <c r="F7383" s="193"/>
    </row>
    <row r="7384" spans="6:6" x14ac:dyDescent="0.3">
      <c r="F7384" s="193"/>
    </row>
    <row r="7385" spans="6:6" x14ac:dyDescent="0.3">
      <c r="F7385" s="193"/>
    </row>
    <row r="7386" spans="6:6" x14ac:dyDescent="0.3">
      <c r="F7386" s="193"/>
    </row>
    <row r="7387" spans="6:6" x14ac:dyDescent="0.3">
      <c r="F7387" s="193"/>
    </row>
    <row r="7388" spans="6:6" x14ac:dyDescent="0.3">
      <c r="F7388" s="193"/>
    </row>
    <row r="7389" spans="6:6" x14ac:dyDescent="0.3">
      <c r="F7389" s="193"/>
    </row>
    <row r="7390" spans="6:6" x14ac:dyDescent="0.3">
      <c r="F7390" s="193"/>
    </row>
    <row r="7391" spans="6:6" x14ac:dyDescent="0.3">
      <c r="F7391" s="193"/>
    </row>
    <row r="7392" spans="6:6" x14ac:dyDescent="0.3">
      <c r="F7392" s="193"/>
    </row>
    <row r="7393" spans="6:6" x14ac:dyDescent="0.3">
      <c r="F7393" s="193"/>
    </row>
    <row r="7394" spans="6:6" x14ac:dyDescent="0.3">
      <c r="F7394" s="193"/>
    </row>
    <row r="7395" spans="6:6" x14ac:dyDescent="0.3">
      <c r="F7395" s="193"/>
    </row>
    <row r="7396" spans="6:6" x14ac:dyDescent="0.3">
      <c r="F7396" s="193"/>
    </row>
    <row r="7397" spans="6:6" x14ac:dyDescent="0.3">
      <c r="F7397" s="193"/>
    </row>
    <row r="7398" spans="6:6" x14ac:dyDescent="0.3">
      <c r="F7398" s="193"/>
    </row>
    <row r="7399" spans="6:6" x14ac:dyDescent="0.3">
      <c r="F7399" s="193"/>
    </row>
    <row r="7400" spans="6:6" x14ac:dyDescent="0.3">
      <c r="F7400" s="193"/>
    </row>
    <row r="7401" spans="6:6" x14ac:dyDescent="0.3">
      <c r="F7401" s="193"/>
    </row>
    <row r="7402" spans="6:6" x14ac:dyDescent="0.3">
      <c r="F7402" s="193"/>
    </row>
    <row r="7403" spans="6:6" x14ac:dyDescent="0.3">
      <c r="F7403" s="193"/>
    </row>
    <row r="7404" spans="6:6" x14ac:dyDescent="0.3">
      <c r="F7404" s="193"/>
    </row>
    <row r="7405" spans="6:6" x14ac:dyDescent="0.3">
      <c r="F7405" s="193"/>
    </row>
    <row r="7406" spans="6:6" x14ac:dyDescent="0.3">
      <c r="F7406" s="193"/>
    </row>
    <row r="7407" spans="6:6" x14ac:dyDescent="0.3">
      <c r="F7407" s="193"/>
    </row>
    <row r="7408" spans="6:6" x14ac:dyDescent="0.3">
      <c r="F7408" s="193"/>
    </row>
    <row r="7409" spans="6:6" x14ac:dyDescent="0.3">
      <c r="F7409" s="193"/>
    </row>
    <row r="7410" spans="6:6" x14ac:dyDescent="0.3">
      <c r="F7410" s="193"/>
    </row>
    <row r="7411" spans="6:6" x14ac:dyDescent="0.3">
      <c r="F7411" s="193"/>
    </row>
    <row r="7412" spans="6:6" x14ac:dyDescent="0.3">
      <c r="F7412" s="193"/>
    </row>
    <row r="7413" spans="6:6" x14ac:dyDescent="0.3">
      <c r="F7413" s="193"/>
    </row>
    <row r="7414" spans="6:6" x14ac:dyDescent="0.3">
      <c r="F7414" s="193"/>
    </row>
    <row r="7415" spans="6:6" x14ac:dyDescent="0.3">
      <c r="F7415" s="193"/>
    </row>
    <row r="7416" spans="6:6" x14ac:dyDescent="0.3">
      <c r="F7416" s="193"/>
    </row>
    <row r="7417" spans="6:6" x14ac:dyDescent="0.3">
      <c r="F7417" s="193"/>
    </row>
    <row r="7418" spans="6:6" x14ac:dyDescent="0.3">
      <c r="F7418" s="193"/>
    </row>
    <row r="7419" spans="6:6" x14ac:dyDescent="0.3">
      <c r="F7419" s="193"/>
    </row>
    <row r="7420" spans="6:6" x14ac:dyDescent="0.3">
      <c r="F7420" s="193"/>
    </row>
    <row r="7421" spans="6:6" x14ac:dyDescent="0.3">
      <c r="F7421" s="193"/>
    </row>
    <row r="7422" spans="6:6" x14ac:dyDescent="0.3">
      <c r="F7422" s="193"/>
    </row>
    <row r="7423" spans="6:6" x14ac:dyDescent="0.3">
      <c r="F7423" s="193"/>
    </row>
    <row r="7424" spans="6:6" x14ac:dyDescent="0.3">
      <c r="F7424" s="193"/>
    </row>
    <row r="7425" spans="6:6" x14ac:dyDescent="0.3">
      <c r="F7425" s="193"/>
    </row>
    <row r="7426" spans="6:6" x14ac:dyDescent="0.3">
      <c r="F7426" s="193"/>
    </row>
    <row r="7427" spans="6:6" x14ac:dyDescent="0.3">
      <c r="F7427" s="193"/>
    </row>
    <row r="7428" spans="6:6" x14ac:dyDescent="0.3">
      <c r="F7428" s="193"/>
    </row>
    <row r="7429" spans="6:6" x14ac:dyDescent="0.3">
      <c r="F7429" s="193"/>
    </row>
    <row r="7430" spans="6:6" x14ac:dyDescent="0.3">
      <c r="F7430" s="193"/>
    </row>
    <row r="7431" spans="6:6" x14ac:dyDescent="0.3">
      <c r="F7431" s="193"/>
    </row>
    <row r="7432" spans="6:6" x14ac:dyDescent="0.3">
      <c r="F7432" s="193"/>
    </row>
    <row r="7433" spans="6:6" x14ac:dyDescent="0.3">
      <c r="F7433" s="193"/>
    </row>
    <row r="7434" spans="6:6" x14ac:dyDescent="0.3">
      <c r="F7434" s="193"/>
    </row>
    <row r="7435" spans="6:6" x14ac:dyDescent="0.3">
      <c r="F7435" s="193"/>
    </row>
    <row r="7436" spans="6:6" x14ac:dyDescent="0.3">
      <c r="F7436" s="193"/>
    </row>
    <row r="7437" spans="6:6" x14ac:dyDescent="0.3">
      <c r="F7437" s="193"/>
    </row>
    <row r="7438" spans="6:6" x14ac:dyDescent="0.3">
      <c r="F7438" s="193"/>
    </row>
    <row r="7439" spans="6:6" x14ac:dyDescent="0.3">
      <c r="F7439" s="193"/>
    </row>
    <row r="7440" spans="6:6" x14ac:dyDescent="0.3">
      <c r="F7440" s="193"/>
    </row>
    <row r="7441" spans="6:6" x14ac:dyDescent="0.3">
      <c r="F7441" s="193"/>
    </row>
    <row r="7442" spans="6:6" x14ac:dyDescent="0.3">
      <c r="F7442" s="193"/>
    </row>
    <row r="7443" spans="6:6" x14ac:dyDescent="0.3">
      <c r="F7443" s="193"/>
    </row>
    <row r="7444" spans="6:6" x14ac:dyDescent="0.3">
      <c r="F7444" s="193"/>
    </row>
    <row r="7445" spans="6:6" x14ac:dyDescent="0.3">
      <c r="F7445" s="193"/>
    </row>
    <row r="7446" spans="6:6" x14ac:dyDescent="0.3">
      <c r="F7446" s="193"/>
    </row>
    <row r="7447" spans="6:6" x14ac:dyDescent="0.3">
      <c r="F7447" s="193"/>
    </row>
    <row r="7448" spans="6:6" x14ac:dyDescent="0.3">
      <c r="F7448" s="193"/>
    </row>
    <row r="7449" spans="6:6" x14ac:dyDescent="0.3">
      <c r="F7449" s="193"/>
    </row>
    <row r="7450" spans="6:6" x14ac:dyDescent="0.3">
      <c r="F7450" s="193"/>
    </row>
    <row r="7451" spans="6:6" x14ac:dyDescent="0.3">
      <c r="F7451" s="193"/>
    </row>
    <row r="7452" spans="6:6" x14ac:dyDescent="0.3">
      <c r="F7452" s="193"/>
    </row>
    <row r="7453" spans="6:6" x14ac:dyDescent="0.3">
      <c r="F7453" s="193"/>
    </row>
    <row r="7454" spans="6:6" x14ac:dyDescent="0.3">
      <c r="F7454" s="193"/>
    </row>
    <row r="7455" spans="6:6" x14ac:dyDescent="0.3">
      <c r="F7455" s="193"/>
    </row>
    <row r="7456" spans="6:6" x14ac:dyDescent="0.3">
      <c r="F7456" s="193"/>
    </row>
    <row r="7457" spans="6:6" x14ac:dyDescent="0.3">
      <c r="F7457" s="193"/>
    </row>
    <row r="7458" spans="6:6" x14ac:dyDescent="0.3">
      <c r="F7458" s="193"/>
    </row>
    <row r="7459" spans="6:6" x14ac:dyDescent="0.3">
      <c r="F7459" s="193"/>
    </row>
    <row r="7460" spans="6:6" x14ac:dyDescent="0.3">
      <c r="F7460" s="193"/>
    </row>
    <row r="7461" spans="6:6" x14ac:dyDescent="0.3">
      <c r="F7461" s="193"/>
    </row>
    <row r="7462" spans="6:6" x14ac:dyDescent="0.3">
      <c r="F7462" s="193"/>
    </row>
    <row r="7463" spans="6:6" x14ac:dyDescent="0.3">
      <c r="F7463" s="193"/>
    </row>
    <row r="7464" spans="6:6" x14ac:dyDescent="0.3">
      <c r="F7464" s="193"/>
    </row>
    <row r="7465" spans="6:6" x14ac:dyDescent="0.3">
      <c r="F7465" s="193"/>
    </row>
    <row r="7466" spans="6:6" x14ac:dyDescent="0.3">
      <c r="F7466" s="193"/>
    </row>
    <row r="7467" spans="6:6" x14ac:dyDescent="0.3">
      <c r="F7467" s="193"/>
    </row>
    <row r="7468" spans="6:6" x14ac:dyDescent="0.3">
      <c r="F7468" s="193"/>
    </row>
    <row r="7469" spans="6:6" x14ac:dyDescent="0.3">
      <c r="F7469" s="193"/>
    </row>
    <row r="7470" spans="6:6" x14ac:dyDescent="0.3">
      <c r="F7470" s="193"/>
    </row>
    <row r="7471" spans="6:6" x14ac:dyDescent="0.3">
      <c r="F7471" s="193"/>
    </row>
    <row r="7472" spans="6:6" x14ac:dyDescent="0.3">
      <c r="F7472" s="193"/>
    </row>
    <row r="7473" spans="6:6" x14ac:dyDescent="0.3">
      <c r="F7473" s="193"/>
    </row>
    <row r="7474" spans="6:6" x14ac:dyDescent="0.3">
      <c r="F7474" s="193"/>
    </row>
    <row r="7475" spans="6:6" x14ac:dyDescent="0.3">
      <c r="F7475" s="193"/>
    </row>
    <row r="7476" spans="6:6" x14ac:dyDescent="0.3">
      <c r="F7476" s="193"/>
    </row>
    <row r="7477" spans="6:6" x14ac:dyDescent="0.3">
      <c r="F7477" s="193"/>
    </row>
    <row r="7478" spans="6:6" x14ac:dyDescent="0.3">
      <c r="F7478" s="193"/>
    </row>
    <row r="7479" spans="6:6" x14ac:dyDescent="0.3">
      <c r="F7479" s="193"/>
    </row>
    <row r="7480" spans="6:6" x14ac:dyDescent="0.3">
      <c r="F7480" s="193"/>
    </row>
    <row r="7481" spans="6:6" x14ac:dyDescent="0.3">
      <c r="F7481" s="193"/>
    </row>
    <row r="7482" spans="6:6" x14ac:dyDescent="0.3">
      <c r="F7482" s="193"/>
    </row>
    <row r="7483" spans="6:6" x14ac:dyDescent="0.3">
      <c r="F7483" s="193"/>
    </row>
    <row r="7484" spans="6:6" x14ac:dyDescent="0.3">
      <c r="F7484" s="193"/>
    </row>
    <row r="7485" spans="6:6" x14ac:dyDescent="0.3">
      <c r="F7485" s="193"/>
    </row>
    <row r="7486" spans="6:6" x14ac:dyDescent="0.3">
      <c r="F7486" s="193"/>
    </row>
    <row r="7487" spans="6:6" x14ac:dyDescent="0.3">
      <c r="F7487" s="193"/>
    </row>
    <row r="7488" spans="6:6" x14ac:dyDescent="0.3">
      <c r="F7488" s="193"/>
    </row>
    <row r="7489" spans="6:6" x14ac:dyDescent="0.3">
      <c r="F7489" s="193"/>
    </row>
    <row r="7490" spans="6:6" x14ac:dyDescent="0.3">
      <c r="F7490" s="193"/>
    </row>
    <row r="7491" spans="6:6" x14ac:dyDescent="0.3">
      <c r="F7491" s="193"/>
    </row>
    <row r="7492" spans="6:6" x14ac:dyDescent="0.3">
      <c r="F7492" s="193"/>
    </row>
    <row r="7493" spans="6:6" x14ac:dyDescent="0.3">
      <c r="F7493" s="193"/>
    </row>
    <row r="7494" spans="6:6" x14ac:dyDescent="0.3">
      <c r="F7494" s="193"/>
    </row>
    <row r="7495" spans="6:6" x14ac:dyDescent="0.3">
      <c r="F7495" s="193"/>
    </row>
    <row r="7496" spans="6:6" x14ac:dyDescent="0.3">
      <c r="F7496" s="193"/>
    </row>
    <row r="7497" spans="6:6" x14ac:dyDescent="0.3">
      <c r="F7497" s="193"/>
    </row>
    <row r="7498" spans="6:6" x14ac:dyDescent="0.3">
      <c r="F7498" s="193"/>
    </row>
    <row r="7499" spans="6:6" x14ac:dyDescent="0.3">
      <c r="F7499" s="193"/>
    </row>
    <row r="7500" spans="6:6" x14ac:dyDescent="0.3">
      <c r="F7500" s="193"/>
    </row>
    <row r="7501" spans="6:6" x14ac:dyDescent="0.3">
      <c r="F7501" s="193"/>
    </row>
    <row r="7502" spans="6:6" x14ac:dyDescent="0.3">
      <c r="F7502" s="193"/>
    </row>
    <row r="7503" spans="6:6" x14ac:dyDescent="0.3">
      <c r="F7503" s="193"/>
    </row>
    <row r="7504" spans="6:6" x14ac:dyDescent="0.3">
      <c r="F7504" s="193"/>
    </row>
    <row r="7505" spans="6:6" x14ac:dyDescent="0.3">
      <c r="F7505" s="193"/>
    </row>
    <row r="7506" spans="6:6" x14ac:dyDescent="0.3">
      <c r="F7506" s="193"/>
    </row>
    <row r="7507" spans="6:6" x14ac:dyDescent="0.3">
      <c r="F7507" s="193"/>
    </row>
    <row r="7508" spans="6:6" x14ac:dyDescent="0.3">
      <c r="F7508" s="193"/>
    </row>
    <row r="7509" spans="6:6" x14ac:dyDescent="0.3">
      <c r="F7509" s="193"/>
    </row>
    <row r="7510" spans="6:6" x14ac:dyDescent="0.3">
      <c r="F7510" s="193"/>
    </row>
    <row r="7511" spans="6:6" x14ac:dyDescent="0.3">
      <c r="F7511" s="193"/>
    </row>
    <row r="7512" spans="6:6" x14ac:dyDescent="0.3">
      <c r="F7512" s="193"/>
    </row>
    <row r="7513" spans="6:6" x14ac:dyDescent="0.3">
      <c r="F7513" s="193"/>
    </row>
    <row r="7514" spans="6:6" x14ac:dyDescent="0.3">
      <c r="F7514" s="193"/>
    </row>
    <row r="7515" spans="6:6" x14ac:dyDescent="0.3">
      <c r="F7515" s="193"/>
    </row>
    <row r="7516" spans="6:6" x14ac:dyDescent="0.3">
      <c r="F7516" s="193"/>
    </row>
    <row r="7517" spans="6:6" x14ac:dyDescent="0.3">
      <c r="F7517" s="193"/>
    </row>
    <row r="7518" spans="6:6" x14ac:dyDescent="0.3">
      <c r="F7518" s="193"/>
    </row>
    <row r="7519" spans="6:6" x14ac:dyDescent="0.3">
      <c r="F7519" s="193"/>
    </row>
    <row r="7520" spans="6:6" x14ac:dyDescent="0.3">
      <c r="F7520" s="193"/>
    </row>
    <row r="7521" spans="6:6" x14ac:dyDescent="0.3">
      <c r="F7521" s="193"/>
    </row>
    <row r="7522" spans="6:6" x14ac:dyDescent="0.3">
      <c r="F7522" s="193"/>
    </row>
    <row r="7523" spans="6:6" x14ac:dyDescent="0.3">
      <c r="F7523" s="193"/>
    </row>
    <row r="7524" spans="6:6" x14ac:dyDescent="0.3">
      <c r="F7524" s="193"/>
    </row>
    <row r="7525" spans="6:6" x14ac:dyDescent="0.3">
      <c r="F7525" s="193"/>
    </row>
    <row r="7526" spans="6:6" x14ac:dyDescent="0.3">
      <c r="F7526" s="193"/>
    </row>
    <row r="7527" spans="6:6" x14ac:dyDescent="0.3">
      <c r="F7527" s="193"/>
    </row>
    <row r="7528" spans="6:6" x14ac:dyDescent="0.3">
      <c r="F7528" s="193"/>
    </row>
    <row r="7529" spans="6:6" x14ac:dyDescent="0.3">
      <c r="F7529" s="193"/>
    </row>
    <row r="7530" spans="6:6" x14ac:dyDescent="0.3">
      <c r="F7530" s="193"/>
    </row>
    <row r="7531" spans="6:6" x14ac:dyDescent="0.3">
      <c r="F7531" s="193"/>
    </row>
    <row r="7532" spans="6:6" x14ac:dyDescent="0.3">
      <c r="F7532" s="193"/>
    </row>
    <row r="7533" spans="6:6" x14ac:dyDescent="0.3">
      <c r="F7533" s="193"/>
    </row>
    <row r="7534" spans="6:6" x14ac:dyDescent="0.3">
      <c r="F7534" s="193"/>
    </row>
    <row r="7535" spans="6:6" x14ac:dyDescent="0.3">
      <c r="F7535" s="193"/>
    </row>
    <row r="7536" spans="6:6" x14ac:dyDescent="0.3">
      <c r="F7536" s="193"/>
    </row>
    <row r="7537" spans="6:6" x14ac:dyDescent="0.3">
      <c r="F7537" s="193"/>
    </row>
    <row r="7538" spans="6:6" x14ac:dyDescent="0.3">
      <c r="F7538" s="193"/>
    </row>
    <row r="7539" spans="6:6" x14ac:dyDescent="0.3">
      <c r="F7539" s="193"/>
    </row>
    <row r="7540" spans="6:6" x14ac:dyDescent="0.3">
      <c r="F7540" s="193"/>
    </row>
    <row r="7541" spans="6:6" x14ac:dyDescent="0.3">
      <c r="F7541" s="193"/>
    </row>
    <row r="7542" spans="6:6" x14ac:dyDescent="0.3">
      <c r="F7542" s="193"/>
    </row>
    <row r="7543" spans="6:6" x14ac:dyDescent="0.3">
      <c r="F7543" s="193"/>
    </row>
    <row r="7544" spans="6:6" x14ac:dyDescent="0.3">
      <c r="F7544" s="193"/>
    </row>
    <row r="7545" spans="6:6" x14ac:dyDescent="0.3">
      <c r="F7545" s="193"/>
    </row>
    <row r="7546" spans="6:6" x14ac:dyDescent="0.3">
      <c r="F7546" s="193"/>
    </row>
    <row r="7547" spans="6:6" x14ac:dyDescent="0.3">
      <c r="F7547" s="193"/>
    </row>
    <row r="7548" spans="6:6" x14ac:dyDescent="0.3">
      <c r="F7548" s="193"/>
    </row>
    <row r="7549" spans="6:6" x14ac:dyDescent="0.3">
      <c r="F7549" s="193"/>
    </row>
    <row r="7550" spans="6:6" x14ac:dyDescent="0.3">
      <c r="F7550" s="193"/>
    </row>
    <row r="7551" spans="6:6" x14ac:dyDescent="0.3">
      <c r="F7551" s="193"/>
    </row>
    <row r="7552" spans="6:6" x14ac:dyDescent="0.3">
      <c r="F7552" s="193"/>
    </row>
    <row r="7553" spans="6:6" x14ac:dyDescent="0.3">
      <c r="F7553" s="193"/>
    </row>
    <row r="7554" spans="6:6" x14ac:dyDescent="0.3">
      <c r="F7554" s="193"/>
    </row>
    <row r="7555" spans="6:6" x14ac:dyDescent="0.3">
      <c r="F7555" s="193"/>
    </row>
    <row r="7556" spans="6:6" x14ac:dyDescent="0.3">
      <c r="F7556" s="193"/>
    </row>
    <row r="7557" spans="6:6" x14ac:dyDescent="0.3">
      <c r="F7557" s="193"/>
    </row>
    <row r="7558" spans="6:6" x14ac:dyDescent="0.3">
      <c r="F7558" s="193"/>
    </row>
    <row r="7559" spans="6:6" x14ac:dyDescent="0.3">
      <c r="F7559" s="193"/>
    </row>
    <row r="7560" spans="6:6" x14ac:dyDescent="0.3">
      <c r="F7560" s="193"/>
    </row>
    <row r="7561" spans="6:6" x14ac:dyDescent="0.3">
      <c r="F7561" s="193"/>
    </row>
    <row r="7562" spans="6:6" x14ac:dyDescent="0.3">
      <c r="F7562" s="193"/>
    </row>
    <row r="7563" spans="6:6" x14ac:dyDescent="0.3">
      <c r="F7563" s="193"/>
    </row>
    <row r="7564" spans="6:6" x14ac:dyDescent="0.3">
      <c r="F7564" s="193"/>
    </row>
    <row r="7565" spans="6:6" x14ac:dyDescent="0.3">
      <c r="F7565" s="193"/>
    </row>
    <row r="7566" spans="6:6" x14ac:dyDescent="0.3">
      <c r="F7566" s="193"/>
    </row>
    <row r="7567" spans="6:6" x14ac:dyDescent="0.3">
      <c r="F7567" s="193"/>
    </row>
    <row r="7568" spans="6:6" x14ac:dyDescent="0.3">
      <c r="F7568" s="193"/>
    </row>
    <row r="7569" spans="6:6" x14ac:dyDescent="0.3">
      <c r="F7569" s="193"/>
    </row>
    <row r="7570" spans="6:6" x14ac:dyDescent="0.3">
      <c r="F7570" s="193"/>
    </row>
    <row r="7571" spans="6:6" x14ac:dyDescent="0.3">
      <c r="F7571" s="193"/>
    </row>
    <row r="7572" spans="6:6" x14ac:dyDescent="0.3">
      <c r="F7572" s="193"/>
    </row>
    <row r="7573" spans="6:6" x14ac:dyDescent="0.3">
      <c r="F7573" s="193"/>
    </row>
    <row r="7574" spans="6:6" x14ac:dyDescent="0.3">
      <c r="F7574" s="193"/>
    </row>
    <row r="7575" spans="6:6" x14ac:dyDescent="0.3">
      <c r="F7575" s="193"/>
    </row>
    <row r="7576" spans="6:6" x14ac:dyDescent="0.3">
      <c r="F7576" s="193"/>
    </row>
    <row r="7577" spans="6:6" x14ac:dyDescent="0.3">
      <c r="F7577" s="193"/>
    </row>
    <row r="7578" spans="6:6" x14ac:dyDescent="0.3">
      <c r="F7578" s="193"/>
    </row>
    <row r="7579" spans="6:6" x14ac:dyDescent="0.3">
      <c r="F7579" s="193"/>
    </row>
    <row r="7580" spans="6:6" x14ac:dyDescent="0.3">
      <c r="F7580" s="193"/>
    </row>
    <row r="7581" spans="6:6" x14ac:dyDescent="0.3">
      <c r="F7581" s="193"/>
    </row>
    <row r="7582" spans="6:6" x14ac:dyDescent="0.3">
      <c r="F7582" s="193"/>
    </row>
    <row r="7583" spans="6:6" x14ac:dyDescent="0.3">
      <c r="F7583" s="193"/>
    </row>
    <row r="7584" spans="6:6" x14ac:dyDescent="0.3">
      <c r="F7584" s="193"/>
    </row>
    <row r="7585" spans="6:6" x14ac:dyDescent="0.3">
      <c r="F7585" s="193"/>
    </row>
    <row r="7586" spans="6:6" x14ac:dyDescent="0.3">
      <c r="F7586" s="193"/>
    </row>
    <row r="7587" spans="6:6" x14ac:dyDescent="0.3">
      <c r="F7587" s="193"/>
    </row>
    <row r="7588" spans="6:6" x14ac:dyDescent="0.3">
      <c r="F7588" s="193"/>
    </row>
    <row r="7589" spans="6:6" x14ac:dyDescent="0.3">
      <c r="F7589" s="193"/>
    </row>
    <row r="7590" spans="6:6" x14ac:dyDescent="0.3">
      <c r="F7590" s="193"/>
    </row>
    <row r="7591" spans="6:6" x14ac:dyDescent="0.3">
      <c r="F7591" s="193"/>
    </row>
    <row r="7592" spans="6:6" x14ac:dyDescent="0.3">
      <c r="F7592" s="193"/>
    </row>
    <row r="7593" spans="6:6" x14ac:dyDescent="0.3">
      <c r="F7593" s="193"/>
    </row>
    <row r="7594" spans="6:6" x14ac:dyDescent="0.3">
      <c r="F7594" s="193"/>
    </row>
    <row r="7595" spans="6:6" x14ac:dyDescent="0.3">
      <c r="F7595" s="193"/>
    </row>
    <row r="7596" spans="6:6" x14ac:dyDescent="0.3">
      <c r="F7596" s="193"/>
    </row>
    <row r="7597" spans="6:6" x14ac:dyDescent="0.3">
      <c r="F7597" s="193"/>
    </row>
    <row r="7598" spans="6:6" x14ac:dyDescent="0.3">
      <c r="F7598" s="193"/>
    </row>
    <row r="7599" spans="6:6" x14ac:dyDescent="0.3">
      <c r="F7599" s="193"/>
    </row>
    <row r="7600" spans="6:6" x14ac:dyDescent="0.3">
      <c r="F7600" s="193"/>
    </row>
    <row r="7601" spans="6:6" x14ac:dyDescent="0.3">
      <c r="F7601" s="193"/>
    </row>
    <row r="7602" spans="6:6" x14ac:dyDescent="0.3">
      <c r="F7602" s="193"/>
    </row>
    <row r="7603" spans="6:6" x14ac:dyDescent="0.3">
      <c r="F7603" s="193"/>
    </row>
    <row r="7604" spans="6:6" x14ac:dyDescent="0.3">
      <c r="F7604" s="193"/>
    </row>
    <row r="7605" spans="6:6" x14ac:dyDescent="0.3">
      <c r="F7605" s="193"/>
    </row>
    <row r="7606" spans="6:6" x14ac:dyDescent="0.3">
      <c r="F7606" s="193"/>
    </row>
    <row r="7607" spans="6:6" x14ac:dyDescent="0.3">
      <c r="F7607" s="193"/>
    </row>
    <row r="7608" spans="6:6" x14ac:dyDescent="0.3">
      <c r="F7608" s="193"/>
    </row>
    <row r="7609" spans="6:6" x14ac:dyDescent="0.3">
      <c r="F7609" s="193"/>
    </row>
    <row r="7610" spans="6:6" x14ac:dyDescent="0.3">
      <c r="F7610" s="193"/>
    </row>
    <row r="7611" spans="6:6" x14ac:dyDescent="0.3">
      <c r="F7611" s="193"/>
    </row>
    <row r="7612" spans="6:6" x14ac:dyDescent="0.3">
      <c r="F7612" s="193"/>
    </row>
    <row r="7613" spans="6:6" x14ac:dyDescent="0.3">
      <c r="F7613" s="193"/>
    </row>
    <row r="7614" spans="6:6" x14ac:dyDescent="0.3">
      <c r="F7614" s="193"/>
    </row>
    <row r="7615" spans="6:6" x14ac:dyDescent="0.3">
      <c r="F7615" s="193"/>
    </row>
    <row r="7616" spans="6:6" x14ac:dyDescent="0.3">
      <c r="F7616" s="193"/>
    </row>
    <row r="7617" spans="6:6" x14ac:dyDescent="0.3">
      <c r="F7617" s="193"/>
    </row>
    <row r="7618" spans="6:6" x14ac:dyDescent="0.3">
      <c r="F7618" s="193"/>
    </row>
    <row r="7619" spans="6:6" x14ac:dyDescent="0.3">
      <c r="F7619" s="193"/>
    </row>
    <row r="7620" spans="6:6" x14ac:dyDescent="0.3">
      <c r="F7620" s="193"/>
    </row>
    <row r="7621" spans="6:6" x14ac:dyDescent="0.3">
      <c r="F7621" s="193"/>
    </row>
    <row r="7622" spans="6:6" x14ac:dyDescent="0.3">
      <c r="F7622" s="193"/>
    </row>
    <row r="7623" spans="6:6" x14ac:dyDescent="0.3">
      <c r="F7623" s="193"/>
    </row>
    <row r="7624" spans="6:6" x14ac:dyDescent="0.3">
      <c r="F7624" s="193"/>
    </row>
    <row r="7625" spans="6:6" x14ac:dyDescent="0.3">
      <c r="F7625" s="193"/>
    </row>
    <row r="7626" spans="6:6" x14ac:dyDescent="0.3">
      <c r="F7626" s="193"/>
    </row>
    <row r="7627" spans="6:6" x14ac:dyDescent="0.3">
      <c r="F7627" s="193"/>
    </row>
    <row r="7628" spans="6:6" x14ac:dyDescent="0.3">
      <c r="F7628" s="193"/>
    </row>
    <row r="7629" spans="6:6" x14ac:dyDescent="0.3">
      <c r="F7629" s="193"/>
    </row>
    <row r="7630" spans="6:6" x14ac:dyDescent="0.3">
      <c r="F7630" s="193"/>
    </row>
    <row r="7631" spans="6:6" x14ac:dyDescent="0.3">
      <c r="F7631" s="193"/>
    </row>
    <row r="7632" spans="6:6" x14ac:dyDescent="0.3">
      <c r="F7632" s="193"/>
    </row>
    <row r="7633" spans="6:6" x14ac:dyDescent="0.3">
      <c r="F7633" s="193"/>
    </row>
    <row r="7634" spans="6:6" x14ac:dyDescent="0.3">
      <c r="F7634" s="193"/>
    </row>
    <row r="7635" spans="6:6" x14ac:dyDescent="0.3">
      <c r="F7635" s="193"/>
    </row>
    <row r="7636" spans="6:6" x14ac:dyDescent="0.3">
      <c r="F7636" s="193"/>
    </row>
    <row r="7637" spans="6:6" x14ac:dyDescent="0.3">
      <c r="F7637" s="193"/>
    </row>
    <row r="7638" spans="6:6" x14ac:dyDescent="0.3">
      <c r="F7638" s="193"/>
    </row>
    <row r="7639" spans="6:6" x14ac:dyDescent="0.3">
      <c r="F7639" s="193"/>
    </row>
    <row r="7640" spans="6:6" x14ac:dyDescent="0.3">
      <c r="F7640" s="193"/>
    </row>
    <row r="7641" spans="6:6" x14ac:dyDescent="0.3">
      <c r="F7641" s="193"/>
    </row>
    <row r="7642" spans="6:6" x14ac:dyDescent="0.3">
      <c r="F7642" s="193"/>
    </row>
    <row r="7643" spans="6:6" x14ac:dyDescent="0.3">
      <c r="F7643" s="193"/>
    </row>
    <row r="7644" spans="6:6" x14ac:dyDescent="0.3">
      <c r="F7644" s="193"/>
    </row>
    <row r="7645" spans="6:6" x14ac:dyDescent="0.3">
      <c r="F7645" s="193"/>
    </row>
    <row r="7646" spans="6:6" x14ac:dyDescent="0.3">
      <c r="F7646" s="193"/>
    </row>
    <row r="7647" spans="6:6" x14ac:dyDescent="0.3">
      <c r="F7647" s="193"/>
    </row>
    <row r="7648" spans="6:6" x14ac:dyDescent="0.3">
      <c r="F7648" s="193"/>
    </row>
    <row r="7649" spans="6:6" x14ac:dyDescent="0.3">
      <c r="F7649" s="193"/>
    </row>
    <row r="7650" spans="6:6" x14ac:dyDescent="0.3">
      <c r="F7650" s="193"/>
    </row>
    <row r="7651" spans="6:6" x14ac:dyDescent="0.3">
      <c r="F7651" s="193"/>
    </row>
    <row r="7652" spans="6:6" x14ac:dyDescent="0.3">
      <c r="F7652" s="193"/>
    </row>
    <row r="7653" spans="6:6" x14ac:dyDescent="0.3">
      <c r="F7653" s="193"/>
    </row>
    <row r="7654" spans="6:6" x14ac:dyDescent="0.3">
      <c r="F7654" s="193"/>
    </row>
    <row r="7655" spans="6:6" x14ac:dyDescent="0.3">
      <c r="F7655" s="193"/>
    </row>
    <row r="7656" spans="6:6" x14ac:dyDescent="0.3">
      <c r="F7656" s="193"/>
    </row>
    <row r="7657" spans="6:6" x14ac:dyDescent="0.3">
      <c r="F7657" s="193"/>
    </row>
    <row r="7658" spans="6:6" x14ac:dyDescent="0.3">
      <c r="F7658" s="193"/>
    </row>
    <row r="7659" spans="6:6" x14ac:dyDescent="0.3">
      <c r="F7659" s="193"/>
    </row>
    <row r="7660" spans="6:6" x14ac:dyDescent="0.3">
      <c r="F7660" s="193"/>
    </row>
    <row r="7661" spans="6:6" x14ac:dyDescent="0.3">
      <c r="F7661" s="193"/>
    </row>
    <row r="7662" spans="6:6" x14ac:dyDescent="0.3">
      <c r="F7662" s="193"/>
    </row>
    <row r="7663" spans="6:6" x14ac:dyDescent="0.3">
      <c r="F7663" s="193"/>
    </row>
    <row r="7664" spans="6:6" x14ac:dyDescent="0.3">
      <c r="F7664" s="193"/>
    </row>
    <row r="7665" spans="6:6" x14ac:dyDescent="0.3">
      <c r="F7665" s="193"/>
    </row>
    <row r="7666" spans="6:6" x14ac:dyDescent="0.3">
      <c r="F7666" s="193"/>
    </row>
    <row r="7667" spans="6:6" x14ac:dyDescent="0.3">
      <c r="F7667" s="193"/>
    </row>
    <row r="7668" spans="6:6" x14ac:dyDescent="0.3">
      <c r="F7668" s="193"/>
    </row>
    <row r="7669" spans="6:6" x14ac:dyDescent="0.3">
      <c r="F7669" s="193"/>
    </row>
    <row r="7670" spans="6:6" x14ac:dyDescent="0.3">
      <c r="F7670" s="193"/>
    </row>
    <row r="7671" spans="6:6" x14ac:dyDescent="0.3">
      <c r="F7671" s="193"/>
    </row>
    <row r="7672" spans="6:6" x14ac:dyDescent="0.3">
      <c r="F7672" s="193"/>
    </row>
    <row r="7673" spans="6:6" x14ac:dyDescent="0.3">
      <c r="F7673" s="193"/>
    </row>
    <row r="7674" spans="6:6" x14ac:dyDescent="0.3">
      <c r="F7674" s="193"/>
    </row>
    <row r="7675" spans="6:6" x14ac:dyDescent="0.3">
      <c r="F7675" s="193"/>
    </row>
    <row r="7676" spans="6:6" x14ac:dyDescent="0.3">
      <c r="F7676" s="193"/>
    </row>
    <row r="7677" spans="6:6" x14ac:dyDescent="0.3">
      <c r="F7677" s="193"/>
    </row>
    <row r="7678" spans="6:6" x14ac:dyDescent="0.3">
      <c r="F7678" s="193"/>
    </row>
    <row r="7679" spans="6:6" x14ac:dyDescent="0.3">
      <c r="F7679" s="193"/>
    </row>
    <row r="7680" spans="6:6" x14ac:dyDescent="0.3">
      <c r="F7680" s="193"/>
    </row>
    <row r="7681" spans="6:6" x14ac:dyDescent="0.3">
      <c r="F7681" s="193"/>
    </row>
    <row r="7682" spans="6:6" x14ac:dyDescent="0.3">
      <c r="F7682" s="193"/>
    </row>
    <row r="7683" spans="6:6" x14ac:dyDescent="0.3">
      <c r="F7683" s="193"/>
    </row>
    <row r="7684" spans="6:6" x14ac:dyDescent="0.3">
      <c r="F7684" s="193"/>
    </row>
    <row r="7685" spans="6:6" x14ac:dyDescent="0.3">
      <c r="F7685" s="193"/>
    </row>
    <row r="7686" spans="6:6" x14ac:dyDescent="0.3">
      <c r="F7686" s="193"/>
    </row>
    <row r="7687" spans="6:6" x14ac:dyDescent="0.3">
      <c r="F7687" s="193"/>
    </row>
    <row r="7688" spans="6:6" x14ac:dyDescent="0.3">
      <c r="F7688" s="193"/>
    </row>
    <row r="7689" spans="6:6" x14ac:dyDescent="0.3">
      <c r="F7689" s="193"/>
    </row>
    <row r="7690" spans="6:6" x14ac:dyDescent="0.3">
      <c r="F7690" s="193"/>
    </row>
    <row r="7691" spans="6:6" x14ac:dyDescent="0.3">
      <c r="F7691" s="193"/>
    </row>
    <row r="7692" spans="6:6" x14ac:dyDescent="0.3">
      <c r="F7692" s="193"/>
    </row>
    <row r="7693" spans="6:6" x14ac:dyDescent="0.3">
      <c r="F7693" s="193"/>
    </row>
    <row r="7694" spans="6:6" x14ac:dyDescent="0.3">
      <c r="F7694" s="193"/>
    </row>
    <row r="7695" spans="6:6" x14ac:dyDescent="0.3">
      <c r="F7695" s="193"/>
    </row>
    <row r="7696" spans="6:6" x14ac:dyDescent="0.3">
      <c r="F7696" s="193"/>
    </row>
    <row r="7697" spans="6:6" x14ac:dyDescent="0.3">
      <c r="F7697" s="193"/>
    </row>
    <row r="7698" spans="6:6" x14ac:dyDescent="0.3">
      <c r="F7698" s="193"/>
    </row>
    <row r="7699" spans="6:6" x14ac:dyDescent="0.3">
      <c r="F7699" s="193"/>
    </row>
    <row r="7700" spans="6:6" x14ac:dyDescent="0.3">
      <c r="F7700" s="193"/>
    </row>
    <row r="7701" spans="6:6" x14ac:dyDescent="0.3">
      <c r="F7701" s="193"/>
    </row>
    <row r="7702" spans="6:6" x14ac:dyDescent="0.3">
      <c r="F7702" s="193"/>
    </row>
    <row r="7703" spans="6:6" x14ac:dyDescent="0.3">
      <c r="F7703" s="193"/>
    </row>
    <row r="7704" spans="6:6" x14ac:dyDescent="0.3">
      <c r="F7704" s="193"/>
    </row>
    <row r="7705" spans="6:6" x14ac:dyDescent="0.3">
      <c r="F7705" s="193"/>
    </row>
    <row r="7706" spans="6:6" x14ac:dyDescent="0.3">
      <c r="F7706" s="193"/>
    </row>
    <row r="7707" spans="6:6" x14ac:dyDescent="0.3">
      <c r="F7707" s="193"/>
    </row>
    <row r="7708" spans="6:6" x14ac:dyDescent="0.3">
      <c r="F7708" s="193"/>
    </row>
    <row r="7709" spans="6:6" x14ac:dyDescent="0.3">
      <c r="F7709" s="193"/>
    </row>
    <row r="7710" spans="6:6" x14ac:dyDescent="0.3">
      <c r="F7710" s="193"/>
    </row>
    <row r="7711" spans="6:6" x14ac:dyDescent="0.3">
      <c r="F7711" s="193"/>
    </row>
    <row r="7712" spans="6:6" x14ac:dyDescent="0.3">
      <c r="F7712" s="193"/>
    </row>
    <row r="7713" spans="6:6" x14ac:dyDescent="0.3">
      <c r="F7713" s="193"/>
    </row>
    <row r="7714" spans="6:6" x14ac:dyDescent="0.3">
      <c r="F7714" s="193"/>
    </row>
    <row r="7715" spans="6:6" x14ac:dyDescent="0.3">
      <c r="F7715" s="193"/>
    </row>
    <row r="7716" spans="6:6" x14ac:dyDescent="0.3">
      <c r="F7716" s="193"/>
    </row>
    <row r="7717" spans="6:6" x14ac:dyDescent="0.3">
      <c r="F7717" s="193"/>
    </row>
    <row r="7718" spans="6:6" x14ac:dyDescent="0.3">
      <c r="F7718" s="193"/>
    </row>
    <row r="7719" spans="6:6" x14ac:dyDescent="0.3">
      <c r="F7719" s="193"/>
    </row>
    <row r="7720" spans="6:6" x14ac:dyDescent="0.3">
      <c r="F7720" s="193"/>
    </row>
    <row r="7721" spans="6:6" x14ac:dyDescent="0.3">
      <c r="F7721" s="193"/>
    </row>
    <row r="7722" spans="6:6" x14ac:dyDescent="0.3">
      <c r="F7722" s="193"/>
    </row>
    <row r="7723" spans="6:6" x14ac:dyDescent="0.3">
      <c r="F7723" s="193"/>
    </row>
    <row r="7724" spans="6:6" x14ac:dyDescent="0.3">
      <c r="F7724" s="193"/>
    </row>
    <row r="7725" spans="6:6" x14ac:dyDescent="0.3">
      <c r="F7725" s="193"/>
    </row>
    <row r="7726" spans="6:6" x14ac:dyDescent="0.3">
      <c r="F7726" s="193"/>
    </row>
    <row r="7727" spans="6:6" x14ac:dyDescent="0.3">
      <c r="F7727" s="193"/>
    </row>
    <row r="7728" spans="6:6" x14ac:dyDescent="0.3">
      <c r="F7728" s="193"/>
    </row>
    <row r="7729" spans="6:6" x14ac:dyDescent="0.3">
      <c r="F7729" s="193"/>
    </row>
    <row r="7730" spans="6:6" x14ac:dyDescent="0.3">
      <c r="F7730" s="193"/>
    </row>
    <row r="7731" spans="6:6" x14ac:dyDescent="0.3">
      <c r="F7731" s="193"/>
    </row>
    <row r="7732" spans="6:6" x14ac:dyDescent="0.3">
      <c r="F7732" s="193"/>
    </row>
    <row r="7733" spans="6:6" x14ac:dyDescent="0.3">
      <c r="F7733" s="193"/>
    </row>
    <row r="7734" spans="6:6" x14ac:dyDescent="0.3">
      <c r="F7734" s="193"/>
    </row>
    <row r="7735" spans="6:6" x14ac:dyDescent="0.3">
      <c r="F7735" s="193"/>
    </row>
    <row r="7736" spans="6:6" x14ac:dyDescent="0.3">
      <c r="F7736" s="193"/>
    </row>
    <row r="7737" spans="6:6" x14ac:dyDescent="0.3">
      <c r="F7737" s="193"/>
    </row>
    <row r="7738" spans="6:6" x14ac:dyDescent="0.3">
      <c r="F7738" s="193"/>
    </row>
    <row r="7739" spans="6:6" x14ac:dyDescent="0.3">
      <c r="F7739" s="193"/>
    </row>
    <row r="7740" spans="6:6" x14ac:dyDescent="0.3">
      <c r="F7740" s="193"/>
    </row>
    <row r="7741" spans="6:6" x14ac:dyDescent="0.3">
      <c r="F7741" s="193"/>
    </row>
    <row r="7742" spans="6:6" x14ac:dyDescent="0.3">
      <c r="F7742" s="193"/>
    </row>
    <row r="7743" spans="6:6" x14ac:dyDescent="0.3">
      <c r="F7743" s="193"/>
    </row>
    <row r="7744" spans="6:6" x14ac:dyDescent="0.3">
      <c r="F7744" s="193"/>
    </row>
    <row r="7745" spans="6:6" x14ac:dyDescent="0.3">
      <c r="F7745" s="193"/>
    </row>
    <row r="7746" spans="6:6" x14ac:dyDescent="0.3">
      <c r="F7746" s="193"/>
    </row>
    <row r="7747" spans="6:6" x14ac:dyDescent="0.3">
      <c r="F7747" s="193"/>
    </row>
    <row r="7748" spans="6:6" x14ac:dyDescent="0.3">
      <c r="F7748" s="193"/>
    </row>
    <row r="7749" spans="6:6" x14ac:dyDescent="0.3">
      <c r="F7749" s="193"/>
    </row>
    <row r="7750" spans="6:6" x14ac:dyDescent="0.3">
      <c r="F7750" s="193"/>
    </row>
    <row r="7751" spans="6:6" x14ac:dyDescent="0.3">
      <c r="F7751" s="193"/>
    </row>
    <row r="7752" spans="6:6" x14ac:dyDescent="0.3">
      <c r="F7752" s="193"/>
    </row>
    <row r="7753" spans="6:6" x14ac:dyDescent="0.3">
      <c r="F7753" s="193"/>
    </row>
    <row r="7754" spans="6:6" x14ac:dyDescent="0.3">
      <c r="F7754" s="193"/>
    </row>
    <row r="7755" spans="6:6" x14ac:dyDescent="0.3">
      <c r="F7755" s="193"/>
    </row>
    <row r="7756" spans="6:6" x14ac:dyDescent="0.3">
      <c r="F7756" s="193"/>
    </row>
    <row r="7757" spans="6:6" x14ac:dyDescent="0.3">
      <c r="F7757" s="193"/>
    </row>
    <row r="7758" spans="6:6" x14ac:dyDescent="0.3">
      <c r="F7758" s="193"/>
    </row>
    <row r="7759" spans="6:6" x14ac:dyDescent="0.3">
      <c r="F7759" s="193"/>
    </row>
    <row r="7760" spans="6:6" x14ac:dyDescent="0.3">
      <c r="F7760" s="193"/>
    </row>
    <row r="7761" spans="6:6" x14ac:dyDescent="0.3">
      <c r="F7761" s="193"/>
    </row>
    <row r="7762" spans="6:6" x14ac:dyDescent="0.3">
      <c r="F7762" s="193"/>
    </row>
    <row r="7763" spans="6:6" x14ac:dyDescent="0.3">
      <c r="F7763" s="193"/>
    </row>
    <row r="7764" spans="6:6" x14ac:dyDescent="0.3">
      <c r="F7764" s="193"/>
    </row>
    <row r="7765" spans="6:6" x14ac:dyDescent="0.3">
      <c r="F7765" s="193"/>
    </row>
    <row r="7766" spans="6:6" x14ac:dyDescent="0.3">
      <c r="F7766" s="193"/>
    </row>
    <row r="7767" spans="6:6" x14ac:dyDescent="0.3">
      <c r="F7767" s="193"/>
    </row>
    <row r="7768" spans="6:6" x14ac:dyDescent="0.3">
      <c r="F7768" s="193"/>
    </row>
    <row r="7769" spans="6:6" x14ac:dyDescent="0.3">
      <c r="F7769" s="193"/>
    </row>
    <row r="7770" spans="6:6" x14ac:dyDescent="0.3">
      <c r="F7770" s="193"/>
    </row>
    <row r="7771" spans="6:6" x14ac:dyDescent="0.3">
      <c r="F7771" s="193"/>
    </row>
    <row r="7772" spans="6:6" x14ac:dyDescent="0.3">
      <c r="F7772" s="193"/>
    </row>
    <row r="7773" spans="6:6" x14ac:dyDescent="0.3">
      <c r="F7773" s="193"/>
    </row>
    <row r="7774" spans="6:6" x14ac:dyDescent="0.3">
      <c r="F7774" s="193"/>
    </row>
    <row r="7775" spans="6:6" x14ac:dyDescent="0.3">
      <c r="F7775" s="193"/>
    </row>
    <row r="7776" spans="6:6" x14ac:dyDescent="0.3">
      <c r="F7776" s="193"/>
    </row>
    <row r="7777" spans="6:6" x14ac:dyDescent="0.3">
      <c r="F7777" s="193"/>
    </row>
    <row r="7778" spans="6:6" x14ac:dyDescent="0.3">
      <c r="F7778" s="193"/>
    </row>
    <row r="7779" spans="6:6" x14ac:dyDescent="0.3">
      <c r="F7779" s="193"/>
    </row>
    <row r="7780" spans="6:6" x14ac:dyDescent="0.3">
      <c r="F7780" s="193"/>
    </row>
    <row r="7781" spans="6:6" x14ac:dyDescent="0.3">
      <c r="F7781" s="193"/>
    </row>
    <row r="7782" spans="6:6" x14ac:dyDescent="0.3">
      <c r="F7782" s="193"/>
    </row>
    <row r="7783" spans="6:6" x14ac:dyDescent="0.3">
      <c r="F7783" s="193"/>
    </row>
    <row r="7784" spans="6:6" x14ac:dyDescent="0.3">
      <c r="F7784" s="193"/>
    </row>
    <row r="7785" spans="6:6" x14ac:dyDescent="0.3">
      <c r="F7785" s="193"/>
    </row>
    <row r="7786" spans="6:6" x14ac:dyDescent="0.3">
      <c r="F7786" s="193"/>
    </row>
    <row r="7787" spans="6:6" x14ac:dyDescent="0.3">
      <c r="F7787" s="193"/>
    </row>
    <row r="7788" spans="6:6" x14ac:dyDescent="0.3">
      <c r="F7788" s="193"/>
    </row>
    <row r="7789" spans="6:6" x14ac:dyDescent="0.3">
      <c r="F7789" s="193"/>
    </row>
    <row r="7790" spans="6:6" x14ac:dyDescent="0.3">
      <c r="F7790" s="193"/>
    </row>
    <row r="7791" spans="6:6" x14ac:dyDescent="0.3">
      <c r="F7791" s="193"/>
    </row>
    <row r="7792" spans="6:6" x14ac:dyDescent="0.3">
      <c r="F7792" s="193"/>
    </row>
    <row r="7793" spans="6:6" x14ac:dyDescent="0.3">
      <c r="F7793" s="193"/>
    </row>
    <row r="7794" spans="6:6" x14ac:dyDescent="0.3">
      <c r="F7794" s="193"/>
    </row>
    <row r="7795" spans="6:6" x14ac:dyDescent="0.3">
      <c r="F7795" s="193"/>
    </row>
    <row r="7796" spans="6:6" x14ac:dyDescent="0.3">
      <c r="F7796" s="193"/>
    </row>
    <row r="7797" spans="6:6" x14ac:dyDescent="0.3">
      <c r="F7797" s="193"/>
    </row>
    <row r="7798" spans="6:6" x14ac:dyDescent="0.3">
      <c r="F7798" s="193"/>
    </row>
    <row r="7799" spans="6:6" x14ac:dyDescent="0.3">
      <c r="F7799" s="193"/>
    </row>
    <row r="7800" spans="6:6" x14ac:dyDescent="0.3">
      <c r="F7800" s="193"/>
    </row>
    <row r="7801" spans="6:6" x14ac:dyDescent="0.3">
      <c r="F7801" s="193"/>
    </row>
    <row r="7802" spans="6:6" x14ac:dyDescent="0.3">
      <c r="F7802" s="193"/>
    </row>
    <row r="7803" spans="6:6" x14ac:dyDescent="0.3">
      <c r="F7803" s="193"/>
    </row>
    <row r="7804" spans="6:6" x14ac:dyDescent="0.3">
      <c r="F7804" s="193"/>
    </row>
    <row r="7805" spans="6:6" x14ac:dyDescent="0.3">
      <c r="F7805" s="193"/>
    </row>
    <row r="7806" spans="6:6" x14ac:dyDescent="0.3">
      <c r="F7806" s="193"/>
    </row>
    <row r="7807" spans="6:6" x14ac:dyDescent="0.3">
      <c r="F7807" s="193"/>
    </row>
    <row r="7808" spans="6:6" x14ac:dyDescent="0.3">
      <c r="F7808" s="193"/>
    </row>
    <row r="7809" spans="6:6" x14ac:dyDescent="0.3">
      <c r="F7809" s="193"/>
    </row>
    <row r="7810" spans="6:6" x14ac:dyDescent="0.3">
      <c r="F7810" s="193"/>
    </row>
    <row r="7811" spans="6:6" x14ac:dyDescent="0.3">
      <c r="F7811" s="193"/>
    </row>
    <row r="7812" spans="6:6" x14ac:dyDescent="0.3">
      <c r="F7812" s="193"/>
    </row>
    <row r="7813" spans="6:6" x14ac:dyDescent="0.3">
      <c r="F7813" s="193"/>
    </row>
    <row r="7814" spans="6:6" x14ac:dyDescent="0.3">
      <c r="F7814" s="193"/>
    </row>
    <row r="7815" spans="6:6" x14ac:dyDescent="0.3">
      <c r="F7815" s="193"/>
    </row>
    <row r="7816" spans="6:6" x14ac:dyDescent="0.3">
      <c r="F7816" s="193"/>
    </row>
    <row r="7817" spans="6:6" x14ac:dyDescent="0.3">
      <c r="F7817" s="193"/>
    </row>
    <row r="7818" spans="6:6" x14ac:dyDescent="0.3">
      <c r="F7818" s="193"/>
    </row>
    <row r="7819" spans="6:6" x14ac:dyDescent="0.3">
      <c r="F7819" s="193"/>
    </row>
    <row r="7820" spans="6:6" x14ac:dyDescent="0.3">
      <c r="F7820" s="193"/>
    </row>
    <row r="7821" spans="6:6" x14ac:dyDescent="0.3">
      <c r="F7821" s="193"/>
    </row>
    <row r="7822" spans="6:6" x14ac:dyDescent="0.3">
      <c r="F7822" s="193"/>
    </row>
    <row r="7823" spans="6:6" x14ac:dyDescent="0.3">
      <c r="F7823" s="193"/>
    </row>
    <row r="7824" spans="6:6" x14ac:dyDescent="0.3">
      <c r="F7824" s="193"/>
    </row>
    <row r="7825" spans="6:6" x14ac:dyDescent="0.3">
      <c r="F7825" s="193"/>
    </row>
    <row r="7826" spans="6:6" x14ac:dyDescent="0.3">
      <c r="F7826" s="193"/>
    </row>
    <row r="7827" spans="6:6" x14ac:dyDescent="0.3">
      <c r="F7827" s="193"/>
    </row>
    <row r="7828" spans="6:6" x14ac:dyDescent="0.3">
      <c r="F7828" s="193"/>
    </row>
    <row r="7829" spans="6:6" x14ac:dyDescent="0.3">
      <c r="F7829" s="193"/>
    </row>
    <row r="7830" spans="6:6" x14ac:dyDescent="0.3">
      <c r="F7830" s="193"/>
    </row>
    <row r="7831" spans="6:6" x14ac:dyDescent="0.3">
      <c r="F7831" s="193"/>
    </row>
    <row r="7832" spans="6:6" x14ac:dyDescent="0.3">
      <c r="F7832" s="193"/>
    </row>
    <row r="7833" spans="6:6" x14ac:dyDescent="0.3">
      <c r="F7833" s="193"/>
    </row>
    <row r="7834" spans="6:6" x14ac:dyDescent="0.3">
      <c r="F7834" s="193"/>
    </row>
    <row r="7835" spans="6:6" x14ac:dyDescent="0.3">
      <c r="F7835" s="193"/>
    </row>
    <row r="7836" spans="6:6" x14ac:dyDescent="0.3">
      <c r="F7836" s="193"/>
    </row>
    <row r="7837" spans="6:6" x14ac:dyDescent="0.3">
      <c r="F7837" s="193"/>
    </row>
    <row r="7838" spans="6:6" x14ac:dyDescent="0.3">
      <c r="F7838" s="193"/>
    </row>
    <row r="7839" spans="6:6" x14ac:dyDescent="0.3">
      <c r="F7839" s="193"/>
    </row>
    <row r="7840" spans="6:6" x14ac:dyDescent="0.3">
      <c r="F7840" s="193"/>
    </row>
    <row r="7841" spans="6:6" x14ac:dyDescent="0.3">
      <c r="F7841" s="193"/>
    </row>
    <row r="7842" spans="6:6" x14ac:dyDescent="0.3">
      <c r="F7842" s="193"/>
    </row>
    <row r="7843" spans="6:6" x14ac:dyDescent="0.3">
      <c r="F7843" s="193"/>
    </row>
    <row r="7844" spans="6:6" x14ac:dyDescent="0.3">
      <c r="F7844" s="193"/>
    </row>
    <row r="7845" spans="6:6" x14ac:dyDescent="0.3">
      <c r="F7845" s="193"/>
    </row>
    <row r="7846" spans="6:6" x14ac:dyDescent="0.3">
      <c r="F7846" s="193"/>
    </row>
    <row r="7847" spans="6:6" x14ac:dyDescent="0.3">
      <c r="F7847" s="193"/>
    </row>
    <row r="7848" spans="6:6" x14ac:dyDescent="0.3">
      <c r="F7848" s="193"/>
    </row>
    <row r="7849" spans="6:6" x14ac:dyDescent="0.3">
      <c r="F7849" s="193"/>
    </row>
    <row r="7850" spans="6:6" x14ac:dyDescent="0.3">
      <c r="F7850" s="193"/>
    </row>
    <row r="7851" spans="6:6" x14ac:dyDescent="0.3">
      <c r="F7851" s="193"/>
    </row>
    <row r="7852" spans="6:6" x14ac:dyDescent="0.3">
      <c r="F7852" s="193"/>
    </row>
    <row r="7853" spans="6:6" x14ac:dyDescent="0.3">
      <c r="F7853" s="193"/>
    </row>
    <row r="7854" spans="6:6" x14ac:dyDescent="0.3">
      <c r="F7854" s="193"/>
    </row>
    <row r="7855" spans="6:6" x14ac:dyDescent="0.3">
      <c r="F7855" s="193"/>
    </row>
    <row r="7856" spans="6:6" x14ac:dyDescent="0.3">
      <c r="F7856" s="193"/>
    </row>
    <row r="7857" spans="6:6" x14ac:dyDescent="0.3">
      <c r="F7857" s="193"/>
    </row>
    <row r="7858" spans="6:6" x14ac:dyDescent="0.3">
      <c r="F7858" s="193"/>
    </row>
    <row r="7859" spans="6:6" x14ac:dyDescent="0.3">
      <c r="F7859" s="193"/>
    </row>
    <row r="7860" spans="6:6" x14ac:dyDescent="0.3">
      <c r="F7860" s="193"/>
    </row>
    <row r="7861" spans="6:6" x14ac:dyDescent="0.3">
      <c r="F7861" s="193"/>
    </row>
    <row r="7862" spans="6:6" x14ac:dyDescent="0.3">
      <c r="F7862" s="193"/>
    </row>
    <row r="7863" spans="6:6" x14ac:dyDescent="0.3">
      <c r="F7863" s="193"/>
    </row>
    <row r="7864" spans="6:6" x14ac:dyDescent="0.3">
      <c r="F7864" s="193"/>
    </row>
    <row r="7865" spans="6:6" x14ac:dyDescent="0.3">
      <c r="F7865" s="193"/>
    </row>
    <row r="7866" spans="6:6" x14ac:dyDescent="0.3">
      <c r="F7866" s="193"/>
    </row>
    <row r="7867" spans="6:6" x14ac:dyDescent="0.3">
      <c r="F7867" s="193"/>
    </row>
    <row r="7868" spans="6:6" x14ac:dyDescent="0.3">
      <c r="F7868" s="193"/>
    </row>
    <row r="7869" spans="6:6" x14ac:dyDescent="0.3">
      <c r="F7869" s="193"/>
    </row>
    <row r="7870" spans="6:6" x14ac:dyDescent="0.3">
      <c r="F7870" s="193"/>
    </row>
    <row r="7871" spans="6:6" x14ac:dyDescent="0.3">
      <c r="F7871" s="193"/>
    </row>
    <row r="7872" spans="6:6" x14ac:dyDescent="0.3">
      <c r="F7872" s="193"/>
    </row>
    <row r="7873" spans="6:6" x14ac:dyDescent="0.3">
      <c r="F7873" s="193"/>
    </row>
    <row r="7874" spans="6:6" x14ac:dyDescent="0.3">
      <c r="F7874" s="193"/>
    </row>
    <row r="7875" spans="6:6" x14ac:dyDescent="0.3">
      <c r="F7875" s="193"/>
    </row>
    <row r="7876" spans="6:6" x14ac:dyDescent="0.3">
      <c r="F7876" s="193"/>
    </row>
    <row r="7877" spans="6:6" x14ac:dyDescent="0.3">
      <c r="F7877" s="193"/>
    </row>
    <row r="7878" spans="6:6" x14ac:dyDescent="0.3">
      <c r="F7878" s="193"/>
    </row>
    <row r="7879" spans="6:6" x14ac:dyDescent="0.3">
      <c r="F7879" s="193"/>
    </row>
    <row r="7880" spans="6:6" x14ac:dyDescent="0.3">
      <c r="F7880" s="193"/>
    </row>
    <row r="7881" spans="6:6" x14ac:dyDescent="0.3">
      <c r="F7881" s="193"/>
    </row>
    <row r="7882" spans="6:6" x14ac:dyDescent="0.3">
      <c r="F7882" s="193"/>
    </row>
    <row r="7883" spans="6:6" x14ac:dyDescent="0.3">
      <c r="F7883" s="193"/>
    </row>
    <row r="7884" spans="6:6" x14ac:dyDescent="0.3">
      <c r="F7884" s="193"/>
    </row>
    <row r="7885" spans="6:6" x14ac:dyDescent="0.3">
      <c r="F7885" s="193"/>
    </row>
    <row r="7886" spans="6:6" x14ac:dyDescent="0.3">
      <c r="F7886" s="193"/>
    </row>
    <row r="7887" spans="6:6" x14ac:dyDescent="0.3">
      <c r="F7887" s="193"/>
    </row>
    <row r="7888" spans="6:6" x14ac:dyDescent="0.3">
      <c r="F7888" s="193"/>
    </row>
    <row r="7889" spans="6:6" x14ac:dyDescent="0.3">
      <c r="F7889" s="193"/>
    </row>
    <row r="7890" spans="6:6" x14ac:dyDescent="0.3">
      <c r="F7890" s="193"/>
    </row>
    <row r="7891" spans="6:6" x14ac:dyDescent="0.3">
      <c r="F7891" s="193"/>
    </row>
    <row r="7892" spans="6:6" x14ac:dyDescent="0.3">
      <c r="F7892" s="193"/>
    </row>
    <row r="7893" spans="6:6" x14ac:dyDescent="0.3">
      <c r="F7893" s="193"/>
    </row>
    <row r="7894" spans="6:6" x14ac:dyDescent="0.3">
      <c r="F7894" s="193"/>
    </row>
    <row r="7895" spans="6:6" x14ac:dyDescent="0.3">
      <c r="F7895" s="193"/>
    </row>
    <row r="7896" spans="6:6" x14ac:dyDescent="0.3">
      <c r="F7896" s="193"/>
    </row>
    <row r="7897" spans="6:6" x14ac:dyDescent="0.3">
      <c r="F7897" s="193"/>
    </row>
    <row r="7898" spans="6:6" x14ac:dyDescent="0.3">
      <c r="F7898" s="193"/>
    </row>
    <row r="7899" spans="6:6" x14ac:dyDescent="0.3">
      <c r="F7899" s="193"/>
    </row>
    <row r="7900" spans="6:6" x14ac:dyDescent="0.3">
      <c r="F7900" s="193"/>
    </row>
    <row r="7901" spans="6:6" x14ac:dyDescent="0.3">
      <c r="F7901" s="193"/>
    </row>
    <row r="7902" spans="6:6" x14ac:dyDescent="0.3">
      <c r="F7902" s="193"/>
    </row>
    <row r="7903" spans="6:6" x14ac:dyDescent="0.3">
      <c r="F7903" s="193"/>
    </row>
    <row r="7904" spans="6:6" x14ac:dyDescent="0.3">
      <c r="F7904" s="193"/>
    </row>
    <row r="7905" spans="6:6" x14ac:dyDescent="0.3">
      <c r="F7905" s="193"/>
    </row>
    <row r="7906" spans="6:6" x14ac:dyDescent="0.3">
      <c r="F7906" s="193"/>
    </row>
    <row r="7907" spans="6:6" x14ac:dyDescent="0.3">
      <c r="F7907" s="193"/>
    </row>
    <row r="7908" spans="6:6" x14ac:dyDescent="0.3">
      <c r="F7908" s="193"/>
    </row>
    <row r="7909" spans="6:6" x14ac:dyDescent="0.3">
      <c r="F7909" s="193"/>
    </row>
    <row r="7910" spans="6:6" x14ac:dyDescent="0.3">
      <c r="F7910" s="193"/>
    </row>
    <row r="7911" spans="6:6" x14ac:dyDescent="0.3">
      <c r="F7911" s="193"/>
    </row>
    <row r="7912" spans="6:6" x14ac:dyDescent="0.3">
      <c r="F7912" s="193"/>
    </row>
    <row r="7913" spans="6:6" x14ac:dyDescent="0.3">
      <c r="F7913" s="193"/>
    </row>
    <row r="7914" spans="6:6" x14ac:dyDescent="0.3">
      <c r="F7914" s="193"/>
    </row>
    <row r="7915" spans="6:6" x14ac:dyDescent="0.3">
      <c r="F7915" s="193"/>
    </row>
    <row r="7916" spans="6:6" x14ac:dyDescent="0.3">
      <c r="F7916" s="193"/>
    </row>
    <row r="7917" spans="6:6" x14ac:dyDescent="0.3">
      <c r="F7917" s="193"/>
    </row>
    <row r="7918" spans="6:6" x14ac:dyDescent="0.3">
      <c r="F7918" s="193"/>
    </row>
    <row r="7919" spans="6:6" x14ac:dyDescent="0.3">
      <c r="F7919" s="193"/>
    </row>
    <row r="7920" spans="6:6" x14ac:dyDescent="0.3">
      <c r="F7920" s="193"/>
    </row>
    <row r="7921" spans="6:6" x14ac:dyDescent="0.3">
      <c r="F7921" s="193"/>
    </row>
    <row r="7922" spans="6:6" x14ac:dyDescent="0.3">
      <c r="F7922" s="193"/>
    </row>
    <row r="7923" spans="6:6" x14ac:dyDescent="0.3">
      <c r="F7923" s="193"/>
    </row>
    <row r="7924" spans="6:6" x14ac:dyDescent="0.3">
      <c r="F7924" s="193"/>
    </row>
    <row r="7925" spans="6:6" x14ac:dyDescent="0.3">
      <c r="F7925" s="193"/>
    </row>
    <row r="7926" spans="6:6" x14ac:dyDescent="0.3">
      <c r="F7926" s="193"/>
    </row>
    <row r="7927" spans="6:6" x14ac:dyDescent="0.3">
      <c r="F7927" s="193"/>
    </row>
    <row r="7928" spans="6:6" x14ac:dyDescent="0.3">
      <c r="F7928" s="193"/>
    </row>
    <row r="7929" spans="6:6" x14ac:dyDescent="0.3">
      <c r="F7929" s="193"/>
    </row>
    <row r="7930" spans="6:6" x14ac:dyDescent="0.3">
      <c r="F7930" s="193"/>
    </row>
    <row r="7931" spans="6:6" x14ac:dyDescent="0.3">
      <c r="F7931" s="193"/>
    </row>
    <row r="7932" spans="6:6" x14ac:dyDescent="0.3">
      <c r="F7932" s="193"/>
    </row>
    <row r="7933" spans="6:6" x14ac:dyDescent="0.3">
      <c r="F7933" s="193"/>
    </row>
    <row r="7934" spans="6:6" x14ac:dyDescent="0.3">
      <c r="F7934" s="193"/>
    </row>
    <row r="7935" spans="6:6" x14ac:dyDescent="0.3">
      <c r="F7935" s="193"/>
    </row>
    <row r="7936" spans="6:6" x14ac:dyDescent="0.3">
      <c r="F7936" s="193"/>
    </row>
    <row r="7937" spans="6:6" x14ac:dyDescent="0.3">
      <c r="F7937" s="193"/>
    </row>
    <row r="7938" spans="6:6" x14ac:dyDescent="0.3">
      <c r="F7938" s="193"/>
    </row>
    <row r="7939" spans="6:6" x14ac:dyDescent="0.3">
      <c r="F7939" s="193"/>
    </row>
    <row r="7940" spans="6:6" x14ac:dyDescent="0.3">
      <c r="F7940" s="193"/>
    </row>
    <row r="7941" spans="6:6" x14ac:dyDescent="0.3">
      <c r="F7941" s="193"/>
    </row>
    <row r="7942" spans="6:6" x14ac:dyDescent="0.3">
      <c r="F7942" s="193"/>
    </row>
    <row r="7943" spans="6:6" x14ac:dyDescent="0.3">
      <c r="F7943" s="193"/>
    </row>
    <row r="7944" spans="6:6" x14ac:dyDescent="0.3">
      <c r="F7944" s="193"/>
    </row>
    <row r="7945" spans="6:6" x14ac:dyDescent="0.3">
      <c r="F7945" s="193"/>
    </row>
    <row r="7946" spans="6:6" x14ac:dyDescent="0.3">
      <c r="F7946" s="193"/>
    </row>
    <row r="7947" spans="6:6" x14ac:dyDescent="0.3">
      <c r="F7947" s="193"/>
    </row>
    <row r="7948" spans="6:6" x14ac:dyDescent="0.3">
      <c r="F7948" s="193"/>
    </row>
    <row r="7949" spans="6:6" x14ac:dyDescent="0.3">
      <c r="F7949" s="193"/>
    </row>
    <row r="7950" spans="6:6" x14ac:dyDescent="0.3">
      <c r="F7950" s="193"/>
    </row>
    <row r="7951" spans="6:6" x14ac:dyDescent="0.3">
      <c r="F7951" s="193"/>
    </row>
    <row r="7952" spans="6:6" x14ac:dyDescent="0.3">
      <c r="F7952" s="193"/>
    </row>
    <row r="7953" spans="6:6" x14ac:dyDescent="0.3">
      <c r="F7953" s="193"/>
    </row>
    <row r="7954" spans="6:6" x14ac:dyDescent="0.3">
      <c r="F7954" s="193"/>
    </row>
    <row r="7955" spans="6:6" x14ac:dyDescent="0.3">
      <c r="F7955" s="193"/>
    </row>
    <row r="7956" spans="6:6" x14ac:dyDescent="0.3">
      <c r="F7956" s="193"/>
    </row>
    <row r="7957" spans="6:6" x14ac:dyDescent="0.3">
      <c r="F7957" s="193"/>
    </row>
    <row r="7958" spans="6:6" x14ac:dyDescent="0.3">
      <c r="F7958" s="193"/>
    </row>
    <row r="7959" spans="6:6" x14ac:dyDescent="0.3">
      <c r="F7959" s="193"/>
    </row>
    <row r="7960" spans="6:6" x14ac:dyDescent="0.3">
      <c r="F7960" s="193"/>
    </row>
    <row r="7961" spans="6:6" x14ac:dyDescent="0.3">
      <c r="F7961" s="193"/>
    </row>
    <row r="7962" spans="6:6" x14ac:dyDescent="0.3">
      <c r="F7962" s="193"/>
    </row>
    <row r="7963" spans="6:6" x14ac:dyDescent="0.3">
      <c r="F7963" s="193"/>
    </row>
    <row r="7964" spans="6:6" x14ac:dyDescent="0.3">
      <c r="F7964" s="193"/>
    </row>
    <row r="7965" spans="6:6" x14ac:dyDescent="0.3">
      <c r="F7965" s="193"/>
    </row>
    <row r="7966" spans="6:6" x14ac:dyDescent="0.3">
      <c r="F7966" s="193"/>
    </row>
    <row r="7967" spans="6:6" x14ac:dyDescent="0.3">
      <c r="F7967" s="193"/>
    </row>
    <row r="7968" spans="6:6" x14ac:dyDescent="0.3">
      <c r="F7968" s="193"/>
    </row>
    <row r="7969" spans="6:6" x14ac:dyDescent="0.3">
      <c r="F7969" s="193"/>
    </row>
    <row r="7970" spans="6:6" x14ac:dyDescent="0.3">
      <c r="F7970" s="193"/>
    </row>
    <row r="7971" spans="6:6" x14ac:dyDescent="0.3">
      <c r="F7971" s="193"/>
    </row>
    <row r="7972" spans="6:6" x14ac:dyDescent="0.3">
      <c r="F7972" s="193"/>
    </row>
    <row r="7973" spans="6:6" x14ac:dyDescent="0.3">
      <c r="F7973" s="193"/>
    </row>
    <row r="7974" spans="6:6" x14ac:dyDescent="0.3">
      <c r="F7974" s="193"/>
    </row>
    <row r="7975" spans="6:6" x14ac:dyDescent="0.3">
      <c r="F7975" s="193"/>
    </row>
    <row r="7976" spans="6:6" x14ac:dyDescent="0.3">
      <c r="F7976" s="193"/>
    </row>
    <row r="7977" spans="6:6" x14ac:dyDescent="0.3">
      <c r="F7977" s="193"/>
    </row>
    <row r="7978" spans="6:6" x14ac:dyDescent="0.3">
      <c r="F7978" s="193"/>
    </row>
    <row r="7979" spans="6:6" x14ac:dyDescent="0.3">
      <c r="F7979" s="193"/>
    </row>
    <row r="7980" spans="6:6" x14ac:dyDescent="0.3">
      <c r="F7980" s="193"/>
    </row>
    <row r="7981" spans="6:6" x14ac:dyDescent="0.3">
      <c r="F7981" s="193"/>
    </row>
    <row r="7982" spans="6:6" x14ac:dyDescent="0.3">
      <c r="F7982" s="193"/>
    </row>
    <row r="7983" spans="6:6" x14ac:dyDescent="0.3">
      <c r="F7983" s="193"/>
    </row>
    <row r="7984" spans="6:6" x14ac:dyDescent="0.3">
      <c r="F7984" s="193"/>
    </row>
    <row r="7985" spans="6:6" x14ac:dyDescent="0.3">
      <c r="F7985" s="193"/>
    </row>
    <row r="7986" spans="6:6" x14ac:dyDescent="0.3">
      <c r="F7986" s="193"/>
    </row>
    <row r="7987" spans="6:6" x14ac:dyDescent="0.3">
      <c r="F7987" s="193"/>
    </row>
    <row r="7988" spans="6:6" x14ac:dyDescent="0.3">
      <c r="F7988" s="193"/>
    </row>
    <row r="7989" spans="6:6" x14ac:dyDescent="0.3">
      <c r="F7989" s="193"/>
    </row>
    <row r="7990" spans="6:6" x14ac:dyDescent="0.3">
      <c r="F7990" s="193"/>
    </row>
    <row r="7991" spans="6:6" x14ac:dyDescent="0.3">
      <c r="F7991" s="193"/>
    </row>
    <row r="7992" spans="6:6" x14ac:dyDescent="0.3">
      <c r="F7992" s="193"/>
    </row>
    <row r="7993" spans="6:6" x14ac:dyDescent="0.3">
      <c r="F7993" s="193"/>
    </row>
    <row r="7994" spans="6:6" x14ac:dyDescent="0.3">
      <c r="F7994" s="193"/>
    </row>
    <row r="7995" spans="6:6" x14ac:dyDescent="0.3">
      <c r="F7995" s="193"/>
    </row>
    <row r="7996" spans="6:6" x14ac:dyDescent="0.3">
      <c r="F7996" s="193"/>
    </row>
    <row r="7997" spans="6:6" x14ac:dyDescent="0.3">
      <c r="F7997" s="193"/>
    </row>
    <row r="7998" spans="6:6" x14ac:dyDescent="0.3">
      <c r="F7998" s="193"/>
    </row>
    <row r="7999" spans="6:6" x14ac:dyDescent="0.3">
      <c r="F7999" s="193"/>
    </row>
    <row r="8000" spans="6:6" x14ac:dyDescent="0.3">
      <c r="F8000" s="193"/>
    </row>
    <row r="8001" spans="6:6" x14ac:dyDescent="0.3">
      <c r="F8001" s="193"/>
    </row>
    <row r="8002" spans="6:6" x14ac:dyDescent="0.3">
      <c r="F8002" s="193"/>
    </row>
    <row r="8003" spans="6:6" x14ac:dyDescent="0.3">
      <c r="F8003" s="193"/>
    </row>
    <row r="8004" spans="6:6" x14ac:dyDescent="0.3">
      <c r="F8004" s="193"/>
    </row>
    <row r="8005" spans="6:6" x14ac:dyDescent="0.3">
      <c r="F8005" s="193"/>
    </row>
    <row r="8006" spans="6:6" x14ac:dyDescent="0.3">
      <c r="F8006" s="193"/>
    </row>
    <row r="8007" spans="6:6" x14ac:dyDescent="0.3">
      <c r="F8007" s="193"/>
    </row>
    <row r="8008" spans="6:6" x14ac:dyDescent="0.3">
      <c r="F8008" s="193"/>
    </row>
    <row r="8009" spans="6:6" x14ac:dyDescent="0.3">
      <c r="F8009" s="193"/>
    </row>
    <row r="8010" spans="6:6" x14ac:dyDescent="0.3">
      <c r="F8010" s="193"/>
    </row>
    <row r="8011" spans="6:6" x14ac:dyDescent="0.3">
      <c r="F8011" s="193"/>
    </row>
    <row r="8012" spans="6:6" x14ac:dyDescent="0.3">
      <c r="F8012" s="193"/>
    </row>
    <row r="8013" spans="6:6" x14ac:dyDescent="0.3">
      <c r="F8013" s="193"/>
    </row>
    <row r="8014" spans="6:6" x14ac:dyDescent="0.3">
      <c r="F8014" s="193"/>
    </row>
    <row r="8015" spans="6:6" x14ac:dyDescent="0.3">
      <c r="F8015" s="193"/>
    </row>
    <row r="8016" spans="6:6" x14ac:dyDescent="0.3">
      <c r="F8016" s="193"/>
    </row>
    <row r="8017" spans="6:6" x14ac:dyDescent="0.3">
      <c r="F8017" s="193"/>
    </row>
    <row r="8018" spans="6:6" x14ac:dyDescent="0.3">
      <c r="F8018" s="193"/>
    </row>
    <row r="8019" spans="6:6" x14ac:dyDescent="0.3">
      <c r="F8019" s="193"/>
    </row>
    <row r="8020" spans="6:6" x14ac:dyDescent="0.3">
      <c r="F8020" s="193"/>
    </row>
    <row r="8021" spans="6:6" x14ac:dyDescent="0.3">
      <c r="F8021" s="193"/>
    </row>
    <row r="8022" spans="6:6" x14ac:dyDescent="0.3">
      <c r="F8022" s="193"/>
    </row>
    <row r="8023" spans="6:6" x14ac:dyDescent="0.3">
      <c r="F8023" s="193"/>
    </row>
    <row r="8024" spans="6:6" x14ac:dyDescent="0.3">
      <c r="F8024" s="193"/>
    </row>
    <row r="8025" spans="6:6" x14ac:dyDescent="0.3">
      <c r="F8025" s="193"/>
    </row>
    <row r="8026" spans="6:6" x14ac:dyDescent="0.3">
      <c r="F8026" s="193"/>
    </row>
    <row r="8027" spans="6:6" x14ac:dyDescent="0.3">
      <c r="F8027" s="193"/>
    </row>
    <row r="8028" spans="6:6" x14ac:dyDescent="0.3">
      <c r="F8028" s="193"/>
    </row>
    <row r="8029" spans="6:6" x14ac:dyDescent="0.3">
      <c r="F8029" s="193"/>
    </row>
    <row r="8030" spans="6:6" x14ac:dyDescent="0.3">
      <c r="F8030" s="193"/>
    </row>
    <row r="8031" spans="6:6" x14ac:dyDescent="0.3">
      <c r="F8031" s="193"/>
    </row>
    <row r="8032" spans="6:6" x14ac:dyDescent="0.3">
      <c r="F8032" s="193"/>
    </row>
    <row r="8033" spans="6:6" x14ac:dyDescent="0.3">
      <c r="F8033" s="193"/>
    </row>
    <row r="8034" spans="6:6" x14ac:dyDescent="0.3">
      <c r="F8034" s="193"/>
    </row>
    <row r="8035" spans="6:6" x14ac:dyDescent="0.3">
      <c r="F8035" s="193"/>
    </row>
    <row r="8036" spans="6:6" x14ac:dyDescent="0.3">
      <c r="F8036" s="193"/>
    </row>
    <row r="8037" spans="6:6" x14ac:dyDescent="0.3">
      <c r="F8037" s="193"/>
    </row>
    <row r="8038" spans="6:6" x14ac:dyDescent="0.3">
      <c r="F8038" s="193"/>
    </row>
    <row r="8039" spans="6:6" x14ac:dyDescent="0.3">
      <c r="F8039" s="193"/>
    </row>
    <row r="8040" spans="6:6" x14ac:dyDescent="0.3">
      <c r="F8040" s="193"/>
    </row>
    <row r="8041" spans="6:6" x14ac:dyDescent="0.3">
      <c r="F8041" s="193"/>
    </row>
    <row r="8042" spans="6:6" x14ac:dyDescent="0.3">
      <c r="F8042" s="193"/>
    </row>
    <row r="8043" spans="6:6" x14ac:dyDescent="0.3">
      <c r="F8043" s="193"/>
    </row>
    <row r="8044" spans="6:6" x14ac:dyDescent="0.3">
      <c r="F8044" s="193"/>
    </row>
    <row r="8045" spans="6:6" x14ac:dyDescent="0.3">
      <c r="F8045" s="193"/>
    </row>
    <row r="8046" spans="6:6" x14ac:dyDescent="0.3">
      <c r="F8046" s="193"/>
    </row>
    <row r="8047" spans="6:6" x14ac:dyDescent="0.3">
      <c r="F8047" s="193"/>
    </row>
    <row r="8048" spans="6:6" x14ac:dyDescent="0.3">
      <c r="F8048" s="193"/>
    </row>
    <row r="8049" spans="6:6" x14ac:dyDescent="0.3">
      <c r="F8049" s="193"/>
    </row>
    <row r="8050" spans="6:6" x14ac:dyDescent="0.3">
      <c r="F8050" s="193"/>
    </row>
    <row r="8051" spans="6:6" x14ac:dyDescent="0.3">
      <c r="F8051" s="193"/>
    </row>
    <row r="8052" spans="6:6" x14ac:dyDescent="0.3">
      <c r="F8052" s="193"/>
    </row>
    <row r="8053" spans="6:6" x14ac:dyDescent="0.3">
      <c r="F8053" s="193"/>
    </row>
    <row r="8054" spans="6:6" x14ac:dyDescent="0.3">
      <c r="F8054" s="193"/>
    </row>
    <row r="8055" spans="6:6" x14ac:dyDescent="0.3">
      <c r="F8055" s="193"/>
    </row>
    <row r="8056" spans="6:6" x14ac:dyDescent="0.3">
      <c r="F8056" s="193"/>
    </row>
    <row r="8057" spans="6:6" x14ac:dyDescent="0.3">
      <c r="F8057" s="193"/>
    </row>
    <row r="8058" spans="6:6" x14ac:dyDescent="0.3">
      <c r="F8058" s="193"/>
    </row>
    <row r="8059" spans="6:6" x14ac:dyDescent="0.3">
      <c r="F8059" s="193"/>
    </row>
    <row r="8060" spans="6:6" x14ac:dyDescent="0.3">
      <c r="F8060" s="193"/>
    </row>
    <row r="8061" spans="6:6" x14ac:dyDescent="0.3">
      <c r="F8061" s="193"/>
    </row>
    <row r="8062" spans="6:6" x14ac:dyDescent="0.3">
      <c r="F8062" s="193"/>
    </row>
    <row r="8063" spans="6:6" x14ac:dyDescent="0.3">
      <c r="F8063" s="193"/>
    </row>
    <row r="8064" spans="6:6" x14ac:dyDescent="0.3">
      <c r="F8064" s="193"/>
    </row>
    <row r="8065" spans="6:6" x14ac:dyDescent="0.3">
      <c r="F8065" s="193"/>
    </row>
    <row r="8066" spans="6:6" x14ac:dyDescent="0.3">
      <c r="F8066" s="193"/>
    </row>
    <row r="8067" spans="6:6" x14ac:dyDescent="0.3">
      <c r="F8067" s="193"/>
    </row>
    <row r="8068" spans="6:6" x14ac:dyDescent="0.3">
      <c r="F8068" s="193"/>
    </row>
    <row r="8069" spans="6:6" x14ac:dyDescent="0.3">
      <c r="F8069" s="193"/>
    </row>
    <row r="8070" spans="6:6" x14ac:dyDescent="0.3">
      <c r="F8070" s="193"/>
    </row>
    <row r="8071" spans="6:6" x14ac:dyDescent="0.3">
      <c r="F8071" s="193"/>
    </row>
    <row r="8072" spans="6:6" x14ac:dyDescent="0.3">
      <c r="F8072" s="193"/>
    </row>
    <row r="8073" spans="6:6" x14ac:dyDescent="0.3">
      <c r="F8073" s="193"/>
    </row>
    <row r="8074" spans="6:6" x14ac:dyDescent="0.3">
      <c r="F8074" s="193"/>
    </row>
    <row r="8075" spans="6:6" x14ac:dyDescent="0.3">
      <c r="F8075" s="193"/>
    </row>
    <row r="8076" spans="6:6" x14ac:dyDescent="0.3">
      <c r="F8076" s="193"/>
    </row>
    <row r="8077" spans="6:6" x14ac:dyDescent="0.3">
      <c r="F8077" s="193"/>
    </row>
    <row r="8078" spans="6:6" x14ac:dyDescent="0.3">
      <c r="F8078" s="193"/>
    </row>
    <row r="8079" spans="6:6" x14ac:dyDescent="0.3">
      <c r="F8079" s="193"/>
    </row>
    <row r="8080" spans="6:6" x14ac:dyDescent="0.3">
      <c r="F8080" s="193"/>
    </row>
    <row r="8081" spans="6:6" x14ac:dyDescent="0.3">
      <c r="F8081" s="193"/>
    </row>
    <row r="8082" spans="6:6" x14ac:dyDescent="0.3">
      <c r="F8082" s="193"/>
    </row>
    <row r="8083" spans="6:6" x14ac:dyDescent="0.3">
      <c r="F8083" s="193"/>
    </row>
    <row r="8084" spans="6:6" x14ac:dyDescent="0.3">
      <c r="F8084" s="193"/>
    </row>
    <row r="8085" spans="6:6" x14ac:dyDescent="0.3">
      <c r="F8085" s="193"/>
    </row>
    <row r="8086" spans="6:6" x14ac:dyDescent="0.3">
      <c r="F8086" s="193"/>
    </row>
    <row r="8087" spans="6:6" x14ac:dyDescent="0.3">
      <c r="F8087" s="193"/>
    </row>
    <row r="8088" spans="6:6" x14ac:dyDescent="0.3">
      <c r="F8088" s="193"/>
    </row>
    <row r="8089" spans="6:6" x14ac:dyDescent="0.3">
      <c r="F8089" s="193"/>
    </row>
    <row r="8090" spans="6:6" x14ac:dyDescent="0.3">
      <c r="F8090" s="193"/>
    </row>
    <row r="8091" spans="6:6" x14ac:dyDescent="0.3">
      <c r="F8091" s="193"/>
    </row>
    <row r="8092" spans="6:6" x14ac:dyDescent="0.3">
      <c r="F8092" s="193"/>
    </row>
    <row r="8093" spans="6:6" x14ac:dyDescent="0.3">
      <c r="F8093" s="193"/>
    </row>
    <row r="8094" spans="6:6" x14ac:dyDescent="0.3">
      <c r="F8094" s="193"/>
    </row>
    <row r="8095" spans="6:6" x14ac:dyDescent="0.3">
      <c r="F8095" s="193"/>
    </row>
    <row r="8096" spans="6:6" x14ac:dyDescent="0.3">
      <c r="F8096" s="193"/>
    </row>
    <row r="8097" spans="6:6" x14ac:dyDescent="0.3">
      <c r="F8097" s="193"/>
    </row>
    <row r="8098" spans="6:6" x14ac:dyDescent="0.3">
      <c r="F8098" s="193"/>
    </row>
    <row r="8099" spans="6:6" x14ac:dyDescent="0.3">
      <c r="F8099" s="193"/>
    </row>
    <row r="8100" spans="6:6" x14ac:dyDescent="0.3">
      <c r="F8100" s="193"/>
    </row>
    <row r="8101" spans="6:6" x14ac:dyDescent="0.3">
      <c r="F8101" s="193"/>
    </row>
    <row r="8102" spans="6:6" x14ac:dyDescent="0.3">
      <c r="F8102" s="193"/>
    </row>
    <row r="8103" spans="6:6" x14ac:dyDescent="0.3">
      <c r="F8103" s="193"/>
    </row>
    <row r="8104" spans="6:6" x14ac:dyDescent="0.3">
      <c r="F8104" s="193"/>
    </row>
    <row r="8105" spans="6:6" x14ac:dyDescent="0.3">
      <c r="F8105" s="193"/>
    </row>
    <row r="8106" spans="6:6" x14ac:dyDescent="0.3">
      <c r="F8106" s="193"/>
    </row>
    <row r="8107" spans="6:6" x14ac:dyDescent="0.3">
      <c r="F8107" s="193"/>
    </row>
    <row r="8108" spans="6:6" x14ac:dyDescent="0.3">
      <c r="F8108" s="193"/>
    </row>
    <row r="8109" spans="6:6" x14ac:dyDescent="0.3">
      <c r="F8109" s="193"/>
    </row>
    <row r="8110" spans="6:6" x14ac:dyDescent="0.3">
      <c r="F8110" s="193"/>
    </row>
    <row r="8111" spans="6:6" x14ac:dyDescent="0.3">
      <c r="F8111" s="193"/>
    </row>
    <row r="8112" spans="6:6" x14ac:dyDescent="0.3">
      <c r="F8112" s="193"/>
    </row>
    <row r="8113" spans="6:6" x14ac:dyDescent="0.3">
      <c r="F8113" s="193"/>
    </row>
    <row r="8114" spans="6:6" x14ac:dyDescent="0.3">
      <c r="F8114" s="193"/>
    </row>
    <row r="8115" spans="6:6" x14ac:dyDescent="0.3">
      <c r="F8115" s="193"/>
    </row>
    <row r="8116" spans="6:6" x14ac:dyDescent="0.3">
      <c r="F8116" s="193"/>
    </row>
    <row r="8117" spans="6:6" x14ac:dyDescent="0.3">
      <c r="F8117" s="193"/>
    </row>
    <row r="8118" spans="6:6" x14ac:dyDescent="0.3">
      <c r="F8118" s="193"/>
    </row>
    <row r="8119" spans="6:6" x14ac:dyDescent="0.3">
      <c r="F8119" s="193"/>
    </row>
    <row r="8120" spans="6:6" x14ac:dyDescent="0.3">
      <c r="F8120" s="193"/>
    </row>
    <row r="8121" spans="6:6" x14ac:dyDescent="0.3">
      <c r="F8121" s="193"/>
    </row>
    <row r="8122" spans="6:6" x14ac:dyDescent="0.3">
      <c r="F8122" s="193"/>
    </row>
    <row r="8123" spans="6:6" x14ac:dyDescent="0.3">
      <c r="F8123" s="193"/>
    </row>
    <row r="8124" spans="6:6" x14ac:dyDescent="0.3">
      <c r="F8124" s="193"/>
    </row>
    <row r="8125" spans="6:6" x14ac:dyDescent="0.3">
      <c r="F8125" s="193"/>
    </row>
    <row r="8126" spans="6:6" x14ac:dyDescent="0.3">
      <c r="F8126" s="193"/>
    </row>
    <row r="8127" spans="6:6" x14ac:dyDescent="0.3">
      <c r="F8127" s="193"/>
    </row>
    <row r="8128" spans="6:6" x14ac:dyDescent="0.3">
      <c r="F8128" s="193"/>
    </row>
    <row r="8129" spans="6:6" x14ac:dyDescent="0.3">
      <c r="F8129" s="193"/>
    </row>
    <row r="8130" spans="6:6" x14ac:dyDescent="0.3">
      <c r="F8130" s="193"/>
    </row>
    <row r="8131" spans="6:6" x14ac:dyDescent="0.3">
      <c r="F8131" s="193"/>
    </row>
    <row r="8132" spans="6:6" x14ac:dyDescent="0.3">
      <c r="F8132" s="193"/>
    </row>
    <row r="8133" spans="6:6" x14ac:dyDescent="0.3">
      <c r="F8133" s="193"/>
    </row>
    <row r="8134" spans="6:6" x14ac:dyDescent="0.3">
      <c r="F8134" s="193"/>
    </row>
    <row r="8135" spans="6:6" x14ac:dyDescent="0.3">
      <c r="F8135" s="193"/>
    </row>
    <row r="8136" spans="6:6" x14ac:dyDescent="0.3">
      <c r="F8136" s="193"/>
    </row>
    <row r="8137" spans="6:6" x14ac:dyDescent="0.3">
      <c r="F8137" s="193"/>
    </row>
    <row r="8138" spans="6:6" x14ac:dyDescent="0.3">
      <c r="F8138" s="193"/>
    </row>
    <row r="8139" spans="6:6" x14ac:dyDescent="0.3">
      <c r="F8139" s="193"/>
    </row>
    <row r="8140" spans="6:6" x14ac:dyDescent="0.3">
      <c r="F8140" s="193"/>
    </row>
    <row r="8141" spans="6:6" x14ac:dyDescent="0.3">
      <c r="F8141" s="193"/>
    </row>
    <row r="8142" spans="6:6" x14ac:dyDescent="0.3">
      <c r="F8142" s="193"/>
    </row>
    <row r="8143" spans="6:6" x14ac:dyDescent="0.3">
      <c r="F8143" s="193"/>
    </row>
    <row r="8144" spans="6:6" x14ac:dyDescent="0.3">
      <c r="F8144" s="193"/>
    </row>
    <row r="8145" spans="6:6" x14ac:dyDescent="0.3">
      <c r="F8145" s="193"/>
    </row>
    <row r="8146" spans="6:6" x14ac:dyDescent="0.3">
      <c r="F8146" s="193"/>
    </row>
    <row r="8147" spans="6:6" x14ac:dyDescent="0.3">
      <c r="F8147" s="193"/>
    </row>
    <row r="8148" spans="6:6" x14ac:dyDescent="0.3">
      <c r="F8148" s="193"/>
    </row>
    <row r="8149" spans="6:6" x14ac:dyDescent="0.3">
      <c r="F8149" s="193"/>
    </row>
    <row r="8150" spans="6:6" x14ac:dyDescent="0.3">
      <c r="F8150" s="193"/>
    </row>
    <row r="8151" spans="6:6" x14ac:dyDescent="0.3">
      <c r="F8151" s="193"/>
    </row>
    <row r="8152" spans="6:6" x14ac:dyDescent="0.3">
      <c r="F8152" s="193"/>
    </row>
    <row r="8153" spans="6:6" x14ac:dyDescent="0.3">
      <c r="F8153" s="193"/>
    </row>
    <row r="8154" spans="6:6" x14ac:dyDescent="0.3">
      <c r="F8154" s="193"/>
    </row>
    <row r="8155" spans="6:6" x14ac:dyDescent="0.3">
      <c r="F8155" s="193"/>
    </row>
    <row r="8156" spans="6:6" x14ac:dyDescent="0.3">
      <c r="F8156" s="193"/>
    </row>
    <row r="8157" spans="6:6" x14ac:dyDescent="0.3">
      <c r="F8157" s="193"/>
    </row>
    <row r="8158" spans="6:6" x14ac:dyDescent="0.3">
      <c r="F8158" s="193"/>
    </row>
    <row r="8159" spans="6:6" x14ac:dyDescent="0.3">
      <c r="F8159" s="193"/>
    </row>
    <row r="8160" spans="6:6" x14ac:dyDescent="0.3">
      <c r="F8160" s="193"/>
    </row>
    <row r="8161" spans="6:6" x14ac:dyDescent="0.3">
      <c r="F8161" s="193"/>
    </row>
    <row r="8162" spans="6:6" x14ac:dyDescent="0.3">
      <c r="F8162" s="193"/>
    </row>
    <row r="8163" spans="6:6" x14ac:dyDescent="0.3">
      <c r="F8163" s="193"/>
    </row>
    <row r="8164" spans="6:6" x14ac:dyDescent="0.3">
      <c r="F8164" s="193"/>
    </row>
    <row r="8165" spans="6:6" x14ac:dyDescent="0.3">
      <c r="F8165" s="193"/>
    </row>
    <row r="8166" spans="6:6" x14ac:dyDescent="0.3">
      <c r="F8166" s="193"/>
    </row>
    <row r="8167" spans="6:6" x14ac:dyDescent="0.3">
      <c r="F8167" s="193"/>
    </row>
    <row r="8168" spans="6:6" x14ac:dyDescent="0.3">
      <c r="F8168" s="193"/>
    </row>
    <row r="8169" spans="6:6" x14ac:dyDescent="0.3">
      <c r="F8169" s="193"/>
    </row>
    <row r="8170" spans="6:6" x14ac:dyDescent="0.3">
      <c r="F8170" s="193"/>
    </row>
    <row r="8171" spans="6:6" x14ac:dyDescent="0.3">
      <c r="F8171" s="193"/>
    </row>
    <row r="8172" spans="6:6" x14ac:dyDescent="0.3">
      <c r="F8172" s="193"/>
    </row>
    <row r="8173" spans="6:6" x14ac:dyDescent="0.3">
      <c r="F8173" s="193"/>
    </row>
    <row r="8174" spans="6:6" x14ac:dyDescent="0.3">
      <c r="F8174" s="193"/>
    </row>
    <row r="8175" spans="6:6" x14ac:dyDescent="0.3">
      <c r="F8175" s="193"/>
    </row>
    <row r="8176" spans="6:6" x14ac:dyDescent="0.3">
      <c r="F8176" s="193"/>
    </row>
    <row r="8177" spans="6:6" x14ac:dyDescent="0.3">
      <c r="F8177" s="193"/>
    </row>
    <row r="8178" spans="6:6" x14ac:dyDescent="0.3">
      <c r="F8178" s="193"/>
    </row>
    <row r="8179" spans="6:6" x14ac:dyDescent="0.3">
      <c r="F8179" s="193"/>
    </row>
    <row r="8180" spans="6:6" x14ac:dyDescent="0.3">
      <c r="F8180" s="193"/>
    </row>
    <row r="8181" spans="6:6" x14ac:dyDescent="0.3">
      <c r="F8181" s="193"/>
    </row>
    <row r="8182" spans="6:6" x14ac:dyDescent="0.3">
      <c r="F8182" s="193"/>
    </row>
    <row r="8183" spans="6:6" x14ac:dyDescent="0.3">
      <c r="F8183" s="193"/>
    </row>
    <row r="8184" spans="6:6" x14ac:dyDescent="0.3">
      <c r="F8184" s="193"/>
    </row>
    <row r="8185" spans="6:6" x14ac:dyDescent="0.3">
      <c r="F8185" s="193"/>
    </row>
    <row r="8186" spans="6:6" x14ac:dyDescent="0.3">
      <c r="F8186" s="193"/>
    </row>
    <row r="8187" spans="6:6" x14ac:dyDescent="0.3">
      <c r="F8187" s="193"/>
    </row>
    <row r="8188" spans="6:6" x14ac:dyDescent="0.3">
      <c r="F8188" s="193"/>
    </row>
    <row r="8189" spans="6:6" x14ac:dyDescent="0.3">
      <c r="F8189" s="193"/>
    </row>
    <row r="8190" spans="6:6" x14ac:dyDescent="0.3">
      <c r="F8190" s="193"/>
    </row>
    <row r="8191" spans="6:6" x14ac:dyDescent="0.3">
      <c r="F8191" s="193"/>
    </row>
    <row r="8192" spans="6:6" x14ac:dyDescent="0.3">
      <c r="F8192" s="193"/>
    </row>
    <row r="8193" spans="6:6" x14ac:dyDescent="0.3">
      <c r="F8193" s="193"/>
    </row>
    <row r="8194" spans="6:6" x14ac:dyDescent="0.3">
      <c r="F8194" s="193"/>
    </row>
    <row r="8195" spans="6:6" x14ac:dyDescent="0.3">
      <c r="F8195" s="193"/>
    </row>
    <row r="8196" spans="6:6" x14ac:dyDescent="0.3">
      <c r="F8196" s="193"/>
    </row>
    <row r="8197" spans="6:6" x14ac:dyDescent="0.3">
      <c r="F8197" s="193"/>
    </row>
    <row r="8198" spans="6:6" x14ac:dyDescent="0.3">
      <c r="F8198" s="193"/>
    </row>
    <row r="8199" spans="6:6" x14ac:dyDescent="0.3">
      <c r="F8199" s="193"/>
    </row>
    <row r="8200" spans="6:6" x14ac:dyDescent="0.3">
      <c r="F8200" s="193"/>
    </row>
    <row r="8201" spans="6:6" x14ac:dyDescent="0.3">
      <c r="F8201" s="193"/>
    </row>
    <row r="8202" spans="6:6" x14ac:dyDescent="0.3">
      <c r="F8202" s="193"/>
    </row>
    <row r="8203" spans="6:6" x14ac:dyDescent="0.3">
      <c r="F8203" s="193"/>
    </row>
    <row r="8204" spans="6:6" x14ac:dyDescent="0.3">
      <c r="F8204" s="193"/>
    </row>
    <row r="8205" spans="6:6" x14ac:dyDescent="0.3">
      <c r="F8205" s="193"/>
    </row>
    <row r="8206" spans="6:6" x14ac:dyDescent="0.3">
      <c r="F8206" s="193"/>
    </row>
    <row r="8207" spans="6:6" x14ac:dyDescent="0.3">
      <c r="F8207" s="193"/>
    </row>
    <row r="8208" spans="6:6" x14ac:dyDescent="0.3">
      <c r="F8208" s="193"/>
    </row>
    <row r="8209" spans="6:6" x14ac:dyDescent="0.3">
      <c r="F8209" s="193"/>
    </row>
    <row r="8210" spans="6:6" x14ac:dyDescent="0.3">
      <c r="F8210" s="193"/>
    </row>
    <row r="8211" spans="6:6" x14ac:dyDescent="0.3">
      <c r="F8211" s="193"/>
    </row>
    <row r="8212" spans="6:6" x14ac:dyDescent="0.3">
      <c r="F8212" s="193"/>
    </row>
    <row r="8213" spans="6:6" x14ac:dyDescent="0.3">
      <c r="F8213" s="193"/>
    </row>
    <row r="8214" spans="6:6" x14ac:dyDescent="0.3">
      <c r="F8214" s="193"/>
    </row>
    <row r="8215" spans="6:6" x14ac:dyDescent="0.3">
      <c r="F8215" s="193"/>
    </row>
    <row r="8216" spans="6:6" x14ac:dyDescent="0.3">
      <c r="F8216" s="193"/>
    </row>
    <row r="8217" spans="6:6" x14ac:dyDescent="0.3">
      <c r="F8217" s="193"/>
    </row>
    <row r="8218" spans="6:6" x14ac:dyDescent="0.3">
      <c r="F8218" s="193"/>
    </row>
    <row r="8219" spans="6:6" x14ac:dyDescent="0.3">
      <c r="F8219" s="193"/>
    </row>
    <row r="8220" spans="6:6" x14ac:dyDescent="0.3">
      <c r="F8220" s="193"/>
    </row>
    <row r="8221" spans="6:6" x14ac:dyDescent="0.3">
      <c r="F8221" s="193"/>
    </row>
    <row r="8222" spans="6:6" x14ac:dyDescent="0.3">
      <c r="F8222" s="193"/>
    </row>
    <row r="8223" spans="6:6" x14ac:dyDescent="0.3">
      <c r="F8223" s="193"/>
    </row>
    <row r="8224" spans="6:6" x14ac:dyDescent="0.3">
      <c r="F8224" s="193"/>
    </row>
    <row r="8225" spans="6:6" x14ac:dyDescent="0.3">
      <c r="F8225" s="193"/>
    </row>
    <row r="8226" spans="6:6" x14ac:dyDescent="0.3">
      <c r="F8226" s="193"/>
    </row>
    <row r="8227" spans="6:6" x14ac:dyDescent="0.3">
      <c r="F8227" s="193"/>
    </row>
    <row r="8228" spans="6:6" x14ac:dyDescent="0.3">
      <c r="F8228" s="193"/>
    </row>
    <row r="8229" spans="6:6" x14ac:dyDescent="0.3">
      <c r="F8229" s="193"/>
    </row>
    <row r="8230" spans="6:6" x14ac:dyDescent="0.3">
      <c r="F8230" s="193"/>
    </row>
    <row r="8231" spans="6:6" x14ac:dyDescent="0.3">
      <c r="F8231" s="193"/>
    </row>
    <row r="8232" spans="6:6" x14ac:dyDescent="0.3">
      <c r="F8232" s="193"/>
    </row>
    <row r="8233" spans="6:6" x14ac:dyDescent="0.3">
      <c r="F8233" s="193"/>
    </row>
    <row r="8234" spans="6:6" x14ac:dyDescent="0.3">
      <c r="F8234" s="193"/>
    </row>
    <row r="8235" spans="6:6" x14ac:dyDescent="0.3">
      <c r="F8235" s="193"/>
    </row>
    <row r="8236" spans="6:6" x14ac:dyDescent="0.3">
      <c r="F8236" s="193"/>
    </row>
    <row r="8237" spans="6:6" x14ac:dyDescent="0.3">
      <c r="F8237" s="193"/>
    </row>
    <row r="8238" spans="6:6" x14ac:dyDescent="0.3">
      <c r="F8238" s="193"/>
    </row>
    <row r="8239" spans="6:6" x14ac:dyDescent="0.3">
      <c r="F8239" s="193"/>
    </row>
    <row r="8240" spans="6:6" x14ac:dyDescent="0.3">
      <c r="F8240" s="193"/>
    </row>
    <row r="8241" spans="6:6" x14ac:dyDescent="0.3">
      <c r="F8241" s="193"/>
    </row>
    <row r="8242" spans="6:6" x14ac:dyDescent="0.3">
      <c r="F8242" s="193"/>
    </row>
    <row r="8243" spans="6:6" x14ac:dyDescent="0.3">
      <c r="F8243" s="193"/>
    </row>
    <row r="8244" spans="6:6" x14ac:dyDescent="0.3">
      <c r="F8244" s="193"/>
    </row>
    <row r="8245" spans="6:6" x14ac:dyDescent="0.3">
      <c r="F8245" s="193"/>
    </row>
    <row r="8246" spans="6:6" x14ac:dyDescent="0.3">
      <c r="F8246" s="193"/>
    </row>
    <row r="8247" spans="6:6" x14ac:dyDescent="0.3">
      <c r="F8247" s="193"/>
    </row>
    <row r="8248" spans="6:6" x14ac:dyDescent="0.3">
      <c r="F8248" s="193"/>
    </row>
    <row r="8249" spans="6:6" x14ac:dyDescent="0.3">
      <c r="F8249" s="193"/>
    </row>
    <row r="8250" spans="6:6" x14ac:dyDescent="0.3">
      <c r="F8250" s="193"/>
    </row>
    <row r="8251" spans="6:6" x14ac:dyDescent="0.3">
      <c r="F8251" s="193"/>
    </row>
    <row r="8252" spans="6:6" x14ac:dyDescent="0.3">
      <c r="F8252" s="193"/>
    </row>
    <row r="8253" spans="6:6" x14ac:dyDescent="0.3">
      <c r="F8253" s="193"/>
    </row>
    <row r="8254" spans="6:6" x14ac:dyDescent="0.3">
      <c r="F8254" s="193"/>
    </row>
    <row r="8255" spans="6:6" x14ac:dyDescent="0.3">
      <c r="F8255" s="193"/>
    </row>
    <row r="8256" spans="6:6" x14ac:dyDescent="0.3">
      <c r="F8256" s="193"/>
    </row>
    <row r="8257" spans="6:6" x14ac:dyDescent="0.3">
      <c r="F8257" s="193"/>
    </row>
    <row r="8258" spans="6:6" x14ac:dyDescent="0.3">
      <c r="F8258" s="193"/>
    </row>
    <row r="8259" spans="6:6" x14ac:dyDescent="0.3">
      <c r="F8259" s="193"/>
    </row>
    <row r="8260" spans="6:6" x14ac:dyDescent="0.3">
      <c r="F8260" s="193"/>
    </row>
    <row r="8261" spans="6:6" x14ac:dyDescent="0.3">
      <c r="F8261" s="193"/>
    </row>
    <row r="8262" spans="6:6" x14ac:dyDescent="0.3">
      <c r="F8262" s="193"/>
    </row>
    <row r="8263" spans="6:6" x14ac:dyDescent="0.3">
      <c r="F8263" s="193"/>
    </row>
    <row r="8264" spans="6:6" x14ac:dyDescent="0.3">
      <c r="F8264" s="193"/>
    </row>
    <row r="8265" spans="6:6" x14ac:dyDescent="0.3">
      <c r="F8265" s="193"/>
    </row>
    <row r="8266" spans="6:6" x14ac:dyDescent="0.3">
      <c r="F8266" s="193"/>
    </row>
    <row r="8267" spans="6:6" x14ac:dyDescent="0.3">
      <c r="F8267" s="193"/>
    </row>
    <row r="8268" spans="6:6" x14ac:dyDescent="0.3">
      <c r="F8268" s="193"/>
    </row>
    <row r="8269" spans="6:6" x14ac:dyDescent="0.3">
      <c r="F8269" s="193"/>
    </row>
    <row r="8270" spans="6:6" x14ac:dyDescent="0.3">
      <c r="F8270" s="193"/>
    </row>
    <row r="8271" spans="6:6" x14ac:dyDescent="0.3">
      <c r="F8271" s="193"/>
    </row>
    <row r="8272" spans="6:6" x14ac:dyDescent="0.3">
      <c r="F8272" s="193"/>
    </row>
    <row r="8273" spans="6:6" x14ac:dyDescent="0.3">
      <c r="F8273" s="193"/>
    </row>
    <row r="8274" spans="6:6" x14ac:dyDescent="0.3">
      <c r="F8274" s="193"/>
    </row>
    <row r="8275" spans="6:6" x14ac:dyDescent="0.3">
      <c r="F8275" s="193"/>
    </row>
    <row r="8276" spans="6:6" x14ac:dyDescent="0.3">
      <c r="F8276" s="193"/>
    </row>
    <row r="8277" spans="6:6" x14ac:dyDescent="0.3">
      <c r="F8277" s="193"/>
    </row>
    <row r="8278" spans="6:6" x14ac:dyDescent="0.3">
      <c r="F8278" s="193"/>
    </row>
    <row r="8279" spans="6:6" x14ac:dyDescent="0.3">
      <c r="F8279" s="193"/>
    </row>
    <row r="8280" spans="6:6" x14ac:dyDescent="0.3">
      <c r="F8280" s="193"/>
    </row>
    <row r="8281" spans="6:6" x14ac:dyDescent="0.3">
      <c r="F8281" s="193"/>
    </row>
    <row r="8282" spans="6:6" x14ac:dyDescent="0.3">
      <c r="F8282" s="193"/>
    </row>
    <row r="8283" spans="6:6" x14ac:dyDescent="0.3">
      <c r="F8283" s="193"/>
    </row>
    <row r="8284" spans="6:6" x14ac:dyDescent="0.3">
      <c r="F8284" s="193"/>
    </row>
    <row r="8285" spans="6:6" x14ac:dyDescent="0.3">
      <c r="F8285" s="193"/>
    </row>
    <row r="8286" spans="6:6" x14ac:dyDescent="0.3">
      <c r="F8286" s="193"/>
    </row>
    <row r="8287" spans="6:6" x14ac:dyDescent="0.3">
      <c r="F8287" s="193"/>
    </row>
    <row r="8288" spans="6:6" x14ac:dyDescent="0.3">
      <c r="F8288" s="193"/>
    </row>
    <row r="8289" spans="6:6" x14ac:dyDescent="0.3">
      <c r="F8289" s="193"/>
    </row>
    <row r="8290" spans="6:6" x14ac:dyDescent="0.3">
      <c r="F8290" s="193"/>
    </row>
    <row r="8291" spans="6:6" x14ac:dyDescent="0.3">
      <c r="F8291" s="193"/>
    </row>
    <row r="8292" spans="6:6" x14ac:dyDescent="0.3">
      <c r="F8292" s="193"/>
    </row>
    <row r="8293" spans="6:6" x14ac:dyDescent="0.3">
      <c r="F8293" s="193"/>
    </row>
    <row r="8294" spans="6:6" x14ac:dyDescent="0.3">
      <c r="F8294" s="193"/>
    </row>
    <row r="8295" spans="6:6" x14ac:dyDescent="0.3">
      <c r="F8295" s="193"/>
    </row>
    <row r="8296" spans="6:6" x14ac:dyDescent="0.3">
      <c r="F8296" s="193"/>
    </row>
    <row r="8297" spans="6:6" x14ac:dyDescent="0.3">
      <c r="F8297" s="193"/>
    </row>
    <row r="8298" spans="6:6" x14ac:dyDescent="0.3">
      <c r="F8298" s="193"/>
    </row>
    <row r="8299" spans="6:6" x14ac:dyDescent="0.3">
      <c r="F8299" s="193"/>
    </row>
    <row r="8300" spans="6:6" x14ac:dyDescent="0.3">
      <c r="F8300" s="193"/>
    </row>
    <row r="8301" spans="6:6" x14ac:dyDescent="0.3">
      <c r="F8301" s="193"/>
    </row>
    <row r="8302" spans="6:6" x14ac:dyDescent="0.3">
      <c r="F8302" s="193"/>
    </row>
    <row r="8303" spans="6:6" x14ac:dyDescent="0.3">
      <c r="F8303" s="193"/>
    </row>
    <row r="8304" spans="6:6" x14ac:dyDescent="0.3">
      <c r="F8304" s="193"/>
    </row>
    <row r="8305" spans="6:6" x14ac:dyDescent="0.3">
      <c r="F8305" s="193"/>
    </row>
    <row r="8306" spans="6:6" x14ac:dyDescent="0.3">
      <c r="F8306" s="193"/>
    </row>
    <row r="8307" spans="6:6" x14ac:dyDescent="0.3">
      <c r="F8307" s="193"/>
    </row>
    <row r="8308" spans="6:6" x14ac:dyDescent="0.3">
      <c r="F8308" s="193"/>
    </row>
    <row r="8309" spans="6:6" x14ac:dyDescent="0.3">
      <c r="F8309" s="193"/>
    </row>
    <row r="8310" spans="6:6" x14ac:dyDescent="0.3">
      <c r="F8310" s="193"/>
    </row>
    <row r="8311" spans="6:6" x14ac:dyDescent="0.3">
      <c r="F8311" s="193"/>
    </row>
    <row r="8312" spans="6:6" x14ac:dyDescent="0.3">
      <c r="F8312" s="193"/>
    </row>
    <row r="8313" spans="6:6" x14ac:dyDescent="0.3">
      <c r="F8313" s="193"/>
    </row>
    <row r="8314" spans="6:6" x14ac:dyDescent="0.3">
      <c r="F8314" s="193"/>
    </row>
    <row r="8315" spans="6:6" x14ac:dyDescent="0.3">
      <c r="F8315" s="193"/>
    </row>
    <row r="8316" spans="6:6" x14ac:dyDescent="0.3">
      <c r="F8316" s="193"/>
    </row>
    <row r="8317" spans="6:6" x14ac:dyDescent="0.3">
      <c r="F8317" s="193"/>
    </row>
    <row r="8318" spans="6:6" x14ac:dyDescent="0.3">
      <c r="F8318" s="193"/>
    </row>
    <row r="8319" spans="6:6" x14ac:dyDescent="0.3">
      <c r="F8319" s="193"/>
    </row>
    <row r="8320" spans="6:6" x14ac:dyDescent="0.3">
      <c r="F8320" s="193"/>
    </row>
    <row r="8321" spans="6:6" x14ac:dyDescent="0.3">
      <c r="F8321" s="193"/>
    </row>
    <row r="8322" spans="6:6" x14ac:dyDescent="0.3">
      <c r="F8322" s="193"/>
    </row>
    <row r="8323" spans="6:6" x14ac:dyDescent="0.3">
      <c r="F8323" s="193"/>
    </row>
    <row r="8324" spans="6:6" x14ac:dyDescent="0.3">
      <c r="F8324" s="193"/>
    </row>
    <row r="8325" spans="6:6" x14ac:dyDescent="0.3">
      <c r="F8325" s="193"/>
    </row>
    <row r="8326" spans="6:6" x14ac:dyDescent="0.3">
      <c r="F8326" s="193"/>
    </row>
    <row r="8327" spans="6:6" x14ac:dyDescent="0.3">
      <c r="F8327" s="193"/>
    </row>
    <row r="8328" spans="6:6" x14ac:dyDescent="0.3">
      <c r="F8328" s="193"/>
    </row>
    <row r="8329" spans="6:6" x14ac:dyDescent="0.3">
      <c r="F8329" s="193"/>
    </row>
    <row r="8330" spans="6:6" x14ac:dyDescent="0.3">
      <c r="F8330" s="193"/>
    </row>
    <row r="8331" spans="6:6" x14ac:dyDescent="0.3">
      <c r="F8331" s="193"/>
    </row>
    <row r="8332" spans="6:6" x14ac:dyDescent="0.3">
      <c r="F8332" s="193"/>
    </row>
    <row r="8333" spans="6:6" x14ac:dyDescent="0.3">
      <c r="F8333" s="193"/>
    </row>
    <row r="8334" spans="6:6" x14ac:dyDescent="0.3">
      <c r="F8334" s="193"/>
    </row>
    <row r="8335" spans="6:6" x14ac:dyDescent="0.3">
      <c r="F8335" s="193"/>
    </row>
    <row r="8336" spans="6:6" x14ac:dyDescent="0.3">
      <c r="F8336" s="193"/>
    </row>
    <row r="8337" spans="6:6" x14ac:dyDescent="0.3">
      <c r="F8337" s="193"/>
    </row>
    <row r="8338" spans="6:6" x14ac:dyDescent="0.3">
      <c r="F8338" s="193"/>
    </row>
    <row r="8339" spans="6:6" x14ac:dyDescent="0.3">
      <c r="F8339" s="193"/>
    </row>
    <row r="8340" spans="6:6" x14ac:dyDescent="0.3">
      <c r="F8340" s="193"/>
    </row>
    <row r="8341" spans="6:6" x14ac:dyDescent="0.3">
      <c r="F8341" s="193"/>
    </row>
    <row r="8342" spans="6:6" x14ac:dyDescent="0.3">
      <c r="F8342" s="193"/>
    </row>
    <row r="8343" spans="6:6" x14ac:dyDescent="0.3">
      <c r="F8343" s="193"/>
    </row>
    <row r="8344" spans="6:6" x14ac:dyDescent="0.3">
      <c r="F8344" s="193"/>
    </row>
    <row r="8345" spans="6:6" x14ac:dyDescent="0.3">
      <c r="F8345" s="193"/>
    </row>
    <row r="8346" spans="6:6" x14ac:dyDescent="0.3">
      <c r="F8346" s="193"/>
    </row>
    <row r="8347" spans="6:6" x14ac:dyDescent="0.3">
      <c r="F8347" s="193"/>
    </row>
    <row r="8348" spans="6:6" x14ac:dyDescent="0.3">
      <c r="F8348" s="193"/>
    </row>
    <row r="8349" spans="6:6" x14ac:dyDescent="0.3">
      <c r="F8349" s="193"/>
    </row>
    <row r="8350" spans="6:6" x14ac:dyDescent="0.3">
      <c r="F8350" s="193"/>
    </row>
    <row r="8351" spans="6:6" x14ac:dyDescent="0.3">
      <c r="F8351" s="193"/>
    </row>
    <row r="8352" spans="6:6" x14ac:dyDescent="0.3">
      <c r="F8352" s="193"/>
    </row>
    <row r="8353" spans="6:6" x14ac:dyDescent="0.3">
      <c r="F8353" s="193"/>
    </row>
    <row r="8354" spans="6:6" x14ac:dyDescent="0.3">
      <c r="F8354" s="193"/>
    </row>
    <row r="8355" spans="6:6" x14ac:dyDescent="0.3">
      <c r="F8355" s="193"/>
    </row>
    <row r="8356" spans="6:6" x14ac:dyDescent="0.3">
      <c r="F8356" s="193"/>
    </row>
    <row r="8357" spans="6:6" x14ac:dyDescent="0.3">
      <c r="F8357" s="193"/>
    </row>
    <row r="8358" spans="6:6" x14ac:dyDescent="0.3">
      <c r="F8358" s="193"/>
    </row>
    <row r="8359" spans="6:6" x14ac:dyDescent="0.3">
      <c r="F8359" s="193"/>
    </row>
    <row r="8360" spans="6:6" x14ac:dyDescent="0.3">
      <c r="F8360" s="193"/>
    </row>
    <row r="8361" spans="6:6" x14ac:dyDescent="0.3">
      <c r="F8361" s="193"/>
    </row>
    <row r="8362" spans="6:6" x14ac:dyDescent="0.3">
      <c r="F8362" s="193"/>
    </row>
    <row r="8363" spans="6:6" x14ac:dyDescent="0.3">
      <c r="F8363" s="193"/>
    </row>
    <row r="8364" spans="6:6" x14ac:dyDescent="0.3">
      <c r="F8364" s="193"/>
    </row>
    <row r="8365" spans="6:6" x14ac:dyDescent="0.3">
      <c r="F8365" s="193"/>
    </row>
    <row r="8366" spans="6:6" x14ac:dyDescent="0.3">
      <c r="F8366" s="193"/>
    </row>
    <row r="8367" spans="6:6" x14ac:dyDescent="0.3">
      <c r="F8367" s="193"/>
    </row>
    <row r="8368" spans="6:6" x14ac:dyDescent="0.3">
      <c r="F8368" s="193"/>
    </row>
    <row r="8369" spans="6:6" x14ac:dyDescent="0.3">
      <c r="F8369" s="193"/>
    </row>
    <row r="8370" spans="6:6" x14ac:dyDescent="0.3">
      <c r="F8370" s="193"/>
    </row>
    <row r="8371" spans="6:6" x14ac:dyDescent="0.3">
      <c r="F8371" s="193"/>
    </row>
    <row r="8372" spans="6:6" x14ac:dyDescent="0.3">
      <c r="F8372" s="193"/>
    </row>
    <row r="8373" spans="6:6" x14ac:dyDescent="0.3">
      <c r="F8373" s="193"/>
    </row>
    <row r="8374" spans="6:6" x14ac:dyDescent="0.3">
      <c r="F8374" s="193"/>
    </row>
    <row r="8375" spans="6:6" x14ac:dyDescent="0.3">
      <c r="F8375" s="193"/>
    </row>
    <row r="8376" spans="6:6" x14ac:dyDescent="0.3">
      <c r="F8376" s="193"/>
    </row>
    <row r="8377" spans="6:6" x14ac:dyDescent="0.3">
      <c r="F8377" s="193"/>
    </row>
    <row r="8378" spans="6:6" x14ac:dyDescent="0.3">
      <c r="F8378" s="193"/>
    </row>
    <row r="8379" spans="6:6" x14ac:dyDescent="0.3">
      <c r="F8379" s="193"/>
    </row>
    <row r="8380" spans="6:6" x14ac:dyDescent="0.3">
      <c r="F8380" s="193"/>
    </row>
    <row r="8381" spans="6:6" x14ac:dyDescent="0.3">
      <c r="F8381" s="193"/>
    </row>
    <row r="8382" spans="6:6" x14ac:dyDescent="0.3">
      <c r="F8382" s="193"/>
    </row>
    <row r="8383" spans="6:6" x14ac:dyDescent="0.3">
      <c r="F8383" s="193"/>
    </row>
    <row r="8384" spans="6:6" x14ac:dyDescent="0.3">
      <c r="F8384" s="193"/>
    </row>
    <row r="8385" spans="6:6" x14ac:dyDescent="0.3">
      <c r="F8385" s="193"/>
    </row>
    <row r="8386" spans="6:6" x14ac:dyDescent="0.3">
      <c r="F8386" s="193"/>
    </row>
    <row r="8387" spans="6:6" x14ac:dyDescent="0.3">
      <c r="F8387" s="193"/>
    </row>
    <row r="8388" spans="6:6" x14ac:dyDescent="0.3">
      <c r="F8388" s="193"/>
    </row>
    <row r="8389" spans="6:6" x14ac:dyDescent="0.3">
      <c r="F8389" s="193"/>
    </row>
    <row r="8390" spans="6:6" x14ac:dyDescent="0.3">
      <c r="F8390" s="193"/>
    </row>
    <row r="8391" spans="6:6" x14ac:dyDescent="0.3">
      <c r="F8391" s="193"/>
    </row>
    <row r="8392" spans="6:6" x14ac:dyDescent="0.3">
      <c r="F8392" s="193"/>
    </row>
    <row r="8393" spans="6:6" x14ac:dyDescent="0.3">
      <c r="F8393" s="193"/>
    </row>
    <row r="8394" spans="6:6" x14ac:dyDescent="0.3">
      <c r="F8394" s="193"/>
    </row>
    <row r="8395" spans="6:6" x14ac:dyDescent="0.3">
      <c r="F8395" s="193"/>
    </row>
    <row r="8396" spans="6:6" x14ac:dyDescent="0.3">
      <c r="F8396" s="193"/>
    </row>
    <row r="8397" spans="6:6" x14ac:dyDescent="0.3">
      <c r="F8397" s="193"/>
    </row>
    <row r="8398" spans="6:6" x14ac:dyDescent="0.3">
      <c r="F8398" s="193"/>
    </row>
    <row r="8399" spans="6:6" x14ac:dyDescent="0.3">
      <c r="F8399" s="193"/>
    </row>
    <row r="8400" spans="6:6" x14ac:dyDescent="0.3">
      <c r="F8400" s="193"/>
    </row>
    <row r="8401" spans="6:6" x14ac:dyDescent="0.3">
      <c r="F8401" s="193"/>
    </row>
    <row r="8402" spans="6:6" x14ac:dyDescent="0.3">
      <c r="F8402" s="193"/>
    </row>
    <row r="8403" spans="6:6" x14ac:dyDescent="0.3">
      <c r="F8403" s="193"/>
    </row>
    <row r="8404" spans="6:6" x14ac:dyDescent="0.3">
      <c r="F8404" s="193"/>
    </row>
    <row r="8405" spans="6:6" x14ac:dyDescent="0.3">
      <c r="F8405" s="193"/>
    </row>
    <row r="8406" spans="6:6" x14ac:dyDescent="0.3">
      <c r="F8406" s="193"/>
    </row>
    <row r="8407" spans="6:6" x14ac:dyDescent="0.3">
      <c r="F8407" s="193"/>
    </row>
    <row r="8408" spans="6:6" x14ac:dyDescent="0.3">
      <c r="F8408" s="193"/>
    </row>
    <row r="8409" spans="6:6" x14ac:dyDescent="0.3">
      <c r="F8409" s="193"/>
    </row>
    <row r="8410" spans="6:6" x14ac:dyDescent="0.3">
      <c r="F8410" s="193"/>
    </row>
    <row r="8411" spans="6:6" x14ac:dyDescent="0.3">
      <c r="F8411" s="193"/>
    </row>
    <row r="8412" spans="6:6" x14ac:dyDescent="0.3">
      <c r="F8412" s="193"/>
    </row>
    <row r="8413" spans="6:6" x14ac:dyDescent="0.3">
      <c r="F8413" s="193"/>
    </row>
    <row r="8414" spans="6:6" x14ac:dyDescent="0.3">
      <c r="F8414" s="193"/>
    </row>
    <row r="8415" spans="6:6" x14ac:dyDescent="0.3">
      <c r="F8415" s="193"/>
    </row>
    <row r="8416" spans="6:6" x14ac:dyDescent="0.3">
      <c r="F8416" s="193"/>
    </row>
    <row r="8417" spans="6:6" x14ac:dyDescent="0.3">
      <c r="F8417" s="193"/>
    </row>
    <row r="8418" spans="6:6" x14ac:dyDescent="0.3">
      <c r="F8418" s="193"/>
    </row>
    <row r="8419" spans="6:6" x14ac:dyDescent="0.3">
      <c r="F8419" s="193"/>
    </row>
    <row r="8420" spans="6:6" x14ac:dyDescent="0.3">
      <c r="F8420" s="193"/>
    </row>
    <row r="8421" spans="6:6" x14ac:dyDescent="0.3">
      <c r="F8421" s="193"/>
    </row>
    <row r="8422" spans="6:6" x14ac:dyDescent="0.3">
      <c r="F8422" s="193"/>
    </row>
    <row r="8423" spans="6:6" x14ac:dyDescent="0.3">
      <c r="F8423" s="193"/>
    </row>
    <row r="8424" spans="6:6" x14ac:dyDescent="0.3">
      <c r="F8424" s="193"/>
    </row>
    <row r="8425" spans="6:6" x14ac:dyDescent="0.3">
      <c r="F8425" s="193"/>
    </row>
    <row r="8426" spans="6:6" x14ac:dyDescent="0.3">
      <c r="F8426" s="193"/>
    </row>
    <row r="8427" spans="6:6" x14ac:dyDescent="0.3">
      <c r="F8427" s="193"/>
    </row>
    <row r="8428" spans="6:6" x14ac:dyDescent="0.3">
      <c r="F8428" s="193"/>
    </row>
    <row r="8429" spans="6:6" x14ac:dyDescent="0.3">
      <c r="F8429" s="193"/>
    </row>
    <row r="8430" spans="6:6" x14ac:dyDescent="0.3">
      <c r="F8430" s="193"/>
    </row>
    <row r="8431" spans="6:6" x14ac:dyDescent="0.3">
      <c r="F8431" s="193"/>
    </row>
    <row r="8432" spans="6:6" x14ac:dyDescent="0.3">
      <c r="F8432" s="193"/>
    </row>
    <row r="8433" spans="6:6" x14ac:dyDescent="0.3">
      <c r="F8433" s="193"/>
    </row>
    <row r="8434" spans="6:6" x14ac:dyDescent="0.3">
      <c r="F8434" s="193"/>
    </row>
    <row r="8435" spans="6:6" x14ac:dyDescent="0.3">
      <c r="F8435" s="193"/>
    </row>
    <row r="8436" spans="6:6" x14ac:dyDescent="0.3">
      <c r="F8436" s="193"/>
    </row>
    <row r="8437" spans="6:6" x14ac:dyDescent="0.3">
      <c r="F8437" s="193"/>
    </row>
    <row r="8438" spans="6:6" x14ac:dyDescent="0.3">
      <c r="F8438" s="193"/>
    </row>
    <row r="8439" spans="6:6" x14ac:dyDescent="0.3">
      <c r="F8439" s="193"/>
    </row>
    <row r="8440" spans="6:6" x14ac:dyDescent="0.3">
      <c r="F8440" s="193"/>
    </row>
    <row r="8441" spans="6:6" x14ac:dyDescent="0.3">
      <c r="F8441" s="193"/>
    </row>
    <row r="8442" spans="6:6" x14ac:dyDescent="0.3">
      <c r="F8442" s="193"/>
    </row>
    <row r="8443" spans="6:6" x14ac:dyDescent="0.3">
      <c r="F8443" s="193"/>
    </row>
    <row r="8444" spans="6:6" x14ac:dyDescent="0.3">
      <c r="F8444" s="193"/>
    </row>
    <row r="8445" spans="6:6" x14ac:dyDescent="0.3">
      <c r="F8445" s="193"/>
    </row>
    <row r="8446" spans="6:6" x14ac:dyDescent="0.3">
      <c r="F8446" s="193"/>
    </row>
    <row r="8447" spans="6:6" x14ac:dyDescent="0.3">
      <c r="F8447" s="193"/>
    </row>
    <row r="8448" spans="6:6" x14ac:dyDescent="0.3">
      <c r="F8448" s="193"/>
    </row>
    <row r="8449" spans="6:6" x14ac:dyDescent="0.3">
      <c r="F8449" s="193"/>
    </row>
    <row r="8450" spans="6:6" x14ac:dyDescent="0.3">
      <c r="F8450" s="193"/>
    </row>
    <row r="8451" spans="6:6" x14ac:dyDescent="0.3">
      <c r="F8451" s="193"/>
    </row>
    <row r="8452" spans="6:6" x14ac:dyDescent="0.3">
      <c r="F8452" s="193"/>
    </row>
    <row r="8453" spans="6:6" x14ac:dyDescent="0.3">
      <c r="F8453" s="193"/>
    </row>
    <row r="8454" spans="6:6" x14ac:dyDescent="0.3">
      <c r="F8454" s="193"/>
    </row>
    <row r="8455" spans="6:6" x14ac:dyDescent="0.3">
      <c r="F8455" s="193"/>
    </row>
    <row r="8456" spans="6:6" x14ac:dyDescent="0.3">
      <c r="F8456" s="193"/>
    </row>
    <row r="8457" spans="6:6" x14ac:dyDescent="0.3">
      <c r="F8457" s="193"/>
    </row>
    <row r="8458" spans="6:6" x14ac:dyDescent="0.3">
      <c r="F8458" s="193"/>
    </row>
    <row r="8459" spans="6:6" x14ac:dyDescent="0.3">
      <c r="F8459" s="193"/>
    </row>
    <row r="8460" spans="6:6" x14ac:dyDescent="0.3">
      <c r="F8460" s="193"/>
    </row>
    <row r="8461" spans="6:6" x14ac:dyDescent="0.3">
      <c r="F8461" s="193"/>
    </row>
    <row r="8462" spans="6:6" x14ac:dyDescent="0.3">
      <c r="F8462" s="193"/>
    </row>
    <row r="8463" spans="6:6" x14ac:dyDescent="0.3">
      <c r="F8463" s="193"/>
    </row>
    <row r="8464" spans="6:6" x14ac:dyDescent="0.3">
      <c r="F8464" s="193"/>
    </row>
    <row r="8465" spans="6:6" x14ac:dyDescent="0.3">
      <c r="F8465" s="193"/>
    </row>
    <row r="8466" spans="6:6" x14ac:dyDescent="0.3">
      <c r="F8466" s="193"/>
    </row>
    <row r="8467" spans="6:6" x14ac:dyDescent="0.3">
      <c r="F8467" s="193"/>
    </row>
    <row r="8468" spans="6:6" x14ac:dyDescent="0.3">
      <c r="F8468" s="193"/>
    </row>
    <row r="8469" spans="6:6" x14ac:dyDescent="0.3">
      <c r="F8469" s="193"/>
    </row>
    <row r="8470" spans="6:6" x14ac:dyDescent="0.3">
      <c r="F8470" s="193"/>
    </row>
    <row r="8471" spans="6:6" x14ac:dyDescent="0.3">
      <c r="F8471" s="193"/>
    </row>
    <row r="8472" spans="6:6" x14ac:dyDescent="0.3">
      <c r="F8472" s="193"/>
    </row>
    <row r="8473" spans="6:6" x14ac:dyDescent="0.3">
      <c r="F8473" s="193"/>
    </row>
    <row r="8474" spans="6:6" x14ac:dyDescent="0.3">
      <c r="F8474" s="193"/>
    </row>
    <row r="8475" spans="6:6" x14ac:dyDescent="0.3">
      <c r="F8475" s="193"/>
    </row>
    <row r="8476" spans="6:6" x14ac:dyDescent="0.3">
      <c r="F8476" s="193"/>
    </row>
    <row r="8477" spans="6:6" x14ac:dyDescent="0.3">
      <c r="F8477" s="193"/>
    </row>
    <row r="8478" spans="6:6" x14ac:dyDescent="0.3">
      <c r="F8478" s="193"/>
    </row>
    <row r="8479" spans="6:6" x14ac:dyDescent="0.3">
      <c r="F8479" s="193"/>
    </row>
    <row r="8480" spans="6:6" x14ac:dyDescent="0.3">
      <c r="F8480" s="193"/>
    </row>
    <row r="8481" spans="6:6" x14ac:dyDescent="0.3">
      <c r="F8481" s="193"/>
    </row>
    <row r="8482" spans="6:6" x14ac:dyDescent="0.3">
      <c r="F8482" s="193"/>
    </row>
    <row r="8483" spans="6:6" x14ac:dyDescent="0.3">
      <c r="F8483" s="193"/>
    </row>
    <row r="8484" spans="6:6" x14ac:dyDescent="0.3">
      <c r="F8484" s="193"/>
    </row>
    <row r="8485" spans="6:6" x14ac:dyDescent="0.3">
      <c r="F8485" s="193"/>
    </row>
    <row r="8486" spans="6:6" x14ac:dyDescent="0.3">
      <c r="F8486" s="193"/>
    </row>
    <row r="8487" spans="6:6" x14ac:dyDescent="0.3">
      <c r="F8487" s="193"/>
    </row>
    <row r="8488" spans="6:6" x14ac:dyDescent="0.3">
      <c r="F8488" s="193"/>
    </row>
    <row r="8489" spans="6:6" x14ac:dyDescent="0.3">
      <c r="F8489" s="193"/>
    </row>
    <row r="8490" spans="6:6" x14ac:dyDescent="0.3">
      <c r="F8490" s="193"/>
    </row>
    <row r="8491" spans="6:6" x14ac:dyDescent="0.3">
      <c r="F8491" s="193"/>
    </row>
    <row r="8492" spans="6:6" x14ac:dyDescent="0.3">
      <c r="F8492" s="193"/>
    </row>
    <row r="8493" spans="6:6" x14ac:dyDescent="0.3">
      <c r="F8493" s="193"/>
    </row>
    <row r="8494" spans="6:6" x14ac:dyDescent="0.3">
      <c r="F8494" s="193"/>
    </row>
    <row r="8495" spans="6:6" x14ac:dyDescent="0.3">
      <c r="F8495" s="193"/>
    </row>
    <row r="8496" spans="6:6" x14ac:dyDescent="0.3">
      <c r="F8496" s="193"/>
    </row>
    <row r="8497" spans="6:6" x14ac:dyDescent="0.3">
      <c r="F8497" s="193"/>
    </row>
    <row r="8498" spans="6:6" x14ac:dyDescent="0.3">
      <c r="F8498" s="193"/>
    </row>
    <row r="8499" spans="6:6" x14ac:dyDescent="0.3">
      <c r="F8499" s="193"/>
    </row>
    <row r="8500" spans="6:6" x14ac:dyDescent="0.3">
      <c r="F8500" s="193"/>
    </row>
    <row r="8501" spans="6:6" x14ac:dyDescent="0.3">
      <c r="F8501" s="193"/>
    </row>
    <row r="8502" spans="6:6" x14ac:dyDescent="0.3">
      <c r="F8502" s="193"/>
    </row>
    <row r="8503" spans="6:6" x14ac:dyDescent="0.3">
      <c r="F8503" s="193"/>
    </row>
    <row r="8504" spans="6:6" x14ac:dyDescent="0.3">
      <c r="F8504" s="193"/>
    </row>
    <row r="8505" spans="6:6" x14ac:dyDescent="0.3">
      <c r="F8505" s="193"/>
    </row>
    <row r="8506" spans="6:6" x14ac:dyDescent="0.3">
      <c r="F8506" s="193"/>
    </row>
    <row r="8507" spans="6:6" x14ac:dyDescent="0.3">
      <c r="F8507" s="193"/>
    </row>
    <row r="8508" spans="6:6" x14ac:dyDescent="0.3">
      <c r="F8508" s="193"/>
    </row>
    <row r="8509" spans="6:6" x14ac:dyDescent="0.3">
      <c r="F8509" s="193"/>
    </row>
    <row r="8510" spans="6:6" x14ac:dyDescent="0.3">
      <c r="F8510" s="193"/>
    </row>
    <row r="8511" spans="6:6" x14ac:dyDescent="0.3">
      <c r="F8511" s="193"/>
    </row>
    <row r="8512" spans="6:6" x14ac:dyDescent="0.3">
      <c r="F8512" s="193"/>
    </row>
    <row r="8513" spans="6:6" x14ac:dyDescent="0.3">
      <c r="F8513" s="193"/>
    </row>
    <row r="8514" spans="6:6" x14ac:dyDescent="0.3">
      <c r="F8514" s="193"/>
    </row>
    <row r="8515" spans="6:6" x14ac:dyDescent="0.3">
      <c r="F8515" s="193"/>
    </row>
    <row r="8516" spans="6:6" x14ac:dyDescent="0.3">
      <c r="F8516" s="193"/>
    </row>
    <row r="8517" spans="6:6" x14ac:dyDescent="0.3">
      <c r="F8517" s="193"/>
    </row>
    <row r="8518" spans="6:6" x14ac:dyDescent="0.3">
      <c r="F8518" s="193"/>
    </row>
    <row r="8519" spans="6:6" x14ac:dyDescent="0.3">
      <c r="F8519" s="193"/>
    </row>
    <row r="8520" spans="6:6" x14ac:dyDescent="0.3">
      <c r="F8520" s="193"/>
    </row>
    <row r="8521" spans="6:6" x14ac:dyDescent="0.3">
      <c r="F8521" s="193"/>
    </row>
    <row r="8522" spans="6:6" x14ac:dyDescent="0.3">
      <c r="F8522" s="193"/>
    </row>
    <row r="8523" spans="6:6" x14ac:dyDescent="0.3">
      <c r="F8523" s="193"/>
    </row>
    <row r="8524" spans="6:6" x14ac:dyDescent="0.3">
      <c r="F8524" s="193"/>
    </row>
    <row r="8525" spans="6:6" x14ac:dyDescent="0.3">
      <c r="F8525" s="193"/>
    </row>
    <row r="8526" spans="6:6" x14ac:dyDescent="0.3">
      <c r="F8526" s="193"/>
    </row>
    <row r="8527" spans="6:6" x14ac:dyDescent="0.3">
      <c r="F8527" s="193"/>
    </row>
    <row r="8528" spans="6:6" x14ac:dyDescent="0.3">
      <c r="F8528" s="193"/>
    </row>
    <row r="8529" spans="6:6" x14ac:dyDescent="0.3">
      <c r="F8529" s="193"/>
    </row>
    <row r="8530" spans="6:6" x14ac:dyDescent="0.3">
      <c r="F8530" s="193"/>
    </row>
    <row r="8531" spans="6:6" x14ac:dyDescent="0.3">
      <c r="F8531" s="193"/>
    </row>
    <row r="8532" spans="6:6" x14ac:dyDescent="0.3">
      <c r="F8532" s="193"/>
    </row>
    <row r="8533" spans="6:6" x14ac:dyDescent="0.3">
      <c r="F8533" s="193"/>
    </row>
    <row r="8534" spans="6:6" x14ac:dyDescent="0.3">
      <c r="F8534" s="193"/>
    </row>
    <row r="8535" spans="6:6" x14ac:dyDescent="0.3">
      <c r="F8535" s="193"/>
    </row>
    <row r="8536" spans="6:6" x14ac:dyDescent="0.3">
      <c r="F8536" s="193"/>
    </row>
    <row r="8537" spans="6:6" x14ac:dyDescent="0.3">
      <c r="F8537" s="193"/>
    </row>
    <row r="8538" spans="6:6" x14ac:dyDescent="0.3">
      <c r="F8538" s="193"/>
    </row>
    <row r="8539" spans="6:6" x14ac:dyDescent="0.3">
      <c r="F8539" s="193"/>
    </row>
    <row r="8540" spans="6:6" x14ac:dyDescent="0.3">
      <c r="F8540" s="193"/>
    </row>
    <row r="8541" spans="6:6" x14ac:dyDescent="0.3">
      <c r="F8541" s="193"/>
    </row>
    <row r="8542" spans="6:6" x14ac:dyDescent="0.3">
      <c r="F8542" s="193"/>
    </row>
    <row r="8543" spans="6:6" x14ac:dyDescent="0.3">
      <c r="F8543" s="193"/>
    </row>
    <row r="8544" spans="6:6" x14ac:dyDescent="0.3">
      <c r="F8544" s="193"/>
    </row>
    <row r="8545" spans="6:6" x14ac:dyDescent="0.3">
      <c r="F8545" s="193"/>
    </row>
    <row r="8546" spans="6:6" x14ac:dyDescent="0.3">
      <c r="F8546" s="193"/>
    </row>
    <row r="8547" spans="6:6" x14ac:dyDescent="0.3">
      <c r="F8547" s="193"/>
    </row>
    <row r="8548" spans="6:6" x14ac:dyDescent="0.3">
      <c r="F8548" s="193"/>
    </row>
    <row r="8549" spans="6:6" x14ac:dyDescent="0.3">
      <c r="F8549" s="193"/>
    </row>
    <row r="8550" spans="6:6" x14ac:dyDescent="0.3">
      <c r="F8550" s="193"/>
    </row>
    <row r="8551" spans="6:6" x14ac:dyDescent="0.3">
      <c r="F8551" s="193"/>
    </row>
    <row r="8552" spans="6:6" x14ac:dyDescent="0.3">
      <c r="F8552" s="193"/>
    </row>
    <row r="8553" spans="6:6" x14ac:dyDescent="0.3">
      <c r="F8553" s="193"/>
    </row>
    <row r="8554" spans="6:6" x14ac:dyDescent="0.3">
      <c r="F8554" s="193"/>
    </row>
    <row r="8555" spans="6:6" x14ac:dyDescent="0.3">
      <c r="F8555" s="193"/>
    </row>
    <row r="8556" spans="6:6" x14ac:dyDescent="0.3">
      <c r="F8556" s="193"/>
    </row>
    <row r="8557" spans="6:6" x14ac:dyDescent="0.3">
      <c r="F8557" s="193"/>
    </row>
    <row r="8558" spans="6:6" x14ac:dyDescent="0.3">
      <c r="F8558" s="193"/>
    </row>
    <row r="8559" spans="6:6" x14ac:dyDescent="0.3">
      <c r="F8559" s="193"/>
    </row>
    <row r="8560" spans="6:6" x14ac:dyDescent="0.3">
      <c r="F8560" s="193"/>
    </row>
    <row r="8561" spans="6:6" x14ac:dyDescent="0.3">
      <c r="F8561" s="193"/>
    </row>
    <row r="8562" spans="6:6" x14ac:dyDescent="0.3">
      <c r="F8562" s="193"/>
    </row>
    <row r="8563" spans="6:6" x14ac:dyDescent="0.3">
      <c r="F8563" s="193"/>
    </row>
    <row r="8564" spans="6:6" x14ac:dyDescent="0.3">
      <c r="F8564" s="193"/>
    </row>
    <row r="8565" spans="6:6" x14ac:dyDescent="0.3">
      <c r="F8565" s="193"/>
    </row>
    <row r="8566" spans="6:6" x14ac:dyDescent="0.3">
      <c r="F8566" s="193"/>
    </row>
    <row r="8567" spans="6:6" x14ac:dyDescent="0.3">
      <c r="F8567" s="193"/>
    </row>
    <row r="8568" spans="6:6" x14ac:dyDescent="0.3">
      <c r="F8568" s="193"/>
    </row>
    <row r="8569" spans="6:6" x14ac:dyDescent="0.3">
      <c r="F8569" s="193"/>
    </row>
    <row r="8570" spans="6:6" x14ac:dyDescent="0.3">
      <c r="F8570" s="193"/>
    </row>
    <row r="8571" spans="6:6" x14ac:dyDescent="0.3">
      <c r="F8571" s="193"/>
    </row>
    <row r="8572" spans="6:6" x14ac:dyDescent="0.3">
      <c r="F8572" s="193"/>
    </row>
    <row r="8573" spans="6:6" x14ac:dyDescent="0.3">
      <c r="F8573" s="193"/>
    </row>
    <row r="8574" spans="6:6" x14ac:dyDescent="0.3">
      <c r="F8574" s="193"/>
    </row>
    <row r="8575" spans="6:6" x14ac:dyDescent="0.3">
      <c r="F8575" s="193"/>
    </row>
    <row r="8576" spans="6:6" x14ac:dyDescent="0.3">
      <c r="F8576" s="193"/>
    </row>
    <row r="8577" spans="6:6" x14ac:dyDescent="0.3">
      <c r="F8577" s="193"/>
    </row>
    <row r="8578" spans="6:6" x14ac:dyDescent="0.3">
      <c r="F8578" s="193"/>
    </row>
    <row r="8579" spans="6:6" x14ac:dyDescent="0.3">
      <c r="F8579" s="193"/>
    </row>
    <row r="8580" spans="6:6" x14ac:dyDescent="0.3">
      <c r="F8580" s="193"/>
    </row>
    <row r="8581" spans="6:6" x14ac:dyDescent="0.3">
      <c r="F8581" s="193"/>
    </row>
    <row r="8582" spans="6:6" x14ac:dyDescent="0.3">
      <c r="F8582" s="193"/>
    </row>
    <row r="8583" spans="6:6" x14ac:dyDescent="0.3">
      <c r="F8583" s="193"/>
    </row>
    <row r="8584" spans="6:6" x14ac:dyDescent="0.3">
      <c r="F8584" s="193"/>
    </row>
    <row r="8585" spans="6:6" x14ac:dyDescent="0.3">
      <c r="F8585" s="193"/>
    </row>
    <row r="8586" spans="6:6" x14ac:dyDescent="0.3">
      <c r="F8586" s="193"/>
    </row>
    <row r="8587" spans="6:6" x14ac:dyDescent="0.3">
      <c r="F8587" s="193"/>
    </row>
    <row r="8588" spans="6:6" x14ac:dyDescent="0.3">
      <c r="F8588" s="193"/>
    </row>
    <row r="8589" spans="6:6" x14ac:dyDescent="0.3">
      <c r="F8589" s="193"/>
    </row>
    <row r="8590" spans="6:6" x14ac:dyDescent="0.3">
      <c r="F8590" s="193"/>
    </row>
    <row r="8591" spans="6:6" x14ac:dyDescent="0.3">
      <c r="F8591" s="193"/>
    </row>
    <row r="8592" spans="6:6" x14ac:dyDescent="0.3">
      <c r="F8592" s="193"/>
    </row>
    <row r="8593" spans="6:6" x14ac:dyDescent="0.3">
      <c r="F8593" s="193"/>
    </row>
    <row r="8594" spans="6:6" x14ac:dyDescent="0.3">
      <c r="F8594" s="193"/>
    </row>
    <row r="8595" spans="6:6" x14ac:dyDescent="0.3">
      <c r="F8595" s="193"/>
    </row>
    <row r="8596" spans="6:6" x14ac:dyDescent="0.3">
      <c r="F8596" s="193"/>
    </row>
    <row r="8597" spans="6:6" x14ac:dyDescent="0.3">
      <c r="F8597" s="193"/>
    </row>
    <row r="8598" spans="6:6" x14ac:dyDescent="0.3">
      <c r="F8598" s="193"/>
    </row>
    <row r="8599" spans="6:6" x14ac:dyDescent="0.3">
      <c r="F8599" s="193"/>
    </row>
    <row r="8600" spans="6:6" x14ac:dyDescent="0.3">
      <c r="F8600" s="193"/>
    </row>
    <row r="8601" spans="6:6" x14ac:dyDescent="0.3">
      <c r="F8601" s="193"/>
    </row>
    <row r="8602" spans="6:6" x14ac:dyDescent="0.3">
      <c r="F8602" s="193"/>
    </row>
    <row r="8603" spans="6:6" x14ac:dyDescent="0.3">
      <c r="F8603" s="193"/>
    </row>
    <row r="8604" spans="6:6" x14ac:dyDescent="0.3">
      <c r="F8604" s="193"/>
    </row>
    <row r="8605" spans="6:6" x14ac:dyDescent="0.3">
      <c r="F8605" s="193"/>
    </row>
    <row r="8606" spans="6:6" x14ac:dyDescent="0.3">
      <c r="F8606" s="193"/>
    </row>
    <row r="8607" spans="6:6" x14ac:dyDescent="0.3">
      <c r="F8607" s="193"/>
    </row>
    <row r="8608" spans="6:6" x14ac:dyDescent="0.3">
      <c r="F8608" s="193"/>
    </row>
    <row r="8609" spans="6:6" x14ac:dyDescent="0.3">
      <c r="F8609" s="193"/>
    </row>
    <row r="8610" spans="6:6" x14ac:dyDescent="0.3">
      <c r="F8610" s="193"/>
    </row>
    <row r="8611" spans="6:6" x14ac:dyDescent="0.3">
      <c r="F8611" s="193"/>
    </row>
    <row r="8612" spans="6:6" x14ac:dyDescent="0.3">
      <c r="F8612" s="193"/>
    </row>
    <row r="8613" spans="6:6" x14ac:dyDescent="0.3">
      <c r="F8613" s="193"/>
    </row>
    <row r="8614" spans="6:6" x14ac:dyDescent="0.3">
      <c r="F8614" s="193"/>
    </row>
    <row r="8615" spans="6:6" x14ac:dyDescent="0.3">
      <c r="F8615" s="193"/>
    </row>
    <row r="8616" spans="6:6" x14ac:dyDescent="0.3">
      <c r="F8616" s="193"/>
    </row>
    <row r="8617" spans="6:6" x14ac:dyDescent="0.3">
      <c r="F8617" s="193"/>
    </row>
    <row r="8618" spans="6:6" x14ac:dyDescent="0.3">
      <c r="F8618" s="193"/>
    </row>
    <row r="8619" spans="6:6" x14ac:dyDescent="0.3">
      <c r="F8619" s="193"/>
    </row>
    <row r="8620" spans="6:6" x14ac:dyDescent="0.3">
      <c r="F8620" s="193"/>
    </row>
    <row r="8621" spans="6:6" x14ac:dyDescent="0.3">
      <c r="F8621" s="193"/>
    </row>
    <row r="8622" spans="6:6" x14ac:dyDescent="0.3">
      <c r="F8622" s="193"/>
    </row>
    <row r="8623" spans="6:6" x14ac:dyDescent="0.3">
      <c r="F8623" s="193"/>
    </row>
    <row r="8624" spans="6:6" x14ac:dyDescent="0.3">
      <c r="F8624" s="193"/>
    </row>
    <row r="8625" spans="6:6" x14ac:dyDescent="0.3">
      <c r="F8625" s="193"/>
    </row>
    <row r="8626" spans="6:6" x14ac:dyDescent="0.3">
      <c r="F8626" s="193"/>
    </row>
    <row r="8627" spans="6:6" x14ac:dyDescent="0.3">
      <c r="F8627" s="193"/>
    </row>
    <row r="8628" spans="6:6" x14ac:dyDescent="0.3">
      <c r="F8628" s="193"/>
    </row>
    <row r="8629" spans="6:6" x14ac:dyDescent="0.3">
      <c r="F8629" s="193"/>
    </row>
    <row r="8630" spans="6:6" x14ac:dyDescent="0.3">
      <c r="F8630" s="193"/>
    </row>
    <row r="8631" spans="6:6" x14ac:dyDescent="0.3">
      <c r="F8631" s="193"/>
    </row>
    <row r="8632" spans="6:6" x14ac:dyDescent="0.3">
      <c r="F8632" s="193"/>
    </row>
    <row r="8633" spans="6:6" x14ac:dyDescent="0.3">
      <c r="F8633" s="193"/>
    </row>
    <row r="8634" spans="6:6" x14ac:dyDescent="0.3">
      <c r="F8634" s="193"/>
    </row>
    <row r="8635" spans="6:6" x14ac:dyDescent="0.3">
      <c r="F8635" s="193"/>
    </row>
    <row r="8636" spans="6:6" x14ac:dyDescent="0.3">
      <c r="F8636" s="193"/>
    </row>
    <row r="8637" spans="6:6" x14ac:dyDescent="0.3">
      <c r="F8637" s="193"/>
    </row>
    <row r="8638" spans="6:6" x14ac:dyDescent="0.3">
      <c r="F8638" s="193"/>
    </row>
    <row r="8639" spans="6:6" x14ac:dyDescent="0.3">
      <c r="F8639" s="193"/>
    </row>
    <row r="8640" spans="6:6" x14ac:dyDescent="0.3">
      <c r="F8640" s="193"/>
    </row>
    <row r="8641" spans="6:6" x14ac:dyDescent="0.3">
      <c r="F8641" s="193"/>
    </row>
    <row r="8642" spans="6:6" x14ac:dyDescent="0.3">
      <c r="F8642" s="193"/>
    </row>
    <row r="8643" spans="6:6" x14ac:dyDescent="0.3">
      <c r="F8643" s="193"/>
    </row>
    <row r="8644" spans="6:6" x14ac:dyDescent="0.3">
      <c r="F8644" s="193"/>
    </row>
    <row r="8645" spans="6:6" x14ac:dyDescent="0.3">
      <c r="F8645" s="193"/>
    </row>
    <row r="8646" spans="6:6" x14ac:dyDescent="0.3">
      <c r="F8646" s="193"/>
    </row>
    <row r="8647" spans="6:6" x14ac:dyDescent="0.3">
      <c r="F8647" s="193"/>
    </row>
    <row r="8648" spans="6:6" x14ac:dyDescent="0.3">
      <c r="F8648" s="193"/>
    </row>
    <row r="8649" spans="6:6" x14ac:dyDescent="0.3">
      <c r="F8649" s="193"/>
    </row>
    <row r="8650" spans="6:6" x14ac:dyDescent="0.3">
      <c r="F8650" s="193"/>
    </row>
    <row r="8651" spans="6:6" x14ac:dyDescent="0.3">
      <c r="F8651" s="193"/>
    </row>
    <row r="8652" spans="6:6" x14ac:dyDescent="0.3">
      <c r="F8652" s="193"/>
    </row>
    <row r="8653" spans="6:6" x14ac:dyDescent="0.3">
      <c r="F8653" s="193"/>
    </row>
    <row r="8654" spans="6:6" x14ac:dyDescent="0.3">
      <c r="F8654" s="193"/>
    </row>
    <row r="8655" spans="6:6" x14ac:dyDescent="0.3">
      <c r="F8655" s="193"/>
    </row>
    <row r="8656" spans="6:6" x14ac:dyDescent="0.3">
      <c r="F8656" s="193"/>
    </row>
    <row r="8657" spans="6:6" x14ac:dyDescent="0.3">
      <c r="F8657" s="193"/>
    </row>
    <row r="8658" spans="6:6" x14ac:dyDescent="0.3">
      <c r="F8658" s="193"/>
    </row>
    <row r="8659" spans="6:6" x14ac:dyDescent="0.3">
      <c r="F8659" s="193"/>
    </row>
    <row r="8660" spans="6:6" x14ac:dyDescent="0.3">
      <c r="F8660" s="193"/>
    </row>
    <row r="8661" spans="6:6" x14ac:dyDescent="0.3">
      <c r="F8661" s="193"/>
    </row>
    <row r="8662" spans="6:6" x14ac:dyDescent="0.3">
      <c r="F8662" s="193"/>
    </row>
    <row r="8663" spans="6:6" x14ac:dyDescent="0.3">
      <c r="F8663" s="193"/>
    </row>
    <row r="8664" spans="6:6" x14ac:dyDescent="0.3">
      <c r="F8664" s="193"/>
    </row>
    <row r="8665" spans="6:6" x14ac:dyDescent="0.3">
      <c r="F8665" s="193"/>
    </row>
    <row r="8666" spans="6:6" x14ac:dyDescent="0.3">
      <c r="F8666" s="193"/>
    </row>
    <row r="8667" spans="6:6" x14ac:dyDescent="0.3">
      <c r="F8667" s="193"/>
    </row>
    <row r="8668" spans="6:6" x14ac:dyDescent="0.3">
      <c r="F8668" s="193"/>
    </row>
    <row r="8669" spans="6:6" x14ac:dyDescent="0.3">
      <c r="F8669" s="193"/>
    </row>
    <row r="8670" spans="6:6" x14ac:dyDescent="0.3">
      <c r="F8670" s="193"/>
    </row>
    <row r="8671" spans="6:6" x14ac:dyDescent="0.3">
      <c r="F8671" s="193"/>
    </row>
    <row r="8672" spans="6:6" x14ac:dyDescent="0.3">
      <c r="F8672" s="193"/>
    </row>
    <row r="8673" spans="6:6" x14ac:dyDescent="0.3">
      <c r="F8673" s="193"/>
    </row>
    <row r="8674" spans="6:6" x14ac:dyDescent="0.3">
      <c r="F8674" s="193"/>
    </row>
    <row r="8675" spans="6:6" x14ac:dyDescent="0.3">
      <c r="F8675" s="193"/>
    </row>
    <row r="8676" spans="6:6" x14ac:dyDescent="0.3">
      <c r="F8676" s="193"/>
    </row>
    <row r="8677" spans="6:6" x14ac:dyDescent="0.3">
      <c r="F8677" s="193"/>
    </row>
    <row r="8678" spans="6:6" x14ac:dyDescent="0.3">
      <c r="F8678" s="193"/>
    </row>
    <row r="8679" spans="6:6" x14ac:dyDescent="0.3">
      <c r="F8679" s="193"/>
    </row>
    <row r="8680" spans="6:6" x14ac:dyDescent="0.3">
      <c r="F8680" s="193"/>
    </row>
    <row r="8681" spans="6:6" x14ac:dyDescent="0.3">
      <c r="F8681" s="193"/>
    </row>
    <row r="8682" spans="6:6" x14ac:dyDescent="0.3">
      <c r="F8682" s="193"/>
    </row>
    <row r="8683" spans="6:6" x14ac:dyDescent="0.3">
      <c r="F8683" s="193"/>
    </row>
    <row r="8684" spans="6:6" x14ac:dyDescent="0.3">
      <c r="F8684" s="193"/>
    </row>
    <row r="8685" spans="6:6" x14ac:dyDescent="0.3">
      <c r="F8685" s="193"/>
    </row>
    <row r="8686" spans="6:6" x14ac:dyDescent="0.3">
      <c r="F8686" s="193"/>
    </row>
    <row r="8687" spans="6:6" x14ac:dyDescent="0.3">
      <c r="F8687" s="193"/>
    </row>
    <row r="8688" spans="6:6" x14ac:dyDescent="0.3">
      <c r="F8688" s="193"/>
    </row>
    <row r="8689" spans="6:6" x14ac:dyDescent="0.3">
      <c r="F8689" s="193"/>
    </row>
    <row r="8690" spans="6:6" x14ac:dyDescent="0.3">
      <c r="F8690" s="193"/>
    </row>
    <row r="8691" spans="6:6" x14ac:dyDescent="0.3">
      <c r="F8691" s="193"/>
    </row>
    <row r="8692" spans="6:6" x14ac:dyDescent="0.3">
      <c r="F8692" s="193"/>
    </row>
    <row r="8693" spans="6:6" x14ac:dyDescent="0.3">
      <c r="F8693" s="193"/>
    </row>
    <row r="8694" spans="6:6" x14ac:dyDescent="0.3">
      <c r="F8694" s="193"/>
    </row>
    <row r="8695" spans="6:6" x14ac:dyDescent="0.3">
      <c r="F8695" s="193"/>
    </row>
    <row r="8696" spans="6:6" x14ac:dyDescent="0.3">
      <c r="F8696" s="193"/>
    </row>
    <row r="8697" spans="6:6" x14ac:dyDescent="0.3">
      <c r="F8697" s="193"/>
    </row>
    <row r="8698" spans="6:6" x14ac:dyDescent="0.3">
      <c r="F8698" s="193"/>
    </row>
    <row r="8699" spans="6:6" x14ac:dyDescent="0.3">
      <c r="F8699" s="193"/>
    </row>
    <row r="8700" spans="6:6" x14ac:dyDescent="0.3">
      <c r="F8700" s="193"/>
    </row>
    <row r="8701" spans="6:6" x14ac:dyDescent="0.3">
      <c r="F8701" s="193"/>
    </row>
    <row r="8702" spans="6:6" x14ac:dyDescent="0.3">
      <c r="F8702" s="193"/>
    </row>
    <row r="8703" spans="6:6" x14ac:dyDescent="0.3">
      <c r="F8703" s="193"/>
    </row>
    <row r="8704" spans="6:6" x14ac:dyDescent="0.3">
      <c r="F8704" s="193"/>
    </row>
    <row r="8705" spans="6:6" x14ac:dyDescent="0.3">
      <c r="F8705" s="193"/>
    </row>
    <row r="8706" spans="6:6" x14ac:dyDescent="0.3">
      <c r="F8706" s="193"/>
    </row>
    <row r="8707" spans="6:6" x14ac:dyDescent="0.3">
      <c r="F8707" s="193"/>
    </row>
    <row r="8708" spans="6:6" x14ac:dyDescent="0.3">
      <c r="F8708" s="193"/>
    </row>
    <row r="8709" spans="6:6" x14ac:dyDescent="0.3">
      <c r="F8709" s="193"/>
    </row>
    <row r="8710" spans="6:6" x14ac:dyDescent="0.3">
      <c r="F8710" s="193"/>
    </row>
    <row r="8711" spans="6:6" x14ac:dyDescent="0.3">
      <c r="F8711" s="193"/>
    </row>
    <row r="8712" spans="6:6" x14ac:dyDescent="0.3">
      <c r="F8712" s="193"/>
    </row>
    <row r="8713" spans="6:6" x14ac:dyDescent="0.3">
      <c r="F8713" s="193"/>
    </row>
    <row r="8714" spans="6:6" x14ac:dyDescent="0.3">
      <c r="F8714" s="193"/>
    </row>
    <row r="8715" spans="6:6" x14ac:dyDescent="0.3">
      <c r="F8715" s="193"/>
    </row>
    <row r="8716" spans="6:6" x14ac:dyDescent="0.3">
      <c r="F8716" s="193"/>
    </row>
    <row r="8717" spans="6:6" x14ac:dyDescent="0.3">
      <c r="F8717" s="193"/>
    </row>
    <row r="8718" spans="6:6" x14ac:dyDescent="0.3">
      <c r="F8718" s="193"/>
    </row>
    <row r="8719" spans="6:6" x14ac:dyDescent="0.3">
      <c r="F8719" s="193"/>
    </row>
    <row r="8720" spans="6:6" x14ac:dyDescent="0.3">
      <c r="F8720" s="193"/>
    </row>
    <row r="8721" spans="6:6" x14ac:dyDescent="0.3">
      <c r="F8721" s="193"/>
    </row>
    <row r="8722" spans="6:6" x14ac:dyDescent="0.3">
      <c r="F8722" s="193"/>
    </row>
    <row r="8723" spans="6:6" x14ac:dyDescent="0.3">
      <c r="F8723" s="193"/>
    </row>
    <row r="8724" spans="6:6" x14ac:dyDescent="0.3">
      <c r="F8724" s="193"/>
    </row>
    <row r="8725" spans="6:6" x14ac:dyDescent="0.3">
      <c r="F8725" s="193"/>
    </row>
    <row r="8726" spans="6:6" x14ac:dyDescent="0.3">
      <c r="F8726" s="193"/>
    </row>
    <row r="8727" spans="6:6" x14ac:dyDescent="0.3">
      <c r="F8727" s="193"/>
    </row>
    <row r="8728" spans="6:6" x14ac:dyDescent="0.3">
      <c r="F8728" s="193"/>
    </row>
    <row r="8729" spans="6:6" x14ac:dyDescent="0.3">
      <c r="F8729" s="193"/>
    </row>
    <row r="8730" spans="6:6" x14ac:dyDescent="0.3">
      <c r="F8730" s="193"/>
    </row>
    <row r="8731" spans="6:6" x14ac:dyDescent="0.3">
      <c r="F8731" s="193"/>
    </row>
    <row r="8732" spans="6:6" x14ac:dyDescent="0.3">
      <c r="F8732" s="193"/>
    </row>
    <row r="8733" spans="6:6" x14ac:dyDescent="0.3">
      <c r="F8733" s="193"/>
    </row>
    <row r="8734" spans="6:6" x14ac:dyDescent="0.3">
      <c r="F8734" s="193"/>
    </row>
    <row r="8735" spans="6:6" x14ac:dyDescent="0.3">
      <c r="F8735" s="193"/>
    </row>
    <row r="8736" spans="6:6" x14ac:dyDescent="0.3">
      <c r="F8736" s="193"/>
    </row>
    <row r="8737" spans="6:6" x14ac:dyDescent="0.3">
      <c r="F8737" s="193"/>
    </row>
    <row r="8738" spans="6:6" x14ac:dyDescent="0.3">
      <c r="F8738" s="193"/>
    </row>
    <row r="8739" spans="6:6" x14ac:dyDescent="0.3">
      <c r="F8739" s="193"/>
    </row>
    <row r="8740" spans="6:6" x14ac:dyDescent="0.3">
      <c r="F8740" s="193"/>
    </row>
    <row r="8741" spans="6:6" x14ac:dyDescent="0.3">
      <c r="F8741" s="193"/>
    </row>
    <row r="8742" spans="6:6" x14ac:dyDescent="0.3">
      <c r="F8742" s="193"/>
    </row>
    <row r="8743" spans="6:6" x14ac:dyDescent="0.3">
      <c r="F8743" s="193"/>
    </row>
    <row r="8744" spans="6:6" x14ac:dyDescent="0.3">
      <c r="F8744" s="193"/>
    </row>
    <row r="8745" spans="6:6" x14ac:dyDescent="0.3">
      <c r="F8745" s="193"/>
    </row>
    <row r="8746" spans="6:6" x14ac:dyDescent="0.3">
      <c r="F8746" s="193"/>
    </row>
    <row r="8747" spans="6:6" x14ac:dyDescent="0.3">
      <c r="F8747" s="193"/>
    </row>
    <row r="8748" spans="6:6" x14ac:dyDescent="0.3">
      <c r="F8748" s="193"/>
    </row>
    <row r="8749" spans="6:6" x14ac:dyDescent="0.3">
      <c r="F8749" s="193"/>
    </row>
    <row r="8750" spans="6:6" x14ac:dyDescent="0.3">
      <c r="F8750" s="193"/>
    </row>
    <row r="8751" spans="6:6" x14ac:dyDescent="0.3">
      <c r="F8751" s="193"/>
    </row>
    <row r="8752" spans="6:6" x14ac:dyDescent="0.3">
      <c r="F8752" s="193"/>
    </row>
    <row r="8753" spans="6:6" x14ac:dyDescent="0.3">
      <c r="F8753" s="193"/>
    </row>
    <row r="8754" spans="6:6" x14ac:dyDescent="0.3">
      <c r="F8754" s="193"/>
    </row>
    <row r="8755" spans="6:6" x14ac:dyDescent="0.3">
      <c r="F8755" s="193"/>
    </row>
    <row r="8756" spans="6:6" x14ac:dyDescent="0.3">
      <c r="F8756" s="193"/>
    </row>
    <row r="8757" spans="6:6" x14ac:dyDescent="0.3">
      <c r="F8757" s="193"/>
    </row>
    <row r="8758" spans="6:6" x14ac:dyDescent="0.3">
      <c r="F8758" s="193"/>
    </row>
    <row r="8759" spans="6:6" x14ac:dyDescent="0.3">
      <c r="F8759" s="193"/>
    </row>
    <row r="8760" spans="6:6" x14ac:dyDescent="0.3">
      <c r="F8760" s="193"/>
    </row>
    <row r="8761" spans="6:6" x14ac:dyDescent="0.3">
      <c r="F8761" s="193"/>
    </row>
    <row r="8762" spans="6:6" x14ac:dyDescent="0.3">
      <c r="F8762" s="193"/>
    </row>
    <row r="8763" spans="6:6" x14ac:dyDescent="0.3">
      <c r="F8763" s="193"/>
    </row>
    <row r="8764" spans="6:6" x14ac:dyDescent="0.3">
      <c r="F8764" s="193"/>
    </row>
    <row r="8765" spans="6:6" x14ac:dyDescent="0.3">
      <c r="F8765" s="193"/>
    </row>
    <row r="8766" spans="6:6" x14ac:dyDescent="0.3">
      <c r="F8766" s="193"/>
    </row>
    <row r="8767" spans="6:6" x14ac:dyDescent="0.3">
      <c r="F8767" s="193"/>
    </row>
    <row r="8768" spans="6:6" x14ac:dyDescent="0.3">
      <c r="F8768" s="193"/>
    </row>
    <row r="8769" spans="6:6" x14ac:dyDescent="0.3">
      <c r="F8769" s="193"/>
    </row>
    <row r="8770" spans="6:6" x14ac:dyDescent="0.3">
      <c r="F8770" s="193"/>
    </row>
    <row r="8771" spans="6:6" x14ac:dyDescent="0.3">
      <c r="F8771" s="193"/>
    </row>
    <row r="8772" spans="6:6" x14ac:dyDescent="0.3">
      <c r="F8772" s="193"/>
    </row>
    <row r="8773" spans="6:6" x14ac:dyDescent="0.3">
      <c r="F8773" s="193"/>
    </row>
    <row r="8774" spans="6:6" x14ac:dyDescent="0.3">
      <c r="F8774" s="193"/>
    </row>
    <row r="8775" spans="6:6" x14ac:dyDescent="0.3">
      <c r="F8775" s="193"/>
    </row>
    <row r="8776" spans="6:6" x14ac:dyDescent="0.3">
      <c r="F8776" s="193"/>
    </row>
    <row r="8777" spans="6:6" x14ac:dyDescent="0.3">
      <c r="F8777" s="193"/>
    </row>
    <row r="8778" spans="6:6" x14ac:dyDescent="0.3">
      <c r="F8778" s="193"/>
    </row>
    <row r="8779" spans="6:6" x14ac:dyDescent="0.3">
      <c r="F8779" s="193"/>
    </row>
    <row r="8780" spans="6:6" x14ac:dyDescent="0.3">
      <c r="F8780" s="193"/>
    </row>
    <row r="8781" spans="6:6" x14ac:dyDescent="0.3">
      <c r="F8781" s="193"/>
    </row>
    <row r="8782" spans="6:6" x14ac:dyDescent="0.3">
      <c r="F8782" s="193"/>
    </row>
    <row r="8783" spans="6:6" x14ac:dyDescent="0.3">
      <c r="F8783" s="193"/>
    </row>
    <row r="8784" spans="6:6" x14ac:dyDescent="0.3">
      <c r="F8784" s="193"/>
    </row>
    <row r="8785" spans="6:6" x14ac:dyDescent="0.3">
      <c r="F8785" s="193"/>
    </row>
    <row r="8786" spans="6:6" x14ac:dyDescent="0.3">
      <c r="F8786" s="193"/>
    </row>
    <row r="8787" spans="6:6" x14ac:dyDescent="0.3">
      <c r="F8787" s="193"/>
    </row>
    <row r="8788" spans="6:6" x14ac:dyDescent="0.3">
      <c r="F8788" s="193"/>
    </row>
    <row r="8789" spans="6:6" x14ac:dyDescent="0.3">
      <c r="F8789" s="193"/>
    </row>
    <row r="8790" spans="6:6" x14ac:dyDescent="0.3">
      <c r="F8790" s="193"/>
    </row>
    <row r="8791" spans="6:6" x14ac:dyDescent="0.3">
      <c r="F8791" s="193"/>
    </row>
    <row r="8792" spans="6:6" x14ac:dyDescent="0.3">
      <c r="F8792" s="193"/>
    </row>
    <row r="8793" spans="6:6" x14ac:dyDescent="0.3">
      <c r="F8793" s="193"/>
    </row>
    <row r="8794" spans="6:6" x14ac:dyDescent="0.3">
      <c r="F8794" s="193"/>
    </row>
    <row r="8795" spans="6:6" x14ac:dyDescent="0.3">
      <c r="F8795" s="193"/>
    </row>
    <row r="8796" spans="6:6" x14ac:dyDescent="0.3">
      <c r="F8796" s="193"/>
    </row>
    <row r="8797" spans="6:6" x14ac:dyDescent="0.3">
      <c r="F8797" s="193"/>
    </row>
    <row r="8798" spans="6:6" x14ac:dyDescent="0.3">
      <c r="F8798" s="193"/>
    </row>
    <row r="8799" spans="6:6" x14ac:dyDescent="0.3">
      <c r="F8799" s="193"/>
    </row>
    <row r="8800" spans="6:6" x14ac:dyDescent="0.3">
      <c r="F8800" s="193"/>
    </row>
    <row r="8801" spans="6:6" x14ac:dyDescent="0.3">
      <c r="F8801" s="193"/>
    </row>
    <row r="8802" spans="6:6" x14ac:dyDescent="0.3">
      <c r="F8802" s="193"/>
    </row>
    <row r="8803" spans="6:6" x14ac:dyDescent="0.3">
      <c r="F8803" s="193"/>
    </row>
    <row r="8804" spans="6:6" x14ac:dyDescent="0.3">
      <c r="F8804" s="193"/>
    </row>
    <row r="8805" spans="6:6" x14ac:dyDescent="0.3">
      <c r="F8805" s="193"/>
    </row>
    <row r="8806" spans="6:6" x14ac:dyDescent="0.3">
      <c r="F8806" s="193"/>
    </row>
    <row r="8807" spans="6:6" x14ac:dyDescent="0.3">
      <c r="F8807" s="193"/>
    </row>
    <row r="8808" spans="6:6" x14ac:dyDescent="0.3">
      <c r="F8808" s="193"/>
    </row>
    <row r="8809" spans="6:6" x14ac:dyDescent="0.3">
      <c r="F8809" s="193"/>
    </row>
    <row r="8810" spans="6:6" x14ac:dyDescent="0.3">
      <c r="F8810" s="193"/>
    </row>
    <row r="8811" spans="6:6" x14ac:dyDescent="0.3">
      <c r="F8811" s="193"/>
    </row>
    <row r="8812" spans="6:6" x14ac:dyDescent="0.3">
      <c r="F8812" s="193"/>
    </row>
    <row r="8813" spans="6:6" x14ac:dyDescent="0.3">
      <c r="F8813" s="193"/>
    </row>
    <row r="8814" spans="6:6" x14ac:dyDescent="0.3">
      <c r="F8814" s="193"/>
    </row>
    <row r="8815" spans="6:6" x14ac:dyDescent="0.3">
      <c r="F8815" s="193"/>
    </row>
    <row r="8816" spans="6:6" x14ac:dyDescent="0.3">
      <c r="F8816" s="193"/>
    </row>
    <row r="8817" spans="6:6" x14ac:dyDescent="0.3">
      <c r="F8817" s="193"/>
    </row>
    <row r="8818" spans="6:6" x14ac:dyDescent="0.3">
      <c r="F8818" s="193"/>
    </row>
    <row r="8819" spans="6:6" x14ac:dyDescent="0.3">
      <c r="F8819" s="193"/>
    </row>
    <row r="8820" spans="6:6" x14ac:dyDescent="0.3">
      <c r="F8820" s="193"/>
    </row>
    <row r="8821" spans="6:6" x14ac:dyDescent="0.3">
      <c r="F8821" s="193"/>
    </row>
    <row r="8822" spans="6:6" x14ac:dyDescent="0.3">
      <c r="F8822" s="193"/>
    </row>
    <row r="8823" spans="6:6" x14ac:dyDescent="0.3">
      <c r="F8823" s="193"/>
    </row>
    <row r="8824" spans="6:6" x14ac:dyDescent="0.3">
      <c r="F8824" s="193"/>
    </row>
    <row r="8825" spans="6:6" x14ac:dyDescent="0.3">
      <c r="F8825" s="193"/>
    </row>
    <row r="8826" spans="6:6" x14ac:dyDescent="0.3">
      <c r="F8826" s="193"/>
    </row>
    <row r="8827" spans="6:6" x14ac:dyDescent="0.3">
      <c r="F8827" s="193"/>
    </row>
    <row r="8828" spans="6:6" x14ac:dyDescent="0.3">
      <c r="F8828" s="193"/>
    </row>
    <row r="8829" spans="6:6" x14ac:dyDescent="0.3">
      <c r="F8829" s="193"/>
    </row>
    <row r="8830" spans="6:6" x14ac:dyDescent="0.3">
      <c r="F8830" s="193"/>
    </row>
    <row r="8831" spans="6:6" x14ac:dyDescent="0.3">
      <c r="F8831" s="193"/>
    </row>
    <row r="8832" spans="6:6" x14ac:dyDescent="0.3">
      <c r="F8832" s="193"/>
    </row>
    <row r="8833" spans="6:6" x14ac:dyDescent="0.3">
      <c r="F8833" s="193"/>
    </row>
    <row r="8834" spans="6:6" x14ac:dyDescent="0.3">
      <c r="F8834" s="193"/>
    </row>
    <row r="8835" spans="6:6" x14ac:dyDescent="0.3">
      <c r="F8835" s="193"/>
    </row>
    <row r="8836" spans="6:6" x14ac:dyDescent="0.3">
      <c r="F8836" s="193"/>
    </row>
    <row r="8837" spans="6:6" x14ac:dyDescent="0.3">
      <c r="F8837" s="193"/>
    </row>
    <row r="8838" spans="6:6" x14ac:dyDescent="0.3">
      <c r="F8838" s="193"/>
    </row>
    <row r="8839" spans="6:6" x14ac:dyDescent="0.3">
      <c r="F8839" s="193"/>
    </row>
    <row r="8840" spans="6:6" x14ac:dyDescent="0.3">
      <c r="F8840" s="193"/>
    </row>
    <row r="8841" spans="6:6" x14ac:dyDescent="0.3">
      <c r="F8841" s="193"/>
    </row>
    <row r="8842" spans="6:6" x14ac:dyDescent="0.3">
      <c r="F8842" s="193"/>
    </row>
    <row r="8843" spans="6:6" x14ac:dyDescent="0.3">
      <c r="F8843" s="193"/>
    </row>
    <row r="8844" spans="6:6" x14ac:dyDescent="0.3">
      <c r="F8844" s="193"/>
    </row>
    <row r="8845" spans="6:6" x14ac:dyDescent="0.3">
      <c r="F8845" s="193"/>
    </row>
    <row r="8846" spans="6:6" x14ac:dyDescent="0.3">
      <c r="F8846" s="193"/>
    </row>
    <row r="8847" spans="6:6" x14ac:dyDescent="0.3">
      <c r="F8847" s="193"/>
    </row>
    <row r="8848" spans="6:6" x14ac:dyDescent="0.3">
      <c r="F8848" s="193"/>
    </row>
    <row r="8849" spans="6:6" x14ac:dyDescent="0.3">
      <c r="F8849" s="193"/>
    </row>
    <row r="8850" spans="6:6" x14ac:dyDescent="0.3">
      <c r="F8850" s="193"/>
    </row>
    <row r="8851" spans="6:6" x14ac:dyDescent="0.3">
      <c r="F8851" s="193"/>
    </row>
    <row r="8852" spans="6:6" x14ac:dyDescent="0.3">
      <c r="F8852" s="193"/>
    </row>
    <row r="8853" spans="6:6" x14ac:dyDescent="0.3">
      <c r="F8853" s="193"/>
    </row>
    <row r="8854" spans="6:6" x14ac:dyDescent="0.3">
      <c r="F8854" s="193"/>
    </row>
    <row r="8855" spans="6:6" x14ac:dyDescent="0.3">
      <c r="F8855" s="193"/>
    </row>
    <row r="8856" spans="6:6" x14ac:dyDescent="0.3">
      <c r="F8856" s="193"/>
    </row>
    <row r="8857" spans="6:6" x14ac:dyDescent="0.3">
      <c r="F8857" s="193"/>
    </row>
    <row r="8858" spans="6:6" x14ac:dyDescent="0.3">
      <c r="F8858" s="193"/>
    </row>
    <row r="8859" spans="6:6" x14ac:dyDescent="0.3">
      <c r="F8859" s="193"/>
    </row>
    <row r="8860" spans="6:6" x14ac:dyDescent="0.3">
      <c r="F8860" s="193"/>
    </row>
    <row r="8861" spans="6:6" x14ac:dyDescent="0.3">
      <c r="F8861" s="193"/>
    </row>
    <row r="8862" spans="6:6" x14ac:dyDescent="0.3">
      <c r="F8862" s="193"/>
    </row>
    <row r="8863" spans="6:6" x14ac:dyDescent="0.3">
      <c r="F8863" s="193"/>
    </row>
    <row r="8864" spans="6:6" x14ac:dyDescent="0.3">
      <c r="F8864" s="193"/>
    </row>
    <row r="8865" spans="6:6" x14ac:dyDescent="0.3">
      <c r="F8865" s="193"/>
    </row>
    <row r="8866" spans="6:6" x14ac:dyDescent="0.3">
      <c r="F8866" s="193"/>
    </row>
    <row r="8867" spans="6:6" x14ac:dyDescent="0.3">
      <c r="F8867" s="193"/>
    </row>
    <row r="8868" spans="6:6" x14ac:dyDescent="0.3">
      <c r="F8868" s="193"/>
    </row>
    <row r="8869" spans="6:6" x14ac:dyDescent="0.3">
      <c r="F8869" s="193"/>
    </row>
    <row r="8870" spans="6:6" x14ac:dyDescent="0.3">
      <c r="F8870" s="193"/>
    </row>
    <row r="8871" spans="6:6" x14ac:dyDescent="0.3">
      <c r="F8871" s="193"/>
    </row>
    <row r="8872" spans="6:6" x14ac:dyDescent="0.3">
      <c r="F8872" s="193"/>
    </row>
    <row r="8873" spans="6:6" x14ac:dyDescent="0.3">
      <c r="F8873" s="193"/>
    </row>
    <row r="8874" spans="6:6" x14ac:dyDescent="0.3">
      <c r="F8874" s="193"/>
    </row>
    <row r="8875" spans="6:6" x14ac:dyDescent="0.3">
      <c r="F8875" s="193"/>
    </row>
    <row r="8876" spans="6:6" x14ac:dyDescent="0.3">
      <c r="F8876" s="193"/>
    </row>
    <row r="8877" spans="6:6" x14ac:dyDescent="0.3">
      <c r="F8877" s="193"/>
    </row>
    <row r="8878" spans="6:6" x14ac:dyDescent="0.3">
      <c r="F8878" s="193"/>
    </row>
    <row r="8879" spans="6:6" x14ac:dyDescent="0.3">
      <c r="F8879" s="193"/>
    </row>
    <row r="8880" spans="6:6" x14ac:dyDescent="0.3">
      <c r="F8880" s="193"/>
    </row>
    <row r="8881" spans="6:6" x14ac:dyDescent="0.3">
      <c r="F8881" s="193"/>
    </row>
    <row r="8882" spans="6:6" x14ac:dyDescent="0.3">
      <c r="F8882" s="193"/>
    </row>
    <row r="8883" spans="6:6" x14ac:dyDescent="0.3">
      <c r="F8883" s="193"/>
    </row>
    <row r="8884" spans="6:6" x14ac:dyDescent="0.3">
      <c r="F8884" s="193"/>
    </row>
    <row r="8885" spans="6:6" x14ac:dyDescent="0.3">
      <c r="F8885" s="193"/>
    </row>
    <row r="8886" spans="6:6" x14ac:dyDescent="0.3">
      <c r="F8886" s="193"/>
    </row>
    <row r="8887" spans="6:6" x14ac:dyDescent="0.3">
      <c r="F8887" s="193"/>
    </row>
    <row r="8888" spans="6:6" x14ac:dyDescent="0.3">
      <c r="F8888" s="193"/>
    </row>
    <row r="8889" spans="6:6" x14ac:dyDescent="0.3">
      <c r="F8889" s="193"/>
    </row>
    <row r="8890" spans="6:6" x14ac:dyDescent="0.3">
      <c r="F8890" s="193"/>
    </row>
    <row r="8891" spans="6:6" x14ac:dyDescent="0.3">
      <c r="F8891" s="193"/>
    </row>
    <row r="8892" spans="6:6" x14ac:dyDescent="0.3">
      <c r="F8892" s="193"/>
    </row>
    <row r="8893" spans="6:6" x14ac:dyDescent="0.3">
      <c r="F8893" s="193"/>
    </row>
    <row r="8894" spans="6:6" x14ac:dyDescent="0.3">
      <c r="F8894" s="193"/>
    </row>
    <row r="8895" spans="6:6" x14ac:dyDescent="0.3">
      <c r="F8895" s="193"/>
    </row>
    <row r="8896" spans="6:6" x14ac:dyDescent="0.3">
      <c r="F8896" s="193"/>
    </row>
    <row r="8897" spans="6:6" x14ac:dyDescent="0.3">
      <c r="F8897" s="193"/>
    </row>
    <row r="8898" spans="6:6" x14ac:dyDescent="0.3">
      <c r="F8898" s="193"/>
    </row>
    <row r="8899" spans="6:6" x14ac:dyDescent="0.3">
      <c r="F8899" s="193"/>
    </row>
    <row r="8900" spans="6:6" x14ac:dyDescent="0.3">
      <c r="F8900" s="193"/>
    </row>
    <row r="8901" spans="6:6" x14ac:dyDescent="0.3">
      <c r="F8901" s="193"/>
    </row>
    <row r="8902" spans="6:6" x14ac:dyDescent="0.3">
      <c r="F8902" s="193"/>
    </row>
    <row r="8903" spans="6:6" x14ac:dyDescent="0.3">
      <c r="F8903" s="193"/>
    </row>
    <row r="8904" spans="6:6" x14ac:dyDescent="0.3">
      <c r="F8904" s="193"/>
    </row>
    <row r="8905" spans="6:6" x14ac:dyDescent="0.3">
      <c r="F8905" s="193"/>
    </row>
    <row r="8906" spans="6:6" x14ac:dyDescent="0.3">
      <c r="F8906" s="193"/>
    </row>
    <row r="8907" spans="6:6" x14ac:dyDescent="0.3">
      <c r="F8907" s="193"/>
    </row>
    <row r="8908" spans="6:6" x14ac:dyDescent="0.3">
      <c r="F8908" s="193"/>
    </row>
    <row r="8909" spans="6:6" x14ac:dyDescent="0.3">
      <c r="F8909" s="193"/>
    </row>
    <row r="8910" spans="6:6" x14ac:dyDescent="0.3">
      <c r="F8910" s="193"/>
    </row>
    <row r="8911" spans="6:6" x14ac:dyDescent="0.3">
      <c r="F8911" s="193"/>
    </row>
    <row r="8912" spans="6:6" x14ac:dyDescent="0.3">
      <c r="F8912" s="193"/>
    </row>
    <row r="8913" spans="6:6" x14ac:dyDescent="0.3">
      <c r="F8913" s="193"/>
    </row>
    <row r="8914" spans="6:6" x14ac:dyDescent="0.3">
      <c r="F8914" s="193"/>
    </row>
    <row r="8915" spans="6:6" x14ac:dyDescent="0.3">
      <c r="F8915" s="193"/>
    </row>
    <row r="8916" spans="6:6" x14ac:dyDescent="0.3">
      <c r="F8916" s="193"/>
    </row>
    <row r="8917" spans="6:6" x14ac:dyDescent="0.3">
      <c r="F8917" s="193"/>
    </row>
    <row r="8918" spans="6:6" x14ac:dyDescent="0.3">
      <c r="F8918" s="193"/>
    </row>
    <row r="8919" spans="6:6" x14ac:dyDescent="0.3">
      <c r="F8919" s="193"/>
    </row>
    <row r="8920" spans="6:6" x14ac:dyDescent="0.3">
      <c r="F8920" s="193"/>
    </row>
    <row r="8921" spans="6:6" x14ac:dyDescent="0.3">
      <c r="F8921" s="193"/>
    </row>
    <row r="8922" spans="6:6" x14ac:dyDescent="0.3">
      <c r="F8922" s="193"/>
    </row>
    <row r="8923" spans="6:6" x14ac:dyDescent="0.3">
      <c r="F8923" s="193"/>
    </row>
    <row r="8924" spans="6:6" x14ac:dyDescent="0.3">
      <c r="F8924" s="193"/>
    </row>
    <row r="8925" spans="6:6" x14ac:dyDescent="0.3">
      <c r="F8925" s="193"/>
    </row>
    <row r="8926" spans="6:6" x14ac:dyDescent="0.3">
      <c r="F8926" s="193"/>
    </row>
    <row r="8927" spans="6:6" x14ac:dyDescent="0.3">
      <c r="F8927" s="193"/>
    </row>
    <row r="8928" spans="6:6" x14ac:dyDescent="0.3">
      <c r="F8928" s="193"/>
    </row>
    <row r="8929" spans="6:6" x14ac:dyDescent="0.3">
      <c r="F8929" s="193"/>
    </row>
    <row r="8930" spans="6:6" x14ac:dyDescent="0.3">
      <c r="F8930" s="193"/>
    </row>
    <row r="8931" spans="6:6" x14ac:dyDescent="0.3">
      <c r="F8931" s="193"/>
    </row>
    <row r="8932" spans="6:6" x14ac:dyDescent="0.3">
      <c r="F8932" s="193"/>
    </row>
    <row r="8933" spans="6:6" x14ac:dyDescent="0.3">
      <c r="F8933" s="193"/>
    </row>
    <row r="8934" spans="6:6" x14ac:dyDescent="0.3">
      <c r="F8934" s="193"/>
    </row>
    <row r="8935" spans="6:6" x14ac:dyDescent="0.3">
      <c r="F8935" s="193"/>
    </row>
    <row r="8936" spans="6:6" x14ac:dyDescent="0.3">
      <c r="F8936" s="193"/>
    </row>
    <row r="8937" spans="6:6" x14ac:dyDescent="0.3">
      <c r="F8937" s="193"/>
    </row>
    <row r="8938" spans="6:6" x14ac:dyDescent="0.3">
      <c r="F8938" s="193"/>
    </row>
    <row r="8939" spans="6:6" x14ac:dyDescent="0.3">
      <c r="F8939" s="193"/>
    </row>
    <row r="8940" spans="6:6" x14ac:dyDescent="0.3">
      <c r="F8940" s="193"/>
    </row>
    <row r="8941" spans="6:6" x14ac:dyDescent="0.3">
      <c r="F8941" s="193"/>
    </row>
    <row r="8942" spans="6:6" x14ac:dyDescent="0.3">
      <c r="F8942" s="193"/>
    </row>
    <row r="8943" spans="6:6" x14ac:dyDescent="0.3">
      <c r="F8943" s="193"/>
    </row>
    <row r="8944" spans="6:6" x14ac:dyDescent="0.3">
      <c r="F8944" s="193"/>
    </row>
    <row r="8945" spans="6:6" x14ac:dyDescent="0.3">
      <c r="F8945" s="193"/>
    </row>
    <row r="8946" spans="6:6" x14ac:dyDescent="0.3">
      <c r="F8946" s="193"/>
    </row>
    <row r="8947" spans="6:6" x14ac:dyDescent="0.3">
      <c r="F8947" s="193"/>
    </row>
    <row r="8948" spans="6:6" x14ac:dyDescent="0.3">
      <c r="F8948" s="193"/>
    </row>
    <row r="8949" spans="6:6" x14ac:dyDescent="0.3">
      <c r="F8949" s="193"/>
    </row>
    <row r="8950" spans="6:6" x14ac:dyDescent="0.3">
      <c r="F8950" s="193"/>
    </row>
    <row r="8951" spans="6:6" x14ac:dyDescent="0.3">
      <c r="F8951" s="193"/>
    </row>
    <row r="8952" spans="6:6" x14ac:dyDescent="0.3">
      <c r="F8952" s="193"/>
    </row>
    <row r="8953" spans="6:6" x14ac:dyDescent="0.3">
      <c r="F8953" s="193"/>
    </row>
    <row r="8954" spans="6:6" x14ac:dyDescent="0.3">
      <c r="F8954" s="193"/>
    </row>
    <row r="8955" spans="6:6" x14ac:dyDescent="0.3">
      <c r="F8955" s="193"/>
    </row>
    <row r="8956" spans="6:6" x14ac:dyDescent="0.3">
      <c r="F8956" s="193"/>
    </row>
    <row r="8957" spans="6:6" x14ac:dyDescent="0.3">
      <c r="F8957" s="193"/>
    </row>
    <row r="8958" spans="6:6" x14ac:dyDescent="0.3">
      <c r="F8958" s="193"/>
    </row>
    <row r="8959" spans="6:6" x14ac:dyDescent="0.3">
      <c r="F8959" s="193"/>
    </row>
    <row r="8960" spans="6:6" x14ac:dyDescent="0.3">
      <c r="F8960" s="193"/>
    </row>
    <row r="8961" spans="6:6" x14ac:dyDescent="0.3">
      <c r="F8961" s="193"/>
    </row>
    <row r="8962" spans="6:6" x14ac:dyDescent="0.3">
      <c r="F8962" s="193"/>
    </row>
    <row r="8963" spans="6:6" x14ac:dyDescent="0.3">
      <c r="F8963" s="193"/>
    </row>
    <row r="8964" spans="6:6" x14ac:dyDescent="0.3">
      <c r="F8964" s="193"/>
    </row>
    <row r="8965" spans="6:6" x14ac:dyDescent="0.3">
      <c r="F8965" s="193"/>
    </row>
    <row r="8966" spans="6:6" x14ac:dyDescent="0.3">
      <c r="F8966" s="193"/>
    </row>
    <row r="8967" spans="6:6" x14ac:dyDescent="0.3">
      <c r="F8967" s="193"/>
    </row>
    <row r="8968" spans="6:6" x14ac:dyDescent="0.3">
      <c r="F8968" s="193"/>
    </row>
    <row r="8969" spans="6:6" x14ac:dyDescent="0.3">
      <c r="F8969" s="193"/>
    </row>
    <row r="8970" spans="6:6" x14ac:dyDescent="0.3">
      <c r="F8970" s="193"/>
    </row>
    <row r="8971" spans="6:6" x14ac:dyDescent="0.3">
      <c r="F8971" s="193"/>
    </row>
    <row r="8972" spans="6:6" x14ac:dyDescent="0.3">
      <c r="F8972" s="193"/>
    </row>
    <row r="8973" spans="6:6" x14ac:dyDescent="0.3">
      <c r="F8973" s="193"/>
    </row>
    <row r="8974" spans="6:6" x14ac:dyDescent="0.3">
      <c r="F8974" s="193"/>
    </row>
    <row r="8975" spans="6:6" x14ac:dyDescent="0.3">
      <c r="F8975" s="193"/>
    </row>
    <row r="8976" spans="6:6" x14ac:dyDescent="0.3">
      <c r="F8976" s="193"/>
    </row>
    <row r="8977" spans="6:6" x14ac:dyDescent="0.3">
      <c r="F8977" s="193"/>
    </row>
    <row r="8978" spans="6:6" x14ac:dyDescent="0.3">
      <c r="F8978" s="193"/>
    </row>
    <row r="8979" spans="6:6" x14ac:dyDescent="0.3">
      <c r="F8979" s="193"/>
    </row>
    <row r="8980" spans="6:6" x14ac:dyDescent="0.3">
      <c r="F8980" s="193"/>
    </row>
    <row r="8981" spans="6:6" x14ac:dyDescent="0.3">
      <c r="F8981" s="193"/>
    </row>
    <row r="8982" spans="6:6" x14ac:dyDescent="0.3">
      <c r="F8982" s="193"/>
    </row>
    <row r="8983" spans="6:6" x14ac:dyDescent="0.3">
      <c r="F8983" s="193"/>
    </row>
    <row r="8984" spans="6:6" x14ac:dyDescent="0.3">
      <c r="F8984" s="193"/>
    </row>
    <row r="8985" spans="6:6" x14ac:dyDescent="0.3">
      <c r="F8985" s="193"/>
    </row>
    <row r="8986" spans="6:6" x14ac:dyDescent="0.3">
      <c r="F8986" s="193"/>
    </row>
    <row r="8987" spans="6:6" x14ac:dyDescent="0.3">
      <c r="F8987" s="193"/>
    </row>
    <row r="8988" spans="6:6" x14ac:dyDescent="0.3">
      <c r="F8988" s="193"/>
    </row>
    <row r="8989" spans="6:6" x14ac:dyDescent="0.3">
      <c r="F8989" s="193"/>
    </row>
    <row r="8990" spans="6:6" x14ac:dyDescent="0.3">
      <c r="F8990" s="193"/>
    </row>
    <row r="8991" spans="6:6" x14ac:dyDescent="0.3">
      <c r="F8991" s="193"/>
    </row>
    <row r="8992" spans="6:6" x14ac:dyDescent="0.3">
      <c r="F8992" s="193"/>
    </row>
    <row r="8993" spans="6:6" x14ac:dyDescent="0.3">
      <c r="F8993" s="193"/>
    </row>
    <row r="8994" spans="6:6" x14ac:dyDescent="0.3">
      <c r="F8994" s="193"/>
    </row>
    <row r="8995" spans="6:6" x14ac:dyDescent="0.3">
      <c r="F8995" s="193"/>
    </row>
    <row r="8996" spans="6:6" x14ac:dyDescent="0.3">
      <c r="F8996" s="193"/>
    </row>
    <row r="8997" spans="6:6" x14ac:dyDescent="0.3">
      <c r="F8997" s="193"/>
    </row>
    <row r="8998" spans="6:6" x14ac:dyDescent="0.3">
      <c r="F8998" s="193"/>
    </row>
    <row r="8999" spans="6:6" x14ac:dyDescent="0.3">
      <c r="F8999" s="193"/>
    </row>
    <row r="9000" spans="6:6" x14ac:dyDescent="0.3">
      <c r="F9000" s="193"/>
    </row>
    <row r="9001" spans="6:6" x14ac:dyDescent="0.3">
      <c r="F9001" s="193"/>
    </row>
    <row r="9002" spans="6:6" x14ac:dyDescent="0.3">
      <c r="F9002" s="193"/>
    </row>
    <row r="9003" spans="6:6" x14ac:dyDescent="0.3">
      <c r="F9003" s="193"/>
    </row>
    <row r="9004" spans="6:6" x14ac:dyDescent="0.3">
      <c r="F9004" s="193"/>
    </row>
    <row r="9005" spans="6:6" x14ac:dyDescent="0.3">
      <c r="F9005" s="193"/>
    </row>
    <row r="9006" spans="6:6" x14ac:dyDescent="0.3">
      <c r="F9006" s="193"/>
    </row>
    <row r="9007" spans="6:6" x14ac:dyDescent="0.3">
      <c r="F9007" s="193"/>
    </row>
    <row r="9008" spans="6:6" x14ac:dyDescent="0.3">
      <c r="F9008" s="193"/>
    </row>
    <row r="9009" spans="6:6" x14ac:dyDescent="0.3">
      <c r="F9009" s="193"/>
    </row>
    <row r="9010" spans="6:6" x14ac:dyDescent="0.3">
      <c r="F9010" s="193"/>
    </row>
    <row r="9011" spans="6:6" x14ac:dyDescent="0.3">
      <c r="F9011" s="193"/>
    </row>
    <row r="9012" spans="6:6" x14ac:dyDescent="0.3">
      <c r="F9012" s="193"/>
    </row>
    <row r="9013" spans="6:6" x14ac:dyDescent="0.3">
      <c r="F9013" s="193"/>
    </row>
    <row r="9014" spans="6:6" x14ac:dyDescent="0.3">
      <c r="F9014" s="193"/>
    </row>
    <row r="9015" spans="6:6" x14ac:dyDescent="0.3">
      <c r="F9015" s="193"/>
    </row>
    <row r="9016" spans="6:6" x14ac:dyDescent="0.3">
      <c r="F9016" s="193"/>
    </row>
    <row r="9017" spans="6:6" x14ac:dyDescent="0.3">
      <c r="F9017" s="193"/>
    </row>
    <row r="9018" spans="6:6" x14ac:dyDescent="0.3">
      <c r="F9018" s="193"/>
    </row>
    <row r="9019" spans="6:6" x14ac:dyDescent="0.3">
      <c r="F9019" s="193"/>
    </row>
    <row r="9020" spans="6:6" x14ac:dyDescent="0.3">
      <c r="F9020" s="193"/>
    </row>
    <row r="9021" spans="6:6" x14ac:dyDescent="0.3">
      <c r="F9021" s="193"/>
    </row>
    <row r="9022" spans="6:6" x14ac:dyDescent="0.3">
      <c r="F9022" s="193"/>
    </row>
    <row r="9023" spans="6:6" x14ac:dyDescent="0.3">
      <c r="F9023" s="193"/>
    </row>
    <row r="9024" spans="6:6" x14ac:dyDescent="0.3">
      <c r="F9024" s="193"/>
    </row>
    <row r="9025" spans="6:6" x14ac:dyDescent="0.3">
      <c r="F9025" s="193"/>
    </row>
    <row r="9026" spans="6:6" x14ac:dyDescent="0.3">
      <c r="F9026" s="193"/>
    </row>
    <row r="9027" spans="6:6" x14ac:dyDescent="0.3">
      <c r="F9027" s="193"/>
    </row>
    <row r="9028" spans="6:6" x14ac:dyDescent="0.3">
      <c r="F9028" s="193"/>
    </row>
    <row r="9029" spans="6:6" x14ac:dyDescent="0.3">
      <c r="F9029" s="193"/>
    </row>
    <row r="9030" spans="6:6" x14ac:dyDescent="0.3">
      <c r="F9030" s="193"/>
    </row>
    <row r="9031" spans="6:6" x14ac:dyDescent="0.3">
      <c r="F9031" s="193"/>
    </row>
    <row r="9032" spans="6:6" x14ac:dyDescent="0.3">
      <c r="F9032" s="193"/>
    </row>
    <row r="9033" spans="6:6" x14ac:dyDescent="0.3">
      <c r="F9033" s="193"/>
    </row>
    <row r="9034" spans="6:6" x14ac:dyDescent="0.3">
      <c r="F9034" s="193"/>
    </row>
    <row r="9035" spans="6:6" x14ac:dyDescent="0.3">
      <c r="F9035" s="193"/>
    </row>
    <row r="9036" spans="6:6" x14ac:dyDescent="0.3">
      <c r="F9036" s="193"/>
    </row>
    <row r="9037" spans="6:6" x14ac:dyDescent="0.3">
      <c r="F9037" s="193"/>
    </row>
    <row r="9038" spans="6:6" x14ac:dyDescent="0.3">
      <c r="F9038" s="193"/>
    </row>
    <row r="9039" spans="6:6" x14ac:dyDescent="0.3">
      <c r="F9039" s="193"/>
    </row>
    <row r="9040" spans="6:6" x14ac:dyDescent="0.3">
      <c r="F9040" s="193"/>
    </row>
    <row r="9041" spans="6:6" x14ac:dyDescent="0.3">
      <c r="F9041" s="193"/>
    </row>
    <row r="9042" spans="6:6" x14ac:dyDescent="0.3">
      <c r="F9042" s="193"/>
    </row>
    <row r="9043" spans="6:6" x14ac:dyDescent="0.3">
      <c r="F9043" s="193"/>
    </row>
    <row r="9044" spans="6:6" x14ac:dyDescent="0.3">
      <c r="F9044" s="193"/>
    </row>
    <row r="9045" spans="6:6" x14ac:dyDescent="0.3">
      <c r="F9045" s="193"/>
    </row>
    <row r="9046" spans="6:6" x14ac:dyDescent="0.3">
      <c r="F9046" s="193"/>
    </row>
    <row r="9047" spans="6:6" x14ac:dyDescent="0.3">
      <c r="F9047" s="193"/>
    </row>
    <row r="9048" spans="6:6" x14ac:dyDescent="0.3">
      <c r="F9048" s="193"/>
    </row>
    <row r="9049" spans="6:6" x14ac:dyDescent="0.3">
      <c r="F9049" s="193"/>
    </row>
    <row r="9050" spans="6:6" x14ac:dyDescent="0.3">
      <c r="F9050" s="193"/>
    </row>
    <row r="9051" spans="6:6" x14ac:dyDescent="0.3">
      <c r="F9051" s="193"/>
    </row>
    <row r="9052" spans="6:6" x14ac:dyDescent="0.3">
      <c r="F9052" s="193"/>
    </row>
    <row r="9053" spans="6:6" x14ac:dyDescent="0.3">
      <c r="F9053" s="193"/>
    </row>
    <row r="9054" spans="6:6" x14ac:dyDescent="0.3">
      <c r="F9054" s="193"/>
    </row>
    <row r="9055" spans="6:6" x14ac:dyDescent="0.3">
      <c r="F9055" s="193"/>
    </row>
    <row r="9056" spans="6:6" x14ac:dyDescent="0.3">
      <c r="F9056" s="193"/>
    </row>
    <row r="9057" spans="6:6" x14ac:dyDescent="0.3">
      <c r="F9057" s="193"/>
    </row>
    <row r="9058" spans="6:6" x14ac:dyDescent="0.3">
      <c r="F9058" s="193"/>
    </row>
    <row r="9059" spans="6:6" x14ac:dyDescent="0.3">
      <c r="F9059" s="193"/>
    </row>
    <row r="9060" spans="6:6" x14ac:dyDescent="0.3">
      <c r="F9060" s="193"/>
    </row>
    <row r="9061" spans="6:6" x14ac:dyDescent="0.3">
      <c r="F9061" s="193"/>
    </row>
    <row r="9062" spans="6:6" x14ac:dyDescent="0.3">
      <c r="F9062" s="193"/>
    </row>
    <row r="9063" spans="6:6" x14ac:dyDescent="0.3">
      <c r="F9063" s="193"/>
    </row>
    <row r="9064" spans="6:6" x14ac:dyDescent="0.3">
      <c r="F9064" s="193"/>
    </row>
    <row r="9065" spans="6:6" x14ac:dyDescent="0.3">
      <c r="F9065" s="193"/>
    </row>
    <row r="9066" spans="6:6" x14ac:dyDescent="0.3">
      <c r="F9066" s="193"/>
    </row>
    <row r="9067" spans="6:6" x14ac:dyDescent="0.3">
      <c r="F9067" s="193"/>
    </row>
    <row r="9068" spans="6:6" x14ac:dyDescent="0.3">
      <c r="F9068" s="193"/>
    </row>
    <row r="9069" spans="6:6" x14ac:dyDescent="0.3">
      <c r="F9069" s="193"/>
    </row>
    <row r="9070" spans="6:6" x14ac:dyDescent="0.3">
      <c r="F9070" s="193"/>
    </row>
    <row r="9071" spans="6:6" x14ac:dyDescent="0.3">
      <c r="F9071" s="193"/>
    </row>
    <row r="9072" spans="6:6" x14ac:dyDescent="0.3">
      <c r="F9072" s="193"/>
    </row>
    <row r="9073" spans="6:6" x14ac:dyDescent="0.3">
      <c r="F9073" s="193"/>
    </row>
    <row r="9074" spans="6:6" x14ac:dyDescent="0.3">
      <c r="F9074" s="193"/>
    </row>
    <row r="9075" spans="6:6" x14ac:dyDescent="0.3">
      <c r="F9075" s="193"/>
    </row>
    <row r="9076" spans="6:6" x14ac:dyDescent="0.3">
      <c r="F9076" s="193"/>
    </row>
    <row r="9077" spans="6:6" x14ac:dyDescent="0.3">
      <c r="F9077" s="193"/>
    </row>
    <row r="9078" spans="6:6" x14ac:dyDescent="0.3">
      <c r="F9078" s="193"/>
    </row>
    <row r="9079" spans="6:6" x14ac:dyDescent="0.3">
      <c r="F9079" s="193"/>
    </row>
    <row r="9080" spans="6:6" x14ac:dyDescent="0.3">
      <c r="F9080" s="193"/>
    </row>
    <row r="9081" spans="6:6" x14ac:dyDescent="0.3">
      <c r="F9081" s="193"/>
    </row>
    <row r="9082" spans="6:6" x14ac:dyDescent="0.3">
      <c r="F9082" s="193"/>
    </row>
    <row r="9083" spans="6:6" x14ac:dyDescent="0.3">
      <c r="F9083" s="193"/>
    </row>
    <row r="9084" spans="6:6" x14ac:dyDescent="0.3">
      <c r="F9084" s="193"/>
    </row>
    <row r="9085" spans="6:6" x14ac:dyDescent="0.3">
      <c r="F9085" s="193"/>
    </row>
    <row r="9086" spans="6:6" x14ac:dyDescent="0.3">
      <c r="F9086" s="193"/>
    </row>
    <row r="9087" spans="6:6" x14ac:dyDescent="0.3">
      <c r="F9087" s="193"/>
    </row>
    <row r="9088" spans="6:6" x14ac:dyDescent="0.3">
      <c r="F9088" s="193"/>
    </row>
    <row r="9089" spans="6:6" x14ac:dyDescent="0.3">
      <c r="F9089" s="193"/>
    </row>
    <row r="9090" spans="6:6" x14ac:dyDescent="0.3">
      <c r="F9090" s="193"/>
    </row>
    <row r="9091" spans="6:6" x14ac:dyDescent="0.3">
      <c r="F9091" s="193"/>
    </row>
    <row r="9092" spans="6:6" x14ac:dyDescent="0.3">
      <c r="F9092" s="193"/>
    </row>
    <row r="9093" spans="6:6" x14ac:dyDescent="0.3">
      <c r="F9093" s="193"/>
    </row>
    <row r="9094" spans="6:6" x14ac:dyDescent="0.3">
      <c r="F9094" s="193"/>
    </row>
    <row r="9095" spans="6:6" x14ac:dyDescent="0.3">
      <c r="F9095" s="193"/>
    </row>
    <row r="9096" spans="6:6" x14ac:dyDescent="0.3">
      <c r="F9096" s="193"/>
    </row>
    <row r="9097" spans="6:6" x14ac:dyDescent="0.3">
      <c r="F9097" s="193"/>
    </row>
    <row r="9098" spans="6:6" x14ac:dyDescent="0.3">
      <c r="F9098" s="193"/>
    </row>
    <row r="9099" spans="6:6" x14ac:dyDescent="0.3">
      <c r="F9099" s="193"/>
    </row>
    <row r="9100" spans="6:6" x14ac:dyDescent="0.3">
      <c r="F9100" s="193"/>
    </row>
    <row r="9101" spans="6:6" x14ac:dyDescent="0.3">
      <c r="F9101" s="193"/>
    </row>
    <row r="9102" spans="6:6" x14ac:dyDescent="0.3">
      <c r="F9102" s="193"/>
    </row>
    <row r="9103" spans="6:6" x14ac:dyDescent="0.3">
      <c r="F9103" s="193"/>
    </row>
    <row r="9104" spans="6:6" x14ac:dyDescent="0.3">
      <c r="F9104" s="193"/>
    </row>
    <row r="9105" spans="6:6" x14ac:dyDescent="0.3">
      <c r="F9105" s="193"/>
    </row>
    <row r="9106" spans="6:6" x14ac:dyDescent="0.3">
      <c r="F9106" s="193"/>
    </row>
    <row r="9107" spans="6:6" x14ac:dyDescent="0.3">
      <c r="F9107" s="193"/>
    </row>
    <row r="9108" spans="6:6" x14ac:dyDescent="0.3">
      <c r="F9108" s="193"/>
    </row>
    <row r="9109" spans="6:6" x14ac:dyDescent="0.3">
      <c r="F9109" s="193"/>
    </row>
    <row r="9110" spans="6:6" x14ac:dyDescent="0.3">
      <c r="F9110" s="193"/>
    </row>
    <row r="9111" spans="6:6" x14ac:dyDescent="0.3">
      <c r="F9111" s="193"/>
    </row>
    <row r="9112" spans="6:6" x14ac:dyDescent="0.3">
      <c r="F9112" s="193"/>
    </row>
    <row r="9113" spans="6:6" x14ac:dyDescent="0.3">
      <c r="F9113" s="193"/>
    </row>
    <row r="9114" spans="6:6" x14ac:dyDescent="0.3">
      <c r="F9114" s="193"/>
    </row>
    <row r="9115" spans="6:6" x14ac:dyDescent="0.3">
      <c r="F9115" s="193"/>
    </row>
    <row r="9116" spans="6:6" x14ac:dyDescent="0.3">
      <c r="F9116" s="193"/>
    </row>
    <row r="9117" spans="6:6" x14ac:dyDescent="0.3">
      <c r="F9117" s="193"/>
    </row>
    <row r="9118" spans="6:6" x14ac:dyDescent="0.3">
      <c r="F9118" s="193"/>
    </row>
    <row r="9119" spans="6:6" x14ac:dyDescent="0.3">
      <c r="F9119" s="193"/>
    </row>
    <row r="9120" spans="6:6" x14ac:dyDescent="0.3">
      <c r="F9120" s="193"/>
    </row>
    <row r="9121" spans="6:6" x14ac:dyDescent="0.3">
      <c r="F9121" s="193"/>
    </row>
    <row r="9122" spans="6:6" x14ac:dyDescent="0.3">
      <c r="F9122" s="193"/>
    </row>
    <row r="9123" spans="6:6" x14ac:dyDescent="0.3">
      <c r="F9123" s="193"/>
    </row>
    <row r="9124" spans="6:6" x14ac:dyDescent="0.3">
      <c r="F9124" s="193"/>
    </row>
    <row r="9125" spans="6:6" x14ac:dyDescent="0.3">
      <c r="F9125" s="193"/>
    </row>
    <row r="9126" spans="6:6" x14ac:dyDescent="0.3">
      <c r="F9126" s="193"/>
    </row>
    <row r="9127" spans="6:6" x14ac:dyDescent="0.3">
      <c r="F9127" s="193"/>
    </row>
    <row r="9128" spans="6:6" x14ac:dyDescent="0.3">
      <c r="F9128" s="193"/>
    </row>
    <row r="9129" spans="6:6" x14ac:dyDescent="0.3">
      <c r="F9129" s="193"/>
    </row>
    <row r="9130" spans="6:6" x14ac:dyDescent="0.3">
      <c r="F9130" s="193"/>
    </row>
    <row r="9131" spans="6:6" x14ac:dyDescent="0.3">
      <c r="F9131" s="193"/>
    </row>
    <row r="9132" spans="6:6" x14ac:dyDescent="0.3">
      <c r="F9132" s="193"/>
    </row>
    <row r="9133" spans="6:6" x14ac:dyDescent="0.3">
      <c r="F9133" s="193"/>
    </row>
    <row r="9134" spans="6:6" x14ac:dyDescent="0.3">
      <c r="F9134" s="193"/>
    </row>
    <row r="9135" spans="6:6" x14ac:dyDescent="0.3">
      <c r="F9135" s="193"/>
    </row>
    <row r="9136" spans="6:6" x14ac:dyDescent="0.3">
      <c r="F9136" s="193"/>
    </row>
    <row r="9137" spans="6:6" x14ac:dyDescent="0.3">
      <c r="F9137" s="193"/>
    </row>
    <row r="9138" spans="6:6" x14ac:dyDescent="0.3">
      <c r="F9138" s="193"/>
    </row>
    <row r="9139" spans="6:6" x14ac:dyDescent="0.3">
      <c r="F9139" s="193"/>
    </row>
    <row r="9140" spans="6:6" x14ac:dyDescent="0.3">
      <c r="F9140" s="193"/>
    </row>
    <row r="9141" spans="6:6" x14ac:dyDescent="0.3">
      <c r="F9141" s="193"/>
    </row>
    <row r="9142" spans="6:6" x14ac:dyDescent="0.3">
      <c r="F9142" s="193"/>
    </row>
    <row r="9143" spans="6:6" x14ac:dyDescent="0.3">
      <c r="F9143" s="193"/>
    </row>
    <row r="9144" spans="6:6" x14ac:dyDescent="0.3">
      <c r="F9144" s="193"/>
    </row>
    <row r="9145" spans="6:6" x14ac:dyDescent="0.3">
      <c r="F9145" s="193"/>
    </row>
    <row r="9146" spans="6:6" x14ac:dyDescent="0.3">
      <c r="F9146" s="193"/>
    </row>
    <row r="9147" spans="6:6" x14ac:dyDescent="0.3">
      <c r="F9147" s="193"/>
    </row>
    <row r="9148" spans="6:6" x14ac:dyDescent="0.3">
      <c r="F9148" s="193"/>
    </row>
    <row r="9149" spans="6:6" x14ac:dyDescent="0.3">
      <c r="F9149" s="193"/>
    </row>
    <row r="9150" spans="6:6" x14ac:dyDescent="0.3">
      <c r="F9150" s="193"/>
    </row>
    <row r="9151" spans="6:6" x14ac:dyDescent="0.3">
      <c r="F9151" s="193"/>
    </row>
    <row r="9152" spans="6:6" x14ac:dyDescent="0.3">
      <c r="F9152" s="193"/>
    </row>
    <row r="9153" spans="6:6" x14ac:dyDescent="0.3">
      <c r="F9153" s="193"/>
    </row>
    <row r="9154" spans="6:6" x14ac:dyDescent="0.3">
      <c r="F9154" s="193"/>
    </row>
    <row r="9155" spans="6:6" x14ac:dyDescent="0.3">
      <c r="F9155" s="193"/>
    </row>
    <row r="9156" spans="6:6" x14ac:dyDescent="0.3">
      <c r="F9156" s="193"/>
    </row>
    <row r="9157" spans="6:6" x14ac:dyDescent="0.3">
      <c r="F9157" s="193"/>
    </row>
    <row r="9158" spans="6:6" x14ac:dyDescent="0.3">
      <c r="F9158" s="193"/>
    </row>
    <row r="9159" spans="6:6" x14ac:dyDescent="0.3">
      <c r="F9159" s="193"/>
    </row>
    <row r="9160" spans="6:6" x14ac:dyDescent="0.3">
      <c r="F9160" s="193"/>
    </row>
    <row r="9161" spans="6:6" x14ac:dyDescent="0.3">
      <c r="F9161" s="193"/>
    </row>
    <row r="9162" spans="6:6" x14ac:dyDescent="0.3">
      <c r="F9162" s="193"/>
    </row>
    <row r="9163" spans="6:6" x14ac:dyDescent="0.3">
      <c r="F9163" s="193"/>
    </row>
    <row r="9164" spans="6:6" x14ac:dyDescent="0.3">
      <c r="F9164" s="193"/>
    </row>
    <row r="9165" spans="6:6" x14ac:dyDescent="0.3">
      <c r="F9165" s="193"/>
    </row>
    <row r="9166" spans="6:6" x14ac:dyDescent="0.3">
      <c r="F9166" s="193"/>
    </row>
    <row r="9167" spans="6:6" x14ac:dyDescent="0.3">
      <c r="F9167" s="193"/>
    </row>
    <row r="9168" spans="6:6" x14ac:dyDescent="0.3">
      <c r="F9168" s="193"/>
    </row>
    <row r="9169" spans="6:6" x14ac:dyDescent="0.3">
      <c r="F9169" s="193"/>
    </row>
    <row r="9170" spans="6:6" x14ac:dyDescent="0.3">
      <c r="F9170" s="193"/>
    </row>
    <row r="9171" spans="6:6" x14ac:dyDescent="0.3">
      <c r="F9171" s="193"/>
    </row>
    <row r="9172" spans="6:6" x14ac:dyDescent="0.3">
      <c r="F9172" s="193"/>
    </row>
    <row r="9173" spans="6:6" x14ac:dyDescent="0.3">
      <c r="F9173" s="193"/>
    </row>
    <row r="9174" spans="6:6" x14ac:dyDescent="0.3">
      <c r="F9174" s="193"/>
    </row>
    <row r="9175" spans="6:6" x14ac:dyDescent="0.3">
      <c r="F9175" s="193"/>
    </row>
    <row r="9176" spans="6:6" x14ac:dyDescent="0.3">
      <c r="F9176" s="193"/>
    </row>
    <row r="9177" spans="6:6" x14ac:dyDescent="0.3">
      <c r="F9177" s="193"/>
    </row>
    <row r="9178" spans="6:6" x14ac:dyDescent="0.3">
      <c r="F9178" s="193"/>
    </row>
    <row r="9179" spans="6:6" x14ac:dyDescent="0.3">
      <c r="F9179" s="193"/>
    </row>
    <row r="9180" spans="6:6" x14ac:dyDescent="0.3">
      <c r="F9180" s="193"/>
    </row>
    <row r="9181" spans="6:6" x14ac:dyDescent="0.3">
      <c r="F9181" s="193"/>
    </row>
    <row r="9182" spans="6:6" x14ac:dyDescent="0.3">
      <c r="F9182" s="193"/>
    </row>
    <row r="9183" spans="6:6" x14ac:dyDescent="0.3">
      <c r="F9183" s="193"/>
    </row>
    <row r="9184" spans="6:6" x14ac:dyDescent="0.3">
      <c r="F9184" s="193"/>
    </row>
    <row r="9185" spans="6:6" x14ac:dyDescent="0.3">
      <c r="F9185" s="193"/>
    </row>
    <row r="9186" spans="6:6" x14ac:dyDescent="0.3">
      <c r="F9186" s="193"/>
    </row>
    <row r="9187" spans="6:6" x14ac:dyDescent="0.3">
      <c r="F9187" s="193"/>
    </row>
    <row r="9188" spans="6:6" x14ac:dyDescent="0.3">
      <c r="F9188" s="193"/>
    </row>
    <row r="9189" spans="6:6" x14ac:dyDescent="0.3">
      <c r="F9189" s="193"/>
    </row>
    <row r="9190" spans="6:6" x14ac:dyDescent="0.3">
      <c r="F9190" s="193"/>
    </row>
    <row r="9191" spans="6:6" x14ac:dyDescent="0.3">
      <c r="F9191" s="193"/>
    </row>
    <row r="9192" spans="6:6" x14ac:dyDescent="0.3">
      <c r="F9192" s="193"/>
    </row>
    <row r="9193" spans="6:6" x14ac:dyDescent="0.3">
      <c r="F9193" s="193"/>
    </row>
    <row r="9194" spans="6:6" x14ac:dyDescent="0.3">
      <c r="F9194" s="193"/>
    </row>
    <row r="9195" spans="6:6" x14ac:dyDescent="0.3">
      <c r="F9195" s="193"/>
    </row>
    <row r="9196" spans="6:6" x14ac:dyDescent="0.3">
      <c r="F9196" s="193"/>
    </row>
    <row r="9197" spans="6:6" x14ac:dyDescent="0.3">
      <c r="F9197" s="193"/>
    </row>
    <row r="9198" spans="6:6" x14ac:dyDescent="0.3">
      <c r="F9198" s="193"/>
    </row>
    <row r="9199" spans="6:6" x14ac:dyDescent="0.3">
      <c r="F9199" s="193"/>
    </row>
    <row r="9200" spans="6:6" x14ac:dyDescent="0.3">
      <c r="F9200" s="193"/>
    </row>
    <row r="9201" spans="6:6" x14ac:dyDescent="0.3">
      <c r="F9201" s="193"/>
    </row>
    <row r="9202" spans="6:6" x14ac:dyDescent="0.3">
      <c r="F9202" s="193"/>
    </row>
    <row r="9203" spans="6:6" x14ac:dyDescent="0.3">
      <c r="F9203" s="193"/>
    </row>
    <row r="9204" spans="6:6" x14ac:dyDescent="0.3">
      <c r="F9204" s="193"/>
    </row>
    <row r="9205" spans="6:6" x14ac:dyDescent="0.3">
      <c r="F9205" s="193"/>
    </row>
    <row r="9206" spans="6:6" x14ac:dyDescent="0.3">
      <c r="F9206" s="193"/>
    </row>
    <row r="9207" spans="6:6" x14ac:dyDescent="0.3">
      <c r="F9207" s="193"/>
    </row>
    <row r="9208" spans="6:6" x14ac:dyDescent="0.3">
      <c r="F9208" s="193"/>
    </row>
    <row r="9209" spans="6:6" x14ac:dyDescent="0.3">
      <c r="F9209" s="193"/>
    </row>
    <row r="9210" spans="6:6" x14ac:dyDescent="0.3">
      <c r="F9210" s="193"/>
    </row>
    <row r="9211" spans="6:6" x14ac:dyDescent="0.3">
      <c r="F9211" s="193"/>
    </row>
    <row r="9212" spans="6:6" x14ac:dyDescent="0.3">
      <c r="F9212" s="193"/>
    </row>
    <row r="9213" spans="6:6" x14ac:dyDescent="0.3">
      <c r="F9213" s="193"/>
    </row>
    <row r="9214" spans="6:6" x14ac:dyDescent="0.3">
      <c r="F9214" s="193"/>
    </row>
    <row r="9215" spans="6:6" x14ac:dyDescent="0.3">
      <c r="F9215" s="193"/>
    </row>
    <row r="9216" spans="6:6" x14ac:dyDescent="0.3">
      <c r="F9216" s="193"/>
    </row>
    <row r="9217" spans="6:6" x14ac:dyDescent="0.3">
      <c r="F9217" s="193"/>
    </row>
    <row r="9218" spans="6:6" x14ac:dyDescent="0.3">
      <c r="F9218" s="193"/>
    </row>
    <row r="9219" spans="6:6" x14ac:dyDescent="0.3">
      <c r="F9219" s="193"/>
    </row>
    <row r="9220" spans="6:6" x14ac:dyDescent="0.3">
      <c r="F9220" s="193"/>
    </row>
    <row r="9221" spans="6:6" x14ac:dyDescent="0.3">
      <c r="F9221" s="193"/>
    </row>
    <row r="9222" spans="6:6" x14ac:dyDescent="0.3">
      <c r="F9222" s="193"/>
    </row>
    <row r="9223" spans="6:6" x14ac:dyDescent="0.3">
      <c r="F9223" s="193"/>
    </row>
    <row r="9224" spans="6:6" x14ac:dyDescent="0.3">
      <c r="F9224" s="193"/>
    </row>
    <row r="9225" spans="6:6" x14ac:dyDescent="0.3">
      <c r="F9225" s="193"/>
    </row>
    <row r="9226" spans="6:6" x14ac:dyDescent="0.3">
      <c r="F9226" s="193"/>
    </row>
    <row r="9227" spans="6:6" x14ac:dyDescent="0.3">
      <c r="F9227" s="193"/>
    </row>
    <row r="9228" spans="6:6" x14ac:dyDescent="0.3">
      <c r="F9228" s="193"/>
    </row>
    <row r="9229" spans="6:6" x14ac:dyDescent="0.3">
      <c r="F9229" s="193"/>
    </row>
    <row r="9230" spans="6:6" x14ac:dyDescent="0.3">
      <c r="F9230" s="193"/>
    </row>
    <row r="9231" spans="6:6" x14ac:dyDescent="0.3">
      <c r="F9231" s="193"/>
    </row>
    <row r="9232" spans="6:6" x14ac:dyDescent="0.3">
      <c r="F9232" s="193"/>
    </row>
    <row r="9233" spans="6:6" x14ac:dyDescent="0.3">
      <c r="F9233" s="193"/>
    </row>
    <row r="9234" spans="6:6" x14ac:dyDescent="0.3">
      <c r="F9234" s="193"/>
    </row>
    <row r="9235" spans="6:6" x14ac:dyDescent="0.3">
      <c r="F9235" s="193"/>
    </row>
    <row r="9236" spans="6:6" x14ac:dyDescent="0.3">
      <c r="F9236" s="193"/>
    </row>
    <row r="9237" spans="6:6" x14ac:dyDescent="0.3">
      <c r="F9237" s="193"/>
    </row>
    <row r="9238" spans="6:6" x14ac:dyDescent="0.3">
      <c r="F9238" s="193"/>
    </row>
    <row r="9239" spans="6:6" x14ac:dyDescent="0.3">
      <c r="F9239" s="193"/>
    </row>
    <row r="9240" spans="6:6" x14ac:dyDescent="0.3">
      <c r="F9240" s="193"/>
    </row>
    <row r="9241" spans="6:6" x14ac:dyDescent="0.3">
      <c r="F9241" s="193"/>
    </row>
    <row r="9242" spans="6:6" x14ac:dyDescent="0.3">
      <c r="F9242" s="193"/>
    </row>
    <row r="9243" spans="6:6" x14ac:dyDescent="0.3">
      <c r="F9243" s="193"/>
    </row>
    <row r="9244" spans="6:6" x14ac:dyDescent="0.3">
      <c r="F9244" s="193"/>
    </row>
    <row r="9245" spans="6:6" x14ac:dyDescent="0.3">
      <c r="F9245" s="193"/>
    </row>
    <row r="9246" spans="6:6" x14ac:dyDescent="0.3">
      <c r="F9246" s="193"/>
    </row>
    <row r="9247" spans="6:6" x14ac:dyDescent="0.3">
      <c r="F9247" s="193"/>
    </row>
    <row r="9248" spans="6:6" x14ac:dyDescent="0.3">
      <c r="F9248" s="193"/>
    </row>
    <row r="9249" spans="6:6" x14ac:dyDescent="0.3">
      <c r="F9249" s="193"/>
    </row>
    <row r="9250" spans="6:6" x14ac:dyDescent="0.3">
      <c r="F9250" s="193"/>
    </row>
    <row r="9251" spans="6:6" x14ac:dyDescent="0.3">
      <c r="F9251" s="193"/>
    </row>
    <row r="9252" spans="6:6" x14ac:dyDescent="0.3">
      <c r="F9252" s="193"/>
    </row>
    <row r="9253" spans="6:6" x14ac:dyDescent="0.3">
      <c r="F9253" s="193"/>
    </row>
    <row r="9254" spans="6:6" x14ac:dyDescent="0.3">
      <c r="F9254" s="193"/>
    </row>
    <row r="9255" spans="6:6" x14ac:dyDescent="0.3">
      <c r="F9255" s="193"/>
    </row>
    <row r="9256" spans="6:6" x14ac:dyDescent="0.3">
      <c r="F9256" s="193"/>
    </row>
    <row r="9257" spans="6:6" x14ac:dyDescent="0.3">
      <c r="F9257" s="193"/>
    </row>
    <row r="9258" spans="6:6" x14ac:dyDescent="0.3">
      <c r="F9258" s="193"/>
    </row>
    <row r="9259" spans="6:6" x14ac:dyDescent="0.3">
      <c r="F9259" s="193"/>
    </row>
    <row r="9260" spans="6:6" x14ac:dyDescent="0.3">
      <c r="F9260" s="193"/>
    </row>
    <row r="9261" spans="6:6" x14ac:dyDescent="0.3">
      <c r="F9261" s="193"/>
    </row>
    <row r="9262" spans="6:6" x14ac:dyDescent="0.3">
      <c r="F9262" s="193"/>
    </row>
    <row r="9263" spans="6:6" x14ac:dyDescent="0.3">
      <c r="F9263" s="193"/>
    </row>
    <row r="9264" spans="6:6" x14ac:dyDescent="0.3">
      <c r="F9264" s="193"/>
    </row>
    <row r="9265" spans="6:6" x14ac:dyDescent="0.3">
      <c r="F9265" s="193"/>
    </row>
    <row r="9266" spans="6:6" x14ac:dyDescent="0.3">
      <c r="F9266" s="193"/>
    </row>
    <row r="9267" spans="6:6" x14ac:dyDescent="0.3">
      <c r="F9267" s="193"/>
    </row>
    <row r="9268" spans="6:6" x14ac:dyDescent="0.3">
      <c r="F9268" s="193"/>
    </row>
    <row r="9269" spans="6:6" x14ac:dyDescent="0.3">
      <c r="F9269" s="193"/>
    </row>
    <row r="9270" spans="6:6" x14ac:dyDescent="0.3">
      <c r="F9270" s="193"/>
    </row>
    <row r="9271" spans="6:6" x14ac:dyDescent="0.3">
      <c r="F9271" s="193"/>
    </row>
    <row r="9272" spans="6:6" x14ac:dyDescent="0.3">
      <c r="F9272" s="193"/>
    </row>
    <row r="9273" spans="6:6" x14ac:dyDescent="0.3">
      <c r="F9273" s="193"/>
    </row>
    <row r="9274" spans="6:6" x14ac:dyDescent="0.3">
      <c r="F9274" s="193"/>
    </row>
    <row r="9275" spans="6:6" x14ac:dyDescent="0.3">
      <c r="F9275" s="193"/>
    </row>
    <row r="9276" spans="6:6" x14ac:dyDescent="0.3">
      <c r="F9276" s="193"/>
    </row>
    <row r="9277" spans="6:6" x14ac:dyDescent="0.3">
      <c r="F9277" s="193"/>
    </row>
    <row r="9278" spans="6:6" x14ac:dyDescent="0.3">
      <c r="F9278" s="193"/>
    </row>
    <row r="9279" spans="6:6" x14ac:dyDescent="0.3">
      <c r="F9279" s="193"/>
    </row>
    <row r="9280" spans="6:6" x14ac:dyDescent="0.3">
      <c r="F9280" s="193"/>
    </row>
    <row r="9281" spans="6:6" x14ac:dyDescent="0.3">
      <c r="F9281" s="193"/>
    </row>
    <row r="9282" spans="6:6" x14ac:dyDescent="0.3">
      <c r="F9282" s="193"/>
    </row>
    <row r="9283" spans="6:6" x14ac:dyDescent="0.3">
      <c r="F9283" s="193"/>
    </row>
    <row r="9284" spans="6:6" x14ac:dyDescent="0.3">
      <c r="F9284" s="193"/>
    </row>
    <row r="9285" spans="6:6" x14ac:dyDescent="0.3">
      <c r="F9285" s="193"/>
    </row>
    <row r="9286" spans="6:6" x14ac:dyDescent="0.3">
      <c r="F9286" s="193"/>
    </row>
    <row r="9287" spans="6:6" x14ac:dyDescent="0.3">
      <c r="F9287" s="193"/>
    </row>
    <row r="9288" spans="6:6" x14ac:dyDescent="0.3">
      <c r="F9288" s="193"/>
    </row>
    <row r="9289" spans="6:6" x14ac:dyDescent="0.3">
      <c r="F9289" s="193"/>
    </row>
    <row r="9290" spans="6:6" x14ac:dyDescent="0.3">
      <c r="F9290" s="193"/>
    </row>
    <row r="9291" spans="6:6" x14ac:dyDescent="0.3">
      <c r="F9291" s="193"/>
    </row>
    <row r="9292" spans="6:6" x14ac:dyDescent="0.3">
      <c r="F9292" s="193"/>
    </row>
    <row r="9293" spans="6:6" x14ac:dyDescent="0.3">
      <c r="F9293" s="193"/>
    </row>
    <row r="9294" spans="6:6" x14ac:dyDescent="0.3">
      <c r="F9294" s="193"/>
    </row>
    <row r="9295" spans="6:6" x14ac:dyDescent="0.3">
      <c r="F9295" s="193"/>
    </row>
    <row r="9296" spans="6:6" x14ac:dyDescent="0.3">
      <c r="F9296" s="193"/>
    </row>
    <row r="9297" spans="6:6" x14ac:dyDescent="0.3">
      <c r="F9297" s="193"/>
    </row>
    <row r="9298" spans="6:6" x14ac:dyDescent="0.3">
      <c r="F9298" s="193"/>
    </row>
    <row r="9299" spans="6:6" x14ac:dyDescent="0.3">
      <c r="F9299" s="193"/>
    </row>
    <row r="9300" spans="6:6" x14ac:dyDescent="0.3">
      <c r="F9300" s="193"/>
    </row>
    <row r="9301" spans="6:6" x14ac:dyDescent="0.3">
      <c r="F9301" s="193"/>
    </row>
    <row r="9302" spans="6:6" x14ac:dyDescent="0.3">
      <c r="F9302" s="193"/>
    </row>
    <row r="9303" spans="6:6" x14ac:dyDescent="0.3">
      <c r="F9303" s="193"/>
    </row>
    <row r="9304" spans="6:6" x14ac:dyDescent="0.3">
      <c r="F9304" s="193"/>
    </row>
    <row r="9305" spans="6:6" x14ac:dyDescent="0.3">
      <c r="F9305" s="193"/>
    </row>
    <row r="9306" spans="6:6" x14ac:dyDescent="0.3">
      <c r="F9306" s="193"/>
    </row>
    <row r="9307" spans="6:6" x14ac:dyDescent="0.3">
      <c r="F9307" s="193"/>
    </row>
    <row r="9308" spans="6:6" x14ac:dyDescent="0.3">
      <c r="F9308" s="193"/>
    </row>
    <row r="9309" spans="6:6" x14ac:dyDescent="0.3">
      <c r="F9309" s="193"/>
    </row>
    <row r="9310" spans="6:6" x14ac:dyDescent="0.3">
      <c r="F9310" s="193"/>
    </row>
    <row r="9311" spans="6:6" x14ac:dyDescent="0.3">
      <c r="F9311" s="193"/>
    </row>
    <row r="9312" spans="6:6" x14ac:dyDescent="0.3">
      <c r="F9312" s="193"/>
    </row>
    <row r="9313" spans="6:6" x14ac:dyDescent="0.3">
      <c r="F9313" s="193"/>
    </row>
    <row r="9314" spans="6:6" x14ac:dyDescent="0.3">
      <c r="F9314" s="193"/>
    </row>
    <row r="9315" spans="6:6" x14ac:dyDescent="0.3">
      <c r="F9315" s="193"/>
    </row>
    <row r="9316" spans="6:6" x14ac:dyDescent="0.3">
      <c r="F9316" s="193"/>
    </row>
    <row r="9317" spans="6:6" x14ac:dyDescent="0.3">
      <c r="F9317" s="193"/>
    </row>
    <row r="9318" spans="6:6" x14ac:dyDescent="0.3">
      <c r="F9318" s="193"/>
    </row>
    <row r="9319" spans="6:6" x14ac:dyDescent="0.3">
      <c r="F9319" s="193"/>
    </row>
    <row r="9320" spans="6:6" x14ac:dyDescent="0.3">
      <c r="F9320" s="193"/>
    </row>
    <row r="9321" spans="6:6" x14ac:dyDescent="0.3">
      <c r="F9321" s="193"/>
    </row>
    <row r="9322" spans="6:6" x14ac:dyDescent="0.3">
      <c r="F9322" s="193"/>
    </row>
    <row r="9323" spans="6:6" x14ac:dyDescent="0.3">
      <c r="F9323" s="193"/>
    </row>
    <row r="9324" spans="6:6" x14ac:dyDescent="0.3">
      <c r="F9324" s="193"/>
    </row>
    <row r="9325" spans="6:6" x14ac:dyDescent="0.3">
      <c r="F9325" s="193"/>
    </row>
    <row r="9326" spans="6:6" x14ac:dyDescent="0.3">
      <c r="F9326" s="193"/>
    </row>
    <row r="9327" spans="6:6" x14ac:dyDescent="0.3">
      <c r="F9327" s="193"/>
    </row>
    <row r="9328" spans="6:6" x14ac:dyDescent="0.3">
      <c r="F9328" s="193"/>
    </row>
    <row r="9329" spans="6:6" x14ac:dyDescent="0.3">
      <c r="F9329" s="193"/>
    </row>
    <row r="9330" spans="6:6" x14ac:dyDescent="0.3">
      <c r="F9330" s="193"/>
    </row>
    <row r="9331" spans="6:6" x14ac:dyDescent="0.3">
      <c r="F9331" s="193"/>
    </row>
    <row r="9332" spans="6:6" x14ac:dyDescent="0.3">
      <c r="F9332" s="193"/>
    </row>
    <row r="9333" spans="6:6" x14ac:dyDescent="0.3">
      <c r="F9333" s="193"/>
    </row>
    <row r="9334" spans="6:6" x14ac:dyDescent="0.3">
      <c r="F9334" s="193"/>
    </row>
    <row r="9335" spans="6:6" x14ac:dyDescent="0.3">
      <c r="F9335" s="193"/>
    </row>
    <row r="9336" spans="6:6" x14ac:dyDescent="0.3">
      <c r="F9336" s="193"/>
    </row>
    <row r="9337" spans="6:6" x14ac:dyDescent="0.3">
      <c r="F9337" s="193"/>
    </row>
    <row r="9338" spans="6:6" x14ac:dyDescent="0.3">
      <c r="F9338" s="193"/>
    </row>
    <row r="9339" spans="6:6" x14ac:dyDescent="0.3">
      <c r="F9339" s="193"/>
    </row>
    <row r="9340" spans="6:6" x14ac:dyDescent="0.3">
      <c r="F9340" s="193"/>
    </row>
    <row r="9341" spans="6:6" x14ac:dyDescent="0.3">
      <c r="F9341" s="193"/>
    </row>
    <row r="9342" spans="6:6" x14ac:dyDescent="0.3">
      <c r="F9342" s="193"/>
    </row>
    <row r="9343" spans="6:6" x14ac:dyDescent="0.3">
      <c r="F9343" s="193"/>
    </row>
    <row r="9344" spans="6:6" x14ac:dyDescent="0.3">
      <c r="F9344" s="193"/>
    </row>
    <row r="9345" spans="6:6" x14ac:dyDescent="0.3">
      <c r="F9345" s="193"/>
    </row>
    <row r="9346" spans="6:6" x14ac:dyDescent="0.3">
      <c r="F9346" s="193"/>
    </row>
    <row r="9347" spans="6:6" x14ac:dyDescent="0.3">
      <c r="F9347" s="193"/>
    </row>
    <row r="9348" spans="6:6" x14ac:dyDescent="0.3">
      <c r="F9348" s="193"/>
    </row>
    <row r="9349" spans="6:6" x14ac:dyDescent="0.3">
      <c r="F9349" s="193"/>
    </row>
    <row r="9350" spans="6:6" x14ac:dyDescent="0.3">
      <c r="F9350" s="193"/>
    </row>
    <row r="9351" spans="6:6" x14ac:dyDescent="0.3">
      <c r="F9351" s="193"/>
    </row>
    <row r="9352" spans="6:6" x14ac:dyDescent="0.3">
      <c r="F9352" s="193"/>
    </row>
    <row r="9353" spans="6:6" x14ac:dyDescent="0.3">
      <c r="F9353" s="193"/>
    </row>
    <row r="9354" spans="6:6" x14ac:dyDescent="0.3">
      <c r="F9354" s="193"/>
    </row>
    <row r="9355" spans="6:6" x14ac:dyDescent="0.3">
      <c r="F9355" s="193"/>
    </row>
    <row r="9356" spans="6:6" x14ac:dyDescent="0.3">
      <c r="F9356" s="193"/>
    </row>
    <row r="9357" spans="6:6" x14ac:dyDescent="0.3">
      <c r="F9357" s="193"/>
    </row>
    <row r="9358" spans="6:6" x14ac:dyDescent="0.3">
      <c r="F9358" s="193"/>
    </row>
    <row r="9359" spans="6:6" x14ac:dyDescent="0.3">
      <c r="F9359" s="193"/>
    </row>
    <row r="9360" spans="6:6" x14ac:dyDescent="0.3">
      <c r="F9360" s="193"/>
    </row>
    <row r="9361" spans="6:6" x14ac:dyDescent="0.3">
      <c r="F9361" s="193"/>
    </row>
    <row r="9362" spans="6:6" x14ac:dyDescent="0.3">
      <c r="F9362" s="193"/>
    </row>
    <row r="9363" spans="6:6" x14ac:dyDescent="0.3">
      <c r="F9363" s="193"/>
    </row>
    <row r="9364" spans="6:6" x14ac:dyDescent="0.3">
      <c r="F9364" s="193"/>
    </row>
    <row r="9365" spans="6:6" x14ac:dyDescent="0.3">
      <c r="F9365" s="193"/>
    </row>
    <row r="9366" spans="6:6" x14ac:dyDescent="0.3">
      <c r="F9366" s="193"/>
    </row>
    <row r="9367" spans="6:6" x14ac:dyDescent="0.3">
      <c r="F9367" s="193"/>
    </row>
    <row r="9368" spans="6:6" x14ac:dyDescent="0.3">
      <c r="F9368" s="193"/>
    </row>
    <row r="9369" spans="6:6" x14ac:dyDescent="0.3">
      <c r="F9369" s="193"/>
    </row>
    <row r="9370" spans="6:6" x14ac:dyDescent="0.3">
      <c r="F9370" s="193"/>
    </row>
    <row r="9371" spans="6:6" x14ac:dyDescent="0.3">
      <c r="F9371" s="193"/>
    </row>
    <row r="9372" spans="6:6" x14ac:dyDescent="0.3">
      <c r="F9372" s="193"/>
    </row>
    <row r="9373" spans="6:6" x14ac:dyDescent="0.3">
      <c r="F9373" s="193"/>
    </row>
    <row r="9374" spans="6:6" x14ac:dyDescent="0.3">
      <c r="F9374" s="193"/>
    </row>
    <row r="9375" spans="6:6" x14ac:dyDescent="0.3">
      <c r="F9375" s="193"/>
    </row>
    <row r="9376" spans="6:6" x14ac:dyDescent="0.3">
      <c r="F9376" s="193"/>
    </row>
    <row r="9377" spans="6:6" x14ac:dyDescent="0.3">
      <c r="F9377" s="193"/>
    </row>
    <row r="9378" spans="6:6" x14ac:dyDescent="0.3">
      <c r="F9378" s="193"/>
    </row>
    <row r="9379" spans="6:6" x14ac:dyDescent="0.3">
      <c r="F9379" s="193"/>
    </row>
    <row r="9380" spans="6:6" x14ac:dyDescent="0.3">
      <c r="F9380" s="193"/>
    </row>
    <row r="9381" spans="6:6" x14ac:dyDescent="0.3">
      <c r="F9381" s="193"/>
    </row>
    <row r="9382" spans="6:6" x14ac:dyDescent="0.3">
      <c r="F9382" s="193"/>
    </row>
    <row r="9383" spans="6:6" x14ac:dyDescent="0.3">
      <c r="F9383" s="193"/>
    </row>
    <row r="9384" spans="6:6" x14ac:dyDescent="0.3">
      <c r="F9384" s="193"/>
    </row>
    <row r="9385" spans="6:6" x14ac:dyDescent="0.3">
      <c r="F9385" s="193"/>
    </row>
    <row r="9386" spans="6:6" x14ac:dyDescent="0.3">
      <c r="F9386" s="193"/>
    </row>
    <row r="9387" spans="6:6" x14ac:dyDescent="0.3">
      <c r="F9387" s="193"/>
    </row>
    <row r="9388" spans="6:6" x14ac:dyDescent="0.3">
      <c r="F9388" s="193"/>
    </row>
    <row r="9389" spans="6:6" x14ac:dyDescent="0.3">
      <c r="F9389" s="193"/>
    </row>
    <row r="9390" spans="6:6" x14ac:dyDescent="0.3">
      <c r="F9390" s="193"/>
    </row>
    <row r="9391" spans="6:6" x14ac:dyDescent="0.3">
      <c r="F9391" s="193"/>
    </row>
    <row r="9392" spans="6:6" x14ac:dyDescent="0.3">
      <c r="F9392" s="193"/>
    </row>
    <row r="9393" spans="6:6" x14ac:dyDescent="0.3">
      <c r="F9393" s="193"/>
    </row>
    <row r="9394" spans="6:6" x14ac:dyDescent="0.3">
      <c r="F9394" s="193"/>
    </row>
    <row r="9395" spans="6:6" x14ac:dyDescent="0.3">
      <c r="F9395" s="193"/>
    </row>
    <row r="9396" spans="6:6" x14ac:dyDescent="0.3">
      <c r="F9396" s="193"/>
    </row>
    <row r="9397" spans="6:6" x14ac:dyDescent="0.3">
      <c r="F9397" s="193"/>
    </row>
    <row r="9398" spans="6:6" x14ac:dyDescent="0.3">
      <c r="F9398" s="193"/>
    </row>
    <row r="9399" spans="6:6" x14ac:dyDescent="0.3">
      <c r="F9399" s="193"/>
    </row>
    <row r="9400" spans="6:6" x14ac:dyDescent="0.3">
      <c r="F9400" s="193"/>
    </row>
    <row r="9401" spans="6:6" x14ac:dyDescent="0.3">
      <c r="F9401" s="193"/>
    </row>
    <row r="9402" spans="6:6" x14ac:dyDescent="0.3">
      <c r="F9402" s="193"/>
    </row>
    <row r="9403" spans="6:6" x14ac:dyDescent="0.3">
      <c r="F9403" s="193"/>
    </row>
    <row r="9404" spans="6:6" x14ac:dyDescent="0.3">
      <c r="F9404" s="193"/>
    </row>
    <row r="9405" spans="6:6" x14ac:dyDescent="0.3">
      <c r="F9405" s="193"/>
    </row>
    <row r="9406" spans="6:6" x14ac:dyDescent="0.3">
      <c r="F9406" s="193"/>
    </row>
    <row r="9407" spans="6:6" x14ac:dyDescent="0.3">
      <c r="F9407" s="193"/>
    </row>
    <row r="9408" spans="6:6" x14ac:dyDescent="0.3">
      <c r="F9408" s="193"/>
    </row>
    <row r="9409" spans="6:6" x14ac:dyDescent="0.3">
      <c r="F9409" s="193"/>
    </row>
    <row r="9410" spans="6:6" x14ac:dyDescent="0.3">
      <c r="F9410" s="193"/>
    </row>
    <row r="9411" spans="6:6" x14ac:dyDescent="0.3">
      <c r="F9411" s="193"/>
    </row>
    <row r="9412" spans="6:6" x14ac:dyDescent="0.3">
      <c r="F9412" s="193"/>
    </row>
    <row r="9413" spans="6:6" x14ac:dyDescent="0.3">
      <c r="F9413" s="193"/>
    </row>
    <row r="9414" spans="6:6" x14ac:dyDescent="0.3">
      <c r="F9414" s="193"/>
    </row>
    <row r="9415" spans="6:6" x14ac:dyDescent="0.3">
      <c r="F9415" s="193"/>
    </row>
    <row r="9416" spans="6:6" x14ac:dyDescent="0.3">
      <c r="F9416" s="193"/>
    </row>
    <row r="9417" spans="6:6" x14ac:dyDescent="0.3">
      <c r="F9417" s="193"/>
    </row>
    <row r="9418" spans="6:6" x14ac:dyDescent="0.3">
      <c r="F9418" s="193"/>
    </row>
    <row r="9419" spans="6:6" x14ac:dyDescent="0.3">
      <c r="F9419" s="193"/>
    </row>
    <row r="9420" spans="6:6" x14ac:dyDescent="0.3">
      <c r="F9420" s="193"/>
    </row>
    <row r="9421" spans="6:6" x14ac:dyDescent="0.3">
      <c r="F9421" s="193"/>
    </row>
    <row r="9422" spans="6:6" x14ac:dyDescent="0.3">
      <c r="F9422" s="193"/>
    </row>
    <row r="9423" spans="6:6" x14ac:dyDescent="0.3">
      <c r="F9423" s="193"/>
    </row>
    <row r="9424" spans="6:6" x14ac:dyDescent="0.3">
      <c r="F9424" s="193"/>
    </row>
    <row r="9425" spans="6:6" x14ac:dyDescent="0.3">
      <c r="F9425" s="193"/>
    </row>
    <row r="9426" spans="6:6" x14ac:dyDescent="0.3">
      <c r="F9426" s="193"/>
    </row>
    <row r="9427" spans="6:6" x14ac:dyDescent="0.3">
      <c r="F9427" s="193"/>
    </row>
    <row r="9428" spans="6:6" x14ac:dyDescent="0.3">
      <c r="F9428" s="193"/>
    </row>
    <row r="9429" spans="6:6" x14ac:dyDescent="0.3">
      <c r="F9429" s="193"/>
    </row>
    <row r="9430" spans="6:6" x14ac:dyDescent="0.3">
      <c r="F9430" s="193"/>
    </row>
    <row r="9431" spans="6:6" x14ac:dyDescent="0.3">
      <c r="F9431" s="193"/>
    </row>
    <row r="9432" spans="6:6" x14ac:dyDescent="0.3">
      <c r="F9432" s="193"/>
    </row>
    <row r="9433" spans="6:6" x14ac:dyDescent="0.3">
      <c r="F9433" s="193"/>
    </row>
    <row r="9434" spans="6:6" x14ac:dyDescent="0.3">
      <c r="F9434" s="193"/>
    </row>
    <row r="9435" spans="6:6" x14ac:dyDescent="0.3">
      <c r="F9435" s="193"/>
    </row>
    <row r="9436" spans="6:6" x14ac:dyDescent="0.3">
      <c r="F9436" s="193"/>
    </row>
    <row r="9437" spans="6:6" x14ac:dyDescent="0.3">
      <c r="F9437" s="193"/>
    </row>
    <row r="9438" spans="6:6" x14ac:dyDescent="0.3">
      <c r="F9438" s="193"/>
    </row>
    <row r="9439" spans="6:6" x14ac:dyDescent="0.3">
      <c r="F9439" s="193"/>
    </row>
    <row r="9440" spans="6:6" x14ac:dyDescent="0.3">
      <c r="F9440" s="193"/>
    </row>
    <row r="9441" spans="6:6" x14ac:dyDescent="0.3">
      <c r="F9441" s="193"/>
    </row>
    <row r="9442" spans="6:6" x14ac:dyDescent="0.3">
      <c r="F9442" s="193"/>
    </row>
    <row r="9443" spans="6:6" x14ac:dyDescent="0.3">
      <c r="F9443" s="193"/>
    </row>
    <row r="9444" spans="6:6" x14ac:dyDescent="0.3">
      <c r="F9444" s="193"/>
    </row>
    <row r="9445" spans="6:6" x14ac:dyDescent="0.3">
      <c r="F9445" s="193"/>
    </row>
    <row r="9446" spans="6:6" x14ac:dyDescent="0.3">
      <c r="F9446" s="193"/>
    </row>
    <row r="9447" spans="6:6" x14ac:dyDescent="0.3">
      <c r="F9447" s="193"/>
    </row>
    <row r="9448" spans="6:6" x14ac:dyDescent="0.3">
      <c r="F9448" s="193"/>
    </row>
    <row r="9449" spans="6:6" x14ac:dyDescent="0.3">
      <c r="F9449" s="193"/>
    </row>
    <row r="9450" spans="6:6" x14ac:dyDescent="0.3">
      <c r="F9450" s="193"/>
    </row>
    <row r="9451" spans="6:6" x14ac:dyDescent="0.3">
      <c r="F9451" s="193"/>
    </row>
    <row r="9452" spans="6:6" x14ac:dyDescent="0.3">
      <c r="F9452" s="193"/>
    </row>
    <row r="9453" spans="6:6" x14ac:dyDescent="0.3">
      <c r="F9453" s="193"/>
    </row>
    <row r="9454" spans="6:6" x14ac:dyDescent="0.3">
      <c r="F9454" s="193"/>
    </row>
    <row r="9455" spans="6:6" x14ac:dyDescent="0.3">
      <c r="F9455" s="193"/>
    </row>
    <row r="9456" spans="6:6" x14ac:dyDescent="0.3">
      <c r="F9456" s="193"/>
    </row>
    <row r="9457" spans="6:6" x14ac:dyDescent="0.3">
      <c r="F9457" s="193"/>
    </row>
    <row r="9458" spans="6:6" x14ac:dyDescent="0.3">
      <c r="F9458" s="193"/>
    </row>
    <row r="9459" spans="6:6" x14ac:dyDescent="0.3">
      <c r="F9459" s="193"/>
    </row>
    <row r="9460" spans="6:6" x14ac:dyDescent="0.3">
      <c r="F9460" s="193"/>
    </row>
    <row r="9461" spans="6:6" x14ac:dyDescent="0.3">
      <c r="F9461" s="193"/>
    </row>
    <row r="9462" spans="6:6" x14ac:dyDescent="0.3">
      <c r="F9462" s="193"/>
    </row>
    <row r="9463" spans="6:6" x14ac:dyDescent="0.3">
      <c r="F9463" s="193"/>
    </row>
    <row r="9464" spans="6:6" x14ac:dyDescent="0.3">
      <c r="F9464" s="193"/>
    </row>
    <row r="9465" spans="6:6" x14ac:dyDescent="0.3">
      <c r="F9465" s="193"/>
    </row>
    <row r="9466" spans="6:6" x14ac:dyDescent="0.3">
      <c r="F9466" s="193"/>
    </row>
    <row r="9467" spans="6:6" x14ac:dyDescent="0.3">
      <c r="F9467" s="193"/>
    </row>
    <row r="9468" spans="6:6" x14ac:dyDescent="0.3">
      <c r="F9468" s="193"/>
    </row>
    <row r="9469" spans="6:6" x14ac:dyDescent="0.3">
      <c r="F9469" s="193"/>
    </row>
    <row r="9470" spans="6:6" x14ac:dyDescent="0.3">
      <c r="F9470" s="193"/>
    </row>
    <row r="9471" spans="6:6" x14ac:dyDescent="0.3">
      <c r="F9471" s="193"/>
    </row>
    <row r="9472" spans="6:6" x14ac:dyDescent="0.3">
      <c r="F9472" s="193"/>
    </row>
    <row r="9473" spans="6:6" x14ac:dyDescent="0.3">
      <c r="F9473" s="193"/>
    </row>
    <row r="9474" spans="6:6" x14ac:dyDescent="0.3">
      <c r="F9474" s="193"/>
    </row>
    <row r="9475" spans="6:6" x14ac:dyDescent="0.3">
      <c r="F9475" s="193"/>
    </row>
    <row r="9476" spans="6:6" x14ac:dyDescent="0.3">
      <c r="F9476" s="193"/>
    </row>
    <row r="9477" spans="6:6" x14ac:dyDescent="0.3">
      <c r="F9477" s="193"/>
    </row>
    <row r="9478" spans="6:6" x14ac:dyDescent="0.3">
      <c r="F9478" s="193"/>
    </row>
    <row r="9479" spans="6:6" x14ac:dyDescent="0.3">
      <c r="F9479" s="193"/>
    </row>
    <row r="9480" spans="6:6" x14ac:dyDescent="0.3">
      <c r="F9480" s="193"/>
    </row>
    <row r="9481" spans="6:6" x14ac:dyDescent="0.3">
      <c r="F9481" s="193"/>
    </row>
    <row r="9482" spans="6:6" x14ac:dyDescent="0.3">
      <c r="F9482" s="193"/>
    </row>
    <row r="9483" spans="6:6" x14ac:dyDescent="0.3">
      <c r="F9483" s="193"/>
    </row>
    <row r="9484" spans="6:6" x14ac:dyDescent="0.3">
      <c r="F9484" s="193"/>
    </row>
    <row r="9485" spans="6:6" x14ac:dyDescent="0.3">
      <c r="F9485" s="193"/>
    </row>
    <row r="9486" spans="6:6" x14ac:dyDescent="0.3">
      <c r="F9486" s="193"/>
    </row>
    <row r="9487" spans="6:6" x14ac:dyDescent="0.3">
      <c r="F9487" s="193"/>
    </row>
    <row r="9488" spans="6:6" x14ac:dyDescent="0.3">
      <c r="F9488" s="193"/>
    </row>
    <row r="9489" spans="6:6" x14ac:dyDescent="0.3">
      <c r="F9489" s="193"/>
    </row>
    <row r="9490" spans="6:6" x14ac:dyDescent="0.3">
      <c r="F9490" s="193"/>
    </row>
    <row r="9491" spans="6:6" x14ac:dyDescent="0.3">
      <c r="F9491" s="193"/>
    </row>
    <row r="9492" spans="6:6" x14ac:dyDescent="0.3">
      <c r="F9492" s="193"/>
    </row>
    <row r="9493" spans="6:6" x14ac:dyDescent="0.3">
      <c r="F9493" s="193"/>
    </row>
    <row r="9494" spans="6:6" x14ac:dyDescent="0.3">
      <c r="F9494" s="193"/>
    </row>
    <row r="9495" spans="6:6" x14ac:dyDescent="0.3">
      <c r="F9495" s="193"/>
    </row>
    <row r="9496" spans="6:6" x14ac:dyDescent="0.3">
      <c r="F9496" s="193"/>
    </row>
    <row r="9497" spans="6:6" x14ac:dyDescent="0.3">
      <c r="F9497" s="193"/>
    </row>
    <row r="9498" spans="6:6" x14ac:dyDescent="0.3">
      <c r="F9498" s="193"/>
    </row>
    <row r="9499" spans="6:6" x14ac:dyDescent="0.3">
      <c r="F9499" s="193"/>
    </row>
    <row r="9500" spans="6:6" x14ac:dyDescent="0.3">
      <c r="F9500" s="193"/>
    </row>
    <row r="9501" spans="6:6" x14ac:dyDescent="0.3">
      <c r="F9501" s="193"/>
    </row>
    <row r="9502" spans="6:6" x14ac:dyDescent="0.3">
      <c r="F9502" s="193"/>
    </row>
    <row r="9503" spans="6:6" x14ac:dyDescent="0.3">
      <c r="F9503" s="193"/>
    </row>
    <row r="9504" spans="6:6" x14ac:dyDescent="0.3">
      <c r="F9504" s="193"/>
    </row>
    <row r="9505" spans="6:6" x14ac:dyDescent="0.3">
      <c r="F9505" s="193"/>
    </row>
    <row r="9506" spans="6:6" x14ac:dyDescent="0.3">
      <c r="F9506" s="193"/>
    </row>
    <row r="9507" spans="6:6" x14ac:dyDescent="0.3">
      <c r="F9507" s="193"/>
    </row>
    <row r="9508" spans="6:6" x14ac:dyDescent="0.3">
      <c r="F9508" s="193"/>
    </row>
    <row r="9509" spans="6:6" x14ac:dyDescent="0.3">
      <c r="F9509" s="193"/>
    </row>
    <row r="9510" spans="6:6" x14ac:dyDescent="0.3">
      <c r="F9510" s="193"/>
    </row>
    <row r="9511" spans="6:6" x14ac:dyDescent="0.3">
      <c r="F9511" s="193"/>
    </row>
    <row r="9512" spans="6:6" x14ac:dyDescent="0.3">
      <c r="F9512" s="193"/>
    </row>
    <row r="9513" spans="6:6" x14ac:dyDescent="0.3">
      <c r="F9513" s="193"/>
    </row>
    <row r="9514" spans="6:6" x14ac:dyDescent="0.3">
      <c r="F9514" s="193"/>
    </row>
    <row r="9515" spans="6:6" x14ac:dyDescent="0.3">
      <c r="F9515" s="193"/>
    </row>
    <row r="9516" spans="6:6" x14ac:dyDescent="0.3">
      <c r="F9516" s="193"/>
    </row>
    <row r="9517" spans="6:6" x14ac:dyDescent="0.3">
      <c r="F9517" s="193"/>
    </row>
    <row r="9518" spans="6:6" x14ac:dyDescent="0.3">
      <c r="F9518" s="193"/>
    </row>
    <row r="9519" spans="6:6" x14ac:dyDescent="0.3">
      <c r="F9519" s="193"/>
    </row>
    <row r="9520" spans="6:6" x14ac:dyDescent="0.3">
      <c r="F9520" s="193"/>
    </row>
    <row r="9521" spans="6:6" x14ac:dyDescent="0.3">
      <c r="F9521" s="193"/>
    </row>
    <row r="9522" spans="6:6" x14ac:dyDescent="0.3">
      <c r="F9522" s="193"/>
    </row>
    <row r="9523" spans="6:6" x14ac:dyDescent="0.3">
      <c r="F9523" s="193"/>
    </row>
    <row r="9524" spans="6:6" x14ac:dyDescent="0.3">
      <c r="F9524" s="193"/>
    </row>
    <row r="9525" spans="6:6" x14ac:dyDescent="0.3">
      <c r="F9525" s="193"/>
    </row>
    <row r="9526" spans="6:6" x14ac:dyDescent="0.3">
      <c r="F9526" s="193"/>
    </row>
    <row r="9527" spans="6:6" x14ac:dyDescent="0.3">
      <c r="F9527" s="193"/>
    </row>
    <row r="9528" spans="6:6" x14ac:dyDescent="0.3">
      <c r="F9528" s="193"/>
    </row>
    <row r="9529" spans="6:6" x14ac:dyDescent="0.3">
      <c r="F9529" s="193"/>
    </row>
    <row r="9530" spans="6:6" x14ac:dyDescent="0.3">
      <c r="F9530" s="193"/>
    </row>
    <row r="9531" spans="6:6" x14ac:dyDescent="0.3">
      <c r="F9531" s="193"/>
    </row>
    <row r="9532" spans="6:6" x14ac:dyDescent="0.3">
      <c r="F9532" s="193"/>
    </row>
    <row r="9533" spans="6:6" x14ac:dyDescent="0.3">
      <c r="F9533" s="193"/>
    </row>
    <row r="9534" spans="6:6" x14ac:dyDescent="0.3">
      <c r="F9534" s="193"/>
    </row>
    <row r="9535" spans="6:6" x14ac:dyDescent="0.3">
      <c r="F9535" s="193"/>
    </row>
    <row r="9536" spans="6:6" x14ac:dyDescent="0.3">
      <c r="F9536" s="193"/>
    </row>
    <row r="9537" spans="6:6" x14ac:dyDescent="0.3">
      <c r="F9537" s="193"/>
    </row>
    <row r="9538" spans="6:6" x14ac:dyDescent="0.3">
      <c r="F9538" s="193"/>
    </row>
    <row r="9539" spans="6:6" x14ac:dyDescent="0.3">
      <c r="F9539" s="193"/>
    </row>
    <row r="9540" spans="6:6" x14ac:dyDescent="0.3">
      <c r="F9540" s="193"/>
    </row>
    <row r="9541" spans="6:6" x14ac:dyDescent="0.3">
      <c r="F9541" s="193"/>
    </row>
    <row r="9542" spans="6:6" x14ac:dyDescent="0.3">
      <c r="F9542" s="193"/>
    </row>
    <row r="9543" spans="6:6" x14ac:dyDescent="0.3">
      <c r="F9543" s="193"/>
    </row>
    <row r="9544" spans="6:6" x14ac:dyDescent="0.3">
      <c r="F9544" s="193"/>
    </row>
    <row r="9545" spans="6:6" x14ac:dyDescent="0.3">
      <c r="F9545" s="193"/>
    </row>
    <row r="9546" spans="6:6" x14ac:dyDescent="0.3">
      <c r="F9546" s="193"/>
    </row>
    <row r="9547" spans="6:6" x14ac:dyDescent="0.3">
      <c r="F9547" s="193"/>
    </row>
    <row r="9548" spans="6:6" x14ac:dyDescent="0.3">
      <c r="F9548" s="193"/>
    </row>
    <row r="9549" spans="6:6" x14ac:dyDescent="0.3">
      <c r="F9549" s="193"/>
    </row>
    <row r="9550" spans="6:6" x14ac:dyDescent="0.3">
      <c r="F9550" s="193"/>
    </row>
    <row r="9551" spans="6:6" x14ac:dyDescent="0.3">
      <c r="F9551" s="193"/>
    </row>
    <row r="9552" spans="6:6" x14ac:dyDescent="0.3">
      <c r="F9552" s="193"/>
    </row>
    <row r="9553" spans="6:6" x14ac:dyDescent="0.3">
      <c r="F9553" s="193"/>
    </row>
    <row r="9554" spans="6:6" x14ac:dyDescent="0.3">
      <c r="F9554" s="193"/>
    </row>
    <row r="9555" spans="6:6" x14ac:dyDescent="0.3">
      <c r="F9555" s="193"/>
    </row>
    <row r="9556" spans="6:6" x14ac:dyDescent="0.3">
      <c r="F9556" s="193"/>
    </row>
    <row r="9557" spans="6:6" x14ac:dyDescent="0.3">
      <c r="F9557" s="193"/>
    </row>
    <row r="9558" spans="6:6" x14ac:dyDescent="0.3">
      <c r="F9558" s="193"/>
    </row>
    <row r="9559" spans="6:6" x14ac:dyDescent="0.3">
      <c r="F9559" s="193"/>
    </row>
    <row r="9560" spans="6:6" x14ac:dyDescent="0.3">
      <c r="F9560" s="193"/>
    </row>
    <row r="9561" spans="6:6" x14ac:dyDescent="0.3">
      <c r="F9561" s="193"/>
    </row>
    <row r="9562" spans="6:6" x14ac:dyDescent="0.3">
      <c r="F9562" s="193"/>
    </row>
    <row r="9563" spans="6:6" x14ac:dyDescent="0.3">
      <c r="F9563" s="193"/>
    </row>
    <row r="9564" spans="6:6" x14ac:dyDescent="0.3">
      <c r="F9564" s="193"/>
    </row>
    <row r="9565" spans="6:6" x14ac:dyDescent="0.3">
      <c r="F9565" s="193"/>
    </row>
    <row r="9566" spans="6:6" x14ac:dyDescent="0.3">
      <c r="F9566" s="193"/>
    </row>
    <row r="9567" spans="6:6" x14ac:dyDescent="0.3">
      <c r="F9567" s="193"/>
    </row>
    <row r="9568" spans="6:6" x14ac:dyDescent="0.3">
      <c r="F9568" s="193"/>
    </row>
    <row r="9569" spans="6:6" x14ac:dyDescent="0.3">
      <c r="F9569" s="193"/>
    </row>
    <row r="9570" spans="6:6" x14ac:dyDescent="0.3">
      <c r="F9570" s="193"/>
    </row>
    <row r="9571" spans="6:6" x14ac:dyDescent="0.3">
      <c r="F9571" s="193"/>
    </row>
    <row r="9572" spans="6:6" x14ac:dyDescent="0.3">
      <c r="F9572" s="193"/>
    </row>
    <row r="9573" spans="6:6" x14ac:dyDescent="0.3">
      <c r="F9573" s="193"/>
    </row>
    <row r="9574" spans="6:6" x14ac:dyDescent="0.3">
      <c r="F9574" s="193"/>
    </row>
    <row r="9575" spans="6:6" x14ac:dyDescent="0.3">
      <c r="F9575" s="193"/>
    </row>
    <row r="9576" spans="6:6" x14ac:dyDescent="0.3">
      <c r="F9576" s="193"/>
    </row>
    <row r="9577" spans="6:6" x14ac:dyDescent="0.3">
      <c r="F9577" s="193"/>
    </row>
    <row r="9578" spans="6:6" x14ac:dyDescent="0.3">
      <c r="F9578" s="193"/>
    </row>
    <row r="9579" spans="6:6" x14ac:dyDescent="0.3">
      <c r="F9579" s="193"/>
    </row>
    <row r="9580" spans="6:6" x14ac:dyDescent="0.3">
      <c r="F9580" s="193"/>
    </row>
    <row r="9581" spans="6:6" x14ac:dyDescent="0.3">
      <c r="F9581" s="193"/>
    </row>
    <row r="9582" spans="6:6" x14ac:dyDescent="0.3">
      <c r="F9582" s="193"/>
    </row>
    <row r="9583" spans="6:6" x14ac:dyDescent="0.3">
      <c r="F9583" s="193"/>
    </row>
    <row r="9584" spans="6:6" x14ac:dyDescent="0.3">
      <c r="F9584" s="193"/>
    </row>
    <row r="9585" spans="6:6" x14ac:dyDescent="0.3">
      <c r="F9585" s="193"/>
    </row>
    <row r="9586" spans="6:6" x14ac:dyDescent="0.3">
      <c r="F9586" s="193"/>
    </row>
    <row r="9587" spans="6:6" x14ac:dyDescent="0.3">
      <c r="F9587" s="193"/>
    </row>
    <row r="9588" spans="6:6" x14ac:dyDescent="0.3">
      <c r="F9588" s="193"/>
    </row>
    <row r="9589" spans="6:6" x14ac:dyDescent="0.3">
      <c r="F9589" s="193"/>
    </row>
    <row r="9590" spans="6:6" x14ac:dyDescent="0.3">
      <c r="F9590" s="193"/>
    </row>
    <row r="9591" spans="6:6" x14ac:dyDescent="0.3">
      <c r="F9591" s="193"/>
    </row>
    <row r="9592" spans="6:6" x14ac:dyDescent="0.3">
      <c r="F9592" s="193"/>
    </row>
    <row r="9593" spans="6:6" x14ac:dyDescent="0.3">
      <c r="F9593" s="193"/>
    </row>
    <row r="9594" spans="6:6" x14ac:dyDescent="0.3">
      <c r="F9594" s="193"/>
    </row>
    <row r="9595" spans="6:6" x14ac:dyDescent="0.3">
      <c r="F9595" s="193"/>
    </row>
    <row r="9596" spans="6:6" x14ac:dyDescent="0.3">
      <c r="F9596" s="193"/>
    </row>
    <row r="9597" spans="6:6" x14ac:dyDescent="0.3">
      <c r="F9597" s="193"/>
    </row>
    <row r="9598" spans="6:6" x14ac:dyDescent="0.3">
      <c r="F9598" s="193"/>
    </row>
    <row r="9599" spans="6:6" x14ac:dyDescent="0.3">
      <c r="F9599" s="193"/>
    </row>
    <row r="9600" spans="6:6" x14ac:dyDescent="0.3">
      <c r="F9600" s="193"/>
    </row>
    <row r="9601" spans="6:6" x14ac:dyDescent="0.3">
      <c r="F9601" s="193"/>
    </row>
    <row r="9602" spans="6:6" x14ac:dyDescent="0.3">
      <c r="F9602" s="193"/>
    </row>
    <row r="9603" spans="6:6" x14ac:dyDescent="0.3">
      <c r="F9603" s="193"/>
    </row>
    <row r="9604" spans="6:6" x14ac:dyDescent="0.3">
      <c r="F9604" s="193"/>
    </row>
    <row r="9605" spans="6:6" x14ac:dyDescent="0.3">
      <c r="F9605" s="193"/>
    </row>
    <row r="9606" spans="6:6" x14ac:dyDescent="0.3">
      <c r="F9606" s="193"/>
    </row>
    <row r="9607" spans="6:6" x14ac:dyDescent="0.3">
      <c r="F9607" s="193"/>
    </row>
    <row r="9608" spans="6:6" x14ac:dyDescent="0.3">
      <c r="F9608" s="193"/>
    </row>
    <row r="9609" spans="6:6" x14ac:dyDescent="0.3">
      <c r="F9609" s="193"/>
    </row>
    <row r="9610" spans="6:6" x14ac:dyDescent="0.3">
      <c r="F9610" s="193"/>
    </row>
    <row r="9611" spans="6:6" x14ac:dyDescent="0.3">
      <c r="F9611" s="193"/>
    </row>
    <row r="9612" spans="6:6" x14ac:dyDescent="0.3">
      <c r="F9612" s="193"/>
    </row>
    <row r="9613" spans="6:6" x14ac:dyDescent="0.3">
      <c r="F9613" s="193"/>
    </row>
    <row r="9614" spans="6:6" x14ac:dyDescent="0.3">
      <c r="F9614" s="193"/>
    </row>
    <row r="9615" spans="6:6" x14ac:dyDescent="0.3">
      <c r="F9615" s="193"/>
    </row>
    <row r="9616" spans="6:6" x14ac:dyDescent="0.3">
      <c r="F9616" s="193"/>
    </row>
    <row r="9617" spans="6:6" x14ac:dyDescent="0.3">
      <c r="F9617" s="193"/>
    </row>
    <row r="9618" spans="6:6" x14ac:dyDescent="0.3">
      <c r="F9618" s="193"/>
    </row>
    <row r="9619" spans="6:6" x14ac:dyDescent="0.3">
      <c r="F9619" s="193"/>
    </row>
    <row r="9620" spans="6:6" x14ac:dyDescent="0.3">
      <c r="F9620" s="193"/>
    </row>
    <row r="9621" spans="6:6" x14ac:dyDescent="0.3">
      <c r="F9621" s="193"/>
    </row>
    <row r="9622" spans="6:6" x14ac:dyDescent="0.3">
      <c r="F9622" s="193"/>
    </row>
    <row r="9623" spans="6:6" x14ac:dyDescent="0.3">
      <c r="F9623" s="193"/>
    </row>
    <row r="9624" spans="6:6" x14ac:dyDescent="0.3">
      <c r="F9624" s="193"/>
    </row>
    <row r="9625" spans="6:6" x14ac:dyDescent="0.3">
      <c r="F9625" s="193"/>
    </row>
    <row r="9626" spans="6:6" x14ac:dyDescent="0.3">
      <c r="F9626" s="193"/>
    </row>
    <row r="9627" spans="6:6" x14ac:dyDescent="0.3">
      <c r="F9627" s="193"/>
    </row>
    <row r="9628" spans="6:6" x14ac:dyDescent="0.3">
      <c r="F9628" s="193"/>
    </row>
    <row r="9629" spans="6:6" x14ac:dyDescent="0.3">
      <c r="F9629" s="193"/>
    </row>
    <row r="9630" spans="6:6" x14ac:dyDescent="0.3">
      <c r="F9630" s="193"/>
    </row>
    <row r="9631" spans="6:6" x14ac:dyDescent="0.3">
      <c r="F9631" s="193"/>
    </row>
    <row r="9632" spans="6:6" x14ac:dyDescent="0.3">
      <c r="F9632" s="193"/>
    </row>
    <row r="9633" spans="6:6" x14ac:dyDescent="0.3">
      <c r="F9633" s="193"/>
    </row>
    <row r="9634" spans="6:6" x14ac:dyDescent="0.3">
      <c r="F9634" s="193"/>
    </row>
    <row r="9635" spans="6:6" x14ac:dyDescent="0.3">
      <c r="F9635" s="193"/>
    </row>
    <row r="9636" spans="6:6" x14ac:dyDescent="0.3">
      <c r="F9636" s="193"/>
    </row>
    <row r="9637" spans="6:6" x14ac:dyDescent="0.3">
      <c r="F9637" s="193"/>
    </row>
    <row r="9638" spans="6:6" x14ac:dyDescent="0.3">
      <c r="F9638" s="193"/>
    </row>
    <row r="9639" spans="6:6" x14ac:dyDescent="0.3">
      <c r="F9639" s="193"/>
    </row>
    <row r="9640" spans="6:6" x14ac:dyDescent="0.3">
      <c r="F9640" s="193"/>
    </row>
    <row r="9641" spans="6:6" x14ac:dyDescent="0.3">
      <c r="F9641" s="193"/>
    </row>
    <row r="9642" spans="6:6" x14ac:dyDescent="0.3">
      <c r="F9642" s="193"/>
    </row>
    <row r="9643" spans="6:6" x14ac:dyDescent="0.3">
      <c r="F9643" s="193"/>
    </row>
    <row r="9644" spans="6:6" x14ac:dyDescent="0.3">
      <c r="F9644" s="193"/>
    </row>
    <row r="9645" spans="6:6" x14ac:dyDescent="0.3">
      <c r="F9645" s="193"/>
    </row>
    <row r="9646" spans="6:6" x14ac:dyDescent="0.3">
      <c r="F9646" s="193"/>
    </row>
    <row r="9647" spans="6:6" x14ac:dyDescent="0.3">
      <c r="F9647" s="193"/>
    </row>
    <row r="9648" spans="6:6" x14ac:dyDescent="0.3">
      <c r="F9648" s="193"/>
    </row>
    <row r="9649" spans="6:6" x14ac:dyDescent="0.3">
      <c r="F9649" s="193"/>
    </row>
    <row r="9650" spans="6:6" x14ac:dyDescent="0.3">
      <c r="F9650" s="193"/>
    </row>
    <row r="9651" spans="6:6" x14ac:dyDescent="0.3">
      <c r="F9651" s="193"/>
    </row>
    <row r="9652" spans="6:6" x14ac:dyDescent="0.3">
      <c r="F9652" s="193"/>
    </row>
    <row r="9653" spans="6:6" x14ac:dyDescent="0.3">
      <c r="F9653" s="193"/>
    </row>
    <row r="9654" spans="6:6" x14ac:dyDescent="0.3">
      <c r="F9654" s="193"/>
    </row>
    <row r="9655" spans="6:6" x14ac:dyDescent="0.3">
      <c r="F9655" s="193"/>
    </row>
    <row r="9656" spans="6:6" x14ac:dyDescent="0.3">
      <c r="F9656" s="193"/>
    </row>
    <row r="9657" spans="6:6" x14ac:dyDescent="0.3">
      <c r="F9657" s="193"/>
    </row>
    <row r="9658" spans="6:6" x14ac:dyDescent="0.3">
      <c r="F9658" s="193"/>
    </row>
    <row r="9659" spans="6:6" x14ac:dyDescent="0.3">
      <c r="F9659" s="193"/>
    </row>
    <row r="9660" spans="6:6" x14ac:dyDescent="0.3">
      <c r="F9660" s="193"/>
    </row>
    <row r="9661" spans="6:6" x14ac:dyDescent="0.3">
      <c r="F9661" s="193"/>
    </row>
    <row r="9662" spans="6:6" x14ac:dyDescent="0.3">
      <c r="F9662" s="193"/>
    </row>
    <row r="9663" spans="6:6" x14ac:dyDescent="0.3">
      <c r="F9663" s="193"/>
    </row>
    <row r="9664" spans="6:6" x14ac:dyDescent="0.3">
      <c r="F9664" s="193"/>
    </row>
    <row r="9665" spans="6:6" x14ac:dyDescent="0.3">
      <c r="F9665" s="193"/>
    </row>
    <row r="9666" spans="6:6" x14ac:dyDescent="0.3">
      <c r="F9666" s="193"/>
    </row>
    <row r="9667" spans="6:6" x14ac:dyDescent="0.3">
      <c r="F9667" s="193"/>
    </row>
    <row r="9668" spans="6:6" x14ac:dyDescent="0.3">
      <c r="F9668" s="193"/>
    </row>
    <row r="9669" spans="6:6" x14ac:dyDescent="0.3">
      <c r="F9669" s="193"/>
    </row>
    <row r="9670" spans="6:6" x14ac:dyDescent="0.3">
      <c r="F9670" s="193"/>
    </row>
    <row r="9671" spans="6:6" x14ac:dyDescent="0.3">
      <c r="F9671" s="193"/>
    </row>
    <row r="9672" spans="6:6" x14ac:dyDescent="0.3">
      <c r="F9672" s="193"/>
    </row>
    <row r="9673" spans="6:6" x14ac:dyDescent="0.3">
      <c r="F9673" s="193"/>
    </row>
    <row r="9674" spans="6:6" x14ac:dyDescent="0.3">
      <c r="F9674" s="193"/>
    </row>
    <row r="9675" spans="6:6" x14ac:dyDescent="0.3">
      <c r="F9675" s="193"/>
    </row>
    <row r="9676" spans="6:6" x14ac:dyDescent="0.3">
      <c r="F9676" s="193"/>
    </row>
    <row r="9677" spans="6:6" x14ac:dyDescent="0.3">
      <c r="F9677" s="193"/>
    </row>
    <row r="9678" spans="6:6" x14ac:dyDescent="0.3">
      <c r="F9678" s="193"/>
    </row>
    <row r="9679" spans="6:6" x14ac:dyDescent="0.3">
      <c r="F9679" s="193"/>
    </row>
    <row r="9680" spans="6:6" x14ac:dyDescent="0.3">
      <c r="F9680" s="193"/>
    </row>
    <row r="9681" spans="6:6" x14ac:dyDescent="0.3">
      <c r="F9681" s="193"/>
    </row>
    <row r="9682" spans="6:6" x14ac:dyDescent="0.3">
      <c r="F9682" s="193"/>
    </row>
    <row r="9683" spans="6:6" x14ac:dyDescent="0.3">
      <c r="F9683" s="193"/>
    </row>
    <row r="9684" spans="6:6" x14ac:dyDescent="0.3">
      <c r="F9684" s="193"/>
    </row>
    <row r="9685" spans="6:6" x14ac:dyDescent="0.3">
      <c r="F9685" s="193"/>
    </row>
    <row r="9686" spans="6:6" x14ac:dyDescent="0.3">
      <c r="F9686" s="193"/>
    </row>
    <row r="9687" spans="6:6" x14ac:dyDescent="0.3">
      <c r="F9687" s="193"/>
    </row>
    <row r="9688" spans="6:6" x14ac:dyDescent="0.3">
      <c r="F9688" s="193"/>
    </row>
    <row r="9689" spans="6:6" x14ac:dyDescent="0.3">
      <c r="F9689" s="193"/>
    </row>
    <row r="9690" spans="6:6" x14ac:dyDescent="0.3">
      <c r="F9690" s="193"/>
    </row>
    <row r="9691" spans="6:6" x14ac:dyDescent="0.3">
      <c r="F9691" s="193"/>
    </row>
    <row r="9692" spans="6:6" x14ac:dyDescent="0.3">
      <c r="F9692" s="193"/>
    </row>
    <row r="9693" spans="6:6" x14ac:dyDescent="0.3">
      <c r="F9693" s="193"/>
    </row>
    <row r="9694" spans="6:6" x14ac:dyDescent="0.3">
      <c r="F9694" s="193"/>
    </row>
    <row r="9695" spans="6:6" x14ac:dyDescent="0.3">
      <c r="F9695" s="193"/>
    </row>
    <row r="9696" spans="6:6" x14ac:dyDescent="0.3">
      <c r="F9696" s="193"/>
    </row>
    <row r="9697" spans="6:6" x14ac:dyDescent="0.3">
      <c r="F9697" s="193"/>
    </row>
    <row r="9698" spans="6:6" x14ac:dyDescent="0.3">
      <c r="F9698" s="193"/>
    </row>
    <row r="9699" spans="6:6" x14ac:dyDescent="0.3">
      <c r="F9699" s="193"/>
    </row>
    <row r="9700" spans="6:6" x14ac:dyDescent="0.3">
      <c r="F9700" s="193"/>
    </row>
    <row r="9701" spans="6:6" x14ac:dyDescent="0.3">
      <c r="F9701" s="193"/>
    </row>
    <row r="9702" spans="6:6" x14ac:dyDescent="0.3">
      <c r="F9702" s="193"/>
    </row>
    <row r="9703" spans="6:6" x14ac:dyDescent="0.3">
      <c r="F9703" s="193"/>
    </row>
    <row r="9704" spans="6:6" x14ac:dyDescent="0.3">
      <c r="F9704" s="193"/>
    </row>
    <row r="9705" spans="6:6" x14ac:dyDescent="0.3">
      <c r="F9705" s="193"/>
    </row>
    <row r="9706" spans="6:6" x14ac:dyDescent="0.3">
      <c r="F9706" s="193"/>
    </row>
    <row r="9707" spans="6:6" x14ac:dyDescent="0.3">
      <c r="F9707" s="193"/>
    </row>
    <row r="9708" spans="6:6" x14ac:dyDescent="0.3">
      <c r="F9708" s="193"/>
    </row>
    <row r="9709" spans="6:6" x14ac:dyDescent="0.3">
      <c r="F9709" s="193"/>
    </row>
    <row r="9710" spans="6:6" x14ac:dyDescent="0.3">
      <c r="F9710" s="193"/>
    </row>
    <row r="9711" spans="6:6" x14ac:dyDescent="0.3">
      <c r="F9711" s="193"/>
    </row>
    <row r="9712" spans="6:6" x14ac:dyDescent="0.3">
      <c r="F9712" s="193"/>
    </row>
    <row r="9713" spans="6:6" x14ac:dyDescent="0.3">
      <c r="F9713" s="193"/>
    </row>
    <row r="9714" spans="6:6" x14ac:dyDescent="0.3">
      <c r="F9714" s="193"/>
    </row>
    <row r="9715" spans="6:6" x14ac:dyDescent="0.3">
      <c r="F9715" s="193"/>
    </row>
    <row r="9716" spans="6:6" x14ac:dyDescent="0.3">
      <c r="F9716" s="193"/>
    </row>
    <row r="9717" spans="6:6" x14ac:dyDescent="0.3">
      <c r="F9717" s="193"/>
    </row>
    <row r="9718" spans="6:6" x14ac:dyDescent="0.3">
      <c r="F9718" s="193"/>
    </row>
    <row r="9719" spans="6:6" x14ac:dyDescent="0.3">
      <c r="F9719" s="193"/>
    </row>
    <row r="9720" spans="6:6" x14ac:dyDescent="0.3">
      <c r="F9720" s="193"/>
    </row>
    <row r="9721" spans="6:6" x14ac:dyDescent="0.3">
      <c r="F9721" s="193"/>
    </row>
    <row r="9722" spans="6:6" x14ac:dyDescent="0.3">
      <c r="F9722" s="193"/>
    </row>
    <row r="9723" spans="6:6" x14ac:dyDescent="0.3">
      <c r="F9723" s="193"/>
    </row>
    <row r="9724" spans="6:6" x14ac:dyDescent="0.3">
      <c r="F9724" s="193"/>
    </row>
    <row r="9725" spans="6:6" x14ac:dyDescent="0.3">
      <c r="F9725" s="193"/>
    </row>
    <row r="9726" spans="6:6" x14ac:dyDescent="0.3">
      <c r="F9726" s="193"/>
    </row>
    <row r="9727" spans="6:6" x14ac:dyDescent="0.3">
      <c r="F9727" s="193"/>
    </row>
    <row r="9728" spans="6:6" x14ac:dyDescent="0.3">
      <c r="F9728" s="193"/>
    </row>
    <row r="9729" spans="6:6" x14ac:dyDescent="0.3">
      <c r="F9729" s="193"/>
    </row>
    <row r="9730" spans="6:6" x14ac:dyDescent="0.3">
      <c r="F9730" s="193"/>
    </row>
    <row r="9731" spans="6:6" x14ac:dyDescent="0.3">
      <c r="F9731" s="193"/>
    </row>
    <row r="9732" spans="6:6" x14ac:dyDescent="0.3">
      <c r="F9732" s="193"/>
    </row>
    <row r="9733" spans="6:6" x14ac:dyDescent="0.3">
      <c r="F9733" s="193"/>
    </row>
    <row r="9734" spans="6:6" x14ac:dyDescent="0.3">
      <c r="F9734" s="193"/>
    </row>
    <row r="9735" spans="6:6" x14ac:dyDescent="0.3">
      <c r="F9735" s="193"/>
    </row>
    <row r="9736" spans="6:6" x14ac:dyDescent="0.3">
      <c r="F9736" s="193"/>
    </row>
    <row r="9737" spans="6:6" x14ac:dyDescent="0.3">
      <c r="F9737" s="193"/>
    </row>
    <row r="9738" spans="6:6" x14ac:dyDescent="0.3">
      <c r="F9738" s="193"/>
    </row>
    <row r="9739" spans="6:6" x14ac:dyDescent="0.3">
      <c r="F9739" s="193"/>
    </row>
    <row r="9740" spans="6:6" x14ac:dyDescent="0.3">
      <c r="F9740" s="193"/>
    </row>
    <row r="9741" spans="6:6" x14ac:dyDescent="0.3">
      <c r="F9741" s="193"/>
    </row>
    <row r="9742" spans="6:6" x14ac:dyDescent="0.3">
      <c r="F9742" s="193"/>
    </row>
    <row r="9743" spans="6:6" x14ac:dyDescent="0.3">
      <c r="F9743" s="193"/>
    </row>
    <row r="9744" spans="6:6" x14ac:dyDescent="0.3">
      <c r="F9744" s="193"/>
    </row>
    <row r="9745" spans="6:6" x14ac:dyDescent="0.3">
      <c r="F9745" s="193"/>
    </row>
    <row r="9746" spans="6:6" x14ac:dyDescent="0.3">
      <c r="F9746" s="193"/>
    </row>
    <row r="9747" spans="6:6" x14ac:dyDescent="0.3">
      <c r="F9747" s="193"/>
    </row>
    <row r="9748" spans="6:6" x14ac:dyDescent="0.3">
      <c r="F9748" s="193"/>
    </row>
    <row r="9749" spans="6:6" x14ac:dyDescent="0.3">
      <c r="F9749" s="193"/>
    </row>
    <row r="9750" spans="6:6" x14ac:dyDescent="0.3">
      <c r="F9750" s="193"/>
    </row>
    <row r="9751" spans="6:6" x14ac:dyDescent="0.3">
      <c r="F9751" s="193"/>
    </row>
    <row r="9752" spans="6:6" x14ac:dyDescent="0.3">
      <c r="F9752" s="193"/>
    </row>
    <row r="9753" spans="6:6" x14ac:dyDescent="0.3">
      <c r="F9753" s="193"/>
    </row>
    <row r="9754" spans="6:6" x14ac:dyDescent="0.3">
      <c r="F9754" s="193"/>
    </row>
    <row r="9755" spans="6:6" x14ac:dyDescent="0.3">
      <c r="F9755" s="193"/>
    </row>
    <row r="9756" spans="6:6" x14ac:dyDescent="0.3">
      <c r="F9756" s="193"/>
    </row>
    <row r="9757" spans="6:6" x14ac:dyDescent="0.3">
      <c r="F9757" s="193"/>
    </row>
    <row r="9758" spans="6:6" x14ac:dyDescent="0.3">
      <c r="F9758" s="193"/>
    </row>
    <row r="9759" spans="6:6" x14ac:dyDescent="0.3">
      <c r="F9759" s="193"/>
    </row>
    <row r="9760" spans="6:6" x14ac:dyDescent="0.3">
      <c r="F9760" s="193"/>
    </row>
    <row r="9761" spans="6:6" x14ac:dyDescent="0.3">
      <c r="F9761" s="193"/>
    </row>
    <row r="9762" spans="6:6" x14ac:dyDescent="0.3">
      <c r="F9762" s="193"/>
    </row>
    <row r="9763" spans="6:6" x14ac:dyDescent="0.3">
      <c r="F9763" s="193"/>
    </row>
    <row r="9764" spans="6:6" x14ac:dyDescent="0.3">
      <c r="F9764" s="193"/>
    </row>
    <row r="9765" spans="6:6" x14ac:dyDescent="0.3">
      <c r="F9765" s="193"/>
    </row>
    <row r="9766" spans="6:6" x14ac:dyDescent="0.3">
      <c r="F9766" s="193"/>
    </row>
    <row r="9767" spans="6:6" x14ac:dyDescent="0.3">
      <c r="F9767" s="193"/>
    </row>
    <row r="9768" spans="6:6" x14ac:dyDescent="0.3">
      <c r="F9768" s="193"/>
    </row>
    <row r="9769" spans="6:6" x14ac:dyDescent="0.3">
      <c r="F9769" s="193"/>
    </row>
    <row r="9770" spans="6:6" x14ac:dyDescent="0.3">
      <c r="F9770" s="193"/>
    </row>
    <row r="9771" spans="6:6" x14ac:dyDescent="0.3">
      <c r="F9771" s="193"/>
    </row>
    <row r="9772" spans="6:6" x14ac:dyDescent="0.3">
      <c r="F9772" s="193"/>
    </row>
    <row r="9773" spans="6:6" x14ac:dyDescent="0.3">
      <c r="F9773" s="193"/>
    </row>
    <row r="9774" spans="6:6" x14ac:dyDescent="0.3">
      <c r="F9774" s="193"/>
    </row>
    <row r="9775" spans="6:6" x14ac:dyDescent="0.3">
      <c r="F9775" s="193"/>
    </row>
    <row r="9776" spans="6:6" x14ac:dyDescent="0.3">
      <c r="F9776" s="193"/>
    </row>
    <row r="9777" spans="6:6" x14ac:dyDescent="0.3">
      <c r="F9777" s="193"/>
    </row>
    <row r="9778" spans="6:6" x14ac:dyDescent="0.3">
      <c r="F9778" s="193"/>
    </row>
    <row r="9779" spans="6:6" x14ac:dyDescent="0.3">
      <c r="F9779" s="193"/>
    </row>
    <row r="9780" spans="6:6" x14ac:dyDescent="0.3">
      <c r="F9780" s="193"/>
    </row>
    <row r="9781" spans="6:6" x14ac:dyDescent="0.3">
      <c r="F9781" s="193"/>
    </row>
    <row r="9782" spans="6:6" x14ac:dyDescent="0.3">
      <c r="F9782" s="193"/>
    </row>
    <row r="9783" spans="6:6" x14ac:dyDescent="0.3">
      <c r="F9783" s="193"/>
    </row>
    <row r="9784" spans="6:6" x14ac:dyDescent="0.3">
      <c r="F9784" s="193"/>
    </row>
    <row r="9785" spans="6:6" x14ac:dyDescent="0.3">
      <c r="F9785" s="193"/>
    </row>
    <row r="9786" spans="6:6" x14ac:dyDescent="0.3">
      <c r="F9786" s="193"/>
    </row>
    <row r="9787" spans="6:6" x14ac:dyDescent="0.3">
      <c r="F9787" s="193"/>
    </row>
    <row r="9788" spans="6:6" x14ac:dyDescent="0.3">
      <c r="F9788" s="193"/>
    </row>
    <row r="9789" spans="6:6" x14ac:dyDescent="0.3">
      <c r="F9789" s="193"/>
    </row>
    <row r="9790" spans="6:6" x14ac:dyDescent="0.3">
      <c r="F9790" s="193"/>
    </row>
    <row r="9791" spans="6:6" x14ac:dyDescent="0.3">
      <c r="F9791" s="193"/>
    </row>
    <row r="9792" spans="6:6" x14ac:dyDescent="0.3">
      <c r="F9792" s="193"/>
    </row>
    <row r="9793" spans="6:6" x14ac:dyDescent="0.3">
      <c r="F9793" s="193"/>
    </row>
    <row r="9794" spans="6:6" x14ac:dyDescent="0.3">
      <c r="F9794" s="193"/>
    </row>
    <row r="9795" spans="6:6" x14ac:dyDescent="0.3">
      <c r="F9795" s="193"/>
    </row>
    <row r="9796" spans="6:6" x14ac:dyDescent="0.3">
      <c r="F9796" s="193"/>
    </row>
    <row r="9797" spans="6:6" x14ac:dyDescent="0.3">
      <c r="F9797" s="193"/>
    </row>
    <row r="9798" spans="6:6" x14ac:dyDescent="0.3">
      <c r="F9798" s="193"/>
    </row>
    <row r="9799" spans="6:6" x14ac:dyDescent="0.3">
      <c r="F9799" s="193"/>
    </row>
    <row r="9800" spans="6:6" x14ac:dyDescent="0.3">
      <c r="F9800" s="193"/>
    </row>
    <row r="9801" spans="6:6" x14ac:dyDescent="0.3">
      <c r="F9801" s="193"/>
    </row>
    <row r="9802" spans="6:6" x14ac:dyDescent="0.3">
      <c r="F9802" s="193"/>
    </row>
    <row r="9803" spans="6:6" x14ac:dyDescent="0.3">
      <c r="F9803" s="193"/>
    </row>
    <row r="9804" spans="6:6" x14ac:dyDescent="0.3">
      <c r="F9804" s="193"/>
    </row>
    <row r="9805" spans="6:6" x14ac:dyDescent="0.3">
      <c r="F9805" s="193"/>
    </row>
    <row r="9806" spans="6:6" x14ac:dyDescent="0.3">
      <c r="F9806" s="193"/>
    </row>
    <row r="9807" spans="6:6" x14ac:dyDescent="0.3">
      <c r="F9807" s="193"/>
    </row>
    <row r="9808" spans="6:6" x14ac:dyDescent="0.3">
      <c r="F9808" s="193"/>
    </row>
    <row r="9809" spans="6:6" x14ac:dyDescent="0.3">
      <c r="F9809" s="193"/>
    </row>
    <row r="9810" spans="6:6" x14ac:dyDescent="0.3">
      <c r="F9810" s="193"/>
    </row>
    <row r="9811" spans="6:6" x14ac:dyDescent="0.3">
      <c r="F9811" s="193"/>
    </row>
    <row r="9812" spans="6:6" x14ac:dyDescent="0.3">
      <c r="F9812" s="193"/>
    </row>
    <row r="9813" spans="6:6" x14ac:dyDescent="0.3">
      <c r="F9813" s="193"/>
    </row>
    <row r="9814" spans="6:6" x14ac:dyDescent="0.3">
      <c r="F9814" s="193"/>
    </row>
    <row r="9815" spans="6:6" x14ac:dyDescent="0.3">
      <c r="F9815" s="193"/>
    </row>
    <row r="9816" spans="6:6" x14ac:dyDescent="0.3">
      <c r="F9816" s="193"/>
    </row>
    <row r="9817" spans="6:6" x14ac:dyDescent="0.3">
      <c r="F9817" s="193"/>
    </row>
    <row r="9818" spans="6:6" x14ac:dyDescent="0.3">
      <c r="F9818" s="193"/>
    </row>
    <row r="9819" spans="6:6" x14ac:dyDescent="0.3">
      <c r="F9819" s="193"/>
    </row>
    <row r="9820" spans="6:6" x14ac:dyDescent="0.3">
      <c r="F9820" s="193"/>
    </row>
    <row r="9821" spans="6:6" x14ac:dyDescent="0.3">
      <c r="F9821" s="193"/>
    </row>
    <row r="9822" spans="6:6" x14ac:dyDescent="0.3">
      <c r="F9822" s="193"/>
    </row>
    <row r="9823" spans="6:6" x14ac:dyDescent="0.3">
      <c r="F9823" s="193"/>
    </row>
    <row r="9824" spans="6:6" x14ac:dyDescent="0.3">
      <c r="F9824" s="193"/>
    </row>
    <row r="9825" spans="6:6" x14ac:dyDescent="0.3">
      <c r="F9825" s="193"/>
    </row>
    <row r="9826" spans="6:6" x14ac:dyDescent="0.3">
      <c r="F9826" s="193"/>
    </row>
    <row r="9827" spans="6:6" x14ac:dyDescent="0.3">
      <c r="F9827" s="193"/>
    </row>
    <row r="9828" spans="6:6" x14ac:dyDescent="0.3">
      <c r="F9828" s="193"/>
    </row>
    <row r="9829" spans="6:6" x14ac:dyDescent="0.3">
      <c r="F9829" s="193"/>
    </row>
    <row r="9830" spans="6:6" x14ac:dyDescent="0.3">
      <c r="F9830" s="193"/>
    </row>
    <row r="9831" spans="6:6" x14ac:dyDescent="0.3">
      <c r="F9831" s="193"/>
    </row>
    <row r="9832" spans="6:6" x14ac:dyDescent="0.3">
      <c r="F9832" s="193"/>
    </row>
    <row r="9833" spans="6:6" x14ac:dyDescent="0.3">
      <c r="F9833" s="193"/>
    </row>
    <row r="9834" spans="6:6" x14ac:dyDescent="0.3">
      <c r="F9834" s="193"/>
    </row>
    <row r="9835" spans="6:6" x14ac:dyDescent="0.3">
      <c r="F9835" s="193"/>
    </row>
    <row r="9836" spans="6:6" x14ac:dyDescent="0.3">
      <c r="F9836" s="193"/>
    </row>
    <row r="9837" spans="6:6" x14ac:dyDescent="0.3">
      <c r="F9837" s="193"/>
    </row>
    <row r="9838" spans="6:6" x14ac:dyDescent="0.3">
      <c r="F9838" s="193"/>
    </row>
    <row r="9839" spans="6:6" x14ac:dyDescent="0.3">
      <c r="F9839" s="193"/>
    </row>
    <row r="9840" spans="6:6" x14ac:dyDescent="0.3">
      <c r="F9840" s="193"/>
    </row>
    <row r="9841" spans="6:6" x14ac:dyDescent="0.3">
      <c r="F9841" s="193"/>
    </row>
    <row r="9842" spans="6:6" x14ac:dyDescent="0.3">
      <c r="F9842" s="193"/>
    </row>
    <row r="9843" spans="6:6" x14ac:dyDescent="0.3">
      <c r="F9843" s="193"/>
    </row>
    <row r="9844" spans="6:6" x14ac:dyDescent="0.3">
      <c r="F9844" s="193"/>
    </row>
    <row r="9845" spans="6:6" x14ac:dyDescent="0.3">
      <c r="F9845" s="193"/>
    </row>
    <row r="9846" spans="6:6" x14ac:dyDescent="0.3">
      <c r="F9846" s="193"/>
    </row>
    <row r="9847" spans="6:6" x14ac:dyDescent="0.3">
      <c r="F9847" s="193"/>
    </row>
    <row r="9848" spans="6:6" x14ac:dyDescent="0.3">
      <c r="F9848" s="193"/>
    </row>
    <row r="9849" spans="6:6" x14ac:dyDescent="0.3">
      <c r="F9849" s="193"/>
    </row>
    <row r="9850" spans="6:6" x14ac:dyDescent="0.3">
      <c r="F9850" s="193"/>
    </row>
    <row r="9851" spans="6:6" x14ac:dyDescent="0.3">
      <c r="F9851" s="193"/>
    </row>
    <row r="9852" spans="6:6" x14ac:dyDescent="0.3">
      <c r="F9852" s="193"/>
    </row>
    <row r="9853" spans="6:6" x14ac:dyDescent="0.3">
      <c r="F9853" s="193"/>
    </row>
    <row r="9854" spans="6:6" x14ac:dyDescent="0.3">
      <c r="F9854" s="193"/>
    </row>
    <row r="9855" spans="6:6" x14ac:dyDescent="0.3">
      <c r="F9855" s="193"/>
    </row>
    <row r="9856" spans="6:6" x14ac:dyDescent="0.3">
      <c r="F9856" s="193"/>
    </row>
    <row r="9857" spans="6:6" x14ac:dyDescent="0.3">
      <c r="F9857" s="193"/>
    </row>
    <row r="9858" spans="6:6" x14ac:dyDescent="0.3">
      <c r="F9858" s="193"/>
    </row>
    <row r="9859" spans="6:6" x14ac:dyDescent="0.3">
      <c r="F9859" s="193"/>
    </row>
    <row r="9860" spans="6:6" x14ac:dyDescent="0.3">
      <c r="F9860" s="193"/>
    </row>
    <row r="9861" spans="6:6" x14ac:dyDescent="0.3">
      <c r="F9861" s="193"/>
    </row>
    <row r="9862" spans="6:6" x14ac:dyDescent="0.3">
      <c r="F9862" s="193"/>
    </row>
    <row r="9863" spans="6:6" x14ac:dyDescent="0.3">
      <c r="F9863" s="193"/>
    </row>
    <row r="9864" spans="6:6" x14ac:dyDescent="0.3">
      <c r="F9864" s="193"/>
    </row>
    <row r="9865" spans="6:6" x14ac:dyDescent="0.3">
      <c r="F9865" s="193"/>
    </row>
    <row r="9866" spans="6:6" x14ac:dyDescent="0.3">
      <c r="F9866" s="193"/>
    </row>
    <row r="9867" spans="6:6" x14ac:dyDescent="0.3">
      <c r="F9867" s="193"/>
    </row>
    <row r="9868" spans="6:6" x14ac:dyDescent="0.3">
      <c r="F9868" s="193"/>
    </row>
    <row r="9869" spans="6:6" x14ac:dyDescent="0.3">
      <c r="F9869" s="193"/>
    </row>
    <row r="9870" spans="6:6" x14ac:dyDescent="0.3">
      <c r="F9870" s="193"/>
    </row>
    <row r="9871" spans="6:6" x14ac:dyDescent="0.3">
      <c r="F9871" s="193"/>
    </row>
    <row r="9872" spans="6:6" x14ac:dyDescent="0.3">
      <c r="F9872" s="193"/>
    </row>
    <row r="9873" spans="6:6" x14ac:dyDescent="0.3">
      <c r="F9873" s="193"/>
    </row>
    <row r="9874" spans="6:6" x14ac:dyDescent="0.3">
      <c r="F9874" s="193"/>
    </row>
    <row r="9875" spans="6:6" x14ac:dyDescent="0.3">
      <c r="F9875" s="193"/>
    </row>
    <row r="9876" spans="6:6" x14ac:dyDescent="0.3">
      <c r="F9876" s="193"/>
    </row>
    <row r="9877" spans="6:6" x14ac:dyDescent="0.3">
      <c r="F9877" s="193"/>
    </row>
    <row r="9878" spans="6:6" x14ac:dyDescent="0.3">
      <c r="F9878" s="193"/>
    </row>
    <row r="9879" spans="6:6" x14ac:dyDescent="0.3">
      <c r="F9879" s="193"/>
    </row>
    <row r="9880" spans="6:6" x14ac:dyDescent="0.3">
      <c r="F9880" s="193"/>
    </row>
    <row r="9881" spans="6:6" x14ac:dyDescent="0.3">
      <c r="F9881" s="193"/>
    </row>
    <row r="9882" spans="6:6" x14ac:dyDescent="0.3">
      <c r="F9882" s="193"/>
    </row>
    <row r="9883" spans="6:6" x14ac:dyDescent="0.3">
      <c r="F9883" s="193"/>
    </row>
    <row r="9884" spans="6:6" x14ac:dyDescent="0.3">
      <c r="F9884" s="193"/>
    </row>
    <row r="9885" spans="6:6" x14ac:dyDescent="0.3">
      <c r="F9885" s="193"/>
    </row>
    <row r="9886" spans="6:6" x14ac:dyDescent="0.3">
      <c r="F9886" s="193"/>
    </row>
    <row r="9887" spans="6:6" x14ac:dyDescent="0.3">
      <c r="F9887" s="193"/>
    </row>
    <row r="9888" spans="6:6" x14ac:dyDescent="0.3">
      <c r="F9888" s="193"/>
    </row>
    <row r="9889" spans="6:6" x14ac:dyDescent="0.3">
      <c r="F9889" s="193"/>
    </row>
    <row r="9890" spans="6:6" x14ac:dyDescent="0.3">
      <c r="F9890" s="193"/>
    </row>
    <row r="9891" spans="6:6" x14ac:dyDescent="0.3">
      <c r="F9891" s="193"/>
    </row>
    <row r="9892" spans="6:6" x14ac:dyDescent="0.3">
      <c r="F9892" s="193"/>
    </row>
    <row r="9893" spans="6:6" x14ac:dyDescent="0.3">
      <c r="F9893" s="193"/>
    </row>
    <row r="9894" spans="6:6" x14ac:dyDescent="0.3">
      <c r="F9894" s="193"/>
    </row>
    <row r="9895" spans="6:6" x14ac:dyDescent="0.3">
      <c r="F9895" s="193"/>
    </row>
    <row r="9896" spans="6:6" x14ac:dyDescent="0.3">
      <c r="F9896" s="193"/>
    </row>
    <row r="9897" spans="6:6" x14ac:dyDescent="0.3">
      <c r="F9897" s="193"/>
    </row>
    <row r="9898" spans="6:6" x14ac:dyDescent="0.3">
      <c r="F9898" s="193"/>
    </row>
    <row r="9899" spans="6:6" x14ac:dyDescent="0.3">
      <c r="F9899" s="193"/>
    </row>
    <row r="9900" spans="6:6" x14ac:dyDescent="0.3">
      <c r="F9900" s="193"/>
    </row>
    <row r="9901" spans="6:6" x14ac:dyDescent="0.3">
      <c r="F9901" s="193"/>
    </row>
    <row r="9902" spans="6:6" x14ac:dyDescent="0.3">
      <c r="F9902" s="193"/>
    </row>
    <row r="9903" spans="6:6" x14ac:dyDescent="0.3">
      <c r="F9903" s="193"/>
    </row>
    <row r="9904" spans="6:6" x14ac:dyDescent="0.3">
      <c r="F9904" s="193"/>
    </row>
    <row r="9905" spans="6:6" x14ac:dyDescent="0.3">
      <c r="F9905" s="193"/>
    </row>
    <row r="9906" spans="6:6" x14ac:dyDescent="0.3">
      <c r="F9906" s="193"/>
    </row>
    <row r="9907" spans="6:6" x14ac:dyDescent="0.3">
      <c r="F9907" s="193"/>
    </row>
    <row r="9908" spans="6:6" x14ac:dyDescent="0.3">
      <c r="F9908" s="193"/>
    </row>
    <row r="9909" spans="6:6" x14ac:dyDescent="0.3">
      <c r="F9909" s="193"/>
    </row>
    <row r="9910" spans="6:6" x14ac:dyDescent="0.3">
      <c r="F9910" s="193"/>
    </row>
    <row r="9911" spans="6:6" x14ac:dyDescent="0.3">
      <c r="F9911" s="193"/>
    </row>
    <row r="9912" spans="6:6" x14ac:dyDescent="0.3">
      <c r="F9912" s="193"/>
    </row>
    <row r="9913" spans="6:6" x14ac:dyDescent="0.3">
      <c r="F9913" s="193"/>
    </row>
    <row r="9914" spans="6:6" x14ac:dyDescent="0.3">
      <c r="F9914" s="193"/>
    </row>
    <row r="9915" spans="6:6" x14ac:dyDescent="0.3">
      <c r="F9915" s="193"/>
    </row>
    <row r="9916" spans="6:6" x14ac:dyDescent="0.3">
      <c r="F9916" s="193"/>
    </row>
    <row r="9917" spans="6:6" x14ac:dyDescent="0.3">
      <c r="F9917" s="193"/>
    </row>
    <row r="9918" spans="6:6" x14ac:dyDescent="0.3">
      <c r="F9918" s="193"/>
    </row>
    <row r="9919" spans="6:6" x14ac:dyDescent="0.3">
      <c r="F9919" s="193"/>
    </row>
    <row r="9920" spans="6:6" x14ac:dyDescent="0.3">
      <c r="F9920" s="193"/>
    </row>
    <row r="9921" spans="6:6" x14ac:dyDescent="0.3">
      <c r="F9921" s="193"/>
    </row>
    <row r="9922" spans="6:6" x14ac:dyDescent="0.3">
      <c r="F9922" s="193"/>
    </row>
    <row r="9923" spans="6:6" x14ac:dyDescent="0.3">
      <c r="F9923" s="193"/>
    </row>
    <row r="9924" spans="6:6" x14ac:dyDescent="0.3">
      <c r="F9924" s="193"/>
    </row>
    <row r="9925" spans="6:6" x14ac:dyDescent="0.3">
      <c r="F9925" s="193"/>
    </row>
    <row r="9926" spans="6:6" x14ac:dyDescent="0.3">
      <c r="F9926" s="193"/>
    </row>
    <row r="9927" spans="6:6" x14ac:dyDescent="0.3">
      <c r="F9927" s="193"/>
    </row>
    <row r="9928" spans="6:6" x14ac:dyDescent="0.3">
      <c r="F9928" s="193"/>
    </row>
    <row r="9929" spans="6:6" x14ac:dyDescent="0.3">
      <c r="F9929" s="193"/>
    </row>
    <row r="9930" spans="6:6" x14ac:dyDescent="0.3">
      <c r="F9930" s="193"/>
    </row>
    <row r="9931" spans="6:6" x14ac:dyDescent="0.3">
      <c r="F9931" s="193"/>
    </row>
    <row r="9932" spans="6:6" x14ac:dyDescent="0.3">
      <c r="F9932" s="193"/>
    </row>
    <row r="9933" spans="6:6" x14ac:dyDescent="0.3">
      <c r="F9933" s="193"/>
    </row>
    <row r="9934" spans="6:6" x14ac:dyDescent="0.3">
      <c r="F9934" s="193"/>
    </row>
    <row r="9935" spans="6:6" x14ac:dyDescent="0.3">
      <c r="F9935" s="193"/>
    </row>
    <row r="9936" spans="6:6" x14ac:dyDescent="0.3">
      <c r="F9936" s="193"/>
    </row>
    <row r="9937" spans="6:6" x14ac:dyDescent="0.3">
      <c r="F9937" s="193"/>
    </row>
    <row r="9938" spans="6:6" x14ac:dyDescent="0.3">
      <c r="F9938" s="193"/>
    </row>
    <row r="9939" spans="6:6" x14ac:dyDescent="0.3">
      <c r="F9939" s="193"/>
    </row>
    <row r="9940" spans="6:6" x14ac:dyDescent="0.3">
      <c r="F9940" s="193"/>
    </row>
    <row r="9941" spans="6:6" x14ac:dyDescent="0.3">
      <c r="F9941" s="193"/>
    </row>
    <row r="9942" spans="6:6" x14ac:dyDescent="0.3">
      <c r="F9942" s="193"/>
    </row>
    <row r="9943" spans="6:6" x14ac:dyDescent="0.3">
      <c r="F9943" s="193"/>
    </row>
    <row r="9944" spans="6:6" x14ac:dyDescent="0.3">
      <c r="F9944" s="193"/>
    </row>
    <row r="9945" spans="6:6" x14ac:dyDescent="0.3">
      <c r="F9945" s="193"/>
    </row>
    <row r="9946" spans="6:6" x14ac:dyDescent="0.3">
      <c r="F9946" s="193"/>
    </row>
    <row r="9947" spans="6:6" x14ac:dyDescent="0.3">
      <c r="F9947" s="193"/>
    </row>
    <row r="9948" spans="6:6" x14ac:dyDescent="0.3">
      <c r="F9948" s="193"/>
    </row>
    <row r="9949" spans="6:6" x14ac:dyDescent="0.3">
      <c r="F9949" s="193"/>
    </row>
    <row r="9950" spans="6:6" x14ac:dyDescent="0.3">
      <c r="F9950" s="193"/>
    </row>
    <row r="9951" spans="6:6" x14ac:dyDescent="0.3">
      <c r="F9951" s="193"/>
    </row>
    <row r="9952" spans="6:6" x14ac:dyDescent="0.3">
      <c r="F9952" s="193"/>
    </row>
    <row r="9953" spans="6:6" x14ac:dyDescent="0.3">
      <c r="F9953" s="193"/>
    </row>
    <row r="9954" spans="6:6" x14ac:dyDescent="0.3">
      <c r="F9954" s="193"/>
    </row>
    <row r="9955" spans="6:6" x14ac:dyDescent="0.3">
      <c r="F9955" s="193"/>
    </row>
    <row r="9956" spans="6:6" x14ac:dyDescent="0.3">
      <c r="F9956" s="193"/>
    </row>
    <row r="9957" spans="6:6" x14ac:dyDescent="0.3">
      <c r="F9957" s="193"/>
    </row>
    <row r="9958" spans="6:6" x14ac:dyDescent="0.3">
      <c r="F9958" s="193"/>
    </row>
    <row r="9959" spans="6:6" x14ac:dyDescent="0.3">
      <c r="F9959" s="193"/>
    </row>
    <row r="9960" spans="6:6" x14ac:dyDescent="0.3">
      <c r="F9960" s="193"/>
    </row>
    <row r="9961" spans="6:6" x14ac:dyDescent="0.3">
      <c r="F9961" s="193"/>
    </row>
    <row r="9962" spans="6:6" x14ac:dyDescent="0.3">
      <c r="F9962" s="193"/>
    </row>
    <row r="9963" spans="6:6" x14ac:dyDescent="0.3">
      <c r="F9963" s="193"/>
    </row>
    <row r="9964" spans="6:6" x14ac:dyDescent="0.3">
      <c r="F9964" s="193"/>
    </row>
    <row r="9965" spans="6:6" x14ac:dyDescent="0.3">
      <c r="F9965" s="193"/>
    </row>
    <row r="9966" spans="6:6" x14ac:dyDescent="0.3">
      <c r="F9966" s="193"/>
    </row>
    <row r="9967" spans="6:6" x14ac:dyDescent="0.3">
      <c r="F9967" s="193"/>
    </row>
    <row r="9968" spans="6:6" x14ac:dyDescent="0.3">
      <c r="F9968" s="193"/>
    </row>
    <row r="9969" spans="6:6" x14ac:dyDescent="0.3">
      <c r="F9969" s="193"/>
    </row>
    <row r="9970" spans="6:6" x14ac:dyDescent="0.3">
      <c r="F9970" s="193"/>
    </row>
    <row r="9971" spans="6:6" x14ac:dyDescent="0.3">
      <c r="F9971" s="193"/>
    </row>
    <row r="9972" spans="6:6" x14ac:dyDescent="0.3">
      <c r="F9972" s="193"/>
    </row>
    <row r="9973" spans="6:6" x14ac:dyDescent="0.3">
      <c r="F9973" s="193"/>
    </row>
    <row r="9974" spans="6:6" x14ac:dyDescent="0.3">
      <c r="F9974" s="193"/>
    </row>
    <row r="9975" spans="6:6" x14ac:dyDescent="0.3">
      <c r="F9975" s="193"/>
    </row>
    <row r="9976" spans="6:6" x14ac:dyDescent="0.3">
      <c r="F9976" s="193"/>
    </row>
    <row r="9977" spans="6:6" x14ac:dyDescent="0.3">
      <c r="F9977" s="193"/>
    </row>
    <row r="9978" spans="6:6" x14ac:dyDescent="0.3">
      <c r="F9978" s="193"/>
    </row>
    <row r="9979" spans="6:6" x14ac:dyDescent="0.3">
      <c r="F9979" s="193"/>
    </row>
    <row r="9980" spans="6:6" x14ac:dyDescent="0.3">
      <c r="F9980" s="193"/>
    </row>
    <row r="9981" spans="6:6" x14ac:dyDescent="0.3">
      <c r="F9981" s="193"/>
    </row>
    <row r="9982" spans="6:6" x14ac:dyDescent="0.3">
      <c r="F9982" s="193"/>
    </row>
    <row r="9983" spans="6:6" x14ac:dyDescent="0.3">
      <c r="F9983" s="193"/>
    </row>
    <row r="9984" spans="6:6" x14ac:dyDescent="0.3">
      <c r="F9984" s="193"/>
    </row>
    <row r="9985" spans="6:6" x14ac:dyDescent="0.3">
      <c r="F9985" s="193"/>
    </row>
    <row r="9986" spans="6:6" x14ac:dyDescent="0.3">
      <c r="F9986" s="193"/>
    </row>
    <row r="9987" spans="6:6" x14ac:dyDescent="0.3">
      <c r="F9987" s="193"/>
    </row>
    <row r="9988" spans="6:6" x14ac:dyDescent="0.3">
      <c r="F9988" s="193"/>
    </row>
    <row r="9989" spans="6:6" x14ac:dyDescent="0.3">
      <c r="F9989" s="193"/>
    </row>
    <row r="9990" spans="6:6" x14ac:dyDescent="0.3">
      <c r="F9990" s="193"/>
    </row>
    <row r="9991" spans="6:6" x14ac:dyDescent="0.3">
      <c r="F9991" s="193"/>
    </row>
    <row r="9992" spans="6:6" x14ac:dyDescent="0.3">
      <c r="F9992" s="193"/>
    </row>
    <row r="9993" spans="6:6" x14ac:dyDescent="0.3">
      <c r="F9993" s="193"/>
    </row>
    <row r="9994" spans="6:6" x14ac:dyDescent="0.3">
      <c r="F9994" s="193"/>
    </row>
    <row r="9995" spans="6:6" x14ac:dyDescent="0.3">
      <c r="F9995" s="193"/>
    </row>
    <row r="9996" spans="6:6" x14ac:dyDescent="0.3">
      <c r="F9996" s="193"/>
    </row>
    <row r="9997" spans="6:6" x14ac:dyDescent="0.3">
      <c r="F9997" s="193"/>
    </row>
    <row r="9998" spans="6:6" x14ac:dyDescent="0.3">
      <c r="F9998" s="193"/>
    </row>
    <row r="9999" spans="6:6" x14ac:dyDescent="0.3">
      <c r="F9999" s="193"/>
    </row>
    <row r="10000" spans="6:6" x14ac:dyDescent="0.3">
      <c r="F10000" s="193"/>
    </row>
    <row r="10001" spans="6:6" x14ac:dyDescent="0.3">
      <c r="F10001" s="193"/>
    </row>
    <row r="10002" spans="6:6" x14ac:dyDescent="0.3">
      <c r="F10002" s="193"/>
    </row>
    <row r="10003" spans="6:6" x14ac:dyDescent="0.3">
      <c r="F10003" s="193"/>
    </row>
    <row r="10004" spans="6:6" x14ac:dyDescent="0.3">
      <c r="F10004" s="193"/>
    </row>
    <row r="10005" spans="6:6" x14ac:dyDescent="0.3">
      <c r="F10005" s="193"/>
    </row>
    <row r="10006" spans="6:6" x14ac:dyDescent="0.3">
      <c r="F10006" s="193"/>
    </row>
    <row r="10007" spans="6:6" x14ac:dyDescent="0.3">
      <c r="F10007" s="193"/>
    </row>
    <row r="10008" spans="6:6" x14ac:dyDescent="0.3">
      <c r="F10008" s="193"/>
    </row>
    <row r="10009" spans="6:6" x14ac:dyDescent="0.3">
      <c r="F10009" s="193"/>
    </row>
    <row r="10010" spans="6:6" x14ac:dyDescent="0.3">
      <c r="F10010" s="193"/>
    </row>
    <row r="10011" spans="6:6" x14ac:dyDescent="0.3">
      <c r="F10011" s="193"/>
    </row>
    <row r="10012" spans="6:6" x14ac:dyDescent="0.3">
      <c r="F10012" s="193"/>
    </row>
    <row r="10013" spans="6:6" x14ac:dyDescent="0.3">
      <c r="F10013" s="193"/>
    </row>
    <row r="10014" spans="6:6" x14ac:dyDescent="0.3">
      <c r="F10014" s="193"/>
    </row>
    <row r="10015" spans="6:6" x14ac:dyDescent="0.3">
      <c r="F10015" s="193"/>
    </row>
    <row r="10016" spans="6:6" x14ac:dyDescent="0.3">
      <c r="F10016" s="193"/>
    </row>
    <row r="10017" spans="6:6" x14ac:dyDescent="0.3">
      <c r="F10017" s="193"/>
    </row>
    <row r="10018" spans="6:6" x14ac:dyDescent="0.3">
      <c r="F10018" s="193"/>
    </row>
    <row r="10019" spans="6:6" x14ac:dyDescent="0.3">
      <c r="F10019" s="193"/>
    </row>
    <row r="10020" spans="6:6" x14ac:dyDescent="0.3">
      <c r="F10020" s="193"/>
    </row>
    <row r="10021" spans="6:6" x14ac:dyDescent="0.3">
      <c r="F10021" s="193"/>
    </row>
    <row r="10022" spans="6:6" x14ac:dyDescent="0.3">
      <c r="F10022" s="193"/>
    </row>
    <row r="10023" spans="6:6" x14ac:dyDescent="0.3">
      <c r="F10023" s="193"/>
    </row>
    <row r="10024" spans="6:6" x14ac:dyDescent="0.3">
      <c r="F10024" s="193"/>
    </row>
    <row r="10025" spans="6:6" x14ac:dyDescent="0.3">
      <c r="F10025" s="193"/>
    </row>
    <row r="10026" spans="6:6" x14ac:dyDescent="0.3">
      <c r="F10026" s="193"/>
    </row>
    <row r="10027" spans="6:6" x14ac:dyDescent="0.3">
      <c r="F10027" s="193"/>
    </row>
    <row r="10028" spans="6:6" x14ac:dyDescent="0.3">
      <c r="F10028" s="193"/>
    </row>
    <row r="10029" spans="6:6" x14ac:dyDescent="0.3">
      <c r="F10029" s="193"/>
    </row>
    <row r="10030" spans="6:6" x14ac:dyDescent="0.3">
      <c r="F10030" s="193"/>
    </row>
    <row r="10031" spans="6:6" x14ac:dyDescent="0.3">
      <c r="F10031" s="193"/>
    </row>
    <row r="10032" spans="6:6" x14ac:dyDescent="0.3">
      <c r="F10032" s="193"/>
    </row>
    <row r="10033" spans="6:6" x14ac:dyDescent="0.3">
      <c r="F10033" s="193"/>
    </row>
    <row r="10034" spans="6:6" x14ac:dyDescent="0.3">
      <c r="F10034" s="193"/>
    </row>
    <row r="10035" spans="6:6" x14ac:dyDescent="0.3">
      <c r="F10035" s="193"/>
    </row>
    <row r="10036" spans="6:6" x14ac:dyDescent="0.3">
      <c r="F10036" s="193"/>
    </row>
    <row r="10037" spans="6:6" x14ac:dyDescent="0.3">
      <c r="F10037" s="193"/>
    </row>
    <row r="10038" spans="6:6" x14ac:dyDescent="0.3">
      <c r="F10038" s="193"/>
    </row>
    <row r="10039" spans="6:6" x14ac:dyDescent="0.3">
      <c r="F10039" s="193"/>
    </row>
    <row r="10040" spans="6:6" x14ac:dyDescent="0.3">
      <c r="F10040" s="193"/>
    </row>
    <row r="10041" spans="6:6" x14ac:dyDescent="0.3">
      <c r="F10041" s="193"/>
    </row>
    <row r="10042" spans="6:6" x14ac:dyDescent="0.3">
      <c r="F10042" s="193"/>
    </row>
    <row r="10043" spans="6:6" x14ac:dyDescent="0.3">
      <c r="F10043" s="193"/>
    </row>
    <row r="10044" spans="6:6" x14ac:dyDescent="0.3">
      <c r="F10044" s="193"/>
    </row>
    <row r="10045" spans="6:6" x14ac:dyDescent="0.3">
      <c r="F10045" s="193"/>
    </row>
    <row r="10046" spans="6:6" x14ac:dyDescent="0.3">
      <c r="F10046" s="193"/>
    </row>
    <row r="10047" spans="6:6" x14ac:dyDescent="0.3">
      <c r="F10047" s="193"/>
    </row>
    <row r="10048" spans="6:6" x14ac:dyDescent="0.3">
      <c r="F10048" s="193"/>
    </row>
    <row r="10049" spans="6:6" x14ac:dyDescent="0.3">
      <c r="F10049" s="193"/>
    </row>
    <row r="10050" spans="6:6" x14ac:dyDescent="0.3">
      <c r="F10050" s="193"/>
    </row>
    <row r="10051" spans="6:6" x14ac:dyDescent="0.3">
      <c r="F10051" s="193"/>
    </row>
    <row r="10052" spans="6:6" x14ac:dyDescent="0.3">
      <c r="F10052" s="193"/>
    </row>
    <row r="10053" spans="6:6" x14ac:dyDescent="0.3">
      <c r="F10053" s="193"/>
    </row>
    <row r="10054" spans="6:6" x14ac:dyDescent="0.3">
      <c r="F10054" s="193"/>
    </row>
    <row r="10055" spans="6:6" x14ac:dyDescent="0.3">
      <c r="F10055" s="193"/>
    </row>
    <row r="10056" spans="6:6" x14ac:dyDescent="0.3">
      <c r="F10056" s="193"/>
    </row>
    <row r="10057" spans="6:6" x14ac:dyDescent="0.3">
      <c r="F10057" s="193"/>
    </row>
    <row r="10058" spans="6:6" x14ac:dyDescent="0.3">
      <c r="F10058" s="193"/>
    </row>
    <row r="10059" spans="6:6" x14ac:dyDescent="0.3">
      <c r="F10059" s="193"/>
    </row>
    <row r="10060" spans="6:6" x14ac:dyDescent="0.3">
      <c r="F10060" s="193"/>
    </row>
    <row r="10061" spans="6:6" x14ac:dyDescent="0.3">
      <c r="F10061" s="193"/>
    </row>
    <row r="10062" spans="6:6" x14ac:dyDescent="0.3">
      <c r="F10062" s="193"/>
    </row>
    <row r="10063" spans="6:6" x14ac:dyDescent="0.3">
      <c r="F10063" s="193"/>
    </row>
    <row r="10064" spans="6:6" x14ac:dyDescent="0.3">
      <c r="F10064" s="193"/>
    </row>
    <row r="10065" spans="6:6" x14ac:dyDescent="0.3">
      <c r="F10065" s="193"/>
    </row>
    <row r="10066" spans="6:6" x14ac:dyDescent="0.3">
      <c r="F10066" s="193"/>
    </row>
    <row r="10067" spans="6:6" x14ac:dyDescent="0.3">
      <c r="F10067" s="193"/>
    </row>
    <row r="10068" spans="6:6" x14ac:dyDescent="0.3">
      <c r="F10068" s="193"/>
    </row>
    <row r="10069" spans="6:6" x14ac:dyDescent="0.3">
      <c r="F10069" s="193"/>
    </row>
    <row r="10070" spans="6:6" x14ac:dyDescent="0.3">
      <c r="F10070" s="193"/>
    </row>
    <row r="10071" spans="6:6" x14ac:dyDescent="0.3">
      <c r="F10071" s="193"/>
    </row>
    <row r="10072" spans="6:6" x14ac:dyDescent="0.3">
      <c r="F10072" s="193"/>
    </row>
    <row r="10073" spans="6:6" x14ac:dyDescent="0.3">
      <c r="F10073" s="193"/>
    </row>
    <row r="10074" spans="6:6" x14ac:dyDescent="0.3">
      <c r="F10074" s="193"/>
    </row>
    <row r="10075" spans="6:6" x14ac:dyDescent="0.3">
      <c r="F10075" s="193"/>
    </row>
    <row r="10076" spans="6:6" x14ac:dyDescent="0.3">
      <c r="F10076" s="193"/>
    </row>
    <row r="10077" spans="6:6" x14ac:dyDescent="0.3">
      <c r="F10077" s="193"/>
    </row>
    <row r="10078" spans="6:6" x14ac:dyDescent="0.3">
      <c r="F10078" s="193"/>
    </row>
    <row r="10079" spans="6:6" x14ac:dyDescent="0.3">
      <c r="F10079" s="193"/>
    </row>
    <row r="10080" spans="6:6" x14ac:dyDescent="0.3">
      <c r="F10080" s="193"/>
    </row>
    <row r="10081" spans="6:6" x14ac:dyDescent="0.3">
      <c r="F10081" s="193"/>
    </row>
    <row r="10082" spans="6:6" x14ac:dyDescent="0.3">
      <c r="F10082" s="193"/>
    </row>
    <row r="10083" spans="6:6" x14ac:dyDescent="0.3">
      <c r="F10083" s="193"/>
    </row>
    <row r="10084" spans="6:6" x14ac:dyDescent="0.3">
      <c r="F10084" s="193"/>
    </row>
    <row r="10085" spans="6:6" x14ac:dyDescent="0.3">
      <c r="F10085" s="193"/>
    </row>
    <row r="10086" spans="6:6" x14ac:dyDescent="0.3">
      <c r="F10086" s="193"/>
    </row>
    <row r="10087" spans="6:6" x14ac:dyDescent="0.3">
      <c r="F10087" s="193"/>
    </row>
    <row r="10088" spans="6:6" x14ac:dyDescent="0.3">
      <c r="F10088" s="193"/>
    </row>
    <row r="10089" spans="6:6" x14ac:dyDescent="0.3">
      <c r="F10089" s="193"/>
    </row>
    <row r="10090" spans="6:6" x14ac:dyDescent="0.3">
      <c r="F10090" s="193"/>
    </row>
    <row r="10091" spans="6:6" x14ac:dyDescent="0.3">
      <c r="F10091" s="193"/>
    </row>
    <row r="10092" spans="6:6" x14ac:dyDescent="0.3">
      <c r="F10092" s="193"/>
    </row>
    <row r="10093" spans="6:6" x14ac:dyDescent="0.3">
      <c r="F10093" s="193"/>
    </row>
    <row r="10094" spans="6:6" x14ac:dyDescent="0.3">
      <c r="F10094" s="193"/>
    </row>
    <row r="10095" spans="6:6" x14ac:dyDescent="0.3">
      <c r="F10095" s="193"/>
    </row>
    <row r="10096" spans="6:6" x14ac:dyDescent="0.3">
      <c r="F10096" s="193"/>
    </row>
    <row r="10097" spans="6:6" x14ac:dyDescent="0.3">
      <c r="F10097" s="193"/>
    </row>
    <row r="10098" spans="6:6" x14ac:dyDescent="0.3">
      <c r="F10098" s="193"/>
    </row>
    <row r="10099" spans="6:6" x14ac:dyDescent="0.3">
      <c r="F10099" s="193"/>
    </row>
    <row r="10100" spans="6:6" x14ac:dyDescent="0.3">
      <c r="F10100" s="193"/>
    </row>
    <row r="10101" spans="6:6" x14ac:dyDescent="0.3">
      <c r="F10101" s="193"/>
    </row>
    <row r="10102" spans="6:6" x14ac:dyDescent="0.3">
      <c r="F10102" s="193"/>
    </row>
    <row r="10103" spans="6:6" x14ac:dyDescent="0.3">
      <c r="F10103" s="193"/>
    </row>
    <row r="10104" spans="6:6" x14ac:dyDescent="0.3">
      <c r="F10104" s="193"/>
    </row>
    <row r="10105" spans="6:6" x14ac:dyDescent="0.3">
      <c r="F10105" s="193"/>
    </row>
    <row r="10106" spans="6:6" x14ac:dyDescent="0.3">
      <c r="F10106" s="193"/>
    </row>
    <row r="10107" spans="6:6" x14ac:dyDescent="0.3">
      <c r="F10107" s="193"/>
    </row>
    <row r="10108" spans="6:6" x14ac:dyDescent="0.3">
      <c r="F10108" s="193"/>
    </row>
    <row r="10109" spans="6:6" x14ac:dyDescent="0.3">
      <c r="F10109" s="193"/>
    </row>
    <row r="10110" spans="6:6" x14ac:dyDescent="0.3">
      <c r="F10110" s="193"/>
    </row>
    <row r="10111" spans="6:6" x14ac:dyDescent="0.3">
      <c r="F10111" s="193"/>
    </row>
    <row r="10112" spans="6:6" x14ac:dyDescent="0.3">
      <c r="F10112" s="193"/>
    </row>
    <row r="10113" spans="6:6" x14ac:dyDescent="0.3">
      <c r="F10113" s="193"/>
    </row>
    <row r="10114" spans="6:6" x14ac:dyDescent="0.3">
      <c r="F10114" s="193"/>
    </row>
    <row r="10115" spans="6:6" x14ac:dyDescent="0.3">
      <c r="F10115" s="193"/>
    </row>
    <row r="10116" spans="6:6" x14ac:dyDescent="0.3">
      <c r="F10116" s="193"/>
    </row>
    <row r="10117" spans="6:6" x14ac:dyDescent="0.3">
      <c r="F10117" s="193"/>
    </row>
    <row r="10118" spans="6:6" x14ac:dyDescent="0.3">
      <c r="F10118" s="193"/>
    </row>
    <row r="10119" spans="6:6" x14ac:dyDescent="0.3">
      <c r="F10119" s="193"/>
    </row>
    <row r="10120" spans="6:6" x14ac:dyDescent="0.3">
      <c r="F10120" s="193"/>
    </row>
    <row r="10121" spans="6:6" x14ac:dyDescent="0.3">
      <c r="F10121" s="193"/>
    </row>
    <row r="10122" spans="6:6" x14ac:dyDescent="0.3">
      <c r="F10122" s="193"/>
    </row>
    <row r="10123" spans="6:6" x14ac:dyDescent="0.3">
      <c r="F10123" s="193"/>
    </row>
    <row r="10124" spans="6:6" x14ac:dyDescent="0.3">
      <c r="F10124" s="193"/>
    </row>
    <row r="10125" spans="6:6" x14ac:dyDescent="0.3">
      <c r="F10125" s="193"/>
    </row>
    <row r="10126" spans="6:6" x14ac:dyDescent="0.3">
      <c r="F10126" s="193"/>
    </row>
    <row r="10127" spans="6:6" x14ac:dyDescent="0.3">
      <c r="F10127" s="193"/>
    </row>
    <row r="10128" spans="6:6" x14ac:dyDescent="0.3">
      <c r="F10128" s="193"/>
    </row>
    <row r="10129" spans="6:6" x14ac:dyDescent="0.3">
      <c r="F10129" s="193"/>
    </row>
    <row r="10130" spans="6:6" x14ac:dyDescent="0.3">
      <c r="F10130" s="193"/>
    </row>
    <row r="10131" spans="6:6" x14ac:dyDescent="0.3">
      <c r="F10131" s="193"/>
    </row>
    <row r="10132" spans="6:6" x14ac:dyDescent="0.3">
      <c r="F10132" s="193"/>
    </row>
    <row r="10133" spans="6:6" x14ac:dyDescent="0.3">
      <c r="F10133" s="193"/>
    </row>
    <row r="10134" spans="6:6" x14ac:dyDescent="0.3">
      <c r="F10134" s="193"/>
    </row>
    <row r="10135" spans="6:6" x14ac:dyDescent="0.3">
      <c r="F10135" s="193"/>
    </row>
    <row r="10136" spans="6:6" x14ac:dyDescent="0.3">
      <c r="F10136" s="193"/>
    </row>
    <row r="10137" spans="6:6" x14ac:dyDescent="0.3">
      <c r="F10137" s="193"/>
    </row>
    <row r="10138" spans="6:6" x14ac:dyDescent="0.3">
      <c r="F10138" s="193"/>
    </row>
    <row r="10139" spans="6:6" x14ac:dyDescent="0.3">
      <c r="F10139" s="193"/>
    </row>
    <row r="10140" spans="6:6" x14ac:dyDescent="0.3">
      <c r="F10140" s="193"/>
    </row>
    <row r="10141" spans="6:6" x14ac:dyDescent="0.3">
      <c r="F10141" s="193"/>
    </row>
    <row r="10142" spans="6:6" x14ac:dyDescent="0.3">
      <c r="F10142" s="193"/>
    </row>
    <row r="10143" spans="6:6" x14ac:dyDescent="0.3">
      <c r="F10143" s="193"/>
    </row>
    <row r="10144" spans="6:6" x14ac:dyDescent="0.3">
      <c r="F10144" s="193"/>
    </row>
    <row r="10145" spans="6:6" x14ac:dyDescent="0.3">
      <c r="F10145" s="193"/>
    </row>
    <row r="10146" spans="6:6" x14ac:dyDescent="0.3">
      <c r="F10146" s="193"/>
    </row>
    <row r="10147" spans="6:6" x14ac:dyDescent="0.3">
      <c r="F10147" s="193"/>
    </row>
    <row r="10148" spans="6:6" x14ac:dyDescent="0.3">
      <c r="F10148" s="193"/>
    </row>
    <row r="10149" spans="6:6" x14ac:dyDescent="0.3">
      <c r="F10149" s="193"/>
    </row>
    <row r="10150" spans="6:6" x14ac:dyDescent="0.3">
      <c r="F10150" s="193"/>
    </row>
    <row r="10151" spans="6:6" x14ac:dyDescent="0.3">
      <c r="F10151" s="193"/>
    </row>
    <row r="10152" spans="6:6" x14ac:dyDescent="0.3">
      <c r="F10152" s="193"/>
    </row>
    <row r="10153" spans="6:6" x14ac:dyDescent="0.3">
      <c r="F10153" s="193"/>
    </row>
    <row r="10154" spans="6:6" x14ac:dyDescent="0.3">
      <c r="F10154" s="193"/>
    </row>
    <row r="10155" spans="6:6" x14ac:dyDescent="0.3">
      <c r="F10155" s="193"/>
    </row>
    <row r="10156" spans="6:6" x14ac:dyDescent="0.3">
      <c r="F10156" s="193"/>
    </row>
    <row r="10157" spans="6:6" x14ac:dyDescent="0.3">
      <c r="F10157" s="193"/>
    </row>
    <row r="10158" spans="6:6" x14ac:dyDescent="0.3">
      <c r="F10158" s="193"/>
    </row>
    <row r="10159" spans="6:6" x14ac:dyDescent="0.3">
      <c r="F10159" s="193"/>
    </row>
    <row r="10160" spans="6:6" x14ac:dyDescent="0.3">
      <c r="F10160" s="193"/>
    </row>
    <row r="10161" spans="6:6" x14ac:dyDescent="0.3">
      <c r="F10161" s="193"/>
    </row>
    <row r="10162" spans="6:6" x14ac:dyDescent="0.3">
      <c r="F10162" s="193"/>
    </row>
    <row r="10163" spans="6:6" x14ac:dyDescent="0.3">
      <c r="F10163" s="193"/>
    </row>
    <row r="10164" spans="6:6" x14ac:dyDescent="0.3">
      <c r="F10164" s="193"/>
    </row>
    <row r="10165" spans="6:6" x14ac:dyDescent="0.3">
      <c r="F10165" s="193"/>
    </row>
    <row r="10166" spans="6:6" x14ac:dyDescent="0.3">
      <c r="F10166" s="193"/>
    </row>
    <row r="10167" spans="6:6" x14ac:dyDescent="0.3">
      <c r="F10167" s="193"/>
    </row>
    <row r="10168" spans="6:6" x14ac:dyDescent="0.3">
      <c r="F10168" s="193"/>
    </row>
    <row r="10169" spans="6:6" x14ac:dyDescent="0.3">
      <c r="F10169" s="193"/>
    </row>
    <row r="10170" spans="6:6" x14ac:dyDescent="0.3">
      <c r="F10170" s="193"/>
    </row>
    <row r="10171" spans="6:6" x14ac:dyDescent="0.3">
      <c r="F10171" s="193"/>
    </row>
    <row r="10172" spans="6:6" x14ac:dyDescent="0.3">
      <c r="F10172" s="193"/>
    </row>
    <row r="10173" spans="6:6" x14ac:dyDescent="0.3">
      <c r="F10173" s="193"/>
    </row>
    <row r="10174" spans="6:6" x14ac:dyDescent="0.3">
      <c r="F10174" s="193"/>
    </row>
    <row r="10175" spans="6:6" x14ac:dyDescent="0.3">
      <c r="F10175" s="193"/>
    </row>
    <row r="10176" spans="6:6" x14ac:dyDescent="0.3">
      <c r="F10176" s="193"/>
    </row>
    <row r="10177" spans="6:6" x14ac:dyDescent="0.3">
      <c r="F10177" s="193"/>
    </row>
    <row r="10178" spans="6:6" x14ac:dyDescent="0.3">
      <c r="F10178" s="193"/>
    </row>
    <row r="10179" spans="6:6" x14ac:dyDescent="0.3">
      <c r="F10179" s="193"/>
    </row>
    <row r="10180" spans="6:6" x14ac:dyDescent="0.3">
      <c r="F10180" s="193"/>
    </row>
    <row r="10181" spans="6:6" x14ac:dyDescent="0.3">
      <c r="F10181" s="193"/>
    </row>
    <row r="10182" spans="6:6" x14ac:dyDescent="0.3">
      <c r="F10182" s="193"/>
    </row>
    <row r="10183" spans="6:6" x14ac:dyDescent="0.3">
      <c r="F10183" s="193"/>
    </row>
    <row r="10184" spans="6:6" x14ac:dyDescent="0.3">
      <c r="F10184" s="193"/>
    </row>
    <row r="10185" spans="6:6" x14ac:dyDescent="0.3">
      <c r="F10185" s="193"/>
    </row>
    <row r="10186" spans="6:6" x14ac:dyDescent="0.3">
      <c r="F10186" s="193"/>
    </row>
    <row r="10187" spans="6:6" x14ac:dyDescent="0.3">
      <c r="F10187" s="193"/>
    </row>
    <row r="10188" spans="6:6" x14ac:dyDescent="0.3">
      <c r="F10188" s="193"/>
    </row>
    <row r="10189" spans="6:6" x14ac:dyDescent="0.3">
      <c r="F10189" s="193"/>
    </row>
    <row r="10190" spans="6:6" x14ac:dyDescent="0.3">
      <c r="F10190" s="193"/>
    </row>
    <row r="10191" spans="6:6" x14ac:dyDescent="0.3">
      <c r="F10191" s="193"/>
    </row>
    <row r="10192" spans="6:6" x14ac:dyDescent="0.3">
      <c r="F10192" s="193"/>
    </row>
    <row r="10193" spans="6:6" x14ac:dyDescent="0.3">
      <c r="F10193" s="193"/>
    </row>
    <row r="10194" spans="6:6" x14ac:dyDescent="0.3">
      <c r="F10194" s="193"/>
    </row>
    <row r="10195" spans="6:6" x14ac:dyDescent="0.3">
      <c r="F10195" s="193"/>
    </row>
    <row r="10196" spans="6:6" x14ac:dyDescent="0.3">
      <c r="F10196" s="193"/>
    </row>
    <row r="10197" spans="6:6" x14ac:dyDescent="0.3">
      <c r="F10197" s="193"/>
    </row>
    <row r="10198" spans="6:6" x14ac:dyDescent="0.3">
      <c r="F10198" s="193"/>
    </row>
    <row r="10199" spans="6:6" x14ac:dyDescent="0.3">
      <c r="F10199" s="193"/>
    </row>
    <row r="10200" spans="6:6" x14ac:dyDescent="0.3">
      <c r="F10200" s="193"/>
    </row>
    <row r="10201" spans="6:6" x14ac:dyDescent="0.3">
      <c r="F10201" s="193"/>
    </row>
    <row r="10202" spans="6:6" x14ac:dyDescent="0.3">
      <c r="F10202" s="193"/>
    </row>
    <row r="10203" spans="6:6" x14ac:dyDescent="0.3">
      <c r="F10203" s="193"/>
    </row>
    <row r="10204" spans="6:6" x14ac:dyDescent="0.3">
      <c r="F10204" s="193"/>
    </row>
    <row r="10205" spans="6:6" x14ac:dyDescent="0.3">
      <c r="F10205" s="193"/>
    </row>
    <row r="10206" spans="6:6" x14ac:dyDescent="0.3">
      <c r="F10206" s="193"/>
    </row>
    <row r="10207" spans="6:6" x14ac:dyDescent="0.3">
      <c r="F10207" s="193"/>
    </row>
    <row r="10208" spans="6:6" x14ac:dyDescent="0.3">
      <c r="F10208" s="193"/>
    </row>
    <row r="10209" spans="6:6" x14ac:dyDescent="0.3">
      <c r="F10209" s="193"/>
    </row>
    <row r="10210" spans="6:6" x14ac:dyDescent="0.3">
      <c r="F10210" s="193"/>
    </row>
    <row r="10211" spans="6:6" x14ac:dyDescent="0.3">
      <c r="F10211" s="193"/>
    </row>
    <row r="10212" spans="6:6" x14ac:dyDescent="0.3">
      <c r="F10212" s="193"/>
    </row>
    <row r="10213" spans="6:6" x14ac:dyDescent="0.3">
      <c r="F10213" s="193"/>
    </row>
    <row r="10214" spans="6:6" x14ac:dyDescent="0.3">
      <c r="F10214" s="193"/>
    </row>
    <row r="10215" spans="6:6" x14ac:dyDescent="0.3">
      <c r="F10215" s="193"/>
    </row>
    <row r="10216" spans="6:6" x14ac:dyDescent="0.3">
      <c r="F10216" s="193"/>
    </row>
    <row r="10217" spans="6:6" x14ac:dyDescent="0.3">
      <c r="F10217" s="193"/>
    </row>
    <row r="10218" spans="6:6" x14ac:dyDescent="0.3">
      <c r="F10218" s="193"/>
    </row>
    <row r="10219" spans="6:6" x14ac:dyDescent="0.3">
      <c r="F10219" s="193"/>
    </row>
    <row r="10220" spans="6:6" x14ac:dyDescent="0.3">
      <c r="F10220" s="193"/>
    </row>
    <row r="10221" spans="6:6" x14ac:dyDescent="0.3">
      <c r="F10221" s="193"/>
    </row>
    <row r="10222" spans="6:6" x14ac:dyDescent="0.3">
      <c r="F10222" s="193"/>
    </row>
    <row r="10223" spans="6:6" x14ac:dyDescent="0.3">
      <c r="F10223" s="193"/>
    </row>
    <row r="10224" spans="6:6" x14ac:dyDescent="0.3">
      <c r="F10224" s="193"/>
    </row>
    <row r="10225" spans="6:6" x14ac:dyDescent="0.3">
      <c r="F10225" s="193"/>
    </row>
    <row r="10226" spans="6:6" x14ac:dyDescent="0.3">
      <c r="F10226" s="193"/>
    </row>
    <row r="10227" spans="6:6" x14ac:dyDescent="0.3">
      <c r="F10227" s="193"/>
    </row>
    <row r="10228" spans="6:6" x14ac:dyDescent="0.3">
      <c r="F10228" s="193"/>
    </row>
    <row r="10229" spans="6:6" x14ac:dyDescent="0.3">
      <c r="F10229" s="193"/>
    </row>
    <row r="10230" spans="6:6" x14ac:dyDescent="0.3">
      <c r="F10230" s="193"/>
    </row>
    <row r="10231" spans="6:6" x14ac:dyDescent="0.3">
      <c r="F10231" s="193"/>
    </row>
    <row r="10232" spans="6:6" x14ac:dyDescent="0.3">
      <c r="F10232" s="193"/>
    </row>
    <row r="10233" spans="6:6" x14ac:dyDescent="0.3">
      <c r="F10233" s="193"/>
    </row>
    <row r="10234" spans="6:6" x14ac:dyDescent="0.3">
      <c r="F10234" s="193"/>
    </row>
    <row r="10235" spans="6:6" x14ac:dyDescent="0.3">
      <c r="F10235" s="193"/>
    </row>
    <row r="10236" spans="6:6" x14ac:dyDescent="0.3">
      <c r="F10236" s="193"/>
    </row>
    <row r="10237" spans="6:6" x14ac:dyDescent="0.3">
      <c r="F10237" s="193"/>
    </row>
    <row r="10238" spans="6:6" x14ac:dyDescent="0.3">
      <c r="F10238" s="193"/>
    </row>
    <row r="10239" spans="6:6" x14ac:dyDescent="0.3">
      <c r="F10239" s="193"/>
    </row>
    <row r="10240" spans="6:6" x14ac:dyDescent="0.3">
      <c r="F10240" s="193"/>
    </row>
    <row r="10241" spans="6:6" x14ac:dyDescent="0.3">
      <c r="F10241" s="193"/>
    </row>
    <row r="10242" spans="6:6" x14ac:dyDescent="0.3">
      <c r="F10242" s="193"/>
    </row>
    <row r="10243" spans="6:6" x14ac:dyDescent="0.3">
      <c r="F10243" s="193"/>
    </row>
    <row r="10244" spans="6:6" x14ac:dyDescent="0.3">
      <c r="F10244" s="193"/>
    </row>
    <row r="10245" spans="6:6" x14ac:dyDescent="0.3">
      <c r="F10245" s="193"/>
    </row>
    <row r="10246" spans="6:6" x14ac:dyDescent="0.3">
      <c r="F10246" s="193"/>
    </row>
    <row r="10247" spans="6:6" x14ac:dyDescent="0.3">
      <c r="F10247" s="193"/>
    </row>
    <row r="10248" spans="6:6" x14ac:dyDescent="0.3">
      <c r="F10248" s="193"/>
    </row>
    <row r="10249" spans="6:6" x14ac:dyDescent="0.3">
      <c r="F10249" s="193"/>
    </row>
    <row r="10250" spans="6:6" x14ac:dyDescent="0.3">
      <c r="F10250" s="193"/>
    </row>
    <row r="10251" spans="6:6" x14ac:dyDescent="0.3">
      <c r="F10251" s="193"/>
    </row>
    <row r="10252" spans="6:6" x14ac:dyDescent="0.3">
      <c r="F10252" s="193"/>
    </row>
    <row r="10253" spans="6:6" x14ac:dyDescent="0.3">
      <c r="F10253" s="193"/>
    </row>
    <row r="10254" spans="6:6" x14ac:dyDescent="0.3">
      <c r="F10254" s="193"/>
    </row>
    <row r="10255" spans="6:6" x14ac:dyDescent="0.3">
      <c r="F10255" s="193"/>
    </row>
    <row r="10256" spans="6:6" x14ac:dyDescent="0.3">
      <c r="F10256" s="193"/>
    </row>
    <row r="10257" spans="6:6" x14ac:dyDescent="0.3">
      <c r="F10257" s="193"/>
    </row>
    <row r="10258" spans="6:6" x14ac:dyDescent="0.3">
      <c r="F10258" s="193"/>
    </row>
    <row r="10259" spans="6:6" x14ac:dyDescent="0.3">
      <c r="F10259" s="193"/>
    </row>
    <row r="10260" spans="6:6" x14ac:dyDescent="0.3">
      <c r="F10260" s="193"/>
    </row>
    <row r="10261" spans="6:6" x14ac:dyDescent="0.3">
      <c r="F10261" s="193"/>
    </row>
    <row r="10262" spans="6:6" x14ac:dyDescent="0.3">
      <c r="F10262" s="193"/>
    </row>
    <row r="10263" spans="6:6" x14ac:dyDescent="0.3">
      <c r="F10263" s="193"/>
    </row>
    <row r="10264" spans="6:6" x14ac:dyDescent="0.3">
      <c r="F10264" s="193"/>
    </row>
    <row r="10265" spans="6:6" x14ac:dyDescent="0.3">
      <c r="F10265" s="193"/>
    </row>
    <row r="10266" spans="6:6" x14ac:dyDescent="0.3">
      <c r="F10266" s="193"/>
    </row>
    <row r="10267" spans="6:6" x14ac:dyDescent="0.3">
      <c r="F10267" s="193"/>
    </row>
    <row r="10268" spans="6:6" x14ac:dyDescent="0.3">
      <c r="F10268" s="193"/>
    </row>
    <row r="10269" spans="6:6" x14ac:dyDescent="0.3">
      <c r="F10269" s="193"/>
    </row>
    <row r="10270" spans="6:6" x14ac:dyDescent="0.3">
      <c r="F10270" s="193"/>
    </row>
    <row r="10271" spans="6:6" x14ac:dyDescent="0.3">
      <c r="F10271" s="193"/>
    </row>
    <row r="10272" spans="6:6" x14ac:dyDescent="0.3">
      <c r="F10272" s="193"/>
    </row>
    <row r="10273" spans="6:6" x14ac:dyDescent="0.3">
      <c r="F10273" s="193"/>
    </row>
    <row r="10274" spans="6:6" x14ac:dyDescent="0.3">
      <c r="F10274" s="193"/>
    </row>
    <row r="10275" spans="6:6" x14ac:dyDescent="0.3">
      <c r="F10275" s="193"/>
    </row>
    <row r="10276" spans="6:6" x14ac:dyDescent="0.3">
      <c r="F10276" s="193"/>
    </row>
    <row r="10277" spans="6:6" x14ac:dyDescent="0.3">
      <c r="F10277" s="193"/>
    </row>
    <row r="10278" spans="6:6" x14ac:dyDescent="0.3">
      <c r="F10278" s="193"/>
    </row>
    <row r="10279" spans="6:6" x14ac:dyDescent="0.3">
      <c r="F10279" s="193"/>
    </row>
    <row r="10280" spans="6:6" x14ac:dyDescent="0.3">
      <c r="F10280" s="193"/>
    </row>
    <row r="10281" spans="6:6" x14ac:dyDescent="0.3">
      <c r="F10281" s="193"/>
    </row>
    <row r="10282" spans="6:6" x14ac:dyDescent="0.3">
      <c r="F10282" s="193"/>
    </row>
    <row r="10283" spans="6:6" x14ac:dyDescent="0.3">
      <c r="F10283" s="193"/>
    </row>
    <row r="10284" spans="6:6" x14ac:dyDescent="0.3">
      <c r="F10284" s="193"/>
    </row>
    <row r="10285" spans="6:6" x14ac:dyDescent="0.3">
      <c r="F10285" s="193"/>
    </row>
    <row r="10286" spans="6:6" x14ac:dyDescent="0.3">
      <c r="F10286" s="193"/>
    </row>
    <row r="10287" spans="6:6" x14ac:dyDescent="0.3">
      <c r="F10287" s="193"/>
    </row>
    <row r="10288" spans="6:6" x14ac:dyDescent="0.3">
      <c r="F10288" s="193"/>
    </row>
    <row r="10289" spans="6:6" x14ac:dyDescent="0.3">
      <c r="F10289" s="193"/>
    </row>
    <row r="10290" spans="6:6" x14ac:dyDescent="0.3">
      <c r="F10290" s="193"/>
    </row>
    <row r="10291" spans="6:6" x14ac:dyDescent="0.3">
      <c r="F10291" s="193"/>
    </row>
    <row r="10292" spans="6:6" x14ac:dyDescent="0.3">
      <c r="F10292" s="193"/>
    </row>
    <row r="10293" spans="6:6" x14ac:dyDescent="0.3">
      <c r="F10293" s="193"/>
    </row>
    <row r="10294" spans="6:6" x14ac:dyDescent="0.3">
      <c r="F10294" s="193"/>
    </row>
    <row r="10295" spans="6:6" x14ac:dyDescent="0.3">
      <c r="F10295" s="193"/>
    </row>
    <row r="10296" spans="6:6" x14ac:dyDescent="0.3">
      <c r="F10296" s="193"/>
    </row>
    <row r="10297" spans="6:6" x14ac:dyDescent="0.3">
      <c r="F10297" s="193"/>
    </row>
    <row r="10298" spans="6:6" x14ac:dyDescent="0.3">
      <c r="F10298" s="193"/>
    </row>
    <row r="10299" spans="6:6" x14ac:dyDescent="0.3">
      <c r="F10299" s="193"/>
    </row>
    <row r="10300" spans="6:6" x14ac:dyDescent="0.3">
      <c r="F10300" s="193"/>
    </row>
    <row r="10301" spans="6:6" x14ac:dyDescent="0.3">
      <c r="F10301" s="193"/>
    </row>
    <row r="10302" spans="6:6" x14ac:dyDescent="0.3">
      <c r="F10302" s="193"/>
    </row>
    <row r="10303" spans="6:6" x14ac:dyDescent="0.3">
      <c r="F10303" s="193"/>
    </row>
    <row r="10304" spans="6:6" x14ac:dyDescent="0.3">
      <c r="F10304" s="193"/>
    </row>
    <row r="10305" spans="6:6" x14ac:dyDescent="0.3">
      <c r="F10305" s="193"/>
    </row>
    <row r="10306" spans="6:6" x14ac:dyDescent="0.3">
      <c r="F10306" s="193"/>
    </row>
    <row r="10307" spans="6:6" x14ac:dyDescent="0.3">
      <c r="F10307" s="193"/>
    </row>
    <row r="10308" spans="6:6" x14ac:dyDescent="0.3">
      <c r="F10308" s="193"/>
    </row>
    <row r="10309" spans="6:6" x14ac:dyDescent="0.3">
      <c r="F10309" s="193"/>
    </row>
    <row r="10310" spans="6:6" x14ac:dyDescent="0.3">
      <c r="F10310" s="193"/>
    </row>
    <row r="10311" spans="6:6" x14ac:dyDescent="0.3">
      <c r="F10311" s="193"/>
    </row>
    <row r="10312" spans="6:6" x14ac:dyDescent="0.3">
      <c r="F10312" s="193"/>
    </row>
    <row r="10313" spans="6:6" x14ac:dyDescent="0.3">
      <c r="F10313" s="193"/>
    </row>
    <row r="10314" spans="6:6" x14ac:dyDescent="0.3">
      <c r="F10314" s="193"/>
    </row>
    <row r="10315" spans="6:6" x14ac:dyDescent="0.3">
      <c r="F10315" s="193"/>
    </row>
    <row r="10316" spans="6:6" x14ac:dyDescent="0.3">
      <c r="F10316" s="193"/>
    </row>
    <row r="10317" spans="6:6" x14ac:dyDescent="0.3">
      <c r="F10317" s="193"/>
    </row>
    <row r="10318" spans="6:6" x14ac:dyDescent="0.3">
      <c r="F10318" s="193"/>
    </row>
    <row r="10319" spans="6:6" x14ac:dyDescent="0.3">
      <c r="F10319" s="193"/>
    </row>
    <row r="10320" spans="6:6" x14ac:dyDescent="0.3">
      <c r="F10320" s="193"/>
    </row>
    <row r="10321" spans="6:6" x14ac:dyDescent="0.3">
      <c r="F10321" s="193"/>
    </row>
    <row r="10322" spans="6:6" x14ac:dyDescent="0.3">
      <c r="F10322" s="193"/>
    </row>
    <row r="10323" spans="6:6" x14ac:dyDescent="0.3">
      <c r="F10323" s="193"/>
    </row>
    <row r="10324" spans="6:6" x14ac:dyDescent="0.3">
      <c r="F10324" s="193"/>
    </row>
    <row r="10325" spans="6:6" x14ac:dyDescent="0.3">
      <c r="F10325" s="193"/>
    </row>
    <row r="10326" spans="6:6" x14ac:dyDescent="0.3">
      <c r="F10326" s="193"/>
    </row>
    <row r="10327" spans="6:6" x14ac:dyDescent="0.3">
      <c r="F10327" s="193"/>
    </row>
    <row r="10328" spans="6:6" x14ac:dyDescent="0.3">
      <c r="F10328" s="193"/>
    </row>
    <row r="10329" spans="6:6" x14ac:dyDescent="0.3">
      <c r="F10329" s="193"/>
    </row>
    <row r="10330" spans="6:6" x14ac:dyDescent="0.3">
      <c r="F10330" s="193"/>
    </row>
    <row r="10331" spans="6:6" x14ac:dyDescent="0.3">
      <c r="F10331" s="193"/>
    </row>
    <row r="10332" spans="6:6" x14ac:dyDescent="0.3">
      <c r="F10332" s="193"/>
    </row>
    <row r="10333" spans="6:6" x14ac:dyDescent="0.3">
      <c r="F10333" s="193"/>
    </row>
    <row r="10334" spans="6:6" x14ac:dyDescent="0.3">
      <c r="F10334" s="193"/>
    </row>
    <row r="10335" spans="6:6" x14ac:dyDescent="0.3">
      <c r="F10335" s="193"/>
    </row>
    <row r="10336" spans="6:6" x14ac:dyDescent="0.3">
      <c r="F10336" s="193"/>
    </row>
    <row r="10337" spans="6:6" x14ac:dyDescent="0.3">
      <c r="F10337" s="193"/>
    </row>
    <row r="10338" spans="6:6" x14ac:dyDescent="0.3">
      <c r="F10338" s="193"/>
    </row>
    <row r="10339" spans="6:6" x14ac:dyDescent="0.3">
      <c r="F10339" s="193"/>
    </row>
    <row r="10340" spans="6:6" x14ac:dyDescent="0.3">
      <c r="F10340" s="193"/>
    </row>
    <row r="10341" spans="6:6" x14ac:dyDescent="0.3">
      <c r="F10341" s="193"/>
    </row>
    <row r="10342" spans="6:6" x14ac:dyDescent="0.3">
      <c r="F10342" s="193"/>
    </row>
    <row r="10343" spans="6:6" x14ac:dyDescent="0.3">
      <c r="F10343" s="193"/>
    </row>
    <row r="10344" spans="6:6" x14ac:dyDescent="0.3">
      <c r="F10344" s="193"/>
    </row>
    <row r="10345" spans="6:6" x14ac:dyDescent="0.3">
      <c r="F10345" s="193"/>
    </row>
    <row r="10346" spans="6:6" x14ac:dyDescent="0.3">
      <c r="F10346" s="193"/>
    </row>
    <row r="10347" spans="6:6" x14ac:dyDescent="0.3">
      <c r="F10347" s="193"/>
    </row>
    <row r="10348" spans="6:6" x14ac:dyDescent="0.3">
      <c r="F10348" s="193"/>
    </row>
    <row r="10349" spans="6:6" x14ac:dyDescent="0.3">
      <c r="F10349" s="193"/>
    </row>
    <row r="10350" spans="6:6" x14ac:dyDescent="0.3">
      <c r="F10350" s="193"/>
    </row>
    <row r="10351" spans="6:6" x14ac:dyDescent="0.3">
      <c r="F10351" s="193"/>
    </row>
    <row r="10352" spans="6:6" x14ac:dyDescent="0.3">
      <c r="F10352" s="193"/>
    </row>
    <row r="10353" spans="6:6" x14ac:dyDescent="0.3">
      <c r="F10353" s="193"/>
    </row>
    <row r="10354" spans="6:6" x14ac:dyDescent="0.3">
      <c r="F10354" s="193"/>
    </row>
    <row r="10355" spans="6:6" x14ac:dyDescent="0.3">
      <c r="F10355" s="193"/>
    </row>
    <row r="10356" spans="6:6" x14ac:dyDescent="0.3">
      <c r="F10356" s="193"/>
    </row>
    <row r="10357" spans="6:6" x14ac:dyDescent="0.3">
      <c r="F10357" s="193"/>
    </row>
    <row r="10358" spans="6:6" x14ac:dyDescent="0.3">
      <c r="F10358" s="193"/>
    </row>
    <row r="10359" spans="6:6" x14ac:dyDescent="0.3">
      <c r="F10359" s="193"/>
    </row>
    <row r="10360" spans="6:6" x14ac:dyDescent="0.3">
      <c r="F10360" s="193"/>
    </row>
    <row r="10361" spans="6:6" x14ac:dyDescent="0.3">
      <c r="F10361" s="193"/>
    </row>
    <row r="10362" spans="6:6" x14ac:dyDescent="0.3">
      <c r="F10362" s="193"/>
    </row>
    <row r="10363" spans="6:6" x14ac:dyDescent="0.3">
      <c r="F10363" s="193"/>
    </row>
    <row r="10364" spans="6:6" x14ac:dyDescent="0.3">
      <c r="F10364" s="193"/>
    </row>
    <row r="10365" spans="6:6" x14ac:dyDescent="0.3">
      <c r="F10365" s="193"/>
    </row>
    <row r="10366" spans="6:6" x14ac:dyDescent="0.3">
      <c r="F10366" s="193"/>
    </row>
    <row r="10367" spans="6:6" x14ac:dyDescent="0.3">
      <c r="F10367" s="193"/>
    </row>
    <row r="10368" spans="6:6" x14ac:dyDescent="0.3">
      <c r="F10368" s="193"/>
    </row>
    <row r="10369" spans="6:6" x14ac:dyDescent="0.3">
      <c r="F10369" s="193"/>
    </row>
    <row r="10370" spans="6:6" x14ac:dyDescent="0.3">
      <c r="F10370" s="193"/>
    </row>
    <row r="10371" spans="6:6" x14ac:dyDescent="0.3">
      <c r="F10371" s="193"/>
    </row>
    <row r="10372" spans="6:6" x14ac:dyDescent="0.3">
      <c r="F10372" s="193"/>
    </row>
    <row r="10373" spans="6:6" x14ac:dyDescent="0.3">
      <c r="F10373" s="193"/>
    </row>
    <row r="10374" spans="6:6" x14ac:dyDescent="0.3">
      <c r="F10374" s="193"/>
    </row>
    <row r="10375" spans="6:6" x14ac:dyDescent="0.3">
      <c r="F10375" s="193"/>
    </row>
    <row r="10376" spans="6:6" x14ac:dyDescent="0.3">
      <c r="F10376" s="193"/>
    </row>
    <row r="10377" spans="6:6" x14ac:dyDescent="0.3">
      <c r="F10377" s="193"/>
    </row>
    <row r="10378" spans="6:6" x14ac:dyDescent="0.3">
      <c r="F10378" s="193"/>
    </row>
    <row r="10379" spans="6:6" x14ac:dyDescent="0.3">
      <c r="F10379" s="193"/>
    </row>
    <row r="10380" spans="6:6" x14ac:dyDescent="0.3">
      <c r="F10380" s="193"/>
    </row>
    <row r="10381" spans="6:6" x14ac:dyDescent="0.3">
      <c r="F10381" s="193"/>
    </row>
    <row r="10382" spans="6:6" x14ac:dyDescent="0.3">
      <c r="F10382" s="193"/>
    </row>
    <row r="10383" spans="6:6" x14ac:dyDescent="0.3">
      <c r="F10383" s="193"/>
    </row>
    <row r="10384" spans="6:6" x14ac:dyDescent="0.3">
      <c r="F10384" s="193"/>
    </row>
    <row r="10385" spans="6:6" x14ac:dyDescent="0.3">
      <c r="F10385" s="193"/>
    </row>
    <row r="10386" spans="6:6" x14ac:dyDescent="0.3">
      <c r="F10386" s="193"/>
    </row>
    <row r="10387" spans="6:6" x14ac:dyDescent="0.3">
      <c r="F10387" s="193"/>
    </row>
    <row r="10388" spans="6:6" x14ac:dyDescent="0.3">
      <c r="F10388" s="193"/>
    </row>
    <row r="10389" spans="6:6" x14ac:dyDescent="0.3">
      <c r="F10389" s="193"/>
    </row>
    <row r="10390" spans="6:6" x14ac:dyDescent="0.3">
      <c r="F10390" s="193"/>
    </row>
    <row r="10391" spans="6:6" x14ac:dyDescent="0.3">
      <c r="F10391" s="193"/>
    </row>
    <row r="10392" spans="6:6" x14ac:dyDescent="0.3">
      <c r="F10392" s="193"/>
    </row>
    <row r="10393" spans="6:6" x14ac:dyDescent="0.3">
      <c r="F10393" s="193"/>
    </row>
    <row r="10394" spans="6:6" x14ac:dyDescent="0.3">
      <c r="F10394" s="193"/>
    </row>
    <row r="10395" spans="6:6" x14ac:dyDescent="0.3">
      <c r="F10395" s="193"/>
    </row>
    <row r="10396" spans="6:6" x14ac:dyDescent="0.3">
      <c r="F10396" s="193"/>
    </row>
    <row r="10397" spans="6:6" x14ac:dyDescent="0.3">
      <c r="F10397" s="193"/>
    </row>
    <row r="10398" spans="6:6" x14ac:dyDescent="0.3">
      <c r="F10398" s="193"/>
    </row>
    <row r="10399" spans="6:6" x14ac:dyDescent="0.3">
      <c r="F10399" s="193"/>
    </row>
    <row r="10400" spans="6:6" x14ac:dyDescent="0.3">
      <c r="F10400" s="193"/>
    </row>
    <row r="10401" spans="6:6" x14ac:dyDescent="0.3">
      <c r="F10401" s="193"/>
    </row>
    <row r="10402" spans="6:6" x14ac:dyDescent="0.3">
      <c r="F10402" s="193"/>
    </row>
    <row r="10403" spans="6:6" x14ac:dyDescent="0.3">
      <c r="F10403" s="193"/>
    </row>
    <row r="10404" spans="6:6" x14ac:dyDescent="0.3">
      <c r="F10404" s="193"/>
    </row>
    <row r="10405" spans="6:6" x14ac:dyDescent="0.3">
      <c r="F10405" s="193"/>
    </row>
    <row r="10406" spans="6:6" x14ac:dyDescent="0.3">
      <c r="F10406" s="193"/>
    </row>
    <row r="10407" spans="6:6" x14ac:dyDescent="0.3">
      <c r="F10407" s="193"/>
    </row>
    <row r="10408" spans="6:6" x14ac:dyDescent="0.3">
      <c r="F10408" s="193"/>
    </row>
    <row r="10409" spans="6:6" x14ac:dyDescent="0.3">
      <c r="F10409" s="193"/>
    </row>
    <row r="10410" spans="6:6" x14ac:dyDescent="0.3">
      <c r="F10410" s="193"/>
    </row>
    <row r="10411" spans="6:6" x14ac:dyDescent="0.3">
      <c r="F10411" s="193"/>
    </row>
    <row r="10412" spans="6:6" x14ac:dyDescent="0.3">
      <c r="F10412" s="193"/>
    </row>
    <row r="10413" spans="6:6" x14ac:dyDescent="0.3">
      <c r="F10413" s="193"/>
    </row>
    <row r="10414" spans="6:6" x14ac:dyDescent="0.3">
      <c r="F10414" s="193"/>
    </row>
    <row r="10415" spans="6:6" x14ac:dyDescent="0.3">
      <c r="F10415" s="193"/>
    </row>
    <row r="10416" spans="6:6" x14ac:dyDescent="0.3">
      <c r="F10416" s="193"/>
    </row>
    <row r="10417" spans="6:6" x14ac:dyDescent="0.3">
      <c r="F10417" s="193"/>
    </row>
    <row r="10418" spans="6:6" x14ac:dyDescent="0.3">
      <c r="F10418" s="193"/>
    </row>
    <row r="10419" spans="6:6" x14ac:dyDescent="0.3">
      <c r="F10419" s="193"/>
    </row>
    <row r="10420" spans="6:6" x14ac:dyDescent="0.3">
      <c r="F10420" s="193"/>
    </row>
    <row r="10421" spans="6:6" x14ac:dyDescent="0.3">
      <c r="F10421" s="193"/>
    </row>
    <row r="10422" spans="6:6" x14ac:dyDescent="0.3">
      <c r="F10422" s="193"/>
    </row>
    <row r="10423" spans="6:6" x14ac:dyDescent="0.3">
      <c r="F10423" s="193"/>
    </row>
    <row r="10424" spans="6:6" x14ac:dyDescent="0.3">
      <c r="F10424" s="193"/>
    </row>
    <row r="10425" spans="6:6" x14ac:dyDescent="0.3">
      <c r="F10425" s="193"/>
    </row>
    <row r="10426" spans="6:6" x14ac:dyDescent="0.3">
      <c r="F10426" s="193"/>
    </row>
    <row r="10427" spans="6:6" x14ac:dyDescent="0.3">
      <c r="F10427" s="193"/>
    </row>
    <row r="10428" spans="6:6" x14ac:dyDescent="0.3">
      <c r="F10428" s="193"/>
    </row>
    <row r="10429" spans="6:6" x14ac:dyDescent="0.3">
      <c r="F10429" s="193"/>
    </row>
    <row r="10430" spans="6:6" x14ac:dyDescent="0.3">
      <c r="F10430" s="193"/>
    </row>
    <row r="10431" spans="6:6" x14ac:dyDescent="0.3">
      <c r="F10431" s="193"/>
    </row>
    <row r="10432" spans="6:6" x14ac:dyDescent="0.3">
      <c r="F10432" s="193"/>
    </row>
    <row r="10433" spans="6:6" x14ac:dyDescent="0.3">
      <c r="F10433" s="193"/>
    </row>
    <row r="10434" spans="6:6" x14ac:dyDescent="0.3">
      <c r="F10434" s="193"/>
    </row>
    <row r="10435" spans="6:6" x14ac:dyDescent="0.3">
      <c r="F10435" s="193"/>
    </row>
    <row r="10436" spans="6:6" x14ac:dyDescent="0.3">
      <c r="F10436" s="193"/>
    </row>
    <row r="10437" spans="6:6" x14ac:dyDescent="0.3">
      <c r="F10437" s="193"/>
    </row>
    <row r="10438" spans="6:6" x14ac:dyDescent="0.3">
      <c r="F10438" s="193"/>
    </row>
    <row r="10439" spans="6:6" x14ac:dyDescent="0.3">
      <c r="F10439" s="193"/>
    </row>
    <row r="10440" spans="6:6" x14ac:dyDescent="0.3">
      <c r="F10440" s="193"/>
    </row>
    <row r="10441" spans="6:6" x14ac:dyDescent="0.3">
      <c r="F10441" s="193"/>
    </row>
    <row r="10442" spans="6:6" x14ac:dyDescent="0.3">
      <c r="F10442" s="193"/>
    </row>
    <row r="10443" spans="6:6" x14ac:dyDescent="0.3">
      <c r="F10443" s="193"/>
    </row>
    <row r="10444" spans="6:6" x14ac:dyDescent="0.3">
      <c r="F10444" s="193"/>
    </row>
    <row r="10445" spans="6:6" x14ac:dyDescent="0.3">
      <c r="F10445" s="193"/>
    </row>
    <row r="10446" spans="6:6" x14ac:dyDescent="0.3">
      <c r="F10446" s="193"/>
    </row>
    <row r="10447" spans="6:6" x14ac:dyDescent="0.3">
      <c r="F10447" s="193"/>
    </row>
    <row r="10448" spans="6:6" x14ac:dyDescent="0.3">
      <c r="F10448" s="193"/>
    </row>
    <row r="10449" spans="6:6" x14ac:dyDescent="0.3">
      <c r="F10449" s="193"/>
    </row>
    <row r="10450" spans="6:6" x14ac:dyDescent="0.3">
      <c r="F10450" s="193"/>
    </row>
    <row r="10451" spans="6:6" x14ac:dyDescent="0.3">
      <c r="F10451" s="193"/>
    </row>
    <row r="10452" spans="6:6" x14ac:dyDescent="0.3">
      <c r="F10452" s="193"/>
    </row>
    <row r="10453" spans="6:6" x14ac:dyDescent="0.3">
      <c r="F10453" s="193"/>
    </row>
    <row r="10454" spans="6:6" x14ac:dyDescent="0.3">
      <c r="F10454" s="193"/>
    </row>
    <row r="10455" spans="6:6" x14ac:dyDescent="0.3">
      <c r="F10455" s="193"/>
    </row>
    <row r="10456" spans="6:6" x14ac:dyDescent="0.3">
      <c r="F10456" s="193"/>
    </row>
    <row r="10457" spans="6:6" x14ac:dyDescent="0.3">
      <c r="F10457" s="193"/>
    </row>
    <row r="10458" spans="6:6" x14ac:dyDescent="0.3">
      <c r="F10458" s="193"/>
    </row>
    <row r="10459" spans="6:6" x14ac:dyDescent="0.3">
      <c r="F10459" s="193"/>
    </row>
    <row r="10460" spans="6:6" x14ac:dyDescent="0.3">
      <c r="F10460" s="193"/>
    </row>
    <row r="10461" spans="6:6" x14ac:dyDescent="0.3">
      <c r="F10461" s="193"/>
    </row>
    <row r="10462" spans="6:6" x14ac:dyDescent="0.3">
      <c r="F10462" s="193"/>
    </row>
    <row r="10463" spans="6:6" x14ac:dyDescent="0.3">
      <c r="F10463" s="193"/>
    </row>
    <row r="10464" spans="6:6" x14ac:dyDescent="0.3">
      <c r="F10464" s="193"/>
    </row>
    <row r="10465" spans="6:6" x14ac:dyDescent="0.3">
      <c r="F10465" s="193"/>
    </row>
    <row r="10466" spans="6:6" x14ac:dyDescent="0.3">
      <c r="F10466" s="193"/>
    </row>
    <row r="10467" spans="6:6" x14ac:dyDescent="0.3">
      <c r="F10467" s="193"/>
    </row>
    <row r="10468" spans="6:6" x14ac:dyDescent="0.3">
      <c r="F10468" s="193"/>
    </row>
    <row r="10469" spans="6:6" x14ac:dyDescent="0.3">
      <c r="F10469" s="193"/>
    </row>
    <row r="10470" spans="6:6" x14ac:dyDescent="0.3">
      <c r="F10470" s="193"/>
    </row>
    <row r="10471" spans="6:6" x14ac:dyDescent="0.3">
      <c r="F10471" s="193"/>
    </row>
    <row r="10472" spans="6:6" x14ac:dyDescent="0.3">
      <c r="F10472" s="193"/>
    </row>
    <row r="10473" spans="6:6" x14ac:dyDescent="0.3">
      <c r="F10473" s="193"/>
    </row>
    <row r="10474" spans="6:6" x14ac:dyDescent="0.3">
      <c r="F10474" s="193"/>
    </row>
    <row r="10475" spans="6:6" x14ac:dyDescent="0.3">
      <c r="F10475" s="193"/>
    </row>
    <row r="10476" spans="6:6" x14ac:dyDescent="0.3">
      <c r="F10476" s="193"/>
    </row>
    <row r="10477" spans="6:6" x14ac:dyDescent="0.3">
      <c r="F10477" s="193"/>
    </row>
    <row r="10478" spans="6:6" x14ac:dyDescent="0.3">
      <c r="F10478" s="193"/>
    </row>
    <row r="10479" spans="6:6" x14ac:dyDescent="0.3">
      <c r="F10479" s="193"/>
    </row>
    <row r="10480" spans="6:6" x14ac:dyDescent="0.3">
      <c r="F10480" s="193"/>
    </row>
    <row r="10481" spans="6:6" x14ac:dyDescent="0.3">
      <c r="F10481" s="193"/>
    </row>
    <row r="10482" spans="6:6" x14ac:dyDescent="0.3">
      <c r="F10482" s="193"/>
    </row>
    <row r="10483" spans="6:6" x14ac:dyDescent="0.3">
      <c r="F10483" s="193"/>
    </row>
    <row r="10484" spans="6:6" x14ac:dyDescent="0.3">
      <c r="F10484" s="193"/>
    </row>
    <row r="10485" spans="6:6" x14ac:dyDescent="0.3">
      <c r="F10485" s="193"/>
    </row>
    <row r="10486" spans="6:6" x14ac:dyDescent="0.3">
      <c r="F10486" s="193"/>
    </row>
    <row r="10487" spans="6:6" x14ac:dyDescent="0.3">
      <c r="F10487" s="193"/>
    </row>
    <row r="10488" spans="6:6" x14ac:dyDescent="0.3">
      <c r="F10488" s="193"/>
    </row>
    <row r="10489" spans="6:6" x14ac:dyDescent="0.3">
      <c r="F10489" s="193"/>
    </row>
    <row r="10490" spans="6:6" x14ac:dyDescent="0.3">
      <c r="F10490" s="193"/>
    </row>
    <row r="10491" spans="6:6" x14ac:dyDescent="0.3">
      <c r="F10491" s="193"/>
    </row>
    <row r="10492" spans="6:6" x14ac:dyDescent="0.3">
      <c r="F10492" s="193"/>
    </row>
    <row r="10493" spans="6:6" x14ac:dyDescent="0.3">
      <c r="F10493" s="193"/>
    </row>
    <row r="10494" spans="6:6" x14ac:dyDescent="0.3">
      <c r="F10494" s="193"/>
    </row>
    <row r="10495" spans="6:6" x14ac:dyDescent="0.3">
      <c r="F10495" s="193"/>
    </row>
    <row r="10496" spans="6:6" x14ac:dyDescent="0.3">
      <c r="F10496" s="193"/>
    </row>
    <row r="10497" spans="6:6" x14ac:dyDescent="0.3">
      <c r="F10497" s="193"/>
    </row>
    <row r="10498" spans="6:6" x14ac:dyDescent="0.3">
      <c r="F10498" s="193"/>
    </row>
    <row r="10499" spans="6:6" x14ac:dyDescent="0.3">
      <c r="F10499" s="193"/>
    </row>
    <row r="10500" spans="6:6" x14ac:dyDescent="0.3">
      <c r="F10500" s="193"/>
    </row>
    <row r="10501" spans="6:6" x14ac:dyDescent="0.3">
      <c r="F10501" s="193"/>
    </row>
    <row r="10502" spans="6:6" x14ac:dyDescent="0.3">
      <c r="F10502" s="193"/>
    </row>
    <row r="10503" spans="6:6" x14ac:dyDescent="0.3">
      <c r="F10503" s="193"/>
    </row>
    <row r="10504" spans="6:6" x14ac:dyDescent="0.3">
      <c r="F10504" s="193"/>
    </row>
    <row r="10505" spans="6:6" x14ac:dyDescent="0.3">
      <c r="F10505" s="193"/>
    </row>
    <row r="10506" spans="6:6" x14ac:dyDescent="0.3">
      <c r="F10506" s="193"/>
    </row>
    <row r="10507" spans="6:6" x14ac:dyDescent="0.3">
      <c r="F10507" s="193"/>
    </row>
    <row r="10508" spans="6:6" x14ac:dyDescent="0.3">
      <c r="F10508" s="193"/>
    </row>
    <row r="10509" spans="6:6" x14ac:dyDescent="0.3">
      <c r="F10509" s="193"/>
    </row>
    <row r="10510" spans="6:6" x14ac:dyDescent="0.3">
      <c r="F10510" s="193"/>
    </row>
    <row r="10511" spans="6:6" x14ac:dyDescent="0.3">
      <c r="F10511" s="193"/>
    </row>
    <row r="10512" spans="6:6" x14ac:dyDescent="0.3">
      <c r="F10512" s="193"/>
    </row>
    <row r="10513" spans="6:6" x14ac:dyDescent="0.3">
      <c r="F10513" s="193"/>
    </row>
    <row r="10514" spans="6:6" x14ac:dyDescent="0.3">
      <c r="F10514" s="193"/>
    </row>
    <row r="10515" spans="6:6" x14ac:dyDescent="0.3">
      <c r="F10515" s="193"/>
    </row>
    <row r="10516" spans="6:6" x14ac:dyDescent="0.3">
      <c r="F10516" s="193"/>
    </row>
    <row r="10517" spans="6:6" x14ac:dyDescent="0.3">
      <c r="F10517" s="193"/>
    </row>
    <row r="10518" spans="6:6" x14ac:dyDescent="0.3">
      <c r="F10518" s="193"/>
    </row>
    <row r="10519" spans="6:6" x14ac:dyDescent="0.3">
      <c r="F10519" s="193"/>
    </row>
    <row r="10520" spans="6:6" x14ac:dyDescent="0.3">
      <c r="F10520" s="193"/>
    </row>
    <row r="10521" spans="6:6" x14ac:dyDescent="0.3">
      <c r="F10521" s="193"/>
    </row>
    <row r="10522" spans="6:6" x14ac:dyDescent="0.3">
      <c r="F10522" s="193"/>
    </row>
    <row r="10523" spans="6:6" x14ac:dyDescent="0.3">
      <c r="F10523" s="193"/>
    </row>
    <row r="10524" spans="6:6" x14ac:dyDescent="0.3">
      <c r="F10524" s="193"/>
    </row>
    <row r="10525" spans="6:6" x14ac:dyDescent="0.3">
      <c r="F10525" s="193"/>
    </row>
    <row r="10526" spans="6:6" x14ac:dyDescent="0.3">
      <c r="F10526" s="193"/>
    </row>
    <row r="10527" spans="6:6" x14ac:dyDescent="0.3">
      <c r="F10527" s="193"/>
    </row>
    <row r="10528" spans="6:6" x14ac:dyDescent="0.3">
      <c r="F10528" s="193"/>
    </row>
    <row r="10529" spans="6:6" x14ac:dyDescent="0.3">
      <c r="F10529" s="193"/>
    </row>
    <row r="10530" spans="6:6" x14ac:dyDescent="0.3">
      <c r="F10530" s="193"/>
    </row>
    <row r="10531" spans="6:6" x14ac:dyDescent="0.3">
      <c r="F10531" s="193"/>
    </row>
    <row r="10532" spans="6:6" x14ac:dyDescent="0.3">
      <c r="F10532" s="193"/>
    </row>
    <row r="10533" spans="6:6" x14ac:dyDescent="0.3">
      <c r="F10533" s="193"/>
    </row>
    <row r="10534" spans="6:6" x14ac:dyDescent="0.3">
      <c r="F10534" s="193"/>
    </row>
    <row r="10535" spans="6:6" x14ac:dyDescent="0.3">
      <c r="F10535" s="193"/>
    </row>
    <row r="10536" spans="6:6" x14ac:dyDescent="0.3">
      <c r="F10536" s="193"/>
    </row>
    <row r="10537" spans="6:6" x14ac:dyDescent="0.3">
      <c r="F10537" s="193"/>
    </row>
    <row r="10538" spans="6:6" x14ac:dyDescent="0.3">
      <c r="F10538" s="193"/>
    </row>
    <row r="10539" spans="6:6" x14ac:dyDescent="0.3">
      <c r="F10539" s="193"/>
    </row>
    <row r="10540" spans="6:6" x14ac:dyDescent="0.3">
      <c r="F10540" s="193"/>
    </row>
    <row r="10541" spans="6:6" x14ac:dyDescent="0.3">
      <c r="F10541" s="193"/>
    </row>
    <row r="10542" spans="6:6" x14ac:dyDescent="0.3">
      <c r="F10542" s="193"/>
    </row>
    <row r="10543" spans="6:6" x14ac:dyDescent="0.3">
      <c r="F10543" s="193"/>
    </row>
    <row r="10544" spans="6:6" x14ac:dyDescent="0.3">
      <c r="F10544" s="193"/>
    </row>
    <row r="10545" spans="6:6" x14ac:dyDescent="0.3">
      <c r="F10545" s="193"/>
    </row>
    <row r="10546" spans="6:6" x14ac:dyDescent="0.3">
      <c r="F10546" s="193"/>
    </row>
    <row r="10547" spans="6:6" x14ac:dyDescent="0.3">
      <c r="F10547" s="193"/>
    </row>
    <row r="10548" spans="6:6" x14ac:dyDescent="0.3">
      <c r="F10548" s="193"/>
    </row>
    <row r="10549" spans="6:6" x14ac:dyDescent="0.3">
      <c r="F10549" s="193"/>
    </row>
    <row r="10550" spans="6:6" x14ac:dyDescent="0.3">
      <c r="F10550" s="193"/>
    </row>
    <row r="10551" spans="6:6" x14ac:dyDescent="0.3">
      <c r="F10551" s="193"/>
    </row>
    <row r="10552" spans="6:6" x14ac:dyDescent="0.3">
      <c r="F10552" s="193"/>
    </row>
    <row r="10553" spans="6:6" x14ac:dyDescent="0.3">
      <c r="F10553" s="193"/>
    </row>
    <row r="10554" spans="6:6" x14ac:dyDescent="0.3">
      <c r="F10554" s="193"/>
    </row>
    <row r="10555" spans="6:6" x14ac:dyDescent="0.3">
      <c r="F10555" s="193"/>
    </row>
    <row r="10556" spans="6:6" x14ac:dyDescent="0.3">
      <c r="F10556" s="193"/>
    </row>
    <row r="10557" spans="6:6" x14ac:dyDescent="0.3">
      <c r="F10557" s="193"/>
    </row>
    <row r="10558" spans="6:6" x14ac:dyDescent="0.3">
      <c r="F10558" s="193"/>
    </row>
    <row r="10559" spans="6:6" x14ac:dyDescent="0.3">
      <c r="F10559" s="193"/>
    </row>
    <row r="10560" spans="6:6" x14ac:dyDescent="0.3">
      <c r="F10560" s="193"/>
    </row>
    <row r="10561" spans="6:6" x14ac:dyDescent="0.3">
      <c r="F10561" s="193"/>
    </row>
    <row r="10562" spans="6:6" x14ac:dyDescent="0.3">
      <c r="F10562" s="193"/>
    </row>
    <row r="10563" spans="6:6" x14ac:dyDescent="0.3">
      <c r="F10563" s="193"/>
    </row>
    <row r="10564" spans="6:6" x14ac:dyDescent="0.3">
      <c r="F10564" s="193"/>
    </row>
    <row r="10565" spans="6:6" x14ac:dyDescent="0.3">
      <c r="F10565" s="193"/>
    </row>
    <row r="10566" spans="6:6" x14ac:dyDescent="0.3">
      <c r="F10566" s="193"/>
    </row>
    <row r="10567" spans="6:6" x14ac:dyDescent="0.3">
      <c r="F10567" s="193"/>
    </row>
    <row r="10568" spans="6:6" x14ac:dyDescent="0.3">
      <c r="F10568" s="193"/>
    </row>
    <row r="10569" spans="6:6" x14ac:dyDescent="0.3">
      <c r="F10569" s="193"/>
    </row>
    <row r="10570" spans="6:6" x14ac:dyDescent="0.3">
      <c r="F10570" s="193"/>
    </row>
    <row r="10571" spans="6:6" x14ac:dyDescent="0.3">
      <c r="F10571" s="193"/>
    </row>
    <row r="10572" spans="6:6" x14ac:dyDescent="0.3">
      <c r="F10572" s="193"/>
    </row>
    <row r="10573" spans="6:6" x14ac:dyDescent="0.3">
      <c r="F10573" s="193"/>
    </row>
    <row r="10574" spans="6:6" x14ac:dyDescent="0.3">
      <c r="F10574" s="193"/>
    </row>
    <row r="10575" spans="6:6" x14ac:dyDescent="0.3">
      <c r="F10575" s="193"/>
    </row>
    <row r="10576" spans="6:6" x14ac:dyDescent="0.3">
      <c r="F10576" s="193"/>
    </row>
    <row r="10577" spans="6:6" x14ac:dyDescent="0.3">
      <c r="F10577" s="193"/>
    </row>
    <row r="10578" spans="6:6" x14ac:dyDescent="0.3">
      <c r="F10578" s="193"/>
    </row>
    <row r="10579" spans="6:6" x14ac:dyDescent="0.3">
      <c r="F10579" s="193"/>
    </row>
    <row r="10580" spans="6:6" x14ac:dyDescent="0.3">
      <c r="F10580" s="193"/>
    </row>
    <row r="10581" spans="6:6" x14ac:dyDescent="0.3">
      <c r="F10581" s="193"/>
    </row>
    <row r="10582" spans="6:6" x14ac:dyDescent="0.3">
      <c r="F10582" s="193"/>
    </row>
    <row r="10583" spans="6:6" x14ac:dyDescent="0.3">
      <c r="F10583" s="193"/>
    </row>
    <row r="10584" spans="6:6" x14ac:dyDescent="0.3">
      <c r="F10584" s="193"/>
    </row>
    <row r="10585" spans="6:6" x14ac:dyDescent="0.3">
      <c r="F10585" s="193"/>
    </row>
    <row r="10586" spans="6:6" x14ac:dyDescent="0.3">
      <c r="F10586" s="193"/>
    </row>
    <row r="10587" spans="6:6" x14ac:dyDescent="0.3">
      <c r="F10587" s="193"/>
    </row>
    <row r="10588" spans="6:6" x14ac:dyDescent="0.3">
      <c r="F10588" s="193"/>
    </row>
    <row r="10589" spans="6:6" x14ac:dyDescent="0.3">
      <c r="F10589" s="193"/>
    </row>
    <row r="10590" spans="6:6" x14ac:dyDescent="0.3">
      <c r="F10590" s="193"/>
    </row>
    <row r="10591" spans="6:6" x14ac:dyDescent="0.3">
      <c r="F10591" s="193"/>
    </row>
    <row r="10592" spans="6:6" x14ac:dyDescent="0.3">
      <c r="F10592" s="193"/>
    </row>
    <row r="10593" spans="6:6" x14ac:dyDescent="0.3">
      <c r="F10593" s="193"/>
    </row>
    <row r="10594" spans="6:6" x14ac:dyDescent="0.3">
      <c r="F10594" s="193"/>
    </row>
    <row r="10595" spans="6:6" x14ac:dyDescent="0.3">
      <c r="F10595" s="193"/>
    </row>
    <row r="10596" spans="6:6" x14ac:dyDescent="0.3">
      <c r="F10596" s="193"/>
    </row>
    <row r="10597" spans="6:6" x14ac:dyDescent="0.3">
      <c r="F10597" s="193"/>
    </row>
    <row r="10598" spans="6:6" x14ac:dyDescent="0.3">
      <c r="F10598" s="193"/>
    </row>
    <row r="10599" spans="6:6" x14ac:dyDescent="0.3">
      <c r="F10599" s="193"/>
    </row>
    <row r="10600" spans="6:6" x14ac:dyDescent="0.3">
      <c r="F10600" s="193"/>
    </row>
    <row r="10601" spans="6:6" x14ac:dyDescent="0.3">
      <c r="F10601" s="193"/>
    </row>
    <row r="10602" spans="6:6" x14ac:dyDescent="0.3">
      <c r="F10602" s="193"/>
    </row>
    <row r="10603" spans="6:6" x14ac:dyDescent="0.3">
      <c r="F10603" s="193"/>
    </row>
    <row r="10604" spans="6:6" x14ac:dyDescent="0.3">
      <c r="F10604" s="193"/>
    </row>
    <row r="10605" spans="6:6" x14ac:dyDescent="0.3">
      <c r="F10605" s="193"/>
    </row>
    <row r="10606" spans="6:6" x14ac:dyDescent="0.3">
      <c r="F10606" s="193"/>
    </row>
    <row r="10607" spans="6:6" x14ac:dyDescent="0.3">
      <c r="F10607" s="193"/>
    </row>
    <row r="10608" spans="6:6" x14ac:dyDescent="0.3">
      <c r="F10608" s="193"/>
    </row>
    <row r="10609" spans="6:6" x14ac:dyDescent="0.3">
      <c r="F10609" s="193"/>
    </row>
    <row r="10610" spans="6:6" x14ac:dyDescent="0.3">
      <c r="F10610" s="193"/>
    </row>
    <row r="10611" spans="6:6" x14ac:dyDescent="0.3">
      <c r="F10611" s="193"/>
    </row>
    <row r="10612" spans="6:6" x14ac:dyDescent="0.3">
      <c r="F10612" s="193"/>
    </row>
    <row r="10613" spans="6:6" x14ac:dyDescent="0.3">
      <c r="F10613" s="193"/>
    </row>
    <row r="10614" spans="6:6" x14ac:dyDescent="0.3">
      <c r="F10614" s="193"/>
    </row>
    <row r="10615" spans="6:6" x14ac:dyDescent="0.3">
      <c r="F10615" s="193"/>
    </row>
    <row r="10616" spans="6:6" x14ac:dyDescent="0.3">
      <c r="F10616" s="193"/>
    </row>
    <row r="10617" spans="6:6" x14ac:dyDescent="0.3">
      <c r="F10617" s="193"/>
    </row>
    <row r="10618" spans="6:6" x14ac:dyDescent="0.3">
      <c r="F10618" s="193"/>
    </row>
    <row r="10619" spans="6:6" x14ac:dyDescent="0.3">
      <c r="F10619" s="193"/>
    </row>
    <row r="10620" spans="6:6" x14ac:dyDescent="0.3">
      <c r="F10620" s="193"/>
    </row>
    <row r="10621" spans="6:6" x14ac:dyDescent="0.3">
      <c r="F10621" s="193"/>
    </row>
    <row r="10622" spans="6:6" x14ac:dyDescent="0.3">
      <c r="F10622" s="193"/>
    </row>
    <row r="10623" spans="6:6" x14ac:dyDescent="0.3">
      <c r="F10623" s="193"/>
    </row>
    <row r="10624" spans="6:6" x14ac:dyDescent="0.3">
      <c r="F10624" s="193"/>
    </row>
    <row r="10625" spans="6:6" x14ac:dyDescent="0.3">
      <c r="F10625" s="193"/>
    </row>
    <row r="10626" spans="6:6" x14ac:dyDescent="0.3">
      <c r="F10626" s="193"/>
    </row>
    <row r="10627" spans="6:6" x14ac:dyDescent="0.3">
      <c r="F10627" s="193"/>
    </row>
    <row r="10628" spans="6:6" x14ac:dyDescent="0.3">
      <c r="F10628" s="193"/>
    </row>
    <row r="10629" spans="6:6" x14ac:dyDescent="0.3">
      <c r="F10629" s="193"/>
    </row>
    <row r="10630" spans="6:6" x14ac:dyDescent="0.3">
      <c r="F10630" s="193"/>
    </row>
    <row r="10631" spans="6:6" x14ac:dyDescent="0.3">
      <c r="F10631" s="193"/>
    </row>
    <row r="10632" spans="6:6" x14ac:dyDescent="0.3">
      <c r="F10632" s="193"/>
    </row>
    <row r="10633" spans="6:6" x14ac:dyDescent="0.3">
      <c r="F10633" s="193"/>
    </row>
    <row r="10634" spans="6:6" x14ac:dyDescent="0.3">
      <c r="F10634" s="193"/>
    </row>
    <row r="10635" spans="6:6" x14ac:dyDescent="0.3">
      <c r="F10635" s="193"/>
    </row>
    <row r="10636" spans="6:6" x14ac:dyDescent="0.3">
      <c r="F10636" s="193"/>
    </row>
    <row r="10637" spans="6:6" x14ac:dyDescent="0.3">
      <c r="F10637" s="193"/>
    </row>
    <row r="10638" spans="6:6" x14ac:dyDescent="0.3">
      <c r="F10638" s="193"/>
    </row>
    <row r="10639" spans="6:6" x14ac:dyDescent="0.3">
      <c r="F10639" s="193"/>
    </row>
    <row r="10640" spans="6:6" x14ac:dyDescent="0.3">
      <c r="F10640" s="193"/>
    </row>
    <row r="10641" spans="6:6" x14ac:dyDescent="0.3">
      <c r="F10641" s="193"/>
    </row>
    <row r="10642" spans="6:6" x14ac:dyDescent="0.3">
      <c r="F10642" s="193"/>
    </row>
    <row r="10643" spans="6:6" x14ac:dyDescent="0.3">
      <c r="F10643" s="193"/>
    </row>
    <row r="10644" spans="6:6" x14ac:dyDescent="0.3">
      <c r="F10644" s="193"/>
    </row>
    <row r="10645" spans="6:6" x14ac:dyDescent="0.3">
      <c r="F10645" s="193"/>
    </row>
    <row r="10646" spans="6:6" x14ac:dyDescent="0.3">
      <c r="F10646" s="193"/>
    </row>
    <row r="10647" spans="6:6" x14ac:dyDescent="0.3">
      <c r="F10647" s="193"/>
    </row>
    <row r="10648" spans="6:6" x14ac:dyDescent="0.3">
      <c r="F10648" s="193"/>
    </row>
    <row r="10649" spans="6:6" x14ac:dyDescent="0.3">
      <c r="F10649" s="193"/>
    </row>
    <row r="10650" spans="6:6" x14ac:dyDescent="0.3">
      <c r="F10650" s="193"/>
    </row>
    <row r="10651" spans="6:6" x14ac:dyDescent="0.3">
      <c r="F10651" s="193"/>
    </row>
    <row r="10652" spans="6:6" x14ac:dyDescent="0.3">
      <c r="F10652" s="193"/>
    </row>
    <row r="10653" spans="6:6" x14ac:dyDescent="0.3">
      <c r="F10653" s="193"/>
    </row>
    <row r="10654" spans="6:6" x14ac:dyDescent="0.3">
      <c r="F10654" s="193"/>
    </row>
    <row r="10655" spans="6:6" x14ac:dyDescent="0.3">
      <c r="F10655" s="193"/>
    </row>
    <row r="10656" spans="6:6" x14ac:dyDescent="0.3">
      <c r="F10656" s="193"/>
    </row>
    <row r="10657" spans="6:6" x14ac:dyDescent="0.3">
      <c r="F10657" s="193"/>
    </row>
    <row r="10658" spans="6:6" x14ac:dyDescent="0.3">
      <c r="F10658" s="193"/>
    </row>
    <row r="10659" spans="6:6" x14ac:dyDescent="0.3">
      <c r="F10659" s="193"/>
    </row>
    <row r="10660" spans="6:6" x14ac:dyDescent="0.3">
      <c r="F10660" s="193"/>
    </row>
    <row r="10661" spans="6:6" x14ac:dyDescent="0.3">
      <c r="F10661" s="193"/>
    </row>
    <row r="10662" spans="6:6" x14ac:dyDescent="0.3">
      <c r="F10662" s="193"/>
    </row>
    <row r="10663" spans="6:6" x14ac:dyDescent="0.3">
      <c r="F10663" s="193"/>
    </row>
    <row r="10664" spans="6:6" x14ac:dyDescent="0.3">
      <c r="F10664" s="193"/>
    </row>
    <row r="10665" spans="6:6" x14ac:dyDescent="0.3">
      <c r="F10665" s="193"/>
    </row>
    <row r="10666" spans="6:6" x14ac:dyDescent="0.3">
      <c r="F10666" s="193"/>
    </row>
    <row r="10667" spans="6:6" x14ac:dyDescent="0.3">
      <c r="F10667" s="193"/>
    </row>
    <row r="10668" spans="6:6" x14ac:dyDescent="0.3">
      <c r="F10668" s="193"/>
    </row>
    <row r="10669" spans="6:6" x14ac:dyDescent="0.3">
      <c r="F10669" s="193"/>
    </row>
    <row r="10670" spans="6:6" x14ac:dyDescent="0.3">
      <c r="F10670" s="193"/>
    </row>
    <row r="10671" spans="6:6" x14ac:dyDescent="0.3">
      <c r="F10671" s="193"/>
    </row>
    <row r="10672" spans="6:6" x14ac:dyDescent="0.3">
      <c r="F10672" s="193"/>
    </row>
    <row r="10673" spans="6:6" x14ac:dyDescent="0.3">
      <c r="F10673" s="193"/>
    </row>
    <row r="10674" spans="6:6" x14ac:dyDescent="0.3">
      <c r="F10674" s="193"/>
    </row>
    <row r="10675" spans="6:6" x14ac:dyDescent="0.3">
      <c r="F10675" s="193"/>
    </row>
    <row r="10676" spans="6:6" x14ac:dyDescent="0.3">
      <c r="F10676" s="193"/>
    </row>
    <row r="10677" spans="6:6" x14ac:dyDescent="0.3">
      <c r="F10677" s="193"/>
    </row>
    <row r="10678" spans="6:6" x14ac:dyDescent="0.3">
      <c r="F10678" s="193"/>
    </row>
    <row r="10679" spans="6:6" x14ac:dyDescent="0.3">
      <c r="F10679" s="193"/>
    </row>
    <row r="10680" spans="6:6" x14ac:dyDescent="0.3">
      <c r="F10680" s="193"/>
    </row>
    <row r="10681" spans="6:6" x14ac:dyDescent="0.3">
      <c r="F10681" s="193"/>
    </row>
    <row r="10682" spans="6:6" x14ac:dyDescent="0.3">
      <c r="F10682" s="193"/>
    </row>
    <row r="10683" spans="6:6" x14ac:dyDescent="0.3">
      <c r="F10683" s="193"/>
    </row>
    <row r="10684" spans="6:6" x14ac:dyDescent="0.3">
      <c r="F10684" s="193"/>
    </row>
    <row r="10685" spans="6:6" x14ac:dyDescent="0.3">
      <c r="F10685" s="193"/>
    </row>
    <row r="10686" spans="6:6" x14ac:dyDescent="0.3">
      <c r="F10686" s="193"/>
    </row>
    <row r="10687" spans="6:6" x14ac:dyDescent="0.3">
      <c r="F10687" s="193"/>
    </row>
    <row r="10688" spans="6:6" x14ac:dyDescent="0.3">
      <c r="F10688" s="193"/>
    </row>
    <row r="10689" spans="6:6" x14ac:dyDescent="0.3">
      <c r="F10689" s="193"/>
    </row>
    <row r="10690" spans="6:6" x14ac:dyDescent="0.3">
      <c r="F10690" s="193"/>
    </row>
    <row r="10691" spans="6:6" x14ac:dyDescent="0.3">
      <c r="F10691" s="193"/>
    </row>
    <row r="10692" spans="6:6" x14ac:dyDescent="0.3">
      <c r="F10692" s="193"/>
    </row>
    <row r="10693" spans="6:6" x14ac:dyDescent="0.3">
      <c r="F10693" s="193"/>
    </row>
    <row r="10694" spans="6:6" x14ac:dyDescent="0.3">
      <c r="F10694" s="193"/>
    </row>
    <row r="10695" spans="6:6" x14ac:dyDescent="0.3">
      <c r="F10695" s="193"/>
    </row>
    <row r="10696" spans="6:6" x14ac:dyDescent="0.3">
      <c r="F10696" s="193"/>
    </row>
    <row r="10697" spans="6:6" x14ac:dyDescent="0.3">
      <c r="F10697" s="193"/>
    </row>
    <row r="10698" spans="6:6" x14ac:dyDescent="0.3">
      <c r="F10698" s="193"/>
    </row>
    <row r="10699" spans="6:6" x14ac:dyDescent="0.3">
      <c r="F10699" s="193"/>
    </row>
    <row r="10700" spans="6:6" x14ac:dyDescent="0.3">
      <c r="F10700" s="193"/>
    </row>
    <row r="10701" spans="6:6" x14ac:dyDescent="0.3">
      <c r="F10701" s="193"/>
    </row>
    <row r="10702" spans="6:6" x14ac:dyDescent="0.3">
      <c r="F10702" s="193"/>
    </row>
    <row r="10703" spans="6:6" x14ac:dyDescent="0.3">
      <c r="F10703" s="193"/>
    </row>
    <row r="10704" spans="6:6" x14ac:dyDescent="0.3">
      <c r="F10704" s="193"/>
    </row>
    <row r="10705" spans="6:6" x14ac:dyDescent="0.3">
      <c r="F10705" s="193"/>
    </row>
    <row r="10706" spans="6:6" x14ac:dyDescent="0.3">
      <c r="F10706" s="193"/>
    </row>
    <row r="10707" spans="6:6" x14ac:dyDescent="0.3">
      <c r="F10707" s="193"/>
    </row>
    <row r="10708" spans="6:6" x14ac:dyDescent="0.3">
      <c r="F10708" s="193"/>
    </row>
    <row r="10709" spans="6:6" x14ac:dyDescent="0.3">
      <c r="F10709" s="193"/>
    </row>
    <row r="10710" spans="6:6" x14ac:dyDescent="0.3">
      <c r="F10710" s="193"/>
    </row>
    <row r="10711" spans="6:6" x14ac:dyDescent="0.3">
      <c r="F10711" s="193"/>
    </row>
    <row r="10712" spans="6:6" x14ac:dyDescent="0.3">
      <c r="F10712" s="193"/>
    </row>
    <row r="10713" spans="6:6" x14ac:dyDescent="0.3">
      <c r="F10713" s="193"/>
    </row>
    <row r="10714" spans="6:6" x14ac:dyDescent="0.3">
      <c r="F10714" s="193"/>
    </row>
    <row r="10715" spans="6:6" x14ac:dyDescent="0.3">
      <c r="F10715" s="193"/>
    </row>
    <row r="10716" spans="6:6" x14ac:dyDescent="0.3">
      <c r="F10716" s="193"/>
    </row>
    <row r="10717" spans="6:6" x14ac:dyDescent="0.3">
      <c r="F10717" s="193"/>
    </row>
    <row r="10718" spans="6:6" x14ac:dyDescent="0.3">
      <c r="F10718" s="193"/>
    </row>
    <row r="10719" spans="6:6" x14ac:dyDescent="0.3">
      <c r="F10719" s="193"/>
    </row>
    <row r="10720" spans="6:6" x14ac:dyDescent="0.3">
      <c r="F10720" s="193"/>
    </row>
    <row r="10721" spans="6:6" x14ac:dyDescent="0.3">
      <c r="F10721" s="193"/>
    </row>
    <row r="10722" spans="6:6" x14ac:dyDescent="0.3">
      <c r="F10722" s="193"/>
    </row>
    <row r="10723" spans="6:6" x14ac:dyDescent="0.3">
      <c r="F10723" s="193"/>
    </row>
    <row r="10724" spans="6:6" x14ac:dyDescent="0.3">
      <c r="F10724" s="193"/>
    </row>
    <row r="10725" spans="6:6" x14ac:dyDescent="0.3">
      <c r="F10725" s="193"/>
    </row>
    <row r="10726" spans="6:6" x14ac:dyDescent="0.3">
      <c r="F10726" s="193"/>
    </row>
    <row r="10727" spans="6:6" x14ac:dyDescent="0.3">
      <c r="F10727" s="193"/>
    </row>
    <row r="10728" spans="6:6" x14ac:dyDescent="0.3">
      <c r="F10728" s="193"/>
    </row>
    <row r="10729" spans="6:6" x14ac:dyDescent="0.3">
      <c r="F10729" s="193"/>
    </row>
    <row r="10730" spans="6:6" x14ac:dyDescent="0.3">
      <c r="F10730" s="193"/>
    </row>
    <row r="10731" spans="6:6" x14ac:dyDescent="0.3">
      <c r="F10731" s="193"/>
    </row>
    <row r="10732" spans="6:6" x14ac:dyDescent="0.3">
      <c r="F10732" s="193"/>
    </row>
    <row r="10733" spans="6:6" x14ac:dyDescent="0.3">
      <c r="F10733" s="193"/>
    </row>
    <row r="10734" spans="6:6" x14ac:dyDescent="0.3">
      <c r="F10734" s="193"/>
    </row>
    <row r="10735" spans="6:6" x14ac:dyDescent="0.3">
      <c r="F10735" s="193"/>
    </row>
    <row r="10736" spans="6:6" x14ac:dyDescent="0.3">
      <c r="F10736" s="193"/>
    </row>
    <row r="10737" spans="6:6" x14ac:dyDescent="0.3">
      <c r="F10737" s="193"/>
    </row>
    <row r="10738" spans="6:6" x14ac:dyDescent="0.3">
      <c r="F10738" s="193"/>
    </row>
    <row r="10739" spans="6:6" x14ac:dyDescent="0.3">
      <c r="F10739" s="193"/>
    </row>
    <row r="10740" spans="6:6" x14ac:dyDescent="0.3">
      <c r="F10740" s="193"/>
    </row>
    <row r="10741" spans="6:6" x14ac:dyDescent="0.3">
      <c r="F10741" s="193"/>
    </row>
    <row r="10742" spans="6:6" x14ac:dyDescent="0.3">
      <c r="F10742" s="193"/>
    </row>
    <row r="10743" spans="6:6" x14ac:dyDescent="0.3">
      <c r="F10743" s="193"/>
    </row>
    <row r="10744" spans="6:6" x14ac:dyDescent="0.3">
      <c r="F10744" s="193"/>
    </row>
    <row r="10745" spans="6:6" x14ac:dyDescent="0.3">
      <c r="F10745" s="193"/>
    </row>
    <row r="10746" spans="6:6" x14ac:dyDescent="0.3">
      <c r="F10746" s="193"/>
    </row>
    <row r="10747" spans="6:6" x14ac:dyDescent="0.3">
      <c r="F10747" s="193"/>
    </row>
    <row r="10748" spans="6:6" x14ac:dyDescent="0.3">
      <c r="F10748" s="193"/>
    </row>
    <row r="10749" spans="6:6" x14ac:dyDescent="0.3">
      <c r="F10749" s="193"/>
    </row>
    <row r="10750" spans="6:6" x14ac:dyDescent="0.3">
      <c r="F10750" s="193"/>
    </row>
    <row r="10751" spans="6:6" x14ac:dyDescent="0.3">
      <c r="F10751" s="193"/>
    </row>
    <row r="10752" spans="6:6" x14ac:dyDescent="0.3">
      <c r="F10752" s="193"/>
    </row>
    <row r="10753" spans="6:6" x14ac:dyDescent="0.3">
      <c r="F10753" s="193"/>
    </row>
    <row r="10754" spans="6:6" x14ac:dyDescent="0.3">
      <c r="F10754" s="193"/>
    </row>
    <row r="10755" spans="6:6" x14ac:dyDescent="0.3">
      <c r="F10755" s="193"/>
    </row>
    <row r="10756" spans="6:6" x14ac:dyDescent="0.3">
      <c r="F10756" s="193"/>
    </row>
    <row r="10757" spans="6:6" x14ac:dyDescent="0.3">
      <c r="F10757" s="193"/>
    </row>
    <row r="10758" spans="6:6" x14ac:dyDescent="0.3">
      <c r="F10758" s="193"/>
    </row>
    <row r="10759" spans="6:6" x14ac:dyDescent="0.3">
      <c r="F10759" s="193"/>
    </row>
    <row r="10760" spans="6:6" x14ac:dyDescent="0.3">
      <c r="F10760" s="193"/>
    </row>
    <row r="10761" spans="6:6" x14ac:dyDescent="0.3">
      <c r="F10761" s="193"/>
    </row>
    <row r="10762" spans="6:6" x14ac:dyDescent="0.3">
      <c r="F10762" s="193"/>
    </row>
    <row r="10763" spans="6:6" x14ac:dyDescent="0.3">
      <c r="F10763" s="193"/>
    </row>
    <row r="10764" spans="6:6" x14ac:dyDescent="0.3">
      <c r="F10764" s="193"/>
    </row>
    <row r="10765" spans="6:6" x14ac:dyDescent="0.3">
      <c r="F10765" s="193"/>
    </row>
    <row r="10766" spans="6:6" x14ac:dyDescent="0.3">
      <c r="F10766" s="193"/>
    </row>
    <row r="10767" spans="6:6" x14ac:dyDescent="0.3">
      <c r="F10767" s="193"/>
    </row>
    <row r="10768" spans="6:6" x14ac:dyDescent="0.3">
      <c r="F10768" s="193"/>
    </row>
    <row r="10769" spans="6:6" x14ac:dyDescent="0.3">
      <c r="F10769" s="193"/>
    </row>
    <row r="10770" spans="6:6" x14ac:dyDescent="0.3">
      <c r="F10770" s="193"/>
    </row>
    <row r="10771" spans="6:6" x14ac:dyDescent="0.3">
      <c r="F10771" s="193"/>
    </row>
    <row r="10772" spans="6:6" x14ac:dyDescent="0.3">
      <c r="F10772" s="193"/>
    </row>
    <row r="10773" spans="6:6" x14ac:dyDescent="0.3">
      <c r="F10773" s="193"/>
    </row>
    <row r="10774" spans="6:6" x14ac:dyDescent="0.3">
      <c r="F10774" s="193"/>
    </row>
    <row r="10775" spans="6:6" x14ac:dyDescent="0.3">
      <c r="F10775" s="193"/>
    </row>
    <row r="10776" spans="6:6" x14ac:dyDescent="0.3">
      <c r="F10776" s="193"/>
    </row>
    <row r="10777" spans="6:6" x14ac:dyDescent="0.3">
      <c r="F10777" s="193"/>
    </row>
    <row r="10778" spans="6:6" x14ac:dyDescent="0.3">
      <c r="F10778" s="193"/>
    </row>
    <row r="10779" spans="6:6" x14ac:dyDescent="0.3">
      <c r="F10779" s="193"/>
    </row>
    <row r="10780" spans="6:6" x14ac:dyDescent="0.3">
      <c r="F10780" s="193"/>
    </row>
    <row r="10781" spans="6:6" x14ac:dyDescent="0.3">
      <c r="F10781" s="193"/>
    </row>
    <row r="10782" spans="6:6" x14ac:dyDescent="0.3">
      <c r="F10782" s="193"/>
    </row>
    <row r="10783" spans="6:6" x14ac:dyDescent="0.3">
      <c r="F10783" s="193"/>
    </row>
    <row r="10784" spans="6:6" x14ac:dyDescent="0.3">
      <c r="F10784" s="193"/>
    </row>
    <row r="10785" spans="6:6" x14ac:dyDescent="0.3">
      <c r="F10785" s="193"/>
    </row>
    <row r="10786" spans="6:6" x14ac:dyDescent="0.3">
      <c r="F10786" s="193"/>
    </row>
    <row r="10787" spans="6:6" x14ac:dyDescent="0.3">
      <c r="F10787" s="193"/>
    </row>
    <row r="10788" spans="6:6" x14ac:dyDescent="0.3">
      <c r="F10788" s="193"/>
    </row>
    <row r="10789" spans="6:6" x14ac:dyDescent="0.3">
      <c r="F10789" s="193"/>
    </row>
    <row r="10790" spans="6:6" x14ac:dyDescent="0.3">
      <c r="F10790" s="193"/>
    </row>
    <row r="10791" spans="6:6" x14ac:dyDescent="0.3">
      <c r="F10791" s="193"/>
    </row>
    <row r="10792" spans="6:6" x14ac:dyDescent="0.3">
      <c r="F10792" s="193"/>
    </row>
    <row r="10793" spans="6:6" x14ac:dyDescent="0.3">
      <c r="F10793" s="193"/>
    </row>
    <row r="10794" spans="6:6" x14ac:dyDescent="0.3">
      <c r="F10794" s="193"/>
    </row>
    <row r="10795" spans="6:6" x14ac:dyDescent="0.3">
      <c r="F10795" s="193"/>
    </row>
    <row r="10796" spans="6:6" x14ac:dyDescent="0.3">
      <c r="F10796" s="193"/>
    </row>
    <row r="10797" spans="6:6" x14ac:dyDescent="0.3">
      <c r="F10797" s="193"/>
    </row>
    <row r="10798" spans="6:6" x14ac:dyDescent="0.3">
      <c r="F10798" s="193"/>
    </row>
    <row r="10799" spans="6:6" x14ac:dyDescent="0.3">
      <c r="F10799" s="193"/>
    </row>
    <row r="10800" spans="6:6" x14ac:dyDescent="0.3">
      <c r="F10800" s="193"/>
    </row>
    <row r="10801" spans="6:6" x14ac:dyDescent="0.3">
      <c r="F10801" s="193"/>
    </row>
    <row r="10802" spans="6:6" x14ac:dyDescent="0.3">
      <c r="F10802" s="193"/>
    </row>
    <row r="10803" spans="6:6" x14ac:dyDescent="0.3">
      <c r="F10803" s="193"/>
    </row>
    <row r="10804" spans="6:6" x14ac:dyDescent="0.3">
      <c r="F10804" s="193"/>
    </row>
    <row r="10805" spans="6:6" x14ac:dyDescent="0.3">
      <c r="F10805" s="193"/>
    </row>
    <row r="10806" spans="6:6" x14ac:dyDescent="0.3">
      <c r="F10806" s="193"/>
    </row>
    <row r="10807" spans="6:6" x14ac:dyDescent="0.3">
      <c r="F10807" s="193"/>
    </row>
    <row r="10808" spans="6:6" x14ac:dyDescent="0.3">
      <c r="F10808" s="193"/>
    </row>
    <row r="10809" spans="6:6" x14ac:dyDescent="0.3">
      <c r="F10809" s="193"/>
    </row>
    <row r="10810" spans="6:6" x14ac:dyDescent="0.3">
      <c r="F10810" s="193"/>
    </row>
    <row r="10811" spans="6:6" x14ac:dyDescent="0.3">
      <c r="F10811" s="193"/>
    </row>
    <row r="10812" spans="6:6" x14ac:dyDescent="0.3">
      <c r="F10812" s="193"/>
    </row>
    <row r="10813" spans="6:6" x14ac:dyDescent="0.3">
      <c r="F10813" s="193"/>
    </row>
    <row r="10814" spans="6:6" x14ac:dyDescent="0.3">
      <c r="F10814" s="193"/>
    </row>
    <row r="10815" spans="6:6" x14ac:dyDescent="0.3">
      <c r="F10815" s="193"/>
    </row>
    <row r="10816" spans="6:6" x14ac:dyDescent="0.3">
      <c r="F10816" s="193"/>
    </row>
    <row r="10817" spans="6:6" x14ac:dyDescent="0.3">
      <c r="F10817" s="193"/>
    </row>
    <row r="10818" spans="6:6" x14ac:dyDescent="0.3">
      <c r="F10818" s="193"/>
    </row>
    <row r="10819" spans="6:6" x14ac:dyDescent="0.3">
      <c r="F10819" s="193"/>
    </row>
    <row r="10820" spans="6:6" x14ac:dyDescent="0.3">
      <c r="F10820" s="193"/>
    </row>
    <row r="10821" spans="6:6" x14ac:dyDescent="0.3">
      <c r="F10821" s="193"/>
    </row>
    <row r="10822" spans="6:6" x14ac:dyDescent="0.3">
      <c r="F10822" s="193"/>
    </row>
    <row r="10823" spans="6:6" x14ac:dyDescent="0.3">
      <c r="F10823" s="193"/>
    </row>
    <row r="10824" spans="6:6" x14ac:dyDescent="0.3">
      <c r="F10824" s="193"/>
    </row>
    <row r="10825" spans="6:6" x14ac:dyDescent="0.3">
      <c r="F10825" s="193"/>
    </row>
    <row r="10826" spans="6:6" x14ac:dyDescent="0.3">
      <c r="F10826" s="193"/>
    </row>
    <row r="10827" spans="6:6" x14ac:dyDescent="0.3">
      <c r="F10827" s="193"/>
    </row>
    <row r="10828" spans="6:6" x14ac:dyDescent="0.3">
      <c r="F10828" s="193"/>
    </row>
    <row r="10829" spans="6:6" x14ac:dyDescent="0.3">
      <c r="F10829" s="193"/>
    </row>
    <row r="10830" spans="6:6" x14ac:dyDescent="0.3">
      <c r="F10830" s="193"/>
    </row>
    <row r="10831" spans="6:6" x14ac:dyDescent="0.3">
      <c r="F10831" s="193"/>
    </row>
    <row r="10832" spans="6:6" x14ac:dyDescent="0.3">
      <c r="F10832" s="193"/>
    </row>
    <row r="10833" spans="6:6" x14ac:dyDescent="0.3">
      <c r="F10833" s="193"/>
    </row>
    <row r="10834" spans="6:6" x14ac:dyDescent="0.3">
      <c r="F10834" s="193"/>
    </row>
    <row r="10835" spans="6:6" x14ac:dyDescent="0.3">
      <c r="F10835" s="193"/>
    </row>
    <row r="10836" spans="6:6" x14ac:dyDescent="0.3">
      <c r="F10836" s="193"/>
    </row>
    <row r="10837" spans="6:6" x14ac:dyDescent="0.3">
      <c r="F10837" s="193"/>
    </row>
    <row r="10838" spans="6:6" x14ac:dyDescent="0.3">
      <c r="F10838" s="193"/>
    </row>
    <row r="10839" spans="6:6" x14ac:dyDescent="0.3">
      <c r="F10839" s="193"/>
    </row>
    <row r="10840" spans="6:6" x14ac:dyDescent="0.3">
      <c r="F10840" s="193"/>
    </row>
    <row r="10841" spans="6:6" x14ac:dyDescent="0.3">
      <c r="F10841" s="193"/>
    </row>
    <row r="10842" spans="6:6" x14ac:dyDescent="0.3">
      <c r="F10842" s="193"/>
    </row>
    <row r="10843" spans="6:6" x14ac:dyDescent="0.3">
      <c r="F10843" s="193"/>
    </row>
    <row r="10844" spans="6:6" x14ac:dyDescent="0.3">
      <c r="F10844" s="193"/>
    </row>
    <row r="10845" spans="6:6" x14ac:dyDescent="0.3">
      <c r="F10845" s="193"/>
    </row>
    <row r="10846" spans="6:6" x14ac:dyDescent="0.3">
      <c r="F10846" s="193"/>
    </row>
    <row r="10847" spans="6:6" x14ac:dyDescent="0.3">
      <c r="F10847" s="193"/>
    </row>
    <row r="10848" spans="6:6" x14ac:dyDescent="0.3">
      <c r="F10848" s="193"/>
    </row>
    <row r="10849" spans="6:6" x14ac:dyDescent="0.3">
      <c r="F10849" s="193"/>
    </row>
    <row r="10850" spans="6:6" x14ac:dyDescent="0.3">
      <c r="F10850" s="193"/>
    </row>
    <row r="10851" spans="6:6" x14ac:dyDescent="0.3">
      <c r="F10851" s="193"/>
    </row>
    <row r="10852" spans="6:6" x14ac:dyDescent="0.3">
      <c r="F10852" s="193"/>
    </row>
    <row r="10853" spans="6:6" x14ac:dyDescent="0.3">
      <c r="F10853" s="193"/>
    </row>
    <row r="10854" spans="6:6" x14ac:dyDescent="0.3">
      <c r="F10854" s="193"/>
    </row>
    <row r="10855" spans="6:6" x14ac:dyDescent="0.3">
      <c r="F10855" s="193"/>
    </row>
    <row r="10856" spans="6:6" x14ac:dyDescent="0.3">
      <c r="F10856" s="193"/>
    </row>
    <row r="10857" spans="6:6" x14ac:dyDescent="0.3">
      <c r="F10857" s="193"/>
    </row>
    <row r="10858" spans="6:6" x14ac:dyDescent="0.3">
      <c r="F10858" s="193"/>
    </row>
    <row r="10859" spans="6:6" x14ac:dyDescent="0.3">
      <c r="F10859" s="193"/>
    </row>
    <row r="10860" spans="6:6" x14ac:dyDescent="0.3">
      <c r="F10860" s="193"/>
    </row>
    <row r="10861" spans="6:6" x14ac:dyDescent="0.3">
      <c r="F10861" s="193"/>
    </row>
    <row r="10862" spans="6:6" x14ac:dyDescent="0.3">
      <c r="F10862" s="193"/>
    </row>
    <row r="10863" spans="6:6" x14ac:dyDescent="0.3">
      <c r="F10863" s="193"/>
    </row>
    <row r="10864" spans="6:6" x14ac:dyDescent="0.3">
      <c r="F10864" s="193"/>
    </row>
    <row r="10865" spans="6:6" x14ac:dyDescent="0.3">
      <c r="F10865" s="193"/>
    </row>
    <row r="10866" spans="6:6" x14ac:dyDescent="0.3">
      <c r="F10866" s="193"/>
    </row>
    <row r="10867" spans="6:6" x14ac:dyDescent="0.3">
      <c r="F10867" s="193"/>
    </row>
    <row r="10868" spans="6:6" x14ac:dyDescent="0.3">
      <c r="F10868" s="193"/>
    </row>
    <row r="10869" spans="6:6" x14ac:dyDescent="0.3">
      <c r="F10869" s="193"/>
    </row>
    <row r="10870" spans="6:6" x14ac:dyDescent="0.3">
      <c r="F10870" s="193"/>
    </row>
    <row r="10871" spans="6:6" x14ac:dyDescent="0.3">
      <c r="F10871" s="193"/>
    </row>
    <row r="10872" spans="6:6" x14ac:dyDescent="0.3">
      <c r="F10872" s="193"/>
    </row>
    <row r="10873" spans="6:6" x14ac:dyDescent="0.3">
      <c r="F10873" s="193"/>
    </row>
    <row r="10874" spans="6:6" x14ac:dyDescent="0.3">
      <c r="F10874" s="193"/>
    </row>
    <row r="10875" spans="6:6" x14ac:dyDescent="0.3">
      <c r="F10875" s="193"/>
    </row>
    <row r="10876" spans="6:6" x14ac:dyDescent="0.3">
      <c r="F10876" s="193"/>
    </row>
    <row r="10877" spans="6:6" x14ac:dyDescent="0.3">
      <c r="F10877" s="193"/>
    </row>
    <row r="10878" spans="6:6" x14ac:dyDescent="0.3">
      <c r="F10878" s="193"/>
    </row>
    <row r="10879" spans="6:6" x14ac:dyDescent="0.3">
      <c r="F10879" s="193"/>
    </row>
    <row r="10880" spans="6:6" x14ac:dyDescent="0.3">
      <c r="F10880" s="193"/>
    </row>
    <row r="10881" spans="6:6" x14ac:dyDescent="0.3">
      <c r="F10881" s="193"/>
    </row>
    <row r="10882" spans="6:6" x14ac:dyDescent="0.3">
      <c r="F10882" s="193"/>
    </row>
    <row r="10883" spans="6:6" x14ac:dyDescent="0.3">
      <c r="F10883" s="193"/>
    </row>
    <row r="10884" spans="6:6" x14ac:dyDescent="0.3">
      <c r="F10884" s="193"/>
    </row>
    <row r="10885" spans="6:6" x14ac:dyDescent="0.3">
      <c r="F10885" s="193"/>
    </row>
    <row r="10886" spans="6:6" x14ac:dyDescent="0.3">
      <c r="F10886" s="193"/>
    </row>
    <row r="10887" spans="6:6" x14ac:dyDescent="0.3">
      <c r="F10887" s="193"/>
    </row>
    <row r="10888" spans="6:6" x14ac:dyDescent="0.3">
      <c r="F10888" s="193"/>
    </row>
    <row r="10889" spans="6:6" x14ac:dyDescent="0.3">
      <c r="F10889" s="193"/>
    </row>
    <row r="10890" spans="6:6" x14ac:dyDescent="0.3">
      <c r="F10890" s="193"/>
    </row>
    <row r="10891" spans="6:6" x14ac:dyDescent="0.3">
      <c r="F10891" s="193"/>
    </row>
    <row r="10892" spans="6:6" x14ac:dyDescent="0.3">
      <c r="F10892" s="193"/>
    </row>
    <row r="10893" spans="6:6" x14ac:dyDescent="0.3">
      <c r="F10893" s="193"/>
    </row>
    <row r="10894" spans="6:6" x14ac:dyDescent="0.3">
      <c r="F10894" s="193"/>
    </row>
    <row r="10895" spans="6:6" x14ac:dyDescent="0.3">
      <c r="F10895" s="193"/>
    </row>
    <row r="10896" spans="6:6" x14ac:dyDescent="0.3">
      <c r="F10896" s="193"/>
    </row>
    <row r="10897" spans="6:6" x14ac:dyDescent="0.3">
      <c r="F10897" s="193"/>
    </row>
    <row r="10898" spans="6:6" x14ac:dyDescent="0.3">
      <c r="F10898" s="193"/>
    </row>
    <row r="10899" spans="6:6" x14ac:dyDescent="0.3">
      <c r="F10899" s="193"/>
    </row>
    <row r="10900" spans="6:6" x14ac:dyDescent="0.3">
      <c r="F10900" s="193"/>
    </row>
    <row r="10901" spans="6:6" x14ac:dyDescent="0.3">
      <c r="F10901" s="193"/>
    </row>
    <row r="10902" spans="6:6" x14ac:dyDescent="0.3">
      <c r="F10902" s="193"/>
    </row>
    <row r="10903" spans="6:6" x14ac:dyDescent="0.3">
      <c r="F10903" s="193"/>
    </row>
    <row r="10904" spans="6:6" x14ac:dyDescent="0.3">
      <c r="F10904" s="193"/>
    </row>
    <row r="10905" spans="6:6" x14ac:dyDescent="0.3">
      <c r="F10905" s="193"/>
    </row>
    <row r="10906" spans="6:6" x14ac:dyDescent="0.3">
      <c r="F10906" s="193"/>
    </row>
    <row r="10907" spans="6:6" x14ac:dyDescent="0.3">
      <c r="F10907" s="193"/>
    </row>
    <row r="10908" spans="6:6" x14ac:dyDescent="0.3">
      <c r="F10908" s="193"/>
    </row>
    <row r="10909" spans="6:6" x14ac:dyDescent="0.3">
      <c r="F10909" s="193"/>
    </row>
    <row r="10910" spans="6:6" x14ac:dyDescent="0.3">
      <c r="F10910" s="193"/>
    </row>
    <row r="10911" spans="6:6" x14ac:dyDescent="0.3">
      <c r="F10911" s="193"/>
    </row>
    <row r="10912" spans="6:6" x14ac:dyDescent="0.3">
      <c r="F10912" s="193"/>
    </row>
    <row r="10913" spans="6:6" x14ac:dyDescent="0.3">
      <c r="F10913" s="193"/>
    </row>
    <row r="10914" spans="6:6" x14ac:dyDescent="0.3">
      <c r="F10914" s="193"/>
    </row>
    <row r="10915" spans="6:6" x14ac:dyDescent="0.3">
      <c r="F10915" s="193"/>
    </row>
    <row r="10916" spans="6:6" x14ac:dyDescent="0.3">
      <c r="F10916" s="193"/>
    </row>
    <row r="10917" spans="6:6" x14ac:dyDescent="0.3">
      <c r="F10917" s="193"/>
    </row>
    <row r="10918" spans="6:6" x14ac:dyDescent="0.3">
      <c r="F10918" s="193"/>
    </row>
    <row r="10919" spans="6:6" x14ac:dyDescent="0.3">
      <c r="F10919" s="193"/>
    </row>
    <row r="10920" spans="6:6" x14ac:dyDescent="0.3">
      <c r="F10920" s="193"/>
    </row>
    <row r="10921" spans="6:6" x14ac:dyDescent="0.3">
      <c r="F10921" s="193"/>
    </row>
    <row r="10922" spans="6:6" x14ac:dyDescent="0.3">
      <c r="F10922" s="193"/>
    </row>
    <row r="10923" spans="6:6" x14ac:dyDescent="0.3">
      <c r="F10923" s="193"/>
    </row>
    <row r="10924" spans="6:6" x14ac:dyDescent="0.3">
      <c r="F10924" s="193"/>
    </row>
    <row r="10925" spans="6:6" x14ac:dyDescent="0.3">
      <c r="F10925" s="193"/>
    </row>
    <row r="10926" spans="6:6" x14ac:dyDescent="0.3">
      <c r="F10926" s="193"/>
    </row>
    <row r="10927" spans="6:6" x14ac:dyDescent="0.3">
      <c r="F10927" s="193"/>
    </row>
    <row r="10928" spans="6:6" x14ac:dyDescent="0.3">
      <c r="F10928" s="193"/>
    </row>
    <row r="10929" spans="6:6" x14ac:dyDescent="0.3">
      <c r="F10929" s="193"/>
    </row>
    <row r="10930" spans="6:6" x14ac:dyDescent="0.3">
      <c r="F10930" s="193"/>
    </row>
    <row r="10931" spans="6:6" x14ac:dyDescent="0.3">
      <c r="F10931" s="193"/>
    </row>
    <row r="10932" spans="6:6" x14ac:dyDescent="0.3">
      <c r="F10932" s="193"/>
    </row>
    <row r="10933" spans="6:6" x14ac:dyDescent="0.3">
      <c r="F10933" s="193"/>
    </row>
    <row r="10934" spans="6:6" x14ac:dyDescent="0.3">
      <c r="F10934" s="193"/>
    </row>
    <row r="10935" spans="6:6" x14ac:dyDescent="0.3">
      <c r="F10935" s="193"/>
    </row>
    <row r="10936" spans="6:6" x14ac:dyDescent="0.3">
      <c r="F10936" s="193"/>
    </row>
    <row r="10937" spans="6:6" x14ac:dyDescent="0.3">
      <c r="F10937" s="193"/>
    </row>
    <row r="10938" spans="6:6" x14ac:dyDescent="0.3">
      <c r="F10938" s="193"/>
    </row>
    <row r="10939" spans="6:6" x14ac:dyDescent="0.3">
      <c r="F10939" s="193"/>
    </row>
    <row r="10940" spans="6:6" x14ac:dyDescent="0.3">
      <c r="F10940" s="193"/>
    </row>
    <row r="10941" spans="6:6" x14ac:dyDescent="0.3">
      <c r="F10941" s="193"/>
    </row>
    <row r="10942" spans="6:6" x14ac:dyDescent="0.3">
      <c r="F10942" s="193"/>
    </row>
    <row r="10943" spans="6:6" x14ac:dyDescent="0.3">
      <c r="F10943" s="193"/>
    </row>
    <row r="10944" spans="6:6" x14ac:dyDescent="0.3">
      <c r="F10944" s="193"/>
    </row>
    <row r="10945" spans="6:6" x14ac:dyDescent="0.3">
      <c r="F10945" s="193"/>
    </row>
    <row r="10946" spans="6:6" x14ac:dyDescent="0.3">
      <c r="F10946" s="193"/>
    </row>
    <row r="10947" spans="6:6" x14ac:dyDescent="0.3">
      <c r="F10947" s="193"/>
    </row>
    <row r="10948" spans="6:6" x14ac:dyDescent="0.3">
      <c r="F10948" s="193"/>
    </row>
    <row r="10949" spans="6:6" x14ac:dyDescent="0.3">
      <c r="F10949" s="193"/>
    </row>
    <row r="10950" spans="6:6" x14ac:dyDescent="0.3">
      <c r="F10950" s="193"/>
    </row>
    <row r="10951" spans="6:6" x14ac:dyDescent="0.3">
      <c r="F10951" s="193"/>
    </row>
    <row r="10952" spans="6:6" x14ac:dyDescent="0.3">
      <c r="F10952" s="193"/>
    </row>
    <row r="10953" spans="6:6" x14ac:dyDescent="0.3">
      <c r="F10953" s="193"/>
    </row>
    <row r="10954" spans="6:6" x14ac:dyDescent="0.3">
      <c r="F10954" s="193"/>
    </row>
    <row r="10955" spans="6:6" x14ac:dyDescent="0.3">
      <c r="F10955" s="193"/>
    </row>
    <row r="10956" spans="6:6" x14ac:dyDescent="0.3">
      <c r="F10956" s="193"/>
    </row>
    <row r="10957" spans="6:6" x14ac:dyDescent="0.3">
      <c r="F10957" s="193"/>
    </row>
    <row r="10958" spans="6:6" x14ac:dyDescent="0.3">
      <c r="F10958" s="193"/>
    </row>
    <row r="10959" spans="6:6" x14ac:dyDescent="0.3">
      <c r="F10959" s="193"/>
    </row>
    <row r="10960" spans="6:6" x14ac:dyDescent="0.3">
      <c r="F10960" s="193"/>
    </row>
    <row r="10961" spans="6:6" x14ac:dyDescent="0.3">
      <c r="F10961" s="193"/>
    </row>
    <row r="10962" spans="6:6" x14ac:dyDescent="0.3">
      <c r="F10962" s="193"/>
    </row>
    <row r="10963" spans="6:6" x14ac:dyDescent="0.3">
      <c r="F10963" s="193"/>
    </row>
    <row r="10964" spans="6:6" x14ac:dyDescent="0.3">
      <c r="F10964" s="193"/>
    </row>
    <row r="10965" spans="6:6" x14ac:dyDescent="0.3">
      <c r="F10965" s="193"/>
    </row>
    <row r="10966" spans="6:6" x14ac:dyDescent="0.3">
      <c r="F10966" s="193"/>
    </row>
    <row r="10967" spans="6:6" x14ac:dyDescent="0.3">
      <c r="F10967" s="193"/>
    </row>
    <row r="10968" spans="6:6" x14ac:dyDescent="0.3">
      <c r="F10968" s="193"/>
    </row>
    <row r="10969" spans="6:6" x14ac:dyDescent="0.3">
      <c r="F10969" s="193"/>
    </row>
    <row r="10970" spans="6:6" x14ac:dyDescent="0.3">
      <c r="F10970" s="193"/>
    </row>
    <row r="10971" spans="6:6" x14ac:dyDescent="0.3">
      <c r="F10971" s="193"/>
    </row>
    <row r="10972" spans="6:6" x14ac:dyDescent="0.3">
      <c r="F10972" s="193"/>
    </row>
    <row r="10973" spans="6:6" x14ac:dyDescent="0.3">
      <c r="F10973" s="193"/>
    </row>
    <row r="10974" spans="6:6" x14ac:dyDescent="0.3">
      <c r="F10974" s="193"/>
    </row>
    <row r="10975" spans="6:6" x14ac:dyDescent="0.3">
      <c r="F10975" s="193"/>
    </row>
    <row r="10976" spans="6:6" x14ac:dyDescent="0.3">
      <c r="F10976" s="193"/>
    </row>
    <row r="10977" spans="6:6" x14ac:dyDescent="0.3">
      <c r="F10977" s="193"/>
    </row>
    <row r="10978" spans="6:6" x14ac:dyDescent="0.3">
      <c r="F10978" s="193"/>
    </row>
    <row r="10979" spans="6:6" x14ac:dyDescent="0.3">
      <c r="F10979" s="193"/>
    </row>
    <row r="10980" spans="6:6" x14ac:dyDescent="0.3">
      <c r="F10980" s="193"/>
    </row>
    <row r="10981" spans="6:6" x14ac:dyDescent="0.3">
      <c r="F10981" s="193"/>
    </row>
    <row r="10982" spans="6:6" x14ac:dyDescent="0.3">
      <c r="F10982" s="193"/>
    </row>
    <row r="10983" spans="6:6" x14ac:dyDescent="0.3">
      <c r="F10983" s="193"/>
    </row>
    <row r="10984" spans="6:6" x14ac:dyDescent="0.3">
      <c r="F10984" s="193"/>
    </row>
    <row r="10985" spans="6:6" x14ac:dyDescent="0.3">
      <c r="F10985" s="193"/>
    </row>
    <row r="10986" spans="6:6" x14ac:dyDescent="0.3">
      <c r="F10986" s="193"/>
    </row>
    <row r="10987" spans="6:6" x14ac:dyDescent="0.3">
      <c r="F10987" s="193"/>
    </row>
    <row r="10988" spans="6:6" x14ac:dyDescent="0.3">
      <c r="F10988" s="193"/>
    </row>
    <row r="10989" spans="6:6" x14ac:dyDescent="0.3">
      <c r="F10989" s="193"/>
    </row>
    <row r="10990" spans="6:6" x14ac:dyDescent="0.3">
      <c r="F10990" s="193"/>
    </row>
    <row r="10991" spans="6:6" x14ac:dyDescent="0.3">
      <c r="F10991" s="193"/>
    </row>
    <row r="10992" spans="6:6" x14ac:dyDescent="0.3">
      <c r="F10992" s="193"/>
    </row>
    <row r="10993" spans="6:6" x14ac:dyDescent="0.3">
      <c r="F10993" s="193"/>
    </row>
    <row r="10994" spans="6:6" x14ac:dyDescent="0.3">
      <c r="F10994" s="193"/>
    </row>
    <row r="10995" spans="6:6" x14ac:dyDescent="0.3">
      <c r="F10995" s="193"/>
    </row>
    <row r="10996" spans="6:6" x14ac:dyDescent="0.3">
      <c r="F10996" s="193"/>
    </row>
    <row r="10997" spans="6:6" x14ac:dyDescent="0.3">
      <c r="F10997" s="193"/>
    </row>
    <row r="10998" spans="6:6" x14ac:dyDescent="0.3">
      <c r="F10998" s="193"/>
    </row>
    <row r="10999" spans="6:6" x14ac:dyDescent="0.3">
      <c r="F10999" s="193"/>
    </row>
    <row r="11000" spans="6:6" x14ac:dyDescent="0.3">
      <c r="F11000" s="193"/>
    </row>
    <row r="11001" spans="6:6" x14ac:dyDescent="0.3">
      <c r="F11001" s="193"/>
    </row>
    <row r="11002" spans="6:6" x14ac:dyDescent="0.3">
      <c r="F11002" s="193"/>
    </row>
    <row r="11003" spans="6:6" x14ac:dyDescent="0.3">
      <c r="F11003" s="193"/>
    </row>
    <row r="11004" spans="6:6" x14ac:dyDescent="0.3">
      <c r="F11004" s="193"/>
    </row>
    <row r="11005" spans="6:6" x14ac:dyDescent="0.3">
      <c r="F11005" s="193"/>
    </row>
    <row r="11006" spans="6:6" x14ac:dyDescent="0.3">
      <c r="F11006" s="193"/>
    </row>
    <row r="11007" spans="6:6" x14ac:dyDescent="0.3">
      <c r="F11007" s="193"/>
    </row>
    <row r="11008" spans="6:6" x14ac:dyDescent="0.3">
      <c r="F11008" s="193"/>
    </row>
    <row r="11009" spans="6:6" x14ac:dyDescent="0.3">
      <c r="F11009" s="193"/>
    </row>
    <row r="11010" spans="6:6" x14ac:dyDescent="0.3">
      <c r="F11010" s="193"/>
    </row>
    <row r="11011" spans="6:6" x14ac:dyDescent="0.3">
      <c r="F11011" s="193"/>
    </row>
    <row r="11012" spans="6:6" x14ac:dyDescent="0.3">
      <c r="F11012" s="193"/>
    </row>
    <row r="11013" spans="6:6" x14ac:dyDescent="0.3">
      <c r="F11013" s="193"/>
    </row>
    <row r="11014" spans="6:6" x14ac:dyDescent="0.3">
      <c r="F11014" s="193"/>
    </row>
    <row r="11015" spans="6:6" x14ac:dyDescent="0.3">
      <c r="F11015" s="193"/>
    </row>
    <row r="11016" spans="6:6" x14ac:dyDescent="0.3">
      <c r="F11016" s="193"/>
    </row>
    <row r="11017" spans="6:6" x14ac:dyDescent="0.3">
      <c r="F11017" s="193"/>
    </row>
    <row r="11018" spans="6:6" x14ac:dyDescent="0.3">
      <c r="F11018" s="193"/>
    </row>
    <row r="11019" spans="6:6" x14ac:dyDescent="0.3">
      <c r="F11019" s="193"/>
    </row>
    <row r="11020" spans="6:6" x14ac:dyDescent="0.3">
      <c r="F11020" s="193"/>
    </row>
    <row r="11021" spans="6:6" x14ac:dyDescent="0.3">
      <c r="F11021" s="193"/>
    </row>
    <row r="11022" spans="6:6" x14ac:dyDescent="0.3">
      <c r="F11022" s="193"/>
    </row>
    <row r="11023" spans="6:6" x14ac:dyDescent="0.3">
      <c r="F11023" s="193"/>
    </row>
    <row r="11024" spans="6:6" x14ac:dyDescent="0.3">
      <c r="F11024" s="193"/>
    </row>
    <row r="11025" spans="6:6" x14ac:dyDescent="0.3">
      <c r="F11025" s="193"/>
    </row>
    <row r="11026" spans="6:6" x14ac:dyDescent="0.3">
      <c r="F11026" s="193"/>
    </row>
    <row r="11027" spans="6:6" x14ac:dyDescent="0.3">
      <c r="F11027" s="193"/>
    </row>
    <row r="11028" spans="6:6" x14ac:dyDescent="0.3">
      <c r="F11028" s="193"/>
    </row>
    <row r="11029" spans="6:6" x14ac:dyDescent="0.3">
      <c r="F11029" s="193"/>
    </row>
    <row r="11030" spans="6:6" x14ac:dyDescent="0.3">
      <c r="F11030" s="193"/>
    </row>
    <row r="11031" spans="6:6" x14ac:dyDescent="0.3">
      <c r="F11031" s="193"/>
    </row>
    <row r="11032" spans="6:6" x14ac:dyDescent="0.3">
      <c r="F11032" s="193"/>
    </row>
    <row r="11033" spans="6:6" x14ac:dyDescent="0.3">
      <c r="F11033" s="193"/>
    </row>
    <row r="11034" spans="6:6" x14ac:dyDescent="0.3">
      <c r="F11034" s="193"/>
    </row>
    <row r="11035" spans="6:6" x14ac:dyDescent="0.3">
      <c r="F11035" s="193"/>
    </row>
    <row r="11036" spans="6:6" x14ac:dyDescent="0.3">
      <c r="F11036" s="193"/>
    </row>
    <row r="11037" spans="6:6" x14ac:dyDescent="0.3">
      <c r="F11037" s="193"/>
    </row>
    <row r="11038" spans="6:6" x14ac:dyDescent="0.3">
      <c r="F11038" s="193"/>
    </row>
    <row r="11039" spans="6:6" x14ac:dyDescent="0.3">
      <c r="F11039" s="193"/>
    </row>
    <row r="11040" spans="6:6" x14ac:dyDescent="0.3">
      <c r="F11040" s="193"/>
    </row>
    <row r="11041" spans="6:6" x14ac:dyDescent="0.3">
      <c r="F11041" s="193"/>
    </row>
    <row r="11042" spans="6:6" x14ac:dyDescent="0.3">
      <c r="F11042" s="193"/>
    </row>
    <row r="11043" spans="6:6" x14ac:dyDescent="0.3">
      <c r="F11043" s="193"/>
    </row>
    <row r="11044" spans="6:6" x14ac:dyDescent="0.3">
      <c r="F11044" s="193"/>
    </row>
    <row r="11045" spans="6:6" x14ac:dyDescent="0.3">
      <c r="F11045" s="193"/>
    </row>
    <row r="11046" spans="6:6" x14ac:dyDescent="0.3">
      <c r="F11046" s="193"/>
    </row>
    <row r="11047" spans="6:6" x14ac:dyDescent="0.3">
      <c r="F11047" s="193"/>
    </row>
    <row r="11048" spans="6:6" x14ac:dyDescent="0.3">
      <c r="F11048" s="193"/>
    </row>
    <row r="11049" spans="6:6" x14ac:dyDescent="0.3">
      <c r="F11049" s="193"/>
    </row>
    <row r="11050" spans="6:6" x14ac:dyDescent="0.3">
      <c r="F11050" s="193"/>
    </row>
    <row r="11051" spans="6:6" x14ac:dyDescent="0.3">
      <c r="F11051" s="193"/>
    </row>
    <row r="11052" spans="6:6" x14ac:dyDescent="0.3">
      <c r="F11052" s="193"/>
    </row>
    <row r="11053" spans="6:6" x14ac:dyDescent="0.3">
      <c r="F11053" s="193"/>
    </row>
    <row r="11054" spans="6:6" x14ac:dyDescent="0.3">
      <c r="F11054" s="193"/>
    </row>
    <row r="11055" spans="6:6" x14ac:dyDescent="0.3">
      <c r="F11055" s="193"/>
    </row>
    <row r="11056" spans="6:6" x14ac:dyDescent="0.3">
      <c r="F11056" s="193"/>
    </row>
    <row r="11057" spans="6:6" x14ac:dyDescent="0.3">
      <c r="F11057" s="193"/>
    </row>
    <row r="11058" spans="6:6" x14ac:dyDescent="0.3">
      <c r="F11058" s="193"/>
    </row>
    <row r="11059" spans="6:6" x14ac:dyDescent="0.3">
      <c r="F11059" s="193"/>
    </row>
    <row r="11060" spans="6:6" x14ac:dyDescent="0.3">
      <c r="F11060" s="193"/>
    </row>
    <row r="11061" spans="6:6" x14ac:dyDescent="0.3">
      <c r="F11061" s="193"/>
    </row>
    <row r="11062" spans="6:6" x14ac:dyDescent="0.3">
      <c r="F11062" s="193"/>
    </row>
    <row r="11063" spans="6:6" x14ac:dyDescent="0.3">
      <c r="F11063" s="193"/>
    </row>
    <row r="11064" spans="6:6" x14ac:dyDescent="0.3">
      <c r="F11064" s="193"/>
    </row>
    <row r="11065" spans="6:6" x14ac:dyDescent="0.3">
      <c r="F11065" s="193"/>
    </row>
    <row r="11066" spans="6:6" x14ac:dyDescent="0.3">
      <c r="F11066" s="193"/>
    </row>
    <row r="11067" spans="6:6" x14ac:dyDescent="0.3">
      <c r="F11067" s="193"/>
    </row>
    <row r="11068" spans="6:6" x14ac:dyDescent="0.3">
      <c r="F11068" s="193"/>
    </row>
    <row r="11069" spans="6:6" x14ac:dyDescent="0.3">
      <c r="F11069" s="193"/>
    </row>
    <row r="11070" spans="6:6" x14ac:dyDescent="0.3">
      <c r="F11070" s="193"/>
    </row>
    <row r="11071" spans="6:6" x14ac:dyDescent="0.3">
      <c r="F11071" s="193"/>
    </row>
    <row r="11072" spans="6:6" x14ac:dyDescent="0.3">
      <c r="F11072" s="193"/>
    </row>
    <row r="11073" spans="6:6" x14ac:dyDescent="0.3">
      <c r="F11073" s="193"/>
    </row>
    <row r="11074" spans="6:6" x14ac:dyDescent="0.3">
      <c r="F11074" s="193"/>
    </row>
    <row r="11075" spans="6:6" x14ac:dyDescent="0.3">
      <c r="F11075" s="193"/>
    </row>
    <row r="11076" spans="6:6" x14ac:dyDescent="0.3">
      <c r="F11076" s="193"/>
    </row>
    <row r="11077" spans="6:6" x14ac:dyDescent="0.3">
      <c r="F11077" s="193"/>
    </row>
    <row r="11078" spans="6:6" x14ac:dyDescent="0.3">
      <c r="F11078" s="193"/>
    </row>
    <row r="11079" spans="6:6" x14ac:dyDescent="0.3">
      <c r="F11079" s="193"/>
    </row>
    <row r="11080" spans="6:6" x14ac:dyDescent="0.3">
      <c r="F11080" s="193"/>
    </row>
    <row r="11081" spans="6:6" x14ac:dyDescent="0.3">
      <c r="F11081" s="193"/>
    </row>
    <row r="11082" spans="6:6" x14ac:dyDescent="0.3">
      <c r="F11082" s="193"/>
    </row>
    <row r="11083" spans="6:6" x14ac:dyDescent="0.3">
      <c r="F11083" s="193"/>
    </row>
    <row r="11084" spans="6:6" x14ac:dyDescent="0.3">
      <c r="F11084" s="193"/>
    </row>
    <row r="11085" spans="6:6" x14ac:dyDescent="0.3">
      <c r="F11085" s="193"/>
    </row>
    <row r="11086" spans="6:6" x14ac:dyDescent="0.3">
      <c r="F11086" s="193"/>
    </row>
    <row r="11087" spans="6:6" x14ac:dyDescent="0.3">
      <c r="F11087" s="193"/>
    </row>
    <row r="11088" spans="6:6" x14ac:dyDescent="0.3">
      <c r="F11088" s="193"/>
    </row>
    <row r="11089" spans="6:6" x14ac:dyDescent="0.3">
      <c r="F11089" s="193"/>
    </row>
    <row r="11090" spans="6:6" x14ac:dyDescent="0.3">
      <c r="F11090" s="193"/>
    </row>
    <row r="11091" spans="6:6" x14ac:dyDescent="0.3">
      <c r="F11091" s="193"/>
    </row>
    <row r="11092" spans="6:6" x14ac:dyDescent="0.3">
      <c r="F11092" s="193"/>
    </row>
    <row r="11093" spans="6:6" x14ac:dyDescent="0.3">
      <c r="F11093" s="193"/>
    </row>
    <row r="11094" spans="6:6" x14ac:dyDescent="0.3">
      <c r="F11094" s="193"/>
    </row>
    <row r="11095" spans="6:6" x14ac:dyDescent="0.3">
      <c r="F11095" s="193"/>
    </row>
    <row r="11096" spans="6:6" x14ac:dyDescent="0.3">
      <c r="F11096" s="193"/>
    </row>
    <row r="11097" spans="6:6" x14ac:dyDescent="0.3">
      <c r="F11097" s="193"/>
    </row>
    <row r="11098" spans="6:6" x14ac:dyDescent="0.3">
      <c r="F11098" s="193"/>
    </row>
    <row r="11099" spans="6:6" x14ac:dyDescent="0.3">
      <c r="F11099" s="193"/>
    </row>
    <row r="11100" spans="6:6" x14ac:dyDescent="0.3">
      <c r="F11100" s="193"/>
    </row>
    <row r="11101" spans="6:6" x14ac:dyDescent="0.3">
      <c r="F11101" s="193"/>
    </row>
    <row r="11102" spans="6:6" x14ac:dyDescent="0.3">
      <c r="F11102" s="193"/>
    </row>
    <row r="11103" spans="6:6" x14ac:dyDescent="0.3">
      <c r="F11103" s="193"/>
    </row>
    <row r="11104" spans="6:6" x14ac:dyDescent="0.3">
      <c r="F11104" s="193"/>
    </row>
    <row r="11105" spans="6:6" x14ac:dyDescent="0.3">
      <c r="F11105" s="193"/>
    </row>
    <row r="11106" spans="6:6" x14ac:dyDescent="0.3">
      <c r="F11106" s="193"/>
    </row>
    <row r="11107" spans="6:6" x14ac:dyDescent="0.3">
      <c r="F11107" s="193"/>
    </row>
    <row r="11108" spans="6:6" x14ac:dyDescent="0.3">
      <c r="F11108" s="193"/>
    </row>
    <row r="11109" spans="6:6" x14ac:dyDescent="0.3">
      <c r="F11109" s="193"/>
    </row>
    <row r="11110" spans="6:6" x14ac:dyDescent="0.3">
      <c r="F11110" s="193"/>
    </row>
    <row r="11111" spans="6:6" x14ac:dyDescent="0.3">
      <c r="F11111" s="193"/>
    </row>
    <row r="11112" spans="6:6" x14ac:dyDescent="0.3">
      <c r="F11112" s="193"/>
    </row>
    <row r="11113" spans="6:6" x14ac:dyDescent="0.3">
      <c r="F11113" s="193"/>
    </row>
    <row r="11114" spans="6:6" x14ac:dyDescent="0.3">
      <c r="F11114" s="193"/>
    </row>
    <row r="11115" spans="6:6" x14ac:dyDescent="0.3">
      <c r="F11115" s="193"/>
    </row>
    <row r="11116" spans="6:6" x14ac:dyDescent="0.3">
      <c r="F11116" s="193"/>
    </row>
    <row r="11117" spans="6:6" x14ac:dyDescent="0.3">
      <c r="F11117" s="193"/>
    </row>
    <row r="11118" spans="6:6" x14ac:dyDescent="0.3">
      <c r="F11118" s="193"/>
    </row>
    <row r="11119" spans="6:6" x14ac:dyDescent="0.3">
      <c r="F11119" s="193"/>
    </row>
    <row r="11120" spans="6:6" x14ac:dyDescent="0.3">
      <c r="F11120" s="193"/>
    </row>
    <row r="11121" spans="6:6" x14ac:dyDescent="0.3">
      <c r="F11121" s="193"/>
    </row>
    <row r="11122" spans="6:6" x14ac:dyDescent="0.3">
      <c r="F11122" s="193"/>
    </row>
    <row r="11123" spans="6:6" x14ac:dyDescent="0.3">
      <c r="F11123" s="193"/>
    </row>
    <row r="11124" spans="6:6" x14ac:dyDescent="0.3">
      <c r="F11124" s="193"/>
    </row>
    <row r="11125" spans="6:6" x14ac:dyDescent="0.3">
      <c r="F11125" s="193"/>
    </row>
    <row r="11126" spans="6:6" x14ac:dyDescent="0.3">
      <c r="F11126" s="193"/>
    </row>
    <row r="11127" spans="6:6" x14ac:dyDescent="0.3">
      <c r="F11127" s="193"/>
    </row>
    <row r="11128" spans="6:6" x14ac:dyDescent="0.3">
      <c r="F11128" s="193"/>
    </row>
    <row r="11129" spans="6:6" x14ac:dyDescent="0.3">
      <c r="F11129" s="193"/>
    </row>
    <row r="11130" spans="6:6" x14ac:dyDescent="0.3">
      <c r="F11130" s="193"/>
    </row>
    <row r="11131" spans="6:6" x14ac:dyDescent="0.3">
      <c r="F11131" s="193"/>
    </row>
    <row r="11132" spans="6:6" x14ac:dyDescent="0.3">
      <c r="F11132" s="193"/>
    </row>
    <row r="11133" spans="6:6" x14ac:dyDescent="0.3">
      <c r="F11133" s="193"/>
    </row>
    <row r="11134" spans="6:6" x14ac:dyDescent="0.3">
      <c r="F11134" s="193"/>
    </row>
    <row r="11135" spans="6:6" x14ac:dyDescent="0.3">
      <c r="F11135" s="193"/>
    </row>
    <row r="11136" spans="6:6" x14ac:dyDescent="0.3">
      <c r="F11136" s="193"/>
    </row>
    <row r="11137" spans="6:6" x14ac:dyDescent="0.3">
      <c r="F11137" s="193"/>
    </row>
    <row r="11138" spans="6:6" x14ac:dyDescent="0.3">
      <c r="F11138" s="193"/>
    </row>
    <row r="11139" spans="6:6" x14ac:dyDescent="0.3">
      <c r="F11139" s="193"/>
    </row>
    <row r="11140" spans="6:6" x14ac:dyDescent="0.3">
      <c r="F11140" s="193"/>
    </row>
    <row r="11141" spans="6:6" x14ac:dyDescent="0.3">
      <c r="F11141" s="193"/>
    </row>
    <row r="11142" spans="6:6" x14ac:dyDescent="0.3">
      <c r="F11142" s="193"/>
    </row>
    <row r="11143" spans="6:6" x14ac:dyDescent="0.3">
      <c r="F11143" s="193"/>
    </row>
    <row r="11144" spans="6:6" x14ac:dyDescent="0.3">
      <c r="F11144" s="193"/>
    </row>
    <row r="11145" spans="6:6" x14ac:dyDescent="0.3">
      <c r="F11145" s="193"/>
    </row>
    <row r="11146" spans="6:6" x14ac:dyDescent="0.3">
      <c r="F11146" s="193"/>
    </row>
    <row r="11147" spans="6:6" x14ac:dyDescent="0.3">
      <c r="F11147" s="193"/>
    </row>
    <row r="11148" spans="6:6" x14ac:dyDescent="0.3">
      <c r="F11148" s="193"/>
    </row>
    <row r="11149" spans="6:6" x14ac:dyDescent="0.3">
      <c r="F11149" s="193"/>
    </row>
    <row r="11150" spans="6:6" x14ac:dyDescent="0.3">
      <c r="F11150" s="193"/>
    </row>
    <row r="11151" spans="6:6" x14ac:dyDescent="0.3">
      <c r="F11151" s="193"/>
    </row>
    <row r="11152" spans="6:6" x14ac:dyDescent="0.3">
      <c r="F11152" s="193"/>
    </row>
    <row r="11153" spans="6:6" x14ac:dyDescent="0.3">
      <c r="F11153" s="193"/>
    </row>
    <row r="11154" spans="6:6" x14ac:dyDescent="0.3">
      <c r="F11154" s="193"/>
    </row>
    <row r="11155" spans="6:6" x14ac:dyDescent="0.3">
      <c r="F11155" s="193"/>
    </row>
    <row r="11156" spans="6:6" x14ac:dyDescent="0.3">
      <c r="F11156" s="193"/>
    </row>
    <row r="11157" spans="6:6" x14ac:dyDescent="0.3">
      <c r="F11157" s="193"/>
    </row>
    <row r="11158" spans="6:6" x14ac:dyDescent="0.3">
      <c r="F11158" s="193"/>
    </row>
    <row r="11159" spans="6:6" x14ac:dyDescent="0.3">
      <c r="F11159" s="193"/>
    </row>
    <row r="11160" spans="6:6" x14ac:dyDescent="0.3">
      <c r="F11160" s="193"/>
    </row>
    <row r="11161" spans="6:6" x14ac:dyDescent="0.3">
      <c r="F11161" s="193"/>
    </row>
    <row r="11162" spans="6:6" x14ac:dyDescent="0.3">
      <c r="F11162" s="193"/>
    </row>
    <row r="11163" spans="6:6" x14ac:dyDescent="0.3">
      <c r="F11163" s="193"/>
    </row>
    <row r="11164" spans="6:6" x14ac:dyDescent="0.3">
      <c r="F11164" s="193"/>
    </row>
    <row r="11165" spans="6:6" x14ac:dyDescent="0.3">
      <c r="F11165" s="193"/>
    </row>
    <row r="11166" spans="6:6" x14ac:dyDescent="0.3">
      <c r="F11166" s="193"/>
    </row>
    <row r="11167" spans="6:6" x14ac:dyDescent="0.3">
      <c r="F11167" s="193"/>
    </row>
    <row r="11168" spans="6:6" x14ac:dyDescent="0.3">
      <c r="F11168" s="193"/>
    </row>
    <row r="11169" spans="6:6" x14ac:dyDescent="0.3">
      <c r="F11169" s="193"/>
    </row>
    <row r="11170" spans="6:6" x14ac:dyDescent="0.3">
      <c r="F11170" s="193"/>
    </row>
    <row r="11171" spans="6:6" x14ac:dyDescent="0.3">
      <c r="F11171" s="193"/>
    </row>
    <row r="11172" spans="6:6" x14ac:dyDescent="0.3">
      <c r="F11172" s="193"/>
    </row>
    <row r="11173" spans="6:6" x14ac:dyDescent="0.3">
      <c r="F11173" s="193"/>
    </row>
    <row r="11174" spans="6:6" x14ac:dyDescent="0.3">
      <c r="F11174" s="193"/>
    </row>
    <row r="11175" spans="6:6" x14ac:dyDescent="0.3">
      <c r="F11175" s="193"/>
    </row>
    <row r="11176" spans="6:6" x14ac:dyDescent="0.3">
      <c r="F11176" s="193"/>
    </row>
    <row r="11177" spans="6:6" x14ac:dyDescent="0.3">
      <c r="F11177" s="193"/>
    </row>
    <row r="11178" spans="6:6" x14ac:dyDescent="0.3">
      <c r="F11178" s="193"/>
    </row>
    <row r="11179" spans="6:6" x14ac:dyDescent="0.3">
      <c r="F11179" s="193"/>
    </row>
    <row r="11180" spans="6:6" x14ac:dyDescent="0.3">
      <c r="F11180" s="193"/>
    </row>
    <row r="11181" spans="6:6" x14ac:dyDescent="0.3">
      <c r="F11181" s="193"/>
    </row>
    <row r="11182" spans="6:6" x14ac:dyDescent="0.3">
      <c r="F11182" s="193"/>
    </row>
    <row r="11183" spans="6:6" x14ac:dyDescent="0.3">
      <c r="F11183" s="193"/>
    </row>
    <row r="11184" spans="6:6" x14ac:dyDescent="0.3">
      <c r="F11184" s="193"/>
    </row>
    <row r="11185" spans="6:6" x14ac:dyDescent="0.3">
      <c r="F11185" s="193"/>
    </row>
    <row r="11186" spans="6:6" x14ac:dyDescent="0.3">
      <c r="F11186" s="193"/>
    </row>
    <row r="11187" spans="6:6" x14ac:dyDescent="0.3">
      <c r="F11187" s="193"/>
    </row>
    <row r="11188" spans="6:6" x14ac:dyDescent="0.3">
      <c r="F11188" s="193"/>
    </row>
    <row r="11189" spans="6:6" x14ac:dyDescent="0.3">
      <c r="F11189" s="193"/>
    </row>
    <row r="11190" spans="6:6" x14ac:dyDescent="0.3">
      <c r="F11190" s="193"/>
    </row>
    <row r="11191" spans="6:6" x14ac:dyDescent="0.3">
      <c r="F11191" s="193"/>
    </row>
    <row r="11192" spans="6:6" x14ac:dyDescent="0.3">
      <c r="F11192" s="193"/>
    </row>
    <row r="11193" spans="6:6" x14ac:dyDescent="0.3">
      <c r="F11193" s="193"/>
    </row>
    <row r="11194" spans="6:6" x14ac:dyDescent="0.3">
      <c r="F11194" s="193"/>
    </row>
    <row r="11195" spans="6:6" x14ac:dyDescent="0.3">
      <c r="F11195" s="193"/>
    </row>
    <row r="11196" spans="6:6" x14ac:dyDescent="0.3">
      <c r="F11196" s="193"/>
    </row>
    <row r="11197" spans="6:6" x14ac:dyDescent="0.3">
      <c r="F11197" s="193"/>
    </row>
    <row r="11198" spans="6:6" x14ac:dyDescent="0.3">
      <c r="F11198" s="193"/>
    </row>
    <row r="11199" spans="6:6" x14ac:dyDescent="0.3">
      <c r="F11199" s="193"/>
    </row>
    <row r="11200" spans="6:6" x14ac:dyDescent="0.3">
      <c r="F11200" s="193"/>
    </row>
    <row r="11201" spans="6:6" x14ac:dyDescent="0.3">
      <c r="F11201" s="193"/>
    </row>
    <row r="11202" spans="6:6" x14ac:dyDescent="0.3">
      <c r="F11202" s="193"/>
    </row>
    <row r="11203" spans="6:6" x14ac:dyDescent="0.3">
      <c r="F11203" s="193"/>
    </row>
    <row r="11204" spans="6:6" x14ac:dyDescent="0.3">
      <c r="F11204" s="193"/>
    </row>
    <row r="11205" spans="6:6" x14ac:dyDescent="0.3">
      <c r="F11205" s="193"/>
    </row>
    <row r="11206" spans="6:6" x14ac:dyDescent="0.3">
      <c r="F11206" s="193"/>
    </row>
    <row r="11207" spans="6:6" x14ac:dyDescent="0.3">
      <c r="F11207" s="193"/>
    </row>
    <row r="11208" spans="6:6" x14ac:dyDescent="0.3">
      <c r="F11208" s="193"/>
    </row>
    <row r="11209" spans="6:6" x14ac:dyDescent="0.3">
      <c r="F11209" s="193"/>
    </row>
    <row r="11210" spans="6:6" x14ac:dyDescent="0.3">
      <c r="F11210" s="193"/>
    </row>
    <row r="11211" spans="6:6" x14ac:dyDescent="0.3">
      <c r="F11211" s="193"/>
    </row>
    <row r="11212" spans="6:6" x14ac:dyDescent="0.3">
      <c r="F11212" s="193"/>
    </row>
    <row r="11213" spans="6:6" x14ac:dyDescent="0.3">
      <c r="F11213" s="193"/>
    </row>
    <row r="11214" spans="6:6" x14ac:dyDescent="0.3">
      <c r="F11214" s="193"/>
    </row>
    <row r="11215" spans="6:6" x14ac:dyDescent="0.3">
      <c r="F11215" s="193"/>
    </row>
    <row r="11216" spans="6:6" x14ac:dyDescent="0.3">
      <c r="F11216" s="193"/>
    </row>
    <row r="11217" spans="6:6" x14ac:dyDescent="0.3">
      <c r="F11217" s="193"/>
    </row>
    <row r="11218" spans="6:6" x14ac:dyDescent="0.3">
      <c r="F11218" s="193"/>
    </row>
    <row r="11219" spans="6:6" x14ac:dyDescent="0.3">
      <c r="F11219" s="193"/>
    </row>
    <row r="11220" spans="6:6" x14ac:dyDescent="0.3">
      <c r="F11220" s="193"/>
    </row>
    <row r="11221" spans="6:6" x14ac:dyDescent="0.3">
      <c r="F11221" s="193"/>
    </row>
    <row r="11222" spans="6:6" x14ac:dyDescent="0.3">
      <c r="F11222" s="193"/>
    </row>
    <row r="11223" spans="6:6" x14ac:dyDescent="0.3">
      <c r="F11223" s="193"/>
    </row>
    <row r="11224" spans="6:6" x14ac:dyDescent="0.3">
      <c r="F11224" s="193"/>
    </row>
    <row r="11225" spans="6:6" x14ac:dyDescent="0.3">
      <c r="F11225" s="193"/>
    </row>
    <row r="11226" spans="6:6" x14ac:dyDescent="0.3">
      <c r="F11226" s="193"/>
    </row>
    <row r="11227" spans="6:6" x14ac:dyDescent="0.3">
      <c r="F11227" s="193"/>
    </row>
    <row r="11228" spans="6:6" x14ac:dyDescent="0.3">
      <c r="F11228" s="193"/>
    </row>
    <row r="11229" spans="6:6" x14ac:dyDescent="0.3">
      <c r="F11229" s="193"/>
    </row>
    <row r="11230" spans="6:6" x14ac:dyDescent="0.3">
      <c r="F11230" s="193"/>
    </row>
    <row r="11231" spans="6:6" x14ac:dyDescent="0.3">
      <c r="F11231" s="193"/>
    </row>
    <row r="11232" spans="6:6" x14ac:dyDescent="0.3">
      <c r="F11232" s="193"/>
    </row>
    <row r="11233" spans="6:6" x14ac:dyDescent="0.3">
      <c r="F11233" s="193"/>
    </row>
    <row r="11234" spans="6:6" x14ac:dyDescent="0.3">
      <c r="F11234" s="193"/>
    </row>
    <row r="11235" spans="6:6" x14ac:dyDescent="0.3">
      <c r="F11235" s="193"/>
    </row>
    <row r="11236" spans="6:6" x14ac:dyDescent="0.3">
      <c r="F11236" s="193"/>
    </row>
    <row r="11237" spans="6:6" x14ac:dyDescent="0.3">
      <c r="F11237" s="193"/>
    </row>
    <row r="11238" spans="6:6" x14ac:dyDescent="0.3">
      <c r="F11238" s="193"/>
    </row>
    <row r="11239" spans="6:6" x14ac:dyDescent="0.3">
      <c r="F11239" s="193"/>
    </row>
    <row r="11240" spans="6:6" x14ac:dyDescent="0.3">
      <c r="F11240" s="193"/>
    </row>
    <row r="11241" spans="6:6" x14ac:dyDescent="0.3">
      <c r="F11241" s="193"/>
    </row>
    <row r="11242" spans="6:6" x14ac:dyDescent="0.3">
      <c r="F11242" s="193"/>
    </row>
    <row r="11243" spans="6:6" x14ac:dyDescent="0.3">
      <c r="F11243" s="193"/>
    </row>
    <row r="11244" spans="6:6" x14ac:dyDescent="0.3">
      <c r="F11244" s="193"/>
    </row>
    <row r="11245" spans="6:6" x14ac:dyDescent="0.3">
      <c r="F11245" s="193"/>
    </row>
    <row r="11246" spans="6:6" x14ac:dyDescent="0.3">
      <c r="F11246" s="193"/>
    </row>
    <row r="11247" spans="6:6" x14ac:dyDescent="0.3">
      <c r="F11247" s="193"/>
    </row>
    <row r="11248" spans="6:6" x14ac:dyDescent="0.3">
      <c r="F11248" s="193"/>
    </row>
    <row r="11249" spans="6:6" x14ac:dyDescent="0.3">
      <c r="F11249" s="193"/>
    </row>
    <row r="11250" spans="6:6" x14ac:dyDescent="0.3">
      <c r="F11250" s="193"/>
    </row>
    <row r="11251" spans="6:6" x14ac:dyDescent="0.3">
      <c r="F11251" s="193"/>
    </row>
    <row r="11252" spans="6:6" x14ac:dyDescent="0.3">
      <c r="F11252" s="193"/>
    </row>
    <row r="11253" spans="6:6" x14ac:dyDescent="0.3">
      <c r="F11253" s="193"/>
    </row>
    <row r="11254" spans="6:6" x14ac:dyDescent="0.3">
      <c r="F11254" s="193"/>
    </row>
    <row r="11255" spans="6:6" x14ac:dyDescent="0.3">
      <c r="F11255" s="193"/>
    </row>
    <row r="11256" spans="6:6" x14ac:dyDescent="0.3">
      <c r="F11256" s="193"/>
    </row>
    <row r="11257" spans="6:6" x14ac:dyDescent="0.3">
      <c r="F11257" s="193"/>
    </row>
    <row r="11258" spans="6:6" x14ac:dyDescent="0.3">
      <c r="F11258" s="193"/>
    </row>
    <row r="11259" spans="6:6" x14ac:dyDescent="0.3">
      <c r="F11259" s="193"/>
    </row>
    <row r="11260" spans="6:6" x14ac:dyDescent="0.3">
      <c r="F11260" s="193"/>
    </row>
    <row r="11261" spans="6:6" x14ac:dyDescent="0.3">
      <c r="F11261" s="193"/>
    </row>
    <row r="11262" spans="6:6" x14ac:dyDescent="0.3">
      <c r="F11262" s="193"/>
    </row>
    <row r="11263" spans="6:6" x14ac:dyDescent="0.3">
      <c r="F11263" s="193"/>
    </row>
    <row r="11264" spans="6:6" x14ac:dyDescent="0.3">
      <c r="F11264" s="193"/>
    </row>
    <row r="11265" spans="6:6" x14ac:dyDescent="0.3">
      <c r="F11265" s="193"/>
    </row>
    <row r="11266" spans="6:6" x14ac:dyDescent="0.3">
      <c r="F11266" s="193"/>
    </row>
    <row r="11267" spans="6:6" x14ac:dyDescent="0.3">
      <c r="F11267" s="193"/>
    </row>
    <row r="11268" spans="6:6" x14ac:dyDescent="0.3">
      <c r="F11268" s="193"/>
    </row>
    <row r="11269" spans="6:6" x14ac:dyDescent="0.3">
      <c r="F11269" s="193"/>
    </row>
    <row r="11270" spans="6:6" x14ac:dyDescent="0.3">
      <c r="F11270" s="193"/>
    </row>
    <row r="11271" spans="6:6" x14ac:dyDescent="0.3">
      <c r="F11271" s="193"/>
    </row>
    <row r="11272" spans="6:6" x14ac:dyDescent="0.3">
      <c r="F11272" s="193"/>
    </row>
    <row r="11273" spans="6:6" x14ac:dyDescent="0.3">
      <c r="F11273" s="193"/>
    </row>
    <row r="11274" spans="6:6" x14ac:dyDescent="0.3">
      <c r="F11274" s="193"/>
    </row>
    <row r="11275" spans="6:6" x14ac:dyDescent="0.3">
      <c r="F11275" s="193"/>
    </row>
    <row r="11276" spans="6:6" x14ac:dyDescent="0.3">
      <c r="F11276" s="193"/>
    </row>
    <row r="11277" spans="6:6" x14ac:dyDescent="0.3">
      <c r="F11277" s="193"/>
    </row>
    <row r="11278" spans="6:6" x14ac:dyDescent="0.3">
      <c r="F11278" s="193"/>
    </row>
    <row r="11279" spans="6:6" x14ac:dyDescent="0.3">
      <c r="F11279" s="193"/>
    </row>
    <row r="11280" spans="6:6" x14ac:dyDescent="0.3">
      <c r="F11280" s="193"/>
    </row>
    <row r="11281" spans="6:6" x14ac:dyDescent="0.3">
      <c r="F11281" s="193"/>
    </row>
    <row r="11282" spans="6:6" x14ac:dyDescent="0.3">
      <c r="F11282" s="193"/>
    </row>
    <row r="11283" spans="6:6" x14ac:dyDescent="0.3">
      <c r="F11283" s="193"/>
    </row>
    <row r="11284" spans="6:6" x14ac:dyDescent="0.3">
      <c r="F11284" s="193"/>
    </row>
    <row r="11285" spans="6:6" x14ac:dyDescent="0.3">
      <c r="F11285" s="193"/>
    </row>
    <row r="11286" spans="6:6" x14ac:dyDescent="0.3">
      <c r="F11286" s="193"/>
    </row>
    <row r="11287" spans="6:6" x14ac:dyDescent="0.3">
      <c r="F11287" s="193"/>
    </row>
    <row r="11288" spans="6:6" x14ac:dyDescent="0.3">
      <c r="F11288" s="193"/>
    </row>
    <row r="11289" spans="6:6" x14ac:dyDescent="0.3">
      <c r="F11289" s="193"/>
    </row>
    <row r="11290" spans="6:6" x14ac:dyDescent="0.3">
      <c r="F11290" s="193"/>
    </row>
    <row r="11291" spans="6:6" x14ac:dyDescent="0.3">
      <c r="F11291" s="193"/>
    </row>
    <row r="11292" spans="6:6" x14ac:dyDescent="0.3">
      <c r="F11292" s="193"/>
    </row>
    <row r="11293" spans="6:6" x14ac:dyDescent="0.3">
      <c r="F11293" s="193"/>
    </row>
    <row r="11294" spans="6:6" x14ac:dyDescent="0.3">
      <c r="F11294" s="193"/>
    </row>
    <row r="11295" spans="6:6" x14ac:dyDescent="0.3">
      <c r="F11295" s="193"/>
    </row>
    <row r="11296" spans="6:6" x14ac:dyDescent="0.3">
      <c r="F11296" s="193"/>
    </row>
    <row r="11297" spans="6:6" x14ac:dyDescent="0.3">
      <c r="F11297" s="193"/>
    </row>
    <row r="11298" spans="6:6" x14ac:dyDescent="0.3">
      <c r="F11298" s="193"/>
    </row>
    <row r="11299" spans="6:6" x14ac:dyDescent="0.3">
      <c r="F11299" s="193"/>
    </row>
    <row r="11300" spans="6:6" x14ac:dyDescent="0.3">
      <c r="F11300" s="193"/>
    </row>
    <row r="11301" spans="6:6" x14ac:dyDescent="0.3">
      <c r="F11301" s="193"/>
    </row>
    <row r="11302" spans="6:6" x14ac:dyDescent="0.3">
      <c r="F11302" s="193"/>
    </row>
    <row r="11303" spans="6:6" x14ac:dyDescent="0.3">
      <c r="F11303" s="193"/>
    </row>
    <row r="11304" spans="6:6" x14ac:dyDescent="0.3">
      <c r="F11304" s="193"/>
    </row>
    <row r="11305" spans="6:6" x14ac:dyDescent="0.3">
      <c r="F11305" s="193"/>
    </row>
    <row r="11306" spans="6:6" x14ac:dyDescent="0.3">
      <c r="F11306" s="193"/>
    </row>
    <row r="11307" spans="6:6" x14ac:dyDescent="0.3">
      <c r="F11307" s="193"/>
    </row>
    <row r="11308" spans="6:6" x14ac:dyDescent="0.3">
      <c r="F11308" s="193"/>
    </row>
    <row r="11309" spans="6:6" x14ac:dyDescent="0.3">
      <c r="F11309" s="193"/>
    </row>
    <row r="11310" spans="6:6" x14ac:dyDescent="0.3">
      <c r="F11310" s="193"/>
    </row>
    <row r="11311" spans="6:6" x14ac:dyDescent="0.3">
      <c r="F11311" s="193"/>
    </row>
    <row r="11312" spans="6:6" x14ac:dyDescent="0.3">
      <c r="F11312" s="193"/>
    </row>
    <row r="11313" spans="6:6" x14ac:dyDescent="0.3">
      <c r="F11313" s="193"/>
    </row>
    <row r="11314" spans="6:6" x14ac:dyDescent="0.3">
      <c r="F11314" s="193"/>
    </row>
    <row r="11315" spans="6:6" x14ac:dyDescent="0.3">
      <c r="F11315" s="193"/>
    </row>
    <row r="11316" spans="6:6" x14ac:dyDescent="0.3">
      <c r="F11316" s="193"/>
    </row>
    <row r="11317" spans="6:6" x14ac:dyDescent="0.3">
      <c r="F11317" s="193"/>
    </row>
    <row r="11318" spans="6:6" x14ac:dyDescent="0.3">
      <c r="F11318" s="193"/>
    </row>
    <row r="11319" spans="6:6" x14ac:dyDescent="0.3">
      <c r="F11319" s="193"/>
    </row>
    <row r="11320" spans="6:6" x14ac:dyDescent="0.3">
      <c r="F11320" s="193"/>
    </row>
    <row r="11321" spans="6:6" x14ac:dyDescent="0.3">
      <c r="F11321" s="193"/>
    </row>
    <row r="11322" spans="6:6" x14ac:dyDescent="0.3">
      <c r="F11322" s="193"/>
    </row>
    <row r="11323" spans="6:6" x14ac:dyDescent="0.3">
      <c r="F11323" s="193"/>
    </row>
    <row r="11324" spans="6:6" x14ac:dyDescent="0.3">
      <c r="F11324" s="193"/>
    </row>
    <row r="11325" spans="6:6" x14ac:dyDescent="0.3">
      <c r="F11325" s="193"/>
    </row>
    <row r="11326" spans="6:6" x14ac:dyDescent="0.3">
      <c r="F11326" s="193"/>
    </row>
    <row r="11327" spans="6:6" x14ac:dyDescent="0.3">
      <c r="F11327" s="193"/>
    </row>
    <row r="11328" spans="6:6" x14ac:dyDescent="0.3">
      <c r="F11328" s="193"/>
    </row>
    <row r="11329" spans="6:6" x14ac:dyDescent="0.3">
      <c r="F11329" s="193"/>
    </row>
    <row r="11330" spans="6:6" x14ac:dyDescent="0.3">
      <c r="F11330" s="193"/>
    </row>
    <row r="11331" spans="6:6" x14ac:dyDescent="0.3">
      <c r="F11331" s="193"/>
    </row>
    <row r="11332" spans="6:6" x14ac:dyDescent="0.3">
      <c r="F11332" s="193"/>
    </row>
    <row r="11333" spans="6:6" x14ac:dyDescent="0.3">
      <c r="F11333" s="193"/>
    </row>
    <row r="11334" spans="6:6" x14ac:dyDescent="0.3">
      <c r="F11334" s="193"/>
    </row>
    <row r="11335" spans="6:6" x14ac:dyDescent="0.3">
      <c r="F11335" s="193"/>
    </row>
    <row r="11336" spans="6:6" x14ac:dyDescent="0.3">
      <c r="F11336" s="193"/>
    </row>
    <row r="11337" spans="6:6" x14ac:dyDescent="0.3">
      <c r="F11337" s="193"/>
    </row>
    <row r="11338" spans="6:6" x14ac:dyDescent="0.3">
      <c r="F11338" s="193"/>
    </row>
    <row r="11339" spans="6:6" x14ac:dyDescent="0.3">
      <c r="F11339" s="193"/>
    </row>
    <row r="11340" spans="6:6" x14ac:dyDescent="0.3">
      <c r="F11340" s="193"/>
    </row>
    <row r="11341" spans="6:6" x14ac:dyDescent="0.3">
      <c r="F11341" s="193"/>
    </row>
    <row r="11342" spans="6:6" x14ac:dyDescent="0.3">
      <c r="F11342" s="193"/>
    </row>
    <row r="11343" spans="6:6" x14ac:dyDescent="0.3">
      <c r="F11343" s="193"/>
    </row>
    <row r="11344" spans="6:6" x14ac:dyDescent="0.3">
      <c r="F11344" s="193"/>
    </row>
    <row r="11345" spans="6:6" x14ac:dyDescent="0.3">
      <c r="F11345" s="193"/>
    </row>
    <row r="11346" spans="6:6" x14ac:dyDescent="0.3">
      <c r="F11346" s="193"/>
    </row>
    <row r="11347" spans="6:6" x14ac:dyDescent="0.3">
      <c r="F11347" s="193"/>
    </row>
    <row r="11348" spans="6:6" x14ac:dyDescent="0.3">
      <c r="F11348" s="193"/>
    </row>
    <row r="11349" spans="6:6" x14ac:dyDescent="0.3">
      <c r="F11349" s="193"/>
    </row>
    <row r="11350" spans="6:6" x14ac:dyDescent="0.3">
      <c r="F11350" s="193"/>
    </row>
    <row r="11351" spans="6:6" x14ac:dyDescent="0.3">
      <c r="F11351" s="193"/>
    </row>
    <row r="11352" spans="6:6" x14ac:dyDescent="0.3">
      <c r="F11352" s="193"/>
    </row>
    <row r="11353" spans="6:6" x14ac:dyDescent="0.3">
      <c r="F11353" s="193"/>
    </row>
    <row r="11354" spans="6:6" x14ac:dyDescent="0.3">
      <c r="F11354" s="193"/>
    </row>
    <row r="11355" spans="6:6" x14ac:dyDescent="0.3">
      <c r="F11355" s="193"/>
    </row>
    <row r="11356" spans="6:6" x14ac:dyDescent="0.3">
      <c r="F11356" s="193"/>
    </row>
    <row r="11357" spans="6:6" x14ac:dyDescent="0.3">
      <c r="F11357" s="193"/>
    </row>
    <row r="11358" spans="6:6" x14ac:dyDescent="0.3">
      <c r="F11358" s="193"/>
    </row>
    <row r="11359" spans="6:6" x14ac:dyDescent="0.3">
      <c r="F11359" s="193"/>
    </row>
    <row r="11360" spans="6:6" x14ac:dyDescent="0.3">
      <c r="F11360" s="193"/>
    </row>
    <row r="11361" spans="6:6" x14ac:dyDescent="0.3">
      <c r="F11361" s="193"/>
    </row>
    <row r="11362" spans="6:6" x14ac:dyDescent="0.3">
      <c r="F11362" s="193"/>
    </row>
    <row r="11363" spans="6:6" x14ac:dyDescent="0.3">
      <c r="F11363" s="193"/>
    </row>
    <row r="11364" spans="6:6" x14ac:dyDescent="0.3">
      <c r="F11364" s="193"/>
    </row>
    <row r="11365" spans="6:6" x14ac:dyDescent="0.3">
      <c r="F11365" s="193"/>
    </row>
    <row r="11366" spans="6:6" x14ac:dyDescent="0.3">
      <c r="F11366" s="193"/>
    </row>
    <row r="11367" spans="6:6" x14ac:dyDescent="0.3">
      <c r="F11367" s="193"/>
    </row>
    <row r="11368" spans="6:6" x14ac:dyDescent="0.3">
      <c r="F11368" s="193"/>
    </row>
    <row r="11369" spans="6:6" x14ac:dyDescent="0.3">
      <c r="F11369" s="193"/>
    </row>
    <row r="11370" spans="6:6" x14ac:dyDescent="0.3">
      <c r="F11370" s="193"/>
    </row>
    <row r="11371" spans="6:6" x14ac:dyDescent="0.3">
      <c r="F11371" s="193"/>
    </row>
    <row r="11372" spans="6:6" x14ac:dyDescent="0.3">
      <c r="F11372" s="193"/>
    </row>
    <row r="11373" spans="6:6" x14ac:dyDescent="0.3">
      <c r="F11373" s="193"/>
    </row>
    <row r="11374" spans="6:6" x14ac:dyDescent="0.3">
      <c r="F11374" s="193"/>
    </row>
    <row r="11375" spans="6:6" x14ac:dyDescent="0.3">
      <c r="F11375" s="193"/>
    </row>
    <row r="11376" spans="6:6" x14ac:dyDescent="0.3">
      <c r="F11376" s="193"/>
    </row>
    <row r="11377" spans="6:6" x14ac:dyDescent="0.3">
      <c r="F11377" s="193"/>
    </row>
    <row r="11378" spans="6:6" x14ac:dyDescent="0.3">
      <c r="F11378" s="193"/>
    </row>
    <row r="11379" spans="6:6" x14ac:dyDescent="0.3">
      <c r="F11379" s="193"/>
    </row>
    <row r="11380" spans="6:6" x14ac:dyDescent="0.3">
      <c r="F11380" s="193"/>
    </row>
    <row r="11381" spans="6:6" x14ac:dyDescent="0.3">
      <c r="F11381" s="193"/>
    </row>
    <row r="11382" spans="6:6" x14ac:dyDescent="0.3">
      <c r="F11382" s="193"/>
    </row>
    <row r="11383" spans="6:6" x14ac:dyDescent="0.3">
      <c r="F11383" s="193"/>
    </row>
    <row r="11384" spans="6:6" x14ac:dyDescent="0.3">
      <c r="F11384" s="193"/>
    </row>
    <row r="11385" spans="6:6" x14ac:dyDescent="0.3">
      <c r="F11385" s="193"/>
    </row>
    <row r="11386" spans="6:6" x14ac:dyDescent="0.3">
      <c r="F11386" s="193"/>
    </row>
    <row r="11387" spans="6:6" x14ac:dyDescent="0.3">
      <c r="F11387" s="193"/>
    </row>
    <row r="11388" spans="6:6" x14ac:dyDescent="0.3">
      <c r="F11388" s="193"/>
    </row>
    <row r="11389" spans="6:6" x14ac:dyDescent="0.3">
      <c r="F11389" s="193"/>
    </row>
    <row r="11390" spans="6:6" x14ac:dyDescent="0.3">
      <c r="F11390" s="193"/>
    </row>
    <row r="11391" spans="6:6" x14ac:dyDescent="0.3">
      <c r="F11391" s="193"/>
    </row>
    <row r="11392" spans="6:6" x14ac:dyDescent="0.3">
      <c r="F11392" s="193"/>
    </row>
    <row r="11393" spans="6:6" x14ac:dyDescent="0.3">
      <c r="F11393" s="193"/>
    </row>
    <row r="11394" spans="6:6" x14ac:dyDescent="0.3">
      <c r="F11394" s="193"/>
    </row>
    <row r="11395" spans="6:6" x14ac:dyDescent="0.3">
      <c r="F11395" s="193"/>
    </row>
    <row r="11396" spans="6:6" x14ac:dyDescent="0.3">
      <c r="F11396" s="193"/>
    </row>
    <row r="11397" spans="6:6" x14ac:dyDescent="0.3">
      <c r="F11397" s="193"/>
    </row>
    <row r="11398" spans="6:6" x14ac:dyDescent="0.3">
      <c r="F11398" s="193"/>
    </row>
    <row r="11399" spans="6:6" x14ac:dyDescent="0.3">
      <c r="F11399" s="193"/>
    </row>
    <row r="11400" spans="6:6" x14ac:dyDescent="0.3">
      <c r="F11400" s="193"/>
    </row>
    <row r="11401" spans="6:6" x14ac:dyDescent="0.3">
      <c r="F11401" s="193"/>
    </row>
    <row r="11402" spans="6:6" x14ac:dyDescent="0.3">
      <c r="F11402" s="193"/>
    </row>
    <row r="11403" spans="6:6" x14ac:dyDescent="0.3">
      <c r="F11403" s="193"/>
    </row>
    <row r="11404" spans="6:6" x14ac:dyDescent="0.3">
      <c r="F11404" s="193"/>
    </row>
    <row r="11405" spans="6:6" x14ac:dyDescent="0.3">
      <c r="F11405" s="193"/>
    </row>
    <row r="11406" spans="6:6" x14ac:dyDescent="0.3">
      <c r="F11406" s="193"/>
    </row>
    <row r="11407" spans="6:6" x14ac:dyDescent="0.3">
      <c r="F11407" s="193"/>
    </row>
    <row r="11408" spans="6:6" x14ac:dyDescent="0.3">
      <c r="F11408" s="193"/>
    </row>
    <row r="11409" spans="6:6" x14ac:dyDescent="0.3">
      <c r="F11409" s="193"/>
    </row>
    <row r="11410" spans="6:6" x14ac:dyDescent="0.3">
      <c r="F11410" s="193"/>
    </row>
    <row r="11411" spans="6:6" x14ac:dyDescent="0.3">
      <c r="F11411" s="193"/>
    </row>
    <row r="11412" spans="6:6" x14ac:dyDescent="0.3">
      <c r="F11412" s="193"/>
    </row>
    <row r="11413" spans="6:6" x14ac:dyDescent="0.3">
      <c r="F11413" s="193"/>
    </row>
    <row r="11414" spans="6:6" x14ac:dyDescent="0.3">
      <c r="F11414" s="193"/>
    </row>
    <row r="11415" spans="6:6" x14ac:dyDescent="0.3">
      <c r="F11415" s="193"/>
    </row>
    <row r="11416" spans="6:6" x14ac:dyDescent="0.3">
      <c r="F11416" s="193"/>
    </row>
    <row r="11417" spans="6:6" x14ac:dyDescent="0.3">
      <c r="F11417" s="193"/>
    </row>
    <row r="11418" spans="6:6" x14ac:dyDescent="0.3">
      <c r="F11418" s="193"/>
    </row>
    <row r="11419" spans="6:6" x14ac:dyDescent="0.3">
      <c r="F11419" s="193"/>
    </row>
    <row r="11420" spans="6:6" x14ac:dyDescent="0.3">
      <c r="F11420" s="193"/>
    </row>
    <row r="11421" spans="6:6" x14ac:dyDescent="0.3">
      <c r="F11421" s="193"/>
    </row>
    <row r="11422" spans="6:6" x14ac:dyDescent="0.3">
      <c r="F11422" s="193"/>
    </row>
    <row r="11423" spans="6:6" x14ac:dyDescent="0.3">
      <c r="F11423" s="193"/>
    </row>
    <row r="11424" spans="6:6" x14ac:dyDescent="0.3">
      <c r="F11424" s="193"/>
    </row>
    <row r="11425" spans="6:6" x14ac:dyDescent="0.3">
      <c r="F11425" s="193"/>
    </row>
    <row r="11426" spans="6:6" x14ac:dyDescent="0.3">
      <c r="F11426" s="193"/>
    </row>
    <row r="11427" spans="6:6" x14ac:dyDescent="0.3">
      <c r="F11427" s="193"/>
    </row>
    <row r="11428" spans="6:6" x14ac:dyDescent="0.3">
      <c r="F11428" s="193"/>
    </row>
    <row r="11429" spans="6:6" x14ac:dyDescent="0.3">
      <c r="F11429" s="193"/>
    </row>
    <row r="11430" spans="6:6" x14ac:dyDescent="0.3">
      <c r="F11430" s="193"/>
    </row>
    <row r="11431" spans="6:6" x14ac:dyDescent="0.3">
      <c r="F11431" s="193"/>
    </row>
    <row r="11432" spans="6:6" x14ac:dyDescent="0.3">
      <c r="F11432" s="193"/>
    </row>
    <row r="11433" spans="6:6" x14ac:dyDescent="0.3">
      <c r="F11433" s="193"/>
    </row>
    <row r="11434" spans="6:6" x14ac:dyDescent="0.3">
      <c r="F11434" s="193"/>
    </row>
    <row r="11435" spans="6:6" x14ac:dyDescent="0.3">
      <c r="F11435" s="193"/>
    </row>
    <row r="11436" spans="6:6" x14ac:dyDescent="0.3">
      <c r="F11436" s="193"/>
    </row>
    <row r="11437" spans="6:6" x14ac:dyDescent="0.3">
      <c r="F11437" s="193"/>
    </row>
    <row r="11438" spans="6:6" x14ac:dyDescent="0.3">
      <c r="F11438" s="193"/>
    </row>
    <row r="11439" spans="6:6" x14ac:dyDescent="0.3">
      <c r="F11439" s="193"/>
    </row>
    <row r="11440" spans="6:6" x14ac:dyDescent="0.3">
      <c r="F11440" s="193"/>
    </row>
    <row r="11441" spans="6:6" x14ac:dyDescent="0.3">
      <c r="F11441" s="193"/>
    </row>
    <row r="11442" spans="6:6" x14ac:dyDescent="0.3">
      <c r="F11442" s="193"/>
    </row>
    <row r="11443" spans="6:6" x14ac:dyDescent="0.3">
      <c r="F11443" s="193"/>
    </row>
    <row r="11444" spans="6:6" x14ac:dyDescent="0.3">
      <c r="F11444" s="193"/>
    </row>
    <row r="11445" spans="6:6" x14ac:dyDescent="0.3">
      <c r="F11445" s="193"/>
    </row>
    <row r="11446" spans="6:6" x14ac:dyDescent="0.3">
      <c r="F11446" s="193"/>
    </row>
    <row r="11447" spans="6:6" x14ac:dyDescent="0.3">
      <c r="F11447" s="193"/>
    </row>
    <row r="11448" spans="6:6" x14ac:dyDescent="0.3">
      <c r="F11448" s="193"/>
    </row>
    <row r="11449" spans="6:6" x14ac:dyDescent="0.3">
      <c r="F11449" s="193"/>
    </row>
    <row r="11450" spans="6:6" x14ac:dyDescent="0.3">
      <c r="F11450" s="193"/>
    </row>
    <row r="11451" spans="6:6" x14ac:dyDescent="0.3">
      <c r="F11451" s="193"/>
    </row>
    <row r="11452" spans="6:6" x14ac:dyDescent="0.3">
      <c r="F11452" s="193"/>
    </row>
    <row r="11453" spans="6:6" x14ac:dyDescent="0.3">
      <c r="F11453" s="193"/>
    </row>
    <row r="11454" spans="6:6" x14ac:dyDescent="0.3">
      <c r="F11454" s="193"/>
    </row>
    <row r="11455" spans="6:6" x14ac:dyDescent="0.3">
      <c r="F11455" s="193"/>
    </row>
    <row r="11456" spans="6:6" x14ac:dyDescent="0.3">
      <c r="F11456" s="193"/>
    </row>
    <row r="11457" spans="6:6" x14ac:dyDescent="0.3">
      <c r="F11457" s="193"/>
    </row>
    <row r="11458" spans="6:6" x14ac:dyDescent="0.3">
      <c r="F11458" s="193"/>
    </row>
    <row r="11459" spans="6:6" x14ac:dyDescent="0.3">
      <c r="F11459" s="193"/>
    </row>
    <row r="11460" spans="6:6" x14ac:dyDescent="0.3">
      <c r="F11460" s="193"/>
    </row>
    <row r="11461" spans="6:6" x14ac:dyDescent="0.3">
      <c r="F11461" s="193"/>
    </row>
    <row r="11462" spans="6:6" x14ac:dyDescent="0.3">
      <c r="F11462" s="193"/>
    </row>
    <row r="11463" spans="6:6" x14ac:dyDescent="0.3">
      <c r="F11463" s="193"/>
    </row>
    <row r="11464" spans="6:6" x14ac:dyDescent="0.3">
      <c r="F11464" s="193"/>
    </row>
    <row r="11465" spans="6:6" x14ac:dyDescent="0.3">
      <c r="F11465" s="193"/>
    </row>
    <row r="11466" spans="6:6" x14ac:dyDescent="0.3">
      <c r="F11466" s="193"/>
    </row>
    <row r="11467" spans="6:6" x14ac:dyDescent="0.3">
      <c r="F11467" s="193"/>
    </row>
    <row r="11468" spans="6:6" x14ac:dyDescent="0.3">
      <c r="F11468" s="193"/>
    </row>
    <row r="11469" spans="6:6" x14ac:dyDescent="0.3">
      <c r="F11469" s="193"/>
    </row>
    <row r="11470" spans="6:6" x14ac:dyDescent="0.3">
      <c r="F11470" s="193"/>
    </row>
    <row r="11471" spans="6:6" x14ac:dyDescent="0.3">
      <c r="F11471" s="193"/>
    </row>
    <row r="11472" spans="6:6" x14ac:dyDescent="0.3">
      <c r="F11472" s="193"/>
    </row>
    <row r="11473" spans="6:6" x14ac:dyDescent="0.3">
      <c r="F11473" s="193"/>
    </row>
    <row r="11474" spans="6:6" x14ac:dyDescent="0.3">
      <c r="F11474" s="193"/>
    </row>
    <row r="11475" spans="6:6" x14ac:dyDescent="0.3">
      <c r="F11475" s="193"/>
    </row>
    <row r="11476" spans="6:6" x14ac:dyDescent="0.3">
      <c r="F11476" s="193"/>
    </row>
    <row r="11477" spans="6:6" x14ac:dyDescent="0.3">
      <c r="F11477" s="193"/>
    </row>
    <row r="11478" spans="6:6" x14ac:dyDescent="0.3">
      <c r="F11478" s="193"/>
    </row>
    <row r="11479" spans="6:6" x14ac:dyDescent="0.3">
      <c r="F11479" s="193"/>
    </row>
    <row r="11480" spans="6:6" x14ac:dyDescent="0.3">
      <c r="F11480" s="193"/>
    </row>
    <row r="11481" spans="6:6" x14ac:dyDescent="0.3">
      <c r="F11481" s="193"/>
    </row>
    <row r="11482" spans="6:6" x14ac:dyDescent="0.3">
      <c r="F11482" s="193"/>
    </row>
    <row r="11483" spans="6:6" x14ac:dyDescent="0.3">
      <c r="F11483" s="193"/>
    </row>
    <row r="11484" spans="6:6" x14ac:dyDescent="0.3">
      <c r="F11484" s="193"/>
    </row>
    <row r="11485" spans="6:6" x14ac:dyDescent="0.3">
      <c r="F11485" s="193"/>
    </row>
    <row r="11486" spans="6:6" x14ac:dyDescent="0.3">
      <c r="F11486" s="193"/>
    </row>
    <row r="11487" spans="6:6" x14ac:dyDescent="0.3">
      <c r="F11487" s="193"/>
    </row>
    <row r="11488" spans="6:6" x14ac:dyDescent="0.3">
      <c r="F11488" s="193"/>
    </row>
    <row r="11489" spans="6:6" x14ac:dyDescent="0.3">
      <c r="F11489" s="193"/>
    </row>
    <row r="11490" spans="6:6" x14ac:dyDescent="0.3">
      <c r="F11490" s="193"/>
    </row>
    <row r="11491" spans="6:6" x14ac:dyDescent="0.3">
      <c r="F11491" s="193"/>
    </row>
    <row r="11492" spans="6:6" x14ac:dyDescent="0.3">
      <c r="F11492" s="193"/>
    </row>
    <row r="11493" spans="6:6" x14ac:dyDescent="0.3">
      <c r="F11493" s="193"/>
    </row>
    <row r="11494" spans="6:6" x14ac:dyDescent="0.3">
      <c r="F11494" s="193"/>
    </row>
    <row r="11495" spans="6:6" x14ac:dyDescent="0.3">
      <c r="F11495" s="193"/>
    </row>
    <row r="11496" spans="6:6" x14ac:dyDescent="0.3">
      <c r="F11496" s="193"/>
    </row>
    <row r="11497" spans="6:6" x14ac:dyDescent="0.3">
      <c r="F11497" s="193"/>
    </row>
    <row r="11498" spans="6:6" x14ac:dyDescent="0.3">
      <c r="F11498" s="193"/>
    </row>
    <row r="11499" spans="6:6" x14ac:dyDescent="0.3">
      <c r="F11499" s="193"/>
    </row>
    <row r="11500" spans="6:6" x14ac:dyDescent="0.3">
      <c r="F11500" s="193"/>
    </row>
    <row r="11501" spans="6:6" x14ac:dyDescent="0.3">
      <c r="F11501" s="193"/>
    </row>
    <row r="11502" spans="6:6" x14ac:dyDescent="0.3">
      <c r="F11502" s="193"/>
    </row>
    <row r="11503" spans="6:6" x14ac:dyDescent="0.3">
      <c r="F11503" s="193"/>
    </row>
    <row r="11504" spans="6:6" x14ac:dyDescent="0.3">
      <c r="F11504" s="193"/>
    </row>
    <row r="11505" spans="6:6" x14ac:dyDescent="0.3">
      <c r="F11505" s="193"/>
    </row>
    <row r="11506" spans="6:6" x14ac:dyDescent="0.3">
      <c r="F11506" s="193"/>
    </row>
    <row r="11507" spans="6:6" x14ac:dyDescent="0.3">
      <c r="F11507" s="193"/>
    </row>
    <row r="11508" spans="6:6" x14ac:dyDescent="0.3">
      <c r="F11508" s="193"/>
    </row>
    <row r="11509" spans="6:6" x14ac:dyDescent="0.3">
      <c r="F11509" s="193"/>
    </row>
    <row r="11510" spans="6:6" x14ac:dyDescent="0.3">
      <c r="F11510" s="193"/>
    </row>
    <row r="11511" spans="6:6" x14ac:dyDescent="0.3">
      <c r="F11511" s="193"/>
    </row>
    <row r="11512" spans="6:6" x14ac:dyDescent="0.3">
      <c r="F11512" s="193"/>
    </row>
    <row r="11513" spans="6:6" x14ac:dyDescent="0.3">
      <c r="F11513" s="193"/>
    </row>
    <row r="11514" spans="6:6" x14ac:dyDescent="0.3">
      <c r="F11514" s="193"/>
    </row>
    <row r="11515" spans="6:6" x14ac:dyDescent="0.3">
      <c r="F11515" s="193"/>
    </row>
    <row r="11516" spans="6:6" x14ac:dyDescent="0.3">
      <c r="F11516" s="193"/>
    </row>
    <row r="11517" spans="6:6" x14ac:dyDescent="0.3">
      <c r="F11517" s="193"/>
    </row>
    <row r="11518" spans="6:6" x14ac:dyDescent="0.3">
      <c r="F11518" s="193"/>
    </row>
    <row r="11519" spans="6:6" x14ac:dyDescent="0.3">
      <c r="F11519" s="193"/>
    </row>
    <row r="11520" spans="6:6" x14ac:dyDescent="0.3">
      <c r="F11520" s="193"/>
    </row>
    <row r="11521" spans="6:6" x14ac:dyDescent="0.3">
      <c r="F11521" s="193"/>
    </row>
    <row r="11522" spans="6:6" x14ac:dyDescent="0.3">
      <c r="F11522" s="193"/>
    </row>
    <row r="11523" spans="6:6" x14ac:dyDescent="0.3">
      <c r="F11523" s="193"/>
    </row>
    <row r="11524" spans="6:6" x14ac:dyDescent="0.3">
      <c r="F11524" s="193"/>
    </row>
    <row r="11525" spans="6:6" x14ac:dyDescent="0.3">
      <c r="F11525" s="193"/>
    </row>
    <row r="11526" spans="6:6" x14ac:dyDescent="0.3">
      <c r="F11526" s="193"/>
    </row>
    <row r="11527" spans="6:6" x14ac:dyDescent="0.3">
      <c r="F11527" s="193"/>
    </row>
    <row r="11528" spans="6:6" x14ac:dyDescent="0.3">
      <c r="F11528" s="193"/>
    </row>
    <row r="11529" spans="6:6" x14ac:dyDescent="0.3">
      <c r="F11529" s="193"/>
    </row>
    <row r="11530" spans="6:6" x14ac:dyDescent="0.3">
      <c r="F11530" s="193"/>
    </row>
    <row r="11531" spans="6:6" x14ac:dyDescent="0.3">
      <c r="F11531" s="193"/>
    </row>
    <row r="11532" spans="6:6" x14ac:dyDescent="0.3">
      <c r="F11532" s="193"/>
    </row>
    <row r="11533" spans="6:6" x14ac:dyDescent="0.3">
      <c r="F11533" s="193"/>
    </row>
    <row r="11534" spans="6:6" x14ac:dyDescent="0.3">
      <c r="F11534" s="193"/>
    </row>
    <row r="11535" spans="6:6" x14ac:dyDescent="0.3">
      <c r="F11535" s="193"/>
    </row>
    <row r="11536" spans="6:6" x14ac:dyDescent="0.3">
      <c r="F11536" s="193"/>
    </row>
    <row r="11537" spans="6:6" x14ac:dyDescent="0.3">
      <c r="F11537" s="193"/>
    </row>
    <row r="11538" spans="6:6" x14ac:dyDescent="0.3">
      <c r="F11538" s="193"/>
    </row>
    <row r="11539" spans="6:6" x14ac:dyDescent="0.3">
      <c r="F11539" s="193"/>
    </row>
    <row r="11540" spans="6:6" x14ac:dyDescent="0.3">
      <c r="F11540" s="193"/>
    </row>
    <row r="11541" spans="6:6" x14ac:dyDescent="0.3">
      <c r="F11541" s="193"/>
    </row>
    <row r="11542" spans="6:6" x14ac:dyDescent="0.3">
      <c r="F11542" s="193"/>
    </row>
    <row r="11543" spans="6:6" x14ac:dyDescent="0.3">
      <c r="F11543" s="193"/>
    </row>
    <row r="11544" spans="6:6" x14ac:dyDescent="0.3">
      <c r="F11544" s="193"/>
    </row>
    <row r="11545" spans="6:6" x14ac:dyDescent="0.3">
      <c r="F11545" s="193"/>
    </row>
    <row r="11546" spans="6:6" x14ac:dyDescent="0.3">
      <c r="F11546" s="193"/>
    </row>
    <row r="11547" spans="6:6" x14ac:dyDescent="0.3">
      <c r="F11547" s="193"/>
    </row>
    <row r="11548" spans="6:6" x14ac:dyDescent="0.3">
      <c r="F11548" s="193"/>
    </row>
    <row r="11549" spans="6:6" x14ac:dyDescent="0.3">
      <c r="F11549" s="193"/>
    </row>
    <row r="11550" spans="6:6" x14ac:dyDescent="0.3">
      <c r="F11550" s="193"/>
    </row>
    <row r="11551" spans="6:6" x14ac:dyDescent="0.3">
      <c r="F11551" s="193"/>
    </row>
    <row r="11552" spans="6:6" x14ac:dyDescent="0.3">
      <c r="F11552" s="193"/>
    </row>
    <row r="11553" spans="6:6" x14ac:dyDescent="0.3">
      <c r="F11553" s="193"/>
    </row>
    <row r="11554" spans="6:6" x14ac:dyDescent="0.3">
      <c r="F11554" s="193"/>
    </row>
    <row r="11555" spans="6:6" x14ac:dyDescent="0.3">
      <c r="F11555" s="193"/>
    </row>
    <row r="11556" spans="6:6" x14ac:dyDescent="0.3">
      <c r="F11556" s="193"/>
    </row>
    <row r="11557" spans="6:6" x14ac:dyDescent="0.3">
      <c r="F11557" s="193"/>
    </row>
    <row r="11558" spans="6:6" x14ac:dyDescent="0.3">
      <c r="F11558" s="193"/>
    </row>
    <row r="11559" spans="6:6" x14ac:dyDescent="0.3">
      <c r="F11559" s="193"/>
    </row>
    <row r="11560" spans="6:6" x14ac:dyDescent="0.3">
      <c r="F11560" s="193"/>
    </row>
    <row r="11561" spans="6:6" x14ac:dyDescent="0.3">
      <c r="F11561" s="193"/>
    </row>
    <row r="11562" spans="6:6" x14ac:dyDescent="0.3">
      <c r="F11562" s="193"/>
    </row>
    <row r="11563" spans="6:6" x14ac:dyDescent="0.3">
      <c r="F11563" s="193"/>
    </row>
    <row r="11564" spans="6:6" x14ac:dyDescent="0.3">
      <c r="F11564" s="193"/>
    </row>
    <row r="11565" spans="6:6" x14ac:dyDescent="0.3">
      <c r="F11565" s="193"/>
    </row>
    <row r="11566" spans="6:6" x14ac:dyDescent="0.3">
      <c r="F11566" s="193"/>
    </row>
    <row r="11567" spans="6:6" x14ac:dyDescent="0.3">
      <c r="F11567" s="193"/>
    </row>
    <row r="11568" spans="6:6" x14ac:dyDescent="0.3">
      <c r="F11568" s="193"/>
    </row>
    <row r="11569" spans="6:6" x14ac:dyDescent="0.3">
      <c r="F11569" s="193"/>
    </row>
    <row r="11570" spans="6:6" x14ac:dyDescent="0.3">
      <c r="F11570" s="193"/>
    </row>
    <row r="11571" spans="6:6" x14ac:dyDescent="0.3">
      <c r="F11571" s="193"/>
    </row>
    <row r="11572" spans="6:6" x14ac:dyDescent="0.3">
      <c r="F11572" s="193"/>
    </row>
    <row r="11573" spans="6:6" x14ac:dyDescent="0.3">
      <c r="F11573" s="193"/>
    </row>
    <row r="11574" spans="6:6" x14ac:dyDescent="0.3">
      <c r="F11574" s="193"/>
    </row>
    <row r="11575" spans="6:6" x14ac:dyDescent="0.3">
      <c r="F11575" s="193"/>
    </row>
    <row r="11576" spans="6:6" x14ac:dyDescent="0.3">
      <c r="F11576" s="193"/>
    </row>
    <row r="11577" spans="6:6" x14ac:dyDescent="0.3">
      <c r="F11577" s="193"/>
    </row>
    <row r="11578" spans="6:6" x14ac:dyDescent="0.3">
      <c r="F11578" s="193"/>
    </row>
    <row r="11579" spans="6:6" x14ac:dyDescent="0.3">
      <c r="F11579" s="193"/>
    </row>
    <row r="11580" spans="6:6" x14ac:dyDescent="0.3">
      <c r="F11580" s="193"/>
    </row>
    <row r="11581" spans="6:6" x14ac:dyDescent="0.3">
      <c r="F11581" s="193"/>
    </row>
    <row r="11582" spans="6:6" x14ac:dyDescent="0.3">
      <c r="F11582" s="193"/>
    </row>
    <row r="11583" spans="6:6" x14ac:dyDescent="0.3">
      <c r="F11583" s="193"/>
    </row>
    <row r="11584" spans="6:6" x14ac:dyDescent="0.3">
      <c r="F11584" s="193"/>
    </row>
    <row r="11585" spans="6:6" x14ac:dyDescent="0.3">
      <c r="F11585" s="193"/>
    </row>
    <row r="11586" spans="6:6" x14ac:dyDescent="0.3">
      <c r="F11586" s="193"/>
    </row>
    <row r="11587" spans="6:6" x14ac:dyDescent="0.3">
      <c r="F11587" s="193"/>
    </row>
    <row r="11588" spans="6:6" x14ac:dyDescent="0.3">
      <c r="F11588" s="193"/>
    </row>
    <row r="11589" spans="6:6" x14ac:dyDescent="0.3">
      <c r="F11589" s="193"/>
    </row>
    <row r="11590" spans="6:6" x14ac:dyDescent="0.3">
      <c r="F11590" s="193"/>
    </row>
    <row r="11591" spans="6:6" x14ac:dyDescent="0.3">
      <c r="F11591" s="193"/>
    </row>
    <row r="11592" spans="6:6" x14ac:dyDescent="0.3">
      <c r="F11592" s="193"/>
    </row>
    <row r="11593" spans="6:6" x14ac:dyDescent="0.3">
      <c r="F11593" s="193"/>
    </row>
    <row r="11594" spans="6:6" x14ac:dyDescent="0.3">
      <c r="F11594" s="193"/>
    </row>
    <row r="11595" spans="6:6" x14ac:dyDescent="0.3">
      <c r="F11595" s="193"/>
    </row>
    <row r="11596" spans="6:6" x14ac:dyDescent="0.3">
      <c r="F11596" s="193"/>
    </row>
    <row r="11597" spans="6:6" x14ac:dyDescent="0.3">
      <c r="F11597" s="193"/>
    </row>
    <row r="11598" spans="6:6" x14ac:dyDescent="0.3">
      <c r="F11598" s="193"/>
    </row>
    <row r="11599" spans="6:6" x14ac:dyDescent="0.3">
      <c r="F11599" s="193"/>
    </row>
    <row r="11600" spans="6:6" x14ac:dyDescent="0.3">
      <c r="F11600" s="193"/>
    </row>
    <row r="11601" spans="6:6" x14ac:dyDescent="0.3">
      <c r="F11601" s="193"/>
    </row>
    <row r="11602" spans="6:6" x14ac:dyDescent="0.3">
      <c r="F11602" s="193"/>
    </row>
    <row r="11603" spans="6:6" x14ac:dyDescent="0.3">
      <c r="F11603" s="193"/>
    </row>
    <row r="11604" spans="6:6" x14ac:dyDescent="0.3">
      <c r="F11604" s="193"/>
    </row>
    <row r="11605" spans="6:6" x14ac:dyDescent="0.3">
      <c r="F11605" s="193"/>
    </row>
    <row r="11606" spans="6:6" x14ac:dyDescent="0.3">
      <c r="F11606" s="193"/>
    </row>
    <row r="11607" spans="6:6" x14ac:dyDescent="0.3">
      <c r="F11607" s="193"/>
    </row>
    <row r="11608" spans="6:6" x14ac:dyDescent="0.3">
      <c r="F11608" s="193"/>
    </row>
    <row r="11609" spans="6:6" x14ac:dyDescent="0.3">
      <c r="F11609" s="193"/>
    </row>
    <row r="11610" spans="6:6" x14ac:dyDescent="0.3">
      <c r="F11610" s="193"/>
    </row>
    <row r="11611" spans="6:6" x14ac:dyDescent="0.3">
      <c r="F11611" s="193"/>
    </row>
    <row r="11612" spans="6:6" x14ac:dyDescent="0.3">
      <c r="F11612" s="193"/>
    </row>
    <row r="11613" spans="6:6" x14ac:dyDescent="0.3">
      <c r="F11613" s="193"/>
    </row>
    <row r="11614" spans="6:6" x14ac:dyDescent="0.3">
      <c r="F11614" s="193"/>
    </row>
    <row r="11615" spans="6:6" x14ac:dyDescent="0.3">
      <c r="F11615" s="193"/>
    </row>
    <row r="11616" spans="6:6" x14ac:dyDescent="0.3">
      <c r="F11616" s="193"/>
    </row>
    <row r="11617" spans="6:6" x14ac:dyDescent="0.3">
      <c r="F11617" s="193"/>
    </row>
    <row r="11618" spans="6:6" x14ac:dyDescent="0.3">
      <c r="F11618" s="193"/>
    </row>
    <row r="11619" spans="6:6" x14ac:dyDescent="0.3">
      <c r="F11619" s="193"/>
    </row>
    <row r="11620" spans="6:6" x14ac:dyDescent="0.3">
      <c r="F11620" s="193"/>
    </row>
    <row r="11621" spans="6:6" x14ac:dyDescent="0.3">
      <c r="F11621" s="193"/>
    </row>
    <row r="11622" spans="6:6" x14ac:dyDescent="0.3">
      <c r="F11622" s="193"/>
    </row>
    <row r="11623" spans="6:6" x14ac:dyDescent="0.3">
      <c r="F11623" s="193"/>
    </row>
    <row r="11624" spans="6:6" x14ac:dyDescent="0.3">
      <c r="F11624" s="193"/>
    </row>
    <row r="11625" spans="6:6" x14ac:dyDescent="0.3">
      <c r="F11625" s="193"/>
    </row>
    <row r="11626" spans="6:6" x14ac:dyDescent="0.3">
      <c r="F11626" s="193"/>
    </row>
    <row r="11627" spans="6:6" x14ac:dyDescent="0.3">
      <c r="F11627" s="193"/>
    </row>
    <row r="11628" spans="6:6" x14ac:dyDescent="0.3">
      <c r="F11628" s="193"/>
    </row>
    <row r="11629" spans="6:6" x14ac:dyDescent="0.3">
      <c r="F11629" s="193"/>
    </row>
    <row r="11630" spans="6:6" x14ac:dyDescent="0.3">
      <c r="F11630" s="193"/>
    </row>
    <row r="11631" spans="6:6" x14ac:dyDescent="0.3">
      <c r="F11631" s="193"/>
    </row>
    <row r="11632" spans="6:6" x14ac:dyDescent="0.3">
      <c r="F11632" s="193"/>
    </row>
    <row r="11633" spans="6:6" x14ac:dyDescent="0.3">
      <c r="F11633" s="193"/>
    </row>
    <row r="11634" spans="6:6" x14ac:dyDescent="0.3">
      <c r="F11634" s="193"/>
    </row>
    <row r="11635" spans="6:6" x14ac:dyDescent="0.3">
      <c r="F11635" s="193"/>
    </row>
    <row r="11636" spans="6:6" x14ac:dyDescent="0.3">
      <c r="F11636" s="193"/>
    </row>
    <row r="11637" spans="6:6" x14ac:dyDescent="0.3">
      <c r="F11637" s="193"/>
    </row>
    <row r="11638" spans="6:6" x14ac:dyDescent="0.3">
      <c r="F11638" s="193"/>
    </row>
    <row r="11639" spans="6:6" x14ac:dyDescent="0.3">
      <c r="F11639" s="193"/>
    </row>
    <row r="11640" spans="6:6" x14ac:dyDescent="0.3">
      <c r="F11640" s="193"/>
    </row>
    <row r="11641" spans="6:6" x14ac:dyDescent="0.3">
      <c r="F11641" s="193"/>
    </row>
    <row r="11642" spans="6:6" x14ac:dyDescent="0.3">
      <c r="F11642" s="193"/>
    </row>
    <row r="11643" spans="6:6" x14ac:dyDescent="0.3">
      <c r="F11643" s="193"/>
    </row>
    <row r="11644" spans="6:6" x14ac:dyDescent="0.3">
      <c r="F11644" s="193"/>
    </row>
    <row r="11645" spans="6:6" x14ac:dyDescent="0.3">
      <c r="F11645" s="193"/>
    </row>
    <row r="11646" spans="6:6" x14ac:dyDescent="0.3">
      <c r="F11646" s="193"/>
    </row>
    <row r="11647" spans="6:6" x14ac:dyDescent="0.3">
      <c r="F11647" s="193"/>
    </row>
    <row r="11648" spans="6:6" x14ac:dyDescent="0.3">
      <c r="F11648" s="193"/>
    </row>
    <row r="11649" spans="6:6" x14ac:dyDescent="0.3">
      <c r="F11649" s="193"/>
    </row>
    <row r="11650" spans="6:6" x14ac:dyDescent="0.3">
      <c r="F11650" s="193"/>
    </row>
    <row r="11651" spans="6:6" x14ac:dyDescent="0.3">
      <c r="F11651" s="193"/>
    </row>
    <row r="11652" spans="6:6" x14ac:dyDescent="0.3">
      <c r="F11652" s="193"/>
    </row>
    <row r="11653" spans="6:6" x14ac:dyDescent="0.3">
      <c r="F11653" s="193"/>
    </row>
    <row r="11654" spans="6:6" x14ac:dyDescent="0.3">
      <c r="F11654" s="193"/>
    </row>
    <row r="11655" spans="6:6" x14ac:dyDescent="0.3">
      <c r="F11655" s="193"/>
    </row>
    <row r="11656" spans="6:6" x14ac:dyDescent="0.3">
      <c r="F11656" s="193"/>
    </row>
    <row r="11657" spans="6:6" x14ac:dyDescent="0.3">
      <c r="F11657" s="193"/>
    </row>
    <row r="11658" spans="6:6" x14ac:dyDescent="0.3">
      <c r="F11658" s="193"/>
    </row>
    <row r="11659" spans="6:6" x14ac:dyDescent="0.3">
      <c r="F11659" s="193"/>
    </row>
    <row r="11660" spans="6:6" x14ac:dyDescent="0.3">
      <c r="F11660" s="193"/>
    </row>
    <row r="11661" spans="6:6" x14ac:dyDescent="0.3">
      <c r="F11661" s="193"/>
    </row>
    <row r="11662" spans="6:6" x14ac:dyDescent="0.3">
      <c r="F11662" s="193"/>
    </row>
    <row r="11663" spans="6:6" x14ac:dyDescent="0.3">
      <c r="F11663" s="193"/>
    </row>
    <row r="11664" spans="6:6" x14ac:dyDescent="0.3">
      <c r="F11664" s="193"/>
    </row>
    <row r="11665" spans="6:6" x14ac:dyDescent="0.3">
      <c r="F11665" s="193"/>
    </row>
    <row r="11666" spans="6:6" x14ac:dyDescent="0.3">
      <c r="F11666" s="193"/>
    </row>
    <row r="11667" spans="6:6" x14ac:dyDescent="0.3">
      <c r="F11667" s="193"/>
    </row>
    <row r="11668" spans="6:6" x14ac:dyDescent="0.3">
      <c r="F11668" s="193"/>
    </row>
    <row r="11669" spans="6:6" x14ac:dyDescent="0.3">
      <c r="F11669" s="193"/>
    </row>
    <row r="11670" spans="6:6" x14ac:dyDescent="0.3">
      <c r="F11670" s="193"/>
    </row>
    <row r="11671" spans="6:6" x14ac:dyDescent="0.3">
      <c r="F11671" s="193"/>
    </row>
    <row r="11672" spans="6:6" x14ac:dyDescent="0.3">
      <c r="F11672" s="193"/>
    </row>
    <row r="11673" spans="6:6" x14ac:dyDescent="0.3">
      <c r="F11673" s="193"/>
    </row>
    <row r="11674" spans="6:6" x14ac:dyDescent="0.3">
      <c r="F11674" s="193"/>
    </row>
    <row r="11675" spans="6:6" x14ac:dyDescent="0.3">
      <c r="F11675" s="193"/>
    </row>
    <row r="11676" spans="6:6" x14ac:dyDescent="0.3">
      <c r="F11676" s="193"/>
    </row>
    <row r="11677" spans="6:6" x14ac:dyDescent="0.3">
      <c r="F11677" s="193"/>
    </row>
    <row r="11678" spans="6:6" x14ac:dyDescent="0.3">
      <c r="F11678" s="193"/>
    </row>
    <row r="11679" spans="6:6" x14ac:dyDescent="0.3">
      <c r="F11679" s="193"/>
    </row>
    <row r="11680" spans="6:6" x14ac:dyDescent="0.3">
      <c r="F11680" s="193"/>
    </row>
    <row r="11681" spans="6:6" x14ac:dyDescent="0.3">
      <c r="F11681" s="193"/>
    </row>
    <row r="11682" spans="6:6" x14ac:dyDescent="0.3">
      <c r="F11682" s="193"/>
    </row>
    <row r="11683" spans="6:6" x14ac:dyDescent="0.3">
      <c r="F11683" s="193"/>
    </row>
    <row r="11684" spans="6:6" x14ac:dyDescent="0.3">
      <c r="F11684" s="193"/>
    </row>
    <row r="11685" spans="6:6" x14ac:dyDescent="0.3">
      <c r="F11685" s="193"/>
    </row>
    <row r="11686" spans="6:6" x14ac:dyDescent="0.3">
      <c r="F11686" s="193"/>
    </row>
    <row r="11687" spans="6:6" x14ac:dyDescent="0.3">
      <c r="F11687" s="193"/>
    </row>
    <row r="11688" spans="6:6" x14ac:dyDescent="0.3">
      <c r="F11688" s="193"/>
    </row>
    <row r="11689" spans="6:6" x14ac:dyDescent="0.3">
      <c r="F11689" s="193"/>
    </row>
    <row r="11690" spans="6:6" x14ac:dyDescent="0.3">
      <c r="F11690" s="193"/>
    </row>
    <row r="11691" spans="6:6" x14ac:dyDescent="0.3">
      <c r="F11691" s="193"/>
    </row>
    <row r="11692" spans="6:6" x14ac:dyDescent="0.3">
      <c r="F11692" s="193"/>
    </row>
    <row r="11693" spans="6:6" x14ac:dyDescent="0.3">
      <c r="F11693" s="193"/>
    </row>
    <row r="11694" spans="6:6" x14ac:dyDescent="0.3">
      <c r="F11694" s="193"/>
    </row>
    <row r="11695" spans="6:6" x14ac:dyDescent="0.3">
      <c r="F11695" s="193"/>
    </row>
    <row r="11696" spans="6:6" x14ac:dyDescent="0.3">
      <c r="F11696" s="193"/>
    </row>
    <row r="11697" spans="6:6" x14ac:dyDescent="0.3">
      <c r="F11697" s="193"/>
    </row>
    <row r="11698" spans="6:6" x14ac:dyDescent="0.3">
      <c r="F11698" s="193"/>
    </row>
    <row r="11699" spans="6:6" x14ac:dyDescent="0.3">
      <c r="F11699" s="193"/>
    </row>
    <row r="11700" spans="6:6" x14ac:dyDescent="0.3">
      <c r="F11700" s="193"/>
    </row>
    <row r="11701" spans="6:6" x14ac:dyDescent="0.3">
      <c r="F11701" s="193"/>
    </row>
    <row r="11702" spans="6:6" x14ac:dyDescent="0.3">
      <c r="F11702" s="193"/>
    </row>
    <row r="11703" spans="6:6" x14ac:dyDescent="0.3">
      <c r="F11703" s="193"/>
    </row>
    <row r="11704" spans="6:6" x14ac:dyDescent="0.3">
      <c r="F11704" s="193"/>
    </row>
    <row r="11705" spans="6:6" x14ac:dyDescent="0.3">
      <c r="F11705" s="193"/>
    </row>
    <row r="11706" spans="6:6" x14ac:dyDescent="0.3">
      <c r="F11706" s="193"/>
    </row>
    <row r="11707" spans="6:6" x14ac:dyDescent="0.3">
      <c r="F11707" s="193"/>
    </row>
    <row r="11708" spans="6:6" x14ac:dyDescent="0.3">
      <c r="F11708" s="193"/>
    </row>
    <row r="11709" spans="6:6" x14ac:dyDescent="0.3">
      <c r="F11709" s="193"/>
    </row>
    <row r="11710" spans="6:6" x14ac:dyDescent="0.3">
      <c r="F11710" s="193"/>
    </row>
    <row r="11711" spans="6:6" x14ac:dyDescent="0.3">
      <c r="F11711" s="193"/>
    </row>
    <row r="11712" spans="6:6" x14ac:dyDescent="0.3">
      <c r="F11712" s="193"/>
    </row>
    <row r="11713" spans="6:6" x14ac:dyDescent="0.3">
      <c r="F11713" s="193"/>
    </row>
    <row r="11714" spans="6:6" x14ac:dyDescent="0.3">
      <c r="F11714" s="193"/>
    </row>
    <row r="11715" spans="6:6" x14ac:dyDescent="0.3">
      <c r="F11715" s="193"/>
    </row>
    <row r="11716" spans="6:6" x14ac:dyDescent="0.3">
      <c r="F11716" s="193"/>
    </row>
    <row r="11717" spans="6:6" x14ac:dyDescent="0.3">
      <c r="F11717" s="193"/>
    </row>
    <row r="11718" spans="6:6" x14ac:dyDescent="0.3">
      <c r="F11718" s="193"/>
    </row>
    <row r="11719" spans="6:6" x14ac:dyDescent="0.3">
      <c r="F11719" s="193"/>
    </row>
    <row r="11720" spans="6:6" x14ac:dyDescent="0.3">
      <c r="F11720" s="193"/>
    </row>
    <row r="11721" spans="6:6" x14ac:dyDescent="0.3">
      <c r="F11721" s="193"/>
    </row>
    <row r="11722" spans="6:6" x14ac:dyDescent="0.3">
      <c r="F11722" s="193"/>
    </row>
    <row r="11723" spans="6:6" x14ac:dyDescent="0.3">
      <c r="F11723" s="193"/>
    </row>
    <row r="11724" spans="6:6" x14ac:dyDescent="0.3">
      <c r="F11724" s="193"/>
    </row>
    <row r="11725" spans="6:6" x14ac:dyDescent="0.3">
      <c r="F11725" s="193"/>
    </row>
    <row r="11726" spans="6:6" x14ac:dyDescent="0.3">
      <c r="F11726" s="193"/>
    </row>
    <row r="11727" spans="6:6" x14ac:dyDescent="0.3">
      <c r="F11727" s="193"/>
    </row>
    <row r="11728" spans="6:6" x14ac:dyDescent="0.3">
      <c r="F11728" s="193"/>
    </row>
    <row r="11729" spans="6:6" x14ac:dyDescent="0.3">
      <c r="F11729" s="193"/>
    </row>
    <row r="11730" spans="6:6" x14ac:dyDescent="0.3">
      <c r="F11730" s="193"/>
    </row>
    <row r="11731" spans="6:6" x14ac:dyDescent="0.3">
      <c r="F11731" s="193"/>
    </row>
    <row r="11732" spans="6:6" x14ac:dyDescent="0.3">
      <c r="F11732" s="193"/>
    </row>
    <row r="11733" spans="6:6" x14ac:dyDescent="0.3">
      <c r="F11733" s="193"/>
    </row>
    <row r="11734" spans="6:6" x14ac:dyDescent="0.3">
      <c r="F11734" s="193"/>
    </row>
    <row r="11735" spans="6:6" x14ac:dyDescent="0.3">
      <c r="F11735" s="193"/>
    </row>
    <row r="11736" spans="6:6" x14ac:dyDescent="0.3">
      <c r="F11736" s="193"/>
    </row>
    <row r="11737" spans="6:6" x14ac:dyDescent="0.3">
      <c r="F11737" s="193"/>
    </row>
    <row r="11738" spans="6:6" x14ac:dyDescent="0.3">
      <c r="F11738" s="193"/>
    </row>
    <row r="11739" spans="6:6" x14ac:dyDescent="0.3">
      <c r="F11739" s="193"/>
    </row>
    <row r="11740" spans="6:6" x14ac:dyDescent="0.3">
      <c r="F11740" s="193"/>
    </row>
    <row r="11741" spans="6:6" x14ac:dyDescent="0.3">
      <c r="F11741" s="193"/>
    </row>
    <row r="11742" spans="6:6" x14ac:dyDescent="0.3">
      <c r="F11742" s="193"/>
    </row>
    <row r="11743" spans="6:6" x14ac:dyDescent="0.3">
      <c r="F11743" s="193"/>
    </row>
    <row r="11744" spans="6:6" x14ac:dyDescent="0.3">
      <c r="F11744" s="193"/>
    </row>
    <row r="11745" spans="6:6" x14ac:dyDescent="0.3">
      <c r="F11745" s="193"/>
    </row>
    <row r="11746" spans="6:6" x14ac:dyDescent="0.3">
      <c r="F11746" s="193"/>
    </row>
    <row r="11747" spans="6:6" x14ac:dyDescent="0.3">
      <c r="F11747" s="193"/>
    </row>
    <row r="11748" spans="6:6" x14ac:dyDescent="0.3">
      <c r="F11748" s="193"/>
    </row>
    <row r="11749" spans="6:6" x14ac:dyDescent="0.3">
      <c r="F11749" s="193"/>
    </row>
    <row r="11750" spans="6:6" x14ac:dyDescent="0.3">
      <c r="F11750" s="193"/>
    </row>
    <row r="11751" spans="6:6" x14ac:dyDescent="0.3">
      <c r="F11751" s="193"/>
    </row>
    <row r="11752" spans="6:6" x14ac:dyDescent="0.3">
      <c r="F11752" s="193"/>
    </row>
    <row r="11753" spans="6:6" x14ac:dyDescent="0.3">
      <c r="F11753" s="193"/>
    </row>
    <row r="11754" spans="6:6" x14ac:dyDescent="0.3">
      <c r="F11754" s="193"/>
    </row>
    <row r="11755" spans="6:6" x14ac:dyDescent="0.3">
      <c r="F11755" s="193"/>
    </row>
    <row r="11756" spans="6:6" x14ac:dyDescent="0.3">
      <c r="F11756" s="193"/>
    </row>
    <row r="11757" spans="6:6" x14ac:dyDescent="0.3">
      <c r="F11757" s="193"/>
    </row>
    <row r="11758" spans="6:6" x14ac:dyDescent="0.3">
      <c r="F11758" s="193"/>
    </row>
    <row r="11759" spans="6:6" x14ac:dyDescent="0.3">
      <c r="F11759" s="193"/>
    </row>
    <row r="11760" spans="6:6" x14ac:dyDescent="0.3">
      <c r="F11760" s="193"/>
    </row>
    <row r="11761" spans="6:6" x14ac:dyDescent="0.3">
      <c r="F11761" s="193"/>
    </row>
    <row r="11762" spans="6:6" x14ac:dyDescent="0.3">
      <c r="F11762" s="193"/>
    </row>
    <row r="11763" spans="6:6" x14ac:dyDescent="0.3">
      <c r="F11763" s="193"/>
    </row>
    <row r="11764" spans="6:6" x14ac:dyDescent="0.3">
      <c r="F11764" s="193"/>
    </row>
    <row r="11765" spans="6:6" x14ac:dyDescent="0.3">
      <c r="F11765" s="193"/>
    </row>
    <row r="11766" spans="6:6" x14ac:dyDescent="0.3">
      <c r="F11766" s="193"/>
    </row>
    <row r="11767" spans="6:6" x14ac:dyDescent="0.3">
      <c r="F11767" s="193"/>
    </row>
    <row r="11768" spans="6:6" x14ac:dyDescent="0.3">
      <c r="F11768" s="193"/>
    </row>
    <row r="11769" spans="6:6" x14ac:dyDescent="0.3">
      <c r="F11769" s="193"/>
    </row>
    <row r="11770" spans="6:6" x14ac:dyDescent="0.3">
      <c r="F11770" s="193"/>
    </row>
    <row r="11771" spans="6:6" x14ac:dyDescent="0.3">
      <c r="F11771" s="193"/>
    </row>
    <row r="11772" spans="6:6" x14ac:dyDescent="0.3">
      <c r="F11772" s="193"/>
    </row>
    <row r="11773" spans="6:6" x14ac:dyDescent="0.3">
      <c r="F11773" s="193"/>
    </row>
    <row r="11774" spans="6:6" x14ac:dyDescent="0.3">
      <c r="F11774" s="193"/>
    </row>
    <row r="11775" spans="6:6" x14ac:dyDescent="0.3">
      <c r="F11775" s="193"/>
    </row>
    <row r="11776" spans="6:6" x14ac:dyDescent="0.3">
      <c r="F11776" s="193"/>
    </row>
    <row r="11777" spans="6:6" x14ac:dyDescent="0.3">
      <c r="F11777" s="193"/>
    </row>
    <row r="11778" spans="6:6" x14ac:dyDescent="0.3">
      <c r="F11778" s="193"/>
    </row>
    <row r="11779" spans="6:6" x14ac:dyDescent="0.3">
      <c r="F11779" s="193"/>
    </row>
    <row r="11780" spans="6:6" x14ac:dyDescent="0.3">
      <c r="F11780" s="193"/>
    </row>
    <row r="11781" spans="6:6" x14ac:dyDescent="0.3">
      <c r="F11781" s="193"/>
    </row>
    <row r="11782" spans="6:6" x14ac:dyDescent="0.3">
      <c r="F11782" s="193"/>
    </row>
    <row r="11783" spans="6:6" x14ac:dyDescent="0.3">
      <c r="F11783" s="193"/>
    </row>
    <row r="11784" spans="6:6" x14ac:dyDescent="0.3">
      <c r="F11784" s="193"/>
    </row>
    <row r="11785" spans="6:6" x14ac:dyDescent="0.3">
      <c r="F11785" s="193"/>
    </row>
    <row r="11786" spans="6:6" x14ac:dyDescent="0.3">
      <c r="F11786" s="193"/>
    </row>
    <row r="11787" spans="6:6" x14ac:dyDescent="0.3">
      <c r="F11787" s="193"/>
    </row>
    <row r="11788" spans="6:6" x14ac:dyDescent="0.3">
      <c r="F11788" s="193"/>
    </row>
    <row r="11789" spans="6:6" x14ac:dyDescent="0.3">
      <c r="F11789" s="193"/>
    </row>
    <row r="11790" spans="6:6" x14ac:dyDescent="0.3">
      <c r="F11790" s="193"/>
    </row>
    <row r="11791" spans="6:6" x14ac:dyDescent="0.3">
      <c r="F11791" s="193"/>
    </row>
    <row r="11792" spans="6:6" x14ac:dyDescent="0.3">
      <c r="F11792" s="193"/>
    </row>
    <row r="11793" spans="6:6" x14ac:dyDescent="0.3">
      <c r="F11793" s="193"/>
    </row>
    <row r="11794" spans="6:6" x14ac:dyDescent="0.3">
      <c r="F11794" s="193"/>
    </row>
    <row r="11795" spans="6:6" x14ac:dyDescent="0.3">
      <c r="F11795" s="193"/>
    </row>
    <row r="11796" spans="6:6" x14ac:dyDescent="0.3">
      <c r="F11796" s="193"/>
    </row>
    <row r="11797" spans="6:6" x14ac:dyDescent="0.3">
      <c r="F11797" s="193"/>
    </row>
    <row r="11798" spans="6:6" x14ac:dyDescent="0.3">
      <c r="F11798" s="193"/>
    </row>
    <row r="11799" spans="6:6" x14ac:dyDescent="0.3">
      <c r="F11799" s="193"/>
    </row>
    <row r="11800" spans="6:6" x14ac:dyDescent="0.3">
      <c r="F11800" s="193"/>
    </row>
    <row r="11801" spans="6:6" x14ac:dyDescent="0.3">
      <c r="F11801" s="193"/>
    </row>
    <row r="11802" spans="6:6" x14ac:dyDescent="0.3">
      <c r="F11802" s="193"/>
    </row>
    <row r="11803" spans="6:6" x14ac:dyDescent="0.3">
      <c r="F11803" s="193"/>
    </row>
    <row r="11804" spans="6:6" x14ac:dyDescent="0.3">
      <c r="F11804" s="193"/>
    </row>
    <row r="11805" spans="6:6" x14ac:dyDescent="0.3">
      <c r="F11805" s="193"/>
    </row>
    <row r="11806" spans="6:6" x14ac:dyDescent="0.3">
      <c r="F11806" s="193"/>
    </row>
    <row r="11807" spans="6:6" x14ac:dyDescent="0.3">
      <c r="F11807" s="193"/>
    </row>
    <row r="11808" spans="6:6" x14ac:dyDescent="0.3">
      <c r="F11808" s="193"/>
    </row>
    <row r="11809" spans="6:6" x14ac:dyDescent="0.3">
      <c r="F11809" s="193"/>
    </row>
    <row r="11810" spans="6:6" x14ac:dyDescent="0.3">
      <c r="F11810" s="193"/>
    </row>
    <row r="11811" spans="6:6" x14ac:dyDescent="0.3">
      <c r="F11811" s="193"/>
    </row>
    <row r="11812" spans="6:6" x14ac:dyDescent="0.3">
      <c r="F11812" s="193"/>
    </row>
    <row r="11813" spans="6:6" x14ac:dyDescent="0.3">
      <c r="F11813" s="193"/>
    </row>
    <row r="11814" spans="6:6" x14ac:dyDescent="0.3">
      <c r="F11814" s="193"/>
    </row>
    <row r="11815" spans="6:6" x14ac:dyDescent="0.3">
      <c r="F11815" s="193"/>
    </row>
    <row r="11816" spans="6:6" x14ac:dyDescent="0.3">
      <c r="F11816" s="193"/>
    </row>
    <row r="11817" spans="6:6" x14ac:dyDescent="0.3">
      <c r="F11817" s="193"/>
    </row>
    <row r="11818" spans="6:6" x14ac:dyDescent="0.3">
      <c r="F11818" s="193"/>
    </row>
    <row r="11819" spans="6:6" x14ac:dyDescent="0.3">
      <c r="F11819" s="193"/>
    </row>
    <row r="11820" spans="6:6" x14ac:dyDescent="0.3">
      <c r="F11820" s="193"/>
    </row>
    <row r="11821" spans="6:6" x14ac:dyDescent="0.3">
      <c r="F11821" s="193"/>
    </row>
    <row r="11822" spans="6:6" x14ac:dyDescent="0.3">
      <c r="F11822" s="193"/>
    </row>
    <row r="11823" spans="6:6" x14ac:dyDescent="0.3">
      <c r="F11823" s="193"/>
    </row>
    <row r="11824" spans="6:6" x14ac:dyDescent="0.3">
      <c r="F11824" s="193"/>
    </row>
    <row r="11825" spans="6:6" x14ac:dyDescent="0.3">
      <c r="F11825" s="193"/>
    </row>
    <row r="11826" spans="6:6" x14ac:dyDescent="0.3">
      <c r="F11826" s="193"/>
    </row>
    <row r="11827" spans="6:6" x14ac:dyDescent="0.3">
      <c r="F11827" s="193"/>
    </row>
    <row r="11828" spans="6:6" x14ac:dyDescent="0.3">
      <c r="F11828" s="193"/>
    </row>
    <row r="11829" spans="6:6" x14ac:dyDescent="0.3">
      <c r="F11829" s="193"/>
    </row>
    <row r="11830" spans="6:6" x14ac:dyDescent="0.3">
      <c r="F11830" s="193"/>
    </row>
    <row r="11831" spans="6:6" x14ac:dyDescent="0.3">
      <c r="F11831" s="193"/>
    </row>
    <row r="11832" spans="6:6" x14ac:dyDescent="0.3">
      <c r="F11832" s="193"/>
    </row>
    <row r="11833" spans="6:6" x14ac:dyDescent="0.3">
      <c r="F11833" s="193"/>
    </row>
    <row r="11834" spans="6:6" x14ac:dyDescent="0.3">
      <c r="F11834" s="193"/>
    </row>
    <row r="11835" spans="6:6" x14ac:dyDescent="0.3">
      <c r="F11835" s="193"/>
    </row>
    <row r="11836" spans="6:6" x14ac:dyDescent="0.3">
      <c r="F11836" s="193"/>
    </row>
    <row r="11837" spans="6:6" x14ac:dyDescent="0.3">
      <c r="F11837" s="193"/>
    </row>
    <row r="11838" spans="6:6" x14ac:dyDescent="0.3">
      <c r="F11838" s="193"/>
    </row>
    <row r="11839" spans="6:6" x14ac:dyDescent="0.3">
      <c r="F11839" s="193"/>
    </row>
    <row r="11840" spans="6:6" x14ac:dyDescent="0.3">
      <c r="F11840" s="193"/>
    </row>
    <row r="11841" spans="6:6" x14ac:dyDescent="0.3">
      <c r="F11841" s="193"/>
    </row>
    <row r="11842" spans="6:6" x14ac:dyDescent="0.3">
      <c r="F11842" s="193"/>
    </row>
    <row r="11843" spans="6:6" x14ac:dyDescent="0.3">
      <c r="F11843" s="193"/>
    </row>
    <row r="11844" spans="6:6" x14ac:dyDescent="0.3">
      <c r="F11844" s="193"/>
    </row>
    <row r="11845" spans="6:6" x14ac:dyDescent="0.3">
      <c r="F11845" s="193"/>
    </row>
    <row r="11846" spans="6:6" x14ac:dyDescent="0.3">
      <c r="F11846" s="193"/>
    </row>
    <row r="11847" spans="6:6" x14ac:dyDescent="0.3">
      <c r="F11847" s="193"/>
    </row>
    <row r="11848" spans="6:6" x14ac:dyDescent="0.3">
      <c r="F11848" s="193"/>
    </row>
    <row r="11849" spans="6:6" x14ac:dyDescent="0.3">
      <c r="F11849" s="193"/>
    </row>
    <row r="11850" spans="6:6" x14ac:dyDescent="0.3">
      <c r="F11850" s="193"/>
    </row>
    <row r="11851" spans="6:6" x14ac:dyDescent="0.3">
      <c r="F11851" s="193"/>
    </row>
    <row r="11852" spans="6:6" x14ac:dyDescent="0.3">
      <c r="F11852" s="193"/>
    </row>
    <row r="11853" spans="6:6" x14ac:dyDescent="0.3">
      <c r="F11853" s="193"/>
    </row>
    <row r="11854" spans="6:6" x14ac:dyDescent="0.3">
      <c r="F11854" s="193"/>
    </row>
    <row r="11855" spans="6:6" x14ac:dyDescent="0.3">
      <c r="F11855" s="193"/>
    </row>
    <row r="11856" spans="6:6" x14ac:dyDescent="0.3">
      <c r="F11856" s="193"/>
    </row>
    <row r="11857" spans="6:6" x14ac:dyDescent="0.3">
      <c r="F11857" s="193"/>
    </row>
    <row r="11858" spans="6:6" x14ac:dyDescent="0.3">
      <c r="F11858" s="193"/>
    </row>
    <row r="11859" spans="6:6" x14ac:dyDescent="0.3">
      <c r="F11859" s="193"/>
    </row>
    <row r="11860" spans="6:6" x14ac:dyDescent="0.3">
      <c r="F11860" s="193"/>
    </row>
    <row r="11861" spans="6:6" x14ac:dyDescent="0.3">
      <c r="F11861" s="193"/>
    </row>
    <row r="11862" spans="6:6" x14ac:dyDescent="0.3">
      <c r="F11862" s="193"/>
    </row>
    <row r="11863" spans="6:6" x14ac:dyDescent="0.3">
      <c r="F11863" s="193"/>
    </row>
    <row r="11864" spans="6:6" x14ac:dyDescent="0.3">
      <c r="F11864" s="193"/>
    </row>
    <row r="11865" spans="6:6" x14ac:dyDescent="0.3">
      <c r="F11865" s="193"/>
    </row>
    <row r="11866" spans="6:6" x14ac:dyDescent="0.3">
      <c r="F11866" s="193"/>
    </row>
    <row r="11867" spans="6:6" x14ac:dyDescent="0.3">
      <c r="F11867" s="193"/>
    </row>
    <row r="11868" spans="6:6" x14ac:dyDescent="0.3">
      <c r="F11868" s="193"/>
    </row>
    <row r="11869" spans="6:6" x14ac:dyDescent="0.3">
      <c r="F11869" s="193"/>
    </row>
    <row r="11870" spans="6:6" x14ac:dyDescent="0.3">
      <c r="F11870" s="193"/>
    </row>
    <row r="11871" spans="6:6" x14ac:dyDescent="0.3">
      <c r="F11871" s="193"/>
    </row>
    <row r="11872" spans="6:6" x14ac:dyDescent="0.3">
      <c r="F11872" s="193"/>
    </row>
    <row r="11873" spans="6:6" x14ac:dyDescent="0.3">
      <c r="F11873" s="193"/>
    </row>
    <row r="11874" spans="6:6" x14ac:dyDescent="0.3">
      <c r="F11874" s="193"/>
    </row>
    <row r="11875" spans="6:6" x14ac:dyDescent="0.3">
      <c r="F11875" s="193"/>
    </row>
    <row r="11876" spans="6:6" x14ac:dyDescent="0.3">
      <c r="F11876" s="193"/>
    </row>
    <row r="11877" spans="6:6" x14ac:dyDescent="0.3">
      <c r="F11877" s="193"/>
    </row>
    <row r="11878" spans="6:6" x14ac:dyDescent="0.3">
      <c r="F11878" s="193"/>
    </row>
    <row r="11879" spans="6:6" x14ac:dyDescent="0.3">
      <c r="F11879" s="193"/>
    </row>
    <row r="11880" spans="6:6" x14ac:dyDescent="0.3">
      <c r="F11880" s="193"/>
    </row>
    <row r="11881" spans="6:6" x14ac:dyDescent="0.3">
      <c r="F11881" s="193"/>
    </row>
    <row r="11882" spans="6:6" x14ac:dyDescent="0.3">
      <c r="F11882" s="193"/>
    </row>
    <row r="11883" spans="6:6" x14ac:dyDescent="0.3">
      <c r="F11883" s="193"/>
    </row>
    <row r="11884" spans="6:6" x14ac:dyDescent="0.3">
      <c r="F11884" s="193"/>
    </row>
    <row r="11885" spans="6:6" x14ac:dyDescent="0.3">
      <c r="F11885" s="193"/>
    </row>
    <row r="11886" spans="6:6" x14ac:dyDescent="0.3">
      <c r="F11886" s="193"/>
    </row>
    <row r="11887" spans="6:6" x14ac:dyDescent="0.3">
      <c r="F11887" s="193"/>
    </row>
    <row r="11888" spans="6:6" x14ac:dyDescent="0.3">
      <c r="F11888" s="193"/>
    </row>
    <row r="11889" spans="6:6" x14ac:dyDescent="0.3">
      <c r="F11889" s="193"/>
    </row>
    <row r="11890" spans="6:6" x14ac:dyDescent="0.3">
      <c r="F11890" s="193"/>
    </row>
    <row r="11891" spans="6:6" x14ac:dyDescent="0.3">
      <c r="F11891" s="193"/>
    </row>
    <row r="11892" spans="6:6" x14ac:dyDescent="0.3">
      <c r="F11892" s="193"/>
    </row>
    <row r="11893" spans="6:6" x14ac:dyDescent="0.3">
      <c r="F11893" s="193"/>
    </row>
    <row r="11894" spans="6:6" x14ac:dyDescent="0.3">
      <c r="F11894" s="193"/>
    </row>
    <row r="11895" spans="6:6" x14ac:dyDescent="0.3">
      <c r="F11895" s="193"/>
    </row>
    <row r="11896" spans="6:6" x14ac:dyDescent="0.3">
      <c r="F11896" s="193"/>
    </row>
    <row r="11897" spans="6:6" x14ac:dyDescent="0.3">
      <c r="F11897" s="193"/>
    </row>
    <row r="11898" spans="6:6" x14ac:dyDescent="0.3">
      <c r="F11898" s="193"/>
    </row>
    <row r="11899" spans="6:6" x14ac:dyDescent="0.3">
      <c r="F11899" s="193"/>
    </row>
    <row r="11900" spans="6:6" x14ac:dyDescent="0.3">
      <c r="F11900" s="193"/>
    </row>
    <row r="11901" spans="6:6" x14ac:dyDescent="0.3">
      <c r="F11901" s="193"/>
    </row>
    <row r="11902" spans="6:6" x14ac:dyDescent="0.3">
      <c r="F11902" s="193"/>
    </row>
    <row r="11903" spans="6:6" x14ac:dyDescent="0.3">
      <c r="F11903" s="193"/>
    </row>
    <row r="11904" spans="6:6" x14ac:dyDescent="0.3">
      <c r="F11904" s="193"/>
    </row>
    <row r="11905" spans="6:6" x14ac:dyDescent="0.3">
      <c r="F11905" s="193"/>
    </row>
    <row r="11906" spans="6:6" x14ac:dyDescent="0.3">
      <c r="F11906" s="193"/>
    </row>
    <row r="11907" spans="6:6" x14ac:dyDescent="0.3">
      <c r="F11907" s="193"/>
    </row>
    <row r="11908" spans="6:6" x14ac:dyDescent="0.3">
      <c r="F11908" s="193"/>
    </row>
    <row r="11909" spans="6:6" x14ac:dyDescent="0.3">
      <c r="F11909" s="193"/>
    </row>
    <row r="11910" spans="6:6" x14ac:dyDescent="0.3">
      <c r="F11910" s="193"/>
    </row>
    <row r="11911" spans="6:6" x14ac:dyDescent="0.3">
      <c r="F11911" s="193"/>
    </row>
    <row r="11912" spans="6:6" x14ac:dyDescent="0.3">
      <c r="F11912" s="193"/>
    </row>
    <row r="11913" spans="6:6" x14ac:dyDescent="0.3">
      <c r="F11913" s="193"/>
    </row>
    <row r="11914" spans="6:6" x14ac:dyDescent="0.3">
      <c r="F11914" s="193"/>
    </row>
    <row r="11915" spans="6:6" x14ac:dyDescent="0.3">
      <c r="F11915" s="193"/>
    </row>
    <row r="11916" spans="6:6" x14ac:dyDescent="0.3">
      <c r="F11916" s="193"/>
    </row>
    <row r="11917" spans="6:6" x14ac:dyDescent="0.3">
      <c r="F11917" s="193"/>
    </row>
    <row r="11918" spans="6:6" x14ac:dyDescent="0.3">
      <c r="F11918" s="193"/>
    </row>
    <row r="11919" spans="6:6" x14ac:dyDescent="0.3">
      <c r="F11919" s="193"/>
    </row>
    <row r="11920" spans="6:6" x14ac:dyDescent="0.3">
      <c r="F11920" s="193"/>
    </row>
    <row r="11921" spans="6:6" x14ac:dyDescent="0.3">
      <c r="F11921" s="193"/>
    </row>
    <row r="11922" spans="6:6" x14ac:dyDescent="0.3">
      <c r="F11922" s="193"/>
    </row>
    <row r="11923" spans="6:6" x14ac:dyDescent="0.3">
      <c r="F11923" s="193"/>
    </row>
    <row r="11924" spans="6:6" x14ac:dyDescent="0.3">
      <c r="F11924" s="193"/>
    </row>
    <row r="11925" spans="6:6" x14ac:dyDescent="0.3">
      <c r="F11925" s="193"/>
    </row>
    <row r="11926" spans="6:6" x14ac:dyDescent="0.3">
      <c r="F11926" s="193"/>
    </row>
    <row r="11927" spans="6:6" x14ac:dyDescent="0.3">
      <c r="F11927" s="193"/>
    </row>
    <row r="11928" spans="6:6" x14ac:dyDescent="0.3">
      <c r="F11928" s="193"/>
    </row>
    <row r="11929" spans="6:6" x14ac:dyDescent="0.3">
      <c r="F11929" s="193"/>
    </row>
    <row r="11930" spans="6:6" x14ac:dyDescent="0.3">
      <c r="F11930" s="193"/>
    </row>
    <row r="11931" spans="6:6" x14ac:dyDescent="0.3">
      <c r="F11931" s="193"/>
    </row>
    <row r="11932" spans="6:6" x14ac:dyDescent="0.3">
      <c r="F11932" s="193"/>
    </row>
    <row r="11933" spans="6:6" x14ac:dyDescent="0.3">
      <c r="F11933" s="193"/>
    </row>
    <row r="11934" spans="6:6" x14ac:dyDescent="0.3">
      <c r="F11934" s="193"/>
    </row>
    <row r="11935" spans="6:6" x14ac:dyDescent="0.3">
      <c r="F11935" s="193"/>
    </row>
    <row r="11936" spans="6:6" x14ac:dyDescent="0.3">
      <c r="F11936" s="193"/>
    </row>
    <row r="11937" spans="6:6" x14ac:dyDescent="0.3">
      <c r="F11937" s="193"/>
    </row>
    <row r="11938" spans="6:6" x14ac:dyDescent="0.3">
      <c r="F11938" s="193"/>
    </row>
    <row r="11939" spans="6:6" x14ac:dyDescent="0.3">
      <c r="F11939" s="193"/>
    </row>
    <row r="11940" spans="6:6" x14ac:dyDescent="0.3">
      <c r="F11940" s="193"/>
    </row>
    <row r="11941" spans="6:6" x14ac:dyDescent="0.3">
      <c r="F11941" s="193"/>
    </row>
    <row r="11942" spans="6:6" x14ac:dyDescent="0.3">
      <c r="F11942" s="193"/>
    </row>
    <row r="11943" spans="6:6" x14ac:dyDescent="0.3">
      <c r="F11943" s="193"/>
    </row>
    <row r="11944" spans="6:6" x14ac:dyDescent="0.3">
      <c r="F11944" s="193"/>
    </row>
    <row r="11945" spans="6:6" x14ac:dyDescent="0.3">
      <c r="F11945" s="193"/>
    </row>
    <row r="11946" spans="6:6" x14ac:dyDescent="0.3">
      <c r="F11946" s="193"/>
    </row>
    <row r="11947" spans="6:6" x14ac:dyDescent="0.3">
      <c r="F11947" s="193"/>
    </row>
    <row r="11948" spans="6:6" x14ac:dyDescent="0.3">
      <c r="F11948" s="193"/>
    </row>
    <row r="11949" spans="6:6" x14ac:dyDescent="0.3">
      <c r="F11949" s="193"/>
    </row>
    <row r="11950" spans="6:6" x14ac:dyDescent="0.3">
      <c r="F11950" s="193"/>
    </row>
    <row r="11951" spans="6:6" x14ac:dyDescent="0.3">
      <c r="F11951" s="193"/>
    </row>
    <row r="11952" spans="6:6" x14ac:dyDescent="0.3">
      <c r="F11952" s="193"/>
    </row>
    <row r="11953" spans="6:6" x14ac:dyDescent="0.3">
      <c r="F11953" s="193"/>
    </row>
    <row r="11954" spans="6:6" x14ac:dyDescent="0.3">
      <c r="F11954" s="193"/>
    </row>
    <row r="11955" spans="6:6" x14ac:dyDescent="0.3">
      <c r="F11955" s="193"/>
    </row>
    <row r="11956" spans="6:6" x14ac:dyDescent="0.3">
      <c r="F11956" s="193"/>
    </row>
    <row r="11957" spans="6:6" x14ac:dyDescent="0.3">
      <c r="F11957" s="193"/>
    </row>
    <row r="11958" spans="6:6" x14ac:dyDescent="0.3">
      <c r="F11958" s="193"/>
    </row>
    <row r="11959" spans="6:6" x14ac:dyDescent="0.3">
      <c r="F11959" s="193"/>
    </row>
    <row r="11960" spans="6:6" x14ac:dyDescent="0.3">
      <c r="F11960" s="193"/>
    </row>
    <row r="11961" spans="6:6" x14ac:dyDescent="0.3">
      <c r="F11961" s="193"/>
    </row>
    <row r="11962" spans="6:6" x14ac:dyDescent="0.3">
      <c r="F11962" s="193"/>
    </row>
    <row r="11963" spans="6:6" x14ac:dyDescent="0.3">
      <c r="F11963" s="193"/>
    </row>
    <row r="11964" spans="6:6" x14ac:dyDescent="0.3">
      <c r="F11964" s="193"/>
    </row>
    <row r="11965" spans="6:6" x14ac:dyDescent="0.3">
      <c r="F11965" s="193"/>
    </row>
    <row r="11966" spans="6:6" x14ac:dyDescent="0.3">
      <c r="F11966" s="193"/>
    </row>
    <row r="11967" spans="6:6" x14ac:dyDescent="0.3">
      <c r="F11967" s="193"/>
    </row>
    <row r="11968" spans="6:6" x14ac:dyDescent="0.3">
      <c r="F11968" s="193"/>
    </row>
    <row r="11969" spans="6:6" x14ac:dyDescent="0.3">
      <c r="F11969" s="193"/>
    </row>
    <row r="11970" spans="6:6" x14ac:dyDescent="0.3">
      <c r="F11970" s="193"/>
    </row>
    <row r="11971" spans="6:6" x14ac:dyDescent="0.3">
      <c r="F11971" s="193"/>
    </row>
    <row r="11972" spans="6:6" x14ac:dyDescent="0.3">
      <c r="F11972" s="193"/>
    </row>
    <row r="11973" spans="6:6" x14ac:dyDescent="0.3">
      <c r="F11973" s="193"/>
    </row>
    <row r="11974" spans="6:6" x14ac:dyDescent="0.3">
      <c r="F11974" s="193"/>
    </row>
    <row r="11975" spans="6:6" x14ac:dyDescent="0.3">
      <c r="F11975" s="193"/>
    </row>
    <row r="11976" spans="6:6" x14ac:dyDescent="0.3">
      <c r="F11976" s="193"/>
    </row>
    <row r="11977" spans="6:6" x14ac:dyDescent="0.3">
      <c r="F11977" s="193"/>
    </row>
    <row r="11978" spans="6:6" x14ac:dyDescent="0.3">
      <c r="F11978" s="193"/>
    </row>
    <row r="11979" spans="6:6" x14ac:dyDescent="0.3">
      <c r="F11979" s="193"/>
    </row>
    <row r="11980" spans="6:6" x14ac:dyDescent="0.3">
      <c r="F11980" s="193"/>
    </row>
    <row r="11981" spans="6:6" x14ac:dyDescent="0.3">
      <c r="F11981" s="193"/>
    </row>
    <row r="11982" spans="6:6" x14ac:dyDescent="0.3">
      <c r="F11982" s="193"/>
    </row>
    <row r="11983" spans="6:6" x14ac:dyDescent="0.3">
      <c r="F11983" s="193"/>
    </row>
    <row r="11984" spans="6:6" x14ac:dyDescent="0.3">
      <c r="F11984" s="193"/>
    </row>
    <row r="11985" spans="6:6" x14ac:dyDescent="0.3">
      <c r="F11985" s="193"/>
    </row>
    <row r="11986" spans="6:6" x14ac:dyDescent="0.3">
      <c r="F11986" s="193"/>
    </row>
    <row r="11987" spans="6:6" x14ac:dyDescent="0.3">
      <c r="F11987" s="193"/>
    </row>
    <row r="11988" spans="6:6" x14ac:dyDescent="0.3">
      <c r="F11988" s="193"/>
    </row>
    <row r="11989" spans="6:6" x14ac:dyDescent="0.3">
      <c r="F11989" s="193"/>
    </row>
    <row r="11990" spans="6:6" x14ac:dyDescent="0.3">
      <c r="F11990" s="193"/>
    </row>
    <row r="11991" spans="6:6" x14ac:dyDescent="0.3">
      <c r="F11991" s="193"/>
    </row>
    <row r="11992" spans="6:6" x14ac:dyDescent="0.3">
      <c r="F11992" s="193"/>
    </row>
    <row r="11993" spans="6:6" x14ac:dyDescent="0.3">
      <c r="F11993" s="193"/>
    </row>
    <row r="11994" spans="6:6" x14ac:dyDescent="0.3">
      <c r="F11994" s="193"/>
    </row>
    <row r="11995" spans="6:6" x14ac:dyDescent="0.3">
      <c r="F11995" s="193"/>
    </row>
    <row r="11996" spans="6:6" x14ac:dyDescent="0.3">
      <c r="F11996" s="193"/>
    </row>
    <row r="11997" spans="6:6" x14ac:dyDescent="0.3">
      <c r="F11997" s="193"/>
    </row>
    <row r="11998" spans="6:6" x14ac:dyDescent="0.3">
      <c r="F11998" s="193"/>
    </row>
    <row r="11999" spans="6:6" x14ac:dyDescent="0.3">
      <c r="F11999" s="193"/>
    </row>
    <row r="12000" spans="6:6" x14ac:dyDescent="0.3">
      <c r="F12000" s="193"/>
    </row>
    <row r="12001" spans="6:6" x14ac:dyDescent="0.3">
      <c r="F12001" s="193"/>
    </row>
    <row r="12002" spans="6:6" x14ac:dyDescent="0.3">
      <c r="F12002" s="193"/>
    </row>
    <row r="12003" spans="6:6" x14ac:dyDescent="0.3">
      <c r="F12003" s="193"/>
    </row>
    <row r="12004" spans="6:6" x14ac:dyDescent="0.3">
      <c r="F12004" s="193"/>
    </row>
    <row r="12005" spans="6:6" x14ac:dyDescent="0.3">
      <c r="F12005" s="193"/>
    </row>
    <row r="12006" spans="6:6" x14ac:dyDescent="0.3">
      <c r="F12006" s="193"/>
    </row>
    <row r="12007" spans="6:6" x14ac:dyDescent="0.3">
      <c r="F12007" s="193"/>
    </row>
    <row r="12008" spans="6:6" x14ac:dyDescent="0.3">
      <c r="F12008" s="193"/>
    </row>
    <row r="12009" spans="6:6" x14ac:dyDescent="0.3">
      <c r="F12009" s="193"/>
    </row>
    <row r="12010" spans="6:6" x14ac:dyDescent="0.3">
      <c r="F12010" s="193"/>
    </row>
    <row r="12011" spans="6:6" x14ac:dyDescent="0.3">
      <c r="F12011" s="193"/>
    </row>
    <row r="12012" spans="6:6" x14ac:dyDescent="0.3">
      <c r="F12012" s="193"/>
    </row>
    <row r="12013" spans="6:6" x14ac:dyDescent="0.3">
      <c r="F12013" s="193"/>
    </row>
    <row r="12014" spans="6:6" x14ac:dyDescent="0.3">
      <c r="F12014" s="193"/>
    </row>
    <row r="12015" spans="6:6" x14ac:dyDescent="0.3">
      <c r="F12015" s="193"/>
    </row>
    <row r="12016" spans="6:6" x14ac:dyDescent="0.3">
      <c r="F12016" s="193"/>
    </row>
    <row r="12017" spans="6:6" x14ac:dyDescent="0.3">
      <c r="F12017" s="193"/>
    </row>
    <row r="12018" spans="6:6" x14ac:dyDescent="0.3">
      <c r="F12018" s="193"/>
    </row>
    <row r="12019" spans="6:6" x14ac:dyDescent="0.3">
      <c r="F12019" s="193"/>
    </row>
    <row r="12020" spans="6:6" x14ac:dyDescent="0.3">
      <c r="F12020" s="193"/>
    </row>
    <row r="12021" spans="6:6" x14ac:dyDescent="0.3">
      <c r="F12021" s="193"/>
    </row>
    <row r="12022" spans="6:6" x14ac:dyDescent="0.3">
      <c r="F12022" s="193"/>
    </row>
    <row r="12023" spans="6:6" x14ac:dyDescent="0.3">
      <c r="F12023" s="193"/>
    </row>
    <row r="12024" spans="6:6" x14ac:dyDescent="0.3">
      <c r="F12024" s="193"/>
    </row>
    <row r="12025" spans="6:6" x14ac:dyDescent="0.3">
      <c r="F12025" s="193"/>
    </row>
    <row r="12026" spans="6:6" x14ac:dyDescent="0.3">
      <c r="F12026" s="193"/>
    </row>
    <row r="12027" spans="6:6" x14ac:dyDescent="0.3">
      <c r="F12027" s="193"/>
    </row>
    <row r="12028" spans="6:6" x14ac:dyDescent="0.3">
      <c r="F12028" s="193"/>
    </row>
    <row r="12029" spans="6:6" x14ac:dyDescent="0.3">
      <c r="F12029" s="193"/>
    </row>
    <row r="12030" spans="6:6" x14ac:dyDescent="0.3">
      <c r="F12030" s="193"/>
    </row>
    <row r="12031" spans="6:6" x14ac:dyDescent="0.3">
      <c r="F12031" s="193"/>
    </row>
    <row r="12032" spans="6:6" x14ac:dyDescent="0.3">
      <c r="F12032" s="193"/>
    </row>
    <row r="12033" spans="6:6" x14ac:dyDescent="0.3">
      <c r="F12033" s="193"/>
    </row>
    <row r="12034" spans="6:6" x14ac:dyDescent="0.3">
      <c r="F12034" s="193"/>
    </row>
    <row r="12035" spans="6:6" x14ac:dyDescent="0.3">
      <c r="F12035" s="193"/>
    </row>
    <row r="12036" spans="6:6" x14ac:dyDescent="0.3">
      <c r="F12036" s="193"/>
    </row>
    <row r="12037" spans="6:6" x14ac:dyDescent="0.3">
      <c r="F12037" s="193"/>
    </row>
    <row r="12038" spans="6:6" x14ac:dyDescent="0.3">
      <c r="F12038" s="193"/>
    </row>
    <row r="12039" spans="6:6" x14ac:dyDescent="0.3">
      <c r="F12039" s="193"/>
    </row>
    <row r="12040" spans="6:6" x14ac:dyDescent="0.3">
      <c r="F12040" s="193"/>
    </row>
    <row r="12041" spans="6:6" x14ac:dyDescent="0.3">
      <c r="F12041" s="193"/>
    </row>
    <row r="12042" spans="6:6" x14ac:dyDescent="0.3">
      <c r="F12042" s="193"/>
    </row>
    <row r="12043" spans="6:6" x14ac:dyDescent="0.3">
      <c r="F12043" s="193"/>
    </row>
    <row r="12044" spans="6:6" x14ac:dyDescent="0.3">
      <c r="F12044" s="193"/>
    </row>
    <row r="12045" spans="6:6" x14ac:dyDescent="0.3">
      <c r="F12045" s="193"/>
    </row>
    <row r="12046" spans="6:6" x14ac:dyDescent="0.3">
      <c r="F12046" s="193"/>
    </row>
    <row r="12047" spans="6:6" x14ac:dyDescent="0.3">
      <c r="F12047" s="193"/>
    </row>
    <row r="12048" spans="6:6" x14ac:dyDescent="0.3">
      <c r="F12048" s="193"/>
    </row>
    <row r="12049" spans="6:6" x14ac:dyDescent="0.3">
      <c r="F12049" s="193"/>
    </row>
    <row r="12050" spans="6:6" x14ac:dyDescent="0.3">
      <c r="F12050" s="193"/>
    </row>
    <row r="12051" spans="6:6" x14ac:dyDescent="0.3">
      <c r="F12051" s="193"/>
    </row>
    <row r="12052" spans="6:6" x14ac:dyDescent="0.3">
      <c r="F12052" s="193"/>
    </row>
    <row r="12053" spans="6:6" x14ac:dyDescent="0.3">
      <c r="F12053" s="193"/>
    </row>
    <row r="12054" spans="6:6" x14ac:dyDescent="0.3">
      <c r="F12054" s="193"/>
    </row>
    <row r="12055" spans="6:6" x14ac:dyDescent="0.3">
      <c r="F12055" s="193"/>
    </row>
    <row r="12056" spans="6:6" x14ac:dyDescent="0.3">
      <c r="F12056" s="193"/>
    </row>
    <row r="12057" spans="6:6" x14ac:dyDescent="0.3">
      <c r="F12057" s="193"/>
    </row>
    <row r="12058" spans="6:6" x14ac:dyDescent="0.3">
      <c r="F12058" s="193"/>
    </row>
    <row r="12059" spans="6:6" x14ac:dyDescent="0.3">
      <c r="F12059" s="193"/>
    </row>
    <row r="12060" spans="6:6" x14ac:dyDescent="0.3">
      <c r="F12060" s="193"/>
    </row>
    <row r="12061" spans="6:6" x14ac:dyDescent="0.3">
      <c r="F12061" s="193"/>
    </row>
    <row r="12062" spans="6:6" x14ac:dyDescent="0.3">
      <c r="F12062" s="193"/>
    </row>
    <row r="12063" spans="6:6" x14ac:dyDescent="0.3">
      <c r="F12063" s="193"/>
    </row>
    <row r="12064" spans="6:6" x14ac:dyDescent="0.3">
      <c r="F12064" s="193"/>
    </row>
    <row r="12065" spans="6:6" x14ac:dyDescent="0.3">
      <c r="F12065" s="193"/>
    </row>
    <row r="12066" spans="6:6" x14ac:dyDescent="0.3">
      <c r="F12066" s="193"/>
    </row>
    <row r="12067" spans="6:6" x14ac:dyDescent="0.3">
      <c r="F12067" s="193"/>
    </row>
    <row r="12068" spans="6:6" x14ac:dyDescent="0.3">
      <c r="F12068" s="193"/>
    </row>
    <row r="12069" spans="6:6" x14ac:dyDescent="0.3">
      <c r="F12069" s="193"/>
    </row>
    <row r="12070" spans="6:6" x14ac:dyDescent="0.3">
      <c r="F12070" s="193"/>
    </row>
    <row r="12071" spans="6:6" x14ac:dyDescent="0.3">
      <c r="F12071" s="193"/>
    </row>
    <row r="12072" spans="6:6" x14ac:dyDescent="0.3">
      <c r="F12072" s="193"/>
    </row>
    <row r="12073" spans="6:6" x14ac:dyDescent="0.3">
      <c r="F12073" s="193"/>
    </row>
    <row r="12074" spans="6:6" x14ac:dyDescent="0.3">
      <c r="F12074" s="193"/>
    </row>
    <row r="12075" spans="6:6" x14ac:dyDescent="0.3">
      <c r="F12075" s="193"/>
    </row>
    <row r="12076" spans="6:6" x14ac:dyDescent="0.3">
      <c r="F12076" s="193"/>
    </row>
    <row r="12077" spans="6:6" x14ac:dyDescent="0.3">
      <c r="F12077" s="193"/>
    </row>
    <row r="12078" spans="6:6" x14ac:dyDescent="0.3">
      <c r="F12078" s="193"/>
    </row>
    <row r="12079" spans="6:6" x14ac:dyDescent="0.3">
      <c r="F12079" s="193"/>
    </row>
    <row r="12080" spans="6:6" x14ac:dyDescent="0.3">
      <c r="F12080" s="193"/>
    </row>
    <row r="12081" spans="6:6" x14ac:dyDescent="0.3">
      <c r="F12081" s="193"/>
    </row>
    <row r="12082" spans="6:6" x14ac:dyDescent="0.3">
      <c r="F12082" s="193"/>
    </row>
    <row r="12083" spans="6:6" x14ac:dyDescent="0.3">
      <c r="F12083" s="193"/>
    </row>
    <row r="12084" spans="6:6" x14ac:dyDescent="0.3">
      <c r="F12084" s="193"/>
    </row>
    <row r="12085" spans="6:6" x14ac:dyDescent="0.3">
      <c r="F12085" s="193"/>
    </row>
    <row r="12086" spans="6:6" x14ac:dyDescent="0.3">
      <c r="F12086" s="193"/>
    </row>
    <row r="12087" spans="6:6" x14ac:dyDescent="0.3">
      <c r="F12087" s="193"/>
    </row>
    <row r="12088" spans="6:6" x14ac:dyDescent="0.3">
      <c r="F12088" s="193"/>
    </row>
    <row r="12089" spans="6:6" x14ac:dyDescent="0.3">
      <c r="F12089" s="193"/>
    </row>
    <row r="12090" spans="6:6" x14ac:dyDescent="0.3">
      <c r="F12090" s="193"/>
    </row>
    <row r="12091" spans="6:6" x14ac:dyDescent="0.3">
      <c r="F12091" s="193"/>
    </row>
    <row r="12092" spans="6:6" x14ac:dyDescent="0.3">
      <c r="F12092" s="193"/>
    </row>
    <row r="12093" spans="6:6" x14ac:dyDescent="0.3">
      <c r="F12093" s="193"/>
    </row>
    <row r="12094" spans="6:6" x14ac:dyDescent="0.3">
      <c r="F12094" s="193"/>
    </row>
    <row r="12095" spans="6:6" x14ac:dyDescent="0.3">
      <c r="F12095" s="193"/>
    </row>
    <row r="12096" spans="6:6" x14ac:dyDescent="0.3">
      <c r="F12096" s="193"/>
    </row>
    <row r="12097" spans="6:6" x14ac:dyDescent="0.3">
      <c r="F12097" s="193"/>
    </row>
    <row r="12098" spans="6:6" x14ac:dyDescent="0.3">
      <c r="F12098" s="193"/>
    </row>
    <row r="12099" spans="6:6" x14ac:dyDescent="0.3">
      <c r="F12099" s="193"/>
    </row>
    <row r="12100" spans="6:6" x14ac:dyDescent="0.3">
      <c r="F12100" s="193"/>
    </row>
    <row r="12101" spans="6:6" x14ac:dyDescent="0.3">
      <c r="F12101" s="193"/>
    </row>
    <row r="12102" spans="6:6" x14ac:dyDescent="0.3">
      <c r="F12102" s="193"/>
    </row>
    <row r="12103" spans="6:6" x14ac:dyDescent="0.3">
      <c r="F12103" s="193"/>
    </row>
    <row r="12104" spans="6:6" x14ac:dyDescent="0.3">
      <c r="F12104" s="193"/>
    </row>
    <row r="12105" spans="6:6" x14ac:dyDescent="0.3">
      <c r="F12105" s="193"/>
    </row>
    <row r="12106" spans="6:6" x14ac:dyDescent="0.3">
      <c r="F12106" s="193"/>
    </row>
    <row r="12107" spans="6:6" x14ac:dyDescent="0.3">
      <c r="F12107" s="193"/>
    </row>
    <row r="12108" spans="6:6" x14ac:dyDescent="0.3">
      <c r="F12108" s="193"/>
    </row>
    <row r="12109" spans="6:6" x14ac:dyDescent="0.3">
      <c r="F12109" s="193"/>
    </row>
    <row r="12110" spans="6:6" x14ac:dyDescent="0.3">
      <c r="F12110" s="193"/>
    </row>
    <row r="12111" spans="6:6" x14ac:dyDescent="0.3">
      <c r="F12111" s="193"/>
    </row>
    <row r="12112" spans="6:6" x14ac:dyDescent="0.3">
      <c r="F12112" s="193"/>
    </row>
    <row r="12113" spans="6:6" x14ac:dyDescent="0.3">
      <c r="F12113" s="193"/>
    </row>
    <row r="12114" spans="6:6" x14ac:dyDescent="0.3">
      <c r="F12114" s="193"/>
    </row>
    <row r="12115" spans="6:6" x14ac:dyDescent="0.3">
      <c r="F12115" s="193"/>
    </row>
    <row r="12116" spans="6:6" x14ac:dyDescent="0.3">
      <c r="F12116" s="193"/>
    </row>
    <row r="12117" spans="6:6" x14ac:dyDescent="0.3">
      <c r="F12117" s="193"/>
    </row>
    <row r="12118" spans="6:6" x14ac:dyDescent="0.3">
      <c r="F12118" s="193"/>
    </row>
    <row r="12119" spans="6:6" x14ac:dyDescent="0.3">
      <c r="F12119" s="193"/>
    </row>
    <row r="12120" spans="6:6" x14ac:dyDescent="0.3">
      <c r="F12120" s="193"/>
    </row>
    <row r="12121" spans="6:6" x14ac:dyDescent="0.3">
      <c r="F12121" s="193"/>
    </row>
    <row r="12122" spans="6:6" x14ac:dyDescent="0.3">
      <c r="F12122" s="193"/>
    </row>
    <row r="12123" spans="6:6" x14ac:dyDescent="0.3">
      <c r="F12123" s="193"/>
    </row>
    <row r="12124" spans="6:6" x14ac:dyDescent="0.3">
      <c r="F12124" s="193"/>
    </row>
    <row r="12125" spans="6:6" x14ac:dyDescent="0.3">
      <c r="F12125" s="193"/>
    </row>
    <row r="12126" spans="6:6" x14ac:dyDescent="0.3">
      <c r="F12126" s="193"/>
    </row>
    <row r="12127" spans="6:6" x14ac:dyDescent="0.3">
      <c r="F12127" s="193"/>
    </row>
    <row r="12128" spans="6:6" x14ac:dyDescent="0.3">
      <c r="F12128" s="193"/>
    </row>
    <row r="12129" spans="6:6" x14ac:dyDescent="0.3">
      <c r="F12129" s="193"/>
    </row>
    <row r="12130" spans="6:6" x14ac:dyDescent="0.3">
      <c r="F12130" s="193"/>
    </row>
    <row r="12131" spans="6:6" x14ac:dyDescent="0.3">
      <c r="F12131" s="193"/>
    </row>
    <row r="12132" spans="6:6" x14ac:dyDescent="0.3">
      <c r="F12132" s="193"/>
    </row>
    <row r="12133" spans="6:6" x14ac:dyDescent="0.3">
      <c r="F12133" s="193"/>
    </row>
    <row r="12134" spans="6:6" x14ac:dyDescent="0.3">
      <c r="F12134" s="193"/>
    </row>
    <row r="12135" spans="6:6" x14ac:dyDescent="0.3">
      <c r="F12135" s="193"/>
    </row>
    <row r="12136" spans="6:6" x14ac:dyDescent="0.3">
      <c r="F12136" s="193"/>
    </row>
    <row r="12137" spans="6:6" x14ac:dyDescent="0.3">
      <c r="F12137" s="193"/>
    </row>
    <row r="12138" spans="6:6" x14ac:dyDescent="0.3">
      <c r="F12138" s="193"/>
    </row>
    <row r="12139" spans="6:6" x14ac:dyDescent="0.3">
      <c r="F12139" s="193"/>
    </row>
    <row r="12140" spans="6:6" x14ac:dyDescent="0.3">
      <c r="F12140" s="193"/>
    </row>
    <row r="12141" spans="6:6" x14ac:dyDescent="0.3">
      <c r="F12141" s="193"/>
    </row>
    <row r="12142" spans="6:6" x14ac:dyDescent="0.3">
      <c r="F12142" s="193"/>
    </row>
    <row r="12143" spans="6:6" x14ac:dyDescent="0.3">
      <c r="F12143" s="193"/>
    </row>
    <row r="12144" spans="6:6" x14ac:dyDescent="0.3">
      <c r="F12144" s="193"/>
    </row>
    <row r="12145" spans="6:6" x14ac:dyDescent="0.3">
      <c r="F12145" s="193"/>
    </row>
    <row r="12146" spans="6:6" x14ac:dyDescent="0.3">
      <c r="F12146" s="193"/>
    </row>
    <row r="12147" spans="6:6" x14ac:dyDescent="0.3">
      <c r="F12147" s="193"/>
    </row>
    <row r="12148" spans="6:6" x14ac:dyDescent="0.3">
      <c r="F12148" s="193"/>
    </row>
    <row r="12149" spans="6:6" x14ac:dyDescent="0.3">
      <c r="F12149" s="193"/>
    </row>
    <row r="12150" spans="6:6" x14ac:dyDescent="0.3">
      <c r="F12150" s="193"/>
    </row>
    <row r="12151" spans="6:6" x14ac:dyDescent="0.3">
      <c r="F12151" s="193"/>
    </row>
    <row r="12152" spans="6:6" x14ac:dyDescent="0.3">
      <c r="F12152" s="193"/>
    </row>
    <row r="12153" spans="6:6" x14ac:dyDescent="0.3">
      <c r="F12153" s="193"/>
    </row>
    <row r="12154" spans="6:6" x14ac:dyDescent="0.3">
      <c r="F12154" s="193"/>
    </row>
    <row r="12155" spans="6:6" x14ac:dyDescent="0.3">
      <c r="F12155" s="193"/>
    </row>
    <row r="12156" spans="6:6" x14ac:dyDescent="0.3">
      <c r="F12156" s="193"/>
    </row>
    <row r="12157" spans="6:6" x14ac:dyDescent="0.3">
      <c r="F12157" s="193"/>
    </row>
    <row r="12158" spans="6:6" x14ac:dyDescent="0.3">
      <c r="F12158" s="193"/>
    </row>
    <row r="12159" spans="6:6" x14ac:dyDescent="0.3">
      <c r="F12159" s="193"/>
    </row>
    <row r="12160" spans="6:6" x14ac:dyDescent="0.3">
      <c r="F12160" s="193"/>
    </row>
    <row r="12161" spans="6:6" x14ac:dyDescent="0.3">
      <c r="F12161" s="193"/>
    </row>
    <row r="12162" spans="6:6" x14ac:dyDescent="0.3">
      <c r="F12162" s="193"/>
    </row>
    <row r="12163" spans="6:6" x14ac:dyDescent="0.3">
      <c r="F12163" s="193"/>
    </row>
    <row r="12164" spans="6:6" x14ac:dyDescent="0.3">
      <c r="F12164" s="193"/>
    </row>
    <row r="12165" spans="6:6" x14ac:dyDescent="0.3">
      <c r="F12165" s="193"/>
    </row>
    <row r="12166" spans="6:6" x14ac:dyDescent="0.3">
      <c r="F12166" s="193"/>
    </row>
    <row r="12167" spans="6:6" x14ac:dyDescent="0.3">
      <c r="F12167" s="193"/>
    </row>
    <row r="12168" spans="6:6" x14ac:dyDescent="0.3">
      <c r="F12168" s="193"/>
    </row>
    <row r="12169" spans="6:6" x14ac:dyDescent="0.3">
      <c r="F12169" s="193"/>
    </row>
    <row r="12170" spans="6:6" x14ac:dyDescent="0.3">
      <c r="F12170" s="193"/>
    </row>
    <row r="12171" spans="6:6" x14ac:dyDescent="0.3">
      <c r="F12171" s="193"/>
    </row>
    <row r="12172" spans="6:6" x14ac:dyDescent="0.3">
      <c r="F12172" s="193"/>
    </row>
    <row r="12173" spans="6:6" x14ac:dyDescent="0.3">
      <c r="F12173" s="193"/>
    </row>
    <row r="12174" spans="6:6" x14ac:dyDescent="0.3">
      <c r="F12174" s="193"/>
    </row>
    <row r="12175" spans="6:6" x14ac:dyDescent="0.3">
      <c r="F12175" s="193"/>
    </row>
    <row r="12176" spans="6:6" x14ac:dyDescent="0.3">
      <c r="F12176" s="193"/>
    </row>
    <row r="12177" spans="6:6" x14ac:dyDescent="0.3">
      <c r="F12177" s="193"/>
    </row>
    <row r="12178" spans="6:6" x14ac:dyDescent="0.3">
      <c r="F12178" s="193"/>
    </row>
    <row r="12179" spans="6:6" x14ac:dyDescent="0.3">
      <c r="F12179" s="193"/>
    </row>
    <row r="12180" spans="6:6" x14ac:dyDescent="0.3">
      <c r="F12180" s="193"/>
    </row>
    <row r="12181" spans="6:6" x14ac:dyDescent="0.3">
      <c r="F12181" s="193"/>
    </row>
    <row r="12182" spans="6:6" x14ac:dyDescent="0.3">
      <c r="F12182" s="193"/>
    </row>
    <row r="12183" spans="6:6" x14ac:dyDescent="0.3">
      <c r="F12183" s="193"/>
    </row>
    <row r="12184" spans="6:6" x14ac:dyDescent="0.3">
      <c r="F12184" s="193"/>
    </row>
    <row r="12185" spans="6:6" x14ac:dyDescent="0.3">
      <c r="F12185" s="193"/>
    </row>
    <row r="12186" spans="6:6" x14ac:dyDescent="0.3">
      <c r="F12186" s="193"/>
    </row>
    <row r="12187" spans="6:6" x14ac:dyDescent="0.3">
      <c r="F12187" s="193"/>
    </row>
    <row r="12188" spans="6:6" x14ac:dyDescent="0.3">
      <c r="F12188" s="193"/>
    </row>
    <row r="12189" spans="6:6" x14ac:dyDescent="0.3">
      <c r="F12189" s="193"/>
    </row>
    <row r="12190" spans="6:6" x14ac:dyDescent="0.3">
      <c r="F12190" s="193"/>
    </row>
    <row r="12191" spans="6:6" x14ac:dyDescent="0.3">
      <c r="F12191" s="193"/>
    </row>
    <row r="12192" spans="6:6" x14ac:dyDescent="0.3">
      <c r="F12192" s="193"/>
    </row>
    <row r="12193" spans="6:6" x14ac:dyDescent="0.3">
      <c r="F12193" s="193"/>
    </row>
    <row r="12194" spans="6:6" x14ac:dyDescent="0.3">
      <c r="F12194" s="193"/>
    </row>
    <row r="12195" spans="6:6" x14ac:dyDescent="0.3">
      <c r="F12195" s="193"/>
    </row>
    <row r="12196" spans="6:6" x14ac:dyDescent="0.3">
      <c r="F12196" s="193"/>
    </row>
    <row r="12197" spans="6:6" x14ac:dyDescent="0.3">
      <c r="F12197" s="193"/>
    </row>
    <row r="12198" spans="6:6" x14ac:dyDescent="0.3">
      <c r="F12198" s="193"/>
    </row>
    <row r="12199" spans="6:6" x14ac:dyDescent="0.3">
      <c r="F12199" s="193"/>
    </row>
    <row r="12200" spans="6:6" x14ac:dyDescent="0.3">
      <c r="F12200" s="193"/>
    </row>
    <row r="12201" spans="6:6" x14ac:dyDescent="0.3">
      <c r="F12201" s="193"/>
    </row>
    <row r="12202" spans="6:6" x14ac:dyDescent="0.3">
      <c r="F12202" s="193"/>
    </row>
    <row r="12203" spans="6:6" x14ac:dyDescent="0.3">
      <c r="F12203" s="193"/>
    </row>
    <row r="12204" spans="6:6" x14ac:dyDescent="0.3">
      <c r="F12204" s="193"/>
    </row>
    <row r="12205" spans="6:6" x14ac:dyDescent="0.3">
      <c r="F12205" s="193"/>
    </row>
    <row r="12206" spans="6:6" x14ac:dyDescent="0.3">
      <c r="F12206" s="193"/>
    </row>
    <row r="12207" spans="6:6" x14ac:dyDescent="0.3">
      <c r="F12207" s="193"/>
    </row>
    <row r="12208" spans="6:6" x14ac:dyDescent="0.3">
      <c r="F12208" s="193"/>
    </row>
    <row r="12209" spans="6:6" x14ac:dyDescent="0.3">
      <c r="F12209" s="193"/>
    </row>
    <row r="12210" spans="6:6" x14ac:dyDescent="0.3">
      <c r="F12210" s="193"/>
    </row>
    <row r="12211" spans="6:6" x14ac:dyDescent="0.3">
      <c r="F12211" s="193"/>
    </row>
    <row r="12212" spans="6:6" x14ac:dyDescent="0.3">
      <c r="F12212" s="193"/>
    </row>
    <row r="12213" spans="6:6" x14ac:dyDescent="0.3">
      <c r="F12213" s="193"/>
    </row>
    <row r="12214" spans="6:6" x14ac:dyDescent="0.3">
      <c r="F12214" s="193"/>
    </row>
    <row r="12215" spans="6:6" x14ac:dyDescent="0.3">
      <c r="F12215" s="193"/>
    </row>
    <row r="12216" spans="6:6" x14ac:dyDescent="0.3">
      <c r="F12216" s="193"/>
    </row>
    <row r="12217" spans="6:6" x14ac:dyDescent="0.3">
      <c r="F12217" s="193"/>
    </row>
    <row r="12218" spans="6:6" x14ac:dyDescent="0.3">
      <c r="F12218" s="193"/>
    </row>
    <row r="12219" spans="6:6" x14ac:dyDescent="0.3">
      <c r="F12219" s="193"/>
    </row>
    <row r="12220" spans="6:6" x14ac:dyDescent="0.3">
      <c r="F12220" s="193"/>
    </row>
    <row r="12221" spans="6:6" x14ac:dyDescent="0.3">
      <c r="F12221" s="193"/>
    </row>
    <row r="12222" spans="6:6" x14ac:dyDescent="0.3">
      <c r="F12222" s="193"/>
    </row>
    <row r="12223" spans="6:6" x14ac:dyDescent="0.3">
      <c r="F12223" s="193"/>
    </row>
    <row r="12224" spans="6:6" x14ac:dyDescent="0.3">
      <c r="F12224" s="193"/>
    </row>
    <row r="12225" spans="6:6" x14ac:dyDescent="0.3">
      <c r="F12225" s="193"/>
    </row>
    <row r="12226" spans="6:6" x14ac:dyDescent="0.3">
      <c r="F12226" s="193"/>
    </row>
    <row r="12227" spans="6:6" x14ac:dyDescent="0.3">
      <c r="F12227" s="193"/>
    </row>
    <row r="12228" spans="6:6" x14ac:dyDescent="0.3">
      <c r="F12228" s="193"/>
    </row>
    <row r="12229" spans="6:6" x14ac:dyDescent="0.3">
      <c r="F12229" s="193"/>
    </row>
    <row r="12230" spans="6:6" x14ac:dyDescent="0.3">
      <c r="F12230" s="193"/>
    </row>
    <row r="12231" spans="6:6" x14ac:dyDescent="0.3">
      <c r="F12231" s="193"/>
    </row>
    <row r="12232" spans="6:6" x14ac:dyDescent="0.3">
      <c r="F12232" s="193"/>
    </row>
    <row r="12233" spans="6:6" x14ac:dyDescent="0.3">
      <c r="F12233" s="193"/>
    </row>
    <row r="12234" spans="6:6" x14ac:dyDescent="0.3">
      <c r="F12234" s="193"/>
    </row>
    <row r="12235" spans="6:6" x14ac:dyDescent="0.3">
      <c r="F12235" s="193"/>
    </row>
    <row r="12236" spans="6:6" x14ac:dyDescent="0.3">
      <c r="F12236" s="193"/>
    </row>
    <row r="12237" spans="6:6" x14ac:dyDescent="0.3">
      <c r="F12237" s="193"/>
    </row>
    <row r="12238" spans="6:6" x14ac:dyDescent="0.3">
      <c r="F12238" s="193"/>
    </row>
    <row r="12239" spans="6:6" x14ac:dyDescent="0.3">
      <c r="F12239" s="193"/>
    </row>
    <row r="12240" spans="6:6" x14ac:dyDescent="0.3">
      <c r="F12240" s="193"/>
    </row>
    <row r="12241" spans="6:6" x14ac:dyDescent="0.3">
      <c r="F12241" s="193"/>
    </row>
    <row r="12242" spans="6:6" x14ac:dyDescent="0.3">
      <c r="F12242" s="193"/>
    </row>
    <row r="12243" spans="6:6" x14ac:dyDescent="0.3">
      <c r="F12243" s="193"/>
    </row>
    <row r="12244" spans="6:6" x14ac:dyDescent="0.3">
      <c r="F12244" s="193"/>
    </row>
    <row r="12245" spans="6:6" x14ac:dyDescent="0.3">
      <c r="F12245" s="193"/>
    </row>
    <row r="12246" spans="6:6" x14ac:dyDescent="0.3">
      <c r="F12246" s="193"/>
    </row>
    <row r="12247" spans="6:6" x14ac:dyDescent="0.3">
      <c r="F12247" s="193"/>
    </row>
    <row r="12248" spans="6:6" x14ac:dyDescent="0.3">
      <c r="F12248" s="193"/>
    </row>
    <row r="12249" spans="6:6" x14ac:dyDescent="0.3">
      <c r="F12249" s="193"/>
    </row>
    <row r="12250" spans="6:6" x14ac:dyDescent="0.3">
      <c r="F12250" s="193"/>
    </row>
    <row r="12251" spans="6:6" x14ac:dyDescent="0.3">
      <c r="F12251" s="193"/>
    </row>
    <row r="12252" spans="6:6" x14ac:dyDescent="0.3">
      <c r="F12252" s="193"/>
    </row>
    <row r="12253" spans="6:6" x14ac:dyDescent="0.3">
      <c r="F12253" s="193"/>
    </row>
    <row r="12254" spans="6:6" x14ac:dyDescent="0.3">
      <c r="F12254" s="193"/>
    </row>
    <row r="12255" spans="6:6" x14ac:dyDescent="0.3">
      <c r="F12255" s="193"/>
    </row>
    <row r="12256" spans="6:6" x14ac:dyDescent="0.3">
      <c r="F12256" s="193"/>
    </row>
    <row r="12257" spans="6:6" x14ac:dyDescent="0.3">
      <c r="F12257" s="193"/>
    </row>
    <row r="12258" spans="6:6" x14ac:dyDescent="0.3">
      <c r="F12258" s="193"/>
    </row>
    <row r="12259" spans="6:6" x14ac:dyDescent="0.3">
      <c r="F12259" s="193"/>
    </row>
    <row r="12260" spans="6:6" x14ac:dyDescent="0.3">
      <c r="F12260" s="193"/>
    </row>
    <row r="12261" spans="6:6" x14ac:dyDescent="0.3">
      <c r="F12261" s="193"/>
    </row>
    <row r="12262" spans="6:6" x14ac:dyDescent="0.3">
      <c r="F12262" s="193"/>
    </row>
    <row r="12263" spans="6:6" x14ac:dyDescent="0.3">
      <c r="F12263" s="193"/>
    </row>
    <row r="12264" spans="6:6" x14ac:dyDescent="0.3">
      <c r="F12264" s="193"/>
    </row>
    <row r="12265" spans="6:6" x14ac:dyDescent="0.3">
      <c r="F12265" s="193"/>
    </row>
    <row r="12266" spans="6:6" x14ac:dyDescent="0.3">
      <c r="F12266" s="193"/>
    </row>
    <row r="12267" spans="6:6" x14ac:dyDescent="0.3">
      <c r="F12267" s="193"/>
    </row>
    <row r="12268" spans="6:6" x14ac:dyDescent="0.3">
      <c r="F12268" s="193"/>
    </row>
    <row r="12269" spans="6:6" x14ac:dyDescent="0.3">
      <c r="F12269" s="193"/>
    </row>
    <row r="12270" spans="6:6" x14ac:dyDescent="0.3">
      <c r="F12270" s="193"/>
    </row>
    <row r="12271" spans="6:6" x14ac:dyDescent="0.3">
      <c r="F12271" s="193"/>
    </row>
    <row r="12272" spans="6:6" x14ac:dyDescent="0.3">
      <c r="F12272" s="193"/>
    </row>
    <row r="12273" spans="6:6" x14ac:dyDescent="0.3">
      <c r="F12273" s="193"/>
    </row>
    <row r="12274" spans="6:6" x14ac:dyDescent="0.3">
      <c r="F12274" s="193"/>
    </row>
    <row r="12275" spans="6:6" x14ac:dyDescent="0.3">
      <c r="F12275" s="193"/>
    </row>
    <row r="12276" spans="6:6" x14ac:dyDescent="0.3">
      <c r="F12276" s="193"/>
    </row>
    <row r="12277" spans="6:6" x14ac:dyDescent="0.3">
      <c r="F12277" s="193"/>
    </row>
    <row r="12278" spans="6:6" x14ac:dyDescent="0.3">
      <c r="F12278" s="193"/>
    </row>
    <row r="12279" spans="6:6" x14ac:dyDescent="0.3">
      <c r="F12279" s="193"/>
    </row>
    <row r="12280" spans="6:6" x14ac:dyDescent="0.3">
      <c r="F12280" s="193"/>
    </row>
    <row r="12281" spans="6:6" x14ac:dyDescent="0.3">
      <c r="F12281" s="193"/>
    </row>
    <row r="12282" spans="6:6" x14ac:dyDescent="0.3">
      <c r="F12282" s="193"/>
    </row>
    <row r="12283" spans="6:6" x14ac:dyDescent="0.3">
      <c r="F12283" s="193"/>
    </row>
    <row r="12284" spans="6:6" x14ac:dyDescent="0.3">
      <c r="F12284" s="193"/>
    </row>
    <row r="12285" spans="6:6" x14ac:dyDescent="0.3">
      <c r="F12285" s="193"/>
    </row>
    <row r="12286" spans="6:6" x14ac:dyDescent="0.3">
      <c r="F12286" s="193"/>
    </row>
    <row r="12287" spans="6:6" x14ac:dyDescent="0.3">
      <c r="F12287" s="193"/>
    </row>
    <row r="12288" spans="6:6" x14ac:dyDescent="0.3">
      <c r="F12288" s="193"/>
    </row>
    <row r="12289" spans="6:6" x14ac:dyDescent="0.3">
      <c r="F12289" s="193"/>
    </row>
    <row r="12290" spans="6:6" x14ac:dyDescent="0.3">
      <c r="F12290" s="193"/>
    </row>
    <row r="12291" spans="6:6" x14ac:dyDescent="0.3">
      <c r="F12291" s="193"/>
    </row>
    <row r="12292" spans="6:6" x14ac:dyDescent="0.3">
      <c r="F12292" s="193"/>
    </row>
    <row r="12293" spans="6:6" x14ac:dyDescent="0.3">
      <c r="F12293" s="193"/>
    </row>
    <row r="12294" spans="6:6" x14ac:dyDescent="0.3">
      <c r="F12294" s="193"/>
    </row>
    <row r="12295" spans="6:6" x14ac:dyDescent="0.3">
      <c r="F12295" s="193"/>
    </row>
    <row r="12296" spans="6:6" x14ac:dyDescent="0.3">
      <c r="F12296" s="193"/>
    </row>
    <row r="12297" spans="6:6" x14ac:dyDescent="0.3">
      <c r="F12297" s="193"/>
    </row>
    <row r="12298" spans="6:6" x14ac:dyDescent="0.3">
      <c r="F12298" s="193"/>
    </row>
    <row r="12299" spans="6:6" x14ac:dyDescent="0.3">
      <c r="F12299" s="193"/>
    </row>
    <row r="12300" spans="6:6" x14ac:dyDescent="0.3">
      <c r="F12300" s="193"/>
    </row>
    <row r="12301" spans="6:6" x14ac:dyDescent="0.3">
      <c r="F12301" s="193"/>
    </row>
    <row r="12302" spans="6:6" x14ac:dyDescent="0.3">
      <c r="F12302" s="193"/>
    </row>
    <row r="12303" spans="6:6" x14ac:dyDescent="0.3">
      <c r="F12303" s="193"/>
    </row>
    <row r="12304" spans="6:6" x14ac:dyDescent="0.3">
      <c r="F12304" s="193"/>
    </row>
    <row r="12305" spans="6:6" x14ac:dyDescent="0.3">
      <c r="F12305" s="193"/>
    </row>
    <row r="12306" spans="6:6" x14ac:dyDescent="0.3">
      <c r="F12306" s="193"/>
    </row>
    <row r="12307" spans="6:6" x14ac:dyDescent="0.3">
      <c r="F12307" s="193"/>
    </row>
    <row r="12308" spans="6:6" x14ac:dyDescent="0.3">
      <c r="F12308" s="193"/>
    </row>
    <row r="12309" spans="6:6" x14ac:dyDescent="0.3">
      <c r="F12309" s="193"/>
    </row>
    <row r="12310" spans="6:6" x14ac:dyDescent="0.3">
      <c r="F12310" s="193"/>
    </row>
    <row r="12311" spans="6:6" x14ac:dyDescent="0.3">
      <c r="F12311" s="193"/>
    </row>
    <row r="12312" spans="6:6" x14ac:dyDescent="0.3">
      <c r="F12312" s="193"/>
    </row>
    <row r="12313" spans="6:6" x14ac:dyDescent="0.3">
      <c r="F12313" s="193"/>
    </row>
    <row r="12314" spans="6:6" x14ac:dyDescent="0.3">
      <c r="F12314" s="193"/>
    </row>
    <row r="12315" spans="6:6" x14ac:dyDescent="0.3">
      <c r="F12315" s="193"/>
    </row>
    <row r="12316" spans="6:6" x14ac:dyDescent="0.3">
      <c r="F12316" s="193"/>
    </row>
    <row r="12317" spans="6:6" x14ac:dyDescent="0.3">
      <c r="F12317" s="193"/>
    </row>
    <row r="12318" spans="6:6" x14ac:dyDescent="0.3">
      <c r="F12318" s="193"/>
    </row>
    <row r="12319" spans="6:6" x14ac:dyDescent="0.3">
      <c r="F12319" s="193"/>
    </row>
    <row r="12320" spans="6:6" x14ac:dyDescent="0.3">
      <c r="F12320" s="193"/>
    </row>
    <row r="12321" spans="6:6" x14ac:dyDescent="0.3">
      <c r="F12321" s="193"/>
    </row>
    <row r="12322" spans="6:6" x14ac:dyDescent="0.3">
      <c r="F12322" s="193"/>
    </row>
    <row r="12323" spans="6:6" x14ac:dyDescent="0.3">
      <c r="F12323" s="193"/>
    </row>
    <row r="12324" spans="6:6" x14ac:dyDescent="0.3">
      <c r="F12324" s="193"/>
    </row>
    <row r="12325" spans="6:6" x14ac:dyDescent="0.3">
      <c r="F12325" s="193"/>
    </row>
    <row r="12326" spans="6:6" x14ac:dyDescent="0.3">
      <c r="F12326" s="193"/>
    </row>
    <row r="12327" spans="6:6" x14ac:dyDescent="0.3">
      <c r="F12327" s="193"/>
    </row>
    <row r="12328" spans="6:6" x14ac:dyDescent="0.3">
      <c r="F12328" s="193"/>
    </row>
    <row r="12329" spans="6:6" x14ac:dyDescent="0.3">
      <c r="F12329" s="193"/>
    </row>
    <row r="12330" spans="6:6" x14ac:dyDescent="0.3">
      <c r="F12330" s="193"/>
    </row>
    <row r="12331" spans="6:6" x14ac:dyDescent="0.3">
      <c r="F12331" s="193"/>
    </row>
    <row r="12332" spans="6:6" x14ac:dyDescent="0.3">
      <c r="F12332" s="193"/>
    </row>
    <row r="12333" spans="6:6" x14ac:dyDescent="0.3">
      <c r="F12333" s="193"/>
    </row>
    <row r="12334" spans="6:6" x14ac:dyDescent="0.3">
      <c r="F12334" s="193"/>
    </row>
    <row r="12335" spans="6:6" x14ac:dyDescent="0.3">
      <c r="F12335" s="193"/>
    </row>
    <row r="12336" spans="6:6" x14ac:dyDescent="0.3">
      <c r="F12336" s="193"/>
    </row>
    <row r="12337" spans="6:6" x14ac:dyDescent="0.3">
      <c r="F12337" s="193"/>
    </row>
    <row r="12338" spans="6:6" x14ac:dyDescent="0.3">
      <c r="F12338" s="193"/>
    </row>
    <row r="12339" spans="6:6" x14ac:dyDescent="0.3">
      <c r="F12339" s="193"/>
    </row>
    <row r="12340" spans="6:6" x14ac:dyDescent="0.3">
      <c r="F12340" s="193"/>
    </row>
    <row r="12341" spans="6:6" x14ac:dyDescent="0.3">
      <c r="F12341" s="193"/>
    </row>
    <row r="12342" spans="6:6" x14ac:dyDescent="0.3">
      <c r="F12342" s="193"/>
    </row>
    <row r="12343" spans="6:6" x14ac:dyDescent="0.3">
      <c r="F12343" s="193"/>
    </row>
    <row r="12344" spans="6:6" x14ac:dyDescent="0.3">
      <c r="F12344" s="193"/>
    </row>
    <row r="12345" spans="6:6" x14ac:dyDescent="0.3">
      <c r="F12345" s="193"/>
    </row>
    <row r="12346" spans="6:6" x14ac:dyDescent="0.3">
      <c r="F12346" s="193"/>
    </row>
    <row r="12347" spans="6:6" x14ac:dyDescent="0.3">
      <c r="F12347" s="193"/>
    </row>
    <row r="12348" spans="6:6" x14ac:dyDescent="0.3">
      <c r="F12348" s="193"/>
    </row>
    <row r="12349" spans="6:6" x14ac:dyDescent="0.3">
      <c r="F12349" s="193"/>
    </row>
    <row r="12350" spans="6:6" x14ac:dyDescent="0.3">
      <c r="F12350" s="193"/>
    </row>
    <row r="12351" spans="6:6" x14ac:dyDescent="0.3">
      <c r="F12351" s="193"/>
    </row>
    <row r="12352" spans="6:6" x14ac:dyDescent="0.3">
      <c r="F12352" s="193"/>
    </row>
    <row r="12353" spans="6:6" x14ac:dyDescent="0.3">
      <c r="F12353" s="193"/>
    </row>
    <row r="12354" spans="6:6" x14ac:dyDescent="0.3">
      <c r="F12354" s="193"/>
    </row>
    <row r="12355" spans="6:6" x14ac:dyDescent="0.3">
      <c r="F12355" s="193"/>
    </row>
    <row r="12356" spans="6:6" x14ac:dyDescent="0.3">
      <c r="F12356" s="193"/>
    </row>
    <row r="12357" spans="6:6" x14ac:dyDescent="0.3">
      <c r="F12357" s="193"/>
    </row>
    <row r="12358" spans="6:6" x14ac:dyDescent="0.3">
      <c r="F12358" s="193"/>
    </row>
    <row r="12359" spans="6:6" x14ac:dyDescent="0.3">
      <c r="F12359" s="193"/>
    </row>
    <row r="12360" spans="6:6" x14ac:dyDescent="0.3">
      <c r="F12360" s="193"/>
    </row>
    <row r="12361" spans="6:6" x14ac:dyDescent="0.3">
      <c r="F12361" s="193"/>
    </row>
    <row r="12362" spans="6:6" x14ac:dyDescent="0.3">
      <c r="F12362" s="193"/>
    </row>
    <row r="12363" spans="6:6" x14ac:dyDescent="0.3">
      <c r="F12363" s="193"/>
    </row>
    <row r="12364" spans="6:6" x14ac:dyDescent="0.3">
      <c r="F12364" s="193"/>
    </row>
    <row r="12365" spans="6:6" x14ac:dyDescent="0.3">
      <c r="F12365" s="193"/>
    </row>
    <row r="12366" spans="6:6" x14ac:dyDescent="0.3">
      <c r="F12366" s="193"/>
    </row>
    <row r="12367" spans="6:6" x14ac:dyDescent="0.3">
      <c r="F12367" s="193"/>
    </row>
    <row r="12368" spans="6:6" x14ac:dyDescent="0.3">
      <c r="F12368" s="193"/>
    </row>
    <row r="12369" spans="6:6" x14ac:dyDescent="0.3">
      <c r="F12369" s="193"/>
    </row>
    <row r="12370" spans="6:6" x14ac:dyDescent="0.3">
      <c r="F12370" s="193"/>
    </row>
    <row r="12371" spans="6:6" x14ac:dyDescent="0.3">
      <c r="F12371" s="193"/>
    </row>
    <row r="12372" spans="6:6" x14ac:dyDescent="0.3">
      <c r="F12372" s="193"/>
    </row>
    <row r="12373" spans="6:6" x14ac:dyDescent="0.3">
      <c r="F12373" s="193"/>
    </row>
    <row r="12374" spans="6:6" x14ac:dyDescent="0.3">
      <c r="F12374" s="193"/>
    </row>
    <row r="12375" spans="6:6" x14ac:dyDescent="0.3">
      <c r="F12375" s="193"/>
    </row>
    <row r="12376" spans="6:6" x14ac:dyDescent="0.3">
      <c r="F12376" s="193"/>
    </row>
    <row r="12377" spans="6:6" x14ac:dyDescent="0.3">
      <c r="F12377" s="193"/>
    </row>
    <row r="12378" spans="6:6" x14ac:dyDescent="0.3">
      <c r="F12378" s="193"/>
    </row>
    <row r="12379" spans="6:6" x14ac:dyDescent="0.3">
      <c r="F12379" s="193"/>
    </row>
    <row r="12380" spans="6:6" x14ac:dyDescent="0.3">
      <c r="F12380" s="193"/>
    </row>
    <row r="12381" spans="6:6" x14ac:dyDescent="0.3">
      <c r="F12381" s="193"/>
    </row>
    <row r="12382" spans="6:6" x14ac:dyDescent="0.3">
      <c r="F12382" s="193"/>
    </row>
    <row r="12383" spans="6:6" x14ac:dyDescent="0.3">
      <c r="F12383" s="193"/>
    </row>
    <row r="12384" spans="6:6" x14ac:dyDescent="0.3">
      <c r="F12384" s="193"/>
    </row>
    <row r="12385" spans="6:6" x14ac:dyDescent="0.3">
      <c r="F12385" s="193"/>
    </row>
    <row r="12386" spans="6:6" x14ac:dyDescent="0.3">
      <c r="F12386" s="193"/>
    </row>
    <row r="12387" spans="6:6" x14ac:dyDescent="0.3">
      <c r="F12387" s="193"/>
    </row>
    <row r="12388" spans="6:6" x14ac:dyDescent="0.3">
      <c r="F12388" s="193"/>
    </row>
    <row r="12389" spans="6:6" x14ac:dyDescent="0.3">
      <c r="F12389" s="193"/>
    </row>
    <row r="12390" spans="6:6" x14ac:dyDescent="0.3">
      <c r="F12390" s="193"/>
    </row>
    <row r="12391" spans="6:6" x14ac:dyDescent="0.3">
      <c r="F12391" s="193"/>
    </row>
    <row r="12392" spans="6:6" x14ac:dyDescent="0.3">
      <c r="F12392" s="193"/>
    </row>
    <row r="12393" spans="6:6" x14ac:dyDescent="0.3">
      <c r="F12393" s="193"/>
    </row>
    <row r="12394" spans="6:6" x14ac:dyDescent="0.3">
      <c r="F12394" s="193"/>
    </row>
    <row r="12395" spans="6:6" x14ac:dyDescent="0.3">
      <c r="F12395" s="193"/>
    </row>
    <row r="12396" spans="6:6" x14ac:dyDescent="0.3">
      <c r="F12396" s="193"/>
    </row>
    <row r="12397" spans="6:6" x14ac:dyDescent="0.3">
      <c r="F12397" s="193"/>
    </row>
    <row r="12398" spans="6:6" x14ac:dyDescent="0.3">
      <c r="F12398" s="193"/>
    </row>
    <row r="12399" spans="6:6" x14ac:dyDescent="0.3">
      <c r="F12399" s="193"/>
    </row>
    <row r="12400" spans="6:6" x14ac:dyDescent="0.3">
      <c r="F12400" s="193"/>
    </row>
    <row r="12401" spans="6:6" x14ac:dyDescent="0.3">
      <c r="F12401" s="193"/>
    </row>
    <row r="12402" spans="6:6" x14ac:dyDescent="0.3">
      <c r="F12402" s="193"/>
    </row>
    <row r="12403" spans="6:6" x14ac:dyDescent="0.3">
      <c r="F12403" s="193"/>
    </row>
    <row r="12404" spans="6:6" x14ac:dyDescent="0.3">
      <c r="F12404" s="193"/>
    </row>
    <row r="12405" spans="6:6" x14ac:dyDescent="0.3">
      <c r="F12405" s="193"/>
    </row>
    <row r="12406" spans="6:6" x14ac:dyDescent="0.3">
      <c r="F12406" s="193"/>
    </row>
    <row r="12407" spans="6:6" x14ac:dyDescent="0.3">
      <c r="F12407" s="193"/>
    </row>
    <row r="12408" spans="6:6" x14ac:dyDescent="0.3">
      <c r="F12408" s="193"/>
    </row>
    <row r="12409" spans="6:6" x14ac:dyDescent="0.3">
      <c r="F12409" s="193"/>
    </row>
    <row r="12410" spans="6:6" x14ac:dyDescent="0.3">
      <c r="F12410" s="193"/>
    </row>
    <row r="12411" spans="6:6" x14ac:dyDescent="0.3">
      <c r="F12411" s="193"/>
    </row>
    <row r="12412" spans="6:6" x14ac:dyDescent="0.3">
      <c r="F12412" s="193"/>
    </row>
    <row r="12413" spans="6:6" x14ac:dyDescent="0.3">
      <c r="F12413" s="193"/>
    </row>
    <row r="12414" spans="6:6" x14ac:dyDescent="0.3">
      <c r="F12414" s="193"/>
    </row>
    <row r="12415" spans="6:6" x14ac:dyDescent="0.3">
      <c r="F12415" s="193"/>
    </row>
    <row r="12416" spans="6:6" x14ac:dyDescent="0.3">
      <c r="F12416" s="193"/>
    </row>
    <row r="12417" spans="6:6" x14ac:dyDescent="0.3">
      <c r="F12417" s="193"/>
    </row>
    <row r="12418" spans="6:6" x14ac:dyDescent="0.3">
      <c r="F12418" s="193"/>
    </row>
    <row r="12419" spans="6:6" x14ac:dyDescent="0.3">
      <c r="F12419" s="193"/>
    </row>
    <row r="12420" spans="6:6" x14ac:dyDescent="0.3">
      <c r="F12420" s="193"/>
    </row>
    <row r="12421" spans="6:6" x14ac:dyDescent="0.3">
      <c r="F12421" s="193"/>
    </row>
    <row r="12422" spans="6:6" x14ac:dyDescent="0.3">
      <c r="F12422" s="193"/>
    </row>
    <row r="12423" spans="6:6" x14ac:dyDescent="0.3">
      <c r="F12423" s="193"/>
    </row>
    <row r="12424" spans="6:6" x14ac:dyDescent="0.3">
      <c r="F12424" s="193"/>
    </row>
    <row r="12425" spans="6:6" x14ac:dyDescent="0.3">
      <c r="F12425" s="193"/>
    </row>
    <row r="12426" spans="6:6" x14ac:dyDescent="0.3">
      <c r="F12426" s="193"/>
    </row>
    <row r="12427" spans="6:6" x14ac:dyDescent="0.3">
      <c r="F12427" s="193"/>
    </row>
    <row r="12428" spans="6:6" x14ac:dyDescent="0.3">
      <c r="F12428" s="193"/>
    </row>
    <row r="12429" spans="6:6" x14ac:dyDescent="0.3">
      <c r="F12429" s="193"/>
    </row>
    <row r="12430" spans="6:6" x14ac:dyDescent="0.3">
      <c r="F12430" s="193"/>
    </row>
    <row r="12431" spans="6:6" x14ac:dyDescent="0.3">
      <c r="F12431" s="193"/>
    </row>
    <row r="12432" spans="6:6" x14ac:dyDescent="0.3">
      <c r="F12432" s="193"/>
    </row>
    <row r="12433" spans="6:6" x14ac:dyDescent="0.3">
      <c r="F12433" s="193"/>
    </row>
    <row r="12434" spans="6:6" x14ac:dyDescent="0.3">
      <c r="F12434" s="193"/>
    </row>
    <row r="12435" spans="6:6" x14ac:dyDescent="0.3">
      <c r="F12435" s="193"/>
    </row>
    <row r="12436" spans="6:6" x14ac:dyDescent="0.3">
      <c r="F12436" s="193"/>
    </row>
    <row r="12437" spans="6:6" x14ac:dyDescent="0.3">
      <c r="F12437" s="193"/>
    </row>
    <row r="12438" spans="6:6" x14ac:dyDescent="0.3">
      <c r="F12438" s="193"/>
    </row>
    <row r="12439" spans="6:6" x14ac:dyDescent="0.3">
      <c r="F12439" s="193"/>
    </row>
    <row r="12440" spans="6:6" x14ac:dyDescent="0.3">
      <c r="F12440" s="193"/>
    </row>
    <row r="12441" spans="6:6" x14ac:dyDescent="0.3">
      <c r="F12441" s="193"/>
    </row>
    <row r="12442" spans="6:6" x14ac:dyDescent="0.3">
      <c r="F12442" s="193"/>
    </row>
    <row r="12443" spans="6:6" x14ac:dyDescent="0.3">
      <c r="F12443" s="193"/>
    </row>
    <row r="12444" spans="6:6" x14ac:dyDescent="0.3">
      <c r="F12444" s="193"/>
    </row>
    <row r="12445" spans="6:6" x14ac:dyDescent="0.3">
      <c r="F12445" s="193"/>
    </row>
    <row r="12446" spans="6:6" x14ac:dyDescent="0.3">
      <c r="F12446" s="193"/>
    </row>
    <row r="12447" spans="6:6" x14ac:dyDescent="0.3">
      <c r="F12447" s="193"/>
    </row>
    <row r="12448" spans="6:6" x14ac:dyDescent="0.3">
      <c r="F12448" s="193"/>
    </row>
    <row r="12449" spans="6:6" x14ac:dyDescent="0.3">
      <c r="F12449" s="193"/>
    </row>
    <row r="12450" spans="6:6" x14ac:dyDescent="0.3">
      <c r="F12450" s="193"/>
    </row>
    <row r="12451" spans="6:6" x14ac:dyDescent="0.3">
      <c r="F12451" s="193"/>
    </row>
    <row r="12452" spans="6:6" x14ac:dyDescent="0.3">
      <c r="F12452" s="193"/>
    </row>
    <row r="12453" spans="6:6" x14ac:dyDescent="0.3">
      <c r="F12453" s="193"/>
    </row>
    <row r="12454" spans="6:6" x14ac:dyDescent="0.3">
      <c r="F12454" s="193"/>
    </row>
    <row r="12455" spans="6:6" x14ac:dyDescent="0.3">
      <c r="F12455" s="193"/>
    </row>
    <row r="12456" spans="6:6" x14ac:dyDescent="0.3">
      <c r="F12456" s="193"/>
    </row>
    <row r="12457" spans="6:6" x14ac:dyDescent="0.3">
      <c r="F12457" s="193"/>
    </row>
    <row r="12458" spans="6:6" x14ac:dyDescent="0.3">
      <c r="F12458" s="193"/>
    </row>
    <row r="12459" spans="6:6" x14ac:dyDescent="0.3">
      <c r="F12459" s="193"/>
    </row>
    <row r="12460" spans="6:6" x14ac:dyDescent="0.3">
      <c r="F12460" s="193"/>
    </row>
    <row r="12461" spans="6:6" x14ac:dyDescent="0.3">
      <c r="F12461" s="193"/>
    </row>
    <row r="12462" spans="6:6" x14ac:dyDescent="0.3">
      <c r="F12462" s="193"/>
    </row>
    <row r="12463" spans="6:6" x14ac:dyDescent="0.3">
      <c r="F12463" s="193"/>
    </row>
    <row r="12464" spans="6:6" x14ac:dyDescent="0.3">
      <c r="F12464" s="193"/>
    </row>
    <row r="12465" spans="6:6" x14ac:dyDescent="0.3">
      <c r="F12465" s="193"/>
    </row>
    <row r="12466" spans="6:6" x14ac:dyDescent="0.3">
      <c r="F12466" s="193"/>
    </row>
    <row r="12467" spans="6:6" x14ac:dyDescent="0.3">
      <c r="F12467" s="193"/>
    </row>
    <row r="12468" spans="6:6" x14ac:dyDescent="0.3">
      <c r="F12468" s="193"/>
    </row>
    <row r="12469" spans="6:6" x14ac:dyDescent="0.3">
      <c r="F12469" s="193"/>
    </row>
    <row r="12470" spans="6:6" x14ac:dyDescent="0.3">
      <c r="F12470" s="193"/>
    </row>
    <row r="12471" spans="6:6" x14ac:dyDescent="0.3">
      <c r="F12471" s="193"/>
    </row>
    <row r="12472" spans="6:6" x14ac:dyDescent="0.3">
      <c r="F12472" s="193"/>
    </row>
    <row r="12473" spans="6:6" x14ac:dyDescent="0.3">
      <c r="F12473" s="193"/>
    </row>
    <row r="12474" spans="6:6" x14ac:dyDescent="0.3">
      <c r="F12474" s="193"/>
    </row>
    <row r="12475" spans="6:6" x14ac:dyDescent="0.3">
      <c r="F12475" s="193"/>
    </row>
    <row r="12476" spans="6:6" x14ac:dyDescent="0.3">
      <c r="F12476" s="193"/>
    </row>
    <row r="12477" spans="6:6" x14ac:dyDescent="0.3">
      <c r="F12477" s="193"/>
    </row>
    <row r="12478" spans="6:6" x14ac:dyDescent="0.3">
      <c r="F12478" s="193"/>
    </row>
    <row r="12479" spans="6:6" x14ac:dyDescent="0.3">
      <c r="F12479" s="193"/>
    </row>
    <row r="12480" spans="6:6" x14ac:dyDescent="0.3">
      <c r="F12480" s="193"/>
    </row>
    <row r="12481" spans="6:6" x14ac:dyDescent="0.3">
      <c r="F12481" s="193"/>
    </row>
    <row r="12482" spans="6:6" x14ac:dyDescent="0.3">
      <c r="F12482" s="193"/>
    </row>
    <row r="12483" spans="6:6" x14ac:dyDescent="0.3">
      <c r="F12483" s="193"/>
    </row>
    <row r="12484" spans="6:6" x14ac:dyDescent="0.3">
      <c r="F12484" s="193"/>
    </row>
    <row r="12485" spans="6:6" x14ac:dyDescent="0.3">
      <c r="F12485" s="193"/>
    </row>
    <row r="12486" spans="6:6" x14ac:dyDescent="0.3">
      <c r="F12486" s="193"/>
    </row>
    <row r="12487" spans="6:6" x14ac:dyDescent="0.3">
      <c r="F12487" s="193"/>
    </row>
    <row r="12488" spans="6:6" x14ac:dyDescent="0.3">
      <c r="F12488" s="193"/>
    </row>
    <row r="12489" spans="6:6" x14ac:dyDescent="0.3">
      <c r="F12489" s="193"/>
    </row>
    <row r="12490" spans="6:6" x14ac:dyDescent="0.3">
      <c r="F12490" s="193"/>
    </row>
    <row r="12491" spans="6:6" x14ac:dyDescent="0.3">
      <c r="F12491" s="193"/>
    </row>
    <row r="12492" spans="6:6" x14ac:dyDescent="0.3">
      <c r="F12492" s="193"/>
    </row>
    <row r="12493" spans="6:6" x14ac:dyDescent="0.3">
      <c r="F12493" s="193"/>
    </row>
    <row r="12494" spans="6:6" x14ac:dyDescent="0.3">
      <c r="F12494" s="193"/>
    </row>
    <row r="12495" spans="6:6" x14ac:dyDescent="0.3">
      <c r="F12495" s="193"/>
    </row>
    <row r="12496" spans="6:6" x14ac:dyDescent="0.3">
      <c r="F12496" s="193"/>
    </row>
    <row r="12497" spans="6:6" x14ac:dyDescent="0.3">
      <c r="F12497" s="193"/>
    </row>
    <row r="12498" spans="6:6" x14ac:dyDescent="0.3">
      <c r="F12498" s="193"/>
    </row>
    <row r="12499" spans="6:6" x14ac:dyDescent="0.3">
      <c r="F12499" s="193"/>
    </row>
    <row r="12500" spans="6:6" x14ac:dyDescent="0.3">
      <c r="F12500" s="193"/>
    </row>
    <row r="12501" spans="6:6" x14ac:dyDescent="0.3">
      <c r="F12501" s="193"/>
    </row>
    <row r="12502" spans="6:6" x14ac:dyDescent="0.3">
      <c r="F12502" s="193"/>
    </row>
    <row r="12503" spans="6:6" x14ac:dyDescent="0.3">
      <c r="F12503" s="193"/>
    </row>
    <row r="12504" spans="6:6" x14ac:dyDescent="0.3">
      <c r="F12504" s="193"/>
    </row>
    <row r="12505" spans="6:6" x14ac:dyDescent="0.3">
      <c r="F12505" s="193"/>
    </row>
    <row r="12506" spans="6:6" x14ac:dyDescent="0.3">
      <c r="F12506" s="193"/>
    </row>
    <row r="12507" spans="6:6" x14ac:dyDescent="0.3">
      <c r="F12507" s="193"/>
    </row>
    <row r="12508" spans="6:6" x14ac:dyDescent="0.3">
      <c r="F12508" s="193"/>
    </row>
    <row r="12509" spans="6:6" x14ac:dyDescent="0.3">
      <c r="F12509" s="193"/>
    </row>
    <row r="12510" spans="6:6" x14ac:dyDescent="0.3">
      <c r="F12510" s="193"/>
    </row>
    <row r="12511" spans="6:6" x14ac:dyDescent="0.3">
      <c r="F12511" s="193"/>
    </row>
    <row r="12512" spans="6:6" x14ac:dyDescent="0.3">
      <c r="F12512" s="193"/>
    </row>
    <row r="12513" spans="6:6" x14ac:dyDescent="0.3">
      <c r="F12513" s="193"/>
    </row>
    <row r="12514" spans="6:6" x14ac:dyDescent="0.3">
      <c r="F12514" s="193"/>
    </row>
    <row r="12515" spans="6:6" x14ac:dyDescent="0.3">
      <c r="F12515" s="193"/>
    </row>
    <row r="12516" spans="6:6" x14ac:dyDescent="0.3">
      <c r="F12516" s="193"/>
    </row>
    <row r="12517" spans="6:6" x14ac:dyDescent="0.3">
      <c r="F12517" s="193"/>
    </row>
    <row r="12518" spans="6:6" x14ac:dyDescent="0.3">
      <c r="F12518" s="193"/>
    </row>
    <row r="12519" spans="6:6" x14ac:dyDescent="0.3">
      <c r="F12519" s="193"/>
    </row>
    <row r="12520" spans="6:6" x14ac:dyDescent="0.3">
      <c r="F12520" s="193"/>
    </row>
    <row r="12521" spans="6:6" x14ac:dyDescent="0.3">
      <c r="F12521" s="193"/>
    </row>
    <row r="12522" spans="6:6" x14ac:dyDescent="0.3">
      <c r="F12522" s="193"/>
    </row>
    <row r="12523" spans="6:6" x14ac:dyDescent="0.3">
      <c r="F12523" s="193"/>
    </row>
    <row r="12524" spans="6:6" x14ac:dyDescent="0.3">
      <c r="F12524" s="193"/>
    </row>
    <row r="12525" spans="6:6" x14ac:dyDescent="0.3">
      <c r="F12525" s="193"/>
    </row>
    <row r="12526" spans="6:6" x14ac:dyDescent="0.3">
      <c r="F12526" s="193"/>
    </row>
    <row r="12527" spans="6:6" x14ac:dyDescent="0.3">
      <c r="F12527" s="193"/>
    </row>
    <row r="12528" spans="6:6" x14ac:dyDescent="0.3">
      <c r="F12528" s="193"/>
    </row>
    <row r="12529" spans="6:6" x14ac:dyDescent="0.3">
      <c r="F12529" s="193"/>
    </row>
    <row r="12530" spans="6:6" x14ac:dyDescent="0.3">
      <c r="F12530" s="193"/>
    </row>
    <row r="12531" spans="6:6" x14ac:dyDescent="0.3">
      <c r="F12531" s="193"/>
    </row>
    <row r="12532" spans="6:6" x14ac:dyDescent="0.3">
      <c r="F12532" s="193"/>
    </row>
    <row r="12533" spans="6:6" x14ac:dyDescent="0.3">
      <c r="F12533" s="193"/>
    </row>
    <row r="12534" spans="6:6" x14ac:dyDescent="0.3">
      <c r="F12534" s="193"/>
    </row>
    <row r="12535" spans="6:6" x14ac:dyDescent="0.3">
      <c r="F12535" s="193"/>
    </row>
    <row r="12536" spans="6:6" x14ac:dyDescent="0.3">
      <c r="F12536" s="193"/>
    </row>
    <row r="12537" spans="6:6" x14ac:dyDescent="0.3">
      <c r="F12537" s="193"/>
    </row>
    <row r="12538" spans="6:6" x14ac:dyDescent="0.3">
      <c r="F12538" s="193"/>
    </row>
    <row r="12539" spans="6:6" x14ac:dyDescent="0.3">
      <c r="F12539" s="193"/>
    </row>
    <row r="12540" spans="6:6" x14ac:dyDescent="0.3">
      <c r="F12540" s="193"/>
    </row>
    <row r="12541" spans="6:6" x14ac:dyDescent="0.3">
      <c r="F12541" s="193"/>
    </row>
    <row r="12542" spans="6:6" x14ac:dyDescent="0.3">
      <c r="F12542" s="193"/>
    </row>
    <row r="12543" spans="6:6" x14ac:dyDescent="0.3">
      <c r="F12543" s="193"/>
    </row>
    <row r="12544" spans="6:6" x14ac:dyDescent="0.3">
      <c r="F12544" s="193"/>
    </row>
    <row r="12545" spans="6:6" x14ac:dyDescent="0.3">
      <c r="F12545" s="193"/>
    </row>
    <row r="12546" spans="6:6" x14ac:dyDescent="0.3">
      <c r="F12546" s="193"/>
    </row>
    <row r="12547" spans="6:6" x14ac:dyDescent="0.3">
      <c r="F12547" s="193"/>
    </row>
    <row r="12548" spans="6:6" x14ac:dyDescent="0.3">
      <c r="F12548" s="193"/>
    </row>
    <row r="12549" spans="6:6" x14ac:dyDescent="0.3">
      <c r="F12549" s="193"/>
    </row>
    <row r="12550" spans="6:6" x14ac:dyDescent="0.3">
      <c r="F12550" s="193"/>
    </row>
    <row r="12551" spans="6:6" x14ac:dyDescent="0.3">
      <c r="F12551" s="193"/>
    </row>
    <row r="12552" spans="6:6" x14ac:dyDescent="0.3">
      <c r="F12552" s="193"/>
    </row>
    <row r="12553" spans="6:6" x14ac:dyDescent="0.3">
      <c r="F12553" s="193"/>
    </row>
    <row r="12554" spans="6:6" x14ac:dyDescent="0.3">
      <c r="F12554" s="193"/>
    </row>
    <row r="12555" spans="6:6" x14ac:dyDescent="0.3">
      <c r="F12555" s="193"/>
    </row>
    <row r="12556" spans="6:6" x14ac:dyDescent="0.3">
      <c r="F12556" s="193"/>
    </row>
    <row r="12557" spans="6:6" x14ac:dyDescent="0.3">
      <c r="F12557" s="193"/>
    </row>
    <row r="12558" spans="6:6" x14ac:dyDescent="0.3">
      <c r="F12558" s="193"/>
    </row>
    <row r="12559" spans="6:6" x14ac:dyDescent="0.3">
      <c r="F12559" s="193"/>
    </row>
    <row r="12560" spans="6:6" x14ac:dyDescent="0.3">
      <c r="F12560" s="193"/>
    </row>
    <row r="12561" spans="6:6" x14ac:dyDescent="0.3">
      <c r="F12561" s="193"/>
    </row>
    <row r="12562" spans="6:6" x14ac:dyDescent="0.3">
      <c r="F12562" s="193"/>
    </row>
    <row r="12563" spans="6:6" x14ac:dyDescent="0.3">
      <c r="F12563" s="193"/>
    </row>
    <row r="12564" spans="6:6" x14ac:dyDescent="0.3">
      <c r="F12564" s="193"/>
    </row>
    <row r="12565" spans="6:6" x14ac:dyDescent="0.3">
      <c r="F12565" s="193"/>
    </row>
    <row r="12566" spans="6:6" x14ac:dyDescent="0.3">
      <c r="F12566" s="193"/>
    </row>
    <row r="12567" spans="6:6" x14ac:dyDescent="0.3">
      <c r="F12567" s="193"/>
    </row>
    <row r="12568" spans="6:6" x14ac:dyDescent="0.3">
      <c r="F12568" s="193"/>
    </row>
    <row r="12569" spans="6:6" x14ac:dyDescent="0.3">
      <c r="F12569" s="193"/>
    </row>
    <row r="12570" spans="6:6" x14ac:dyDescent="0.3">
      <c r="F12570" s="193"/>
    </row>
    <row r="12571" spans="6:6" x14ac:dyDescent="0.3">
      <c r="F12571" s="193"/>
    </row>
    <row r="12572" spans="6:6" x14ac:dyDescent="0.3">
      <c r="F12572" s="193"/>
    </row>
    <row r="12573" spans="6:6" x14ac:dyDescent="0.3">
      <c r="F12573" s="193"/>
    </row>
    <row r="12574" spans="6:6" x14ac:dyDescent="0.3">
      <c r="F12574" s="193"/>
    </row>
    <row r="12575" spans="6:6" x14ac:dyDescent="0.3">
      <c r="F12575" s="193"/>
    </row>
    <row r="12576" spans="6:6" x14ac:dyDescent="0.3">
      <c r="F12576" s="193"/>
    </row>
    <row r="12577" spans="6:6" x14ac:dyDescent="0.3">
      <c r="F12577" s="193"/>
    </row>
    <row r="12578" spans="6:6" x14ac:dyDescent="0.3">
      <c r="F12578" s="193"/>
    </row>
    <row r="12579" spans="6:6" x14ac:dyDescent="0.3">
      <c r="F12579" s="193"/>
    </row>
    <row r="12580" spans="6:6" x14ac:dyDescent="0.3">
      <c r="F12580" s="193"/>
    </row>
    <row r="12581" spans="6:6" x14ac:dyDescent="0.3">
      <c r="F12581" s="193"/>
    </row>
    <row r="12582" spans="6:6" x14ac:dyDescent="0.3">
      <c r="F12582" s="193"/>
    </row>
    <row r="12583" spans="6:6" x14ac:dyDescent="0.3">
      <c r="F12583" s="193"/>
    </row>
    <row r="12584" spans="6:6" x14ac:dyDescent="0.3">
      <c r="F12584" s="193"/>
    </row>
    <row r="12585" spans="6:6" x14ac:dyDescent="0.3">
      <c r="F12585" s="193"/>
    </row>
    <row r="12586" spans="6:6" x14ac:dyDescent="0.3">
      <c r="F12586" s="193"/>
    </row>
    <row r="12587" spans="6:6" x14ac:dyDescent="0.3">
      <c r="F12587" s="193"/>
    </row>
    <row r="12588" spans="6:6" x14ac:dyDescent="0.3">
      <c r="F12588" s="193"/>
    </row>
    <row r="12589" spans="6:6" x14ac:dyDescent="0.3">
      <c r="F12589" s="193"/>
    </row>
    <row r="12590" spans="6:6" x14ac:dyDescent="0.3">
      <c r="F12590" s="193"/>
    </row>
    <row r="12591" spans="6:6" x14ac:dyDescent="0.3">
      <c r="F12591" s="193"/>
    </row>
    <row r="12592" spans="6:6" x14ac:dyDescent="0.3">
      <c r="F12592" s="193"/>
    </row>
    <row r="12593" spans="6:6" x14ac:dyDescent="0.3">
      <c r="F12593" s="193"/>
    </row>
    <row r="12594" spans="6:6" x14ac:dyDescent="0.3">
      <c r="F12594" s="193"/>
    </row>
    <row r="12595" spans="6:6" x14ac:dyDescent="0.3">
      <c r="F12595" s="193"/>
    </row>
    <row r="12596" spans="6:6" x14ac:dyDescent="0.3">
      <c r="F12596" s="193"/>
    </row>
    <row r="12597" spans="6:6" x14ac:dyDescent="0.3">
      <c r="F12597" s="193"/>
    </row>
    <row r="12598" spans="6:6" x14ac:dyDescent="0.3">
      <c r="F12598" s="193"/>
    </row>
    <row r="12599" spans="6:6" x14ac:dyDescent="0.3">
      <c r="F12599" s="193"/>
    </row>
    <row r="12600" spans="6:6" x14ac:dyDescent="0.3">
      <c r="F12600" s="193"/>
    </row>
    <row r="12601" spans="6:6" x14ac:dyDescent="0.3">
      <c r="F12601" s="193"/>
    </row>
    <row r="12602" spans="6:6" x14ac:dyDescent="0.3">
      <c r="F12602" s="193"/>
    </row>
    <row r="12603" spans="6:6" x14ac:dyDescent="0.3">
      <c r="F12603" s="193"/>
    </row>
    <row r="12604" spans="6:6" x14ac:dyDescent="0.3">
      <c r="F12604" s="193"/>
    </row>
    <row r="12605" spans="6:6" x14ac:dyDescent="0.3">
      <c r="F12605" s="193"/>
    </row>
    <row r="12606" spans="6:6" x14ac:dyDescent="0.3">
      <c r="F12606" s="193"/>
    </row>
    <row r="12607" spans="6:6" x14ac:dyDescent="0.3">
      <c r="F12607" s="193"/>
    </row>
    <row r="12608" spans="6:6" x14ac:dyDescent="0.3">
      <c r="F12608" s="193"/>
    </row>
    <row r="12609" spans="6:6" x14ac:dyDescent="0.3">
      <c r="F12609" s="193"/>
    </row>
    <row r="12610" spans="6:6" x14ac:dyDescent="0.3">
      <c r="F12610" s="193"/>
    </row>
    <row r="12611" spans="6:6" x14ac:dyDescent="0.3">
      <c r="F12611" s="193"/>
    </row>
    <row r="12612" spans="6:6" x14ac:dyDescent="0.3">
      <c r="F12612" s="193"/>
    </row>
    <row r="12613" spans="6:6" x14ac:dyDescent="0.3">
      <c r="F12613" s="193"/>
    </row>
    <row r="12614" spans="6:6" x14ac:dyDescent="0.3">
      <c r="F12614" s="193"/>
    </row>
    <row r="12615" spans="6:6" x14ac:dyDescent="0.3">
      <c r="F12615" s="193"/>
    </row>
    <row r="12616" spans="6:6" x14ac:dyDescent="0.3">
      <c r="F12616" s="193"/>
    </row>
    <row r="12617" spans="6:6" x14ac:dyDescent="0.3">
      <c r="F12617" s="193"/>
    </row>
    <row r="12618" spans="6:6" x14ac:dyDescent="0.3">
      <c r="F12618" s="193"/>
    </row>
    <row r="12619" spans="6:6" x14ac:dyDescent="0.3">
      <c r="F12619" s="193"/>
    </row>
    <row r="12620" spans="6:6" x14ac:dyDescent="0.3">
      <c r="F12620" s="193"/>
    </row>
    <row r="12621" spans="6:6" x14ac:dyDescent="0.3">
      <c r="F12621" s="193"/>
    </row>
    <row r="12622" spans="6:6" x14ac:dyDescent="0.3">
      <c r="F12622" s="193"/>
    </row>
    <row r="12623" spans="6:6" x14ac:dyDescent="0.3">
      <c r="F12623" s="193"/>
    </row>
    <row r="12624" spans="6:6" x14ac:dyDescent="0.3">
      <c r="F12624" s="193"/>
    </row>
    <row r="12625" spans="6:6" x14ac:dyDescent="0.3">
      <c r="F12625" s="193"/>
    </row>
    <row r="12626" spans="6:6" x14ac:dyDescent="0.3">
      <c r="F12626" s="193"/>
    </row>
    <row r="12627" spans="6:6" x14ac:dyDescent="0.3">
      <c r="F12627" s="193"/>
    </row>
    <row r="12628" spans="6:6" x14ac:dyDescent="0.3">
      <c r="F12628" s="193"/>
    </row>
    <row r="12629" spans="6:6" x14ac:dyDescent="0.3">
      <c r="F12629" s="193"/>
    </row>
    <row r="12630" spans="6:6" x14ac:dyDescent="0.3">
      <c r="F12630" s="193"/>
    </row>
    <row r="12631" spans="6:6" x14ac:dyDescent="0.3">
      <c r="F12631" s="193"/>
    </row>
    <row r="12632" spans="6:6" x14ac:dyDescent="0.3">
      <c r="F12632" s="193"/>
    </row>
    <row r="12633" spans="6:6" x14ac:dyDescent="0.3">
      <c r="F12633" s="193"/>
    </row>
    <row r="12634" spans="6:6" x14ac:dyDescent="0.3">
      <c r="F12634" s="193"/>
    </row>
    <row r="12635" spans="6:6" x14ac:dyDescent="0.3">
      <c r="F12635" s="193"/>
    </row>
    <row r="12636" spans="6:6" x14ac:dyDescent="0.3">
      <c r="F12636" s="193"/>
    </row>
    <row r="12637" spans="6:6" x14ac:dyDescent="0.3">
      <c r="F12637" s="193"/>
    </row>
    <row r="12638" spans="6:6" x14ac:dyDescent="0.3">
      <c r="F12638" s="193"/>
    </row>
    <row r="12639" spans="6:6" x14ac:dyDescent="0.3">
      <c r="F12639" s="193"/>
    </row>
    <row r="12640" spans="6:6" x14ac:dyDescent="0.3">
      <c r="F12640" s="193"/>
    </row>
    <row r="12641" spans="6:6" x14ac:dyDescent="0.3">
      <c r="F12641" s="193"/>
    </row>
    <row r="12642" spans="6:6" x14ac:dyDescent="0.3">
      <c r="F12642" s="193"/>
    </row>
    <row r="12643" spans="6:6" x14ac:dyDescent="0.3">
      <c r="F12643" s="193"/>
    </row>
    <row r="12644" spans="6:6" x14ac:dyDescent="0.3">
      <c r="F12644" s="193"/>
    </row>
    <row r="12645" spans="6:6" x14ac:dyDescent="0.3">
      <c r="F12645" s="193"/>
    </row>
    <row r="12646" spans="6:6" x14ac:dyDescent="0.3">
      <c r="F12646" s="193"/>
    </row>
    <row r="12647" spans="6:6" x14ac:dyDescent="0.3">
      <c r="F12647" s="193"/>
    </row>
    <row r="12648" spans="6:6" x14ac:dyDescent="0.3">
      <c r="F12648" s="193"/>
    </row>
    <row r="12649" spans="6:6" x14ac:dyDescent="0.3">
      <c r="F12649" s="193"/>
    </row>
    <row r="12650" spans="6:6" x14ac:dyDescent="0.3">
      <c r="F12650" s="193"/>
    </row>
    <row r="12651" spans="6:6" x14ac:dyDescent="0.3">
      <c r="F12651" s="193"/>
    </row>
    <row r="12652" spans="6:6" x14ac:dyDescent="0.3">
      <c r="F12652" s="193"/>
    </row>
    <row r="12653" spans="6:6" x14ac:dyDescent="0.3">
      <c r="F12653" s="193"/>
    </row>
    <row r="12654" spans="6:6" x14ac:dyDescent="0.3">
      <c r="F12654" s="193"/>
    </row>
    <row r="12655" spans="6:6" x14ac:dyDescent="0.3">
      <c r="F12655" s="193"/>
    </row>
    <row r="12656" spans="6:6" x14ac:dyDescent="0.3">
      <c r="F12656" s="193"/>
    </row>
    <row r="12657" spans="6:6" x14ac:dyDescent="0.3">
      <c r="F12657" s="193"/>
    </row>
    <row r="12658" spans="6:6" x14ac:dyDescent="0.3">
      <c r="F12658" s="193"/>
    </row>
    <row r="12659" spans="6:6" x14ac:dyDescent="0.3">
      <c r="F12659" s="193"/>
    </row>
    <row r="12660" spans="6:6" x14ac:dyDescent="0.3">
      <c r="F12660" s="193"/>
    </row>
    <row r="12661" spans="6:6" x14ac:dyDescent="0.3">
      <c r="F12661" s="193"/>
    </row>
    <row r="12662" spans="6:6" x14ac:dyDescent="0.3">
      <c r="F12662" s="193"/>
    </row>
    <row r="12663" spans="6:6" x14ac:dyDescent="0.3">
      <c r="F12663" s="193"/>
    </row>
    <row r="12664" spans="6:6" x14ac:dyDescent="0.3">
      <c r="F12664" s="193"/>
    </row>
    <row r="12665" spans="6:6" x14ac:dyDescent="0.3">
      <c r="F12665" s="193"/>
    </row>
    <row r="12666" spans="6:6" x14ac:dyDescent="0.3">
      <c r="F12666" s="193"/>
    </row>
    <row r="12667" spans="6:6" x14ac:dyDescent="0.3">
      <c r="F12667" s="193"/>
    </row>
    <row r="12668" spans="6:6" x14ac:dyDescent="0.3">
      <c r="F12668" s="193"/>
    </row>
    <row r="12669" spans="6:6" x14ac:dyDescent="0.3">
      <c r="F12669" s="193"/>
    </row>
    <row r="12670" spans="6:6" x14ac:dyDescent="0.3">
      <c r="F12670" s="193"/>
    </row>
    <row r="12671" spans="6:6" x14ac:dyDescent="0.3">
      <c r="F12671" s="193"/>
    </row>
    <row r="12672" spans="6:6" x14ac:dyDescent="0.3">
      <c r="F12672" s="193"/>
    </row>
    <row r="12673" spans="6:6" x14ac:dyDescent="0.3">
      <c r="F12673" s="193"/>
    </row>
    <row r="12674" spans="6:6" x14ac:dyDescent="0.3">
      <c r="F12674" s="193"/>
    </row>
    <row r="12675" spans="6:6" x14ac:dyDescent="0.3">
      <c r="F12675" s="193"/>
    </row>
    <row r="12676" spans="6:6" x14ac:dyDescent="0.3">
      <c r="F12676" s="193"/>
    </row>
    <row r="12677" spans="6:6" x14ac:dyDescent="0.3">
      <c r="F12677" s="193"/>
    </row>
    <row r="12678" spans="6:6" x14ac:dyDescent="0.3">
      <c r="F12678" s="193"/>
    </row>
    <row r="12679" spans="6:6" x14ac:dyDescent="0.3">
      <c r="F12679" s="193"/>
    </row>
    <row r="12680" spans="6:6" x14ac:dyDescent="0.3">
      <c r="F12680" s="193"/>
    </row>
    <row r="12681" spans="6:6" x14ac:dyDescent="0.3">
      <c r="F12681" s="193"/>
    </row>
    <row r="12682" spans="6:6" x14ac:dyDescent="0.3">
      <c r="F12682" s="193"/>
    </row>
    <row r="12683" spans="6:6" x14ac:dyDescent="0.3">
      <c r="F12683" s="193"/>
    </row>
    <row r="12684" spans="6:6" x14ac:dyDescent="0.3">
      <c r="F12684" s="193"/>
    </row>
    <row r="12685" spans="6:6" x14ac:dyDescent="0.3">
      <c r="F12685" s="193"/>
    </row>
    <row r="12686" spans="6:6" x14ac:dyDescent="0.3">
      <c r="F12686" s="193"/>
    </row>
    <row r="12687" spans="6:6" x14ac:dyDescent="0.3">
      <c r="F12687" s="193"/>
    </row>
    <row r="12688" spans="6:6" x14ac:dyDescent="0.3">
      <c r="F12688" s="193"/>
    </row>
    <row r="12689" spans="6:6" x14ac:dyDescent="0.3">
      <c r="F12689" s="193"/>
    </row>
    <row r="12690" spans="6:6" x14ac:dyDescent="0.3">
      <c r="F12690" s="193"/>
    </row>
    <row r="12691" spans="6:6" x14ac:dyDescent="0.3">
      <c r="F12691" s="193"/>
    </row>
    <row r="12692" spans="6:6" x14ac:dyDescent="0.3">
      <c r="F12692" s="193"/>
    </row>
    <row r="12693" spans="6:6" x14ac:dyDescent="0.3">
      <c r="F12693" s="193"/>
    </row>
    <row r="12694" spans="6:6" x14ac:dyDescent="0.3">
      <c r="F12694" s="193"/>
    </row>
    <row r="12695" spans="6:6" x14ac:dyDescent="0.3">
      <c r="F12695" s="193"/>
    </row>
    <row r="12696" spans="6:6" x14ac:dyDescent="0.3">
      <c r="F12696" s="193"/>
    </row>
    <row r="12697" spans="6:6" x14ac:dyDescent="0.3">
      <c r="F12697" s="193"/>
    </row>
    <row r="12698" spans="6:6" x14ac:dyDescent="0.3">
      <c r="F12698" s="193"/>
    </row>
    <row r="12699" spans="6:6" x14ac:dyDescent="0.3">
      <c r="F12699" s="193"/>
    </row>
    <row r="12700" spans="6:6" x14ac:dyDescent="0.3">
      <c r="F12700" s="193"/>
    </row>
    <row r="12701" spans="6:6" x14ac:dyDescent="0.3">
      <c r="F12701" s="193"/>
    </row>
    <row r="12702" spans="6:6" x14ac:dyDescent="0.3">
      <c r="F12702" s="193"/>
    </row>
    <row r="12703" spans="6:6" x14ac:dyDescent="0.3">
      <c r="F12703" s="193"/>
    </row>
    <row r="12704" spans="6:6" x14ac:dyDescent="0.3">
      <c r="F12704" s="193"/>
    </row>
    <row r="12705" spans="6:6" x14ac:dyDescent="0.3">
      <c r="F12705" s="193"/>
    </row>
    <row r="12706" spans="6:6" x14ac:dyDescent="0.3">
      <c r="F12706" s="193"/>
    </row>
    <row r="12707" spans="6:6" x14ac:dyDescent="0.3">
      <c r="F12707" s="193"/>
    </row>
    <row r="12708" spans="6:6" x14ac:dyDescent="0.3">
      <c r="F12708" s="193"/>
    </row>
    <row r="12709" spans="6:6" x14ac:dyDescent="0.3">
      <c r="F12709" s="193"/>
    </row>
    <row r="12710" spans="6:6" x14ac:dyDescent="0.3">
      <c r="F12710" s="193"/>
    </row>
    <row r="12711" spans="6:6" x14ac:dyDescent="0.3">
      <c r="F12711" s="193"/>
    </row>
    <row r="12712" spans="6:6" x14ac:dyDescent="0.3">
      <c r="F12712" s="193"/>
    </row>
    <row r="12713" spans="6:6" x14ac:dyDescent="0.3">
      <c r="F12713" s="193"/>
    </row>
    <row r="12714" spans="6:6" x14ac:dyDescent="0.3">
      <c r="F12714" s="193"/>
    </row>
    <row r="12715" spans="6:6" x14ac:dyDescent="0.3">
      <c r="F12715" s="193"/>
    </row>
    <row r="12716" spans="6:6" x14ac:dyDescent="0.3">
      <c r="F12716" s="193"/>
    </row>
    <row r="12717" spans="6:6" x14ac:dyDescent="0.3">
      <c r="F12717" s="193"/>
    </row>
    <row r="12718" spans="6:6" x14ac:dyDescent="0.3">
      <c r="F12718" s="193"/>
    </row>
    <row r="12719" spans="6:6" x14ac:dyDescent="0.3">
      <c r="F12719" s="193"/>
    </row>
    <row r="12720" spans="6:6" x14ac:dyDescent="0.3">
      <c r="F12720" s="193"/>
    </row>
    <row r="12721" spans="6:6" x14ac:dyDescent="0.3">
      <c r="F12721" s="193"/>
    </row>
    <row r="12722" spans="6:6" x14ac:dyDescent="0.3">
      <c r="F12722" s="193"/>
    </row>
    <row r="12723" spans="6:6" x14ac:dyDescent="0.3">
      <c r="F12723" s="193"/>
    </row>
    <row r="12724" spans="6:6" x14ac:dyDescent="0.3">
      <c r="F12724" s="193"/>
    </row>
    <row r="12725" spans="6:6" x14ac:dyDescent="0.3">
      <c r="F12725" s="193"/>
    </row>
    <row r="12726" spans="6:6" x14ac:dyDescent="0.3">
      <c r="F12726" s="193"/>
    </row>
    <row r="12727" spans="6:6" x14ac:dyDescent="0.3">
      <c r="F12727" s="193"/>
    </row>
    <row r="12728" spans="6:6" x14ac:dyDescent="0.3">
      <c r="F12728" s="193"/>
    </row>
    <row r="12729" spans="6:6" x14ac:dyDescent="0.3">
      <c r="F12729" s="193"/>
    </row>
    <row r="12730" spans="6:6" x14ac:dyDescent="0.3">
      <c r="F12730" s="193"/>
    </row>
    <row r="12731" spans="6:6" x14ac:dyDescent="0.3">
      <c r="F12731" s="193"/>
    </row>
    <row r="12732" spans="6:6" x14ac:dyDescent="0.3">
      <c r="F12732" s="193"/>
    </row>
    <row r="12733" spans="6:6" x14ac:dyDescent="0.3">
      <c r="F12733" s="193"/>
    </row>
    <row r="12734" spans="6:6" x14ac:dyDescent="0.3">
      <c r="F12734" s="193"/>
    </row>
    <row r="12735" spans="6:6" x14ac:dyDescent="0.3">
      <c r="F12735" s="193"/>
    </row>
    <row r="12736" spans="6:6" x14ac:dyDescent="0.3">
      <c r="F12736" s="193"/>
    </row>
    <row r="12737" spans="6:6" x14ac:dyDescent="0.3">
      <c r="F12737" s="193"/>
    </row>
    <row r="12738" spans="6:6" x14ac:dyDescent="0.3">
      <c r="F12738" s="193"/>
    </row>
    <row r="12739" spans="6:6" x14ac:dyDescent="0.3">
      <c r="F12739" s="193"/>
    </row>
    <row r="12740" spans="6:6" x14ac:dyDescent="0.3">
      <c r="F12740" s="193"/>
    </row>
    <row r="12741" spans="6:6" x14ac:dyDescent="0.3">
      <c r="F12741" s="193"/>
    </row>
    <row r="12742" spans="6:6" x14ac:dyDescent="0.3">
      <c r="F12742" s="193"/>
    </row>
    <row r="12743" spans="6:6" x14ac:dyDescent="0.3">
      <c r="F12743" s="193"/>
    </row>
    <row r="12744" spans="6:6" x14ac:dyDescent="0.3">
      <c r="F12744" s="193"/>
    </row>
    <row r="12745" spans="6:6" x14ac:dyDescent="0.3">
      <c r="F12745" s="193"/>
    </row>
    <row r="12746" spans="6:6" x14ac:dyDescent="0.3">
      <c r="F12746" s="193"/>
    </row>
    <row r="12747" spans="6:6" x14ac:dyDescent="0.3">
      <c r="F12747" s="193"/>
    </row>
    <row r="12748" spans="6:6" x14ac:dyDescent="0.3">
      <c r="F12748" s="193"/>
    </row>
    <row r="12749" spans="6:6" x14ac:dyDescent="0.3">
      <c r="F12749" s="193"/>
    </row>
    <row r="12750" spans="6:6" x14ac:dyDescent="0.3">
      <c r="F12750" s="193"/>
    </row>
    <row r="12751" spans="6:6" x14ac:dyDescent="0.3">
      <c r="F12751" s="193"/>
    </row>
    <row r="12752" spans="6:6" x14ac:dyDescent="0.3">
      <c r="F12752" s="193"/>
    </row>
    <row r="12753" spans="6:6" x14ac:dyDescent="0.3">
      <c r="F12753" s="193"/>
    </row>
    <row r="12754" spans="6:6" x14ac:dyDescent="0.3">
      <c r="F12754" s="193"/>
    </row>
    <row r="12755" spans="6:6" x14ac:dyDescent="0.3">
      <c r="F12755" s="193"/>
    </row>
    <row r="12756" spans="6:6" x14ac:dyDescent="0.3">
      <c r="F12756" s="193"/>
    </row>
    <row r="12757" spans="6:6" x14ac:dyDescent="0.3">
      <c r="F12757" s="193"/>
    </row>
    <row r="12758" spans="6:6" x14ac:dyDescent="0.3">
      <c r="F12758" s="193"/>
    </row>
    <row r="12759" spans="6:6" x14ac:dyDescent="0.3">
      <c r="F12759" s="193"/>
    </row>
    <row r="12760" spans="6:6" x14ac:dyDescent="0.3">
      <c r="F12760" s="193"/>
    </row>
    <row r="12761" spans="6:6" x14ac:dyDescent="0.3">
      <c r="F12761" s="193"/>
    </row>
    <row r="12762" spans="6:6" x14ac:dyDescent="0.3">
      <c r="F12762" s="193"/>
    </row>
    <row r="12763" spans="6:6" x14ac:dyDescent="0.3">
      <c r="F12763" s="193"/>
    </row>
    <row r="12764" spans="6:6" x14ac:dyDescent="0.3">
      <c r="F12764" s="193"/>
    </row>
    <row r="12765" spans="6:6" x14ac:dyDescent="0.3">
      <c r="F12765" s="193"/>
    </row>
    <row r="12766" spans="6:6" x14ac:dyDescent="0.3">
      <c r="F12766" s="193"/>
    </row>
    <row r="12767" spans="6:6" x14ac:dyDescent="0.3">
      <c r="F12767" s="193"/>
    </row>
    <row r="12768" spans="6:6" x14ac:dyDescent="0.3">
      <c r="F12768" s="193"/>
    </row>
    <row r="12769" spans="6:6" x14ac:dyDescent="0.3">
      <c r="F12769" s="193"/>
    </row>
    <row r="12770" spans="6:6" x14ac:dyDescent="0.3">
      <c r="F12770" s="193"/>
    </row>
    <row r="12771" spans="6:6" x14ac:dyDescent="0.3">
      <c r="F12771" s="193"/>
    </row>
    <row r="12772" spans="6:6" x14ac:dyDescent="0.3">
      <c r="F12772" s="193"/>
    </row>
    <row r="12773" spans="6:6" x14ac:dyDescent="0.3">
      <c r="F12773" s="193"/>
    </row>
    <row r="12774" spans="6:6" x14ac:dyDescent="0.3">
      <c r="F12774" s="193"/>
    </row>
    <row r="12775" spans="6:6" x14ac:dyDescent="0.3">
      <c r="F12775" s="193"/>
    </row>
    <row r="12776" spans="6:6" x14ac:dyDescent="0.3">
      <c r="F12776" s="193"/>
    </row>
    <row r="12777" spans="6:6" x14ac:dyDescent="0.3">
      <c r="F12777" s="193"/>
    </row>
    <row r="12778" spans="6:6" x14ac:dyDescent="0.3">
      <c r="F12778" s="193"/>
    </row>
    <row r="12779" spans="6:6" x14ac:dyDescent="0.3">
      <c r="F12779" s="193"/>
    </row>
    <row r="12780" spans="6:6" x14ac:dyDescent="0.3">
      <c r="F12780" s="193"/>
    </row>
    <row r="12781" spans="6:6" x14ac:dyDescent="0.3">
      <c r="F12781" s="193"/>
    </row>
    <row r="12782" spans="6:6" x14ac:dyDescent="0.3">
      <c r="F12782" s="193"/>
    </row>
    <row r="12783" spans="6:6" x14ac:dyDescent="0.3">
      <c r="F12783" s="193"/>
    </row>
    <row r="12784" spans="6:6" x14ac:dyDescent="0.3">
      <c r="F12784" s="193"/>
    </row>
    <row r="12785" spans="6:6" x14ac:dyDescent="0.3">
      <c r="F12785" s="193"/>
    </row>
    <row r="12786" spans="6:6" x14ac:dyDescent="0.3">
      <c r="F12786" s="193"/>
    </row>
    <row r="12787" spans="6:6" x14ac:dyDescent="0.3">
      <c r="F12787" s="193"/>
    </row>
    <row r="12788" spans="6:6" x14ac:dyDescent="0.3">
      <c r="F12788" s="193"/>
    </row>
    <row r="12789" spans="6:6" x14ac:dyDescent="0.3">
      <c r="F12789" s="193"/>
    </row>
    <row r="12790" spans="6:6" x14ac:dyDescent="0.3">
      <c r="F12790" s="193"/>
    </row>
    <row r="12791" spans="6:6" x14ac:dyDescent="0.3">
      <c r="F12791" s="193"/>
    </row>
    <row r="12792" spans="6:6" x14ac:dyDescent="0.3">
      <c r="F12792" s="193"/>
    </row>
    <row r="12793" spans="6:6" x14ac:dyDescent="0.3">
      <c r="F12793" s="193"/>
    </row>
    <row r="12794" spans="6:6" x14ac:dyDescent="0.3">
      <c r="F12794" s="193"/>
    </row>
    <row r="12795" spans="6:6" x14ac:dyDescent="0.3">
      <c r="F12795" s="193"/>
    </row>
    <row r="12796" spans="6:6" x14ac:dyDescent="0.3">
      <c r="F12796" s="193"/>
    </row>
    <row r="12797" spans="6:6" x14ac:dyDescent="0.3">
      <c r="F12797" s="193"/>
    </row>
    <row r="12798" spans="6:6" x14ac:dyDescent="0.3">
      <c r="F12798" s="193"/>
    </row>
    <row r="12799" spans="6:6" x14ac:dyDescent="0.3">
      <c r="F12799" s="193"/>
    </row>
    <row r="12800" spans="6:6" x14ac:dyDescent="0.3">
      <c r="F12800" s="193"/>
    </row>
    <row r="12801" spans="6:6" x14ac:dyDescent="0.3">
      <c r="F12801" s="193"/>
    </row>
    <row r="12802" spans="6:6" x14ac:dyDescent="0.3">
      <c r="F12802" s="193"/>
    </row>
    <row r="12803" spans="6:6" x14ac:dyDescent="0.3">
      <c r="F12803" s="193"/>
    </row>
    <row r="12804" spans="6:6" x14ac:dyDescent="0.3">
      <c r="F12804" s="193"/>
    </row>
    <row r="12805" spans="6:6" x14ac:dyDescent="0.3">
      <c r="F12805" s="193"/>
    </row>
    <row r="12806" spans="6:6" x14ac:dyDescent="0.3">
      <c r="F12806" s="193"/>
    </row>
    <row r="12807" spans="6:6" x14ac:dyDescent="0.3">
      <c r="F12807" s="193"/>
    </row>
    <row r="12808" spans="6:6" x14ac:dyDescent="0.3">
      <c r="F12808" s="193"/>
    </row>
    <row r="12809" spans="6:6" x14ac:dyDescent="0.3">
      <c r="F12809" s="193"/>
    </row>
    <row r="12810" spans="6:6" x14ac:dyDescent="0.3">
      <c r="F12810" s="193"/>
    </row>
    <row r="12811" spans="6:6" x14ac:dyDescent="0.3">
      <c r="F12811" s="193"/>
    </row>
    <row r="12812" spans="6:6" x14ac:dyDescent="0.3">
      <c r="F12812" s="193"/>
    </row>
    <row r="12813" spans="6:6" x14ac:dyDescent="0.3">
      <c r="F12813" s="193"/>
    </row>
    <row r="12814" spans="6:6" x14ac:dyDescent="0.3">
      <c r="F12814" s="193"/>
    </row>
    <row r="12815" spans="6:6" x14ac:dyDescent="0.3">
      <c r="F12815" s="193"/>
    </row>
    <row r="12816" spans="6:6" x14ac:dyDescent="0.3">
      <c r="F12816" s="193"/>
    </row>
    <row r="12817" spans="6:6" x14ac:dyDescent="0.3">
      <c r="F12817" s="193"/>
    </row>
    <row r="12818" spans="6:6" x14ac:dyDescent="0.3">
      <c r="F12818" s="193"/>
    </row>
    <row r="12819" spans="6:6" x14ac:dyDescent="0.3">
      <c r="F12819" s="193"/>
    </row>
    <row r="12820" spans="6:6" x14ac:dyDescent="0.3">
      <c r="F12820" s="193"/>
    </row>
    <row r="12821" spans="6:6" x14ac:dyDescent="0.3">
      <c r="F12821" s="193"/>
    </row>
    <row r="12822" spans="6:6" x14ac:dyDescent="0.3">
      <c r="F12822" s="193"/>
    </row>
    <row r="12823" spans="6:6" x14ac:dyDescent="0.3">
      <c r="F12823" s="193"/>
    </row>
    <row r="12824" spans="6:6" x14ac:dyDescent="0.3">
      <c r="F12824" s="193"/>
    </row>
    <row r="12825" spans="6:6" x14ac:dyDescent="0.3">
      <c r="F12825" s="193"/>
    </row>
    <row r="12826" spans="6:6" x14ac:dyDescent="0.3">
      <c r="F12826" s="193"/>
    </row>
    <row r="12827" spans="6:6" x14ac:dyDescent="0.3">
      <c r="F12827" s="193"/>
    </row>
    <row r="12828" spans="6:6" x14ac:dyDescent="0.3">
      <c r="F12828" s="193"/>
    </row>
    <row r="12829" spans="6:6" x14ac:dyDescent="0.3">
      <c r="F12829" s="193"/>
    </row>
    <row r="12830" spans="6:6" x14ac:dyDescent="0.3">
      <c r="F12830" s="193"/>
    </row>
    <row r="12831" spans="6:6" x14ac:dyDescent="0.3">
      <c r="F12831" s="193"/>
    </row>
    <row r="12832" spans="6:6" x14ac:dyDescent="0.3">
      <c r="F12832" s="193"/>
    </row>
    <row r="12833" spans="6:6" x14ac:dyDescent="0.3">
      <c r="F12833" s="193"/>
    </row>
    <row r="12834" spans="6:6" x14ac:dyDescent="0.3">
      <c r="F12834" s="193"/>
    </row>
    <row r="12835" spans="6:6" x14ac:dyDescent="0.3">
      <c r="F12835" s="193"/>
    </row>
    <row r="12836" spans="6:6" x14ac:dyDescent="0.3">
      <c r="F12836" s="193"/>
    </row>
    <row r="12837" spans="6:6" x14ac:dyDescent="0.3">
      <c r="F12837" s="193"/>
    </row>
    <row r="12838" spans="6:6" x14ac:dyDescent="0.3">
      <c r="F12838" s="193"/>
    </row>
    <row r="12839" spans="6:6" x14ac:dyDescent="0.3">
      <c r="F12839" s="193"/>
    </row>
    <row r="12840" spans="6:6" x14ac:dyDescent="0.3">
      <c r="F12840" s="193"/>
    </row>
    <row r="12841" spans="6:6" x14ac:dyDescent="0.3">
      <c r="F12841" s="193"/>
    </row>
    <row r="12842" spans="6:6" x14ac:dyDescent="0.3">
      <c r="F12842" s="193"/>
    </row>
    <row r="12843" spans="6:6" x14ac:dyDescent="0.3">
      <c r="F12843" s="193"/>
    </row>
    <row r="12844" spans="6:6" x14ac:dyDescent="0.3">
      <c r="F12844" s="193"/>
    </row>
    <row r="12845" spans="6:6" x14ac:dyDescent="0.3">
      <c r="F12845" s="193"/>
    </row>
    <row r="12846" spans="6:6" x14ac:dyDescent="0.3">
      <c r="F12846" s="193"/>
    </row>
    <row r="12847" spans="6:6" x14ac:dyDescent="0.3">
      <c r="F12847" s="193"/>
    </row>
    <row r="12848" spans="6:6" x14ac:dyDescent="0.3">
      <c r="F12848" s="193"/>
    </row>
    <row r="12849" spans="6:6" x14ac:dyDescent="0.3">
      <c r="F12849" s="193"/>
    </row>
    <row r="12850" spans="6:6" x14ac:dyDescent="0.3">
      <c r="F12850" s="193"/>
    </row>
    <row r="12851" spans="6:6" x14ac:dyDescent="0.3">
      <c r="F12851" s="193"/>
    </row>
    <row r="12852" spans="6:6" x14ac:dyDescent="0.3">
      <c r="F12852" s="193"/>
    </row>
    <row r="12853" spans="6:6" x14ac:dyDescent="0.3">
      <c r="F12853" s="193"/>
    </row>
    <row r="12854" spans="6:6" x14ac:dyDescent="0.3">
      <c r="F12854" s="193"/>
    </row>
    <row r="12855" spans="6:6" x14ac:dyDescent="0.3">
      <c r="F12855" s="193"/>
    </row>
    <row r="12856" spans="6:6" x14ac:dyDescent="0.3">
      <c r="F12856" s="193"/>
    </row>
    <row r="12857" spans="6:6" x14ac:dyDescent="0.3">
      <c r="F12857" s="193"/>
    </row>
    <row r="12858" spans="6:6" x14ac:dyDescent="0.3">
      <c r="F12858" s="193"/>
    </row>
    <row r="12859" spans="6:6" x14ac:dyDescent="0.3">
      <c r="F12859" s="193"/>
    </row>
    <row r="12860" spans="6:6" x14ac:dyDescent="0.3">
      <c r="F12860" s="193"/>
    </row>
    <row r="12861" spans="6:6" x14ac:dyDescent="0.3">
      <c r="F12861" s="193"/>
    </row>
    <row r="12862" spans="6:6" x14ac:dyDescent="0.3">
      <c r="F12862" s="193"/>
    </row>
    <row r="12863" spans="6:6" x14ac:dyDescent="0.3">
      <c r="F12863" s="193"/>
    </row>
    <row r="12864" spans="6:6" x14ac:dyDescent="0.3">
      <c r="F12864" s="193"/>
    </row>
    <row r="12865" spans="6:6" x14ac:dyDescent="0.3">
      <c r="F12865" s="193"/>
    </row>
    <row r="12866" spans="6:6" x14ac:dyDescent="0.3">
      <c r="F12866" s="193"/>
    </row>
    <row r="12867" spans="6:6" x14ac:dyDescent="0.3">
      <c r="F12867" s="193"/>
    </row>
    <row r="12868" spans="6:6" x14ac:dyDescent="0.3">
      <c r="F12868" s="193"/>
    </row>
    <row r="12869" spans="6:6" x14ac:dyDescent="0.3">
      <c r="F12869" s="193"/>
    </row>
    <row r="12870" spans="6:6" x14ac:dyDescent="0.3">
      <c r="F12870" s="193"/>
    </row>
    <row r="12871" spans="6:6" x14ac:dyDescent="0.3">
      <c r="F12871" s="193"/>
    </row>
    <row r="12872" spans="6:6" x14ac:dyDescent="0.3">
      <c r="F12872" s="193"/>
    </row>
    <row r="12873" spans="6:6" x14ac:dyDescent="0.3">
      <c r="F12873" s="193"/>
    </row>
    <row r="12874" spans="6:6" x14ac:dyDescent="0.3">
      <c r="F12874" s="193"/>
    </row>
    <row r="12875" spans="6:6" x14ac:dyDescent="0.3">
      <c r="F12875" s="193"/>
    </row>
    <row r="12876" spans="6:6" x14ac:dyDescent="0.3">
      <c r="F12876" s="193"/>
    </row>
    <row r="12877" spans="6:6" x14ac:dyDescent="0.3">
      <c r="F12877" s="193"/>
    </row>
    <row r="12878" spans="6:6" x14ac:dyDescent="0.3">
      <c r="F12878" s="193"/>
    </row>
    <row r="12879" spans="6:6" x14ac:dyDescent="0.3">
      <c r="F12879" s="193"/>
    </row>
    <row r="12880" spans="6:6" x14ac:dyDescent="0.3">
      <c r="F12880" s="193"/>
    </row>
    <row r="12881" spans="6:6" x14ac:dyDescent="0.3">
      <c r="F12881" s="193"/>
    </row>
    <row r="12882" spans="6:6" x14ac:dyDescent="0.3">
      <c r="F12882" s="193"/>
    </row>
    <row r="12883" spans="6:6" x14ac:dyDescent="0.3">
      <c r="F12883" s="193"/>
    </row>
    <row r="12884" spans="6:6" x14ac:dyDescent="0.3">
      <c r="F12884" s="193"/>
    </row>
    <row r="12885" spans="6:6" x14ac:dyDescent="0.3">
      <c r="F12885" s="193"/>
    </row>
    <row r="12886" spans="6:6" x14ac:dyDescent="0.3">
      <c r="F12886" s="193"/>
    </row>
    <row r="12887" spans="6:6" x14ac:dyDescent="0.3">
      <c r="F12887" s="193"/>
    </row>
    <row r="12888" spans="6:6" x14ac:dyDescent="0.3">
      <c r="F12888" s="193"/>
    </row>
    <row r="12889" spans="6:6" x14ac:dyDescent="0.3">
      <c r="F12889" s="193"/>
    </row>
    <row r="12890" spans="6:6" x14ac:dyDescent="0.3">
      <c r="F12890" s="193"/>
    </row>
    <row r="12891" spans="6:6" x14ac:dyDescent="0.3">
      <c r="F12891" s="193"/>
    </row>
    <row r="12892" spans="6:6" x14ac:dyDescent="0.3">
      <c r="F12892" s="193"/>
    </row>
    <row r="12893" spans="6:6" x14ac:dyDescent="0.3">
      <c r="F12893" s="193"/>
    </row>
    <row r="12894" spans="6:6" x14ac:dyDescent="0.3">
      <c r="F12894" s="193"/>
    </row>
    <row r="12895" spans="6:6" x14ac:dyDescent="0.3">
      <c r="F12895" s="193"/>
    </row>
    <row r="12896" spans="6:6" x14ac:dyDescent="0.3">
      <c r="F12896" s="193"/>
    </row>
    <row r="12897" spans="6:6" x14ac:dyDescent="0.3">
      <c r="F12897" s="193"/>
    </row>
    <row r="12898" spans="6:6" x14ac:dyDescent="0.3">
      <c r="F12898" s="193"/>
    </row>
    <row r="12899" spans="6:6" x14ac:dyDescent="0.3">
      <c r="F12899" s="193"/>
    </row>
    <row r="12900" spans="6:6" x14ac:dyDescent="0.3">
      <c r="F12900" s="193"/>
    </row>
    <row r="12901" spans="6:6" x14ac:dyDescent="0.3">
      <c r="F12901" s="193"/>
    </row>
    <row r="12902" spans="6:6" x14ac:dyDescent="0.3">
      <c r="F12902" s="193"/>
    </row>
    <row r="12903" spans="6:6" x14ac:dyDescent="0.3">
      <c r="F12903" s="193"/>
    </row>
    <row r="12904" spans="6:6" x14ac:dyDescent="0.3">
      <c r="F12904" s="193"/>
    </row>
    <row r="12905" spans="6:6" x14ac:dyDescent="0.3">
      <c r="F12905" s="193"/>
    </row>
    <row r="12906" spans="6:6" x14ac:dyDescent="0.3">
      <c r="F12906" s="193"/>
    </row>
    <row r="12907" spans="6:6" x14ac:dyDescent="0.3">
      <c r="F12907" s="193"/>
    </row>
    <row r="12908" spans="6:6" x14ac:dyDescent="0.3">
      <c r="F12908" s="193"/>
    </row>
    <row r="12909" spans="6:6" x14ac:dyDescent="0.3">
      <c r="F12909" s="193"/>
    </row>
    <row r="12910" spans="6:6" x14ac:dyDescent="0.3">
      <c r="F12910" s="193"/>
    </row>
    <row r="12911" spans="6:6" x14ac:dyDescent="0.3">
      <c r="F12911" s="193"/>
    </row>
    <row r="12912" spans="6:6" x14ac:dyDescent="0.3">
      <c r="F12912" s="193"/>
    </row>
    <row r="12913" spans="6:6" x14ac:dyDescent="0.3">
      <c r="F12913" s="193"/>
    </row>
    <row r="12914" spans="6:6" x14ac:dyDescent="0.3">
      <c r="F12914" s="193"/>
    </row>
    <row r="12915" spans="6:6" x14ac:dyDescent="0.3">
      <c r="F12915" s="193"/>
    </row>
    <row r="12916" spans="6:6" x14ac:dyDescent="0.3">
      <c r="F12916" s="193"/>
    </row>
    <row r="12917" spans="6:6" x14ac:dyDescent="0.3">
      <c r="F12917" s="193"/>
    </row>
    <row r="12918" spans="6:6" x14ac:dyDescent="0.3">
      <c r="F12918" s="193"/>
    </row>
    <row r="12919" spans="6:6" x14ac:dyDescent="0.3">
      <c r="F12919" s="193"/>
    </row>
    <row r="12920" spans="6:6" x14ac:dyDescent="0.3">
      <c r="F12920" s="193"/>
    </row>
    <row r="12921" spans="6:6" x14ac:dyDescent="0.3">
      <c r="F12921" s="193"/>
    </row>
    <row r="12922" spans="6:6" x14ac:dyDescent="0.3">
      <c r="F12922" s="193"/>
    </row>
    <row r="12923" spans="6:6" x14ac:dyDescent="0.3">
      <c r="F12923" s="193"/>
    </row>
    <row r="12924" spans="6:6" x14ac:dyDescent="0.3">
      <c r="F12924" s="193"/>
    </row>
    <row r="12925" spans="6:6" x14ac:dyDescent="0.3">
      <c r="F12925" s="193"/>
    </row>
    <row r="12926" spans="6:6" x14ac:dyDescent="0.3">
      <c r="F12926" s="193"/>
    </row>
    <row r="12927" spans="6:6" x14ac:dyDescent="0.3">
      <c r="F12927" s="193"/>
    </row>
    <row r="12928" spans="6:6" x14ac:dyDescent="0.3">
      <c r="F12928" s="193"/>
    </row>
    <row r="12929" spans="6:6" x14ac:dyDescent="0.3">
      <c r="F12929" s="193"/>
    </row>
    <row r="12930" spans="6:6" x14ac:dyDescent="0.3">
      <c r="F12930" s="193"/>
    </row>
    <row r="12931" spans="6:6" x14ac:dyDescent="0.3">
      <c r="F12931" s="193"/>
    </row>
    <row r="12932" spans="6:6" x14ac:dyDescent="0.3">
      <c r="F12932" s="193"/>
    </row>
    <row r="12933" spans="6:6" x14ac:dyDescent="0.3">
      <c r="F12933" s="193"/>
    </row>
    <row r="12934" spans="6:6" x14ac:dyDescent="0.3">
      <c r="F12934" s="193"/>
    </row>
    <row r="12935" spans="6:6" x14ac:dyDescent="0.3">
      <c r="F12935" s="193"/>
    </row>
    <row r="12936" spans="6:6" x14ac:dyDescent="0.3">
      <c r="F12936" s="193"/>
    </row>
    <row r="12937" spans="6:6" x14ac:dyDescent="0.3">
      <c r="F12937" s="193"/>
    </row>
    <row r="12938" spans="6:6" x14ac:dyDescent="0.3">
      <c r="F12938" s="193"/>
    </row>
    <row r="12939" spans="6:6" x14ac:dyDescent="0.3">
      <c r="F12939" s="193"/>
    </row>
    <row r="12940" spans="6:6" x14ac:dyDescent="0.3">
      <c r="F12940" s="193"/>
    </row>
    <row r="12941" spans="6:6" x14ac:dyDescent="0.3">
      <c r="F12941" s="193"/>
    </row>
    <row r="12942" spans="6:6" x14ac:dyDescent="0.3">
      <c r="F12942" s="193"/>
    </row>
    <row r="12943" spans="6:6" x14ac:dyDescent="0.3">
      <c r="F12943" s="193"/>
    </row>
    <row r="12944" spans="6:6" x14ac:dyDescent="0.3">
      <c r="F12944" s="193"/>
    </row>
    <row r="12945" spans="6:6" x14ac:dyDescent="0.3">
      <c r="F12945" s="193"/>
    </row>
    <row r="12946" spans="6:6" x14ac:dyDescent="0.3">
      <c r="F12946" s="193"/>
    </row>
    <row r="12947" spans="6:6" x14ac:dyDescent="0.3">
      <c r="F12947" s="193"/>
    </row>
    <row r="12948" spans="6:6" x14ac:dyDescent="0.3">
      <c r="F12948" s="193"/>
    </row>
    <row r="12949" spans="6:6" x14ac:dyDescent="0.3">
      <c r="F12949" s="193"/>
    </row>
    <row r="12950" spans="6:6" x14ac:dyDescent="0.3">
      <c r="F12950" s="193"/>
    </row>
    <row r="12951" spans="6:6" x14ac:dyDescent="0.3">
      <c r="F12951" s="193"/>
    </row>
    <row r="12952" spans="6:6" x14ac:dyDescent="0.3">
      <c r="F12952" s="193"/>
    </row>
    <row r="12953" spans="6:6" x14ac:dyDescent="0.3">
      <c r="F12953" s="193"/>
    </row>
    <row r="12954" spans="6:6" x14ac:dyDescent="0.3">
      <c r="F12954" s="193"/>
    </row>
    <row r="12955" spans="6:6" x14ac:dyDescent="0.3">
      <c r="F12955" s="193"/>
    </row>
    <row r="12956" spans="6:6" x14ac:dyDescent="0.3">
      <c r="F12956" s="193"/>
    </row>
    <row r="12957" spans="6:6" x14ac:dyDescent="0.3">
      <c r="F12957" s="193"/>
    </row>
    <row r="12958" spans="6:6" x14ac:dyDescent="0.3">
      <c r="F12958" s="193"/>
    </row>
    <row r="12959" spans="6:6" x14ac:dyDescent="0.3">
      <c r="F12959" s="193"/>
    </row>
    <row r="12960" spans="6:6" x14ac:dyDescent="0.3">
      <c r="F12960" s="193"/>
    </row>
    <row r="12961" spans="6:6" x14ac:dyDescent="0.3">
      <c r="F12961" s="193"/>
    </row>
    <row r="12962" spans="6:6" x14ac:dyDescent="0.3">
      <c r="F12962" s="193"/>
    </row>
    <row r="12963" spans="6:6" x14ac:dyDescent="0.3">
      <c r="F12963" s="193"/>
    </row>
    <row r="12964" spans="6:6" x14ac:dyDescent="0.3">
      <c r="F12964" s="193"/>
    </row>
    <row r="12965" spans="6:6" x14ac:dyDescent="0.3">
      <c r="F12965" s="193"/>
    </row>
    <row r="12966" spans="6:6" x14ac:dyDescent="0.3">
      <c r="F12966" s="193"/>
    </row>
    <row r="12967" spans="6:6" x14ac:dyDescent="0.3">
      <c r="F12967" s="193"/>
    </row>
    <row r="12968" spans="6:6" x14ac:dyDescent="0.3">
      <c r="F12968" s="193"/>
    </row>
    <row r="12969" spans="6:6" x14ac:dyDescent="0.3">
      <c r="F12969" s="193"/>
    </row>
    <row r="12970" spans="6:6" x14ac:dyDescent="0.3">
      <c r="F12970" s="193"/>
    </row>
    <row r="12971" spans="6:6" x14ac:dyDescent="0.3">
      <c r="F12971" s="193"/>
    </row>
    <row r="12972" spans="6:6" x14ac:dyDescent="0.3">
      <c r="F12972" s="193"/>
    </row>
    <row r="12973" spans="6:6" x14ac:dyDescent="0.3">
      <c r="F12973" s="193"/>
    </row>
    <row r="12974" spans="6:6" x14ac:dyDescent="0.3">
      <c r="F12974" s="193"/>
    </row>
    <row r="12975" spans="6:6" x14ac:dyDescent="0.3">
      <c r="F12975" s="193"/>
    </row>
    <row r="12976" spans="6:6" x14ac:dyDescent="0.3">
      <c r="F12976" s="193"/>
    </row>
    <row r="12977" spans="6:6" x14ac:dyDescent="0.3">
      <c r="F12977" s="193"/>
    </row>
    <row r="12978" spans="6:6" x14ac:dyDescent="0.3">
      <c r="F12978" s="193"/>
    </row>
    <row r="12979" spans="6:6" x14ac:dyDescent="0.3">
      <c r="F12979" s="193"/>
    </row>
    <row r="12980" spans="6:6" x14ac:dyDescent="0.3">
      <c r="F12980" s="193"/>
    </row>
    <row r="12981" spans="6:6" x14ac:dyDescent="0.3">
      <c r="F12981" s="193"/>
    </row>
    <row r="12982" spans="6:6" x14ac:dyDescent="0.3">
      <c r="F12982" s="193"/>
    </row>
    <row r="12983" spans="6:6" x14ac:dyDescent="0.3">
      <c r="F12983" s="193"/>
    </row>
    <row r="12984" spans="6:6" x14ac:dyDescent="0.3">
      <c r="F12984" s="193"/>
    </row>
    <row r="12985" spans="6:6" x14ac:dyDescent="0.3">
      <c r="F12985" s="193"/>
    </row>
    <row r="12986" spans="6:6" x14ac:dyDescent="0.3">
      <c r="F12986" s="193"/>
    </row>
    <row r="12987" spans="6:6" x14ac:dyDescent="0.3">
      <c r="F12987" s="193"/>
    </row>
    <row r="12988" spans="6:6" x14ac:dyDescent="0.3">
      <c r="F12988" s="193"/>
    </row>
    <row r="12989" spans="6:6" x14ac:dyDescent="0.3">
      <c r="F12989" s="193"/>
    </row>
    <row r="12990" spans="6:6" x14ac:dyDescent="0.3">
      <c r="F12990" s="193"/>
    </row>
    <row r="12991" spans="6:6" x14ac:dyDescent="0.3">
      <c r="F12991" s="193"/>
    </row>
    <row r="12992" spans="6:6" x14ac:dyDescent="0.3">
      <c r="F12992" s="193"/>
    </row>
    <row r="12993" spans="6:6" x14ac:dyDescent="0.3">
      <c r="F12993" s="193"/>
    </row>
    <row r="12994" spans="6:6" x14ac:dyDescent="0.3">
      <c r="F12994" s="193"/>
    </row>
    <row r="12995" spans="6:6" x14ac:dyDescent="0.3">
      <c r="F12995" s="193"/>
    </row>
    <row r="12996" spans="6:6" x14ac:dyDescent="0.3">
      <c r="F12996" s="193"/>
    </row>
    <row r="12997" spans="6:6" x14ac:dyDescent="0.3">
      <c r="F12997" s="193"/>
    </row>
    <row r="12998" spans="6:6" x14ac:dyDescent="0.3">
      <c r="F12998" s="193"/>
    </row>
    <row r="12999" spans="6:6" x14ac:dyDescent="0.3">
      <c r="F12999" s="193"/>
    </row>
    <row r="13000" spans="6:6" x14ac:dyDescent="0.3">
      <c r="F13000" s="193"/>
    </row>
    <row r="13001" spans="6:6" x14ac:dyDescent="0.3">
      <c r="F13001" s="193"/>
    </row>
    <row r="13002" spans="6:6" x14ac:dyDescent="0.3">
      <c r="F13002" s="193"/>
    </row>
    <row r="13003" spans="6:6" x14ac:dyDescent="0.3">
      <c r="F13003" s="193"/>
    </row>
    <row r="13004" spans="6:6" x14ac:dyDescent="0.3">
      <c r="F13004" s="193"/>
    </row>
    <row r="13005" spans="6:6" x14ac:dyDescent="0.3">
      <c r="F13005" s="193"/>
    </row>
    <row r="13006" spans="6:6" x14ac:dyDescent="0.3">
      <c r="F13006" s="193"/>
    </row>
    <row r="13007" spans="6:6" x14ac:dyDescent="0.3">
      <c r="F13007" s="193"/>
    </row>
    <row r="13008" spans="6:6" x14ac:dyDescent="0.3">
      <c r="F13008" s="193"/>
    </row>
    <row r="13009" spans="6:6" x14ac:dyDescent="0.3">
      <c r="F13009" s="193"/>
    </row>
    <row r="13010" spans="6:6" x14ac:dyDescent="0.3">
      <c r="F13010" s="193"/>
    </row>
    <row r="13011" spans="6:6" x14ac:dyDescent="0.3">
      <c r="F13011" s="193"/>
    </row>
    <row r="13012" spans="6:6" x14ac:dyDescent="0.3">
      <c r="F13012" s="193"/>
    </row>
    <row r="13013" spans="6:6" x14ac:dyDescent="0.3">
      <c r="F13013" s="193"/>
    </row>
    <row r="13014" spans="6:6" x14ac:dyDescent="0.3">
      <c r="F13014" s="193"/>
    </row>
    <row r="13015" spans="6:6" x14ac:dyDescent="0.3">
      <c r="F13015" s="193"/>
    </row>
    <row r="13016" spans="6:6" x14ac:dyDescent="0.3">
      <c r="F13016" s="193"/>
    </row>
    <row r="13017" spans="6:6" x14ac:dyDescent="0.3">
      <c r="F13017" s="193"/>
    </row>
    <row r="13018" spans="6:6" x14ac:dyDescent="0.3">
      <c r="F13018" s="193"/>
    </row>
    <row r="13019" spans="6:6" x14ac:dyDescent="0.3">
      <c r="F13019" s="193"/>
    </row>
    <row r="13020" spans="6:6" x14ac:dyDescent="0.3">
      <c r="F13020" s="193"/>
    </row>
    <row r="13021" spans="6:6" x14ac:dyDescent="0.3">
      <c r="F13021" s="193"/>
    </row>
    <row r="13022" spans="6:6" x14ac:dyDescent="0.3">
      <c r="F13022" s="193"/>
    </row>
    <row r="13023" spans="6:6" x14ac:dyDescent="0.3">
      <c r="F13023" s="193"/>
    </row>
    <row r="13024" spans="6:6" x14ac:dyDescent="0.3">
      <c r="F13024" s="193"/>
    </row>
    <row r="13025" spans="6:6" x14ac:dyDescent="0.3">
      <c r="F13025" s="193"/>
    </row>
    <row r="13026" spans="6:6" x14ac:dyDescent="0.3">
      <c r="F13026" s="193"/>
    </row>
    <row r="13027" spans="6:6" x14ac:dyDescent="0.3">
      <c r="F13027" s="193"/>
    </row>
    <row r="13028" spans="6:6" x14ac:dyDescent="0.3">
      <c r="F13028" s="193"/>
    </row>
    <row r="13029" spans="6:6" x14ac:dyDescent="0.3">
      <c r="F13029" s="193"/>
    </row>
    <row r="13030" spans="6:6" x14ac:dyDescent="0.3">
      <c r="F13030" s="193"/>
    </row>
    <row r="13031" spans="6:6" x14ac:dyDescent="0.3">
      <c r="F13031" s="193"/>
    </row>
    <row r="13032" spans="6:6" x14ac:dyDescent="0.3">
      <c r="F13032" s="193"/>
    </row>
    <row r="13033" spans="6:6" x14ac:dyDescent="0.3">
      <c r="F13033" s="193"/>
    </row>
    <row r="13034" spans="6:6" x14ac:dyDescent="0.3">
      <c r="F13034" s="193"/>
    </row>
    <row r="13035" spans="6:6" x14ac:dyDescent="0.3">
      <c r="F13035" s="193"/>
    </row>
    <row r="13036" spans="6:6" x14ac:dyDescent="0.3">
      <c r="F13036" s="193"/>
    </row>
    <row r="13037" spans="6:6" x14ac:dyDescent="0.3">
      <c r="F13037" s="193"/>
    </row>
    <row r="13038" spans="6:6" x14ac:dyDescent="0.3">
      <c r="F13038" s="193"/>
    </row>
    <row r="13039" spans="6:6" x14ac:dyDescent="0.3">
      <c r="F13039" s="193"/>
    </row>
    <row r="13040" spans="6:6" x14ac:dyDescent="0.3">
      <c r="F13040" s="193"/>
    </row>
    <row r="13041" spans="6:6" x14ac:dyDescent="0.3">
      <c r="F13041" s="193"/>
    </row>
    <row r="13042" spans="6:6" x14ac:dyDescent="0.3">
      <c r="F13042" s="193"/>
    </row>
    <row r="13043" spans="6:6" x14ac:dyDescent="0.3">
      <c r="F13043" s="193"/>
    </row>
    <row r="13044" spans="6:6" x14ac:dyDescent="0.3">
      <c r="F13044" s="193"/>
    </row>
    <row r="13045" spans="6:6" x14ac:dyDescent="0.3">
      <c r="F13045" s="193"/>
    </row>
    <row r="13046" spans="6:6" x14ac:dyDescent="0.3">
      <c r="F13046" s="193"/>
    </row>
    <row r="13047" spans="6:6" x14ac:dyDescent="0.3">
      <c r="F13047" s="193"/>
    </row>
    <row r="13048" spans="6:6" x14ac:dyDescent="0.3">
      <c r="F13048" s="193"/>
    </row>
    <row r="13049" spans="6:6" x14ac:dyDescent="0.3">
      <c r="F13049" s="193"/>
    </row>
    <row r="13050" spans="6:6" x14ac:dyDescent="0.3">
      <c r="F13050" s="193"/>
    </row>
    <row r="13051" spans="6:6" x14ac:dyDescent="0.3">
      <c r="F13051" s="193"/>
    </row>
    <row r="13052" spans="6:6" x14ac:dyDescent="0.3">
      <c r="F13052" s="193"/>
    </row>
    <row r="13053" spans="6:6" x14ac:dyDescent="0.3">
      <c r="F13053" s="193"/>
    </row>
    <row r="13054" spans="6:6" x14ac:dyDescent="0.3">
      <c r="F13054" s="193"/>
    </row>
    <row r="13055" spans="6:6" x14ac:dyDescent="0.3">
      <c r="F13055" s="193"/>
    </row>
    <row r="13056" spans="6:6" x14ac:dyDescent="0.3">
      <c r="F13056" s="193"/>
    </row>
    <row r="13057" spans="6:6" x14ac:dyDescent="0.3">
      <c r="F13057" s="193"/>
    </row>
    <row r="13058" spans="6:6" x14ac:dyDescent="0.3">
      <c r="F13058" s="193"/>
    </row>
    <row r="13059" spans="6:6" x14ac:dyDescent="0.3">
      <c r="F13059" s="193"/>
    </row>
    <row r="13060" spans="6:6" x14ac:dyDescent="0.3">
      <c r="F13060" s="193"/>
    </row>
    <row r="13061" spans="6:6" x14ac:dyDescent="0.3">
      <c r="F13061" s="193"/>
    </row>
    <row r="13062" spans="6:6" x14ac:dyDescent="0.3">
      <c r="F13062" s="193"/>
    </row>
    <row r="13063" spans="6:6" x14ac:dyDescent="0.3">
      <c r="F13063" s="193"/>
    </row>
    <row r="13064" spans="6:6" x14ac:dyDescent="0.3">
      <c r="F13064" s="193"/>
    </row>
    <row r="13065" spans="6:6" x14ac:dyDescent="0.3">
      <c r="F13065" s="193"/>
    </row>
    <row r="13066" spans="6:6" x14ac:dyDescent="0.3">
      <c r="F13066" s="193"/>
    </row>
    <row r="13067" spans="6:6" x14ac:dyDescent="0.3">
      <c r="F13067" s="193"/>
    </row>
    <row r="13068" spans="6:6" x14ac:dyDescent="0.3">
      <c r="F13068" s="193"/>
    </row>
    <row r="13069" spans="6:6" x14ac:dyDescent="0.3">
      <c r="F13069" s="193"/>
    </row>
    <row r="13070" spans="6:6" x14ac:dyDescent="0.3">
      <c r="F13070" s="193"/>
    </row>
    <row r="13071" spans="6:6" x14ac:dyDescent="0.3">
      <c r="F13071" s="193"/>
    </row>
    <row r="13072" spans="6:6" x14ac:dyDescent="0.3">
      <c r="F13072" s="193"/>
    </row>
    <row r="13073" spans="6:6" x14ac:dyDescent="0.3">
      <c r="F13073" s="193"/>
    </row>
    <row r="13074" spans="6:6" x14ac:dyDescent="0.3">
      <c r="F13074" s="193"/>
    </row>
    <row r="13075" spans="6:6" x14ac:dyDescent="0.3">
      <c r="F13075" s="193"/>
    </row>
    <row r="13076" spans="6:6" x14ac:dyDescent="0.3">
      <c r="F13076" s="193"/>
    </row>
    <row r="13077" spans="6:6" x14ac:dyDescent="0.3">
      <c r="F13077" s="193"/>
    </row>
    <row r="13078" spans="6:6" x14ac:dyDescent="0.3">
      <c r="F13078" s="193"/>
    </row>
    <row r="13079" spans="6:6" x14ac:dyDescent="0.3">
      <c r="F13079" s="193"/>
    </row>
    <row r="13080" spans="6:6" x14ac:dyDescent="0.3">
      <c r="F13080" s="193"/>
    </row>
    <row r="13081" spans="6:6" x14ac:dyDescent="0.3">
      <c r="F13081" s="193"/>
    </row>
    <row r="13082" spans="6:6" x14ac:dyDescent="0.3">
      <c r="F13082" s="193"/>
    </row>
    <row r="13083" spans="6:6" x14ac:dyDescent="0.3">
      <c r="F13083" s="193"/>
    </row>
    <row r="13084" spans="6:6" x14ac:dyDescent="0.3">
      <c r="F13084" s="193"/>
    </row>
    <row r="13085" spans="6:6" x14ac:dyDescent="0.3">
      <c r="F13085" s="193"/>
    </row>
    <row r="13086" spans="6:6" x14ac:dyDescent="0.3">
      <c r="F13086" s="193"/>
    </row>
    <row r="13087" spans="6:6" x14ac:dyDescent="0.3">
      <c r="F13087" s="193"/>
    </row>
    <row r="13088" spans="6:6" x14ac:dyDescent="0.3">
      <c r="F13088" s="193"/>
    </row>
    <row r="13089" spans="6:6" x14ac:dyDescent="0.3">
      <c r="F13089" s="193"/>
    </row>
    <row r="13090" spans="6:6" x14ac:dyDescent="0.3">
      <c r="F13090" s="193"/>
    </row>
    <row r="13091" spans="6:6" x14ac:dyDescent="0.3">
      <c r="F13091" s="193"/>
    </row>
    <row r="13092" spans="6:6" x14ac:dyDescent="0.3">
      <c r="F13092" s="193"/>
    </row>
    <row r="13093" spans="6:6" x14ac:dyDescent="0.3">
      <c r="F13093" s="193"/>
    </row>
    <row r="13094" spans="6:6" x14ac:dyDescent="0.3">
      <c r="F13094" s="193"/>
    </row>
    <row r="13095" spans="6:6" x14ac:dyDescent="0.3">
      <c r="F13095" s="193"/>
    </row>
    <row r="13096" spans="6:6" x14ac:dyDescent="0.3">
      <c r="F13096" s="193"/>
    </row>
    <row r="13097" spans="6:6" x14ac:dyDescent="0.3">
      <c r="F13097" s="193"/>
    </row>
    <row r="13098" spans="6:6" x14ac:dyDescent="0.3">
      <c r="F13098" s="193"/>
    </row>
    <row r="13099" spans="6:6" x14ac:dyDescent="0.3">
      <c r="F13099" s="193"/>
    </row>
    <row r="13100" spans="6:6" x14ac:dyDescent="0.3">
      <c r="F13100" s="193"/>
    </row>
    <row r="13101" spans="6:6" x14ac:dyDescent="0.3">
      <c r="F13101" s="193"/>
    </row>
    <row r="13102" spans="6:6" x14ac:dyDescent="0.3">
      <c r="F13102" s="193"/>
    </row>
    <row r="13103" spans="6:6" x14ac:dyDescent="0.3">
      <c r="F13103" s="193"/>
    </row>
    <row r="13104" spans="6:6" x14ac:dyDescent="0.3">
      <c r="F13104" s="193"/>
    </row>
    <row r="13105" spans="6:6" x14ac:dyDescent="0.3">
      <c r="F13105" s="193"/>
    </row>
    <row r="13106" spans="6:6" x14ac:dyDescent="0.3">
      <c r="F13106" s="193"/>
    </row>
    <row r="13107" spans="6:6" x14ac:dyDescent="0.3">
      <c r="F13107" s="193"/>
    </row>
    <row r="13108" spans="6:6" x14ac:dyDescent="0.3">
      <c r="F13108" s="193"/>
    </row>
    <row r="13109" spans="6:6" x14ac:dyDescent="0.3">
      <c r="F13109" s="193"/>
    </row>
    <row r="13110" spans="6:6" x14ac:dyDescent="0.3">
      <c r="F13110" s="193"/>
    </row>
    <row r="13111" spans="6:6" x14ac:dyDescent="0.3">
      <c r="F13111" s="193"/>
    </row>
    <row r="13112" spans="6:6" x14ac:dyDescent="0.3">
      <c r="F13112" s="193"/>
    </row>
    <row r="13113" spans="6:6" x14ac:dyDescent="0.3">
      <c r="F13113" s="193"/>
    </row>
    <row r="13114" spans="6:6" x14ac:dyDescent="0.3">
      <c r="F13114" s="193"/>
    </row>
    <row r="13115" spans="6:6" x14ac:dyDescent="0.3">
      <c r="F13115" s="193"/>
    </row>
    <row r="13116" spans="6:6" x14ac:dyDescent="0.3">
      <c r="F13116" s="193"/>
    </row>
    <row r="13117" spans="6:6" x14ac:dyDescent="0.3">
      <c r="F13117" s="193"/>
    </row>
    <row r="13118" spans="6:6" x14ac:dyDescent="0.3">
      <c r="F13118" s="193"/>
    </row>
    <row r="13119" spans="6:6" x14ac:dyDescent="0.3">
      <c r="F13119" s="193"/>
    </row>
    <row r="13120" spans="6:6" x14ac:dyDescent="0.3">
      <c r="F13120" s="193"/>
    </row>
    <row r="13121" spans="6:6" x14ac:dyDescent="0.3">
      <c r="F13121" s="193"/>
    </row>
    <row r="13122" spans="6:6" x14ac:dyDescent="0.3">
      <c r="F13122" s="193"/>
    </row>
    <row r="13123" spans="6:6" x14ac:dyDescent="0.3">
      <c r="F13123" s="193"/>
    </row>
    <row r="13124" spans="6:6" x14ac:dyDescent="0.3">
      <c r="F13124" s="193"/>
    </row>
    <row r="13125" spans="6:6" x14ac:dyDescent="0.3">
      <c r="F13125" s="193"/>
    </row>
    <row r="13126" spans="6:6" x14ac:dyDescent="0.3">
      <c r="F13126" s="193"/>
    </row>
    <row r="13127" spans="6:6" x14ac:dyDescent="0.3">
      <c r="F13127" s="193"/>
    </row>
    <row r="13128" spans="6:6" x14ac:dyDescent="0.3">
      <c r="F13128" s="193"/>
    </row>
    <row r="13129" spans="6:6" x14ac:dyDescent="0.3">
      <c r="F13129" s="193"/>
    </row>
    <row r="13130" spans="6:6" x14ac:dyDescent="0.3">
      <c r="F13130" s="193"/>
    </row>
    <row r="13131" spans="6:6" x14ac:dyDescent="0.3">
      <c r="F13131" s="193"/>
    </row>
    <row r="13132" spans="6:6" x14ac:dyDescent="0.3">
      <c r="F13132" s="193"/>
    </row>
    <row r="13133" spans="6:6" x14ac:dyDescent="0.3">
      <c r="F13133" s="193"/>
    </row>
    <row r="13134" spans="6:6" x14ac:dyDescent="0.3">
      <c r="F13134" s="193"/>
    </row>
    <row r="13135" spans="6:6" x14ac:dyDescent="0.3">
      <c r="F13135" s="193"/>
    </row>
    <row r="13136" spans="6:6" x14ac:dyDescent="0.3">
      <c r="F13136" s="193"/>
    </row>
    <row r="13137" spans="6:6" x14ac:dyDescent="0.3">
      <c r="F13137" s="193"/>
    </row>
    <row r="13138" spans="6:6" x14ac:dyDescent="0.3">
      <c r="F13138" s="193"/>
    </row>
    <row r="13139" spans="6:6" x14ac:dyDescent="0.3">
      <c r="F13139" s="193"/>
    </row>
    <row r="13140" spans="6:6" x14ac:dyDescent="0.3">
      <c r="F13140" s="193"/>
    </row>
    <row r="13141" spans="6:6" x14ac:dyDescent="0.3">
      <c r="F13141" s="193"/>
    </row>
    <row r="13142" spans="6:6" x14ac:dyDescent="0.3">
      <c r="F13142" s="193"/>
    </row>
    <row r="13143" spans="6:6" x14ac:dyDescent="0.3">
      <c r="F13143" s="193"/>
    </row>
    <row r="13144" spans="6:6" x14ac:dyDescent="0.3">
      <c r="F13144" s="193"/>
    </row>
    <row r="13145" spans="6:6" x14ac:dyDescent="0.3">
      <c r="F13145" s="193"/>
    </row>
    <row r="13146" spans="6:6" x14ac:dyDescent="0.3">
      <c r="F13146" s="193"/>
    </row>
    <row r="13147" spans="6:6" x14ac:dyDescent="0.3">
      <c r="F13147" s="193"/>
    </row>
    <row r="13148" spans="6:6" x14ac:dyDescent="0.3">
      <c r="F13148" s="193"/>
    </row>
    <row r="13149" spans="6:6" x14ac:dyDescent="0.3">
      <c r="F13149" s="193"/>
    </row>
    <row r="13150" spans="6:6" x14ac:dyDescent="0.3">
      <c r="F13150" s="193"/>
    </row>
    <row r="13151" spans="6:6" x14ac:dyDescent="0.3">
      <c r="F13151" s="193"/>
    </row>
    <row r="13152" spans="6:6" x14ac:dyDescent="0.3">
      <c r="F13152" s="193"/>
    </row>
    <row r="13153" spans="6:6" x14ac:dyDescent="0.3">
      <c r="F13153" s="193"/>
    </row>
    <row r="13154" spans="6:6" x14ac:dyDescent="0.3">
      <c r="F13154" s="193"/>
    </row>
    <row r="13155" spans="6:6" x14ac:dyDescent="0.3">
      <c r="F13155" s="193"/>
    </row>
    <row r="13156" spans="6:6" x14ac:dyDescent="0.3">
      <c r="F13156" s="193"/>
    </row>
    <row r="13157" spans="6:6" x14ac:dyDescent="0.3">
      <c r="F13157" s="193"/>
    </row>
    <row r="13158" spans="6:6" x14ac:dyDescent="0.3">
      <c r="F13158" s="193"/>
    </row>
    <row r="13159" spans="6:6" x14ac:dyDescent="0.3">
      <c r="F13159" s="193"/>
    </row>
    <row r="13160" spans="6:6" x14ac:dyDescent="0.3">
      <c r="F13160" s="193"/>
    </row>
    <row r="13161" spans="6:6" x14ac:dyDescent="0.3">
      <c r="F13161" s="193"/>
    </row>
    <row r="13162" spans="6:6" x14ac:dyDescent="0.3">
      <c r="F13162" s="193"/>
    </row>
    <row r="13163" spans="6:6" x14ac:dyDescent="0.3">
      <c r="F13163" s="193"/>
    </row>
    <row r="13164" spans="6:6" x14ac:dyDescent="0.3">
      <c r="F13164" s="193"/>
    </row>
    <row r="13165" spans="6:6" x14ac:dyDescent="0.3">
      <c r="F13165" s="193"/>
    </row>
    <row r="13166" spans="6:6" x14ac:dyDescent="0.3">
      <c r="F13166" s="193"/>
    </row>
    <row r="13167" spans="6:6" x14ac:dyDescent="0.3">
      <c r="F13167" s="193"/>
    </row>
    <row r="13168" spans="6:6" x14ac:dyDescent="0.3">
      <c r="F13168" s="193"/>
    </row>
    <row r="13169" spans="6:6" x14ac:dyDescent="0.3">
      <c r="F13169" s="193"/>
    </row>
    <row r="13170" spans="6:6" x14ac:dyDescent="0.3">
      <c r="F13170" s="193"/>
    </row>
    <row r="13171" spans="6:6" x14ac:dyDescent="0.3">
      <c r="F13171" s="193"/>
    </row>
    <row r="13172" spans="6:6" x14ac:dyDescent="0.3">
      <c r="F13172" s="193"/>
    </row>
    <row r="13173" spans="6:6" x14ac:dyDescent="0.3">
      <c r="F13173" s="193"/>
    </row>
    <row r="13174" spans="6:6" x14ac:dyDescent="0.3">
      <c r="F13174" s="193"/>
    </row>
    <row r="13175" spans="6:6" x14ac:dyDescent="0.3">
      <c r="F13175" s="193"/>
    </row>
    <row r="13176" spans="6:6" x14ac:dyDescent="0.3">
      <c r="F13176" s="193"/>
    </row>
    <row r="13177" spans="6:6" x14ac:dyDescent="0.3">
      <c r="F13177" s="193"/>
    </row>
    <row r="13178" spans="6:6" x14ac:dyDescent="0.3">
      <c r="F13178" s="193"/>
    </row>
    <row r="13179" spans="6:6" x14ac:dyDescent="0.3">
      <c r="F13179" s="193"/>
    </row>
    <row r="13180" spans="6:6" x14ac:dyDescent="0.3">
      <c r="F13180" s="193"/>
    </row>
    <row r="13181" spans="6:6" x14ac:dyDescent="0.3">
      <c r="F13181" s="193"/>
    </row>
    <row r="13182" spans="6:6" x14ac:dyDescent="0.3">
      <c r="F13182" s="193"/>
    </row>
    <row r="13183" spans="6:6" x14ac:dyDescent="0.3">
      <c r="F13183" s="193"/>
    </row>
    <row r="13184" spans="6:6" x14ac:dyDescent="0.3">
      <c r="F13184" s="193"/>
    </row>
    <row r="13185" spans="6:6" x14ac:dyDescent="0.3">
      <c r="F13185" s="193"/>
    </row>
    <row r="13186" spans="6:6" x14ac:dyDescent="0.3">
      <c r="F13186" s="193"/>
    </row>
    <row r="13187" spans="6:6" x14ac:dyDescent="0.3">
      <c r="F13187" s="193"/>
    </row>
    <row r="13188" spans="6:6" x14ac:dyDescent="0.3">
      <c r="F13188" s="193"/>
    </row>
    <row r="13189" spans="6:6" x14ac:dyDescent="0.3">
      <c r="F13189" s="193"/>
    </row>
    <row r="13190" spans="6:6" x14ac:dyDescent="0.3">
      <c r="F13190" s="193"/>
    </row>
    <row r="13191" spans="6:6" x14ac:dyDescent="0.3">
      <c r="F13191" s="193"/>
    </row>
    <row r="13192" spans="6:6" x14ac:dyDescent="0.3">
      <c r="F13192" s="193"/>
    </row>
    <row r="13193" spans="6:6" x14ac:dyDescent="0.3">
      <c r="F13193" s="193"/>
    </row>
    <row r="13194" spans="6:6" x14ac:dyDescent="0.3">
      <c r="F13194" s="193"/>
    </row>
    <row r="13195" spans="6:6" x14ac:dyDescent="0.3">
      <c r="F13195" s="193"/>
    </row>
    <row r="13196" spans="6:6" x14ac:dyDescent="0.3">
      <c r="F13196" s="193"/>
    </row>
    <row r="13197" spans="6:6" x14ac:dyDescent="0.3">
      <c r="F13197" s="193"/>
    </row>
    <row r="13198" spans="6:6" x14ac:dyDescent="0.3">
      <c r="F13198" s="193"/>
    </row>
    <row r="13199" spans="6:6" x14ac:dyDescent="0.3">
      <c r="F13199" s="193"/>
    </row>
    <row r="13200" spans="6:6" x14ac:dyDescent="0.3">
      <c r="F13200" s="193"/>
    </row>
    <row r="13201" spans="6:6" x14ac:dyDescent="0.3">
      <c r="F13201" s="193"/>
    </row>
    <row r="13202" spans="6:6" x14ac:dyDescent="0.3">
      <c r="F13202" s="193"/>
    </row>
    <row r="13203" spans="6:6" x14ac:dyDescent="0.3">
      <c r="F13203" s="193"/>
    </row>
    <row r="13204" spans="6:6" x14ac:dyDescent="0.3">
      <c r="F13204" s="193"/>
    </row>
    <row r="13205" spans="6:6" x14ac:dyDescent="0.3">
      <c r="F13205" s="193"/>
    </row>
    <row r="13206" spans="6:6" x14ac:dyDescent="0.3">
      <c r="F13206" s="193"/>
    </row>
    <row r="13207" spans="6:6" x14ac:dyDescent="0.3">
      <c r="F13207" s="193"/>
    </row>
    <row r="13208" spans="6:6" x14ac:dyDescent="0.3">
      <c r="F13208" s="193"/>
    </row>
    <row r="13209" spans="6:6" x14ac:dyDescent="0.3">
      <c r="F13209" s="193"/>
    </row>
    <row r="13210" spans="6:6" x14ac:dyDescent="0.3">
      <c r="F13210" s="193"/>
    </row>
    <row r="13211" spans="6:6" x14ac:dyDescent="0.3">
      <c r="F13211" s="193"/>
    </row>
    <row r="13212" spans="6:6" x14ac:dyDescent="0.3">
      <c r="F13212" s="193"/>
    </row>
    <row r="13213" spans="6:6" x14ac:dyDescent="0.3">
      <c r="F13213" s="193"/>
    </row>
    <row r="13214" spans="6:6" x14ac:dyDescent="0.3">
      <c r="F13214" s="193"/>
    </row>
    <row r="13215" spans="6:6" x14ac:dyDescent="0.3">
      <c r="F13215" s="193"/>
    </row>
    <row r="13216" spans="6:6" x14ac:dyDescent="0.3">
      <c r="F13216" s="193"/>
    </row>
    <row r="13217" spans="6:6" x14ac:dyDescent="0.3">
      <c r="F13217" s="193"/>
    </row>
    <row r="13218" spans="6:6" x14ac:dyDescent="0.3">
      <c r="F13218" s="193"/>
    </row>
    <row r="13219" spans="6:6" x14ac:dyDescent="0.3">
      <c r="F13219" s="193"/>
    </row>
    <row r="13220" spans="6:6" x14ac:dyDescent="0.3">
      <c r="F13220" s="193"/>
    </row>
    <row r="13221" spans="6:6" x14ac:dyDescent="0.3">
      <c r="F13221" s="193"/>
    </row>
    <row r="13222" spans="6:6" x14ac:dyDescent="0.3">
      <c r="F13222" s="193"/>
    </row>
    <row r="13223" spans="6:6" x14ac:dyDescent="0.3">
      <c r="F13223" s="193"/>
    </row>
    <row r="13224" spans="6:6" x14ac:dyDescent="0.3">
      <c r="F13224" s="193"/>
    </row>
    <row r="13225" spans="6:6" x14ac:dyDescent="0.3">
      <c r="F13225" s="193"/>
    </row>
    <row r="13226" spans="6:6" x14ac:dyDescent="0.3">
      <c r="F13226" s="193"/>
    </row>
    <row r="13227" spans="6:6" x14ac:dyDescent="0.3">
      <c r="F13227" s="193"/>
    </row>
    <row r="13228" spans="6:6" x14ac:dyDescent="0.3">
      <c r="F13228" s="193"/>
    </row>
    <row r="13229" spans="6:6" x14ac:dyDescent="0.3">
      <c r="F13229" s="193"/>
    </row>
    <row r="13230" spans="6:6" x14ac:dyDescent="0.3">
      <c r="F13230" s="193"/>
    </row>
    <row r="13231" spans="6:6" x14ac:dyDescent="0.3">
      <c r="F13231" s="193"/>
    </row>
    <row r="13232" spans="6:6" x14ac:dyDescent="0.3">
      <c r="F13232" s="193"/>
    </row>
    <row r="13233" spans="6:6" x14ac:dyDescent="0.3">
      <c r="F13233" s="193"/>
    </row>
    <row r="13234" spans="6:6" x14ac:dyDescent="0.3">
      <c r="F13234" s="193"/>
    </row>
    <row r="13235" spans="6:6" x14ac:dyDescent="0.3">
      <c r="F13235" s="193"/>
    </row>
    <row r="13236" spans="6:6" x14ac:dyDescent="0.3">
      <c r="F13236" s="193"/>
    </row>
    <row r="13237" spans="6:6" x14ac:dyDescent="0.3">
      <c r="F13237" s="193"/>
    </row>
    <row r="13238" spans="6:6" x14ac:dyDescent="0.3">
      <c r="F13238" s="193"/>
    </row>
    <row r="13239" spans="6:6" x14ac:dyDescent="0.3">
      <c r="F13239" s="193"/>
    </row>
    <row r="13240" spans="6:6" x14ac:dyDescent="0.3">
      <c r="F13240" s="193"/>
    </row>
    <row r="13241" spans="6:6" x14ac:dyDescent="0.3">
      <c r="F13241" s="193"/>
    </row>
    <row r="13242" spans="6:6" x14ac:dyDescent="0.3">
      <c r="F13242" s="193"/>
    </row>
    <row r="13243" spans="6:6" x14ac:dyDescent="0.3">
      <c r="F13243" s="193"/>
    </row>
    <row r="13244" spans="6:6" x14ac:dyDescent="0.3">
      <c r="F13244" s="193"/>
    </row>
    <row r="13245" spans="6:6" x14ac:dyDescent="0.3">
      <c r="F13245" s="193"/>
    </row>
    <row r="13246" spans="6:6" x14ac:dyDescent="0.3">
      <c r="F13246" s="193"/>
    </row>
    <row r="13247" spans="6:6" x14ac:dyDescent="0.3">
      <c r="F13247" s="193"/>
    </row>
    <row r="13248" spans="6:6" x14ac:dyDescent="0.3">
      <c r="F13248" s="193"/>
    </row>
    <row r="13249" spans="6:6" x14ac:dyDescent="0.3">
      <c r="F13249" s="193"/>
    </row>
    <row r="13250" spans="6:6" x14ac:dyDescent="0.3">
      <c r="F13250" s="193"/>
    </row>
    <row r="13251" spans="6:6" x14ac:dyDescent="0.3">
      <c r="F13251" s="193"/>
    </row>
    <row r="13252" spans="6:6" x14ac:dyDescent="0.3">
      <c r="F13252" s="193"/>
    </row>
    <row r="13253" spans="6:6" x14ac:dyDescent="0.3">
      <c r="F13253" s="193"/>
    </row>
    <row r="13254" spans="6:6" x14ac:dyDescent="0.3">
      <c r="F13254" s="193"/>
    </row>
    <row r="13255" spans="6:6" x14ac:dyDescent="0.3">
      <c r="F13255" s="193"/>
    </row>
    <row r="13256" spans="6:6" x14ac:dyDescent="0.3">
      <c r="F13256" s="193"/>
    </row>
    <row r="13257" spans="6:6" x14ac:dyDescent="0.3">
      <c r="F13257" s="193"/>
    </row>
    <row r="13258" spans="6:6" x14ac:dyDescent="0.3">
      <c r="F13258" s="193"/>
    </row>
    <row r="13259" spans="6:6" x14ac:dyDescent="0.3">
      <c r="F13259" s="193"/>
    </row>
    <row r="13260" spans="6:6" x14ac:dyDescent="0.3">
      <c r="F13260" s="193"/>
    </row>
    <row r="13261" spans="6:6" x14ac:dyDescent="0.3">
      <c r="F13261" s="193"/>
    </row>
    <row r="13262" spans="6:6" x14ac:dyDescent="0.3">
      <c r="F13262" s="193"/>
    </row>
    <row r="13263" spans="6:6" x14ac:dyDescent="0.3">
      <c r="F13263" s="193"/>
    </row>
    <row r="13264" spans="6:6" x14ac:dyDescent="0.3">
      <c r="F13264" s="193"/>
    </row>
    <row r="13265" spans="6:6" x14ac:dyDescent="0.3">
      <c r="F13265" s="193"/>
    </row>
    <row r="13266" spans="6:6" x14ac:dyDescent="0.3">
      <c r="F13266" s="193"/>
    </row>
    <row r="13267" spans="6:6" x14ac:dyDescent="0.3">
      <c r="F13267" s="193"/>
    </row>
    <row r="13268" spans="6:6" x14ac:dyDescent="0.3">
      <c r="F13268" s="193"/>
    </row>
    <row r="13269" spans="6:6" x14ac:dyDescent="0.3">
      <c r="F13269" s="193"/>
    </row>
    <row r="13270" spans="6:6" x14ac:dyDescent="0.3">
      <c r="F13270" s="193"/>
    </row>
    <row r="13271" spans="6:6" x14ac:dyDescent="0.3">
      <c r="F13271" s="193"/>
    </row>
    <row r="13272" spans="6:6" x14ac:dyDescent="0.3">
      <c r="F13272" s="193"/>
    </row>
    <row r="13273" spans="6:6" x14ac:dyDescent="0.3">
      <c r="F13273" s="193"/>
    </row>
    <row r="13274" spans="6:6" x14ac:dyDescent="0.3">
      <c r="F13274" s="193"/>
    </row>
    <row r="13275" spans="6:6" x14ac:dyDescent="0.3">
      <c r="F13275" s="193"/>
    </row>
    <row r="13276" spans="6:6" x14ac:dyDescent="0.3">
      <c r="F13276" s="193"/>
    </row>
    <row r="13277" spans="6:6" x14ac:dyDescent="0.3">
      <c r="F13277" s="193"/>
    </row>
    <row r="13278" spans="6:6" x14ac:dyDescent="0.3">
      <c r="F13278" s="193"/>
    </row>
    <row r="13279" spans="6:6" x14ac:dyDescent="0.3">
      <c r="F13279" s="193"/>
    </row>
    <row r="13280" spans="6:6" x14ac:dyDescent="0.3">
      <c r="F13280" s="193"/>
    </row>
    <row r="13281" spans="6:6" x14ac:dyDescent="0.3">
      <c r="F13281" s="193"/>
    </row>
    <row r="13282" spans="6:6" x14ac:dyDescent="0.3">
      <c r="F13282" s="193"/>
    </row>
    <row r="13283" spans="6:6" x14ac:dyDescent="0.3">
      <c r="F13283" s="193"/>
    </row>
    <row r="13284" spans="6:6" x14ac:dyDescent="0.3">
      <c r="F13284" s="193"/>
    </row>
    <row r="13285" spans="6:6" x14ac:dyDescent="0.3">
      <c r="F13285" s="193"/>
    </row>
    <row r="13286" spans="6:6" x14ac:dyDescent="0.3">
      <c r="F13286" s="193"/>
    </row>
    <row r="13287" spans="6:6" x14ac:dyDescent="0.3">
      <c r="F13287" s="193"/>
    </row>
    <row r="13288" spans="6:6" x14ac:dyDescent="0.3">
      <c r="F13288" s="193"/>
    </row>
    <row r="13289" spans="6:6" x14ac:dyDescent="0.3">
      <c r="F13289" s="193"/>
    </row>
    <row r="13290" spans="6:6" x14ac:dyDescent="0.3">
      <c r="F13290" s="193"/>
    </row>
    <row r="13291" spans="6:6" x14ac:dyDescent="0.3">
      <c r="F13291" s="193"/>
    </row>
    <row r="13292" spans="6:6" x14ac:dyDescent="0.3">
      <c r="F13292" s="193"/>
    </row>
    <row r="13293" spans="6:6" x14ac:dyDescent="0.3">
      <c r="F13293" s="193"/>
    </row>
    <row r="13294" spans="6:6" x14ac:dyDescent="0.3">
      <c r="F13294" s="193"/>
    </row>
    <row r="13295" spans="6:6" x14ac:dyDescent="0.3">
      <c r="F13295" s="193"/>
    </row>
    <row r="13296" spans="6:6" x14ac:dyDescent="0.3">
      <c r="F13296" s="193"/>
    </row>
    <row r="13297" spans="6:6" x14ac:dyDescent="0.3">
      <c r="F13297" s="193"/>
    </row>
    <row r="13298" spans="6:6" x14ac:dyDescent="0.3">
      <c r="F13298" s="193"/>
    </row>
    <row r="13299" spans="6:6" x14ac:dyDescent="0.3">
      <c r="F13299" s="193"/>
    </row>
    <row r="13300" spans="6:6" x14ac:dyDescent="0.3">
      <c r="F13300" s="193"/>
    </row>
    <row r="13301" spans="6:6" x14ac:dyDescent="0.3">
      <c r="F13301" s="193"/>
    </row>
    <row r="13302" spans="6:6" x14ac:dyDescent="0.3">
      <c r="F13302" s="193"/>
    </row>
    <row r="13303" spans="6:6" x14ac:dyDescent="0.3">
      <c r="F13303" s="193"/>
    </row>
    <row r="13304" spans="6:6" x14ac:dyDescent="0.3">
      <c r="F13304" s="193"/>
    </row>
    <row r="13305" spans="6:6" x14ac:dyDescent="0.3">
      <c r="F13305" s="193"/>
    </row>
    <row r="13306" spans="6:6" x14ac:dyDescent="0.3">
      <c r="F13306" s="193"/>
    </row>
    <row r="13307" spans="6:6" x14ac:dyDescent="0.3">
      <c r="F13307" s="193"/>
    </row>
    <row r="13308" spans="6:6" x14ac:dyDescent="0.3">
      <c r="F13308" s="193"/>
    </row>
    <row r="13309" spans="6:6" x14ac:dyDescent="0.3">
      <c r="F13309" s="193"/>
    </row>
    <row r="13310" spans="6:6" x14ac:dyDescent="0.3">
      <c r="F13310" s="193"/>
    </row>
    <row r="13311" spans="6:6" x14ac:dyDescent="0.3">
      <c r="F13311" s="193"/>
    </row>
    <row r="13312" spans="6:6" x14ac:dyDescent="0.3">
      <c r="F13312" s="193"/>
    </row>
    <row r="13313" spans="6:6" x14ac:dyDescent="0.3">
      <c r="F13313" s="193"/>
    </row>
    <row r="13314" spans="6:6" x14ac:dyDescent="0.3">
      <c r="F13314" s="193"/>
    </row>
    <row r="13315" spans="6:6" x14ac:dyDescent="0.3">
      <c r="F13315" s="193"/>
    </row>
    <row r="13316" spans="6:6" x14ac:dyDescent="0.3">
      <c r="F13316" s="193"/>
    </row>
    <row r="13317" spans="6:6" x14ac:dyDescent="0.3">
      <c r="F13317" s="193"/>
    </row>
    <row r="13318" spans="6:6" x14ac:dyDescent="0.3">
      <c r="F13318" s="193"/>
    </row>
    <row r="13319" spans="6:6" x14ac:dyDescent="0.3">
      <c r="F13319" s="193"/>
    </row>
    <row r="13320" spans="6:6" x14ac:dyDescent="0.3">
      <c r="F13320" s="193"/>
    </row>
    <row r="13321" spans="6:6" x14ac:dyDescent="0.3">
      <c r="F13321" s="193"/>
    </row>
    <row r="13322" spans="6:6" x14ac:dyDescent="0.3">
      <c r="F13322" s="193"/>
    </row>
    <row r="13323" spans="6:6" x14ac:dyDescent="0.3">
      <c r="F13323" s="193"/>
    </row>
    <row r="13324" spans="6:6" x14ac:dyDescent="0.3">
      <c r="F13324" s="193"/>
    </row>
    <row r="13325" spans="6:6" x14ac:dyDescent="0.3">
      <c r="F13325" s="193"/>
    </row>
    <row r="13326" spans="6:6" x14ac:dyDescent="0.3">
      <c r="F13326" s="193"/>
    </row>
    <row r="13327" spans="6:6" x14ac:dyDescent="0.3">
      <c r="F13327" s="193"/>
    </row>
    <row r="13328" spans="6:6" x14ac:dyDescent="0.3">
      <c r="F13328" s="193"/>
    </row>
    <row r="13329" spans="6:6" x14ac:dyDescent="0.3">
      <c r="F13329" s="193"/>
    </row>
    <row r="13330" spans="6:6" x14ac:dyDescent="0.3">
      <c r="F13330" s="193"/>
    </row>
    <row r="13331" spans="6:6" x14ac:dyDescent="0.3">
      <c r="F13331" s="193"/>
    </row>
    <row r="13332" spans="6:6" x14ac:dyDescent="0.3">
      <c r="F13332" s="193"/>
    </row>
    <row r="13333" spans="6:6" x14ac:dyDescent="0.3">
      <c r="F13333" s="193"/>
    </row>
    <row r="13334" spans="6:6" x14ac:dyDescent="0.3">
      <c r="F13334" s="193"/>
    </row>
    <row r="13335" spans="6:6" x14ac:dyDescent="0.3">
      <c r="F13335" s="193"/>
    </row>
    <row r="13336" spans="6:6" x14ac:dyDescent="0.3">
      <c r="F13336" s="193"/>
    </row>
    <row r="13337" spans="6:6" x14ac:dyDescent="0.3">
      <c r="F13337" s="193"/>
    </row>
    <row r="13338" spans="6:6" x14ac:dyDescent="0.3">
      <c r="F13338" s="193"/>
    </row>
    <row r="13339" spans="6:6" x14ac:dyDescent="0.3">
      <c r="F13339" s="193"/>
    </row>
    <row r="13340" spans="6:6" x14ac:dyDescent="0.3">
      <c r="F13340" s="193"/>
    </row>
    <row r="13341" spans="6:6" x14ac:dyDescent="0.3">
      <c r="F13341" s="193"/>
    </row>
    <row r="13342" spans="6:6" x14ac:dyDescent="0.3">
      <c r="F13342" s="193"/>
    </row>
    <row r="13343" spans="6:6" x14ac:dyDescent="0.3">
      <c r="F13343" s="193"/>
    </row>
    <row r="13344" spans="6:6" x14ac:dyDescent="0.3">
      <c r="F13344" s="193"/>
    </row>
    <row r="13345" spans="6:6" x14ac:dyDescent="0.3">
      <c r="F13345" s="193"/>
    </row>
    <row r="13346" spans="6:6" x14ac:dyDescent="0.3">
      <c r="F13346" s="193"/>
    </row>
    <row r="13347" spans="6:6" x14ac:dyDescent="0.3">
      <c r="F13347" s="193"/>
    </row>
    <row r="13348" spans="6:6" x14ac:dyDescent="0.3">
      <c r="F13348" s="193"/>
    </row>
    <row r="13349" spans="6:6" x14ac:dyDescent="0.3">
      <c r="F13349" s="193"/>
    </row>
    <row r="13350" spans="6:6" x14ac:dyDescent="0.3">
      <c r="F13350" s="193"/>
    </row>
    <row r="13351" spans="6:6" x14ac:dyDescent="0.3">
      <c r="F13351" s="193"/>
    </row>
    <row r="13352" spans="6:6" x14ac:dyDescent="0.3">
      <c r="F13352" s="193"/>
    </row>
    <row r="13353" spans="6:6" x14ac:dyDescent="0.3">
      <c r="F13353" s="193"/>
    </row>
    <row r="13354" spans="6:6" x14ac:dyDescent="0.3">
      <c r="F13354" s="193"/>
    </row>
    <row r="13355" spans="6:6" x14ac:dyDescent="0.3">
      <c r="F13355" s="193"/>
    </row>
    <row r="13356" spans="6:6" x14ac:dyDescent="0.3">
      <c r="F13356" s="193"/>
    </row>
    <row r="13357" spans="6:6" x14ac:dyDescent="0.3">
      <c r="F13357" s="193"/>
    </row>
    <row r="13358" spans="6:6" x14ac:dyDescent="0.3">
      <c r="F13358" s="193"/>
    </row>
    <row r="13359" spans="6:6" x14ac:dyDescent="0.3">
      <c r="F13359" s="193"/>
    </row>
    <row r="13360" spans="6:6" x14ac:dyDescent="0.3">
      <c r="F13360" s="193"/>
    </row>
    <row r="13361" spans="6:6" x14ac:dyDescent="0.3">
      <c r="F13361" s="193"/>
    </row>
    <row r="13362" spans="6:6" x14ac:dyDescent="0.3">
      <c r="F13362" s="193"/>
    </row>
    <row r="13363" spans="6:6" x14ac:dyDescent="0.3">
      <c r="F13363" s="193"/>
    </row>
    <row r="13364" spans="6:6" x14ac:dyDescent="0.3">
      <c r="F13364" s="193"/>
    </row>
    <row r="13365" spans="6:6" x14ac:dyDescent="0.3">
      <c r="F13365" s="193"/>
    </row>
    <row r="13366" spans="6:6" x14ac:dyDescent="0.3">
      <c r="F13366" s="193"/>
    </row>
    <row r="13367" spans="6:6" x14ac:dyDescent="0.3">
      <c r="F13367" s="193"/>
    </row>
    <row r="13368" spans="6:6" x14ac:dyDescent="0.3">
      <c r="F13368" s="193"/>
    </row>
    <row r="13369" spans="6:6" x14ac:dyDescent="0.3">
      <c r="F13369" s="193"/>
    </row>
    <row r="13370" spans="6:6" x14ac:dyDescent="0.3">
      <c r="F13370" s="193"/>
    </row>
    <row r="13371" spans="6:6" x14ac:dyDescent="0.3">
      <c r="F13371" s="193"/>
    </row>
    <row r="13372" spans="6:6" x14ac:dyDescent="0.3">
      <c r="F13372" s="193"/>
    </row>
    <row r="13373" spans="6:6" x14ac:dyDescent="0.3">
      <c r="F13373" s="193"/>
    </row>
    <row r="13374" spans="6:6" x14ac:dyDescent="0.3">
      <c r="F13374" s="193"/>
    </row>
    <row r="13375" spans="6:6" x14ac:dyDescent="0.3">
      <c r="F13375" s="193"/>
    </row>
    <row r="13376" spans="6:6" x14ac:dyDescent="0.3">
      <c r="F13376" s="193"/>
    </row>
    <row r="13377" spans="6:6" x14ac:dyDescent="0.3">
      <c r="F13377" s="193"/>
    </row>
    <row r="13378" spans="6:6" x14ac:dyDescent="0.3">
      <c r="F13378" s="193"/>
    </row>
    <row r="13379" spans="6:6" x14ac:dyDescent="0.3">
      <c r="F13379" s="193"/>
    </row>
    <row r="13380" spans="6:6" x14ac:dyDescent="0.3">
      <c r="F13380" s="193"/>
    </row>
    <row r="13381" spans="6:6" x14ac:dyDescent="0.3">
      <c r="F13381" s="193"/>
    </row>
    <row r="13382" spans="6:6" x14ac:dyDescent="0.3">
      <c r="F13382" s="193"/>
    </row>
    <row r="13383" spans="6:6" x14ac:dyDescent="0.3">
      <c r="F13383" s="193"/>
    </row>
    <row r="13384" spans="6:6" x14ac:dyDescent="0.3">
      <c r="F13384" s="193"/>
    </row>
    <row r="13385" spans="6:6" x14ac:dyDescent="0.3">
      <c r="F13385" s="193"/>
    </row>
    <row r="13386" spans="6:6" x14ac:dyDescent="0.3">
      <c r="F13386" s="193"/>
    </row>
    <row r="13387" spans="6:6" x14ac:dyDescent="0.3">
      <c r="F13387" s="193"/>
    </row>
    <row r="13388" spans="6:6" x14ac:dyDescent="0.3">
      <c r="F13388" s="193"/>
    </row>
    <row r="13389" spans="6:6" x14ac:dyDescent="0.3">
      <c r="F13389" s="193"/>
    </row>
    <row r="13390" spans="6:6" x14ac:dyDescent="0.3">
      <c r="F13390" s="193"/>
    </row>
    <row r="13391" spans="6:6" x14ac:dyDescent="0.3">
      <c r="F13391" s="193"/>
    </row>
    <row r="13392" spans="6:6" x14ac:dyDescent="0.3">
      <c r="F13392" s="193"/>
    </row>
    <row r="13393" spans="6:6" x14ac:dyDescent="0.3">
      <c r="F13393" s="193"/>
    </row>
    <row r="13394" spans="6:6" x14ac:dyDescent="0.3">
      <c r="F13394" s="193"/>
    </row>
    <row r="13395" spans="6:6" x14ac:dyDescent="0.3">
      <c r="F13395" s="193"/>
    </row>
    <row r="13396" spans="6:6" x14ac:dyDescent="0.3">
      <c r="F13396" s="193"/>
    </row>
    <row r="13397" spans="6:6" x14ac:dyDescent="0.3">
      <c r="F13397" s="193"/>
    </row>
    <row r="13398" spans="6:6" x14ac:dyDescent="0.3">
      <c r="F13398" s="193"/>
    </row>
    <row r="13399" spans="6:6" x14ac:dyDescent="0.3">
      <c r="F13399" s="193"/>
    </row>
    <row r="13400" spans="6:6" x14ac:dyDescent="0.3">
      <c r="F13400" s="193"/>
    </row>
    <row r="13401" spans="6:6" x14ac:dyDescent="0.3">
      <c r="F13401" s="193"/>
    </row>
    <row r="13402" spans="6:6" x14ac:dyDescent="0.3">
      <c r="F13402" s="193"/>
    </row>
    <row r="13403" spans="6:6" x14ac:dyDescent="0.3">
      <c r="F13403" s="193"/>
    </row>
    <row r="13404" spans="6:6" x14ac:dyDescent="0.3">
      <c r="F13404" s="193"/>
    </row>
    <row r="13405" spans="6:6" x14ac:dyDescent="0.3">
      <c r="F13405" s="193"/>
    </row>
    <row r="13406" spans="6:6" x14ac:dyDescent="0.3">
      <c r="F13406" s="193"/>
    </row>
    <row r="13407" spans="6:6" x14ac:dyDescent="0.3">
      <c r="F13407" s="193"/>
    </row>
    <row r="13408" spans="6:6" x14ac:dyDescent="0.3">
      <c r="F13408" s="193"/>
    </row>
    <row r="13409" spans="6:6" x14ac:dyDescent="0.3">
      <c r="F13409" s="193"/>
    </row>
    <row r="13410" spans="6:6" x14ac:dyDescent="0.3">
      <c r="F13410" s="193"/>
    </row>
    <row r="13411" spans="6:6" x14ac:dyDescent="0.3">
      <c r="F13411" s="193"/>
    </row>
    <row r="13412" spans="6:6" x14ac:dyDescent="0.3">
      <c r="F13412" s="193"/>
    </row>
    <row r="13413" spans="6:6" x14ac:dyDescent="0.3">
      <c r="F13413" s="193"/>
    </row>
    <row r="13414" spans="6:6" x14ac:dyDescent="0.3">
      <c r="F13414" s="193"/>
    </row>
    <row r="13415" spans="6:6" x14ac:dyDescent="0.3">
      <c r="F13415" s="193"/>
    </row>
    <row r="13416" spans="6:6" x14ac:dyDescent="0.3">
      <c r="F13416" s="193"/>
    </row>
    <row r="13417" spans="6:6" x14ac:dyDescent="0.3">
      <c r="F13417" s="193"/>
    </row>
    <row r="13418" spans="6:6" x14ac:dyDescent="0.3">
      <c r="F13418" s="193"/>
    </row>
    <row r="13419" spans="6:6" x14ac:dyDescent="0.3">
      <c r="F13419" s="193"/>
    </row>
    <row r="13420" spans="6:6" x14ac:dyDescent="0.3">
      <c r="F13420" s="193"/>
    </row>
    <row r="13421" spans="6:6" x14ac:dyDescent="0.3">
      <c r="F13421" s="193"/>
    </row>
    <row r="13422" spans="6:6" x14ac:dyDescent="0.3">
      <c r="F13422" s="193"/>
    </row>
    <row r="13423" spans="6:6" x14ac:dyDescent="0.3">
      <c r="F13423" s="193"/>
    </row>
    <row r="13424" spans="6:6" x14ac:dyDescent="0.3">
      <c r="F13424" s="193"/>
    </row>
    <row r="13425" spans="6:6" x14ac:dyDescent="0.3">
      <c r="F13425" s="193"/>
    </row>
    <row r="13426" spans="6:6" x14ac:dyDescent="0.3">
      <c r="F13426" s="193"/>
    </row>
    <row r="13427" spans="6:6" x14ac:dyDescent="0.3">
      <c r="F13427" s="193"/>
    </row>
    <row r="13428" spans="6:6" x14ac:dyDescent="0.3">
      <c r="F13428" s="193"/>
    </row>
    <row r="13429" spans="6:6" x14ac:dyDescent="0.3">
      <c r="F13429" s="193"/>
    </row>
    <row r="13430" spans="6:6" x14ac:dyDescent="0.3">
      <c r="F13430" s="193"/>
    </row>
    <row r="13431" spans="6:6" x14ac:dyDescent="0.3">
      <c r="F13431" s="193"/>
    </row>
    <row r="13432" spans="6:6" x14ac:dyDescent="0.3">
      <c r="F13432" s="193"/>
    </row>
    <row r="13433" spans="6:6" x14ac:dyDescent="0.3">
      <c r="F13433" s="193"/>
    </row>
    <row r="13434" spans="6:6" x14ac:dyDescent="0.3">
      <c r="F13434" s="193"/>
    </row>
    <row r="13435" spans="6:6" x14ac:dyDescent="0.3">
      <c r="F13435" s="193"/>
    </row>
    <row r="13436" spans="6:6" x14ac:dyDescent="0.3">
      <c r="F13436" s="193"/>
    </row>
    <row r="13437" spans="6:6" x14ac:dyDescent="0.3">
      <c r="F13437" s="193"/>
    </row>
    <row r="13438" spans="6:6" x14ac:dyDescent="0.3">
      <c r="F13438" s="193"/>
    </row>
    <row r="13439" spans="6:6" x14ac:dyDescent="0.3">
      <c r="F13439" s="193"/>
    </row>
    <row r="13440" spans="6:6" x14ac:dyDescent="0.3">
      <c r="F13440" s="193"/>
    </row>
    <row r="13441" spans="6:6" x14ac:dyDescent="0.3">
      <c r="F13441" s="193"/>
    </row>
    <row r="13442" spans="6:6" x14ac:dyDescent="0.3">
      <c r="F13442" s="193"/>
    </row>
    <row r="13443" spans="6:6" x14ac:dyDescent="0.3">
      <c r="F13443" s="193"/>
    </row>
    <row r="13444" spans="6:6" x14ac:dyDescent="0.3">
      <c r="F13444" s="193"/>
    </row>
    <row r="13445" spans="6:6" x14ac:dyDescent="0.3">
      <c r="F13445" s="193"/>
    </row>
    <row r="13446" spans="6:6" x14ac:dyDescent="0.3">
      <c r="F13446" s="193"/>
    </row>
    <row r="13447" spans="6:6" x14ac:dyDescent="0.3">
      <c r="F13447" s="193"/>
    </row>
    <row r="13448" spans="6:6" x14ac:dyDescent="0.3">
      <c r="F13448" s="193"/>
    </row>
    <row r="13449" spans="6:6" x14ac:dyDescent="0.3">
      <c r="F13449" s="193"/>
    </row>
    <row r="13450" spans="6:6" x14ac:dyDescent="0.3">
      <c r="F13450" s="193"/>
    </row>
    <row r="13451" spans="6:6" x14ac:dyDescent="0.3">
      <c r="F13451" s="193"/>
    </row>
    <row r="13452" spans="6:6" x14ac:dyDescent="0.3">
      <c r="F13452" s="193"/>
    </row>
    <row r="13453" spans="6:6" x14ac:dyDescent="0.3">
      <c r="F13453" s="193"/>
    </row>
    <row r="13454" spans="6:6" x14ac:dyDescent="0.3">
      <c r="F13454" s="193"/>
    </row>
    <row r="13455" spans="6:6" x14ac:dyDescent="0.3">
      <c r="F13455" s="193"/>
    </row>
    <row r="13456" spans="6:6" x14ac:dyDescent="0.3">
      <c r="F13456" s="193"/>
    </row>
    <row r="13457" spans="6:6" x14ac:dyDescent="0.3">
      <c r="F13457" s="193"/>
    </row>
    <row r="13458" spans="6:6" x14ac:dyDescent="0.3">
      <c r="F13458" s="193"/>
    </row>
    <row r="13459" spans="6:6" x14ac:dyDescent="0.3">
      <c r="F13459" s="193"/>
    </row>
    <row r="13460" spans="6:6" x14ac:dyDescent="0.3">
      <c r="F13460" s="193"/>
    </row>
    <row r="13461" spans="6:6" x14ac:dyDescent="0.3">
      <c r="F13461" s="193"/>
    </row>
    <row r="13462" spans="6:6" x14ac:dyDescent="0.3">
      <c r="F13462" s="193"/>
    </row>
    <row r="13463" spans="6:6" x14ac:dyDescent="0.3">
      <c r="F13463" s="193"/>
    </row>
    <row r="13464" spans="6:6" x14ac:dyDescent="0.3">
      <c r="F13464" s="193"/>
    </row>
    <row r="13465" spans="6:6" x14ac:dyDescent="0.3">
      <c r="F13465" s="193"/>
    </row>
    <row r="13466" spans="6:6" x14ac:dyDescent="0.3">
      <c r="F13466" s="193"/>
    </row>
    <row r="13467" spans="6:6" x14ac:dyDescent="0.3">
      <c r="F13467" s="193"/>
    </row>
    <row r="13468" spans="6:6" x14ac:dyDescent="0.3">
      <c r="F13468" s="193"/>
    </row>
    <row r="13469" spans="6:6" x14ac:dyDescent="0.3">
      <c r="F13469" s="193"/>
    </row>
    <row r="13470" spans="6:6" x14ac:dyDescent="0.3">
      <c r="F13470" s="193"/>
    </row>
    <row r="13471" spans="6:6" x14ac:dyDescent="0.3">
      <c r="F13471" s="193"/>
    </row>
    <row r="13472" spans="6:6" x14ac:dyDescent="0.3">
      <c r="F13472" s="193"/>
    </row>
    <row r="13473" spans="6:6" x14ac:dyDescent="0.3">
      <c r="F13473" s="193"/>
    </row>
    <row r="13474" spans="6:6" x14ac:dyDescent="0.3">
      <c r="F13474" s="193"/>
    </row>
    <row r="13475" spans="6:6" x14ac:dyDescent="0.3">
      <c r="F13475" s="193"/>
    </row>
    <row r="13476" spans="6:6" x14ac:dyDescent="0.3">
      <c r="F13476" s="193"/>
    </row>
    <row r="13477" spans="6:6" x14ac:dyDescent="0.3">
      <c r="F13477" s="193"/>
    </row>
    <row r="13478" spans="6:6" x14ac:dyDescent="0.3">
      <c r="F13478" s="193"/>
    </row>
    <row r="13479" spans="6:6" x14ac:dyDescent="0.3">
      <c r="F13479" s="193"/>
    </row>
    <row r="13480" spans="6:6" x14ac:dyDescent="0.3">
      <c r="F13480" s="193"/>
    </row>
    <row r="13481" spans="6:6" x14ac:dyDescent="0.3">
      <c r="F13481" s="193"/>
    </row>
    <row r="13482" spans="6:6" x14ac:dyDescent="0.3">
      <c r="F13482" s="193"/>
    </row>
    <row r="13483" spans="6:6" x14ac:dyDescent="0.3">
      <c r="F13483" s="193"/>
    </row>
    <row r="13484" spans="6:6" x14ac:dyDescent="0.3">
      <c r="F13484" s="193"/>
    </row>
    <row r="13485" spans="6:6" x14ac:dyDescent="0.3">
      <c r="F13485" s="193"/>
    </row>
    <row r="13486" spans="6:6" x14ac:dyDescent="0.3">
      <c r="F13486" s="193"/>
    </row>
    <row r="13487" spans="6:6" x14ac:dyDescent="0.3">
      <c r="F13487" s="193"/>
    </row>
    <row r="13488" spans="6:6" x14ac:dyDescent="0.3">
      <c r="F13488" s="193"/>
    </row>
    <row r="13489" spans="6:6" x14ac:dyDescent="0.3">
      <c r="F13489" s="193"/>
    </row>
    <row r="13490" spans="6:6" x14ac:dyDescent="0.3">
      <c r="F13490" s="193"/>
    </row>
    <row r="13491" spans="6:6" x14ac:dyDescent="0.3">
      <c r="F13491" s="193"/>
    </row>
    <row r="13492" spans="6:6" x14ac:dyDescent="0.3">
      <c r="F13492" s="193"/>
    </row>
    <row r="13493" spans="6:6" x14ac:dyDescent="0.3">
      <c r="F13493" s="193"/>
    </row>
    <row r="13494" spans="6:6" x14ac:dyDescent="0.3">
      <c r="F13494" s="193"/>
    </row>
    <row r="13495" spans="6:6" x14ac:dyDescent="0.3">
      <c r="F13495" s="193"/>
    </row>
    <row r="13496" spans="6:6" x14ac:dyDescent="0.3">
      <c r="F13496" s="193"/>
    </row>
    <row r="13497" spans="6:6" x14ac:dyDescent="0.3">
      <c r="F13497" s="193"/>
    </row>
    <row r="13498" spans="6:6" x14ac:dyDescent="0.3">
      <c r="F13498" s="193"/>
    </row>
    <row r="13499" spans="6:6" x14ac:dyDescent="0.3">
      <c r="F13499" s="193"/>
    </row>
    <row r="13500" spans="6:6" x14ac:dyDescent="0.3">
      <c r="F13500" s="193"/>
    </row>
    <row r="13501" spans="6:6" x14ac:dyDescent="0.3">
      <c r="F13501" s="193"/>
    </row>
    <row r="13502" spans="6:6" x14ac:dyDescent="0.3">
      <c r="F13502" s="193"/>
    </row>
    <row r="13503" spans="6:6" x14ac:dyDescent="0.3">
      <c r="F13503" s="193"/>
    </row>
    <row r="13504" spans="6:6" x14ac:dyDescent="0.3">
      <c r="F13504" s="193"/>
    </row>
    <row r="13505" spans="6:6" x14ac:dyDescent="0.3">
      <c r="F13505" s="193"/>
    </row>
    <row r="13506" spans="6:6" x14ac:dyDescent="0.3">
      <c r="F13506" s="193"/>
    </row>
    <row r="13507" spans="6:6" x14ac:dyDescent="0.3">
      <c r="F13507" s="193"/>
    </row>
    <row r="13508" spans="6:6" x14ac:dyDescent="0.3">
      <c r="F13508" s="193"/>
    </row>
    <row r="13509" spans="6:6" x14ac:dyDescent="0.3">
      <c r="F13509" s="193"/>
    </row>
    <row r="13510" spans="6:6" x14ac:dyDescent="0.3">
      <c r="F13510" s="193"/>
    </row>
    <row r="13511" spans="6:6" x14ac:dyDescent="0.3">
      <c r="F13511" s="193"/>
    </row>
    <row r="13512" spans="6:6" x14ac:dyDescent="0.3">
      <c r="F13512" s="193"/>
    </row>
    <row r="13513" spans="6:6" x14ac:dyDescent="0.3">
      <c r="F13513" s="193"/>
    </row>
    <row r="13514" spans="6:6" x14ac:dyDescent="0.3">
      <c r="F13514" s="193"/>
    </row>
    <row r="13515" spans="6:6" x14ac:dyDescent="0.3">
      <c r="F13515" s="193"/>
    </row>
    <row r="13516" spans="6:6" x14ac:dyDescent="0.3">
      <c r="F13516" s="193"/>
    </row>
    <row r="13517" spans="6:6" x14ac:dyDescent="0.3">
      <c r="F13517" s="193"/>
    </row>
    <row r="13518" spans="6:6" x14ac:dyDescent="0.3">
      <c r="F13518" s="193"/>
    </row>
    <row r="13519" spans="6:6" x14ac:dyDescent="0.3">
      <c r="F13519" s="193"/>
    </row>
    <row r="13520" spans="6:6" x14ac:dyDescent="0.3">
      <c r="F13520" s="193"/>
    </row>
    <row r="13521" spans="6:6" x14ac:dyDescent="0.3">
      <c r="F13521" s="193"/>
    </row>
    <row r="13522" spans="6:6" x14ac:dyDescent="0.3">
      <c r="F13522" s="193"/>
    </row>
    <row r="13523" spans="6:6" x14ac:dyDescent="0.3">
      <c r="F13523" s="193"/>
    </row>
    <row r="13524" spans="6:6" x14ac:dyDescent="0.3">
      <c r="F13524" s="193"/>
    </row>
    <row r="13525" spans="6:6" x14ac:dyDescent="0.3">
      <c r="F13525" s="193"/>
    </row>
    <row r="13526" spans="6:6" x14ac:dyDescent="0.3">
      <c r="F13526" s="193"/>
    </row>
    <row r="13527" spans="6:6" x14ac:dyDescent="0.3">
      <c r="F13527" s="193"/>
    </row>
    <row r="13528" spans="6:6" x14ac:dyDescent="0.3">
      <c r="F13528" s="193"/>
    </row>
    <row r="13529" spans="6:6" x14ac:dyDescent="0.3">
      <c r="F13529" s="193"/>
    </row>
    <row r="13530" spans="6:6" x14ac:dyDescent="0.3">
      <c r="F13530" s="193"/>
    </row>
    <row r="13531" spans="6:6" x14ac:dyDescent="0.3">
      <c r="F13531" s="193"/>
    </row>
    <row r="13532" spans="6:6" x14ac:dyDescent="0.3">
      <c r="F13532" s="193"/>
    </row>
    <row r="13533" spans="6:6" x14ac:dyDescent="0.3">
      <c r="F13533" s="193"/>
    </row>
    <row r="13534" spans="6:6" x14ac:dyDescent="0.3">
      <c r="F13534" s="193"/>
    </row>
    <row r="13535" spans="6:6" x14ac:dyDescent="0.3">
      <c r="F13535" s="193"/>
    </row>
    <row r="13536" spans="6:6" x14ac:dyDescent="0.3">
      <c r="F13536" s="193"/>
    </row>
    <row r="13537" spans="6:6" x14ac:dyDescent="0.3">
      <c r="F13537" s="193"/>
    </row>
    <row r="13538" spans="6:6" x14ac:dyDescent="0.3">
      <c r="F13538" s="193"/>
    </row>
    <row r="13539" spans="6:6" x14ac:dyDescent="0.3">
      <c r="F13539" s="193"/>
    </row>
    <row r="13540" spans="6:6" x14ac:dyDescent="0.3">
      <c r="F13540" s="193"/>
    </row>
    <row r="13541" spans="6:6" x14ac:dyDescent="0.3">
      <c r="F13541" s="193"/>
    </row>
    <row r="13542" spans="6:6" x14ac:dyDescent="0.3">
      <c r="F13542" s="193"/>
    </row>
    <row r="13543" spans="6:6" x14ac:dyDescent="0.3">
      <c r="F13543" s="193"/>
    </row>
    <row r="13544" spans="6:6" x14ac:dyDescent="0.3">
      <c r="F13544" s="193"/>
    </row>
    <row r="13545" spans="6:6" x14ac:dyDescent="0.3">
      <c r="F13545" s="193"/>
    </row>
    <row r="13546" spans="6:6" x14ac:dyDescent="0.3">
      <c r="F13546" s="193"/>
    </row>
    <row r="13547" spans="6:6" x14ac:dyDescent="0.3">
      <c r="F13547" s="193"/>
    </row>
    <row r="13548" spans="6:6" x14ac:dyDescent="0.3">
      <c r="F13548" s="193"/>
    </row>
    <row r="13549" spans="6:6" x14ac:dyDescent="0.3">
      <c r="F13549" s="193"/>
    </row>
    <row r="13550" spans="6:6" x14ac:dyDescent="0.3">
      <c r="F13550" s="193"/>
    </row>
    <row r="13551" spans="6:6" x14ac:dyDescent="0.3">
      <c r="F13551" s="193"/>
    </row>
    <row r="13552" spans="6:6" x14ac:dyDescent="0.3">
      <c r="F13552" s="193"/>
    </row>
    <row r="13553" spans="6:6" x14ac:dyDescent="0.3">
      <c r="F13553" s="193"/>
    </row>
    <row r="13554" spans="6:6" x14ac:dyDescent="0.3">
      <c r="F13554" s="193"/>
    </row>
    <row r="13555" spans="6:6" x14ac:dyDescent="0.3">
      <c r="F13555" s="193"/>
    </row>
    <row r="13556" spans="6:6" x14ac:dyDescent="0.3">
      <c r="F13556" s="193"/>
    </row>
    <row r="13557" spans="6:6" x14ac:dyDescent="0.3">
      <c r="F13557" s="193"/>
    </row>
    <row r="13558" spans="6:6" x14ac:dyDescent="0.3">
      <c r="F13558" s="193"/>
    </row>
    <row r="13559" spans="6:6" x14ac:dyDescent="0.3">
      <c r="F13559" s="193"/>
    </row>
    <row r="13560" spans="6:6" x14ac:dyDescent="0.3">
      <c r="F13560" s="193"/>
    </row>
    <row r="13561" spans="6:6" x14ac:dyDescent="0.3">
      <c r="F13561" s="193"/>
    </row>
    <row r="13562" spans="6:6" x14ac:dyDescent="0.3">
      <c r="F13562" s="193"/>
    </row>
    <row r="13563" spans="6:6" x14ac:dyDescent="0.3">
      <c r="F13563" s="193"/>
    </row>
    <row r="13564" spans="6:6" x14ac:dyDescent="0.3">
      <c r="F13564" s="193"/>
    </row>
    <row r="13565" spans="6:6" x14ac:dyDescent="0.3">
      <c r="F13565" s="193"/>
    </row>
    <row r="13566" spans="6:6" x14ac:dyDescent="0.3">
      <c r="F13566" s="193"/>
    </row>
    <row r="13567" spans="6:6" x14ac:dyDescent="0.3">
      <c r="F13567" s="193"/>
    </row>
    <row r="13568" spans="6:6" x14ac:dyDescent="0.3">
      <c r="F13568" s="193"/>
    </row>
    <row r="13569" spans="6:6" x14ac:dyDescent="0.3">
      <c r="F13569" s="193"/>
    </row>
    <row r="13570" spans="6:6" x14ac:dyDescent="0.3">
      <c r="F13570" s="193"/>
    </row>
    <row r="13571" spans="6:6" x14ac:dyDescent="0.3">
      <c r="F13571" s="193"/>
    </row>
    <row r="13572" spans="6:6" x14ac:dyDescent="0.3">
      <c r="F13572" s="193"/>
    </row>
    <row r="13573" spans="6:6" x14ac:dyDescent="0.3">
      <c r="F13573" s="193"/>
    </row>
    <row r="13574" spans="6:6" x14ac:dyDescent="0.3">
      <c r="F13574" s="193"/>
    </row>
    <row r="13575" spans="6:6" x14ac:dyDescent="0.3">
      <c r="F13575" s="193"/>
    </row>
    <row r="13576" spans="6:6" x14ac:dyDescent="0.3">
      <c r="F13576" s="193"/>
    </row>
    <row r="13577" spans="6:6" x14ac:dyDescent="0.3">
      <c r="F13577" s="193"/>
    </row>
    <row r="13578" spans="6:6" x14ac:dyDescent="0.3">
      <c r="F13578" s="193"/>
    </row>
    <row r="13579" spans="6:6" x14ac:dyDescent="0.3">
      <c r="F13579" s="193"/>
    </row>
    <row r="13580" spans="6:6" x14ac:dyDescent="0.3">
      <c r="F13580" s="193"/>
    </row>
    <row r="13581" spans="6:6" x14ac:dyDescent="0.3">
      <c r="F13581" s="193"/>
    </row>
    <row r="13582" spans="6:6" x14ac:dyDescent="0.3">
      <c r="F13582" s="193"/>
    </row>
    <row r="13583" spans="6:6" x14ac:dyDescent="0.3">
      <c r="F13583" s="193"/>
    </row>
    <row r="13584" spans="6:6" x14ac:dyDescent="0.3">
      <c r="F13584" s="193"/>
    </row>
    <row r="13585" spans="6:6" x14ac:dyDescent="0.3">
      <c r="F13585" s="193"/>
    </row>
    <row r="13586" spans="6:6" x14ac:dyDescent="0.3">
      <c r="F13586" s="193"/>
    </row>
    <row r="13587" spans="6:6" x14ac:dyDescent="0.3">
      <c r="F13587" s="193"/>
    </row>
    <row r="13588" spans="6:6" x14ac:dyDescent="0.3">
      <c r="F13588" s="193"/>
    </row>
    <row r="13589" spans="6:6" x14ac:dyDescent="0.3">
      <c r="F13589" s="193"/>
    </row>
    <row r="13590" spans="6:6" x14ac:dyDescent="0.3">
      <c r="F13590" s="193"/>
    </row>
    <row r="13591" spans="6:6" x14ac:dyDescent="0.3">
      <c r="F13591" s="193"/>
    </row>
    <row r="13592" spans="6:6" x14ac:dyDescent="0.3">
      <c r="F13592" s="193"/>
    </row>
    <row r="13593" spans="6:6" x14ac:dyDescent="0.3">
      <c r="F13593" s="193"/>
    </row>
    <row r="13594" spans="6:6" x14ac:dyDescent="0.3">
      <c r="F13594" s="193"/>
    </row>
    <row r="13595" spans="6:6" x14ac:dyDescent="0.3">
      <c r="F13595" s="193"/>
    </row>
    <row r="13596" spans="6:6" x14ac:dyDescent="0.3">
      <c r="F13596" s="193"/>
    </row>
    <row r="13597" spans="6:6" x14ac:dyDescent="0.3">
      <c r="F13597" s="193"/>
    </row>
    <row r="13598" spans="6:6" x14ac:dyDescent="0.3">
      <c r="F13598" s="193"/>
    </row>
    <row r="13599" spans="6:6" x14ac:dyDescent="0.3">
      <c r="F13599" s="193"/>
    </row>
    <row r="13600" spans="6:6" x14ac:dyDescent="0.3">
      <c r="F13600" s="193"/>
    </row>
    <row r="13601" spans="6:6" x14ac:dyDescent="0.3">
      <c r="F13601" s="193"/>
    </row>
    <row r="13602" spans="6:6" x14ac:dyDescent="0.3">
      <c r="F13602" s="193"/>
    </row>
    <row r="13603" spans="6:6" x14ac:dyDescent="0.3">
      <c r="F13603" s="193"/>
    </row>
    <row r="13604" spans="6:6" x14ac:dyDescent="0.3">
      <c r="F13604" s="193"/>
    </row>
    <row r="13605" spans="6:6" x14ac:dyDescent="0.3">
      <c r="F13605" s="193"/>
    </row>
    <row r="13606" spans="6:6" x14ac:dyDescent="0.3">
      <c r="F13606" s="193"/>
    </row>
    <row r="13607" spans="6:6" x14ac:dyDescent="0.3">
      <c r="F13607" s="193"/>
    </row>
    <row r="13608" spans="6:6" x14ac:dyDescent="0.3">
      <c r="F13608" s="193"/>
    </row>
    <row r="13609" spans="6:6" x14ac:dyDescent="0.3">
      <c r="F13609" s="193"/>
    </row>
    <row r="13610" spans="6:6" x14ac:dyDescent="0.3">
      <c r="F13610" s="193"/>
    </row>
    <row r="13611" spans="6:6" x14ac:dyDescent="0.3">
      <c r="F13611" s="193"/>
    </row>
    <row r="13612" spans="6:6" x14ac:dyDescent="0.3">
      <c r="F13612" s="193"/>
    </row>
    <row r="13613" spans="6:6" x14ac:dyDescent="0.3">
      <c r="F13613" s="193"/>
    </row>
    <row r="13614" spans="6:6" x14ac:dyDescent="0.3">
      <c r="F13614" s="193"/>
    </row>
    <row r="13615" spans="6:6" x14ac:dyDescent="0.3">
      <c r="F13615" s="193"/>
    </row>
    <row r="13616" spans="6:6" x14ac:dyDescent="0.3">
      <c r="F13616" s="193"/>
    </row>
    <row r="13617" spans="6:6" x14ac:dyDescent="0.3">
      <c r="F13617" s="193"/>
    </row>
    <row r="13618" spans="6:6" x14ac:dyDescent="0.3">
      <c r="F13618" s="193"/>
    </row>
    <row r="13619" spans="6:6" x14ac:dyDescent="0.3">
      <c r="F13619" s="193"/>
    </row>
    <row r="13620" spans="6:6" x14ac:dyDescent="0.3">
      <c r="F13620" s="193"/>
    </row>
    <row r="13621" spans="6:6" x14ac:dyDescent="0.3">
      <c r="F13621" s="193"/>
    </row>
    <row r="13622" spans="6:6" x14ac:dyDescent="0.3">
      <c r="F13622" s="193"/>
    </row>
    <row r="13623" spans="6:6" x14ac:dyDescent="0.3">
      <c r="F13623" s="193"/>
    </row>
    <row r="13624" spans="6:6" x14ac:dyDescent="0.3">
      <c r="F13624" s="193"/>
    </row>
    <row r="13625" spans="6:6" x14ac:dyDescent="0.3">
      <c r="F13625" s="193"/>
    </row>
    <row r="13626" spans="6:6" x14ac:dyDescent="0.3">
      <c r="F13626" s="193"/>
    </row>
    <row r="13627" spans="6:6" x14ac:dyDescent="0.3">
      <c r="F13627" s="193"/>
    </row>
    <row r="13628" spans="6:6" x14ac:dyDescent="0.3">
      <c r="F13628" s="193"/>
    </row>
    <row r="13629" spans="6:6" x14ac:dyDescent="0.3">
      <c r="F13629" s="193"/>
    </row>
    <row r="13630" spans="6:6" x14ac:dyDescent="0.3">
      <c r="F13630" s="193"/>
    </row>
    <row r="13631" spans="6:6" x14ac:dyDescent="0.3">
      <c r="F13631" s="193"/>
    </row>
    <row r="13632" spans="6:6" x14ac:dyDescent="0.3">
      <c r="F13632" s="193"/>
    </row>
    <row r="13633" spans="6:6" x14ac:dyDescent="0.3">
      <c r="F13633" s="193"/>
    </row>
    <row r="13634" spans="6:6" x14ac:dyDescent="0.3">
      <c r="F13634" s="193"/>
    </row>
    <row r="13635" spans="6:6" x14ac:dyDescent="0.3">
      <c r="F13635" s="193"/>
    </row>
    <row r="13636" spans="6:6" x14ac:dyDescent="0.3">
      <c r="F13636" s="193"/>
    </row>
    <row r="13637" spans="6:6" x14ac:dyDescent="0.3">
      <c r="F13637" s="193"/>
    </row>
    <row r="13638" spans="6:6" x14ac:dyDescent="0.3">
      <c r="F13638" s="193"/>
    </row>
    <row r="13639" spans="6:6" x14ac:dyDescent="0.3">
      <c r="F13639" s="193"/>
    </row>
    <row r="13640" spans="6:6" x14ac:dyDescent="0.3">
      <c r="F13640" s="193"/>
    </row>
    <row r="13641" spans="6:6" x14ac:dyDescent="0.3">
      <c r="F13641" s="193"/>
    </row>
    <row r="13642" spans="6:6" x14ac:dyDescent="0.3">
      <c r="F13642" s="193"/>
    </row>
    <row r="13643" spans="6:6" x14ac:dyDescent="0.3">
      <c r="F13643" s="193"/>
    </row>
    <row r="13644" spans="6:6" x14ac:dyDescent="0.3">
      <c r="F13644" s="193"/>
    </row>
    <row r="13645" spans="6:6" x14ac:dyDescent="0.3">
      <c r="F13645" s="193"/>
    </row>
    <row r="13646" spans="6:6" x14ac:dyDescent="0.3">
      <c r="F13646" s="193"/>
    </row>
    <row r="13647" spans="6:6" x14ac:dyDescent="0.3">
      <c r="F13647" s="193"/>
    </row>
    <row r="13648" spans="6:6" x14ac:dyDescent="0.3">
      <c r="F13648" s="193"/>
    </row>
    <row r="13649" spans="6:6" x14ac:dyDescent="0.3">
      <c r="F13649" s="193"/>
    </row>
    <row r="13650" spans="6:6" x14ac:dyDescent="0.3">
      <c r="F13650" s="193"/>
    </row>
    <row r="13651" spans="6:6" x14ac:dyDescent="0.3">
      <c r="F13651" s="193"/>
    </row>
    <row r="13652" spans="6:6" x14ac:dyDescent="0.3">
      <c r="F13652" s="193"/>
    </row>
    <row r="13653" spans="6:6" x14ac:dyDescent="0.3">
      <c r="F13653" s="193"/>
    </row>
    <row r="13654" spans="6:6" x14ac:dyDescent="0.3">
      <c r="F13654" s="193"/>
    </row>
    <row r="13655" spans="6:6" x14ac:dyDescent="0.3">
      <c r="F13655" s="193"/>
    </row>
    <row r="13656" spans="6:6" x14ac:dyDescent="0.3">
      <c r="F13656" s="193"/>
    </row>
    <row r="13657" spans="6:6" x14ac:dyDescent="0.3">
      <c r="F13657" s="193"/>
    </row>
    <row r="13658" spans="6:6" x14ac:dyDescent="0.3">
      <c r="F13658" s="193"/>
    </row>
    <row r="13659" spans="6:6" x14ac:dyDescent="0.3">
      <c r="F13659" s="193"/>
    </row>
    <row r="13660" spans="6:6" x14ac:dyDescent="0.3">
      <c r="F13660" s="193"/>
    </row>
    <row r="13661" spans="6:6" x14ac:dyDescent="0.3">
      <c r="F13661" s="193"/>
    </row>
    <row r="13662" spans="6:6" x14ac:dyDescent="0.3">
      <c r="F13662" s="193"/>
    </row>
    <row r="13663" spans="6:6" x14ac:dyDescent="0.3">
      <c r="F13663" s="193"/>
    </row>
    <row r="13664" spans="6:6" x14ac:dyDescent="0.3">
      <c r="F13664" s="193"/>
    </row>
    <row r="13665" spans="6:6" x14ac:dyDescent="0.3">
      <c r="F13665" s="193"/>
    </row>
    <row r="13666" spans="6:6" x14ac:dyDescent="0.3">
      <c r="F13666" s="193"/>
    </row>
    <row r="13667" spans="6:6" x14ac:dyDescent="0.3">
      <c r="F13667" s="193"/>
    </row>
    <row r="13668" spans="6:6" x14ac:dyDescent="0.3">
      <c r="F13668" s="193"/>
    </row>
    <row r="13669" spans="6:6" x14ac:dyDescent="0.3">
      <c r="F13669" s="193"/>
    </row>
    <row r="13670" spans="6:6" x14ac:dyDescent="0.3">
      <c r="F13670" s="193"/>
    </row>
    <row r="13671" spans="6:6" x14ac:dyDescent="0.3">
      <c r="F13671" s="193"/>
    </row>
    <row r="13672" spans="6:6" x14ac:dyDescent="0.3">
      <c r="F13672" s="193"/>
    </row>
    <row r="13673" spans="6:6" x14ac:dyDescent="0.3">
      <c r="F13673" s="193"/>
    </row>
    <row r="13674" spans="6:6" x14ac:dyDescent="0.3">
      <c r="F13674" s="193"/>
    </row>
    <row r="13675" spans="6:6" x14ac:dyDescent="0.3">
      <c r="F13675" s="193"/>
    </row>
    <row r="13676" spans="6:6" x14ac:dyDescent="0.3">
      <c r="F13676" s="193"/>
    </row>
    <row r="13677" spans="6:6" x14ac:dyDescent="0.3">
      <c r="F13677" s="193"/>
    </row>
    <row r="13678" spans="6:6" x14ac:dyDescent="0.3">
      <c r="F13678" s="193"/>
    </row>
    <row r="13679" spans="6:6" x14ac:dyDescent="0.3">
      <c r="F13679" s="193"/>
    </row>
    <row r="13680" spans="6:6" x14ac:dyDescent="0.3">
      <c r="F13680" s="193"/>
    </row>
    <row r="13681" spans="6:6" x14ac:dyDescent="0.3">
      <c r="F13681" s="193"/>
    </row>
    <row r="13682" spans="6:6" x14ac:dyDescent="0.3">
      <c r="F13682" s="193"/>
    </row>
    <row r="13683" spans="6:6" x14ac:dyDescent="0.3">
      <c r="F13683" s="193"/>
    </row>
    <row r="13684" spans="6:6" x14ac:dyDescent="0.3">
      <c r="F13684" s="193"/>
    </row>
    <row r="13685" spans="6:6" x14ac:dyDescent="0.3">
      <c r="F13685" s="193"/>
    </row>
    <row r="13686" spans="6:6" x14ac:dyDescent="0.3">
      <c r="F13686" s="193"/>
    </row>
    <row r="13687" spans="6:6" x14ac:dyDescent="0.3">
      <c r="F13687" s="193"/>
    </row>
    <row r="13688" spans="6:6" x14ac:dyDescent="0.3">
      <c r="F13688" s="193"/>
    </row>
    <row r="13689" spans="6:6" x14ac:dyDescent="0.3">
      <c r="F13689" s="193"/>
    </row>
    <row r="13690" spans="6:6" x14ac:dyDescent="0.3">
      <c r="F13690" s="193"/>
    </row>
    <row r="13691" spans="6:6" x14ac:dyDescent="0.3">
      <c r="F13691" s="193"/>
    </row>
    <row r="13692" spans="6:6" x14ac:dyDescent="0.3">
      <c r="F13692" s="193"/>
    </row>
    <row r="13693" spans="6:6" x14ac:dyDescent="0.3">
      <c r="F13693" s="193"/>
    </row>
    <row r="13694" spans="6:6" x14ac:dyDescent="0.3">
      <c r="F13694" s="193"/>
    </row>
    <row r="13695" spans="6:6" x14ac:dyDescent="0.3">
      <c r="F13695" s="193"/>
    </row>
    <row r="13696" spans="6:6" x14ac:dyDescent="0.3">
      <c r="F13696" s="193"/>
    </row>
    <row r="13697" spans="6:6" x14ac:dyDescent="0.3">
      <c r="F13697" s="193"/>
    </row>
    <row r="13698" spans="6:6" x14ac:dyDescent="0.3">
      <c r="F13698" s="193"/>
    </row>
    <row r="13699" spans="6:6" x14ac:dyDescent="0.3">
      <c r="F13699" s="193"/>
    </row>
    <row r="13700" spans="6:6" x14ac:dyDescent="0.3">
      <c r="F13700" s="193"/>
    </row>
    <row r="13701" spans="6:6" x14ac:dyDescent="0.3">
      <c r="F13701" s="193"/>
    </row>
    <row r="13702" spans="6:6" x14ac:dyDescent="0.3">
      <c r="F13702" s="193"/>
    </row>
    <row r="13703" spans="6:6" x14ac:dyDescent="0.3">
      <c r="F13703" s="193"/>
    </row>
    <row r="13704" spans="6:6" x14ac:dyDescent="0.3">
      <c r="F13704" s="193"/>
    </row>
    <row r="13705" spans="6:6" x14ac:dyDescent="0.3">
      <c r="F13705" s="193"/>
    </row>
    <row r="13706" spans="6:6" x14ac:dyDescent="0.3">
      <c r="F13706" s="193"/>
    </row>
    <row r="13707" spans="6:6" x14ac:dyDescent="0.3">
      <c r="F13707" s="193"/>
    </row>
    <row r="13708" spans="6:6" x14ac:dyDescent="0.3">
      <c r="F13708" s="193"/>
    </row>
    <row r="13709" spans="6:6" x14ac:dyDescent="0.3">
      <c r="F13709" s="193"/>
    </row>
    <row r="13710" spans="6:6" x14ac:dyDescent="0.3">
      <c r="F13710" s="193"/>
    </row>
    <row r="13711" spans="6:6" x14ac:dyDescent="0.3">
      <c r="F13711" s="193"/>
    </row>
    <row r="13712" spans="6:6" x14ac:dyDescent="0.3">
      <c r="F13712" s="193"/>
    </row>
    <row r="13713" spans="6:6" x14ac:dyDescent="0.3">
      <c r="F13713" s="193"/>
    </row>
    <row r="13714" spans="6:6" x14ac:dyDescent="0.3">
      <c r="F13714" s="193"/>
    </row>
    <row r="13715" spans="6:6" x14ac:dyDescent="0.3">
      <c r="F13715" s="193"/>
    </row>
    <row r="13716" spans="6:6" x14ac:dyDescent="0.3">
      <c r="F13716" s="193"/>
    </row>
    <row r="13717" spans="6:6" x14ac:dyDescent="0.3">
      <c r="F13717" s="193"/>
    </row>
    <row r="13718" spans="6:6" x14ac:dyDescent="0.3">
      <c r="F13718" s="193"/>
    </row>
    <row r="13719" spans="6:6" x14ac:dyDescent="0.3">
      <c r="F13719" s="193"/>
    </row>
    <row r="13720" spans="6:6" x14ac:dyDescent="0.3">
      <c r="F13720" s="193"/>
    </row>
    <row r="13721" spans="6:6" x14ac:dyDescent="0.3">
      <c r="F13721" s="193"/>
    </row>
    <row r="13722" spans="6:6" x14ac:dyDescent="0.3">
      <c r="F13722" s="193"/>
    </row>
    <row r="13723" spans="6:6" x14ac:dyDescent="0.3">
      <c r="F13723" s="193"/>
    </row>
    <row r="13724" spans="6:6" x14ac:dyDescent="0.3">
      <c r="F13724" s="193"/>
    </row>
    <row r="13725" spans="6:6" x14ac:dyDescent="0.3">
      <c r="F13725" s="193"/>
    </row>
    <row r="13726" spans="6:6" x14ac:dyDescent="0.3">
      <c r="F13726" s="193"/>
    </row>
    <row r="13727" spans="6:6" x14ac:dyDescent="0.3">
      <c r="F13727" s="193"/>
    </row>
    <row r="13728" spans="6:6" x14ac:dyDescent="0.3">
      <c r="F13728" s="193"/>
    </row>
    <row r="13729" spans="6:6" x14ac:dyDescent="0.3">
      <c r="F13729" s="193"/>
    </row>
    <row r="13730" spans="6:6" x14ac:dyDescent="0.3">
      <c r="F13730" s="193"/>
    </row>
    <row r="13731" spans="6:6" x14ac:dyDescent="0.3">
      <c r="F13731" s="193"/>
    </row>
    <row r="13732" spans="6:6" x14ac:dyDescent="0.3">
      <c r="F13732" s="193"/>
    </row>
    <row r="13733" spans="6:6" x14ac:dyDescent="0.3">
      <c r="F13733" s="193"/>
    </row>
    <row r="13734" spans="6:6" x14ac:dyDescent="0.3">
      <c r="F13734" s="193"/>
    </row>
    <row r="13735" spans="6:6" x14ac:dyDescent="0.3">
      <c r="F13735" s="193"/>
    </row>
    <row r="13736" spans="6:6" x14ac:dyDescent="0.3">
      <c r="F13736" s="193"/>
    </row>
    <row r="13737" spans="6:6" x14ac:dyDescent="0.3">
      <c r="F13737" s="193"/>
    </row>
    <row r="13738" spans="6:6" x14ac:dyDescent="0.3">
      <c r="F13738" s="193"/>
    </row>
    <row r="13739" spans="6:6" x14ac:dyDescent="0.3">
      <c r="F13739" s="193"/>
    </row>
    <row r="13740" spans="6:6" x14ac:dyDescent="0.3">
      <c r="F13740" s="193"/>
    </row>
    <row r="13741" spans="6:6" x14ac:dyDescent="0.3">
      <c r="F13741" s="193"/>
    </row>
    <row r="13742" spans="6:6" x14ac:dyDescent="0.3">
      <c r="F13742" s="193"/>
    </row>
    <row r="13743" spans="6:6" x14ac:dyDescent="0.3">
      <c r="F13743" s="193"/>
    </row>
    <row r="13744" spans="6:6" x14ac:dyDescent="0.3">
      <c r="F13744" s="193"/>
    </row>
    <row r="13745" spans="6:6" x14ac:dyDescent="0.3">
      <c r="F13745" s="193"/>
    </row>
    <row r="13746" spans="6:6" x14ac:dyDescent="0.3">
      <c r="F13746" s="193"/>
    </row>
    <row r="13747" spans="6:6" x14ac:dyDescent="0.3">
      <c r="F13747" s="193"/>
    </row>
    <row r="13748" spans="6:6" x14ac:dyDescent="0.3">
      <c r="F13748" s="193"/>
    </row>
    <row r="13749" spans="6:6" x14ac:dyDescent="0.3">
      <c r="F13749" s="193"/>
    </row>
    <row r="13750" spans="6:6" x14ac:dyDescent="0.3">
      <c r="F13750" s="193"/>
    </row>
    <row r="13751" spans="6:6" x14ac:dyDescent="0.3">
      <c r="F13751" s="193"/>
    </row>
    <row r="13752" spans="6:6" x14ac:dyDescent="0.3">
      <c r="F13752" s="193"/>
    </row>
    <row r="13753" spans="6:6" x14ac:dyDescent="0.3">
      <c r="F13753" s="193"/>
    </row>
    <row r="13754" spans="6:6" x14ac:dyDescent="0.3">
      <c r="F13754" s="193"/>
    </row>
    <row r="13755" spans="6:6" x14ac:dyDescent="0.3">
      <c r="F13755" s="193"/>
    </row>
    <row r="13756" spans="6:6" x14ac:dyDescent="0.3">
      <c r="F13756" s="193"/>
    </row>
    <row r="13757" spans="6:6" x14ac:dyDescent="0.3">
      <c r="F13757" s="193"/>
    </row>
    <row r="13758" spans="6:6" x14ac:dyDescent="0.3">
      <c r="F13758" s="193"/>
    </row>
    <row r="13759" spans="6:6" x14ac:dyDescent="0.3">
      <c r="F13759" s="193"/>
    </row>
    <row r="13760" spans="6:6" x14ac:dyDescent="0.3">
      <c r="F13760" s="193"/>
    </row>
    <row r="13761" spans="6:6" x14ac:dyDescent="0.3">
      <c r="F13761" s="193"/>
    </row>
    <row r="13762" spans="6:6" x14ac:dyDescent="0.3">
      <c r="F13762" s="193"/>
    </row>
    <row r="13763" spans="6:6" x14ac:dyDescent="0.3">
      <c r="F13763" s="193"/>
    </row>
    <row r="13764" spans="6:6" x14ac:dyDescent="0.3">
      <c r="F13764" s="193"/>
    </row>
    <row r="13765" spans="6:6" x14ac:dyDescent="0.3">
      <c r="F13765" s="193"/>
    </row>
    <row r="13766" spans="6:6" x14ac:dyDescent="0.3">
      <c r="F13766" s="193"/>
    </row>
    <row r="13767" spans="6:6" x14ac:dyDescent="0.3">
      <c r="F13767" s="193"/>
    </row>
    <row r="13768" spans="6:6" x14ac:dyDescent="0.3">
      <c r="F13768" s="193"/>
    </row>
    <row r="13769" spans="6:6" x14ac:dyDescent="0.3">
      <c r="F13769" s="193"/>
    </row>
    <row r="13770" spans="6:6" x14ac:dyDescent="0.3">
      <c r="F13770" s="193"/>
    </row>
    <row r="13771" spans="6:6" x14ac:dyDescent="0.3">
      <c r="F13771" s="193"/>
    </row>
    <row r="13772" spans="6:6" x14ac:dyDescent="0.3">
      <c r="F13772" s="193"/>
    </row>
    <row r="13773" spans="6:6" x14ac:dyDescent="0.3">
      <c r="F13773" s="193"/>
    </row>
    <row r="13774" spans="6:6" x14ac:dyDescent="0.3">
      <c r="F13774" s="193"/>
    </row>
    <row r="13775" spans="6:6" x14ac:dyDescent="0.3">
      <c r="F13775" s="193"/>
    </row>
    <row r="13776" spans="6:6" x14ac:dyDescent="0.3">
      <c r="F13776" s="193"/>
    </row>
    <row r="13777" spans="6:6" x14ac:dyDescent="0.3">
      <c r="F13777" s="193"/>
    </row>
    <row r="13778" spans="6:6" x14ac:dyDescent="0.3">
      <c r="F13778" s="193"/>
    </row>
    <row r="13779" spans="6:6" x14ac:dyDescent="0.3">
      <c r="F13779" s="193"/>
    </row>
    <row r="13780" spans="6:6" x14ac:dyDescent="0.3">
      <c r="F13780" s="193"/>
    </row>
    <row r="13781" spans="6:6" x14ac:dyDescent="0.3">
      <c r="F13781" s="193"/>
    </row>
    <row r="13782" spans="6:6" x14ac:dyDescent="0.3">
      <c r="F13782" s="193"/>
    </row>
    <row r="13783" spans="6:6" x14ac:dyDescent="0.3">
      <c r="F13783" s="193"/>
    </row>
    <row r="13784" spans="6:6" x14ac:dyDescent="0.3">
      <c r="F13784" s="193"/>
    </row>
    <row r="13785" spans="6:6" x14ac:dyDescent="0.3">
      <c r="F13785" s="193"/>
    </row>
    <row r="13786" spans="6:6" x14ac:dyDescent="0.3">
      <c r="F13786" s="193"/>
    </row>
    <row r="13787" spans="6:6" x14ac:dyDescent="0.3">
      <c r="F13787" s="193"/>
    </row>
    <row r="13788" spans="6:6" x14ac:dyDescent="0.3">
      <c r="F13788" s="193"/>
    </row>
    <row r="13789" spans="6:6" x14ac:dyDescent="0.3">
      <c r="F13789" s="193"/>
    </row>
    <row r="13790" spans="6:6" x14ac:dyDescent="0.3">
      <c r="F13790" s="193"/>
    </row>
    <row r="13791" spans="6:6" x14ac:dyDescent="0.3">
      <c r="F13791" s="193"/>
    </row>
    <row r="13792" spans="6:6" x14ac:dyDescent="0.3">
      <c r="F13792" s="193"/>
    </row>
    <row r="13793" spans="6:6" x14ac:dyDescent="0.3">
      <c r="F13793" s="193"/>
    </row>
    <row r="13794" spans="6:6" x14ac:dyDescent="0.3">
      <c r="F13794" s="193"/>
    </row>
    <row r="13795" spans="6:6" x14ac:dyDescent="0.3">
      <c r="F13795" s="193"/>
    </row>
    <row r="13796" spans="6:6" x14ac:dyDescent="0.3">
      <c r="F13796" s="193"/>
    </row>
    <row r="13797" spans="6:6" x14ac:dyDescent="0.3">
      <c r="F13797" s="193"/>
    </row>
    <row r="13798" spans="6:6" x14ac:dyDescent="0.3">
      <c r="F13798" s="193"/>
    </row>
    <row r="13799" spans="6:6" x14ac:dyDescent="0.3">
      <c r="F13799" s="193"/>
    </row>
    <row r="13800" spans="6:6" x14ac:dyDescent="0.3">
      <c r="F13800" s="193"/>
    </row>
    <row r="13801" spans="6:6" x14ac:dyDescent="0.3">
      <c r="F13801" s="193"/>
    </row>
    <row r="13802" spans="6:6" x14ac:dyDescent="0.3">
      <c r="F13802" s="193"/>
    </row>
    <row r="13803" spans="6:6" x14ac:dyDescent="0.3">
      <c r="F13803" s="193"/>
    </row>
    <row r="13804" spans="6:6" x14ac:dyDescent="0.3">
      <c r="F13804" s="193"/>
    </row>
    <row r="13805" spans="6:6" x14ac:dyDescent="0.3">
      <c r="F13805" s="193"/>
    </row>
    <row r="13806" spans="6:6" x14ac:dyDescent="0.3">
      <c r="F13806" s="193"/>
    </row>
    <row r="13807" spans="6:6" x14ac:dyDescent="0.3">
      <c r="F13807" s="193"/>
    </row>
    <row r="13808" spans="6:6" x14ac:dyDescent="0.3">
      <c r="F13808" s="193"/>
    </row>
    <row r="13809" spans="6:6" x14ac:dyDescent="0.3">
      <c r="F13809" s="193"/>
    </row>
    <row r="13810" spans="6:6" x14ac:dyDescent="0.3">
      <c r="F13810" s="193"/>
    </row>
    <row r="13811" spans="6:6" x14ac:dyDescent="0.3">
      <c r="F13811" s="193"/>
    </row>
    <row r="13812" spans="6:6" x14ac:dyDescent="0.3">
      <c r="F13812" s="193"/>
    </row>
    <row r="13813" spans="6:6" x14ac:dyDescent="0.3">
      <c r="F13813" s="193"/>
    </row>
    <row r="13814" spans="6:6" x14ac:dyDescent="0.3">
      <c r="F13814" s="193"/>
    </row>
    <row r="13815" spans="6:6" x14ac:dyDescent="0.3">
      <c r="F13815" s="193"/>
    </row>
    <row r="13816" spans="6:6" x14ac:dyDescent="0.3">
      <c r="F13816" s="193"/>
    </row>
    <row r="13817" spans="6:6" x14ac:dyDescent="0.3">
      <c r="F13817" s="193"/>
    </row>
    <row r="13818" spans="6:6" x14ac:dyDescent="0.3">
      <c r="F13818" s="193"/>
    </row>
    <row r="13819" spans="6:6" x14ac:dyDescent="0.3">
      <c r="F13819" s="193"/>
    </row>
    <row r="13820" spans="6:6" x14ac:dyDescent="0.3">
      <c r="F13820" s="193"/>
    </row>
    <row r="13821" spans="6:6" x14ac:dyDescent="0.3">
      <c r="F13821" s="193"/>
    </row>
    <row r="13822" spans="6:6" x14ac:dyDescent="0.3">
      <c r="F13822" s="193"/>
    </row>
    <row r="13823" spans="6:6" x14ac:dyDescent="0.3">
      <c r="F13823" s="193"/>
    </row>
    <row r="13824" spans="6:6" x14ac:dyDescent="0.3">
      <c r="F13824" s="193"/>
    </row>
    <row r="13825" spans="6:6" x14ac:dyDescent="0.3">
      <c r="F13825" s="193"/>
    </row>
    <row r="13826" spans="6:6" x14ac:dyDescent="0.3">
      <c r="F13826" s="193"/>
    </row>
    <row r="13827" spans="6:6" x14ac:dyDescent="0.3">
      <c r="F13827" s="193"/>
    </row>
    <row r="13828" spans="6:6" x14ac:dyDescent="0.3">
      <c r="F13828" s="193"/>
    </row>
    <row r="13829" spans="6:6" x14ac:dyDescent="0.3">
      <c r="F13829" s="193"/>
    </row>
    <row r="13830" spans="6:6" x14ac:dyDescent="0.3">
      <c r="F13830" s="193"/>
    </row>
    <row r="13831" spans="6:6" x14ac:dyDescent="0.3">
      <c r="F13831" s="193"/>
    </row>
    <row r="13832" spans="6:6" x14ac:dyDescent="0.3">
      <c r="F13832" s="193"/>
    </row>
    <row r="13833" spans="6:6" x14ac:dyDescent="0.3">
      <c r="F13833" s="193"/>
    </row>
    <row r="13834" spans="6:6" x14ac:dyDescent="0.3">
      <c r="F13834" s="193"/>
    </row>
    <row r="13835" spans="6:6" x14ac:dyDescent="0.3">
      <c r="F13835" s="193"/>
    </row>
    <row r="13836" spans="6:6" x14ac:dyDescent="0.3">
      <c r="F13836" s="193"/>
    </row>
    <row r="13837" spans="6:6" x14ac:dyDescent="0.3">
      <c r="F13837" s="193"/>
    </row>
    <row r="13838" spans="6:6" x14ac:dyDescent="0.3">
      <c r="F13838" s="193"/>
    </row>
    <row r="13839" spans="6:6" x14ac:dyDescent="0.3">
      <c r="F13839" s="193"/>
    </row>
    <row r="13840" spans="6:6" x14ac:dyDescent="0.3">
      <c r="F13840" s="193"/>
    </row>
    <row r="13841" spans="6:6" x14ac:dyDescent="0.3">
      <c r="F13841" s="193"/>
    </row>
    <row r="13842" spans="6:6" x14ac:dyDescent="0.3">
      <c r="F13842" s="193"/>
    </row>
    <row r="13843" spans="6:6" x14ac:dyDescent="0.3">
      <c r="F13843" s="193"/>
    </row>
    <row r="13844" spans="6:6" x14ac:dyDescent="0.3">
      <c r="F13844" s="193"/>
    </row>
    <row r="13845" spans="6:6" x14ac:dyDescent="0.3">
      <c r="F13845" s="193"/>
    </row>
    <row r="13846" spans="6:6" x14ac:dyDescent="0.3">
      <c r="F13846" s="193"/>
    </row>
    <row r="13847" spans="6:6" x14ac:dyDescent="0.3">
      <c r="F13847" s="193"/>
    </row>
    <row r="13848" spans="6:6" x14ac:dyDescent="0.3">
      <c r="F13848" s="193"/>
    </row>
    <row r="13849" spans="6:6" x14ac:dyDescent="0.3">
      <c r="F13849" s="193"/>
    </row>
    <row r="13850" spans="6:6" x14ac:dyDescent="0.3">
      <c r="F13850" s="193"/>
    </row>
    <row r="13851" spans="6:6" x14ac:dyDescent="0.3">
      <c r="F13851" s="193"/>
    </row>
    <row r="13852" spans="6:6" x14ac:dyDescent="0.3">
      <c r="F13852" s="193"/>
    </row>
    <row r="13853" spans="6:6" x14ac:dyDescent="0.3">
      <c r="F13853" s="193"/>
    </row>
    <row r="13854" spans="6:6" x14ac:dyDescent="0.3">
      <c r="F13854" s="193"/>
    </row>
    <row r="13855" spans="6:6" x14ac:dyDescent="0.3">
      <c r="F13855" s="193"/>
    </row>
    <row r="13856" spans="6:6" x14ac:dyDescent="0.3">
      <c r="F13856" s="193"/>
    </row>
    <row r="13857" spans="6:6" x14ac:dyDescent="0.3">
      <c r="F13857" s="193"/>
    </row>
    <row r="13858" spans="6:6" x14ac:dyDescent="0.3">
      <c r="F13858" s="193"/>
    </row>
    <row r="13859" spans="6:6" x14ac:dyDescent="0.3">
      <c r="F13859" s="193"/>
    </row>
    <row r="13860" spans="6:6" x14ac:dyDescent="0.3">
      <c r="F13860" s="193"/>
    </row>
    <row r="13861" spans="6:6" x14ac:dyDescent="0.3">
      <c r="F13861" s="193"/>
    </row>
    <row r="13862" spans="6:6" x14ac:dyDescent="0.3">
      <c r="F13862" s="193"/>
    </row>
    <row r="13863" spans="6:6" x14ac:dyDescent="0.3">
      <c r="F13863" s="193"/>
    </row>
    <row r="13864" spans="6:6" x14ac:dyDescent="0.3">
      <c r="F13864" s="193"/>
    </row>
    <row r="13865" spans="6:6" x14ac:dyDescent="0.3">
      <c r="F13865" s="193"/>
    </row>
    <row r="13866" spans="6:6" x14ac:dyDescent="0.3">
      <c r="F13866" s="193"/>
    </row>
    <row r="13867" spans="6:6" x14ac:dyDescent="0.3">
      <c r="F13867" s="193"/>
    </row>
    <row r="13868" spans="6:6" x14ac:dyDescent="0.3">
      <c r="F13868" s="193"/>
    </row>
    <row r="13869" spans="6:6" x14ac:dyDescent="0.3">
      <c r="F13869" s="193"/>
    </row>
    <row r="13870" spans="6:6" x14ac:dyDescent="0.3">
      <c r="F13870" s="193"/>
    </row>
    <row r="13871" spans="6:6" x14ac:dyDescent="0.3">
      <c r="F13871" s="193"/>
    </row>
    <row r="13872" spans="6:6" x14ac:dyDescent="0.3">
      <c r="F13872" s="193"/>
    </row>
    <row r="13873" spans="6:6" x14ac:dyDescent="0.3">
      <c r="F13873" s="193"/>
    </row>
    <row r="13874" spans="6:6" x14ac:dyDescent="0.3">
      <c r="F13874" s="193"/>
    </row>
    <row r="13875" spans="6:6" x14ac:dyDescent="0.3">
      <c r="F13875" s="193"/>
    </row>
    <row r="13876" spans="6:6" x14ac:dyDescent="0.3">
      <c r="F13876" s="193"/>
    </row>
    <row r="13877" spans="6:6" x14ac:dyDescent="0.3">
      <c r="F13877" s="193"/>
    </row>
    <row r="13878" spans="6:6" x14ac:dyDescent="0.3">
      <c r="F13878" s="193"/>
    </row>
    <row r="13879" spans="6:6" x14ac:dyDescent="0.3">
      <c r="F13879" s="193"/>
    </row>
    <row r="13880" spans="6:6" x14ac:dyDescent="0.3">
      <c r="F13880" s="193"/>
    </row>
    <row r="13881" spans="6:6" x14ac:dyDescent="0.3">
      <c r="F13881" s="193"/>
    </row>
    <row r="13882" spans="6:6" x14ac:dyDescent="0.3">
      <c r="F13882" s="193"/>
    </row>
    <row r="13883" spans="6:6" x14ac:dyDescent="0.3">
      <c r="F13883" s="193"/>
    </row>
    <row r="13884" spans="6:6" x14ac:dyDescent="0.3">
      <c r="F13884" s="193"/>
    </row>
    <row r="13885" spans="6:6" x14ac:dyDescent="0.3">
      <c r="F13885" s="193"/>
    </row>
    <row r="13886" spans="6:6" x14ac:dyDescent="0.3">
      <c r="F13886" s="193"/>
    </row>
    <row r="13887" spans="6:6" x14ac:dyDescent="0.3">
      <c r="F13887" s="193"/>
    </row>
    <row r="13888" spans="6:6" x14ac:dyDescent="0.3">
      <c r="F13888" s="193"/>
    </row>
    <row r="13889" spans="6:6" x14ac:dyDescent="0.3">
      <c r="F13889" s="193"/>
    </row>
    <row r="13890" spans="6:6" x14ac:dyDescent="0.3">
      <c r="F13890" s="193"/>
    </row>
    <row r="13891" spans="6:6" x14ac:dyDescent="0.3">
      <c r="F13891" s="193"/>
    </row>
    <row r="13892" spans="6:6" x14ac:dyDescent="0.3">
      <c r="F13892" s="193"/>
    </row>
    <row r="13893" spans="6:6" x14ac:dyDescent="0.3">
      <c r="F13893" s="193"/>
    </row>
    <row r="13894" spans="6:6" x14ac:dyDescent="0.3">
      <c r="F13894" s="193"/>
    </row>
    <row r="13895" spans="6:6" x14ac:dyDescent="0.3">
      <c r="F13895" s="193"/>
    </row>
    <row r="13896" spans="6:6" x14ac:dyDescent="0.3">
      <c r="F13896" s="193"/>
    </row>
    <row r="13897" spans="6:6" x14ac:dyDescent="0.3">
      <c r="F13897" s="193"/>
    </row>
    <row r="13898" spans="6:6" x14ac:dyDescent="0.3">
      <c r="F13898" s="193"/>
    </row>
    <row r="13899" spans="6:6" x14ac:dyDescent="0.3">
      <c r="F13899" s="193"/>
    </row>
    <row r="13900" spans="6:6" x14ac:dyDescent="0.3">
      <c r="F13900" s="193"/>
    </row>
    <row r="13901" spans="6:6" x14ac:dyDescent="0.3">
      <c r="F13901" s="193"/>
    </row>
    <row r="13902" spans="6:6" x14ac:dyDescent="0.3">
      <c r="F13902" s="193"/>
    </row>
    <row r="13903" spans="6:6" x14ac:dyDescent="0.3">
      <c r="F13903" s="193"/>
    </row>
    <row r="13904" spans="6:6" x14ac:dyDescent="0.3">
      <c r="F13904" s="193"/>
    </row>
    <row r="13905" spans="6:6" x14ac:dyDescent="0.3">
      <c r="F13905" s="193"/>
    </row>
    <row r="13906" spans="6:6" x14ac:dyDescent="0.3">
      <c r="F13906" s="193"/>
    </row>
    <row r="13907" spans="6:6" x14ac:dyDescent="0.3">
      <c r="F13907" s="193"/>
    </row>
    <row r="13908" spans="6:6" x14ac:dyDescent="0.3">
      <c r="F13908" s="193"/>
    </row>
    <row r="13909" spans="6:6" x14ac:dyDescent="0.3">
      <c r="F13909" s="193"/>
    </row>
    <row r="13910" spans="6:6" x14ac:dyDescent="0.3">
      <c r="F13910" s="193"/>
    </row>
    <row r="13911" spans="6:6" x14ac:dyDescent="0.3">
      <c r="F13911" s="193"/>
    </row>
    <row r="13912" spans="6:6" x14ac:dyDescent="0.3">
      <c r="F13912" s="193"/>
    </row>
    <row r="13913" spans="6:6" x14ac:dyDescent="0.3">
      <c r="F13913" s="193"/>
    </row>
    <row r="13914" spans="6:6" x14ac:dyDescent="0.3">
      <c r="F13914" s="193"/>
    </row>
    <row r="13915" spans="6:6" x14ac:dyDescent="0.3">
      <c r="F13915" s="193"/>
    </row>
    <row r="13916" spans="6:6" x14ac:dyDescent="0.3">
      <c r="F13916" s="193"/>
    </row>
    <row r="13917" spans="6:6" x14ac:dyDescent="0.3">
      <c r="F13917" s="193"/>
    </row>
    <row r="13918" spans="6:6" x14ac:dyDescent="0.3">
      <c r="F13918" s="193"/>
    </row>
    <row r="13919" spans="6:6" x14ac:dyDescent="0.3">
      <c r="F13919" s="193"/>
    </row>
    <row r="13920" spans="6:6" x14ac:dyDescent="0.3">
      <c r="F13920" s="193"/>
    </row>
    <row r="13921" spans="6:6" x14ac:dyDescent="0.3">
      <c r="F13921" s="193"/>
    </row>
    <row r="13922" spans="6:6" x14ac:dyDescent="0.3">
      <c r="F13922" s="193"/>
    </row>
    <row r="13923" spans="6:6" x14ac:dyDescent="0.3">
      <c r="F13923" s="193"/>
    </row>
    <row r="13924" spans="6:6" x14ac:dyDescent="0.3">
      <c r="F13924" s="193"/>
    </row>
    <row r="13925" spans="6:6" x14ac:dyDescent="0.3">
      <c r="F13925" s="193"/>
    </row>
    <row r="13926" spans="6:6" x14ac:dyDescent="0.3">
      <c r="F13926" s="193"/>
    </row>
    <row r="13927" spans="6:6" x14ac:dyDescent="0.3">
      <c r="F13927" s="193"/>
    </row>
    <row r="13928" spans="6:6" x14ac:dyDescent="0.3">
      <c r="F13928" s="193"/>
    </row>
    <row r="13929" spans="6:6" x14ac:dyDescent="0.3">
      <c r="F13929" s="193"/>
    </row>
    <row r="13930" spans="6:6" x14ac:dyDescent="0.3">
      <c r="F13930" s="193"/>
    </row>
    <row r="13931" spans="6:6" x14ac:dyDescent="0.3">
      <c r="F13931" s="193"/>
    </row>
    <row r="13932" spans="6:6" x14ac:dyDescent="0.3">
      <c r="F13932" s="193"/>
    </row>
    <row r="13933" spans="6:6" x14ac:dyDescent="0.3">
      <c r="F13933" s="193"/>
    </row>
    <row r="13934" spans="6:6" x14ac:dyDescent="0.3">
      <c r="F13934" s="193"/>
    </row>
    <row r="13935" spans="6:6" x14ac:dyDescent="0.3">
      <c r="F13935" s="193"/>
    </row>
    <row r="13936" spans="6:6" x14ac:dyDescent="0.3">
      <c r="F13936" s="193"/>
    </row>
    <row r="13937" spans="6:6" x14ac:dyDescent="0.3">
      <c r="F13937" s="193"/>
    </row>
    <row r="13938" spans="6:6" x14ac:dyDescent="0.3">
      <c r="F13938" s="193"/>
    </row>
    <row r="13939" spans="6:6" x14ac:dyDescent="0.3">
      <c r="F13939" s="193"/>
    </row>
    <row r="13940" spans="6:6" x14ac:dyDescent="0.3">
      <c r="F13940" s="193"/>
    </row>
    <row r="13941" spans="6:6" x14ac:dyDescent="0.3">
      <c r="F13941" s="193"/>
    </row>
    <row r="13942" spans="6:6" x14ac:dyDescent="0.3">
      <c r="F13942" s="193"/>
    </row>
    <row r="13943" spans="6:6" x14ac:dyDescent="0.3">
      <c r="F13943" s="193"/>
    </row>
    <row r="13944" spans="6:6" x14ac:dyDescent="0.3">
      <c r="F13944" s="193"/>
    </row>
    <row r="13945" spans="6:6" x14ac:dyDescent="0.3">
      <c r="F13945" s="193"/>
    </row>
    <row r="13946" spans="6:6" x14ac:dyDescent="0.3">
      <c r="F13946" s="193"/>
    </row>
    <row r="13947" spans="6:6" x14ac:dyDescent="0.3">
      <c r="F13947" s="193"/>
    </row>
    <row r="13948" spans="6:6" x14ac:dyDescent="0.3">
      <c r="F13948" s="193"/>
    </row>
    <row r="13949" spans="6:6" x14ac:dyDescent="0.3">
      <c r="F13949" s="193"/>
    </row>
    <row r="13950" spans="6:6" x14ac:dyDescent="0.3">
      <c r="F13950" s="193"/>
    </row>
    <row r="13951" spans="6:6" x14ac:dyDescent="0.3">
      <c r="F13951" s="193"/>
    </row>
    <row r="13952" spans="6:6" x14ac:dyDescent="0.3">
      <c r="F13952" s="193"/>
    </row>
    <row r="13953" spans="6:6" x14ac:dyDescent="0.3">
      <c r="F13953" s="193"/>
    </row>
    <row r="13954" spans="6:6" x14ac:dyDescent="0.3">
      <c r="F13954" s="193"/>
    </row>
    <row r="13955" spans="6:6" x14ac:dyDescent="0.3">
      <c r="F13955" s="193"/>
    </row>
    <row r="13956" spans="6:6" x14ac:dyDescent="0.3">
      <c r="F13956" s="193"/>
    </row>
    <row r="13957" spans="6:6" x14ac:dyDescent="0.3">
      <c r="F13957" s="193"/>
    </row>
    <row r="13958" spans="6:6" x14ac:dyDescent="0.3">
      <c r="F13958" s="193"/>
    </row>
    <row r="13959" spans="6:6" x14ac:dyDescent="0.3">
      <c r="F13959" s="193"/>
    </row>
    <row r="13960" spans="6:6" x14ac:dyDescent="0.3">
      <c r="F13960" s="193"/>
    </row>
    <row r="13961" spans="6:6" x14ac:dyDescent="0.3">
      <c r="F13961" s="193"/>
    </row>
    <row r="13962" spans="6:6" x14ac:dyDescent="0.3">
      <c r="F13962" s="193"/>
    </row>
    <row r="13963" spans="6:6" x14ac:dyDescent="0.3">
      <c r="F13963" s="193"/>
    </row>
    <row r="13964" spans="6:6" x14ac:dyDescent="0.3">
      <c r="F13964" s="193"/>
    </row>
    <row r="13965" spans="6:6" x14ac:dyDescent="0.3">
      <c r="F13965" s="193"/>
    </row>
    <row r="13966" spans="6:6" x14ac:dyDescent="0.3">
      <c r="F13966" s="193"/>
    </row>
    <row r="13967" spans="6:6" x14ac:dyDescent="0.3">
      <c r="F13967" s="193"/>
    </row>
    <row r="13968" spans="6:6" x14ac:dyDescent="0.3">
      <c r="F13968" s="193"/>
    </row>
    <row r="13969" spans="6:6" x14ac:dyDescent="0.3">
      <c r="F13969" s="193"/>
    </row>
    <row r="13970" spans="6:6" x14ac:dyDescent="0.3">
      <c r="F13970" s="193"/>
    </row>
    <row r="13971" spans="6:6" x14ac:dyDescent="0.3">
      <c r="F13971" s="193"/>
    </row>
    <row r="13972" spans="6:6" x14ac:dyDescent="0.3">
      <c r="F13972" s="193"/>
    </row>
    <row r="13973" spans="6:6" x14ac:dyDescent="0.3">
      <c r="F13973" s="193"/>
    </row>
    <row r="13974" spans="6:6" x14ac:dyDescent="0.3">
      <c r="F13974" s="193"/>
    </row>
    <row r="13975" spans="6:6" x14ac:dyDescent="0.3">
      <c r="F13975" s="193"/>
    </row>
    <row r="13976" spans="6:6" x14ac:dyDescent="0.3">
      <c r="F13976" s="193"/>
    </row>
    <row r="13977" spans="6:6" x14ac:dyDescent="0.3">
      <c r="F13977" s="193"/>
    </row>
    <row r="13978" spans="6:6" x14ac:dyDescent="0.3">
      <c r="F13978" s="193"/>
    </row>
    <row r="13979" spans="6:6" x14ac:dyDescent="0.3">
      <c r="F13979" s="193"/>
    </row>
    <row r="13980" spans="6:6" x14ac:dyDescent="0.3">
      <c r="F13980" s="193"/>
    </row>
    <row r="13981" spans="6:6" x14ac:dyDescent="0.3">
      <c r="F13981" s="193"/>
    </row>
    <row r="13982" spans="6:6" x14ac:dyDescent="0.3">
      <c r="F13982" s="193"/>
    </row>
    <row r="13983" spans="6:6" x14ac:dyDescent="0.3">
      <c r="F13983" s="193"/>
    </row>
    <row r="13984" spans="6:6" x14ac:dyDescent="0.3">
      <c r="F13984" s="193"/>
    </row>
    <row r="13985" spans="6:6" x14ac:dyDescent="0.3">
      <c r="F13985" s="193"/>
    </row>
    <row r="13986" spans="6:6" x14ac:dyDescent="0.3">
      <c r="F13986" s="193"/>
    </row>
    <row r="13987" spans="6:6" x14ac:dyDescent="0.3">
      <c r="F13987" s="193"/>
    </row>
    <row r="13988" spans="6:6" x14ac:dyDescent="0.3">
      <c r="F13988" s="193"/>
    </row>
    <row r="13989" spans="6:6" x14ac:dyDescent="0.3">
      <c r="F13989" s="193"/>
    </row>
    <row r="13990" spans="6:6" x14ac:dyDescent="0.3">
      <c r="F13990" s="193"/>
    </row>
    <row r="13991" spans="6:6" x14ac:dyDescent="0.3">
      <c r="F13991" s="193"/>
    </row>
    <row r="13992" spans="6:6" x14ac:dyDescent="0.3">
      <c r="F13992" s="193"/>
    </row>
    <row r="13993" spans="6:6" x14ac:dyDescent="0.3">
      <c r="F13993" s="193"/>
    </row>
    <row r="13994" spans="6:6" x14ac:dyDescent="0.3">
      <c r="F13994" s="193"/>
    </row>
    <row r="13995" spans="6:6" x14ac:dyDescent="0.3">
      <c r="F13995" s="193"/>
    </row>
    <row r="13996" spans="6:6" x14ac:dyDescent="0.3">
      <c r="F13996" s="193"/>
    </row>
    <row r="13997" spans="6:6" x14ac:dyDescent="0.3">
      <c r="F13997" s="193"/>
    </row>
    <row r="13998" spans="6:6" x14ac:dyDescent="0.3">
      <c r="F13998" s="193"/>
    </row>
    <row r="13999" spans="6:6" x14ac:dyDescent="0.3">
      <c r="F13999" s="193"/>
    </row>
    <row r="14000" spans="6:6" x14ac:dyDescent="0.3">
      <c r="F14000" s="193"/>
    </row>
    <row r="14001" spans="6:6" x14ac:dyDescent="0.3">
      <c r="F14001" s="193"/>
    </row>
    <row r="14002" spans="6:6" x14ac:dyDescent="0.3">
      <c r="F14002" s="193"/>
    </row>
    <row r="14003" spans="6:6" x14ac:dyDescent="0.3">
      <c r="F14003" s="193"/>
    </row>
    <row r="14004" spans="6:6" x14ac:dyDescent="0.3">
      <c r="F14004" s="193"/>
    </row>
    <row r="14005" spans="6:6" x14ac:dyDescent="0.3">
      <c r="F14005" s="193"/>
    </row>
    <row r="14006" spans="6:6" x14ac:dyDescent="0.3">
      <c r="F14006" s="193"/>
    </row>
    <row r="14007" spans="6:6" x14ac:dyDescent="0.3">
      <c r="F14007" s="193"/>
    </row>
    <row r="14008" spans="6:6" x14ac:dyDescent="0.3">
      <c r="F14008" s="193"/>
    </row>
    <row r="14009" spans="6:6" x14ac:dyDescent="0.3">
      <c r="F14009" s="193"/>
    </row>
    <row r="14010" spans="6:6" x14ac:dyDescent="0.3">
      <c r="F14010" s="193"/>
    </row>
    <row r="14011" spans="6:6" x14ac:dyDescent="0.3">
      <c r="F14011" s="193"/>
    </row>
    <row r="14012" spans="6:6" x14ac:dyDescent="0.3">
      <c r="F14012" s="193"/>
    </row>
    <row r="14013" spans="6:6" x14ac:dyDescent="0.3">
      <c r="F14013" s="193"/>
    </row>
    <row r="14014" spans="6:6" x14ac:dyDescent="0.3">
      <c r="F14014" s="193"/>
    </row>
    <row r="14015" spans="6:6" x14ac:dyDescent="0.3">
      <c r="F14015" s="193"/>
    </row>
    <row r="14016" spans="6:6" x14ac:dyDescent="0.3">
      <c r="F14016" s="193"/>
    </row>
    <row r="14017" spans="6:6" x14ac:dyDescent="0.3">
      <c r="F14017" s="193"/>
    </row>
    <row r="14018" spans="6:6" x14ac:dyDescent="0.3">
      <c r="F14018" s="193"/>
    </row>
    <row r="14019" spans="6:6" x14ac:dyDescent="0.3">
      <c r="F14019" s="193"/>
    </row>
    <row r="14020" spans="6:6" x14ac:dyDescent="0.3">
      <c r="F14020" s="193"/>
    </row>
    <row r="14021" spans="6:6" x14ac:dyDescent="0.3">
      <c r="F14021" s="193"/>
    </row>
    <row r="14022" spans="6:6" x14ac:dyDescent="0.3">
      <c r="F14022" s="193"/>
    </row>
    <row r="14023" spans="6:6" x14ac:dyDescent="0.3">
      <c r="F14023" s="193"/>
    </row>
    <row r="14024" spans="6:6" x14ac:dyDescent="0.3">
      <c r="F14024" s="193"/>
    </row>
    <row r="14025" spans="6:6" x14ac:dyDescent="0.3">
      <c r="F14025" s="193"/>
    </row>
    <row r="14026" spans="6:6" x14ac:dyDescent="0.3">
      <c r="F14026" s="193"/>
    </row>
    <row r="14027" spans="6:6" x14ac:dyDescent="0.3">
      <c r="F14027" s="193"/>
    </row>
    <row r="14028" spans="6:6" x14ac:dyDescent="0.3">
      <c r="F14028" s="193"/>
    </row>
    <row r="14029" spans="6:6" x14ac:dyDescent="0.3">
      <c r="F14029" s="193"/>
    </row>
    <row r="14030" spans="6:6" x14ac:dyDescent="0.3">
      <c r="F14030" s="193"/>
    </row>
    <row r="14031" spans="6:6" x14ac:dyDescent="0.3">
      <c r="F14031" s="193"/>
    </row>
    <row r="14032" spans="6:6" x14ac:dyDescent="0.3">
      <c r="F14032" s="193"/>
    </row>
    <row r="14033" spans="6:6" x14ac:dyDescent="0.3">
      <c r="F14033" s="193"/>
    </row>
    <row r="14034" spans="6:6" x14ac:dyDescent="0.3">
      <c r="F14034" s="193"/>
    </row>
    <row r="14035" spans="6:6" x14ac:dyDescent="0.3">
      <c r="F14035" s="193"/>
    </row>
    <row r="14036" spans="6:6" x14ac:dyDescent="0.3">
      <c r="F14036" s="193"/>
    </row>
    <row r="14037" spans="6:6" x14ac:dyDescent="0.3">
      <c r="F14037" s="193"/>
    </row>
    <row r="14038" spans="6:6" x14ac:dyDescent="0.3">
      <c r="F14038" s="193"/>
    </row>
    <row r="14039" spans="6:6" x14ac:dyDescent="0.3">
      <c r="F14039" s="193"/>
    </row>
    <row r="14040" spans="6:6" x14ac:dyDescent="0.3">
      <c r="F14040" s="193"/>
    </row>
    <row r="14041" spans="6:6" x14ac:dyDescent="0.3">
      <c r="F14041" s="193"/>
    </row>
    <row r="14042" spans="6:6" x14ac:dyDescent="0.3">
      <c r="F14042" s="193"/>
    </row>
    <row r="14043" spans="6:6" x14ac:dyDescent="0.3">
      <c r="F14043" s="193"/>
    </row>
    <row r="14044" spans="6:6" x14ac:dyDescent="0.3">
      <c r="F14044" s="193"/>
    </row>
    <row r="14045" spans="6:6" x14ac:dyDescent="0.3">
      <c r="F14045" s="193"/>
    </row>
    <row r="14046" spans="6:6" x14ac:dyDescent="0.3">
      <c r="F14046" s="193"/>
    </row>
    <row r="14047" spans="6:6" x14ac:dyDescent="0.3">
      <c r="F14047" s="193"/>
    </row>
    <row r="14048" spans="6:6" x14ac:dyDescent="0.3">
      <c r="F14048" s="193"/>
    </row>
    <row r="14049" spans="6:6" x14ac:dyDescent="0.3">
      <c r="F14049" s="193"/>
    </row>
    <row r="14050" spans="6:6" x14ac:dyDescent="0.3">
      <c r="F14050" s="193"/>
    </row>
    <row r="14051" spans="6:6" x14ac:dyDescent="0.3">
      <c r="F14051" s="193"/>
    </row>
    <row r="14052" spans="6:6" x14ac:dyDescent="0.3">
      <c r="F14052" s="193"/>
    </row>
    <row r="14053" spans="6:6" x14ac:dyDescent="0.3">
      <c r="F14053" s="193"/>
    </row>
    <row r="14054" spans="6:6" x14ac:dyDescent="0.3">
      <c r="F14054" s="193"/>
    </row>
    <row r="14055" spans="6:6" x14ac:dyDescent="0.3">
      <c r="F14055" s="193"/>
    </row>
    <row r="14056" spans="6:6" x14ac:dyDescent="0.3">
      <c r="F14056" s="193"/>
    </row>
    <row r="14057" spans="6:6" x14ac:dyDescent="0.3">
      <c r="F14057" s="193"/>
    </row>
    <row r="14058" spans="6:6" x14ac:dyDescent="0.3">
      <c r="F14058" s="193"/>
    </row>
    <row r="14059" spans="6:6" x14ac:dyDescent="0.3">
      <c r="F14059" s="193"/>
    </row>
    <row r="14060" spans="6:6" x14ac:dyDescent="0.3">
      <c r="F14060" s="193"/>
    </row>
    <row r="14061" spans="6:6" x14ac:dyDescent="0.3">
      <c r="F14061" s="193"/>
    </row>
    <row r="14062" spans="6:6" x14ac:dyDescent="0.3">
      <c r="F14062" s="193"/>
    </row>
    <row r="14063" spans="6:6" x14ac:dyDescent="0.3">
      <c r="F14063" s="193"/>
    </row>
    <row r="14064" spans="6:6" x14ac:dyDescent="0.3">
      <c r="F14064" s="193"/>
    </row>
    <row r="14065" spans="6:6" x14ac:dyDescent="0.3">
      <c r="F14065" s="193"/>
    </row>
    <row r="14066" spans="6:6" x14ac:dyDescent="0.3">
      <c r="F14066" s="193"/>
    </row>
    <row r="14067" spans="6:6" x14ac:dyDescent="0.3">
      <c r="F14067" s="193"/>
    </row>
    <row r="14068" spans="6:6" x14ac:dyDescent="0.3">
      <c r="F14068" s="193"/>
    </row>
    <row r="14069" spans="6:6" x14ac:dyDescent="0.3">
      <c r="F14069" s="193"/>
    </row>
    <row r="14070" spans="6:6" x14ac:dyDescent="0.3">
      <c r="F14070" s="193"/>
    </row>
    <row r="14071" spans="6:6" x14ac:dyDescent="0.3">
      <c r="F14071" s="193"/>
    </row>
    <row r="14072" spans="6:6" x14ac:dyDescent="0.3">
      <c r="F14072" s="193"/>
    </row>
    <row r="14073" spans="6:6" x14ac:dyDescent="0.3">
      <c r="F14073" s="193"/>
    </row>
    <row r="14074" spans="6:6" x14ac:dyDescent="0.3">
      <c r="F14074" s="193"/>
    </row>
    <row r="14075" spans="6:6" x14ac:dyDescent="0.3">
      <c r="F14075" s="193"/>
    </row>
    <row r="14076" spans="6:6" x14ac:dyDescent="0.3">
      <c r="F14076" s="193"/>
    </row>
    <row r="14077" spans="6:6" x14ac:dyDescent="0.3">
      <c r="F14077" s="193"/>
    </row>
    <row r="14078" spans="6:6" x14ac:dyDescent="0.3">
      <c r="F14078" s="193"/>
    </row>
    <row r="14079" spans="6:6" x14ac:dyDescent="0.3">
      <c r="F14079" s="193"/>
    </row>
    <row r="14080" spans="6:6" x14ac:dyDescent="0.3">
      <c r="F14080" s="193"/>
    </row>
    <row r="14081" spans="6:6" x14ac:dyDescent="0.3">
      <c r="F14081" s="193"/>
    </row>
    <row r="14082" spans="6:6" x14ac:dyDescent="0.3">
      <c r="F14082" s="193"/>
    </row>
    <row r="14083" spans="6:6" x14ac:dyDescent="0.3">
      <c r="F14083" s="193"/>
    </row>
    <row r="14084" spans="6:6" x14ac:dyDescent="0.3">
      <c r="F14084" s="193"/>
    </row>
    <row r="14085" spans="6:6" x14ac:dyDescent="0.3">
      <c r="F14085" s="193"/>
    </row>
    <row r="14086" spans="6:6" x14ac:dyDescent="0.3">
      <c r="F14086" s="193"/>
    </row>
    <row r="14087" spans="6:6" x14ac:dyDescent="0.3">
      <c r="F14087" s="193"/>
    </row>
    <row r="14088" spans="6:6" x14ac:dyDescent="0.3">
      <c r="F14088" s="193"/>
    </row>
    <row r="14089" spans="6:6" x14ac:dyDescent="0.3">
      <c r="F14089" s="193"/>
    </row>
    <row r="14090" spans="6:6" x14ac:dyDescent="0.3">
      <c r="F14090" s="193"/>
    </row>
    <row r="14091" spans="6:6" x14ac:dyDescent="0.3">
      <c r="F14091" s="193"/>
    </row>
    <row r="14092" spans="6:6" x14ac:dyDescent="0.3">
      <c r="F14092" s="193"/>
    </row>
    <row r="14093" spans="6:6" x14ac:dyDescent="0.3">
      <c r="F14093" s="193"/>
    </row>
    <row r="14094" spans="6:6" x14ac:dyDescent="0.3">
      <c r="F14094" s="193"/>
    </row>
    <row r="14095" spans="6:6" x14ac:dyDescent="0.3">
      <c r="F14095" s="193"/>
    </row>
    <row r="14096" spans="6:6" x14ac:dyDescent="0.3">
      <c r="F14096" s="193"/>
    </row>
    <row r="14097" spans="6:6" x14ac:dyDescent="0.3">
      <c r="F14097" s="193"/>
    </row>
    <row r="14098" spans="6:6" x14ac:dyDescent="0.3">
      <c r="F14098" s="193"/>
    </row>
    <row r="14099" spans="6:6" x14ac:dyDescent="0.3">
      <c r="F14099" s="193"/>
    </row>
    <row r="14100" spans="6:6" x14ac:dyDescent="0.3">
      <c r="F14100" s="193"/>
    </row>
    <row r="14101" spans="6:6" x14ac:dyDescent="0.3">
      <c r="F14101" s="193"/>
    </row>
    <row r="14102" spans="6:6" x14ac:dyDescent="0.3">
      <c r="F14102" s="193"/>
    </row>
    <row r="14103" spans="6:6" x14ac:dyDescent="0.3">
      <c r="F14103" s="193"/>
    </row>
    <row r="14104" spans="6:6" x14ac:dyDescent="0.3">
      <c r="F14104" s="193"/>
    </row>
    <row r="14105" spans="6:6" x14ac:dyDescent="0.3">
      <c r="F14105" s="193"/>
    </row>
    <row r="14106" spans="6:6" x14ac:dyDescent="0.3">
      <c r="F14106" s="193"/>
    </row>
    <row r="14107" spans="6:6" x14ac:dyDescent="0.3">
      <c r="F14107" s="193"/>
    </row>
    <row r="14108" spans="6:6" x14ac:dyDescent="0.3">
      <c r="F14108" s="193"/>
    </row>
    <row r="14109" spans="6:6" x14ac:dyDescent="0.3">
      <c r="F14109" s="193"/>
    </row>
    <row r="14110" spans="6:6" x14ac:dyDescent="0.3">
      <c r="F14110" s="193"/>
    </row>
    <row r="14111" spans="6:6" x14ac:dyDescent="0.3">
      <c r="F14111" s="193"/>
    </row>
    <row r="14112" spans="6:6" x14ac:dyDescent="0.3">
      <c r="F14112" s="193"/>
    </row>
    <row r="14113" spans="6:6" x14ac:dyDescent="0.3">
      <c r="F14113" s="193"/>
    </row>
    <row r="14114" spans="6:6" x14ac:dyDescent="0.3">
      <c r="F14114" s="193"/>
    </row>
    <row r="14115" spans="6:6" x14ac:dyDescent="0.3">
      <c r="F14115" s="193"/>
    </row>
    <row r="14116" spans="6:6" x14ac:dyDescent="0.3">
      <c r="F14116" s="193"/>
    </row>
    <row r="14117" spans="6:6" x14ac:dyDescent="0.3">
      <c r="F14117" s="193"/>
    </row>
    <row r="14118" spans="6:6" x14ac:dyDescent="0.3">
      <c r="F14118" s="193"/>
    </row>
    <row r="14119" spans="6:6" x14ac:dyDescent="0.3">
      <c r="F14119" s="193"/>
    </row>
    <row r="14120" spans="6:6" x14ac:dyDescent="0.3">
      <c r="F14120" s="193"/>
    </row>
    <row r="14121" spans="6:6" x14ac:dyDescent="0.3">
      <c r="F14121" s="193"/>
    </row>
    <row r="14122" spans="6:6" x14ac:dyDescent="0.3">
      <c r="F14122" s="193"/>
    </row>
    <row r="14123" spans="6:6" x14ac:dyDescent="0.3">
      <c r="F14123" s="193"/>
    </row>
    <row r="14124" spans="6:6" x14ac:dyDescent="0.3">
      <c r="F14124" s="193"/>
    </row>
    <row r="14125" spans="6:6" x14ac:dyDescent="0.3">
      <c r="F14125" s="193"/>
    </row>
    <row r="14126" spans="6:6" x14ac:dyDescent="0.3">
      <c r="F14126" s="193"/>
    </row>
    <row r="14127" spans="6:6" x14ac:dyDescent="0.3">
      <c r="F14127" s="193"/>
    </row>
    <row r="14128" spans="6:6" x14ac:dyDescent="0.3">
      <c r="F14128" s="193"/>
    </row>
    <row r="14129" spans="6:6" x14ac:dyDescent="0.3">
      <c r="F14129" s="193"/>
    </row>
    <row r="14130" spans="6:6" x14ac:dyDescent="0.3">
      <c r="F14130" s="193"/>
    </row>
    <row r="14131" spans="6:6" x14ac:dyDescent="0.3">
      <c r="F14131" s="193"/>
    </row>
    <row r="14132" spans="6:6" x14ac:dyDescent="0.3">
      <c r="F14132" s="193"/>
    </row>
    <row r="14133" spans="6:6" x14ac:dyDescent="0.3">
      <c r="F14133" s="193"/>
    </row>
    <row r="14134" spans="6:6" x14ac:dyDescent="0.3">
      <c r="F14134" s="193"/>
    </row>
    <row r="14135" spans="6:6" x14ac:dyDescent="0.3">
      <c r="F14135" s="193"/>
    </row>
    <row r="14136" spans="6:6" x14ac:dyDescent="0.3">
      <c r="F14136" s="193"/>
    </row>
    <row r="14137" spans="6:6" x14ac:dyDescent="0.3">
      <c r="F14137" s="193"/>
    </row>
    <row r="14138" spans="6:6" x14ac:dyDescent="0.3">
      <c r="F14138" s="193"/>
    </row>
    <row r="14139" spans="6:6" x14ac:dyDescent="0.3">
      <c r="F14139" s="193"/>
    </row>
    <row r="14140" spans="6:6" x14ac:dyDescent="0.3">
      <c r="F14140" s="193"/>
    </row>
    <row r="14141" spans="6:6" x14ac:dyDescent="0.3">
      <c r="F14141" s="193"/>
    </row>
    <row r="14142" spans="6:6" x14ac:dyDescent="0.3">
      <c r="F14142" s="193"/>
    </row>
    <row r="14143" spans="6:6" x14ac:dyDescent="0.3">
      <c r="F14143" s="193"/>
    </row>
    <row r="14144" spans="6:6" x14ac:dyDescent="0.3">
      <c r="F14144" s="193"/>
    </row>
    <row r="14145" spans="6:6" x14ac:dyDescent="0.3">
      <c r="F14145" s="193"/>
    </row>
    <row r="14146" spans="6:6" x14ac:dyDescent="0.3">
      <c r="F14146" s="193"/>
    </row>
    <row r="14147" spans="6:6" x14ac:dyDescent="0.3">
      <c r="F14147" s="193"/>
    </row>
    <row r="14148" spans="6:6" x14ac:dyDescent="0.3">
      <c r="F14148" s="193"/>
    </row>
    <row r="14149" spans="6:6" x14ac:dyDescent="0.3">
      <c r="F14149" s="193"/>
    </row>
    <row r="14150" spans="6:6" x14ac:dyDescent="0.3">
      <c r="F14150" s="193"/>
    </row>
    <row r="14151" spans="6:6" x14ac:dyDescent="0.3">
      <c r="F14151" s="193"/>
    </row>
    <row r="14152" spans="6:6" x14ac:dyDescent="0.3">
      <c r="F14152" s="193"/>
    </row>
    <row r="14153" spans="6:6" x14ac:dyDescent="0.3">
      <c r="F14153" s="193"/>
    </row>
    <row r="14154" spans="6:6" x14ac:dyDescent="0.3">
      <c r="F14154" s="193"/>
    </row>
    <row r="14155" spans="6:6" x14ac:dyDescent="0.3">
      <c r="F14155" s="193"/>
    </row>
    <row r="14156" spans="6:6" x14ac:dyDescent="0.3">
      <c r="F14156" s="193"/>
    </row>
    <row r="14157" spans="6:6" x14ac:dyDescent="0.3">
      <c r="F14157" s="193"/>
    </row>
    <row r="14158" spans="6:6" x14ac:dyDescent="0.3">
      <c r="F14158" s="193"/>
    </row>
    <row r="14159" spans="6:6" x14ac:dyDescent="0.3">
      <c r="F14159" s="193"/>
    </row>
    <row r="14160" spans="6:6" x14ac:dyDescent="0.3">
      <c r="F14160" s="193"/>
    </row>
    <row r="14161" spans="6:6" x14ac:dyDescent="0.3">
      <c r="F14161" s="193"/>
    </row>
    <row r="14162" spans="6:6" x14ac:dyDescent="0.3">
      <c r="F14162" s="193"/>
    </row>
    <row r="14163" spans="6:6" x14ac:dyDescent="0.3">
      <c r="F14163" s="193"/>
    </row>
    <row r="14164" spans="6:6" x14ac:dyDescent="0.3">
      <c r="F14164" s="193"/>
    </row>
    <row r="14165" spans="6:6" x14ac:dyDescent="0.3">
      <c r="F14165" s="193"/>
    </row>
    <row r="14166" spans="6:6" x14ac:dyDescent="0.3">
      <c r="F14166" s="193"/>
    </row>
    <row r="14167" spans="6:6" x14ac:dyDescent="0.3">
      <c r="F14167" s="193"/>
    </row>
    <row r="14168" spans="6:6" x14ac:dyDescent="0.3">
      <c r="F14168" s="193"/>
    </row>
    <row r="14169" spans="6:6" x14ac:dyDescent="0.3">
      <c r="F14169" s="193"/>
    </row>
    <row r="14170" spans="6:6" x14ac:dyDescent="0.3">
      <c r="F14170" s="193"/>
    </row>
    <row r="14171" spans="6:6" x14ac:dyDescent="0.3">
      <c r="F14171" s="193"/>
    </row>
    <row r="14172" spans="6:6" x14ac:dyDescent="0.3">
      <c r="F14172" s="193"/>
    </row>
    <row r="14173" spans="6:6" x14ac:dyDescent="0.3">
      <c r="F14173" s="193"/>
    </row>
    <row r="14174" spans="6:6" x14ac:dyDescent="0.3">
      <c r="F14174" s="193"/>
    </row>
    <row r="14175" spans="6:6" x14ac:dyDescent="0.3">
      <c r="F14175" s="193"/>
    </row>
    <row r="14176" spans="6:6" x14ac:dyDescent="0.3">
      <c r="F14176" s="193"/>
    </row>
    <row r="14177" spans="6:6" x14ac:dyDescent="0.3">
      <c r="F14177" s="193"/>
    </row>
    <row r="14178" spans="6:6" x14ac:dyDescent="0.3">
      <c r="F14178" s="193"/>
    </row>
    <row r="14179" spans="6:6" x14ac:dyDescent="0.3">
      <c r="F14179" s="193"/>
    </row>
    <row r="14180" spans="6:6" x14ac:dyDescent="0.3">
      <c r="F14180" s="193"/>
    </row>
    <row r="14181" spans="6:6" x14ac:dyDescent="0.3">
      <c r="F14181" s="193"/>
    </row>
    <row r="14182" spans="6:6" x14ac:dyDescent="0.3">
      <c r="F14182" s="193"/>
    </row>
    <row r="14183" spans="6:6" x14ac:dyDescent="0.3">
      <c r="F14183" s="193"/>
    </row>
    <row r="14184" spans="6:6" x14ac:dyDescent="0.3">
      <c r="F14184" s="193"/>
    </row>
    <row r="14185" spans="6:6" x14ac:dyDescent="0.3">
      <c r="F14185" s="193"/>
    </row>
    <row r="14186" spans="6:6" x14ac:dyDescent="0.3">
      <c r="F14186" s="193"/>
    </row>
    <row r="14187" spans="6:6" x14ac:dyDescent="0.3">
      <c r="F14187" s="193"/>
    </row>
    <row r="14188" spans="6:6" x14ac:dyDescent="0.3">
      <c r="F14188" s="193"/>
    </row>
    <row r="14189" spans="6:6" x14ac:dyDescent="0.3">
      <c r="F14189" s="193"/>
    </row>
    <row r="14190" spans="6:6" x14ac:dyDescent="0.3">
      <c r="F14190" s="193"/>
    </row>
    <row r="14191" spans="6:6" x14ac:dyDescent="0.3">
      <c r="F14191" s="193"/>
    </row>
    <row r="14192" spans="6:6" x14ac:dyDescent="0.3">
      <c r="F14192" s="193"/>
    </row>
    <row r="14193" spans="6:6" x14ac:dyDescent="0.3">
      <c r="F14193" s="193"/>
    </row>
    <row r="14194" spans="6:6" x14ac:dyDescent="0.3">
      <c r="F14194" s="193"/>
    </row>
    <row r="14195" spans="6:6" x14ac:dyDescent="0.3">
      <c r="F14195" s="193"/>
    </row>
    <row r="14196" spans="6:6" x14ac:dyDescent="0.3">
      <c r="F14196" s="193"/>
    </row>
    <row r="14197" spans="6:6" x14ac:dyDescent="0.3">
      <c r="F14197" s="193"/>
    </row>
    <row r="14198" spans="6:6" x14ac:dyDescent="0.3">
      <c r="F14198" s="193"/>
    </row>
    <row r="14199" spans="6:6" x14ac:dyDescent="0.3">
      <c r="F14199" s="193"/>
    </row>
    <row r="14200" spans="6:6" x14ac:dyDescent="0.3">
      <c r="F14200" s="193"/>
    </row>
    <row r="14201" spans="6:6" x14ac:dyDescent="0.3">
      <c r="F14201" s="193"/>
    </row>
    <row r="14202" spans="6:6" x14ac:dyDescent="0.3">
      <c r="F14202" s="193"/>
    </row>
    <row r="14203" spans="6:6" x14ac:dyDescent="0.3">
      <c r="F14203" s="193"/>
    </row>
    <row r="14204" spans="6:6" x14ac:dyDescent="0.3">
      <c r="F14204" s="193"/>
    </row>
    <row r="14205" spans="6:6" x14ac:dyDescent="0.3">
      <c r="F14205" s="193"/>
    </row>
    <row r="14206" spans="6:6" x14ac:dyDescent="0.3">
      <c r="F14206" s="193"/>
    </row>
    <row r="14207" spans="6:6" x14ac:dyDescent="0.3">
      <c r="F14207" s="193"/>
    </row>
    <row r="14208" spans="6:6" x14ac:dyDescent="0.3">
      <c r="F14208" s="193"/>
    </row>
    <row r="14209" spans="6:6" x14ac:dyDescent="0.3">
      <c r="F14209" s="193"/>
    </row>
    <row r="14210" spans="6:6" x14ac:dyDescent="0.3">
      <c r="F14210" s="193"/>
    </row>
    <row r="14211" spans="6:6" x14ac:dyDescent="0.3">
      <c r="F14211" s="193"/>
    </row>
    <row r="14212" spans="6:6" x14ac:dyDescent="0.3">
      <c r="F14212" s="193"/>
    </row>
    <row r="14213" spans="6:6" x14ac:dyDescent="0.3">
      <c r="F14213" s="193"/>
    </row>
    <row r="14214" spans="6:6" x14ac:dyDescent="0.3">
      <c r="F14214" s="193"/>
    </row>
    <row r="14215" spans="6:6" x14ac:dyDescent="0.3">
      <c r="F14215" s="193"/>
    </row>
    <row r="14216" spans="6:6" x14ac:dyDescent="0.3">
      <c r="F14216" s="193"/>
    </row>
    <row r="14217" spans="6:6" x14ac:dyDescent="0.3">
      <c r="F14217" s="193"/>
    </row>
    <row r="14218" spans="6:6" x14ac:dyDescent="0.3">
      <c r="F14218" s="193"/>
    </row>
    <row r="14219" spans="6:6" x14ac:dyDescent="0.3">
      <c r="F14219" s="193"/>
    </row>
    <row r="14220" spans="6:6" x14ac:dyDescent="0.3">
      <c r="F14220" s="193"/>
    </row>
    <row r="14221" spans="6:6" x14ac:dyDescent="0.3">
      <c r="F14221" s="193"/>
    </row>
    <row r="14222" spans="6:6" x14ac:dyDescent="0.3">
      <c r="F14222" s="193"/>
    </row>
    <row r="14223" spans="6:6" x14ac:dyDescent="0.3">
      <c r="F14223" s="193"/>
    </row>
    <row r="14224" spans="6:6" x14ac:dyDescent="0.3">
      <c r="F14224" s="193"/>
    </row>
    <row r="14225" spans="6:6" x14ac:dyDescent="0.3">
      <c r="F14225" s="193"/>
    </row>
    <row r="14226" spans="6:6" x14ac:dyDescent="0.3">
      <c r="F14226" s="193"/>
    </row>
    <row r="14227" spans="6:6" x14ac:dyDescent="0.3">
      <c r="F14227" s="193"/>
    </row>
    <row r="14228" spans="6:6" x14ac:dyDescent="0.3">
      <c r="F14228" s="193"/>
    </row>
    <row r="14229" spans="6:6" x14ac:dyDescent="0.3">
      <c r="F14229" s="193"/>
    </row>
    <row r="14230" spans="6:6" x14ac:dyDescent="0.3">
      <c r="F14230" s="193"/>
    </row>
    <row r="14231" spans="6:6" x14ac:dyDescent="0.3">
      <c r="F14231" s="193"/>
    </row>
    <row r="14232" spans="6:6" x14ac:dyDescent="0.3">
      <c r="F14232" s="193"/>
    </row>
    <row r="14233" spans="6:6" x14ac:dyDescent="0.3">
      <c r="F14233" s="193"/>
    </row>
    <row r="14234" spans="6:6" x14ac:dyDescent="0.3">
      <c r="F14234" s="193"/>
    </row>
    <row r="14235" spans="6:6" x14ac:dyDescent="0.3">
      <c r="F14235" s="193"/>
    </row>
    <row r="14236" spans="6:6" x14ac:dyDescent="0.3">
      <c r="F14236" s="193"/>
    </row>
    <row r="14237" spans="6:6" x14ac:dyDescent="0.3">
      <c r="F14237" s="193"/>
    </row>
    <row r="14238" spans="6:6" x14ac:dyDescent="0.3">
      <c r="F14238" s="193"/>
    </row>
    <row r="14239" spans="6:6" x14ac:dyDescent="0.3">
      <c r="F14239" s="193"/>
    </row>
    <row r="14240" spans="6:6" x14ac:dyDescent="0.3">
      <c r="F14240" s="193"/>
    </row>
    <row r="14241" spans="6:6" x14ac:dyDescent="0.3">
      <c r="F14241" s="193"/>
    </row>
    <row r="14242" spans="6:6" x14ac:dyDescent="0.3">
      <c r="F14242" s="193"/>
    </row>
    <row r="14243" spans="6:6" x14ac:dyDescent="0.3">
      <c r="F14243" s="193"/>
    </row>
    <row r="14244" spans="6:6" x14ac:dyDescent="0.3">
      <c r="F14244" s="193"/>
    </row>
    <row r="14245" spans="6:6" x14ac:dyDescent="0.3">
      <c r="F14245" s="193"/>
    </row>
    <row r="14246" spans="6:6" x14ac:dyDescent="0.3">
      <c r="F14246" s="193"/>
    </row>
    <row r="14247" spans="6:6" x14ac:dyDescent="0.3">
      <c r="F14247" s="193"/>
    </row>
    <row r="14248" spans="6:6" x14ac:dyDescent="0.3">
      <c r="F14248" s="193"/>
    </row>
    <row r="14249" spans="6:6" x14ac:dyDescent="0.3">
      <c r="F14249" s="193"/>
    </row>
    <row r="14250" spans="6:6" x14ac:dyDescent="0.3">
      <c r="F14250" s="193"/>
    </row>
    <row r="14251" spans="6:6" x14ac:dyDescent="0.3">
      <c r="F14251" s="193"/>
    </row>
    <row r="14252" spans="6:6" x14ac:dyDescent="0.3">
      <c r="F14252" s="193"/>
    </row>
    <row r="14253" spans="6:6" x14ac:dyDescent="0.3">
      <c r="F14253" s="193"/>
    </row>
    <row r="14254" spans="6:6" x14ac:dyDescent="0.3">
      <c r="F14254" s="193"/>
    </row>
    <row r="14255" spans="6:6" x14ac:dyDescent="0.3">
      <c r="F14255" s="193"/>
    </row>
    <row r="14256" spans="6:6" x14ac:dyDescent="0.3">
      <c r="F14256" s="193"/>
    </row>
    <row r="14257" spans="6:6" x14ac:dyDescent="0.3">
      <c r="F14257" s="193"/>
    </row>
    <row r="14258" spans="6:6" x14ac:dyDescent="0.3">
      <c r="F14258" s="193"/>
    </row>
    <row r="14259" spans="6:6" x14ac:dyDescent="0.3">
      <c r="F14259" s="193"/>
    </row>
    <row r="14260" spans="6:6" x14ac:dyDescent="0.3">
      <c r="F14260" s="193"/>
    </row>
    <row r="14261" spans="6:6" x14ac:dyDescent="0.3">
      <c r="F14261" s="193"/>
    </row>
    <row r="14262" spans="6:6" x14ac:dyDescent="0.3">
      <c r="F14262" s="193"/>
    </row>
    <row r="14263" spans="6:6" x14ac:dyDescent="0.3">
      <c r="F14263" s="193"/>
    </row>
    <row r="14264" spans="6:6" x14ac:dyDescent="0.3">
      <c r="F14264" s="193"/>
    </row>
    <row r="14265" spans="6:6" x14ac:dyDescent="0.3">
      <c r="F14265" s="193"/>
    </row>
    <row r="14266" spans="6:6" x14ac:dyDescent="0.3">
      <c r="F14266" s="193"/>
    </row>
    <row r="14267" spans="6:6" x14ac:dyDescent="0.3">
      <c r="F14267" s="193"/>
    </row>
    <row r="14268" spans="6:6" x14ac:dyDescent="0.3">
      <c r="F14268" s="193"/>
    </row>
    <row r="14269" spans="6:6" x14ac:dyDescent="0.3">
      <c r="F14269" s="193"/>
    </row>
    <row r="14270" spans="6:6" x14ac:dyDescent="0.3">
      <c r="F14270" s="193"/>
    </row>
    <row r="14271" spans="6:6" x14ac:dyDescent="0.3">
      <c r="F14271" s="193"/>
    </row>
    <row r="14272" spans="6:6" x14ac:dyDescent="0.3">
      <c r="F14272" s="193"/>
    </row>
    <row r="14273" spans="6:6" x14ac:dyDescent="0.3">
      <c r="F14273" s="193"/>
    </row>
    <row r="14274" spans="6:6" x14ac:dyDescent="0.3">
      <c r="F14274" s="193"/>
    </row>
    <row r="14275" spans="6:6" x14ac:dyDescent="0.3">
      <c r="F14275" s="193"/>
    </row>
    <row r="14276" spans="6:6" x14ac:dyDescent="0.3">
      <c r="F14276" s="193"/>
    </row>
    <row r="14277" spans="6:6" x14ac:dyDescent="0.3">
      <c r="F14277" s="193"/>
    </row>
    <row r="14278" spans="6:6" x14ac:dyDescent="0.3">
      <c r="F14278" s="193"/>
    </row>
    <row r="14279" spans="6:6" x14ac:dyDescent="0.3">
      <c r="F14279" s="193"/>
    </row>
    <row r="14280" spans="6:6" x14ac:dyDescent="0.3">
      <c r="F14280" s="193"/>
    </row>
    <row r="14281" spans="6:6" x14ac:dyDescent="0.3">
      <c r="F14281" s="193"/>
    </row>
    <row r="14282" spans="6:6" x14ac:dyDescent="0.3">
      <c r="F14282" s="193"/>
    </row>
    <row r="14283" spans="6:6" x14ac:dyDescent="0.3">
      <c r="F14283" s="193"/>
    </row>
    <row r="14284" spans="6:6" x14ac:dyDescent="0.3">
      <c r="F14284" s="193"/>
    </row>
    <row r="14285" spans="6:6" x14ac:dyDescent="0.3">
      <c r="F14285" s="193"/>
    </row>
    <row r="14286" spans="6:6" x14ac:dyDescent="0.3">
      <c r="F14286" s="193"/>
    </row>
    <row r="14287" spans="6:6" x14ac:dyDescent="0.3">
      <c r="F14287" s="193"/>
    </row>
    <row r="14288" spans="6:6" x14ac:dyDescent="0.3">
      <c r="F14288" s="193"/>
    </row>
    <row r="14289" spans="6:6" x14ac:dyDescent="0.3">
      <c r="F14289" s="193"/>
    </row>
    <row r="14290" spans="6:6" x14ac:dyDescent="0.3">
      <c r="F14290" s="193"/>
    </row>
    <row r="14291" spans="6:6" x14ac:dyDescent="0.3">
      <c r="F14291" s="193"/>
    </row>
    <row r="14292" spans="6:6" x14ac:dyDescent="0.3">
      <c r="F14292" s="193"/>
    </row>
    <row r="14293" spans="6:6" x14ac:dyDescent="0.3">
      <c r="F14293" s="193"/>
    </row>
    <row r="14294" spans="6:6" x14ac:dyDescent="0.3">
      <c r="F14294" s="193"/>
    </row>
    <row r="14295" spans="6:6" x14ac:dyDescent="0.3">
      <c r="F14295" s="193"/>
    </row>
    <row r="14296" spans="6:6" x14ac:dyDescent="0.3">
      <c r="F14296" s="193"/>
    </row>
    <row r="14297" spans="6:6" x14ac:dyDescent="0.3">
      <c r="F14297" s="193"/>
    </row>
    <row r="14298" spans="6:6" x14ac:dyDescent="0.3">
      <c r="F14298" s="193"/>
    </row>
    <row r="14299" spans="6:6" x14ac:dyDescent="0.3">
      <c r="F14299" s="193"/>
    </row>
    <row r="14300" spans="6:6" x14ac:dyDescent="0.3">
      <c r="F14300" s="193"/>
    </row>
    <row r="14301" spans="6:6" x14ac:dyDescent="0.3">
      <c r="F14301" s="193"/>
    </row>
    <row r="14302" spans="6:6" x14ac:dyDescent="0.3">
      <c r="F14302" s="193"/>
    </row>
    <row r="14303" spans="6:6" x14ac:dyDescent="0.3">
      <c r="F14303" s="193"/>
    </row>
    <row r="14304" spans="6:6" x14ac:dyDescent="0.3">
      <c r="F14304" s="193"/>
    </row>
    <row r="14305" spans="6:6" x14ac:dyDescent="0.3">
      <c r="F14305" s="193"/>
    </row>
    <row r="14306" spans="6:6" x14ac:dyDescent="0.3">
      <c r="F14306" s="193"/>
    </row>
    <row r="14307" spans="6:6" x14ac:dyDescent="0.3">
      <c r="F14307" s="193"/>
    </row>
    <row r="14308" spans="6:6" x14ac:dyDescent="0.3">
      <c r="F14308" s="193"/>
    </row>
    <row r="14309" spans="6:6" x14ac:dyDescent="0.3">
      <c r="F14309" s="193"/>
    </row>
    <row r="14310" spans="6:6" x14ac:dyDescent="0.3">
      <c r="F14310" s="193"/>
    </row>
    <row r="14311" spans="6:6" x14ac:dyDescent="0.3">
      <c r="F14311" s="193"/>
    </row>
    <row r="14312" spans="6:6" x14ac:dyDescent="0.3">
      <c r="F14312" s="193"/>
    </row>
    <row r="14313" spans="6:6" x14ac:dyDescent="0.3">
      <c r="F14313" s="193"/>
    </row>
    <row r="14314" spans="6:6" x14ac:dyDescent="0.3">
      <c r="F14314" s="193"/>
    </row>
    <row r="14315" spans="6:6" x14ac:dyDescent="0.3">
      <c r="F14315" s="193"/>
    </row>
    <row r="14316" spans="6:6" x14ac:dyDescent="0.3">
      <c r="F14316" s="193"/>
    </row>
    <row r="14317" spans="6:6" x14ac:dyDescent="0.3">
      <c r="F14317" s="193"/>
    </row>
    <row r="14318" spans="6:6" x14ac:dyDescent="0.3">
      <c r="F14318" s="193"/>
    </row>
    <row r="14319" spans="6:6" x14ac:dyDescent="0.3">
      <c r="F14319" s="193"/>
    </row>
    <row r="14320" spans="6:6" x14ac:dyDescent="0.3">
      <c r="F14320" s="193"/>
    </row>
    <row r="14321" spans="6:6" x14ac:dyDescent="0.3">
      <c r="F14321" s="193"/>
    </row>
    <row r="14322" spans="6:6" x14ac:dyDescent="0.3">
      <c r="F14322" s="193"/>
    </row>
    <row r="14323" spans="6:6" x14ac:dyDescent="0.3">
      <c r="F14323" s="193"/>
    </row>
    <row r="14324" spans="6:6" x14ac:dyDescent="0.3">
      <c r="F14324" s="193"/>
    </row>
    <row r="14325" spans="6:6" x14ac:dyDescent="0.3">
      <c r="F14325" s="193"/>
    </row>
    <row r="14326" spans="6:6" x14ac:dyDescent="0.3">
      <c r="F14326" s="193"/>
    </row>
    <row r="14327" spans="6:6" x14ac:dyDescent="0.3">
      <c r="F14327" s="193"/>
    </row>
    <row r="14328" spans="6:6" x14ac:dyDescent="0.3">
      <c r="F14328" s="193"/>
    </row>
    <row r="14329" spans="6:6" x14ac:dyDescent="0.3">
      <c r="F14329" s="193"/>
    </row>
    <row r="14330" spans="6:6" x14ac:dyDescent="0.3">
      <c r="F14330" s="193"/>
    </row>
    <row r="14331" spans="6:6" x14ac:dyDescent="0.3">
      <c r="F14331" s="193"/>
    </row>
    <row r="14332" spans="6:6" x14ac:dyDescent="0.3">
      <c r="F14332" s="193"/>
    </row>
    <row r="14333" spans="6:6" x14ac:dyDescent="0.3">
      <c r="F14333" s="193"/>
    </row>
    <row r="14334" spans="6:6" x14ac:dyDescent="0.3">
      <c r="F14334" s="193"/>
    </row>
    <row r="14335" spans="6:6" x14ac:dyDescent="0.3">
      <c r="F14335" s="193"/>
    </row>
    <row r="14336" spans="6:6" x14ac:dyDescent="0.3">
      <c r="F14336" s="193"/>
    </row>
    <row r="14337" spans="6:6" x14ac:dyDescent="0.3">
      <c r="F14337" s="193"/>
    </row>
    <row r="14338" spans="6:6" x14ac:dyDescent="0.3">
      <c r="F14338" s="193"/>
    </row>
    <row r="14339" spans="6:6" x14ac:dyDescent="0.3">
      <c r="F14339" s="193"/>
    </row>
    <row r="14340" spans="6:6" x14ac:dyDescent="0.3">
      <c r="F14340" s="193"/>
    </row>
    <row r="14341" spans="6:6" x14ac:dyDescent="0.3">
      <c r="F14341" s="193"/>
    </row>
    <row r="14342" spans="6:6" x14ac:dyDescent="0.3">
      <c r="F14342" s="193"/>
    </row>
    <row r="14343" spans="6:6" x14ac:dyDescent="0.3">
      <c r="F14343" s="193"/>
    </row>
    <row r="14344" spans="6:6" x14ac:dyDescent="0.3">
      <c r="F14344" s="193"/>
    </row>
    <row r="14345" spans="6:6" x14ac:dyDescent="0.3">
      <c r="F14345" s="193"/>
    </row>
    <row r="14346" spans="6:6" x14ac:dyDescent="0.3">
      <c r="F14346" s="193"/>
    </row>
    <row r="14347" spans="6:6" x14ac:dyDescent="0.3">
      <c r="F14347" s="193"/>
    </row>
    <row r="14348" spans="6:6" x14ac:dyDescent="0.3">
      <c r="F14348" s="193"/>
    </row>
    <row r="14349" spans="6:6" x14ac:dyDescent="0.3">
      <c r="F14349" s="193"/>
    </row>
    <row r="14350" spans="6:6" x14ac:dyDescent="0.3">
      <c r="F14350" s="193"/>
    </row>
    <row r="14351" spans="6:6" x14ac:dyDescent="0.3">
      <c r="F14351" s="193"/>
    </row>
    <row r="14352" spans="6:6" x14ac:dyDescent="0.3">
      <c r="F14352" s="193"/>
    </row>
    <row r="14353" spans="6:6" x14ac:dyDescent="0.3">
      <c r="F14353" s="193"/>
    </row>
    <row r="14354" spans="6:6" x14ac:dyDescent="0.3">
      <c r="F14354" s="193"/>
    </row>
    <row r="14355" spans="6:6" x14ac:dyDescent="0.3">
      <c r="F14355" s="193"/>
    </row>
    <row r="14356" spans="6:6" x14ac:dyDescent="0.3">
      <c r="F14356" s="193"/>
    </row>
    <row r="14357" spans="6:6" x14ac:dyDescent="0.3">
      <c r="F14357" s="193"/>
    </row>
    <row r="14358" spans="6:6" x14ac:dyDescent="0.3">
      <c r="F14358" s="193"/>
    </row>
    <row r="14359" spans="6:6" x14ac:dyDescent="0.3">
      <c r="F14359" s="193"/>
    </row>
    <row r="14360" spans="6:6" x14ac:dyDescent="0.3">
      <c r="F14360" s="193"/>
    </row>
    <row r="14361" spans="6:6" x14ac:dyDescent="0.3">
      <c r="F14361" s="193"/>
    </row>
    <row r="14362" spans="6:6" x14ac:dyDescent="0.3">
      <c r="F14362" s="193"/>
    </row>
    <row r="14363" spans="6:6" x14ac:dyDescent="0.3">
      <c r="F14363" s="193"/>
    </row>
    <row r="14364" spans="6:6" x14ac:dyDescent="0.3">
      <c r="F14364" s="193"/>
    </row>
    <row r="14365" spans="6:6" x14ac:dyDescent="0.3">
      <c r="F14365" s="193"/>
    </row>
    <row r="14366" spans="6:6" x14ac:dyDescent="0.3">
      <c r="F14366" s="193"/>
    </row>
    <row r="14367" spans="6:6" x14ac:dyDescent="0.3">
      <c r="F14367" s="193"/>
    </row>
    <row r="14368" spans="6:6" x14ac:dyDescent="0.3">
      <c r="F14368" s="193"/>
    </row>
    <row r="14369" spans="6:6" x14ac:dyDescent="0.3">
      <c r="F14369" s="193"/>
    </row>
    <row r="14370" spans="6:6" x14ac:dyDescent="0.3">
      <c r="F14370" s="193"/>
    </row>
    <row r="14371" spans="6:6" x14ac:dyDescent="0.3">
      <c r="F14371" s="193"/>
    </row>
    <row r="14372" spans="6:6" x14ac:dyDescent="0.3">
      <c r="F14372" s="193"/>
    </row>
    <row r="14373" spans="6:6" x14ac:dyDescent="0.3">
      <c r="F14373" s="193"/>
    </row>
    <row r="14374" spans="6:6" x14ac:dyDescent="0.3">
      <c r="F14374" s="193"/>
    </row>
    <row r="14375" spans="6:6" x14ac:dyDescent="0.3">
      <c r="F14375" s="193"/>
    </row>
    <row r="14376" spans="6:6" x14ac:dyDescent="0.3">
      <c r="F14376" s="193"/>
    </row>
    <row r="14377" spans="6:6" x14ac:dyDescent="0.3">
      <c r="F14377" s="193"/>
    </row>
    <row r="14378" spans="6:6" x14ac:dyDescent="0.3">
      <c r="F14378" s="193"/>
    </row>
    <row r="14379" spans="6:6" x14ac:dyDescent="0.3">
      <c r="F14379" s="193"/>
    </row>
    <row r="14380" spans="6:6" x14ac:dyDescent="0.3">
      <c r="F14380" s="193"/>
    </row>
    <row r="14381" spans="6:6" x14ac:dyDescent="0.3">
      <c r="F14381" s="193"/>
    </row>
    <row r="14382" spans="6:6" x14ac:dyDescent="0.3">
      <c r="F14382" s="193"/>
    </row>
    <row r="14383" spans="6:6" x14ac:dyDescent="0.3">
      <c r="F14383" s="193"/>
    </row>
    <row r="14384" spans="6:6" x14ac:dyDescent="0.3">
      <c r="F14384" s="193"/>
    </row>
    <row r="14385" spans="6:6" x14ac:dyDescent="0.3">
      <c r="F14385" s="193"/>
    </row>
    <row r="14386" spans="6:6" x14ac:dyDescent="0.3">
      <c r="F14386" s="193"/>
    </row>
    <row r="14387" spans="6:6" x14ac:dyDescent="0.3">
      <c r="F14387" s="193"/>
    </row>
    <row r="14388" spans="6:6" x14ac:dyDescent="0.3">
      <c r="F14388" s="193"/>
    </row>
    <row r="14389" spans="6:6" x14ac:dyDescent="0.3">
      <c r="F14389" s="193"/>
    </row>
    <row r="14390" spans="6:6" x14ac:dyDescent="0.3">
      <c r="F14390" s="193"/>
    </row>
    <row r="14391" spans="6:6" x14ac:dyDescent="0.3">
      <c r="F14391" s="193"/>
    </row>
    <row r="14392" spans="6:6" x14ac:dyDescent="0.3">
      <c r="F14392" s="193"/>
    </row>
    <row r="14393" spans="6:6" x14ac:dyDescent="0.3">
      <c r="F14393" s="193"/>
    </row>
    <row r="14394" spans="6:6" x14ac:dyDescent="0.3">
      <c r="F14394" s="193"/>
    </row>
    <row r="14395" spans="6:6" x14ac:dyDescent="0.3">
      <c r="F14395" s="193"/>
    </row>
    <row r="14396" spans="6:6" x14ac:dyDescent="0.3">
      <c r="F14396" s="193"/>
    </row>
    <row r="14397" spans="6:6" x14ac:dyDescent="0.3">
      <c r="F14397" s="193"/>
    </row>
    <row r="14398" spans="6:6" x14ac:dyDescent="0.3">
      <c r="F14398" s="193"/>
    </row>
    <row r="14399" spans="6:6" x14ac:dyDescent="0.3">
      <c r="F14399" s="193"/>
    </row>
    <row r="14400" spans="6:6" x14ac:dyDescent="0.3">
      <c r="F14400" s="193"/>
    </row>
    <row r="14401" spans="6:6" x14ac:dyDescent="0.3">
      <c r="F14401" s="193"/>
    </row>
    <row r="14402" spans="6:6" x14ac:dyDescent="0.3">
      <c r="F14402" s="193"/>
    </row>
    <row r="14403" spans="6:6" x14ac:dyDescent="0.3">
      <c r="F14403" s="193"/>
    </row>
    <row r="14404" spans="6:6" x14ac:dyDescent="0.3">
      <c r="F14404" s="193"/>
    </row>
    <row r="14405" spans="6:6" x14ac:dyDescent="0.3">
      <c r="F14405" s="193"/>
    </row>
    <row r="14406" spans="6:6" x14ac:dyDescent="0.3">
      <c r="F14406" s="193"/>
    </row>
    <row r="14407" spans="6:6" x14ac:dyDescent="0.3">
      <c r="F14407" s="193"/>
    </row>
    <row r="14408" spans="6:6" x14ac:dyDescent="0.3">
      <c r="F14408" s="193"/>
    </row>
    <row r="14409" spans="6:6" x14ac:dyDescent="0.3">
      <c r="F14409" s="193"/>
    </row>
    <row r="14410" spans="6:6" x14ac:dyDescent="0.3">
      <c r="F14410" s="193"/>
    </row>
    <row r="14411" spans="6:6" x14ac:dyDescent="0.3">
      <c r="F14411" s="193"/>
    </row>
    <row r="14412" spans="6:6" x14ac:dyDescent="0.3">
      <c r="F14412" s="193"/>
    </row>
    <row r="14413" spans="6:6" x14ac:dyDescent="0.3">
      <c r="F14413" s="193"/>
    </row>
    <row r="14414" spans="6:6" x14ac:dyDescent="0.3">
      <c r="F14414" s="193"/>
    </row>
    <row r="14415" spans="6:6" x14ac:dyDescent="0.3">
      <c r="F14415" s="193"/>
    </row>
    <row r="14416" spans="6:6" x14ac:dyDescent="0.3">
      <c r="F14416" s="193"/>
    </row>
    <row r="14417" spans="6:6" x14ac:dyDescent="0.3">
      <c r="F14417" s="193"/>
    </row>
    <row r="14418" spans="6:6" x14ac:dyDescent="0.3">
      <c r="F14418" s="193"/>
    </row>
    <row r="14419" spans="6:6" x14ac:dyDescent="0.3">
      <c r="F14419" s="193"/>
    </row>
    <row r="14420" spans="6:6" x14ac:dyDescent="0.3">
      <c r="F14420" s="193"/>
    </row>
    <row r="14421" spans="6:6" x14ac:dyDescent="0.3">
      <c r="F14421" s="193"/>
    </row>
    <row r="14422" spans="6:6" x14ac:dyDescent="0.3">
      <c r="F14422" s="193"/>
    </row>
    <row r="14423" spans="6:6" x14ac:dyDescent="0.3">
      <c r="F14423" s="193"/>
    </row>
    <row r="14424" spans="6:6" x14ac:dyDescent="0.3">
      <c r="F14424" s="193"/>
    </row>
    <row r="14425" spans="6:6" x14ac:dyDescent="0.3">
      <c r="F14425" s="193"/>
    </row>
    <row r="14426" spans="6:6" x14ac:dyDescent="0.3">
      <c r="F14426" s="193"/>
    </row>
    <row r="14427" spans="6:6" x14ac:dyDescent="0.3">
      <c r="F14427" s="193"/>
    </row>
    <row r="14428" spans="6:6" x14ac:dyDescent="0.3">
      <c r="F14428" s="193"/>
    </row>
    <row r="14429" spans="6:6" x14ac:dyDescent="0.3">
      <c r="F14429" s="193"/>
    </row>
    <row r="14430" spans="6:6" x14ac:dyDescent="0.3">
      <c r="F14430" s="193"/>
    </row>
    <row r="14431" spans="6:6" x14ac:dyDescent="0.3">
      <c r="F14431" s="193"/>
    </row>
    <row r="14432" spans="6:6" x14ac:dyDescent="0.3">
      <c r="F14432" s="193"/>
    </row>
    <row r="14433" spans="6:6" x14ac:dyDescent="0.3">
      <c r="F14433" s="193"/>
    </row>
    <row r="14434" spans="6:6" x14ac:dyDescent="0.3">
      <c r="F14434" s="193"/>
    </row>
    <row r="14435" spans="6:6" x14ac:dyDescent="0.3">
      <c r="F14435" s="193"/>
    </row>
    <row r="14436" spans="6:6" x14ac:dyDescent="0.3">
      <c r="F14436" s="193"/>
    </row>
    <row r="14437" spans="6:6" x14ac:dyDescent="0.3">
      <c r="F14437" s="193"/>
    </row>
    <row r="14438" spans="6:6" x14ac:dyDescent="0.3">
      <c r="F14438" s="193"/>
    </row>
    <row r="14439" spans="6:6" x14ac:dyDescent="0.3">
      <c r="F14439" s="193"/>
    </row>
    <row r="14440" spans="6:6" x14ac:dyDescent="0.3">
      <c r="F14440" s="193"/>
    </row>
    <row r="14441" spans="6:6" x14ac:dyDescent="0.3">
      <c r="F14441" s="193"/>
    </row>
    <row r="14442" spans="6:6" x14ac:dyDescent="0.3">
      <c r="F14442" s="193"/>
    </row>
    <row r="14443" spans="6:6" x14ac:dyDescent="0.3">
      <c r="F14443" s="193"/>
    </row>
    <row r="14444" spans="6:6" x14ac:dyDescent="0.3">
      <c r="F14444" s="193"/>
    </row>
    <row r="14445" spans="6:6" x14ac:dyDescent="0.3">
      <c r="F14445" s="193"/>
    </row>
    <row r="14446" spans="6:6" x14ac:dyDescent="0.3">
      <c r="F14446" s="193"/>
    </row>
    <row r="14447" spans="6:6" x14ac:dyDescent="0.3">
      <c r="F14447" s="193"/>
    </row>
    <row r="14448" spans="6:6" x14ac:dyDescent="0.3">
      <c r="F14448" s="193"/>
    </row>
    <row r="14449" spans="6:6" x14ac:dyDescent="0.3">
      <c r="F14449" s="193"/>
    </row>
    <row r="14450" spans="6:6" x14ac:dyDescent="0.3">
      <c r="F14450" s="193"/>
    </row>
    <row r="14451" spans="6:6" x14ac:dyDescent="0.3">
      <c r="F14451" s="193"/>
    </row>
    <row r="14452" spans="6:6" x14ac:dyDescent="0.3">
      <c r="F14452" s="193"/>
    </row>
    <row r="14453" spans="6:6" x14ac:dyDescent="0.3">
      <c r="F14453" s="193"/>
    </row>
    <row r="14454" spans="6:6" x14ac:dyDescent="0.3">
      <c r="F14454" s="193"/>
    </row>
    <row r="14455" spans="6:6" x14ac:dyDescent="0.3">
      <c r="F14455" s="193"/>
    </row>
    <row r="14456" spans="6:6" x14ac:dyDescent="0.3">
      <c r="F14456" s="193"/>
    </row>
    <row r="14457" spans="6:6" x14ac:dyDescent="0.3">
      <c r="F14457" s="193"/>
    </row>
    <row r="14458" spans="6:6" x14ac:dyDescent="0.3">
      <c r="F14458" s="193"/>
    </row>
    <row r="14459" spans="6:6" x14ac:dyDescent="0.3">
      <c r="F14459" s="193"/>
    </row>
    <row r="14460" spans="6:6" x14ac:dyDescent="0.3">
      <c r="F14460" s="193"/>
    </row>
    <row r="14461" spans="6:6" x14ac:dyDescent="0.3">
      <c r="F14461" s="193"/>
    </row>
    <row r="14462" spans="6:6" x14ac:dyDescent="0.3">
      <c r="F14462" s="193"/>
    </row>
    <row r="14463" spans="6:6" x14ac:dyDescent="0.3">
      <c r="F14463" s="193"/>
    </row>
    <row r="14464" spans="6:6" x14ac:dyDescent="0.3">
      <c r="F14464" s="193"/>
    </row>
    <row r="14465" spans="6:6" x14ac:dyDescent="0.3">
      <c r="F14465" s="193"/>
    </row>
    <row r="14466" spans="6:6" x14ac:dyDescent="0.3">
      <c r="F14466" s="193"/>
    </row>
    <row r="14467" spans="6:6" x14ac:dyDescent="0.3">
      <c r="F14467" s="193"/>
    </row>
    <row r="14468" spans="6:6" x14ac:dyDescent="0.3">
      <c r="F14468" s="193"/>
    </row>
    <row r="14469" spans="6:6" x14ac:dyDescent="0.3">
      <c r="F14469" s="193"/>
    </row>
    <row r="14470" spans="6:6" x14ac:dyDescent="0.3">
      <c r="F14470" s="193"/>
    </row>
    <row r="14471" spans="6:6" x14ac:dyDescent="0.3">
      <c r="F14471" s="193"/>
    </row>
    <row r="14472" spans="6:6" x14ac:dyDescent="0.3">
      <c r="F14472" s="193"/>
    </row>
    <row r="14473" spans="6:6" x14ac:dyDescent="0.3">
      <c r="F14473" s="193"/>
    </row>
    <row r="14474" spans="6:6" x14ac:dyDescent="0.3">
      <c r="F14474" s="193"/>
    </row>
    <row r="14475" spans="6:6" x14ac:dyDescent="0.3">
      <c r="F14475" s="193"/>
    </row>
    <row r="14476" spans="6:6" x14ac:dyDescent="0.3">
      <c r="F14476" s="193"/>
    </row>
    <row r="14477" spans="6:6" x14ac:dyDescent="0.3">
      <c r="F14477" s="193"/>
    </row>
    <row r="14478" spans="6:6" x14ac:dyDescent="0.3">
      <c r="F14478" s="193"/>
    </row>
    <row r="14479" spans="6:6" x14ac:dyDescent="0.3">
      <c r="F14479" s="193"/>
    </row>
    <row r="14480" spans="6:6" x14ac:dyDescent="0.3">
      <c r="F14480" s="193"/>
    </row>
    <row r="14481" spans="6:6" x14ac:dyDescent="0.3">
      <c r="F14481" s="193"/>
    </row>
    <row r="14482" spans="6:6" x14ac:dyDescent="0.3">
      <c r="F14482" s="193"/>
    </row>
    <row r="14483" spans="6:6" x14ac:dyDescent="0.3">
      <c r="F14483" s="193"/>
    </row>
    <row r="14484" spans="6:6" x14ac:dyDescent="0.3">
      <c r="F14484" s="193"/>
    </row>
    <row r="14485" spans="6:6" x14ac:dyDescent="0.3">
      <c r="F14485" s="193"/>
    </row>
    <row r="14486" spans="6:6" x14ac:dyDescent="0.3">
      <c r="F14486" s="193"/>
    </row>
    <row r="14487" spans="6:6" x14ac:dyDescent="0.3">
      <c r="F14487" s="193"/>
    </row>
    <row r="14488" spans="6:6" x14ac:dyDescent="0.3">
      <c r="F14488" s="193"/>
    </row>
    <row r="14489" spans="6:6" x14ac:dyDescent="0.3">
      <c r="F14489" s="193"/>
    </row>
    <row r="14490" spans="6:6" x14ac:dyDescent="0.3">
      <c r="F14490" s="193"/>
    </row>
    <row r="14491" spans="6:6" x14ac:dyDescent="0.3">
      <c r="F14491" s="193"/>
    </row>
    <row r="14492" spans="6:6" x14ac:dyDescent="0.3">
      <c r="F14492" s="193"/>
    </row>
    <row r="14493" spans="6:6" x14ac:dyDescent="0.3">
      <c r="F14493" s="193"/>
    </row>
    <row r="14494" spans="6:6" x14ac:dyDescent="0.3">
      <c r="F14494" s="193"/>
    </row>
    <row r="14495" spans="6:6" x14ac:dyDescent="0.3">
      <c r="F14495" s="193"/>
    </row>
    <row r="14496" spans="6:6" x14ac:dyDescent="0.3">
      <c r="F14496" s="193"/>
    </row>
    <row r="14497" spans="6:6" x14ac:dyDescent="0.3">
      <c r="F14497" s="193"/>
    </row>
    <row r="14498" spans="6:6" x14ac:dyDescent="0.3">
      <c r="F14498" s="193"/>
    </row>
    <row r="14499" spans="6:6" x14ac:dyDescent="0.3">
      <c r="F14499" s="193"/>
    </row>
    <row r="14500" spans="6:6" x14ac:dyDescent="0.3">
      <c r="F14500" s="193"/>
    </row>
    <row r="14501" spans="6:6" x14ac:dyDescent="0.3">
      <c r="F14501" s="193"/>
    </row>
    <row r="14502" spans="6:6" x14ac:dyDescent="0.3">
      <c r="F14502" s="193"/>
    </row>
    <row r="14503" spans="6:6" x14ac:dyDescent="0.3">
      <c r="F14503" s="193"/>
    </row>
    <row r="14504" spans="6:6" x14ac:dyDescent="0.3">
      <c r="F14504" s="193"/>
    </row>
    <row r="14505" spans="6:6" x14ac:dyDescent="0.3">
      <c r="F14505" s="193"/>
    </row>
    <row r="14506" spans="6:6" x14ac:dyDescent="0.3">
      <c r="F14506" s="193"/>
    </row>
    <row r="14507" spans="6:6" x14ac:dyDescent="0.3">
      <c r="F14507" s="193"/>
    </row>
    <row r="14508" spans="6:6" x14ac:dyDescent="0.3">
      <c r="F14508" s="193"/>
    </row>
    <row r="14509" spans="6:6" x14ac:dyDescent="0.3">
      <c r="F14509" s="193"/>
    </row>
    <row r="14510" spans="6:6" x14ac:dyDescent="0.3">
      <c r="F14510" s="193"/>
    </row>
    <row r="14511" spans="6:6" x14ac:dyDescent="0.3">
      <c r="F14511" s="193"/>
    </row>
    <row r="14512" spans="6:6" x14ac:dyDescent="0.3">
      <c r="F14512" s="193"/>
    </row>
    <row r="14513" spans="6:6" x14ac:dyDescent="0.3">
      <c r="F14513" s="193"/>
    </row>
    <row r="14514" spans="6:6" x14ac:dyDescent="0.3">
      <c r="F14514" s="193"/>
    </row>
    <row r="14515" spans="6:6" x14ac:dyDescent="0.3">
      <c r="F14515" s="193"/>
    </row>
    <row r="14516" spans="6:6" x14ac:dyDescent="0.3">
      <c r="F14516" s="193"/>
    </row>
    <row r="14517" spans="6:6" x14ac:dyDescent="0.3">
      <c r="F14517" s="193"/>
    </row>
    <row r="14518" spans="6:6" x14ac:dyDescent="0.3">
      <c r="F14518" s="193"/>
    </row>
    <row r="14519" spans="6:6" x14ac:dyDescent="0.3">
      <c r="F14519" s="193"/>
    </row>
    <row r="14520" spans="6:6" x14ac:dyDescent="0.3">
      <c r="F14520" s="193"/>
    </row>
    <row r="14521" spans="6:6" x14ac:dyDescent="0.3">
      <c r="F14521" s="193"/>
    </row>
    <row r="14522" spans="6:6" x14ac:dyDescent="0.3">
      <c r="F14522" s="193"/>
    </row>
    <row r="14523" spans="6:6" x14ac:dyDescent="0.3">
      <c r="F14523" s="193"/>
    </row>
    <row r="14524" spans="6:6" x14ac:dyDescent="0.3">
      <c r="F14524" s="193"/>
    </row>
    <row r="14525" spans="6:6" x14ac:dyDescent="0.3">
      <c r="F14525" s="193"/>
    </row>
    <row r="14526" spans="6:6" x14ac:dyDescent="0.3">
      <c r="F14526" s="193"/>
    </row>
    <row r="14527" spans="6:6" x14ac:dyDescent="0.3">
      <c r="F14527" s="193"/>
    </row>
    <row r="14528" spans="6:6" x14ac:dyDescent="0.3">
      <c r="F14528" s="193"/>
    </row>
    <row r="14529" spans="6:6" x14ac:dyDescent="0.3">
      <c r="F14529" s="193"/>
    </row>
    <row r="14530" spans="6:6" x14ac:dyDescent="0.3">
      <c r="F14530" s="193"/>
    </row>
    <row r="14531" spans="6:6" x14ac:dyDescent="0.3">
      <c r="F14531" s="193"/>
    </row>
    <row r="14532" spans="6:6" x14ac:dyDescent="0.3">
      <c r="F14532" s="193"/>
    </row>
    <row r="14533" spans="6:6" x14ac:dyDescent="0.3">
      <c r="F14533" s="193"/>
    </row>
    <row r="14534" spans="6:6" x14ac:dyDescent="0.3">
      <c r="F14534" s="193"/>
    </row>
    <row r="14535" spans="6:6" x14ac:dyDescent="0.3">
      <c r="F14535" s="193"/>
    </row>
    <row r="14536" spans="6:6" x14ac:dyDescent="0.3">
      <c r="F14536" s="193"/>
    </row>
    <row r="14537" spans="6:6" x14ac:dyDescent="0.3">
      <c r="F14537" s="193"/>
    </row>
    <row r="14538" spans="6:6" x14ac:dyDescent="0.3">
      <c r="F14538" s="193"/>
    </row>
    <row r="14539" spans="6:6" x14ac:dyDescent="0.3">
      <c r="F14539" s="193"/>
    </row>
    <row r="14540" spans="6:6" x14ac:dyDescent="0.3">
      <c r="F14540" s="193"/>
    </row>
    <row r="14541" spans="6:6" x14ac:dyDescent="0.3">
      <c r="F14541" s="193"/>
    </row>
    <row r="14542" spans="6:6" x14ac:dyDescent="0.3">
      <c r="F14542" s="193"/>
    </row>
    <row r="14543" spans="6:6" x14ac:dyDescent="0.3">
      <c r="F14543" s="193"/>
    </row>
    <row r="14544" spans="6:6" x14ac:dyDescent="0.3">
      <c r="F14544" s="193"/>
    </row>
    <row r="14545" spans="6:6" x14ac:dyDescent="0.3">
      <c r="F14545" s="193"/>
    </row>
    <row r="14546" spans="6:6" x14ac:dyDescent="0.3">
      <c r="F14546" s="193"/>
    </row>
    <row r="14547" spans="6:6" x14ac:dyDescent="0.3">
      <c r="F14547" s="193"/>
    </row>
    <row r="14548" spans="6:6" x14ac:dyDescent="0.3">
      <c r="F14548" s="193"/>
    </row>
    <row r="14549" spans="6:6" x14ac:dyDescent="0.3">
      <c r="F14549" s="193"/>
    </row>
    <row r="14550" spans="6:6" x14ac:dyDescent="0.3">
      <c r="F14550" s="193"/>
    </row>
    <row r="14551" spans="6:6" x14ac:dyDescent="0.3">
      <c r="F14551" s="193"/>
    </row>
    <row r="14552" spans="6:6" x14ac:dyDescent="0.3">
      <c r="F14552" s="193"/>
    </row>
    <row r="14553" spans="6:6" x14ac:dyDescent="0.3">
      <c r="F14553" s="193"/>
    </row>
    <row r="14554" spans="6:6" x14ac:dyDescent="0.3">
      <c r="F14554" s="193"/>
    </row>
    <row r="14555" spans="6:6" x14ac:dyDescent="0.3">
      <c r="F14555" s="193"/>
    </row>
    <row r="14556" spans="6:6" x14ac:dyDescent="0.3">
      <c r="F14556" s="193"/>
    </row>
    <row r="14557" spans="6:6" x14ac:dyDescent="0.3">
      <c r="F14557" s="193"/>
    </row>
    <row r="14558" spans="6:6" x14ac:dyDescent="0.3">
      <c r="F14558" s="193"/>
    </row>
    <row r="14559" spans="6:6" x14ac:dyDescent="0.3">
      <c r="F14559" s="193"/>
    </row>
    <row r="14560" spans="6:6" x14ac:dyDescent="0.3">
      <c r="F14560" s="193"/>
    </row>
    <row r="14561" spans="6:6" x14ac:dyDescent="0.3">
      <c r="F14561" s="193"/>
    </row>
    <row r="14562" spans="6:6" x14ac:dyDescent="0.3">
      <c r="F14562" s="193"/>
    </row>
    <row r="14563" spans="6:6" x14ac:dyDescent="0.3">
      <c r="F14563" s="193"/>
    </row>
    <row r="14564" spans="6:6" x14ac:dyDescent="0.3">
      <c r="F14564" s="193"/>
    </row>
    <row r="14565" spans="6:6" x14ac:dyDescent="0.3">
      <c r="F14565" s="193"/>
    </row>
    <row r="14566" spans="6:6" x14ac:dyDescent="0.3">
      <c r="F14566" s="193"/>
    </row>
    <row r="14567" spans="6:6" x14ac:dyDescent="0.3">
      <c r="F14567" s="193"/>
    </row>
    <row r="14568" spans="6:6" x14ac:dyDescent="0.3">
      <c r="F14568" s="193"/>
    </row>
    <row r="14569" spans="6:6" x14ac:dyDescent="0.3">
      <c r="F14569" s="193"/>
    </row>
    <row r="14570" spans="6:6" x14ac:dyDescent="0.3">
      <c r="F14570" s="193"/>
    </row>
    <row r="14571" spans="6:6" x14ac:dyDescent="0.3">
      <c r="F14571" s="193"/>
    </row>
    <row r="14572" spans="6:6" x14ac:dyDescent="0.3">
      <c r="F14572" s="193"/>
    </row>
    <row r="14573" spans="6:6" x14ac:dyDescent="0.3">
      <c r="F14573" s="193"/>
    </row>
    <row r="14574" spans="6:6" x14ac:dyDescent="0.3">
      <c r="F14574" s="193"/>
    </row>
    <row r="14575" spans="6:6" x14ac:dyDescent="0.3">
      <c r="F14575" s="193"/>
    </row>
    <row r="14576" spans="6:6" x14ac:dyDescent="0.3">
      <c r="F14576" s="193"/>
    </row>
    <row r="14577" spans="6:6" x14ac:dyDescent="0.3">
      <c r="F14577" s="193"/>
    </row>
    <row r="14578" spans="6:6" x14ac:dyDescent="0.3">
      <c r="F14578" s="193"/>
    </row>
    <row r="14579" spans="6:6" x14ac:dyDescent="0.3">
      <c r="F14579" s="193"/>
    </row>
    <row r="14580" spans="6:6" x14ac:dyDescent="0.3">
      <c r="F14580" s="193"/>
    </row>
    <row r="14581" spans="6:6" x14ac:dyDescent="0.3">
      <c r="F14581" s="193"/>
    </row>
    <row r="14582" spans="6:6" x14ac:dyDescent="0.3">
      <c r="F14582" s="193"/>
    </row>
    <row r="14583" spans="6:6" x14ac:dyDescent="0.3">
      <c r="F14583" s="193"/>
    </row>
    <row r="14584" spans="6:6" x14ac:dyDescent="0.3">
      <c r="F14584" s="193"/>
    </row>
    <row r="14585" spans="6:6" x14ac:dyDescent="0.3">
      <c r="F14585" s="193"/>
    </row>
    <row r="14586" spans="6:6" x14ac:dyDescent="0.3">
      <c r="F14586" s="193"/>
    </row>
    <row r="14587" spans="6:6" x14ac:dyDescent="0.3">
      <c r="F14587" s="193"/>
    </row>
    <row r="14588" spans="6:6" x14ac:dyDescent="0.3">
      <c r="F14588" s="193"/>
    </row>
    <row r="14589" spans="6:6" x14ac:dyDescent="0.3">
      <c r="F14589" s="193"/>
    </row>
    <row r="14590" spans="6:6" x14ac:dyDescent="0.3">
      <c r="F14590" s="193"/>
    </row>
    <row r="14591" spans="6:6" x14ac:dyDescent="0.3">
      <c r="F14591" s="193"/>
    </row>
    <row r="14592" spans="6:6" x14ac:dyDescent="0.3">
      <c r="F14592" s="193"/>
    </row>
    <row r="14593" spans="6:6" x14ac:dyDescent="0.3">
      <c r="F14593" s="193"/>
    </row>
    <row r="14594" spans="6:6" x14ac:dyDescent="0.3">
      <c r="F14594" s="193"/>
    </row>
    <row r="14595" spans="6:6" x14ac:dyDescent="0.3">
      <c r="F14595" s="193"/>
    </row>
    <row r="14596" spans="6:6" x14ac:dyDescent="0.3">
      <c r="F14596" s="193"/>
    </row>
    <row r="14597" spans="6:6" x14ac:dyDescent="0.3">
      <c r="F14597" s="193"/>
    </row>
    <row r="14598" spans="6:6" x14ac:dyDescent="0.3">
      <c r="F14598" s="193"/>
    </row>
    <row r="14599" spans="6:6" x14ac:dyDescent="0.3">
      <c r="F14599" s="193"/>
    </row>
    <row r="14600" spans="6:6" x14ac:dyDescent="0.3">
      <c r="F14600" s="193"/>
    </row>
    <row r="14601" spans="6:6" x14ac:dyDescent="0.3">
      <c r="F14601" s="193"/>
    </row>
    <row r="14602" spans="6:6" x14ac:dyDescent="0.3">
      <c r="F14602" s="193"/>
    </row>
    <row r="14603" spans="6:6" x14ac:dyDescent="0.3">
      <c r="F14603" s="193"/>
    </row>
    <row r="14604" spans="6:6" x14ac:dyDescent="0.3">
      <c r="F14604" s="193"/>
    </row>
    <row r="14605" spans="6:6" x14ac:dyDescent="0.3">
      <c r="F14605" s="193"/>
    </row>
    <row r="14606" spans="6:6" x14ac:dyDescent="0.3">
      <c r="F14606" s="193"/>
    </row>
    <row r="14607" spans="6:6" x14ac:dyDescent="0.3">
      <c r="F14607" s="193"/>
    </row>
    <row r="14608" spans="6:6" x14ac:dyDescent="0.3">
      <c r="F14608" s="193"/>
    </row>
    <row r="14609" spans="6:6" x14ac:dyDescent="0.3">
      <c r="F14609" s="193"/>
    </row>
    <row r="14610" spans="6:6" x14ac:dyDescent="0.3">
      <c r="F14610" s="193"/>
    </row>
    <row r="14611" spans="6:6" x14ac:dyDescent="0.3">
      <c r="F14611" s="193"/>
    </row>
    <row r="14612" spans="6:6" x14ac:dyDescent="0.3">
      <c r="F14612" s="193"/>
    </row>
    <row r="14613" spans="6:6" x14ac:dyDescent="0.3">
      <c r="F14613" s="193"/>
    </row>
    <row r="14614" spans="6:6" x14ac:dyDescent="0.3">
      <c r="F14614" s="193"/>
    </row>
    <row r="14615" spans="6:6" x14ac:dyDescent="0.3">
      <c r="F14615" s="193"/>
    </row>
    <row r="14616" spans="6:6" x14ac:dyDescent="0.3">
      <c r="F14616" s="193"/>
    </row>
    <row r="14617" spans="6:6" x14ac:dyDescent="0.3">
      <c r="F14617" s="193"/>
    </row>
    <row r="14618" spans="6:6" x14ac:dyDescent="0.3">
      <c r="F14618" s="193"/>
    </row>
    <row r="14619" spans="6:6" x14ac:dyDescent="0.3">
      <c r="F14619" s="193"/>
    </row>
    <row r="14620" spans="6:6" x14ac:dyDescent="0.3">
      <c r="F14620" s="193"/>
    </row>
    <row r="14621" spans="6:6" x14ac:dyDescent="0.3">
      <c r="F14621" s="193"/>
    </row>
    <row r="14622" spans="6:6" x14ac:dyDescent="0.3">
      <c r="F14622" s="193"/>
    </row>
    <row r="14623" spans="6:6" x14ac:dyDescent="0.3">
      <c r="F14623" s="193"/>
    </row>
    <row r="14624" spans="6:6" x14ac:dyDescent="0.3">
      <c r="F14624" s="193"/>
    </row>
    <row r="14625" spans="6:6" x14ac:dyDescent="0.3">
      <c r="F14625" s="193"/>
    </row>
    <row r="14626" spans="6:6" x14ac:dyDescent="0.3">
      <c r="F14626" s="193"/>
    </row>
    <row r="14627" spans="6:6" x14ac:dyDescent="0.3">
      <c r="F14627" s="193"/>
    </row>
    <row r="14628" spans="6:6" x14ac:dyDescent="0.3">
      <c r="F14628" s="193"/>
    </row>
    <row r="14629" spans="6:6" x14ac:dyDescent="0.3">
      <c r="F14629" s="193"/>
    </row>
    <row r="14630" spans="6:6" x14ac:dyDescent="0.3">
      <c r="F14630" s="193"/>
    </row>
    <row r="14631" spans="6:6" x14ac:dyDescent="0.3">
      <c r="F14631" s="193"/>
    </row>
    <row r="14632" spans="6:6" x14ac:dyDescent="0.3">
      <c r="F14632" s="193"/>
    </row>
    <row r="14633" spans="6:6" x14ac:dyDescent="0.3">
      <c r="F14633" s="193"/>
    </row>
    <row r="14634" spans="6:6" x14ac:dyDescent="0.3">
      <c r="F14634" s="193"/>
    </row>
    <row r="14635" spans="6:6" x14ac:dyDescent="0.3">
      <c r="F14635" s="193"/>
    </row>
    <row r="14636" spans="6:6" x14ac:dyDescent="0.3">
      <c r="F14636" s="193"/>
    </row>
    <row r="14637" spans="6:6" x14ac:dyDescent="0.3">
      <c r="F14637" s="193"/>
    </row>
    <row r="14638" spans="6:6" x14ac:dyDescent="0.3">
      <c r="F14638" s="193"/>
    </row>
    <row r="14639" spans="6:6" x14ac:dyDescent="0.3">
      <c r="F14639" s="193"/>
    </row>
    <row r="14640" spans="6:6" x14ac:dyDescent="0.3">
      <c r="F14640" s="193"/>
    </row>
    <row r="14641" spans="6:6" x14ac:dyDescent="0.3">
      <c r="F14641" s="193"/>
    </row>
    <row r="14642" spans="6:6" x14ac:dyDescent="0.3">
      <c r="F14642" s="193"/>
    </row>
    <row r="14643" spans="6:6" x14ac:dyDescent="0.3">
      <c r="F14643" s="193"/>
    </row>
    <row r="14644" spans="6:6" x14ac:dyDescent="0.3">
      <c r="F14644" s="193"/>
    </row>
    <row r="14645" spans="6:6" x14ac:dyDescent="0.3">
      <c r="F14645" s="193"/>
    </row>
    <row r="14646" spans="6:6" x14ac:dyDescent="0.3">
      <c r="F14646" s="193"/>
    </row>
    <row r="14647" spans="6:6" x14ac:dyDescent="0.3">
      <c r="F14647" s="193"/>
    </row>
    <row r="14648" spans="6:6" x14ac:dyDescent="0.3">
      <c r="F14648" s="193"/>
    </row>
    <row r="14649" spans="6:6" x14ac:dyDescent="0.3">
      <c r="F14649" s="193"/>
    </row>
    <row r="14650" spans="6:6" x14ac:dyDescent="0.3">
      <c r="F14650" s="193"/>
    </row>
    <row r="14651" spans="6:6" x14ac:dyDescent="0.3">
      <c r="F14651" s="193"/>
    </row>
    <row r="14652" spans="6:6" x14ac:dyDescent="0.3">
      <c r="F14652" s="193"/>
    </row>
    <row r="14653" spans="6:6" x14ac:dyDescent="0.3">
      <c r="F14653" s="193"/>
    </row>
    <row r="14654" spans="6:6" x14ac:dyDescent="0.3">
      <c r="F14654" s="193"/>
    </row>
    <row r="14655" spans="6:6" x14ac:dyDescent="0.3">
      <c r="F14655" s="193"/>
    </row>
    <row r="14656" spans="6:6" x14ac:dyDescent="0.3">
      <c r="F14656" s="193"/>
    </row>
    <row r="14657" spans="6:6" x14ac:dyDescent="0.3">
      <c r="F14657" s="193"/>
    </row>
    <row r="14658" spans="6:6" x14ac:dyDescent="0.3">
      <c r="F14658" s="193"/>
    </row>
    <row r="14659" spans="6:6" x14ac:dyDescent="0.3">
      <c r="F14659" s="193"/>
    </row>
    <row r="14660" spans="6:6" x14ac:dyDescent="0.3">
      <c r="F14660" s="193"/>
    </row>
    <row r="14661" spans="6:6" x14ac:dyDescent="0.3">
      <c r="F14661" s="193"/>
    </row>
    <row r="14662" spans="6:6" x14ac:dyDescent="0.3">
      <c r="F14662" s="193"/>
    </row>
    <row r="14663" spans="6:6" x14ac:dyDescent="0.3">
      <c r="F14663" s="193"/>
    </row>
    <row r="14664" spans="6:6" x14ac:dyDescent="0.3">
      <c r="F14664" s="193"/>
    </row>
    <row r="14665" spans="6:6" x14ac:dyDescent="0.3">
      <c r="F14665" s="193"/>
    </row>
    <row r="14666" spans="6:6" x14ac:dyDescent="0.3">
      <c r="F14666" s="193"/>
    </row>
    <row r="14667" spans="6:6" x14ac:dyDescent="0.3">
      <c r="F14667" s="193"/>
    </row>
    <row r="14668" spans="6:6" x14ac:dyDescent="0.3">
      <c r="F14668" s="193"/>
    </row>
    <row r="14669" spans="6:6" x14ac:dyDescent="0.3">
      <c r="F14669" s="193"/>
    </row>
    <row r="14670" spans="6:6" x14ac:dyDescent="0.3">
      <c r="F14670" s="193"/>
    </row>
    <row r="14671" spans="6:6" x14ac:dyDescent="0.3">
      <c r="F14671" s="193"/>
    </row>
    <row r="14672" spans="6:6" x14ac:dyDescent="0.3">
      <c r="F14672" s="193"/>
    </row>
    <row r="14673" spans="6:6" x14ac:dyDescent="0.3">
      <c r="F14673" s="193"/>
    </row>
    <row r="14674" spans="6:6" x14ac:dyDescent="0.3">
      <c r="F14674" s="193"/>
    </row>
    <row r="14675" spans="6:6" x14ac:dyDescent="0.3">
      <c r="F14675" s="193"/>
    </row>
    <row r="14676" spans="6:6" x14ac:dyDescent="0.3">
      <c r="F14676" s="193"/>
    </row>
    <row r="14677" spans="6:6" x14ac:dyDescent="0.3">
      <c r="F14677" s="193"/>
    </row>
    <row r="14678" spans="6:6" x14ac:dyDescent="0.3">
      <c r="F14678" s="193"/>
    </row>
    <row r="14679" spans="6:6" x14ac:dyDescent="0.3">
      <c r="F14679" s="193"/>
    </row>
    <row r="14680" spans="6:6" x14ac:dyDescent="0.3">
      <c r="F14680" s="193"/>
    </row>
    <row r="14681" spans="6:6" x14ac:dyDescent="0.3">
      <c r="F14681" s="193"/>
    </row>
    <row r="14682" spans="6:6" x14ac:dyDescent="0.3">
      <c r="F14682" s="193"/>
    </row>
    <row r="14683" spans="6:6" x14ac:dyDescent="0.3">
      <c r="F14683" s="193"/>
    </row>
    <row r="14684" spans="6:6" x14ac:dyDescent="0.3">
      <c r="F14684" s="193"/>
    </row>
    <row r="14685" spans="6:6" x14ac:dyDescent="0.3">
      <c r="F14685" s="193"/>
    </row>
    <row r="14686" spans="6:6" x14ac:dyDescent="0.3">
      <c r="F14686" s="193"/>
    </row>
    <row r="14687" spans="6:6" x14ac:dyDescent="0.3">
      <c r="F14687" s="193"/>
    </row>
    <row r="14688" spans="6:6" x14ac:dyDescent="0.3">
      <c r="F14688" s="193"/>
    </row>
    <row r="14689" spans="6:6" x14ac:dyDescent="0.3">
      <c r="F14689" s="193"/>
    </row>
    <row r="14690" spans="6:6" x14ac:dyDescent="0.3">
      <c r="F14690" s="193"/>
    </row>
    <row r="14691" spans="6:6" x14ac:dyDescent="0.3">
      <c r="F14691" s="193"/>
    </row>
    <row r="14692" spans="6:6" x14ac:dyDescent="0.3">
      <c r="F14692" s="193"/>
    </row>
    <row r="14693" spans="6:6" x14ac:dyDescent="0.3">
      <c r="F14693" s="193"/>
    </row>
    <row r="14694" spans="6:6" x14ac:dyDescent="0.3">
      <c r="F14694" s="193"/>
    </row>
    <row r="14695" spans="6:6" x14ac:dyDescent="0.3">
      <c r="F14695" s="193"/>
    </row>
    <row r="14696" spans="6:6" x14ac:dyDescent="0.3">
      <c r="F14696" s="193"/>
    </row>
    <row r="14697" spans="6:6" x14ac:dyDescent="0.3">
      <c r="F14697" s="193"/>
    </row>
    <row r="14698" spans="6:6" x14ac:dyDescent="0.3">
      <c r="F14698" s="193"/>
    </row>
    <row r="14699" spans="6:6" x14ac:dyDescent="0.3">
      <c r="F14699" s="193"/>
    </row>
    <row r="14700" spans="6:6" x14ac:dyDescent="0.3">
      <c r="F14700" s="193"/>
    </row>
    <row r="14701" spans="6:6" x14ac:dyDescent="0.3">
      <c r="F14701" s="193"/>
    </row>
    <row r="14702" spans="6:6" x14ac:dyDescent="0.3">
      <c r="F14702" s="193"/>
    </row>
    <row r="14703" spans="6:6" x14ac:dyDescent="0.3">
      <c r="F14703" s="193"/>
    </row>
    <row r="14704" spans="6:6" x14ac:dyDescent="0.3">
      <c r="F14704" s="193"/>
    </row>
    <row r="14705" spans="6:6" x14ac:dyDescent="0.3">
      <c r="F14705" s="193"/>
    </row>
    <row r="14706" spans="6:6" x14ac:dyDescent="0.3">
      <c r="F14706" s="193"/>
    </row>
    <row r="14707" spans="6:6" x14ac:dyDescent="0.3">
      <c r="F14707" s="193"/>
    </row>
    <row r="14708" spans="6:6" x14ac:dyDescent="0.3">
      <c r="F14708" s="193"/>
    </row>
    <row r="14709" spans="6:6" x14ac:dyDescent="0.3">
      <c r="F14709" s="193"/>
    </row>
    <row r="14710" spans="6:6" x14ac:dyDescent="0.3">
      <c r="F14710" s="193"/>
    </row>
    <row r="14711" spans="6:6" x14ac:dyDescent="0.3">
      <c r="F14711" s="193"/>
    </row>
    <row r="14712" spans="6:6" x14ac:dyDescent="0.3">
      <c r="F14712" s="193"/>
    </row>
    <row r="14713" spans="6:6" x14ac:dyDescent="0.3">
      <c r="F14713" s="193"/>
    </row>
    <row r="14714" spans="6:6" x14ac:dyDescent="0.3">
      <c r="F14714" s="193"/>
    </row>
    <row r="14715" spans="6:6" x14ac:dyDescent="0.3">
      <c r="F14715" s="193"/>
    </row>
    <row r="14716" spans="6:6" x14ac:dyDescent="0.3">
      <c r="F14716" s="193"/>
    </row>
    <row r="14717" spans="6:6" x14ac:dyDescent="0.3">
      <c r="F14717" s="193"/>
    </row>
    <row r="14718" spans="6:6" x14ac:dyDescent="0.3">
      <c r="F14718" s="193"/>
    </row>
    <row r="14719" spans="6:6" x14ac:dyDescent="0.3">
      <c r="F14719" s="193"/>
    </row>
    <row r="14720" spans="6:6" x14ac:dyDescent="0.3">
      <c r="F14720" s="193"/>
    </row>
    <row r="14721" spans="6:6" x14ac:dyDescent="0.3">
      <c r="F14721" s="193"/>
    </row>
    <row r="14722" spans="6:6" x14ac:dyDescent="0.3">
      <c r="F14722" s="193"/>
    </row>
    <row r="14723" spans="6:6" x14ac:dyDescent="0.3">
      <c r="F14723" s="193"/>
    </row>
    <row r="14724" spans="6:6" x14ac:dyDescent="0.3">
      <c r="F14724" s="193"/>
    </row>
    <row r="14725" spans="6:6" x14ac:dyDescent="0.3">
      <c r="F14725" s="193"/>
    </row>
    <row r="14726" spans="6:6" x14ac:dyDescent="0.3">
      <c r="F14726" s="193"/>
    </row>
    <row r="14727" spans="6:6" x14ac:dyDescent="0.3">
      <c r="F14727" s="193"/>
    </row>
    <row r="14728" spans="6:6" x14ac:dyDescent="0.3">
      <c r="F14728" s="193"/>
    </row>
    <row r="14729" spans="6:6" x14ac:dyDescent="0.3">
      <c r="F14729" s="193"/>
    </row>
    <row r="14730" spans="6:6" x14ac:dyDescent="0.3">
      <c r="F14730" s="193"/>
    </row>
    <row r="14731" spans="6:6" x14ac:dyDescent="0.3">
      <c r="F14731" s="193"/>
    </row>
    <row r="14732" spans="6:6" x14ac:dyDescent="0.3">
      <c r="F14732" s="193"/>
    </row>
    <row r="14733" spans="6:6" x14ac:dyDescent="0.3">
      <c r="F14733" s="193"/>
    </row>
    <row r="14734" spans="6:6" x14ac:dyDescent="0.3">
      <c r="F14734" s="193"/>
    </row>
    <row r="14735" spans="6:6" x14ac:dyDescent="0.3">
      <c r="F14735" s="193"/>
    </row>
    <row r="14736" spans="6:6" x14ac:dyDescent="0.3">
      <c r="F14736" s="193"/>
    </row>
    <row r="14737" spans="6:6" x14ac:dyDescent="0.3">
      <c r="F14737" s="193"/>
    </row>
    <row r="14738" spans="6:6" x14ac:dyDescent="0.3">
      <c r="F14738" s="193"/>
    </row>
    <row r="14739" spans="6:6" x14ac:dyDescent="0.3">
      <c r="F14739" s="193"/>
    </row>
    <row r="14740" spans="6:6" x14ac:dyDescent="0.3">
      <c r="F14740" s="193"/>
    </row>
    <row r="14741" spans="6:6" x14ac:dyDescent="0.3">
      <c r="F14741" s="193"/>
    </row>
    <row r="14742" spans="6:6" x14ac:dyDescent="0.3">
      <c r="F14742" s="193"/>
    </row>
    <row r="14743" spans="6:6" x14ac:dyDescent="0.3">
      <c r="F14743" s="193"/>
    </row>
    <row r="14744" spans="6:6" x14ac:dyDescent="0.3">
      <c r="F14744" s="193"/>
    </row>
    <row r="14745" spans="6:6" x14ac:dyDescent="0.3">
      <c r="F14745" s="193"/>
    </row>
    <row r="14746" spans="6:6" x14ac:dyDescent="0.3">
      <c r="F14746" s="193"/>
    </row>
    <row r="14747" spans="6:6" x14ac:dyDescent="0.3">
      <c r="F14747" s="193"/>
    </row>
    <row r="14748" spans="6:6" x14ac:dyDescent="0.3">
      <c r="F14748" s="193"/>
    </row>
    <row r="14749" spans="6:6" x14ac:dyDescent="0.3">
      <c r="F14749" s="193"/>
    </row>
    <row r="14750" spans="6:6" x14ac:dyDescent="0.3">
      <c r="F14750" s="193"/>
    </row>
    <row r="14751" spans="6:6" x14ac:dyDescent="0.3">
      <c r="F14751" s="193"/>
    </row>
    <row r="14752" spans="6:6" x14ac:dyDescent="0.3">
      <c r="F14752" s="193"/>
    </row>
    <row r="14753" spans="6:6" x14ac:dyDescent="0.3">
      <c r="F14753" s="193"/>
    </row>
    <row r="14754" spans="6:6" x14ac:dyDescent="0.3">
      <c r="F14754" s="193"/>
    </row>
    <row r="14755" spans="6:6" x14ac:dyDescent="0.3">
      <c r="F14755" s="193"/>
    </row>
    <row r="14756" spans="6:6" x14ac:dyDescent="0.3">
      <c r="F14756" s="193"/>
    </row>
    <row r="14757" spans="6:6" x14ac:dyDescent="0.3">
      <c r="F14757" s="193"/>
    </row>
    <row r="14758" spans="6:6" x14ac:dyDescent="0.3">
      <c r="F14758" s="193"/>
    </row>
    <row r="14759" spans="6:6" x14ac:dyDescent="0.3">
      <c r="F14759" s="193"/>
    </row>
    <row r="14760" spans="6:6" x14ac:dyDescent="0.3">
      <c r="F14760" s="193"/>
    </row>
    <row r="14761" spans="6:6" x14ac:dyDescent="0.3">
      <c r="F14761" s="193"/>
    </row>
    <row r="14762" spans="6:6" x14ac:dyDescent="0.3">
      <c r="F14762" s="193"/>
    </row>
    <row r="14763" spans="6:6" x14ac:dyDescent="0.3">
      <c r="F14763" s="193"/>
    </row>
    <row r="14764" spans="6:6" x14ac:dyDescent="0.3">
      <c r="F14764" s="193"/>
    </row>
    <row r="14765" spans="6:6" x14ac:dyDescent="0.3">
      <c r="F14765" s="193"/>
    </row>
    <row r="14766" spans="6:6" x14ac:dyDescent="0.3">
      <c r="F14766" s="193"/>
    </row>
    <row r="14767" spans="6:6" x14ac:dyDescent="0.3">
      <c r="F14767" s="193"/>
    </row>
    <row r="14768" spans="6:6" x14ac:dyDescent="0.3">
      <c r="F14768" s="193"/>
    </row>
    <row r="14769" spans="6:6" x14ac:dyDescent="0.3">
      <c r="F14769" s="193"/>
    </row>
    <row r="14770" spans="6:6" x14ac:dyDescent="0.3">
      <c r="F14770" s="193"/>
    </row>
    <row r="14771" spans="6:6" x14ac:dyDescent="0.3">
      <c r="F14771" s="193"/>
    </row>
    <row r="14772" spans="6:6" x14ac:dyDescent="0.3">
      <c r="F14772" s="193"/>
    </row>
    <row r="14773" spans="6:6" x14ac:dyDescent="0.3">
      <c r="F14773" s="193"/>
    </row>
    <row r="14774" spans="6:6" x14ac:dyDescent="0.3">
      <c r="F14774" s="193"/>
    </row>
    <row r="14775" spans="6:6" x14ac:dyDescent="0.3">
      <c r="F14775" s="193"/>
    </row>
    <row r="14776" spans="6:6" x14ac:dyDescent="0.3">
      <c r="F14776" s="193"/>
    </row>
    <row r="14777" spans="6:6" x14ac:dyDescent="0.3">
      <c r="F14777" s="193"/>
    </row>
    <row r="14778" spans="6:6" x14ac:dyDescent="0.3">
      <c r="F14778" s="193"/>
    </row>
    <row r="14779" spans="6:6" x14ac:dyDescent="0.3">
      <c r="F14779" s="193"/>
    </row>
    <row r="14780" spans="6:6" x14ac:dyDescent="0.3">
      <c r="F14780" s="193"/>
    </row>
    <row r="14781" spans="6:6" x14ac:dyDescent="0.3">
      <c r="F14781" s="193"/>
    </row>
    <row r="14782" spans="6:6" x14ac:dyDescent="0.3">
      <c r="F14782" s="193"/>
    </row>
    <row r="14783" spans="6:6" x14ac:dyDescent="0.3">
      <c r="F14783" s="193"/>
    </row>
    <row r="14784" spans="6:6" x14ac:dyDescent="0.3">
      <c r="F14784" s="193"/>
    </row>
    <row r="14785" spans="6:6" x14ac:dyDescent="0.3">
      <c r="F14785" s="193"/>
    </row>
    <row r="14786" spans="6:6" x14ac:dyDescent="0.3">
      <c r="F14786" s="193"/>
    </row>
    <row r="14787" spans="6:6" x14ac:dyDescent="0.3">
      <c r="F14787" s="193"/>
    </row>
    <row r="14788" spans="6:6" x14ac:dyDescent="0.3">
      <c r="F14788" s="193"/>
    </row>
    <row r="14789" spans="6:6" x14ac:dyDescent="0.3">
      <c r="F14789" s="193"/>
    </row>
    <row r="14790" spans="6:6" x14ac:dyDescent="0.3">
      <c r="F14790" s="193"/>
    </row>
    <row r="14791" spans="6:6" x14ac:dyDescent="0.3">
      <c r="F14791" s="193"/>
    </row>
    <row r="14792" spans="6:6" x14ac:dyDescent="0.3">
      <c r="F14792" s="193"/>
    </row>
    <row r="14793" spans="6:6" x14ac:dyDescent="0.3">
      <c r="F14793" s="193"/>
    </row>
    <row r="14794" spans="6:6" x14ac:dyDescent="0.3">
      <c r="F14794" s="193"/>
    </row>
    <row r="14795" spans="6:6" x14ac:dyDescent="0.3">
      <c r="F14795" s="193"/>
    </row>
    <row r="14796" spans="6:6" x14ac:dyDescent="0.3">
      <c r="F14796" s="193"/>
    </row>
    <row r="14797" spans="6:6" x14ac:dyDescent="0.3">
      <c r="F14797" s="193"/>
    </row>
    <row r="14798" spans="6:6" x14ac:dyDescent="0.3">
      <c r="F14798" s="193"/>
    </row>
    <row r="14799" spans="6:6" x14ac:dyDescent="0.3">
      <c r="F14799" s="193"/>
    </row>
    <row r="14800" spans="6:6" x14ac:dyDescent="0.3">
      <c r="F14800" s="193"/>
    </row>
    <row r="14801" spans="6:6" x14ac:dyDescent="0.3">
      <c r="F14801" s="193"/>
    </row>
    <row r="14802" spans="6:6" x14ac:dyDescent="0.3">
      <c r="F14802" s="193"/>
    </row>
    <row r="14803" spans="6:6" x14ac:dyDescent="0.3">
      <c r="F14803" s="193"/>
    </row>
    <row r="14804" spans="6:6" x14ac:dyDescent="0.3">
      <c r="F14804" s="193"/>
    </row>
    <row r="14805" spans="6:6" x14ac:dyDescent="0.3">
      <c r="F14805" s="193"/>
    </row>
    <row r="14806" spans="6:6" x14ac:dyDescent="0.3">
      <c r="F14806" s="193"/>
    </row>
    <row r="14807" spans="6:6" x14ac:dyDescent="0.3">
      <c r="F14807" s="193"/>
    </row>
    <row r="14808" spans="6:6" x14ac:dyDescent="0.3">
      <c r="F14808" s="193"/>
    </row>
    <row r="14809" spans="6:6" x14ac:dyDescent="0.3">
      <c r="F14809" s="193"/>
    </row>
    <row r="14810" spans="6:6" x14ac:dyDescent="0.3">
      <c r="F14810" s="193"/>
    </row>
    <row r="14811" spans="6:6" x14ac:dyDescent="0.3">
      <c r="F14811" s="193"/>
    </row>
    <row r="14812" spans="6:6" x14ac:dyDescent="0.3">
      <c r="F14812" s="193"/>
    </row>
    <row r="14813" spans="6:6" x14ac:dyDescent="0.3">
      <c r="F14813" s="193"/>
    </row>
    <row r="14814" spans="6:6" x14ac:dyDescent="0.3">
      <c r="F14814" s="193"/>
    </row>
    <row r="14815" spans="6:6" x14ac:dyDescent="0.3">
      <c r="F14815" s="193"/>
    </row>
    <row r="14816" spans="6:6" x14ac:dyDescent="0.3">
      <c r="F14816" s="193"/>
    </row>
    <row r="14817" spans="6:6" x14ac:dyDescent="0.3">
      <c r="F14817" s="193"/>
    </row>
    <row r="14818" spans="6:6" x14ac:dyDescent="0.3">
      <c r="F14818" s="193"/>
    </row>
    <row r="14819" spans="6:6" x14ac:dyDescent="0.3">
      <c r="F14819" s="193"/>
    </row>
    <row r="14820" spans="6:6" x14ac:dyDescent="0.3">
      <c r="F14820" s="193"/>
    </row>
    <row r="14821" spans="6:6" x14ac:dyDescent="0.3">
      <c r="F14821" s="193"/>
    </row>
    <row r="14822" spans="6:6" x14ac:dyDescent="0.3">
      <c r="F14822" s="193"/>
    </row>
    <row r="14823" spans="6:6" x14ac:dyDescent="0.3">
      <c r="F14823" s="193"/>
    </row>
    <row r="14824" spans="6:6" x14ac:dyDescent="0.3">
      <c r="F14824" s="193"/>
    </row>
    <row r="14825" spans="6:6" x14ac:dyDescent="0.3">
      <c r="F14825" s="193"/>
    </row>
    <row r="14826" spans="6:6" x14ac:dyDescent="0.3">
      <c r="F14826" s="193"/>
    </row>
    <row r="14827" spans="6:6" x14ac:dyDescent="0.3">
      <c r="F14827" s="193"/>
    </row>
    <row r="14828" spans="6:6" x14ac:dyDescent="0.3">
      <c r="F14828" s="193"/>
    </row>
    <row r="14829" spans="6:6" x14ac:dyDescent="0.3">
      <c r="F14829" s="193"/>
    </row>
    <row r="14830" spans="6:6" x14ac:dyDescent="0.3">
      <c r="F14830" s="193"/>
    </row>
    <row r="14831" spans="6:6" x14ac:dyDescent="0.3">
      <c r="F14831" s="193"/>
    </row>
    <row r="14832" spans="6:6" x14ac:dyDescent="0.3">
      <c r="F14832" s="193"/>
    </row>
    <row r="14833" spans="6:6" x14ac:dyDescent="0.3">
      <c r="F14833" s="193"/>
    </row>
    <row r="14834" spans="6:6" x14ac:dyDescent="0.3">
      <c r="F14834" s="193"/>
    </row>
    <row r="14835" spans="6:6" x14ac:dyDescent="0.3">
      <c r="F14835" s="193"/>
    </row>
    <row r="14836" spans="6:6" x14ac:dyDescent="0.3">
      <c r="F14836" s="193"/>
    </row>
    <row r="14837" spans="6:6" x14ac:dyDescent="0.3">
      <c r="F14837" s="193"/>
    </row>
    <row r="14838" spans="6:6" x14ac:dyDescent="0.3">
      <c r="F14838" s="193"/>
    </row>
    <row r="14839" spans="6:6" x14ac:dyDescent="0.3">
      <c r="F14839" s="193"/>
    </row>
    <row r="14840" spans="6:6" x14ac:dyDescent="0.3">
      <c r="F14840" s="193"/>
    </row>
    <row r="14841" spans="6:6" x14ac:dyDescent="0.3">
      <c r="F14841" s="193"/>
    </row>
    <row r="14842" spans="6:6" x14ac:dyDescent="0.3">
      <c r="F14842" s="193"/>
    </row>
    <row r="14843" spans="6:6" x14ac:dyDescent="0.3">
      <c r="F14843" s="193"/>
    </row>
    <row r="14844" spans="6:6" x14ac:dyDescent="0.3">
      <c r="F14844" s="193"/>
    </row>
    <row r="14845" spans="6:6" x14ac:dyDescent="0.3">
      <c r="F14845" s="193"/>
    </row>
    <row r="14846" spans="6:6" x14ac:dyDescent="0.3">
      <c r="F14846" s="193"/>
    </row>
    <row r="14847" spans="6:6" x14ac:dyDescent="0.3">
      <c r="F14847" s="193"/>
    </row>
    <row r="14848" spans="6:6" x14ac:dyDescent="0.3">
      <c r="F14848" s="193"/>
    </row>
    <row r="14849" spans="6:6" x14ac:dyDescent="0.3">
      <c r="F14849" s="193"/>
    </row>
    <row r="14850" spans="6:6" x14ac:dyDescent="0.3">
      <c r="F14850" s="193"/>
    </row>
    <row r="14851" spans="6:6" x14ac:dyDescent="0.3">
      <c r="F14851" s="193"/>
    </row>
    <row r="14852" spans="6:6" x14ac:dyDescent="0.3">
      <c r="F14852" s="193"/>
    </row>
    <row r="14853" spans="6:6" x14ac:dyDescent="0.3">
      <c r="F14853" s="193"/>
    </row>
    <row r="14854" spans="6:6" x14ac:dyDescent="0.3">
      <c r="F14854" s="193"/>
    </row>
    <row r="14855" spans="6:6" x14ac:dyDescent="0.3">
      <c r="F14855" s="193"/>
    </row>
    <row r="14856" spans="6:6" x14ac:dyDescent="0.3">
      <c r="F14856" s="193"/>
    </row>
    <row r="14857" spans="6:6" x14ac:dyDescent="0.3">
      <c r="F14857" s="193"/>
    </row>
    <row r="14858" spans="6:6" x14ac:dyDescent="0.3">
      <c r="F14858" s="193"/>
    </row>
    <row r="14859" spans="6:6" x14ac:dyDescent="0.3">
      <c r="F14859" s="193"/>
    </row>
    <row r="14860" spans="6:6" x14ac:dyDescent="0.3">
      <c r="F14860" s="193"/>
    </row>
    <row r="14861" spans="6:6" x14ac:dyDescent="0.3">
      <c r="F14861" s="193"/>
    </row>
    <row r="14862" spans="6:6" x14ac:dyDescent="0.3">
      <c r="F14862" s="193"/>
    </row>
    <row r="14863" spans="6:6" x14ac:dyDescent="0.3">
      <c r="F14863" s="193"/>
    </row>
    <row r="14864" spans="6:6" x14ac:dyDescent="0.3">
      <c r="F14864" s="193"/>
    </row>
    <row r="14865" spans="6:6" x14ac:dyDescent="0.3">
      <c r="F14865" s="193"/>
    </row>
    <row r="14866" spans="6:6" x14ac:dyDescent="0.3">
      <c r="F14866" s="193"/>
    </row>
    <row r="14867" spans="6:6" x14ac:dyDescent="0.3">
      <c r="F14867" s="193"/>
    </row>
    <row r="14868" spans="6:6" x14ac:dyDescent="0.3">
      <c r="F14868" s="193"/>
    </row>
    <row r="14869" spans="6:6" x14ac:dyDescent="0.3">
      <c r="F14869" s="193"/>
    </row>
    <row r="14870" spans="6:6" x14ac:dyDescent="0.3">
      <c r="F14870" s="193"/>
    </row>
    <row r="14871" spans="6:6" x14ac:dyDescent="0.3">
      <c r="F14871" s="193"/>
    </row>
    <row r="14872" spans="6:6" x14ac:dyDescent="0.3">
      <c r="F14872" s="193"/>
    </row>
    <row r="14873" spans="6:6" x14ac:dyDescent="0.3">
      <c r="F14873" s="193"/>
    </row>
    <row r="14874" spans="6:6" x14ac:dyDescent="0.3">
      <c r="F14874" s="193"/>
    </row>
    <row r="14875" spans="6:6" x14ac:dyDescent="0.3">
      <c r="F14875" s="193"/>
    </row>
    <row r="14876" spans="6:6" x14ac:dyDescent="0.3">
      <c r="F14876" s="193"/>
    </row>
    <row r="14877" spans="6:6" x14ac:dyDescent="0.3">
      <c r="F14877" s="193"/>
    </row>
    <row r="14878" spans="6:6" x14ac:dyDescent="0.3">
      <c r="F14878" s="193"/>
    </row>
    <row r="14879" spans="6:6" x14ac:dyDescent="0.3">
      <c r="F14879" s="193"/>
    </row>
    <row r="14880" spans="6:6" x14ac:dyDescent="0.3">
      <c r="F14880" s="193"/>
    </row>
    <row r="14881" spans="6:6" x14ac:dyDescent="0.3">
      <c r="F14881" s="193"/>
    </row>
    <row r="14882" spans="6:6" x14ac:dyDescent="0.3">
      <c r="F14882" s="193"/>
    </row>
    <row r="14883" spans="6:6" x14ac:dyDescent="0.3">
      <c r="F14883" s="193"/>
    </row>
    <row r="14884" spans="6:6" x14ac:dyDescent="0.3">
      <c r="F14884" s="193"/>
    </row>
    <row r="14885" spans="6:6" x14ac:dyDescent="0.3">
      <c r="F14885" s="193"/>
    </row>
    <row r="14886" spans="6:6" x14ac:dyDescent="0.3">
      <c r="F14886" s="193"/>
    </row>
    <row r="14887" spans="6:6" x14ac:dyDescent="0.3">
      <c r="F14887" s="193"/>
    </row>
    <row r="14888" spans="6:6" x14ac:dyDescent="0.3">
      <c r="F14888" s="193"/>
    </row>
    <row r="14889" spans="6:6" x14ac:dyDescent="0.3">
      <c r="F14889" s="193"/>
    </row>
    <row r="14890" spans="6:6" x14ac:dyDescent="0.3">
      <c r="F14890" s="193"/>
    </row>
    <row r="14891" spans="6:6" x14ac:dyDescent="0.3">
      <c r="F14891" s="193"/>
    </row>
    <row r="14892" spans="6:6" x14ac:dyDescent="0.3">
      <c r="F14892" s="193"/>
    </row>
    <row r="14893" spans="6:6" x14ac:dyDescent="0.3">
      <c r="F14893" s="193"/>
    </row>
    <row r="14894" spans="6:6" x14ac:dyDescent="0.3">
      <c r="F14894" s="193"/>
    </row>
    <row r="14895" spans="6:6" x14ac:dyDescent="0.3">
      <c r="F14895" s="193"/>
    </row>
    <row r="14896" spans="6:6" x14ac:dyDescent="0.3">
      <c r="F14896" s="193"/>
    </row>
    <row r="14897" spans="6:6" x14ac:dyDescent="0.3">
      <c r="F14897" s="193"/>
    </row>
    <row r="14898" spans="6:6" x14ac:dyDescent="0.3">
      <c r="F14898" s="193"/>
    </row>
    <row r="14899" spans="6:6" x14ac:dyDescent="0.3">
      <c r="F14899" s="193"/>
    </row>
    <row r="14900" spans="6:6" x14ac:dyDescent="0.3">
      <c r="F14900" s="193"/>
    </row>
    <row r="14901" spans="6:6" x14ac:dyDescent="0.3">
      <c r="F14901" s="193"/>
    </row>
    <row r="14902" spans="6:6" x14ac:dyDescent="0.3">
      <c r="F14902" s="193"/>
    </row>
    <row r="14903" spans="6:6" x14ac:dyDescent="0.3">
      <c r="F14903" s="193"/>
    </row>
    <row r="14904" spans="6:6" x14ac:dyDescent="0.3">
      <c r="F14904" s="193"/>
    </row>
    <row r="14905" spans="6:6" x14ac:dyDescent="0.3">
      <c r="F14905" s="193"/>
    </row>
    <row r="14906" spans="6:6" x14ac:dyDescent="0.3">
      <c r="F14906" s="193"/>
    </row>
    <row r="14907" spans="6:6" x14ac:dyDescent="0.3">
      <c r="F14907" s="193"/>
    </row>
    <row r="14908" spans="6:6" x14ac:dyDescent="0.3">
      <c r="F14908" s="193"/>
    </row>
    <row r="14909" spans="6:6" x14ac:dyDescent="0.3">
      <c r="F14909" s="193"/>
    </row>
    <row r="14910" spans="6:6" x14ac:dyDescent="0.3">
      <c r="F14910" s="193"/>
    </row>
    <row r="14911" spans="6:6" x14ac:dyDescent="0.3">
      <c r="F14911" s="193"/>
    </row>
    <row r="14912" spans="6:6" x14ac:dyDescent="0.3">
      <c r="F14912" s="193"/>
    </row>
    <row r="14913" spans="6:6" x14ac:dyDescent="0.3">
      <c r="F14913" s="193"/>
    </row>
    <row r="14914" spans="6:6" x14ac:dyDescent="0.3">
      <c r="F14914" s="193"/>
    </row>
    <row r="14915" spans="6:6" x14ac:dyDescent="0.3">
      <c r="F14915" s="193"/>
    </row>
    <row r="14916" spans="6:6" x14ac:dyDescent="0.3">
      <c r="F14916" s="193"/>
    </row>
    <row r="14917" spans="6:6" x14ac:dyDescent="0.3">
      <c r="F14917" s="193"/>
    </row>
    <row r="14918" spans="6:6" x14ac:dyDescent="0.3">
      <c r="F14918" s="193"/>
    </row>
    <row r="14919" spans="6:6" x14ac:dyDescent="0.3">
      <c r="F14919" s="193"/>
    </row>
    <row r="14920" spans="6:6" x14ac:dyDescent="0.3">
      <c r="F14920" s="193"/>
    </row>
    <row r="14921" spans="6:6" x14ac:dyDescent="0.3">
      <c r="F14921" s="193"/>
    </row>
    <row r="14922" spans="6:6" x14ac:dyDescent="0.3">
      <c r="F14922" s="193"/>
    </row>
    <row r="14923" spans="6:6" x14ac:dyDescent="0.3">
      <c r="F14923" s="193"/>
    </row>
    <row r="14924" spans="6:6" x14ac:dyDescent="0.3">
      <c r="F14924" s="193"/>
    </row>
    <row r="14925" spans="6:6" x14ac:dyDescent="0.3">
      <c r="F14925" s="193"/>
    </row>
    <row r="14926" spans="6:6" x14ac:dyDescent="0.3">
      <c r="F14926" s="193"/>
    </row>
    <row r="14927" spans="6:6" x14ac:dyDescent="0.3">
      <c r="F14927" s="193"/>
    </row>
    <row r="14928" spans="6:6" x14ac:dyDescent="0.3">
      <c r="F14928" s="193"/>
    </row>
    <row r="14929" spans="6:6" x14ac:dyDescent="0.3">
      <c r="F14929" s="193"/>
    </row>
    <row r="14930" spans="6:6" x14ac:dyDescent="0.3">
      <c r="F14930" s="193"/>
    </row>
    <row r="14931" spans="6:6" x14ac:dyDescent="0.3">
      <c r="F14931" s="193"/>
    </row>
    <row r="14932" spans="6:6" x14ac:dyDescent="0.3">
      <c r="F14932" s="193"/>
    </row>
    <row r="14933" spans="6:6" x14ac:dyDescent="0.3">
      <c r="F14933" s="193"/>
    </row>
    <row r="14934" spans="6:6" x14ac:dyDescent="0.3">
      <c r="F14934" s="193"/>
    </row>
    <row r="14935" spans="6:6" x14ac:dyDescent="0.3">
      <c r="F14935" s="193"/>
    </row>
    <row r="14936" spans="6:6" x14ac:dyDescent="0.3">
      <c r="F14936" s="193"/>
    </row>
    <row r="14937" spans="6:6" x14ac:dyDescent="0.3">
      <c r="F14937" s="193"/>
    </row>
    <row r="14938" spans="6:6" x14ac:dyDescent="0.3">
      <c r="F14938" s="193"/>
    </row>
    <row r="14939" spans="6:6" x14ac:dyDescent="0.3">
      <c r="F14939" s="193"/>
    </row>
    <row r="14940" spans="6:6" x14ac:dyDescent="0.3">
      <c r="F14940" s="193"/>
    </row>
    <row r="14941" spans="6:6" x14ac:dyDescent="0.3">
      <c r="F14941" s="193"/>
    </row>
    <row r="14942" spans="6:6" x14ac:dyDescent="0.3">
      <c r="F14942" s="193"/>
    </row>
    <row r="14943" spans="6:6" x14ac:dyDescent="0.3">
      <c r="F14943" s="193"/>
    </row>
    <row r="14944" spans="6:6" x14ac:dyDescent="0.3">
      <c r="F14944" s="193"/>
    </row>
    <row r="14945" spans="6:6" x14ac:dyDescent="0.3">
      <c r="F14945" s="193"/>
    </row>
    <row r="14946" spans="6:6" x14ac:dyDescent="0.3">
      <c r="F14946" s="193"/>
    </row>
    <row r="14947" spans="6:6" x14ac:dyDescent="0.3">
      <c r="F14947" s="193"/>
    </row>
    <row r="14948" spans="6:6" x14ac:dyDescent="0.3">
      <c r="F14948" s="193"/>
    </row>
    <row r="14949" spans="6:6" x14ac:dyDescent="0.3">
      <c r="F14949" s="193"/>
    </row>
    <row r="14950" spans="6:6" x14ac:dyDescent="0.3">
      <c r="F14950" s="193"/>
    </row>
    <row r="14951" spans="6:6" x14ac:dyDescent="0.3">
      <c r="F14951" s="193"/>
    </row>
    <row r="14952" spans="6:6" x14ac:dyDescent="0.3">
      <c r="F14952" s="193"/>
    </row>
    <row r="14953" spans="6:6" x14ac:dyDescent="0.3">
      <c r="F14953" s="193"/>
    </row>
    <row r="14954" spans="6:6" x14ac:dyDescent="0.3">
      <c r="F14954" s="193"/>
    </row>
    <row r="14955" spans="6:6" x14ac:dyDescent="0.3">
      <c r="F14955" s="193"/>
    </row>
    <row r="14956" spans="6:6" x14ac:dyDescent="0.3">
      <c r="F14956" s="193"/>
    </row>
    <row r="14957" spans="6:6" x14ac:dyDescent="0.3">
      <c r="F14957" s="193"/>
    </row>
    <row r="14958" spans="6:6" x14ac:dyDescent="0.3">
      <c r="F14958" s="193"/>
    </row>
    <row r="14959" spans="6:6" x14ac:dyDescent="0.3">
      <c r="F14959" s="193"/>
    </row>
    <row r="14960" spans="6:6" x14ac:dyDescent="0.3">
      <c r="F14960" s="193"/>
    </row>
    <row r="14961" spans="6:6" x14ac:dyDescent="0.3">
      <c r="F14961" s="193"/>
    </row>
    <row r="14962" spans="6:6" x14ac:dyDescent="0.3">
      <c r="F14962" s="193"/>
    </row>
    <row r="14963" spans="6:6" x14ac:dyDescent="0.3">
      <c r="F14963" s="193"/>
    </row>
    <row r="14964" spans="6:6" x14ac:dyDescent="0.3">
      <c r="F14964" s="193"/>
    </row>
    <row r="14965" spans="6:6" x14ac:dyDescent="0.3">
      <c r="F14965" s="193"/>
    </row>
    <row r="14966" spans="6:6" x14ac:dyDescent="0.3">
      <c r="F14966" s="193"/>
    </row>
    <row r="14967" spans="6:6" x14ac:dyDescent="0.3">
      <c r="F14967" s="193"/>
    </row>
    <row r="14968" spans="6:6" x14ac:dyDescent="0.3">
      <c r="F14968" s="193"/>
    </row>
    <row r="14969" spans="6:6" x14ac:dyDescent="0.3">
      <c r="F14969" s="193"/>
    </row>
    <row r="14970" spans="6:6" x14ac:dyDescent="0.3">
      <c r="F14970" s="193"/>
    </row>
    <row r="14971" spans="6:6" x14ac:dyDescent="0.3">
      <c r="F14971" s="193"/>
    </row>
    <row r="14972" spans="6:6" x14ac:dyDescent="0.3">
      <c r="F14972" s="193"/>
    </row>
    <row r="14973" spans="6:6" x14ac:dyDescent="0.3">
      <c r="F14973" s="193"/>
    </row>
    <row r="14974" spans="6:6" x14ac:dyDescent="0.3">
      <c r="F14974" s="193"/>
    </row>
    <row r="14975" spans="6:6" x14ac:dyDescent="0.3">
      <c r="F14975" s="193"/>
    </row>
    <row r="14976" spans="6:6" x14ac:dyDescent="0.3">
      <c r="F14976" s="193"/>
    </row>
    <row r="14977" spans="6:6" x14ac:dyDescent="0.3">
      <c r="F14977" s="193"/>
    </row>
    <row r="14978" spans="6:6" x14ac:dyDescent="0.3">
      <c r="F14978" s="193"/>
    </row>
    <row r="14979" spans="6:6" x14ac:dyDescent="0.3">
      <c r="F14979" s="193"/>
    </row>
    <row r="14980" spans="6:6" x14ac:dyDescent="0.3">
      <c r="F14980" s="193"/>
    </row>
    <row r="14981" spans="6:6" x14ac:dyDescent="0.3">
      <c r="F14981" s="193"/>
    </row>
    <row r="14982" spans="6:6" x14ac:dyDescent="0.3">
      <c r="F14982" s="193"/>
    </row>
    <row r="14983" spans="6:6" x14ac:dyDescent="0.3">
      <c r="F14983" s="193"/>
    </row>
    <row r="14984" spans="6:6" x14ac:dyDescent="0.3">
      <c r="F14984" s="193"/>
    </row>
    <row r="14985" spans="6:6" x14ac:dyDescent="0.3">
      <c r="F14985" s="193"/>
    </row>
    <row r="14986" spans="6:6" x14ac:dyDescent="0.3">
      <c r="F14986" s="193"/>
    </row>
    <row r="14987" spans="6:6" x14ac:dyDescent="0.3">
      <c r="F14987" s="193"/>
    </row>
    <row r="14988" spans="6:6" x14ac:dyDescent="0.3">
      <c r="F14988" s="193"/>
    </row>
    <row r="14989" spans="6:6" x14ac:dyDescent="0.3">
      <c r="F14989" s="193"/>
    </row>
    <row r="14990" spans="6:6" x14ac:dyDescent="0.3">
      <c r="F14990" s="193"/>
    </row>
    <row r="14991" spans="6:6" x14ac:dyDescent="0.3">
      <c r="F14991" s="193"/>
    </row>
    <row r="14992" spans="6:6" x14ac:dyDescent="0.3">
      <c r="F14992" s="193"/>
    </row>
    <row r="14993" spans="6:6" x14ac:dyDescent="0.3">
      <c r="F14993" s="193"/>
    </row>
    <row r="14994" spans="6:6" x14ac:dyDescent="0.3">
      <c r="F14994" s="193"/>
    </row>
    <row r="14995" spans="6:6" x14ac:dyDescent="0.3">
      <c r="F14995" s="193"/>
    </row>
    <row r="14996" spans="6:6" x14ac:dyDescent="0.3">
      <c r="F14996" s="193"/>
    </row>
    <row r="14997" spans="6:6" x14ac:dyDescent="0.3">
      <c r="F14997" s="193"/>
    </row>
    <row r="14998" spans="6:6" x14ac:dyDescent="0.3">
      <c r="F14998" s="193"/>
    </row>
    <row r="14999" spans="6:6" x14ac:dyDescent="0.3">
      <c r="F14999" s="193"/>
    </row>
    <row r="15000" spans="6:6" x14ac:dyDescent="0.3">
      <c r="F15000" s="193"/>
    </row>
    <row r="15001" spans="6:6" x14ac:dyDescent="0.3">
      <c r="F15001" s="193"/>
    </row>
    <row r="15002" spans="6:6" x14ac:dyDescent="0.3">
      <c r="F15002" s="193"/>
    </row>
    <row r="15003" spans="6:6" x14ac:dyDescent="0.3">
      <c r="F15003" s="193"/>
    </row>
    <row r="15004" spans="6:6" x14ac:dyDescent="0.3">
      <c r="F15004" s="193"/>
    </row>
    <row r="15005" spans="6:6" x14ac:dyDescent="0.3">
      <c r="F15005" s="193"/>
    </row>
    <row r="15006" spans="6:6" x14ac:dyDescent="0.3">
      <c r="F15006" s="193"/>
    </row>
    <row r="15007" spans="6:6" x14ac:dyDescent="0.3">
      <c r="F15007" s="193"/>
    </row>
    <row r="15008" spans="6:6" x14ac:dyDescent="0.3">
      <c r="F15008" s="193"/>
    </row>
    <row r="15009" spans="6:6" x14ac:dyDescent="0.3">
      <c r="F15009" s="193"/>
    </row>
    <row r="15010" spans="6:6" x14ac:dyDescent="0.3">
      <c r="F15010" s="193"/>
    </row>
    <row r="15011" spans="6:6" x14ac:dyDescent="0.3">
      <c r="F15011" s="193"/>
    </row>
    <row r="15012" spans="6:6" x14ac:dyDescent="0.3">
      <c r="F15012" s="193"/>
    </row>
    <row r="15013" spans="6:6" x14ac:dyDescent="0.3">
      <c r="F15013" s="193"/>
    </row>
    <row r="15014" spans="6:6" x14ac:dyDescent="0.3">
      <c r="F15014" s="193"/>
    </row>
    <row r="15015" spans="6:6" x14ac:dyDescent="0.3">
      <c r="F15015" s="193"/>
    </row>
    <row r="15016" spans="6:6" x14ac:dyDescent="0.3">
      <c r="F15016" s="193"/>
    </row>
    <row r="15017" spans="6:6" x14ac:dyDescent="0.3">
      <c r="F15017" s="193"/>
    </row>
    <row r="15018" spans="6:6" x14ac:dyDescent="0.3">
      <c r="F15018" s="193"/>
    </row>
    <row r="15019" spans="6:6" x14ac:dyDescent="0.3">
      <c r="F15019" s="193"/>
    </row>
    <row r="15020" spans="6:6" x14ac:dyDescent="0.3">
      <c r="F15020" s="193"/>
    </row>
    <row r="15021" spans="6:6" x14ac:dyDescent="0.3">
      <c r="F15021" s="193"/>
    </row>
    <row r="15022" spans="6:6" x14ac:dyDescent="0.3">
      <c r="F15022" s="193"/>
    </row>
    <row r="15023" spans="6:6" x14ac:dyDescent="0.3">
      <c r="F15023" s="193"/>
    </row>
    <row r="15024" spans="6:6" x14ac:dyDescent="0.3">
      <c r="F15024" s="193"/>
    </row>
    <row r="15025" spans="6:6" x14ac:dyDescent="0.3">
      <c r="F15025" s="193"/>
    </row>
    <row r="15026" spans="6:6" x14ac:dyDescent="0.3">
      <c r="F15026" s="193"/>
    </row>
    <row r="15027" spans="6:6" x14ac:dyDescent="0.3">
      <c r="F15027" s="193"/>
    </row>
    <row r="15028" spans="6:6" x14ac:dyDescent="0.3">
      <c r="F15028" s="193"/>
    </row>
    <row r="15029" spans="6:6" x14ac:dyDescent="0.3">
      <c r="F15029" s="193"/>
    </row>
    <row r="15030" spans="6:6" x14ac:dyDescent="0.3">
      <c r="F15030" s="193"/>
    </row>
    <row r="15031" spans="6:6" x14ac:dyDescent="0.3">
      <c r="F15031" s="193"/>
    </row>
    <row r="15032" spans="6:6" x14ac:dyDescent="0.3">
      <c r="F15032" s="193"/>
    </row>
    <row r="15033" spans="6:6" x14ac:dyDescent="0.3">
      <c r="F15033" s="193"/>
    </row>
    <row r="15034" spans="6:6" x14ac:dyDescent="0.3">
      <c r="F15034" s="193"/>
    </row>
    <row r="15035" spans="6:6" x14ac:dyDescent="0.3">
      <c r="F15035" s="193"/>
    </row>
    <row r="15036" spans="6:6" x14ac:dyDescent="0.3">
      <c r="F15036" s="193"/>
    </row>
    <row r="15037" spans="6:6" x14ac:dyDescent="0.3">
      <c r="F15037" s="193"/>
    </row>
    <row r="15038" spans="6:6" x14ac:dyDescent="0.3">
      <c r="F15038" s="193"/>
    </row>
    <row r="15039" spans="6:6" x14ac:dyDescent="0.3">
      <c r="F15039" s="193"/>
    </row>
    <row r="15040" spans="6:6" x14ac:dyDescent="0.3">
      <c r="F15040" s="193"/>
    </row>
    <row r="15041" spans="6:6" x14ac:dyDescent="0.3">
      <c r="F15041" s="193"/>
    </row>
    <row r="15042" spans="6:6" x14ac:dyDescent="0.3">
      <c r="F15042" s="193"/>
    </row>
    <row r="15043" spans="6:6" x14ac:dyDescent="0.3">
      <c r="F15043" s="193"/>
    </row>
    <row r="15044" spans="6:6" x14ac:dyDescent="0.3">
      <c r="F15044" s="193"/>
    </row>
    <row r="15045" spans="6:6" x14ac:dyDescent="0.3">
      <c r="F15045" s="193"/>
    </row>
    <row r="15046" spans="6:6" x14ac:dyDescent="0.3">
      <c r="F15046" s="193"/>
    </row>
    <row r="15047" spans="6:6" x14ac:dyDescent="0.3">
      <c r="F15047" s="193"/>
    </row>
    <row r="15048" spans="6:6" x14ac:dyDescent="0.3">
      <c r="F15048" s="193"/>
    </row>
    <row r="15049" spans="6:6" x14ac:dyDescent="0.3">
      <c r="F15049" s="193"/>
    </row>
    <row r="15050" spans="6:6" x14ac:dyDescent="0.3">
      <c r="F15050" s="193"/>
    </row>
    <row r="15051" spans="6:6" x14ac:dyDescent="0.3">
      <c r="F15051" s="193"/>
    </row>
    <row r="15052" spans="6:6" x14ac:dyDescent="0.3">
      <c r="F15052" s="193"/>
    </row>
    <row r="15053" spans="6:6" x14ac:dyDescent="0.3">
      <c r="F15053" s="193"/>
    </row>
    <row r="15054" spans="6:6" x14ac:dyDescent="0.3">
      <c r="F15054" s="193"/>
    </row>
    <row r="15055" spans="6:6" x14ac:dyDescent="0.3">
      <c r="F15055" s="193"/>
    </row>
    <row r="15056" spans="6:6" x14ac:dyDescent="0.3">
      <c r="F15056" s="193"/>
    </row>
    <row r="15057" spans="6:6" x14ac:dyDescent="0.3">
      <c r="F15057" s="193"/>
    </row>
    <row r="15058" spans="6:6" x14ac:dyDescent="0.3">
      <c r="F15058" s="193"/>
    </row>
    <row r="15059" spans="6:6" x14ac:dyDescent="0.3">
      <c r="F15059" s="193"/>
    </row>
    <row r="15060" spans="6:6" x14ac:dyDescent="0.3">
      <c r="F15060" s="193"/>
    </row>
    <row r="15061" spans="6:6" x14ac:dyDescent="0.3">
      <c r="F15061" s="193"/>
    </row>
    <row r="15062" spans="6:6" x14ac:dyDescent="0.3">
      <c r="F15062" s="193"/>
    </row>
    <row r="15063" spans="6:6" x14ac:dyDescent="0.3">
      <c r="F15063" s="193"/>
    </row>
    <row r="15064" spans="6:6" x14ac:dyDescent="0.3">
      <c r="F15064" s="193"/>
    </row>
    <row r="15065" spans="6:6" x14ac:dyDescent="0.3">
      <c r="F15065" s="193"/>
    </row>
    <row r="15066" spans="6:6" x14ac:dyDescent="0.3">
      <c r="F15066" s="193"/>
    </row>
    <row r="15067" spans="6:6" x14ac:dyDescent="0.3">
      <c r="F15067" s="193"/>
    </row>
    <row r="15068" spans="6:6" x14ac:dyDescent="0.3">
      <c r="F15068" s="193"/>
    </row>
    <row r="15069" spans="6:6" x14ac:dyDescent="0.3">
      <c r="F15069" s="193"/>
    </row>
    <row r="15070" spans="6:6" x14ac:dyDescent="0.3">
      <c r="F15070" s="193"/>
    </row>
    <row r="15071" spans="6:6" x14ac:dyDescent="0.3">
      <c r="F15071" s="193"/>
    </row>
    <row r="15072" spans="6:6" x14ac:dyDescent="0.3">
      <c r="F15072" s="193"/>
    </row>
    <row r="15073" spans="6:6" x14ac:dyDescent="0.3">
      <c r="F15073" s="193"/>
    </row>
    <row r="15074" spans="6:6" x14ac:dyDescent="0.3">
      <c r="F15074" s="193"/>
    </row>
    <row r="15075" spans="6:6" x14ac:dyDescent="0.3">
      <c r="F15075" s="193"/>
    </row>
    <row r="15076" spans="6:6" x14ac:dyDescent="0.3">
      <c r="F15076" s="193"/>
    </row>
    <row r="15077" spans="6:6" x14ac:dyDescent="0.3">
      <c r="F15077" s="193"/>
    </row>
    <row r="15078" spans="6:6" x14ac:dyDescent="0.3">
      <c r="F15078" s="193"/>
    </row>
    <row r="15079" spans="6:6" x14ac:dyDescent="0.3">
      <c r="F15079" s="193"/>
    </row>
    <row r="15080" spans="6:6" x14ac:dyDescent="0.3">
      <c r="F15080" s="193"/>
    </row>
    <row r="15081" spans="6:6" x14ac:dyDescent="0.3">
      <c r="F15081" s="193"/>
    </row>
    <row r="15082" spans="6:6" x14ac:dyDescent="0.3">
      <c r="F15082" s="193"/>
    </row>
    <row r="15083" spans="6:6" x14ac:dyDescent="0.3">
      <c r="F15083" s="193"/>
    </row>
    <row r="15084" spans="6:6" x14ac:dyDescent="0.3">
      <c r="F15084" s="193"/>
    </row>
    <row r="15085" spans="6:6" x14ac:dyDescent="0.3">
      <c r="F15085" s="193"/>
    </row>
    <row r="15086" spans="6:6" x14ac:dyDescent="0.3">
      <c r="F15086" s="193"/>
    </row>
    <row r="15087" spans="6:6" x14ac:dyDescent="0.3">
      <c r="F15087" s="193"/>
    </row>
    <row r="15088" spans="6:6" x14ac:dyDescent="0.3">
      <c r="F15088" s="193"/>
    </row>
    <row r="15089" spans="6:6" x14ac:dyDescent="0.3">
      <c r="F15089" s="193"/>
    </row>
    <row r="15090" spans="6:6" x14ac:dyDescent="0.3">
      <c r="F15090" s="193"/>
    </row>
    <row r="15091" spans="6:6" x14ac:dyDescent="0.3">
      <c r="F15091" s="193"/>
    </row>
    <row r="15092" spans="6:6" x14ac:dyDescent="0.3">
      <c r="F15092" s="193"/>
    </row>
    <row r="15093" spans="6:6" x14ac:dyDescent="0.3">
      <c r="F15093" s="193"/>
    </row>
    <row r="15094" spans="6:6" x14ac:dyDescent="0.3">
      <c r="F15094" s="193"/>
    </row>
    <row r="15095" spans="6:6" x14ac:dyDescent="0.3">
      <c r="F15095" s="193"/>
    </row>
    <row r="15096" spans="6:6" x14ac:dyDescent="0.3">
      <c r="F15096" s="193"/>
    </row>
    <row r="15097" spans="6:6" x14ac:dyDescent="0.3">
      <c r="F15097" s="193"/>
    </row>
    <row r="15098" spans="6:6" x14ac:dyDescent="0.3">
      <c r="F15098" s="193"/>
    </row>
    <row r="15099" spans="6:6" x14ac:dyDescent="0.3">
      <c r="F15099" s="193"/>
    </row>
    <row r="15100" spans="6:6" x14ac:dyDescent="0.3">
      <c r="F15100" s="193"/>
    </row>
    <row r="15101" spans="6:6" x14ac:dyDescent="0.3">
      <c r="F15101" s="193"/>
    </row>
    <row r="15102" spans="6:6" x14ac:dyDescent="0.3">
      <c r="F15102" s="193"/>
    </row>
    <row r="15103" spans="6:6" x14ac:dyDescent="0.3">
      <c r="F15103" s="193"/>
    </row>
    <row r="15104" spans="6:6" x14ac:dyDescent="0.3">
      <c r="F15104" s="193"/>
    </row>
    <row r="15105" spans="6:6" x14ac:dyDescent="0.3">
      <c r="F15105" s="193"/>
    </row>
    <row r="15106" spans="6:6" x14ac:dyDescent="0.3">
      <c r="F15106" s="193"/>
    </row>
    <row r="15107" spans="6:6" x14ac:dyDescent="0.3">
      <c r="F15107" s="193"/>
    </row>
    <row r="15108" spans="6:6" x14ac:dyDescent="0.3">
      <c r="F15108" s="193"/>
    </row>
    <row r="15109" spans="6:6" x14ac:dyDescent="0.3">
      <c r="F15109" s="193"/>
    </row>
    <row r="15110" spans="6:6" x14ac:dyDescent="0.3">
      <c r="F15110" s="193"/>
    </row>
    <row r="15111" spans="6:6" x14ac:dyDescent="0.3">
      <c r="F15111" s="193"/>
    </row>
    <row r="15112" spans="6:6" x14ac:dyDescent="0.3">
      <c r="F15112" s="193"/>
    </row>
    <row r="15113" spans="6:6" x14ac:dyDescent="0.3">
      <c r="F15113" s="193"/>
    </row>
    <row r="15114" spans="6:6" x14ac:dyDescent="0.3">
      <c r="F15114" s="193"/>
    </row>
    <row r="15115" spans="6:6" x14ac:dyDescent="0.3">
      <c r="F15115" s="193"/>
    </row>
    <row r="15116" spans="6:6" x14ac:dyDescent="0.3">
      <c r="F15116" s="193"/>
    </row>
    <row r="15117" spans="6:6" x14ac:dyDescent="0.3">
      <c r="F15117" s="193"/>
    </row>
    <row r="15118" spans="6:6" x14ac:dyDescent="0.3">
      <c r="F15118" s="193"/>
    </row>
    <row r="15119" spans="6:6" x14ac:dyDescent="0.3">
      <c r="F15119" s="193"/>
    </row>
    <row r="15120" spans="6:6" x14ac:dyDescent="0.3">
      <c r="F15120" s="193"/>
    </row>
    <row r="15121" spans="6:6" x14ac:dyDescent="0.3">
      <c r="F15121" s="193"/>
    </row>
    <row r="15122" spans="6:6" x14ac:dyDescent="0.3">
      <c r="F15122" s="193"/>
    </row>
    <row r="15123" spans="6:6" x14ac:dyDescent="0.3">
      <c r="F15123" s="193"/>
    </row>
    <row r="15124" spans="6:6" x14ac:dyDescent="0.3">
      <c r="F15124" s="193"/>
    </row>
    <row r="15125" spans="6:6" x14ac:dyDescent="0.3">
      <c r="F15125" s="193"/>
    </row>
    <row r="15126" spans="6:6" x14ac:dyDescent="0.3">
      <c r="F15126" s="193"/>
    </row>
    <row r="15127" spans="6:6" x14ac:dyDescent="0.3">
      <c r="F15127" s="193"/>
    </row>
    <row r="15128" spans="6:6" x14ac:dyDescent="0.3">
      <c r="F15128" s="193"/>
    </row>
    <row r="15129" spans="6:6" x14ac:dyDescent="0.3">
      <c r="F15129" s="193"/>
    </row>
    <row r="15130" spans="6:6" x14ac:dyDescent="0.3">
      <c r="F15130" s="193"/>
    </row>
    <row r="15131" spans="6:6" x14ac:dyDescent="0.3">
      <c r="F15131" s="193"/>
    </row>
    <row r="15132" spans="6:6" x14ac:dyDescent="0.3">
      <c r="F15132" s="193"/>
    </row>
    <row r="15133" spans="6:6" x14ac:dyDescent="0.3">
      <c r="F15133" s="193"/>
    </row>
    <row r="15134" spans="6:6" x14ac:dyDescent="0.3">
      <c r="F15134" s="193"/>
    </row>
    <row r="15135" spans="6:6" x14ac:dyDescent="0.3">
      <c r="F15135" s="193"/>
    </row>
    <row r="15136" spans="6:6" x14ac:dyDescent="0.3">
      <c r="F15136" s="193"/>
    </row>
    <row r="15137" spans="6:6" x14ac:dyDescent="0.3">
      <c r="F15137" s="193"/>
    </row>
    <row r="15138" spans="6:6" x14ac:dyDescent="0.3">
      <c r="F15138" s="193"/>
    </row>
    <row r="15139" spans="6:6" x14ac:dyDescent="0.3">
      <c r="F15139" s="193"/>
    </row>
    <row r="15140" spans="6:6" x14ac:dyDescent="0.3">
      <c r="F15140" s="193"/>
    </row>
    <row r="15141" spans="6:6" x14ac:dyDescent="0.3">
      <c r="F15141" s="193"/>
    </row>
    <row r="15142" spans="6:6" x14ac:dyDescent="0.3">
      <c r="F15142" s="193"/>
    </row>
    <row r="15143" spans="6:6" x14ac:dyDescent="0.3">
      <c r="F15143" s="193"/>
    </row>
    <row r="15144" spans="6:6" x14ac:dyDescent="0.3">
      <c r="F15144" s="193"/>
    </row>
    <row r="15145" spans="6:6" x14ac:dyDescent="0.3">
      <c r="F15145" s="193"/>
    </row>
    <row r="15146" spans="6:6" x14ac:dyDescent="0.3">
      <c r="F15146" s="193"/>
    </row>
    <row r="15147" spans="6:6" x14ac:dyDescent="0.3">
      <c r="F15147" s="193"/>
    </row>
    <row r="15148" spans="6:6" x14ac:dyDescent="0.3">
      <c r="F15148" s="193"/>
    </row>
    <row r="15149" spans="6:6" x14ac:dyDescent="0.3">
      <c r="F15149" s="193"/>
    </row>
    <row r="15150" spans="6:6" x14ac:dyDescent="0.3">
      <c r="F15150" s="193"/>
    </row>
    <row r="15151" spans="6:6" x14ac:dyDescent="0.3">
      <c r="F15151" s="193"/>
    </row>
    <row r="15152" spans="6:6" x14ac:dyDescent="0.3">
      <c r="F15152" s="193"/>
    </row>
    <row r="15153" spans="6:6" x14ac:dyDescent="0.3">
      <c r="F15153" s="193"/>
    </row>
    <row r="15154" spans="6:6" x14ac:dyDescent="0.3">
      <c r="F15154" s="193"/>
    </row>
    <row r="15155" spans="6:6" x14ac:dyDescent="0.3">
      <c r="F15155" s="193"/>
    </row>
    <row r="15156" spans="6:6" x14ac:dyDescent="0.3">
      <c r="F15156" s="193"/>
    </row>
    <row r="15157" spans="6:6" x14ac:dyDescent="0.3">
      <c r="F15157" s="193"/>
    </row>
    <row r="15158" spans="6:6" x14ac:dyDescent="0.3">
      <c r="F15158" s="193"/>
    </row>
    <row r="15159" spans="6:6" x14ac:dyDescent="0.3">
      <c r="F15159" s="193"/>
    </row>
    <row r="15160" spans="6:6" x14ac:dyDescent="0.3">
      <c r="F15160" s="193"/>
    </row>
    <row r="15161" spans="6:6" x14ac:dyDescent="0.3">
      <c r="F15161" s="193"/>
    </row>
    <row r="15162" spans="6:6" x14ac:dyDescent="0.3">
      <c r="F15162" s="193"/>
    </row>
    <row r="15163" spans="6:6" x14ac:dyDescent="0.3">
      <c r="F15163" s="193"/>
    </row>
    <row r="15164" spans="6:6" x14ac:dyDescent="0.3">
      <c r="F15164" s="193"/>
    </row>
    <row r="15165" spans="6:6" x14ac:dyDescent="0.3">
      <c r="F15165" s="193"/>
    </row>
    <row r="15166" spans="6:6" x14ac:dyDescent="0.3">
      <c r="F15166" s="193"/>
    </row>
    <row r="15167" spans="6:6" x14ac:dyDescent="0.3">
      <c r="F15167" s="193"/>
    </row>
    <row r="15168" spans="6:6" x14ac:dyDescent="0.3">
      <c r="F15168" s="193"/>
    </row>
    <row r="15169" spans="6:6" x14ac:dyDescent="0.3">
      <c r="F15169" s="193"/>
    </row>
    <row r="15170" spans="6:6" x14ac:dyDescent="0.3">
      <c r="F15170" s="193"/>
    </row>
    <row r="15171" spans="6:6" x14ac:dyDescent="0.3">
      <c r="F15171" s="193"/>
    </row>
    <row r="15172" spans="6:6" x14ac:dyDescent="0.3">
      <c r="F15172" s="193"/>
    </row>
    <row r="15173" spans="6:6" x14ac:dyDescent="0.3">
      <c r="F15173" s="193"/>
    </row>
    <row r="15174" spans="6:6" x14ac:dyDescent="0.3">
      <c r="F15174" s="193"/>
    </row>
    <row r="15175" spans="6:6" x14ac:dyDescent="0.3">
      <c r="F15175" s="193"/>
    </row>
    <row r="15176" spans="6:6" x14ac:dyDescent="0.3">
      <c r="F15176" s="193"/>
    </row>
    <row r="15177" spans="6:6" x14ac:dyDescent="0.3">
      <c r="F15177" s="193"/>
    </row>
    <row r="15178" spans="6:6" x14ac:dyDescent="0.3">
      <c r="F15178" s="193"/>
    </row>
    <row r="15179" spans="6:6" x14ac:dyDescent="0.3">
      <c r="F15179" s="193"/>
    </row>
    <row r="15180" spans="6:6" x14ac:dyDescent="0.3">
      <c r="F15180" s="193"/>
    </row>
    <row r="15181" spans="6:6" x14ac:dyDescent="0.3">
      <c r="F15181" s="193"/>
    </row>
    <row r="15182" spans="6:6" x14ac:dyDescent="0.3">
      <c r="F15182" s="193"/>
    </row>
    <row r="15183" spans="6:6" x14ac:dyDescent="0.3">
      <c r="F15183" s="193"/>
    </row>
    <row r="15184" spans="6:6" x14ac:dyDescent="0.3">
      <c r="F15184" s="193"/>
    </row>
    <row r="15185" spans="6:6" x14ac:dyDescent="0.3">
      <c r="F15185" s="193"/>
    </row>
    <row r="15186" spans="6:6" x14ac:dyDescent="0.3">
      <c r="F15186" s="193"/>
    </row>
    <row r="15187" spans="6:6" x14ac:dyDescent="0.3">
      <c r="F15187" s="193"/>
    </row>
    <row r="15188" spans="6:6" x14ac:dyDescent="0.3">
      <c r="F15188" s="193"/>
    </row>
    <row r="15189" spans="6:6" x14ac:dyDescent="0.3">
      <c r="F15189" s="193"/>
    </row>
    <row r="15190" spans="6:6" x14ac:dyDescent="0.3">
      <c r="F15190" s="193"/>
    </row>
    <row r="15191" spans="6:6" x14ac:dyDescent="0.3">
      <c r="F15191" s="193"/>
    </row>
    <row r="15192" spans="6:6" x14ac:dyDescent="0.3">
      <c r="F15192" s="193"/>
    </row>
    <row r="15193" spans="6:6" x14ac:dyDescent="0.3">
      <c r="F15193" s="193"/>
    </row>
    <row r="15194" spans="6:6" x14ac:dyDescent="0.3">
      <c r="F15194" s="193"/>
    </row>
    <row r="15195" spans="6:6" x14ac:dyDescent="0.3">
      <c r="F15195" s="193"/>
    </row>
    <row r="15196" spans="6:6" x14ac:dyDescent="0.3">
      <c r="F15196" s="193"/>
    </row>
    <row r="15197" spans="6:6" x14ac:dyDescent="0.3">
      <c r="F15197" s="193"/>
    </row>
    <row r="15198" spans="6:6" x14ac:dyDescent="0.3">
      <c r="F15198" s="193"/>
    </row>
    <row r="15199" spans="6:6" x14ac:dyDescent="0.3">
      <c r="F15199" s="193"/>
    </row>
    <row r="15200" spans="6:6" x14ac:dyDescent="0.3">
      <c r="F15200" s="193"/>
    </row>
    <row r="15201" spans="6:6" x14ac:dyDescent="0.3">
      <c r="F15201" s="193"/>
    </row>
    <row r="15202" spans="6:6" x14ac:dyDescent="0.3">
      <c r="F15202" s="193"/>
    </row>
    <row r="15203" spans="6:6" x14ac:dyDescent="0.3">
      <c r="F15203" s="193"/>
    </row>
    <row r="15204" spans="6:6" x14ac:dyDescent="0.3">
      <c r="F15204" s="193"/>
    </row>
    <row r="15205" spans="6:6" x14ac:dyDescent="0.3">
      <c r="F15205" s="193"/>
    </row>
    <row r="15206" spans="6:6" x14ac:dyDescent="0.3">
      <c r="F15206" s="193"/>
    </row>
    <row r="15207" spans="6:6" x14ac:dyDescent="0.3">
      <c r="F15207" s="193"/>
    </row>
    <row r="15208" spans="6:6" x14ac:dyDescent="0.3">
      <c r="F15208" s="193"/>
    </row>
    <row r="15209" spans="6:6" x14ac:dyDescent="0.3">
      <c r="F15209" s="193"/>
    </row>
    <row r="15210" spans="6:6" x14ac:dyDescent="0.3">
      <c r="F15210" s="193"/>
    </row>
    <row r="15211" spans="6:6" x14ac:dyDescent="0.3">
      <c r="F15211" s="193"/>
    </row>
    <row r="15212" spans="6:6" x14ac:dyDescent="0.3">
      <c r="F15212" s="193"/>
    </row>
    <row r="15213" spans="6:6" x14ac:dyDescent="0.3">
      <c r="F15213" s="193"/>
    </row>
    <row r="15214" spans="6:6" x14ac:dyDescent="0.3">
      <c r="F15214" s="193"/>
    </row>
    <row r="15215" spans="6:6" x14ac:dyDescent="0.3">
      <c r="F15215" s="193"/>
    </row>
    <row r="15216" spans="6:6" x14ac:dyDescent="0.3">
      <c r="F15216" s="193"/>
    </row>
    <row r="15217" spans="6:6" x14ac:dyDescent="0.3">
      <c r="F15217" s="193"/>
    </row>
    <row r="15218" spans="6:6" x14ac:dyDescent="0.3">
      <c r="F15218" s="193"/>
    </row>
    <row r="15219" spans="6:6" x14ac:dyDescent="0.3">
      <c r="F15219" s="193"/>
    </row>
    <row r="15220" spans="6:6" x14ac:dyDescent="0.3">
      <c r="F15220" s="193"/>
    </row>
    <row r="15221" spans="6:6" x14ac:dyDescent="0.3">
      <c r="F15221" s="193"/>
    </row>
    <row r="15222" spans="6:6" x14ac:dyDescent="0.3">
      <c r="F15222" s="193"/>
    </row>
    <row r="15223" spans="6:6" x14ac:dyDescent="0.3">
      <c r="F15223" s="193"/>
    </row>
    <row r="15224" spans="6:6" x14ac:dyDescent="0.3">
      <c r="F15224" s="193"/>
    </row>
    <row r="15225" spans="6:6" x14ac:dyDescent="0.3">
      <c r="F15225" s="193"/>
    </row>
    <row r="15226" spans="6:6" x14ac:dyDescent="0.3">
      <c r="F15226" s="193"/>
    </row>
    <row r="15227" spans="6:6" x14ac:dyDescent="0.3">
      <c r="F15227" s="193"/>
    </row>
    <row r="15228" spans="6:6" x14ac:dyDescent="0.3">
      <c r="F15228" s="193"/>
    </row>
    <row r="15229" spans="6:6" x14ac:dyDescent="0.3">
      <c r="F15229" s="193"/>
    </row>
    <row r="15230" spans="6:6" x14ac:dyDescent="0.3">
      <c r="F15230" s="193"/>
    </row>
    <row r="15231" spans="6:6" x14ac:dyDescent="0.3">
      <c r="F15231" s="193"/>
    </row>
    <row r="15232" spans="6:6" x14ac:dyDescent="0.3">
      <c r="F15232" s="193"/>
    </row>
    <row r="15233" spans="6:6" x14ac:dyDescent="0.3">
      <c r="F15233" s="193"/>
    </row>
    <row r="15234" spans="6:6" x14ac:dyDescent="0.3">
      <c r="F15234" s="193"/>
    </row>
    <row r="15235" spans="6:6" x14ac:dyDescent="0.3">
      <c r="F15235" s="193"/>
    </row>
    <row r="15236" spans="6:6" x14ac:dyDescent="0.3">
      <c r="F15236" s="193"/>
    </row>
    <row r="15237" spans="6:6" x14ac:dyDescent="0.3">
      <c r="F15237" s="193"/>
    </row>
    <row r="15238" spans="6:6" x14ac:dyDescent="0.3">
      <c r="F15238" s="193"/>
    </row>
    <row r="15239" spans="6:6" x14ac:dyDescent="0.3">
      <c r="F15239" s="193"/>
    </row>
    <row r="15240" spans="6:6" x14ac:dyDescent="0.3">
      <c r="F15240" s="193"/>
    </row>
    <row r="15241" spans="6:6" x14ac:dyDescent="0.3">
      <c r="F15241" s="193"/>
    </row>
    <row r="15242" spans="6:6" x14ac:dyDescent="0.3">
      <c r="F15242" s="193"/>
    </row>
    <row r="15243" spans="6:6" x14ac:dyDescent="0.3">
      <c r="F15243" s="193"/>
    </row>
    <row r="15244" spans="6:6" x14ac:dyDescent="0.3">
      <c r="F15244" s="193"/>
    </row>
    <row r="15245" spans="6:6" x14ac:dyDescent="0.3">
      <c r="F15245" s="193"/>
    </row>
    <row r="15246" spans="6:6" x14ac:dyDescent="0.3">
      <c r="F15246" s="193"/>
    </row>
    <row r="15247" spans="6:6" x14ac:dyDescent="0.3">
      <c r="F15247" s="193"/>
    </row>
    <row r="15248" spans="6:6" x14ac:dyDescent="0.3">
      <c r="F15248" s="193"/>
    </row>
    <row r="15249" spans="6:6" x14ac:dyDescent="0.3">
      <c r="F15249" s="193"/>
    </row>
    <row r="15250" spans="6:6" x14ac:dyDescent="0.3">
      <c r="F15250" s="193"/>
    </row>
    <row r="15251" spans="6:6" x14ac:dyDescent="0.3">
      <c r="F15251" s="193"/>
    </row>
    <row r="15252" spans="6:6" x14ac:dyDescent="0.3">
      <c r="F15252" s="193"/>
    </row>
    <row r="15253" spans="6:6" x14ac:dyDescent="0.3">
      <c r="F15253" s="193"/>
    </row>
    <row r="15254" spans="6:6" x14ac:dyDescent="0.3">
      <c r="F15254" s="193"/>
    </row>
    <row r="15255" spans="6:6" x14ac:dyDescent="0.3">
      <c r="F15255" s="193"/>
    </row>
    <row r="15256" spans="6:6" x14ac:dyDescent="0.3">
      <c r="F15256" s="193"/>
    </row>
    <row r="15257" spans="6:6" x14ac:dyDescent="0.3">
      <c r="F15257" s="193"/>
    </row>
    <row r="15258" spans="6:6" x14ac:dyDescent="0.3">
      <c r="F15258" s="193"/>
    </row>
    <row r="15259" spans="6:6" x14ac:dyDescent="0.3">
      <c r="F15259" s="193"/>
    </row>
    <row r="15260" spans="6:6" x14ac:dyDescent="0.3">
      <c r="F15260" s="193"/>
    </row>
    <row r="15261" spans="6:6" x14ac:dyDescent="0.3">
      <c r="F15261" s="193"/>
    </row>
    <row r="15262" spans="6:6" x14ac:dyDescent="0.3">
      <c r="F15262" s="193"/>
    </row>
    <row r="15263" spans="6:6" x14ac:dyDescent="0.3">
      <c r="F15263" s="193"/>
    </row>
    <row r="15264" spans="6:6" x14ac:dyDescent="0.3">
      <c r="F15264" s="193"/>
    </row>
    <row r="15265" spans="6:6" x14ac:dyDescent="0.3">
      <c r="F15265" s="193"/>
    </row>
    <row r="15266" spans="6:6" x14ac:dyDescent="0.3">
      <c r="F15266" s="193"/>
    </row>
    <row r="15267" spans="6:6" x14ac:dyDescent="0.3">
      <c r="F15267" s="193"/>
    </row>
    <row r="15268" spans="6:6" x14ac:dyDescent="0.3">
      <c r="F15268" s="193"/>
    </row>
    <row r="15269" spans="6:6" x14ac:dyDescent="0.3">
      <c r="F15269" s="193"/>
    </row>
    <row r="15270" spans="6:6" x14ac:dyDescent="0.3">
      <c r="F15270" s="193"/>
    </row>
    <row r="15271" spans="6:6" x14ac:dyDescent="0.3">
      <c r="F15271" s="193"/>
    </row>
    <row r="15272" spans="6:6" x14ac:dyDescent="0.3">
      <c r="F15272" s="193"/>
    </row>
    <row r="15273" spans="6:6" x14ac:dyDescent="0.3">
      <c r="F15273" s="193"/>
    </row>
    <row r="15274" spans="6:6" x14ac:dyDescent="0.3">
      <c r="F15274" s="193"/>
    </row>
    <row r="15275" spans="6:6" x14ac:dyDescent="0.3">
      <c r="F15275" s="193"/>
    </row>
    <row r="15276" spans="6:6" x14ac:dyDescent="0.3">
      <c r="F15276" s="193"/>
    </row>
    <row r="15277" spans="6:6" x14ac:dyDescent="0.3">
      <c r="F15277" s="193"/>
    </row>
    <row r="15278" spans="6:6" x14ac:dyDescent="0.3">
      <c r="F15278" s="193"/>
    </row>
    <row r="15279" spans="6:6" x14ac:dyDescent="0.3">
      <c r="F15279" s="193"/>
    </row>
    <row r="15280" spans="6:6" x14ac:dyDescent="0.3">
      <c r="F15280" s="193"/>
    </row>
    <row r="15281" spans="6:6" x14ac:dyDescent="0.3">
      <c r="F15281" s="193"/>
    </row>
    <row r="15282" spans="6:6" x14ac:dyDescent="0.3">
      <c r="F15282" s="193"/>
    </row>
    <row r="15283" spans="6:6" x14ac:dyDescent="0.3">
      <c r="F15283" s="193"/>
    </row>
    <row r="15284" spans="6:6" x14ac:dyDescent="0.3">
      <c r="F15284" s="193"/>
    </row>
    <row r="15285" spans="6:6" x14ac:dyDescent="0.3">
      <c r="F15285" s="193"/>
    </row>
    <row r="15286" spans="6:6" x14ac:dyDescent="0.3">
      <c r="F15286" s="193"/>
    </row>
    <row r="15287" spans="6:6" x14ac:dyDescent="0.3">
      <c r="F15287" s="193"/>
    </row>
    <row r="15288" spans="6:6" x14ac:dyDescent="0.3">
      <c r="F15288" s="193"/>
    </row>
    <row r="15289" spans="6:6" x14ac:dyDescent="0.3">
      <c r="F15289" s="193"/>
    </row>
    <row r="15290" spans="6:6" x14ac:dyDescent="0.3">
      <c r="F15290" s="193"/>
    </row>
    <row r="15291" spans="6:6" x14ac:dyDescent="0.3">
      <c r="F15291" s="193"/>
    </row>
    <row r="15292" spans="6:6" x14ac:dyDescent="0.3">
      <c r="F15292" s="193"/>
    </row>
    <row r="15293" spans="6:6" x14ac:dyDescent="0.3">
      <c r="F15293" s="193"/>
    </row>
    <row r="15294" spans="6:6" x14ac:dyDescent="0.3">
      <c r="F15294" s="193"/>
    </row>
    <row r="15295" spans="6:6" x14ac:dyDescent="0.3">
      <c r="F15295" s="193"/>
    </row>
    <row r="15296" spans="6:6" x14ac:dyDescent="0.3">
      <c r="F15296" s="193"/>
    </row>
    <row r="15297" spans="6:6" x14ac:dyDescent="0.3">
      <c r="F15297" s="193"/>
    </row>
    <row r="15298" spans="6:6" x14ac:dyDescent="0.3">
      <c r="F15298" s="193"/>
    </row>
    <row r="15299" spans="6:6" x14ac:dyDescent="0.3">
      <c r="F15299" s="193"/>
    </row>
    <row r="15300" spans="6:6" x14ac:dyDescent="0.3">
      <c r="F15300" s="193"/>
    </row>
    <row r="15301" spans="6:6" x14ac:dyDescent="0.3">
      <c r="F15301" s="193"/>
    </row>
    <row r="15302" spans="6:6" x14ac:dyDescent="0.3">
      <c r="F15302" s="193"/>
    </row>
    <row r="15303" spans="6:6" x14ac:dyDescent="0.3">
      <c r="F15303" s="193"/>
    </row>
    <row r="15304" spans="6:6" x14ac:dyDescent="0.3">
      <c r="F15304" s="193"/>
    </row>
    <row r="15305" spans="6:6" x14ac:dyDescent="0.3">
      <c r="F15305" s="193"/>
    </row>
    <row r="15306" spans="6:6" x14ac:dyDescent="0.3">
      <c r="F15306" s="193"/>
    </row>
    <row r="15307" spans="6:6" x14ac:dyDescent="0.3">
      <c r="F15307" s="193"/>
    </row>
    <row r="15308" spans="6:6" x14ac:dyDescent="0.3">
      <c r="F15308" s="193"/>
    </row>
    <row r="15309" spans="6:6" x14ac:dyDescent="0.3">
      <c r="F15309" s="193"/>
    </row>
    <row r="15310" spans="6:6" x14ac:dyDescent="0.3">
      <c r="F15310" s="193"/>
    </row>
    <row r="15311" spans="6:6" x14ac:dyDescent="0.3">
      <c r="F15311" s="193"/>
    </row>
    <row r="15312" spans="6:6" x14ac:dyDescent="0.3">
      <c r="F15312" s="193"/>
    </row>
    <row r="15313" spans="6:6" x14ac:dyDescent="0.3">
      <c r="F15313" s="193"/>
    </row>
    <row r="15314" spans="6:6" x14ac:dyDescent="0.3">
      <c r="F15314" s="193"/>
    </row>
    <row r="15315" spans="6:6" x14ac:dyDescent="0.3">
      <c r="F15315" s="193"/>
    </row>
    <row r="15316" spans="6:6" x14ac:dyDescent="0.3">
      <c r="F15316" s="193"/>
    </row>
    <row r="15317" spans="6:6" x14ac:dyDescent="0.3">
      <c r="F15317" s="193"/>
    </row>
    <row r="15318" spans="6:6" x14ac:dyDescent="0.3">
      <c r="F15318" s="193"/>
    </row>
    <row r="15319" spans="6:6" x14ac:dyDescent="0.3">
      <c r="F15319" s="193"/>
    </row>
    <row r="15320" spans="6:6" x14ac:dyDescent="0.3">
      <c r="F15320" s="193"/>
    </row>
    <row r="15321" spans="6:6" x14ac:dyDescent="0.3">
      <c r="F15321" s="193"/>
    </row>
    <row r="15322" spans="6:6" x14ac:dyDescent="0.3">
      <c r="F15322" s="193"/>
    </row>
    <row r="15323" spans="6:6" x14ac:dyDescent="0.3">
      <c r="F15323" s="193"/>
    </row>
    <row r="15324" spans="6:6" x14ac:dyDescent="0.3">
      <c r="F15324" s="193"/>
    </row>
    <row r="15325" spans="6:6" x14ac:dyDescent="0.3">
      <c r="F15325" s="193"/>
    </row>
    <row r="15326" spans="6:6" x14ac:dyDescent="0.3">
      <c r="F15326" s="193"/>
    </row>
    <row r="15327" spans="6:6" x14ac:dyDescent="0.3">
      <c r="F15327" s="193"/>
    </row>
    <row r="15328" spans="6:6" x14ac:dyDescent="0.3">
      <c r="F15328" s="193"/>
    </row>
    <row r="15329" spans="6:6" x14ac:dyDescent="0.3">
      <c r="F15329" s="193"/>
    </row>
    <row r="15330" spans="6:6" x14ac:dyDescent="0.3">
      <c r="F15330" s="193"/>
    </row>
    <row r="15331" spans="6:6" x14ac:dyDescent="0.3">
      <c r="F15331" s="193"/>
    </row>
    <row r="15332" spans="6:6" x14ac:dyDescent="0.3">
      <c r="F15332" s="193"/>
    </row>
    <row r="15333" spans="6:6" x14ac:dyDescent="0.3">
      <c r="F15333" s="193"/>
    </row>
    <row r="15334" spans="6:6" x14ac:dyDescent="0.3">
      <c r="F15334" s="193"/>
    </row>
    <row r="15335" spans="6:6" x14ac:dyDescent="0.3">
      <c r="F15335" s="193"/>
    </row>
    <row r="15336" spans="6:6" x14ac:dyDescent="0.3">
      <c r="F15336" s="193"/>
    </row>
    <row r="15337" spans="6:6" x14ac:dyDescent="0.3">
      <c r="F15337" s="193"/>
    </row>
    <row r="15338" spans="6:6" x14ac:dyDescent="0.3">
      <c r="F15338" s="193"/>
    </row>
    <row r="15339" spans="6:6" x14ac:dyDescent="0.3">
      <c r="F15339" s="193"/>
    </row>
    <row r="15340" spans="6:6" x14ac:dyDescent="0.3">
      <c r="F15340" s="193"/>
    </row>
    <row r="15341" spans="6:6" x14ac:dyDescent="0.3">
      <c r="F15341" s="193"/>
    </row>
    <row r="15342" spans="6:6" x14ac:dyDescent="0.3">
      <c r="F15342" s="193"/>
    </row>
    <row r="15343" spans="6:6" x14ac:dyDescent="0.3">
      <c r="F15343" s="193"/>
    </row>
    <row r="15344" spans="6:6" x14ac:dyDescent="0.3">
      <c r="F15344" s="193"/>
    </row>
    <row r="15345" spans="6:6" x14ac:dyDescent="0.3">
      <c r="F15345" s="193"/>
    </row>
    <row r="15346" spans="6:6" x14ac:dyDescent="0.3">
      <c r="F15346" s="193"/>
    </row>
    <row r="15347" spans="6:6" x14ac:dyDescent="0.3">
      <c r="F15347" s="193"/>
    </row>
    <row r="15348" spans="6:6" x14ac:dyDescent="0.3">
      <c r="F15348" s="193"/>
    </row>
    <row r="15349" spans="6:6" x14ac:dyDescent="0.3">
      <c r="F15349" s="193"/>
    </row>
    <row r="15350" spans="6:6" x14ac:dyDescent="0.3">
      <c r="F15350" s="193"/>
    </row>
    <row r="15351" spans="6:6" x14ac:dyDescent="0.3">
      <c r="F15351" s="193"/>
    </row>
    <row r="15352" spans="6:6" x14ac:dyDescent="0.3">
      <c r="F15352" s="193"/>
    </row>
    <row r="15353" spans="6:6" x14ac:dyDescent="0.3">
      <c r="F15353" s="193"/>
    </row>
    <row r="15354" spans="6:6" x14ac:dyDescent="0.3">
      <c r="F15354" s="193"/>
    </row>
    <row r="15355" spans="6:6" x14ac:dyDescent="0.3">
      <c r="F15355" s="193"/>
    </row>
    <row r="15356" spans="6:6" x14ac:dyDescent="0.3">
      <c r="F15356" s="193"/>
    </row>
    <row r="15357" spans="6:6" x14ac:dyDescent="0.3">
      <c r="F15357" s="193"/>
    </row>
    <row r="15358" spans="6:6" x14ac:dyDescent="0.3">
      <c r="F15358" s="193"/>
    </row>
    <row r="15359" spans="6:6" x14ac:dyDescent="0.3">
      <c r="F15359" s="193"/>
    </row>
    <row r="15360" spans="6:6" x14ac:dyDescent="0.3">
      <c r="F15360" s="193"/>
    </row>
    <row r="15361" spans="6:6" x14ac:dyDescent="0.3">
      <c r="F15361" s="193"/>
    </row>
    <row r="15362" spans="6:6" x14ac:dyDescent="0.3">
      <c r="F15362" s="193"/>
    </row>
    <row r="15363" spans="6:6" x14ac:dyDescent="0.3">
      <c r="F15363" s="193"/>
    </row>
    <row r="15364" spans="6:6" x14ac:dyDescent="0.3">
      <c r="F15364" s="193"/>
    </row>
    <row r="15365" spans="6:6" x14ac:dyDescent="0.3">
      <c r="F15365" s="193"/>
    </row>
    <row r="15366" spans="6:6" x14ac:dyDescent="0.3">
      <c r="F15366" s="193"/>
    </row>
    <row r="15367" spans="6:6" x14ac:dyDescent="0.3">
      <c r="F15367" s="193"/>
    </row>
    <row r="15368" spans="6:6" x14ac:dyDescent="0.3">
      <c r="F15368" s="193"/>
    </row>
    <row r="15369" spans="6:6" x14ac:dyDescent="0.3">
      <c r="F15369" s="193"/>
    </row>
    <row r="15370" spans="6:6" x14ac:dyDescent="0.3">
      <c r="F15370" s="193"/>
    </row>
    <row r="15371" spans="6:6" x14ac:dyDescent="0.3">
      <c r="F15371" s="193"/>
    </row>
    <row r="15372" spans="6:6" x14ac:dyDescent="0.3">
      <c r="F15372" s="193"/>
    </row>
    <row r="15373" spans="6:6" x14ac:dyDescent="0.3">
      <c r="F15373" s="193"/>
    </row>
    <row r="15374" spans="6:6" x14ac:dyDescent="0.3">
      <c r="F15374" s="193"/>
    </row>
    <row r="15375" spans="6:6" x14ac:dyDescent="0.3">
      <c r="F15375" s="193"/>
    </row>
    <row r="15376" spans="6:6" x14ac:dyDescent="0.3">
      <c r="F15376" s="193"/>
    </row>
    <row r="15377" spans="6:6" x14ac:dyDescent="0.3">
      <c r="F15377" s="193"/>
    </row>
    <row r="15378" spans="6:6" x14ac:dyDescent="0.3">
      <c r="F15378" s="193"/>
    </row>
    <row r="15379" spans="6:6" x14ac:dyDescent="0.3">
      <c r="F15379" s="193"/>
    </row>
    <row r="15380" spans="6:6" x14ac:dyDescent="0.3">
      <c r="F15380" s="193"/>
    </row>
    <row r="15381" spans="6:6" x14ac:dyDescent="0.3">
      <c r="F15381" s="193"/>
    </row>
    <row r="15382" spans="6:6" x14ac:dyDescent="0.3">
      <c r="F15382" s="193"/>
    </row>
    <row r="15383" spans="6:6" x14ac:dyDescent="0.3">
      <c r="F15383" s="193"/>
    </row>
    <row r="15384" spans="6:6" x14ac:dyDescent="0.3">
      <c r="F15384" s="193"/>
    </row>
    <row r="15385" spans="6:6" x14ac:dyDescent="0.3">
      <c r="F15385" s="193"/>
    </row>
    <row r="15386" spans="6:6" x14ac:dyDescent="0.3">
      <c r="F15386" s="193"/>
    </row>
    <row r="15387" spans="6:6" x14ac:dyDescent="0.3">
      <c r="F15387" s="193"/>
    </row>
    <row r="15388" spans="6:6" x14ac:dyDescent="0.3">
      <c r="F15388" s="193"/>
    </row>
    <row r="15389" spans="6:6" x14ac:dyDescent="0.3">
      <c r="F15389" s="193"/>
    </row>
    <row r="15390" spans="6:6" x14ac:dyDescent="0.3">
      <c r="F15390" s="193"/>
    </row>
    <row r="15391" spans="6:6" x14ac:dyDescent="0.3">
      <c r="F15391" s="193"/>
    </row>
    <row r="15392" spans="6:6" x14ac:dyDescent="0.3">
      <c r="F15392" s="193"/>
    </row>
    <row r="15393" spans="6:6" x14ac:dyDescent="0.3">
      <c r="F15393" s="193"/>
    </row>
    <row r="15394" spans="6:6" x14ac:dyDescent="0.3">
      <c r="F15394" s="193"/>
    </row>
    <row r="15395" spans="6:6" x14ac:dyDescent="0.3">
      <c r="F15395" s="193"/>
    </row>
    <row r="15396" spans="6:6" x14ac:dyDescent="0.3">
      <c r="F15396" s="193"/>
    </row>
    <row r="15397" spans="6:6" x14ac:dyDescent="0.3">
      <c r="F15397" s="193"/>
    </row>
    <row r="15398" spans="6:6" x14ac:dyDescent="0.3">
      <c r="F15398" s="193"/>
    </row>
    <row r="15399" spans="6:6" x14ac:dyDescent="0.3">
      <c r="F15399" s="193"/>
    </row>
    <row r="15400" spans="6:6" x14ac:dyDescent="0.3">
      <c r="F15400" s="193"/>
    </row>
    <row r="15401" spans="6:6" x14ac:dyDescent="0.3">
      <c r="F15401" s="193"/>
    </row>
    <row r="15402" spans="6:6" x14ac:dyDescent="0.3">
      <c r="F15402" s="193"/>
    </row>
    <row r="15403" spans="6:6" x14ac:dyDescent="0.3">
      <c r="F15403" s="193"/>
    </row>
    <row r="15404" spans="6:6" x14ac:dyDescent="0.3">
      <c r="F15404" s="193"/>
    </row>
    <row r="15405" spans="6:6" x14ac:dyDescent="0.3">
      <c r="F15405" s="193"/>
    </row>
    <row r="15406" spans="6:6" x14ac:dyDescent="0.3">
      <c r="F15406" s="193"/>
    </row>
    <row r="15407" spans="6:6" x14ac:dyDescent="0.3">
      <c r="F15407" s="193"/>
    </row>
    <row r="15408" spans="6:6" x14ac:dyDescent="0.3">
      <c r="F15408" s="193"/>
    </row>
    <row r="15409" spans="6:6" x14ac:dyDescent="0.3">
      <c r="F15409" s="193"/>
    </row>
    <row r="15410" spans="6:6" x14ac:dyDescent="0.3">
      <c r="F15410" s="193"/>
    </row>
    <row r="15411" spans="6:6" x14ac:dyDescent="0.3">
      <c r="F15411" s="193"/>
    </row>
    <row r="15412" spans="6:6" x14ac:dyDescent="0.3">
      <c r="F15412" s="193"/>
    </row>
    <row r="15413" spans="6:6" x14ac:dyDescent="0.3">
      <c r="F15413" s="193"/>
    </row>
    <row r="15414" spans="6:6" x14ac:dyDescent="0.3">
      <c r="F15414" s="193"/>
    </row>
    <row r="15415" spans="6:6" x14ac:dyDescent="0.3">
      <c r="F15415" s="193"/>
    </row>
    <row r="15416" spans="6:6" x14ac:dyDescent="0.3">
      <c r="F15416" s="193"/>
    </row>
    <row r="15417" spans="6:6" x14ac:dyDescent="0.3">
      <c r="F15417" s="193"/>
    </row>
    <row r="15418" spans="6:6" x14ac:dyDescent="0.3">
      <c r="F15418" s="193"/>
    </row>
    <row r="15419" spans="6:6" x14ac:dyDescent="0.3">
      <c r="F15419" s="193"/>
    </row>
    <row r="15420" spans="6:6" x14ac:dyDescent="0.3">
      <c r="F15420" s="193"/>
    </row>
    <row r="15421" spans="6:6" x14ac:dyDescent="0.3">
      <c r="F15421" s="193"/>
    </row>
    <row r="15422" spans="6:6" x14ac:dyDescent="0.3">
      <c r="F15422" s="193"/>
    </row>
    <row r="15423" spans="6:6" x14ac:dyDescent="0.3">
      <c r="F15423" s="193"/>
    </row>
    <row r="15424" spans="6:6" x14ac:dyDescent="0.3">
      <c r="F15424" s="193"/>
    </row>
    <row r="15425" spans="6:6" x14ac:dyDescent="0.3">
      <c r="F15425" s="193"/>
    </row>
    <row r="15426" spans="6:6" x14ac:dyDescent="0.3">
      <c r="F15426" s="193"/>
    </row>
    <row r="15427" spans="6:6" x14ac:dyDescent="0.3">
      <c r="F15427" s="193"/>
    </row>
    <row r="15428" spans="6:6" x14ac:dyDescent="0.3">
      <c r="F15428" s="193"/>
    </row>
    <row r="15429" spans="6:6" x14ac:dyDescent="0.3">
      <c r="F15429" s="193"/>
    </row>
    <row r="15430" spans="6:6" x14ac:dyDescent="0.3">
      <c r="F15430" s="193"/>
    </row>
    <row r="15431" spans="6:6" x14ac:dyDescent="0.3">
      <c r="F15431" s="193"/>
    </row>
    <row r="15432" spans="6:6" x14ac:dyDescent="0.3">
      <c r="F15432" s="193"/>
    </row>
    <row r="15433" spans="6:6" x14ac:dyDescent="0.3">
      <c r="F15433" s="193"/>
    </row>
    <row r="15434" spans="6:6" x14ac:dyDescent="0.3">
      <c r="F15434" s="193"/>
    </row>
    <row r="15435" spans="6:6" x14ac:dyDescent="0.3">
      <c r="F15435" s="193"/>
    </row>
    <row r="15436" spans="6:6" x14ac:dyDescent="0.3">
      <c r="F15436" s="193"/>
    </row>
    <row r="15437" spans="6:6" x14ac:dyDescent="0.3">
      <c r="F15437" s="193"/>
    </row>
    <row r="15438" spans="6:6" x14ac:dyDescent="0.3">
      <c r="F15438" s="193"/>
    </row>
    <row r="15439" spans="6:6" x14ac:dyDescent="0.3">
      <c r="F15439" s="193"/>
    </row>
    <row r="15440" spans="6:6" x14ac:dyDescent="0.3">
      <c r="F15440" s="193"/>
    </row>
    <row r="15441" spans="6:6" x14ac:dyDescent="0.3">
      <c r="F15441" s="193"/>
    </row>
    <row r="15442" spans="6:6" x14ac:dyDescent="0.3">
      <c r="F15442" s="193"/>
    </row>
    <row r="15443" spans="6:6" x14ac:dyDescent="0.3">
      <c r="F15443" s="193"/>
    </row>
    <row r="15444" spans="6:6" x14ac:dyDescent="0.3">
      <c r="F15444" s="193"/>
    </row>
    <row r="15445" spans="6:6" x14ac:dyDescent="0.3">
      <c r="F15445" s="193"/>
    </row>
    <row r="15446" spans="6:6" x14ac:dyDescent="0.3">
      <c r="F15446" s="193"/>
    </row>
    <row r="15447" spans="6:6" x14ac:dyDescent="0.3">
      <c r="F15447" s="193"/>
    </row>
    <row r="15448" spans="6:6" x14ac:dyDescent="0.3">
      <c r="F15448" s="193"/>
    </row>
    <row r="15449" spans="6:6" x14ac:dyDescent="0.3">
      <c r="F15449" s="193"/>
    </row>
    <row r="15450" spans="6:6" x14ac:dyDescent="0.3">
      <c r="F15450" s="193"/>
    </row>
    <row r="15451" spans="6:6" x14ac:dyDescent="0.3">
      <c r="F15451" s="193"/>
    </row>
    <row r="15452" spans="6:6" x14ac:dyDescent="0.3">
      <c r="F15452" s="193"/>
    </row>
    <row r="15453" spans="6:6" x14ac:dyDescent="0.3">
      <c r="F15453" s="193"/>
    </row>
    <row r="15454" spans="6:6" x14ac:dyDescent="0.3">
      <c r="F15454" s="193"/>
    </row>
    <row r="15455" spans="6:6" x14ac:dyDescent="0.3">
      <c r="F15455" s="193"/>
    </row>
    <row r="15456" spans="6:6" x14ac:dyDescent="0.3">
      <c r="F15456" s="193"/>
    </row>
    <row r="15457" spans="6:6" x14ac:dyDescent="0.3">
      <c r="F15457" s="193"/>
    </row>
    <row r="15458" spans="6:6" x14ac:dyDescent="0.3">
      <c r="F15458" s="193"/>
    </row>
    <row r="15459" spans="6:6" x14ac:dyDescent="0.3">
      <c r="F15459" s="193"/>
    </row>
    <row r="15460" spans="6:6" x14ac:dyDescent="0.3">
      <c r="F15460" s="193"/>
    </row>
    <row r="15461" spans="6:6" x14ac:dyDescent="0.3">
      <c r="F15461" s="193"/>
    </row>
    <row r="15462" spans="6:6" x14ac:dyDescent="0.3">
      <c r="F15462" s="193"/>
    </row>
    <row r="15463" spans="6:6" x14ac:dyDescent="0.3">
      <c r="F15463" s="193"/>
    </row>
    <row r="15464" spans="6:6" x14ac:dyDescent="0.3">
      <c r="F15464" s="193"/>
    </row>
    <row r="15465" spans="6:6" x14ac:dyDescent="0.3">
      <c r="F15465" s="193"/>
    </row>
    <row r="15466" spans="6:6" x14ac:dyDescent="0.3">
      <c r="F15466" s="193"/>
    </row>
    <row r="15467" spans="6:6" x14ac:dyDescent="0.3">
      <c r="F15467" s="193"/>
    </row>
    <row r="15468" spans="6:6" x14ac:dyDescent="0.3">
      <c r="F15468" s="193"/>
    </row>
    <row r="15469" spans="6:6" x14ac:dyDescent="0.3">
      <c r="F15469" s="193"/>
    </row>
    <row r="15470" spans="6:6" x14ac:dyDescent="0.3">
      <c r="F15470" s="193"/>
    </row>
    <row r="15471" spans="6:6" x14ac:dyDescent="0.3">
      <c r="F15471" s="193"/>
    </row>
    <row r="15472" spans="6:6" x14ac:dyDescent="0.3">
      <c r="F15472" s="193"/>
    </row>
    <row r="15473" spans="6:6" x14ac:dyDescent="0.3">
      <c r="F15473" s="193"/>
    </row>
    <row r="15474" spans="6:6" x14ac:dyDescent="0.3">
      <c r="F15474" s="193"/>
    </row>
    <row r="15475" spans="6:6" x14ac:dyDescent="0.3">
      <c r="F15475" s="193"/>
    </row>
    <row r="15476" spans="6:6" x14ac:dyDescent="0.3">
      <c r="F15476" s="193"/>
    </row>
    <row r="15477" spans="6:6" x14ac:dyDescent="0.3">
      <c r="F15477" s="193"/>
    </row>
    <row r="15478" spans="6:6" x14ac:dyDescent="0.3">
      <c r="F15478" s="193"/>
    </row>
    <row r="15479" spans="6:6" x14ac:dyDescent="0.3">
      <c r="F15479" s="193"/>
    </row>
    <row r="15480" spans="6:6" x14ac:dyDescent="0.3">
      <c r="F15480" s="193"/>
    </row>
    <row r="15481" spans="6:6" x14ac:dyDescent="0.3">
      <c r="F15481" s="193"/>
    </row>
    <row r="15482" spans="6:6" x14ac:dyDescent="0.3">
      <c r="F15482" s="193"/>
    </row>
    <row r="15483" spans="6:6" x14ac:dyDescent="0.3">
      <c r="F15483" s="193"/>
    </row>
    <row r="15484" spans="6:6" x14ac:dyDescent="0.3">
      <c r="F15484" s="193"/>
    </row>
    <row r="15485" spans="6:6" x14ac:dyDescent="0.3">
      <c r="F15485" s="193"/>
    </row>
    <row r="15486" spans="6:6" x14ac:dyDescent="0.3">
      <c r="F15486" s="193"/>
    </row>
    <row r="15487" spans="6:6" x14ac:dyDescent="0.3">
      <c r="F15487" s="193"/>
    </row>
    <row r="15488" spans="6:6" x14ac:dyDescent="0.3">
      <c r="F15488" s="193"/>
    </row>
    <row r="15489" spans="6:6" x14ac:dyDescent="0.3">
      <c r="F15489" s="193"/>
    </row>
    <row r="15490" spans="6:6" x14ac:dyDescent="0.3">
      <c r="F15490" s="193"/>
    </row>
    <row r="15491" spans="6:6" x14ac:dyDescent="0.3">
      <c r="F15491" s="193"/>
    </row>
    <row r="15492" spans="6:6" x14ac:dyDescent="0.3">
      <c r="F15492" s="193"/>
    </row>
    <row r="15493" spans="6:6" x14ac:dyDescent="0.3">
      <c r="F15493" s="193"/>
    </row>
    <row r="15494" spans="6:6" x14ac:dyDescent="0.3">
      <c r="F15494" s="193"/>
    </row>
    <row r="15495" spans="6:6" x14ac:dyDescent="0.3">
      <c r="F15495" s="193"/>
    </row>
    <row r="15496" spans="6:6" x14ac:dyDescent="0.3">
      <c r="F15496" s="193"/>
    </row>
    <row r="15497" spans="6:6" x14ac:dyDescent="0.3">
      <c r="F15497" s="193"/>
    </row>
    <row r="15498" spans="6:6" x14ac:dyDescent="0.3">
      <c r="F15498" s="193"/>
    </row>
    <row r="15499" spans="6:6" x14ac:dyDescent="0.3">
      <c r="F15499" s="193"/>
    </row>
    <row r="15500" spans="6:6" x14ac:dyDescent="0.3">
      <c r="F15500" s="193"/>
    </row>
    <row r="15501" spans="6:6" x14ac:dyDescent="0.3">
      <c r="F15501" s="193"/>
    </row>
    <row r="15502" spans="6:6" x14ac:dyDescent="0.3">
      <c r="F15502" s="193"/>
    </row>
    <row r="15503" spans="6:6" x14ac:dyDescent="0.3">
      <c r="F15503" s="193"/>
    </row>
    <row r="15504" spans="6:6" x14ac:dyDescent="0.3">
      <c r="F15504" s="193"/>
    </row>
    <row r="15505" spans="6:6" x14ac:dyDescent="0.3">
      <c r="F15505" s="193"/>
    </row>
    <row r="15506" spans="6:6" x14ac:dyDescent="0.3">
      <c r="F15506" s="193"/>
    </row>
    <row r="15507" spans="6:6" x14ac:dyDescent="0.3">
      <c r="F15507" s="193"/>
    </row>
    <row r="15508" spans="6:6" x14ac:dyDescent="0.3">
      <c r="F15508" s="193"/>
    </row>
    <row r="15509" spans="6:6" x14ac:dyDescent="0.3">
      <c r="F15509" s="193"/>
    </row>
    <row r="15510" spans="6:6" x14ac:dyDescent="0.3">
      <c r="F15510" s="193"/>
    </row>
    <row r="15511" spans="6:6" x14ac:dyDescent="0.3">
      <c r="F15511" s="193"/>
    </row>
    <row r="15512" spans="6:6" x14ac:dyDescent="0.3">
      <c r="F15512" s="193"/>
    </row>
    <row r="15513" spans="6:6" x14ac:dyDescent="0.3">
      <c r="F15513" s="193"/>
    </row>
    <row r="15514" spans="6:6" x14ac:dyDescent="0.3">
      <c r="F15514" s="193"/>
    </row>
    <row r="15515" spans="6:6" x14ac:dyDescent="0.3">
      <c r="F15515" s="193"/>
    </row>
    <row r="15516" spans="6:6" x14ac:dyDescent="0.3">
      <c r="F15516" s="193"/>
    </row>
    <row r="15517" spans="6:6" x14ac:dyDescent="0.3">
      <c r="F15517" s="193"/>
    </row>
    <row r="15518" spans="6:6" x14ac:dyDescent="0.3">
      <c r="F15518" s="193"/>
    </row>
    <row r="15519" spans="6:6" x14ac:dyDescent="0.3">
      <c r="F15519" s="193"/>
    </row>
    <row r="15520" spans="6:6" x14ac:dyDescent="0.3">
      <c r="F15520" s="193"/>
    </row>
    <row r="15521" spans="6:6" x14ac:dyDescent="0.3">
      <c r="F15521" s="193"/>
    </row>
    <row r="15522" spans="6:6" x14ac:dyDescent="0.3">
      <c r="F15522" s="193"/>
    </row>
    <row r="15523" spans="6:6" x14ac:dyDescent="0.3">
      <c r="F15523" s="193"/>
    </row>
    <row r="15524" spans="6:6" x14ac:dyDescent="0.3">
      <c r="F15524" s="193"/>
    </row>
    <row r="15525" spans="6:6" x14ac:dyDescent="0.3">
      <c r="F15525" s="193"/>
    </row>
    <row r="15526" spans="6:6" x14ac:dyDescent="0.3">
      <c r="F15526" s="193"/>
    </row>
    <row r="15527" spans="6:6" x14ac:dyDescent="0.3">
      <c r="F15527" s="193"/>
    </row>
    <row r="15528" spans="6:6" x14ac:dyDescent="0.3">
      <c r="F15528" s="193"/>
    </row>
    <row r="15529" spans="6:6" x14ac:dyDescent="0.3">
      <c r="F15529" s="193"/>
    </row>
    <row r="15530" spans="6:6" x14ac:dyDescent="0.3">
      <c r="F15530" s="193"/>
    </row>
    <row r="15531" spans="6:6" x14ac:dyDescent="0.3">
      <c r="F15531" s="193"/>
    </row>
    <row r="15532" spans="6:6" x14ac:dyDescent="0.3">
      <c r="F15532" s="193"/>
    </row>
    <row r="15533" spans="6:6" x14ac:dyDescent="0.3">
      <c r="F15533" s="193"/>
    </row>
    <row r="15534" spans="6:6" x14ac:dyDescent="0.3">
      <c r="F15534" s="193"/>
    </row>
    <row r="15535" spans="6:6" x14ac:dyDescent="0.3">
      <c r="F15535" s="193"/>
    </row>
    <row r="15536" spans="6:6" x14ac:dyDescent="0.3">
      <c r="F15536" s="193"/>
    </row>
    <row r="15537" spans="6:6" x14ac:dyDescent="0.3">
      <c r="F15537" s="193"/>
    </row>
    <row r="15538" spans="6:6" x14ac:dyDescent="0.3">
      <c r="F15538" s="193"/>
    </row>
    <row r="15539" spans="6:6" x14ac:dyDescent="0.3">
      <c r="F15539" s="193"/>
    </row>
    <row r="15540" spans="6:6" x14ac:dyDescent="0.3">
      <c r="F15540" s="193"/>
    </row>
    <row r="15541" spans="6:6" x14ac:dyDescent="0.3">
      <c r="F15541" s="193"/>
    </row>
    <row r="15542" spans="6:6" x14ac:dyDescent="0.3">
      <c r="F15542" s="193"/>
    </row>
    <row r="15543" spans="6:6" x14ac:dyDescent="0.3">
      <c r="F15543" s="193"/>
    </row>
    <row r="15544" spans="6:6" x14ac:dyDescent="0.3">
      <c r="F15544" s="193"/>
    </row>
    <row r="15545" spans="6:6" x14ac:dyDescent="0.3">
      <c r="F15545" s="193"/>
    </row>
    <row r="15546" spans="6:6" x14ac:dyDescent="0.3">
      <c r="F15546" s="193"/>
    </row>
    <row r="15547" spans="6:6" x14ac:dyDescent="0.3">
      <c r="F15547" s="193"/>
    </row>
    <row r="15548" spans="6:6" x14ac:dyDescent="0.3">
      <c r="F15548" s="193"/>
    </row>
    <row r="15549" spans="6:6" x14ac:dyDescent="0.3">
      <c r="F15549" s="193"/>
    </row>
    <row r="15550" spans="6:6" x14ac:dyDescent="0.3">
      <c r="F15550" s="193"/>
    </row>
    <row r="15551" spans="6:6" x14ac:dyDescent="0.3">
      <c r="F15551" s="193"/>
    </row>
    <row r="15552" spans="6:6" x14ac:dyDescent="0.3">
      <c r="F15552" s="193"/>
    </row>
    <row r="15553" spans="6:6" x14ac:dyDescent="0.3">
      <c r="F15553" s="193"/>
    </row>
    <row r="15554" spans="6:6" x14ac:dyDescent="0.3">
      <c r="F15554" s="193"/>
    </row>
    <row r="15555" spans="6:6" x14ac:dyDescent="0.3">
      <c r="F15555" s="193"/>
    </row>
    <row r="15556" spans="6:6" x14ac:dyDescent="0.3">
      <c r="F15556" s="193"/>
    </row>
    <row r="15557" spans="6:6" x14ac:dyDescent="0.3">
      <c r="F15557" s="193"/>
    </row>
    <row r="15558" spans="6:6" x14ac:dyDescent="0.3">
      <c r="F15558" s="193"/>
    </row>
    <row r="15559" spans="6:6" x14ac:dyDescent="0.3">
      <c r="F15559" s="193"/>
    </row>
    <row r="15560" spans="6:6" x14ac:dyDescent="0.3">
      <c r="F15560" s="193"/>
    </row>
    <row r="15561" spans="6:6" x14ac:dyDescent="0.3">
      <c r="F15561" s="193"/>
    </row>
    <row r="15562" spans="6:6" x14ac:dyDescent="0.3">
      <c r="F15562" s="193"/>
    </row>
    <row r="15563" spans="6:6" x14ac:dyDescent="0.3">
      <c r="F15563" s="193"/>
    </row>
    <row r="15564" spans="6:6" x14ac:dyDescent="0.3">
      <c r="F15564" s="193"/>
    </row>
    <row r="15565" spans="6:6" x14ac:dyDescent="0.3">
      <c r="F15565" s="193"/>
    </row>
    <row r="15566" spans="6:6" x14ac:dyDescent="0.3">
      <c r="F15566" s="193"/>
    </row>
    <row r="15567" spans="6:6" x14ac:dyDescent="0.3">
      <c r="F15567" s="193"/>
    </row>
    <row r="15568" spans="6:6" x14ac:dyDescent="0.3">
      <c r="F15568" s="193"/>
    </row>
    <row r="15569" spans="6:6" x14ac:dyDescent="0.3">
      <c r="F15569" s="193"/>
    </row>
    <row r="15570" spans="6:6" x14ac:dyDescent="0.3">
      <c r="F15570" s="193"/>
    </row>
    <row r="15571" spans="6:6" x14ac:dyDescent="0.3">
      <c r="F15571" s="193"/>
    </row>
    <row r="15572" spans="6:6" x14ac:dyDescent="0.3">
      <c r="F15572" s="193"/>
    </row>
    <row r="15573" spans="6:6" x14ac:dyDescent="0.3">
      <c r="F15573" s="193"/>
    </row>
    <row r="15574" spans="6:6" x14ac:dyDescent="0.3">
      <c r="F15574" s="193"/>
    </row>
    <row r="15575" spans="6:6" x14ac:dyDescent="0.3">
      <c r="F15575" s="193"/>
    </row>
    <row r="15576" spans="6:6" x14ac:dyDescent="0.3">
      <c r="F15576" s="193"/>
    </row>
    <row r="15577" spans="6:6" x14ac:dyDescent="0.3">
      <c r="F15577" s="193"/>
    </row>
    <row r="15578" spans="6:6" x14ac:dyDescent="0.3">
      <c r="F15578" s="193"/>
    </row>
    <row r="15579" spans="6:6" x14ac:dyDescent="0.3">
      <c r="F15579" s="193"/>
    </row>
    <row r="15580" spans="6:6" x14ac:dyDescent="0.3">
      <c r="F15580" s="193"/>
    </row>
    <row r="15581" spans="6:6" x14ac:dyDescent="0.3">
      <c r="F15581" s="193"/>
    </row>
    <row r="15582" spans="6:6" x14ac:dyDescent="0.3">
      <c r="F15582" s="193"/>
    </row>
    <row r="15583" spans="6:6" x14ac:dyDescent="0.3">
      <c r="F15583" s="193"/>
    </row>
    <row r="15584" spans="6:6" x14ac:dyDescent="0.3">
      <c r="F15584" s="193"/>
    </row>
    <row r="15585" spans="6:6" x14ac:dyDescent="0.3">
      <c r="F15585" s="193"/>
    </row>
    <row r="15586" spans="6:6" x14ac:dyDescent="0.3">
      <c r="F15586" s="193"/>
    </row>
    <row r="15587" spans="6:6" x14ac:dyDescent="0.3">
      <c r="F15587" s="193"/>
    </row>
    <row r="15588" spans="6:6" x14ac:dyDescent="0.3">
      <c r="F15588" s="193"/>
    </row>
    <row r="15589" spans="6:6" x14ac:dyDescent="0.3">
      <c r="F15589" s="193"/>
    </row>
    <row r="15590" spans="6:6" x14ac:dyDescent="0.3">
      <c r="F15590" s="193"/>
    </row>
    <row r="15591" spans="6:6" x14ac:dyDescent="0.3">
      <c r="F15591" s="193"/>
    </row>
    <row r="15592" spans="6:6" x14ac:dyDescent="0.3">
      <c r="F15592" s="193"/>
    </row>
    <row r="15593" spans="6:6" x14ac:dyDescent="0.3">
      <c r="F15593" s="193"/>
    </row>
    <row r="15594" spans="6:6" x14ac:dyDescent="0.3">
      <c r="F15594" s="193"/>
    </row>
    <row r="15595" spans="6:6" x14ac:dyDescent="0.3">
      <c r="F15595" s="193"/>
    </row>
    <row r="15596" spans="6:6" x14ac:dyDescent="0.3">
      <c r="F15596" s="193"/>
    </row>
    <row r="15597" spans="6:6" x14ac:dyDescent="0.3">
      <c r="F15597" s="193"/>
    </row>
    <row r="15598" spans="6:6" x14ac:dyDescent="0.3">
      <c r="F15598" s="193"/>
    </row>
    <row r="15599" spans="6:6" x14ac:dyDescent="0.3">
      <c r="F15599" s="193"/>
    </row>
    <row r="15600" spans="6:6" x14ac:dyDescent="0.3">
      <c r="F15600" s="193"/>
    </row>
    <row r="15601" spans="6:6" x14ac:dyDescent="0.3">
      <c r="F15601" s="193"/>
    </row>
    <row r="15602" spans="6:6" x14ac:dyDescent="0.3">
      <c r="F15602" s="193"/>
    </row>
    <row r="15603" spans="6:6" x14ac:dyDescent="0.3">
      <c r="F15603" s="193"/>
    </row>
    <row r="15604" spans="6:6" x14ac:dyDescent="0.3">
      <c r="F15604" s="193"/>
    </row>
    <row r="15605" spans="6:6" x14ac:dyDescent="0.3">
      <c r="F15605" s="193"/>
    </row>
    <row r="15606" spans="6:6" x14ac:dyDescent="0.3">
      <c r="F15606" s="193"/>
    </row>
    <row r="15607" spans="6:6" x14ac:dyDescent="0.3">
      <c r="F15607" s="193"/>
    </row>
    <row r="15608" spans="6:6" x14ac:dyDescent="0.3">
      <c r="F15608" s="193"/>
    </row>
    <row r="15609" spans="6:6" x14ac:dyDescent="0.3">
      <c r="F15609" s="193"/>
    </row>
    <row r="15610" spans="6:6" x14ac:dyDescent="0.3">
      <c r="F15610" s="193"/>
    </row>
    <row r="15611" spans="6:6" x14ac:dyDescent="0.3">
      <c r="F15611" s="193"/>
    </row>
    <row r="15612" spans="6:6" x14ac:dyDescent="0.3">
      <c r="F15612" s="193"/>
    </row>
    <row r="15613" spans="6:6" x14ac:dyDescent="0.3">
      <c r="F15613" s="193"/>
    </row>
    <row r="15614" spans="6:6" x14ac:dyDescent="0.3">
      <c r="F15614" s="193"/>
    </row>
    <row r="15615" spans="6:6" x14ac:dyDescent="0.3">
      <c r="F15615" s="193"/>
    </row>
    <row r="15616" spans="6:6" x14ac:dyDescent="0.3">
      <c r="F15616" s="193"/>
    </row>
    <row r="15617" spans="6:6" x14ac:dyDescent="0.3">
      <c r="F15617" s="193"/>
    </row>
    <row r="15618" spans="6:6" x14ac:dyDescent="0.3">
      <c r="F15618" s="193"/>
    </row>
    <row r="15619" spans="6:6" x14ac:dyDescent="0.3">
      <c r="F15619" s="193"/>
    </row>
    <row r="15620" spans="6:6" x14ac:dyDescent="0.3">
      <c r="F15620" s="193"/>
    </row>
    <row r="15621" spans="6:6" x14ac:dyDescent="0.3">
      <c r="F15621" s="193"/>
    </row>
    <row r="15622" spans="6:6" x14ac:dyDescent="0.3">
      <c r="F15622" s="193"/>
    </row>
    <row r="15623" spans="6:6" x14ac:dyDescent="0.3">
      <c r="F15623" s="193"/>
    </row>
    <row r="15624" spans="6:6" x14ac:dyDescent="0.3">
      <c r="F15624" s="193"/>
    </row>
    <row r="15625" spans="6:6" x14ac:dyDescent="0.3">
      <c r="F15625" s="193"/>
    </row>
    <row r="15626" spans="6:6" x14ac:dyDescent="0.3">
      <c r="F15626" s="193"/>
    </row>
    <row r="15627" spans="6:6" x14ac:dyDescent="0.3">
      <c r="F15627" s="193"/>
    </row>
    <row r="15628" spans="6:6" x14ac:dyDescent="0.3">
      <c r="F15628" s="193"/>
    </row>
    <row r="15629" spans="6:6" x14ac:dyDescent="0.3">
      <c r="F15629" s="193"/>
    </row>
    <row r="15630" spans="6:6" x14ac:dyDescent="0.3">
      <c r="F15630" s="193"/>
    </row>
    <row r="15631" spans="6:6" x14ac:dyDescent="0.3">
      <c r="F15631" s="193"/>
    </row>
    <row r="15632" spans="6:6" x14ac:dyDescent="0.3">
      <c r="F15632" s="193"/>
    </row>
    <row r="15633" spans="6:6" x14ac:dyDescent="0.3">
      <c r="F15633" s="193"/>
    </row>
    <row r="15634" spans="6:6" x14ac:dyDescent="0.3">
      <c r="F15634" s="193"/>
    </row>
    <row r="15635" spans="6:6" x14ac:dyDescent="0.3">
      <c r="F15635" s="193"/>
    </row>
    <row r="15636" spans="6:6" x14ac:dyDescent="0.3">
      <c r="F15636" s="193"/>
    </row>
    <row r="15637" spans="6:6" x14ac:dyDescent="0.3">
      <c r="F15637" s="193"/>
    </row>
    <row r="15638" spans="6:6" x14ac:dyDescent="0.3">
      <c r="F15638" s="193"/>
    </row>
    <row r="15639" spans="6:6" x14ac:dyDescent="0.3">
      <c r="F15639" s="193"/>
    </row>
    <row r="15640" spans="6:6" x14ac:dyDescent="0.3">
      <c r="F15640" s="193"/>
    </row>
    <row r="15641" spans="6:6" x14ac:dyDescent="0.3">
      <c r="F15641" s="193"/>
    </row>
    <row r="15642" spans="6:6" x14ac:dyDescent="0.3">
      <c r="F15642" s="193"/>
    </row>
    <row r="15643" spans="6:6" x14ac:dyDescent="0.3">
      <c r="F15643" s="193"/>
    </row>
    <row r="15644" spans="6:6" x14ac:dyDescent="0.3">
      <c r="F15644" s="193"/>
    </row>
    <row r="15645" spans="6:6" x14ac:dyDescent="0.3">
      <c r="F15645" s="193"/>
    </row>
    <row r="15646" spans="6:6" x14ac:dyDescent="0.3">
      <c r="F15646" s="193"/>
    </row>
    <row r="15647" spans="6:6" x14ac:dyDescent="0.3">
      <c r="F15647" s="193"/>
    </row>
    <row r="15648" spans="6:6" x14ac:dyDescent="0.3">
      <c r="F15648" s="193"/>
    </row>
    <row r="15649" spans="6:6" x14ac:dyDescent="0.3">
      <c r="F15649" s="193"/>
    </row>
    <row r="15650" spans="6:6" x14ac:dyDescent="0.3">
      <c r="F15650" s="193"/>
    </row>
    <row r="15651" spans="6:6" x14ac:dyDescent="0.3">
      <c r="F15651" s="193"/>
    </row>
    <row r="15652" spans="6:6" x14ac:dyDescent="0.3">
      <c r="F15652" s="193"/>
    </row>
    <row r="15653" spans="6:6" x14ac:dyDescent="0.3">
      <c r="F15653" s="193"/>
    </row>
    <row r="15654" spans="6:6" x14ac:dyDescent="0.3">
      <c r="F15654" s="193"/>
    </row>
    <row r="15655" spans="6:6" x14ac:dyDescent="0.3">
      <c r="F15655" s="193"/>
    </row>
    <row r="15656" spans="6:6" x14ac:dyDescent="0.3">
      <c r="F15656" s="193"/>
    </row>
    <row r="15657" spans="6:6" x14ac:dyDescent="0.3">
      <c r="F15657" s="193"/>
    </row>
    <row r="15658" spans="6:6" x14ac:dyDescent="0.3">
      <c r="F15658" s="193"/>
    </row>
    <row r="15659" spans="6:6" x14ac:dyDescent="0.3">
      <c r="F15659" s="193"/>
    </row>
    <row r="15660" spans="6:6" x14ac:dyDescent="0.3">
      <c r="F15660" s="193"/>
    </row>
    <row r="15661" spans="6:6" x14ac:dyDescent="0.3">
      <c r="F15661" s="193"/>
    </row>
    <row r="15662" spans="6:6" x14ac:dyDescent="0.3">
      <c r="F15662" s="193"/>
    </row>
    <row r="15663" spans="6:6" x14ac:dyDescent="0.3">
      <c r="F15663" s="193"/>
    </row>
    <row r="15664" spans="6:6" x14ac:dyDescent="0.3">
      <c r="F15664" s="193"/>
    </row>
    <row r="15665" spans="6:6" x14ac:dyDescent="0.3">
      <c r="F15665" s="193"/>
    </row>
    <row r="15666" spans="6:6" x14ac:dyDescent="0.3">
      <c r="F15666" s="193"/>
    </row>
    <row r="15667" spans="6:6" x14ac:dyDescent="0.3">
      <c r="F15667" s="193"/>
    </row>
    <row r="15668" spans="6:6" x14ac:dyDescent="0.3">
      <c r="F15668" s="193"/>
    </row>
    <row r="15669" spans="6:6" x14ac:dyDescent="0.3">
      <c r="F15669" s="193"/>
    </row>
    <row r="15670" spans="6:6" x14ac:dyDescent="0.3">
      <c r="F15670" s="193"/>
    </row>
    <row r="15671" spans="6:6" x14ac:dyDescent="0.3">
      <c r="F15671" s="193"/>
    </row>
    <row r="15672" spans="6:6" x14ac:dyDescent="0.3">
      <c r="F15672" s="193"/>
    </row>
    <row r="15673" spans="6:6" x14ac:dyDescent="0.3">
      <c r="F15673" s="193"/>
    </row>
    <row r="15674" spans="6:6" x14ac:dyDescent="0.3">
      <c r="F15674" s="193"/>
    </row>
    <row r="15675" spans="6:6" x14ac:dyDescent="0.3">
      <c r="F15675" s="193"/>
    </row>
    <row r="15676" spans="6:6" x14ac:dyDescent="0.3">
      <c r="F15676" s="193"/>
    </row>
    <row r="15677" spans="6:6" x14ac:dyDescent="0.3">
      <c r="F15677" s="193"/>
    </row>
    <row r="15678" spans="6:6" x14ac:dyDescent="0.3">
      <c r="F15678" s="193"/>
    </row>
    <row r="15679" spans="6:6" x14ac:dyDescent="0.3">
      <c r="F15679" s="193"/>
    </row>
    <row r="15680" spans="6:6" x14ac:dyDescent="0.3">
      <c r="F15680" s="193"/>
    </row>
    <row r="15681" spans="6:6" x14ac:dyDescent="0.3">
      <c r="F15681" s="193"/>
    </row>
    <row r="15682" spans="6:6" x14ac:dyDescent="0.3">
      <c r="F15682" s="193"/>
    </row>
    <row r="15683" spans="6:6" x14ac:dyDescent="0.3">
      <c r="F15683" s="193"/>
    </row>
    <row r="15684" spans="6:6" x14ac:dyDescent="0.3">
      <c r="F15684" s="193"/>
    </row>
    <row r="15685" spans="6:6" x14ac:dyDescent="0.3">
      <c r="F15685" s="193"/>
    </row>
    <row r="15686" spans="6:6" x14ac:dyDescent="0.3">
      <c r="F15686" s="193"/>
    </row>
    <row r="15687" spans="6:6" x14ac:dyDescent="0.3">
      <c r="F15687" s="193"/>
    </row>
    <row r="15688" spans="6:6" x14ac:dyDescent="0.3">
      <c r="F15688" s="193"/>
    </row>
    <row r="15689" spans="6:6" x14ac:dyDescent="0.3">
      <c r="F15689" s="193"/>
    </row>
    <row r="15690" spans="6:6" x14ac:dyDescent="0.3">
      <c r="F15690" s="193"/>
    </row>
    <row r="15691" spans="6:6" x14ac:dyDescent="0.3">
      <c r="F15691" s="193"/>
    </row>
    <row r="15692" spans="6:6" x14ac:dyDescent="0.3">
      <c r="F15692" s="193"/>
    </row>
    <row r="15693" spans="6:6" x14ac:dyDescent="0.3">
      <c r="F15693" s="193"/>
    </row>
    <row r="15694" spans="6:6" x14ac:dyDescent="0.3">
      <c r="F15694" s="193"/>
    </row>
    <row r="15695" spans="6:6" x14ac:dyDescent="0.3">
      <c r="F15695" s="193"/>
    </row>
    <row r="15696" spans="6:6" x14ac:dyDescent="0.3">
      <c r="F15696" s="193"/>
    </row>
    <row r="15697" spans="6:6" x14ac:dyDescent="0.3">
      <c r="F15697" s="193"/>
    </row>
    <row r="15698" spans="6:6" x14ac:dyDescent="0.3">
      <c r="F15698" s="193"/>
    </row>
    <row r="15699" spans="6:6" x14ac:dyDescent="0.3">
      <c r="F15699" s="193"/>
    </row>
    <row r="15700" spans="6:6" x14ac:dyDescent="0.3">
      <c r="F15700" s="193"/>
    </row>
    <row r="15701" spans="6:6" x14ac:dyDescent="0.3">
      <c r="F15701" s="193"/>
    </row>
    <row r="15702" spans="6:6" x14ac:dyDescent="0.3">
      <c r="F15702" s="193"/>
    </row>
    <row r="15703" spans="6:6" x14ac:dyDescent="0.3">
      <c r="F15703" s="193"/>
    </row>
    <row r="15704" spans="6:6" x14ac:dyDescent="0.3">
      <c r="F15704" s="193"/>
    </row>
    <row r="15705" spans="6:6" x14ac:dyDescent="0.3">
      <c r="F15705" s="193"/>
    </row>
    <row r="15706" spans="6:6" x14ac:dyDescent="0.3">
      <c r="F15706" s="193"/>
    </row>
    <row r="15707" spans="6:6" x14ac:dyDescent="0.3">
      <c r="F15707" s="193"/>
    </row>
    <row r="15708" spans="6:6" x14ac:dyDescent="0.3">
      <c r="F15708" s="193"/>
    </row>
    <row r="15709" spans="6:6" x14ac:dyDescent="0.3">
      <c r="F15709" s="193"/>
    </row>
    <row r="15710" spans="6:6" x14ac:dyDescent="0.3">
      <c r="F15710" s="193"/>
    </row>
    <row r="15711" spans="6:6" x14ac:dyDescent="0.3">
      <c r="F15711" s="193"/>
    </row>
    <row r="15712" spans="6:6" x14ac:dyDescent="0.3">
      <c r="F15712" s="193"/>
    </row>
    <row r="15713" spans="6:6" x14ac:dyDescent="0.3">
      <c r="F15713" s="193"/>
    </row>
    <row r="15714" spans="6:6" x14ac:dyDescent="0.3">
      <c r="F15714" s="193"/>
    </row>
    <row r="15715" spans="6:6" x14ac:dyDescent="0.3">
      <c r="F15715" s="193"/>
    </row>
    <row r="15716" spans="6:6" x14ac:dyDescent="0.3">
      <c r="F15716" s="193"/>
    </row>
    <row r="15717" spans="6:6" x14ac:dyDescent="0.3">
      <c r="F15717" s="193"/>
    </row>
    <row r="15718" spans="6:6" x14ac:dyDescent="0.3">
      <c r="F15718" s="193"/>
    </row>
    <row r="15719" spans="6:6" x14ac:dyDescent="0.3">
      <c r="F15719" s="193"/>
    </row>
    <row r="15720" spans="6:6" x14ac:dyDescent="0.3">
      <c r="F15720" s="193"/>
    </row>
    <row r="15721" spans="6:6" x14ac:dyDescent="0.3">
      <c r="F15721" s="193"/>
    </row>
    <row r="15722" spans="6:6" x14ac:dyDescent="0.3">
      <c r="F15722" s="193"/>
    </row>
    <row r="15723" spans="6:6" x14ac:dyDescent="0.3">
      <c r="F15723" s="193"/>
    </row>
    <row r="15724" spans="6:6" x14ac:dyDescent="0.3">
      <c r="F15724" s="193"/>
    </row>
    <row r="15725" spans="6:6" x14ac:dyDescent="0.3">
      <c r="F15725" s="193"/>
    </row>
    <row r="15726" spans="6:6" x14ac:dyDescent="0.3">
      <c r="F15726" s="193"/>
    </row>
    <row r="15727" spans="6:6" x14ac:dyDescent="0.3">
      <c r="F15727" s="193"/>
    </row>
    <row r="15728" spans="6:6" x14ac:dyDescent="0.3">
      <c r="F15728" s="193"/>
    </row>
    <row r="15729" spans="6:6" x14ac:dyDescent="0.3">
      <c r="F15729" s="193"/>
    </row>
    <row r="15730" spans="6:6" x14ac:dyDescent="0.3">
      <c r="F15730" s="193"/>
    </row>
    <row r="15731" spans="6:6" x14ac:dyDescent="0.3">
      <c r="F15731" s="193"/>
    </row>
    <row r="15732" spans="6:6" x14ac:dyDescent="0.3">
      <c r="F15732" s="193"/>
    </row>
    <row r="15733" spans="6:6" x14ac:dyDescent="0.3">
      <c r="F15733" s="193"/>
    </row>
    <row r="15734" spans="6:6" x14ac:dyDescent="0.3">
      <c r="F15734" s="193"/>
    </row>
    <row r="15735" spans="6:6" x14ac:dyDescent="0.3">
      <c r="F15735" s="193"/>
    </row>
    <row r="15736" spans="6:6" x14ac:dyDescent="0.3">
      <c r="F15736" s="193"/>
    </row>
    <row r="15737" spans="6:6" x14ac:dyDescent="0.3">
      <c r="F15737" s="193"/>
    </row>
    <row r="15738" spans="6:6" x14ac:dyDescent="0.3">
      <c r="F15738" s="193"/>
    </row>
    <row r="15739" spans="6:6" x14ac:dyDescent="0.3">
      <c r="F15739" s="193"/>
    </row>
    <row r="15740" spans="6:6" x14ac:dyDescent="0.3">
      <c r="F15740" s="193"/>
    </row>
    <row r="15741" spans="6:6" x14ac:dyDescent="0.3">
      <c r="F15741" s="193"/>
    </row>
    <row r="15742" spans="6:6" x14ac:dyDescent="0.3">
      <c r="F15742" s="193"/>
    </row>
    <row r="15743" spans="6:6" x14ac:dyDescent="0.3">
      <c r="F15743" s="193"/>
    </row>
    <row r="15744" spans="6:6" x14ac:dyDescent="0.3">
      <c r="F15744" s="193"/>
    </row>
    <row r="15745" spans="6:6" x14ac:dyDescent="0.3">
      <c r="F15745" s="193"/>
    </row>
    <row r="15746" spans="6:6" x14ac:dyDescent="0.3">
      <c r="F15746" s="193"/>
    </row>
    <row r="15747" spans="6:6" x14ac:dyDescent="0.3">
      <c r="F15747" s="193"/>
    </row>
    <row r="15748" spans="6:6" x14ac:dyDescent="0.3">
      <c r="F15748" s="193"/>
    </row>
    <row r="15749" spans="6:6" x14ac:dyDescent="0.3">
      <c r="F15749" s="193"/>
    </row>
    <row r="15750" spans="6:6" x14ac:dyDescent="0.3">
      <c r="F15750" s="193"/>
    </row>
    <row r="15751" spans="6:6" x14ac:dyDescent="0.3">
      <c r="F15751" s="193"/>
    </row>
    <row r="15752" spans="6:6" x14ac:dyDescent="0.3">
      <c r="F15752" s="193"/>
    </row>
    <row r="15753" spans="6:6" x14ac:dyDescent="0.3">
      <c r="F15753" s="193"/>
    </row>
    <row r="15754" spans="6:6" x14ac:dyDescent="0.3">
      <c r="F15754" s="193"/>
    </row>
    <row r="15755" spans="6:6" x14ac:dyDescent="0.3">
      <c r="F15755" s="193"/>
    </row>
    <row r="15756" spans="6:6" x14ac:dyDescent="0.3">
      <c r="F15756" s="193"/>
    </row>
    <row r="15757" spans="6:6" x14ac:dyDescent="0.3">
      <c r="F15757" s="193"/>
    </row>
    <row r="15758" spans="6:6" x14ac:dyDescent="0.3">
      <c r="F15758" s="193"/>
    </row>
    <row r="15759" spans="6:6" x14ac:dyDescent="0.3">
      <c r="F15759" s="193"/>
    </row>
    <row r="15760" spans="6:6" x14ac:dyDescent="0.3">
      <c r="F15760" s="193"/>
    </row>
    <row r="15761" spans="6:6" x14ac:dyDescent="0.3">
      <c r="F15761" s="193"/>
    </row>
    <row r="15762" spans="6:6" x14ac:dyDescent="0.3">
      <c r="F15762" s="193"/>
    </row>
    <row r="15763" spans="6:6" x14ac:dyDescent="0.3">
      <c r="F15763" s="193"/>
    </row>
    <row r="15764" spans="6:6" x14ac:dyDescent="0.3">
      <c r="F15764" s="193"/>
    </row>
    <row r="15765" spans="6:6" x14ac:dyDescent="0.3">
      <c r="F15765" s="193"/>
    </row>
    <row r="15766" spans="6:6" x14ac:dyDescent="0.3">
      <c r="F15766" s="193"/>
    </row>
    <row r="15767" spans="6:6" x14ac:dyDescent="0.3">
      <c r="F15767" s="193"/>
    </row>
    <row r="15768" spans="6:6" x14ac:dyDescent="0.3">
      <c r="F15768" s="193"/>
    </row>
    <row r="15769" spans="6:6" x14ac:dyDescent="0.3">
      <c r="F15769" s="193"/>
    </row>
    <row r="15770" spans="6:6" x14ac:dyDescent="0.3">
      <c r="F15770" s="193"/>
    </row>
    <row r="15771" spans="6:6" x14ac:dyDescent="0.3">
      <c r="F15771" s="193"/>
    </row>
    <row r="15772" spans="6:6" x14ac:dyDescent="0.3">
      <c r="F15772" s="193"/>
    </row>
    <row r="15773" spans="6:6" x14ac:dyDescent="0.3">
      <c r="F15773" s="193"/>
    </row>
    <row r="15774" spans="6:6" x14ac:dyDescent="0.3">
      <c r="F15774" s="193"/>
    </row>
    <row r="15775" spans="6:6" x14ac:dyDescent="0.3">
      <c r="F15775" s="193"/>
    </row>
    <row r="15776" spans="6:6" x14ac:dyDescent="0.3">
      <c r="F15776" s="193"/>
    </row>
    <row r="15777" spans="6:6" x14ac:dyDescent="0.3">
      <c r="F15777" s="193"/>
    </row>
    <row r="15778" spans="6:6" x14ac:dyDescent="0.3">
      <c r="F15778" s="193"/>
    </row>
    <row r="15779" spans="6:6" x14ac:dyDescent="0.3">
      <c r="F15779" s="193"/>
    </row>
    <row r="15780" spans="6:6" x14ac:dyDescent="0.3">
      <c r="F15780" s="193"/>
    </row>
    <row r="15781" spans="6:6" x14ac:dyDescent="0.3">
      <c r="F15781" s="193"/>
    </row>
    <row r="15782" spans="6:6" x14ac:dyDescent="0.3">
      <c r="F15782" s="193"/>
    </row>
    <row r="15783" spans="6:6" x14ac:dyDescent="0.3">
      <c r="F15783" s="193"/>
    </row>
    <row r="15784" spans="6:6" x14ac:dyDescent="0.3">
      <c r="F15784" s="193"/>
    </row>
    <row r="15785" spans="6:6" x14ac:dyDescent="0.3">
      <c r="F15785" s="193"/>
    </row>
    <row r="15786" spans="6:6" x14ac:dyDescent="0.3">
      <c r="F15786" s="193"/>
    </row>
    <row r="15787" spans="6:6" x14ac:dyDescent="0.3">
      <c r="F15787" s="193"/>
    </row>
    <row r="15788" spans="6:6" x14ac:dyDescent="0.3">
      <c r="F15788" s="193"/>
    </row>
    <row r="15789" spans="6:6" x14ac:dyDescent="0.3">
      <c r="F15789" s="193"/>
    </row>
    <row r="15790" spans="6:6" x14ac:dyDescent="0.3">
      <c r="F15790" s="193"/>
    </row>
    <row r="15791" spans="6:6" x14ac:dyDescent="0.3">
      <c r="F15791" s="193"/>
    </row>
    <row r="15792" spans="6:6" x14ac:dyDescent="0.3">
      <c r="F15792" s="193"/>
    </row>
    <row r="15793" spans="6:6" x14ac:dyDescent="0.3">
      <c r="F15793" s="193"/>
    </row>
    <row r="15794" spans="6:6" x14ac:dyDescent="0.3">
      <c r="F15794" s="193"/>
    </row>
    <row r="15795" spans="6:6" x14ac:dyDescent="0.3">
      <c r="F15795" s="193"/>
    </row>
    <row r="15796" spans="6:6" x14ac:dyDescent="0.3">
      <c r="F15796" s="193"/>
    </row>
    <row r="15797" spans="6:6" x14ac:dyDescent="0.3">
      <c r="F15797" s="193"/>
    </row>
    <row r="15798" spans="6:6" x14ac:dyDescent="0.3">
      <c r="F15798" s="193"/>
    </row>
    <row r="15799" spans="6:6" x14ac:dyDescent="0.3">
      <c r="F15799" s="193"/>
    </row>
    <row r="15800" spans="6:6" x14ac:dyDescent="0.3">
      <c r="F15800" s="193"/>
    </row>
    <row r="15801" spans="6:6" x14ac:dyDescent="0.3">
      <c r="F15801" s="193"/>
    </row>
    <row r="15802" spans="6:6" x14ac:dyDescent="0.3">
      <c r="F15802" s="193"/>
    </row>
    <row r="15803" spans="6:6" x14ac:dyDescent="0.3">
      <c r="F15803" s="193"/>
    </row>
    <row r="15804" spans="6:6" x14ac:dyDescent="0.3">
      <c r="F15804" s="193"/>
    </row>
    <row r="15805" spans="6:6" x14ac:dyDescent="0.3">
      <c r="F15805" s="193"/>
    </row>
    <row r="15806" spans="6:6" x14ac:dyDescent="0.3">
      <c r="F15806" s="193"/>
    </row>
    <row r="15807" spans="6:6" x14ac:dyDescent="0.3">
      <c r="F15807" s="193"/>
    </row>
    <row r="15808" spans="6:6" x14ac:dyDescent="0.3">
      <c r="F15808" s="193"/>
    </row>
    <row r="15809" spans="6:6" x14ac:dyDescent="0.3">
      <c r="F15809" s="193"/>
    </row>
    <row r="15810" spans="6:6" x14ac:dyDescent="0.3">
      <c r="F15810" s="193"/>
    </row>
    <row r="15811" spans="6:6" x14ac:dyDescent="0.3">
      <c r="F15811" s="193"/>
    </row>
    <row r="15812" spans="6:6" x14ac:dyDescent="0.3">
      <c r="F15812" s="193"/>
    </row>
    <row r="15813" spans="6:6" x14ac:dyDescent="0.3">
      <c r="F15813" s="193"/>
    </row>
    <row r="15814" spans="6:6" x14ac:dyDescent="0.3">
      <c r="F15814" s="193"/>
    </row>
    <row r="15815" spans="6:6" x14ac:dyDescent="0.3">
      <c r="F15815" s="193"/>
    </row>
    <row r="15816" spans="6:6" x14ac:dyDescent="0.3">
      <c r="F15816" s="193"/>
    </row>
    <row r="15817" spans="6:6" x14ac:dyDescent="0.3">
      <c r="F15817" s="193"/>
    </row>
    <row r="15818" spans="6:6" x14ac:dyDescent="0.3">
      <c r="F15818" s="193"/>
    </row>
    <row r="15819" spans="6:6" x14ac:dyDescent="0.3">
      <c r="F15819" s="193"/>
    </row>
    <row r="15820" spans="6:6" x14ac:dyDescent="0.3">
      <c r="F15820" s="193"/>
    </row>
    <row r="15821" spans="6:6" x14ac:dyDescent="0.3">
      <c r="F15821" s="193"/>
    </row>
    <row r="15822" spans="6:6" x14ac:dyDescent="0.3">
      <c r="F15822" s="193"/>
    </row>
    <row r="15823" spans="6:6" x14ac:dyDescent="0.3">
      <c r="F15823" s="193"/>
    </row>
    <row r="15824" spans="6:6" x14ac:dyDescent="0.3">
      <c r="F15824" s="193"/>
    </row>
    <row r="15825" spans="6:6" x14ac:dyDescent="0.3">
      <c r="F15825" s="193"/>
    </row>
    <row r="15826" spans="6:6" x14ac:dyDescent="0.3">
      <c r="F15826" s="193"/>
    </row>
    <row r="15827" spans="6:6" x14ac:dyDescent="0.3">
      <c r="F15827" s="193"/>
    </row>
    <row r="15828" spans="6:6" x14ac:dyDescent="0.3">
      <c r="F15828" s="193"/>
    </row>
    <row r="15829" spans="6:6" x14ac:dyDescent="0.3">
      <c r="F15829" s="193"/>
    </row>
    <row r="15830" spans="6:6" x14ac:dyDescent="0.3">
      <c r="F15830" s="193"/>
    </row>
    <row r="15831" spans="6:6" x14ac:dyDescent="0.3">
      <c r="F15831" s="193"/>
    </row>
    <row r="15832" spans="6:6" x14ac:dyDescent="0.3">
      <c r="F15832" s="193"/>
    </row>
    <row r="15833" spans="6:6" x14ac:dyDescent="0.3">
      <c r="F15833" s="193"/>
    </row>
    <row r="15834" spans="6:6" x14ac:dyDescent="0.3">
      <c r="F15834" s="193"/>
    </row>
    <row r="15835" spans="6:6" x14ac:dyDescent="0.3">
      <c r="F15835" s="193"/>
    </row>
    <row r="15836" spans="6:6" x14ac:dyDescent="0.3">
      <c r="F15836" s="193"/>
    </row>
    <row r="15837" spans="6:6" x14ac:dyDescent="0.3">
      <c r="F15837" s="193"/>
    </row>
    <row r="15838" spans="6:6" x14ac:dyDescent="0.3">
      <c r="F15838" s="193"/>
    </row>
    <row r="15839" spans="6:6" x14ac:dyDescent="0.3">
      <c r="F15839" s="193"/>
    </row>
    <row r="15840" spans="6:6" x14ac:dyDescent="0.3">
      <c r="F15840" s="193"/>
    </row>
    <row r="15841" spans="6:6" x14ac:dyDescent="0.3">
      <c r="F15841" s="193"/>
    </row>
    <row r="15842" spans="6:6" x14ac:dyDescent="0.3">
      <c r="F15842" s="193"/>
    </row>
    <row r="15843" spans="6:6" x14ac:dyDescent="0.3">
      <c r="F15843" s="193"/>
    </row>
    <row r="15844" spans="6:6" x14ac:dyDescent="0.3">
      <c r="F15844" s="193"/>
    </row>
    <row r="15845" spans="6:6" x14ac:dyDescent="0.3">
      <c r="F15845" s="193"/>
    </row>
    <row r="15846" spans="6:6" x14ac:dyDescent="0.3">
      <c r="F15846" s="193"/>
    </row>
    <row r="15847" spans="6:6" x14ac:dyDescent="0.3">
      <c r="F15847" s="193"/>
    </row>
    <row r="15848" spans="6:6" x14ac:dyDescent="0.3">
      <c r="F15848" s="193"/>
    </row>
    <row r="15849" spans="6:6" x14ac:dyDescent="0.3">
      <c r="F15849" s="193"/>
    </row>
    <row r="15850" spans="6:6" x14ac:dyDescent="0.3">
      <c r="F15850" s="193"/>
    </row>
    <row r="15851" spans="6:6" x14ac:dyDescent="0.3">
      <c r="F15851" s="193"/>
    </row>
    <row r="15852" spans="6:6" x14ac:dyDescent="0.3">
      <c r="F15852" s="193"/>
    </row>
    <row r="15853" spans="6:6" x14ac:dyDescent="0.3">
      <c r="F15853" s="193"/>
    </row>
    <row r="15854" spans="6:6" x14ac:dyDescent="0.3">
      <c r="F15854" s="193"/>
    </row>
    <row r="15855" spans="6:6" x14ac:dyDescent="0.3">
      <c r="F15855" s="193"/>
    </row>
    <row r="15856" spans="6:6" x14ac:dyDescent="0.3">
      <c r="F15856" s="193"/>
    </row>
    <row r="15857" spans="6:6" x14ac:dyDescent="0.3">
      <c r="F15857" s="193"/>
    </row>
    <row r="15858" spans="6:6" x14ac:dyDescent="0.3">
      <c r="F15858" s="193"/>
    </row>
    <row r="15859" spans="6:6" x14ac:dyDescent="0.3">
      <c r="F15859" s="193"/>
    </row>
    <row r="15860" spans="6:6" x14ac:dyDescent="0.3">
      <c r="F15860" s="193"/>
    </row>
    <row r="15861" spans="6:6" x14ac:dyDescent="0.3">
      <c r="F15861" s="193"/>
    </row>
    <row r="15862" spans="6:6" x14ac:dyDescent="0.3">
      <c r="F15862" s="193"/>
    </row>
    <row r="15863" spans="6:6" x14ac:dyDescent="0.3">
      <c r="F15863" s="193"/>
    </row>
    <row r="15864" spans="6:6" x14ac:dyDescent="0.3">
      <c r="F15864" s="193"/>
    </row>
    <row r="15865" spans="6:6" x14ac:dyDescent="0.3">
      <c r="F15865" s="193"/>
    </row>
    <row r="15866" spans="6:6" x14ac:dyDescent="0.3">
      <c r="F15866" s="193"/>
    </row>
    <row r="15867" spans="6:6" x14ac:dyDescent="0.3">
      <c r="F15867" s="193"/>
    </row>
    <row r="15868" spans="6:6" x14ac:dyDescent="0.3">
      <c r="F15868" s="193"/>
    </row>
    <row r="15869" spans="6:6" x14ac:dyDescent="0.3">
      <c r="F15869" s="193"/>
    </row>
    <row r="15870" spans="6:6" x14ac:dyDescent="0.3">
      <c r="F15870" s="193"/>
    </row>
    <row r="15871" spans="6:6" x14ac:dyDescent="0.3">
      <c r="F15871" s="193"/>
    </row>
    <row r="15872" spans="6:6" x14ac:dyDescent="0.3">
      <c r="F15872" s="193"/>
    </row>
    <row r="15873" spans="6:6" x14ac:dyDescent="0.3">
      <c r="F15873" s="193"/>
    </row>
    <row r="15874" spans="6:6" x14ac:dyDescent="0.3">
      <c r="F15874" s="193"/>
    </row>
    <row r="15875" spans="6:6" x14ac:dyDescent="0.3">
      <c r="F15875" s="193"/>
    </row>
    <row r="15876" spans="6:6" x14ac:dyDescent="0.3">
      <c r="F15876" s="193"/>
    </row>
    <row r="15877" spans="6:6" x14ac:dyDescent="0.3">
      <c r="F15877" s="193"/>
    </row>
    <row r="15878" spans="6:6" x14ac:dyDescent="0.3">
      <c r="F15878" s="193"/>
    </row>
    <row r="15879" spans="6:6" x14ac:dyDescent="0.3">
      <c r="F15879" s="193"/>
    </row>
    <row r="15880" spans="6:6" x14ac:dyDescent="0.3">
      <c r="F15880" s="193"/>
    </row>
    <row r="15881" spans="6:6" x14ac:dyDescent="0.3">
      <c r="F15881" s="193"/>
    </row>
    <row r="15882" spans="6:6" x14ac:dyDescent="0.3">
      <c r="F15882" s="193"/>
    </row>
    <row r="15883" spans="6:6" x14ac:dyDescent="0.3">
      <c r="F15883" s="193"/>
    </row>
    <row r="15884" spans="6:6" x14ac:dyDescent="0.3">
      <c r="F15884" s="193"/>
    </row>
    <row r="15885" spans="6:6" x14ac:dyDescent="0.3">
      <c r="F15885" s="193"/>
    </row>
    <row r="15886" spans="6:6" x14ac:dyDescent="0.3">
      <c r="F15886" s="193"/>
    </row>
    <row r="15887" spans="6:6" x14ac:dyDescent="0.3">
      <c r="F15887" s="193"/>
    </row>
    <row r="15888" spans="6:6" x14ac:dyDescent="0.3">
      <c r="F15888" s="193"/>
    </row>
    <row r="15889" spans="6:6" x14ac:dyDescent="0.3">
      <c r="F15889" s="193"/>
    </row>
    <row r="15890" spans="6:6" x14ac:dyDescent="0.3">
      <c r="F15890" s="193"/>
    </row>
    <row r="15891" spans="6:6" x14ac:dyDescent="0.3">
      <c r="F15891" s="193"/>
    </row>
    <row r="15892" spans="6:6" x14ac:dyDescent="0.3">
      <c r="F15892" s="193"/>
    </row>
    <row r="15893" spans="6:6" x14ac:dyDescent="0.3">
      <c r="F15893" s="193"/>
    </row>
    <row r="15894" spans="6:6" x14ac:dyDescent="0.3">
      <c r="F15894" s="193"/>
    </row>
    <row r="15895" spans="6:6" x14ac:dyDescent="0.3">
      <c r="F15895" s="193"/>
    </row>
    <row r="15896" spans="6:6" x14ac:dyDescent="0.3">
      <c r="F15896" s="193"/>
    </row>
    <row r="15897" spans="6:6" x14ac:dyDescent="0.3">
      <c r="F15897" s="193"/>
    </row>
    <row r="15898" spans="6:6" x14ac:dyDescent="0.3">
      <c r="F15898" s="193"/>
    </row>
    <row r="15899" spans="6:6" x14ac:dyDescent="0.3">
      <c r="F15899" s="193"/>
    </row>
    <row r="15900" spans="6:6" x14ac:dyDescent="0.3">
      <c r="F15900" s="193"/>
    </row>
    <row r="15901" spans="6:6" x14ac:dyDescent="0.3">
      <c r="F15901" s="193"/>
    </row>
    <row r="15902" spans="6:6" x14ac:dyDescent="0.3">
      <c r="F15902" s="193"/>
    </row>
    <row r="15903" spans="6:6" x14ac:dyDescent="0.3">
      <c r="F15903" s="193"/>
    </row>
    <row r="15904" spans="6:6" x14ac:dyDescent="0.3">
      <c r="F15904" s="193"/>
    </row>
    <row r="15905" spans="6:6" x14ac:dyDescent="0.3">
      <c r="F15905" s="193"/>
    </row>
    <row r="15906" spans="6:6" x14ac:dyDescent="0.3">
      <c r="F15906" s="193"/>
    </row>
    <row r="15907" spans="6:6" x14ac:dyDescent="0.3">
      <c r="F15907" s="193"/>
    </row>
    <row r="15908" spans="6:6" x14ac:dyDescent="0.3">
      <c r="F15908" s="193"/>
    </row>
    <row r="15909" spans="6:6" x14ac:dyDescent="0.3">
      <c r="F15909" s="193"/>
    </row>
    <row r="15910" spans="6:6" x14ac:dyDescent="0.3">
      <c r="F15910" s="193"/>
    </row>
    <row r="15911" spans="6:6" x14ac:dyDescent="0.3">
      <c r="F15911" s="193"/>
    </row>
    <row r="15912" spans="6:6" x14ac:dyDescent="0.3">
      <c r="F15912" s="193"/>
    </row>
    <row r="15913" spans="6:6" x14ac:dyDescent="0.3">
      <c r="F15913" s="193"/>
    </row>
    <row r="15914" spans="6:6" x14ac:dyDescent="0.3">
      <c r="F15914" s="193"/>
    </row>
    <row r="15915" spans="6:6" x14ac:dyDescent="0.3">
      <c r="F15915" s="193"/>
    </row>
    <row r="15916" spans="6:6" x14ac:dyDescent="0.3">
      <c r="F15916" s="193"/>
    </row>
    <row r="15917" spans="6:6" x14ac:dyDescent="0.3">
      <c r="F15917" s="193"/>
    </row>
    <row r="15918" spans="6:6" x14ac:dyDescent="0.3">
      <c r="F15918" s="193"/>
    </row>
    <row r="15919" spans="6:6" x14ac:dyDescent="0.3">
      <c r="F15919" s="193"/>
    </row>
    <row r="15920" spans="6:6" x14ac:dyDescent="0.3">
      <c r="F15920" s="193"/>
    </row>
    <row r="15921" spans="6:6" x14ac:dyDescent="0.3">
      <c r="F15921" s="193"/>
    </row>
    <row r="15922" spans="6:6" x14ac:dyDescent="0.3">
      <c r="F15922" s="193"/>
    </row>
    <row r="15923" spans="6:6" x14ac:dyDescent="0.3">
      <c r="F15923" s="193"/>
    </row>
    <row r="15924" spans="6:6" x14ac:dyDescent="0.3">
      <c r="F15924" s="193"/>
    </row>
    <row r="15925" spans="6:6" x14ac:dyDescent="0.3">
      <c r="F15925" s="193"/>
    </row>
    <row r="15926" spans="6:6" x14ac:dyDescent="0.3">
      <c r="F15926" s="193"/>
    </row>
    <row r="15927" spans="6:6" x14ac:dyDescent="0.3">
      <c r="F15927" s="193"/>
    </row>
    <row r="15928" spans="6:6" x14ac:dyDescent="0.3">
      <c r="F15928" s="193"/>
    </row>
    <row r="15929" spans="6:6" x14ac:dyDescent="0.3">
      <c r="F15929" s="193"/>
    </row>
    <row r="15930" spans="6:6" x14ac:dyDescent="0.3">
      <c r="F15930" s="193"/>
    </row>
    <row r="15931" spans="6:6" x14ac:dyDescent="0.3">
      <c r="F15931" s="193"/>
    </row>
    <row r="15932" spans="6:6" x14ac:dyDescent="0.3">
      <c r="F15932" s="193"/>
    </row>
    <row r="15933" spans="6:6" x14ac:dyDescent="0.3">
      <c r="F15933" s="193"/>
    </row>
    <row r="15934" spans="6:6" x14ac:dyDescent="0.3">
      <c r="F15934" s="193"/>
    </row>
    <row r="15935" spans="6:6" x14ac:dyDescent="0.3">
      <c r="F15935" s="193"/>
    </row>
    <row r="15936" spans="6:6" x14ac:dyDescent="0.3">
      <c r="F15936" s="193"/>
    </row>
    <row r="15937" spans="6:6" x14ac:dyDescent="0.3">
      <c r="F15937" s="193"/>
    </row>
    <row r="15938" spans="6:6" x14ac:dyDescent="0.3">
      <c r="F15938" s="193"/>
    </row>
    <row r="15939" spans="6:6" x14ac:dyDescent="0.3">
      <c r="F15939" s="193"/>
    </row>
    <row r="15940" spans="6:6" x14ac:dyDescent="0.3">
      <c r="F15940" s="193"/>
    </row>
    <row r="15941" spans="6:6" x14ac:dyDescent="0.3">
      <c r="F15941" s="193"/>
    </row>
    <row r="15942" spans="6:6" x14ac:dyDescent="0.3">
      <c r="F15942" s="193"/>
    </row>
    <row r="15943" spans="6:6" x14ac:dyDescent="0.3">
      <c r="F15943" s="193"/>
    </row>
    <row r="15944" spans="6:6" x14ac:dyDescent="0.3">
      <c r="F15944" s="193"/>
    </row>
    <row r="15945" spans="6:6" x14ac:dyDescent="0.3">
      <c r="F15945" s="193"/>
    </row>
    <row r="15946" spans="6:6" x14ac:dyDescent="0.3">
      <c r="F15946" s="193"/>
    </row>
    <row r="15947" spans="6:6" x14ac:dyDescent="0.3">
      <c r="F15947" s="193"/>
    </row>
    <row r="15948" spans="6:6" x14ac:dyDescent="0.3">
      <c r="F15948" s="193"/>
    </row>
    <row r="15949" spans="6:6" x14ac:dyDescent="0.3">
      <c r="F15949" s="193"/>
    </row>
    <row r="15950" spans="6:6" x14ac:dyDescent="0.3">
      <c r="F15950" s="193"/>
    </row>
    <row r="15951" spans="6:6" x14ac:dyDescent="0.3">
      <c r="F15951" s="193"/>
    </row>
    <row r="15952" spans="6:6" x14ac:dyDescent="0.3">
      <c r="F15952" s="193"/>
    </row>
    <row r="15953" spans="6:6" x14ac:dyDescent="0.3">
      <c r="F15953" s="193"/>
    </row>
    <row r="15954" spans="6:6" x14ac:dyDescent="0.3">
      <c r="F15954" s="193"/>
    </row>
    <row r="15955" spans="6:6" x14ac:dyDescent="0.3">
      <c r="F15955" s="193"/>
    </row>
    <row r="15956" spans="6:6" x14ac:dyDescent="0.3">
      <c r="F15956" s="193"/>
    </row>
    <row r="15957" spans="6:6" x14ac:dyDescent="0.3">
      <c r="F15957" s="193"/>
    </row>
    <row r="15958" spans="6:6" x14ac:dyDescent="0.3">
      <c r="F15958" s="193"/>
    </row>
    <row r="15959" spans="6:6" x14ac:dyDescent="0.3">
      <c r="F15959" s="193"/>
    </row>
    <row r="15960" spans="6:6" x14ac:dyDescent="0.3">
      <c r="F15960" s="193"/>
    </row>
    <row r="15961" spans="6:6" x14ac:dyDescent="0.3">
      <c r="F15961" s="193"/>
    </row>
    <row r="15962" spans="6:6" x14ac:dyDescent="0.3">
      <c r="F15962" s="193"/>
    </row>
    <row r="15963" spans="6:6" x14ac:dyDescent="0.3">
      <c r="F15963" s="193"/>
    </row>
    <row r="15964" spans="6:6" x14ac:dyDescent="0.3">
      <c r="F15964" s="193"/>
    </row>
    <row r="15965" spans="6:6" x14ac:dyDescent="0.3">
      <c r="F15965" s="193"/>
    </row>
    <row r="15966" spans="6:6" x14ac:dyDescent="0.3">
      <c r="F15966" s="193"/>
    </row>
    <row r="15967" spans="6:6" x14ac:dyDescent="0.3">
      <c r="F15967" s="193"/>
    </row>
    <row r="15968" spans="6:6" x14ac:dyDescent="0.3">
      <c r="F15968" s="193"/>
    </row>
    <row r="15969" spans="6:6" x14ac:dyDescent="0.3">
      <c r="F15969" s="193"/>
    </row>
    <row r="15970" spans="6:6" x14ac:dyDescent="0.3">
      <c r="F15970" s="193"/>
    </row>
    <row r="15971" spans="6:6" x14ac:dyDescent="0.3">
      <c r="F15971" s="193"/>
    </row>
    <row r="15972" spans="6:6" x14ac:dyDescent="0.3">
      <c r="F15972" s="193"/>
    </row>
    <row r="15973" spans="6:6" x14ac:dyDescent="0.3">
      <c r="F15973" s="193"/>
    </row>
    <row r="15974" spans="6:6" x14ac:dyDescent="0.3">
      <c r="F15974" s="193"/>
    </row>
    <row r="15975" spans="6:6" x14ac:dyDescent="0.3">
      <c r="F15975" s="193"/>
    </row>
    <row r="15976" spans="6:6" x14ac:dyDescent="0.3">
      <c r="F15976" s="193"/>
    </row>
    <row r="15977" spans="6:6" x14ac:dyDescent="0.3">
      <c r="F15977" s="193"/>
    </row>
    <row r="15978" spans="6:6" x14ac:dyDescent="0.3">
      <c r="F15978" s="193"/>
    </row>
    <row r="15979" spans="6:6" x14ac:dyDescent="0.3">
      <c r="F15979" s="193"/>
    </row>
    <row r="15980" spans="6:6" x14ac:dyDescent="0.3">
      <c r="F15980" s="193"/>
    </row>
    <row r="15981" spans="6:6" x14ac:dyDescent="0.3">
      <c r="F15981" s="193"/>
    </row>
    <row r="15982" spans="6:6" x14ac:dyDescent="0.3">
      <c r="F15982" s="193"/>
    </row>
    <row r="15983" spans="6:6" x14ac:dyDescent="0.3">
      <c r="F15983" s="193"/>
    </row>
    <row r="15984" spans="6:6" x14ac:dyDescent="0.3">
      <c r="F15984" s="193"/>
    </row>
    <row r="15985" spans="6:6" x14ac:dyDescent="0.3">
      <c r="F15985" s="193"/>
    </row>
    <row r="15986" spans="6:6" x14ac:dyDescent="0.3">
      <c r="F15986" s="193"/>
    </row>
    <row r="15987" spans="6:6" x14ac:dyDescent="0.3">
      <c r="F15987" s="193"/>
    </row>
    <row r="15988" spans="6:6" x14ac:dyDescent="0.3">
      <c r="F15988" s="193"/>
    </row>
    <row r="15989" spans="6:6" x14ac:dyDescent="0.3">
      <c r="F15989" s="193"/>
    </row>
    <row r="15990" spans="6:6" x14ac:dyDescent="0.3">
      <c r="F15990" s="193"/>
    </row>
    <row r="15991" spans="6:6" x14ac:dyDescent="0.3">
      <c r="F15991" s="193"/>
    </row>
    <row r="15992" spans="6:6" x14ac:dyDescent="0.3">
      <c r="F15992" s="193"/>
    </row>
    <row r="15993" spans="6:6" x14ac:dyDescent="0.3">
      <c r="F15993" s="193"/>
    </row>
    <row r="15994" spans="6:6" x14ac:dyDescent="0.3">
      <c r="F15994" s="193"/>
    </row>
    <row r="15995" spans="6:6" x14ac:dyDescent="0.3">
      <c r="F15995" s="193"/>
    </row>
    <row r="15996" spans="6:6" x14ac:dyDescent="0.3">
      <c r="F15996" s="193"/>
    </row>
    <row r="15997" spans="6:6" x14ac:dyDescent="0.3">
      <c r="F15997" s="193"/>
    </row>
    <row r="15998" spans="6:6" x14ac:dyDescent="0.3">
      <c r="F15998" s="193"/>
    </row>
    <row r="15999" spans="6:6" x14ac:dyDescent="0.3">
      <c r="F15999" s="193"/>
    </row>
    <row r="16000" spans="6:6" x14ac:dyDescent="0.3">
      <c r="F16000" s="193"/>
    </row>
    <row r="16001" spans="6:6" x14ac:dyDescent="0.3">
      <c r="F16001" s="193"/>
    </row>
    <row r="16002" spans="6:6" x14ac:dyDescent="0.3">
      <c r="F16002" s="193"/>
    </row>
    <row r="16003" spans="6:6" x14ac:dyDescent="0.3">
      <c r="F16003" s="193"/>
    </row>
    <row r="16004" spans="6:6" x14ac:dyDescent="0.3">
      <c r="F16004" s="193"/>
    </row>
    <row r="16005" spans="6:6" x14ac:dyDescent="0.3">
      <c r="F16005" s="193"/>
    </row>
    <row r="16006" spans="6:6" x14ac:dyDescent="0.3">
      <c r="F16006" s="193"/>
    </row>
    <row r="16007" spans="6:6" x14ac:dyDescent="0.3">
      <c r="F16007" s="193"/>
    </row>
    <row r="16008" spans="6:6" x14ac:dyDescent="0.3">
      <c r="F16008" s="193"/>
    </row>
    <row r="16009" spans="6:6" x14ac:dyDescent="0.3">
      <c r="F16009" s="193"/>
    </row>
    <row r="16010" spans="6:6" x14ac:dyDescent="0.3">
      <c r="F16010" s="193"/>
    </row>
    <row r="16011" spans="6:6" x14ac:dyDescent="0.3">
      <c r="F16011" s="193"/>
    </row>
    <row r="16012" spans="6:6" x14ac:dyDescent="0.3">
      <c r="F16012" s="193"/>
    </row>
    <row r="16013" spans="6:6" x14ac:dyDescent="0.3">
      <c r="F16013" s="193"/>
    </row>
    <row r="16014" spans="6:6" x14ac:dyDescent="0.3">
      <c r="F16014" s="193"/>
    </row>
    <row r="16015" spans="6:6" x14ac:dyDescent="0.3">
      <c r="F16015" s="193"/>
    </row>
    <row r="16016" spans="6:6" x14ac:dyDescent="0.3">
      <c r="F16016" s="193"/>
    </row>
    <row r="16017" spans="6:6" x14ac:dyDescent="0.3">
      <c r="F16017" s="193"/>
    </row>
    <row r="16018" spans="6:6" x14ac:dyDescent="0.3">
      <c r="F16018" s="193"/>
    </row>
    <row r="16019" spans="6:6" x14ac:dyDescent="0.3">
      <c r="F16019" s="193"/>
    </row>
    <row r="16020" spans="6:6" x14ac:dyDescent="0.3">
      <c r="F16020" s="193"/>
    </row>
    <row r="16021" spans="6:6" x14ac:dyDescent="0.3">
      <c r="F16021" s="193"/>
    </row>
    <row r="16022" spans="6:6" x14ac:dyDescent="0.3">
      <c r="F16022" s="193"/>
    </row>
    <row r="16023" spans="6:6" x14ac:dyDescent="0.3">
      <c r="F16023" s="193"/>
    </row>
    <row r="16024" spans="6:6" x14ac:dyDescent="0.3">
      <c r="F16024" s="193"/>
    </row>
    <row r="16025" spans="6:6" x14ac:dyDescent="0.3">
      <c r="F16025" s="193"/>
    </row>
    <row r="16026" spans="6:6" x14ac:dyDescent="0.3">
      <c r="F16026" s="193"/>
    </row>
    <row r="16027" spans="6:6" x14ac:dyDescent="0.3">
      <c r="F16027" s="193"/>
    </row>
    <row r="16028" spans="6:6" x14ac:dyDescent="0.3">
      <c r="F16028" s="193"/>
    </row>
    <row r="16029" spans="6:6" x14ac:dyDescent="0.3">
      <c r="F16029" s="193"/>
    </row>
    <row r="16030" spans="6:6" x14ac:dyDescent="0.3">
      <c r="F16030" s="193"/>
    </row>
    <row r="16031" spans="6:6" x14ac:dyDescent="0.3">
      <c r="F16031" s="193"/>
    </row>
    <row r="16032" spans="6:6" x14ac:dyDescent="0.3">
      <c r="F16032" s="193"/>
    </row>
    <row r="16033" spans="6:6" x14ac:dyDescent="0.3">
      <c r="F16033" s="193"/>
    </row>
    <row r="16034" spans="6:6" x14ac:dyDescent="0.3">
      <c r="F16034" s="193"/>
    </row>
    <row r="16035" spans="6:6" x14ac:dyDescent="0.3">
      <c r="F16035" s="193"/>
    </row>
    <row r="16036" spans="6:6" x14ac:dyDescent="0.3">
      <c r="F16036" s="193"/>
    </row>
    <row r="16037" spans="6:6" x14ac:dyDescent="0.3">
      <c r="F16037" s="193"/>
    </row>
    <row r="16038" spans="6:6" x14ac:dyDescent="0.3">
      <c r="F16038" s="193"/>
    </row>
    <row r="16039" spans="6:6" x14ac:dyDescent="0.3">
      <c r="F16039" s="193"/>
    </row>
    <row r="16040" spans="6:6" x14ac:dyDescent="0.3">
      <c r="F16040" s="193"/>
    </row>
    <row r="16041" spans="6:6" x14ac:dyDescent="0.3">
      <c r="F16041" s="193"/>
    </row>
    <row r="16042" spans="6:6" x14ac:dyDescent="0.3">
      <c r="F16042" s="193"/>
    </row>
    <row r="16043" spans="6:6" x14ac:dyDescent="0.3">
      <c r="F16043" s="193"/>
    </row>
    <row r="16044" spans="6:6" x14ac:dyDescent="0.3">
      <c r="F16044" s="193"/>
    </row>
    <row r="16045" spans="6:6" x14ac:dyDescent="0.3">
      <c r="F16045" s="193"/>
    </row>
    <row r="16046" spans="6:6" x14ac:dyDescent="0.3">
      <c r="F16046" s="193"/>
    </row>
    <row r="16047" spans="6:6" x14ac:dyDescent="0.3">
      <c r="F16047" s="193"/>
    </row>
    <row r="16048" spans="6:6" x14ac:dyDescent="0.3">
      <c r="F16048" s="193"/>
    </row>
    <row r="16049" spans="6:6" x14ac:dyDescent="0.3">
      <c r="F16049" s="193"/>
    </row>
    <row r="16050" spans="6:6" x14ac:dyDescent="0.3">
      <c r="F16050" s="193"/>
    </row>
    <row r="16051" spans="6:6" x14ac:dyDescent="0.3">
      <c r="F16051" s="193"/>
    </row>
    <row r="16052" spans="6:6" x14ac:dyDescent="0.3">
      <c r="F16052" s="193"/>
    </row>
    <row r="16053" spans="6:6" x14ac:dyDescent="0.3">
      <c r="F16053" s="193"/>
    </row>
    <row r="16054" spans="6:6" x14ac:dyDescent="0.3">
      <c r="F16054" s="193"/>
    </row>
    <row r="16055" spans="6:6" x14ac:dyDescent="0.3">
      <c r="F16055" s="193"/>
    </row>
    <row r="16056" spans="6:6" x14ac:dyDescent="0.3">
      <c r="F16056" s="193"/>
    </row>
    <row r="16057" spans="6:6" x14ac:dyDescent="0.3">
      <c r="F16057" s="193"/>
    </row>
    <row r="16058" spans="6:6" x14ac:dyDescent="0.3">
      <c r="F16058" s="193"/>
    </row>
    <row r="16059" spans="6:6" x14ac:dyDescent="0.3">
      <c r="F16059" s="193"/>
    </row>
    <row r="16060" spans="6:6" x14ac:dyDescent="0.3">
      <c r="F16060" s="193"/>
    </row>
    <row r="16061" spans="6:6" x14ac:dyDescent="0.3">
      <c r="F16061" s="193"/>
    </row>
    <row r="16062" spans="6:6" x14ac:dyDescent="0.3">
      <c r="F16062" s="193"/>
    </row>
    <row r="16063" spans="6:6" x14ac:dyDescent="0.3">
      <c r="F16063" s="193"/>
    </row>
    <row r="16064" spans="6:6" x14ac:dyDescent="0.3">
      <c r="F16064" s="193"/>
    </row>
    <row r="16065" spans="6:6" x14ac:dyDescent="0.3">
      <c r="F16065" s="193"/>
    </row>
    <row r="16066" spans="6:6" x14ac:dyDescent="0.3">
      <c r="F16066" s="193"/>
    </row>
    <row r="16067" spans="6:6" x14ac:dyDescent="0.3">
      <c r="F16067" s="193"/>
    </row>
    <row r="16068" spans="6:6" x14ac:dyDescent="0.3">
      <c r="F16068" s="193"/>
    </row>
    <row r="16069" spans="6:6" x14ac:dyDescent="0.3">
      <c r="F16069" s="193"/>
    </row>
    <row r="16070" spans="6:6" x14ac:dyDescent="0.3">
      <c r="F16070" s="193"/>
    </row>
    <row r="16071" spans="6:6" x14ac:dyDescent="0.3">
      <c r="F16071" s="193"/>
    </row>
    <row r="16072" spans="6:6" x14ac:dyDescent="0.3">
      <c r="F16072" s="193"/>
    </row>
    <row r="16073" spans="6:6" x14ac:dyDescent="0.3">
      <c r="F16073" s="193"/>
    </row>
    <row r="16074" spans="6:6" x14ac:dyDescent="0.3">
      <c r="F16074" s="193"/>
    </row>
    <row r="16075" spans="6:6" x14ac:dyDescent="0.3">
      <c r="F16075" s="193"/>
    </row>
    <row r="16076" spans="6:6" x14ac:dyDescent="0.3">
      <c r="F16076" s="193"/>
    </row>
    <row r="16077" spans="6:6" x14ac:dyDescent="0.3">
      <c r="F16077" s="193"/>
    </row>
    <row r="16078" spans="6:6" x14ac:dyDescent="0.3">
      <c r="F16078" s="193"/>
    </row>
    <row r="16079" spans="6:6" x14ac:dyDescent="0.3">
      <c r="F16079" s="193"/>
    </row>
    <row r="16080" spans="6:6" x14ac:dyDescent="0.3">
      <c r="F16080" s="193"/>
    </row>
    <row r="16081" spans="6:6" x14ac:dyDescent="0.3">
      <c r="F16081" s="193"/>
    </row>
    <row r="16082" spans="6:6" x14ac:dyDescent="0.3">
      <c r="F16082" s="193"/>
    </row>
    <row r="16083" spans="6:6" x14ac:dyDescent="0.3">
      <c r="F16083" s="193"/>
    </row>
    <row r="16084" spans="6:6" x14ac:dyDescent="0.3">
      <c r="F16084" s="193"/>
    </row>
    <row r="16085" spans="6:6" x14ac:dyDescent="0.3">
      <c r="F16085" s="193"/>
    </row>
    <row r="16086" spans="6:6" x14ac:dyDescent="0.3">
      <c r="F16086" s="193"/>
    </row>
    <row r="16087" spans="6:6" x14ac:dyDescent="0.3">
      <c r="F16087" s="193"/>
    </row>
    <row r="16088" spans="6:6" x14ac:dyDescent="0.3">
      <c r="F16088" s="193"/>
    </row>
    <row r="16089" spans="6:6" x14ac:dyDescent="0.3">
      <c r="F16089" s="193"/>
    </row>
    <row r="16090" spans="6:6" x14ac:dyDescent="0.3">
      <c r="F16090" s="193"/>
    </row>
    <row r="16091" spans="6:6" x14ac:dyDescent="0.3">
      <c r="F16091" s="193"/>
    </row>
    <row r="16092" spans="6:6" x14ac:dyDescent="0.3">
      <c r="F16092" s="193"/>
    </row>
    <row r="16093" spans="6:6" x14ac:dyDescent="0.3">
      <c r="F16093" s="193"/>
    </row>
    <row r="16094" spans="6:6" x14ac:dyDescent="0.3">
      <c r="F16094" s="193"/>
    </row>
    <row r="16095" spans="6:6" x14ac:dyDescent="0.3">
      <c r="F16095" s="193"/>
    </row>
    <row r="16096" spans="6:6" x14ac:dyDescent="0.3">
      <c r="F16096" s="193"/>
    </row>
    <row r="16097" spans="6:6" x14ac:dyDescent="0.3">
      <c r="F16097" s="193"/>
    </row>
    <row r="16098" spans="6:6" x14ac:dyDescent="0.3">
      <c r="F16098" s="193"/>
    </row>
    <row r="16099" spans="6:6" x14ac:dyDescent="0.3">
      <c r="F16099" s="193"/>
    </row>
    <row r="16100" spans="6:6" x14ac:dyDescent="0.3">
      <c r="F16100" s="193"/>
    </row>
    <row r="16101" spans="6:6" x14ac:dyDescent="0.3">
      <c r="F16101" s="193"/>
    </row>
    <row r="16102" spans="6:6" x14ac:dyDescent="0.3">
      <c r="F16102" s="193"/>
    </row>
    <row r="16103" spans="6:6" x14ac:dyDescent="0.3">
      <c r="F16103" s="193"/>
    </row>
    <row r="16104" spans="6:6" x14ac:dyDescent="0.3">
      <c r="F16104" s="193"/>
    </row>
    <row r="16105" spans="6:6" x14ac:dyDescent="0.3">
      <c r="F16105" s="193"/>
    </row>
    <row r="16106" spans="6:6" x14ac:dyDescent="0.3">
      <c r="F16106" s="193"/>
    </row>
    <row r="16107" spans="6:6" x14ac:dyDescent="0.3">
      <c r="F16107" s="193"/>
    </row>
    <row r="16108" spans="6:6" x14ac:dyDescent="0.3">
      <c r="F16108" s="193"/>
    </row>
    <row r="16109" spans="6:6" x14ac:dyDescent="0.3">
      <c r="F16109" s="193"/>
    </row>
    <row r="16110" spans="6:6" x14ac:dyDescent="0.3">
      <c r="F16110" s="193"/>
    </row>
    <row r="16111" spans="6:6" x14ac:dyDescent="0.3">
      <c r="F16111" s="193"/>
    </row>
    <row r="16112" spans="6:6" x14ac:dyDescent="0.3">
      <c r="F16112" s="193"/>
    </row>
    <row r="16113" spans="6:6" x14ac:dyDescent="0.3">
      <c r="F16113" s="193"/>
    </row>
    <row r="16114" spans="6:6" x14ac:dyDescent="0.3">
      <c r="F16114" s="193"/>
    </row>
    <row r="16115" spans="6:6" x14ac:dyDescent="0.3">
      <c r="F16115" s="193"/>
    </row>
    <row r="16116" spans="6:6" x14ac:dyDescent="0.3">
      <c r="F16116" s="193"/>
    </row>
    <row r="16117" spans="6:6" x14ac:dyDescent="0.3">
      <c r="F16117" s="193"/>
    </row>
    <row r="16118" spans="6:6" x14ac:dyDescent="0.3">
      <c r="F16118" s="193"/>
    </row>
    <row r="16119" spans="6:6" x14ac:dyDescent="0.3">
      <c r="F16119" s="193"/>
    </row>
    <row r="16120" spans="6:6" x14ac:dyDescent="0.3">
      <c r="F16120" s="193"/>
    </row>
    <row r="16121" spans="6:6" x14ac:dyDescent="0.3">
      <c r="F16121" s="193"/>
    </row>
    <row r="16122" spans="6:6" x14ac:dyDescent="0.3">
      <c r="F16122" s="193"/>
    </row>
    <row r="16123" spans="6:6" x14ac:dyDescent="0.3">
      <c r="F16123" s="193"/>
    </row>
    <row r="16124" spans="6:6" x14ac:dyDescent="0.3">
      <c r="F16124" s="193"/>
    </row>
    <row r="16125" spans="6:6" x14ac:dyDescent="0.3">
      <c r="F16125" s="193"/>
    </row>
    <row r="16126" spans="6:6" x14ac:dyDescent="0.3">
      <c r="F16126" s="193"/>
    </row>
    <row r="16127" spans="6:6" x14ac:dyDescent="0.3">
      <c r="F16127" s="193"/>
    </row>
    <row r="16128" spans="6:6" x14ac:dyDescent="0.3">
      <c r="F16128" s="193"/>
    </row>
    <row r="16129" spans="6:6" x14ac:dyDescent="0.3">
      <c r="F16129" s="193"/>
    </row>
    <row r="16130" spans="6:6" x14ac:dyDescent="0.3">
      <c r="F16130" s="193"/>
    </row>
    <row r="16131" spans="6:6" x14ac:dyDescent="0.3">
      <c r="F16131" s="193"/>
    </row>
    <row r="16132" spans="6:6" x14ac:dyDescent="0.3">
      <c r="F16132" s="193"/>
    </row>
    <row r="16133" spans="6:6" x14ac:dyDescent="0.3">
      <c r="F16133" s="193"/>
    </row>
    <row r="16134" spans="6:6" x14ac:dyDescent="0.3">
      <c r="F16134" s="193"/>
    </row>
    <row r="16135" spans="6:6" x14ac:dyDescent="0.3">
      <c r="F16135" s="193"/>
    </row>
    <row r="16136" spans="6:6" x14ac:dyDescent="0.3">
      <c r="F16136" s="193"/>
    </row>
    <row r="16137" spans="6:6" x14ac:dyDescent="0.3">
      <c r="F16137" s="193"/>
    </row>
    <row r="16138" spans="6:6" x14ac:dyDescent="0.3">
      <c r="F16138" s="193"/>
    </row>
    <row r="16139" spans="6:6" x14ac:dyDescent="0.3">
      <c r="F16139" s="193"/>
    </row>
    <row r="16140" spans="6:6" x14ac:dyDescent="0.3">
      <c r="F16140" s="193"/>
    </row>
    <row r="16141" spans="6:6" x14ac:dyDescent="0.3">
      <c r="F16141" s="193"/>
    </row>
    <row r="16142" spans="6:6" x14ac:dyDescent="0.3">
      <c r="F16142" s="193"/>
    </row>
    <row r="16143" spans="6:6" x14ac:dyDescent="0.3">
      <c r="F16143" s="193"/>
    </row>
    <row r="16144" spans="6:6" x14ac:dyDescent="0.3">
      <c r="F16144" s="193"/>
    </row>
    <row r="16145" spans="6:6" x14ac:dyDescent="0.3">
      <c r="F16145" s="193"/>
    </row>
    <row r="16146" spans="6:6" x14ac:dyDescent="0.3">
      <c r="F16146" s="193"/>
    </row>
    <row r="16147" spans="6:6" x14ac:dyDescent="0.3">
      <c r="F16147" s="193"/>
    </row>
    <row r="16148" spans="6:6" x14ac:dyDescent="0.3">
      <c r="F16148" s="193"/>
    </row>
    <row r="16149" spans="6:6" x14ac:dyDescent="0.3">
      <c r="F16149" s="193"/>
    </row>
    <row r="16150" spans="6:6" x14ac:dyDescent="0.3">
      <c r="F16150" s="193"/>
    </row>
    <row r="16151" spans="6:6" x14ac:dyDescent="0.3">
      <c r="F16151" s="193"/>
    </row>
    <row r="16152" spans="6:6" x14ac:dyDescent="0.3">
      <c r="F16152" s="193"/>
    </row>
    <row r="16153" spans="6:6" x14ac:dyDescent="0.3">
      <c r="F16153" s="193"/>
    </row>
    <row r="16154" spans="6:6" x14ac:dyDescent="0.3">
      <c r="F16154" s="193"/>
    </row>
    <row r="16155" spans="6:6" x14ac:dyDescent="0.3">
      <c r="F16155" s="193"/>
    </row>
    <row r="16156" spans="6:6" x14ac:dyDescent="0.3">
      <c r="F16156" s="193"/>
    </row>
    <row r="16157" spans="6:6" x14ac:dyDescent="0.3">
      <c r="F16157" s="193"/>
    </row>
    <row r="16158" spans="6:6" x14ac:dyDescent="0.3">
      <c r="F16158" s="193"/>
    </row>
    <row r="16159" spans="6:6" x14ac:dyDescent="0.3">
      <c r="F16159" s="193"/>
    </row>
    <row r="16160" spans="6:6" x14ac:dyDescent="0.3">
      <c r="F16160" s="193"/>
    </row>
    <row r="16161" spans="6:6" x14ac:dyDescent="0.3">
      <c r="F16161" s="193"/>
    </row>
    <row r="16162" spans="6:6" x14ac:dyDescent="0.3">
      <c r="F16162" s="193"/>
    </row>
    <row r="16163" spans="6:6" x14ac:dyDescent="0.3">
      <c r="F16163" s="193"/>
    </row>
    <row r="16164" spans="6:6" x14ac:dyDescent="0.3">
      <c r="F16164" s="193"/>
    </row>
    <row r="16165" spans="6:6" x14ac:dyDescent="0.3">
      <c r="F16165" s="193"/>
    </row>
    <row r="16166" spans="6:6" x14ac:dyDescent="0.3">
      <c r="F16166" s="193"/>
    </row>
    <row r="16167" spans="6:6" x14ac:dyDescent="0.3">
      <c r="F16167" s="193"/>
    </row>
    <row r="16168" spans="6:6" x14ac:dyDescent="0.3">
      <c r="F16168" s="193"/>
    </row>
    <row r="16169" spans="6:6" x14ac:dyDescent="0.3">
      <c r="F16169" s="193"/>
    </row>
    <row r="16170" spans="6:6" x14ac:dyDescent="0.3">
      <c r="F16170" s="193"/>
    </row>
    <row r="16171" spans="6:6" x14ac:dyDescent="0.3">
      <c r="F16171" s="193"/>
    </row>
    <row r="16172" spans="6:6" x14ac:dyDescent="0.3">
      <c r="F16172" s="193"/>
    </row>
    <row r="16173" spans="6:6" x14ac:dyDescent="0.3">
      <c r="F16173" s="193"/>
    </row>
    <row r="16174" spans="6:6" x14ac:dyDescent="0.3">
      <c r="F16174" s="193"/>
    </row>
    <row r="16175" spans="6:6" x14ac:dyDescent="0.3">
      <c r="F16175" s="193"/>
    </row>
    <row r="16176" spans="6:6" x14ac:dyDescent="0.3">
      <c r="F16176" s="193"/>
    </row>
    <row r="16177" spans="6:6" x14ac:dyDescent="0.3">
      <c r="F16177" s="193"/>
    </row>
    <row r="16178" spans="6:6" x14ac:dyDescent="0.3">
      <c r="F16178" s="193"/>
    </row>
    <row r="16179" spans="6:6" x14ac:dyDescent="0.3">
      <c r="F16179" s="193"/>
    </row>
    <row r="16180" spans="6:6" x14ac:dyDescent="0.3">
      <c r="F16180" s="193"/>
    </row>
    <row r="16181" spans="6:6" x14ac:dyDescent="0.3">
      <c r="F16181" s="193"/>
    </row>
    <row r="16182" spans="6:6" x14ac:dyDescent="0.3">
      <c r="F16182" s="193"/>
    </row>
    <row r="16183" spans="6:6" x14ac:dyDescent="0.3">
      <c r="F16183" s="193"/>
    </row>
    <row r="16184" spans="6:6" x14ac:dyDescent="0.3">
      <c r="F16184" s="193"/>
    </row>
    <row r="16185" spans="6:6" x14ac:dyDescent="0.3">
      <c r="F16185" s="193"/>
    </row>
    <row r="16186" spans="6:6" x14ac:dyDescent="0.3">
      <c r="F16186" s="193"/>
    </row>
    <row r="16187" spans="6:6" x14ac:dyDescent="0.3">
      <c r="F16187" s="193"/>
    </row>
    <row r="16188" spans="6:6" x14ac:dyDescent="0.3">
      <c r="F16188" s="193"/>
    </row>
    <row r="16189" spans="6:6" x14ac:dyDescent="0.3">
      <c r="F16189" s="193"/>
    </row>
    <row r="16190" spans="6:6" x14ac:dyDescent="0.3">
      <c r="F16190" s="193"/>
    </row>
    <row r="16191" spans="6:6" x14ac:dyDescent="0.3">
      <c r="F16191" s="193"/>
    </row>
    <row r="16192" spans="6:6" x14ac:dyDescent="0.3">
      <c r="F16192" s="193"/>
    </row>
    <row r="16193" spans="6:6" x14ac:dyDescent="0.3">
      <c r="F16193" s="193"/>
    </row>
    <row r="16194" spans="6:6" x14ac:dyDescent="0.3">
      <c r="F16194" s="193"/>
    </row>
    <row r="16195" spans="6:6" x14ac:dyDescent="0.3">
      <c r="F16195" s="193"/>
    </row>
    <row r="16196" spans="6:6" x14ac:dyDescent="0.3">
      <c r="F16196" s="193"/>
    </row>
    <row r="16197" spans="6:6" x14ac:dyDescent="0.3">
      <c r="F16197" s="193"/>
    </row>
    <row r="16198" spans="6:6" x14ac:dyDescent="0.3">
      <c r="F16198" s="193"/>
    </row>
    <row r="16199" spans="6:6" x14ac:dyDescent="0.3">
      <c r="F16199" s="193"/>
    </row>
    <row r="16200" spans="6:6" x14ac:dyDescent="0.3">
      <c r="F16200" s="193"/>
    </row>
    <row r="16201" spans="6:6" x14ac:dyDescent="0.3">
      <c r="F16201" s="193"/>
    </row>
    <row r="16202" spans="6:6" x14ac:dyDescent="0.3">
      <c r="F16202" s="193"/>
    </row>
    <row r="16203" spans="6:6" x14ac:dyDescent="0.3">
      <c r="F16203" s="193"/>
    </row>
    <row r="16204" spans="6:6" x14ac:dyDescent="0.3">
      <c r="F16204" s="193"/>
    </row>
    <row r="16205" spans="6:6" x14ac:dyDescent="0.3">
      <c r="F16205" s="193"/>
    </row>
    <row r="16206" spans="6:6" x14ac:dyDescent="0.3">
      <c r="F16206" s="193"/>
    </row>
    <row r="16207" spans="6:6" x14ac:dyDescent="0.3">
      <c r="F16207" s="193"/>
    </row>
    <row r="16208" spans="6:6" x14ac:dyDescent="0.3">
      <c r="F16208" s="193"/>
    </row>
    <row r="16209" spans="6:6" x14ac:dyDescent="0.3">
      <c r="F16209" s="193"/>
    </row>
    <row r="16210" spans="6:6" x14ac:dyDescent="0.3">
      <c r="F16210" s="193"/>
    </row>
    <row r="16211" spans="6:6" x14ac:dyDescent="0.3">
      <c r="F16211" s="193"/>
    </row>
    <row r="16212" spans="6:6" x14ac:dyDescent="0.3">
      <c r="F16212" s="193"/>
    </row>
    <row r="16213" spans="6:6" x14ac:dyDescent="0.3">
      <c r="F16213" s="193"/>
    </row>
    <row r="16214" spans="6:6" x14ac:dyDescent="0.3">
      <c r="F16214" s="193"/>
    </row>
    <row r="16215" spans="6:6" x14ac:dyDescent="0.3">
      <c r="F16215" s="193"/>
    </row>
    <row r="16216" spans="6:6" x14ac:dyDescent="0.3">
      <c r="F16216" s="193"/>
    </row>
    <row r="16217" spans="6:6" x14ac:dyDescent="0.3">
      <c r="F16217" s="193"/>
    </row>
    <row r="16218" spans="6:6" x14ac:dyDescent="0.3">
      <c r="F16218" s="193"/>
    </row>
    <row r="16219" spans="6:6" x14ac:dyDescent="0.3">
      <c r="F16219" s="193"/>
    </row>
    <row r="16220" spans="6:6" x14ac:dyDescent="0.3">
      <c r="F16220" s="193"/>
    </row>
    <row r="16221" spans="6:6" x14ac:dyDescent="0.3">
      <c r="F16221" s="193"/>
    </row>
    <row r="16222" spans="6:6" x14ac:dyDescent="0.3">
      <c r="F16222" s="193"/>
    </row>
    <row r="16223" spans="6:6" x14ac:dyDescent="0.3">
      <c r="F16223" s="193"/>
    </row>
    <row r="16224" spans="6:6" x14ac:dyDescent="0.3">
      <c r="F16224" s="193"/>
    </row>
    <row r="16225" spans="6:6" x14ac:dyDescent="0.3">
      <c r="F16225" s="193"/>
    </row>
    <row r="16226" spans="6:6" x14ac:dyDescent="0.3">
      <c r="F16226" s="193"/>
    </row>
    <row r="16227" spans="6:6" x14ac:dyDescent="0.3">
      <c r="F16227" s="193"/>
    </row>
    <row r="16228" spans="6:6" x14ac:dyDescent="0.3">
      <c r="F16228" s="193"/>
    </row>
    <row r="16229" spans="6:6" x14ac:dyDescent="0.3">
      <c r="F16229" s="193"/>
    </row>
    <row r="16230" spans="6:6" x14ac:dyDescent="0.3">
      <c r="F16230" s="193"/>
    </row>
    <row r="16231" spans="6:6" x14ac:dyDescent="0.3">
      <c r="F16231" s="193"/>
    </row>
    <row r="16232" spans="6:6" x14ac:dyDescent="0.3">
      <c r="F16232" s="193"/>
    </row>
    <row r="16233" spans="6:6" x14ac:dyDescent="0.3">
      <c r="F16233" s="193"/>
    </row>
    <row r="16234" spans="6:6" x14ac:dyDescent="0.3">
      <c r="F16234" s="193"/>
    </row>
    <row r="16235" spans="6:6" x14ac:dyDescent="0.3">
      <c r="F16235" s="193"/>
    </row>
    <row r="16236" spans="6:6" x14ac:dyDescent="0.3">
      <c r="F16236" s="193"/>
    </row>
    <row r="16237" spans="6:6" x14ac:dyDescent="0.3">
      <c r="F16237" s="193"/>
    </row>
    <row r="16238" spans="6:6" x14ac:dyDescent="0.3">
      <c r="F16238" s="193"/>
    </row>
    <row r="16239" spans="6:6" x14ac:dyDescent="0.3">
      <c r="F16239" s="193"/>
    </row>
    <row r="16240" spans="6:6" x14ac:dyDescent="0.3">
      <c r="F16240" s="193"/>
    </row>
    <row r="16241" spans="6:6" x14ac:dyDescent="0.3">
      <c r="F16241" s="193"/>
    </row>
    <row r="16242" spans="6:6" x14ac:dyDescent="0.3">
      <c r="F16242" s="193"/>
    </row>
    <row r="16243" spans="6:6" x14ac:dyDescent="0.3">
      <c r="F16243" s="193"/>
    </row>
    <row r="16244" spans="6:6" x14ac:dyDescent="0.3">
      <c r="F16244" s="193"/>
    </row>
    <row r="16245" spans="6:6" x14ac:dyDescent="0.3">
      <c r="F16245" s="193"/>
    </row>
    <row r="16246" spans="6:6" x14ac:dyDescent="0.3">
      <c r="F16246" s="193"/>
    </row>
    <row r="16247" spans="6:6" x14ac:dyDescent="0.3">
      <c r="F16247" s="193"/>
    </row>
    <row r="16248" spans="6:6" x14ac:dyDescent="0.3">
      <c r="F16248" s="193"/>
    </row>
    <row r="16249" spans="6:6" x14ac:dyDescent="0.3">
      <c r="F16249" s="193"/>
    </row>
    <row r="16250" spans="6:6" x14ac:dyDescent="0.3">
      <c r="F16250" s="193"/>
    </row>
    <row r="16251" spans="6:6" x14ac:dyDescent="0.3">
      <c r="F16251" s="193"/>
    </row>
    <row r="16252" spans="6:6" x14ac:dyDescent="0.3">
      <c r="F16252" s="193"/>
    </row>
    <row r="16253" spans="6:6" x14ac:dyDescent="0.3">
      <c r="F16253" s="193"/>
    </row>
    <row r="16254" spans="6:6" x14ac:dyDescent="0.3">
      <c r="F16254" s="193"/>
    </row>
    <row r="16255" spans="6:6" x14ac:dyDescent="0.3">
      <c r="F16255" s="193"/>
    </row>
    <row r="16256" spans="6:6" x14ac:dyDescent="0.3">
      <c r="F16256" s="193"/>
    </row>
    <row r="16257" spans="6:6" x14ac:dyDescent="0.3">
      <c r="F16257" s="193"/>
    </row>
    <row r="16258" spans="6:6" x14ac:dyDescent="0.3">
      <c r="F16258" s="193"/>
    </row>
    <row r="16259" spans="6:6" x14ac:dyDescent="0.3">
      <c r="F16259" s="193"/>
    </row>
    <row r="16260" spans="6:6" x14ac:dyDescent="0.3">
      <c r="F16260" s="193"/>
    </row>
    <row r="16261" spans="6:6" x14ac:dyDescent="0.3">
      <c r="F16261" s="193"/>
    </row>
    <row r="16262" spans="6:6" x14ac:dyDescent="0.3">
      <c r="F16262" s="193"/>
    </row>
    <row r="16263" spans="6:6" x14ac:dyDescent="0.3">
      <c r="F16263" s="193"/>
    </row>
    <row r="16264" spans="6:6" x14ac:dyDescent="0.3">
      <c r="F16264" s="193"/>
    </row>
    <row r="16265" spans="6:6" x14ac:dyDescent="0.3">
      <c r="F16265" s="193"/>
    </row>
    <row r="16266" spans="6:6" x14ac:dyDescent="0.3">
      <c r="F16266" s="193"/>
    </row>
    <row r="16267" spans="6:6" x14ac:dyDescent="0.3">
      <c r="F16267" s="193"/>
    </row>
    <row r="16268" spans="6:6" x14ac:dyDescent="0.3">
      <c r="F16268" s="193"/>
    </row>
    <row r="16269" spans="6:6" x14ac:dyDescent="0.3">
      <c r="F16269" s="193"/>
    </row>
    <row r="16270" spans="6:6" x14ac:dyDescent="0.3">
      <c r="F16270" s="193"/>
    </row>
    <row r="16271" spans="6:6" x14ac:dyDescent="0.3">
      <c r="F16271" s="193"/>
    </row>
    <row r="16272" spans="6:6" x14ac:dyDescent="0.3">
      <c r="F16272" s="193"/>
    </row>
    <row r="16273" spans="6:6" x14ac:dyDescent="0.3">
      <c r="F16273" s="193"/>
    </row>
    <row r="16274" spans="6:6" x14ac:dyDescent="0.3">
      <c r="F16274" s="193"/>
    </row>
    <row r="16275" spans="6:6" x14ac:dyDescent="0.3">
      <c r="F16275" s="193"/>
    </row>
    <row r="16276" spans="6:6" x14ac:dyDescent="0.3">
      <c r="F16276" s="193"/>
    </row>
    <row r="16277" spans="6:6" x14ac:dyDescent="0.3">
      <c r="F16277" s="193"/>
    </row>
    <row r="16278" spans="6:6" x14ac:dyDescent="0.3">
      <c r="F16278" s="193"/>
    </row>
    <row r="16279" spans="6:6" x14ac:dyDescent="0.3">
      <c r="F16279" s="193"/>
    </row>
    <row r="16280" spans="6:6" x14ac:dyDescent="0.3">
      <c r="F16280" s="193"/>
    </row>
    <row r="16281" spans="6:6" x14ac:dyDescent="0.3">
      <c r="F16281" s="193"/>
    </row>
    <row r="16282" spans="6:6" x14ac:dyDescent="0.3">
      <c r="F16282" s="193"/>
    </row>
    <row r="16283" spans="6:6" x14ac:dyDescent="0.3">
      <c r="F16283" s="193"/>
    </row>
    <row r="16284" spans="6:6" x14ac:dyDescent="0.3">
      <c r="F16284" s="193"/>
    </row>
    <row r="16285" spans="6:6" x14ac:dyDescent="0.3">
      <c r="F16285" s="193"/>
    </row>
    <row r="16286" spans="6:6" x14ac:dyDescent="0.3">
      <c r="F16286" s="193"/>
    </row>
    <row r="16287" spans="6:6" x14ac:dyDescent="0.3">
      <c r="F16287" s="193"/>
    </row>
    <row r="16288" spans="6:6" x14ac:dyDescent="0.3">
      <c r="F16288" s="193"/>
    </row>
    <row r="16289" spans="6:6" x14ac:dyDescent="0.3">
      <c r="F16289" s="193"/>
    </row>
    <row r="16290" spans="6:6" x14ac:dyDescent="0.3">
      <c r="F16290" s="193"/>
    </row>
    <row r="16291" spans="6:6" x14ac:dyDescent="0.3">
      <c r="F16291" s="193"/>
    </row>
    <row r="16292" spans="6:6" x14ac:dyDescent="0.3">
      <c r="F16292" s="193"/>
    </row>
    <row r="16293" spans="6:6" x14ac:dyDescent="0.3">
      <c r="F16293" s="193"/>
    </row>
    <row r="16294" spans="6:6" x14ac:dyDescent="0.3">
      <c r="F16294" s="193"/>
    </row>
    <row r="16295" spans="6:6" x14ac:dyDescent="0.3">
      <c r="F16295" s="193"/>
    </row>
    <row r="16296" spans="6:6" x14ac:dyDescent="0.3">
      <c r="F16296" s="193"/>
    </row>
    <row r="16297" spans="6:6" x14ac:dyDescent="0.3">
      <c r="F16297" s="193"/>
    </row>
    <row r="16298" spans="6:6" x14ac:dyDescent="0.3">
      <c r="F16298" s="193"/>
    </row>
    <row r="16299" spans="6:6" x14ac:dyDescent="0.3">
      <c r="F16299" s="193"/>
    </row>
    <row r="16300" spans="6:6" x14ac:dyDescent="0.3">
      <c r="F16300" s="193"/>
    </row>
    <row r="16301" spans="6:6" x14ac:dyDescent="0.3">
      <c r="F16301" s="193"/>
    </row>
    <row r="16302" spans="6:6" x14ac:dyDescent="0.3">
      <c r="F16302" s="193"/>
    </row>
    <row r="16303" spans="6:6" x14ac:dyDescent="0.3">
      <c r="F16303" s="193"/>
    </row>
    <row r="16304" spans="6:6" x14ac:dyDescent="0.3">
      <c r="F16304" s="193"/>
    </row>
    <row r="16305" spans="6:6" x14ac:dyDescent="0.3">
      <c r="F16305" s="193"/>
    </row>
    <row r="16306" spans="6:6" x14ac:dyDescent="0.3">
      <c r="F16306" s="193"/>
    </row>
    <row r="16307" spans="6:6" x14ac:dyDescent="0.3">
      <c r="F16307" s="193"/>
    </row>
    <row r="16308" spans="6:6" x14ac:dyDescent="0.3">
      <c r="F16308" s="193"/>
    </row>
    <row r="16309" spans="6:6" x14ac:dyDescent="0.3">
      <c r="F16309" s="193"/>
    </row>
    <row r="16310" spans="6:6" x14ac:dyDescent="0.3">
      <c r="F16310" s="193"/>
    </row>
    <row r="16311" spans="6:6" x14ac:dyDescent="0.3">
      <c r="F16311" s="193"/>
    </row>
    <row r="16312" spans="6:6" x14ac:dyDescent="0.3">
      <c r="F16312" s="193"/>
    </row>
    <row r="16313" spans="6:6" x14ac:dyDescent="0.3">
      <c r="F16313" s="193"/>
    </row>
    <row r="16314" spans="6:6" x14ac:dyDescent="0.3">
      <c r="F16314" s="193"/>
    </row>
    <row r="16315" spans="6:6" x14ac:dyDescent="0.3">
      <c r="F16315" s="193"/>
    </row>
    <row r="16316" spans="6:6" x14ac:dyDescent="0.3">
      <c r="F16316" s="193"/>
    </row>
    <row r="16317" spans="6:6" x14ac:dyDescent="0.3">
      <c r="F16317" s="193"/>
    </row>
    <row r="16318" spans="6:6" x14ac:dyDescent="0.3">
      <c r="F16318" s="193"/>
    </row>
    <row r="16319" spans="6:6" x14ac:dyDescent="0.3">
      <c r="F16319" s="193"/>
    </row>
    <row r="16320" spans="6:6" x14ac:dyDescent="0.3">
      <c r="F16320" s="193"/>
    </row>
    <row r="16321" spans="6:6" x14ac:dyDescent="0.3">
      <c r="F16321" s="193"/>
    </row>
    <row r="16322" spans="6:6" x14ac:dyDescent="0.3">
      <c r="F16322" s="193"/>
    </row>
    <row r="16323" spans="6:6" x14ac:dyDescent="0.3">
      <c r="F16323" s="193"/>
    </row>
    <row r="16324" spans="6:6" x14ac:dyDescent="0.3">
      <c r="F16324" s="193"/>
    </row>
    <row r="16325" spans="6:6" x14ac:dyDescent="0.3">
      <c r="F16325" s="193"/>
    </row>
    <row r="16326" spans="6:6" x14ac:dyDescent="0.3">
      <c r="F16326" s="193"/>
    </row>
    <row r="16327" spans="6:6" x14ac:dyDescent="0.3">
      <c r="F16327" s="193"/>
    </row>
    <row r="16328" spans="6:6" x14ac:dyDescent="0.3">
      <c r="F16328" s="193"/>
    </row>
    <row r="16329" spans="6:6" x14ac:dyDescent="0.3">
      <c r="F16329" s="193"/>
    </row>
    <row r="16330" spans="6:6" x14ac:dyDescent="0.3">
      <c r="F16330" s="193"/>
    </row>
    <row r="16331" spans="6:6" x14ac:dyDescent="0.3">
      <c r="F16331" s="193"/>
    </row>
    <row r="16332" spans="6:6" x14ac:dyDescent="0.3">
      <c r="F16332" s="193"/>
    </row>
    <row r="16333" spans="6:6" x14ac:dyDescent="0.3">
      <c r="F16333" s="193"/>
    </row>
    <row r="16334" spans="6:6" x14ac:dyDescent="0.3">
      <c r="F16334" s="193"/>
    </row>
    <row r="16335" spans="6:6" x14ac:dyDescent="0.3">
      <c r="F16335" s="193"/>
    </row>
    <row r="16336" spans="6:6" x14ac:dyDescent="0.3">
      <c r="F16336" s="193"/>
    </row>
    <row r="16337" spans="6:6" x14ac:dyDescent="0.3">
      <c r="F16337" s="193"/>
    </row>
    <row r="16338" spans="6:6" x14ac:dyDescent="0.3">
      <c r="F16338" s="193"/>
    </row>
    <row r="16339" spans="6:6" x14ac:dyDescent="0.3">
      <c r="F16339" s="193"/>
    </row>
    <row r="16340" spans="6:6" x14ac:dyDescent="0.3">
      <c r="F16340" s="193"/>
    </row>
    <row r="16341" spans="6:6" x14ac:dyDescent="0.3">
      <c r="F16341" s="193"/>
    </row>
    <row r="16342" spans="6:6" x14ac:dyDescent="0.3">
      <c r="F16342" s="193"/>
    </row>
    <row r="16343" spans="6:6" x14ac:dyDescent="0.3">
      <c r="F16343" s="193"/>
    </row>
    <row r="16344" spans="6:6" x14ac:dyDescent="0.3">
      <c r="F16344" s="193"/>
    </row>
    <row r="16345" spans="6:6" x14ac:dyDescent="0.3">
      <c r="F16345" s="193"/>
    </row>
    <row r="16346" spans="6:6" x14ac:dyDescent="0.3">
      <c r="F16346" s="193"/>
    </row>
    <row r="16347" spans="6:6" x14ac:dyDescent="0.3">
      <c r="F16347" s="193"/>
    </row>
    <row r="16348" spans="6:6" x14ac:dyDescent="0.3">
      <c r="F16348" s="193"/>
    </row>
    <row r="16349" spans="6:6" x14ac:dyDescent="0.3">
      <c r="F16349" s="193"/>
    </row>
    <row r="16350" spans="6:6" x14ac:dyDescent="0.3">
      <c r="F16350" s="193"/>
    </row>
    <row r="16351" spans="6:6" x14ac:dyDescent="0.3">
      <c r="F16351" s="193"/>
    </row>
    <row r="16352" spans="6:6" x14ac:dyDescent="0.3">
      <c r="F16352" s="193"/>
    </row>
    <row r="16353" spans="6:6" x14ac:dyDescent="0.3">
      <c r="F16353" s="193"/>
    </row>
    <row r="16354" spans="6:6" x14ac:dyDescent="0.3">
      <c r="F16354" s="193"/>
    </row>
    <row r="16355" spans="6:6" x14ac:dyDescent="0.3">
      <c r="F16355" s="193"/>
    </row>
    <row r="16356" spans="6:6" x14ac:dyDescent="0.3">
      <c r="F16356" s="193"/>
    </row>
    <row r="16357" spans="6:6" x14ac:dyDescent="0.3">
      <c r="F16357" s="193"/>
    </row>
    <row r="16358" spans="6:6" x14ac:dyDescent="0.3">
      <c r="F16358" s="193"/>
    </row>
    <row r="16359" spans="6:6" x14ac:dyDescent="0.3">
      <c r="F16359" s="193"/>
    </row>
    <row r="16360" spans="6:6" x14ac:dyDescent="0.3">
      <c r="F16360" s="193"/>
    </row>
    <row r="16361" spans="6:6" x14ac:dyDescent="0.3">
      <c r="F16361" s="193"/>
    </row>
    <row r="16362" spans="6:6" x14ac:dyDescent="0.3">
      <c r="F16362" s="193"/>
    </row>
    <row r="16363" spans="6:6" x14ac:dyDescent="0.3">
      <c r="F16363" s="193"/>
    </row>
    <row r="16364" spans="6:6" x14ac:dyDescent="0.3">
      <c r="F16364" s="193"/>
    </row>
    <row r="16365" spans="6:6" x14ac:dyDescent="0.3">
      <c r="F16365" s="193"/>
    </row>
    <row r="16366" spans="6:6" x14ac:dyDescent="0.3">
      <c r="F16366" s="193"/>
    </row>
    <row r="16367" spans="6:6" x14ac:dyDescent="0.3">
      <c r="F16367" s="193"/>
    </row>
    <row r="16368" spans="6:6" x14ac:dyDescent="0.3">
      <c r="F16368" s="193"/>
    </row>
    <row r="16369" spans="6:6" x14ac:dyDescent="0.3">
      <c r="F16369" s="193"/>
    </row>
    <row r="16370" spans="6:6" x14ac:dyDescent="0.3">
      <c r="F16370" s="193"/>
    </row>
    <row r="16371" spans="6:6" x14ac:dyDescent="0.3">
      <c r="F16371" s="193"/>
    </row>
    <row r="16372" spans="6:6" x14ac:dyDescent="0.3">
      <c r="F16372" s="193"/>
    </row>
    <row r="16373" spans="6:6" x14ac:dyDescent="0.3">
      <c r="F16373" s="193"/>
    </row>
    <row r="16374" spans="6:6" x14ac:dyDescent="0.3">
      <c r="F16374" s="193"/>
    </row>
    <row r="16375" spans="6:6" x14ac:dyDescent="0.3">
      <c r="F16375" s="193"/>
    </row>
    <row r="16376" spans="6:6" x14ac:dyDescent="0.3">
      <c r="F16376" s="193"/>
    </row>
    <row r="16377" spans="6:6" x14ac:dyDescent="0.3">
      <c r="F16377" s="193"/>
    </row>
    <row r="16378" spans="6:6" x14ac:dyDescent="0.3">
      <c r="F16378" s="193"/>
    </row>
    <row r="16379" spans="6:6" x14ac:dyDescent="0.3">
      <c r="F16379" s="193"/>
    </row>
    <row r="16380" spans="6:6" x14ac:dyDescent="0.3">
      <c r="F16380" s="193"/>
    </row>
    <row r="16381" spans="6:6" x14ac:dyDescent="0.3">
      <c r="F16381" s="193"/>
    </row>
    <row r="16382" spans="6:6" x14ac:dyDescent="0.3">
      <c r="F16382" s="193"/>
    </row>
    <row r="16383" spans="6:6" x14ac:dyDescent="0.3">
      <c r="F16383" s="193"/>
    </row>
    <row r="16384" spans="6:6" x14ac:dyDescent="0.3">
      <c r="F16384" s="193"/>
    </row>
    <row r="16385" spans="6:6" x14ac:dyDescent="0.3">
      <c r="F16385" s="193"/>
    </row>
    <row r="16386" spans="6:6" x14ac:dyDescent="0.3">
      <c r="F16386" s="193"/>
    </row>
    <row r="16387" spans="6:6" x14ac:dyDescent="0.3">
      <c r="F16387" s="193"/>
    </row>
    <row r="16388" spans="6:6" x14ac:dyDescent="0.3">
      <c r="F16388" s="193"/>
    </row>
    <row r="16389" spans="6:6" x14ac:dyDescent="0.3">
      <c r="F16389" s="193"/>
    </row>
    <row r="16390" spans="6:6" x14ac:dyDescent="0.3">
      <c r="F16390" s="193"/>
    </row>
    <row r="16391" spans="6:6" x14ac:dyDescent="0.3">
      <c r="F16391" s="193"/>
    </row>
    <row r="16392" spans="6:6" x14ac:dyDescent="0.3">
      <c r="F16392" s="193"/>
    </row>
    <row r="16393" spans="6:6" x14ac:dyDescent="0.3">
      <c r="F16393" s="193"/>
    </row>
    <row r="16394" spans="6:6" x14ac:dyDescent="0.3">
      <c r="F16394" s="193"/>
    </row>
    <row r="16395" spans="6:6" x14ac:dyDescent="0.3">
      <c r="F16395" s="193"/>
    </row>
    <row r="16396" spans="6:6" x14ac:dyDescent="0.3">
      <c r="F16396" s="193"/>
    </row>
    <row r="16397" spans="6:6" x14ac:dyDescent="0.3">
      <c r="F16397" s="193"/>
    </row>
    <row r="16398" spans="6:6" x14ac:dyDescent="0.3">
      <c r="F16398" s="193"/>
    </row>
    <row r="16399" spans="6:6" x14ac:dyDescent="0.3">
      <c r="F16399" s="193"/>
    </row>
    <row r="16400" spans="6:6" x14ac:dyDescent="0.3">
      <c r="F16400" s="193"/>
    </row>
    <row r="16401" spans="6:6" x14ac:dyDescent="0.3">
      <c r="F16401" s="193"/>
    </row>
    <row r="16402" spans="6:6" x14ac:dyDescent="0.3">
      <c r="F16402" s="193"/>
    </row>
    <row r="16403" spans="6:6" x14ac:dyDescent="0.3">
      <c r="F16403" s="193"/>
    </row>
    <row r="16404" spans="6:6" x14ac:dyDescent="0.3">
      <c r="F16404" s="193"/>
    </row>
    <row r="16405" spans="6:6" x14ac:dyDescent="0.3">
      <c r="F16405" s="193"/>
    </row>
    <row r="16406" spans="6:6" x14ac:dyDescent="0.3">
      <c r="F16406" s="193"/>
    </row>
    <row r="16407" spans="6:6" x14ac:dyDescent="0.3">
      <c r="F16407" s="193"/>
    </row>
    <row r="16408" spans="6:6" x14ac:dyDescent="0.3">
      <c r="F16408" s="193"/>
    </row>
    <row r="16409" spans="6:6" x14ac:dyDescent="0.3">
      <c r="F16409" s="193"/>
    </row>
    <row r="16410" spans="6:6" x14ac:dyDescent="0.3">
      <c r="F16410" s="193"/>
    </row>
    <row r="16411" spans="6:6" x14ac:dyDescent="0.3">
      <c r="F16411" s="193"/>
    </row>
    <row r="16412" spans="6:6" x14ac:dyDescent="0.3">
      <c r="F16412" s="193"/>
    </row>
    <row r="16413" spans="6:6" x14ac:dyDescent="0.3">
      <c r="F16413" s="193"/>
    </row>
    <row r="16414" spans="6:6" x14ac:dyDescent="0.3">
      <c r="F16414" s="193"/>
    </row>
    <row r="16415" spans="6:6" x14ac:dyDescent="0.3">
      <c r="F16415" s="193"/>
    </row>
    <row r="16416" spans="6:6" x14ac:dyDescent="0.3">
      <c r="F16416" s="193"/>
    </row>
    <row r="16417" spans="6:6" x14ac:dyDescent="0.3">
      <c r="F16417" s="193"/>
    </row>
    <row r="16418" spans="6:6" x14ac:dyDescent="0.3">
      <c r="F16418" s="193"/>
    </row>
    <row r="16419" spans="6:6" x14ac:dyDescent="0.3">
      <c r="F16419" s="193"/>
    </row>
    <row r="16420" spans="6:6" x14ac:dyDescent="0.3">
      <c r="F16420" s="193"/>
    </row>
    <row r="16421" spans="6:6" x14ac:dyDescent="0.3">
      <c r="F16421" s="193"/>
    </row>
    <row r="16422" spans="6:6" x14ac:dyDescent="0.3">
      <c r="F16422" s="193"/>
    </row>
    <row r="16423" spans="6:6" x14ac:dyDescent="0.3">
      <c r="F16423" s="193"/>
    </row>
    <row r="16424" spans="6:6" x14ac:dyDescent="0.3">
      <c r="F16424" s="193"/>
    </row>
    <row r="16425" spans="6:6" x14ac:dyDescent="0.3">
      <c r="F16425" s="193"/>
    </row>
    <row r="16426" spans="6:6" x14ac:dyDescent="0.3">
      <c r="F16426" s="193"/>
    </row>
    <row r="16427" spans="6:6" x14ac:dyDescent="0.3">
      <c r="F16427" s="193"/>
    </row>
    <row r="16428" spans="6:6" x14ac:dyDescent="0.3">
      <c r="F16428" s="193"/>
    </row>
    <row r="16429" spans="6:6" x14ac:dyDescent="0.3">
      <c r="F16429" s="193"/>
    </row>
    <row r="16430" spans="6:6" x14ac:dyDescent="0.3">
      <c r="F16430" s="193"/>
    </row>
    <row r="16431" spans="6:6" x14ac:dyDescent="0.3">
      <c r="F16431" s="193"/>
    </row>
    <row r="16432" spans="6:6" x14ac:dyDescent="0.3">
      <c r="F16432" s="193"/>
    </row>
    <row r="16433" spans="6:6" x14ac:dyDescent="0.3">
      <c r="F16433" s="193"/>
    </row>
    <row r="16434" spans="6:6" x14ac:dyDescent="0.3">
      <c r="F16434" s="193"/>
    </row>
    <row r="16435" spans="6:6" x14ac:dyDescent="0.3">
      <c r="F16435" s="193"/>
    </row>
    <row r="16436" spans="6:6" x14ac:dyDescent="0.3">
      <c r="F16436" s="193"/>
    </row>
    <row r="16437" spans="6:6" x14ac:dyDescent="0.3">
      <c r="F16437" s="193"/>
    </row>
    <row r="16438" spans="6:6" x14ac:dyDescent="0.3">
      <c r="F16438" s="193"/>
    </row>
    <row r="16439" spans="6:6" x14ac:dyDescent="0.3">
      <c r="F16439" s="193"/>
    </row>
    <row r="16440" spans="6:6" x14ac:dyDescent="0.3">
      <c r="F16440" s="193"/>
    </row>
    <row r="16441" spans="6:6" x14ac:dyDescent="0.3">
      <c r="F16441" s="193"/>
    </row>
    <row r="16442" spans="6:6" x14ac:dyDescent="0.3">
      <c r="F16442" s="193"/>
    </row>
    <row r="16443" spans="6:6" x14ac:dyDescent="0.3">
      <c r="F16443" s="193"/>
    </row>
    <row r="16444" spans="6:6" x14ac:dyDescent="0.3">
      <c r="F16444" s="193"/>
    </row>
    <row r="16445" spans="6:6" x14ac:dyDescent="0.3">
      <c r="F16445" s="193"/>
    </row>
    <row r="16446" spans="6:6" x14ac:dyDescent="0.3">
      <c r="F16446" s="193"/>
    </row>
    <row r="16447" spans="6:6" x14ac:dyDescent="0.3">
      <c r="F16447" s="193"/>
    </row>
    <row r="16448" spans="6:6" x14ac:dyDescent="0.3">
      <c r="F16448" s="193"/>
    </row>
    <row r="16449" spans="6:6" x14ac:dyDescent="0.3">
      <c r="F16449" s="193"/>
    </row>
    <row r="16450" spans="6:6" x14ac:dyDescent="0.3">
      <c r="F16450" s="193"/>
    </row>
    <row r="16451" spans="6:6" x14ac:dyDescent="0.3">
      <c r="F16451" s="193"/>
    </row>
    <row r="16452" spans="6:6" x14ac:dyDescent="0.3">
      <c r="F16452" s="193"/>
    </row>
    <row r="16453" spans="6:6" x14ac:dyDescent="0.3">
      <c r="F16453" s="193"/>
    </row>
    <row r="16454" spans="6:6" x14ac:dyDescent="0.3">
      <c r="F16454" s="193"/>
    </row>
    <row r="16455" spans="6:6" x14ac:dyDescent="0.3">
      <c r="F16455" s="193"/>
    </row>
    <row r="16456" spans="6:6" x14ac:dyDescent="0.3">
      <c r="F16456" s="193"/>
    </row>
    <row r="16457" spans="6:6" x14ac:dyDescent="0.3">
      <c r="F16457" s="193"/>
    </row>
    <row r="16458" spans="6:6" x14ac:dyDescent="0.3">
      <c r="F16458" s="193"/>
    </row>
    <row r="16459" spans="6:6" x14ac:dyDescent="0.3">
      <c r="F16459" s="193"/>
    </row>
    <row r="16460" spans="6:6" x14ac:dyDescent="0.3">
      <c r="F16460" s="193"/>
    </row>
    <row r="16461" spans="6:6" x14ac:dyDescent="0.3">
      <c r="F16461" s="193"/>
    </row>
    <row r="16462" spans="6:6" x14ac:dyDescent="0.3">
      <c r="F16462" s="193"/>
    </row>
    <row r="16463" spans="6:6" x14ac:dyDescent="0.3">
      <c r="F16463" s="193"/>
    </row>
    <row r="16464" spans="6:6" x14ac:dyDescent="0.3">
      <c r="F16464" s="193"/>
    </row>
    <row r="16465" spans="6:6" x14ac:dyDescent="0.3">
      <c r="F16465" s="193"/>
    </row>
    <row r="16466" spans="6:6" x14ac:dyDescent="0.3">
      <c r="F16466" s="193"/>
    </row>
    <row r="16467" spans="6:6" x14ac:dyDescent="0.3">
      <c r="F16467" s="193"/>
    </row>
    <row r="16468" spans="6:6" x14ac:dyDescent="0.3">
      <c r="F16468" s="193"/>
    </row>
    <row r="16469" spans="6:6" x14ac:dyDescent="0.3">
      <c r="F16469" s="193"/>
    </row>
    <row r="16470" spans="6:6" x14ac:dyDescent="0.3">
      <c r="F16470" s="193"/>
    </row>
    <row r="16471" spans="6:6" x14ac:dyDescent="0.3">
      <c r="F16471" s="193"/>
    </row>
    <row r="16472" spans="6:6" x14ac:dyDescent="0.3">
      <c r="F16472" s="193"/>
    </row>
    <row r="16473" spans="6:6" x14ac:dyDescent="0.3">
      <c r="F16473" s="193"/>
    </row>
    <row r="16474" spans="6:6" x14ac:dyDescent="0.3">
      <c r="F16474" s="193"/>
    </row>
    <row r="16475" spans="6:6" x14ac:dyDescent="0.3">
      <c r="F16475" s="193"/>
    </row>
    <row r="16476" spans="6:6" x14ac:dyDescent="0.3">
      <c r="F16476" s="193"/>
    </row>
    <row r="16477" spans="6:6" x14ac:dyDescent="0.3">
      <c r="F16477" s="193"/>
    </row>
    <row r="16478" spans="6:6" x14ac:dyDescent="0.3">
      <c r="F16478" s="193"/>
    </row>
    <row r="16479" spans="6:6" x14ac:dyDescent="0.3">
      <c r="F16479" s="193"/>
    </row>
    <row r="16480" spans="6:6" x14ac:dyDescent="0.3">
      <c r="F16480" s="193"/>
    </row>
    <row r="16481" spans="6:6" x14ac:dyDescent="0.3">
      <c r="F16481" s="193"/>
    </row>
    <row r="16482" spans="6:6" x14ac:dyDescent="0.3">
      <c r="F16482" s="193"/>
    </row>
    <row r="16483" spans="6:6" x14ac:dyDescent="0.3">
      <c r="F16483" s="193"/>
    </row>
    <row r="16484" spans="6:6" x14ac:dyDescent="0.3">
      <c r="F16484" s="193"/>
    </row>
    <row r="16485" spans="6:6" x14ac:dyDescent="0.3">
      <c r="F16485" s="193"/>
    </row>
    <row r="16486" spans="6:6" x14ac:dyDescent="0.3">
      <c r="F16486" s="193"/>
    </row>
    <row r="16487" spans="6:6" x14ac:dyDescent="0.3">
      <c r="F16487" s="193"/>
    </row>
    <row r="16488" spans="6:6" x14ac:dyDescent="0.3">
      <c r="F16488" s="193"/>
    </row>
    <row r="16489" spans="6:6" x14ac:dyDescent="0.3">
      <c r="F16489" s="193"/>
    </row>
    <row r="16490" spans="6:6" x14ac:dyDescent="0.3">
      <c r="F16490" s="193"/>
    </row>
    <row r="16491" spans="6:6" x14ac:dyDescent="0.3">
      <c r="F16491" s="193"/>
    </row>
    <row r="16492" spans="6:6" x14ac:dyDescent="0.3">
      <c r="F16492" s="193"/>
    </row>
    <row r="16493" spans="6:6" x14ac:dyDescent="0.3">
      <c r="F16493" s="193"/>
    </row>
    <row r="16494" spans="6:6" x14ac:dyDescent="0.3">
      <c r="F16494" s="193"/>
    </row>
    <row r="16495" spans="6:6" x14ac:dyDescent="0.3">
      <c r="F16495" s="193"/>
    </row>
    <row r="16496" spans="6:6" x14ac:dyDescent="0.3">
      <c r="F16496" s="193"/>
    </row>
    <row r="16497" spans="6:6" x14ac:dyDescent="0.3">
      <c r="F16497" s="193"/>
    </row>
    <row r="16498" spans="6:6" x14ac:dyDescent="0.3">
      <c r="F16498" s="193"/>
    </row>
    <row r="16499" spans="6:6" x14ac:dyDescent="0.3">
      <c r="F16499" s="193"/>
    </row>
    <row r="16500" spans="6:6" x14ac:dyDescent="0.3">
      <c r="F16500" s="193"/>
    </row>
    <row r="16501" spans="6:6" x14ac:dyDescent="0.3">
      <c r="F16501" s="193"/>
    </row>
    <row r="16502" spans="6:6" x14ac:dyDescent="0.3">
      <c r="F16502" s="193"/>
    </row>
    <row r="16503" spans="6:6" x14ac:dyDescent="0.3">
      <c r="F16503" s="193"/>
    </row>
    <row r="16504" spans="6:6" x14ac:dyDescent="0.3">
      <c r="F16504" s="193"/>
    </row>
    <row r="16505" spans="6:6" x14ac:dyDescent="0.3">
      <c r="F16505" s="193"/>
    </row>
    <row r="16506" spans="6:6" x14ac:dyDescent="0.3">
      <c r="F16506" s="193"/>
    </row>
    <row r="16507" spans="6:6" x14ac:dyDescent="0.3">
      <c r="F16507" s="193"/>
    </row>
    <row r="16508" spans="6:6" x14ac:dyDescent="0.3">
      <c r="F16508" s="193"/>
    </row>
    <row r="16509" spans="6:6" x14ac:dyDescent="0.3">
      <c r="F16509" s="193"/>
    </row>
    <row r="16510" spans="6:6" x14ac:dyDescent="0.3">
      <c r="F16510" s="193"/>
    </row>
    <row r="16511" spans="6:6" x14ac:dyDescent="0.3">
      <c r="F16511" s="193"/>
    </row>
    <row r="16512" spans="6:6" x14ac:dyDescent="0.3">
      <c r="F16512" s="193"/>
    </row>
    <row r="16513" spans="6:6" x14ac:dyDescent="0.3">
      <c r="F16513" s="193"/>
    </row>
    <row r="16514" spans="6:6" x14ac:dyDescent="0.3">
      <c r="F16514" s="193"/>
    </row>
    <row r="16515" spans="6:6" x14ac:dyDescent="0.3">
      <c r="F16515" s="193"/>
    </row>
    <row r="16516" spans="6:6" x14ac:dyDescent="0.3">
      <c r="F16516" s="193"/>
    </row>
    <row r="16517" spans="6:6" x14ac:dyDescent="0.3">
      <c r="F16517" s="193"/>
    </row>
    <row r="16518" spans="6:6" x14ac:dyDescent="0.3">
      <c r="F16518" s="193"/>
    </row>
    <row r="16519" spans="6:6" x14ac:dyDescent="0.3">
      <c r="F16519" s="193"/>
    </row>
    <row r="16520" spans="6:6" x14ac:dyDescent="0.3">
      <c r="F16520" s="193"/>
    </row>
    <row r="16521" spans="6:6" x14ac:dyDescent="0.3">
      <c r="F16521" s="193"/>
    </row>
    <row r="16522" spans="6:6" x14ac:dyDescent="0.3">
      <c r="F16522" s="193"/>
    </row>
    <row r="16523" spans="6:6" x14ac:dyDescent="0.3">
      <c r="F16523" s="193"/>
    </row>
    <row r="16524" spans="6:6" x14ac:dyDescent="0.3">
      <c r="F16524" s="193"/>
    </row>
    <row r="16525" spans="6:6" x14ac:dyDescent="0.3">
      <c r="F16525" s="193"/>
    </row>
    <row r="16526" spans="6:6" x14ac:dyDescent="0.3">
      <c r="F16526" s="193"/>
    </row>
    <row r="16527" spans="6:6" x14ac:dyDescent="0.3">
      <c r="F16527" s="193"/>
    </row>
    <row r="16528" spans="6:6" x14ac:dyDescent="0.3">
      <c r="F16528" s="193"/>
    </row>
    <row r="16529" spans="6:6" x14ac:dyDescent="0.3">
      <c r="F16529" s="193"/>
    </row>
    <row r="16530" spans="6:6" x14ac:dyDescent="0.3">
      <c r="F16530" s="193"/>
    </row>
    <row r="16531" spans="6:6" x14ac:dyDescent="0.3">
      <c r="F16531" s="193"/>
    </row>
    <row r="16532" spans="6:6" x14ac:dyDescent="0.3">
      <c r="F16532" s="193"/>
    </row>
    <row r="16533" spans="6:6" x14ac:dyDescent="0.3">
      <c r="F16533" s="193"/>
    </row>
    <row r="16534" spans="6:6" x14ac:dyDescent="0.3">
      <c r="F16534" s="193"/>
    </row>
    <row r="16535" spans="6:6" x14ac:dyDescent="0.3">
      <c r="F16535" s="193"/>
    </row>
    <row r="16536" spans="6:6" x14ac:dyDescent="0.3">
      <c r="F16536" s="193"/>
    </row>
    <row r="16537" spans="6:6" x14ac:dyDescent="0.3">
      <c r="F16537" s="193"/>
    </row>
    <row r="16538" spans="6:6" x14ac:dyDescent="0.3">
      <c r="F16538" s="193"/>
    </row>
    <row r="16539" spans="6:6" x14ac:dyDescent="0.3">
      <c r="F16539" s="193"/>
    </row>
    <row r="16540" spans="6:6" x14ac:dyDescent="0.3">
      <c r="F16540" s="193"/>
    </row>
    <row r="16541" spans="6:6" x14ac:dyDescent="0.3">
      <c r="F16541" s="193"/>
    </row>
    <row r="16542" spans="6:6" x14ac:dyDescent="0.3">
      <c r="F16542" s="193"/>
    </row>
    <row r="16543" spans="6:6" x14ac:dyDescent="0.3">
      <c r="F16543" s="193"/>
    </row>
    <row r="16544" spans="6:6" x14ac:dyDescent="0.3">
      <c r="F16544" s="193"/>
    </row>
    <row r="16545" spans="6:6" x14ac:dyDescent="0.3">
      <c r="F16545" s="193"/>
    </row>
    <row r="16546" spans="6:6" x14ac:dyDescent="0.3">
      <c r="F16546" s="193"/>
    </row>
    <row r="16547" spans="6:6" x14ac:dyDescent="0.3">
      <c r="F16547" s="193"/>
    </row>
    <row r="16548" spans="6:6" x14ac:dyDescent="0.3">
      <c r="F16548" s="193"/>
    </row>
    <row r="16549" spans="6:6" x14ac:dyDescent="0.3">
      <c r="F16549" s="193"/>
    </row>
    <row r="16550" spans="6:6" x14ac:dyDescent="0.3">
      <c r="F16550" s="193"/>
    </row>
    <row r="16551" spans="6:6" x14ac:dyDescent="0.3">
      <c r="F16551" s="193"/>
    </row>
    <row r="16552" spans="6:6" x14ac:dyDescent="0.3">
      <c r="F16552" s="193"/>
    </row>
    <row r="16553" spans="6:6" x14ac:dyDescent="0.3">
      <c r="F16553" s="193"/>
    </row>
    <row r="16554" spans="6:6" x14ac:dyDescent="0.3">
      <c r="F16554" s="193"/>
    </row>
    <row r="16555" spans="6:6" x14ac:dyDescent="0.3">
      <c r="F16555" s="193"/>
    </row>
    <row r="16556" spans="6:6" x14ac:dyDescent="0.3">
      <c r="F16556" s="193"/>
    </row>
    <row r="16557" spans="6:6" x14ac:dyDescent="0.3">
      <c r="F16557" s="193"/>
    </row>
    <row r="16558" spans="6:6" x14ac:dyDescent="0.3">
      <c r="F16558" s="193"/>
    </row>
    <row r="16559" spans="6:6" x14ac:dyDescent="0.3">
      <c r="F16559" s="193"/>
    </row>
    <row r="16560" spans="6:6" x14ac:dyDescent="0.3">
      <c r="F16560" s="193"/>
    </row>
    <row r="16561" spans="6:6" x14ac:dyDescent="0.3">
      <c r="F16561" s="193"/>
    </row>
    <row r="16562" spans="6:6" x14ac:dyDescent="0.3">
      <c r="F16562" s="193"/>
    </row>
    <row r="16563" spans="6:6" x14ac:dyDescent="0.3">
      <c r="F16563" s="193"/>
    </row>
    <row r="16564" spans="6:6" x14ac:dyDescent="0.3">
      <c r="F16564" s="193"/>
    </row>
    <row r="16565" spans="6:6" x14ac:dyDescent="0.3">
      <c r="F16565" s="193"/>
    </row>
    <row r="16566" spans="6:6" x14ac:dyDescent="0.3">
      <c r="F16566" s="193"/>
    </row>
    <row r="16567" spans="6:6" x14ac:dyDescent="0.3">
      <c r="F16567" s="193"/>
    </row>
    <row r="16568" spans="6:6" x14ac:dyDescent="0.3">
      <c r="F16568" s="193"/>
    </row>
    <row r="16569" spans="6:6" x14ac:dyDescent="0.3">
      <c r="F16569" s="193"/>
    </row>
    <row r="16570" spans="6:6" x14ac:dyDescent="0.3">
      <c r="F16570" s="193"/>
    </row>
    <row r="16571" spans="6:6" x14ac:dyDescent="0.3">
      <c r="F16571" s="193"/>
    </row>
    <row r="16572" spans="6:6" x14ac:dyDescent="0.3">
      <c r="F16572" s="193"/>
    </row>
    <row r="16573" spans="6:6" x14ac:dyDescent="0.3">
      <c r="F16573" s="193"/>
    </row>
    <row r="16574" spans="6:6" x14ac:dyDescent="0.3">
      <c r="F16574" s="193"/>
    </row>
    <row r="16575" spans="6:6" x14ac:dyDescent="0.3">
      <c r="F16575" s="193"/>
    </row>
    <row r="16576" spans="6:6" x14ac:dyDescent="0.3">
      <c r="F16576" s="193"/>
    </row>
    <row r="16577" spans="6:6" x14ac:dyDescent="0.3">
      <c r="F16577" s="193"/>
    </row>
    <row r="16578" spans="6:6" x14ac:dyDescent="0.3">
      <c r="F16578" s="193"/>
    </row>
    <row r="16579" spans="6:6" x14ac:dyDescent="0.3">
      <c r="F16579" s="193"/>
    </row>
    <row r="16580" spans="6:6" x14ac:dyDescent="0.3">
      <c r="F16580" s="193"/>
    </row>
    <row r="16581" spans="6:6" x14ac:dyDescent="0.3">
      <c r="F16581" s="193"/>
    </row>
    <row r="16582" spans="6:6" x14ac:dyDescent="0.3">
      <c r="F16582" s="193"/>
    </row>
    <row r="16583" spans="6:6" x14ac:dyDescent="0.3">
      <c r="F16583" s="193"/>
    </row>
    <row r="16584" spans="6:6" x14ac:dyDescent="0.3">
      <c r="F16584" s="193"/>
    </row>
    <row r="16585" spans="6:6" x14ac:dyDescent="0.3">
      <c r="F16585" s="193"/>
    </row>
    <row r="16586" spans="6:6" x14ac:dyDescent="0.3">
      <c r="F16586" s="193"/>
    </row>
    <row r="16587" spans="6:6" x14ac:dyDescent="0.3">
      <c r="F16587" s="193"/>
    </row>
    <row r="16588" spans="6:6" x14ac:dyDescent="0.3">
      <c r="F16588" s="193"/>
    </row>
    <row r="16589" spans="6:6" x14ac:dyDescent="0.3">
      <c r="F16589" s="193"/>
    </row>
    <row r="16590" spans="6:6" x14ac:dyDescent="0.3">
      <c r="F16590" s="193"/>
    </row>
    <row r="16591" spans="6:6" x14ac:dyDescent="0.3">
      <c r="F16591" s="193"/>
    </row>
    <row r="16592" spans="6:6" x14ac:dyDescent="0.3">
      <c r="F16592" s="193"/>
    </row>
    <row r="16593" spans="6:6" x14ac:dyDescent="0.3">
      <c r="F16593" s="193"/>
    </row>
    <row r="16594" spans="6:6" x14ac:dyDescent="0.3">
      <c r="F16594" s="193"/>
    </row>
    <row r="16595" spans="6:6" x14ac:dyDescent="0.3">
      <c r="F16595" s="193"/>
    </row>
    <row r="16596" spans="6:6" x14ac:dyDescent="0.3">
      <c r="F16596" s="193"/>
    </row>
    <row r="16597" spans="6:6" x14ac:dyDescent="0.3">
      <c r="F16597" s="193"/>
    </row>
    <row r="16598" spans="6:6" x14ac:dyDescent="0.3">
      <c r="F16598" s="193"/>
    </row>
    <row r="16599" spans="6:6" x14ac:dyDescent="0.3">
      <c r="F16599" s="193"/>
    </row>
    <row r="16600" spans="6:6" x14ac:dyDescent="0.3">
      <c r="F16600" s="193"/>
    </row>
    <row r="16601" spans="6:6" x14ac:dyDescent="0.3">
      <c r="F16601" s="193"/>
    </row>
    <row r="16602" spans="6:6" x14ac:dyDescent="0.3">
      <c r="F16602" s="193"/>
    </row>
    <row r="16603" spans="6:6" x14ac:dyDescent="0.3">
      <c r="F16603" s="193"/>
    </row>
    <row r="16604" spans="6:6" x14ac:dyDescent="0.3">
      <c r="F16604" s="193"/>
    </row>
    <row r="16605" spans="6:6" x14ac:dyDescent="0.3">
      <c r="F16605" s="193"/>
    </row>
    <row r="16606" spans="6:6" x14ac:dyDescent="0.3">
      <c r="F16606" s="193"/>
    </row>
    <row r="16607" spans="6:6" x14ac:dyDescent="0.3">
      <c r="F16607" s="193"/>
    </row>
    <row r="16608" spans="6:6" x14ac:dyDescent="0.3">
      <c r="F16608" s="193"/>
    </row>
    <row r="16609" spans="6:6" x14ac:dyDescent="0.3">
      <c r="F16609" s="193"/>
    </row>
    <row r="16610" spans="6:6" x14ac:dyDescent="0.3">
      <c r="F16610" s="193"/>
    </row>
    <row r="16611" spans="6:6" x14ac:dyDescent="0.3">
      <c r="F16611" s="193"/>
    </row>
    <row r="16612" spans="6:6" x14ac:dyDescent="0.3">
      <c r="F16612" s="193"/>
    </row>
    <row r="16613" spans="6:6" x14ac:dyDescent="0.3">
      <c r="F16613" s="193"/>
    </row>
    <row r="16614" spans="6:6" x14ac:dyDescent="0.3">
      <c r="F16614" s="193"/>
    </row>
    <row r="16615" spans="6:6" x14ac:dyDescent="0.3">
      <c r="F16615" s="193"/>
    </row>
    <row r="16616" spans="6:6" x14ac:dyDescent="0.3">
      <c r="F16616" s="193"/>
    </row>
    <row r="16617" spans="6:6" x14ac:dyDescent="0.3">
      <c r="F16617" s="193"/>
    </row>
    <row r="16618" spans="6:6" x14ac:dyDescent="0.3">
      <c r="F16618" s="193"/>
    </row>
    <row r="16619" spans="6:6" x14ac:dyDescent="0.3">
      <c r="F16619" s="193"/>
    </row>
    <row r="16620" spans="6:6" x14ac:dyDescent="0.3">
      <c r="F16620" s="193"/>
    </row>
    <row r="16621" spans="6:6" x14ac:dyDescent="0.3">
      <c r="F16621" s="193"/>
    </row>
    <row r="16622" spans="6:6" x14ac:dyDescent="0.3">
      <c r="F16622" s="193"/>
    </row>
    <row r="16623" spans="6:6" x14ac:dyDescent="0.3">
      <c r="F16623" s="193"/>
    </row>
    <row r="16624" spans="6:6" x14ac:dyDescent="0.3">
      <c r="F16624" s="193"/>
    </row>
    <row r="16625" spans="6:6" x14ac:dyDescent="0.3">
      <c r="F16625" s="193"/>
    </row>
    <row r="16626" spans="6:6" x14ac:dyDescent="0.3">
      <c r="F16626" s="193"/>
    </row>
    <row r="16627" spans="6:6" x14ac:dyDescent="0.3">
      <c r="F16627" s="193"/>
    </row>
    <row r="16628" spans="6:6" x14ac:dyDescent="0.3">
      <c r="F16628" s="193"/>
    </row>
    <row r="16629" spans="6:6" x14ac:dyDescent="0.3">
      <c r="F16629" s="193"/>
    </row>
    <row r="16630" spans="6:6" x14ac:dyDescent="0.3">
      <c r="F16630" s="193"/>
    </row>
    <row r="16631" spans="6:6" x14ac:dyDescent="0.3">
      <c r="F16631" s="193"/>
    </row>
    <row r="16632" spans="6:6" x14ac:dyDescent="0.3">
      <c r="F16632" s="193"/>
    </row>
    <row r="16633" spans="6:6" x14ac:dyDescent="0.3">
      <c r="F16633" s="193"/>
    </row>
    <row r="16634" spans="6:6" x14ac:dyDescent="0.3">
      <c r="F16634" s="193"/>
    </row>
    <row r="16635" spans="6:6" x14ac:dyDescent="0.3">
      <c r="F16635" s="193"/>
    </row>
    <row r="16636" spans="6:6" x14ac:dyDescent="0.3">
      <c r="F16636" s="193"/>
    </row>
    <row r="16637" spans="6:6" x14ac:dyDescent="0.3">
      <c r="F16637" s="193"/>
    </row>
    <row r="16638" spans="6:6" x14ac:dyDescent="0.3">
      <c r="F16638" s="193"/>
    </row>
    <row r="16639" spans="6:6" x14ac:dyDescent="0.3">
      <c r="F16639" s="193"/>
    </row>
    <row r="16640" spans="6:6" x14ac:dyDescent="0.3">
      <c r="F16640" s="193"/>
    </row>
    <row r="16641" spans="6:6" x14ac:dyDescent="0.3">
      <c r="F16641" s="193"/>
    </row>
    <row r="16642" spans="6:6" x14ac:dyDescent="0.3">
      <c r="F16642" s="193"/>
    </row>
    <row r="16643" spans="6:6" x14ac:dyDescent="0.3">
      <c r="F16643" s="193"/>
    </row>
    <row r="16644" spans="6:6" x14ac:dyDescent="0.3">
      <c r="F16644" s="193"/>
    </row>
    <row r="16645" spans="6:6" x14ac:dyDescent="0.3">
      <c r="F16645" s="193"/>
    </row>
    <row r="16646" spans="6:6" x14ac:dyDescent="0.3">
      <c r="F16646" s="193"/>
    </row>
    <row r="16647" spans="6:6" x14ac:dyDescent="0.3">
      <c r="F16647" s="193"/>
    </row>
    <row r="16648" spans="6:6" x14ac:dyDescent="0.3">
      <c r="F16648" s="193"/>
    </row>
    <row r="16649" spans="6:6" x14ac:dyDescent="0.3">
      <c r="F16649" s="193"/>
    </row>
    <row r="16650" spans="6:6" x14ac:dyDescent="0.3">
      <c r="F16650" s="193"/>
    </row>
    <row r="16651" spans="6:6" x14ac:dyDescent="0.3">
      <c r="F16651" s="193"/>
    </row>
    <row r="16652" spans="6:6" x14ac:dyDescent="0.3">
      <c r="F16652" s="193"/>
    </row>
    <row r="16653" spans="6:6" x14ac:dyDescent="0.3">
      <c r="F16653" s="193"/>
    </row>
    <row r="16654" spans="6:6" x14ac:dyDescent="0.3">
      <c r="F16654" s="193"/>
    </row>
    <row r="16655" spans="6:6" x14ac:dyDescent="0.3">
      <c r="F16655" s="193"/>
    </row>
    <row r="16656" spans="6:6" x14ac:dyDescent="0.3">
      <c r="F16656" s="193"/>
    </row>
    <row r="16657" spans="6:6" x14ac:dyDescent="0.3">
      <c r="F16657" s="193"/>
    </row>
    <row r="16658" spans="6:6" x14ac:dyDescent="0.3">
      <c r="F16658" s="193"/>
    </row>
    <row r="16659" spans="6:6" x14ac:dyDescent="0.3">
      <c r="F16659" s="193"/>
    </row>
    <row r="16660" spans="6:6" x14ac:dyDescent="0.3">
      <c r="F16660" s="193"/>
    </row>
    <row r="16661" spans="6:6" x14ac:dyDescent="0.3">
      <c r="F16661" s="193"/>
    </row>
    <row r="16662" spans="6:6" x14ac:dyDescent="0.3">
      <c r="F16662" s="193"/>
    </row>
    <row r="16663" spans="6:6" x14ac:dyDescent="0.3">
      <c r="F16663" s="193"/>
    </row>
    <row r="16664" spans="6:6" x14ac:dyDescent="0.3">
      <c r="F16664" s="193"/>
    </row>
    <row r="16665" spans="6:6" x14ac:dyDescent="0.3">
      <c r="F16665" s="193"/>
    </row>
    <row r="16666" spans="6:6" x14ac:dyDescent="0.3">
      <c r="F16666" s="193"/>
    </row>
    <row r="16667" spans="6:6" x14ac:dyDescent="0.3">
      <c r="F16667" s="193"/>
    </row>
    <row r="16668" spans="6:6" x14ac:dyDescent="0.3">
      <c r="F16668" s="193"/>
    </row>
    <row r="16669" spans="6:6" x14ac:dyDescent="0.3">
      <c r="F16669" s="193"/>
    </row>
    <row r="16670" spans="6:6" x14ac:dyDescent="0.3">
      <c r="F16670" s="193"/>
    </row>
    <row r="16671" spans="6:6" x14ac:dyDescent="0.3">
      <c r="F16671" s="193"/>
    </row>
    <row r="16672" spans="6:6" x14ac:dyDescent="0.3">
      <c r="F16672" s="193"/>
    </row>
    <row r="16673" spans="6:6" x14ac:dyDescent="0.3">
      <c r="F16673" s="193"/>
    </row>
    <row r="16674" spans="6:6" x14ac:dyDescent="0.3">
      <c r="F16674" s="193"/>
    </row>
    <row r="16675" spans="6:6" x14ac:dyDescent="0.3">
      <c r="F16675" s="193"/>
    </row>
    <row r="16676" spans="6:6" x14ac:dyDescent="0.3">
      <c r="F16676" s="193"/>
    </row>
    <row r="16677" spans="6:6" x14ac:dyDescent="0.3">
      <c r="F16677" s="193"/>
    </row>
    <row r="16678" spans="6:6" x14ac:dyDescent="0.3">
      <c r="F16678" s="193"/>
    </row>
    <row r="16679" spans="6:6" x14ac:dyDescent="0.3">
      <c r="F16679" s="193"/>
    </row>
    <row r="16680" spans="6:6" x14ac:dyDescent="0.3">
      <c r="F16680" s="193"/>
    </row>
    <row r="16681" spans="6:6" x14ac:dyDescent="0.3">
      <c r="F16681" s="193"/>
    </row>
    <row r="16682" spans="6:6" x14ac:dyDescent="0.3">
      <c r="F16682" s="193"/>
    </row>
    <row r="16683" spans="6:6" x14ac:dyDescent="0.3">
      <c r="F16683" s="193"/>
    </row>
    <row r="16684" spans="6:6" x14ac:dyDescent="0.3">
      <c r="F16684" s="193"/>
    </row>
    <row r="16685" spans="6:6" x14ac:dyDescent="0.3">
      <c r="F16685" s="193"/>
    </row>
    <row r="16686" spans="6:6" x14ac:dyDescent="0.3">
      <c r="F16686" s="193"/>
    </row>
    <row r="16687" spans="6:6" x14ac:dyDescent="0.3">
      <c r="F16687" s="193"/>
    </row>
    <row r="16688" spans="6:6" x14ac:dyDescent="0.3">
      <c r="F16688" s="193"/>
    </row>
    <row r="16689" spans="6:6" x14ac:dyDescent="0.3">
      <c r="F16689" s="193"/>
    </row>
    <row r="16690" spans="6:6" x14ac:dyDescent="0.3">
      <c r="F16690" s="193"/>
    </row>
    <row r="16691" spans="6:6" x14ac:dyDescent="0.3">
      <c r="F16691" s="193"/>
    </row>
    <row r="16692" spans="6:6" x14ac:dyDescent="0.3">
      <c r="F16692" s="193"/>
    </row>
    <row r="16693" spans="6:6" x14ac:dyDescent="0.3">
      <c r="F16693" s="193"/>
    </row>
    <row r="16694" spans="6:6" x14ac:dyDescent="0.3">
      <c r="F16694" s="193"/>
    </row>
    <row r="16695" spans="6:6" x14ac:dyDescent="0.3">
      <c r="F16695" s="193"/>
    </row>
    <row r="16696" spans="6:6" x14ac:dyDescent="0.3">
      <c r="F16696" s="193"/>
    </row>
    <row r="16697" spans="6:6" x14ac:dyDescent="0.3">
      <c r="F16697" s="193"/>
    </row>
    <row r="16698" spans="6:6" x14ac:dyDescent="0.3">
      <c r="F16698" s="193"/>
    </row>
    <row r="16699" spans="6:6" x14ac:dyDescent="0.3">
      <c r="F16699" s="193"/>
    </row>
    <row r="16700" spans="6:6" x14ac:dyDescent="0.3">
      <c r="F16700" s="193"/>
    </row>
    <row r="16701" spans="6:6" x14ac:dyDescent="0.3">
      <c r="F16701" s="193"/>
    </row>
    <row r="16702" spans="6:6" x14ac:dyDescent="0.3">
      <c r="F16702" s="193"/>
    </row>
    <row r="16703" spans="6:6" x14ac:dyDescent="0.3">
      <c r="F16703" s="193"/>
    </row>
    <row r="16704" spans="6:6" x14ac:dyDescent="0.3">
      <c r="F16704" s="193"/>
    </row>
    <row r="16705" spans="6:6" x14ac:dyDescent="0.3">
      <c r="F16705" s="193"/>
    </row>
    <row r="16706" spans="6:6" x14ac:dyDescent="0.3">
      <c r="F16706" s="193"/>
    </row>
    <row r="16707" spans="6:6" x14ac:dyDescent="0.3">
      <c r="F16707" s="193"/>
    </row>
    <row r="16708" spans="6:6" x14ac:dyDescent="0.3">
      <c r="F16708" s="193"/>
    </row>
    <row r="16709" spans="6:6" x14ac:dyDescent="0.3">
      <c r="F16709" s="193"/>
    </row>
    <row r="16710" spans="6:6" x14ac:dyDescent="0.3">
      <c r="F16710" s="193"/>
    </row>
    <row r="16711" spans="6:6" x14ac:dyDescent="0.3">
      <c r="F16711" s="193"/>
    </row>
    <row r="16712" spans="6:6" x14ac:dyDescent="0.3">
      <c r="F16712" s="193"/>
    </row>
    <row r="16713" spans="6:6" x14ac:dyDescent="0.3">
      <c r="F16713" s="193"/>
    </row>
    <row r="16714" spans="6:6" x14ac:dyDescent="0.3">
      <c r="F16714" s="193"/>
    </row>
    <row r="16715" spans="6:6" x14ac:dyDescent="0.3">
      <c r="F16715" s="193"/>
    </row>
    <row r="16716" spans="6:6" x14ac:dyDescent="0.3">
      <c r="F16716" s="193"/>
    </row>
    <row r="16717" spans="6:6" x14ac:dyDescent="0.3">
      <c r="F16717" s="193"/>
    </row>
    <row r="16718" spans="6:6" x14ac:dyDescent="0.3">
      <c r="F16718" s="193"/>
    </row>
    <row r="16719" spans="6:6" x14ac:dyDescent="0.3">
      <c r="F16719" s="193"/>
    </row>
    <row r="16720" spans="6:6" x14ac:dyDescent="0.3">
      <c r="F16720" s="193"/>
    </row>
    <row r="16721" spans="6:6" x14ac:dyDescent="0.3">
      <c r="F16721" s="193"/>
    </row>
    <row r="16722" spans="6:6" x14ac:dyDescent="0.3">
      <c r="F16722" s="193"/>
    </row>
    <row r="16723" spans="6:6" x14ac:dyDescent="0.3">
      <c r="F16723" s="193"/>
    </row>
    <row r="16724" spans="6:6" x14ac:dyDescent="0.3">
      <c r="F16724" s="193"/>
    </row>
    <row r="16725" spans="6:6" x14ac:dyDescent="0.3">
      <c r="F16725" s="193"/>
    </row>
    <row r="16726" spans="6:6" x14ac:dyDescent="0.3">
      <c r="F16726" s="193"/>
    </row>
    <row r="16727" spans="6:6" x14ac:dyDescent="0.3">
      <c r="F16727" s="193"/>
    </row>
    <row r="16728" spans="6:6" x14ac:dyDescent="0.3">
      <c r="F16728" s="193"/>
    </row>
    <row r="16729" spans="6:6" x14ac:dyDescent="0.3">
      <c r="F16729" s="193"/>
    </row>
    <row r="16730" spans="6:6" x14ac:dyDescent="0.3">
      <c r="F16730" s="193"/>
    </row>
    <row r="16731" spans="6:6" x14ac:dyDescent="0.3">
      <c r="F16731" s="193"/>
    </row>
    <row r="16732" spans="6:6" x14ac:dyDescent="0.3">
      <c r="F16732" s="193"/>
    </row>
    <row r="16733" spans="6:6" x14ac:dyDescent="0.3">
      <c r="F16733" s="193"/>
    </row>
    <row r="16734" spans="6:6" x14ac:dyDescent="0.3">
      <c r="F16734" s="193"/>
    </row>
    <row r="16735" spans="6:6" x14ac:dyDescent="0.3">
      <c r="F16735" s="193"/>
    </row>
    <row r="16736" spans="6:6" x14ac:dyDescent="0.3">
      <c r="F16736" s="193"/>
    </row>
    <row r="16737" spans="6:6" x14ac:dyDescent="0.3">
      <c r="F16737" s="193"/>
    </row>
    <row r="16738" spans="6:6" x14ac:dyDescent="0.3">
      <c r="F16738" s="193"/>
    </row>
    <row r="16739" spans="6:6" x14ac:dyDescent="0.3">
      <c r="F16739" s="193"/>
    </row>
    <row r="16740" spans="6:6" x14ac:dyDescent="0.3">
      <c r="F16740" s="193"/>
    </row>
    <row r="16741" spans="6:6" x14ac:dyDescent="0.3">
      <c r="F16741" s="193"/>
    </row>
    <row r="16742" spans="6:6" x14ac:dyDescent="0.3">
      <c r="F16742" s="193"/>
    </row>
    <row r="16743" spans="6:6" x14ac:dyDescent="0.3">
      <c r="F16743" s="193"/>
    </row>
    <row r="16744" spans="6:6" x14ac:dyDescent="0.3">
      <c r="F16744" s="193"/>
    </row>
    <row r="16745" spans="6:6" x14ac:dyDescent="0.3">
      <c r="F16745" s="193"/>
    </row>
    <row r="16746" spans="6:6" x14ac:dyDescent="0.3">
      <c r="F16746" s="193"/>
    </row>
    <row r="16747" spans="6:6" x14ac:dyDescent="0.3">
      <c r="F16747" s="193"/>
    </row>
    <row r="16748" spans="6:6" x14ac:dyDescent="0.3">
      <c r="F16748" s="193"/>
    </row>
    <row r="16749" spans="6:6" x14ac:dyDescent="0.3">
      <c r="F16749" s="193"/>
    </row>
    <row r="16750" spans="6:6" x14ac:dyDescent="0.3">
      <c r="F16750" s="193"/>
    </row>
    <row r="16751" spans="6:6" x14ac:dyDescent="0.3">
      <c r="F16751" s="193"/>
    </row>
    <row r="16752" spans="6:6" x14ac:dyDescent="0.3">
      <c r="F16752" s="193"/>
    </row>
    <row r="16753" spans="6:6" x14ac:dyDescent="0.3">
      <c r="F16753" s="193"/>
    </row>
    <row r="16754" spans="6:6" x14ac:dyDescent="0.3">
      <c r="F16754" s="193"/>
    </row>
    <row r="16755" spans="6:6" x14ac:dyDescent="0.3">
      <c r="F16755" s="193"/>
    </row>
    <row r="16756" spans="6:6" x14ac:dyDescent="0.3">
      <c r="F16756" s="193"/>
    </row>
    <row r="16757" spans="6:6" x14ac:dyDescent="0.3">
      <c r="F16757" s="193"/>
    </row>
    <row r="16758" spans="6:6" x14ac:dyDescent="0.3">
      <c r="F16758" s="193"/>
    </row>
    <row r="16759" spans="6:6" x14ac:dyDescent="0.3">
      <c r="F16759" s="193"/>
    </row>
    <row r="16760" spans="6:6" x14ac:dyDescent="0.3">
      <c r="F16760" s="193"/>
    </row>
    <row r="16761" spans="6:6" x14ac:dyDescent="0.3">
      <c r="F16761" s="193"/>
    </row>
    <row r="16762" spans="6:6" x14ac:dyDescent="0.3">
      <c r="F16762" s="193"/>
    </row>
    <row r="16763" spans="6:6" x14ac:dyDescent="0.3">
      <c r="F16763" s="193"/>
    </row>
    <row r="16764" spans="6:6" x14ac:dyDescent="0.3">
      <c r="F16764" s="193"/>
    </row>
    <row r="16765" spans="6:6" x14ac:dyDescent="0.3">
      <c r="F16765" s="193"/>
    </row>
    <row r="16766" spans="6:6" x14ac:dyDescent="0.3">
      <c r="F16766" s="193"/>
    </row>
    <row r="16767" spans="6:6" x14ac:dyDescent="0.3">
      <c r="F16767" s="193"/>
    </row>
    <row r="16768" spans="6:6" x14ac:dyDescent="0.3">
      <c r="F16768" s="193"/>
    </row>
    <row r="16769" spans="6:6" x14ac:dyDescent="0.3">
      <c r="F16769" s="193"/>
    </row>
    <row r="16770" spans="6:6" x14ac:dyDescent="0.3">
      <c r="F16770" s="193"/>
    </row>
    <row r="16771" spans="6:6" x14ac:dyDescent="0.3">
      <c r="F16771" s="193"/>
    </row>
    <row r="16772" spans="6:6" x14ac:dyDescent="0.3">
      <c r="F16772" s="193"/>
    </row>
    <row r="16773" spans="6:6" x14ac:dyDescent="0.3">
      <c r="F16773" s="193"/>
    </row>
    <row r="16774" spans="6:6" x14ac:dyDescent="0.3">
      <c r="F16774" s="193"/>
    </row>
    <row r="16775" spans="6:6" x14ac:dyDescent="0.3">
      <c r="F16775" s="193"/>
    </row>
    <row r="16776" spans="6:6" x14ac:dyDescent="0.3">
      <c r="F16776" s="193"/>
    </row>
    <row r="16777" spans="6:6" x14ac:dyDescent="0.3">
      <c r="F16777" s="193"/>
    </row>
    <row r="16778" spans="6:6" x14ac:dyDescent="0.3">
      <c r="F16778" s="193"/>
    </row>
    <row r="16779" spans="6:6" x14ac:dyDescent="0.3">
      <c r="F16779" s="193"/>
    </row>
    <row r="16780" spans="6:6" x14ac:dyDescent="0.3">
      <c r="F16780" s="193"/>
    </row>
    <row r="16781" spans="6:6" x14ac:dyDescent="0.3">
      <c r="F16781" s="193"/>
    </row>
    <row r="16782" spans="6:6" x14ac:dyDescent="0.3">
      <c r="F16782" s="193"/>
    </row>
    <row r="16783" spans="6:6" x14ac:dyDescent="0.3">
      <c r="F16783" s="193"/>
    </row>
    <row r="16784" spans="6:6" x14ac:dyDescent="0.3">
      <c r="F16784" s="193"/>
    </row>
    <row r="16785" spans="6:6" x14ac:dyDescent="0.3">
      <c r="F16785" s="193"/>
    </row>
    <row r="16786" spans="6:6" x14ac:dyDescent="0.3">
      <c r="F16786" s="193"/>
    </row>
    <row r="16787" spans="6:6" x14ac:dyDescent="0.3">
      <c r="F16787" s="193"/>
    </row>
    <row r="16788" spans="6:6" x14ac:dyDescent="0.3">
      <c r="F16788" s="193"/>
    </row>
    <row r="16789" spans="6:6" x14ac:dyDescent="0.3">
      <c r="F16789" s="193"/>
    </row>
    <row r="16790" spans="6:6" x14ac:dyDescent="0.3">
      <c r="F16790" s="193"/>
    </row>
    <row r="16791" spans="6:6" x14ac:dyDescent="0.3">
      <c r="F16791" s="193"/>
    </row>
    <row r="16792" spans="6:6" x14ac:dyDescent="0.3">
      <c r="F16792" s="193"/>
    </row>
    <row r="16793" spans="6:6" x14ac:dyDescent="0.3">
      <c r="F16793" s="193"/>
    </row>
    <row r="16794" spans="6:6" x14ac:dyDescent="0.3">
      <c r="F16794" s="193"/>
    </row>
    <row r="16795" spans="6:6" x14ac:dyDescent="0.3">
      <c r="F16795" s="193"/>
    </row>
    <row r="16796" spans="6:6" x14ac:dyDescent="0.3">
      <c r="F16796" s="193"/>
    </row>
    <row r="16797" spans="6:6" x14ac:dyDescent="0.3">
      <c r="F16797" s="193"/>
    </row>
    <row r="16798" spans="6:6" x14ac:dyDescent="0.3">
      <c r="F16798" s="193"/>
    </row>
    <row r="16799" spans="6:6" x14ac:dyDescent="0.3">
      <c r="F16799" s="193"/>
    </row>
    <row r="16800" spans="6:6" x14ac:dyDescent="0.3">
      <c r="F16800" s="193"/>
    </row>
    <row r="16801" spans="6:6" x14ac:dyDescent="0.3">
      <c r="F16801" s="193"/>
    </row>
    <row r="16802" spans="6:6" x14ac:dyDescent="0.3">
      <c r="F16802" s="193"/>
    </row>
    <row r="16803" spans="6:6" x14ac:dyDescent="0.3">
      <c r="F16803" s="193"/>
    </row>
    <row r="16804" spans="6:6" x14ac:dyDescent="0.3">
      <c r="F16804" s="193"/>
    </row>
    <row r="16805" spans="6:6" x14ac:dyDescent="0.3">
      <c r="F16805" s="193"/>
    </row>
    <row r="16806" spans="6:6" x14ac:dyDescent="0.3">
      <c r="F16806" s="193"/>
    </row>
    <row r="16807" spans="6:6" x14ac:dyDescent="0.3">
      <c r="F16807" s="193"/>
    </row>
    <row r="16808" spans="6:6" x14ac:dyDescent="0.3">
      <c r="F16808" s="193"/>
    </row>
    <row r="16809" spans="6:6" x14ac:dyDescent="0.3">
      <c r="F16809" s="193"/>
    </row>
    <row r="16810" spans="6:6" x14ac:dyDescent="0.3">
      <c r="F16810" s="193"/>
    </row>
    <row r="16811" spans="6:6" x14ac:dyDescent="0.3">
      <c r="F16811" s="193"/>
    </row>
    <row r="16812" spans="6:6" x14ac:dyDescent="0.3">
      <c r="F16812" s="193"/>
    </row>
    <row r="16813" spans="6:6" x14ac:dyDescent="0.3">
      <c r="F16813" s="193"/>
    </row>
    <row r="16814" spans="6:6" x14ac:dyDescent="0.3">
      <c r="F16814" s="193"/>
    </row>
    <row r="16815" spans="6:6" x14ac:dyDescent="0.3">
      <c r="F16815" s="193"/>
    </row>
    <row r="16816" spans="6:6" x14ac:dyDescent="0.3">
      <c r="F16816" s="193"/>
    </row>
    <row r="16817" spans="6:6" x14ac:dyDescent="0.3">
      <c r="F16817" s="193"/>
    </row>
    <row r="16818" spans="6:6" x14ac:dyDescent="0.3">
      <c r="F16818" s="193"/>
    </row>
    <row r="16819" spans="6:6" x14ac:dyDescent="0.3">
      <c r="F16819" s="193"/>
    </row>
    <row r="16820" spans="6:6" x14ac:dyDescent="0.3">
      <c r="F16820" s="193"/>
    </row>
    <row r="16821" spans="6:6" x14ac:dyDescent="0.3">
      <c r="F16821" s="193"/>
    </row>
    <row r="16822" spans="6:6" x14ac:dyDescent="0.3">
      <c r="F16822" s="193"/>
    </row>
    <row r="16823" spans="6:6" x14ac:dyDescent="0.3">
      <c r="F16823" s="193"/>
    </row>
    <row r="16824" spans="6:6" x14ac:dyDescent="0.3">
      <c r="F16824" s="193"/>
    </row>
    <row r="16825" spans="6:6" x14ac:dyDescent="0.3">
      <c r="F16825" s="193"/>
    </row>
    <row r="16826" spans="6:6" x14ac:dyDescent="0.3">
      <c r="F16826" s="193"/>
    </row>
    <row r="16827" spans="6:6" x14ac:dyDescent="0.3">
      <c r="F16827" s="193"/>
    </row>
    <row r="16828" spans="6:6" x14ac:dyDescent="0.3">
      <c r="F16828" s="193"/>
    </row>
    <row r="16829" spans="6:6" x14ac:dyDescent="0.3">
      <c r="F16829" s="193"/>
    </row>
    <row r="16830" spans="6:6" x14ac:dyDescent="0.3">
      <c r="F16830" s="193"/>
    </row>
    <row r="16831" spans="6:6" x14ac:dyDescent="0.3">
      <c r="F16831" s="193"/>
    </row>
    <row r="16832" spans="6:6" x14ac:dyDescent="0.3">
      <c r="F16832" s="193"/>
    </row>
    <row r="16833" spans="6:6" x14ac:dyDescent="0.3">
      <c r="F16833" s="193"/>
    </row>
    <row r="16834" spans="6:6" x14ac:dyDescent="0.3">
      <c r="F16834" s="193"/>
    </row>
    <row r="16835" spans="6:6" x14ac:dyDescent="0.3">
      <c r="F16835" s="193"/>
    </row>
    <row r="16836" spans="6:6" x14ac:dyDescent="0.3">
      <c r="F16836" s="193"/>
    </row>
    <row r="16837" spans="6:6" x14ac:dyDescent="0.3">
      <c r="F16837" s="193"/>
    </row>
    <row r="16838" spans="6:6" x14ac:dyDescent="0.3">
      <c r="F16838" s="193"/>
    </row>
    <row r="16839" spans="6:6" x14ac:dyDescent="0.3">
      <c r="F16839" s="193"/>
    </row>
    <row r="16840" spans="6:6" x14ac:dyDescent="0.3">
      <c r="F16840" s="193"/>
    </row>
    <row r="16841" spans="6:6" x14ac:dyDescent="0.3">
      <c r="F16841" s="193"/>
    </row>
    <row r="16842" spans="6:6" x14ac:dyDescent="0.3">
      <c r="F16842" s="193"/>
    </row>
    <row r="16843" spans="6:6" x14ac:dyDescent="0.3">
      <c r="F16843" s="193"/>
    </row>
    <row r="16844" spans="6:6" x14ac:dyDescent="0.3">
      <c r="F16844" s="193"/>
    </row>
    <row r="16845" spans="6:6" x14ac:dyDescent="0.3">
      <c r="F16845" s="193"/>
    </row>
    <row r="16846" spans="6:6" x14ac:dyDescent="0.3">
      <c r="F16846" s="193"/>
    </row>
    <row r="16847" spans="6:6" x14ac:dyDescent="0.3">
      <c r="F16847" s="193"/>
    </row>
    <row r="16848" spans="6:6" x14ac:dyDescent="0.3">
      <c r="F16848" s="193"/>
    </row>
    <row r="16849" spans="6:6" x14ac:dyDescent="0.3">
      <c r="F16849" s="193"/>
    </row>
    <row r="16850" spans="6:6" x14ac:dyDescent="0.3">
      <c r="F16850" s="193"/>
    </row>
    <row r="16851" spans="6:6" x14ac:dyDescent="0.3">
      <c r="F16851" s="193"/>
    </row>
    <row r="16852" spans="6:6" x14ac:dyDescent="0.3">
      <c r="F16852" s="193"/>
    </row>
    <row r="16853" spans="6:6" x14ac:dyDescent="0.3">
      <c r="F16853" s="193"/>
    </row>
    <row r="16854" spans="6:6" x14ac:dyDescent="0.3">
      <c r="F16854" s="193"/>
    </row>
    <row r="16855" spans="6:6" x14ac:dyDescent="0.3">
      <c r="F16855" s="193"/>
    </row>
    <row r="16856" spans="6:6" x14ac:dyDescent="0.3">
      <c r="F16856" s="193"/>
    </row>
    <row r="16857" spans="6:6" x14ac:dyDescent="0.3">
      <c r="F16857" s="193"/>
    </row>
    <row r="16858" spans="6:6" x14ac:dyDescent="0.3">
      <c r="F16858" s="193"/>
    </row>
    <row r="16859" spans="6:6" x14ac:dyDescent="0.3">
      <c r="F16859" s="193"/>
    </row>
    <row r="16860" spans="6:6" x14ac:dyDescent="0.3">
      <c r="F16860" s="193"/>
    </row>
    <row r="16861" spans="6:6" x14ac:dyDescent="0.3">
      <c r="F16861" s="193"/>
    </row>
    <row r="16862" spans="6:6" x14ac:dyDescent="0.3">
      <c r="F16862" s="193"/>
    </row>
    <row r="16863" spans="6:6" x14ac:dyDescent="0.3">
      <c r="F16863" s="193"/>
    </row>
    <row r="16864" spans="6:6" x14ac:dyDescent="0.3">
      <c r="F16864" s="193"/>
    </row>
    <row r="16865" spans="6:6" x14ac:dyDescent="0.3">
      <c r="F16865" s="193"/>
    </row>
    <row r="16866" spans="6:6" x14ac:dyDescent="0.3">
      <c r="F16866" s="193"/>
    </row>
    <row r="16867" spans="6:6" x14ac:dyDescent="0.3">
      <c r="F16867" s="193"/>
    </row>
    <row r="16868" spans="6:6" x14ac:dyDescent="0.3">
      <c r="F16868" s="193"/>
    </row>
    <row r="16869" spans="6:6" x14ac:dyDescent="0.3">
      <c r="F16869" s="193"/>
    </row>
    <row r="16870" spans="6:6" x14ac:dyDescent="0.3">
      <c r="F16870" s="193"/>
    </row>
    <row r="16871" spans="6:6" x14ac:dyDescent="0.3">
      <c r="F16871" s="193"/>
    </row>
    <row r="16872" spans="6:6" x14ac:dyDescent="0.3">
      <c r="F16872" s="193"/>
    </row>
    <row r="16873" spans="6:6" x14ac:dyDescent="0.3">
      <c r="F16873" s="193"/>
    </row>
    <row r="16874" spans="6:6" x14ac:dyDescent="0.3">
      <c r="F16874" s="193"/>
    </row>
    <row r="16875" spans="6:6" x14ac:dyDescent="0.3">
      <c r="F16875" s="193"/>
    </row>
    <row r="16876" spans="6:6" x14ac:dyDescent="0.3">
      <c r="F16876" s="193"/>
    </row>
    <row r="16877" spans="6:6" x14ac:dyDescent="0.3">
      <c r="F16877" s="193"/>
    </row>
    <row r="16878" spans="6:6" x14ac:dyDescent="0.3">
      <c r="F16878" s="193"/>
    </row>
    <row r="16879" spans="6:6" x14ac:dyDescent="0.3">
      <c r="F16879" s="193"/>
    </row>
    <row r="16880" spans="6:6" x14ac:dyDescent="0.3">
      <c r="F16880" s="193"/>
    </row>
    <row r="16881" spans="6:6" x14ac:dyDescent="0.3">
      <c r="F16881" s="193"/>
    </row>
    <row r="16882" spans="6:6" x14ac:dyDescent="0.3">
      <c r="F16882" s="193"/>
    </row>
    <row r="16883" spans="6:6" x14ac:dyDescent="0.3">
      <c r="F16883" s="193"/>
    </row>
    <row r="16884" spans="6:6" x14ac:dyDescent="0.3">
      <c r="F16884" s="193"/>
    </row>
    <row r="16885" spans="6:6" x14ac:dyDescent="0.3">
      <c r="F16885" s="193"/>
    </row>
    <row r="16886" spans="6:6" x14ac:dyDescent="0.3">
      <c r="F16886" s="193"/>
    </row>
    <row r="16887" spans="6:6" x14ac:dyDescent="0.3">
      <c r="F16887" s="193"/>
    </row>
    <row r="16888" spans="6:6" x14ac:dyDescent="0.3">
      <c r="F16888" s="193"/>
    </row>
    <row r="16889" spans="6:6" x14ac:dyDescent="0.3">
      <c r="F16889" s="193"/>
    </row>
    <row r="16890" spans="6:6" x14ac:dyDescent="0.3">
      <c r="F16890" s="193"/>
    </row>
    <row r="16891" spans="6:6" x14ac:dyDescent="0.3">
      <c r="F16891" s="193"/>
    </row>
    <row r="16892" spans="6:6" x14ac:dyDescent="0.3">
      <c r="F16892" s="193"/>
    </row>
    <row r="16893" spans="6:6" x14ac:dyDescent="0.3">
      <c r="F16893" s="193"/>
    </row>
    <row r="16894" spans="6:6" x14ac:dyDescent="0.3">
      <c r="F16894" s="193"/>
    </row>
    <row r="16895" spans="6:6" x14ac:dyDescent="0.3">
      <c r="F16895" s="193"/>
    </row>
    <row r="16896" spans="6:6" x14ac:dyDescent="0.3">
      <c r="F16896" s="193"/>
    </row>
    <row r="16897" spans="6:6" x14ac:dyDescent="0.3">
      <c r="F16897" s="193"/>
    </row>
    <row r="16898" spans="6:6" x14ac:dyDescent="0.3">
      <c r="F16898" s="193"/>
    </row>
    <row r="16899" spans="6:6" x14ac:dyDescent="0.3">
      <c r="F16899" s="193"/>
    </row>
    <row r="16900" spans="6:6" x14ac:dyDescent="0.3">
      <c r="F16900" s="193"/>
    </row>
    <row r="16901" spans="6:6" x14ac:dyDescent="0.3">
      <c r="F16901" s="193"/>
    </row>
    <row r="16902" spans="6:6" x14ac:dyDescent="0.3">
      <c r="F16902" s="193"/>
    </row>
    <row r="16903" spans="6:6" x14ac:dyDescent="0.3">
      <c r="F16903" s="193"/>
    </row>
    <row r="16904" spans="6:6" x14ac:dyDescent="0.3">
      <c r="F16904" s="193"/>
    </row>
    <row r="16905" spans="6:6" x14ac:dyDescent="0.3">
      <c r="F16905" s="193"/>
    </row>
    <row r="16906" spans="6:6" x14ac:dyDescent="0.3">
      <c r="F16906" s="193"/>
    </row>
    <row r="16907" spans="6:6" x14ac:dyDescent="0.3">
      <c r="F16907" s="193"/>
    </row>
    <row r="16908" spans="6:6" x14ac:dyDescent="0.3">
      <c r="F16908" s="193"/>
    </row>
    <row r="16909" spans="6:6" x14ac:dyDescent="0.3">
      <c r="F16909" s="193"/>
    </row>
    <row r="16910" spans="6:6" x14ac:dyDescent="0.3">
      <c r="F16910" s="193"/>
    </row>
    <row r="16911" spans="6:6" x14ac:dyDescent="0.3">
      <c r="F16911" s="193"/>
    </row>
    <row r="16912" spans="6:6" x14ac:dyDescent="0.3">
      <c r="F16912" s="193"/>
    </row>
    <row r="16913" spans="6:6" x14ac:dyDescent="0.3">
      <c r="F16913" s="193"/>
    </row>
    <row r="16914" spans="6:6" x14ac:dyDescent="0.3">
      <c r="F16914" s="193"/>
    </row>
    <row r="16915" spans="6:6" x14ac:dyDescent="0.3">
      <c r="F16915" s="193"/>
    </row>
    <row r="16916" spans="6:6" x14ac:dyDescent="0.3">
      <c r="F16916" s="193"/>
    </row>
    <row r="16917" spans="6:6" x14ac:dyDescent="0.3">
      <c r="F16917" s="193"/>
    </row>
    <row r="16918" spans="6:6" x14ac:dyDescent="0.3">
      <c r="F16918" s="193"/>
    </row>
    <row r="16919" spans="6:6" x14ac:dyDescent="0.3">
      <c r="F16919" s="193"/>
    </row>
    <row r="16920" spans="6:6" x14ac:dyDescent="0.3">
      <c r="F16920" s="193"/>
    </row>
    <row r="16921" spans="6:6" x14ac:dyDescent="0.3">
      <c r="F16921" s="193"/>
    </row>
    <row r="16922" spans="6:6" x14ac:dyDescent="0.3">
      <c r="F16922" s="193"/>
    </row>
    <row r="16923" spans="6:6" x14ac:dyDescent="0.3">
      <c r="F16923" s="193"/>
    </row>
    <row r="16924" spans="6:6" x14ac:dyDescent="0.3">
      <c r="F16924" s="193"/>
    </row>
    <row r="16925" spans="6:6" x14ac:dyDescent="0.3">
      <c r="F16925" s="193"/>
    </row>
    <row r="16926" spans="6:6" x14ac:dyDescent="0.3">
      <c r="F16926" s="193"/>
    </row>
    <row r="16927" spans="6:6" x14ac:dyDescent="0.3">
      <c r="F16927" s="193"/>
    </row>
    <row r="16928" spans="6:6" x14ac:dyDescent="0.3">
      <c r="F16928" s="193"/>
    </row>
    <row r="16929" spans="6:6" x14ac:dyDescent="0.3">
      <c r="F16929" s="193"/>
    </row>
    <row r="16930" spans="6:6" x14ac:dyDescent="0.3">
      <c r="F16930" s="193"/>
    </row>
    <row r="16931" spans="6:6" x14ac:dyDescent="0.3">
      <c r="F16931" s="193"/>
    </row>
    <row r="16932" spans="6:6" x14ac:dyDescent="0.3">
      <c r="F16932" s="193"/>
    </row>
    <row r="16933" spans="6:6" x14ac:dyDescent="0.3">
      <c r="F16933" s="193"/>
    </row>
    <row r="16934" spans="6:6" x14ac:dyDescent="0.3">
      <c r="F16934" s="193"/>
    </row>
    <row r="16935" spans="6:6" x14ac:dyDescent="0.3">
      <c r="F16935" s="193"/>
    </row>
    <row r="16936" spans="6:6" x14ac:dyDescent="0.3">
      <c r="F16936" s="193"/>
    </row>
    <row r="16937" spans="6:6" x14ac:dyDescent="0.3">
      <c r="F16937" s="193"/>
    </row>
    <row r="16938" spans="6:6" x14ac:dyDescent="0.3">
      <c r="F16938" s="193"/>
    </row>
    <row r="16939" spans="6:6" x14ac:dyDescent="0.3">
      <c r="F16939" s="193"/>
    </row>
    <row r="16940" spans="6:6" x14ac:dyDescent="0.3">
      <c r="F16940" s="193"/>
    </row>
    <row r="16941" spans="6:6" x14ac:dyDescent="0.3">
      <c r="F16941" s="193"/>
    </row>
    <row r="16942" spans="6:6" x14ac:dyDescent="0.3">
      <c r="F16942" s="193"/>
    </row>
    <row r="16943" spans="6:6" x14ac:dyDescent="0.3">
      <c r="F16943" s="193"/>
    </row>
    <row r="16944" spans="6:6" x14ac:dyDescent="0.3">
      <c r="F16944" s="193"/>
    </row>
    <row r="16945" spans="6:6" x14ac:dyDescent="0.3">
      <c r="F16945" s="193"/>
    </row>
    <row r="16946" spans="6:6" x14ac:dyDescent="0.3">
      <c r="F16946" s="193"/>
    </row>
    <row r="16947" spans="6:6" x14ac:dyDescent="0.3">
      <c r="F16947" s="193"/>
    </row>
    <row r="16948" spans="6:6" x14ac:dyDescent="0.3">
      <c r="F16948" s="193"/>
    </row>
    <row r="16949" spans="6:6" x14ac:dyDescent="0.3">
      <c r="F16949" s="193"/>
    </row>
    <row r="16950" spans="6:6" x14ac:dyDescent="0.3">
      <c r="F16950" s="193"/>
    </row>
    <row r="16951" spans="6:6" x14ac:dyDescent="0.3">
      <c r="F16951" s="193"/>
    </row>
    <row r="16952" spans="6:6" x14ac:dyDescent="0.3">
      <c r="F16952" s="193"/>
    </row>
    <row r="16953" spans="6:6" x14ac:dyDescent="0.3">
      <c r="F16953" s="193"/>
    </row>
    <row r="16954" spans="6:6" x14ac:dyDescent="0.3">
      <c r="F16954" s="193"/>
    </row>
    <row r="16955" spans="6:6" x14ac:dyDescent="0.3">
      <c r="F16955" s="193"/>
    </row>
    <row r="16956" spans="6:6" x14ac:dyDescent="0.3">
      <c r="F16956" s="193"/>
    </row>
    <row r="16957" spans="6:6" x14ac:dyDescent="0.3">
      <c r="F16957" s="193"/>
    </row>
    <row r="16958" spans="6:6" x14ac:dyDescent="0.3">
      <c r="F16958" s="193"/>
    </row>
    <row r="16959" spans="6:6" x14ac:dyDescent="0.3">
      <c r="F16959" s="193"/>
    </row>
    <row r="16960" spans="6:6" x14ac:dyDescent="0.3">
      <c r="F16960" s="193"/>
    </row>
    <row r="16961" spans="6:6" x14ac:dyDescent="0.3">
      <c r="F16961" s="193"/>
    </row>
    <row r="16962" spans="6:6" x14ac:dyDescent="0.3">
      <c r="F16962" s="193"/>
    </row>
    <row r="16963" spans="6:6" x14ac:dyDescent="0.3">
      <c r="F16963" s="193"/>
    </row>
    <row r="16964" spans="6:6" x14ac:dyDescent="0.3">
      <c r="F16964" s="193"/>
    </row>
    <row r="16965" spans="6:6" x14ac:dyDescent="0.3">
      <c r="F16965" s="193"/>
    </row>
    <row r="16966" spans="6:6" x14ac:dyDescent="0.3">
      <c r="F16966" s="193"/>
    </row>
    <row r="16967" spans="6:6" x14ac:dyDescent="0.3">
      <c r="F16967" s="193"/>
    </row>
    <row r="16968" spans="6:6" x14ac:dyDescent="0.3">
      <c r="F16968" s="193"/>
    </row>
    <row r="16969" spans="6:6" x14ac:dyDescent="0.3">
      <c r="F16969" s="193"/>
    </row>
    <row r="16970" spans="6:6" x14ac:dyDescent="0.3">
      <c r="F16970" s="193"/>
    </row>
    <row r="16971" spans="6:6" x14ac:dyDescent="0.3">
      <c r="F16971" s="193"/>
    </row>
    <row r="16972" spans="6:6" x14ac:dyDescent="0.3">
      <c r="F16972" s="193"/>
    </row>
    <row r="16973" spans="6:6" x14ac:dyDescent="0.3">
      <c r="F16973" s="193"/>
    </row>
    <row r="16974" spans="6:6" x14ac:dyDescent="0.3">
      <c r="F16974" s="193"/>
    </row>
    <row r="16975" spans="6:6" x14ac:dyDescent="0.3">
      <c r="F16975" s="193"/>
    </row>
    <row r="16976" spans="6:6" x14ac:dyDescent="0.3">
      <c r="F16976" s="193"/>
    </row>
    <row r="16977" spans="6:6" x14ac:dyDescent="0.3">
      <c r="F16977" s="193"/>
    </row>
    <row r="16978" spans="6:6" x14ac:dyDescent="0.3">
      <c r="F16978" s="193"/>
    </row>
    <row r="16979" spans="6:6" x14ac:dyDescent="0.3">
      <c r="F16979" s="193"/>
    </row>
    <row r="16980" spans="6:6" x14ac:dyDescent="0.3">
      <c r="F16980" s="193"/>
    </row>
    <row r="16981" spans="6:6" x14ac:dyDescent="0.3">
      <c r="F16981" s="193"/>
    </row>
    <row r="16982" spans="6:6" x14ac:dyDescent="0.3">
      <c r="F16982" s="193"/>
    </row>
    <row r="16983" spans="6:6" x14ac:dyDescent="0.3">
      <c r="F16983" s="193"/>
    </row>
    <row r="16984" spans="6:6" x14ac:dyDescent="0.3">
      <c r="F16984" s="193"/>
    </row>
    <row r="16985" spans="6:6" x14ac:dyDescent="0.3">
      <c r="F16985" s="193"/>
    </row>
    <row r="16986" spans="6:6" x14ac:dyDescent="0.3">
      <c r="F16986" s="193"/>
    </row>
    <row r="16987" spans="6:6" x14ac:dyDescent="0.3">
      <c r="F16987" s="193"/>
    </row>
    <row r="16988" spans="6:6" x14ac:dyDescent="0.3">
      <c r="F16988" s="193"/>
    </row>
    <row r="16989" spans="6:6" x14ac:dyDescent="0.3">
      <c r="F16989" s="193"/>
    </row>
    <row r="16990" spans="6:6" x14ac:dyDescent="0.3">
      <c r="F16990" s="193"/>
    </row>
    <row r="16991" spans="6:6" x14ac:dyDescent="0.3">
      <c r="F16991" s="193"/>
    </row>
    <row r="16992" spans="6:6" x14ac:dyDescent="0.3">
      <c r="F16992" s="193"/>
    </row>
    <row r="16993" spans="6:6" x14ac:dyDescent="0.3">
      <c r="F16993" s="193"/>
    </row>
    <row r="16994" spans="6:6" x14ac:dyDescent="0.3">
      <c r="F16994" s="193"/>
    </row>
    <row r="16995" spans="6:6" x14ac:dyDescent="0.3">
      <c r="F16995" s="193"/>
    </row>
    <row r="16996" spans="6:6" x14ac:dyDescent="0.3">
      <c r="F16996" s="193"/>
    </row>
    <row r="16997" spans="6:6" x14ac:dyDescent="0.3">
      <c r="F16997" s="193"/>
    </row>
    <row r="16998" spans="6:6" x14ac:dyDescent="0.3">
      <c r="F16998" s="193"/>
    </row>
    <row r="16999" spans="6:6" x14ac:dyDescent="0.3">
      <c r="F16999" s="193"/>
    </row>
    <row r="17000" spans="6:6" x14ac:dyDescent="0.3">
      <c r="F17000" s="193"/>
    </row>
    <row r="17001" spans="6:6" x14ac:dyDescent="0.3">
      <c r="F17001" s="193"/>
    </row>
    <row r="17002" spans="6:6" x14ac:dyDescent="0.3">
      <c r="F17002" s="193"/>
    </row>
    <row r="17003" spans="6:6" x14ac:dyDescent="0.3">
      <c r="F17003" s="193"/>
    </row>
    <row r="17004" spans="6:6" x14ac:dyDescent="0.3">
      <c r="F17004" s="193"/>
    </row>
    <row r="17005" spans="6:6" x14ac:dyDescent="0.3">
      <c r="F17005" s="193"/>
    </row>
    <row r="17006" spans="6:6" x14ac:dyDescent="0.3">
      <c r="F17006" s="193"/>
    </row>
    <row r="17007" spans="6:6" x14ac:dyDescent="0.3">
      <c r="F17007" s="193"/>
    </row>
    <row r="17008" spans="6:6" x14ac:dyDescent="0.3">
      <c r="F17008" s="193"/>
    </row>
    <row r="17009" spans="6:6" x14ac:dyDescent="0.3">
      <c r="F17009" s="193"/>
    </row>
    <row r="17010" spans="6:6" x14ac:dyDescent="0.3">
      <c r="F17010" s="193"/>
    </row>
    <row r="17011" spans="6:6" x14ac:dyDescent="0.3">
      <c r="F17011" s="193"/>
    </row>
    <row r="17012" spans="6:6" x14ac:dyDescent="0.3">
      <c r="F17012" s="193"/>
    </row>
    <row r="17013" spans="6:6" x14ac:dyDescent="0.3">
      <c r="F17013" s="193"/>
    </row>
    <row r="17014" spans="6:6" x14ac:dyDescent="0.3">
      <c r="F17014" s="193"/>
    </row>
    <row r="17015" spans="6:6" x14ac:dyDescent="0.3">
      <c r="F17015" s="193"/>
    </row>
    <row r="17016" spans="6:6" x14ac:dyDescent="0.3">
      <c r="F17016" s="193"/>
    </row>
    <row r="17017" spans="6:6" x14ac:dyDescent="0.3">
      <c r="F17017" s="193"/>
    </row>
    <row r="17018" spans="6:6" x14ac:dyDescent="0.3">
      <c r="F17018" s="193"/>
    </row>
    <row r="17019" spans="6:6" x14ac:dyDescent="0.3">
      <c r="F17019" s="193"/>
    </row>
    <row r="17020" spans="6:6" x14ac:dyDescent="0.3">
      <c r="F17020" s="193"/>
    </row>
    <row r="17021" spans="6:6" x14ac:dyDescent="0.3">
      <c r="F17021" s="193"/>
    </row>
    <row r="17022" spans="6:6" x14ac:dyDescent="0.3">
      <c r="F17022" s="193"/>
    </row>
    <row r="17023" spans="6:6" x14ac:dyDescent="0.3">
      <c r="F17023" s="193"/>
    </row>
    <row r="17024" spans="6:6" x14ac:dyDescent="0.3">
      <c r="F17024" s="193"/>
    </row>
    <row r="17025" spans="6:6" x14ac:dyDescent="0.3">
      <c r="F17025" s="193"/>
    </row>
    <row r="17026" spans="6:6" x14ac:dyDescent="0.3">
      <c r="F17026" s="193"/>
    </row>
    <row r="17027" spans="6:6" x14ac:dyDescent="0.3">
      <c r="F17027" s="193"/>
    </row>
    <row r="17028" spans="6:6" x14ac:dyDescent="0.3">
      <c r="F17028" s="193"/>
    </row>
    <row r="17029" spans="6:6" x14ac:dyDescent="0.3">
      <c r="F17029" s="193"/>
    </row>
    <row r="17030" spans="6:6" x14ac:dyDescent="0.3">
      <c r="F17030" s="193"/>
    </row>
    <row r="17031" spans="6:6" x14ac:dyDescent="0.3">
      <c r="F17031" s="193"/>
    </row>
    <row r="17032" spans="6:6" x14ac:dyDescent="0.3">
      <c r="F17032" s="193"/>
    </row>
    <row r="17033" spans="6:6" x14ac:dyDescent="0.3">
      <c r="F17033" s="193"/>
    </row>
    <row r="17034" spans="6:6" x14ac:dyDescent="0.3">
      <c r="F17034" s="193"/>
    </row>
    <row r="17035" spans="6:6" x14ac:dyDescent="0.3">
      <c r="F17035" s="193"/>
    </row>
    <row r="17036" spans="6:6" x14ac:dyDescent="0.3">
      <c r="F17036" s="193"/>
    </row>
    <row r="17037" spans="6:6" x14ac:dyDescent="0.3">
      <c r="F17037" s="193"/>
    </row>
    <row r="17038" spans="6:6" x14ac:dyDescent="0.3">
      <c r="F17038" s="193"/>
    </row>
    <row r="17039" spans="6:6" x14ac:dyDescent="0.3">
      <c r="F17039" s="193"/>
    </row>
    <row r="17040" spans="6:6" x14ac:dyDescent="0.3">
      <c r="F17040" s="193"/>
    </row>
    <row r="17041" spans="6:6" x14ac:dyDescent="0.3">
      <c r="F17041" s="193"/>
    </row>
    <row r="17042" spans="6:6" x14ac:dyDescent="0.3">
      <c r="F17042" s="193"/>
    </row>
    <row r="17043" spans="6:6" x14ac:dyDescent="0.3">
      <c r="F17043" s="193"/>
    </row>
    <row r="17044" spans="6:6" x14ac:dyDescent="0.3">
      <c r="F17044" s="193"/>
    </row>
    <row r="17045" spans="6:6" x14ac:dyDescent="0.3">
      <c r="F17045" s="193"/>
    </row>
    <row r="17046" spans="6:6" x14ac:dyDescent="0.3">
      <c r="F17046" s="193"/>
    </row>
    <row r="17047" spans="6:6" x14ac:dyDescent="0.3">
      <c r="F17047" s="193"/>
    </row>
    <row r="17048" spans="6:6" x14ac:dyDescent="0.3">
      <c r="F17048" s="193"/>
    </row>
    <row r="17049" spans="6:6" x14ac:dyDescent="0.3">
      <c r="F17049" s="193"/>
    </row>
    <row r="17050" spans="6:6" x14ac:dyDescent="0.3">
      <c r="F17050" s="193"/>
    </row>
    <row r="17051" spans="6:6" x14ac:dyDescent="0.3">
      <c r="F17051" s="193"/>
    </row>
    <row r="17052" spans="6:6" x14ac:dyDescent="0.3">
      <c r="F17052" s="193"/>
    </row>
    <row r="17053" spans="6:6" x14ac:dyDescent="0.3">
      <c r="F17053" s="193"/>
    </row>
    <row r="17054" spans="6:6" x14ac:dyDescent="0.3">
      <c r="F17054" s="193"/>
    </row>
    <row r="17055" spans="6:6" x14ac:dyDescent="0.3">
      <c r="F17055" s="193"/>
    </row>
    <row r="17056" spans="6:6" x14ac:dyDescent="0.3">
      <c r="F17056" s="193"/>
    </row>
    <row r="17057" spans="6:6" x14ac:dyDescent="0.3">
      <c r="F17057" s="193"/>
    </row>
    <row r="17058" spans="6:6" x14ac:dyDescent="0.3">
      <c r="F17058" s="193"/>
    </row>
    <row r="17059" spans="6:6" x14ac:dyDescent="0.3">
      <c r="F17059" s="193"/>
    </row>
    <row r="17060" spans="6:6" x14ac:dyDescent="0.3">
      <c r="F17060" s="193"/>
    </row>
    <row r="17061" spans="6:6" x14ac:dyDescent="0.3">
      <c r="F17061" s="193"/>
    </row>
    <row r="17062" spans="6:6" x14ac:dyDescent="0.3">
      <c r="F17062" s="193"/>
    </row>
    <row r="17063" spans="6:6" x14ac:dyDescent="0.3">
      <c r="F17063" s="193"/>
    </row>
    <row r="17064" spans="6:6" x14ac:dyDescent="0.3">
      <c r="F17064" s="193"/>
    </row>
    <row r="17065" spans="6:6" x14ac:dyDescent="0.3">
      <c r="F17065" s="193"/>
    </row>
    <row r="17066" spans="6:6" x14ac:dyDescent="0.3">
      <c r="F17066" s="193"/>
    </row>
    <row r="17067" spans="6:6" x14ac:dyDescent="0.3">
      <c r="F17067" s="193"/>
    </row>
    <row r="17068" spans="6:6" x14ac:dyDescent="0.3">
      <c r="F17068" s="193"/>
    </row>
    <row r="17069" spans="6:6" x14ac:dyDescent="0.3">
      <c r="F17069" s="193"/>
    </row>
    <row r="17070" spans="6:6" x14ac:dyDescent="0.3">
      <c r="F17070" s="193"/>
    </row>
    <row r="17071" spans="6:6" x14ac:dyDescent="0.3">
      <c r="F17071" s="193"/>
    </row>
    <row r="17072" spans="6:6" x14ac:dyDescent="0.3">
      <c r="F17072" s="193"/>
    </row>
    <row r="17073" spans="6:6" x14ac:dyDescent="0.3">
      <c r="F17073" s="193"/>
    </row>
    <row r="17074" spans="6:6" x14ac:dyDescent="0.3">
      <c r="F17074" s="193"/>
    </row>
    <row r="17075" spans="6:6" x14ac:dyDescent="0.3">
      <c r="F17075" s="193"/>
    </row>
    <row r="17076" spans="6:6" x14ac:dyDescent="0.3">
      <c r="F17076" s="193"/>
    </row>
    <row r="17077" spans="6:6" x14ac:dyDescent="0.3">
      <c r="F17077" s="193"/>
    </row>
    <row r="17078" spans="6:6" x14ac:dyDescent="0.3">
      <c r="F17078" s="193"/>
    </row>
    <row r="17079" spans="6:6" x14ac:dyDescent="0.3">
      <c r="F17079" s="193"/>
    </row>
    <row r="17080" spans="6:6" x14ac:dyDescent="0.3">
      <c r="F17080" s="193"/>
    </row>
    <row r="17081" spans="6:6" x14ac:dyDescent="0.3">
      <c r="F17081" s="193"/>
    </row>
    <row r="17082" spans="6:6" x14ac:dyDescent="0.3">
      <c r="F17082" s="193"/>
    </row>
    <row r="17083" spans="6:6" x14ac:dyDescent="0.3">
      <c r="F17083" s="193"/>
    </row>
    <row r="17084" spans="6:6" x14ac:dyDescent="0.3">
      <c r="F17084" s="193"/>
    </row>
    <row r="17085" spans="6:6" x14ac:dyDescent="0.3">
      <c r="F17085" s="193"/>
    </row>
    <row r="17086" spans="6:6" x14ac:dyDescent="0.3">
      <c r="F17086" s="193"/>
    </row>
    <row r="17087" spans="6:6" x14ac:dyDescent="0.3">
      <c r="F17087" s="193"/>
    </row>
    <row r="17088" spans="6:6" x14ac:dyDescent="0.3">
      <c r="F17088" s="193"/>
    </row>
    <row r="17089" spans="6:6" x14ac:dyDescent="0.3">
      <c r="F17089" s="193"/>
    </row>
    <row r="17090" spans="6:6" x14ac:dyDescent="0.3">
      <c r="F17090" s="193"/>
    </row>
    <row r="17091" spans="6:6" x14ac:dyDescent="0.3">
      <c r="F17091" s="193"/>
    </row>
    <row r="17092" spans="6:6" x14ac:dyDescent="0.3">
      <c r="F17092" s="193"/>
    </row>
    <row r="17093" spans="6:6" x14ac:dyDescent="0.3">
      <c r="F17093" s="193"/>
    </row>
    <row r="17094" spans="6:6" x14ac:dyDescent="0.3">
      <c r="F17094" s="193"/>
    </row>
    <row r="17095" spans="6:6" x14ac:dyDescent="0.3">
      <c r="F17095" s="193"/>
    </row>
    <row r="17096" spans="6:6" x14ac:dyDescent="0.3">
      <c r="F17096" s="193"/>
    </row>
    <row r="17097" spans="6:6" x14ac:dyDescent="0.3">
      <c r="F17097" s="193"/>
    </row>
    <row r="17098" spans="6:6" x14ac:dyDescent="0.3">
      <c r="F17098" s="193"/>
    </row>
    <row r="17099" spans="6:6" x14ac:dyDescent="0.3">
      <c r="F17099" s="193"/>
    </row>
    <row r="17100" spans="6:6" x14ac:dyDescent="0.3">
      <c r="F17100" s="193"/>
    </row>
    <row r="17101" spans="6:6" x14ac:dyDescent="0.3">
      <c r="F17101" s="193"/>
    </row>
    <row r="17102" spans="6:6" x14ac:dyDescent="0.3">
      <c r="F17102" s="193"/>
    </row>
    <row r="17103" spans="6:6" x14ac:dyDescent="0.3">
      <c r="F17103" s="193"/>
    </row>
    <row r="17104" spans="6:6" x14ac:dyDescent="0.3">
      <c r="F17104" s="193"/>
    </row>
    <row r="17105" spans="6:6" x14ac:dyDescent="0.3">
      <c r="F17105" s="193"/>
    </row>
    <row r="17106" spans="6:6" x14ac:dyDescent="0.3">
      <c r="F17106" s="193"/>
    </row>
    <row r="17107" spans="6:6" x14ac:dyDescent="0.3">
      <c r="F17107" s="193"/>
    </row>
    <row r="17108" spans="6:6" x14ac:dyDescent="0.3">
      <c r="F17108" s="193"/>
    </row>
    <row r="17109" spans="6:6" x14ac:dyDescent="0.3">
      <c r="F17109" s="193"/>
    </row>
    <row r="17110" spans="6:6" x14ac:dyDescent="0.3">
      <c r="F17110" s="193"/>
    </row>
    <row r="17111" spans="6:6" x14ac:dyDescent="0.3">
      <c r="F17111" s="193"/>
    </row>
    <row r="17112" spans="6:6" x14ac:dyDescent="0.3">
      <c r="F17112" s="193"/>
    </row>
    <row r="17113" spans="6:6" x14ac:dyDescent="0.3">
      <c r="F17113" s="193"/>
    </row>
    <row r="17114" spans="6:6" x14ac:dyDescent="0.3">
      <c r="F17114" s="193"/>
    </row>
    <row r="17115" spans="6:6" x14ac:dyDescent="0.3">
      <c r="F17115" s="193"/>
    </row>
    <row r="17116" spans="6:6" x14ac:dyDescent="0.3">
      <c r="F17116" s="193"/>
    </row>
    <row r="17117" spans="6:6" x14ac:dyDescent="0.3">
      <c r="F17117" s="193"/>
    </row>
    <row r="17118" spans="6:6" x14ac:dyDescent="0.3">
      <c r="F17118" s="193"/>
    </row>
    <row r="17119" spans="6:6" x14ac:dyDescent="0.3">
      <c r="F17119" s="193"/>
    </row>
    <row r="17120" spans="6:6" x14ac:dyDescent="0.3">
      <c r="F17120" s="193"/>
    </row>
    <row r="17121" spans="6:6" x14ac:dyDescent="0.3">
      <c r="F17121" s="193"/>
    </row>
    <row r="17122" spans="6:6" x14ac:dyDescent="0.3">
      <c r="F17122" s="193"/>
    </row>
    <row r="17123" spans="6:6" x14ac:dyDescent="0.3">
      <c r="F17123" s="193"/>
    </row>
    <row r="17124" spans="6:6" x14ac:dyDescent="0.3">
      <c r="F17124" s="193"/>
    </row>
    <row r="17125" spans="6:6" x14ac:dyDescent="0.3">
      <c r="F17125" s="193"/>
    </row>
    <row r="17126" spans="6:6" x14ac:dyDescent="0.3">
      <c r="F17126" s="193"/>
    </row>
    <row r="17127" spans="6:6" x14ac:dyDescent="0.3">
      <c r="F17127" s="193"/>
    </row>
    <row r="17128" spans="6:6" x14ac:dyDescent="0.3">
      <c r="F17128" s="193"/>
    </row>
    <row r="17129" spans="6:6" x14ac:dyDescent="0.3">
      <c r="F17129" s="193"/>
    </row>
    <row r="17130" spans="6:6" x14ac:dyDescent="0.3">
      <c r="F17130" s="193"/>
    </row>
    <row r="17131" spans="6:6" x14ac:dyDescent="0.3">
      <c r="F17131" s="193"/>
    </row>
    <row r="17132" spans="6:6" x14ac:dyDescent="0.3">
      <c r="F17132" s="193"/>
    </row>
    <row r="17133" spans="6:6" x14ac:dyDescent="0.3">
      <c r="F17133" s="193"/>
    </row>
    <row r="17134" spans="6:6" x14ac:dyDescent="0.3">
      <c r="F17134" s="193"/>
    </row>
    <row r="17135" spans="6:6" x14ac:dyDescent="0.3">
      <c r="F17135" s="193"/>
    </row>
    <row r="17136" spans="6:6" x14ac:dyDescent="0.3">
      <c r="F17136" s="193"/>
    </row>
    <row r="17137" spans="6:6" x14ac:dyDescent="0.3">
      <c r="F17137" s="193"/>
    </row>
    <row r="17138" spans="6:6" x14ac:dyDescent="0.3">
      <c r="F17138" s="193"/>
    </row>
    <row r="17139" spans="6:6" x14ac:dyDescent="0.3">
      <c r="F17139" s="193"/>
    </row>
    <row r="17140" spans="6:6" x14ac:dyDescent="0.3">
      <c r="F17140" s="193"/>
    </row>
    <row r="17141" spans="6:6" x14ac:dyDescent="0.3">
      <c r="F17141" s="193"/>
    </row>
    <row r="17142" spans="6:6" x14ac:dyDescent="0.3">
      <c r="F17142" s="193"/>
    </row>
    <row r="17143" spans="6:6" x14ac:dyDescent="0.3">
      <c r="F17143" s="193"/>
    </row>
    <row r="17144" spans="6:6" x14ac:dyDescent="0.3">
      <c r="F17144" s="193"/>
    </row>
    <row r="17145" spans="6:6" x14ac:dyDescent="0.3">
      <c r="F17145" s="193"/>
    </row>
    <row r="17146" spans="6:6" x14ac:dyDescent="0.3">
      <c r="F17146" s="193"/>
    </row>
    <row r="17147" spans="6:6" x14ac:dyDescent="0.3">
      <c r="F17147" s="193"/>
    </row>
    <row r="17148" spans="6:6" x14ac:dyDescent="0.3">
      <c r="F17148" s="193"/>
    </row>
    <row r="17149" spans="6:6" x14ac:dyDescent="0.3">
      <c r="F17149" s="193"/>
    </row>
    <row r="17150" spans="6:6" x14ac:dyDescent="0.3">
      <c r="F17150" s="193"/>
    </row>
    <row r="17151" spans="6:6" x14ac:dyDescent="0.3">
      <c r="F17151" s="193"/>
    </row>
    <row r="17152" spans="6:6" x14ac:dyDescent="0.3">
      <c r="F17152" s="193"/>
    </row>
    <row r="17153" spans="6:6" x14ac:dyDescent="0.3">
      <c r="F17153" s="193"/>
    </row>
    <row r="17154" spans="6:6" x14ac:dyDescent="0.3">
      <c r="F17154" s="193"/>
    </row>
    <row r="17155" spans="6:6" x14ac:dyDescent="0.3">
      <c r="F17155" s="193"/>
    </row>
    <row r="17156" spans="6:6" x14ac:dyDescent="0.3">
      <c r="F17156" s="193"/>
    </row>
    <row r="17157" spans="6:6" x14ac:dyDescent="0.3">
      <c r="F17157" s="193"/>
    </row>
    <row r="17158" spans="6:6" x14ac:dyDescent="0.3">
      <c r="F17158" s="193"/>
    </row>
    <row r="17159" spans="6:6" x14ac:dyDescent="0.3">
      <c r="F17159" s="193"/>
    </row>
    <row r="17160" spans="6:6" x14ac:dyDescent="0.3">
      <c r="F17160" s="193"/>
    </row>
    <row r="17161" spans="6:6" x14ac:dyDescent="0.3">
      <c r="F17161" s="193"/>
    </row>
    <row r="17162" spans="6:6" x14ac:dyDescent="0.3">
      <c r="F17162" s="193"/>
    </row>
    <row r="17163" spans="6:6" x14ac:dyDescent="0.3">
      <c r="F17163" s="193"/>
    </row>
    <row r="17164" spans="6:6" x14ac:dyDescent="0.3">
      <c r="F17164" s="193"/>
    </row>
    <row r="17165" spans="6:6" x14ac:dyDescent="0.3">
      <c r="F17165" s="193"/>
    </row>
    <row r="17166" spans="6:6" x14ac:dyDescent="0.3">
      <c r="F17166" s="193"/>
    </row>
    <row r="17167" spans="6:6" x14ac:dyDescent="0.3">
      <c r="F17167" s="193"/>
    </row>
    <row r="17168" spans="6:6" x14ac:dyDescent="0.3">
      <c r="F17168" s="193"/>
    </row>
    <row r="17169" spans="6:6" x14ac:dyDescent="0.3">
      <c r="F17169" s="193"/>
    </row>
    <row r="17170" spans="6:6" x14ac:dyDescent="0.3">
      <c r="F17170" s="193"/>
    </row>
    <row r="17171" spans="6:6" x14ac:dyDescent="0.3">
      <c r="F17171" s="193"/>
    </row>
    <row r="17172" spans="6:6" x14ac:dyDescent="0.3">
      <c r="F17172" s="193"/>
    </row>
    <row r="17173" spans="6:6" x14ac:dyDescent="0.3">
      <c r="F17173" s="193"/>
    </row>
    <row r="17174" spans="6:6" x14ac:dyDescent="0.3">
      <c r="F17174" s="193"/>
    </row>
    <row r="17175" spans="6:6" x14ac:dyDescent="0.3">
      <c r="F17175" s="193"/>
    </row>
    <row r="17176" spans="6:6" x14ac:dyDescent="0.3">
      <c r="F17176" s="193"/>
    </row>
    <row r="17177" spans="6:6" x14ac:dyDescent="0.3">
      <c r="F17177" s="193"/>
    </row>
    <row r="17178" spans="6:6" x14ac:dyDescent="0.3">
      <c r="F17178" s="193"/>
    </row>
    <row r="17179" spans="6:6" x14ac:dyDescent="0.3">
      <c r="F17179" s="193"/>
    </row>
    <row r="17180" spans="6:6" x14ac:dyDescent="0.3">
      <c r="F17180" s="193"/>
    </row>
    <row r="17181" spans="6:6" x14ac:dyDescent="0.3">
      <c r="F17181" s="193"/>
    </row>
    <row r="17182" spans="6:6" x14ac:dyDescent="0.3">
      <c r="F17182" s="193"/>
    </row>
    <row r="17183" spans="6:6" x14ac:dyDescent="0.3">
      <c r="F17183" s="193"/>
    </row>
    <row r="17184" spans="6:6" x14ac:dyDescent="0.3">
      <c r="F17184" s="193"/>
    </row>
    <row r="17185" spans="6:6" x14ac:dyDescent="0.3">
      <c r="F17185" s="193"/>
    </row>
    <row r="17186" spans="6:6" x14ac:dyDescent="0.3">
      <c r="F17186" s="193"/>
    </row>
    <row r="17187" spans="6:6" x14ac:dyDescent="0.3">
      <c r="F17187" s="193"/>
    </row>
    <row r="17188" spans="6:6" x14ac:dyDescent="0.3">
      <c r="F17188" s="193"/>
    </row>
    <row r="17189" spans="6:6" x14ac:dyDescent="0.3">
      <c r="F17189" s="193"/>
    </row>
    <row r="17190" spans="6:6" x14ac:dyDescent="0.3">
      <c r="F17190" s="193"/>
    </row>
    <row r="17191" spans="6:6" x14ac:dyDescent="0.3">
      <c r="F17191" s="193"/>
    </row>
    <row r="17192" spans="6:6" x14ac:dyDescent="0.3">
      <c r="F17192" s="193"/>
    </row>
    <row r="17193" spans="6:6" x14ac:dyDescent="0.3">
      <c r="F17193" s="193"/>
    </row>
    <row r="17194" spans="6:6" x14ac:dyDescent="0.3">
      <c r="F17194" s="193"/>
    </row>
    <row r="17195" spans="6:6" x14ac:dyDescent="0.3">
      <c r="F17195" s="193"/>
    </row>
    <row r="17196" spans="6:6" x14ac:dyDescent="0.3">
      <c r="F17196" s="193"/>
    </row>
    <row r="17197" spans="6:6" x14ac:dyDescent="0.3">
      <c r="F17197" s="193"/>
    </row>
    <row r="17198" spans="6:6" x14ac:dyDescent="0.3">
      <c r="F17198" s="193"/>
    </row>
    <row r="17199" spans="6:6" x14ac:dyDescent="0.3">
      <c r="F17199" s="193"/>
    </row>
    <row r="17200" spans="6:6" x14ac:dyDescent="0.3">
      <c r="F17200" s="193"/>
    </row>
    <row r="17201" spans="6:6" x14ac:dyDescent="0.3">
      <c r="F17201" s="193"/>
    </row>
    <row r="17202" spans="6:6" x14ac:dyDescent="0.3">
      <c r="F17202" s="193"/>
    </row>
    <row r="17203" spans="6:6" x14ac:dyDescent="0.3">
      <c r="F17203" s="193"/>
    </row>
    <row r="17204" spans="6:6" x14ac:dyDescent="0.3">
      <c r="F17204" s="193"/>
    </row>
    <row r="17205" spans="6:6" x14ac:dyDescent="0.3">
      <c r="F17205" s="193"/>
    </row>
    <row r="17206" spans="6:6" x14ac:dyDescent="0.3">
      <c r="F17206" s="193"/>
    </row>
    <row r="17207" spans="6:6" x14ac:dyDescent="0.3">
      <c r="F17207" s="193"/>
    </row>
    <row r="17208" spans="6:6" x14ac:dyDescent="0.3">
      <c r="F17208" s="193"/>
    </row>
    <row r="17209" spans="6:6" x14ac:dyDescent="0.3">
      <c r="F17209" s="193"/>
    </row>
    <row r="17210" spans="6:6" x14ac:dyDescent="0.3">
      <c r="F17210" s="193"/>
    </row>
    <row r="17211" spans="6:6" x14ac:dyDescent="0.3">
      <c r="F17211" s="193"/>
    </row>
    <row r="17212" spans="6:6" x14ac:dyDescent="0.3">
      <c r="F17212" s="193"/>
    </row>
    <row r="17213" spans="6:6" x14ac:dyDescent="0.3">
      <c r="F17213" s="193"/>
    </row>
    <row r="17214" spans="6:6" x14ac:dyDescent="0.3">
      <c r="F17214" s="193"/>
    </row>
    <row r="17215" spans="6:6" x14ac:dyDescent="0.3">
      <c r="F17215" s="193"/>
    </row>
    <row r="17216" spans="6:6" x14ac:dyDescent="0.3">
      <c r="F17216" s="193"/>
    </row>
    <row r="17217" spans="6:6" x14ac:dyDescent="0.3">
      <c r="F17217" s="193"/>
    </row>
    <row r="17218" spans="6:6" x14ac:dyDescent="0.3">
      <c r="F17218" s="193"/>
    </row>
    <row r="17219" spans="6:6" x14ac:dyDescent="0.3">
      <c r="F17219" s="193"/>
    </row>
    <row r="17220" spans="6:6" x14ac:dyDescent="0.3">
      <c r="F17220" s="193"/>
    </row>
    <row r="17221" spans="6:6" x14ac:dyDescent="0.3">
      <c r="F17221" s="193"/>
    </row>
    <row r="17222" spans="6:6" x14ac:dyDescent="0.3">
      <c r="F17222" s="193"/>
    </row>
    <row r="17223" spans="6:6" x14ac:dyDescent="0.3">
      <c r="F17223" s="193"/>
    </row>
    <row r="17224" spans="6:6" x14ac:dyDescent="0.3">
      <c r="F17224" s="193"/>
    </row>
    <row r="17225" spans="6:6" x14ac:dyDescent="0.3">
      <c r="F17225" s="193"/>
    </row>
    <row r="17226" spans="6:6" x14ac:dyDescent="0.3">
      <c r="F17226" s="193"/>
    </row>
    <row r="17227" spans="6:6" x14ac:dyDescent="0.3">
      <c r="F17227" s="193"/>
    </row>
    <row r="17228" spans="6:6" x14ac:dyDescent="0.3">
      <c r="F17228" s="193"/>
    </row>
    <row r="17229" spans="6:6" x14ac:dyDescent="0.3">
      <c r="F17229" s="193"/>
    </row>
    <row r="17230" spans="6:6" x14ac:dyDescent="0.3">
      <c r="F17230" s="193"/>
    </row>
    <row r="17231" spans="6:6" x14ac:dyDescent="0.3">
      <c r="F17231" s="193"/>
    </row>
    <row r="17232" spans="6:6" x14ac:dyDescent="0.3">
      <c r="F17232" s="193"/>
    </row>
    <row r="17233" spans="6:6" x14ac:dyDescent="0.3">
      <c r="F17233" s="193"/>
    </row>
    <row r="17234" spans="6:6" x14ac:dyDescent="0.3">
      <c r="F17234" s="193"/>
    </row>
    <row r="17235" spans="6:6" x14ac:dyDescent="0.3">
      <c r="F17235" s="193"/>
    </row>
    <row r="17236" spans="6:6" x14ac:dyDescent="0.3">
      <c r="F17236" s="193"/>
    </row>
    <row r="17237" spans="6:6" x14ac:dyDescent="0.3">
      <c r="F17237" s="193"/>
    </row>
    <row r="17238" spans="6:6" x14ac:dyDescent="0.3">
      <c r="F17238" s="193"/>
    </row>
    <row r="17239" spans="6:6" x14ac:dyDescent="0.3">
      <c r="F17239" s="193"/>
    </row>
    <row r="17240" spans="6:6" x14ac:dyDescent="0.3">
      <c r="F17240" s="193"/>
    </row>
    <row r="17241" spans="6:6" x14ac:dyDescent="0.3">
      <c r="F17241" s="193"/>
    </row>
    <row r="17242" spans="6:6" x14ac:dyDescent="0.3">
      <c r="F17242" s="193"/>
    </row>
    <row r="17243" spans="6:6" x14ac:dyDescent="0.3">
      <c r="F17243" s="193"/>
    </row>
    <row r="17244" spans="6:6" x14ac:dyDescent="0.3">
      <c r="F17244" s="193"/>
    </row>
    <row r="17245" spans="6:6" x14ac:dyDescent="0.3">
      <c r="F17245" s="193"/>
    </row>
    <row r="17246" spans="6:6" x14ac:dyDescent="0.3">
      <c r="F17246" s="193"/>
    </row>
    <row r="17247" spans="6:6" x14ac:dyDescent="0.3">
      <c r="F17247" s="193"/>
    </row>
    <row r="17248" spans="6:6" x14ac:dyDescent="0.3">
      <c r="F17248" s="193"/>
    </row>
    <row r="17249" spans="6:6" x14ac:dyDescent="0.3">
      <c r="F17249" s="193"/>
    </row>
    <row r="17250" spans="6:6" x14ac:dyDescent="0.3">
      <c r="F17250" s="193"/>
    </row>
    <row r="17251" spans="6:6" x14ac:dyDescent="0.3">
      <c r="F17251" s="193"/>
    </row>
    <row r="17252" spans="6:6" x14ac:dyDescent="0.3">
      <c r="F17252" s="193"/>
    </row>
    <row r="17253" spans="6:6" x14ac:dyDescent="0.3">
      <c r="F17253" s="193"/>
    </row>
    <row r="17254" spans="6:6" x14ac:dyDescent="0.3">
      <c r="F17254" s="193"/>
    </row>
    <row r="17255" spans="6:6" x14ac:dyDescent="0.3">
      <c r="F17255" s="193"/>
    </row>
    <row r="17256" spans="6:6" x14ac:dyDescent="0.3">
      <c r="F17256" s="193"/>
    </row>
    <row r="17257" spans="6:6" x14ac:dyDescent="0.3">
      <c r="F17257" s="193"/>
    </row>
    <row r="17258" spans="6:6" x14ac:dyDescent="0.3">
      <c r="F17258" s="193"/>
    </row>
    <row r="17259" spans="6:6" x14ac:dyDescent="0.3">
      <c r="F17259" s="193"/>
    </row>
    <row r="17260" spans="6:6" x14ac:dyDescent="0.3">
      <c r="F17260" s="193"/>
    </row>
    <row r="17261" spans="6:6" x14ac:dyDescent="0.3">
      <c r="F17261" s="193"/>
    </row>
    <row r="17262" spans="6:6" x14ac:dyDescent="0.3">
      <c r="F17262" s="193"/>
    </row>
    <row r="17263" spans="6:6" x14ac:dyDescent="0.3">
      <c r="F17263" s="193"/>
    </row>
    <row r="17264" spans="6:6" x14ac:dyDescent="0.3">
      <c r="F17264" s="193"/>
    </row>
    <row r="17265" spans="6:6" x14ac:dyDescent="0.3">
      <c r="F17265" s="193"/>
    </row>
    <row r="17266" spans="6:6" x14ac:dyDescent="0.3">
      <c r="F17266" s="193"/>
    </row>
    <row r="17267" spans="6:6" x14ac:dyDescent="0.3">
      <c r="F17267" s="193"/>
    </row>
    <row r="17268" spans="6:6" x14ac:dyDescent="0.3">
      <c r="F17268" s="193"/>
    </row>
    <row r="17269" spans="6:6" x14ac:dyDescent="0.3">
      <c r="F17269" s="193"/>
    </row>
    <row r="17270" spans="6:6" x14ac:dyDescent="0.3">
      <c r="F17270" s="193"/>
    </row>
    <row r="17271" spans="6:6" x14ac:dyDescent="0.3">
      <c r="F17271" s="193"/>
    </row>
    <row r="17272" spans="6:6" x14ac:dyDescent="0.3">
      <c r="F17272" s="193"/>
    </row>
    <row r="17273" spans="6:6" x14ac:dyDescent="0.3">
      <c r="F17273" s="193"/>
    </row>
    <row r="17274" spans="6:6" x14ac:dyDescent="0.3">
      <c r="F17274" s="193"/>
    </row>
    <row r="17275" spans="6:6" x14ac:dyDescent="0.3">
      <c r="F17275" s="193"/>
    </row>
    <row r="17276" spans="6:6" x14ac:dyDescent="0.3">
      <c r="F17276" s="193"/>
    </row>
    <row r="17277" spans="6:6" x14ac:dyDescent="0.3">
      <c r="F17277" s="193"/>
    </row>
    <row r="17278" spans="6:6" x14ac:dyDescent="0.3">
      <c r="F17278" s="193"/>
    </row>
    <row r="17279" spans="6:6" x14ac:dyDescent="0.3">
      <c r="F17279" s="193"/>
    </row>
    <row r="17280" spans="6:6" x14ac:dyDescent="0.3">
      <c r="F17280" s="193"/>
    </row>
    <row r="17281" spans="6:6" x14ac:dyDescent="0.3">
      <c r="F17281" s="193"/>
    </row>
    <row r="17282" spans="6:6" x14ac:dyDescent="0.3">
      <c r="F17282" s="193"/>
    </row>
    <row r="17283" spans="6:6" x14ac:dyDescent="0.3">
      <c r="F17283" s="193"/>
    </row>
    <row r="17284" spans="6:6" x14ac:dyDescent="0.3">
      <c r="F17284" s="193"/>
    </row>
    <row r="17285" spans="6:6" x14ac:dyDescent="0.3">
      <c r="F17285" s="193"/>
    </row>
    <row r="17286" spans="6:6" x14ac:dyDescent="0.3">
      <c r="F17286" s="193"/>
    </row>
    <row r="17287" spans="6:6" x14ac:dyDescent="0.3">
      <c r="F17287" s="193"/>
    </row>
    <row r="17288" spans="6:6" x14ac:dyDescent="0.3">
      <c r="F17288" s="193"/>
    </row>
    <row r="17289" spans="6:6" x14ac:dyDescent="0.3">
      <c r="F17289" s="193"/>
    </row>
    <row r="17290" spans="6:6" x14ac:dyDescent="0.3">
      <c r="F17290" s="193"/>
    </row>
    <row r="17291" spans="6:6" x14ac:dyDescent="0.3">
      <c r="F17291" s="193"/>
    </row>
    <row r="17292" spans="6:6" x14ac:dyDescent="0.3">
      <c r="F17292" s="193"/>
    </row>
    <row r="17293" spans="6:6" x14ac:dyDescent="0.3">
      <c r="F17293" s="193"/>
    </row>
    <row r="17294" spans="6:6" x14ac:dyDescent="0.3">
      <c r="F17294" s="193"/>
    </row>
    <row r="17295" spans="6:6" x14ac:dyDescent="0.3">
      <c r="F17295" s="193"/>
    </row>
    <row r="17296" spans="6:6" x14ac:dyDescent="0.3">
      <c r="F17296" s="193"/>
    </row>
    <row r="17297" spans="6:6" x14ac:dyDescent="0.3">
      <c r="F17297" s="193"/>
    </row>
    <row r="17298" spans="6:6" x14ac:dyDescent="0.3">
      <c r="F17298" s="193"/>
    </row>
    <row r="17299" spans="6:6" x14ac:dyDescent="0.3">
      <c r="F17299" s="193"/>
    </row>
    <row r="17300" spans="6:6" x14ac:dyDescent="0.3">
      <c r="F17300" s="193"/>
    </row>
    <row r="17301" spans="6:6" x14ac:dyDescent="0.3">
      <c r="F17301" s="193"/>
    </row>
    <row r="17302" spans="6:6" x14ac:dyDescent="0.3">
      <c r="F17302" s="193"/>
    </row>
    <row r="17303" spans="6:6" x14ac:dyDescent="0.3">
      <c r="F17303" s="193"/>
    </row>
    <row r="17304" spans="6:6" x14ac:dyDescent="0.3">
      <c r="F17304" s="193"/>
    </row>
    <row r="17305" spans="6:6" x14ac:dyDescent="0.3">
      <c r="F17305" s="193"/>
    </row>
    <row r="17306" spans="6:6" x14ac:dyDescent="0.3">
      <c r="F17306" s="193"/>
    </row>
    <row r="17307" spans="6:6" x14ac:dyDescent="0.3">
      <c r="F17307" s="193"/>
    </row>
    <row r="17308" spans="6:6" x14ac:dyDescent="0.3">
      <c r="F17308" s="193"/>
    </row>
    <row r="17309" spans="6:6" x14ac:dyDescent="0.3">
      <c r="F17309" s="193"/>
    </row>
    <row r="17310" spans="6:6" x14ac:dyDescent="0.3">
      <c r="F17310" s="193"/>
    </row>
    <row r="17311" spans="6:6" x14ac:dyDescent="0.3">
      <c r="F17311" s="193"/>
    </row>
    <row r="17312" spans="6:6" x14ac:dyDescent="0.3">
      <c r="F17312" s="193"/>
    </row>
    <row r="17313" spans="6:6" x14ac:dyDescent="0.3">
      <c r="F17313" s="193"/>
    </row>
    <row r="17314" spans="6:6" x14ac:dyDescent="0.3">
      <c r="F17314" s="193"/>
    </row>
    <row r="17315" spans="6:6" x14ac:dyDescent="0.3">
      <c r="F17315" s="193"/>
    </row>
    <row r="17316" spans="6:6" x14ac:dyDescent="0.3">
      <c r="F17316" s="193"/>
    </row>
    <row r="17317" spans="6:6" x14ac:dyDescent="0.3">
      <c r="F17317" s="193"/>
    </row>
    <row r="17318" spans="6:6" x14ac:dyDescent="0.3">
      <c r="F17318" s="193"/>
    </row>
    <row r="17319" spans="6:6" x14ac:dyDescent="0.3">
      <c r="F17319" s="193"/>
    </row>
    <row r="17320" spans="6:6" x14ac:dyDescent="0.3">
      <c r="F17320" s="193"/>
    </row>
    <row r="17321" spans="6:6" x14ac:dyDescent="0.3">
      <c r="F17321" s="193"/>
    </row>
    <row r="17322" spans="6:6" x14ac:dyDescent="0.3">
      <c r="F17322" s="193"/>
    </row>
    <row r="17323" spans="6:6" x14ac:dyDescent="0.3">
      <c r="F17323" s="193"/>
    </row>
    <row r="17324" spans="6:6" x14ac:dyDescent="0.3">
      <c r="F17324" s="193"/>
    </row>
    <row r="17325" spans="6:6" x14ac:dyDescent="0.3">
      <c r="F17325" s="193"/>
    </row>
    <row r="17326" spans="6:6" x14ac:dyDescent="0.3">
      <c r="F17326" s="193"/>
    </row>
    <row r="17327" spans="6:6" x14ac:dyDescent="0.3">
      <c r="F17327" s="193"/>
    </row>
    <row r="17328" spans="6:6" x14ac:dyDescent="0.3">
      <c r="F17328" s="193"/>
    </row>
    <row r="17329" spans="6:6" x14ac:dyDescent="0.3">
      <c r="F17329" s="193"/>
    </row>
    <row r="17330" spans="6:6" x14ac:dyDescent="0.3">
      <c r="F17330" s="193"/>
    </row>
    <row r="17331" spans="6:6" x14ac:dyDescent="0.3">
      <c r="F17331" s="193"/>
    </row>
    <row r="17332" spans="6:6" x14ac:dyDescent="0.3">
      <c r="F17332" s="193"/>
    </row>
    <row r="17333" spans="6:6" x14ac:dyDescent="0.3">
      <c r="F17333" s="193"/>
    </row>
    <row r="17334" spans="6:6" x14ac:dyDescent="0.3">
      <c r="F17334" s="193"/>
    </row>
    <row r="17335" spans="6:6" x14ac:dyDescent="0.3">
      <c r="F17335" s="193"/>
    </row>
    <row r="17336" spans="6:6" x14ac:dyDescent="0.3">
      <c r="F17336" s="193"/>
    </row>
    <row r="17337" spans="6:6" x14ac:dyDescent="0.3">
      <c r="F17337" s="193"/>
    </row>
    <row r="17338" spans="6:6" x14ac:dyDescent="0.3">
      <c r="F17338" s="193"/>
    </row>
    <row r="17339" spans="6:6" x14ac:dyDescent="0.3">
      <c r="F17339" s="193"/>
    </row>
    <row r="17340" spans="6:6" x14ac:dyDescent="0.3">
      <c r="F17340" s="193"/>
    </row>
    <row r="17341" spans="6:6" x14ac:dyDescent="0.3">
      <c r="F17341" s="193"/>
    </row>
    <row r="17342" spans="6:6" x14ac:dyDescent="0.3">
      <c r="F17342" s="193"/>
    </row>
    <row r="17343" spans="6:6" x14ac:dyDescent="0.3">
      <c r="F17343" s="193"/>
    </row>
    <row r="17344" spans="6:6" x14ac:dyDescent="0.3">
      <c r="F17344" s="193"/>
    </row>
    <row r="17345" spans="6:6" x14ac:dyDescent="0.3">
      <c r="F17345" s="193"/>
    </row>
    <row r="17346" spans="6:6" x14ac:dyDescent="0.3">
      <c r="F17346" s="193"/>
    </row>
    <row r="17347" spans="6:6" x14ac:dyDescent="0.3">
      <c r="F17347" s="193"/>
    </row>
    <row r="17348" spans="6:6" x14ac:dyDescent="0.3">
      <c r="F17348" s="193"/>
    </row>
    <row r="17349" spans="6:6" x14ac:dyDescent="0.3">
      <c r="F17349" s="193"/>
    </row>
    <row r="17350" spans="6:6" x14ac:dyDescent="0.3">
      <c r="F17350" s="193"/>
    </row>
    <row r="17351" spans="6:6" x14ac:dyDescent="0.3">
      <c r="F17351" s="193"/>
    </row>
    <row r="17352" spans="6:6" x14ac:dyDescent="0.3">
      <c r="F17352" s="193"/>
    </row>
    <row r="17353" spans="6:6" x14ac:dyDescent="0.3">
      <c r="F17353" s="193"/>
    </row>
    <row r="17354" spans="6:6" x14ac:dyDescent="0.3">
      <c r="F17354" s="193"/>
    </row>
    <row r="17355" spans="6:6" x14ac:dyDescent="0.3">
      <c r="F17355" s="193"/>
    </row>
    <row r="17356" spans="6:6" x14ac:dyDescent="0.3">
      <c r="F17356" s="193"/>
    </row>
    <row r="17357" spans="6:6" x14ac:dyDescent="0.3">
      <c r="F17357" s="193"/>
    </row>
    <row r="17358" spans="6:6" x14ac:dyDescent="0.3">
      <c r="F17358" s="193"/>
    </row>
    <row r="17359" spans="6:6" x14ac:dyDescent="0.3">
      <c r="F17359" s="193"/>
    </row>
    <row r="17360" spans="6:6" x14ac:dyDescent="0.3">
      <c r="F17360" s="193"/>
    </row>
    <row r="17361" spans="6:6" x14ac:dyDescent="0.3">
      <c r="F17361" s="193"/>
    </row>
    <row r="17362" spans="6:6" x14ac:dyDescent="0.3">
      <c r="F17362" s="193"/>
    </row>
    <row r="17363" spans="6:6" x14ac:dyDescent="0.3">
      <c r="F17363" s="193"/>
    </row>
    <row r="17364" spans="6:6" x14ac:dyDescent="0.3">
      <c r="F17364" s="193"/>
    </row>
    <row r="17365" spans="6:6" x14ac:dyDescent="0.3">
      <c r="F17365" s="193"/>
    </row>
    <row r="17366" spans="6:6" x14ac:dyDescent="0.3">
      <c r="F17366" s="193"/>
    </row>
    <row r="17367" spans="6:6" x14ac:dyDescent="0.3">
      <c r="F17367" s="193"/>
    </row>
    <row r="17368" spans="6:6" x14ac:dyDescent="0.3">
      <c r="F17368" s="193"/>
    </row>
    <row r="17369" spans="6:6" x14ac:dyDescent="0.3">
      <c r="F17369" s="193"/>
    </row>
    <row r="17370" spans="6:6" x14ac:dyDescent="0.3">
      <c r="F17370" s="193"/>
    </row>
    <row r="17371" spans="6:6" x14ac:dyDescent="0.3">
      <c r="F17371" s="193"/>
    </row>
    <row r="17372" spans="6:6" x14ac:dyDescent="0.3">
      <c r="F17372" s="193"/>
    </row>
    <row r="17373" spans="6:6" x14ac:dyDescent="0.3">
      <c r="F17373" s="193"/>
    </row>
    <row r="17374" spans="6:6" x14ac:dyDescent="0.3">
      <c r="F17374" s="193"/>
    </row>
    <row r="17375" spans="6:6" x14ac:dyDescent="0.3">
      <c r="F17375" s="193"/>
    </row>
    <row r="17376" spans="6:6" x14ac:dyDescent="0.3">
      <c r="F17376" s="193"/>
    </row>
    <row r="17377" spans="6:6" x14ac:dyDescent="0.3">
      <c r="F17377" s="193"/>
    </row>
    <row r="17378" spans="6:6" x14ac:dyDescent="0.3">
      <c r="F17378" s="193"/>
    </row>
    <row r="17379" spans="6:6" x14ac:dyDescent="0.3">
      <c r="F17379" s="193"/>
    </row>
    <row r="17380" spans="6:6" x14ac:dyDescent="0.3">
      <c r="F17380" s="193"/>
    </row>
    <row r="17381" spans="6:6" x14ac:dyDescent="0.3">
      <c r="F17381" s="193"/>
    </row>
    <row r="17382" spans="6:6" x14ac:dyDescent="0.3">
      <c r="F17382" s="193"/>
    </row>
    <row r="17383" spans="6:6" x14ac:dyDescent="0.3">
      <c r="F17383" s="193"/>
    </row>
    <row r="17384" spans="6:6" x14ac:dyDescent="0.3">
      <c r="F17384" s="193"/>
    </row>
    <row r="17385" spans="6:6" x14ac:dyDescent="0.3">
      <c r="F17385" s="193"/>
    </row>
    <row r="17386" spans="6:6" x14ac:dyDescent="0.3">
      <c r="F17386" s="193"/>
    </row>
    <row r="17387" spans="6:6" x14ac:dyDescent="0.3">
      <c r="F17387" s="193"/>
    </row>
    <row r="17388" spans="6:6" x14ac:dyDescent="0.3">
      <c r="F17388" s="193"/>
    </row>
    <row r="17389" spans="6:6" x14ac:dyDescent="0.3">
      <c r="F17389" s="193"/>
    </row>
    <row r="17390" spans="6:6" x14ac:dyDescent="0.3">
      <c r="F17390" s="193"/>
    </row>
    <row r="17391" spans="6:6" x14ac:dyDescent="0.3">
      <c r="F17391" s="193"/>
    </row>
    <row r="17392" spans="6:6" x14ac:dyDescent="0.3">
      <c r="F17392" s="193"/>
    </row>
    <row r="17393" spans="6:6" x14ac:dyDescent="0.3">
      <c r="F17393" s="193"/>
    </row>
    <row r="17394" spans="6:6" x14ac:dyDescent="0.3">
      <c r="F17394" s="193"/>
    </row>
    <row r="17395" spans="6:6" x14ac:dyDescent="0.3">
      <c r="F17395" s="193"/>
    </row>
    <row r="17396" spans="6:6" x14ac:dyDescent="0.3">
      <c r="F17396" s="193"/>
    </row>
    <row r="17397" spans="6:6" x14ac:dyDescent="0.3">
      <c r="F17397" s="193"/>
    </row>
    <row r="17398" spans="6:6" x14ac:dyDescent="0.3">
      <c r="F17398" s="193"/>
    </row>
    <row r="17399" spans="6:6" x14ac:dyDescent="0.3">
      <c r="F17399" s="193"/>
    </row>
    <row r="17400" spans="6:6" x14ac:dyDescent="0.3">
      <c r="F17400" s="193"/>
    </row>
    <row r="17401" spans="6:6" x14ac:dyDescent="0.3">
      <c r="F17401" s="193"/>
    </row>
    <row r="17402" spans="6:6" x14ac:dyDescent="0.3">
      <c r="F17402" s="193"/>
    </row>
    <row r="17403" spans="6:6" x14ac:dyDescent="0.3">
      <c r="F17403" s="193"/>
    </row>
    <row r="17404" spans="6:6" x14ac:dyDescent="0.3">
      <c r="F17404" s="193"/>
    </row>
    <row r="17405" spans="6:6" x14ac:dyDescent="0.3">
      <c r="F17405" s="193"/>
    </row>
    <row r="17406" spans="6:6" x14ac:dyDescent="0.3">
      <c r="F17406" s="193"/>
    </row>
    <row r="17407" spans="6:6" x14ac:dyDescent="0.3">
      <c r="F17407" s="193"/>
    </row>
    <row r="17408" spans="6:6" x14ac:dyDescent="0.3">
      <c r="F17408" s="193"/>
    </row>
    <row r="17409" spans="6:6" x14ac:dyDescent="0.3">
      <c r="F17409" s="193"/>
    </row>
    <row r="17410" spans="6:6" x14ac:dyDescent="0.3">
      <c r="F17410" s="193"/>
    </row>
    <row r="17411" spans="6:6" x14ac:dyDescent="0.3">
      <c r="F17411" s="193"/>
    </row>
    <row r="17412" spans="6:6" x14ac:dyDescent="0.3">
      <c r="F17412" s="193"/>
    </row>
    <row r="17413" spans="6:6" x14ac:dyDescent="0.3">
      <c r="F17413" s="193"/>
    </row>
    <row r="17414" spans="6:6" x14ac:dyDescent="0.3">
      <c r="F17414" s="193"/>
    </row>
    <row r="17415" spans="6:6" x14ac:dyDescent="0.3">
      <c r="F17415" s="193"/>
    </row>
    <row r="17416" spans="6:6" x14ac:dyDescent="0.3">
      <c r="F17416" s="193"/>
    </row>
    <row r="17417" spans="6:6" x14ac:dyDescent="0.3">
      <c r="F17417" s="193"/>
    </row>
    <row r="17418" spans="6:6" x14ac:dyDescent="0.3">
      <c r="F17418" s="193"/>
    </row>
    <row r="17419" spans="6:6" x14ac:dyDescent="0.3">
      <c r="F17419" s="193"/>
    </row>
    <row r="17420" spans="6:6" x14ac:dyDescent="0.3">
      <c r="F17420" s="193"/>
    </row>
    <row r="17421" spans="6:6" x14ac:dyDescent="0.3">
      <c r="F17421" s="193"/>
    </row>
    <row r="17422" spans="6:6" x14ac:dyDescent="0.3">
      <c r="F17422" s="193"/>
    </row>
    <row r="17423" spans="6:6" x14ac:dyDescent="0.3">
      <c r="F17423" s="193"/>
    </row>
    <row r="17424" spans="6:6" x14ac:dyDescent="0.3">
      <c r="F17424" s="193"/>
    </row>
    <row r="17425" spans="6:6" x14ac:dyDescent="0.3">
      <c r="F17425" s="193"/>
    </row>
    <row r="17426" spans="6:6" x14ac:dyDescent="0.3">
      <c r="F17426" s="193"/>
    </row>
    <row r="17427" spans="6:6" x14ac:dyDescent="0.3">
      <c r="F17427" s="193"/>
    </row>
    <row r="17428" spans="6:6" x14ac:dyDescent="0.3">
      <c r="F17428" s="193"/>
    </row>
    <row r="17429" spans="6:6" x14ac:dyDescent="0.3">
      <c r="F17429" s="193"/>
    </row>
    <row r="17430" spans="6:6" x14ac:dyDescent="0.3">
      <c r="F17430" s="193"/>
    </row>
    <row r="17431" spans="6:6" x14ac:dyDescent="0.3">
      <c r="F17431" s="193"/>
    </row>
    <row r="17432" spans="6:6" x14ac:dyDescent="0.3">
      <c r="F17432" s="193"/>
    </row>
    <row r="17433" spans="6:6" x14ac:dyDescent="0.3">
      <c r="F17433" s="193"/>
    </row>
    <row r="17434" spans="6:6" x14ac:dyDescent="0.3">
      <c r="F17434" s="193"/>
    </row>
    <row r="17435" spans="6:6" x14ac:dyDescent="0.3">
      <c r="F17435" s="193"/>
    </row>
    <row r="17436" spans="6:6" x14ac:dyDescent="0.3">
      <c r="F17436" s="193"/>
    </row>
    <row r="17437" spans="6:6" x14ac:dyDescent="0.3">
      <c r="F17437" s="193"/>
    </row>
    <row r="17438" spans="6:6" x14ac:dyDescent="0.3">
      <c r="F17438" s="193"/>
    </row>
    <row r="17439" spans="6:6" x14ac:dyDescent="0.3">
      <c r="F17439" s="193"/>
    </row>
    <row r="17440" spans="6:6" x14ac:dyDescent="0.3">
      <c r="F17440" s="193"/>
    </row>
    <row r="17441" spans="6:6" x14ac:dyDescent="0.3">
      <c r="F17441" s="193"/>
    </row>
    <row r="17442" spans="6:6" x14ac:dyDescent="0.3">
      <c r="F17442" s="193"/>
    </row>
    <row r="17443" spans="6:6" x14ac:dyDescent="0.3">
      <c r="F17443" s="193"/>
    </row>
    <row r="17444" spans="6:6" x14ac:dyDescent="0.3">
      <c r="F17444" s="193"/>
    </row>
    <row r="17445" spans="6:6" x14ac:dyDescent="0.3">
      <c r="F17445" s="193"/>
    </row>
    <row r="17446" spans="6:6" x14ac:dyDescent="0.3">
      <c r="F17446" s="193"/>
    </row>
    <row r="17447" spans="6:6" x14ac:dyDescent="0.3">
      <c r="F17447" s="193"/>
    </row>
    <row r="17448" spans="6:6" x14ac:dyDescent="0.3">
      <c r="F17448" s="193"/>
    </row>
    <row r="17449" spans="6:6" x14ac:dyDescent="0.3">
      <c r="F17449" s="193"/>
    </row>
    <row r="17450" spans="6:6" x14ac:dyDescent="0.3">
      <c r="F17450" s="193"/>
    </row>
    <row r="17451" spans="6:6" x14ac:dyDescent="0.3">
      <c r="F17451" s="193"/>
    </row>
    <row r="17452" spans="6:6" x14ac:dyDescent="0.3">
      <c r="F17452" s="193"/>
    </row>
    <row r="17453" spans="6:6" x14ac:dyDescent="0.3">
      <c r="F17453" s="193"/>
    </row>
    <row r="17454" spans="6:6" x14ac:dyDescent="0.3">
      <c r="F17454" s="193"/>
    </row>
    <row r="17455" spans="6:6" x14ac:dyDescent="0.3">
      <c r="F17455" s="193"/>
    </row>
    <row r="17456" spans="6:6" x14ac:dyDescent="0.3">
      <c r="F17456" s="193"/>
    </row>
    <row r="17457" spans="6:6" x14ac:dyDescent="0.3">
      <c r="F17457" s="193"/>
    </row>
    <row r="17458" spans="6:6" x14ac:dyDescent="0.3">
      <c r="F17458" s="193"/>
    </row>
    <row r="17459" spans="6:6" x14ac:dyDescent="0.3">
      <c r="F17459" s="193"/>
    </row>
    <row r="17460" spans="6:6" x14ac:dyDescent="0.3">
      <c r="F17460" s="193"/>
    </row>
    <row r="17461" spans="6:6" x14ac:dyDescent="0.3">
      <c r="F17461" s="193"/>
    </row>
    <row r="17462" spans="6:6" x14ac:dyDescent="0.3">
      <c r="F17462" s="193"/>
    </row>
    <row r="17463" spans="6:6" x14ac:dyDescent="0.3">
      <c r="F17463" s="193"/>
    </row>
    <row r="17464" spans="6:6" x14ac:dyDescent="0.3">
      <c r="F17464" s="193"/>
    </row>
    <row r="17465" spans="6:6" x14ac:dyDescent="0.3">
      <c r="F17465" s="193"/>
    </row>
    <row r="17466" spans="6:6" x14ac:dyDescent="0.3">
      <c r="F17466" s="193"/>
    </row>
    <row r="17467" spans="6:6" x14ac:dyDescent="0.3">
      <c r="F17467" s="193"/>
    </row>
    <row r="17468" spans="6:6" x14ac:dyDescent="0.3">
      <c r="F17468" s="193"/>
    </row>
    <row r="17469" spans="6:6" x14ac:dyDescent="0.3">
      <c r="F17469" s="193"/>
    </row>
    <row r="17470" spans="6:6" x14ac:dyDescent="0.3">
      <c r="F17470" s="193"/>
    </row>
    <row r="17471" spans="6:6" x14ac:dyDescent="0.3">
      <c r="F17471" s="193"/>
    </row>
    <row r="17472" spans="6:6" x14ac:dyDescent="0.3">
      <c r="F17472" s="193"/>
    </row>
    <row r="17473" spans="6:6" x14ac:dyDescent="0.3">
      <c r="F17473" s="193"/>
    </row>
    <row r="17474" spans="6:6" x14ac:dyDescent="0.3">
      <c r="F17474" s="193"/>
    </row>
    <row r="17475" spans="6:6" x14ac:dyDescent="0.3">
      <c r="F17475" s="193"/>
    </row>
    <row r="17476" spans="6:6" x14ac:dyDescent="0.3">
      <c r="F17476" s="193"/>
    </row>
    <row r="17477" spans="6:6" x14ac:dyDescent="0.3">
      <c r="F17477" s="193"/>
    </row>
    <row r="17478" spans="6:6" x14ac:dyDescent="0.3">
      <c r="F17478" s="193"/>
    </row>
    <row r="17479" spans="6:6" x14ac:dyDescent="0.3">
      <c r="F17479" s="193"/>
    </row>
    <row r="17480" spans="6:6" x14ac:dyDescent="0.3">
      <c r="F17480" s="193"/>
    </row>
    <row r="17481" spans="6:6" x14ac:dyDescent="0.3">
      <c r="F17481" s="193"/>
    </row>
    <row r="17482" spans="6:6" x14ac:dyDescent="0.3">
      <c r="F17482" s="193"/>
    </row>
    <row r="17483" spans="6:6" x14ac:dyDescent="0.3">
      <c r="F17483" s="193"/>
    </row>
    <row r="17484" spans="6:6" x14ac:dyDescent="0.3">
      <c r="F17484" s="193"/>
    </row>
    <row r="17485" spans="6:6" x14ac:dyDescent="0.3">
      <c r="F17485" s="193"/>
    </row>
    <row r="17486" spans="6:6" x14ac:dyDescent="0.3">
      <c r="F17486" s="193"/>
    </row>
    <row r="17487" spans="6:6" x14ac:dyDescent="0.3">
      <c r="F17487" s="193"/>
    </row>
    <row r="17488" spans="6:6" x14ac:dyDescent="0.3">
      <c r="F17488" s="193"/>
    </row>
    <row r="17489" spans="6:6" x14ac:dyDescent="0.3">
      <c r="F17489" s="193"/>
    </row>
    <row r="17490" spans="6:6" x14ac:dyDescent="0.3">
      <c r="F17490" s="193"/>
    </row>
    <row r="17491" spans="6:6" x14ac:dyDescent="0.3">
      <c r="F17491" s="193"/>
    </row>
    <row r="17492" spans="6:6" x14ac:dyDescent="0.3">
      <c r="F17492" s="193"/>
    </row>
    <row r="17493" spans="6:6" x14ac:dyDescent="0.3">
      <c r="F17493" s="193"/>
    </row>
    <row r="17494" spans="6:6" x14ac:dyDescent="0.3">
      <c r="F17494" s="193"/>
    </row>
    <row r="17495" spans="6:6" x14ac:dyDescent="0.3">
      <c r="F17495" s="193"/>
    </row>
    <row r="17496" spans="6:6" x14ac:dyDescent="0.3">
      <c r="F17496" s="193"/>
    </row>
    <row r="17497" spans="6:6" x14ac:dyDescent="0.3">
      <c r="F17497" s="193"/>
    </row>
    <row r="17498" spans="6:6" x14ac:dyDescent="0.3">
      <c r="F17498" s="193"/>
    </row>
    <row r="17499" spans="6:6" x14ac:dyDescent="0.3">
      <c r="F17499" s="193"/>
    </row>
    <row r="17500" spans="6:6" x14ac:dyDescent="0.3">
      <c r="F17500" s="193"/>
    </row>
    <row r="17501" spans="6:6" x14ac:dyDescent="0.3">
      <c r="F17501" s="193"/>
    </row>
    <row r="17502" spans="6:6" x14ac:dyDescent="0.3">
      <c r="F17502" s="193"/>
    </row>
    <row r="17503" spans="6:6" x14ac:dyDescent="0.3">
      <c r="F17503" s="193"/>
    </row>
    <row r="17504" spans="6:6" x14ac:dyDescent="0.3">
      <c r="F17504" s="193"/>
    </row>
    <row r="17505" spans="6:6" x14ac:dyDescent="0.3">
      <c r="F17505" s="193"/>
    </row>
    <row r="17506" spans="6:6" x14ac:dyDescent="0.3">
      <c r="F17506" s="193"/>
    </row>
    <row r="17507" spans="6:6" x14ac:dyDescent="0.3">
      <c r="F17507" s="193"/>
    </row>
    <row r="17508" spans="6:6" x14ac:dyDescent="0.3">
      <c r="F17508" s="193"/>
    </row>
    <row r="17509" spans="6:6" x14ac:dyDescent="0.3">
      <c r="F17509" s="193"/>
    </row>
    <row r="17510" spans="6:6" x14ac:dyDescent="0.3">
      <c r="F17510" s="193"/>
    </row>
    <row r="17511" spans="6:6" x14ac:dyDescent="0.3">
      <c r="F17511" s="193"/>
    </row>
    <row r="17512" spans="6:6" x14ac:dyDescent="0.3">
      <c r="F17512" s="193"/>
    </row>
    <row r="17513" spans="6:6" x14ac:dyDescent="0.3">
      <c r="F17513" s="193"/>
    </row>
    <row r="17514" spans="6:6" x14ac:dyDescent="0.3">
      <c r="F17514" s="193"/>
    </row>
    <row r="17515" spans="6:6" x14ac:dyDescent="0.3">
      <c r="F17515" s="193"/>
    </row>
    <row r="17516" spans="6:6" x14ac:dyDescent="0.3">
      <c r="F17516" s="193"/>
    </row>
    <row r="17517" spans="6:6" x14ac:dyDescent="0.3">
      <c r="F17517" s="193"/>
    </row>
    <row r="17518" spans="6:6" x14ac:dyDescent="0.3">
      <c r="F17518" s="193"/>
    </row>
    <row r="17519" spans="6:6" x14ac:dyDescent="0.3">
      <c r="F17519" s="193"/>
    </row>
    <row r="17520" spans="6:6" x14ac:dyDescent="0.3">
      <c r="F17520" s="193"/>
    </row>
    <row r="17521" spans="6:6" x14ac:dyDescent="0.3">
      <c r="F17521" s="193"/>
    </row>
    <row r="17522" spans="6:6" x14ac:dyDescent="0.3">
      <c r="F17522" s="193"/>
    </row>
    <row r="17523" spans="6:6" x14ac:dyDescent="0.3">
      <c r="F17523" s="193"/>
    </row>
    <row r="17524" spans="6:6" x14ac:dyDescent="0.3">
      <c r="F17524" s="193"/>
    </row>
    <row r="17525" spans="6:6" x14ac:dyDescent="0.3">
      <c r="F17525" s="193"/>
    </row>
    <row r="17526" spans="6:6" x14ac:dyDescent="0.3">
      <c r="F17526" s="193"/>
    </row>
    <row r="17527" spans="6:6" x14ac:dyDescent="0.3">
      <c r="F17527" s="193"/>
    </row>
    <row r="17528" spans="6:6" x14ac:dyDescent="0.3">
      <c r="F17528" s="193"/>
    </row>
    <row r="17529" spans="6:6" x14ac:dyDescent="0.3">
      <c r="F17529" s="193"/>
    </row>
    <row r="17530" spans="6:6" x14ac:dyDescent="0.3">
      <c r="F17530" s="193"/>
    </row>
    <row r="17531" spans="6:6" x14ac:dyDescent="0.3">
      <c r="F17531" s="193"/>
    </row>
    <row r="17532" spans="6:6" x14ac:dyDescent="0.3">
      <c r="F17532" s="193"/>
    </row>
    <row r="17533" spans="6:6" x14ac:dyDescent="0.3">
      <c r="F17533" s="193"/>
    </row>
    <row r="17534" spans="6:6" x14ac:dyDescent="0.3">
      <c r="F17534" s="193"/>
    </row>
    <row r="17535" spans="6:6" x14ac:dyDescent="0.3">
      <c r="F17535" s="193"/>
    </row>
    <row r="17536" spans="6:6" x14ac:dyDescent="0.3">
      <c r="F17536" s="193"/>
    </row>
    <row r="17537" spans="6:6" x14ac:dyDescent="0.3">
      <c r="F17537" s="193"/>
    </row>
    <row r="17538" spans="6:6" x14ac:dyDescent="0.3">
      <c r="F17538" s="193"/>
    </row>
    <row r="17539" spans="6:6" x14ac:dyDescent="0.3">
      <c r="F17539" s="193"/>
    </row>
    <row r="17540" spans="6:6" x14ac:dyDescent="0.3">
      <c r="F17540" s="193"/>
    </row>
    <row r="17541" spans="6:6" x14ac:dyDescent="0.3">
      <c r="F17541" s="193"/>
    </row>
    <row r="17542" spans="6:6" x14ac:dyDescent="0.3">
      <c r="F17542" s="193"/>
    </row>
    <row r="17543" spans="6:6" x14ac:dyDescent="0.3">
      <c r="F17543" s="193"/>
    </row>
    <row r="17544" spans="6:6" x14ac:dyDescent="0.3">
      <c r="F17544" s="193"/>
    </row>
    <row r="17545" spans="6:6" x14ac:dyDescent="0.3">
      <c r="F17545" s="193"/>
    </row>
    <row r="17546" spans="6:6" x14ac:dyDescent="0.3">
      <c r="F17546" s="193"/>
    </row>
    <row r="17547" spans="6:6" x14ac:dyDescent="0.3">
      <c r="F17547" s="193"/>
    </row>
    <row r="17548" spans="6:6" x14ac:dyDescent="0.3">
      <c r="F17548" s="193"/>
    </row>
    <row r="17549" spans="6:6" x14ac:dyDescent="0.3">
      <c r="F17549" s="193"/>
    </row>
    <row r="17550" spans="6:6" x14ac:dyDescent="0.3">
      <c r="F17550" s="193"/>
    </row>
    <row r="17551" spans="6:6" x14ac:dyDescent="0.3">
      <c r="F17551" s="193"/>
    </row>
    <row r="17552" spans="6:6" x14ac:dyDescent="0.3">
      <c r="F17552" s="193"/>
    </row>
    <row r="17553" spans="6:6" x14ac:dyDescent="0.3">
      <c r="F17553" s="193"/>
    </row>
    <row r="17554" spans="6:6" x14ac:dyDescent="0.3">
      <c r="F17554" s="193"/>
    </row>
    <row r="17555" spans="6:6" x14ac:dyDescent="0.3">
      <c r="F17555" s="193"/>
    </row>
    <row r="17556" spans="6:6" x14ac:dyDescent="0.3">
      <c r="F17556" s="193"/>
    </row>
    <row r="17557" spans="6:6" x14ac:dyDescent="0.3">
      <c r="F17557" s="193"/>
    </row>
    <row r="17558" spans="6:6" x14ac:dyDescent="0.3">
      <c r="F17558" s="193"/>
    </row>
    <row r="17559" spans="6:6" x14ac:dyDescent="0.3">
      <c r="F17559" s="193"/>
    </row>
    <row r="17560" spans="6:6" x14ac:dyDescent="0.3">
      <c r="F17560" s="193"/>
    </row>
    <row r="17561" spans="6:6" x14ac:dyDescent="0.3">
      <c r="F17561" s="193"/>
    </row>
    <row r="17562" spans="6:6" x14ac:dyDescent="0.3">
      <c r="F17562" s="193"/>
    </row>
    <row r="17563" spans="6:6" x14ac:dyDescent="0.3">
      <c r="F17563" s="193"/>
    </row>
    <row r="17564" spans="6:6" x14ac:dyDescent="0.3">
      <c r="F17564" s="193"/>
    </row>
    <row r="17565" spans="6:6" x14ac:dyDescent="0.3">
      <c r="F17565" s="193"/>
    </row>
    <row r="17566" spans="6:6" x14ac:dyDescent="0.3">
      <c r="F17566" s="193"/>
    </row>
    <row r="17567" spans="6:6" x14ac:dyDescent="0.3">
      <c r="F17567" s="193"/>
    </row>
    <row r="17568" spans="6:6" x14ac:dyDescent="0.3">
      <c r="F17568" s="193"/>
    </row>
    <row r="17569" spans="6:6" x14ac:dyDescent="0.3">
      <c r="F17569" s="193"/>
    </row>
    <row r="17570" spans="6:6" x14ac:dyDescent="0.3">
      <c r="F17570" s="193"/>
    </row>
    <row r="17571" spans="6:6" x14ac:dyDescent="0.3">
      <c r="F17571" s="193"/>
    </row>
    <row r="17572" spans="6:6" x14ac:dyDescent="0.3">
      <c r="F17572" s="193"/>
    </row>
    <row r="17573" spans="6:6" x14ac:dyDescent="0.3">
      <c r="F17573" s="193"/>
    </row>
    <row r="17574" spans="6:6" x14ac:dyDescent="0.3">
      <c r="F17574" s="193"/>
    </row>
    <row r="17575" spans="6:6" x14ac:dyDescent="0.3">
      <c r="F17575" s="193"/>
    </row>
    <row r="17576" spans="6:6" x14ac:dyDescent="0.3">
      <c r="F17576" s="193"/>
    </row>
    <row r="17577" spans="6:6" x14ac:dyDescent="0.3">
      <c r="F17577" s="193"/>
    </row>
    <row r="17578" spans="6:6" x14ac:dyDescent="0.3">
      <c r="F17578" s="193"/>
    </row>
    <row r="17579" spans="6:6" x14ac:dyDescent="0.3">
      <c r="F17579" s="193"/>
    </row>
    <row r="17580" spans="6:6" x14ac:dyDescent="0.3">
      <c r="F17580" s="193"/>
    </row>
    <row r="17581" spans="6:6" x14ac:dyDescent="0.3">
      <c r="F17581" s="193"/>
    </row>
    <row r="17582" spans="6:6" x14ac:dyDescent="0.3">
      <c r="F17582" s="193"/>
    </row>
    <row r="17583" spans="6:6" x14ac:dyDescent="0.3">
      <c r="F17583" s="193"/>
    </row>
    <row r="17584" spans="6:6" x14ac:dyDescent="0.3">
      <c r="F17584" s="193"/>
    </row>
    <row r="17585" spans="6:6" x14ac:dyDescent="0.3">
      <c r="F17585" s="193"/>
    </row>
    <row r="17586" spans="6:6" x14ac:dyDescent="0.3">
      <c r="F17586" s="193"/>
    </row>
    <row r="17587" spans="6:6" x14ac:dyDescent="0.3">
      <c r="F17587" s="193"/>
    </row>
    <row r="17588" spans="6:6" x14ac:dyDescent="0.3">
      <c r="F17588" s="193"/>
    </row>
    <row r="17589" spans="6:6" x14ac:dyDescent="0.3">
      <c r="F17589" s="193"/>
    </row>
    <row r="17590" spans="6:6" x14ac:dyDescent="0.3">
      <c r="F17590" s="193"/>
    </row>
    <row r="17591" spans="6:6" x14ac:dyDescent="0.3">
      <c r="F17591" s="193"/>
    </row>
    <row r="17592" spans="6:6" x14ac:dyDescent="0.3">
      <c r="F17592" s="193"/>
    </row>
    <row r="17593" spans="6:6" x14ac:dyDescent="0.3">
      <c r="F17593" s="193"/>
    </row>
    <row r="17594" spans="6:6" x14ac:dyDescent="0.3">
      <c r="F17594" s="193"/>
    </row>
    <row r="17595" spans="6:6" x14ac:dyDescent="0.3">
      <c r="F17595" s="193"/>
    </row>
    <row r="17596" spans="6:6" x14ac:dyDescent="0.3">
      <c r="F17596" s="193"/>
    </row>
    <row r="17597" spans="6:6" x14ac:dyDescent="0.3">
      <c r="F17597" s="193"/>
    </row>
    <row r="17598" spans="6:6" x14ac:dyDescent="0.3">
      <c r="F17598" s="193"/>
    </row>
    <row r="17599" spans="6:6" x14ac:dyDescent="0.3">
      <c r="F17599" s="193"/>
    </row>
    <row r="17600" spans="6:6" x14ac:dyDescent="0.3">
      <c r="F17600" s="193"/>
    </row>
    <row r="17601" spans="6:6" x14ac:dyDescent="0.3">
      <c r="F17601" s="193"/>
    </row>
    <row r="17602" spans="6:6" x14ac:dyDescent="0.3">
      <c r="F17602" s="193"/>
    </row>
    <row r="17603" spans="6:6" x14ac:dyDescent="0.3">
      <c r="F17603" s="193"/>
    </row>
    <row r="17604" spans="6:6" x14ac:dyDescent="0.3">
      <c r="F17604" s="193"/>
    </row>
    <row r="17605" spans="6:6" x14ac:dyDescent="0.3">
      <c r="F17605" s="193"/>
    </row>
    <row r="17606" spans="6:6" x14ac:dyDescent="0.3">
      <c r="F17606" s="193"/>
    </row>
    <row r="17607" spans="6:6" x14ac:dyDescent="0.3">
      <c r="F17607" s="193"/>
    </row>
    <row r="17608" spans="6:6" x14ac:dyDescent="0.3">
      <c r="F17608" s="193"/>
    </row>
    <row r="17609" spans="6:6" x14ac:dyDescent="0.3">
      <c r="F17609" s="193"/>
    </row>
    <row r="17610" spans="6:6" x14ac:dyDescent="0.3">
      <c r="F17610" s="193"/>
    </row>
    <row r="17611" spans="6:6" x14ac:dyDescent="0.3">
      <c r="F17611" s="193"/>
    </row>
    <row r="17612" spans="6:6" x14ac:dyDescent="0.3">
      <c r="F17612" s="193"/>
    </row>
    <row r="17613" spans="6:6" x14ac:dyDescent="0.3">
      <c r="F17613" s="193"/>
    </row>
    <row r="17614" spans="6:6" x14ac:dyDescent="0.3">
      <c r="F17614" s="193"/>
    </row>
    <row r="17615" spans="6:6" x14ac:dyDescent="0.3">
      <c r="F17615" s="193"/>
    </row>
    <row r="17616" spans="6:6" x14ac:dyDescent="0.3">
      <c r="F17616" s="193"/>
    </row>
    <row r="17617" spans="6:6" x14ac:dyDescent="0.3">
      <c r="F17617" s="193"/>
    </row>
    <row r="17618" spans="6:6" x14ac:dyDescent="0.3">
      <c r="F17618" s="193"/>
    </row>
    <row r="17619" spans="6:6" x14ac:dyDescent="0.3">
      <c r="F17619" s="193"/>
    </row>
    <row r="17620" spans="6:6" x14ac:dyDescent="0.3">
      <c r="F17620" s="193"/>
    </row>
    <row r="17621" spans="6:6" x14ac:dyDescent="0.3">
      <c r="F17621" s="193"/>
    </row>
    <row r="17622" spans="6:6" x14ac:dyDescent="0.3">
      <c r="F17622" s="193"/>
    </row>
    <row r="17623" spans="6:6" x14ac:dyDescent="0.3">
      <c r="F17623" s="193"/>
    </row>
    <row r="17624" spans="6:6" x14ac:dyDescent="0.3">
      <c r="F17624" s="193"/>
    </row>
    <row r="17625" spans="6:6" x14ac:dyDescent="0.3">
      <c r="F17625" s="193"/>
    </row>
    <row r="17626" spans="6:6" x14ac:dyDescent="0.3">
      <c r="F17626" s="193"/>
    </row>
    <row r="17627" spans="6:6" x14ac:dyDescent="0.3">
      <c r="F17627" s="193"/>
    </row>
    <row r="17628" spans="6:6" x14ac:dyDescent="0.3">
      <c r="F17628" s="193"/>
    </row>
    <row r="17629" spans="6:6" x14ac:dyDescent="0.3">
      <c r="F17629" s="193"/>
    </row>
    <row r="17630" spans="6:6" x14ac:dyDescent="0.3">
      <c r="F17630" s="193"/>
    </row>
    <row r="17631" spans="6:6" x14ac:dyDescent="0.3">
      <c r="F17631" s="193"/>
    </row>
    <row r="17632" spans="6:6" x14ac:dyDescent="0.3">
      <c r="F17632" s="193"/>
    </row>
    <row r="17633" spans="6:6" x14ac:dyDescent="0.3">
      <c r="F17633" s="193"/>
    </row>
    <row r="17634" spans="6:6" x14ac:dyDescent="0.3">
      <c r="F17634" s="193"/>
    </row>
    <row r="17635" spans="6:6" x14ac:dyDescent="0.3">
      <c r="F17635" s="193"/>
    </row>
    <row r="17636" spans="6:6" x14ac:dyDescent="0.3">
      <c r="F17636" s="193"/>
    </row>
    <row r="17637" spans="6:6" x14ac:dyDescent="0.3">
      <c r="F17637" s="193"/>
    </row>
    <row r="17638" spans="6:6" x14ac:dyDescent="0.3">
      <c r="F17638" s="193"/>
    </row>
    <row r="17639" spans="6:6" x14ac:dyDescent="0.3">
      <c r="F17639" s="193"/>
    </row>
    <row r="17640" spans="6:6" x14ac:dyDescent="0.3">
      <c r="F17640" s="193"/>
    </row>
    <row r="17641" spans="6:6" x14ac:dyDescent="0.3">
      <c r="F17641" s="193"/>
    </row>
    <row r="17642" spans="6:6" x14ac:dyDescent="0.3">
      <c r="F17642" s="193"/>
    </row>
    <row r="17643" spans="6:6" x14ac:dyDescent="0.3">
      <c r="F17643" s="193"/>
    </row>
    <row r="17644" spans="6:6" x14ac:dyDescent="0.3">
      <c r="F17644" s="193"/>
    </row>
    <row r="17645" spans="6:6" x14ac:dyDescent="0.3">
      <c r="F17645" s="193"/>
    </row>
    <row r="17646" spans="6:6" x14ac:dyDescent="0.3">
      <c r="F17646" s="193"/>
    </row>
    <row r="17647" spans="6:6" x14ac:dyDescent="0.3">
      <c r="F17647" s="193"/>
    </row>
    <row r="17648" spans="6:6" x14ac:dyDescent="0.3">
      <c r="F17648" s="193"/>
    </row>
    <row r="17649" spans="6:6" x14ac:dyDescent="0.3">
      <c r="F17649" s="193"/>
    </row>
    <row r="17650" spans="6:6" x14ac:dyDescent="0.3">
      <c r="F17650" s="193"/>
    </row>
    <row r="17651" spans="6:6" x14ac:dyDescent="0.3">
      <c r="F17651" s="193"/>
    </row>
    <row r="17652" spans="6:6" x14ac:dyDescent="0.3">
      <c r="F17652" s="193"/>
    </row>
    <row r="17653" spans="6:6" x14ac:dyDescent="0.3">
      <c r="F17653" s="193"/>
    </row>
    <row r="17654" spans="6:6" x14ac:dyDescent="0.3">
      <c r="F17654" s="193"/>
    </row>
    <row r="17655" spans="6:6" x14ac:dyDescent="0.3">
      <c r="F17655" s="193"/>
    </row>
    <row r="17656" spans="6:6" x14ac:dyDescent="0.3">
      <c r="F17656" s="193"/>
    </row>
    <row r="17657" spans="6:6" x14ac:dyDescent="0.3">
      <c r="F17657" s="193"/>
    </row>
    <row r="17658" spans="6:6" x14ac:dyDescent="0.3">
      <c r="F17658" s="193"/>
    </row>
    <row r="17659" spans="6:6" x14ac:dyDescent="0.3">
      <c r="F17659" s="193"/>
    </row>
    <row r="17660" spans="6:6" x14ac:dyDescent="0.3">
      <c r="F17660" s="193"/>
    </row>
    <row r="17661" spans="6:6" x14ac:dyDescent="0.3">
      <c r="F17661" s="193"/>
    </row>
    <row r="17662" spans="6:6" x14ac:dyDescent="0.3">
      <c r="F17662" s="193"/>
    </row>
    <row r="17663" spans="6:6" x14ac:dyDescent="0.3">
      <c r="F17663" s="193"/>
    </row>
    <row r="17664" spans="6:6" x14ac:dyDescent="0.3">
      <c r="F17664" s="193"/>
    </row>
    <row r="17665" spans="6:6" x14ac:dyDescent="0.3">
      <c r="F17665" s="193"/>
    </row>
    <row r="17666" spans="6:6" x14ac:dyDescent="0.3">
      <c r="F17666" s="193"/>
    </row>
    <row r="17667" spans="6:6" x14ac:dyDescent="0.3">
      <c r="F17667" s="193"/>
    </row>
    <row r="17668" spans="6:6" x14ac:dyDescent="0.3">
      <c r="F17668" s="193"/>
    </row>
    <row r="17669" spans="6:6" x14ac:dyDescent="0.3">
      <c r="F17669" s="193"/>
    </row>
    <row r="17670" spans="6:6" x14ac:dyDescent="0.3">
      <c r="F17670" s="193"/>
    </row>
    <row r="17671" spans="6:6" x14ac:dyDescent="0.3">
      <c r="F17671" s="193"/>
    </row>
    <row r="17672" spans="6:6" x14ac:dyDescent="0.3">
      <c r="F17672" s="193"/>
    </row>
    <row r="17673" spans="6:6" x14ac:dyDescent="0.3">
      <c r="F17673" s="193"/>
    </row>
    <row r="17674" spans="6:6" x14ac:dyDescent="0.3">
      <c r="F17674" s="193"/>
    </row>
    <row r="17675" spans="6:6" x14ac:dyDescent="0.3">
      <c r="F17675" s="193"/>
    </row>
    <row r="17676" spans="6:6" x14ac:dyDescent="0.3">
      <c r="F17676" s="193"/>
    </row>
    <row r="17677" spans="6:6" x14ac:dyDescent="0.3">
      <c r="F17677" s="193"/>
    </row>
    <row r="17678" spans="6:6" x14ac:dyDescent="0.3">
      <c r="F17678" s="193"/>
    </row>
    <row r="17679" spans="6:6" x14ac:dyDescent="0.3">
      <c r="F17679" s="193"/>
    </row>
    <row r="17680" spans="6:6" x14ac:dyDescent="0.3">
      <c r="F17680" s="193"/>
    </row>
    <row r="17681" spans="6:6" x14ac:dyDescent="0.3">
      <c r="F17681" s="193"/>
    </row>
    <row r="17682" spans="6:6" x14ac:dyDescent="0.3">
      <c r="F17682" s="193"/>
    </row>
    <row r="17683" spans="6:6" x14ac:dyDescent="0.3">
      <c r="F17683" s="193"/>
    </row>
    <row r="17684" spans="6:6" x14ac:dyDescent="0.3">
      <c r="F17684" s="193"/>
    </row>
    <row r="17685" spans="6:6" x14ac:dyDescent="0.3">
      <c r="F17685" s="193"/>
    </row>
    <row r="17686" spans="6:6" x14ac:dyDescent="0.3">
      <c r="F17686" s="193"/>
    </row>
    <row r="17687" spans="6:6" x14ac:dyDescent="0.3">
      <c r="F17687" s="193"/>
    </row>
    <row r="17688" spans="6:6" x14ac:dyDescent="0.3">
      <c r="F17688" s="193"/>
    </row>
    <row r="17689" spans="6:6" x14ac:dyDescent="0.3">
      <c r="F17689" s="193"/>
    </row>
    <row r="17690" spans="6:6" x14ac:dyDescent="0.3">
      <c r="F17690" s="193"/>
    </row>
    <row r="17691" spans="6:6" x14ac:dyDescent="0.3">
      <c r="F17691" s="193"/>
    </row>
    <row r="17692" spans="6:6" x14ac:dyDescent="0.3">
      <c r="F17692" s="193"/>
    </row>
    <row r="17693" spans="6:6" x14ac:dyDescent="0.3">
      <c r="F17693" s="193"/>
    </row>
    <row r="17694" spans="6:6" x14ac:dyDescent="0.3">
      <c r="F17694" s="193"/>
    </row>
    <row r="17695" spans="6:6" x14ac:dyDescent="0.3">
      <c r="F17695" s="193"/>
    </row>
    <row r="17696" spans="6:6" x14ac:dyDescent="0.3">
      <c r="F17696" s="193"/>
    </row>
    <row r="17697" spans="6:6" x14ac:dyDescent="0.3">
      <c r="F17697" s="193"/>
    </row>
    <row r="17698" spans="6:6" x14ac:dyDescent="0.3">
      <c r="F17698" s="193"/>
    </row>
    <row r="17699" spans="6:6" x14ac:dyDescent="0.3">
      <c r="F17699" s="193"/>
    </row>
    <row r="17700" spans="6:6" x14ac:dyDescent="0.3">
      <c r="F17700" s="193"/>
    </row>
    <row r="17701" spans="6:6" x14ac:dyDescent="0.3">
      <c r="F17701" s="193"/>
    </row>
    <row r="17702" spans="6:6" x14ac:dyDescent="0.3">
      <c r="F17702" s="193"/>
    </row>
    <row r="17703" spans="6:6" x14ac:dyDescent="0.3">
      <c r="F17703" s="193"/>
    </row>
    <row r="17704" spans="6:6" x14ac:dyDescent="0.3">
      <c r="F17704" s="193"/>
    </row>
    <row r="17705" spans="6:6" x14ac:dyDescent="0.3">
      <c r="F17705" s="193"/>
    </row>
    <row r="17706" spans="6:6" x14ac:dyDescent="0.3">
      <c r="F17706" s="193"/>
    </row>
    <row r="17707" spans="6:6" x14ac:dyDescent="0.3">
      <c r="F17707" s="193"/>
    </row>
    <row r="17708" spans="6:6" x14ac:dyDescent="0.3">
      <c r="F17708" s="193"/>
    </row>
    <row r="17709" spans="6:6" x14ac:dyDescent="0.3">
      <c r="F17709" s="193"/>
    </row>
    <row r="17710" spans="6:6" x14ac:dyDescent="0.3">
      <c r="F17710" s="193"/>
    </row>
    <row r="17711" spans="6:6" x14ac:dyDescent="0.3">
      <c r="F17711" s="193"/>
    </row>
    <row r="17712" spans="6:6" x14ac:dyDescent="0.3">
      <c r="F17712" s="193"/>
    </row>
    <row r="17713" spans="6:6" x14ac:dyDescent="0.3">
      <c r="F17713" s="193"/>
    </row>
    <row r="17714" spans="6:6" x14ac:dyDescent="0.3">
      <c r="F17714" s="193"/>
    </row>
    <row r="17715" spans="6:6" x14ac:dyDescent="0.3">
      <c r="F17715" s="193"/>
    </row>
    <row r="17716" spans="6:6" x14ac:dyDescent="0.3">
      <c r="F17716" s="193"/>
    </row>
    <row r="17717" spans="6:6" x14ac:dyDescent="0.3">
      <c r="F17717" s="193"/>
    </row>
    <row r="17718" spans="6:6" x14ac:dyDescent="0.3">
      <c r="F17718" s="193"/>
    </row>
    <row r="17719" spans="6:6" x14ac:dyDescent="0.3">
      <c r="F17719" s="193"/>
    </row>
    <row r="17720" spans="6:6" x14ac:dyDescent="0.3">
      <c r="F17720" s="193"/>
    </row>
    <row r="17721" spans="6:6" x14ac:dyDescent="0.3">
      <c r="F17721" s="193"/>
    </row>
    <row r="17722" spans="6:6" x14ac:dyDescent="0.3">
      <c r="F17722" s="193"/>
    </row>
    <row r="17723" spans="6:6" x14ac:dyDescent="0.3">
      <c r="F17723" s="193"/>
    </row>
    <row r="17724" spans="6:6" x14ac:dyDescent="0.3">
      <c r="F17724" s="193"/>
    </row>
    <row r="17725" spans="6:6" x14ac:dyDescent="0.3">
      <c r="F17725" s="193"/>
    </row>
    <row r="17726" spans="6:6" x14ac:dyDescent="0.3">
      <c r="F17726" s="193"/>
    </row>
    <row r="17727" spans="6:6" x14ac:dyDescent="0.3">
      <c r="F17727" s="193"/>
    </row>
    <row r="17728" spans="6:6" x14ac:dyDescent="0.3">
      <c r="F17728" s="193"/>
    </row>
    <row r="17729" spans="6:6" x14ac:dyDescent="0.3">
      <c r="F17729" s="193"/>
    </row>
    <row r="17730" spans="6:6" x14ac:dyDescent="0.3">
      <c r="F17730" s="193"/>
    </row>
    <row r="17731" spans="6:6" x14ac:dyDescent="0.3">
      <c r="F17731" s="193"/>
    </row>
    <row r="17732" spans="6:6" x14ac:dyDescent="0.3">
      <c r="F17732" s="193"/>
    </row>
    <row r="17733" spans="6:6" x14ac:dyDescent="0.3">
      <c r="F17733" s="193"/>
    </row>
    <row r="17734" spans="6:6" x14ac:dyDescent="0.3">
      <c r="F17734" s="193"/>
    </row>
    <row r="17735" spans="6:6" x14ac:dyDescent="0.3">
      <c r="F17735" s="193"/>
    </row>
    <row r="17736" spans="6:6" x14ac:dyDescent="0.3">
      <c r="F17736" s="193"/>
    </row>
    <row r="17737" spans="6:6" x14ac:dyDescent="0.3">
      <c r="F17737" s="193"/>
    </row>
    <row r="17738" spans="6:6" x14ac:dyDescent="0.3">
      <c r="F17738" s="193"/>
    </row>
    <row r="17739" spans="6:6" x14ac:dyDescent="0.3">
      <c r="F17739" s="193"/>
    </row>
    <row r="17740" spans="6:6" x14ac:dyDescent="0.3">
      <c r="F17740" s="193"/>
    </row>
    <row r="17741" spans="6:6" x14ac:dyDescent="0.3">
      <c r="F17741" s="193"/>
    </row>
    <row r="17742" spans="6:6" x14ac:dyDescent="0.3">
      <c r="F17742" s="193"/>
    </row>
    <row r="17743" spans="6:6" x14ac:dyDescent="0.3">
      <c r="F17743" s="193"/>
    </row>
    <row r="17744" spans="6:6" x14ac:dyDescent="0.3">
      <c r="F17744" s="193"/>
    </row>
    <row r="17745" spans="6:6" x14ac:dyDescent="0.3">
      <c r="F17745" s="193"/>
    </row>
    <row r="17746" spans="6:6" x14ac:dyDescent="0.3">
      <c r="F17746" s="193"/>
    </row>
    <row r="17747" spans="6:6" x14ac:dyDescent="0.3">
      <c r="F17747" s="193"/>
    </row>
    <row r="17748" spans="6:6" x14ac:dyDescent="0.3">
      <c r="F17748" s="193"/>
    </row>
    <row r="17749" spans="6:6" x14ac:dyDescent="0.3">
      <c r="F17749" s="193"/>
    </row>
    <row r="17750" spans="6:6" x14ac:dyDescent="0.3">
      <c r="F17750" s="193"/>
    </row>
    <row r="17751" spans="6:6" x14ac:dyDescent="0.3">
      <c r="F17751" s="193"/>
    </row>
    <row r="17752" spans="6:6" x14ac:dyDescent="0.3">
      <c r="F17752" s="193"/>
    </row>
    <row r="17753" spans="6:6" x14ac:dyDescent="0.3">
      <c r="F17753" s="193"/>
    </row>
    <row r="17754" spans="6:6" x14ac:dyDescent="0.3">
      <c r="F17754" s="193"/>
    </row>
    <row r="17755" spans="6:6" x14ac:dyDescent="0.3">
      <c r="F17755" s="193"/>
    </row>
    <row r="17756" spans="6:6" x14ac:dyDescent="0.3">
      <c r="F17756" s="193"/>
    </row>
    <row r="17757" spans="6:6" x14ac:dyDescent="0.3">
      <c r="F17757" s="193"/>
    </row>
    <row r="17758" spans="6:6" x14ac:dyDescent="0.3">
      <c r="F17758" s="193"/>
    </row>
    <row r="17759" spans="6:6" x14ac:dyDescent="0.3">
      <c r="F17759" s="193"/>
    </row>
    <row r="17760" spans="6:6" x14ac:dyDescent="0.3">
      <c r="F17760" s="193"/>
    </row>
    <row r="17761" spans="6:6" x14ac:dyDescent="0.3">
      <c r="F17761" s="193"/>
    </row>
    <row r="17762" spans="6:6" x14ac:dyDescent="0.3">
      <c r="F17762" s="193"/>
    </row>
    <row r="17763" spans="6:6" x14ac:dyDescent="0.3">
      <c r="F17763" s="193"/>
    </row>
    <row r="17764" spans="6:6" x14ac:dyDescent="0.3">
      <c r="F17764" s="193"/>
    </row>
    <row r="17765" spans="6:6" x14ac:dyDescent="0.3">
      <c r="F17765" s="193"/>
    </row>
    <row r="17766" spans="6:6" x14ac:dyDescent="0.3">
      <c r="F17766" s="193"/>
    </row>
    <row r="17767" spans="6:6" x14ac:dyDescent="0.3">
      <c r="F17767" s="193"/>
    </row>
    <row r="17768" spans="6:6" x14ac:dyDescent="0.3">
      <c r="F17768" s="193"/>
    </row>
    <row r="17769" spans="6:6" x14ac:dyDescent="0.3">
      <c r="F17769" s="193"/>
    </row>
    <row r="17770" spans="6:6" x14ac:dyDescent="0.3">
      <c r="F17770" s="193"/>
    </row>
    <row r="17771" spans="6:6" x14ac:dyDescent="0.3">
      <c r="F17771" s="193"/>
    </row>
    <row r="17772" spans="6:6" x14ac:dyDescent="0.3">
      <c r="F17772" s="193"/>
    </row>
    <row r="17773" spans="6:6" x14ac:dyDescent="0.3">
      <c r="F17773" s="193"/>
    </row>
    <row r="17774" spans="6:6" x14ac:dyDescent="0.3">
      <c r="F17774" s="193"/>
    </row>
    <row r="17775" spans="6:6" x14ac:dyDescent="0.3">
      <c r="F17775" s="193"/>
    </row>
    <row r="17776" spans="6:6" x14ac:dyDescent="0.3">
      <c r="F17776" s="193"/>
    </row>
    <row r="17777" spans="6:6" x14ac:dyDescent="0.3">
      <c r="F17777" s="193"/>
    </row>
    <row r="17778" spans="6:6" x14ac:dyDescent="0.3">
      <c r="F17778" s="193"/>
    </row>
    <row r="17779" spans="6:6" x14ac:dyDescent="0.3">
      <c r="F17779" s="193"/>
    </row>
    <row r="17780" spans="6:6" x14ac:dyDescent="0.3">
      <c r="F17780" s="193"/>
    </row>
    <row r="17781" spans="6:6" x14ac:dyDescent="0.3">
      <c r="F17781" s="193"/>
    </row>
    <row r="17782" spans="6:6" x14ac:dyDescent="0.3">
      <c r="F17782" s="193"/>
    </row>
    <row r="17783" spans="6:6" x14ac:dyDescent="0.3">
      <c r="F17783" s="193"/>
    </row>
    <row r="17784" spans="6:6" x14ac:dyDescent="0.3">
      <c r="F17784" s="193"/>
    </row>
    <row r="17785" spans="6:6" x14ac:dyDescent="0.3">
      <c r="F17785" s="193"/>
    </row>
    <row r="17786" spans="6:6" x14ac:dyDescent="0.3">
      <c r="F17786" s="193"/>
    </row>
    <row r="17787" spans="6:6" x14ac:dyDescent="0.3">
      <c r="F17787" s="193"/>
    </row>
    <row r="17788" spans="6:6" x14ac:dyDescent="0.3">
      <c r="F17788" s="193"/>
    </row>
    <row r="17789" spans="6:6" x14ac:dyDescent="0.3">
      <c r="F17789" s="193"/>
    </row>
    <row r="17790" spans="6:6" x14ac:dyDescent="0.3">
      <c r="F17790" s="193"/>
    </row>
    <row r="17791" spans="6:6" x14ac:dyDescent="0.3">
      <c r="F17791" s="193"/>
    </row>
    <row r="17792" spans="6:6" x14ac:dyDescent="0.3">
      <c r="F17792" s="193"/>
    </row>
    <row r="17793" spans="6:6" x14ac:dyDescent="0.3">
      <c r="F17793" s="193"/>
    </row>
    <row r="17794" spans="6:6" x14ac:dyDescent="0.3">
      <c r="F17794" s="193"/>
    </row>
    <row r="17795" spans="6:6" x14ac:dyDescent="0.3">
      <c r="F17795" s="193"/>
    </row>
    <row r="17796" spans="6:6" x14ac:dyDescent="0.3">
      <c r="F17796" s="193"/>
    </row>
    <row r="17797" spans="6:6" x14ac:dyDescent="0.3">
      <c r="F17797" s="193"/>
    </row>
    <row r="17798" spans="6:6" x14ac:dyDescent="0.3">
      <c r="F17798" s="193"/>
    </row>
    <row r="17799" spans="6:6" x14ac:dyDescent="0.3">
      <c r="F17799" s="193"/>
    </row>
    <row r="17800" spans="6:6" x14ac:dyDescent="0.3">
      <c r="F17800" s="193"/>
    </row>
    <row r="17801" spans="6:6" x14ac:dyDescent="0.3">
      <c r="F17801" s="193"/>
    </row>
    <row r="17802" spans="6:6" x14ac:dyDescent="0.3">
      <c r="F17802" s="193"/>
    </row>
    <row r="17803" spans="6:6" x14ac:dyDescent="0.3">
      <c r="F17803" s="193"/>
    </row>
    <row r="17804" spans="6:6" x14ac:dyDescent="0.3">
      <c r="F17804" s="193"/>
    </row>
    <row r="17805" spans="6:6" x14ac:dyDescent="0.3">
      <c r="F17805" s="193"/>
    </row>
    <row r="17806" spans="6:6" x14ac:dyDescent="0.3">
      <c r="F17806" s="193"/>
    </row>
    <row r="17807" spans="6:6" x14ac:dyDescent="0.3">
      <c r="F17807" s="193"/>
    </row>
    <row r="17808" spans="6:6" x14ac:dyDescent="0.3">
      <c r="F17808" s="193"/>
    </row>
    <row r="17809" spans="6:6" x14ac:dyDescent="0.3">
      <c r="F17809" s="193"/>
    </row>
    <row r="17810" spans="6:6" x14ac:dyDescent="0.3">
      <c r="F17810" s="193"/>
    </row>
    <row r="17811" spans="6:6" x14ac:dyDescent="0.3">
      <c r="F17811" s="193"/>
    </row>
    <row r="17812" spans="6:6" x14ac:dyDescent="0.3">
      <c r="F17812" s="193"/>
    </row>
    <row r="17813" spans="6:6" x14ac:dyDescent="0.3">
      <c r="F17813" s="193"/>
    </row>
    <row r="17814" spans="6:6" x14ac:dyDescent="0.3">
      <c r="F17814" s="193"/>
    </row>
    <row r="17815" spans="6:6" x14ac:dyDescent="0.3">
      <c r="F17815" s="193"/>
    </row>
    <row r="17816" spans="6:6" x14ac:dyDescent="0.3">
      <c r="F17816" s="193"/>
    </row>
    <row r="17817" spans="6:6" x14ac:dyDescent="0.3">
      <c r="F17817" s="193"/>
    </row>
    <row r="17818" spans="6:6" x14ac:dyDescent="0.3">
      <c r="F17818" s="193"/>
    </row>
    <row r="17819" spans="6:6" x14ac:dyDescent="0.3">
      <c r="F17819" s="193"/>
    </row>
    <row r="17820" spans="6:6" x14ac:dyDescent="0.3">
      <c r="F17820" s="193"/>
    </row>
    <row r="17821" spans="6:6" x14ac:dyDescent="0.3">
      <c r="F17821" s="193"/>
    </row>
    <row r="17822" spans="6:6" x14ac:dyDescent="0.3">
      <c r="F17822" s="193"/>
    </row>
    <row r="17823" spans="6:6" x14ac:dyDescent="0.3">
      <c r="F17823" s="193"/>
    </row>
    <row r="17824" spans="6:6" x14ac:dyDescent="0.3">
      <c r="F17824" s="193"/>
    </row>
    <row r="17825" spans="6:6" x14ac:dyDescent="0.3">
      <c r="F17825" s="193"/>
    </row>
    <row r="17826" spans="6:6" x14ac:dyDescent="0.3">
      <c r="F17826" s="193"/>
    </row>
    <row r="17827" spans="6:6" x14ac:dyDescent="0.3">
      <c r="F17827" s="193"/>
    </row>
    <row r="17828" spans="6:6" x14ac:dyDescent="0.3">
      <c r="F17828" s="193"/>
    </row>
    <row r="17829" spans="6:6" x14ac:dyDescent="0.3">
      <c r="F17829" s="193"/>
    </row>
    <row r="17830" spans="6:6" x14ac:dyDescent="0.3">
      <c r="F17830" s="193"/>
    </row>
    <row r="17831" spans="6:6" x14ac:dyDescent="0.3">
      <c r="F17831" s="193"/>
    </row>
    <row r="17832" spans="6:6" x14ac:dyDescent="0.3">
      <c r="F17832" s="193"/>
    </row>
    <row r="17833" spans="6:6" x14ac:dyDescent="0.3">
      <c r="F17833" s="193"/>
    </row>
    <row r="17834" spans="6:6" x14ac:dyDescent="0.3">
      <c r="F17834" s="193"/>
    </row>
    <row r="17835" spans="6:6" x14ac:dyDescent="0.3">
      <c r="F17835" s="193"/>
    </row>
    <row r="17836" spans="6:6" x14ac:dyDescent="0.3">
      <c r="F17836" s="193"/>
    </row>
    <row r="17837" spans="6:6" x14ac:dyDescent="0.3">
      <c r="F17837" s="193"/>
    </row>
    <row r="17838" spans="6:6" x14ac:dyDescent="0.3">
      <c r="F17838" s="193"/>
    </row>
    <row r="17839" spans="6:6" x14ac:dyDescent="0.3">
      <c r="F17839" s="193"/>
    </row>
    <row r="17840" spans="6:6" x14ac:dyDescent="0.3">
      <c r="F17840" s="193"/>
    </row>
    <row r="17841" spans="6:6" x14ac:dyDescent="0.3">
      <c r="F17841" s="193"/>
    </row>
    <row r="17842" spans="6:6" x14ac:dyDescent="0.3">
      <c r="F17842" s="193"/>
    </row>
    <row r="17843" spans="6:6" x14ac:dyDescent="0.3">
      <c r="F17843" s="193"/>
    </row>
    <row r="17844" spans="6:6" x14ac:dyDescent="0.3">
      <c r="F17844" s="193"/>
    </row>
    <row r="17845" spans="6:6" x14ac:dyDescent="0.3">
      <c r="F17845" s="193"/>
    </row>
    <row r="17846" spans="6:6" x14ac:dyDescent="0.3">
      <c r="F17846" s="193"/>
    </row>
    <row r="17847" spans="6:6" x14ac:dyDescent="0.3">
      <c r="F17847" s="193"/>
    </row>
    <row r="17848" spans="6:6" x14ac:dyDescent="0.3">
      <c r="F17848" s="193"/>
    </row>
    <row r="17849" spans="6:6" x14ac:dyDescent="0.3">
      <c r="F17849" s="193"/>
    </row>
    <row r="17850" spans="6:6" x14ac:dyDescent="0.3">
      <c r="F17850" s="193"/>
    </row>
    <row r="17851" spans="6:6" x14ac:dyDescent="0.3">
      <c r="F17851" s="193"/>
    </row>
    <row r="17852" spans="6:6" x14ac:dyDescent="0.3">
      <c r="F17852" s="193"/>
    </row>
    <row r="17853" spans="6:6" x14ac:dyDescent="0.3">
      <c r="F17853" s="193"/>
    </row>
    <row r="17854" spans="6:6" x14ac:dyDescent="0.3">
      <c r="F17854" s="193"/>
    </row>
    <row r="17855" spans="6:6" x14ac:dyDescent="0.3">
      <c r="F17855" s="193"/>
    </row>
    <row r="17856" spans="6:6" x14ac:dyDescent="0.3">
      <c r="F17856" s="193"/>
    </row>
    <row r="17857" spans="6:6" x14ac:dyDescent="0.3">
      <c r="F17857" s="193"/>
    </row>
    <row r="17858" spans="6:6" x14ac:dyDescent="0.3">
      <c r="F17858" s="193"/>
    </row>
    <row r="17859" spans="6:6" x14ac:dyDescent="0.3">
      <c r="F17859" s="193"/>
    </row>
    <row r="17860" spans="6:6" x14ac:dyDescent="0.3">
      <c r="F17860" s="193"/>
    </row>
    <row r="17861" spans="6:6" x14ac:dyDescent="0.3">
      <c r="F17861" s="193"/>
    </row>
    <row r="17862" spans="6:6" x14ac:dyDescent="0.3">
      <c r="F17862" s="193"/>
    </row>
    <row r="17863" spans="6:6" x14ac:dyDescent="0.3">
      <c r="F17863" s="193"/>
    </row>
    <row r="17864" spans="6:6" x14ac:dyDescent="0.3">
      <c r="F17864" s="193"/>
    </row>
    <row r="17865" spans="6:6" x14ac:dyDescent="0.3">
      <c r="F17865" s="193"/>
    </row>
    <row r="17866" spans="6:6" x14ac:dyDescent="0.3">
      <c r="F17866" s="193"/>
    </row>
    <row r="17867" spans="6:6" x14ac:dyDescent="0.3">
      <c r="F17867" s="193"/>
    </row>
    <row r="17868" spans="6:6" x14ac:dyDescent="0.3">
      <c r="F17868" s="193"/>
    </row>
    <row r="17869" spans="6:6" x14ac:dyDescent="0.3">
      <c r="F17869" s="193"/>
    </row>
    <row r="17870" spans="6:6" x14ac:dyDescent="0.3">
      <c r="F17870" s="193"/>
    </row>
    <row r="17871" spans="6:6" x14ac:dyDescent="0.3">
      <c r="F17871" s="193"/>
    </row>
    <row r="17872" spans="6:6" x14ac:dyDescent="0.3">
      <c r="F17872" s="193"/>
    </row>
    <row r="17873" spans="6:6" x14ac:dyDescent="0.3">
      <c r="F17873" s="193"/>
    </row>
    <row r="17874" spans="6:6" x14ac:dyDescent="0.3">
      <c r="F17874" s="193"/>
    </row>
    <row r="17875" spans="6:6" x14ac:dyDescent="0.3">
      <c r="F17875" s="193"/>
    </row>
    <row r="17876" spans="6:6" x14ac:dyDescent="0.3">
      <c r="F17876" s="193"/>
    </row>
    <row r="17877" spans="6:6" x14ac:dyDescent="0.3">
      <c r="F17877" s="193"/>
    </row>
    <row r="17878" spans="6:6" x14ac:dyDescent="0.3">
      <c r="F17878" s="193"/>
    </row>
    <row r="17879" spans="6:6" x14ac:dyDescent="0.3">
      <c r="F17879" s="193"/>
    </row>
    <row r="17880" spans="6:6" x14ac:dyDescent="0.3">
      <c r="F17880" s="193"/>
    </row>
    <row r="17881" spans="6:6" x14ac:dyDescent="0.3">
      <c r="F17881" s="193"/>
    </row>
    <row r="17882" spans="6:6" x14ac:dyDescent="0.3">
      <c r="F17882" s="193"/>
    </row>
    <row r="17883" spans="6:6" x14ac:dyDescent="0.3">
      <c r="F17883" s="193"/>
    </row>
    <row r="17884" spans="6:6" x14ac:dyDescent="0.3">
      <c r="F17884" s="193"/>
    </row>
    <row r="17885" spans="6:6" x14ac:dyDescent="0.3">
      <c r="F17885" s="193"/>
    </row>
    <row r="17886" spans="6:6" x14ac:dyDescent="0.3">
      <c r="F17886" s="193"/>
    </row>
    <row r="17887" spans="6:6" x14ac:dyDescent="0.3">
      <c r="F17887" s="193"/>
    </row>
    <row r="17888" spans="6:6" x14ac:dyDescent="0.3">
      <c r="F17888" s="193"/>
    </row>
    <row r="17889" spans="6:6" x14ac:dyDescent="0.3">
      <c r="F17889" s="193"/>
    </row>
    <row r="17890" spans="6:6" x14ac:dyDescent="0.3">
      <c r="F17890" s="193"/>
    </row>
    <row r="17891" spans="6:6" x14ac:dyDescent="0.3">
      <c r="F17891" s="193"/>
    </row>
    <row r="17892" spans="6:6" x14ac:dyDescent="0.3">
      <c r="F17892" s="193"/>
    </row>
    <row r="17893" spans="6:6" x14ac:dyDescent="0.3">
      <c r="F17893" s="193"/>
    </row>
    <row r="17894" spans="6:6" x14ac:dyDescent="0.3">
      <c r="F17894" s="193"/>
    </row>
    <row r="17895" spans="6:6" x14ac:dyDescent="0.3">
      <c r="F17895" s="193"/>
    </row>
    <row r="17896" spans="6:6" x14ac:dyDescent="0.3">
      <c r="F17896" s="193"/>
    </row>
    <row r="17897" spans="6:6" x14ac:dyDescent="0.3">
      <c r="F17897" s="193"/>
    </row>
    <row r="17898" spans="6:6" x14ac:dyDescent="0.3">
      <c r="F17898" s="193"/>
    </row>
    <row r="17899" spans="6:6" x14ac:dyDescent="0.3">
      <c r="F17899" s="193"/>
    </row>
    <row r="17900" spans="6:6" x14ac:dyDescent="0.3">
      <c r="F17900" s="193"/>
    </row>
    <row r="17901" spans="6:6" x14ac:dyDescent="0.3">
      <c r="F17901" s="193"/>
    </row>
    <row r="17902" spans="6:6" x14ac:dyDescent="0.3">
      <c r="F17902" s="193"/>
    </row>
    <row r="17903" spans="6:6" x14ac:dyDescent="0.3">
      <c r="F17903" s="193"/>
    </row>
    <row r="17904" spans="6:6" x14ac:dyDescent="0.3">
      <c r="F17904" s="193"/>
    </row>
    <row r="17905" spans="6:6" x14ac:dyDescent="0.3">
      <c r="F17905" s="193"/>
    </row>
    <row r="17906" spans="6:6" x14ac:dyDescent="0.3">
      <c r="F17906" s="193"/>
    </row>
    <row r="17907" spans="6:6" x14ac:dyDescent="0.3">
      <c r="F17907" s="193"/>
    </row>
    <row r="17908" spans="6:6" x14ac:dyDescent="0.3">
      <c r="F17908" s="193"/>
    </row>
    <row r="17909" spans="6:6" x14ac:dyDescent="0.3">
      <c r="F17909" s="193"/>
    </row>
    <row r="17910" spans="6:6" x14ac:dyDescent="0.3">
      <c r="F17910" s="193"/>
    </row>
    <row r="17911" spans="6:6" x14ac:dyDescent="0.3">
      <c r="F17911" s="193"/>
    </row>
    <row r="17912" spans="6:6" x14ac:dyDescent="0.3">
      <c r="F17912" s="193"/>
    </row>
    <row r="17913" spans="6:6" x14ac:dyDescent="0.3">
      <c r="F17913" s="193"/>
    </row>
    <row r="17914" spans="6:6" x14ac:dyDescent="0.3">
      <c r="F17914" s="193"/>
    </row>
    <row r="17915" spans="6:6" x14ac:dyDescent="0.3">
      <c r="F17915" s="193"/>
    </row>
    <row r="17916" spans="6:6" x14ac:dyDescent="0.3">
      <c r="F17916" s="193"/>
    </row>
    <row r="17917" spans="6:6" x14ac:dyDescent="0.3">
      <c r="F17917" s="193"/>
    </row>
    <row r="17918" spans="6:6" x14ac:dyDescent="0.3">
      <c r="F17918" s="193"/>
    </row>
    <row r="17919" spans="6:6" x14ac:dyDescent="0.3">
      <c r="F17919" s="193"/>
    </row>
    <row r="17920" spans="6:6" x14ac:dyDescent="0.3">
      <c r="F17920" s="193"/>
    </row>
    <row r="17921" spans="6:6" x14ac:dyDescent="0.3">
      <c r="F17921" s="193"/>
    </row>
    <row r="17922" spans="6:6" x14ac:dyDescent="0.3">
      <c r="F17922" s="193"/>
    </row>
    <row r="17923" spans="6:6" x14ac:dyDescent="0.3">
      <c r="F17923" s="193"/>
    </row>
    <row r="17924" spans="6:6" x14ac:dyDescent="0.3">
      <c r="F17924" s="193"/>
    </row>
    <row r="17925" spans="6:6" x14ac:dyDescent="0.3">
      <c r="F17925" s="193"/>
    </row>
    <row r="17926" spans="6:6" x14ac:dyDescent="0.3">
      <c r="F17926" s="193"/>
    </row>
    <row r="17927" spans="6:6" x14ac:dyDescent="0.3">
      <c r="F17927" s="193"/>
    </row>
    <row r="17928" spans="6:6" x14ac:dyDescent="0.3">
      <c r="F17928" s="193"/>
    </row>
    <row r="17929" spans="6:6" x14ac:dyDescent="0.3">
      <c r="F17929" s="193"/>
    </row>
    <row r="17930" spans="6:6" x14ac:dyDescent="0.3">
      <c r="F17930" s="193"/>
    </row>
    <row r="17931" spans="6:6" x14ac:dyDescent="0.3">
      <c r="F17931" s="193"/>
    </row>
    <row r="17932" spans="6:6" x14ac:dyDescent="0.3">
      <c r="F17932" s="193"/>
    </row>
    <row r="17933" spans="6:6" x14ac:dyDescent="0.3">
      <c r="F17933" s="193"/>
    </row>
    <row r="17934" spans="6:6" x14ac:dyDescent="0.3">
      <c r="F17934" s="193"/>
    </row>
    <row r="17935" spans="6:6" x14ac:dyDescent="0.3">
      <c r="F17935" s="193"/>
    </row>
    <row r="17936" spans="6:6" x14ac:dyDescent="0.3">
      <c r="F17936" s="193"/>
    </row>
    <row r="17937" spans="6:6" x14ac:dyDescent="0.3">
      <c r="F17937" s="193"/>
    </row>
    <row r="17938" spans="6:6" x14ac:dyDescent="0.3">
      <c r="F17938" s="193"/>
    </row>
    <row r="17939" spans="6:6" x14ac:dyDescent="0.3">
      <c r="F17939" s="193"/>
    </row>
    <row r="17940" spans="6:6" x14ac:dyDescent="0.3">
      <c r="F17940" s="193"/>
    </row>
    <row r="17941" spans="6:6" x14ac:dyDescent="0.3">
      <c r="F17941" s="193"/>
    </row>
    <row r="17942" spans="6:6" x14ac:dyDescent="0.3">
      <c r="F17942" s="193"/>
    </row>
    <row r="17943" spans="6:6" x14ac:dyDescent="0.3">
      <c r="F17943" s="193"/>
    </row>
    <row r="17944" spans="6:6" x14ac:dyDescent="0.3">
      <c r="F17944" s="193"/>
    </row>
    <row r="17945" spans="6:6" x14ac:dyDescent="0.3">
      <c r="F17945" s="193"/>
    </row>
    <row r="17946" spans="6:6" x14ac:dyDescent="0.3">
      <c r="F17946" s="193"/>
    </row>
    <row r="17947" spans="6:6" x14ac:dyDescent="0.3">
      <c r="F17947" s="193"/>
    </row>
    <row r="17948" spans="6:6" x14ac:dyDescent="0.3">
      <c r="F17948" s="193"/>
    </row>
    <row r="17949" spans="6:6" x14ac:dyDescent="0.3">
      <c r="F17949" s="193"/>
    </row>
    <row r="17950" spans="6:6" x14ac:dyDescent="0.3">
      <c r="F17950" s="193"/>
    </row>
    <row r="17951" spans="6:6" x14ac:dyDescent="0.3">
      <c r="F17951" s="193"/>
    </row>
    <row r="17952" spans="6:6" x14ac:dyDescent="0.3">
      <c r="F17952" s="193"/>
    </row>
    <row r="17953" spans="6:6" x14ac:dyDescent="0.3">
      <c r="F17953" s="193"/>
    </row>
    <row r="17954" spans="6:6" x14ac:dyDescent="0.3">
      <c r="F17954" s="193"/>
    </row>
    <row r="17955" spans="6:6" x14ac:dyDescent="0.3">
      <c r="F17955" s="193"/>
    </row>
    <row r="17956" spans="6:6" x14ac:dyDescent="0.3">
      <c r="F17956" s="193"/>
    </row>
    <row r="17957" spans="6:6" x14ac:dyDescent="0.3">
      <c r="F17957" s="193"/>
    </row>
    <row r="17958" spans="6:6" x14ac:dyDescent="0.3">
      <c r="F17958" s="193"/>
    </row>
    <row r="17959" spans="6:6" x14ac:dyDescent="0.3">
      <c r="F17959" s="193"/>
    </row>
    <row r="17960" spans="6:6" x14ac:dyDescent="0.3">
      <c r="F17960" s="193"/>
    </row>
    <row r="17961" spans="6:6" x14ac:dyDescent="0.3">
      <c r="F17961" s="193"/>
    </row>
    <row r="17962" spans="6:6" x14ac:dyDescent="0.3">
      <c r="F17962" s="193"/>
    </row>
    <row r="17963" spans="6:6" x14ac:dyDescent="0.3">
      <c r="F17963" s="193"/>
    </row>
    <row r="17964" spans="6:6" x14ac:dyDescent="0.3">
      <c r="F17964" s="193"/>
    </row>
    <row r="17965" spans="6:6" x14ac:dyDescent="0.3">
      <c r="F17965" s="193"/>
    </row>
    <row r="17966" spans="6:6" x14ac:dyDescent="0.3">
      <c r="F17966" s="193"/>
    </row>
    <row r="17967" spans="6:6" x14ac:dyDescent="0.3">
      <c r="F17967" s="193"/>
    </row>
    <row r="17968" spans="6:6" x14ac:dyDescent="0.3">
      <c r="F17968" s="193"/>
    </row>
    <row r="17969" spans="6:6" x14ac:dyDescent="0.3">
      <c r="F17969" s="193"/>
    </row>
    <row r="17970" spans="6:6" x14ac:dyDescent="0.3">
      <c r="F17970" s="193"/>
    </row>
    <row r="17971" spans="6:6" x14ac:dyDescent="0.3">
      <c r="F17971" s="193"/>
    </row>
    <row r="17972" spans="6:6" x14ac:dyDescent="0.3">
      <c r="F17972" s="193"/>
    </row>
    <row r="17973" spans="6:6" x14ac:dyDescent="0.3">
      <c r="F17973" s="193"/>
    </row>
    <row r="17974" spans="6:6" x14ac:dyDescent="0.3">
      <c r="F17974" s="193"/>
    </row>
    <row r="17975" spans="6:6" x14ac:dyDescent="0.3">
      <c r="F17975" s="193"/>
    </row>
    <row r="17976" spans="6:6" x14ac:dyDescent="0.3">
      <c r="F17976" s="193"/>
    </row>
    <row r="17977" spans="6:6" x14ac:dyDescent="0.3">
      <c r="F17977" s="193"/>
    </row>
    <row r="17978" spans="6:6" x14ac:dyDescent="0.3">
      <c r="F17978" s="193"/>
    </row>
    <row r="17979" spans="6:6" x14ac:dyDescent="0.3">
      <c r="F17979" s="193"/>
    </row>
    <row r="17980" spans="6:6" x14ac:dyDescent="0.3">
      <c r="F17980" s="193"/>
    </row>
    <row r="17981" spans="6:6" x14ac:dyDescent="0.3">
      <c r="F17981" s="193"/>
    </row>
    <row r="17982" spans="6:6" x14ac:dyDescent="0.3">
      <c r="F17982" s="193"/>
    </row>
    <row r="17983" spans="6:6" x14ac:dyDescent="0.3">
      <c r="F17983" s="193"/>
    </row>
    <row r="17984" spans="6:6" x14ac:dyDescent="0.3">
      <c r="F17984" s="193"/>
    </row>
    <row r="17985" spans="6:6" x14ac:dyDescent="0.3">
      <c r="F17985" s="193"/>
    </row>
    <row r="17986" spans="6:6" x14ac:dyDescent="0.3">
      <c r="F17986" s="193"/>
    </row>
    <row r="17987" spans="6:6" x14ac:dyDescent="0.3">
      <c r="F17987" s="193"/>
    </row>
    <row r="17988" spans="6:6" x14ac:dyDescent="0.3">
      <c r="F17988" s="193"/>
    </row>
    <row r="17989" spans="6:6" x14ac:dyDescent="0.3">
      <c r="F17989" s="193"/>
    </row>
    <row r="17990" spans="6:6" x14ac:dyDescent="0.3">
      <c r="F17990" s="193"/>
    </row>
    <row r="17991" spans="6:6" x14ac:dyDescent="0.3">
      <c r="F17991" s="193"/>
    </row>
    <row r="17992" spans="6:6" x14ac:dyDescent="0.3">
      <c r="F17992" s="193"/>
    </row>
    <row r="17993" spans="6:6" x14ac:dyDescent="0.3">
      <c r="F17993" s="193"/>
    </row>
    <row r="17994" spans="6:6" x14ac:dyDescent="0.3">
      <c r="F17994" s="193"/>
    </row>
    <row r="17995" spans="6:6" x14ac:dyDescent="0.3">
      <c r="F17995" s="193"/>
    </row>
    <row r="17996" spans="6:6" x14ac:dyDescent="0.3">
      <c r="F17996" s="193"/>
    </row>
    <row r="17997" spans="6:6" x14ac:dyDescent="0.3">
      <c r="F17997" s="193"/>
    </row>
    <row r="17998" spans="6:6" x14ac:dyDescent="0.3">
      <c r="F17998" s="193"/>
    </row>
    <row r="17999" spans="6:6" x14ac:dyDescent="0.3">
      <c r="F17999" s="193"/>
    </row>
    <row r="18000" spans="6:6" x14ac:dyDescent="0.3">
      <c r="F18000" s="193"/>
    </row>
    <row r="18001" spans="6:6" x14ac:dyDescent="0.3">
      <c r="F18001" s="193"/>
    </row>
    <row r="18002" spans="6:6" x14ac:dyDescent="0.3">
      <c r="F18002" s="193"/>
    </row>
    <row r="18003" spans="6:6" x14ac:dyDescent="0.3">
      <c r="F18003" s="193"/>
    </row>
    <row r="18004" spans="6:6" x14ac:dyDescent="0.3">
      <c r="F18004" s="193"/>
    </row>
    <row r="18005" spans="6:6" x14ac:dyDescent="0.3">
      <c r="F18005" s="193"/>
    </row>
    <row r="18006" spans="6:6" x14ac:dyDescent="0.3">
      <c r="F18006" s="193"/>
    </row>
    <row r="18007" spans="6:6" x14ac:dyDescent="0.3">
      <c r="F18007" s="193"/>
    </row>
    <row r="18008" spans="6:6" x14ac:dyDescent="0.3">
      <c r="F18008" s="193"/>
    </row>
    <row r="18009" spans="6:6" x14ac:dyDescent="0.3">
      <c r="F18009" s="193"/>
    </row>
    <row r="18010" spans="6:6" x14ac:dyDescent="0.3">
      <c r="F18010" s="193"/>
    </row>
    <row r="18011" spans="6:6" x14ac:dyDescent="0.3">
      <c r="F18011" s="193"/>
    </row>
    <row r="18012" spans="6:6" x14ac:dyDescent="0.3">
      <c r="F18012" s="193"/>
    </row>
    <row r="18013" spans="6:6" x14ac:dyDescent="0.3">
      <c r="F18013" s="193"/>
    </row>
    <row r="18014" spans="6:6" x14ac:dyDescent="0.3">
      <c r="F18014" s="193"/>
    </row>
    <row r="18015" spans="6:6" x14ac:dyDescent="0.3">
      <c r="F18015" s="193"/>
    </row>
    <row r="18016" spans="6:6" x14ac:dyDescent="0.3">
      <c r="F18016" s="193"/>
    </row>
    <row r="18017" spans="6:6" x14ac:dyDescent="0.3">
      <c r="F18017" s="193"/>
    </row>
    <row r="18018" spans="6:6" x14ac:dyDescent="0.3">
      <c r="F18018" s="193"/>
    </row>
    <row r="18019" spans="6:6" x14ac:dyDescent="0.3">
      <c r="F18019" s="193"/>
    </row>
    <row r="18020" spans="6:6" x14ac:dyDescent="0.3">
      <c r="F18020" s="193"/>
    </row>
    <row r="18021" spans="6:6" x14ac:dyDescent="0.3">
      <c r="F18021" s="193"/>
    </row>
    <row r="18022" spans="6:6" x14ac:dyDescent="0.3">
      <c r="F18022" s="193"/>
    </row>
    <row r="18023" spans="6:6" x14ac:dyDescent="0.3">
      <c r="F18023" s="193"/>
    </row>
    <row r="18024" spans="6:6" x14ac:dyDescent="0.3">
      <c r="F18024" s="193"/>
    </row>
    <row r="18025" spans="6:6" x14ac:dyDescent="0.3">
      <c r="F18025" s="193"/>
    </row>
    <row r="18026" spans="6:6" x14ac:dyDescent="0.3">
      <c r="F18026" s="193"/>
    </row>
    <row r="18027" spans="6:6" x14ac:dyDescent="0.3">
      <c r="F18027" s="193"/>
    </row>
    <row r="18028" spans="6:6" x14ac:dyDescent="0.3">
      <c r="F18028" s="193"/>
    </row>
    <row r="18029" spans="6:6" x14ac:dyDescent="0.3">
      <c r="F18029" s="193"/>
    </row>
    <row r="18030" spans="6:6" x14ac:dyDescent="0.3">
      <c r="F18030" s="193"/>
    </row>
    <row r="18031" spans="6:6" x14ac:dyDescent="0.3">
      <c r="F18031" s="193"/>
    </row>
    <row r="18032" spans="6:6" x14ac:dyDescent="0.3">
      <c r="F18032" s="193"/>
    </row>
    <row r="18033" spans="6:6" x14ac:dyDescent="0.3">
      <c r="F18033" s="193"/>
    </row>
    <row r="18034" spans="6:6" x14ac:dyDescent="0.3">
      <c r="F18034" s="193"/>
    </row>
    <row r="18035" spans="6:6" x14ac:dyDescent="0.3">
      <c r="F18035" s="193"/>
    </row>
    <row r="18036" spans="6:6" x14ac:dyDescent="0.3">
      <c r="F18036" s="193"/>
    </row>
    <row r="18037" spans="6:6" x14ac:dyDescent="0.3">
      <c r="F18037" s="193"/>
    </row>
    <row r="18038" spans="6:6" x14ac:dyDescent="0.3">
      <c r="F18038" s="193"/>
    </row>
    <row r="18039" spans="6:6" x14ac:dyDescent="0.3">
      <c r="F18039" s="193"/>
    </row>
    <row r="18040" spans="6:6" x14ac:dyDescent="0.3">
      <c r="F18040" s="193"/>
    </row>
    <row r="18041" spans="6:6" x14ac:dyDescent="0.3">
      <c r="F18041" s="193"/>
    </row>
    <row r="18042" spans="6:6" x14ac:dyDescent="0.3">
      <c r="F18042" s="193"/>
    </row>
    <row r="18043" spans="6:6" x14ac:dyDescent="0.3">
      <c r="F18043" s="193"/>
    </row>
    <row r="18044" spans="6:6" x14ac:dyDescent="0.3">
      <c r="F18044" s="193"/>
    </row>
    <row r="18045" spans="6:6" x14ac:dyDescent="0.3">
      <c r="F18045" s="193"/>
    </row>
    <row r="18046" spans="6:6" x14ac:dyDescent="0.3">
      <c r="F18046" s="193"/>
    </row>
    <row r="18047" spans="6:6" x14ac:dyDescent="0.3">
      <c r="F18047" s="193"/>
    </row>
    <row r="18048" spans="6:6" x14ac:dyDescent="0.3">
      <c r="F18048" s="193"/>
    </row>
    <row r="18049" spans="6:6" x14ac:dyDescent="0.3">
      <c r="F18049" s="193"/>
    </row>
    <row r="18050" spans="6:6" x14ac:dyDescent="0.3">
      <c r="F18050" s="193"/>
    </row>
    <row r="18051" spans="6:6" x14ac:dyDescent="0.3">
      <c r="F18051" s="193"/>
    </row>
    <row r="18052" spans="6:6" x14ac:dyDescent="0.3">
      <c r="F18052" s="193"/>
    </row>
    <row r="18053" spans="6:6" x14ac:dyDescent="0.3">
      <c r="F18053" s="193"/>
    </row>
    <row r="18054" spans="6:6" x14ac:dyDescent="0.3">
      <c r="F18054" s="193"/>
    </row>
    <row r="18055" spans="6:6" x14ac:dyDescent="0.3">
      <c r="F18055" s="193"/>
    </row>
    <row r="18056" spans="6:6" x14ac:dyDescent="0.3">
      <c r="F18056" s="193"/>
    </row>
    <row r="18057" spans="6:6" x14ac:dyDescent="0.3">
      <c r="F18057" s="193"/>
    </row>
    <row r="18058" spans="6:6" x14ac:dyDescent="0.3">
      <c r="F18058" s="193"/>
    </row>
    <row r="18059" spans="6:6" x14ac:dyDescent="0.3">
      <c r="F18059" s="193"/>
    </row>
    <row r="18060" spans="6:6" x14ac:dyDescent="0.3">
      <c r="F18060" s="193"/>
    </row>
    <row r="18061" spans="6:6" x14ac:dyDescent="0.3">
      <c r="F18061" s="193"/>
    </row>
    <row r="18062" spans="6:6" x14ac:dyDescent="0.3">
      <c r="F18062" s="193"/>
    </row>
    <row r="18063" spans="6:6" x14ac:dyDescent="0.3">
      <c r="F18063" s="193"/>
    </row>
    <row r="18064" spans="6:6" x14ac:dyDescent="0.3">
      <c r="F18064" s="193"/>
    </row>
    <row r="18065" spans="6:6" x14ac:dyDescent="0.3">
      <c r="F18065" s="193"/>
    </row>
    <row r="18066" spans="6:6" x14ac:dyDescent="0.3">
      <c r="F18066" s="193"/>
    </row>
    <row r="18067" spans="6:6" x14ac:dyDescent="0.3">
      <c r="F18067" s="193"/>
    </row>
    <row r="18068" spans="6:6" x14ac:dyDescent="0.3">
      <c r="F18068" s="193"/>
    </row>
    <row r="18069" spans="6:6" x14ac:dyDescent="0.3">
      <c r="F18069" s="193"/>
    </row>
    <row r="18070" spans="6:6" x14ac:dyDescent="0.3">
      <c r="F18070" s="193"/>
    </row>
    <row r="18071" spans="6:6" x14ac:dyDescent="0.3">
      <c r="F18071" s="193"/>
    </row>
    <row r="18072" spans="6:6" x14ac:dyDescent="0.3">
      <c r="F18072" s="193"/>
    </row>
    <row r="18073" spans="6:6" x14ac:dyDescent="0.3">
      <c r="F18073" s="193"/>
    </row>
    <row r="18074" spans="6:6" x14ac:dyDescent="0.3">
      <c r="F18074" s="193"/>
    </row>
    <row r="18075" spans="6:6" x14ac:dyDescent="0.3">
      <c r="F18075" s="193"/>
    </row>
    <row r="18076" spans="6:6" x14ac:dyDescent="0.3">
      <c r="F18076" s="193"/>
    </row>
    <row r="18077" spans="6:6" x14ac:dyDescent="0.3">
      <c r="F18077" s="193"/>
    </row>
    <row r="18078" spans="6:6" x14ac:dyDescent="0.3">
      <c r="F18078" s="193"/>
    </row>
    <row r="18079" spans="6:6" x14ac:dyDescent="0.3">
      <c r="F18079" s="193"/>
    </row>
    <row r="18080" spans="6:6" x14ac:dyDescent="0.3">
      <c r="F18080" s="193"/>
    </row>
    <row r="18081" spans="6:6" x14ac:dyDescent="0.3">
      <c r="F18081" s="193"/>
    </row>
    <row r="18082" spans="6:6" x14ac:dyDescent="0.3">
      <c r="F18082" s="193"/>
    </row>
    <row r="18083" spans="6:6" x14ac:dyDescent="0.3">
      <c r="F18083" s="193"/>
    </row>
    <row r="18084" spans="6:6" x14ac:dyDescent="0.3">
      <c r="F18084" s="193"/>
    </row>
    <row r="18085" spans="6:6" x14ac:dyDescent="0.3">
      <c r="F18085" s="193"/>
    </row>
    <row r="18086" spans="6:6" x14ac:dyDescent="0.3">
      <c r="F18086" s="193"/>
    </row>
    <row r="18087" spans="6:6" x14ac:dyDescent="0.3">
      <c r="F18087" s="193"/>
    </row>
    <row r="18088" spans="6:6" x14ac:dyDescent="0.3">
      <c r="F18088" s="193"/>
    </row>
    <row r="18089" spans="6:6" x14ac:dyDescent="0.3">
      <c r="F18089" s="193"/>
    </row>
    <row r="18090" spans="6:6" x14ac:dyDescent="0.3">
      <c r="F18090" s="193"/>
    </row>
    <row r="18091" spans="6:6" x14ac:dyDescent="0.3">
      <c r="F18091" s="193"/>
    </row>
    <row r="18092" spans="6:6" x14ac:dyDescent="0.3">
      <c r="F18092" s="193"/>
    </row>
    <row r="18093" spans="6:6" x14ac:dyDescent="0.3">
      <c r="F18093" s="193"/>
    </row>
    <row r="18094" spans="6:6" x14ac:dyDescent="0.3">
      <c r="F18094" s="193"/>
    </row>
    <row r="18095" spans="6:6" x14ac:dyDescent="0.3">
      <c r="F18095" s="193"/>
    </row>
    <row r="18096" spans="6:6" x14ac:dyDescent="0.3">
      <c r="F18096" s="193"/>
    </row>
    <row r="18097" spans="6:6" x14ac:dyDescent="0.3">
      <c r="F18097" s="193"/>
    </row>
    <row r="18098" spans="6:6" x14ac:dyDescent="0.3">
      <c r="F18098" s="193"/>
    </row>
    <row r="18099" spans="6:6" x14ac:dyDescent="0.3">
      <c r="F18099" s="193"/>
    </row>
    <row r="18100" spans="6:6" x14ac:dyDescent="0.3">
      <c r="F18100" s="193"/>
    </row>
    <row r="18101" spans="6:6" x14ac:dyDescent="0.3">
      <c r="F18101" s="193"/>
    </row>
    <row r="18102" spans="6:6" x14ac:dyDescent="0.3">
      <c r="F18102" s="193"/>
    </row>
    <row r="18103" spans="6:6" x14ac:dyDescent="0.3">
      <c r="F18103" s="193"/>
    </row>
    <row r="18104" spans="6:6" x14ac:dyDescent="0.3">
      <c r="F18104" s="193"/>
    </row>
    <row r="18105" spans="6:6" x14ac:dyDescent="0.3">
      <c r="F18105" s="193"/>
    </row>
    <row r="18106" spans="6:6" x14ac:dyDescent="0.3">
      <c r="F18106" s="193"/>
    </row>
    <row r="18107" spans="6:6" x14ac:dyDescent="0.3">
      <c r="F18107" s="193"/>
    </row>
    <row r="18108" spans="6:6" x14ac:dyDescent="0.3">
      <c r="F18108" s="193"/>
    </row>
    <row r="18109" spans="6:6" x14ac:dyDescent="0.3">
      <c r="F18109" s="193"/>
    </row>
    <row r="18110" spans="6:6" x14ac:dyDescent="0.3">
      <c r="F18110" s="193"/>
    </row>
    <row r="18111" spans="6:6" x14ac:dyDescent="0.3">
      <c r="F18111" s="193"/>
    </row>
    <row r="18112" spans="6:6" x14ac:dyDescent="0.3">
      <c r="F18112" s="193"/>
    </row>
    <row r="18113" spans="6:6" x14ac:dyDescent="0.3">
      <c r="F18113" s="193"/>
    </row>
    <row r="18114" spans="6:6" x14ac:dyDescent="0.3">
      <c r="F18114" s="193"/>
    </row>
    <row r="18115" spans="6:6" x14ac:dyDescent="0.3">
      <c r="F18115" s="193"/>
    </row>
    <row r="18116" spans="6:6" x14ac:dyDescent="0.3">
      <c r="F18116" s="193"/>
    </row>
    <row r="18117" spans="6:6" x14ac:dyDescent="0.3">
      <c r="F18117" s="193"/>
    </row>
    <row r="18118" spans="6:6" x14ac:dyDescent="0.3">
      <c r="F18118" s="193"/>
    </row>
    <row r="18119" spans="6:6" x14ac:dyDescent="0.3">
      <c r="F18119" s="193"/>
    </row>
    <row r="18120" spans="6:6" x14ac:dyDescent="0.3">
      <c r="F18120" s="193"/>
    </row>
    <row r="18121" spans="6:6" x14ac:dyDescent="0.3">
      <c r="F18121" s="193"/>
    </row>
    <row r="18122" spans="6:6" x14ac:dyDescent="0.3">
      <c r="F18122" s="193"/>
    </row>
    <row r="18123" spans="6:6" x14ac:dyDescent="0.3">
      <c r="F18123" s="193"/>
    </row>
    <row r="18124" spans="6:6" x14ac:dyDescent="0.3">
      <c r="F18124" s="193"/>
    </row>
    <row r="18125" spans="6:6" x14ac:dyDescent="0.3">
      <c r="F18125" s="193"/>
    </row>
    <row r="18126" spans="6:6" x14ac:dyDescent="0.3">
      <c r="F18126" s="193"/>
    </row>
    <row r="18127" spans="6:6" x14ac:dyDescent="0.3">
      <c r="F18127" s="193"/>
    </row>
    <row r="18128" spans="6:6" x14ac:dyDescent="0.3">
      <c r="F18128" s="193"/>
    </row>
    <row r="18129" spans="6:6" x14ac:dyDescent="0.3">
      <c r="F18129" s="193"/>
    </row>
    <row r="18130" spans="6:6" x14ac:dyDescent="0.3">
      <c r="F18130" s="193"/>
    </row>
    <row r="18131" spans="6:6" x14ac:dyDescent="0.3">
      <c r="F18131" s="193"/>
    </row>
    <row r="18132" spans="6:6" x14ac:dyDescent="0.3">
      <c r="F18132" s="193"/>
    </row>
    <row r="18133" spans="6:6" x14ac:dyDescent="0.3">
      <c r="F18133" s="193"/>
    </row>
    <row r="18134" spans="6:6" x14ac:dyDescent="0.3">
      <c r="F18134" s="193"/>
    </row>
    <row r="18135" spans="6:6" x14ac:dyDescent="0.3">
      <c r="F18135" s="193"/>
    </row>
    <row r="18136" spans="6:6" x14ac:dyDescent="0.3">
      <c r="F18136" s="193"/>
    </row>
    <row r="18137" spans="6:6" x14ac:dyDescent="0.3">
      <c r="F18137" s="193"/>
    </row>
    <row r="18138" spans="6:6" x14ac:dyDescent="0.3">
      <c r="F18138" s="193"/>
    </row>
    <row r="18139" spans="6:6" x14ac:dyDescent="0.3">
      <c r="F18139" s="193"/>
    </row>
    <row r="18140" spans="6:6" x14ac:dyDescent="0.3">
      <c r="F18140" s="193"/>
    </row>
    <row r="18141" spans="6:6" x14ac:dyDescent="0.3">
      <c r="F18141" s="193"/>
    </row>
    <row r="18142" spans="6:6" x14ac:dyDescent="0.3">
      <c r="F18142" s="193"/>
    </row>
    <row r="18143" spans="6:6" x14ac:dyDescent="0.3">
      <c r="F18143" s="193"/>
    </row>
    <row r="18144" spans="6:6" x14ac:dyDescent="0.3">
      <c r="F18144" s="193"/>
    </row>
    <row r="18145" spans="6:6" x14ac:dyDescent="0.3">
      <c r="F18145" s="193"/>
    </row>
    <row r="18146" spans="6:6" x14ac:dyDescent="0.3">
      <c r="F18146" s="193"/>
    </row>
    <row r="18147" spans="6:6" x14ac:dyDescent="0.3">
      <c r="F18147" s="193"/>
    </row>
    <row r="18148" spans="6:6" x14ac:dyDescent="0.3">
      <c r="F18148" s="193"/>
    </row>
    <row r="18149" spans="6:6" x14ac:dyDescent="0.3">
      <c r="F18149" s="193"/>
    </row>
    <row r="18150" spans="6:6" x14ac:dyDescent="0.3">
      <c r="F18150" s="193"/>
    </row>
    <row r="18151" spans="6:6" x14ac:dyDescent="0.3">
      <c r="F18151" s="193"/>
    </row>
    <row r="18152" spans="6:6" x14ac:dyDescent="0.3">
      <c r="F18152" s="193"/>
    </row>
    <row r="18153" spans="6:6" x14ac:dyDescent="0.3">
      <c r="F18153" s="193"/>
    </row>
    <row r="18154" spans="6:6" x14ac:dyDescent="0.3">
      <c r="F18154" s="193"/>
    </row>
    <row r="18155" spans="6:6" x14ac:dyDescent="0.3">
      <c r="F18155" s="193"/>
    </row>
    <row r="18156" spans="6:6" x14ac:dyDescent="0.3">
      <c r="F18156" s="193"/>
    </row>
    <row r="18157" spans="6:6" x14ac:dyDescent="0.3">
      <c r="F18157" s="193"/>
    </row>
    <row r="18158" spans="6:6" x14ac:dyDescent="0.3">
      <c r="F18158" s="193"/>
    </row>
    <row r="18159" spans="6:6" x14ac:dyDescent="0.3">
      <c r="F18159" s="193"/>
    </row>
    <row r="18160" spans="6:6" x14ac:dyDescent="0.3">
      <c r="F18160" s="193"/>
    </row>
    <row r="18161" spans="6:6" x14ac:dyDescent="0.3">
      <c r="F18161" s="193"/>
    </row>
    <row r="18162" spans="6:6" x14ac:dyDescent="0.3">
      <c r="F18162" s="193"/>
    </row>
    <row r="18163" spans="6:6" x14ac:dyDescent="0.3">
      <c r="F18163" s="193"/>
    </row>
    <row r="18164" spans="6:6" x14ac:dyDescent="0.3">
      <c r="F18164" s="193"/>
    </row>
    <row r="18165" spans="6:6" x14ac:dyDescent="0.3">
      <c r="F18165" s="193"/>
    </row>
    <row r="18166" spans="6:6" x14ac:dyDescent="0.3">
      <c r="F18166" s="193"/>
    </row>
    <row r="18167" spans="6:6" x14ac:dyDescent="0.3">
      <c r="F18167" s="193"/>
    </row>
    <row r="18168" spans="6:6" x14ac:dyDescent="0.3">
      <c r="F18168" s="193"/>
    </row>
    <row r="18169" spans="6:6" x14ac:dyDescent="0.3">
      <c r="F18169" s="193"/>
    </row>
    <row r="18170" spans="6:6" x14ac:dyDescent="0.3">
      <c r="F18170" s="193"/>
    </row>
    <row r="18171" spans="6:6" x14ac:dyDescent="0.3">
      <c r="F18171" s="193"/>
    </row>
    <row r="18172" spans="6:6" x14ac:dyDescent="0.3">
      <c r="F18172" s="193"/>
    </row>
    <row r="18173" spans="6:6" x14ac:dyDescent="0.3">
      <c r="F18173" s="193"/>
    </row>
    <row r="18174" spans="6:6" x14ac:dyDescent="0.3">
      <c r="F18174" s="193"/>
    </row>
    <row r="18175" spans="6:6" x14ac:dyDescent="0.3">
      <c r="F18175" s="193"/>
    </row>
    <row r="18176" spans="6:6" x14ac:dyDescent="0.3">
      <c r="F18176" s="193"/>
    </row>
    <row r="18177" spans="6:6" x14ac:dyDescent="0.3">
      <c r="F18177" s="193"/>
    </row>
    <row r="18178" spans="6:6" x14ac:dyDescent="0.3">
      <c r="F18178" s="193"/>
    </row>
    <row r="18179" spans="6:6" x14ac:dyDescent="0.3">
      <c r="F18179" s="193"/>
    </row>
    <row r="18180" spans="6:6" x14ac:dyDescent="0.3">
      <c r="F18180" s="193"/>
    </row>
    <row r="18181" spans="6:6" x14ac:dyDescent="0.3">
      <c r="F18181" s="193"/>
    </row>
    <row r="18182" spans="6:6" x14ac:dyDescent="0.3">
      <c r="F18182" s="193"/>
    </row>
    <row r="18183" spans="6:6" x14ac:dyDescent="0.3">
      <c r="F18183" s="193"/>
    </row>
    <row r="18184" spans="6:6" x14ac:dyDescent="0.3">
      <c r="F18184" s="193"/>
    </row>
    <row r="18185" spans="6:6" x14ac:dyDescent="0.3">
      <c r="F18185" s="193"/>
    </row>
    <row r="18186" spans="6:6" x14ac:dyDescent="0.3">
      <c r="F18186" s="193"/>
    </row>
    <row r="18187" spans="6:6" x14ac:dyDescent="0.3">
      <c r="F18187" s="193"/>
    </row>
    <row r="18188" spans="6:6" x14ac:dyDescent="0.3">
      <c r="F18188" s="193"/>
    </row>
    <row r="18189" spans="6:6" x14ac:dyDescent="0.3">
      <c r="F18189" s="193"/>
    </row>
    <row r="18190" spans="6:6" x14ac:dyDescent="0.3">
      <c r="F18190" s="193"/>
    </row>
    <row r="18191" spans="6:6" x14ac:dyDescent="0.3">
      <c r="F18191" s="193"/>
    </row>
    <row r="18192" spans="6:6" x14ac:dyDescent="0.3">
      <c r="F18192" s="193"/>
    </row>
    <row r="18193" spans="6:6" x14ac:dyDescent="0.3">
      <c r="F18193" s="193"/>
    </row>
    <row r="18194" spans="6:6" x14ac:dyDescent="0.3">
      <c r="F18194" s="193"/>
    </row>
    <row r="18195" spans="6:6" x14ac:dyDescent="0.3">
      <c r="F18195" s="193"/>
    </row>
    <row r="18196" spans="6:6" x14ac:dyDescent="0.3">
      <c r="F18196" s="193"/>
    </row>
    <row r="18197" spans="6:6" x14ac:dyDescent="0.3">
      <c r="F18197" s="193"/>
    </row>
    <row r="18198" spans="6:6" x14ac:dyDescent="0.3">
      <c r="F18198" s="193"/>
    </row>
    <row r="18199" spans="6:6" x14ac:dyDescent="0.3">
      <c r="F18199" s="193"/>
    </row>
    <row r="18200" spans="6:6" x14ac:dyDescent="0.3">
      <c r="F18200" s="193"/>
    </row>
    <row r="18201" spans="6:6" x14ac:dyDescent="0.3">
      <c r="F18201" s="193"/>
    </row>
    <row r="18202" spans="6:6" x14ac:dyDescent="0.3">
      <c r="F18202" s="193"/>
    </row>
    <row r="18203" spans="6:6" x14ac:dyDescent="0.3">
      <c r="F18203" s="193"/>
    </row>
    <row r="18204" spans="6:6" x14ac:dyDescent="0.3">
      <c r="F18204" s="193"/>
    </row>
    <row r="18205" spans="6:6" x14ac:dyDescent="0.3">
      <c r="F18205" s="193"/>
    </row>
    <row r="18206" spans="6:6" x14ac:dyDescent="0.3">
      <c r="F18206" s="193"/>
    </row>
    <row r="18207" spans="6:6" x14ac:dyDescent="0.3">
      <c r="F18207" s="193"/>
    </row>
    <row r="18208" spans="6:6" x14ac:dyDescent="0.3">
      <c r="F18208" s="193"/>
    </row>
    <row r="18209" spans="6:6" x14ac:dyDescent="0.3">
      <c r="F18209" s="193"/>
    </row>
    <row r="18210" spans="6:6" x14ac:dyDescent="0.3">
      <c r="F18210" s="193"/>
    </row>
    <row r="18211" spans="6:6" x14ac:dyDescent="0.3">
      <c r="F18211" s="193"/>
    </row>
    <row r="18212" spans="6:6" x14ac:dyDescent="0.3">
      <c r="F18212" s="193"/>
    </row>
    <row r="18213" spans="6:6" x14ac:dyDescent="0.3">
      <c r="F18213" s="193"/>
    </row>
    <row r="18214" spans="6:6" x14ac:dyDescent="0.3">
      <c r="F18214" s="193"/>
    </row>
    <row r="18215" spans="6:6" x14ac:dyDescent="0.3">
      <c r="F18215" s="193"/>
    </row>
    <row r="18216" spans="6:6" x14ac:dyDescent="0.3">
      <c r="F18216" s="193"/>
    </row>
    <row r="18217" spans="6:6" x14ac:dyDescent="0.3">
      <c r="F18217" s="193"/>
    </row>
    <row r="18218" spans="6:6" x14ac:dyDescent="0.3">
      <c r="F18218" s="193"/>
    </row>
    <row r="18219" spans="6:6" x14ac:dyDescent="0.3">
      <c r="F18219" s="193"/>
    </row>
    <row r="18220" spans="6:6" x14ac:dyDescent="0.3">
      <c r="F18220" s="193"/>
    </row>
    <row r="18221" spans="6:6" x14ac:dyDescent="0.3">
      <c r="F18221" s="193"/>
    </row>
    <row r="18222" spans="6:6" x14ac:dyDescent="0.3">
      <c r="F18222" s="193"/>
    </row>
    <row r="18223" spans="6:6" x14ac:dyDescent="0.3">
      <c r="F18223" s="193"/>
    </row>
    <row r="18224" spans="6:6" x14ac:dyDescent="0.3">
      <c r="F18224" s="193"/>
    </row>
    <row r="18225" spans="6:6" x14ac:dyDescent="0.3">
      <c r="F18225" s="193"/>
    </row>
    <row r="18226" spans="6:6" x14ac:dyDescent="0.3">
      <c r="F18226" s="193"/>
    </row>
    <row r="18227" spans="6:6" x14ac:dyDescent="0.3">
      <c r="F18227" s="193"/>
    </row>
    <row r="18228" spans="6:6" x14ac:dyDescent="0.3">
      <c r="F18228" s="193"/>
    </row>
    <row r="18229" spans="6:6" x14ac:dyDescent="0.3">
      <c r="F18229" s="193"/>
    </row>
    <row r="18230" spans="6:6" x14ac:dyDescent="0.3">
      <c r="F18230" s="193"/>
    </row>
    <row r="18231" spans="6:6" x14ac:dyDescent="0.3">
      <c r="F18231" s="193"/>
    </row>
    <row r="18232" spans="6:6" x14ac:dyDescent="0.3">
      <c r="F18232" s="193"/>
    </row>
    <row r="18233" spans="6:6" x14ac:dyDescent="0.3">
      <c r="F18233" s="193"/>
    </row>
    <row r="18234" spans="6:6" x14ac:dyDescent="0.3">
      <c r="F18234" s="193"/>
    </row>
    <row r="18235" spans="6:6" x14ac:dyDescent="0.3">
      <c r="F18235" s="193"/>
    </row>
    <row r="18236" spans="6:6" x14ac:dyDescent="0.3">
      <c r="F18236" s="193"/>
    </row>
    <row r="18237" spans="6:6" x14ac:dyDescent="0.3">
      <c r="F18237" s="193"/>
    </row>
    <row r="18238" spans="6:6" x14ac:dyDescent="0.3">
      <c r="F18238" s="193"/>
    </row>
    <row r="18239" spans="6:6" x14ac:dyDescent="0.3">
      <c r="F18239" s="193"/>
    </row>
    <row r="18240" spans="6:6" x14ac:dyDescent="0.3">
      <c r="F18240" s="193"/>
    </row>
    <row r="18241" spans="6:6" x14ac:dyDescent="0.3">
      <c r="F18241" s="193"/>
    </row>
    <row r="18242" spans="6:6" x14ac:dyDescent="0.3">
      <c r="F18242" s="193"/>
    </row>
    <row r="18243" spans="6:6" x14ac:dyDescent="0.3">
      <c r="F18243" s="193"/>
    </row>
    <row r="18244" spans="6:6" x14ac:dyDescent="0.3">
      <c r="F18244" s="193"/>
    </row>
    <row r="18245" spans="6:6" x14ac:dyDescent="0.3">
      <c r="F18245" s="193"/>
    </row>
    <row r="18246" spans="6:6" x14ac:dyDescent="0.3">
      <c r="F18246" s="193"/>
    </row>
    <row r="18247" spans="6:6" x14ac:dyDescent="0.3">
      <c r="F18247" s="193"/>
    </row>
    <row r="18248" spans="6:6" x14ac:dyDescent="0.3">
      <c r="F18248" s="193"/>
    </row>
    <row r="18249" spans="6:6" x14ac:dyDescent="0.3">
      <c r="F18249" s="193"/>
    </row>
    <row r="18250" spans="6:6" x14ac:dyDescent="0.3">
      <c r="F18250" s="193"/>
    </row>
    <row r="18251" spans="6:6" x14ac:dyDescent="0.3">
      <c r="F18251" s="193"/>
    </row>
    <row r="18252" spans="6:6" x14ac:dyDescent="0.3">
      <c r="F18252" s="193"/>
    </row>
    <row r="18253" spans="6:6" x14ac:dyDescent="0.3">
      <c r="F18253" s="193"/>
    </row>
    <row r="18254" spans="6:6" x14ac:dyDescent="0.3">
      <c r="F18254" s="193"/>
    </row>
    <row r="18255" spans="6:6" x14ac:dyDescent="0.3">
      <c r="F18255" s="193"/>
    </row>
    <row r="18256" spans="6:6" x14ac:dyDescent="0.3">
      <c r="F18256" s="193"/>
    </row>
    <row r="18257" spans="6:6" x14ac:dyDescent="0.3">
      <c r="F18257" s="193"/>
    </row>
    <row r="18258" spans="6:6" x14ac:dyDescent="0.3">
      <c r="F18258" s="193"/>
    </row>
    <row r="18259" spans="6:6" x14ac:dyDescent="0.3">
      <c r="F18259" s="193"/>
    </row>
    <row r="18260" spans="6:6" x14ac:dyDescent="0.3">
      <c r="F18260" s="193"/>
    </row>
    <row r="18261" spans="6:6" x14ac:dyDescent="0.3">
      <c r="F18261" s="193"/>
    </row>
    <row r="18262" spans="6:6" x14ac:dyDescent="0.3">
      <c r="F18262" s="193"/>
    </row>
    <row r="18263" spans="6:6" x14ac:dyDescent="0.3">
      <c r="F18263" s="193"/>
    </row>
    <row r="18264" spans="6:6" x14ac:dyDescent="0.3">
      <c r="F18264" s="193"/>
    </row>
    <row r="18265" spans="6:6" x14ac:dyDescent="0.3">
      <c r="F18265" s="193"/>
    </row>
    <row r="18266" spans="6:6" x14ac:dyDescent="0.3">
      <c r="F18266" s="193"/>
    </row>
    <row r="18267" spans="6:6" x14ac:dyDescent="0.3">
      <c r="F18267" s="193"/>
    </row>
    <row r="18268" spans="6:6" x14ac:dyDescent="0.3">
      <c r="F18268" s="193"/>
    </row>
    <row r="18269" spans="6:6" x14ac:dyDescent="0.3">
      <c r="F18269" s="193"/>
    </row>
    <row r="18270" spans="6:6" x14ac:dyDescent="0.3">
      <c r="F18270" s="193"/>
    </row>
    <row r="18271" spans="6:6" x14ac:dyDescent="0.3">
      <c r="F18271" s="193"/>
    </row>
    <row r="18272" spans="6:6" x14ac:dyDescent="0.3">
      <c r="F18272" s="193"/>
    </row>
    <row r="18273" spans="6:6" x14ac:dyDescent="0.3">
      <c r="F18273" s="193"/>
    </row>
    <row r="18274" spans="6:6" x14ac:dyDescent="0.3">
      <c r="F18274" s="193"/>
    </row>
    <row r="18275" spans="6:6" x14ac:dyDescent="0.3">
      <c r="F18275" s="193"/>
    </row>
    <row r="18276" spans="6:6" x14ac:dyDescent="0.3">
      <c r="F18276" s="193"/>
    </row>
    <row r="18277" spans="6:6" x14ac:dyDescent="0.3">
      <c r="F18277" s="193"/>
    </row>
    <row r="18278" spans="6:6" x14ac:dyDescent="0.3">
      <c r="F18278" s="193"/>
    </row>
    <row r="18279" spans="6:6" x14ac:dyDescent="0.3">
      <c r="F18279" s="193"/>
    </row>
    <row r="18280" spans="6:6" x14ac:dyDescent="0.3">
      <c r="F18280" s="193"/>
    </row>
    <row r="18281" spans="6:6" x14ac:dyDescent="0.3">
      <c r="F18281" s="193"/>
    </row>
    <row r="18282" spans="6:6" x14ac:dyDescent="0.3">
      <c r="F18282" s="193"/>
    </row>
    <row r="18283" spans="6:6" x14ac:dyDescent="0.3">
      <c r="F18283" s="193"/>
    </row>
    <row r="18284" spans="6:6" x14ac:dyDescent="0.3">
      <c r="F18284" s="193"/>
    </row>
    <row r="18285" spans="6:6" x14ac:dyDescent="0.3">
      <c r="F18285" s="193"/>
    </row>
    <row r="18286" spans="6:6" x14ac:dyDescent="0.3">
      <c r="F18286" s="193"/>
    </row>
    <row r="18287" spans="6:6" x14ac:dyDescent="0.3">
      <c r="F18287" s="193"/>
    </row>
    <row r="18288" spans="6:6" x14ac:dyDescent="0.3">
      <c r="F18288" s="193"/>
    </row>
    <row r="18289" spans="6:6" x14ac:dyDescent="0.3">
      <c r="F18289" s="193"/>
    </row>
    <row r="18290" spans="6:6" x14ac:dyDescent="0.3">
      <c r="F18290" s="193"/>
    </row>
    <row r="18291" spans="6:6" x14ac:dyDescent="0.3">
      <c r="F18291" s="193"/>
    </row>
    <row r="18292" spans="6:6" x14ac:dyDescent="0.3">
      <c r="F18292" s="193"/>
    </row>
    <row r="18293" spans="6:6" x14ac:dyDescent="0.3">
      <c r="F18293" s="193"/>
    </row>
    <row r="18294" spans="6:6" x14ac:dyDescent="0.3">
      <c r="F18294" s="193"/>
    </row>
    <row r="18295" spans="6:6" x14ac:dyDescent="0.3">
      <c r="F18295" s="193"/>
    </row>
    <row r="18296" spans="6:6" x14ac:dyDescent="0.3">
      <c r="F18296" s="193"/>
    </row>
    <row r="18297" spans="6:6" x14ac:dyDescent="0.3">
      <c r="F18297" s="193"/>
    </row>
    <row r="18298" spans="6:6" x14ac:dyDescent="0.3">
      <c r="F18298" s="193"/>
    </row>
    <row r="18299" spans="6:6" x14ac:dyDescent="0.3">
      <c r="F18299" s="193"/>
    </row>
    <row r="18300" spans="6:6" x14ac:dyDescent="0.3">
      <c r="F18300" s="193"/>
    </row>
    <row r="18301" spans="6:6" x14ac:dyDescent="0.3">
      <c r="F18301" s="193"/>
    </row>
    <row r="18302" spans="6:6" x14ac:dyDescent="0.3">
      <c r="F18302" s="193"/>
    </row>
    <row r="18303" spans="6:6" x14ac:dyDescent="0.3">
      <c r="F18303" s="193"/>
    </row>
    <row r="18304" spans="6:6" x14ac:dyDescent="0.3">
      <c r="F18304" s="193"/>
    </row>
    <row r="18305" spans="6:6" x14ac:dyDescent="0.3">
      <c r="F18305" s="193"/>
    </row>
    <row r="18306" spans="6:6" x14ac:dyDescent="0.3">
      <c r="F18306" s="193"/>
    </row>
    <row r="18307" spans="6:6" x14ac:dyDescent="0.3">
      <c r="F18307" s="193"/>
    </row>
    <row r="18308" spans="6:6" x14ac:dyDescent="0.3">
      <c r="F18308" s="193"/>
    </row>
    <row r="18309" spans="6:6" x14ac:dyDescent="0.3">
      <c r="F18309" s="193"/>
    </row>
    <row r="18310" spans="6:6" x14ac:dyDescent="0.3">
      <c r="F18310" s="193"/>
    </row>
    <row r="18311" spans="6:6" x14ac:dyDescent="0.3">
      <c r="F18311" s="193"/>
    </row>
    <row r="18312" spans="6:6" x14ac:dyDescent="0.3">
      <c r="F18312" s="193"/>
    </row>
    <row r="18313" spans="6:6" x14ac:dyDescent="0.3">
      <c r="F18313" s="193"/>
    </row>
    <row r="18314" spans="6:6" x14ac:dyDescent="0.3">
      <c r="F18314" s="193"/>
    </row>
    <row r="18315" spans="6:6" x14ac:dyDescent="0.3">
      <c r="F18315" s="193"/>
    </row>
    <row r="18316" spans="6:6" x14ac:dyDescent="0.3">
      <c r="F18316" s="193"/>
    </row>
    <row r="18317" spans="6:6" x14ac:dyDescent="0.3">
      <c r="F18317" s="193"/>
    </row>
    <row r="18318" spans="6:6" x14ac:dyDescent="0.3">
      <c r="F18318" s="193"/>
    </row>
    <row r="18319" spans="6:6" x14ac:dyDescent="0.3">
      <c r="F18319" s="193"/>
    </row>
    <row r="18320" spans="6:6" x14ac:dyDescent="0.3">
      <c r="F18320" s="193"/>
    </row>
    <row r="18321" spans="6:6" x14ac:dyDescent="0.3">
      <c r="F18321" s="193"/>
    </row>
    <row r="18322" spans="6:6" x14ac:dyDescent="0.3">
      <c r="F18322" s="193"/>
    </row>
    <row r="18323" spans="6:6" x14ac:dyDescent="0.3">
      <c r="F18323" s="193"/>
    </row>
    <row r="18324" spans="6:6" x14ac:dyDescent="0.3">
      <c r="F18324" s="193"/>
    </row>
    <row r="18325" spans="6:6" x14ac:dyDescent="0.3">
      <c r="F18325" s="193"/>
    </row>
    <row r="18326" spans="6:6" x14ac:dyDescent="0.3">
      <c r="F18326" s="193"/>
    </row>
    <row r="18327" spans="6:6" x14ac:dyDescent="0.3">
      <c r="F18327" s="193"/>
    </row>
    <row r="18328" spans="6:6" x14ac:dyDescent="0.3">
      <c r="F18328" s="193"/>
    </row>
    <row r="18329" spans="6:6" x14ac:dyDescent="0.3">
      <c r="F18329" s="193"/>
    </row>
    <row r="18330" spans="6:6" x14ac:dyDescent="0.3">
      <c r="F18330" s="193"/>
    </row>
    <row r="18331" spans="6:6" x14ac:dyDescent="0.3">
      <c r="F18331" s="193"/>
    </row>
    <row r="18332" spans="6:6" x14ac:dyDescent="0.3">
      <c r="F18332" s="193"/>
    </row>
    <row r="18333" spans="6:6" x14ac:dyDescent="0.3">
      <c r="F18333" s="193"/>
    </row>
    <row r="18334" spans="6:6" x14ac:dyDescent="0.3">
      <c r="F18334" s="193"/>
    </row>
    <row r="18335" spans="6:6" x14ac:dyDescent="0.3">
      <c r="F18335" s="193"/>
    </row>
    <row r="18336" spans="6:6" x14ac:dyDescent="0.3">
      <c r="F18336" s="193"/>
    </row>
    <row r="18337" spans="6:6" x14ac:dyDescent="0.3">
      <c r="F18337" s="193"/>
    </row>
    <row r="18338" spans="6:6" x14ac:dyDescent="0.3">
      <c r="F18338" s="193"/>
    </row>
    <row r="18339" spans="6:6" x14ac:dyDescent="0.3">
      <c r="F18339" s="193"/>
    </row>
    <row r="18340" spans="6:6" x14ac:dyDescent="0.3">
      <c r="F18340" s="193"/>
    </row>
    <row r="18341" spans="6:6" x14ac:dyDescent="0.3">
      <c r="F18341" s="193"/>
    </row>
    <row r="18342" spans="6:6" x14ac:dyDescent="0.3">
      <c r="F18342" s="193"/>
    </row>
    <row r="18343" spans="6:6" x14ac:dyDescent="0.3">
      <c r="F18343" s="193"/>
    </row>
    <row r="18344" spans="6:6" x14ac:dyDescent="0.3">
      <c r="F18344" s="193"/>
    </row>
    <row r="18345" spans="6:6" x14ac:dyDescent="0.3">
      <c r="F18345" s="193"/>
    </row>
    <row r="18346" spans="6:6" x14ac:dyDescent="0.3">
      <c r="F18346" s="193"/>
    </row>
    <row r="18347" spans="6:6" x14ac:dyDescent="0.3">
      <c r="F18347" s="193"/>
    </row>
    <row r="18348" spans="6:6" x14ac:dyDescent="0.3">
      <c r="F18348" s="193"/>
    </row>
    <row r="18349" spans="6:6" x14ac:dyDescent="0.3">
      <c r="F18349" s="193"/>
    </row>
    <row r="18350" spans="6:6" x14ac:dyDescent="0.3">
      <c r="F18350" s="193"/>
    </row>
    <row r="18351" spans="6:6" x14ac:dyDescent="0.3">
      <c r="F18351" s="193"/>
    </row>
    <row r="18352" spans="6:6" x14ac:dyDescent="0.3">
      <c r="F18352" s="193"/>
    </row>
    <row r="18353" spans="6:6" x14ac:dyDescent="0.3">
      <c r="F18353" s="193"/>
    </row>
    <row r="18354" spans="6:6" x14ac:dyDescent="0.3">
      <c r="F18354" s="193"/>
    </row>
    <row r="18355" spans="6:6" x14ac:dyDescent="0.3">
      <c r="F18355" s="193"/>
    </row>
    <row r="18356" spans="6:6" x14ac:dyDescent="0.3">
      <c r="F18356" s="193"/>
    </row>
    <row r="18357" spans="6:6" x14ac:dyDescent="0.3">
      <c r="F18357" s="193"/>
    </row>
    <row r="18358" spans="6:6" x14ac:dyDescent="0.3">
      <c r="F18358" s="193"/>
    </row>
    <row r="18359" spans="6:6" x14ac:dyDescent="0.3">
      <c r="F18359" s="193"/>
    </row>
    <row r="18360" spans="6:6" x14ac:dyDescent="0.3">
      <c r="F18360" s="193"/>
    </row>
    <row r="18361" spans="6:6" x14ac:dyDescent="0.3">
      <c r="F18361" s="193"/>
    </row>
    <row r="18362" spans="6:6" x14ac:dyDescent="0.3">
      <c r="F18362" s="193"/>
    </row>
    <row r="18363" spans="6:6" x14ac:dyDescent="0.3">
      <c r="F18363" s="193"/>
    </row>
    <row r="18364" spans="6:6" x14ac:dyDescent="0.3">
      <c r="F18364" s="193"/>
    </row>
    <row r="18365" spans="6:6" x14ac:dyDescent="0.3">
      <c r="F18365" s="193"/>
    </row>
    <row r="18366" spans="6:6" x14ac:dyDescent="0.3">
      <c r="F18366" s="193"/>
    </row>
    <row r="18367" spans="6:6" x14ac:dyDescent="0.3">
      <c r="F18367" s="193"/>
    </row>
    <row r="18368" spans="6:6" x14ac:dyDescent="0.3">
      <c r="F18368" s="193"/>
    </row>
    <row r="18369" spans="6:6" x14ac:dyDescent="0.3">
      <c r="F18369" s="193"/>
    </row>
    <row r="18370" spans="6:6" x14ac:dyDescent="0.3">
      <c r="F18370" s="193"/>
    </row>
    <row r="18371" spans="6:6" x14ac:dyDescent="0.3">
      <c r="F18371" s="193"/>
    </row>
    <row r="18372" spans="6:6" x14ac:dyDescent="0.3">
      <c r="F18372" s="193"/>
    </row>
    <row r="18373" spans="6:6" x14ac:dyDescent="0.3">
      <c r="F18373" s="193"/>
    </row>
    <row r="18374" spans="6:6" x14ac:dyDescent="0.3">
      <c r="F18374" s="193"/>
    </row>
    <row r="18375" spans="6:6" x14ac:dyDescent="0.3">
      <c r="F18375" s="193"/>
    </row>
    <row r="18376" spans="6:6" x14ac:dyDescent="0.3">
      <c r="F18376" s="193"/>
    </row>
    <row r="18377" spans="6:6" x14ac:dyDescent="0.3">
      <c r="F18377" s="193"/>
    </row>
    <row r="18378" spans="6:6" x14ac:dyDescent="0.3">
      <c r="F18378" s="193"/>
    </row>
    <row r="18379" spans="6:6" x14ac:dyDescent="0.3">
      <c r="F18379" s="193"/>
    </row>
    <row r="18380" spans="6:6" x14ac:dyDescent="0.3">
      <c r="F18380" s="193"/>
    </row>
    <row r="18381" spans="6:6" x14ac:dyDescent="0.3">
      <c r="F18381" s="193"/>
    </row>
    <row r="18382" spans="6:6" x14ac:dyDescent="0.3">
      <c r="F18382" s="193"/>
    </row>
    <row r="18383" spans="6:6" x14ac:dyDescent="0.3">
      <c r="F18383" s="193"/>
    </row>
    <row r="18384" spans="6:6" x14ac:dyDescent="0.3">
      <c r="F18384" s="193"/>
    </row>
    <row r="18385" spans="6:6" x14ac:dyDescent="0.3">
      <c r="F18385" s="193"/>
    </row>
    <row r="18386" spans="6:6" x14ac:dyDescent="0.3">
      <c r="F18386" s="193"/>
    </row>
    <row r="18387" spans="6:6" x14ac:dyDescent="0.3">
      <c r="F18387" s="193"/>
    </row>
    <row r="18388" spans="6:6" x14ac:dyDescent="0.3">
      <c r="F18388" s="193"/>
    </row>
    <row r="18389" spans="6:6" x14ac:dyDescent="0.3">
      <c r="F18389" s="193"/>
    </row>
    <row r="18390" spans="6:6" x14ac:dyDescent="0.3">
      <c r="F18390" s="193"/>
    </row>
    <row r="18391" spans="6:6" x14ac:dyDescent="0.3">
      <c r="F18391" s="193"/>
    </row>
    <row r="18392" spans="6:6" x14ac:dyDescent="0.3">
      <c r="F18392" s="193"/>
    </row>
    <row r="18393" spans="6:6" x14ac:dyDescent="0.3">
      <c r="F18393" s="193"/>
    </row>
    <row r="18394" spans="6:6" x14ac:dyDescent="0.3">
      <c r="F18394" s="193"/>
    </row>
    <row r="18395" spans="6:6" x14ac:dyDescent="0.3">
      <c r="F18395" s="193"/>
    </row>
    <row r="18396" spans="6:6" x14ac:dyDescent="0.3">
      <c r="F18396" s="193"/>
    </row>
    <row r="18397" spans="6:6" x14ac:dyDescent="0.3">
      <c r="F18397" s="193"/>
    </row>
    <row r="18398" spans="6:6" x14ac:dyDescent="0.3">
      <c r="F18398" s="193"/>
    </row>
    <row r="18399" spans="6:6" x14ac:dyDescent="0.3">
      <c r="F18399" s="193"/>
    </row>
    <row r="18400" spans="6:6" x14ac:dyDescent="0.3">
      <c r="F18400" s="193"/>
    </row>
    <row r="18401" spans="6:6" x14ac:dyDescent="0.3">
      <c r="F18401" s="193"/>
    </row>
    <row r="18402" spans="6:6" x14ac:dyDescent="0.3">
      <c r="F18402" s="193"/>
    </row>
    <row r="18403" spans="6:6" x14ac:dyDescent="0.3">
      <c r="F18403" s="193"/>
    </row>
    <row r="18404" spans="6:6" x14ac:dyDescent="0.3">
      <c r="F18404" s="193"/>
    </row>
    <row r="18405" spans="6:6" x14ac:dyDescent="0.3">
      <c r="F18405" s="193"/>
    </row>
    <row r="18406" spans="6:6" x14ac:dyDescent="0.3">
      <c r="F18406" s="193"/>
    </row>
    <row r="18407" spans="6:6" x14ac:dyDescent="0.3">
      <c r="F18407" s="193"/>
    </row>
    <row r="18408" spans="6:6" x14ac:dyDescent="0.3">
      <c r="F18408" s="193"/>
    </row>
    <row r="18409" spans="6:6" x14ac:dyDescent="0.3">
      <c r="F18409" s="193"/>
    </row>
    <row r="18410" spans="6:6" x14ac:dyDescent="0.3">
      <c r="F18410" s="193"/>
    </row>
    <row r="18411" spans="6:6" x14ac:dyDescent="0.3">
      <c r="F18411" s="193"/>
    </row>
    <row r="18412" spans="6:6" x14ac:dyDescent="0.3">
      <c r="F18412" s="193"/>
    </row>
    <row r="18413" spans="6:6" x14ac:dyDescent="0.3">
      <c r="F18413" s="193"/>
    </row>
    <row r="18414" spans="6:6" x14ac:dyDescent="0.3">
      <c r="F18414" s="193"/>
    </row>
    <row r="18415" spans="6:6" x14ac:dyDescent="0.3">
      <c r="F18415" s="193"/>
    </row>
    <row r="18416" spans="6:6" x14ac:dyDescent="0.3">
      <c r="F18416" s="193"/>
    </row>
    <row r="18417" spans="6:6" x14ac:dyDescent="0.3">
      <c r="F18417" s="193"/>
    </row>
    <row r="18418" spans="6:6" x14ac:dyDescent="0.3">
      <c r="F18418" s="193"/>
    </row>
    <row r="18419" spans="6:6" x14ac:dyDescent="0.3">
      <c r="F18419" s="193"/>
    </row>
    <row r="18420" spans="6:6" x14ac:dyDescent="0.3">
      <c r="F18420" s="193"/>
    </row>
    <row r="18421" spans="6:6" x14ac:dyDescent="0.3">
      <c r="F18421" s="193"/>
    </row>
    <row r="18422" spans="6:6" x14ac:dyDescent="0.3">
      <c r="F18422" s="193"/>
    </row>
    <row r="18423" spans="6:6" x14ac:dyDescent="0.3">
      <c r="F18423" s="193"/>
    </row>
    <row r="18424" spans="6:6" x14ac:dyDescent="0.3">
      <c r="F18424" s="193"/>
    </row>
    <row r="18425" spans="6:6" x14ac:dyDescent="0.3">
      <c r="F18425" s="193"/>
    </row>
    <row r="18426" spans="6:6" x14ac:dyDescent="0.3">
      <c r="F18426" s="193"/>
    </row>
    <row r="18427" spans="6:6" x14ac:dyDescent="0.3">
      <c r="F18427" s="193"/>
    </row>
    <row r="18428" spans="6:6" x14ac:dyDescent="0.3">
      <c r="F18428" s="193"/>
    </row>
    <row r="18429" spans="6:6" x14ac:dyDescent="0.3">
      <c r="F18429" s="193"/>
    </row>
    <row r="18430" spans="6:6" x14ac:dyDescent="0.3">
      <c r="F18430" s="193"/>
    </row>
    <row r="18431" spans="6:6" x14ac:dyDescent="0.3">
      <c r="F18431" s="193"/>
    </row>
    <row r="18432" spans="6:6" x14ac:dyDescent="0.3">
      <c r="F18432" s="193"/>
    </row>
    <row r="18433" spans="6:6" x14ac:dyDescent="0.3">
      <c r="F18433" s="193"/>
    </row>
    <row r="18434" spans="6:6" x14ac:dyDescent="0.3">
      <c r="F18434" s="193"/>
    </row>
    <row r="18435" spans="6:6" x14ac:dyDescent="0.3">
      <c r="F18435" s="193"/>
    </row>
    <row r="18436" spans="6:6" x14ac:dyDescent="0.3">
      <c r="F18436" s="193"/>
    </row>
    <row r="18437" spans="6:6" x14ac:dyDescent="0.3">
      <c r="F18437" s="193"/>
    </row>
    <row r="18438" spans="6:6" x14ac:dyDescent="0.3">
      <c r="F18438" s="193"/>
    </row>
    <row r="18439" spans="6:6" x14ac:dyDescent="0.3">
      <c r="F18439" s="193"/>
    </row>
    <row r="18440" spans="6:6" x14ac:dyDescent="0.3">
      <c r="F18440" s="193"/>
    </row>
    <row r="18441" spans="6:6" x14ac:dyDescent="0.3">
      <c r="F18441" s="193"/>
    </row>
    <row r="18442" spans="6:6" x14ac:dyDescent="0.3">
      <c r="F18442" s="193"/>
    </row>
    <row r="18443" spans="6:6" x14ac:dyDescent="0.3">
      <c r="F18443" s="193"/>
    </row>
    <row r="18444" spans="6:6" x14ac:dyDescent="0.3">
      <c r="F18444" s="193"/>
    </row>
    <row r="18445" spans="6:6" x14ac:dyDescent="0.3">
      <c r="F18445" s="193"/>
    </row>
    <row r="18446" spans="6:6" x14ac:dyDescent="0.3">
      <c r="F18446" s="193"/>
    </row>
    <row r="18447" spans="6:6" x14ac:dyDescent="0.3">
      <c r="F18447" s="193"/>
    </row>
    <row r="18448" spans="6:6" x14ac:dyDescent="0.3">
      <c r="F18448" s="193"/>
    </row>
    <row r="18449" spans="6:6" x14ac:dyDescent="0.3">
      <c r="F18449" s="193"/>
    </row>
    <row r="18450" spans="6:6" x14ac:dyDescent="0.3">
      <c r="F18450" s="193"/>
    </row>
    <row r="18451" spans="6:6" x14ac:dyDescent="0.3">
      <c r="F18451" s="193"/>
    </row>
    <row r="18452" spans="6:6" x14ac:dyDescent="0.3">
      <c r="F18452" s="193"/>
    </row>
    <row r="18453" spans="6:6" x14ac:dyDescent="0.3">
      <c r="F18453" s="193"/>
    </row>
    <row r="18454" spans="6:6" x14ac:dyDescent="0.3">
      <c r="F18454" s="193"/>
    </row>
    <row r="18455" spans="6:6" x14ac:dyDescent="0.3">
      <c r="F18455" s="193"/>
    </row>
    <row r="18456" spans="6:6" x14ac:dyDescent="0.3">
      <c r="F18456" s="193"/>
    </row>
    <row r="18457" spans="6:6" x14ac:dyDescent="0.3">
      <c r="F18457" s="193"/>
    </row>
    <row r="18458" spans="6:6" x14ac:dyDescent="0.3">
      <c r="F18458" s="193"/>
    </row>
    <row r="18459" spans="6:6" x14ac:dyDescent="0.3">
      <c r="F18459" s="193"/>
    </row>
    <row r="18460" spans="6:6" x14ac:dyDescent="0.3">
      <c r="F18460" s="193"/>
    </row>
    <row r="18461" spans="6:6" x14ac:dyDescent="0.3">
      <c r="F18461" s="193"/>
    </row>
    <row r="18462" spans="6:6" x14ac:dyDescent="0.3">
      <c r="F18462" s="193"/>
    </row>
    <row r="18463" spans="6:6" x14ac:dyDescent="0.3">
      <c r="F18463" s="193"/>
    </row>
    <row r="18464" spans="6:6" x14ac:dyDescent="0.3">
      <c r="F18464" s="193"/>
    </row>
    <row r="18465" spans="6:6" x14ac:dyDescent="0.3">
      <c r="F18465" s="193"/>
    </row>
    <row r="18466" spans="6:6" x14ac:dyDescent="0.3">
      <c r="F18466" s="193"/>
    </row>
    <row r="18467" spans="6:6" x14ac:dyDescent="0.3">
      <c r="F18467" s="193"/>
    </row>
    <row r="18468" spans="6:6" x14ac:dyDescent="0.3">
      <c r="F18468" s="193"/>
    </row>
    <row r="18469" spans="6:6" x14ac:dyDescent="0.3">
      <c r="F18469" s="193"/>
    </row>
    <row r="18470" spans="6:6" x14ac:dyDescent="0.3">
      <c r="F18470" s="193"/>
    </row>
    <row r="18471" spans="6:6" x14ac:dyDescent="0.3">
      <c r="F18471" s="193"/>
    </row>
    <row r="18472" spans="6:6" x14ac:dyDescent="0.3">
      <c r="F18472" s="193"/>
    </row>
    <row r="18473" spans="6:6" x14ac:dyDescent="0.3">
      <c r="F18473" s="193"/>
    </row>
    <row r="18474" spans="6:6" x14ac:dyDescent="0.3">
      <c r="F18474" s="193"/>
    </row>
    <row r="18475" spans="6:6" x14ac:dyDescent="0.3">
      <c r="F18475" s="193"/>
    </row>
    <row r="18476" spans="6:6" x14ac:dyDescent="0.3">
      <c r="F18476" s="193"/>
    </row>
    <row r="18477" spans="6:6" x14ac:dyDescent="0.3">
      <c r="F18477" s="193"/>
    </row>
    <row r="18478" spans="6:6" x14ac:dyDescent="0.3">
      <c r="F18478" s="193"/>
    </row>
    <row r="18479" spans="6:6" x14ac:dyDescent="0.3">
      <c r="F18479" s="193"/>
    </row>
    <row r="18480" spans="6:6" x14ac:dyDescent="0.3">
      <c r="F18480" s="193"/>
    </row>
    <row r="18481" spans="6:6" x14ac:dyDescent="0.3">
      <c r="F18481" s="193"/>
    </row>
    <row r="18482" spans="6:6" x14ac:dyDescent="0.3">
      <c r="F18482" s="193"/>
    </row>
    <row r="18483" spans="6:6" x14ac:dyDescent="0.3">
      <c r="F18483" s="193"/>
    </row>
    <row r="18484" spans="6:6" x14ac:dyDescent="0.3">
      <c r="F18484" s="193"/>
    </row>
    <row r="18485" spans="6:6" x14ac:dyDescent="0.3">
      <c r="F18485" s="193"/>
    </row>
    <row r="18486" spans="6:6" x14ac:dyDescent="0.3">
      <c r="F18486" s="193"/>
    </row>
    <row r="18487" spans="6:6" x14ac:dyDescent="0.3">
      <c r="F18487" s="193"/>
    </row>
    <row r="18488" spans="6:6" x14ac:dyDescent="0.3">
      <c r="F18488" s="193"/>
    </row>
    <row r="18489" spans="6:6" x14ac:dyDescent="0.3">
      <c r="F18489" s="193"/>
    </row>
    <row r="18490" spans="6:6" x14ac:dyDescent="0.3">
      <c r="F18490" s="193"/>
    </row>
    <row r="18491" spans="6:6" x14ac:dyDescent="0.3">
      <c r="F18491" s="193"/>
    </row>
    <row r="18492" spans="6:6" x14ac:dyDescent="0.3">
      <c r="F18492" s="193"/>
    </row>
    <row r="18493" spans="6:6" x14ac:dyDescent="0.3">
      <c r="F18493" s="193"/>
    </row>
    <row r="18494" spans="6:6" x14ac:dyDescent="0.3">
      <c r="F18494" s="193"/>
    </row>
    <row r="18495" spans="6:6" x14ac:dyDescent="0.3">
      <c r="F18495" s="193"/>
    </row>
    <row r="18496" spans="6:6" x14ac:dyDescent="0.3">
      <c r="F18496" s="193"/>
    </row>
    <row r="18497" spans="6:6" x14ac:dyDescent="0.3">
      <c r="F18497" s="193"/>
    </row>
    <row r="18498" spans="6:6" x14ac:dyDescent="0.3">
      <c r="F18498" s="193"/>
    </row>
    <row r="18499" spans="6:6" x14ac:dyDescent="0.3">
      <c r="F18499" s="193"/>
    </row>
    <row r="18500" spans="6:6" x14ac:dyDescent="0.3">
      <c r="F18500" s="193"/>
    </row>
    <row r="18501" spans="6:6" x14ac:dyDescent="0.3">
      <c r="F18501" s="193"/>
    </row>
    <row r="18502" spans="6:6" x14ac:dyDescent="0.3">
      <c r="F18502" s="193"/>
    </row>
    <row r="18503" spans="6:6" x14ac:dyDescent="0.3">
      <c r="F18503" s="193"/>
    </row>
    <row r="18504" spans="6:6" x14ac:dyDescent="0.3">
      <c r="F18504" s="193"/>
    </row>
    <row r="18505" spans="6:6" x14ac:dyDescent="0.3">
      <c r="F18505" s="193"/>
    </row>
    <row r="18506" spans="6:6" x14ac:dyDescent="0.3">
      <c r="F18506" s="193"/>
    </row>
    <row r="18507" spans="6:6" x14ac:dyDescent="0.3">
      <c r="F18507" s="193"/>
    </row>
    <row r="18508" spans="6:6" x14ac:dyDescent="0.3">
      <c r="F18508" s="193"/>
    </row>
    <row r="18509" spans="6:6" x14ac:dyDescent="0.3">
      <c r="F18509" s="193"/>
    </row>
    <row r="18510" spans="6:6" x14ac:dyDescent="0.3">
      <c r="F18510" s="193"/>
    </row>
    <row r="18511" spans="6:6" x14ac:dyDescent="0.3">
      <c r="F18511" s="193"/>
    </row>
    <row r="18512" spans="6:6" x14ac:dyDescent="0.3">
      <c r="F18512" s="193"/>
    </row>
    <row r="18513" spans="6:6" x14ac:dyDescent="0.3">
      <c r="F18513" s="193"/>
    </row>
    <row r="18514" spans="6:6" x14ac:dyDescent="0.3">
      <c r="F18514" s="193"/>
    </row>
    <row r="18515" spans="6:6" x14ac:dyDescent="0.3">
      <c r="F18515" s="193"/>
    </row>
    <row r="18516" spans="6:6" x14ac:dyDescent="0.3">
      <c r="F18516" s="193"/>
    </row>
    <row r="18517" spans="6:6" x14ac:dyDescent="0.3">
      <c r="F18517" s="193"/>
    </row>
    <row r="18518" spans="6:6" x14ac:dyDescent="0.3">
      <c r="F18518" s="193"/>
    </row>
    <row r="18519" spans="6:6" x14ac:dyDescent="0.3">
      <c r="F18519" s="193"/>
    </row>
    <row r="18520" spans="6:6" x14ac:dyDescent="0.3">
      <c r="F18520" s="193"/>
    </row>
    <row r="18521" spans="6:6" x14ac:dyDescent="0.3">
      <c r="F18521" s="193"/>
    </row>
    <row r="18522" spans="6:6" x14ac:dyDescent="0.3">
      <c r="F18522" s="193"/>
    </row>
    <row r="18523" spans="6:6" x14ac:dyDescent="0.3">
      <c r="F18523" s="193"/>
    </row>
    <row r="18524" spans="6:6" x14ac:dyDescent="0.3">
      <c r="F18524" s="193"/>
    </row>
    <row r="18525" spans="6:6" x14ac:dyDescent="0.3">
      <c r="F18525" s="193"/>
    </row>
    <row r="18526" spans="6:6" x14ac:dyDescent="0.3">
      <c r="F18526" s="193"/>
    </row>
    <row r="18527" spans="6:6" x14ac:dyDescent="0.3">
      <c r="F18527" s="193"/>
    </row>
    <row r="18528" spans="6:6" x14ac:dyDescent="0.3">
      <c r="F18528" s="193"/>
    </row>
    <row r="18529" spans="6:6" x14ac:dyDescent="0.3">
      <c r="F18529" s="193"/>
    </row>
    <row r="18530" spans="6:6" x14ac:dyDescent="0.3">
      <c r="F18530" s="193"/>
    </row>
    <row r="18531" spans="6:6" x14ac:dyDescent="0.3">
      <c r="F18531" s="193"/>
    </row>
    <row r="18532" spans="6:6" x14ac:dyDescent="0.3">
      <c r="F18532" s="193"/>
    </row>
    <row r="18533" spans="6:6" x14ac:dyDescent="0.3">
      <c r="F18533" s="193"/>
    </row>
    <row r="18534" spans="6:6" x14ac:dyDescent="0.3">
      <c r="F18534" s="193"/>
    </row>
    <row r="18535" spans="6:6" x14ac:dyDescent="0.3">
      <c r="F18535" s="193"/>
    </row>
    <row r="18536" spans="6:6" x14ac:dyDescent="0.3">
      <c r="F18536" s="193"/>
    </row>
    <row r="18537" spans="6:6" x14ac:dyDescent="0.3">
      <c r="F18537" s="193"/>
    </row>
    <row r="18538" spans="6:6" x14ac:dyDescent="0.3">
      <c r="F18538" s="193"/>
    </row>
    <row r="18539" spans="6:6" x14ac:dyDescent="0.3">
      <c r="F18539" s="193"/>
    </row>
    <row r="18540" spans="6:6" x14ac:dyDescent="0.3">
      <c r="F18540" s="193"/>
    </row>
    <row r="18541" spans="6:6" x14ac:dyDescent="0.3">
      <c r="F18541" s="193"/>
    </row>
    <row r="18542" spans="6:6" x14ac:dyDescent="0.3">
      <c r="F18542" s="193"/>
    </row>
    <row r="18543" spans="6:6" x14ac:dyDescent="0.3">
      <c r="F18543" s="193"/>
    </row>
    <row r="18544" spans="6:6" x14ac:dyDescent="0.3">
      <c r="F18544" s="193"/>
    </row>
    <row r="18545" spans="6:6" x14ac:dyDescent="0.3">
      <c r="F18545" s="193"/>
    </row>
    <row r="18546" spans="6:6" x14ac:dyDescent="0.3">
      <c r="F18546" s="193"/>
    </row>
    <row r="18547" spans="6:6" x14ac:dyDescent="0.3">
      <c r="F18547" s="193"/>
    </row>
    <row r="18548" spans="6:6" x14ac:dyDescent="0.3">
      <c r="F18548" s="193"/>
    </row>
    <row r="18549" spans="6:6" x14ac:dyDescent="0.3">
      <c r="F18549" s="193"/>
    </row>
    <row r="18550" spans="6:6" x14ac:dyDescent="0.3">
      <c r="F18550" s="193"/>
    </row>
    <row r="18551" spans="6:6" x14ac:dyDescent="0.3">
      <c r="F18551" s="193"/>
    </row>
    <row r="18552" spans="6:6" x14ac:dyDescent="0.3">
      <c r="F18552" s="193"/>
    </row>
    <row r="18553" spans="6:6" x14ac:dyDescent="0.3">
      <c r="F18553" s="193"/>
    </row>
    <row r="18554" spans="6:6" x14ac:dyDescent="0.3">
      <c r="F18554" s="193"/>
    </row>
    <row r="18555" spans="6:6" x14ac:dyDescent="0.3">
      <c r="F18555" s="193"/>
    </row>
    <row r="18556" spans="6:6" x14ac:dyDescent="0.3">
      <c r="F18556" s="193"/>
    </row>
    <row r="18557" spans="6:6" x14ac:dyDescent="0.3">
      <c r="F18557" s="193"/>
    </row>
    <row r="18558" spans="6:6" x14ac:dyDescent="0.3">
      <c r="F18558" s="193"/>
    </row>
    <row r="18559" spans="6:6" x14ac:dyDescent="0.3">
      <c r="F18559" s="193"/>
    </row>
    <row r="18560" spans="6:6" x14ac:dyDescent="0.3">
      <c r="F18560" s="193"/>
    </row>
    <row r="18561" spans="6:6" x14ac:dyDescent="0.3">
      <c r="F18561" s="193"/>
    </row>
    <row r="18562" spans="6:6" x14ac:dyDescent="0.3">
      <c r="F18562" s="193"/>
    </row>
    <row r="18563" spans="6:6" x14ac:dyDescent="0.3">
      <c r="F18563" s="193"/>
    </row>
    <row r="18564" spans="6:6" x14ac:dyDescent="0.3">
      <c r="F18564" s="193"/>
    </row>
    <row r="18565" spans="6:6" x14ac:dyDescent="0.3">
      <c r="F18565" s="193"/>
    </row>
    <row r="18566" spans="6:6" x14ac:dyDescent="0.3">
      <c r="F18566" s="193"/>
    </row>
    <row r="18567" spans="6:6" x14ac:dyDescent="0.3">
      <c r="F18567" s="193"/>
    </row>
    <row r="18568" spans="6:6" x14ac:dyDescent="0.3">
      <c r="F18568" s="193"/>
    </row>
    <row r="18569" spans="6:6" x14ac:dyDescent="0.3">
      <c r="F18569" s="193"/>
    </row>
    <row r="18570" spans="6:6" x14ac:dyDescent="0.3">
      <c r="F18570" s="193"/>
    </row>
    <row r="18571" spans="6:6" x14ac:dyDescent="0.3">
      <c r="F18571" s="193"/>
    </row>
    <row r="18572" spans="6:6" x14ac:dyDescent="0.3">
      <c r="F18572" s="193"/>
    </row>
    <row r="18573" spans="6:6" x14ac:dyDescent="0.3">
      <c r="F18573" s="193"/>
    </row>
    <row r="18574" spans="6:6" x14ac:dyDescent="0.3">
      <c r="F18574" s="193"/>
    </row>
    <row r="18575" spans="6:6" x14ac:dyDescent="0.3">
      <c r="F18575" s="193"/>
    </row>
    <row r="18576" spans="6:6" x14ac:dyDescent="0.3">
      <c r="F18576" s="193"/>
    </row>
    <row r="18577" spans="6:6" x14ac:dyDescent="0.3">
      <c r="F18577" s="193"/>
    </row>
    <row r="18578" spans="6:6" x14ac:dyDescent="0.3">
      <c r="F18578" s="193"/>
    </row>
    <row r="18579" spans="6:6" x14ac:dyDescent="0.3">
      <c r="F18579" s="193"/>
    </row>
    <row r="18580" spans="6:6" x14ac:dyDescent="0.3">
      <c r="F18580" s="193"/>
    </row>
    <row r="18581" spans="6:6" x14ac:dyDescent="0.3">
      <c r="F18581" s="193"/>
    </row>
    <row r="18582" spans="6:6" x14ac:dyDescent="0.3">
      <c r="F18582" s="193"/>
    </row>
    <row r="18583" spans="6:6" x14ac:dyDescent="0.3">
      <c r="F18583" s="193"/>
    </row>
    <row r="18584" spans="6:6" x14ac:dyDescent="0.3">
      <c r="F18584" s="193"/>
    </row>
    <row r="18585" spans="6:6" x14ac:dyDescent="0.3">
      <c r="F18585" s="193"/>
    </row>
    <row r="18586" spans="6:6" x14ac:dyDescent="0.3">
      <c r="F18586" s="193"/>
    </row>
    <row r="18587" spans="6:6" x14ac:dyDescent="0.3">
      <c r="F18587" s="193"/>
    </row>
    <row r="18588" spans="6:6" x14ac:dyDescent="0.3">
      <c r="F18588" s="193"/>
    </row>
    <row r="18589" spans="6:6" x14ac:dyDescent="0.3">
      <c r="F18589" s="193"/>
    </row>
    <row r="18590" spans="6:6" x14ac:dyDescent="0.3">
      <c r="F18590" s="193"/>
    </row>
    <row r="18591" spans="6:6" x14ac:dyDescent="0.3">
      <c r="F18591" s="193"/>
    </row>
    <row r="18592" spans="6:6" x14ac:dyDescent="0.3">
      <c r="F18592" s="193"/>
    </row>
    <row r="18593" spans="6:6" x14ac:dyDescent="0.3">
      <c r="F18593" s="193"/>
    </row>
    <row r="18594" spans="6:6" x14ac:dyDescent="0.3">
      <c r="F18594" s="193"/>
    </row>
    <row r="18595" spans="6:6" x14ac:dyDescent="0.3">
      <c r="F18595" s="193"/>
    </row>
    <row r="18596" spans="6:6" x14ac:dyDescent="0.3">
      <c r="F18596" s="193"/>
    </row>
    <row r="18597" spans="6:6" x14ac:dyDescent="0.3">
      <c r="F18597" s="193"/>
    </row>
    <row r="18598" spans="6:6" x14ac:dyDescent="0.3">
      <c r="F18598" s="193"/>
    </row>
    <row r="18599" spans="6:6" x14ac:dyDescent="0.3">
      <c r="F18599" s="193"/>
    </row>
    <row r="18600" spans="6:6" x14ac:dyDescent="0.3">
      <c r="F18600" s="193"/>
    </row>
    <row r="18601" spans="6:6" x14ac:dyDescent="0.3">
      <c r="F18601" s="193"/>
    </row>
    <row r="18602" spans="6:6" x14ac:dyDescent="0.3">
      <c r="F18602" s="193"/>
    </row>
    <row r="18603" spans="6:6" x14ac:dyDescent="0.3">
      <c r="F18603" s="193"/>
    </row>
    <row r="18604" spans="6:6" x14ac:dyDescent="0.3">
      <c r="F18604" s="193"/>
    </row>
    <row r="18605" spans="6:6" x14ac:dyDescent="0.3">
      <c r="F18605" s="193"/>
    </row>
    <row r="18606" spans="6:6" x14ac:dyDescent="0.3">
      <c r="F18606" s="193"/>
    </row>
    <row r="18607" spans="6:6" x14ac:dyDescent="0.3">
      <c r="F18607" s="193"/>
    </row>
    <row r="18608" spans="6:6" x14ac:dyDescent="0.3">
      <c r="F18608" s="193"/>
    </row>
    <row r="18609" spans="6:6" x14ac:dyDescent="0.3">
      <c r="F18609" s="193"/>
    </row>
    <row r="18610" spans="6:6" x14ac:dyDescent="0.3">
      <c r="F18610" s="193"/>
    </row>
    <row r="18611" spans="6:6" x14ac:dyDescent="0.3">
      <c r="F18611" s="193"/>
    </row>
    <row r="18612" spans="6:6" x14ac:dyDescent="0.3">
      <c r="F18612" s="193"/>
    </row>
    <row r="18613" spans="6:6" x14ac:dyDescent="0.3">
      <c r="F18613" s="193"/>
    </row>
    <row r="18614" spans="6:6" x14ac:dyDescent="0.3">
      <c r="F18614" s="193"/>
    </row>
    <row r="18615" spans="6:6" x14ac:dyDescent="0.3">
      <c r="F18615" s="193"/>
    </row>
    <row r="18616" spans="6:6" x14ac:dyDescent="0.3">
      <c r="F18616" s="193"/>
    </row>
    <row r="18617" spans="6:6" x14ac:dyDescent="0.3">
      <c r="F18617" s="193"/>
    </row>
    <row r="18618" spans="6:6" x14ac:dyDescent="0.3">
      <c r="F18618" s="193"/>
    </row>
    <row r="18619" spans="6:6" x14ac:dyDescent="0.3">
      <c r="F18619" s="193"/>
    </row>
    <row r="18620" spans="6:6" x14ac:dyDescent="0.3">
      <c r="F18620" s="193"/>
    </row>
    <row r="18621" spans="6:6" x14ac:dyDescent="0.3">
      <c r="F18621" s="193"/>
    </row>
    <row r="18622" spans="6:6" x14ac:dyDescent="0.3">
      <c r="F18622" s="193"/>
    </row>
    <row r="18623" spans="6:6" x14ac:dyDescent="0.3">
      <c r="F18623" s="193"/>
    </row>
    <row r="18624" spans="6:6" x14ac:dyDescent="0.3">
      <c r="F18624" s="193"/>
    </row>
    <row r="18625" spans="6:6" x14ac:dyDescent="0.3">
      <c r="F18625" s="193"/>
    </row>
    <row r="18626" spans="6:6" x14ac:dyDescent="0.3">
      <c r="F18626" s="193"/>
    </row>
    <row r="18627" spans="6:6" x14ac:dyDescent="0.3">
      <c r="F18627" s="193"/>
    </row>
    <row r="18628" spans="6:6" x14ac:dyDescent="0.3">
      <c r="F18628" s="193"/>
    </row>
    <row r="18629" spans="6:6" x14ac:dyDescent="0.3">
      <c r="F18629" s="193"/>
    </row>
    <row r="18630" spans="6:6" x14ac:dyDescent="0.3">
      <c r="F18630" s="193"/>
    </row>
    <row r="18631" spans="6:6" x14ac:dyDescent="0.3">
      <c r="F18631" s="193"/>
    </row>
    <row r="18632" spans="6:6" x14ac:dyDescent="0.3">
      <c r="F18632" s="193"/>
    </row>
    <row r="18633" spans="6:6" x14ac:dyDescent="0.3">
      <c r="F18633" s="193"/>
    </row>
    <row r="18634" spans="6:6" x14ac:dyDescent="0.3">
      <c r="F18634" s="193"/>
    </row>
    <row r="18635" spans="6:6" x14ac:dyDescent="0.3">
      <c r="F18635" s="193"/>
    </row>
    <row r="18636" spans="6:6" x14ac:dyDescent="0.3">
      <c r="F18636" s="193"/>
    </row>
    <row r="18637" spans="6:6" x14ac:dyDescent="0.3">
      <c r="F18637" s="193"/>
    </row>
    <row r="18638" spans="6:6" x14ac:dyDescent="0.3">
      <c r="F18638" s="193"/>
    </row>
    <row r="18639" spans="6:6" x14ac:dyDescent="0.3">
      <c r="F18639" s="193"/>
    </row>
    <row r="18640" spans="6:6" x14ac:dyDescent="0.3">
      <c r="F18640" s="193"/>
    </row>
    <row r="18641" spans="6:6" x14ac:dyDescent="0.3">
      <c r="F18641" s="193"/>
    </row>
    <row r="18642" spans="6:6" x14ac:dyDescent="0.3">
      <c r="F18642" s="193"/>
    </row>
    <row r="18643" spans="6:6" x14ac:dyDescent="0.3">
      <c r="F18643" s="193"/>
    </row>
    <row r="18644" spans="6:6" x14ac:dyDescent="0.3">
      <c r="F18644" s="193"/>
    </row>
    <row r="18645" spans="6:6" x14ac:dyDescent="0.3">
      <c r="F18645" s="193"/>
    </row>
    <row r="18646" spans="6:6" x14ac:dyDescent="0.3">
      <c r="F18646" s="193"/>
    </row>
    <row r="18647" spans="6:6" x14ac:dyDescent="0.3">
      <c r="F18647" s="193"/>
    </row>
    <row r="18648" spans="6:6" x14ac:dyDescent="0.3">
      <c r="F18648" s="193"/>
    </row>
    <row r="18649" spans="6:6" x14ac:dyDescent="0.3">
      <c r="F18649" s="193"/>
    </row>
    <row r="18650" spans="6:6" x14ac:dyDescent="0.3">
      <c r="F18650" s="193"/>
    </row>
    <row r="18651" spans="6:6" x14ac:dyDescent="0.3">
      <c r="F18651" s="193"/>
    </row>
    <row r="18652" spans="6:6" x14ac:dyDescent="0.3">
      <c r="F18652" s="193"/>
    </row>
    <row r="18653" spans="6:6" x14ac:dyDescent="0.3">
      <c r="F18653" s="193"/>
    </row>
    <row r="18654" spans="6:6" x14ac:dyDescent="0.3">
      <c r="F18654" s="193"/>
    </row>
    <row r="18655" spans="6:6" x14ac:dyDescent="0.3">
      <c r="F18655" s="193"/>
    </row>
    <row r="18656" spans="6:6" x14ac:dyDescent="0.3">
      <c r="F18656" s="193"/>
    </row>
    <row r="18657" spans="6:6" x14ac:dyDescent="0.3">
      <c r="F18657" s="193"/>
    </row>
    <row r="18658" spans="6:6" x14ac:dyDescent="0.3">
      <c r="F18658" s="193"/>
    </row>
    <row r="18659" spans="6:6" x14ac:dyDescent="0.3">
      <c r="F18659" s="193"/>
    </row>
    <row r="18660" spans="6:6" x14ac:dyDescent="0.3">
      <c r="F18660" s="193"/>
    </row>
    <row r="18661" spans="6:6" x14ac:dyDescent="0.3">
      <c r="F18661" s="193"/>
    </row>
    <row r="18662" spans="6:6" x14ac:dyDescent="0.3">
      <c r="F18662" s="193"/>
    </row>
    <row r="18663" spans="6:6" x14ac:dyDescent="0.3">
      <c r="F18663" s="193"/>
    </row>
    <row r="18664" spans="6:6" x14ac:dyDescent="0.3">
      <c r="F18664" s="193"/>
    </row>
    <row r="18665" spans="6:6" x14ac:dyDescent="0.3">
      <c r="F18665" s="193"/>
    </row>
    <row r="18666" spans="6:6" x14ac:dyDescent="0.3">
      <c r="F18666" s="193"/>
    </row>
    <row r="18667" spans="6:6" x14ac:dyDescent="0.3">
      <c r="F18667" s="193"/>
    </row>
    <row r="18668" spans="6:6" x14ac:dyDescent="0.3">
      <c r="F18668" s="193"/>
    </row>
    <row r="18669" spans="6:6" x14ac:dyDescent="0.3">
      <c r="F18669" s="193"/>
    </row>
    <row r="18670" spans="6:6" x14ac:dyDescent="0.3">
      <c r="F18670" s="193"/>
    </row>
    <row r="18671" spans="6:6" x14ac:dyDescent="0.3">
      <c r="F18671" s="193"/>
    </row>
    <row r="18672" spans="6:6" x14ac:dyDescent="0.3">
      <c r="F18672" s="193"/>
    </row>
    <row r="18673" spans="6:6" x14ac:dyDescent="0.3">
      <c r="F18673" s="193"/>
    </row>
    <row r="18674" spans="6:6" x14ac:dyDescent="0.3">
      <c r="F18674" s="193"/>
    </row>
    <row r="18675" spans="6:6" x14ac:dyDescent="0.3">
      <c r="F18675" s="193"/>
    </row>
    <row r="18676" spans="6:6" x14ac:dyDescent="0.3">
      <c r="F18676" s="193"/>
    </row>
    <row r="18677" spans="6:6" x14ac:dyDescent="0.3">
      <c r="F18677" s="193"/>
    </row>
    <row r="18678" spans="6:6" x14ac:dyDescent="0.3">
      <c r="F18678" s="193"/>
    </row>
    <row r="18679" spans="6:6" x14ac:dyDescent="0.3">
      <c r="F18679" s="193"/>
    </row>
    <row r="18680" spans="6:6" x14ac:dyDescent="0.3">
      <c r="F18680" s="193"/>
    </row>
    <row r="18681" spans="6:6" x14ac:dyDescent="0.3">
      <c r="F18681" s="193"/>
    </row>
    <row r="18682" spans="6:6" x14ac:dyDescent="0.3">
      <c r="F18682" s="193"/>
    </row>
    <row r="18683" spans="6:6" x14ac:dyDescent="0.3">
      <c r="F18683" s="193"/>
    </row>
    <row r="18684" spans="6:6" x14ac:dyDescent="0.3">
      <c r="F18684" s="193"/>
    </row>
    <row r="18685" spans="6:6" x14ac:dyDescent="0.3">
      <c r="F18685" s="193"/>
    </row>
    <row r="18686" spans="6:6" x14ac:dyDescent="0.3">
      <c r="F18686" s="193"/>
    </row>
    <row r="18687" spans="6:6" x14ac:dyDescent="0.3">
      <c r="F18687" s="193"/>
    </row>
    <row r="18688" spans="6:6" x14ac:dyDescent="0.3">
      <c r="F18688" s="193"/>
    </row>
    <row r="18689" spans="6:6" x14ac:dyDescent="0.3">
      <c r="F18689" s="193"/>
    </row>
    <row r="18690" spans="6:6" x14ac:dyDescent="0.3">
      <c r="F18690" s="193"/>
    </row>
    <row r="18691" spans="6:6" x14ac:dyDescent="0.3">
      <c r="F18691" s="193"/>
    </row>
    <row r="18692" spans="6:6" x14ac:dyDescent="0.3">
      <c r="F18692" s="193"/>
    </row>
    <row r="18693" spans="6:6" x14ac:dyDescent="0.3">
      <c r="F18693" s="193"/>
    </row>
    <row r="18694" spans="6:6" x14ac:dyDescent="0.3">
      <c r="F18694" s="193"/>
    </row>
    <row r="18695" spans="6:6" x14ac:dyDescent="0.3">
      <c r="F18695" s="193"/>
    </row>
    <row r="18696" spans="6:6" x14ac:dyDescent="0.3">
      <c r="F18696" s="193"/>
    </row>
    <row r="18697" spans="6:6" x14ac:dyDescent="0.3">
      <c r="F18697" s="193"/>
    </row>
    <row r="18698" spans="6:6" x14ac:dyDescent="0.3">
      <c r="F18698" s="193"/>
    </row>
    <row r="18699" spans="6:6" x14ac:dyDescent="0.3">
      <c r="F18699" s="193"/>
    </row>
    <row r="18700" spans="6:6" x14ac:dyDescent="0.3">
      <c r="F18700" s="193"/>
    </row>
    <row r="18701" spans="6:6" x14ac:dyDescent="0.3">
      <c r="F18701" s="193"/>
    </row>
    <row r="18702" spans="6:6" x14ac:dyDescent="0.3">
      <c r="F18702" s="193"/>
    </row>
    <row r="18703" spans="6:6" x14ac:dyDescent="0.3">
      <c r="F18703" s="193"/>
    </row>
    <row r="18704" spans="6:6" x14ac:dyDescent="0.3">
      <c r="F18704" s="193"/>
    </row>
    <row r="18705" spans="6:6" x14ac:dyDescent="0.3">
      <c r="F18705" s="193"/>
    </row>
    <row r="18706" spans="6:6" x14ac:dyDescent="0.3">
      <c r="F18706" s="193"/>
    </row>
    <row r="18707" spans="6:6" x14ac:dyDescent="0.3">
      <c r="F18707" s="193"/>
    </row>
    <row r="18708" spans="6:6" x14ac:dyDescent="0.3">
      <c r="F18708" s="193"/>
    </row>
    <row r="18709" spans="6:6" x14ac:dyDescent="0.3">
      <c r="F18709" s="193"/>
    </row>
    <row r="18710" spans="6:6" x14ac:dyDescent="0.3">
      <c r="F18710" s="193"/>
    </row>
    <row r="18711" spans="6:6" x14ac:dyDescent="0.3">
      <c r="F18711" s="193"/>
    </row>
    <row r="18712" spans="6:6" x14ac:dyDescent="0.3">
      <c r="F18712" s="193"/>
    </row>
    <row r="18713" spans="6:6" x14ac:dyDescent="0.3">
      <c r="F18713" s="193"/>
    </row>
    <row r="18714" spans="6:6" x14ac:dyDescent="0.3">
      <c r="F18714" s="193"/>
    </row>
    <row r="18715" spans="6:6" x14ac:dyDescent="0.3">
      <c r="F18715" s="193"/>
    </row>
    <row r="18716" spans="6:6" x14ac:dyDescent="0.3">
      <c r="F18716" s="193"/>
    </row>
    <row r="18717" spans="6:6" x14ac:dyDescent="0.3">
      <c r="F18717" s="193"/>
    </row>
    <row r="18718" spans="6:6" x14ac:dyDescent="0.3">
      <c r="F18718" s="193"/>
    </row>
    <row r="18719" spans="6:6" x14ac:dyDescent="0.3">
      <c r="F18719" s="193"/>
    </row>
    <row r="18720" spans="6:6" x14ac:dyDescent="0.3">
      <c r="F18720" s="193"/>
    </row>
    <row r="18721" spans="6:6" x14ac:dyDescent="0.3">
      <c r="F18721" s="193"/>
    </row>
    <row r="18722" spans="6:6" x14ac:dyDescent="0.3">
      <c r="F18722" s="193"/>
    </row>
    <row r="18723" spans="6:6" x14ac:dyDescent="0.3">
      <c r="F18723" s="193"/>
    </row>
    <row r="18724" spans="6:6" x14ac:dyDescent="0.3">
      <c r="F18724" s="193"/>
    </row>
    <row r="18725" spans="6:6" x14ac:dyDescent="0.3">
      <c r="F18725" s="193"/>
    </row>
    <row r="18726" spans="6:6" x14ac:dyDescent="0.3">
      <c r="F18726" s="193"/>
    </row>
    <row r="18727" spans="6:6" x14ac:dyDescent="0.3">
      <c r="F18727" s="193"/>
    </row>
    <row r="18728" spans="6:6" x14ac:dyDescent="0.3">
      <c r="F18728" s="193"/>
    </row>
    <row r="18729" spans="6:6" x14ac:dyDescent="0.3">
      <c r="F18729" s="193"/>
    </row>
    <row r="18730" spans="6:6" x14ac:dyDescent="0.3">
      <c r="F18730" s="193"/>
    </row>
    <row r="18731" spans="6:6" x14ac:dyDescent="0.3">
      <c r="F18731" s="193"/>
    </row>
    <row r="18732" spans="6:6" x14ac:dyDescent="0.3">
      <c r="F18732" s="193"/>
    </row>
    <row r="18733" spans="6:6" x14ac:dyDescent="0.3">
      <c r="F18733" s="193"/>
    </row>
    <row r="18734" spans="6:6" x14ac:dyDescent="0.3">
      <c r="F18734" s="193"/>
    </row>
    <row r="18735" spans="6:6" x14ac:dyDescent="0.3">
      <c r="F18735" s="193"/>
    </row>
    <row r="18736" spans="6:6" x14ac:dyDescent="0.3">
      <c r="F18736" s="193"/>
    </row>
    <row r="18737" spans="6:6" x14ac:dyDescent="0.3">
      <c r="F18737" s="193"/>
    </row>
    <row r="18738" spans="6:6" x14ac:dyDescent="0.3">
      <c r="F18738" s="193"/>
    </row>
    <row r="18739" spans="6:6" x14ac:dyDescent="0.3">
      <c r="F18739" s="193"/>
    </row>
    <row r="18740" spans="6:6" x14ac:dyDescent="0.3">
      <c r="F18740" s="193"/>
    </row>
    <row r="18741" spans="6:6" x14ac:dyDescent="0.3">
      <c r="F18741" s="193"/>
    </row>
    <row r="18742" spans="6:6" x14ac:dyDescent="0.3">
      <c r="F18742" s="193"/>
    </row>
    <row r="18743" spans="6:6" x14ac:dyDescent="0.3">
      <c r="F18743" s="193"/>
    </row>
    <row r="18744" spans="6:6" x14ac:dyDescent="0.3">
      <c r="F18744" s="193"/>
    </row>
    <row r="18745" spans="6:6" x14ac:dyDescent="0.3">
      <c r="F18745" s="193"/>
    </row>
    <row r="18746" spans="6:6" x14ac:dyDescent="0.3">
      <c r="F18746" s="193"/>
    </row>
    <row r="18747" spans="6:6" x14ac:dyDescent="0.3">
      <c r="F18747" s="193"/>
    </row>
    <row r="18748" spans="6:6" x14ac:dyDescent="0.3">
      <c r="F18748" s="193"/>
    </row>
    <row r="18749" spans="6:6" x14ac:dyDescent="0.3">
      <c r="F18749" s="193"/>
    </row>
    <row r="18750" spans="6:6" x14ac:dyDescent="0.3">
      <c r="F18750" s="193"/>
    </row>
    <row r="18751" spans="6:6" x14ac:dyDescent="0.3">
      <c r="F18751" s="193"/>
    </row>
    <row r="18752" spans="6:6" x14ac:dyDescent="0.3">
      <c r="F18752" s="193"/>
    </row>
    <row r="18753" spans="6:6" x14ac:dyDescent="0.3">
      <c r="F18753" s="193"/>
    </row>
    <row r="18754" spans="6:6" x14ac:dyDescent="0.3">
      <c r="F18754" s="193"/>
    </row>
    <row r="18755" spans="6:6" x14ac:dyDescent="0.3">
      <c r="F18755" s="193"/>
    </row>
    <row r="18756" spans="6:6" x14ac:dyDescent="0.3">
      <c r="F18756" s="193"/>
    </row>
    <row r="18757" spans="6:6" x14ac:dyDescent="0.3">
      <c r="F18757" s="193"/>
    </row>
    <row r="18758" spans="6:6" x14ac:dyDescent="0.3">
      <c r="F18758" s="193"/>
    </row>
    <row r="18759" spans="6:6" x14ac:dyDescent="0.3">
      <c r="F18759" s="193"/>
    </row>
    <row r="18760" spans="6:6" x14ac:dyDescent="0.3">
      <c r="F18760" s="193"/>
    </row>
    <row r="18761" spans="6:6" x14ac:dyDescent="0.3">
      <c r="F18761" s="193"/>
    </row>
    <row r="18762" spans="6:6" x14ac:dyDescent="0.3">
      <c r="F18762" s="193"/>
    </row>
    <row r="18763" spans="6:6" x14ac:dyDescent="0.3">
      <c r="F18763" s="193"/>
    </row>
    <row r="18764" spans="6:6" x14ac:dyDescent="0.3">
      <c r="F18764" s="193"/>
    </row>
    <row r="18765" spans="6:6" x14ac:dyDescent="0.3">
      <c r="F18765" s="193"/>
    </row>
    <row r="18766" spans="6:6" x14ac:dyDescent="0.3">
      <c r="F18766" s="193"/>
    </row>
    <row r="18767" spans="6:6" x14ac:dyDescent="0.3">
      <c r="F18767" s="193"/>
    </row>
    <row r="18768" spans="6:6" x14ac:dyDescent="0.3">
      <c r="F18768" s="193"/>
    </row>
    <row r="18769" spans="6:6" x14ac:dyDescent="0.3">
      <c r="F18769" s="193"/>
    </row>
    <row r="18770" spans="6:6" x14ac:dyDescent="0.3">
      <c r="F18770" s="193"/>
    </row>
    <row r="18771" spans="6:6" x14ac:dyDescent="0.3">
      <c r="F18771" s="193"/>
    </row>
    <row r="18772" spans="6:6" x14ac:dyDescent="0.3">
      <c r="F18772" s="193"/>
    </row>
    <row r="18773" spans="6:6" x14ac:dyDescent="0.3">
      <c r="F18773" s="193"/>
    </row>
    <row r="18774" spans="6:6" x14ac:dyDescent="0.3">
      <c r="F18774" s="193"/>
    </row>
    <row r="18775" spans="6:6" x14ac:dyDescent="0.3">
      <c r="F18775" s="193"/>
    </row>
    <row r="18776" spans="6:6" x14ac:dyDescent="0.3">
      <c r="F18776" s="193"/>
    </row>
    <row r="18777" spans="6:6" x14ac:dyDescent="0.3">
      <c r="F18777" s="193"/>
    </row>
    <row r="18778" spans="6:6" x14ac:dyDescent="0.3">
      <c r="F18778" s="193"/>
    </row>
    <row r="18779" spans="6:6" x14ac:dyDescent="0.3">
      <c r="F18779" s="193"/>
    </row>
    <row r="18780" spans="6:6" x14ac:dyDescent="0.3">
      <c r="F18780" s="193"/>
    </row>
    <row r="18781" spans="6:6" x14ac:dyDescent="0.3">
      <c r="F18781" s="193"/>
    </row>
    <row r="18782" spans="6:6" x14ac:dyDescent="0.3">
      <c r="F18782" s="193"/>
    </row>
    <row r="18783" spans="6:6" x14ac:dyDescent="0.3">
      <c r="F18783" s="193"/>
    </row>
    <row r="18784" spans="6:6" x14ac:dyDescent="0.3">
      <c r="F18784" s="193"/>
    </row>
    <row r="18785" spans="6:6" x14ac:dyDescent="0.3">
      <c r="F18785" s="193"/>
    </row>
    <row r="18786" spans="6:6" x14ac:dyDescent="0.3">
      <c r="F18786" s="193"/>
    </row>
    <row r="18787" spans="6:6" x14ac:dyDescent="0.3">
      <c r="F18787" s="193"/>
    </row>
    <row r="18788" spans="6:6" x14ac:dyDescent="0.3">
      <c r="F18788" s="193"/>
    </row>
    <row r="18789" spans="6:6" x14ac:dyDescent="0.3">
      <c r="F18789" s="193"/>
    </row>
    <row r="18790" spans="6:6" x14ac:dyDescent="0.3">
      <c r="F18790" s="193"/>
    </row>
    <row r="18791" spans="6:6" x14ac:dyDescent="0.3">
      <c r="F18791" s="193"/>
    </row>
    <row r="18792" spans="6:6" x14ac:dyDescent="0.3">
      <c r="F18792" s="193"/>
    </row>
    <row r="18793" spans="6:6" x14ac:dyDescent="0.3">
      <c r="F18793" s="193"/>
    </row>
    <row r="18794" spans="6:6" x14ac:dyDescent="0.3">
      <c r="F18794" s="193"/>
    </row>
    <row r="18795" spans="6:6" x14ac:dyDescent="0.3">
      <c r="F18795" s="193"/>
    </row>
    <row r="18796" spans="6:6" x14ac:dyDescent="0.3">
      <c r="F18796" s="193"/>
    </row>
    <row r="18797" spans="6:6" x14ac:dyDescent="0.3">
      <c r="F18797" s="193"/>
    </row>
    <row r="18798" spans="6:6" x14ac:dyDescent="0.3">
      <c r="F18798" s="193"/>
    </row>
    <row r="18799" spans="6:6" x14ac:dyDescent="0.3">
      <c r="F18799" s="193"/>
    </row>
    <row r="18800" spans="6:6" x14ac:dyDescent="0.3">
      <c r="F18800" s="193"/>
    </row>
    <row r="18801" spans="6:6" x14ac:dyDescent="0.3">
      <c r="F18801" s="193"/>
    </row>
    <row r="18802" spans="6:6" x14ac:dyDescent="0.3">
      <c r="F18802" s="193"/>
    </row>
    <row r="18803" spans="6:6" x14ac:dyDescent="0.3">
      <c r="F18803" s="193"/>
    </row>
    <row r="18804" spans="6:6" x14ac:dyDescent="0.3">
      <c r="F18804" s="193"/>
    </row>
    <row r="18805" spans="6:6" x14ac:dyDescent="0.3">
      <c r="F18805" s="193"/>
    </row>
    <row r="18806" spans="6:6" x14ac:dyDescent="0.3">
      <c r="F18806" s="193"/>
    </row>
    <row r="18807" spans="6:6" x14ac:dyDescent="0.3">
      <c r="F18807" s="193"/>
    </row>
    <row r="18808" spans="6:6" x14ac:dyDescent="0.3">
      <c r="F18808" s="193"/>
    </row>
    <row r="18809" spans="6:6" x14ac:dyDescent="0.3">
      <c r="F18809" s="193"/>
    </row>
    <row r="18810" spans="6:6" x14ac:dyDescent="0.3">
      <c r="F18810" s="193"/>
    </row>
    <row r="18811" spans="6:6" x14ac:dyDescent="0.3">
      <c r="F18811" s="193"/>
    </row>
    <row r="18812" spans="6:6" x14ac:dyDescent="0.3">
      <c r="F18812" s="193"/>
    </row>
    <row r="18813" spans="6:6" x14ac:dyDescent="0.3">
      <c r="F18813" s="193"/>
    </row>
    <row r="18814" spans="6:6" x14ac:dyDescent="0.3">
      <c r="F18814" s="193"/>
    </row>
    <row r="18815" spans="6:6" x14ac:dyDescent="0.3">
      <c r="F18815" s="193"/>
    </row>
    <row r="18816" spans="6:6" x14ac:dyDescent="0.3">
      <c r="F18816" s="193"/>
    </row>
    <row r="18817" spans="6:6" x14ac:dyDescent="0.3">
      <c r="F18817" s="193"/>
    </row>
    <row r="18818" spans="6:6" x14ac:dyDescent="0.3">
      <c r="F18818" s="193"/>
    </row>
    <row r="18819" spans="6:6" x14ac:dyDescent="0.3">
      <c r="F18819" s="193"/>
    </row>
    <row r="18820" spans="6:6" x14ac:dyDescent="0.3">
      <c r="F18820" s="193"/>
    </row>
    <row r="18821" spans="6:6" x14ac:dyDescent="0.3">
      <c r="F18821" s="193"/>
    </row>
    <row r="18822" spans="6:6" x14ac:dyDescent="0.3">
      <c r="F18822" s="193"/>
    </row>
    <row r="18823" spans="6:6" x14ac:dyDescent="0.3">
      <c r="F18823" s="193"/>
    </row>
    <row r="18824" spans="6:6" x14ac:dyDescent="0.3">
      <c r="F18824" s="193"/>
    </row>
    <row r="18825" spans="6:6" x14ac:dyDescent="0.3">
      <c r="F18825" s="193"/>
    </row>
    <row r="18826" spans="6:6" x14ac:dyDescent="0.3">
      <c r="F18826" s="193"/>
    </row>
    <row r="18827" spans="6:6" x14ac:dyDescent="0.3">
      <c r="F18827" s="193"/>
    </row>
    <row r="18828" spans="6:6" x14ac:dyDescent="0.3">
      <c r="F18828" s="193"/>
    </row>
    <row r="18829" spans="6:6" x14ac:dyDescent="0.3">
      <c r="F18829" s="193"/>
    </row>
    <row r="18830" spans="6:6" x14ac:dyDescent="0.3">
      <c r="F18830" s="193"/>
    </row>
    <row r="18831" spans="6:6" x14ac:dyDescent="0.3">
      <c r="F18831" s="193"/>
    </row>
    <row r="18832" spans="6:6" x14ac:dyDescent="0.3">
      <c r="F18832" s="193"/>
    </row>
    <row r="18833" spans="6:6" x14ac:dyDescent="0.3">
      <c r="F18833" s="193"/>
    </row>
    <row r="18834" spans="6:6" x14ac:dyDescent="0.3">
      <c r="F18834" s="193"/>
    </row>
    <row r="18835" spans="6:6" x14ac:dyDescent="0.3">
      <c r="F18835" s="193"/>
    </row>
    <row r="18836" spans="6:6" x14ac:dyDescent="0.3">
      <c r="F18836" s="193"/>
    </row>
    <row r="18837" spans="6:6" x14ac:dyDescent="0.3">
      <c r="F18837" s="193"/>
    </row>
    <row r="18838" spans="6:6" x14ac:dyDescent="0.3">
      <c r="F18838" s="193"/>
    </row>
    <row r="18839" spans="6:6" x14ac:dyDescent="0.3">
      <c r="F18839" s="193"/>
    </row>
    <row r="18840" spans="6:6" x14ac:dyDescent="0.3">
      <c r="F18840" s="193"/>
    </row>
    <row r="18841" spans="6:6" x14ac:dyDescent="0.3">
      <c r="F18841" s="193"/>
    </row>
    <row r="18842" spans="6:6" x14ac:dyDescent="0.3">
      <c r="F18842" s="193"/>
    </row>
    <row r="18843" spans="6:6" x14ac:dyDescent="0.3">
      <c r="F18843" s="193"/>
    </row>
    <row r="18844" spans="6:6" x14ac:dyDescent="0.3">
      <c r="F18844" s="193"/>
    </row>
    <row r="18845" spans="6:6" x14ac:dyDescent="0.3">
      <c r="F18845" s="193"/>
    </row>
    <row r="18846" spans="6:6" x14ac:dyDescent="0.3">
      <c r="F18846" s="193"/>
    </row>
    <row r="18847" spans="6:6" x14ac:dyDescent="0.3">
      <c r="F18847" s="193"/>
    </row>
    <row r="18848" spans="6:6" x14ac:dyDescent="0.3">
      <c r="F18848" s="193"/>
    </row>
    <row r="18849" spans="6:6" x14ac:dyDescent="0.3">
      <c r="F18849" s="193"/>
    </row>
    <row r="18850" spans="6:6" x14ac:dyDescent="0.3">
      <c r="F18850" s="193"/>
    </row>
    <row r="18851" spans="6:6" x14ac:dyDescent="0.3">
      <c r="F18851" s="193"/>
    </row>
    <row r="18852" spans="6:6" x14ac:dyDescent="0.3">
      <c r="F18852" s="193"/>
    </row>
    <row r="18853" spans="6:6" x14ac:dyDescent="0.3">
      <c r="F18853" s="193"/>
    </row>
    <row r="18854" spans="6:6" x14ac:dyDescent="0.3">
      <c r="F18854" s="193"/>
    </row>
    <row r="18855" spans="6:6" x14ac:dyDescent="0.3">
      <c r="F18855" s="193"/>
    </row>
    <row r="18856" spans="6:6" x14ac:dyDescent="0.3">
      <c r="F18856" s="193"/>
    </row>
    <row r="18857" spans="6:6" x14ac:dyDescent="0.3">
      <c r="F18857" s="193"/>
    </row>
    <row r="18858" spans="6:6" x14ac:dyDescent="0.3">
      <c r="F18858" s="193"/>
    </row>
    <row r="18859" spans="6:6" x14ac:dyDescent="0.3">
      <c r="F18859" s="193"/>
    </row>
    <row r="18860" spans="6:6" x14ac:dyDescent="0.3">
      <c r="F18860" s="193"/>
    </row>
    <row r="18861" spans="6:6" x14ac:dyDescent="0.3">
      <c r="F18861" s="193"/>
    </row>
    <row r="18862" spans="6:6" x14ac:dyDescent="0.3">
      <c r="F18862" s="193"/>
    </row>
    <row r="18863" spans="6:6" x14ac:dyDescent="0.3">
      <c r="F18863" s="193"/>
    </row>
    <row r="18864" spans="6:6" x14ac:dyDescent="0.3">
      <c r="F18864" s="193"/>
    </row>
    <row r="18865" spans="6:6" x14ac:dyDescent="0.3">
      <c r="F18865" s="193"/>
    </row>
    <row r="18866" spans="6:6" x14ac:dyDescent="0.3">
      <c r="F18866" s="193"/>
    </row>
    <row r="18867" spans="6:6" x14ac:dyDescent="0.3">
      <c r="F18867" s="193"/>
    </row>
    <row r="18868" spans="6:6" x14ac:dyDescent="0.3">
      <c r="F18868" s="193"/>
    </row>
    <row r="18869" spans="6:6" x14ac:dyDescent="0.3">
      <c r="F18869" s="193"/>
    </row>
    <row r="18870" spans="6:6" x14ac:dyDescent="0.3">
      <c r="F18870" s="193"/>
    </row>
    <row r="18871" spans="6:6" x14ac:dyDescent="0.3">
      <c r="F18871" s="193"/>
    </row>
    <row r="18872" spans="6:6" x14ac:dyDescent="0.3">
      <c r="F18872" s="193"/>
    </row>
    <row r="18873" spans="6:6" x14ac:dyDescent="0.3">
      <c r="F18873" s="193"/>
    </row>
    <row r="18874" spans="6:6" x14ac:dyDescent="0.3">
      <c r="F18874" s="193"/>
    </row>
    <row r="18875" spans="6:6" x14ac:dyDescent="0.3">
      <c r="F18875" s="193"/>
    </row>
    <row r="18876" spans="6:6" x14ac:dyDescent="0.3">
      <c r="F18876" s="193"/>
    </row>
    <row r="18877" spans="6:6" x14ac:dyDescent="0.3">
      <c r="F18877" s="193"/>
    </row>
    <row r="18878" spans="6:6" x14ac:dyDescent="0.3">
      <c r="F18878" s="193"/>
    </row>
    <row r="18879" spans="6:6" x14ac:dyDescent="0.3">
      <c r="F18879" s="193"/>
    </row>
    <row r="18880" spans="6:6" x14ac:dyDescent="0.3">
      <c r="F18880" s="193"/>
    </row>
    <row r="18881" spans="6:6" x14ac:dyDescent="0.3">
      <c r="F18881" s="193"/>
    </row>
    <row r="18882" spans="6:6" x14ac:dyDescent="0.3">
      <c r="F18882" s="193"/>
    </row>
    <row r="18883" spans="6:6" x14ac:dyDescent="0.3">
      <c r="F18883" s="193"/>
    </row>
    <row r="18884" spans="6:6" x14ac:dyDescent="0.3">
      <c r="F18884" s="193"/>
    </row>
    <row r="18885" spans="6:6" x14ac:dyDescent="0.3">
      <c r="F18885" s="193"/>
    </row>
    <row r="18886" spans="6:6" x14ac:dyDescent="0.3">
      <c r="F18886" s="193"/>
    </row>
    <row r="18887" spans="6:6" x14ac:dyDescent="0.3">
      <c r="F18887" s="193"/>
    </row>
    <row r="18888" spans="6:6" x14ac:dyDescent="0.3">
      <c r="F18888" s="193"/>
    </row>
    <row r="18889" spans="6:6" x14ac:dyDescent="0.3">
      <c r="F18889" s="193"/>
    </row>
    <row r="18890" spans="6:6" x14ac:dyDescent="0.3">
      <c r="F18890" s="193"/>
    </row>
    <row r="18891" spans="6:6" x14ac:dyDescent="0.3">
      <c r="F18891" s="193"/>
    </row>
    <row r="18892" spans="6:6" x14ac:dyDescent="0.3">
      <c r="F18892" s="193"/>
    </row>
    <row r="18893" spans="6:6" x14ac:dyDescent="0.3">
      <c r="F18893" s="193"/>
    </row>
    <row r="18894" spans="6:6" x14ac:dyDescent="0.3">
      <c r="F18894" s="193"/>
    </row>
    <row r="18895" spans="6:6" x14ac:dyDescent="0.3">
      <c r="F18895" s="193"/>
    </row>
    <row r="18896" spans="6:6" x14ac:dyDescent="0.3">
      <c r="F18896" s="193"/>
    </row>
    <row r="18897" spans="6:6" x14ac:dyDescent="0.3">
      <c r="F18897" s="193"/>
    </row>
    <row r="18898" spans="6:6" x14ac:dyDescent="0.3">
      <c r="F18898" s="193"/>
    </row>
    <row r="18899" spans="6:6" x14ac:dyDescent="0.3">
      <c r="F18899" s="193"/>
    </row>
    <row r="18900" spans="6:6" x14ac:dyDescent="0.3">
      <c r="F18900" s="193"/>
    </row>
    <row r="18901" spans="6:6" x14ac:dyDescent="0.3">
      <c r="F18901" s="193"/>
    </row>
    <row r="18902" spans="6:6" x14ac:dyDescent="0.3">
      <c r="F18902" s="193"/>
    </row>
    <row r="18903" spans="6:6" x14ac:dyDescent="0.3">
      <c r="F18903" s="193"/>
    </row>
    <row r="18904" spans="6:6" x14ac:dyDescent="0.3">
      <c r="F18904" s="193"/>
    </row>
    <row r="18905" spans="6:6" x14ac:dyDescent="0.3">
      <c r="F18905" s="193"/>
    </row>
    <row r="18906" spans="6:6" x14ac:dyDescent="0.3">
      <c r="F18906" s="193"/>
    </row>
    <row r="18907" spans="6:6" x14ac:dyDescent="0.3">
      <c r="F18907" s="193"/>
    </row>
    <row r="18908" spans="6:6" x14ac:dyDescent="0.3">
      <c r="F18908" s="193"/>
    </row>
    <row r="18909" spans="6:6" x14ac:dyDescent="0.3">
      <c r="F18909" s="193"/>
    </row>
    <row r="18910" spans="6:6" x14ac:dyDescent="0.3">
      <c r="F18910" s="193"/>
    </row>
    <row r="18911" spans="6:6" x14ac:dyDescent="0.3">
      <c r="F18911" s="193"/>
    </row>
    <row r="18912" spans="6:6" x14ac:dyDescent="0.3">
      <c r="F18912" s="193"/>
    </row>
    <row r="18913" spans="6:6" x14ac:dyDescent="0.3">
      <c r="F18913" s="193"/>
    </row>
    <row r="18914" spans="6:6" x14ac:dyDescent="0.3">
      <c r="F18914" s="193"/>
    </row>
    <row r="18915" spans="6:6" x14ac:dyDescent="0.3">
      <c r="F18915" s="193"/>
    </row>
    <row r="18916" spans="6:6" x14ac:dyDescent="0.3">
      <c r="F18916" s="193"/>
    </row>
    <row r="18917" spans="6:6" x14ac:dyDescent="0.3">
      <c r="F18917" s="193"/>
    </row>
    <row r="18918" spans="6:6" x14ac:dyDescent="0.3">
      <c r="F18918" s="193"/>
    </row>
    <row r="18919" spans="6:6" x14ac:dyDescent="0.3">
      <c r="F18919" s="193"/>
    </row>
    <row r="18920" spans="6:6" x14ac:dyDescent="0.3">
      <c r="F18920" s="193"/>
    </row>
    <row r="18921" spans="6:6" x14ac:dyDescent="0.3">
      <c r="F18921" s="193"/>
    </row>
    <row r="18922" spans="6:6" x14ac:dyDescent="0.3">
      <c r="F18922" s="193"/>
    </row>
    <row r="18923" spans="6:6" x14ac:dyDescent="0.3">
      <c r="F18923" s="193"/>
    </row>
    <row r="18924" spans="6:6" x14ac:dyDescent="0.3">
      <c r="F18924" s="193"/>
    </row>
    <row r="18925" spans="6:6" x14ac:dyDescent="0.3">
      <c r="F18925" s="193"/>
    </row>
    <row r="18926" spans="6:6" x14ac:dyDescent="0.3">
      <c r="F18926" s="193"/>
    </row>
    <row r="18927" spans="6:6" x14ac:dyDescent="0.3">
      <c r="F18927" s="193"/>
    </row>
    <row r="18928" spans="6:6" x14ac:dyDescent="0.3">
      <c r="F18928" s="193"/>
    </row>
    <row r="18929" spans="6:6" x14ac:dyDescent="0.3">
      <c r="F18929" s="193"/>
    </row>
    <row r="18930" spans="6:6" x14ac:dyDescent="0.3">
      <c r="F18930" s="193"/>
    </row>
    <row r="18931" spans="6:6" x14ac:dyDescent="0.3">
      <c r="F18931" s="193"/>
    </row>
    <row r="18932" spans="6:6" x14ac:dyDescent="0.3">
      <c r="F18932" s="193"/>
    </row>
    <row r="18933" spans="6:6" x14ac:dyDescent="0.3">
      <c r="F18933" s="193"/>
    </row>
    <row r="18934" spans="6:6" x14ac:dyDescent="0.3">
      <c r="F18934" s="193"/>
    </row>
    <row r="18935" spans="6:6" x14ac:dyDescent="0.3">
      <c r="F18935" s="193"/>
    </row>
    <row r="18936" spans="6:6" x14ac:dyDescent="0.3">
      <c r="F18936" s="193"/>
    </row>
    <row r="18937" spans="6:6" x14ac:dyDescent="0.3">
      <c r="F18937" s="193"/>
    </row>
    <row r="18938" spans="6:6" x14ac:dyDescent="0.3">
      <c r="F18938" s="193"/>
    </row>
    <row r="18939" spans="6:6" x14ac:dyDescent="0.3">
      <c r="F18939" s="193"/>
    </row>
    <row r="18940" spans="6:6" x14ac:dyDescent="0.3">
      <c r="F18940" s="193"/>
    </row>
    <row r="18941" spans="6:6" x14ac:dyDescent="0.3">
      <c r="F18941" s="193"/>
    </row>
    <row r="18942" spans="6:6" x14ac:dyDescent="0.3">
      <c r="F18942" s="193"/>
    </row>
    <row r="18943" spans="6:6" x14ac:dyDescent="0.3">
      <c r="F18943" s="193"/>
    </row>
    <row r="18944" spans="6:6" x14ac:dyDescent="0.3">
      <c r="F18944" s="193"/>
    </row>
    <row r="18945" spans="6:6" x14ac:dyDescent="0.3">
      <c r="F18945" s="193"/>
    </row>
    <row r="18946" spans="6:6" x14ac:dyDescent="0.3">
      <c r="F18946" s="193"/>
    </row>
    <row r="18947" spans="6:6" x14ac:dyDescent="0.3">
      <c r="F18947" s="193"/>
    </row>
    <row r="18948" spans="6:6" x14ac:dyDescent="0.3">
      <c r="F18948" s="193"/>
    </row>
    <row r="18949" spans="6:6" x14ac:dyDescent="0.3">
      <c r="F18949" s="193"/>
    </row>
    <row r="18950" spans="6:6" x14ac:dyDescent="0.3">
      <c r="F18950" s="193"/>
    </row>
    <row r="18951" spans="6:6" x14ac:dyDescent="0.3">
      <c r="F18951" s="193"/>
    </row>
    <row r="18952" spans="6:6" x14ac:dyDescent="0.3">
      <c r="F18952" s="193"/>
    </row>
    <row r="18953" spans="6:6" x14ac:dyDescent="0.3">
      <c r="F18953" s="193"/>
    </row>
    <row r="18954" spans="6:6" x14ac:dyDescent="0.3">
      <c r="F18954" s="193"/>
    </row>
    <row r="18955" spans="6:6" x14ac:dyDescent="0.3">
      <c r="F18955" s="193"/>
    </row>
    <row r="18956" spans="6:6" x14ac:dyDescent="0.3">
      <c r="F18956" s="193"/>
    </row>
    <row r="18957" spans="6:6" x14ac:dyDescent="0.3">
      <c r="F18957" s="193"/>
    </row>
    <row r="18958" spans="6:6" x14ac:dyDescent="0.3">
      <c r="F18958" s="193"/>
    </row>
    <row r="18959" spans="6:6" x14ac:dyDescent="0.3">
      <c r="F18959" s="193"/>
    </row>
    <row r="18960" spans="6:6" x14ac:dyDescent="0.3">
      <c r="F18960" s="193"/>
    </row>
    <row r="18961" spans="6:6" x14ac:dyDescent="0.3">
      <c r="F18961" s="193"/>
    </row>
    <row r="18962" spans="6:6" x14ac:dyDescent="0.3">
      <c r="F18962" s="193"/>
    </row>
    <row r="18963" spans="6:6" x14ac:dyDescent="0.3">
      <c r="F18963" s="193"/>
    </row>
    <row r="18964" spans="6:6" x14ac:dyDescent="0.3">
      <c r="F18964" s="193"/>
    </row>
    <row r="18965" spans="6:6" x14ac:dyDescent="0.3">
      <c r="F18965" s="193"/>
    </row>
    <row r="18966" spans="6:6" x14ac:dyDescent="0.3">
      <c r="F18966" s="193"/>
    </row>
    <row r="18967" spans="6:6" x14ac:dyDescent="0.3">
      <c r="F18967" s="193"/>
    </row>
    <row r="18968" spans="6:6" x14ac:dyDescent="0.3">
      <c r="F18968" s="193"/>
    </row>
    <row r="18969" spans="6:6" x14ac:dyDescent="0.3">
      <c r="F18969" s="193"/>
    </row>
    <row r="18970" spans="6:6" x14ac:dyDescent="0.3">
      <c r="F18970" s="193"/>
    </row>
    <row r="18971" spans="6:6" x14ac:dyDescent="0.3">
      <c r="F18971" s="193"/>
    </row>
    <row r="18972" spans="6:6" x14ac:dyDescent="0.3">
      <c r="F18972" s="193"/>
    </row>
    <row r="18973" spans="6:6" x14ac:dyDescent="0.3">
      <c r="F18973" s="193"/>
    </row>
    <row r="18974" spans="6:6" x14ac:dyDescent="0.3">
      <c r="F18974" s="193"/>
    </row>
    <row r="18975" spans="6:6" x14ac:dyDescent="0.3">
      <c r="F18975" s="193"/>
    </row>
    <row r="18976" spans="6:6" x14ac:dyDescent="0.3">
      <c r="F18976" s="193"/>
    </row>
    <row r="18977" spans="6:6" x14ac:dyDescent="0.3">
      <c r="F18977" s="193"/>
    </row>
    <row r="18978" spans="6:6" x14ac:dyDescent="0.3">
      <c r="F18978" s="193"/>
    </row>
    <row r="18979" spans="6:6" x14ac:dyDescent="0.3">
      <c r="F18979" s="193"/>
    </row>
    <row r="18980" spans="6:6" x14ac:dyDescent="0.3">
      <c r="F18980" s="193"/>
    </row>
    <row r="18981" spans="6:6" x14ac:dyDescent="0.3">
      <c r="F18981" s="193"/>
    </row>
    <row r="18982" spans="6:6" x14ac:dyDescent="0.3">
      <c r="F18982" s="193"/>
    </row>
    <row r="18983" spans="6:6" x14ac:dyDescent="0.3">
      <c r="F18983" s="193"/>
    </row>
    <row r="18984" spans="6:6" x14ac:dyDescent="0.3">
      <c r="F18984" s="193"/>
    </row>
    <row r="18985" spans="6:6" x14ac:dyDescent="0.3">
      <c r="F18985" s="193"/>
    </row>
    <row r="18986" spans="6:6" x14ac:dyDescent="0.3">
      <c r="F18986" s="193"/>
    </row>
    <row r="18987" spans="6:6" x14ac:dyDescent="0.3">
      <c r="F18987" s="193"/>
    </row>
    <row r="18988" spans="6:6" x14ac:dyDescent="0.3">
      <c r="F18988" s="193"/>
    </row>
    <row r="18989" spans="6:6" x14ac:dyDescent="0.3">
      <c r="F18989" s="193"/>
    </row>
    <row r="18990" spans="6:6" x14ac:dyDescent="0.3">
      <c r="F18990" s="193"/>
    </row>
    <row r="18991" spans="6:6" x14ac:dyDescent="0.3">
      <c r="F18991" s="193"/>
    </row>
    <row r="18992" spans="6:6" x14ac:dyDescent="0.3">
      <c r="F18992" s="193"/>
    </row>
    <row r="18993" spans="6:6" x14ac:dyDescent="0.3">
      <c r="F18993" s="193"/>
    </row>
    <row r="18994" spans="6:6" x14ac:dyDescent="0.3">
      <c r="F18994" s="193"/>
    </row>
    <row r="18995" spans="6:6" x14ac:dyDescent="0.3">
      <c r="F18995" s="193"/>
    </row>
    <row r="18996" spans="6:6" x14ac:dyDescent="0.3">
      <c r="F18996" s="193"/>
    </row>
    <row r="18997" spans="6:6" x14ac:dyDescent="0.3">
      <c r="F18997" s="193"/>
    </row>
    <row r="18998" spans="6:6" x14ac:dyDescent="0.3">
      <c r="F18998" s="193"/>
    </row>
    <row r="18999" spans="6:6" x14ac:dyDescent="0.3">
      <c r="F18999" s="193"/>
    </row>
    <row r="19000" spans="6:6" x14ac:dyDescent="0.3">
      <c r="F19000" s="193"/>
    </row>
    <row r="19001" spans="6:6" x14ac:dyDescent="0.3">
      <c r="F19001" s="193"/>
    </row>
    <row r="19002" spans="6:6" x14ac:dyDescent="0.3">
      <c r="F19002" s="193"/>
    </row>
    <row r="19003" spans="6:6" x14ac:dyDescent="0.3">
      <c r="F19003" s="193"/>
    </row>
    <row r="19004" spans="6:6" x14ac:dyDescent="0.3">
      <c r="F19004" s="193"/>
    </row>
    <row r="19005" spans="6:6" x14ac:dyDescent="0.3">
      <c r="F19005" s="193"/>
    </row>
    <row r="19006" spans="6:6" x14ac:dyDescent="0.3">
      <c r="F19006" s="193"/>
    </row>
    <row r="19007" spans="6:6" x14ac:dyDescent="0.3">
      <c r="F19007" s="193"/>
    </row>
    <row r="19008" spans="6:6" x14ac:dyDescent="0.3">
      <c r="F19008" s="193"/>
    </row>
    <row r="19009" spans="6:6" x14ac:dyDescent="0.3">
      <c r="F19009" s="193"/>
    </row>
    <row r="19010" spans="6:6" x14ac:dyDescent="0.3">
      <c r="F19010" s="193"/>
    </row>
    <row r="19011" spans="6:6" x14ac:dyDescent="0.3">
      <c r="F19011" s="193"/>
    </row>
    <row r="19012" spans="6:6" x14ac:dyDescent="0.3">
      <c r="F19012" s="193"/>
    </row>
    <row r="19013" spans="6:6" x14ac:dyDescent="0.3">
      <c r="F19013" s="193"/>
    </row>
    <row r="19014" spans="6:6" x14ac:dyDescent="0.3">
      <c r="F19014" s="193"/>
    </row>
    <row r="19015" spans="6:6" x14ac:dyDescent="0.3">
      <c r="F19015" s="193"/>
    </row>
    <row r="19016" spans="6:6" x14ac:dyDescent="0.3">
      <c r="F19016" s="193"/>
    </row>
    <row r="19017" spans="6:6" x14ac:dyDescent="0.3">
      <c r="F19017" s="193"/>
    </row>
    <row r="19018" spans="6:6" x14ac:dyDescent="0.3">
      <c r="F19018" s="193"/>
    </row>
    <row r="19019" spans="6:6" x14ac:dyDescent="0.3">
      <c r="F19019" s="193"/>
    </row>
    <row r="19020" spans="6:6" x14ac:dyDescent="0.3">
      <c r="F19020" s="193"/>
    </row>
    <row r="19021" spans="6:6" x14ac:dyDescent="0.3">
      <c r="F19021" s="193"/>
    </row>
    <row r="19022" spans="6:6" x14ac:dyDescent="0.3">
      <c r="F19022" s="193"/>
    </row>
    <row r="19023" spans="6:6" x14ac:dyDescent="0.3">
      <c r="F19023" s="193"/>
    </row>
    <row r="19024" spans="6:6" x14ac:dyDescent="0.3">
      <c r="F19024" s="193"/>
    </row>
    <row r="19025" spans="6:6" x14ac:dyDescent="0.3">
      <c r="F19025" s="193"/>
    </row>
    <row r="19026" spans="6:6" x14ac:dyDescent="0.3">
      <c r="F19026" s="193"/>
    </row>
    <row r="19027" spans="6:6" x14ac:dyDescent="0.3">
      <c r="F19027" s="193"/>
    </row>
    <row r="19028" spans="6:6" x14ac:dyDescent="0.3">
      <c r="F19028" s="193"/>
    </row>
    <row r="19029" spans="6:6" x14ac:dyDescent="0.3">
      <c r="F19029" s="193"/>
    </row>
    <row r="19030" spans="6:6" x14ac:dyDescent="0.3">
      <c r="F19030" s="193"/>
    </row>
    <row r="19031" spans="6:6" x14ac:dyDescent="0.3">
      <c r="F19031" s="193"/>
    </row>
    <row r="19032" spans="6:6" x14ac:dyDescent="0.3">
      <c r="F19032" s="193"/>
    </row>
    <row r="19033" spans="6:6" x14ac:dyDescent="0.3">
      <c r="F19033" s="193"/>
    </row>
    <row r="19034" spans="6:6" x14ac:dyDescent="0.3">
      <c r="F19034" s="193"/>
    </row>
    <row r="19035" spans="6:6" x14ac:dyDescent="0.3">
      <c r="F19035" s="193"/>
    </row>
    <row r="19036" spans="6:6" x14ac:dyDescent="0.3">
      <c r="F19036" s="193"/>
    </row>
    <row r="19037" spans="6:6" x14ac:dyDescent="0.3">
      <c r="F19037" s="193"/>
    </row>
    <row r="19038" spans="6:6" x14ac:dyDescent="0.3">
      <c r="F19038" s="193"/>
    </row>
    <row r="19039" spans="6:6" x14ac:dyDescent="0.3">
      <c r="F19039" s="193"/>
    </row>
    <row r="19040" spans="6:6" x14ac:dyDescent="0.3">
      <c r="F19040" s="193"/>
    </row>
    <row r="19041" spans="6:6" x14ac:dyDescent="0.3">
      <c r="F19041" s="193"/>
    </row>
    <row r="19042" spans="6:6" x14ac:dyDescent="0.3">
      <c r="F19042" s="193"/>
    </row>
    <row r="19043" spans="6:6" x14ac:dyDescent="0.3">
      <c r="F19043" s="193"/>
    </row>
    <row r="19044" spans="6:6" x14ac:dyDescent="0.3">
      <c r="F19044" s="193"/>
    </row>
    <row r="19045" spans="6:6" x14ac:dyDescent="0.3">
      <c r="F19045" s="193"/>
    </row>
    <row r="19046" spans="6:6" x14ac:dyDescent="0.3">
      <c r="F19046" s="193"/>
    </row>
    <row r="19047" spans="6:6" x14ac:dyDescent="0.3">
      <c r="F19047" s="193"/>
    </row>
    <row r="19048" spans="6:6" x14ac:dyDescent="0.3">
      <c r="F19048" s="193"/>
    </row>
    <row r="19049" spans="6:6" x14ac:dyDescent="0.3">
      <c r="F19049" s="193"/>
    </row>
    <row r="19050" spans="6:6" x14ac:dyDescent="0.3">
      <c r="F19050" s="193"/>
    </row>
    <row r="19051" spans="6:6" x14ac:dyDescent="0.3">
      <c r="F19051" s="193"/>
    </row>
    <row r="19052" spans="6:6" x14ac:dyDescent="0.3">
      <c r="F19052" s="193"/>
    </row>
    <row r="19053" spans="6:6" x14ac:dyDescent="0.3">
      <c r="F19053" s="193"/>
    </row>
    <row r="19054" spans="6:6" x14ac:dyDescent="0.3">
      <c r="F19054" s="193"/>
    </row>
    <row r="19055" spans="6:6" x14ac:dyDescent="0.3">
      <c r="F19055" s="193"/>
    </row>
    <row r="19056" spans="6:6" x14ac:dyDescent="0.3">
      <c r="F19056" s="193"/>
    </row>
    <row r="19057" spans="6:6" x14ac:dyDescent="0.3">
      <c r="F19057" s="193"/>
    </row>
    <row r="19058" spans="6:6" x14ac:dyDescent="0.3">
      <c r="F19058" s="193"/>
    </row>
    <row r="19059" spans="6:6" x14ac:dyDescent="0.3">
      <c r="F19059" s="193"/>
    </row>
    <row r="19060" spans="6:6" x14ac:dyDescent="0.3">
      <c r="F19060" s="193"/>
    </row>
    <row r="19061" spans="6:6" x14ac:dyDescent="0.3">
      <c r="F19061" s="193"/>
    </row>
    <row r="19062" spans="6:6" x14ac:dyDescent="0.3">
      <c r="F19062" s="193"/>
    </row>
    <row r="19063" spans="6:6" x14ac:dyDescent="0.3">
      <c r="F19063" s="193"/>
    </row>
    <row r="19064" spans="6:6" x14ac:dyDescent="0.3">
      <c r="F19064" s="193"/>
    </row>
    <row r="19065" spans="6:6" x14ac:dyDescent="0.3">
      <c r="F19065" s="193"/>
    </row>
    <row r="19066" spans="6:6" x14ac:dyDescent="0.3">
      <c r="F19066" s="193"/>
    </row>
    <row r="19067" spans="6:6" x14ac:dyDescent="0.3">
      <c r="F19067" s="193"/>
    </row>
    <row r="19068" spans="6:6" x14ac:dyDescent="0.3">
      <c r="F19068" s="193"/>
    </row>
    <row r="19069" spans="6:6" x14ac:dyDescent="0.3">
      <c r="F19069" s="193"/>
    </row>
    <row r="19070" spans="6:6" x14ac:dyDescent="0.3">
      <c r="F19070" s="193"/>
    </row>
    <row r="19071" spans="6:6" x14ac:dyDescent="0.3">
      <c r="F19071" s="193"/>
    </row>
    <row r="19072" spans="6:6" x14ac:dyDescent="0.3">
      <c r="F19072" s="193"/>
    </row>
    <row r="19073" spans="6:6" x14ac:dyDescent="0.3">
      <c r="F19073" s="193"/>
    </row>
    <row r="19074" spans="6:6" x14ac:dyDescent="0.3">
      <c r="F19074" s="193"/>
    </row>
    <row r="19075" spans="6:6" x14ac:dyDescent="0.3">
      <c r="F19075" s="193"/>
    </row>
    <row r="19076" spans="6:6" x14ac:dyDescent="0.3">
      <c r="F19076" s="193"/>
    </row>
    <row r="19077" spans="6:6" x14ac:dyDescent="0.3">
      <c r="F19077" s="193"/>
    </row>
    <row r="19078" spans="6:6" x14ac:dyDescent="0.3">
      <c r="F19078" s="193"/>
    </row>
    <row r="19079" spans="6:6" x14ac:dyDescent="0.3">
      <c r="F19079" s="193"/>
    </row>
    <row r="19080" spans="6:6" x14ac:dyDescent="0.3">
      <c r="F19080" s="193"/>
    </row>
    <row r="19081" spans="6:6" x14ac:dyDescent="0.3">
      <c r="F19081" s="193"/>
    </row>
    <row r="19082" spans="6:6" x14ac:dyDescent="0.3">
      <c r="F19082" s="193"/>
    </row>
    <row r="19083" spans="6:6" x14ac:dyDescent="0.3">
      <c r="F19083" s="193"/>
    </row>
    <row r="19084" spans="6:6" x14ac:dyDescent="0.3">
      <c r="F19084" s="193"/>
    </row>
    <row r="19085" spans="6:6" x14ac:dyDescent="0.3">
      <c r="F19085" s="193"/>
    </row>
    <row r="19086" spans="6:6" x14ac:dyDescent="0.3">
      <c r="F19086" s="193"/>
    </row>
    <row r="19087" spans="6:6" x14ac:dyDescent="0.3">
      <c r="F19087" s="193"/>
    </row>
    <row r="19088" spans="6:6" x14ac:dyDescent="0.3">
      <c r="F19088" s="193"/>
    </row>
    <row r="19089" spans="6:6" x14ac:dyDescent="0.3">
      <c r="F19089" s="193"/>
    </row>
    <row r="19090" spans="6:6" x14ac:dyDescent="0.3">
      <c r="F19090" s="193"/>
    </row>
    <row r="19091" spans="6:6" x14ac:dyDescent="0.3">
      <c r="F19091" s="193"/>
    </row>
    <row r="19092" spans="6:6" x14ac:dyDescent="0.3">
      <c r="F19092" s="193"/>
    </row>
    <row r="19093" spans="6:6" x14ac:dyDescent="0.3">
      <c r="F19093" s="193"/>
    </row>
    <row r="19094" spans="6:6" x14ac:dyDescent="0.3">
      <c r="F19094" s="193"/>
    </row>
    <row r="19095" spans="6:6" x14ac:dyDescent="0.3">
      <c r="F19095" s="193"/>
    </row>
    <row r="19096" spans="6:6" x14ac:dyDescent="0.3">
      <c r="F19096" s="193"/>
    </row>
    <row r="19097" spans="6:6" x14ac:dyDescent="0.3">
      <c r="F19097" s="193"/>
    </row>
    <row r="19098" spans="6:6" x14ac:dyDescent="0.3">
      <c r="F19098" s="193"/>
    </row>
    <row r="19099" spans="6:6" x14ac:dyDescent="0.3">
      <c r="F19099" s="193"/>
    </row>
    <row r="19100" spans="6:6" x14ac:dyDescent="0.3">
      <c r="F19100" s="193"/>
    </row>
    <row r="19101" spans="6:6" x14ac:dyDescent="0.3">
      <c r="F19101" s="193"/>
    </row>
    <row r="19102" spans="6:6" x14ac:dyDescent="0.3">
      <c r="F19102" s="193"/>
    </row>
    <row r="19103" spans="6:6" x14ac:dyDescent="0.3">
      <c r="F19103" s="193"/>
    </row>
    <row r="19104" spans="6:6" x14ac:dyDescent="0.3">
      <c r="F19104" s="193"/>
    </row>
    <row r="19105" spans="6:6" x14ac:dyDescent="0.3">
      <c r="F19105" s="193"/>
    </row>
    <row r="19106" spans="6:6" x14ac:dyDescent="0.3">
      <c r="F19106" s="193"/>
    </row>
    <row r="19107" spans="6:6" x14ac:dyDescent="0.3">
      <c r="F19107" s="193"/>
    </row>
    <row r="19108" spans="6:6" x14ac:dyDescent="0.3">
      <c r="F19108" s="193"/>
    </row>
    <row r="19109" spans="6:6" x14ac:dyDescent="0.3">
      <c r="F19109" s="193"/>
    </row>
    <row r="19110" spans="6:6" x14ac:dyDescent="0.3">
      <c r="F19110" s="193"/>
    </row>
    <row r="19111" spans="6:6" x14ac:dyDescent="0.3">
      <c r="F19111" s="193"/>
    </row>
    <row r="19112" spans="6:6" x14ac:dyDescent="0.3">
      <c r="F19112" s="193"/>
    </row>
    <row r="19113" spans="6:6" x14ac:dyDescent="0.3">
      <c r="F19113" s="193"/>
    </row>
    <row r="19114" spans="6:6" x14ac:dyDescent="0.3">
      <c r="F19114" s="193"/>
    </row>
    <row r="19115" spans="6:6" x14ac:dyDescent="0.3">
      <c r="F19115" s="193"/>
    </row>
    <row r="19116" spans="6:6" x14ac:dyDescent="0.3">
      <c r="F19116" s="193"/>
    </row>
    <row r="19117" spans="6:6" x14ac:dyDescent="0.3">
      <c r="F19117" s="193"/>
    </row>
    <row r="19118" spans="6:6" x14ac:dyDescent="0.3">
      <c r="F19118" s="193"/>
    </row>
    <row r="19119" spans="6:6" x14ac:dyDescent="0.3">
      <c r="F19119" s="193"/>
    </row>
    <row r="19120" spans="6:6" x14ac:dyDescent="0.3">
      <c r="F19120" s="193"/>
    </row>
    <row r="19121" spans="6:6" x14ac:dyDescent="0.3">
      <c r="F19121" s="193"/>
    </row>
    <row r="19122" spans="6:6" x14ac:dyDescent="0.3">
      <c r="F19122" s="193"/>
    </row>
    <row r="19123" spans="6:6" x14ac:dyDescent="0.3">
      <c r="F19123" s="193"/>
    </row>
    <row r="19124" spans="6:6" x14ac:dyDescent="0.3">
      <c r="F19124" s="193"/>
    </row>
    <row r="19125" spans="6:6" x14ac:dyDescent="0.3">
      <c r="F19125" s="193"/>
    </row>
    <row r="19126" spans="6:6" x14ac:dyDescent="0.3">
      <c r="F19126" s="193"/>
    </row>
    <row r="19127" spans="6:6" x14ac:dyDescent="0.3">
      <c r="F19127" s="193"/>
    </row>
    <row r="19128" spans="6:6" x14ac:dyDescent="0.3">
      <c r="F19128" s="193"/>
    </row>
    <row r="19129" spans="6:6" x14ac:dyDescent="0.3">
      <c r="F19129" s="193"/>
    </row>
    <row r="19130" spans="6:6" x14ac:dyDescent="0.3">
      <c r="F19130" s="193"/>
    </row>
    <row r="19131" spans="6:6" x14ac:dyDescent="0.3">
      <c r="F19131" s="193"/>
    </row>
    <row r="19132" spans="6:6" x14ac:dyDescent="0.3">
      <c r="F19132" s="193"/>
    </row>
    <row r="19133" spans="6:6" x14ac:dyDescent="0.3">
      <c r="F19133" s="193"/>
    </row>
    <row r="19134" spans="6:6" x14ac:dyDescent="0.3">
      <c r="F19134" s="193"/>
    </row>
    <row r="19135" spans="6:6" x14ac:dyDescent="0.3">
      <c r="F19135" s="193"/>
    </row>
    <row r="19136" spans="6:6" x14ac:dyDescent="0.3">
      <c r="F19136" s="193"/>
    </row>
    <row r="19137" spans="6:6" x14ac:dyDescent="0.3">
      <c r="F19137" s="193"/>
    </row>
    <row r="19138" spans="6:6" x14ac:dyDescent="0.3">
      <c r="F19138" s="193"/>
    </row>
    <row r="19139" spans="6:6" x14ac:dyDescent="0.3">
      <c r="F19139" s="193"/>
    </row>
    <row r="19140" spans="6:6" x14ac:dyDescent="0.3">
      <c r="F19140" s="193"/>
    </row>
    <row r="19141" spans="6:6" x14ac:dyDescent="0.3">
      <c r="F19141" s="193"/>
    </row>
    <row r="19142" spans="6:6" x14ac:dyDescent="0.3">
      <c r="F19142" s="193"/>
    </row>
    <row r="19143" spans="6:6" x14ac:dyDescent="0.3">
      <c r="F19143" s="193"/>
    </row>
    <row r="19144" spans="6:6" x14ac:dyDescent="0.3">
      <c r="F19144" s="193"/>
    </row>
    <row r="19145" spans="6:6" x14ac:dyDescent="0.3">
      <c r="F19145" s="193"/>
    </row>
    <row r="19146" spans="6:6" x14ac:dyDescent="0.3">
      <c r="F19146" s="193"/>
    </row>
    <row r="19147" spans="6:6" x14ac:dyDescent="0.3">
      <c r="F19147" s="193"/>
    </row>
    <row r="19148" spans="6:6" x14ac:dyDescent="0.3">
      <c r="F19148" s="193"/>
    </row>
    <row r="19149" spans="6:6" x14ac:dyDescent="0.3">
      <c r="F19149" s="193"/>
    </row>
    <row r="19150" spans="6:6" x14ac:dyDescent="0.3">
      <c r="F19150" s="193"/>
    </row>
    <row r="19151" spans="6:6" x14ac:dyDescent="0.3">
      <c r="F19151" s="193"/>
    </row>
    <row r="19152" spans="6:6" x14ac:dyDescent="0.3">
      <c r="F19152" s="193"/>
    </row>
    <row r="19153" spans="6:6" x14ac:dyDescent="0.3">
      <c r="F19153" s="193"/>
    </row>
    <row r="19154" spans="6:6" x14ac:dyDescent="0.3">
      <c r="F19154" s="193"/>
    </row>
    <row r="19155" spans="6:6" x14ac:dyDescent="0.3">
      <c r="F19155" s="193"/>
    </row>
    <row r="19156" spans="6:6" x14ac:dyDescent="0.3">
      <c r="F19156" s="193"/>
    </row>
    <row r="19157" spans="6:6" x14ac:dyDescent="0.3">
      <c r="F19157" s="193"/>
    </row>
    <row r="19158" spans="6:6" x14ac:dyDescent="0.3">
      <c r="F19158" s="193"/>
    </row>
    <row r="19159" spans="6:6" x14ac:dyDescent="0.3">
      <c r="F19159" s="193"/>
    </row>
    <row r="19160" spans="6:6" x14ac:dyDescent="0.3">
      <c r="F19160" s="193"/>
    </row>
    <row r="19161" spans="6:6" x14ac:dyDescent="0.3">
      <c r="F19161" s="193"/>
    </row>
    <row r="19162" spans="6:6" x14ac:dyDescent="0.3">
      <c r="F19162" s="193"/>
    </row>
    <row r="19163" spans="6:6" x14ac:dyDescent="0.3">
      <c r="F19163" s="193"/>
    </row>
    <row r="19164" spans="6:6" x14ac:dyDescent="0.3">
      <c r="F19164" s="193"/>
    </row>
    <row r="19165" spans="6:6" x14ac:dyDescent="0.3">
      <c r="F19165" s="193"/>
    </row>
    <row r="19166" spans="6:6" x14ac:dyDescent="0.3">
      <c r="F19166" s="193"/>
    </row>
    <row r="19167" spans="6:6" x14ac:dyDescent="0.3">
      <c r="F19167" s="193"/>
    </row>
    <row r="19168" spans="6:6" x14ac:dyDescent="0.3">
      <c r="F19168" s="193"/>
    </row>
    <row r="19169" spans="6:6" x14ac:dyDescent="0.3">
      <c r="F19169" s="193"/>
    </row>
    <row r="19170" spans="6:6" x14ac:dyDescent="0.3">
      <c r="F19170" s="193"/>
    </row>
    <row r="19171" spans="6:6" x14ac:dyDescent="0.3">
      <c r="F19171" s="193"/>
    </row>
    <row r="19172" spans="6:6" x14ac:dyDescent="0.3">
      <c r="F19172" s="193"/>
    </row>
    <row r="19173" spans="6:6" x14ac:dyDescent="0.3">
      <c r="F19173" s="193"/>
    </row>
    <row r="19174" spans="6:6" x14ac:dyDescent="0.3">
      <c r="F19174" s="193"/>
    </row>
    <row r="19175" spans="6:6" x14ac:dyDescent="0.3">
      <c r="F19175" s="193"/>
    </row>
    <row r="19176" spans="6:6" x14ac:dyDescent="0.3">
      <c r="F19176" s="193"/>
    </row>
    <row r="19177" spans="6:6" x14ac:dyDescent="0.3">
      <c r="F19177" s="193"/>
    </row>
    <row r="19178" spans="6:6" x14ac:dyDescent="0.3">
      <c r="F19178" s="193"/>
    </row>
    <row r="19179" spans="6:6" x14ac:dyDescent="0.3">
      <c r="F19179" s="193"/>
    </row>
    <row r="19180" spans="6:6" x14ac:dyDescent="0.3">
      <c r="F19180" s="193"/>
    </row>
    <row r="19181" spans="6:6" x14ac:dyDescent="0.3">
      <c r="F19181" s="193"/>
    </row>
    <row r="19182" spans="6:6" x14ac:dyDescent="0.3">
      <c r="F19182" s="193"/>
    </row>
    <row r="19183" spans="6:6" x14ac:dyDescent="0.3">
      <c r="F19183" s="193"/>
    </row>
    <row r="19184" spans="6:6" x14ac:dyDescent="0.3">
      <c r="F19184" s="193"/>
    </row>
    <row r="19185" spans="6:6" x14ac:dyDescent="0.3">
      <c r="F19185" s="193"/>
    </row>
    <row r="19186" spans="6:6" x14ac:dyDescent="0.3">
      <c r="F19186" s="193"/>
    </row>
    <row r="19187" spans="6:6" x14ac:dyDescent="0.3">
      <c r="F19187" s="193"/>
    </row>
    <row r="19188" spans="6:6" x14ac:dyDescent="0.3">
      <c r="F19188" s="193"/>
    </row>
    <row r="19189" spans="6:6" x14ac:dyDescent="0.3">
      <c r="F19189" s="193"/>
    </row>
    <row r="19190" spans="6:6" x14ac:dyDescent="0.3">
      <c r="F19190" s="193"/>
    </row>
    <row r="19191" spans="6:6" x14ac:dyDescent="0.3">
      <c r="F19191" s="193"/>
    </row>
    <row r="19192" spans="6:6" x14ac:dyDescent="0.3">
      <c r="F19192" s="193"/>
    </row>
    <row r="19193" spans="6:6" x14ac:dyDescent="0.3">
      <c r="F19193" s="193"/>
    </row>
    <row r="19194" spans="6:6" x14ac:dyDescent="0.3">
      <c r="F19194" s="193"/>
    </row>
    <row r="19195" spans="6:6" x14ac:dyDescent="0.3">
      <c r="F19195" s="193"/>
    </row>
    <row r="19196" spans="6:6" x14ac:dyDescent="0.3">
      <c r="F19196" s="193"/>
    </row>
    <row r="19197" spans="6:6" x14ac:dyDescent="0.3">
      <c r="F19197" s="193"/>
    </row>
    <row r="19198" spans="6:6" x14ac:dyDescent="0.3">
      <c r="F19198" s="193"/>
    </row>
    <row r="19199" spans="6:6" x14ac:dyDescent="0.3">
      <c r="F19199" s="193"/>
    </row>
    <row r="19200" spans="6:6" x14ac:dyDescent="0.3">
      <c r="F19200" s="193"/>
    </row>
    <row r="19201" spans="6:6" x14ac:dyDescent="0.3">
      <c r="F19201" s="193"/>
    </row>
    <row r="19202" spans="6:6" x14ac:dyDescent="0.3">
      <c r="F19202" s="193"/>
    </row>
    <row r="19203" spans="6:6" x14ac:dyDescent="0.3">
      <c r="F19203" s="193"/>
    </row>
    <row r="19204" spans="6:6" x14ac:dyDescent="0.3">
      <c r="F19204" s="193"/>
    </row>
    <row r="19205" spans="6:6" x14ac:dyDescent="0.3">
      <c r="F19205" s="193"/>
    </row>
    <row r="19206" spans="6:6" x14ac:dyDescent="0.3">
      <c r="F19206" s="193"/>
    </row>
    <row r="19207" spans="6:6" x14ac:dyDescent="0.3">
      <c r="F19207" s="193"/>
    </row>
    <row r="19208" spans="6:6" x14ac:dyDescent="0.3">
      <c r="F19208" s="193"/>
    </row>
    <row r="19209" spans="6:6" x14ac:dyDescent="0.3">
      <c r="F19209" s="193"/>
    </row>
    <row r="19210" spans="6:6" x14ac:dyDescent="0.3">
      <c r="F19210" s="193"/>
    </row>
    <row r="19211" spans="6:6" x14ac:dyDescent="0.3">
      <c r="F19211" s="193"/>
    </row>
    <row r="19212" spans="6:6" x14ac:dyDescent="0.3">
      <c r="F19212" s="193"/>
    </row>
    <row r="19213" spans="6:6" x14ac:dyDescent="0.3">
      <c r="F19213" s="193"/>
    </row>
    <row r="19214" spans="6:6" x14ac:dyDescent="0.3">
      <c r="F19214" s="193"/>
    </row>
    <row r="19215" spans="6:6" x14ac:dyDescent="0.3">
      <c r="F19215" s="193"/>
    </row>
    <row r="19216" spans="6:6" x14ac:dyDescent="0.3">
      <c r="F19216" s="193"/>
    </row>
    <row r="19217" spans="6:6" x14ac:dyDescent="0.3">
      <c r="F19217" s="193"/>
    </row>
    <row r="19218" spans="6:6" x14ac:dyDescent="0.3">
      <c r="F19218" s="193"/>
    </row>
    <row r="19219" spans="6:6" x14ac:dyDescent="0.3">
      <c r="F19219" s="193"/>
    </row>
    <row r="19220" spans="6:6" x14ac:dyDescent="0.3">
      <c r="F19220" s="193"/>
    </row>
    <row r="19221" spans="6:6" x14ac:dyDescent="0.3">
      <c r="F19221" s="193"/>
    </row>
    <row r="19222" spans="6:6" x14ac:dyDescent="0.3">
      <c r="F19222" s="193"/>
    </row>
    <row r="19223" spans="6:6" x14ac:dyDescent="0.3">
      <c r="F19223" s="193"/>
    </row>
    <row r="19224" spans="6:6" x14ac:dyDescent="0.3">
      <c r="F19224" s="193"/>
    </row>
    <row r="19225" spans="6:6" x14ac:dyDescent="0.3">
      <c r="F19225" s="193"/>
    </row>
    <row r="19226" spans="6:6" x14ac:dyDescent="0.3">
      <c r="F19226" s="193"/>
    </row>
    <row r="19227" spans="6:6" x14ac:dyDescent="0.3">
      <c r="F19227" s="193"/>
    </row>
    <row r="19228" spans="6:6" x14ac:dyDescent="0.3">
      <c r="F19228" s="193"/>
    </row>
    <row r="19229" spans="6:6" x14ac:dyDescent="0.3">
      <c r="F19229" s="193"/>
    </row>
    <row r="19230" spans="6:6" x14ac:dyDescent="0.3">
      <c r="F19230" s="193"/>
    </row>
    <row r="19231" spans="6:6" x14ac:dyDescent="0.3">
      <c r="F19231" s="193"/>
    </row>
    <row r="19232" spans="6:6" x14ac:dyDescent="0.3">
      <c r="F19232" s="193"/>
    </row>
    <row r="19233" spans="6:6" x14ac:dyDescent="0.3">
      <c r="F19233" s="193"/>
    </row>
    <row r="19234" spans="6:6" x14ac:dyDescent="0.3">
      <c r="F19234" s="193"/>
    </row>
    <row r="19235" spans="6:6" x14ac:dyDescent="0.3">
      <c r="F19235" s="193"/>
    </row>
    <row r="19236" spans="6:6" x14ac:dyDescent="0.3">
      <c r="F19236" s="193"/>
    </row>
    <row r="19237" spans="6:6" x14ac:dyDescent="0.3">
      <c r="F19237" s="193"/>
    </row>
    <row r="19238" spans="6:6" x14ac:dyDescent="0.3">
      <c r="F19238" s="193"/>
    </row>
    <row r="19239" spans="6:6" x14ac:dyDescent="0.3">
      <c r="F19239" s="193"/>
    </row>
    <row r="19240" spans="6:6" x14ac:dyDescent="0.3">
      <c r="F19240" s="193"/>
    </row>
    <row r="19241" spans="6:6" x14ac:dyDescent="0.3">
      <c r="F19241" s="193"/>
    </row>
    <row r="19242" spans="6:6" x14ac:dyDescent="0.3">
      <c r="F19242" s="193"/>
    </row>
    <row r="19243" spans="6:6" x14ac:dyDescent="0.3">
      <c r="F19243" s="193"/>
    </row>
    <row r="19244" spans="6:6" x14ac:dyDescent="0.3">
      <c r="F19244" s="193"/>
    </row>
    <row r="19245" spans="6:6" x14ac:dyDescent="0.3">
      <c r="F19245" s="193"/>
    </row>
    <row r="19246" spans="6:6" x14ac:dyDescent="0.3">
      <c r="F19246" s="193"/>
    </row>
    <row r="19247" spans="6:6" x14ac:dyDescent="0.3">
      <c r="F19247" s="193"/>
    </row>
    <row r="19248" spans="6:6" x14ac:dyDescent="0.3">
      <c r="F19248" s="193"/>
    </row>
    <row r="19249" spans="6:6" x14ac:dyDescent="0.3">
      <c r="F19249" s="193"/>
    </row>
    <row r="19250" spans="6:6" x14ac:dyDescent="0.3">
      <c r="F19250" s="193"/>
    </row>
    <row r="19251" spans="6:6" x14ac:dyDescent="0.3">
      <c r="F19251" s="193"/>
    </row>
    <row r="19252" spans="6:6" x14ac:dyDescent="0.3">
      <c r="F19252" s="193"/>
    </row>
    <row r="19253" spans="6:6" x14ac:dyDescent="0.3">
      <c r="F19253" s="193"/>
    </row>
    <row r="19254" spans="6:6" x14ac:dyDescent="0.3">
      <c r="F19254" s="193"/>
    </row>
    <row r="19255" spans="6:6" x14ac:dyDescent="0.3">
      <c r="F19255" s="193"/>
    </row>
    <row r="19256" spans="6:6" x14ac:dyDescent="0.3">
      <c r="F19256" s="193"/>
    </row>
    <row r="19257" spans="6:6" x14ac:dyDescent="0.3">
      <c r="F19257" s="193"/>
    </row>
    <row r="19258" spans="6:6" x14ac:dyDescent="0.3">
      <c r="F19258" s="193"/>
    </row>
    <row r="19259" spans="6:6" x14ac:dyDescent="0.3">
      <c r="F19259" s="193"/>
    </row>
    <row r="19260" spans="6:6" x14ac:dyDescent="0.3">
      <c r="F19260" s="193"/>
    </row>
    <row r="19261" spans="6:6" x14ac:dyDescent="0.3">
      <c r="F19261" s="193"/>
    </row>
    <row r="19262" spans="6:6" x14ac:dyDescent="0.3">
      <c r="F19262" s="193"/>
    </row>
    <row r="19263" spans="6:6" x14ac:dyDescent="0.3">
      <c r="F19263" s="193"/>
    </row>
    <row r="19264" spans="6:6" x14ac:dyDescent="0.3">
      <c r="F19264" s="193"/>
    </row>
    <row r="19265" spans="6:6" x14ac:dyDescent="0.3">
      <c r="F19265" s="193"/>
    </row>
    <row r="19266" spans="6:6" x14ac:dyDescent="0.3">
      <c r="F19266" s="193"/>
    </row>
    <row r="19267" spans="6:6" x14ac:dyDescent="0.3">
      <c r="F19267" s="193"/>
    </row>
    <row r="19268" spans="6:6" x14ac:dyDescent="0.3">
      <c r="F19268" s="193"/>
    </row>
    <row r="19269" spans="6:6" x14ac:dyDescent="0.3">
      <c r="F19269" s="193"/>
    </row>
    <row r="19270" spans="6:6" x14ac:dyDescent="0.3">
      <c r="F19270" s="193"/>
    </row>
    <row r="19271" spans="6:6" x14ac:dyDescent="0.3">
      <c r="F19271" s="193"/>
    </row>
    <row r="19272" spans="6:6" x14ac:dyDescent="0.3">
      <c r="F19272" s="193"/>
    </row>
    <row r="19273" spans="6:6" x14ac:dyDescent="0.3">
      <c r="F19273" s="193"/>
    </row>
    <row r="19274" spans="6:6" x14ac:dyDescent="0.3">
      <c r="F19274" s="193"/>
    </row>
    <row r="19275" spans="6:6" x14ac:dyDescent="0.3">
      <c r="F19275" s="193"/>
    </row>
    <row r="19276" spans="6:6" x14ac:dyDescent="0.3">
      <c r="F19276" s="193"/>
    </row>
    <row r="19277" spans="6:6" x14ac:dyDescent="0.3">
      <c r="F19277" s="193"/>
    </row>
    <row r="19278" spans="6:6" x14ac:dyDescent="0.3">
      <c r="F19278" s="193"/>
    </row>
    <row r="19279" spans="6:6" x14ac:dyDescent="0.3">
      <c r="F19279" s="193"/>
    </row>
    <row r="19280" spans="6:6" x14ac:dyDescent="0.3">
      <c r="F19280" s="193"/>
    </row>
    <row r="19281" spans="6:6" x14ac:dyDescent="0.3">
      <c r="F19281" s="193"/>
    </row>
    <row r="19282" spans="6:6" x14ac:dyDescent="0.3">
      <c r="F19282" s="193"/>
    </row>
    <row r="19283" spans="6:6" x14ac:dyDescent="0.3">
      <c r="F19283" s="193"/>
    </row>
    <row r="19284" spans="6:6" x14ac:dyDescent="0.3">
      <c r="F19284" s="193"/>
    </row>
    <row r="19285" spans="6:6" x14ac:dyDescent="0.3">
      <c r="F19285" s="193"/>
    </row>
    <row r="19286" spans="6:6" x14ac:dyDescent="0.3">
      <c r="F19286" s="193"/>
    </row>
    <row r="19287" spans="6:6" x14ac:dyDescent="0.3">
      <c r="F19287" s="193"/>
    </row>
    <row r="19288" spans="6:6" x14ac:dyDescent="0.3">
      <c r="F19288" s="193"/>
    </row>
    <row r="19289" spans="6:6" x14ac:dyDescent="0.3">
      <c r="F19289" s="193"/>
    </row>
    <row r="19290" spans="6:6" x14ac:dyDescent="0.3">
      <c r="F19290" s="193"/>
    </row>
    <row r="19291" spans="6:6" x14ac:dyDescent="0.3">
      <c r="F19291" s="193"/>
    </row>
    <row r="19292" spans="6:6" x14ac:dyDescent="0.3">
      <c r="F19292" s="193"/>
    </row>
    <row r="19293" spans="6:6" x14ac:dyDescent="0.3">
      <c r="F19293" s="193"/>
    </row>
    <row r="19294" spans="6:6" x14ac:dyDescent="0.3">
      <c r="F19294" s="193"/>
    </row>
    <row r="19295" spans="6:6" x14ac:dyDescent="0.3">
      <c r="F19295" s="193"/>
    </row>
    <row r="19296" spans="6:6" x14ac:dyDescent="0.3">
      <c r="F19296" s="193"/>
    </row>
    <row r="19297" spans="6:6" x14ac:dyDescent="0.3">
      <c r="F19297" s="193"/>
    </row>
    <row r="19298" spans="6:6" x14ac:dyDescent="0.3">
      <c r="F19298" s="193"/>
    </row>
    <row r="19299" spans="6:6" x14ac:dyDescent="0.3">
      <c r="F19299" s="193"/>
    </row>
    <row r="19300" spans="6:6" x14ac:dyDescent="0.3">
      <c r="F19300" s="193"/>
    </row>
    <row r="19301" spans="6:6" x14ac:dyDescent="0.3">
      <c r="F19301" s="193"/>
    </row>
    <row r="19302" spans="6:6" x14ac:dyDescent="0.3">
      <c r="F19302" s="193"/>
    </row>
    <row r="19303" spans="6:6" x14ac:dyDescent="0.3">
      <c r="F19303" s="193"/>
    </row>
    <row r="19304" spans="6:6" x14ac:dyDescent="0.3">
      <c r="F19304" s="193"/>
    </row>
    <row r="19305" spans="6:6" x14ac:dyDescent="0.3">
      <c r="F19305" s="193"/>
    </row>
    <row r="19306" spans="6:6" x14ac:dyDescent="0.3">
      <c r="F19306" s="193"/>
    </row>
    <row r="19307" spans="6:6" x14ac:dyDescent="0.3">
      <c r="F19307" s="193"/>
    </row>
    <row r="19308" spans="6:6" x14ac:dyDescent="0.3">
      <c r="F19308" s="193"/>
    </row>
    <row r="19309" spans="6:6" x14ac:dyDescent="0.3">
      <c r="F19309" s="193"/>
    </row>
    <row r="19310" spans="6:6" x14ac:dyDescent="0.3">
      <c r="F19310" s="193"/>
    </row>
    <row r="19311" spans="6:6" x14ac:dyDescent="0.3">
      <c r="F19311" s="193"/>
    </row>
    <row r="19312" spans="6:6" x14ac:dyDescent="0.3">
      <c r="F19312" s="193"/>
    </row>
    <row r="19313" spans="6:6" x14ac:dyDescent="0.3">
      <c r="F19313" s="193"/>
    </row>
    <row r="19314" spans="6:6" x14ac:dyDescent="0.3">
      <c r="F19314" s="193"/>
    </row>
    <row r="19315" spans="6:6" x14ac:dyDescent="0.3">
      <c r="F19315" s="193"/>
    </row>
    <row r="19316" spans="6:6" x14ac:dyDescent="0.3">
      <c r="F19316" s="193"/>
    </row>
    <row r="19317" spans="6:6" x14ac:dyDescent="0.3">
      <c r="F19317" s="193"/>
    </row>
    <row r="19318" spans="6:6" x14ac:dyDescent="0.3">
      <c r="F19318" s="193"/>
    </row>
    <row r="19319" spans="6:6" x14ac:dyDescent="0.3">
      <c r="F19319" s="193"/>
    </row>
    <row r="19320" spans="6:6" x14ac:dyDescent="0.3">
      <c r="F19320" s="193"/>
    </row>
    <row r="19321" spans="6:6" x14ac:dyDescent="0.3">
      <c r="F19321" s="193"/>
    </row>
    <row r="19322" spans="6:6" x14ac:dyDescent="0.3">
      <c r="F19322" s="193"/>
    </row>
    <row r="19323" spans="6:6" x14ac:dyDescent="0.3">
      <c r="F19323" s="193"/>
    </row>
    <row r="19324" spans="6:6" x14ac:dyDescent="0.3">
      <c r="F19324" s="193"/>
    </row>
    <row r="19325" spans="6:6" x14ac:dyDescent="0.3">
      <c r="F19325" s="193"/>
    </row>
    <row r="19326" spans="6:6" x14ac:dyDescent="0.3">
      <c r="F19326" s="193"/>
    </row>
    <row r="19327" spans="6:6" x14ac:dyDescent="0.3">
      <c r="F19327" s="193"/>
    </row>
    <row r="19328" spans="6:6" x14ac:dyDescent="0.3">
      <c r="F19328" s="193"/>
    </row>
    <row r="19329" spans="6:6" x14ac:dyDescent="0.3">
      <c r="F19329" s="193"/>
    </row>
    <row r="19330" spans="6:6" x14ac:dyDescent="0.3">
      <c r="F19330" s="193"/>
    </row>
    <row r="19331" spans="6:6" x14ac:dyDescent="0.3">
      <c r="F19331" s="193"/>
    </row>
    <row r="19332" spans="6:6" x14ac:dyDescent="0.3">
      <c r="F19332" s="193"/>
    </row>
    <row r="19333" spans="6:6" x14ac:dyDescent="0.3">
      <c r="F19333" s="193"/>
    </row>
    <row r="19334" spans="6:6" x14ac:dyDescent="0.3">
      <c r="F19334" s="193"/>
    </row>
    <row r="19335" spans="6:6" x14ac:dyDescent="0.3">
      <c r="F19335" s="193"/>
    </row>
    <row r="19336" spans="6:6" x14ac:dyDescent="0.3">
      <c r="F19336" s="193"/>
    </row>
    <row r="19337" spans="6:6" x14ac:dyDescent="0.3">
      <c r="F19337" s="193"/>
    </row>
    <row r="19338" spans="6:6" x14ac:dyDescent="0.3">
      <c r="F19338" s="193"/>
    </row>
    <row r="19339" spans="6:6" x14ac:dyDescent="0.3">
      <c r="F19339" s="193"/>
    </row>
    <row r="19340" spans="6:6" x14ac:dyDescent="0.3">
      <c r="F19340" s="193"/>
    </row>
    <row r="19341" spans="6:6" x14ac:dyDescent="0.3">
      <c r="F19341" s="193"/>
    </row>
    <row r="19342" spans="6:6" x14ac:dyDescent="0.3">
      <c r="F19342" s="193"/>
    </row>
    <row r="19343" spans="6:6" x14ac:dyDescent="0.3">
      <c r="F19343" s="193"/>
    </row>
    <row r="19344" spans="6:6" x14ac:dyDescent="0.3">
      <c r="F19344" s="193"/>
    </row>
    <row r="19345" spans="6:6" x14ac:dyDescent="0.3">
      <c r="F19345" s="193"/>
    </row>
    <row r="19346" spans="6:6" x14ac:dyDescent="0.3">
      <c r="F19346" s="193"/>
    </row>
    <row r="19347" spans="6:6" x14ac:dyDescent="0.3">
      <c r="F19347" s="193"/>
    </row>
    <row r="19348" spans="6:6" x14ac:dyDescent="0.3">
      <c r="F19348" s="193"/>
    </row>
    <row r="19349" spans="6:6" x14ac:dyDescent="0.3">
      <c r="F19349" s="193"/>
    </row>
    <row r="19350" spans="6:6" x14ac:dyDescent="0.3">
      <c r="F19350" s="193"/>
    </row>
    <row r="19351" spans="6:6" x14ac:dyDescent="0.3">
      <c r="F19351" s="193"/>
    </row>
    <row r="19352" spans="6:6" x14ac:dyDescent="0.3">
      <c r="F19352" s="193"/>
    </row>
    <row r="19353" spans="6:6" x14ac:dyDescent="0.3">
      <c r="F19353" s="193"/>
    </row>
    <row r="19354" spans="6:6" x14ac:dyDescent="0.3">
      <c r="F19354" s="193"/>
    </row>
    <row r="19355" spans="6:6" x14ac:dyDescent="0.3">
      <c r="F19355" s="193"/>
    </row>
    <row r="19356" spans="6:6" x14ac:dyDescent="0.3">
      <c r="F19356" s="193"/>
    </row>
    <row r="19357" spans="6:6" x14ac:dyDescent="0.3">
      <c r="F19357" s="193"/>
    </row>
    <row r="19358" spans="6:6" x14ac:dyDescent="0.3">
      <c r="F19358" s="193"/>
    </row>
    <row r="19359" spans="6:6" x14ac:dyDescent="0.3">
      <c r="F19359" s="193"/>
    </row>
    <row r="19360" spans="6:6" x14ac:dyDescent="0.3">
      <c r="F19360" s="193"/>
    </row>
    <row r="19361" spans="6:6" x14ac:dyDescent="0.3">
      <c r="F19361" s="193"/>
    </row>
    <row r="19362" spans="6:6" x14ac:dyDescent="0.3">
      <c r="F19362" s="193"/>
    </row>
    <row r="19363" spans="6:6" x14ac:dyDescent="0.3">
      <c r="F19363" s="193"/>
    </row>
    <row r="19364" spans="6:6" x14ac:dyDescent="0.3">
      <c r="F19364" s="193"/>
    </row>
    <row r="19365" spans="6:6" x14ac:dyDescent="0.3">
      <c r="F19365" s="193"/>
    </row>
    <row r="19366" spans="6:6" x14ac:dyDescent="0.3">
      <c r="F19366" s="193"/>
    </row>
    <row r="19367" spans="6:6" x14ac:dyDescent="0.3">
      <c r="F19367" s="193"/>
    </row>
    <row r="19368" spans="6:6" x14ac:dyDescent="0.3">
      <c r="F19368" s="193"/>
    </row>
    <row r="19369" spans="6:6" x14ac:dyDescent="0.3">
      <c r="F19369" s="193"/>
    </row>
    <row r="19370" spans="6:6" x14ac:dyDescent="0.3">
      <c r="F19370" s="193"/>
    </row>
    <row r="19371" spans="6:6" x14ac:dyDescent="0.3">
      <c r="F19371" s="193"/>
    </row>
    <row r="19372" spans="6:6" x14ac:dyDescent="0.3">
      <c r="F19372" s="193"/>
    </row>
    <row r="19373" spans="6:6" x14ac:dyDescent="0.3">
      <c r="F19373" s="193"/>
    </row>
    <row r="19374" spans="6:6" x14ac:dyDescent="0.3">
      <c r="F19374" s="193"/>
    </row>
    <row r="19375" spans="6:6" x14ac:dyDescent="0.3">
      <c r="F19375" s="193"/>
    </row>
    <row r="19376" spans="6:6" x14ac:dyDescent="0.3">
      <c r="F19376" s="193"/>
    </row>
    <row r="19377" spans="6:6" x14ac:dyDescent="0.3">
      <c r="F19377" s="193"/>
    </row>
    <row r="19378" spans="6:6" x14ac:dyDescent="0.3">
      <c r="F19378" s="193"/>
    </row>
    <row r="19379" spans="6:6" x14ac:dyDescent="0.3">
      <c r="F19379" s="193"/>
    </row>
    <row r="19380" spans="6:6" x14ac:dyDescent="0.3">
      <c r="F19380" s="193"/>
    </row>
    <row r="19381" spans="6:6" x14ac:dyDescent="0.3">
      <c r="F19381" s="193"/>
    </row>
    <row r="19382" spans="6:6" x14ac:dyDescent="0.3">
      <c r="F19382" s="193"/>
    </row>
    <row r="19383" spans="6:6" x14ac:dyDescent="0.3">
      <c r="F19383" s="193"/>
    </row>
    <row r="19384" spans="6:6" x14ac:dyDescent="0.3">
      <c r="F19384" s="193"/>
    </row>
    <row r="19385" spans="6:6" x14ac:dyDescent="0.3">
      <c r="F19385" s="193"/>
    </row>
    <row r="19386" spans="6:6" x14ac:dyDescent="0.3">
      <c r="F19386" s="193"/>
    </row>
    <row r="19387" spans="6:6" x14ac:dyDescent="0.3">
      <c r="F19387" s="193"/>
    </row>
    <row r="19388" spans="6:6" x14ac:dyDescent="0.3">
      <c r="F19388" s="193"/>
    </row>
    <row r="19389" spans="6:6" x14ac:dyDescent="0.3">
      <c r="F19389" s="193"/>
    </row>
    <row r="19390" spans="6:6" x14ac:dyDescent="0.3">
      <c r="F19390" s="193"/>
    </row>
    <row r="19391" spans="6:6" x14ac:dyDescent="0.3">
      <c r="F19391" s="193"/>
    </row>
    <row r="19392" spans="6:6" x14ac:dyDescent="0.3">
      <c r="F19392" s="193"/>
    </row>
    <row r="19393" spans="6:6" x14ac:dyDescent="0.3">
      <c r="F19393" s="193"/>
    </row>
    <row r="19394" spans="6:6" x14ac:dyDescent="0.3">
      <c r="F19394" s="193"/>
    </row>
    <row r="19395" spans="6:6" x14ac:dyDescent="0.3">
      <c r="F19395" s="193"/>
    </row>
    <row r="19396" spans="6:6" x14ac:dyDescent="0.3">
      <c r="F19396" s="193"/>
    </row>
    <row r="19397" spans="6:6" x14ac:dyDescent="0.3">
      <c r="F19397" s="193"/>
    </row>
    <row r="19398" spans="6:6" x14ac:dyDescent="0.3">
      <c r="F19398" s="193"/>
    </row>
    <row r="19399" spans="6:6" x14ac:dyDescent="0.3">
      <c r="F19399" s="193"/>
    </row>
    <row r="19400" spans="6:6" x14ac:dyDescent="0.3">
      <c r="F19400" s="193"/>
    </row>
    <row r="19401" spans="6:6" x14ac:dyDescent="0.3">
      <c r="F19401" s="193"/>
    </row>
    <row r="19402" spans="6:6" x14ac:dyDescent="0.3">
      <c r="F19402" s="193"/>
    </row>
    <row r="19403" spans="6:6" x14ac:dyDescent="0.3">
      <c r="F19403" s="193"/>
    </row>
    <row r="19404" spans="6:6" x14ac:dyDescent="0.3">
      <c r="F19404" s="193"/>
    </row>
    <row r="19405" spans="6:6" x14ac:dyDescent="0.3">
      <c r="F19405" s="193"/>
    </row>
    <row r="19406" spans="6:6" x14ac:dyDescent="0.3">
      <c r="F19406" s="193"/>
    </row>
    <row r="19407" spans="6:6" x14ac:dyDescent="0.3">
      <c r="F19407" s="193"/>
    </row>
    <row r="19408" spans="6:6" x14ac:dyDescent="0.3">
      <c r="F19408" s="193"/>
    </row>
    <row r="19409" spans="6:6" x14ac:dyDescent="0.3">
      <c r="F19409" s="193"/>
    </row>
    <row r="19410" spans="6:6" x14ac:dyDescent="0.3">
      <c r="F19410" s="193"/>
    </row>
    <row r="19411" spans="6:6" x14ac:dyDescent="0.3">
      <c r="F19411" s="193"/>
    </row>
    <row r="19412" spans="6:6" x14ac:dyDescent="0.3">
      <c r="F19412" s="193"/>
    </row>
    <row r="19413" spans="6:6" x14ac:dyDescent="0.3">
      <c r="F19413" s="193"/>
    </row>
    <row r="19414" spans="6:6" x14ac:dyDescent="0.3">
      <c r="F19414" s="193"/>
    </row>
    <row r="19415" spans="6:6" x14ac:dyDescent="0.3">
      <c r="F19415" s="193"/>
    </row>
    <row r="19416" spans="6:6" x14ac:dyDescent="0.3">
      <c r="F19416" s="193"/>
    </row>
    <row r="19417" spans="6:6" x14ac:dyDescent="0.3">
      <c r="F19417" s="193"/>
    </row>
    <row r="19418" spans="6:6" x14ac:dyDescent="0.3">
      <c r="F19418" s="193"/>
    </row>
    <row r="19419" spans="6:6" x14ac:dyDescent="0.3">
      <c r="F19419" s="193"/>
    </row>
    <row r="19420" spans="6:6" x14ac:dyDescent="0.3">
      <c r="F19420" s="193"/>
    </row>
    <row r="19421" spans="6:6" x14ac:dyDescent="0.3">
      <c r="F19421" s="193"/>
    </row>
    <row r="19422" spans="6:6" x14ac:dyDescent="0.3">
      <c r="F19422" s="193"/>
    </row>
    <row r="19423" spans="6:6" x14ac:dyDescent="0.3">
      <c r="F19423" s="193"/>
    </row>
    <row r="19424" spans="6:6" x14ac:dyDescent="0.3">
      <c r="F19424" s="193"/>
    </row>
    <row r="19425" spans="6:6" x14ac:dyDescent="0.3">
      <c r="F19425" s="193"/>
    </row>
    <row r="19426" spans="6:6" x14ac:dyDescent="0.3">
      <c r="F19426" s="193"/>
    </row>
    <row r="19427" spans="6:6" x14ac:dyDescent="0.3">
      <c r="F19427" s="193"/>
    </row>
    <row r="19428" spans="6:6" x14ac:dyDescent="0.3">
      <c r="F19428" s="193"/>
    </row>
    <row r="19429" spans="6:6" x14ac:dyDescent="0.3">
      <c r="F19429" s="193"/>
    </row>
    <row r="19430" spans="6:6" x14ac:dyDescent="0.3">
      <c r="F19430" s="193"/>
    </row>
    <row r="19431" spans="6:6" x14ac:dyDescent="0.3">
      <c r="F19431" s="193"/>
    </row>
    <row r="19432" spans="6:6" x14ac:dyDescent="0.3">
      <c r="F19432" s="193"/>
    </row>
    <row r="19433" spans="6:6" x14ac:dyDescent="0.3">
      <c r="F19433" s="193"/>
    </row>
    <row r="19434" spans="6:6" x14ac:dyDescent="0.3">
      <c r="F19434" s="193"/>
    </row>
    <row r="19435" spans="6:6" x14ac:dyDescent="0.3">
      <c r="F19435" s="193"/>
    </row>
    <row r="19436" spans="6:6" x14ac:dyDescent="0.3">
      <c r="F19436" s="193"/>
    </row>
    <row r="19437" spans="6:6" x14ac:dyDescent="0.3">
      <c r="F19437" s="193"/>
    </row>
    <row r="19438" spans="6:6" x14ac:dyDescent="0.3">
      <c r="F19438" s="193"/>
    </row>
    <row r="19439" spans="6:6" x14ac:dyDescent="0.3">
      <c r="F19439" s="193"/>
    </row>
    <row r="19440" spans="6:6" x14ac:dyDescent="0.3">
      <c r="F19440" s="193"/>
    </row>
    <row r="19441" spans="6:6" x14ac:dyDescent="0.3">
      <c r="F19441" s="193"/>
    </row>
    <row r="19442" spans="6:6" x14ac:dyDescent="0.3">
      <c r="F19442" s="193"/>
    </row>
    <row r="19443" spans="6:6" x14ac:dyDescent="0.3">
      <c r="F19443" s="193"/>
    </row>
    <row r="19444" spans="6:6" x14ac:dyDescent="0.3">
      <c r="F19444" s="193"/>
    </row>
    <row r="19445" spans="6:6" x14ac:dyDescent="0.3">
      <c r="F19445" s="193"/>
    </row>
    <row r="19446" spans="6:6" x14ac:dyDescent="0.3">
      <c r="F19446" s="193"/>
    </row>
    <row r="19447" spans="6:6" x14ac:dyDescent="0.3">
      <c r="F19447" s="193"/>
    </row>
    <row r="19448" spans="6:6" x14ac:dyDescent="0.3">
      <c r="F19448" s="193"/>
    </row>
    <row r="19449" spans="6:6" x14ac:dyDescent="0.3">
      <c r="F19449" s="193"/>
    </row>
    <row r="19450" spans="6:6" x14ac:dyDescent="0.3">
      <c r="F19450" s="193"/>
    </row>
    <row r="19451" spans="6:6" x14ac:dyDescent="0.3">
      <c r="F19451" s="193"/>
    </row>
    <row r="19452" spans="6:6" x14ac:dyDescent="0.3">
      <c r="F19452" s="193"/>
    </row>
    <row r="19453" spans="6:6" x14ac:dyDescent="0.3">
      <c r="F19453" s="193"/>
    </row>
    <row r="19454" spans="6:6" x14ac:dyDescent="0.3">
      <c r="F19454" s="193"/>
    </row>
    <row r="19455" spans="6:6" x14ac:dyDescent="0.3">
      <c r="F19455" s="193"/>
    </row>
    <row r="19456" spans="6:6" x14ac:dyDescent="0.3">
      <c r="F19456" s="193"/>
    </row>
    <row r="19457" spans="6:6" x14ac:dyDescent="0.3">
      <c r="F19457" s="193"/>
    </row>
    <row r="19458" spans="6:6" x14ac:dyDescent="0.3">
      <c r="F19458" s="193"/>
    </row>
    <row r="19459" spans="6:6" x14ac:dyDescent="0.3">
      <c r="F19459" s="193"/>
    </row>
    <row r="19460" spans="6:6" x14ac:dyDescent="0.3">
      <c r="F19460" s="193"/>
    </row>
    <row r="19461" spans="6:6" x14ac:dyDescent="0.3">
      <c r="F19461" s="193"/>
    </row>
    <row r="19462" spans="6:6" x14ac:dyDescent="0.3">
      <c r="F19462" s="193"/>
    </row>
    <row r="19463" spans="6:6" x14ac:dyDescent="0.3">
      <c r="F19463" s="193"/>
    </row>
    <row r="19464" spans="6:6" x14ac:dyDescent="0.3">
      <c r="F19464" s="193"/>
    </row>
    <row r="19465" spans="6:6" x14ac:dyDescent="0.3">
      <c r="F19465" s="193"/>
    </row>
    <row r="19466" spans="6:6" x14ac:dyDescent="0.3">
      <c r="F19466" s="193"/>
    </row>
    <row r="19467" spans="6:6" x14ac:dyDescent="0.3">
      <c r="F19467" s="193"/>
    </row>
    <row r="19468" spans="6:6" x14ac:dyDescent="0.3">
      <c r="F19468" s="193"/>
    </row>
    <row r="19469" spans="6:6" x14ac:dyDescent="0.3">
      <c r="F19469" s="193"/>
    </row>
    <row r="19470" spans="6:6" x14ac:dyDescent="0.3">
      <c r="F19470" s="193"/>
    </row>
    <row r="19471" spans="6:6" x14ac:dyDescent="0.3">
      <c r="F19471" s="193"/>
    </row>
    <row r="19472" spans="6:6" x14ac:dyDescent="0.3">
      <c r="F19472" s="193"/>
    </row>
    <row r="19473" spans="6:6" x14ac:dyDescent="0.3">
      <c r="F19473" s="193"/>
    </row>
    <row r="19474" spans="6:6" x14ac:dyDescent="0.3">
      <c r="F19474" s="193"/>
    </row>
    <row r="19475" spans="6:6" x14ac:dyDescent="0.3">
      <c r="F19475" s="193"/>
    </row>
    <row r="19476" spans="6:6" x14ac:dyDescent="0.3">
      <c r="F19476" s="193"/>
    </row>
    <row r="19477" spans="6:6" x14ac:dyDescent="0.3">
      <c r="F19477" s="193"/>
    </row>
    <row r="19478" spans="6:6" x14ac:dyDescent="0.3">
      <c r="F19478" s="193"/>
    </row>
    <row r="19479" spans="6:6" x14ac:dyDescent="0.3">
      <c r="F19479" s="193"/>
    </row>
    <row r="19480" spans="6:6" x14ac:dyDescent="0.3">
      <c r="F19480" s="193"/>
    </row>
    <row r="19481" spans="6:6" x14ac:dyDescent="0.3">
      <c r="F19481" s="193"/>
    </row>
    <row r="19482" spans="6:6" x14ac:dyDescent="0.3">
      <c r="F19482" s="193"/>
    </row>
    <row r="19483" spans="6:6" x14ac:dyDescent="0.3">
      <c r="F19483" s="193"/>
    </row>
    <row r="19484" spans="6:6" x14ac:dyDescent="0.3">
      <c r="F19484" s="193"/>
    </row>
    <row r="19485" spans="6:6" x14ac:dyDescent="0.3">
      <c r="F19485" s="193"/>
    </row>
    <row r="19486" spans="6:6" x14ac:dyDescent="0.3">
      <c r="F19486" s="193"/>
    </row>
    <row r="19487" spans="6:6" x14ac:dyDescent="0.3">
      <c r="F19487" s="193"/>
    </row>
    <row r="19488" spans="6:6" x14ac:dyDescent="0.3">
      <c r="F19488" s="193"/>
    </row>
    <row r="19489" spans="6:6" x14ac:dyDescent="0.3">
      <c r="F19489" s="193"/>
    </row>
    <row r="19490" spans="6:6" x14ac:dyDescent="0.3">
      <c r="F19490" s="193"/>
    </row>
    <row r="19491" spans="6:6" x14ac:dyDescent="0.3">
      <c r="F19491" s="193"/>
    </row>
    <row r="19492" spans="6:6" x14ac:dyDescent="0.3">
      <c r="F19492" s="193"/>
    </row>
    <row r="19493" spans="6:6" x14ac:dyDescent="0.3">
      <c r="F19493" s="193"/>
    </row>
    <row r="19494" spans="6:6" x14ac:dyDescent="0.3">
      <c r="F19494" s="193"/>
    </row>
    <row r="19495" spans="6:6" x14ac:dyDescent="0.3">
      <c r="F19495" s="193"/>
    </row>
    <row r="19496" spans="6:6" x14ac:dyDescent="0.3">
      <c r="F19496" s="193"/>
    </row>
    <row r="19497" spans="6:6" x14ac:dyDescent="0.3">
      <c r="F19497" s="193"/>
    </row>
    <row r="19498" spans="6:6" x14ac:dyDescent="0.3">
      <c r="F19498" s="193"/>
    </row>
    <row r="19499" spans="6:6" x14ac:dyDescent="0.3">
      <c r="F19499" s="193"/>
    </row>
    <row r="19500" spans="6:6" x14ac:dyDescent="0.3">
      <c r="F19500" s="193"/>
    </row>
    <row r="19501" spans="6:6" x14ac:dyDescent="0.3">
      <c r="F19501" s="193"/>
    </row>
    <row r="19502" spans="6:6" x14ac:dyDescent="0.3">
      <c r="F19502" s="193"/>
    </row>
    <row r="19503" spans="6:6" x14ac:dyDescent="0.3">
      <c r="F19503" s="193"/>
    </row>
    <row r="19504" spans="6:6" x14ac:dyDescent="0.3">
      <c r="F19504" s="193"/>
    </row>
    <row r="19505" spans="6:6" x14ac:dyDescent="0.3">
      <c r="F19505" s="193"/>
    </row>
    <row r="19506" spans="6:6" x14ac:dyDescent="0.3">
      <c r="F19506" s="193"/>
    </row>
    <row r="19507" spans="6:6" x14ac:dyDescent="0.3">
      <c r="F19507" s="193"/>
    </row>
    <row r="19508" spans="6:6" x14ac:dyDescent="0.3">
      <c r="F19508" s="193"/>
    </row>
    <row r="19509" spans="6:6" x14ac:dyDescent="0.3">
      <c r="F19509" s="193"/>
    </row>
    <row r="19510" spans="6:6" x14ac:dyDescent="0.3">
      <c r="F19510" s="193"/>
    </row>
    <row r="19511" spans="6:6" x14ac:dyDescent="0.3">
      <c r="F19511" s="193"/>
    </row>
    <row r="19512" spans="6:6" x14ac:dyDescent="0.3">
      <c r="F19512" s="193"/>
    </row>
    <row r="19513" spans="6:6" x14ac:dyDescent="0.3">
      <c r="F19513" s="193"/>
    </row>
    <row r="19514" spans="6:6" x14ac:dyDescent="0.3">
      <c r="F19514" s="193"/>
    </row>
    <row r="19515" spans="6:6" x14ac:dyDescent="0.3">
      <c r="F19515" s="193"/>
    </row>
    <row r="19516" spans="6:6" x14ac:dyDescent="0.3">
      <c r="F19516" s="193"/>
    </row>
    <row r="19517" spans="6:6" x14ac:dyDescent="0.3">
      <c r="F19517" s="193"/>
    </row>
    <row r="19518" spans="6:6" x14ac:dyDescent="0.3">
      <c r="F19518" s="193"/>
    </row>
    <row r="19519" spans="6:6" x14ac:dyDescent="0.3">
      <c r="F19519" s="193"/>
    </row>
    <row r="19520" spans="6:6" x14ac:dyDescent="0.3">
      <c r="F19520" s="193"/>
    </row>
    <row r="19521" spans="6:6" x14ac:dyDescent="0.3">
      <c r="F19521" s="193"/>
    </row>
    <row r="19522" spans="6:6" x14ac:dyDescent="0.3">
      <c r="F19522" s="193"/>
    </row>
    <row r="19523" spans="6:6" x14ac:dyDescent="0.3">
      <c r="F19523" s="193"/>
    </row>
    <row r="19524" spans="6:6" x14ac:dyDescent="0.3">
      <c r="F19524" s="193"/>
    </row>
    <row r="19525" spans="6:6" x14ac:dyDescent="0.3">
      <c r="F19525" s="193"/>
    </row>
    <row r="19526" spans="6:6" x14ac:dyDescent="0.3">
      <c r="F19526" s="193"/>
    </row>
    <row r="19527" spans="6:6" x14ac:dyDescent="0.3">
      <c r="F19527" s="193"/>
    </row>
    <row r="19528" spans="6:6" x14ac:dyDescent="0.3">
      <c r="F19528" s="193"/>
    </row>
    <row r="19529" spans="6:6" x14ac:dyDescent="0.3">
      <c r="F19529" s="193"/>
    </row>
    <row r="19530" spans="6:6" x14ac:dyDescent="0.3">
      <c r="F19530" s="193"/>
    </row>
    <row r="19531" spans="6:6" x14ac:dyDescent="0.3">
      <c r="F19531" s="193"/>
    </row>
    <row r="19532" spans="6:6" x14ac:dyDescent="0.3">
      <c r="F19532" s="193"/>
    </row>
    <row r="19533" spans="6:6" x14ac:dyDescent="0.3">
      <c r="F19533" s="193"/>
    </row>
    <row r="19534" spans="6:6" x14ac:dyDescent="0.3">
      <c r="F19534" s="193"/>
    </row>
    <row r="19535" spans="6:6" x14ac:dyDescent="0.3">
      <c r="F19535" s="193"/>
    </row>
    <row r="19536" spans="6:6" x14ac:dyDescent="0.3">
      <c r="F19536" s="193"/>
    </row>
    <row r="19537" spans="6:6" x14ac:dyDescent="0.3">
      <c r="F19537" s="193"/>
    </row>
    <row r="19538" spans="6:6" x14ac:dyDescent="0.3">
      <c r="F19538" s="193"/>
    </row>
    <row r="19539" spans="6:6" x14ac:dyDescent="0.3">
      <c r="F19539" s="193"/>
    </row>
    <row r="19540" spans="6:6" x14ac:dyDescent="0.3">
      <c r="F19540" s="193"/>
    </row>
    <row r="19541" spans="6:6" x14ac:dyDescent="0.3">
      <c r="F19541" s="193"/>
    </row>
    <row r="19542" spans="6:6" x14ac:dyDescent="0.3">
      <c r="F19542" s="193"/>
    </row>
    <row r="19543" spans="6:6" x14ac:dyDescent="0.3">
      <c r="F19543" s="193"/>
    </row>
    <row r="19544" spans="6:6" x14ac:dyDescent="0.3">
      <c r="F19544" s="193"/>
    </row>
    <row r="19545" spans="6:6" x14ac:dyDescent="0.3">
      <c r="F19545" s="193"/>
    </row>
    <row r="19546" spans="6:6" x14ac:dyDescent="0.3">
      <c r="F19546" s="193"/>
    </row>
    <row r="19547" spans="6:6" x14ac:dyDescent="0.3">
      <c r="F19547" s="193"/>
    </row>
    <row r="19548" spans="6:6" x14ac:dyDescent="0.3">
      <c r="F19548" s="193"/>
    </row>
    <row r="19549" spans="6:6" x14ac:dyDescent="0.3">
      <c r="F19549" s="193"/>
    </row>
    <row r="19550" spans="6:6" x14ac:dyDescent="0.3">
      <c r="F19550" s="193"/>
    </row>
    <row r="19551" spans="6:6" x14ac:dyDescent="0.3">
      <c r="F19551" s="193"/>
    </row>
    <row r="19552" spans="6:6" x14ac:dyDescent="0.3">
      <c r="F19552" s="193"/>
    </row>
    <row r="19553" spans="6:6" x14ac:dyDescent="0.3">
      <c r="F19553" s="193"/>
    </row>
    <row r="19554" spans="6:6" x14ac:dyDescent="0.3">
      <c r="F19554" s="193"/>
    </row>
    <row r="19555" spans="6:6" x14ac:dyDescent="0.3">
      <c r="F19555" s="193"/>
    </row>
    <row r="19556" spans="6:6" x14ac:dyDescent="0.3">
      <c r="F19556" s="193"/>
    </row>
    <row r="19557" spans="6:6" x14ac:dyDescent="0.3">
      <c r="F19557" s="193"/>
    </row>
    <row r="19558" spans="6:6" x14ac:dyDescent="0.3">
      <c r="F19558" s="193"/>
    </row>
    <row r="19559" spans="6:6" x14ac:dyDescent="0.3">
      <c r="F19559" s="193"/>
    </row>
    <row r="19560" spans="6:6" x14ac:dyDescent="0.3">
      <c r="F19560" s="193"/>
    </row>
    <row r="19561" spans="6:6" x14ac:dyDescent="0.3">
      <c r="F19561" s="193"/>
    </row>
    <row r="19562" spans="6:6" x14ac:dyDescent="0.3">
      <c r="F19562" s="193"/>
    </row>
    <row r="19563" spans="6:6" x14ac:dyDescent="0.3">
      <c r="F19563" s="193"/>
    </row>
    <row r="19564" spans="6:6" x14ac:dyDescent="0.3">
      <c r="F19564" s="193"/>
    </row>
    <row r="19565" spans="6:6" x14ac:dyDescent="0.3">
      <c r="F19565" s="193"/>
    </row>
    <row r="19566" spans="6:6" x14ac:dyDescent="0.3">
      <c r="F19566" s="193"/>
    </row>
    <row r="19567" spans="6:6" x14ac:dyDescent="0.3">
      <c r="F19567" s="193"/>
    </row>
    <row r="19568" spans="6:6" x14ac:dyDescent="0.3">
      <c r="F19568" s="193"/>
    </row>
    <row r="19569" spans="6:6" x14ac:dyDescent="0.3">
      <c r="F19569" s="193"/>
    </row>
    <row r="19570" spans="6:6" x14ac:dyDescent="0.3">
      <c r="F19570" s="193"/>
    </row>
    <row r="19571" spans="6:6" x14ac:dyDescent="0.3">
      <c r="F19571" s="193"/>
    </row>
    <row r="19572" spans="6:6" x14ac:dyDescent="0.3">
      <c r="F19572" s="193"/>
    </row>
    <row r="19573" spans="6:6" x14ac:dyDescent="0.3">
      <c r="F19573" s="193"/>
    </row>
    <row r="19574" spans="6:6" x14ac:dyDescent="0.3">
      <c r="F19574" s="193"/>
    </row>
    <row r="19575" spans="6:6" x14ac:dyDescent="0.3">
      <c r="F19575" s="193"/>
    </row>
    <row r="19576" spans="6:6" x14ac:dyDescent="0.3">
      <c r="F19576" s="193"/>
    </row>
    <row r="19577" spans="6:6" x14ac:dyDescent="0.3">
      <c r="F19577" s="193"/>
    </row>
    <row r="19578" spans="6:6" x14ac:dyDescent="0.3">
      <c r="F19578" s="193"/>
    </row>
    <row r="19579" spans="6:6" x14ac:dyDescent="0.3">
      <c r="F19579" s="193"/>
    </row>
    <row r="19580" spans="6:6" x14ac:dyDescent="0.3">
      <c r="F19580" s="193"/>
    </row>
    <row r="19581" spans="6:6" x14ac:dyDescent="0.3">
      <c r="F19581" s="193"/>
    </row>
    <row r="19582" spans="6:6" x14ac:dyDescent="0.3">
      <c r="F19582" s="193"/>
    </row>
    <row r="19583" spans="6:6" x14ac:dyDescent="0.3">
      <c r="F19583" s="193"/>
    </row>
    <row r="19584" spans="6:6" x14ac:dyDescent="0.3">
      <c r="F19584" s="193"/>
    </row>
    <row r="19585" spans="6:6" x14ac:dyDescent="0.3">
      <c r="F19585" s="193"/>
    </row>
    <row r="19586" spans="6:6" x14ac:dyDescent="0.3">
      <c r="F19586" s="193"/>
    </row>
    <row r="19587" spans="6:6" x14ac:dyDescent="0.3">
      <c r="F19587" s="193"/>
    </row>
    <row r="19588" spans="6:6" x14ac:dyDescent="0.3">
      <c r="F19588" s="193"/>
    </row>
    <row r="19589" spans="6:6" x14ac:dyDescent="0.3">
      <c r="F19589" s="193"/>
    </row>
    <row r="19590" spans="6:6" x14ac:dyDescent="0.3">
      <c r="F19590" s="193"/>
    </row>
    <row r="19591" spans="6:6" x14ac:dyDescent="0.3">
      <c r="F19591" s="193"/>
    </row>
    <row r="19592" spans="6:6" x14ac:dyDescent="0.3">
      <c r="F19592" s="193"/>
    </row>
    <row r="19593" spans="6:6" x14ac:dyDescent="0.3">
      <c r="F19593" s="193"/>
    </row>
    <row r="19594" spans="6:6" x14ac:dyDescent="0.3">
      <c r="F19594" s="193"/>
    </row>
    <row r="19595" spans="6:6" x14ac:dyDescent="0.3">
      <c r="F19595" s="193"/>
    </row>
    <row r="19596" spans="6:6" x14ac:dyDescent="0.3">
      <c r="F19596" s="193"/>
    </row>
    <row r="19597" spans="6:6" x14ac:dyDescent="0.3">
      <c r="F19597" s="193"/>
    </row>
    <row r="19598" spans="6:6" x14ac:dyDescent="0.3">
      <c r="F19598" s="193"/>
    </row>
    <row r="19599" spans="6:6" x14ac:dyDescent="0.3">
      <c r="F19599" s="193"/>
    </row>
    <row r="19600" spans="6:6" x14ac:dyDescent="0.3">
      <c r="F19600" s="193"/>
    </row>
    <row r="19601" spans="6:6" x14ac:dyDescent="0.3">
      <c r="F19601" s="193"/>
    </row>
    <row r="19602" spans="6:6" x14ac:dyDescent="0.3">
      <c r="F19602" s="193"/>
    </row>
    <row r="19603" spans="6:6" x14ac:dyDescent="0.3">
      <c r="F19603" s="193"/>
    </row>
    <row r="19604" spans="6:6" x14ac:dyDescent="0.3">
      <c r="F19604" s="193"/>
    </row>
    <row r="19605" spans="6:6" x14ac:dyDescent="0.3">
      <c r="F19605" s="193"/>
    </row>
    <row r="19606" spans="6:6" x14ac:dyDescent="0.3">
      <c r="F19606" s="193"/>
    </row>
    <row r="19607" spans="6:6" x14ac:dyDescent="0.3">
      <c r="F19607" s="193"/>
    </row>
    <row r="19608" spans="6:6" x14ac:dyDescent="0.3">
      <c r="F19608" s="193"/>
    </row>
    <row r="19609" spans="6:6" x14ac:dyDescent="0.3">
      <c r="F19609" s="193"/>
    </row>
    <row r="19610" spans="6:6" x14ac:dyDescent="0.3">
      <c r="F19610" s="193"/>
    </row>
    <row r="19611" spans="6:6" x14ac:dyDescent="0.3">
      <c r="F19611" s="193"/>
    </row>
    <row r="19612" spans="6:6" x14ac:dyDescent="0.3">
      <c r="F19612" s="193"/>
    </row>
    <row r="19613" spans="6:6" x14ac:dyDescent="0.3">
      <c r="F19613" s="193"/>
    </row>
    <row r="19614" spans="6:6" x14ac:dyDescent="0.3">
      <c r="F19614" s="193"/>
    </row>
    <row r="19615" spans="6:6" x14ac:dyDescent="0.3">
      <c r="F19615" s="193"/>
    </row>
    <row r="19616" spans="6:6" x14ac:dyDescent="0.3">
      <c r="F19616" s="193"/>
    </row>
    <row r="19617" spans="6:6" x14ac:dyDescent="0.3">
      <c r="F19617" s="193"/>
    </row>
    <row r="19618" spans="6:6" x14ac:dyDescent="0.3">
      <c r="F19618" s="193"/>
    </row>
    <row r="19619" spans="6:6" x14ac:dyDescent="0.3">
      <c r="F19619" s="193"/>
    </row>
    <row r="19620" spans="6:6" x14ac:dyDescent="0.3">
      <c r="F19620" s="193"/>
    </row>
    <row r="19621" spans="6:6" x14ac:dyDescent="0.3">
      <c r="F19621" s="193"/>
    </row>
    <row r="19622" spans="6:6" x14ac:dyDescent="0.3">
      <c r="F19622" s="193"/>
    </row>
    <row r="19623" spans="6:6" x14ac:dyDescent="0.3">
      <c r="F19623" s="193"/>
    </row>
    <row r="19624" spans="6:6" x14ac:dyDescent="0.3">
      <c r="F19624" s="193"/>
    </row>
    <row r="19625" spans="6:6" x14ac:dyDescent="0.3">
      <c r="F19625" s="193"/>
    </row>
    <row r="19626" spans="6:6" x14ac:dyDescent="0.3">
      <c r="F19626" s="193"/>
    </row>
    <row r="19627" spans="6:6" x14ac:dyDescent="0.3">
      <c r="F19627" s="193"/>
    </row>
    <row r="19628" spans="6:6" x14ac:dyDescent="0.3">
      <c r="F19628" s="193"/>
    </row>
    <row r="19629" spans="6:6" x14ac:dyDescent="0.3">
      <c r="F19629" s="193"/>
    </row>
    <row r="19630" spans="6:6" x14ac:dyDescent="0.3">
      <c r="F19630" s="193"/>
    </row>
    <row r="19631" spans="6:6" x14ac:dyDescent="0.3">
      <c r="F19631" s="193"/>
    </row>
    <row r="19632" spans="6:6" x14ac:dyDescent="0.3">
      <c r="F19632" s="193"/>
    </row>
    <row r="19633" spans="6:6" x14ac:dyDescent="0.3">
      <c r="F19633" s="193"/>
    </row>
    <row r="19634" spans="6:6" x14ac:dyDescent="0.3">
      <c r="F19634" s="193"/>
    </row>
    <row r="19635" spans="6:6" x14ac:dyDescent="0.3">
      <c r="F19635" s="193"/>
    </row>
    <row r="19636" spans="6:6" x14ac:dyDescent="0.3">
      <c r="F19636" s="193"/>
    </row>
    <row r="19637" spans="6:6" x14ac:dyDescent="0.3">
      <c r="F19637" s="193"/>
    </row>
    <row r="19638" spans="6:6" x14ac:dyDescent="0.3">
      <c r="F19638" s="193"/>
    </row>
    <row r="19639" spans="6:6" x14ac:dyDescent="0.3">
      <c r="F19639" s="193"/>
    </row>
    <row r="19640" spans="6:6" x14ac:dyDescent="0.3">
      <c r="F19640" s="193"/>
    </row>
    <row r="19641" spans="6:6" x14ac:dyDescent="0.3">
      <c r="F19641" s="193"/>
    </row>
    <row r="19642" spans="6:6" x14ac:dyDescent="0.3">
      <c r="F19642" s="193"/>
    </row>
    <row r="19643" spans="6:6" x14ac:dyDescent="0.3">
      <c r="F19643" s="193"/>
    </row>
    <row r="19644" spans="6:6" x14ac:dyDescent="0.3">
      <c r="F19644" s="193"/>
    </row>
    <row r="19645" spans="6:6" x14ac:dyDescent="0.3">
      <c r="F19645" s="193"/>
    </row>
    <row r="19646" spans="6:6" x14ac:dyDescent="0.3">
      <c r="F19646" s="193"/>
    </row>
    <row r="19647" spans="6:6" x14ac:dyDescent="0.3">
      <c r="F19647" s="193"/>
    </row>
    <row r="19648" spans="6:6" x14ac:dyDescent="0.3">
      <c r="F19648" s="193"/>
    </row>
    <row r="19649" spans="6:6" x14ac:dyDescent="0.3">
      <c r="F19649" s="193"/>
    </row>
    <row r="19650" spans="6:6" x14ac:dyDescent="0.3">
      <c r="F19650" s="193"/>
    </row>
    <row r="19651" spans="6:6" x14ac:dyDescent="0.3">
      <c r="F19651" s="193"/>
    </row>
    <row r="19652" spans="6:6" x14ac:dyDescent="0.3">
      <c r="F19652" s="193"/>
    </row>
    <row r="19653" spans="6:6" x14ac:dyDescent="0.3">
      <c r="F19653" s="193"/>
    </row>
    <row r="19654" spans="6:6" x14ac:dyDescent="0.3">
      <c r="F19654" s="193"/>
    </row>
    <row r="19655" spans="6:6" x14ac:dyDescent="0.3">
      <c r="F19655" s="193"/>
    </row>
    <row r="19656" spans="6:6" x14ac:dyDescent="0.3">
      <c r="F19656" s="193"/>
    </row>
    <row r="19657" spans="6:6" x14ac:dyDescent="0.3">
      <c r="F19657" s="193"/>
    </row>
    <row r="19658" spans="6:6" x14ac:dyDescent="0.3">
      <c r="F19658" s="193"/>
    </row>
    <row r="19659" spans="6:6" x14ac:dyDescent="0.3">
      <c r="F19659" s="193"/>
    </row>
    <row r="19660" spans="6:6" x14ac:dyDescent="0.3">
      <c r="F19660" s="193"/>
    </row>
    <row r="19661" spans="6:6" x14ac:dyDescent="0.3">
      <c r="F19661" s="193"/>
    </row>
    <row r="19662" spans="6:6" x14ac:dyDescent="0.3">
      <c r="F19662" s="193"/>
    </row>
    <row r="19663" spans="6:6" x14ac:dyDescent="0.3">
      <c r="F19663" s="193"/>
    </row>
    <row r="19664" spans="6:6" x14ac:dyDescent="0.3">
      <c r="F19664" s="193"/>
    </row>
    <row r="19665" spans="6:6" x14ac:dyDescent="0.3">
      <c r="F19665" s="193"/>
    </row>
    <row r="19666" spans="6:6" x14ac:dyDescent="0.3">
      <c r="F19666" s="193"/>
    </row>
    <row r="19667" spans="6:6" x14ac:dyDescent="0.3">
      <c r="F19667" s="193"/>
    </row>
    <row r="19668" spans="6:6" x14ac:dyDescent="0.3">
      <c r="F19668" s="193"/>
    </row>
    <row r="19669" spans="6:6" x14ac:dyDescent="0.3">
      <c r="F19669" s="193"/>
    </row>
    <row r="19670" spans="6:6" x14ac:dyDescent="0.3">
      <c r="F19670" s="193"/>
    </row>
    <row r="19671" spans="6:6" x14ac:dyDescent="0.3">
      <c r="F19671" s="193"/>
    </row>
    <row r="19672" spans="6:6" x14ac:dyDescent="0.3">
      <c r="F19672" s="193"/>
    </row>
    <row r="19673" spans="6:6" x14ac:dyDescent="0.3">
      <c r="F19673" s="193"/>
    </row>
    <row r="19674" spans="6:6" x14ac:dyDescent="0.3">
      <c r="F19674" s="193"/>
    </row>
    <row r="19675" spans="6:6" x14ac:dyDescent="0.3">
      <c r="F19675" s="193"/>
    </row>
    <row r="19676" spans="6:6" x14ac:dyDescent="0.3">
      <c r="F19676" s="193"/>
    </row>
    <row r="19677" spans="6:6" x14ac:dyDescent="0.3">
      <c r="F19677" s="193"/>
    </row>
    <row r="19678" spans="6:6" x14ac:dyDescent="0.3">
      <c r="F19678" s="193"/>
    </row>
    <row r="19679" spans="6:6" x14ac:dyDescent="0.3">
      <c r="F19679" s="193"/>
    </row>
    <row r="19680" spans="6:6" x14ac:dyDescent="0.3">
      <c r="F19680" s="193"/>
    </row>
    <row r="19681" spans="6:6" x14ac:dyDescent="0.3">
      <c r="F19681" s="193"/>
    </row>
    <row r="19682" spans="6:6" x14ac:dyDescent="0.3">
      <c r="F19682" s="193"/>
    </row>
    <row r="19683" spans="6:6" x14ac:dyDescent="0.3">
      <c r="F19683" s="193"/>
    </row>
    <row r="19684" spans="6:6" x14ac:dyDescent="0.3">
      <c r="F19684" s="193"/>
    </row>
    <row r="19685" spans="6:6" x14ac:dyDescent="0.3">
      <c r="F19685" s="193"/>
    </row>
    <row r="19686" spans="6:6" x14ac:dyDescent="0.3">
      <c r="F19686" s="193"/>
    </row>
    <row r="19687" spans="6:6" x14ac:dyDescent="0.3">
      <c r="F19687" s="193"/>
    </row>
    <row r="19688" spans="6:6" x14ac:dyDescent="0.3">
      <c r="F19688" s="193"/>
    </row>
    <row r="19689" spans="6:6" x14ac:dyDescent="0.3">
      <c r="F19689" s="193"/>
    </row>
    <row r="19690" spans="6:6" x14ac:dyDescent="0.3">
      <c r="F19690" s="193"/>
    </row>
    <row r="19691" spans="6:6" x14ac:dyDescent="0.3">
      <c r="F19691" s="193"/>
    </row>
    <row r="19692" spans="6:6" x14ac:dyDescent="0.3">
      <c r="F19692" s="193"/>
    </row>
    <row r="19693" spans="6:6" x14ac:dyDescent="0.3">
      <c r="F19693" s="193"/>
    </row>
    <row r="19694" spans="6:6" x14ac:dyDescent="0.3">
      <c r="F19694" s="193"/>
    </row>
    <row r="19695" spans="6:6" x14ac:dyDescent="0.3">
      <c r="F19695" s="193"/>
    </row>
    <row r="19696" spans="6:6" x14ac:dyDescent="0.3">
      <c r="F19696" s="193"/>
    </row>
    <row r="19697" spans="6:6" x14ac:dyDescent="0.3">
      <c r="F19697" s="193"/>
    </row>
    <row r="19698" spans="6:6" x14ac:dyDescent="0.3">
      <c r="F19698" s="193"/>
    </row>
    <row r="19699" spans="6:6" x14ac:dyDescent="0.3">
      <c r="F19699" s="193"/>
    </row>
    <row r="19700" spans="6:6" x14ac:dyDescent="0.3">
      <c r="F19700" s="193"/>
    </row>
    <row r="19701" spans="6:6" x14ac:dyDescent="0.3">
      <c r="F19701" s="193"/>
    </row>
    <row r="19702" spans="6:6" x14ac:dyDescent="0.3">
      <c r="F19702" s="193"/>
    </row>
    <row r="19703" spans="6:6" x14ac:dyDescent="0.3">
      <c r="F19703" s="193"/>
    </row>
    <row r="19704" spans="6:6" x14ac:dyDescent="0.3">
      <c r="F19704" s="193"/>
    </row>
    <row r="19705" spans="6:6" x14ac:dyDescent="0.3">
      <c r="F19705" s="193"/>
    </row>
    <row r="19706" spans="6:6" x14ac:dyDescent="0.3">
      <c r="F19706" s="193"/>
    </row>
    <row r="19707" spans="6:6" x14ac:dyDescent="0.3">
      <c r="F19707" s="193"/>
    </row>
    <row r="19708" spans="6:6" x14ac:dyDescent="0.3">
      <c r="F19708" s="193"/>
    </row>
    <row r="19709" spans="6:6" x14ac:dyDescent="0.3">
      <c r="F19709" s="193"/>
    </row>
    <row r="19710" spans="6:6" x14ac:dyDescent="0.3">
      <c r="F19710" s="193"/>
    </row>
    <row r="19711" spans="6:6" x14ac:dyDescent="0.3">
      <c r="F19711" s="193"/>
    </row>
    <row r="19712" spans="6:6" x14ac:dyDescent="0.3">
      <c r="F19712" s="193"/>
    </row>
    <row r="19713" spans="6:6" x14ac:dyDescent="0.3">
      <c r="F19713" s="193"/>
    </row>
    <row r="19714" spans="6:6" x14ac:dyDescent="0.3">
      <c r="F19714" s="193"/>
    </row>
    <row r="19715" spans="6:6" x14ac:dyDescent="0.3">
      <c r="F19715" s="193"/>
    </row>
    <row r="19716" spans="6:6" x14ac:dyDescent="0.3">
      <c r="F19716" s="193"/>
    </row>
    <row r="19717" spans="6:6" x14ac:dyDescent="0.3">
      <c r="F19717" s="193"/>
    </row>
    <row r="19718" spans="6:6" x14ac:dyDescent="0.3">
      <c r="F19718" s="193"/>
    </row>
    <row r="19719" spans="6:6" x14ac:dyDescent="0.3">
      <c r="F19719" s="193"/>
    </row>
    <row r="19720" spans="6:6" x14ac:dyDescent="0.3">
      <c r="F19720" s="193"/>
    </row>
    <row r="19721" spans="6:6" x14ac:dyDescent="0.3">
      <c r="F19721" s="193"/>
    </row>
    <row r="19722" spans="6:6" x14ac:dyDescent="0.3">
      <c r="F19722" s="193"/>
    </row>
    <row r="19723" spans="6:6" x14ac:dyDescent="0.3">
      <c r="F19723" s="193"/>
    </row>
    <row r="19724" spans="6:6" x14ac:dyDescent="0.3">
      <c r="F19724" s="193"/>
    </row>
    <row r="19725" spans="6:6" x14ac:dyDescent="0.3">
      <c r="F19725" s="193"/>
    </row>
    <row r="19726" spans="6:6" x14ac:dyDescent="0.3">
      <c r="F19726" s="193"/>
    </row>
    <row r="19727" spans="6:6" x14ac:dyDescent="0.3">
      <c r="F19727" s="193"/>
    </row>
    <row r="19728" spans="6:6" x14ac:dyDescent="0.3">
      <c r="F19728" s="193"/>
    </row>
    <row r="19729" spans="6:6" x14ac:dyDescent="0.3">
      <c r="F19729" s="193"/>
    </row>
    <row r="19730" spans="6:6" x14ac:dyDescent="0.3">
      <c r="F19730" s="193"/>
    </row>
    <row r="19731" spans="6:6" x14ac:dyDescent="0.3">
      <c r="F19731" s="193"/>
    </row>
    <row r="19732" spans="6:6" x14ac:dyDescent="0.3">
      <c r="F19732" s="193"/>
    </row>
    <row r="19733" spans="6:6" x14ac:dyDescent="0.3">
      <c r="F19733" s="193"/>
    </row>
    <row r="19734" spans="6:6" x14ac:dyDescent="0.3">
      <c r="F19734" s="193"/>
    </row>
    <row r="19735" spans="6:6" x14ac:dyDescent="0.3">
      <c r="F19735" s="193"/>
    </row>
    <row r="19736" spans="6:6" x14ac:dyDescent="0.3">
      <c r="F19736" s="193"/>
    </row>
    <row r="19737" spans="6:6" x14ac:dyDescent="0.3">
      <c r="F19737" s="193"/>
    </row>
    <row r="19738" spans="6:6" x14ac:dyDescent="0.3">
      <c r="F19738" s="193"/>
    </row>
    <row r="19739" spans="6:6" x14ac:dyDescent="0.3">
      <c r="F19739" s="193"/>
    </row>
    <row r="19740" spans="6:6" x14ac:dyDescent="0.3">
      <c r="F19740" s="193"/>
    </row>
    <row r="19741" spans="6:6" x14ac:dyDescent="0.3">
      <c r="F19741" s="193"/>
    </row>
    <row r="19742" spans="6:6" x14ac:dyDescent="0.3">
      <c r="F19742" s="193"/>
    </row>
    <row r="19743" spans="6:6" x14ac:dyDescent="0.3">
      <c r="F19743" s="193"/>
    </row>
    <row r="19744" spans="6:6" x14ac:dyDescent="0.3">
      <c r="F19744" s="193"/>
    </row>
    <row r="19745" spans="6:6" x14ac:dyDescent="0.3">
      <c r="F19745" s="193"/>
    </row>
    <row r="19746" spans="6:6" x14ac:dyDescent="0.3">
      <c r="F19746" s="193"/>
    </row>
    <row r="19747" spans="6:6" x14ac:dyDescent="0.3">
      <c r="F19747" s="193"/>
    </row>
    <row r="19748" spans="6:6" x14ac:dyDescent="0.3">
      <c r="F19748" s="193"/>
    </row>
    <row r="19749" spans="6:6" x14ac:dyDescent="0.3">
      <c r="F19749" s="193"/>
    </row>
    <row r="19750" spans="6:6" x14ac:dyDescent="0.3">
      <c r="F19750" s="193"/>
    </row>
    <row r="19751" spans="6:6" x14ac:dyDescent="0.3">
      <c r="F19751" s="193"/>
    </row>
    <row r="19752" spans="6:6" x14ac:dyDescent="0.3">
      <c r="F19752" s="193"/>
    </row>
    <row r="19753" spans="6:6" x14ac:dyDescent="0.3">
      <c r="F19753" s="193"/>
    </row>
    <row r="19754" spans="6:6" x14ac:dyDescent="0.3">
      <c r="F19754" s="193"/>
    </row>
    <row r="19755" spans="6:6" x14ac:dyDescent="0.3">
      <c r="F19755" s="193"/>
    </row>
    <row r="19756" spans="6:6" x14ac:dyDescent="0.3">
      <c r="F19756" s="193"/>
    </row>
    <row r="19757" spans="6:6" x14ac:dyDescent="0.3">
      <c r="F19757" s="193"/>
    </row>
    <row r="19758" spans="6:6" x14ac:dyDescent="0.3">
      <c r="F19758" s="193"/>
    </row>
    <row r="19759" spans="6:6" x14ac:dyDescent="0.3">
      <c r="F19759" s="193"/>
    </row>
    <row r="19760" spans="6:6" x14ac:dyDescent="0.3">
      <c r="F19760" s="193"/>
    </row>
    <row r="19761" spans="6:6" x14ac:dyDescent="0.3">
      <c r="F19761" s="193"/>
    </row>
    <row r="19762" spans="6:6" x14ac:dyDescent="0.3">
      <c r="F19762" s="193"/>
    </row>
    <row r="19763" spans="6:6" x14ac:dyDescent="0.3">
      <c r="F19763" s="193"/>
    </row>
    <row r="19764" spans="6:6" x14ac:dyDescent="0.3">
      <c r="F19764" s="193"/>
    </row>
    <row r="19765" spans="6:6" x14ac:dyDescent="0.3">
      <c r="F19765" s="193"/>
    </row>
    <row r="19766" spans="6:6" x14ac:dyDescent="0.3">
      <c r="F19766" s="193"/>
    </row>
    <row r="19767" spans="6:6" x14ac:dyDescent="0.3">
      <c r="F19767" s="193"/>
    </row>
    <row r="19768" spans="6:6" x14ac:dyDescent="0.3">
      <c r="F19768" s="193"/>
    </row>
    <row r="19769" spans="6:6" x14ac:dyDescent="0.3">
      <c r="F19769" s="193"/>
    </row>
    <row r="19770" spans="6:6" x14ac:dyDescent="0.3">
      <c r="F19770" s="193"/>
    </row>
    <row r="19771" spans="6:6" x14ac:dyDescent="0.3">
      <c r="F19771" s="193"/>
    </row>
    <row r="19772" spans="6:6" x14ac:dyDescent="0.3">
      <c r="F19772" s="193"/>
    </row>
    <row r="19773" spans="6:6" x14ac:dyDescent="0.3">
      <c r="F19773" s="193"/>
    </row>
    <row r="19774" spans="6:6" x14ac:dyDescent="0.3">
      <c r="F19774" s="193"/>
    </row>
    <row r="19775" spans="6:6" x14ac:dyDescent="0.3">
      <c r="F19775" s="193"/>
    </row>
    <row r="19776" spans="6:6" x14ac:dyDescent="0.3">
      <c r="F19776" s="193"/>
    </row>
    <row r="19777" spans="6:6" x14ac:dyDescent="0.3">
      <c r="F19777" s="193"/>
    </row>
    <row r="19778" spans="6:6" x14ac:dyDescent="0.3">
      <c r="F19778" s="193"/>
    </row>
    <row r="19779" spans="6:6" x14ac:dyDescent="0.3">
      <c r="F19779" s="193"/>
    </row>
    <row r="19780" spans="6:6" x14ac:dyDescent="0.3">
      <c r="F19780" s="193"/>
    </row>
    <row r="19781" spans="6:6" x14ac:dyDescent="0.3">
      <c r="F19781" s="193"/>
    </row>
    <row r="19782" spans="6:6" x14ac:dyDescent="0.3">
      <c r="F19782" s="193"/>
    </row>
    <row r="19783" spans="6:6" x14ac:dyDescent="0.3">
      <c r="F19783" s="193"/>
    </row>
    <row r="19784" spans="6:6" x14ac:dyDescent="0.3">
      <c r="F19784" s="193"/>
    </row>
    <row r="19785" spans="6:6" x14ac:dyDescent="0.3">
      <c r="F19785" s="193"/>
    </row>
    <row r="19786" spans="6:6" x14ac:dyDescent="0.3">
      <c r="F19786" s="193"/>
    </row>
    <row r="19787" spans="6:6" x14ac:dyDescent="0.3">
      <c r="F19787" s="193"/>
    </row>
    <row r="19788" spans="6:6" x14ac:dyDescent="0.3">
      <c r="F19788" s="193"/>
    </row>
    <row r="19789" spans="6:6" x14ac:dyDescent="0.3">
      <c r="F19789" s="193"/>
    </row>
    <row r="19790" spans="6:6" x14ac:dyDescent="0.3">
      <c r="F19790" s="193"/>
    </row>
    <row r="19791" spans="6:6" x14ac:dyDescent="0.3">
      <c r="F19791" s="193"/>
    </row>
    <row r="19792" spans="6:6" x14ac:dyDescent="0.3">
      <c r="F19792" s="193"/>
    </row>
    <row r="19793" spans="6:6" x14ac:dyDescent="0.3">
      <c r="F19793" s="193"/>
    </row>
    <row r="19794" spans="6:6" x14ac:dyDescent="0.3">
      <c r="F19794" s="193"/>
    </row>
    <row r="19795" spans="6:6" x14ac:dyDescent="0.3">
      <c r="F19795" s="193"/>
    </row>
    <row r="19796" spans="6:6" x14ac:dyDescent="0.3">
      <c r="F19796" s="193"/>
    </row>
    <row r="19797" spans="6:6" x14ac:dyDescent="0.3">
      <c r="F19797" s="193"/>
    </row>
    <row r="19798" spans="6:6" x14ac:dyDescent="0.3">
      <c r="F19798" s="193"/>
    </row>
    <row r="19799" spans="6:6" x14ac:dyDescent="0.3">
      <c r="F19799" s="193"/>
    </row>
    <row r="19800" spans="6:6" x14ac:dyDescent="0.3">
      <c r="F19800" s="193"/>
    </row>
    <row r="19801" spans="6:6" x14ac:dyDescent="0.3">
      <c r="F19801" s="193"/>
    </row>
    <row r="19802" spans="6:6" x14ac:dyDescent="0.3">
      <c r="F19802" s="193"/>
    </row>
    <row r="19803" spans="6:6" x14ac:dyDescent="0.3">
      <c r="F19803" s="193"/>
    </row>
    <row r="19804" spans="6:6" x14ac:dyDescent="0.3">
      <c r="F19804" s="193"/>
    </row>
    <row r="19805" spans="6:6" x14ac:dyDescent="0.3">
      <c r="F19805" s="193"/>
    </row>
    <row r="19806" spans="6:6" x14ac:dyDescent="0.3">
      <c r="F19806" s="193"/>
    </row>
    <row r="19807" spans="6:6" x14ac:dyDescent="0.3">
      <c r="F19807" s="193"/>
    </row>
    <row r="19808" spans="6:6" x14ac:dyDescent="0.3">
      <c r="F19808" s="193"/>
    </row>
    <row r="19809" spans="6:6" x14ac:dyDescent="0.3">
      <c r="F19809" s="193"/>
    </row>
    <row r="19810" spans="6:6" x14ac:dyDescent="0.3">
      <c r="F19810" s="193"/>
    </row>
    <row r="19811" spans="6:6" x14ac:dyDescent="0.3">
      <c r="F19811" s="193"/>
    </row>
    <row r="19812" spans="6:6" x14ac:dyDescent="0.3">
      <c r="F19812" s="193"/>
    </row>
    <row r="19813" spans="6:6" x14ac:dyDescent="0.3">
      <c r="F19813" s="193"/>
    </row>
    <row r="19814" spans="6:6" x14ac:dyDescent="0.3">
      <c r="F19814" s="193"/>
    </row>
    <row r="19815" spans="6:6" x14ac:dyDescent="0.3">
      <c r="F19815" s="193"/>
    </row>
    <row r="19816" spans="6:6" x14ac:dyDescent="0.3">
      <c r="F19816" s="193"/>
    </row>
    <row r="19817" spans="6:6" x14ac:dyDescent="0.3">
      <c r="F19817" s="193"/>
    </row>
    <row r="19818" spans="6:6" x14ac:dyDescent="0.3">
      <c r="F19818" s="193"/>
    </row>
    <row r="19819" spans="6:6" x14ac:dyDescent="0.3">
      <c r="F19819" s="193"/>
    </row>
    <row r="19820" spans="6:6" x14ac:dyDescent="0.3">
      <c r="F19820" s="193"/>
    </row>
    <row r="19821" spans="6:6" x14ac:dyDescent="0.3">
      <c r="F19821" s="193"/>
    </row>
    <row r="19822" spans="6:6" x14ac:dyDescent="0.3">
      <c r="F19822" s="193"/>
    </row>
    <row r="19823" spans="6:6" x14ac:dyDescent="0.3">
      <c r="F19823" s="193"/>
    </row>
    <row r="19824" spans="6:6" x14ac:dyDescent="0.3">
      <c r="F19824" s="193"/>
    </row>
    <row r="19825" spans="6:6" x14ac:dyDescent="0.3">
      <c r="F19825" s="193"/>
    </row>
    <row r="19826" spans="6:6" x14ac:dyDescent="0.3">
      <c r="F19826" s="193"/>
    </row>
    <row r="19827" spans="6:6" x14ac:dyDescent="0.3">
      <c r="F19827" s="193"/>
    </row>
    <row r="19828" spans="6:6" x14ac:dyDescent="0.3">
      <c r="F19828" s="193"/>
    </row>
    <row r="19829" spans="6:6" x14ac:dyDescent="0.3">
      <c r="F19829" s="193"/>
    </row>
    <row r="19830" spans="6:6" x14ac:dyDescent="0.3">
      <c r="F19830" s="193"/>
    </row>
    <row r="19831" spans="6:6" x14ac:dyDescent="0.3">
      <c r="F19831" s="193"/>
    </row>
    <row r="19832" spans="6:6" x14ac:dyDescent="0.3">
      <c r="F19832" s="193"/>
    </row>
    <row r="19833" spans="6:6" x14ac:dyDescent="0.3">
      <c r="F19833" s="193"/>
    </row>
    <row r="19834" spans="6:6" x14ac:dyDescent="0.3">
      <c r="F19834" s="193"/>
    </row>
    <row r="19835" spans="6:6" x14ac:dyDescent="0.3">
      <c r="F19835" s="193"/>
    </row>
    <row r="19836" spans="6:6" x14ac:dyDescent="0.3">
      <c r="F19836" s="193"/>
    </row>
    <row r="19837" spans="6:6" x14ac:dyDescent="0.3">
      <c r="F19837" s="193"/>
    </row>
    <row r="19838" spans="6:6" x14ac:dyDescent="0.3">
      <c r="F19838" s="193"/>
    </row>
    <row r="19839" spans="6:6" x14ac:dyDescent="0.3">
      <c r="F19839" s="193"/>
    </row>
    <row r="19840" spans="6:6" x14ac:dyDescent="0.3">
      <c r="F19840" s="193"/>
    </row>
    <row r="19841" spans="6:6" x14ac:dyDescent="0.3">
      <c r="F19841" s="193"/>
    </row>
    <row r="19842" spans="6:6" x14ac:dyDescent="0.3">
      <c r="F19842" s="193"/>
    </row>
    <row r="19843" spans="6:6" x14ac:dyDescent="0.3">
      <c r="F19843" s="193"/>
    </row>
    <row r="19844" spans="6:6" x14ac:dyDescent="0.3">
      <c r="F19844" s="193"/>
    </row>
    <row r="19845" spans="6:6" x14ac:dyDescent="0.3">
      <c r="F19845" s="193"/>
    </row>
    <row r="19846" spans="6:6" x14ac:dyDescent="0.3">
      <c r="F19846" s="193"/>
    </row>
    <row r="19847" spans="6:6" x14ac:dyDescent="0.3">
      <c r="F19847" s="193"/>
    </row>
    <row r="19848" spans="6:6" x14ac:dyDescent="0.3">
      <c r="F19848" s="193"/>
    </row>
    <row r="19849" spans="6:6" x14ac:dyDescent="0.3">
      <c r="F19849" s="193"/>
    </row>
    <row r="19850" spans="6:6" x14ac:dyDescent="0.3">
      <c r="F19850" s="193"/>
    </row>
    <row r="19851" spans="6:6" x14ac:dyDescent="0.3">
      <c r="F19851" s="193"/>
    </row>
    <row r="19852" spans="6:6" x14ac:dyDescent="0.3">
      <c r="F19852" s="193"/>
    </row>
    <row r="19853" spans="6:6" x14ac:dyDescent="0.3">
      <c r="F19853" s="193"/>
    </row>
    <row r="19854" spans="6:6" x14ac:dyDescent="0.3">
      <c r="F19854" s="193"/>
    </row>
    <row r="19855" spans="6:6" x14ac:dyDescent="0.3">
      <c r="F19855" s="193"/>
    </row>
    <row r="19856" spans="6:6" x14ac:dyDescent="0.3">
      <c r="F19856" s="193"/>
    </row>
    <row r="19857" spans="6:6" x14ac:dyDescent="0.3">
      <c r="F19857" s="193"/>
    </row>
    <row r="19858" spans="6:6" x14ac:dyDescent="0.3">
      <c r="F19858" s="193"/>
    </row>
    <row r="19859" spans="6:6" x14ac:dyDescent="0.3">
      <c r="F19859" s="193"/>
    </row>
    <row r="19860" spans="6:6" x14ac:dyDescent="0.3">
      <c r="F19860" s="193"/>
    </row>
    <row r="19861" spans="6:6" x14ac:dyDescent="0.3">
      <c r="F19861" s="193"/>
    </row>
    <row r="19862" spans="6:6" x14ac:dyDescent="0.3">
      <c r="F19862" s="193"/>
    </row>
    <row r="19863" spans="6:6" x14ac:dyDescent="0.3">
      <c r="F19863" s="193"/>
    </row>
    <row r="19864" spans="6:6" x14ac:dyDescent="0.3">
      <c r="F19864" s="193"/>
    </row>
    <row r="19865" spans="6:6" x14ac:dyDescent="0.3">
      <c r="F19865" s="193"/>
    </row>
    <row r="19866" spans="6:6" x14ac:dyDescent="0.3">
      <c r="F19866" s="193"/>
    </row>
    <row r="19867" spans="6:6" x14ac:dyDescent="0.3">
      <c r="F19867" s="193"/>
    </row>
    <row r="19868" spans="6:6" x14ac:dyDescent="0.3">
      <c r="F19868" s="193"/>
    </row>
    <row r="19869" spans="6:6" x14ac:dyDescent="0.3">
      <c r="F19869" s="193"/>
    </row>
    <row r="19870" spans="6:6" x14ac:dyDescent="0.3">
      <c r="F19870" s="193"/>
    </row>
    <row r="19871" spans="6:6" x14ac:dyDescent="0.3">
      <c r="F19871" s="193"/>
    </row>
    <row r="19872" spans="6:6" x14ac:dyDescent="0.3">
      <c r="F19872" s="193"/>
    </row>
    <row r="19873" spans="6:6" x14ac:dyDescent="0.3">
      <c r="F19873" s="193"/>
    </row>
    <row r="19874" spans="6:6" x14ac:dyDescent="0.3">
      <c r="F19874" s="193"/>
    </row>
    <row r="19875" spans="6:6" x14ac:dyDescent="0.3">
      <c r="F19875" s="193"/>
    </row>
    <row r="19876" spans="6:6" x14ac:dyDescent="0.3">
      <c r="F19876" s="193"/>
    </row>
    <row r="19877" spans="6:6" x14ac:dyDescent="0.3">
      <c r="F19877" s="193"/>
    </row>
    <row r="19878" spans="6:6" x14ac:dyDescent="0.3">
      <c r="F19878" s="193"/>
    </row>
    <row r="19879" spans="6:6" x14ac:dyDescent="0.3">
      <c r="F19879" s="193"/>
    </row>
    <row r="19880" spans="6:6" x14ac:dyDescent="0.3">
      <c r="F19880" s="193"/>
    </row>
    <row r="19881" spans="6:6" x14ac:dyDescent="0.3">
      <c r="F19881" s="193"/>
    </row>
    <row r="19882" spans="6:6" x14ac:dyDescent="0.3">
      <c r="F19882" s="193"/>
    </row>
    <row r="19883" spans="6:6" x14ac:dyDescent="0.3">
      <c r="F19883" s="193"/>
    </row>
    <row r="19884" spans="6:6" x14ac:dyDescent="0.3">
      <c r="F19884" s="193"/>
    </row>
    <row r="19885" spans="6:6" x14ac:dyDescent="0.3">
      <c r="F19885" s="193"/>
    </row>
    <row r="19886" spans="6:6" x14ac:dyDescent="0.3">
      <c r="F19886" s="193"/>
    </row>
    <row r="19887" spans="6:6" x14ac:dyDescent="0.3">
      <c r="F19887" s="193"/>
    </row>
    <row r="19888" spans="6:6" x14ac:dyDescent="0.3">
      <c r="F19888" s="193"/>
    </row>
    <row r="19889" spans="6:6" x14ac:dyDescent="0.3">
      <c r="F19889" s="193"/>
    </row>
    <row r="19890" spans="6:6" x14ac:dyDescent="0.3">
      <c r="F19890" s="193"/>
    </row>
    <row r="19891" spans="6:6" x14ac:dyDescent="0.3">
      <c r="F19891" s="193"/>
    </row>
    <row r="19892" spans="6:6" x14ac:dyDescent="0.3">
      <c r="F19892" s="193"/>
    </row>
    <row r="19893" spans="6:6" x14ac:dyDescent="0.3">
      <c r="F19893" s="193"/>
    </row>
    <row r="19894" spans="6:6" x14ac:dyDescent="0.3">
      <c r="F19894" s="193"/>
    </row>
    <row r="19895" spans="6:6" x14ac:dyDescent="0.3">
      <c r="F19895" s="193"/>
    </row>
    <row r="19896" spans="6:6" x14ac:dyDescent="0.3">
      <c r="F19896" s="193"/>
    </row>
    <row r="19897" spans="6:6" x14ac:dyDescent="0.3">
      <c r="F19897" s="193"/>
    </row>
    <row r="19898" spans="6:6" x14ac:dyDescent="0.3">
      <c r="F19898" s="193"/>
    </row>
    <row r="19899" spans="6:6" x14ac:dyDescent="0.3">
      <c r="F19899" s="193"/>
    </row>
    <row r="19900" spans="6:6" x14ac:dyDescent="0.3">
      <c r="F19900" s="193"/>
    </row>
    <row r="19901" spans="6:6" x14ac:dyDescent="0.3">
      <c r="F19901" s="193"/>
    </row>
    <row r="19902" spans="6:6" x14ac:dyDescent="0.3">
      <c r="F19902" s="193"/>
    </row>
    <row r="19903" spans="6:6" x14ac:dyDescent="0.3">
      <c r="F19903" s="193"/>
    </row>
    <row r="19904" spans="6:6" x14ac:dyDescent="0.3">
      <c r="F19904" s="193"/>
    </row>
    <row r="19905" spans="6:6" x14ac:dyDescent="0.3">
      <c r="F19905" s="193"/>
    </row>
    <row r="19906" spans="6:6" x14ac:dyDescent="0.3">
      <c r="F19906" s="193"/>
    </row>
    <row r="19907" spans="6:6" x14ac:dyDescent="0.3">
      <c r="F19907" s="193"/>
    </row>
    <row r="19908" spans="6:6" x14ac:dyDescent="0.3">
      <c r="F19908" s="193"/>
    </row>
    <row r="19909" spans="6:6" x14ac:dyDescent="0.3">
      <c r="F19909" s="193"/>
    </row>
    <row r="19910" spans="6:6" x14ac:dyDescent="0.3">
      <c r="F19910" s="193"/>
    </row>
    <row r="19911" spans="6:6" x14ac:dyDescent="0.3">
      <c r="F19911" s="193"/>
    </row>
    <row r="19912" spans="6:6" x14ac:dyDescent="0.3">
      <c r="F19912" s="193"/>
    </row>
    <row r="19913" spans="6:6" x14ac:dyDescent="0.3">
      <c r="F19913" s="193"/>
    </row>
    <row r="19914" spans="6:6" x14ac:dyDescent="0.3">
      <c r="F19914" s="193"/>
    </row>
    <row r="19915" spans="6:6" x14ac:dyDescent="0.3">
      <c r="F19915" s="193"/>
    </row>
    <row r="19916" spans="6:6" x14ac:dyDescent="0.3">
      <c r="F19916" s="193"/>
    </row>
    <row r="19917" spans="6:6" x14ac:dyDescent="0.3">
      <c r="F19917" s="193"/>
    </row>
    <row r="19918" spans="6:6" x14ac:dyDescent="0.3">
      <c r="F19918" s="193"/>
    </row>
    <row r="19919" spans="6:6" x14ac:dyDescent="0.3">
      <c r="F19919" s="193"/>
    </row>
    <row r="19920" spans="6:6" x14ac:dyDescent="0.3">
      <c r="F19920" s="193"/>
    </row>
    <row r="19921" spans="6:6" x14ac:dyDescent="0.3">
      <c r="F19921" s="193"/>
    </row>
    <row r="19922" spans="6:6" x14ac:dyDescent="0.3">
      <c r="F19922" s="193"/>
    </row>
    <row r="19923" spans="6:6" x14ac:dyDescent="0.3">
      <c r="F19923" s="193"/>
    </row>
    <row r="19924" spans="6:6" x14ac:dyDescent="0.3">
      <c r="F19924" s="193"/>
    </row>
    <row r="19925" spans="6:6" x14ac:dyDescent="0.3">
      <c r="F19925" s="193"/>
    </row>
    <row r="19926" spans="6:6" x14ac:dyDescent="0.3">
      <c r="F19926" s="193"/>
    </row>
    <row r="19927" spans="6:6" x14ac:dyDescent="0.3">
      <c r="F19927" s="193"/>
    </row>
    <row r="19928" spans="6:6" x14ac:dyDescent="0.3">
      <c r="F19928" s="193"/>
    </row>
    <row r="19929" spans="6:6" x14ac:dyDescent="0.3">
      <c r="F19929" s="193"/>
    </row>
    <row r="19930" spans="6:6" x14ac:dyDescent="0.3">
      <c r="F19930" s="193"/>
    </row>
    <row r="19931" spans="6:6" x14ac:dyDescent="0.3">
      <c r="F19931" s="193"/>
    </row>
    <row r="19932" spans="6:6" x14ac:dyDescent="0.3">
      <c r="F19932" s="193"/>
    </row>
    <row r="19933" spans="6:6" x14ac:dyDescent="0.3">
      <c r="F19933" s="193"/>
    </row>
    <row r="19934" spans="6:6" x14ac:dyDescent="0.3">
      <c r="F19934" s="193"/>
    </row>
    <row r="19935" spans="6:6" x14ac:dyDescent="0.3">
      <c r="F19935" s="193"/>
    </row>
    <row r="19936" spans="6:6" x14ac:dyDescent="0.3">
      <c r="F19936" s="193"/>
    </row>
    <row r="19937" spans="6:6" x14ac:dyDescent="0.3">
      <c r="F19937" s="193"/>
    </row>
    <row r="19938" spans="6:6" x14ac:dyDescent="0.3">
      <c r="F19938" s="193"/>
    </row>
    <row r="19939" spans="6:6" x14ac:dyDescent="0.3">
      <c r="F19939" s="193"/>
    </row>
    <row r="19940" spans="6:6" x14ac:dyDescent="0.3">
      <c r="F19940" s="193"/>
    </row>
    <row r="19941" spans="6:6" x14ac:dyDescent="0.3">
      <c r="F19941" s="193"/>
    </row>
    <row r="19942" spans="6:6" x14ac:dyDescent="0.3">
      <c r="F19942" s="193"/>
    </row>
    <row r="19943" spans="6:6" x14ac:dyDescent="0.3">
      <c r="F19943" s="193"/>
    </row>
    <row r="19944" spans="6:6" x14ac:dyDescent="0.3">
      <c r="F19944" s="193"/>
    </row>
    <row r="19945" spans="6:6" x14ac:dyDescent="0.3">
      <c r="F19945" s="193"/>
    </row>
    <row r="19946" spans="6:6" x14ac:dyDescent="0.3">
      <c r="F19946" s="193"/>
    </row>
    <row r="19947" spans="6:6" x14ac:dyDescent="0.3">
      <c r="F19947" s="193"/>
    </row>
    <row r="19948" spans="6:6" x14ac:dyDescent="0.3">
      <c r="F19948" s="193"/>
    </row>
    <row r="19949" spans="6:6" x14ac:dyDescent="0.3">
      <c r="F19949" s="193"/>
    </row>
    <row r="19950" spans="6:6" x14ac:dyDescent="0.3">
      <c r="F19950" s="193"/>
    </row>
    <row r="19951" spans="6:6" x14ac:dyDescent="0.3">
      <c r="F19951" s="193"/>
    </row>
    <row r="19952" spans="6:6" x14ac:dyDescent="0.3">
      <c r="F19952" s="193"/>
    </row>
    <row r="19953" spans="6:6" x14ac:dyDescent="0.3">
      <c r="F19953" s="193"/>
    </row>
    <row r="19954" spans="6:6" x14ac:dyDescent="0.3">
      <c r="F19954" s="193"/>
    </row>
    <row r="19955" spans="6:6" x14ac:dyDescent="0.3">
      <c r="F19955" s="193"/>
    </row>
    <row r="19956" spans="6:6" x14ac:dyDescent="0.3">
      <c r="F19956" s="193"/>
    </row>
    <row r="19957" spans="6:6" x14ac:dyDescent="0.3">
      <c r="F19957" s="193"/>
    </row>
    <row r="19958" spans="6:6" x14ac:dyDescent="0.3">
      <c r="F19958" s="193"/>
    </row>
    <row r="19959" spans="6:6" x14ac:dyDescent="0.3">
      <c r="F19959" s="193"/>
    </row>
    <row r="19960" spans="6:6" x14ac:dyDescent="0.3">
      <c r="F19960" s="193"/>
    </row>
    <row r="19961" spans="6:6" x14ac:dyDescent="0.3">
      <c r="F19961" s="193"/>
    </row>
    <row r="19962" spans="6:6" x14ac:dyDescent="0.3">
      <c r="F19962" s="193"/>
    </row>
    <row r="19963" spans="6:6" x14ac:dyDescent="0.3">
      <c r="F19963" s="193"/>
    </row>
    <row r="19964" spans="6:6" x14ac:dyDescent="0.3">
      <c r="F19964" s="193"/>
    </row>
    <row r="19965" spans="6:6" x14ac:dyDescent="0.3">
      <c r="F19965" s="193"/>
    </row>
    <row r="19966" spans="6:6" x14ac:dyDescent="0.3">
      <c r="F19966" s="193"/>
    </row>
    <row r="19967" spans="6:6" x14ac:dyDescent="0.3">
      <c r="F19967" s="193"/>
    </row>
    <row r="19968" spans="6:6" x14ac:dyDescent="0.3">
      <c r="F19968" s="193"/>
    </row>
    <row r="19969" spans="6:6" x14ac:dyDescent="0.3">
      <c r="F19969" s="193"/>
    </row>
    <row r="19970" spans="6:6" x14ac:dyDescent="0.3">
      <c r="F19970" s="193"/>
    </row>
    <row r="19971" spans="6:6" x14ac:dyDescent="0.3">
      <c r="F19971" s="193"/>
    </row>
    <row r="19972" spans="6:6" x14ac:dyDescent="0.3">
      <c r="F19972" s="193"/>
    </row>
    <row r="19973" spans="6:6" x14ac:dyDescent="0.3">
      <c r="F19973" s="193"/>
    </row>
    <row r="19974" spans="6:6" x14ac:dyDescent="0.3">
      <c r="F19974" s="193"/>
    </row>
    <row r="19975" spans="6:6" x14ac:dyDescent="0.3">
      <c r="F19975" s="193"/>
    </row>
    <row r="19976" spans="6:6" x14ac:dyDescent="0.3">
      <c r="F19976" s="193"/>
    </row>
    <row r="19977" spans="6:6" x14ac:dyDescent="0.3">
      <c r="F19977" s="193"/>
    </row>
    <row r="19978" spans="6:6" x14ac:dyDescent="0.3">
      <c r="F19978" s="193"/>
    </row>
    <row r="19979" spans="6:6" x14ac:dyDescent="0.3">
      <c r="F19979" s="193"/>
    </row>
    <row r="19980" spans="6:6" x14ac:dyDescent="0.3">
      <c r="F19980" s="193"/>
    </row>
    <row r="19981" spans="6:6" x14ac:dyDescent="0.3">
      <c r="F19981" s="193"/>
    </row>
    <row r="19982" spans="6:6" x14ac:dyDescent="0.3">
      <c r="F19982" s="193"/>
    </row>
    <row r="19983" spans="6:6" x14ac:dyDescent="0.3">
      <c r="F19983" s="193"/>
    </row>
    <row r="19984" spans="6:6" x14ac:dyDescent="0.3">
      <c r="F19984" s="193"/>
    </row>
    <row r="19985" spans="6:6" x14ac:dyDescent="0.3">
      <c r="F19985" s="193"/>
    </row>
    <row r="19986" spans="6:6" x14ac:dyDescent="0.3">
      <c r="F19986" s="193"/>
    </row>
    <row r="19987" spans="6:6" x14ac:dyDescent="0.3">
      <c r="F19987" s="193"/>
    </row>
    <row r="19988" spans="6:6" x14ac:dyDescent="0.3">
      <c r="F19988" s="193"/>
    </row>
    <row r="19989" spans="6:6" x14ac:dyDescent="0.3">
      <c r="F19989" s="193"/>
    </row>
    <row r="19990" spans="6:6" x14ac:dyDescent="0.3">
      <c r="F19990" s="193"/>
    </row>
    <row r="19991" spans="6:6" x14ac:dyDescent="0.3">
      <c r="F19991" s="193"/>
    </row>
    <row r="19992" spans="6:6" x14ac:dyDescent="0.3">
      <c r="F19992" s="193"/>
    </row>
    <row r="19993" spans="6:6" x14ac:dyDescent="0.3">
      <c r="F19993" s="193"/>
    </row>
    <row r="19994" spans="6:6" x14ac:dyDescent="0.3">
      <c r="F19994" s="193"/>
    </row>
    <row r="19995" spans="6:6" x14ac:dyDescent="0.3">
      <c r="F19995" s="193"/>
    </row>
    <row r="19996" spans="6:6" x14ac:dyDescent="0.3">
      <c r="F19996" s="193"/>
    </row>
    <row r="19997" spans="6:6" x14ac:dyDescent="0.3">
      <c r="F19997" s="193"/>
    </row>
    <row r="19998" spans="6:6" x14ac:dyDescent="0.3">
      <c r="F19998" s="193"/>
    </row>
    <row r="19999" spans="6:6" x14ac:dyDescent="0.3">
      <c r="F19999" s="193"/>
    </row>
    <row r="20000" spans="6:6" x14ac:dyDescent="0.3">
      <c r="F20000" s="193"/>
    </row>
    <row r="20001" spans="6:6" x14ac:dyDescent="0.3">
      <c r="F20001" s="193"/>
    </row>
    <row r="20002" spans="6:6" x14ac:dyDescent="0.3">
      <c r="F20002" s="193"/>
    </row>
    <row r="20003" spans="6:6" x14ac:dyDescent="0.3">
      <c r="F20003" s="193"/>
    </row>
    <row r="20004" spans="6:6" x14ac:dyDescent="0.3">
      <c r="F20004" s="193"/>
    </row>
    <row r="20005" spans="6:6" x14ac:dyDescent="0.3">
      <c r="F20005" s="193"/>
    </row>
    <row r="20006" spans="6:6" x14ac:dyDescent="0.3">
      <c r="F20006" s="193"/>
    </row>
    <row r="20007" spans="6:6" x14ac:dyDescent="0.3">
      <c r="F20007" s="193"/>
    </row>
    <row r="20008" spans="6:6" x14ac:dyDescent="0.3">
      <c r="F20008" s="193"/>
    </row>
    <row r="20009" spans="6:6" x14ac:dyDescent="0.3">
      <c r="F20009" s="193"/>
    </row>
    <row r="20010" spans="6:6" x14ac:dyDescent="0.3">
      <c r="F20010" s="193"/>
    </row>
    <row r="20011" spans="6:6" x14ac:dyDescent="0.3">
      <c r="F20011" s="193"/>
    </row>
    <row r="20012" spans="6:6" x14ac:dyDescent="0.3">
      <c r="F20012" s="193"/>
    </row>
    <row r="20013" spans="6:6" x14ac:dyDescent="0.3">
      <c r="F20013" s="193"/>
    </row>
    <row r="20014" spans="6:6" x14ac:dyDescent="0.3">
      <c r="F20014" s="193"/>
    </row>
    <row r="20015" spans="6:6" x14ac:dyDescent="0.3">
      <c r="F20015" s="193"/>
    </row>
    <row r="20016" spans="6:6" x14ac:dyDescent="0.3">
      <c r="F20016" s="193"/>
    </row>
    <row r="20017" spans="6:6" x14ac:dyDescent="0.3">
      <c r="F20017" s="193"/>
    </row>
    <row r="20018" spans="6:6" x14ac:dyDescent="0.3">
      <c r="F20018" s="193"/>
    </row>
    <row r="20019" spans="6:6" x14ac:dyDescent="0.3">
      <c r="F20019" s="193"/>
    </row>
    <row r="20020" spans="6:6" x14ac:dyDescent="0.3">
      <c r="F20020" s="193"/>
    </row>
    <row r="20021" spans="6:6" x14ac:dyDescent="0.3">
      <c r="F20021" s="193"/>
    </row>
    <row r="20022" spans="6:6" x14ac:dyDescent="0.3">
      <c r="F20022" s="193"/>
    </row>
    <row r="20023" spans="6:6" x14ac:dyDescent="0.3">
      <c r="F20023" s="193"/>
    </row>
    <row r="20024" spans="6:6" x14ac:dyDescent="0.3">
      <c r="F20024" s="193"/>
    </row>
    <row r="20025" spans="6:6" x14ac:dyDescent="0.3">
      <c r="F20025" s="193"/>
    </row>
    <row r="20026" spans="6:6" x14ac:dyDescent="0.3">
      <c r="F20026" s="193"/>
    </row>
    <row r="20027" spans="6:6" x14ac:dyDescent="0.3">
      <c r="F20027" s="193"/>
    </row>
    <row r="20028" spans="6:6" x14ac:dyDescent="0.3">
      <c r="F20028" s="193"/>
    </row>
    <row r="20029" spans="6:6" x14ac:dyDescent="0.3">
      <c r="F20029" s="193"/>
    </row>
    <row r="20030" spans="6:6" x14ac:dyDescent="0.3">
      <c r="F20030" s="193"/>
    </row>
    <row r="20031" spans="6:6" x14ac:dyDescent="0.3">
      <c r="F20031" s="193"/>
    </row>
    <row r="20032" spans="6:6" x14ac:dyDescent="0.3">
      <c r="F20032" s="193"/>
    </row>
    <row r="20033" spans="6:6" x14ac:dyDescent="0.3">
      <c r="F20033" s="193"/>
    </row>
    <row r="20034" spans="6:6" x14ac:dyDescent="0.3">
      <c r="F20034" s="193"/>
    </row>
    <row r="20035" spans="6:6" x14ac:dyDescent="0.3">
      <c r="F20035" s="193"/>
    </row>
    <row r="20036" spans="6:6" x14ac:dyDescent="0.3">
      <c r="F20036" s="193"/>
    </row>
    <row r="20037" spans="6:6" x14ac:dyDescent="0.3">
      <c r="F20037" s="193"/>
    </row>
    <row r="20038" spans="6:6" x14ac:dyDescent="0.3">
      <c r="F20038" s="193"/>
    </row>
    <row r="20039" spans="6:6" x14ac:dyDescent="0.3">
      <c r="F20039" s="193"/>
    </row>
    <row r="20040" spans="6:6" x14ac:dyDescent="0.3">
      <c r="F20040" s="193"/>
    </row>
    <row r="20041" spans="6:6" x14ac:dyDescent="0.3">
      <c r="F20041" s="193"/>
    </row>
    <row r="20042" spans="6:6" x14ac:dyDescent="0.3">
      <c r="F20042" s="193"/>
    </row>
    <row r="20043" spans="6:6" x14ac:dyDescent="0.3">
      <c r="F20043" s="193"/>
    </row>
    <row r="20044" spans="6:6" x14ac:dyDescent="0.3">
      <c r="F20044" s="193"/>
    </row>
    <row r="20045" spans="6:6" x14ac:dyDescent="0.3">
      <c r="F20045" s="193"/>
    </row>
    <row r="20046" spans="6:6" x14ac:dyDescent="0.3">
      <c r="F20046" s="193"/>
    </row>
    <row r="20047" spans="6:6" x14ac:dyDescent="0.3">
      <c r="F20047" s="193"/>
    </row>
    <row r="20048" spans="6:6" x14ac:dyDescent="0.3">
      <c r="F20048" s="193"/>
    </row>
    <row r="20049" spans="6:6" x14ac:dyDescent="0.3">
      <c r="F20049" s="193"/>
    </row>
    <row r="20050" spans="6:6" x14ac:dyDescent="0.3">
      <c r="F20050" s="193"/>
    </row>
    <row r="20051" spans="6:6" x14ac:dyDescent="0.3">
      <c r="F20051" s="193"/>
    </row>
    <row r="20052" spans="6:6" x14ac:dyDescent="0.3">
      <c r="F20052" s="193"/>
    </row>
    <row r="20053" spans="6:6" x14ac:dyDescent="0.3">
      <c r="F20053" s="193"/>
    </row>
    <row r="20054" spans="6:6" x14ac:dyDescent="0.3">
      <c r="F20054" s="193"/>
    </row>
    <row r="20055" spans="6:6" x14ac:dyDescent="0.3">
      <c r="F20055" s="193"/>
    </row>
    <row r="20056" spans="6:6" x14ac:dyDescent="0.3">
      <c r="F20056" s="193"/>
    </row>
    <row r="20057" spans="6:6" x14ac:dyDescent="0.3">
      <c r="F20057" s="193"/>
    </row>
    <row r="20058" spans="6:6" x14ac:dyDescent="0.3">
      <c r="F20058" s="193"/>
    </row>
    <row r="20059" spans="6:6" x14ac:dyDescent="0.3">
      <c r="F20059" s="193"/>
    </row>
    <row r="20060" spans="6:6" x14ac:dyDescent="0.3">
      <c r="F20060" s="193"/>
    </row>
    <row r="20061" spans="6:6" x14ac:dyDescent="0.3">
      <c r="F20061" s="193"/>
    </row>
    <row r="20062" spans="6:6" x14ac:dyDescent="0.3">
      <c r="F20062" s="193"/>
    </row>
    <row r="20063" spans="6:6" x14ac:dyDescent="0.3">
      <c r="F20063" s="193"/>
    </row>
    <row r="20064" spans="6:6" x14ac:dyDescent="0.3">
      <c r="F20064" s="193"/>
    </row>
    <row r="20065" spans="6:6" x14ac:dyDescent="0.3">
      <c r="F20065" s="193"/>
    </row>
    <row r="20066" spans="6:6" x14ac:dyDescent="0.3">
      <c r="F20066" s="193"/>
    </row>
    <row r="20067" spans="6:6" x14ac:dyDescent="0.3">
      <c r="F20067" s="193"/>
    </row>
    <row r="20068" spans="6:6" x14ac:dyDescent="0.3">
      <c r="F20068" s="193"/>
    </row>
    <row r="20069" spans="6:6" x14ac:dyDescent="0.3">
      <c r="F20069" s="193"/>
    </row>
    <row r="20070" spans="6:6" x14ac:dyDescent="0.3">
      <c r="F20070" s="193"/>
    </row>
    <row r="20071" spans="6:6" x14ac:dyDescent="0.3">
      <c r="F20071" s="193"/>
    </row>
    <row r="20072" spans="6:6" x14ac:dyDescent="0.3">
      <c r="F20072" s="193"/>
    </row>
    <row r="20073" spans="6:6" x14ac:dyDescent="0.3">
      <c r="F20073" s="193"/>
    </row>
    <row r="20074" spans="6:6" x14ac:dyDescent="0.3">
      <c r="F20074" s="193"/>
    </row>
    <row r="20075" spans="6:6" x14ac:dyDescent="0.3">
      <c r="F20075" s="193"/>
    </row>
    <row r="20076" spans="6:6" x14ac:dyDescent="0.3">
      <c r="F20076" s="193"/>
    </row>
    <row r="20077" spans="6:6" x14ac:dyDescent="0.3">
      <c r="F20077" s="193"/>
    </row>
    <row r="20078" spans="6:6" x14ac:dyDescent="0.3">
      <c r="F20078" s="193"/>
    </row>
    <row r="20079" spans="6:6" x14ac:dyDescent="0.3">
      <c r="F20079" s="193"/>
    </row>
    <row r="20080" spans="6:6" x14ac:dyDescent="0.3">
      <c r="F20080" s="193"/>
    </row>
    <row r="20081" spans="6:6" x14ac:dyDescent="0.3">
      <c r="F20081" s="193"/>
    </row>
    <row r="20082" spans="6:6" x14ac:dyDescent="0.3">
      <c r="F20082" s="193"/>
    </row>
    <row r="20083" spans="6:6" x14ac:dyDescent="0.3">
      <c r="F20083" s="193"/>
    </row>
    <row r="20084" spans="6:6" x14ac:dyDescent="0.3">
      <c r="F20084" s="193"/>
    </row>
    <row r="20085" spans="6:6" x14ac:dyDescent="0.3">
      <c r="F20085" s="193"/>
    </row>
    <row r="20086" spans="6:6" x14ac:dyDescent="0.3">
      <c r="F20086" s="193"/>
    </row>
    <row r="20087" spans="6:6" x14ac:dyDescent="0.3">
      <c r="F20087" s="193"/>
    </row>
    <row r="20088" spans="6:6" x14ac:dyDescent="0.3">
      <c r="F20088" s="193"/>
    </row>
    <row r="20089" spans="6:6" x14ac:dyDescent="0.3">
      <c r="F20089" s="193"/>
    </row>
    <row r="20090" spans="6:6" x14ac:dyDescent="0.3">
      <c r="F20090" s="193"/>
    </row>
    <row r="20091" spans="6:6" x14ac:dyDescent="0.3">
      <c r="F20091" s="193"/>
    </row>
    <row r="20092" spans="6:6" x14ac:dyDescent="0.3">
      <c r="F20092" s="193"/>
    </row>
    <row r="20093" spans="6:6" x14ac:dyDescent="0.3">
      <c r="F20093" s="193"/>
    </row>
    <row r="20094" spans="6:6" x14ac:dyDescent="0.3">
      <c r="F20094" s="193"/>
    </row>
    <row r="20095" spans="6:6" x14ac:dyDescent="0.3">
      <c r="F20095" s="193"/>
    </row>
    <row r="20096" spans="6:6" x14ac:dyDescent="0.3">
      <c r="F20096" s="193"/>
    </row>
    <row r="20097" spans="6:6" x14ac:dyDescent="0.3">
      <c r="F20097" s="193"/>
    </row>
    <row r="20098" spans="6:6" x14ac:dyDescent="0.3">
      <c r="F20098" s="193"/>
    </row>
    <row r="20099" spans="6:6" x14ac:dyDescent="0.3">
      <c r="F20099" s="193"/>
    </row>
    <row r="20100" spans="6:6" x14ac:dyDescent="0.3">
      <c r="F20100" s="193"/>
    </row>
    <row r="20101" spans="6:6" x14ac:dyDescent="0.3">
      <c r="F20101" s="193"/>
    </row>
    <row r="20102" spans="6:6" x14ac:dyDescent="0.3">
      <c r="F20102" s="193"/>
    </row>
    <row r="20103" spans="6:6" x14ac:dyDescent="0.3">
      <c r="F20103" s="193"/>
    </row>
    <row r="20104" spans="6:6" x14ac:dyDescent="0.3">
      <c r="F20104" s="193"/>
    </row>
    <row r="20105" spans="6:6" x14ac:dyDescent="0.3">
      <c r="F20105" s="193"/>
    </row>
    <row r="20106" spans="6:6" x14ac:dyDescent="0.3">
      <c r="F20106" s="193"/>
    </row>
    <row r="20107" spans="6:6" x14ac:dyDescent="0.3">
      <c r="F20107" s="193"/>
    </row>
    <row r="20108" spans="6:6" x14ac:dyDescent="0.3">
      <c r="F20108" s="193"/>
    </row>
    <row r="20109" spans="6:6" x14ac:dyDescent="0.3">
      <c r="F20109" s="193"/>
    </row>
    <row r="20110" spans="6:6" x14ac:dyDescent="0.3">
      <c r="F20110" s="193"/>
    </row>
    <row r="20111" spans="6:6" x14ac:dyDescent="0.3">
      <c r="F20111" s="193"/>
    </row>
    <row r="20112" spans="6:6" x14ac:dyDescent="0.3">
      <c r="F20112" s="193"/>
    </row>
    <row r="20113" spans="6:6" x14ac:dyDescent="0.3">
      <c r="F20113" s="193"/>
    </row>
    <row r="20114" spans="6:6" x14ac:dyDescent="0.3">
      <c r="F20114" s="193"/>
    </row>
    <row r="20115" spans="6:6" x14ac:dyDescent="0.3">
      <c r="F20115" s="193"/>
    </row>
    <row r="20116" spans="6:6" x14ac:dyDescent="0.3">
      <c r="F20116" s="193"/>
    </row>
    <row r="20117" spans="6:6" x14ac:dyDescent="0.3">
      <c r="F20117" s="193"/>
    </row>
    <row r="20118" spans="6:6" x14ac:dyDescent="0.3">
      <c r="F20118" s="193"/>
    </row>
    <row r="20119" spans="6:6" x14ac:dyDescent="0.3">
      <c r="F20119" s="193"/>
    </row>
    <row r="20120" spans="6:6" x14ac:dyDescent="0.3">
      <c r="F20120" s="193"/>
    </row>
    <row r="20121" spans="6:6" x14ac:dyDescent="0.3">
      <c r="F20121" s="193"/>
    </row>
    <row r="20122" spans="6:6" x14ac:dyDescent="0.3">
      <c r="F20122" s="193"/>
    </row>
    <row r="20123" spans="6:6" x14ac:dyDescent="0.3">
      <c r="F20123" s="193"/>
    </row>
    <row r="20124" spans="6:6" x14ac:dyDescent="0.3">
      <c r="F20124" s="193"/>
    </row>
    <row r="20125" spans="6:6" x14ac:dyDescent="0.3">
      <c r="F20125" s="193"/>
    </row>
    <row r="20126" spans="6:6" x14ac:dyDescent="0.3">
      <c r="F20126" s="193"/>
    </row>
    <row r="20127" spans="6:6" x14ac:dyDescent="0.3">
      <c r="F20127" s="193"/>
    </row>
    <row r="20128" spans="6:6" x14ac:dyDescent="0.3">
      <c r="F20128" s="193"/>
    </row>
    <row r="20129" spans="6:6" x14ac:dyDescent="0.3">
      <c r="F20129" s="193"/>
    </row>
    <row r="20130" spans="6:6" x14ac:dyDescent="0.3">
      <c r="F20130" s="193"/>
    </row>
    <row r="20131" spans="6:6" x14ac:dyDescent="0.3">
      <c r="F20131" s="193"/>
    </row>
    <row r="20132" spans="6:6" x14ac:dyDescent="0.3">
      <c r="F20132" s="193"/>
    </row>
    <row r="20133" spans="6:6" x14ac:dyDescent="0.3">
      <c r="F20133" s="193"/>
    </row>
    <row r="20134" spans="6:6" x14ac:dyDescent="0.3">
      <c r="F20134" s="193"/>
    </row>
    <row r="20135" spans="6:6" x14ac:dyDescent="0.3">
      <c r="F20135" s="193"/>
    </row>
    <row r="20136" spans="6:6" x14ac:dyDescent="0.3">
      <c r="F20136" s="193"/>
    </row>
    <row r="20137" spans="6:6" x14ac:dyDescent="0.3">
      <c r="F20137" s="193"/>
    </row>
    <row r="20138" spans="6:6" x14ac:dyDescent="0.3">
      <c r="F20138" s="193"/>
    </row>
    <row r="20139" spans="6:6" x14ac:dyDescent="0.3">
      <c r="F20139" s="193"/>
    </row>
    <row r="20140" spans="6:6" x14ac:dyDescent="0.3">
      <c r="F20140" s="193"/>
    </row>
    <row r="20141" spans="6:6" x14ac:dyDescent="0.3">
      <c r="F20141" s="193"/>
    </row>
    <row r="20142" spans="6:6" x14ac:dyDescent="0.3">
      <c r="F20142" s="193"/>
    </row>
    <row r="20143" spans="6:6" x14ac:dyDescent="0.3">
      <c r="F20143" s="193"/>
    </row>
    <row r="20144" spans="6:6" x14ac:dyDescent="0.3">
      <c r="F20144" s="193"/>
    </row>
    <row r="20145" spans="6:6" x14ac:dyDescent="0.3">
      <c r="F20145" s="193"/>
    </row>
    <row r="20146" spans="6:6" x14ac:dyDescent="0.3">
      <c r="F20146" s="193"/>
    </row>
    <row r="20147" spans="6:6" x14ac:dyDescent="0.3">
      <c r="F20147" s="193"/>
    </row>
    <row r="20148" spans="6:6" x14ac:dyDescent="0.3">
      <c r="F20148" s="193"/>
    </row>
    <row r="20149" spans="6:6" x14ac:dyDescent="0.3">
      <c r="F20149" s="193"/>
    </row>
    <row r="20150" spans="6:6" x14ac:dyDescent="0.3">
      <c r="F20150" s="193"/>
    </row>
    <row r="20151" spans="6:6" x14ac:dyDescent="0.3">
      <c r="F20151" s="193"/>
    </row>
    <row r="20152" spans="6:6" x14ac:dyDescent="0.3">
      <c r="F20152" s="193"/>
    </row>
    <row r="20153" spans="6:6" x14ac:dyDescent="0.3">
      <c r="F20153" s="193"/>
    </row>
    <row r="20154" spans="6:6" x14ac:dyDescent="0.3">
      <c r="F20154" s="193"/>
    </row>
    <row r="20155" spans="6:6" x14ac:dyDescent="0.3">
      <c r="F20155" s="193"/>
    </row>
    <row r="20156" spans="6:6" x14ac:dyDescent="0.3">
      <c r="F20156" s="193"/>
    </row>
    <row r="20157" spans="6:6" x14ac:dyDescent="0.3">
      <c r="F20157" s="193"/>
    </row>
    <row r="20158" spans="6:6" x14ac:dyDescent="0.3">
      <c r="F20158" s="193"/>
    </row>
    <row r="20159" spans="6:6" x14ac:dyDescent="0.3">
      <c r="F20159" s="193"/>
    </row>
    <row r="20160" spans="6:6" x14ac:dyDescent="0.3">
      <c r="F20160" s="193"/>
    </row>
    <row r="20161" spans="6:6" x14ac:dyDescent="0.3">
      <c r="F20161" s="193"/>
    </row>
    <row r="20162" spans="6:6" x14ac:dyDescent="0.3">
      <c r="F20162" s="193"/>
    </row>
    <row r="20163" spans="6:6" x14ac:dyDescent="0.3">
      <c r="F20163" s="193"/>
    </row>
    <row r="20164" spans="6:6" x14ac:dyDescent="0.3">
      <c r="F20164" s="193"/>
    </row>
    <row r="20165" spans="6:6" x14ac:dyDescent="0.3">
      <c r="F20165" s="193"/>
    </row>
    <row r="20166" spans="6:6" x14ac:dyDescent="0.3">
      <c r="F20166" s="193"/>
    </row>
    <row r="20167" spans="6:6" x14ac:dyDescent="0.3">
      <c r="F20167" s="193"/>
    </row>
    <row r="20168" spans="6:6" x14ac:dyDescent="0.3">
      <c r="F20168" s="193"/>
    </row>
    <row r="20169" spans="6:6" x14ac:dyDescent="0.3">
      <c r="F20169" s="193"/>
    </row>
    <row r="20170" spans="6:6" x14ac:dyDescent="0.3">
      <c r="F20170" s="193"/>
    </row>
    <row r="20171" spans="6:6" x14ac:dyDescent="0.3">
      <c r="F20171" s="193"/>
    </row>
    <row r="20172" spans="6:6" x14ac:dyDescent="0.3">
      <c r="F20172" s="193"/>
    </row>
    <row r="20173" spans="6:6" x14ac:dyDescent="0.3">
      <c r="F20173" s="193"/>
    </row>
    <row r="20174" spans="6:6" x14ac:dyDescent="0.3">
      <c r="F20174" s="193"/>
    </row>
    <row r="20175" spans="6:6" x14ac:dyDescent="0.3">
      <c r="F20175" s="193"/>
    </row>
    <row r="20176" spans="6:6" x14ac:dyDescent="0.3">
      <c r="F20176" s="193"/>
    </row>
    <row r="20177" spans="6:6" x14ac:dyDescent="0.3">
      <c r="F20177" s="193"/>
    </row>
    <row r="20178" spans="6:6" x14ac:dyDescent="0.3">
      <c r="F20178" s="193"/>
    </row>
    <row r="20179" spans="6:6" x14ac:dyDescent="0.3">
      <c r="F20179" s="193"/>
    </row>
    <row r="20180" spans="6:6" x14ac:dyDescent="0.3">
      <c r="F20180" s="193"/>
    </row>
    <row r="20181" spans="6:6" x14ac:dyDescent="0.3">
      <c r="F20181" s="193"/>
    </row>
    <row r="20182" spans="6:6" x14ac:dyDescent="0.3">
      <c r="F20182" s="193"/>
    </row>
    <row r="20183" spans="6:6" x14ac:dyDescent="0.3">
      <c r="F20183" s="193"/>
    </row>
    <row r="20184" spans="6:6" x14ac:dyDescent="0.3">
      <c r="F20184" s="193"/>
    </row>
    <row r="20185" spans="6:6" x14ac:dyDescent="0.3">
      <c r="F20185" s="193"/>
    </row>
    <row r="20186" spans="6:6" x14ac:dyDescent="0.3">
      <c r="F20186" s="193"/>
    </row>
    <row r="20187" spans="6:6" x14ac:dyDescent="0.3">
      <c r="F20187" s="193"/>
    </row>
    <row r="20188" spans="6:6" x14ac:dyDescent="0.3">
      <c r="F20188" s="193"/>
    </row>
    <row r="20189" spans="6:6" x14ac:dyDescent="0.3">
      <c r="F20189" s="193"/>
    </row>
    <row r="20190" spans="6:6" x14ac:dyDescent="0.3">
      <c r="F20190" s="193"/>
    </row>
    <row r="20191" spans="6:6" x14ac:dyDescent="0.3">
      <c r="F20191" s="193"/>
    </row>
    <row r="20192" spans="6:6" x14ac:dyDescent="0.3">
      <c r="F20192" s="193"/>
    </row>
    <row r="20193" spans="6:6" x14ac:dyDescent="0.3">
      <c r="F20193" s="193"/>
    </row>
    <row r="20194" spans="6:6" x14ac:dyDescent="0.3">
      <c r="F20194" s="193"/>
    </row>
    <row r="20195" spans="6:6" x14ac:dyDescent="0.3">
      <c r="F20195" s="193"/>
    </row>
    <row r="20196" spans="6:6" x14ac:dyDescent="0.3">
      <c r="F20196" s="193"/>
    </row>
    <row r="20197" spans="6:6" x14ac:dyDescent="0.3">
      <c r="F20197" s="193"/>
    </row>
    <row r="20198" spans="6:6" x14ac:dyDescent="0.3">
      <c r="F20198" s="193"/>
    </row>
    <row r="20199" spans="6:6" x14ac:dyDescent="0.3">
      <c r="F20199" s="193"/>
    </row>
    <row r="20200" spans="6:6" x14ac:dyDescent="0.3">
      <c r="F20200" s="193"/>
    </row>
    <row r="20201" spans="6:6" x14ac:dyDescent="0.3">
      <c r="F20201" s="193"/>
    </row>
    <row r="20202" spans="6:6" x14ac:dyDescent="0.3">
      <c r="F20202" s="193"/>
    </row>
    <row r="20203" spans="6:6" x14ac:dyDescent="0.3">
      <c r="F20203" s="193"/>
    </row>
    <row r="20204" spans="6:6" x14ac:dyDescent="0.3">
      <c r="F20204" s="193"/>
    </row>
    <row r="20205" spans="6:6" x14ac:dyDescent="0.3">
      <c r="F20205" s="193"/>
    </row>
    <row r="20206" spans="6:6" x14ac:dyDescent="0.3">
      <c r="F20206" s="193"/>
    </row>
    <row r="20207" spans="6:6" x14ac:dyDescent="0.3">
      <c r="F20207" s="193"/>
    </row>
    <row r="20208" spans="6:6" x14ac:dyDescent="0.3">
      <c r="F20208" s="193"/>
    </row>
    <row r="20209" spans="6:6" x14ac:dyDescent="0.3">
      <c r="F20209" s="193"/>
    </row>
    <row r="20210" spans="6:6" x14ac:dyDescent="0.3">
      <c r="F20210" s="193"/>
    </row>
    <row r="20211" spans="6:6" x14ac:dyDescent="0.3">
      <c r="F20211" s="193"/>
    </row>
    <row r="20212" spans="6:6" x14ac:dyDescent="0.3">
      <c r="F20212" s="193"/>
    </row>
    <row r="20213" spans="6:6" x14ac:dyDescent="0.3">
      <c r="F20213" s="193"/>
    </row>
    <row r="20214" spans="6:6" x14ac:dyDescent="0.3">
      <c r="F20214" s="193"/>
    </row>
    <row r="20215" spans="6:6" x14ac:dyDescent="0.3">
      <c r="F20215" s="193"/>
    </row>
    <row r="20216" spans="6:6" x14ac:dyDescent="0.3">
      <c r="F20216" s="193"/>
    </row>
    <row r="20217" spans="6:6" x14ac:dyDescent="0.3">
      <c r="F20217" s="193"/>
    </row>
    <row r="20218" spans="6:6" x14ac:dyDescent="0.3">
      <c r="F20218" s="193"/>
    </row>
    <row r="20219" spans="6:6" x14ac:dyDescent="0.3">
      <c r="F20219" s="193"/>
    </row>
    <row r="20220" spans="6:6" x14ac:dyDescent="0.3">
      <c r="F20220" s="193"/>
    </row>
    <row r="20221" spans="6:6" x14ac:dyDescent="0.3">
      <c r="F20221" s="193"/>
    </row>
    <row r="20222" spans="6:6" x14ac:dyDescent="0.3">
      <c r="F20222" s="193"/>
    </row>
    <row r="20223" spans="6:6" x14ac:dyDescent="0.3">
      <c r="F20223" s="193"/>
    </row>
    <row r="20224" spans="6:6" x14ac:dyDescent="0.3">
      <c r="F20224" s="193"/>
    </row>
    <row r="20225" spans="6:6" x14ac:dyDescent="0.3">
      <c r="F20225" s="193"/>
    </row>
    <row r="20226" spans="6:6" x14ac:dyDescent="0.3">
      <c r="F20226" s="193"/>
    </row>
    <row r="20227" spans="6:6" x14ac:dyDescent="0.3">
      <c r="F20227" s="193"/>
    </row>
    <row r="20228" spans="6:6" x14ac:dyDescent="0.3">
      <c r="F20228" s="193"/>
    </row>
    <row r="20229" spans="6:6" x14ac:dyDescent="0.3">
      <c r="F20229" s="193"/>
    </row>
    <row r="20230" spans="6:6" x14ac:dyDescent="0.3">
      <c r="F20230" s="193"/>
    </row>
    <row r="20231" spans="6:6" x14ac:dyDescent="0.3">
      <c r="F20231" s="193"/>
    </row>
    <row r="20232" spans="6:6" x14ac:dyDescent="0.3">
      <c r="F20232" s="193"/>
    </row>
    <row r="20233" spans="6:6" x14ac:dyDescent="0.3">
      <c r="F20233" s="193"/>
    </row>
    <row r="20234" spans="6:6" x14ac:dyDescent="0.3">
      <c r="F20234" s="193"/>
    </row>
    <row r="20235" spans="6:6" x14ac:dyDescent="0.3">
      <c r="F20235" s="193"/>
    </row>
    <row r="20236" spans="6:6" x14ac:dyDescent="0.3">
      <c r="F20236" s="193"/>
    </row>
    <row r="20237" spans="6:6" x14ac:dyDescent="0.3">
      <c r="F20237" s="193"/>
    </row>
    <row r="20238" spans="6:6" x14ac:dyDescent="0.3">
      <c r="F20238" s="193"/>
    </row>
    <row r="20239" spans="6:6" x14ac:dyDescent="0.3">
      <c r="F20239" s="193"/>
    </row>
    <row r="20240" spans="6:6" x14ac:dyDescent="0.3">
      <c r="F20240" s="193"/>
    </row>
    <row r="20241" spans="6:6" x14ac:dyDescent="0.3">
      <c r="F20241" s="193"/>
    </row>
    <row r="20242" spans="6:6" x14ac:dyDescent="0.3">
      <c r="F20242" s="193"/>
    </row>
    <row r="20243" spans="6:6" x14ac:dyDescent="0.3">
      <c r="F20243" s="193"/>
    </row>
    <row r="20244" spans="6:6" x14ac:dyDescent="0.3">
      <c r="F20244" s="193"/>
    </row>
    <row r="20245" spans="6:6" x14ac:dyDescent="0.3">
      <c r="F20245" s="193"/>
    </row>
    <row r="20246" spans="6:6" x14ac:dyDescent="0.3">
      <c r="F20246" s="193"/>
    </row>
    <row r="20247" spans="6:6" x14ac:dyDescent="0.3">
      <c r="F20247" s="193"/>
    </row>
    <row r="20248" spans="6:6" x14ac:dyDescent="0.3">
      <c r="F20248" s="193"/>
    </row>
    <row r="20249" spans="6:6" x14ac:dyDescent="0.3">
      <c r="F20249" s="193"/>
    </row>
    <row r="20250" spans="6:6" x14ac:dyDescent="0.3">
      <c r="F20250" s="193"/>
    </row>
    <row r="20251" spans="6:6" x14ac:dyDescent="0.3">
      <c r="F20251" s="193"/>
    </row>
    <row r="20252" spans="6:6" x14ac:dyDescent="0.3">
      <c r="F20252" s="193"/>
    </row>
    <row r="20253" spans="6:6" x14ac:dyDescent="0.3">
      <c r="F20253" s="193"/>
    </row>
    <row r="20254" spans="6:6" x14ac:dyDescent="0.3">
      <c r="F20254" s="193"/>
    </row>
    <row r="20255" spans="6:6" x14ac:dyDescent="0.3">
      <c r="F20255" s="193"/>
    </row>
    <row r="20256" spans="6:6" x14ac:dyDescent="0.3">
      <c r="F20256" s="193"/>
    </row>
    <row r="20257" spans="6:6" x14ac:dyDescent="0.3">
      <c r="F20257" s="193"/>
    </row>
    <row r="20258" spans="6:6" x14ac:dyDescent="0.3">
      <c r="F20258" s="193"/>
    </row>
    <row r="20259" spans="6:6" x14ac:dyDescent="0.3">
      <c r="F20259" s="193"/>
    </row>
    <row r="20260" spans="6:6" x14ac:dyDescent="0.3">
      <c r="F20260" s="193"/>
    </row>
    <row r="20261" spans="6:6" x14ac:dyDescent="0.3">
      <c r="F20261" s="193"/>
    </row>
    <row r="20262" spans="6:6" x14ac:dyDescent="0.3">
      <c r="F20262" s="193"/>
    </row>
    <row r="20263" spans="6:6" x14ac:dyDescent="0.3">
      <c r="F20263" s="193"/>
    </row>
    <row r="20264" spans="6:6" x14ac:dyDescent="0.3">
      <c r="F20264" s="193"/>
    </row>
    <row r="20265" spans="6:6" x14ac:dyDescent="0.3">
      <c r="F20265" s="193"/>
    </row>
    <row r="20266" spans="6:6" x14ac:dyDescent="0.3">
      <c r="F20266" s="193"/>
    </row>
    <row r="20267" spans="6:6" x14ac:dyDescent="0.3">
      <c r="F20267" s="193"/>
    </row>
    <row r="20268" spans="6:6" x14ac:dyDescent="0.3">
      <c r="F20268" s="193"/>
    </row>
    <row r="20269" spans="6:6" x14ac:dyDescent="0.3">
      <c r="F20269" s="193"/>
    </row>
    <row r="20270" spans="6:6" x14ac:dyDescent="0.3">
      <c r="F20270" s="193"/>
    </row>
    <row r="20271" spans="6:6" x14ac:dyDescent="0.3">
      <c r="F20271" s="193"/>
    </row>
    <row r="20272" spans="6:6" x14ac:dyDescent="0.3">
      <c r="F20272" s="193"/>
    </row>
    <row r="20273" spans="6:6" x14ac:dyDescent="0.3">
      <c r="F20273" s="193"/>
    </row>
    <row r="20274" spans="6:6" x14ac:dyDescent="0.3">
      <c r="F20274" s="193"/>
    </row>
    <row r="20275" spans="6:6" x14ac:dyDescent="0.3">
      <c r="F20275" s="193"/>
    </row>
    <row r="20276" spans="6:6" x14ac:dyDescent="0.3">
      <c r="F20276" s="193"/>
    </row>
    <row r="20277" spans="6:6" x14ac:dyDescent="0.3">
      <c r="F20277" s="193"/>
    </row>
    <row r="20278" spans="6:6" x14ac:dyDescent="0.3">
      <c r="F20278" s="193"/>
    </row>
    <row r="20279" spans="6:6" x14ac:dyDescent="0.3">
      <c r="F20279" s="193"/>
    </row>
    <row r="20280" spans="6:6" x14ac:dyDescent="0.3">
      <c r="F20280" s="193"/>
    </row>
    <row r="20281" spans="6:6" x14ac:dyDescent="0.3">
      <c r="F20281" s="193"/>
    </row>
    <row r="20282" spans="6:6" x14ac:dyDescent="0.3">
      <c r="F20282" s="193"/>
    </row>
    <row r="20283" spans="6:6" x14ac:dyDescent="0.3">
      <c r="F20283" s="193"/>
    </row>
    <row r="20284" spans="6:6" x14ac:dyDescent="0.3">
      <c r="F20284" s="193"/>
    </row>
    <row r="20285" spans="6:6" x14ac:dyDescent="0.3">
      <c r="F20285" s="193"/>
    </row>
    <row r="20286" spans="6:6" x14ac:dyDescent="0.3">
      <c r="F20286" s="193"/>
    </row>
    <row r="20287" spans="6:6" x14ac:dyDescent="0.3">
      <c r="F20287" s="193"/>
    </row>
    <row r="20288" spans="6:6" x14ac:dyDescent="0.3">
      <c r="F20288" s="193"/>
    </row>
    <row r="20289" spans="6:6" x14ac:dyDescent="0.3">
      <c r="F20289" s="193"/>
    </row>
    <row r="20290" spans="6:6" x14ac:dyDescent="0.3">
      <c r="F20290" s="193"/>
    </row>
    <row r="20291" spans="6:6" x14ac:dyDescent="0.3">
      <c r="F20291" s="193"/>
    </row>
    <row r="20292" spans="6:6" x14ac:dyDescent="0.3">
      <c r="F20292" s="193"/>
    </row>
    <row r="20293" spans="6:6" x14ac:dyDescent="0.3">
      <c r="F20293" s="193"/>
    </row>
    <row r="20294" spans="6:6" x14ac:dyDescent="0.3">
      <c r="F20294" s="193"/>
    </row>
    <row r="20295" spans="6:6" x14ac:dyDescent="0.3">
      <c r="F20295" s="193"/>
    </row>
    <row r="20296" spans="6:6" x14ac:dyDescent="0.3">
      <c r="F20296" s="193"/>
    </row>
    <row r="20297" spans="6:6" x14ac:dyDescent="0.3">
      <c r="F20297" s="193"/>
    </row>
    <row r="20298" spans="6:6" x14ac:dyDescent="0.3">
      <c r="F20298" s="193"/>
    </row>
    <row r="20299" spans="6:6" x14ac:dyDescent="0.3">
      <c r="F20299" s="193"/>
    </row>
    <row r="20300" spans="6:6" x14ac:dyDescent="0.3">
      <c r="F20300" s="193"/>
    </row>
    <row r="20301" spans="6:6" x14ac:dyDescent="0.3">
      <c r="F20301" s="193"/>
    </row>
    <row r="20302" spans="6:6" x14ac:dyDescent="0.3">
      <c r="F20302" s="193"/>
    </row>
    <row r="20303" spans="6:6" x14ac:dyDescent="0.3">
      <c r="F20303" s="193"/>
    </row>
    <row r="20304" spans="6:6" x14ac:dyDescent="0.3">
      <c r="F20304" s="193"/>
    </row>
    <row r="20305" spans="6:6" x14ac:dyDescent="0.3">
      <c r="F20305" s="193"/>
    </row>
    <row r="20306" spans="6:6" x14ac:dyDescent="0.3">
      <c r="F20306" s="193"/>
    </row>
    <row r="20307" spans="6:6" x14ac:dyDescent="0.3">
      <c r="F20307" s="193"/>
    </row>
    <row r="20308" spans="6:6" x14ac:dyDescent="0.3">
      <c r="F20308" s="193"/>
    </row>
    <row r="20309" spans="6:6" x14ac:dyDescent="0.3">
      <c r="F20309" s="193"/>
    </row>
    <row r="20310" spans="6:6" x14ac:dyDescent="0.3">
      <c r="F20310" s="193"/>
    </row>
    <row r="20311" spans="6:6" x14ac:dyDescent="0.3">
      <c r="F20311" s="193"/>
    </row>
    <row r="20312" spans="6:6" x14ac:dyDescent="0.3">
      <c r="F20312" s="193"/>
    </row>
    <row r="20313" spans="6:6" x14ac:dyDescent="0.3">
      <c r="F20313" s="193"/>
    </row>
    <row r="20314" spans="6:6" x14ac:dyDescent="0.3">
      <c r="F20314" s="193"/>
    </row>
    <row r="20315" spans="6:6" x14ac:dyDescent="0.3">
      <c r="F20315" s="193"/>
    </row>
    <row r="20316" spans="6:6" x14ac:dyDescent="0.3">
      <c r="F20316" s="193"/>
    </row>
    <row r="20317" spans="6:6" x14ac:dyDescent="0.3">
      <c r="F20317" s="193"/>
    </row>
    <row r="20318" spans="6:6" x14ac:dyDescent="0.3">
      <c r="F20318" s="193"/>
    </row>
    <row r="20319" spans="6:6" x14ac:dyDescent="0.3">
      <c r="F20319" s="193"/>
    </row>
    <row r="20320" spans="6:6" x14ac:dyDescent="0.3">
      <c r="F20320" s="193"/>
    </row>
    <row r="20321" spans="6:6" x14ac:dyDescent="0.3">
      <c r="F20321" s="193"/>
    </row>
    <row r="20322" spans="6:6" x14ac:dyDescent="0.3">
      <c r="F20322" s="193"/>
    </row>
    <row r="20323" spans="6:6" x14ac:dyDescent="0.3">
      <c r="F20323" s="193"/>
    </row>
    <row r="20324" spans="6:6" x14ac:dyDescent="0.3">
      <c r="F20324" s="193"/>
    </row>
    <row r="20325" spans="6:6" x14ac:dyDescent="0.3">
      <c r="F20325" s="193"/>
    </row>
    <row r="20326" spans="6:6" x14ac:dyDescent="0.3">
      <c r="F20326" s="193"/>
    </row>
    <row r="20327" spans="6:6" x14ac:dyDescent="0.3">
      <c r="F20327" s="193"/>
    </row>
    <row r="20328" spans="6:6" x14ac:dyDescent="0.3">
      <c r="F20328" s="193"/>
    </row>
    <row r="20329" spans="6:6" x14ac:dyDescent="0.3">
      <c r="F20329" s="193"/>
    </row>
    <row r="20330" spans="6:6" x14ac:dyDescent="0.3">
      <c r="F20330" s="193"/>
    </row>
    <row r="20331" spans="6:6" x14ac:dyDescent="0.3">
      <c r="F20331" s="193"/>
    </row>
    <row r="20332" spans="6:6" x14ac:dyDescent="0.3">
      <c r="F20332" s="193"/>
    </row>
    <row r="20333" spans="6:6" x14ac:dyDescent="0.3">
      <c r="F20333" s="193"/>
    </row>
    <row r="20334" spans="6:6" x14ac:dyDescent="0.3">
      <c r="F20334" s="193"/>
    </row>
    <row r="20335" spans="6:6" x14ac:dyDescent="0.3">
      <c r="F20335" s="193"/>
    </row>
    <row r="20336" spans="6:6" x14ac:dyDescent="0.3">
      <c r="F20336" s="193"/>
    </row>
    <row r="20337" spans="6:6" x14ac:dyDescent="0.3">
      <c r="F20337" s="193"/>
    </row>
    <row r="20338" spans="6:6" x14ac:dyDescent="0.3">
      <c r="F20338" s="193"/>
    </row>
    <row r="20339" spans="6:6" x14ac:dyDescent="0.3">
      <c r="F20339" s="193"/>
    </row>
    <row r="20340" spans="6:6" x14ac:dyDescent="0.3">
      <c r="F20340" s="193"/>
    </row>
    <row r="20341" spans="6:6" x14ac:dyDescent="0.3">
      <c r="F20341" s="193"/>
    </row>
    <row r="20342" spans="6:6" x14ac:dyDescent="0.3">
      <c r="F20342" s="193"/>
    </row>
    <row r="20343" spans="6:6" x14ac:dyDescent="0.3">
      <c r="F20343" s="193"/>
    </row>
    <row r="20344" spans="6:6" x14ac:dyDescent="0.3">
      <c r="F20344" s="193"/>
    </row>
    <row r="20345" spans="6:6" x14ac:dyDescent="0.3">
      <c r="F20345" s="193"/>
    </row>
    <row r="20346" spans="6:6" x14ac:dyDescent="0.3">
      <c r="F20346" s="193"/>
    </row>
    <row r="20347" spans="6:6" x14ac:dyDescent="0.3">
      <c r="F20347" s="193"/>
    </row>
    <row r="20348" spans="6:6" x14ac:dyDescent="0.3">
      <c r="F20348" s="193"/>
    </row>
    <row r="20349" spans="6:6" x14ac:dyDescent="0.3">
      <c r="F20349" s="193"/>
    </row>
    <row r="20350" spans="6:6" x14ac:dyDescent="0.3">
      <c r="F20350" s="193"/>
    </row>
    <row r="20351" spans="6:6" x14ac:dyDescent="0.3">
      <c r="F20351" s="193"/>
    </row>
    <row r="20352" spans="6:6" x14ac:dyDescent="0.3">
      <c r="F20352" s="193"/>
    </row>
    <row r="20353" spans="6:6" x14ac:dyDescent="0.3">
      <c r="F20353" s="193"/>
    </row>
    <row r="20354" spans="6:6" x14ac:dyDescent="0.3">
      <c r="F20354" s="193"/>
    </row>
    <row r="20355" spans="6:6" x14ac:dyDescent="0.3">
      <c r="F20355" s="193"/>
    </row>
    <row r="20356" spans="6:6" x14ac:dyDescent="0.3">
      <c r="F20356" s="193"/>
    </row>
    <row r="20357" spans="6:6" x14ac:dyDescent="0.3">
      <c r="F20357" s="193"/>
    </row>
    <row r="20358" spans="6:6" x14ac:dyDescent="0.3">
      <c r="F20358" s="193"/>
    </row>
    <row r="20359" spans="6:6" x14ac:dyDescent="0.3">
      <c r="F20359" s="193"/>
    </row>
    <row r="20360" spans="6:6" x14ac:dyDescent="0.3">
      <c r="F20360" s="193"/>
    </row>
    <row r="20361" spans="6:6" x14ac:dyDescent="0.3">
      <c r="F20361" s="193"/>
    </row>
    <row r="20362" spans="6:6" x14ac:dyDescent="0.3">
      <c r="F20362" s="193"/>
    </row>
    <row r="20363" spans="6:6" x14ac:dyDescent="0.3">
      <c r="F20363" s="193"/>
    </row>
    <row r="20364" spans="6:6" x14ac:dyDescent="0.3">
      <c r="F20364" s="193"/>
    </row>
    <row r="20365" spans="6:6" x14ac:dyDescent="0.3">
      <c r="F20365" s="193"/>
    </row>
    <row r="20366" spans="6:6" x14ac:dyDescent="0.3">
      <c r="F20366" s="193"/>
    </row>
    <row r="20367" spans="6:6" x14ac:dyDescent="0.3">
      <c r="F20367" s="193"/>
    </row>
    <row r="20368" spans="6:6" x14ac:dyDescent="0.3">
      <c r="F20368" s="193"/>
    </row>
    <row r="20369" spans="6:6" x14ac:dyDescent="0.3">
      <c r="F20369" s="193"/>
    </row>
    <row r="20370" spans="6:6" x14ac:dyDescent="0.3">
      <c r="F20370" s="193"/>
    </row>
    <row r="20371" spans="6:6" x14ac:dyDescent="0.3">
      <c r="F20371" s="193"/>
    </row>
    <row r="20372" spans="6:6" x14ac:dyDescent="0.3">
      <c r="F20372" s="193"/>
    </row>
    <row r="20373" spans="6:6" x14ac:dyDescent="0.3">
      <c r="F20373" s="193"/>
    </row>
    <row r="20374" spans="6:6" x14ac:dyDescent="0.3">
      <c r="F20374" s="193"/>
    </row>
    <row r="20375" spans="6:6" x14ac:dyDescent="0.3">
      <c r="F20375" s="193"/>
    </row>
    <row r="20376" spans="6:6" x14ac:dyDescent="0.3">
      <c r="F20376" s="193"/>
    </row>
    <row r="20377" spans="6:6" x14ac:dyDescent="0.3">
      <c r="F20377" s="193"/>
    </row>
    <row r="20378" spans="6:6" x14ac:dyDescent="0.3">
      <c r="F20378" s="193"/>
    </row>
    <row r="20379" spans="6:6" x14ac:dyDescent="0.3">
      <c r="F20379" s="193"/>
    </row>
    <row r="20380" spans="6:6" x14ac:dyDescent="0.3">
      <c r="F20380" s="193"/>
    </row>
    <row r="20381" spans="6:6" x14ac:dyDescent="0.3">
      <c r="F20381" s="193"/>
    </row>
    <row r="20382" spans="6:6" x14ac:dyDescent="0.3">
      <c r="F20382" s="193"/>
    </row>
    <row r="20383" spans="6:6" x14ac:dyDescent="0.3">
      <c r="F20383" s="193"/>
    </row>
    <row r="20384" spans="6:6" x14ac:dyDescent="0.3">
      <c r="F20384" s="193"/>
    </row>
    <row r="20385" spans="6:6" x14ac:dyDescent="0.3">
      <c r="F20385" s="193"/>
    </row>
    <row r="20386" spans="6:6" x14ac:dyDescent="0.3">
      <c r="F20386" s="193"/>
    </row>
    <row r="20387" spans="6:6" x14ac:dyDescent="0.3">
      <c r="F20387" s="193"/>
    </row>
    <row r="20388" spans="6:6" x14ac:dyDescent="0.3">
      <c r="F20388" s="193"/>
    </row>
    <row r="20389" spans="6:6" x14ac:dyDescent="0.3">
      <c r="F20389" s="193"/>
    </row>
    <row r="20390" spans="6:6" x14ac:dyDescent="0.3">
      <c r="F20390" s="193"/>
    </row>
    <row r="20391" spans="6:6" x14ac:dyDescent="0.3">
      <c r="F20391" s="193"/>
    </row>
    <row r="20392" spans="6:6" x14ac:dyDescent="0.3">
      <c r="F20392" s="193"/>
    </row>
    <row r="20393" spans="6:6" x14ac:dyDescent="0.3">
      <c r="F20393" s="193"/>
    </row>
    <row r="20394" spans="6:6" x14ac:dyDescent="0.3">
      <c r="F20394" s="193"/>
    </row>
    <row r="20395" spans="6:6" x14ac:dyDescent="0.3">
      <c r="F20395" s="193"/>
    </row>
    <row r="20396" spans="6:6" x14ac:dyDescent="0.3">
      <c r="F20396" s="193"/>
    </row>
    <row r="20397" spans="6:6" x14ac:dyDescent="0.3">
      <c r="F20397" s="193"/>
    </row>
    <row r="20398" spans="6:6" x14ac:dyDescent="0.3">
      <c r="F20398" s="193"/>
    </row>
    <row r="20399" spans="6:6" x14ac:dyDescent="0.3">
      <c r="F20399" s="193"/>
    </row>
    <row r="20400" spans="6:6" x14ac:dyDescent="0.3">
      <c r="F20400" s="193"/>
    </row>
    <row r="20401" spans="6:6" x14ac:dyDescent="0.3">
      <c r="F20401" s="193"/>
    </row>
    <row r="20402" spans="6:6" x14ac:dyDescent="0.3">
      <c r="F20402" s="193"/>
    </row>
    <row r="20403" spans="6:6" x14ac:dyDescent="0.3">
      <c r="F20403" s="193"/>
    </row>
    <row r="20404" spans="6:6" x14ac:dyDescent="0.3">
      <c r="F20404" s="193"/>
    </row>
    <row r="20405" spans="6:6" x14ac:dyDescent="0.3">
      <c r="F20405" s="193"/>
    </row>
    <row r="20406" spans="6:6" x14ac:dyDescent="0.3">
      <c r="F20406" s="193"/>
    </row>
    <row r="20407" spans="6:6" x14ac:dyDescent="0.3">
      <c r="F20407" s="193"/>
    </row>
    <row r="20408" spans="6:6" x14ac:dyDescent="0.3">
      <c r="F20408" s="193"/>
    </row>
    <row r="20409" spans="6:6" x14ac:dyDescent="0.3">
      <c r="F20409" s="193"/>
    </row>
    <row r="20410" spans="6:6" x14ac:dyDescent="0.3">
      <c r="F20410" s="193"/>
    </row>
    <row r="20411" spans="6:6" x14ac:dyDescent="0.3">
      <c r="F20411" s="193"/>
    </row>
    <row r="20412" spans="6:6" x14ac:dyDescent="0.3">
      <c r="F20412" s="193"/>
    </row>
    <row r="20413" spans="6:6" x14ac:dyDescent="0.3">
      <c r="F20413" s="193"/>
    </row>
    <row r="20414" spans="6:6" x14ac:dyDescent="0.3">
      <c r="F20414" s="193"/>
    </row>
    <row r="20415" spans="6:6" x14ac:dyDescent="0.3">
      <c r="F20415" s="193"/>
    </row>
    <row r="20416" spans="6:6" x14ac:dyDescent="0.3">
      <c r="F20416" s="193"/>
    </row>
    <row r="20417" spans="6:6" x14ac:dyDescent="0.3">
      <c r="F20417" s="193"/>
    </row>
    <row r="20418" spans="6:6" x14ac:dyDescent="0.3">
      <c r="F20418" s="193"/>
    </row>
    <row r="20419" spans="6:6" x14ac:dyDescent="0.3">
      <c r="F20419" s="193"/>
    </row>
    <row r="20420" spans="6:6" x14ac:dyDescent="0.3">
      <c r="F20420" s="193"/>
    </row>
    <row r="20421" spans="6:6" x14ac:dyDescent="0.3">
      <c r="F20421" s="193"/>
    </row>
    <row r="20422" spans="6:6" x14ac:dyDescent="0.3">
      <c r="F20422" s="193"/>
    </row>
    <row r="20423" spans="6:6" x14ac:dyDescent="0.3">
      <c r="F20423" s="193"/>
    </row>
    <row r="20424" spans="6:6" x14ac:dyDescent="0.3">
      <c r="F20424" s="193"/>
    </row>
    <row r="20425" spans="6:6" x14ac:dyDescent="0.3">
      <c r="F20425" s="193"/>
    </row>
    <row r="20426" spans="6:6" x14ac:dyDescent="0.3">
      <c r="F20426" s="193"/>
    </row>
    <row r="20427" spans="6:6" x14ac:dyDescent="0.3">
      <c r="F20427" s="193"/>
    </row>
    <row r="20428" spans="6:6" x14ac:dyDescent="0.3">
      <c r="F20428" s="193"/>
    </row>
    <row r="20429" spans="6:6" x14ac:dyDescent="0.3">
      <c r="F20429" s="193"/>
    </row>
    <row r="20430" spans="6:6" x14ac:dyDescent="0.3">
      <c r="F20430" s="193"/>
    </row>
    <row r="20431" spans="6:6" x14ac:dyDescent="0.3">
      <c r="F20431" s="193"/>
    </row>
    <row r="20432" spans="6:6" x14ac:dyDescent="0.3">
      <c r="F20432" s="193"/>
    </row>
    <row r="20433" spans="6:6" x14ac:dyDescent="0.3">
      <c r="F20433" s="193"/>
    </row>
    <row r="20434" spans="6:6" x14ac:dyDescent="0.3">
      <c r="F20434" s="193"/>
    </row>
    <row r="20435" spans="6:6" x14ac:dyDescent="0.3">
      <c r="F20435" s="193"/>
    </row>
    <row r="20436" spans="6:6" x14ac:dyDescent="0.3">
      <c r="F20436" s="193"/>
    </row>
    <row r="20437" spans="6:6" x14ac:dyDescent="0.3">
      <c r="F20437" s="193"/>
    </row>
    <row r="20438" spans="6:6" x14ac:dyDescent="0.3">
      <c r="F20438" s="193"/>
    </row>
    <row r="20439" spans="6:6" x14ac:dyDescent="0.3">
      <c r="F20439" s="193"/>
    </row>
    <row r="20440" spans="6:6" x14ac:dyDescent="0.3">
      <c r="F20440" s="193"/>
    </row>
    <row r="20441" spans="6:6" x14ac:dyDescent="0.3">
      <c r="F20441" s="193"/>
    </row>
    <row r="20442" spans="6:6" x14ac:dyDescent="0.3">
      <c r="F20442" s="193"/>
    </row>
    <row r="20443" spans="6:6" x14ac:dyDescent="0.3">
      <c r="F20443" s="193"/>
    </row>
    <row r="20444" spans="6:6" x14ac:dyDescent="0.3">
      <c r="F20444" s="193"/>
    </row>
    <row r="20445" spans="6:6" x14ac:dyDescent="0.3">
      <c r="F20445" s="193"/>
    </row>
    <row r="20446" spans="6:6" x14ac:dyDescent="0.3">
      <c r="F20446" s="193"/>
    </row>
    <row r="20447" spans="6:6" x14ac:dyDescent="0.3">
      <c r="F20447" s="193"/>
    </row>
    <row r="20448" spans="6:6" x14ac:dyDescent="0.3">
      <c r="F20448" s="193"/>
    </row>
    <row r="20449" spans="6:6" x14ac:dyDescent="0.3">
      <c r="F20449" s="193"/>
    </row>
    <row r="20450" spans="6:6" x14ac:dyDescent="0.3">
      <c r="F20450" s="193"/>
    </row>
    <row r="20451" spans="6:6" x14ac:dyDescent="0.3">
      <c r="F20451" s="193"/>
    </row>
    <row r="20452" spans="6:6" x14ac:dyDescent="0.3">
      <c r="F20452" s="193"/>
    </row>
    <row r="20453" spans="6:6" x14ac:dyDescent="0.3">
      <c r="F20453" s="193"/>
    </row>
    <row r="20454" spans="6:6" x14ac:dyDescent="0.3">
      <c r="F20454" s="193"/>
    </row>
    <row r="20455" spans="6:6" x14ac:dyDescent="0.3">
      <c r="F20455" s="193"/>
    </row>
    <row r="20456" spans="6:6" x14ac:dyDescent="0.3">
      <c r="F20456" s="193"/>
    </row>
    <row r="20457" spans="6:6" x14ac:dyDescent="0.3">
      <c r="F20457" s="193"/>
    </row>
    <row r="20458" spans="6:6" x14ac:dyDescent="0.3">
      <c r="F20458" s="193"/>
    </row>
    <row r="20459" spans="6:6" x14ac:dyDescent="0.3">
      <c r="F20459" s="193"/>
    </row>
    <row r="20460" spans="6:6" x14ac:dyDescent="0.3">
      <c r="F20460" s="193"/>
    </row>
    <row r="20461" spans="6:6" x14ac:dyDescent="0.3">
      <c r="F20461" s="193"/>
    </row>
    <row r="20462" spans="6:6" x14ac:dyDescent="0.3">
      <c r="F20462" s="193"/>
    </row>
    <row r="20463" spans="6:6" x14ac:dyDescent="0.3">
      <c r="F20463" s="193"/>
    </row>
    <row r="20464" spans="6:6" x14ac:dyDescent="0.3">
      <c r="F20464" s="193"/>
    </row>
    <row r="20465" spans="6:6" x14ac:dyDescent="0.3">
      <c r="F20465" s="193"/>
    </row>
    <row r="20466" spans="6:6" x14ac:dyDescent="0.3">
      <c r="F20466" s="193"/>
    </row>
    <row r="20467" spans="6:6" x14ac:dyDescent="0.3">
      <c r="F20467" s="193"/>
    </row>
    <row r="20468" spans="6:6" x14ac:dyDescent="0.3">
      <c r="F20468" s="193"/>
    </row>
    <row r="20469" spans="6:6" x14ac:dyDescent="0.3">
      <c r="F20469" s="193"/>
    </row>
    <row r="20470" spans="6:6" x14ac:dyDescent="0.3">
      <c r="F20470" s="193"/>
    </row>
    <row r="20471" spans="6:6" x14ac:dyDescent="0.3">
      <c r="F20471" s="193"/>
    </row>
    <row r="20472" spans="6:6" x14ac:dyDescent="0.3">
      <c r="F20472" s="193"/>
    </row>
    <row r="20473" spans="6:6" x14ac:dyDescent="0.3">
      <c r="F20473" s="193"/>
    </row>
    <row r="20474" spans="6:6" x14ac:dyDescent="0.3">
      <c r="F20474" s="193"/>
    </row>
    <row r="20475" spans="6:6" x14ac:dyDescent="0.3">
      <c r="F20475" s="193"/>
    </row>
    <row r="20476" spans="6:6" x14ac:dyDescent="0.3">
      <c r="F20476" s="193"/>
    </row>
    <row r="20477" spans="6:6" x14ac:dyDescent="0.3">
      <c r="F20477" s="193"/>
    </row>
    <row r="20478" spans="6:6" x14ac:dyDescent="0.3">
      <c r="F20478" s="193"/>
    </row>
    <row r="20479" spans="6:6" x14ac:dyDescent="0.3">
      <c r="F20479" s="193"/>
    </row>
    <row r="20480" spans="6:6" x14ac:dyDescent="0.3">
      <c r="F20480" s="193"/>
    </row>
    <row r="20481" spans="6:6" x14ac:dyDescent="0.3">
      <c r="F20481" s="193"/>
    </row>
    <row r="20482" spans="6:6" x14ac:dyDescent="0.3">
      <c r="F20482" s="193"/>
    </row>
    <row r="20483" spans="6:6" x14ac:dyDescent="0.3">
      <c r="F20483" s="193"/>
    </row>
    <row r="20484" spans="6:6" x14ac:dyDescent="0.3">
      <c r="F20484" s="193"/>
    </row>
    <row r="20485" spans="6:6" x14ac:dyDescent="0.3">
      <c r="F20485" s="193"/>
    </row>
    <row r="20486" spans="6:6" x14ac:dyDescent="0.3">
      <c r="F20486" s="193"/>
    </row>
    <row r="20487" spans="6:6" x14ac:dyDescent="0.3">
      <c r="F20487" s="193"/>
    </row>
    <row r="20488" spans="6:6" x14ac:dyDescent="0.3">
      <c r="F20488" s="193"/>
    </row>
    <row r="20489" spans="6:6" x14ac:dyDescent="0.3">
      <c r="F20489" s="193"/>
    </row>
    <row r="20490" spans="6:6" x14ac:dyDescent="0.3">
      <c r="F20490" s="193"/>
    </row>
    <row r="20491" spans="6:6" x14ac:dyDescent="0.3">
      <c r="F20491" s="193"/>
    </row>
    <row r="20492" spans="6:6" x14ac:dyDescent="0.3">
      <c r="F20492" s="193"/>
    </row>
    <row r="20493" spans="6:6" x14ac:dyDescent="0.3">
      <c r="F20493" s="193"/>
    </row>
    <row r="20494" spans="6:6" x14ac:dyDescent="0.3">
      <c r="F20494" s="193"/>
    </row>
    <row r="20495" spans="6:6" x14ac:dyDescent="0.3">
      <c r="F20495" s="193"/>
    </row>
    <row r="20496" spans="6:6" x14ac:dyDescent="0.3">
      <c r="F20496" s="193"/>
    </row>
    <row r="20497" spans="6:6" x14ac:dyDescent="0.3">
      <c r="F20497" s="193"/>
    </row>
    <row r="20498" spans="6:6" x14ac:dyDescent="0.3">
      <c r="F20498" s="193"/>
    </row>
    <row r="20499" spans="6:6" x14ac:dyDescent="0.3">
      <c r="F20499" s="193"/>
    </row>
    <row r="20500" spans="6:6" x14ac:dyDescent="0.3">
      <c r="F20500" s="193"/>
    </row>
    <row r="20501" spans="6:6" x14ac:dyDescent="0.3">
      <c r="F20501" s="193"/>
    </row>
    <row r="20502" spans="6:6" x14ac:dyDescent="0.3">
      <c r="F20502" s="193"/>
    </row>
    <row r="20503" spans="6:6" x14ac:dyDescent="0.3">
      <c r="F20503" s="193"/>
    </row>
    <row r="20504" spans="6:6" x14ac:dyDescent="0.3">
      <c r="F20504" s="193"/>
    </row>
    <row r="20505" spans="6:6" x14ac:dyDescent="0.3">
      <c r="F20505" s="193"/>
    </row>
    <row r="20506" spans="6:6" x14ac:dyDescent="0.3">
      <c r="F20506" s="193"/>
    </row>
    <row r="20507" spans="6:6" x14ac:dyDescent="0.3">
      <c r="F20507" s="193"/>
    </row>
    <row r="20508" spans="6:6" x14ac:dyDescent="0.3">
      <c r="F20508" s="193"/>
    </row>
    <row r="20509" spans="6:6" x14ac:dyDescent="0.3">
      <c r="F20509" s="193"/>
    </row>
    <row r="20510" spans="6:6" x14ac:dyDescent="0.3">
      <c r="F20510" s="193"/>
    </row>
    <row r="20511" spans="6:6" x14ac:dyDescent="0.3">
      <c r="F20511" s="193"/>
    </row>
    <row r="20512" spans="6:6" x14ac:dyDescent="0.3">
      <c r="F20512" s="193"/>
    </row>
    <row r="20513" spans="6:6" x14ac:dyDescent="0.3">
      <c r="F20513" s="193"/>
    </row>
    <row r="20514" spans="6:6" x14ac:dyDescent="0.3">
      <c r="F20514" s="193"/>
    </row>
    <row r="20515" spans="6:6" x14ac:dyDescent="0.3">
      <c r="F20515" s="193"/>
    </row>
    <row r="20516" spans="6:6" x14ac:dyDescent="0.3">
      <c r="F20516" s="193"/>
    </row>
    <row r="20517" spans="6:6" x14ac:dyDescent="0.3">
      <c r="F20517" s="193"/>
    </row>
    <row r="20518" spans="6:6" x14ac:dyDescent="0.3">
      <c r="F20518" s="193"/>
    </row>
    <row r="20519" spans="6:6" x14ac:dyDescent="0.3">
      <c r="F20519" s="193"/>
    </row>
    <row r="20520" spans="6:6" x14ac:dyDescent="0.3">
      <c r="F20520" s="193"/>
    </row>
    <row r="20521" spans="6:6" x14ac:dyDescent="0.3">
      <c r="F20521" s="193"/>
    </row>
    <row r="20522" spans="6:6" x14ac:dyDescent="0.3">
      <c r="F20522" s="193"/>
    </row>
    <row r="20523" spans="6:6" x14ac:dyDescent="0.3">
      <c r="F20523" s="193"/>
    </row>
    <row r="20524" spans="6:6" x14ac:dyDescent="0.3">
      <c r="F20524" s="193"/>
    </row>
    <row r="20525" spans="6:6" x14ac:dyDescent="0.3">
      <c r="F20525" s="193"/>
    </row>
    <row r="20526" spans="6:6" x14ac:dyDescent="0.3">
      <c r="F20526" s="193"/>
    </row>
    <row r="20527" spans="6:6" x14ac:dyDescent="0.3">
      <c r="F20527" s="193"/>
    </row>
    <row r="20528" spans="6:6" x14ac:dyDescent="0.3">
      <c r="F20528" s="193"/>
    </row>
    <row r="20529" spans="6:6" x14ac:dyDescent="0.3">
      <c r="F20529" s="193"/>
    </row>
    <row r="20530" spans="6:6" x14ac:dyDescent="0.3">
      <c r="F20530" s="193"/>
    </row>
    <row r="20531" spans="6:6" x14ac:dyDescent="0.3">
      <c r="F20531" s="193"/>
    </row>
    <row r="20532" spans="6:6" x14ac:dyDescent="0.3">
      <c r="F20532" s="193"/>
    </row>
    <row r="20533" spans="6:6" x14ac:dyDescent="0.3">
      <c r="F20533" s="193"/>
    </row>
    <row r="20534" spans="6:6" x14ac:dyDescent="0.3">
      <c r="F20534" s="193"/>
    </row>
    <row r="20535" spans="6:6" x14ac:dyDescent="0.3">
      <c r="F20535" s="193"/>
    </row>
    <row r="20536" spans="6:6" x14ac:dyDescent="0.3">
      <c r="F20536" s="193"/>
    </row>
    <row r="20537" spans="6:6" x14ac:dyDescent="0.3">
      <c r="F20537" s="193"/>
    </row>
    <row r="20538" spans="6:6" x14ac:dyDescent="0.3">
      <c r="F20538" s="193"/>
    </row>
    <row r="20539" spans="6:6" x14ac:dyDescent="0.3">
      <c r="F20539" s="193"/>
    </row>
    <row r="20540" spans="6:6" x14ac:dyDescent="0.3">
      <c r="F20540" s="193"/>
    </row>
    <row r="20541" spans="6:6" x14ac:dyDescent="0.3">
      <c r="F20541" s="193"/>
    </row>
    <row r="20542" spans="6:6" x14ac:dyDescent="0.3">
      <c r="F20542" s="193"/>
    </row>
    <row r="20543" spans="6:6" x14ac:dyDescent="0.3">
      <c r="F20543" s="193"/>
    </row>
    <row r="20544" spans="6:6" x14ac:dyDescent="0.3">
      <c r="F20544" s="193"/>
    </row>
    <row r="20545" spans="6:6" x14ac:dyDescent="0.3">
      <c r="F20545" s="193"/>
    </row>
    <row r="20546" spans="6:6" x14ac:dyDescent="0.3">
      <c r="F20546" s="193"/>
    </row>
    <row r="20547" spans="6:6" x14ac:dyDescent="0.3">
      <c r="F20547" s="193"/>
    </row>
    <row r="20548" spans="6:6" x14ac:dyDescent="0.3">
      <c r="F20548" s="193"/>
    </row>
    <row r="20549" spans="6:6" x14ac:dyDescent="0.3">
      <c r="F20549" s="193"/>
    </row>
    <row r="20550" spans="6:6" x14ac:dyDescent="0.3">
      <c r="F20550" s="193"/>
    </row>
    <row r="20551" spans="6:6" x14ac:dyDescent="0.3">
      <c r="F20551" s="193"/>
    </row>
    <row r="20552" spans="6:6" x14ac:dyDescent="0.3">
      <c r="F20552" s="193"/>
    </row>
    <row r="20553" spans="6:6" x14ac:dyDescent="0.3">
      <c r="F20553" s="193"/>
    </row>
    <row r="20554" spans="6:6" x14ac:dyDescent="0.3">
      <c r="F20554" s="193"/>
    </row>
    <row r="20555" spans="6:6" x14ac:dyDescent="0.3">
      <c r="F20555" s="193"/>
    </row>
    <row r="20556" spans="6:6" x14ac:dyDescent="0.3">
      <c r="F20556" s="193"/>
    </row>
    <row r="20557" spans="6:6" x14ac:dyDescent="0.3">
      <c r="F20557" s="193"/>
    </row>
    <row r="20558" spans="6:6" x14ac:dyDescent="0.3">
      <c r="F20558" s="193"/>
    </row>
    <row r="20559" spans="6:6" x14ac:dyDescent="0.3">
      <c r="F20559" s="193"/>
    </row>
    <row r="20560" spans="6:6" x14ac:dyDescent="0.3">
      <c r="F20560" s="193"/>
    </row>
    <row r="20561" spans="6:6" x14ac:dyDescent="0.3">
      <c r="F20561" s="193"/>
    </row>
    <row r="20562" spans="6:6" x14ac:dyDescent="0.3">
      <c r="F20562" s="193"/>
    </row>
    <row r="20563" spans="6:6" x14ac:dyDescent="0.3">
      <c r="F20563" s="193"/>
    </row>
    <row r="20564" spans="6:6" x14ac:dyDescent="0.3">
      <c r="F20564" s="193"/>
    </row>
    <row r="20565" spans="6:6" x14ac:dyDescent="0.3">
      <c r="F20565" s="193"/>
    </row>
    <row r="20566" spans="6:6" x14ac:dyDescent="0.3">
      <c r="F20566" s="193"/>
    </row>
    <row r="20567" spans="6:6" x14ac:dyDescent="0.3">
      <c r="F20567" s="193"/>
    </row>
    <row r="20568" spans="6:6" x14ac:dyDescent="0.3">
      <c r="F20568" s="193"/>
    </row>
    <row r="20569" spans="6:6" x14ac:dyDescent="0.3">
      <c r="F20569" s="193"/>
    </row>
    <row r="20570" spans="6:6" x14ac:dyDescent="0.3">
      <c r="F20570" s="193"/>
    </row>
    <row r="20571" spans="6:6" x14ac:dyDescent="0.3">
      <c r="F20571" s="193"/>
    </row>
    <row r="20572" spans="6:6" x14ac:dyDescent="0.3">
      <c r="F20572" s="193"/>
    </row>
    <row r="20573" spans="6:6" x14ac:dyDescent="0.3">
      <c r="F20573" s="193"/>
    </row>
    <row r="20574" spans="6:6" x14ac:dyDescent="0.3">
      <c r="F20574" s="193"/>
    </row>
    <row r="20575" spans="6:6" x14ac:dyDescent="0.3">
      <c r="F20575" s="193"/>
    </row>
    <row r="20576" spans="6:6" x14ac:dyDescent="0.3">
      <c r="F20576" s="193"/>
    </row>
    <row r="20577" spans="6:6" x14ac:dyDescent="0.3">
      <c r="F20577" s="193"/>
    </row>
    <row r="20578" spans="6:6" x14ac:dyDescent="0.3">
      <c r="F20578" s="193"/>
    </row>
    <row r="20579" spans="6:6" x14ac:dyDescent="0.3">
      <c r="F20579" s="193"/>
    </row>
    <row r="20580" spans="6:6" x14ac:dyDescent="0.3">
      <c r="F20580" s="193"/>
    </row>
    <row r="20581" spans="6:6" x14ac:dyDescent="0.3">
      <c r="F20581" s="193"/>
    </row>
    <row r="20582" spans="6:6" x14ac:dyDescent="0.3">
      <c r="F20582" s="193"/>
    </row>
    <row r="20583" spans="6:6" x14ac:dyDescent="0.3">
      <c r="F20583" s="193"/>
    </row>
    <row r="20584" spans="6:6" x14ac:dyDescent="0.3">
      <c r="F20584" s="193"/>
    </row>
    <row r="20585" spans="6:6" x14ac:dyDescent="0.3">
      <c r="F20585" s="193"/>
    </row>
    <row r="20586" spans="6:6" x14ac:dyDescent="0.3">
      <c r="F20586" s="193"/>
    </row>
    <row r="20587" spans="6:6" x14ac:dyDescent="0.3">
      <c r="F20587" s="193"/>
    </row>
    <row r="20588" spans="6:6" x14ac:dyDescent="0.3">
      <c r="F20588" s="193"/>
    </row>
    <row r="20589" spans="6:6" x14ac:dyDescent="0.3">
      <c r="F20589" s="193"/>
    </row>
    <row r="20590" spans="6:6" x14ac:dyDescent="0.3">
      <c r="F20590" s="193"/>
    </row>
    <row r="20591" spans="6:6" x14ac:dyDescent="0.3">
      <c r="F20591" s="193"/>
    </row>
    <row r="20592" spans="6:6" x14ac:dyDescent="0.3">
      <c r="F20592" s="193"/>
    </row>
    <row r="20593" spans="6:6" x14ac:dyDescent="0.3">
      <c r="F20593" s="193"/>
    </row>
    <row r="20594" spans="6:6" x14ac:dyDescent="0.3">
      <c r="F20594" s="193"/>
    </row>
    <row r="20595" spans="6:6" x14ac:dyDescent="0.3">
      <c r="F20595" s="193"/>
    </row>
    <row r="20596" spans="6:6" x14ac:dyDescent="0.3">
      <c r="F20596" s="193"/>
    </row>
    <row r="20597" spans="6:6" x14ac:dyDescent="0.3">
      <c r="F20597" s="193"/>
    </row>
    <row r="20598" spans="6:6" x14ac:dyDescent="0.3">
      <c r="F20598" s="193"/>
    </row>
    <row r="20599" spans="6:6" x14ac:dyDescent="0.3">
      <c r="F20599" s="193"/>
    </row>
    <row r="20600" spans="6:6" x14ac:dyDescent="0.3">
      <c r="F20600" s="193"/>
    </row>
    <row r="20601" spans="6:6" x14ac:dyDescent="0.3">
      <c r="F20601" s="193"/>
    </row>
    <row r="20602" spans="6:6" x14ac:dyDescent="0.3">
      <c r="F20602" s="193"/>
    </row>
    <row r="20603" spans="6:6" x14ac:dyDescent="0.3">
      <c r="F20603" s="193"/>
    </row>
    <row r="20604" spans="6:6" x14ac:dyDescent="0.3">
      <c r="F20604" s="193"/>
    </row>
    <row r="20605" spans="6:6" x14ac:dyDescent="0.3">
      <c r="F20605" s="193"/>
    </row>
    <row r="20606" spans="6:6" x14ac:dyDescent="0.3">
      <c r="F20606" s="193"/>
    </row>
    <row r="20607" spans="6:6" x14ac:dyDescent="0.3">
      <c r="F20607" s="193"/>
    </row>
    <row r="20608" spans="6:6" x14ac:dyDescent="0.3">
      <c r="F20608" s="193"/>
    </row>
    <row r="20609" spans="6:6" x14ac:dyDescent="0.3">
      <c r="F20609" s="193"/>
    </row>
    <row r="20610" spans="6:6" x14ac:dyDescent="0.3">
      <c r="F20610" s="193"/>
    </row>
    <row r="20611" spans="6:6" x14ac:dyDescent="0.3">
      <c r="F20611" s="193"/>
    </row>
    <row r="20612" spans="6:6" x14ac:dyDescent="0.3">
      <c r="F20612" s="193"/>
    </row>
    <row r="20613" spans="6:6" x14ac:dyDescent="0.3">
      <c r="F20613" s="193"/>
    </row>
    <row r="20614" spans="6:6" x14ac:dyDescent="0.3">
      <c r="F20614" s="193"/>
    </row>
    <row r="20615" spans="6:6" x14ac:dyDescent="0.3">
      <c r="F20615" s="193"/>
    </row>
    <row r="20616" spans="6:6" x14ac:dyDescent="0.3">
      <c r="F20616" s="193"/>
    </row>
    <row r="20617" spans="6:6" x14ac:dyDescent="0.3">
      <c r="F20617" s="193"/>
    </row>
    <row r="20618" spans="6:6" x14ac:dyDescent="0.3">
      <c r="F20618" s="193"/>
    </row>
    <row r="20619" spans="6:6" x14ac:dyDescent="0.3">
      <c r="F20619" s="193"/>
    </row>
    <row r="20620" spans="6:6" x14ac:dyDescent="0.3">
      <c r="F20620" s="193"/>
    </row>
    <row r="20621" spans="6:6" x14ac:dyDescent="0.3">
      <c r="F20621" s="193"/>
    </row>
    <row r="20622" spans="6:6" x14ac:dyDescent="0.3">
      <c r="F20622" s="193"/>
    </row>
    <row r="20623" spans="6:6" x14ac:dyDescent="0.3">
      <c r="F20623" s="193"/>
    </row>
    <row r="20624" spans="6:6" x14ac:dyDescent="0.3">
      <c r="F20624" s="193"/>
    </row>
    <row r="20625" spans="6:6" x14ac:dyDescent="0.3">
      <c r="F20625" s="193"/>
    </row>
    <row r="20626" spans="6:6" x14ac:dyDescent="0.3">
      <c r="F20626" s="193"/>
    </row>
    <row r="20627" spans="6:6" x14ac:dyDescent="0.3">
      <c r="F20627" s="193"/>
    </row>
    <row r="20628" spans="6:6" x14ac:dyDescent="0.3">
      <c r="F20628" s="193"/>
    </row>
    <row r="20629" spans="6:6" x14ac:dyDescent="0.3">
      <c r="F20629" s="193"/>
    </row>
    <row r="20630" spans="6:6" x14ac:dyDescent="0.3">
      <c r="F20630" s="193"/>
    </row>
    <row r="20631" spans="6:6" x14ac:dyDescent="0.3">
      <c r="F20631" s="193"/>
    </row>
    <row r="20632" spans="6:6" x14ac:dyDescent="0.3">
      <c r="F20632" s="193"/>
    </row>
    <row r="20633" spans="6:6" x14ac:dyDescent="0.3">
      <c r="F20633" s="193"/>
    </row>
    <row r="20634" spans="6:6" x14ac:dyDescent="0.3">
      <c r="F20634" s="193"/>
    </row>
    <row r="20635" spans="6:6" x14ac:dyDescent="0.3">
      <c r="F20635" s="193"/>
    </row>
    <row r="20636" spans="6:6" x14ac:dyDescent="0.3">
      <c r="F20636" s="193"/>
    </row>
    <row r="20637" spans="6:6" x14ac:dyDescent="0.3">
      <c r="F20637" s="193"/>
    </row>
    <row r="20638" spans="6:6" x14ac:dyDescent="0.3">
      <c r="F20638" s="193"/>
    </row>
    <row r="20639" spans="6:6" x14ac:dyDescent="0.3">
      <c r="F20639" s="193"/>
    </row>
    <row r="20640" spans="6:6" x14ac:dyDescent="0.3">
      <c r="F20640" s="193"/>
    </row>
    <row r="20641" spans="6:6" x14ac:dyDescent="0.3">
      <c r="F20641" s="193"/>
    </row>
    <row r="20642" spans="6:6" x14ac:dyDescent="0.3">
      <c r="F20642" s="193"/>
    </row>
    <row r="20643" spans="6:6" x14ac:dyDescent="0.3">
      <c r="F20643" s="193"/>
    </row>
    <row r="20644" spans="6:6" x14ac:dyDescent="0.3">
      <c r="F20644" s="193"/>
    </row>
    <row r="20645" spans="6:6" x14ac:dyDescent="0.3">
      <c r="F20645" s="193"/>
    </row>
    <row r="20646" spans="6:6" x14ac:dyDescent="0.3">
      <c r="F20646" s="193"/>
    </row>
    <row r="20647" spans="6:6" x14ac:dyDescent="0.3">
      <c r="F20647" s="193"/>
    </row>
    <row r="20648" spans="6:6" x14ac:dyDescent="0.3">
      <c r="F20648" s="193"/>
    </row>
    <row r="20649" spans="6:6" x14ac:dyDescent="0.3">
      <c r="F20649" s="193"/>
    </row>
    <row r="20650" spans="6:6" x14ac:dyDescent="0.3">
      <c r="F20650" s="193"/>
    </row>
    <row r="20651" spans="6:6" x14ac:dyDescent="0.3">
      <c r="F20651" s="193"/>
    </row>
    <row r="20652" spans="6:6" x14ac:dyDescent="0.3">
      <c r="F20652" s="193"/>
    </row>
    <row r="20653" spans="6:6" x14ac:dyDescent="0.3">
      <c r="F20653" s="193"/>
    </row>
    <row r="20654" spans="6:6" x14ac:dyDescent="0.3">
      <c r="F20654" s="193"/>
    </row>
    <row r="20655" spans="6:6" x14ac:dyDescent="0.3">
      <c r="F20655" s="193"/>
    </row>
    <row r="20656" spans="6:6" x14ac:dyDescent="0.3">
      <c r="F20656" s="193"/>
    </row>
    <row r="20657" spans="6:6" x14ac:dyDescent="0.3">
      <c r="F20657" s="193"/>
    </row>
    <row r="20658" spans="6:6" x14ac:dyDescent="0.3">
      <c r="F20658" s="193"/>
    </row>
    <row r="20659" spans="6:6" x14ac:dyDescent="0.3">
      <c r="F20659" s="193"/>
    </row>
    <row r="20660" spans="6:6" x14ac:dyDescent="0.3">
      <c r="F20660" s="193"/>
    </row>
    <row r="20661" spans="6:6" x14ac:dyDescent="0.3">
      <c r="F20661" s="193"/>
    </row>
    <row r="20662" spans="6:6" x14ac:dyDescent="0.3">
      <c r="F20662" s="193"/>
    </row>
    <row r="20663" spans="6:6" x14ac:dyDescent="0.3">
      <c r="F20663" s="193"/>
    </row>
    <row r="20664" spans="6:6" x14ac:dyDescent="0.3">
      <c r="F20664" s="193"/>
    </row>
    <row r="20665" spans="6:6" x14ac:dyDescent="0.3">
      <c r="F20665" s="193"/>
    </row>
    <row r="20666" spans="6:6" x14ac:dyDescent="0.3">
      <c r="F20666" s="193"/>
    </row>
    <row r="20667" spans="6:6" x14ac:dyDescent="0.3">
      <c r="F20667" s="193"/>
    </row>
    <row r="20668" spans="6:6" x14ac:dyDescent="0.3">
      <c r="F20668" s="193"/>
    </row>
    <row r="20669" spans="6:6" x14ac:dyDescent="0.3">
      <c r="F20669" s="193"/>
    </row>
    <row r="20670" spans="6:6" x14ac:dyDescent="0.3">
      <c r="F20670" s="193"/>
    </row>
    <row r="20671" spans="6:6" x14ac:dyDescent="0.3">
      <c r="F20671" s="193"/>
    </row>
    <row r="20672" spans="6:6" x14ac:dyDescent="0.3">
      <c r="F20672" s="193"/>
    </row>
    <row r="20673" spans="6:6" x14ac:dyDescent="0.3">
      <c r="F20673" s="193"/>
    </row>
    <row r="20674" spans="6:6" x14ac:dyDescent="0.3">
      <c r="F20674" s="193"/>
    </row>
    <row r="20675" spans="6:6" x14ac:dyDescent="0.3">
      <c r="F20675" s="193"/>
    </row>
    <row r="20676" spans="6:6" x14ac:dyDescent="0.3">
      <c r="F20676" s="193"/>
    </row>
    <row r="20677" spans="6:6" x14ac:dyDescent="0.3">
      <c r="F20677" s="193"/>
    </row>
    <row r="20678" spans="6:6" x14ac:dyDescent="0.3">
      <c r="F20678" s="193"/>
    </row>
    <row r="20679" spans="6:6" x14ac:dyDescent="0.3">
      <c r="F20679" s="193"/>
    </row>
    <row r="20680" spans="6:6" x14ac:dyDescent="0.3">
      <c r="F20680" s="193"/>
    </row>
    <row r="20681" spans="6:6" x14ac:dyDescent="0.3">
      <c r="F20681" s="193"/>
    </row>
    <row r="20682" spans="6:6" x14ac:dyDescent="0.3">
      <c r="F20682" s="193"/>
    </row>
    <row r="20683" spans="6:6" x14ac:dyDescent="0.3">
      <c r="F20683" s="193"/>
    </row>
    <row r="20684" spans="6:6" x14ac:dyDescent="0.3">
      <c r="F20684" s="193"/>
    </row>
    <row r="20685" spans="6:6" x14ac:dyDescent="0.3">
      <c r="F20685" s="193"/>
    </row>
    <row r="20686" spans="6:6" x14ac:dyDescent="0.3">
      <c r="F20686" s="193"/>
    </row>
    <row r="20687" spans="6:6" x14ac:dyDescent="0.3">
      <c r="F20687" s="193"/>
    </row>
    <row r="20688" spans="6:6" x14ac:dyDescent="0.3">
      <c r="F20688" s="193"/>
    </row>
    <row r="20689" spans="6:6" x14ac:dyDescent="0.3">
      <c r="F20689" s="193"/>
    </row>
    <row r="20690" spans="6:6" x14ac:dyDescent="0.3">
      <c r="F20690" s="193"/>
    </row>
    <row r="20691" spans="6:6" x14ac:dyDescent="0.3">
      <c r="F20691" s="193"/>
    </row>
    <row r="20692" spans="6:6" x14ac:dyDescent="0.3">
      <c r="F20692" s="193"/>
    </row>
    <row r="20693" spans="6:6" x14ac:dyDescent="0.3">
      <c r="F20693" s="193"/>
    </row>
    <row r="20694" spans="6:6" x14ac:dyDescent="0.3">
      <c r="F20694" s="193"/>
    </row>
    <row r="20695" spans="6:6" x14ac:dyDescent="0.3">
      <c r="F20695" s="193"/>
    </row>
    <row r="20696" spans="6:6" x14ac:dyDescent="0.3">
      <c r="F20696" s="193"/>
    </row>
    <row r="20697" spans="6:6" x14ac:dyDescent="0.3">
      <c r="F20697" s="193"/>
    </row>
    <row r="20698" spans="6:6" x14ac:dyDescent="0.3">
      <c r="F20698" s="193"/>
    </row>
    <row r="20699" spans="6:6" x14ac:dyDescent="0.3">
      <c r="F20699" s="193"/>
    </row>
    <row r="20700" spans="6:6" x14ac:dyDescent="0.3">
      <c r="F20700" s="193"/>
    </row>
    <row r="20701" spans="6:6" x14ac:dyDescent="0.3">
      <c r="F20701" s="193"/>
    </row>
    <row r="20702" spans="6:6" x14ac:dyDescent="0.3">
      <c r="F20702" s="193"/>
    </row>
    <row r="20703" spans="6:6" x14ac:dyDescent="0.3">
      <c r="F20703" s="193"/>
    </row>
    <row r="20704" spans="6:6" x14ac:dyDescent="0.3">
      <c r="F20704" s="193"/>
    </row>
    <row r="20705" spans="6:6" x14ac:dyDescent="0.3">
      <c r="F20705" s="193"/>
    </row>
    <row r="20706" spans="6:6" x14ac:dyDescent="0.3">
      <c r="F20706" s="193"/>
    </row>
    <row r="20707" spans="6:6" x14ac:dyDescent="0.3">
      <c r="F20707" s="193"/>
    </row>
    <row r="20708" spans="6:6" x14ac:dyDescent="0.3">
      <c r="F20708" s="193"/>
    </row>
    <row r="20709" spans="6:6" x14ac:dyDescent="0.3">
      <c r="F20709" s="193"/>
    </row>
    <row r="20710" spans="6:6" x14ac:dyDescent="0.3">
      <c r="F20710" s="193"/>
    </row>
    <row r="20711" spans="6:6" x14ac:dyDescent="0.3">
      <c r="F20711" s="193"/>
    </row>
    <row r="20712" spans="6:6" x14ac:dyDescent="0.3">
      <c r="F20712" s="193"/>
    </row>
    <row r="20713" spans="6:6" x14ac:dyDescent="0.3">
      <c r="F20713" s="193"/>
    </row>
    <row r="20714" spans="6:6" x14ac:dyDescent="0.3">
      <c r="F20714" s="193"/>
    </row>
    <row r="20715" spans="6:6" x14ac:dyDescent="0.3">
      <c r="F20715" s="193"/>
    </row>
    <row r="20716" spans="6:6" x14ac:dyDescent="0.3">
      <c r="F20716" s="193"/>
    </row>
    <row r="20717" spans="6:6" x14ac:dyDescent="0.3">
      <c r="F20717" s="193"/>
    </row>
    <row r="20718" spans="6:6" x14ac:dyDescent="0.3">
      <c r="F20718" s="193"/>
    </row>
    <row r="20719" spans="6:6" x14ac:dyDescent="0.3">
      <c r="F20719" s="193"/>
    </row>
    <row r="20720" spans="6:6" x14ac:dyDescent="0.3">
      <c r="F20720" s="193"/>
    </row>
    <row r="20721" spans="6:6" x14ac:dyDescent="0.3">
      <c r="F20721" s="193"/>
    </row>
    <row r="20722" spans="6:6" x14ac:dyDescent="0.3">
      <c r="F20722" s="193"/>
    </row>
    <row r="20723" spans="6:6" x14ac:dyDescent="0.3">
      <c r="F20723" s="193"/>
    </row>
    <row r="20724" spans="6:6" x14ac:dyDescent="0.3">
      <c r="F20724" s="193"/>
    </row>
    <row r="20725" spans="6:6" x14ac:dyDescent="0.3">
      <c r="F20725" s="193"/>
    </row>
    <row r="20726" spans="6:6" x14ac:dyDescent="0.3">
      <c r="F20726" s="193"/>
    </row>
    <row r="20727" spans="6:6" x14ac:dyDescent="0.3">
      <c r="F20727" s="193"/>
    </row>
    <row r="20728" spans="6:6" x14ac:dyDescent="0.3">
      <c r="F20728" s="193"/>
    </row>
    <row r="20729" spans="6:6" x14ac:dyDescent="0.3">
      <c r="F20729" s="193"/>
    </row>
    <row r="20730" spans="6:6" x14ac:dyDescent="0.3">
      <c r="F20730" s="193"/>
    </row>
    <row r="20731" spans="6:6" x14ac:dyDescent="0.3">
      <c r="F20731" s="193"/>
    </row>
    <row r="20732" spans="6:6" x14ac:dyDescent="0.3">
      <c r="F20732" s="193"/>
    </row>
    <row r="20733" spans="6:6" x14ac:dyDescent="0.3">
      <c r="F20733" s="193"/>
    </row>
    <row r="20734" spans="6:6" x14ac:dyDescent="0.3">
      <c r="F20734" s="193"/>
    </row>
    <row r="20735" spans="6:6" x14ac:dyDescent="0.3">
      <c r="F20735" s="193"/>
    </row>
    <row r="20736" spans="6:6" x14ac:dyDescent="0.3">
      <c r="F20736" s="193"/>
    </row>
    <row r="20737" spans="6:6" x14ac:dyDescent="0.3">
      <c r="F20737" s="193"/>
    </row>
    <row r="20738" spans="6:6" x14ac:dyDescent="0.3">
      <c r="F20738" s="193"/>
    </row>
    <row r="20739" spans="6:6" x14ac:dyDescent="0.3">
      <c r="F20739" s="193"/>
    </row>
    <row r="20740" spans="6:6" x14ac:dyDescent="0.3">
      <c r="F20740" s="193"/>
    </row>
    <row r="20741" spans="6:6" x14ac:dyDescent="0.3">
      <c r="F20741" s="193"/>
    </row>
    <row r="20742" spans="6:6" x14ac:dyDescent="0.3">
      <c r="F20742" s="193"/>
    </row>
    <row r="20743" spans="6:6" x14ac:dyDescent="0.3">
      <c r="F20743" s="193"/>
    </row>
    <row r="20744" spans="6:6" x14ac:dyDescent="0.3">
      <c r="F20744" s="193"/>
    </row>
    <row r="20745" spans="6:6" x14ac:dyDescent="0.3">
      <c r="F20745" s="193"/>
    </row>
    <row r="20746" spans="6:6" x14ac:dyDescent="0.3">
      <c r="F20746" s="193"/>
    </row>
    <row r="20747" spans="6:6" x14ac:dyDescent="0.3">
      <c r="F20747" s="193"/>
    </row>
    <row r="20748" spans="6:6" x14ac:dyDescent="0.3">
      <c r="F20748" s="193"/>
    </row>
    <row r="20749" spans="6:6" x14ac:dyDescent="0.3">
      <c r="F20749" s="193"/>
    </row>
    <row r="20750" spans="6:6" x14ac:dyDescent="0.3">
      <c r="F20750" s="193"/>
    </row>
    <row r="20751" spans="6:6" x14ac:dyDescent="0.3">
      <c r="F20751" s="193"/>
    </row>
    <row r="20752" spans="6:6" x14ac:dyDescent="0.3">
      <c r="F20752" s="193"/>
    </row>
    <row r="20753" spans="6:6" x14ac:dyDescent="0.3">
      <c r="F20753" s="193"/>
    </row>
    <row r="20754" spans="6:6" x14ac:dyDescent="0.3">
      <c r="F20754" s="193"/>
    </row>
    <row r="20755" spans="6:6" x14ac:dyDescent="0.3">
      <c r="F20755" s="193"/>
    </row>
    <row r="20756" spans="6:6" x14ac:dyDescent="0.3">
      <c r="F20756" s="193"/>
    </row>
    <row r="20757" spans="6:6" x14ac:dyDescent="0.3">
      <c r="F20757" s="193"/>
    </row>
    <row r="20758" spans="6:6" x14ac:dyDescent="0.3">
      <c r="F20758" s="193"/>
    </row>
    <row r="20759" spans="6:6" x14ac:dyDescent="0.3">
      <c r="F20759" s="193"/>
    </row>
    <row r="20760" spans="6:6" x14ac:dyDescent="0.3">
      <c r="F20760" s="193"/>
    </row>
    <row r="20761" spans="6:6" x14ac:dyDescent="0.3">
      <c r="F20761" s="193"/>
    </row>
    <row r="20762" spans="6:6" x14ac:dyDescent="0.3">
      <c r="F20762" s="193"/>
    </row>
    <row r="20763" spans="6:6" x14ac:dyDescent="0.3">
      <c r="F20763" s="193"/>
    </row>
    <row r="20764" spans="6:6" x14ac:dyDescent="0.3">
      <c r="F20764" s="193"/>
    </row>
    <row r="20765" spans="6:6" x14ac:dyDescent="0.3">
      <c r="F20765" s="193"/>
    </row>
    <row r="20766" spans="6:6" x14ac:dyDescent="0.3">
      <c r="F20766" s="193"/>
    </row>
    <row r="20767" spans="6:6" x14ac:dyDescent="0.3">
      <c r="F20767" s="193"/>
    </row>
    <row r="20768" spans="6:6" x14ac:dyDescent="0.3">
      <c r="F20768" s="193"/>
    </row>
    <row r="20769" spans="6:6" x14ac:dyDescent="0.3">
      <c r="F20769" s="193"/>
    </row>
    <row r="20770" spans="6:6" x14ac:dyDescent="0.3">
      <c r="F20770" s="193"/>
    </row>
    <row r="20771" spans="6:6" x14ac:dyDescent="0.3">
      <c r="F20771" s="193"/>
    </row>
    <row r="20772" spans="6:6" x14ac:dyDescent="0.3">
      <c r="F20772" s="193"/>
    </row>
    <row r="20773" spans="6:6" x14ac:dyDescent="0.3">
      <c r="F20773" s="193"/>
    </row>
    <row r="20774" spans="6:6" x14ac:dyDescent="0.3">
      <c r="F20774" s="193"/>
    </row>
    <row r="20775" spans="6:6" x14ac:dyDescent="0.3">
      <c r="F20775" s="193"/>
    </row>
    <row r="20776" spans="6:6" x14ac:dyDescent="0.3">
      <c r="F20776" s="193"/>
    </row>
    <row r="20777" spans="6:6" x14ac:dyDescent="0.3">
      <c r="F20777" s="193"/>
    </row>
    <row r="20778" spans="6:6" x14ac:dyDescent="0.3">
      <c r="F20778" s="193"/>
    </row>
    <row r="20779" spans="6:6" x14ac:dyDescent="0.3">
      <c r="F20779" s="193"/>
    </row>
    <row r="20780" spans="6:6" x14ac:dyDescent="0.3">
      <c r="F20780" s="193"/>
    </row>
    <row r="20781" spans="6:6" x14ac:dyDescent="0.3">
      <c r="F20781" s="193"/>
    </row>
    <row r="20782" spans="6:6" x14ac:dyDescent="0.3">
      <c r="F20782" s="193"/>
    </row>
    <row r="20783" spans="6:6" x14ac:dyDescent="0.3">
      <c r="F20783" s="193"/>
    </row>
    <row r="20784" spans="6:6" x14ac:dyDescent="0.3">
      <c r="F20784" s="193"/>
    </row>
    <row r="20785" spans="6:6" x14ac:dyDescent="0.3">
      <c r="F20785" s="193"/>
    </row>
    <row r="20786" spans="6:6" x14ac:dyDescent="0.3">
      <c r="F20786" s="193"/>
    </row>
    <row r="20787" spans="6:6" x14ac:dyDescent="0.3">
      <c r="F20787" s="193"/>
    </row>
    <row r="20788" spans="6:6" x14ac:dyDescent="0.3">
      <c r="F20788" s="193"/>
    </row>
    <row r="20789" spans="6:6" x14ac:dyDescent="0.3">
      <c r="F20789" s="193"/>
    </row>
    <row r="20790" spans="6:6" x14ac:dyDescent="0.3">
      <c r="F20790" s="193"/>
    </row>
    <row r="20791" spans="6:6" x14ac:dyDescent="0.3">
      <c r="F20791" s="193"/>
    </row>
    <row r="20792" spans="6:6" x14ac:dyDescent="0.3">
      <c r="F20792" s="193"/>
    </row>
    <row r="20793" spans="6:6" x14ac:dyDescent="0.3">
      <c r="F20793" s="193"/>
    </row>
    <row r="20794" spans="6:6" x14ac:dyDescent="0.3">
      <c r="F20794" s="193"/>
    </row>
    <row r="20795" spans="6:6" x14ac:dyDescent="0.3">
      <c r="F20795" s="193"/>
    </row>
    <row r="20796" spans="6:6" x14ac:dyDescent="0.3">
      <c r="F20796" s="193"/>
    </row>
    <row r="20797" spans="6:6" x14ac:dyDescent="0.3">
      <c r="F20797" s="193"/>
    </row>
    <row r="20798" spans="6:6" x14ac:dyDescent="0.3">
      <c r="F20798" s="193"/>
    </row>
    <row r="20799" spans="6:6" x14ac:dyDescent="0.3">
      <c r="F20799" s="193"/>
    </row>
    <row r="20800" spans="6:6" x14ac:dyDescent="0.3">
      <c r="F20800" s="193"/>
    </row>
    <row r="20801" spans="6:6" x14ac:dyDescent="0.3">
      <c r="F20801" s="193"/>
    </row>
    <row r="20802" spans="6:6" x14ac:dyDescent="0.3">
      <c r="F20802" s="193"/>
    </row>
    <row r="20803" spans="6:6" x14ac:dyDescent="0.3">
      <c r="F20803" s="193"/>
    </row>
    <row r="20804" spans="6:6" x14ac:dyDescent="0.3">
      <c r="F20804" s="193"/>
    </row>
    <row r="20805" spans="6:6" x14ac:dyDescent="0.3">
      <c r="F20805" s="193"/>
    </row>
    <row r="20806" spans="6:6" x14ac:dyDescent="0.3">
      <c r="F20806" s="193"/>
    </row>
    <row r="20807" spans="6:6" x14ac:dyDescent="0.3">
      <c r="F20807" s="193"/>
    </row>
    <row r="20808" spans="6:6" x14ac:dyDescent="0.3">
      <c r="F20808" s="193"/>
    </row>
    <row r="20809" spans="6:6" x14ac:dyDescent="0.3">
      <c r="F20809" s="193"/>
    </row>
    <row r="20810" spans="6:6" x14ac:dyDescent="0.3">
      <c r="F20810" s="193"/>
    </row>
    <row r="20811" spans="6:6" x14ac:dyDescent="0.3">
      <c r="F20811" s="193"/>
    </row>
    <row r="20812" spans="6:6" x14ac:dyDescent="0.3">
      <c r="F20812" s="193"/>
    </row>
    <row r="20813" spans="6:6" x14ac:dyDescent="0.3">
      <c r="F20813" s="193"/>
    </row>
    <row r="20814" spans="6:6" x14ac:dyDescent="0.3">
      <c r="F20814" s="193"/>
    </row>
    <row r="20815" spans="6:6" x14ac:dyDescent="0.3">
      <c r="F20815" s="193"/>
    </row>
    <row r="20816" spans="6:6" x14ac:dyDescent="0.3">
      <c r="F20816" s="193"/>
    </row>
    <row r="20817" spans="6:6" x14ac:dyDescent="0.3">
      <c r="F20817" s="193"/>
    </row>
    <row r="20818" spans="6:6" x14ac:dyDescent="0.3">
      <c r="F20818" s="193"/>
    </row>
    <row r="20819" spans="6:6" x14ac:dyDescent="0.3">
      <c r="F20819" s="193"/>
    </row>
    <row r="20820" spans="6:6" x14ac:dyDescent="0.3">
      <c r="F20820" s="193"/>
    </row>
    <row r="20821" spans="6:6" x14ac:dyDescent="0.3">
      <c r="F20821" s="193"/>
    </row>
    <row r="20822" spans="6:6" x14ac:dyDescent="0.3">
      <c r="F20822" s="193"/>
    </row>
    <row r="20823" spans="6:6" x14ac:dyDescent="0.3">
      <c r="F20823" s="193"/>
    </row>
    <row r="20824" spans="6:6" x14ac:dyDescent="0.3">
      <c r="F20824" s="193"/>
    </row>
    <row r="20825" spans="6:6" x14ac:dyDescent="0.3">
      <c r="F20825" s="193"/>
    </row>
    <row r="20826" spans="6:6" x14ac:dyDescent="0.3">
      <c r="F20826" s="193"/>
    </row>
    <row r="20827" spans="6:6" x14ac:dyDescent="0.3">
      <c r="F20827" s="193"/>
    </row>
    <row r="20828" spans="6:6" x14ac:dyDescent="0.3">
      <c r="F20828" s="193"/>
    </row>
    <row r="20829" spans="6:6" x14ac:dyDescent="0.3">
      <c r="F20829" s="193"/>
    </row>
    <row r="20830" spans="6:6" x14ac:dyDescent="0.3">
      <c r="F20830" s="193"/>
    </row>
    <row r="20831" spans="6:6" x14ac:dyDescent="0.3">
      <c r="F20831" s="193"/>
    </row>
    <row r="20832" spans="6:6" x14ac:dyDescent="0.3">
      <c r="F20832" s="193"/>
    </row>
    <row r="20833" spans="6:6" x14ac:dyDescent="0.3">
      <c r="F20833" s="193"/>
    </row>
    <row r="20834" spans="6:6" x14ac:dyDescent="0.3">
      <c r="F20834" s="193"/>
    </row>
    <row r="20835" spans="6:6" x14ac:dyDescent="0.3">
      <c r="F20835" s="193"/>
    </row>
    <row r="20836" spans="6:6" x14ac:dyDescent="0.3">
      <c r="F20836" s="193"/>
    </row>
    <row r="20837" spans="6:6" x14ac:dyDescent="0.3">
      <c r="F20837" s="193"/>
    </row>
    <row r="20838" spans="6:6" x14ac:dyDescent="0.3">
      <c r="F20838" s="193"/>
    </row>
    <row r="20839" spans="6:6" x14ac:dyDescent="0.3">
      <c r="F20839" s="193"/>
    </row>
    <row r="20840" spans="6:6" x14ac:dyDescent="0.3">
      <c r="F20840" s="193"/>
    </row>
    <row r="20841" spans="6:6" x14ac:dyDescent="0.3">
      <c r="F20841" s="193"/>
    </row>
    <row r="20842" spans="6:6" x14ac:dyDescent="0.3">
      <c r="F20842" s="193"/>
    </row>
    <row r="20843" spans="6:6" x14ac:dyDescent="0.3">
      <c r="F20843" s="193"/>
    </row>
    <row r="20844" spans="6:6" x14ac:dyDescent="0.3">
      <c r="F20844" s="193"/>
    </row>
    <row r="20845" spans="6:6" x14ac:dyDescent="0.3">
      <c r="F20845" s="193"/>
    </row>
    <row r="20846" spans="6:6" x14ac:dyDescent="0.3">
      <c r="F20846" s="193"/>
    </row>
    <row r="20847" spans="6:6" x14ac:dyDescent="0.3">
      <c r="F20847" s="193"/>
    </row>
    <row r="20848" spans="6:6" x14ac:dyDescent="0.3">
      <c r="F20848" s="193"/>
    </row>
    <row r="20849" spans="6:6" x14ac:dyDescent="0.3">
      <c r="F20849" s="193"/>
    </row>
    <row r="20850" spans="6:6" x14ac:dyDescent="0.3">
      <c r="F20850" s="193"/>
    </row>
    <row r="20851" spans="6:6" x14ac:dyDescent="0.3">
      <c r="F20851" s="193"/>
    </row>
    <row r="20852" spans="6:6" x14ac:dyDescent="0.3">
      <c r="F20852" s="193"/>
    </row>
    <row r="20853" spans="6:6" x14ac:dyDescent="0.3">
      <c r="F20853" s="193"/>
    </row>
    <row r="20854" spans="6:6" x14ac:dyDescent="0.3">
      <c r="F20854" s="193"/>
    </row>
    <row r="20855" spans="6:6" x14ac:dyDescent="0.3">
      <c r="F20855" s="193"/>
    </row>
    <row r="20856" spans="6:6" x14ac:dyDescent="0.3">
      <c r="F20856" s="193"/>
    </row>
    <row r="20857" spans="6:6" x14ac:dyDescent="0.3">
      <c r="F20857" s="193"/>
    </row>
    <row r="20858" spans="6:6" x14ac:dyDescent="0.3">
      <c r="F20858" s="193"/>
    </row>
    <row r="20859" spans="6:6" x14ac:dyDescent="0.3">
      <c r="F20859" s="193"/>
    </row>
    <row r="20860" spans="6:6" x14ac:dyDescent="0.3">
      <c r="F20860" s="193"/>
    </row>
    <row r="20861" spans="6:6" x14ac:dyDescent="0.3">
      <c r="F20861" s="193"/>
    </row>
    <row r="20862" spans="6:6" x14ac:dyDescent="0.3">
      <c r="F20862" s="193"/>
    </row>
    <row r="20863" spans="6:6" x14ac:dyDescent="0.3">
      <c r="F20863" s="193"/>
    </row>
    <row r="20864" spans="6:6" x14ac:dyDescent="0.3">
      <c r="F20864" s="193"/>
    </row>
    <row r="20865" spans="6:6" x14ac:dyDescent="0.3">
      <c r="F20865" s="193"/>
    </row>
    <row r="20866" spans="6:6" x14ac:dyDescent="0.3">
      <c r="F20866" s="193"/>
    </row>
    <row r="20867" spans="6:6" x14ac:dyDescent="0.3">
      <c r="F20867" s="193"/>
    </row>
    <row r="20868" spans="6:6" x14ac:dyDescent="0.3">
      <c r="F20868" s="193"/>
    </row>
    <row r="20869" spans="6:6" x14ac:dyDescent="0.3">
      <c r="F20869" s="193"/>
    </row>
    <row r="20870" spans="6:6" x14ac:dyDescent="0.3">
      <c r="F20870" s="193"/>
    </row>
    <row r="20871" spans="6:6" x14ac:dyDescent="0.3">
      <c r="F20871" s="193"/>
    </row>
    <row r="20872" spans="6:6" x14ac:dyDescent="0.3">
      <c r="F20872" s="193"/>
    </row>
    <row r="20873" spans="6:6" x14ac:dyDescent="0.3">
      <c r="F20873" s="193"/>
    </row>
    <row r="20874" spans="6:6" x14ac:dyDescent="0.3">
      <c r="F20874" s="193"/>
    </row>
    <row r="20875" spans="6:6" x14ac:dyDescent="0.3">
      <c r="F20875" s="193"/>
    </row>
    <row r="20876" spans="6:6" x14ac:dyDescent="0.3">
      <c r="F20876" s="193"/>
    </row>
    <row r="20877" spans="6:6" x14ac:dyDescent="0.3">
      <c r="F20877" s="193"/>
    </row>
    <row r="20878" spans="6:6" x14ac:dyDescent="0.3">
      <c r="F20878" s="193"/>
    </row>
    <row r="20879" spans="6:6" x14ac:dyDescent="0.3">
      <c r="F20879" s="193"/>
    </row>
    <row r="20880" spans="6:6" x14ac:dyDescent="0.3">
      <c r="F20880" s="193"/>
    </row>
    <row r="20881" spans="6:6" x14ac:dyDescent="0.3">
      <c r="F20881" s="193"/>
    </row>
    <row r="20882" spans="6:6" x14ac:dyDescent="0.3">
      <c r="F20882" s="193"/>
    </row>
    <row r="20883" spans="6:6" x14ac:dyDescent="0.3">
      <c r="F20883" s="193"/>
    </row>
    <row r="20884" spans="6:6" x14ac:dyDescent="0.3">
      <c r="F20884" s="193"/>
    </row>
    <row r="20885" spans="6:6" x14ac:dyDescent="0.3">
      <c r="F20885" s="193"/>
    </row>
    <row r="20886" spans="6:6" x14ac:dyDescent="0.3">
      <c r="F20886" s="193"/>
    </row>
    <row r="20887" spans="6:6" x14ac:dyDescent="0.3">
      <c r="F20887" s="193"/>
    </row>
    <row r="20888" spans="6:6" x14ac:dyDescent="0.3">
      <c r="F20888" s="193"/>
    </row>
    <row r="20889" spans="6:6" x14ac:dyDescent="0.3">
      <c r="F20889" s="193"/>
    </row>
    <row r="20890" spans="6:6" x14ac:dyDescent="0.3">
      <c r="F20890" s="193"/>
    </row>
    <row r="20891" spans="6:6" x14ac:dyDescent="0.3">
      <c r="F20891" s="193"/>
    </row>
    <row r="20892" spans="6:6" x14ac:dyDescent="0.3">
      <c r="F20892" s="193"/>
    </row>
    <row r="20893" spans="6:6" x14ac:dyDescent="0.3">
      <c r="F20893" s="193"/>
    </row>
    <row r="20894" spans="6:6" x14ac:dyDescent="0.3">
      <c r="F20894" s="193"/>
    </row>
    <row r="20895" spans="6:6" x14ac:dyDescent="0.3">
      <c r="F20895" s="193"/>
    </row>
    <row r="20896" spans="6:6" x14ac:dyDescent="0.3">
      <c r="F20896" s="193"/>
    </row>
    <row r="20897" spans="6:6" x14ac:dyDescent="0.3">
      <c r="F20897" s="193"/>
    </row>
    <row r="20898" spans="6:6" x14ac:dyDescent="0.3">
      <c r="F20898" s="193"/>
    </row>
    <row r="20899" spans="6:6" x14ac:dyDescent="0.3">
      <c r="F20899" s="193"/>
    </row>
    <row r="20900" spans="6:6" x14ac:dyDescent="0.3">
      <c r="F20900" s="193"/>
    </row>
    <row r="20901" spans="6:6" x14ac:dyDescent="0.3">
      <c r="F20901" s="193"/>
    </row>
    <row r="20902" spans="6:6" x14ac:dyDescent="0.3">
      <c r="F20902" s="193"/>
    </row>
    <row r="20903" spans="6:6" x14ac:dyDescent="0.3">
      <c r="F20903" s="193"/>
    </row>
    <row r="20904" spans="6:6" x14ac:dyDescent="0.3">
      <c r="F20904" s="193"/>
    </row>
    <row r="20905" spans="6:6" x14ac:dyDescent="0.3">
      <c r="F20905" s="193"/>
    </row>
    <row r="20906" spans="6:6" x14ac:dyDescent="0.3">
      <c r="F20906" s="193"/>
    </row>
    <row r="20907" spans="6:6" x14ac:dyDescent="0.3">
      <c r="F20907" s="193"/>
    </row>
    <row r="20908" spans="6:6" x14ac:dyDescent="0.3">
      <c r="F20908" s="193"/>
    </row>
    <row r="20909" spans="6:6" x14ac:dyDescent="0.3">
      <c r="F20909" s="193"/>
    </row>
    <row r="20910" spans="6:6" x14ac:dyDescent="0.3">
      <c r="F20910" s="193"/>
    </row>
    <row r="20911" spans="6:6" x14ac:dyDescent="0.3">
      <c r="F20911" s="193"/>
    </row>
    <row r="20912" spans="6:6" x14ac:dyDescent="0.3">
      <c r="F20912" s="193"/>
    </row>
    <row r="20913" spans="6:6" x14ac:dyDescent="0.3">
      <c r="F20913" s="193"/>
    </row>
    <row r="20914" spans="6:6" x14ac:dyDescent="0.3">
      <c r="F20914" s="193"/>
    </row>
    <row r="20915" spans="6:6" x14ac:dyDescent="0.3">
      <c r="F20915" s="193"/>
    </row>
    <row r="20916" spans="6:6" x14ac:dyDescent="0.3">
      <c r="F20916" s="193"/>
    </row>
    <row r="20917" spans="6:6" x14ac:dyDescent="0.3">
      <c r="F20917" s="193"/>
    </row>
    <row r="20918" spans="6:6" x14ac:dyDescent="0.3">
      <c r="F20918" s="193"/>
    </row>
    <row r="20919" spans="6:6" x14ac:dyDescent="0.3">
      <c r="F20919" s="193"/>
    </row>
    <row r="20920" spans="6:6" x14ac:dyDescent="0.3">
      <c r="F20920" s="193"/>
    </row>
    <row r="20921" spans="6:6" x14ac:dyDescent="0.3">
      <c r="F20921" s="193"/>
    </row>
    <row r="20922" spans="6:6" x14ac:dyDescent="0.3">
      <c r="F20922" s="193"/>
    </row>
    <row r="20923" spans="6:6" x14ac:dyDescent="0.3">
      <c r="F20923" s="193"/>
    </row>
    <row r="20924" spans="6:6" x14ac:dyDescent="0.3">
      <c r="F20924" s="193"/>
    </row>
    <row r="20925" spans="6:6" x14ac:dyDescent="0.3">
      <c r="F20925" s="193"/>
    </row>
    <row r="20926" spans="6:6" x14ac:dyDescent="0.3">
      <c r="F20926" s="193"/>
    </row>
    <row r="20927" spans="6:6" x14ac:dyDescent="0.3">
      <c r="F20927" s="193"/>
    </row>
    <row r="20928" spans="6:6" x14ac:dyDescent="0.3">
      <c r="F20928" s="193"/>
    </row>
    <row r="20929" spans="6:6" x14ac:dyDescent="0.3">
      <c r="F20929" s="193"/>
    </row>
    <row r="20930" spans="6:6" x14ac:dyDescent="0.3">
      <c r="F20930" s="193"/>
    </row>
    <row r="20931" spans="6:6" x14ac:dyDescent="0.3">
      <c r="F20931" s="193"/>
    </row>
    <row r="20932" spans="6:6" x14ac:dyDescent="0.3">
      <c r="F20932" s="193"/>
    </row>
    <row r="20933" spans="6:6" x14ac:dyDescent="0.3">
      <c r="F20933" s="193"/>
    </row>
    <row r="20934" spans="6:6" x14ac:dyDescent="0.3">
      <c r="F20934" s="193"/>
    </row>
    <row r="20935" spans="6:6" x14ac:dyDescent="0.3">
      <c r="F20935" s="193"/>
    </row>
    <row r="20936" spans="6:6" x14ac:dyDescent="0.3">
      <c r="F20936" s="193"/>
    </row>
    <row r="20937" spans="6:6" x14ac:dyDescent="0.3">
      <c r="F20937" s="193"/>
    </row>
    <row r="20938" spans="6:6" x14ac:dyDescent="0.3">
      <c r="F20938" s="193"/>
    </row>
    <row r="20939" spans="6:6" x14ac:dyDescent="0.3">
      <c r="F20939" s="193"/>
    </row>
    <row r="20940" spans="6:6" x14ac:dyDescent="0.3">
      <c r="F20940" s="193"/>
    </row>
    <row r="20941" spans="6:6" x14ac:dyDescent="0.3">
      <c r="F20941" s="193"/>
    </row>
    <row r="20942" spans="6:6" x14ac:dyDescent="0.3">
      <c r="F20942" s="193"/>
    </row>
    <row r="20943" spans="6:6" x14ac:dyDescent="0.3">
      <c r="F20943" s="193"/>
    </row>
    <row r="20944" spans="6:6" x14ac:dyDescent="0.3">
      <c r="F20944" s="193"/>
    </row>
    <row r="20945" spans="6:6" x14ac:dyDescent="0.3">
      <c r="F20945" s="193"/>
    </row>
    <row r="20946" spans="6:6" x14ac:dyDescent="0.3">
      <c r="F20946" s="193"/>
    </row>
    <row r="20947" spans="6:6" x14ac:dyDescent="0.3">
      <c r="F20947" s="193"/>
    </row>
    <row r="20948" spans="6:6" x14ac:dyDescent="0.3">
      <c r="F20948" s="193"/>
    </row>
    <row r="20949" spans="6:6" x14ac:dyDescent="0.3">
      <c r="F20949" s="193"/>
    </row>
    <row r="20950" spans="6:6" x14ac:dyDescent="0.3">
      <c r="F20950" s="193"/>
    </row>
    <row r="20951" spans="6:6" x14ac:dyDescent="0.3">
      <c r="F20951" s="193"/>
    </row>
    <row r="20952" spans="6:6" x14ac:dyDescent="0.3">
      <c r="F20952" s="193"/>
    </row>
    <row r="20953" spans="6:6" x14ac:dyDescent="0.3">
      <c r="F20953" s="193"/>
    </row>
    <row r="20954" spans="6:6" x14ac:dyDescent="0.3">
      <c r="F20954" s="193"/>
    </row>
    <row r="20955" spans="6:6" x14ac:dyDescent="0.3">
      <c r="F20955" s="193"/>
    </row>
    <row r="20956" spans="6:6" x14ac:dyDescent="0.3">
      <c r="F20956" s="193"/>
    </row>
    <row r="20957" spans="6:6" x14ac:dyDescent="0.3">
      <c r="F20957" s="193"/>
    </row>
    <row r="20958" spans="6:6" x14ac:dyDescent="0.3">
      <c r="F20958" s="193"/>
    </row>
    <row r="20959" spans="6:6" x14ac:dyDescent="0.3">
      <c r="F20959" s="193"/>
    </row>
    <row r="20960" spans="6:6" x14ac:dyDescent="0.3">
      <c r="F20960" s="193"/>
    </row>
    <row r="20961" spans="6:6" x14ac:dyDescent="0.3">
      <c r="F20961" s="193"/>
    </row>
    <row r="20962" spans="6:6" x14ac:dyDescent="0.3">
      <c r="F20962" s="193"/>
    </row>
    <row r="20963" spans="6:6" x14ac:dyDescent="0.3">
      <c r="F20963" s="193"/>
    </row>
    <row r="20964" spans="6:6" x14ac:dyDescent="0.3">
      <c r="F20964" s="193"/>
    </row>
    <row r="20965" spans="6:6" x14ac:dyDescent="0.3">
      <c r="F20965" s="193"/>
    </row>
    <row r="20966" spans="6:6" x14ac:dyDescent="0.3">
      <c r="F20966" s="193"/>
    </row>
    <row r="20967" spans="6:6" x14ac:dyDescent="0.3">
      <c r="F20967" s="193"/>
    </row>
    <row r="20968" spans="6:6" x14ac:dyDescent="0.3">
      <c r="F20968" s="193"/>
    </row>
    <row r="20969" spans="6:6" x14ac:dyDescent="0.3">
      <c r="F20969" s="193"/>
    </row>
    <row r="20970" spans="6:6" x14ac:dyDescent="0.3">
      <c r="F20970" s="193"/>
    </row>
    <row r="20971" spans="6:6" x14ac:dyDescent="0.3">
      <c r="F20971" s="193"/>
    </row>
    <row r="20972" spans="6:6" x14ac:dyDescent="0.3">
      <c r="F20972" s="193"/>
    </row>
    <row r="20973" spans="6:6" x14ac:dyDescent="0.3">
      <c r="F20973" s="193"/>
    </row>
    <row r="20974" spans="6:6" x14ac:dyDescent="0.3">
      <c r="F20974" s="193"/>
    </row>
    <row r="20975" spans="6:6" x14ac:dyDescent="0.3">
      <c r="F20975" s="193"/>
    </row>
    <row r="20976" spans="6:6" x14ac:dyDescent="0.3">
      <c r="F20976" s="193"/>
    </row>
    <row r="20977" spans="6:6" x14ac:dyDescent="0.3">
      <c r="F20977" s="193"/>
    </row>
    <row r="20978" spans="6:6" x14ac:dyDescent="0.3">
      <c r="F20978" s="193"/>
    </row>
    <row r="20979" spans="6:6" x14ac:dyDescent="0.3">
      <c r="F20979" s="193"/>
    </row>
    <row r="20980" spans="6:6" x14ac:dyDescent="0.3">
      <c r="F20980" s="193"/>
    </row>
    <row r="20981" spans="6:6" x14ac:dyDescent="0.3">
      <c r="F20981" s="193"/>
    </row>
    <row r="20982" spans="6:6" x14ac:dyDescent="0.3">
      <c r="F20982" s="193"/>
    </row>
    <row r="20983" spans="6:6" x14ac:dyDescent="0.3">
      <c r="F20983" s="193"/>
    </row>
    <row r="20984" spans="6:6" x14ac:dyDescent="0.3">
      <c r="F20984" s="193"/>
    </row>
    <row r="20985" spans="6:6" x14ac:dyDescent="0.3">
      <c r="F20985" s="193"/>
    </row>
    <row r="20986" spans="6:6" x14ac:dyDescent="0.3">
      <c r="F20986" s="193"/>
    </row>
    <row r="20987" spans="6:6" x14ac:dyDescent="0.3">
      <c r="F20987" s="193"/>
    </row>
    <row r="20988" spans="6:6" x14ac:dyDescent="0.3">
      <c r="F20988" s="193"/>
    </row>
    <row r="20989" spans="6:6" x14ac:dyDescent="0.3">
      <c r="F20989" s="193"/>
    </row>
    <row r="20990" spans="6:6" x14ac:dyDescent="0.3">
      <c r="F20990" s="193"/>
    </row>
    <row r="20991" spans="6:6" x14ac:dyDescent="0.3">
      <c r="F20991" s="193"/>
    </row>
    <row r="20992" spans="6:6" x14ac:dyDescent="0.3">
      <c r="F20992" s="193"/>
    </row>
    <row r="20993" spans="6:6" x14ac:dyDescent="0.3">
      <c r="F20993" s="193"/>
    </row>
    <row r="20994" spans="6:6" x14ac:dyDescent="0.3">
      <c r="F20994" s="193"/>
    </row>
    <row r="20995" spans="6:6" x14ac:dyDescent="0.3">
      <c r="F20995" s="193"/>
    </row>
    <row r="20996" spans="6:6" x14ac:dyDescent="0.3">
      <c r="F20996" s="193"/>
    </row>
    <row r="20997" spans="6:6" x14ac:dyDescent="0.3">
      <c r="F20997" s="193"/>
    </row>
    <row r="20998" spans="6:6" x14ac:dyDescent="0.3">
      <c r="F20998" s="193"/>
    </row>
    <row r="20999" spans="6:6" x14ac:dyDescent="0.3">
      <c r="F20999" s="193"/>
    </row>
    <row r="21000" spans="6:6" x14ac:dyDescent="0.3">
      <c r="F21000" s="193"/>
    </row>
    <row r="21001" spans="6:6" x14ac:dyDescent="0.3">
      <c r="F21001" s="193"/>
    </row>
    <row r="21002" spans="6:6" x14ac:dyDescent="0.3">
      <c r="F21002" s="193"/>
    </row>
    <row r="21003" spans="6:6" x14ac:dyDescent="0.3">
      <c r="F21003" s="193"/>
    </row>
    <row r="21004" spans="6:6" x14ac:dyDescent="0.3">
      <c r="F21004" s="193"/>
    </row>
    <row r="21005" spans="6:6" x14ac:dyDescent="0.3">
      <c r="F21005" s="193"/>
    </row>
    <row r="21006" spans="6:6" x14ac:dyDescent="0.3">
      <c r="F21006" s="193"/>
    </row>
    <row r="21007" spans="6:6" x14ac:dyDescent="0.3">
      <c r="F21007" s="193"/>
    </row>
    <row r="21008" spans="6:6" x14ac:dyDescent="0.3">
      <c r="F21008" s="193"/>
    </row>
    <row r="21009" spans="6:6" x14ac:dyDescent="0.3">
      <c r="F21009" s="193"/>
    </row>
    <row r="21010" spans="6:6" x14ac:dyDescent="0.3">
      <c r="F21010" s="193"/>
    </row>
    <row r="21011" spans="6:6" x14ac:dyDescent="0.3">
      <c r="F21011" s="193"/>
    </row>
    <row r="21012" spans="6:6" x14ac:dyDescent="0.3">
      <c r="F21012" s="193"/>
    </row>
    <row r="21013" spans="6:6" x14ac:dyDescent="0.3">
      <c r="F21013" s="193"/>
    </row>
    <row r="21014" spans="6:6" x14ac:dyDescent="0.3">
      <c r="F21014" s="193"/>
    </row>
    <row r="21015" spans="6:6" x14ac:dyDescent="0.3">
      <c r="F21015" s="193"/>
    </row>
    <row r="21016" spans="6:6" x14ac:dyDescent="0.3">
      <c r="F21016" s="193"/>
    </row>
    <row r="21017" spans="6:6" x14ac:dyDescent="0.3">
      <c r="F21017" s="193"/>
    </row>
    <row r="21018" spans="6:6" x14ac:dyDescent="0.3">
      <c r="F21018" s="193"/>
    </row>
    <row r="21019" spans="6:6" x14ac:dyDescent="0.3">
      <c r="F21019" s="193"/>
    </row>
    <row r="21020" spans="6:6" x14ac:dyDescent="0.3">
      <c r="F21020" s="193"/>
    </row>
    <row r="21021" spans="6:6" x14ac:dyDescent="0.3">
      <c r="F21021" s="193"/>
    </row>
    <row r="21022" spans="6:6" x14ac:dyDescent="0.3">
      <c r="F21022" s="193"/>
    </row>
    <row r="21023" spans="6:6" x14ac:dyDescent="0.3">
      <c r="F21023" s="193"/>
    </row>
    <row r="21024" spans="6:6" x14ac:dyDescent="0.3">
      <c r="F21024" s="193"/>
    </row>
    <row r="21025" spans="6:6" x14ac:dyDescent="0.3">
      <c r="F21025" s="193"/>
    </row>
    <row r="21026" spans="6:6" x14ac:dyDescent="0.3">
      <c r="F21026" s="193"/>
    </row>
    <row r="21027" spans="6:6" x14ac:dyDescent="0.3">
      <c r="F21027" s="193"/>
    </row>
    <row r="21028" spans="6:6" x14ac:dyDescent="0.3">
      <c r="F21028" s="193"/>
    </row>
    <row r="21029" spans="6:6" x14ac:dyDescent="0.3">
      <c r="F21029" s="193"/>
    </row>
    <row r="21030" spans="6:6" x14ac:dyDescent="0.3">
      <c r="F21030" s="193"/>
    </row>
    <row r="21031" spans="6:6" x14ac:dyDescent="0.3">
      <c r="F21031" s="193"/>
    </row>
    <row r="21032" spans="6:6" x14ac:dyDescent="0.3">
      <c r="F21032" s="193"/>
    </row>
    <row r="21033" spans="6:6" x14ac:dyDescent="0.3">
      <c r="F21033" s="193"/>
    </row>
    <row r="21034" spans="6:6" x14ac:dyDescent="0.3">
      <c r="F21034" s="193"/>
    </row>
    <row r="21035" spans="6:6" x14ac:dyDescent="0.3">
      <c r="F21035" s="193"/>
    </row>
    <row r="21036" spans="6:6" x14ac:dyDescent="0.3">
      <c r="F21036" s="193"/>
    </row>
    <row r="21037" spans="6:6" x14ac:dyDescent="0.3">
      <c r="F21037" s="193"/>
    </row>
    <row r="21038" spans="6:6" x14ac:dyDescent="0.3">
      <c r="F21038" s="193"/>
    </row>
    <row r="21039" spans="6:6" x14ac:dyDescent="0.3">
      <c r="F21039" s="193"/>
    </row>
    <row r="21040" spans="6:6" x14ac:dyDescent="0.3">
      <c r="F21040" s="193"/>
    </row>
    <row r="21041" spans="6:6" x14ac:dyDescent="0.3">
      <c r="F21041" s="193"/>
    </row>
    <row r="21042" spans="6:6" x14ac:dyDescent="0.3">
      <c r="F21042" s="193"/>
    </row>
    <row r="21043" spans="6:6" x14ac:dyDescent="0.3">
      <c r="F21043" s="193"/>
    </row>
    <row r="21044" spans="6:6" x14ac:dyDescent="0.3">
      <c r="F21044" s="193"/>
    </row>
    <row r="21045" spans="6:6" x14ac:dyDescent="0.3">
      <c r="F21045" s="193"/>
    </row>
    <row r="21046" spans="6:6" x14ac:dyDescent="0.3">
      <c r="F21046" s="193"/>
    </row>
    <row r="21047" spans="6:6" x14ac:dyDescent="0.3">
      <c r="F21047" s="193"/>
    </row>
    <row r="21048" spans="6:6" x14ac:dyDescent="0.3">
      <c r="F21048" s="193"/>
    </row>
    <row r="21049" spans="6:6" x14ac:dyDescent="0.3">
      <c r="F21049" s="193"/>
    </row>
    <row r="21050" spans="6:6" x14ac:dyDescent="0.3">
      <c r="F21050" s="193"/>
    </row>
    <row r="21051" spans="6:6" x14ac:dyDescent="0.3">
      <c r="F21051" s="193"/>
    </row>
    <row r="21052" spans="6:6" x14ac:dyDescent="0.3">
      <c r="F21052" s="193"/>
    </row>
    <row r="21053" spans="6:6" x14ac:dyDescent="0.3">
      <c r="F21053" s="193"/>
    </row>
    <row r="21054" spans="6:6" x14ac:dyDescent="0.3">
      <c r="F21054" s="193"/>
    </row>
    <row r="21055" spans="6:6" x14ac:dyDescent="0.3">
      <c r="F21055" s="193"/>
    </row>
    <row r="21056" spans="6:6" x14ac:dyDescent="0.3">
      <c r="F21056" s="193"/>
    </row>
    <row r="21057" spans="6:6" x14ac:dyDescent="0.3">
      <c r="F21057" s="193"/>
    </row>
    <row r="21058" spans="6:6" x14ac:dyDescent="0.3">
      <c r="F21058" s="193"/>
    </row>
    <row r="21059" spans="6:6" x14ac:dyDescent="0.3">
      <c r="F21059" s="193"/>
    </row>
    <row r="21060" spans="6:6" x14ac:dyDescent="0.3">
      <c r="F21060" s="193"/>
    </row>
    <row r="21061" spans="6:6" x14ac:dyDescent="0.3">
      <c r="F21061" s="193"/>
    </row>
    <row r="21062" spans="6:6" x14ac:dyDescent="0.3">
      <c r="F21062" s="193"/>
    </row>
    <row r="21063" spans="6:6" x14ac:dyDescent="0.3">
      <c r="F21063" s="193"/>
    </row>
    <row r="21064" spans="6:6" x14ac:dyDescent="0.3">
      <c r="F21064" s="193"/>
    </row>
    <row r="21065" spans="6:6" x14ac:dyDescent="0.3">
      <c r="F21065" s="193"/>
    </row>
    <row r="21066" spans="6:6" x14ac:dyDescent="0.3">
      <c r="F21066" s="193"/>
    </row>
    <row r="21067" spans="6:6" x14ac:dyDescent="0.3">
      <c r="F21067" s="193"/>
    </row>
    <row r="21068" spans="6:6" x14ac:dyDescent="0.3">
      <c r="F21068" s="193"/>
    </row>
    <row r="21069" spans="6:6" x14ac:dyDescent="0.3">
      <c r="F21069" s="193"/>
    </row>
    <row r="21070" spans="6:6" x14ac:dyDescent="0.3">
      <c r="F21070" s="193"/>
    </row>
    <row r="21071" spans="6:6" x14ac:dyDescent="0.3">
      <c r="F21071" s="193"/>
    </row>
    <row r="21072" spans="6:6" x14ac:dyDescent="0.3">
      <c r="F21072" s="193"/>
    </row>
    <row r="21073" spans="6:6" x14ac:dyDescent="0.3">
      <c r="F21073" s="193"/>
    </row>
    <row r="21074" spans="6:6" x14ac:dyDescent="0.3">
      <c r="F21074" s="193"/>
    </row>
    <row r="21075" spans="6:6" x14ac:dyDescent="0.3">
      <c r="F21075" s="193"/>
    </row>
    <row r="21076" spans="6:6" x14ac:dyDescent="0.3">
      <c r="F21076" s="193"/>
    </row>
    <row r="21077" spans="6:6" x14ac:dyDescent="0.3">
      <c r="F21077" s="193"/>
    </row>
    <row r="21078" spans="6:6" x14ac:dyDescent="0.3">
      <c r="F21078" s="193"/>
    </row>
    <row r="21079" spans="6:6" x14ac:dyDescent="0.3">
      <c r="F21079" s="193"/>
    </row>
    <row r="21080" spans="6:6" x14ac:dyDescent="0.3">
      <c r="F21080" s="193"/>
    </row>
    <row r="21081" spans="6:6" x14ac:dyDescent="0.3">
      <c r="F21081" s="193"/>
    </row>
    <row r="21082" spans="6:6" x14ac:dyDescent="0.3">
      <c r="F21082" s="193"/>
    </row>
    <row r="21083" spans="6:6" x14ac:dyDescent="0.3">
      <c r="F21083" s="193"/>
    </row>
    <row r="21084" spans="6:6" x14ac:dyDescent="0.3">
      <c r="F21084" s="193"/>
    </row>
    <row r="21085" spans="6:6" x14ac:dyDescent="0.3">
      <c r="F21085" s="193"/>
    </row>
    <row r="21086" spans="6:6" x14ac:dyDescent="0.3">
      <c r="F21086" s="193"/>
    </row>
    <row r="21087" spans="6:6" x14ac:dyDescent="0.3">
      <c r="F21087" s="193"/>
    </row>
    <row r="21088" spans="6:6" x14ac:dyDescent="0.3">
      <c r="F21088" s="193"/>
    </row>
    <row r="21089" spans="6:6" x14ac:dyDescent="0.3">
      <c r="F21089" s="193"/>
    </row>
    <row r="21090" spans="6:6" x14ac:dyDescent="0.3">
      <c r="F21090" s="193"/>
    </row>
    <row r="21091" spans="6:6" x14ac:dyDescent="0.3">
      <c r="F21091" s="193"/>
    </row>
    <row r="21092" spans="6:6" x14ac:dyDescent="0.3">
      <c r="F21092" s="193"/>
    </row>
    <row r="21093" spans="6:6" x14ac:dyDescent="0.3">
      <c r="F21093" s="193"/>
    </row>
    <row r="21094" spans="6:6" x14ac:dyDescent="0.3">
      <c r="F21094" s="193"/>
    </row>
    <row r="21095" spans="6:6" x14ac:dyDescent="0.3">
      <c r="F21095" s="193"/>
    </row>
    <row r="21096" spans="6:6" x14ac:dyDescent="0.3">
      <c r="F21096" s="193"/>
    </row>
    <row r="21097" spans="6:6" x14ac:dyDescent="0.3">
      <c r="F21097" s="193"/>
    </row>
    <row r="21098" spans="6:6" x14ac:dyDescent="0.3">
      <c r="F21098" s="193"/>
    </row>
    <row r="21099" spans="6:6" x14ac:dyDescent="0.3">
      <c r="F21099" s="193"/>
    </row>
    <row r="21100" spans="6:6" x14ac:dyDescent="0.3">
      <c r="F21100" s="193"/>
    </row>
    <row r="21101" spans="6:6" x14ac:dyDescent="0.3">
      <c r="F21101" s="193"/>
    </row>
    <row r="21102" spans="6:6" x14ac:dyDescent="0.3">
      <c r="F21102" s="193"/>
    </row>
    <row r="21103" spans="6:6" x14ac:dyDescent="0.3">
      <c r="F21103" s="193"/>
    </row>
    <row r="21104" spans="6:6" x14ac:dyDescent="0.3">
      <c r="F21104" s="193"/>
    </row>
    <row r="21105" spans="6:6" x14ac:dyDescent="0.3">
      <c r="F21105" s="193"/>
    </row>
    <row r="21106" spans="6:6" x14ac:dyDescent="0.3">
      <c r="F21106" s="193"/>
    </row>
    <row r="21107" spans="6:6" x14ac:dyDescent="0.3">
      <c r="F21107" s="193"/>
    </row>
    <row r="21108" spans="6:6" x14ac:dyDescent="0.3">
      <c r="F21108" s="193"/>
    </row>
    <row r="21109" spans="6:6" x14ac:dyDescent="0.3">
      <c r="F21109" s="193"/>
    </row>
    <row r="21110" spans="6:6" x14ac:dyDescent="0.3">
      <c r="F21110" s="193"/>
    </row>
    <row r="21111" spans="6:6" x14ac:dyDescent="0.3">
      <c r="F21111" s="193"/>
    </row>
    <row r="21112" spans="6:6" x14ac:dyDescent="0.3">
      <c r="F21112" s="193"/>
    </row>
    <row r="21113" spans="6:6" x14ac:dyDescent="0.3">
      <c r="F21113" s="193"/>
    </row>
    <row r="21114" spans="6:6" x14ac:dyDescent="0.3">
      <c r="F21114" s="193"/>
    </row>
    <row r="21115" spans="6:6" x14ac:dyDescent="0.3">
      <c r="F21115" s="193"/>
    </row>
    <row r="21116" spans="6:6" x14ac:dyDescent="0.3">
      <c r="F21116" s="193"/>
    </row>
    <row r="21117" spans="6:6" x14ac:dyDescent="0.3">
      <c r="F21117" s="193"/>
    </row>
    <row r="21118" spans="6:6" x14ac:dyDescent="0.3">
      <c r="F21118" s="193"/>
    </row>
    <row r="21119" spans="6:6" x14ac:dyDescent="0.3">
      <c r="F21119" s="193"/>
    </row>
    <row r="21120" spans="6:6" x14ac:dyDescent="0.3">
      <c r="F21120" s="193"/>
    </row>
    <row r="21121" spans="6:6" x14ac:dyDescent="0.3">
      <c r="F21121" s="193"/>
    </row>
    <row r="21122" spans="6:6" x14ac:dyDescent="0.3">
      <c r="F21122" s="193"/>
    </row>
    <row r="21123" spans="6:6" x14ac:dyDescent="0.3">
      <c r="F21123" s="193"/>
    </row>
    <row r="21124" spans="6:6" x14ac:dyDescent="0.3">
      <c r="F21124" s="193"/>
    </row>
    <row r="21125" spans="6:6" x14ac:dyDescent="0.3">
      <c r="F21125" s="193"/>
    </row>
    <row r="21126" spans="6:6" x14ac:dyDescent="0.3">
      <c r="F21126" s="193"/>
    </row>
    <row r="21127" spans="6:6" x14ac:dyDescent="0.3">
      <c r="F21127" s="193"/>
    </row>
    <row r="21128" spans="6:6" x14ac:dyDescent="0.3">
      <c r="F21128" s="193"/>
    </row>
    <row r="21129" spans="6:6" x14ac:dyDescent="0.3">
      <c r="F21129" s="193"/>
    </row>
    <row r="21130" spans="6:6" x14ac:dyDescent="0.3">
      <c r="F21130" s="193"/>
    </row>
    <row r="21131" spans="6:6" x14ac:dyDescent="0.3">
      <c r="F21131" s="193"/>
    </row>
    <row r="21132" spans="6:6" x14ac:dyDescent="0.3">
      <c r="F21132" s="193"/>
    </row>
    <row r="21133" spans="6:6" x14ac:dyDescent="0.3">
      <c r="F21133" s="193"/>
    </row>
    <row r="21134" spans="6:6" x14ac:dyDescent="0.3">
      <c r="F21134" s="193"/>
    </row>
    <row r="21135" spans="6:6" x14ac:dyDescent="0.3">
      <c r="F21135" s="193"/>
    </row>
    <row r="21136" spans="6:6" x14ac:dyDescent="0.3">
      <c r="F21136" s="193"/>
    </row>
    <row r="21137" spans="6:6" x14ac:dyDescent="0.3">
      <c r="F21137" s="193"/>
    </row>
    <row r="21138" spans="6:6" x14ac:dyDescent="0.3">
      <c r="F21138" s="193"/>
    </row>
    <row r="21139" spans="6:6" x14ac:dyDescent="0.3">
      <c r="F21139" s="193"/>
    </row>
    <row r="21140" spans="6:6" x14ac:dyDescent="0.3">
      <c r="F21140" s="193"/>
    </row>
    <row r="21141" spans="6:6" x14ac:dyDescent="0.3">
      <c r="F21141" s="193"/>
    </row>
    <row r="21142" spans="6:6" x14ac:dyDescent="0.3">
      <c r="F21142" s="193"/>
    </row>
    <row r="21143" spans="6:6" x14ac:dyDescent="0.3">
      <c r="F21143" s="193"/>
    </row>
    <row r="21144" spans="6:6" x14ac:dyDescent="0.3">
      <c r="F21144" s="193"/>
    </row>
    <row r="21145" spans="6:6" x14ac:dyDescent="0.3">
      <c r="F21145" s="193"/>
    </row>
    <row r="21146" spans="6:6" x14ac:dyDescent="0.3">
      <c r="F21146" s="193"/>
    </row>
    <row r="21147" spans="6:6" x14ac:dyDescent="0.3">
      <c r="F21147" s="193"/>
    </row>
    <row r="21148" spans="6:6" x14ac:dyDescent="0.3">
      <c r="F21148" s="193"/>
    </row>
    <row r="21149" spans="6:6" x14ac:dyDescent="0.3">
      <c r="F21149" s="193"/>
    </row>
    <row r="21150" spans="6:6" x14ac:dyDescent="0.3">
      <c r="F21150" s="193"/>
    </row>
    <row r="21151" spans="6:6" x14ac:dyDescent="0.3">
      <c r="F21151" s="193"/>
    </row>
    <row r="21152" spans="6:6" x14ac:dyDescent="0.3">
      <c r="F21152" s="193"/>
    </row>
    <row r="21153" spans="6:6" x14ac:dyDescent="0.3">
      <c r="F21153" s="193"/>
    </row>
    <row r="21154" spans="6:6" x14ac:dyDescent="0.3">
      <c r="F21154" s="193"/>
    </row>
    <row r="21155" spans="6:6" x14ac:dyDescent="0.3">
      <c r="F21155" s="193"/>
    </row>
    <row r="21156" spans="6:6" x14ac:dyDescent="0.3">
      <c r="F21156" s="193"/>
    </row>
    <row r="21157" spans="6:6" x14ac:dyDescent="0.3">
      <c r="F21157" s="193"/>
    </row>
    <row r="21158" spans="6:6" x14ac:dyDescent="0.3">
      <c r="F21158" s="193"/>
    </row>
    <row r="21159" spans="6:6" x14ac:dyDescent="0.3">
      <c r="F21159" s="193"/>
    </row>
    <row r="21160" spans="6:6" x14ac:dyDescent="0.3">
      <c r="F21160" s="193"/>
    </row>
    <row r="21161" spans="6:6" x14ac:dyDescent="0.3">
      <c r="F21161" s="193"/>
    </row>
    <row r="21162" spans="6:6" x14ac:dyDescent="0.3">
      <c r="F21162" s="193"/>
    </row>
    <row r="21163" spans="6:6" x14ac:dyDescent="0.3">
      <c r="F21163" s="193"/>
    </row>
    <row r="21164" spans="6:6" x14ac:dyDescent="0.3">
      <c r="F21164" s="193"/>
    </row>
    <row r="21165" spans="6:6" x14ac:dyDescent="0.3">
      <c r="F21165" s="193"/>
    </row>
    <row r="21166" spans="6:6" x14ac:dyDescent="0.3">
      <c r="F21166" s="193"/>
    </row>
    <row r="21167" spans="6:6" x14ac:dyDescent="0.3">
      <c r="F21167" s="193"/>
    </row>
    <row r="21168" spans="6:6" x14ac:dyDescent="0.3">
      <c r="F21168" s="193"/>
    </row>
    <row r="21169" spans="6:6" x14ac:dyDescent="0.3">
      <c r="F21169" s="193"/>
    </row>
    <row r="21170" spans="6:6" x14ac:dyDescent="0.3">
      <c r="F21170" s="193"/>
    </row>
    <row r="21171" spans="6:6" x14ac:dyDescent="0.3">
      <c r="F21171" s="193"/>
    </row>
    <row r="21172" spans="6:6" x14ac:dyDescent="0.3">
      <c r="F21172" s="193"/>
    </row>
    <row r="21173" spans="6:6" x14ac:dyDescent="0.3">
      <c r="F21173" s="193"/>
    </row>
    <row r="21174" spans="6:6" x14ac:dyDescent="0.3">
      <c r="F21174" s="193"/>
    </row>
    <row r="21175" spans="6:6" x14ac:dyDescent="0.3">
      <c r="F21175" s="193"/>
    </row>
    <row r="21176" spans="6:6" x14ac:dyDescent="0.3">
      <c r="F21176" s="193"/>
    </row>
    <row r="21177" spans="6:6" x14ac:dyDescent="0.3">
      <c r="F21177" s="193"/>
    </row>
    <row r="21178" spans="6:6" x14ac:dyDescent="0.3">
      <c r="F21178" s="193"/>
    </row>
    <row r="21179" spans="6:6" x14ac:dyDescent="0.3">
      <c r="F21179" s="193"/>
    </row>
    <row r="21180" spans="6:6" x14ac:dyDescent="0.3">
      <c r="F21180" s="193"/>
    </row>
    <row r="21181" spans="6:6" x14ac:dyDescent="0.3">
      <c r="F21181" s="193"/>
    </row>
    <row r="21182" spans="6:6" x14ac:dyDescent="0.3">
      <c r="F21182" s="193"/>
    </row>
    <row r="21183" spans="6:6" x14ac:dyDescent="0.3">
      <c r="F21183" s="193"/>
    </row>
    <row r="21184" spans="6:6" x14ac:dyDescent="0.3">
      <c r="F21184" s="193"/>
    </row>
    <row r="21185" spans="6:6" x14ac:dyDescent="0.3">
      <c r="F21185" s="193"/>
    </row>
    <row r="21186" spans="6:6" x14ac:dyDescent="0.3">
      <c r="F21186" s="193"/>
    </row>
    <row r="21187" spans="6:6" x14ac:dyDescent="0.3">
      <c r="F21187" s="193"/>
    </row>
    <row r="21188" spans="6:6" x14ac:dyDescent="0.3">
      <c r="F21188" s="193"/>
    </row>
    <row r="21189" spans="6:6" x14ac:dyDescent="0.3">
      <c r="F21189" s="193"/>
    </row>
    <row r="21190" spans="6:6" x14ac:dyDescent="0.3">
      <c r="F21190" s="193"/>
    </row>
    <row r="21191" spans="6:6" x14ac:dyDescent="0.3">
      <c r="F21191" s="193"/>
    </row>
    <row r="21192" spans="6:6" x14ac:dyDescent="0.3">
      <c r="F21192" s="193"/>
    </row>
    <row r="21193" spans="6:6" x14ac:dyDescent="0.3">
      <c r="F21193" s="193"/>
    </row>
    <row r="21194" spans="6:6" x14ac:dyDescent="0.3">
      <c r="F21194" s="193"/>
    </row>
    <row r="21195" spans="6:6" x14ac:dyDescent="0.3">
      <c r="F21195" s="193"/>
    </row>
    <row r="21196" spans="6:6" x14ac:dyDescent="0.3">
      <c r="F21196" s="193"/>
    </row>
    <row r="21197" spans="6:6" x14ac:dyDescent="0.3">
      <c r="F21197" s="193"/>
    </row>
    <row r="21198" spans="6:6" x14ac:dyDescent="0.3">
      <c r="F21198" s="193"/>
    </row>
    <row r="21199" spans="6:6" x14ac:dyDescent="0.3">
      <c r="F21199" s="193"/>
    </row>
    <row r="21200" spans="6:6" x14ac:dyDescent="0.3">
      <c r="F21200" s="193"/>
    </row>
    <row r="21201" spans="6:6" x14ac:dyDescent="0.3">
      <c r="F21201" s="193"/>
    </row>
    <row r="21202" spans="6:6" x14ac:dyDescent="0.3">
      <c r="F21202" s="193"/>
    </row>
    <row r="21203" spans="6:6" x14ac:dyDescent="0.3">
      <c r="F21203" s="193"/>
    </row>
    <row r="21204" spans="6:6" x14ac:dyDescent="0.3">
      <c r="F21204" s="193"/>
    </row>
    <row r="21205" spans="6:6" x14ac:dyDescent="0.3">
      <c r="F21205" s="193"/>
    </row>
    <row r="21206" spans="6:6" x14ac:dyDescent="0.3">
      <c r="F21206" s="193"/>
    </row>
    <row r="21207" spans="6:6" x14ac:dyDescent="0.3">
      <c r="F21207" s="193"/>
    </row>
    <row r="21208" spans="6:6" x14ac:dyDescent="0.3">
      <c r="F21208" s="193"/>
    </row>
    <row r="21209" spans="6:6" x14ac:dyDescent="0.3">
      <c r="F21209" s="193"/>
    </row>
    <row r="21210" spans="6:6" x14ac:dyDescent="0.3">
      <c r="F21210" s="193"/>
    </row>
    <row r="21211" spans="6:6" x14ac:dyDescent="0.3">
      <c r="F21211" s="193"/>
    </row>
    <row r="21212" spans="6:6" x14ac:dyDescent="0.3">
      <c r="F21212" s="193"/>
    </row>
    <row r="21213" spans="6:6" x14ac:dyDescent="0.3">
      <c r="F21213" s="193"/>
    </row>
    <row r="21214" spans="6:6" x14ac:dyDescent="0.3">
      <c r="F21214" s="193"/>
    </row>
    <row r="21215" spans="6:6" x14ac:dyDescent="0.3">
      <c r="F21215" s="193"/>
    </row>
    <row r="21216" spans="6:6" x14ac:dyDescent="0.3">
      <c r="F21216" s="193"/>
    </row>
    <row r="21217" spans="6:6" x14ac:dyDescent="0.3">
      <c r="F21217" s="193"/>
    </row>
    <row r="21218" spans="6:6" x14ac:dyDescent="0.3">
      <c r="F21218" s="193"/>
    </row>
    <row r="21219" spans="6:6" x14ac:dyDescent="0.3">
      <c r="F21219" s="193"/>
    </row>
    <row r="21220" spans="6:6" x14ac:dyDescent="0.3">
      <c r="F21220" s="193"/>
    </row>
    <row r="21221" spans="6:6" x14ac:dyDescent="0.3">
      <c r="F21221" s="193"/>
    </row>
    <row r="21222" spans="6:6" x14ac:dyDescent="0.3">
      <c r="F21222" s="193"/>
    </row>
    <row r="21223" spans="6:6" x14ac:dyDescent="0.3">
      <c r="F21223" s="193"/>
    </row>
    <row r="21224" spans="6:6" x14ac:dyDescent="0.3">
      <c r="F21224" s="193"/>
    </row>
    <row r="21225" spans="6:6" x14ac:dyDescent="0.3">
      <c r="F21225" s="193"/>
    </row>
    <row r="21226" spans="6:6" x14ac:dyDescent="0.3">
      <c r="F21226" s="193"/>
    </row>
    <row r="21227" spans="6:6" x14ac:dyDescent="0.3">
      <c r="F21227" s="193"/>
    </row>
    <row r="21228" spans="6:6" x14ac:dyDescent="0.3">
      <c r="F21228" s="193"/>
    </row>
    <row r="21229" spans="6:6" x14ac:dyDescent="0.3">
      <c r="F21229" s="193"/>
    </row>
    <row r="21230" spans="6:6" x14ac:dyDescent="0.3">
      <c r="F21230" s="193"/>
    </row>
    <row r="21231" spans="6:6" x14ac:dyDescent="0.3">
      <c r="F21231" s="193"/>
    </row>
    <row r="21232" spans="6:6" x14ac:dyDescent="0.3">
      <c r="F21232" s="193"/>
    </row>
    <row r="21233" spans="6:6" x14ac:dyDescent="0.3">
      <c r="F21233" s="193"/>
    </row>
    <row r="21234" spans="6:6" x14ac:dyDescent="0.3">
      <c r="F21234" s="193"/>
    </row>
    <row r="21235" spans="6:6" x14ac:dyDescent="0.3">
      <c r="F21235" s="193"/>
    </row>
    <row r="21236" spans="6:6" x14ac:dyDescent="0.3">
      <c r="F21236" s="193"/>
    </row>
    <row r="21237" spans="6:6" x14ac:dyDescent="0.3">
      <c r="F21237" s="193"/>
    </row>
    <row r="21238" spans="6:6" x14ac:dyDescent="0.3">
      <c r="F21238" s="193"/>
    </row>
    <row r="21239" spans="6:6" x14ac:dyDescent="0.3">
      <c r="F21239" s="193"/>
    </row>
    <row r="21240" spans="6:6" x14ac:dyDescent="0.3">
      <c r="F21240" s="193"/>
    </row>
    <row r="21241" spans="6:6" x14ac:dyDescent="0.3">
      <c r="F21241" s="193"/>
    </row>
    <row r="21242" spans="6:6" x14ac:dyDescent="0.3">
      <c r="F21242" s="193"/>
    </row>
    <row r="21243" spans="6:6" x14ac:dyDescent="0.3">
      <c r="F21243" s="193"/>
    </row>
    <row r="21244" spans="6:6" x14ac:dyDescent="0.3">
      <c r="F21244" s="193"/>
    </row>
    <row r="21245" spans="6:6" x14ac:dyDescent="0.3">
      <c r="F21245" s="193"/>
    </row>
    <row r="21246" spans="6:6" x14ac:dyDescent="0.3">
      <c r="F21246" s="193"/>
    </row>
    <row r="21247" spans="6:6" x14ac:dyDescent="0.3">
      <c r="F21247" s="193"/>
    </row>
    <row r="21248" spans="6:6" x14ac:dyDescent="0.3">
      <c r="F21248" s="193"/>
    </row>
    <row r="21249" spans="6:6" x14ac:dyDescent="0.3">
      <c r="F21249" s="193"/>
    </row>
    <row r="21250" spans="6:6" x14ac:dyDescent="0.3">
      <c r="F21250" s="193"/>
    </row>
    <row r="21251" spans="6:6" x14ac:dyDescent="0.3">
      <c r="F21251" s="193"/>
    </row>
    <row r="21252" spans="6:6" x14ac:dyDescent="0.3">
      <c r="F21252" s="193"/>
    </row>
    <row r="21253" spans="6:6" x14ac:dyDescent="0.3">
      <c r="F21253" s="193"/>
    </row>
    <row r="21254" spans="6:6" x14ac:dyDescent="0.3">
      <c r="F21254" s="193"/>
    </row>
    <row r="21255" spans="6:6" x14ac:dyDescent="0.3">
      <c r="F21255" s="193"/>
    </row>
    <row r="21256" spans="6:6" x14ac:dyDescent="0.3">
      <c r="F21256" s="193"/>
    </row>
    <row r="21257" spans="6:6" x14ac:dyDescent="0.3">
      <c r="F21257" s="193"/>
    </row>
    <row r="21258" spans="6:6" x14ac:dyDescent="0.3">
      <c r="F21258" s="193"/>
    </row>
    <row r="21259" spans="6:6" x14ac:dyDescent="0.3">
      <c r="F21259" s="193"/>
    </row>
    <row r="21260" spans="6:6" x14ac:dyDescent="0.3">
      <c r="F21260" s="193"/>
    </row>
    <row r="21261" spans="6:6" x14ac:dyDescent="0.3">
      <c r="F21261" s="193"/>
    </row>
    <row r="21262" spans="6:6" x14ac:dyDescent="0.3">
      <c r="F21262" s="193"/>
    </row>
    <row r="21263" spans="6:6" x14ac:dyDescent="0.3">
      <c r="F21263" s="193"/>
    </row>
    <row r="21264" spans="6:6" x14ac:dyDescent="0.3">
      <c r="F21264" s="193"/>
    </row>
    <row r="21265" spans="6:6" x14ac:dyDescent="0.3">
      <c r="F21265" s="193"/>
    </row>
    <row r="21266" spans="6:6" x14ac:dyDescent="0.3">
      <c r="F21266" s="193"/>
    </row>
    <row r="21267" spans="6:6" x14ac:dyDescent="0.3">
      <c r="F21267" s="193"/>
    </row>
    <row r="21268" spans="6:6" x14ac:dyDescent="0.3">
      <c r="F21268" s="193"/>
    </row>
    <row r="21269" spans="6:6" x14ac:dyDescent="0.3">
      <c r="F21269" s="193"/>
    </row>
    <row r="21270" spans="6:6" x14ac:dyDescent="0.3">
      <c r="F21270" s="193"/>
    </row>
    <row r="21271" spans="6:6" x14ac:dyDescent="0.3">
      <c r="F21271" s="193"/>
    </row>
    <row r="21272" spans="6:6" x14ac:dyDescent="0.3">
      <c r="F21272" s="193"/>
    </row>
    <row r="21273" spans="6:6" x14ac:dyDescent="0.3">
      <c r="F21273" s="193"/>
    </row>
    <row r="21274" spans="6:6" x14ac:dyDescent="0.3">
      <c r="F21274" s="193"/>
    </row>
    <row r="21275" spans="6:6" x14ac:dyDescent="0.3">
      <c r="F21275" s="193"/>
    </row>
    <row r="21276" spans="6:6" x14ac:dyDescent="0.3">
      <c r="F21276" s="193"/>
    </row>
    <row r="21277" spans="6:6" x14ac:dyDescent="0.3">
      <c r="F21277" s="193"/>
    </row>
    <row r="21278" spans="6:6" x14ac:dyDescent="0.3">
      <c r="F21278" s="193"/>
    </row>
    <row r="21279" spans="6:6" x14ac:dyDescent="0.3">
      <c r="F21279" s="193"/>
    </row>
    <row r="21280" spans="6:6" x14ac:dyDescent="0.3">
      <c r="F21280" s="193"/>
    </row>
    <row r="21281" spans="6:6" x14ac:dyDescent="0.3">
      <c r="F21281" s="193"/>
    </row>
    <row r="21282" spans="6:6" x14ac:dyDescent="0.3">
      <c r="F21282" s="193"/>
    </row>
    <row r="21283" spans="6:6" x14ac:dyDescent="0.3">
      <c r="F21283" s="193"/>
    </row>
    <row r="21284" spans="6:6" x14ac:dyDescent="0.3">
      <c r="F21284" s="193"/>
    </row>
    <row r="21285" spans="6:6" x14ac:dyDescent="0.3">
      <c r="F21285" s="193"/>
    </row>
    <row r="21286" spans="6:6" x14ac:dyDescent="0.3">
      <c r="F21286" s="193"/>
    </row>
    <row r="21287" spans="6:6" x14ac:dyDescent="0.3">
      <c r="F21287" s="193"/>
    </row>
    <row r="21288" spans="6:6" x14ac:dyDescent="0.3">
      <c r="F21288" s="193"/>
    </row>
    <row r="21289" spans="6:6" x14ac:dyDescent="0.3">
      <c r="F21289" s="193"/>
    </row>
    <row r="21290" spans="6:6" x14ac:dyDescent="0.3">
      <c r="F21290" s="193"/>
    </row>
    <row r="21291" spans="6:6" x14ac:dyDescent="0.3">
      <c r="F21291" s="193"/>
    </row>
    <row r="21292" spans="6:6" x14ac:dyDescent="0.3">
      <c r="F21292" s="193"/>
    </row>
    <row r="21293" spans="6:6" x14ac:dyDescent="0.3">
      <c r="F21293" s="193"/>
    </row>
    <row r="21294" spans="6:6" x14ac:dyDescent="0.3">
      <c r="F21294" s="193"/>
    </row>
    <row r="21295" spans="6:6" x14ac:dyDescent="0.3">
      <c r="F21295" s="193"/>
    </row>
    <row r="21296" spans="6:6" x14ac:dyDescent="0.3">
      <c r="F21296" s="193"/>
    </row>
    <row r="21297" spans="6:6" x14ac:dyDescent="0.3">
      <c r="F21297" s="193"/>
    </row>
    <row r="21298" spans="6:6" x14ac:dyDescent="0.3">
      <c r="F21298" s="193"/>
    </row>
    <row r="21299" spans="6:6" x14ac:dyDescent="0.3">
      <c r="F21299" s="193"/>
    </row>
    <row r="21300" spans="6:6" x14ac:dyDescent="0.3">
      <c r="F21300" s="193"/>
    </row>
    <row r="21301" spans="6:6" x14ac:dyDescent="0.3">
      <c r="F21301" s="193"/>
    </row>
    <row r="21302" spans="6:6" x14ac:dyDescent="0.3">
      <c r="F21302" s="193"/>
    </row>
    <row r="21303" spans="6:6" x14ac:dyDescent="0.3">
      <c r="F21303" s="193"/>
    </row>
    <row r="21304" spans="6:6" x14ac:dyDescent="0.3">
      <c r="F21304" s="193"/>
    </row>
    <row r="21305" spans="6:6" x14ac:dyDescent="0.3">
      <c r="F21305" s="193"/>
    </row>
    <row r="21306" spans="6:6" x14ac:dyDescent="0.3">
      <c r="F21306" s="193"/>
    </row>
    <row r="21307" spans="6:6" x14ac:dyDescent="0.3">
      <c r="F21307" s="193"/>
    </row>
    <row r="21308" spans="6:6" x14ac:dyDescent="0.3">
      <c r="F21308" s="193"/>
    </row>
    <row r="21309" spans="6:6" x14ac:dyDescent="0.3">
      <c r="F21309" s="193"/>
    </row>
    <row r="21310" spans="6:6" x14ac:dyDescent="0.3">
      <c r="F21310" s="193"/>
    </row>
    <row r="21311" spans="6:6" x14ac:dyDescent="0.3">
      <c r="F21311" s="193"/>
    </row>
    <row r="21312" spans="6:6" x14ac:dyDescent="0.3">
      <c r="F21312" s="193"/>
    </row>
    <row r="21313" spans="6:6" x14ac:dyDescent="0.3">
      <c r="F21313" s="193"/>
    </row>
    <row r="21314" spans="6:6" x14ac:dyDescent="0.3">
      <c r="F21314" s="193"/>
    </row>
    <row r="21315" spans="6:6" x14ac:dyDescent="0.3">
      <c r="F21315" s="193"/>
    </row>
    <row r="21316" spans="6:6" x14ac:dyDescent="0.3">
      <c r="F21316" s="193"/>
    </row>
    <row r="21317" spans="6:6" x14ac:dyDescent="0.3">
      <c r="F21317" s="193"/>
    </row>
    <row r="21318" spans="6:6" x14ac:dyDescent="0.3">
      <c r="F21318" s="193"/>
    </row>
    <row r="21319" spans="6:6" x14ac:dyDescent="0.3">
      <c r="F21319" s="193"/>
    </row>
    <row r="21320" spans="6:6" x14ac:dyDescent="0.3">
      <c r="F21320" s="193"/>
    </row>
    <row r="21321" spans="6:6" x14ac:dyDescent="0.3">
      <c r="F21321" s="193"/>
    </row>
    <row r="21322" spans="6:6" x14ac:dyDescent="0.3">
      <c r="F21322" s="193"/>
    </row>
    <row r="21323" spans="6:6" x14ac:dyDescent="0.3">
      <c r="F21323" s="193"/>
    </row>
    <row r="21324" spans="6:6" x14ac:dyDescent="0.3">
      <c r="F21324" s="193"/>
    </row>
    <row r="21325" spans="6:6" x14ac:dyDescent="0.3">
      <c r="F21325" s="193"/>
    </row>
    <row r="21326" spans="6:6" x14ac:dyDescent="0.3">
      <c r="F21326" s="193"/>
    </row>
    <row r="21327" spans="6:6" x14ac:dyDescent="0.3">
      <c r="F21327" s="193"/>
    </row>
    <row r="21328" spans="6:6" x14ac:dyDescent="0.3">
      <c r="F21328" s="193"/>
    </row>
    <row r="21329" spans="6:6" x14ac:dyDescent="0.3">
      <c r="F21329" s="193"/>
    </row>
    <row r="21330" spans="6:6" x14ac:dyDescent="0.3">
      <c r="F21330" s="193"/>
    </row>
    <row r="21331" spans="6:6" x14ac:dyDescent="0.3">
      <c r="F21331" s="193"/>
    </row>
    <row r="21332" spans="6:6" x14ac:dyDescent="0.3">
      <c r="F21332" s="193"/>
    </row>
    <row r="21333" spans="6:6" x14ac:dyDescent="0.3">
      <c r="F21333" s="193"/>
    </row>
    <row r="21334" spans="6:6" x14ac:dyDescent="0.3">
      <c r="F21334" s="193"/>
    </row>
    <row r="21335" spans="6:6" x14ac:dyDescent="0.3">
      <c r="F21335" s="193"/>
    </row>
    <row r="21336" spans="6:6" x14ac:dyDescent="0.3">
      <c r="F21336" s="193"/>
    </row>
    <row r="21337" spans="6:6" x14ac:dyDescent="0.3">
      <c r="F21337" s="193"/>
    </row>
    <row r="21338" spans="6:6" x14ac:dyDescent="0.3">
      <c r="F21338" s="193"/>
    </row>
    <row r="21339" spans="6:6" x14ac:dyDescent="0.3">
      <c r="F21339" s="193"/>
    </row>
    <row r="21340" spans="6:6" x14ac:dyDescent="0.3">
      <c r="F21340" s="193"/>
    </row>
    <row r="21341" spans="6:6" x14ac:dyDescent="0.3">
      <c r="F21341" s="193"/>
    </row>
    <row r="21342" spans="6:6" x14ac:dyDescent="0.3">
      <c r="F21342" s="193"/>
    </row>
    <row r="21343" spans="6:6" x14ac:dyDescent="0.3">
      <c r="F21343" s="193"/>
    </row>
    <row r="21344" spans="6:6" x14ac:dyDescent="0.3">
      <c r="F21344" s="193"/>
    </row>
    <row r="21345" spans="6:6" x14ac:dyDescent="0.3">
      <c r="F21345" s="193"/>
    </row>
    <row r="21346" spans="6:6" x14ac:dyDescent="0.3">
      <c r="F21346" s="193"/>
    </row>
    <row r="21347" spans="6:6" x14ac:dyDescent="0.3">
      <c r="F21347" s="193"/>
    </row>
    <row r="21348" spans="6:6" x14ac:dyDescent="0.3">
      <c r="F21348" s="193"/>
    </row>
    <row r="21349" spans="6:6" x14ac:dyDescent="0.3">
      <c r="F21349" s="193"/>
    </row>
    <row r="21350" spans="6:6" x14ac:dyDescent="0.3">
      <c r="F21350" s="193"/>
    </row>
    <row r="21351" spans="6:6" x14ac:dyDescent="0.3">
      <c r="F21351" s="193"/>
    </row>
    <row r="21352" spans="6:6" x14ac:dyDescent="0.3">
      <c r="F21352" s="193"/>
    </row>
    <row r="21353" spans="6:6" x14ac:dyDescent="0.3">
      <c r="F21353" s="193"/>
    </row>
    <row r="21354" spans="6:6" x14ac:dyDescent="0.3">
      <c r="F21354" s="193"/>
    </row>
    <row r="21355" spans="6:6" x14ac:dyDescent="0.3">
      <c r="F21355" s="193"/>
    </row>
    <row r="21356" spans="6:6" x14ac:dyDescent="0.3">
      <c r="F21356" s="193"/>
    </row>
    <row r="21357" spans="6:6" x14ac:dyDescent="0.3">
      <c r="F21357" s="193"/>
    </row>
    <row r="21358" spans="6:6" x14ac:dyDescent="0.3">
      <c r="F21358" s="193"/>
    </row>
    <row r="21359" spans="6:6" x14ac:dyDescent="0.3">
      <c r="F21359" s="193"/>
    </row>
    <row r="21360" spans="6:6" x14ac:dyDescent="0.3">
      <c r="F21360" s="193"/>
    </row>
    <row r="21361" spans="6:6" x14ac:dyDescent="0.3">
      <c r="F21361" s="193"/>
    </row>
    <row r="21362" spans="6:6" x14ac:dyDescent="0.3">
      <c r="F21362" s="193"/>
    </row>
    <row r="21363" spans="6:6" x14ac:dyDescent="0.3">
      <c r="F21363" s="193"/>
    </row>
    <row r="21364" spans="6:6" x14ac:dyDescent="0.3">
      <c r="F21364" s="193"/>
    </row>
    <row r="21365" spans="6:6" x14ac:dyDescent="0.3">
      <c r="F21365" s="193"/>
    </row>
    <row r="21366" spans="6:6" x14ac:dyDescent="0.3">
      <c r="F21366" s="193"/>
    </row>
    <row r="21367" spans="6:6" x14ac:dyDescent="0.3">
      <c r="F21367" s="193"/>
    </row>
    <row r="21368" spans="6:6" x14ac:dyDescent="0.3">
      <c r="F21368" s="193"/>
    </row>
    <row r="21369" spans="6:6" x14ac:dyDescent="0.3">
      <c r="F21369" s="193"/>
    </row>
    <row r="21370" spans="6:6" x14ac:dyDescent="0.3">
      <c r="F21370" s="193"/>
    </row>
    <row r="21371" spans="6:6" x14ac:dyDescent="0.3">
      <c r="F21371" s="193"/>
    </row>
    <row r="21372" spans="6:6" x14ac:dyDescent="0.3">
      <c r="F21372" s="193"/>
    </row>
    <row r="21373" spans="6:6" x14ac:dyDescent="0.3">
      <c r="F21373" s="193"/>
    </row>
    <row r="21374" spans="6:6" x14ac:dyDescent="0.3">
      <c r="F21374" s="193"/>
    </row>
    <row r="21375" spans="6:6" x14ac:dyDescent="0.3">
      <c r="F21375" s="193"/>
    </row>
    <row r="21376" spans="6:6" x14ac:dyDescent="0.3">
      <c r="F21376" s="193"/>
    </row>
    <row r="21377" spans="6:6" x14ac:dyDescent="0.3">
      <c r="F21377" s="193"/>
    </row>
    <row r="21378" spans="6:6" x14ac:dyDescent="0.3">
      <c r="F21378" s="193"/>
    </row>
    <row r="21379" spans="6:6" x14ac:dyDescent="0.3">
      <c r="F21379" s="193"/>
    </row>
    <row r="21380" spans="6:6" x14ac:dyDescent="0.3">
      <c r="F21380" s="193"/>
    </row>
    <row r="21381" spans="6:6" x14ac:dyDescent="0.3">
      <c r="F21381" s="193"/>
    </row>
    <row r="21382" spans="6:6" x14ac:dyDescent="0.3">
      <c r="F21382" s="193"/>
    </row>
    <row r="21383" spans="6:6" x14ac:dyDescent="0.3">
      <c r="F21383" s="193"/>
    </row>
    <row r="21384" spans="6:6" x14ac:dyDescent="0.3">
      <c r="F21384" s="193"/>
    </row>
    <row r="21385" spans="6:6" x14ac:dyDescent="0.3">
      <c r="F21385" s="193"/>
    </row>
    <row r="21386" spans="6:6" x14ac:dyDescent="0.3">
      <c r="F21386" s="193"/>
    </row>
    <row r="21387" spans="6:6" x14ac:dyDescent="0.3">
      <c r="F21387" s="193"/>
    </row>
    <row r="21388" spans="6:6" x14ac:dyDescent="0.3">
      <c r="F21388" s="193"/>
    </row>
    <row r="21389" spans="6:6" x14ac:dyDescent="0.3">
      <c r="F21389" s="193"/>
    </row>
    <row r="21390" spans="6:6" x14ac:dyDescent="0.3">
      <c r="F21390" s="193"/>
    </row>
    <row r="21391" spans="6:6" x14ac:dyDescent="0.3">
      <c r="F21391" s="193"/>
    </row>
    <row r="21392" spans="6:6" x14ac:dyDescent="0.3">
      <c r="F21392" s="193"/>
    </row>
    <row r="21393" spans="6:6" x14ac:dyDescent="0.3">
      <c r="F21393" s="193"/>
    </row>
    <row r="21394" spans="6:6" x14ac:dyDescent="0.3">
      <c r="F21394" s="193"/>
    </row>
    <row r="21395" spans="6:6" x14ac:dyDescent="0.3">
      <c r="F21395" s="193"/>
    </row>
    <row r="21396" spans="6:6" x14ac:dyDescent="0.3">
      <c r="F21396" s="193"/>
    </row>
    <row r="21397" spans="6:6" x14ac:dyDescent="0.3">
      <c r="F21397" s="193"/>
    </row>
    <row r="21398" spans="6:6" x14ac:dyDescent="0.3">
      <c r="F21398" s="193"/>
    </row>
    <row r="21399" spans="6:6" x14ac:dyDescent="0.3">
      <c r="F21399" s="193"/>
    </row>
    <row r="21400" spans="6:6" x14ac:dyDescent="0.3">
      <c r="F21400" s="193"/>
    </row>
    <row r="21401" spans="6:6" x14ac:dyDescent="0.3">
      <c r="F21401" s="193"/>
    </row>
    <row r="21402" spans="6:6" x14ac:dyDescent="0.3">
      <c r="F21402" s="193"/>
    </row>
    <row r="21403" spans="6:6" x14ac:dyDescent="0.3">
      <c r="F21403" s="193"/>
    </row>
    <row r="21404" spans="6:6" x14ac:dyDescent="0.3">
      <c r="F21404" s="193"/>
    </row>
    <row r="21405" spans="6:6" x14ac:dyDescent="0.3">
      <c r="F21405" s="193"/>
    </row>
    <row r="21406" spans="6:6" x14ac:dyDescent="0.3">
      <c r="F21406" s="193"/>
    </row>
    <row r="21407" spans="6:6" x14ac:dyDescent="0.3">
      <c r="F21407" s="193"/>
    </row>
    <row r="21408" spans="6:6" x14ac:dyDescent="0.3">
      <c r="F21408" s="193"/>
    </row>
    <row r="21409" spans="6:6" x14ac:dyDescent="0.3">
      <c r="F21409" s="193"/>
    </row>
    <row r="21410" spans="6:6" x14ac:dyDescent="0.3">
      <c r="F21410" s="193"/>
    </row>
    <row r="21411" spans="6:6" x14ac:dyDescent="0.3">
      <c r="F21411" s="193"/>
    </row>
    <row r="21412" spans="6:6" x14ac:dyDescent="0.3">
      <c r="F21412" s="193"/>
    </row>
    <row r="21413" spans="6:6" x14ac:dyDescent="0.3">
      <c r="F21413" s="193"/>
    </row>
    <row r="21414" spans="6:6" x14ac:dyDescent="0.3">
      <c r="F21414" s="193"/>
    </row>
    <row r="21415" spans="6:6" x14ac:dyDescent="0.3">
      <c r="F21415" s="193"/>
    </row>
    <row r="21416" spans="6:6" x14ac:dyDescent="0.3">
      <c r="F21416" s="193"/>
    </row>
    <row r="21417" spans="6:6" x14ac:dyDescent="0.3">
      <c r="F21417" s="193"/>
    </row>
    <row r="21418" spans="6:6" x14ac:dyDescent="0.3">
      <c r="F21418" s="193"/>
    </row>
    <row r="21419" spans="6:6" x14ac:dyDescent="0.3">
      <c r="F21419" s="193"/>
    </row>
    <row r="21420" spans="6:6" x14ac:dyDescent="0.3">
      <c r="F21420" s="193"/>
    </row>
    <row r="21421" spans="6:6" x14ac:dyDescent="0.3">
      <c r="F21421" s="193"/>
    </row>
    <row r="21422" spans="6:6" x14ac:dyDescent="0.3">
      <c r="F21422" s="193"/>
    </row>
    <row r="21423" spans="6:6" x14ac:dyDescent="0.3">
      <c r="F21423" s="193"/>
    </row>
    <row r="21424" spans="6:6" x14ac:dyDescent="0.3">
      <c r="F21424" s="193"/>
    </row>
    <row r="21425" spans="6:6" x14ac:dyDescent="0.3">
      <c r="F21425" s="193"/>
    </row>
    <row r="21426" spans="6:6" x14ac:dyDescent="0.3">
      <c r="F21426" s="193"/>
    </row>
    <row r="21427" spans="6:6" x14ac:dyDescent="0.3">
      <c r="F21427" s="193"/>
    </row>
    <row r="21428" spans="6:6" x14ac:dyDescent="0.3">
      <c r="F21428" s="193"/>
    </row>
    <row r="21429" spans="6:6" x14ac:dyDescent="0.3">
      <c r="F21429" s="193"/>
    </row>
    <row r="21430" spans="6:6" x14ac:dyDescent="0.3">
      <c r="F21430" s="193"/>
    </row>
    <row r="21431" spans="6:6" x14ac:dyDescent="0.3">
      <c r="F21431" s="193"/>
    </row>
    <row r="21432" spans="6:6" x14ac:dyDescent="0.3">
      <c r="F21432" s="193"/>
    </row>
    <row r="21433" spans="6:6" x14ac:dyDescent="0.3">
      <c r="F21433" s="193"/>
    </row>
    <row r="21434" spans="6:6" x14ac:dyDescent="0.3">
      <c r="F21434" s="193"/>
    </row>
    <row r="21435" spans="6:6" x14ac:dyDescent="0.3">
      <c r="F21435" s="193"/>
    </row>
    <row r="21436" spans="6:6" x14ac:dyDescent="0.3">
      <c r="F21436" s="193"/>
    </row>
    <row r="21437" spans="6:6" x14ac:dyDescent="0.3">
      <c r="F21437" s="193"/>
    </row>
    <row r="21438" spans="6:6" x14ac:dyDescent="0.3">
      <c r="F21438" s="193"/>
    </row>
    <row r="21439" spans="6:6" x14ac:dyDescent="0.3">
      <c r="F21439" s="193"/>
    </row>
    <row r="21440" spans="6:6" x14ac:dyDescent="0.3">
      <c r="F21440" s="193"/>
    </row>
    <row r="21441" spans="6:6" x14ac:dyDescent="0.3">
      <c r="F21441" s="193"/>
    </row>
    <row r="21442" spans="6:6" x14ac:dyDescent="0.3">
      <c r="F21442" s="193"/>
    </row>
    <row r="21443" spans="6:6" x14ac:dyDescent="0.3">
      <c r="F21443" s="193"/>
    </row>
    <row r="21444" spans="6:6" x14ac:dyDescent="0.3">
      <c r="F21444" s="193"/>
    </row>
    <row r="21445" spans="6:6" x14ac:dyDescent="0.3">
      <c r="F21445" s="193"/>
    </row>
    <row r="21446" spans="6:6" x14ac:dyDescent="0.3">
      <c r="F21446" s="193"/>
    </row>
    <row r="21447" spans="6:6" x14ac:dyDescent="0.3">
      <c r="F21447" s="193"/>
    </row>
    <row r="21448" spans="6:6" x14ac:dyDescent="0.3">
      <c r="F21448" s="193"/>
    </row>
    <row r="21449" spans="6:6" x14ac:dyDescent="0.3">
      <c r="F21449" s="193"/>
    </row>
    <row r="21450" spans="6:6" x14ac:dyDescent="0.3">
      <c r="F21450" s="193"/>
    </row>
    <row r="21451" spans="6:6" x14ac:dyDescent="0.3">
      <c r="F21451" s="193"/>
    </row>
    <row r="21452" spans="6:6" x14ac:dyDescent="0.3">
      <c r="F21452" s="193"/>
    </row>
    <row r="21453" spans="6:6" x14ac:dyDescent="0.3">
      <c r="F21453" s="193"/>
    </row>
    <row r="21454" spans="6:6" x14ac:dyDescent="0.3">
      <c r="F21454" s="193"/>
    </row>
    <row r="21455" spans="6:6" x14ac:dyDescent="0.3">
      <c r="F21455" s="193"/>
    </row>
    <row r="21456" spans="6:6" x14ac:dyDescent="0.3">
      <c r="F21456" s="193"/>
    </row>
    <row r="21457" spans="6:6" x14ac:dyDescent="0.3">
      <c r="F21457" s="193"/>
    </row>
    <row r="21458" spans="6:6" x14ac:dyDescent="0.3">
      <c r="F21458" s="193"/>
    </row>
    <row r="21459" spans="6:6" x14ac:dyDescent="0.3">
      <c r="F21459" s="193"/>
    </row>
    <row r="21460" spans="6:6" x14ac:dyDescent="0.3">
      <c r="F21460" s="193"/>
    </row>
    <row r="21461" spans="6:6" x14ac:dyDescent="0.3">
      <c r="F21461" s="193"/>
    </row>
    <row r="21462" spans="6:6" x14ac:dyDescent="0.3">
      <c r="F21462" s="193"/>
    </row>
    <row r="21463" spans="6:6" x14ac:dyDescent="0.3">
      <c r="F21463" s="193"/>
    </row>
    <row r="21464" spans="6:6" x14ac:dyDescent="0.3">
      <c r="F21464" s="193"/>
    </row>
    <row r="21465" spans="6:6" x14ac:dyDescent="0.3">
      <c r="F21465" s="193"/>
    </row>
    <row r="21466" spans="6:6" x14ac:dyDescent="0.3">
      <c r="F21466" s="193"/>
    </row>
    <row r="21467" spans="6:6" x14ac:dyDescent="0.3">
      <c r="F21467" s="193"/>
    </row>
    <row r="21468" spans="6:6" x14ac:dyDescent="0.3">
      <c r="F21468" s="193"/>
    </row>
    <row r="21469" spans="6:6" x14ac:dyDescent="0.3">
      <c r="F21469" s="193"/>
    </row>
    <row r="21470" spans="6:6" x14ac:dyDescent="0.3">
      <c r="F21470" s="193"/>
    </row>
    <row r="21471" spans="6:6" x14ac:dyDescent="0.3">
      <c r="F21471" s="193"/>
    </row>
    <row r="21472" spans="6:6" x14ac:dyDescent="0.3">
      <c r="F21472" s="193"/>
    </row>
    <row r="21473" spans="6:6" x14ac:dyDescent="0.3">
      <c r="F21473" s="193"/>
    </row>
    <row r="21474" spans="6:6" x14ac:dyDescent="0.3">
      <c r="F21474" s="193"/>
    </row>
    <row r="21475" spans="6:6" x14ac:dyDescent="0.3">
      <c r="F21475" s="193"/>
    </row>
    <row r="21476" spans="6:6" x14ac:dyDescent="0.3">
      <c r="F21476" s="193"/>
    </row>
    <row r="21477" spans="6:6" x14ac:dyDescent="0.3">
      <c r="F21477" s="193"/>
    </row>
    <row r="21478" spans="6:6" x14ac:dyDescent="0.3">
      <c r="F21478" s="193"/>
    </row>
    <row r="21479" spans="6:6" x14ac:dyDescent="0.3">
      <c r="F21479" s="193"/>
    </row>
    <row r="21480" spans="6:6" x14ac:dyDescent="0.3">
      <c r="F21480" s="193"/>
    </row>
    <row r="21481" spans="6:6" x14ac:dyDescent="0.3">
      <c r="F21481" s="193"/>
    </row>
    <row r="21482" spans="6:6" x14ac:dyDescent="0.3">
      <c r="F21482" s="193"/>
    </row>
    <row r="21483" spans="6:6" x14ac:dyDescent="0.3">
      <c r="F21483" s="193"/>
    </row>
    <row r="21484" spans="6:6" x14ac:dyDescent="0.3">
      <c r="F21484" s="193"/>
    </row>
    <row r="21485" spans="6:6" x14ac:dyDescent="0.3">
      <c r="F21485" s="193"/>
    </row>
    <row r="21486" spans="6:6" x14ac:dyDescent="0.3">
      <c r="F21486" s="193"/>
    </row>
    <row r="21487" spans="6:6" x14ac:dyDescent="0.3">
      <c r="F21487" s="193"/>
    </row>
    <row r="21488" spans="6:6" x14ac:dyDescent="0.3">
      <c r="F21488" s="193"/>
    </row>
    <row r="21489" spans="6:6" x14ac:dyDescent="0.3">
      <c r="F21489" s="193"/>
    </row>
    <row r="21490" spans="6:6" x14ac:dyDescent="0.3">
      <c r="F21490" s="193"/>
    </row>
    <row r="21491" spans="6:6" x14ac:dyDescent="0.3">
      <c r="F21491" s="193"/>
    </row>
    <row r="21492" spans="6:6" x14ac:dyDescent="0.3">
      <c r="F21492" s="193"/>
    </row>
    <row r="21493" spans="6:6" x14ac:dyDescent="0.3">
      <c r="F21493" s="193"/>
    </row>
    <row r="21494" spans="6:6" x14ac:dyDescent="0.3">
      <c r="F21494" s="193"/>
    </row>
    <row r="21495" spans="6:6" x14ac:dyDescent="0.3">
      <c r="F21495" s="193"/>
    </row>
    <row r="21496" spans="6:6" x14ac:dyDescent="0.3">
      <c r="F21496" s="193"/>
    </row>
    <row r="21497" spans="6:6" x14ac:dyDescent="0.3">
      <c r="F21497" s="193"/>
    </row>
    <row r="21498" spans="6:6" x14ac:dyDescent="0.3">
      <c r="F21498" s="193"/>
    </row>
    <row r="21499" spans="6:6" x14ac:dyDescent="0.3">
      <c r="F21499" s="193"/>
    </row>
    <row r="21500" spans="6:6" x14ac:dyDescent="0.3">
      <c r="F21500" s="193"/>
    </row>
    <row r="21501" spans="6:6" x14ac:dyDescent="0.3">
      <c r="F21501" s="193"/>
    </row>
    <row r="21502" spans="6:6" x14ac:dyDescent="0.3">
      <c r="F21502" s="193"/>
    </row>
    <row r="21503" spans="6:6" x14ac:dyDescent="0.3">
      <c r="F21503" s="193"/>
    </row>
    <row r="21504" spans="6:6" x14ac:dyDescent="0.3">
      <c r="F21504" s="193"/>
    </row>
    <row r="21505" spans="6:6" x14ac:dyDescent="0.3">
      <c r="F21505" s="193"/>
    </row>
    <row r="21506" spans="6:6" x14ac:dyDescent="0.3">
      <c r="F21506" s="193"/>
    </row>
    <row r="21507" spans="6:6" x14ac:dyDescent="0.3">
      <c r="F21507" s="193"/>
    </row>
    <row r="21508" spans="6:6" x14ac:dyDescent="0.3">
      <c r="F21508" s="193"/>
    </row>
    <row r="21509" spans="6:6" x14ac:dyDescent="0.3">
      <c r="F21509" s="193"/>
    </row>
    <row r="21510" spans="6:6" x14ac:dyDescent="0.3">
      <c r="F21510" s="193"/>
    </row>
    <row r="21511" spans="6:6" x14ac:dyDescent="0.3">
      <c r="F21511" s="193"/>
    </row>
    <row r="21512" spans="6:6" x14ac:dyDescent="0.3">
      <c r="F21512" s="193"/>
    </row>
    <row r="21513" spans="6:6" x14ac:dyDescent="0.3">
      <c r="F21513" s="193"/>
    </row>
    <row r="21514" spans="6:6" x14ac:dyDescent="0.3">
      <c r="F21514" s="193"/>
    </row>
    <row r="21515" spans="6:6" x14ac:dyDescent="0.3">
      <c r="F21515" s="193"/>
    </row>
    <row r="21516" spans="6:6" x14ac:dyDescent="0.3">
      <c r="F21516" s="193"/>
    </row>
    <row r="21517" spans="6:6" x14ac:dyDescent="0.3">
      <c r="F21517" s="193"/>
    </row>
    <row r="21518" spans="6:6" x14ac:dyDescent="0.3">
      <c r="F21518" s="193"/>
    </row>
    <row r="21519" spans="6:6" x14ac:dyDescent="0.3">
      <c r="F21519" s="193"/>
    </row>
    <row r="21520" spans="6:6" x14ac:dyDescent="0.3">
      <c r="F21520" s="193"/>
    </row>
    <row r="21521" spans="6:6" x14ac:dyDescent="0.3">
      <c r="F21521" s="193"/>
    </row>
    <row r="21522" spans="6:6" x14ac:dyDescent="0.3">
      <c r="F21522" s="193"/>
    </row>
    <row r="21523" spans="6:6" x14ac:dyDescent="0.3">
      <c r="F21523" s="193"/>
    </row>
    <row r="21524" spans="6:6" x14ac:dyDescent="0.3">
      <c r="F21524" s="193"/>
    </row>
    <row r="21525" spans="6:6" x14ac:dyDescent="0.3">
      <c r="F21525" s="193"/>
    </row>
    <row r="21526" spans="6:6" x14ac:dyDescent="0.3">
      <c r="F21526" s="193"/>
    </row>
    <row r="21527" spans="6:6" x14ac:dyDescent="0.3">
      <c r="F21527" s="193"/>
    </row>
    <row r="21528" spans="6:6" x14ac:dyDescent="0.3">
      <c r="F21528" s="193"/>
    </row>
    <row r="21529" spans="6:6" x14ac:dyDescent="0.3">
      <c r="F21529" s="193"/>
    </row>
    <row r="21530" spans="6:6" x14ac:dyDescent="0.3">
      <c r="F21530" s="193"/>
    </row>
    <row r="21531" spans="6:6" x14ac:dyDescent="0.3">
      <c r="F21531" s="193"/>
    </row>
    <row r="21532" spans="6:6" x14ac:dyDescent="0.3">
      <c r="F21532" s="193"/>
    </row>
    <row r="21533" spans="6:6" x14ac:dyDescent="0.3">
      <c r="F21533" s="193"/>
    </row>
    <row r="21534" spans="6:6" x14ac:dyDescent="0.3">
      <c r="F21534" s="193"/>
    </row>
    <row r="21535" spans="6:6" x14ac:dyDescent="0.3">
      <c r="F21535" s="193"/>
    </row>
    <row r="21536" spans="6:6" x14ac:dyDescent="0.3">
      <c r="F21536" s="193"/>
    </row>
    <row r="21537" spans="6:6" x14ac:dyDescent="0.3">
      <c r="F21537" s="193"/>
    </row>
    <row r="21538" spans="6:6" x14ac:dyDescent="0.3">
      <c r="F21538" s="193"/>
    </row>
    <row r="21539" spans="6:6" x14ac:dyDescent="0.3">
      <c r="F21539" s="193"/>
    </row>
    <row r="21540" spans="6:6" x14ac:dyDescent="0.3">
      <c r="F21540" s="193"/>
    </row>
    <row r="21541" spans="6:6" x14ac:dyDescent="0.3">
      <c r="F21541" s="193"/>
    </row>
    <row r="21542" spans="6:6" x14ac:dyDescent="0.3">
      <c r="F21542" s="193"/>
    </row>
    <row r="21543" spans="6:6" x14ac:dyDescent="0.3">
      <c r="F21543" s="193"/>
    </row>
    <row r="21544" spans="6:6" x14ac:dyDescent="0.3">
      <c r="F21544" s="193"/>
    </row>
    <row r="21545" spans="6:6" x14ac:dyDescent="0.3">
      <c r="F21545" s="193"/>
    </row>
    <row r="21546" spans="6:6" x14ac:dyDescent="0.3">
      <c r="F21546" s="193"/>
    </row>
    <row r="21547" spans="6:6" x14ac:dyDescent="0.3">
      <c r="F21547" s="193"/>
    </row>
    <row r="21548" spans="6:6" x14ac:dyDescent="0.3">
      <c r="F21548" s="193"/>
    </row>
    <row r="21549" spans="6:6" x14ac:dyDescent="0.3">
      <c r="F21549" s="193"/>
    </row>
    <row r="21550" spans="6:6" x14ac:dyDescent="0.3">
      <c r="F21550" s="193"/>
    </row>
    <row r="21551" spans="6:6" x14ac:dyDescent="0.3">
      <c r="F21551" s="193"/>
    </row>
    <row r="21552" spans="6:6" x14ac:dyDescent="0.3">
      <c r="F21552" s="193"/>
    </row>
    <row r="21553" spans="6:6" x14ac:dyDescent="0.3">
      <c r="F21553" s="193"/>
    </row>
    <row r="21554" spans="6:6" x14ac:dyDescent="0.3">
      <c r="F21554" s="193"/>
    </row>
    <row r="21555" spans="6:6" x14ac:dyDescent="0.3">
      <c r="F21555" s="193"/>
    </row>
    <row r="21556" spans="6:6" x14ac:dyDescent="0.3">
      <c r="F21556" s="193"/>
    </row>
    <row r="21557" spans="6:6" x14ac:dyDescent="0.3">
      <c r="F21557" s="193"/>
    </row>
    <row r="21558" spans="6:6" x14ac:dyDescent="0.3">
      <c r="F21558" s="193"/>
    </row>
    <row r="21559" spans="6:6" x14ac:dyDescent="0.3">
      <c r="F21559" s="193"/>
    </row>
    <row r="21560" spans="6:6" x14ac:dyDescent="0.3">
      <c r="F21560" s="193"/>
    </row>
    <row r="21561" spans="6:6" x14ac:dyDescent="0.3">
      <c r="F21561" s="193"/>
    </row>
    <row r="21562" spans="6:6" x14ac:dyDescent="0.3">
      <c r="F21562" s="193"/>
    </row>
    <row r="21563" spans="6:6" x14ac:dyDescent="0.3">
      <c r="F21563" s="193"/>
    </row>
    <row r="21564" spans="6:6" x14ac:dyDescent="0.3">
      <c r="F21564" s="193"/>
    </row>
    <row r="21565" spans="6:6" x14ac:dyDescent="0.3">
      <c r="F21565" s="193"/>
    </row>
    <row r="21566" spans="6:6" x14ac:dyDescent="0.3">
      <c r="F21566" s="193"/>
    </row>
    <row r="21567" spans="6:6" x14ac:dyDescent="0.3">
      <c r="F21567" s="193"/>
    </row>
    <row r="21568" spans="6:6" x14ac:dyDescent="0.3">
      <c r="F21568" s="193"/>
    </row>
    <row r="21569" spans="6:6" x14ac:dyDescent="0.3">
      <c r="F21569" s="193"/>
    </row>
    <row r="21570" spans="6:6" x14ac:dyDescent="0.3">
      <c r="F21570" s="193"/>
    </row>
    <row r="21571" spans="6:6" x14ac:dyDescent="0.3">
      <c r="F21571" s="193"/>
    </row>
    <row r="21572" spans="6:6" x14ac:dyDescent="0.3">
      <c r="F21572" s="193"/>
    </row>
    <row r="21573" spans="6:6" x14ac:dyDescent="0.3">
      <c r="F21573" s="193"/>
    </row>
    <row r="21574" spans="6:6" x14ac:dyDescent="0.3">
      <c r="F21574" s="193"/>
    </row>
    <row r="21575" spans="6:6" x14ac:dyDescent="0.3">
      <c r="F21575" s="193"/>
    </row>
    <row r="21576" spans="6:6" x14ac:dyDescent="0.3">
      <c r="F21576" s="193"/>
    </row>
    <row r="21577" spans="6:6" x14ac:dyDescent="0.3">
      <c r="F21577" s="193"/>
    </row>
    <row r="21578" spans="6:6" x14ac:dyDescent="0.3">
      <c r="F21578" s="193"/>
    </row>
    <row r="21579" spans="6:6" x14ac:dyDescent="0.3">
      <c r="F21579" s="193"/>
    </row>
    <row r="21580" spans="6:6" x14ac:dyDescent="0.3">
      <c r="F21580" s="193"/>
    </row>
    <row r="21581" spans="6:6" x14ac:dyDescent="0.3">
      <c r="F21581" s="193"/>
    </row>
    <row r="21582" spans="6:6" x14ac:dyDescent="0.3">
      <c r="F21582" s="193"/>
    </row>
    <row r="21583" spans="6:6" x14ac:dyDescent="0.3">
      <c r="F21583" s="193"/>
    </row>
    <row r="21584" spans="6:6" x14ac:dyDescent="0.3">
      <c r="F21584" s="193"/>
    </row>
    <row r="21585" spans="6:6" x14ac:dyDescent="0.3">
      <c r="F21585" s="193"/>
    </row>
    <row r="21586" spans="6:6" x14ac:dyDescent="0.3">
      <c r="F21586" s="193"/>
    </row>
    <row r="21587" spans="6:6" x14ac:dyDescent="0.3">
      <c r="F21587" s="193"/>
    </row>
    <row r="21588" spans="6:6" x14ac:dyDescent="0.3">
      <c r="F21588" s="193"/>
    </row>
    <row r="21589" spans="6:6" x14ac:dyDescent="0.3">
      <c r="F21589" s="193"/>
    </row>
    <row r="21590" spans="6:6" x14ac:dyDescent="0.3">
      <c r="F21590" s="193"/>
    </row>
    <row r="21591" spans="6:6" x14ac:dyDescent="0.3">
      <c r="F21591" s="193"/>
    </row>
    <row r="21592" spans="6:6" x14ac:dyDescent="0.3">
      <c r="F21592" s="193"/>
    </row>
    <row r="21593" spans="6:6" x14ac:dyDescent="0.3">
      <c r="F21593" s="193"/>
    </row>
    <row r="21594" spans="6:6" x14ac:dyDescent="0.3">
      <c r="F21594" s="193"/>
    </row>
    <row r="21595" spans="6:6" x14ac:dyDescent="0.3">
      <c r="F21595" s="193"/>
    </row>
    <row r="21596" spans="6:6" x14ac:dyDescent="0.3">
      <c r="F21596" s="193"/>
    </row>
    <row r="21597" spans="6:6" x14ac:dyDescent="0.3">
      <c r="F21597" s="193"/>
    </row>
    <row r="21598" spans="6:6" x14ac:dyDescent="0.3">
      <c r="F21598" s="193"/>
    </row>
    <row r="21599" spans="6:6" x14ac:dyDescent="0.3">
      <c r="F21599" s="193"/>
    </row>
    <row r="21600" spans="6:6" x14ac:dyDescent="0.3">
      <c r="F21600" s="193"/>
    </row>
    <row r="21601" spans="6:6" x14ac:dyDescent="0.3">
      <c r="F21601" s="193"/>
    </row>
    <row r="21602" spans="6:6" x14ac:dyDescent="0.3">
      <c r="F21602" s="193"/>
    </row>
    <row r="21603" spans="6:6" x14ac:dyDescent="0.3">
      <c r="F21603" s="193"/>
    </row>
    <row r="21604" spans="6:6" x14ac:dyDescent="0.3">
      <c r="F21604" s="193"/>
    </row>
    <row r="21605" spans="6:6" x14ac:dyDescent="0.3">
      <c r="F21605" s="193"/>
    </row>
    <row r="21606" spans="6:6" x14ac:dyDescent="0.3">
      <c r="F21606" s="193"/>
    </row>
    <row r="21607" spans="6:6" x14ac:dyDescent="0.3">
      <c r="F21607" s="193"/>
    </row>
    <row r="21608" spans="6:6" x14ac:dyDescent="0.3">
      <c r="F21608" s="193"/>
    </row>
    <row r="21609" spans="6:6" x14ac:dyDescent="0.3">
      <c r="F21609" s="193"/>
    </row>
    <row r="21610" spans="6:6" x14ac:dyDescent="0.3">
      <c r="F21610" s="193"/>
    </row>
    <row r="21611" spans="6:6" x14ac:dyDescent="0.3">
      <c r="F21611" s="193"/>
    </row>
    <row r="21612" spans="6:6" x14ac:dyDescent="0.3">
      <c r="F21612" s="193"/>
    </row>
    <row r="21613" spans="6:6" x14ac:dyDescent="0.3">
      <c r="F21613" s="193"/>
    </row>
    <row r="21614" spans="6:6" x14ac:dyDescent="0.3">
      <c r="F21614" s="193"/>
    </row>
    <row r="21615" spans="6:6" x14ac:dyDescent="0.3">
      <c r="F21615" s="193"/>
    </row>
    <row r="21616" spans="6:6" x14ac:dyDescent="0.3">
      <c r="F21616" s="193"/>
    </row>
    <row r="21617" spans="6:6" x14ac:dyDescent="0.3">
      <c r="F21617" s="193"/>
    </row>
    <row r="21618" spans="6:6" x14ac:dyDescent="0.3">
      <c r="F21618" s="193"/>
    </row>
    <row r="21619" spans="6:6" x14ac:dyDescent="0.3">
      <c r="F21619" s="193"/>
    </row>
    <row r="21620" spans="6:6" x14ac:dyDescent="0.3">
      <c r="F21620" s="193"/>
    </row>
    <row r="21621" spans="6:6" x14ac:dyDescent="0.3">
      <c r="F21621" s="193"/>
    </row>
    <row r="21622" spans="6:6" x14ac:dyDescent="0.3">
      <c r="F21622" s="193"/>
    </row>
    <row r="21623" spans="6:6" x14ac:dyDescent="0.3">
      <c r="F21623" s="193"/>
    </row>
    <row r="21624" spans="6:6" x14ac:dyDescent="0.3">
      <c r="F21624" s="193"/>
    </row>
    <row r="21625" spans="6:6" x14ac:dyDescent="0.3">
      <c r="F21625" s="193"/>
    </row>
    <row r="21626" spans="6:6" x14ac:dyDescent="0.3">
      <c r="F21626" s="193"/>
    </row>
    <row r="21627" spans="6:6" x14ac:dyDescent="0.3">
      <c r="F21627" s="193"/>
    </row>
    <row r="21628" spans="6:6" x14ac:dyDescent="0.3">
      <c r="F21628" s="193"/>
    </row>
    <row r="21629" spans="6:6" x14ac:dyDescent="0.3">
      <c r="F21629" s="193"/>
    </row>
    <row r="21630" spans="6:6" x14ac:dyDescent="0.3">
      <c r="F21630" s="193"/>
    </row>
    <row r="21631" spans="6:6" x14ac:dyDescent="0.3">
      <c r="F21631" s="193"/>
    </row>
    <row r="21632" spans="6:6" x14ac:dyDescent="0.3">
      <c r="F21632" s="193"/>
    </row>
    <row r="21633" spans="6:6" x14ac:dyDescent="0.3">
      <c r="F21633" s="193"/>
    </row>
    <row r="21634" spans="6:6" x14ac:dyDescent="0.3">
      <c r="F21634" s="193"/>
    </row>
    <row r="21635" spans="6:6" x14ac:dyDescent="0.3">
      <c r="F21635" s="193"/>
    </row>
    <row r="21636" spans="6:6" x14ac:dyDescent="0.3">
      <c r="F21636" s="193"/>
    </row>
    <row r="21637" spans="6:6" x14ac:dyDescent="0.3">
      <c r="F21637" s="193"/>
    </row>
    <row r="21638" spans="6:6" x14ac:dyDescent="0.3">
      <c r="F21638" s="193"/>
    </row>
    <row r="21639" spans="6:6" x14ac:dyDescent="0.3">
      <c r="F21639" s="193"/>
    </row>
    <row r="21640" spans="6:6" x14ac:dyDescent="0.3">
      <c r="F21640" s="193"/>
    </row>
    <row r="21641" spans="6:6" x14ac:dyDescent="0.3">
      <c r="F21641" s="193"/>
    </row>
    <row r="21642" spans="6:6" x14ac:dyDescent="0.3">
      <c r="F21642" s="193"/>
    </row>
    <row r="21643" spans="6:6" x14ac:dyDescent="0.3">
      <c r="F21643" s="193"/>
    </row>
    <row r="21644" spans="6:6" x14ac:dyDescent="0.3">
      <c r="F21644" s="193"/>
    </row>
    <row r="21645" spans="6:6" x14ac:dyDescent="0.3">
      <c r="F21645" s="193"/>
    </row>
    <row r="21646" spans="6:6" x14ac:dyDescent="0.3">
      <c r="F21646" s="193"/>
    </row>
    <row r="21647" spans="6:6" x14ac:dyDescent="0.3">
      <c r="F21647" s="193"/>
    </row>
    <row r="21648" spans="6:6" x14ac:dyDescent="0.3">
      <c r="F21648" s="193"/>
    </row>
    <row r="21649" spans="6:6" x14ac:dyDescent="0.3">
      <c r="F21649" s="193"/>
    </row>
    <row r="21650" spans="6:6" x14ac:dyDescent="0.3">
      <c r="F21650" s="193"/>
    </row>
    <row r="21651" spans="6:6" x14ac:dyDescent="0.3">
      <c r="F21651" s="193"/>
    </row>
    <row r="21652" spans="6:6" x14ac:dyDescent="0.3">
      <c r="F21652" s="193"/>
    </row>
    <row r="21653" spans="6:6" x14ac:dyDescent="0.3">
      <c r="F21653" s="193"/>
    </row>
    <row r="21654" spans="6:6" x14ac:dyDescent="0.3">
      <c r="F21654" s="193"/>
    </row>
    <row r="21655" spans="6:6" x14ac:dyDescent="0.3">
      <c r="F21655" s="193"/>
    </row>
    <row r="21656" spans="6:6" x14ac:dyDescent="0.3">
      <c r="F21656" s="193"/>
    </row>
    <row r="21657" spans="6:6" x14ac:dyDescent="0.3">
      <c r="F21657" s="193"/>
    </row>
    <row r="21658" spans="6:6" x14ac:dyDescent="0.3">
      <c r="F21658" s="193"/>
    </row>
    <row r="21659" spans="6:6" x14ac:dyDescent="0.3">
      <c r="F21659" s="193"/>
    </row>
    <row r="21660" spans="6:6" x14ac:dyDescent="0.3">
      <c r="F21660" s="193"/>
    </row>
    <row r="21661" spans="6:6" x14ac:dyDescent="0.3">
      <c r="F21661" s="193"/>
    </row>
    <row r="21662" spans="6:6" x14ac:dyDescent="0.3">
      <c r="F21662" s="193"/>
    </row>
    <row r="21663" spans="6:6" x14ac:dyDescent="0.3">
      <c r="F21663" s="193"/>
    </row>
    <row r="21664" spans="6:6" x14ac:dyDescent="0.3">
      <c r="F21664" s="193"/>
    </row>
    <row r="21665" spans="6:6" x14ac:dyDescent="0.3">
      <c r="F21665" s="193"/>
    </row>
    <row r="21666" spans="6:6" x14ac:dyDescent="0.3">
      <c r="F21666" s="193"/>
    </row>
    <row r="21667" spans="6:6" x14ac:dyDescent="0.3">
      <c r="F21667" s="193"/>
    </row>
    <row r="21668" spans="6:6" x14ac:dyDescent="0.3">
      <c r="F21668" s="193"/>
    </row>
    <row r="21669" spans="6:6" x14ac:dyDescent="0.3">
      <c r="F21669" s="193"/>
    </row>
    <row r="21670" spans="6:6" x14ac:dyDescent="0.3">
      <c r="F21670" s="193"/>
    </row>
    <row r="21671" spans="6:6" x14ac:dyDescent="0.3">
      <c r="F21671" s="193"/>
    </row>
    <row r="21672" spans="6:6" x14ac:dyDescent="0.3">
      <c r="F21672" s="193"/>
    </row>
    <row r="21673" spans="6:6" x14ac:dyDescent="0.3">
      <c r="F21673" s="193"/>
    </row>
    <row r="21674" spans="6:6" x14ac:dyDescent="0.3">
      <c r="F21674" s="193"/>
    </row>
    <row r="21675" spans="6:6" x14ac:dyDescent="0.3">
      <c r="F21675" s="193"/>
    </row>
    <row r="21676" spans="6:6" x14ac:dyDescent="0.3">
      <c r="F21676" s="193"/>
    </row>
    <row r="21677" spans="6:6" x14ac:dyDescent="0.3">
      <c r="F21677" s="193"/>
    </row>
    <row r="21678" spans="6:6" x14ac:dyDescent="0.3">
      <c r="F21678" s="193"/>
    </row>
    <row r="21679" spans="6:6" x14ac:dyDescent="0.3">
      <c r="F21679" s="193"/>
    </row>
    <row r="21680" spans="6:6" x14ac:dyDescent="0.3">
      <c r="F21680" s="193"/>
    </row>
    <row r="21681" spans="6:6" x14ac:dyDescent="0.3">
      <c r="F21681" s="193"/>
    </row>
    <row r="21682" spans="6:6" x14ac:dyDescent="0.3">
      <c r="F21682" s="193"/>
    </row>
    <row r="21683" spans="6:6" x14ac:dyDescent="0.3">
      <c r="F21683" s="193"/>
    </row>
    <row r="21684" spans="6:6" x14ac:dyDescent="0.3">
      <c r="F21684" s="193"/>
    </row>
    <row r="21685" spans="6:6" x14ac:dyDescent="0.3">
      <c r="F21685" s="193"/>
    </row>
    <row r="21686" spans="6:6" x14ac:dyDescent="0.3">
      <c r="F21686" s="193"/>
    </row>
    <row r="21687" spans="6:6" x14ac:dyDescent="0.3">
      <c r="F21687" s="193"/>
    </row>
    <row r="21688" spans="6:6" x14ac:dyDescent="0.3">
      <c r="F21688" s="193"/>
    </row>
    <row r="21689" spans="6:6" x14ac:dyDescent="0.3">
      <c r="F21689" s="193"/>
    </row>
    <row r="21690" spans="6:6" x14ac:dyDescent="0.3">
      <c r="F21690" s="193"/>
    </row>
    <row r="21691" spans="6:6" x14ac:dyDescent="0.3">
      <c r="F21691" s="193"/>
    </row>
    <row r="21692" spans="6:6" x14ac:dyDescent="0.3">
      <c r="F21692" s="193"/>
    </row>
    <row r="21693" spans="6:6" x14ac:dyDescent="0.3">
      <c r="F21693" s="193"/>
    </row>
    <row r="21694" spans="6:6" x14ac:dyDescent="0.3">
      <c r="F21694" s="193"/>
    </row>
    <row r="21695" spans="6:6" x14ac:dyDescent="0.3">
      <c r="F21695" s="193"/>
    </row>
    <row r="21696" spans="6:6" x14ac:dyDescent="0.3">
      <c r="F21696" s="193"/>
    </row>
    <row r="21697" spans="6:6" x14ac:dyDescent="0.3">
      <c r="F21697" s="193"/>
    </row>
    <row r="21698" spans="6:6" x14ac:dyDescent="0.3">
      <c r="F21698" s="193"/>
    </row>
    <row r="21699" spans="6:6" x14ac:dyDescent="0.3">
      <c r="F21699" s="193"/>
    </row>
    <row r="21700" spans="6:6" x14ac:dyDescent="0.3">
      <c r="F21700" s="193"/>
    </row>
    <row r="21701" spans="6:6" x14ac:dyDescent="0.3">
      <c r="F21701" s="193"/>
    </row>
    <row r="21702" spans="6:6" x14ac:dyDescent="0.3">
      <c r="F21702" s="193"/>
    </row>
    <row r="21703" spans="6:6" x14ac:dyDescent="0.3">
      <c r="F21703" s="193"/>
    </row>
    <row r="21704" spans="6:6" x14ac:dyDescent="0.3">
      <c r="F21704" s="193"/>
    </row>
    <row r="21705" spans="6:6" x14ac:dyDescent="0.3">
      <c r="F21705" s="193"/>
    </row>
    <row r="21706" spans="6:6" x14ac:dyDescent="0.3">
      <c r="F21706" s="193"/>
    </row>
    <row r="21707" spans="6:6" x14ac:dyDescent="0.3">
      <c r="F21707" s="193"/>
    </row>
    <row r="21708" spans="6:6" x14ac:dyDescent="0.3">
      <c r="F21708" s="193"/>
    </row>
    <row r="21709" spans="6:6" x14ac:dyDescent="0.3">
      <c r="F21709" s="193"/>
    </row>
    <row r="21710" spans="6:6" x14ac:dyDescent="0.3">
      <c r="F21710" s="193"/>
    </row>
    <row r="21711" spans="6:6" x14ac:dyDescent="0.3">
      <c r="F21711" s="193"/>
    </row>
    <row r="21712" spans="6:6" x14ac:dyDescent="0.3">
      <c r="F21712" s="193"/>
    </row>
    <row r="21713" spans="6:6" x14ac:dyDescent="0.3">
      <c r="F21713" s="193"/>
    </row>
    <row r="21714" spans="6:6" x14ac:dyDescent="0.3">
      <c r="F21714" s="193"/>
    </row>
    <row r="21715" spans="6:6" x14ac:dyDescent="0.3">
      <c r="F21715" s="193"/>
    </row>
    <row r="21716" spans="6:6" x14ac:dyDescent="0.3">
      <c r="F21716" s="193"/>
    </row>
    <row r="21717" spans="6:6" x14ac:dyDescent="0.3">
      <c r="F21717" s="193"/>
    </row>
    <row r="21718" spans="6:6" x14ac:dyDescent="0.3">
      <c r="F21718" s="193"/>
    </row>
    <row r="21719" spans="6:6" x14ac:dyDescent="0.3">
      <c r="F21719" s="193"/>
    </row>
    <row r="21720" spans="6:6" x14ac:dyDescent="0.3">
      <c r="F21720" s="193"/>
    </row>
    <row r="21721" spans="6:6" x14ac:dyDescent="0.3">
      <c r="F21721" s="193"/>
    </row>
    <row r="21722" spans="6:6" x14ac:dyDescent="0.3">
      <c r="F21722" s="193"/>
    </row>
    <row r="21723" spans="6:6" x14ac:dyDescent="0.3">
      <c r="F21723" s="193"/>
    </row>
    <row r="21724" spans="6:6" x14ac:dyDescent="0.3">
      <c r="F21724" s="193"/>
    </row>
    <row r="21725" spans="6:6" x14ac:dyDescent="0.3">
      <c r="F21725" s="193"/>
    </row>
    <row r="21726" spans="6:6" x14ac:dyDescent="0.3">
      <c r="F21726" s="193"/>
    </row>
    <row r="21727" spans="6:6" x14ac:dyDescent="0.3">
      <c r="F21727" s="193"/>
    </row>
    <row r="21728" spans="6:6" x14ac:dyDescent="0.3">
      <c r="F21728" s="193"/>
    </row>
    <row r="21729" spans="6:6" x14ac:dyDescent="0.3">
      <c r="F21729" s="193"/>
    </row>
    <row r="21730" spans="6:6" x14ac:dyDescent="0.3">
      <c r="F21730" s="193"/>
    </row>
    <row r="21731" spans="6:6" x14ac:dyDescent="0.3">
      <c r="F21731" s="193"/>
    </row>
    <row r="21732" spans="6:6" x14ac:dyDescent="0.3">
      <c r="F21732" s="193"/>
    </row>
    <row r="21733" spans="6:6" x14ac:dyDescent="0.3">
      <c r="F21733" s="193"/>
    </row>
    <row r="21734" spans="6:6" x14ac:dyDescent="0.3">
      <c r="F21734" s="193"/>
    </row>
    <row r="21735" spans="6:6" x14ac:dyDescent="0.3">
      <c r="F21735" s="193"/>
    </row>
    <row r="21736" spans="6:6" x14ac:dyDescent="0.3">
      <c r="F21736" s="193"/>
    </row>
    <row r="21737" spans="6:6" x14ac:dyDescent="0.3">
      <c r="F21737" s="193"/>
    </row>
    <row r="21738" spans="6:6" x14ac:dyDescent="0.3">
      <c r="F21738" s="193"/>
    </row>
    <row r="21739" spans="6:6" x14ac:dyDescent="0.3">
      <c r="F21739" s="193"/>
    </row>
    <row r="21740" spans="6:6" x14ac:dyDescent="0.3">
      <c r="F21740" s="193"/>
    </row>
    <row r="21741" spans="6:6" x14ac:dyDescent="0.3">
      <c r="F21741" s="193"/>
    </row>
    <row r="21742" spans="6:6" x14ac:dyDescent="0.3">
      <c r="F21742" s="193"/>
    </row>
    <row r="21743" spans="6:6" x14ac:dyDescent="0.3">
      <c r="F21743" s="193"/>
    </row>
    <row r="21744" spans="6:6" x14ac:dyDescent="0.3">
      <c r="F21744" s="193"/>
    </row>
    <row r="21745" spans="6:6" x14ac:dyDescent="0.3">
      <c r="F21745" s="193"/>
    </row>
    <row r="21746" spans="6:6" x14ac:dyDescent="0.3">
      <c r="F21746" s="193"/>
    </row>
    <row r="21747" spans="6:6" x14ac:dyDescent="0.3">
      <c r="F21747" s="193"/>
    </row>
    <row r="21748" spans="6:6" x14ac:dyDescent="0.3">
      <c r="F21748" s="193"/>
    </row>
    <row r="21749" spans="6:6" x14ac:dyDescent="0.3">
      <c r="F21749" s="193"/>
    </row>
    <row r="21750" spans="6:6" x14ac:dyDescent="0.3">
      <c r="F21750" s="193"/>
    </row>
    <row r="21751" spans="6:6" x14ac:dyDescent="0.3">
      <c r="F21751" s="193"/>
    </row>
    <row r="21752" spans="6:6" x14ac:dyDescent="0.3">
      <c r="F21752" s="193"/>
    </row>
    <row r="21753" spans="6:6" x14ac:dyDescent="0.3">
      <c r="F21753" s="193"/>
    </row>
    <row r="21754" spans="6:6" x14ac:dyDescent="0.3">
      <c r="F21754" s="193"/>
    </row>
    <row r="21755" spans="6:6" x14ac:dyDescent="0.3">
      <c r="F21755" s="193"/>
    </row>
    <row r="21756" spans="6:6" x14ac:dyDescent="0.3">
      <c r="F21756" s="193"/>
    </row>
    <row r="21757" spans="6:6" x14ac:dyDescent="0.3">
      <c r="F21757" s="193"/>
    </row>
    <row r="21758" spans="6:6" x14ac:dyDescent="0.3">
      <c r="F21758" s="193"/>
    </row>
    <row r="21759" spans="6:6" x14ac:dyDescent="0.3">
      <c r="F21759" s="193"/>
    </row>
    <row r="21760" spans="6:6" x14ac:dyDescent="0.3">
      <c r="F21760" s="193"/>
    </row>
    <row r="21761" spans="6:6" x14ac:dyDescent="0.3">
      <c r="F21761" s="193"/>
    </row>
    <row r="21762" spans="6:6" x14ac:dyDescent="0.3">
      <c r="F21762" s="193"/>
    </row>
    <row r="21763" spans="6:6" x14ac:dyDescent="0.3">
      <c r="F21763" s="193"/>
    </row>
    <row r="21764" spans="6:6" x14ac:dyDescent="0.3">
      <c r="F21764" s="193"/>
    </row>
    <row r="21765" spans="6:6" x14ac:dyDescent="0.3">
      <c r="F21765" s="193"/>
    </row>
    <row r="21766" spans="6:6" x14ac:dyDescent="0.3">
      <c r="F21766" s="193"/>
    </row>
    <row r="21767" spans="6:6" x14ac:dyDescent="0.3">
      <c r="F21767" s="193"/>
    </row>
    <row r="21768" spans="6:6" x14ac:dyDescent="0.3">
      <c r="F21768" s="193"/>
    </row>
    <row r="21769" spans="6:6" x14ac:dyDescent="0.3">
      <c r="F21769" s="193"/>
    </row>
    <row r="21770" spans="6:6" x14ac:dyDescent="0.3">
      <c r="F21770" s="193"/>
    </row>
    <row r="21771" spans="6:6" x14ac:dyDescent="0.3">
      <c r="F21771" s="193"/>
    </row>
    <row r="21772" spans="6:6" x14ac:dyDescent="0.3">
      <c r="F21772" s="193"/>
    </row>
    <row r="21773" spans="6:6" x14ac:dyDescent="0.3">
      <c r="F21773" s="193"/>
    </row>
    <row r="21774" spans="6:6" x14ac:dyDescent="0.3">
      <c r="F21774" s="193"/>
    </row>
    <row r="21775" spans="6:6" x14ac:dyDescent="0.3">
      <c r="F21775" s="193"/>
    </row>
    <row r="21776" spans="6:6" x14ac:dyDescent="0.3">
      <c r="F21776" s="193"/>
    </row>
    <row r="21777" spans="6:6" x14ac:dyDescent="0.3">
      <c r="F21777" s="193"/>
    </row>
    <row r="21778" spans="6:6" x14ac:dyDescent="0.3">
      <c r="F21778" s="193"/>
    </row>
    <row r="21779" spans="6:6" x14ac:dyDescent="0.3">
      <c r="F21779" s="193"/>
    </row>
    <row r="21780" spans="6:6" x14ac:dyDescent="0.3">
      <c r="F21780" s="193"/>
    </row>
    <row r="21781" spans="6:6" x14ac:dyDescent="0.3">
      <c r="F21781" s="193"/>
    </row>
    <row r="21782" spans="6:6" x14ac:dyDescent="0.3">
      <c r="F21782" s="193"/>
    </row>
    <row r="21783" spans="6:6" x14ac:dyDescent="0.3">
      <c r="F21783" s="193"/>
    </row>
    <row r="21784" spans="6:6" x14ac:dyDescent="0.3">
      <c r="F21784" s="193"/>
    </row>
    <row r="21785" spans="6:6" x14ac:dyDescent="0.3">
      <c r="F21785" s="193"/>
    </row>
    <row r="21786" spans="6:6" x14ac:dyDescent="0.3">
      <c r="F21786" s="193"/>
    </row>
    <row r="21787" spans="6:6" x14ac:dyDescent="0.3">
      <c r="F21787" s="193"/>
    </row>
    <row r="21788" spans="6:6" x14ac:dyDescent="0.3">
      <c r="F21788" s="193"/>
    </row>
    <row r="21789" spans="6:6" x14ac:dyDescent="0.3">
      <c r="F21789" s="193"/>
    </row>
    <row r="21790" spans="6:6" x14ac:dyDescent="0.3">
      <c r="F21790" s="193"/>
    </row>
    <row r="21791" spans="6:6" x14ac:dyDescent="0.3">
      <c r="F21791" s="193"/>
    </row>
    <row r="21792" spans="6:6" x14ac:dyDescent="0.3">
      <c r="F21792" s="193"/>
    </row>
    <row r="21793" spans="6:6" x14ac:dyDescent="0.3">
      <c r="F21793" s="193"/>
    </row>
    <row r="21794" spans="6:6" x14ac:dyDescent="0.3">
      <c r="F21794" s="193"/>
    </row>
    <row r="21795" spans="6:6" x14ac:dyDescent="0.3">
      <c r="F21795" s="193"/>
    </row>
    <row r="21796" spans="6:6" x14ac:dyDescent="0.3">
      <c r="F21796" s="193"/>
    </row>
    <row r="21797" spans="6:6" x14ac:dyDescent="0.3">
      <c r="F21797" s="193"/>
    </row>
    <row r="21798" spans="6:6" x14ac:dyDescent="0.3">
      <c r="F21798" s="193"/>
    </row>
    <row r="21799" spans="6:6" x14ac:dyDescent="0.3">
      <c r="F21799" s="193"/>
    </row>
    <row r="21800" spans="6:6" x14ac:dyDescent="0.3">
      <c r="F21800" s="193"/>
    </row>
    <row r="21801" spans="6:6" x14ac:dyDescent="0.3">
      <c r="F21801" s="193"/>
    </row>
    <row r="21802" spans="6:6" x14ac:dyDescent="0.3">
      <c r="F21802" s="193"/>
    </row>
    <row r="21803" spans="6:6" x14ac:dyDescent="0.3">
      <c r="F21803" s="193"/>
    </row>
    <row r="21804" spans="6:6" x14ac:dyDescent="0.3">
      <c r="F21804" s="193"/>
    </row>
    <row r="21805" spans="6:6" x14ac:dyDescent="0.3">
      <c r="F21805" s="193"/>
    </row>
    <row r="21806" spans="6:6" x14ac:dyDescent="0.3">
      <c r="F21806" s="193"/>
    </row>
    <row r="21807" spans="6:6" x14ac:dyDescent="0.3">
      <c r="F21807" s="193"/>
    </row>
    <row r="21808" spans="6:6" x14ac:dyDescent="0.3">
      <c r="F21808" s="193"/>
    </row>
    <row r="21809" spans="6:6" x14ac:dyDescent="0.3">
      <c r="F21809" s="193"/>
    </row>
    <row r="21810" spans="6:6" x14ac:dyDescent="0.3">
      <c r="F21810" s="193"/>
    </row>
    <row r="21811" spans="6:6" x14ac:dyDescent="0.3">
      <c r="F21811" s="193"/>
    </row>
    <row r="21812" spans="6:6" x14ac:dyDescent="0.3">
      <c r="F21812" s="193"/>
    </row>
    <row r="21813" spans="6:6" x14ac:dyDescent="0.3">
      <c r="F21813" s="193"/>
    </row>
    <row r="21814" spans="6:6" x14ac:dyDescent="0.3">
      <c r="F21814" s="193"/>
    </row>
    <row r="21815" spans="6:6" x14ac:dyDescent="0.3">
      <c r="F21815" s="193"/>
    </row>
    <row r="21816" spans="6:6" x14ac:dyDescent="0.3">
      <c r="F21816" s="193"/>
    </row>
    <row r="21817" spans="6:6" x14ac:dyDescent="0.3">
      <c r="F21817" s="193"/>
    </row>
    <row r="21818" spans="6:6" x14ac:dyDescent="0.3">
      <c r="F21818" s="193"/>
    </row>
    <row r="21819" spans="6:6" x14ac:dyDescent="0.3">
      <c r="F21819" s="193"/>
    </row>
    <row r="21820" spans="6:6" x14ac:dyDescent="0.3">
      <c r="F21820" s="193"/>
    </row>
    <row r="21821" spans="6:6" x14ac:dyDescent="0.3">
      <c r="F21821" s="193"/>
    </row>
    <row r="21822" spans="6:6" x14ac:dyDescent="0.3">
      <c r="F21822" s="193"/>
    </row>
    <row r="21823" spans="6:6" x14ac:dyDescent="0.3">
      <c r="F21823" s="193"/>
    </row>
    <row r="21824" spans="6:6" x14ac:dyDescent="0.3">
      <c r="F21824" s="193"/>
    </row>
    <row r="21825" spans="6:6" x14ac:dyDescent="0.3">
      <c r="F21825" s="193"/>
    </row>
    <row r="21826" spans="6:6" x14ac:dyDescent="0.3">
      <c r="F21826" s="193"/>
    </row>
    <row r="21827" spans="6:6" x14ac:dyDescent="0.3">
      <c r="F21827" s="193"/>
    </row>
    <row r="21828" spans="6:6" x14ac:dyDescent="0.3">
      <c r="F21828" s="193"/>
    </row>
    <row r="21829" spans="6:6" x14ac:dyDescent="0.3">
      <c r="F21829" s="193"/>
    </row>
    <row r="21830" spans="6:6" x14ac:dyDescent="0.3">
      <c r="F21830" s="193"/>
    </row>
    <row r="21831" spans="6:6" x14ac:dyDescent="0.3">
      <c r="F21831" s="193"/>
    </row>
    <row r="21832" spans="6:6" x14ac:dyDescent="0.3">
      <c r="F21832" s="193"/>
    </row>
    <row r="21833" spans="6:6" x14ac:dyDescent="0.3">
      <c r="F21833" s="193"/>
    </row>
    <row r="21834" spans="6:6" x14ac:dyDescent="0.3">
      <c r="F21834" s="193"/>
    </row>
    <row r="21835" spans="6:6" x14ac:dyDescent="0.3">
      <c r="F21835" s="193"/>
    </row>
    <row r="21836" spans="6:6" x14ac:dyDescent="0.3">
      <c r="F21836" s="193"/>
    </row>
    <row r="21837" spans="6:6" x14ac:dyDescent="0.3">
      <c r="F21837" s="193"/>
    </row>
    <row r="21838" spans="6:6" x14ac:dyDescent="0.3">
      <c r="F21838" s="193"/>
    </row>
    <row r="21839" spans="6:6" x14ac:dyDescent="0.3">
      <c r="F21839" s="193"/>
    </row>
    <row r="21840" spans="6:6" x14ac:dyDescent="0.3">
      <c r="F21840" s="193"/>
    </row>
    <row r="21841" spans="6:6" x14ac:dyDescent="0.3">
      <c r="F21841" s="193"/>
    </row>
    <row r="21842" spans="6:6" x14ac:dyDescent="0.3">
      <c r="F21842" s="193"/>
    </row>
    <row r="21843" spans="6:6" x14ac:dyDescent="0.3">
      <c r="F21843" s="193"/>
    </row>
    <row r="21844" spans="6:6" x14ac:dyDescent="0.3">
      <c r="F21844" s="193"/>
    </row>
    <row r="21845" spans="6:6" x14ac:dyDescent="0.3">
      <c r="F21845" s="193"/>
    </row>
    <row r="21846" spans="6:6" x14ac:dyDescent="0.3">
      <c r="F21846" s="193"/>
    </row>
    <row r="21847" spans="6:6" x14ac:dyDescent="0.3">
      <c r="F21847" s="193"/>
    </row>
    <row r="21848" spans="6:6" x14ac:dyDescent="0.3">
      <c r="F21848" s="193"/>
    </row>
    <row r="21849" spans="6:6" x14ac:dyDescent="0.3">
      <c r="F21849" s="193"/>
    </row>
    <row r="21850" spans="6:6" x14ac:dyDescent="0.3">
      <c r="F21850" s="193"/>
    </row>
    <row r="21851" spans="6:6" x14ac:dyDescent="0.3">
      <c r="F21851" s="193"/>
    </row>
    <row r="21852" spans="6:6" x14ac:dyDescent="0.3">
      <c r="F21852" s="193"/>
    </row>
    <row r="21853" spans="6:6" x14ac:dyDescent="0.3">
      <c r="F21853" s="193"/>
    </row>
    <row r="21854" spans="6:6" x14ac:dyDescent="0.3">
      <c r="F21854" s="193"/>
    </row>
    <row r="21855" spans="6:6" x14ac:dyDescent="0.3">
      <c r="F21855" s="193"/>
    </row>
    <row r="21856" spans="6:6" x14ac:dyDescent="0.3">
      <c r="F21856" s="193"/>
    </row>
    <row r="21857" spans="6:6" x14ac:dyDescent="0.3">
      <c r="F21857" s="193"/>
    </row>
    <row r="21858" spans="6:6" x14ac:dyDescent="0.3">
      <c r="F21858" s="193"/>
    </row>
    <row r="21859" spans="6:6" x14ac:dyDescent="0.3">
      <c r="F21859" s="193"/>
    </row>
    <row r="21860" spans="6:6" x14ac:dyDescent="0.3">
      <c r="F21860" s="193"/>
    </row>
    <row r="21861" spans="6:6" x14ac:dyDescent="0.3">
      <c r="F21861" s="193"/>
    </row>
    <row r="21862" spans="6:6" x14ac:dyDescent="0.3">
      <c r="F21862" s="193"/>
    </row>
    <row r="21863" spans="6:6" x14ac:dyDescent="0.3">
      <c r="F21863" s="193"/>
    </row>
    <row r="21864" spans="6:6" x14ac:dyDescent="0.3">
      <c r="F21864" s="193"/>
    </row>
    <row r="21865" spans="6:6" x14ac:dyDescent="0.3">
      <c r="F21865" s="193"/>
    </row>
    <row r="21866" spans="6:6" x14ac:dyDescent="0.3">
      <c r="F21866" s="193"/>
    </row>
    <row r="21867" spans="6:6" x14ac:dyDescent="0.3">
      <c r="F21867" s="193"/>
    </row>
    <row r="21868" spans="6:6" x14ac:dyDescent="0.3">
      <c r="F21868" s="193"/>
    </row>
    <row r="21869" spans="6:6" x14ac:dyDescent="0.3">
      <c r="F21869" s="193"/>
    </row>
    <row r="21870" spans="6:6" x14ac:dyDescent="0.3">
      <c r="F21870" s="193"/>
    </row>
    <row r="21871" spans="6:6" x14ac:dyDescent="0.3">
      <c r="F21871" s="193"/>
    </row>
    <row r="21872" spans="6:6" x14ac:dyDescent="0.3">
      <c r="F21872" s="193"/>
    </row>
    <row r="21873" spans="6:6" x14ac:dyDescent="0.3">
      <c r="F21873" s="193"/>
    </row>
    <row r="21874" spans="6:6" x14ac:dyDescent="0.3">
      <c r="F21874" s="193"/>
    </row>
    <row r="21875" spans="6:6" x14ac:dyDescent="0.3">
      <c r="F21875" s="193"/>
    </row>
    <row r="21876" spans="6:6" x14ac:dyDescent="0.3">
      <c r="F21876" s="193"/>
    </row>
    <row r="21877" spans="6:6" x14ac:dyDescent="0.3">
      <c r="F21877" s="193"/>
    </row>
    <row r="21878" spans="6:6" x14ac:dyDescent="0.3">
      <c r="F21878" s="193"/>
    </row>
    <row r="21879" spans="6:6" x14ac:dyDescent="0.3">
      <c r="F21879" s="193"/>
    </row>
    <row r="21880" spans="6:6" x14ac:dyDescent="0.3">
      <c r="F21880" s="193"/>
    </row>
    <row r="21881" spans="6:6" x14ac:dyDescent="0.3">
      <c r="F21881" s="193"/>
    </row>
    <row r="21882" spans="6:6" x14ac:dyDescent="0.3">
      <c r="F21882" s="193"/>
    </row>
    <row r="21883" spans="6:6" x14ac:dyDescent="0.3">
      <c r="F21883" s="193"/>
    </row>
    <row r="21884" spans="6:6" x14ac:dyDescent="0.3">
      <c r="F21884" s="193"/>
    </row>
    <row r="21885" spans="6:6" x14ac:dyDescent="0.3">
      <c r="F21885" s="193"/>
    </row>
    <row r="21886" spans="6:6" x14ac:dyDescent="0.3">
      <c r="F21886" s="193"/>
    </row>
    <row r="21887" spans="6:6" x14ac:dyDescent="0.3">
      <c r="F21887" s="193"/>
    </row>
    <row r="21888" spans="6:6" x14ac:dyDescent="0.3">
      <c r="F21888" s="193"/>
    </row>
    <row r="21889" spans="6:6" x14ac:dyDescent="0.3">
      <c r="F21889" s="193"/>
    </row>
    <row r="21890" spans="6:6" x14ac:dyDescent="0.3">
      <c r="F21890" s="193"/>
    </row>
    <row r="21891" spans="6:6" x14ac:dyDescent="0.3">
      <c r="F21891" s="193"/>
    </row>
    <row r="21892" spans="6:6" x14ac:dyDescent="0.3">
      <c r="F21892" s="193"/>
    </row>
    <row r="21893" spans="6:6" x14ac:dyDescent="0.3">
      <c r="F21893" s="193"/>
    </row>
    <row r="21894" spans="6:6" x14ac:dyDescent="0.3">
      <c r="F21894" s="193"/>
    </row>
    <row r="21895" spans="6:6" x14ac:dyDescent="0.3">
      <c r="F21895" s="193"/>
    </row>
    <row r="21896" spans="6:6" x14ac:dyDescent="0.3">
      <c r="F21896" s="193"/>
    </row>
    <row r="21897" spans="6:6" x14ac:dyDescent="0.3">
      <c r="F21897" s="193"/>
    </row>
    <row r="21898" spans="6:6" x14ac:dyDescent="0.3">
      <c r="F21898" s="193"/>
    </row>
    <row r="21899" spans="6:6" x14ac:dyDescent="0.3">
      <c r="F21899" s="193"/>
    </row>
    <row r="21900" spans="6:6" x14ac:dyDescent="0.3">
      <c r="F21900" s="193"/>
    </row>
    <row r="21901" spans="6:6" x14ac:dyDescent="0.3">
      <c r="F21901" s="193"/>
    </row>
    <row r="21902" spans="6:6" x14ac:dyDescent="0.3">
      <c r="F21902" s="193"/>
    </row>
    <row r="21903" spans="6:6" x14ac:dyDescent="0.3">
      <c r="F21903" s="193"/>
    </row>
    <row r="21904" spans="6:6" x14ac:dyDescent="0.3">
      <c r="F21904" s="193"/>
    </row>
    <row r="21905" spans="6:6" x14ac:dyDescent="0.3">
      <c r="F21905" s="193"/>
    </row>
    <row r="21906" spans="6:6" x14ac:dyDescent="0.3">
      <c r="F21906" s="193"/>
    </row>
    <row r="21907" spans="6:6" x14ac:dyDescent="0.3">
      <c r="F21907" s="193"/>
    </row>
    <row r="21908" spans="6:6" x14ac:dyDescent="0.3">
      <c r="F21908" s="193"/>
    </row>
    <row r="21909" spans="6:6" x14ac:dyDescent="0.3">
      <c r="F21909" s="193"/>
    </row>
    <row r="21910" spans="6:6" x14ac:dyDescent="0.3">
      <c r="F21910" s="193"/>
    </row>
    <row r="21911" spans="6:6" x14ac:dyDescent="0.3">
      <c r="F21911" s="193"/>
    </row>
    <row r="21912" spans="6:6" x14ac:dyDescent="0.3">
      <c r="F21912" s="193"/>
    </row>
    <row r="21913" spans="6:6" x14ac:dyDescent="0.3">
      <c r="F21913" s="193"/>
    </row>
    <row r="21914" spans="6:6" x14ac:dyDescent="0.3">
      <c r="F21914" s="193"/>
    </row>
    <row r="21915" spans="6:6" x14ac:dyDescent="0.3">
      <c r="F21915" s="193"/>
    </row>
    <row r="21916" spans="6:6" x14ac:dyDescent="0.3">
      <c r="F21916" s="193"/>
    </row>
    <row r="21917" spans="6:6" x14ac:dyDescent="0.3">
      <c r="F21917" s="193"/>
    </row>
    <row r="21918" spans="6:6" x14ac:dyDescent="0.3">
      <c r="F21918" s="193"/>
    </row>
    <row r="21919" spans="6:6" x14ac:dyDescent="0.3">
      <c r="F21919" s="193"/>
    </row>
    <row r="21920" spans="6:6" x14ac:dyDescent="0.3">
      <c r="F21920" s="193"/>
    </row>
    <row r="21921" spans="6:6" x14ac:dyDescent="0.3">
      <c r="F21921" s="193"/>
    </row>
    <row r="21922" spans="6:6" x14ac:dyDescent="0.3">
      <c r="F21922" s="193"/>
    </row>
    <row r="21923" spans="6:6" x14ac:dyDescent="0.3">
      <c r="F21923" s="193"/>
    </row>
    <row r="21924" spans="6:6" x14ac:dyDescent="0.3">
      <c r="F21924" s="193"/>
    </row>
    <row r="21925" spans="6:6" x14ac:dyDescent="0.3">
      <c r="F21925" s="193"/>
    </row>
    <row r="21926" spans="6:6" x14ac:dyDescent="0.3">
      <c r="F21926" s="193"/>
    </row>
    <row r="21927" spans="6:6" x14ac:dyDescent="0.3">
      <c r="F21927" s="193"/>
    </row>
    <row r="21928" spans="6:6" x14ac:dyDescent="0.3">
      <c r="F21928" s="193"/>
    </row>
    <row r="21929" spans="6:6" x14ac:dyDescent="0.3">
      <c r="F21929" s="193"/>
    </row>
    <row r="21930" spans="6:6" x14ac:dyDescent="0.3">
      <c r="F21930" s="193"/>
    </row>
    <row r="21931" spans="6:6" x14ac:dyDescent="0.3">
      <c r="F21931" s="193"/>
    </row>
    <row r="21932" spans="6:6" x14ac:dyDescent="0.3">
      <c r="F21932" s="193"/>
    </row>
    <row r="21933" spans="6:6" x14ac:dyDescent="0.3">
      <c r="F21933" s="193"/>
    </row>
    <row r="21934" spans="6:6" x14ac:dyDescent="0.3">
      <c r="F21934" s="193"/>
    </row>
    <row r="21935" spans="6:6" x14ac:dyDescent="0.3">
      <c r="F21935" s="193"/>
    </row>
    <row r="21936" spans="6:6" x14ac:dyDescent="0.3">
      <c r="F21936" s="193"/>
    </row>
    <row r="21937" spans="6:6" x14ac:dyDescent="0.3">
      <c r="F21937" s="193"/>
    </row>
    <row r="21938" spans="6:6" x14ac:dyDescent="0.3">
      <c r="F21938" s="193"/>
    </row>
    <row r="21939" spans="6:6" x14ac:dyDescent="0.3">
      <c r="F21939" s="193"/>
    </row>
    <row r="21940" spans="6:6" x14ac:dyDescent="0.3">
      <c r="F21940" s="193"/>
    </row>
    <row r="21941" spans="6:6" x14ac:dyDescent="0.3">
      <c r="F21941" s="193"/>
    </row>
    <row r="21942" spans="6:6" x14ac:dyDescent="0.3">
      <c r="F21942" s="193"/>
    </row>
    <row r="21943" spans="6:6" x14ac:dyDescent="0.3">
      <c r="F21943" s="193"/>
    </row>
    <row r="21944" spans="6:6" x14ac:dyDescent="0.3">
      <c r="F21944" s="193"/>
    </row>
    <row r="21945" spans="6:6" x14ac:dyDescent="0.3">
      <c r="F21945" s="193"/>
    </row>
    <row r="21946" spans="6:6" x14ac:dyDescent="0.3">
      <c r="F21946" s="193"/>
    </row>
    <row r="21947" spans="6:6" x14ac:dyDescent="0.3">
      <c r="F21947" s="193"/>
    </row>
    <row r="21948" spans="6:6" x14ac:dyDescent="0.3">
      <c r="F21948" s="193"/>
    </row>
    <row r="21949" spans="6:6" x14ac:dyDescent="0.3">
      <c r="F21949" s="193"/>
    </row>
    <row r="21950" spans="6:6" x14ac:dyDescent="0.3">
      <c r="F21950" s="193"/>
    </row>
    <row r="21951" spans="6:6" x14ac:dyDescent="0.3">
      <c r="F21951" s="193"/>
    </row>
    <row r="21952" spans="6:6" x14ac:dyDescent="0.3">
      <c r="F21952" s="193"/>
    </row>
    <row r="21953" spans="6:6" x14ac:dyDescent="0.3">
      <c r="F21953" s="193"/>
    </row>
    <row r="21954" spans="6:6" x14ac:dyDescent="0.3">
      <c r="F21954" s="193"/>
    </row>
    <row r="21955" spans="6:6" x14ac:dyDescent="0.3">
      <c r="F21955" s="193"/>
    </row>
    <row r="21956" spans="6:6" x14ac:dyDescent="0.3">
      <c r="F21956" s="193"/>
    </row>
    <row r="21957" spans="6:6" x14ac:dyDescent="0.3">
      <c r="F21957" s="193"/>
    </row>
    <row r="21958" spans="6:6" x14ac:dyDescent="0.3">
      <c r="F21958" s="193"/>
    </row>
    <row r="21959" spans="6:6" x14ac:dyDescent="0.3">
      <c r="F21959" s="193"/>
    </row>
    <row r="21960" spans="6:6" x14ac:dyDescent="0.3">
      <c r="F21960" s="193"/>
    </row>
    <row r="21961" spans="6:6" x14ac:dyDescent="0.3">
      <c r="F21961" s="193"/>
    </row>
    <row r="21962" spans="6:6" x14ac:dyDescent="0.3">
      <c r="F21962" s="193"/>
    </row>
    <row r="21963" spans="6:6" x14ac:dyDescent="0.3">
      <c r="F21963" s="193"/>
    </row>
    <row r="21964" spans="6:6" x14ac:dyDescent="0.3">
      <c r="F21964" s="193"/>
    </row>
    <row r="21965" spans="6:6" x14ac:dyDescent="0.3">
      <c r="F21965" s="193"/>
    </row>
    <row r="21966" spans="6:6" x14ac:dyDescent="0.3">
      <c r="F21966" s="193"/>
    </row>
    <row r="21967" spans="6:6" x14ac:dyDescent="0.3">
      <c r="F21967" s="193"/>
    </row>
    <row r="21968" spans="6:6" x14ac:dyDescent="0.3">
      <c r="F21968" s="193"/>
    </row>
    <row r="21969" spans="6:6" x14ac:dyDescent="0.3">
      <c r="F21969" s="193"/>
    </row>
    <row r="21970" spans="6:6" x14ac:dyDescent="0.3">
      <c r="F21970" s="193"/>
    </row>
    <row r="21971" spans="6:6" x14ac:dyDescent="0.3">
      <c r="F21971" s="193"/>
    </row>
    <row r="21972" spans="6:6" x14ac:dyDescent="0.3">
      <c r="F21972" s="193"/>
    </row>
    <row r="21973" spans="6:6" x14ac:dyDescent="0.3">
      <c r="F21973" s="193"/>
    </row>
    <row r="21974" spans="6:6" x14ac:dyDescent="0.3">
      <c r="F21974" s="193"/>
    </row>
    <row r="21975" spans="6:6" x14ac:dyDescent="0.3">
      <c r="F21975" s="193"/>
    </row>
    <row r="21976" spans="6:6" x14ac:dyDescent="0.3">
      <c r="F21976" s="193"/>
    </row>
    <row r="21977" spans="6:6" x14ac:dyDescent="0.3">
      <c r="F21977" s="193"/>
    </row>
    <row r="21978" spans="6:6" x14ac:dyDescent="0.3">
      <c r="F21978" s="193"/>
    </row>
    <row r="21979" spans="6:6" x14ac:dyDescent="0.3">
      <c r="F21979" s="193"/>
    </row>
    <row r="21980" spans="6:6" x14ac:dyDescent="0.3">
      <c r="F21980" s="193"/>
    </row>
    <row r="21981" spans="6:6" x14ac:dyDescent="0.3">
      <c r="F21981" s="193"/>
    </row>
    <row r="21982" spans="6:6" x14ac:dyDescent="0.3">
      <c r="F21982" s="193"/>
    </row>
    <row r="21983" spans="6:6" x14ac:dyDescent="0.3">
      <c r="F21983" s="193"/>
    </row>
    <row r="21984" spans="6:6" x14ac:dyDescent="0.3">
      <c r="F21984" s="193"/>
    </row>
    <row r="21985" spans="6:6" x14ac:dyDescent="0.3">
      <c r="F21985" s="193"/>
    </row>
    <row r="21986" spans="6:6" x14ac:dyDescent="0.3">
      <c r="F21986" s="193"/>
    </row>
    <row r="21987" spans="6:6" x14ac:dyDescent="0.3">
      <c r="F21987" s="193"/>
    </row>
    <row r="21988" spans="6:6" x14ac:dyDescent="0.3">
      <c r="F21988" s="193"/>
    </row>
    <row r="21989" spans="6:6" x14ac:dyDescent="0.3">
      <c r="F21989" s="193"/>
    </row>
    <row r="21990" spans="6:6" x14ac:dyDescent="0.3">
      <c r="F21990" s="193"/>
    </row>
    <row r="21991" spans="6:6" x14ac:dyDescent="0.3">
      <c r="F21991" s="193"/>
    </row>
    <row r="21992" spans="6:6" x14ac:dyDescent="0.3">
      <c r="F21992" s="193"/>
    </row>
    <row r="21993" spans="6:6" x14ac:dyDescent="0.3">
      <c r="F21993" s="193"/>
    </row>
    <row r="21994" spans="6:6" x14ac:dyDescent="0.3">
      <c r="F21994" s="193"/>
    </row>
    <row r="21995" spans="6:6" x14ac:dyDescent="0.3">
      <c r="F21995" s="193"/>
    </row>
    <row r="21996" spans="6:6" x14ac:dyDescent="0.3">
      <c r="F21996" s="193"/>
    </row>
    <row r="21997" spans="6:6" x14ac:dyDescent="0.3">
      <c r="F21997" s="193"/>
    </row>
    <row r="21998" spans="6:6" x14ac:dyDescent="0.3">
      <c r="F21998" s="193"/>
    </row>
    <row r="21999" spans="6:6" x14ac:dyDescent="0.3">
      <c r="F21999" s="193"/>
    </row>
    <row r="22000" spans="6:6" x14ac:dyDescent="0.3">
      <c r="F22000" s="193"/>
    </row>
    <row r="22001" spans="6:6" x14ac:dyDescent="0.3">
      <c r="F22001" s="193"/>
    </row>
    <row r="22002" spans="6:6" x14ac:dyDescent="0.3">
      <c r="F22002" s="193"/>
    </row>
    <row r="22003" spans="6:6" x14ac:dyDescent="0.3">
      <c r="F22003" s="193"/>
    </row>
    <row r="22004" spans="6:6" x14ac:dyDescent="0.3">
      <c r="F22004" s="193"/>
    </row>
    <row r="22005" spans="6:6" x14ac:dyDescent="0.3">
      <c r="F22005" s="193"/>
    </row>
    <row r="22006" spans="6:6" x14ac:dyDescent="0.3">
      <c r="F22006" s="193"/>
    </row>
    <row r="22007" spans="6:6" x14ac:dyDescent="0.3">
      <c r="F22007" s="193"/>
    </row>
    <row r="22008" spans="6:6" x14ac:dyDescent="0.3">
      <c r="F22008" s="193"/>
    </row>
    <row r="22009" spans="6:6" x14ac:dyDescent="0.3">
      <c r="F22009" s="193"/>
    </row>
    <row r="22010" spans="6:6" x14ac:dyDescent="0.3">
      <c r="F22010" s="193"/>
    </row>
    <row r="22011" spans="6:6" x14ac:dyDescent="0.3">
      <c r="F22011" s="193"/>
    </row>
    <row r="22012" spans="6:6" x14ac:dyDescent="0.3">
      <c r="F22012" s="193"/>
    </row>
    <row r="22013" spans="6:6" x14ac:dyDescent="0.3">
      <c r="F22013" s="193"/>
    </row>
    <row r="22014" spans="6:6" x14ac:dyDescent="0.3">
      <c r="F22014" s="193"/>
    </row>
    <row r="22015" spans="6:6" x14ac:dyDescent="0.3">
      <c r="F22015" s="193"/>
    </row>
    <row r="22016" spans="6:6" x14ac:dyDescent="0.3">
      <c r="F22016" s="193"/>
    </row>
    <row r="22017" spans="6:6" x14ac:dyDescent="0.3">
      <c r="F22017" s="193"/>
    </row>
    <row r="22018" spans="6:6" x14ac:dyDescent="0.3">
      <c r="F22018" s="193"/>
    </row>
    <row r="22019" spans="6:6" x14ac:dyDescent="0.3">
      <c r="F22019" s="193"/>
    </row>
    <row r="22020" spans="6:6" x14ac:dyDescent="0.3">
      <c r="F22020" s="193"/>
    </row>
    <row r="22021" spans="6:6" x14ac:dyDescent="0.3">
      <c r="F22021" s="193"/>
    </row>
    <row r="22022" spans="6:6" x14ac:dyDescent="0.3">
      <c r="F22022" s="193"/>
    </row>
    <row r="22023" spans="6:6" x14ac:dyDescent="0.3">
      <c r="F22023" s="193"/>
    </row>
    <row r="22024" spans="6:6" x14ac:dyDescent="0.3">
      <c r="F22024" s="193"/>
    </row>
    <row r="22025" spans="6:6" x14ac:dyDescent="0.3">
      <c r="F22025" s="193"/>
    </row>
    <row r="22026" spans="6:6" x14ac:dyDescent="0.3">
      <c r="F22026" s="193"/>
    </row>
    <row r="22027" spans="6:6" x14ac:dyDescent="0.3">
      <c r="F22027" s="193"/>
    </row>
    <row r="22028" spans="6:6" x14ac:dyDescent="0.3">
      <c r="F22028" s="193"/>
    </row>
    <row r="22029" spans="6:6" x14ac:dyDescent="0.3">
      <c r="F22029" s="193"/>
    </row>
    <row r="22030" spans="6:6" x14ac:dyDescent="0.3">
      <c r="F22030" s="193"/>
    </row>
    <row r="22031" spans="6:6" x14ac:dyDescent="0.3">
      <c r="F22031" s="193"/>
    </row>
    <row r="22032" spans="6:6" x14ac:dyDescent="0.3">
      <c r="F22032" s="193"/>
    </row>
    <row r="22033" spans="6:6" x14ac:dyDescent="0.3">
      <c r="F22033" s="193"/>
    </row>
    <row r="22034" spans="6:6" x14ac:dyDescent="0.3">
      <c r="F22034" s="193"/>
    </row>
    <row r="22035" spans="6:6" x14ac:dyDescent="0.3">
      <c r="F22035" s="193"/>
    </row>
    <row r="22036" spans="6:6" x14ac:dyDescent="0.3">
      <c r="F22036" s="193"/>
    </row>
    <row r="22037" spans="6:6" x14ac:dyDescent="0.3">
      <c r="F22037" s="193"/>
    </row>
    <row r="22038" spans="6:6" x14ac:dyDescent="0.3">
      <c r="F22038" s="193"/>
    </row>
    <row r="22039" spans="6:6" x14ac:dyDescent="0.3">
      <c r="F22039" s="193"/>
    </row>
    <row r="22040" spans="6:6" x14ac:dyDescent="0.3">
      <c r="F22040" s="193"/>
    </row>
    <row r="22041" spans="6:6" x14ac:dyDescent="0.3">
      <c r="F22041" s="193"/>
    </row>
    <row r="22042" spans="6:6" x14ac:dyDescent="0.3">
      <c r="F22042" s="193"/>
    </row>
    <row r="22043" spans="6:6" x14ac:dyDescent="0.3">
      <c r="F22043" s="193"/>
    </row>
    <row r="22044" spans="6:6" x14ac:dyDescent="0.3">
      <c r="F22044" s="193"/>
    </row>
    <row r="22045" spans="6:6" x14ac:dyDescent="0.3">
      <c r="F22045" s="193"/>
    </row>
    <row r="22046" spans="6:6" x14ac:dyDescent="0.3">
      <c r="F22046" s="193"/>
    </row>
    <row r="22047" spans="6:6" x14ac:dyDescent="0.3">
      <c r="F22047" s="193"/>
    </row>
    <row r="22048" spans="6:6" x14ac:dyDescent="0.3">
      <c r="F22048" s="193"/>
    </row>
    <row r="22049" spans="6:6" x14ac:dyDescent="0.3">
      <c r="F22049" s="193"/>
    </row>
    <row r="22050" spans="6:6" x14ac:dyDescent="0.3">
      <c r="F22050" s="193"/>
    </row>
    <row r="22051" spans="6:6" x14ac:dyDescent="0.3">
      <c r="F22051" s="193"/>
    </row>
    <row r="22052" spans="6:6" x14ac:dyDescent="0.3">
      <c r="F22052" s="193"/>
    </row>
    <row r="22053" spans="6:6" x14ac:dyDescent="0.3">
      <c r="F22053" s="193"/>
    </row>
    <row r="22054" spans="6:6" x14ac:dyDescent="0.3">
      <c r="F22054" s="193"/>
    </row>
    <row r="22055" spans="6:6" x14ac:dyDescent="0.3">
      <c r="F22055" s="193"/>
    </row>
    <row r="22056" spans="6:6" x14ac:dyDescent="0.3">
      <c r="F22056" s="193"/>
    </row>
    <row r="22057" spans="6:6" x14ac:dyDescent="0.3">
      <c r="F22057" s="193"/>
    </row>
    <row r="22058" spans="6:6" x14ac:dyDescent="0.3">
      <c r="F22058" s="193"/>
    </row>
    <row r="22059" spans="6:6" x14ac:dyDescent="0.3">
      <c r="F22059" s="193"/>
    </row>
    <row r="22060" spans="6:6" x14ac:dyDescent="0.3">
      <c r="F22060" s="193"/>
    </row>
    <row r="22061" spans="6:6" x14ac:dyDescent="0.3">
      <c r="F22061" s="193"/>
    </row>
    <row r="22062" spans="6:6" x14ac:dyDescent="0.3">
      <c r="F22062" s="193"/>
    </row>
    <row r="22063" spans="6:6" x14ac:dyDescent="0.3">
      <c r="F22063" s="193"/>
    </row>
    <row r="22064" spans="6:6" x14ac:dyDescent="0.3">
      <c r="F22064" s="193"/>
    </row>
    <row r="22065" spans="6:6" x14ac:dyDescent="0.3">
      <c r="F22065" s="193"/>
    </row>
    <row r="22066" spans="6:6" x14ac:dyDescent="0.3">
      <c r="F22066" s="193"/>
    </row>
    <row r="22067" spans="6:6" x14ac:dyDescent="0.3">
      <c r="F22067" s="193"/>
    </row>
    <row r="22068" spans="6:6" x14ac:dyDescent="0.3">
      <c r="F22068" s="193"/>
    </row>
    <row r="22069" spans="6:6" x14ac:dyDescent="0.3">
      <c r="F22069" s="193"/>
    </row>
    <row r="22070" spans="6:6" x14ac:dyDescent="0.3">
      <c r="F22070" s="193"/>
    </row>
    <row r="22071" spans="6:6" x14ac:dyDescent="0.3">
      <c r="F22071" s="193"/>
    </row>
    <row r="22072" spans="6:6" x14ac:dyDescent="0.3">
      <c r="F22072" s="193"/>
    </row>
    <row r="22073" spans="6:6" x14ac:dyDescent="0.3">
      <c r="F22073" s="193"/>
    </row>
    <row r="22074" spans="6:6" x14ac:dyDescent="0.3">
      <c r="F22074" s="193"/>
    </row>
    <row r="22075" spans="6:6" x14ac:dyDescent="0.3">
      <c r="F22075" s="193"/>
    </row>
    <row r="22076" spans="6:6" x14ac:dyDescent="0.3">
      <c r="F22076" s="193"/>
    </row>
    <row r="22077" spans="6:6" x14ac:dyDescent="0.3">
      <c r="F22077" s="193"/>
    </row>
    <row r="22078" spans="6:6" x14ac:dyDescent="0.3">
      <c r="F22078" s="193"/>
    </row>
    <row r="22079" spans="6:6" x14ac:dyDescent="0.3">
      <c r="F22079" s="193"/>
    </row>
    <row r="22080" spans="6:6" x14ac:dyDescent="0.3">
      <c r="F22080" s="193"/>
    </row>
    <row r="22081" spans="6:6" x14ac:dyDescent="0.3">
      <c r="F22081" s="193"/>
    </row>
    <row r="22082" spans="6:6" x14ac:dyDescent="0.3">
      <c r="F22082" s="193"/>
    </row>
    <row r="22083" spans="6:6" x14ac:dyDescent="0.3">
      <c r="F22083" s="193"/>
    </row>
    <row r="22084" spans="6:6" x14ac:dyDescent="0.3">
      <c r="F22084" s="193"/>
    </row>
    <row r="22085" spans="6:6" x14ac:dyDescent="0.3">
      <c r="F22085" s="193"/>
    </row>
    <row r="22086" spans="6:6" x14ac:dyDescent="0.3">
      <c r="F22086" s="193"/>
    </row>
    <row r="22087" spans="6:6" x14ac:dyDescent="0.3">
      <c r="F22087" s="193"/>
    </row>
    <row r="22088" spans="6:6" x14ac:dyDescent="0.3">
      <c r="F22088" s="193"/>
    </row>
    <row r="22089" spans="6:6" x14ac:dyDescent="0.3">
      <c r="F22089" s="193"/>
    </row>
    <row r="22090" spans="6:6" x14ac:dyDescent="0.3">
      <c r="F22090" s="193"/>
    </row>
    <row r="22091" spans="6:6" x14ac:dyDescent="0.3">
      <c r="F22091" s="193"/>
    </row>
    <row r="22092" spans="6:6" x14ac:dyDescent="0.3">
      <c r="F22092" s="193"/>
    </row>
    <row r="22093" spans="6:6" x14ac:dyDescent="0.3">
      <c r="F22093" s="193"/>
    </row>
    <row r="22094" spans="6:6" x14ac:dyDescent="0.3">
      <c r="F22094" s="193"/>
    </row>
    <row r="22095" spans="6:6" x14ac:dyDescent="0.3">
      <c r="F22095" s="193"/>
    </row>
    <row r="22096" spans="6:6" x14ac:dyDescent="0.3">
      <c r="F22096" s="193"/>
    </row>
    <row r="22097" spans="6:6" x14ac:dyDescent="0.3">
      <c r="F22097" s="193"/>
    </row>
    <row r="22098" spans="6:6" x14ac:dyDescent="0.3">
      <c r="F22098" s="193"/>
    </row>
    <row r="22099" spans="6:6" x14ac:dyDescent="0.3">
      <c r="F22099" s="193"/>
    </row>
    <row r="22100" spans="6:6" x14ac:dyDescent="0.3">
      <c r="F22100" s="193"/>
    </row>
    <row r="22101" spans="6:6" x14ac:dyDescent="0.3">
      <c r="F22101" s="193"/>
    </row>
    <row r="22102" spans="6:6" x14ac:dyDescent="0.3">
      <c r="F22102" s="193"/>
    </row>
    <row r="22103" spans="6:6" x14ac:dyDescent="0.3">
      <c r="F22103" s="193"/>
    </row>
    <row r="22104" spans="6:6" x14ac:dyDescent="0.3">
      <c r="F22104" s="193"/>
    </row>
    <row r="22105" spans="6:6" x14ac:dyDescent="0.3">
      <c r="F22105" s="193"/>
    </row>
    <row r="22106" spans="6:6" x14ac:dyDescent="0.3">
      <c r="F22106" s="193"/>
    </row>
    <row r="22107" spans="6:6" x14ac:dyDescent="0.3">
      <c r="F22107" s="193"/>
    </row>
    <row r="22108" spans="6:6" x14ac:dyDescent="0.3">
      <c r="F22108" s="193"/>
    </row>
    <row r="22109" spans="6:6" x14ac:dyDescent="0.3">
      <c r="F22109" s="193"/>
    </row>
    <row r="22110" spans="6:6" x14ac:dyDescent="0.3">
      <c r="F22110" s="193"/>
    </row>
    <row r="22111" spans="6:6" x14ac:dyDescent="0.3">
      <c r="F22111" s="193"/>
    </row>
    <row r="22112" spans="6:6" x14ac:dyDescent="0.3">
      <c r="F22112" s="193"/>
    </row>
    <row r="22113" spans="6:6" x14ac:dyDescent="0.3">
      <c r="F22113" s="193"/>
    </row>
    <row r="22114" spans="6:6" x14ac:dyDescent="0.3">
      <c r="F22114" s="193"/>
    </row>
    <row r="22115" spans="6:6" x14ac:dyDescent="0.3">
      <c r="F22115" s="193"/>
    </row>
    <row r="22116" spans="6:6" x14ac:dyDescent="0.3">
      <c r="F22116" s="193"/>
    </row>
    <row r="22117" spans="6:6" x14ac:dyDescent="0.3">
      <c r="F22117" s="193"/>
    </row>
    <row r="22118" spans="6:6" x14ac:dyDescent="0.3">
      <c r="F22118" s="193"/>
    </row>
    <row r="22119" spans="6:6" x14ac:dyDescent="0.3">
      <c r="F22119" s="193"/>
    </row>
    <row r="22120" spans="6:6" x14ac:dyDescent="0.3">
      <c r="F22120" s="193"/>
    </row>
    <row r="22121" spans="6:6" x14ac:dyDescent="0.3">
      <c r="F22121" s="193"/>
    </row>
    <row r="22122" spans="6:6" x14ac:dyDescent="0.3">
      <c r="F22122" s="193"/>
    </row>
    <row r="22123" spans="6:6" x14ac:dyDescent="0.3">
      <c r="F22123" s="193"/>
    </row>
    <row r="22124" spans="6:6" x14ac:dyDescent="0.3">
      <c r="F22124" s="193"/>
    </row>
    <row r="22125" spans="6:6" x14ac:dyDescent="0.3">
      <c r="F22125" s="193"/>
    </row>
    <row r="22126" spans="6:6" x14ac:dyDescent="0.3">
      <c r="F22126" s="193"/>
    </row>
    <row r="22127" spans="6:6" x14ac:dyDescent="0.3">
      <c r="F22127" s="193"/>
    </row>
    <row r="22128" spans="6:6" x14ac:dyDescent="0.3">
      <c r="F22128" s="193"/>
    </row>
    <row r="22129" spans="6:6" x14ac:dyDescent="0.3">
      <c r="F22129" s="193"/>
    </row>
    <row r="22130" spans="6:6" x14ac:dyDescent="0.3">
      <c r="F22130" s="193"/>
    </row>
    <row r="22131" spans="6:6" x14ac:dyDescent="0.3">
      <c r="F22131" s="193"/>
    </row>
    <row r="22132" spans="6:6" x14ac:dyDescent="0.3">
      <c r="F22132" s="193"/>
    </row>
    <row r="22133" spans="6:6" x14ac:dyDescent="0.3">
      <c r="F22133" s="193"/>
    </row>
    <row r="22134" spans="6:6" x14ac:dyDescent="0.3">
      <c r="F22134" s="193"/>
    </row>
    <row r="22135" spans="6:6" x14ac:dyDescent="0.3">
      <c r="F22135" s="193"/>
    </row>
    <row r="22136" spans="6:6" x14ac:dyDescent="0.3">
      <c r="F22136" s="193"/>
    </row>
    <row r="22137" spans="6:6" x14ac:dyDescent="0.3">
      <c r="F22137" s="193"/>
    </row>
    <row r="22138" spans="6:6" x14ac:dyDescent="0.3">
      <c r="F22138" s="193"/>
    </row>
    <row r="22139" spans="6:6" x14ac:dyDescent="0.3">
      <c r="F22139" s="193"/>
    </row>
    <row r="22140" spans="6:6" x14ac:dyDescent="0.3">
      <c r="F22140" s="193"/>
    </row>
    <row r="22141" spans="6:6" x14ac:dyDescent="0.3">
      <c r="F22141" s="193"/>
    </row>
    <row r="22142" spans="6:6" x14ac:dyDescent="0.3">
      <c r="F22142" s="193"/>
    </row>
    <row r="22143" spans="6:6" x14ac:dyDescent="0.3">
      <c r="F22143" s="193"/>
    </row>
    <row r="22144" spans="6:6" x14ac:dyDescent="0.3">
      <c r="F22144" s="193"/>
    </row>
    <row r="22145" spans="6:6" x14ac:dyDescent="0.3">
      <c r="F22145" s="193"/>
    </row>
    <row r="22146" spans="6:6" x14ac:dyDescent="0.3">
      <c r="F22146" s="193"/>
    </row>
    <row r="22147" spans="6:6" x14ac:dyDescent="0.3">
      <c r="F22147" s="193"/>
    </row>
    <row r="22148" spans="6:6" x14ac:dyDescent="0.3">
      <c r="F22148" s="193"/>
    </row>
    <row r="22149" spans="6:6" x14ac:dyDescent="0.3">
      <c r="F22149" s="193"/>
    </row>
    <row r="22150" spans="6:6" x14ac:dyDescent="0.3">
      <c r="F22150" s="193"/>
    </row>
    <row r="22151" spans="6:6" x14ac:dyDescent="0.3">
      <c r="F22151" s="193"/>
    </row>
    <row r="22152" spans="6:6" x14ac:dyDescent="0.3">
      <c r="F22152" s="193"/>
    </row>
    <row r="22153" spans="6:6" x14ac:dyDescent="0.3">
      <c r="F22153" s="193"/>
    </row>
    <row r="22154" spans="6:6" x14ac:dyDescent="0.3">
      <c r="F22154" s="193"/>
    </row>
    <row r="22155" spans="6:6" x14ac:dyDescent="0.3">
      <c r="F22155" s="193"/>
    </row>
    <row r="22156" spans="6:6" x14ac:dyDescent="0.3">
      <c r="F22156" s="193"/>
    </row>
    <row r="22157" spans="6:6" x14ac:dyDescent="0.3">
      <c r="F22157" s="193"/>
    </row>
    <row r="22158" spans="6:6" x14ac:dyDescent="0.3">
      <c r="F22158" s="193"/>
    </row>
    <row r="22159" spans="6:6" x14ac:dyDescent="0.3">
      <c r="F22159" s="193"/>
    </row>
    <row r="22160" spans="6:6" x14ac:dyDescent="0.3">
      <c r="F22160" s="193"/>
    </row>
    <row r="22161" spans="6:6" x14ac:dyDescent="0.3">
      <c r="F22161" s="193"/>
    </row>
    <row r="22162" spans="6:6" x14ac:dyDescent="0.3">
      <c r="F22162" s="193"/>
    </row>
    <row r="22163" spans="6:6" x14ac:dyDescent="0.3">
      <c r="F22163" s="193"/>
    </row>
    <row r="22164" spans="6:6" x14ac:dyDescent="0.3">
      <c r="F22164" s="193"/>
    </row>
    <row r="22165" spans="6:6" x14ac:dyDescent="0.3">
      <c r="F22165" s="193"/>
    </row>
    <row r="22166" spans="6:6" x14ac:dyDescent="0.3">
      <c r="F22166" s="193"/>
    </row>
    <row r="22167" spans="6:6" x14ac:dyDescent="0.3">
      <c r="F22167" s="193"/>
    </row>
    <row r="22168" spans="6:6" x14ac:dyDescent="0.3">
      <c r="F22168" s="193"/>
    </row>
    <row r="22169" spans="6:6" x14ac:dyDescent="0.3">
      <c r="F22169" s="193"/>
    </row>
    <row r="22170" spans="6:6" x14ac:dyDescent="0.3">
      <c r="F22170" s="193"/>
    </row>
    <row r="22171" spans="6:6" x14ac:dyDescent="0.3">
      <c r="F22171" s="193"/>
    </row>
    <row r="22172" spans="6:6" x14ac:dyDescent="0.3">
      <c r="F22172" s="193"/>
    </row>
    <row r="22173" spans="6:6" x14ac:dyDescent="0.3">
      <c r="F22173" s="193"/>
    </row>
    <row r="22174" spans="6:6" x14ac:dyDescent="0.3">
      <c r="F22174" s="193"/>
    </row>
    <row r="22175" spans="6:6" x14ac:dyDescent="0.3">
      <c r="F22175" s="193"/>
    </row>
    <row r="22176" spans="6:6" x14ac:dyDescent="0.3">
      <c r="F22176" s="193"/>
    </row>
    <row r="22177" spans="6:6" x14ac:dyDescent="0.3">
      <c r="F22177" s="193"/>
    </row>
    <row r="22178" spans="6:6" x14ac:dyDescent="0.3">
      <c r="F22178" s="193"/>
    </row>
    <row r="22179" spans="6:6" x14ac:dyDescent="0.3">
      <c r="F22179" s="193"/>
    </row>
    <row r="22180" spans="6:6" x14ac:dyDescent="0.3">
      <c r="F22180" s="193"/>
    </row>
    <row r="22181" spans="6:6" x14ac:dyDescent="0.3">
      <c r="F22181" s="193"/>
    </row>
    <row r="22182" spans="6:6" x14ac:dyDescent="0.3">
      <c r="F22182" s="193"/>
    </row>
    <row r="22183" spans="6:6" x14ac:dyDescent="0.3">
      <c r="F22183" s="193"/>
    </row>
    <row r="22184" spans="6:6" x14ac:dyDescent="0.3">
      <c r="F22184" s="193"/>
    </row>
    <row r="22185" spans="6:6" x14ac:dyDescent="0.3">
      <c r="F22185" s="193"/>
    </row>
    <row r="22186" spans="6:6" x14ac:dyDescent="0.3">
      <c r="F22186" s="193"/>
    </row>
    <row r="22187" spans="6:6" x14ac:dyDescent="0.3">
      <c r="F22187" s="193"/>
    </row>
    <row r="22188" spans="6:6" x14ac:dyDescent="0.3">
      <c r="F22188" s="193"/>
    </row>
    <row r="22189" spans="6:6" x14ac:dyDescent="0.3">
      <c r="F22189" s="193"/>
    </row>
    <row r="22190" spans="6:6" x14ac:dyDescent="0.3">
      <c r="F22190" s="193"/>
    </row>
    <row r="22191" spans="6:6" x14ac:dyDescent="0.3">
      <c r="F22191" s="193"/>
    </row>
    <row r="22192" spans="6:6" x14ac:dyDescent="0.3">
      <c r="F22192" s="193"/>
    </row>
    <row r="22193" spans="6:6" x14ac:dyDescent="0.3">
      <c r="F22193" s="193"/>
    </row>
    <row r="22194" spans="6:6" x14ac:dyDescent="0.3">
      <c r="F22194" s="193"/>
    </row>
    <row r="22195" spans="6:6" x14ac:dyDescent="0.3">
      <c r="F22195" s="193"/>
    </row>
    <row r="22196" spans="6:6" x14ac:dyDescent="0.3">
      <c r="F22196" s="193"/>
    </row>
    <row r="22197" spans="6:6" x14ac:dyDescent="0.3">
      <c r="F22197" s="193"/>
    </row>
    <row r="22198" spans="6:6" x14ac:dyDescent="0.3">
      <c r="F22198" s="193"/>
    </row>
    <row r="22199" spans="6:6" x14ac:dyDescent="0.3">
      <c r="F22199" s="193"/>
    </row>
    <row r="22200" spans="6:6" x14ac:dyDescent="0.3">
      <c r="F22200" s="193"/>
    </row>
    <row r="22201" spans="6:6" x14ac:dyDescent="0.3">
      <c r="F22201" s="193"/>
    </row>
    <row r="22202" spans="6:6" x14ac:dyDescent="0.3">
      <c r="F22202" s="193"/>
    </row>
    <row r="22203" spans="6:6" x14ac:dyDescent="0.3">
      <c r="F22203" s="193"/>
    </row>
    <row r="22204" spans="6:6" x14ac:dyDescent="0.3">
      <c r="F22204" s="193"/>
    </row>
    <row r="22205" spans="6:6" x14ac:dyDescent="0.3">
      <c r="F22205" s="193"/>
    </row>
    <row r="22206" spans="6:6" x14ac:dyDescent="0.3">
      <c r="F22206" s="193"/>
    </row>
    <row r="22207" spans="6:6" x14ac:dyDescent="0.3">
      <c r="F22207" s="193"/>
    </row>
    <row r="22208" spans="6:6" x14ac:dyDescent="0.3">
      <c r="F22208" s="193"/>
    </row>
    <row r="22209" spans="6:6" x14ac:dyDescent="0.3">
      <c r="F22209" s="193"/>
    </row>
    <row r="22210" spans="6:6" x14ac:dyDescent="0.3">
      <c r="F22210" s="193"/>
    </row>
    <row r="22211" spans="6:6" x14ac:dyDescent="0.3">
      <c r="F22211" s="193"/>
    </row>
    <row r="22212" spans="6:6" x14ac:dyDescent="0.3">
      <c r="F22212" s="193"/>
    </row>
    <row r="22213" spans="6:6" x14ac:dyDescent="0.3">
      <c r="F22213" s="193"/>
    </row>
    <row r="22214" spans="6:6" x14ac:dyDescent="0.3">
      <c r="F22214" s="193"/>
    </row>
    <row r="22215" spans="6:6" x14ac:dyDescent="0.3">
      <c r="F22215" s="193"/>
    </row>
    <row r="22216" spans="6:6" x14ac:dyDescent="0.3">
      <c r="F22216" s="193"/>
    </row>
    <row r="22217" spans="6:6" x14ac:dyDescent="0.3">
      <c r="F22217" s="193"/>
    </row>
    <row r="22218" spans="6:6" x14ac:dyDescent="0.3">
      <c r="F22218" s="193"/>
    </row>
    <row r="22219" spans="6:6" x14ac:dyDescent="0.3">
      <c r="F22219" s="193"/>
    </row>
    <row r="22220" spans="6:6" x14ac:dyDescent="0.3">
      <c r="F22220" s="193"/>
    </row>
    <row r="22221" spans="6:6" x14ac:dyDescent="0.3">
      <c r="F22221" s="193"/>
    </row>
    <row r="22222" spans="6:6" x14ac:dyDescent="0.3">
      <c r="F22222" s="193"/>
    </row>
    <row r="22223" spans="6:6" x14ac:dyDescent="0.3">
      <c r="F22223" s="193"/>
    </row>
    <row r="22224" spans="6:6" x14ac:dyDescent="0.3">
      <c r="F22224" s="193"/>
    </row>
    <row r="22225" spans="6:6" x14ac:dyDescent="0.3">
      <c r="F22225" s="193"/>
    </row>
    <row r="22226" spans="6:6" x14ac:dyDescent="0.3">
      <c r="F22226" s="193"/>
    </row>
    <row r="22227" spans="6:6" x14ac:dyDescent="0.3">
      <c r="F22227" s="193"/>
    </row>
    <row r="22228" spans="6:6" x14ac:dyDescent="0.3">
      <c r="F22228" s="193"/>
    </row>
    <row r="22229" spans="6:6" x14ac:dyDescent="0.3">
      <c r="F22229" s="193"/>
    </row>
    <row r="22230" spans="6:6" x14ac:dyDescent="0.3">
      <c r="F22230" s="193"/>
    </row>
    <row r="22231" spans="6:6" x14ac:dyDescent="0.3">
      <c r="F22231" s="193"/>
    </row>
    <row r="22232" spans="6:6" x14ac:dyDescent="0.3">
      <c r="F22232" s="193"/>
    </row>
    <row r="22233" spans="6:6" x14ac:dyDescent="0.3">
      <c r="F22233" s="193"/>
    </row>
    <row r="22234" spans="6:6" x14ac:dyDescent="0.3">
      <c r="F22234" s="193"/>
    </row>
    <row r="22235" spans="6:6" x14ac:dyDescent="0.3">
      <c r="F22235" s="193"/>
    </row>
    <row r="22236" spans="6:6" x14ac:dyDescent="0.3">
      <c r="F22236" s="193"/>
    </row>
    <row r="22237" spans="6:6" x14ac:dyDescent="0.3">
      <c r="F22237" s="193"/>
    </row>
    <row r="22238" spans="6:6" x14ac:dyDescent="0.3">
      <c r="F22238" s="193"/>
    </row>
    <row r="22239" spans="6:6" x14ac:dyDescent="0.3">
      <c r="F22239" s="193"/>
    </row>
    <row r="22240" spans="6:6" x14ac:dyDescent="0.3">
      <c r="F22240" s="193"/>
    </row>
    <row r="22241" spans="6:6" x14ac:dyDescent="0.3">
      <c r="F22241" s="193"/>
    </row>
    <row r="22242" spans="6:6" x14ac:dyDescent="0.3">
      <c r="F22242" s="193"/>
    </row>
    <row r="22243" spans="6:6" x14ac:dyDescent="0.3">
      <c r="F22243" s="193"/>
    </row>
    <row r="22244" spans="6:6" x14ac:dyDescent="0.3">
      <c r="F22244" s="193"/>
    </row>
    <row r="22245" spans="6:6" x14ac:dyDescent="0.3">
      <c r="F22245" s="193"/>
    </row>
    <row r="22246" spans="6:6" x14ac:dyDescent="0.3">
      <c r="F22246" s="193"/>
    </row>
    <row r="22247" spans="6:6" x14ac:dyDescent="0.3">
      <c r="F22247" s="193"/>
    </row>
    <row r="22248" spans="6:6" x14ac:dyDescent="0.3">
      <c r="F22248" s="193"/>
    </row>
    <row r="22249" spans="6:6" x14ac:dyDescent="0.3">
      <c r="F22249" s="193"/>
    </row>
    <row r="22250" spans="6:6" x14ac:dyDescent="0.3">
      <c r="F22250" s="193"/>
    </row>
    <row r="22251" spans="6:6" x14ac:dyDescent="0.3">
      <c r="F22251" s="193"/>
    </row>
    <row r="22252" spans="6:6" x14ac:dyDescent="0.3">
      <c r="F22252" s="193"/>
    </row>
    <row r="22253" spans="6:6" x14ac:dyDescent="0.3">
      <c r="F22253" s="193"/>
    </row>
    <row r="22254" spans="6:6" x14ac:dyDescent="0.3">
      <c r="F22254" s="193"/>
    </row>
    <row r="22255" spans="6:6" x14ac:dyDescent="0.3">
      <c r="F22255" s="193"/>
    </row>
    <row r="22256" spans="6:6" x14ac:dyDescent="0.3">
      <c r="F22256" s="193"/>
    </row>
    <row r="22257" spans="6:6" x14ac:dyDescent="0.3">
      <c r="F22257" s="193"/>
    </row>
    <row r="22258" spans="6:6" x14ac:dyDescent="0.3">
      <c r="F22258" s="193"/>
    </row>
    <row r="22259" spans="6:6" x14ac:dyDescent="0.3">
      <c r="F22259" s="193"/>
    </row>
    <row r="22260" spans="6:6" x14ac:dyDescent="0.3">
      <c r="F22260" s="193"/>
    </row>
    <row r="22261" spans="6:6" x14ac:dyDescent="0.3">
      <c r="F22261" s="193"/>
    </row>
    <row r="22262" spans="6:6" x14ac:dyDescent="0.3">
      <c r="F22262" s="193"/>
    </row>
    <row r="22263" spans="6:6" x14ac:dyDescent="0.3">
      <c r="F22263" s="193"/>
    </row>
    <row r="22264" spans="6:6" x14ac:dyDescent="0.3">
      <c r="F22264" s="193"/>
    </row>
    <row r="22265" spans="6:6" x14ac:dyDescent="0.3">
      <c r="F22265" s="193"/>
    </row>
    <row r="22266" spans="6:6" x14ac:dyDescent="0.3">
      <c r="F22266" s="193"/>
    </row>
    <row r="22267" spans="6:6" x14ac:dyDescent="0.3">
      <c r="F22267" s="193"/>
    </row>
    <row r="22268" spans="6:6" x14ac:dyDescent="0.3">
      <c r="F22268" s="193"/>
    </row>
    <row r="22269" spans="6:6" x14ac:dyDescent="0.3">
      <c r="F22269" s="193"/>
    </row>
    <row r="22270" spans="6:6" x14ac:dyDescent="0.3">
      <c r="F22270" s="193"/>
    </row>
    <row r="22271" spans="6:6" x14ac:dyDescent="0.3">
      <c r="F22271" s="193"/>
    </row>
    <row r="22272" spans="6:6" x14ac:dyDescent="0.3">
      <c r="F22272" s="193"/>
    </row>
    <row r="22273" spans="6:6" x14ac:dyDescent="0.3">
      <c r="F22273" s="193"/>
    </row>
    <row r="22274" spans="6:6" x14ac:dyDescent="0.3">
      <c r="F22274" s="193"/>
    </row>
    <row r="22275" spans="6:6" x14ac:dyDescent="0.3">
      <c r="F22275" s="193"/>
    </row>
    <row r="22276" spans="6:6" x14ac:dyDescent="0.3">
      <c r="F22276" s="193"/>
    </row>
    <row r="22277" spans="6:6" x14ac:dyDescent="0.3">
      <c r="F22277" s="193"/>
    </row>
    <row r="22278" spans="6:6" x14ac:dyDescent="0.3">
      <c r="F22278" s="193"/>
    </row>
    <row r="22279" spans="6:6" x14ac:dyDescent="0.3">
      <c r="F22279" s="193"/>
    </row>
    <row r="22280" spans="6:6" x14ac:dyDescent="0.3">
      <c r="F22280" s="193"/>
    </row>
    <row r="22281" spans="6:6" x14ac:dyDescent="0.3">
      <c r="F22281" s="193"/>
    </row>
    <row r="22282" spans="6:6" x14ac:dyDescent="0.3">
      <c r="F22282" s="193"/>
    </row>
    <row r="22283" spans="6:6" x14ac:dyDescent="0.3">
      <c r="F22283" s="193"/>
    </row>
    <row r="22284" spans="6:6" x14ac:dyDescent="0.3">
      <c r="F22284" s="193"/>
    </row>
    <row r="22285" spans="6:6" x14ac:dyDescent="0.3">
      <c r="F22285" s="193"/>
    </row>
    <row r="22286" spans="6:6" x14ac:dyDescent="0.3">
      <c r="F22286" s="193"/>
    </row>
    <row r="22287" spans="6:6" x14ac:dyDescent="0.3">
      <c r="F22287" s="193"/>
    </row>
    <row r="22288" spans="6:6" x14ac:dyDescent="0.3">
      <c r="F22288" s="193"/>
    </row>
    <row r="22289" spans="6:6" x14ac:dyDescent="0.3">
      <c r="F22289" s="193"/>
    </row>
    <row r="22290" spans="6:6" x14ac:dyDescent="0.3">
      <c r="F22290" s="193"/>
    </row>
    <row r="22291" spans="6:6" x14ac:dyDescent="0.3">
      <c r="F22291" s="193"/>
    </row>
    <row r="22292" spans="6:6" x14ac:dyDescent="0.3">
      <c r="F22292" s="193"/>
    </row>
    <row r="22293" spans="6:6" x14ac:dyDescent="0.3">
      <c r="F22293" s="193"/>
    </row>
    <row r="22294" spans="6:6" x14ac:dyDescent="0.3">
      <c r="F22294" s="193"/>
    </row>
    <row r="22295" spans="6:6" x14ac:dyDescent="0.3">
      <c r="F22295" s="193"/>
    </row>
    <row r="22296" spans="6:6" x14ac:dyDescent="0.3">
      <c r="F22296" s="193"/>
    </row>
    <row r="22297" spans="6:6" x14ac:dyDescent="0.3">
      <c r="F22297" s="193"/>
    </row>
    <row r="22298" spans="6:6" x14ac:dyDescent="0.3">
      <c r="F22298" s="193"/>
    </row>
    <row r="22299" spans="6:6" x14ac:dyDescent="0.3">
      <c r="F22299" s="193"/>
    </row>
    <row r="22300" spans="6:6" x14ac:dyDescent="0.3">
      <c r="F22300" s="193"/>
    </row>
    <row r="22301" spans="6:6" x14ac:dyDescent="0.3">
      <c r="F22301" s="193"/>
    </row>
    <row r="22302" spans="6:6" x14ac:dyDescent="0.3">
      <c r="F22302" s="193"/>
    </row>
    <row r="22303" spans="6:6" x14ac:dyDescent="0.3">
      <c r="F22303" s="193"/>
    </row>
    <row r="22304" spans="6:6" x14ac:dyDescent="0.3">
      <c r="F22304" s="193"/>
    </row>
    <row r="22305" spans="6:6" x14ac:dyDescent="0.3">
      <c r="F22305" s="193"/>
    </row>
    <row r="22306" spans="6:6" x14ac:dyDescent="0.3">
      <c r="F22306" s="193"/>
    </row>
    <row r="22307" spans="6:6" x14ac:dyDescent="0.3">
      <c r="F22307" s="193"/>
    </row>
    <row r="22308" spans="6:6" x14ac:dyDescent="0.3">
      <c r="F22308" s="193"/>
    </row>
    <row r="22309" spans="6:6" x14ac:dyDescent="0.3">
      <c r="F22309" s="193"/>
    </row>
    <row r="22310" spans="6:6" x14ac:dyDescent="0.3">
      <c r="F22310" s="193"/>
    </row>
    <row r="22311" spans="6:6" x14ac:dyDescent="0.3">
      <c r="F22311" s="193"/>
    </row>
    <row r="22312" spans="6:6" x14ac:dyDescent="0.3">
      <c r="F22312" s="193"/>
    </row>
    <row r="22313" spans="6:6" x14ac:dyDescent="0.3">
      <c r="F22313" s="193"/>
    </row>
    <row r="22314" spans="6:6" x14ac:dyDescent="0.3">
      <c r="F22314" s="193"/>
    </row>
    <row r="22315" spans="6:6" x14ac:dyDescent="0.3">
      <c r="F22315" s="193"/>
    </row>
    <row r="22316" spans="6:6" x14ac:dyDescent="0.3">
      <c r="F22316" s="193"/>
    </row>
    <row r="22317" spans="6:6" x14ac:dyDescent="0.3">
      <c r="F22317" s="193"/>
    </row>
    <row r="22318" spans="6:6" x14ac:dyDescent="0.3">
      <c r="F22318" s="193"/>
    </row>
    <row r="22319" spans="6:6" x14ac:dyDescent="0.3">
      <c r="F22319" s="193"/>
    </row>
    <row r="22320" spans="6:6" x14ac:dyDescent="0.3">
      <c r="F22320" s="193"/>
    </row>
    <row r="22321" spans="6:6" x14ac:dyDescent="0.3">
      <c r="F22321" s="193"/>
    </row>
    <row r="22322" spans="6:6" x14ac:dyDescent="0.3">
      <c r="F22322" s="193"/>
    </row>
    <row r="22323" spans="6:6" x14ac:dyDescent="0.3">
      <c r="F22323" s="193"/>
    </row>
    <row r="22324" spans="6:6" x14ac:dyDescent="0.3">
      <c r="F22324" s="193"/>
    </row>
    <row r="22325" spans="6:6" x14ac:dyDescent="0.3">
      <c r="F22325" s="193"/>
    </row>
    <row r="22326" spans="6:6" x14ac:dyDescent="0.3">
      <c r="F22326" s="193"/>
    </row>
    <row r="22327" spans="6:6" x14ac:dyDescent="0.3">
      <c r="F22327" s="193"/>
    </row>
    <row r="22328" spans="6:6" x14ac:dyDescent="0.3">
      <c r="F22328" s="193"/>
    </row>
    <row r="22329" spans="6:6" x14ac:dyDescent="0.3">
      <c r="F22329" s="193"/>
    </row>
    <row r="22330" spans="6:6" x14ac:dyDescent="0.3">
      <c r="F22330" s="193"/>
    </row>
    <row r="22331" spans="6:6" x14ac:dyDescent="0.3">
      <c r="F22331" s="193"/>
    </row>
    <row r="22332" spans="6:6" x14ac:dyDescent="0.3">
      <c r="F22332" s="193"/>
    </row>
    <row r="22333" spans="6:6" x14ac:dyDescent="0.3">
      <c r="F22333" s="193"/>
    </row>
    <row r="22334" spans="6:6" x14ac:dyDescent="0.3">
      <c r="F22334" s="193"/>
    </row>
    <row r="22335" spans="6:6" x14ac:dyDescent="0.3">
      <c r="F22335" s="193"/>
    </row>
    <row r="22336" spans="6:6" x14ac:dyDescent="0.3">
      <c r="F22336" s="193"/>
    </row>
    <row r="22337" spans="6:6" x14ac:dyDescent="0.3">
      <c r="F22337" s="193"/>
    </row>
    <row r="22338" spans="6:6" x14ac:dyDescent="0.3">
      <c r="F22338" s="193"/>
    </row>
    <row r="22339" spans="6:6" x14ac:dyDescent="0.3">
      <c r="F22339" s="193"/>
    </row>
    <row r="22340" spans="6:6" x14ac:dyDescent="0.3">
      <c r="F22340" s="193"/>
    </row>
    <row r="22341" spans="6:6" x14ac:dyDescent="0.3">
      <c r="F22341" s="193"/>
    </row>
    <row r="22342" spans="6:6" x14ac:dyDescent="0.3">
      <c r="F22342" s="193"/>
    </row>
    <row r="22343" spans="6:6" x14ac:dyDescent="0.3">
      <c r="F22343" s="193"/>
    </row>
    <row r="22344" spans="6:6" x14ac:dyDescent="0.3">
      <c r="F22344" s="193"/>
    </row>
    <row r="22345" spans="6:6" x14ac:dyDescent="0.3">
      <c r="F22345" s="193"/>
    </row>
    <row r="22346" spans="6:6" x14ac:dyDescent="0.3">
      <c r="F22346" s="193"/>
    </row>
    <row r="22347" spans="6:6" x14ac:dyDescent="0.3">
      <c r="F22347" s="193"/>
    </row>
    <row r="22348" spans="6:6" x14ac:dyDescent="0.3">
      <c r="F22348" s="193"/>
    </row>
    <row r="22349" spans="6:6" x14ac:dyDescent="0.3">
      <c r="F22349" s="193"/>
    </row>
    <row r="22350" spans="6:6" x14ac:dyDescent="0.3">
      <c r="F22350" s="193"/>
    </row>
    <row r="22351" spans="6:6" x14ac:dyDescent="0.3">
      <c r="F22351" s="193"/>
    </row>
    <row r="22352" spans="6:6" x14ac:dyDescent="0.3">
      <c r="F22352" s="193"/>
    </row>
    <row r="22353" spans="6:6" x14ac:dyDescent="0.3">
      <c r="F22353" s="193"/>
    </row>
    <row r="22354" spans="6:6" x14ac:dyDescent="0.3">
      <c r="F22354" s="193"/>
    </row>
    <row r="22355" spans="6:6" x14ac:dyDescent="0.3">
      <c r="F22355" s="193"/>
    </row>
    <row r="22356" spans="6:6" x14ac:dyDescent="0.3">
      <c r="F22356" s="193"/>
    </row>
    <row r="22357" spans="6:6" x14ac:dyDescent="0.3">
      <c r="F22357" s="193"/>
    </row>
    <row r="22358" spans="6:6" x14ac:dyDescent="0.3">
      <c r="F22358" s="193"/>
    </row>
    <row r="22359" spans="6:6" x14ac:dyDescent="0.3">
      <c r="F22359" s="193"/>
    </row>
    <row r="22360" spans="6:6" x14ac:dyDescent="0.3">
      <c r="F22360" s="193"/>
    </row>
    <row r="22361" spans="6:6" x14ac:dyDescent="0.3">
      <c r="F22361" s="193"/>
    </row>
    <row r="22362" spans="6:6" x14ac:dyDescent="0.3">
      <c r="F22362" s="193"/>
    </row>
    <row r="22363" spans="6:6" x14ac:dyDescent="0.3">
      <c r="F22363" s="193"/>
    </row>
    <row r="22364" spans="6:6" x14ac:dyDescent="0.3">
      <c r="F22364" s="193"/>
    </row>
    <row r="22365" spans="6:6" x14ac:dyDescent="0.3">
      <c r="F22365" s="193"/>
    </row>
    <row r="22366" spans="6:6" x14ac:dyDescent="0.3">
      <c r="F22366" s="193"/>
    </row>
    <row r="22367" spans="6:6" x14ac:dyDescent="0.3">
      <c r="F22367" s="193"/>
    </row>
    <row r="22368" spans="6:6" x14ac:dyDescent="0.3">
      <c r="F22368" s="193"/>
    </row>
    <row r="22369" spans="6:6" x14ac:dyDescent="0.3">
      <c r="F22369" s="193"/>
    </row>
    <row r="22370" spans="6:6" x14ac:dyDescent="0.3">
      <c r="F22370" s="193"/>
    </row>
    <row r="22371" spans="6:6" x14ac:dyDescent="0.3">
      <c r="F22371" s="193"/>
    </row>
    <row r="22372" spans="6:6" x14ac:dyDescent="0.3">
      <c r="F22372" s="193"/>
    </row>
    <row r="22373" spans="6:6" x14ac:dyDescent="0.3">
      <c r="F22373" s="193"/>
    </row>
    <row r="22374" spans="6:6" x14ac:dyDescent="0.3">
      <c r="F22374" s="193"/>
    </row>
    <row r="22375" spans="6:6" x14ac:dyDescent="0.3">
      <c r="F22375" s="193"/>
    </row>
    <row r="22376" spans="6:6" x14ac:dyDescent="0.3">
      <c r="F22376" s="193"/>
    </row>
    <row r="22377" spans="6:6" x14ac:dyDescent="0.3">
      <c r="F22377" s="193"/>
    </row>
    <row r="22378" spans="6:6" x14ac:dyDescent="0.3">
      <c r="F22378" s="193"/>
    </row>
    <row r="22379" spans="6:6" x14ac:dyDescent="0.3">
      <c r="F22379" s="193"/>
    </row>
    <row r="22380" spans="6:6" x14ac:dyDescent="0.3">
      <c r="F22380" s="193"/>
    </row>
    <row r="22381" spans="6:6" x14ac:dyDescent="0.3">
      <c r="F22381" s="193"/>
    </row>
    <row r="22382" spans="6:6" x14ac:dyDescent="0.3">
      <c r="F22382" s="193"/>
    </row>
    <row r="22383" spans="6:6" x14ac:dyDescent="0.3">
      <c r="F22383" s="193"/>
    </row>
    <row r="22384" spans="6:6" x14ac:dyDescent="0.3">
      <c r="F22384" s="193"/>
    </row>
    <row r="22385" spans="6:6" x14ac:dyDescent="0.3">
      <c r="F22385" s="193"/>
    </row>
    <row r="22386" spans="6:6" x14ac:dyDescent="0.3">
      <c r="F22386" s="193"/>
    </row>
    <row r="22387" spans="6:6" x14ac:dyDescent="0.3">
      <c r="F22387" s="193"/>
    </row>
    <row r="22388" spans="6:6" x14ac:dyDescent="0.3">
      <c r="F22388" s="193"/>
    </row>
    <row r="22389" spans="6:6" x14ac:dyDescent="0.3">
      <c r="F22389" s="193"/>
    </row>
    <row r="22390" spans="6:6" x14ac:dyDescent="0.3">
      <c r="F22390" s="193"/>
    </row>
    <row r="22391" spans="6:6" x14ac:dyDescent="0.3">
      <c r="F22391" s="193"/>
    </row>
    <row r="22392" spans="6:6" x14ac:dyDescent="0.3">
      <c r="F22392" s="193"/>
    </row>
    <row r="22393" spans="6:6" x14ac:dyDescent="0.3">
      <c r="F22393" s="193"/>
    </row>
    <row r="22394" spans="6:6" x14ac:dyDescent="0.3">
      <c r="F22394" s="193"/>
    </row>
    <row r="22395" spans="6:6" x14ac:dyDescent="0.3">
      <c r="F22395" s="193"/>
    </row>
    <row r="22396" spans="6:6" x14ac:dyDescent="0.3">
      <c r="F22396" s="193"/>
    </row>
    <row r="22397" spans="6:6" x14ac:dyDescent="0.3">
      <c r="F22397" s="193"/>
    </row>
    <row r="22398" spans="6:6" x14ac:dyDescent="0.3">
      <c r="F22398" s="193"/>
    </row>
    <row r="22399" spans="6:6" x14ac:dyDescent="0.3">
      <c r="F22399" s="193"/>
    </row>
    <row r="22400" spans="6:6" x14ac:dyDescent="0.3">
      <c r="F22400" s="193"/>
    </row>
    <row r="22401" spans="6:6" x14ac:dyDescent="0.3">
      <c r="F22401" s="193"/>
    </row>
    <row r="22402" spans="6:6" x14ac:dyDescent="0.3">
      <c r="F22402" s="193"/>
    </row>
    <row r="22403" spans="6:6" x14ac:dyDescent="0.3">
      <c r="F22403" s="193"/>
    </row>
    <row r="22404" spans="6:6" x14ac:dyDescent="0.3">
      <c r="F22404" s="193"/>
    </row>
    <row r="22405" spans="6:6" x14ac:dyDescent="0.3">
      <c r="F22405" s="193"/>
    </row>
    <row r="22406" spans="6:6" x14ac:dyDescent="0.3">
      <c r="F22406" s="193"/>
    </row>
    <row r="22407" spans="6:6" x14ac:dyDescent="0.3">
      <c r="F22407" s="193"/>
    </row>
    <row r="22408" spans="6:6" x14ac:dyDescent="0.3">
      <c r="F22408" s="193"/>
    </row>
    <row r="22409" spans="6:6" x14ac:dyDescent="0.3">
      <c r="F22409" s="193"/>
    </row>
    <row r="22410" spans="6:6" x14ac:dyDescent="0.3">
      <c r="F22410" s="193"/>
    </row>
    <row r="22411" spans="6:6" x14ac:dyDescent="0.3">
      <c r="F22411" s="193"/>
    </row>
    <row r="22412" spans="6:6" x14ac:dyDescent="0.3">
      <c r="F22412" s="193"/>
    </row>
    <row r="22413" spans="6:6" x14ac:dyDescent="0.3">
      <c r="F22413" s="193"/>
    </row>
    <row r="22414" spans="6:6" x14ac:dyDescent="0.3">
      <c r="F22414" s="193"/>
    </row>
    <row r="22415" spans="6:6" x14ac:dyDescent="0.3">
      <c r="F22415" s="193"/>
    </row>
    <row r="22416" spans="6:6" x14ac:dyDescent="0.3">
      <c r="F22416" s="193"/>
    </row>
    <row r="22417" spans="6:6" x14ac:dyDescent="0.3">
      <c r="F22417" s="193"/>
    </row>
    <row r="22418" spans="6:6" x14ac:dyDescent="0.3">
      <c r="F22418" s="193"/>
    </row>
    <row r="22419" spans="6:6" x14ac:dyDescent="0.3">
      <c r="F22419" s="193"/>
    </row>
    <row r="22420" spans="6:6" x14ac:dyDescent="0.3">
      <c r="F22420" s="193"/>
    </row>
    <row r="22421" spans="6:6" x14ac:dyDescent="0.3">
      <c r="F22421" s="193"/>
    </row>
    <row r="22422" spans="6:6" x14ac:dyDescent="0.3">
      <c r="F22422" s="193"/>
    </row>
    <row r="22423" spans="6:6" x14ac:dyDescent="0.3">
      <c r="F22423" s="193"/>
    </row>
    <row r="22424" spans="6:6" x14ac:dyDescent="0.3">
      <c r="F22424" s="193"/>
    </row>
    <row r="22425" spans="6:6" x14ac:dyDescent="0.3">
      <c r="F22425" s="193"/>
    </row>
    <row r="22426" spans="6:6" x14ac:dyDescent="0.3">
      <c r="F22426" s="193"/>
    </row>
    <row r="22427" spans="6:6" x14ac:dyDescent="0.3">
      <c r="F22427" s="193"/>
    </row>
    <row r="22428" spans="6:6" x14ac:dyDescent="0.3">
      <c r="F22428" s="193"/>
    </row>
    <row r="22429" spans="6:6" x14ac:dyDescent="0.3">
      <c r="F22429" s="193"/>
    </row>
    <row r="22430" spans="6:6" x14ac:dyDescent="0.3">
      <c r="F22430" s="193"/>
    </row>
    <row r="22431" spans="6:6" x14ac:dyDescent="0.3">
      <c r="F22431" s="193"/>
    </row>
    <row r="22432" spans="6:6" x14ac:dyDescent="0.3">
      <c r="F22432" s="193"/>
    </row>
    <row r="22433" spans="6:6" x14ac:dyDescent="0.3">
      <c r="F22433" s="193"/>
    </row>
    <row r="22434" spans="6:6" x14ac:dyDescent="0.3">
      <c r="F22434" s="193"/>
    </row>
    <row r="22435" spans="6:6" x14ac:dyDescent="0.3">
      <c r="F22435" s="193"/>
    </row>
    <row r="22436" spans="6:6" x14ac:dyDescent="0.3">
      <c r="F22436" s="193"/>
    </row>
    <row r="22437" spans="6:6" x14ac:dyDescent="0.3">
      <c r="F22437" s="193"/>
    </row>
    <row r="22438" spans="6:6" x14ac:dyDescent="0.3">
      <c r="F22438" s="193"/>
    </row>
    <row r="22439" spans="6:6" x14ac:dyDescent="0.3">
      <c r="F22439" s="193"/>
    </row>
    <row r="22440" spans="6:6" x14ac:dyDescent="0.3">
      <c r="F22440" s="193"/>
    </row>
    <row r="22441" spans="6:6" x14ac:dyDescent="0.3">
      <c r="F22441" s="193"/>
    </row>
    <row r="22442" spans="6:6" x14ac:dyDescent="0.3">
      <c r="F22442" s="193"/>
    </row>
    <row r="22443" spans="6:6" x14ac:dyDescent="0.3">
      <c r="F22443" s="193"/>
    </row>
    <row r="22444" spans="6:6" x14ac:dyDescent="0.3">
      <c r="F22444" s="193"/>
    </row>
    <row r="22445" spans="6:6" x14ac:dyDescent="0.3">
      <c r="F22445" s="193"/>
    </row>
    <row r="22446" spans="6:6" x14ac:dyDescent="0.3">
      <c r="F22446" s="193"/>
    </row>
    <row r="22447" spans="6:6" x14ac:dyDescent="0.3">
      <c r="F22447" s="193"/>
    </row>
    <row r="22448" spans="6:6" x14ac:dyDescent="0.3">
      <c r="F22448" s="193"/>
    </row>
    <row r="22449" spans="6:6" x14ac:dyDescent="0.3">
      <c r="F22449" s="193"/>
    </row>
    <row r="22450" spans="6:6" x14ac:dyDescent="0.3">
      <c r="F22450" s="193"/>
    </row>
    <row r="22451" spans="6:6" x14ac:dyDescent="0.3">
      <c r="F22451" s="193"/>
    </row>
    <row r="22452" spans="6:6" x14ac:dyDescent="0.3">
      <c r="F22452" s="193"/>
    </row>
    <row r="22453" spans="6:6" x14ac:dyDescent="0.3">
      <c r="F22453" s="193"/>
    </row>
    <row r="22454" spans="6:6" x14ac:dyDescent="0.3">
      <c r="F22454" s="193"/>
    </row>
    <row r="22455" spans="6:6" x14ac:dyDescent="0.3">
      <c r="F22455" s="193"/>
    </row>
    <row r="22456" spans="6:6" x14ac:dyDescent="0.3">
      <c r="F22456" s="193"/>
    </row>
    <row r="22457" spans="6:6" x14ac:dyDescent="0.3">
      <c r="F22457" s="193"/>
    </row>
    <row r="22458" spans="6:6" x14ac:dyDescent="0.3">
      <c r="F22458" s="193"/>
    </row>
    <row r="22459" spans="6:6" x14ac:dyDescent="0.3">
      <c r="F22459" s="193"/>
    </row>
    <row r="22460" spans="6:6" x14ac:dyDescent="0.3">
      <c r="F22460" s="193"/>
    </row>
    <row r="22461" spans="6:6" x14ac:dyDescent="0.3">
      <c r="F22461" s="193"/>
    </row>
    <row r="22462" spans="6:6" x14ac:dyDescent="0.3">
      <c r="F22462" s="193"/>
    </row>
    <row r="22463" spans="6:6" x14ac:dyDescent="0.3">
      <c r="F22463" s="193"/>
    </row>
    <row r="22464" spans="6:6" x14ac:dyDescent="0.3">
      <c r="F22464" s="193"/>
    </row>
    <row r="22465" spans="6:6" x14ac:dyDescent="0.3">
      <c r="F22465" s="193"/>
    </row>
    <row r="22466" spans="6:6" x14ac:dyDescent="0.3">
      <c r="F22466" s="193"/>
    </row>
    <row r="22467" spans="6:6" x14ac:dyDescent="0.3">
      <c r="F22467" s="193"/>
    </row>
    <row r="22468" spans="6:6" x14ac:dyDescent="0.3">
      <c r="F22468" s="193"/>
    </row>
    <row r="22469" spans="6:6" x14ac:dyDescent="0.3">
      <c r="F22469" s="193"/>
    </row>
    <row r="22470" spans="6:6" x14ac:dyDescent="0.3">
      <c r="F22470" s="193"/>
    </row>
    <row r="22471" spans="6:6" x14ac:dyDescent="0.3">
      <c r="F22471" s="193"/>
    </row>
    <row r="22472" spans="6:6" x14ac:dyDescent="0.3">
      <c r="F22472" s="193"/>
    </row>
    <row r="22473" spans="6:6" x14ac:dyDescent="0.3">
      <c r="F22473" s="193"/>
    </row>
    <row r="22474" spans="6:6" x14ac:dyDescent="0.3">
      <c r="F22474" s="193"/>
    </row>
    <row r="22475" spans="6:6" x14ac:dyDescent="0.3">
      <c r="F22475" s="193"/>
    </row>
    <row r="22476" spans="6:6" x14ac:dyDescent="0.3">
      <c r="F22476" s="193"/>
    </row>
    <row r="22477" spans="6:6" x14ac:dyDescent="0.3">
      <c r="F22477" s="193"/>
    </row>
    <row r="22478" spans="6:6" x14ac:dyDescent="0.3">
      <c r="F22478" s="193"/>
    </row>
    <row r="22479" spans="6:6" x14ac:dyDescent="0.3">
      <c r="F22479" s="193"/>
    </row>
    <row r="22480" spans="6:6" x14ac:dyDescent="0.3">
      <c r="F22480" s="193"/>
    </row>
    <row r="22481" spans="6:6" x14ac:dyDescent="0.3">
      <c r="F22481" s="193"/>
    </row>
    <row r="22482" spans="6:6" x14ac:dyDescent="0.3">
      <c r="F22482" s="193"/>
    </row>
    <row r="22483" spans="6:6" x14ac:dyDescent="0.3">
      <c r="F22483" s="193"/>
    </row>
    <row r="22484" spans="6:6" x14ac:dyDescent="0.3">
      <c r="F22484" s="193"/>
    </row>
    <row r="22485" spans="6:6" x14ac:dyDescent="0.3">
      <c r="F22485" s="193"/>
    </row>
    <row r="22486" spans="6:6" x14ac:dyDescent="0.3">
      <c r="F22486" s="193"/>
    </row>
    <row r="22487" spans="6:6" x14ac:dyDescent="0.3">
      <c r="F22487" s="193"/>
    </row>
    <row r="22488" spans="6:6" x14ac:dyDescent="0.3">
      <c r="F22488" s="193"/>
    </row>
    <row r="22489" spans="6:6" x14ac:dyDescent="0.3">
      <c r="F22489" s="193"/>
    </row>
    <row r="22490" spans="6:6" x14ac:dyDescent="0.3">
      <c r="F22490" s="193"/>
    </row>
    <row r="22491" spans="6:6" x14ac:dyDescent="0.3">
      <c r="F22491" s="193"/>
    </row>
    <row r="22492" spans="6:6" x14ac:dyDescent="0.3">
      <c r="F22492" s="193"/>
    </row>
    <row r="22493" spans="6:6" x14ac:dyDescent="0.3">
      <c r="F22493" s="193"/>
    </row>
    <row r="22494" spans="6:6" x14ac:dyDescent="0.3">
      <c r="F22494" s="193"/>
    </row>
    <row r="22495" spans="6:6" x14ac:dyDescent="0.3">
      <c r="F22495" s="193"/>
    </row>
    <row r="22496" spans="6:6" x14ac:dyDescent="0.3">
      <c r="F22496" s="193"/>
    </row>
    <row r="22497" spans="6:6" x14ac:dyDescent="0.3">
      <c r="F22497" s="193"/>
    </row>
    <row r="22498" spans="6:6" x14ac:dyDescent="0.3">
      <c r="F22498" s="193"/>
    </row>
    <row r="22499" spans="6:6" x14ac:dyDescent="0.3">
      <c r="F22499" s="193"/>
    </row>
    <row r="22500" spans="6:6" x14ac:dyDescent="0.3">
      <c r="F22500" s="193"/>
    </row>
    <row r="22501" spans="6:6" x14ac:dyDescent="0.3">
      <c r="F22501" s="193"/>
    </row>
    <row r="22502" spans="6:6" x14ac:dyDescent="0.3">
      <c r="F22502" s="193"/>
    </row>
    <row r="22503" spans="6:6" x14ac:dyDescent="0.3">
      <c r="F22503" s="193"/>
    </row>
    <row r="22504" spans="6:6" x14ac:dyDescent="0.3">
      <c r="F22504" s="193"/>
    </row>
    <row r="22505" spans="6:6" x14ac:dyDescent="0.3">
      <c r="F22505" s="193"/>
    </row>
    <row r="22506" spans="6:6" x14ac:dyDescent="0.3">
      <c r="F22506" s="193"/>
    </row>
    <row r="22507" spans="6:6" x14ac:dyDescent="0.3">
      <c r="F22507" s="193"/>
    </row>
    <row r="22508" spans="6:6" x14ac:dyDescent="0.3">
      <c r="F22508" s="193"/>
    </row>
    <row r="22509" spans="6:6" x14ac:dyDescent="0.3">
      <c r="F22509" s="193"/>
    </row>
    <row r="22510" spans="6:6" x14ac:dyDescent="0.3">
      <c r="F22510" s="193"/>
    </row>
    <row r="22511" spans="6:6" x14ac:dyDescent="0.3">
      <c r="F22511" s="193"/>
    </row>
    <row r="22512" spans="6:6" x14ac:dyDescent="0.3">
      <c r="F22512" s="193"/>
    </row>
    <row r="22513" spans="6:6" x14ac:dyDescent="0.3">
      <c r="F22513" s="193"/>
    </row>
    <row r="22514" spans="6:6" x14ac:dyDescent="0.3">
      <c r="F22514" s="193"/>
    </row>
    <row r="22515" spans="6:6" x14ac:dyDescent="0.3">
      <c r="F22515" s="193"/>
    </row>
    <row r="22516" spans="6:6" x14ac:dyDescent="0.3">
      <c r="F22516" s="193"/>
    </row>
    <row r="22517" spans="6:6" x14ac:dyDescent="0.3">
      <c r="F22517" s="193"/>
    </row>
    <row r="22518" spans="6:6" x14ac:dyDescent="0.3">
      <c r="F22518" s="193"/>
    </row>
    <row r="22519" spans="6:6" x14ac:dyDescent="0.3">
      <c r="F22519" s="193"/>
    </row>
    <row r="22520" spans="6:6" x14ac:dyDescent="0.3">
      <c r="F22520" s="193"/>
    </row>
    <row r="22521" spans="6:6" x14ac:dyDescent="0.3">
      <c r="F22521" s="193"/>
    </row>
    <row r="22522" spans="6:6" x14ac:dyDescent="0.3">
      <c r="F22522" s="193"/>
    </row>
    <row r="22523" spans="6:6" x14ac:dyDescent="0.3">
      <c r="F22523" s="193"/>
    </row>
    <row r="22524" spans="6:6" x14ac:dyDescent="0.3">
      <c r="F22524" s="193"/>
    </row>
    <row r="22525" spans="6:6" x14ac:dyDescent="0.3">
      <c r="F22525" s="193"/>
    </row>
    <row r="22526" spans="6:6" x14ac:dyDescent="0.3">
      <c r="F22526" s="193"/>
    </row>
    <row r="22527" spans="6:6" x14ac:dyDescent="0.3">
      <c r="F22527" s="193"/>
    </row>
    <row r="22528" spans="6:6" x14ac:dyDescent="0.3">
      <c r="F22528" s="193"/>
    </row>
    <row r="22529" spans="6:6" x14ac:dyDescent="0.3">
      <c r="F22529" s="193"/>
    </row>
    <row r="22530" spans="6:6" x14ac:dyDescent="0.3">
      <c r="F22530" s="193"/>
    </row>
    <row r="22531" spans="6:6" x14ac:dyDescent="0.3">
      <c r="F22531" s="193"/>
    </row>
    <row r="22532" spans="6:6" x14ac:dyDescent="0.3">
      <c r="F22532" s="193"/>
    </row>
    <row r="22533" spans="6:6" x14ac:dyDescent="0.3">
      <c r="F22533" s="193"/>
    </row>
    <row r="22534" spans="6:6" x14ac:dyDescent="0.3">
      <c r="F22534" s="193"/>
    </row>
    <row r="22535" spans="6:6" x14ac:dyDescent="0.3">
      <c r="F22535" s="193"/>
    </row>
    <row r="22536" spans="6:6" x14ac:dyDescent="0.3">
      <c r="F22536" s="193"/>
    </row>
    <row r="22537" spans="6:6" x14ac:dyDescent="0.3">
      <c r="F22537" s="193"/>
    </row>
    <row r="22538" spans="6:6" x14ac:dyDescent="0.3">
      <c r="F22538" s="193"/>
    </row>
    <row r="22539" spans="6:6" x14ac:dyDescent="0.3">
      <c r="F22539" s="193"/>
    </row>
    <row r="22540" spans="6:6" x14ac:dyDescent="0.3">
      <c r="F22540" s="193"/>
    </row>
    <row r="22541" spans="6:6" x14ac:dyDescent="0.3">
      <c r="F22541" s="193"/>
    </row>
    <row r="22542" spans="6:6" x14ac:dyDescent="0.3">
      <c r="F22542" s="193"/>
    </row>
    <row r="22543" spans="6:6" x14ac:dyDescent="0.3">
      <c r="F22543" s="193"/>
    </row>
    <row r="22544" spans="6:6" x14ac:dyDescent="0.3">
      <c r="F22544" s="193"/>
    </row>
    <row r="22545" spans="6:6" x14ac:dyDescent="0.3">
      <c r="F22545" s="193"/>
    </row>
    <row r="22546" spans="6:6" x14ac:dyDescent="0.3">
      <c r="F22546" s="193"/>
    </row>
    <row r="22547" spans="6:6" x14ac:dyDescent="0.3">
      <c r="F22547" s="193"/>
    </row>
    <row r="22548" spans="6:6" x14ac:dyDescent="0.3">
      <c r="F22548" s="193"/>
    </row>
    <row r="22549" spans="6:6" x14ac:dyDescent="0.3">
      <c r="F22549" s="193"/>
    </row>
    <row r="22550" spans="6:6" x14ac:dyDescent="0.3">
      <c r="F22550" s="193"/>
    </row>
    <row r="22551" spans="6:6" x14ac:dyDescent="0.3">
      <c r="F22551" s="193"/>
    </row>
    <row r="22552" spans="6:6" x14ac:dyDescent="0.3">
      <c r="F22552" s="193"/>
    </row>
    <row r="22553" spans="6:6" x14ac:dyDescent="0.3">
      <c r="F22553" s="193"/>
    </row>
    <row r="22554" spans="6:6" x14ac:dyDescent="0.3">
      <c r="F22554" s="193"/>
    </row>
    <row r="22555" spans="6:6" x14ac:dyDescent="0.3">
      <c r="F22555" s="193"/>
    </row>
    <row r="22556" spans="6:6" x14ac:dyDescent="0.3">
      <c r="F22556" s="193"/>
    </row>
    <row r="22557" spans="6:6" x14ac:dyDescent="0.3">
      <c r="F22557" s="193"/>
    </row>
    <row r="22558" spans="6:6" x14ac:dyDescent="0.3">
      <c r="F22558" s="193"/>
    </row>
    <row r="22559" spans="6:6" x14ac:dyDescent="0.3">
      <c r="F22559" s="193"/>
    </row>
    <row r="22560" spans="6:6" x14ac:dyDescent="0.3">
      <c r="F22560" s="193"/>
    </row>
    <row r="22561" spans="6:6" x14ac:dyDescent="0.3">
      <c r="F22561" s="193"/>
    </row>
    <row r="22562" spans="6:6" x14ac:dyDescent="0.3">
      <c r="F22562" s="193"/>
    </row>
    <row r="22563" spans="6:6" x14ac:dyDescent="0.3">
      <c r="F22563" s="193"/>
    </row>
    <row r="22564" spans="6:6" x14ac:dyDescent="0.3">
      <c r="F22564" s="193"/>
    </row>
    <row r="22565" spans="6:6" x14ac:dyDescent="0.3">
      <c r="F22565" s="193"/>
    </row>
    <row r="22566" spans="6:6" x14ac:dyDescent="0.3">
      <c r="F22566" s="193"/>
    </row>
    <row r="22567" spans="6:6" x14ac:dyDescent="0.3">
      <c r="F22567" s="193"/>
    </row>
    <row r="22568" spans="6:6" x14ac:dyDescent="0.3">
      <c r="F22568" s="193"/>
    </row>
    <row r="22569" spans="6:6" x14ac:dyDescent="0.3">
      <c r="F22569" s="193"/>
    </row>
    <row r="22570" spans="6:6" x14ac:dyDescent="0.3">
      <c r="F22570" s="193"/>
    </row>
    <row r="22571" spans="6:6" x14ac:dyDescent="0.3">
      <c r="F22571" s="193"/>
    </row>
    <row r="22572" spans="6:6" x14ac:dyDescent="0.3">
      <c r="F22572" s="193"/>
    </row>
    <row r="22573" spans="6:6" x14ac:dyDescent="0.3">
      <c r="F22573" s="193"/>
    </row>
    <row r="22574" spans="6:6" x14ac:dyDescent="0.3">
      <c r="F22574" s="193"/>
    </row>
    <row r="22575" spans="6:6" x14ac:dyDescent="0.3">
      <c r="F22575" s="193"/>
    </row>
    <row r="22576" spans="6:6" x14ac:dyDescent="0.3">
      <c r="F22576" s="193"/>
    </row>
    <row r="22577" spans="6:6" x14ac:dyDescent="0.3">
      <c r="F22577" s="193"/>
    </row>
    <row r="22578" spans="6:6" x14ac:dyDescent="0.3">
      <c r="F22578" s="193"/>
    </row>
    <row r="22579" spans="6:6" x14ac:dyDescent="0.3">
      <c r="F22579" s="193"/>
    </row>
    <row r="22580" spans="6:6" x14ac:dyDescent="0.3">
      <c r="F22580" s="193"/>
    </row>
    <row r="22581" spans="6:6" x14ac:dyDescent="0.3">
      <c r="F22581" s="193"/>
    </row>
    <row r="22582" spans="6:6" x14ac:dyDescent="0.3">
      <c r="F22582" s="193"/>
    </row>
    <row r="22583" spans="6:6" x14ac:dyDescent="0.3">
      <c r="F22583" s="193"/>
    </row>
    <row r="22584" spans="6:6" x14ac:dyDescent="0.3">
      <c r="F22584" s="193"/>
    </row>
    <row r="22585" spans="6:6" x14ac:dyDescent="0.3">
      <c r="F22585" s="193"/>
    </row>
    <row r="22586" spans="6:6" x14ac:dyDescent="0.3">
      <c r="F22586" s="193"/>
    </row>
    <row r="22587" spans="6:6" x14ac:dyDescent="0.3">
      <c r="F22587" s="193"/>
    </row>
    <row r="22588" spans="6:6" x14ac:dyDescent="0.3">
      <c r="F22588" s="193"/>
    </row>
    <row r="22589" spans="6:6" x14ac:dyDescent="0.3">
      <c r="F22589" s="193"/>
    </row>
    <row r="22590" spans="6:6" x14ac:dyDescent="0.3">
      <c r="F22590" s="193"/>
    </row>
    <row r="22591" spans="6:6" x14ac:dyDescent="0.3">
      <c r="F22591" s="193"/>
    </row>
    <row r="22592" spans="6:6" x14ac:dyDescent="0.3">
      <c r="F22592" s="193"/>
    </row>
    <row r="22593" spans="6:6" x14ac:dyDescent="0.3">
      <c r="F22593" s="193"/>
    </row>
    <row r="22594" spans="6:6" x14ac:dyDescent="0.3">
      <c r="F22594" s="193"/>
    </row>
    <row r="22595" spans="6:6" x14ac:dyDescent="0.3">
      <c r="F22595" s="193"/>
    </row>
    <row r="22596" spans="6:6" x14ac:dyDescent="0.3">
      <c r="F22596" s="193"/>
    </row>
    <row r="22597" spans="6:6" x14ac:dyDescent="0.3">
      <c r="F22597" s="193"/>
    </row>
    <row r="22598" spans="6:6" x14ac:dyDescent="0.3">
      <c r="F22598" s="193"/>
    </row>
    <row r="22599" spans="6:6" x14ac:dyDescent="0.3">
      <c r="F22599" s="193"/>
    </row>
    <row r="22600" spans="6:6" x14ac:dyDescent="0.3">
      <c r="F22600" s="193"/>
    </row>
    <row r="22601" spans="6:6" x14ac:dyDescent="0.3">
      <c r="F22601" s="193"/>
    </row>
    <row r="22602" spans="6:6" x14ac:dyDescent="0.3">
      <c r="F22602" s="193"/>
    </row>
    <row r="22603" spans="6:6" x14ac:dyDescent="0.3">
      <c r="F22603" s="193"/>
    </row>
    <row r="22604" spans="6:6" x14ac:dyDescent="0.3">
      <c r="F22604" s="193"/>
    </row>
    <row r="22605" spans="6:6" x14ac:dyDescent="0.3">
      <c r="F22605" s="193"/>
    </row>
    <row r="22606" spans="6:6" x14ac:dyDescent="0.3">
      <c r="F22606" s="193"/>
    </row>
    <row r="22607" spans="6:6" x14ac:dyDescent="0.3">
      <c r="F22607" s="193"/>
    </row>
    <row r="22608" spans="6:6" x14ac:dyDescent="0.3">
      <c r="F22608" s="193"/>
    </row>
    <row r="22609" spans="6:6" x14ac:dyDescent="0.3">
      <c r="F22609" s="193"/>
    </row>
    <row r="22610" spans="6:6" x14ac:dyDescent="0.3">
      <c r="F22610" s="193"/>
    </row>
    <row r="22611" spans="6:6" x14ac:dyDescent="0.3">
      <c r="F22611" s="193"/>
    </row>
    <row r="22612" spans="6:6" x14ac:dyDescent="0.3">
      <c r="F22612" s="193"/>
    </row>
    <row r="22613" spans="6:6" x14ac:dyDescent="0.3">
      <c r="F22613" s="193"/>
    </row>
    <row r="22614" spans="6:6" x14ac:dyDescent="0.3">
      <c r="F22614" s="193"/>
    </row>
    <row r="22615" spans="6:6" x14ac:dyDescent="0.3">
      <c r="F22615" s="193"/>
    </row>
    <row r="22616" spans="6:6" x14ac:dyDescent="0.3">
      <c r="F22616" s="193"/>
    </row>
    <row r="22617" spans="6:6" x14ac:dyDescent="0.3">
      <c r="F22617" s="193"/>
    </row>
    <row r="22618" spans="6:6" x14ac:dyDescent="0.3">
      <c r="F22618" s="193"/>
    </row>
    <row r="22619" spans="6:6" x14ac:dyDescent="0.3">
      <c r="F22619" s="193"/>
    </row>
    <row r="22620" spans="6:6" x14ac:dyDescent="0.3">
      <c r="F22620" s="193"/>
    </row>
    <row r="22621" spans="6:6" x14ac:dyDescent="0.3">
      <c r="F22621" s="193"/>
    </row>
    <row r="22622" spans="6:6" x14ac:dyDescent="0.3">
      <c r="F22622" s="193"/>
    </row>
    <row r="22623" spans="6:6" x14ac:dyDescent="0.3">
      <c r="F22623" s="193"/>
    </row>
    <row r="22624" spans="6:6" x14ac:dyDescent="0.3">
      <c r="F22624" s="193"/>
    </row>
    <row r="22625" spans="6:6" x14ac:dyDescent="0.3">
      <c r="F22625" s="193"/>
    </row>
    <row r="22626" spans="6:6" x14ac:dyDescent="0.3">
      <c r="F22626" s="193"/>
    </row>
    <row r="22627" spans="6:6" x14ac:dyDescent="0.3">
      <c r="F22627" s="193"/>
    </row>
    <row r="22628" spans="6:6" x14ac:dyDescent="0.3">
      <c r="F22628" s="193"/>
    </row>
    <row r="22629" spans="6:6" x14ac:dyDescent="0.3">
      <c r="F22629" s="193"/>
    </row>
    <row r="22630" spans="6:6" x14ac:dyDescent="0.3">
      <c r="F22630" s="193"/>
    </row>
    <row r="22631" spans="6:6" x14ac:dyDescent="0.3">
      <c r="F22631" s="193"/>
    </row>
    <row r="22632" spans="6:6" x14ac:dyDescent="0.3">
      <c r="F22632" s="193"/>
    </row>
    <row r="22633" spans="6:6" x14ac:dyDescent="0.3">
      <c r="F22633" s="193"/>
    </row>
    <row r="22634" spans="6:6" x14ac:dyDescent="0.3">
      <c r="F22634" s="193"/>
    </row>
    <row r="22635" spans="6:6" x14ac:dyDescent="0.3">
      <c r="F22635" s="193"/>
    </row>
    <row r="22636" spans="6:6" x14ac:dyDescent="0.3">
      <c r="F22636" s="193"/>
    </row>
    <row r="22637" spans="6:6" x14ac:dyDescent="0.3">
      <c r="F22637" s="193"/>
    </row>
    <row r="22638" spans="6:6" x14ac:dyDescent="0.3">
      <c r="F22638" s="193"/>
    </row>
    <row r="22639" spans="6:6" x14ac:dyDescent="0.3">
      <c r="F22639" s="193"/>
    </row>
    <row r="22640" spans="6:6" x14ac:dyDescent="0.3">
      <c r="F22640" s="193"/>
    </row>
    <row r="22641" spans="6:6" x14ac:dyDescent="0.3">
      <c r="F22641" s="193"/>
    </row>
    <row r="22642" spans="6:6" x14ac:dyDescent="0.3">
      <c r="F22642" s="193"/>
    </row>
    <row r="22643" spans="6:6" x14ac:dyDescent="0.3">
      <c r="F22643" s="193"/>
    </row>
    <row r="22644" spans="6:6" x14ac:dyDescent="0.3">
      <c r="F22644" s="193"/>
    </row>
    <row r="22645" spans="6:6" x14ac:dyDescent="0.3">
      <c r="F22645" s="193"/>
    </row>
    <row r="22646" spans="6:6" x14ac:dyDescent="0.3">
      <c r="F22646" s="193"/>
    </row>
    <row r="22647" spans="6:6" x14ac:dyDescent="0.3">
      <c r="F22647" s="193"/>
    </row>
    <row r="22648" spans="6:6" x14ac:dyDescent="0.3">
      <c r="F22648" s="193"/>
    </row>
    <row r="22649" spans="6:6" x14ac:dyDescent="0.3">
      <c r="F22649" s="193"/>
    </row>
    <row r="22650" spans="6:6" x14ac:dyDescent="0.3">
      <c r="F22650" s="193"/>
    </row>
    <row r="22651" spans="6:6" x14ac:dyDescent="0.3">
      <c r="F22651" s="193"/>
    </row>
    <row r="22652" spans="6:6" x14ac:dyDescent="0.3">
      <c r="F22652" s="193"/>
    </row>
    <row r="22653" spans="6:6" x14ac:dyDescent="0.3">
      <c r="F22653" s="193"/>
    </row>
    <row r="22654" spans="6:6" x14ac:dyDescent="0.3">
      <c r="F22654" s="193"/>
    </row>
    <row r="22655" spans="6:6" x14ac:dyDescent="0.3">
      <c r="F22655" s="193"/>
    </row>
    <row r="22656" spans="6:6" x14ac:dyDescent="0.3">
      <c r="F22656" s="193"/>
    </row>
    <row r="22657" spans="6:6" x14ac:dyDescent="0.3">
      <c r="F22657" s="193"/>
    </row>
    <row r="22658" spans="6:6" x14ac:dyDescent="0.3">
      <c r="F22658" s="193"/>
    </row>
    <row r="22659" spans="6:6" x14ac:dyDescent="0.3">
      <c r="F22659" s="193"/>
    </row>
    <row r="22660" spans="6:6" x14ac:dyDescent="0.3">
      <c r="F22660" s="193"/>
    </row>
    <row r="22661" spans="6:6" x14ac:dyDescent="0.3">
      <c r="F22661" s="193"/>
    </row>
    <row r="22662" spans="6:6" x14ac:dyDescent="0.3">
      <c r="F22662" s="193"/>
    </row>
    <row r="22663" spans="6:6" x14ac:dyDescent="0.3">
      <c r="F22663" s="193"/>
    </row>
    <row r="22664" spans="6:6" x14ac:dyDescent="0.3">
      <c r="F22664" s="193"/>
    </row>
    <row r="22665" spans="6:6" x14ac:dyDescent="0.3">
      <c r="F22665" s="193"/>
    </row>
    <row r="22666" spans="6:6" x14ac:dyDescent="0.3">
      <c r="F22666" s="193"/>
    </row>
    <row r="22667" spans="6:6" x14ac:dyDescent="0.3">
      <c r="F22667" s="193"/>
    </row>
    <row r="22668" spans="6:6" x14ac:dyDescent="0.3">
      <c r="F22668" s="193"/>
    </row>
    <row r="22669" spans="6:6" x14ac:dyDescent="0.3">
      <c r="F22669" s="193"/>
    </row>
    <row r="22670" spans="6:6" x14ac:dyDescent="0.3">
      <c r="F22670" s="193"/>
    </row>
    <row r="22671" spans="6:6" x14ac:dyDescent="0.3">
      <c r="F22671" s="193"/>
    </row>
    <row r="22672" spans="6:6" x14ac:dyDescent="0.3">
      <c r="F22672" s="193"/>
    </row>
    <row r="22673" spans="6:6" x14ac:dyDescent="0.3">
      <c r="F22673" s="193"/>
    </row>
    <row r="22674" spans="6:6" x14ac:dyDescent="0.3">
      <c r="F22674" s="193"/>
    </row>
    <row r="22675" spans="6:6" x14ac:dyDescent="0.3">
      <c r="F22675" s="193"/>
    </row>
    <row r="22676" spans="6:6" x14ac:dyDescent="0.3">
      <c r="F22676" s="193"/>
    </row>
    <row r="22677" spans="6:6" x14ac:dyDescent="0.3">
      <c r="F22677" s="193"/>
    </row>
    <row r="22678" spans="6:6" x14ac:dyDescent="0.3">
      <c r="F22678" s="193"/>
    </row>
    <row r="22679" spans="6:6" x14ac:dyDescent="0.3">
      <c r="F22679" s="193"/>
    </row>
    <row r="22680" spans="6:6" x14ac:dyDescent="0.3">
      <c r="F22680" s="193"/>
    </row>
    <row r="22681" spans="6:6" x14ac:dyDescent="0.3">
      <c r="F22681" s="193"/>
    </row>
    <row r="22682" spans="6:6" x14ac:dyDescent="0.3">
      <c r="F22682" s="193"/>
    </row>
    <row r="22683" spans="6:6" x14ac:dyDescent="0.3">
      <c r="F22683" s="193"/>
    </row>
    <row r="22684" spans="6:6" x14ac:dyDescent="0.3">
      <c r="F22684" s="193"/>
    </row>
    <row r="22685" spans="6:6" x14ac:dyDescent="0.3">
      <c r="F22685" s="193"/>
    </row>
    <row r="22686" spans="6:6" x14ac:dyDescent="0.3">
      <c r="F22686" s="193"/>
    </row>
    <row r="22687" spans="6:6" x14ac:dyDescent="0.3">
      <c r="F22687" s="193"/>
    </row>
    <row r="22688" spans="6:6" x14ac:dyDescent="0.3">
      <c r="F22688" s="193"/>
    </row>
    <row r="22689" spans="6:6" x14ac:dyDescent="0.3">
      <c r="F22689" s="193"/>
    </row>
    <row r="22690" spans="6:6" x14ac:dyDescent="0.3">
      <c r="F22690" s="193"/>
    </row>
    <row r="22691" spans="6:6" x14ac:dyDescent="0.3">
      <c r="F22691" s="193"/>
    </row>
    <row r="22692" spans="6:6" x14ac:dyDescent="0.3">
      <c r="F22692" s="193"/>
    </row>
    <row r="22693" spans="6:6" x14ac:dyDescent="0.3">
      <c r="F22693" s="193"/>
    </row>
    <row r="22694" spans="6:6" x14ac:dyDescent="0.3">
      <c r="F22694" s="193"/>
    </row>
    <row r="22695" spans="6:6" x14ac:dyDescent="0.3">
      <c r="F22695" s="193"/>
    </row>
    <row r="22696" spans="6:6" x14ac:dyDescent="0.3">
      <c r="F22696" s="193"/>
    </row>
    <row r="22697" spans="6:6" x14ac:dyDescent="0.3">
      <c r="F22697" s="193"/>
    </row>
    <row r="22698" spans="6:6" x14ac:dyDescent="0.3">
      <c r="F22698" s="193"/>
    </row>
    <row r="22699" spans="6:6" x14ac:dyDescent="0.3">
      <c r="F22699" s="193"/>
    </row>
    <row r="22700" spans="6:6" x14ac:dyDescent="0.3">
      <c r="F22700" s="193"/>
    </row>
    <row r="22701" spans="6:6" x14ac:dyDescent="0.3">
      <c r="F22701" s="193"/>
    </row>
    <row r="22702" spans="6:6" x14ac:dyDescent="0.3">
      <c r="F22702" s="193"/>
    </row>
    <row r="22703" spans="6:6" x14ac:dyDescent="0.3">
      <c r="F22703" s="193"/>
    </row>
    <row r="22704" spans="6:6" x14ac:dyDescent="0.3">
      <c r="F22704" s="193"/>
    </row>
    <row r="22705" spans="6:6" x14ac:dyDescent="0.3">
      <c r="F22705" s="193"/>
    </row>
    <row r="22706" spans="6:6" x14ac:dyDescent="0.3">
      <c r="F22706" s="193"/>
    </row>
    <row r="22707" spans="6:6" x14ac:dyDescent="0.3">
      <c r="F22707" s="193"/>
    </row>
    <row r="22708" spans="6:6" x14ac:dyDescent="0.3">
      <c r="F22708" s="193"/>
    </row>
    <row r="22709" spans="6:6" x14ac:dyDescent="0.3">
      <c r="F22709" s="193"/>
    </row>
    <row r="22710" spans="6:6" x14ac:dyDescent="0.3">
      <c r="F22710" s="193"/>
    </row>
    <row r="22711" spans="6:6" x14ac:dyDescent="0.3">
      <c r="F22711" s="193"/>
    </row>
    <row r="22712" spans="6:6" x14ac:dyDescent="0.3">
      <c r="F22712" s="193"/>
    </row>
    <row r="22713" spans="6:6" x14ac:dyDescent="0.3">
      <c r="F22713" s="193"/>
    </row>
    <row r="22714" spans="6:6" x14ac:dyDescent="0.3">
      <c r="F22714" s="193"/>
    </row>
    <row r="22715" spans="6:6" x14ac:dyDescent="0.3">
      <c r="F22715" s="193"/>
    </row>
    <row r="22716" spans="6:6" x14ac:dyDescent="0.3">
      <c r="F22716" s="193"/>
    </row>
    <row r="22717" spans="6:6" x14ac:dyDescent="0.3">
      <c r="F22717" s="193"/>
    </row>
    <row r="22718" spans="6:6" x14ac:dyDescent="0.3">
      <c r="F22718" s="193"/>
    </row>
    <row r="22719" spans="6:6" x14ac:dyDescent="0.3">
      <c r="F22719" s="193"/>
    </row>
    <row r="22720" spans="6:6" x14ac:dyDescent="0.3">
      <c r="F22720" s="193"/>
    </row>
    <row r="22721" spans="6:6" x14ac:dyDescent="0.3">
      <c r="F22721" s="193"/>
    </row>
    <row r="22722" spans="6:6" x14ac:dyDescent="0.3">
      <c r="F22722" s="193"/>
    </row>
    <row r="22723" spans="6:6" x14ac:dyDescent="0.3">
      <c r="F22723" s="193"/>
    </row>
    <row r="22724" spans="6:6" x14ac:dyDescent="0.3">
      <c r="F22724" s="193"/>
    </row>
    <row r="22725" spans="6:6" x14ac:dyDescent="0.3">
      <c r="F22725" s="193"/>
    </row>
    <row r="22726" spans="6:6" x14ac:dyDescent="0.3">
      <c r="F22726" s="193"/>
    </row>
    <row r="22727" spans="6:6" x14ac:dyDescent="0.3">
      <c r="F22727" s="193"/>
    </row>
    <row r="22728" spans="6:6" x14ac:dyDescent="0.3">
      <c r="F22728" s="193"/>
    </row>
    <row r="22729" spans="6:6" x14ac:dyDescent="0.3">
      <c r="F22729" s="193"/>
    </row>
    <row r="22730" spans="6:6" x14ac:dyDescent="0.3">
      <c r="F22730" s="193"/>
    </row>
    <row r="22731" spans="6:6" x14ac:dyDescent="0.3">
      <c r="F22731" s="193"/>
    </row>
    <row r="22732" spans="6:6" x14ac:dyDescent="0.3">
      <c r="F22732" s="193"/>
    </row>
    <row r="22733" spans="6:6" x14ac:dyDescent="0.3">
      <c r="F22733" s="193"/>
    </row>
    <row r="22734" spans="6:6" x14ac:dyDescent="0.3">
      <c r="F22734" s="193"/>
    </row>
    <row r="22735" spans="6:6" x14ac:dyDescent="0.3">
      <c r="F22735" s="193"/>
    </row>
    <row r="22736" spans="6:6" x14ac:dyDescent="0.3">
      <c r="F22736" s="193"/>
    </row>
    <row r="22737" spans="6:6" x14ac:dyDescent="0.3">
      <c r="F22737" s="193"/>
    </row>
    <row r="22738" spans="6:6" x14ac:dyDescent="0.3">
      <c r="F22738" s="193"/>
    </row>
    <row r="22739" spans="6:6" x14ac:dyDescent="0.3">
      <c r="F22739" s="193"/>
    </row>
    <row r="22740" spans="6:6" x14ac:dyDescent="0.3">
      <c r="F22740" s="193"/>
    </row>
    <row r="22741" spans="6:6" x14ac:dyDescent="0.3">
      <c r="F22741" s="193"/>
    </row>
    <row r="22742" spans="6:6" x14ac:dyDescent="0.3">
      <c r="F22742" s="193"/>
    </row>
    <row r="22743" spans="6:6" x14ac:dyDescent="0.3">
      <c r="F22743" s="193"/>
    </row>
    <row r="22744" spans="6:6" x14ac:dyDescent="0.3">
      <c r="F22744" s="193"/>
    </row>
    <row r="22745" spans="6:6" x14ac:dyDescent="0.3">
      <c r="F22745" s="193"/>
    </row>
    <row r="22746" spans="6:6" x14ac:dyDescent="0.3">
      <c r="F22746" s="193"/>
    </row>
    <row r="22747" spans="6:6" x14ac:dyDescent="0.3">
      <c r="F22747" s="193"/>
    </row>
    <row r="22748" spans="6:6" x14ac:dyDescent="0.3">
      <c r="F22748" s="193"/>
    </row>
    <row r="22749" spans="6:6" x14ac:dyDescent="0.3">
      <c r="F22749" s="193"/>
    </row>
    <row r="22750" spans="6:6" x14ac:dyDescent="0.3">
      <c r="F22750" s="193"/>
    </row>
    <row r="22751" spans="6:6" x14ac:dyDescent="0.3">
      <c r="F22751" s="193"/>
    </row>
    <row r="22752" spans="6:6" x14ac:dyDescent="0.3">
      <c r="F22752" s="193"/>
    </row>
    <row r="22753" spans="6:6" x14ac:dyDescent="0.3">
      <c r="F22753" s="193"/>
    </row>
    <row r="22754" spans="6:6" x14ac:dyDescent="0.3">
      <c r="F22754" s="193"/>
    </row>
    <row r="22755" spans="6:6" x14ac:dyDescent="0.3">
      <c r="F22755" s="193"/>
    </row>
    <row r="22756" spans="6:6" x14ac:dyDescent="0.3">
      <c r="F22756" s="193"/>
    </row>
    <row r="22757" spans="6:6" x14ac:dyDescent="0.3">
      <c r="F22757" s="193"/>
    </row>
    <row r="22758" spans="6:6" x14ac:dyDescent="0.3">
      <c r="F22758" s="193"/>
    </row>
    <row r="22759" spans="6:6" x14ac:dyDescent="0.3">
      <c r="F22759" s="193"/>
    </row>
    <row r="22760" spans="6:6" x14ac:dyDescent="0.3">
      <c r="F22760" s="193"/>
    </row>
    <row r="22761" spans="6:6" x14ac:dyDescent="0.3">
      <c r="F22761" s="193"/>
    </row>
    <row r="22762" spans="6:6" x14ac:dyDescent="0.3">
      <c r="F22762" s="193"/>
    </row>
    <row r="22763" spans="6:6" x14ac:dyDescent="0.3">
      <c r="F22763" s="193"/>
    </row>
    <row r="22764" spans="6:6" x14ac:dyDescent="0.3">
      <c r="F22764" s="193"/>
    </row>
    <row r="22765" spans="6:6" x14ac:dyDescent="0.3">
      <c r="F22765" s="193"/>
    </row>
    <row r="22766" spans="6:6" x14ac:dyDescent="0.3">
      <c r="F22766" s="193"/>
    </row>
    <row r="22767" spans="6:6" x14ac:dyDescent="0.3">
      <c r="F22767" s="193"/>
    </row>
    <row r="22768" spans="6:6" x14ac:dyDescent="0.3">
      <c r="F22768" s="193"/>
    </row>
    <row r="22769" spans="6:6" x14ac:dyDescent="0.3">
      <c r="F22769" s="193"/>
    </row>
    <row r="22770" spans="6:6" x14ac:dyDescent="0.3">
      <c r="F22770" s="193"/>
    </row>
    <row r="22771" spans="6:6" x14ac:dyDescent="0.3">
      <c r="F22771" s="193"/>
    </row>
    <row r="22772" spans="6:6" x14ac:dyDescent="0.3">
      <c r="F22772" s="193"/>
    </row>
    <row r="22773" spans="6:6" x14ac:dyDescent="0.3">
      <c r="F22773" s="193"/>
    </row>
    <row r="22774" spans="6:6" x14ac:dyDescent="0.3">
      <c r="F22774" s="193"/>
    </row>
    <row r="22775" spans="6:6" x14ac:dyDescent="0.3">
      <c r="F22775" s="193"/>
    </row>
    <row r="22776" spans="6:6" x14ac:dyDescent="0.3">
      <c r="F22776" s="193"/>
    </row>
    <row r="22777" spans="6:6" x14ac:dyDescent="0.3">
      <c r="F22777" s="193"/>
    </row>
    <row r="22778" spans="6:6" x14ac:dyDescent="0.3">
      <c r="F22778" s="193"/>
    </row>
    <row r="22779" spans="6:6" x14ac:dyDescent="0.3">
      <c r="F22779" s="193"/>
    </row>
    <row r="22780" spans="6:6" x14ac:dyDescent="0.3">
      <c r="F22780" s="193"/>
    </row>
    <row r="22781" spans="6:6" x14ac:dyDescent="0.3">
      <c r="F22781" s="193"/>
    </row>
    <row r="22782" spans="6:6" x14ac:dyDescent="0.3">
      <c r="F22782" s="193"/>
    </row>
    <row r="22783" spans="6:6" x14ac:dyDescent="0.3">
      <c r="F22783" s="193"/>
    </row>
    <row r="22784" spans="6:6" x14ac:dyDescent="0.3">
      <c r="F22784" s="193"/>
    </row>
    <row r="22785" spans="6:6" x14ac:dyDescent="0.3">
      <c r="F22785" s="193"/>
    </row>
    <row r="22786" spans="6:6" x14ac:dyDescent="0.3">
      <c r="F22786" s="193"/>
    </row>
    <row r="22787" spans="6:6" x14ac:dyDescent="0.3">
      <c r="F22787" s="193"/>
    </row>
    <row r="22788" spans="6:6" x14ac:dyDescent="0.3">
      <c r="F22788" s="193"/>
    </row>
    <row r="22789" spans="6:6" x14ac:dyDescent="0.3">
      <c r="F22789" s="193"/>
    </row>
    <row r="22790" spans="6:6" x14ac:dyDescent="0.3">
      <c r="F22790" s="193"/>
    </row>
    <row r="22791" spans="6:6" x14ac:dyDescent="0.3">
      <c r="F22791" s="193"/>
    </row>
    <row r="22792" spans="6:6" x14ac:dyDescent="0.3">
      <c r="F22792" s="193"/>
    </row>
    <row r="22793" spans="6:6" x14ac:dyDescent="0.3">
      <c r="F22793" s="193"/>
    </row>
    <row r="22794" spans="6:6" x14ac:dyDescent="0.3">
      <c r="F22794" s="193"/>
    </row>
    <row r="22795" spans="6:6" x14ac:dyDescent="0.3">
      <c r="F22795" s="193"/>
    </row>
    <row r="22796" spans="6:6" x14ac:dyDescent="0.3">
      <c r="F22796" s="193"/>
    </row>
    <row r="22797" spans="6:6" x14ac:dyDescent="0.3">
      <c r="F22797" s="193"/>
    </row>
    <row r="22798" spans="6:6" x14ac:dyDescent="0.3">
      <c r="F22798" s="193"/>
    </row>
    <row r="22799" spans="6:6" x14ac:dyDescent="0.3">
      <c r="F22799" s="193"/>
    </row>
    <row r="22800" spans="6:6" x14ac:dyDescent="0.3">
      <c r="F22800" s="193"/>
    </row>
    <row r="22801" spans="6:6" x14ac:dyDescent="0.3">
      <c r="F22801" s="193"/>
    </row>
    <row r="22802" spans="6:6" x14ac:dyDescent="0.3">
      <c r="F22802" s="193"/>
    </row>
    <row r="22803" spans="6:6" x14ac:dyDescent="0.3">
      <c r="F22803" s="193"/>
    </row>
    <row r="22804" spans="6:6" x14ac:dyDescent="0.3">
      <c r="F22804" s="193"/>
    </row>
    <row r="22805" spans="6:6" x14ac:dyDescent="0.3">
      <c r="F22805" s="193"/>
    </row>
    <row r="22806" spans="6:6" x14ac:dyDescent="0.3">
      <c r="F22806" s="193"/>
    </row>
    <row r="22807" spans="6:6" x14ac:dyDescent="0.3">
      <c r="F22807" s="193"/>
    </row>
    <row r="22808" spans="6:6" x14ac:dyDescent="0.3">
      <c r="F22808" s="193"/>
    </row>
    <row r="22809" spans="6:6" x14ac:dyDescent="0.3">
      <c r="F22809" s="193"/>
    </row>
    <row r="22810" spans="6:6" x14ac:dyDescent="0.3">
      <c r="F22810" s="193"/>
    </row>
    <row r="22811" spans="6:6" x14ac:dyDescent="0.3">
      <c r="F22811" s="193"/>
    </row>
    <row r="22812" spans="6:6" x14ac:dyDescent="0.3">
      <c r="F22812" s="193"/>
    </row>
    <row r="22813" spans="6:6" x14ac:dyDescent="0.3">
      <c r="F22813" s="193"/>
    </row>
    <row r="22814" spans="6:6" x14ac:dyDescent="0.3">
      <c r="F22814" s="193"/>
    </row>
    <row r="22815" spans="6:6" x14ac:dyDescent="0.3">
      <c r="F22815" s="193"/>
    </row>
    <row r="22816" spans="6:6" x14ac:dyDescent="0.3">
      <c r="F22816" s="193"/>
    </row>
    <row r="22817" spans="6:6" x14ac:dyDescent="0.3">
      <c r="F22817" s="193"/>
    </row>
    <row r="22818" spans="6:6" x14ac:dyDescent="0.3">
      <c r="F22818" s="193"/>
    </row>
    <row r="22819" spans="6:6" x14ac:dyDescent="0.3">
      <c r="F22819" s="193"/>
    </row>
    <row r="22820" spans="6:6" x14ac:dyDescent="0.3">
      <c r="F22820" s="193"/>
    </row>
    <row r="22821" spans="6:6" x14ac:dyDescent="0.3">
      <c r="F22821" s="193"/>
    </row>
    <row r="22822" spans="6:6" x14ac:dyDescent="0.3">
      <c r="F22822" s="193"/>
    </row>
    <row r="22823" spans="6:6" x14ac:dyDescent="0.3">
      <c r="F22823" s="193"/>
    </row>
    <row r="22824" spans="6:6" x14ac:dyDescent="0.3">
      <c r="F22824" s="193"/>
    </row>
    <row r="22825" spans="6:6" x14ac:dyDescent="0.3">
      <c r="F22825" s="193"/>
    </row>
    <row r="22826" spans="6:6" x14ac:dyDescent="0.3">
      <c r="F22826" s="193"/>
    </row>
    <row r="22827" spans="6:6" x14ac:dyDescent="0.3">
      <c r="F22827" s="193"/>
    </row>
    <row r="22828" spans="6:6" x14ac:dyDescent="0.3">
      <c r="F22828" s="193"/>
    </row>
    <row r="22829" spans="6:6" x14ac:dyDescent="0.3">
      <c r="F22829" s="193"/>
    </row>
    <row r="22830" spans="6:6" x14ac:dyDescent="0.3">
      <c r="F22830" s="193"/>
    </row>
    <row r="22831" spans="6:6" x14ac:dyDescent="0.3">
      <c r="F22831" s="193"/>
    </row>
    <row r="22832" spans="6:6" x14ac:dyDescent="0.3">
      <c r="F22832" s="193"/>
    </row>
    <row r="22833" spans="6:6" x14ac:dyDescent="0.3">
      <c r="F22833" s="193"/>
    </row>
    <row r="22834" spans="6:6" x14ac:dyDescent="0.3">
      <c r="F22834" s="193"/>
    </row>
    <row r="22835" spans="6:6" x14ac:dyDescent="0.3">
      <c r="F22835" s="193"/>
    </row>
    <row r="22836" spans="6:6" x14ac:dyDescent="0.3">
      <c r="F22836" s="193"/>
    </row>
    <row r="22837" spans="6:6" x14ac:dyDescent="0.3">
      <c r="F22837" s="193"/>
    </row>
    <row r="22838" spans="6:6" x14ac:dyDescent="0.3">
      <c r="F22838" s="193"/>
    </row>
    <row r="22839" spans="6:6" x14ac:dyDescent="0.3">
      <c r="F22839" s="193"/>
    </row>
    <row r="22840" spans="6:6" x14ac:dyDescent="0.3">
      <c r="F22840" s="193"/>
    </row>
    <row r="22841" spans="6:6" x14ac:dyDescent="0.3">
      <c r="F22841" s="193"/>
    </row>
    <row r="22842" spans="6:6" x14ac:dyDescent="0.3">
      <c r="F22842" s="193"/>
    </row>
    <row r="22843" spans="6:6" x14ac:dyDescent="0.3">
      <c r="F22843" s="193"/>
    </row>
    <row r="22844" spans="6:6" x14ac:dyDescent="0.3">
      <c r="F22844" s="193"/>
    </row>
    <row r="22845" spans="6:6" x14ac:dyDescent="0.3">
      <c r="F22845" s="193"/>
    </row>
    <row r="22846" spans="6:6" x14ac:dyDescent="0.3">
      <c r="F22846" s="193"/>
    </row>
    <row r="22847" spans="6:6" x14ac:dyDescent="0.3">
      <c r="F22847" s="193"/>
    </row>
    <row r="22848" spans="6:6" x14ac:dyDescent="0.3">
      <c r="F22848" s="193"/>
    </row>
    <row r="22849" spans="6:6" x14ac:dyDescent="0.3">
      <c r="F22849" s="193"/>
    </row>
    <row r="22850" spans="6:6" x14ac:dyDescent="0.3">
      <c r="F22850" s="193"/>
    </row>
    <row r="22851" spans="6:6" x14ac:dyDescent="0.3">
      <c r="F22851" s="193"/>
    </row>
    <row r="22852" spans="6:6" x14ac:dyDescent="0.3">
      <c r="F22852" s="193"/>
    </row>
    <row r="22853" spans="6:6" x14ac:dyDescent="0.3">
      <c r="F22853" s="193"/>
    </row>
    <row r="22854" spans="6:6" x14ac:dyDescent="0.3">
      <c r="F22854" s="193"/>
    </row>
    <row r="22855" spans="6:6" x14ac:dyDescent="0.3">
      <c r="F22855" s="193"/>
    </row>
    <row r="22856" spans="6:6" x14ac:dyDescent="0.3">
      <c r="F22856" s="193"/>
    </row>
    <row r="22857" spans="6:6" x14ac:dyDescent="0.3">
      <c r="F22857" s="193"/>
    </row>
    <row r="22858" spans="6:6" x14ac:dyDescent="0.3">
      <c r="F22858" s="193"/>
    </row>
    <row r="22859" spans="6:6" x14ac:dyDescent="0.3">
      <c r="F22859" s="193"/>
    </row>
    <row r="22860" spans="6:6" x14ac:dyDescent="0.3">
      <c r="F22860" s="193"/>
    </row>
    <row r="22861" spans="6:6" x14ac:dyDescent="0.3">
      <c r="F22861" s="193"/>
    </row>
    <row r="22862" spans="6:6" x14ac:dyDescent="0.3">
      <c r="F22862" s="193"/>
    </row>
    <row r="22863" spans="6:6" x14ac:dyDescent="0.3">
      <c r="F22863" s="193"/>
    </row>
    <row r="22864" spans="6:6" x14ac:dyDescent="0.3">
      <c r="F22864" s="193"/>
    </row>
    <row r="22865" spans="6:6" x14ac:dyDescent="0.3">
      <c r="F22865" s="193"/>
    </row>
    <row r="22866" spans="6:6" x14ac:dyDescent="0.3">
      <c r="F22866" s="193"/>
    </row>
    <row r="22867" spans="6:6" x14ac:dyDescent="0.3">
      <c r="F22867" s="193"/>
    </row>
    <row r="22868" spans="6:6" x14ac:dyDescent="0.3">
      <c r="F22868" s="193"/>
    </row>
    <row r="22869" spans="6:6" x14ac:dyDescent="0.3">
      <c r="F22869" s="193"/>
    </row>
    <row r="22870" spans="6:6" x14ac:dyDescent="0.3">
      <c r="F22870" s="193"/>
    </row>
    <row r="22871" spans="6:6" x14ac:dyDescent="0.3">
      <c r="F22871" s="193"/>
    </row>
    <row r="22872" spans="6:6" x14ac:dyDescent="0.3">
      <c r="F22872" s="193"/>
    </row>
    <row r="22873" spans="6:6" x14ac:dyDescent="0.3">
      <c r="F22873" s="193"/>
    </row>
    <row r="22874" spans="6:6" x14ac:dyDescent="0.3">
      <c r="F22874" s="193"/>
    </row>
    <row r="22875" spans="6:6" x14ac:dyDescent="0.3">
      <c r="F22875" s="193"/>
    </row>
    <row r="22876" spans="6:6" x14ac:dyDescent="0.3">
      <c r="F22876" s="193"/>
    </row>
    <row r="22877" spans="6:6" x14ac:dyDescent="0.3">
      <c r="F22877" s="193"/>
    </row>
    <row r="22878" spans="6:6" x14ac:dyDescent="0.3">
      <c r="F22878" s="193"/>
    </row>
    <row r="22879" spans="6:6" x14ac:dyDescent="0.3">
      <c r="F22879" s="193"/>
    </row>
    <row r="22880" spans="6:6" x14ac:dyDescent="0.3">
      <c r="F22880" s="193"/>
    </row>
    <row r="22881" spans="6:6" x14ac:dyDescent="0.3">
      <c r="F22881" s="193"/>
    </row>
    <row r="22882" spans="6:6" x14ac:dyDescent="0.3">
      <c r="F22882" s="193"/>
    </row>
    <row r="22883" spans="6:6" x14ac:dyDescent="0.3">
      <c r="F22883" s="193"/>
    </row>
    <row r="22884" spans="6:6" x14ac:dyDescent="0.3">
      <c r="F22884" s="193"/>
    </row>
    <row r="22885" spans="6:6" x14ac:dyDescent="0.3">
      <c r="F22885" s="193"/>
    </row>
    <row r="22886" spans="6:6" x14ac:dyDescent="0.3">
      <c r="F22886" s="193"/>
    </row>
    <row r="22887" spans="6:6" x14ac:dyDescent="0.3">
      <c r="F22887" s="193"/>
    </row>
    <row r="22888" spans="6:6" x14ac:dyDescent="0.3">
      <c r="F22888" s="193"/>
    </row>
    <row r="22889" spans="6:6" x14ac:dyDescent="0.3">
      <c r="F22889" s="193"/>
    </row>
    <row r="22890" spans="6:6" x14ac:dyDescent="0.3">
      <c r="F22890" s="193"/>
    </row>
    <row r="22891" spans="6:6" x14ac:dyDescent="0.3">
      <c r="F22891" s="193"/>
    </row>
    <row r="22892" spans="6:6" x14ac:dyDescent="0.3">
      <c r="F22892" s="193"/>
    </row>
    <row r="22893" spans="6:6" x14ac:dyDescent="0.3">
      <c r="F22893" s="193"/>
    </row>
    <row r="22894" spans="6:6" x14ac:dyDescent="0.3">
      <c r="F22894" s="193"/>
    </row>
    <row r="22895" spans="6:6" x14ac:dyDescent="0.3">
      <c r="F22895" s="193"/>
    </row>
    <row r="22896" spans="6:6" x14ac:dyDescent="0.3">
      <c r="F22896" s="193"/>
    </row>
    <row r="22897" spans="6:6" x14ac:dyDescent="0.3">
      <c r="F22897" s="193"/>
    </row>
    <row r="22898" spans="6:6" x14ac:dyDescent="0.3">
      <c r="F22898" s="193"/>
    </row>
    <row r="22899" spans="6:6" x14ac:dyDescent="0.3">
      <c r="F22899" s="193"/>
    </row>
    <row r="22900" spans="6:6" x14ac:dyDescent="0.3">
      <c r="F22900" s="193"/>
    </row>
    <row r="22901" spans="6:6" x14ac:dyDescent="0.3">
      <c r="F22901" s="193"/>
    </row>
    <row r="22902" spans="6:6" x14ac:dyDescent="0.3">
      <c r="F22902" s="193"/>
    </row>
    <row r="22903" spans="6:6" x14ac:dyDescent="0.3">
      <c r="F22903" s="193"/>
    </row>
    <row r="22904" spans="6:6" x14ac:dyDescent="0.3">
      <c r="F22904" s="193"/>
    </row>
    <row r="22905" spans="6:6" x14ac:dyDescent="0.3">
      <c r="F22905" s="193"/>
    </row>
    <row r="22906" spans="6:6" x14ac:dyDescent="0.3">
      <c r="F22906" s="193"/>
    </row>
    <row r="22907" spans="6:6" x14ac:dyDescent="0.3">
      <c r="F22907" s="193"/>
    </row>
    <row r="22908" spans="6:6" x14ac:dyDescent="0.3">
      <c r="F22908" s="193"/>
    </row>
    <row r="22909" spans="6:6" x14ac:dyDescent="0.3">
      <c r="F22909" s="193"/>
    </row>
    <row r="22910" spans="6:6" x14ac:dyDescent="0.3">
      <c r="F22910" s="193"/>
    </row>
    <row r="22911" spans="6:6" x14ac:dyDescent="0.3">
      <c r="F22911" s="193"/>
    </row>
    <row r="22912" spans="6:6" x14ac:dyDescent="0.3">
      <c r="F22912" s="193"/>
    </row>
    <row r="22913" spans="6:6" x14ac:dyDescent="0.3">
      <c r="F22913" s="193"/>
    </row>
    <row r="22914" spans="6:6" x14ac:dyDescent="0.3">
      <c r="F22914" s="193"/>
    </row>
    <row r="22915" spans="6:6" x14ac:dyDescent="0.3">
      <c r="F22915" s="193"/>
    </row>
    <row r="22916" spans="6:6" x14ac:dyDescent="0.3">
      <c r="F22916" s="193"/>
    </row>
    <row r="22917" spans="6:6" x14ac:dyDescent="0.3">
      <c r="F22917" s="193"/>
    </row>
    <row r="22918" spans="6:6" x14ac:dyDescent="0.3">
      <c r="F22918" s="193"/>
    </row>
    <row r="22919" spans="6:6" x14ac:dyDescent="0.3">
      <c r="F22919" s="193"/>
    </row>
    <row r="22920" spans="6:6" x14ac:dyDescent="0.3">
      <c r="F22920" s="193"/>
    </row>
    <row r="22921" spans="6:6" x14ac:dyDescent="0.3">
      <c r="F22921" s="193"/>
    </row>
    <row r="22922" spans="6:6" x14ac:dyDescent="0.3">
      <c r="F22922" s="193"/>
    </row>
    <row r="22923" spans="6:6" x14ac:dyDescent="0.3">
      <c r="F22923" s="193"/>
    </row>
    <row r="22924" spans="6:6" x14ac:dyDescent="0.3">
      <c r="F22924" s="193"/>
    </row>
    <row r="22925" spans="6:6" x14ac:dyDescent="0.3">
      <c r="F22925" s="193"/>
    </row>
    <row r="22926" spans="6:6" x14ac:dyDescent="0.3">
      <c r="F22926" s="193"/>
    </row>
    <row r="22927" spans="6:6" x14ac:dyDescent="0.3">
      <c r="F22927" s="193"/>
    </row>
    <row r="22928" spans="6:6" x14ac:dyDescent="0.3">
      <c r="F22928" s="193"/>
    </row>
    <row r="22929" spans="6:6" x14ac:dyDescent="0.3">
      <c r="F22929" s="193"/>
    </row>
    <row r="22930" spans="6:6" x14ac:dyDescent="0.3">
      <c r="F22930" s="193"/>
    </row>
    <row r="22931" spans="6:6" x14ac:dyDescent="0.3">
      <c r="F22931" s="193"/>
    </row>
    <row r="22932" spans="6:6" x14ac:dyDescent="0.3">
      <c r="F22932" s="193"/>
    </row>
    <row r="22933" spans="6:6" x14ac:dyDescent="0.3">
      <c r="F22933" s="193"/>
    </row>
    <row r="22934" spans="6:6" x14ac:dyDescent="0.3">
      <c r="F22934" s="193"/>
    </row>
    <row r="22935" spans="6:6" x14ac:dyDescent="0.3">
      <c r="F22935" s="193"/>
    </row>
    <row r="22936" spans="6:6" x14ac:dyDescent="0.3">
      <c r="F22936" s="193"/>
    </row>
    <row r="22937" spans="6:6" x14ac:dyDescent="0.3">
      <c r="F22937" s="193"/>
    </row>
    <row r="22938" spans="6:6" x14ac:dyDescent="0.3">
      <c r="F22938" s="193"/>
    </row>
    <row r="22939" spans="6:6" x14ac:dyDescent="0.3">
      <c r="F22939" s="193"/>
    </row>
    <row r="22940" spans="6:6" x14ac:dyDescent="0.3">
      <c r="F22940" s="193"/>
    </row>
    <row r="22941" spans="6:6" x14ac:dyDescent="0.3">
      <c r="F22941" s="193"/>
    </row>
    <row r="22942" spans="6:6" x14ac:dyDescent="0.3">
      <c r="F22942" s="193"/>
    </row>
    <row r="22943" spans="6:6" x14ac:dyDescent="0.3">
      <c r="F22943" s="193"/>
    </row>
    <row r="22944" spans="6:6" x14ac:dyDescent="0.3">
      <c r="F22944" s="193"/>
    </row>
    <row r="22945" spans="6:6" x14ac:dyDescent="0.3">
      <c r="F22945" s="193"/>
    </row>
    <row r="22946" spans="6:6" x14ac:dyDescent="0.3">
      <c r="F22946" s="193"/>
    </row>
    <row r="22947" spans="6:6" x14ac:dyDescent="0.3">
      <c r="F22947" s="193"/>
    </row>
    <row r="22948" spans="6:6" x14ac:dyDescent="0.3">
      <c r="F22948" s="193"/>
    </row>
    <row r="22949" spans="6:6" x14ac:dyDescent="0.3">
      <c r="F22949" s="193"/>
    </row>
    <row r="22950" spans="6:6" x14ac:dyDescent="0.3">
      <c r="F22950" s="193"/>
    </row>
    <row r="22951" spans="6:6" x14ac:dyDescent="0.3">
      <c r="F22951" s="193"/>
    </row>
    <row r="22952" spans="6:6" x14ac:dyDescent="0.3">
      <c r="F22952" s="193"/>
    </row>
    <row r="22953" spans="6:6" x14ac:dyDescent="0.3">
      <c r="F22953" s="193"/>
    </row>
    <row r="22954" spans="6:6" x14ac:dyDescent="0.3">
      <c r="F22954" s="193"/>
    </row>
    <row r="22955" spans="6:6" x14ac:dyDescent="0.3">
      <c r="F22955" s="193"/>
    </row>
    <row r="22956" spans="6:6" x14ac:dyDescent="0.3">
      <c r="F22956" s="193"/>
    </row>
    <row r="22957" spans="6:6" x14ac:dyDescent="0.3">
      <c r="F22957" s="193"/>
    </row>
    <row r="22958" spans="6:6" x14ac:dyDescent="0.3">
      <c r="F22958" s="193"/>
    </row>
    <row r="22959" spans="6:6" x14ac:dyDescent="0.3">
      <c r="F22959" s="193"/>
    </row>
    <row r="22960" spans="6:6" x14ac:dyDescent="0.3">
      <c r="F22960" s="193"/>
    </row>
    <row r="22961" spans="6:6" x14ac:dyDescent="0.3">
      <c r="F22961" s="193"/>
    </row>
    <row r="22962" spans="6:6" x14ac:dyDescent="0.3">
      <c r="F22962" s="193"/>
    </row>
    <row r="22963" spans="6:6" x14ac:dyDescent="0.3">
      <c r="F22963" s="193"/>
    </row>
    <row r="22964" spans="6:6" x14ac:dyDescent="0.3">
      <c r="F22964" s="193"/>
    </row>
    <row r="22965" spans="6:6" x14ac:dyDescent="0.3">
      <c r="F22965" s="193"/>
    </row>
    <row r="22966" spans="6:6" x14ac:dyDescent="0.3">
      <c r="F22966" s="193"/>
    </row>
    <row r="22967" spans="6:6" x14ac:dyDescent="0.3">
      <c r="F22967" s="193"/>
    </row>
    <row r="22968" spans="6:6" x14ac:dyDescent="0.3">
      <c r="F22968" s="193"/>
    </row>
    <row r="22969" spans="6:6" x14ac:dyDescent="0.3">
      <c r="F22969" s="193"/>
    </row>
    <row r="22970" spans="6:6" x14ac:dyDescent="0.3">
      <c r="F22970" s="193"/>
    </row>
    <row r="22971" spans="6:6" x14ac:dyDescent="0.3">
      <c r="F22971" s="193"/>
    </row>
    <row r="22972" spans="6:6" x14ac:dyDescent="0.3">
      <c r="F22972" s="193"/>
    </row>
    <row r="22973" spans="6:6" x14ac:dyDescent="0.3">
      <c r="F22973" s="193"/>
    </row>
    <row r="22974" spans="6:6" x14ac:dyDescent="0.3">
      <c r="F22974" s="193"/>
    </row>
    <row r="22975" spans="6:6" x14ac:dyDescent="0.3">
      <c r="F22975" s="193"/>
    </row>
    <row r="22976" spans="6:6" x14ac:dyDescent="0.3">
      <c r="F22976" s="193"/>
    </row>
    <row r="22977" spans="6:6" x14ac:dyDescent="0.3">
      <c r="F22977" s="193"/>
    </row>
    <row r="22978" spans="6:6" x14ac:dyDescent="0.3">
      <c r="F22978" s="193"/>
    </row>
    <row r="22979" spans="6:6" x14ac:dyDescent="0.3">
      <c r="F22979" s="193"/>
    </row>
    <row r="22980" spans="6:6" x14ac:dyDescent="0.3">
      <c r="F22980" s="193"/>
    </row>
    <row r="22981" spans="6:6" x14ac:dyDescent="0.3">
      <c r="F22981" s="193"/>
    </row>
    <row r="22982" spans="6:6" x14ac:dyDescent="0.3">
      <c r="F22982" s="193"/>
    </row>
    <row r="22983" spans="6:6" x14ac:dyDescent="0.3">
      <c r="F22983" s="193"/>
    </row>
    <row r="22984" spans="6:6" x14ac:dyDescent="0.3">
      <c r="F22984" s="193"/>
    </row>
    <row r="22985" spans="6:6" x14ac:dyDescent="0.3">
      <c r="F22985" s="193"/>
    </row>
    <row r="22986" spans="6:6" x14ac:dyDescent="0.3">
      <c r="F22986" s="193"/>
    </row>
    <row r="22987" spans="6:6" x14ac:dyDescent="0.3">
      <c r="F22987" s="193"/>
    </row>
    <row r="22988" spans="6:6" x14ac:dyDescent="0.3">
      <c r="F22988" s="193"/>
    </row>
    <row r="22989" spans="6:6" x14ac:dyDescent="0.3">
      <c r="F22989" s="193"/>
    </row>
    <row r="22990" spans="6:6" x14ac:dyDescent="0.3">
      <c r="F22990" s="193"/>
    </row>
    <row r="22991" spans="6:6" x14ac:dyDescent="0.3">
      <c r="F22991" s="193"/>
    </row>
    <row r="22992" spans="6:6" x14ac:dyDescent="0.3">
      <c r="F22992" s="193"/>
    </row>
    <row r="22993" spans="6:6" x14ac:dyDescent="0.3">
      <c r="F22993" s="193"/>
    </row>
    <row r="22994" spans="6:6" x14ac:dyDescent="0.3">
      <c r="F22994" s="193"/>
    </row>
    <row r="22995" spans="6:6" x14ac:dyDescent="0.3">
      <c r="F22995" s="193"/>
    </row>
    <row r="22996" spans="6:6" x14ac:dyDescent="0.3">
      <c r="F22996" s="193"/>
    </row>
    <row r="22997" spans="6:6" x14ac:dyDescent="0.3">
      <c r="F22997" s="193"/>
    </row>
    <row r="22998" spans="6:6" x14ac:dyDescent="0.3">
      <c r="F22998" s="193"/>
    </row>
    <row r="22999" spans="6:6" x14ac:dyDescent="0.3">
      <c r="F22999" s="193"/>
    </row>
    <row r="23000" spans="6:6" x14ac:dyDescent="0.3">
      <c r="F23000" s="193"/>
    </row>
    <row r="23001" spans="6:6" x14ac:dyDescent="0.3">
      <c r="F23001" s="193"/>
    </row>
    <row r="23002" spans="6:6" x14ac:dyDescent="0.3">
      <c r="F23002" s="193"/>
    </row>
    <row r="23003" spans="6:6" x14ac:dyDescent="0.3">
      <c r="F23003" s="193"/>
    </row>
    <row r="23004" spans="6:6" x14ac:dyDescent="0.3">
      <c r="F23004" s="193"/>
    </row>
    <row r="23005" spans="6:6" x14ac:dyDescent="0.3">
      <c r="F23005" s="193"/>
    </row>
    <row r="23006" spans="6:6" x14ac:dyDescent="0.3">
      <c r="F23006" s="193"/>
    </row>
    <row r="23007" spans="6:6" x14ac:dyDescent="0.3">
      <c r="F23007" s="193"/>
    </row>
    <row r="23008" spans="6:6" x14ac:dyDescent="0.3">
      <c r="F23008" s="193"/>
    </row>
    <row r="23009" spans="6:6" x14ac:dyDescent="0.3">
      <c r="F23009" s="193"/>
    </row>
    <row r="23010" spans="6:6" x14ac:dyDescent="0.3">
      <c r="F23010" s="193"/>
    </row>
    <row r="23011" spans="6:6" x14ac:dyDescent="0.3">
      <c r="F23011" s="193"/>
    </row>
    <row r="23012" spans="6:6" x14ac:dyDescent="0.3">
      <c r="F23012" s="193"/>
    </row>
    <row r="23013" spans="6:6" x14ac:dyDescent="0.3">
      <c r="F23013" s="193"/>
    </row>
    <row r="23014" spans="6:6" x14ac:dyDescent="0.3">
      <c r="F23014" s="193"/>
    </row>
    <row r="23015" spans="6:6" x14ac:dyDescent="0.3">
      <c r="F23015" s="193"/>
    </row>
    <row r="23016" spans="6:6" x14ac:dyDescent="0.3">
      <c r="F23016" s="193"/>
    </row>
    <row r="23017" spans="6:6" x14ac:dyDescent="0.3">
      <c r="F23017" s="193"/>
    </row>
    <row r="23018" spans="6:6" x14ac:dyDescent="0.3">
      <c r="F23018" s="193"/>
    </row>
    <row r="23019" spans="6:6" x14ac:dyDescent="0.3">
      <c r="F23019" s="193"/>
    </row>
    <row r="23020" spans="6:6" x14ac:dyDescent="0.3">
      <c r="F23020" s="193"/>
    </row>
    <row r="23021" spans="6:6" x14ac:dyDescent="0.3">
      <c r="F23021" s="193"/>
    </row>
    <row r="23022" spans="6:6" x14ac:dyDescent="0.3">
      <c r="F23022" s="193"/>
    </row>
    <row r="23023" spans="6:6" x14ac:dyDescent="0.3">
      <c r="F23023" s="193"/>
    </row>
    <row r="23024" spans="6:6" x14ac:dyDescent="0.3">
      <c r="F23024" s="193"/>
    </row>
    <row r="23025" spans="6:6" x14ac:dyDescent="0.3">
      <c r="F23025" s="193"/>
    </row>
    <row r="23026" spans="6:6" x14ac:dyDescent="0.3">
      <c r="F23026" s="193"/>
    </row>
    <row r="23027" spans="6:6" x14ac:dyDescent="0.3">
      <c r="F23027" s="193"/>
    </row>
    <row r="23028" spans="6:6" x14ac:dyDescent="0.3">
      <c r="F23028" s="193"/>
    </row>
    <row r="23029" spans="6:6" x14ac:dyDescent="0.3">
      <c r="F23029" s="193"/>
    </row>
    <row r="23030" spans="6:6" x14ac:dyDescent="0.3">
      <c r="F23030" s="193"/>
    </row>
    <row r="23031" spans="6:6" x14ac:dyDescent="0.3">
      <c r="F23031" s="193"/>
    </row>
    <row r="23032" spans="6:6" x14ac:dyDescent="0.3">
      <c r="F23032" s="193"/>
    </row>
    <row r="23033" spans="6:6" x14ac:dyDescent="0.3">
      <c r="F23033" s="193"/>
    </row>
    <row r="23034" spans="6:6" x14ac:dyDescent="0.3">
      <c r="F23034" s="193"/>
    </row>
    <row r="23035" spans="6:6" x14ac:dyDescent="0.3">
      <c r="F23035" s="193"/>
    </row>
    <row r="23036" spans="6:6" x14ac:dyDescent="0.3">
      <c r="F23036" s="193"/>
    </row>
    <row r="23037" spans="6:6" x14ac:dyDescent="0.3">
      <c r="F23037" s="193"/>
    </row>
    <row r="23038" spans="6:6" x14ac:dyDescent="0.3">
      <c r="F23038" s="193"/>
    </row>
    <row r="23039" spans="6:6" x14ac:dyDescent="0.3">
      <c r="F23039" s="193"/>
    </row>
    <row r="23040" spans="6:6" x14ac:dyDescent="0.3">
      <c r="F23040" s="193"/>
    </row>
    <row r="23041" spans="6:6" x14ac:dyDescent="0.3">
      <c r="F23041" s="193"/>
    </row>
    <row r="23042" spans="6:6" x14ac:dyDescent="0.3">
      <c r="F23042" s="193"/>
    </row>
    <row r="23043" spans="6:6" x14ac:dyDescent="0.3">
      <c r="F23043" s="193"/>
    </row>
    <row r="23044" spans="6:6" x14ac:dyDescent="0.3">
      <c r="F23044" s="193"/>
    </row>
    <row r="23045" spans="6:6" x14ac:dyDescent="0.3">
      <c r="F23045" s="193"/>
    </row>
    <row r="23046" spans="6:6" x14ac:dyDescent="0.3">
      <c r="F23046" s="193"/>
    </row>
    <row r="23047" spans="6:6" x14ac:dyDescent="0.3">
      <c r="F23047" s="193"/>
    </row>
    <row r="23048" spans="6:6" x14ac:dyDescent="0.3">
      <c r="F23048" s="193"/>
    </row>
    <row r="23049" spans="6:6" x14ac:dyDescent="0.3">
      <c r="F23049" s="193"/>
    </row>
    <row r="23050" spans="6:6" x14ac:dyDescent="0.3">
      <c r="F23050" s="193"/>
    </row>
    <row r="23051" spans="6:6" x14ac:dyDescent="0.3">
      <c r="F23051" s="193"/>
    </row>
    <row r="23052" spans="6:6" x14ac:dyDescent="0.3">
      <c r="F23052" s="193"/>
    </row>
    <row r="23053" spans="6:6" x14ac:dyDescent="0.3">
      <c r="F23053" s="193"/>
    </row>
    <row r="23054" spans="6:6" x14ac:dyDescent="0.3">
      <c r="F23054" s="193"/>
    </row>
    <row r="23055" spans="6:6" x14ac:dyDescent="0.3">
      <c r="F23055" s="193"/>
    </row>
    <row r="23056" spans="6:6" x14ac:dyDescent="0.3">
      <c r="F23056" s="193"/>
    </row>
    <row r="23057" spans="6:6" x14ac:dyDescent="0.3">
      <c r="F23057" s="193"/>
    </row>
    <row r="23058" spans="6:6" x14ac:dyDescent="0.3">
      <c r="F23058" s="193"/>
    </row>
    <row r="23059" spans="6:6" x14ac:dyDescent="0.3">
      <c r="F23059" s="193"/>
    </row>
    <row r="23060" spans="6:6" x14ac:dyDescent="0.3">
      <c r="F23060" s="193"/>
    </row>
    <row r="23061" spans="6:6" x14ac:dyDescent="0.3">
      <c r="F23061" s="193"/>
    </row>
    <row r="23062" spans="6:6" x14ac:dyDescent="0.3">
      <c r="F23062" s="193"/>
    </row>
    <row r="23063" spans="6:6" x14ac:dyDescent="0.3">
      <c r="F23063" s="193"/>
    </row>
    <row r="23064" spans="6:6" x14ac:dyDescent="0.3">
      <c r="F23064" s="193"/>
    </row>
    <row r="23065" spans="6:6" x14ac:dyDescent="0.3">
      <c r="F23065" s="193"/>
    </row>
    <row r="23066" spans="6:6" x14ac:dyDescent="0.3">
      <c r="F23066" s="193"/>
    </row>
    <row r="23067" spans="6:6" x14ac:dyDescent="0.3">
      <c r="F23067" s="193"/>
    </row>
    <row r="23068" spans="6:6" x14ac:dyDescent="0.3">
      <c r="F23068" s="193"/>
    </row>
    <row r="23069" spans="6:6" x14ac:dyDescent="0.3">
      <c r="F23069" s="193"/>
    </row>
    <row r="23070" spans="6:6" x14ac:dyDescent="0.3">
      <c r="F23070" s="193"/>
    </row>
    <row r="23071" spans="6:6" x14ac:dyDescent="0.3">
      <c r="F23071" s="193"/>
    </row>
    <row r="23072" spans="6:6" x14ac:dyDescent="0.3">
      <c r="F23072" s="193"/>
    </row>
    <row r="23073" spans="6:6" x14ac:dyDescent="0.3">
      <c r="F23073" s="193"/>
    </row>
    <row r="23074" spans="6:6" x14ac:dyDescent="0.3">
      <c r="F23074" s="193"/>
    </row>
    <row r="23075" spans="6:6" x14ac:dyDescent="0.3">
      <c r="F23075" s="193"/>
    </row>
    <row r="23076" spans="6:6" x14ac:dyDescent="0.3">
      <c r="F23076" s="193"/>
    </row>
    <row r="23077" spans="6:6" x14ac:dyDescent="0.3">
      <c r="F23077" s="193"/>
    </row>
    <row r="23078" spans="6:6" x14ac:dyDescent="0.3">
      <c r="F23078" s="193"/>
    </row>
    <row r="23079" spans="6:6" x14ac:dyDescent="0.3">
      <c r="F23079" s="193"/>
    </row>
    <row r="23080" spans="6:6" x14ac:dyDescent="0.3">
      <c r="F23080" s="193"/>
    </row>
    <row r="23081" spans="6:6" x14ac:dyDescent="0.3">
      <c r="F23081" s="193"/>
    </row>
    <row r="23082" spans="6:6" x14ac:dyDescent="0.3">
      <c r="F23082" s="193"/>
    </row>
    <row r="23083" spans="6:6" x14ac:dyDescent="0.3">
      <c r="F23083" s="193"/>
    </row>
    <row r="23084" spans="6:6" x14ac:dyDescent="0.3">
      <c r="F23084" s="193"/>
    </row>
    <row r="23085" spans="6:6" x14ac:dyDescent="0.3">
      <c r="F23085" s="193"/>
    </row>
    <row r="23086" spans="6:6" x14ac:dyDescent="0.3">
      <c r="F23086" s="193"/>
    </row>
    <row r="23087" spans="6:6" x14ac:dyDescent="0.3">
      <c r="F23087" s="193"/>
    </row>
    <row r="23088" spans="6:6" x14ac:dyDescent="0.3">
      <c r="F23088" s="193"/>
    </row>
    <row r="23089" spans="6:6" x14ac:dyDescent="0.3">
      <c r="F23089" s="193"/>
    </row>
    <row r="23090" spans="6:6" x14ac:dyDescent="0.3">
      <c r="F23090" s="193"/>
    </row>
    <row r="23091" spans="6:6" x14ac:dyDescent="0.3">
      <c r="F23091" s="193"/>
    </row>
    <row r="23092" spans="6:6" x14ac:dyDescent="0.3">
      <c r="F23092" s="193"/>
    </row>
    <row r="23093" spans="6:6" x14ac:dyDescent="0.3">
      <c r="F23093" s="193"/>
    </row>
    <row r="23094" spans="6:6" x14ac:dyDescent="0.3">
      <c r="F23094" s="193"/>
    </row>
    <row r="23095" spans="6:6" x14ac:dyDescent="0.3">
      <c r="F23095" s="193"/>
    </row>
    <row r="23096" spans="6:6" x14ac:dyDescent="0.3">
      <c r="F23096" s="193"/>
    </row>
    <row r="23097" spans="6:6" x14ac:dyDescent="0.3">
      <c r="F23097" s="193"/>
    </row>
    <row r="23098" spans="6:6" x14ac:dyDescent="0.3">
      <c r="F23098" s="193"/>
    </row>
    <row r="23099" spans="6:6" x14ac:dyDescent="0.3">
      <c r="F23099" s="193"/>
    </row>
    <row r="23100" spans="6:6" x14ac:dyDescent="0.3">
      <c r="F23100" s="193"/>
    </row>
    <row r="23101" spans="6:6" x14ac:dyDescent="0.3">
      <c r="F23101" s="193"/>
    </row>
    <row r="23102" spans="6:6" x14ac:dyDescent="0.3">
      <c r="F23102" s="193"/>
    </row>
    <row r="23103" spans="6:6" x14ac:dyDescent="0.3">
      <c r="F23103" s="193"/>
    </row>
    <row r="23104" spans="6:6" x14ac:dyDescent="0.3">
      <c r="F23104" s="193"/>
    </row>
    <row r="23105" spans="6:6" x14ac:dyDescent="0.3">
      <c r="F23105" s="193"/>
    </row>
    <row r="23106" spans="6:6" x14ac:dyDescent="0.3">
      <c r="F23106" s="193"/>
    </row>
    <row r="23107" spans="6:6" x14ac:dyDescent="0.3">
      <c r="F23107" s="193"/>
    </row>
    <row r="23108" spans="6:6" x14ac:dyDescent="0.3">
      <c r="F23108" s="193"/>
    </row>
    <row r="23109" spans="6:6" x14ac:dyDescent="0.3">
      <c r="F23109" s="193"/>
    </row>
    <row r="23110" spans="6:6" x14ac:dyDescent="0.3">
      <c r="F23110" s="193"/>
    </row>
    <row r="23111" spans="6:6" x14ac:dyDescent="0.3">
      <c r="F23111" s="193"/>
    </row>
    <row r="23112" spans="6:6" x14ac:dyDescent="0.3">
      <c r="F23112" s="193"/>
    </row>
    <row r="23113" spans="6:6" x14ac:dyDescent="0.3">
      <c r="F23113" s="193"/>
    </row>
    <row r="23114" spans="6:6" x14ac:dyDescent="0.3">
      <c r="F23114" s="193"/>
    </row>
    <row r="23115" spans="6:6" x14ac:dyDescent="0.3">
      <c r="F23115" s="193"/>
    </row>
    <row r="23116" spans="6:6" x14ac:dyDescent="0.3">
      <c r="F23116" s="193"/>
    </row>
    <row r="23117" spans="6:6" x14ac:dyDescent="0.3">
      <c r="F23117" s="193"/>
    </row>
    <row r="23118" spans="6:6" x14ac:dyDescent="0.3">
      <c r="F23118" s="193"/>
    </row>
    <row r="23119" spans="6:6" x14ac:dyDescent="0.3">
      <c r="F23119" s="193"/>
    </row>
    <row r="23120" spans="6:6" x14ac:dyDescent="0.3">
      <c r="F23120" s="193"/>
    </row>
    <row r="23121" spans="6:6" x14ac:dyDescent="0.3">
      <c r="F23121" s="193"/>
    </row>
    <row r="23122" spans="6:6" x14ac:dyDescent="0.3">
      <c r="F23122" s="193"/>
    </row>
    <row r="23123" spans="6:6" x14ac:dyDescent="0.3">
      <c r="F23123" s="193"/>
    </row>
    <row r="23124" spans="6:6" x14ac:dyDescent="0.3">
      <c r="F23124" s="193"/>
    </row>
    <row r="23125" spans="6:6" x14ac:dyDescent="0.3">
      <c r="F23125" s="193"/>
    </row>
    <row r="23126" spans="6:6" x14ac:dyDescent="0.3">
      <c r="F23126" s="193"/>
    </row>
    <row r="23127" spans="6:6" x14ac:dyDescent="0.3">
      <c r="F23127" s="193"/>
    </row>
    <row r="23128" spans="6:6" x14ac:dyDescent="0.3">
      <c r="F23128" s="193"/>
    </row>
    <row r="23129" spans="6:6" x14ac:dyDescent="0.3">
      <c r="F23129" s="193"/>
    </row>
    <row r="23130" spans="6:6" x14ac:dyDescent="0.3">
      <c r="F23130" s="193"/>
    </row>
    <row r="23131" spans="6:6" x14ac:dyDescent="0.3">
      <c r="F23131" s="193"/>
    </row>
    <row r="23132" spans="6:6" x14ac:dyDescent="0.3">
      <c r="F23132" s="193"/>
    </row>
    <row r="23133" spans="6:6" x14ac:dyDescent="0.3">
      <c r="F23133" s="193"/>
    </row>
    <row r="23134" spans="6:6" x14ac:dyDescent="0.3">
      <c r="F23134" s="193"/>
    </row>
    <row r="23135" spans="6:6" x14ac:dyDescent="0.3">
      <c r="F23135" s="193"/>
    </row>
    <row r="23136" spans="6:6" x14ac:dyDescent="0.3">
      <c r="F23136" s="193"/>
    </row>
    <row r="23137" spans="6:6" x14ac:dyDescent="0.3">
      <c r="F23137" s="193"/>
    </row>
    <row r="23138" spans="6:6" x14ac:dyDescent="0.3">
      <c r="F23138" s="193"/>
    </row>
    <row r="23139" spans="6:6" x14ac:dyDescent="0.3">
      <c r="F23139" s="193"/>
    </row>
    <row r="23140" spans="6:6" x14ac:dyDescent="0.3">
      <c r="F23140" s="193"/>
    </row>
    <row r="23141" spans="6:6" x14ac:dyDescent="0.3">
      <c r="F23141" s="193"/>
    </row>
    <row r="23142" spans="6:6" x14ac:dyDescent="0.3">
      <c r="F23142" s="193"/>
    </row>
    <row r="23143" spans="6:6" x14ac:dyDescent="0.3">
      <c r="F23143" s="193"/>
    </row>
    <row r="23144" spans="6:6" x14ac:dyDescent="0.3">
      <c r="F23144" s="193"/>
    </row>
    <row r="23145" spans="6:6" x14ac:dyDescent="0.3">
      <c r="F23145" s="193"/>
    </row>
    <row r="23146" spans="6:6" x14ac:dyDescent="0.3">
      <c r="F23146" s="193"/>
    </row>
    <row r="23147" spans="6:6" x14ac:dyDescent="0.3">
      <c r="F23147" s="193"/>
    </row>
    <row r="23148" spans="6:6" x14ac:dyDescent="0.3">
      <c r="F23148" s="193"/>
    </row>
    <row r="23149" spans="6:6" x14ac:dyDescent="0.3">
      <c r="F23149" s="193"/>
    </row>
    <row r="23150" spans="6:6" x14ac:dyDescent="0.3">
      <c r="F23150" s="193"/>
    </row>
    <row r="23151" spans="6:6" x14ac:dyDescent="0.3">
      <c r="F23151" s="193"/>
    </row>
    <row r="23152" spans="6:6" x14ac:dyDescent="0.3">
      <c r="F23152" s="193"/>
    </row>
    <row r="23153" spans="6:6" x14ac:dyDescent="0.3">
      <c r="F23153" s="193"/>
    </row>
    <row r="23154" spans="6:6" x14ac:dyDescent="0.3">
      <c r="F23154" s="193"/>
    </row>
    <row r="23155" spans="6:6" x14ac:dyDescent="0.3">
      <c r="F23155" s="193"/>
    </row>
    <row r="23156" spans="6:6" x14ac:dyDescent="0.3">
      <c r="F23156" s="193"/>
    </row>
    <row r="23157" spans="6:6" x14ac:dyDescent="0.3">
      <c r="F23157" s="193"/>
    </row>
    <row r="23158" spans="6:6" x14ac:dyDescent="0.3">
      <c r="F23158" s="193"/>
    </row>
    <row r="23159" spans="6:6" x14ac:dyDescent="0.3">
      <c r="F23159" s="193"/>
    </row>
    <row r="23160" spans="6:6" x14ac:dyDescent="0.3">
      <c r="F23160" s="193"/>
    </row>
    <row r="23161" spans="6:6" x14ac:dyDescent="0.3">
      <c r="F23161" s="193"/>
    </row>
    <row r="23162" spans="6:6" x14ac:dyDescent="0.3">
      <c r="F23162" s="193"/>
    </row>
    <row r="23163" spans="6:6" x14ac:dyDescent="0.3">
      <c r="F23163" s="193"/>
    </row>
    <row r="23164" spans="6:6" x14ac:dyDescent="0.3">
      <c r="F23164" s="193"/>
    </row>
    <row r="23165" spans="6:6" x14ac:dyDescent="0.3">
      <c r="F23165" s="193"/>
    </row>
    <row r="23166" spans="6:6" x14ac:dyDescent="0.3">
      <c r="F23166" s="193"/>
    </row>
    <row r="23167" spans="6:6" x14ac:dyDescent="0.3">
      <c r="F23167" s="193"/>
    </row>
    <row r="23168" spans="6:6" x14ac:dyDescent="0.3">
      <c r="F23168" s="193"/>
    </row>
    <row r="23169" spans="6:6" x14ac:dyDescent="0.3">
      <c r="F23169" s="193"/>
    </row>
    <row r="23170" spans="6:6" x14ac:dyDescent="0.3">
      <c r="F23170" s="193"/>
    </row>
    <row r="23171" spans="6:6" x14ac:dyDescent="0.3">
      <c r="F23171" s="193"/>
    </row>
    <row r="23172" spans="6:6" x14ac:dyDescent="0.3">
      <c r="F23172" s="193"/>
    </row>
    <row r="23173" spans="6:6" x14ac:dyDescent="0.3">
      <c r="F23173" s="193"/>
    </row>
    <row r="23174" spans="6:6" x14ac:dyDescent="0.3">
      <c r="F23174" s="193"/>
    </row>
    <row r="23175" spans="6:6" x14ac:dyDescent="0.3">
      <c r="F23175" s="193"/>
    </row>
    <row r="23176" spans="6:6" x14ac:dyDescent="0.3">
      <c r="F23176" s="193"/>
    </row>
    <row r="23177" spans="6:6" x14ac:dyDescent="0.3">
      <c r="F23177" s="193"/>
    </row>
    <row r="23178" spans="6:6" x14ac:dyDescent="0.3">
      <c r="F23178" s="193"/>
    </row>
    <row r="23179" spans="6:6" x14ac:dyDescent="0.3">
      <c r="F23179" s="193"/>
    </row>
    <row r="23180" spans="6:6" x14ac:dyDescent="0.3">
      <c r="F23180" s="193"/>
    </row>
    <row r="23181" spans="6:6" x14ac:dyDescent="0.3">
      <c r="F23181" s="193"/>
    </row>
    <row r="23182" spans="6:6" x14ac:dyDescent="0.3">
      <c r="F23182" s="193"/>
    </row>
    <row r="23183" spans="6:6" x14ac:dyDescent="0.3">
      <c r="F23183" s="193"/>
    </row>
    <row r="23184" spans="6:6" x14ac:dyDescent="0.3">
      <c r="F23184" s="193"/>
    </row>
    <row r="23185" spans="6:6" x14ac:dyDescent="0.3">
      <c r="F23185" s="193"/>
    </row>
    <row r="23186" spans="6:6" x14ac:dyDescent="0.3">
      <c r="F23186" s="193"/>
    </row>
    <row r="23187" spans="6:6" x14ac:dyDescent="0.3">
      <c r="F23187" s="193"/>
    </row>
    <row r="23188" spans="6:6" x14ac:dyDescent="0.3">
      <c r="F23188" s="193"/>
    </row>
    <row r="23189" spans="6:6" x14ac:dyDescent="0.3">
      <c r="F23189" s="193"/>
    </row>
    <row r="23190" spans="6:6" x14ac:dyDescent="0.3">
      <c r="F23190" s="193"/>
    </row>
    <row r="23191" spans="6:6" x14ac:dyDescent="0.3">
      <c r="F23191" s="193"/>
    </row>
    <row r="23192" spans="6:6" x14ac:dyDescent="0.3">
      <c r="F23192" s="193"/>
    </row>
    <row r="23193" spans="6:6" x14ac:dyDescent="0.3">
      <c r="F23193" s="193"/>
    </row>
    <row r="23194" spans="6:6" x14ac:dyDescent="0.3">
      <c r="F23194" s="193"/>
    </row>
    <row r="23195" spans="6:6" x14ac:dyDescent="0.3">
      <c r="F23195" s="193"/>
    </row>
    <row r="23196" spans="6:6" x14ac:dyDescent="0.3">
      <c r="F23196" s="193"/>
    </row>
    <row r="23197" spans="6:6" x14ac:dyDescent="0.3">
      <c r="F23197" s="193"/>
    </row>
    <row r="23198" spans="6:6" x14ac:dyDescent="0.3">
      <c r="F23198" s="193"/>
    </row>
    <row r="23199" spans="6:6" x14ac:dyDescent="0.3">
      <c r="F23199" s="193"/>
    </row>
    <row r="23200" spans="6:6" x14ac:dyDescent="0.3">
      <c r="F23200" s="193"/>
    </row>
    <row r="23201" spans="6:6" x14ac:dyDescent="0.3">
      <c r="F23201" s="193"/>
    </row>
    <row r="23202" spans="6:6" x14ac:dyDescent="0.3">
      <c r="F23202" s="193"/>
    </row>
    <row r="23203" spans="6:6" x14ac:dyDescent="0.3">
      <c r="F23203" s="193"/>
    </row>
    <row r="23204" spans="6:6" x14ac:dyDescent="0.3">
      <c r="F23204" s="193"/>
    </row>
    <row r="23205" spans="6:6" x14ac:dyDescent="0.3">
      <c r="F23205" s="193"/>
    </row>
    <row r="23206" spans="6:6" x14ac:dyDescent="0.3">
      <c r="F23206" s="193"/>
    </row>
    <row r="23207" spans="6:6" x14ac:dyDescent="0.3">
      <c r="F23207" s="193"/>
    </row>
    <row r="23208" spans="6:6" x14ac:dyDescent="0.3">
      <c r="F23208" s="193"/>
    </row>
    <row r="23209" spans="6:6" x14ac:dyDescent="0.3">
      <c r="F23209" s="193"/>
    </row>
    <row r="23210" spans="6:6" x14ac:dyDescent="0.3">
      <c r="F23210" s="193"/>
    </row>
    <row r="23211" spans="6:6" x14ac:dyDescent="0.3">
      <c r="F23211" s="193"/>
    </row>
    <row r="23212" spans="6:6" x14ac:dyDescent="0.3">
      <c r="F23212" s="193"/>
    </row>
    <row r="23213" spans="6:6" x14ac:dyDescent="0.3">
      <c r="F23213" s="193"/>
    </row>
    <row r="23214" spans="6:6" x14ac:dyDescent="0.3">
      <c r="F23214" s="193"/>
    </row>
    <row r="23215" spans="6:6" x14ac:dyDescent="0.3">
      <c r="F23215" s="193"/>
    </row>
    <row r="23216" spans="6:6" x14ac:dyDescent="0.3">
      <c r="F23216" s="193"/>
    </row>
    <row r="23217" spans="6:6" x14ac:dyDescent="0.3">
      <c r="F23217" s="193"/>
    </row>
    <row r="23218" spans="6:6" x14ac:dyDescent="0.3">
      <c r="F23218" s="193"/>
    </row>
    <row r="23219" spans="6:6" x14ac:dyDescent="0.3">
      <c r="F23219" s="193"/>
    </row>
    <row r="23220" spans="6:6" x14ac:dyDescent="0.3">
      <c r="F23220" s="193"/>
    </row>
    <row r="23221" spans="6:6" x14ac:dyDescent="0.3">
      <c r="F23221" s="193"/>
    </row>
    <row r="23222" spans="6:6" x14ac:dyDescent="0.3">
      <c r="F23222" s="193"/>
    </row>
    <row r="23223" spans="6:6" x14ac:dyDescent="0.3">
      <c r="F23223" s="193"/>
    </row>
    <row r="23224" spans="6:6" x14ac:dyDescent="0.3">
      <c r="F23224" s="193"/>
    </row>
    <row r="23225" spans="6:6" x14ac:dyDescent="0.3">
      <c r="F23225" s="193"/>
    </row>
    <row r="23226" spans="6:6" x14ac:dyDescent="0.3">
      <c r="F23226" s="193"/>
    </row>
    <row r="23227" spans="6:6" x14ac:dyDescent="0.3">
      <c r="F23227" s="193"/>
    </row>
    <row r="23228" spans="6:6" x14ac:dyDescent="0.3">
      <c r="F23228" s="193"/>
    </row>
    <row r="23229" spans="6:6" x14ac:dyDescent="0.3">
      <c r="F23229" s="193"/>
    </row>
    <row r="23230" spans="6:6" x14ac:dyDescent="0.3">
      <c r="F23230" s="193"/>
    </row>
    <row r="23231" spans="6:6" x14ac:dyDescent="0.3">
      <c r="F23231" s="193"/>
    </row>
    <row r="23232" spans="6:6" x14ac:dyDescent="0.3">
      <c r="F23232" s="193"/>
    </row>
    <row r="23233" spans="6:6" x14ac:dyDescent="0.3">
      <c r="F23233" s="193"/>
    </row>
    <row r="23234" spans="6:6" x14ac:dyDescent="0.3">
      <c r="F23234" s="193"/>
    </row>
    <row r="23235" spans="6:6" x14ac:dyDescent="0.3">
      <c r="F23235" s="193"/>
    </row>
    <row r="23236" spans="6:6" x14ac:dyDescent="0.3">
      <c r="F23236" s="193"/>
    </row>
    <row r="23237" spans="6:6" x14ac:dyDescent="0.3">
      <c r="F23237" s="193"/>
    </row>
    <row r="23238" spans="6:6" x14ac:dyDescent="0.3">
      <c r="F23238" s="193"/>
    </row>
    <row r="23239" spans="6:6" x14ac:dyDescent="0.3">
      <c r="F23239" s="193"/>
    </row>
    <row r="23240" spans="6:6" x14ac:dyDescent="0.3">
      <c r="F23240" s="193"/>
    </row>
    <row r="23241" spans="6:6" x14ac:dyDescent="0.3">
      <c r="F23241" s="193"/>
    </row>
    <row r="23242" spans="6:6" x14ac:dyDescent="0.3">
      <c r="F23242" s="193"/>
    </row>
    <row r="23243" spans="6:6" x14ac:dyDescent="0.3">
      <c r="F23243" s="193"/>
    </row>
    <row r="23244" spans="6:6" x14ac:dyDescent="0.3">
      <c r="F23244" s="193"/>
    </row>
    <row r="23245" spans="6:6" x14ac:dyDescent="0.3">
      <c r="F23245" s="193"/>
    </row>
    <row r="23246" spans="6:6" x14ac:dyDescent="0.3">
      <c r="F23246" s="193"/>
    </row>
    <row r="23247" spans="6:6" x14ac:dyDescent="0.3">
      <c r="F23247" s="193"/>
    </row>
    <row r="23248" spans="6:6" x14ac:dyDescent="0.3">
      <c r="F23248" s="193"/>
    </row>
    <row r="23249" spans="6:6" x14ac:dyDescent="0.3">
      <c r="F23249" s="193"/>
    </row>
    <row r="23250" spans="6:6" x14ac:dyDescent="0.3">
      <c r="F23250" s="193"/>
    </row>
    <row r="23251" spans="6:6" x14ac:dyDescent="0.3">
      <c r="F23251" s="193"/>
    </row>
    <row r="23252" spans="6:6" x14ac:dyDescent="0.3">
      <c r="F23252" s="193"/>
    </row>
    <row r="23253" spans="6:6" x14ac:dyDescent="0.3">
      <c r="F23253" s="193"/>
    </row>
    <row r="23254" spans="6:6" x14ac:dyDescent="0.3">
      <c r="F23254" s="193"/>
    </row>
    <row r="23255" spans="6:6" x14ac:dyDescent="0.3">
      <c r="F23255" s="193"/>
    </row>
    <row r="23256" spans="6:6" x14ac:dyDescent="0.3">
      <c r="F23256" s="193"/>
    </row>
    <row r="23257" spans="6:6" x14ac:dyDescent="0.3">
      <c r="F23257" s="193"/>
    </row>
    <row r="23258" spans="6:6" x14ac:dyDescent="0.3">
      <c r="F23258" s="193"/>
    </row>
    <row r="23259" spans="6:6" x14ac:dyDescent="0.3">
      <c r="F23259" s="193"/>
    </row>
    <row r="23260" spans="6:6" x14ac:dyDescent="0.3">
      <c r="F23260" s="193"/>
    </row>
    <row r="23261" spans="6:6" x14ac:dyDescent="0.3">
      <c r="F23261" s="193"/>
    </row>
    <row r="23262" spans="6:6" x14ac:dyDescent="0.3">
      <c r="F23262" s="193"/>
    </row>
    <row r="23263" spans="6:6" x14ac:dyDescent="0.3">
      <c r="F23263" s="193"/>
    </row>
    <row r="23264" spans="6:6" x14ac:dyDescent="0.3">
      <c r="F23264" s="193"/>
    </row>
    <row r="23265" spans="6:6" x14ac:dyDescent="0.3">
      <c r="F23265" s="193"/>
    </row>
    <row r="23266" spans="6:6" x14ac:dyDescent="0.3">
      <c r="F23266" s="193"/>
    </row>
    <row r="23267" spans="6:6" x14ac:dyDescent="0.3">
      <c r="F23267" s="193"/>
    </row>
    <row r="23268" spans="6:6" x14ac:dyDescent="0.3">
      <c r="F23268" s="193"/>
    </row>
    <row r="23269" spans="6:6" x14ac:dyDescent="0.3">
      <c r="F23269" s="193"/>
    </row>
    <row r="23270" spans="6:6" x14ac:dyDescent="0.3">
      <c r="F23270" s="193"/>
    </row>
    <row r="23271" spans="6:6" x14ac:dyDescent="0.3">
      <c r="F23271" s="193"/>
    </row>
    <row r="23272" spans="6:6" x14ac:dyDescent="0.3">
      <c r="F23272" s="193"/>
    </row>
    <row r="23273" spans="6:6" x14ac:dyDescent="0.3">
      <c r="F23273" s="193"/>
    </row>
    <row r="23274" spans="6:6" x14ac:dyDescent="0.3">
      <c r="F23274" s="193"/>
    </row>
    <row r="23275" spans="6:6" x14ac:dyDescent="0.3">
      <c r="F23275" s="193"/>
    </row>
    <row r="23276" spans="6:6" x14ac:dyDescent="0.3">
      <c r="F23276" s="193"/>
    </row>
    <row r="23277" spans="6:6" x14ac:dyDescent="0.3">
      <c r="F23277" s="193"/>
    </row>
    <row r="23278" spans="6:6" x14ac:dyDescent="0.3">
      <c r="F23278" s="193"/>
    </row>
    <row r="23279" spans="6:6" x14ac:dyDescent="0.3">
      <c r="F23279" s="193"/>
    </row>
    <row r="23280" spans="6:6" x14ac:dyDescent="0.3">
      <c r="F23280" s="193"/>
    </row>
    <row r="23281" spans="6:6" x14ac:dyDescent="0.3">
      <c r="F23281" s="193"/>
    </row>
    <row r="23282" spans="6:6" x14ac:dyDescent="0.3">
      <c r="F23282" s="193"/>
    </row>
    <row r="23283" spans="6:6" x14ac:dyDescent="0.3">
      <c r="F23283" s="193"/>
    </row>
    <row r="23284" spans="6:6" x14ac:dyDescent="0.3">
      <c r="F23284" s="193"/>
    </row>
    <row r="23285" spans="6:6" x14ac:dyDescent="0.3">
      <c r="F23285" s="193"/>
    </row>
    <row r="23286" spans="6:6" x14ac:dyDescent="0.3">
      <c r="F23286" s="193"/>
    </row>
    <row r="23287" spans="6:6" x14ac:dyDescent="0.3">
      <c r="F23287" s="193"/>
    </row>
    <row r="23288" spans="6:6" x14ac:dyDescent="0.3">
      <c r="F23288" s="193"/>
    </row>
    <row r="23289" spans="6:6" x14ac:dyDescent="0.3">
      <c r="F23289" s="193"/>
    </row>
    <row r="23290" spans="6:6" x14ac:dyDescent="0.3">
      <c r="F23290" s="193"/>
    </row>
    <row r="23291" spans="6:6" x14ac:dyDescent="0.3">
      <c r="F23291" s="193"/>
    </row>
    <row r="23292" spans="6:6" x14ac:dyDescent="0.3">
      <c r="F23292" s="193"/>
    </row>
    <row r="23293" spans="6:6" x14ac:dyDescent="0.3">
      <c r="F23293" s="193"/>
    </row>
    <row r="23294" spans="6:6" x14ac:dyDescent="0.3">
      <c r="F23294" s="193"/>
    </row>
    <row r="23295" spans="6:6" x14ac:dyDescent="0.3">
      <c r="F23295" s="193"/>
    </row>
    <row r="23296" spans="6:6" x14ac:dyDescent="0.3">
      <c r="F23296" s="193"/>
    </row>
    <row r="23297" spans="6:6" x14ac:dyDescent="0.3">
      <c r="F23297" s="193"/>
    </row>
    <row r="23298" spans="6:6" x14ac:dyDescent="0.3">
      <c r="F23298" s="193"/>
    </row>
    <row r="23299" spans="6:6" x14ac:dyDescent="0.3">
      <c r="F23299" s="193"/>
    </row>
    <row r="23300" spans="6:6" x14ac:dyDescent="0.3">
      <c r="F23300" s="193"/>
    </row>
    <row r="23301" spans="6:6" x14ac:dyDescent="0.3">
      <c r="F23301" s="193"/>
    </row>
    <row r="23302" spans="6:6" x14ac:dyDescent="0.3">
      <c r="F23302" s="193"/>
    </row>
    <row r="23303" spans="6:6" x14ac:dyDescent="0.3">
      <c r="F23303" s="193"/>
    </row>
    <row r="23304" spans="6:6" x14ac:dyDescent="0.3">
      <c r="F23304" s="193"/>
    </row>
    <row r="23305" spans="6:6" x14ac:dyDescent="0.3">
      <c r="F23305" s="193"/>
    </row>
    <row r="23306" spans="6:6" x14ac:dyDescent="0.3">
      <c r="F23306" s="193"/>
    </row>
    <row r="23307" spans="6:6" x14ac:dyDescent="0.3">
      <c r="F23307" s="193"/>
    </row>
    <row r="23308" spans="6:6" x14ac:dyDescent="0.3">
      <c r="F23308" s="193"/>
    </row>
    <row r="23309" spans="6:6" x14ac:dyDescent="0.3">
      <c r="F23309" s="193"/>
    </row>
    <row r="23310" spans="6:6" x14ac:dyDescent="0.3">
      <c r="F23310" s="193"/>
    </row>
    <row r="23311" spans="6:6" x14ac:dyDescent="0.3">
      <c r="F23311" s="193"/>
    </row>
    <row r="23312" spans="6:6" x14ac:dyDescent="0.3">
      <c r="F23312" s="193"/>
    </row>
    <row r="23313" spans="6:6" x14ac:dyDescent="0.3">
      <c r="F23313" s="193"/>
    </row>
    <row r="23314" spans="6:6" x14ac:dyDescent="0.3">
      <c r="F23314" s="193"/>
    </row>
    <row r="23315" spans="6:6" x14ac:dyDescent="0.3">
      <c r="F23315" s="193"/>
    </row>
    <row r="23316" spans="6:6" x14ac:dyDescent="0.3">
      <c r="F23316" s="193"/>
    </row>
    <row r="23317" spans="6:6" x14ac:dyDescent="0.3">
      <c r="F23317" s="193"/>
    </row>
    <row r="23318" spans="6:6" x14ac:dyDescent="0.3">
      <c r="F23318" s="193"/>
    </row>
    <row r="23319" spans="6:6" x14ac:dyDescent="0.3">
      <c r="F23319" s="193"/>
    </row>
    <row r="23320" spans="6:6" x14ac:dyDescent="0.3">
      <c r="F23320" s="193"/>
    </row>
    <row r="23321" spans="6:6" x14ac:dyDescent="0.3">
      <c r="F23321" s="193"/>
    </row>
    <row r="23322" spans="6:6" x14ac:dyDescent="0.3">
      <c r="F23322" s="193"/>
    </row>
    <row r="23323" spans="6:6" x14ac:dyDescent="0.3">
      <c r="F23323" s="193"/>
    </row>
    <row r="23324" spans="6:6" x14ac:dyDescent="0.3">
      <c r="F23324" s="193"/>
    </row>
    <row r="23325" spans="6:6" x14ac:dyDescent="0.3">
      <c r="F23325" s="193"/>
    </row>
    <row r="23326" spans="6:6" x14ac:dyDescent="0.3">
      <c r="F23326" s="193"/>
    </row>
    <row r="23327" spans="6:6" x14ac:dyDescent="0.3">
      <c r="F23327" s="193"/>
    </row>
    <row r="23328" spans="6:6" x14ac:dyDescent="0.3">
      <c r="F23328" s="193"/>
    </row>
    <row r="23329" spans="6:6" x14ac:dyDescent="0.3">
      <c r="F23329" s="193"/>
    </row>
    <row r="23330" spans="6:6" x14ac:dyDescent="0.3">
      <c r="F23330" s="193"/>
    </row>
    <row r="23331" spans="6:6" x14ac:dyDescent="0.3">
      <c r="F23331" s="193"/>
    </row>
    <row r="23332" spans="6:6" x14ac:dyDescent="0.3">
      <c r="F23332" s="193"/>
    </row>
    <row r="23333" spans="6:6" x14ac:dyDescent="0.3">
      <c r="F23333" s="193"/>
    </row>
    <row r="23334" spans="6:6" x14ac:dyDescent="0.3">
      <c r="F23334" s="193"/>
    </row>
    <row r="23335" spans="6:6" x14ac:dyDescent="0.3">
      <c r="F23335" s="193"/>
    </row>
    <row r="23336" spans="6:6" x14ac:dyDescent="0.3">
      <c r="F23336" s="193"/>
    </row>
    <row r="23337" spans="6:6" x14ac:dyDescent="0.3">
      <c r="F23337" s="193"/>
    </row>
    <row r="23338" spans="6:6" x14ac:dyDescent="0.3">
      <c r="F23338" s="193"/>
    </row>
    <row r="23339" spans="6:6" x14ac:dyDescent="0.3">
      <c r="F23339" s="193"/>
    </row>
    <row r="23340" spans="6:6" x14ac:dyDescent="0.3">
      <c r="F23340" s="193"/>
    </row>
    <row r="23341" spans="6:6" x14ac:dyDescent="0.3">
      <c r="F23341" s="193"/>
    </row>
    <row r="23342" spans="6:6" x14ac:dyDescent="0.3">
      <c r="F23342" s="193"/>
    </row>
    <row r="23343" spans="6:6" x14ac:dyDescent="0.3">
      <c r="F23343" s="193"/>
    </row>
    <row r="23344" spans="6:6" x14ac:dyDescent="0.3">
      <c r="F23344" s="193"/>
    </row>
    <row r="23345" spans="6:6" x14ac:dyDescent="0.3">
      <c r="F23345" s="193"/>
    </row>
    <row r="23346" spans="6:6" x14ac:dyDescent="0.3">
      <c r="F23346" s="193"/>
    </row>
    <row r="23347" spans="6:6" x14ac:dyDescent="0.3">
      <c r="F23347" s="193"/>
    </row>
    <row r="23348" spans="6:6" x14ac:dyDescent="0.3">
      <c r="F23348" s="193"/>
    </row>
    <row r="23349" spans="6:6" x14ac:dyDescent="0.3">
      <c r="F23349" s="193"/>
    </row>
    <row r="23350" spans="6:6" x14ac:dyDescent="0.3">
      <c r="F23350" s="193"/>
    </row>
    <row r="23351" spans="6:6" x14ac:dyDescent="0.3">
      <c r="F23351" s="193"/>
    </row>
    <row r="23352" spans="6:6" x14ac:dyDescent="0.3">
      <c r="F23352" s="193"/>
    </row>
    <row r="23353" spans="6:6" x14ac:dyDescent="0.3">
      <c r="F23353" s="193"/>
    </row>
    <row r="23354" spans="6:6" x14ac:dyDescent="0.3">
      <c r="F23354" s="193"/>
    </row>
    <row r="23355" spans="6:6" x14ac:dyDescent="0.3">
      <c r="F23355" s="193"/>
    </row>
    <row r="23356" spans="6:6" x14ac:dyDescent="0.3">
      <c r="F23356" s="193"/>
    </row>
    <row r="23357" spans="6:6" x14ac:dyDescent="0.3">
      <c r="F23357" s="193"/>
    </row>
    <row r="23358" spans="6:6" x14ac:dyDescent="0.3">
      <c r="F23358" s="193"/>
    </row>
    <row r="23359" spans="6:6" x14ac:dyDescent="0.3">
      <c r="F23359" s="193"/>
    </row>
    <row r="23360" spans="6:6" x14ac:dyDescent="0.3">
      <c r="F23360" s="193"/>
    </row>
    <row r="23361" spans="6:6" x14ac:dyDescent="0.3">
      <c r="F23361" s="193"/>
    </row>
    <row r="23362" spans="6:6" x14ac:dyDescent="0.3">
      <c r="F23362" s="193"/>
    </row>
    <row r="23363" spans="6:6" x14ac:dyDescent="0.3">
      <c r="F23363" s="193"/>
    </row>
    <row r="23364" spans="6:6" x14ac:dyDescent="0.3">
      <c r="F23364" s="193"/>
    </row>
    <row r="23365" spans="6:6" x14ac:dyDescent="0.3">
      <c r="F23365" s="193"/>
    </row>
    <row r="23366" spans="6:6" x14ac:dyDescent="0.3">
      <c r="F23366" s="193"/>
    </row>
    <row r="23367" spans="6:6" x14ac:dyDescent="0.3">
      <c r="F23367" s="193"/>
    </row>
    <row r="23368" spans="6:6" x14ac:dyDescent="0.3">
      <c r="F23368" s="193"/>
    </row>
    <row r="23369" spans="6:6" x14ac:dyDescent="0.3">
      <c r="F23369" s="193"/>
    </row>
    <row r="23370" spans="6:6" x14ac:dyDescent="0.3">
      <c r="F23370" s="193"/>
    </row>
    <row r="23371" spans="6:6" x14ac:dyDescent="0.3">
      <c r="F23371" s="193"/>
    </row>
    <row r="23372" spans="6:6" x14ac:dyDescent="0.3">
      <c r="F23372" s="193"/>
    </row>
    <row r="23373" spans="6:6" x14ac:dyDescent="0.3">
      <c r="F23373" s="193"/>
    </row>
    <row r="23374" spans="6:6" x14ac:dyDescent="0.3">
      <c r="F23374" s="193"/>
    </row>
    <row r="23375" spans="6:6" x14ac:dyDescent="0.3">
      <c r="F23375" s="193"/>
    </row>
    <row r="23376" spans="6:6" x14ac:dyDescent="0.3">
      <c r="F23376" s="193"/>
    </row>
    <row r="23377" spans="6:6" x14ac:dyDescent="0.3">
      <c r="F23377" s="193"/>
    </row>
    <row r="23378" spans="6:6" x14ac:dyDescent="0.3">
      <c r="F23378" s="193"/>
    </row>
    <row r="23379" spans="6:6" x14ac:dyDescent="0.3">
      <c r="F23379" s="193"/>
    </row>
    <row r="23380" spans="6:6" x14ac:dyDescent="0.3">
      <c r="F23380" s="193"/>
    </row>
    <row r="23381" spans="6:6" x14ac:dyDescent="0.3">
      <c r="F23381" s="193"/>
    </row>
    <row r="23382" spans="6:6" x14ac:dyDescent="0.3">
      <c r="F23382" s="193"/>
    </row>
    <row r="23383" spans="6:6" x14ac:dyDescent="0.3">
      <c r="F23383" s="193"/>
    </row>
    <row r="23384" spans="6:6" x14ac:dyDescent="0.3">
      <c r="F23384" s="193"/>
    </row>
    <row r="23385" spans="6:6" x14ac:dyDescent="0.3">
      <c r="F23385" s="193"/>
    </row>
    <row r="23386" spans="6:6" x14ac:dyDescent="0.3">
      <c r="F23386" s="193"/>
    </row>
    <row r="23387" spans="6:6" x14ac:dyDescent="0.3">
      <c r="F23387" s="193"/>
    </row>
    <row r="23388" spans="6:6" x14ac:dyDescent="0.3">
      <c r="F23388" s="193"/>
    </row>
    <row r="23389" spans="6:6" x14ac:dyDescent="0.3">
      <c r="F23389" s="193"/>
    </row>
    <row r="23390" spans="6:6" x14ac:dyDescent="0.3">
      <c r="F23390" s="193"/>
    </row>
    <row r="23391" spans="6:6" x14ac:dyDescent="0.3">
      <c r="F23391" s="193"/>
    </row>
    <row r="23392" spans="6:6" x14ac:dyDescent="0.3">
      <c r="F23392" s="193"/>
    </row>
    <row r="23393" spans="6:6" x14ac:dyDescent="0.3">
      <c r="F23393" s="193"/>
    </row>
    <row r="23394" spans="6:6" x14ac:dyDescent="0.3">
      <c r="F23394" s="193"/>
    </row>
    <row r="23395" spans="6:6" x14ac:dyDescent="0.3">
      <c r="F23395" s="193"/>
    </row>
    <row r="23396" spans="6:6" x14ac:dyDescent="0.3">
      <c r="F23396" s="193"/>
    </row>
    <row r="23397" spans="6:6" x14ac:dyDescent="0.3">
      <c r="F23397" s="193"/>
    </row>
    <row r="23398" spans="6:6" x14ac:dyDescent="0.3">
      <c r="F23398" s="193"/>
    </row>
    <row r="23399" spans="6:6" x14ac:dyDescent="0.3">
      <c r="F23399" s="193"/>
    </row>
    <row r="23400" spans="6:6" x14ac:dyDescent="0.3">
      <c r="F23400" s="193"/>
    </row>
    <row r="23401" spans="6:6" x14ac:dyDescent="0.3">
      <c r="F23401" s="193"/>
    </row>
    <row r="23402" spans="6:6" x14ac:dyDescent="0.3">
      <c r="F23402" s="193"/>
    </row>
    <row r="23403" spans="6:6" x14ac:dyDescent="0.3">
      <c r="F23403" s="193"/>
    </row>
    <row r="23404" spans="6:6" x14ac:dyDescent="0.3">
      <c r="F23404" s="193"/>
    </row>
    <row r="23405" spans="6:6" x14ac:dyDescent="0.3">
      <c r="F23405" s="193"/>
    </row>
    <row r="23406" spans="6:6" x14ac:dyDescent="0.3">
      <c r="F23406" s="193"/>
    </row>
    <row r="23407" spans="6:6" x14ac:dyDescent="0.3">
      <c r="F23407" s="193"/>
    </row>
    <row r="23408" spans="6:6" x14ac:dyDescent="0.3">
      <c r="F23408" s="193"/>
    </row>
    <row r="23409" spans="6:6" x14ac:dyDescent="0.3">
      <c r="F23409" s="193"/>
    </row>
    <row r="23410" spans="6:6" x14ac:dyDescent="0.3">
      <c r="F23410" s="193"/>
    </row>
    <row r="23411" spans="6:6" x14ac:dyDescent="0.3">
      <c r="F23411" s="193"/>
    </row>
    <row r="23412" spans="6:6" x14ac:dyDescent="0.3">
      <c r="F23412" s="193"/>
    </row>
    <row r="23413" spans="6:6" x14ac:dyDescent="0.3">
      <c r="F23413" s="193"/>
    </row>
    <row r="23414" spans="6:6" x14ac:dyDescent="0.3">
      <c r="F23414" s="193"/>
    </row>
    <row r="23415" spans="6:6" x14ac:dyDescent="0.3">
      <c r="F23415" s="193"/>
    </row>
    <row r="23416" spans="6:6" x14ac:dyDescent="0.3">
      <c r="F23416" s="193"/>
    </row>
    <row r="23417" spans="6:6" x14ac:dyDescent="0.3">
      <c r="F23417" s="193"/>
    </row>
    <row r="23418" spans="6:6" x14ac:dyDescent="0.3">
      <c r="F23418" s="193"/>
    </row>
    <row r="23419" spans="6:6" x14ac:dyDescent="0.3">
      <c r="F23419" s="193"/>
    </row>
    <row r="23420" spans="6:6" x14ac:dyDescent="0.3">
      <c r="F23420" s="193"/>
    </row>
    <row r="23421" spans="6:6" x14ac:dyDescent="0.3">
      <c r="F23421" s="193"/>
    </row>
    <row r="23422" spans="6:6" x14ac:dyDescent="0.3">
      <c r="F23422" s="193"/>
    </row>
    <row r="23423" spans="6:6" x14ac:dyDescent="0.3">
      <c r="F23423" s="193"/>
    </row>
    <row r="23424" spans="6:6" x14ac:dyDescent="0.3">
      <c r="F23424" s="193"/>
    </row>
    <row r="23425" spans="6:6" x14ac:dyDescent="0.3">
      <c r="F23425" s="193"/>
    </row>
    <row r="23426" spans="6:6" x14ac:dyDescent="0.3">
      <c r="F23426" s="193"/>
    </row>
    <row r="23427" spans="6:6" x14ac:dyDescent="0.3">
      <c r="F23427" s="193"/>
    </row>
    <row r="23428" spans="6:6" x14ac:dyDescent="0.3">
      <c r="F23428" s="193"/>
    </row>
    <row r="23429" spans="6:6" x14ac:dyDescent="0.3">
      <c r="F23429" s="193"/>
    </row>
    <row r="23430" spans="6:6" x14ac:dyDescent="0.3">
      <c r="F23430" s="193"/>
    </row>
    <row r="23431" spans="6:6" x14ac:dyDescent="0.3">
      <c r="F23431" s="193"/>
    </row>
    <row r="23432" spans="6:6" x14ac:dyDescent="0.3">
      <c r="F23432" s="193"/>
    </row>
    <row r="23433" spans="6:6" x14ac:dyDescent="0.3">
      <c r="F23433" s="193"/>
    </row>
    <row r="23434" spans="6:6" x14ac:dyDescent="0.3">
      <c r="F23434" s="193"/>
    </row>
    <row r="23435" spans="6:6" x14ac:dyDescent="0.3">
      <c r="F23435" s="193"/>
    </row>
    <row r="23436" spans="6:6" x14ac:dyDescent="0.3">
      <c r="F23436" s="193"/>
    </row>
    <row r="23437" spans="6:6" x14ac:dyDescent="0.3">
      <c r="F23437" s="193"/>
    </row>
    <row r="23438" spans="6:6" x14ac:dyDescent="0.3">
      <c r="F23438" s="193"/>
    </row>
    <row r="23439" spans="6:6" x14ac:dyDescent="0.3">
      <c r="F23439" s="193"/>
    </row>
    <row r="23440" spans="6:6" x14ac:dyDescent="0.3">
      <c r="F23440" s="193"/>
    </row>
    <row r="23441" spans="6:6" x14ac:dyDescent="0.3">
      <c r="F23441" s="193"/>
    </row>
    <row r="23442" spans="6:6" x14ac:dyDescent="0.3">
      <c r="F23442" s="193"/>
    </row>
    <row r="23443" spans="6:6" x14ac:dyDescent="0.3">
      <c r="F23443" s="193"/>
    </row>
    <row r="23444" spans="6:6" x14ac:dyDescent="0.3">
      <c r="F23444" s="193"/>
    </row>
    <row r="23445" spans="6:6" x14ac:dyDescent="0.3">
      <c r="F23445" s="193"/>
    </row>
    <row r="23446" spans="6:6" x14ac:dyDescent="0.3">
      <c r="F23446" s="193"/>
    </row>
    <row r="23447" spans="6:6" x14ac:dyDescent="0.3">
      <c r="F23447" s="193"/>
    </row>
    <row r="23448" spans="6:6" x14ac:dyDescent="0.3">
      <c r="F23448" s="193"/>
    </row>
    <row r="23449" spans="6:6" x14ac:dyDescent="0.3">
      <c r="F23449" s="193"/>
    </row>
    <row r="23450" spans="6:6" x14ac:dyDescent="0.3">
      <c r="F23450" s="193"/>
    </row>
    <row r="23451" spans="6:6" x14ac:dyDescent="0.3">
      <c r="F23451" s="193"/>
    </row>
    <row r="23452" spans="6:6" x14ac:dyDescent="0.3">
      <c r="F23452" s="193"/>
    </row>
    <row r="23453" spans="6:6" x14ac:dyDescent="0.3">
      <c r="F23453" s="193"/>
    </row>
    <row r="23454" spans="6:6" x14ac:dyDescent="0.3">
      <c r="F23454" s="193"/>
    </row>
    <row r="23455" spans="6:6" x14ac:dyDescent="0.3">
      <c r="F23455" s="193"/>
    </row>
    <row r="23456" spans="6:6" x14ac:dyDescent="0.3">
      <c r="F23456" s="193"/>
    </row>
    <row r="23457" spans="6:6" x14ac:dyDescent="0.3">
      <c r="F23457" s="193"/>
    </row>
    <row r="23458" spans="6:6" x14ac:dyDescent="0.3">
      <c r="F23458" s="193"/>
    </row>
    <row r="23459" spans="6:6" x14ac:dyDescent="0.3">
      <c r="F23459" s="193"/>
    </row>
    <row r="23460" spans="6:6" x14ac:dyDescent="0.3">
      <c r="F23460" s="193"/>
    </row>
    <row r="23461" spans="6:6" x14ac:dyDescent="0.3">
      <c r="F23461" s="193"/>
    </row>
    <row r="23462" spans="6:6" x14ac:dyDescent="0.3">
      <c r="F23462" s="193"/>
    </row>
    <row r="23463" spans="6:6" x14ac:dyDescent="0.3">
      <c r="F23463" s="193"/>
    </row>
    <row r="23464" spans="6:6" x14ac:dyDescent="0.3">
      <c r="F23464" s="193"/>
    </row>
    <row r="23465" spans="6:6" x14ac:dyDescent="0.3">
      <c r="F23465" s="193"/>
    </row>
    <row r="23466" spans="6:6" x14ac:dyDescent="0.3">
      <c r="F23466" s="193"/>
    </row>
    <row r="23467" spans="6:6" x14ac:dyDescent="0.3">
      <c r="F23467" s="193"/>
    </row>
    <row r="23468" spans="6:6" x14ac:dyDescent="0.3">
      <c r="F23468" s="193"/>
    </row>
    <row r="23469" spans="6:6" x14ac:dyDescent="0.3">
      <c r="F23469" s="193"/>
    </row>
    <row r="23470" spans="6:6" x14ac:dyDescent="0.3">
      <c r="F23470" s="193"/>
    </row>
    <row r="23471" spans="6:6" x14ac:dyDescent="0.3">
      <c r="F23471" s="193"/>
    </row>
    <row r="23472" spans="6:6" x14ac:dyDescent="0.3">
      <c r="F23472" s="193"/>
    </row>
    <row r="23473" spans="6:6" x14ac:dyDescent="0.3">
      <c r="F23473" s="193"/>
    </row>
    <row r="23474" spans="6:6" x14ac:dyDescent="0.3">
      <c r="F23474" s="193"/>
    </row>
    <row r="23475" spans="6:6" x14ac:dyDescent="0.3">
      <c r="F23475" s="193"/>
    </row>
    <row r="23476" spans="6:6" x14ac:dyDescent="0.3">
      <c r="F23476" s="193"/>
    </row>
    <row r="23477" spans="6:6" x14ac:dyDescent="0.3">
      <c r="F23477" s="193"/>
    </row>
    <row r="23478" spans="6:6" x14ac:dyDescent="0.3">
      <c r="F23478" s="193"/>
    </row>
    <row r="23479" spans="6:6" x14ac:dyDescent="0.3">
      <c r="F23479" s="193"/>
    </row>
    <row r="23480" spans="6:6" x14ac:dyDescent="0.3">
      <c r="F23480" s="193"/>
    </row>
    <row r="23481" spans="6:6" x14ac:dyDescent="0.3">
      <c r="F23481" s="193"/>
    </row>
    <row r="23482" spans="6:6" x14ac:dyDescent="0.3">
      <c r="F23482" s="193"/>
    </row>
    <row r="23483" spans="6:6" x14ac:dyDescent="0.3">
      <c r="F23483" s="193"/>
    </row>
    <row r="23484" spans="6:6" x14ac:dyDescent="0.3">
      <c r="F23484" s="193"/>
    </row>
    <row r="23485" spans="6:6" x14ac:dyDescent="0.3">
      <c r="F23485" s="193"/>
    </row>
    <row r="23486" spans="6:6" x14ac:dyDescent="0.3">
      <c r="F23486" s="193"/>
    </row>
    <row r="23487" spans="6:6" x14ac:dyDescent="0.3">
      <c r="F23487" s="193"/>
    </row>
    <row r="23488" spans="6:6" x14ac:dyDescent="0.3">
      <c r="F23488" s="193"/>
    </row>
    <row r="23489" spans="6:6" x14ac:dyDescent="0.3">
      <c r="F23489" s="193"/>
    </row>
    <row r="23490" spans="6:6" x14ac:dyDescent="0.3">
      <c r="F23490" s="193"/>
    </row>
    <row r="23491" spans="6:6" x14ac:dyDescent="0.3">
      <c r="F23491" s="193"/>
    </row>
    <row r="23492" spans="6:6" x14ac:dyDescent="0.3">
      <c r="F23492" s="193"/>
    </row>
    <row r="23493" spans="6:6" x14ac:dyDescent="0.3">
      <c r="F23493" s="193"/>
    </row>
    <row r="23494" spans="6:6" x14ac:dyDescent="0.3">
      <c r="F23494" s="193"/>
    </row>
    <row r="23495" spans="6:6" x14ac:dyDescent="0.3">
      <c r="F23495" s="193"/>
    </row>
    <row r="23496" spans="6:6" x14ac:dyDescent="0.3">
      <c r="F23496" s="193"/>
    </row>
    <row r="23497" spans="6:6" x14ac:dyDescent="0.3">
      <c r="F23497" s="193"/>
    </row>
    <row r="23498" spans="6:6" x14ac:dyDescent="0.3">
      <c r="F23498" s="193"/>
    </row>
    <row r="23499" spans="6:6" x14ac:dyDescent="0.3">
      <c r="F23499" s="193"/>
    </row>
    <row r="23500" spans="6:6" x14ac:dyDescent="0.3">
      <c r="F23500" s="193"/>
    </row>
    <row r="23501" spans="6:6" x14ac:dyDescent="0.3">
      <c r="F23501" s="193"/>
    </row>
    <row r="23502" spans="6:6" x14ac:dyDescent="0.3">
      <c r="F23502" s="193"/>
    </row>
    <row r="23503" spans="6:6" x14ac:dyDescent="0.3">
      <c r="F23503" s="193"/>
    </row>
    <row r="23504" spans="6:6" x14ac:dyDescent="0.3">
      <c r="F23504" s="193"/>
    </row>
    <row r="23505" spans="6:6" x14ac:dyDescent="0.3">
      <c r="F23505" s="193"/>
    </row>
    <row r="23506" spans="6:6" x14ac:dyDescent="0.3">
      <c r="F23506" s="193"/>
    </row>
    <row r="23507" spans="6:6" x14ac:dyDescent="0.3">
      <c r="F23507" s="193"/>
    </row>
    <row r="23508" spans="6:6" x14ac:dyDescent="0.3">
      <c r="F23508" s="193"/>
    </row>
    <row r="23509" spans="6:6" x14ac:dyDescent="0.3">
      <c r="F23509" s="193"/>
    </row>
    <row r="23510" spans="6:6" x14ac:dyDescent="0.3">
      <c r="F23510" s="193"/>
    </row>
    <row r="23511" spans="6:6" x14ac:dyDescent="0.3">
      <c r="F23511" s="193"/>
    </row>
    <row r="23512" spans="6:6" x14ac:dyDescent="0.3">
      <c r="F23512" s="193"/>
    </row>
    <row r="23513" spans="6:6" x14ac:dyDescent="0.3">
      <c r="F23513" s="193"/>
    </row>
    <row r="23514" spans="6:6" x14ac:dyDescent="0.3">
      <c r="F23514" s="193"/>
    </row>
    <row r="23515" spans="6:6" x14ac:dyDescent="0.3">
      <c r="F23515" s="193"/>
    </row>
    <row r="23516" spans="6:6" x14ac:dyDescent="0.3">
      <c r="F23516" s="193"/>
    </row>
    <row r="23517" spans="6:6" x14ac:dyDescent="0.3">
      <c r="F23517" s="193"/>
    </row>
    <row r="23518" spans="6:6" x14ac:dyDescent="0.3">
      <c r="F23518" s="193"/>
    </row>
    <row r="23519" spans="6:6" x14ac:dyDescent="0.3">
      <c r="F23519" s="193"/>
    </row>
    <row r="23520" spans="6:6" x14ac:dyDescent="0.3">
      <c r="F23520" s="193"/>
    </row>
    <row r="23521" spans="6:6" x14ac:dyDescent="0.3">
      <c r="F23521" s="193"/>
    </row>
    <row r="23522" spans="6:6" x14ac:dyDescent="0.3">
      <c r="F23522" s="193"/>
    </row>
    <row r="23523" spans="6:6" x14ac:dyDescent="0.3">
      <c r="F23523" s="193"/>
    </row>
    <row r="23524" spans="6:6" x14ac:dyDescent="0.3">
      <c r="F23524" s="193"/>
    </row>
    <row r="23525" spans="6:6" x14ac:dyDescent="0.3">
      <c r="F23525" s="193"/>
    </row>
    <row r="23526" spans="6:6" x14ac:dyDescent="0.3">
      <c r="F23526" s="193"/>
    </row>
    <row r="23527" spans="6:6" x14ac:dyDescent="0.3">
      <c r="F23527" s="193"/>
    </row>
    <row r="23528" spans="6:6" x14ac:dyDescent="0.3">
      <c r="F23528" s="193"/>
    </row>
    <row r="23529" spans="6:6" x14ac:dyDescent="0.3">
      <c r="F23529" s="193"/>
    </row>
    <row r="23530" spans="6:6" x14ac:dyDescent="0.3">
      <c r="F23530" s="193"/>
    </row>
    <row r="23531" spans="6:6" x14ac:dyDescent="0.3">
      <c r="F23531" s="193"/>
    </row>
    <row r="23532" spans="6:6" x14ac:dyDescent="0.3">
      <c r="F23532" s="193"/>
    </row>
    <row r="23533" spans="6:6" x14ac:dyDescent="0.3">
      <c r="F23533" s="193"/>
    </row>
    <row r="23534" spans="6:6" x14ac:dyDescent="0.3">
      <c r="F23534" s="193"/>
    </row>
    <row r="23535" spans="6:6" x14ac:dyDescent="0.3">
      <c r="F23535" s="193"/>
    </row>
    <row r="23536" spans="6:6" x14ac:dyDescent="0.3">
      <c r="F23536" s="193"/>
    </row>
    <row r="23537" spans="6:6" x14ac:dyDescent="0.3">
      <c r="F23537" s="193"/>
    </row>
    <row r="23538" spans="6:6" x14ac:dyDescent="0.3">
      <c r="F23538" s="193"/>
    </row>
    <row r="23539" spans="6:6" x14ac:dyDescent="0.3">
      <c r="F23539" s="193"/>
    </row>
    <row r="23540" spans="6:6" x14ac:dyDescent="0.3">
      <c r="F23540" s="193"/>
    </row>
    <row r="23541" spans="6:6" x14ac:dyDescent="0.3">
      <c r="F23541" s="193"/>
    </row>
    <row r="23542" spans="6:6" x14ac:dyDescent="0.3">
      <c r="F23542" s="193"/>
    </row>
    <row r="23543" spans="6:6" x14ac:dyDescent="0.3">
      <c r="F23543" s="193"/>
    </row>
    <row r="23544" spans="6:6" x14ac:dyDescent="0.3">
      <c r="F23544" s="193"/>
    </row>
    <row r="23545" spans="6:6" x14ac:dyDescent="0.3">
      <c r="F23545" s="193"/>
    </row>
    <row r="23546" spans="6:6" x14ac:dyDescent="0.3">
      <c r="F23546" s="193"/>
    </row>
    <row r="23547" spans="6:6" x14ac:dyDescent="0.3">
      <c r="F23547" s="193"/>
    </row>
    <row r="23548" spans="6:6" x14ac:dyDescent="0.3">
      <c r="F23548" s="193"/>
    </row>
    <row r="23549" spans="6:6" x14ac:dyDescent="0.3">
      <c r="F23549" s="193"/>
    </row>
    <row r="23550" spans="6:6" x14ac:dyDescent="0.3">
      <c r="F23550" s="193"/>
    </row>
    <row r="23551" spans="6:6" x14ac:dyDescent="0.3">
      <c r="F23551" s="193"/>
    </row>
    <row r="23552" spans="6:6" x14ac:dyDescent="0.3">
      <c r="F23552" s="193"/>
    </row>
    <row r="23553" spans="6:6" x14ac:dyDescent="0.3">
      <c r="F23553" s="193"/>
    </row>
    <row r="23554" spans="6:6" x14ac:dyDescent="0.3">
      <c r="F23554" s="193"/>
    </row>
    <row r="23555" spans="6:6" x14ac:dyDescent="0.3">
      <c r="F23555" s="193"/>
    </row>
    <row r="23556" spans="6:6" x14ac:dyDescent="0.3">
      <c r="F23556" s="193"/>
    </row>
    <row r="23557" spans="6:6" x14ac:dyDescent="0.3">
      <c r="F23557" s="193"/>
    </row>
    <row r="23558" spans="6:6" x14ac:dyDescent="0.3">
      <c r="F23558" s="193"/>
    </row>
    <row r="23559" spans="6:6" x14ac:dyDescent="0.3">
      <c r="F23559" s="193"/>
    </row>
    <row r="23560" spans="6:6" x14ac:dyDescent="0.3">
      <c r="F23560" s="193"/>
    </row>
    <row r="23561" spans="6:6" x14ac:dyDescent="0.3">
      <c r="F23561" s="193"/>
    </row>
    <row r="23562" spans="6:6" x14ac:dyDescent="0.3">
      <c r="F23562" s="193"/>
    </row>
    <row r="23563" spans="6:6" x14ac:dyDescent="0.3">
      <c r="F23563" s="193"/>
    </row>
    <row r="23564" spans="6:6" x14ac:dyDescent="0.3">
      <c r="F23564" s="193"/>
    </row>
    <row r="23565" spans="6:6" x14ac:dyDescent="0.3">
      <c r="F23565" s="193"/>
    </row>
    <row r="23566" spans="6:6" x14ac:dyDescent="0.3">
      <c r="F23566" s="193"/>
    </row>
    <row r="23567" spans="6:6" x14ac:dyDescent="0.3">
      <c r="F23567" s="193"/>
    </row>
    <row r="23568" spans="6:6" x14ac:dyDescent="0.3">
      <c r="F23568" s="193"/>
    </row>
    <row r="23569" spans="6:6" x14ac:dyDescent="0.3">
      <c r="F23569" s="193"/>
    </row>
    <row r="23570" spans="6:6" x14ac:dyDescent="0.3">
      <c r="F23570" s="193"/>
    </row>
    <row r="23571" spans="6:6" x14ac:dyDescent="0.3">
      <c r="F23571" s="193"/>
    </row>
    <row r="23572" spans="6:6" x14ac:dyDescent="0.3">
      <c r="F23572" s="193"/>
    </row>
    <row r="23573" spans="6:6" x14ac:dyDescent="0.3">
      <c r="F23573" s="193"/>
    </row>
    <row r="23574" spans="6:6" x14ac:dyDescent="0.3">
      <c r="F23574" s="193"/>
    </row>
    <row r="23575" spans="6:6" x14ac:dyDescent="0.3">
      <c r="F23575" s="193"/>
    </row>
    <row r="23576" spans="6:6" x14ac:dyDescent="0.3">
      <c r="F23576" s="193"/>
    </row>
    <row r="23577" spans="6:6" x14ac:dyDescent="0.3">
      <c r="F23577" s="193"/>
    </row>
    <row r="23578" spans="6:6" x14ac:dyDescent="0.3">
      <c r="F23578" s="193"/>
    </row>
    <row r="23579" spans="6:6" x14ac:dyDescent="0.3">
      <c r="F23579" s="193"/>
    </row>
    <row r="23580" spans="6:6" x14ac:dyDescent="0.3">
      <c r="F23580" s="193"/>
    </row>
    <row r="23581" spans="6:6" x14ac:dyDescent="0.3">
      <c r="F23581" s="193"/>
    </row>
    <row r="23582" spans="6:6" x14ac:dyDescent="0.3">
      <c r="F23582" s="193"/>
    </row>
    <row r="23583" spans="6:6" x14ac:dyDescent="0.3">
      <c r="F23583" s="193"/>
    </row>
    <row r="23584" spans="6:6" x14ac:dyDescent="0.3">
      <c r="F23584" s="193"/>
    </row>
    <row r="23585" spans="6:6" x14ac:dyDescent="0.3">
      <c r="F23585" s="193"/>
    </row>
    <row r="23586" spans="6:6" x14ac:dyDescent="0.3">
      <c r="F23586" s="193"/>
    </row>
    <row r="23587" spans="6:6" x14ac:dyDescent="0.3">
      <c r="F23587" s="193"/>
    </row>
    <row r="23588" spans="6:6" x14ac:dyDescent="0.3">
      <c r="F23588" s="193"/>
    </row>
    <row r="23589" spans="6:6" x14ac:dyDescent="0.3">
      <c r="F23589" s="193"/>
    </row>
    <row r="23590" spans="6:6" x14ac:dyDescent="0.3">
      <c r="F23590" s="193"/>
    </row>
    <row r="23591" spans="6:6" x14ac:dyDescent="0.3">
      <c r="F23591" s="193"/>
    </row>
    <row r="23592" spans="6:6" x14ac:dyDescent="0.3">
      <c r="F23592" s="193"/>
    </row>
    <row r="23593" spans="6:6" x14ac:dyDescent="0.3">
      <c r="F23593" s="193"/>
    </row>
    <row r="23594" spans="6:6" x14ac:dyDescent="0.3">
      <c r="F23594" s="193"/>
    </row>
    <row r="23595" spans="6:6" x14ac:dyDescent="0.3">
      <c r="F23595" s="193"/>
    </row>
    <row r="23596" spans="6:6" x14ac:dyDescent="0.3">
      <c r="F23596" s="193"/>
    </row>
    <row r="23597" spans="6:6" x14ac:dyDescent="0.3">
      <c r="F23597" s="193"/>
    </row>
    <row r="23598" spans="6:6" x14ac:dyDescent="0.3">
      <c r="F23598" s="193"/>
    </row>
    <row r="23599" spans="6:6" x14ac:dyDescent="0.3">
      <c r="F23599" s="193"/>
    </row>
    <row r="23600" spans="6:6" x14ac:dyDescent="0.3">
      <c r="F23600" s="193"/>
    </row>
    <row r="23601" spans="6:6" x14ac:dyDescent="0.3">
      <c r="F23601" s="193"/>
    </row>
    <row r="23602" spans="6:6" x14ac:dyDescent="0.3">
      <c r="F23602" s="193"/>
    </row>
    <row r="23603" spans="6:6" x14ac:dyDescent="0.3">
      <c r="F23603" s="193"/>
    </row>
    <row r="23604" spans="6:6" x14ac:dyDescent="0.3">
      <c r="F23604" s="193"/>
    </row>
    <row r="23605" spans="6:6" x14ac:dyDescent="0.3">
      <c r="F23605" s="193"/>
    </row>
    <row r="23606" spans="6:6" x14ac:dyDescent="0.3">
      <c r="F23606" s="193"/>
    </row>
    <row r="23607" spans="6:6" x14ac:dyDescent="0.3">
      <c r="F23607" s="193"/>
    </row>
    <row r="23608" spans="6:6" x14ac:dyDescent="0.3">
      <c r="F23608" s="193"/>
    </row>
    <row r="23609" spans="6:6" x14ac:dyDescent="0.3">
      <c r="F23609" s="193"/>
    </row>
    <row r="23610" spans="6:6" x14ac:dyDescent="0.3">
      <c r="F23610" s="193"/>
    </row>
    <row r="23611" spans="6:6" x14ac:dyDescent="0.3">
      <c r="F23611" s="193"/>
    </row>
    <row r="23612" spans="6:6" x14ac:dyDescent="0.3">
      <c r="F23612" s="193"/>
    </row>
    <row r="23613" spans="6:6" x14ac:dyDescent="0.3">
      <c r="F23613" s="193"/>
    </row>
    <row r="23614" spans="6:6" x14ac:dyDescent="0.3">
      <c r="F23614" s="193"/>
    </row>
    <row r="23615" spans="6:6" x14ac:dyDescent="0.3">
      <c r="F23615" s="193"/>
    </row>
    <row r="23616" spans="6:6" x14ac:dyDescent="0.3">
      <c r="F23616" s="193"/>
    </row>
    <row r="23617" spans="6:6" x14ac:dyDescent="0.3">
      <c r="F23617" s="193"/>
    </row>
    <row r="23618" spans="6:6" x14ac:dyDescent="0.3">
      <c r="F23618" s="193"/>
    </row>
    <row r="23619" spans="6:6" x14ac:dyDescent="0.3">
      <c r="F23619" s="193"/>
    </row>
    <row r="23620" spans="6:6" x14ac:dyDescent="0.3">
      <c r="F23620" s="193"/>
    </row>
    <row r="23621" spans="6:6" x14ac:dyDescent="0.3">
      <c r="F23621" s="193"/>
    </row>
    <row r="23622" spans="6:6" x14ac:dyDescent="0.3">
      <c r="F23622" s="193"/>
    </row>
    <row r="23623" spans="6:6" x14ac:dyDescent="0.3">
      <c r="F23623" s="193"/>
    </row>
    <row r="23624" spans="6:6" x14ac:dyDescent="0.3">
      <c r="F23624" s="193"/>
    </row>
    <row r="23625" spans="6:6" x14ac:dyDescent="0.3">
      <c r="F23625" s="193"/>
    </row>
    <row r="23626" spans="6:6" x14ac:dyDescent="0.3">
      <c r="F23626" s="193"/>
    </row>
    <row r="23627" spans="6:6" x14ac:dyDescent="0.3">
      <c r="F23627" s="193"/>
    </row>
    <row r="23628" spans="6:6" x14ac:dyDescent="0.3">
      <c r="F23628" s="193"/>
    </row>
    <row r="23629" spans="6:6" x14ac:dyDescent="0.3">
      <c r="F23629" s="193"/>
    </row>
    <row r="23630" spans="6:6" x14ac:dyDescent="0.3">
      <c r="F23630" s="193"/>
    </row>
    <row r="23631" spans="6:6" x14ac:dyDescent="0.3">
      <c r="F23631" s="193"/>
    </row>
    <row r="23632" spans="6:6" x14ac:dyDescent="0.3">
      <c r="F23632" s="193"/>
    </row>
    <row r="23633" spans="6:6" x14ac:dyDescent="0.3">
      <c r="F23633" s="193"/>
    </row>
    <row r="23634" spans="6:6" x14ac:dyDescent="0.3">
      <c r="F23634" s="193"/>
    </row>
    <row r="23635" spans="6:6" x14ac:dyDescent="0.3">
      <c r="F23635" s="193"/>
    </row>
    <row r="23636" spans="6:6" x14ac:dyDescent="0.3">
      <c r="F23636" s="193"/>
    </row>
    <row r="23637" spans="6:6" x14ac:dyDescent="0.3">
      <c r="F23637" s="193"/>
    </row>
    <row r="23638" spans="6:6" x14ac:dyDescent="0.3">
      <c r="F23638" s="193"/>
    </row>
    <row r="23639" spans="6:6" x14ac:dyDescent="0.3">
      <c r="F23639" s="193"/>
    </row>
    <row r="23640" spans="6:6" x14ac:dyDescent="0.3">
      <c r="F23640" s="193"/>
    </row>
    <row r="23641" spans="6:6" x14ac:dyDescent="0.3">
      <c r="F23641" s="193"/>
    </row>
    <row r="23642" spans="6:6" x14ac:dyDescent="0.3">
      <c r="F23642" s="193"/>
    </row>
    <row r="23643" spans="6:6" x14ac:dyDescent="0.3">
      <c r="F23643" s="193"/>
    </row>
    <row r="23644" spans="6:6" x14ac:dyDescent="0.3">
      <c r="F23644" s="193"/>
    </row>
    <row r="23645" spans="6:6" x14ac:dyDescent="0.3">
      <c r="F23645" s="193"/>
    </row>
    <row r="23646" spans="6:6" x14ac:dyDescent="0.3">
      <c r="F23646" s="193"/>
    </row>
    <row r="23647" spans="6:6" x14ac:dyDescent="0.3">
      <c r="F23647" s="193"/>
    </row>
    <row r="23648" spans="6:6" x14ac:dyDescent="0.3">
      <c r="F23648" s="193"/>
    </row>
    <row r="23649" spans="6:6" x14ac:dyDescent="0.3">
      <c r="F23649" s="193"/>
    </row>
    <row r="23650" spans="6:6" x14ac:dyDescent="0.3">
      <c r="F23650" s="193"/>
    </row>
    <row r="23651" spans="6:6" x14ac:dyDescent="0.3">
      <c r="F23651" s="193"/>
    </row>
    <row r="23652" spans="6:6" x14ac:dyDescent="0.3">
      <c r="F23652" s="193"/>
    </row>
    <row r="23653" spans="6:6" x14ac:dyDescent="0.3">
      <c r="F23653" s="193"/>
    </row>
    <row r="23654" spans="6:6" x14ac:dyDescent="0.3">
      <c r="F23654" s="193"/>
    </row>
    <row r="23655" spans="6:6" x14ac:dyDescent="0.3">
      <c r="F23655" s="193"/>
    </row>
    <row r="23656" spans="6:6" x14ac:dyDescent="0.3">
      <c r="F23656" s="193"/>
    </row>
    <row r="23657" spans="6:6" x14ac:dyDescent="0.3">
      <c r="F23657" s="193"/>
    </row>
    <row r="23658" spans="6:6" x14ac:dyDescent="0.3">
      <c r="F23658" s="193"/>
    </row>
    <row r="23659" spans="6:6" x14ac:dyDescent="0.3">
      <c r="F23659" s="193"/>
    </row>
    <row r="23660" spans="6:6" x14ac:dyDescent="0.3">
      <c r="F23660" s="193"/>
    </row>
    <row r="23661" spans="6:6" x14ac:dyDescent="0.3">
      <c r="F23661" s="193"/>
    </row>
    <row r="23662" spans="6:6" x14ac:dyDescent="0.3">
      <c r="F23662" s="193"/>
    </row>
    <row r="23663" spans="6:6" x14ac:dyDescent="0.3">
      <c r="F23663" s="193"/>
    </row>
    <row r="23664" spans="6:6" x14ac:dyDescent="0.3">
      <c r="F23664" s="193"/>
    </row>
    <row r="23665" spans="6:6" x14ac:dyDescent="0.3">
      <c r="F23665" s="193"/>
    </row>
    <row r="23666" spans="6:6" x14ac:dyDescent="0.3">
      <c r="F23666" s="193"/>
    </row>
    <row r="23667" spans="6:6" x14ac:dyDescent="0.3">
      <c r="F23667" s="193"/>
    </row>
    <row r="23668" spans="6:6" x14ac:dyDescent="0.3">
      <c r="F23668" s="193"/>
    </row>
    <row r="23669" spans="6:6" x14ac:dyDescent="0.3">
      <c r="F23669" s="193"/>
    </row>
    <row r="23670" spans="6:6" x14ac:dyDescent="0.3">
      <c r="F23670" s="193"/>
    </row>
    <row r="23671" spans="6:6" x14ac:dyDescent="0.3">
      <c r="F23671" s="193"/>
    </row>
    <row r="23672" spans="6:6" x14ac:dyDescent="0.3">
      <c r="F23672" s="193"/>
    </row>
    <row r="23673" spans="6:6" x14ac:dyDescent="0.3">
      <c r="F23673" s="193"/>
    </row>
    <row r="23674" spans="6:6" x14ac:dyDescent="0.3">
      <c r="F23674" s="193"/>
    </row>
    <row r="23675" spans="6:6" x14ac:dyDescent="0.3">
      <c r="F23675" s="193"/>
    </row>
    <row r="23676" spans="6:6" x14ac:dyDescent="0.3">
      <c r="F23676" s="193"/>
    </row>
    <row r="23677" spans="6:6" x14ac:dyDescent="0.3">
      <c r="F23677" s="193"/>
    </row>
    <row r="23678" spans="6:6" x14ac:dyDescent="0.3">
      <c r="F23678" s="193"/>
    </row>
    <row r="23679" spans="6:6" x14ac:dyDescent="0.3">
      <c r="F23679" s="193"/>
    </row>
    <row r="23680" spans="6:6" x14ac:dyDescent="0.3">
      <c r="F23680" s="193"/>
    </row>
    <row r="23681" spans="6:6" x14ac:dyDescent="0.3">
      <c r="F23681" s="193"/>
    </row>
    <row r="23682" spans="6:6" x14ac:dyDescent="0.3">
      <c r="F23682" s="193"/>
    </row>
    <row r="23683" spans="6:6" x14ac:dyDescent="0.3">
      <c r="F23683" s="193"/>
    </row>
    <row r="23684" spans="6:6" x14ac:dyDescent="0.3">
      <c r="F23684" s="193"/>
    </row>
    <row r="23685" spans="6:6" x14ac:dyDescent="0.3">
      <c r="F23685" s="193"/>
    </row>
    <row r="23686" spans="6:6" x14ac:dyDescent="0.3">
      <c r="F23686" s="193"/>
    </row>
    <row r="23687" spans="6:6" x14ac:dyDescent="0.3">
      <c r="F23687" s="193"/>
    </row>
    <row r="23688" spans="6:6" x14ac:dyDescent="0.3">
      <c r="F23688" s="193"/>
    </row>
    <row r="23689" spans="6:6" x14ac:dyDescent="0.3">
      <c r="F23689" s="193"/>
    </row>
    <row r="23690" spans="6:6" x14ac:dyDescent="0.3">
      <c r="F23690" s="193"/>
    </row>
    <row r="23691" spans="6:6" x14ac:dyDescent="0.3">
      <c r="F23691" s="193"/>
    </row>
    <row r="23692" spans="6:6" x14ac:dyDescent="0.3">
      <c r="F23692" s="193"/>
    </row>
    <row r="23693" spans="6:6" x14ac:dyDescent="0.3">
      <c r="F23693" s="193"/>
    </row>
    <row r="23694" spans="6:6" x14ac:dyDescent="0.3">
      <c r="F23694" s="193"/>
    </row>
    <row r="23695" spans="6:6" x14ac:dyDescent="0.3">
      <c r="F23695" s="193"/>
    </row>
    <row r="23696" spans="6:6" x14ac:dyDescent="0.3">
      <c r="F23696" s="193"/>
    </row>
    <row r="23697" spans="6:6" x14ac:dyDescent="0.3">
      <c r="F23697" s="193"/>
    </row>
    <row r="23698" spans="6:6" x14ac:dyDescent="0.3">
      <c r="F23698" s="193"/>
    </row>
    <row r="23699" spans="6:6" x14ac:dyDescent="0.3">
      <c r="F23699" s="193"/>
    </row>
    <row r="23700" spans="6:6" x14ac:dyDescent="0.3">
      <c r="F23700" s="193"/>
    </row>
    <row r="23701" spans="6:6" x14ac:dyDescent="0.3">
      <c r="F23701" s="193"/>
    </row>
    <row r="23702" spans="6:6" x14ac:dyDescent="0.3">
      <c r="F23702" s="193"/>
    </row>
    <row r="23703" spans="6:6" x14ac:dyDescent="0.3">
      <c r="F23703" s="193"/>
    </row>
    <row r="23704" spans="6:6" x14ac:dyDescent="0.3">
      <c r="F23704" s="193"/>
    </row>
    <row r="23705" spans="6:6" x14ac:dyDescent="0.3">
      <c r="F23705" s="193"/>
    </row>
    <row r="23706" spans="6:6" x14ac:dyDescent="0.3">
      <c r="F23706" s="193"/>
    </row>
    <row r="23707" spans="6:6" x14ac:dyDescent="0.3">
      <c r="F23707" s="193"/>
    </row>
    <row r="23708" spans="6:6" x14ac:dyDescent="0.3">
      <c r="F23708" s="193"/>
    </row>
    <row r="23709" spans="6:6" x14ac:dyDescent="0.3">
      <c r="F23709" s="193"/>
    </row>
    <row r="23710" spans="6:6" x14ac:dyDescent="0.3">
      <c r="F23710" s="193"/>
    </row>
    <row r="23711" spans="6:6" x14ac:dyDescent="0.3">
      <c r="F23711" s="193"/>
    </row>
    <row r="23712" spans="6:6" x14ac:dyDescent="0.3">
      <c r="F23712" s="193"/>
    </row>
    <row r="23713" spans="6:6" x14ac:dyDescent="0.3">
      <c r="F23713" s="193"/>
    </row>
    <row r="23714" spans="6:6" x14ac:dyDescent="0.3">
      <c r="F23714" s="193"/>
    </row>
    <row r="23715" spans="6:6" x14ac:dyDescent="0.3">
      <c r="F23715" s="193"/>
    </row>
    <row r="23716" spans="6:6" x14ac:dyDescent="0.3">
      <c r="F23716" s="193"/>
    </row>
    <row r="23717" spans="6:6" x14ac:dyDescent="0.3">
      <c r="F23717" s="193"/>
    </row>
    <row r="23718" spans="6:6" x14ac:dyDescent="0.3">
      <c r="F23718" s="193"/>
    </row>
    <row r="23719" spans="6:6" x14ac:dyDescent="0.3">
      <c r="F23719" s="193"/>
    </row>
    <row r="23720" spans="6:6" x14ac:dyDescent="0.3">
      <c r="F23720" s="193"/>
    </row>
    <row r="23721" spans="6:6" x14ac:dyDescent="0.3">
      <c r="F23721" s="193"/>
    </row>
    <row r="23722" spans="6:6" x14ac:dyDescent="0.3">
      <c r="F23722" s="193"/>
    </row>
    <row r="23723" spans="6:6" x14ac:dyDescent="0.3">
      <c r="F23723" s="193"/>
    </row>
    <row r="23724" spans="6:6" x14ac:dyDescent="0.3">
      <c r="F23724" s="193"/>
    </row>
    <row r="23725" spans="6:6" x14ac:dyDescent="0.3">
      <c r="F23725" s="193"/>
    </row>
    <row r="23726" spans="6:6" x14ac:dyDescent="0.3">
      <c r="F23726" s="193"/>
    </row>
    <row r="23727" spans="6:6" x14ac:dyDescent="0.3">
      <c r="F23727" s="193"/>
    </row>
    <row r="23728" spans="6:6" x14ac:dyDescent="0.3">
      <c r="F23728" s="193"/>
    </row>
    <row r="23729" spans="6:6" x14ac:dyDescent="0.3">
      <c r="F23729" s="193"/>
    </row>
    <row r="23730" spans="6:6" x14ac:dyDescent="0.3">
      <c r="F23730" s="193"/>
    </row>
    <row r="23731" spans="6:6" x14ac:dyDescent="0.3">
      <c r="F23731" s="193"/>
    </row>
    <row r="23732" spans="6:6" x14ac:dyDescent="0.3">
      <c r="F23732" s="193"/>
    </row>
    <row r="23733" spans="6:6" x14ac:dyDescent="0.3">
      <c r="F23733" s="193"/>
    </row>
    <row r="23734" spans="6:6" x14ac:dyDescent="0.3">
      <c r="F23734" s="193"/>
    </row>
    <row r="23735" spans="6:6" x14ac:dyDescent="0.3">
      <c r="F23735" s="193"/>
    </row>
    <row r="23736" spans="6:6" x14ac:dyDescent="0.3">
      <c r="F23736" s="193"/>
    </row>
    <row r="23737" spans="6:6" x14ac:dyDescent="0.3">
      <c r="F23737" s="193"/>
    </row>
    <row r="23738" spans="6:6" x14ac:dyDescent="0.3">
      <c r="F23738" s="193"/>
    </row>
    <row r="23739" spans="6:6" x14ac:dyDescent="0.3">
      <c r="F23739" s="193"/>
    </row>
    <row r="23740" spans="6:6" x14ac:dyDescent="0.3">
      <c r="F23740" s="193"/>
    </row>
    <row r="23741" spans="6:6" x14ac:dyDescent="0.3">
      <c r="F23741" s="193"/>
    </row>
    <row r="23742" spans="6:6" x14ac:dyDescent="0.3">
      <c r="F23742" s="193"/>
    </row>
    <row r="23743" spans="6:6" x14ac:dyDescent="0.3">
      <c r="F23743" s="193"/>
    </row>
    <row r="23744" spans="6:6" x14ac:dyDescent="0.3">
      <c r="F23744" s="193"/>
    </row>
    <row r="23745" spans="6:6" x14ac:dyDescent="0.3">
      <c r="F23745" s="193"/>
    </row>
    <row r="23746" spans="6:6" x14ac:dyDescent="0.3">
      <c r="F23746" s="193"/>
    </row>
    <row r="23747" spans="6:6" x14ac:dyDescent="0.3">
      <c r="F23747" s="193"/>
    </row>
    <row r="23748" spans="6:6" x14ac:dyDescent="0.3">
      <c r="F23748" s="193"/>
    </row>
    <row r="23749" spans="6:6" x14ac:dyDescent="0.3">
      <c r="F23749" s="193"/>
    </row>
    <row r="23750" spans="6:6" x14ac:dyDescent="0.3">
      <c r="F23750" s="193"/>
    </row>
    <row r="23751" spans="6:6" x14ac:dyDescent="0.3">
      <c r="F23751" s="193"/>
    </row>
    <row r="23752" spans="6:6" x14ac:dyDescent="0.3">
      <c r="F23752" s="193"/>
    </row>
    <row r="23753" spans="6:6" x14ac:dyDescent="0.3">
      <c r="F23753" s="193"/>
    </row>
    <row r="23754" spans="6:6" x14ac:dyDescent="0.3">
      <c r="F23754" s="193"/>
    </row>
    <row r="23755" spans="6:6" x14ac:dyDescent="0.3">
      <c r="F23755" s="193"/>
    </row>
    <row r="23756" spans="6:6" x14ac:dyDescent="0.3">
      <c r="F23756" s="193"/>
    </row>
    <row r="23757" spans="6:6" x14ac:dyDescent="0.3">
      <c r="F23757" s="193"/>
    </row>
    <row r="23758" spans="6:6" x14ac:dyDescent="0.3">
      <c r="F23758" s="193"/>
    </row>
    <row r="23759" spans="6:6" x14ac:dyDescent="0.3">
      <c r="F23759" s="193"/>
    </row>
    <row r="23760" spans="6:6" x14ac:dyDescent="0.3">
      <c r="F23760" s="193"/>
    </row>
    <row r="23761" spans="6:6" x14ac:dyDescent="0.3">
      <c r="F23761" s="193"/>
    </row>
    <row r="23762" spans="6:6" x14ac:dyDescent="0.3">
      <c r="F23762" s="193"/>
    </row>
    <row r="23763" spans="6:6" x14ac:dyDescent="0.3">
      <c r="F23763" s="193"/>
    </row>
    <row r="23764" spans="6:6" x14ac:dyDescent="0.3">
      <c r="F23764" s="193"/>
    </row>
    <row r="23765" spans="6:6" x14ac:dyDescent="0.3">
      <c r="F23765" s="193"/>
    </row>
    <row r="23766" spans="6:6" x14ac:dyDescent="0.3">
      <c r="F23766" s="193"/>
    </row>
    <row r="23767" spans="6:6" x14ac:dyDescent="0.3">
      <c r="F23767" s="193"/>
    </row>
    <row r="23768" spans="6:6" x14ac:dyDescent="0.3">
      <c r="F23768" s="193"/>
    </row>
    <row r="23769" spans="6:6" x14ac:dyDescent="0.3">
      <c r="F23769" s="193"/>
    </row>
    <row r="23770" spans="6:6" x14ac:dyDescent="0.3">
      <c r="F23770" s="193"/>
    </row>
    <row r="23771" spans="6:6" x14ac:dyDescent="0.3">
      <c r="F23771" s="193"/>
    </row>
    <row r="23772" spans="6:6" x14ac:dyDescent="0.3">
      <c r="F23772" s="193"/>
    </row>
    <row r="23773" spans="6:6" x14ac:dyDescent="0.3">
      <c r="F23773" s="193"/>
    </row>
    <row r="23774" spans="6:6" x14ac:dyDescent="0.3">
      <c r="F23774" s="193"/>
    </row>
    <row r="23775" spans="6:6" x14ac:dyDescent="0.3">
      <c r="F23775" s="193"/>
    </row>
    <row r="23776" spans="6:6" x14ac:dyDescent="0.3">
      <c r="F23776" s="193"/>
    </row>
    <row r="23777" spans="6:6" x14ac:dyDescent="0.3">
      <c r="F23777" s="193"/>
    </row>
    <row r="23778" spans="6:6" x14ac:dyDescent="0.3">
      <c r="F23778" s="193"/>
    </row>
    <row r="23779" spans="6:6" x14ac:dyDescent="0.3">
      <c r="F23779" s="193"/>
    </row>
    <row r="23780" spans="6:6" x14ac:dyDescent="0.3">
      <c r="F23780" s="193"/>
    </row>
    <row r="23781" spans="6:6" x14ac:dyDescent="0.3">
      <c r="F23781" s="193"/>
    </row>
    <row r="23782" spans="6:6" x14ac:dyDescent="0.3">
      <c r="F23782" s="193"/>
    </row>
    <row r="23783" spans="6:6" x14ac:dyDescent="0.3">
      <c r="F23783" s="193"/>
    </row>
    <row r="23784" spans="6:6" x14ac:dyDescent="0.3">
      <c r="F23784" s="193"/>
    </row>
    <row r="23785" spans="6:6" x14ac:dyDescent="0.3">
      <c r="F23785" s="193"/>
    </row>
    <row r="23786" spans="6:6" x14ac:dyDescent="0.3">
      <c r="F23786" s="193"/>
    </row>
    <row r="23787" spans="6:6" x14ac:dyDescent="0.3">
      <c r="F23787" s="193"/>
    </row>
    <row r="23788" spans="6:6" x14ac:dyDescent="0.3">
      <c r="F23788" s="193"/>
    </row>
    <row r="23789" spans="6:6" x14ac:dyDescent="0.3">
      <c r="F23789" s="193"/>
    </row>
    <row r="23790" spans="6:6" x14ac:dyDescent="0.3">
      <c r="F23790" s="193"/>
    </row>
    <row r="23791" spans="6:6" x14ac:dyDescent="0.3">
      <c r="F23791" s="193"/>
    </row>
    <row r="23792" spans="6:6" x14ac:dyDescent="0.3">
      <c r="F23792" s="193"/>
    </row>
    <row r="23793" spans="6:6" x14ac:dyDescent="0.3">
      <c r="F23793" s="193"/>
    </row>
    <row r="23794" spans="6:6" x14ac:dyDescent="0.3">
      <c r="F23794" s="193"/>
    </row>
    <row r="23795" spans="6:6" x14ac:dyDescent="0.3">
      <c r="F23795" s="193"/>
    </row>
    <row r="23796" spans="6:6" x14ac:dyDescent="0.3">
      <c r="F23796" s="193"/>
    </row>
    <row r="23797" spans="6:6" x14ac:dyDescent="0.3">
      <c r="F23797" s="193"/>
    </row>
    <row r="23798" spans="6:6" x14ac:dyDescent="0.3">
      <c r="F23798" s="193"/>
    </row>
    <row r="23799" spans="6:6" x14ac:dyDescent="0.3">
      <c r="F23799" s="193"/>
    </row>
    <row r="23800" spans="6:6" x14ac:dyDescent="0.3">
      <c r="F23800" s="193"/>
    </row>
    <row r="23801" spans="6:6" x14ac:dyDescent="0.3">
      <c r="F23801" s="193"/>
    </row>
    <row r="23802" spans="6:6" x14ac:dyDescent="0.3">
      <c r="F23802" s="193"/>
    </row>
    <row r="23803" spans="6:6" x14ac:dyDescent="0.3">
      <c r="F23803" s="193"/>
    </row>
    <row r="23804" spans="6:6" x14ac:dyDescent="0.3">
      <c r="F23804" s="193"/>
    </row>
    <row r="23805" spans="6:6" x14ac:dyDescent="0.3">
      <c r="F23805" s="193"/>
    </row>
    <row r="23806" spans="6:6" x14ac:dyDescent="0.3">
      <c r="F23806" s="193"/>
    </row>
    <row r="23807" spans="6:6" x14ac:dyDescent="0.3">
      <c r="F23807" s="193"/>
    </row>
    <row r="23808" spans="6:6" x14ac:dyDescent="0.3">
      <c r="F23808" s="193"/>
    </row>
    <row r="23809" spans="6:6" x14ac:dyDescent="0.3">
      <c r="F23809" s="193"/>
    </row>
    <row r="23810" spans="6:6" x14ac:dyDescent="0.3">
      <c r="F23810" s="193"/>
    </row>
    <row r="23811" spans="6:6" x14ac:dyDescent="0.3">
      <c r="F23811" s="193"/>
    </row>
    <row r="23812" spans="6:6" x14ac:dyDescent="0.3">
      <c r="F23812" s="193"/>
    </row>
    <row r="23813" spans="6:6" x14ac:dyDescent="0.3">
      <c r="F23813" s="193"/>
    </row>
    <row r="23814" spans="6:6" x14ac:dyDescent="0.3">
      <c r="F23814" s="193"/>
    </row>
    <row r="23815" spans="6:6" x14ac:dyDescent="0.3">
      <c r="F23815" s="193"/>
    </row>
    <row r="23816" spans="6:6" x14ac:dyDescent="0.3">
      <c r="F23816" s="193"/>
    </row>
    <row r="23817" spans="6:6" x14ac:dyDescent="0.3">
      <c r="F23817" s="193"/>
    </row>
    <row r="23818" spans="6:6" x14ac:dyDescent="0.3">
      <c r="F23818" s="193"/>
    </row>
    <row r="23819" spans="6:6" x14ac:dyDescent="0.3">
      <c r="F23819" s="193"/>
    </row>
    <row r="23820" spans="6:6" x14ac:dyDescent="0.3">
      <c r="F23820" s="193"/>
    </row>
    <row r="23821" spans="6:6" x14ac:dyDescent="0.3">
      <c r="F23821" s="193"/>
    </row>
    <row r="23822" spans="6:6" x14ac:dyDescent="0.3">
      <c r="F23822" s="193"/>
    </row>
    <row r="23823" spans="6:6" x14ac:dyDescent="0.3">
      <c r="F23823" s="193"/>
    </row>
    <row r="23824" spans="6:6" x14ac:dyDescent="0.3">
      <c r="F23824" s="193"/>
    </row>
    <row r="23825" spans="6:6" x14ac:dyDescent="0.3">
      <c r="F23825" s="193"/>
    </row>
    <row r="23826" spans="6:6" x14ac:dyDescent="0.3">
      <c r="F23826" s="193"/>
    </row>
    <row r="23827" spans="6:6" x14ac:dyDescent="0.3">
      <c r="F23827" s="193"/>
    </row>
    <row r="23828" spans="6:6" x14ac:dyDescent="0.3">
      <c r="F23828" s="193"/>
    </row>
    <row r="23829" spans="6:6" x14ac:dyDescent="0.3">
      <c r="F23829" s="193"/>
    </row>
    <row r="23830" spans="6:6" x14ac:dyDescent="0.3">
      <c r="F23830" s="193"/>
    </row>
    <row r="23831" spans="6:6" x14ac:dyDescent="0.3">
      <c r="F23831" s="193"/>
    </row>
    <row r="23832" spans="6:6" x14ac:dyDescent="0.3">
      <c r="F23832" s="193"/>
    </row>
    <row r="23833" spans="6:6" x14ac:dyDescent="0.3">
      <c r="F23833" s="193"/>
    </row>
    <row r="23834" spans="6:6" x14ac:dyDescent="0.3">
      <c r="F23834" s="193"/>
    </row>
    <row r="23835" spans="6:6" x14ac:dyDescent="0.3">
      <c r="F23835" s="193"/>
    </row>
    <row r="23836" spans="6:6" x14ac:dyDescent="0.3">
      <c r="F23836" s="193"/>
    </row>
    <row r="23837" spans="6:6" x14ac:dyDescent="0.3">
      <c r="F23837" s="193"/>
    </row>
    <row r="23838" spans="6:6" x14ac:dyDescent="0.3">
      <c r="F23838" s="193"/>
    </row>
    <row r="23839" spans="6:6" x14ac:dyDescent="0.3">
      <c r="F23839" s="193"/>
    </row>
    <row r="23840" spans="6:6" x14ac:dyDescent="0.3">
      <c r="F23840" s="193"/>
    </row>
    <row r="23841" spans="6:6" x14ac:dyDescent="0.3">
      <c r="F23841" s="193"/>
    </row>
    <row r="23842" spans="6:6" x14ac:dyDescent="0.3">
      <c r="F23842" s="193"/>
    </row>
    <row r="23843" spans="6:6" x14ac:dyDescent="0.3">
      <c r="F23843" s="193"/>
    </row>
    <row r="23844" spans="6:6" x14ac:dyDescent="0.3">
      <c r="F23844" s="193"/>
    </row>
    <row r="23845" spans="6:6" x14ac:dyDescent="0.3">
      <c r="F23845" s="193"/>
    </row>
    <row r="23846" spans="6:6" x14ac:dyDescent="0.3">
      <c r="F23846" s="193"/>
    </row>
    <row r="23847" spans="6:6" x14ac:dyDescent="0.3">
      <c r="F23847" s="193"/>
    </row>
    <row r="23848" spans="6:6" x14ac:dyDescent="0.3">
      <c r="F23848" s="193"/>
    </row>
    <row r="23849" spans="6:6" x14ac:dyDescent="0.3">
      <c r="F23849" s="193"/>
    </row>
    <row r="23850" spans="6:6" x14ac:dyDescent="0.3">
      <c r="F23850" s="193"/>
    </row>
    <row r="23851" spans="6:6" x14ac:dyDescent="0.3">
      <c r="F23851" s="193"/>
    </row>
    <row r="23852" spans="6:6" x14ac:dyDescent="0.3">
      <c r="F23852" s="193"/>
    </row>
    <row r="23853" spans="6:6" x14ac:dyDescent="0.3">
      <c r="F23853" s="193"/>
    </row>
    <row r="23854" spans="6:6" x14ac:dyDescent="0.3">
      <c r="F23854" s="193"/>
    </row>
    <row r="23855" spans="6:6" x14ac:dyDescent="0.3">
      <c r="F23855" s="193"/>
    </row>
    <row r="23856" spans="6:6" x14ac:dyDescent="0.3">
      <c r="F23856" s="193"/>
    </row>
    <row r="23857" spans="6:6" x14ac:dyDescent="0.3">
      <c r="F23857" s="193"/>
    </row>
    <row r="23858" spans="6:6" x14ac:dyDescent="0.3">
      <c r="F23858" s="193"/>
    </row>
    <row r="23859" spans="6:6" x14ac:dyDescent="0.3">
      <c r="F23859" s="193"/>
    </row>
    <row r="23860" spans="6:6" x14ac:dyDescent="0.3">
      <c r="F23860" s="193"/>
    </row>
    <row r="23861" spans="6:6" x14ac:dyDescent="0.3">
      <c r="F23861" s="193"/>
    </row>
    <row r="23862" spans="6:6" x14ac:dyDescent="0.3">
      <c r="F23862" s="193"/>
    </row>
    <row r="23863" spans="6:6" x14ac:dyDescent="0.3">
      <c r="F23863" s="193"/>
    </row>
    <row r="23864" spans="6:6" x14ac:dyDescent="0.3">
      <c r="F23864" s="193"/>
    </row>
    <row r="23865" spans="6:6" x14ac:dyDescent="0.3">
      <c r="F23865" s="193"/>
    </row>
    <row r="23866" spans="6:6" x14ac:dyDescent="0.3">
      <c r="F23866" s="193"/>
    </row>
    <row r="23867" spans="6:6" x14ac:dyDescent="0.3">
      <c r="F23867" s="193"/>
    </row>
    <row r="23868" spans="6:6" x14ac:dyDescent="0.3">
      <c r="F23868" s="193"/>
    </row>
    <row r="23869" spans="6:6" x14ac:dyDescent="0.3">
      <c r="F23869" s="193"/>
    </row>
    <row r="23870" spans="6:6" x14ac:dyDescent="0.3">
      <c r="F23870" s="193"/>
    </row>
    <row r="23871" spans="6:6" x14ac:dyDescent="0.3">
      <c r="F23871" s="193"/>
    </row>
    <row r="23872" spans="6:6" x14ac:dyDescent="0.3">
      <c r="F23872" s="193"/>
    </row>
    <row r="23873" spans="6:6" x14ac:dyDescent="0.3">
      <c r="F23873" s="193"/>
    </row>
    <row r="23874" spans="6:6" x14ac:dyDescent="0.3">
      <c r="F23874" s="193"/>
    </row>
    <row r="23875" spans="6:6" x14ac:dyDescent="0.3">
      <c r="F23875" s="193"/>
    </row>
    <row r="23876" spans="6:6" x14ac:dyDescent="0.3">
      <c r="F23876" s="193"/>
    </row>
    <row r="23877" spans="6:6" x14ac:dyDescent="0.3">
      <c r="F23877" s="193"/>
    </row>
    <row r="23878" spans="6:6" x14ac:dyDescent="0.3">
      <c r="F23878" s="193"/>
    </row>
    <row r="23879" spans="6:6" x14ac:dyDescent="0.3">
      <c r="F23879" s="193"/>
    </row>
    <row r="23880" spans="6:6" x14ac:dyDescent="0.3">
      <c r="F23880" s="193"/>
    </row>
    <row r="23881" spans="6:6" x14ac:dyDescent="0.3">
      <c r="F23881" s="193"/>
    </row>
    <row r="23882" spans="6:6" x14ac:dyDescent="0.3">
      <c r="F23882" s="193"/>
    </row>
    <row r="23883" spans="6:6" x14ac:dyDescent="0.3">
      <c r="F23883" s="193"/>
    </row>
    <row r="23884" spans="6:6" x14ac:dyDescent="0.3">
      <c r="F23884" s="193"/>
    </row>
    <row r="23885" spans="6:6" x14ac:dyDescent="0.3">
      <c r="F23885" s="193"/>
    </row>
    <row r="23886" spans="6:6" x14ac:dyDescent="0.3">
      <c r="F23886" s="193"/>
    </row>
    <row r="23887" spans="6:6" x14ac:dyDescent="0.3">
      <c r="F23887" s="193"/>
    </row>
    <row r="23888" spans="6:6" x14ac:dyDescent="0.3">
      <c r="F23888" s="193"/>
    </row>
    <row r="23889" spans="6:6" x14ac:dyDescent="0.3">
      <c r="F23889" s="193"/>
    </row>
    <row r="23890" spans="6:6" x14ac:dyDescent="0.3">
      <c r="F23890" s="193"/>
    </row>
    <row r="23891" spans="6:6" x14ac:dyDescent="0.3">
      <c r="F23891" s="193"/>
    </row>
    <row r="23892" spans="6:6" x14ac:dyDescent="0.3">
      <c r="F23892" s="193"/>
    </row>
    <row r="23893" spans="6:6" x14ac:dyDescent="0.3">
      <c r="F23893" s="193"/>
    </row>
    <row r="23894" spans="6:6" x14ac:dyDescent="0.3">
      <c r="F23894" s="193"/>
    </row>
    <row r="23895" spans="6:6" x14ac:dyDescent="0.3">
      <c r="F23895" s="193"/>
    </row>
    <row r="23896" spans="6:6" x14ac:dyDescent="0.3">
      <c r="F23896" s="193"/>
    </row>
    <row r="23897" spans="6:6" x14ac:dyDescent="0.3">
      <c r="F23897" s="193"/>
    </row>
    <row r="23898" spans="6:6" x14ac:dyDescent="0.3">
      <c r="F23898" s="193"/>
    </row>
    <row r="23899" spans="6:6" x14ac:dyDescent="0.3">
      <c r="F23899" s="193"/>
    </row>
    <row r="23900" spans="6:6" x14ac:dyDescent="0.3">
      <c r="F23900" s="193"/>
    </row>
    <row r="23901" spans="6:6" x14ac:dyDescent="0.3">
      <c r="F23901" s="193"/>
    </row>
    <row r="23902" spans="6:6" x14ac:dyDescent="0.3">
      <c r="F23902" s="193"/>
    </row>
    <row r="23903" spans="6:6" x14ac:dyDescent="0.3">
      <c r="F23903" s="193"/>
    </row>
    <row r="23904" spans="6:6" x14ac:dyDescent="0.3">
      <c r="F23904" s="193"/>
    </row>
    <row r="23905" spans="6:6" x14ac:dyDescent="0.3">
      <c r="F23905" s="193"/>
    </row>
    <row r="23906" spans="6:6" x14ac:dyDescent="0.3">
      <c r="F23906" s="193"/>
    </row>
    <row r="23907" spans="6:6" x14ac:dyDescent="0.3">
      <c r="F23907" s="193"/>
    </row>
    <row r="23908" spans="6:6" x14ac:dyDescent="0.3">
      <c r="F23908" s="193"/>
    </row>
    <row r="23909" spans="6:6" x14ac:dyDescent="0.3">
      <c r="F23909" s="193"/>
    </row>
    <row r="23910" spans="6:6" x14ac:dyDescent="0.3">
      <c r="F23910" s="193"/>
    </row>
    <row r="23911" spans="6:6" x14ac:dyDescent="0.3">
      <c r="F23911" s="193"/>
    </row>
    <row r="23912" spans="6:6" x14ac:dyDescent="0.3">
      <c r="F23912" s="193"/>
    </row>
    <row r="23913" spans="6:6" x14ac:dyDescent="0.3">
      <c r="F23913" s="193"/>
    </row>
    <row r="23914" spans="6:6" x14ac:dyDescent="0.3">
      <c r="F23914" s="193"/>
    </row>
    <row r="23915" spans="6:6" x14ac:dyDescent="0.3">
      <c r="F23915" s="193"/>
    </row>
    <row r="23916" spans="6:6" x14ac:dyDescent="0.3">
      <c r="F23916" s="193"/>
    </row>
    <row r="23917" spans="6:6" x14ac:dyDescent="0.3">
      <c r="F23917" s="193"/>
    </row>
    <row r="23918" spans="6:6" x14ac:dyDescent="0.3">
      <c r="F23918" s="193"/>
    </row>
    <row r="23919" spans="6:6" x14ac:dyDescent="0.3">
      <c r="F23919" s="193"/>
    </row>
    <row r="23920" spans="6:6" x14ac:dyDescent="0.3">
      <c r="F23920" s="193"/>
    </row>
    <row r="23921" spans="6:6" x14ac:dyDescent="0.3">
      <c r="F23921" s="193"/>
    </row>
    <row r="23922" spans="6:6" x14ac:dyDescent="0.3">
      <c r="F23922" s="193"/>
    </row>
    <row r="23923" spans="6:6" x14ac:dyDescent="0.3">
      <c r="F23923" s="193"/>
    </row>
    <row r="23924" spans="6:6" x14ac:dyDescent="0.3">
      <c r="F23924" s="193"/>
    </row>
    <row r="23925" spans="6:6" x14ac:dyDescent="0.3">
      <c r="F23925" s="193"/>
    </row>
    <row r="23926" spans="6:6" x14ac:dyDescent="0.3">
      <c r="F23926" s="193"/>
    </row>
    <row r="23927" spans="6:6" x14ac:dyDescent="0.3">
      <c r="F23927" s="193"/>
    </row>
    <row r="23928" spans="6:6" x14ac:dyDescent="0.3">
      <c r="F23928" s="193"/>
    </row>
    <row r="23929" spans="6:6" x14ac:dyDescent="0.3">
      <c r="F23929" s="193"/>
    </row>
    <row r="23930" spans="6:6" x14ac:dyDescent="0.3">
      <c r="F23930" s="193"/>
    </row>
    <row r="23931" spans="6:6" x14ac:dyDescent="0.3">
      <c r="F23931" s="193"/>
    </row>
    <row r="23932" spans="6:6" x14ac:dyDescent="0.3">
      <c r="F23932" s="193"/>
    </row>
    <row r="23933" spans="6:6" x14ac:dyDescent="0.3">
      <c r="F23933" s="193"/>
    </row>
    <row r="23934" spans="6:6" x14ac:dyDescent="0.3">
      <c r="F23934" s="193"/>
    </row>
    <row r="23935" spans="6:6" x14ac:dyDescent="0.3">
      <c r="F23935" s="193"/>
    </row>
    <row r="23936" spans="6:6" x14ac:dyDescent="0.3">
      <c r="F23936" s="193"/>
    </row>
    <row r="23937" spans="6:6" x14ac:dyDescent="0.3">
      <c r="F23937" s="193"/>
    </row>
    <row r="23938" spans="6:6" x14ac:dyDescent="0.3">
      <c r="F23938" s="193"/>
    </row>
    <row r="23939" spans="6:6" x14ac:dyDescent="0.3">
      <c r="F23939" s="193"/>
    </row>
    <row r="23940" spans="6:6" x14ac:dyDescent="0.3">
      <c r="F23940" s="193"/>
    </row>
    <row r="23941" spans="6:6" x14ac:dyDescent="0.3">
      <c r="F23941" s="193"/>
    </row>
    <row r="23942" spans="6:6" x14ac:dyDescent="0.3">
      <c r="F23942" s="193"/>
    </row>
    <row r="23943" spans="6:6" x14ac:dyDescent="0.3">
      <c r="F23943" s="193"/>
    </row>
    <row r="23944" spans="6:6" x14ac:dyDescent="0.3">
      <c r="F23944" s="193"/>
    </row>
    <row r="23945" spans="6:6" x14ac:dyDescent="0.3">
      <c r="F23945" s="193"/>
    </row>
    <row r="23946" spans="6:6" x14ac:dyDescent="0.3">
      <c r="F23946" s="193"/>
    </row>
    <row r="23947" spans="6:6" x14ac:dyDescent="0.3">
      <c r="F23947" s="193"/>
    </row>
    <row r="23948" spans="6:6" x14ac:dyDescent="0.3">
      <c r="F23948" s="193"/>
    </row>
    <row r="23949" spans="6:6" x14ac:dyDescent="0.3">
      <c r="F23949" s="193"/>
    </row>
    <row r="23950" spans="6:6" x14ac:dyDescent="0.3">
      <c r="F23950" s="193"/>
    </row>
    <row r="23951" spans="6:6" x14ac:dyDescent="0.3">
      <c r="F23951" s="193"/>
    </row>
    <row r="23952" spans="6:6" x14ac:dyDescent="0.3">
      <c r="F23952" s="193"/>
    </row>
    <row r="23953" spans="6:6" x14ac:dyDescent="0.3">
      <c r="F23953" s="193"/>
    </row>
    <row r="23954" spans="6:6" x14ac:dyDescent="0.3">
      <c r="F23954" s="193"/>
    </row>
    <row r="23955" spans="6:6" x14ac:dyDescent="0.3">
      <c r="F23955" s="193"/>
    </row>
    <row r="23956" spans="6:6" x14ac:dyDescent="0.3">
      <c r="F23956" s="193"/>
    </row>
    <row r="23957" spans="6:6" x14ac:dyDescent="0.3">
      <c r="F23957" s="193"/>
    </row>
    <row r="23958" spans="6:6" x14ac:dyDescent="0.3">
      <c r="F23958" s="193"/>
    </row>
    <row r="23959" spans="6:6" x14ac:dyDescent="0.3">
      <c r="F23959" s="193"/>
    </row>
    <row r="23960" spans="6:6" x14ac:dyDescent="0.3">
      <c r="F23960" s="193"/>
    </row>
    <row r="23961" spans="6:6" x14ac:dyDescent="0.3">
      <c r="F23961" s="193"/>
    </row>
    <row r="23962" spans="6:6" x14ac:dyDescent="0.3">
      <c r="F23962" s="193"/>
    </row>
    <row r="23963" spans="6:6" x14ac:dyDescent="0.3">
      <c r="F23963" s="193"/>
    </row>
    <row r="23964" spans="6:6" x14ac:dyDescent="0.3">
      <c r="F23964" s="193"/>
    </row>
    <row r="23965" spans="6:6" x14ac:dyDescent="0.3">
      <c r="F23965" s="193"/>
    </row>
    <row r="23966" spans="6:6" x14ac:dyDescent="0.3">
      <c r="F23966" s="193"/>
    </row>
    <row r="23967" spans="6:6" x14ac:dyDescent="0.3">
      <c r="F23967" s="193"/>
    </row>
    <row r="23968" spans="6:6" x14ac:dyDescent="0.3">
      <c r="F23968" s="193"/>
    </row>
    <row r="23969" spans="6:6" x14ac:dyDescent="0.3">
      <c r="F23969" s="193"/>
    </row>
    <row r="23970" spans="6:6" x14ac:dyDescent="0.3">
      <c r="F23970" s="193"/>
    </row>
    <row r="23971" spans="6:6" x14ac:dyDescent="0.3">
      <c r="F23971" s="193"/>
    </row>
    <row r="23972" spans="6:6" x14ac:dyDescent="0.3">
      <c r="F23972" s="193"/>
    </row>
    <row r="23973" spans="6:6" x14ac:dyDescent="0.3">
      <c r="F23973" s="193"/>
    </row>
    <row r="23974" spans="6:6" x14ac:dyDescent="0.3">
      <c r="F23974" s="193"/>
    </row>
    <row r="23975" spans="6:6" x14ac:dyDescent="0.3">
      <c r="F23975" s="193"/>
    </row>
    <row r="23976" spans="6:6" x14ac:dyDescent="0.3">
      <c r="F23976" s="193"/>
    </row>
    <row r="23977" spans="6:6" x14ac:dyDescent="0.3">
      <c r="F23977" s="193"/>
    </row>
    <row r="23978" spans="6:6" x14ac:dyDescent="0.3">
      <c r="F23978" s="193"/>
    </row>
    <row r="23979" spans="6:6" x14ac:dyDescent="0.3">
      <c r="F23979" s="193"/>
    </row>
    <row r="23980" spans="6:6" x14ac:dyDescent="0.3">
      <c r="F23980" s="193"/>
    </row>
    <row r="23981" spans="6:6" x14ac:dyDescent="0.3">
      <c r="F23981" s="193"/>
    </row>
    <row r="23982" spans="6:6" x14ac:dyDescent="0.3">
      <c r="F23982" s="193"/>
    </row>
    <row r="23983" spans="6:6" x14ac:dyDescent="0.3">
      <c r="F23983" s="193"/>
    </row>
    <row r="23984" spans="6:6" x14ac:dyDescent="0.3">
      <c r="F23984" s="193"/>
    </row>
    <row r="23985" spans="6:6" x14ac:dyDescent="0.3">
      <c r="F23985" s="193"/>
    </row>
    <row r="23986" spans="6:6" x14ac:dyDescent="0.3">
      <c r="F23986" s="193"/>
    </row>
    <row r="23987" spans="6:6" x14ac:dyDescent="0.3">
      <c r="F23987" s="193"/>
    </row>
    <row r="23988" spans="6:6" x14ac:dyDescent="0.3">
      <c r="F23988" s="193"/>
    </row>
    <row r="23989" spans="6:6" x14ac:dyDescent="0.3">
      <c r="F23989" s="193"/>
    </row>
    <row r="23990" spans="6:6" x14ac:dyDescent="0.3">
      <c r="F23990" s="193"/>
    </row>
    <row r="23991" spans="6:6" x14ac:dyDescent="0.3">
      <c r="F23991" s="193"/>
    </row>
    <row r="23992" spans="6:6" x14ac:dyDescent="0.3">
      <c r="F23992" s="193"/>
    </row>
    <row r="23993" spans="6:6" x14ac:dyDescent="0.3">
      <c r="F23993" s="193"/>
    </row>
    <row r="23994" spans="6:6" x14ac:dyDescent="0.3">
      <c r="F23994" s="193"/>
    </row>
    <row r="23995" spans="6:6" x14ac:dyDescent="0.3">
      <c r="F23995" s="193"/>
    </row>
    <row r="23996" spans="6:6" x14ac:dyDescent="0.3">
      <c r="F23996" s="193"/>
    </row>
    <row r="23997" spans="6:6" x14ac:dyDescent="0.3">
      <c r="F23997" s="193"/>
    </row>
    <row r="23998" spans="6:6" x14ac:dyDescent="0.3">
      <c r="F23998" s="193"/>
    </row>
    <row r="23999" spans="6:6" x14ac:dyDescent="0.3">
      <c r="F23999" s="193"/>
    </row>
    <row r="24000" spans="6:6" x14ac:dyDescent="0.3">
      <c r="F24000" s="193"/>
    </row>
    <row r="24001" spans="6:6" x14ac:dyDescent="0.3">
      <c r="F24001" s="193"/>
    </row>
    <row r="24002" spans="6:6" x14ac:dyDescent="0.3">
      <c r="F24002" s="193"/>
    </row>
    <row r="24003" spans="6:6" x14ac:dyDescent="0.3">
      <c r="F24003" s="193"/>
    </row>
    <row r="24004" spans="6:6" x14ac:dyDescent="0.3">
      <c r="F24004" s="193"/>
    </row>
    <row r="24005" spans="6:6" x14ac:dyDescent="0.3">
      <c r="F24005" s="193"/>
    </row>
    <row r="24006" spans="6:6" x14ac:dyDescent="0.3">
      <c r="F24006" s="193"/>
    </row>
    <row r="24007" spans="6:6" x14ac:dyDescent="0.3">
      <c r="F24007" s="193"/>
    </row>
    <row r="24008" spans="6:6" x14ac:dyDescent="0.3">
      <c r="F24008" s="193"/>
    </row>
    <row r="24009" spans="6:6" x14ac:dyDescent="0.3">
      <c r="F24009" s="193"/>
    </row>
    <row r="24010" spans="6:6" x14ac:dyDescent="0.3">
      <c r="F24010" s="193"/>
    </row>
    <row r="24011" spans="6:6" x14ac:dyDescent="0.3">
      <c r="F24011" s="193"/>
    </row>
    <row r="24012" spans="6:6" x14ac:dyDescent="0.3">
      <c r="F24012" s="193"/>
    </row>
    <row r="24013" spans="6:6" x14ac:dyDescent="0.3">
      <c r="F24013" s="193"/>
    </row>
    <row r="24014" spans="6:6" x14ac:dyDescent="0.3">
      <c r="F24014" s="193"/>
    </row>
    <row r="24015" spans="6:6" x14ac:dyDescent="0.3">
      <c r="F24015" s="193"/>
    </row>
    <row r="24016" spans="6:6" x14ac:dyDescent="0.3">
      <c r="F24016" s="193"/>
    </row>
    <row r="24017" spans="6:6" x14ac:dyDescent="0.3">
      <c r="F24017" s="193"/>
    </row>
    <row r="24018" spans="6:6" x14ac:dyDescent="0.3">
      <c r="F24018" s="193"/>
    </row>
    <row r="24019" spans="6:6" x14ac:dyDescent="0.3">
      <c r="F24019" s="193"/>
    </row>
    <row r="24020" spans="6:6" x14ac:dyDescent="0.3">
      <c r="F24020" s="193"/>
    </row>
    <row r="24021" spans="6:6" x14ac:dyDescent="0.3">
      <c r="F24021" s="193"/>
    </row>
    <row r="24022" spans="6:6" x14ac:dyDescent="0.3">
      <c r="F24022" s="193"/>
    </row>
    <row r="24023" spans="6:6" x14ac:dyDescent="0.3">
      <c r="F24023" s="193"/>
    </row>
    <row r="24024" spans="6:6" x14ac:dyDescent="0.3">
      <c r="F24024" s="193"/>
    </row>
    <row r="24025" spans="6:6" x14ac:dyDescent="0.3">
      <c r="F24025" s="193"/>
    </row>
    <row r="24026" spans="6:6" x14ac:dyDescent="0.3">
      <c r="F24026" s="193"/>
    </row>
    <row r="24027" spans="6:6" x14ac:dyDescent="0.3">
      <c r="F24027" s="193"/>
    </row>
    <row r="24028" spans="6:6" x14ac:dyDescent="0.3">
      <c r="F24028" s="193"/>
    </row>
    <row r="24029" spans="6:6" x14ac:dyDescent="0.3">
      <c r="F24029" s="193"/>
    </row>
    <row r="24030" spans="6:6" x14ac:dyDescent="0.3">
      <c r="F24030" s="193"/>
    </row>
    <row r="24031" spans="6:6" x14ac:dyDescent="0.3">
      <c r="F24031" s="193"/>
    </row>
    <row r="24032" spans="6:6" x14ac:dyDescent="0.3">
      <c r="F24032" s="193"/>
    </row>
    <row r="24033" spans="6:6" x14ac:dyDescent="0.3">
      <c r="F24033" s="193"/>
    </row>
    <row r="24034" spans="6:6" x14ac:dyDescent="0.3">
      <c r="F24034" s="193"/>
    </row>
    <row r="24035" spans="6:6" x14ac:dyDescent="0.3">
      <c r="F24035" s="193"/>
    </row>
    <row r="24036" spans="6:6" x14ac:dyDescent="0.3">
      <c r="F24036" s="193"/>
    </row>
    <row r="24037" spans="6:6" x14ac:dyDescent="0.3">
      <c r="F24037" s="193"/>
    </row>
    <row r="24038" spans="6:6" x14ac:dyDescent="0.3">
      <c r="F24038" s="193"/>
    </row>
    <row r="24039" spans="6:6" x14ac:dyDescent="0.3">
      <c r="F24039" s="193"/>
    </row>
    <row r="24040" spans="6:6" x14ac:dyDescent="0.3">
      <c r="F24040" s="193"/>
    </row>
    <row r="24041" spans="6:6" x14ac:dyDescent="0.3">
      <c r="F24041" s="193"/>
    </row>
    <row r="24042" spans="6:6" x14ac:dyDescent="0.3">
      <c r="F24042" s="193"/>
    </row>
    <row r="24043" spans="6:6" x14ac:dyDescent="0.3">
      <c r="F24043" s="193"/>
    </row>
    <row r="24044" spans="6:6" x14ac:dyDescent="0.3">
      <c r="F24044" s="193"/>
    </row>
    <row r="24045" spans="6:6" x14ac:dyDescent="0.3">
      <c r="F24045" s="193"/>
    </row>
    <row r="24046" spans="6:6" x14ac:dyDescent="0.3">
      <c r="F24046" s="193"/>
    </row>
    <row r="24047" spans="6:6" x14ac:dyDescent="0.3">
      <c r="F24047" s="193"/>
    </row>
    <row r="24048" spans="6:6" x14ac:dyDescent="0.3">
      <c r="F24048" s="193"/>
    </row>
    <row r="24049" spans="6:6" x14ac:dyDescent="0.3">
      <c r="F24049" s="193"/>
    </row>
    <row r="24050" spans="6:6" x14ac:dyDescent="0.3">
      <c r="F24050" s="193"/>
    </row>
    <row r="24051" spans="6:6" x14ac:dyDescent="0.3">
      <c r="F24051" s="193"/>
    </row>
    <row r="24052" spans="6:6" x14ac:dyDescent="0.3">
      <c r="F24052" s="193"/>
    </row>
    <row r="24053" spans="6:6" x14ac:dyDescent="0.3">
      <c r="F24053" s="193"/>
    </row>
    <row r="24054" spans="6:6" x14ac:dyDescent="0.3">
      <c r="F24054" s="193"/>
    </row>
    <row r="24055" spans="6:6" x14ac:dyDescent="0.3">
      <c r="F24055" s="193"/>
    </row>
    <row r="24056" spans="6:6" x14ac:dyDescent="0.3">
      <c r="F24056" s="193"/>
    </row>
    <row r="24057" spans="6:6" x14ac:dyDescent="0.3">
      <c r="F24057" s="193"/>
    </row>
    <row r="24058" spans="6:6" x14ac:dyDescent="0.3">
      <c r="F24058" s="193"/>
    </row>
    <row r="24059" spans="6:6" x14ac:dyDescent="0.3">
      <c r="F24059" s="193"/>
    </row>
    <row r="24060" spans="6:6" x14ac:dyDescent="0.3">
      <c r="F24060" s="193"/>
    </row>
    <row r="24061" spans="6:6" x14ac:dyDescent="0.3">
      <c r="F24061" s="193"/>
    </row>
    <row r="24062" spans="6:6" x14ac:dyDescent="0.3">
      <c r="F24062" s="193"/>
    </row>
    <row r="24063" spans="6:6" x14ac:dyDescent="0.3">
      <c r="F24063" s="193"/>
    </row>
    <row r="24064" spans="6:6" x14ac:dyDescent="0.3">
      <c r="F24064" s="193"/>
    </row>
    <row r="24065" spans="6:6" x14ac:dyDescent="0.3">
      <c r="F24065" s="193"/>
    </row>
    <row r="24066" spans="6:6" x14ac:dyDescent="0.3">
      <c r="F24066" s="193"/>
    </row>
    <row r="24067" spans="6:6" x14ac:dyDescent="0.3">
      <c r="F24067" s="193"/>
    </row>
    <row r="24068" spans="6:6" x14ac:dyDescent="0.3">
      <c r="F24068" s="193"/>
    </row>
    <row r="24069" spans="6:6" x14ac:dyDescent="0.3">
      <c r="F24069" s="193"/>
    </row>
    <row r="24070" spans="6:6" x14ac:dyDescent="0.3">
      <c r="F24070" s="193"/>
    </row>
    <row r="24071" spans="6:6" x14ac:dyDescent="0.3">
      <c r="F24071" s="193"/>
    </row>
    <row r="24072" spans="6:6" x14ac:dyDescent="0.3">
      <c r="F24072" s="193"/>
    </row>
    <row r="24073" spans="6:6" x14ac:dyDescent="0.3">
      <c r="F24073" s="193"/>
    </row>
    <row r="24074" spans="6:6" x14ac:dyDescent="0.3">
      <c r="F24074" s="193"/>
    </row>
    <row r="24075" spans="6:6" x14ac:dyDescent="0.3">
      <c r="F24075" s="193"/>
    </row>
    <row r="24076" spans="6:6" x14ac:dyDescent="0.3">
      <c r="F24076" s="193"/>
    </row>
    <row r="24077" spans="6:6" x14ac:dyDescent="0.3">
      <c r="F24077" s="193"/>
    </row>
    <row r="24078" spans="6:6" x14ac:dyDescent="0.3">
      <c r="F24078" s="193"/>
    </row>
    <row r="24079" spans="6:6" x14ac:dyDescent="0.3">
      <c r="F24079" s="193"/>
    </row>
    <row r="24080" spans="6:6" x14ac:dyDescent="0.3">
      <c r="F24080" s="193"/>
    </row>
    <row r="24081" spans="6:6" x14ac:dyDescent="0.3">
      <c r="F24081" s="193"/>
    </row>
    <row r="24082" spans="6:6" x14ac:dyDescent="0.3">
      <c r="F24082" s="193"/>
    </row>
    <row r="24083" spans="6:6" x14ac:dyDescent="0.3">
      <c r="F24083" s="193"/>
    </row>
    <row r="24084" spans="6:6" x14ac:dyDescent="0.3">
      <c r="F24084" s="193"/>
    </row>
    <row r="24085" spans="6:6" x14ac:dyDescent="0.3">
      <c r="F24085" s="193"/>
    </row>
    <row r="24086" spans="6:6" x14ac:dyDescent="0.3">
      <c r="F24086" s="193"/>
    </row>
    <row r="24087" spans="6:6" x14ac:dyDescent="0.3">
      <c r="F24087" s="193"/>
    </row>
    <row r="24088" spans="6:6" x14ac:dyDescent="0.3">
      <c r="F24088" s="193"/>
    </row>
    <row r="24089" spans="6:6" x14ac:dyDescent="0.3">
      <c r="F24089" s="193"/>
    </row>
    <row r="24090" spans="6:6" x14ac:dyDescent="0.3">
      <c r="F24090" s="193"/>
    </row>
    <row r="24091" spans="6:6" x14ac:dyDescent="0.3">
      <c r="F24091" s="193"/>
    </row>
    <row r="24092" spans="6:6" x14ac:dyDescent="0.3">
      <c r="F24092" s="193"/>
    </row>
    <row r="24093" spans="6:6" x14ac:dyDescent="0.3">
      <c r="F24093" s="193"/>
    </row>
    <row r="24094" spans="6:6" x14ac:dyDescent="0.3">
      <c r="F24094" s="193"/>
    </row>
    <row r="24095" spans="6:6" x14ac:dyDescent="0.3">
      <c r="F24095" s="193"/>
    </row>
    <row r="24096" spans="6:6" x14ac:dyDescent="0.3">
      <c r="F24096" s="193"/>
    </row>
    <row r="24097" spans="6:6" x14ac:dyDescent="0.3">
      <c r="F24097" s="193"/>
    </row>
    <row r="24098" spans="6:6" x14ac:dyDescent="0.3">
      <c r="F24098" s="193"/>
    </row>
    <row r="24099" spans="6:6" x14ac:dyDescent="0.3">
      <c r="F24099" s="193"/>
    </row>
    <row r="24100" spans="6:6" x14ac:dyDescent="0.3">
      <c r="F24100" s="193"/>
    </row>
    <row r="24101" spans="6:6" x14ac:dyDescent="0.3">
      <c r="F24101" s="193"/>
    </row>
    <row r="24102" spans="6:6" x14ac:dyDescent="0.3">
      <c r="F24102" s="193"/>
    </row>
    <row r="24103" spans="6:6" x14ac:dyDescent="0.3">
      <c r="F24103" s="193"/>
    </row>
    <row r="24104" spans="6:6" x14ac:dyDescent="0.3">
      <c r="F24104" s="193"/>
    </row>
    <row r="24105" spans="6:6" x14ac:dyDescent="0.3">
      <c r="F24105" s="193"/>
    </row>
    <row r="24106" spans="6:6" x14ac:dyDescent="0.3">
      <c r="F24106" s="193"/>
    </row>
    <row r="24107" spans="6:6" x14ac:dyDescent="0.3">
      <c r="F24107" s="193"/>
    </row>
    <row r="24108" spans="6:6" x14ac:dyDescent="0.3">
      <c r="F24108" s="193"/>
    </row>
    <row r="24109" spans="6:6" x14ac:dyDescent="0.3">
      <c r="F24109" s="193"/>
    </row>
    <row r="24110" spans="6:6" x14ac:dyDescent="0.3">
      <c r="F24110" s="193"/>
    </row>
    <row r="24111" spans="6:6" x14ac:dyDescent="0.3">
      <c r="F24111" s="193"/>
    </row>
    <row r="24112" spans="6:6" x14ac:dyDescent="0.3">
      <c r="F24112" s="193"/>
    </row>
    <row r="24113" spans="6:6" x14ac:dyDescent="0.3">
      <c r="F24113" s="193"/>
    </row>
    <row r="24114" spans="6:6" x14ac:dyDescent="0.3">
      <c r="F24114" s="193"/>
    </row>
    <row r="24115" spans="6:6" x14ac:dyDescent="0.3">
      <c r="F24115" s="193"/>
    </row>
    <row r="24116" spans="6:6" x14ac:dyDescent="0.3">
      <c r="F24116" s="193"/>
    </row>
    <row r="24117" spans="6:6" x14ac:dyDescent="0.3">
      <c r="F24117" s="193"/>
    </row>
    <row r="24118" spans="6:6" x14ac:dyDescent="0.3">
      <c r="F24118" s="193"/>
    </row>
    <row r="24119" spans="6:6" x14ac:dyDescent="0.3">
      <c r="F24119" s="193"/>
    </row>
    <row r="24120" spans="6:6" x14ac:dyDescent="0.3">
      <c r="F24120" s="193"/>
    </row>
    <row r="24121" spans="6:6" x14ac:dyDescent="0.3">
      <c r="F24121" s="193"/>
    </row>
    <row r="24122" spans="6:6" x14ac:dyDescent="0.3">
      <c r="F24122" s="193"/>
    </row>
    <row r="24123" spans="6:6" x14ac:dyDescent="0.3">
      <c r="F24123" s="193"/>
    </row>
    <row r="24124" spans="6:6" x14ac:dyDescent="0.3">
      <c r="F24124" s="193"/>
    </row>
    <row r="24125" spans="6:6" x14ac:dyDescent="0.3">
      <c r="F24125" s="193"/>
    </row>
    <row r="24126" spans="6:6" x14ac:dyDescent="0.3">
      <c r="F24126" s="193"/>
    </row>
    <row r="24127" spans="6:6" x14ac:dyDescent="0.3">
      <c r="F24127" s="193"/>
    </row>
    <row r="24128" spans="6:6" x14ac:dyDescent="0.3">
      <c r="F24128" s="193"/>
    </row>
    <row r="24129" spans="6:6" x14ac:dyDescent="0.3">
      <c r="F24129" s="193"/>
    </row>
    <row r="24130" spans="6:6" x14ac:dyDescent="0.3">
      <c r="F24130" s="193"/>
    </row>
    <row r="24131" spans="6:6" x14ac:dyDescent="0.3">
      <c r="F24131" s="193"/>
    </row>
    <row r="24132" spans="6:6" x14ac:dyDescent="0.3">
      <c r="F24132" s="193"/>
    </row>
    <row r="24133" spans="6:6" x14ac:dyDescent="0.3">
      <c r="F24133" s="193"/>
    </row>
    <row r="24134" spans="6:6" x14ac:dyDescent="0.3">
      <c r="F24134" s="193"/>
    </row>
    <row r="24135" spans="6:6" x14ac:dyDescent="0.3">
      <c r="F24135" s="193"/>
    </row>
    <row r="24136" spans="6:6" x14ac:dyDescent="0.3">
      <c r="F24136" s="193"/>
    </row>
    <row r="24137" spans="6:6" x14ac:dyDescent="0.3">
      <c r="F24137" s="193"/>
    </row>
    <row r="24138" spans="6:6" x14ac:dyDescent="0.3">
      <c r="F24138" s="193"/>
    </row>
    <row r="24139" spans="6:6" x14ac:dyDescent="0.3">
      <c r="F24139" s="193"/>
    </row>
    <row r="24140" spans="6:6" x14ac:dyDescent="0.3">
      <c r="F24140" s="193"/>
    </row>
    <row r="24141" spans="6:6" x14ac:dyDescent="0.3">
      <c r="F24141" s="193"/>
    </row>
    <row r="24142" spans="6:6" x14ac:dyDescent="0.3">
      <c r="F24142" s="193"/>
    </row>
    <row r="24143" spans="6:6" x14ac:dyDescent="0.3">
      <c r="F24143" s="193"/>
    </row>
    <row r="24144" spans="6:6" x14ac:dyDescent="0.3">
      <c r="F24144" s="193"/>
    </row>
    <row r="24145" spans="6:6" x14ac:dyDescent="0.3">
      <c r="F24145" s="193"/>
    </row>
    <row r="24146" spans="6:6" x14ac:dyDescent="0.3">
      <c r="F24146" s="193"/>
    </row>
    <row r="24147" spans="6:6" x14ac:dyDescent="0.3">
      <c r="F24147" s="193"/>
    </row>
    <row r="24148" spans="6:6" x14ac:dyDescent="0.3">
      <c r="F24148" s="193"/>
    </row>
    <row r="24149" spans="6:6" x14ac:dyDescent="0.3">
      <c r="F24149" s="193"/>
    </row>
    <row r="24150" spans="6:6" x14ac:dyDescent="0.3">
      <c r="F24150" s="193"/>
    </row>
    <row r="24151" spans="6:6" x14ac:dyDescent="0.3">
      <c r="F24151" s="193"/>
    </row>
    <row r="24152" spans="6:6" x14ac:dyDescent="0.3">
      <c r="F24152" s="193"/>
    </row>
    <row r="24153" spans="6:6" x14ac:dyDescent="0.3">
      <c r="F24153" s="193"/>
    </row>
    <row r="24154" spans="6:6" x14ac:dyDescent="0.3">
      <c r="F24154" s="193"/>
    </row>
    <row r="24155" spans="6:6" x14ac:dyDescent="0.3">
      <c r="F24155" s="193"/>
    </row>
    <row r="24156" spans="6:6" x14ac:dyDescent="0.3">
      <c r="F24156" s="193"/>
    </row>
    <row r="24157" spans="6:6" x14ac:dyDescent="0.3">
      <c r="F24157" s="193"/>
    </row>
    <row r="24158" spans="6:6" x14ac:dyDescent="0.3">
      <c r="F24158" s="193"/>
    </row>
    <row r="24159" spans="6:6" x14ac:dyDescent="0.3">
      <c r="F24159" s="193"/>
    </row>
    <row r="24160" spans="6:6" x14ac:dyDescent="0.3">
      <c r="F24160" s="193"/>
    </row>
    <row r="24161" spans="6:6" x14ac:dyDescent="0.3">
      <c r="F24161" s="193"/>
    </row>
    <row r="24162" spans="6:6" x14ac:dyDescent="0.3">
      <c r="F24162" s="193"/>
    </row>
    <row r="24163" spans="6:6" x14ac:dyDescent="0.3">
      <c r="F24163" s="193"/>
    </row>
    <row r="24164" spans="6:6" x14ac:dyDescent="0.3">
      <c r="F24164" s="193"/>
    </row>
    <row r="24165" spans="6:6" x14ac:dyDescent="0.3">
      <c r="F24165" s="193"/>
    </row>
    <row r="24166" spans="6:6" x14ac:dyDescent="0.3">
      <c r="F24166" s="193"/>
    </row>
    <row r="24167" spans="6:6" x14ac:dyDescent="0.3">
      <c r="F24167" s="193"/>
    </row>
    <row r="24168" spans="6:6" x14ac:dyDescent="0.3">
      <c r="F24168" s="193"/>
    </row>
    <row r="24169" spans="6:6" x14ac:dyDescent="0.3">
      <c r="F24169" s="193"/>
    </row>
    <row r="24170" spans="6:6" x14ac:dyDescent="0.3">
      <c r="F24170" s="193"/>
    </row>
    <row r="24171" spans="6:6" x14ac:dyDescent="0.3">
      <c r="F24171" s="193"/>
    </row>
    <row r="24172" spans="6:6" x14ac:dyDescent="0.3">
      <c r="F24172" s="193"/>
    </row>
    <row r="24173" spans="6:6" x14ac:dyDescent="0.3">
      <c r="F24173" s="193"/>
    </row>
    <row r="24174" spans="6:6" x14ac:dyDescent="0.3">
      <c r="F24174" s="193"/>
    </row>
    <row r="24175" spans="6:6" x14ac:dyDescent="0.3">
      <c r="F24175" s="193"/>
    </row>
    <row r="24176" spans="6:6" x14ac:dyDescent="0.3">
      <c r="F24176" s="193"/>
    </row>
    <row r="24177" spans="6:6" x14ac:dyDescent="0.3">
      <c r="F24177" s="193"/>
    </row>
    <row r="24178" spans="6:6" x14ac:dyDescent="0.3">
      <c r="F24178" s="193"/>
    </row>
    <row r="24179" spans="6:6" x14ac:dyDescent="0.3">
      <c r="F24179" s="193"/>
    </row>
    <row r="24180" spans="6:6" x14ac:dyDescent="0.3">
      <c r="F24180" s="193"/>
    </row>
    <row r="24181" spans="6:6" x14ac:dyDescent="0.3">
      <c r="F24181" s="193"/>
    </row>
    <row r="24182" spans="6:6" x14ac:dyDescent="0.3">
      <c r="F24182" s="193"/>
    </row>
    <row r="24183" spans="6:6" x14ac:dyDescent="0.3">
      <c r="F24183" s="193"/>
    </row>
    <row r="24184" spans="6:6" x14ac:dyDescent="0.3">
      <c r="F24184" s="193"/>
    </row>
    <row r="24185" spans="6:6" x14ac:dyDescent="0.3">
      <c r="F24185" s="193"/>
    </row>
    <row r="24186" spans="6:6" x14ac:dyDescent="0.3">
      <c r="F24186" s="193"/>
    </row>
    <row r="24187" spans="6:6" x14ac:dyDescent="0.3">
      <c r="F24187" s="193"/>
    </row>
    <row r="24188" spans="6:6" x14ac:dyDescent="0.3">
      <c r="F24188" s="193"/>
    </row>
    <row r="24189" spans="6:6" x14ac:dyDescent="0.3">
      <c r="F24189" s="193"/>
    </row>
    <row r="24190" spans="6:6" x14ac:dyDescent="0.3">
      <c r="F24190" s="193"/>
    </row>
    <row r="24191" spans="6:6" x14ac:dyDescent="0.3">
      <c r="F24191" s="193"/>
    </row>
    <row r="24192" spans="6:6" x14ac:dyDescent="0.3">
      <c r="F24192" s="193"/>
    </row>
    <row r="24193" spans="6:6" x14ac:dyDescent="0.3">
      <c r="F24193" s="193"/>
    </row>
    <row r="24194" spans="6:6" x14ac:dyDescent="0.3">
      <c r="F24194" s="193"/>
    </row>
    <row r="24195" spans="6:6" x14ac:dyDescent="0.3">
      <c r="F24195" s="193"/>
    </row>
    <row r="24196" spans="6:6" x14ac:dyDescent="0.3">
      <c r="F24196" s="193"/>
    </row>
    <row r="24197" spans="6:6" x14ac:dyDescent="0.3">
      <c r="F24197" s="193"/>
    </row>
    <row r="24198" spans="6:6" x14ac:dyDescent="0.3">
      <c r="F24198" s="193"/>
    </row>
    <row r="24199" spans="6:6" x14ac:dyDescent="0.3">
      <c r="F24199" s="193"/>
    </row>
    <row r="24200" spans="6:6" x14ac:dyDescent="0.3">
      <c r="F24200" s="193"/>
    </row>
    <row r="24201" spans="6:6" x14ac:dyDescent="0.3">
      <c r="F24201" s="193"/>
    </row>
    <row r="24202" spans="6:6" x14ac:dyDescent="0.3">
      <c r="F24202" s="193"/>
    </row>
    <row r="24203" spans="6:6" x14ac:dyDescent="0.3">
      <c r="F24203" s="193"/>
    </row>
    <row r="24204" spans="6:6" x14ac:dyDescent="0.3">
      <c r="F24204" s="193"/>
    </row>
    <row r="24205" spans="6:6" x14ac:dyDescent="0.3">
      <c r="F24205" s="193"/>
    </row>
    <row r="24206" spans="6:6" x14ac:dyDescent="0.3">
      <c r="F24206" s="193"/>
    </row>
    <row r="24207" spans="6:6" x14ac:dyDescent="0.3">
      <c r="F24207" s="193"/>
    </row>
    <row r="24208" spans="6:6" x14ac:dyDescent="0.3">
      <c r="F24208" s="193"/>
    </row>
    <row r="24209" spans="6:6" x14ac:dyDescent="0.3">
      <c r="F24209" s="193"/>
    </row>
    <row r="24210" spans="6:6" x14ac:dyDescent="0.3">
      <c r="F24210" s="193"/>
    </row>
    <row r="24211" spans="6:6" x14ac:dyDescent="0.3">
      <c r="F24211" s="193"/>
    </row>
    <row r="24212" spans="6:6" x14ac:dyDescent="0.3">
      <c r="F24212" s="193"/>
    </row>
    <row r="24213" spans="6:6" x14ac:dyDescent="0.3">
      <c r="F24213" s="193"/>
    </row>
    <row r="24214" spans="6:6" x14ac:dyDescent="0.3">
      <c r="F24214" s="193"/>
    </row>
    <row r="24215" spans="6:6" x14ac:dyDescent="0.3">
      <c r="F24215" s="193"/>
    </row>
    <row r="24216" spans="6:6" x14ac:dyDescent="0.3">
      <c r="F24216" s="193"/>
    </row>
    <row r="24217" spans="6:6" x14ac:dyDescent="0.3">
      <c r="F24217" s="193"/>
    </row>
    <row r="24218" spans="6:6" x14ac:dyDescent="0.3">
      <c r="F24218" s="193"/>
    </row>
    <row r="24219" spans="6:6" x14ac:dyDescent="0.3">
      <c r="F24219" s="193"/>
    </row>
    <row r="24220" spans="6:6" x14ac:dyDescent="0.3">
      <c r="F24220" s="193"/>
    </row>
    <row r="24221" spans="6:6" x14ac:dyDescent="0.3">
      <c r="F24221" s="193"/>
    </row>
    <row r="24222" spans="6:6" x14ac:dyDescent="0.3">
      <c r="F24222" s="193"/>
    </row>
    <row r="24223" spans="6:6" x14ac:dyDescent="0.3">
      <c r="F24223" s="193"/>
    </row>
    <row r="24224" spans="6:6" x14ac:dyDescent="0.3">
      <c r="F24224" s="193"/>
    </row>
    <row r="24225" spans="6:6" x14ac:dyDescent="0.3">
      <c r="F24225" s="193"/>
    </row>
    <row r="24226" spans="6:6" x14ac:dyDescent="0.3">
      <c r="F24226" s="193"/>
    </row>
    <row r="24227" spans="6:6" x14ac:dyDescent="0.3">
      <c r="F24227" s="193"/>
    </row>
    <row r="24228" spans="6:6" x14ac:dyDescent="0.3">
      <c r="F24228" s="193"/>
    </row>
    <row r="24229" spans="6:6" x14ac:dyDescent="0.3">
      <c r="F24229" s="193"/>
    </row>
    <row r="24230" spans="6:6" x14ac:dyDescent="0.3">
      <c r="F24230" s="193"/>
    </row>
    <row r="24231" spans="6:6" x14ac:dyDescent="0.3">
      <c r="F24231" s="193"/>
    </row>
    <row r="24232" spans="6:6" x14ac:dyDescent="0.3">
      <c r="F24232" s="193"/>
    </row>
    <row r="24233" spans="6:6" x14ac:dyDescent="0.3">
      <c r="F24233" s="193"/>
    </row>
    <row r="24234" spans="6:6" x14ac:dyDescent="0.3">
      <c r="F24234" s="193"/>
    </row>
    <row r="24235" spans="6:6" x14ac:dyDescent="0.3">
      <c r="F24235" s="193"/>
    </row>
    <row r="24236" spans="6:6" x14ac:dyDescent="0.3">
      <c r="F24236" s="193"/>
    </row>
    <row r="24237" spans="6:6" x14ac:dyDescent="0.3">
      <c r="F24237" s="193"/>
    </row>
    <row r="24238" spans="6:6" x14ac:dyDescent="0.3">
      <c r="F24238" s="193"/>
    </row>
    <row r="24239" spans="6:6" x14ac:dyDescent="0.3">
      <c r="F24239" s="193"/>
    </row>
    <row r="24240" spans="6:6" x14ac:dyDescent="0.3">
      <c r="F24240" s="193"/>
    </row>
    <row r="24241" spans="6:6" x14ac:dyDescent="0.3">
      <c r="F24241" s="193"/>
    </row>
    <row r="24242" spans="6:6" x14ac:dyDescent="0.3">
      <c r="F24242" s="193"/>
    </row>
    <row r="24243" spans="6:6" x14ac:dyDescent="0.3">
      <c r="F24243" s="193"/>
    </row>
    <row r="24244" spans="6:6" x14ac:dyDescent="0.3">
      <c r="F24244" s="193"/>
    </row>
    <row r="24245" spans="6:6" x14ac:dyDescent="0.3">
      <c r="F24245" s="193"/>
    </row>
    <row r="24246" spans="6:6" x14ac:dyDescent="0.3">
      <c r="F24246" s="193"/>
    </row>
    <row r="24247" spans="6:6" x14ac:dyDescent="0.3">
      <c r="F24247" s="193"/>
    </row>
    <row r="24248" spans="6:6" x14ac:dyDescent="0.3">
      <c r="F24248" s="193"/>
    </row>
    <row r="24249" spans="6:6" x14ac:dyDescent="0.3">
      <c r="F24249" s="193"/>
    </row>
    <row r="24250" spans="6:6" x14ac:dyDescent="0.3">
      <c r="F24250" s="193"/>
    </row>
    <row r="24251" spans="6:6" x14ac:dyDescent="0.3">
      <c r="F24251" s="193"/>
    </row>
    <row r="24252" spans="6:6" x14ac:dyDescent="0.3">
      <c r="F24252" s="193"/>
    </row>
    <row r="24253" spans="6:6" x14ac:dyDescent="0.3">
      <c r="F24253" s="193"/>
    </row>
    <row r="24254" spans="6:6" x14ac:dyDescent="0.3">
      <c r="F24254" s="193"/>
    </row>
    <row r="24255" spans="6:6" x14ac:dyDescent="0.3">
      <c r="F24255" s="193"/>
    </row>
    <row r="24256" spans="6:6" x14ac:dyDescent="0.3">
      <c r="F24256" s="193"/>
    </row>
    <row r="24257" spans="6:6" x14ac:dyDescent="0.3">
      <c r="F24257" s="193"/>
    </row>
    <row r="24258" spans="6:6" x14ac:dyDescent="0.3">
      <c r="F24258" s="193"/>
    </row>
    <row r="24259" spans="6:6" x14ac:dyDescent="0.3">
      <c r="F24259" s="193"/>
    </row>
    <row r="24260" spans="6:6" x14ac:dyDescent="0.3">
      <c r="F24260" s="193"/>
    </row>
    <row r="24261" spans="6:6" x14ac:dyDescent="0.3">
      <c r="F24261" s="193"/>
    </row>
    <row r="24262" spans="6:6" x14ac:dyDescent="0.3">
      <c r="F24262" s="193"/>
    </row>
    <row r="24263" spans="6:6" x14ac:dyDescent="0.3">
      <c r="F24263" s="193"/>
    </row>
    <row r="24264" spans="6:6" x14ac:dyDescent="0.3">
      <c r="F24264" s="193"/>
    </row>
    <row r="24265" spans="6:6" x14ac:dyDescent="0.3">
      <c r="F24265" s="193"/>
    </row>
    <row r="24266" spans="6:6" x14ac:dyDescent="0.3">
      <c r="F24266" s="193"/>
    </row>
    <row r="24267" spans="6:6" x14ac:dyDescent="0.3">
      <c r="F24267" s="193"/>
    </row>
    <row r="24268" spans="6:6" x14ac:dyDescent="0.3">
      <c r="F24268" s="193"/>
    </row>
    <row r="24269" spans="6:6" x14ac:dyDescent="0.3">
      <c r="F24269" s="193"/>
    </row>
    <row r="24270" spans="6:6" x14ac:dyDescent="0.3">
      <c r="F24270" s="193"/>
    </row>
    <row r="24271" spans="6:6" x14ac:dyDescent="0.3">
      <c r="F24271" s="193"/>
    </row>
    <row r="24272" spans="6:6" x14ac:dyDescent="0.3">
      <c r="F24272" s="193"/>
    </row>
    <row r="24273" spans="6:6" x14ac:dyDescent="0.3">
      <c r="F24273" s="193"/>
    </row>
    <row r="24274" spans="6:6" x14ac:dyDescent="0.3">
      <c r="F24274" s="193"/>
    </row>
    <row r="24275" spans="6:6" x14ac:dyDescent="0.3">
      <c r="F24275" s="193"/>
    </row>
    <row r="24276" spans="6:6" x14ac:dyDescent="0.3">
      <c r="F24276" s="193"/>
    </row>
    <row r="24277" spans="6:6" x14ac:dyDescent="0.3">
      <c r="F24277" s="193"/>
    </row>
    <row r="24278" spans="6:6" x14ac:dyDescent="0.3">
      <c r="F24278" s="193"/>
    </row>
    <row r="24279" spans="6:6" x14ac:dyDescent="0.3">
      <c r="F24279" s="193"/>
    </row>
    <row r="24280" spans="6:6" x14ac:dyDescent="0.3">
      <c r="F24280" s="193"/>
    </row>
    <row r="24281" spans="6:6" x14ac:dyDescent="0.3">
      <c r="F24281" s="193"/>
    </row>
    <row r="24282" spans="6:6" x14ac:dyDescent="0.3">
      <c r="F24282" s="193"/>
    </row>
    <row r="24283" spans="6:6" x14ac:dyDescent="0.3">
      <c r="F24283" s="193"/>
    </row>
    <row r="24284" spans="6:6" x14ac:dyDescent="0.3">
      <c r="F24284" s="193"/>
    </row>
    <row r="24285" spans="6:6" x14ac:dyDescent="0.3">
      <c r="F24285" s="193"/>
    </row>
    <row r="24286" spans="6:6" x14ac:dyDescent="0.3">
      <c r="F24286" s="193"/>
    </row>
    <row r="24287" spans="6:6" x14ac:dyDescent="0.3">
      <c r="F24287" s="193"/>
    </row>
    <row r="24288" spans="6:6" x14ac:dyDescent="0.3">
      <c r="F24288" s="193"/>
    </row>
    <row r="24289" spans="6:6" x14ac:dyDescent="0.3">
      <c r="F24289" s="193"/>
    </row>
    <row r="24290" spans="6:6" x14ac:dyDescent="0.3">
      <c r="F24290" s="193"/>
    </row>
    <row r="24291" spans="6:6" x14ac:dyDescent="0.3">
      <c r="F24291" s="193"/>
    </row>
    <row r="24292" spans="6:6" x14ac:dyDescent="0.3">
      <c r="F24292" s="193"/>
    </row>
    <row r="24293" spans="6:6" x14ac:dyDescent="0.3">
      <c r="F24293" s="193"/>
    </row>
    <row r="24294" spans="6:6" x14ac:dyDescent="0.3">
      <c r="F24294" s="193"/>
    </row>
    <row r="24295" spans="6:6" x14ac:dyDescent="0.3">
      <c r="F24295" s="193"/>
    </row>
    <row r="24296" spans="6:6" x14ac:dyDescent="0.3">
      <c r="F24296" s="193"/>
    </row>
    <row r="24297" spans="6:6" x14ac:dyDescent="0.3">
      <c r="F24297" s="193"/>
    </row>
    <row r="24298" spans="6:6" x14ac:dyDescent="0.3">
      <c r="F24298" s="193"/>
    </row>
    <row r="24299" spans="6:6" x14ac:dyDescent="0.3">
      <c r="F24299" s="193"/>
    </row>
    <row r="24300" spans="6:6" x14ac:dyDescent="0.3">
      <c r="F24300" s="193"/>
    </row>
    <row r="24301" spans="6:6" x14ac:dyDescent="0.3">
      <c r="F24301" s="193"/>
    </row>
    <row r="24302" spans="6:6" x14ac:dyDescent="0.3">
      <c r="F24302" s="193"/>
    </row>
    <row r="24303" spans="6:6" x14ac:dyDescent="0.3">
      <c r="F24303" s="193"/>
    </row>
    <row r="24304" spans="6:6" x14ac:dyDescent="0.3">
      <c r="F24304" s="193"/>
    </row>
    <row r="24305" spans="6:6" x14ac:dyDescent="0.3">
      <c r="F24305" s="193"/>
    </row>
    <row r="24306" spans="6:6" x14ac:dyDescent="0.3">
      <c r="F24306" s="193"/>
    </row>
    <row r="24307" spans="6:6" x14ac:dyDescent="0.3">
      <c r="F24307" s="193"/>
    </row>
    <row r="24308" spans="6:6" x14ac:dyDescent="0.3">
      <c r="F24308" s="193"/>
    </row>
    <row r="24309" spans="6:6" x14ac:dyDescent="0.3">
      <c r="F24309" s="193"/>
    </row>
    <row r="24310" spans="6:6" x14ac:dyDescent="0.3">
      <c r="F24310" s="193"/>
    </row>
    <row r="24311" spans="6:6" x14ac:dyDescent="0.3">
      <c r="F24311" s="193"/>
    </row>
    <row r="24312" spans="6:6" x14ac:dyDescent="0.3">
      <c r="F24312" s="193"/>
    </row>
    <row r="24313" spans="6:6" x14ac:dyDescent="0.3">
      <c r="F24313" s="193"/>
    </row>
    <row r="24314" spans="6:6" x14ac:dyDescent="0.3">
      <c r="F24314" s="193"/>
    </row>
    <row r="24315" spans="6:6" x14ac:dyDescent="0.3">
      <c r="F24315" s="193"/>
    </row>
    <row r="24316" spans="6:6" x14ac:dyDescent="0.3">
      <c r="F24316" s="193"/>
    </row>
    <row r="24317" spans="6:6" x14ac:dyDescent="0.3">
      <c r="F24317" s="193"/>
    </row>
    <row r="24318" spans="6:6" x14ac:dyDescent="0.3">
      <c r="F24318" s="193"/>
    </row>
    <row r="24319" spans="6:6" x14ac:dyDescent="0.3">
      <c r="F24319" s="193"/>
    </row>
    <row r="24320" spans="6:6" x14ac:dyDescent="0.3">
      <c r="F24320" s="193"/>
    </row>
    <row r="24321" spans="6:6" x14ac:dyDescent="0.3">
      <c r="F24321" s="193"/>
    </row>
    <row r="24322" spans="6:6" x14ac:dyDescent="0.3">
      <c r="F24322" s="193"/>
    </row>
    <row r="24323" spans="6:6" x14ac:dyDescent="0.3">
      <c r="F24323" s="193"/>
    </row>
    <row r="24324" spans="6:6" x14ac:dyDescent="0.3">
      <c r="F24324" s="193"/>
    </row>
    <row r="24325" spans="6:6" x14ac:dyDescent="0.3">
      <c r="F24325" s="193"/>
    </row>
    <row r="24326" spans="6:6" x14ac:dyDescent="0.3">
      <c r="F24326" s="193"/>
    </row>
    <row r="24327" spans="6:6" x14ac:dyDescent="0.3">
      <c r="F24327" s="193"/>
    </row>
    <row r="24328" spans="6:6" x14ac:dyDescent="0.3">
      <c r="F24328" s="193"/>
    </row>
    <row r="24329" spans="6:6" x14ac:dyDescent="0.3">
      <c r="F24329" s="193"/>
    </row>
    <row r="24330" spans="6:6" x14ac:dyDescent="0.3">
      <c r="F24330" s="193"/>
    </row>
    <row r="24331" spans="6:6" x14ac:dyDescent="0.3">
      <c r="F24331" s="193"/>
    </row>
    <row r="24332" spans="6:6" x14ac:dyDescent="0.3">
      <c r="F24332" s="193"/>
    </row>
    <row r="24333" spans="6:6" x14ac:dyDescent="0.3">
      <c r="F24333" s="193"/>
    </row>
    <row r="24334" spans="6:6" x14ac:dyDescent="0.3">
      <c r="F24334" s="193"/>
    </row>
    <row r="24335" spans="6:6" x14ac:dyDescent="0.3">
      <c r="F24335" s="193"/>
    </row>
    <row r="24336" spans="6:6" x14ac:dyDescent="0.3">
      <c r="F24336" s="193"/>
    </row>
    <row r="24337" spans="6:6" x14ac:dyDescent="0.3">
      <c r="F24337" s="193"/>
    </row>
    <row r="24338" spans="6:6" x14ac:dyDescent="0.3">
      <c r="F24338" s="193"/>
    </row>
    <row r="24339" spans="6:6" x14ac:dyDescent="0.3">
      <c r="F24339" s="193"/>
    </row>
    <row r="24340" spans="6:6" x14ac:dyDescent="0.3">
      <c r="F24340" s="193"/>
    </row>
    <row r="24341" spans="6:6" x14ac:dyDescent="0.3">
      <c r="F24341" s="193"/>
    </row>
    <row r="24342" spans="6:6" x14ac:dyDescent="0.3">
      <c r="F24342" s="193"/>
    </row>
    <row r="24343" spans="6:6" x14ac:dyDescent="0.3">
      <c r="F24343" s="193"/>
    </row>
    <row r="24344" spans="6:6" x14ac:dyDescent="0.3">
      <c r="F24344" s="193"/>
    </row>
    <row r="24345" spans="6:6" x14ac:dyDescent="0.3">
      <c r="F24345" s="193"/>
    </row>
    <row r="24346" spans="6:6" x14ac:dyDescent="0.3">
      <c r="F24346" s="193"/>
    </row>
    <row r="24347" spans="6:6" x14ac:dyDescent="0.3">
      <c r="F24347" s="193"/>
    </row>
    <row r="24348" spans="6:6" x14ac:dyDescent="0.3">
      <c r="F24348" s="193"/>
    </row>
    <row r="24349" spans="6:6" x14ac:dyDescent="0.3">
      <c r="F24349" s="193"/>
    </row>
    <row r="24350" spans="6:6" x14ac:dyDescent="0.3">
      <c r="F24350" s="193"/>
    </row>
    <row r="24351" spans="6:6" x14ac:dyDescent="0.3">
      <c r="F24351" s="193"/>
    </row>
    <row r="24352" spans="6:6" x14ac:dyDescent="0.3">
      <c r="F24352" s="193"/>
    </row>
    <row r="24353" spans="6:6" x14ac:dyDescent="0.3">
      <c r="F24353" s="193"/>
    </row>
    <row r="24354" spans="6:6" x14ac:dyDescent="0.3">
      <c r="F24354" s="193"/>
    </row>
    <row r="24355" spans="6:6" x14ac:dyDescent="0.3">
      <c r="F24355" s="193"/>
    </row>
    <row r="24356" spans="6:6" x14ac:dyDescent="0.3">
      <c r="F24356" s="193"/>
    </row>
    <row r="24357" spans="6:6" x14ac:dyDescent="0.3">
      <c r="F24357" s="193"/>
    </row>
    <row r="24358" spans="6:6" x14ac:dyDescent="0.3">
      <c r="F24358" s="193"/>
    </row>
    <row r="24359" spans="6:6" x14ac:dyDescent="0.3">
      <c r="F24359" s="193"/>
    </row>
    <row r="24360" spans="6:6" x14ac:dyDescent="0.3">
      <c r="F24360" s="193"/>
    </row>
    <row r="24361" spans="6:6" x14ac:dyDescent="0.3">
      <c r="F24361" s="193"/>
    </row>
    <row r="24362" spans="6:6" x14ac:dyDescent="0.3">
      <c r="F24362" s="193"/>
    </row>
    <row r="24363" spans="6:6" x14ac:dyDescent="0.3">
      <c r="F24363" s="193"/>
    </row>
    <row r="24364" spans="6:6" x14ac:dyDescent="0.3">
      <c r="F24364" s="193"/>
    </row>
    <row r="24365" spans="6:6" x14ac:dyDescent="0.3">
      <c r="F24365" s="193"/>
    </row>
    <row r="24366" spans="6:6" x14ac:dyDescent="0.3">
      <c r="F24366" s="193"/>
    </row>
    <row r="24367" spans="6:6" x14ac:dyDescent="0.3">
      <c r="F24367" s="193"/>
    </row>
    <row r="24368" spans="6:6" x14ac:dyDescent="0.3">
      <c r="F24368" s="193"/>
    </row>
    <row r="24369" spans="6:6" x14ac:dyDescent="0.3">
      <c r="F24369" s="193"/>
    </row>
    <row r="24370" spans="6:6" x14ac:dyDescent="0.3">
      <c r="F24370" s="193"/>
    </row>
    <row r="24371" spans="6:6" x14ac:dyDescent="0.3">
      <c r="F24371" s="193"/>
    </row>
    <row r="24372" spans="6:6" x14ac:dyDescent="0.3">
      <c r="F24372" s="193"/>
    </row>
    <row r="24373" spans="6:6" x14ac:dyDescent="0.3">
      <c r="F24373" s="193"/>
    </row>
    <row r="24374" spans="6:6" x14ac:dyDescent="0.3">
      <c r="F24374" s="193"/>
    </row>
    <row r="24375" spans="6:6" x14ac:dyDescent="0.3">
      <c r="F24375" s="193"/>
    </row>
    <row r="24376" spans="6:6" x14ac:dyDescent="0.3">
      <c r="F24376" s="193"/>
    </row>
    <row r="24377" spans="6:6" x14ac:dyDescent="0.3">
      <c r="F24377" s="193"/>
    </row>
    <row r="24378" spans="6:6" x14ac:dyDescent="0.3">
      <c r="F24378" s="193"/>
    </row>
    <row r="24379" spans="6:6" x14ac:dyDescent="0.3">
      <c r="F24379" s="193"/>
    </row>
    <row r="24380" spans="6:6" x14ac:dyDescent="0.3">
      <c r="F24380" s="193"/>
    </row>
    <row r="24381" spans="6:6" x14ac:dyDescent="0.3">
      <c r="F24381" s="193"/>
    </row>
    <row r="24382" spans="6:6" x14ac:dyDescent="0.3">
      <c r="F24382" s="193"/>
    </row>
    <row r="24383" spans="6:6" x14ac:dyDescent="0.3">
      <c r="F24383" s="193"/>
    </row>
    <row r="24384" spans="6:6" x14ac:dyDescent="0.3">
      <c r="F24384" s="193"/>
    </row>
    <row r="24385" spans="6:6" x14ac:dyDescent="0.3">
      <c r="F24385" s="193"/>
    </row>
    <row r="24386" spans="6:6" x14ac:dyDescent="0.3">
      <c r="F24386" s="193"/>
    </row>
    <row r="24387" spans="6:6" x14ac:dyDescent="0.3">
      <c r="F24387" s="193"/>
    </row>
    <row r="24388" spans="6:6" x14ac:dyDescent="0.3">
      <c r="F24388" s="193"/>
    </row>
    <row r="24389" spans="6:6" x14ac:dyDescent="0.3">
      <c r="F24389" s="193"/>
    </row>
    <row r="24390" spans="6:6" x14ac:dyDescent="0.3">
      <c r="F24390" s="193"/>
    </row>
    <row r="24391" spans="6:6" x14ac:dyDescent="0.3">
      <c r="F24391" s="193"/>
    </row>
    <row r="24392" spans="6:6" x14ac:dyDescent="0.3">
      <c r="F24392" s="193"/>
    </row>
    <row r="24393" spans="6:6" x14ac:dyDescent="0.3">
      <c r="F24393" s="193"/>
    </row>
    <row r="24394" spans="6:6" x14ac:dyDescent="0.3">
      <c r="F24394" s="193"/>
    </row>
    <row r="24395" spans="6:6" x14ac:dyDescent="0.3">
      <c r="F24395" s="193"/>
    </row>
    <row r="24396" spans="6:6" x14ac:dyDescent="0.3">
      <c r="F24396" s="193"/>
    </row>
    <row r="24397" spans="6:6" x14ac:dyDescent="0.3">
      <c r="F24397" s="193"/>
    </row>
    <row r="24398" spans="6:6" x14ac:dyDescent="0.3">
      <c r="F24398" s="193"/>
    </row>
    <row r="24399" spans="6:6" x14ac:dyDescent="0.3">
      <c r="F24399" s="193"/>
    </row>
    <row r="24400" spans="6:6" x14ac:dyDescent="0.3">
      <c r="F24400" s="193"/>
    </row>
    <row r="24401" spans="6:6" x14ac:dyDescent="0.3">
      <c r="F24401" s="193"/>
    </row>
    <row r="24402" spans="6:6" x14ac:dyDescent="0.3">
      <c r="F24402" s="193"/>
    </row>
    <row r="24403" spans="6:6" x14ac:dyDescent="0.3">
      <c r="F24403" s="193"/>
    </row>
    <row r="24404" spans="6:6" x14ac:dyDescent="0.3">
      <c r="F24404" s="193"/>
    </row>
    <row r="24405" spans="6:6" x14ac:dyDescent="0.3">
      <c r="F24405" s="193"/>
    </row>
    <row r="24406" spans="6:6" x14ac:dyDescent="0.3">
      <c r="F24406" s="193"/>
    </row>
    <row r="24407" spans="6:6" x14ac:dyDescent="0.3">
      <c r="F24407" s="193"/>
    </row>
    <row r="24408" spans="6:6" x14ac:dyDescent="0.3">
      <c r="F24408" s="193"/>
    </row>
    <row r="24409" spans="6:6" x14ac:dyDescent="0.3">
      <c r="F24409" s="193"/>
    </row>
    <row r="24410" spans="6:6" x14ac:dyDescent="0.3">
      <c r="F24410" s="193"/>
    </row>
    <row r="24411" spans="6:6" x14ac:dyDescent="0.3">
      <c r="F24411" s="193"/>
    </row>
    <row r="24412" spans="6:6" x14ac:dyDescent="0.3">
      <c r="F24412" s="193"/>
    </row>
    <row r="24413" spans="6:6" x14ac:dyDescent="0.3">
      <c r="F24413" s="193"/>
    </row>
    <row r="24414" spans="6:6" x14ac:dyDescent="0.3">
      <c r="F24414" s="193"/>
    </row>
    <row r="24415" spans="6:6" x14ac:dyDescent="0.3">
      <c r="F24415" s="193"/>
    </row>
    <row r="24416" spans="6:6" x14ac:dyDescent="0.3">
      <c r="F24416" s="193"/>
    </row>
    <row r="24417" spans="6:6" x14ac:dyDescent="0.3">
      <c r="F24417" s="193"/>
    </row>
    <row r="24418" spans="6:6" x14ac:dyDescent="0.3">
      <c r="F24418" s="193"/>
    </row>
    <row r="24419" spans="6:6" x14ac:dyDescent="0.3">
      <c r="F24419" s="193"/>
    </row>
    <row r="24420" spans="6:6" x14ac:dyDescent="0.3">
      <c r="F24420" s="193"/>
    </row>
    <row r="24421" spans="6:6" x14ac:dyDescent="0.3">
      <c r="F24421" s="193"/>
    </row>
    <row r="24422" spans="6:6" x14ac:dyDescent="0.3">
      <c r="F24422" s="193"/>
    </row>
    <row r="24423" spans="6:6" x14ac:dyDescent="0.3">
      <c r="F24423" s="193"/>
    </row>
    <row r="24424" spans="6:6" x14ac:dyDescent="0.3">
      <c r="F24424" s="193"/>
    </row>
    <row r="24425" spans="6:6" x14ac:dyDescent="0.3">
      <c r="F24425" s="193"/>
    </row>
    <row r="24426" spans="6:6" x14ac:dyDescent="0.3">
      <c r="F24426" s="193"/>
    </row>
    <row r="24427" spans="6:6" x14ac:dyDescent="0.3">
      <c r="F24427" s="193"/>
    </row>
    <row r="24428" spans="6:6" x14ac:dyDescent="0.3">
      <c r="F24428" s="193"/>
    </row>
    <row r="24429" spans="6:6" x14ac:dyDescent="0.3">
      <c r="F24429" s="193"/>
    </row>
    <row r="24430" spans="6:6" x14ac:dyDescent="0.3">
      <c r="F24430" s="193"/>
    </row>
    <row r="24431" spans="6:6" x14ac:dyDescent="0.3">
      <c r="F24431" s="193"/>
    </row>
    <row r="24432" spans="6:6" x14ac:dyDescent="0.3">
      <c r="F24432" s="193"/>
    </row>
    <row r="24433" spans="6:6" x14ac:dyDescent="0.3">
      <c r="F24433" s="193"/>
    </row>
    <row r="24434" spans="6:6" x14ac:dyDescent="0.3">
      <c r="F24434" s="193"/>
    </row>
    <row r="24435" spans="6:6" x14ac:dyDescent="0.3">
      <c r="F24435" s="193"/>
    </row>
    <row r="24436" spans="6:6" x14ac:dyDescent="0.3">
      <c r="F24436" s="193"/>
    </row>
    <row r="24437" spans="6:6" x14ac:dyDescent="0.3">
      <c r="F24437" s="193"/>
    </row>
    <row r="24438" spans="6:6" x14ac:dyDescent="0.3">
      <c r="F24438" s="193"/>
    </row>
    <row r="24439" spans="6:6" x14ac:dyDescent="0.3">
      <c r="F24439" s="193"/>
    </row>
    <row r="24440" spans="6:6" x14ac:dyDescent="0.3">
      <c r="F24440" s="193"/>
    </row>
    <row r="24441" spans="6:6" x14ac:dyDescent="0.3">
      <c r="F24441" s="193"/>
    </row>
    <row r="24442" spans="6:6" x14ac:dyDescent="0.3">
      <c r="F24442" s="193"/>
    </row>
    <row r="24443" spans="6:6" x14ac:dyDescent="0.3">
      <c r="F24443" s="193"/>
    </row>
    <row r="24444" spans="6:6" x14ac:dyDescent="0.3">
      <c r="F24444" s="193"/>
    </row>
    <row r="24445" spans="6:6" x14ac:dyDescent="0.3">
      <c r="F24445" s="193"/>
    </row>
    <row r="24446" spans="6:6" x14ac:dyDescent="0.3">
      <c r="F24446" s="193"/>
    </row>
    <row r="24447" spans="6:6" x14ac:dyDescent="0.3">
      <c r="F24447" s="193"/>
    </row>
    <row r="24448" spans="6:6" x14ac:dyDescent="0.3">
      <c r="F24448" s="193"/>
    </row>
    <row r="24449" spans="6:6" x14ac:dyDescent="0.3">
      <c r="F24449" s="193"/>
    </row>
    <row r="24450" spans="6:6" x14ac:dyDescent="0.3">
      <c r="F24450" s="193"/>
    </row>
    <row r="24451" spans="6:6" x14ac:dyDescent="0.3">
      <c r="F24451" s="193"/>
    </row>
    <row r="24452" spans="6:6" x14ac:dyDescent="0.3">
      <c r="F24452" s="193"/>
    </row>
    <row r="24453" spans="6:6" x14ac:dyDescent="0.3">
      <c r="F24453" s="193"/>
    </row>
    <row r="24454" spans="6:6" x14ac:dyDescent="0.3">
      <c r="F24454" s="193"/>
    </row>
    <row r="24455" spans="6:6" x14ac:dyDescent="0.3">
      <c r="F24455" s="193"/>
    </row>
    <row r="24456" spans="6:6" x14ac:dyDescent="0.3">
      <c r="F24456" s="193"/>
    </row>
    <row r="24457" spans="6:6" x14ac:dyDescent="0.3">
      <c r="F24457" s="193"/>
    </row>
    <row r="24458" spans="6:6" x14ac:dyDescent="0.3">
      <c r="F24458" s="193"/>
    </row>
    <row r="24459" spans="6:6" x14ac:dyDescent="0.3">
      <c r="F24459" s="193"/>
    </row>
    <row r="24460" spans="6:6" x14ac:dyDescent="0.3">
      <c r="F24460" s="193"/>
    </row>
    <row r="24461" spans="6:6" x14ac:dyDescent="0.3">
      <c r="F24461" s="193"/>
    </row>
    <row r="24462" spans="6:6" x14ac:dyDescent="0.3">
      <c r="F24462" s="193"/>
    </row>
    <row r="24463" spans="6:6" x14ac:dyDescent="0.3">
      <c r="F24463" s="193"/>
    </row>
    <row r="24464" spans="6:6" x14ac:dyDescent="0.3">
      <c r="F24464" s="193"/>
    </row>
    <row r="24465" spans="6:6" x14ac:dyDescent="0.3">
      <c r="F24465" s="193"/>
    </row>
    <row r="24466" spans="6:6" x14ac:dyDescent="0.3">
      <c r="F24466" s="193"/>
    </row>
    <row r="24467" spans="6:6" x14ac:dyDescent="0.3">
      <c r="F24467" s="193"/>
    </row>
    <row r="24468" spans="6:6" x14ac:dyDescent="0.3">
      <c r="F24468" s="193"/>
    </row>
    <row r="24469" spans="6:6" x14ac:dyDescent="0.3">
      <c r="F24469" s="193"/>
    </row>
    <row r="24470" spans="6:6" x14ac:dyDescent="0.3">
      <c r="F24470" s="193"/>
    </row>
    <row r="24471" spans="6:6" x14ac:dyDescent="0.3">
      <c r="F24471" s="193"/>
    </row>
    <row r="24472" spans="6:6" x14ac:dyDescent="0.3">
      <c r="F24472" s="193"/>
    </row>
    <row r="24473" spans="6:6" x14ac:dyDescent="0.3">
      <c r="F24473" s="193"/>
    </row>
    <row r="24474" spans="6:6" x14ac:dyDescent="0.3">
      <c r="F24474" s="193"/>
    </row>
    <row r="24475" spans="6:6" x14ac:dyDescent="0.3">
      <c r="F24475" s="193"/>
    </row>
    <row r="24476" spans="6:6" x14ac:dyDescent="0.3">
      <c r="F24476" s="193"/>
    </row>
    <row r="24477" spans="6:6" x14ac:dyDescent="0.3">
      <c r="F24477" s="193"/>
    </row>
    <row r="24478" spans="6:6" x14ac:dyDescent="0.3">
      <c r="F24478" s="193"/>
    </row>
    <row r="24479" spans="6:6" x14ac:dyDescent="0.3">
      <c r="F24479" s="193"/>
    </row>
    <row r="24480" spans="6:6" x14ac:dyDescent="0.3">
      <c r="F24480" s="193"/>
    </row>
    <row r="24481" spans="6:6" x14ac:dyDescent="0.3">
      <c r="F24481" s="193"/>
    </row>
    <row r="24482" spans="6:6" x14ac:dyDescent="0.3">
      <c r="F24482" s="193"/>
    </row>
    <row r="24483" spans="6:6" x14ac:dyDescent="0.3">
      <c r="F24483" s="193"/>
    </row>
    <row r="24484" spans="6:6" x14ac:dyDescent="0.3">
      <c r="F24484" s="193"/>
    </row>
    <row r="24485" spans="6:6" x14ac:dyDescent="0.3">
      <c r="F24485" s="193"/>
    </row>
    <row r="24486" spans="6:6" x14ac:dyDescent="0.3">
      <c r="F24486" s="193"/>
    </row>
    <row r="24487" spans="6:6" x14ac:dyDescent="0.3">
      <c r="F24487" s="193"/>
    </row>
    <row r="24488" spans="6:6" x14ac:dyDescent="0.3">
      <c r="F24488" s="193"/>
    </row>
    <row r="24489" spans="6:6" x14ac:dyDescent="0.3">
      <c r="F24489" s="193"/>
    </row>
    <row r="24490" spans="6:6" x14ac:dyDescent="0.3">
      <c r="F24490" s="193"/>
    </row>
    <row r="24491" spans="6:6" x14ac:dyDescent="0.3">
      <c r="F24491" s="193"/>
    </row>
    <row r="24492" spans="6:6" x14ac:dyDescent="0.3">
      <c r="F24492" s="193"/>
    </row>
    <row r="24493" spans="6:6" x14ac:dyDescent="0.3">
      <c r="F24493" s="193"/>
    </row>
    <row r="24494" spans="6:6" x14ac:dyDescent="0.3">
      <c r="F24494" s="193"/>
    </row>
    <row r="24495" spans="6:6" x14ac:dyDescent="0.3">
      <c r="F24495" s="193"/>
    </row>
    <row r="24496" spans="6:6" x14ac:dyDescent="0.3">
      <c r="F24496" s="193"/>
    </row>
    <row r="24497" spans="6:6" x14ac:dyDescent="0.3">
      <c r="F24497" s="193"/>
    </row>
    <row r="24498" spans="6:6" x14ac:dyDescent="0.3">
      <c r="F24498" s="193"/>
    </row>
    <row r="24499" spans="6:6" x14ac:dyDescent="0.3">
      <c r="F24499" s="193"/>
    </row>
    <row r="24500" spans="6:6" x14ac:dyDescent="0.3">
      <c r="F24500" s="193"/>
    </row>
    <row r="24501" spans="6:6" x14ac:dyDescent="0.3">
      <c r="F24501" s="193"/>
    </row>
    <row r="24502" spans="6:6" x14ac:dyDescent="0.3">
      <c r="F24502" s="193"/>
    </row>
    <row r="24503" spans="6:6" x14ac:dyDescent="0.3">
      <c r="F24503" s="193"/>
    </row>
    <row r="24504" spans="6:6" x14ac:dyDescent="0.3">
      <c r="F24504" s="193"/>
    </row>
    <row r="24505" spans="6:6" x14ac:dyDescent="0.3">
      <c r="F24505" s="193"/>
    </row>
    <row r="24506" spans="6:6" x14ac:dyDescent="0.3">
      <c r="F24506" s="193"/>
    </row>
    <row r="24507" spans="6:6" x14ac:dyDescent="0.3">
      <c r="F24507" s="193"/>
    </row>
    <row r="24508" spans="6:6" x14ac:dyDescent="0.3">
      <c r="F24508" s="193"/>
    </row>
    <row r="24509" spans="6:6" x14ac:dyDescent="0.3">
      <c r="F24509" s="193"/>
    </row>
    <row r="24510" spans="6:6" x14ac:dyDescent="0.3">
      <c r="F24510" s="193"/>
    </row>
    <row r="24511" spans="6:6" x14ac:dyDescent="0.3">
      <c r="F24511" s="193"/>
    </row>
    <row r="24512" spans="6:6" x14ac:dyDescent="0.3">
      <c r="F24512" s="193"/>
    </row>
    <row r="24513" spans="6:6" x14ac:dyDescent="0.3">
      <c r="F24513" s="193"/>
    </row>
    <row r="24514" spans="6:6" x14ac:dyDescent="0.3">
      <c r="F24514" s="193"/>
    </row>
    <row r="24515" spans="6:6" x14ac:dyDescent="0.3">
      <c r="F24515" s="193"/>
    </row>
    <row r="24516" spans="6:6" x14ac:dyDescent="0.3">
      <c r="F24516" s="193"/>
    </row>
    <row r="24517" spans="6:6" x14ac:dyDescent="0.3">
      <c r="F24517" s="193"/>
    </row>
    <row r="24518" spans="6:6" x14ac:dyDescent="0.3">
      <c r="F24518" s="193"/>
    </row>
    <row r="24519" spans="6:6" x14ac:dyDescent="0.3">
      <c r="F24519" s="193"/>
    </row>
    <row r="24520" spans="6:6" x14ac:dyDescent="0.3">
      <c r="F24520" s="193"/>
    </row>
    <row r="24521" spans="6:6" x14ac:dyDescent="0.3">
      <c r="F24521" s="193"/>
    </row>
    <row r="24522" spans="6:6" x14ac:dyDescent="0.3">
      <c r="F24522" s="193"/>
    </row>
    <row r="24523" spans="6:6" x14ac:dyDescent="0.3">
      <c r="F24523" s="193"/>
    </row>
    <row r="24524" spans="6:6" x14ac:dyDescent="0.3">
      <c r="F24524" s="193"/>
    </row>
    <row r="24525" spans="6:6" x14ac:dyDescent="0.3">
      <c r="F24525" s="193"/>
    </row>
    <row r="24526" spans="6:6" x14ac:dyDescent="0.3">
      <c r="F24526" s="193"/>
    </row>
    <row r="24527" spans="6:6" x14ac:dyDescent="0.3">
      <c r="F24527" s="193"/>
    </row>
    <row r="24528" spans="6:6" x14ac:dyDescent="0.3">
      <c r="F24528" s="193"/>
    </row>
    <row r="24529" spans="6:6" x14ac:dyDescent="0.3">
      <c r="F24529" s="193"/>
    </row>
    <row r="24530" spans="6:6" x14ac:dyDescent="0.3">
      <c r="F24530" s="193"/>
    </row>
    <row r="24531" spans="6:6" x14ac:dyDescent="0.3">
      <c r="F24531" s="193"/>
    </row>
    <row r="24532" spans="6:6" x14ac:dyDescent="0.3">
      <c r="F24532" s="193"/>
    </row>
    <row r="24533" spans="6:6" x14ac:dyDescent="0.3">
      <c r="F24533" s="193"/>
    </row>
    <row r="24534" spans="6:6" x14ac:dyDescent="0.3">
      <c r="F24534" s="193"/>
    </row>
    <row r="24535" spans="6:6" x14ac:dyDescent="0.3">
      <c r="F24535" s="193"/>
    </row>
    <row r="24536" spans="6:6" x14ac:dyDescent="0.3">
      <c r="F24536" s="193"/>
    </row>
    <row r="24537" spans="6:6" x14ac:dyDescent="0.3">
      <c r="F24537" s="193"/>
    </row>
    <row r="24538" spans="6:6" x14ac:dyDescent="0.3">
      <c r="F24538" s="193"/>
    </row>
    <row r="24539" spans="6:6" x14ac:dyDescent="0.3">
      <c r="F24539" s="193"/>
    </row>
    <row r="24540" spans="6:6" x14ac:dyDescent="0.3">
      <c r="F24540" s="193"/>
    </row>
    <row r="24541" spans="6:6" x14ac:dyDescent="0.3">
      <c r="F24541" s="193"/>
    </row>
    <row r="24542" spans="6:6" x14ac:dyDescent="0.3">
      <c r="F24542" s="193"/>
    </row>
    <row r="24543" spans="6:6" x14ac:dyDescent="0.3">
      <c r="F24543" s="193"/>
    </row>
    <row r="24544" spans="6:6" x14ac:dyDescent="0.3">
      <c r="F24544" s="193"/>
    </row>
    <row r="24545" spans="6:6" x14ac:dyDescent="0.3">
      <c r="F24545" s="193"/>
    </row>
    <row r="24546" spans="6:6" x14ac:dyDescent="0.3">
      <c r="F24546" s="193"/>
    </row>
    <row r="24547" spans="6:6" x14ac:dyDescent="0.3">
      <c r="F24547" s="193"/>
    </row>
    <row r="24548" spans="6:6" x14ac:dyDescent="0.3">
      <c r="F24548" s="193"/>
    </row>
    <row r="24549" spans="6:6" x14ac:dyDescent="0.3">
      <c r="F24549" s="193"/>
    </row>
    <row r="24550" spans="6:6" x14ac:dyDescent="0.3">
      <c r="F24550" s="193"/>
    </row>
    <row r="24551" spans="6:6" x14ac:dyDescent="0.3">
      <c r="F24551" s="193"/>
    </row>
    <row r="24552" spans="6:6" x14ac:dyDescent="0.3">
      <c r="F24552" s="193"/>
    </row>
    <row r="24553" spans="6:6" x14ac:dyDescent="0.3">
      <c r="F24553" s="193"/>
    </row>
    <row r="24554" spans="6:6" x14ac:dyDescent="0.3">
      <c r="F24554" s="193"/>
    </row>
    <row r="24555" spans="6:6" x14ac:dyDescent="0.3">
      <c r="F24555" s="193"/>
    </row>
    <row r="24556" spans="6:6" x14ac:dyDescent="0.3">
      <c r="F24556" s="193"/>
    </row>
    <row r="24557" spans="6:6" x14ac:dyDescent="0.3">
      <c r="F24557" s="193"/>
    </row>
    <row r="24558" spans="6:6" x14ac:dyDescent="0.3">
      <c r="F24558" s="193"/>
    </row>
    <row r="24559" spans="6:6" x14ac:dyDescent="0.3">
      <c r="F24559" s="193"/>
    </row>
    <row r="24560" spans="6:6" x14ac:dyDescent="0.3">
      <c r="F24560" s="193"/>
    </row>
    <row r="24561" spans="6:6" x14ac:dyDescent="0.3">
      <c r="F24561" s="193"/>
    </row>
    <row r="24562" spans="6:6" x14ac:dyDescent="0.3">
      <c r="F24562" s="193"/>
    </row>
    <row r="24563" spans="6:6" x14ac:dyDescent="0.3">
      <c r="F24563" s="193"/>
    </row>
    <row r="24564" spans="6:6" x14ac:dyDescent="0.3">
      <c r="F24564" s="193"/>
    </row>
    <row r="24565" spans="6:6" x14ac:dyDescent="0.3">
      <c r="F24565" s="193"/>
    </row>
    <row r="24566" spans="6:6" x14ac:dyDescent="0.3">
      <c r="F24566" s="193"/>
    </row>
    <row r="24567" spans="6:6" x14ac:dyDescent="0.3">
      <c r="F24567" s="193"/>
    </row>
    <row r="24568" spans="6:6" x14ac:dyDescent="0.3">
      <c r="F24568" s="193"/>
    </row>
    <row r="24569" spans="6:6" x14ac:dyDescent="0.3">
      <c r="F24569" s="193"/>
    </row>
    <row r="24570" spans="6:6" x14ac:dyDescent="0.3">
      <c r="F24570" s="193"/>
    </row>
    <row r="24571" spans="6:6" x14ac:dyDescent="0.3">
      <c r="F24571" s="193"/>
    </row>
    <row r="24572" spans="6:6" x14ac:dyDescent="0.3">
      <c r="F24572" s="193"/>
    </row>
    <row r="24573" spans="6:6" x14ac:dyDescent="0.3">
      <c r="F24573" s="193"/>
    </row>
    <row r="24574" spans="6:6" x14ac:dyDescent="0.3">
      <c r="F24574" s="193"/>
    </row>
    <row r="24575" spans="6:6" x14ac:dyDescent="0.3">
      <c r="F24575" s="193"/>
    </row>
    <row r="24576" spans="6:6" x14ac:dyDescent="0.3">
      <c r="F24576" s="193"/>
    </row>
    <row r="24577" spans="6:6" x14ac:dyDescent="0.3">
      <c r="F24577" s="193"/>
    </row>
    <row r="24578" spans="6:6" x14ac:dyDescent="0.3">
      <c r="F24578" s="193"/>
    </row>
    <row r="24579" spans="6:6" x14ac:dyDescent="0.3">
      <c r="F24579" s="193"/>
    </row>
    <row r="24580" spans="6:6" x14ac:dyDescent="0.3">
      <c r="F24580" s="193"/>
    </row>
    <row r="24581" spans="6:6" x14ac:dyDescent="0.3">
      <c r="F24581" s="193"/>
    </row>
    <row r="24582" spans="6:6" x14ac:dyDescent="0.3">
      <c r="F24582" s="193"/>
    </row>
    <row r="24583" spans="6:6" x14ac:dyDescent="0.3">
      <c r="F24583" s="193"/>
    </row>
    <row r="24584" spans="6:6" x14ac:dyDescent="0.3">
      <c r="F24584" s="193"/>
    </row>
    <row r="24585" spans="6:6" x14ac:dyDescent="0.3">
      <c r="F24585" s="193"/>
    </row>
    <row r="24586" spans="6:6" x14ac:dyDescent="0.3">
      <c r="F24586" s="193"/>
    </row>
    <row r="24587" spans="6:6" x14ac:dyDescent="0.3">
      <c r="F24587" s="193"/>
    </row>
    <row r="24588" spans="6:6" x14ac:dyDescent="0.3">
      <c r="F24588" s="193"/>
    </row>
    <row r="24589" spans="6:6" x14ac:dyDescent="0.3">
      <c r="F24589" s="193"/>
    </row>
    <row r="24590" spans="6:6" x14ac:dyDescent="0.3">
      <c r="F24590" s="193"/>
    </row>
    <row r="24591" spans="6:6" x14ac:dyDescent="0.3">
      <c r="F24591" s="193"/>
    </row>
    <row r="24592" spans="6:6" x14ac:dyDescent="0.3">
      <c r="F24592" s="193"/>
    </row>
    <row r="24593" spans="6:6" x14ac:dyDescent="0.3">
      <c r="F24593" s="193"/>
    </row>
    <row r="24594" spans="6:6" x14ac:dyDescent="0.3">
      <c r="F24594" s="193"/>
    </row>
    <row r="24595" spans="6:6" x14ac:dyDescent="0.3">
      <c r="F24595" s="193"/>
    </row>
    <row r="24596" spans="6:6" x14ac:dyDescent="0.3">
      <c r="F24596" s="193"/>
    </row>
    <row r="24597" spans="6:6" x14ac:dyDescent="0.3">
      <c r="F24597" s="193"/>
    </row>
    <row r="24598" spans="6:6" x14ac:dyDescent="0.3">
      <c r="F24598" s="193"/>
    </row>
    <row r="24599" spans="6:6" x14ac:dyDescent="0.3">
      <c r="F24599" s="193"/>
    </row>
    <row r="24600" spans="6:6" x14ac:dyDescent="0.3">
      <c r="F24600" s="193"/>
    </row>
    <row r="24601" spans="6:6" x14ac:dyDescent="0.3">
      <c r="F24601" s="193"/>
    </row>
    <row r="24602" spans="6:6" x14ac:dyDescent="0.3">
      <c r="F24602" s="193"/>
    </row>
    <row r="24603" spans="6:6" x14ac:dyDescent="0.3">
      <c r="F24603" s="193"/>
    </row>
    <row r="24604" spans="6:6" x14ac:dyDescent="0.3">
      <c r="F24604" s="193"/>
    </row>
    <row r="24605" spans="6:6" x14ac:dyDescent="0.3">
      <c r="F24605" s="193"/>
    </row>
    <row r="24606" spans="6:6" x14ac:dyDescent="0.3">
      <c r="F24606" s="193"/>
    </row>
    <row r="24607" spans="6:6" x14ac:dyDescent="0.3">
      <c r="F24607" s="193"/>
    </row>
    <row r="24608" spans="6:6" x14ac:dyDescent="0.3">
      <c r="F24608" s="193"/>
    </row>
    <row r="24609" spans="6:6" x14ac:dyDescent="0.3">
      <c r="F24609" s="193"/>
    </row>
    <row r="24610" spans="6:6" x14ac:dyDescent="0.3">
      <c r="F24610" s="193"/>
    </row>
    <row r="24611" spans="6:6" x14ac:dyDescent="0.3">
      <c r="F24611" s="193"/>
    </row>
    <row r="24612" spans="6:6" x14ac:dyDescent="0.3">
      <c r="F24612" s="193"/>
    </row>
    <row r="24613" spans="6:6" x14ac:dyDescent="0.3">
      <c r="F24613" s="193"/>
    </row>
    <row r="24614" spans="6:6" x14ac:dyDescent="0.3">
      <c r="F24614" s="193"/>
    </row>
    <row r="24615" spans="6:6" x14ac:dyDescent="0.3">
      <c r="F24615" s="193"/>
    </row>
    <row r="24616" spans="6:6" x14ac:dyDescent="0.3">
      <c r="F24616" s="193"/>
    </row>
    <row r="24617" spans="6:6" x14ac:dyDescent="0.3">
      <c r="F24617" s="193"/>
    </row>
    <row r="24618" spans="6:6" x14ac:dyDescent="0.3">
      <c r="F24618" s="193"/>
    </row>
    <row r="24619" spans="6:6" x14ac:dyDescent="0.3">
      <c r="F24619" s="193"/>
    </row>
    <row r="24620" spans="6:6" x14ac:dyDescent="0.3">
      <c r="F24620" s="193"/>
    </row>
    <row r="24621" spans="6:6" x14ac:dyDescent="0.3">
      <c r="F24621" s="193"/>
    </row>
    <row r="24622" spans="6:6" x14ac:dyDescent="0.3">
      <c r="F24622" s="193"/>
    </row>
    <row r="24623" spans="6:6" x14ac:dyDescent="0.3">
      <c r="F24623" s="193"/>
    </row>
    <row r="24624" spans="6:6" x14ac:dyDescent="0.3">
      <c r="F24624" s="193"/>
    </row>
    <row r="24625" spans="6:6" x14ac:dyDescent="0.3">
      <c r="F24625" s="193"/>
    </row>
    <row r="24626" spans="6:6" x14ac:dyDescent="0.3">
      <c r="F24626" s="193"/>
    </row>
    <row r="24627" spans="6:6" x14ac:dyDescent="0.3">
      <c r="F24627" s="193"/>
    </row>
    <row r="24628" spans="6:6" x14ac:dyDescent="0.3">
      <c r="F24628" s="193"/>
    </row>
    <row r="24629" spans="6:6" x14ac:dyDescent="0.3">
      <c r="F24629" s="193"/>
    </row>
    <row r="24630" spans="6:6" x14ac:dyDescent="0.3">
      <c r="F24630" s="193"/>
    </row>
    <row r="24631" spans="6:6" x14ac:dyDescent="0.3">
      <c r="F24631" s="193"/>
    </row>
    <row r="24632" spans="6:6" x14ac:dyDescent="0.3">
      <c r="F24632" s="193"/>
    </row>
    <row r="24633" spans="6:6" x14ac:dyDescent="0.3">
      <c r="F24633" s="193"/>
    </row>
    <row r="24634" spans="6:6" x14ac:dyDescent="0.3">
      <c r="F24634" s="193"/>
    </row>
    <row r="24635" spans="6:6" x14ac:dyDescent="0.3">
      <c r="F24635" s="193"/>
    </row>
    <row r="24636" spans="6:6" x14ac:dyDescent="0.3">
      <c r="F24636" s="193"/>
    </row>
    <row r="24637" spans="6:6" x14ac:dyDescent="0.3">
      <c r="F24637" s="193"/>
    </row>
    <row r="24638" spans="6:6" x14ac:dyDescent="0.3">
      <c r="F24638" s="193"/>
    </row>
    <row r="24639" spans="6:6" x14ac:dyDescent="0.3">
      <c r="F24639" s="193"/>
    </row>
    <row r="24640" spans="6:6" x14ac:dyDescent="0.3">
      <c r="F24640" s="193"/>
    </row>
    <row r="24641" spans="6:6" x14ac:dyDescent="0.3">
      <c r="F24641" s="193"/>
    </row>
    <row r="24642" spans="6:6" x14ac:dyDescent="0.3">
      <c r="F24642" s="193"/>
    </row>
    <row r="24643" spans="6:6" x14ac:dyDescent="0.3">
      <c r="F24643" s="193"/>
    </row>
    <row r="24644" spans="6:6" x14ac:dyDescent="0.3">
      <c r="F24644" s="193"/>
    </row>
    <row r="24645" spans="6:6" x14ac:dyDescent="0.3">
      <c r="F24645" s="193"/>
    </row>
    <row r="24646" spans="6:6" x14ac:dyDescent="0.3">
      <c r="F24646" s="193"/>
    </row>
    <row r="24647" spans="6:6" x14ac:dyDescent="0.3">
      <c r="F24647" s="193"/>
    </row>
    <row r="24648" spans="6:6" x14ac:dyDescent="0.3">
      <c r="F24648" s="193"/>
    </row>
    <row r="24649" spans="6:6" x14ac:dyDescent="0.3">
      <c r="F24649" s="193"/>
    </row>
    <row r="24650" spans="6:6" x14ac:dyDescent="0.3">
      <c r="F24650" s="193"/>
    </row>
    <row r="24651" spans="6:6" x14ac:dyDescent="0.3">
      <c r="F24651" s="193"/>
    </row>
    <row r="24652" spans="6:6" x14ac:dyDescent="0.3">
      <c r="F24652" s="193"/>
    </row>
    <row r="24653" spans="6:6" x14ac:dyDescent="0.3">
      <c r="F24653" s="193"/>
    </row>
    <row r="24654" spans="6:6" x14ac:dyDescent="0.3">
      <c r="F24654" s="193"/>
    </row>
    <row r="24655" spans="6:6" x14ac:dyDescent="0.3">
      <c r="F24655" s="193"/>
    </row>
    <row r="24656" spans="6:6" x14ac:dyDescent="0.3">
      <c r="F24656" s="193"/>
    </row>
    <row r="24657" spans="6:6" x14ac:dyDescent="0.3">
      <c r="F24657" s="193"/>
    </row>
    <row r="24658" spans="6:6" x14ac:dyDescent="0.3">
      <c r="F24658" s="193"/>
    </row>
    <row r="24659" spans="6:6" x14ac:dyDescent="0.3">
      <c r="F24659" s="193"/>
    </row>
    <row r="24660" spans="6:6" x14ac:dyDescent="0.3">
      <c r="F24660" s="193"/>
    </row>
    <row r="24661" spans="6:6" x14ac:dyDescent="0.3">
      <c r="F24661" s="193"/>
    </row>
    <row r="24662" spans="6:6" x14ac:dyDescent="0.3">
      <c r="F24662" s="193"/>
    </row>
    <row r="24663" spans="6:6" x14ac:dyDescent="0.3">
      <c r="F24663" s="193"/>
    </row>
    <row r="24664" spans="6:6" x14ac:dyDescent="0.3">
      <c r="F24664" s="193"/>
    </row>
    <row r="24665" spans="6:6" x14ac:dyDescent="0.3">
      <c r="F24665" s="193"/>
    </row>
    <row r="24666" spans="6:6" x14ac:dyDescent="0.3">
      <c r="F24666" s="193"/>
    </row>
    <row r="24667" spans="6:6" x14ac:dyDescent="0.3">
      <c r="F24667" s="193"/>
    </row>
    <row r="24668" spans="6:6" x14ac:dyDescent="0.3">
      <c r="F24668" s="193"/>
    </row>
    <row r="24669" spans="6:6" x14ac:dyDescent="0.3">
      <c r="F24669" s="193"/>
    </row>
    <row r="24670" spans="6:6" x14ac:dyDescent="0.3">
      <c r="F24670" s="193"/>
    </row>
    <row r="24671" spans="6:6" x14ac:dyDescent="0.3">
      <c r="F24671" s="193"/>
    </row>
    <row r="24672" spans="6:6" x14ac:dyDescent="0.3">
      <c r="F24672" s="193"/>
    </row>
    <row r="24673" spans="6:6" x14ac:dyDescent="0.3">
      <c r="F24673" s="193"/>
    </row>
    <row r="24674" spans="6:6" x14ac:dyDescent="0.3">
      <c r="F24674" s="193"/>
    </row>
    <row r="24675" spans="6:6" x14ac:dyDescent="0.3">
      <c r="F24675" s="193"/>
    </row>
    <row r="24676" spans="6:6" x14ac:dyDescent="0.3">
      <c r="F24676" s="193"/>
    </row>
    <row r="24677" spans="6:6" x14ac:dyDescent="0.3">
      <c r="F24677" s="193"/>
    </row>
    <row r="24678" spans="6:6" x14ac:dyDescent="0.3">
      <c r="F24678" s="193"/>
    </row>
    <row r="24679" spans="6:6" x14ac:dyDescent="0.3">
      <c r="F24679" s="193"/>
    </row>
    <row r="24680" spans="6:6" x14ac:dyDescent="0.3">
      <c r="F24680" s="193"/>
    </row>
    <row r="24681" spans="6:6" x14ac:dyDescent="0.3">
      <c r="F24681" s="193"/>
    </row>
    <row r="24682" spans="6:6" x14ac:dyDescent="0.3">
      <c r="F24682" s="193"/>
    </row>
    <row r="24683" spans="6:6" x14ac:dyDescent="0.3">
      <c r="F24683" s="193"/>
    </row>
    <row r="24684" spans="6:6" x14ac:dyDescent="0.3">
      <c r="F24684" s="193"/>
    </row>
    <row r="24685" spans="6:6" x14ac:dyDescent="0.3">
      <c r="F24685" s="193"/>
    </row>
    <row r="24686" spans="6:6" x14ac:dyDescent="0.3">
      <c r="F24686" s="193"/>
    </row>
    <row r="24687" spans="6:6" x14ac:dyDescent="0.3">
      <c r="F24687" s="193"/>
    </row>
    <row r="24688" spans="6:6" x14ac:dyDescent="0.3">
      <c r="F24688" s="193"/>
    </row>
    <row r="24689" spans="6:6" x14ac:dyDescent="0.3">
      <c r="F24689" s="193"/>
    </row>
    <row r="24690" spans="6:6" x14ac:dyDescent="0.3">
      <c r="F24690" s="193"/>
    </row>
    <row r="24691" spans="6:6" x14ac:dyDescent="0.3">
      <c r="F24691" s="193"/>
    </row>
    <row r="24692" spans="6:6" x14ac:dyDescent="0.3">
      <c r="F24692" s="193"/>
    </row>
    <row r="24693" spans="6:6" x14ac:dyDescent="0.3">
      <c r="F24693" s="193"/>
    </row>
    <row r="24694" spans="6:6" x14ac:dyDescent="0.3">
      <c r="F24694" s="193"/>
    </row>
    <row r="24695" spans="6:6" x14ac:dyDescent="0.3">
      <c r="F24695" s="193"/>
    </row>
    <row r="24696" spans="6:6" x14ac:dyDescent="0.3">
      <c r="F24696" s="193"/>
    </row>
    <row r="24697" spans="6:6" x14ac:dyDescent="0.3">
      <c r="F24697" s="193"/>
    </row>
    <row r="24698" spans="6:6" x14ac:dyDescent="0.3">
      <c r="F24698" s="193"/>
    </row>
    <row r="24699" spans="6:6" x14ac:dyDescent="0.3">
      <c r="F24699" s="193"/>
    </row>
    <row r="24700" spans="6:6" x14ac:dyDescent="0.3">
      <c r="F24700" s="193"/>
    </row>
    <row r="24701" spans="6:6" x14ac:dyDescent="0.3">
      <c r="F24701" s="193"/>
    </row>
    <row r="24702" spans="6:6" x14ac:dyDescent="0.3">
      <c r="F24702" s="193"/>
    </row>
    <row r="24703" spans="6:6" x14ac:dyDescent="0.3">
      <c r="F24703" s="193"/>
    </row>
    <row r="24704" spans="6:6" x14ac:dyDescent="0.3">
      <c r="F24704" s="193"/>
    </row>
    <row r="24705" spans="6:6" x14ac:dyDescent="0.3">
      <c r="F24705" s="193"/>
    </row>
    <row r="24706" spans="6:6" x14ac:dyDescent="0.3">
      <c r="F24706" s="193"/>
    </row>
    <row r="24707" spans="6:6" x14ac:dyDescent="0.3">
      <c r="F24707" s="193"/>
    </row>
    <row r="24708" spans="6:6" x14ac:dyDescent="0.3">
      <c r="F24708" s="193"/>
    </row>
    <row r="24709" spans="6:6" x14ac:dyDescent="0.3">
      <c r="F24709" s="193"/>
    </row>
    <row r="24710" spans="6:6" x14ac:dyDescent="0.3">
      <c r="F24710" s="193"/>
    </row>
    <row r="24711" spans="6:6" x14ac:dyDescent="0.3">
      <c r="F24711" s="193"/>
    </row>
    <row r="24712" spans="6:6" x14ac:dyDescent="0.3">
      <c r="F24712" s="193"/>
    </row>
    <row r="24713" spans="6:6" x14ac:dyDescent="0.3">
      <c r="F24713" s="193"/>
    </row>
    <row r="24714" spans="6:6" x14ac:dyDescent="0.3">
      <c r="F24714" s="193"/>
    </row>
    <row r="24715" spans="6:6" x14ac:dyDescent="0.3">
      <c r="F24715" s="193"/>
    </row>
    <row r="24716" spans="6:6" x14ac:dyDescent="0.3">
      <c r="F24716" s="193"/>
    </row>
    <row r="24717" spans="6:6" x14ac:dyDescent="0.3">
      <c r="F24717" s="193"/>
    </row>
    <row r="24718" spans="6:6" x14ac:dyDescent="0.3">
      <c r="F24718" s="193"/>
    </row>
    <row r="24719" spans="6:6" x14ac:dyDescent="0.3">
      <c r="F24719" s="193"/>
    </row>
    <row r="24720" spans="6:6" x14ac:dyDescent="0.3">
      <c r="F24720" s="193"/>
    </row>
    <row r="24721" spans="6:6" x14ac:dyDescent="0.3">
      <c r="F24721" s="193"/>
    </row>
    <row r="24722" spans="6:6" x14ac:dyDescent="0.3">
      <c r="F24722" s="193"/>
    </row>
    <row r="24723" spans="6:6" x14ac:dyDescent="0.3">
      <c r="F24723" s="193"/>
    </row>
    <row r="24724" spans="6:6" x14ac:dyDescent="0.3">
      <c r="F24724" s="193"/>
    </row>
    <row r="24725" spans="6:6" x14ac:dyDescent="0.3">
      <c r="F24725" s="193"/>
    </row>
    <row r="24726" spans="6:6" x14ac:dyDescent="0.3">
      <c r="F24726" s="193"/>
    </row>
    <row r="24727" spans="6:6" x14ac:dyDescent="0.3">
      <c r="F24727" s="193"/>
    </row>
    <row r="24728" spans="6:6" x14ac:dyDescent="0.3">
      <c r="F24728" s="193"/>
    </row>
    <row r="24729" spans="6:6" x14ac:dyDescent="0.3">
      <c r="F24729" s="193"/>
    </row>
    <row r="24730" spans="6:6" x14ac:dyDescent="0.3">
      <c r="F24730" s="193"/>
    </row>
    <row r="24731" spans="6:6" x14ac:dyDescent="0.3">
      <c r="F24731" s="193"/>
    </row>
    <row r="24732" spans="6:6" x14ac:dyDescent="0.3">
      <c r="F24732" s="193"/>
    </row>
    <row r="24733" spans="6:6" x14ac:dyDescent="0.3">
      <c r="F24733" s="193"/>
    </row>
    <row r="24734" spans="6:6" x14ac:dyDescent="0.3">
      <c r="F24734" s="193"/>
    </row>
    <row r="24735" spans="6:6" x14ac:dyDescent="0.3">
      <c r="F24735" s="193"/>
    </row>
    <row r="24736" spans="6:6" x14ac:dyDescent="0.3">
      <c r="F24736" s="193"/>
    </row>
    <row r="24737" spans="6:6" x14ac:dyDescent="0.3">
      <c r="F24737" s="193"/>
    </row>
    <row r="24738" spans="6:6" x14ac:dyDescent="0.3">
      <c r="F24738" s="193"/>
    </row>
    <row r="24739" spans="6:6" x14ac:dyDescent="0.3">
      <c r="F24739" s="193"/>
    </row>
    <row r="24740" spans="6:6" x14ac:dyDescent="0.3">
      <c r="F24740" s="193"/>
    </row>
    <row r="24741" spans="6:6" x14ac:dyDescent="0.3">
      <c r="F24741" s="193"/>
    </row>
    <row r="24742" spans="6:6" x14ac:dyDescent="0.3">
      <c r="F24742" s="193"/>
    </row>
    <row r="24743" spans="6:6" x14ac:dyDescent="0.3">
      <c r="F24743" s="193"/>
    </row>
    <row r="24744" spans="6:6" x14ac:dyDescent="0.3">
      <c r="F24744" s="193"/>
    </row>
    <row r="24745" spans="6:6" x14ac:dyDescent="0.3">
      <c r="F24745" s="193"/>
    </row>
    <row r="24746" spans="6:6" x14ac:dyDescent="0.3">
      <c r="F24746" s="193"/>
    </row>
    <row r="24747" spans="6:6" x14ac:dyDescent="0.3">
      <c r="F24747" s="193"/>
    </row>
    <row r="24748" spans="6:6" x14ac:dyDescent="0.3">
      <c r="F24748" s="193"/>
    </row>
    <row r="24749" spans="6:6" x14ac:dyDescent="0.3">
      <c r="F24749" s="193"/>
    </row>
    <row r="24750" spans="6:6" x14ac:dyDescent="0.3">
      <c r="F24750" s="193"/>
    </row>
    <row r="24751" spans="6:6" x14ac:dyDescent="0.3">
      <c r="F24751" s="193"/>
    </row>
    <row r="24752" spans="6:6" x14ac:dyDescent="0.3">
      <c r="F24752" s="193"/>
    </row>
    <row r="24753" spans="6:6" x14ac:dyDescent="0.3">
      <c r="F24753" s="193"/>
    </row>
    <row r="24754" spans="6:6" x14ac:dyDescent="0.3">
      <c r="F24754" s="193"/>
    </row>
    <row r="24755" spans="6:6" x14ac:dyDescent="0.3">
      <c r="F24755" s="193"/>
    </row>
    <row r="24756" spans="6:6" x14ac:dyDescent="0.3">
      <c r="F24756" s="193"/>
    </row>
    <row r="24757" spans="6:6" x14ac:dyDescent="0.3">
      <c r="F24757" s="193"/>
    </row>
    <row r="24758" spans="6:6" x14ac:dyDescent="0.3">
      <c r="F24758" s="193"/>
    </row>
    <row r="24759" spans="6:6" x14ac:dyDescent="0.3">
      <c r="F24759" s="193"/>
    </row>
    <row r="24760" spans="6:6" x14ac:dyDescent="0.3">
      <c r="F24760" s="193"/>
    </row>
    <row r="24761" spans="6:6" x14ac:dyDescent="0.3">
      <c r="F24761" s="193"/>
    </row>
    <row r="24762" spans="6:6" x14ac:dyDescent="0.3">
      <c r="F24762" s="193"/>
    </row>
    <row r="24763" spans="6:6" x14ac:dyDescent="0.3">
      <c r="F24763" s="193"/>
    </row>
    <row r="24764" spans="6:6" x14ac:dyDescent="0.3">
      <c r="F24764" s="193"/>
    </row>
    <row r="24765" spans="6:6" x14ac:dyDescent="0.3">
      <c r="F24765" s="193"/>
    </row>
    <row r="24766" spans="6:6" x14ac:dyDescent="0.3">
      <c r="F24766" s="193"/>
    </row>
    <row r="24767" spans="6:6" x14ac:dyDescent="0.3">
      <c r="F24767" s="193"/>
    </row>
    <row r="24768" spans="6:6" x14ac:dyDescent="0.3">
      <c r="F24768" s="193"/>
    </row>
    <row r="24769" spans="6:6" x14ac:dyDescent="0.3">
      <c r="F24769" s="193"/>
    </row>
    <row r="24770" spans="6:6" x14ac:dyDescent="0.3">
      <c r="F24770" s="193"/>
    </row>
    <row r="24771" spans="6:6" x14ac:dyDescent="0.3">
      <c r="F24771" s="193"/>
    </row>
    <row r="24772" spans="6:6" x14ac:dyDescent="0.3">
      <c r="F24772" s="193"/>
    </row>
    <row r="24773" spans="6:6" x14ac:dyDescent="0.3">
      <c r="F24773" s="193"/>
    </row>
    <row r="24774" spans="6:6" x14ac:dyDescent="0.3">
      <c r="F24774" s="193"/>
    </row>
    <row r="24775" spans="6:6" x14ac:dyDescent="0.3">
      <c r="F24775" s="193"/>
    </row>
    <row r="24776" spans="6:6" x14ac:dyDescent="0.3">
      <c r="F24776" s="193"/>
    </row>
    <row r="24777" spans="6:6" x14ac:dyDescent="0.3">
      <c r="F24777" s="193"/>
    </row>
    <row r="24778" spans="6:6" x14ac:dyDescent="0.3">
      <c r="F24778" s="193"/>
    </row>
    <row r="24779" spans="6:6" x14ac:dyDescent="0.3">
      <c r="F24779" s="193"/>
    </row>
    <row r="24780" spans="6:6" x14ac:dyDescent="0.3">
      <c r="F24780" s="193"/>
    </row>
    <row r="24781" spans="6:6" x14ac:dyDescent="0.3">
      <c r="F24781" s="193"/>
    </row>
    <row r="24782" spans="6:6" x14ac:dyDescent="0.3">
      <c r="F24782" s="193"/>
    </row>
    <row r="24783" spans="6:6" x14ac:dyDescent="0.3">
      <c r="F24783" s="193"/>
    </row>
    <row r="24784" spans="6:6" x14ac:dyDescent="0.3">
      <c r="F24784" s="193"/>
    </row>
    <row r="24785" spans="6:6" x14ac:dyDescent="0.3">
      <c r="F24785" s="193"/>
    </row>
    <row r="24786" spans="6:6" x14ac:dyDescent="0.3">
      <c r="F24786" s="193"/>
    </row>
    <row r="24787" spans="6:6" x14ac:dyDescent="0.3">
      <c r="F24787" s="193"/>
    </row>
    <row r="24788" spans="6:6" x14ac:dyDescent="0.3">
      <c r="F24788" s="193"/>
    </row>
    <row r="24789" spans="6:6" x14ac:dyDescent="0.3">
      <c r="F24789" s="193"/>
    </row>
    <row r="24790" spans="6:6" x14ac:dyDescent="0.3">
      <c r="F24790" s="193"/>
    </row>
    <row r="24791" spans="6:6" x14ac:dyDescent="0.3">
      <c r="F24791" s="193"/>
    </row>
    <row r="24792" spans="6:6" x14ac:dyDescent="0.3">
      <c r="F24792" s="193"/>
    </row>
    <row r="24793" spans="6:6" x14ac:dyDescent="0.3">
      <c r="F24793" s="193"/>
    </row>
    <row r="24794" spans="6:6" x14ac:dyDescent="0.3">
      <c r="F24794" s="193"/>
    </row>
    <row r="24795" spans="6:6" x14ac:dyDescent="0.3">
      <c r="F24795" s="193"/>
    </row>
    <row r="24796" spans="6:6" x14ac:dyDescent="0.3">
      <c r="F24796" s="193"/>
    </row>
    <row r="24797" spans="6:6" x14ac:dyDescent="0.3">
      <c r="F24797" s="193"/>
    </row>
    <row r="24798" spans="6:6" x14ac:dyDescent="0.3">
      <c r="F24798" s="193"/>
    </row>
    <row r="24799" spans="6:6" x14ac:dyDescent="0.3">
      <c r="F24799" s="193"/>
    </row>
    <row r="24800" spans="6:6" x14ac:dyDescent="0.3">
      <c r="F24800" s="193"/>
    </row>
    <row r="24801" spans="6:6" x14ac:dyDescent="0.3">
      <c r="F24801" s="193"/>
    </row>
    <row r="24802" spans="6:6" x14ac:dyDescent="0.3">
      <c r="F24802" s="193"/>
    </row>
    <row r="24803" spans="6:6" x14ac:dyDescent="0.3">
      <c r="F24803" s="193"/>
    </row>
    <row r="24804" spans="6:6" x14ac:dyDescent="0.3">
      <c r="F24804" s="193"/>
    </row>
    <row r="24805" spans="6:6" x14ac:dyDescent="0.3">
      <c r="F24805" s="193"/>
    </row>
    <row r="24806" spans="6:6" x14ac:dyDescent="0.3">
      <c r="F24806" s="193"/>
    </row>
    <row r="24807" spans="6:6" x14ac:dyDescent="0.3">
      <c r="F24807" s="193"/>
    </row>
    <row r="24808" spans="6:6" x14ac:dyDescent="0.3">
      <c r="F24808" s="193"/>
    </row>
    <row r="24809" spans="6:6" x14ac:dyDescent="0.3">
      <c r="F24809" s="193"/>
    </row>
    <row r="24810" spans="6:6" x14ac:dyDescent="0.3">
      <c r="F24810" s="193"/>
    </row>
    <row r="24811" spans="6:6" x14ac:dyDescent="0.3">
      <c r="F24811" s="193"/>
    </row>
    <row r="24812" spans="6:6" x14ac:dyDescent="0.3">
      <c r="F24812" s="193"/>
    </row>
    <row r="24813" spans="6:6" x14ac:dyDescent="0.3">
      <c r="F24813" s="193"/>
    </row>
    <row r="24814" spans="6:6" x14ac:dyDescent="0.3">
      <c r="F24814" s="193"/>
    </row>
    <row r="24815" spans="6:6" x14ac:dyDescent="0.3">
      <c r="F24815" s="193"/>
    </row>
    <row r="24816" spans="6:6" x14ac:dyDescent="0.3">
      <c r="F24816" s="193"/>
    </row>
    <row r="24817" spans="6:6" x14ac:dyDescent="0.3">
      <c r="F24817" s="193"/>
    </row>
    <row r="24818" spans="6:6" x14ac:dyDescent="0.3">
      <c r="F24818" s="193"/>
    </row>
    <row r="24819" spans="6:6" x14ac:dyDescent="0.3">
      <c r="F24819" s="193"/>
    </row>
    <row r="24820" spans="6:6" x14ac:dyDescent="0.3">
      <c r="F24820" s="193"/>
    </row>
    <row r="24821" spans="6:6" x14ac:dyDescent="0.3">
      <c r="F24821" s="193"/>
    </row>
    <row r="24822" spans="6:6" x14ac:dyDescent="0.3">
      <c r="F24822" s="193"/>
    </row>
    <row r="24823" spans="6:6" x14ac:dyDescent="0.3">
      <c r="F24823" s="193"/>
    </row>
    <row r="24824" spans="6:6" x14ac:dyDescent="0.3">
      <c r="F24824" s="193"/>
    </row>
    <row r="24825" spans="6:6" x14ac:dyDescent="0.3">
      <c r="F24825" s="193"/>
    </row>
    <row r="24826" spans="6:6" x14ac:dyDescent="0.3">
      <c r="F24826" s="193"/>
    </row>
    <row r="24827" spans="6:6" x14ac:dyDescent="0.3">
      <c r="F24827" s="193"/>
    </row>
    <row r="24828" spans="6:6" x14ac:dyDescent="0.3">
      <c r="F24828" s="193"/>
    </row>
    <row r="24829" spans="6:6" x14ac:dyDescent="0.3">
      <c r="F24829" s="193"/>
    </row>
    <row r="24830" spans="6:6" x14ac:dyDescent="0.3">
      <c r="F24830" s="193"/>
    </row>
    <row r="24831" spans="6:6" x14ac:dyDescent="0.3">
      <c r="F24831" s="193"/>
    </row>
    <row r="24832" spans="6:6" x14ac:dyDescent="0.3">
      <c r="F24832" s="193"/>
    </row>
    <row r="24833" spans="6:6" x14ac:dyDescent="0.3">
      <c r="F24833" s="193"/>
    </row>
    <row r="24834" spans="6:6" x14ac:dyDescent="0.3">
      <c r="F24834" s="193"/>
    </row>
    <row r="24835" spans="6:6" x14ac:dyDescent="0.3">
      <c r="F24835" s="193"/>
    </row>
    <row r="24836" spans="6:6" x14ac:dyDescent="0.3">
      <c r="F24836" s="193"/>
    </row>
    <row r="24837" spans="6:6" x14ac:dyDescent="0.3">
      <c r="F24837" s="193"/>
    </row>
    <row r="24838" spans="6:6" x14ac:dyDescent="0.3">
      <c r="F24838" s="193"/>
    </row>
    <row r="24839" spans="6:6" x14ac:dyDescent="0.3">
      <c r="F24839" s="193"/>
    </row>
    <row r="24840" spans="6:6" x14ac:dyDescent="0.3">
      <c r="F24840" s="193"/>
    </row>
    <row r="24841" spans="6:6" x14ac:dyDescent="0.3">
      <c r="F24841" s="193"/>
    </row>
    <row r="24842" spans="6:6" x14ac:dyDescent="0.3">
      <c r="F24842" s="193"/>
    </row>
    <row r="24843" spans="6:6" x14ac:dyDescent="0.3">
      <c r="F24843" s="193"/>
    </row>
    <row r="24844" spans="6:6" x14ac:dyDescent="0.3">
      <c r="F24844" s="193"/>
    </row>
    <row r="24845" spans="6:6" x14ac:dyDescent="0.3">
      <c r="F24845" s="193"/>
    </row>
    <row r="24846" spans="6:6" x14ac:dyDescent="0.3">
      <c r="F24846" s="193"/>
    </row>
    <row r="24847" spans="6:6" x14ac:dyDescent="0.3">
      <c r="F24847" s="193"/>
    </row>
    <row r="24848" spans="6:6" x14ac:dyDescent="0.3">
      <c r="F24848" s="193"/>
    </row>
    <row r="24849" spans="6:6" x14ac:dyDescent="0.3">
      <c r="F24849" s="193"/>
    </row>
    <row r="24850" spans="6:6" x14ac:dyDescent="0.3">
      <c r="F24850" s="193"/>
    </row>
    <row r="24851" spans="6:6" x14ac:dyDescent="0.3">
      <c r="F24851" s="193"/>
    </row>
    <row r="24852" spans="6:6" x14ac:dyDescent="0.3">
      <c r="F24852" s="193"/>
    </row>
    <row r="24853" spans="6:6" x14ac:dyDescent="0.3">
      <c r="F24853" s="193"/>
    </row>
    <row r="24854" spans="6:6" x14ac:dyDescent="0.3">
      <c r="F24854" s="193"/>
    </row>
    <row r="24855" spans="6:6" x14ac:dyDescent="0.3">
      <c r="F24855" s="193"/>
    </row>
    <row r="24856" spans="6:6" x14ac:dyDescent="0.3">
      <c r="F24856" s="193"/>
    </row>
    <row r="24857" spans="6:6" x14ac:dyDescent="0.3">
      <c r="F24857" s="193"/>
    </row>
    <row r="24858" spans="6:6" x14ac:dyDescent="0.3">
      <c r="F24858" s="193"/>
    </row>
    <row r="24859" spans="6:6" x14ac:dyDescent="0.3">
      <c r="F24859" s="193"/>
    </row>
    <row r="24860" spans="6:6" x14ac:dyDescent="0.3">
      <c r="F24860" s="193"/>
    </row>
    <row r="24861" spans="6:6" x14ac:dyDescent="0.3">
      <c r="F24861" s="193"/>
    </row>
    <row r="24862" spans="6:6" x14ac:dyDescent="0.3">
      <c r="F24862" s="193"/>
    </row>
    <row r="24863" spans="6:6" x14ac:dyDescent="0.3">
      <c r="F24863" s="193"/>
    </row>
    <row r="24864" spans="6:6" x14ac:dyDescent="0.3">
      <c r="F24864" s="193"/>
    </row>
    <row r="24865" spans="6:6" x14ac:dyDescent="0.3">
      <c r="F24865" s="193"/>
    </row>
    <row r="24866" spans="6:6" x14ac:dyDescent="0.3">
      <c r="F24866" s="193"/>
    </row>
    <row r="24867" spans="6:6" x14ac:dyDescent="0.3">
      <c r="F24867" s="193"/>
    </row>
    <row r="24868" spans="6:6" x14ac:dyDescent="0.3">
      <c r="F24868" s="193"/>
    </row>
    <row r="24869" spans="6:6" x14ac:dyDescent="0.3">
      <c r="F24869" s="193"/>
    </row>
    <row r="24870" spans="6:6" x14ac:dyDescent="0.3">
      <c r="F24870" s="193"/>
    </row>
    <row r="24871" spans="6:6" x14ac:dyDescent="0.3">
      <c r="F24871" s="193"/>
    </row>
    <row r="24872" spans="6:6" x14ac:dyDescent="0.3">
      <c r="F24872" s="193"/>
    </row>
    <row r="24873" spans="6:6" x14ac:dyDescent="0.3">
      <c r="F24873" s="193"/>
    </row>
    <row r="24874" spans="6:6" x14ac:dyDescent="0.3">
      <c r="F24874" s="193"/>
    </row>
    <row r="24875" spans="6:6" x14ac:dyDescent="0.3">
      <c r="F24875" s="193"/>
    </row>
    <row r="24876" spans="6:6" x14ac:dyDescent="0.3">
      <c r="F24876" s="193"/>
    </row>
    <row r="24877" spans="6:6" x14ac:dyDescent="0.3">
      <c r="F24877" s="193"/>
    </row>
    <row r="24878" spans="6:6" x14ac:dyDescent="0.3">
      <c r="F24878" s="193"/>
    </row>
    <row r="24879" spans="6:6" x14ac:dyDescent="0.3">
      <c r="F24879" s="193"/>
    </row>
    <row r="24880" spans="6:6" x14ac:dyDescent="0.3">
      <c r="F24880" s="193"/>
    </row>
    <row r="24881" spans="6:6" x14ac:dyDescent="0.3">
      <c r="F24881" s="193"/>
    </row>
    <row r="24882" spans="6:6" x14ac:dyDescent="0.3">
      <c r="F24882" s="193"/>
    </row>
    <row r="24883" spans="6:6" x14ac:dyDescent="0.3">
      <c r="F24883" s="193"/>
    </row>
    <row r="24884" spans="6:6" x14ac:dyDescent="0.3">
      <c r="F24884" s="193"/>
    </row>
    <row r="24885" spans="6:6" x14ac:dyDescent="0.3">
      <c r="F24885" s="193"/>
    </row>
    <row r="24886" spans="6:6" x14ac:dyDescent="0.3">
      <c r="F24886" s="193"/>
    </row>
    <row r="24887" spans="6:6" x14ac:dyDescent="0.3">
      <c r="F24887" s="193"/>
    </row>
    <row r="24888" spans="6:6" x14ac:dyDescent="0.3">
      <c r="F24888" s="193"/>
    </row>
    <row r="24889" spans="6:6" x14ac:dyDescent="0.3">
      <c r="F24889" s="193"/>
    </row>
    <row r="24890" spans="6:6" x14ac:dyDescent="0.3">
      <c r="F24890" s="193"/>
    </row>
    <row r="24891" spans="6:6" x14ac:dyDescent="0.3">
      <c r="F24891" s="193"/>
    </row>
    <row r="24892" spans="6:6" x14ac:dyDescent="0.3">
      <c r="F24892" s="193"/>
    </row>
    <row r="24893" spans="6:6" x14ac:dyDescent="0.3">
      <c r="F24893" s="193"/>
    </row>
    <row r="24894" spans="6:6" x14ac:dyDescent="0.3">
      <c r="F24894" s="193"/>
    </row>
    <row r="24895" spans="6:6" x14ac:dyDescent="0.3">
      <c r="F24895" s="193"/>
    </row>
    <row r="24896" spans="6:6" x14ac:dyDescent="0.3">
      <c r="F24896" s="193"/>
    </row>
    <row r="24897" spans="6:6" x14ac:dyDescent="0.3">
      <c r="F24897" s="193"/>
    </row>
    <row r="24898" spans="6:6" x14ac:dyDescent="0.3">
      <c r="F24898" s="193"/>
    </row>
    <row r="24899" spans="6:6" x14ac:dyDescent="0.3">
      <c r="F24899" s="193"/>
    </row>
    <row r="24900" spans="6:6" x14ac:dyDescent="0.3">
      <c r="F24900" s="193"/>
    </row>
    <row r="24901" spans="6:6" x14ac:dyDescent="0.3">
      <c r="F24901" s="193"/>
    </row>
    <row r="24902" spans="6:6" x14ac:dyDescent="0.3">
      <c r="F24902" s="193"/>
    </row>
    <row r="24903" spans="6:6" x14ac:dyDescent="0.3">
      <c r="F24903" s="193"/>
    </row>
    <row r="24904" spans="6:6" x14ac:dyDescent="0.3">
      <c r="F24904" s="193"/>
    </row>
    <row r="24905" spans="6:6" x14ac:dyDescent="0.3">
      <c r="F24905" s="193"/>
    </row>
    <row r="24906" spans="6:6" x14ac:dyDescent="0.3">
      <c r="F24906" s="193"/>
    </row>
    <row r="24907" spans="6:6" x14ac:dyDescent="0.3">
      <c r="F24907" s="193"/>
    </row>
    <row r="24908" spans="6:6" x14ac:dyDescent="0.3">
      <c r="F24908" s="193"/>
    </row>
    <row r="24909" spans="6:6" x14ac:dyDescent="0.3">
      <c r="F24909" s="193"/>
    </row>
    <row r="24910" spans="6:6" x14ac:dyDescent="0.3">
      <c r="F24910" s="193"/>
    </row>
    <row r="24911" spans="6:6" x14ac:dyDescent="0.3">
      <c r="F24911" s="193"/>
    </row>
    <row r="24912" spans="6:6" x14ac:dyDescent="0.3">
      <c r="F24912" s="193"/>
    </row>
    <row r="24913" spans="6:6" x14ac:dyDescent="0.3">
      <c r="F24913" s="193"/>
    </row>
    <row r="24914" spans="6:6" x14ac:dyDescent="0.3">
      <c r="F24914" s="193"/>
    </row>
    <row r="24915" spans="6:6" x14ac:dyDescent="0.3">
      <c r="F24915" s="193"/>
    </row>
    <row r="24916" spans="6:6" x14ac:dyDescent="0.3">
      <c r="F24916" s="193"/>
    </row>
    <row r="24917" spans="6:6" x14ac:dyDescent="0.3">
      <c r="F24917" s="193"/>
    </row>
    <row r="24918" spans="6:6" x14ac:dyDescent="0.3">
      <c r="F24918" s="193"/>
    </row>
    <row r="24919" spans="6:6" x14ac:dyDescent="0.3">
      <c r="F24919" s="193"/>
    </row>
    <row r="24920" spans="6:6" x14ac:dyDescent="0.3">
      <c r="F24920" s="193"/>
    </row>
    <row r="24921" spans="6:6" x14ac:dyDescent="0.3">
      <c r="F24921" s="193"/>
    </row>
    <row r="24922" spans="6:6" x14ac:dyDescent="0.3">
      <c r="F24922" s="193"/>
    </row>
    <row r="24923" spans="6:6" x14ac:dyDescent="0.3">
      <c r="F24923" s="193"/>
    </row>
    <row r="24924" spans="6:6" x14ac:dyDescent="0.3">
      <c r="F24924" s="193"/>
    </row>
    <row r="24925" spans="6:6" x14ac:dyDescent="0.3">
      <c r="F24925" s="193"/>
    </row>
    <row r="24926" spans="6:6" x14ac:dyDescent="0.3">
      <c r="F24926" s="193"/>
    </row>
    <row r="24927" spans="6:6" x14ac:dyDescent="0.3">
      <c r="F24927" s="193"/>
    </row>
    <row r="24928" spans="6:6" x14ac:dyDescent="0.3">
      <c r="F24928" s="193"/>
    </row>
    <row r="24929" spans="6:6" x14ac:dyDescent="0.3">
      <c r="F24929" s="193"/>
    </row>
    <row r="24930" spans="6:6" x14ac:dyDescent="0.3">
      <c r="F24930" s="193"/>
    </row>
    <row r="24931" spans="6:6" x14ac:dyDescent="0.3">
      <c r="F24931" s="193"/>
    </row>
    <row r="24932" spans="6:6" x14ac:dyDescent="0.3">
      <c r="F24932" s="193"/>
    </row>
    <row r="24933" spans="6:6" x14ac:dyDescent="0.3">
      <c r="F24933" s="193"/>
    </row>
    <row r="24934" spans="6:6" x14ac:dyDescent="0.3">
      <c r="F24934" s="193"/>
    </row>
    <row r="24935" spans="6:6" x14ac:dyDescent="0.3">
      <c r="F24935" s="193"/>
    </row>
    <row r="24936" spans="6:6" x14ac:dyDescent="0.3">
      <c r="F24936" s="193"/>
    </row>
    <row r="24937" spans="6:6" x14ac:dyDescent="0.3">
      <c r="F24937" s="193"/>
    </row>
    <row r="24938" spans="6:6" x14ac:dyDescent="0.3">
      <c r="F24938" s="193"/>
    </row>
    <row r="24939" spans="6:6" x14ac:dyDescent="0.3">
      <c r="F24939" s="193"/>
    </row>
    <row r="24940" spans="6:6" x14ac:dyDescent="0.3">
      <c r="F24940" s="193"/>
    </row>
    <row r="24941" spans="6:6" x14ac:dyDescent="0.3">
      <c r="F24941" s="193"/>
    </row>
    <row r="24942" spans="6:6" x14ac:dyDescent="0.3">
      <c r="F24942" s="193"/>
    </row>
    <row r="24943" spans="6:6" x14ac:dyDescent="0.3">
      <c r="F24943" s="193"/>
    </row>
    <row r="24944" spans="6:6" x14ac:dyDescent="0.3">
      <c r="F24944" s="193"/>
    </row>
    <row r="24945" spans="6:6" x14ac:dyDescent="0.3">
      <c r="F24945" s="193"/>
    </row>
    <row r="24946" spans="6:6" x14ac:dyDescent="0.3">
      <c r="F24946" s="193"/>
    </row>
    <row r="24947" spans="6:6" x14ac:dyDescent="0.3">
      <c r="F24947" s="193"/>
    </row>
    <row r="24948" spans="6:6" x14ac:dyDescent="0.3">
      <c r="F24948" s="193"/>
    </row>
    <row r="24949" spans="6:6" x14ac:dyDescent="0.3">
      <c r="F24949" s="193"/>
    </row>
    <row r="24950" spans="6:6" x14ac:dyDescent="0.3">
      <c r="F24950" s="193"/>
    </row>
    <row r="24951" spans="6:6" x14ac:dyDescent="0.3">
      <c r="F24951" s="193"/>
    </row>
    <row r="24952" spans="6:6" x14ac:dyDescent="0.3">
      <c r="F24952" s="193"/>
    </row>
    <row r="24953" spans="6:6" x14ac:dyDescent="0.3">
      <c r="F24953" s="193"/>
    </row>
    <row r="24954" spans="6:6" x14ac:dyDescent="0.3">
      <c r="F24954" s="193"/>
    </row>
    <row r="24955" spans="6:6" x14ac:dyDescent="0.3">
      <c r="F24955" s="193"/>
    </row>
    <row r="24956" spans="6:6" x14ac:dyDescent="0.3">
      <c r="F24956" s="193"/>
    </row>
    <row r="24957" spans="6:6" x14ac:dyDescent="0.3">
      <c r="F24957" s="193"/>
    </row>
    <row r="24958" spans="6:6" x14ac:dyDescent="0.3">
      <c r="F24958" s="193"/>
    </row>
    <row r="24959" spans="6:6" x14ac:dyDescent="0.3">
      <c r="F24959" s="193"/>
    </row>
    <row r="24960" spans="6:6" x14ac:dyDescent="0.3">
      <c r="F24960" s="193"/>
    </row>
    <row r="24961" spans="6:6" x14ac:dyDescent="0.3">
      <c r="F24961" s="193"/>
    </row>
    <row r="24962" spans="6:6" x14ac:dyDescent="0.3">
      <c r="F24962" s="193"/>
    </row>
    <row r="24963" spans="6:6" x14ac:dyDescent="0.3">
      <c r="F24963" s="193"/>
    </row>
    <row r="24964" spans="6:6" x14ac:dyDescent="0.3">
      <c r="F24964" s="193"/>
    </row>
    <row r="24965" spans="6:6" x14ac:dyDescent="0.3">
      <c r="F24965" s="193"/>
    </row>
    <row r="24966" spans="6:6" x14ac:dyDescent="0.3">
      <c r="F24966" s="193"/>
    </row>
    <row r="24967" spans="6:6" x14ac:dyDescent="0.3">
      <c r="F24967" s="193"/>
    </row>
    <row r="24968" spans="6:6" x14ac:dyDescent="0.3">
      <c r="F24968" s="193"/>
    </row>
    <row r="24969" spans="6:6" x14ac:dyDescent="0.3">
      <c r="F24969" s="193"/>
    </row>
    <row r="24970" spans="6:6" x14ac:dyDescent="0.3">
      <c r="F24970" s="193"/>
    </row>
    <row r="24971" spans="6:6" x14ac:dyDescent="0.3">
      <c r="F24971" s="193"/>
    </row>
    <row r="24972" spans="6:6" x14ac:dyDescent="0.3">
      <c r="F24972" s="193"/>
    </row>
    <row r="24973" spans="6:6" x14ac:dyDescent="0.3">
      <c r="F24973" s="193"/>
    </row>
    <row r="24974" spans="6:6" x14ac:dyDescent="0.3">
      <c r="F24974" s="193"/>
    </row>
    <row r="24975" spans="6:6" x14ac:dyDescent="0.3">
      <c r="F24975" s="193"/>
    </row>
    <row r="24976" spans="6:6" x14ac:dyDescent="0.3">
      <c r="F24976" s="193"/>
    </row>
    <row r="24977" spans="6:6" x14ac:dyDescent="0.3">
      <c r="F24977" s="193"/>
    </row>
    <row r="24978" spans="6:6" x14ac:dyDescent="0.3">
      <c r="F24978" s="193"/>
    </row>
    <row r="24979" spans="6:6" x14ac:dyDescent="0.3">
      <c r="F24979" s="193"/>
    </row>
    <row r="24980" spans="6:6" x14ac:dyDescent="0.3">
      <c r="F24980" s="193"/>
    </row>
    <row r="24981" spans="6:6" x14ac:dyDescent="0.3">
      <c r="F24981" s="193"/>
    </row>
    <row r="24982" spans="6:6" x14ac:dyDescent="0.3">
      <c r="F24982" s="193"/>
    </row>
    <row r="24983" spans="6:6" x14ac:dyDescent="0.3">
      <c r="F24983" s="193"/>
    </row>
    <row r="24984" spans="6:6" x14ac:dyDescent="0.3">
      <c r="F24984" s="193"/>
    </row>
    <row r="24985" spans="6:6" x14ac:dyDescent="0.3">
      <c r="F24985" s="193"/>
    </row>
    <row r="24986" spans="6:6" x14ac:dyDescent="0.3">
      <c r="F24986" s="193"/>
    </row>
    <row r="24987" spans="6:6" x14ac:dyDescent="0.3">
      <c r="F24987" s="193"/>
    </row>
    <row r="24988" spans="6:6" x14ac:dyDescent="0.3">
      <c r="F24988" s="193"/>
    </row>
    <row r="24989" spans="6:6" x14ac:dyDescent="0.3">
      <c r="F24989" s="193"/>
    </row>
    <row r="24990" spans="6:6" x14ac:dyDescent="0.3">
      <c r="F24990" s="193"/>
    </row>
    <row r="24991" spans="6:6" x14ac:dyDescent="0.3">
      <c r="F24991" s="193"/>
    </row>
    <row r="24992" spans="6:6" x14ac:dyDescent="0.3">
      <c r="F24992" s="193"/>
    </row>
    <row r="24993" spans="6:6" x14ac:dyDescent="0.3">
      <c r="F24993" s="193"/>
    </row>
    <row r="24994" spans="6:6" x14ac:dyDescent="0.3">
      <c r="F24994" s="193"/>
    </row>
    <row r="24995" spans="6:6" x14ac:dyDescent="0.3">
      <c r="F24995" s="193"/>
    </row>
    <row r="24996" spans="6:6" x14ac:dyDescent="0.3">
      <c r="F24996" s="193"/>
    </row>
    <row r="24997" spans="6:6" x14ac:dyDescent="0.3">
      <c r="F24997" s="193"/>
    </row>
    <row r="24998" spans="6:6" x14ac:dyDescent="0.3">
      <c r="F24998" s="193"/>
    </row>
    <row r="24999" spans="6:6" x14ac:dyDescent="0.3">
      <c r="F24999" s="193"/>
    </row>
    <row r="25000" spans="6:6" x14ac:dyDescent="0.3">
      <c r="F25000" s="193"/>
    </row>
    <row r="25001" spans="6:6" x14ac:dyDescent="0.3">
      <c r="F25001" s="193"/>
    </row>
    <row r="25002" spans="6:6" x14ac:dyDescent="0.3">
      <c r="F25002" s="193"/>
    </row>
    <row r="25003" spans="6:6" x14ac:dyDescent="0.3">
      <c r="F25003" s="193"/>
    </row>
    <row r="25004" spans="6:6" x14ac:dyDescent="0.3">
      <c r="F25004" s="193"/>
    </row>
    <row r="25005" spans="6:6" x14ac:dyDescent="0.3">
      <c r="F25005" s="193"/>
    </row>
    <row r="25006" spans="6:6" x14ac:dyDescent="0.3">
      <c r="F25006" s="193"/>
    </row>
    <row r="25007" spans="6:6" x14ac:dyDescent="0.3">
      <c r="F25007" s="193"/>
    </row>
    <row r="25008" spans="6:6" x14ac:dyDescent="0.3">
      <c r="F25008" s="193"/>
    </row>
    <row r="25009" spans="6:6" x14ac:dyDescent="0.3">
      <c r="F25009" s="193"/>
    </row>
    <row r="25010" spans="6:6" x14ac:dyDescent="0.3">
      <c r="F25010" s="193"/>
    </row>
    <row r="25011" spans="6:6" x14ac:dyDescent="0.3">
      <c r="F25011" s="193"/>
    </row>
    <row r="25012" spans="6:6" x14ac:dyDescent="0.3">
      <c r="F25012" s="193"/>
    </row>
    <row r="25013" spans="6:6" x14ac:dyDescent="0.3">
      <c r="F25013" s="193"/>
    </row>
    <row r="25014" spans="6:6" x14ac:dyDescent="0.3">
      <c r="F25014" s="193"/>
    </row>
    <row r="25015" spans="6:6" x14ac:dyDescent="0.3">
      <c r="F25015" s="193"/>
    </row>
    <row r="25016" spans="6:6" x14ac:dyDescent="0.3">
      <c r="F25016" s="193"/>
    </row>
    <row r="25017" spans="6:6" x14ac:dyDescent="0.3">
      <c r="F25017" s="193"/>
    </row>
    <row r="25018" spans="6:6" x14ac:dyDescent="0.3">
      <c r="F25018" s="193"/>
    </row>
    <row r="25019" spans="6:6" x14ac:dyDescent="0.3">
      <c r="F25019" s="193"/>
    </row>
    <row r="25020" spans="6:6" x14ac:dyDescent="0.3">
      <c r="F25020" s="193"/>
    </row>
    <row r="25021" spans="6:6" x14ac:dyDescent="0.3">
      <c r="F25021" s="193"/>
    </row>
    <row r="25022" spans="6:6" x14ac:dyDescent="0.3">
      <c r="F25022" s="193"/>
    </row>
    <row r="25023" spans="6:6" x14ac:dyDescent="0.3">
      <c r="F25023" s="193"/>
    </row>
    <row r="25024" spans="6:6" x14ac:dyDescent="0.3">
      <c r="F25024" s="193"/>
    </row>
    <row r="25025" spans="6:6" x14ac:dyDescent="0.3">
      <c r="F25025" s="193"/>
    </row>
    <row r="25026" spans="6:6" x14ac:dyDescent="0.3">
      <c r="F25026" s="193"/>
    </row>
    <row r="25027" spans="6:6" x14ac:dyDescent="0.3">
      <c r="F25027" s="193"/>
    </row>
    <row r="25028" spans="6:6" x14ac:dyDescent="0.3">
      <c r="F25028" s="193"/>
    </row>
    <row r="25029" spans="6:6" x14ac:dyDescent="0.3">
      <c r="F25029" s="193"/>
    </row>
    <row r="25030" spans="6:6" x14ac:dyDescent="0.3">
      <c r="F25030" s="193"/>
    </row>
    <row r="25031" spans="6:6" x14ac:dyDescent="0.3">
      <c r="F25031" s="193"/>
    </row>
    <row r="25032" spans="6:6" x14ac:dyDescent="0.3">
      <c r="F25032" s="193"/>
    </row>
    <row r="25033" spans="6:6" x14ac:dyDescent="0.3">
      <c r="F25033" s="193"/>
    </row>
    <row r="25034" spans="6:6" x14ac:dyDescent="0.3">
      <c r="F25034" s="193"/>
    </row>
    <row r="25035" spans="6:6" x14ac:dyDescent="0.3">
      <c r="F25035" s="193"/>
    </row>
    <row r="25036" spans="6:6" x14ac:dyDescent="0.3">
      <c r="F25036" s="193"/>
    </row>
    <row r="25037" spans="6:6" x14ac:dyDescent="0.3">
      <c r="F25037" s="193"/>
    </row>
    <row r="25038" spans="6:6" x14ac:dyDescent="0.3">
      <c r="F25038" s="193"/>
    </row>
    <row r="25039" spans="6:6" x14ac:dyDescent="0.3">
      <c r="F25039" s="193"/>
    </row>
    <row r="25040" spans="6:6" x14ac:dyDescent="0.3">
      <c r="F25040" s="193"/>
    </row>
    <row r="25041" spans="6:6" x14ac:dyDescent="0.3">
      <c r="F25041" s="193"/>
    </row>
    <row r="25042" spans="6:6" x14ac:dyDescent="0.3">
      <c r="F25042" s="193"/>
    </row>
    <row r="25043" spans="6:6" x14ac:dyDescent="0.3">
      <c r="F25043" s="193"/>
    </row>
    <row r="25044" spans="6:6" x14ac:dyDescent="0.3">
      <c r="F25044" s="193"/>
    </row>
    <row r="25045" spans="6:6" x14ac:dyDescent="0.3">
      <c r="F25045" s="193"/>
    </row>
    <row r="25046" spans="6:6" x14ac:dyDescent="0.3">
      <c r="F25046" s="193"/>
    </row>
    <row r="25047" spans="6:6" x14ac:dyDescent="0.3">
      <c r="F25047" s="193"/>
    </row>
    <row r="25048" spans="6:6" x14ac:dyDescent="0.3">
      <c r="F25048" s="193"/>
    </row>
    <row r="25049" spans="6:6" x14ac:dyDescent="0.3">
      <c r="F25049" s="193"/>
    </row>
    <row r="25050" spans="6:6" x14ac:dyDescent="0.3">
      <c r="F25050" s="193"/>
    </row>
    <row r="25051" spans="6:6" x14ac:dyDescent="0.3">
      <c r="F25051" s="193"/>
    </row>
    <row r="25052" spans="6:6" x14ac:dyDescent="0.3">
      <c r="F25052" s="193"/>
    </row>
    <row r="25053" spans="6:6" x14ac:dyDescent="0.3">
      <c r="F25053" s="193"/>
    </row>
    <row r="25054" spans="6:6" x14ac:dyDescent="0.3">
      <c r="F25054" s="193"/>
    </row>
    <row r="25055" spans="6:6" x14ac:dyDescent="0.3">
      <c r="F25055" s="193"/>
    </row>
    <row r="25056" spans="6:6" x14ac:dyDescent="0.3">
      <c r="F25056" s="193"/>
    </row>
    <row r="25057" spans="6:6" x14ac:dyDescent="0.3">
      <c r="F25057" s="193"/>
    </row>
    <row r="25058" spans="6:6" x14ac:dyDescent="0.3">
      <c r="F25058" s="193"/>
    </row>
    <row r="25059" spans="6:6" x14ac:dyDescent="0.3">
      <c r="F25059" s="193"/>
    </row>
    <row r="25060" spans="6:6" x14ac:dyDescent="0.3">
      <c r="F25060" s="193"/>
    </row>
    <row r="25061" spans="6:6" x14ac:dyDescent="0.3">
      <c r="F25061" s="193"/>
    </row>
    <row r="25062" spans="6:6" x14ac:dyDescent="0.3">
      <c r="F25062" s="193"/>
    </row>
    <row r="25063" spans="6:6" x14ac:dyDescent="0.3">
      <c r="F25063" s="193"/>
    </row>
    <row r="25064" spans="6:6" x14ac:dyDescent="0.3">
      <c r="F25064" s="193"/>
    </row>
    <row r="25065" spans="6:6" x14ac:dyDescent="0.3">
      <c r="F25065" s="193"/>
    </row>
    <row r="25066" spans="6:6" x14ac:dyDescent="0.3">
      <c r="F25066" s="193"/>
    </row>
    <row r="25067" spans="6:6" x14ac:dyDescent="0.3">
      <c r="F25067" s="193"/>
    </row>
    <row r="25068" spans="6:6" x14ac:dyDescent="0.3">
      <c r="F25068" s="193"/>
    </row>
    <row r="25069" spans="6:6" x14ac:dyDescent="0.3">
      <c r="F25069" s="193"/>
    </row>
    <row r="25070" spans="6:6" x14ac:dyDescent="0.3">
      <c r="F25070" s="193"/>
    </row>
    <row r="25071" spans="6:6" x14ac:dyDescent="0.3">
      <c r="F25071" s="193"/>
    </row>
    <row r="25072" spans="6:6" x14ac:dyDescent="0.3">
      <c r="F25072" s="193"/>
    </row>
    <row r="25073" spans="6:6" x14ac:dyDescent="0.3">
      <c r="F25073" s="193"/>
    </row>
    <row r="25074" spans="6:6" x14ac:dyDescent="0.3">
      <c r="F25074" s="193"/>
    </row>
    <row r="25075" spans="6:6" x14ac:dyDescent="0.3">
      <c r="F25075" s="193"/>
    </row>
    <row r="25076" spans="6:6" x14ac:dyDescent="0.3">
      <c r="F25076" s="193"/>
    </row>
    <row r="25077" spans="6:6" x14ac:dyDescent="0.3">
      <c r="F25077" s="193"/>
    </row>
    <row r="25078" spans="6:6" x14ac:dyDescent="0.3">
      <c r="F25078" s="193"/>
    </row>
    <row r="25079" spans="6:6" x14ac:dyDescent="0.3">
      <c r="F25079" s="193"/>
    </row>
    <row r="25080" spans="6:6" x14ac:dyDescent="0.3">
      <c r="F25080" s="193"/>
    </row>
    <row r="25081" spans="6:6" x14ac:dyDescent="0.3">
      <c r="F25081" s="193"/>
    </row>
    <row r="25082" spans="6:6" x14ac:dyDescent="0.3">
      <c r="F25082" s="193"/>
    </row>
    <row r="25083" spans="6:6" x14ac:dyDescent="0.3">
      <c r="F25083" s="193"/>
    </row>
    <row r="25084" spans="6:6" x14ac:dyDescent="0.3">
      <c r="F25084" s="193"/>
    </row>
    <row r="25085" spans="6:6" x14ac:dyDescent="0.3">
      <c r="F25085" s="193"/>
    </row>
    <row r="25086" spans="6:6" x14ac:dyDescent="0.3">
      <c r="F25086" s="193"/>
    </row>
    <row r="25087" spans="6:6" x14ac:dyDescent="0.3">
      <c r="F25087" s="193"/>
    </row>
    <row r="25088" spans="6:6" x14ac:dyDescent="0.3">
      <c r="F25088" s="193"/>
    </row>
    <row r="25089" spans="6:6" x14ac:dyDescent="0.3">
      <c r="F25089" s="193"/>
    </row>
    <row r="25090" spans="6:6" x14ac:dyDescent="0.3">
      <c r="F25090" s="193"/>
    </row>
    <row r="25091" spans="6:6" x14ac:dyDescent="0.3">
      <c r="F25091" s="193"/>
    </row>
    <row r="25092" spans="6:6" x14ac:dyDescent="0.3">
      <c r="F25092" s="193"/>
    </row>
    <row r="25093" spans="6:6" x14ac:dyDescent="0.3">
      <c r="F25093" s="193"/>
    </row>
    <row r="25094" spans="6:6" x14ac:dyDescent="0.3">
      <c r="F25094" s="193"/>
    </row>
    <row r="25095" spans="6:6" x14ac:dyDescent="0.3">
      <c r="F25095" s="193"/>
    </row>
    <row r="25096" spans="6:6" x14ac:dyDescent="0.3">
      <c r="F25096" s="193"/>
    </row>
    <row r="25097" spans="6:6" x14ac:dyDescent="0.3">
      <c r="F25097" s="193"/>
    </row>
    <row r="25098" spans="6:6" x14ac:dyDescent="0.3">
      <c r="F25098" s="193"/>
    </row>
    <row r="25099" spans="6:6" x14ac:dyDescent="0.3">
      <c r="F25099" s="193"/>
    </row>
    <row r="25100" spans="6:6" x14ac:dyDescent="0.3">
      <c r="F25100" s="193"/>
    </row>
    <row r="25101" spans="6:6" x14ac:dyDescent="0.3">
      <c r="F25101" s="193"/>
    </row>
    <row r="25102" spans="6:6" x14ac:dyDescent="0.3">
      <c r="F25102" s="193"/>
    </row>
    <row r="25103" spans="6:6" x14ac:dyDescent="0.3">
      <c r="F25103" s="193"/>
    </row>
    <row r="25104" spans="6:6" x14ac:dyDescent="0.3">
      <c r="F25104" s="193"/>
    </row>
    <row r="25105" spans="6:6" x14ac:dyDescent="0.3">
      <c r="F25105" s="193"/>
    </row>
    <row r="25106" spans="6:6" x14ac:dyDescent="0.3">
      <c r="F25106" s="193"/>
    </row>
    <row r="25107" spans="6:6" x14ac:dyDescent="0.3">
      <c r="F25107" s="193"/>
    </row>
    <row r="25108" spans="6:6" x14ac:dyDescent="0.3">
      <c r="F25108" s="193"/>
    </row>
    <row r="25109" spans="6:6" x14ac:dyDescent="0.3">
      <c r="F25109" s="193"/>
    </row>
    <row r="25110" spans="6:6" x14ac:dyDescent="0.3">
      <c r="F25110" s="193"/>
    </row>
    <row r="25111" spans="6:6" x14ac:dyDescent="0.3">
      <c r="F25111" s="193"/>
    </row>
    <row r="25112" spans="6:6" x14ac:dyDescent="0.3">
      <c r="F25112" s="193"/>
    </row>
    <row r="25113" spans="6:6" x14ac:dyDescent="0.3">
      <c r="F25113" s="193"/>
    </row>
    <row r="25114" spans="6:6" x14ac:dyDescent="0.3">
      <c r="F25114" s="193"/>
    </row>
    <row r="25115" spans="6:6" x14ac:dyDescent="0.3">
      <c r="F25115" s="193"/>
    </row>
    <row r="25116" spans="6:6" x14ac:dyDescent="0.3">
      <c r="F25116" s="193"/>
    </row>
    <row r="25117" spans="6:6" x14ac:dyDescent="0.3">
      <c r="F25117" s="193"/>
    </row>
    <row r="25118" spans="6:6" x14ac:dyDescent="0.3">
      <c r="F25118" s="193"/>
    </row>
    <row r="25119" spans="6:6" x14ac:dyDescent="0.3">
      <c r="F25119" s="193"/>
    </row>
    <row r="25120" spans="6:6" x14ac:dyDescent="0.3">
      <c r="F25120" s="193"/>
    </row>
    <row r="25121" spans="6:6" x14ac:dyDescent="0.3">
      <c r="F25121" s="193"/>
    </row>
    <row r="25122" spans="6:6" x14ac:dyDescent="0.3">
      <c r="F25122" s="193"/>
    </row>
    <row r="25123" spans="6:6" x14ac:dyDescent="0.3">
      <c r="F25123" s="193"/>
    </row>
    <row r="25124" spans="6:6" x14ac:dyDescent="0.3">
      <c r="F25124" s="193"/>
    </row>
    <row r="25125" spans="6:6" x14ac:dyDescent="0.3">
      <c r="F25125" s="193"/>
    </row>
    <row r="25126" spans="6:6" x14ac:dyDescent="0.3">
      <c r="F25126" s="193"/>
    </row>
    <row r="25127" spans="6:6" x14ac:dyDescent="0.3">
      <c r="F25127" s="193"/>
    </row>
    <row r="25128" spans="6:6" x14ac:dyDescent="0.3">
      <c r="F25128" s="193"/>
    </row>
    <row r="25129" spans="6:6" x14ac:dyDescent="0.3">
      <c r="F25129" s="193"/>
    </row>
    <row r="25130" spans="6:6" x14ac:dyDescent="0.3">
      <c r="F25130" s="193"/>
    </row>
    <row r="25131" spans="6:6" x14ac:dyDescent="0.3">
      <c r="F25131" s="193"/>
    </row>
    <row r="25132" spans="6:6" x14ac:dyDescent="0.3">
      <c r="F25132" s="193"/>
    </row>
    <row r="25133" spans="6:6" x14ac:dyDescent="0.3">
      <c r="F25133" s="193"/>
    </row>
    <row r="25134" spans="6:6" x14ac:dyDescent="0.3">
      <c r="F25134" s="193"/>
    </row>
    <row r="25135" spans="6:6" x14ac:dyDescent="0.3">
      <c r="F25135" s="193"/>
    </row>
    <row r="25136" spans="6:6" x14ac:dyDescent="0.3">
      <c r="F25136" s="193"/>
    </row>
    <row r="25137" spans="6:6" x14ac:dyDescent="0.3">
      <c r="F25137" s="193"/>
    </row>
    <row r="25138" spans="6:6" x14ac:dyDescent="0.3">
      <c r="F25138" s="193"/>
    </row>
    <row r="25139" spans="6:6" x14ac:dyDescent="0.3">
      <c r="F25139" s="193"/>
    </row>
    <row r="25140" spans="6:6" x14ac:dyDescent="0.3">
      <c r="F25140" s="193"/>
    </row>
    <row r="25141" spans="6:6" x14ac:dyDescent="0.3">
      <c r="F25141" s="193"/>
    </row>
    <row r="25142" spans="6:6" x14ac:dyDescent="0.3">
      <c r="F25142" s="193"/>
    </row>
    <row r="25143" spans="6:6" x14ac:dyDescent="0.3">
      <c r="F25143" s="193"/>
    </row>
    <row r="25144" spans="6:6" x14ac:dyDescent="0.3">
      <c r="F25144" s="193"/>
    </row>
    <row r="25145" spans="6:6" x14ac:dyDescent="0.3">
      <c r="F25145" s="193"/>
    </row>
    <row r="25146" spans="6:6" x14ac:dyDescent="0.3">
      <c r="F25146" s="193"/>
    </row>
    <row r="25147" spans="6:6" x14ac:dyDescent="0.3">
      <c r="F25147" s="193"/>
    </row>
    <row r="25148" spans="6:6" x14ac:dyDescent="0.3">
      <c r="F25148" s="193"/>
    </row>
    <row r="25149" spans="6:6" x14ac:dyDescent="0.3">
      <c r="F25149" s="193"/>
    </row>
    <row r="25150" spans="6:6" x14ac:dyDescent="0.3">
      <c r="F25150" s="193"/>
    </row>
    <row r="25151" spans="6:6" x14ac:dyDescent="0.3">
      <c r="F25151" s="193"/>
    </row>
    <row r="25152" spans="6:6" x14ac:dyDescent="0.3">
      <c r="F25152" s="193"/>
    </row>
    <row r="25153" spans="6:6" x14ac:dyDescent="0.3">
      <c r="F25153" s="193"/>
    </row>
    <row r="25154" spans="6:6" x14ac:dyDescent="0.3">
      <c r="F25154" s="193"/>
    </row>
    <row r="25155" spans="6:6" x14ac:dyDescent="0.3">
      <c r="F25155" s="193"/>
    </row>
    <row r="25156" spans="6:6" x14ac:dyDescent="0.3">
      <c r="F25156" s="193"/>
    </row>
    <row r="25157" spans="6:6" x14ac:dyDescent="0.3">
      <c r="F25157" s="193"/>
    </row>
    <row r="25158" spans="6:6" x14ac:dyDescent="0.3">
      <c r="F25158" s="193"/>
    </row>
    <row r="25159" spans="6:6" x14ac:dyDescent="0.3">
      <c r="F25159" s="193"/>
    </row>
    <row r="25160" spans="6:6" x14ac:dyDescent="0.3">
      <c r="F25160" s="193"/>
    </row>
    <row r="25161" spans="6:6" x14ac:dyDescent="0.3">
      <c r="F25161" s="193"/>
    </row>
    <row r="25162" spans="6:6" x14ac:dyDescent="0.3">
      <c r="F25162" s="193"/>
    </row>
    <row r="25163" spans="6:6" x14ac:dyDescent="0.3">
      <c r="F25163" s="193"/>
    </row>
    <row r="25164" spans="6:6" x14ac:dyDescent="0.3">
      <c r="F25164" s="193"/>
    </row>
    <row r="25165" spans="6:6" x14ac:dyDescent="0.3">
      <c r="F25165" s="193"/>
    </row>
    <row r="25166" spans="6:6" x14ac:dyDescent="0.3">
      <c r="F25166" s="193"/>
    </row>
    <row r="25167" spans="6:6" x14ac:dyDescent="0.3">
      <c r="F25167" s="193"/>
    </row>
    <row r="25168" spans="6:6" x14ac:dyDescent="0.3">
      <c r="F25168" s="193"/>
    </row>
    <row r="25169" spans="6:6" x14ac:dyDescent="0.3">
      <c r="F25169" s="193"/>
    </row>
    <row r="25170" spans="6:6" x14ac:dyDescent="0.3">
      <c r="F25170" s="193"/>
    </row>
    <row r="25171" spans="6:6" x14ac:dyDescent="0.3">
      <c r="F25171" s="193"/>
    </row>
    <row r="25172" spans="6:6" x14ac:dyDescent="0.3">
      <c r="F25172" s="193"/>
    </row>
    <row r="25173" spans="6:6" x14ac:dyDescent="0.3">
      <c r="F25173" s="193"/>
    </row>
    <row r="25174" spans="6:6" x14ac:dyDescent="0.3">
      <c r="F25174" s="193"/>
    </row>
    <row r="25175" spans="6:6" x14ac:dyDescent="0.3">
      <c r="F25175" s="193"/>
    </row>
    <row r="25176" spans="6:6" x14ac:dyDescent="0.3">
      <c r="F25176" s="193"/>
    </row>
    <row r="25177" spans="6:6" x14ac:dyDescent="0.3">
      <c r="F25177" s="193"/>
    </row>
    <row r="25178" spans="6:6" x14ac:dyDescent="0.3">
      <c r="F25178" s="193"/>
    </row>
    <row r="25179" spans="6:6" x14ac:dyDescent="0.3">
      <c r="F25179" s="193"/>
    </row>
    <row r="25180" spans="6:6" x14ac:dyDescent="0.3">
      <c r="F25180" s="193"/>
    </row>
    <row r="25181" spans="6:6" x14ac:dyDescent="0.3">
      <c r="F25181" s="193"/>
    </row>
    <row r="25182" spans="6:6" x14ac:dyDescent="0.3">
      <c r="F25182" s="193"/>
    </row>
    <row r="25183" spans="6:6" x14ac:dyDescent="0.3">
      <c r="F25183" s="193"/>
    </row>
    <row r="25184" spans="6:6" x14ac:dyDescent="0.3">
      <c r="F25184" s="193"/>
    </row>
    <row r="25185" spans="6:6" x14ac:dyDescent="0.3">
      <c r="F25185" s="193"/>
    </row>
    <row r="25186" spans="6:6" x14ac:dyDescent="0.3">
      <c r="F25186" s="193"/>
    </row>
    <row r="25187" spans="6:6" x14ac:dyDescent="0.3">
      <c r="F25187" s="193"/>
    </row>
    <row r="25188" spans="6:6" x14ac:dyDescent="0.3">
      <c r="F25188" s="193"/>
    </row>
    <row r="25189" spans="6:6" x14ac:dyDescent="0.3">
      <c r="F25189" s="193"/>
    </row>
    <row r="25190" spans="6:6" x14ac:dyDescent="0.3">
      <c r="F25190" s="193"/>
    </row>
    <row r="25191" spans="6:6" x14ac:dyDescent="0.3">
      <c r="F25191" s="193"/>
    </row>
    <row r="25192" spans="6:6" x14ac:dyDescent="0.3">
      <c r="F25192" s="193"/>
    </row>
    <row r="25193" spans="6:6" x14ac:dyDescent="0.3">
      <c r="F25193" s="193"/>
    </row>
    <row r="25194" spans="6:6" x14ac:dyDescent="0.3">
      <c r="F25194" s="193"/>
    </row>
    <row r="25195" spans="6:6" x14ac:dyDescent="0.3">
      <c r="F25195" s="193"/>
    </row>
    <row r="25196" spans="6:6" x14ac:dyDescent="0.3">
      <c r="F25196" s="193"/>
    </row>
    <row r="25197" spans="6:6" x14ac:dyDescent="0.3">
      <c r="F25197" s="193"/>
    </row>
    <row r="25198" spans="6:6" x14ac:dyDescent="0.3">
      <c r="F25198" s="193"/>
    </row>
    <row r="25199" spans="6:6" x14ac:dyDescent="0.3">
      <c r="F25199" s="193"/>
    </row>
    <row r="25200" spans="6:6" x14ac:dyDescent="0.3">
      <c r="F25200" s="193"/>
    </row>
    <row r="25201" spans="6:6" x14ac:dyDescent="0.3">
      <c r="F25201" s="193"/>
    </row>
    <row r="25202" spans="6:6" x14ac:dyDescent="0.3">
      <c r="F25202" s="193"/>
    </row>
    <row r="25203" spans="6:6" x14ac:dyDescent="0.3">
      <c r="F25203" s="193"/>
    </row>
    <row r="25204" spans="6:6" x14ac:dyDescent="0.3">
      <c r="F25204" s="193"/>
    </row>
    <row r="25205" spans="6:6" x14ac:dyDescent="0.3">
      <c r="F25205" s="193"/>
    </row>
    <row r="25206" spans="6:6" x14ac:dyDescent="0.3">
      <c r="F25206" s="193"/>
    </row>
    <row r="25207" spans="6:6" x14ac:dyDescent="0.3">
      <c r="F25207" s="193"/>
    </row>
    <row r="25208" spans="6:6" x14ac:dyDescent="0.3">
      <c r="F25208" s="193"/>
    </row>
    <row r="25209" spans="6:6" x14ac:dyDescent="0.3">
      <c r="F25209" s="193"/>
    </row>
    <row r="25210" spans="6:6" x14ac:dyDescent="0.3">
      <c r="F25210" s="193"/>
    </row>
    <row r="25211" spans="6:6" x14ac:dyDescent="0.3">
      <c r="F25211" s="193"/>
    </row>
    <row r="25212" spans="6:6" x14ac:dyDescent="0.3">
      <c r="F25212" s="193"/>
    </row>
    <row r="25213" spans="6:6" x14ac:dyDescent="0.3">
      <c r="F25213" s="193"/>
    </row>
    <row r="25214" spans="6:6" x14ac:dyDescent="0.3">
      <c r="F25214" s="193"/>
    </row>
    <row r="25215" spans="6:6" x14ac:dyDescent="0.3">
      <c r="F25215" s="193"/>
    </row>
    <row r="25216" spans="6:6" x14ac:dyDescent="0.3">
      <c r="F25216" s="193"/>
    </row>
    <row r="25217" spans="6:6" x14ac:dyDescent="0.3">
      <c r="F25217" s="193"/>
    </row>
    <row r="25218" spans="6:6" x14ac:dyDescent="0.3">
      <c r="F25218" s="193"/>
    </row>
    <row r="25219" spans="6:6" x14ac:dyDescent="0.3">
      <c r="F25219" s="193"/>
    </row>
    <row r="25220" spans="6:6" x14ac:dyDescent="0.3">
      <c r="F25220" s="193"/>
    </row>
    <row r="25221" spans="6:6" x14ac:dyDescent="0.3">
      <c r="F25221" s="193"/>
    </row>
    <row r="25222" spans="6:6" x14ac:dyDescent="0.3">
      <c r="F25222" s="193"/>
    </row>
    <row r="25223" spans="6:6" x14ac:dyDescent="0.3">
      <c r="F25223" s="193"/>
    </row>
    <row r="25224" spans="6:6" x14ac:dyDescent="0.3">
      <c r="F25224" s="193"/>
    </row>
    <row r="25225" spans="6:6" x14ac:dyDescent="0.3">
      <c r="F25225" s="193"/>
    </row>
    <row r="25226" spans="6:6" x14ac:dyDescent="0.3">
      <c r="F25226" s="193"/>
    </row>
    <row r="25227" spans="6:6" x14ac:dyDescent="0.3">
      <c r="F25227" s="193"/>
    </row>
    <row r="25228" spans="6:6" x14ac:dyDescent="0.3">
      <c r="F25228" s="193"/>
    </row>
    <row r="25229" spans="6:6" x14ac:dyDescent="0.3">
      <c r="F25229" s="193"/>
    </row>
    <row r="25230" spans="6:6" x14ac:dyDescent="0.3">
      <c r="F25230" s="193"/>
    </row>
    <row r="25231" spans="6:6" x14ac:dyDescent="0.3">
      <c r="F25231" s="193"/>
    </row>
    <row r="25232" spans="6:6" x14ac:dyDescent="0.3">
      <c r="F25232" s="193"/>
    </row>
    <row r="25233" spans="6:6" x14ac:dyDescent="0.3">
      <c r="F25233" s="193"/>
    </row>
    <row r="25234" spans="6:6" x14ac:dyDescent="0.3">
      <c r="F25234" s="193"/>
    </row>
    <row r="25235" spans="6:6" x14ac:dyDescent="0.3">
      <c r="F25235" s="193"/>
    </row>
    <row r="25236" spans="6:6" x14ac:dyDescent="0.3">
      <c r="F25236" s="193"/>
    </row>
    <row r="25237" spans="6:6" x14ac:dyDescent="0.3">
      <c r="F25237" s="193"/>
    </row>
    <row r="25238" spans="6:6" x14ac:dyDescent="0.3">
      <c r="F25238" s="193"/>
    </row>
    <row r="25239" spans="6:6" x14ac:dyDescent="0.3">
      <c r="F25239" s="193"/>
    </row>
    <row r="25240" spans="6:6" x14ac:dyDescent="0.3">
      <c r="F25240" s="193"/>
    </row>
    <row r="25241" spans="6:6" x14ac:dyDescent="0.3">
      <c r="F25241" s="193"/>
    </row>
    <row r="25242" spans="6:6" x14ac:dyDescent="0.3">
      <c r="F25242" s="193"/>
    </row>
    <row r="25243" spans="6:6" x14ac:dyDescent="0.3">
      <c r="F25243" s="193"/>
    </row>
    <row r="25244" spans="6:6" x14ac:dyDescent="0.3">
      <c r="F25244" s="193"/>
    </row>
    <row r="25245" spans="6:6" x14ac:dyDescent="0.3">
      <c r="F25245" s="193"/>
    </row>
    <row r="25246" spans="6:6" x14ac:dyDescent="0.3">
      <c r="F25246" s="193"/>
    </row>
    <row r="25247" spans="6:6" x14ac:dyDescent="0.3">
      <c r="F25247" s="193"/>
    </row>
    <row r="25248" spans="6:6" x14ac:dyDescent="0.3">
      <c r="F25248" s="193"/>
    </row>
    <row r="25249" spans="6:6" x14ac:dyDescent="0.3">
      <c r="F25249" s="193"/>
    </row>
    <row r="25250" spans="6:6" x14ac:dyDescent="0.3">
      <c r="F25250" s="193"/>
    </row>
    <row r="25251" spans="6:6" x14ac:dyDescent="0.3">
      <c r="F25251" s="193"/>
    </row>
    <row r="25252" spans="6:6" x14ac:dyDescent="0.3">
      <c r="F25252" s="193"/>
    </row>
    <row r="25253" spans="6:6" x14ac:dyDescent="0.3">
      <c r="F25253" s="193"/>
    </row>
    <row r="25254" spans="6:6" x14ac:dyDescent="0.3">
      <c r="F25254" s="193"/>
    </row>
    <row r="25255" spans="6:6" x14ac:dyDescent="0.3">
      <c r="F25255" s="193"/>
    </row>
    <row r="25256" spans="6:6" x14ac:dyDescent="0.3">
      <c r="F25256" s="193"/>
    </row>
    <row r="25257" spans="6:6" x14ac:dyDescent="0.3">
      <c r="F25257" s="193"/>
    </row>
    <row r="25258" spans="6:6" x14ac:dyDescent="0.3">
      <c r="F25258" s="193"/>
    </row>
    <row r="25259" spans="6:6" x14ac:dyDescent="0.3">
      <c r="F25259" s="193"/>
    </row>
    <row r="25260" spans="6:6" x14ac:dyDescent="0.3">
      <c r="F25260" s="193"/>
    </row>
    <row r="25261" spans="6:6" x14ac:dyDescent="0.3">
      <c r="F25261" s="193"/>
    </row>
    <row r="25262" spans="6:6" x14ac:dyDescent="0.3">
      <c r="F25262" s="193"/>
    </row>
    <row r="25263" spans="6:6" x14ac:dyDescent="0.3">
      <c r="F25263" s="193"/>
    </row>
    <row r="25264" spans="6:6" x14ac:dyDescent="0.3">
      <c r="F25264" s="193"/>
    </row>
    <row r="25265" spans="6:6" x14ac:dyDescent="0.3">
      <c r="F25265" s="193"/>
    </row>
    <row r="25266" spans="6:6" x14ac:dyDescent="0.3">
      <c r="F25266" s="193"/>
    </row>
    <row r="25267" spans="6:6" x14ac:dyDescent="0.3">
      <c r="F25267" s="193"/>
    </row>
    <row r="25268" spans="6:6" x14ac:dyDescent="0.3">
      <c r="F25268" s="193"/>
    </row>
    <row r="25269" spans="6:6" x14ac:dyDescent="0.3">
      <c r="F25269" s="193"/>
    </row>
    <row r="25270" spans="6:6" x14ac:dyDescent="0.3">
      <c r="F25270" s="193"/>
    </row>
    <row r="25271" spans="6:6" x14ac:dyDescent="0.3">
      <c r="F25271" s="193"/>
    </row>
    <row r="25272" spans="6:6" x14ac:dyDescent="0.3">
      <c r="F25272" s="193"/>
    </row>
    <row r="25273" spans="6:6" x14ac:dyDescent="0.3">
      <c r="F25273" s="193"/>
    </row>
    <row r="25274" spans="6:6" x14ac:dyDescent="0.3">
      <c r="F25274" s="193"/>
    </row>
    <row r="25275" spans="6:6" x14ac:dyDescent="0.3">
      <c r="F25275" s="193"/>
    </row>
    <row r="25276" spans="6:6" x14ac:dyDescent="0.3">
      <c r="F25276" s="193"/>
    </row>
    <row r="25277" spans="6:6" x14ac:dyDescent="0.3">
      <c r="F25277" s="193"/>
    </row>
    <row r="25278" spans="6:6" x14ac:dyDescent="0.3">
      <c r="F25278" s="193"/>
    </row>
    <row r="25279" spans="6:6" x14ac:dyDescent="0.3">
      <c r="F25279" s="193"/>
    </row>
    <row r="25280" spans="6:6" x14ac:dyDescent="0.3">
      <c r="F25280" s="193"/>
    </row>
    <row r="25281" spans="6:6" x14ac:dyDescent="0.3">
      <c r="F25281" s="193"/>
    </row>
    <row r="25282" spans="6:6" x14ac:dyDescent="0.3">
      <c r="F25282" s="193"/>
    </row>
    <row r="25283" spans="6:6" x14ac:dyDescent="0.3">
      <c r="F25283" s="193"/>
    </row>
    <row r="25284" spans="6:6" x14ac:dyDescent="0.3">
      <c r="F25284" s="193"/>
    </row>
    <row r="25285" spans="6:6" x14ac:dyDescent="0.3">
      <c r="F25285" s="193"/>
    </row>
    <row r="25286" spans="6:6" x14ac:dyDescent="0.3">
      <c r="F25286" s="193"/>
    </row>
    <row r="25287" spans="6:6" x14ac:dyDescent="0.3">
      <c r="F25287" s="193"/>
    </row>
    <row r="25288" spans="6:6" x14ac:dyDescent="0.3">
      <c r="F25288" s="193"/>
    </row>
    <row r="25289" spans="6:6" x14ac:dyDescent="0.3">
      <c r="F25289" s="193"/>
    </row>
    <row r="25290" spans="6:6" x14ac:dyDescent="0.3">
      <c r="F25290" s="193"/>
    </row>
    <row r="25291" spans="6:6" x14ac:dyDescent="0.3">
      <c r="F25291" s="193"/>
    </row>
    <row r="25292" spans="6:6" x14ac:dyDescent="0.3">
      <c r="F25292" s="193"/>
    </row>
    <row r="25293" spans="6:6" x14ac:dyDescent="0.3">
      <c r="F25293" s="193"/>
    </row>
    <row r="25294" spans="6:6" x14ac:dyDescent="0.3">
      <c r="F25294" s="193"/>
    </row>
    <row r="25295" spans="6:6" x14ac:dyDescent="0.3">
      <c r="F25295" s="193"/>
    </row>
    <row r="25296" spans="6:6" x14ac:dyDescent="0.3">
      <c r="F25296" s="193"/>
    </row>
    <row r="25297" spans="6:6" x14ac:dyDescent="0.3">
      <c r="F25297" s="193"/>
    </row>
    <row r="25298" spans="6:6" x14ac:dyDescent="0.3">
      <c r="F25298" s="193"/>
    </row>
    <row r="25299" spans="6:6" x14ac:dyDescent="0.3">
      <c r="F25299" s="193"/>
    </row>
    <row r="25300" spans="6:6" x14ac:dyDescent="0.3">
      <c r="F25300" s="193"/>
    </row>
    <row r="25301" spans="6:6" x14ac:dyDescent="0.3">
      <c r="F25301" s="193"/>
    </row>
    <row r="25302" spans="6:6" x14ac:dyDescent="0.3">
      <c r="F25302" s="193"/>
    </row>
    <row r="25303" spans="6:6" x14ac:dyDescent="0.3">
      <c r="F25303" s="193"/>
    </row>
    <row r="25304" spans="6:6" x14ac:dyDescent="0.3">
      <c r="F25304" s="193"/>
    </row>
    <row r="25305" spans="6:6" x14ac:dyDescent="0.3">
      <c r="F25305" s="193"/>
    </row>
    <row r="25306" spans="6:6" x14ac:dyDescent="0.3">
      <c r="F25306" s="193"/>
    </row>
    <row r="25307" spans="6:6" x14ac:dyDescent="0.3">
      <c r="F25307" s="193"/>
    </row>
    <row r="25308" spans="6:6" x14ac:dyDescent="0.3">
      <c r="F25308" s="193"/>
    </row>
    <row r="25309" spans="6:6" x14ac:dyDescent="0.3">
      <c r="F25309" s="193"/>
    </row>
    <row r="25310" spans="6:6" x14ac:dyDescent="0.3">
      <c r="F25310" s="193"/>
    </row>
    <row r="25311" spans="6:6" x14ac:dyDescent="0.3">
      <c r="F25311" s="193"/>
    </row>
    <row r="25312" spans="6:6" x14ac:dyDescent="0.3">
      <c r="F25312" s="193"/>
    </row>
    <row r="25313" spans="6:6" x14ac:dyDescent="0.3">
      <c r="F25313" s="193"/>
    </row>
    <row r="25314" spans="6:6" x14ac:dyDescent="0.3">
      <c r="F25314" s="193"/>
    </row>
    <row r="25315" spans="6:6" x14ac:dyDescent="0.3">
      <c r="F25315" s="193"/>
    </row>
    <row r="25316" spans="6:6" x14ac:dyDescent="0.3">
      <c r="F25316" s="193"/>
    </row>
    <row r="25317" spans="6:6" x14ac:dyDescent="0.3">
      <c r="F25317" s="193"/>
    </row>
    <row r="25318" spans="6:6" x14ac:dyDescent="0.3">
      <c r="F25318" s="193"/>
    </row>
    <row r="25319" spans="6:6" x14ac:dyDescent="0.3">
      <c r="F25319" s="193"/>
    </row>
    <row r="25320" spans="6:6" x14ac:dyDescent="0.3">
      <c r="F25320" s="193"/>
    </row>
    <row r="25321" spans="6:6" x14ac:dyDescent="0.3">
      <c r="F25321" s="193"/>
    </row>
    <row r="25322" spans="6:6" x14ac:dyDescent="0.3">
      <c r="F25322" s="193"/>
    </row>
    <row r="25323" spans="6:6" x14ac:dyDescent="0.3">
      <c r="F25323" s="193"/>
    </row>
    <row r="25324" spans="6:6" x14ac:dyDescent="0.3">
      <c r="F25324" s="193"/>
    </row>
    <row r="25325" spans="6:6" x14ac:dyDescent="0.3">
      <c r="F25325" s="193"/>
    </row>
    <row r="25326" spans="6:6" x14ac:dyDescent="0.3">
      <c r="F25326" s="193"/>
    </row>
    <row r="25327" spans="6:6" x14ac:dyDescent="0.3">
      <c r="F25327" s="193"/>
    </row>
    <row r="25328" spans="6:6" x14ac:dyDescent="0.3">
      <c r="F25328" s="193"/>
    </row>
    <row r="25329" spans="6:6" x14ac:dyDescent="0.3">
      <c r="F25329" s="193"/>
    </row>
    <row r="25330" spans="6:6" x14ac:dyDescent="0.3">
      <c r="F25330" s="193"/>
    </row>
    <row r="25331" spans="6:6" x14ac:dyDescent="0.3">
      <c r="F25331" s="193"/>
    </row>
    <row r="25332" spans="6:6" x14ac:dyDescent="0.3">
      <c r="F25332" s="193"/>
    </row>
    <row r="25333" spans="6:6" x14ac:dyDescent="0.3">
      <c r="F25333" s="193"/>
    </row>
    <row r="25334" spans="6:6" x14ac:dyDescent="0.3">
      <c r="F25334" s="193"/>
    </row>
    <row r="25335" spans="6:6" x14ac:dyDescent="0.3">
      <c r="F25335" s="193"/>
    </row>
    <row r="25336" spans="6:6" x14ac:dyDescent="0.3">
      <c r="F25336" s="193"/>
    </row>
    <row r="25337" spans="6:6" x14ac:dyDescent="0.3">
      <c r="F25337" s="193"/>
    </row>
    <row r="25338" spans="6:6" x14ac:dyDescent="0.3">
      <c r="F25338" s="193"/>
    </row>
    <row r="25339" spans="6:6" x14ac:dyDescent="0.3">
      <c r="F25339" s="193"/>
    </row>
    <row r="25340" spans="6:6" x14ac:dyDescent="0.3">
      <c r="F25340" s="193"/>
    </row>
    <row r="25341" spans="6:6" x14ac:dyDescent="0.3">
      <c r="F25341" s="193"/>
    </row>
    <row r="25342" spans="6:6" x14ac:dyDescent="0.3">
      <c r="F25342" s="193"/>
    </row>
    <row r="25343" spans="6:6" x14ac:dyDescent="0.3">
      <c r="F25343" s="193"/>
    </row>
    <row r="25344" spans="6:6" x14ac:dyDescent="0.3">
      <c r="F25344" s="193"/>
    </row>
    <row r="25345" spans="6:6" x14ac:dyDescent="0.3">
      <c r="F25345" s="193"/>
    </row>
    <row r="25346" spans="6:6" x14ac:dyDescent="0.3">
      <c r="F25346" s="193"/>
    </row>
    <row r="25347" spans="6:6" x14ac:dyDescent="0.3">
      <c r="F25347" s="193"/>
    </row>
    <row r="25348" spans="6:6" x14ac:dyDescent="0.3">
      <c r="F25348" s="193"/>
    </row>
    <row r="25349" spans="6:6" x14ac:dyDescent="0.3">
      <c r="F25349" s="193"/>
    </row>
    <row r="25350" spans="6:6" x14ac:dyDescent="0.3">
      <c r="F25350" s="193"/>
    </row>
    <row r="25351" spans="6:6" x14ac:dyDescent="0.3">
      <c r="F25351" s="193"/>
    </row>
    <row r="25352" spans="6:6" x14ac:dyDescent="0.3">
      <c r="F25352" s="193"/>
    </row>
    <row r="25353" spans="6:6" x14ac:dyDescent="0.3">
      <c r="F25353" s="193"/>
    </row>
    <row r="25354" spans="6:6" x14ac:dyDescent="0.3">
      <c r="F25354" s="193"/>
    </row>
    <row r="25355" spans="6:6" x14ac:dyDescent="0.3">
      <c r="F25355" s="193"/>
    </row>
    <row r="25356" spans="6:6" x14ac:dyDescent="0.3">
      <c r="F25356" s="193"/>
    </row>
    <row r="25357" spans="6:6" x14ac:dyDescent="0.3">
      <c r="F25357" s="193"/>
    </row>
    <row r="25358" spans="6:6" x14ac:dyDescent="0.3">
      <c r="F25358" s="193"/>
    </row>
    <row r="25359" spans="6:6" x14ac:dyDescent="0.3">
      <c r="F25359" s="193"/>
    </row>
    <row r="25360" spans="6:6" x14ac:dyDescent="0.3">
      <c r="F25360" s="193"/>
    </row>
    <row r="25361" spans="6:6" x14ac:dyDescent="0.3">
      <c r="F25361" s="193"/>
    </row>
    <row r="25362" spans="6:6" x14ac:dyDescent="0.3">
      <c r="F25362" s="193"/>
    </row>
    <row r="25363" spans="6:6" x14ac:dyDescent="0.3">
      <c r="F25363" s="193"/>
    </row>
    <row r="25364" spans="6:6" x14ac:dyDescent="0.3">
      <c r="F25364" s="193"/>
    </row>
    <row r="25365" spans="6:6" x14ac:dyDescent="0.3">
      <c r="F25365" s="193"/>
    </row>
    <row r="25366" spans="6:6" x14ac:dyDescent="0.3">
      <c r="F25366" s="193"/>
    </row>
    <row r="25367" spans="6:6" x14ac:dyDescent="0.3">
      <c r="F25367" s="193"/>
    </row>
    <row r="25368" spans="6:6" x14ac:dyDescent="0.3">
      <c r="F25368" s="193"/>
    </row>
    <row r="25369" spans="6:6" x14ac:dyDescent="0.3">
      <c r="F25369" s="193"/>
    </row>
    <row r="25370" spans="6:6" x14ac:dyDescent="0.3">
      <c r="F25370" s="193"/>
    </row>
    <row r="25371" spans="6:6" x14ac:dyDescent="0.3">
      <c r="F25371" s="193"/>
    </row>
    <row r="25372" spans="6:6" x14ac:dyDescent="0.3">
      <c r="F25372" s="193"/>
    </row>
    <row r="25373" spans="6:6" x14ac:dyDescent="0.3">
      <c r="F25373" s="193"/>
    </row>
    <row r="25374" spans="6:6" x14ac:dyDescent="0.3">
      <c r="F25374" s="193"/>
    </row>
    <row r="25375" spans="6:6" x14ac:dyDescent="0.3">
      <c r="F25375" s="193"/>
    </row>
    <row r="25376" spans="6:6" x14ac:dyDescent="0.3">
      <c r="F25376" s="193"/>
    </row>
    <row r="25377" spans="6:6" x14ac:dyDescent="0.3">
      <c r="F25377" s="193"/>
    </row>
    <row r="25378" spans="6:6" x14ac:dyDescent="0.3">
      <c r="F25378" s="193"/>
    </row>
    <row r="25379" spans="6:6" x14ac:dyDescent="0.3">
      <c r="F25379" s="193"/>
    </row>
    <row r="25380" spans="6:6" x14ac:dyDescent="0.3">
      <c r="F25380" s="193"/>
    </row>
    <row r="25381" spans="6:6" x14ac:dyDescent="0.3">
      <c r="F25381" s="193"/>
    </row>
    <row r="25382" spans="6:6" x14ac:dyDescent="0.3">
      <c r="F25382" s="193"/>
    </row>
    <row r="25383" spans="6:6" x14ac:dyDescent="0.3">
      <c r="F25383" s="193"/>
    </row>
    <row r="25384" spans="6:6" x14ac:dyDescent="0.3">
      <c r="F25384" s="193"/>
    </row>
    <row r="25385" spans="6:6" x14ac:dyDescent="0.3">
      <c r="F25385" s="193"/>
    </row>
    <row r="25386" spans="6:6" x14ac:dyDescent="0.3">
      <c r="F25386" s="193"/>
    </row>
    <row r="25387" spans="6:6" x14ac:dyDescent="0.3">
      <c r="F25387" s="193"/>
    </row>
    <row r="25388" spans="6:6" x14ac:dyDescent="0.3">
      <c r="F25388" s="193"/>
    </row>
    <row r="25389" spans="6:6" x14ac:dyDescent="0.3">
      <c r="F25389" s="193"/>
    </row>
    <row r="25390" spans="6:6" x14ac:dyDescent="0.3">
      <c r="F25390" s="193"/>
    </row>
    <row r="25391" spans="6:6" x14ac:dyDescent="0.3">
      <c r="F25391" s="193"/>
    </row>
    <row r="25392" spans="6:6" x14ac:dyDescent="0.3">
      <c r="F25392" s="193"/>
    </row>
    <row r="25393" spans="6:6" x14ac:dyDescent="0.3">
      <c r="F25393" s="193"/>
    </row>
    <row r="25394" spans="6:6" x14ac:dyDescent="0.3">
      <c r="F25394" s="193"/>
    </row>
    <row r="25395" spans="6:6" x14ac:dyDescent="0.3">
      <c r="F25395" s="193"/>
    </row>
    <row r="25396" spans="6:6" x14ac:dyDescent="0.3">
      <c r="F25396" s="193"/>
    </row>
    <row r="25397" spans="6:6" x14ac:dyDescent="0.3">
      <c r="F25397" s="193"/>
    </row>
    <row r="25398" spans="6:6" x14ac:dyDescent="0.3">
      <c r="F25398" s="193"/>
    </row>
    <row r="25399" spans="6:6" x14ac:dyDescent="0.3">
      <c r="F25399" s="193"/>
    </row>
    <row r="25400" spans="6:6" x14ac:dyDescent="0.3">
      <c r="F25400" s="193"/>
    </row>
    <row r="25401" spans="6:6" x14ac:dyDescent="0.3">
      <c r="F25401" s="193"/>
    </row>
    <row r="25402" spans="6:6" x14ac:dyDescent="0.3">
      <c r="F25402" s="193"/>
    </row>
    <row r="25403" spans="6:6" x14ac:dyDescent="0.3">
      <c r="F25403" s="193"/>
    </row>
    <row r="25404" spans="6:6" x14ac:dyDescent="0.3">
      <c r="F25404" s="193"/>
    </row>
    <row r="25405" spans="6:6" x14ac:dyDescent="0.3">
      <c r="F25405" s="193"/>
    </row>
    <row r="25406" spans="6:6" x14ac:dyDescent="0.3">
      <c r="F25406" s="193"/>
    </row>
    <row r="25407" spans="6:6" x14ac:dyDescent="0.3">
      <c r="F25407" s="193"/>
    </row>
    <row r="25408" spans="6:6" x14ac:dyDescent="0.3">
      <c r="F25408" s="193"/>
    </row>
    <row r="25409" spans="6:6" x14ac:dyDescent="0.3">
      <c r="F25409" s="193"/>
    </row>
    <row r="25410" spans="6:6" x14ac:dyDescent="0.3">
      <c r="F25410" s="193"/>
    </row>
    <row r="25411" spans="6:6" x14ac:dyDescent="0.3">
      <c r="F25411" s="193"/>
    </row>
    <row r="25412" spans="6:6" x14ac:dyDescent="0.3">
      <c r="F25412" s="193"/>
    </row>
    <row r="25413" spans="6:6" x14ac:dyDescent="0.3">
      <c r="F25413" s="193"/>
    </row>
    <row r="25414" spans="6:6" x14ac:dyDescent="0.3">
      <c r="F25414" s="193"/>
    </row>
    <row r="25415" spans="6:6" x14ac:dyDescent="0.3">
      <c r="F25415" s="193"/>
    </row>
    <row r="25416" spans="6:6" x14ac:dyDescent="0.3">
      <c r="F25416" s="193"/>
    </row>
    <row r="25417" spans="6:6" x14ac:dyDescent="0.3">
      <c r="F25417" s="193"/>
    </row>
    <row r="25418" spans="6:6" x14ac:dyDescent="0.3">
      <c r="F25418" s="193"/>
    </row>
    <row r="25419" spans="6:6" x14ac:dyDescent="0.3">
      <c r="F25419" s="193"/>
    </row>
    <row r="25420" spans="6:6" x14ac:dyDescent="0.3">
      <c r="F25420" s="193"/>
    </row>
    <row r="25421" spans="6:6" x14ac:dyDescent="0.3">
      <c r="F25421" s="193"/>
    </row>
    <row r="25422" spans="6:6" x14ac:dyDescent="0.3">
      <c r="F25422" s="193"/>
    </row>
    <row r="25423" spans="6:6" x14ac:dyDescent="0.3">
      <c r="F25423" s="193"/>
    </row>
    <row r="25424" spans="6:6" x14ac:dyDescent="0.3">
      <c r="F25424" s="193"/>
    </row>
    <row r="25425" spans="6:6" x14ac:dyDescent="0.3">
      <c r="F25425" s="193"/>
    </row>
    <row r="25426" spans="6:6" x14ac:dyDescent="0.3">
      <c r="F25426" s="193"/>
    </row>
    <row r="25427" spans="6:6" x14ac:dyDescent="0.3">
      <c r="F25427" s="193"/>
    </row>
    <row r="25428" spans="6:6" x14ac:dyDescent="0.3">
      <c r="F25428" s="193"/>
    </row>
    <row r="25429" spans="6:6" x14ac:dyDescent="0.3">
      <c r="F25429" s="193"/>
    </row>
    <row r="25430" spans="6:6" x14ac:dyDescent="0.3">
      <c r="F25430" s="193"/>
    </row>
    <row r="25431" spans="6:6" x14ac:dyDescent="0.3">
      <c r="F25431" s="193"/>
    </row>
    <row r="25432" spans="6:6" x14ac:dyDescent="0.3">
      <c r="F25432" s="193"/>
    </row>
    <row r="25433" spans="6:6" x14ac:dyDescent="0.3">
      <c r="F25433" s="193"/>
    </row>
    <row r="25434" spans="6:6" x14ac:dyDescent="0.3">
      <c r="F25434" s="193"/>
    </row>
    <row r="25435" spans="6:6" x14ac:dyDescent="0.3">
      <c r="F25435" s="193"/>
    </row>
    <row r="25436" spans="6:6" x14ac:dyDescent="0.3">
      <c r="F25436" s="193"/>
    </row>
    <row r="25437" spans="6:6" x14ac:dyDescent="0.3">
      <c r="F25437" s="193"/>
    </row>
    <row r="25438" spans="6:6" x14ac:dyDescent="0.3">
      <c r="F25438" s="193"/>
    </row>
    <row r="25439" spans="6:6" x14ac:dyDescent="0.3">
      <c r="F25439" s="193"/>
    </row>
    <row r="25440" spans="6:6" x14ac:dyDescent="0.3">
      <c r="F25440" s="193"/>
    </row>
    <row r="25441" spans="6:6" x14ac:dyDescent="0.3">
      <c r="F25441" s="193"/>
    </row>
    <row r="25442" spans="6:6" x14ac:dyDescent="0.3">
      <c r="F25442" s="193"/>
    </row>
    <row r="25443" spans="6:6" x14ac:dyDescent="0.3">
      <c r="F25443" s="193"/>
    </row>
    <row r="25444" spans="6:6" x14ac:dyDescent="0.3">
      <c r="F25444" s="193"/>
    </row>
    <row r="25445" spans="6:6" x14ac:dyDescent="0.3">
      <c r="F25445" s="193"/>
    </row>
    <row r="25446" spans="6:6" x14ac:dyDescent="0.3">
      <c r="F25446" s="193"/>
    </row>
    <row r="25447" spans="6:6" x14ac:dyDescent="0.3">
      <c r="F25447" s="193"/>
    </row>
    <row r="25448" spans="6:6" x14ac:dyDescent="0.3">
      <c r="F25448" s="193"/>
    </row>
    <row r="25449" spans="6:6" x14ac:dyDescent="0.3">
      <c r="F25449" s="193"/>
    </row>
    <row r="25450" spans="6:6" x14ac:dyDescent="0.3">
      <c r="F25450" s="193"/>
    </row>
    <row r="25451" spans="6:6" x14ac:dyDescent="0.3">
      <c r="F25451" s="193"/>
    </row>
    <row r="25452" spans="6:6" x14ac:dyDescent="0.3">
      <c r="F25452" s="193"/>
    </row>
    <row r="25453" spans="6:6" x14ac:dyDescent="0.3">
      <c r="F25453" s="193"/>
    </row>
    <row r="25454" spans="6:6" x14ac:dyDescent="0.3">
      <c r="F25454" s="193"/>
    </row>
    <row r="25455" spans="6:6" x14ac:dyDescent="0.3">
      <c r="F25455" s="193"/>
    </row>
    <row r="25456" spans="6:6" x14ac:dyDescent="0.3">
      <c r="F25456" s="193"/>
    </row>
    <row r="25457" spans="6:6" x14ac:dyDescent="0.3">
      <c r="F25457" s="193"/>
    </row>
    <row r="25458" spans="6:6" x14ac:dyDescent="0.3">
      <c r="F25458" s="193"/>
    </row>
    <row r="25459" spans="6:6" x14ac:dyDescent="0.3">
      <c r="F25459" s="193"/>
    </row>
    <row r="25460" spans="6:6" x14ac:dyDescent="0.3">
      <c r="F25460" s="193"/>
    </row>
    <row r="25461" spans="6:6" x14ac:dyDescent="0.3">
      <c r="F25461" s="193"/>
    </row>
    <row r="25462" spans="6:6" x14ac:dyDescent="0.3">
      <c r="F25462" s="193"/>
    </row>
    <row r="25463" spans="6:6" x14ac:dyDescent="0.3">
      <c r="F25463" s="193"/>
    </row>
    <row r="25464" spans="6:6" x14ac:dyDescent="0.3">
      <c r="F25464" s="193"/>
    </row>
    <row r="25465" spans="6:6" x14ac:dyDescent="0.3">
      <c r="F25465" s="193"/>
    </row>
    <row r="25466" spans="6:6" x14ac:dyDescent="0.3">
      <c r="F25466" s="193"/>
    </row>
    <row r="25467" spans="6:6" x14ac:dyDescent="0.3">
      <c r="F25467" s="193"/>
    </row>
    <row r="25468" spans="6:6" x14ac:dyDescent="0.3">
      <c r="F25468" s="193"/>
    </row>
    <row r="25469" spans="6:6" x14ac:dyDescent="0.3">
      <c r="F25469" s="193"/>
    </row>
    <row r="25470" spans="6:6" x14ac:dyDescent="0.3">
      <c r="F25470" s="193"/>
    </row>
    <row r="25471" spans="6:6" x14ac:dyDescent="0.3">
      <c r="F25471" s="193"/>
    </row>
    <row r="25472" spans="6:6" x14ac:dyDescent="0.3">
      <c r="F25472" s="193"/>
    </row>
    <row r="25473" spans="6:6" x14ac:dyDescent="0.3">
      <c r="F25473" s="193"/>
    </row>
    <row r="25474" spans="6:6" x14ac:dyDescent="0.3">
      <c r="F25474" s="193"/>
    </row>
    <row r="25475" spans="6:6" x14ac:dyDescent="0.3">
      <c r="F25475" s="193"/>
    </row>
    <row r="25476" spans="6:6" x14ac:dyDescent="0.3">
      <c r="F25476" s="193"/>
    </row>
    <row r="25477" spans="6:6" x14ac:dyDescent="0.3">
      <c r="F25477" s="193"/>
    </row>
    <row r="25478" spans="6:6" x14ac:dyDescent="0.3">
      <c r="F25478" s="193"/>
    </row>
    <row r="25479" spans="6:6" x14ac:dyDescent="0.3">
      <c r="F25479" s="193"/>
    </row>
    <row r="25480" spans="6:6" x14ac:dyDescent="0.3">
      <c r="F25480" s="193"/>
    </row>
    <row r="25481" spans="6:6" x14ac:dyDescent="0.3">
      <c r="F25481" s="193"/>
    </row>
    <row r="25482" spans="6:6" x14ac:dyDescent="0.3">
      <c r="F25482" s="193"/>
    </row>
    <row r="25483" spans="6:6" x14ac:dyDescent="0.3">
      <c r="F25483" s="193"/>
    </row>
    <row r="25484" spans="6:6" x14ac:dyDescent="0.3">
      <c r="F25484" s="193"/>
    </row>
    <row r="25485" spans="6:6" x14ac:dyDescent="0.3">
      <c r="F25485" s="193"/>
    </row>
    <row r="25486" spans="6:6" x14ac:dyDescent="0.3">
      <c r="F25486" s="193"/>
    </row>
    <row r="25487" spans="6:6" x14ac:dyDescent="0.3">
      <c r="F25487" s="193"/>
    </row>
    <row r="25488" spans="6:6" x14ac:dyDescent="0.3">
      <c r="F25488" s="193"/>
    </row>
    <row r="25489" spans="6:6" x14ac:dyDescent="0.3">
      <c r="F25489" s="193"/>
    </row>
    <row r="25490" spans="6:6" x14ac:dyDescent="0.3">
      <c r="F25490" s="193"/>
    </row>
    <row r="25491" spans="6:6" x14ac:dyDescent="0.3">
      <c r="F25491" s="193"/>
    </row>
    <row r="25492" spans="6:6" x14ac:dyDescent="0.3">
      <c r="F25492" s="193"/>
    </row>
    <row r="25493" spans="6:6" x14ac:dyDescent="0.3">
      <c r="F25493" s="193"/>
    </row>
    <row r="25494" spans="6:6" x14ac:dyDescent="0.3">
      <c r="F25494" s="193"/>
    </row>
    <row r="25495" spans="6:6" x14ac:dyDescent="0.3">
      <c r="F25495" s="193"/>
    </row>
    <row r="25496" spans="6:6" x14ac:dyDescent="0.3">
      <c r="F25496" s="193"/>
    </row>
    <row r="25497" spans="6:6" x14ac:dyDescent="0.3">
      <c r="F25497" s="193"/>
    </row>
    <row r="25498" spans="6:6" x14ac:dyDescent="0.3">
      <c r="F25498" s="193"/>
    </row>
    <row r="25499" spans="6:6" x14ac:dyDescent="0.3">
      <c r="F25499" s="193"/>
    </row>
    <row r="25500" spans="6:6" x14ac:dyDescent="0.3">
      <c r="F25500" s="193"/>
    </row>
    <row r="25501" spans="6:6" x14ac:dyDescent="0.3">
      <c r="F25501" s="193"/>
    </row>
    <row r="25502" spans="6:6" x14ac:dyDescent="0.3">
      <c r="F25502" s="193"/>
    </row>
    <row r="25503" spans="6:6" x14ac:dyDescent="0.3">
      <c r="F25503" s="193"/>
    </row>
    <row r="25504" spans="6:6" x14ac:dyDescent="0.3">
      <c r="F25504" s="193"/>
    </row>
    <row r="25505" spans="6:6" x14ac:dyDescent="0.3">
      <c r="F25505" s="193"/>
    </row>
    <row r="25506" spans="6:6" x14ac:dyDescent="0.3">
      <c r="F25506" s="193"/>
    </row>
    <row r="25507" spans="6:6" x14ac:dyDescent="0.3">
      <c r="F25507" s="193"/>
    </row>
    <row r="25508" spans="6:6" x14ac:dyDescent="0.3">
      <c r="F25508" s="193"/>
    </row>
    <row r="25509" spans="6:6" x14ac:dyDescent="0.3">
      <c r="F25509" s="193"/>
    </row>
    <row r="25510" spans="6:6" x14ac:dyDescent="0.3">
      <c r="F25510" s="193"/>
    </row>
    <row r="25511" spans="6:6" x14ac:dyDescent="0.3">
      <c r="F25511" s="193"/>
    </row>
    <row r="25512" spans="6:6" x14ac:dyDescent="0.3">
      <c r="F25512" s="193"/>
    </row>
    <row r="25513" spans="6:6" x14ac:dyDescent="0.3">
      <c r="F25513" s="193"/>
    </row>
    <row r="25514" spans="6:6" x14ac:dyDescent="0.3">
      <c r="F25514" s="193"/>
    </row>
    <row r="25515" spans="6:6" x14ac:dyDescent="0.3">
      <c r="F25515" s="193"/>
    </row>
    <row r="25516" spans="6:6" x14ac:dyDescent="0.3">
      <c r="F25516" s="193"/>
    </row>
    <row r="25517" spans="6:6" x14ac:dyDescent="0.3">
      <c r="F25517" s="193"/>
    </row>
    <row r="25518" spans="6:6" x14ac:dyDescent="0.3">
      <c r="F25518" s="193"/>
    </row>
    <row r="25519" spans="6:6" x14ac:dyDescent="0.3">
      <c r="F25519" s="193"/>
    </row>
    <row r="25520" spans="6:6" x14ac:dyDescent="0.3">
      <c r="F25520" s="193"/>
    </row>
    <row r="25521" spans="6:6" x14ac:dyDescent="0.3">
      <c r="F25521" s="193"/>
    </row>
    <row r="25522" spans="6:6" x14ac:dyDescent="0.3">
      <c r="F25522" s="193"/>
    </row>
    <row r="25523" spans="6:6" x14ac:dyDescent="0.3">
      <c r="F25523" s="193"/>
    </row>
    <row r="25524" spans="6:6" x14ac:dyDescent="0.3">
      <c r="F25524" s="193"/>
    </row>
    <row r="25525" spans="6:6" x14ac:dyDescent="0.3">
      <c r="F25525" s="193"/>
    </row>
    <row r="25526" spans="6:6" x14ac:dyDescent="0.3">
      <c r="F25526" s="193"/>
    </row>
    <row r="25527" spans="6:6" x14ac:dyDescent="0.3">
      <c r="F25527" s="193"/>
    </row>
    <row r="25528" spans="6:6" x14ac:dyDescent="0.3">
      <c r="F25528" s="193"/>
    </row>
    <row r="25529" spans="6:6" x14ac:dyDescent="0.3">
      <c r="F25529" s="193"/>
    </row>
    <row r="25530" spans="6:6" x14ac:dyDescent="0.3">
      <c r="F25530" s="193"/>
    </row>
    <row r="25531" spans="6:6" x14ac:dyDescent="0.3">
      <c r="F25531" s="193"/>
    </row>
    <row r="25532" spans="6:6" x14ac:dyDescent="0.3">
      <c r="F25532" s="193"/>
    </row>
    <row r="25533" spans="6:6" x14ac:dyDescent="0.3">
      <c r="F25533" s="193"/>
    </row>
    <row r="25534" spans="6:6" x14ac:dyDescent="0.3">
      <c r="F25534" s="193"/>
    </row>
    <row r="25535" spans="6:6" x14ac:dyDescent="0.3">
      <c r="F25535" s="193"/>
    </row>
    <row r="25536" spans="6:6" x14ac:dyDescent="0.3">
      <c r="F25536" s="193"/>
    </row>
    <row r="25537" spans="6:6" x14ac:dyDescent="0.3">
      <c r="F25537" s="193"/>
    </row>
    <row r="25538" spans="6:6" x14ac:dyDescent="0.3">
      <c r="F25538" s="193"/>
    </row>
    <row r="25539" spans="6:6" x14ac:dyDescent="0.3">
      <c r="F25539" s="193"/>
    </row>
    <row r="25540" spans="6:6" x14ac:dyDescent="0.3">
      <c r="F25540" s="193"/>
    </row>
    <row r="25541" spans="6:6" x14ac:dyDescent="0.3">
      <c r="F25541" s="193"/>
    </row>
    <row r="25542" spans="6:6" x14ac:dyDescent="0.3">
      <c r="F25542" s="193"/>
    </row>
    <row r="25543" spans="6:6" x14ac:dyDescent="0.3">
      <c r="F25543" s="193"/>
    </row>
    <row r="25544" spans="6:6" x14ac:dyDescent="0.3">
      <c r="F25544" s="193"/>
    </row>
    <row r="25545" spans="6:6" x14ac:dyDescent="0.3">
      <c r="F25545" s="193"/>
    </row>
    <row r="25546" spans="6:6" x14ac:dyDescent="0.3">
      <c r="F25546" s="193"/>
    </row>
    <row r="25547" spans="6:6" x14ac:dyDescent="0.3">
      <c r="F25547" s="193"/>
    </row>
    <row r="25548" spans="6:6" x14ac:dyDescent="0.3">
      <c r="F25548" s="193"/>
    </row>
    <row r="25549" spans="6:6" x14ac:dyDescent="0.3">
      <c r="F25549" s="193"/>
    </row>
    <row r="25550" spans="6:6" x14ac:dyDescent="0.3">
      <c r="F25550" s="193"/>
    </row>
    <row r="25551" spans="6:6" x14ac:dyDescent="0.3">
      <c r="F25551" s="193"/>
    </row>
    <row r="25552" spans="6:6" x14ac:dyDescent="0.3">
      <c r="F25552" s="193"/>
    </row>
    <row r="25553" spans="6:6" x14ac:dyDescent="0.3">
      <c r="F25553" s="193"/>
    </row>
    <row r="25554" spans="6:6" x14ac:dyDescent="0.3">
      <c r="F25554" s="193"/>
    </row>
    <row r="25555" spans="6:6" x14ac:dyDescent="0.3">
      <c r="F25555" s="193"/>
    </row>
    <row r="25556" spans="6:6" x14ac:dyDescent="0.3">
      <c r="F25556" s="193"/>
    </row>
    <row r="25557" spans="6:6" x14ac:dyDescent="0.3">
      <c r="F25557" s="193"/>
    </row>
    <row r="25558" spans="6:6" x14ac:dyDescent="0.3">
      <c r="F25558" s="193"/>
    </row>
    <row r="25559" spans="6:6" x14ac:dyDescent="0.3">
      <c r="F25559" s="193"/>
    </row>
    <row r="25560" spans="6:6" x14ac:dyDescent="0.3">
      <c r="F25560" s="193"/>
    </row>
    <row r="25561" spans="6:6" x14ac:dyDescent="0.3">
      <c r="F25561" s="193"/>
    </row>
    <row r="25562" spans="6:6" x14ac:dyDescent="0.3">
      <c r="F25562" s="193"/>
    </row>
    <row r="25563" spans="6:6" x14ac:dyDescent="0.3">
      <c r="F25563" s="193"/>
    </row>
    <row r="25564" spans="6:6" x14ac:dyDescent="0.3">
      <c r="F25564" s="193"/>
    </row>
    <row r="25565" spans="6:6" x14ac:dyDescent="0.3">
      <c r="F25565" s="193"/>
    </row>
    <row r="25566" spans="6:6" x14ac:dyDescent="0.3">
      <c r="F25566" s="193"/>
    </row>
    <row r="25567" spans="6:6" x14ac:dyDescent="0.3">
      <c r="F25567" s="193"/>
    </row>
    <row r="25568" spans="6:6" x14ac:dyDescent="0.3">
      <c r="F25568" s="193"/>
    </row>
    <row r="25569" spans="6:6" x14ac:dyDescent="0.3">
      <c r="F25569" s="193"/>
    </row>
    <row r="25570" spans="6:6" x14ac:dyDescent="0.3">
      <c r="F25570" s="193"/>
    </row>
    <row r="25571" spans="6:6" x14ac:dyDescent="0.3">
      <c r="F25571" s="193"/>
    </row>
    <row r="25572" spans="6:6" x14ac:dyDescent="0.3">
      <c r="F25572" s="193"/>
    </row>
    <row r="25573" spans="6:6" x14ac:dyDescent="0.3">
      <c r="F25573" s="193"/>
    </row>
    <row r="25574" spans="6:6" x14ac:dyDescent="0.3">
      <c r="F25574" s="193"/>
    </row>
    <row r="25575" spans="6:6" x14ac:dyDescent="0.3">
      <c r="F25575" s="193"/>
    </row>
    <row r="25576" spans="6:6" x14ac:dyDescent="0.3">
      <c r="F25576" s="193"/>
    </row>
    <row r="25577" spans="6:6" x14ac:dyDescent="0.3">
      <c r="F25577" s="193"/>
    </row>
    <row r="25578" spans="6:6" x14ac:dyDescent="0.3">
      <c r="F25578" s="193"/>
    </row>
    <row r="25579" spans="6:6" x14ac:dyDescent="0.3">
      <c r="F25579" s="193"/>
    </row>
    <row r="25580" spans="6:6" x14ac:dyDescent="0.3">
      <c r="F25580" s="193"/>
    </row>
    <row r="25581" spans="6:6" x14ac:dyDescent="0.3">
      <c r="F25581" s="193"/>
    </row>
    <row r="25582" spans="6:6" x14ac:dyDescent="0.3">
      <c r="F25582" s="193"/>
    </row>
    <row r="25583" spans="6:6" x14ac:dyDescent="0.3">
      <c r="F25583" s="193"/>
    </row>
    <row r="25584" spans="6:6" x14ac:dyDescent="0.3">
      <c r="F25584" s="193"/>
    </row>
    <row r="25585" spans="6:6" x14ac:dyDescent="0.3">
      <c r="F25585" s="193"/>
    </row>
    <row r="25586" spans="6:6" x14ac:dyDescent="0.3">
      <c r="F25586" s="193"/>
    </row>
    <row r="25587" spans="6:6" x14ac:dyDescent="0.3">
      <c r="F25587" s="193"/>
    </row>
    <row r="25588" spans="6:6" x14ac:dyDescent="0.3">
      <c r="F25588" s="193"/>
    </row>
    <row r="25589" spans="6:6" x14ac:dyDescent="0.3">
      <c r="F25589" s="193"/>
    </row>
    <row r="25590" spans="6:6" x14ac:dyDescent="0.3">
      <c r="F25590" s="193"/>
    </row>
    <row r="25591" spans="6:6" x14ac:dyDescent="0.3">
      <c r="F25591" s="193"/>
    </row>
    <row r="25592" spans="6:6" x14ac:dyDescent="0.3">
      <c r="F25592" s="193"/>
    </row>
    <row r="25593" spans="6:6" x14ac:dyDescent="0.3">
      <c r="F25593" s="193"/>
    </row>
    <row r="25594" spans="6:6" x14ac:dyDescent="0.3">
      <c r="F25594" s="193"/>
    </row>
    <row r="25595" spans="6:6" x14ac:dyDescent="0.3">
      <c r="F25595" s="193"/>
    </row>
    <row r="25596" spans="6:6" x14ac:dyDescent="0.3">
      <c r="F25596" s="193"/>
    </row>
    <row r="25597" spans="6:6" x14ac:dyDescent="0.3">
      <c r="F25597" s="193"/>
    </row>
    <row r="25598" spans="6:6" x14ac:dyDescent="0.3">
      <c r="F25598" s="193"/>
    </row>
    <row r="25599" spans="6:6" x14ac:dyDescent="0.3">
      <c r="F25599" s="193"/>
    </row>
    <row r="25600" spans="6:6" x14ac:dyDescent="0.3">
      <c r="F25600" s="193"/>
    </row>
    <row r="25601" spans="6:6" x14ac:dyDescent="0.3">
      <c r="F25601" s="193"/>
    </row>
    <row r="25602" spans="6:6" x14ac:dyDescent="0.3">
      <c r="F25602" s="193"/>
    </row>
    <row r="25603" spans="6:6" x14ac:dyDescent="0.3">
      <c r="F25603" s="193"/>
    </row>
    <row r="25604" spans="6:6" x14ac:dyDescent="0.3">
      <c r="F25604" s="193"/>
    </row>
    <row r="25605" spans="6:6" x14ac:dyDescent="0.3">
      <c r="F25605" s="193"/>
    </row>
    <row r="25606" spans="6:6" x14ac:dyDescent="0.3">
      <c r="F25606" s="193"/>
    </row>
    <row r="25607" spans="6:6" x14ac:dyDescent="0.3">
      <c r="F25607" s="193"/>
    </row>
    <row r="25608" spans="6:6" x14ac:dyDescent="0.3">
      <c r="F25608" s="193"/>
    </row>
    <row r="25609" spans="6:6" x14ac:dyDescent="0.3">
      <c r="F25609" s="193"/>
    </row>
    <row r="25610" spans="6:6" x14ac:dyDescent="0.3">
      <c r="F25610" s="193"/>
    </row>
    <row r="25611" spans="6:6" x14ac:dyDescent="0.3">
      <c r="F25611" s="193"/>
    </row>
    <row r="25612" spans="6:6" x14ac:dyDescent="0.3">
      <c r="F25612" s="193"/>
    </row>
    <row r="25613" spans="6:6" x14ac:dyDescent="0.3">
      <c r="F25613" s="193"/>
    </row>
    <row r="25614" spans="6:6" x14ac:dyDescent="0.3">
      <c r="F25614" s="193"/>
    </row>
    <row r="25615" spans="6:6" x14ac:dyDescent="0.3">
      <c r="F25615" s="193"/>
    </row>
    <row r="25616" spans="6:6" x14ac:dyDescent="0.3">
      <c r="F25616" s="193"/>
    </row>
    <row r="25617" spans="6:6" x14ac:dyDescent="0.3">
      <c r="F25617" s="193"/>
    </row>
    <row r="25618" spans="6:6" x14ac:dyDescent="0.3">
      <c r="F25618" s="193"/>
    </row>
    <row r="25619" spans="6:6" x14ac:dyDescent="0.3">
      <c r="F25619" s="193"/>
    </row>
    <row r="25620" spans="6:6" x14ac:dyDescent="0.3">
      <c r="F25620" s="193"/>
    </row>
    <row r="25621" spans="6:6" x14ac:dyDescent="0.3">
      <c r="F25621" s="193"/>
    </row>
    <row r="25622" spans="6:6" x14ac:dyDescent="0.3">
      <c r="F25622" s="193"/>
    </row>
    <row r="25623" spans="6:6" x14ac:dyDescent="0.3">
      <c r="F25623" s="193"/>
    </row>
    <row r="25624" spans="6:6" x14ac:dyDescent="0.3">
      <c r="F25624" s="193"/>
    </row>
    <row r="25625" spans="6:6" x14ac:dyDescent="0.3">
      <c r="F25625" s="193"/>
    </row>
    <row r="25626" spans="6:6" x14ac:dyDescent="0.3">
      <c r="F25626" s="193"/>
    </row>
    <row r="25627" spans="6:6" x14ac:dyDescent="0.3">
      <c r="F25627" s="193"/>
    </row>
    <row r="25628" spans="6:6" x14ac:dyDescent="0.3">
      <c r="F25628" s="193"/>
    </row>
    <row r="25629" spans="6:6" x14ac:dyDescent="0.3">
      <c r="F25629" s="193"/>
    </row>
    <row r="25630" spans="6:6" x14ac:dyDescent="0.3">
      <c r="F25630" s="193"/>
    </row>
    <row r="25631" spans="6:6" x14ac:dyDescent="0.3">
      <c r="F25631" s="193"/>
    </row>
    <row r="25632" spans="6:6" x14ac:dyDescent="0.3">
      <c r="F25632" s="193"/>
    </row>
    <row r="25633" spans="6:6" x14ac:dyDescent="0.3">
      <c r="F25633" s="193"/>
    </row>
    <row r="25634" spans="6:6" x14ac:dyDescent="0.3">
      <c r="F25634" s="193"/>
    </row>
    <row r="25635" spans="6:6" x14ac:dyDescent="0.3">
      <c r="F25635" s="193"/>
    </row>
    <row r="25636" spans="6:6" x14ac:dyDescent="0.3">
      <c r="F25636" s="193"/>
    </row>
    <row r="25637" spans="6:6" x14ac:dyDescent="0.3">
      <c r="F25637" s="193"/>
    </row>
    <row r="25638" spans="6:6" x14ac:dyDescent="0.3">
      <c r="F25638" s="193"/>
    </row>
    <row r="25639" spans="6:6" x14ac:dyDescent="0.3">
      <c r="F25639" s="193"/>
    </row>
    <row r="25640" spans="6:6" x14ac:dyDescent="0.3">
      <c r="F25640" s="193"/>
    </row>
    <row r="25641" spans="6:6" x14ac:dyDescent="0.3">
      <c r="F25641" s="193"/>
    </row>
    <row r="25642" spans="6:6" x14ac:dyDescent="0.3">
      <c r="F25642" s="193"/>
    </row>
    <row r="25643" spans="6:6" x14ac:dyDescent="0.3">
      <c r="F25643" s="193"/>
    </row>
    <row r="25644" spans="6:6" x14ac:dyDescent="0.3">
      <c r="F25644" s="193"/>
    </row>
    <row r="25645" spans="6:6" x14ac:dyDescent="0.3">
      <c r="F25645" s="193"/>
    </row>
    <row r="25646" spans="6:6" x14ac:dyDescent="0.3">
      <c r="F25646" s="193"/>
    </row>
    <row r="25647" spans="6:6" x14ac:dyDescent="0.3">
      <c r="F25647" s="193"/>
    </row>
    <row r="25648" spans="6:6" x14ac:dyDescent="0.3">
      <c r="F25648" s="193"/>
    </row>
    <row r="25649" spans="6:6" x14ac:dyDescent="0.3">
      <c r="F25649" s="193"/>
    </row>
    <row r="25650" spans="6:6" x14ac:dyDescent="0.3">
      <c r="F25650" s="193"/>
    </row>
    <row r="25651" spans="6:6" x14ac:dyDescent="0.3">
      <c r="F25651" s="193"/>
    </row>
    <row r="25652" spans="6:6" x14ac:dyDescent="0.3">
      <c r="F25652" s="193"/>
    </row>
    <row r="25653" spans="6:6" x14ac:dyDescent="0.3">
      <c r="F25653" s="193"/>
    </row>
    <row r="25654" spans="6:6" x14ac:dyDescent="0.3">
      <c r="F25654" s="193"/>
    </row>
    <row r="25655" spans="6:6" x14ac:dyDescent="0.3">
      <c r="F25655" s="193"/>
    </row>
    <row r="25656" spans="6:6" x14ac:dyDescent="0.3">
      <c r="F25656" s="193"/>
    </row>
    <row r="25657" spans="6:6" x14ac:dyDescent="0.3">
      <c r="F25657" s="193"/>
    </row>
    <row r="25658" spans="6:6" x14ac:dyDescent="0.3">
      <c r="F25658" s="193"/>
    </row>
    <row r="25659" spans="6:6" x14ac:dyDescent="0.3">
      <c r="F25659" s="193"/>
    </row>
    <row r="25660" spans="6:6" x14ac:dyDescent="0.3">
      <c r="F25660" s="193"/>
    </row>
    <row r="25661" spans="6:6" x14ac:dyDescent="0.3">
      <c r="F25661" s="193"/>
    </row>
    <row r="25662" spans="6:6" x14ac:dyDescent="0.3">
      <c r="F25662" s="193"/>
    </row>
    <row r="25663" spans="6:6" x14ac:dyDescent="0.3">
      <c r="F25663" s="193"/>
    </row>
    <row r="25664" spans="6:6" x14ac:dyDescent="0.3">
      <c r="F25664" s="193"/>
    </row>
    <row r="25665" spans="6:6" x14ac:dyDescent="0.3">
      <c r="F25665" s="193"/>
    </row>
    <row r="25666" spans="6:6" x14ac:dyDescent="0.3">
      <c r="F25666" s="193"/>
    </row>
    <row r="25667" spans="6:6" x14ac:dyDescent="0.3">
      <c r="F25667" s="193"/>
    </row>
    <row r="25668" spans="6:6" x14ac:dyDescent="0.3">
      <c r="F25668" s="193"/>
    </row>
    <row r="25669" spans="6:6" x14ac:dyDescent="0.3">
      <c r="F25669" s="193"/>
    </row>
    <row r="25670" spans="6:6" x14ac:dyDescent="0.3">
      <c r="F25670" s="193"/>
    </row>
    <row r="25671" spans="6:6" x14ac:dyDescent="0.3">
      <c r="F25671" s="193"/>
    </row>
    <row r="25672" spans="6:6" x14ac:dyDescent="0.3">
      <c r="F25672" s="193"/>
    </row>
    <row r="25673" spans="6:6" x14ac:dyDescent="0.3">
      <c r="F25673" s="193"/>
    </row>
    <row r="25674" spans="6:6" x14ac:dyDescent="0.3">
      <c r="F25674" s="193"/>
    </row>
    <row r="25675" spans="6:6" x14ac:dyDescent="0.3">
      <c r="F25675" s="193"/>
    </row>
    <row r="25676" spans="6:6" x14ac:dyDescent="0.3">
      <c r="F25676" s="193"/>
    </row>
    <row r="25677" spans="6:6" x14ac:dyDescent="0.3">
      <c r="F25677" s="193"/>
    </row>
    <row r="25678" spans="6:6" x14ac:dyDescent="0.3">
      <c r="F25678" s="193"/>
    </row>
    <row r="25679" spans="6:6" x14ac:dyDescent="0.3">
      <c r="F25679" s="193"/>
    </row>
    <row r="25680" spans="6:6" x14ac:dyDescent="0.3">
      <c r="F25680" s="193"/>
    </row>
    <row r="25681" spans="6:6" x14ac:dyDescent="0.3">
      <c r="F25681" s="193"/>
    </row>
    <row r="25682" spans="6:6" x14ac:dyDescent="0.3">
      <c r="F25682" s="193"/>
    </row>
    <row r="25683" spans="6:6" x14ac:dyDescent="0.3">
      <c r="F25683" s="193"/>
    </row>
    <row r="25684" spans="6:6" x14ac:dyDescent="0.3">
      <c r="F25684" s="193"/>
    </row>
    <row r="25685" spans="6:6" x14ac:dyDescent="0.3">
      <c r="F25685" s="193"/>
    </row>
    <row r="25686" spans="6:6" x14ac:dyDescent="0.3">
      <c r="F25686" s="193"/>
    </row>
    <row r="25687" spans="6:6" x14ac:dyDescent="0.3">
      <c r="F25687" s="193"/>
    </row>
    <row r="25688" spans="6:6" x14ac:dyDescent="0.3">
      <c r="F25688" s="193"/>
    </row>
    <row r="25689" spans="6:6" x14ac:dyDescent="0.3">
      <c r="F25689" s="193"/>
    </row>
    <row r="25690" spans="6:6" x14ac:dyDescent="0.3">
      <c r="F25690" s="193"/>
    </row>
    <row r="25691" spans="6:6" x14ac:dyDescent="0.3">
      <c r="F25691" s="193"/>
    </row>
    <row r="25692" spans="6:6" x14ac:dyDescent="0.3">
      <c r="F25692" s="193"/>
    </row>
    <row r="25693" spans="6:6" x14ac:dyDescent="0.3">
      <c r="F25693" s="193"/>
    </row>
    <row r="25694" spans="6:6" x14ac:dyDescent="0.3">
      <c r="F25694" s="193"/>
    </row>
    <row r="25695" spans="6:6" x14ac:dyDescent="0.3">
      <c r="F25695" s="193"/>
    </row>
    <row r="25696" spans="6:6" x14ac:dyDescent="0.3">
      <c r="F25696" s="193"/>
    </row>
    <row r="25697" spans="6:6" x14ac:dyDescent="0.3">
      <c r="F25697" s="193"/>
    </row>
    <row r="25698" spans="6:6" x14ac:dyDescent="0.3">
      <c r="F25698" s="193"/>
    </row>
    <row r="25699" spans="6:6" x14ac:dyDescent="0.3">
      <c r="F25699" s="193"/>
    </row>
    <row r="25700" spans="6:6" x14ac:dyDescent="0.3">
      <c r="F25700" s="193"/>
    </row>
    <row r="25701" spans="6:6" x14ac:dyDescent="0.3">
      <c r="F25701" s="193"/>
    </row>
    <row r="25702" spans="6:6" x14ac:dyDescent="0.3">
      <c r="F25702" s="193"/>
    </row>
    <row r="25703" spans="6:6" x14ac:dyDescent="0.3">
      <c r="F25703" s="193"/>
    </row>
    <row r="25704" spans="6:6" x14ac:dyDescent="0.3">
      <c r="F25704" s="193"/>
    </row>
    <row r="25705" spans="6:6" x14ac:dyDescent="0.3">
      <c r="F25705" s="193"/>
    </row>
    <row r="25706" spans="6:6" x14ac:dyDescent="0.3">
      <c r="F25706" s="193"/>
    </row>
    <row r="25707" spans="6:6" x14ac:dyDescent="0.3">
      <c r="F25707" s="193"/>
    </row>
    <row r="25708" spans="6:6" x14ac:dyDescent="0.3">
      <c r="F25708" s="193"/>
    </row>
    <row r="25709" spans="6:6" x14ac:dyDescent="0.3">
      <c r="F25709" s="193"/>
    </row>
    <row r="25710" spans="6:6" x14ac:dyDescent="0.3">
      <c r="F25710" s="193"/>
    </row>
    <row r="25711" spans="6:6" x14ac:dyDescent="0.3">
      <c r="F25711" s="193"/>
    </row>
    <row r="25712" spans="6:6" x14ac:dyDescent="0.3">
      <c r="F25712" s="193"/>
    </row>
    <row r="25713" spans="6:6" x14ac:dyDescent="0.3">
      <c r="F25713" s="193"/>
    </row>
    <row r="25714" spans="6:6" x14ac:dyDescent="0.3">
      <c r="F25714" s="193"/>
    </row>
    <row r="25715" spans="6:6" x14ac:dyDescent="0.3">
      <c r="F25715" s="193"/>
    </row>
    <row r="25716" spans="6:6" x14ac:dyDescent="0.3">
      <c r="F25716" s="193"/>
    </row>
    <row r="25717" spans="6:6" x14ac:dyDescent="0.3">
      <c r="F25717" s="193"/>
    </row>
    <row r="25718" spans="6:6" x14ac:dyDescent="0.3">
      <c r="F25718" s="193"/>
    </row>
    <row r="25719" spans="6:6" x14ac:dyDescent="0.3">
      <c r="F25719" s="193"/>
    </row>
    <row r="25720" spans="6:6" x14ac:dyDescent="0.3">
      <c r="F25720" s="193"/>
    </row>
    <row r="25721" spans="6:6" x14ac:dyDescent="0.3">
      <c r="F25721" s="193"/>
    </row>
    <row r="25722" spans="6:6" x14ac:dyDescent="0.3">
      <c r="F25722" s="193"/>
    </row>
    <row r="25723" spans="6:6" x14ac:dyDescent="0.3">
      <c r="F25723" s="193"/>
    </row>
    <row r="25724" spans="6:6" x14ac:dyDescent="0.3">
      <c r="F25724" s="193"/>
    </row>
    <row r="25725" spans="6:6" x14ac:dyDescent="0.3">
      <c r="F25725" s="193"/>
    </row>
    <row r="25726" spans="6:6" x14ac:dyDescent="0.3">
      <c r="F25726" s="193"/>
    </row>
    <row r="25727" spans="6:6" x14ac:dyDescent="0.3">
      <c r="F25727" s="193"/>
    </row>
    <row r="25728" spans="6:6" x14ac:dyDescent="0.3">
      <c r="F25728" s="193"/>
    </row>
    <row r="25729" spans="6:6" x14ac:dyDescent="0.3">
      <c r="F25729" s="193"/>
    </row>
    <row r="25730" spans="6:6" x14ac:dyDescent="0.3">
      <c r="F25730" s="193"/>
    </row>
    <row r="25731" spans="6:6" x14ac:dyDescent="0.3">
      <c r="F25731" s="193"/>
    </row>
    <row r="25732" spans="6:6" x14ac:dyDescent="0.3">
      <c r="F25732" s="193"/>
    </row>
    <row r="25733" spans="6:6" x14ac:dyDescent="0.3">
      <c r="F25733" s="193"/>
    </row>
    <row r="25734" spans="6:6" x14ac:dyDescent="0.3">
      <c r="F25734" s="193"/>
    </row>
    <row r="25735" spans="6:6" x14ac:dyDescent="0.3">
      <c r="F25735" s="193"/>
    </row>
    <row r="25736" spans="6:6" x14ac:dyDescent="0.3">
      <c r="F25736" s="193"/>
    </row>
    <row r="25737" spans="6:6" x14ac:dyDescent="0.3">
      <c r="F25737" s="193"/>
    </row>
    <row r="25738" spans="6:6" x14ac:dyDescent="0.3">
      <c r="F25738" s="193"/>
    </row>
    <row r="25739" spans="6:6" x14ac:dyDescent="0.3">
      <c r="F25739" s="193"/>
    </row>
    <row r="25740" spans="6:6" x14ac:dyDescent="0.3">
      <c r="F25740" s="193"/>
    </row>
    <row r="25741" spans="6:6" x14ac:dyDescent="0.3">
      <c r="F25741" s="193"/>
    </row>
    <row r="25742" spans="6:6" x14ac:dyDescent="0.3">
      <c r="F25742" s="193"/>
    </row>
    <row r="25743" spans="6:6" x14ac:dyDescent="0.3">
      <c r="F25743" s="193"/>
    </row>
    <row r="25744" spans="6:6" x14ac:dyDescent="0.3">
      <c r="F25744" s="193"/>
    </row>
    <row r="25745" spans="6:6" x14ac:dyDescent="0.3">
      <c r="F25745" s="193"/>
    </row>
    <row r="25746" spans="6:6" x14ac:dyDescent="0.3">
      <c r="F25746" s="193"/>
    </row>
    <row r="25747" spans="6:6" x14ac:dyDescent="0.3">
      <c r="F25747" s="193"/>
    </row>
    <row r="25748" spans="6:6" x14ac:dyDescent="0.3">
      <c r="F25748" s="193"/>
    </row>
    <row r="25749" spans="6:6" x14ac:dyDescent="0.3">
      <c r="F25749" s="193"/>
    </row>
    <row r="25750" spans="6:6" x14ac:dyDescent="0.3">
      <c r="F25750" s="193"/>
    </row>
    <row r="25751" spans="6:6" x14ac:dyDescent="0.3">
      <c r="F25751" s="193"/>
    </row>
    <row r="25752" spans="6:6" x14ac:dyDescent="0.3">
      <c r="F25752" s="193"/>
    </row>
    <row r="25753" spans="6:6" x14ac:dyDescent="0.3">
      <c r="F25753" s="193"/>
    </row>
    <row r="25754" spans="6:6" x14ac:dyDescent="0.3">
      <c r="F25754" s="193"/>
    </row>
    <row r="25755" spans="6:6" x14ac:dyDescent="0.3">
      <c r="F25755" s="193"/>
    </row>
    <row r="25756" spans="6:6" x14ac:dyDescent="0.3">
      <c r="F25756" s="193"/>
    </row>
    <row r="25757" spans="6:6" x14ac:dyDescent="0.3">
      <c r="F25757" s="193"/>
    </row>
    <row r="25758" spans="6:6" x14ac:dyDescent="0.3">
      <c r="F25758" s="193"/>
    </row>
    <row r="25759" spans="6:6" x14ac:dyDescent="0.3">
      <c r="F25759" s="193"/>
    </row>
    <row r="25760" spans="6:6" x14ac:dyDescent="0.3">
      <c r="F25760" s="193"/>
    </row>
    <row r="25761" spans="6:6" x14ac:dyDescent="0.3">
      <c r="F25761" s="193"/>
    </row>
    <row r="25762" spans="6:6" x14ac:dyDescent="0.3">
      <c r="F25762" s="193"/>
    </row>
    <row r="25763" spans="6:6" x14ac:dyDescent="0.3">
      <c r="F25763" s="193"/>
    </row>
    <row r="25764" spans="6:6" x14ac:dyDescent="0.3">
      <c r="F25764" s="193"/>
    </row>
    <row r="25765" spans="6:6" x14ac:dyDescent="0.3">
      <c r="F25765" s="193"/>
    </row>
    <row r="25766" spans="6:6" x14ac:dyDescent="0.3">
      <c r="F25766" s="193"/>
    </row>
    <row r="25767" spans="6:6" x14ac:dyDescent="0.3">
      <c r="F25767" s="193"/>
    </row>
    <row r="25768" spans="6:6" x14ac:dyDescent="0.3">
      <c r="F25768" s="193"/>
    </row>
    <row r="25769" spans="6:6" x14ac:dyDescent="0.3">
      <c r="F25769" s="193"/>
    </row>
    <row r="25770" spans="6:6" x14ac:dyDescent="0.3">
      <c r="F25770" s="193"/>
    </row>
    <row r="25771" spans="6:6" x14ac:dyDescent="0.3">
      <c r="F25771" s="193"/>
    </row>
    <row r="25772" spans="6:6" x14ac:dyDescent="0.3">
      <c r="F25772" s="193"/>
    </row>
    <row r="25773" spans="6:6" x14ac:dyDescent="0.3">
      <c r="F25773" s="193"/>
    </row>
    <row r="25774" spans="6:6" x14ac:dyDescent="0.3">
      <c r="F25774" s="193"/>
    </row>
    <row r="25775" spans="6:6" x14ac:dyDescent="0.3">
      <c r="F25775" s="193"/>
    </row>
    <row r="25776" spans="6:6" x14ac:dyDescent="0.3">
      <c r="F25776" s="193"/>
    </row>
    <row r="25777" spans="6:6" x14ac:dyDescent="0.3">
      <c r="F25777" s="193"/>
    </row>
    <row r="25778" spans="6:6" x14ac:dyDescent="0.3">
      <c r="F25778" s="193"/>
    </row>
    <row r="25779" spans="6:6" x14ac:dyDescent="0.3">
      <c r="F25779" s="193"/>
    </row>
    <row r="25780" spans="6:6" x14ac:dyDescent="0.3">
      <c r="F25780" s="193"/>
    </row>
    <row r="25781" spans="6:6" x14ac:dyDescent="0.3">
      <c r="F25781" s="193"/>
    </row>
    <row r="25782" spans="6:6" x14ac:dyDescent="0.3">
      <c r="F25782" s="193"/>
    </row>
    <row r="25783" spans="6:6" x14ac:dyDescent="0.3">
      <c r="F25783" s="193"/>
    </row>
    <row r="25784" spans="6:6" x14ac:dyDescent="0.3">
      <c r="F25784" s="193"/>
    </row>
    <row r="25785" spans="6:6" x14ac:dyDescent="0.3">
      <c r="F25785" s="193"/>
    </row>
    <row r="25786" spans="6:6" x14ac:dyDescent="0.3">
      <c r="F25786" s="193"/>
    </row>
    <row r="25787" spans="6:6" x14ac:dyDescent="0.3">
      <c r="F25787" s="193"/>
    </row>
    <row r="25788" spans="6:6" x14ac:dyDescent="0.3">
      <c r="F25788" s="193"/>
    </row>
    <row r="25789" spans="6:6" x14ac:dyDescent="0.3">
      <c r="F25789" s="193"/>
    </row>
    <row r="25790" spans="6:6" x14ac:dyDescent="0.3">
      <c r="F25790" s="193"/>
    </row>
    <row r="25791" spans="6:6" x14ac:dyDescent="0.3">
      <c r="F25791" s="193"/>
    </row>
    <row r="25792" spans="6:6" x14ac:dyDescent="0.3">
      <c r="F25792" s="193"/>
    </row>
    <row r="25793" spans="6:6" x14ac:dyDescent="0.3">
      <c r="F25793" s="193"/>
    </row>
    <row r="25794" spans="6:6" x14ac:dyDescent="0.3">
      <c r="F25794" s="193"/>
    </row>
    <row r="25795" spans="6:6" x14ac:dyDescent="0.3">
      <c r="F25795" s="193"/>
    </row>
    <row r="25796" spans="6:6" x14ac:dyDescent="0.3">
      <c r="F25796" s="193"/>
    </row>
    <row r="25797" spans="6:6" x14ac:dyDescent="0.3">
      <c r="F25797" s="193"/>
    </row>
    <row r="25798" spans="6:6" x14ac:dyDescent="0.3">
      <c r="F25798" s="193"/>
    </row>
    <row r="25799" spans="6:6" x14ac:dyDescent="0.3">
      <c r="F25799" s="193"/>
    </row>
    <row r="25800" spans="6:6" x14ac:dyDescent="0.3">
      <c r="F25800" s="193"/>
    </row>
    <row r="25801" spans="6:6" x14ac:dyDescent="0.3">
      <c r="F25801" s="193"/>
    </row>
    <row r="25802" spans="6:6" x14ac:dyDescent="0.3">
      <c r="F25802" s="193"/>
    </row>
    <row r="25803" spans="6:6" x14ac:dyDescent="0.3">
      <c r="F25803" s="193"/>
    </row>
    <row r="25804" spans="6:6" x14ac:dyDescent="0.3">
      <c r="F25804" s="193"/>
    </row>
    <row r="25805" spans="6:6" x14ac:dyDescent="0.3">
      <c r="F25805" s="193"/>
    </row>
    <row r="25806" spans="6:6" x14ac:dyDescent="0.3">
      <c r="F25806" s="193"/>
    </row>
    <row r="25807" spans="6:6" x14ac:dyDescent="0.3">
      <c r="F25807" s="193"/>
    </row>
    <row r="25808" spans="6:6" x14ac:dyDescent="0.3">
      <c r="F25808" s="193"/>
    </row>
    <row r="25809" spans="6:6" x14ac:dyDescent="0.3">
      <c r="F25809" s="193"/>
    </row>
    <row r="25810" spans="6:6" x14ac:dyDescent="0.3">
      <c r="F25810" s="193"/>
    </row>
    <row r="25811" spans="6:6" x14ac:dyDescent="0.3">
      <c r="F25811" s="193"/>
    </row>
    <row r="25812" spans="6:6" x14ac:dyDescent="0.3">
      <c r="F25812" s="193"/>
    </row>
    <row r="25813" spans="6:6" x14ac:dyDescent="0.3">
      <c r="F25813" s="193"/>
    </row>
    <row r="25814" spans="6:6" x14ac:dyDescent="0.3">
      <c r="F25814" s="193"/>
    </row>
    <row r="25815" spans="6:6" x14ac:dyDescent="0.3">
      <c r="F25815" s="193"/>
    </row>
    <row r="25816" spans="6:6" x14ac:dyDescent="0.3">
      <c r="F25816" s="193"/>
    </row>
    <row r="25817" spans="6:6" x14ac:dyDescent="0.3">
      <c r="F25817" s="193"/>
    </row>
    <row r="25818" spans="6:6" x14ac:dyDescent="0.3">
      <c r="F25818" s="193"/>
    </row>
    <row r="25819" spans="6:6" x14ac:dyDescent="0.3">
      <c r="F25819" s="193"/>
    </row>
    <row r="25820" spans="6:6" x14ac:dyDescent="0.3">
      <c r="F25820" s="193"/>
    </row>
    <row r="25821" spans="6:6" x14ac:dyDescent="0.3">
      <c r="F25821" s="193"/>
    </row>
    <row r="25822" spans="6:6" x14ac:dyDescent="0.3">
      <c r="F25822" s="193"/>
    </row>
    <row r="25823" spans="6:6" x14ac:dyDescent="0.3">
      <c r="F25823" s="193"/>
    </row>
    <row r="25824" spans="6:6" x14ac:dyDescent="0.3">
      <c r="F25824" s="193"/>
    </row>
    <row r="25825" spans="6:6" x14ac:dyDescent="0.3">
      <c r="F25825" s="193"/>
    </row>
    <row r="25826" spans="6:6" x14ac:dyDescent="0.3">
      <c r="F25826" s="193"/>
    </row>
    <row r="25827" spans="6:6" x14ac:dyDescent="0.3">
      <c r="F25827" s="193"/>
    </row>
    <row r="25828" spans="6:6" x14ac:dyDescent="0.3">
      <c r="F25828" s="193"/>
    </row>
    <row r="25829" spans="6:6" x14ac:dyDescent="0.3">
      <c r="F25829" s="193"/>
    </row>
    <row r="25830" spans="6:6" x14ac:dyDescent="0.3">
      <c r="F25830" s="193"/>
    </row>
    <row r="25831" spans="6:6" x14ac:dyDescent="0.3">
      <c r="F25831" s="193"/>
    </row>
    <row r="25832" spans="6:6" x14ac:dyDescent="0.3">
      <c r="F25832" s="193"/>
    </row>
    <row r="25833" spans="6:6" x14ac:dyDescent="0.3">
      <c r="F25833" s="193"/>
    </row>
    <row r="25834" spans="6:6" x14ac:dyDescent="0.3">
      <c r="F25834" s="193"/>
    </row>
    <row r="25835" spans="6:6" x14ac:dyDescent="0.3">
      <c r="F25835" s="193"/>
    </row>
    <row r="25836" spans="6:6" x14ac:dyDescent="0.3">
      <c r="F25836" s="193"/>
    </row>
    <row r="25837" spans="6:6" x14ac:dyDescent="0.3">
      <c r="F25837" s="193"/>
    </row>
    <row r="25838" spans="6:6" x14ac:dyDescent="0.3">
      <c r="F25838" s="193"/>
    </row>
    <row r="25839" spans="6:6" x14ac:dyDescent="0.3">
      <c r="F25839" s="193"/>
    </row>
    <row r="25840" spans="6:6" x14ac:dyDescent="0.3">
      <c r="F25840" s="193"/>
    </row>
    <row r="25841" spans="6:6" x14ac:dyDescent="0.3">
      <c r="F25841" s="193"/>
    </row>
    <row r="25842" spans="6:6" x14ac:dyDescent="0.3">
      <c r="F25842" s="193"/>
    </row>
    <row r="25843" spans="6:6" x14ac:dyDescent="0.3">
      <c r="F25843" s="193"/>
    </row>
    <row r="25844" spans="6:6" x14ac:dyDescent="0.3">
      <c r="F25844" s="193"/>
    </row>
    <row r="25845" spans="6:6" x14ac:dyDescent="0.3">
      <c r="F25845" s="193"/>
    </row>
    <row r="25846" spans="6:6" x14ac:dyDescent="0.3">
      <c r="F25846" s="193"/>
    </row>
    <row r="25847" spans="6:6" x14ac:dyDescent="0.3">
      <c r="F25847" s="193"/>
    </row>
    <row r="25848" spans="6:6" x14ac:dyDescent="0.3">
      <c r="F25848" s="193"/>
    </row>
    <row r="25849" spans="6:6" x14ac:dyDescent="0.3">
      <c r="F25849" s="193"/>
    </row>
    <row r="25850" spans="6:6" x14ac:dyDescent="0.3">
      <c r="F25850" s="193"/>
    </row>
    <row r="25851" spans="6:6" x14ac:dyDescent="0.3">
      <c r="F25851" s="193"/>
    </row>
    <row r="25852" spans="6:6" x14ac:dyDescent="0.3">
      <c r="F25852" s="193"/>
    </row>
    <row r="25853" spans="6:6" x14ac:dyDescent="0.3">
      <c r="F25853" s="193"/>
    </row>
    <row r="25854" spans="6:6" x14ac:dyDescent="0.3">
      <c r="F25854" s="193"/>
    </row>
    <row r="25855" spans="6:6" x14ac:dyDescent="0.3">
      <c r="F25855" s="193"/>
    </row>
    <row r="25856" spans="6:6" x14ac:dyDescent="0.3">
      <c r="F25856" s="193"/>
    </row>
    <row r="25857" spans="6:6" x14ac:dyDescent="0.3">
      <c r="F25857" s="193"/>
    </row>
    <row r="25858" spans="6:6" x14ac:dyDescent="0.3">
      <c r="F25858" s="193"/>
    </row>
    <row r="25859" spans="6:6" x14ac:dyDescent="0.3">
      <c r="F25859" s="193"/>
    </row>
    <row r="25860" spans="6:6" x14ac:dyDescent="0.3">
      <c r="F25860" s="193"/>
    </row>
    <row r="25861" spans="6:6" x14ac:dyDescent="0.3">
      <c r="F25861" s="193"/>
    </row>
    <row r="25862" spans="6:6" x14ac:dyDescent="0.3">
      <c r="F25862" s="193"/>
    </row>
    <row r="25863" spans="6:6" x14ac:dyDescent="0.3">
      <c r="F25863" s="193"/>
    </row>
    <row r="25864" spans="6:6" x14ac:dyDescent="0.3">
      <c r="F25864" s="193"/>
    </row>
    <row r="25865" spans="6:6" x14ac:dyDescent="0.3">
      <c r="F25865" s="193"/>
    </row>
    <row r="25866" spans="6:6" x14ac:dyDescent="0.3">
      <c r="F25866" s="193"/>
    </row>
    <row r="25867" spans="6:6" x14ac:dyDescent="0.3">
      <c r="F25867" s="193"/>
    </row>
    <row r="25868" spans="6:6" x14ac:dyDescent="0.3">
      <c r="F25868" s="193"/>
    </row>
    <row r="25869" spans="6:6" x14ac:dyDescent="0.3">
      <c r="F25869" s="193"/>
    </row>
    <row r="25870" spans="6:6" x14ac:dyDescent="0.3">
      <c r="F25870" s="193"/>
    </row>
    <row r="25871" spans="6:6" x14ac:dyDescent="0.3">
      <c r="F25871" s="193"/>
    </row>
    <row r="25872" spans="6:6" x14ac:dyDescent="0.3">
      <c r="F25872" s="193"/>
    </row>
    <row r="25873" spans="6:6" x14ac:dyDescent="0.3">
      <c r="F25873" s="193"/>
    </row>
    <row r="25874" spans="6:6" x14ac:dyDescent="0.3">
      <c r="F25874" s="193"/>
    </row>
    <row r="25875" spans="6:6" x14ac:dyDescent="0.3">
      <c r="F25875" s="193"/>
    </row>
    <row r="25876" spans="6:6" x14ac:dyDescent="0.3">
      <c r="F25876" s="193"/>
    </row>
    <row r="25877" spans="6:6" x14ac:dyDescent="0.3">
      <c r="F25877" s="193"/>
    </row>
    <row r="25878" spans="6:6" x14ac:dyDescent="0.3">
      <c r="F25878" s="193"/>
    </row>
    <row r="25879" spans="6:6" x14ac:dyDescent="0.3">
      <c r="F25879" s="193"/>
    </row>
    <row r="25880" spans="6:6" x14ac:dyDescent="0.3">
      <c r="F25880" s="193"/>
    </row>
    <row r="25881" spans="6:6" x14ac:dyDescent="0.3">
      <c r="F25881" s="193"/>
    </row>
    <row r="25882" spans="6:6" x14ac:dyDescent="0.3">
      <c r="F25882" s="193"/>
    </row>
    <row r="25883" spans="6:6" x14ac:dyDescent="0.3">
      <c r="F25883" s="193"/>
    </row>
    <row r="25884" spans="6:6" x14ac:dyDescent="0.3">
      <c r="F25884" s="193"/>
    </row>
    <row r="25885" spans="6:6" x14ac:dyDescent="0.3">
      <c r="F25885" s="193"/>
    </row>
    <row r="25886" spans="6:6" x14ac:dyDescent="0.3">
      <c r="F25886" s="193"/>
    </row>
    <row r="25887" spans="6:6" x14ac:dyDescent="0.3">
      <c r="F25887" s="193"/>
    </row>
    <row r="25888" spans="6:6" x14ac:dyDescent="0.3">
      <c r="F25888" s="193"/>
    </row>
    <row r="25889" spans="6:6" x14ac:dyDescent="0.3">
      <c r="F25889" s="193"/>
    </row>
    <row r="25890" spans="6:6" x14ac:dyDescent="0.3">
      <c r="F25890" s="193"/>
    </row>
    <row r="25891" spans="6:6" x14ac:dyDescent="0.3">
      <c r="F25891" s="193"/>
    </row>
    <row r="25892" spans="6:6" x14ac:dyDescent="0.3">
      <c r="F25892" s="193"/>
    </row>
    <row r="25893" spans="6:6" x14ac:dyDescent="0.3">
      <c r="F25893" s="193"/>
    </row>
    <row r="25894" spans="6:6" x14ac:dyDescent="0.3">
      <c r="F25894" s="193"/>
    </row>
    <row r="25895" spans="6:6" x14ac:dyDescent="0.3">
      <c r="F25895" s="193"/>
    </row>
    <row r="25896" spans="6:6" x14ac:dyDescent="0.3">
      <c r="F25896" s="193"/>
    </row>
    <row r="25897" spans="6:6" x14ac:dyDescent="0.3">
      <c r="F25897" s="193"/>
    </row>
    <row r="25898" spans="6:6" x14ac:dyDescent="0.3">
      <c r="F25898" s="193"/>
    </row>
    <row r="25899" spans="6:6" x14ac:dyDescent="0.3">
      <c r="F25899" s="193"/>
    </row>
    <row r="25900" spans="6:6" x14ac:dyDescent="0.3">
      <c r="F25900" s="193"/>
    </row>
    <row r="25901" spans="6:6" x14ac:dyDescent="0.3">
      <c r="F25901" s="193"/>
    </row>
    <row r="25902" spans="6:6" x14ac:dyDescent="0.3">
      <c r="F25902" s="193"/>
    </row>
    <row r="25903" spans="6:6" x14ac:dyDescent="0.3">
      <c r="F25903" s="193"/>
    </row>
    <row r="25904" spans="6:6" x14ac:dyDescent="0.3">
      <c r="F25904" s="193"/>
    </row>
    <row r="25905" spans="6:6" x14ac:dyDescent="0.3">
      <c r="F25905" s="193"/>
    </row>
    <row r="25906" spans="6:6" x14ac:dyDescent="0.3">
      <c r="F25906" s="193"/>
    </row>
    <row r="25907" spans="6:6" x14ac:dyDescent="0.3">
      <c r="F25907" s="193"/>
    </row>
    <row r="25908" spans="6:6" x14ac:dyDescent="0.3">
      <c r="F25908" s="193"/>
    </row>
    <row r="25909" spans="6:6" x14ac:dyDescent="0.3">
      <c r="F25909" s="193"/>
    </row>
    <row r="25910" spans="6:6" x14ac:dyDescent="0.3">
      <c r="F25910" s="193"/>
    </row>
    <row r="25911" spans="6:6" x14ac:dyDescent="0.3">
      <c r="F25911" s="193"/>
    </row>
    <row r="25912" spans="6:6" x14ac:dyDescent="0.3">
      <c r="F25912" s="193"/>
    </row>
    <row r="25913" spans="6:6" x14ac:dyDescent="0.3">
      <c r="F25913" s="193"/>
    </row>
    <row r="25914" spans="6:6" x14ac:dyDescent="0.3">
      <c r="F25914" s="193"/>
    </row>
    <row r="25915" spans="6:6" x14ac:dyDescent="0.3">
      <c r="F25915" s="193"/>
    </row>
    <row r="25916" spans="6:6" x14ac:dyDescent="0.3">
      <c r="F25916" s="193"/>
    </row>
    <row r="25917" spans="6:6" x14ac:dyDescent="0.3">
      <c r="F25917" s="193"/>
    </row>
    <row r="25918" spans="6:6" x14ac:dyDescent="0.3">
      <c r="F25918" s="193"/>
    </row>
    <row r="25919" spans="6:6" x14ac:dyDescent="0.3">
      <c r="F25919" s="193"/>
    </row>
    <row r="25920" spans="6:6" x14ac:dyDescent="0.3">
      <c r="F25920" s="193"/>
    </row>
    <row r="25921" spans="6:6" x14ac:dyDescent="0.3">
      <c r="F25921" s="193"/>
    </row>
    <row r="25922" spans="6:6" x14ac:dyDescent="0.3">
      <c r="F25922" s="193"/>
    </row>
    <row r="25923" spans="6:6" x14ac:dyDescent="0.3">
      <c r="F25923" s="193"/>
    </row>
    <row r="25924" spans="6:6" x14ac:dyDescent="0.3">
      <c r="F25924" s="193"/>
    </row>
    <row r="25925" spans="6:6" x14ac:dyDescent="0.3">
      <c r="F25925" s="193"/>
    </row>
    <row r="25926" spans="6:6" x14ac:dyDescent="0.3">
      <c r="F25926" s="193"/>
    </row>
    <row r="25927" spans="6:6" x14ac:dyDescent="0.3">
      <c r="F25927" s="193"/>
    </row>
    <row r="25928" spans="6:6" x14ac:dyDescent="0.3">
      <c r="F25928" s="193"/>
    </row>
    <row r="25929" spans="6:6" x14ac:dyDescent="0.3">
      <c r="F25929" s="193"/>
    </row>
    <row r="25930" spans="6:6" x14ac:dyDescent="0.3">
      <c r="F25930" s="193"/>
    </row>
    <row r="25931" spans="6:6" x14ac:dyDescent="0.3">
      <c r="F25931" s="193"/>
    </row>
    <row r="25932" spans="6:6" x14ac:dyDescent="0.3">
      <c r="F25932" s="193"/>
    </row>
    <row r="25933" spans="6:6" x14ac:dyDescent="0.3">
      <c r="F25933" s="193"/>
    </row>
    <row r="25934" spans="6:6" x14ac:dyDescent="0.3">
      <c r="F25934" s="193"/>
    </row>
    <row r="25935" spans="6:6" x14ac:dyDescent="0.3">
      <c r="F25935" s="193"/>
    </row>
    <row r="25936" spans="6:6" x14ac:dyDescent="0.3">
      <c r="F25936" s="193"/>
    </row>
    <row r="25937" spans="6:6" x14ac:dyDescent="0.3">
      <c r="F25937" s="193"/>
    </row>
    <row r="25938" spans="6:6" x14ac:dyDescent="0.3">
      <c r="F25938" s="193"/>
    </row>
    <row r="25939" spans="6:6" x14ac:dyDescent="0.3">
      <c r="F25939" s="193"/>
    </row>
    <row r="25940" spans="6:6" x14ac:dyDescent="0.3">
      <c r="F25940" s="193"/>
    </row>
    <row r="25941" spans="6:6" x14ac:dyDescent="0.3">
      <c r="F25941" s="193"/>
    </row>
    <row r="25942" spans="6:6" x14ac:dyDescent="0.3">
      <c r="F25942" s="193"/>
    </row>
    <row r="25943" spans="6:6" x14ac:dyDescent="0.3">
      <c r="F25943" s="193"/>
    </row>
    <row r="25944" spans="6:6" x14ac:dyDescent="0.3">
      <c r="F25944" s="193"/>
    </row>
    <row r="25945" spans="6:6" x14ac:dyDescent="0.3">
      <c r="F25945" s="193"/>
    </row>
    <row r="25946" spans="6:6" x14ac:dyDescent="0.3">
      <c r="F25946" s="193"/>
    </row>
    <row r="25947" spans="6:6" x14ac:dyDescent="0.3">
      <c r="F25947" s="193"/>
    </row>
    <row r="25948" spans="6:6" x14ac:dyDescent="0.3">
      <c r="F25948" s="193"/>
    </row>
    <row r="25949" spans="6:6" x14ac:dyDescent="0.3">
      <c r="F25949" s="193"/>
    </row>
    <row r="25950" spans="6:6" x14ac:dyDescent="0.3">
      <c r="F25950" s="193"/>
    </row>
    <row r="25951" spans="6:6" x14ac:dyDescent="0.3">
      <c r="F25951" s="193"/>
    </row>
    <row r="25952" spans="6:6" x14ac:dyDescent="0.3">
      <c r="F25952" s="193"/>
    </row>
    <row r="25953" spans="6:6" x14ac:dyDescent="0.3">
      <c r="F25953" s="193"/>
    </row>
    <row r="25954" spans="6:6" x14ac:dyDescent="0.3">
      <c r="F25954" s="193"/>
    </row>
    <row r="25955" spans="6:6" x14ac:dyDescent="0.3">
      <c r="F25955" s="193"/>
    </row>
    <row r="25956" spans="6:6" x14ac:dyDescent="0.3">
      <c r="F25956" s="193"/>
    </row>
    <row r="25957" spans="6:6" x14ac:dyDescent="0.3">
      <c r="F25957" s="193"/>
    </row>
    <row r="25958" spans="6:6" x14ac:dyDescent="0.3">
      <c r="F25958" s="193"/>
    </row>
    <row r="25959" spans="6:6" x14ac:dyDescent="0.3">
      <c r="F25959" s="193"/>
    </row>
    <row r="25960" spans="6:6" x14ac:dyDescent="0.3">
      <c r="F25960" s="193"/>
    </row>
    <row r="25961" spans="6:6" x14ac:dyDescent="0.3">
      <c r="F25961" s="193"/>
    </row>
    <row r="25962" spans="6:6" x14ac:dyDescent="0.3">
      <c r="F25962" s="193"/>
    </row>
    <row r="25963" spans="6:6" x14ac:dyDescent="0.3">
      <c r="F25963" s="193"/>
    </row>
    <row r="25964" spans="6:6" x14ac:dyDescent="0.3">
      <c r="F25964" s="193"/>
    </row>
    <row r="25965" spans="6:6" x14ac:dyDescent="0.3">
      <c r="F25965" s="193"/>
    </row>
    <row r="25966" spans="6:6" x14ac:dyDescent="0.3">
      <c r="F25966" s="193"/>
    </row>
    <row r="25967" spans="6:6" x14ac:dyDescent="0.3">
      <c r="F25967" s="193"/>
    </row>
    <row r="25968" spans="6:6" x14ac:dyDescent="0.3">
      <c r="F25968" s="193"/>
    </row>
    <row r="25969" spans="6:6" x14ac:dyDescent="0.3">
      <c r="F25969" s="193"/>
    </row>
    <row r="25970" spans="6:6" x14ac:dyDescent="0.3">
      <c r="F25970" s="193"/>
    </row>
    <row r="25971" spans="6:6" x14ac:dyDescent="0.3">
      <c r="F25971" s="193"/>
    </row>
    <row r="25972" spans="6:6" x14ac:dyDescent="0.3">
      <c r="F25972" s="193"/>
    </row>
    <row r="25973" spans="6:6" x14ac:dyDescent="0.3">
      <c r="F25973" s="193"/>
    </row>
    <row r="25974" spans="6:6" x14ac:dyDescent="0.3">
      <c r="F25974" s="193"/>
    </row>
    <row r="25975" spans="6:6" x14ac:dyDescent="0.3">
      <c r="F25975" s="193"/>
    </row>
    <row r="25976" spans="6:6" x14ac:dyDescent="0.3">
      <c r="F25976" s="193"/>
    </row>
    <row r="25977" spans="6:6" x14ac:dyDescent="0.3">
      <c r="F25977" s="193"/>
    </row>
    <row r="25978" spans="6:6" x14ac:dyDescent="0.3">
      <c r="F25978" s="193"/>
    </row>
    <row r="25979" spans="6:6" x14ac:dyDescent="0.3">
      <c r="F25979" s="193"/>
    </row>
    <row r="25980" spans="6:6" x14ac:dyDescent="0.3">
      <c r="F25980" s="193"/>
    </row>
    <row r="25981" spans="6:6" x14ac:dyDescent="0.3">
      <c r="F25981" s="193"/>
    </row>
    <row r="25982" spans="6:6" x14ac:dyDescent="0.3">
      <c r="F25982" s="193"/>
    </row>
    <row r="25983" spans="6:6" x14ac:dyDescent="0.3">
      <c r="F25983" s="193"/>
    </row>
    <row r="25984" spans="6:6" x14ac:dyDescent="0.3">
      <c r="F25984" s="193"/>
    </row>
    <row r="25985" spans="6:6" x14ac:dyDescent="0.3">
      <c r="F25985" s="193"/>
    </row>
    <row r="25986" spans="6:6" x14ac:dyDescent="0.3">
      <c r="F25986" s="193"/>
    </row>
    <row r="25987" spans="6:6" x14ac:dyDescent="0.3">
      <c r="F25987" s="193"/>
    </row>
    <row r="25988" spans="6:6" x14ac:dyDescent="0.3">
      <c r="F25988" s="193"/>
    </row>
    <row r="25989" spans="6:6" x14ac:dyDescent="0.3">
      <c r="F25989" s="193"/>
    </row>
    <row r="25990" spans="6:6" x14ac:dyDescent="0.3">
      <c r="F25990" s="193"/>
    </row>
    <row r="25991" spans="6:6" x14ac:dyDescent="0.3">
      <c r="F25991" s="193"/>
    </row>
    <row r="25992" spans="6:6" x14ac:dyDescent="0.3">
      <c r="F25992" s="193"/>
    </row>
    <row r="25993" spans="6:6" x14ac:dyDescent="0.3">
      <c r="F25993" s="193"/>
    </row>
    <row r="25994" spans="6:6" x14ac:dyDescent="0.3">
      <c r="F25994" s="193"/>
    </row>
    <row r="25995" spans="6:6" x14ac:dyDescent="0.3">
      <c r="F25995" s="193"/>
    </row>
    <row r="25996" spans="6:6" x14ac:dyDescent="0.3">
      <c r="F25996" s="193"/>
    </row>
    <row r="25997" spans="6:6" x14ac:dyDescent="0.3">
      <c r="F25997" s="193"/>
    </row>
    <row r="25998" spans="6:6" x14ac:dyDescent="0.3">
      <c r="F25998" s="193"/>
    </row>
    <row r="25999" spans="6:6" x14ac:dyDescent="0.3">
      <c r="F25999" s="193"/>
    </row>
    <row r="26000" spans="6:6" x14ac:dyDescent="0.3">
      <c r="F26000" s="193"/>
    </row>
    <row r="26001" spans="6:6" x14ac:dyDescent="0.3">
      <c r="F26001" s="193"/>
    </row>
    <row r="26002" spans="6:6" x14ac:dyDescent="0.3">
      <c r="F26002" s="193"/>
    </row>
    <row r="26003" spans="6:6" x14ac:dyDescent="0.3">
      <c r="F26003" s="193"/>
    </row>
    <row r="26004" spans="6:6" x14ac:dyDescent="0.3">
      <c r="F26004" s="193"/>
    </row>
    <row r="26005" spans="6:6" x14ac:dyDescent="0.3">
      <c r="F26005" s="193"/>
    </row>
    <row r="26006" spans="6:6" x14ac:dyDescent="0.3">
      <c r="F26006" s="193"/>
    </row>
    <row r="26007" spans="6:6" x14ac:dyDescent="0.3">
      <c r="F26007" s="193"/>
    </row>
    <row r="26008" spans="6:6" x14ac:dyDescent="0.3">
      <c r="F26008" s="193"/>
    </row>
    <row r="26009" spans="6:6" x14ac:dyDescent="0.3">
      <c r="F26009" s="193"/>
    </row>
    <row r="26010" spans="6:6" x14ac:dyDescent="0.3">
      <c r="F26010" s="193"/>
    </row>
    <row r="26011" spans="6:6" x14ac:dyDescent="0.3">
      <c r="F26011" s="193"/>
    </row>
    <row r="26012" spans="6:6" x14ac:dyDescent="0.3">
      <c r="F26012" s="193"/>
    </row>
    <row r="26013" spans="6:6" x14ac:dyDescent="0.3">
      <c r="F26013" s="193"/>
    </row>
    <row r="26014" spans="6:6" x14ac:dyDescent="0.3">
      <c r="F26014" s="193"/>
    </row>
    <row r="26015" spans="6:6" x14ac:dyDescent="0.3">
      <c r="F26015" s="193"/>
    </row>
    <row r="26016" spans="6:6" x14ac:dyDescent="0.3">
      <c r="F26016" s="193"/>
    </row>
    <row r="26017" spans="6:6" x14ac:dyDescent="0.3">
      <c r="F26017" s="193"/>
    </row>
    <row r="26018" spans="6:6" x14ac:dyDescent="0.3">
      <c r="F26018" s="193"/>
    </row>
    <row r="26019" spans="6:6" x14ac:dyDescent="0.3">
      <c r="F26019" s="193"/>
    </row>
    <row r="26020" spans="6:6" x14ac:dyDescent="0.3">
      <c r="F26020" s="193"/>
    </row>
    <row r="26021" spans="6:6" x14ac:dyDescent="0.3">
      <c r="F26021" s="193"/>
    </row>
    <row r="26022" spans="6:6" x14ac:dyDescent="0.3">
      <c r="F26022" s="193"/>
    </row>
    <row r="26023" spans="6:6" x14ac:dyDescent="0.3">
      <c r="F26023" s="193"/>
    </row>
    <row r="26024" spans="6:6" x14ac:dyDescent="0.3">
      <c r="F26024" s="193"/>
    </row>
    <row r="26025" spans="6:6" x14ac:dyDescent="0.3">
      <c r="F26025" s="193"/>
    </row>
    <row r="26026" spans="6:6" x14ac:dyDescent="0.3">
      <c r="F26026" s="193"/>
    </row>
    <row r="26027" spans="6:6" x14ac:dyDescent="0.3">
      <c r="F26027" s="193"/>
    </row>
    <row r="26028" spans="6:6" x14ac:dyDescent="0.3">
      <c r="F26028" s="193"/>
    </row>
    <row r="26029" spans="6:6" x14ac:dyDescent="0.3">
      <c r="F26029" s="193"/>
    </row>
    <row r="26030" spans="6:6" x14ac:dyDescent="0.3">
      <c r="F26030" s="193"/>
    </row>
    <row r="26031" spans="6:6" x14ac:dyDescent="0.3">
      <c r="F26031" s="193"/>
    </row>
    <row r="26032" spans="6:6" x14ac:dyDescent="0.3">
      <c r="F26032" s="193"/>
    </row>
    <row r="26033" spans="6:6" x14ac:dyDescent="0.3">
      <c r="F26033" s="193"/>
    </row>
    <row r="26034" spans="6:6" x14ac:dyDescent="0.3">
      <c r="F26034" s="193"/>
    </row>
    <row r="26035" spans="6:6" x14ac:dyDescent="0.3">
      <c r="F26035" s="193"/>
    </row>
    <row r="26036" spans="6:6" x14ac:dyDescent="0.3">
      <c r="F26036" s="193"/>
    </row>
    <row r="26037" spans="6:6" x14ac:dyDescent="0.3">
      <c r="F26037" s="193"/>
    </row>
    <row r="26038" spans="6:6" x14ac:dyDescent="0.3">
      <c r="F26038" s="193"/>
    </row>
    <row r="26039" spans="6:6" x14ac:dyDescent="0.3">
      <c r="F26039" s="193"/>
    </row>
    <row r="26040" spans="6:6" x14ac:dyDescent="0.3">
      <c r="F26040" s="193"/>
    </row>
    <row r="26041" spans="6:6" x14ac:dyDescent="0.3">
      <c r="F26041" s="193"/>
    </row>
    <row r="26042" spans="6:6" x14ac:dyDescent="0.3">
      <c r="F26042" s="193"/>
    </row>
    <row r="26043" spans="6:6" x14ac:dyDescent="0.3">
      <c r="F26043" s="193"/>
    </row>
    <row r="26044" spans="6:6" x14ac:dyDescent="0.3">
      <c r="F26044" s="193"/>
    </row>
    <row r="26045" spans="6:6" x14ac:dyDescent="0.3">
      <c r="F26045" s="193"/>
    </row>
    <row r="26046" spans="6:6" x14ac:dyDescent="0.3">
      <c r="F26046" s="193"/>
    </row>
    <row r="26047" spans="6:6" x14ac:dyDescent="0.3">
      <c r="F26047" s="193"/>
    </row>
    <row r="26048" spans="6:6" x14ac:dyDescent="0.3">
      <c r="F26048" s="193"/>
    </row>
    <row r="26049" spans="6:6" x14ac:dyDescent="0.3">
      <c r="F26049" s="193"/>
    </row>
    <row r="26050" spans="6:6" x14ac:dyDescent="0.3">
      <c r="F26050" s="193"/>
    </row>
    <row r="26051" spans="6:6" x14ac:dyDescent="0.3">
      <c r="F26051" s="193"/>
    </row>
    <row r="26052" spans="6:6" x14ac:dyDescent="0.3">
      <c r="F26052" s="193"/>
    </row>
    <row r="26053" spans="6:6" x14ac:dyDescent="0.3">
      <c r="F26053" s="193"/>
    </row>
    <row r="26054" spans="6:6" x14ac:dyDescent="0.3">
      <c r="F26054" s="193"/>
    </row>
    <row r="26055" spans="6:6" x14ac:dyDescent="0.3">
      <c r="F26055" s="193"/>
    </row>
    <row r="26056" spans="6:6" x14ac:dyDescent="0.3">
      <c r="F26056" s="193"/>
    </row>
    <row r="26057" spans="6:6" x14ac:dyDescent="0.3">
      <c r="F26057" s="193"/>
    </row>
    <row r="26058" spans="6:6" x14ac:dyDescent="0.3">
      <c r="F26058" s="193"/>
    </row>
    <row r="26059" spans="6:6" x14ac:dyDescent="0.3">
      <c r="F26059" s="193"/>
    </row>
    <row r="26060" spans="6:6" x14ac:dyDescent="0.3">
      <c r="F26060" s="193"/>
    </row>
    <row r="26061" spans="6:6" x14ac:dyDescent="0.3">
      <c r="F26061" s="193"/>
    </row>
    <row r="26062" spans="6:6" x14ac:dyDescent="0.3">
      <c r="F26062" s="193"/>
    </row>
    <row r="26063" spans="6:6" x14ac:dyDescent="0.3">
      <c r="F26063" s="193"/>
    </row>
    <row r="26064" spans="6:6" x14ac:dyDescent="0.3">
      <c r="F26064" s="193"/>
    </row>
    <row r="26065" spans="6:6" x14ac:dyDescent="0.3">
      <c r="F26065" s="193"/>
    </row>
    <row r="26066" spans="6:6" x14ac:dyDescent="0.3">
      <c r="F26066" s="193"/>
    </row>
    <row r="26067" spans="6:6" x14ac:dyDescent="0.3">
      <c r="F26067" s="193"/>
    </row>
    <row r="26068" spans="6:6" x14ac:dyDescent="0.3">
      <c r="F26068" s="193"/>
    </row>
    <row r="26069" spans="6:6" x14ac:dyDescent="0.3">
      <c r="F26069" s="193"/>
    </row>
    <row r="26070" spans="6:6" x14ac:dyDescent="0.3">
      <c r="F26070" s="193"/>
    </row>
    <row r="26071" spans="6:6" x14ac:dyDescent="0.3">
      <c r="F26071" s="193"/>
    </row>
    <row r="26072" spans="6:6" x14ac:dyDescent="0.3">
      <c r="F26072" s="193"/>
    </row>
    <row r="26073" spans="6:6" x14ac:dyDescent="0.3">
      <c r="F26073" s="193"/>
    </row>
    <row r="26074" spans="6:6" x14ac:dyDescent="0.3">
      <c r="F26074" s="193"/>
    </row>
    <row r="26075" spans="6:6" x14ac:dyDescent="0.3">
      <c r="F26075" s="193"/>
    </row>
    <row r="26076" spans="6:6" x14ac:dyDescent="0.3">
      <c r="F26076" s="193"/>
    </row>
    <row r="26077" spans="6:6" x14ac:dyDescent="0.3">
      <c r="F26077" s="193"/>
    </row>
    <row r="26078" spans="6:6" x14ac:dyDescent="0.3">
      <c r="F26078" s="193"/>
    </row>
    <row r="26079" spans="6:6" x14ac:dyDescent="0.3">
      <c r="F26079" s="193"/>
    </row>
    <row r="26080" spans="6:6" x14ac:dyDescent="0.3">
      <c r="F26080" s="193"/>
    </row>
    <row r="26081" spans="6:6" x14ac:dyDescent="0.3">
      <c r="F26081" s="193"/>
    </row>
    <row r="26082" spans="6:6" x14ac:dyDescent="0.3">
      <c r="F26082" s="193"/>
    </row>
    <row r="26083" spans="6:6" x14ac:dyDescent="0.3">
      <c r="F26083" s="193"/>
    </row>
    <row r="26084" spans="6:6" x14ac:dyDescent="0.3">
      <c r="F26084" s="193"/>
    </row>
    <row r="26085" spans="6:6" x14ac:dyDescent="0.3">
      <c r="F26085" s="193"/>
    </row>
    <row r="26086" spans="6:6" x14ac:dyDescent="0.3">
      <c r="F26086" s="193"/>
    </row>
    <row r="26087" spans="6:6" x14ac:dyDescent="0.3">
      <c r="F26087" s="193"/>
    </row>
    <row r="26088" spans="6:6" x14ac:dyDescent="0.3">
      <c r="F26088" s="193"/>
    </row>
    <row r="26089" spans="6:6" x14ac:dyDescent="0.3">
      <c r="F26089" s="193"/>
    </row>
    <row r="26090" spans="6:6" x14ac:dyDescent="0.3">
      <c r="F26090" s="193"/>
    </row>
    <row r="26091" spans="6:6" x14ac:dyDescent="0.3">
      <c r="F26091" s="193"/>
    </row>
    <row r="26092" spans="6:6" x14ac:dyDescent="0.3">
      <c r="F26092" s="193"/>
    </row>
    <row r="26093" spans="6:6" x14ac:dyDescent="0.3">
      <c r="F26093" s="193"/>
    </row>
    <row r="26094" spans="6:6" x14ac:dyDescent="0.3">
      <c r="F26094" s="193"/>
    </row>
    <row r="26095" spans="6:6" x14ac:dyDescent="0.3">
      <c r="F26095" s="193"/>
    </row>
    <row r="26096" spans="6:6" x14ac:dyDescent="0.3">
      <c r="F26096" s="193"/>
    </row>
    <row r="26097" spans="6:6" x14ac:dyDescent="0.3">
      <c r="F26097" s="193"/>
    </row>
    <row r="26098" spans="6:6" x14ac:dyDescent="0.3">
      <c r="F26098" s="193"/>
    </row>
    <row r="26099" spans="6:6" x14ac:dyDescent="0.3">
      <c r="F26099" s="193"/>
    </row>
    <row r="26100" spans="6:6" x14ac:dyDescent="0.3">
      <c r="F26100" s="193"/>
    </row>
    <row r="26101" spans="6:6" x14ac:dyDescent="0.3">
      <c r="F26101" s="193"/>
    </row>
    <row r="26102" spans="6:6" x14ac:dyDescent="0.3">
      <c r="F26102" s="193"/>
    </row>
    <row r="26103" spans="6:6" x14ac:dyDescent="0.3">
      <c r="F26103" s="193"/>
    </row>
    <row r="26104" spans="6:6" x14ac:dyDescent="0.3">
      <c r="F26104" s="193"/>
    </row>
    <row r="26105" spans="6:6" x14ac:dyDescent="0.3">
      <c r="F26105" s="193"/>
    </row>
    <row r="26106" spans="6:6" x14ac:dyDescent="0.3">
      <c r="F26106" s="193"/>
    </row>
    <row r="26107" spans="6:6" x14ac:dyDescent="0.3">
      <c r="F26107" s="193"/>
    </row>
    <row r="26108" spans="6:6" x14ac:dyDescent="0.3">
      <c r="F26108" s="193"/>
    </row>
    <row r="26109" spans="6:6" x14ac:dyDescent="0.3">
      <c r="F26109" s="193"/>
    </row>
    <row r="26110" spans="6:6" x14ac:dyDescent="0.3">
      <c r="F26110" s="193"/>
    </row>
    <row r="26111" spans="6:6" x14ac:dyDescent="0.3">
      <c r="F26111" s="193"/>
    </row>
    <row r="26112" spans="6:6" x14ac:dyDescent="0.3">
      <c r="F26112" s="193"/>
    </row>
    <row r="26113" spans="6:6" x14ac:dyDescent="0.3">
      <c r="F26113" s="193"/>
    </row>
    <row r="26114" spans="6:6" x14ac:dyDescent="0.3">
      <c r="F26114" s="193"/>
    </row>
    <row r="26115" spans="6:6" x14ac:dyDescent="0.3">
      <c r="F26115" s="193"/>
    </row>
    <row r="26116" spans="6:6" x14ac:dyDescent="0.3">
      <c r="F26116" s="193"/>
    </row>
    <row r="26117" spans="6:6" x14ac:dyDescent="0.3">
      <c r="F26117" s="193"/>
    </row>
    <row r="26118" spans="6:6" x14ac:dyDescent="0.3">
      <c r="F26118" s="193"/>
    </row>
    <row r="26119" spans="6:6" x14ac:dyDescent="0.3">
      <c r="F26119" s="193"/>
    </row>
    <row r="26120" spans="6:6" x14ac:dyDescent="0.3">
      <c r="F26120" s="193"/>
    </row>
    <row r="26121" spans="6:6" x14ac:dyDescent="0.3">
      <c r="F26121" s="193"/>
    </row>
    <row r="26122" spans="6:6" x14ac:dyDescent="0.3">
      <c r="F26122" s="193"/>
    </row>
    <row r="26123" spans="6:6" x14ac:dyDescent="0.3">
      <c r="F26123" s="193"/>
    </row>
    <row r="26124" spans="6:6" x14ac:dyDescent="0.3">
      <c r="F26124" s="193"/>
    </row>
    <row r="26125" spans="6:6" x14ac:dyDescent="0.3">
      <c r="F26125" s="193"/>
    </row>
    <row r="26126" spans="6:6" x14ac:dyDescent="0.3">
      <c r="F26126" s="193"/>
    </row>
    <row r="26127" spans="6:6" x14ac:dyDescent="0.3">
      <c r="F26127" s="193"/>
    </row>
    <row r="26128" spans="6:6" x14ac:dyDescent="0.3">
      <c r="F26128" s="193"/>
    </row>
    <row r="26129" spans="6:6" x14ac:dyDescent="0.3">
      <c r="F26129" s="193"/>
    </row>
    <row r="26130" spans="6:6" x14ac:dyDescent="0.3">
      <c r="F26130" s="193"/>
    </row>
    <row r="26131" spans="6:6" x14ac:dyDescent="0.3">
      <c r="F26131" s="193"/>
    </row>
    <row r="26132" spans="6:6" x14ac:dyDescent="0.3">
      <c r="F26132" s="193"/>
    </row>
    <row r="26133" spans="6:6" x14ac:dyDescent="0.3">
      <c r="F26133" s="193"/>
    </row>
    <row r="26134" spans="6:6" x14ac:dyDescent="0.3">
      <c r="F26134" s="193"/>
    </row>
    <row r="26135" spans="6:6" x14ac:dyDescent="0.3">
      <c r="F26135" s="193"/>
    </row>
    <row r="26136" spans="6:6" x14ac:dyDescent="0.3">
      <c r="F26136" s="193"/>
    </row>
    <row r="26137" spans="6:6" x14ac:dyDescent="0.3">
      <c r="F26137" s="193"/>
    </row>
    <row r="26138" spans="6:6" x14ac:dyDescent="0.3">
      <c r="F26138" s="193"/>
    </row>
    <row r="26139" spans="6:6" x14ac:dyDescent="0.3">
      <c r="F26139" s="193"/>
    </row>
    <row r="26140" spans="6:6" x14ac:dyDescent="0.3">
      <c r="F26140" s="193"/>
    </row>
    <row r="26141" spans="6:6" x14ac:dyDescent="0.3">
      <c r="F26141" s="193"/>
    </row>
    <row r="26142" spans="6:6" x14ac:dyDescent="0.3">
      <c r="F26142" s="193"/>
    </row>
    <row r="26143" spans="6:6" x14ac:dyDescent="0.3">
      <c r="F26143" s="193"/>
    </row>
    <row r="26144" spans="6:6" x14ac:dyDescent="0.3">
      <c r="F26144" s="193"/>
    </row>
    <row r="26145" spans="6:6" x14ac:dyDescent="0.3">
      <c r="F26145" s="193"/>
    </row>
    <row r="26146" spans="6:6" x14ac:dyDescent="0.3">
      <c r="F26146" s="193"/>
    </row>
    <row r="26147" spans="6:6" x14ac:dyDescent="0.3">
      <c r="F26147" s="193"/>
    </row>
    <row r="26148" spans="6:6" x14ac:dyDescent="0.3">
      <c r="F26148" s="193"/>
    </row>
    <row r="26149" spans="6:6" x14ac:dyDescent="0.3">
      <c r="F26149" s="193"/>
    </row>
    <row r="26150" spans="6:6" x14ac:dyDescent="0.3">
      <c r="F26150" s="193"/>
    </row>
    <row r="26151" spans="6:6" x14ac:dyDescent="0.3">
      <c r="F26151" s="193"/>
    </row>
    <row r="26152" spans="6:6" x14ac:dyDescent="0.3">
      <c r="F26152" s="193"/>
    </row>
    <row r="26153" spans="6:6" x14ac:dyDescent="0.3">
      <c r="F26153" s="193"/>
    </row>
    <row r="26154" spans="6:6" x14ac:dyDescent="0.3">
      <c r="F26154" s="193"/>
    </row>
    <row r="26155" spans="6:6" x14ac:dyDescent="0.3">
      <c r="F26155" s="193"/>
    </row>
    <row r="26156" spans="6:6" x14ac:dyDescent="0.3">
      <c r="F26156" s="193"/>
    </row>
    <row r="26157" spans="6:6" x14ac:dyDescent="0.3">
      <c r="F26157" s="193"/>
    </row>
    <row r="26158" spans="6:6" x14ac:dyDescent="0.3">
      <c r="F26158" s="193"/>
    </row>
    <row r="26159" spans="6:6" x14ac:dyDescent="0.3">
      <c r="F26159" s="193"/>
    </row>
    <row r="26160" spans="6:6" x14ac:dyDescent="0.3">
      <c r="F26160" s="193"/>
    </row>
    <row r="26161" spans="6:6" x14ac:dyDescent="0.3">
      <c r="F26161" s="193"/>
    </row>
    <row r="26162" spans="6:6" x14ac:dyDescent="0.3">
      <c r="F26162" s="193"/>
    </row>
    <row r="26163" spans="6:6" x14ac:dyDescent="0.3">
      <c r="F26163" s="193"/>
    </row>
    <row r="26164" spans="6:6" x14ac:dyDescent="0.3">
      <c r="F26164" s="193"/>
    </row>
    <row r="26165" spans="6:6" x14ac:dyDescent="0.3">
      <c r="F26165" s="193"/>
    </row>
    <row r="26166" spans="6:6" x14ac:dyDescent="0.3">
      <c r="F26166" s="193"/>
    </row>
    <row r="26167" spans="6:6" x14ac:dyDescent="0.3">
      <c r="F26167" s="193"/>
    </row>
    <row r="26168" spans="6:6" x14ac:dyDescent="0.3">
      <c r="F26168" s="193"/>
    </row>
    <row r="26169" spans="6:6" x14ac:dyDescent="0.3">
      <c r="F26169" s="193"/>
    </row>
    <row r="26170" spans="6:6" x14ac:dyDescent="0.3">
      <c r="F26170" s="193"/>
    </row>
    <row r="26171" spans="6:6" x14ac:dyDescent="0.3">
      <c r="F26171" s="193"/>
    </row>
    <row r="26172" spans="6:6" x14ac:dyDescent="0.3">
      <c r="F26172" s="193"/>
    </row>
    <row r="26173" spans="6:6" x14ac:dyDescent="0.3">
      <c r="F26173" s="193"/>
    </row>
    <row r="26174" spans="6:6" x14ac:dyDescent="0.3">
      <c r="F26174" s="193"/>
    </row>
    <row r="26175" spans="6:6" x14ac:dyDescent="0.3">
      <c r="F26175" s="193"/>
    </row>
    <row r="26176" spans="6:6" x14ac:dyDescent="0.3">
      <c r="F26176" s="193"/>
    </row>
    <row r="26177" spans="6:6" x14ac:dyDescent="0.3">
      <c r="F26177" s="193"/>
    </row>
    <row r="26178" spans="6:6" x14ac:dyDescent="0.3">
      <c r="F26178" s="193"/>
    </row>
    <row r="26179" spans="6:6" x14ac:dyDescent="0.3">
      <c r="F26179" s="193"/>
    </row>
    <row r="26180" spans="6:6" x14ac:dyDescent="0.3">
      <c r="F26180" s="193"/>
    </row>
    <row r="26181" spans="6:6" x14ac:dyDescent="0.3">
      <c r="F26181" s="193"/>
    </row>
    <row r="26182" spans="6:6" x14ac:dyDescent="0.3">
      <c r="F26182" s="193"/>
    </row>
    <row r="26183" spans="6:6" x14ac:dyDescent="0.3">
      <c r="F26183" s="193"/>
    </row>
    <row r="26184" spans="6:6" x14ac:dyDescent="0.3">
      <c r="F26184" s="193"/>
    </row>
    <row r="26185" spans="6:6" x14ac:dyDescent="0.3">
      <c r="F26185" s="193"/>
    </row>
    <row r="26186" spans="6:6" x14ac:dyDescent="0.3">
      <c r="F26186" s="193"/>
    </row>
    <row r="26187" spans="6:6" x14ac:dyDescent="0.3">
      <c r="F26187" s="193"/>
    </row>
    <row r="26188" spans="6:6" x14ac:dyDescent="0.3">
      <c r="F26188" s="193"/>
    </row>
    <row r="26189" spans="6:6" x14ac:dyDescent="0.3">
      <c r="F26189" s="193"/>
    </row>
    <row r="26190" spans="6:6" x14ac:dyDescent="0.3">
      <c r="F26190" s="193"/>
    </row>
    <row r="26191" spans="6:6" x14ac:dyDescent="0.3">
      <c r="F26191" s="193"/>
    </row>
    <row r="26192" spans="6:6" x14ac:dyDescent="0.3">
      <c r="F26192" s="193"/>
    </row>
    <row r="26193" spans="6:6" x14ac:dyDescent="0.3">
      <c r="F26193" s="193"/>
    </row>
    <row r="26194" spans="6:6" x14ac:dyDescent="0.3">
      <c r="F26194" s="193"/>
    </row>
    <row r="26195" spans="6:6" x14ac:dyDescent="0.3">
      <c r="F26195" s="193"/>
    </row>
    <row r="26196" spans="6:6" x14ac:dyDescent="0.3">
      <c r="F26196" s="193"/>
    </row>
    <row r="26197" spans="6:6" x14ac:dyDescent="0.3">
      <c r="F26197" s="193"/>
    </row>
    <row r="26198" spans="6:6" x14ac:dyDescent="0.3">
      <c r="F26198" s="193"/>
    </row>
    <row r="26199" spans="6:6" x14ac:dyDescent="0.3">
      <c r="F26199" s="193"/>
    </row>
    <row r="26200" spans="6:6" x14ac:dyDescent="0.3">
      <c r="F26200" s="193"/>
    </row>
    <row r="26201" spans="6:6" x14ac:dyDescent="0.3">
      <c r="F26201" s="193"/>
    </row>
    <row r="26202" spans="6:6" x14ac:dyDescent="0.3">
      <c r="F26202" s="193"/>
    </row>
    <row r="26203" spans="6:6" x14ac:dyDescent="0.3">
      <c r="F26203" s="193"/>
    </row>
    <row r="26204" spans="6:6" x14ac:dyDescent="0.3">
      <c r="F26204" s="193"/>
    </row>
    <row r="26205" spans="6:6" x14ac:dyDescent="0.3">
      <c r="F26205" s="193"/>
    </row>
    <row r="26206" spans="6:6" x14ac:dyDescent="0.3">
      <c r="F26206" s="193"/>
    </row>
    <row r="26207" spans="6:6" x14ac:dyDescent="0.3">
      <c r="F26207" s="193"/>
    </row>
    <row r="26208" spans="6:6" x14ac:dyDescent="0.3">
      <c r="F26208" s="193"/>
    </row>
    <row r="26209" spans="6:6" x14ac:dyDescent="0.3">
      <c r="F26209" s="193"/>
    </row>
    <row r="26210" spans="6:6" x14ac:dyDescent="0.3">
      <c r="F26210" s="193"/>
    </row>
    <row r="26211" spans="6:6" x14ac:dyDescent="0.3">
      <c r="F26211" s="193"/>
    </row>
    <row r="26212" spans="6:6" x14ac:dyDescent="0.3">
      <c r="F26212" s="193"/>
    </row>
    <row r="26213" spans="6:6" x14ac:dyDescent="0.3">
      <c r="F26213" s="193"/>
    </row>
    <row r="26214" spans="6:6" x14ac:dyDescent="0.3">
      <c r="F26214" s="193"/>
    </row>
    <row r="26215" spans="6:6" x14ac:dyDescent="0.3">
      <c r="F26215" s="193"/>
    </row>
    <row r="26216" spans="6:6" x14ac:dyDescent="0.3">
      <c r="F26216" s="193"/>
    </row>
    <row r="26217" spans="6:6" x14ac:dyDescent="0.3">
      <c r="F26217" s="193"/>
    </row>
    <row r="26218" spans="6:6" x14ac:dyDescent="0.3">
      <c r="F26218" s="193"/>
    </row>
    <row r="26219" spans="6:6" x14ac:dyDescent="0.3">
      <c r="F26219" s="193"/>
    </row>
    <row r="26220" spans="6:6" x14ac:dyDescent="0.3">
      <c r="F26220" s="193"/>
    </row>
    <row r="26221" spans="6:6" x14ac:dyDescent="0.3">
      <c r="F26221" s="193"/>
    </row>
    <row r="26222" spans="6:6" x14ac:dyDescent="0.3">
      <c r="F26222" s="193"/>
    </row>
    <row r="26223" spans="6:6" x14ac:dyDescent="0.3">
      <c r="F26223" s="193"/>
    </row>
    <row r="26224" spans="6:6" x14ac:dyDescent="0.3">
      <c r="F26224" s="193"/>
    </row>
    <row r="26225" spans="6:6" x14ac:dyDescent="0.3">
      <c r="F26225" s="193"/>
    </row>
    <row r="26226" spans="6:6" x14ac:dyDescent="0.3">
      <c r="F26226" s="193"/>
    </row>
    <row r="26227" spans="6:6" x14ac:dyDescent="0.3">
      <c r="F26227" s="193"/>
    </row>
    <row r="26228" spans="6:6" x14ac:dyDescent="0.3">
      <c r="F26228" s="193"/>
    </row>
    <row r="26229" spans="6:6" x14ac:dyDescent="0.3">
      <c r="F26229" s="193"/>
    </row>
    <row r="26230" spans="6:6" x14ac:dyDescent="0.3">
      <c r="F26230" s="193"/>
    </row>
    <row r="26231" spans="6:6" x14ac:dyDescent="0.3">
      <c r="F26231" s="193"/>
    </row>
    <row r="26232" spans="6:6" x14ac:dyDescent="0.3">
      <c r="F26232" s="193"/>
    </row>
    <row r="26233" spans="6:6" x14ac:dyDescent="0.3">
      <c r="F26233" s="193"/>
    </row>
    <row r="26234" spans="6:6" x14ac:dyDescent="0.3">
      <c r="F26234" s="193"/>
    </row>
    <row r="26235" spans="6:6" x14ac:dyDescent="0.3">
      <c r="F26235" s="193"/>
    </row>
    <row r="26236" spans="6:6" x14ac:dyDescent="0.3">
      <c r="F26236" s="193"/>
    </row>
    <row r="26237" spans="6:6" x14ac:dyDescent="0.3">
      <c r="F26237" s="193"/>
    </row>
    <row r="26238" spans="6:6" x14ac:dyDescent="0.3">
      <c r="F26238" s="193"/>
    </row>
    <row r="26239" spans="6:6" x14ac:dyDescent="0.3">
      <c r="F26239" s="193"/>
    </row>
    <row r="26240" spans="6:6" x14ac:dyDescent="0.3">
      <c r="F26240" s="193"/>
    </row>
    <row r="26241" spans="6:6" x14ac:dyDescent="0.3">
      <c r="F26241" s="193"/>
    </row>
    <row r="26242" spans="6:6" x14ac:dyDescent="0.3">
      <c r="F26242" s="193"/>
    </row>
    <row r="26243" spans="6:6" x14ac:dyDescent="0.3">
      <c r="F26243" s="193"/>
    </row>
    <row r="26244" spans="6:6" x14ac:dyDescent="0.3">
      <c r="F26244" s="193"/>
    </row>
    <row r="26245" spans="6:6" x14ac:dyDescent="0.3">
      <c r="F26245" s="193"/>
    </row>
    <row r="26246" spans="6:6" x14ac:dyDescent="0.3">
      <c r="F26246" s="193"/>
    </row>
    <row r="26247" spans="6:6" x14ac:dyDescent="0.3">
      <c r="F26247" s="193"/>
    </row>
    <row r="26248" spans="6:6" x14ac:dyDescent="0.3">
      <c r="F26248" s="193"/>
    </row>
    <row r="26249" spans="6:6" x14ac:dyDescent="0.3">
      <c r="F26249" s="193"/>
    </row>
    <row r="26250" spans="6:6" x14ac:dyDescent="0.3">
      <c r="F26250" s="193"/>
    </row>
    <row r="26251" spans="6:6" x14ac:dyDescent="0.3">
      <c r="F26251" s="193"/>
    </row>
    <row r="26252" spans="6:6" x14ac:dyDescent="0.3">
      <c r="F26252" s="193"/>
    </row>
    <row r="26253" spans="6:6" x14ac:dyDescent="0.3">
      <c r="F26253" s="193"/>
    </row>
    <row r="26254" spans="6:6" x14ac:dyDescent="0.3">
      <c r="F26254" s="193"/>
    </row>
    <row r="26255" spans="6:6" x14ac:dyDescent="0.3">
      <c r="F26255" s="193"/>
    </row>
    <row r="26256" spans="6:6" x14ac:dyDescent="0.3">
      <c r="F26256" s="193"/>
    </row>
    <row r="26257" spans="6:6" x14ac:dyDescent="0.3">
      <c r="F26257" s="193"/>
    </row>
    <row r="26258" spans="6:6" x14ac:dyDescent="0.3">
      <c r="F26258" s="193"/>
    </row>
    <row r="26259" spans="6:6" x14ac:dyDescent="0.3">
      <c r="F26259" s="193"/>
    </row>
    <row r="26260" spans="6:6" x14ac:dyDescent="0.3">
      <c r="F26260" s="193"/>
    </row>
    <row r="26261" spans="6:6" x14ac:dyDescent="0.3">
      <c r="F26261" s="193"/>
    </row>
    <row r="26262" spans="6:6" x14ac:dyDescent="0.3">
      <c r="F26262" s="193"/>
    </row>
    <row r="26263" spans="6:6" x14ac:dyDescent="0.3">
      <c r="F26263" s="193"/>
    </row>
    <row r="26264" spans="6:6" x14ac:dyDescent="0.3">
      <c r="F26264" s="193"/>
    </row>
    <row r="26265" spans="6:6" x14ac:dyDescent="0.3">
      <c r="F26265" s="193"/>
    </row>
    <row r="26266" spans="6:6" x14ac:dyDescent="0.3">
      <c r="F26266" s="193"/>
    </row>
    <row r="26267" spans="6:6" x14ac:dyDescent="0.3">
      <c r="F26267" s="193"/>
    </row>
    <row r="26268" spans="6:6" x14ac:dyDescent="0.3">
      <c r="F26268" s="193"/>
    </row>
    <row r="26269" spans="6:6" x14ac:dyDescent="0.3">
      <c r="F26269" s="193"/>
    </row>
    <row r="26270" spans="6:6" x14ac:dyDescent="0.3">
      <c r="F26270" s="193"/>
    </row>
    <row r="26271" spans="6:6" x14ac:dyDescent="0.3">
      <c r="F26271" s="193"/>
    </row>
    <row r="26272" spans="6:6" x14ac:dyDescent="0.3">
      <c r="F26272" s="193"/>
    </row>
    <row r="26273" spans="6:6" x14ac:dyDescent="0.3">
      <c r="F26273" s="193"/>
    </row>
    <row r="26274" spans="6:6" x14ac:dyDescent="0.3">
      <c r="F26274" s="193"/>
    </row>
    <row r="26275" spans="6:6" x14ac:dyDescent="0.3">
      <c r="F26275" s="193"/>
    </row>
    <row r="26276" spans="6:6" x14ac:dyDescent="0.3">
      <c r="F26276" s="193"/>
    </row>
    <row r="26277" spans="6:6" x14ac:dyDescent="0.3">
      <c r="F26277" s="193"/>
    </row>
    <row r="26278" spans="6:6" x14ac:dyDescent="0.3">
      <c r="F26278" s="193"/>
    </row>
    <row r="26279" spans="6:6" x14ac:dyDescent="0.3">
      <c r="F26279" s="193"/>
    </row>
    <row r="26280" spans="6:6" x14ac:dyDescent="0.3">
      <c r="F26280" s="193"/>
    </row>
    <row r="26281" spans="6:6" x14ac:dyDescent="0.3">
      <c r="F26281" s="193"/>
    </row>
    <row r="26282" spans="6:6" x14ac:dyDescent="0.3">
      <c r="F26282" s="193"/>
    </row>
    <row r="26283" spans="6:6" x14ac:dyDescent="0.3">
      <c r="F26283" s="193"/>
    </row>
    <row r="26284" spans="6:6" x14ac:dyDescent="0.3">
      <c r="F26284" s="193"/>
    </row>
    <row r="26285" spans="6:6" x14ac:dyDescent="0.3">
      <c r="F26285" s="193"/>
    </row>
    <row r="26286" spans="6:6" x14ac:dyDescent="0.3">
      <c r="F26286" s="193"/>
    </row>
    <row r="26287" spans="6:6" x14ac:dyDescent="0.3">
      <c r="F26287" s="193"/>
    </row>
    <row r="26288" spans="6:6" x14ac:dyDescent="0.3">
      <c r="F26288" s="193"/>
    </row>
    <row r="26289" spans="6:6" x14ac:dyDescent="0.3">
      <c r="F26289" s="193"/>
    </row>
    <row r="26290" spans="6:6" x14ac:dyDescent="0.3">
      <c r="F26290" s="193"/>
    </row>
    <row r="26291" spans="6:6" x14ac:dyDescent="0.3">
      <c r="F26291" s="193"/>
    </row>
    <row r="26292" spans="6:6" x14ac:dyDescent="0.3">
      <c r="F26292" s="193"/>
    </row>
    <row r="26293" spans="6:6" x14ac:dyDescent="0.3">
      <c r="F26293" s="193"/>
    </row>
    <row r="26294" spans="6:6" x14ac:dyDescent="0.3">
      <c r="F26294" s="193"/>
    </row>
    <row r="26295" spans="6:6" x14ac:dyDescent="0.3">
      <c r="F26295" s="193"/>
    </row>
    <row r="26296" spans="6:6" x14ac:dyDescent="0.3">
      <c r="F26296" s="193"/>
    </row>
    <row r="26297" spans="6:6" x14ac:dyDescent="0.3">
      <c r="F26297" s="193"/>
    </row>
    <row r="26298" spans="6:6" x14ac:dyDescent="0.3">
      <c r="F26298" s="193"/>
    </row>
    <row r="26299" spans="6:6" x14ac:dyDescent="0.3">
      <c r="F26299" s="193"/>
    </row>
    <row r="26300" spans="6:6" x14ac:dyDescent="0.3">
      <c r="F26300" s="193"/>
    </row>
    <row r="26301" spans="6:6" x14ac:dyDescent="0.3">
      <c r="F26301" s="193"/>
    </row>
    <row r="26302" spans="6:6" x14ac:dyDescent="0.3">
      <c r="F26302" s="193"/>
    </row>
    <row r="26303" spans="6:6" x14ac:dyDescent="0.3">
      <c r="F26303" s="193"/>
    </row>
    <row r="26304" spans="6:6" x14ac:dyDescent="0.3">
      <c r="F26304" s="193"/>
    </row>
    <row r="26305" spans="6:6" x14ac:dyDescent="0.3">
      <c r="F26305" s="193"/>
    </row>
    <row r="26306" spans="6:6" x14ac:dyDescent="0.3">
      <c r="F26306" s="193"/>
    </row>
    <row r="26307" spans="6:6" x14ac:dyDescent="0.3">
      <c r="F26307" s="193"/>
    </row>
    <row r="26308" spans="6:6" x14ac:dyDescent="0.3">
      <c r="F26308" s="193"/>
    </row>
    <row r="26309" spans="6:6" x14ac:dyDescent="0.3">
      <c r="F26309" s="193"/>
    </row>
    <row r="26310" spans="6:6" x14ac:dyDescent="0.3">
      <c r="F26310" s="193"/>
    </row>
    <row r="26311" spans="6:6" x14ac:dyDescent="0.3">
      <c r="F26311" s="193"/>
    </row>
    <row r="26312" spans="6:6" x14ac:dyDescent="0.3">
      <c r="F26312" s="193"/>
    </row>
    <row r="26313" spans="6:6" x14ac:dyDescent="0.3">
      <c r="F26313" s="193"/>
    </row>
    <row r="26314" spans="6:6" x14ac:dyDescent="0.3">
      <c r="F26314" s="193"/>
    </row>
    <row r="26315" spans="6:6" x14ac:dyDescent="0.3">
      <c r="F26315" s="193"/>
    </row>
    <row r="26316" spans="6:6" x14ac:dyDescent="0.3">
      <c r="F26316" s="193"/>
    </row>
    <row r="26317" spans="6:6" x14ac:dyDescent="0.3">
      <c r="F26317" s="193"/>
    </row>
    <row r="26318" spans="6:6" x14ac:dyDescent="0.3">
      <c r="F26318" s="193"/>
    </row>
    <row r="26319" spans="6:6" x14ac:dyDescent="0.3">
      <c r="F26319" s="193"/>
    </row>
    <row r="26320" spans="6:6" x14ac:dyDescent="0.3">
      <c r="F26320" s="193"/>
    </row>
    <row r="26321" spans="6:6" x14ac:dyDescent="0.3">
      <c r="F26321" s="193"/>
    </row>
    <row r="26322" spans="6:6" x14ac:dyDescent="0.3">
      <c r="F26322" s="193"/>
    </row>
    <row r="26323" spans="6:6" x14ac:dyDescent="0.3">
      <c r="F26323" s="193"/>
    </row>
    <row r="26324" spans="6:6" x14ac:dyDescent="0.3">
      <c r="F26324" s="193"/>
    </row>
    <row r="26325" spans="6:6" x14ac:dyDescent="0.3">
      <c r="F26325" s="193"/>
    </row>
    <row r="26326" spans="6:6" x14ac:dyDescent="0.3">
      <c r="F26326" s="193"/>
    </row>
    <row r="26327" spans="6:6" x14ac:dyDescent="0.3">
      <c r="F26327" s="193"/>
    </row>
    <row r="26328" spans="6:6" x14ac:dyDescent="0.3">
      <c r="F26328" s="193"/>
    </row>
    <row r="26329" spans="6:6" x14ac:dyDescent="0.3">
      <c r="F26329" s="193"/>
    </row>
    <row r="26330" spans="6:6" x14ac:dyDescent="0.3">
      <c r="F26330" s="193"/>
    </row>
    <row r="26331" spans="6:6" x14ac:dyDescent="0.3">
      <c r="F26331" s="193"/>
    </row>
    <row r="26332" spans="6:6" x14ac:dyDescent="0.3">
      <c r="F26332" s="193"/>
    </row>
    <row r="26333" spans="6:6" x14ac:dyDescent="0.3">
      <c r="F26333" s="193"/>
    </row>
    <row r="26334" spans="6:6" x14ac:dyDescent="0.3">
      <c r="F26334" s="193"/>
    </row>
    <row r="26335" spans="6:6" x14ac:dyDescent="0.3">
      <c r="F26335" s="193"/>
    </row>
    <row r="26336" spans="6:6" x14ac:dyDescent="0.3">
      <c r="F26336" s="193"/>
    </row>
    <row r="26337" spans="6:6" x14ac:dyDescent="0.3">
      <c r="F26337" s="193"/>
    </row>
    <row r="26338" spans="6:6" x14ac:dyDescent="0.3">
      <c r="F26338" s="193"/>
    </row>
    <row r="26339" spans="6:6" x14ac:dyDescent="0.3">
      <c r="F26339" s="193"/>
    </row>
    <row r="26340" spans="6:6" x14ac:dyDescent="0.3">
      <c r="F26340" s="193"/>
    </row>
    <row r="26341" spans="6:6" x14ac:dyDescent="0.3">
      <c r="F26341" s="193"/>
    </row>
    <row r="26342" spans="6:6" x14ac:dyDescent="0.3">
      <c r="F26342" s="193"/>
    </row>
    <row r="26343" spans="6:6" x14ac:dyDescent="0.3">
      <c r="F26343" s="193"/>
    </row>
    <row r="26344" spans="6:6" x14ac:dyDescent="0.3">
      <c r="F26344" s="193"/>
    </row>
    <row r="26345" spans="6:6" x14ac:dyDescent="0.3">
      <c r="F26345" s="193"/>
    </row>
    <row r="26346" spans="6:6" x14ac:dyDescent="0.3">
      <c r="F26346" s="193"/>
    </row>
    <row r="26347" spans="6:6" x14ac:dyDescent="0.3">
      <c r="F26347" s="193"/>
    </row>
    <row r="26348" spans="6:6" x14ac:dyDescent="0.3">
      <c r="F26348" s="193"/>
    </row>
    <row r="26349" spans="6:6" x14ac:dyDescent="0.3">
      <c r="F26349" s="193"/>
    </row>
    <row r="26350" spans="6:6" x14ac:dyDescent="0.3">
      <c r="F26350" s="193"/>
    </row>
    <row r="26351" spans="6:6" x14ac:dyDescent="0.3">
      <c r="F26351" s="193"/>
    </row>
    <row r="26352" spans="6:6" x14ac:dyDescent="0.3">
      <c r="F26352" s="193"/>
    </row>
    <row r="26353" spans="6:6" x14ac:dyDescent="0.3">
      <c r="F26353" s="193"/>
    </row>
    <row r="26354" spans="6:6" x14ac:dyDescent="0.3">
      <c r="F26354" s="193"/>
    </row>
    <row r="26355" spans="6:6" x14ac:dyDescent="0.3">
      <c r="F26355" s="193"/>
    </row>
    <row r="26356" spans="6:6" x14ac:dyDescent="0.3">
      <c r="F26356" s="193"/>
    </row>
    <row r="26357" spans="6:6" x14ac:dyDescent="0.3">
      <c r="F26357" s="193"/>
    </row>
    <row r="26358" spans="6:6" x14ac:dyDescent="0.3">
      <c r="F26358" s="193"/>
    </row>
    <row r="26359" spans="6:6" x14ac:dyDescent="0.3">
      <c r="F26359" s="193"/>
    </row>
    <row r="26360" spans="6:6" x14ac:dyDescent="0.3">
      <c r="F26360" s="193"/>
    </row>
    <row r="26361" spans="6:6" x14ac:dyDescent="0.3">
      <c r="F26361" s="193"/>
    </row>
    <row r="26362" spans="6:6" x14ac:dyDescent="0.3">
      <c r="F26362" s="193"/>
    </row>
    <row r="26363" spans="6:6" x14ac:dyDescent="0.3">
      <c r="F26363" s="193"/>
    </row>
    <row r="26364" spans="6:6" x14ac:dyDescent="0.3">
      <c r="F26364" s="193"/>
    </row>
    <row r="26365" spans="6:6" x14ac:dyDescent="0.3">
      <c r="F26365" s="193"/>
    </row>
    <row r="26366" spans="6:6" x14ac:dyDescent="0.3">
      <c r="F26366" s="193"/>
    </row>
    <row r="26367" spans="6:6" x14ac:dyDescent="0.3">
      <c r="F26367" s="193"/>
    </row>
    <row r="26368" spans="6:6" x14ac:dyDescent="0.3">
      <c r="F26368" s="193"/>
    </row>
    <row r="26369" spans="6:6" x14ac:dyDescent="0.3">
      <c r="F26369" s="193"/>
    </row>
    <row r="26370" spans="6:6" x14ac:dyDescent="0.3">
      <c r="F26370" s="193"/>
    </row>
    <row r="26371" spans="6:6" x14ac:dyDescent="0.3">
      <c r="F26371" s="193"/>
    </row>
    <row r="26372" spans="6:6" x14ac:dyDescent="0.3">
      <c r="F26372" s="193"/>
    </row>
    <row r="26373" spans="6:6" x14ac:dyDescent="0.3">
      <c r="F26373" s="193"/>
    </row>
    <row r="26374" spans="6:6" x14ac:dyDescent="0.3">
      <c r="F26374" s="193"/>
    </row>
    <row r="26375" spans="6:6" x14ac:dyDescent="0.3">
      <c r="F26375" s="193"/>
    </row>
    <row r="26376" spans="6:6" x14ac:dyDescent="0.3">
      <c r="F26376" s="193"/>
    </row>
    <row r="26377" spans="6:6" x14ac:dyDescent="0.3">
      <c r="F26377" s="193"/>
    </row>
    <row r="26378" spans="6:6" x14ac:dyDescent="0.3">
      <c r="F26378" s="193"/>
    </row>
    <row r="26379" spans="6:6" x14ac:dyDescent="0.3">
      <c r="F26379" s="193"/>
    </row>
    <row r="26380" spans="6:6" x14ac:dyDescent="0.3">
      <c r="F26380" s="193"/>
    </row>
    <row r="26381" spans="6:6" x14ac:dyDescent="0.3">
      <c r="F26381" s="193"/>
    </row>
    <row r="26382" spans="6:6" x14ac:dyDescent="0.3">
      <c r="F26382" s="193"/>
    </row>
    <row r="26383" spans="6:6" x14ac:dyDescent="0.3">
      <c r="F26383" s="193"/>
    </row>
    <row r="26384" spans="6:6" x14ac:dyDescent="0.3">
      <c r="F26384" s="193"/>
    </row>
    <row r="26385" spans="6:6" x14ac:dyDescent="0.3">
      <c r="F26385" s="193"/>
    </row>
    <row r="26386" spans="6:6" x14ac:dyDescent="0.3">
      <c r="F26386" s="193"/>
    </row>
    <row r="26387" spans="6:6" x14ac:dyDescent="0.3">
      <c r="F26387" s="193"/>
    </row>
    <row r="26388" spans="6:6" x14ac:dyDescent="0.3">
      <c r="F26388" s="193"/>
    </row>
    <row r="26389" spans="6:6" x14ac:dyDescent="0.3">
      <c r="F26389" s="193"/>
    </row>
    <row r="26390" spans="6:6" x14ac:dyDescent="0.3">
      <c r="F26390" s="193"/>
    </row>
    <row r="26391" spans="6:6" x14ac:dyDescent="0.3">
      <c r="F26391" s="193"/>
    </row>
    <row r="26392" spans="6:6" x14ac:dyDescent="0.3">
      <c r="F26392" s="193"/>
    </row>
    <row r="26393" spans="6:6" x14ac:dyDescent="0.3">
      <c r="F26393" s="193"/>
    </row>
    <row r="26394" spans="6:6" x14ac:dyDescent="0.3">
      <c r="F26394" s="193"/>
    </row>
    <row r="26395" spans="6:6" x14ac:dyDescent="0.3">
      <c r="F26395" s="193"/>
    </row>
    <row r="26396" spans="6:6" x14ac:dyDescent="0.3">
      <c r="F26396" s="193"/>
    </row>
    <row r="26397" spans="6:6" x14ac:dyDescent="0.3">
      <c r="F26397" s="193"/>
    </row>
    <row r="26398" spans="6:6" x14ac:dyDescent="0.3">
      <c r="F26398" s="193"/>
    </row>
    <row r="26399" spans="6:6" x14ac:dyDescent="0.3">
      <c r="F26399" s="193"/>
    </row>
    <row r="26400" spans="6:6" x14ac:dyDescent="0.3">
      <c r="F26400" s="193"/>
    </row>
    <row r="26401" spans="6:6" x14ac:dyDescent="0.3">
      <c r="F26401" s="193"/>
    </row>
    <row r="26402" spans="6:6" x14ac:dyDescent="0.3">
      <c r="F26402" s="193"/>
    </row>
    <row r="26403" spans="6:6" x14ac:dyDescent="0.3">
      <c r="F26403" s="193"/>
    </row>
    <row r="26404" spans="6:6" x14ac:dyDescent="0.3">
      <c r="F26404" s="193"/>
    </row>
    <row r="26405" spans="6:6" x14ac:dyDescent="0.3">
      <c r="F26405" s="193"/>
    </row>
    <row r="26406" spans="6:6" x14ac:dyDescent="0.3">
      <c r="F26406" s="193"/>
    </row>
    <row r="26407" spans="6:6" x14ac:dyDescent="0.3">
      <c r="F26407" s="193"/>
    </row>
    <row r="26408" spans="6:6" x14ac:dyDescent="0.3">
      <c r="F26408" s="193"/>
    </row>
    <row r="26409" spans="6:6" x14ac:dyDescent="0.3">
      <c r="F26409" s="193"/>
    </row>
    <row r="26410" spans="6:6" x14ac:dyDescent="0.3">
      <c r="F26410" s="193"/>
    </row>
    <row r="26411" spans="6:6" x14ac:dyDescent="0.3">
      <c r="F26411" s="193"/>
    </row>
    <row r="26412" spans="6:6" x14ac:dyDescent="0.3">
      <c r="F26412" s="193"/>
    </row>
    <row r="26413" spans="6:6" x14ac:dyDescent="0.3">
      <c r="F26413" s="193"/>
    </row>
    <row r="26414" spans="6:6" x14ac:dyDescent="0.3">
      <c r="F26414" s="193"/>
    </row>
    <row r="26415" spans="6:6" x14ac:dyDescent="0.3">
      <c r="F26415" s="193"/>
    </row>
    <row r="26416" spans="6:6" x14ac:dyDescent="0.3">
      <c r="F26416" s="193"/>
    </row>
    <row r="26417" spans="6:6" x14ac:dyDescent="0.3">
      <c r="F26417" s="193"/>
    </row>
    <row r="26418" spans="6:6" x14ac:dyDescent="0.3">
      <c r="F26418" s="193"/>
    </row>
    <row r="26419" spans="6:6" x14ac:dyDescent="0.3">
      <c r="F26419" s="193"/>
    </row>
    <row r="26420" spans="6:6" x14ac:dyDescent="0.3">
      <c r="F26420" s="193"/>
    </row>
    <row r="26421" spans="6:6" x14ac:dyDescent="0.3">
      <c r="F26421" s="193"/>
    </row>
    <row r="26422" spans="6:6" x14ac:dyDescent="0.3">
      <c r="F26422" s="193"/>
    </row>
    <row r="26423" spans="6:6" x14ac:dyDescent="0.3">
      <c r="F26423" s="193"/>
    </row>
    <row r="26424" spans="6:6" x14ac:dyDescent="0.3">
      <c r="F26424" s="193"/>
    </row>
    <row r="26425" spans="6:6" x14ac:dyDescent="0.3">
      <c r="F26425" s="193"/>
    </row>
    <row r="26426" spans="6:6" x14ac:dyDescent="0.3">
      <c r="F26426" s="193"/>
    </row>
    <row r="26427" spans="6:6" x14ac:dyDescent="0.3">
      <c r="F26427" s="193"/>
    </row>
    <row r="26428" spans="6:6" x14ac:dyDescent="0.3">
      <c r="F26428" s="193"/>
    </row>
    <row r="26429" spans="6:6" x14ac:dyDescent="0.3">
      <c r="F26429" s="193"/>
    </row>
    <row r="26430" spans="6:6" x14ac:dyDescent="0.3">
      <c r="F26430" s="193"/>
    </row>
    <row r="26431" spans="6:6" x14ac:dyDescent="0.3">
      <c r="F26431" s="193"/>
    </row>
    <row r="26432" spans="6:6" x14ac:dyDescent="0.3">
      <c r="F26432" s="193"/>
    </row>
    <row r="26433" spans="6:6" x14ac:dyDescent="0.3">
      <c r="F26433" s="193"/>
    </row>
    <row r="26434" spans="6:6" x14ac:dyDescent="0.3">
      <c r="F26434" s="193"/>
    </row>
    <row r="26435" spans="6:6" x14ac:dyDescent="0.3">
      <c r="F26435" s="193"/>
    </row>
    <row r="26436" spans="6:6" x14ac:dyDescent="0.3">
      <c r="F26436" s="193"/>
    </row>
    <row r="26437" spans="6:6" x14ac:dyDescent="0.3">
      <c r="F26437" s="193"/>
    </row>
    <row r="26438" spans="6:6" x14ac:dyDescent="0.3">
      <c r="F26438" s="193"/>
    </row>
    <row r="26439" spans="6:6" x14ac:dyDescent="0.3">
      <c r="F26439" s="193"/>
    </row>
    <row r="26440" spans="6:6" x14ac:dyDescent="0.3">
      <c r="F26440" s="193"/>
    </row>
    <row r="26441" spans="6:6" x14ac:dyDescent="0.3">
      <c r="F26441" s="193"/>
    </row>
    <row r="26442" spans="6:6" x14ac:dyDescent="0.3">
      <c r="F26442" s="193"/>
    </row>
    <row r="26443" spans="6:6" x14ac:dyDescent="0.3">
      <c r="F26443" s="193"/>
    </row>
    <row r="26444" spans="6:6" x14ac:dyDescent="0.3">
      <c r="F26444" s="193"/>
    </row>
    <row r="26445" spans="6:6" x14ac:dyDescent="0.3">
      <c r="F26445" s="193"/>
    </row>
    <row r="26446" spans="6:6" x14ac:dyDescent="0.3">
      <c r="F26446" s="193"/>
    </row>
    <row r="26447" spans="6:6" x14ac:dyDescent="0.3">
      <c r="F26447" s="193"/>
    </row>
    <row r="26448" spans="6:6" x14ac:dyDescent="0.3">
      <c r="F26448" s="193"/>
    </row>
    <row r="26449" spans="6:6" x14ac:dyDescent="0.3">
      <c r="F26449" s="193"/>
    </row>
    <row r="26450" spans="6:6" x14ac:dyDescent="0.3">
      <c r="F26450" s="193"/>
    </row>
    <row r="26451" spans="6:6" x14ac:dyDescent="0.3">
      <c r="F26451" s="193"/>
    </row>
    <row r="26452" spans="6:6" x14ac:dyDescent="0.3">
      <c r="F26452" s="193"/>
    </row>
    <row r="26453" spans="6:6" x14ac:dyDescent="0.3">
      <c r="F26453" s="193"/>
    </row>
    <row r="26454" spans="6:6" x14ac:dyDescent="0.3">
      <c r="F26454" s="193"/>
    </row>
    <row r="26455" spans="6:6" x14ac:dyDescent="0.3">
      <c r="F26455" s="193"/>
    </row>
    <row r="26456" spans="6:6" x14ac:dyDescent="0.3">
      <c r="F26456" s="193"/>
    </row>
    <row r="26457" spans="6:6" x14ac:dyDescent="0.3">
      <c r="F26457" s="193"/>
    </row>
    <row r="26458" spans="6:6" x14ac:dyDescent="0.3">
      <c r="F26458" s="193"/>
    </row>
    <row r="26459" spans="6:6" x14ac:dyDescent="0.3">
      <c r="F26459" s="193"/>
    </row>
    <row r="26460" spans="6:6" x14ac:dyDescent="0.3">
      <c r="F26460" s="193"/>
    </row>
    <row r="26461" spans="6:6" x14ac:dyDescent="0.3">
      <c r="F26461" s="193"/>
    </row>
    <row r="26462" spans="6:6" x14ac:dyDescent="0.3">
      <c r="F26462" s="193"/>
    </row>
    <row r="26463" spans="6:6" x14ac:dyDescent="0.3">
      <c r="F26463" s="193"/>
    </row>
    <row r="26464" spans="6:6" x14ac:dyDescent="0.3">
      <c r="F26464" s="193"/>
    </row>
    <row r="26465" spans="6:6" x14ac:dyDescent="0.3">
      <c r="F26465" s="193"/>
    </row>
    <row r="26466" spans="6:6" x14ac:dyDescent="0.3">
      <c r="F26466" s="193"/>
    </row>
    <row r="26467" spans="6:6" x14ac:dyDescent="0.3">
      <c r="F26467" s="193"/>
    </row>
    <row r="26468" spans="6:6" x14ac:dyDescent="0.3">
      <c r="F26468" s="193"/>
    </row>
    <row r="26469" spans="6:6" x14ac:dyDescent="0.3">
      <c r="F26469" s="193"/>
    </row>
    <row r="26470" spans="6:6" x14ac:dyDescent="0.3">
      <c r="F26470" s="193"/>
    </row>
    <row r="26471" spans="6:6" x14ac:dyDescent="0.3">
      <c r="F26471" s="193"/>
    </row>
    <row r="26472" spans="6:6" x14ac:dyDescent="0.3">
      <c r="F26472" s="193"/>
    </row>
    <row r="26473" spans="6:6" x14ac:dyDescent="0.3">
      <c r="F26473" s="193"/>
    </row>
    <row r="26474" spans="6:6" x14ac:dyDescent="0.3">
      <c r="F26474" s="193"/>
    </row>
    <row r="26475" spans="6:6" x14ac:dyDescent="0.3">
      <c r="F26475" s="193"/>
    </row>
    <row r="26476" spans="6:6" x14ac:dyDescent="0.3">
      <c r="F26476" s="193"/>
    </row>
    <row r="26477" spans="6:6" x14ac:dyDescent="0.3">
      <c r="F26477" s="193"/>
    </row>
    <row r="26478" spans="6:6" x14ac:dyDescent="0.3">
      <c r="F26478" s="193"/>
    </row>
    <row r="26479" spans="6:6" x14ac:dyDescent="0.3">
      <c r="F26479" s="193"/>
    </row>
    <row r="26480" spans="6:6" x14ac:dyDescent="0.3">
      <c r="F26480" s="193"/>
    </row>
    <row r="26481" spans="6:6" x14ac:dyDescent="0.3">
      <c r="F26481" s="193"/>
    </row>
    <row r="26482" spans="6:6" x14ac:dyDescent="0.3">
      <c r="F26482" s="193"/>
    </row>
    <row r="26483" spans="6:6" x14ac:dyDescent="0.3">
      <c r="F26483" s="193"/>
    </row>
    <row r="26484" spans="6:6" x14ac:dyDescent="0.3">
      <c r="F26484" s="193"/>
    </row>
    <row r="26485" spans="6:6" x14ac:dyDescent="0.3">
      <c r="F26485" s="193"/>
    </row>
    <row r="26486" spans="6:6" x14ac:dyDescent="0.3">
      <c r="F26486" s="193"/>
    </row>
    <row r="26487" spans="6:6" x14ac:dyDescent="0.3">
      <c r="F26487" s="193"/>
    </row>
    <row r="26488" spans="6:6" x14ac:dyDescent="0.3">
      <c r="F26488" s="193"/>
    </row>
    <row r="26489" spans="6:6" x14ac:dyDescent="0.3">
      <c r="F26489" s="193"/>
    </row>
    <row r="26490" spans="6:6" x14ac:dyDescent="0.3">
      <c r="F26490" s="193"/>
    </row>
    <row r="26491" spans="6:6" x14ac:dyDescent="0.3">
      <c r="F26491" s="193"/>
    </row>
    <row r="26492" spans="6:6" x14ac:dyDescent="0.3">
      <c r="F26492" s="193"/>
    </row>
    <row r="26493" spans="6:6" x14ac:dyDescent="0.3">
      <c r="F26493" s="193"/>
    </row>
    <row r="26494" spans="6:6" x14ac:dyDescent="0.3">
      <c r="F26494" s="193"/>
    </row>
    <row r="26495" spans="6:6" x14ac:dyDescent="0.3">
      <c r="F26495" s="193"/>
    </row>
    <row r="26496" spans="6:6" x14ac:dyDescent="0.3">
      <c r="F26496" s="193"/>
    </row>
    <row r="26497" spans="6:6" x14ac:dyDescent="0.3">
      <c r="F26497" s="193"/>
    </row>
    <row r="26498" spans="6:6" x14ac:dyDescent="0.3">
      <c r="F26498" s="193"/>
    </row>
    <row r="26499" spans="6:6" x14ac:dyDescent="0.3">
      <c r="F26499" s="193"/>
    </row>
    <row r="26500" spans="6:6" x14ac:dyDescent="0.3">
      <c r="F26500" s="193"/>
    </row>
    <row r="26501" spans="6:6" x14ac:dyDescent="0.3">
      <c r="F26501" s="193"/>
    </row>
    <row r="26502" spans="6:6" x14ac:dyDescent="0.3">
      <c r="F26502" s="193"/>
    </row>
    <row r="26503" spans="6:6" x14ac:dyDescent="0.3">
      <c r="F26503" s="193"/>
    </row>
    <row r="26504" spans="6:6" x14ac:dyDescent="0.3">
      <c r="F26504" s="193"/>
    </row>
    <row r="26505" spans="6:6" x14ac:dyDescent="0.3">
      <c r="F26505" s="193"/>
    </row>
    <row r="26506" spans="6:6" x14ac:dyDescent="0.3">
      <c r="F26506" s="193"/>
    </row>
    <row r="26507" spans="6:6" x14ac:dyDescent="0.3">
      <c r="F26507" s="193"/>
    </row>
    <row r="26508" spans="6:6" x14ac:dyDescent="0.3">
      <c r="F26508" s="193"/>
    </row>
    <row r="26509" spans="6:6" x14ac:dyDescent="0.3">
      <c r="F26509" s="193"/>
    </row>
    <row r="26510" spans="6:6" x14ac:dyDescent="0.3">
      <c r="F26510" s="193"/>
    </row>
    <row r="26511" spans="6:6" x14ac:dyDescent="0.3">
      <c r="F26511" s="193"/>
    </row>
    <row r="26512" spans="6:6" x14ac:dyDescent="0.3">
      <c r="F26512" s="193"/>
    </row>
    <row r="26513" spans="6:6" x14ac:dyDescent="0.3">
      <c r="F26513" s="193"/>
    </row>
    <row r="26514" spans="6:6" x14ac:dyDescent="0.3">
      <c r="F26514" s="193"/>
    </row>
    <row r="26515" spans="6:6" x14ac:dyDescent="0.3">
      <c r="F26515" s="193"/>
    </row>
    <row r="26516" spans="6:6" x14ac:dyDescent="0.3">
      <c r="F26516" s="193"/>
    </row>
    <row r="26517" spans="6:6" x14ac:dyDescent="0.3">
      <c r="F26517" s="193"/>
    </row>
    <row r="26518" spans="6:6" x14ac:dyDescent="0.3">
      <c r="F26518" s="193"/>
    </row>
    <row r="26519" spans="6:6" x14ac:dyDescent="0.3">
      <c r="F26519" s="193"/>
    </row>
    <row r="26520" spans="6:6" x14ac:dyDescent="0.3">
      <c r="F26520" s="193"/>
    </row>
    <row r="26521" spans="6:6" x14ac:dyDescent="0.3">
      <c r="F26521" s="193"/>
    </row>
    <row r="26522" spans="6:6" x14ac:dyDescent="0.3">
      <c r="F26522" s="193"/>
    </row>
    <row r="26523" spans="6:6" x14ac:dyDescent="0.3">
      <c r="F26523" s="193"/>
    </row>
    <row r="26524" spans="6:6" x14ac:dyDescent="0.3">
      <c r="F26524" s="193"/>
    </row>
    <row r="26525" spans="6:6" x14ac:dyDescent="0.3">
      <c r="F26525" s="193"/>
    </row>
    <row r="26526" spans="6:6" x14ac:dyDescent="0.3">
      <c r="F26526" s="193"/>
    </row>
    <row r="26527" spans="6:6" x14ac:dyDescent="0.3">
      <c r="F26527" s="193"/>
    </row>
    <row r="26528" spans="6:6" x14ac:dyDescent="0.3">
      <c r="F26528" s="193"/>
    </row>
    <row r="26529" spans="6:6" x14ac:dyDescent="0.3">
      <c r="F26529" s="193"/>
    </row>
    <row r="26530" spans="6:6" x14ac:dyDescent="0.3">
      <c r="F26530" s="193"/>
    </row>
    <row r="26531" spans="6:6" x14ac:dyDescent="0.3">
      <c r="F26531" s="193"/>
    </row>
    <row r="26532" spans="6:6" x14ac:dyDescent="0.3">
      <c r="F26532" s="193"/>
    </row>
    <row r="26533" spans="6:6" x14ac:dyDescent="0.3">
      <c r="F26533" s="193"/>
    </row>
    <row r="26534" spans="6:6" x14ac:dyDescent="0.3">
      <c r="F26534" s="193"/>
    </row>
    <row r="26535" spans="6:6" x14ac:dyDescent="0.3">
      <c r="F26535" s="193"/>
    </row>
    <row r="26536" spans="6:6" x14ac:dyDescent="0.3">
      <c r="F26536" s="193"/>
    </row>
    <row r="26537" spans="6:6" x14ac:dyDescent="0.3">
      <c r="F26537" s="193"/>
    </row>
    <row r="26538" spans="6:6" x14ac:dyDescent="0.3">
      <c r="F26538" s="193"/>
    </row>
    <row r="26539" spans="6:6" x14ac:dyDescent="0.3">
      <c r="F26539" s="193"/>
    </row>
    <row r="26540" spans="6:6" x14ac:dyDescent="0.3">
      <c r="F26540" s="193"/>
    </row>
    <row r="26541" spans="6:6" x14ac:dyDescent="0.3">
      <c r="F26541" s="193"/>
    </row>
    <row r="26542" spans="6:6" x14ac:dyDescent="0.3">
      <c r="F26542" s="193"/>
    </row>
    <row r="26543" spans="6:6" x14ac:dyDescent="0.3">
      <c r="F26543" s="193"/>
    </row>
    <row r="26544" spans="6:6" x14ac:dyDescent="0.3">
      <c r="F26544" s="193"/>
    </row>
    <row r="26545" spans="6:6" x14ac:dyDescent="0.3">
      <c r="F26545" s="193"/>
    </row>
    <row r="26546" spans="6:6" x14ac:dyDescent="0.3">
      <c r="F26546" s="193"/>
    </row>
    <row r="26547" spans="6:6" x14ac:dyDescent="0.3">
      <c r="F26547" s="193"/>
    </row>
    <row r="26548" spans="6:6" x14ac:dyDescent="0.3">
      <c r="F26548" s="193"/>
    </row>
    <row r="26549" spans="6:6" x14ac:dyDescent="0.3">
      <c r="F26549" s="193"/>
    </row>
    <row r="26550" spans="6:6" x14ac:dyDescent="0.3">
      <c r="F26550" s="193"/>
    </row>
    <row r="26551" spans="6:6" x14ac:dyDescent="0.3">
      <c r="F26551" s="193"/>
    </row>
    <row r="26552" spans="6:6" x14ac:dyDescent="0.3">
      <c r="F26552" s="193"/>
    </row>
    <row r="26553" spans="6:6" x14ac:dyDescent="0.3">
      <c r="F26553" s="193"/>
    </row>
    <row r="26554" spans="6:6" x14ac:dyDescent="0.3">
      <c r="F26554" s="193"/>
    </row>
    <row r="26555" spans="6:6" x14ac:dyDescent="0.3">
      <c r="F26555" s="193"/>
    </row>
    <row r="26556" spans="6:6" x14ac:dyDescent="0.3">
      <c r="F26556" s="193"/>
    </row>
    <row r="26557" spans="6:6" x14ac:dyDescent="0.3">
      <c r="F26557" s="193"/>
    </row>
    <row r="26558" spans="6:6" x14ac:dyDescent="0.3">
      <c r="F26558" s="193"/>
    </row>
    <row r="26559" spans="6:6" x14ac:dyDescent="0.3">
      <c r="F26559" s="193"/>
    </row>
    <row r="26560" spans="6:6" x14ac:dyDescent="0.3">
      <c r="F26560" s="193"/>
    </row>
    <row r="26561" spans="6:6" x14ac:dyDescent="0.3">
      <c r="F26561" s="193"/>
    </row>
    <row r="26562" spans="6:6" x14ac:dyDescent="0.3">
      <c r="F26562" s="193"/>
    </row>
    <row r="26563" spans="6:6" x14ac:dyDescent="0.3">
      <c r="F26563" s="193"/>
    </row>
    <row r="26564" spans="6:6" x14ac:dyDescent="0.3">
      <c r="F26564" s="193"/>
    </row>
    <row r="26565" spans="6:6" x14ac:dyDescent="0.3">
      <c r="F26565" s="193"/>
    </row>
    <row r="26566" spans="6:6" x14ac:dyDescent="0.3">
      <c r="F26566" s="193"/>
    </row>
    <row r="26567" spans="6:6" x14ac:dyDescent="0.3">
      <c r="F26567" s="193"/>
    </row>
    <row r="26568" spans="6:6" x14ac:dyDescent="0.3">
      <c r="F26568" s="193"/>
    </row>
    <row r="26569" spans="6:6" x14ac:dyDescent="0.3">
      <c r="F26569" s="193"/>
    </row>
    <row r="26570" spans="6:6" x14ac:dyDescent="0.3">
      <c r="F26570" s="193"/>
    </row>
    <row r="26571" spans="6:6" x14ac:dyDescent="0.3">
      <c r="F26571" s="193"/>
    </row>
    <row r="26572" spans="6:6" x14ac:dyDescent="0.3">
      <c r="F26572" s="193"/>
    </row>
    <row r="26573" spans="6:6" x14ac:dyDescent="0.3">
      <c r="F26573" s="193"/>
    </row>
    <row r="26574" spans="6:6" x14ac:dyDescent="0.3">
      <c r="F26574" s="193"/>
    </row>
    <row r="26575" spans="6:6" x14ac:dyDescent="0.3">
      <c r="F26575" s="193"/>
    </row>
    <row r="26576" spans="6:6" x14ac:dyDescent="0.3">
      <c r="F26576" s="193"/>
    </row>
    <row r="26577" spans="6:6" x14ac:dyDescent="0.3">
      <c r="F26577" s="193"/>
    </row>
    <row r="26578" spans="6:6" x14ac:dyDescent="0.3">
      <c r="F26578" s="193"/>
    </row>
    <row r="26579" spans="6:6" x14ac:dyDescent="0.3">
      <c r="F26579" s="193"/>
    </row>
    <row r="26580" spans="6:6" x14ac:dyDescent="0.3">
      <c r="F26580" s="193"/>
    </row>
    <row r="26581" spans="6:6" x14ac:dyDescent="0.3">
      <c r="F26581" s="193"/>
    </row>
    <row r="26582" spans="6:6" x14ac:dyDescent="0.3">
      <c r="F26582" s="193"/>
    </row>
    <row r="26583" spans="6:6" x14ac:dyDescent="0.3">
      <c r="F26583" s="193"/>
    </row>
    <row r="26584" spans="6:6" x14ac:dyDescent="0.3">
      <c r="F26584" s="193"/>
    </row>
    <row r="26585" spans="6:6" x14ac:dyDescent="0.3">
      <c r="F26585" s="193"/>
    </row>
    <row r="26586" spans="6:6" x14ac:dyDescent="0.3">
      <c r="F26586" s="193"/>
    </row>
    <row r="26587" spans="6:6" x14ac:dyDescent="0.3">
      <c r="F26587" s="193"/>
    </row>
    <row r="26588" spans="6:6" x14ac:dyDescent="0.3">
      <c r="F26588" s="193"/>
    </row>
    <row r="26589" spans="6:6" x14ac:dyDescent="0.3">
      <c r="F26589" s="193"/>
    </row>
    <row r="26590" spans="6:6" x14ac:dyDescent="0.3">
      <c r="F26590" s="193"/>
    </row>
    <row r="26591" spans="6:6" x14ac:dyDescent="0.3">
      <c r="F26591" s="193"/>
    </row>
    <row r="26592" spans="6:6" x14ac:dyDescent="0.3">
      <c r="F26592" s="193"/>
    </row>
    <row r="26593" spans="6:6" x14ac:dyDescent="0.3">
      <c r="F26593" s="193"/>
    </row>
    <row r="26594" spans="6:6" x14ac:dyDescent="0.3">
      <c r="F26594" s="193"/>
    </row>
    <row r="26595" spans="6:6" x14ac:dyDescent="0.3">
      <c r="F26595" s="193"/>
    </row>
    <row r="26596" spans="6:6" x14ac:dyDescent="0.3">
      <c r="F26596" s="193"/>
    </row>
    <row r="26597" spans="6:6" x14ac:dyDescent="0.3">
      <c r="F26597" s="193"/>
    </row>
    <row r="26598" spans="6:6" x14ac:dyDescent="0.3">
      <c r="F26598" s="193"/>
    </row>
    <row r="26599" spans="6:6" x14ac:dyDescent="0.3">
      <c r="F26599" s="193"/>
    </row>
    <row r="26600" spans="6:6" x14ac:dyDescent="0.3">
      <c r="F26600" s="193"/>
    </row>
    <row r="26601" spans="6:6" x14ac:dyDescent="0.3">
      <c r="F26601" s="193"/>
    </row>
    <row r="26602" spans="6:6" x14ac:dyDescent="0.3">
      <c r="F26602" s="193"/>
    </row>
    <row r="26603" spans="6:6" x14ac:dyDescent="0.3">
      <c r="F26603" s="193"/>
    </row>
    <row r="26604" spans="6:6" x14ac:dyDescent="0.3">
      <c r="F26604" s="193"/>
    </row>
    <row r="26605" spans="6:6" x14ac:dyDescent="0.3">
      <c r="F26605" s="193"/>
    </row>
    <row r="26606" spans="6:6" x14ac:dyDescent="0.3">
      <c r="F26606" s="193"/>
    </row>
    <row r="26607" spans="6:6" x14ac:dyDescent="0.3">
      <c r="F26607" s="193"/>
    </row>
    <row r="26608" spans="6:6" x14ac:dyDescent="0.3">
      <c r="F26608" s="193"/>
    </row>
    <row r="26609" spans="6:6" x14ac:dyDescent="0.3">
      <c r="F26609" s="193"/>
    </row>
    <row r="26610" spans="6:6" x14ac:dyDescent="0.3">
      <c r="F26610" s="193"/>
    </row>
    <row r="26611" spans="6:6" x14ac:dyDescent="0.3">
      <c r="F26611" s="193"/>
    </row>
    <row r="26612" spans="6:6" x14ac:dyDescent="0.3">
      <c r="F26612" s="193"/>
    </row>
    <row r="26613" spans="6:6" x14ac:dyDescent="0.3">
      <c r="F26613" s="193"/>
    </row>
    <row r="26614" spans="6:6" x14ac:dyDescent="0.3">
      <c r="F26614" s="193"/>
    </row>
    <row r="26615" spans="6:6" x14ac:dyDescent="0.3">
      <c r="F26615" s="193"/>
    </row>
    <row r="26616" spans="6:6" x14ac:dyDescent="0.3">
      <c r="F26616" s="193"/>
    </row>
    <row r="26617" spans="6:6" x14ac:dyDescent="0.3">
      <c r="F26617" s="193"/>
    </row>
    <row r="26618" spans="6:6" x14ac:dyDescent="0.3">
      <c r="F26618" s="193"/>
    </row>
    <row r="26619" spans="6:6" x14ac:dyDescent="0.3">
      <c r="F26619" s="193"/>
    </row>
    <row r="26620" spans="6:6" x14ac:dyDescent="0.3">
      <c r="F26620" s="193"/>
    </row>
    <row r="26621" spans="6:6" x14ac:dyDescent="0.3">
      <c r="F26621" s="193"/>
    </row>
    <row r="26622" spans="6:6" x14ac:dyDescent="0.3">
      <c r="F26622" s="193"/>
    </row>
    <row r="26623" spans="6:6" x14ac:dyDescent="0.3">
      <c r="F26623" s="193"/>
    </row>
    <row r="26624" spans="6:6" x14ac:dyDescent="0.3">
      <c r="F26624" s="193"/>
    </row>
    <row r="26625" spans="6:6" x14ac:dyDescent="0.3">
      <c r="F26625" s="193"/>
    </row>
    <row r="26626" spans="6:6" x14ac:dyDescent="0.3">
      <c r="F26626" s="193"/>
    </row>
    <row r="26627" spans="6:6" x14ac:dyDescent="0.3">
      <c r="F26627" s="193"/>
    </row>
    <row r="26628" spans="6:6" x14ac:dyDescent="0.3">
      <c r="F26628" s="193"/>
    </row>
    <row r="26629" spans="6:6" x14ac:dyDescent="0.3">
      <c r="F26629" s="193"/>
    </row>
    <row r="26630" spans="6:6" x14ac:dyDescent="0.3">
      <c r="F26630" s="193"/>
    </row>
    <row r="26631" spans="6:6" x14ac:dyDescent="0.3">
      <c r="F26631" s="193"/>
    </row>
    <row r="26632" spans="6:6" x14ac:dyDescent="0.3">
      <c r="F26632" s="193"/>
    </row>
    <row r="26633" spans="6:6" x14ac:dyDescent="0.3">
      <c r="F26633" s="193"/>
    </row>
    <row r="26634" spans="6:6" x14ac:dyDescent="0.3">
      <c r="F26634" s="193"/>
    </row>
    <row r="26635" spans="6:6" x14ac:dyDescent="0.3">
      <c r="F26635" s="193"/>
    </row>
    <row r="26636" spans="6:6" x14ac:dyDescent="0.3">
      <c r="F26636" s="193"/>
    </row>
    <row r="26637" spans="6:6" x14ac:dyDescent="0.3">
      <c r="F26637" s="193"/>
    </row>
    <row r="26638" spans="6:6" x14ac:dyDescent="0.3">
      <c r="F26638" s="193"/>
    </row>
    <row r="26639" spans="6:6" x14ac:dyDescent="0.3">
      <c r="F26639" s="193"/>
    </row>
    <row r="26640" spans="6:6" x14ac:dyDescent="0.3">
      <c r="F26640" s="193"/>
    </row>
    <row r="26641" spans="6:6" x14ac:dyDescent="0.3">
      <c r="F26641" s="193"/>
    </row>
    <row r="26642" spans="6:6" x14ac:dyDescent="0.3">
      <c r="F26642" s="193"/>
    </row>
    <row r="26643" spans="6:6" x14ac:dyDescent="0.3">
      <c r="F26643" s="193"/>
    </row>
    <row r="26644" spans="6:6" x14ac:dyDescent="0.3">
      <c r="F26644" s="193"/>
    </row>
    <row r="26645" spans="6:6" x14ac:dyDescent="0.3">
      <c r="F26645" s="193"/>
    </row>
    <row r="26646" spans="6:6" x14ac:dyDescent="0.3">
      <c r="F26646" s="193"/>
    </row>
    <row r="26647" spans="6:6" x14ac:dyDescent="0.3">
      <c r="F26647" s="193"/>
    </row>
    <row r="26648" spans="6:6" x14ac:dyDescent="0.3">
      <c r="F26648" s="193"/>
    </row>
    <row r="26649" spans="6:6" x14ac:dyDescent="0.3">
      <c r="F26649" s="193"/>
    </row>
    <row r="26650" spans="6:6" x14ac:dyDescent="0.3">
      <c r="F26650" s="193"/>
    </row>
    <row r="26651" spans="6:6" x14ac:dyDescent="0.3">
      <c r="F26651" s="193"/>
    </row>
    <row r="26652" spans="6:6" x14ac:dyDescent="0.3">
      <c r="F26652" s="193"/>
    </row>
    <row r="26653" spans="6:6" x14ac:dyDescent="0.3">
      <c r="F26653" s="193"/>
    </row>
    <row r="26654" spans="6:6" x14ac:dyDescent="0.3">
      <c r="F26654" s="193"/>
    </row>
    <row r="26655" spans="6:6" x14ac:dyDescent="0.3">
      <c r="F26655" s="193"/>
    </row>
    <row r="26656" spans="6:6" x14ac:dyDescent="0.3">
      <c r="F26656" s="193"/>
    </row>
    <row r="26657" spans="6:6" x14ac:dyDescent="0.3">
      <c r="F26657" s="193"/>
    </row>
    <row r="26658" spans="6:6" x14ac:dyDescent="0.3">
      <c r="F26658" s="193"/>
    </row>
    <row r="26659" spans="6:6" x14ac:dyDescent="0.3">
      <c r="F26659" s="193"/>
    </row>
    <row r="26660" spans="6:6" x14ac:dyDescent="0.3">
      <c r="F26660" s="193"/>
    </row>
    <row r="26661" spans="6:6" x14ac:dyDescent="0.3">
      <c r="F26661" s="193"/>
    </row>
    <row r="26662" spans="6:6" x14ac:dyDescent="0.3">
      <c r="F26662" s="193"/>
    </row>
    <row r="26663" spans="6:6" x14ac:dyDescent="0.3">
      <c r="F26663" s="193"/>
    </row>
    <row r="26664" spans="6:6" x14ac:dyDescent="0.3">
      <c r="F26664" s="193"/>
    </row>
    <row r="26665" spans="6:6" x14ac:dyDescent="0.3">
      <c r="F26665" s="193"/>
    </row>
    <row r="26666" spans="6:6" x14ac:dyDescent="0.3">
      <c r="F26666" s="193"/>
    </row>
    <row r="26667" spans="6:6" x14ac:dyDescent="0.3">
      <c r="F26667" s="193"/>
    </row>
    <row r="26668" spans="6:6" x14ac:dyDescent="0.3">
      <c r="F26668" s="193"/>
    </row>
    <row r="26669" spans="6:6" x14ac:dyDescent="0.3">
      <c r="F26669" s="193"/>
    </row>
    <row r="26670" spans="6:6" x14ac:dyDescent="0.3">
      <c r="F26670" s="193"/>
    </row>
    <row r="26671" spans="6:6" x14ac:dyDescent="0.3">
      <c r="F26671" s="193"/>
    </row>
    <row r="26672" spans="6:6" x14ac:dyDescent="0.3">
      <c r="F26672" s="193"/>
    </row>
    <row r="26673" spans="6:6" x14ac:dyDescent="0.3">
      <c r="F26673" s="193"/>
    </row>
    <row r="26674" spans="6:6" x14ac:dyDescent="0.3">
      <c r="F26674" s="193"/>
    </row>
    <row r="26675" spans="6:6" x14ac:dyDescent="0.3">
      <c r="F26675" s="193"/>
    </row>
    <row r="26676" spans="6:6" x14ac:dyDescent="0.3">
      <c r="F26676" s="193"/>
    </row>
    <row r="26677" spans="6:6" x14ac:dyDescent="0.3">
      <c r="F26677" s="193"/>
    </row>
    <row r="26678" spans="6:6" x14ac:dyDescent="0.3">
      <c r="F26678" s="193"/>
    </row>
    <row r="26679" spans="6:6" x14ac:dyDescent="0.3">
      <c r="F26679" s="193"/>
    </row>
    <row r="26680" spans="6:6" x14ac:dyDescent="0.3">
      <c r="F26680" s="193"/>
    </row>
    <row r="26681" spans="6:6" x14ac:dyDescent="0.3">
      <c r="F26681" s="193"/>
    </row>
    <row r="26682" spans="6:6" x14ac:dyDescent="0.3">
      <c r="F26682" s="193"/>
    </row>
    <row r="26683" spans="6:6" x14ac:dyDescent="0.3">
      <c r="F26683" s="193"/>
    </row>
    <row r="26684" spans="6:6" x14ac:dyDescent="0.3">
      <c r="F26684" s="193"/>
    </row>
    <row r="26685" spans="6:6" x14ac:dyDescent="0.3">
      <c r="F26685" s="193"/>
    </row>
    <row r="26686" spans="6:6" x14ac:dyDescent="0.3">
      <c r="F26686" s="193"/>
    </row>
    <row r="26687" spans="6:6" x14ac:dyDescent="0.3">
      <c r="F26687" s="193"/>
    </row>
    <row r="26688" spans="6:6" x14ac:dyDescent="0.3">
      <c r="F26688" s="193"/>
    </row>
    <row r="26689" spans="6:6" x14ac:dyDescent="0.3">
      <c r="F26689" s="193"/>
    </row>
    <row r="26690" spans="6:6" x14ac:dyDescent="0.3">
      <c r="F26690" s="193"/>
    </row>
    <row r="26691" spans="6:6" x14ac:dyDescent="0.3">
      <c r="F26691" s="193"/>
    </row>
    <row r="26692" spans="6:6" x14ac:dyDescent="0.3">
      <c r="F26692" s="193"/>
    </row>
    <row r="26693" spans="6:6" x14ac:dyDescent="0.3">
      <c r="F26693" s="193"/>
    </row>
    <row r="26694" spans="6:6" x14ac:dyDescent="0.3">
      <c r="F26694" s="193"/>
    </row>
    <row r="26695" spans="6:6" x14ac:dyDescent="0.3">
      <c r="F26695" s="193"/>
    </row>
    <row r="26696" spans="6:6" x14ac:dyDescent="0.3">
      <c r="F26696" s="193"/>
    </row>
    <row r="26697" spans="6:6" x14ac:dyDescent="0.3">
      <c r="F26697" s="193"/>
    </row>
    <row r="26698" spans="6:6" x14ac:dyDescent="0.3">
      <c r="F26698" s="193"/>
    </row>
    <row r="26699" spans="6:6" x14ac:dyDescent="0.3">
      <c r="F26699" s="193"/>
    </row>
    <row r="26700" spans="6:6" x14ac:dyDescent="0.3">
      <c r="F26700" s="193"/>
    </row>
    <row r="26701" spans="6:6" x14ac:dyDescent="0.3">
      <c r="F26701" s="193"/>
    </row>
    <row r="26702" spans="6:6" x14ac:dyDescent="0.3">
      <c r="F26702" s="193"/>
    </row>
    <row r="26703" spans="6:6" x14ac:dyDescent="0.3">
      <c r="F26703" s="193"/>
    </row>
    <row r="26704" spans="6:6" x14ac:dyDescent="0.3">
      <c r="F26704" s="193"/>
    </row>
    <row r="26705" spans="6:6" x14ac:dyDescent="0.3">
      <c r="F26705" s="193"/>
    </row>
    <row r="26706" spans="6:6" x14ac:dyDescent="0.3">
      <c r="F26706" s="193"/>
    </row>
    <row r="26707" spans="6:6" x14ac:dyDescent="0.3">
      <c r="F26707" s="193"/>
    </row>
    <row r="26708" spans="6:6" x14ac:dyDescent="0.3">
      <c r="F26708" s="193"/>
    </row>
    <row r="26709" spans="6:6" x14ac:dyDescent="0.3">
      <c r="F26709" s="193"/>
    </row>
    <row r="26710" spans="6:6" x14ac:dyDescent="0.3">
      <c r="F26710" s="193"/>
    </row>
    <row r="26711" spans="6:6" x14ac:dyDescent="0.3">
      <c r="F26711" s="193"/>
    </row>
    <row r="26712" spans="6:6" x14ac:dyDescent="0.3">
      <c r="F26712" s="193"/>
    </row>
    <row r="26713" spans="6:6" x14ac:dyDescent="0.3">
      <c r="F26713" s="193"/>
    </row>
    <row r="26714" spans="6:6" x14ac:dyDescent="0.3">
      <c r="F26714" s="193"/>
    </row>
    <row r="26715" spans="6:6" x14ac:dyDescent="0.3">
      <c r="F26715" s="193"/>
    </row>
    <row r="26716" spans="6:6" x14ac:dyDescent="0.3">
      <c r="F26716" s="193"/>
    </row>
    <row r="26717" spans="6:6" x14ac:dyDescent="0.3">
      <c r="F26717" s="193"/>
    </row>
    <row r="26718" spans="6:6" x14ac:dyDescent="0.3">
      <c r="F26718" s="193"/>
    </row>
    <row r="26719" spans="6:6" x14ac:dyDescent="0.3">
      <c r="F26719" s="193"/>
    </row>
    <row r="26720" spans="6:6" x14ac:dyDescent="0.3">
      <c r="F26720" s="193"/>
    </row>
    <row r="26721" spans="6:6" x14ac:dyDescent="0.3">
      <c r="F26721" s="193"/>
    </row>
    <row r="26722" spans="6:6" x14ac:dyDescent="0.3">
      <c r="F26722" s="193"/>
    </row>
    <row r="26723" spans="6:6" x14ac:dyDescent="0.3">
      <c r="F26723" s="193"/>
    </row>
    <row r="26724" spans="6:6" x14ac:dyDescent="0.3">
      <c r="F26724" s="193"/>
    </row>
    <row r="26725" spans="6:6" x14ac:dyDescent="0.3">
      <c r="F26725" s="193"/>
    </row>
    <row r="26726" spans="6:6" x14ac:dyDescent="0.3">
      <c r="F26726" s="193"/>
    </row>
    <row r="26727" spans="6:6" x14ac:dyDescent="0.3">
      <c r="F26727" s="193"/>
    </row>
    <row r="26728" spans="6:6" x14ac:dyDescent="0.3">
      <c r="F26728" s="193"/>
    </row>
    <row r="26729" spans="6:6" x14ac:dyDescent="0.3">
      <c r="F26729" s="193"/>
    </row>
    <row r="26730" spans="6:6" x14ac:dyDescent="0.3">
      <c r="F26730" s="193"/>
    </row>
    <row r="26731" spans="6:6" x14ac:dyDescent="0.3">
      <c r="F26731" s="193"/>
    </row>
    <row r="26732" spans="6:6" x14ac:dyDescent="0.3">
      <c r="F26732" s="193"/>
    </row>
    <row r="26733" spans="6:6" x14ac:dyDescent="0.3">
      <c r="F26733" s="193"/>
    </row>
    <row r="26734" spans="6:6" x14ac:dyDescent="0.3">
      <c r="F26734" s="193"/>
    </row>
    <row r="26735" spans="6:6" x14ac:dyDescent="0.3">
      <c r="F26735" s="193"/>
    </row>
    <row r="26736" spans="6:6" x14ac:dyDescent="0.3">
      <c r="F26736" s="193"/>
    </row>
    <row r="26737" spans="6:6" x14ac:dyDescent="0.3">
      <c r="F26737" s="193"/>
    </row>
    <row r="26738" spans="6:6" x14ac:dyDescent="0.3">
      <c r="F26738" s="193"/>
    </row>
    <row r="26739" spans="6:6" x14ac:dyDescent="0.3">
      <c r="F26739" s="193"/>
    </row>
    <row r="26740" spans="6:6" x14ac:dyDescent="0.3">
      <c r="F26740" s="193"/>
    </row>
    <row r="26741" spans="6:6" x14ac:dyDescent="0.3">
      <c r="F26741" s="193"/>
    </row>
    <row r="26742" spans="6:6" x14ac:dyDescent="0.3">
      <c r="F26742" s="193"/>
    </row>
    <row r="26743" spans="6:6" x14ac:dyDescent="0.3">
      <c r="F26743" s="193"/>
    </row>
    <row r="26744" spans="6:6" x14ac:dyDescent="0.3">
      <c r="F26744" s="193"/>
    </row>
    <row r="26745" spans="6:6" x14ac:dyDescent="0.3">
      <c r="F26745" s="193"/>
    </row>
    <row r="26746" spans="6:6" x14ac:dyDescent="0.3">
      <c r="F26746" s="193"/>
    </row>
    <row r="26747" spans="6:6" x14ac:dyDescent="0.3">
      <c r="F26747" s="193"/>
    </row>
    <row r="26748" spans="6:6" x14ac:dyDescent="0.3">
      <c r="F26748" s="193"/>
    </row>
    <row r="26749" spans="6:6" x14ac:dyDescent="0.3">
      <c r="F26749" s="193"/>
    </row>
    <row r="26750" spans="6:6" x14ac:dyDescent="0.3">
      <c r="F26750" s="193"/>
    </row>
    <row r="26751" spans="6:6" x14ac:dyDescent="0.3">
      <c r="F26751" s="193"/>
    </row>
    <row r="26752" spans="6:6" x14ac:dyDescent="0.3">
      <c r="F26752" s="193"/>
    </row>
    <row r="26753" spans="6:6" x14ac:dyDescent="0.3">
      <c r="F26753" s="193"/>
    </row>
    <row r="26754" spans="6:6" x14ac:dyDescent="0.3">
      <c r="F26754" s="193"/>
    </row>
    <row r="26755" spans="6:6" x14ac:dyDescent="0.3">
      <c r="F26755" s="193"/>
    </row>
    <row r="26756" spans="6:6" x14ac:dyDescent="0.3">
      <c r="F26756" s="193"/>
    </row>
    <row r="26757" spans="6:6" x14ac:dyDescent="0.3">
      <c r="F26757" s="193"/>
    </row>
    <row r="26758" spans="6:6" x14ac:dyDescent="0.3">
      <c r="F26758" s="193"/>
    </row>
    <row r="26759" spans="6:6" x14ac:dyDescent="0.3">
      <c r="F26759" s="193"/>
    </row>
    <row r="26760" spans="6:6" x14ac:dyDescent="0.3">
      <c r="F26760" s="193"/>
    </row>
    <row r="26761" spans="6:6" x14ac:dyDescent="0.3">
      <c r="F26761" s="193"/>
    </row>
    <row r="26762" spans="6:6" x14ac:dyDescent="0.3">
      <c r="F26762" s="193"/>
    </row>
    <row r="26763" spans="6:6" x14ac:dyDescent="0.3">
      <c r="F26763" s="193"/>
    </row>
    <row r="26764" spans="6:6" x14ac:dyDescent="0.3">
      <c r="F26764" s="193"/>
    </row>
    <row r="26765" spans="6:6" x14ac:dyDescent="0.3">
      <c r="F26765" s="193"/>
    </row>
    <row r="26766" spans="6:6" x14ac:dyDescent="0.3">
      <c r="F26766" s="193"/>
    </row>
    <row r="26767" spans="6:6" x14ac:dyDescent="0.3">
      <c r="F26767" s="193"/>
    </row>
    <row r="26768" spans="6:6" x14ac:dyDescent="0.3">
      <c r="F26768" s="193"/>
    </row>
    <row r="26769" spans="6:6" x14ac:dyDescent="0.3">
      <c r="F26769" s="193"/>
    </row>
    <row r="26770" spans="6:6" x14ac:dyDescent="0.3">
      <c r="F26770" s="193"/>
    </row>
    <row r="26771" spans="6:6" x14ac:dyDescent="0.3">
      <c r="F26771" s="193"/>
    </row>
    <row r="26772" spans="6:6" x14ac:dyDescent="0.3">
      <c r="F26772" s="193"/>
    </row>
    <row r="26773" spans="6:6" x14ac:dyDescent="0.3">
      <c r="F26773" s="193"/>
    </row>
    <row r="26774" spans="6:6" x14ac:dyDescent="0.3">
      <c r="F26774" s="193"/>
    </row>
    <row r="26775" spans="6:6" x14ac:dyDescent="0.3">
      <c r="F26775" s="193"/>
    </row>
    <row r="26776" spans="6:6" x14ac:dyDescent="0.3">
      <c r="F26776" s="193"/>
    </row>
    <row r="26777" spans="6:6" x14ac:dyDescent="0.3">
      <c r="F26777" s="193"/>
    </row>
    <row r="26778" spans="6:6" x14ac:dyDescent="0.3">
      <c r="F26778" s="193"/>
    </row>
    <row r="26779" spans="6:6" x14ac:dyDescent="0.3">
      <c r="F26779" s="193"/>
    </row>
    <row r="26780" spans="6:6" x14ac:dyDescent="0.3">
      <c r="F26780" s="193"/>
    </row>
    <row r="26781" spans="6:6" x14ac:dyDescent="0.3">
      <c r="F26781" s="193"/>
    </row>
    <row r="26782" spans="6:6" x14ac:dyDescent="0.3">
      <c r="F26782" s="193"/>
    </row>
    <row r="26783" spans="6:6" x14ac:dyDescent="0.3">
      <c r="F26783" s="193"/>
    </row>
    <row r="26784" spans="6:6" x14ac:dyDescent="0.3">
      <c r="F26784" s="193"/>
    </row>
    <row r="26785" spans="6:6" x14ac:dyDescent="0.3">
      <c r="F26785" s="193"/>
    </row>
    <row r="26786" spans="6:6" x14ac:dyDescent="0.3">
      <c r="F26786" s="193"/>
    </row>
    <row r="26787" spans="6:6" x14ac:dyDescent="0.3">
      <c r="F26787" s="193"/>
    </row>
    <row r="26788" spans="6:6" x14ac:dyDescent="0.3">
      <c r="F26788" s="193"/>
    </row>
    <row r="26789" spans="6:6" x14ac:dyDescent="0.3">
      <c r="F26789" s="193"/>
    </row>
    <row r="26790" spans="6:6" x14ac:dyDescent="0.3">
      <c r="F26790" s="193"/>
    </row>
    <row r="26791" spans="6:6" x14ac:dyDescent="0.3">
      <c r="F26791" s="193"/>
    </row>
    <row r="26792" spans="6:6" x14ac:dyDescent="0.3">
      <c r="F26792" s="193"/>
    </row>
    <row r="26793" spans="6:6" x14ac:dyDescent="0.3">
      <c r="F26793" s="193"/>
    </row>
    <row r="26794" spans="6:6" x14ac:dyDescent="0.3">
      <c r="F26794" s="193"/>
    </row>
    <row r="26795" spans="6:6" x14ac:dyDescent="0.3">
      <c r="F26795" s="193"/>
    </row>
    <row r="26796" spans="6:6" x14ac:dyDescent="0.3">
      <c r="F26796" s="193"/>
    </row>
    <row r="26797" spans="6:6" x14ac:dyDescent="0.3">
      <c r="F26797" s="193"/>
    </row>
    <row r="26798" spans="6:6" x14ac:dyDescent="0.3">
      <c r="F26798" s="193"/>
    </row>
    <row r="26799" spans="6:6" x14ac:dyDescent="0.3">
      <c r="F26799" s="193"/>
    </row>
    <row r="26800" spans="6:6" x14ac:dyDescent="0.3">
      <c r="F26800" s="193"/>
    </row>
    <row r="26801" spans="6:6" x14ac:dyDescent="0.3">
      <c r="F26801" s="193"/>
    </row>
    <row r="26802" spans="6:6" x14ac:dyDescent="0.3">
      <c r="F26802" s="193"/>
    </row>
    <row r="26803" spans="6:6" x14ac:dyDescent="0.3">
      <c r="F26803" s="193"/>
    </row>
    <row r="26804" spans="6:6" x14ac:dyDescent="0.3">
      <c r="F26804" s="193"/>
    </row>
    <row r="26805" spans="6:6" x14ac:dyDescent="0.3">
      <c r="F26805" s="193"/>
    </row>
    <row r="26806" spans="6:6" x14ac:dyDescent="0.3">
      <c r="F26806" s="193"/>
    </row>
    <row r="26807" spans="6:6" x14ac:dyDescent="0.3">
      <c r="F26807" s="193"/>
    </row>
    <row r="26808" spans="6:6" x14ac:dyDescent="0.3">
      <c r="F26808" s="193"/>
    </row>
    <row r="26809" spans="6:6" x14ac:dyDescent="0.3">
      <c r="F26809" s="193"/>
    </row>
    <row r="26810" spans="6:6" x14ac:dyDescent="0.3">
      <c r="F26810" s="193"/>
    </row>
    <row r="26811" spans="6:6" x14ac:dyDescent="0.3">
      <c r="F26811" s="193"/>
    </row>
    <row r="26812" spans="6:6" x14ac:dyDescent="0.3">
      <c r="F26812" s="193"/>
    </row>
    <row r="26813" spans="6:6" x14ac:dyDescent="0.3">
      <c r="F26813" s="193"/>
    </row>
    <row r="26814" spans="6:6" x14ac:dyDescent="0.3">
      <c r="F26814" s="193"/>
    </row>
    <row r="26815" spans="6:6" x14ac:dyDescent="0.3">
      <c r="F26815" s="193"/>
    </row>
    <row r="26816" spans="6:6" x14ac:dyDescent="0.3">
      <c r="F26816" s="193"/>
    </row>
    <row r="26817" spans="6:6" x14ac:dyDescent="0.3">
      <c r="F26817" s="193"/>
    </row>
    <row r="26818" spans="6:6" x14ac:dyDescent="0.3">
      <c r="F26818" s="193"/>
    </row>
    <row r="26819" spans="6:6" x14ac:dyDescent="0.3">
      <c r="F26819" s="193"/>
    </row>
    <row r="26820" spans="6:6" x14ac:dyDescent="0.3">
      <c r="F26820" s="193"/>
    </row>
    <row r="26821" spans="6:6" x14ac:dyDescent="0.3">
      <c r="F26821" s="193"/>
    </row>
    <row r="26822" spans="6:6" x14ac:dyDescent="0.3">
      <c r="F26822" s="193"/>
    </row>
    <row r="26823" spans="6:6" x14ac:dyDescent="0.3">
      <c r="F26823" s="193"/>
    </row>
    <row r="26824" spans="6:6" x14ac:dyDescent="0.3">
      <c r="F26824" s="193"/>
    </row>
    <row r="26825" spans="6:6" x14ac:dyDescent="0.3">
      <c r="F26825" s="193"/>
    </row>
    <row r="26826" spans="6:6" x14ac:dyDescent="0.3">
      <c r="F26826" s="193"/>
    </row>
    <row r="26827" spans="6:6" x14ac:dyDescent="0.3">
      <c r="F26827" s="193"/>
    </row>
    <row r="26828" spans="6:6" x14ac:dyDescent="0.3">
      <c r="F26828" s="193"/>
    </row>
    <row r="26829" spans="6:6" x14ac:dyDescent="0.3">
      <c r="F26829" s="193"/>
    </row>
    <row r="26830" spans="6:6" x14ac:dyDescent="0.3">
      <c r="F26830" s="193"/>
    </row>
    <row r="26831" spans="6:6" x14ac:dyDescent="0.3">
      <c r="F26831" s="193"/>
    </row>
    <row r="26832" spans="6:6" x14ac:dyDescent="0.3">
      <c r="F26832" s="193"/>
    </row>
    <row r="26833" spans="6:6" x14ac:dyDescent="0.3">
      <c r="F26833" s="193"/>
    </row>
    <row r="26834" spans="6:6" x14ac:dyDescent="0.3">
      <c r="F26834" s="193"/>
    </row>
    <row r="26835" spans="6:6" x14ac:dyDescent="0.3">
      <c r="F26835" s="193"/>
    </row>
    <row r="26836" spans="6:6" x14ac:dyDescent="0.3">
      <c r="F26836" s="193"/>
    </row>
    <row r="26837" spans="6:6" x14ac:dyDescent="0.3">
      <c r="F26837" s="193"/>
    </row>
    <row r="26838" spans="6:6" x14ac:dyDescent="0.3">
      <c r="F26838" s="193"/>
    </row>
    <row r="26839" spans="6:6" x14ac:dyDescent="0.3">
      <c r="F26839" s="193"/>
    </row>
    <row r="26840" spans="6:6" x14ac:dyDescent="0.3">
      <c r="F26840" s="193"/>
    </row>
    <row r="26841" spans="6:6" x14ac:dyDescent="0.3">
      <c r="F26841" s="193"/>
    </row>
    <row r="26842" spans="6:6" x14ac:dyDescent="0.3">
      <c r="F26842" s="193"/>
    </row>
    <row r="26843" spans="6:6" x14ac:dyDescent="0.3">
      <c r="F26843" s="193"/>
    </row>
    <row r="26844" spans="6:6" x14ac:dyDescent="0.3">
      <c r="F26844" s="193"/>
    </row>
    <row r="26845" spans="6:6" x14ac:dyDescent="0.3">
      <c r="F26845" s="193"/>
    </row>
    <row r="26846" spans="6:6" x14ac:dyDescent="0.3">
      <c r="F26846" s="193"/>
    </row>
    <row r="26847" spans="6:6" x14ac:dyDescent="0.3">
      <c r="F26847" s="193"/>
    </row>
    <row r="26848" spans="6:6" x14ac:dyDescent="0.3">
      <c r="F26848" s="193"/>
    </row>
    <row r="26849" spans="6:6" x14ac:dyDescent="0.3">
      <c r="F26849" s="193"/>
    </row>
    <row r="26850" spans="6:6" x14ac:dyDescent="0.3">
      <c r="F26850" s="193"/>
    </row>
    <row r="26851" spans="6:6" x14ac:dyDescent="0.3">
      <c r="F26851" s="193"/>
    </row>
    <row r="26852" spans="6:6" x14ac:dyDescent="0.3">
      <c r="F26852" s="193"/>
    </row>
    <row r="26853" spans="6:6" x14ac:dyDescent="0.3">
      <c r="F26853" s="193"/>
    </row>
    <row r="26854" spans="6:6" x14ac:dyDescent="0.3">
      <c r="F26854" s="193"/>
    </row>
    <row r="26855" spans="6:6" x14ac:dyDescent="0.3">
      <c r="F26855" s="193"/>
    </row>
    <row r="26856" spans="6:6" x14ac:dyDescent="0.3">
      <c r="F26856" s="193"/>
    </row>
    <row r="26857" spans="6:6" x14ac:dyDescent="0.3">
      <c r="F26857" s="193"/>
    </row>
    <row r="26858" spans="6:6" x14ac:dyDescent="0.3">
      <c r="F26858" s="193"/>
    </row>
    <row r="26859" spans="6:6" x14ac:dyDescent="0.3">
      <c r="F26859" s="193"/>
    </row>
    <row r="26860" spans="6:6" x14ac:dyDescent="0.3">
      <c r="F26860" s="193"/>
    </row>
    <row r="26861" spans="6:6" x14ac:dyDescent="0.3">
      <c r="F26861" s="193"/>
    </row>
    <row r="26862" spans="6:6" x14ac:dyDescent="0.3">
      <c r="F26862" s="193"/>
    </row>
    <row r="26863" spans="6:6" x14ac:dyDescent="0.3">
      <c r="F26863" s="193"/>
    </row>
    <row r="26864" spans="6:6" x14ac:dyDescent="0.3">
      <c r="F26864" s="193"/>
    </row>
    <row r="26865" spans="6:6" x14ac:dyDescent="0.3">
      <c r="F26865" s="193"/>
    </row>
    <row r="26866" spans="6:6" x14ac:dyDescent="0.3">
      <c r="F26866" s="193"/>
    </row>
    <row r="26867" spans="6:6" x14ac:dyDescent="0.3">
      <c r="F26867" s="193"/>
    </row>
    <row r="26868" spans="6:6" x14ac:dyDescent="0.3">
      <c r="F26868" s="193"/>
    </row>
    <row r="26869" spans="6:6" x14ac:dyDescent="0.3">
      <c r="F26869" s="193"/>
    </row>
    <row r="26870" spans="6:6" x14ac:dyDescent="0.3">
      <c r="F26870" s="193"/>
    </row>
    <row r="26871" spans="6:6" x14ac:dyDescent="0.3">
      <c r="F26871" s="193"/>
    </row>
    <row r="26872" spans="6:6" x14ac:dyDescent="0.3">
      <c r="F26872" s="193"/>
    </row>
    <row r="26873" spans="6:6" x14ac:dyDescent="0.3">
      <c r="F26873" s="193"/>
    </row>
    <row r="26874" spans="6:6" x14ac:dyDescent="0.3">
      <c r="F26874" s="193"/>
    </row>
    <row r="26875" spans="6:6" x14ac:dyDescent="0.3">
      <c r="F26875" s="193"/>
    </row>
    <row r="26876" spans="6:6" x14ac:dyDescent="0.3">
      <c r="F26876" s="193"/>
    </row>
    <row r="26877" spans="6:6" x14ac:dyDescent="0.3">
      <c r="F26877" s="193"/>
    </row>
    <row r="26878" spans="6:6" x14ac:dyDescent="0.3">
      <c r="F26878" s="193"/>
    </row>
    <row r="26879" spans="6:6" x14ac:dyDescent="0.3">
      <c r="F26879" s="193"/>
    </row>
    <row r="26880" spans="6:6" x14ac:dyDescent="0.3">
      <c r="F26880" s="193"/>
    </row>
    <row r="26881" spans="6:6" x14ac:dyDescent="0.3">
      <c r="F26881" s="193"/>
    </row>
    <row r="26882" spans="6:6" x14ac:dyDescent="0.3">
      <c r="F26882" s="193"/>
    </row>
    <row r="26883" spans="6:6" x14ac:dyDescent="0.3">
      <c r="F26883" s="193"/>
    </row>
    <row r="26884" spans="6:6" x14ac:dyDescent="0.3">
      <c r="F26884" s="193"/>
    </row>
    <row r="26885" spans="6:6" x14ac:dyDescent="0.3">
      <c r="F26885" s="193"/>
    </row>
    <row r="26886" spans="6:6" x14ac:dyDescent="0.3">
      <c r="F26886" s="193"/>
    </row>
    <row r="26887" spans="6:6" x14ac:dyDescent="0.3">
      <c r="F26887" s="193"/>
    </row>
    <row r="26888" spans="6:6" x14ac:dyDescent="0.3">
      <c r="F26888" s="193"/>
    </row>
    <row r="26889" spans="6:6" x14ac:dyDescent="0.3">
      <c r="F26889" s="193"/>
    </row>
    <row r="26890" spans="6:6" x14ac:dyDescent="0.3">
      <c r="F26890" s="193"/>
    </row>
    <row r="26891" spans="6:6" x14ac:dyDescent="0.3">
      <c r="F26891" s="193"/>
    </row>
    <row r="26892" spans="6:6" x14ac:dyDescent="0.3">
      <c r="F26892" s="193"/>
    </row>
    <row r="26893" spans="6:6" x14ac:dyDescent="0.3">
      <c r="F26893" s="193"/>
    </row>
    <row r="26894" spans="6:6" x14ac:dyDescent="0.3">
      <c r="F26894" s="193"/>
    </row>
    <row r="26895" spans="6:6" x14ac:dyDescent="0.3">
      <c r="F26895" s="193"/>
    </row>
    <row r="26896" spans="6:6" x14ac:dyDescent="0.3">
      <c r="F26896" s="193"/>
    </row>
    <row r="26897" spans="6:6" x14ac:dyDescent="0.3">
      <c r="F26897" s="193"/>
    </row>
    <row r="26898" spans="6:6" x14ac:dyDescent="0.3">
      <c r="F26898" s="193"/>
    </row>
    <row r="26899" spans="6:6" x14ac:dyDescent="0.3">
      <c r="F26899" s="193"/>
    </row>
    <row r="26900" spans="6:6" x14ac:dyDescent="0.3">
      <c r="F26900" s="193"/>
    </row>
    <row r="26901" spans="6:6" x14ac:dyDescent="0.3">
      <c r="F26901" s="193"/>
    </row>
    <row r="26902" spans="6:6" x14ac:dyDescent="0.3">
      <c r="F26902" s="193"/>
    </row>
    <row r="26903" spans="6:6" x14ac:dyDescent="0.3">
      <c r="F26903" s="193"/>
    </row>
    <row r="26904" spans="6:6" x14ac:dyDescent="0.3">
      <c r="F26904" s="193"/>
    </row>
    <row r="26905" spans="6:6" x14ac:dyDescent="0.3">
      <c r="F26905" s="193"/>
    </row>
    <row r="26906" spans="6:6" x14ac:dyDescent="0.3">
      <c r="F26906" s="193"/>
    </row>
    <row r="26907" spans="6:6" x14ac:dyDescent="0.3">
      <c r="F26907" s="193"/>
    </row>
    <row r="26908" spans="6:6" x14ac:dyDescent="0.3">
      <c r="F26908" s="193"/>
    </row>
    <row r="26909" spans="6:6" x14ac:dyDescent="0.3">
      <c r="F26909" s="193"/>
    </row>
    <row r="26910" spans="6:6" x14ac:dyDescent="0.3">
      <c r="F26910" s="193"/>
    </row>
    <row r="26911" spans="6:6" x14ac:dyDescent="0.3">
      <c r="F26911" s="193"/>
    </row>
    <row r="26912" spans="6:6" x14ac:dyDescent="0.3">
      <c r="F26912" s="193"/>
    </row>
    <row r="26913" spans="6:6" x14ac:dyDescent="0.3">
      <c r="F26913" s="193"/>
    </row>
    <row r="26914" spans="6:6" x14ac:dyDescent="0.3">
      <c r="F26914" s="193"/>
    </row>
    <row r="26915" spans="6:6" x14ac:dyDescent="0.3">
      <c r="F26915" s="193"/>
    </row>
    <row r="26916" spans="6:6" x14ac:dyDescent="0.3">
      <c r="F26916" s="193"/>
    </row>
    <row r="26917" spans="6:6" x14ac:dyDescent="0.3">
      <c r="F26917" s="193"/>
    </row>
    <row r="26918" spans="6:6" x14ac:dyDescent="0.3">
      <c r="F26918" s="193"/>
    </row>
    <row r="26919" spans="6:6" x14ac:dyDescent="0.3">
      <c r="F26919" s="193"/>
    </row>
    <row r="26920" spans="6:6" x14ac:dyDescent="0.3">
      <c r="F26920" s="193"/>
    </row>
    <row r="26921" spans="6:6" x14ac:dyDescent="0.3">
      <c r="F26921" s="193"/>
    </row>
    <row r="26922" spans="6:6" x14ac:dyDescent="0.3">
      <c r="F26922" s="193"/>
    </row>
    <row r="26923" spans="6:6" x14ac:dyDescent="0.3">
      <c r="F26923" s="193"/>
    </row>
    <row r="26924" spans="6:6" x14ac:dyDescent="0.3">
      <c r="F26924" s="193"/>
    </row>
    <row r="26925" spans="6:6" x14ac:dyDescent="0.3">
      <c r="F26925" s="193"/>
    </row>
    <row r="26926" spans="6:6" x14ac:dyDescent="0.3">
      <c r="F26926" s="193"/>
    </row>
    <row r="26927" spans="6:6" x14ac:dyDescent="0.3">
      <c r="F26927" s="193"/>
    </row>
    <row r="26928" spans="6:6" x14ac:dyDescent="0.3">
      <c r="F26928" s="193"/>
    </row>
    <row r="26929" spans="6:6" x14ac:dyDescent="0.3">
      <c r="F26929" s="193"/>
    </row>
    <row r="26930" spans="6:6" x14ac:dyDescent="0.3">
      <c r="F26930" s="193"/>
    </row>
    <row r="26931" spans="6:6" x14ac:dyDescent="0.3">
      <c r="F26931" s="193"/>
    </row>
    <row r="26932" spans="6:6" x14ac:dyDescent="0.3">
      <c r="F26932" s="193"/>
    </row>
    <row r="26933" spans="6:6" x14ac:dyDescent="0.3">
      <c r="F26933" s="193"/>
    </row>
    <row r="26934" spans="6:6" x14ac:dyDescent="0.3">
      <c r="F26934" s="193"/>
    </row>
    <row r="26935" spans="6:6" x14ac:dyDescent="0.3">
      <c r="F26935" s="193"/>
    </row>
    <row r="26936" spans="6:6" x14ac:dyDescent="0.3">
      <c r="F26936" s="193"/>
    </row>
    <row r="26937" spans="6:6" x14ac:dyDescent="0.3">
      <c r="F26937" s="193"/>
    </row>
    <row r="26938" spans="6:6" x14ac:dyDescent="0.3">
      <c r="F26938" s="193"/>
    </row>
    <row r="26939" spans="6:6" x14ac:dyDescent="0.3">
      <c r="F26939" s="193"/>
    </row>
    <row r="26940" spans="6:6" x14ac:dyDescent="0.3">
      <c r="F26940" s="193"/>
    </row>
    <row r="26941" spans="6:6" x14ac:dyDescent="0.3">
      <c r="F26941" s="193"/>
    </row>
    <row r="26942" spans="6:6" x14ac:dyDescent="0.3">
      <c r="F26942" s="193"/>
    </row>
    <row r="26943" spans="6:6" x14ac:dyDescent="0.3">
      <c r="F26943" s="193"/>
    </row>
    <row r="26944" spans="6:6" x14ac:dyDescent="0.3">
      <c r="F26944" s="193"/>
    </row>
    <row r="26945" spans="6:6" x14ac:dyDescent="0.3">
      <c r="F26945" s="193"/>
    </row>
    <row r="26946" spans="6:6" x14ac:dyDescent="0.3">
      <c r="F26946" s="193"/>
    </row>
    <row r="26947" spans="6:6" x14ac:dyDescent="0.3">
      <c r="F26947" s="193"/>
    </row>
    <row r="26948" spans="6:6" x14ac:dyDescent="0.3">
      <c r="F26948" s="193"/>
    </row>
    <row r="26949" spans="6:6" x14ac:dyDescent="0.3">
      <c r="F26949" s="193"/>
    </row>
    <row r="26950" spans="6:6" x14ac:dyDescent="0.3">
      <c r="F26950" s="193"/>
    </row>
    <row r="26951" spans="6:6" x14ac:dyDescent="0.3">
      <c r="F26951" s="193"/>
    </row>
    <row r="26952" spans="6:6" x14ac:dyDescent="0.3">
      <c r="F26952" s="193"/>
    </row>
    <row r="26953" spans="6:6" x14ac:dyDescent="0.3">
      <c r="F26953" s="193"/>
    </row>
    <row r="26954" spans="6:6" x14ac:dyDescent="0.3">
      <c r="F26954" s="193"/>
    </row>
    <row r="26955" spans="6:6" x14ac:dyDescent="0.3">
      <c r="F26955" s="193"/>
    </row>
    <row r="26956" spans="6:6" x14ac:dyDescent="0.3">
      <c r="F26956" s="193"/>
    </row>
    <row r="26957" spans="6:6" x14ac:dyDescent="0.3">
      <c r="F26957" s="193"/>
    </row>
    <row r="26958" spans="6:6" x14ac:dyDescent="0.3">
      <c r="F26958" s="193"/>
    </row>
    <row r="26959" spans="6:6" x14ac:dyDescent="0.3">
      <c r="F26959" s="193"/>
    </row>
    <row r="26960" spans="6:6" x14ac:dyDescent="0.3">
      <c r="F26960" s="193"/>
    </row>
    <row r="26961" spans="6:6" x14ac:dyDescent="0.3">
      <c r="F26961" s="193"/>
    </row>
    <row r="26962" spans="6:6" x14ac:dyDescent="0.3">
      <c r="F26962" s="193"/>
    </row>
    <row r="26963" spans="6:6" x14ac:dyDescent="0.3">
      <c r="F26963" s="193"/>
    </row>
    <row r="26964" spans="6:6" x14ac:dyDescent="0.3">
      <c r="F26964" s="193"/>
    </row>
    <row r="26965" spans="6:6" x14ac:dyDescent="0.3">
      <c r="F26965" s="193"/>
    </row>
    <row r="26966" spans="6:6" x14ac:dyDescent="0.3">
      <c r="F26966" s="193"/>
    </row>
    <row r="26967" spans="6:6" x14ac:dyDescent="0.3">
      <c r="F26967" s="193"/>
    </row>
    <row r="26968" spans="6:6" x14ac:dyDescent="0.3">
      <c r="F26968" s="193"/>
    </row>
    <row r="26969" spans="6:6" x14ac:dyDescent="0.3">
      <c r="F26969" s="193"/>
    </row>
    <row r="26970" spans="6:6" x14ac:dyDescent="0.3">
      <c r="F26970" s="193"/>
    </row>
    <row r="26971" spans="6:6" x14ac:dyDescent="0.3">
      <c r="F26971" s="193"/>
    </row>
    <row r="26972" spans="6:6" x14ac:dyDescent="0.3">
      <c r="F26972" s="193"/>
    </row>
    <row r="26973" spans="6:6" x14ac:dyDescent="0.3">
      <c r="F26973" s="193"/>
    </row>
    <row r="26974" spans="6:6" x14ac:dyDescent="0.3">
      <c r="F26974" s="193"/>
    </row>
    <row r="26975" spans="6:6" x14ac:dyDescent="0.3">
      <c r="F26975" s="193"/>
    </row>
    <row r="26976" spans="6:6" x14ac:dyDescent="0.3">
      <c r="F26976" s="193"/>
    </row>
    <row r="26977" spans="6:6" x14ac:dyDescent="0.3">
      <c r="F26977" s="193"/>
    </row>
    <row r="26978" spans="6:6" x14ac:dyDescent="0.3">
      <c r="F26978" s="193"/>
    </row>
    <row r="26979" spans="6:6" x14ac:dyDescent="0.3">
      <c r="F26979" s="193"/>
    </row>
    <row r="26980" spans="6:6" x14ac:dyDescent="0.3">
      <c r="F26980" s="193"/>
    </row>
    <row r="26981" spans="6:6" x14ac:dyDescent="0.3">
      <c r="F26981" s="193"/>
    </row>
    <row r="26982" spans="6:6" x14ac:dyDescent="0.3">
      <c r="F26982" s="193"/>
    </row>
    <row r="26983" spans="6:6" x14ac:dyDescent="0.3">
      <c r="F26983" s="193"/>
    </row>
    <row r="26984" spans="6:6" x14ac:dyDescent="0.3">
      <c r="F26984" s="193"/>
    </row>
    <row r="26985" spans="6:6" x14ac:dyDescent="0.3">
      <c r="F26985" s="193"/>
    </row>
    <row r="26986" spans="6:6" x14ac:dyDescent="0.3">
      <c r="F26986" s="193"/>
    </row>
    <row r="26987" spans="6:6" x14ac:dyDescent="0.3">
      <c r="F26987" s="193"/>
    </row>
    <row r="26988" spans="6:6" x14ac:dyDescent="0.3">
      <c r="F26988" s="193"/>
    </row>
    <row r="26989" spans="6:6" x14ac:dyDescent="0.3">
      <c r="F26989" s="193"/>
    </row>
    <row r="26990" spans="6:6" x14ac:dyDescent="0.3">
      <c r="F26990" s="193"/>
    </row>
    <row r="26991" spans="6:6" x14ac:dyDescent="0.3">
      <c r="F26991" s="193"/>
    </row>
    <row r="26992" spans="6:6" x14ac:dyDescent="0.3">
      <c r="F26992" s="193"/>
    </row>
    <row r="26993" spans="6:6" x14ac:dyDescent="0.3">
      <c r="F26993" s="193"/>
    </row>
    <row r="26994" spans="6:6" x14ac:dyDescent="0.3">
      <c r="F26994" s="193"/>
    </row>
    <row r="26995" spans="6:6" x14ac:dyDescent="0.3">
      <c r="F26995" s="193"/>
    </row>
    <row r="26996" spans="6:6" x14ac:dyDescent="0.3">
      <c r="F26996" s="193"/>
    </row>
    <row r="26997" spans="6:6" x14ac:dyDescent="0.3">
      <c r="F26997" s="193"/>
    </row>
    <row r="26998" spans="6:6" x14ac:dyDescent="0.3">
      <c r="F26998" s="193"/>
    </row>
    <row r="26999" spans="6:6" x14ac:dyDescent="0.3">
      <c r="F26999" s="193"/>
    </row>
    <row r="27000" spans="6:6" x14ac:dyDescent="0.3">
      <c r="F27000" s="193"/>
    </row>
    <row r="27001" spans="6:6" x14ac:dyDescent="0.3">
      <c r="F27001" s="193"/>
    </row>
    <row r="27002" spans="6:6" x14ac:dyDescent="0.3">
      <c r="F27002" s="193"/>
    </row>
    <row r="27003" spans="6:6" x14ac:dyDescent="0.3">
      <c r="F27003" s="193"/>
    </row>
    <row r="27004" spans="6:6" x14ac:dyDescent="0.3">
      <c r="F27004" s="193"/>
    </row>
    <row r="27005" spans="6:6" x14ac:dyDescent="0.3">
      <c r="F27005" s="193"/>
    </row>
    <row r="27006" spans="6:6" x14ac:dyDescent="0.3">
      <c r="F27006" s="193"/>
    </row>
    <row r="27007" spans="6:6" x14ac:dyDescent="0.3">
      <c r="F27007" s="193"/>
    </row>
    <row r="27008" spans="6:6" x14ac:dyDescent="0.3">
      <c r="F27008" s="193"/>
    </row>
    <row r="27009" spans="6:6" x14ac:dyDescent="0.3">
      <c r="F27009" s="193"/>
    </row>
    <row r="27010" spans="6:6" x14ac:dyDescent="0.3">
      <c r="F27010" s="193"/>
    </row>
    <row r="27011" spans="6:6" x14ac:dyDescent="0.3">
      <c r="F27011" s="193"/>
    </row>
    <row r="27012" spans="6:6" x14ac:dyDescent="0.3">
      <c r="F27012" s="193"/>
    </row>
    <row r="27013" spans="6:6" x14ac:dyDescent="0.3">
      <c r="F27013" s="193"/>
    </row>
    <row r="27014" spans="6:6" x14ac:dyDescent="0.3">
      <c r="F27014" s="193"/>
    </row>
    <row r="27015" spans="6:6" x14ac:dyDescent="0.3">
      <c r="F27015" s="193"/>
    </row>
    <row r="27016" spans="6:6" x14ac:dyDescent="0.3">
      <c r="F27016" s="193"/>
    </row>
    <row r="27017" spans="6:6" x14ac:dyDescent="0.3">
      <c r="F27017" s="193"/>
    </row>
    <row r="27018" spans="6:6" x14ac:dyDescent="0.3">
      <c r="F27018" s="193"/>
    </row>
    <row r="27019" spans="6:6" x14ac:dyDescent="0.3">
      <c r="F27019" s="193"/>
    </row>
    <row r="27020" spans="6:6" x14ac:dyDescent="0.3">
      <c r="F27020" s="193"/>
    </row>
    <row r="27021" spans="6:6" x14ac:dyDescent="0.3">
      <c r="F27021" s="193"/>
    </row>
    <row r="27022" spans="6:6" x14ac:dyDescent="0.3">
      <c r="F27022" s="193"/>
    </row>
    <row r="27023" spans="6:6" x14ac:dyDescent="0.3">
      <c r="F27023" s="193"/>
    </row>
    <row r="27024" spans="6:6" x14ac:dyDescent="0.3">
      <c r="F27024" s="193"/>
    </row>
    <row r="27025" spans="6:6" x14ac:dyDescent="0.3">
      <c r="F27025" s="193"/>
    </row>
    <row r="27026" spans="6:6" x14ac:dyDescent="0.3">
      <c r="F27026" s="193"/>
    </row>
    <row r="27027" spans="6:6" x14ac:dyDescent="0.3">
      <c r="F27027" s="193"/>
    </row>
    <row r="27028" spans="6:6" x14ac:dyDescent="0.3">
      <c r="F27028" s="193"/>
    </row>
    <row r="27029" spans="6:6" x14ac:dyDescent="0.3">
      <c r="F27029" s="193"/>
    </row>
    <row r="27030" spans="6:6" x14ac:dyDescent="0.3">
      <c r="F27030" s="193"/>
    </row>
    <row r="27031" spans="6:6" x14ac:dyDescent="0.3">
      <c r="F27031" s="193"/>
    </row>
    <row r="27032" spans="6:6" x14ac:dyDescent="0.3">
      <c r="F27032" s="193"/>
    </row>
    <row r="27033" spans="6:6" x14ac:dyDescent="0.3">
      <c r="F27033" s="193"/>
    </row>
    <row r="27034" spans="6:6" x14ac:dyDescent="0.3">
      <c r="F27034" s="193"/>
    </row>
    <row r="27035" spans="6:6" x14ac:dyDescent="0.3">
      <c r="F27035" s="193"/>
    </row>
    <row r="27036" spans="6:6" x14ac:dyDescent="0.3">
      <c r="F27036" s="193"/>
    </row>
    <row r="27037" spans="6:6" x14ac:dyDescent="0.3">
      <c r="F27037" s="193"/>
    </row>
    <row r="27038" spans="6:6" x14ac:dyDescent="0.3">
      <c r="F27038" s="193"/>
    </row>
    <row r="27039" spans="6:6" x14ac:dyDescent="0.3">
      <c r="F27039" s="193"/>
    </row>
    <row r="27040" spans="6:6" x14ac:dyDescent="0.3">
      <c r="F27040" s="193"/>
    </row>
    <row r="27041" spans="6:6" x14ac:dyDescent="0.3">
      <c r="F27041" s="193"/>
    </row>
    <row r="27042" spans="6:6" x14ac:dyDescent="0.3">
      <c r="F27042" s="193"/>
    </row>
    <row r="27043" spans="6:6" x14ac:dyDescent="0.3">
      <c r="F27043" s="193"/>
    </row>
    <row r="27044" spans="6:6" x14ac:dyDescent="0.3">
      <c r="F27044" s="193"/>
    </row>
    <row r="27045" spans="6:6" x14ac:dyDescent="0.3">
      <c r="F27045" s="193"/>
    </row>
    <row r="27046" spans="6:6" x14ac:dyDescent="0.3">
      <c r="F27046" s="193"/>
    </row>
    <row r="27047" spans="6:6" x14ac:dyDescent="0.3">
      <c r="F27047" s="193"/>
    </row>
    <row r="27048" spans="6:6" x14ac:dyDescent="0.3">
      <c r="F27048" s="193"/>
    </row>
    <row r="27049" spans="6:6" x14ac:dyDescent="0.3">
      <c r="F27049" s="193"/>
    </row>
    <row r="27050" spans="6:6" x14ac:dyDescent="0.3">
      <c r="F27050" s="193"/>
    </row>
    <row r="27051" spans="6:6" x14ac:dyDescent="0.3">
      <c r="F27051" s="193"/>
    </row>
    <row r="27052" spans="6:6" x14ac:dyDescent="0.3">
      <c r="F27052" s="193"/>
    </row>
    <row r="27053" spans="6:6" x14ac:dyDescent="0.3">
      <c r="F27053" s="193"/>
    </row>
    <row r="27054" spans="6:6" x14ac:dyDescent="0.3">
      <c r="F27054" s="193"/>
    </row>
    <row r="27055" spans="6:6" x14ac:dyDescent="0.3">
      <c r="F27055" s="193"/>
    </row>
    <row r="27056" spans="6:6" x14ac:dyDescent="0.3">
      <c r="F27056" s="193"/>
    </row>
    <row r="27057" spans="6:6" x14ac:dyDescent="0.3">
      <c r="F27057" s="193"/>
    </row>
    <row r="27058" spans="6:6" x14ac:dyDescent="0.3">
      <c r="F27058" s="193"/>
    </row>
    <row r="27059" spans="6:6" x14ac:dyDescent="0.3">
      <c r="F27059" s="193"/>
    </row>
    <row r="27060" spans="6:6" x14ac:dyDescent="0.3">
      <c r="F27060" s="193"/>
    </row>
    <row r="27061" spans="6:6" x14ac:dyDescent="0.3">
      <c r="F27061" s="193"/>
    </row>
    <row r="27062" spans="6:6" x14ac:dyDescent="0.3">
      <c r="F27062" s="193"/>
    </row>
    <row r="27063" spans="6:6" x14ac:dyDescent="0.3">
      <c r="F27063" s="193"/>
    </row>
    <row r="27064" spans="6:6" x14ac:dyDescent="0.3">
      <c r="F27064" s="193"/>
    </row>
    <row r="27065" spans="6:6" x14ac:dyDescent="0.3">
      <c r="F27065" s="193"/>
    </row>
    <row r="27066" spans="6:6" x14ac:dyDescent="0.3">
      <c r="F27066" s="193"/>
    </row>
    <row r="27067" spans="6:6" x14ac:dyDescent="0.3">
      <c r="F27067" s="193"/>
    </row>
    <row r="27068" spans="6:6" x14ac:dyDescent="0.3">
      <c r="F27068" s="193"/>
    </row>
    <row r="27069" spans="6:6" x14ac:dyDescent="0.3">
      <c r="F27069" s="193"/>
    </row>
    <row r="27070" spans="6:6" x14ac:dyDescent="0.3">
      <c r="F27070" s="193"/>
    </row>
    <row r="27071" spans="6:6" x14ac:dyDescent="0.3">
      <c r="F27071" s="193"/>
    </row>
    <row r="27072" spans="6:6" x14ac:dyDescent="0.3">
      <c r="F27072" s="193"/>
    </row>
    <row r="27073" spans="6:6" x14ac:dyDescent="0.3">
      <c r="F27073" s="193"/>
    </row>
    <row r="27074" spans="6:6" x14ac:dyDescent="0.3">
      <c r="F27074" s="193"/>
    </row>
    <row r="27075" spans="6:6" x14ac:dyDescent="0.3">
      <c r="F27075" s="193"/>
    </row>
    <row r="27076" spans="6:6" x14ac:dyDescent="0.3">
      <c r="F27076" s="193"/>
    </row>
    <row r="27077" spans="6:6" x14ac:dyDescent="0.3">
      <c r="F27077" s="193"/>
    </row>
    <row r="27078" spans="6:6" x14ac:dyDescent="0.3">
      <c r="F27078" s="193"/>
    </row>
    <row r="27079" spans="6:6" x14ac:dyDescent="0.3">
      <c r="F27079" s="193"/>
    </row>
    <row r="27080" spans="6:6" x14ac:dyDescent="0.3">
      <c r="F27080" s="193"/>
    </row>
    <row r="27081" spans="6:6" x14ac:dyDescent="0.3">
      <c r="F27081" s="193"/>
    </row>
    <row r="27082" spans="6:6" x14ac:dyDescent="0.3">
      <c r="F27082" s="193"/>
    </row>
    <row r="27083" spans="6:6" x14ac:dyDescent="0.3">
      <c r="F27083" s="193"/>
    </row>
    <row r="27084" spans="6:6" x14ac:dyDescent="0.3">
      <c r="F27084" s="193"/>
    </row>
    <row r="27085" spans="6:6" x14ac:dyDescent="0.3">
      <c r="F27085" s="193"/>
    </row>
    <row r="27086" spans="6:6" x14ac:dyDescent="0.3">
      <c r="F27086" s="193"/>
    </row>
    <row r="27087" spans="6:6" x14ac:dyDescent="0.3">
      <c r="F27087" s="193"/>
    </row>
    <row r="27088" spans="6:6" x14ac:dyDescent="0.3">
      <c r="F27088" s="193"/>
    </row>
    <row r="27089" spans="6:6" x14ac:dyDescent="0.3">
      <c r="F27089" s="193"/>
    </row>
    <row r="27090" spans="6:6" x14ac:dyDescent="0.3">
      <c r="F27090" s="193"/>
    </row>
    <row r="27091" spans="6:6" x14ac:dyDescent="0.3">
      <c r="F27091" s="193"/>
    </row>
    <row r="27092" spans="6:6" x14ac:dyDescent="0.3">
      <c r="F27092" s="193"/>
    </row>
    <row r="27093" spans="6:6" x14ac:dyDescent="0.3">
      <c r="F27093" s="193"/>
    </row>
    <row r="27094" spans="6:6" x14ac:dyDescent="0.3">
      <c r="F27094" s="193"/>
    </row>
    <row r="27095" spans="6:6" x14ac:dyDescent="0.3">
      <c r="F27095" s="193"/>
    </row>
    <row r="27096" spans="6:6" x14ac:dyDescent="0.3">
      <c r="F27096" s="193"/>
    </row>
    <row r="27097" spans="6:6" x14ac:dyDescent="0.3">
      <c r="F27097" s="193"/>
    </row>
    <row r="27098" spans="6:6" x14ac:dyDescent="0.3">
      <c r="F27098" s="193"/>
    </row>
    <row r="27099" spans="6:6" x14ac:dyDescent="0.3">
      <c r="F27099" s="193"/>
    </row>
    <row r="27100" spans="6:6" x14ac:dyDescent="0.3">
      <c r="F27100" s="193"/>
    </row>
    <row r="27101" spans="6:6" x14ac:dyDescent="0.3">
      <c r="F27101" s="193"/>
    </row>
    <row r="27102" spans="6:6" x14ac:dyDescent="0.3">
      <c r="F27102" s="193"/>
    </row>
    <row r="27103" spans="6:6" x14ac:dyDescent="0.3">
      <c r="F27103" s="193"/>
    </row>
    <row r="27104" spans="6:6" x14ac:dyDescent="0.3">
      <c r="F27104" s="193"/>
    </row>
    <row r="27105" spans="6:6" x14ac:dyDescent="0.3">
      <c r="F27105" s="193"/>
    </row>
    <row r="27106" spans="6:6" x14ac:dyDescent="0.3">
      <c r="F27106" s="193"/>
    </row>
    <row r="27107" spans="6:6" x14ac:dyDescent="0.3">
      <c r="F27107" s="193"/>
    </row>
    <row r="27108" spans="6:6" x14ac:dyDescent="0.3">
      <c r="F27108" s="193"/>
    </row>
    <row r="27109" spans="6:6" x14ac:dyDescent="0.3">
      <c r="F27109" s="193"/>
    </row>
    <row r="27110" spans="6:6" x14ac:dyDescent="0.3">
      <c r="F27110" s="193"/>
    </row>
    <row r="27111" spans="6:6" x14ac:dyDescent="0.3">
      <c r="F27111" s="193"/>
    </row>
    <row r="27112" spans="6:6" x14ac:dyDescent="0.3">
      <c r="F27112" s="193"/>
    </row>
    <row r="27113" spans="6:6" x14ac:dyDescent="0.3">
      <c r="F27113" s="193"/>
    </row>
    <row r="27114" spans="6:6" x14ac:dyDescent="0.3">
      <c r="F27114" s="193"/>
    </row>
    <row r="27115" spans="6:6" x14ac:dyDescent="0.3">
      <c r="F27115" s="193"/>
    </row>
    <row r="27116" spans="6:6" x14ac:dyDescent="0.3">
      <c r="F27116" s="193"/>
    </row>
    <row r="27117" spans="6:6" x14ac:dyDescent="0.3">
      <c r="F27117" s="193"/>
    </row>
    <row r="27118" spans="6:6" x14ac:dyDescent="0.3">
      <c r="F27118" s="193"/>
    </row>
    <row r="27119" spans="6:6" x14ac:dyDescent="0.3">
      <c r="F27119" s="193"/>
    </row>
    <row r="27120" spans="6:6" x14ac:dyDescent="0.3">
      <c r="F27120" s="193"/>
    </row>
    <row r="27121" spans="6:6" x14ac:dyDescent="0.3">
      <c r="F27121" s="193"/>
    </row>
    <row r="27122" spans="6:6" x14ac:dyDescent="0.3">
      <c r="F27122" s="193"/>
    </row>
    <row r="27123" spans="6:6" x14ac:dyDescent="0.3">
      <c r="F27123" s="193"/>
    </row>
    <row r="27124" spans="6:6" x14ac:dyDescent="0.3">
      <c r="F27124" s="193"/>
    </row>
    <row r="27125" spans="6:6" x14ac:dyDescent="0.3">
      <c r="F27125" s="193"/>
    </row>
    <row r="27126" spans="6:6" x14ac:dyDescent="0.3">
      <c r="F27126" s="193"/>
    </row>
    <row r="27127" spans="6:6" x14ac:dyDescent="0.3">
      <c r="F27127" s="193"/>
    </row>
    <row r="27128" spans="6:6" x14ac:dyDescent="0.3">
      <c r="F27128" s="193"/>
    </row>
    <row r="27129" spans="6:6" x14ac:dyDescent="0.3">
      <c r="F27129" s="193"/>
    </row>
    <row r="27130" spans="6:6" x14ac:dyDescent="0.3">
      <c r="F27130" s="193"/>
    </row>
    <row r="27131" spans="6:6" x14ac:dyDescent="0.3">
      <c r="F27131" s="193"/>
    </row>
    <row r="27132" spans="6:6" x14ac:dyDescent="0.3">
      <c r="F27132" s="193"/>
    </row>
    <row r="27133" spans="6:6" x14ac:dyDescent="0.3">
      <c r="F27133" s="193"/>
    </row>
    <row r="27134" spans="6:6" x14ac:dyDescent="0.3">
      <c r="F27134" s="193"/>
    </row>
    <row r="27135" spans="6:6" x14ac:dyDescent="0.3">
      <c r="F27135" s="193"/>
    </row>
    <row r="27136" spans="6:6" x14ac:dyDescent="0.3">
      <c r="F27136" s="193"/>
    </row>
    <row r="27137" spans="6:6" x14ac:dyDescent="0.3">
      <c r="F27137" s="193"/>
    </row>
    <row r="27138" spans="6:6" x14ac:dyDescent="0.3">
      <c r="F27138" s="193"/>
    </row>
    <row r="27139" spans="6:6" x14ac:dyDescent="0.3">
      <c r="F27139" s="193"/>
    </row>
    <row r="27140" spans="6:6" x14ac:dyDescent="0.3">
      <c r="F27140" s="193"/>
    </row>
    <row r="27141" spans="6:6" x14ac:dyDescent="0.3">
      <c r="F27141" s="193"/>
    </row>
    <row r="27142" spans="6:6" x14ac:dyDescent="0.3">
      <c r="F27142" s="193"/>
    </row>
    <row r="27143" spans="6:6" x14ac:dyDescent="0.3">
      <c r="F27143" s="193"/>
    </row>
    <row r="27144" spans="6:6" x14ac:dyDescent="0.3">
      <c r="F27144" s="193"/>
    </row>
    <row r="27145" spans="6:6" x14ac:dyDescent="0.3">
      <c r="F27145" s="193"/>
    </row>
    <row r="27146" spans="6:6" x14ac:dyDescent="0.3">
      <c r="F27146" s="193"/>
    </row>
    <row r="27147" spans="6:6" x14ac:dyDescent="0.3">
      <c r="F27147" s="193"/>
    </row>
    <row r="27148" spans="6:6" x14ac:dyDescent="0.3">
      <c r="F27148" s="193"/>
    </row>
    <row r="27149" spans="6:6" x14ac:dyDescent="0.3">
      <c r="F27149" s="193"/>
    </row>
    <row r="27150" spans="6:6" x14ac:dyDescent="0.3">
      <c r="F27150" s="193"/>
    </row>
    <row r="27151" spans="6:6" x14ac:dyDescent="0.3">
      <c r="F27151" s="193"/>
    </row>
    <row r="27152" spans="6:6" x14ac:dyDescent="0.3">
      <c r="F27152" s="193"/>
    </row>
    <row r="27153" spans="6:6" x14ac:dyDescent="0.3">
      <c r="F27153" s="193"/>
    </row>
    <row r="27154" spans="6:6" x14ac:dyDescent="0.3">
      <c r="F27154" s="193"/>
    </row>
    <row r="27155" spans="6:6" x14ac:dyDescent="0.3">
      <c r="F27155" s="193"/>
    </row>
    <row r="27156" spans="6:6" x14ac:dyDescent="0.3">
      <c r="F27156" s="193"/>
    </row>
    <row r="27157" spans="6:6" x14ac:dyDescent="0.3">
      <c r="F27157" s="193"/>
    </row>
    <row r="27158" spans="6:6" x14ac:dyDescent="0.3">
      <c r="F27158" s="193"/>
    </row>
    <row r="27159" spans="6:6" x14ac:dyDescent="0.3">
      <c r="F27159" s="193"/>
    </row>
    <row r="27160" spans="6:6" x14ac:dyDescent="0.3">
      <c r="F27160" s="193"/>
    </row>
    <row r="27161" spans="6:6" x14ac:dyDescent="0.3">
      <c r="F27161" s="193"/>
    </row>
    <row r="27162" spans="6:6" x14ac:dyDescent="0.3">
      <c r="F27162" s="193"/>
    </row>
    <row r="27163" spans="6:6" x14ac:dyDescent="0.3">
      <c r="F27163" s="193"/>
    </row>
    <row r="27164" spans="6:6" x14ac:dyDescent="0.3">
      <c r="F27164" s="193"/>
    </row>
    <row r="27165" spans="6:6" x14ac:dyDescent="0.3">
      <c r="F27165" s="193"/>
    </row>
    <row r="27166" spans="6:6" x14ac:dyDescent="0.3">
      <c r="F27166" s="193"/>
    </row>
    <row r="27167" spans="6:6" x14ac:dyDescent="0.3">
      <c r="F27167" s="193"/>
    </row>
    <row r="27168" spans="6:6" x14ac:dyDescent="0.3">
      <c r="F27168" s="193"/>
    </row>
    <row r="27169" spans="6:6" x14ac:dyDescent="0.3">
      <c r="F27169" s="193"/>
    </row>
    <row r="27170" spans="6:6" x14ac:dyDescent="0.3">
      <c r="F27170" s="193"/>
    </row>
    <row r="27171" spans="6:6" x14ac:dyDescent="0.3">
      <c r="F27171" s="193"/>
    </row>
    <row r="27172" spans="6:6" x14ac:dyDescent="0.3">
      <c r="F27172" s="193"/>
    </row>
    <row r="27173" spans="6:6" x14ac:dyDescent="0.3">
      <c r="F27173" s="193"/>
    </row>
    <row r="27174" spans="6:6" x14ac:dyDescent="0.3">
      <c r="F27174" s="193"/>
    </row>
    <row r="27175" spans="6:6" x14ac:dyDescent="0.3">
      <c r="F27175" s="193"/>
    </row>
    <row r="27176" spans="6:6" x14ac:dyDescent="0.3">
      <c r="F27176" s="193"/>
    </row>
    <row r="27177" spans="6:6" x14ac:dyDescent="0.3">
      <c r="F27177" s="193"/>
    </row>
    <row r="27178" spans="6:6" x14ac:dyDescent="0.3">
      <c r="F27178" s="193"/>
    </row>
    <row r="27179" spans="6:6" x14ac:dyDescent="0.3">
      <c r="F27179" s="193"/>
    </row>
    <row r="27180" spans="6:6" x14ac:dyDescent="0.3">
      <c r="F27180" s="193"/>
    </row>
    <row r="27181" spans="6:6" x14ac:dyDescent="0.3">
      <c r="F27181" s="193"/>
    </row>
    <row r="27182" spans="6:6" x14ac:dyDescent="0.3">
      <c r="F27182" s="193"/>
    </row>
    <row r="27183" spans="6:6" x14ac:dyDescent="0.3">
      <c r="F27183" s="193"/>
    </row>
    <row r="27184" spans="6:6" x14ac:dyDescent="0.3">
      <c r="F27184" s="193"/>
    </row>
    <row r="27185" spans="6:6" x14ac:dyDescent="0.3">
      <c r="F27185" s="193"/>
    </row>
    <row r="27186" spans="6:6" x14ac:dyDescent="0.3">
      <c r="F27186" s="193"/>
    </row>
    <row r="27187" spans="6:6" x14ac:dyDescent="0.3">
      <c r="F27187" s="193"/>
    </row>
    <row r="27188" spans="6:6" x14ac:dyDescent="0.3">
      <c r="F27188" s="193"/>
    </row>
    <row r="27189" spans="6:6" x14ac:dyDescent="0.3">
      <c r="F27189" s="193"/>
    </row>
    <row r="27190" spans="6:6" x14ac:dyDescent="0.3">
      <c r="F27190" s="193"/>
    </row>
    <row r="27191" spans="6:6" x14ac:dyDescent="0.3">
      <c r="F27191" s="193"/>
    </row>
    <row r="27192" spans="6:6" x14ac:dyDescent="0.3">
      <c r="F27192" s="193"/>
    </row>
    <row r="27193" spans="6:6" x14ac:dyDescent="0.3">
      <c r="F27193" s="193"/>
    </row>
    <row r="27194" spans="6:6" x14ac:dyDescent="0.3">
      <c r="F27194" s="193"/>
    </row>
    <row r="27195" spans="6:6" x14ac:dyDescent="0.3">
      <c r="F27195" s="193"/>
    </row>
    <row r="27196" spans="6:6" x14ac:dyDescent="0.3">
      <c r="F27196" s="193"/>
    </row>
    <row r="27197" spans="6:6" x14ac:dyDescent="0.3">
      <c r="F27197" s="193"/>
    </row>
    <row r="27198" spans="6:6" x14ac:dyDescent="0.3">
      <c r="F27198" s="193"/>
    </row>
    <row r="27199" spans="6:6" x14ac:dyDescent="0.3">
      <c r="F27199" s="193"/>
    </row>
    <row r="27200" spans="6:6" x14ac:dyDescent="0.3">
      <c r="F27200" s="193"/>
    </row>
    <row r="27201" spans="6:6" x14ac:dyDescent="0.3">
      <c r="F27201" s="193"/>
    </row>
    <row r="27202" spans="6:6" x14ac:dyDescent="0.3">
      <c r="F27202" s="193"/>
    </row>
    <row r="27203" spans="6:6" x14ac:dyDescent="0.3">
      <c r="F27203" s="193"/>
    </row>
    <row r="27204" spans="6:6" x14ac:dyDescent="0.3">
      <c r="F27204" s="193"/>
    </row>
    <row r="27205" spans="6:6" x14ac:dyDescent="0.3">
      <c r="F27205" s="193"/>
    </row>
    <row r="27206" spans="6:6" x14ac:dyDescent="0.3">
      <c r="F27206" s="193"/>
    </row>
    <row r="27207" spans="6:6" x14ac:dyDescent="0.3">
      <c r="F27207" s="193"/>
    </row>
    <row r="27208" spans="6:6" x14ac:dyDescent="0.3">
      <c r="F27208" s="193"/>
    </row>
    <row r="27209" spans="6:6" x14ac:dyDescent="0.3">
      <c r="F27209" s="193"/>
    </row>
    <row r="27210" spans="6:6" x14ac:dyDescent="0.3">
      <c r="F27210" s="193"/>
    </row>
    <row r="27211" spans="6:6" x14ac:dyDescent="0.3">
      <c r="F27211" s="193"/>
    </row>
    <row r="27212" spans="6:6" x14ac:dyDescent="0.3">
      <c r="F27212" s="193"/>
    </row>
    <row r="27213" spans="6:6" x14ac:dyDescent="0.3">
      <c r="F27213" s="193"/>
    </row>
    <row r="27214" spans="6:6" x14ac:dyDescent="0.3">
      <c r="F27214" s="193"/>
    </row>
    <row r="27215" spans="6:6" x14ac:dyDescent="0.3">
      <c r="F27215" s="193"/>
    </row>
    <row r="27216" spans="6:6" x14ac:dyDescent="0.3">
      <c r="F27216" s="193"/>
    </row>
    <row r="27217" spans="6:6" x14ac:dyDescent="0.3">
      <c r="F27217" s="193"/>
    </row>
    <row r="27218" spans="6:6" x14ac:dyDescent="0.3">
      <c r="F27218" s="193"/>
    </row>
    <row r="27219" spans="6:6" x14ac:dyDescent="0.3">
      <c r="F27219" s="193"/>
    </row>
    <row r="27220" spans="6:6" x14ac:dyDescent="0.3">
      <c r="F27220" s="193"/>
    </row>
    <row r="27221" spans="6:6" x14ac:dyDescent="0.3">
      <c r="F27221" s="193"/>
    </row>
    <row r="27222" spans="6:6" x14ac:dyDescent="0.3">
      <c r="F27222" s="193"/>
    </row>
    <row r="27223" spans="6:6" x14ac:dyDescent="0.3">
      <c r="F27223" s="193"/>
    </row>
    <row r="27224" spans="6:6" x14ac:dyDescent="0.3">
      <c r="F27224" s="193"/>
    </row>
    <row r="27225" spans="6:6" x14ac:dyDescent="0.3">
      <c r="F27225" s="193"/>
    </row>
    <row r="27226" spans="6:6" x14ac:dyDescent="0.3">
      <c r="F27226" s="193"/>
    </row>
    <row r="27227" spans="6:6" x14ac:dyDescent="0.3">
      <c r="F27227" s="193"/>
    </row>
    <row r="27228" spans="6:6" x14ac:dyDescent="0.3">
      <c r="F27228" s="193"/>
    </row>
    <row r="27229" spans="6:6" x14ac:dyDescent="0.3">
      <c r="F27229" s="193"/>
    </row>
    <row r="27230" spans="6:6" x14ac:dyDescent="0.3">
      <c r="F27230" s="193"/>
    </row>
    <row r="27231" spans="6:6" x14ac:dyDescent="0.3">
      <c r="F27231" s="193"/>
    </row>
    <row r="27232" spans="6:6" x14ac:dyDescent="0.3">
      <c r="F27232" s="193"/>
    </row>
    <row r="27233" spans="6:6" x14ac:dyDescent="0.3">
      <c r="F27233" s="193"/>
    </row>
    <row r="27234" spans="6:6" x14ac:dyDescent="0.3">
      <c r="F27234" s="193"/>
    </row>
    <row r="27235" spans="6:6" x14ac:dyDescent="0.3">
      <c r="F27235" s="193"/>
    </row>
    <row r="27236" spans="6:6" x14ac:dyDescent="0.3">
      <c r="F27236" s="193"/>
    </row>
    <row r="27237" spans="6:6" x14ac:dyDescent="0.3">
      <c r="F27237" s="193"/>
    </row>
    <row r="27238" spans="6:6" x14ac:dyDescent="0.3">
      <c r="F27238" s="193"/>
    </row>
    <row r="27239" spans="6:6" x14ac:dyDescent="0.3">
      <c r="F27239" s="193"/>
    </row>
    <row r="27240" spans="6:6" x14ac:dyDescent="0.3">
      <c r="F27240" s="193"/>
    </row>
    <row r="27241" spans="6:6" x14ac:dyDescent="0.3">
      <c r="F27241" s="193"/>
    </row>
    <row r="27242" spans="6:6" x14ac:dyDescent="0.3">
      <c r="F27242" s="193"/>
    </row>
    <row r="27243" spans="6:6" x14ac:dyDescent="0.3">
      <c r="F27243" s="193"/>
    </row>
    <row r="27244" spans="6:6" x14ac:dyDescent="0.3">
      <c r="F27244" s="193"/>
    </row>
    <row r="27245" spans="6:6" x14ac:dyDescent="0.3">
      <c r="F27245" s="193"/>
    </row>
    <row r="27246" spans="6:6" x14ac:dyDescent="0.3">
      <c r="F27246" s="193"/>
    </row>
    <row r="27247" spans="6:6" x14ac:dyDescent="0.3">
      <c r="F27247" s="193"/>
    </row>
    <row r="27248" spans="6:6" x14ac:dyDescent="0.3">
      <c r="F27248" s="193"/>
    </row>
    <row r="27249" spans="6:6" x14ac:dyDescent="0.3">
      <c r="F27249" s="193"/>
    </row>
    <row r="27250" spans="6:6" x14ac:dyDescent="0.3">
      <c r="F27250" s="193"/>
    </row>
    <row r="27251" spans="6:6" x14ac:dyDescent="0.3">
      <c r="F27251" s="193"/>
    </row>
    <row r="27252" spans="6:6" x14ac:dyDescent="0.3">
      <c r="F27252" s="193"/>
    </row>
    <row r="27253" spans="6:6" x14ac:dyDescent="0.3">
      <c r="F27253" s="193"/>
    </row>
    <row r="27254" spans="6:6" x14ac:dyDescent="0.3">
      <c r="F27254" s="193"/>
    </row>
    <row r="27255" spans="6:6" x14ac:dyDescent="0.3">
      <c r="F27255" s="193"/>
    </row>
    <row r="27256" spans="6:6" x14ac:dyDescent="0.3">
      <c r="F27256" s="193"/>
    </row>
    <row r="27257" spans="6:6" x14ac:dyDescent="0.3">
      <c r="F27257" s="193"/>
    </row>
    <row r="27258" spans="6:6" x14ac:dyDescent="0.3">
      <c r="F27258" s="193"/>
    </row>
    <row r="27259" spans="6:6" x14ac:dyDescent="0.3">
      <c r="F27259" s="193"/>
    </row>
    <row r="27260" spans="6:6" x14ac:dyDescent="0.3">
      <c r="F27260" s="193"/>
    </row>
    <row r="27261" spans="6:6" x14ac:dyDescent="0.3">
      <c r="F27261" s="193"/>
    </row>
    <row r="27262" spans="6:6" x14ac:dyDescent="0.3">
      <c r="F27262" s="193"/>
    </row>
    <row r="27263" spans="6:6" x14ac:dyDescent="0.3">
      <c r="F27263" s="193"/>
    </row>
    <row r="27264" spans="6:6" x14ac:dyDescent="0.3">
      <c r="F27264" s="193"/>
    </row>
    <row r="27265" spans="6:6" x14ac:dyDescent="0.3">
      <c r="F27265" s="193"/>
    </row>
    <row r="27266" spans="6:6" x14ac:dyDescent="0.3">
      <c r="F27266" s="193"/>
    </row>
    <row r="27267" spans="6:6" x14ac:dyDescent="0.3">
      <c r="F27267" s="193"/>
    </row>
    <row r="27268" spans="6:6" x14ac:dyDescent="0.3">
      <c r="F27268" s="193"/>
    </row>
    <row r="27269" spans="6:6" x14ac:dyDescent="0.3">
      <c r="F27269" s="193"/>
    </row>
    <row r="27270" spans="6:6" x14ac:dyDescent="0.3">
      <c r="F27270" s="193"/>
    </row>
    <row r="27271" spans="6:6" x14ac:dyDescent="0.3">
      <c r="F27271" s="193"/>
    </row>
    <row r="27272" spans="6:6" x14ac:dyDescent="0.3">
      <c r="F27272" s="193"/>
    </row>
    <row r="27273" spans="6:6" x14ac:dyDescent="0.3">
      <c r="F27273" s="193"/>
    </row>
    <row r="27274" spans="6:6" x14ac:dyDescent="0.3">
      <c r="F27274" s="193"/>
    </row>
    <row r="27275" spans="6:6" x14ac:dyDescent="0.3">
      <c r="F27275" s="193"/>
    </row>
    <row r="27276" spans="6:6" x14ac:dyDescent="0.3">
      <c r="F27276" s="193"/>
    </row>
    <row r="27277" spans="6:6" x14ac:dyDescent="0.3">
      <c r="F27277" s="193"/>
    </row>
    <row r="27278" spans="6:6" x14ac:dyDescent="0.3">
      <c r="F27278" s="193"/>
    </row>
    <row r="27279" spans="6:6" x14ac:dyDescent="0.3">
      <c r="F27279" s="193"/>
    </row>
    <row r="27280" spans="6:6" x14ac:dyDescent="0.3">
      <c r="F27280" s="193"/>
    </row>
    <row r="27281" spans="6:6" x14ac:dyDescent="0.3">
      <c r="F27281" s="193"/>
    </row>
    <row r="27282" spans="6:6" x14ac:dyDescent="0.3">
      <c r="F27282" s="193"/>
    </row>
    <row r="27283" spans="6:6" x14ac:dyDescent="0.3">
      <c r="F27283" s="193"/>
    </row>
    <row r="27284" spans="6:6" x14ac:dyDescent="0.3">
      <c r="F27284" s="193"/>
    </row>
    <row r="27285" spans="6:6" x14ac:dyDescent="0.3">
      <c r="F27285" s="193"/>
    </row>
    <row r="27286" spans="6:6" x14ac:dyDescent="0.3">
      <c r="F27286" s="193"/>
    </row>
    <row r="27287" spans="6:6" x14ac:dyDescent="0.3">
      <c r="F27287" s="193"/>
    </row>
    <row r="27288" spans="6:6" x14ac:dyDescent="0.3">
      <c r="F27288" s="193"/>
    </row>
    <row r="27289" spans="6:6" x14ac:dyDescent="0.3">
      <c r="F27289" s="193"/>
    </row>
    <row r="27290" spans="6:6" x14ac:dyDescent="0.3">
      <c r="F27290" s="193"/>
    </row>
    <row r="27291" spans="6:6" x14ac:dyDescent="0.3">
      <c r="F27291" s="193"/>
    </row>
    <row r="27292" spans="6:6" x14ac:dyDescent="0.3">
      <c r="F27292" s="193"/>
    </row>
    <row r="27293" spans="6:6" x14ac:dyDescent="0.3">
      <c r="F27293" s="193"/>
    </row>
    <row r="27294" spans="6:6" x14ac:dyDescent="0.3">
      <c r="F27294" s="193"/>
    </row>
    <row r="27295" spans="6:6" x14ac:dyDescent="0.3">
      <c r="F27295" s="193"/>
    </row>
    <row r="27296" spans="6:6" x14ac:dyDescent="0.3">
      <c r="F27296" s="193"/>
    </row>
    <row r="27297" spans="6:6" x14ac:dyDescent="0.3">
      <c r="F27297" s="193"/>
    </row>
    <row r="27298" spans="6:6" x14ac:dyDescent="0.3">
      <c r="F27298" s="193"/>
    </row>
    <row r="27299" spans="6:6" x14ac:dyDescent="0.3">
      <c r="F27299" s="193"/>
    </row>
    <row r="27300" spans="6:6" x14ac:dyDescent="0.3">
      <c r="F27300" s="193"/>
    </row>
    <row r="27301" spans="6:6" x14ac:dyDescent="0.3">
      <c r="F27301" s="193"/>
    </row>
    <row r="27302" spans="6:6" x14ac:dyDescent="0.3">
      <c r="F27302" s="193"/>
    </row>
    <row r="27303" spans="6:6" x14ac:dyDescent="0.3">
      <c r="F27303" s="193"/>
    </row>
    <row r="27304" spans="6:6" x14ac:dyDescent="0.3">
      <c r="F27304" s="193"/>
    </row>
    <row r="27305" spans="6:6" x14ac:dyDescent="0.3">
      <c r="F27305" s="193"/>
    </row>
    <row r="27306" spans="6:6" x14ac:dyDescent="0.3">
      <c r="F27306" s="193"/>
    </row>
    <row r="27307" spans="6:6" x14ac:dyDescent="0.3">
      <c r="F27307" s="193"/>
    </row>
    <row r="27308" spans="6:6" x14ac:dyDescent="0.3">
      <c r="F27308" s="193"/>
    </row>
    <row r="27309" spans="6:6" x14ac:dyDescent="0.3">
      <c r="F27309" s="193"/>
    </row>
    <row r="27310" spans="6:6" x14ac:dyDescent="0.3">
      <c r="F27310" s="193"/>
    </row>
    <row r="27311" spans="6:6" x14ac:dyDescent="0.3">
      <c r="F27311" s="193"/>
    </row>
    <row r="27312" spans="6:6" x14ac:dyDescent="0.3">
      <c r="F27312" s="193"/>
    </row>
    <row r="27313" spans="6:6" x14ac:dyDescent="0.3">
      <c r="F27313" s="193"/>
    </row>
    <row r="27314" spans="6:6" x14ac:dyDescent="0.3">
      <c r="F27314" s="193"/>
    </row>
    <row r="27315" spans="6:6" x14ac:dyDescent="0.3">
      <c r="F27315" s="193"/>
    </row>
    <row r="27316" spans="6:6" x14ac:dyDescent="0.3">
      <c r="F27316" s="193"/>
    </row>
    <row r="27317" spans="6:6" x14ac:dyDescent="0.3">
      <c r="F27317" s="193"/>
    </row>
    <row r="27318" spans="6:6" x14ac:dyDescent="0.3">
      <c r="F27318" s="193"/>
    </row>
    <row r="27319" spans="6:6" x14ac:dyDescent="0.3">
      <c r="F27319" s="193"/>
    </row>
    <row r="27320" spans="6:6" x14ac:dyDescent="0.3">
      <c r="F27320" s="193"/>
    </row>
    <row r="27321" spans="6:6" x14ac:dyDescent="0.3">
      <c r="F27321" s="193"/>
    </row>
    <row r="27322" spans="6:6" x14ac:dyDescent="0.3">
      <c r="F27322" s="193"/>
    </row>
    <row r="27323" spans="6:6" x14ac:dyDescent="0.3">
      <c r="F27323" s="193"/>
    </row>
    <row r="27324" spans="6:6" x14ac:dyDescent="0.3">
      <c r="F27324" s="193"/>
    </row>
    <row r="27325" spans="6:6" x14ac:dyDescent="0.3">
      <c r="F27325" s="193"/>
    </row>
    <row r="27326" spans="6:6" x14ac:dyDescent="0.3">
      <c r="F27326" s="193"/>
    </row>
    <row r="27327" spans="6:6" x14ac:dyDescent="0.3">
      <c r="F27327" s="193"/>
    </row>
    <row r="27328" spans="6:6" x14ac:dyDescent="0.3">
      <c r="F27328" s="193"/>
    </row>
    <row r="27329" spans="6:6" x14ac:dyDescent="0.3">
      <c r="F27329" s="193"/>
    </row>
    <row r="27330" spans="6:6" x14ac:dyDescent="0.3">
      <c r="F27330" s="193"/>
    </row>
    <row r="27331" spans="6:6" x14ac:dyDescent="0.3">
      <c r="F27331" s="193"/>
    </row>
    <row r="27332" spans="6:6" x14ac:dyDescent="0.3">
      <c r="F27332" s="193"/>
    </row>
    <row r="27333" spans="6:6" x14ac:dyDescent="0.3">
      <c r="F27333" s="193"/>
    </row>
    <row r="27334" spans="6:6" x14ac:dyDescent="0.3">
      <c r="F27334" s="193"/>
    </row>
    <row r="27335" spans="6:6" x14ac:dyDescent="0.3">
      <c r="F27335" s="193"/>
    </row>
    <row r="27336" spans="6:6" x14ac:dyDescent="0.3">
      <c r="F27336" s="193"/>
    </row>
    <row r="27337" spans="6:6" x14ac:dyDescent="0.3">
      <c r="F27337" s="193"/>
    </row>
    <row r="27338" spans="6:6" x14ac:dyDescent="0.3">
      <c r="F27338" s="193"/>
    </row>
    <row r="27339" spans="6:6" x14ac:dyDescent="0.3">
      <c r="F27339" s="193"/>
    </row>
    <row r="27340" spans="6:6" x14ac:dyDescent="0.3">
      <c r="F27340" s="193"/>
    </row>
    <row r="27341" spans="6:6" x14ac:dyDescent="0.3">
      <c r="F27341" s="193"/>
    </row>
    <row r="27342" spans="6:6" x14ac:dyDescent="0.3">
      <c r="F27342" s="193"/>
    </row>
    <row r="27343" spans="6:6" x14ac:dyDescent="0.3">
      <c r="F27343" s="193"/>
    </row>
    <row r="27344" spans="6:6" x14ac:dyDescent="0.3">
      <c r="F27344" s="193"/>
    </row>
    <row r="27345" spans="6:6" x14ac:dyDescent="0.3">
      <c r="F27345" s="193"/>
    </row>
    <row r="27346" spans="6:6" x14ac:dyDescent="0.3">
      <c r="F27346" s="193"/>
    </row>
    <row r="27347" spans="6:6" x14ac:dyDescent="0.3">
      <c r="F27347" s="193"/>
    </row>
    <row r="27348" spans="6:6" x14ac:dyDescent="0.3">
      <c r="F27348" s="193"/>
    </row>
    <row r="27349" spans="6:6" x14ac:dyDescent="0.3">
      <c r="F27349" s="193"/>
    </row>
    <row r="27350" spans="6:6" x14ac:dyDescent="0.3">
      <c r="F27350" s="193"/>
    </row>
    <row r="27351" spans="6:6" x14ac:dyDescent="0.3">
      <c r="F27351" s="193"/>
    </row>
    <row r="27352" spans="6:6" x14ac:dyDescent="0.3">
      <c r="F27352" s="193"/>
    </row>
    <row r="27353" spans="6:6" x14ac:dyDescent="0.3">
      <c r="F27353" s="193"/>
    </row>
    <row r="27354" spans="6:6" x14ac:dyDescent="0.3">
      <c r="F27354" s="193"/>
    </row>
    <row r="27355" spans="6:6" x14ac:dyDescent="0.3">
      <c r="F27355" s="193"/>
    </row>
    <row r="27356" spans="6:6" x14ac:dyDescent="0.3">
      <c r="F27356" s="193"/>
    </row>
    <row r="27357" spans="6:6" x14ac:dyDescent="0.3">
      <c r="F27357" s="193"/>
    </row>
    <row r="27358" spans="6:6" x14ac:dyDescent="0.3">
      <c r="F27358" s="193"/>
    </row>
    <row r="27359" spans="6:6" x14ac:dyDescent="0.3">
      <c r="F27359" s="193"/>
    </row>
    <row r="27360" spans="6:6" x14ac:dyDescent="0.3">
      <c r="F27360" s="193"/>
    </row>
    <row r="27361" spans="6:6" x14ac:dyDescent="0.3">
      <c r="F27361" s="193"/>
    </row>
    <row r="27362" spans="6:6" x14ac:dyDescent="0.3">
      <c r="F27362" s="193"/>
    </row>
    <row r="27363" spans="6:6" x14ac:dyDescent="0.3">
      <c r="F27363" s="193"/>
    </row>
    <row r="27364" spans="6:6" x14ac:dyDescent="0.3">
      <c r="F27364" s="193"/>
    </row>
    <row r="27365" spans="6:6" x14ac:dyDescent="0.3">
      <c r="F27365" s="193"/>
    </row>
    <row r="27366" spans="6:6" x14ac:dyDescent="0.3">
      <c r="F27366" s="193"/>
    </row>
    <row r="27367" spans="6:6" x14ac:dyDescent="0.3">
      <c r="F27367" s="193"/>
    </row>
    <row r="27368" spans="6:6" x14ac:dyDescent="0.3">
      <c r="F27368" s="193"/>
    </row>
    <row r="27369" spans="6:6" x14ac:dyDescent="0.3">
      <c r="F27369" s="193"/>
    </row>
    <row r="27370" spans="6:6" x14ac:dyDescent="0.3">
      <c r="F27370" s="193"/>
    </row>
    <row r="27371" spans="6:6" x14ac:dyDescent="0.3">
      <c r="F27371" s="193"/>
    </row>
    <row r="27372" spans="6:6" x14ac:dyDescent="0.3">
      <c r="F27372" s="193"/>
    </row>
    <row r="27373" spans="6:6" x14ac:dyDescent="0.3">
      <c r="F27373" s="193"/>
    </row>
    <row r="27374" spans="6:6" x14ac:dyDescent="0.3">
      <c r="F27374" s="193"/>
    </row>
    <row r="27375" spans="6:6" x14ac:dyDescent="0.3">
      <c r="F27375" s="193"/>
    </row>
    <row r="27376" spans="6:6" x14ac:dyDescent="0.3">
      <c r="F27376" s="193"/>
    </row>
    <row r="27377" spans="6:6" x14ac:dyDescent="0.3">
      <c r="F27377" s="193"/>
    </row>
    <row r="27378" spans="6:6" x14ac:dyDescent="0.3">
      <c r="F27378" s="193"/>
    </row>
    <row r="27379" spans="6:6" x14ac:dyDescent="0.3">
      <c r="F27379" s="193"/>
    </row>
    <row r="27380" spans="6:6" x14ac:dyDescent="0.3">
      <c r="F27380" s="193"/>
    </row>
    <row r="27381" spans="6:6" x14ac:dyDescent="0.3">
      <c r="F27381" s="193"/>
    </row>
    <row r="27382" spans="6:6" x14ac:dyDescent="0.3">
      <c r="F27382" s="193"/>
    </row>
    <row r="27383" spans="6:6" x14ac:dyDescent="0.3">
      <c r="F27383" s="193"/>
    </row>
    <row r="27384" spans="6:6" x14ac:dyDescent="0.3">
      <c r="F27384" s="193"/>
    </row>
    <row r="27385" spans="6:6" x14ac:dyDescent="0.3">
      <c r="F27385" s="193"/>
    </row>
    <row r="27386" spans="6:6" x14ac:dyDescent="0.3">
      <c r="F27386" s="193"/>
    </row>
    <row r="27387" spans="6:6" x14ac:dyDescent="0.3">
      <c r="F27387" s="193"/>
    </row>
    <row r="27388" spans="6:6" x14ac:dyDescent="0.3">
      <c r="F27388" s="193"/>
    </row>
    <row r="27389" spans="6:6" x14ac:dyDescent="0.3">
      <c r="F27389" s="193"/>
    </row>
    <row r="27390" spans="6:6" x14ac:dyDescent="0.3">
      <c r="F27390" s="193"/>
    </row>
    <row r="27391" spans="6:6" x14ac:dyDescent="0.3">
      <c r="F27391" s="193"/>
    </row>
    <row r="27392" spans="6:6" x14ac:dyDescent="0.3">
      <c r="F27392" s="193"/>
    </row>
    <row r="27393" spans="6:6" x14ac:dyDescent="0.3">
      <c r="F27393" s="193"/>
    </row>
    <row r="27394" spans="6:6" x14ac:dyDescent="0.3">
      <c r="F27394" s="193"/>
    </row>
    <row r="27395" spans="6:6" x14ac:dyDescent="0.3">
      <c r="F27395" s="193"/>
    </row>
    <row r="27396" spans="6:6" x14ac:dyDescent="0.3">
      <c r="F27396" s="193"/>
    </row>
    <row r="27397" spans="6:6" x14ac:dyDescent="0.3">
      <c r="F27397" s="193"/>
    </row>
    <row r="27398" spans="6:6" x14ac:dyDescent="0.3">
      <c r="F27398" s="193"/>
    </row>
    <row r="27399" spans="6:6" x14ac:dyDescent="0.3">
      <c r="F27399" s="193"/>
    </row>
    <row r="27400" spans="6:6" x14ac:dyDescent="0.3">
      <c r="F27400" s="193"/>
    </row>
    <row r="27401" spans="6:6" x14ac:dyDescent="0.3">
      <c r="F27401" s="193"/>
    </row>
    <row r="27402" spans="6:6" x14ac:dyDescent="0.3">
      <c r="F27402" s="193"/>
    </row>
    <row r="27403" spans="6:6" x14ac:dyDescent="0.3">
      <c r="F27403" s="193"/>
    </row>
    <row r="27404" spans="6:6" x14ac:dyDescent="0.3">
      <c r="F27404" s="193"/>
    </row>
    <row r="27405" spans="6:6" x14ac:dyDescent="0.3">
      <c r="F27405" s="193"/>
    </row>
    <row r="27406" spans="6:6" x14ac:dyDescent="0.3">
      <c r="F27406" s="193"/>
    </row>
    <row r="27407" spans="6:6" x14ac:dyDescent="0.3">
      <c r="F27407" s="193"/>
    </row>
    <row r="27408" spans="6:6" x14ac:dyDescent="0.3">
      <c r="F27408" s="193"/>
    </row>
    <row r="27409" spans="6:6" x14ac:dyDescent="0.3">
      <c r="F27409" s="193"/>
    </row>
    <row r="27410" spans="6:6" x14ac:dyDescent="0.3">
      <c r="F27410" s="193"/>
    </row>
    <row r="27411" spans="6:6" x14ac:dyDescent="0.3">
      <c r="F27411" s="193"/>
    </row>
    <row r="27412" spans="6:6" x14ac:dyDescent="0.3">
      <c r="F27412" s="193"/>
    </row>
    <row r="27413" spans="6:6" x14ac:dyDescent="0.3">
      <c r="F27413" s="193"/>
    </row>
    <row r="27414" spans="6:6" x14ac:dyDescent="0.3">
      <c r="F27414" s="193"/>
    </row>
    <row r="27415" spans="6:6" x14ac:dyDescent="0.3">
      <c r="F27415" s="193"/>
    </row>
    <row r="27416" spans="6:6" x14ac:dyDescent="0.3">
      <c r="F27416" s="193"/>
    </row>
    <row r="27417" spans="6:6" x14ac:dyDescent="0.3">
      <c r="F27417" s="193"/>
    </row>
    <row r="27418" spans="6:6" x14ac:dyDescent="0.3">
      <c r="F27418" s="193"/>
    </row>
    <row r="27419" spans="6:6" x14ac:dyDescent="0.3">
      <c r="F27419" s="193"/>
    </row>
    <row r="27420" spans="6:6" x14ac:dyDescent="0.3">
      <c r="F27420" s="193"/>
    </row>
    <row r="27421" spans="6:6" x14ac:dyDescent="0.3">
      <c r="F27421" s="193"/>
    </row>
    <row r="27422" spans="6:6" x14ac:dyDescent="0.3">
      <c r="F27422" s="193"/>
    </row>
    <row r="27423" spans="6:6" x14ac:dyDescent="0.3">
      <c r="F27423" s="193"/>
    </row>
    <row r="27424" spans="6:6" x14ac:dyDescent="0.3">
      <c r="F27424" s="193"/>
    </row>
    <row r="27425" spans="6:6" x14ac:dyDescent="0.3">
      <c r="F27425" s="193"/>
    </row>
    <row r="27426" spans="6:6" x14ac:dyDescent="0.3">
      <c r="F27426" s="193"/>
    </row>
    <row r="27427" spans="6:6" x14ac:dyDescent="0.3">
      <c r="F27427" s="193"/>
    </row>
    <row r="27428" spans="6:6" x14ac:dyDescent="0.3">
      <c r="F27428" s="193"/>
    </row>
    <row r="27429" spans="6:6" x14ac:dyDescent="0.3">
      <c r="F27429" s="193"/>
    </row>
    <row r="27430" spans="6:6" x14ac:dyDescent="0.3">
      <c r="F27430" s="193"/>
    </row>
    <row r="27431" spans="6:6" x14ac:dyDescent="0.3">
      <c r="F27431" s="193"/>
    </row>
    <row r="27432" spans="6:6" x14ac:dyDescent="0.3">
      <c r="F27432" s="193"/>
    </row>
    <row r="27433" spans="6:6" x14ac:dyDescent="0.3">
      <c r="F27433" s="193"/>
    </row>
    <row r="27434" spans="6:6" x14ac:dyDescent="0.3">
      <c r="F27434" s="193"/>
    </row>
    <row r="27435" spans="6:6" x14ac:dyDescent="0.3">
      <c r="F27435" s="193"/>
    </row>
    <row r="27436" spans="6:6" x14ac:dyDescent="0.3">
      <c r="F27436" s="193"/>
    </row>
    <row r="27437" spans="6:6" x14ac:dyDescent="0.3">
      <c r="F27437" s="193"/>
    </row>
    <row r="27438" spans="6:6" x14ac:dyDescent="0.3">
      <c r="F27438" s="193"/>
    </row>
    <row r="27439" spans="6:6" x14ac:dyDescent="0.3">
      <c r="F27439" s="193"/>
    </row>
    <row r="27440" spans="6:6" x14ac:dyDescent="0.3">
      <c r="F27440" s="193"/>
    </row>
    <row r="27441" spans="6:6" x14ac:dyDescent="0.3">
      <c r="F27441" s="193"/>
    </row>
    <row r="27442" spans="6:6" x14ac:dyDescent="0.3">
      <c r="F27442" s="193"/>
    </row>
    <row r="27443" spans="6:6" x14ac:dyDescent="0.3">
      <c r="F27443" s="193"/>
    </row>
    <row r="27444" spans="6:6" x14ac:dyDescent="0.3">
      <c r="F27444" s="193"/>
    </row>
    <row r="27445" spans="6:6" x14ac:dyDescent="0.3">
      <c r="F27445" s="193"/>
    </row>
    <row r="27446" spans="6:6" x14ac:dyDescent="0.3">
      <c r="F27446" s="193"/>
    </row>
    <row r="27447" spans="6:6" x14ac:dyDescent="0.3">
      <c r="F27447" s="193"/>
    </row>
    <row r="27448" spans="6:6" x14ac:dyDescent="0.3">
      <c r="F27448" s="193"/>
    </row>
    <row r="27449" spans="6:6" x14ac:dyDescent="0.3">
      <c r="F27449" s="193"/>
    </row>
    <row r="27450" spans="6:6" x14ac:dyDescent="0.3">
      <c r="F27450" s="193"/>
    </row>
    <row r="27451" spans="6:6" x14ac:dyDescent="0.3">
      <c r="F27451" s="193"/>
    </row>
    <row r="27452" spans="6:6" x14ac:dyDescent="0.3">
      <c r="F27452" s="193"/>
    </row>
    <row r="27453" spans="6:6" x14ac:dyDescent="0.3">
      <c r="F27453" s="193"/>
    </row>
    <row r="27454" spans="6:6" x14ac:dyDescent="0.3">
      <c r="F27454" s="193"/>
    </row>
    <row r="27455" spans="6:6" x14ac:dyDescent="0.3">
      <c r="F27455" s="193"/>
    </row>
    <row r="27456" spans="6:6" x14ac:dyDescent="0.3">
      <c r="F27456" s="193"/>
    </row>
    <row r="27457" spans="6:6" x14ac:dyDescent="0.3">
      <c r="F27457" s="193"/>
    </row>
    <row r="27458" spans="6:6" x14ac:dyDescent="0.3">
      <c r="F27458" s="193"/>
    </row>
    <row r="27459" spans="6:6" x14ac:dyDescent="0.3">
      <c r="F27459" s="193"/>
    </row>
    <row r="27460" spans="6:6" x14ac:dyDescent="0.3">
      <c r="F27460" s="193"/>
    </row>
    <row r="27461" spans="6:6" x14ac:dyDescent="0.3">
      <c r="F27461" s="193"/>
    </row>
    <row r="27462" spans="6:6" x14ac:dyDescent="0.3">
      <c r="F27462" s="193"/>
    </row>
    <row r="27463" spans="6:6" x14ac:dyDescent="0.3">
      <c r="F27463" s="193"/>
    </row>
    <row r="27464" spans="6:6" x14ac:dyDescent="0.3">
      <c r="F27464" s="193"/>
    </row>
    <row r="27465" spans="6:6" x14ac:dyDescent="0.3">
      <c r="F27465" s="193"/>
    </row>
    <row r="27466" spans="6:6" x14ac:dyDescent="0.3">
      <c r="F27466" s="193"/>
    </row>
    <row r="27467" spans="6:6" x14ac:dyDescent="0.3">
      <c r="F27467" s="193"/>
    </row>
    <row r="27468" spans="6:6" x14ac:dyDescent="0.3">
      <c r="F27468" s="193"/>
    </row>
    <row r="27469" spans="6:6" x14ac:dyDescent="0.3">
      <c r="F27469" s="193"/>
    </row>
    <row r="27470" spans="6:6" x14ac:dyDescent="0.3">
      <c r="F27470" s="193"/>
    </row>
    <row r="27471" spans="6:6" x14ac:dyDescent="0.3">
      <c r="F27471" s="193"/>
    </row>
    <row r="27472" spans="6:6" x14ac:dyDescent="0.3">
      <c r="F27472" s="193"/>
    </row>
    <row r="27473" spans="6:6" x14ac:dyDescent="0.3">
      <c r="F27473" s="193"/>
    </row>
    <row r="27474" spans="6:6" x14ac:dyDescent="0.3">
      <c r="F27474" s="193"/>
    </row>
    <row r="27475" spans="6:6" x14ac:dyDescent="0.3">
      <c r="F27475" s="193"/>
    </row>
    <row r="27476" spans="6:6" x14ac:dyDescent="0.3">
      <c r="F27476" s="193"/>
    </row>
    <row r="27477" spans="6:6" x14ac:dyDescent="0.3">
      <c r="F27477" s="193"/>
    </row>
    <row r="27478" spans="6:6" x14ac:dyDescent="0.3">
      <c r="F27478" s="193"/>
    </row>
    <row r="27479" spans="6:6" x14ac:dyDescent="0.3">
      <c r="F27479" s="193"/>
    </row>
    <row r="27480" spans="6:6" x14ac:dyDescent="0.3">
      <c r="F27480" s="193"/>
    </row>
    <row r="27481" spans="6:6" x14ac:dyDescent="0.3">
      <c r="F27481" s="193"/>
    </row>
    <row r="27482" spans="6:6" x14ac:dyDescent="0.3">
      <c r="F27482" s="193"/>
    </row>
    <row r="27483" spans="6:6" x14ac:dyDescent="0.3">
      <c r="F27483" s="193"/>
    </row>
    <row r="27484" spans="6:6" x14ac:dyDescent="0.3">
      <c r="F27484" s="193"/>
    </row>
    <row r="27485" spans="6:6" x14ac:dyDescent="0.3">
      <c r="F27485" s="193"/>
    </row>
    <row r="27486" spans="6:6" x14ac:dyDescent="0.3">
      <c r="F27486" s="193"/>
    </row>
    <row r="27487" spans="6:6" x14ac:dyDescent="0.3">
      <c r="F27487" s="193"/>
    </row>
    <row r="27488" spans="6:6" x14ac:dyDescent="0.3">
      <c r="F27488" s="193"/>
    </row>
    <row r="27489" spans="6:6" x14ac:dyDescent="0.3">
      <c r="F27489" s="193"/>
    </row>
    <row r="27490" spans="6:6" x14ac:dyDescent="0.3">
      <c r="F27490" s="193"/>
    </row>
    <row r="27491" spans="6:6" x14ac:dyDescent="0.3">
      <c r="F27491" s="193"/>
    </row>
    <row r="27492" spans="6:6" x14ac:dyDescent="0.3">
      <c r="F27492" s="193"/>
    </row>
    <row r="27493" spans="6:6" x14ac:dyDescent="0.3">
      <c r="F27493" s="193"/>
    </row>
    <row r="27494" spans="6:6" x14ac:dyDescent="0.3">
      <c r="F27494" s="193"/>
    </row>
    <row r="27495" spans="6:6" x14ac:dyDescent="0.3">
      <c r="F27495" s="193"/>
    </row>
    <row r="27496" spans="6:6" x14ac:dyDescent="0.3">
      <c r="F27496" s="193"/>
    </row>
    <row r="27497" spans="6:6" x14ac:dyDescent="0.3">
      <c r="F27497" s="193"/>
    </row>
    <row r="27498" spans="6:6" x14ac:dyDescent="0.3">
      <c r="F27498" s="193"/>
    </row>
    <row r="27499" spans="6:6" x14ac:dyDescent="0.3">
      <c r="F27499" s="193"/>
    </row>
    <row r="27500" spans="6:6" x14ac:dyDescent="0.3">
      <c r="F27500" s="193"/>
    </row>
    <row r="27501" spans="6:6" x14ac:dyDescent="0.3">
      <c r="F27501" s="193"/>
    </row>
    <row r="27502" spans="6:6" x14ac:dyDescent="0.3">
      <c r="F27502" s="193"/>
    </row>
    <row r="27503" spans="6:6" x14ac:dyDescent="0.3">
      <c r="F27503" s="193"/>
    </row>
    <row r="27504" spans="6:6" x14ac:dyDescent="0.3">
      <c r="F27504" s="193"/>
    </row>
    <row r="27505" spans="6:6" x14ac:dyDescent="0.3">
      <c r="F27505" s="193"/>
    </row>
    <row r="27506" spans="6:6" x14ac:dyDescent="0.3">
      <c r="F27506" s="193"/>
    </row>
    <row r="27507" spans="6:6" x14ac:dyDescent="0.3">
      <c r="F27507" s="193"/>
    </row>
    <row r="27508" spans="6:6" x14ac:dyDescent="0.3">
      <c r="F27508" s="193"/>
    </row>
    <row r="27509" spans="6:6" x14ac:dyDescent="0.3">
      <c r="F27509" s="193"/>
    </row>
    <row r="27510" spans="6:6" x14ac:dyDescent="0.3">
      <c r="F27510" s="193"/>
    </row>
    <row r="27511" spans="6:6" x14ac:dyDescent="0.3">
      <c r="F27511" s="193"/>
    </row>
    <row r="27512" spans="6:6" x14ac:dyDescent="0.3">
      <c r="F27512" s="193"/>
    </row>
    <row r="27513" spans="6:6" x14ac:dyDescent="0.3">
      <c r="F27513" s="193"/>
    </row>
    <row r="27514" spans="6:6" x14ac:dyDescent="0.3">
      <c r="F27514" s="193"/>
    </row>
    <row r="27515" spans="6:6" x14ac:dyDescent="0.3">
      <c r="F27515" s="193"/>
    </row>
    <row r="27516" spans="6:6" x14ac:dyDescent="0.3">
      <c r="F27516" s="193"/>
    </row>
    <row r="27517" spans="6:6" x14ac:dyDescent="0.3">
      <c r="F27517" s="193"/>
    </row>
    <row r="27518" spans="6:6" x14ac:dyDescent="0.3">
      <c r="F27518" s="193"/>
    </row>
    <row r="27519" spans="6:6" x14ac:dyDescent="0.3">
      <c r="F27519" s="193"/>
    </row>
    <row r="27520" spans="6:6" x14ac:dyDescent="0.3">
      <c r="F27520" s="193"/>
    </row>
    <row r="27521" spans="6:6" x14ac:dyDescent="0.3">
      <c r="F27521" s="193"/>
    </row>
    <row r="27522" spans="6:6" x14ac:dyDescent="0.3">
      <c r="F27522" s="193"/>
    </row>
    <row r="27523" spans="6:6" x14ac:dyDescent="0.3">
      <c r="F27523" s="193"/>
    </row>
    <row r="27524" spans="6:6" x14ac:dyDescent="0.3">
      <c r="F27524" s="193"/>
    </row>
    <row r="27525" spans="6:6" x14ac:dyDescent="0.3">
      <c r="F27525" s="193"/>
    </row>
    <row r="27526" spans="6:6" x14ac:dyDescent="0.3">
      <c r="F27526" s="193"/>
    </row>
    <row r="27527" spans="6:6" x14ac:dyDescent="0.3">
      <c r="F27527" s="193"/>
    </row>
    <row r="27528" spans="6:6" x14ac:dyDescent="0.3">
      <c r="F27528" s="193"/>
    </row>
    <row r="27529" spans="6:6" x14ac:dyDescent="0.3">
      <c r="F27529" s="193"/>
    </row>
    <row r="27530" spans="6:6" x14ac:dyDescent="0.3">
      <c r="F27530" s="193"/>
    </row>
    <row r="27531" spans="6:6" x14ac:dyDescent="0.3">
      <c r="F27531" s="193"/>
    </row>
    <row r="27532" spans="6:6" x14ac:dyDescent="0.3">
      <c r="F27532" s="193"/>
    </row>
    <row r="27533" spans="6:6" x14ac:dyDescent="0.3">
      <c r="F27533" s="193"/>
    </row>
    <row r="27534" spans="6:6" x14ac:dyDescent="0.3">
      <c r="F27534" s="193"/>
    </row>
    <row r="27535" spans="6:6" x14ac:dyDescent="0.3">
      <c r="F27535" s="193"/>
    </row>
    <row r="27536" spans="6:6" x14ac:dyDescent="0.3">
      <c r="F27536" s="193"/>
    </row>
    <row r="27537" spans="6:6" x14ac:dyDescent="0.3">
      <c r="F27537" s="193"/>
    </row>
    <row r="27538" spans="6:6" x14ac:dyDescent="0.3">
      <c r="F27538" s="193"/>
    </row>
    <row r="27539" spans="6:6" x14ac:dyDescent="0.3">
      <c r="F27539" s="193"/>
    </row>
    <row r="27540" spans="6:6" x14ac:dyDescent="0.3">
      <c r="F27540" s="193"/>
    </row>
    <row r="27541" spans="6:6" x14ac:dyDescent="0.3">
      <c r="F27541" s="193"/>
    </row>
    <row r="27542" spans="6:6" x14ac:dyDescent="0.3">
      <c r="F27542" s="193"/>
    </row>
    <row r="27543" spans="6:6" x14ac:dyDescent="0.3">
      <c r="F27543" s="193"/>
    </row>
    <row r="27544" spans="6:6" x14ac:dyDescent="0.3">
      <c r="F27544" s="193"/>
    </row>
    <row r="27545" spans="6:6" x14ac:dyDescent="0.3">
      <c r="F27545" s="193"/>
    </row>
    <row r="27546" spans="6:6" x14ac:dyDescent="0.3">
      <c r="F27546" s="193"/>
    </row>
    <row r="27547" spans="6:6" x14ac:dyDescent="0.3">
      <c r="F27547" s="193"/>
    </row>
    <row r="27548" spans="6:6" x14ac:dyDescent="0.3">
      <c r="F27548" s="193"/>
    </row>
    <row r="27549" spans="6:6" x14ac:dyDescent="0.3">
      <c r="F27549" s="193"/>
    </row>
    <row r="27550" spans="6:6" x14ac:dyDescent="0.3">
      <c r="F27550" s="193"/>
    </row>
    <row r="27551" spans="6:6" x14ac:dyDescent="0.3">
      <c r="F27551" s="193"/>
    </row>
    <row r="27552" spans="6:6" x14ac:dyDescent="0.3">
      <c r="F27552" s="193"/>
    </row>
    <row r="27553" spans="6:6" x14ac:dyDescent="0.3">
      <c r="F27553" s="193"/>
    </row>
    <row r="27554" spans="6:6" x14ac:dyDescent="0.3">
      <c r="F27554" s="193"/>
    </row>
    <row r="27555" spans="6:6" x14ac:dyDescent="0.3">
      <c r="F27555" s="193"/>
    </row>
    <row r="27556" spans="6:6" x14ac:dyDescent="0.3">
      <c r="F27556" s="193"/>
    </row>
    <row r="27557" spans="6:6" x14ac:dyDescent="0.3">
      <c r="F27557" s="193"/>
    </row>
    <row r="27558" spans="6:6" x14ac:dyDescent="0.3">
      <c r="F27558" s="193"/>
    </row>
    <row r="27559" spans="6:6" x14ac:dyDescent="0.3">
      <c r="F27559" s="193"/>
    </row>
    <row r="27560" spans="6:6" x14ac:dyDescent="0.3">
      <c r="F27560" s="193"/>
    </row>
    <row r="27561" spans="6:6" x14ac:dyDescent="0.3">
      <c r="F27561" s="193"/>
    </row>
    <row r="27562" spans="6:6" x14ac:dyDescent="0.3">
      <c r="F27562" s="193"/>
    </row>
    <row r="27563" spans="6:6" x14ac:dyDescent="0.3">
      <c r="F27563" s="193"/>
    </row>
    <row r="27564" spans="6:6" x14ac:dyDescent="0.3">
      <c r="F27564" s="193"/>
    </row>
    <row r="27565" spans="6:6" x14ac:dyDescent="0.3">
      <c r="F27565" s="193"/>
    </row>
    <row r="27566" spans="6:6" x14ac:dyDescent="0.3">
      <c r="F27566" s="193"/>
    </row>
    <row r="27567" spans="6:6" x14ac:dyDescent="0.3">
      <c r="F27567" s="193"/>
    </row>
    <row r="27568" spans="6:6" x14ac:dyDescent="0.3">
      <c r="F27568" s="193"/>
    </row>
    <row r="27569" spans="6:6" x14ac:dyDescent="0.3">
      <c r="F27569" s="193"/>
    </row>
    <row r="27570" spans="6:6" x14ac:dyDescent="0.3">
      <c r="F27570" s="193"/>
    </row>
    <row r="27571" spans="6:6" x14ac:dyDescent="0.3">
      <c r="F27571" s="193"/>
    </row>
    <row r="27572" spans="6:6" x14ac:dyDescent="0.3">
      <c r="F27572" s="193"/>
    </row>
    <row r="27573" spans="6:6" x14ac:dyDescent="0.3">
      <c r="F27573" s="193"/>
    </row>
    <row r="27574" spans="6:6" x14ac:dyDescent="0.3">
      <c r="F27574" s="193"/>
    </row>
    <row r="27575" spans="6:6" x14ac:dyDescent="0.3">
      <c r="F27575" s="193"/>
    </row>
    <row r="27576" spans="6:6" x14ac:dyDescent="0.3">
      <c r="F27576" s="193"/>
    </row>
    <row r="27577" spans="6:6" x14ac:dyDescent="0.3">
      <c r="F27577" s="193"/>
    </row>
    <row r="27578" spans="6:6" x14ac:dyDescent="0.3">
      <c r="F27578" s="193"/>
    </row>
    <row r="27579" spans="6:6" x14ac:dyDescent="0.3">
      <c r="F27579" s="193"/>
    </row>
    <row r="27580" spans="6:6" x14ac:dyDescent="0.3">
      <c r="F27580" s="193"/>
    </row>
    <row r="27581" spans="6:6" x14ac:dyDescent="0.3">
      <c r="F27581" s="193"/>
    </row>
    <row r="27582" spans="6:6" x14ac:dyDescent="0.3">
      <c r="F27582" s="193"/>
    </row>
    <row r="27583" spans="6:6" x14ac:dyDescent="0.3">
      <c r="F27583" s="193"/>
    </row>
    <row r="27584" spans="6:6" x14ac:dyDescent="0.3">
      <c r="F27584" s="193"/>
    </row>
    <row r="27585" spans="6:6" x14ac:dyDescent="0.3">
      <c r="F27585" s="193"/>
    </row>
    <row r="27586" spans="6:6" x14ac:dyDescent="0.3">
      <c r="F27586" s="193"/>
    </row>
    <row r="27587" spans="6:6" x14ac:dyDescent="0.3">
      <c r="F27587" s="193"/>
    </row>
    <row r="27588" spans="6:6" x14ac:dyDescent="0.3">
      <c r="F27588" s="193"/>
    </row>
    <row r="27589" spans="6:6" x14ac:dyDescent="0.3">
      <c r="F27589" s="193"/>
    </row>
    <row r="27590" spans="6:6" x14ac:dyDescent="0.3">
      <c r="F27590" s="193"/>
    </row>
    <row r="27591" spans="6:6" x14ac:dyDescent="0.3">
      <c r="F27591" s="193"/>
    </row>
    <row r="27592" spans="6:6" x14ac:dyDescent="0.3">
      <c r="F27592" s="193"/>
    </row>
    <row r="27593" spans="6:6" x14ac:dyDescent="0.3">
      <c r="F27593" s="193"/>
    </row>
    <row r="27594" spans="6:6" x14ac:dyDescent="0.3">
      <c r="F27594" s="193"/>
    </row>
    <row r="27595" spans="6:6" x14ac:dyDescent="0.3">
      <c r="F27595" s="193"/>
    </row>
    <row r="27596" spans="6:6" x14ac:dyDescent="0.3">
      <c r="F27596" s="193"/>
    </row>
    <row r="27597" spans="6:6" x14ac:dyDescent="0.3">
      <c r="F27597" s="193"/>
    </row>
    <row r="27598" spans="6:6" x14ac:dyDescent="0.3">
      <c r="F27598" s="193"/>
    </row>
    <row r="27599" spans="6:6" x14ac:dyDescent="0.3">
      <c r="F27599" s="193"/>
    </row>
    <row r="27600" spans="6:6" x14ac:dyDescent="0.3">
      <c r="F27600" s="193"/>
    </row>
    <row r="27601" spans="6:6" x14ac:dyDescent="0.3">
      <c r="F27601" s="193"/>
    </row>
    <row r="27602" spans="6:6" x14ac:dyDescent="0.3">
      <c r="F27602" s="193"/>
    </row>
    <row r="27603" spans="6:6" x14ac:dyDescent="0.3">
      <c r="F27603" s="193"/>
    </row>
    <row r="27604" spans="6:6" x14ac:dyDescent="0.3">
      <c r="F27604" s="193"/>
    </row>
    <row r="27605" spans="6:6" x14ac:dyDescent="0.3">
      <c r="F27605" s="193"/>
    </row>
    <row r="27606" spans="6:6" x14ac:dyDescent="0.3">
      <c r="F27606" s="193"/>
    </row>
    <row r="27607" spans="6:6" x14ac:dyDescent="0.3">
      <c r="F27607" s="193"/>
    </row>
    <row r="27608" spans="6:6" x14ac:dyDescent="0.3">
      <c r="F27608" s="193"/>
    </row>
    <row r="27609" spans="6:6" x14ac:dyDescent="0.3">
      <c r="F27609" s="193"/>
    </row>
    <row r="27610" spans="6:6" x14ac:dyDescent="0.3">
      <c r="F27610" s="193"/>
    </row>
    <row r="27611" spans="6:6" x14ac:dyDescent="0.3">
      <c r="F27611" s="193"/>
    </row>
    <row r="27612" spans="6:6" x14ac:dyDescent="0.3">
      <c r="F27612" s="193"/>
    </row>
    <row r="27613" spans="6:6" x14ac:dyDescent="0.3">
      <c r="F27613" s="193"/>
    </row>
    <row r="27614" spans="6:6" x14ac:dyDescent="0.3">
      <c r="F27614" s="193"/>
    </row>
    <row r="27615" spans="6:6" x14ac:dyDescent="0.3">
      <c r="F27615" s="193"/>
    </row>
    <row r="27616" spans="6:6" x14ac:dyDescent="0.3">
      <c r="F27616" s="193"/>
    </row>
    <row r="27617" spans="6:6" x14ac:dyDescent="0.3">
      <c r="F27617" s="193"/>
    </row>
    <row r="27618" spans="6:6" x14ac:dyDescent="0.3">
      <c r="F27618" s="193"/>
    </row>
    <row r="27619" spans="6:6" x14ac:dyDescent="0.3">
      <c r="F27619" s="193"/>
    </row>
    <row r="27620" spans="6:6" x14ac:dyDescent="0.3">
      <c r="F27620" s="193"/>
    </row>
    <row r="27621" spans="6:6" x14ac:dyDescent="0.3">
      <c r="F27621" s="193"/>
    </row>
    <row r="27622" spans="6:6" x14ac:dyDescent="0.3">
      <c r="F27622" s="193"/>
    </row>
    <row r="27623" spans="6:6" x14ac:dyDescent="0.3">
      <c r="F27623" s="193"/>
    </row>
    <row r="27624" spans="6:6" x14ac:dyDescent="0.3">
      <c r="F27624" s="193"/>
    </row>
    <row r="27625" spans="6:6" x14ac:dyDescent="0.3">
      <c r="F27625" s="193"/>
    </row>
    <row r="27626" spans="6:6" x14ac:dyDescent="0.3">
      <c r="F27626" s="193"/>
    </row>
    <row r="27627" spans="6:6" x14ac:dyDescent="0.3">
      <c r="F27627" s="193"/>
    </row>
    <row r="27628" spans="6:6" x14ac:dyDescent="0.3">
      <c r="F27628" s="193"/>
    </row>
    <row r="27629" spans="6:6" x14ac:dyDescent="0.3">
      <c r="F27629" s="193"/>
    </row>
    <row r="27630" spans="6:6" x14ac:dyDescent="0.3">
      <c r="F27630" s="193"/>
    </row>
    <row r="27631" spans="6:6" x14ac:dyDescent="0.3">
      <c r="F27631" s="193"/>
    </row>
    <row r="27632" spans="6:6" x14ac:dyDescent="0.3">
      <c r="F27632" s="193"/>
    </row>
    <row r="27633" spans="6:6" x14ac:dyDescent="0.3">
      <c r="F27633" s="193"/>
    </row>
    <row r="27634" spans="6:6" x14ac:dyDescent="0.3">
      <c r="F27634" s="193"/>
    </row>
    <row r="27635" spans="6:6" x14ac:dyDescent="0.3">
      <c r="F27635" s="193"/>
    </row>
    <row r="27636" spans="6:6" x14ac:dyDescent="0.3">
      <c r="F27636" s="193"/>
    </row>
    <row r="27637" spans="6:6" x14ac:dyDescent="0.3">
      <c r="F27637" s="193"/>
    </row>
    <row r="27638" spans="6:6" x14ac:dyDescent="0.3">
      <c r="F27638" s="193"/>
    </row>
    <row r="27639" spans="6:6" x14ac:dyDescent="0.3">
      <c r="F27639" s="193"/>
    </row>
    <row r="27640" spans="6:6" x14ac:dyDescent="0.3">
      <c r="F27640" s="193"/>
    </row>
    <row r="27641" spans="6:6" x14ac:dyDescent="0.3">
      <c r="F27641" s="193"/>
    </row>
    <row r="27642" spans="6:6" x14ac:dyDescent="0.3">
      <c r="F27642" s="193"/>
    </row>
    <row r="27643" spans="6:6" x14ac:dyDescent="0.3">
      <c r="F27643" s="193"/>
    </row>
    <row r="27644" spans="6:6" x14ac:dyDescent="0.3">
      <c r="F27644" s="193"/>
    </row>
    <row r="27645" spans="6:6" x14ac:dyDescent="0.3">
      <c r="F27645" s="193"/>
    </row>
    <row r="27646" spans="6:6" x14ac:dyDescent="0.3">
      <c r="F27646" s="193"/>
    </row>
    <row r="27647" spans="6:6" x14ac:dyDescent="0.3">
      <c r="F27647" s="193"/>
    </row>
    <row r="27648" spans="6:6" x14ac:dyDescent="0.3">
      <c r="F27648" s="193"/>
    </row>
    <row r="27649" spans="6:6" x14ac:dyDescent="0.3">
      <c r="F27649" s="193"/>
    </row>
    <row r="27650" spans="6:6" x14ac:dyDescent="0.3">
      <c r="F27650" s="193"/>
    </row>
    <row r="27651" spans="6:6" x14ac:dyDescent="0.3">
      <c r="F27651" s="193"/>
    </row>
    <row r="27652" spans="6:6" x14ac:dyDescent="0.3">
      <c r="F27652" s="193"/>
    </row>
    <row r="27653" spans="6:6" x14ac:dyDescent="0.3">
      <c r="F27653" s="193"/>
    </row>
    <row r="27654" spans="6:6" x14ac:dyDescent="0.3">
      <c r="F27654" s="193"/>
    </row>
    <row r="27655" spans="6:6" x14ac:dyDescent="0.3">
      <c r="F27655" s="193"/>
    </row>
    <row r="27656" spans="6:6" x14ac:dyDescent="0.3">
      <c r="F27656" s="193"/>
    </row>
    <row r="27657" spans="6:6" x14ac:dyDescent="0.3">
      <c r="F27657" s="193"/>
    </row>
    <row r="27658" spans="6:6" x14ac:dyDescent="0.3">
      <c r="F27658" s="193"/>
    </row>
    <row r="27659" spans="6:6" x14ac:dyDescent="0.3">
      <c r="F27659" s="193"/>
    </row>
    <row r="27660" spans="6:6" x14ac:dyDescent="0.3">
      <c r="F27660" s="193"/>
    </row>
    <row r="27661" spans="6:6" x14ac:dyDescent="0.3">
      <c r="F27661" s="193"/>
    </row>
    <row r="27662" spans="6:6" x14ac:dyDescent="0.3">
      <c r="F27662" s="193"/>
    </row>
    <row r="27663" spans="6:6" x14ac:dyDescent="0.3">
      <c r="F27663" s="193"/>
    </row>
    <row r="27664" spans="6:6" x14ac:dyDescent="0.3">
      <c r="F27664" s="193"/>
    </row>
    <row r="27665" spans="6:6" x14ac:dyDescent="0.3">
      <c r="F27665" s="193"/>
    </row>
    <row r="27666" spans="6:6" x14ac:dyDescent="0.3">
      <c r="F27666" s="193"/>
    </row>
    <row r="27667" spans="6:6" x14ac:dyDescent="0.3">
      <c r="F27667" s="193"/>
    </row>
    <row r="27668" spans="6:6" x14ac:dyDescent="0.3">
      <c r="F27668" s="193"/>
    </row>
    <row r="27669" spans="6:6" x14ac:dyDescent="0.3">
      <c r="F27669" s="193"/>
    </row>
    <row r="27670" spans="6:6" x14ac:dyDescent="0.3">
      <c r="F27670" s="193"/>
    </row>
    <row r="27671" spans="6:6" x14ac:dyDescent="0.3">
      <c r="F27671" s="193"/>
    </row>
    <row r="27672" spans="6:6" x14ac:dyDescent="0.3">
      <c r="F27672" s="193"/>
    </row>
    <row r="27673" spans="6:6" x14ac:dyDescent="0.3">
      <c r="F27673" s="193"/>
    </row>
    <row r="27674" spans="6:6" x14ac:dyDescent="0.3">
      <c r="F27674" s="193"/>
    </row>
    <row r="27675" spans="6:6" x14ac:dyDescent="0.3">
      <c r="F27675" s="193"/>
    </row>
    <row r="27676" spans="6:6" x14ac:dyDescent="0.3">
      <c r="F27676" s="193"/>
    </row>
    <row r="27677" spans="6:6" x14ac:dyDescent="0.3">
      <c r="F27677" s="193"/>
    </row>
    <row r="27678" spans="6:6" x14ac:dyDescent="0.3">
      <c r="F27678" s="193"/>
    </row>
    <row r="27679" spans="6:6" x14ac:dyDescent="0.3">
      <c r="F27679" s="193"/>
    </row>
    <row r="27680" spans="6:6" x14ac:dyDescent="0.3">
      <c r="F27680" s="193"/>
    </row>
    <row r="27681" spans="6:6" x14ac:dyDescent="0.3">
      <c r="F27681" s="193"/>
    </row>
    <row r="27682" spans="6:6" x14ac:dyDescent="0.3">
      <c r="F27682" s="193"/>
    </row>
    <row r="27683" spans="6:6" x14ac:dyDescent="0.3">
      <c r="F27683" s="193"/>
    </row>
    <row r="27684" spans="6:6" x14ac:dyDescent="0.3">
      <c r="F27684" s="193"/>
    </row>
    <row r="27685" spans="6:6" x14ac:dyDescent="0.3">
      <c r="F27685" s="193"/>
    </row>
    <row r="27686" spans="6:6" x14ac:dyDescent="0.3">
      <c r="F27686" s="193"/>
    </row>
    <row r="27687" spans="6:6" x14ac:dyDescent="0.3">
      <c r="F27687" s="193"/>
    </row>
    <row r="27688" spans="6:6" x14ac:dyDescent="0.3">
      <c r="F27688" s="193"/>
    </row>
    <row r="27689" spans="6:6" x14ac:dyDescent="0.3">
      <c r="F27689" s="193"/>
    </row>
    <row r="27690" spans="6:6" x14ac:dyDescent="0.3">
      <c r="F27690" s="193"/>
    </row>
    <row r="27691" spans="6:6" x14ac:dyDescent="0.3">
      <c r="F27691" s="193"/>
    </row>
    <row r="27692" spans="6:6" x14ac:dyDescent="0.3">
      <c r="F27692" s="193"/>
    </row>
    <row r="27693" spans="6:6" x14ac:dyDescent="0.3">
      <c r="F27693" s="193"/>
    </row>
    <row r="27694" spans="6:6" x14ac:dyDescent="0.3">
      <c r="F27694" s="193"/>
    </row>
    <row r="27695" spans="6:6" x14ac:dyDescent="0.3">
      <c r="F27695" s="193"/>
    </row>
    <row r="27696" spans="6:6" x14ac:dyDescent="0.3">
      <c r="F27696" s="193"/>
    </row>
    <row r="27697" spans="6:6" x14ac:dyDescent="0.3">
      <c r="F27697" s="193"/>
    </row>
    <row r="27698" spans="6:6" x14ac:dyDescent="0.3">
      <c r="F27698" s="193"/>
    </row>
    <row r="27699" spans="6:6" x14ac:dyDescent="0.3">
      <c r="F27699" s="193"/>
    </row>
    <row r="27700" spans="6:6" x14ac:dyDescent="0.3">
      <c r="F27700" s="193"/>
    </row>
    <row r="27701" spans="6:6" x14ac:dyDescent="0.3">
      <c r="F27701" s="193"/>
    </row>
    <row r="27702" spans="6:6" x14ac:dyDescent="0.3">
      <c r="F27702" s="193"/>
    </row>
    <row r="27703" spans="6:6" x14ac:dyDescent="0.3">
      <c r="F27703" s="193"/>
    </row>
    <row r="27704" spans="6:6" x14ac:dyDescent="0.3">
      <c r="F27704" s="193"/>
    </row>
    <row r="27705" spans="6:6" x14ac:dyDescent="0.3">
      <c r="F27705" s="193"/>
    </row>
    <row r="27706" spans="6:6" x14ac:dyDescent="0.3">
      <c r="F27706" s="193"/>
    </row>
    <row r="27707" spans="6:6" x14ac:dyDescent="0.3">
      <c r="F27707" s="193"/>
    </row>
    <row r="27708" spans="6:6" x14ac:dyDescent="0.3">
      <c r="F27708" s="193"/>
    </row>
    <row r="27709" spans="6:6" x14ac:dyDescent="0.3">
      <c r="F27709" s="193"/>
    </row>
    <row r="27710" spans="6:6" x14ac:dyDescent="0.3">
      <c r="F27710" s="193"/>
    </row>
    <row r="27711" spans="6:6" x14ac:dyDescent="0.3">
      <c r="F27711" s="193"/>
    </row>
    <row r="27712" spans="6:6" x14ac:dyDescent="0.3">
      <c r="F27712" s="193"/>
    </row>
    <row r="27713" spans="6:6" x14ac:dyDescent="0.3">
      <c r="F27713" s="193"/>
    </row>
    <row r="27714" spans="6:6" x14ac:dyDescent="0.3">
      <c r="F27714" s="193"/>
    </row>
    <row r="27715" spans="6:6" x14ac:dyDescent="0.3">
      <c r="F27715" s="193"/>
    </row>
    <row r="27716" spans="6:6" x14ac:dyDescent="0.3">
      <c r="F27716" s="193"/>
    </row>
    <row r="27717" spans="6:6" x14ac:dyDescent="0.3">
      <c r="F27717" s="193"/>
    </row>
    <row r="27718" spans="6:6" x14ac:dyDescent="0.3">
      <c r="F27718" s="193"/>
    </row>
    <row r="27719" spans="6:6" x14ac:dyDescent="0.3">
      <c r="F27719" s="193"/>
    </row>
    <row r="27720" spans="6:6" x14ac:dyDescent="0.3">
      <c r="F27720" s="193"/>
    </row>
    <row r="27721" spans="6:6" x14ac:dyDescent="0.3">
      <c r="F27721" s="193"/>
    </row>
    <row r="27722" spans="6:6" x14ac:dyDescent="0.3">
      <c r="F27722" s="193"/>
    </row>
    <row r="27723" spans="6:6" x14ac:dyDescent="0.3">
      <c r="F27723" s="193"/>
    </row>
    <row r="27724" spans="6:6" x14ac:dyDescent="0.3">
      <c r="F27724" s="193"/>
    </row>
    <row r="27725" spans="6:6" x14ac:dyDescent="0.3">
      <c r="F27725" s="193"/>
    </row>
    <row r="27726" spans="6:6" x14ac:dyDescent="0.3">
      <c r="F27726" s="193"/>
    </row>
    <row r="27727" spans="6:6" x14ac:dyDescent="0.3">
      <c r="F27727" s="193"/>
    </row>
    <row r="27728" spans="6:6" x14ac:dyDescent="0.3">
      <c r="F27728" s="193"/>
    </row>
    <row r="27729" spans="6:6" x14ac:dyDescent="0.3">
      <c r="F27729" s="193"/>
    </row>
    <row r="27730" spans="6:6" x14ac:dyDescent="0.3">
      <c r="F27730" s="193"/>
    </row>
    <row r="27731" spans="6:6" x14ac:dyDescent="0.3">
      <c r="F27731" s="193"/>
    </row>
    <row r="27732" spans="6:6" x14ac:dyDescent="0.3">
      <c r="F27732" s="193"/>
    </row>
    <row r="27733" spans="6:6" x14ac:dyDescent="0.3">
      <c r="F27733" s="193"/>
    </row>
    <row r="27734" spans="6:6" x14ac:dyDescent="0.3">
      <c r="F27734" s="193"/>
    </row>
    <row r="27735" spans="6:6" x14ac:dyDescent="0.3">
      <c r="F27735" s="193"/>
    </row>
    <row r="27736" spans="6:6" x14ac:dyDescent="0.3">
      <c r="F27736" s="193"/>
    </row>
    <row r="27737" spans="6:6" x14ac:dyDescent="0.3">
      <c r="F27737" s="193"/>
    </row>
    <row r="27738" spans="6:6" x14ac:dyDescent="0.3">
      <c r="F27738" s="193"/>
    </row>
    <row r="27739" spans="6:6" x14ac:dyDescent="0.3">
      <c r="F27739" s="193"/>
    </row>
    <row r="27740" spans="6:6" x14ac:dyDescent="0.3">
      <c r="F27740" s="193"/>
    </row>
    <row r="27741" spans="6:6" x14ac:dyDescent="0.3">
      <c r="F27741" s="193"/>
    </row>
    <row r="27742" spans="6:6" x14ac:dyDescent="0.3">
      <c r="F27742" s="193"/>
    </row>
    <row r="27743" spans="6:6" x14ac:dyDescent="0.3">
      <c r="F27743" s="193"/>
    </row>
    <row r="27744" spans="6:6" x14ac:dyDescent="0.3">
      <c r="F27744" s="193"/>
    </row>
    <row r="27745" spans="6:6" x14ac:dyDescent="0.3">
      <c r="F27745" s="193"/>
    </row>
    <row r="27746" spans="6:6" x14ac:dyDescent="0.3">
      <c r="F27746" s="193"/>
    </row>
    <row r="27747" spans="6:6" x14ac:dyDescent="0.3">
      <c r="F27747" s="193"/>
    </row>
    <row r="27748" spans="6:6" x14ac:dyDescent="0.3">
      <c r="F27748" s="193"/>
    </row>
    <row r="27749" spans="6:6" x14ac:dyDescent="0.3">
      <c r="F27749" s="193"/>
    </row>
    <row r="27750" spans="6:6" x14ac:dyDescent="0.3">
      <c r="F27750" s="193"/>
    </row>
    <row r="27751" spans="6:6" x14ac:dyDescent="0.3">
      <c r="F27751" s="193"/>
    </row>
    <row r="27752" spans="6:6" x14ac:dyDescent="0.3">
      <c r="F27752" s="193"/>
    </row>
    <row r="27753" spans="6:6" x14ac:dyDescent="0.3">
      <c r="F27753" s="193"/>
    </row>
    <row r="27754" spans="6:6" x14ac:dyDescent="0.3">
      <c r="F27754" s="193"/>
    </row>
    <row r="27755" spans="6:6" x14ac:dyDescent="0.3">
      <c r="F27755" s="193"/>
    </row>
    <row r="27756" spans="6:6" x14ac:dyDescent="0.3">
      <c r="F27756" s="193"/>
    </row>
    <row r="27757" spans="6:6" x14ac:dyDescent="0.3">
      <c r="F27757" s="193"/>
    </row>
    <row r="27758" spans="6:6" x14ac:dyDescent="0.3">
      <c r="F27758" s="193"/>
    </row>
    <row r="27759" spans="6:6" x14ac:dyDescent="0.3">
      <c r="F27759" s="193"/>
    </row>
    <row r="27760" spans="6:6" x14ac:dyDescent="0.3">
      <c r="F27760" s="193"/>
    </row>
    <row r="27761" spans="6:6" x14ac:dyDescent="0.3">
      <c r="F27761" s="193"/>
    </row>
    <row r="27762" spans="6:6" x14ac:dyDescent="0.3">
      <c r="F27762" s="193"/>
    </row>
    <row r="27763" spans="6:6" x14ac:dyDescent="0.3">
      <c r="F27763" s="193"/>
    </row>
    <row r="27764" spans="6:6" x14ac:dyDescent="0.3">
      <c r="F27764" s="193"/>
    </row>
    <row r="27765" spans="6:6" x14ac:dyDescent="0.3">
      <c r="F27765" s="193"/>
    </row>
    <row r="27766" spans="6:6" x14ac:dyDescent="0.3">
      <c r="F27766" s="193"/>
    </row>
    <row r="27767" spans="6:6" x14ac:dyDescent="0.3">
      <c r="F27767" s="193"/>
    </row>
    <row r="27768" spans="6:6" x14ac:dyDescent="0.3">
      <c r="F27768" s="193"/>
    </row>
    <row r="27769" spans="6:6" x14ac:dyDescent="0.3">
      <c r="F27769" s="193"/>
    </row>
    <row r="27770" spans="6:6" x14ac:dyDescent="0.3">
      <c r="F27770" s="193"/>
    </row>
    <row r="27771" spans="6:6" x14ac:dyDescent="0.3">
      <c r="F27771" s="193"/>
    </row>
    <row r="27772" spans="6:6" x14ac:dyDescent="0.3">
      <c r="F27772" s="193"/>
    </row>
    <row r="27773" spans="6:6" x14ac:dyDescent="0.3">
      <c r="F27773" s="193"/>
    </row>
    <row r="27774" spans="6:6" x14ac:dyDescent="0.3">
      <c r="F27774" s="193"/>
    </row>
    <row r="27775" spans="6:6" x14ac:dyDescent="0.3">
      <c r="F27775" s="193"/>
    </row>
    <row r="27776" spans="6:6" x14ac:dyDescent="0.3">
      <c r="F27776" s="193"/>
    </row>
    <row r="27777" spans="6:6" x14ac:dyDescent="0.3">
      <c r="F27777" s="193"/>
    </row>
    <row r="27778" spans="6:6" x14ac:dyDescent="0.3">
      <c r="F27778" s="193"/>
    </row>
    <row r="27779" spans="6:6" x14ac:dyDescent="0.3">
      <c r="F27779" s="193"/>
    </row>
    <row r="27780" spans="6:6" x14ac:dyDescent="0.3">
      <c r="F27780" s="193"/>
    </row>
    <row r="27781" spans="6:6" x14ac:dyDescent="0.3">
      <c r="F27781" s="193"/>
    </row>
    <row r="27782" spans="6:6" x14ac:dyDescent="0.3">
      <c r="F27782" s="193"/>
    </row>
    <row r="27783" spans="6:6" x14ac:dyDescent="0.3">
      <c r="F27783" s="193"/>
    </row>
    <row r="27784" spans="6:6" x14ac:dyDescent="0.3">
      <c r="F27784" s="193"/>
    </row>
    <row r="27785" spans="6:6" x14ac:dyDescent="0.3">
      <c r="F27785" s="193"/>
    </row>
    <row r="27786" spans="6:6" x14ac:dyDescent="0.3">
      <c r="F27786" s="193"/>
    </row>
    <row r="27787" spans="6:6" x14ac:dyDescent="0.3">
      <c r="F27787" s="193"/>
    </row>
    <row r="27788" spans="6:6" x14ac:dyDescent="0.3">
      <c r="F27788" s="193"/>
    </row>
    <row r="27789" spans="6:6" x14ac:dyDescent="0.3">
      <c r="F27789" s="193"/>
    </row>
    <row r="27790" spans="6:6" x14ac:dyDescent="0.3">
      <c r="F27790" s="193"/>
    </row>
    <row r="27791" spans="6:6" x14ac:dyDescent="0.3">
      <c r="F27791" s="193"/>
    </row>
    <row r="27792" spans="6:6" x14ac:dyDescent="0.3">
      <c r="F27792" s="193"/>
    </row>
    <row r="27793" spans="6:6" x14ac:dyDescent="0.3">
      <c r="F27793" s="193"/>
    </row>
    <row r="27794" spans="6:6" x14ac:dyDescent="0.3">
      <c r="F27794" s="193"/>
    </row>
    <row r="27795" spans="6:6" x14ac:dyDescent="0.3">
      <c r="F27795" s="193"/>
    </row>
    <row r="27796" spans="6:6" x14ac:dyDescent="0.3">
      <c r="F27796" s="193"/>
    </row>
    <row r="27797" spans="6:6" x14ac:dyDescent="0.3">
      <c r="F27797" s="193"/>
    </row>
    <row r="27798" spans="6:6" x14ac:dyDescent="0.3">
      <c r="F27798" s="193"/>
    </row>
    <row r="27799" spans="6:6" x14ac:dyDescent="0.3">
      <c r="F27799" s="193"/>
    </row>
    <row r="27800" spans="6:6" x14ac:dyDescent="0.3">
      <c r="F27800" s="193"/>
    </row>
    <row r="27801" spans="6:6" x14ac:dyDescent="0.3">
      <c r="F27801" s="193"/>
    </row>
    <row r="27802" spans="6:6" x14ac:dyDescent="0.3">
      <c r="F27802" s="193"/>
    </row>
    <row r="27803" spans="6:6" x14ac:dyDescent="0.3">
      <c r="F27803" s="193"/>
    </row>
    <row r="27804" spans="6:6" x14ac:dyDescent="0.3">
      <c r="F27804" s="193"/>
    </row>
    <row r="27805" spans="6:6" x14ac:dyDescent="0.3">
      <c r="F27805" s="193"/>
    </row>
    <row r="27806" spans="6:6" x14ac:dyDescent="0.3">
      <c r="F27806" s="193"/>
    </row>
    <row r="27807" spans="6:6" x14ac:dyDescent="0.3">
      <c r="F27807" s="193"/>
    </row>
    <row r="27808" spans="6:6" x14ac:dyDescent="0.3">
      <c r="F27808" s="193"/>
    </row>
    <row r="27809" spans="6:6" x14ac:dyDescent="0.3">
      <c r="F27809" s="193"/>
    </row>
    <row r="27810" spans="6:6" x14ac:dyDescent="0.3">
      <c r="F27810" s="193"/>
    </row>
    <row r="27811" spans="6:6" x14ac:dyDescent="0.3">
      <c r="F27811" s="193"/>
    </row>
    <row r="27812" spans="6:6" x14ac:dyDescent="0.3">
      <c r="F27812" s="193"/>
    </row>
    <row r="27813" spans="6:6" x14ac:dyDescent="0.3">
      <c r="F27813" s="193"/>
    </row>
    <row r="27814" spans="6:6" x14ac:dyDescent="0.3">
      <c r="F27814" s="193"/>
    </row>
    <row r="27815" spans="6:6" x14ac:dyDescent="0.3">
      <c r="F27815" s="193"/>
    </row>
    <row r="27816" spans="6:6" x14ac:dyDescent="0.3">
      <c r="F27816" s="193"/>
    </row>
    <row r="27817" spans="6:6" x14ac:dyDescent="0.3">
      <c r="F27817" s="193"/>
    </row>
    <row r="27818" spans="6:6" x14ac:dyDescent="0.3">
      <c r="F27818" s="193"/>
    </row>
    <row r="27819" spans="6:6" x14ac:dyDescent="0.3">
      <c r="F27819" s="193"/>
    </row>
    <row r="27820" spans="6:6" x14ac:dyDescent="0.3">
      <c r="F27820" s="193"/>
    </row>
    <row r="27821" spans="6:6" x14ac:dyDescent="0.3">
      <c r="F27821" s="193"/>
    </row>
    <row r="27822" spans="6:6" x14ac:dyDescent="0.3">
      <c r="F27822" s="193"/>
    </row>
    <row r="27823" spans="6:6" x14ac:dyDescent="0.3">
      <c r="F27823" s="193"/>
    </row>
    <row r="27824" spans="6:6" x14ac:dyDescent="0.3">
      <c r="F27824" s="193"/>
    </row>
    <row r="27825" spans="6:6" x14ac:dyDescent="0.3">
      <c r="F27825" s="193"/>
    </row>
    <row r="27826" spans="6:6" x14ac:dyDescent="0.3">
      <c r="F27826" s="193"/>
    </row>
    <row r="27827" spans="6:6" x14ac:dyDescent="0.3">
      <c r="F27827" s="193"/>
    </row>
    <row r="27828" spans="6:6" x14ac:dyDescent="0.3">
      <c r="F27828" s="193"/>
    </row>
    <row r="27829" spans="6:6" x14ac:dyDescent="0.3">
      <c r="F27829" s="193"/>
    </row>
    <row r="27830" spans="6:6" x14ac:dyDescent="0.3">
      <c r="F27830" s="193"/>
    </row>
    <row r="27831" spans="6:6" x14ac:dyDescent="0.3">
      <c r="F27831" s="193"/>
    </row>
    <row r="27832" spans="6:6" x14ac:dyDescent="0.3">
      <c r="F27832" s="193"/>
    </row>
    <row r="27833" spans="6:6" x14ac:dyDescent="0.3">
      <c r="F27833" s="193"/>
    </row>
    <row r="27834" spans="6:6" x14ac:dyDescent="0.3">
      <c r="F27834" s="193"/>
    </row>
    <row r="27835" spans="6:6" x14ac:dyDescent="0.3">
      <c r="F27835" s="193"/>
    </row>
    <row r="27836" spans="6:6" x14ac:dyDescent="0.3">
      <c r="F27836" s="193"/>
    </row>
    <row r="27837" spans="6:6" x14ac:dyDescent="0.3">
      <c r="F27837" s="193"/>
    </row>
    <row r="27838" spans="6:6" x14ac:dyDescent="0.3">
      <c r="F27838" s="193"/>
    </row>
    <row r="27839" spans="6:6" x14ac:dyDescent="0.3">
      <c r="F27839" s="193"/>
    </row>
    <row r="27840" spans="6:6" x14ac:dyDescent="0.3">
      <c r="F27840" s="193"/>
    </row>
    <row r="27841" spans="6:6" x14ac:dyDescent="0.3">
      <c r="F27841" s="193"/>
    </row>
    <row r="27842" spans="6:6" x14ac:dyDescent="0.3">
      <c r="F27842" s="193"/>
    </row>
    <row r="27843" spans="6:6" x14ac:dyDescent="0.3">
      <c r="F27843" s="193"/>
    </row>
    <row r="27844" spans="6:6" x14ac:dyDescent="0.3">
      <c r="F27844" s="193"/>
    </row>
    <row r="27845" spans="6:6" x14ac:dyDescent="0.3">
      <c r="F27845" s="193"/>
    </row>
    <row r="27846" spans="6:6" x14ac:dyDescent="0.3">
      <c r="F27846" s="193"/>
    </row>
    <row r="27847" spans="6:6" x14ac:dyDescent="0.3">
      <c r="F27847" s="193"/>
    </row>
    <row r="27848" spans="6:6" x14ac:dyDescent="0.3">
      <c r="F27848" s="193"/>
    </row>
    <row r="27849" spans="6:6" x14ac:dyDescent="0.3">
      <c r="F27849" s="193"/>
    </row>
    <row r="27850" spans="6:6" x14ac:dyDescent="0.3">
      <c r="F27850" s="193"/>
    </row>
    <row r="27851" spans="6:6" x14ac:dyDescent="0.3">
      <c r="F27851" s="193"/>
    </row>
    <row r="27852" spans="6:6" x14ac:dyDescent="0.3">
      <c r="F27852" s="193"/>
    </row>
    <row r="27853" spans="6:6" x14ac:dyDescent="0.3">
      <c r="F27853" s="193"/>
    </row>
    <row r="27854" spans="6:6" x14ac:dyDescent="0.3">
      <c r="F27854" s="193"/>
    </row>
    <row r="27855" spans="6:6" x14ac:dyDescent="0.3">
      <c r="F27855" s="193"/>
    </row>
    <row r="27856" spans="6:6" x14ac:dyDescent="0.3">
      <c r="F27856" s="193"/>
    </row>
    <row r="27857" spans="6:6" x14ac:dyDescent="0.3">
      <c r="F27857" s="193"/>
    </row>
    <row r="27858" spans="6:6" x14ac:dyDescent="0.3">
      <c r="F27858" s="193"/>
    </row>
    <row r="27859" spans="6:6" x14ac:dyDescent="0.3">
      <c r="F27859" s="193"/>
    </row>
    <row r="27860" spans="6:6" x14ac:dyDescent="0.3">
      <c r="F27860" s="193"/>
    </row>
    <row r="27861" spans="6:6" x14ac:dyDescent="0.3">
      <c r="F27861" s="193"/>
    </row>
    <row r="27862" spans="6:6" x14ac:dyDescent="0.3">
      <c r="F27862" s="193"/>
    </row>
    <row r="27863" spans="6:6" x14ac:dyDescent="0.3">
      <c r="F27863" s="193"/>
    </row>
    <row r="27864" spans="6:6" x14ac:dyDescent="0.3">
      <c r="F27864" s="193"/>
    </row>
    <row r="27865" spans="6:6" x14ac:dyDescent="0.3">
      <c r="F27865" s="193"/>
    </row>
    <row r="27866" spans="6:6" x14ac:dyDescent="0.3">
      <c r="F27866" s="193"/>
    </row>
    <row r="27867" spans="6:6" x14ac:dyDescent="0.3">
      <c r="F27867" s="193"/>
    </row>
    <row r="27868" spans="6:6" x14ac:dyDescent="0.3">
      <c r="F27868" s="193"/>
    </row>
    <row r="27869" spans="6:6" x14ac:dyDescent="0.3">
      <c r="F27869" s="193"/>
    </row>
    <row r="27870" spans="6:6" x14ac:dyDescent="0.3">
      <c r="F27870" s="193"/>
    </row>
    <row r="27871" spans="6:6" x14ac:dyDescent="0.3">
      <c r="F27871" s="193"/>
    </row>
    <row r="27872" spans="6:6" x14ac:dyDescent="0.3">
      <c r="F27872" s="193"/>
    </row>
    <row r="27873" spans="6:6" x14ac:dyDescent="0.3">
      <c r="F27873" s="193"/>
    </row>
    <row r="27874" spans="6:6" x14ac:dyDescent="0.3">
      <c r="F27874" s="193"/>
    </row>
    <row r="27875" spans="6:6" x14ac:dyDescent="0.3">
      <c r="F27875" s="193"/>
    </row>
    <row r="27876" spans="6:6" x14ac:dyDescent="0.3">
      <c r="F27876" s="193"/>
    </row>
    <row r="27877" spans="6:6" x14ac:dyDescent="0.3">
      <c r="F27877" s="193"/>
    </row>
    <row r="27878" spans="6:6" x14ac:dyDescent="0.3">
      <c r="F27878" s="193"/>
    </row>
    <row r="27879" spans="6:6" x14ac:dyDescent="0.3">
      <c r="F27879" s="193"/>
    </row>
    <row r="27880" spans="6:6" x14ac:dyDescent="0.3">
      <c r="F27880" s="193"/>
    </row>
    <row r="27881" spans="6:6" x14ac:dyDescent="0.3">
      <c r="F27881" s="193"/>
    </row>
    <row r="27882" spans="6:6" x14ac:dyDescent="0.3">
      <c r="F27882" s="193"/>
    </row>
    <row r="27883" spans="6:6" x14ac:dyDescent="0.3">
      <c r="F27883" s="193"/>
    </row>
    <row r="27884" spans="6:6" x14ac:dyDescent="0.3">
      <c r="F27884" s="193"/>
    </row>
    <row r="27885" spans="6:6" x14ac:dyDescent="0.3">
      <c r="F27885" s="193"/>
    </row>
    <row r="27886" spans="6:6" x14ac:dyDescent="0.3">
      <c r="F27886" s="193"/>
    </row>
    <row r="27887" spans="6:6" x14ac:dyDescent="0.3">
      <c r="F27887" s="193"/>
    </row>
    <row r="27888" spans="6:6" x14ac:dyDescent="0.3">
      <c r="F27888" s="193"/>
    </row>
    <row r="27889" spans="6:6" x14ac:dyDescent="0.3">
      <c r="F27889" s="193"/>
    </row>
    <row r="27890" spans="6:6" x14ac:dyDescent="0.3">
      <c r="F27890" s="193"/>
    </row>
    <row r="27891" spans="6:6" x14ac:dyDescent="0.3">
      <c r="F27891" s="193"/>
    </row>
    <row r="27892" spans="6:6" x14ac:dyDescent="0.3">
      <c r="F27892" s="193"/>
    </row>
    <row r="27893" spans="6:6" x14ac:dyDescent="0.3">
      <c r="F27893" s="193"/>
    </row>
    <row r="27894" spans="6:6" x14ac:dyDescent="0.3">
      <c r="F27894" s="193"/>
    </row>
    <row r="27895" spans="6:6" x14ac:dyDescent="0.3">
      <c r="F27895" s="193"/>
    </row>
    <row r="27896" spans="6:6" x14ac:dyDescent="0.3">
      <c r="F27896" s="193"/>
    </row>
    <row r="27897" spans="6:6" x14ac:dyDescent="0.3">
      <c r="F27897" s="193"/>
    </row>
    <row r="27898" spans="6:6" x14ac:dyDescent="0.3">
      <c r="F27898" s="193"/>
    </row>
    <row r="27899" spans="6:6" x14ac:dyDescent="0.3">
      <c r="F27899" s="193"/>
    </row>
    <row r="27900" spans="6:6" x14ac:dyDescent="0.3">
      <c r="F27900" s="193"/>
    </row>
    <row r="27901" spans="6:6" x14ac:dyDescent="0.3">
      <c r="F27901" s="193"/>
    </row>
    <row r="27902" spans="6:6" x14ac:dyDescent="0.3">
      <c r="F27902" s="193"/>
    </row>
    <row r="27903" spans="6:6" x14ac:dyDescent="0.3">
      <c r="F27903" s="193"/>
    </row>
    <row r="27904" spans="6:6" x14ac:dyDescent="0.3">
      <c r="F27904" s="193"/>
    </row>
    <row r="27905" spans="6:6" x14ac:dyDescent="0.3">
      <c r="F27905" s="193"/>
    </row>
    <row r="27906" spans="6:6" x14ac:dyDescent="0.3">
      <c r="F27906" s="193"/>
    </row>
    <row r="27907" spans="6:6" x14ac:dyDescent="0.3">
      <c r="F27907" s="193"/>
    </row>
    <row r="27908" spans="6:6" x14ac:dyDescent="0.3">
      <c r="F27908" s="193"/>
    </row>
    <row r="27909" spans="6:6" x14ac:dyDescent="0.3">
      <c r="F27909" s="193"/>
    </row>
    <row r="27910" spans="6:6" x14ac:dyDescent="0.3">
      <c r="F27910" s="193"/>
    </row>
    <row r="27911" spans="6:6" x14ac:dyDescent="0.3">
      <c r="F27911" s="193"/>
    </row>
    <row r="27912" spans="6:6" x14ac:dyDescent="0.3">
      <c r="F27912" s="193"/>
    </row>
    <row r="27913" spans="6:6" x14ac:dyDescent="0.3">
      <c r="F27913" s="193"/>
    </row>
    <row r="27914" spans="6:6" x14ac:dyDescent="0.3">
      <c r="F27914" s="193"/>
    </row>
    <row r="27915" spans="6:6" x14ac:dyDescent="0.3">
      <c r="F27915" s="193"/>
    </row>
    <row r="27916" spans="6:6" x14ac:dyDescent="0.3">
      <c r="F27916" s="193"/>
    </row>
    <row r="27917" spans="6:6" x14ac:dyDescent="0.3">
      <c r="F27917" s="193"/>
    </row>
    <row r="27918" spans="6:6" x14ac:dyDescent="0.3">
      <c r="F27918" s="193"/>
    </row>
    <row r="27919" spans="6:6" x14ac:dyDescent="0.3">
      <c r="F27919" s="193"/>
    </row>
    <row r="27920" spans="6:6" x14ac:dyDescent="0.3">
      <c r="F27920" s="193"/>
    </row>
    <row r="27921" spans="6:6" x14ac:dyDescent="0.3">
      <c r="F27921" s="193"/>
    </row>
    <row r="27922" spans="6:6" x14ac:dyDescent="0.3">
      <c r="F27922" s="193"/>
    </row>
    <row r="27923" spans="6:6" x14ac:dyDescent="0.3">
      <c r="F27923" s="193"/>
    </row>
    <row r="27924" spans="6:6" x14ac:dyDescent="0.3">
      <c r="F27924" s="193"/>
    </row>
    <row r="27925" spans="6:6" x14ac:dyDescent="0.3">
      <c r="F27925" s="193"/>
    </row>
    <row r="27926" spans="6:6" x14ac:dyDescent="0.3">
      <c r="F27926" s="193"/>
    </row>
    <row r="27927" spans="6:6" x14ac:dyDescent="0.3">
      <c r="F27927" s="193"/>
    </row>
    <row r="27928" spans="6:6" x14ac:dyDescent="0.3">
      <c r="F27928" s="193"/>
    </row>
    <row r="27929" spans="6:6" x14ac:dyDescent="0.3">
      <c r="F27929" s="193"/>
    </row>
    <row r="27930" spans="6:6" x14ac:dyDescent="0.3">
      <c r="F27930" s="193"/>
    </row>
    <row r="27931" spans="6:6" x14ac:dyDescent="0.3">
      <c r="F27931" s="193"/>
    </row>
    <row r="27932" spans="6:6" x14ac:dyDescent="0.3">
      <c r="F27932" s="193"/>
    </row>
    <row r="27933" spans="6:6" x14ac:dyDescent="0.3">
      <c r="F27933" s="193"/>
    </row>
    <row r="27934" spans="6:6" x14ac:dyDescent="0.3">
      <c r="F27934" s="193"/>
    </row>
    <row r="27935" spans="6:6" x14ac:dyDescent="0.3">
      <c r="F27935" s="193"/>
    </row>
    <row r="27936" spans="6:6" x14ac:dyDescent="0.3">
      <c r="F27936" s="193"/>
    </row>
    <row r="27937" spans="6:6" x14ac:dyDescent="0.3">
      <c r="F27937" s="193"/>
    </row>
    <row r="27938" spans="6:6" x14ac:dyDescent="0.3">
      <c r="F27938" s="193"/>
    </row>
    <row r="27939" spans="6:6" x14ac:dyDescent="0.3">
      <c r="F27939" s="193"/>
    </row>
    <row r="27940" spans="6:6" x14ac:dyDescent="0.3">
      <c r="F27940" s="193"/>
    </row>
    <row r="27941" spans="6:6" x14ac:dyDescent="0.3">
      <c r="F27941" s="193"/>
    </row>
    <row r="27942" spans="6:6" x14ac:dyDescent="0.3">
      <c r="F27942" s="193"/>
    </row>
    <row r="27943" spans="6:6" x14ac:dyDescent="0.3">
      <c r="F27943" s="193"/>
    </row>
    <row r="27944" spans="6:6" x14ac:dyDescent="0.3">
      <c r="F27944" s="193"/>
    </row>
    <row r="27945" spans="6:6" x14ac:dyDescent="0.3">
      <c r="F27945" s="193"/>
    </row>
    <row r="27946" spans="6:6" x14ac:dyDescent="0.3">
      <c r="F27946" s="193"/>
    </row>
    <row r="27947" spans="6:6" x14ac:dyDescent="0.3">
      <c r="F27947" s="193"/>
    </row>
    <row r="27948" spans="6:6" x14ac:dyDescent="0.3">
      <c r="F27948" s="193"/>
    </row>
    <row r="27949" spans="6:6" x14ac:dyDescent="0.3">
      <c r="F27949" s="193"/>
    </row>
    <row r="27950" spans="6:6" x14ac:dyDescent="0.3">
      <c r="F27950" s="193"/>
    </row>
    <row r="27951" spans="6:6" x14ac:dyDescent="0.3">
      <c r="F27951" s="193"/>
    </row>
    <row r="27952" spans="6:6" x14ac:dyDescent="0.3">
      <c r="F27952" s="193"/>
    </row>
    <row r="27953" spans="6:6" x14ac:dyDescent="0.3">
      <c r="F27953" s="193"/>
    </row>
    <row r="27954" spans="6:6" x14ac:dyDescent="0.3">
      <c r="F27954" s="193"/>
    </row>
    <row r="27955" spans="6:6" x14ac:dyDescent="0.3">
      <c r="F27955" s="193"/>
    </row>
    <row r="27956" spans="6:6" x14ac:dyDescent="0.3">
      <c r="F27956" s="193"/>
    </row>
    <row r="27957" spans="6:6" x14ac:dyDescent="0.3">
      <c r="F27957" s="193"/>
    </row>
    <row r="27958" spans="6:6" x14ac:dyDescent="0.3">
      <c r="F27958" s="193"/>
    </row>
    <row r="27959" spans="6:6" x14ac:dyDescent="0.3">
      <c r="F27959" s="193"/>
    </row>
    <row r="27960" spans="6:6" x14ac:dyDescent="0.3">
      <c r="F27960" s="193"/>
    </row>
    <row r="27961" spans="6:6" x14ac:dyDescent="0.3">
      <c r="F27961" s="193"/>
    </row>
    <row r="27962" spans="6:6" x14ac:dyDescent="0.3">
      <c r="F27962" s="193"/>
    </row>
    <row r="27963" spans="6:6" x14ac:dyDescent="0.3">
      <c r="F27963" s="193"/>
    </row>
    <row r="27964" spans="6:6" x14ac:dyDescent="0.3">
      <c r="F27964" s="193"/>
    </row>
    <row r="27965" spans="6:6" x14ac:dyDescent="0.3">
      <c r="F27965" s="193"/>
    </row>
    <row r="27966" spans="6:6" x14ac:dyDescent="0.3">
      <c r="F27966" s="193"/>
    </row>
    <row r="27967" spans="6:6" x14ac:dyDescent="0.3">
      <c r="F27967" s="193"/>
    </row>
    <row r="27968" spans="6:6" x14ac:dyDescent="0.3">
      <c r="F27968" s="193"/>
    </row>
    <row r="27969" spans="6:6" x14ac:dyDescent="0.3">
      <c r="F27969" s="193"/>
    </row>
    <row r="27970" spans="6:6" x14ac:dyDescent="0.3">
      <c r="F27970" s="193"/>
    </row>
    <row r="27971" spans="6:6" x14ac:dyDescent="0.3">
      <c r="F27971" s="193"/>
    </row>
    <row r="27972" spans="6:6" x14ac:dyDescent="0.3">
      <c r="F27972" s="193"/>
    </row>
    <row r="27973" spans="6:6" x14ac:dyDescent="0.3">
      <c r="F27973" s="193"/>
    </row>
    <row r="27974" spans="6:6" x14ac:dyDescent="0.3">
      <c r="F27974" s="193"/>
    </row>
    <row r="27975" spans="6:6" x14ac:dyDescent="0.3">
      <c r="F27975" s="193"/>
    </row>
    <row r="27976" spans="6:6" x14ac:dyDescent="0.3">
      <c r="F27976" s="193"/>
    </row>
    <row r="27977" spans="6:6" x14ac:dyDescent="0.3">
      <c r="F27977" s="193"/>
    </row>
    <row r="27978" spans="6:6" x14ac:dyDescent="0.3">
      <c r="F27978" s="193"/>
    </row>
    <row r="27979" spans="6:6" x14ac:dyDescent="0.3">
      <c r="F27979" s="193"/>
    </row>
    <row r="27980" spans="6:6" x14ac:dyDescent="0.3">
      <c r="F27980" s="193"/>
    </row>
    <row r="27981" spans="6:6" x14ac:dyDescent="0.3">
      <c r="F27981" s="193"/>
    </row>
    <row r="27982" spans="6:6" x14ac:dyDescent="0.3">
      <c r="F27982" s="193"/>
    </row>
    <row r="27983" spans="6:6" x14ac:dyDescent="0.3">
      <c r="F27983" s="193"/>
    </row>
    <row r="27984" spans="6:6" x14ac:dyDescent="0.3">
      <c r="F27984" s="193"/>
    </row>
    <row r="27985" spans="6:6" x14ac:dyDescent="0.3">
      <c r="F27985" s="193"/>
    </row>
    <row r="27986" spans="6:6" x14ac:dyDescent="0.3">
      <c r="F27986" s="193"/>
    </row>
    <row r="27987" spans="6:6" x14ac:dyDescent="0.3">
      <c r="F27987" s="193"/>
    </row>
    <row r="27988" spans="6:6" x14ac:dyDescent="0.3">
      <c r="F27988" s="193"/>
    </row>
    <row r="27989" spans="6:6" x14ac:dyDescent="0.3">
      <c r="F27989" s="193"/>
    </row>
    <row r="27990" spans="6:6" x14ac:dyDescent="0.3">
      <c r="F27990" s="193"/>
    </row>
    <row r="27991" spans="6:6" x14ac:dyDescent="0.3">
      <c r="F27991" s="193"/>
    </row>
    <row r="27992" spans="6:6" x14ac:dyDescent="0.3">
      <c r="F27992" s="193"/>
    </row>
    <row r="27993" spans="6:6" x14ac:dyDescent="0.3">
      <c r="F27993" s="193"/>
    </row>
    <row r="27994" spans="6:6" x14ac:dyDescent="0.3">
      <c r="F27994" s="193"/>
    </row>
    <row r="27995" spans="6:6" x14ac:dyDescent="0.3">
      <c r="F27995" s="193"/>
    </row>
    <row r="27996" spans="6:6" x14ac:dyDescent="0.3">
      <c r="F27996" s="193"/>
    </row>
    <row r="27997" spans="6:6" x14ac:dyDescent="0.3">
      <c r="F27997" s="193"/>
    </row>
    <row r="27998" spans="6:6" x14ac:dyDescent="0.3">
      <c r="F27998" s="193"/>
    </row>
    <row r="27999" spans="6:6" x14ac:dyDescent="0.3">
      <c r="F27999" s="193"/>
    </row>
    <row r="28000" spans="6:6" x14ac:dyDescent="0.3">
      <c r="F28000" s="193"/>
    </row>
    <row r="28001" spans="6:6" x14ac:dyDescent="0.3">
      <c r="F28001" s="193"/>
    </row>
    <row r="28002" spans="6:6" x14ac:dyDescent="0.3">
      <c r="F28002" s="193"/>
    </row>
    <row r="28003" spans="6:6" x14ac:dyDescent="0.3">
      <c r="F28003" s="193"/>
    </row>
    <row r="28004" spans="6:6" x14ac:dyDescent="0.3">
      <c r="F28004" s="193"/>
    </row>
    <row r="28005" spans="6:6" x14ac:dyDescent="0.3">
      <c r="F28005" s="193"/>
    </row>
    <row r="28006" spans="6:6" x14ac:dyDescent="0.3">
      <c r="F28006" s="193"/>
    </row>
    <row r="28007" spans="6:6" x14ac:dyDescent="0.3">
      <c r="F28007" s="193"/>
    </row>
    <row r="28008" spans="6:6" x14ac:dyDescent="0.3">
      <c r="F28008" s="193"/>
    </row>
    <row r="28009" spans="6:6" x14ac:dyDescent="0.3">
      <c r="F28009" s="193"/>
    </row>
    <row r="28010" spans="6:6" x14ac:dyDescent="0.3">
      <c r="F28010" s="193"/>
    </row>
    <row r="28011" spans="6:6" x14ac:dyDescent="0.3">
      <c r="F28011" s="193"/>
    </row>
    <row r="28012" spans="6:6" x14ac:dyDescent="0.3">
      <c r="F28012" s="193"/>
    </row>
    <row r="28013" spans="6:6" x14ac:dyDescent="0.3">
      <c r="F28013" s="193"/>
    </row>
    <row r="28014" spans="6:6" x14ac:dyDescent="0.3">
      <c r="F28014" s="193"/>
    </row>
    <row r="28015" spans="6:6" x14ac:dyDescent="0.3">
      <c r="F28015" s="193"/>
    </row>
    <row r="28016" spans="6:6" x14ac:dyDescent="0.3">
      <c r="F28016" s="193"/>
    </row>
    <row r="28017" spans="6:6" x14ac:dyDescent="0.3">
      <c r="F28017" s="193"/>
    </row>
    <row r="28018" spans="6:6" x14ac:dyDescent="0.3">
      <c r="F28018" s="193"/>
    </row>
    <row r="28019" spans="6:6" x14ac:dyDescent="0.3">
      <c r="F28019" s="193"/>
    </row>
    <row r="28020" spans="6:6" x14ac:dyDescent="0.3">
      <c r="F28020" s="193"/>
    </row>
    <row r="28021" spans="6:6" x14ac:dyDescent="0.3">
      <c r="F28021" s="193"/>
    </row>
    <row r="28022" spans="6:6" x14ac:dyDescent="0.3">
      <c r="F28022" s="193"/>
    </row>
    <row r="28023" spans="6:6" x14ac:dyDescent="0.3">
      <c r="F28023" s="193"/>
    </row>
    <row r="28024" spans="6:6" x14ac:dyDescent="0.3">
      <c r="F28024" s="193"/>
    </row>
    <row r="28025" spans="6:6" x14ac:dyDescent="0.3">
      <c r="F28025" s="193"/>
    </row>
    <row r="28026" spans="6:6" x14ac:dyDescent="0.3">
      <c r="F28026" s="193"/>
    </row>
    <row r="28027" spans="6:6" x14ac:dyDescent="0.3">
      <c r="F28027" s="193"/>
    </row>
    <row r="28028" spans="6:6" x14ac:dyDescent="0.3">
      <c r="F28028" s="193"/>
    </row>
    <row r="28029" spans="6:6" x14ac:dyDescent="0.3">
      <c r="F28029" s="193"/>
    </row>
    <row r="28030" spans="6:6" x14ac:dyDescent="0.3">
      <c r="F28030" s="193"/>
    </row>
    <row r="28031" spans="6:6" x14ac:dyDescent="0.3">
      <c r="F28031" s="193"/>
    </row>
    <row r="28032" spans="6:6" x14ac:dyDescent="0.3">
      <c r="F28032" s="193"/>
    </row>
    <row r="28033" spans="6:6" x14ac:dyDescent="0.3">
      <c r="F28033" s="193"/>
    </row>
    <row r="28034" spans="6:6" x14ac:dyDescent="0.3">
      <c r="F28034" s="193"/>
    </row>
    <row r="28035" spans="6:6" x14ac:dyDescent="0.3">
      <c r="F28035" s="193"/>
    </row>
    <row r="28036" spans="6:6" x14ac:dyDescent="0.3">
      <c r="F28036" s="193"/>
    </row>
    <row r="28037" spans="6:6" x14ac:dyDescent="0.3">
      <c r="F28037" s="193"/>
    </row>
    <row r="28038" spans="6:6" x14ac:dyDescent="0.3">
      <c r="F28038" s="193"/>
    </row>
    <row r="28039" spans="6:6" x14ac:dyDescent="0.3">
      <c r="F28039" s="193"/>
    </row>
    <row r="28040" spans="6:6" x14ac:dyDescent="0.3">
      <c r="F28040" s="193"/>
    </row>
    <row r="28041" spans="6:6" x14ac:dyDescent="0.3">
      <c r="F28041" s="193"/>
    </row>
    <row r="28042" spans="6:6" x14ac:dyDescent="0.3">
      <c r="F28042" s="193"/>
    </row>
    <row r="28043" spans="6:6" x14ac:dyDescent="0.3">
      <c r="F28043" s="193"/>
    </row>
    <row r="28044" spans="6:6" x14ac:dyDescent="0.3">
      <c r="F28044" s="193"/>
    </row>
    <row r="28045" spans="6:6" x14ac:dyDescent="0.3">
      <c r="F28045" s="193"/>
    </row>
    <row r="28046" spans="6:6" x14ac:dyDescent="0.3">
      <c r="F28046" s="193"/>
    </row>
    <row r="28047" spans="6:6" x14ac:dyDescent="0.3">
      <c r="F28047" s="193"/>
    </row>
    <row r="28048" spans="6:6" x14ac:dyDescent="0.3">
      <c r="F28048" s="193"/>
    </row>
    <row r="28049" spans="6:6" x14ac:dyDescent="0.3">
      <c r="F28049" s="193"/>
    </row>
    <row r="28050" spans="6:6" x14ac:dyDescent="0.3">
      <c r="F28050" s="193"/>
    </row>
    <row r="28051" spans="6:6" x14ac:dyDescent="0.3">
      <c r="F28051" s="193"/>
    </row>
    <row r="28052" spans="6:6" x14ac:dyDescent="0.3">
      <c r="F28052" s="193"/>
    </row>
    <row r="28053" spans="6:6" x14ac:dyDescent="0.3">
      <c r="F28053" s="193"/>
    </row>
    <row r="28054" spans="6:6" x14ac:dyDescent="0.3">
      <c r="F28054" s="193"/>
    </row>
    <row r="28055" spans="6:6" x14ac:dyDescent="0.3">
      <c r="F28055" s="193"/>
    </row>
    <row r="28056" spans="6:6" x14ac:dyDescent="0.3">
      <c r="F28056" s="193"/>
    </row>
    <row r="28057" spans="6:6" x14ac:dyDescent="0.3">
      <c r="F28057" s="193"/>
    </row>
    <row r="28058" spans="6:6" x14ac:dyDescent="0.3">
      <c r="F28058" s="193"/>
    </row>
    <row r="28059" spans="6:6" x14ac:dyDescent="0.3">
      <c r="F28059" s="193"/>
    </row>
    <row r="28060" spans="6:6" x14ac:dyDescent="0.3">
      <c r="F28060" s="193"/>
    </row>
    <row r="28061" spans="6:6" x14ac:dyDescent="0.3">
      <c r="F28061" s="193"/>
    </row>
    <row r="28062" spans="6:6" x14ac:dyDescent="0.3">
      <c r="F28062" s="193"/>
    </row>
    <row r="28063" spans="6:6" x14ac:dyDescent="0.3">
      <c r="F28063" s="193"/>
    </row>
    <row r="28064" spans="6:6" x14ac:dyDescent="0.3">
      <c r="F28064" s="193"/>
    </row>
    <row r="28065" spans="6:6" x14ac:dyDescent="0.3">
      <c r="F28065" s="193"/>
    </row>
    <row r="28066" spans="6:6" x14ac:dyDescent="0.3">
      <c r="F28066" s="193"/>
    </row>
    <row r="28067" spans="6:6" x14ac:dyDescent="0.3">
      <c r="F28067" s="193"/>
    </row>
    <row r="28068" spans="6:6" x14ac:dyDescent="0.3">
      <c r="F28068" s="193"/>
    </row>
    <row r="28069" spans="6:6" x14ac:dyDescent="0.3">
      <c r="F28069" s="193"/>
    </row>
    <row r="28070" spans="6:6" x14ac:dyDescent="0.3">
      <c r="F28070" s="193"/>
    </row>
    <row r="28071" spans="6:6" x14ac:dyDescent="0.3">
      <c r="F28071" s="193"/>
    </row>
    <row r="28072" spans="6:6" x14ac:dyDescent="0.3">
      <c r="F28072" s="193"/>
    </row>
    <row r="28073" spans="6:6" x14ac:dyDescent="0.3">
      <c r="F28073" s="193"/>
    </row>
    <row r="28074" spans="6:6" x14ac:dyDescent="0.3">
      <c r="F28074" s="193"/>
    </row>
    <row r="28075" spans="6:6" x14ac:dyDescent="0.3">
      <c r="F28075" s="193"/>
    </row>
    <row r="28076" spans="6:6" x14ac:dyDescent="0.3">
      <c r="F28076" s="193"/>
    </row>
    <row r="28077" spans="6:6" x14ac:dyDescent="0.3">
      <c r="F28077" s="193"/>
    </row>
    <row r="28078" spans="6:6" x14ac:dyDescent="0.3">
      <c r="F28078" s="193"/>
    </row>
    <row r="28079" spans="6:6" x14ac:dyDescent="0.3">
      <c r="F28079" s="193"/>
    </row>
    <row r="28080" spans="6:6" x14ac:dyDescent="0.3">
      <c r="F28080" s="193"/>
    </row>
    <row r="28081" spans="6:6" x14ac:dyDescent="0.3">
      <c r="F28081" s="193"/>
    </row>
    <row r="28082" spans="6:6" x14ac:dyDescent="0.3">
      <c r="F28082" s="193"/>
    </row>
    <row r="28083" spans="6:6" x14ac:dyDescent="0.3">
      <c r="F28083" s="193"/>
    </row>
    <row r="28084" spans="6:6" x14ac:dyDescent="0.3">
      <c r="F28084" s="193"/>
    </row>
    <row r="28085" spans="6:6" x14ac:dyDescent="0.3">
      <c r="F28085" s="193"/>
    </row>
    <row r="28086" spans="6:6" x14ac:dyDescent="0.3">
      <c r="F28086" s="193"/>
    </row>
    <row r="28087" spans="6:6" x14ac:dyDescent="0.3">
      <c r="F28087" s="193"/>
    </row>
    <row r="28088" spans="6:6" x14ac:dyDescent="0.3">
      <c r="F28088" s="193"/>
    </row>
    <row r="28089" spans="6:6" x14ac:dyDescent="0.3">
      <c r="F28089" s="193"/>
    </row>
    <row r="28090" spans="6:6" x14ac:dyDescent="0.3">
      <c r="F28090" s="193"/>
    </row>
    <row r="28091" spans="6:6" x14ac:dyDescent="0.3">
      <c r="F28091" s="193"/>
    </row>
    <row r="28092" spans="6:6" x14ac:dyDescent="0.3">
      <c r="F28092" s="193"/>
    </row>
    <row r="28093" spans="6:6" x14ac:dyDescent="0.3">
      <c r="F28093" s="193"/>
    </row>
    <row r="28094" spans="6:6" x14ac:dyDescent="0.3">
      <c r="F28094" s="193"/>
    </row>
    <row r="28095" spans="6:6" x14ac:dyDescent="0.3">
      <c r="F28095" s="193"/>
    </row>
    <row r="28096" spans="6:6" x14ac:dyDescent="0.3">
      <c r="F28096" s="193"/>
    </row>
    <row r="28097" spans="6:6" x14ac:dyDescent="0.3">
      <c r="F28097" s="193"/>
    </row>
    <row r="28098" spans="6:6" x14ac:dyDescent="0.3">
      <c r="F28098" s="193"/>
    </row>
    <row r="28099" spans="6:6" x14ac:dyDescent="0.3">
      <c r="F28099" s="193"/>
    </row>
    <row r="28100" spans="6:6" x14ac:dyDescent="0.3">
      <c r="F28100" s="193"/>
    </row>
    <row r="28101" spans="6:6" x14ac:dyDescent="0.3">
      <c r="F28101" s="193"/>
    </row>
    <row r="28102" spans="6:6" x14ac:dyDescent="0.3">
      <c r="F28102" s="193"/>
    </row>
    <row r="28103" spans="6:6" x14ac:dyDescent="0.3">
      <c r="F28103" s="193"/>
    </row>
    <row r="28104" spans="6:6" x14ac:dyDescent="0.3">
      <c r="F28104" s="193"/>
    </row>
    <row r="28105" spans="6:6" x14ac:dyDescent="0.3">
      <c r="F28105" s="193"/>
    </row>
    <row r="28106" spans="6:6" x14ac:dyDescent="0.3">
      <c r="F28106" s="193"/>
    </row>
    <row r="28107" spans="6:6" x14ac:dyDescent="0.3">
      <c r="F28107" s="193"/>
    </row>
    <row r="28108" spans="6:6" x14ac:dyDescent="0.3">
      <c r="F28108" s="193"/>
    </row>
    <row r="28109" spans="6:6" x14ac:dyDescent="0.3">
      <c r="F28109" s="193"/>
    </row>
    <row r="28110" spans="6:6" x14ac:dyDescent="0.3">
      <c r="F28110" s="193"/>
    </row>
    <row r="28111" spans="6:6" x14ac:dyDescent="0.3">
      <c r="F28111" s="193"/>
    </row>
    <row r="28112" spans="6:6" x14ac:dyDescent="0.3">
      <c r="F28112" s="193"/>
    </row>
    <row r="28113" spans="6:6" x14ac:dyDescent="0.3">
      <c r="F28113" s="193"/>
    </row>
    <row r="28114" spans="6:6" x14ac:dyDescent="0.3">
      <c r="F28114" s="193"/>
    </row>
    <row r="28115" spans="6:6" x14ac:dyDescent="0.3">
      <c r="F28115" s="193"/>
    </row>
    <row r="28116" spans="6:6" x14ac:dyDescent="0.3">
      <c r="F28116" s="193"/>
    </row>
    <row r="28117" spans="6:6" x14ac:dyDescent="0.3">
      <c r="F28117" s="193"/>
    </row>
    <row r="28118" spans="6:6" x14ac:dyDescent="0.3">
      <c r="F28118" s="193"/>
    </row>
    <row r="28119" spans="6:6" x14ac:dyDescent="0.3">
      <c r="F28119" s="193"/>
    </row>
    <row r="28120" spans="6:6" x14ac:dyDescent="0.3">
      <c r="F28120" s="193"/>
    </row>
    <row r="28121" spans="6:6" x14ac:dyDescent="0.3">
      <c r="F28121" s="193"/>
    </row>
    <row r="28122" spans="6:6" x14ac:dyDescent="0.3">
      <c r="F28122" s="193"/>
    </row>
    <row r="28123" spans="6:6" x14ac:dyDescent="0.3">
      <c r="F28123" s="193"/>
    </row>
    <row r="28124" spans="6:6" x14ac:dyDescent="0.3">
      <c r="F28124" s="193"/>
    </row>
    <row r="28125" spans="6:6" x14ac:dyDescent="0.3">
      <c r="F28125" s="193"/>
    </row>
    <row r="28126" spans="6:6" x14ac:dyDescent="0.3">
      <c r="F28126" s="193"/>
    </row>
    <row r="28127" spans="6:6" x14ac:dyDescent="0.3">
      <c r="F28127" s="193"/>
    </row>
    <row r="28128" spans="6:6" x14ac:dyDescent="0.3">
      <c r="F28128" s="193"/>
    </row>
    <row r="28129" spans="6:6" x14ac:dyDescent="0.3">
      <c r="F28129" s="193"/>
    </row>
    <row r="28130" spans="6:6" x14ac:dyDescent="0.3">
      <c r="F28130" s="193"/>
    </row>
    <row r="28131" spans="6:6" x14ac:dyDescent="0.3">
      <c r="F28131" s="193"/>
    </row>
    <row r="28132" spans="6:6" x14ac:dyDescent="0.3">
      <c r="F28132" s="193"/>
    </row>
    <row r="28133" spans="6:6" x14ac:dyDescent="0.3">
      <c r="F28133" s="193"/>
    </row>
    <row r="28134" spans="6:6" x14ac:dyDescent="0.3">
      <c r="F28134" s="193"/>
    </row>
    <row r="28135" spans="6:6" x14ac:dyDescent="0.3">
      <c r="F28135" s="193"/>
    </row>
    <row r="28136" spans="6:6" x14ac:dyDescent="0.3">
      <c r="F28136" s="193"/>
    </row>
    <row r="28137" spans="6:6" x14ac:dyDescent="0.3">
      <c r="F28137" s="193"/>
    </row>
    <row r="28138" spans="6:6" x14ac:dyDescent="0.3">
      <c r="F28138" s="193"/>
    </row>
    <row r="28139" spans="6:6" x14ac:dyDescent="0.3">
      <c r="F28139" s="193"/>
    </row>
    <row r="28140" spans="6:6" x14ac:dyDescent="0.3">
      <c r="F28140" s="193"/>
    </row>
    <row r="28141" spans="6:6" x14ac:dyDescent="0.3">
      <c r="F28141" s="193"/>
    </row>
    <row r="28142" spans="6:6" x14ac:dyDescent="0.3">
      <c r="F28142" s="193"/>
    </row>
    <row r="28143" spans="6:6" x14ac:dyDescent="0.3">
      <c r="F28143" s="193"/>
    </row>
    <row r="28144" spans="6:6" x14ac:dyDescent="0.3">
      <c r="F28144" s="193"/>
    </row>
    <row r="28145" spans="6:6" x14ac:dyDescent="0.3">
      <c r="F28145" s="193"/>
    </row>
    <row r="28146" spans="6:6" x14ac:dyDescent="0.3">
      <c r="F28146" s="193"/>
    </row>
    <row r="28147" spans="6:6" x14ac:dyDescent="0.3">
      <c r="F28147" s="193"/>
    </row>
    <row r="28148" spans="6:6" x14ac:dyDescent="0.3">
      <c r="F28148" s="193"/>
    </row>
    <row r="28149" spans="6:6" x14ac:dyDescent="0.3">
      <c r="F28149" s="193"/>
    </row>
    <row r="28150" spans="6:6" x14ac:dyDescent="0.3">
      <c r="F28150" s="193"/>
    </row>
    <row r="28151" spans="6:6" x14ac:dyDescent="0.3">
      <c r="F28151" s="193"/>
    </row>
    <row r="28152" spans="6:6" x14ac:dyDescent="0.3">
      <c r="F28152" s="193"/>
    </row>
    <row r="28153" spans="6:6" x14ac:dyDescent="0.3">
      <c r="F28153" s="193"/>
    </row>
    <row r="28154" spans="6:6" x14ac:dyDescent="0.3">
      <c r="F28154" s="193"/>
    </row>
    <row r="28155" spans="6:6" x14ac:dyDescent="0.3">
      <c r="F28155" s="193"/>
    </row>
    <row r="28156" spans="6:6" x14ac:dyDescent="0.3">
      <c r="F28156" s="193"/>
    </row>
    <row r="28157" spans="6:6" x14ac:dyDescent="0.3">
      <c r="F28157" s="193"/>
    </row>
    <row r="28158" spans="6:6" x14ac:dyDescent="0.3">
      <c r="F28158" s="193"/>
    </row>
    <row r="28159" spans="6:6" x14ac:dyDescent="0.3">
      <c r="F28159" s="193"/>
    </row>
    <row r="28160" spans="6:6" x14ac:dyDescent="0.3">
      <c r="F28160" s="193"/>
    </row>
    <row r="28161" spans="6:6" x14ac:dyDescent="0.3">
      <c r="F28161" s="193"/>
    </row>
    <row r="28162" spans="6:6" x14ac:dyDescent="0.3">
      <c r="F28162" s="193"/>
    </row>
    <row r="28163" spans="6:6" x14ac:dyDescent="0.3">
      <c r="F28163" s="193"/>
    </row>
    <row r="28164" spans="6:6" x14ac:dyDescent="0.3">
      <c r="F28164" s="193"/>
    </row>
    <row r="28165" spans="6:6" x14ac:dyDescent="0.3">
      <c r="F28165" s="193"/>
    </row>
    <row r="28166" spans="6:6" x14ac:dyDescent="0.3">
      <c r="F28166" s="193"/>
    </row>
    <row r="28167" spans="6:6" x14ac:dyDescent="0.3">
      <c r="F28167" s="193"/>
    </row>
    <row r="28168" spans="6:6" x14ac:dyDescent="0.3">
      <c r="F28168" s="193"/>
    </row>
    <row r="28169" spans="6:6" x14ac:dyDescent="0.3">
      <c r="F28169" s="193"/>
    </row>
    <row r="28170" spans="6:6" x14ac:dyDescent="0.3">
      <c r="F28170" s="193"/>
    </row>
    <row r="28171" spans="6:6" x14ac:dyDescent="0.3">
      <c r="F28171" s="193"/>
    </row>
    <row r="28172" spans="6:6" x14ac:dyDescent="0.3">
      <c r="F28172" s="193"/>
    </row>
    <row r="28173" spans="6:6" x14ac:dyDescent="0.3">
      <c r="F28173" s="193"/>
    </row>
    <row r="28174" spans="6:6" x14ac:dyDescent="0.3">
      <c r="F28174" s="193"/>
    </row>
    <row r="28175" spans="6:6" x14ac:dyDescent="0.3">
      <c r="F28175" s="193"/>
    </row>
    <row r="28176" spans="6:6" x14ac:dyDescent="0.3">
      <c r="F28176" s="193"/>
    </row>
    <row r="28177" spans="6:6" x14ac:dyDescent="0.3">
      <c r="F28177" s="193"/>
    </row>
    <row r="28178" spans="6:6" x14ac:dyDescent="0.3">
      <c r="F28178" s="193"/>
    </row>
    <row r="28179" spans="6:6" x14ac:dyDescent="0.3">
      <c r="F28179" s="193"/>
    </row>
    <row r="28180" spans="6:6" x14ac:dyDescent="0.3">
      <c r="F28180" s="193"/>
    </row>
    <row r="28181" spans="6:6" x14ac:dyDescent="0.3">
      <c r="F28181" s="193"/>
    </row>
    <row r="28182" spans="6:6" x14ac:dyDescent="0.3">
      <c r="F28182" s="193"/>
    </row>
    <row r="28183" spans="6:6" x14ac:dyDescent="0.3">
      <c r="F28183" s="193"/>
    </row>
    <row r="28184" spans="6:6" x14ac:dyDescent="0.3">
      <c r="F28184" s="193"/>
    </row>
    <row r="28185" spans="6:6" x14ac:dyDescent="0.3">
      <c r="F28185" s="193"/>
    </row>
    <row r="28186" spans="6:6" x14ac:dyDescent="0.3">
      <c r="F28186" s="193"/>
    </row>
    <row r="28187" spans="6:6" x14ac:dyDescent="0.3">
      <c r="F28187" s="193"/>
    </row>
    <row r="28188" spans="6:6" x14ac:dyDescent="0.3">
      <c r="F28188" s="193"/>
    </row>
    <row r="28189" spans="6:6" x14ac:dyDescent="0.3">
      <c r="F28189" s="193"/>
    </row>
    <row r="28190" spans="6:6" x14ac:dyDescent="0.3">
      <c r="F28190" s="193"/>
    </row>
    <row r="28191" spans="6:6" x14ac:dyDescent="0.3">
      <c r="F28191" s="193"/>
    </row>
    <row r="28192" spans="6:6" x14ac:dyDescent="0.3">
      <c r="F28192" s="193"/>
    </row>
    <row r="28193" spans="6:6" x14ac:dyDescent="0.3">
      <c r="F28193" s="193"/>
    </row>
    <row r="28194" spans="6:6" x14ac:dyDescent="0.3">
      <c r="F28194" s="193"/>
    </row>
    <row r="28195" spans="6:6" x14ac:dyDescent="0.3">
      <c r="F28195" s="193"/>
    </row>
    <row r="28196" spans="6:6" x14ac:dyDescent="0.3">
      <c r="F28196" s="193"/>
    </row>
    <row r="28197" spans="6:6" x14ac:dyDescent="0.3">
      <c r="F28197" s="193"/>
    </row>
    <row r="28198" spans="6:6" x14ac:dyDescent="0.3">
      <c r="F28198" s="193"/>
    </row>
    <row r="28199" spans="6:6" x14ac:dyDescent="0.3">
      <c r="F28199" s="193"/>
    </row>
    <row r="28200" spans="6:6" x14ac:dyDescent="0.3">
      <c r="F28200" s="193"/>
    </row>
    <row r="28201" spans="6:6" x14ac:dyDescent="0.3">
      <c r="F28201" s="193"/>
    </row>
    <row r="28202" spans="6:6" x14ac:dyDescent="0.3">
      <c r="F28202" s="193"/>
    </row>
    <row r="28203" spans="6:6" x14ac:dyDescent="0.3">
      <c r="F28203" s="193"/>
    </row>
    <row r="28204" spans="6:6" x14ac:dyDescent="0.3">
      <c r="F28204" s="193"/>
    </row>
    <row r="28205" spans="6:6" x14ac:dyDescent="0.3">
      <c r="F28205" s="193"/>
    </row>
    <row r="28206" spans="6:6" x14ac:dyDescent="0.3">
      <c r="F28206" s="193"/>
    </row>
    <row r="28207" spans="6:6" x14ac:dyDescent="0.3">
      <c r="F28207" s="193"/>
    </row>
    <row r="28208" spans="6:6" x14ac:dyDescent="0.3">
      <c r="F28208" s="193"/>
    </row>
    <row r="28209" spans="6:6" x14ac:dyDescent="0.3">
      <c r="F28209" s="193"/>
    </row>
    <row r="28210" spans="6:6" x14ac:dyDescent="0.3">
      <c r="F28210" s="193"/>
    </row>
    <row r="28211" spans="6:6" x14ac:dyDescent="0.3">
      <c r="F28211" s="193"/>
    </row>
    <row r="28212" spans="6:6" x14ac:dyDescent="0.3">
      <c r="F28212" s="193"/>
    </row>
    <row r="28213" spans="6:6" x14ac:dyDescent="0.3">
      <c r="F28213" s="193"/>
    </row>
    <row r="28214" spans="6:6" x14ac:dyDescent="0.3">
      <c r="F28214" s="193"/>
    </row>
    <row r="28215" spans="6:6" x14ac:dyDescent="0.3">
      <c r="F28215" s="193"/>
    </row>
    <row r="28216" spans="6:6" x14ac:dyDescent="0.3">
      <c r="F28216" s="193"/>
    </row>
    <row r="28217" spans="6:6" x14ac:dyDescent="0.3">
      <c r="F28217" s="193"/>
    </row>
    <row r="28218" spans="6:6" x14ac:dyDescent="0.3">
      <c r="F28218" s="193"/>
    </row>
    <row r="28219" spans="6:6" x14ac:dyDescent="0.3">
      <c r="F28219" s="193"/>
    </row>
    <row r="28220" spans="6:6" x14ac:dyDescent="0.3">
      <c r="F28220" s="193"/>
    </row>
    <row r="28221" spans="6:6" x14ac:dyDescent="0.3">
      <c r="F28221" s="193"/>
    </row>
    <row r="28222" spans="6:6" x14ac:dyDescent="0.3">
      <c r="F28222" s="193"/>
    </row>
    <row r="28223" spans="6:6" x14ac:dyDescent="0.3">
      <c r="F28223" s="193"/>
    </row>
    <row r="28224" spans="6:6" x14ac:dyDescent="0.3">
      <c r="F28224" s="193"/>
    </row>
    <row r="28225" spans="6:6" x14ac:dyDescent="0.3">
      <c r="F28225" s="193"/>
    </row>
    <row r="28226" spans="6:6" x14ac:dyDescent="0.3">
      <c r="F28226" s="193"/>
    </row>
    <row r="28227" spans="6:6" x14ac:dyDescent="0.3">
      <c r="F28227" s="193"/>
    </row>
    <row r="28228" spans="6:6" x14ac:dyDescent="0.3">
      <c r="F28228" s="193"/>
    </row>
    <row r="28229" spans="6:6" x14ac:dyDescent="0.3">
      <c r="F28229" s="193"/>
    </row>
    <row r="28230" spans="6:6" x14ac:dyDescent="0.3">
      <c r="F28230" s="193"/>
    </row>
    <row r="28231" spans="6:6" x14ac:dyDescent="0.3">
      <c r="F28231" s="193"/>
    </row>
    <row r="28232" spans="6:6" x14ac:dyDescent="0.3">
      <c r="F28232" s="193"/>
    </row>
    <row r="28233" spans="6:6" x14ac:dyDescent="0.3">
      <c r="F28233" s="193"/>
    </row>
    <row r="28234" spans="6:6" x14ac:dyDescent="0.3">
      <c r="F28234" s="193"/>
    </row>
    <row r="28235" spans="6:6" x14ac:dyDescent="0.3">
      <c r="F28235" s="193"/>
    </row>
    <row r="28236" spans="6:6" x14ac:dyDescent="0.3">
      <c r="F28236" s="193"/>
    </row>
    <row r="28237" spans="6:6" x14ac:dyDescent="0.3">
      <c r="F28237" s="193"/>
    </row>
    <row r="28238" spans="6:6" x14ac:dyDescent="0.3">
      <c r="F28238" s="193"/>
    </row>
    <row r="28239" spans="6:6" x14ac:dyDescent="0.3">
      <c r="F28239" s="193"/>
    </row>
    <row r="28240" spans="6:6" x14ac:dyDescent="0.3">
      <c r="F28240" s="193"/>
    </row>
    <row r="28241" spans="6:6" x14ac:dyDescent="0.3">
      <c r="F28241" s="193"/>
    </row>
    <row r="28242" spans="6:6" x14ac:dyDescent="0.3">
      <c r="F28242" s="193"/>
    </row>
    <row r="28243" spans="6:6" x14ac:dyDescent="0.3">
      <c r="F28243" s="193"/>
    </row>
    <row r="28244" spans="6:6" x14ac:dyDescent="0.3">
      <c r="F28244" s="193"/>
    </row>
    <row r="28245" spans="6:6" x14ac:dyDescent="0.3">
      <c r="F28245" s="193"/>
    </row>
    <row r="28246" spans="6:6" x14ac:dyDescent="0.3">
      <c r="F28246" s="193"/>
    </row>
    <row r="28247" spans="6:6" x14ac:dyDescent="0.3">
      <c r="F28247" s="193"/>
    </row>
    <row r="28248" spans="6:6" x14ac:dyDescent="0.3">
      <c r="F28248" s="193"/>
    </row>
    <row r="28249" spans="6:6" x14ac:dyDescent="0.3">
      <c r="F28249" s="193"/>
    </row>
    <row r="28250" spans="6:6" x14ac:dyDescent="0.3">
      <c r="F28250" s="193"/>
    </row>
    <row r="28251" spans="6:6" x14ac:dyDescent="0.3">
      <c r="F28251" s="193"/>
    </row>
    <row r="28252" spans="6:6" x14ac:dyDescent="0.3">
      <c r="F28252" s="193"/>
    </row>
    <row r="28253" spans="6:6" x14ac:dyDescent="0.3">
      <c r="F28253" s="193"/>
    </row>
    <row r="28254" spans="6:6" x14ac:dyDescent="0.3">
      <c r="F28254" s="193"/>
    </row>
    <row r="28255" spans="6:6" x14ac:dyDescent="0.3">
      <c r="F28255" s="193"/>
    </row>
    <row r="28256" spans="6:6" x14ac:dyDescent="0.3">
      <c r="F28256" s="193"/>
    </row>
    <row r="28257" spans="6:6" x14ac:dyDescent="0.3">
      <c r="F28257" s="193"/>
    </row>
    <row r="28258" spans="6:6" x14ac:dyDescent="0.3">
      <c r="F28258" s="193"/>
    </row>
    <row r="28259" spans="6:6" x14ac:dyDescent="0.3">
      <c r="F28259" s="193"/>
    </row>
    <row r="28260" spans="6:6" x14ac:dyDescent="0.3">
      <c r="F28260" s="193"/>
    </row>
    <row r="28261" spans="6:6" x14ac:dyDescent="0.3">
      <c r="F28261" s="193"/>
    </row>
    <row r="28262" spans="6:6" x14ac:dyDescent="0.3">
      <c r="F28262" s="193"/>
    </row>
    <row r="28263" spans="6:6" x14ac:dyDescent="0.3">
      <c r="F28263" s="193"/>
    </row>
    <row r="28264" spans="6:6" x14ac:dyDescent="0.3">
      <c r="F28264" s="193"/>
    </row>
    <row r="28265" spans="6:6" x14ac:dyDescent="0.3">
      <c r="F28265" s="193"/>
    </row>
    <row r="28266" spans="6:6" x14ac:dyDescent="0.3">
      <c r="F28266" s="193"/>
    </row>
    <row r="28267" spans="6:6" x14ac:dyDescent="0.3">
      <c r="F28267" s="193"/>
    </row>
    <row r="28268" spans="6:6" x14ac:dyDescent="0.3">
      <c r="F28268" s="193"/>
    </row>
    <row r="28269" spans="6:6" x14ac:dyDescent="0.3">
      <c r="F28269" s="193"/>
    </row>
    <row r="28270" spans="6:6" x14ac:dyDescent="0.3">
      <c r="F28270" s="193"/>
    </row>
    <row r="28271" spans="6:6" x14ac:dyDescent="0.3">
      <c r="F28271" s="193"/>
    </row>
    <row r="28272" spans="6:6" x14ac:dyDescent="0.3">
      <c r="F28272" s="193"/>
    </row>
    <row r="28273" spans="6:6" x14ac:dyDescent="0.3">
      <c r="F28273" s="193"/>
    </row>
    <row r="28274" spans="6:6" x14ac:dyDescent="0.3">
      <c r="F28274" s="193"/>
    </row>
    <row r="28275" spans="6:6" x14ac:dyDescent="0.3">
      <c r="F28275" s="193"/>
    </row>
    <row r="28276" spans="6:6" x14ac:dyDescent="0.3">
      <c r="F28276" s="193"/>
    </row>
    <row r="28277" spans="6:6" x14ac:dyDescent="0.3">
      <c r="F28277" s="193"/>
    </row>
    <row r="28278" spans="6:6" x14ac:dyDescent="0.3">
      <c r="F28278" s="193"/>
    </row>
    <row r="28279" spans="6:6" x14ac:dyDescent="0.3">
      <c r="F28279" s="193"/>
    </row>
    <row r="28280" spans="6:6" x14ac:dyDescent="0.3">
      <c r="F28280" s="193"/>
    </row>
    <row r="28281" spans="6:6" x14ac:dyDescent="0.3">
      <c r="F28281" s="193"/>
    </row>
    <row r="28282" spans="6:6" x14ac:dyDescent="0.3">
      <c r="F28282" s="193"/>
    </row>
    <row r="28283" spans="6:6" x14ac:dyDescent="0.3">
      <c r="F28283" s="193"/>
    </row>
    <row r="28284" spans="6:6" x14ac:dyDescent="0.3">
      <c r="F28284" s="193"/>
    </row>
    <row r="28285" spans="6:6" x14ac:dyDescent="0.3">
      <c r="F28285" s="193"/>
    </row>
    <row r="28286" spans="6:6" x14ac:dyDescent="0.3">
      <c r="F28286" s="193"/>
    </row>
    <row r="28287" spans="6:6" x14ac:dyDescent="0.3">
      <c r="F28287" s="193"/>
    </row>
    <row r="28288" spans="6:6" x14ac:dyDescent="0.3">
      <c r="F28288" s="193"/>
    </row>
    <row r="28289" spans="6:6" x14ac:dyDescent="0.3">
      <c r="F28289" s="193"/>
    </row>
    <row r="28290" spans="6:6" x14ac:dyDescent="0.3">
      <c r="F28290" s="193"/>
    </row>
    <row r="28291" spans="6:6" x14ac:dyDescent="0.3">
      <c r="F28291" s="193"/>
    </row>
    <row r="28292" spans="6:6" x14ac:dyDescent="0.3">
      <c r="F28292" s="193"/>
    </row>
    <row r="28293" spans="6:6" x14ac:dyDescent="0.3">
      <c r="F28293" s="193"/>
    </row>
    <row r="28294" spans="6:6" x14ac:dyDescent="0.3">
      <c r="F28294" s="193"/>
    </row>
    <row r="28295" spans="6:6" x14ac:dyDescent="0.3">
      <c r="F28295" s="193"/>
    </row>
    <row r="28296" spans="6:6" x14ac:dyDescent="0.3">
      <c r="F28296" s="193"/>
    </row>
    <row r="28297" spans="6:6" x14ac:dyDescent="0.3">
      <c r="F28297" s="193"/>
    </row>
    <row r="28298" spans="6:6" x14ac:dyDescent="0.3">
      <c r="F28298" s="193"/>
    </row>
    <row r="28299" spans="6:6" x14ac:dyDescent="0.3">
      <c r="F28299" s="193"/>
    </row>
    <row r="28300" spans="6:6" x14ac:dyDescent="0.3">
      <c r="F28300" s="193"/>
    </row>
    <row r="28301" spans="6:6" x14ac:dyDescent="0.3">
      <c r="F28301" s="193"/>
    </row>
    <row r="28302" spans="6:6" x14ac:dyDescent="0.3">
      <c r="F28302" s="193"/>
    </row>
    <row r="28303" spans="6:6" x14ac:dyDescent="0.3">
      <c r="F28303" s="193"/>
    </row>
    <row r="28304" spans="6:6" x14ac:dyDescent="0.3">
      <c r="F28304" s="193"/>
    </row>
    <row r="28305" spans="6:6" x14ac:dyDescent="0.3">
      <c r="F28305" s="193"/>
    </row>
    <row r="28306" spans="6:6" x14ac:dyDescent="0.3">
      <c r="F28306" s="193"/>
    </row>
    <row r="28307" spans="6:6" x14ac:dyDescent="0.3">
      <c r="F28307" s="193"/>
    </row>
    <row r="28308" spans="6:6" x14ac:dyDescent="0.3">
      <c r="F28308" s="193"/>
    </row>
    <row r="28309" spans="6:6" x14ac:dyDescent="0.3">
      <c r="F28309" s="193"/>
    </row>
    <row r="28310" spans="6:6" x14ac:dyDescent="0.3">
      <c r="F28310" s="193"/>
    </row>
    <row r="28311" spans="6:6" x14ac:dyDescent="0.3">
      <c r="F28311" s="193"/>
    </row>
    <row r="28312" spans="6:6" x14ac:dyDescent="0.3">
      <c r="F28312" s="193"/>
    </row>
    <row r="28313" spans="6:6" x14ac:dyDescent="0.3">
      <c r="F28313" s="193"/>
    </row>
    <row r="28314" spans="6:6" x14ac:dyDescent="0.3">
      <c r="F28314" s="193"/>
    </row>
    <row r="28315" spans="6:6" x14ac:dyDescent="0.3">
      <c r="F28315" s="193"/>
    </row>
    <row r="28316" spans="6:6" x14ac:dyDescent="0.3">
      <c r="F28316" s="193"/>
    </row>
    <row r="28317" spans="6:6" x14ac:dyDescent="0.3">
      <c r="F28317" s="193"/>
    </row>
    <row r="28318" spans="6:6" x14ac:dyDescent="0.3">
      <c r="F28318" s="193"/>
    </row>
    <row r="28319" spans="6:6" x14ac:dyDescent="0.3">
      <c r="F28319" s="193"/>
    </row>
    <row r="28320" spans="6:6" x14ac:dyDescent="0.3">
      <c r="F28320" s="193"/>
    </row>
    <row r="28321" spans="6:6" x14ac:dyDescent="0.3">
      <c r="F28321" s="193"/>
    </row>
    <row r="28322" spans="6:6" x14ac:dyDescent="0.3">
      <c r="F28322" s="193"/>
    </row>
    <row r="28323" spans="6:6" x14ac:dyDescent="0.3">
      <c r="F28323" s="193"/>
    </row>
    <row r="28324" spans="6:6" x14ac:dyDescent="0.3">
      <c r="F28324" s="193"/>
    </row>
    <row r="28325" spans="6:6" x14ac:dyDescent="0.3">
      <c r="F28325" s="193"/>
    </row>
    <row r="28326" spans="6:6" x14ac:dyDescent="0.3">
      <c r="F28326" s="193"/>
    </row>
    <row r="28327" spans="6:6" x14ac:dyDescent="0.3">
      <c r="F28327" s="193"/>
    </row>
    <row r="28328" spans="6:6" x14ac:dyDescent="0.3">
      <c r="F28328" s="193"/>
    </row>
    <row r="28329" spans="6:6" x14ac:dyDescent="0.3">
      <c r="F28329" s="193"/>
    </row>
    <row r="28330" spans="6:6" x14ac:dyDescent="0.3">
      <c r="F28330" s="193"/>
    </row>
    <row r="28331" spans="6:6" x14ac:dyDescent="0.3">
      <c r="F28331" s="193"/>
    </row>
    <row r="28332" spans="6:6" x14ac:dyDescent="0.3">
      <c r="F28332" s="193"/>
    </row>
    <row r="28333" spans="6:6" x14ac:dyDescent="0.3">
      <c r="F28333" s="193"/>
    </row>
    <row r="28334" spans="6:6" x14ac:dyDescent="0.3">
      <c r="F28334" s="193"/>
    </row>
    <row r="28335" spans="6:6" x14ac:dyDescent="0.3">
      <c r="F28335" s="193"/>
    </row>
    <row r="28336" spans="6:6" x14ac:dyDescent="0.3">
      <c r="F28336" s="193"/>
    </row>
    <row r="28337" spans="6:6" x14ac:dyDescent="0.3">
      <c r="F28337" s="193"/>
    </row>
    <row r="28338" spans="6:6" x14ac:dyDescent="0.3">
      <c r="F28338" s="193"/>
    </row>
    <row r="28339" spans="6:6" x14ac:dyDescent="0.3">
      <c r="F28339" s="193"/>
    </row>
    <row r="28340" spans="6:6" x14ac:dyDescent="0.3">
      <c r="F28340" s="193"/>
    </row>
    <row r="28341" spans="6:6" x14ac:dyDescent="0.3">
      <c r="F28341" s="193"/>
    </row>
    <row r="28342" spans="6:6" x14ac:dyDescent="0.3">
      <c r="F28342" s="193"/>
    </row>
    <row r="28343" spans="6:6" x14ac:dyDescent="0.3">
      <c r="F28343" s="193"/>
    </row>
    <row r="28344" spans="6:6" x14ac:dyDescent="0.3">
      <c r="F28344" s="193"/>
    </row>
    <row r="28345" spans="6:6" x14ac:dyDescent="0.3">
      <c r="F28345" s="193"/>
    </row>
    <row r="28346" spans="6:6" x14ac:dyDescent="0.3">
      <c r="F28346" s="193"/>
    </row>
    <row r="28347" spans="6:6" x14ac:dyDescent="0.3">
      <c r="F28347" s="193"/>
    </row>
    <row r="28348" spans="6:6" x14ac:dyDescent="0.3">
      <c r="F28348" s="193"/>
    </row>
    <row r="28349" spans="6:6" x14ac:dyDescent="0.3">
      <c r="F28349" s="193"/>
    </row>
    <row r="28350" spans="6:6" x14ac:dyDescent="0.3">
      <c r="F28350" s="193"/>
    </row>
    <row r="28351" spans="6:6" x14ac:dyDescent="0.3">
      <c r="F28351" s="193"/>
    </row>
    <row r="28352" spans="6:6" x14ac:dyDescent="0.3">
      <c r="F28352" s="193"/>
    </row>
    <row r="28353" spans="6:6" x14ac:dyDescent="0.3">
      <c r="F28353" s="193"/>
    </row>
    <row r="28354" spans="6:6" x14ac:dyDescent="0.3">
      <c r="F28354" s="193"/>
    </row>
    <row r="28355" spans="6:6" x14ac:dyDescent="0.3">
      <c r="F28355" s="193"/>
    </row>
    <row r="28356" spans="6:6" x14ac:dyDescent="0.3">
      <c r="F28356" s="193"/>
    </row>
    <row r="28357" spans="6:6" x14ac:dyDescent="0.3">
      <c r="F28357" s="193"/>
    </row>
    <row r="28358" spans="6:6" x14ac:dyDescent="0.3">
      <c r="F28358" s="193"/>
    </row>
    <row r="28359" spans="6:6" x14ac:dyDescent="0.3">
      <c r="F28359" s="193"/>
    </row>
    <row r="28360" spans="6:6" x14ac:dyDescent="0.3">
      <c r="F28360" s="193"/>
    </row>
    <row r="28361" spans="6:6" x14ac:dyDescent="0.3">
      <c r="F28361" s="193"/>
    </row>
    <row r="28362" spans="6:6" x14ac:dyDescent="0.3">
      <c r="F28362" s="193"/>
    </row>
    <row r="28363" spans="6:6" x14ac:dyDescent="0.3">
      <c r="F28363" s="193"/>
    </row>
    <row r="28364" spans="6:6" x14ac:dyDescent="0.3">
      <c r="F28364" s="193"/>
    </row>
    <row r="28365" spans="6:6" x14ac:dyDescent="0.3">
      <c r="F28365" s="193"/>
    </row>
    <row r="28366" spans="6:6" x14ac:dyDescent="0.3">
      <c r="F28366" s="193"/>
    </row>
    <row r="28367" spans="6:6" x14ac:dyDescent="0.3">
      <c r="F28367" s="193"/>
    </row>
    <row r="28368" spans="6:6" x14ac:dyDescent="0.3">
      <c r="F28368" s="193"/>
    </row>
    <row r="28369" spans="6:6" x14ac:dyDescent="0.3">
      <c r="F28369" s="193"/>
    </row>
    <row r="28370" spans="6:6" x14ac:dyDescent="0.3">
      <c r="F28370" s="193"/>
    </row>
    <row r="28371" spans="6:6" x14ac:dyDescent="0.3">
      <c r="F28371" s="193"/>
    </row>
    <row r="28372" spans="6:6" x14ac:dyDescent="0.3">
      <c r="F28372" s="193"/>
    </row>
    <row r="28373" spans="6:6" x14ac:dyDescent="0.3">
      <c r="F28373" s="193"/>
    </row>
    <row r="28374" spans="6:6" x14ac:dyDescent="0.3">
      <c r="F28374" s="193"/>
    </row>
    <row r="28375" spans="6:6" x14ac:dyDescent="0.3">
      <c r="F28375" s="193"/>
    </row>
    <row r="28376" spans="6:6" x14ac:dyDescent="0.3">
      <c r="F28376" s="193"/>
    </row>
    <row r="28377" spans="6:6" x14ac:dyDescent="0.3">
      <c r="F28377" s="193"/>
    </row>
    <row r="28378" spans="6:6" x14ac:dyDescent="0.3">
      <c r="F28378" s="193"/>
    </row>
    <row r="28379" spans="6:6" x14ac:dyDescent="0.3">
      <c r="F28379" s="193"/>
    </row>
    <row r="28380" spans="6:6" x14ac:dyDescent="0.3">
      <c r="F28380" s="193"/>
    </row>
    <row r="28381" spans="6:6" x14ac:dyDescent="0.3">
      <c r="F28381" s="193"/>
    </row>
    <row r="28382" spans="6:6" x14ac:dyDescent="0.3">
      <c r="F28382" s="193"/>
    </row>
    <row r="28383" spans="6:6" x14ac:dyDescent="0.3">
      <c r="F28383" s="193"/>
    </row>
    <row r="28384" spans="6:6" x14ac:dyDescent="0.3">
      <c r="F28384" s="193"/>
    </row>
    <row r="28385" spans="6:6" x14ac:dyDescent="0.3">
      <c r="F28385" s="193"/>
    </row>
    <row r="28386" spans="6:6" x14ac:dyDescent="0.3">
      <c r="F28386" s="193"/>
    </row>
    <row r="28387" spans="6:6" x14ac:dyDescent="0.3">
      <c r="F28387" s="193"/>
    </row>
    <row r="28388" spans="6:6" x14ac:dyDescent="0.3">
      <c r="F28388" s="193"/>
    </row>
    <row r="28389" spans="6:6" x14ac:dyDescent="0.3">
      <c r="F28389" s="193"/>
    </row>
    <row r="28390" spans="6:6" x14ac:dyDescent="0.3">
      <c r="F28390" s="193"/>
    </row>
    <row r="28391" spans="6:6" x14ac:dyDescent="0.3">
      <c r="F28391" s="193"/>
    </row>
    <row r="28392" spans="6:6" x14ac:dyDescent="0.3">
      <c r="F28392" s="193"/>
    </row>
    <row r="28393" spans="6:6" x14ac:dyDescent="0.3">
      <c r="F28393" s="193"/>
    </row>
    <row r="28394" spans="6:6" x14ac:dyDescent="0.3">
      <c r="F28394" s="193"/>
    </row>
    <row r="28395" spans="6:6" x14ac:dyDescent="0.3">
      <c r="F28395" s="193"/>
    </row>
    <row r="28396" spans="6:6" x14ac:dyDescent="0.3">
      <c r="F28396" s="193"/>
    </row>
    <row r="28397" spans="6:6" x14ac:dyDescent="0.3">
      <c r="F28397" s="193"/>
    </row>
    <row r="28398" spans="6:6" x14ac:dyDescent="0.3">
      <c r="F28398" s="193"/>
    </row>
    <row r="28399" spans="6:6" x14ac:dyDescent="0.3">
      <c r="F28399" s="193"/>
    </row>
    <row r="28400" spans="6:6" x14ac:dyDescent="0.3">
      <c r="F28400" s="193"/>
    </row>
    <row r="28401" spans="6:6" x14ac:dyDescent="0.3">
      <c r="F28401" s="193"/>
    </row>
    <row r="28402" spans="6:6" x14ac:dyDescent="0.3">
      <c r="F28402" s="193"/>
    </row>
    <row r="28403" spans="6:6" x14ac:dyDescent="0.3">
      <c r="F28403" s="193"/>
    </row>
    <row r="28404" spans="6:6" x14ac:dyDescent="0.3">
      <c r="F28404" s="193"/>
    </row>
    <row r="28405" spans="6:6" x14ac:dyDescent="0.3">
      <c r="F28405" s="193"/>
    </row>
    <row r="28406" spans="6:6" x14ac:dyDescent="0.3">
      <c r="F28406" s="193"/>
    </row>
    <row r="28407" spans="6:6" x14ac:dyDescent="0.3">
      <c r="F28407" s="193"/>
    </row>
    <row r="28408" spans="6:6" x14ac:dyDescent="0.3">
      <c r="F28408" s="193"/>
    </row>
    <row r="28409" spans="6:6" x14ac:dyDescent="0.3">
      <c r="F28409" s="193"/>
    </row>
    <row r="28410" spans="6:6" x14ac:dyDescent="0.3">
      <c r="F28410" s="193"/>
    </row>
    <row r="28411" spans="6:6" x14ac:dyDescent="0.3">
      <c r="F28411" s="193"/>
    </row>
    <row r="28412" spans="6:6" x14ac:dyDescent="0.3">
      <c r="F28412" s="193"/>
    </row>
    <row r="28413" spans="6:6" x14ac:dyDescent="0.3">
      <c r="F28413" s="193"/>
    </row>
    <row r="28414" spans="6:6" x14ac:dyDescent="0.3">
      <c r="F28414" s="193"/>
    </row>
    <row r="28415" spans="6:6" x14ac:dyDescent="0.3">
      <c r="F28415" s="193"/>
    </row>
    <row r="28416" spans="6:6" x14ac:dyDescent="0.3">
      <c r="F28416" s="193"/>
    </row>
    <row r="28417" spans="6:6" x14ac:dyDescent="0.3">
      <c r="F28417" s="193"/>
    </row>
    <row r="28418" spans="6:6" x14ac:dyDescent="0.3">
      <c r="F28418" s="193"/>
    </row>
    <row r="28419" spans="6:6" x14ac:dyDescent="0.3">
      <c r="F28419" s="193"/>
    </row>
    <row r="28420" spans="6:6" x14ac:dyDescent="0.3">
      <c r="F28420" s="193"/>
    </row>
    <row r="28421" spans="6:6" x14ac:dyDescent="0.3">
      <c r="F28421" s="193"/>
    </row>
    <row r="28422" spans="6:6" x14ac:dyDescent="0.3">
      <c r="F28422" s="193"/>
    </row>
    <row r="28423" spans="6:6" x14ac:dyDescent="0.3">
      <c r="F28423" s="193"/>
    </row>
    <row r="28424" spans="6:6" x14ac:dyDescent="0.3">
      <c r="F28424" s="193"/>
    </row>
    <row r="28425" spans="6:6" x14ac:dyDescent="0.3">
      <c r="F28425" s="193"/>
    </row>
    <row r="28426" spans="6:6" x14ac:dyDescent="0.3">
      <c r="F28426" s="193"/>
    </row>
    <row r="28427" spans="6:6" x14ac:dyDescent="0.3">
      <c r="F28427" s="193"/>
    </row>
    <row r="28428" spans="6:6" x14ac:dyDescent="0.3">
      <c r="F28428" s="193"/>
    </row>
    <row r="28429" spans="6:6" x14ac:dyDescent="0.3">
      <c r="F28429" s="193"/>
    </row>
    <row r="28430" spans="6:6" x14ac:dyDescent="0.3">
      <c r="F28430" s="193"/>
    </row>
    <row r="28431" spans="6:6" x14ac:dyDescent="0.3">
      <c r="F28431" s="193"/>
    </row>
    <row r="28432" spans="6:6" x14ac:dyDescent="0.3">
      <c r="F28432" s="193"/>
    </row>
    <row r="28433" spans="6:6" x14ac:dyDescent="0.3">
      <c r="F28433" s="193"/>
    </row>
    <row r="28434" spans="6:6" x14ac:dyDescent="0.3">
      <c r="F28434" s="193"/>
    </row>
    <row r="28435" spans="6:6" x14ac:dyDescent="0.3">
      <c r="F28435" s="193"/>
    </row>
    <row r="28436" spans="6:6" x14ac:dyDescent="0.3">
      <c r="F28436" s="193"/>
    </row>
    <row r="28437" spans="6:6" x14ac:dyDescent="0.3">
      <c r="F28437" s="193"/>
    </row>
    <row r="28438" spans="6:6" x14ac:dyDescent="0.3">
      <c r="F28438" s="193"/>
    </row>
    <row r="28439" spans="6:6" x14ac:dyDescent="0.3">
      <c r="F28439" s="193"/>
    </row>
    <row r="28440" spans="6:6" x14ac:dyDescent="0.3">
      <c r="F28440" s="193"/>
    </row>
    <row r="28441" spans="6:6" x14ac:dyDescent="0.3">
      <c r="F28441" s="193"/>
    </row>
    <row r="28442" spans="6:6" x14ac:dyDescent="0.3">
      <c r="F28442" s="193"/>
    </row>
    <row r="28443" spans="6:6" x14ac:dyDescent="0.3">
      <c r="F28443" s="193"/>
    </row>
    <row r="28444" spans="6:6" x14ac:dyDescent="0.3">
      <c r="F28444" s="193"/>
    </row>
    <row r="28445" spans="6:6" x14ac:dyDescent="0.3">
      <c r="F28445" s="193"/>
    </row>
    <row r="28446" spans="6:6" x14ac:dyDescent="0.3">
      <c r="F28446" s="193"/>
    </row>
    <row r="28447" spans="6:6" x14ac:dyDescent="0.3">
      <c r="F28447" s="193"/>
    </row>
    <row r="28448" spans="6:6" x14ac:dyDescent="0.3">
      <c r="F28448" s="193"/>
    </row>
    <row r="28449" spans="6:6" x14ac:dyDescent="0.3">
      <c r="F28449" s="193"/>
    </row>
    <row r="28450" spans="6:6" x14ac:dyDescent="0.3">
      <c r="F28450" s="193"/>
    </row>
    <row r="28451" spans="6:6" x14ac:dyDescent="0.3">
      <c r="F28451" s="193"/>
    </row>
    <row r="28452" spans="6:6" x14ac:dyDescent="0.3">
      <c r="F28452" s="193"/>
    </row>
    <row r="28453" spans="6:6" x14ac:dyDescent="0.3">
      <c r="F28453" s="193"/>
    </row>
    <row r="28454" spans="6:6" x14ac:dyDescent="0.3">
      <c r="F28454" s="193"/>
    </row>
    <row r="28455" spans="6:6" x14ac:dyDescent="0.3">
      <c r="F28455" s="193"/>
    </row>
    <row r="28456" spans="6:6" x14ac:dyDescent="0.3">
      <c r="F28456" s="193"/>
    </row>
    <row r="28457" spans="6:6" x14ac:dyDescent="0.3">
      <c r="F28457" s="193"/>
    </row>
    <row r="28458" spans="6:6" x14ac:dyDescent="0.3">
      <c r="F28458" s="193"/>
    </row>
    <row r="28459" spans="6:6" x14ac:dyDescent="0.3">
      <c r="F28459" s="193"/>
    </row>
    <row r="28460" spans="6:6" x14ac:dyDescent="0.3">
      <c r="F28460" s="193"/>
    </row>
    <row r="28461" spans="6:6" x14ac:dyDescent="0.3">
      <c r="F28461" s="193"/>
    </row>
    <row r="28462" spans="6:6" x14ac:dyDescent="0.3">
      <c r="F28462" s="193"/>
    </row>
    <row r="28463" spans="6:6" x14ac:dyDescent="0.3">
      <c r="F28463" s="193"/>
    </row>
    <row r="28464" spans="6:6" x14ac:dyDescent="0.3">
      <c r="F28464" s="193"/>
    </row>
    <row r="28465" spans="6:6" x14ac:dyDescent="0.3">
      <c r="F28465" s="193"/>
    </row>
    <row r="28466" spans="6:6" x14ac:dyDescent="0.3">
      <c r="F28466" s="193"/>
    </row>
    <row r="28467" spans="6:6" x14ac:dyDescent="0.3">
      <c r="F28467" s="193"/>
    </row>
    <row r="28468" spans="6:6" x14ac:dyDescent="0.3">
      <c r="F28468" s="193"/>
    </row>
    <row r="28469" spans="6:6" x14ac:dyDescent="0.3">
      <c r="F28469" s="193"/>
    </row>
    <row r="28470" spans="6:6" x14ac:dyDescent="0.3">
      <c r="F28470" s="193"/>
    </row>
    <row r="28471" spans="6:6" x14ac:dyDescent="0.3">
      <c r="F28471" s="193"/>
    </row>
    <row r="28472" spans="6:6" x14ac:dyDescent="0.3">
      <c r="F28472" s="193"/>
    </row>
    <row r="28473" spans="6:6" x14ac:dyDescent="0.3">
      <c r="F28473" s="193"/>
    </row>
    <row r="28474" spans="6:6" x14ac:dyDescent="0.3">
      <c r="F28474" s="193"/>
    </row>
    <row r="28475" spans="6:6" x14ac:dyDescent="0.3">
      <c r="F28475" s="193"/>
    </row>
    <row r="28476" spans="6:6" x14ac:dyDescent="0.3">
      <c r="F28476" s="193"/>
    </row>
    <row r="28477" spans="6:6" x14ac:dyDescent="0.3">
      <c r="F28477" s="193"/>
    </row>
    <row r="28478" spans="6:6" x14ac:dyDescent="0.3">
      <c r="F28478" s="193"/>
    </row>
    <row r="28479" spans="6:6" x14ac:dyDescent="0.3">
      <c r="F28479" s="193"/>
    </row>
    <row r="28480" spans="6:6" x14ac:dyDescent="0.3">
      <c r="F28480" s="193"/>
    </row>
    <row r="28481" spans="6:6" x14ac:dyDescent="0.3">
      <c r="F28481" s="193"/>
    </row>
    <row r="28482" spans="6:6" x14ac:dyDescent="0.3">
      <c r="F28482" s="193"/>
    </row>
    <row r="28483" spans="6:6" x14ac:dyDescent="0.3">
      <c r="F28483" s="193"/>
    </row>
    <row r="28484" spans="6:6" x14ac:dyDescent="0.3">
      <c r="F28484" s="193"/>
    </row>
    <row r="28485" spans="6:6" x14ac:dyDescent="0.3">
      <c r="F28485" s="193"/>
    </row>
    <row r="28486" spans="6:6" x14ac:dyDescent="0.3">
      <c r="F28486" s="193"/>
    </row>
    <row r="28487" spans="6:6" x14ac:dyDescent="0.3">
      <c r="F28487" s="193"/>
    </row>
    <row r="28488" spans="6:6" x14ac:dyDescent="0.3">
      <c r="F28488" s="193"/>
    </row>
    <row r="28489" spans="6:6" x14ac:dyDescent="0.3">
      <c r="F28489" s="193"/>
    </row>
    <row r="28490" spans="6:6" x14ac:dyDescent="0.3">
      <c r="F28490" s="193"/>
    </row>
    <row r="28491" spans="6:6" x14ac:dyDescent="0.3">
      <c r="F28491" s="193"/>
    </row>
    <row r="28492" spans="6:6" x14ac:dyDescent="0.3">
      <c r="F28492" s="193"/>
    </row>
    <row r="28493" spans="6:6" x14ac:dyDescent="0.3">
      <c r="F28493" s="193"/>
    </row>
    <row r="28494" spans="6:6" x14ac:dyDescent="0.3">
      <c r="F28494" s="193"/>
    </row>
    <row r="28495" spans="6:6" x14ac:dyDescent="0.3">
      <c r="F28495" s="193"/>
    </row>
    <row r="28496" spans="6:6" x14ac:dyDescent="0.3">
      <c r="F28496" s="193"/>
    </row>
    <row r="28497" spans="6:6" x14ac:dyDescent="0.3">
      <c r="F28497" s="193"/>
    </row>
    <row r="28498" spans="6:6" x14ac:dyDescent="0.3">
      <c r="F28498" s="193"/>
    </row>
    <row r="28499" spans="6:6" x14ac:dyDescent="0.3">
      <c r="F28499" s="193"/>
    </row>
    <row r="28500" spans="6:6" x14ac:dyDescent="0.3">
      <c r="F28500" s="193"/>
    </row>
    <row r="28501" spans="6:6" x14ac:dyDescent="0.3">
      <c r="F28501" s="193"/>
    </row>
    <row r="28502" spans="6:6" x14ac:dyDescent="0.3">
      <c r="F28502" s="193"/>
    </row>
    <row r="28503" spans="6:6" x14ac:dyDescent="0.3">
      <c r="F28503" s="193"/>
    </row>
    <row r="28504" spans="6:6" x14ac:dyDescent="0.3">
      <c r="F28504" s="193"/>
    </row>
    <row r="28505" spans="6:6" x14ac:dyDescent="0.3">
      <c r="F28505" s="193"/>
    </row>
    <row r="28506" spans="6:6" x14ac:dyDescent="0.3">
      <c r="F28506" s="193"/>
    </row>
    <row r="28507" spans="6:6" x14ac:dyDescent="0.3">
      <c r="F28507" s="193"/>
    </row>
    <row r="28508" spans="6:6" x14ac:dyDescent="0.3">
      <c r="F28508" s="193"/>
    </row>
    <row r="28509" spans="6:6" x14ac:dyDescent="0.3">
      <c r="F28509" s="193"/>
    </row>
    <row r="28510" spans="6:6" x14ac:dyDescent="0.3">
      <c r="F28510" s="193"/>
    </row>
    <row r="28511" spans="6:6" x14ac:dyDescent="0.3">
      <c r="F28511" s="193"/>
    </row>
    <row r="28512" spans="6:6" x14ac:dyDescent="0.3">
      <c r="F28512" s="193"/>
    </row>
    <row r="28513" spans="6:6" x14ac:dyDescent="0.3">
      <c r="F28513" s="193"/>
    </row>
    <row r="28514" spans="6:6" x14ac:dyDescent="0.3">
      <c r="F28514" s="193"/>
    </row>
    <row r="28515" spans="6:6" x14ac:dyDescent="0.3">
      <c r="F28515" s="193"/>
    </row>
    <row r="28516" spans="6:6" x14ac:dyDescent="0.3">
      <c r="F28516" s="193"/>
    </row>
    <row r="28517" spans="6:6" x14ac:dyDescent="0.3">
      <c r="F28517" s="193"/>
    </row>
    <row r="28518" spans="6:6" x14ac:dyDescent="0.3">
      <c r="F28518" s="193"/>
    </row>
    <row r="28519" spans="6:6" x14ac:dyDescent="0.3">
      <c r="F28519" s="193"/>
    </row>
    <row r="28520" spans="6:6" x14ac:dyDescent="0.3">
      <c r="F28520" s="193"/>
    </row>
    <row r="28521" spans="6:6" x14ac:dyDescent="0.3">
      <c r="F28521" s="193"/>
    </row>
    <row r="28522" spans="6:6" x14ac:dyDescent="0.3">
      <c r="F28522" s="193"/>
    </row>
    <row r="28523" spans="6:6" x14ac:dyDescent="0.3">
      <c r="F28523" s="193"/>
    </row>
    <row r="28524" spans="6:6" x14ac:dyDescent="0.3">
      <c r="F28524" s="193"/>
    </row>
    <row r="28525" spans="6:6" x14ac:dyDescent="0.3">
      <c r="F28525" s="193"/>
    </row>
    <row r="28526" spans="6:6" x14ac:dyDescent="0.3">
      <c r="F28526" s="193"/>
    </row>
    <row r="28527" spans="6:6" x14ac:dyDescent="0.3">
      <c r="F28527" s="193"/>
    </row>
    <row r="28528" spans="6:6" x14ac:dyDescent="0.3">
      <c r="F28528" s="193"/>
    </row>
    <row r="28529" spans="6:6" x14ac:dyDescent="0.3">
      <c r="F28529" s="193"/>
    </row>
    <row r="28530" spans="6:6" x14ac:dyDescent="0.3">
      <c r="F28530" s="193"/>
    </row>
    <row r="28531" spans="6:6" x14ac:dyDescent="0.3">
      <c r="F28531" s="193"/>
    </row>
    <row r="28532" spans="6:6" x14ac:dyDescent="0.3">
      <c r="F28532" s="193"/>
    </row>
    <row r="28533" spans="6:6" x14ac:dyDescent="0.3">
      <c r="F28533" s="193"/>
    </row>
    <row r="28534" spans="6:6" x14ac:dyDescent="0.3">
      <c r="F28534" s="193"/>
    </row>
    <row r="28535" spans="6:6" x14ac:dyDescent="0.3">
      <c r="F28535" s="193"/>
    </row>
    <row r="28536" spans="6:6" x14ac:dyDescent="0.3">
      <c r="F28536" s="193"/>
    </row>
    <row r="28537" spans="6:6" x14ac:dyDescent="0.3">
      <c r="F28537" s="193"/>
    </row>
    <row r="28538" spans="6:6" x14ac:dyDescent="0.3">
      <c r="F28538" s="193"/>
    </row>
    <row r="28539" spans="6:6" x14ac:dyDescent="0.3">
      <c r="F28539" s="193"/>
    </row>
    <row r="28540" spans="6:6" x14ac:dyDescent="0.3">
      <c r="F28540" s="193"/>
    </row>
    <row r="28541" spans="6:6" x14ac:dyDescent="0.3">
      <c r="F28541" s="193"/>
    </row>
    <row r="28542" spans="6:6" x14ac:dyDescent="0.3">
      <c r="F28542" s="193"/>
    </row>
    <row r="28543" spans="6:6" x14ac:dyDescent="0.3">
      <c r="F28543" s="193"/>
    </row>
    <row r="28544" spans="6:6" x14ac:dyDescent="0.3">
      <c r="F28544" s="193"/>
    </row>
    <row r="28545" spans="6:6" x14ac:dyDescent="0.3">
      <c r="F28545" s="193"/>
    </row>
    <row r="28546" spans="6:6" x14ac:dyDescent="0.3">
      <c r="F28546" s="193"/>
    </row>
    <row r="28547" spans="6:6" x14ac:dyDescent="0.3">
      <c r="F28547" s="193"/>
    </row>
    <row r="28548" spans="6:6" x14ac:dyDescent="0.3">
      <c r="F28548" s="193"/>
    </row>
    <row r="28549" spans="6:6" x14ac:dyDescent="0.3">
      <c r="F28549" s="193"/>
    </row>
    <row r="28550" spans="6:6" x14ac:dyDescent="0.3">
      <c r="F28550" s="193"/>
    </row>
    <row r="28551" spans="6:6" x14ac:dyDescent="0.3">
      <c r="F28551" s="193"/>
    </row>
    <row r="28552" spans="6:6" x14ac:dyDescent="0.3">
      <c r="F28552" s="193"/>
    </row>
    <row r="28553" spans="6:6" x14ac:dyDescent="0.3">
      <c r="F28553" s="193"/>
    </row>
    <row r="28554" spans="6:6" x14ac:dyDescent="0.3">
      <c r="F28554" s="193"/>
    </row>
    <row r="28555" spans="6:6" x14ac:dyDescent="0.3">
      <c r="F28555" s="193"/>
    </row>
    <row r="28556" spans="6:6" x14ac:dyDescent="0.3">
      <c r="F28556" s="193"/>
    </row>
    <row r="28557" spans="6:6" x14ac:dyDescent="0.3">
      <c r="F28557" s="193"/>
    </row>
    <row r="28558" spans="6:6" x14ac:dyDescent="0.3">
      <c r="F28558" s="193"/>
    </row>
    <row r="28559" spans="6:6" x14ac:dyDescent="0.3">
      <c r="F28559" s="193"/>
    </row>
    <row r="28560" spans="6:6" x14ac:dyDescent="0.3">
      <c r="F28560" s="193"/>
    </row>
    <row r="28561" spans="6:6" x14ac:dyDescent="0.3">
      <c r="F28561" s="193"/>
    </row>
    <row r="28562" spans="6:6" x14ac:dyDescent="0.3">
      <c r="F28562" s="193"/>
    </row>
    <row r="28563" spans="6:6" x14ac:dyDescent="0.3">
      <c r="F28563" s="193"/>
    </row>
    <row r="28564" spans="6:6" x14ac:dyDescent="0.3">
      <c r="F28564" s="193"/>
    </row>
    <row r="28565" spans="6:6" x14ac:dyDescent="0.3">
      <c r="F28565" s="193"/>
    </row>
    <row r="28566" spans="6:6" x14ac:dyDescent="0.3">
      <c r="F28566" s="193"/>
    </row>
    <row r="28567" spans="6:6" x14ac:dyDescent="0.3">
      <c r="F28567" s="193"/>
    </row>
    <row r="28568" spans="6:6" x14ac:dyDescent="0.3">
      <c r="F28568" s="193"/>
    </row>
    <row r="28569" spans="6:6" x14ac:dyDescent="0.3">
      <c r="F28569" s="193"/>
    </row>
    <row r="28570" spans="6:6" x14ac:dyDescent="0.3">
      <c r="F28570" s="193"/>
    </row>
    <row r="28571" spans="6:6" x14ac:dyDescent="0.3">
      <c r="F28571" s="193"/>
    </row>
    <row r="28572" spans="6:6" x14ac:dyDescent="0.3">
      <c r="F28572" s="193"/>
    </row>
    <row r="28573" spans="6:6" x14ac:dyDescent="0.3">
      <c r="F28573" s="193"/>
    </row>
    <row r="28574" spans="6:6" x14ac:dyDescent="0.3">
      <c r="F28574" s="193"/>
    </row>
    <row r="28575" spans="6:6" x14ac:dyDescent="0.3">
      <c r="F28575" s="193"/>
    </row>
    <row r="28576" spans="6:6" x14ac:dyDescent="0.3">
      <c r="F28576" s="193"/>
    </row>
    <row r="28577" spans="6:6" x14ac:dyDescent="0.3">
      <c r="F28577" s="193"/>
    </row>
    <row r="28578" spans="6:6" x14ac:dyDescent="0.3">
      <c r="F28578" s="193"/>
    </row>
    <row r="28579" spans="6:6" x14ac:dyDescent="0.3">
      <c r="F28579" s="193"/>
    </row>
    <row r="28580" spans="6:6" x14ac:dyDescent="0.3">
      <c r="F28580" s="193"/>
    </row>
    <row r="28581" spans="6:6" x14ac:dyDescent="0.3">
      <c r="F28581" s="193"/>
    </row>
    <row r="28582" spans="6:6" x14ac:dyDescent="0.3">
      <c r="F28582" s="193"/>
    </row>
    <row r="28583" spans="6:6" x14ac:dyDescent="0.3">
      <c r="F28583" s="193"/>
    </row>
    <row r="28584" spans="6:6" x14ac:dyDescent="0.3">
      <c r="F28584" s="193"/>
    </row>
    <row r="28585" spans="6:6" x14ac:dyDescent="0.3">
      <c r="F28585" s="193"/>
    </row>
    <row r="28586" spans="6:6" x14ac:dyDescent="0.3">
      <c r="F28586" s="193"/>
    </row>
    <row r="28587" spans="6:6" x14ac:dyDescent="0.3">
      <c r="F28587" s="193"/>
    </row>
    <row r="28588" spans="6:6" x14ac:dyDescent="0.3">
      <c r="F28588" s="193"/>
    </row>
    <row r="28589" spans="6:6" x14ac:dyDescent="0.3">
      <c r="F28589" s="193"/>
    </row>
    <row r="28590" spans="6:6" x14ac:dyDescent="0.3">
      <c r="F28590" s="193"/>
    </row>
    <row r="28591" spans="6:6" x14ac:dyDescent="0.3">
      <c r="F28591" s="193"/>
    </row>
    <row r="28592" spans="6:6" x14ac:dyDescent="0.3">
      <c r="F28592" s="193"/>
    </row>
    <row r="28593" spans="6:6" x14ac:dyDescent="0.3">
      <c r="F28593" s="193"/>
    </row>
    <row r="28594" spans="6:6" x14ac:dyDescent="0.3">
      <c r="F28594" s="193"/>
    </row>
    <row r="28595" spans="6:6" x14ac:dyDescent="0.3">
      <c r="F28595" s="193"/>
    </row>
    <row r="28596" spans="6:6" x14ac:dyDescent="0.3">
      <c r="F28596" s="193"/>
    </row>
    <row r="28597" spans="6:6" x14ac:dyDescent="0.3">
      <c r="F28597" s="193"/>
    </row>
    <row r="28598" spans="6:6" x14ac:dyDescent="0.3">
      <c r="F28598" s="193"/>
    </row>
    <row r="28599" spans="6:6" x14ac:dyDescent="0.3">
      <c r="F28599" s="193"/>
    </row>
    <row r="28600" spans="6:6" x14ac:dyDescent="0.3">
      <c r="F28600" s="193"/>
    </row>
    <row r="28601" spans="6:6" x14ac:dyDescent="0.3">
      <c r="F28601" s="193"/>
    </row>
    <row r="28602" spans="6:6" x14ac:dyDescent="0.3">
      <c r="F28602" s="193"/>
    </row>
    <row r="28603" spans="6:6" x14ac:dyDescent="0.3">
      <c r="F28603" s="193"/>
    </row>
    <row r="28604" spans="6:6" x14ac:dyDescent="0.3">
      <c r="F28604" s="193"/>
    </row>
    <row r="28605" spans="6:6" x14ac:dyDescent="0.3">
      <c r="F28605" s="193"/>
    </row>
    <row r="28606" spans="6:6" x14ac:dyDescent="0.3">
      <c r="F28606" s="193"/>
    </row>
    <row r="28607" spans="6:6" x14ac:dyDescent="0.3">
      <c r="F28607" s="193"/>
    </row>
    <row r="28608" spans="6:6" x14ac:dyDescent="0.3">
      <c r="F28608" s="193"/>
    </row>
    <row r="28609" spans="6:6" x14ac:dyDescent="0.3">
      <c r="F28609" s="193"/>
    </row>
    <row r="28610" spans="6:6" x14ac:dyDescent="0.3">
      <c r="F28610" s="193"/>
    </row>
    <row r="28611" spans="6:6" x14ac:dyDescent="0.3">
      <c r="F28611" s="193"/>
    </row>
    <row r="28612" spans="6:6" x14ac:dyDescent="0.3">
      <c r="F28612" s="193"/>
    </row>
    <row r="28613" spans="6:6" x14ac:dyDescent="0.3">
      <c r="F28613" s="193"/>
    </row>
    <row r="28614" spans="6:6" x14ac:dyDescent="0.3">
      <c r="F28614" s="193"/>
    </row>
    <row r="28615" spans="6:6" x14ac:dyDescent="0.3">
      <c r="F28615" s="193"/>
    </row>
    <row r="28616" spans="6:6" x14ac:dyDescent="0.3">
      <c r="F28616" s="193"/>
    </row>
    <row r="28617" spans="6:6" x14ac:dyDescent="0.3">
      <c r="F28617" s="193"/>
    </row>
    <row r="28618" spans="6:6" x14ac:dyDescent="0.3">
      <c r="F28618" s="193"/>
    </row>
    <row r="28619" spans="6:6" x14ac:dyDescent="0.3">
      <c r="F28619" s="193"/>
    </row>
    <row r="28620" spans="6:6" x14ac:dyDescent="0.3">
      <c r="F28620" s="193"/>
    </row>
    <row r="28621" spans="6:6" x14ac:dyDescent="0.3">
      <c r="F28621" s="193"/>
    </row>
    <row r="28622" spans="6:6" x14ac:dyDescent="0.3">
      <c r="F28622" s="193"/>
    </row>
    <row r="28623" spans="6:6" x14ac:dyDescent="0.3">
      <c r="F28623" s="193"/>
    </row>
    <row r="28624" spans="6:6" x14ac:dyDescent="0.3">
      <c r="F28624" s="193"/>
    </row>
    <row r="28625" spans="6:6" x14ac:dyDescent="0.3">
      <c r="F28625" s="193"/>
    </row>
    <row r="28626" spans="6:6" x14ac:dyDescent="0.3">
      <c r="F28626" s="193"/>
    </row>
    <row r="28627" spans="6:6" x14ac:dyDescent="0.3">
      <c r="F28627" s="193"/>
    </row>
    <row r="28628" spans="6:6" x14ac:dyDescent="0.3">
      <c r="F28628" s="193"/>
    </row>
    <row r="28629" spans="6:6" x14ac:dyDescent="0.3">
      <c r="F28629" s="193"/>
    </row>
    <row r="28630" spans="6:6" x14ac:dyDescent="0.3">
      <c r="F28630" s="193"/>
    </row>
    <row r="28631" spans="6:6" x14ac:dyDescent="0.3">
      <c r="F28631" s="193"/>
    </row>
    <row r="28632" spans="6:6" x14ac:dyDescent="0.3">
      <c r="F28632" s="193"/>
    </row>
    <row r="28633" spans="6:6" x14ac:dyDescent="0.3">
      <c r="F28633" s="193"/>
    </row>
    <row r="28634" spans="6:6" x14ac:dyDescent="0.3">
      <c r="F28634" s="193"/>
    </row>
    <row r="28635" spans="6:6" x14ac:dyDescent="0.3">
      <c r="F28635" s="193"/>
    </row>
    <row r="28636" spans="6:6" x14ac:dyDescent="0.3">
      <c r="F28636" s="193"/>
    </row>
    <row r="28637" spans="6:6" x14ac:dyDescent="0.3">
      <c r="F28637" s="193"/>
    </row>
    <row r="28638" spans="6:6" x14ac:dyDescent="0.3">
      <c r="F28638" s="193"/>
    </row>
    <row r="28639" spans="6:6" x14ac:dyDescent="0.3">
      <c r="F28639" s="193"/>
    </row>
    <row r="28640" spans="6:6" x14ac:dyDescent="0.3">
      <c r="F28640" s="193"/>
    </row>
    <row r="28641" spans="6:6" x14ac:dyDescent="0.3">
      <c r="F28641" s="193"/>
    </row>
    <row r="28642" spans="6:6" x14ac:dyDescent="0.3">
      <c r="F28642" s="193"/>
    </row>
    <row r="28643" spans="6:6" x14ac:dyDescent="0.3">
      <c r="F28643" s="193"/>
    </row>
    <row r="28644" spans="6:6" x14ac:dyDescent="0.3">
      <c r="F28644" s="193"/>
    </row>
    <row r="28645" spans="6:6" x14ac:dyDescent="0.3">
      <c r="F28645" s="193"/>
    </row>
    <row r="28646" spans="6:6" x14ac:dyDescent="0.3">
      <c r="F28646" s="193"/>
    </row>
    <row r="28647" spans="6:6" x14ac:dyDescent="0.3">
      <c r="F28647" s="193"/>
    </row>
    <row r="28648" spans="6:6" x14ac:dyDescent="0.3">
      <c r="F28648" s="193"/>
    </row>
    <row r="28649" spans="6:6" x14ac:dyDescent="0.3">
      <c r="F28649" s="193"/>
    </row>
    <row r="28650" spans="6:6" x14ac:dyDescent="0.3">
      <c r="F28650" s="193"/>
    </row>
    <row r="28651" spans="6:6" x14ac:dyDescent="0.3">
      <c r="F28651" s="193"/>
    </row>
    <row r="28652" spans="6:6" x14ac:dyDescent="0.3">
      <c r="F28652" s="193"/>
    </row>
    <row r="28653" spans="6:6" x14ac:dyDescent="0.3">
      <c r="F28653" s="193"/>
    </row>
    <row r="28654" spans="6:6" x14ac:dyDescent="0.3">
      <c r="F28654" s="193"/>
    </row>
    <row r="28655" spans="6:6" x14ac:dyDescent="0.3">
      <c r="F28655" s="193"/>
    </row>
    <row r="28656" spans="6:6" x14ac:dyDescent="0.3">
      <c r="F28656" s="193"/>
    </row>
    <row r="28657" spans="6:6" x14ac:dyDescent="0.3">
      <c r="F28657" s="193"/>
    </row>
    <row r="28658" spans="6:6" x14ac:dyDescent="0.3">
      <c r="F28658" s="193"/>
    </row>
    <row r="28659" spans="6:6" x14ac:dyDescent="0.3">
      <c r="F28659" s="193"/>
    </row>
    <row r="28660" spans="6:6" x14ac:dyDescent="0.3">
      <c r="F28660" s="193"/>
    </row>
    <row r="28661" spans="6:6" x14ac:dyDescent="0.3">
      <c r="F28661" s="193"/>
    </row>
    <row r="28662" spans="6:6" x14ac:dyDescent="0.3">
      <c r="F28662" s="193"/>
    </row>
    <row r="28663" spans="6:6" x14ac:dyDescent="0.3">
      <c r="F28663" s="193"/>
    </row>
    <row r="28664" spans="6:6" x14ac:dyDescent="0.3">
      <c r="F28664" s="193"/>
    </row>
    <row r="28665" spans="6:6" x14ac:dyDescent="0.3">
      <c r="F28665" s="193"/>
    </row>
    <row r="28666" spans="6:6" x14ac:dyDescent="0.3">
      <c r="F28666" s="193"/>
    </row>
    <row r="28667" spans="6:6" x14ac:dyDescent="0.3">
      <c r="F28667" s="193"/>
    </row>
    <row r="28668" spans="6:6" x14ac:dyDescent="0.3">
      <c r="F28668" s="193"/>
    </row>
    <row r="28669" spans="6:6" x14ac:dyDescent="0.3">
      <c r="F28669" s="193"/>
    </row>
    <row r="28670" spans="6:6" x14ac:dyDescent="0.3">
      <c r="F28670" s="193"/>
    </row>
    <row r="28671" spans="6:6" x14ac:dyDescent="0.3">
      <c r="F28671" s="193"/>
    </row>
    <row r="28672" spans="6:6" x14ac:dyDescent="0.3">
      <c r="F28672" s="193"/>
    </row>
    <row r="28673" spans="6:6" x14ac:dyDescent="0.3">
      <c r="F28673" s="193"/>
    </row>
    <row r="28674" spans="6:6" x14ac:dyDescent="0.3">
      <c r="F28674" s="193"/>
    </row>
    <row r="28675" spans="6:6" x14ac:dyDescent="0.3">
      <c r="F28675" s="193"/>
    </row>
    <row r="28676" spans="6:6" x14ac:dyDescent="0.3">
      <c r="F28676" s="193"/>
    </row>
    <row r="28677" spans="6:6" x14ac:dyDescent="0.3">
      <c r="F28677" s="193"/>
    </row>
    <row r="28678" spans="6:6" x14ac:dyDescent="0.3">
      <c r="F28678" s="193"/>
    </row>
    <row r="28679" spans="6:6" x14ac:dyDescent="0.3">
      <c r="F28679" s="193"/>
    </row>
    <row r="28680" spans="6:6" x14ac:dyDescent="0.3">
      <c r="F28680" s="193"/>
    </row>
    <row r="28681" spans="6:6" x14ac:dyDescent="0.3">
      <c r="F28681" s="193"/>
    </row>
    <row r="28682" spans="6:6" x14ac:dyDescent="0.3">
      <c r="F28682" s="193"/>
    </row>
    <row r="28683" spans="6:6" x14ac:dyDescent="0.3">
      <c r="F28683" s="193"/>
    </row>
    <row r="28684" spans="6:6" x14ac:dyDescent="0.3">
      <c r="F28684" s="193"/>
    </row>
    <row r="28685" spans="6:6" x14ac:dyDescent="0.3">
      <c r="F28685" s="193"/>
    </row>
    <row r="28686" spans="6:6" x14ac:dyDescent="0.3">
      <c r="F28686" s="193"/>
    </row>
    <row r="28687" spans="6:6" x14ac:dyDescent="0.3">
      <c r="F28687" s="193"/>
    </row>
    <row r="28688" spans="6:6" x14ac:dyDescent="0.3">
      <c r="F28688" s="193"/>
    </row>
    <row r="28689" spans="6:6" x14ac:dyDescent="0.3">
      <c r="F28689" s="193"/>
    </row>
    <row r="28690" spans="6:6" x14ac:dyDescent="0.3">
      <c r="F28690" s="193"/>
    </row>
    <row r="28691" spans="6:6" x14ac:dyDescent="0.3">
      <c r="F28691" s="193"/>
    </row>
    <row r="28692" spans="6:6" x14ac:dyDescent="0.3">
      <c r="F28692" s="193"/>
    </row>
    <row r="28693" spans="6:6" x14ac:dyDescent="0.3">
      <c r="F28693" s="193"/>
    </row>
    <row r="28694" spans="6:6" x14ac:dyDescent="0.3">
      <c r="F28694" s="193"/>
    </row>
    <row r="28695" spans="6:6" x14ac:dyDescent="0.3">
      <c r="F28695" s="193"/>
    </row>
    <row r="28696" spans="6:6" x14ac:dyDescent="0.3">
      <c r="F28696" s="193"/>
    </row>
    <row r="28697" spans="6:6" x14ac:dyDescent="0.3">
      <c r="F28697" s="193"/>
    </row>
    <row r="28698" spans="6:6" x14ac:dyDescent="0.3">
      <c r="F28698" s="193"/>
    </row>
    <row r="28699" spans="6:6" x14ac:dyDescent="0.3">
      <c r="F28699" s="193"/>
    </row>
    <row r="28700" spans="6:6" x14ac:dyDescent="0.3">
      <c r="F28700" s="193"/>
    </row>
    <row r="28701" spans="6:6" x14ac:dyDescent="0.3">
      <c r="F28701" s="193"/>
    </row>
    <row r="28702" spans="6:6" x14ac:dyDescent="0.3">
      <c r="F28702" s="193"/>
    </row>
    <row r="28703" spans="6:6" x14ac:dyDescent="0.3">
      <c r="F28703" s="193"/>
    </row>
    <row r="28704" spans="6:6" x14ac:dyDescent="0.3">
      <c r="F28704" s="193"/>
    </row>
    <row r="28705" spans="6:6" x14ac:dyDescent="0.3">
      <c r="F28705" s="193"/>
    </row>
    <row r="28706" spans="6:6" x14ac:dyDescent="0.3">
      <c r="F28706" s="193"/>
    </row>
    <row r="28707" spans="6:6" x14ac:dyDescent="0.3">
      <c r="F28707" s="193"/>
    </row>
    <row r="28708" spans="6:6" x14ac:dyDescent="0.3">
      <c r="F28708" s="193"/>
    </row>
    <row r="28709" spans="6:6" x14ac:dyDescent="0.3">
      <c r="F28709" s="193"/>
    </row>
    <row r="28710" spans="6:6" x14ac:dyDescent="0.3">
      <c r="F28710" s="193"/>
    </row>
    <row r="28711" spans="6:6" x14ac:dyDescent="0.3">
      <c r="F28711" s="193"/>
    </row>
    <row r="28712" spans="6:6" x14ac:dyDescent="0.3">
      <c r="F28712" s="193"/>
    </row>
    <row r="28713" spans="6:6" x14ac:dyDescent="0.3">
      <c r="F28713" s="193"/>
    </row>
    <row r="28714" spans="6:6" x14ac:dyDescent="0.3">
      <c r="F28714" s="193"/>
    </row>
    <row r="28715" spans="6:6" x14ac:dyDescent="0.3">
      <c r="F28715" s="193"/>
    </row>
    <row r="28716" spans="6:6" x14ac:dyDescent="0.3">
      <c r="F28716" s="193"/>
    </row>
    <row r="28717" spans="6:6" x14ac:dyDescent="0.3">
      <c r="F28717" s="193"/>
    </row>
    <row r="28718" spans="6:6" x14ac:dyDescent="0.3">
      <c r="F28718" s="193"/>
    </row>
    <row r="28719" spans="6:6" x14ac:dyDescent="0.3">
      <c r="F28719" s="193"/>
    </row>
    <row r="28720" spans="6:6" x14ac:dyDescent="0.3">
      <c r="F28720" s="193"/>
    </row>
    <row r="28721" spans="6:6" x14ac:dyDescent="0.3">
      <c r="F28721" s="193"/>
    </row>
    <row r="28722" spans="6:6" x14ac:dyDescent="0.3">
      <c r="F28722" s="193"/>
    </row>
    <row r="28723" spans="6:6" x14ac:dyDescent="0.3">
      <c r="F28723" s="193"/>
    </row>
    <row r="28724" spans="6:6" x14ac:dyDescent="0.3">
      <c r="F28724" s="193"/>
    </row>
    <row r="28725" spans="6:6" x14ac:dyDescent="0.3">
      <c r="F28725" s="193"/>
    </row>
    <row r="28726" spans="6:6" x14ac:dyDescent="0.3">
      <c r="F28726" s="193"/>
    </row>
    <row r="28727" spans="6:6" x14ac:dyDescent="0.3">
      <c r="F28727" s="193"/>
    </row>
    <row r="28728" spans="6:6" x14ac:dyDescent="0.3">
      <c r="F28728" s="193"/>
    </row>
    <row r="28729" spans="6:6" x14ac:dyDescent="0.3">
      <c r="F28729" s="193"/>
    </row>
    <row r="28730" spans="6:6" x14ac:dyDescent="0.3">
      <c r="F28730" s="193"/>
    </row>
    <row r="28731" spans="6:6" x14ac:dyDescent="0.3">
      <c r="F28731" s="193"/>
    </row>
    <row r="28732" spans="6:6" x14ac:dyDescent="0.3">
      <c r="F28732" s="193"/>
    </row>
    <row r="28733" spans="6:6" x14ac:dyDescent="0.3">
      <c r="F28733" s="193"/>
    </row>
    <row r="28734" spans="6:6" x14ac:dyDescent="0.3">
      <c r="F28734" s="193"/>
    </row>
    <row r="28735" spans="6:6" x14ac:dyDescent="0.3">
      <c r="F28735" s="193"/>
    </row>
    <row r="28736" spans="6:6" x14ac:dyDescent="0.3">
      <c r="F28736" s="193"/>
    </row>
    <row r="28737" spans="6:6" x14ac:dyDescent="0.3">
      <c r="F28737" s="193"/>
    </row>
    <row r="28738" spans="6:6" x14ac:dyDescent="0.3">
      <c r="F28738" s="193"/>
    </row>
    <row r="28739" spans="6:6" x14ac:dyDescent="0.3">
      <c r="F28739" s="193"/>
    </row>
    <row r="28740" spans="6:6" x14ac:dyDescent="0.3">
      <c r="F28740" s="193"/>
    </row>
    <row r="28741" spans="6:6" x14ac:dyDescent="0.3">
      <c r="F28741" s="193"/>
    </row>
    <row r="28742" spans="6:6" x14ac:dyDescent="0.3">
      <c r="F28742" s="193"/>
    </row>
    <row r="28743" spans="6:6" x14ac:dyDescent="0.3">
      <c r="F28743" s="193"/>
    </row>
    <row r="28744" spans="6:6" x14ac:dyDescent="0.3">
      <c r="F28744" s="193"/>
    </row>
    <row r="28745" spans="6:6" x14ac:dyDescent="0.3">
      <c r="F28745" s="193"/>
    </row>
    <row r="28746" spans="6:6" x14ac:dyDescent="0.3">
      <c r="F28746" s="193"/>
    </row>
    <row r="28747" spans="6:6" x14ac:dyDescent="0.3">
      <c r="F28747" s="193"/>
    </row>
    <row r="28748" spans="6:6" x14ac:dyDescent="0.3">
      <c r="F28748" s="193"/>
    </row>
    <row r="28749" spans="6:6" x14ac:dyDescent="0.3">
      <c r="F28749" s="193"/>
    </row>
    <row r="28750" spans="6:6" x14ac:dyDescent="0.3">
      <c r="F28750" s="193"/>
    </row>
    <row r="28751" spans="6:6" x14ac:dyDescent="0.3">
      <c r="F28751" s="193"/>
    </row>
    <row r="28752" spans="6:6" x14ac:dyDescent="0.3">
      <c r="F28752" s="193"/>
    </row>
    <row r="28753" spans="6:6" x14ac:dyDescent="0.3">
      <c r="F28753" s="193"/>
    </row>
    <row r="28754" spans="6:6" x14ac:dyDescent="0.3">
      <c r="F28754" s="193"/>
    </row>
    <row r="28755" spans="6:6" x14ac:dyDescent="0.3">
      <c r="F28755" s="193"/>
    </row>
    <row r="28756" spans="6:6" x14ac:dyDescent="0.3">
      <c r="F28756" s="193"/>
    </row>
    <row r="28757" spans="6:6" x14ac:dyDescent="0.3">
      <c r="F28757" s="193"/>
    </row>
    <row r="28758" spans="6:6" x14ac:dyDescent="0.3">
      <c r="F28758" s="193"/>
    </row>
    <row r="28759" spans="6:6" x14ac:dyDescent="0.3">
      <c r="F28759" s="193"/>
    </row>
    <row r="28760" spans="6:6" x14ac:dyDescent="0.3">
      <c r="F28760" s="193"/>
    </row>
    <row r="28761" spans="6:6" x14ac:dyDescent="0.3">
      <c r="F28761" s="193"/>
    </row>
    <row r="28762" spans="6:6" x14ac:dyDescent="0.3">
      <c r="F28762" s="193"/>
    </row>
    <row r="28763" spans="6:6" x14ac:dyDescent="0.3">
      <c r="F28763" s="193"/>
    </row>
    <row r="28764" spans="6:6" x14ac:dyDescent="0.3">
      <c r="F28764" s="193"/>
    </row>
    <row r="28765" spans="6:6" x14ac:dyDescent="0.3">
      <c r="F28765" s="193"/>
    </row>
    <row r="28766" spans="6:6" x14ac:dyDescent="0.3">
      <c r="F28766" s="193"/>
    </row>
    <row r="28767" spans="6:6" x14ac:dyDescent="0.3">
      <c r="F28767" s="193"/>
    </row>
    <row r="28768" spans="6:6" x14ac:dyDescent="0.3">
      <c r="F28768" s="193"/>
    </row>
    <row r="28769" spans="6:6" x14ac:dyDescent="0.3">
      <c r="F28769" s="193"/>
    </row>
    <row r="28770" spans="6:6" x14ac:dyDescent="0.3">
      <c r="F28770" s="193"/>
    </row>
    <row r="28771" spans="6:6" x14ac:dyDescent="0.3">
      <c r="F28771" s="193"/>
    </row>
    <row r="28772" spans="6:6" x14ac:dyDescent="0.3">
      <c r="F28772" s="193"/>
    </row>
    <row r="28773" spans="6:6" x14ac:dyDescent="0.3">
      <c r="F28773" s="193"/>
    </row>
    <row r="28774" spans="6:6" x14ac:dyDescent="0.3">
      <c r="F28774" s="193"/>
    </row>
    <row r="28775" spans="6:6" x14ac:dyDescent="0.3">
      <c r="F28775" s="193"/>
    </row>
    <row r="28776" spans="6:6" x14ac:dyDescent="0.3">
      <c r="F28776" s="193"/>
    </row>
    <row r="28777" spans="6:6" x14ac:dyDescent="0.3">
      <c r="F28777" s="193"/>
    </row>
    <row r="28778" spans="6:6" x14ac:dyDescent="0.3">
      <c r="F28778" s="193"/>
    </row>
    <row r="28779" spans="6:6" x14ac:dyDescent="0.3">
      <c r="F28779" s="193"/>
    </row>
    <row r="28780" spans="6:6" x14ac:dyDescent="0.3">
      <c r="F28780" s="193"/>
    </row>
    <row r="28781" spans="6:6" x14ac:dyDescent="0.3">
      <c r="F28781" s="193"/>
    </row>
    <row r="28782" spans="6:6" x14ac:dyDescent="0.3">
      <c r="F28782" s="193"/>
    </row>
    <row r="28783" spans="6:6" x14ac:dyDescent="0.3">
      <c r="F28783" s="193"/>
    </row>
    <row r="28784" spans="6:6" x14ac:dyDescent="0.3">
      <c r="F28784" s="193"/>
    </row>
    <row r="28785" spans="6:6" x14ac:dyDescent="0.3">
      <c r="F28785" s="193"/>
    </row>
    <row r="28786" spans="6:6" x14ac:dyDescent="0.3">
      <c r="F28786" s="193"/>
    </row>
    <row r="28787" spans="6:6" x14ac:dyDescent="0.3">
      <c r="F28787" s="193"/>
    </row>
    <row r="28788" spans="6:6" x14ac:dyDescent="0.3">
      <c r="F28788" s="193"/>
    </row>
    <row r="28789" spans="6:6" x14ac:dyDescent="0.3">
      <c r="F28789" s="193"/>
    </row>
    <row r="28790" spans="6:6" x14ac:dyDescent="0.3">
      <c r="F28790" s="193"/>
    </row>
    <row r="28791" spans="6:6" x14ac:dyDescent="0.3">
      <c r="F28791" s="193"/>
    </row>
    <row r="28792" spans="6:6" x14ac:dyDescent="0.3">
      <c r="F28792" s="193"/>
    </row>
    <row r="28793" spans="6:6" x14ac:dyDescent="0.3">
      <c r="F28793" s="193"/>
    </row>
    <row r="28794" spans="6:6" x14ac:dyDescent="0.3">
      <c r="F28794" s="193"/>
    </row>
    <row r="28795" spans="6:6" x14ac:dyDescent="0.3">
      <c r="F28795" s="193"/>
    </row>
    <row r="28796" spans="6:6" x14ac:dyDescent="0.3">
      <c r="F28796" s="193"/>
    </row>
    <row r="28797" spans="6:6" x14ac:dyDescent="0.3">
      <c r="F28797" s="193"/>
    </row>
    <row r="28798" spans="6:6" x14ac:dyDescent="0.3">
      <c r="F28798" s="193"/>
    </row>
    <row r="28799" spans="6:6" x14ac:dyDescent="0.3">
      <c r="F28799" s="193"/>
    </row>
    <row r="28800" spans="6:6" x14ac:dyDescent="0.3">
      <c r="F28800" s="193"/>
    </row>
    <row r="28801" spans="6:6" x14ac:dyDescent="0.3">
      <c r="F28801" s="193"/>
    </row>
    <row r="28802" spans="6:6" x14ac:dyDescent="0.3">
      <c r="F28802" s="193"/>
    </row>
    <row r="28803" spans="6:6" x14ac:dyDescent="0.3">
      <c r="F28803" s="193"/>
    </row>
    <row r="28804" spans="6:6" x14ac:dyDescent="0.3">
      <c r="F28804" s="193"/>
    </row>
    <row r="28805" spans="6:6" x14ac:dyDescent="0.3">
      <c r="F28805" s="193"/>
    </row>
    <row r="28806" spans="6:6" x14ac:dyDescent="0.3">
      <c r="F28806" s="193"/>
    </row>
    <row r="28807" spans="6:6" x14ac:dyDescent="0.3">
      <c r="F28807" s="193"/>
    </row>
    <row r="28808" spans="6:6" x14ac:dyDescent="0.3">
      <c r="F28808" s="193"/>
    </row>
    <row r="28809" spans="6:6" x14ac:dyDescent="0.3">
      <c r="F28809" s="193"/>
    </row>
    <row r="28810" spans="6:6" x14ac:dyDescent="0.3">
      <c r="F28810" s="193"/>
    </row>
    <row r="28811" spans="6:6" x14ac:dyDescent="0.3">
      <c r="F28811" s="193"/>
    </row>
    <row r="28812" spans="6:6" x14ac:dyDescent="0.3">
      <c r="F28812" s="193"/>
    </row>
    <row r="28813" spans="6:6" x14ac:dyDescent="0.3">
      <c r="F28813" s="193"/>
    </row>
    <row r="28814" spans="6:6" x14ac:dyDescent="0.3">
      <c r="F28814" s="193"/>
    </row>
    <row r="28815" spans="6:6" x14ac:dyDescent="0.3">
      <c r="F28815" s="193"/>
    </row>
    <row r="28816" spans="6:6" x14ac:dyDescent="0.3">
      <c r="F28816" s="193"/>
    </row>
    <row r="28817" spans="6:6" x14ac:dyDescent="0.3">
      <c r="F28817" s="193"/>
    </row>
    <row r="28818" spans="6:6" x14ac:dyDescent="0.3">
      <c r="F28818" s="193"/>
    </row>
    <row r="28819" spans="6:6" x14ac:dyDescent="0.3">
      <c r="F28819" s="193"/>
    </row>
    <row r="28820" spans="6:6" x14ac:dyDescent="0.3">
      <c r="F28820" s="193"/>
    </row>
    <row r="28821" spans="6:6" x14ac:dyDescent="0.3">
      <c r="F28821" s="193"/>
    </row>
    <row r="28822" spans="6:6" x14ac:dyDescent="0.3">
      <c r="F28822" s="193"/>
    </row>
    <row r="28823" spans="6:6" x14ac:dyDescent="0.3">
      <c r="F28823" s="193"/>
    </row>
    <row r="28824" spans="6:6" x14ac:dyDescent="0.3">
      <c r="F28824" s="193"/>
    </row>
    <row r="28825" spans="6:6" x14ac:dyDescent="0.3">
      <c r="F28825" s="193"/>
    </row>
    <row r="28826" spans="6:6" x14ac:dyDescent="0.3">
      <c r="F28826" s="193"/>
    </row>
    <row r="28827" spans="6:6" x14ac:dyDescent="0.3">
      <c r="F28827" s="193"/>
    </row>
    <row r="28828" spans="6:6" x14ac:dyDescent="0.3">
      <c r="F28828" s="193"/>
    </row>
    <row r="28829" spans="6:6" x14ac:dyDescent="0.3">
      <c r="F28829" s="193"/>
    </row>
    <row r="28830" spans="6:6" x14ac:dyDescent="0.3">
      <c r="F28830" s="193"/>
    </row>
    <row r="28831" spans="6:6" x14ac:dyDescent="0.3">
      <c r="F28831" s="193"/>
    </row>
    <row r="28832" spans="6:6" x14ac:dyDescent="0.3">
      <c r="F28832" s="193"/>
    </row>
    <row r="28833" spans="6:6" x14ac:dyDescent="0.3">
      <c r="F28833" s="193"/>
    </row>
    <row r="28834" spans="6:6" x14ac:dyDescent="0.3">
      <c r="F28834" s="193"/>
    </row>
    <row r="28835" spans="6:6" x14ac:dyDescent="0.3">
      <c r="F28835" s="193"/>
    </row>
    <row r="28836" spans="6:6" x14ac:dyDescent="0.3">
      <c r="F28836" s="193"/>
    </row>
    <row r="28837" spans="6:6" x14ac:dyDescent="0.3">
      <c r="F28837" s="193"/>
    </row>
    <row r="28838" spans="6:6" x14ac:dyDescent="0.3">
      <c r="F28838" s="193"/>
    </row>
    <row r="28839" spans="6:6" x14ac:dyDescent="0.3">
      <c r="F28839" s="193"/>
    </row>
    <row r="28840" spans="6:6" x14ac:dyDescent="0.3">
      <c r="F28840" s="193"/>
    </row>
    <row r="28841" spans="6:6" x14ac:dyDescent="0.3">
      <c r="F28841" s="193"/>
    </row>
    <row r="28842" spans="6:6" x14ac:dyDescent="0.3">
      <c r="F28842" s="193"/>
    </row>
    <row r="28843" spans="6:6" x14ac:dyDescent="0.3">
      <c r="F28843" s="193"/>
    </row>
    <row r="28844" spans="6:6" x14ac:dyDescent="0.3">
      <c r="F28844" s="193"/>
    </row>
    <row r="28845" spans="6:6" x14ac:dyDescent="0.3">
      <c r="F28845" s="193"/>
    </row>
    <row r="28846" spans="6:6" x14ac:dyDescent="0.3">
      <c r="F28846" s="193"/>
    </row>
    <row r="28847" spans="6:6" x14ac:dyDescent="0.3">
      <c r="F28847" s="193"/>
    </row>
    <row r="28848" spans="6:6" x14ac:dyDescent="0.3">
      <c r="F28848" s="193"/>
    </row>
    <row r="28849" spans="6:6" x14ac:dyDescent="0.3">
      <c r="F28849" s="193"/>
    </row>
    <row r="28850" spans="6:6" x14ac:dyDescent="0.3">
      <c r="F28850" s="193"/>
    </row>
    <row r="28851" spans="6:6" x14ac:dyDescent="0.3">
      <c r="F28851" s="193"/>
    </row>
    <row r="28852" spans="6:6" x14ac:dyDescent="0.3">
      <c r="F28852" s="193"/>
    </row>
    <row r="28853" spans="6:6" x14ac:dyDescent="0.3">
      <c r="F28853" s="193"/>
    </row>
    <row r="28854" spans="6:6" x14ac:dyDescent="0.3">
      <c r="F28854" s="193"/>
    </row>
    <row r="28855" spans="6:6" x14ac:dyDescent="0.3">
      <c r="F28855" s="193"/>
    </row>
    <row r="28856" spans="6:6" x14ac:dyDescent="0.3">
      <c r="F28856" s="193"/>
    </row>
    <row r="28857" spans="6:6" x14ac:dyDescent="0.3">
      <c r="F28857" s="193"/>
    </row>
    <row r="28858" spans="6:6" x14ac:dyDescent="0.3">
      <c r="F28858" s="193"/>
    </row>
    <row r="28859" spans="6:6" x14ac:dyDescent="0.3">
      <c r="F28859" s="193"/>
    </row>
    <row r="28860" spans="6:6" x14ac:dyDescent="0.3">
      <c r="F28860" s="193"/>
    </row>
    <row r="28861" spans="6:6" x14ac:dyDescent="0.3">
      <c r="F28861" s="193"/>
    </row>
    <row r="28862" spans="6:6" x14ac:dyDescent="0.3">
      <c r="F28862" s="193"/>
    </row>
    <row r="28863" spans="6:6" x14ac:dyDescent="0.3">
      <c r="F28863" s="193"/>
    </row>
    <row r="28864" spans="6:6" x14ac:dyDescent="0.3">
      <c r="F28864" s="193"/>
    </row>
    <row r="28865" spans="6:6" x14ac:dyDescent="0.3">
      <c r="F28865" s="193"/>
    </row>
    <row r="28866" spans="6:6" x14ac:dyDescent="0.3">
      <c r="F28866" s="193"/>
    </row>
    <row r="28867" spans="6:6" x14ac:dyDescent="0.3">
      <c r="F28867" s="193"/>
    </row>
    <row r="28868" spans="6:6" x14ac:dyDescent="0.3">
      <c r="F28868" s="193"/>
    </row>
    <row r="28869" spans="6:6" x14ac:dyDescent="0.3">
      <c r="F28869" s="193"/>
    </row>
    <row r="28870" spans="6:6" x14ac:dyDescent="0.3">
      <c r="F28870" s="193"/>
    </row>
    <row r="28871" spans="6:6" x14ac:dyDescent="0.3">
      <c r="F28871" s="193"/>
    </row>
    <row r="28872" spans="6:6" x14ac:dyDescent="0.3">
      <c r="F28872" s="193"/>
    </row>
    <row r="28873" spans="6:6" x14ac:dyDescent="0.3">
      <c r="F28873" s="193"/>
    </row>
    <row r="28874" spans="6:6" x14ac:dyDescent="0.3">
      <c r="F28874" s="193"/>
    </row>
    <row r="28875" spans="6:6" x14ac:dyDescent="0.3">
      <c r="F28875" s="193"/>
    </row>
    <row r="28876" spans="6:6" x14ac:dyDescent="0.3">
      <c r="F28876" s="193"/>
    </row>
    <row r="28877" spans="6:6" x14ac:dyDescent="0.3">
      <c r="F28877" s="193"/>
    </row>
    <row r="28878" spans="6:6" x14ac:dyDescent="0.3">
      <c r="F28878" s="193"/>
    </row>
    <row r="28879" spans="6:6" x14ac:dyDescent="0.3">
      <c r="F28879" s="193"/>
    </row>
    <row r="28880" spans="6:6" x14ac:dyDescent="0.3">
      <c r="F28880" s="193"/>
    </row>
    <row r="28881" spans="6:6" x14ac:dyDescent="0.3">
      <c r="F28881" s="193"/>
    </row>
    <row r="28882" spans="6:6" x14ac:dyDescent="0.3">
      <c r="F28882" s="193"/>
    </row>
    <row r="28883" spans="6:6" x14ac:dyDescent="0.3">
      <c r="F28883" s="193"/>
    </row>
    <row r="28884" spans="6:6" x14ac:dyDescent="0.3">
      <c r="F28884" s="193"/>
    </row>
    <row r="28885" spans="6:6" x14ac:dyDescent="0.3">
      <c r="F28885" s="193"/>
    </row>
    <row r="28886" spans="6:6" x14ac:dyDescent="0.3">
      <c r="F28886" s="193"/>
    </row>
    <row r="28887" spans="6:6" x14ac:dyDescent="0.3">
      <c r="F28887" s="193"/>
    </row>
    <row r="28888" spans="6:6" x14ac:dyDescent="0.3">
      <c r="F28888" s="193"/>
    </row>
    <row r="28889" spans="6:6" x14ac:dyDescent="0.3">
      <c r="F28889" s="193"/>
    </row>
    <row r="28890" spans="6:6" x14ac:dyDescent="0.3">
      <c r="F28890" s="193"/>
    </row>
    <row r="28891" spans="6:6" x14ac:dyDescent="0.3">
      <c r="F28891" s="193"/>
    </row>
    <row r="28892" spans="6:6" x14ac:dyDescent="0.3">
      <c r="F28892" s="193"/>
    </row>
    <row r="28893" spans="6:6" x14ac:dyDescent="0.3">
      <c r="F28893" s="193"/>
    </row>
    <row r="28894" spans="6:6" x14ac:dyDescent="0.3">
      <c r="F28894" s="193"/>
    </row>
    <row r="28895" spans="6:6" x14ac:dyDescent="0.3">
      <c r="F28895" s="193"/>
    </row>
    <row r="28896" spans="6:6" x14ac:dyDescent="0.3">
      <c r="F28896" s="193"/>
    </row>
    <row r="28897" spans="6:6" x14ac:dyDescent="0.3">
      <c r="F28897" s="193"/>
    </row>
    <row r="28898" spans="6:6" x14ac:dyDescent="0.3">
      <c r="F28898" s="193"/>
    </row>
    <row r="28899" spans="6:6" x14ac:dyDescent="0.3">
      <c r="F28899" s="193"/>
    </row>
    <row r="28900" spans="6:6" x14ac:dyDescent="0.3">
      <c r="F28900" s="193"/>
    </row>
    <row r="28901" spans="6:6" x14ac:dyDescent="0.3">
      <c r="F28901" s="193"/>
    </row>
    <row r="28902" spans="6:6" x14ac:dyDescent="0.3">
      <c r="F28902" s="193"/>
    </row>
    <row r="28903" spans="6:6" x14ac:dyDescent="0.3">
      <c r="F28903" s="193"/>
    </row>
    <row r="28904" spans="6:6" x14ac:dyDescent="0.3">
      <c r="F28904" s="193"/>
    </row>
    <row r="28905" spans="6:6" x14ac:dyDescent="0.3">
      <c r="F28905" s="193"/>
    </row>
    <row r="28906" spans="6:6" x14ac:dyDescent="0.3">
      <c r="F28906" s="193"/>
    </row>
    <row r="28907" spans="6:6" x14ac:dyDescent="0.3">
      <c r="F28907" s="193"/>
    </row>
    <row r="28908" spans="6:6" x14ac:dyDescent="0.3">
      <c r="F28908" s="193"/>
    </row>
    <row r="28909" spans="6:6" x14ac:dyDescent="0.3">
      <c r="F28909" s="193"/>
    </row>
    <row r="28910" spans="6:6" x14ac:dyDescent="0.3">
      <c r="F28910" s="193"/>
    </row>
    <row r="28911" spans="6:6" x14ac:dyDescent="0.3">
      <c r="F28911" s="193"/>
    </row>
    <row r="28912" spans="6:6" x14ac:dyDescent="0.3">
      <c r="F28912" s="193"/>
    </row>
    <row r="28913" spans="6:6" x14ac:dyDescent="0.3">
      <c r="F28913" s="193"/>
    </row>
    <row r="28914" spans="6:6" x14ac:dyDescent="0.3">
      <c r="F28914" s="193"/>
    </row>
    <row r="28915" spans="6:6" x14ac:dyDescent="0.3">
      <c r="F28915" s="193"/>
    </row>
    <row r="28916" spans="6:6" x14ac:dyDescent="0.3">
      <c r="F28916" s="193"/>
    </row>
    <row r="28917" spans="6:6" x14ac:dyDescent="0.3">
      <c r="F28917" s="193"/>
    </row>
    <row r="28918" spans="6:6" x14ac:dyDescent="0.3">
      <c r="F28918" s="193"/>
    </row>
    <row r="28919" spans="6:6" x14ac:dyDescent="0.3">
      <c r="F28919" s="193"/>
    </row>
    <row r="28920" spans="6:6" x14ac:dyDescent="0.3">
      <c r="F28920" s="193"/>
    </row>
    <row r="28921" spans="6:6" x14ac:dyDescent="0.3">
      <c r="F28921" s="193"/>
    </row>
    <row r="28922" spans="6:6" x14ac:dyDescent="0.3">
      <c r="F28922" s="193"/>
    </row>
    <row r="28923" spans="6:6" x14ac:dyDescent="0.3">
      <c r="F28923" s="193"/>
    </row>
    <row r="28924" spans="6:6" x14ac:dyDescent="0.3">
      <c r="F28924" s="193"/>
    </row>
    <row r="28925" spans="6:6" x14ac:dyDescent="0.3">
      <c r="F28925" s="193"/>
    </row>
    <row r="28926" spans="6:6" x14ac:dyDescent="0.3">
      <c r="F28926" s="193"/>
    </row>
    <row r="28927" spans="6:6" x14ac:dyDescent="0.3">
      <c r="F28927" s="193"/>
    </row>
    <row r="28928" spans="6:6" x14ac:dyDescent="0.3">
      <c r="F28928" s="193"/>
    </row>
    <row r="28929" spans="6:6" x14ac:dyDescent="0.3">
      <c r="F28929" s="193"/>
    </row>
    <row r="28930" spans="6:6" x14ac:dyDescent="0.3">
      <c r="F28930" s="193"/>
    </row>
    <row r="28931" spans="6:6" x14ac:dyDescent="0.3">
      <c r="F28931" s="193"/>
    </row>
    <row r="28932" spans="6:6" x14ac:dyDescent="0.3">
      <c r="F28932" s="193"/>
    </row>
    <row r="28933" spans="6:6" x14ac:dyDescent="0.3">
      <c r="F28933" s="193"/>
    </row>
    <row r="28934" spans="6:6" x14ac:dyDescent="0.3">
      <c r="F28934" s="193"/>
    </row>
    <row r="28935" spans="6:6" x14ac:dyDescent="0.3">
      <c r="F28935" s="193"/>
    </row>
    <row r="28936" spans="6:6" x14ac:dyDescent="0.3">
      <c r="F28936" s="193"/>
    </row>
    <row r="28937" spans="6:6" x14ac:dyDescent="0.3">
      <c r="F28937" s="193"/>
    </row>
    <row r="28938" spans="6:6" x14ac:dyDescent="0.3">
      <c r="F28938" s="193"/>
    </row>
    <row r="28939" spans="6:6" x14ac:dyDescent="0.3">
      <c r="F28939" s="193"/>
    </row>
    <row r="28940" spans="6:6" x14ac:dyDescent="0.3">
      <c r="F28940" s="193"/>
    </row>
    <row r="28941" spans="6:6" x14ac:dyDescent="0.3">
      <c r="F28941" s="193"/>
    </row>
    <row r="28942" spans="6:6" x14ac:dyDescent="0.3">
      <c r="F28942" s="193"/>
    </row>
    <row r="28943" spans="6:6" x14ac:dyDescent="0.3">
      <c r="F28943" s="193"/>
    </row>
    <row r="28944" spans="6:6" x14ac:dyDescent="0.3">
      <c r="F28944" s="193"/>
    </row>
    <row r="28945" spans="6:6" x14ac:dyDescent="0.3">
      <c r="F28945" s="193"/>
    </row>
    <row r="28946" spans="6:6" x14ac:dyDescent="0.3">
      <c r="F28946" s="193"/>
    </row>
    <row r="28947" spans="6:6" x14ac:dyDescent="0.3">
      <c r="F28947" s="193"/>
    </row>
    <row r="28948" spans="6:6" x14ac:dyDescent="0.3">
      <c r="F28948" s="193"/>
    </row>
    <row r="28949" spans="6:6" x14ac:dyDescent="0.3">
      <c r="F28949" s="193"/>
    </row>
    <row r="28950" spans="6:6" x14ac:dyDescent="0.3">
      <c r="F28950" s="193"/>
    </row>
    <row r="28951" spans="6:6" x14ac:dyDescent="0.3">
      <c r="F28951" s="193"/>
    </row>
    <row r="28952" spans="6:6" x14ac:dyDescent="0.3">
      <c r="F28952" s="193"/>
    </row>
    <row r="28953" spans="6:6" x14ac:dyDescent="0.3">
      <c r="F28953" s="193"/>
    </row>
    <row r="28954" spans="6:6" x14ac:dyDescent="0.3">
      <c r="F28954" s="193"/>
    </row>
    <row r="28955" spans="6:6" x14ac:dyDescent="0.3">
      <c r="F28955" s="193"/>
    </row>
    <row r="28956" spans="6:6" x14ac:dyDescent="0.3">
      <c r="F28956" s="193"/>
    </row>
    <row r="28957" spans="6:6" x14ac:dyDescent="0.3">
      <c r="F28957" s="193"/>
    </row>
    <row r="28958" spans="6:6" x14ac:dyDescent="0.3">
      <c r="F28958" s="193"/>
    </row>
    <row r="28959" spans="6:6" x14ac:dyDescent="0.3">
      <c r="F28959" s="193"/>
    </row>
    <row r="28960" spans="6:6" x14ac:dyDescent="0.3">
      <c r="F28960" s="193"/>
    </row>
    <row r="28961" spans="6:6" x14ac:dyDescent="0.3">
      <c r="F28961" s="193"/>
    </row>
    <row r="28962" spans="6:6" x14ac:dyDescent="0.3">
      <c r="F28962" s="193"/>
    </row>
    <row r="28963" spans="6:6" x14ac:dyDescent="0.3">
      <c r="F28963" s="193"/>
    </row>
    <row r="28964" spans="6:6" x14ac:dyDescent="0.3">
      <c r="F28964" s="193"/>
    </row>
    <row r="28965" spans="6:6" x14ac:dyDescent="0.3">
      <c r="F28965" s="193"/>
    </row>
    <row r="28966" spans="6:6" x14ac:dyDescent="0.3">
      <c r="F28966" s="193"/>
    </row>
    <row r="28967" spans="6:6" x14ac:dyDescent="0.3">
      <c r="F28967" s="193"/>
    </row>
    <row r="28968" spans="6:6" x14ac:dyDescent="0.3">
      <c r="F28968" s="193"/>
    </row>
    <row r="28969" spans="6:6" x14ac:dyDescent="0.3">
      <c r="F28969" s="193"/>
    </row>
    <row r="28970" spans="6:6" x14ac:dyDescent="0.3">
      <c r="F28970" s="193"/>
    </row>
    <row r="28971" spans="6:6" x14ac:dyDescent="0.3">
      <c r="F28971" s="193"/>
    </row>
    <row r="28972" spans="6:6" x14ac:dyDescent="0.3">
      <c r="F28972" s="193"/>
    </row>
    <row r="28973" spans="6:6" x14ac:dyDescent="0.3">
      <c r="F28973" s="193"/>
    </row>
    <row r="28974" spans="6:6" x14ac:dyDescent="0.3">
      <c r="F28974" s="193"/>
    </row>
    <row r="28975" spans="6:6" x14ac:dyDescent="0.3">
      <c r="F28975" s="193"/>
    </row>
    <row r="28976" spans="6:6" x14ac:dyDescent="0.3">
      <c r="F28976" s="193"/>
    </row>
    <row r="28977" spans="6:6" x14ac:dyDescent="0.3">
      <c r="F28977" s="193"/>
    </row>
    <row r="28978" spans="6:6" x14ac:dyDescent="0.3">
      <c r="F28978" s="193"/>
    </row>
    <row r="28979" spans="6:6" x14ac:dyDescent="0.3">
      <c r="F28979" s="193"/>
    </row>
    <row r="28980" spans="6:6" x14ac:dyDescent="0.3">
      <c r="F28980" s="193"/>
    </row>
    <row r="28981" spans="6:6" x14ac:dyDescent="0.3">
      <c r="F28981" s="193"/>
    </row>
    <row r="28982" spans="6:6" x14ac:dyDescent="0.3">
      <c r="F28982" s="193"/>
    </row>
    <row r="28983" spans="6:6" x14ac:dyDescent="0.3">
      <c r="F28983" s="193"/>
    </row>
    <row r="28984" spans="6:6" x14ac:dyDescent="0.3">
      <c r="F28984" s="193"/>
    </row>
    <row r="28985" spans="6:6" x14ac:dyDescent="0.3">
      <c r="F28985" s="193"/>
    </row>
    <row r="28986" spans="6:6" x14ac:dyDescent="0.3">
      <c r="F28986" s="193"/>
    </row>
    <row r="28987" spans="6:6" x14ac:dyDescent="0.3">
      <c r="F28987" s="193"/>
    </row>
    <row r="28988" spans="6:6" x14ac:dyDescent="0.3">
      <c r="F28988" s="193"/>
    </row>
    <row r="28989" spans="6:6" x14ac:dyDescent="0.3">
      <c r="F28989" s="193"/>
    </row>
    <row r="28990" spans="6:6" x14ac:dyDescent="0.3">
      <c r="F28990" s="193"/>
    </row>
    <row r="28991" spans="6:6" x14ac:dyDescent="0.3">
      <c r="F28991" s="193"/>
    </row>
    <row r="28992" spans="6:6" x14ac:dyDescent="0.3">
      <c r="F28992" s="193"/>
    </row>
    <row r="28993" spans="6:6" x14ac:dyDescent="0.3">
      <c r="F28993" s="193"/>
    </row>
    <row r="28994" spans="6:6" x14ac:dyDescent="0.3">
      <c r="F28994" s="193"/>
    </row>
    <row r="28995" spans="6:6" x14ac:dyDescent="0.3">
      <c r="F28995" s="193"/>
    </row>
    <row r="28996" spans="6:6" x14ac:dyDescent="0.3">
      <c r="F28996" s="193"/>
    </row>
    <row r="28997" spans="6:6" x14ac:dyDescent="0.3">
      <c r="F28997" s="193"/>
    </row>
    <row r="28998" spans="6:6" x14ac:dyDescent="0.3">
      <c r="F28998" s="193"/>
    </row>
    <row r="28999" spans="6:6" x14ac:dyDescent="0.3">
      <c r="F28999" s="193"/>
    </row>
    <row r="29000" spans="6:6" x14ac:dyDescent="0.3">
      <c r="F29000" s="193"/>
    </row>
    <row r="29001" spans="6:6" x14ac:dyDescent="0.3">
      <c r="F29001" s="193"/>
    </row>
    <row r="29002" spans="6:6" x14ac:dyDescent="0.3">
      <c r="F29002" s="193"/>
    </row>
    <row r="29003" spans="6:6" x14ac:dyDescent="0.3">
      <c r="F29003" s="193"/>
    </row>
    <row r="29004" spans="6:6" x14ac:dyDescent="0.3">
      <c r="F29004" s="193"/>
    </row>
    <row r="29005" spans="6:6" x14ac:dyDescent="0.3">
      <c r="F29005" s="193"/>
    </row>
    <row r="29006" spans="6:6" x14ac:dyDescent="0.3">
      <c r="F29006" s="193"/>
    </row>
    <row r="29007" spans="6:6" x14ac:dyDescent="0.3">
      <c r="F29007" s="193"/>
    </row>
    <row r="29008" spans="6:6" x14ac:dyDescent="0.3">
      <c r="F29008" s="193"/>
    </row>
    <row r="29009" spans="6:6" x14ac:dyDescent="0.3">
      <c r="F29009" s="193"/>
    </row>
    <row r="29010" spans="6:6" x14ac:dyDescent="0.3">
      <c r="F29010" s="193"/>
    </row>
    <row r="29011" spans="6:6" x14ac:dyDescent="0.3">
      <c r="F29011" s="193"/>
    </row>
    <row r="29012" spans="6:6" x14ac:dyDescent="0.3">
      <c r="F29012" s="193"/>
    </row>
    <row r="29013" spans="6:6" x14ac:dyDescent="0.3">
      <c r="F29013" s="193"/>
    </row>
    <row r="29014" spans="6:6" x14ac:dyDescent="0.3">
      <c r="F29014" s="193"/>
    </row>
    <row r="29015" spans="6:6" x14ac:dyDescent="0.3">
      <c r="F29015" s="193"/>
    </row>
    <row r="29016" spans="6:6" x14ac:dyDescent="0.3">
      <c r="F29016" s="193"/>
    </row>
    <row r="29017" spans="6:6" x14ac:dyDescent="0.3">
      <c r="F29017" s="193"/>
    </row>
    <row r="29018" spans="6:6" x14ac:dyDescent="0.3">
      <c r="F29018" s="193"/>
    </row>
    <row r="29019" spans="6:6" x14ac:dyDescent="0.3">
      <c r="F29019" s="193"/>
    </row>
    <row r="29020" spans="6:6" x14ac:dyDescent="0.3">
      <c r="F29020" s="193"/>
    </row>
    <row r="29021" spans="6:6" x14ac:dyDescent="0.3">
      <c r="F29021" s="193"/>
    </row>
    <row r="29022" spans="6:6" x14ac:dyDescent="0.3">
      <c r="F29022" s="193"/>
    </row>
    <row r="29023" spans="6:6" x14ac:dyDescent="0.3">
      <c r="F29023" s="193"/>
    </row>
    <row r="29024" spans="6:6" x14ac:dyDescent="0.3">
      <c r="F29024" s="193"/>
    </row>
    <row r="29025" spans="6:6" x14ac:dyDescent="0.3">
      <c r="F29025" s="193"/>
    </row>
    <row r="29026" spans="6:6" x14ac:dyDescent="0.3">
      <c r="F29026" s="193"/>
    </row>
    <row r="29027" spans="6:6" x14ac:dyDescent="0.3">
      <c r="F29027" s="193"/>
    </row>
    <row r="29028" spans="6:6" x14ac:dyDescent="0.3">
      <c r="F29028" s="193"/>
    </row>
    <row r="29029" spans="6:6" x14ac:dyDescent="0.3">
      <c r="F29029" s="193"/>
    </row>
    <row r="29030" spans="6:6" x14ac:dyDescent="0.3">
      <c r="F29030" s="193"/>
    </row>
    <row r="29031" spans="6:6" x14ac:dyDescent="0.3">
      <c r="F29031" s="193"/>
    </row>
    <row r="29032" spans="6:6" x14ac:dyDescent="0.3">
      <c r="F29032" s="193"/>
    </row>
    <row r="29033" spans="6:6" x14ac:dyDescent="0.3">
      <c r="F29033" s="193"/>
    </row>
    <row r="29034" spans="6:6" x14ac:dyDescent="0.3">
      <c r="F29034" s="193"/>
    </row>
    <row r="29035" spans="6:6" x14ac:dyDescent="0.3">
      <c r="F29035" s="193"/>
    </row>
    <row r="29036" spans="6:6" x14ac:dyDescent="0.3">
      <c r="F29036" s="193"/>
    </row>
    <row r="29037" spans="6:6" x14ac:dyDescent="0.3">
      <c r="F29037" s="193"/>
    </row>
    <row r="29038" spans="6:6" x14ac:dyDescent="0.3">
      <c r="F29038" s="193"/>
    </row>
    <row r="29039" spans="6:6" x14ac:dyDescent="0.3">
      <c r="F29039" s="193"/>
    </row>
    <row r="29040" spans="6:6" x14ac:dyDescent="0.3">
      <c r="F29040" s="193"/>
    </row>
    <row r="29041" spans="6:6" x14ac:dyDescent="0.3">
      <c r="F29041" s="193"/>
    </row>
    <row r="29042" spans="6:6" x14ac:dyDescent="0.3">
      <c r="F29042" s="193"/>
    </row>
    <row r="29043" spans="6:6" x14ac:dyDescent="0.3">
      <c r="F29043" s="193"/>
    </row>
    <row r="29044" spans="6:6" x14ac:dyDescent="0.3">
      <c r="F29044" s="193"/>
    </row>
    <row r="29045" spans="6:6" x14ac:dyDescent="0.3">
      <c r="F29045" s="193"/>
    </row>
    <row r="29046" spans="6:6" x14ac:dyDescent="0.3">
      <c r="F29046" s="193"/>
    </row>
    <row r="29047" spans="6:6" x14ac:dyDescent="0.3">
      <c r="F29047" s="193"/>
    </row>
    <row r="29048" spans="6:6" x14ac:dyDescent="0.3">
      <c r="F29048" s="193"/>
    </row>
    <row r="29049" spans="6:6" x14ac:dyDescent="0.3">
      <c r="F29049" s="193"/>
    </row>
    <row r="29050" spans="6:6" x14ac:dyDescent="0.3">
      <c r="F29050" s="193"/>
    </row>
    <row r="29051" spans="6:6" x14ac:dyDescent="0.3">
      <c r="F29051" s="193"/>
    </row>
    <row r="29052" spans="6:6" x14ac:dyDescent="0.3">
      <c r="F29052" s="193"/>
    </row>
    <row r="29053" spans="6:6" x14ac:dyDescent="0.3">
      <c r="F29053" s="193"/>
    </row>
    <row r="29054" spans="6:6" x14ac:dyDescent="0.3">
      <c r="F29054" s="193"/>
    </row>
    <row r="29055" spans="6:6" x14ac:dyDescent="0.3">
      <c r="F29055" s="193"/>
    </row>
    <row r="29056" spans="6:6" x14ac:dyDescent="0.3">
      <c r="F29056" s="193"/>
    </row>
    <row r="29057" spans="6:6" x14ac:dyDescent="0.3">
      <c r="F29057" s="193"/>
    </row>
    <row r="29058" spans="6:6" x14ac:dyDescent="0.3">
      <c r="F29058" s="193"/>
    </row>
    <row r="29059" spans="6:6" x14ac:dyDescent="0.3">
      <c r="F29059" s="193"/>
    </row>
    <row r="29060" spans="6:6" x14ac:dyDescent="0.3">
      <c r="F29060" s="193"/>
    </row>
    <row r="29061" spans="6:6" x14ac:dyDescent="0.3">
      <c r="F29061" s="193"/>
    </row>
    <row r="29062" spans="6:6" x14ac:dyDescent="0.3">
      <c r="F29062" s="193"/>
    </row>
    <row r="29063" spans="6:6" x14ac:dyDescent="0.3">
      <c r="F29063" s="193"/>
    </row>
    <row r="29064" spans="6:6" x14ac:dyDescent="0.3">
      <c r="F29064" s="193"/>
    </row>
    <row r="29065" spans="6:6" x14ac:dyDescent="0.3">
      <c r="F29065" s="193"/>
    </row>
    <row r="29066" spans="6:6" x14ac:dyDescent="0.3">
      <c r="F29066" s="193"/>
    </row>
    <row r="29067" spans="6:6" x14ac:dyDescent="0.3">
      <c r="F29067" s="193"/>
    </row>
    <row r="29068" spans="6:6" x14ac:dyDescent="0.3">
      <c r="F29068" s="193"/>
    </row>
    <row r="29069" spans="6:6" x14ac:dyDescent="0.3">
      <c r="F29069" s="193"/>
    </row>
    <row r="29070" spans="6:6" x14ac:dyDescent="0.3">
      <c r="F29070" s="193"/>
    </row>
    <row r="29071" spans="6:6" x14ac:dyDescent="0.3">
      <c r="F29071" s="193"/>
    </row>
    <row r="29072" spans="6:6" x14ac:dyDescent="0.3">
      <c r="F29072" s="193"/>
    </row>
    <row r="29073" spans="6:6" x14ac:dyDescent="0.3">
      <c r="F29073" s="193"/>
    </row>
    <row r="29074" spans="6:6" x14ac:dyDescent="0.3">
      <c r="F29074" s="193"/>
    </row>
    <row r="29075" spans="6:6" x14ac:dyDescent="0.3">
      <c r="F29075" s="193"/>
    </row>
    <row r="29076" spans="6:6" x14ac:dyDescent="0.3">
      <c r="F29076" s="193"/>
    </row>
    <row r="29077" spans="6:6" x14ac:dyDescent="0.3">
      <c r="F29077" s="193"/>
    </row>
    <row r="29078" spans="6:6" x14ac:dyDescent="0.3">
      <c r="F29078" s="193"/>
    </row>
    <row r="29079" spans="6:6" x14ac:dyDescent="0.3">
      <c r="F29079" s="193"/>
    </row>
    <row r="29080" spans="6:6" x14ac:dyDescent="0.3">
      <c r="F29080" s="193"/>
    </row>
    <row r="29081" spans="6:6" x14ac:dyDescent="0.3">
      <c r="F29081" s="193"/>
    </row>
    <row r="29082" spans="6:6" x14ac:dyDescent="0.3">
      <c r="F29082" s="193"/>
    </row>
    <row r="29083" spans="6:6" x14ac:dyDescent="0.3">
      <c r="F29083" s="193"/>
    </row>
    <row r="29084" spans="6:6" x14ac:dyDescent="0.3">
      <c r="F29084" s="193"/>
    </row>
    <row r="29085" spans="6:6" x14ac:dyDescent="0.3">
      <c r="F29085" s="193"/>
    </row>
    <row r="29086" spans="6:6" x14ac:dyDescent="0.3">
      <c r="F29086" s="193"/>
    </row>
    <row r="29087" spans="6:6" x14ac:dyDescent="0.3">
      <c r="F29087" s="193"/>
    </row>
    <row r="29088" spans="6:6" x14ac:dyDescent="0.3">
      <c r="F29088" s="193"/>
    </row>
    <row r="29089" spans="6:6" x14ac:dyDescent="0.3">
      <c r="F29089" s="193"/>
    </row>
    <row r="29090" spans="6:6" x14ac:dyDescent="0.3">
      <c r="F29090" s="193"/>
    </row>
    <row r="29091" spans="6:6" x14ac:dyDescent="0.3">
      <c r="F29091" s="193"/>
    </row>
    <row r="29092" spans="6:6" x14ac:dyDescent="0.3">
      <c r="F29092" s="193"/>
    </row>
    <row r="29093" spans="6:6" x14ac:dyDescent="0.3">
      <c r="F29093" s="193"/>
    </row>
    <row r="29094" spans="6:6" x14ac:dyDescent="0.3">
      <c r="F29094" s="193"/>
    </row>
    <row r="29095" spans="6:6" x14ac:dyDescent="0.3">
      <c r="F29095" s="193"/>
    </row>
    <row r="29096" spans="6:6" x14ac:dyDescent="0.3">
      <c r="F29096" s="193"/>
    </row>
    <row r="29097" spans="6:6" x14ac:dyDescent="0.3">
      <c r="F29097" s="193"/>
    </row>
    <row r="29098" spans="6:6" x14ac:dyDescent="0.3">
      <c r="F29098" s="193"/>
    </row>
    <row r="29099" spans="6:6" x14ac:dyDescent="0.3">
      <c r="F29099" s="193"/>
    </row>
    <row r="29100" spans="6:6" x14ac:dyDescent="0.3">
      <c r="F29100" s="193"/>
    </row>
    <row r="29101" spans="6:6" x14ac:dyDescent="0.3">
      <c r="F29101" s="193"/>
    </row>
    <row r="29102" spans="6:6" x14ac:dyDescent="0.3">
      <c r="F29102" s="193"/>
    </row>
    <row r="29103" spans="6:6" x14ac:dyDescent="0.3">
      <c r="F29103" s="193"/>
    </row>
    <row r="29104" spans="6:6" x14ac:dyDescent="0.3">
      <c r="F29104" s="193"/>
    </row>
    <row r="29105" spans="6:6" x14ac:dyDescent="0.3">
      <c r="F29105" s="193"/>
    </row>
    <row r="29106" spans="6:6" x14ac:dyDescent="0.3">
      <c r="F29106" s="193"/>
    </row>
    <row r="29107" spans="6:6" x14ac:dyDescent="0.3">
      <c r="F29107" s="193"/>
    </row>
    <row r="29108" spans="6:6" x14ac:dyDescent="0.3">
      <c r="F29108" s="193"/>
    </row>
    <row r="29109" spans="6:6" x14ac:dyDescent="0.3">
      <c r="F29109" s="193"/>
    </row>
    <row r="29110" spans="6:6" x14ac:dyDescent="0.3">
      <c r="F29110" s="193"/>
    </row>
    <row r="29111" spans="6:6" x14ac:dyDescent="0.3">
      <c r="F29111" s="193"/>
    </row>
    <row r="29112" spans="6:6" x14ac:dyDescent="0.3">
      <c r="F29112" s="193"/>
    </row>
    <row r="29113" spans="6:6" x14ac:dyDescent="0.3">
      <c r="F29113" s="193"/>
    </row>
    <row r="29114" spans="6:6" x14ac:dyDescent="0.3">
      <c r="F29114" s="193"/>
    </row>
    <row r="29115" spans="6:6" x14ac:dyDescent="0.3">
      <c r="F29115" s="193"/>
    </row>
    <row r="29116" spans="6:6" x14ac:dyDescent="0.3">
      <c r="F29116" s="193"/>
    </row>
    <row r="29117" spans="6:6" x14ac:dyDescent="0.3">
      <c r="F29117" s="193"/>
    </row>
    <row r="29118" spans="6:6" x14ac:dyDescent="0.3">
      <c r="F29118" s="193"/>
    </row>
    <row r="29119" spans="6:6" x14ac:dyDescent="0.3">
      <c r="F29119" s="193"/>
    </row>
    <row r="29120" spans="6:6" x14ac:dyDescent="0.3">
      <c r="F29120" s="193"/>
    </row>
    <row r="29121" spans="6:6" x14ac:dyDescent="0.3">
      <c r="F29121" s="193"/>
    </row>
    <row r="29122" spans="6:6" x14ac:dyDescent="0.3">
      <c r="F29122" s="193"/>
    </row>
    <row r="29123" spans="6:6" x14ac:dyDescent="0.3">
      <c r="F29123" s="193"/>
    </row>
    <row r="29124" spans="6:6" x14ac:dyDescent="0.3">
      <c r="F29124" s="193"/>
    </row>
    <row r="29125" spans="6:6" x14ac:dyDescent="0.3">
      <c r="F29125" s="193"/>
    </row>
    <row r="29126" spans="6:6" x14ac:dyDescent="0.3">
      <c r="F29126" s="193"/>
    </row>
    <row r="29127" spans="6:6" x14ac:dyDescent="0.3">
      <c r="F29127" s="193"/>
    </row>
    <row r="29128" spans="6:6" x14ac:dyDescent="0.3">
      <c r="F29128" s="193"/>
    </row>
    <row r="29129" spans="6:6" x14ac:dyDescent="0.3">
      <c r="F29129" s="193"/>
    </row>
    <row r="29130" spans="6:6" x14ac:dyDescent="0.3">
      <c r="F29130" s="193"/>
    </row>
    <row r="29131" spans="6:6" x14ac:dyDescent="0.3">
      <c r="F29131" s="193"/>
    </row>
    <row r="29132" spans="6:6" x14ac:dyDescent="0.3">
      <c r="F29132" s="193"/>
    </row>
    <row r="29133" spans="6:6" x14ac:dyDescent="0.3">
      <c r="F29133" s="193"/>
    </row>
    <row r="29134" spans="6:6" x14ac:dyDescent="0.3">
      <c r="F29134" s="193"/>
    </row>
    <row r="29135" spans="6:6" x14ac:dyDescent="0.3">
      <c r="F29135" s="193"/>
    </row>
    <row r="29136" spans="6:6" x14ac:dyDescent="0.3">
      <c r="F29136" s="193"/>
    </row>
    <row r="29137" spans="6:6" x14ac:dyDescent="0.3">
      <c r="F29137" s="193"/>
    </row>
    <row r="29138" spans="6:6" x14ac:dyDescent="0.3">
      <c r="F29138" s="193"/>
    </row>
    <row r="29139" spans="6:6" x14ac:dyDescent="0.3">
      <c r="F29139" s="193"/>
    </row>
    <row r="29140" spans="6:6" x14ac:dyDescent="0.3">
      <c r="F29140" s="193"/>
    </row>
    <row r="29141" spans="6:6" x14ac:dyDescent="0.3">
      <c r="F29141" s="193"/>
    </row>
    <row r="29142" spans="6:6" x14ac:dyDescent="0.3">
      <c r="F29142" s="193"/>
    </row>
    <row r="29143" spans="6:6" x14ac:dyDescent="0.3">
      <c r="F29143" s="193"/>
    </row>
    <row r="29144" spans="6:6" x14ac:dyDescent="0.3">
      <c r="F29144" s="193"/>
    </row>
    <row r="29145" spans="6:6" x14ac:dyDescent="0.3">
      <c r="F29145" s="193"/>
    </row>
    <row r="29146" spans="6:6" x14ac:dyDescent="0.3">
      <c r="F29146" s="193"/>
    </row>
    <row r="29147" spans="6:6" x14ac:dyDescent="0.3">
      <c r="F29147" s="193"/>
    </row>
    <row r="29148" spans="6:6" x14ac:dyDescent="0.3">
      <c r="F29148" s="193"/>
    </row>
    <row r="29149" spans="6:6" x14ac:dyDescent="0.3">
      <c r="F29149" s="193"/>
    </row>
    <row r="29150" spans="6:6" x14ac:dyDescent="0.3">
      <c r="F29150" s="193"/>
    </row>
    <row r="29151" spans="6:6" x14ac:dyDescent="0.3">
      <c r="F29151" s="193"/>
    </row>
    <row r="29152" spans="6:6" x14ac:dyDescent="0.3">
      <c r="F29152" s="193"/>
    </row>
    <row r="29153" spans="6:6" x14ac:dyDescent="0.3">
      <c r="F29153" s="193"/>
    </row>
    <row r="29154" spans="6:6" x14ac:dyDescent="0.3">
      <c r="F29154" s="193"/>
    </row>
    <row r="29155" spans="6:6" x14ac:dyDescent="0.3">
      <c r="F29155" s="193"/>
    </row>
    <row r="29156" spans="6:6" x14ac:dyDescent="0.3">
      <c r="F29156" s="193"/>
    </row>
    <row r="29157" spans="6:6" x14ac:dyDescent="0.3">
      <c r="F29157" s="193"/>
    </row>
    <row r="29158" spans="6:6" x14ac:dyDescent="0.3">
      <c r="F29158" s="193"/>
    </row>
    <row r="29159" spans="6:6" x14ac:dyDescent="0.3">
      <c r="F29159" s="193"/>
    </row>
    <row r="29160" spans="6:6" x14ac:dyDescent="0.3">
      <c r="F29160" s="193"/>
    </row>
    <row r="29161" spans="6:6" x14ac:dyDescent="0.3">
      <c r="F29161" s="193"/>
    </row>
    <row r="29162" spans="6:6" x14ac:dyDescent="0.3">
      <c r="F29162" s="193"/>
    </row>
    <row r="29163" spans="6:6" x14ac:dyDescent="0.3">
      <c r="F29163" s="193"/>
    </row>
    <row r="29164" spans="6:6" x14ac:dyDescent="0.3">
      <c r="F29164" s="193"/>
    </row>
    <row r="29165" spans="6:6" x14ac:dyDescent="0.3">
      <c r="F29165" s="193"/>
    </row>
    <row r="29166" spans="6:6" x14ac:dyDescent="0.3">
      <c r="F29166" s="193"/>
    </row>
    <row r="29167" spans="6:6" x14ac:dyDescent="0.3">
      <c r="F29167" s="193"/>
    </row>
    <row r="29168" spans="6:6" x14ac:dyDescent="0.3">
      <c r="F29168" s="193"/>
    </row>
    <row r="29169" spans="6:6" x14ac:dyDescent="0.3">
      <c r="F29169" s="193"/>
    </row>
    <row r="29170" spans="6:6" x14ac:dyDescent="0.3">
      <c r="F29170" s="193"/>
    </row>
    <row r="29171" spans="6:6" x14ac:dyDescent="0.3">
      <c r="F29171" s="193"/>
    </row>
    <row r="29172" spans="6:6" x14ac:dyDescent="0.3">
      <c r="F29172" s="193"/>
    </row>
    <row r="29173" spans="6:6" x14ac:dyDescent="0.3">
      <c r="F29173" s="193"/>
    </row>
    <row r="29174" spans="6:6" x14ac:dyDescent="0.3">
      <c r="F29174" s="193"/>
    </row>
    <row r="29175" spans="6:6" x14ac:dyDescent="0.3">
      <c r="F29175" s="193"/>
    </row>
    <row r="29176" spans="6:6" x14ac:dyDescent="0.3">
      <c r="F29176" s="193"/>
    </row>
    <row r="29177" spans="6:6" x14ac:dyDescent="0.3">
      <c r="F29177" s="193"/>
    </row>
    <row r="29178" spans="6:6" x14ac:dyDescent="0.3">
      <c r="F29178" s="193"/>
    </row>
    <row r="29179" spans="6:6" x14ac:dyDescent="0.3">
      <c r="F29179" s="193"/>
    </row>
    <row r="29180" spans="6:6" x14ac:dyDescent="0.3">
      <c r="F29180" s="193"/>
    </row>
    <row r="29181" spans="6:6" x14ac:dyDescent="0.3">
      <c r="F29181" s="193"/>
    </row>
    <row r="29182" spans="6:6" x14ac:dyDescent="0.3">
      <c r="F29182" s="193"/>
    </row>
    <row r="29183" spans="6:6" x14ac:dyDescent="0.3">
      <c r="F29183" s="193"/>
    </row>
    <row r="29184" spans="6:6" x14ac:dyDescent="0.3">
      <c r="F29184" s="193"/>
    </row>
    <row r="29185" spans="6:6" x14ac:dyDescent="0.3">
      <c r="F29185" s="193"/>
    </row>
    <row r="29186" spans="6:6" x14ac:dyDescent="0.3">
      <c r="F29186" s="193"/>
    </row>
    <row r="29187" spans="6:6" x14ac:dyDescent="0.3">
      <c r="F29187" s="193"/>
    </row>
    <row r="29188" spans="6:6" x14ac:dyDescent="0.3">
      <c r="F29188" s="193"/>
    </row>
    <row r="29189" spans="6:6" x14ac:dyDescent="0.3">
      <c r="F29189" s="193"/>
    </row>
    <row r="29190" spans="6:6" x14ac:dyDescent="0.3">
      <c r="F29190" s="193"/>
    </row>
    <row r="29191" spans="6:6" x14ac:dyDescent="0.3">
      <c r="F29191" s="193"/>
    </row>
    <row r="29192" spans="6:6" x14ac:dyDescent="0.3">
      <c r="F29192" s="193"/>
    </row>
    <row r="29193" spans="6:6" x14ac:dyDescent="0.3">
      <c r="F29193" s="193"/>
    </row>
    <row r="29194" spans="6:6" x14ac:dyDescent="0.3">
      <c r="F29194" s="193"/>
    </row>
    <row r="29195" spans="6:6" x14ac:dyDescent="0.3">
      <c r="F29195" s="193"/>
    </row>
    <row r="29196" spans="6:6" x14ac:dyDescent="0.3">
      <c r="F29196" s="193"/>
    </row>
    <row r="29197" spans="6:6" x14ac:dyDescent="0.3">
      <c r="F29197" s="193"/>
    </row>
    <row r="29198" spans="6:6" x14ac:dyDescent="0.3">
      <c r="F29198" s="193"/>
    </row>
    <row r="29199" spans="6:6" x14ac:dyDescent="0.3">
      <c r="F29199" s="193"/>
    </row>
    <row r="29200" spans="6:6" x14ac:dyDescent="0.3">
      <c r="F29200" s="193"/>
    </row>
    <row r="29201" spans="6:6" x14ac:dyDescent="0.3">
      <c r="F29201" s="193"/>
    </row>
    <row r="29202" spans="6:6" x14ac:dyDescent="0.3">
      <c r="F29202" s="193"/>
    </row>
    <row r="29203" spans="6:6" x14ac:dyDescent="0.3">
      <c r="F29203" s="193"/>
    </row>
    <row r="29204" spans="6:6" x14ac:dyDescent="0.3">
      <c r="F29204" s="193"/>
    </row>
    <row r="29205" spans="6:6" x14ac:dyDescent="0.3">
      <c r="F29205" s="193"/>
    </row>
    <row r="29206" spans="6:6" x14ac:dyDescent="0.3">
      <c r="F29206" s="193"/>
    </row>
    <row r="29207" spans="6:6" x14ac:dyDescent="0.3">
      <c r="F29207" s="193"/>
    </row>
    <row r="29208" spans="6:6" x14ac:dyDescent="0.3">
      <c r="F29208" s="193"/>
    </row>
    <row r="29209" spans="6:6" x14ac:dyDescent="0.3">
      <c r="F29209" s="193"/>
    </row>
    <row r="29210" spans="6:6" x14ac:dyDescent="0.3">
      <c r="F29210" s="193"/>
    </row>
    <row r="29211" spans="6:6" x14ac:dyDescent="0.3">
      <c r="F29211" s="193"/>
    </row>
    <row r="29212" spans="6:6" x14ac:dyDescent="0.3">
      <c r="F29212" s="193"/>
    </row>
    <row r="29213" spans="6:6" x14ac:dyDescent="0.3">
      <c r="F29213" s="193"/>
    </row>
    <row r="29214" spans="6:6" x14ac:dyDescent="0.3">
      <c r="F29214" s="193"/>
    </row>
    <row r="29215" spans="6:6" x14ac:dyDescent="0.3">
      <c r="F29215" s="193"/>
    </row>
    <row r="29216" spans="6:6" x14ac:dyDescent="0.3">
      <c r="F29216" s="193"/>
    </row>
    <row r="29217" spans="6:6" x14ac:dyDescent="0.3">
      <c r="F29217" s="193"/>
    </row>
    <row r="29218" spans="6:6" x14ac:dyDescent="0.3">
      <c r="F29218" s="193"/>
    </row>
    <row r="29219" spans="6:6" x14ac:dyDescent="0.3">
      <c r="F29219" s="193"/>
    </row>
    <row r="29220" spans="6:6" x14ac:dyDescent="0.3">
      <c r="F29220" s="193"/>
    </row>
    <row r="29221" spans="6:6" x14ac:dyDescent="0.3">
      <c r="F29221" s="193"/>
    </row>
    <row r="29222" spans="6:6" x14ac:dyDescent="0.3">
      <c r="F29222" s="193"/>
    </row>
    <row r="29223" spans="6:6" x14ac:dyDescent="0.3">
      <c r="F29223" s="193"/>
    </row>
    <row r="29224" spans="6:6" x14ac:dyDescent="0.3">
      <c r="F29224" s="193"/>
    </row>
    <row r="29225" spans="6:6" x14ac:dyDescent="0.3">
      <c r="F29225" s="193"/>
    </row>
    <row r="29226" spans="6:6" x14ac:dyDescent="0.3">
      <c r="F29226" s="193"/>
    </row>
    <row r="29227" spans="6:6" x14ac:dyDescent="0.3">
      <c r="F29227" s="193"/>
    </row>
    <row r="29228" spans="6:6" x14ac:dyDescent="0.3">
      <c r="F29228" s="193"/>
    </row>
    <row r="29229" spans="6:6" x14ac:dyDescent="0.3">
      <c r="F29229" s="193"/>
    </row>
    <row r="29230" spans="6:6" x14ac:dyDescent="0.3">
      <c r="F29230" s="193"/>
    </row>
    <row r="29231" spans="6:6" x14ac:dyDescent="0.3">
      <c r="F29231" s="193"/>
    </row>
    <row r="29232" spans="6:6" x14ac:dyDescent="0.3">
      <c r="F29232" s="193"/>
    </row>
    <row r="29233" spans="6:6" x14ac:dyDescent="0.3">
      <c r="F29233" s="193"/>
    </row>
    <row r="29234" spans="6:6" x14ac:dyDescent="0.3">
      <c r="F29234" s="193"/>
    </row>
    <row r="29235" spans="6:6" x14ac:dyDescent="0.3">
      <c r="F29235" s="193"/>
    </row>
    <row r="29236" spans="6:6" x14ac:dyDescent="0.3">
      <c r="F29236" s="193"/>
    </row>
    <row r="29237" spans="6:6" x14ac:dyDescent="0.3">
      <c r="F29237" s="193"/>
    </row>
    <row r="29238" spans="6:6" x14ac:dyDescent="0.3">
      <c r="F29238" s="193"/>
    </row>
    <row r="29239" spans="6:6" x14ac:dyDescent="0.3">
      <c r="F29239" s="193"/>
    </row>
    <row r="29240" spans="6:6" x14ac:dyDescent="0.3">
      <c r="F29240" s="193"/>
    </row>
    <row r="29241" spans="6:6" x14ac:dyDescent="0.3">
      <c r="F29241" s="193"/>
    </row>
    <row r="29242" spans="6:6" x14ac:dyDescent="0.3">
      <c r="F29242" s="193"/>
    </row>
    <row r="29243" spans="6:6" x14ac:dyDescent="0.3">
      <c r="F29243" s="193"/>
    </row>
    <row r="29244" spans="6:6" x14ac:dyDescent="0.3">
      <c r="F29244" s="193"/>
    </row>
    <row r="29245" spans="6:6" x14ac:dyDescent="0.3">
      <c r="F29245" s="193"/>
    </row>
    <row r="29246" spans="6:6" x14ac:dyDescent="0.3">
      <c r="F29246" s="193"/>
    </row>
    <row r="29247" spans="6:6" x14ac:dyDescent="0.3">
      <c r="F29247" s="193"/>
    </row>
    <row r="29248" spans="6:6" x14ac:dyDescent="0.3">
      <c r="F29248" s="193"/>
    </row>
    <row r="29249" spans="6:6" x14ac:dyDescent="0.3">
      <c r="F29249" s="193"/>
    </row>
    <row r="29250" spans="6:6" x14ac:dyDescent="0.3">
      <c r="F29250" s="193"/>
    </row>
    <row r="29251" spans="6:6" x14ac:dyDescent="0.3">
      <c r="F29251" s="193"/>
    </row>
    <row r="29252" spans="6:6" x14ac:dyDescent="0.3">
      <c r="F29252" s="193"/>
    </row>
    <row r="29253" spans="6:6" x14ac:dyDescent="0.3">
      <c r="F29253" s="193"/>
    </row>
    <row r="29254" spans="6:6" x14ac:dyDescent="0.3">
      <c r="F29254" s="193"/>
    </row>
    <row r="29255" spans="6:6" x14ac:dyDescent="0.3">
      <c r="F29255" s="193"/>
    </row>
    <row r="29256" spans="6:6" x14ac:dyDescent="0.3">
      <c r="F29256" s="193"/>
    </row>
    <row r="29257" spans="6:6" x14ac:dyDescent="0.3">
      <c r="F29257" s="193"/>
    </row>
    <row r="29258" spans="6:6" x14ac:dyDescent="0.3">
      <c r="F29258" s="193"/>
    </row>
    <row r="29259" spans="6:6" x14ac:dyDescent="0.3">
      <c r="F29259" s="193"/>
    </row>
    <row r="29260" spans="6:6" x14ac:dyDescent="0.3">
      <c r="F29260" s="193"/>
    </row>
    <row r="29261" spans="6:6" x14ac:dyDescent="0.3">
      <c r="F29261" s="193"/>
    </row>
    <row r="29262" spans="6:6" x14ac:dyDescent="0.3">
      <c r="F29262" s="193"/>
    </row>
    <row r="29263" spans="6:6" x14ac:dyDescent="0.3">
      <c r="F29263" s="193"/>
    </row>
    <row r="29264" spans="6:6" x14ac:dyDescent="0.3">
      <c r="F29264" s="193"/>
    </row>
    <row r="29265" spans="6:6" x14ac:dyDescent="0.3">
      <c r="F29265" s="193"/>
    </row>
    <row r="29266" spans="6:6" x14ac:dyDescent="0.3">
      <c r="F29266" s="193"/>
    </row>
    <row r="29267" spans="6:6" x14ac:dyDescent="0.3">
      <c r="F29267" s="193"/>
    </row>
    <row r="29268" spans="6:6" x14ac:dyDescent="0.3">
      <c r="F29268" s="193"/>
    </row>
    <row r="29269" spans="6:6" x14ac:dyDescent="0.3">
      <c r="F29269" s="193"/>
    </row>
    <row r="29270" spans="6:6" x14ac:dyDescent="0.3">
      <c r="F29270" s="193"/>
    </row>
    <row r="29271" spans="6:6" x14ac:dyDescent="0.3">
      <c r="F29271" s="193"/>
    </row>
    <row r="29272" spans="6:6" x14ac:dyDescent="0.3">
      <c r="F29272" s="193"/>
    </row>
    <row r="29273" spans="6:6" x14ac:dyDescent="0.3">
      <c r="F29273" s="193"/>
    </row>
    <row r="29274" spans="6:6" x14ac:dyDescent="0.3">
      <c r="F29274" s="193"/>
    </row>
    <row r="29275" spans="6:6" x14ac:dyDescent="0.3">
      <c r="F29275" s="193"/>
    </row>
    <row r="29276" spans="6:6" x14ac:dyDescent="0.3">
      <c r="F29276" s="193"/>
    </row>
    <row r="29277" spans="6:6" x14ac:dyDescent="0.3">
      <c r="F29277" s="193"/>
    </row>
    <row r="29278" spans="6:6" x14ac:dyDescent="0.3">
      <c r="F29278" s="193"/>
    </row>
    <row r="29279" spans="6:6" x14ac:dyDescent="0.3">
      <c r="F29279" s="193"/>
    </row>
    <row r="29280" spans="6:6" x14ac:dyDescent="0.3">
      <c r="F29280" s="193"/>
    </row>
    <row r="29281" spans="6:6" x14ac:dyDescent="0.3">
      <c r="F29281" s="193"/>
    </row>
    <row r="29282" spans="6:6" x14ac:dyDescent="0.3">
      <c r="F29282" s="193"/>
    </row>
    <row r="29283" spans="6:6" x14ac:dyDescent="0.3">
      <c r="F29283" s="193"/>
    </row>
    <row r="29284" spans="6:6" x14ac:dyDescent="0.3">
      <c r="F29284" s="193"/>
    </row>
    <row r="29285" spans="6:6" x14ac:dyDescent="0.3">
      <c r="F29285" s="193"/>
    </row>
    <row r="29286" spans="6:6" x14ac:dyDescent="0.3">
      <c r="F29286" s="193"/>
    </row>
    <row r="29287" spans="6:6" x14ac:dyDescent="0.3">
      <c r="F29287" s="193"/>
    </row>
    <row r="29288" spans="6:6" x14ac:dyDescent="0.3">
      <c r="F29288" s="193"/>
    </row>
    <row r="29289" spans="6:6" x14ac:dyDescent="0.3">
      <c r="F29289" s="193"/>
    </row>
    <row r="29290" spans="6:6" x14ac:dyDescent="0.3">
      <c r="F29290" s="193"/>
    </row>
    <row r="29291" spans="6:6" x14ac:dyDescent="0.3">
      <c r="F29291" s="193"/>
    </row>
    <row r="29292" spans="6:6" x14ac:dyDescent="0.3">
      <c r="F29292" s="193"/>
    </row>
    <row r="29293" spans="6:6" x14ac:dyDescent="0.3">
      <c r="F29293" s="193"/>
    </row>
    <row r="29294" spans="6:6" x14ac:dyDescent="0.3">
      <c r="F29294" s="193"/>
    </row>
    <row r="29295" spans="6:6" x14ac:dyDescent="0.3">
      <c r="F29295" s="193"/>
    </row>
    <row r="29296" spans="6:6" x14ac:dyDescent="0.3">
      <c r="F29296" s="193"/>
    </row>
    <row r="29297" spans="6:6" x14ac:dyDescent="0.3">
      <c r="F29297" s="193"/>
    </row>
    <row r="29298" spans="6:6" x14ac:dyDescent="0.3">
      <c r="F29298" s="193"/>
    </row>
    <row r="29299" spans="6:6" x14ac:dyDescent="0.3">
      <c r="F29299" s="193"/>
    </row>
    <row r="29300" spans="6:6" x14ac:dyDescent="0.3">
      <c r="F29300" s="193"/>
    </row>
    <row r="29301" spans="6:6" x14ac:dyDescent="0.3">
      <c r="F29301" s="193"/>
    </row>
    <row r="29302" spans="6:6" x14ac:dyDescent="0.3">
      <c r="F29302" s="193"/>
    </row>
    <row r="29303" spans="6:6" x14ac:dyDescent="0.3">
      <c r="F29303" s="193"/>
    </row>
    <row r="29304" spans="6:6" x14ac:dyDescent="0.3">
      <c r="F29304" s="193"/>
    </row>
    <row r="29305" spans="6:6" x14ac:dyDescent="0.3">
      <c r="F29305" s="193"/>
    </row>
    <row r="29306" spans="6:6" x14ac:dyDescent="0.3">
      <c r="F29306" s="193"/>
    </row>
    <row r="29307" spans="6:6" x14ac:dyDescent="0.3">
      <c r="F29307" s="193"/>
    </row>
    <row r="29308" spans="6:6" x14ac:dyDescent="0.3">
      <c r="F29308" s="193"/>
    </row>
    <row r="29309" spans="6:6" x14ac:dyDescent="0.3">
      <c r="F29309" s="193"/>
    </row>
    <row r="29310" spans="6:6" x14ac:dyDescent="0.3">
      <c r="F29310" s="193"/>
    </row>
    <row r="29311" spans="6:6" x14ac:dyDescent="0.3">
      <c r="F29311" s="193"/>
    </row>
    <row r="29312" spans="6:6" x14ac:dyDescent="0.3">
      <c r="F29312" s="193"/>
    </row>
    <row r="29313" spans="6:6" x14ac:dyDescent="0.3">
      <c r="F29313" s="193"/>
    </row>
    <row r="29314" spans="6:6" x14ac:dyDescent="0.3">
      <c r="F29314" s="193"/>
    </row>
    <row r="29315" spans="6:6" x14ac:dyDescent="0.3">
      <c r="F29315" s="193"/>
    </row>
    <row r="29316" spans="6:6" x14ac:dyDescent="0.3">
      <c r="F29316" s="193"/>
    </row>
    <row r="29317" spans="6:6" x14ac:dyDescent="0.3">
      <c r="F29317" s="193"/>
    </row>
    <row r="29318" spans="6:6" x14ac:dyDescent="0.3">
      <c r="F29318" s="193"/>
    </row>
    <row r="29319" spans="6:6" x14ac:dyDescent="0.3">
      <c r="F29319" s="193"/>
    </row>
    <row r="29320" spans="6:6" x14ac:dyDescent="0.3">
      <c r="F29320" s="193"/>
    </row>
    <row r="29321" spans="6:6" x14ac:dyDescent="0.3">
      <c r="F29321" s="193"/>
    </row>
    <row r="29322" spans="6:6" x14ac:dyDescent="0.3">
      <c r="F29322" s="193"/>
    </row>
    <row r="29323" spans="6:6" x14ac:dyDescent="0.3">
      <c r="F29323" s="193"/>
    </row>
    <row r="29324" spans="6:6" x14ac:dyDescent="0.3">
      <c r="F29324" s="193"/>
    </row>
    <row r="29325" spans="6:6" x14ac:dyDescent="0.3">
      <c r="F29325" s="193"/>
    </row>
    <row r="29326" spans="6:6" x14ac:dyDescent="0.3">
      <c r="F29326" s="193"/>
    </row>
    <row r="29327" spans="6:6" x14ac:dyDescent="0.3">
      <c r="F29327" s="193"/>
    </row>
    <row r="29328" spans="6:6" x14ac:dyDescent="0.3">
      <c r="F29328" s="193"/>
    </row>
    <row r="29329" spans="6:6" x14ac:dyDescent="0.3">
      <c r="F29329" s="193"/>
    </row>
    <row r="29330" spans="6:6" x14ac:dyDescent="0.3">
      <c r="F29330" s="193"/>
    </row>
    <row r="29331" spans="6:6" x14ac:dyDescent="0.3">
      <c r="F29331" s="193"/>
    </row>
    <row r="29332" spans="6:6" x14ac:dyDescent="0.3">
      <c r="F29332" s="193"/>
    </row>
    <row r="29333" spans="6:6" x14ac:dyDescent="0.3">
      <c r="F29333" s="193"/>
    </row>
    <row r="29334" spans="6:6" x14ac:dyDescent="0.3">
      <c r="F29334" s="193"/>
    </row>
    <row r="29335" spans="6:6" x14ac:dyDescent="0.3">
      <c r="F29335" s="193"/>
    </row>
    <row r="29336" spans="6:6" x14ac:dyDescent="0.3">
      <c r="F29336" s="193"/>
    </row>
    <row r="29337" spans="6:6" x14ac:dyDescent="0.3">
      <c r="F29337" s="193"/>
    </row>
    <row r="29338" spans="6:6" x14ac:dyDescent="0.3">
      <c r="F29338" s="193"/>
    </row>
    <row r="29339" spans="6:6" x14ac:dyDescent="0.3">
      <c r="F29339" s="193"/>
    </row>
    <row r="29340" spans="6:6" x14ac:dyDescent="0.3">
      <c r="F29340" s="193"/>
    </row>
    <row r="29341" spans="6:6" x14ac:dyDescent="0.3">
      <c r="F29341" s="193"/>
    </row>
    <row r="29342" spans="6:6" x14ac:dyDescent="0.3">
      <c r="F29342" s="193"/>
    </row>
    <row r="29343" spans="6:6" x14ac:dyDescent="0.3">
      <c r="F29343" s="193"/>
    </row>
    <row r="29344" spans="6:6" x14ac:dyDescent="0.3">
      <c r="F29344" s="193"/>
    </row>
    <row r="29345" spans="6:6" x14ac:dyDescent="0.3">
      <c r="F29345" s="193"/>
    </row>
    <row r="29346" spans="6:6" x14ac:dyDescent="0.3">
      <c r="F29346" s="193"/>
    </row>
    <row r="29347" spans="6:6" x14ac:dyDescent="0.3">
      <c r="F29347" s="193"/>
    </row>
    <row r="29348" spans="6:6" x14ac:dyDescent="0.3">
      <c r="F29348" s="193"/>
    </row>
    <row r="29349" spans="6:6" x14ac:dyDescent="0.3">
      <c r="F29349" s="193"/>
    </row>
    <row r="29350" spans="6:6" x14ac:dyDescent="0.3">
      <c r="F29350" s="193"/>
    </row>
    <row r="29351" spans="6:6" x14ac:dyDescent="0.3">
      <c r="F29351" s="193"/>
    </row>
    <row r="29352" spans="6:6" x14ac:dyDescent="0.3">
      <c r="F29352" s="193"/>
    </row>
    <row r="29353" spans="6:6" x14ac:dyDescent="0.3">
      <c r="F29353" s="193"/>
    </row>
    <row r="29354" spans="6:6" x14ac:dyDescent="0.3">
      <c r="F29354" s="193"/>
    </row>
    <row r="29355" spans="6:6" x14ac:dyDescent="0.3">
      <c r="F29355" s="193"/>
    </row>
    <row r="29356" spans="6:6" x14ac:dyDescent="0.3">
      <c r="F29356" s="193"/>
    </row>
    <row r="29357" spans="6:6" x14ac:dyDescent="0.3">
      <c r="F29357" s="193"/>
    </row>
    <row r="29358" spans="6:6" x14ac:dyDescent="0.3">
      <c r="F29358" s="193"/>
    </row>
    <row r="29359" spans="6:6" x14ac:dyDescent="0.3">
      <c r="F29359" s="193"/>
    </row>
    <row r="29360" spans="6:6" x14ac:dyDescent="0.3">
      <c r="F29360" s="193"/>
    </row>
    <row r="29361" spans="6:6" x14ac:dyDescent="0.3">
      <c r="F29361" s="193"/>
    </row>
    <row r="29362" spans="6:6" x14ac:dyDescent="0.3">
      <c r="F29362" s="193"/>
    </row>
    <row r="29363" spans="6:6" x14ac:dyDescent="0.3">
      <c r="F29363" s="193"/>
    </row>
    <row r="29364" spans="6:6" x14ac:dyDescent="0.3">
      <c r="F29364" s="193"/>
    </row>
    <row r="29365" spans="6:6" x14ac:dyDescent="0.3">
      <c r="F29365" s="193"/>
    </row>
    <row r="29366" spans="6:6" x14ac:dyDescent="0.3">
      <c r="F29366" s="193"/>
    </row>
    <row r="29367" spans="6:6" x14ac:dyDescent="0.3">
      <c r="F29367" s="193"/>
    </row>
    <row r="29368" spans="6:6" x14ac:dyDescent="0.3">
      <c r="F29368" s="193"/>
    </row>
    <row r="29369" spans="6:6" x14ac:dyDescent="0.3">
      <c r="F29369" s="193"/>
    </row>
    <row r="29370" spans="6:6" x14ac:dyDescent="0.3">
      <c r="F29370" s="193"/>
    </row>
    <row r="29371" spans="6:6" x14ac:dyDescent="0.3">
      <c r="F29371" s="193"/>
    </row>
    <row r="29372" spans="6:6" x14ac:dyDescent="0.3">
      <c r="F29372" s="193"/>
    </row>
    <row r="29373" spans="6:6" x14ac:dyDescent="0.3">
      <c r="F29373" s="193"/>
    </row>
    <row r="29374" spans="6:6" x14ac:dyDescent="0.3">
      <c r="F29374" s="193"/>
    </row>
    <row r="29375" spans="6:6" x14ac:dyDescent="0.3">
      <c r="F29375" s="193"/>
    </row>
    <row r="29376" spans="6:6" x14ac:dyDescent="0.3">
      <c r="F29376" s="193"/>
    </row>
    <row r="29377" spans="6:6" x14ac:dyDescent="0.3">
      <c r="F29377" s="193"/>
    </row>
    <row r="29378" spans="6:6" x14ac:dyDescent="0.3">
      <c r="F29378" s="193"/>
    </row>
    <row r="29379" spans="6:6" x14ac:dyDescent="0.3">
      <c r="F29379" s="193"/>
    </row>
    <row r="29380" spans="6:6" x14ac:dyDescent="0.3">
      <c r="F29380" s="193"/>
    </row>
    <row r="29381" spans="6:6" x14ac:dyDescent="0.3">
      <c r="F29381" s="193"/>
    </row>
    <row r="29382" spans="6:6" x14ac:dyDescent="0.3">
      <c r="F29382" s="193"/>
    </row>
    <row r="29383" spans="6:6" x14ac:dyDescent="0.3">
      <c r="F29383" s="193"/>
    </row>
    <row r="29384" spans="6:6" x14ac:dyDescent="0.3">
      <c r="F29384" s="193"/>
    </row>
    <row r="29385" spans="6:6" x14ac:dyDescent="0.3">
      <c r="F29385" s="193"/>
    </row>
    <row r="29386" spans="6:6" x14ac:dyDescent="0.3">
      <c r="F29386" s="193"/>
    </row>
    <row r="29387" spans="6:6" x14ac:dyDescent="0.3">
      <c r="F29387" s="193"/>
    </row>
    <row r="29388" spans="6:6" x14ac:dyDescent="0.3">
      <c r="F29388" s="193"/>
    </row>
    <row r="29389" spans="6:6" x14ac:dyDescent="0.3">
      <c r="F29389" s="193"/>
    </row>
    <row r="29390" spans="6:6" x14ac:dyDescent="0.3">
      <c r="F29390" s="193"/>
    </row>
    <row r="29391" spans="6:6" x14ac:dyDescent="0.3">
      <c r="F29391" s="193"/>
    </row>
    <row r="29392" spans="6:6" x14ac:dyDescent="0.3">
      <c r="F29392" s="193"/>
    </row>
    <row r="29393" spans="6:6" x14ac:dyDescent="0.3">
      <c r="F29393" s="193"/>
    </row>
    <row r="29394" spans="6:6" x14ac:dyDescent="0.3">
      <c r="F29394" s="193"/>
    </row>
    <row r="29395" spans="6:6" x14ac:dyDescent="0.3">
      <c r="F29395" s="193"/>
    </row>
    <row r="29396" spans="6:6" x14ac:dyDescent="0.3">
      <c r="F29396" s="193"/>
    </row>
    <row r="29397" spans="6:6" x14ac:dyDescent="0.3">
      <c r="F29397" s="193"/>
    </row>
    <row r="29398" spans="6:6" x14ac:dyDescent="0.3">
      <c r="F29398" s="193"/>
    </row>
    <row r="29399" spans="6:6" x14ac:dyDescent="0.3">
      <c r="F29399" s="193"/>
    </row>
    <row r="29400" spans="6:6" x14ac:dyDescent="0.3">
      <c r="F29400" s="193"/>
    </row>
    <row r="29401" spans="6:6" x14ac:dyDescent="0.3">
      <c r="F29401" s="193"/>
    </row>
    <row r="29402" spans="6:6" x14ac:dyDescent="0.3">
      <c r="F29402" s="193"/>
    </row>
    <row r="29403" spans="6:6" x14ac:dyDescent="0.3">
      <c r="F29403" s="193"/>
    </row>
    <row r="29404" spans="6:6" x14ac:dyDescent="0.3">
      <c r="F29404" s="193"/>
    </row>
    <row r="29405" spans="6:6" x14ac:dyDescent="0.3">
      <c r="F29405" s="193"/>
    </row>
    <row r="29406" spans="6:6" x14ac:dyDescent="0.3">
      <c r="F29406" s="193"/>
    </row>
    <row r="29407" spans="6:6" x14ac:dyDescent="0.3">
      <c r="F29407" s="193"/>
    </row>
    <row r="29408" spans="6:6" x14ac:dyDescent="0.3">
      <c r="F29408" s="193"/>
    </row>
    <row r="29409" spans="6:6" x14ac:dyDescent="0.3">
      <c r="F29409" s="193"/>
    </row>
    <row r="29410" spans="6:6" x14ac:dyDescent="0.3">
      <c r="F29410" s="193"/>
    </row>
    <row r="29411" spans="6:6" x14ac:dyDescent="0.3">
      <c r="F29411" s="193"/>
    </row>
    <row r="29412" spans="6:6" x14ac:dyDescent="0.3">
      <c r="F29412" s="193"/>
    </row>
    <row r="29413" spans="6:6" x14ac:dyDescent="0.3">
      <c r="F29413" s="193"/>
    </row>
    <row r="29414" spans="6:6" x14ac:dyDescent="0.3">
      <c r="F29414" s="193"/>
    </row>
    <row r="29415" spans="6:6" x14ac:dyDescent="0.3">
      <c r="F29415" s="193"/>
    </row>
    <row r="29416" spans="6:6" x14ac:dyDescent="0.3">
      <c r="F29416" s="193"/>
    </row>
    <row r="29417" spans="6:6" x14ac:dyDescent="0.3">
      <c r="F29417" s="193"/>
    </row>
    <row r="29418" spans="6:6" x14ac:dyDescent="0.3">
      <c r="F29418" s="193"/>
    </row>
    <row r="29419" spans="6:6" x14ac:dyDescent="0.3">
      <c r="F29419" s="193"/>
    </row>
    <row r="29420" spans="6:6" x14ac:dyDescent="0.3">
      <c r="F29420" s="193"/>
    </row>
    <row r="29421" spans="6:6" x14ac:dyDescent="0.3">
      <c r="F29421" s="193"/>
    </row>
    <row r="29422" spans="6:6" x14ac:dyDescent="0.3">
      <c r="F29422" s="193"/>
    </row>
    <row r="29423" spans="6:6" x14ac:dyDescent="0.3">
      <c r="F29423" s="193"/>
    </row>
    <row r="29424" spans="6:6" x14ac:dyDescent="0.3">
      <c r="F29424" s="193"/>
    </row>
    <row r="29425" spans="6:6" x14ac:dyDescent="0.3">
      <c r="F29425" s="193"/>
    </row>
    <row r="29426" spans="6:6" x14ac:dyDescent="0.3">
      <c r="F29426" s="193"/>
    </row>
    <row r="29427" spans="6:6" x14ac:dyDescent="0.3">
      <c r="F29427" s="193"/>
    </row>
    <row r="29428" spans="6:6" x14ac:dyDescent="0.3">
      <c r="F29428" s="193"/>
    </row>
    <row r="29429" spans="6:6" x14ac:dyDescent="0.3">
      <c r="F29429" s="193"/>
    </row>
    <row r="29430" spans="6:6" x14ac:dyDescent="0.3">
      <c r="F29430" s="193"/>
    </row>
    <row r="29431" spans="6:6" x14ac:dyDescent="0.3">
      <c r="F29431" s="193"/>
    </row>
    <row r="29432" spans="6:6" x14ac:dyDescent="0.3">
      <c r="F29432" s="193"/>
    </row>
    <row r="29433" spans="6:6" x14ac:dyDescent="0.3">
      <c r="F29433" s="193"/>
    </row>
    <row r="29434" spans="6:6" x14ac:dyDescent="0.3">
      <c r="F29434" s="193"/>
    </row>
    <row r="29435" spans="6:6" x14ac:dyDescent="0.3">
      <c r="F29435" s="193"/>
    </row>
    <row r="29436" spans="6:6" x14ac:dyDescent="0.3">
      <c r="F29436" s="193"/>
    </row>
    <row r="29437" spans="6:6" x14ac:dyDescent="0.3">
      <c r="F29437" s="193"/>
    </row>
    <row r="29438" spans="6:6" x14ac:dyDescent="0.3">
      <c r="F29438" s="193"/>
    </row>
    <row r="29439" spans="6:6" x14ac:dyDescent="0.3">
      <c r="F29439" s="193"/>
    </row>
    <row r="29440" spans="6:6" x14ac:dyDescent="0.3">
      <c r="F29440" s="193"/>
    </row>
    <row r="29441" spans="6:6" x14ac:dyDescent="0.3">
      <c r="F29441" s="193"/>
    </row>
    <row r="29442" spans="6:6" x14ac:dyDescent="0.3">
      <c r="F29442" s="193"/>
    </row>
    <row r="29443" spans="6:6" x14ac:dyDescent="0.3">
      <c r="F29443" s="193"/>
    </row>
    <row r="29444" spans="6:6" x14ac:dyDescent="0.3">
      <c r="F29444" s="193"/>
    </row>
    <row r="29445" spans="6:6" x14ac:dyDescent="0.3">
      <c r="F29445" s="193"/>
    </row>
    <row r="29446" spans="6:6" x14ac:dyDescent="0.3">
      <c r="F29446" s="193"/>
    </row>
    <row r="29447" spans="6:6" x14ac:dyDescent="0.3">
      <c r="F29447" s="193"/>
    </row>
    <row r="29448" spans="6:6" x14ac:dyDescent="0.3">
      <c r="F29448" s="193"/>
    </row>
    <row r="29449" spans="6:6" x14ac:dyDescent="0.3">
      <c r="F29449" s="193"/>
    </row>
    <row r="29450" spans="6:6" x14ac:dyDescent="0.3">
      <c r="F29450" s="193"/>
    </row>
    <row r="29451" spans="6:6" x14ac:dyDescent="0.3">
      <c r="F29451" s="193"/>
    </row>
    <row r="29452" spans="6:6" x14ac:dyDescent="0.3">
      <c r="F29452" s="193"/>
    </row>
    <row r="29453" spans="6:6" x14ac:dyDescent="0.3">
      <c r="F29453" s="193"/>
    </row>
    <row r="29454" spans="6:6" x14ac:dyDescent="0.3">
      <c r="F29454" s="193"/>
    </row>
    <row r="29455" spans="6:6" x14ac:dyDescent="0.3">
      <c r="F29455" s="193"/>
    </row>
    <row r="29456" spans="6:6" x14ac:dyDescent="0.3">
      <c r="F29456" s="193"/>
    </row>
    <row r="29457" spans="6:6" x14ac:dyDescent="0.3">
      <c r="F29457" s="193"/>
    </row>
    <row r="29458" spans="6:6" x14ac:dyDescent="0.3">
      <c r="F29458" s="193"/>
    </row>
    <row r="29459" spans="6:6" x14ac:dyDescent="0.3">
      <c r="F29459" s="193"/>
    </row>
    <row r="29460" spans="6:6" x14ac:dyDescent="0.3">
      <c r="F29460" s="193"/>
    </row>
    <row r="29461" spans="6:6" x14ac:dyDescent="0.3">
      <c r="F29461" s="193"/>
    </row>
    <row r="29462" spans="6:6" x14ac:dyDescent="0.3">
      <c r="F29462" s="193"/>
    </row>
    <row r="29463" spans="6:6" x14ac:dyDescent="0.3">
      <c r="F29463" s="193"/>
    </row>
    <row r="29464" spans="6:6" x14ac:dyDescent="0.3">
      <c r="F29464" s="193"/>
    </row>
    <row r="29465" spans="6:6" x14ac:dyDescent="0.3">
      <c r="F29465" s="193"/>
    </row>
    <row r="29466" spans="6:6" x14ac:dyDescent="0.3">
      <c r="F29466" s="193"/>
    </row>
    <row r="29467" spans="6:6" x14ac:dyDescent="0.3">
      <c r="F29467" s="193"/>
    </row>
    <row r="29468" spans="6:6" x14ac:dyDescent="0.3">
      <c r="F29468" s="193"/>
    </row>
    <row r="29469" spans="6:6" x14ac:dyDescent="0.3">
      <c r="F29469" s="193"/>
    </row>
    <row r="29470" spans="6:6" x14ac:dyDescent="0.3">
      <c r="F29470" s="193"/>
    </row>
    <row r="29471" spans="6:6" x14ac:dyDescent="0.3">
      <c r="F29471" s="193"/>
    </row>
    <row r="29472" spans="6:6" x14ac:dyDescent="0.3">
      <c r="F29472" s="193"/>
    </row>
    <row r="29473" spans="6:6" x14ac:dyDescent="0.3">
      <c r="F29473" s="193"/>
    </row>
    <row r="29474" spans="6:6" x14ac:dyDescent="0.3">
      <c r="F29474" s="193"/>
    </row>
    <row r="29475" spans="6:6" x14ac:dyDescent="0.3">
      <c r="F29475" s="193"/>
    </row>
    <row r="29476" spans="6:6" x14ac:dyDescent="0.3">
      <c r="F29476" s="193"/>
    </row>
    <row r="29477" spans="6:6" x14ac:dyDescent="0.3">
      <c r="F29477" s="193"/>
    </row>
    <row r="29478" spans="6:6" x14ac:dyDescent="0.3">
      <c r="F29478" s="193"/>
    </row>
    <row r="29479" spans="6:6" x14ac:dyDescent="0.3">
      <c r="F29479" s="193"/>
    </row>
    <row r="29480" spans="6:6" x14ac:dyDescent="0.3">
      <c r="F29480" s="193"/>
    </row>
    <row r="29481" spans="6:6" x14ac:dyDescent="0.3">
      <c r="F29481" s="193"/>
    </row>
    <row r="29482" spans="6:6" x14ac:dyDescent="0.3">
      <c r="F29482" s="193"/>
    </row>
    <row r="29483" spans="6:6" x14ac:dyDescent="0.3">
      <c r="F29483" s="193"/>
    </row>
    <row r="29484" spans="6:6" x14ac:dyDescent="0.3">
      <c r="F29484" s="193"/>
    </row>
    <row r="29485" spans="6:6" x14ac:dyDescent="0.3">
      <c r="F29485" s="193"/>
    </row>
    <row r="29486" spans="6:6" x14ac:dyDescent="0.3">
      <c r="F29486" s="193"/>
    </row>
    <row r="29487" spans="6:6" x14ac:dyDescent="0.3">
      <c r="F29487" s="193"/>
    </row>
    <row r="29488" spans="6:6" x14ac:dyDescent="0.3">
      <c r="F29488" s="193"/>
    </row>
    <row r="29489" spans="6:6" x14ac:dyDescent="0.3">
      <c r="F29489" s="193"/>
    </row>
    <row r="29490" spans="6:6" x14ac:dyDescent="0.3">
      <c r="F29490" s="193"/>
    </row>
    <row r="29491" spans="6:6" x14ac:dyDescent="0.3">
      <c r="F29491" s="193"/>
    </row>
    <row r="29492" spans="6:6" x14ac:dyDescent="0.3">
      <c r="F29492" s="193"/>
    </row>
    <row r="29493" spans="6:6" x14ac:dyDescent="0.3">
      <c r="F29493" s="193"/>
    </row>
    <row r="29494" spans="6:6" x14ac:dyDescent="0.3">
      <c r="F29494" s="193"/>
    </row>
    <row r="29495" spans="6:6" x14ac:dyDescent="0.3">
      <c r="F29495" s="193"/>
    </row>
    <row r="29496" spans="6:6" x14ac:dyDescent="0.3">
      <c r="F29496" s="193"/>
    </row>
    <row r="29497" spans="6:6" x14ac:dyDescent="0.3">
      <c r="F29497" s="193"/>
    </row>
    <row r="29498" spans="6:6" x14ac:dyDescent="0.3">
      <c r="F29498" s="193"/>
    </row>
    <row r="29499" spans="6:6" x14ac:dyDescent="0.3">
      <c r="F29499" s="193"/>
    </row>
    <row r="29500" spans="6:6" x14ac:dyDescent="0.3">
      <c r="F29500" s="193"/>
    </row>
    <row r="29501" spans="6:6" x14ac:dyDescent="0.3">
      <c r="F29501" s="193"/>
    </row>
    <row r="29502" spans="6:6" x14ac:dyDescent="0.3">
      <c r="F29502" s="193"/>
    </row>
    <row r="29503" spans="6:6" x14ac:dyDescent="0.3">
      <c r="F29503" s="193"/>
    </row>
    <row r="29504" spans="6:6" x14ac:dyDescent="0.3">
      <c r="F29504" s="193"/>
    </row>
    <row r="29505" spans="6:6" x14ac:dyDescent="0.3">
      <c r="F29505" s="193"/>
    </row>
    <row r="29506" spans="6:6" x14ac:dyDescent="0.3">
      <c r="F29506" s="193"/>
    </row>
    <row r="29507" spans="6:6" x14ac:dyDescent="0.3">
      <c r="F29507" s="193"/>
    </row>
    <row r="29508" spans="6:6" x14ac:dyDescent="0.3">
      <c r="F29508" s="193"/>
    </row>
    <row r="29509" spans="6:6" x14ac:dyDescent="0.3">
      <c r="F29509" s="193"/>
    </row>
    <row r="29510" spans="6:6" x14ac:dyDescent="0.3">
      <c r="F29510" s="193"/>
    </row>
    <row r="29511" spans="6:6" x14ac:dyDescent="0.3">
      <c r="F29511" s="193"/>
    </row>
    <row r="29512" spans="6:6" x14ac:dyDescent="0.3">
      <c r="F29512" s="193"/>
    </row>
    <row r="29513" spans="6:6" x14ac:dyDescent="0.3">
      <c r="F29513" s="193"/>
    </row>
    <row r="29514" spans="6:6" x14ac:dyDescent="0.3">
      <c r="F29514" s="193"/>
    </row>
    <row r="29515" spans="6:6" x14ac:dyDescent="0.3">
      <c r="F29515" s="193"/>
    </row>
    <row r="29516" spans="6:6" x14ac:dyDescent="0.3">
      <c r="F29516" s="193"/>
    </row>
    <row r="29517" spans="6:6" x14ac:dyDescent="0.3">
      <c r="F29517" s="193"/>
    </row>
    <row r="29518" spans="6:6" x14ac:dyDescent="0.3">
      <c r="F29518" s="193"/>
    </row>
    <row r="29519" spans="6:6" x14ac:dyDescent="0.3">
      <c r="F29519" s="193"/>
    </row>
    <row r="29520" spans="6:6" x14ac:dyDescent="0.3">
      <c r="F29520" s="193"/>
    </row>
    <row r="29521" spans="6:6" x14ac:dyDescent="0.3">
      <c r="F29521" s="193"/>
    </row>
    <row r="29522" spans="6:6" x14ac:dyDescent="0.3">
      <c r="F29522" s="193"/>
    </row>
    <row r="29523" spans="6:6" x14ac:dyDescent="0.3">
      <c r="F29523" s="193"/>
    </row>
    <row r="29524" spans="6:6" x14ac:dyDescent="0.3">
      <c r="F29524" s="193"/>
    </row>
    <row r="29525" spans="6:6" x14ac:dyDescent="0.3">
      <c r="F29525" s="193"/>
    </row>
    <row r="29526" spans="6:6" x14ac:dyDescent="0.3">
      <c r="F29526" s="193"/>
    </row>
    <row r="29527" spans="6:6" x14ac:dyDescent="0.3">
      <c r="F29527" s="193"/>
    </row>
    <row r="29528" spans="6:6" x14ac:dyDescent="0.3">
      <c r="F29528" s="193"/>
    </row>
    <row r="29529" spans="6:6" x14ac:dyDescent="0.3">
      <c r="F29529" s="193"/>
    </row>
    <row r="29530" spans="6:6" x14ac:dyDescent="0.3">
      <c r="F29530" s="193"/>
    </row>
    <row r="29531" spans="6:6" x14ac:dyDescent="0.3">
      <c r="F29531" s="193"/>
    </row>
    <row r="29532" spans="6:6" x14ac:dyDescent="0.3">
      <c r="F29532" s="193"/>
    </row>
    <row r="29533" spans="6:6" x14ac:dyDescent="0.3">
      <c r="F29533" s="193"/>
    </row>
    <row r="29534" spans="6:6" x14ac:dyDescent="0.3">
      <c r="F29534" s="193"/>
    </row>
    <row r="29535" spans="6:6" x14ac:dyDescent="0.3">
      <c r="F29535" s="193"/>
    </row>
    <row r="29536" spans="6:6" x14ac:dyDescent="0.3">
      <c r="F29536" s="193"/>
    </row>
    <row r="29537" spans="6:6" x14ac:dyDescent="0.3">
      <c r="F29537" s="193"/>
    </row>
    <row r="29538" spans="6:6" x14ac:dyDescent="0.3">
      <c r="F29538" s="193"/>
    </row>
    <row r="29539" spans="6:6" x14ac:dyDescent="0.3">
      <c r="F29539" s="193"/>
    </row>
    <row r="29540" spans="6:6" x14ac:dyDescent="0.3">
      <c r="F29540" s="193"/>
    </row>
    <row r="29541" spans="6:6" x14ac:dyDescent="0.3">
      <c r="F29541" s="193"/>
    </row>
    <row r="29542" spans="6:6" x14ac:dyDescent="0.3">
      <c r="F29542" s="193"/>
    </row>
    <row r="29543" spans="6:6" x14ac:dyDescent="0.3">
      <c r="F29543" s="193"/>
    </row>
    <row r="29544" spans="6:6" x14ac:dyDescent="0.3">
      <c r="F29544" s="193"/>
    </row>
    <row r="29545" spans="6:6" x14ac:dyDescent="0.3">
      <c r="F29545" s="193"/>
    </row>
    <row r="29546" spans="6:6" x14ac:dyDescent="0.3">
      <c r="F29546" s="193"/>
    </row>
    <row r="29547" spans="6:6" x14ac:dyDescent="0.3">
      <c r="F29547" s="193"/>
    </row>
    <row r="29548" spans="6:6" x14ac:dyDescent="0.3">
      <c r="F29548" s="193"/>
    </row>
    <row r="29549" spans="6:6" x14ac:dyDescent="0.3">
      <c r="F29549" s="193"/>
    </row>
    <row r="29550" spans="6:6" x14ac:dyDescent="0.3">
      <c r="F29550" s="193"/>
    </row>
    <row r="29551" spans="6:6" x14ac:dyDescent="0.3">
      <c r="F29551" s="193"/>
    </row>
    <row r="29552" spans="6:6" x14ac:dyDescent="0.3">
      <c r="F29552" s="193"/>
    </row>
    <row r="29553" spans="6:6" x14ac:dyDescent="0.3">
      <c r="F29553" s="193"/>
    </row>
    <row r="29554" spans="6:6" x14ac:dyDescent="0.3">
      <c r="F29554" s="193"/>
    </row>
    <row r="29555" spans="6:6" x14ac:dyDescent="0.3">
      <c r="F29555" s="193"/>
    </row>
    <row r="29556" spans="6:6" x14ac:dyDescent="0.3">
      <c r="F29556" s="193"/>
    </row>
    <row r="29557" spans="6:6" x14ac:dyDescent="0.3">
      <c r="F29557" s="193"/>
    </row>
    <row r="29558" spans="6:6" x14ac:dyDescent="0.3">
      <c r="F29558" s="193"/>
    </row>
    <row r="29559" spans="6:6" x14ac:dyDescent="0.3">
      <c r="F29559" s="193"/>
    </row>
    <row r="29560" spans="6:6" x14ac:dyDescent="0.3">
      <c r="F29560" s="193"/>
    </row>
    <row r="29561" spans="6:6" x14ac:dyDescent="0.3">
      <c r="F29561" s="193"/>
    </row>
    <row r="29562" spans="6:6" x14ac:dyDescent="0.3">
      <c r="F29562" s="193"/>
    </row>
    <row r="29563" spans="6:6" x14ac:dyDescent="0.3">
      <c r="F29563" s="193"/>
    </row>
    <row r="29564" spans="6:6" x14ac:dyDescent="0.3">
      <c r="F29564" s="193"/>
    </row>
    <row r="29565" spans="6:6" x14ac:dyDescent="0.3">
      <c r="F29565" s="193"/>
    </row>
    <row r="29566" spans="6:6" x14ac:dyDescent="0.3">
      <c r="F29566" s="193"/>
    </row>
    <row r="29567" spans="6:6" x14ac:dyDescent="0.3">
      <c r="F29567" s="193"/>
    </row>
    <row r="29568" spans="6:6" x14ac:dyDescent="0.3">
      <c r="F29568" s="193"/>
    </row>
    <row r="29569" spans="6:6" x14ac:dyDescent="0.3">
      <c r="F29569" s="193"/>
    </row>
    <row r="29570" spans="6:6" x14ac:dyDescent="0.3">
      <c r="F29570" s="193"/>
    </row>
    <row r="29571" spans="6:6" x14ac:dyDescent="0.3">
      <c r="F29571" s="193"/>
    </row>
    <row r="29572" spans="6:6" x14ac:dyDescent="0.3">
      <c r="F29572" s="193"/>
    </row>
    <row r="29573" spans="6:6" x14ac:dyDescent="0.3">
      <c r="F29573" s="193"/>
    </row>
    <row r="29574" spans="6:6" x14ac:dyDescent="0.3">
      <c r="F29574" s="193"/>
    </row>
    <row r="29575" spans="6:6" x14ac:dyDescent="0.3">
      <c r="F29575" s="193"/>
    </row>
    <row r="29576" spans="6:6" x14ac:dyDescent="0.3">
      <c r="F29576" s="193"/>
    </row>
    <row r="29577" spans="6:6" x14ac:dyDescent="0.3">
      <c r="F29577" s="193"/>
    </row>
    <row r="29578" spans="6:6" x14ac:dyDescent="0.3">
      <c r="F29578" s="193"/>
    </row>
    <row r="29579" spans="6:6" x14ac:dyDescent="0.3">
      <c r="F29579" s="193"/>
    </row>
    <row r="29580" spans="6:6" x14ac:dyDescent="0.3">
      <c r="F29580" s="193"/>
    </row>
    <row r="29581" spans="6:6" x14ac:dyDescent="0.3">
      <c r="F29581" s="193"/>
    </row>
    <row r="29582" spans="6:6" x14ac:dyDescent="0.3">
      <c r="F29582" s="193"/>
    </row>
    <row r="29583" spans="6:6" x14ac:dyDescent="0.3">
      <c r="F29583" s="193"/>
    </row>
    <row r="29584" spans="6:6" x14ac:dyDescent="0.3">
      <c r="F29584" s="193"/>
    </row>
    <row r="29585" spans="6:6" x14ac:dyDescent="0.3">
      <c r="F29585" s="193"/>
    </row>
    <row r="29586" spans="6:6" x14ac:dyDescent="0.3">
      <c r="F29586" s="193"/>
    </row>
    <row r="29587" spans="6:6" x14ac:dyDescent="0.3">
      <c r="F29587" s="193"/>
    </row>
    <row r="29588" spans="6:6" x14ac:dyDescent="0.3">
      <c r="F29588" s="193"/>
    </row>
    <row r="29589" spans="6:6" x14ac:dyDescent="0.3">
      <c r="F29589" s="193"/>
    </row>
    <row r="29590" spans="6:6" x14ac:dyDescent="0.3">
      <c r="F29590" s="193"/>
    </row>
    <row r="29591" spans="6:6" x14ac:dyDescent="0.3">
      <c r="F29591" s="193"/>
    </row>
    <row r="29592" spans="6:6" x14ac:dyDescent="0.3">
      <c r="F29592" s="193"/>
    </row>
    <row r="29593" spans="6:6" x14ac:dyDescent="0.3">
      <c r="F29593" s="193"/>
    </row>
    <row r="29594" spans="6:6" x14ac:dyDescent="0.3">
      <c r="F29594" s="193"/>
    </row>
    <row r="29595" spans="6:6" x14ac:dyDescent="0.3">
      <c r="F29595" s="193"/>
    </row>
    <row r="29596" spans="6:6" x14ac:dyDescent="0.3">
      <c r="F29596" s="193"/>
    </row>
    <row r="29597" spans="6:6" x14ac:dyDescent="0.3">
      <c r="F29597" s="193"/>
    </row>
    <row r="29598" spans="6:6" x14ac:dyDescent="0.3">
      <c r="F29598" s="193"/>
    </row>
    <row r="29599" spans="6:6" x14ac:dyDescent="0.3">
      <c r="F29599" s="193"/>
    </row>
    <row r="29600" spans="6:6" x14ac:dyDescent="0.3">
      <c r="F29600" s="193"/>
    </row>
    <row r="29601" spans="6:6" x14ac:dyDescent="0.3">
      <c r="F29601" s="193"/>
    </row>
    <row r="29602" spans="6:6" x14ac:dyDescent="0.3">
      <c r="F29602" s="193"/>
    </row>
    <row r="29603" spans="6:6" x14ac:dyDescent="0.3">
      <c r="F29603" s="193"/>
    </row>
    <row r="29604" spans="6:6" x14ac:dyDescent="0.3">
      <c r="F29604" s="193"/>
    </row>
    <row r="29605" spans="6:6" x14ac:dyDescent="0.3">
      <c r="F29605" s="193"/>
    </row>
    <row r="29606" spans="6:6" x14ac:dyDescent="0.3">
      <c r="F29606" s="193"/>
    </row>
    <row r="29607" spans="6:6" x14ac:dyDescent="0.3">
      <c r="F29607" s="193"/>
    </row>
    <row r="29608" spans="6:6" x14ac:dyDescent="0.3">
      <c r="F29608" s="193"/>
    </row>
    <row r="29609" spans="6:6" x14ac:dyDescent="0.3">
      <c r="F29609" s="193"/>
    </row>
    <row r="29610" spans="6:6" x14ac:dyDescent="0.3">
      <c r="F29610" s="193"/>
    </row>
    <row r="29611" spans="6:6" x14ac:dyDescent="0.3">
      <c r="F29611" s="193"/>
    </row>
    <row r="29612" spans="6:6" x14ac:dyDescent="0.3">
      <c r="F29612" s="193"/>
    </row>
    <row r="29613" spans="6:6" x14ac:dyDescent="0.3">
      <c r="F29613" s="193"/>
    </row>
    <row r="29614" spans="6:6" x14ac:dyDescent="0.3">
      <c r="F29614" s="193"/>
    </row>
    <row r="29615" spans="6:6" x14ac:dyDescent="0.3">
      <c r="F29615" s="193"/>
    </row>
    <row r="29616" spans="6:6" x14ac:dyDescent="0.3">
      <c r="F29616" s="193"/>
    </row>
    <row r="29617" spans="6:6" x14ac:dyDescent="0.3">
      <c r="F29617" s="193"/>
    </row>
    <row r="29618" spans="6:6" x14ac:dyDescent="0.3">
      <c r="F29618" s="193"/>
    </row>
    <row r="29619" spans="6:6" x14ac:dyDescent="0.3">
      <c r="F29619" s="193"/>
    </row>
    <row r="29620" spans="6:6" x14ac:dyDescent="0.3">
      <c r="F29620" s="193"/>
    </row>
    <row r="29621" spans="6:6" x14ac:dyDescent="0.3">
      <c r="F29621" s="193"/>
    </row>
    <row r="29622" spans="6:6" x14ac:dyDescent="0.3">
      <c r="F29622" s="193"/>
    </row>
    <row r="29623" spans="6:6" x14ac:dyDescent="0.3">
      <c r="F29623" s="193"/>
    </row>
    <row r="29624" spans="6:6" x14ac:dyDescent="0.3">
      <c r="F29624" s="193"/>
    </row>
    <row r="29625" spans="6:6" x14ac:dyDescent="0.3">
      <c r="F29625" s="193"/>
    </row>
    <row r="29626" spans="6:6" x14ac:dyDescent="0.3">
      <c r="F29626" s="193"/>
    </row>
    <row r="29627" spans="6:6" x14ac:dyDescent="0.3">
      <c r="F29627" s="193"/>
    </row>
    <row r="29628" spans="6:6" x14ac:dyDescent="0.3">
      <c r="F29628" s="193"/>
    </row>
    <row r="29629" spans="6:6" x14ac:dyDescent="0.3">
      <c r="F29629" s="193"/>
    </row>
    <row r="29630" spans="6:6" x14ac:dyDescent="0.3">
      <c r="F29630" s="193"/>
    </row>
    <row r="29631" spans="6:6" x14ac:dyDescent="0.3">
      <c r="F29631" s="193"/>
    </row>
    <row r="29632" spans="6:6" x14ac:dyDescent="0.3">
      <c r="F29632" s="193"/>
    </row>
    <row r="29633" spans="6:6" x14ac:dyDescent="0.3">
      <c r="F29633" s="193"/>
    </row>
    <row r="29634" spans="6:6" x14ac:dyDescent="0.3">
      <c r="F29634" s="193"/>
    </row>
    <row r="29635" spans="6:6" x14ac:dyDescent="0.3">
      <c r="F29635" s="193"/>
    </row>
    <row r="29636" spans="6:6" x14ac:dyDescent="0.3">
      <c r="F29636" s="193"/>
    </row>
    <row r="29637" spans="6:6" x14ac:dyDescent="0.3">
      <c r="F29637" s="193"/>
    </row>
    <row r="29638" spans="6:6" x14ac:dyDescent="0.3">
      <c r="F29638" s="193"/>
    </row>
    <row r="29639" spans="6:6" x14ac:dyDescent="0.3">
      <c r="F29639" s="193"/>
    </row>
    <row r="29640" spans="6:6" x14ac:dyDescent="0.3">
      <c r="F29640" s="193"/>
    </row>
    <row r="29641" spans="6:6" x14ac:dyDescent="0.3">
      <c r="F29641" s="193"/>
    </row>
    <row r="29642" spans="6:6" x14ac:dyDescent="0.3">
      <c r="F29642" s="193"/>
    </row>
    <row r="29643" spans="6:6" x14ac:dyDescent="0.3">
      <c r="F29643" s="193"/>
    </row>
    <row r="29644" spans="6:6" x14ac:dyDescent="0.3">
      <c r="F29644" s="193"/>
    </row>
    <row r="29645" spans="6:6" x14ac:dyDescent="0.3">
      <c r="F29645" s="193"/>
    </row>
    <row r="29646" spans="6:6" x14ac:dyDescent="0.3">
      <c r="F29646" s="193"/>
    </row>
    <row r="29647" spans="6:6" x14ac:dyDescent="0.3">
      <c r="F29647" s="193"/>
    </row>
    <row r="29648" spans="6:6" x14ac:dyDescent="0.3">
      <c r="F29648" s="193"/>
    </row>
    <row r="29649" spans="6:6" x14ac:dyDescent="0.3">
      <c r="F29649" s="193"/>
    </row>
    <row r="29650" spans="6:6" x14ac:dyDescent="0.3">
      <c r="F29650" s="193"/>
    </row>
    <row r="29651" spans="6:6" x14ac:dyDescent="0.3">
      <c r="F29651" s="193"/>
    </row>
    <row r="29652" spans="6:6" x14ac:dyDescent="0.3">
      <c r="F29652" s="193"/>
    </row>
    <row r="29653" spans="6:6" x14ac:dyDescent="0.3">
      <c r="F29653" s="193"/>
    </row>
    <row r="29654" spans="6:6" x14ac:dyDescent="0.3">
      <c r="F29654" s="193"/>
    </row>
    <row r="29655" spans="6:6" x14ac:dyDescent="0.3">
      <c r="F29655" s="193"/>
    </row>
    <row r="29656" spans="6:6" x14ac:dyDescent="0.3">
      <c r="F29656" s="193"/>
    </row>
    <row r="29657" spans="6:6" x14ac:dyDescent="0.3">
      <c r="F29657" s="193"/>
    </row>
    <row r="29658" spans="6:6" x14ac:dyDescent="0.3">
      <c r="F29658" s="193"/>
    </row>
    <row r="29659" spans="6:6" x14ac:dyDescent="0.3">
      <c r="F29659" s="193"/>
    </row>
    <row r="29660" spans="6:6" x14ac:dyDescent="0.3">
      <c r="F29660" s="193"/>
    </row>
    <row r="29661" spans="6:6" x14ac:dyDescent="0.3">
      <c r="F29661" s="193"/>
    </row>
    <row r="29662" spans="6:6" x14ac:dyDescent="0.3">
      <c r="F29662" s="193"/>
    </row>
    <row r="29663" spans="6:6" x14ac:dyDescent="0.3">
      <c r="F29663" s="193"/>
    </row>
    <row r="29664" spans="6:6" x14ac:dyDescent="0.3">
      <c r="F29664" s="193"/>
    </row>
    <row r="29665" spans="6:6" x14ac:dyDescent="0.3">
      <c r="F29665" s="193"/>
    </row>
    <row r="29666" spans="6:6" x14ac:dyDescent="0.3">
      <c r="F29666" s="193"/>
    </row>
    <row r="29667" spans="6:6" x14ac:dyDescent="0.3">
      <c r="F29667" s="193"/>
    </row>
    <row r="29668" spans="6:6" x14ac:dyDescent="0.3">
      <c r="F29668" s="193"/>
    </row>
    <row r="29669" spans="6:6" x14ac:dyDescent="0.3">
      <c r="F29669" s="193"/>
    </row>
    <row r="29670" spans="6:6" x14ac:dyDescent="0.3">
      <c r="F29670" s="193"/>
    </row>
    <row r="29671" spans="6:6" x14ac:dyDescent="0.3">
      <c r="F29671" s="193"/>
    </row>
    <row r="29672" spans="6:6" x14ac:dyDescent="0.3">
      <c r="F29672" s="193"/>
    </row>
    <row r="29673" spans="6:6" x14ac:dyDescent="0.3">
      <c r="F29673" s="193"/>
    </row>
    <row r="29674" spans="6:6" x14ac:dyDescent="0.3">
      <c r="F29674" s="193"/>
    </row>
    <row r="29675" spans="6:6" x14ac:dyDescent="0.3">
      <c r="F29675" s="193"/>
    </row>
    <row r="29676" spans="6:6" x14ac:dyDescent="0.3">
      <c r="F29676" s="193"/>
    </row>
    <row r="29677" spans="6:6" x14ac:dyDescent="0.3">
      <c r="F29677" s="193"/>
    </row>
    <row r="29678" spans="6:6" x14ac:dyDescent="0.3">
      <c r="F29678" s="193"/>
    </row>
    <row r="29679" spans="6:6" x14ac:dyDescent="0.3">
      <c r="F29679" s="193"/>
    </row>
    <row r="29680" spans="6:6" x14ac:dyDescent="0.3">
      <c r="F29680" s="193"/>
    </row>
    <row r="29681" spans="6:6" x14ac:dyDescent="0.3">
      <c r="F29681" s="193"/>
    </row>
    <row r="29682" spans="6:6" x14ac:dyDescent="0.3">
      <c r="F29682" s="193"/>
    </row>
    <row r="29683" spans="6:6" x14ac:dyDescent="0.3">
      <c r="F29683" s="193"/>
    </row>
    <row r="29684" spans="6:6" x14ac:dyDescent="0.3">
      <c r="F29684" s="193"/>
    </row>
    <row r="29685" spans="6:6" x14ac:dyDescent="0.3">
      <c r="F29685" s="193"/>
    </row>
    <row r="29686" spans="6:6" x14ac:dyDescent="0.3">
      <c r="F29686" s="193"/>
    </row>
    <row r="29687" spans="6:6" x14ac:dyDescent="0.3">
      <c r="F29687" s="193"/>
    </row>
    <row r="29688" spans="6:6" x14ac:dyDescent="0.3">
      <c r="F29688" s="193"/>
    </row>
    <row r="29689" spans="6:6" x14ac:dyDescent="0.3">
      <c r="F29689" s="193"/>
    </row>
    <row r="29690" spans="6:6" x14ac:dyDescent="0.3">
      <c r="F29690" s="193"/>
    </row>
    <row r="29691" spans="6:6" x14ac:dyDescent="0.3">
      <c r="F29691" s="193"/>
    </row>
    <row r="29692" spans="6:6" x14ac:dyDescent="0.3">
      <c r="F29692" s="193"/>
    </row>
    <row r="29693" spans="6:6" x14ac:dyDescent="0.3">
      <c r="F29693" s="193"/>
    </row>
    <row r="29694" spans="6:6" x14ac:dyDescent="0.3">
      <c r="F29694" s="193"/>
    </row>
    <row r="29695" spans="6:6" x14ac:dyDescent="0.3">
      <c r="F29695" s="193"/>
    </row>
    <row r="29696" spans="6:6" x14ac:dyDescent="0.3">
      <c r="F29696" s="193"/>
    </row>
    <row r="29697" spans="6:6" x14ac:dyDescent="0.3">
      <c r="F29697" s="193"/>
    </row>
    <row r="29698" spans="6:6" x14ac:dyDescent="0.3">
      <c r="F29698" s="193"/>
    </row>
    <row r="29699" spans="6:6" x14ac:dyDescent="0.3">
      <c r="F29699" s="193"/>
    </row>
    <row r="29700" spans="6:6" x14ac:dyDescent="0.3">
      <c r="F29700" s="193"/>
    </row>
    <row r="29701" spans="6:6" x14ac:dyDescent="0.3">
      <c r="F29701" s="193"/>
    </row>
    <row r="29702" spans="6:6" x14ac:dyDescent="0.3">
      <c r="F29702" s="193"/>
    </row>
    <row r="29703" spans="6:6" x14ac:dyDescent="0.3">
      <c r="F29703" s="193"/>
    </row>
    <row r="29704" spans="6:6" x14ac:dyDescent="0.3">
      <c r="F29704" s="193"/>
    </row>
    <row r="29705" spans="6:6" x14ac:dyDescent="0.3">
      <c r="F29705" s="193"/>
    </row>
    <row r="29706" spans="6:6" x14ac:dyDescent="0.3">
      <c r="F29706" s="193"/>
    </row>
    <row r="29707" spans="6:6" x14ac:dyDescent="0.3">
      <c r="F29707" s="193"/>
    </row>
    <row r="29708" spans="6:6" x14ac:dyDescent="0.3">
      <c r="F29708" s="193"/>
    </row>
    <row r="29709" spans="6:6" x14ac:dyDescent="0.3">
      <c r="F29709" s="193"/>
    </row>
    <row r="29710" spans="6:6" x14ac:dyDescent="0.3">
      <c r="F29710" s="193"/>
    </row>
    <row r="29711" spans="6:6" x14ac:dyDescent="0.3">
      <c r="F29711" s="193"/>
    </row>
    <row r="29712" spans="6:6" x14ac:dyDescent="0.3">
      <c r="F29712" s="193"/>
    </row>
    <row r="29713" spans="6:6" x14ac:dyDescent="0.3">
      <c r="F29713" s="193"/>
    </row>
    <row r="29714" spans="6:6" x14ac:dyDescent="0.3">
      <c r="F29714" s="193"/>
    </row>
    <row r="29715" spans="6:6" x14ac:dyDescent="0.3">
      <c r="F29715" s="193"/>
    </row>
    <row r="29716" spans="6:6" x14ac:dyDescent="0.3">
      <c r="F29716" s="193"/>
    </row>
    <row r="29717" spans="6:6" x14ac:dyDescent="0.3">
      <c r="F29717" s="193"/>
    </row>
    <row r="29718" spans="6:6" x14ac:dyDescent="0.3">
      <c r="F29718" s="193"/>
    </row>
    <row r="29719" spans="6:6" x14ac:dyDescent="0.3">
      <c r="F29719" s="193"/>
    </row>
    <row r="29720" spans="6:6" x14ac:dyDescent="0.3">
      <c r="F29720" s="193"/>
    </row>
    <row r="29721" spans="6:6" x14ac:dyDescent="0.3">
      <c r="F29721" s="193"/>
    </row>
    <row r="29722" spans="6:6" x14ac:dyDescent="0.3">
      <c r="F29722" s="193"/>
    </row>
    <row r="29723" spans="6:6" x14ac:dyDescent="0.3">
      <c r="F29723" s="193"/>
    </row>
    <row r="29724" spans="6:6" x14ac:dyDescent="0.3">
      <c r="F29724" s="193"/>
    </row>
    <row r="29725" spans="6:6" x14ac:dyDescent="0.3">
      <c r="F29725" s="193"/>
    </row>
    <row r="29726" spans="6:6" x14ac:dyDescent="0.3">
      <c r="F29726" s="193"/>
    </row>
    <row r="29727" spans="6:6" x14ac:dyDescent="0.3">
      <c r="F29727" s="193"/>
    </row>
    <row r="29728" spans="6:6" x14ac:dyDescent="0.3">
      <c r="F29728" s="193"/>
    </row>
    <row r="29729" spans="6:6" x14ac:dyDescent="0.3">
      <c r="F29729" s="193"/>
    </row>
    <row r="29730" spans="6:6" x14ac:dyDescent="0.3">
      <c r="F29730" s="193"/>
    </row>
    <row r="29731" spans="6:6" x14ac:dyDescent="0.3">
      <c r="F29731" s="193"/>
    </row>
    <row r="29732" spans="6:6" x14ac:dyDescent="0.3">
      <c r="F29732" s="193"/>
    </row>
    <row r="29733" spans="6:6" x14ac:dyDescent="0.3">
      <c r="F29733" s="193"/>
    </row>
    <row r="29734" spans="6:6" x14ac:dyDescent="0.3">
      <c r="F29734" s="193"/>
    </row>
    <row r="29735" spans="6:6" x14ac:dyDescent="0.3">
      <c r="F29735" s="193"/>
    </row>
    <row r="29736" spans="6:6" x14ac:dyDescent="0.3">
      <c r="F29736" s="193"/>
    </row>
    <row r="29737" spans="6:6" x14ac:dyDescent="0.3">
      <c r="F29737" s="193"/>
    </row>
    <row r="29738" spans="6:6" x14ac:dyDescent="0.3">
      <c r="F29738" s="193"/>
    </row>
    <row r="29739" spans="6:6" x14ac:dyDescent="0.3">
      <c r="F29739" s="193"/>
    </row>
    <row r="29740" spans="6:6" x14ac:dyDescent="0.3">
      <c r="F29740" s="193"/>
    </row>
    <row r="29741" spans="6:6" x14ac:dyDescent="0.3">
      <c r="F29741" s="193"/>
    </row>
    <row r="29742" spans="6:6" x14ac:dyDescent="0.3">
      <c r="F29742" s="193"/>
    </row>
    <row r="29743" spans="6:6" x14ac:dyDescent="0.3">
      <c r="F29743" s="193"/>
    </row>
    <row r="29744" spans="6:6" x14ac:dyDescent="0.3">
      <c r="F29744" s="193"/>
    </row>
    <row r="29745" spans="6:6" x14ac:dyDescent="0.3">
      <c r="F29745" s="193"/>
    </row>
    <row r="29746" spans="6:6" x14ac:dyDescent="0.3">
      <c r="F29746" s="193"/>
    </row>
    <row r="29747" spans="6:6" x14ac:dyDescent="0.3">
      <c r="F29747" s="193"/>
    </row>
    <row r="29748" spans="6:6" x14ac:dyDescent="0.3">
      <c r="F29748" s="193"/>
    </row>
    <row r="29749" spans="6:6" x14ac:dyDescent="0.3">
      <c r="F29749" s="193"/>
    </row>
    <row r="29750" spans="6:6" x14ac:dyDescent="0.3">
      <c r="F29750" s="193"/>
    </row>
    <row r="29751" spans="6:6" x14ac:dyDescent="0.3">
      <c r="F29751" s="193"/>
    </row>
    <row r="29752" spans="6:6" x14ac:dyDescent="0.3">
      <c r="F29752" s="193"/>
    </row>
    <row r="29753" spans="6:6" x14ac:dyDescent="0.3">
      <c r="F29753" s="193"/>
    </row>
    <row r="29754" spans="6:6" x14ac:dyDescent="0.3">
      <c r="F29754" s="193"/>
    </row>
    <row r="29755" spans="6:6" x14ac:dyDescent="0.3">
      <c r="F29755" s="193"/>
    </row>
    <row r="29756" spans="6:6" x14ac:dyDescent="0.3">
      <c r="F29756" s="193"/>
    </row>
    <row r="29757" spans="6:6" x14ac:dyDescent="0.3">
      <c r="F29757" s="193"/>
    </row>
    <row r="29758" spans="6:6" x14ac:dyDescent="0.3">
      <c r="F29758" s="193"/>
    </row>
    <row r="29759" spans="6:6" x14ac:dyDescent="0.3">
      <c r="F29759" s="193"/>
    </row>
    <row r="29760" spans="6:6" x14ac:dyDescent="0.3">
      <c r="F29760" s="193"/>
    </row>
    <row r="29761" spans="6:6" x14ac:dyDescent="0.3">
      <c r="F29761" s="193"/>
    </row>
    <row r="29762" spans="6:6" x14ac:dyDescent="0.3">
      <c r="F29762" s="193"/>
    </row>
    <row r="29763" spans="6:6" x14ac:dyDescent="0.3">
      <c r="F29763" s="193"/>
    </row>
    <row r="29764" spans="6:6" x14ac:dyDescent="0.3">
      <c r="F29764" s="193"/>
    </row>
    <row r="29765" spans="6:6" x14ac:dyDescent="0.3">
      <c r="F29765" s="193"/>
    </row>
    <row r="29766" spans="6:6" x14ac:dyDescent="0.3">
      <c r="F29766" s="193"/>
    </row>
    <row r="29767" spans="6:6" x14ac:dyDescent="0.3">
      <c r="F29767" s="193"/>
    </row>
    <row r="29768" spans="6:6" x14ac:dyDescent="0.3">
      <c r="F29768" s="193"/>
    </row>
    <row r="29769" spans="6:6" x14ac:dyDescent="0.3">
      <c r="F29769" s="193"/>
    </row>
    <row r="29770" spans="6:6" x14ac:dyDescent="0.3">
      <c r="F29770" s="193"/>
    </row>
    <row r="29771" spans="6:6" x14ac:dyDescent="0.3">
      <c r="F29771" s="193"/>
    </row>
    <row r="29772" spans="6:6" x14ac:dyDescent="0.3">
      <c r="F29772" s="193"/>
    </row>
    <row r="29773" spans="6:6" x14ac:dyDescent="0.3">
      <c r="F29773" s="193"/>
    </row>
    <row r="29774" spans="6:6" x14ac:dyDescent="0.3">
      <c r="F29774" s="193"/>
    </row>
    <row r="29775" spans="6:6" x14ac:dyDescent="0.3">
      <c r="F29775" s="193"/>
    </row>
    <row r="29776" spans="6:6" x14ac:dyDescent="0.3">
      <c r="F29776" s="193"/>
    </row>
    <row r="29777" spans="6:6" x14ac:dyDescent="0.3">
      <c r="F29777" s="193"/>
    </row>
    <row r="29778" spans="6:6" x14ac:dyDescent="0.3">
      <c r="F29778" s="193"/>
    </row>
    <row r="29779" spans="6:6" x14ac:dyDescent="0.3">
      <c r="F29779" s="193"/>
    </row>
    <row r="29780" spans="6:6" x14ac:dyDescent="0.3">
      <c r="F29780" s="193"/>
    </row>
    <row r="29781" spans="6:6" x14ac:dyDescent="0.3">
      <c r="F29781" s="193"/>
    </row>
    <row r="29782" spans="6:6" x14ac:dyDescent="0.3">
      <c r="F29782" s="193"/>
    </row>
    <row r="29783" spans="6:6" x14ac:dyDescent="0.3">
      <c r="F29783" s="193"/>
    </row>
    <row r="29784" spans="6:6" x14ac:dyDescent="0.3">
      <c r="F29784" s="193"/>
    </row>
    <row r="29785" spans="6:6" x14ac:dyDescent="0.3">
      <c r="F29785" s="193"/>
    </row>
    <row r="29786" spans="6:6" x14ac:dyDescent="0.3">
      <c r="F29786" s="193"/>
    </row>
    <row r="29787" spans="6:6" x14ac:dyDescent="0.3">
      <c r="F29787" s="193"/>
    </row>
    <row r="29788" spans="6:6" x14ac:dyDescent="0.3">
      <c r="F29788" s="193"/>
    </row>
    <row r="29789" spans="6:6" x14ac:dyDescent="0.3">
      <c r="F29789" s="193"/>
    </row>
    <row r="29790" spans="6:6" x14ac:dyDescent="0.3">
      <c r="F29790" s="193"/>
    </row>
    <row r="29791" spans="6:6" x14ac:dyDescent="0.3">
      <c r="F29791" s="193"/>
    </row>
    <row r="29792" spans="6:6" x14ac:dyDescent="0.3">
      <c r="F29792" s="193"/>
    </row>
    <row r="29793" spans="6:6" x14ac:dyDescent="0.3">
      <c r="F29793" s="193"/>
    </row>
    <row r="29794" spans="6:6" x14ac:dyDescent="0.3">
      <c r="F29794" s="193"/>
    </row>
    <row r="29795" spans="6:6" x14ac:dyDescent="0.3">
      <c r="F29795" s="193"/>
    </row>
    <row r="29796" spans="6:6" x14ac:dyDescent="0.3">
      <c r="F29796" s="193"/>
    </row>
    <row r="29797" spans="6:6" x14ac:dyDescent="0.3">
      <c r="F29797" s="193"/>
    </row>
    <row r="29798" spans="6:6" x14ac:dyDescent="0.3">
      <c r="F29798" s="193"/>
    </row>
    <row r="29799" spans="6:6" x14ac:dyDescent="0.3">
      <c r="F29799" s="193"/>
    </row>
    <row r="29800" spans="6:6" x14ac:dyDescent="0.3">
      <c r="F29800" s="193"/>
    </row>
    <row r="29801" spans="6:6" x14ac:dyDescent="0.3">
      <c r="F29801" s="193"/>
    </row>
    <row r="29802" spans="6:6" x14ac:dyDescent="0.3">
      <c r="F29802" s="193"/>
    </row>
    <row r="29803" spans="6:6" x14ac:dyDescent="0.3">
      <c r="F29803" s="193"/>
    </row>
    <row r="29804" spans="6:6" x14ac:dyDescent="0.3">
      <c r="F29804" s="193"/>
    </row>
    <row r="29805" spans="6:6" x14ac:dyDescent="0.3">
      <c r="F29805" s="193"/>
    </row>
    <row r="29806" spans="6:6" x14ac:dyDescent="0.3">
      <c r="F29806" s="193"/>
    </row>
    <row r="29807" spans="6:6" x14ac:dyDescent="0.3">
      <c r="F29807" s="193"/>
    </row>
    <row r="29808" spans="6:6" x14ac:dyDescent="0.3">
      <c r="F29808" s="193"/>
    </row>
    <row r="29809" spans="6:6" x14ac:dyDescent="0.3">
      <c r="F29809" s="193"/>
    </row>
    <row r="29810" spans="6:6" x14ac:dyDescent="0.3">
      <c r="F29810" s="193"/>
    </row>
    <row r="29811" spans="6:6" x14ac:dyDescent="0.3">
      <c r="F29811" s="193"/>
    </row>
    <row r="29812" spans="6:6" x14ac:dyDescent="0.3">
      <c r="F29812" s="193"/>
    </row>
    <row r="29813" spans="6:6" x14ac:dyDescent="0.3">
      <c r="F29813" s="193"/>
    </row>
    <row r="29814" spans="6:6" x14ac:dyDescent="0.3">
      <c r="F29814" s="193"/>
    </row>
    <row r="29815" spans="6:6" x14ac:dyDescent="0.3">
      <c r="F29815" s="193"/>
    </row>
    <row r="29816" spans="6:6" x14ac:dyDescent="0.3">
      <c r="F29816" s="193"/>
    </row>
    <row r="29817" spans="6:6" x14ac:dyDescent="0.3">
      <c r="F29817" s="193"/>
    </row>
    <row r="29818" spans="6:6" x14ac:dyDescent="0.3">
      <c r="F29818" s="193"/>
    </row>
    <row r="29819" spans="6:6" x14ac:dyDescent="0.3">
      <c r="F29819" s="193"/>
    </row>
    <row r="29820" spans="6:6" x14ac:dyDescent="0.3">
      <c r="F29820" s="193"/>
    </row>
    <row r="29821" spans="6:6" x14ac:dyDescent="0.3">
      <c r="F29821" s="193"/>
    </row>
    <row r="29822" spans="6:6" x14ac:dyDescent="0.3">
      <c r="F29822" s="193"/>
    </row>
    <row r="29823" spans="6:6" x14ac:dyDescent="0.3">
      <c r="F29823" s="193"/>
    </row>
    <row r="29824" spans="6:6" x14ac:dyDescent="0.3">
      <c r="F29824" s="193"/>
    </row>
    <row r="29825" spans="6:6" x14ac:dyDescent="0.3">
      <c r="F29825" s="193"/>
    </row>
    <row r="29826" spans="6:6" x14ac:dyDescent="0.3">
      <c r="F29826" s="193"/>
    </row>
    <row r="29827" spans="6:6" x14ac:dyDescent="0.3">
      <c r="F29827" s="193"/>
    </row>
    <row r="29828" spans="6:6" x14ac:dyDescent="0.3">
      <c r="F29828" s="193"/>
    </row>
    <row r="29829" spans="6:6" x14ac:dyDescent="0.3">
      <c r="F29829" s="193"/>
    </row>
    <row r="29830" spans="6:6" x14ac:dyDescent="0.3">
      <c r="F29830" s="193"/>
    </row>
    <row r="29831" spans="6:6" x14ac:dyDescent="0.3">
      <c r="F29831" s="193"/>
    </row>
    <row r="29832" spans="6:6" x14ac:dyDescent="0.3">
      <c r="F29832" s="193"/>
    </row>
    <row r="29833" spans="6:6" x14ac:dyDescent="0.3">
      <c r="F29833" s="193"/>
    </row>
    <row r="29834" spans="6:6" x14ac:dyDescent="0.3">
      <c r="F29834" s="193"/>
    </row>
    <row r="29835" spans="6:6" x14ac:dyDescent="0.3">
      <c r="F29835" s="193"/>
    </row>
    <row r="29836" spans="6:6" x14ac:dyDescent="0.3">
      <c r="F29836" s="193"/>
    </row>
    <row r="29837" spans="6:6" x14ac:dyDescent="0.3">
      <c r="F29837" s="193"/>
    </row>
    <row r="29838" spans="6:6" x14ac:dyDescent="0.3">
      <c r="F29838" s="193"/>
    </row>
    <row r="29839" spans="6:6" x14ac:dyDescent="0.3">
      <c r="F29839" s="193"/>
    </row>
    <row r="29840" spans="6:6" x14ac:dyDescent="0.3">
      <c r="F29840" s="193"/>
    </row>
    <row r="29841" spans="6:6" x14ac:dyDescent="0.3">
      <c r="F29841" s="193"/>
    </row>
    <row r="29842" spans="6:6" x14ac:dyDescent="0.3">
      <c r="F29842" s="193"/>
    </row>
    <row r="29843" spans="6:6" x14ac:dyDescent="0.3">
      <c r="F29843" s="193"/>
    </row>
    <row r="29844" spans="6:6" x14ac:dyDescent="0.3">
      <c r="F29844" s="193"/>
    </row>
    <row r="29845" spans="6:6" x14ac:dyDescent="0.3">
      <c r="F29845" s="193"/>
    </row>
    <row r="29846" spans="6:6" x14ac:dyDescent="0.3">
      <c r="F29846" s="193"/>
    </row>
    <row r="29847" spans="6:6" x14ac:dyDescent="0.3">
      <c r="F29847" s="193"/>
    </row>
    <row r="29848" spans="6:6" x14ac:dyDescent="0.3">
      <c r="F29848" s="193"/>
    </row>
    <row r="29849" spans="6:6" x14ac:dyDescent="0.3">
      <c r="F29849" s="193"/>
    </row>
    <row r="29850" spans="6:6" x14ac:dyDescent="0.3">
      <c r="F29850" s="193"/>
    </row>
    <row r="29851" spans="6:6" x14ac:dyDescent="0.3">
      <c r="F29851" s="193"/>
    </row>
    <row r="29852" spans="6:6" x14ac:dyDescent="0.3">
      <c r="F29852" s="193"/>
    </row>
    <row r="29853" spans="6:6" x14ac:dyDescent="0.3">
      <c r="F29853" s="193"/>
    </row>
    <row r="29854" spans="6:6" x14ac:dyDescent="0.3">
      <c r="F29854" s="193"/>
    </row>
    <row r="29855" spans="6:6" x14ac:dyDescent="0.3">
      <c r="F29855" s="193"/>
    </row>
    <row r="29856" spans="6:6" x14ac:dyDescent="0.3">
      <c r="F29856" s="193"/>
    </row>
    <row r="29857" spans="6:6" x14ac:dyDescent="0.3">
      <c r="F29857" s="193"/>
    </row>
    <row r="29858" spans="6:6" x14ac:dyDescent="0.3">
      <c r="F29858" s="193"/>
    </row>
    <row r="29859" spans="6:6" x14ac:dyDescent="0.3">
      <c r="F29859" s="193"/>
    </row>
    <row r="29860" spans="6:6" x14ac:dyDescent="0.3">
      <c r="F29860" s="193"/>
    </row>
    <row r="29861" spans="6:6" x14ac:dyDescent="0.3">
      <c r="F29861" s="193"/>
    </row>
    <row r="29862" spans="6:6" x14ac:dyDescent="0.3">
      <c r="F29862" s="193"/>
    </row>
    <row r="29863" spans="6:6" x14ac:dyDescent="0.3">
      <c r="F29863" s="193"/>
    </row>
    <row r="29864" spans="6:6" x14ac:dyDescent="0.3">
      <c r="F29864" s="193"/>
    </row>
    <row r="29865" spans="6:6" x14ac:dyDescent="0.3">
      <c r="F29865" s="193"/>
    </row>
    <row r="29866" spans="6:6" x14ac:dyDescent="0.3">
      <c r="F29866" s="193"/>
    </row>
    <row r="29867" spans="6:6" x14ac:dyDescent="0.3">
      <c r="F29867" s="193"/>
    </row>
    <row r="29868" spans="6:6" x14ac:dyDescent="0.3">
      <c r="F29868" s="193"/>
    </row>
    <row r="29869" spans="6:6" x14ac:dyDescent="0.3">
      <c r="F29869" s="193"/>
    </row>
    <row r="29870" spans="6:6" x14ac:dyDescent="0.3">
      <c r="F29870" s="193"/>
    </row>
    <row r="29871" spans="6:6" x14ac:dyDescent="0.3">
      <c r="F29871" s="193"/>
    </row>
    <row r="29872" spans="6:6" x14ac:dyDescent="0.3">
      <c r="F29872" s="193"/>
    </row>
    <row r="29873" spans="6:6" x14ac:dyDescent="0.3">
      <c r="F29873" s="193"/>
    </row>
    <row r="29874" spans="6:6" x14ac:dyDescent="0.3">
      <c r="F29874" s="193"/>
    </row>
    <row r="29875" spans="6:6" x14ac:dyDescent="0.3">
      <c r="F29875" s="193"/>
    </row>
    <row r="29876" spans="6:6" x14ac:dyDescent="0.3">
      <c r="F29876" s="193"/>
    </row>
    <row r="29877" spans="6:6" x14ac:dyDescent="0.3">
      <c r="F29877" s="193"/>
    </row>
    <row r="29878" spans="6:6" x14ac:dyDescent="0.3">
      <c r="F29878" s="193"/>
    </row>
    <row r="29879" spans="6:6" x14ac:dyDescent="0.3">
      <c r="F29879" s="193"/>
    </row>
    <row r="29880" spans="6:6" x14ac:dyDescent="0.3">
      <c r="F29880" s="193"/>
    </row>
    <row r="29881" spans="6:6" x14ac:dyDescent="0.3">
      <c r="F29881" s="193"/>
    </row>
    <row r="29882" spans="6:6" x14ac:dyDescent="0.3">
      <c r="F29882" s="193"/>
    </row>
    <row r="29883" spans="6:6" x14ac:dyDescent="0.3">
      <c r="F29883" s="193"/>
    </row>
    <row r="29884" spans="6:6" x14ac:dyDescent="0.3">
      <c r="F29884" s="193"/>
    </row>
    <row r="29885" spans="6:6" x14ac:dyDescent="0.3">
      <c r="F29885" s="193"/>
    </row>
    <row r="29886" spans="6:6" x14ac:dyDescent="0.3">
      <c r="F29886" s="193"/>
    </row>
    <row r="29887" spans="6:6" x14ac:dyDescent="0.3">
      <c r="F29887" s="193"/>
    </row>
    <row r="29888" spans="6:6" x14ac:dyDescent="0.3">
      <c r="F29888" s="193"/>
    </row>
    <row r="29889" spans="6:6" x14ac:dyDescent="0.3">
      <c r="F29889" s="193"/>
    </row>
    <row r="29890" spans="6:6" x14ac:dyDescent="0.3">
      <c r="F29890" s="193"/>
    </row>
    <row r="29891" spans="6:6" x14ac:dyDescent="0.3">
      <c r="F29891" s="193"/>
    </row>
    <row r="29892" spans="6:6" x14ac:dyDescent="0.3">
      <c r="F29892" s="193"/>
    </row>
    <row r="29893" spans="6:6" x14ac:dyDescent="0.3">
      <c r="F29893" s="193"/>
    </row>
    <row r="29894" spans="6:6" x14ac:dyDescent="0.3">
      <c r="F29894" s="193"/>
    </row>
    <row r="29895" spans="6:6" x14ac:dyDescent="0.3">
      <c r="F29895" s="193"/>
    </row>
    <row r="29896" spans="6:6" x14ac:dyDescent="0.3">
      <c r="F29896" s="193"/>
    </row>
    <row r="29897" spans="6:6" x14ac:dyDescent="0.3">
      <c r="F29897" s="193"/>
    </row>
    <row r="29898" spans="6:6" x14ac:dyDescent="0.3">
      <c r="F29898" s="193"/>
    </row>
    <row r="29899" spans="6:6" x14ac:dyDescent="0.3">
      <c r="F29899" s="193"/>
    </row>
    <row r="29900" spans="6:6" x14ac:dyDescent="0.3">
      <c r="F29900" s="193"/>
    </row>
    <row r="29901" spans="6:6" x14ac:dyDescent="0.3">
      <c r="F29901" s="193"/>
    </row>
    <row r="29902" spans="6:6" x14ac:dyDescent="0.3">
      <c r="F29902" s="193"/>
    </row>
    <row r="29903" spans="6:6" x14ac:dyDescent="0.3">
      <c r="F29903" s="193"/>
    </row>
    <row r="29904" spans="6:6" x14ac:dyDescent="0.3">
      <c r="F29904" s="193"/>
    </row>
    <row r="29905" spans="6:6" x14ac:dyDescent="0.3">
      <c r="F29905" s="193"/>
    </row>
    <row r="29906" spans="6:6" x14ac:dyDescent="0.3">
      <c r="F29906" s="193"/>
    </row>
    <row r="29907" spans="6:6" x14ac:dyDescent="0.3">
      <c r="F29907" s="193"/>
    </row>
    <row r="29908" spans="6:6" x14ac:dyDescent="0.3">
      <c r="F29908" s="193"/>
    </row>
    <row r="29909" spans="6:6" x14ac:dyDescent="0.3">
      <c r="F29909" s="193"/>
    </row>
    <row r="29910" spans="6:6" x14ac:dyDescent="0.3">
      <c r="F29910" s="193"/>
    </row>
    <row r="29911" spans="6:6" x14ac:dyDescent="0.3">
      <c r="F29911" s="193"/>
    </row>
    <row r="29912" spans="6:6" x14ac:dyDescent="0.3">
      <c r="F29912" s="193"/>
    </row>
    <row r="29913" spans="6:6" x14ac:dyDescent="0.3">
      <c r="F29913" s="193"/>
    </row>
    <row r="29914" spans="6:6" x14ac:dyDescent="0.3">
      <c r="F29914" s="193"/>
    </row>
    <row r="29915" spans="6:6" x14ac:dyDescent="0.3">
      <c r="F29915" s="193"/>
    </row>
    <row r="29916" spans="6:6" x14ac:dyDescent="0.3">
      <c r="F29916" s="193"/>
    </row>
    <row r="29917" spans="6:6" x14ac:dyDescent="0.3">
      <c r="F29917" s="193"/>
    </row>
    <row r="29918" spans="6:6" x14ac:dyDescent="0.3">
      <c r="F29918" s="193"/>
    </row>
    <row r="29919" spans="6:6" x14ac:dyDescent="0.3">
      <c r="F29919" s="193"/>
    </row>
    <row r="29920" spans="6:6" x14ac:dyDescent="0.3">
      <c r="F29920" s="193"/>
    </row>
    <row r="29921" spans="6:6" x14ac:dyDescent="0.3">
      <c r="F29921" s="193"/>
    </row>
    <row r="29922" spans="6:6" x14ac:dyDescent="0.3">
      <c r="F29922" s="193"/>
    </row>
    <row r="29923" spans="6:6" x14ac:dyDescent="0.3">
      <c r="F29923" s="193"/>
    </row>
    <row r="29924" spans="6:6" x14ac:dyDescent="0.3">
      <c r="F29924" s="193"/>
    </row>
    <row r="29925" spans="6:6" x14ac:dyDescent="0.3">
      <c r="F29925" s="193"/>
    </row>
    <row r="29926" spans="6:6" x14ac:dyDescent="0.3">
      <c r="F29926" s="193"/>
    </row>
    <row r="29927" spans="6:6" x14ac:dyDescent="0.3">
      <c r="F29927" s="193"/>
    </row>
    <row r="29928" spans="6:6" x14ac:dyDescent="0.3">
      <c r="F29928" s="193"/>
    </row>
    <row r="29929" spans="6:6" x14ac:dyDescent="0.3">
      <c r="F29929" s="193"/>
    </row>
    <row r="29930" spans="6:6" x14ac:dyDescent="0.3">
      <c r="F29930" s="193"/>
    </row>
    <row r="29931" spans="6:6" x14ac:dyDescent="0.3">
      <c r="F29931" s="193"/>
    </row>
    <row r="29932" spans="6:6" x14ac:dyDescent="0.3">
      <c r="F29932" s="193"/>
    </row>
    <row r="29933" spans="6:6" x14ac:dyDescent="0.3">
      <c r="F29933" s="193"/>
    </row>
    <row r="29934" spans="6:6" x14ac:dyDescent="0.3">
      <c r="F29934" s="193"/>
    </row>
    <row r="29935" spans="6:6" x14ac:dyDescent="0.3">
      <c r="F29935" s="193"/>
    </row>
    <row r="29936" spans="6:6" x14ac:dyDescent="0.3">
      <c r="F29936" s="193"/>
    </row>
    <row r="29937" spans="6:6" x14ac:dyDescent="0.3">
      <c r="F29937" s="193"/>
    </row>
    <row r="29938" spans="6:6" x14ac:dyDescent="0.3">
      <c r="F29938" s="193"/>
    </row>
    <row r="29939" spans="6:6" x14ac:dyDescent="0.3">
      <c r="F29939" s="193"/>
    </row>
    <row r="29940" spans="6:6" x14ac:dyDescent="0.3">
      <c r="F29940" s="193"/>
    </row>
    <row r="29941" spans="6:6" x14ac:dyDescent="0.3">
      <c r="F29941" s="193"/>
    </row>
    <row r="29942" spans="6:6" x14ac:dyDescent="0.3">
      <c r="F29942" s="193"/>
    </row>
    <row r="29943" spans="6:6" x14ac:dyDescent="0.3">
      <c r="F29943" s="193"/>
    </row>
    <row r="29944" spans="6:6" x14ac:dyDescent="0.3">
      <c r="F29944" s="193"/>
    </row>
    <row r="29945" spans="6:6" x14ac:dyDescent="0.3">
      <c r="F29945" s="193"/>
    </row>
    <row r="29946" spans="6:6" x14ac:dyDescent="0.3">
      <c r="F29946" s="193"/>
    </row>
    <row r="29947" spans="6:6" x14ac:dyDescent="0.3">
      <c r="F29947" s="193"/>
    </row>
    <row r="29948" spans="6:6" x14ac:dyDescent="0.3">
      <c r="F29948" s="193"/>
    </row>
    <row r="29949" spans="6:6" x14ac:dyDescent="0.3">
      <c r="F29949" s="193"/>
    </row>
    <row r="29950" spans="6:6" x14ac:dyDescent="0.3">
      <c r="F29950" s="193"/>
    </row>
    <row r="29951" spans="6:6" x14ac:dyDescent="0.3">
      <c r="F29951" s="193"/>
    </row>
    <row r="29952" spans="6:6" x14ac:dyDescent="0.3">
      <c r="F29952" s="193"/>
    </row>
    <row r="29953" spans="6:6" x14ac:dyDescent="0.3">
      <c r="F29953" s="193"/>
    </row>
    <row r="29954" spans="6:6" x14ac:dyDescent="0.3">
      <c r="F29954" s="193"/>
    </row>
    <row r="29955" spans="6:6" x14ac:dyDescent="0.3">
      <c r="F29955" s="193"/>
    </row>
    <row r="29956" spans="6:6" x14ac:dyDescent="0.3">
      <c r="F29956" s="193"/>
    </row>
    <row r="29957" spans="6:6" x14ac:dyDescent="0.3">
      <c r="F29957" s="193"/>
    </row>
    <row r="29958" spans="6:6" x14ac:dyDescent="0.3">
      <c r="F29958" s="193"/>
    </row>
    <row r="29959" spans="6:6" x14ac:dyDescent="0.3">
      <c r="F29959" s="193"/>
    </row>
    <row r="29960" spans="6:6" x14ac:dyDescent="0.3">
      <c r="F29960" s="193"/>
    </row>
    <row r="29961" spans="6:6" x14ac:dyDescent="0.3">
      <c r="F29961" s="193"/>
    </row>
    <row r="29962" spans="6:6" x14ac:dyDescent="0.3">
      <c r="F29962" s="193"/>
    </row>
    <row r="29963" spans="6:6" x14ac:dyDescent="0.3">
      <c r="F29963" s="193"/>
    </row>
    <row r="29964" spans="6:6" x14ac:dyDescent="0.3">
      <c r="F29964" s="193"/>
    </row>
    <row r="29965" spans="6:6" x14ac:dyDescent="0.3">
      <c r="F29965" s="193"/>
    </row>
    <row r="29966" spans="6:6" x14ac:dyDescent="0.3">
      <c r="F29966" s="193"/>
    </row>
    <row r="29967" spans="6:6" x14ac:dyDescent="0.3">
      <c r="F29967" s="193"/>
    </row>
    <row r="29968" spans="6:6" x14ac:dyDescent="0.3">
      <c r="F29968" s="193"/>
    </row>
    <row r="29969" spans="6:6" x14ac:dyDescent="0.3">
      <c r="F29969" s="193"/>
    </row>
    <row r="29970" spans="6:6" x14ac:dyDescent="0.3">
      <c r="F29970" s="193"/>
    </row>
    <row r="29971" spans="6:6" x14ac:dyDescent="0.3">
      <c r="F29971" s="193"/>
    </row>
    <row r="29972" spans="6:6" x14ac:dyDescent="0.3">
      <c r="F29972" s="193"/>
    </row>
    <row r="29973" spans="6:6" x14ac:dyDescent="0.3">
      <c r="F29973" s="193"/>
    </row>
    <row r="29974" spans="6:6" x14ac:dyDescent="0.3">
      <c r="F29974" s="193"/>
    </row>
    <row r="29975" spans="6:6" x14ac:dyDescent="0.3">
      <c r="F29975" s="193"/>
    </row>
    <row r="29976" spans="6:6" x14ac:dyDescent="0.3">
      <c r="F29976" s="193"/>
    </row>
    <row r="29977" spans="6:6" x14ac:dyDescent="0.3">
      <c r="F29977" s="193"/>
    </row>
    <row r="29978" spans="6:6" x14ac:dyDescent="0.3">
      <c r="F29978" s="193"/>
    </row>
    <row r="29979" spans="6:6" x14ac:dyDescent="0.3">
      <c r="F29979" s="193"/>
    </row>
    <row r="29980" spans="6:6" x14ac:dyDescent="0.3">
      <c r="F29980" s="193"/>
    </row>
    <row r="29981" spans="6:6" x14ac:dyDescent="0.3">
      <c r="F29981" s="193"/>
    </row>
    <row r="29982" spans="6:6" x14ac:dyDescent="0.3">
      <c r="F29982" s="193"/>
    </row>
    <row r="29983" spans="6:6" x14ac:dyDescent="0.3">
      <c r="F29983" s="193"/>
    </row>
    <row r="29984" spans="6:6" x14ac:dyDescent="0.3">
      <c r="F29984" s="193"/>
    </row>
    <row r="29985" spans="6:6" x14ac:dyDescent="0.3">
      <c r="F29985" s="193"/>
    </row>
    <row r="29986" spans="6:6" x14ac:dyDescent="0.3">
      <c r="F29986" s="193"/>
    </row>
    <row r="29987" spans="6:6" x14ac:dyDescent="0.3">
      <c r="F29987" s="193"/>
    </row>
    <row r="29988" spans="6:6" x14ac:dyDescent="0.3">
      <c r="F29988" s="193"/>
    </row>
    <row r="29989" spans="6:6" x14ac:dyDescent="0.3">
      <c r="F29989" s="193"/>
    </row>
    <row r="29990" spans="6:6" x14ac:dyDescent="0.3">
      <c r="F29990" s="193"/>
    </row>
    <row r="29991" spans="6:6" x14ac:dyDescent="0.3">
      <c r="F29991" s="193"/>
    </row>
    <row r="29992" spans="6:6" x14ac:dyDescent="0.3">
      <c r="F29992" s="193"/>
    </row>
    <row r="29993" spans="6:6" x14ac:dyDescent="0.3">
      <c r="F29993" s="193"/>
    </row>
    <row r="29994" spans="6:6" x14ac:dyDescent="0.3">
      <c r="F29994" s="193"/>
    </row>
    <row r="29995" spans="6:6" x14ac:dyDescent="0.3">
      <c r="F29995" s="193"/>
    </row>
    <row r="29996" spans="6:6" x14ac:dyDescent="0.3">
      <c r="F29996" s="193"/>
    </row>
    <row r="29997" spans="6:6" x14ac:dyDescent="0.3">
      <c r="F29997" s="193"/>
    </row>
    <row r="29998" spans="6:6" x14ac:dyDescent="0.3">
      <c r="F29998" s="193"/>
    </row>
    <row r="29999" spans="6:6" x14ac:dyDescent="0.3">
      <c r="F29999" s="193"/>
    </row>
    <row r="30000" spans="6:6" x14ac:dyDescent="0.3">
      <c r="F30000" s="193"/>
    </row>
    <row r="30001" spans="6:6" x14ac:dyDescent="0.3">
      <c r="F30001" s="193"/>
    </row>
    <row r="30002" spans="6:6" x14ac:dyDescent="0.3">
      <c r="F30002" s="193"/>
    </row>
    <row r="30003" spans="6:6" x14ac:dyDescent="0.3">
      <c r="F30003" s="193"/>
    </row>
    <row r="30004" spans="6:6" x14ac:dyDescent="0.3">
      <c r="F30004" s="193"/>
    </row>
    <row r="30005" spans="6:6" x14ac:dyDescent="0.3">
      <c r="F30005" s="193"/>
    </row>
    <row r="30006" spans="6:6" x14ac:dyDescent="0.3">
      <c r="F30006" s="193"/>
    </row>
    <row r="30007" spans="6:6" x14ac:dyDescent="0.3">
      <c r="F30007" s="193"/>
    </row>
    <row r="30008" spans="6:6" x14ac:dyDescent="0.3">
      <c r="F30008" s="193"/>
    </row>
    <row r="30009" spans="6:6" x14ac:dyDescent="0.3">
      <c r="F30009" s="193"/>
    </row>
    <row r="30010" spans="6:6" x14ac:dyDescent="0.3">
      <c r="F30010" s="193"/>
    </row>
    <row r="30011" spans="6:6" x14ac:dyDescent="0.3">
      <c r="F30011" s="193"/>
    </row>
    <row r="30012" spans="6:6" x14ac:dyDescent="0.3">
      <c r="F30012" s="193"/>
    </row>
    <row r="30013" spans="6:6" x14ac:dyDescent="0.3">
      <c r="F30013" s="193"/>
    </row>
    <row r="30014" spans="6:6" x14ac:dyDescent="0.3">
      <c r="F30014" s="193"/>
    </row>
    <row r="30015" spans="6:6" x14ac:dyDescent="0.3">
      <c r="F30015" s="193"/>
    </row>
    <row r="30016" spans="6:6" x14ac:dyDescent="0.3">
      <c r="F30016" s="193"/>
    </row>
    <row r="30017" spans="6:6" x14ac:dyDescent="0.3">
      <c r="F30017" s="193"/>
    </row>
    <row r="30018" spans="6:6" x14ac:dyDescent="0.3">
      <c r="F30018" s="193"/>
    </row>
    <row r="30019" spans="6:6" x14ac:dyDescent="0.3">
      <c r="F30019" s="193"/>
    </row>
    <row r="30020" spans="6:6" x14ac:dyDescent="0.3">
      <c r="F30020" s="193"/>
    </row>
    <row r="30021" spans="6:6" x14ac:dyDescent="0.3">
      <c r="F30021" s="193"/>
    </row>
    <row r="30022" spans="6:6" x14ac:dyDescent="0.3">
      <c r="F30022" s="193"/>
    </row>
    <row r="30023" spans="6:6" x14ac:dyDescent="0.3">
      <c r="F30023" s="193"/>
    </row>
    <row r="30024" spans="6:6" x14ac:dyDescent="0.3">
      <c r="F30024" s="193"/>
    </row>
    <row r="30025" spans="6:6" x14ac:dyDescent="0.3">
      <c r="F30025" s="193"/>
    </row>
    <row r="30026" spans="6:6" x14ac:dyDescent="0.3">
      <c r="F30026" s="193"/>
    </row>
    <row r="30027" spans="6:6" x14ac:dyDescent="0.3">
      <c r="F30027" s="193"/>
    </row>
    <row r="30028" spans="6:6" x14ac:dyDescent="0.3">
      <c r="F30028" s="193"/>
    </row>
    <row r="30029" spans="6:6" x14ac:dyDescent="0.3">
      <c r="F30029" s="193"/>
    </row>
    <row r="30030" spans="6:6" x14ac:dyDescent="0.3">
      <c r="F30030" s="193"/>
    </row>
    <row r="30031" spans="6:6" x14ac:dyDescent="0.3">
      <c r="F30031" s="193"/>
    </row>
    <row r="30032" spans="6:6" x14ac:dyDescent="0.3">
      <c r="F30032" s="193"/>
    </row>
    <row r="30033" spans="6:6" x14ac:dyDescent="0.3">
      <c r="F30033" s="193"/>
    </row>
    <row r="30034" spans="6:6" x14ac:dyDescent="0.3">
      <c r="F30034" s="193"/>
    </row>
    <row r="30035" spans="6:6" x14ac:dyDescent="0.3">
      <c r="F30035" s="193"/>
    </row>
    <row r="30036" spans="6:6" x14ac:dyDescent="0.3">
      <c r="F30036" s="193"/>
    </row>
    <row r="30037" spans="6:6" x14ac:dyDescent="0.3">
      <c r="F30037" s="193"/>
    </row>
    <row r="30038" spans="6:6" x14ac:dyDescent="0.3">
      <c r="F30038" s="193"/>
    </row>
    <row r="30039" spans="6:6" x14ac:dyDescent="0.3">
      <c r="F30039" s="193"/>
    </row>
    <row r="30040" spans="6:6" x14ac:dyDescent="0.3">
      <c r="F30040" s="193"/>
    </row>
    <row r="30041" spans="6:6" x14ac:dyDescent="0.3">
      <c r="F30041" s="193"/>
    </row>
    <row r="30042" spans="6:6" x14ac:dyDescent="0.3">
      <c r="F30042" s="193"/>
    </row>
    <row r="30043" spans="6:6" x14ac:dyDescent="0.3">
      <c r="F30043" s="193"/>
    </row>
    <row r="30044" spans="6:6" x14ac:dyDescent="0.3">
      <c r="F30044" s="193"/>
    </row>
    <row r="30045" spans="6:6" x14ac:dyDescent="0.3">
      <c r="F30045" s="193"/>
    </row>
    <row r="30046" spans="6:6" x14ac:dyDescent="0.3">
      <c r="F30046" s="193"/>
    </row>
    <row r="30047" spans="6:6" x14ac:dyDescent="0.3">
      <c r="F30047" s="193"/>
    </row>
    <row r="30048" spans="6:6" x14ac:dyDescent="0.3">
      <c r="F30048" s="193"/>
    </row>
    <row r="30049" spans="6:6" x14ac:dyDescent="0.3">
      <c r="F30049" s="193"/>
    </row>
    <row r="30050" spans="6:6" x14ac:dyDescent="0.3">
      <c r="F30050" s="193"/>
    </row>
    <row r="30051" spans="6:6" x14ac:dyDescent="0.3">
      <c r="F30051" s="193"/>
    </row>
    <row r="30052" spans="6:6" x14ac:dyDescent="0.3">
      <c r="F30052" s="193"/>
    </row>
    <row r="30053" spans="6:6" x14ac:dyDescent="0.3">
      <c r="F30053" s="193"/>
    </row>
    <row r="30054" spans="6:6" x14ac:dyDescent="0.3">
      <c r="F30054" s="193"/>
    </row>
    <row r="30055" spans="6:6" x14ac:dyDescent="0.3">
      <c r="F30055" s="193"/>
    </row>
    <row r="30056" spans="6:6" x14ac:dyDescent="0.3">
      <c r="F30056" s="193"/>
    </row>
    <row r="30057" spans="6:6" x14ac:dyDescent="0.3">
      <c r="F30057" s="193"/>
    </row>
    <row r="30058" spans="6:6" x14ac:dyDescent="0.3">
      <c r="F30058" s="193"/>
    </row>
    <row r="30059" spans="6:6" x14ac:dyDescent="0.3">
      <c r="F30059" s="193"/>
    </row>
    <row r="30060" spans="6:6" x14ac:dyDescent="0.3">
      <c r="F30060" s="193"/>
    </row>
    <row r="30061" spans="6:6" x14ac:dyDescent="0.3">
      <c r="F30061" s="193"/>
    </row>
    <row r="30062" spans="6:6" x14ac:dyDescent="0.3">
      <c r="F30062" s="193"/>
    </row>
    <row r="30063" spans="6:6" x14ac:dyDescent="0.3">
      <c r="F30063" s="193"/>
    </row>
    <row r="30064" spans="6:6" x14ac:dyDescent="0.3">
      <c r="F30064" s="193"/>
    </row>
    <row r="30065" spans="6:6" x14ac:dyDescent="0.3">
      <c r="F30065" s="193"/>
    </row>
    <row r="30066" spans="6:6" x14ac:dyDescent="0.3">
      <c r="F30066" s="193"/>
    </row>
    <row r="30067" spans="6:6" x14ac:dyDescent="0.3">
      <c r="F30067" s="193"/>
    </row>
    <row r="30068" spans="6:6" x14ac:dyDescent="0.3">
      <c r="F30068" s="193"/>
    </row>
    <row r="30069" spans="6:6" x14ac:dyDescent="0.3">
      <c r="F30069" s="193"/>
    </row>
    <row r="30070" spans="6:6" x14ac:dyDescent="0.3">
      <c r="F30070" s="193"/>
    </row>
    <row r="30071" spans="6:6" x14ac:dyDescent="0.3">
      <c r="F30071" s="193"/>
    </row>
    <row r="30072" spans="6:6" x14ac:dyDescent="0.3">
      <c r="F30072" s="193"/>
    </row>
    <row r="30073" spans="6:6" x14ac:dyDescent="0.3">
      <c r="F30073" s="193"/>
    </row>
    <row r="30074" spans="6:6" x14ac:dyDescent="0.3">
      <c r="F30074" s="193"/>
    </row>
    <row r="30075" spans="6:6" x14ac:dyDescent="0.3">
      <c r="F30075" s="193"/>
    </row>
    <row r="30076" spans="6:6" x14ac:dyDescent="0.3">
      <c r="F30076" s="193"/>
    </row>
    <row r="30077" spans="6:6" x14ac:dyDescent="0.3">
      <c r="F30077" s="193"/>
    </row>
    <row r="30078" spans="6:6" x14ac:dyDescent="0.3">
      <c r="F30078" s="193"/>
    </row>
    <row r="30079" spans="6:6" x14ac:dyDescent="0.3">
      <c r="F30079" s="193"/>
    </row>
    <row r="30080" spans="6:6" x14ac:dyDescent="0.3">
      <c r="F30080" s="193"/>
    </row>
    <row r="30081" spans="6:6" x14ac:dyDescent="0.3">
      <c r="F30081" s="193"/>
    </row>
    <row r="30082" spans="6:6" x14ac:dyDescent="0.3">
      <c r="F30082" s="193"/>
    </row>
    <row r="30083" spans="6:6" x14ac:dyDescent="0.3">
      <c r="F30083" s="193"/>
    </row>
    <row r="30084" spans="6:6" x14ac:dyDescent="0.3">
      <c r="F30084" s="193"/>
    </row>
    <row r="30085" spans="6:6" x14ac:dyDescent="0.3">
      <c r="F30085" s="193"/>
    </row>
    <row r="30086" spans="6:6" x14ac:dyDescent="0.3">
      <c r="F30086" s="193"/>
    </row>
    <row r="30087" spans="6:6" x14ac:dyDescent="0.3">
      <c r="F30087" s="193"/>
    </row>
    <row r="30088" spans="6:6" x14ac:dyDescent="0.3">
      <c r="F30088" s="193"/>
    </row>
    <row r="30089" spans="6:6" x14ac:dyDescent="0.3">
      <c r="F30089" s="193"/>
    </row>
    <row r="30090" spans="6:6" x14ac:dyDescent="0.3">
      <c r="F30090" s="193"/>
    </row>
    <row r="30091" spans="6:6" x14ac:dyDescent="0.3">
      <c r="F30091" s="193"/>
    </row>
    <row r="30092" spans="6:6" x14ac:dyDescent="0.3">
      <c r="F30092" s="193"/>
    </row>
    <row r="30093" spans="6:6" x14ac:dyDescent="0.3">
      <c r="F30093" s="193"/>
    </row>
    <row r="30094" spans="6:6" x14ac:dyDescent="0.3">
      <c r="F30094" s="193"/>
    </row>
    <row r="30095" spans="6:6" x14ac:dyDescent="0.3">
      <c r="F30095" s="193"/>
    </row>
    <row r="30096" spans="6:6" x14ac:dyDescent="0.3">
      <c r="F30096" s="193"/>
    </row>
    <row r="30097" spans="6:6" x14ac:dyDescent="0.3">
      <c r="F30097" s="193"/>
    </row>
    <row r="30098" spans="6:6" x14ac:dyDescent="0.3">
      <c r="F30098" s="193"/>
    </row>
    <row r="30099" spans="6:6" x14ac:dyDescent="0.3">
      <c r="F30099" s="193"/>
    </row>
    <row r="30100" spans="6:6" x14ac:dyDescent="0.3">
      <c r="F30100" s="193"/>
    </row>
    <row r="30101" spans="6:6" x14ac:dyDescent="0.3">
      <c r="F30101" s="193"/>
    </row>
    <row r="30102" spans="6:6" x14ac:dyDescent="0.3">
      <c r="F30102" s="193"/>
    </row>
    <row r="30103" spans="6:6" x14ac:dyDescent="0.3">
      <c r="F30103" s="193"/>
    </row>
    <row r="30104" spans="6:6" x14ac:dyDescent="0.3">
      <c r="F30104" s="193"/>
    </row>
    <row r="30105" spans="6:6" x14ac:dyDescent="0.3">
      <c r="F30105" s="193"/>
    </row>
    <row r="30106" spans="6:6" x14ac:dyDescent="0.3">
      <c r="F30106" s="193"/>
    </row>
    <row r="30107" spans="6:6" x14ac:dyDescent="0.3">
      <c r="F30107" s="193"/>
    </row>
    <row r="30108" spans="6:6" x14ac:dyDescent="0.3">
      <c r="F30108" s="193"/>
    </row>
    <row r="30109" spans="6:6" x14ac:dyDescent="0.3">
      <c r="F30109" s="193"/>
    </row>
    <row r="30110" spans="6:6" x14ac:dyDescent="0.3">
      <c r="F30110" s="193"/>
    </row>
    <row r="30111" spans="6:6" x14ac:dyDescent="0.3">
      <c r="F30111" s="193"/>
    </row>
    <row r="30112" spans="6:6" x14ac:dyDescent="0.3">
      <c r="F30112" s="193"/>
    </row>
    <row r="30113" spans="6:6" x14ac:dyDescent="0.3">
      <c r="F30113" s="193"/>
    </row>
    <row r="30114" spans="6:6" x14ac:dyDescent="0.3">
      <c r="F30114" s="193"/>
    </row>
    <row r="30115" spans="6:6" x14ac:dyDescent="0.3">
      <c r="F30115" s="193"/>
    </row>
    <row r="30116" spans="6:6" x14ac:dyDescent="0.3">
      <c r="F30116" s="193"/>
    </row>
    <row r="30117" spans="6:6" x14ac:dyDescent="0.3">
      <c r="F30117" s="193"/>
    </row>
    <row r="30118" spans="6:6" x14ac:dyDescent="0.3">
      <c r="F30118" s="193"/>
    </row>
    <row r="30119" spans="6:6" x14ac:dyDescent="0.3">
      <c r="F30119" s="193"/>
    </row>
    <row r="30120" spans="6:6" x14ac:dyDescent="0.3">
      <c r="F30120" s="193"/>
    </row>
    <row r="30121" spans="6:6" x14ac:dyDescent="0.3">
      <c r="F30121" s="193"/>
    </row>
    <row r="30122" spans="6:6" x14ac:dyDescent="0.3">
      <c r="F30122" s="193"/>
    </row>
    <row r="30123" spans="6:6" x14ac:dyDescent="0.3">
      <c r="F30123" s="193"/>
    </row>
    <row r="30124" spans="6:6" x14ac:dyDescent="0.3">
      <c r="F30124" s="193"/>
    </row>
    <row r="30125" spans="6:6" x14ac:dyDescent="0.3">
      <c r="F30125" s="193"/>
    </row>
    <row r="30126" spans="6:6" x14ac:dyDescent="0.3">
      <c r="F30126" s="193"/>
    </row>
    <row r="30127" spans="6:6" x14ac:dyDescent="0.3">
      <c r="F30127" s="193"/>
    </row>
    <row r="30128" spans="6:6" x14ac:dyDescent="0.3">
      <c r="F30128" s="193"/>
    </row>
    <row r="30129" spans="6:6" x14ac:dyDescent="0.3">
      <c r="F30129" s="193"/>
    </row>
    <row r="30130" spans="6:6" x14ac:dyDescent="0.3">
      <c r="F30130" s="193"/>
    </row>
    <row r="30131" spans="6:6" x14ac:dyDescent="0.3">
      <c r="F30131" s="193"/>
    </row>
    <row r="30132" spans="6:6" x14ac:dyDescent="0.3">
      <c r="F30132" s="193"/>
    </row>
    <row r="30133" spans="6:6" x14ac:dyDescent="0.3">
      <c r="F30133" s="193"/>
    </row>
    <row r="30134" spans="6:6" x14ac:dyDescent="0.3">
      <c r="F30134" s="193"/>
    </row>
    <row r="30135" spans="6:6" x14ac:dyDescent="0.3">
      <c r="F30135" s="193"/>
    </row>
    <row r="30136" spans="6:6" x14ac:dyDescent="0.3">
      <c r="F30136" s="193"/>
    </row>
    <row r="30137" spans="6:6" x14ac:dyDescent="0.3">
      <c r="F30137" s="193"/>
    </row>
    <row r="30138" spans="6:6" x14ac:dyDescent="0.3">
      <c r="F30138" s="193"/>
    </row>
    <row r="30139" spans="6:6" x14ac:dyDescent="0.3">
      <c r="F30139" s="193"/>
    </row>
    <row r="30140" spans="6:6" x14ac:dyDescent="0.3">
      <c r="F30140" s="193"/>
    </row>
    <row r="30141" spans="6:6" x14ac:dyDescent="0.3">
      <c r="F30141" s="193"/>
    </row>
    <row r="30142" spans="6:6" x14ac:dyDescent="0.3">
      <c r="F30142" s="193"/>
    </row>
    <row r="30143" spans="6:6" x14ac:dyDescent="0.3">
      <c r="F30143" s="193"/>
    </row>
    <row r="30144" spans="6:6" x14ac:dyDescent="0.3">
      <c r="F30144" s="193"/>
    </row>
    <row r="30145" spans="6:6" x14ac:dyDescent="0.3">
      <c r="F30145" s="193"/>
    </row>
    <row r="30146" spans="6:6" x14ac:dyDescent="0.3">
      <c r="F30146" s="193"/>
    </row>
    <row r="30147" spans="6:6" x14ac:dyDescent="0.3">
      <c r="F30147" s="193"/>
    </row>
    <row r="30148" spans="6:6" x14ac:dyDescent="0.3">
      <c r="F30148" s="193"/>
    </row>
    <row r="30149" spans="6:6" x14ac:dyDescent="0.3">
      <c r="F30149" s="193"/>
    </row>
    <row r="30150" spans="6:6" x14ac:dyDescent="0.3">
      <c r="F30150" s="193"/>
    </row>
    <row r="30151" spans="6:6" x14ac:dyDescent="0.3">
      <c r="F30151" s="193"/>
    </row>
    <row r="30152" spans="6:6" x14ac:dyDescent="0.3">
      <c r="F30152" s="193"/>
    </row>
    <row r="30153" spans="6:6" x14ac:dyDescent="0.3">
      <c r="F30153" s="193"/>
    </row>
    <row r="30154" spans="6:6" x14ac:dyDescent="0.3">
      <c r="F30154" s="193"/>
    </row>
    <row r="30155" spans="6:6" x14ac:dyDescent="0.3">
      <c r="F30155" s="193"/>
    </row>
    <row r="30156" spans="6:6" x14ac:dyDescent="0.3">
      <c r="F30156" s="193"/>
    </row>
    <row r="30157" spans="6:6" x14ac:dyDescent="0.3">
      <c r="F30157" s="193"/>
    </row>
    <row r="30158" spans="6:6" x14ac:dyDescent="0.3">
      <c r="F30158" s="193"/>
    </row>
    <row r="30159" spans="6:6" x14ac:dyDescent="0.3">
      <c r="F30159" s="193"/>
    </row>
    <row r="30160" spans="6:6" x14ac:dyDescent="0.3">
      <c r="F30160" s="193"/>
    </row>
    <row r="30161" spans="6:6" x14ac:dyDescent="0.3">
      <c r="F30161" s="193"/>
    </row>
    <row r="30162" spans="6:6" x14ac:dyDescent="0.3">
      <c r="F30162" s="193"/>
    </row>
    <row r="30163" spans="6:6" x14ac:dyDescent="0.3">
      <c r="F30163" s="193"/>
    </row>
    <row r="30164" spans="6:6" x14ac:dyDescent="0.3">
      <c r="F30164" s="193"/>
    </row>
    <row r="30165" spans="6:6" x14ac:dyDescent="0.3">
      <c r="F30165" s="193"/>
    </row>
    <row r="30166" spans="6:6" x14ac:dyDescent="0.3">
      <c r="F30166" s="193"/>
    </row>
    <row r="30167" spans="6:6" x14ac:dyDescent="0.3">
      <c r="F30167" s="193"/>
    </row>
    <row r="30168" spans="6:6" x14ac:dyDescent="0.3">
      <c r="F30168" s="193"/>
    </row>
    <row r="30169" spans="6:6" x14ac:dyDescent="0.3">
      <c r="F30169" s="193"/>
    </row>
    <row r="30170" spans="6:6" x14ac:dyDescent="0.3">
      <c r="F30170" s="193"/>
    </row>
    <row r="30171" spans="6:6" x14ac:dyDescent="0.3">
      <c r="F30171" s="193"/>
    </row>
    <row r="30172" spans="6:6" x14ac:dyDescent="0.3">
      <c r="F30172" s="193"/>
    </row>
    <row r="30173" spans="6:6" x14ac:dyDescent="0.3">
      <c r="F30173" s="193"/>
    </row>
    <row r="30174" spans="6:6" x14ac:dyDescent="0.3">
      <c r="F30174" s="193"/>
    </row>
    <row r="30175" spans="6:6" x14ac:dyDescent="0.3">
      <c r="F30175" s="193"/>
    </row>
    <row r="30176" spans="6:6" x14ac:dyDescent="0.3">
      <c r="F30176" s="193"/>
    </row>
    <row r="30177" spans="6:6" x14ac:dyDescent="0.3">
      <c r="F30177" s="193"/>
    </row>
    <row r="30178" spans="6:6" x14ac:dyDescent="0.3">
      <c r="F30178" s="193"/>
    </row>
    <row r="30179" spans="6:6" x14ac:dyDescent="0.3">
      <c r="F30179" s="193"/>
    </row>
    <row r="30180" spans="6:6" x14ac:dyDescent="0.3">
      <c r="F30180" s="193"/>
    </row>
    <row r="30181" spans="6:6" x14ac:dyDescent="0.3">
      <c r="F30181" s="193"/>
    </row>
    <row r="30182" spans="6:6" x14ac:dyDescent="0.3">
      <c r="F30182" s="193"/>
    </row>
    <row r="30183" spans="6:6" x14ac:dyDescent="0.3">
      <c r="F30183" s="193"/>
    </row>
    <row r="30184" spans="6:6" x14ac:dyDescent="0.3">
      <c r="F30184" s="193"/>
    </row>
    <row r="30185" spans="6:6" x14ac:dyDescent="0.3">
      <c r="F30185" s="193"/>
    </row>
    <row r="30186" spans="6:6" x14ac:dyDescent="0.3">
      <c r="F30186" s="193"/>
    </row>
    <row r="30187" spans="6:6" x14ac:dyDescent="0.3">
      <c r="F30187" s="193"/>
    </row>
    <row r="30188" spans="6:6" x14ac:dyDescent="0.3">
      <c r="F30188" s="193"/>
    </row>
    <row r="30189" spans="6:6" x14ac:dyDescent="0.3">
      <c r="F30189" s="193"/>
    </row>
    <row r="30190" spans="6:6" x14ac:dyDescent="0.3">
      <c r="F30190" s="193"/>
    </row>
    <row r="30191" spans="6:6" x14ac:dyDescent="0.3">
      <c r="F30191" s="193"/>
    </row>
    <row r="30192" spans="6:6" x14ac:dyDescent="0.3">
      <c r="F30192" s="193"/>
    </row>
    <row r="30193" spans="6:6" x14ac:dyDescent="0.3">
      <c r="F30193" s="193"/>
    </row>
    <row r="30194" spans="6:6" x14ac:dyDescent="0.3">
      <c r="F30194" s="193"/>
    </row>
    <row r="30195" spans="6:6" x14ac:dyDescent="0.3">
      <c r="F30195" s="193"/>
    </row>
    <row r="30196" spans="6:6" x14ac:dyDescent="0.3">
      <c r="F30196" s="193"/>
    </row>
    <row r="30197" spans="6:6" x14ac:dyDescent="0.3">
      <c r="F30197" s="193"/>
    </row>
    <row r="30198" spans="6:6" x14ac:dyDescent="0.3">
      <c r="F30198" s="193"/>
    </row>
    <row r="30199" spans="6:6" x14ac:dyDescent="0.3">
      <c r="F30199" s="193"/>
    </row>
    <row r="30200" spans="6:6" x14ac:dyDescent="0.3">
      <c r="F30200" s="193"/>
    </row>
    <row r="30201" spans="6:6" x14ac:dyDescent="0.3">
      <c r="F30201" s="193"/>
    </row>
    <row r="30202" spans="6:6" x14ac:dyDescent="0.3">
      <c r="F30202" s="193"/>
    </row>
    <row r="30203" spans="6:6" x14ac:dyDescent="0.3">
      <c r="F30203" s="193"/>
    </row>
    <row r="30204" spans="6:6" x14ac:dyDescent="0.3">
      <c r="F30204" s="193"/>
    </row>
    <row r="30205" spans="6:6" x14ac:dyDescent="0.3">
      <c r="F30205" s="193"/>
    </row>
    <row r="30206" spans="6:6" x14ac:dyDescent="0.3">
      <c r="F30206" s="193"/>
    </row>
    <row r="30207" spans="6:6" x14ac:dyDescent="0.3">
      <c r="F30207" s="193"/>
    </row>
    <row r="30208" spans="6:6" x14ac:dyDescent="0.3">
      <c r="F30208" s="193"/>
    </row>
    <row r="30209" spans="6:6" x14ac:dyDescent="0.3">
      <c r="F30209" s="193"/>
    </row>
    <row r="30210" spans="6:6" x14ac:dyDescent="0.3">
      <c r="F30210" s="193"/>
    </row>
    <row r="30211" spans="6:6" x14ac:dyDescent="0.3">
      <c r="F30211" s="193"/>
    </row>
    <row r="30212" spans="6:6" x14ac:dyDescent="0.3">
      <c r="F30212" s="193"/>
    </row>
    <row r="30213" spans="6:6" x14ac:dyDescent="0.3">
      <c r="F30213" s="193"/>
    </row>
    <row r="30214" spans="6:6" x14ac:dyDescent="0.3">
      <c r="F30214" s="193"/>
    </row>
    <row r="30215" spans="6:6" x14ac:dyDescent="0.3">
      <c r="F30215" s="193"/>
    </row>
    <row r="30216" spans="6:6" x14ac:dyDescent="0.3">
      <c r="F30216" s="193"/>
    </row>
    <row r="30217" spans="6:6" x14ac:dyDescent="0.3">
      <c r="F30217" s="193"/>
    </row>
    <row r="30218" spans="6:6" x14ac:dyDescent="0.3">
      <c r="F30218" s="193"/>
    </row>
    <row r="30219" spans="6:6" x14ac:dyDescent="0.3">
      <c r="F30219" s="193"/>
    </row>
    <row r="30220" spans="6:6" x14ac:dyDescent="0.3">
      <c r="F30220" s="193"/>
    </row>
    <row r="30221" spans="6:6" x14ac:dyDescent="0.3">
      <c r="F30221" s="193"/>
    </row>
    <row r="30222" spans="6:6" x14ac:dyDescent="0.3">
      <c r="F30222" s="193"/>
    </row>
    <row r="30223" spans="6:6" x14ac:dyDescent="0.3">
      <c r="F30223" s="193"/>
    </row>
    <row r="30224" spans="6:6" x14ac:dyDescent="0.3">
      <c r="F30224" s="193"/>
    </row>
    <row r="30225" spans="6:6" x14ac:dyDescent="0.3">
      <c r="F30225" s="193"/>
    </row>
    <row r="30226" spans="6:6" x14ac:dyDescent="0.3">
      <c r="F30226" s="193"/>
    </row>
    <row r="30227" spans="6:6" x14ac:dyDescent="0.3">
      <c r="F30227" s="193"/>
    </row>
    <row r="30228" spans="6:6" x14ac:dyDescent="0.3">
      <c r="F30228" s="193"/>
    </row>
    <row r="30229" spans="6:6" x14ac:dyDescent="0.3">
      <c r="F30229" s="193"/>
    </row>
    <row r="30230" spans="6:6" x14ac:dyDescent="0.3">
      <c r="F30230" s="193"/>
    </row>
    <row r="30231" spans="6:6" x14ac:dyDescent="0.3">
      <c r="F30231" s="193"/>
    </row>
    <row r="30232" spans="6:6" x14ac:dyDescent="0.3">
      <c r="F30232" s="193"/>
    </row>
    <row r="30233" spans="6:6" x14ac:dyDescent="0.3">
      <c r="F30233" s="193"/>
    </row>
    <row r="30234" spans="6:6" x14ac:dyDescent="0.3">
      <c r="F30234" s="193"/>
    </row>
    <row r="30235" spans="6:6" x14ac:dyDescent="0.3">
      <c r="F30235" s="193"/>
    </row>
    <row r="30236" spans="6:6" x14ac:dyDescent="0.3">
      <c r="F30236" s="193"/>
    </row>
    <row r="30237" spans="6:6" x14ac:dyDescent="0.3">
      <c r="F30237" s="193"/>
    </row>
    <row r="30238" spans="6:6" x14ac:dyDescent="0.3">
      <c r="F30238" s="193"/>
    </row>
    <row r="30239" spans="6:6" x14ac:dyDescent="0.3">
      <c r="F30239" s="193"/>
    </row>
    <row r="30240" spans="6:6" x14ac:dyDescent="0.3">
      <c r="F30240" s="193"/>
    </row>
    <row r="30241" spans="6:6" x14ac:dyDescent="0.3">
      <c r="F30241" s="193"/>
    </row>
    <row r="30242" spans="6:6" x14ac:dyDescent="0.3">
      <c r="F30242" s="193"/>
    </row>
    <row r="30243" spans="6:6" x14ac:dyDescent="0.3">
      <c r="F30243" s="193"/>
    </row>
    <row r="30244" spans="6:6" x14ac:dyDescent="0.3">
      <c r="F30244" s="193"/>
    </row>
    <row r="30245" spans="6:6" x14ac:dyDescent="0.3">
      <c r="F30245" s="193"/>
    </row>
    <row r="30246" spans="6:6" x14ac:dyDescent="0.3">
      <c r="F30246" s="193"/>
    </row>
    <row r="30247" spans="6:6" x14ac:dyDescent="0.3">
      <c r="F30247" s="193"/>
    </row>
    <row r="30248" spans="6:6" x14ac:dyDescent="0.3">
      <c r="F30248" s="193"/>
    </row>
    <row r="30249" spans="6:6" x14ac:dyDescent="0.3">
      <c r="F30249" s="193"/>
    </row>
    <row r="30250" spans="6:6" x14ac:dyDescent="0.3">
      <c r="F30250" s="193"/>
    </row>
    <row r="30251" spans="6:6" x14ac:dyDescent="0.3">
      <c r="F30251" s="193"/>
    </row>
    <row r="30252" spans="6:6" x14ac:dyDescent="0.3">
      <c r="F30252" s="193"/>
    </row>
    <row r="30253" spans="6:6" x14ac:dyDescent="0.3">
      <c r="F30253" s="193"/>
    </row>
    <row r="30254" spans="6:6" x14ac:dyDescent="0.3">
      <c r="F30254" s="193"/>
    </row>
    <row r="30255" spans="6:6" x14ac:dyDescent="0.3">
      <c r="F30255" s="193"/>
    </row>
    <row r="30256" spans="6:6" x14ac:dyDescent="0.3">
      <c r="F30256" s="193"/>
    </row>
    <row r="30257" spans="6:6" x14ac:dyDescent="0.3">
      <c r="F30257" s="193"/>
    </row>
    <row r="30258" spans="6:6" x14ac:dyDescent="0.3">
      <c r="F30258" s="193"/>
    </row>
    <row r="30259" spans="6:6" x14ac:dyDescent="0.3">
      <c r="F30259" s="193"/>
    </row>
    <row r="30260" spans="6:6" x14ac:dyDescent="0.3">
      <c r="F30260" s="193"/>
    </row>
    <row r="30261" spans="6:6" x14ac:dyDescent="0.3">
      <c r="F30261" s="193"/>
    </row>
    <row r="30262" spans="6:6" x14ac:dyDescent="0.3">
      <c r="F30262" s="193"/>
    </row>
    <row r="30263" spans="6:6" x14ac:dyDescent="0.3">
      <c r="F30263" s="193"/>
    </row>
    <row r="30264" spans="6:6" x14ac:dyDescent="0.3">
      <c r="F30264" s="193"/>
    </row>
    <row r="30265" spans="6:6" x14ac:dyDescent="0.3">
      <c r="F30265" s="193"/>
    </row>
    <row r="30266" spans="6:6" x14ac:dyDescent="0.3">
      <c r="F30266" s="193"/>
    </row>
    <row r="30267" spans="6:6" x14ac:dyDescent="0.3">
      <c r="F30267" s="193"/>
    </row>
    <row r="30268" spans="6:6" x14ac:dyDescent="0.3">
      <c r="F30268" s="193"/>
    </row>
    <row r="30269" spans="6:6" x14ac:dyDescent="0.3">
      <c r="F30269" s="193"/>
    </row>
    <row r="30270" spans="6:6" x14ac:dyDescent="0.3">
      <c r="F30270" s="193"/>
    </row>
    <row r="30271" spans="6:6" x14ac:dyDescent="0.3">
      <c r="F30271" s="193"/>
    </row>
    <row r="30272" spans="6:6" x14ac:dyDescent="0.3">
      <c r="F30272" s="193"/>
    </row>
    <row r="30273" spans="6:6" x14ac:dyDescent="0.3">
      <c r="F30273" s="193"/>
    </row>
    <row r="30274" spans="6:6" x14ac:dyDescent="0.3">
      <c r="F30274" s="193"/>
    </row>
    <row r="30275" spans="6:6" x14ac:dyDescent="0.3">
      <c r="F30275" s="193"/>
    </row>
    <row r="30276" spans="6:6" x14ac:dyDescent="0.3">
      <c r="F30276" s="193"/>
    </row>
    <row r="30277" spans="6:6" x14ac:dyDescent="0.3">
      <c r="F30277" s="193"/>
    </row>
    <row r="30278" spans="6:6" x14ac:dyDescent="0.3">
      <c r="F30278" s="193"/>
    </row>
    <row r="30279" spans="6:6" x14ac:dyDescent="0.3">
      <c r="F30279" s="193"/>
    </row>
    <row r="30280" spans="6:6" x14ac:dyDescent="0.3">
      <c r="F30280" s="193"/>
    </row>
    <row r="30281" spans="6:6" x14ac:dyDescent="0.3">
      <c r="F30281" s="193"/>
    </row>
    <row r="30282" spans="6:6" x14ac:dyDescent="0.3">
      <c r="F30282" s="193"/>
    </row>
    <row r="30283" spans="6:6" x14ac:dyDescent="0.3">
      <c r="F30283" s="193"/>
    </row>
    <row r="30284" spans="6:6" x14ac:dyDescent="0.3">
      <c r="F30284" s="193"/>
    </row>
    <row r="30285" spans="6:6" x14ac:dyDescent="0.3">
      <c r="F30285" s="193"/>
    </row>
    <row r="30286" spans="6:6" x14ac:dyDescent="0.3">
      <c r="F30286" s="193"/>
    </row>
    <row r="30287" spans="6:6" x14ac:dyDescent="0.3">
      <c r="F30287" s="193"/>
    </row>
    <row r="30288" spans="6:6" x14ac:dyDescent="0.3">
      <c r="F30288" s="193"/>
    </row>
    <row r="30289" spans="6:6" x14ac:dyDescent="0.3">
      <c r="F30289" s="193"/>
    </row>
    <row r="30290" spans="6:6" x14ac:dyDescent="0.3">
      <c r="F30290" s="193"/>
    </row>
    <row r="30291" spans="6:6" x14ac:dyDescent="0.3">
      <c r="F30291" s="193"/>
    </row>
    <row r="30292" spans="6:6" x14ac:dyDescent="0.3">
      <c r="F30292" s="193"/>
    </row>
    <row r="30293" spans="6:6" x14ac:dyDescent="0.3">
      <c r="F30293" s="193"/>
    </row>
    <row r="30294" spans="6:6" x14ac:dyDescent="0.3">
      <c r="F30294" s="193"/>
    </row>
    <row r="30295" spans="6:6" x14ac:dyDescent="0.3">
      <c r="F30295" s="193"/>
    </row>
    <row r="30296" spans="6:6" x14ac:dyDescent="0.3">
      <c r="F30296" s="193"/>
    </row>
    <row r="30297" spans="6:6" x14ac:dyDescent="0.3">
      <c r="F30297" s="193"/>
    </row>
    <row r="30298" spans="6:6" x14ac:dyDescent="0.3">
      <c r="F30298" s="193"/>
    </row>
    <row r="30299" spans="6:6" x14ac:dyDescent="0.3">
      <c r="F30299" s="193"/>
    </row>
    <row r="30300" spans="6:6" x14ac:dyDescent="0.3">
      <c r="F30300" s="193"/>
    </row>
    <row r="30301" spans="6:6" x14ac:dyDescent="0.3">
      <c r="F30301" s="193"/>
    </row>
    <row r="30302" spans="6:6" x14ac:dyDescent="0.3">
      <c r="F30302" s="193"/>
    </row>
    <row r="30303" spans="6:6" x14ac:dyDescent="0.3">
      <c r="F30303" s="193"/>
    </row>
    <row r="30304" spans="6:6" x14ac:dyDescent="0.3">
      <c r="F30304" s="193"/>
    </row>
    <row r="30305" spans="6:6" x14ac:dyDescent="0.3">
      <c r="F30305" s="193"/>
    </row>
    <row r="30306" spans="6:6" x14ac:dyDescent="0.3">
      <c r="F30306" s="193"/>
    </row>
    <row r="30307" spans="6:6" x14ac:dyDescent="0.3">
      <c r="F30307" s="193"/>
    </row>
    <row r="30308" spans="6:6" x14ac:dyDescent="0.3">
      <c r="F30308" s="193"/>
    </row>
    <row r="30309" spans="6:6" x14ac:dyDescent="0.3">
      <c r="F30309" s="193"/>
    </row>
    <row r="30310" spans="6:6" x14ac:dyDescent="0.3">
      <c r="F30310" s="193"/>
    </row>
    <row r="30311" spans="6:6" x14ac:dyDescent="0.3">
      <c r="F30311" s="193"/>
    </row>
    <row r="30312" spans="6:6" x14ac:dyDescent="0.3">
      <c r="F30312" s="193"/>
    </row>
    <row r="30313" spans="6:6" x14ac:dyDescent="0.3">
      <c r="F30313" s="193"/>
    </row>
    <row r="30314" spans="6:6" x14ac:dyDescent="0.3">
      <c r="F30314" s="193"/>
    </row>
    <row r="30315" spans="6:6" x14ac:dyDescent="0.3">
      <c r="F30315" s="193"/>
    </row>
    <row r="30316" spans="6:6" x14ac:dyDescent="0.3">
      <c r="F30316" s="193"/>
    </row>
    <row r="30317" spans="6:6" x14ac:dyDescent="0.3">
      <c r="F30317" s="193"/>
    </row>
    <row r="30318" spans="6:6" x14ac:dyDescent="0.3">
      <c r="F30318" s="193"/>
    </row>
    <row r="30319" spans="6:6" x14ac:dyDescent="0.3">
      <c r="F30319" s="193"/>
    </row>
    <row r="30320" spans="6:6" x14ac:dyDescent="0.3">
      <c r="F30320" s="193"/>
    </row>
    <row r="30321" spans="6:6" x14ac:dyDescent="0.3">
      <c r="F30321" s="193"/>
    </row>
    <row r="30322" spans="6:6" x14ac:dyDescent="0.3">
      <c r="F30322" s="193"/>
    </row>
    <row r="30323" spans="6:6" x14ac:dyDescent="0.3">
      <c r="F30323" s="193"/>
    </row>
    <row r="30324" spans="6:6" x14ac:dyDescent="0.3">
      <c r="F30324" s="193"/>
    </row>
    <row r="30325" spans="6:6" x14ac:dyDescent="0.3">
      <c r="F30325" s="193"/>
    </row>
    <row r="30326" spans="6:6" x14ac:dyDescent="0.3">
      <c r="F30326" s="193"/>
    </row>
    <row r="30327" spans="6:6" x14ac:dyDescent="0.3">
      <c r="F30327" s="193"/>
    </row>
    <row r="30328" spans="6:6" x14ac:dyDescent="0.3">
      <c r="F30328" s="193"/>
    </row>
    <row r="30329" spans="6:6" x14ac:dyDescent="0.3">
      <c r="F30329" s="193"/>
    </row>
    <row r="30330" spans="6:6" x14ac:dyDescent="0.3">
      <c r="F30330" s="193"/>
    </row>
    <row r="30331" spans="6:6" x14ac:dyDescent="0.3">
      <c r="F30331" s="193"/>
    </row>
    <row r="30332" spans="6:6" x14ac:dyDescent="0.3">
      <c r="F30332" s="193"/>
    </row>
    <row r="30333" spans="6:6" x14ac:dyDescent="0.3">
      <c r="F30333" s="193"/>
    </row>
    <row r="30334" spans="6:6" x14ac:dyDescent="0.3">
      <c r="F30334" s="193"/>
    </row>
    <row r="30335" spans="6:6" x14ac:dyDescent="0.3">
      <c r="F30335" s="193"/>
    </row>
    <row r="30336" spans="6:6" x14ac:dyDescent="0.3">
      <c r="F30336" s="193"/>
    </row>
    <row r="30337" spans="6:6" x14ac:dyDescent="0.3">
      <c r="F30337" s="193"/>
    </row>
    <row r="30338" spans="6:6" x14ac:dyDescent="0.3">
      <c r="F30338" s="193"/>
    </row>
    <row r="30339" spans="6:6" x14ac:dyDescent="0.3">
      <c r="F30339" s="193"/>
    </row>
    <row r="30340" spans="6:6" x14ac:dyDescent="0.3">
      <c r="F30340" s="193"/>
    </row>
    <row r="30341" spans="6:6" x14ac:dyDescent="0.3">
      <c r="F30341" s="193"/>
    </row>
    <row r="30342" spans="6:6" x14ac:dyDescent="0.3">
      <c r="F30342" s="193"/>
    </row>
    <row r="30343" spans="6:6" x14ac:dyDescent="0.3">
      <c r="F30343" s="193"/>
    </row>
    <row r="30344" spans="6:6" x14ac:dyDescent="0.3">
      <c r="F30344" s="193"/>
    </row>
    <row r="30345" spans="6:6" x14ac:dyDescent="0.3">
      <c r="F30345" s="193"/>
    </row>
    <row r="30346" spans="6:6" x14ac:dyDescent="0.3">
      <c r="F30346" s="193"/>
    </row>
    <row r="30347" spans="6:6" x14ac:dyDescent="0.3">
      <c r="F30347" s="193"/>
    </row>
    <row r="30348" spans="6:6" x14ac:dyDescent="0.3">
      <c r="F30348" s="193"/>
    </row>
    <row r="30349" spans="6:6" x14ac:dyDescent="0.3">
      <c r="F30349" s="193"/>
    </row>
    <row r="30350" spans="6:6" x14ac:dyDescent="0.3">
      <c r="F30350" s="193"/>
    </row>
    <row r="30351" spans="6:6" x14ac:dyDescent="0.3">
      <c r="F30351" s="193"/>
    </row>
    <row r="30352" spans="6:6" x14ac:dyDescent="0.3">
      <c r="F30352" s="193"/>
    </row>
    <row r="30353" spans="6:6" x14ac:dyDescent="0.3">
      <c r="F30353" s="193"/>
    </row>
    <row r="30354" spans="6:6" x14ac:dyDescent="0.3">
      <c r="F30354" s="193"/>
    </row>
    <row r="30355" spans="6:6" x14ac:dyDescent="0.3">
      <c r="F30355" s="193"/>
    </row>
    <row r="30356" spans="6:6" x14ac:dyDescent="0.3">
      <c r="F30356" s="193"/>
    </row>
    <row r="30357" spans="6:6" x14ac:dyDescent="0.3">
      <c r="F30357" s="193"/>
    </row>
    <row r="30358" spans="6:6" x14ac:dyDescent="0.3">
      <c r="F30358" s="193"/>
    </row>
    <row r="30359" spans="6:6" x14ac:dyDescent="0.3">
      <c r="F30359" s="193"/>
    </row>
    <row r="30360" spans="6:6" x14ac:dyDescent="0.3">
      <c r="F30360" s="193"/>
    </row>
    <row r="30361" spans="6:6" x14ac:dyDescent="0.3">
      <c r="F30361" s="193"/>
    </row>
    <row r="30362" spans="6:6" x14ac:dyDescent="0.3">
      <c r="F30362" s="193"/>
    </row>
    <row r="30363" spans="6:6" x14ac:dyDescent="0.3">
      <c r="F30363" s="193"/>
    </row>
    <row r="30364" spans="6:6" x14ac:dyDescent="0.3">
      <c r="F30364" s="193"/>
    </row>
    <row r="30365" spans="6:6" x14ac:dyDescent="0.3">
      <c r="F30365" s="193"/>
    </row>
    <row r="30366" spans="6:6" x14ac:dyDescent="0.3">
      <c r="F30366" s="193"/>
    </row>
    <row r="30367" spans="6:6" x14ac:dyDescent="0.3">
      <c r="F30367" s="193"/>
    </row>
    <row r="30368" spans="6:6" x14ac:dyDescent="0.3">
      <c r="F30368" s="193"/>
    </row>
    <row r="30369" spans="6:6" x14ac:dyDescent="0.3">
      <c r="F30369" s="193"/>
    </row>
    <row r="30370" spans="6:6" x14ac:dyDescent="0.3">
      <c r="F30370" s="193"/>
    </row>
    <row r="30371" spans="6:6" x14ac:dyDescent="0.3">
      <c r="F30371" s="193"/>
    </row>
    <row r="30372" spans="6:6" x14ac:dyDescent="0.3">
      <c r="F30372" s="193"/>
    </row>
    <row r="30373" spans="6:6" x14ac:dyDescent="0.3">
      <c r="F30373" s="193"/>
    </row>
    <row r="30374" spans="6:6" x14ac:dyDescent="0.3">
      <c r="F30374" s="193"/>
    </row>
    <row r="30375" spans="6:6" x14ac:dyDescent="0.3">
      <c r="F30375" s="193"/>
    </row>
    <row r="30376" spans="6:6" x14ac:dyDescent="0.3">
      <c r="F30376" s="193"/>
    </row>
    <row r="30377" spans="6:6" x14ac:dyDescent="0.3">
      <c r="F30377" s="193"/>
    </row>
    <row r="30378" spans="6:6" x14ac:dyDescent="0.3">
      <c r="F30378" s="193"/>
    </row>
    <row r="30379" spans="6:6" x14ac:dyDescent="0.3">
      <c r="F30379" s="193"/>
    </row>
    <row r="30380" spans="6:6" x14ac:dyDescent="0.3">
      <c r="F30380" s="193"/>
    </row>
    <row r="30381" spans="6:6" x14ac:dyDescent="0.3">
      <c r="F30381" s="193"/>
    </row>
    <row r="30382" spans="6:6" x14ac:dyDescent="0.3">
      <c r="F30382" s="193"/>
    </row>
    <row r="30383" spans="6:6" x14ac:dyDescent="0.3">
      <c r="F30383" s="193"/>
    </row>
    <row r="30384" spans="6:6" x14ac:dyDescent="0.3">
      <c r="F30384" s="193"/>
    </row>
    <row r="30385" spans="6:6" x14ac:dyDescent="0.3">
      <c r="F30385" s="193"/>
    </row>
    <row r="30386" spans="6:6" x14ac:dyDescent="0.3">
      <c r="F30386" s="193"/>
    </row>
    <row r="30387" spans="6:6" x14ac:dyDescent="0.3">
      <c r="F30387" s="193"/>
    </row>
    <row r="30388" spans="6:6" x14ac:dyDescent="0.3">
      <c r="F30388" s="193"/>
    </row>
    <row r="30389" spans="6:6" x14ac:dyDescent="0.3">
      <c r="F30389" s="193"/>
    </row>
    <row r="30390" spans="6:6" x14ac:dyDescent="0.3">
      <c r="F30390" s="193"/>
    </row>
    <row r="30391" spans="6:6" x14ac:dyDescent="0.3">
      <c r="F30391" s="193"/>
    </row>
    <row r="30392" spans="6:6" x14ac:dyDescent="0.3">
      <c r="F30392" s="193"/>
    </row>
    <row r="30393" spans="6:6" x14ac:dyDescent="0.3">
      <c r="F30393" s="193"/>
    </row>
    <row r="30394" spans="6:6" x14ac:dyDescent="0.3">
      <c r="F30394" s="193"/>
    </row>
    <row r="30395" spans="6:6" x14ac:dyDescent="0.3">
      <c r="F30395" s="193"/>
    </row>
    <row r="30396" spans="6:6" x14ac:dyDescent="0.3">
      <c r="F30396" s="193"/>
    </row>
    <row r="30397" spans="6:6" x14ac:dyDescent="0.3">
      <c r="F30397" s="193"/>
    </row>
    <row r="30398" spans="6:6" x14ac:dyDescent="0.3">
      <c r="F30398" s="193"/>
    </row>
    <row r="30399" spans="6:6" x14ac:dyDescent="0.3">
      <c r="F30399" s="193"/>
    </row>
    <row r="30400" spans="6:6" x14ac:dyDescent="0.3">
      <c r="F30400" s="193"/>
    </row>
    <row r="30401" spans="6:6" x14ac:dyDescent="0.3">
      <c r="F30401" s="193"/>
    </row>
    <row r="30402" spans="6:6" x14ac:dyDescent="0.3">
      <c r="F30402" s="193"/>
    </row>
    <row r="30403" spans="6:6" x14ac:dyDescent="0.3">
      <c r="F30403" s="193"/>
    </row>
    <row r="30404" spans="6:6" x14ac:dyDescent="0.3">
      <c r="F30404" s="193"/>
    </row>
    <row r="30405" spans="6:6" x14ac:dyDescent="0.3">
      <c r="F30405" s="193"/>
    </row>
    <row r="30406" spans="6:6" x14ac:dyDescent="0.3">
      <c r="F30406" s="193"/>
    </row>
    <row r="30407" spans="6:6" x14ac:dyDescent="0.3">
      <c r="F30407" s="193"/>
    </row>
    <row r="30408" spans="6:6" x14ac:dyDescent="0.3">
      <c r="F30408" s="193"/>
    </row>
    <row r="30409" spans="6:6" x14ac:dyDescent="0.3">
      <c r="F30409" s="193"/>
    </row>
    <row r="30410" spans="6:6" x14ac:dyDescent="0.3">
      <c r="F30410" s="193"/>
    </row>
    <row r="30411" spans="6:6" x14ac:dyDescent="0.3">
      <c r="F30411" s="193"/>
    </row>
    <row r="30412" spans="6:6" x14ac:dyDescent="0.3">
      <c r="F30412" s="193"/>
    </row>
    <row r="30413" spans="6:6" x14ac:dyDescent="0.3">
      <c r="F30413" s="193"/>
    </row>
    <row r="30414" spans="6:6" x14ac:dyDescent="0.3">
      <c r="F30414" s="193"/>
    </row>
    <row r="30415" spans="6:6" x14ac:dyDescent="0.3">
      <c r="F30415" s="193"/>
    </row>
    <row r="30416" spans="6:6" x14ac:dyDescent="0.3">
      <c r="F30416" s="193"/>
    </row>
    <row r="30417" spans="6:6" x14ac:dyDescent="0.3">
      <c r="F30417" s="193"/>
    </row>
    <row r="30418" spans="6:6" x14ac:dyDescent="0.3">
      <c r="F30418" s="193"/>
    </row>
    <row r="30419" spans="6:6" x14ac:dyDescent="0.3">
      <c r="F30419" s="193"/>
    </row>
    <row r="30420" spans="6:6" x14ac:dyDescent="0.3">
      <c r="F30420" s="193"/>
    </row>
    <row r="30421" spans="6:6" x14ac:dyDescent="0.3">
      <c r="F30421" s="193"/>
    </row>
    <row r="30422" spans="6:6" x14ac:dyDescent="0.3">
      <c r="F30422" s="193"/>
    </row>
    <row r="30423" spans="6:6" x14ac:dyDescent="0.3">
      <c r="F30423" s="193"/>
    </row>
    <row r="30424" spans="6:6" x14ac:dyDescent="0.3">
      <c r="F30424" s="193"/>
    </row>
    <row r="30425" spans="6:6" x14ac:dyDescent="0.3">
      <c r="F30425" s="193"/>
    </row>
    <row r="30426" spans="6:6" x14ac:dyDescent="0.3">
      <c r="F30426" s="193"/>
    </row>
    <row r="30427" spans="6:6" x14ac:dyDescent="0.3">
      <c r="F30427" s="193"/>
    </row>
    <row r="30428" spans="6:6" x14ac:dyDescent="0.3">
      <c r="F30428" s="193"/>
    </row>
    <row r="30429" spans="6:6" x14ac:dyDescent="0.3">
      <c r="F30429" s="193"/>
    </row>
    <row r="30430" spans="6:6" x14ac:dyDescent="0.3">
      <c r="F30430" s="193"/>
    </row>
    <row r="30431" spans="6:6" x14ac:dyDescent="0.3">
      <c r="F30431" s="193"/>
    </row>
    <row r="30432" spans="6:6" x14ac:dyDescent="0.3">
      <c r="F30432" s="193"/>
    </row>
    <row r="30433" spans="6:6" x14ac:dyDescent="0.3">
      <c r="F30433" s="193"/>
    </row>
    <row r="30434" spans="6:6" x14ac:dyDescent="0.3">
      <c r="F30434" s="193"/>
    </row>
    <row r="30435" spans="6:6" x14ac:dyDescent="0.3">
      <c r="F30435" s="193"/>
    </row>
    <row r="30436" spans="6:6" x14ac:dyDescent="0.3">
      <c r="F30436" s="193"/>
    </row>
    <row r="30437" spans="6:6" x14ac:dyDescent="0.3">
      <c r="F30437" s="193"/>
    </row>
    <row r="30438" spans="6:6" x14ac:dyDescent="0.3">
      <c r="F30438" s="193"/>
    </row>
    <row r="30439" spans="6:6" x14ac:dyDescent="0.3">
      <c r="F30439" s="193"/>
    </row>
    <row r="30440" spans="6:6" x14ac:dyDescent="0.3">
      <c r="F30440" s="193"/>
    </row>
    <row r="30441" spans="6:6" x14ac:dyDescent="0.3">
      <c r="F30441" s="193"/>
    </row>
    <row r="30442" spans="6:6" x14ac:dyDescent="0.3">
      <c r="F30442" s="193"/>
    </row>
    <row r="30443" spans="6:6" x14ac:dyDescent="0.3">
      <c r="F30443" s="193"/>
    </row>
    <row r="30444" spans="6:6" x14ac:dyDescent="0.3">
      <c r="F30444" s="193"/>
    </row>
    <row r="30445" spans="6:6" x14ac:dyDescent="0.3">
      <c r="F30445" s="193"/>
    </row>
    <row r="30446" spans="6:6" x14ac:dyDescent="0.3">
      <c r="F30446" s="193"/>
    </row>
    <row r="30447" spans="6:6" x14ac:dyDescent="0.3">
      <c r="F30447" s="193"/>
    </row>
    <row r="30448" spans="6:6" x14ac:dyDescent="0.3">
      <c r="F30448" s="193"/>
    </row>
    <row r="30449" spans="6:6" x14ac:dyDescent="0.3">
      <c r="F30449" s="193"/>
    </row>
    <row r="30450" spans="6:6" x14ac:dyDescent="0.3">
      <c r="F30450" s="193"/>
    </row>
    <row r="30451" spans="6:6" x14ac:dyDescent="0.3">
      <c r="F30451" s="193"/>
    </row>
    <row r="30452" spans="6:6" x14ac:dyDescent="0.3">
      <c r="F30452" s="193"/>
    </row>
    <row r="30453" spans="6:6" x14ac:dyDescent="0.3">
      <c r="F30453" s="193"/>
    </row>
    <row r="30454" spans="6:6" x14ac:dyDescent="0.3">
      <c r="F30454" s="193"/>
    </row>
    <row r="30455" spans="6:6" x14ac:dyDescent="0.3">
      <c r="F30455" s="193"/>
    </row>
    <row r="30456" spans="6:6" x14ac:dyDescent="0.3">
      <c r="F30456" s="193"/>
    </row>
    <row r="30457" spans="6:6" x14ac:dyDescent="0.3">
      <c r="F30457" s="193"/>
    </row>
    <row r="30458" spans="6:6" x14ac:dyDescent="0.3">
      <c r="F30458" s="193"/>
    </row>
    <row r="30459" spans="6:6" x14ac:dyDescent="0.3">
      <c r="F30459" s="193"/>
    </row>
    <row r="30460" spans="6:6" x14ac:dyDescent="0.3">
      <c r="F30460" s="193"/>
    </row>
    <row r="30461" spans="6:6" x14ac:dyDescent="0.3">
      <c r="F30461" s="193"/>
    </row>
    <row r="30462" spans="6:6" x14ac:dyDescent="0.3">
      <c r="F30462" s="193"/>
    </row>
    <row r="30463" spans="6:6" x14ac:dyDescent="0.3">
      <c r="F30463" s="193"/>
    </row>
    <row r="30464" spans="6:6" x14ac:dyDescent="0.3">
      <c r="F30464" s="193"/>
    </row>
    <row r="30465" spans="6:6" x14ac:dyDescent="0.3">
      <c r="F30465" s="193"/>
    </row>
    <row r="30466" spans="6:6" x14ac:dyDescent="0.3">
      <c r="F30466" s="193"/>
    </row>
    <row r="30467" spans="6:6" x14ac:dyDescent="0.3">
      <c r="F30467" s="193"/>
    </row>
    <row r="30468" spans="6:6" x14ac:dyDescent="0.3">
      <c r="F30468" s="193"/>
    </row>
    <row r="30469" spans="6:6" x14ac:dyDescent="0.3">
      <c r="F30469" s="193"/>
    </row>
    <row r="30470" spans="6:6" x14ac:dyDescent="0.3">
      <c r="F30470" s="193"/>
    </row>
    <row r="30471" spans="6:6" x14ac:dyDescent="0.3">
      <c r="F30471" s="193"/>
    </row>
    <row r="30472" spans="6:6" x14ac:dyDescent="0.3">
      <c r="F30472" s="193"/>
    </row>
    <row r="30473" spans="6:6" x14ac:dyDescent="0.3">
      <c r="F30473" s="193"/>
    </row>
    <row r="30474" spans="6:6" x14ac:dyDescent="0.3">
      <c r="F30474" s="193"/>
    </row>
    <row r="30475" spans="6:6" x14ac:dyDescent="0.3">
      <c r="F30475" s="193"/>
    </row>
    <row r="30476" spans="6:6" x14ac:dyDescent="0.3">
      <c r="F30476" s="193"/>
    </row>
    <row r="30477" spans="6:6" x14ac:dyDescent="0.3">
      <c r="F30477" s="193"/>
    </row>
    <row r="30478" spans="6:6" x14ac:dyDescent="0.3">
      <c r="F30478" s="193"/>
    </row>
    <row r="30479" spans="6:6" x14ac:dyDescent="0.3">
      <c r="F30479" s="193"/>
    </row>
    <row r="30480" spans="6:6" x14ac:dyDescent="0.3">
      <c r="F30480" s="193"/>
    </row>
    <row r="30481" spans="6:6" x14ac:dyDescent="0.3">
      <c r="F30481" s="193"/>
    </row>
    <row r="30482" spans="6:6" x14ac:dyDescent="0.3">
      <c r="F30482" s="193"/>
    </row>
    <row r="30483" spans="6:6" x14ac:dyDescent="0.3">
      <c r="F30483" s="193"/>
    </row>
    <row r="30484" spans="6:6" x14ac:dyDescent="0.3">
      <c r="F30484" s="193"/>
    </row>
    <row r="30485" spans="6:6" x14ac:dyDescent="0.3">
      <c r="F30485" s="193"/>
    </row>
    <row r="30486" spans="6:6" x14ac:dyDescent="0.3">
      <c r="F30486" s="193"/>
    </row>
    <row r="30487" spans="6:6" x14ac:dyDescent="0.3">
      <c r="F30487" s="193"/>
    </row>
    <row r="30488" spans="6:6" x14ac:dyDescent="0.3">
      <c r="F30488" s="193"/>
    </row>
    <row r="30489" spans="6:6" x14ac:dyDescent="0.3">
      <c r="F30489" s="193"/>
    </row>
    <row r="30490" spans="6:6" x14ac:dyDescent="0.3">
      <c r="F30490" s="193"/>
    </row>
    <row r="30491" spans="6:6" x14ac:dyDescent="0.3">
      <c r="F30491" s="193"/>
    </row>
    <row r="30492" spans="6:6" x14ac:dyDescent="0.3">
      <c r="F30492" s="193"/>
    </row>
    <row r="30493" spans="6:6" x14ac:dyDescent="0.3">
      <c r="F30493" s="193"/>
    </row>
    <row r="30494" spans="6:6" x14ac:dyDescent="0.3">
      <c r="F30494" s="193"/>
    </row>
    <row r="30495" spans="6:6" x14ac:dyDescent="0.3">
      <c r="F30495" s="193"/>
    </row>
    <row r="30496" spans="6:6" x14ac:dyDescent="0.3">
      <c r="F30496" s="193"/>
    </row>
    <row r="30497" spans="6:6" x14ac:dyDescent="0.3">
      <c r="F30497" s="193"/>
    </row>
    <row r="30498" spans="6:6" x14ac:dyDescent="0.3">
      <c r="F30498" s="193"/>
    </row>
    <row r="30499" spans="6:6" x14ac:dyDescent="0.3">
      <c r="F30499" s="193"/>
    </row>
    <row r="30500" spans="6:6" x14ac:dyDescent="0.3">
      <c r="F30500" s="193"/>
    </row>
    <row r="30501" spans="6:6" x14ac:dyDescent="0.3">
      <c r="F30501" s="193"/>
    </row>
    <row r="30502" spans="6:6" x14ac:dyDescent="0.3">
      <c r="F30502" s="193"/>
    </row>
    <row r="30503" spans="6:6" x14ac:dyDescent="0.3">
      <c r="F30503" s="193"/>
    </row>
    <row r="30504" spans="6:6" x14ac:dyDescent="0.3">
      <c r="F30504" s="193"/>
    </row>
    <row r="30505" spans="6:6" x14ac:dyDescent="0.3">
      <c r="F30505" s="193"/>
    </row>
    <row r="30506" spans="6:6" x14ac:dyDescent="0.3">
      <c r="F30506" s="193"/>
    </row>
    <row r="30507" spans="6:6" x14ac:dyDescent="0.3">
      <c r="F30507" s="193"/>
    </row>
    <row r="30508" spans="6:6" x14ac:dyDescent="0.3">
      <c r="F30508" s="193"/>
    </row>
    <row r="30509" spans="6:6" x14ac:dyDescent="0.3">
      <c r="F30509" s="193"/>
    </row>
    <row r="30510" spans="6:6" x14ac:dyDescent="0.3">
      <c r="F30510" s="193"/>
    </row>
    <row r="30511" spans="6:6" x14ac:dyDescent="0.3">
      <c r="F30511" s="193"/>
    </row>
    <row r="30512" spans="6:6" x14ac:dyDescent="0.3">
      <c r="F30512" s="193"/>
    </row>
    <row r="30513" spans="6:6" x14ac:dyDescent="0.3">
      <c r="F30513" s="193"/>
    </row>
    <row r="30514" spans="6:6" x14ac:dyDescent="0.3">
      <c r="F30514" s="193"/>
    </row>
    <row r="30515" spans="6:6" x14ac:dyDescent="0.3">
      <c r="F30515" s="193"/>
    </row>
    <row r="30516" spans="6:6" x14ac:dyDescent="0.3">
      <c r="F30516" s="193"/>
    </row>
    <row r="30517" spans="6:6" x14ac:dyDescent="0.3">
      <c r="F30517" s="193"/>
    </row>
    <row r="30518" spans="6:6" x14ac:dyDescent="0.3">
      <c r="F30518" s="193"/>
    </row>
    <row r="30519" spans="6:6" x14ac:dyDescent="0.3">
      <c r="F30519" s="193"/>
    </row>
    <row r="30520" spans="6:6" x14ac:dyDescent="0.3">
      <c r="F30520" s="193"/>
    </row>
    <row r="30521" spans="6:6" x14ac:dyDescent="0.3">
      <c r="F30521" s="193"/>
    </row>
    <row r="30522" spans="6:6" x14ac:dyDescent="0.3">
      <c r="F30522" s="193"/>
    </row>
    <row r="30523" spans="6:6" x14ac:dyDescent="0.3">
      <c r="F30523" s="193"/>
    </row>
    <row r="30524" spans="6:6" x14ac:dyDescent="0.3">
      <c r="F30524" s="193"/>
    </row>
    <row r="30525" spans="6:6" x14ac:dyDescent="0.3">
      <c r="F30525" s="193"/>
    </row>
    <row r="30526" spans="6:6" x14ac:dyDescent="0.3">
      <c r="F30526" s="193"/>
    </row>
    <row r="30527" spans="6:6" x14ac:dyDescent="0.3">
      <c r="F30527" s="193"/>
    </row>
    <row r="30528" spans="6:6" x14ac:dyDescent="0.3">
      <c r="F30528" s="193"/>
    </row>
    <row r="30529" spans="6:6" x14ac:dyDescent="0.3">
      <c r="F30529" s="193"/>
    </row>
    <row r="30530" spans="6:6" x14ac:dyDescent="0.3">
      <c r="F30530" s="193"/>
    </row>
    <row r="30531" spans="6:6" x14ac:dyDescent="0.3">
      <c r="F30531" s="193"/>
    </row>
    <row r="30532" spans="6:6" x14ac:dyDescent="0.3">
      <c r="F30532" s="193"/>
    </row>
    <row r="30533" spans="6:6" x14ac:dyDescent="0.3">
      <c r="F30533" s="193"/>
    </row>
    <row r="30534" spans="6:6" x14ac:dyDescent="0.3">
      <c r="F30534" s="193"/>
    </row>
    <row r="30535" spans="6:6" x14ac:dyDescent="0.3">
      <c r="F30535" s="193"/>
    </row>
    <row r="30536" spans="6:6" x14ac:dyDescent="0.3">
      <c r="F30536" s="193"/>
    </row>
    <row r="30537" spans="6:6" x14ac:dyDescent="0.3">
      <c r="F30537" s="193"/>
    </row>
    <row r="30538" spans="6:6" x14ac:dyDescent="0.3">
      <c r="F30538" s="193"/>
    </row>
    <row r="30539" spans="6:6" x14ac:dyDescent="0.3">
      <c r="F30539" s="193"/>
    </row>
    <row r="30540" spans="6:6" x14ac:dyDescent="0.3">
      <c r="F30540" s="193"/>
    </row>
    <row r="30541" spans="6:6" x14ac:dyDescent="0.3">
      <c r="F30541" s="193"/>
    </row>
    <row r="30542" spans="6:6" x14ac:dyDescent="0.3">
      <c r="F30542" s="193"/>
    </row>
    <row r="30543" spans="6:6" x14ac:dyDescent="0.3">
      <c r="F30543" s="193"/>
    </row>
    <row r="30544" spans="6:6" x14ac:dyDescent="0.3">
      <c r="F30544" s="193"/>
    </row>
    <row r="30545" spans="6:6" x14ac:dyDescent="0.3">
      <c r="F30545" s="193"/>
    </row>
    <row r="30546" spans="6:6" x14ac:dyDescent="0.3">
      <c r="F30546" s="193"/>
    </row>
    <row r="30547" spans="6:6" x14ac:dyDescent="0.3">
      <c r="F30547" s="193"/>
    </row>
    <row r="30548" spans="6:6" x14ac:dyDescent="0.3">
      <c r="F30548" s="193"/>
    </row>
    <row r="30549" spans="6:6" x14ac:dyDescent="0.3">
      <c r="F30549" s="193"/>
    </row>
    <row r="30550" spans="6:6" x14ac:dyDescent="0.3">
      <c r="F30550" s="193"/>
    </row>
    <row r="30551" spans="6:6" x14ac:dyDescent="0.3">
      <c r="F30551" s="193"/>
    </row>
    <row r="30552" spans="6:6" x14ac:dyDescent="0.3">
      <c r="F30552" s="193"/>
    </row>
    <row r="30553" spans="6:6" x14ac:dyDescent="0.3">
      <c r="F30553" s="193"/>
    </row>
    <row r="30554" spans="6:6" x14ac:dyDescent="0.3">
      <c r="F30554" s="193"/>
    </row>
    <row r="30555" spans="6:6" x14ac:dyDescent="0.3">
      <c r="F30555" s="193"/>
    </row>
    <row r="30556" spans="6:6" x14ac:dyDescent="0.3">
      <c r="F30556" s="193"/>
    </row>
    <row r="30557" spans="6:6" x14ac:dyDescent="0.3">
      <c r="F30557" s="193"/>
    </row>
    <row r="30558" spans="6:6" x14ac:dyDescent="0.3">
      <c r="F30558" s="193"/>
    </row>
    <row r="30559" spans="6:6" x14ac:dyDescent="0.3">
      <c r="F30559" s="193"/>
    </row>
    <row r="30560" spans="6:6" x14ac:dyDescent="0.3">
      <c r="F30560" s="193"/>
    </row>
    <row r="30561" spans="6:6" x14ac:dyDescent="0.3">
      <c r="F30561" s="193"/>
    </row>
    <row r="30562" spans="6:6" x14ac:dyDescent="0.3">
      <c r="F30562" s="193"/>
    </row>
    <row r="30563" spans="6:6" x14ac:dyDescent="0.3">
      <c r="F30563" s="193"/>
    </row>
    <row r="30564" spans="6:6" x14ac:dyDescent="0.3">
      <c r="F30564" s="193"/>
    </row>
    <row r="30565" spans="6:6" x14ac:dyDescent="0.3">
      <c r="F30565" s="193"/>
    </row>
    <row r="30566" spans="6:6" x14ac:dyDescent="0.3">
      <c r="F30566" s="193"/>
    </row>
    <row r="30567" spans="6:6" x14ac:dyDescent="0.3">
      <c r="F30567" s="193"/>
    </row>
    <row r="30568" spans="6:6" x14ac:dyDescent="0.3">
      <c r="F30568" s="193"/>
    </row>
    <row r="30569" spans="6:6" x14ac:dyDescent="0.3">
      <c r="F30569" s="193"/>
    </row>
    <row r="30570" spans="6:6" x14ac:dyDescent="0.3">
      <c r="F30570" s="193"/>
    </row>
    <row r="30571" spans="6:6" x14ac:dyDescent="0.3">
      <c r="F30571" s="193"/>
    </row>
    <row r="30572" spans="6:6" x14ac:dyDescent="0.3">
      <c r="F30572" s="193"/>
    </row>
    <row r="30573" spans="6:6" x14ac:dyDescent="0.3">
      <c r="F30573" s="193"/>
    </row>
    <row r="30574" spans="6:6" x14ac:dyDescent="0.3">
      <c r="F30574" s="193"/>
    </row>
    <row r="30575" spans="6:6" x14ac:dyDescent="0.3">
      <c r="F30575" s="193"/>
    </row>
    <row r="30576" spans="6:6" x14ac:dyDescent="0.3">
      <c r="F30576" s="193"/>
    </row>
    <row r="30577" spans="6:6" x14ac:dyDescent="0.3">
      <c r="F30577" s="193"/>
    </row>
    <row r="30578" spans="6:6" x14ac:dyDescent="0.3">
      <c r="F30578" s="193"/>
    </row>
    <row r="30579" spans="6:6" x14ac:dyDescent="0.3">
      <c r="F30579" s="193"/>
    </row>
    <row r="30580" spans="6:6" x14ac:dyDescent="0.3">
      <c r="F30580" s="193"/>
    </row>
    <row r="30581" spans="6:6" x14ac:dyDescent="0.3">
      <c r="F30581" s="193"/>
    </row>
    <row r="30582" spans="6:6" x14ac:dyDescent="0.3">
      <c r="F30582" s="193"/>
    </row>
    <row r="30583" spans="6:6" x14ac:dyDescent="0.3">
      <c r="F30583" s="193"/>
    </row>
    <row r="30584" spans="6:6" x14ac:dyDescent="0.3">
      <c r="F30584" s="193"/>
    </row>
    <row r="30585" spans="6:6" x14ac:dyDescent="0.3">
      <c r="F30585" s="193"/>
    </row>
    <row r="30586" spans="6:6" x14ac:dyDescent="0.3">
      <c r="F30586" s="193"/>
    </row>
    <row r="30587" spans="6:6" x14ac:dyDescent="0.3">
      <c r="F30587" s="193"/>
    </row>
    <row r="30588" spans="6:6" x14ac:dyDescent="0.3">
      <c r="F30588" s="193"/>
    </row>
    <row r="30589" spans="6:6" x14ac:dyDescent="0.3">
      <c r="F30589" s="193"/>
    </row>
    <row r="30590" spans="6:6" x14ac:dyDescent="0.3">
      <c r="F30590" s="193"/>
    </row>
    <row r="30591" spans="6:6" x14ac:dyDescent="0.3">
      <c r="F30591" s="193"/>
    </row>
    <row r="30592" spans="6:6" x14ac:dyDescent="0.3">
      <c r="F30592" s="193"/>
    </row>
    <row r="30593" spans="6:6" x14ac:dyDescent="0.3">
      <c r="F30593" s="193"/>
    </row>
    <row r="30594" spans="6:6" x14ac:dyDescent="0.3">
      <c r="F30594" s="193"/>
    </row>
    <row r="30595" spans="6:6" x14ac:dyDescent="0.3">
      <c r="F30595" s="193"/>
    </row>
    <row r="30596" spans="6:6" x14ac:dyDescent="0.3">
      <c r="F30596" s="193"/>
    </row>
    <row r="30597" spans="6:6" x14ac:dyDescent="0.3">
      <c r="F30597" s="193"/>
    </row>
    <row r="30598" spans="6:6" x14ac:dyDescent="0.3">
      <c r="F30598" s="193"/>
    </row>
    <row r="30599" spans="6:6" x14ac:dyDescent="0.3">
      <c r="F30599" s="193"/>
    </row>
    <row r="30600" spans="6:6" x14ac:dyDescent="0.3">
      <c r="F30600" s="193"/>
    </row>
    <row r="30601" spans="6:6" x14ac:dyDescent="0.3">
      <c r="F30601" s="193"/>
    </row>
    <row r="30602" spans="6:6" x14ac:dyDescent="0.3">
      <c r="F30602" s="193"/>
    </row>
    <row r="30603" spans="6:6" x14ac:dyDescent="0.3">
      <c r="F30603" s="193"/>
    </row>
    <row r="30604" spans="6:6" x14ac:dyDescent="0.3">
      <c r="F30604" s="193"/>
    </row>
    <row r="30605" spans="6:6" x14ac:dyDescent="0.3">
      <c r="F30605" s="193"/>
    </row>
    <row r="30606" spans="6:6" x14ac:dyDescent="0.3">
      <c r="F30606" s="193"/>
    </row>
    <row r="30607" spans="6:6" x14ac:dyDescent="0.3">
      <c r="F30607" s="193"/>
    </row>
    <row r="30608" spans="6:6" x14ac:dyDescent="0.3">
      <c r="F30608" s="193"/>
    </row>
    <row r="30609" spans="6:6" x14ac:dyDescent="0.3">
      <c r="F30609" s="193"/>
    </row>
    <row r="30610" spans="6:6" x14ac:dyDescent="0.3">
      <c r="F30610" s="193"/>
    </row>
    <row r="30611" spans="6:6" x14ac:dyDescent="0.3">
      <c r="F30611" s="193"/>
    </row>
    <row r="30612" spans="6:6" x14ac:dyDescent="0.3">
      <c r="F30612" s="193"/>
    </row>
    <row r="30613" spans="6:6" x14ac:dyDescent="0.3">
      <c r="F30613" s="193"/>
    </row>
    <row r="30614" spans="6:6" x14ac:dyDescent="0.3">
      <c r="F30614" s="193"/>
    </row>
    <row r="30615" spans="6:6" x14ac:dyDescent="0.3">
      <c r="F30615" s="193"/>
    </row>
    <row r="30616" spans="6:6" x14ac:dyDescent="0.3">
      <c r="F30616" s="193"/>
    </row>
    <row r="30617" spans="6:6" x14ac:dyDescent="0.3">
      <c r="F30617" s="193"/>
    </row>
    <row r="30618" spans="6:6" x14ac:dyDescent="0.3">
      <c r="F30618" s="193"/>
    </row>
    <row r="30619" spans="6:6" x14ac:dyDescent="0.3">
      <c r="F30619" s="193"/>
    </row>
    <row r="30620" spans="6:6" x14ac:dyDescent="0.3">
      <c r="F30620" s="193"/>
    </row>
    <row r="30621" spans="6:6" x14ac:dyDescent="0.3">
      <c r="F30621" s="193"/>
    </row>
    <row r="30622" spans="6:6" x14ac:dyDescent="0.3">
      <c r="F30622" s="193"/>
    </row>
    <row r="30623" spans="6:6" x14ac:dyDescent="0.3">
      <c r="F30623" s="193"/>
    </row>
    <row r="30624" spans="6:6" x14ac:dyDescent="0.3">
      <c r="F30624" s="193"/>
    </row>
    <row r="30625" spans="6:6" x14ac:dyDescent="0.3">
      <c r="F30625" s="193"/>
    </row>
    <row r="30626" spans="6:6" x14ac:dyDescent="0.3">
      <c r="F30626" s="193"/>
    </row>
    <row r="30627" spans="6:6" x14ac:dyDescent="0.3">
      <c r="F30627" s="193"/>
    </row>
    <row r="30628" spans="6:6" x14ac:dyDescent="0.3">
      <c r="F30628" s="193"/>
    </row>
    <row r="30629" spans="6:6" x14ac:dyDescent="0.3">
      <c r="F30629" s="193"/>
    </row>
    <row r="30630" spans="6:6" x14ac:dyDescent="0.3">
      <c r="F30630" s="193"/>
    </row>
    <row r="30631" spans="6:6" x14ac:dyDescent="0.3">
      <c r="F30631" s="193"/>
    </row>
    <row r="30632" spans="6:6" x14ac:dyDescent="0.3">
      <c r="F30632" s="193"/>
    </row>
    <row r="30633" spans="6:6" x14ac:dyDescent="0.3">
      <c r="F30633" s="193"/>
    </row>
    <row r="30634" spans="6:6" x14ac:dyDescent="0.3">
      <c r="F30634" s="193"/>
    </row>
    <row r="30635" spans="6:6" x14ac:dyDescent="0.3">
      <c r="F30635" s="193"/>
    </row>
    <row r="30636" spans="6:6" x14ac:dyDescent="0.3">
      <c r="F30636" s="193"/>
    </row>
    <row r="30637" spans="6:6" x14ac:dyDescent="0.3">
      <c r="F30637" s="193"/>
    </row>
    <row r="30638" spans="6:6" x14ac:dyDescent="0.3">
      <c r="F30638" s="193"/>
    </row>
    <row r="30639" spans="6:6" x14ac:dyDescent="0.3">
      <c r="F30639" s="193"/>
    </row>
    <row r="30640" spans="6:6" x14ac:dyDescent="0.3">
      <c r="F30640" s="193"/>
    </row>
    <row r="30641" spans="6:6" x14ac:dyDescent="0.3">
      <c r="F30641" s="193"/>
    </row>
    <row r="30642" spans="6:6" x14ac:dyDescent="0.3">
      <c r="F30642" s="193"/>
    </row>
    <row r="30643" spans="6:6" x14ac:dyDescent="0.3">
      <c r="F30643" s="193"/>
    </row>
    <row r="30644" spans="6:6" x14ac:dyDescent="0.3">
      <c r="F30644" s="193"/>
    </row>
    <row r="30645" spans="6:6" x14ac:dyDescent="0.3">
      <c r="F30645" s="193"/>
    </row>
    <row r="30646" spans="6:6" x14ac:dyDescent="0.3">
      <c r="F30646" s="193"/>
    </row>
    <row r="30647" spans="6:6" x14ac:dyDescent="0.3">
      <c r="F30647" s="193"/>
    </row>
    <row r="30648" spans="6:6" x14ac:dyDescent="0.3">
      <c r="F30648" s="193"/>
    </row>
    <row r="30649" spans="6:6" x14ac:dyDescent="0.3">
      <c r="F30649" s="193"/>
    </row>
    <row r="30650" spans="6:6" x14ac:dyDescent="0.3">
      <c r="F30650" s="193"/>
    </row>
    <row r="30651" spans="6:6" x14ac:dyDescent="0.3">
      <c r="F30651" s="193"/>
    </row>
    <row r="30652" spans="6:6" x14ac:dyDescent="0.3">
      <c r="F30652" s="193"/>
    </row>
    <row r="30653" spans="6:6" x14ac:dyDescent="0.3">
      <c r="F30653" s="193"/>
    </row>
    <row r="30654" spans="6:6" x14ac:dyDescent="0.3">
      <c r="F30654" s="193"/>
    </row>
    <row r="30655" spans="6:6" x14ac:dyDescent="0.3">
      <c r="F30655" s="193"/>
    </row>
    <row r="30656" spans="6:6" x14ac:dyDescent="0.3">
      <c r="F30656" s="193"/>
    </row>
    <row r="30657" spans="6:6" x14ac:dyDescent="0.3">
      <c r="F30657" s="193"/>
    </row>
    <row r="30658" spans="6:6" x14ac:dyDescent="0.3">
      <c r="F30658" s="193"/>
    </row>
    <row r="30659" spans="6:6" x14ac:dyDescent="0.3">
      <c r="F30659" s="193"/>
    </row>
    <row r="30660" spans="6:6" x14ac:dyDescent="0.3">
      <c r="F30660" s="193"/>
    </row>
    <row r="30661" spans="6:6" x14ac:dyDescent="0.3">
      <c r="F30661" s="193"/>
    </row>
    <row r="30662" spans="6:6" x14ac:dyDescent="0.3">
      <c r="F30662" s="193"/>
    </row>
    <row r="30663" spans="6:6" x14ac:dyDescent="0.3">
      <c r="F30663" s="193"/>
    </row>
    <row r="30664" spans="6:6" x14ac:dyDescent="0.3">
      <c r="F30664" s="193"/>
    </row>
    <row r="30665" spans="6:6" x14ac:dyDescent="0.3">
      <c r="F30665" s="193"/>
    </row>
    <row r="30666" spans="6:6" x14ac:dyDescent="0.3">
      <c r="F30666" s="193"/>
    </row>
    <row r="30667" spans="6:6" x14ac:dyDescent="0.3">
      <c r="F30667" s="193"/>
    </row>
    <row r="30668" spans="6:6" x14ac:dyDescent="0.3">
      <c r="F30668" s="193"/>
    </row>
    <row r="30669" spans="6:6" x14ac:dyDescent="0.3">
      <c r="F30669" s="193"/>
    </row>
    <row r="30670" spans="6:6" x14ac:dyDescent="0.3">
      <c r="F30670" s="193"/>
    </row>
    <row r="30671" spans="6:6" x14ac:dyDescent="0.3">
      <c r="F30671" s="193"/>
    </row>
    <row r="30672" spans="6:6" x14ac:dyDescent="0.3">
      <c r="F30672" s="193"/>
    </row>
    <row r="30673" spans="6:6" x14ac:dyDescent="0.3">
      <c r="F30673" s="193"/>
    </row>
    <row r="30674" spans="6:6" x14ac:dyDescent="0.3">
      <c r="F30674" s="193"/>
    </row>
    <row r="30675" spans="6:6" x14ac:dyDescent="0.3">
      <c r="F30675" s="193"/>
    </row>
    <row r="30676" spans="6:6" x14ac:dyDescent="0.3">
      <c r="F30676" s="193"/>
    </row>
    <row r="30677" spans="6:6" x14ac:dyDescent="0.3">
      <c r="F30677" s="193"/>
    </row>
    <row r="30678" spans="6:6" x14ac:dyDescent="0.3">
      <c r="F30678" s="193"/>
    </row>
    <row r="30679" spans="6:6" x14ac:dyDescent="0.3">
      <c r="F30679" s="193"/>
    </row>
    <row r="30680" spans="6:6" x14ac:dyDescent="0.3">
      <c r="F30680" s="193"/>
    </row>
    <row r="30681" spans="6:6" x14ac:dyDescent="0.3">
      <c r="F30681" s="193"/>
    </row>
    <row r="30682" spans="6:6" x14ac:dyDescent="0.3">
      <c r="F30682" s="193"/>
    </row>
    <row r="30683" spans="6:6" x14ac:dyDescent="0.3">
      <c r="F30683" s="193"/>
    </row>
    <row r="30684" spans="6:6" x14ac:dyDescent="0.3">
      <c r="F30684" s="193"/>
    </row>
    <row r="30685" spans="6:6" x14ac:dyDescent="0.3">
      <c r="F30685" s="193"/>
    </row>
    <row r="30686" spans="6:6" x14ac:dyDescent="0.3">
      <c r="F30686" s="193"/>
    </row>
    <row r="30687" spans="6:6" x14ac:dyDescent="0.3">
      <c r="F30687" s="193"/>
    </row>
    <row r="30688" spans="6:6" x14ac:dyDescent="0.3">
      <c r="F30688" s="193"/>
    </row>
    <row r="30689" spans="6:6" x14ac:dyDescent="0.3">
      <c r="F30689" s="193"/>
    </row>
    <row r="30690" spans="6:6" x14ac:dyDescent="0.3">
      <c r="F30690" s="193"/>
    </row>
    <row r="30691" spans="6:6" x14ac:dyDescent="0.3">
      <c r="F30691" s="193"/>
    </row>
    <row r="30692" spans="6:6" x14ac:dyDescent="0.3">
      <c r="F30692" s="193"/>
    </row>
    <row r="30693" spans="6:6" x14ac:dyDescent="0.3">
      <c r="F30693" s="193"/>
    </row>
    <row r="30694" spans="6:6" x14ac:dyDescent="0.3">
      <c r="F30694" s="193"/>
    </row>
    <row r="30695" spans="6:6" x14ac:dyDescent="0.3">
      <c r="F30695" s="193"/>
    </row>
    <row r="30696" spans="6:6" x14ac:dyDescent="0.3">
      <c r="F30696" s="193"/>
    </row>
    <row r="30697" spans="6:6" x14ac:dyDescent="0.3">
      <c r="F30697" s="193"/>
    </row>
    <row r="30698" spans="6:6" x14ac:dyDescent="0.3">
      <c r="F30698" s="193"/>
    </row>
    <row r="30699" spans="6:6" x14ac:dyDescent="0.3">
      <c r="F30699" s="193"/>
    </row>
    <row r="30700" spans="6:6" x14ac:dyDescent="0.3">
      <c r="F30700" s="193"/>
    </row>
    <row r="30701" spans="6:6" x14ac:dyDescent="0.3">
      <c r="F30701" s="193"/>
    </row>
    <row r="30702" spans="6:6" x14ac:dyDescent="0.3">
      <c r="F30702" s="193"/>
    </row>
    <row r="30703" spans="6:6" x14ac:dyDescent="0.3">
      <c r="F30703" s="193"/>
    </row>
    <row r="30704" spans="6:6" x14ac:dyDescent="0.3">
      <c r="F30704" s="193"/>
    </row>
    <row r="30705" spans="6:6" x14ac:dyDescent="0.3">
      <c r="F30705" s="193"/>
    </row>
    <row r="30706" spans="6:6" x14ac:dyDescent="0.3">
      <c r="F30706" s="193"/>
    </row>
    <row r="30707" spans="6:6" x14ac:dyDescent="0.3">
      <c r="F30707" s="193"/>
    </row>
    <row r="30708" spans="6:6" x14ac:dyDescent="0.3">
      <c r="F30708" s="193"/>
    </row>
    <row r="30709" spans="6:6" x14ac:dyDescent="0.3">
      <c r="F30709" s="193"/>
    </row>
    <row r="30710" spans="6:6" x14ac:dyDescent="0.3">
      <c r="F30710" s="193"/>
    </row>
    <row r="30711" spans="6:6" x14ac:dyDescent="0.3">
      <c r="F30711" s="193"/>
    </row>
    <row r="30712" spans="6:6" x14ac:dyDescent="0.3">
      <c r="F30712" s="193"/>
    </row>
    <row r="30713" spans="6:6" x14ac:dyDescent="0.3">
      <c r="F30713" s="193"/>
    </row>
    <row r="30714" spans="6:6" x14ac:dyDescent="0.3">
      <c r="F30714" s="193"/>
    </row>
    <row r="30715" spans="6:6" x14ac:dyDescent="0.3">
      <c r="F30715" s="193"/>
    </row>
    <row r="30716" spans="6:6" x14ac:dyDescent="0.3">
      <c r="F30716" s="193"/>
    </row>
    <row r="30717" spans="6:6" x14ac:dyDescent="0.3">
      <c r="F30717" s="193"/>
    </row>
    <row r="30718" spans="6:6" x14ac:dyDescent="0.3">
      <c r="F30718" s="193"/>
    </row>
    <row r="30719" spans="6:6" x14ac:dyDescent="0.3">
      <c r="F30719" s="193"/>
    </row>
    <row r="30720" spans="6:6" x14ac:dyDescent="0.3">
      <c r="F30720" s="193"/>
    </row>
    <row r="30721" spans="6:6" x14ac:dyDescent="0.3">
      <c r="F30721" s="193"/>
    </row>
    <row r="30722" spans="6:6" x14ac:dyDescent="0.3">
      <c r="F30722" s="193"/>
    </row>
    <row r="30723" spans="6:6" x14ac:dyDescent="0.3">
      <c r="F30723" s="193"/>
    </row>
    <row r="30724" spans="6:6" x14ac:dyDescent="0.3">
      <c r="F30724" s="193"/>
    </row>
    <row r="30725" spans="6:6" x14ac:dyDescent="0.3">
      <c r="F30725" s="193"/>
    </row>
    <row r="30726" spans="6:6" x14ac:dyDescent="0.3">
      <c r="F30726" s="193"/>
    </row>
    <row r="30727" spans="6:6" x14ac:dyDescent="0.3">
      <c r="F30727" s="193"/>
    </row>
    <row r="30728" spans="6:6" x14ac:dyDescent="0.3">
      <c r="F30728" s="193"/>
    </row>
    <row r="30729" spans="6:6" x14ac:dyDescent="0.3">
      <c r="F30729" s="193"/>
    </row>
    <row r="30730" spans="6:6" x14ac:dyDescent="0.3">
      <c r="F30730" s="193"/>
    </row>
    <row r="30731" spans="6:6" x14ac:dyDescent="0.3">
      <c r="F30731" s="193"/>
    </row>
    <row r="30732" spans="6:6" x14ac:dyDescent="0.3">
      <c r="F30732" s="193"/>
    </row>
    <row r="30733" spans="6:6" x14ac:dyDescent="0.3">
      <c r="F30733" s="193"/>
    </row>
    <row r="30734" spans="6:6" x14ac:dyDescent="0.3">
      <c r="F30734" s="193"/>
    </row>
    <row r="30735" spans="6:6" x14ac:dyDescent="0.3">
      <c r="F30735" s="193"/>
    </row>
    <row r="30736" spans="6:6" x14ac:dyDescent="0.3">
      <c r="F30736" s="193"/>
    </row>
    <row r="30737" spans="6:6" x14ac:dyDescent="0.3">
      <c r="F30737" s="193"/>
    </row>
    <row r="30738" spans="6:6" x14ac:dyDescent="0.3">
      <c r="F30738" s="193"/>
    </row>
    <row r="30739" spans="6:6" x14ac:dyDescent="0.3">
      <c r="F30739" s="193"/>
    </row>
    <row r="30740" spans="6:6" x14ac:dyDescent="0.3">
      <c r="F30740" s="193"/>
    </row>
    <row r="30741" spans="6:6" x14ac:dyDescent="0.3">
      <c r="F30741" s="193"/>
    </row>
    <row r="30742" spans="6:6" x14ac:dyDescent="0.3">
      <c r="F30742" s="193"/>
    </row>
    <row r="30743" spans="6:6" x14ac:dyDescent="0.3">
      <c r="F30743" s="193"/>
    </row>
    <row r="30744" spans="6:6" x14ac:dyDescent="0.3">
      <c r="F30744" s="193"/>
    </row>
    <row r="30745" spans="6:6" x14ac:dyDescent="0.3">
      <c r="F30745" s="193"/>
    </row>
    <row r="30746" spans="6:6" x14ac:dyDescent="0.3">
      <c r="F30746" s="193"/>
    </row>
    <row r="30747" spans="6:6" x14ac:dyDescent="0.3">
      <c r="F30747" s="193"/>
    </row>
    <row r="30748" spans="6:6" x14ac:dyDescent="0.3">
      <c r="F30748" s="193"/>
    </row>
    <row r="30749" spans="6:6" x14ac:dyDescent="0.3">
      <c r="F30749" s="193"/>
    </row>
    <row r="30750" spans="6:6" x14ac:dyDescent="0.3">
      <c r="F30750" s="193"/>
    </row>
    <row r="30751" spans="6:6" x14ac:dyDescent="0.3">
      <c r="F30751" s="193"/>
    </row>
    <row r="30752" spans="6:6" x14ac:dyDescent="0.3">
      <c r="F30752" s="193"/>
    </row>
    <row r="30753" spans="6:6" x14ac:dyDescent="0.3">
      <c r="F30753" s="193"/>
    </row>
    <row r="30754" spans="6:6" x14ac:dyDescent="0.3">
      <c r="F30754" s="193"/>
    </row>
    <row r="30755" spans="6:6" x14ac:dyDescent="0.3">
      <c r="F30755" s="193"/>
    </row>
    <row r="30756" spans="6:6" x14ac:dyDescent="0.3">
      <c r="F30756" s="193"/>
    </row>
    <row r="30757" spans="6:6" x14ac:dyDescent="0.3">
      <c r="F30757" s="193"/>
    </row>
    <row r="30758" spans="6:6" x14ac:dyDescent="0.3">
      <c r="F30758" s="193"/>
    </row>
    <row r="30759" spans="6:6" x14ac:dyDescent="0.3">
      <c r="F30759" s="193"/>
    </row>
    <row r="30760" spans="6:6" x14ac:dyDescent="0.3">
      <c r="F30760" s="193"/>
    </row>
    <row r="30761" spans="6:6" x14ac:dyDescent="0.3">
      <c r="F30761" s="193"/>
    </row>
    <row r="30762" spans="6:6" x14ac:dyDescent="0.3">
      <c r="F30762" s="193"/>
    </row>
    <row r="30763" spans="6:6" x14ac:dyDescent="0.3">
      <c r="F30763" s="193"/>
    </row>
    <row r="30764" spans="6:6" x14ac:dyDescent="0.3">
      <c r="F30764" s="193"/>
    </row>
    <row r="30765" spans="6:6" x14ac:dyDescent="0.3">
      <c r="F30765" s="193"/>
    </row>
    <row r="30766" spans="6:6" x14ac:dyDescent="0.3">
      <c r="F30766" s="193"/>
    </row>
    <row r="30767" spans="6:6" x14ac:dyDescent="0.3">
      <c r="F30767" s="193"/>
    </row>
    <row r="30768" spans="6:6" x14ac:dyDescent="0.3">
      <c r="F30768" s="193"/>
    </row>
    <row r="30769" spans="6:6" x14ac:dyDescent="0.3">
      <c r="F30769" s="193"/>
    </row>
    <row r="30770" spans="6:6" x14ac:dyDescent="0.3">
      <c r="F30770" s="193"/>
    </row>
    <row r="30771" spans="6:6" x14ac:dyDescent="0.3">
      <c r="F30771" s="193"/>
    </row>
    <row r="30772" spans="6:6" x14ac:dyDescent="0.3">
      <c r="F30772" s="193"/>
    </row>
    <row r="30773" spans="6:6" x14ac:dyDescent="0.3">
      <c r="F30773" s="193"/>
    </row>
    <row r="30774" spans="6:6" x14ac:dyDescent="0.3">
      <c r="F30774" s="193"/>
    </row>
    <row r="30775" spans="6:6" x14ac:dyDescent="0.3">
      <c r="F30775" s="193"/>
    </row>
    <row r="30776" spans="6:6" x14ac:dyDescent="0.3">
      <c r="F30776" s="193"/>
    </row>
    <row r="30777" spans="6:6" x14ac:dyDescent="0.3">
      <c r="F30777" s="193"/>
    </row>
    <row r="30778" spans="6:6" x14ac:dyDescent="0.3">
      <c r="F30778" s="193"/>
    </row>
    <row r="30779" spans="6:6" x14ac:dyDescent="0.3">
      <c r="F30779" s="193"/>
    </row>
    <row r="30780" spans="6:6" x14ac:dyDescent="0.3">
      <c r="F30780" s="193"/>
    </row>
    <row r="30781" spans="6:6" x14ac:dyDescent="0.3">
      <c r="F30781" s="193"/>
    </row>
    <row r="30782" spans="6:6" x14ac:dyDescent="0.3">
      <c r="F30782" s="193"/>
    </row>
    <row r="30783" spans="6:6" x14ac:dyDescent="0.3">
      <c r="F30783" s="193"/>
    </row>
    <row r="30784" spans="6:6" x14ac:dyDescent="0.3">
      <c r="F30784" s="193"/>
    </row>
    <row r="30785" spans="6:6" x14ac:dyDescent="0.3">
      <c r="F30785" s="193"/>
    </row>
    <row r="30786" spans="6:6" x14ac:dyDescent="0.3">
      <c r="F30786" s="193"/>
    </row>
    <row r="30787" spans="6:6" x14ac:dyDescent="0.3">
      <c r="F30787" s="193"/>
    </row>
    <row r="30788" spans="6:6" x14ac:dyDescent="0.3">
      <c r="F30788" s="193"/>
    </row>
    <row r="30789" spans="6:6" x14ac:dyDescent="0.3">
      <c r="F30789" s="193"/>
    </row>
    <row r="30790" spans="6:6" x14ac:dyDescent="0.3">
      <c r="F30790" s="193"/>
    </row>
    <row r="30791" spans="6:6" x14ac:dyDescent="0.3">
      <c r="F30791" s="193"/>
    </row>
    <row r="30792" spans="6:6" x14ac:dyDescent="0.3">
      <c r="F30792" s="193"/>
    </row>
    <row r="30793" spans="6:6" x14ac:dyDescent="0.3">
      <c r="F30793" s="193"/>
    </row>
    <row r="30794" spans="6:6" x14ac:dyDescent="0.3">
      <c r="F30794" s="193"/>
    </row>
    <row r="30795" spans="6:6" x14ac:dyDescent="0.3">
      <c r="F30795" s="193"/>
    </row>
    <row r="30796" spans="6:6" x14ac:dyDescent="0.3">
      <c r="F30796" s="193"/>
    </row>
    <row r="30797" spans="6:6" x14ac:dyDescent="0.3">
      <c r="F30797" s="193"/>
    </row>
    <row r="30798" spans="6:6" x14ac:dyDescent="0.3">
      <c r="F30798" s="193"/>
    </row>
    <row r="30799" spans="6:6" x14ac:dyDescent="0.3">
      <c r="F30799" s="193"/>
    </row>
    <row r="30800" spans="6:6" x14ac:dyDescent="0.3">
      <c r="F30800" s="193"/>
    </row>
    <row r="30801" spans="6:6" x14ac:dyDescent="0.3">
      <c r="F30801" s="193"/>
    </row>
    <row r="30802" spans="6:6" x14ac:dyDescent="0.3">
      <c r="F30802" s="193"/>
    </row>
    <row r="30803" spans="6:6" x14ac:dyDescent="0.3">
      <c r="F30803" s="193"/>
    </row>
    <row r="30804" spans="6:6" x14ac:dyDescent="0.3">
      <c r="F30804" s="193"/>
    </row>
    <row r="30805" spans="6:6" x14ac:dyDescent="0.3">
      <c r="F30805" s="193"/>
    </row>
    <row r="30806" spans="6:6" x14ac:dyDescent="0.3">
      <c r="F30806" s="193"/>
    </row>
    <row r="30807" spans="6:6" x14ac:dyDescent="0.3">
      <c r="F30807" s="193"/>
    </row>
    <row r="30808" spans="6:6" x14ac:dyDescent="0.3">
      <c r="F30808" s="193"/>
    </row>
    <row r="30809" spans="6:6" x14ac:dyDescent="0.3">
      <c r="F30809" s="193"/>
    </row>
    <row r="30810" spans="6:6" x14ac:dyDescent="0.3">
      <c r="F30810" s="193"/>
    </row>
    <row r="30811" spans="6:6" x14ac:dyDescent="0.3">
      <c r="F30811" s="193"/>
    </row>
    <row r="30812" spans="6:6" x14ac:dyDescent="0.3">
      <c r="F30812" s="193"/>
    </row>
    <row r="30813" spans="6:6" x14ac:dyDescent="0.3">
      <c r="F30813" s="193"/>
    </row>
    <row r="30814" spans="6:6" x14ac:dyDescent="0.3">
      <c r="F30814" s="193"/>
    </row>
    <row r="30815" spans="6:6" x14ac:dyDescent="0.3">
      <c r="F30815" s="193"/>
    </row>
    <row r="30816" spans="6:6" x14ac:dyDescent="0.3">
      <c r="F30816" s="193"/>
    </row>
    <row r="30817" spans="6:6" x14ac:dyDescent="0.3">
      <c r="F30817" s="193"/>
    </row>
    <row r="30818" spans="6:6" x14ac:dyDescent="0.3">
      <c r="F30818" s="193"/>
    </row>
    <row r="30819" spans="6:6" x14ac:dyDescent="0.3">
      <c r="F30819" s="193"/>
    </row>
    <row r="30820" spans="6:6" x14ac:dyDescent="0.3">
      <c r="F30820" s="193"/>
    </row>
    <row r="30821" spans="6:6" x14ac:dyDescent="0.3">
      <c r="F30821" s="193"/>
    </row>
    <row r="30822" spans="6:6" x14ac:dyDescent="0.3">
      <c r="F30822" s="193"/>
    </row>
    <row r="30823" spans="6:6" x14ac:dyDescent="0.3">
      <c r="F30823" s="193"/>
    </row>
    <row r="30824" spans="6:6" x14ac:dyDescent="0.3">
      <c r="F30824" s="193"/>
    </row>
    <row r="30825" spans="6:6" x14ac:dyDescent="0.3">
      <c r="F30825" s="193"/>
    </row>
    <row r="30826" spans="6:6" x14ac:dyDescent="0.3">
      <c r="F30826" s="193"/>
    </row>
    <row r="30827" spans="6:6" x14ac:dyDescent="0.3">
      <c r="F30827" s="193"/>
    </row>
    <row r="30828" spans="6:6" x14ac:dyDescent="0.3">
      <c r="F30828" s="193"/>
    </row>
    <row r="30829" spans="6:6" x14ac:dyDescent="0.3">
      <c r="F30829" s="193"/>
    </row>
    <row r="30830" spans="6:6" x14ac:dyDescent="0.3">
      <c r="F30830" s="193"/>
    </row>
    <row r="30831" spans="6:6" x14ac:dyDescent="0.3">
      <c r="F30831" s="193"/>
    </row>
    <row r="30832" spans="6:6" x14ac:dyDescent="0.3">
      <c r="F30832" s="193"/>
    </row>
    <row r="30833" spans="6:6" x14ac:dyDescent="0.3">
      <c r="F30833" s="193"/>
    </row>
    <row r="30834" spans="6:6" x14ac:dyDescent="0.3">
      <c r="F30834" s="193"/>
    </row>
    <row r="30835" spans="6:6" x14ac:dyDescent="0.3">
      <c r="F30835" s="193"/>
    </row>
    <row r="30836" spans="6:6" x14ac:dyDescent="0.3">
      <c r="F30836" s="193"/>
    </row>
    <row r="30837" spans="6:6" x14ac:dyDescent="0.3">
      <c r="F30837" s="193"/>
    </row>
    <row r="30838" spans="6:6" x14ac:dyDescent="0.3">
      <c r="F30838" s="193"/>
    </row>
    <row r="30839" spans="6:6" x14ac:dyDescent="0.3">
      <c r="F30839" s="193"/>
    </row>
    <row r="30840" spans="6:6" x14ac:dyDescent="0.3">
      <c r="F30840" s="193"/>
    </row>
    <row r="30841" spans="6:6" x14ac:dyDescent="0.3">
      <c r="F30841" s="193"/>
    </row>
    <row r="30842" spans="6:6" x14ac:dyDescent="0.3">
      <c r="F30842" s="193"/>
    </row>
    <row r="30843" spans="6:6" x14ac:dyDescent="0.3">
      <c r="F30843" s="193"/>
    </row>
    <row r="30844" spans="6:6" x14ac:dyDescent="0.3">
      <c r="F30844" s="193"/>
    </row>
    <row r="30845" spans="6:6" x14ac:dyDescent="0.3">
      <c r="F30845" s="193"/>
    </row>
    <row r="30846" spans="6:6" x14ac:dyDescent="0.3">
      <c r="F30846" s="193"/>
    </row>
    <row r="30847" spans="6:6" x14ac:dyDescent="0.3">
      <c r="F30847" s="193"/>
    </row>
    <row r="30848" spans="6:6" x14ac:dyDescent="0.3">
      <c r="F30848" s="193"/>
    </row>
    <row r="30849" spans="6:6" x14ac:dyDescent="0.3">
      <c r="F30849" s="193"/>
    </row>
    <row r="30850" spans="6:6" x14ac:dyDescent="0.3">
      <c r="F30850" s="193"/>
    </row>
    <row r="30851" spans="6:6" x14ac:dyDescent="0.3">
      <c r="F30851" s="193"/>
    </row>
    <row r="30852" spans="6:6" x14ac:dyDescent="0.3">
      <c r="F30852" s="193"/>
    </row>
    <row r="30853" spans="6:6" x14ac:dyDescent="0.3">
      <c r="F30853" s="193"/>
    </row>
    <row r="30854" spans="6:6" x14ac:dyDescent="0.3">
      <c r="F30854" s="193"/>
    </row>
    <row r="30855" spans="6:6" x14ac:dyDescent="0.3">
      <c r="F30855" s="193"/>
    </row>
    <row r="30856" spans="6:6" x14ac:dyDescent="0.3">
      <c r="F30856" s="193"/>
    </row>
    <row r="30857" spans="6:6" x14ac:dyDescent="0.3">
      <c r="F30857" s="193"/>
    </row>
    <row r="30858" spans="6:6" x14ac:dyDescent="0.3">
      <c r="F30858" s="193"/>
    </row>
    <row r="30859" spans="6:6" x14ac:dyDescent="0.3">
      <c r="F30859" s="193"/>
    </row>
    <row r="30860" spans="6:6" x14ac:dyDescent="0.3">
      <c r="F30860" s="193"/>
    </row>
    <row r="30861" spans="6:6" x14ac:dyDescent="0.3">
      <c r="F30861" s="193"/>
    </row>
    <row r="30862" spans="6:6" x14ac:dyDescent="0.3">
      <c r="F30862" s="193"/>
    </row>
    <row r="30863" spans="6:6" x14ac:dyDescent="0.3">
      <c r="F30863" s="193"/>
    </row>
    <row r="30864" spans="6:6" x14ac:dyDescent="0.3">
      <c r="F30864" s="193"/>
    </row>
    <row r="30865" spans="6:6" x14ac:dyDescent="0.3">
      <c r="F30865" s="193"/>
    </row>
    <row r="30866" spans="6:6" x14ac:dyDescent="0.3">
      <c r="F30866" s="193"/>
    </row>
    <row r="30867" spans="6:6" x14ac:dyDescent="0.3">
      <c r="F30867" s="193"/>
    </row>
    <row r="30868" spans="6:6" x14ac:dyDescent="0.3">
      <c r="F30868" s="193"/>
    </row>
    <row r="30869" spans="6:6" x14ac:dyDescent="0.3">
      <c r="F30869" s="193"/>
    </row>
    <row r="30870" spans="6:6" x14ac:dyDescent="0.3">
      <c r="F30870" s="193"/>
    </row>
    <row r="30871" spans="6:6" x14ac:dyDescent="0.3">
      <c r="F30871" s="193"/>
    </row>
    <row r="30872" spans="6:6" x14ac:dyDescent="0.3">
      <c r="F30872" s="193"/>
    </row>
    <row r="30873" spans="6:6" x14ac:dyDescent="0.3">
      <c r="F30873" s="193"/>
    </row>
    <row r="30874" spans="6:6" x14ac:dyDescent="0.3">
      <c r="F30874" s="193"/>
    </row>
    <row r="30875" spans="6:6" x14ac:dyDescent="0.3">
      <c r="F30875" s="193"/>
    </row>
    <row r="30876" spans="6:6" x14ac:dyDescent="0.3">
      <c r="F30876" s="193"/>
    </row>
    <row r="30877" spans="6:6" x14ac:dyDescent="0.3">
      <c r="F30877" s="193"/>
    </row>
    <row r="30878" spans="6:6" x14ac:dyDescent="0.3">
      <c r="F30878" s="193"/>
    </row>
    <row r="30879" spans="6:6" x14ac:dyDescent="0.3">
      <c r="F30879" s="193"/>
    </row>
    <row r="30880" spans="6:6" x14ac:dyDescent="0.3">
      <c r="F30880" s="193"/>
    </row>
    <row r="30881" spans="6:6" x14ac:dyDescent="0.3">
      <c r="F30881" s="193"/>
    </row>
    <row r="30882" spans="6:6" x14ac:dyDescent="0.3">
      <c r="F30882" s="193"/>
    </row>
    <row r="30883" spans="6:6" x14ac:dyDescent="0.3">
      <c r="F30883" s="193"/>
    </row>
    <row r="30884" spans="6:6" x14ac:dyDescent="0.3">
      <c r="F30884" s="193"/>
    </row>
    <row r="30885" spans="6:6" x14ac:dyDescent="0.3">
      <c r="F30885" s="193"/>
    </row>
    <row r="30886" spans="6:6" x14ac:dyDescent="0.3">
      <c r="F30886" s="193"/>
    </row>
    <row r="30887" spans="6:6" x14ac:dyDescent="0.3">
      <c r="F30887" s="193"/>
    </row>
    <row r="30888" spans="6:6" x14ac:dyDescent="0.3">
      <c r="F30888" s="193"/>
    </row>
    <row r="30889" spans="6:6" x14ac:dyDescent="0.3">
      <c r="F30889" s="193"/>
    </row>
    <row r="30890" spans="6:6" x14ac:dyDescent="0.3">
      <c r="F30890" s="193"/>
    </row>
    <row r="30891" spans="6:6" x14ac:dyDescent="0.3">
      <c r="F30891" s="193"/>
    </row>
    <row r="30892" spans="6:6" x14ac:dyDescent="0.3">
      <c r="F30892" s="193"/>
    </row>
    <row r="30893" spans="6:6" x14ac:dyDescent="0.3">
      <c r="F30893" s="193"/>
    </row>
    <row r="30894" spans="6:6" x14ac:dyDescent="0.3">
      <c r="F30894" s="193"/>
    </row>
    <row r="30895" spans="6:6" x14ac:dyDescent="0.3">
      <c r="F30895" s="193"/>
    </row>
    <row r="30896" spans="6:6" x14ac:dyDescent="0.3">
      <c r="F30896" s="193"/>
    </row>
    <row r="30897" spans="6:6" x14ac:dyDescent="0.3">
      <c r="F30897" s="193"/>
    </row>
    <row r="30898" spans="6:6" x14ac:dyDescent="0.3">
      <c r="F30898" s="193"/>
    </row>
    <row r="30899" spans="6:6" x14ac:dyDescent="0.3">
      <c r="F30899" s="193"/>
    </row>
    <row r="30900" spans="6:6" x14ac:dyDescent="0.3">
      <c r="F30900" s="193"/>
    </row>
    <row r="30901" spans="6:6" x14ac:dyDescent="0.3">
      <c r="F30901" s="193"/>
    </row>
    <row r="30902" spans="6:6" x14ac:dyDescent="0.3">
      <c r="F30902" s="193"/>
    </row>
    <row r="30903" spans="6:6" x14ac:dyDescent="0.3">
      <c r="F30903" s="193"/>
    </row>
    <row r="30904" spans="6:6" x14ac:dyDescent="0.3">
      <c r="F30904" s="193"/>
    </row>
    <row r="30905" spans="6:6" x14ac:dyDescent="0.3">
      <c r="F30905" s="193"/>
    </row>
    <row r="30906" spans="6:6" x14ac:dyDescent="0.3">
      <c r="F30906" s="193"/>
    </row>
    <row r="30907" spans="6:6" x14ac:dyDescent="0.3">
      <c r="F30907" s="193"/>
    </row>
    <row r="30908" spans="6:6" x14ac:dyDescent="0.3">
      <c r="F30908" s="193"/>
    </row>
    <row r="30909" spans="6:6" x14ac:dyDescent="0.3">
      <c r="F30909" s="193"/>
    </row>
    <row r="30910" spans="6:6" x14ac:dyDescent="0.3">
      <c r="F30910" s="193"/>
    </row>
    <row r="30911" spans="6:6" x14ac:dyDescent="0.3">
      <c r="F30911" s="193"/>
    </row>
    <row r="30912" spans="6:6" x14ac:dyDescent="0.3">
      <c r="F30912" s="193"/>
    </row>
    <row r="30913" spans="6:6" x14ac:dyDescent="0.3">
      <c r="F30913" s="193"/>
    </row>
    <row r="30914" spans="6:6" x14ac:dyDescent="0.3">
      <c r="F30914" s="193"/>
    </row>
    <row r="30915" spans="6:6" x14ac:dyDescent="0.3">
      <c r="F30915" s="193"/>
    </row>
    <row r="30916" spans="6:6" x14ac:dyDescent="0.3">
      <c r="F30916" s="193"/>
    </row>
    <row r="30917" spans="6:6" x14ac:dyDescent="0.3">
      <c r="F30917" s="193"/>
    </row>
    <row r="30918" spans="6:6" x14ac:dyDescent="0.3">
      <c r="F30918" s="193"/>
    </row>
    <row r="30919" spans="6:6" x14ac:dyDescent="0.3">
      <c r="F30919" s="193"/>
    </row>
    <row r="30920" spans="6:6" x14ac:dyDescent="0.3">
      <c r="F30920" s="193"/>
    </row>
    <row r="30921" spans="6:6" x14ac:dyDescent="0.3">
      <c r="F30921" s="193"/>
    </row>
    <row r="30922" spans="6:6" x14ac:dyDescent="0.3">
      <c r="F30922" s="193"/>
    </row>
    <row r="30923" spans="6:6" x14ac:dyDescent="0.3">
      <c r="F30923" s="193"/>
    </row>
    <row r="30924" spans="6:6" x14ac:dyDescent="0.3">
      <c r="F30924" s="193"/>
    </row>
    <row r="30925" spans="6:6" x14ac:dyDescent="0.3">
      <c r="F30925" s="193"/>
    </row>
    <row r="30926" spans="6:6" x14ac:dyDescent="0.3">
      <c r="F30926" s="193"/>
    </row>
    <row r="30927" spans="6:6" x14ac:dyDescent="0.3">
      <c r="F30927" s="193"/>
    </row>
    <row r="30928" spans="6:6" x14ac:dyDescent="0.3">
      <c r="F30928" s="193"/>
    </row>
    <row r="30929" spans="6:6" x14ac:dyDescent="0.3">
      <c r="F30929" s="193"/>
    </row>
    <row r="30930" spans="6:6" x14ac:dyDescent="0.3">
      <c r="F30930" s="193"/>
    </row>
    <row r="30931" spans="6:6" x14ac:dyDescent="0.3">
      <c r="F30931" s="193"/>
    </row>
    <row r="30932" spans="6:6" x14ac:dyDescent="0.3">
      <c r="F30932" s="193"/>
    </row>
    <row r="30933" spans="6:6" x14ac:dyDescent="0.3">
      <c r="F30933" s="193"/>
    </row>
    <row r="30934" spans="6:6" x14ac:dyDescent="0.3">
      <c r="F30934" s="193"/>
    </row>
    <row r="30935" spans="6:6" x14ac:dyDescent="0.3">
      <c r="F30935" s="193"/>
    </row>
    <row r="30936" spans="6:6" x14ac:dyDescent="0.3">
      <c r="F30936" s="193"/>
    </row>
    <row r="30937" spans="6:6" x14ac:dyDescent="0.3">
      <c r="F30937" s="193"/>
    </row>
    <row r="30938" spans="6:6" x14ac:dyDescent="0.3">
      <c r="F30938" s="193"/>
    </row>
    <row r="30939" spans="6:6" x14ac:dyDescent="0.3">
      <c r="F30939" s="193"/>
    </row>
    <row r="30940" spans="6:6" x14ac:dyDescent="0.3">
      <c r="F30940" s="193"/>
    </row>
    <row r="30941" spans="6:6" x14ac:dyDescent="0.3">
      <c r="F30941" s="193"/>
    </row>
    <row r="30942" spans="6:6" x14ac:dyDescent="0.3">
      <c r="F30942" s="193"/>
    </row>
    <row r="30943" spans="6:6" x14ac:dyDescent="0.3">
      <c r="F30943" s="193"/>
    </row>
    <row r="30944" spans="6:6" x14ac:dyDescent="0.3">
      <c r="F30944" s="193"/>
    </row>
    <row r="30945" spans="6:6" x14ac:dyDescent="0.3">
      <c r="F30945" s="193"/>
    </row>
    <row r="30946" spans="6:6" x14ac:dyDescent="0.3">
      <c r="F30946" s="193"/>
    </row>
    <row r="30947" spans="6:6" x14ac:dyDescent="0.3">
      <c r="F30947" s="193"/>
    </row>
    <row r="30948" spans="6:6" x14ac:dyDescent="0.3">
      <c r="F30948" s="193"/>
    </row>
    <row r="30949" spans="6:6" x14ac:dyDescent="0.3">
      <c r="F30949" s="193"/>
    </row>
    <row r="30950" spans="6:6" x14ac:dyDescent="0.3">
      <c r="F30950" s="193"/>
    </row>
    <row r="30951" spans="6:6" x14ac:dyDescent="0.3">
      <c r="F30951" s="193"/>
    </row>
    <row r="30952" spans="6:6" x14ac:dyDescent="0.3">
      <c r="F30952" s="193"/>
    </row>
    <row r="30953" spans="6:6" x14ac:dyDescent="0.3">
      <c r="F30953" s="193"/>
    </row>
    <row r="30954" spans="6:6" x14ac:dyDescent="0.3">
      <c r="F30954" s="193"/>
    </row>
    <row r="30955" spans="6:6" x14ac:dyDescent="0.3">
      <c r="F30955" s="193"/>
    </row>
    <row r="30956" spans="6:6" x14ac:dyDescent="0.3">
      <c r="F30956" s="193"/>
    </row>
    <row r="30957" spans="6:6" x14ac:dyDescent="0.3">
      <c r="F30957" s="193"/>
    </row>
    <row r="30958" spans="6:6" x14ac:dyDescent="0.3">
      <c r="F30958" s="193"/>
    </row>
    <row r="30959" spans="6:6" x14ac:dyDescent="0.3">
      <c r="F30959" s="193"/>
    </row>
    <row r="30960" spans="6:6" x14ac:dyDescent="0.3">
      <c r="F30960" s="193"/>
    </row>
    <row r="30961" spans="6:6" x14ac:dyDescent="0.3">
      <c r="F30961" s="193"/>
    </row>
    <row r="30962" spans="6:6" x14ac:dyDescent="0.3">
      <c r="F30962" s="193"/>
    </row>
    <row r="30963" spans="6:6" x14ac:dyDescent="0.3">
      <c r="F30963" s="193"/>
    </row>
    <row r="30964" spans="6:6" x14ac:dyDescent="0.3">
      <c r="F30964" s="193"/>
    </row>
    <row r="30965" spans="6:6" x14ac:dyDescent="0.3">
      <c r="F30965" s="193"/>
    </row>
    <row r="30966" spans="6:6" x14ac:dyDescent="0.3">
      <c r="F30966" s="193"/>
    </row>
    <row r="30967" spans="6:6" x14ac:dyDescent="0.3">
      <c r="F30967" s="193"/>
    </row>
    <row r="30968" spans="6:6" x14ac:dyDescent="0.3">
      <c r="F30968" s="193"/>
    </row>
    <row r="30969" spans="6:6" x14ac:dyDescent="0.3">
      <c r="F30969" s="193"/>
    </row>
    <row r="30970" spans="6:6" x14ac:dyDescent="0.3">
      <c r="F30970" s="193"/>
    </row>
    <row r="30971" spans="6:6" x14ac:dyDescent="0.3">
      <c r="F30971" s="193"/>
    </row>
    <row r="30972" spans="6:6" x14ac:dyDescent="0.3">
      <c r="F30972" s="193"/>
    </row>
    <row r="30973" spans="6:6" x14ac:dyDescent="0.3">
      <c r="F30973" s="193"/>
    </row>
    <row r="30974" spans="6:6" x14ac:dyDescent="0.3">
      <c r="F30974" s="193"/>
    </row>
    <row r="30975" spans="6:6" x14ac:dyDescent="0.3">
      <c r="F30975" s="193"/>
    </row>
    <row r="30976" spans="6:6" x14ac:dyDescent="0.3">
      <c r="F30976" s="193"/>
    </row>
    <row r="30977" spans="6:6" x14ac:dyDescent="0.3">
      <c r="F30977" s="193"/>
    </row>
    <row r="30978" spans="6:6" x14ac:dyDescent="0.3">
      <c r="F30978" s="193"/>
    </row>
    <row r="30979" spans="6:6" x14ac:dyDescent="0.3">
      <c r="F30979" s="193"/>
    </row>
    <row r="30980" spans="6:6" x14ac:dyDescent="0.3">
      <c r="F30980" s="193"/>
    </row>
    <row r="30981" spans="6:6" x14ac:dyDescent="0.3">
      <c r="F30981" s="193"/>
    </row>
    <row r="30982" spans="6:6" x14ac:dyDescent="0.3">
      <c r="F30982" s="193"/>
    </row>
    <row r="30983" spans="6:6" x14ac:dyDescent="0.3">
      <c r="F30983" s="193"/>
    </row>
    <row r="30984" spans="6:6" x14ac:dyDescent="0.3">
      <c r="F30984" s="193"/>
    </row>
    <row r="30985" spans="6:6" x14ac:dyDescent="0.3">
      <c r="F30985" s="193"/>
    </row>
    <row r="30986" spans="6:6" x14ac:dyDescent="0.3">
      <c r="F30986" s="193"/>
    </row>
    <row r="30987" spans="6:6" x14ac:dyDescent="0.3">
      <c r="F30987" s="193"/>
    </row>
    <row r="30988" spans="6:6" x14ac:dyDescent="0.3">
      <c r="F30988" s="193"/>
    </row>
    <row r="30989" spans="6:6" x14ac:dyDescent="0.3">
      <c r="F30989" s="193"/>
    </row>
    <row r="30990" spans="6:6" x14ac:dyDescent="0.3">
      <c r="F30990" s="193"/>
    </row>
    <row r="30991" spans="6:6" x14ac:dyDescent="0.3">
      <c r="F30991" s="193"/>
    </row>
    <row r="30992" spans="6:6" x14ac:dyDescent="0.3">
      <c r="F30992" s="193"/>
    </row>
    <row r="30993" spans="6:6" x14ac:dyDescent="0.3">
      <c r="F30993" s="193"/>
    </row>
    <row r="30994" spans="6:6" x14ac:dyDescent="0.3">
      <c r="F30994" s="193"/>
    </row>
    <row r="30995" spans="6:6" x14ac:dyDescent="0.3">
      <c r="F30995" s="193"/>
    </row>
    <row r="30996" spans="6:6" x14ac:dyDescent="0.3">
      <c r="F30996" s="193"/>
    </row>
    <row r="30997" spans="6:6" x14ac:dyDescent="0.3">
      <c r="F30997" s="193"/>
    </row>
    <row r="30998" spans="6:6" x14ac:dyDescent="0.3">
      <c r="F30998" s="193"/>
    </row>
    <row r="30999" spans="6:6" x14ac:dyDescent="0.3">
      <c r="F30999" s="193"/>
    </row>
    <row r="31000" spans="6:6" x14ac:dyDescent="0.3">
      <c r="F31000" s="193"/>
    </row>
    <row r="31001" spans="6:6" x14ac:dyDescent="0.3">
      <c r="F31001" s="193"/>
    </row>
    <row r="31002" spans="6:6" x14ac:dyDescent="0.3">
      <c r="F31002" s="193"/>
    </row>
    <row r="31003" spans="6:6" x14ac:dyDescent="0.3">
      <c r="F31003" s="193"/>
    </row>
    <row r="31004" spans="6:6" x14ac:dyDescent="0.3">
      <c r="F31004" s="193"/>
    </row>
    <row r="31005" spans="6:6" x14ac:dyDescent="0.3">
      <c r="F31005" s="193"/>
    </row>
    <row r="31006" spans="6:6" x14ac:dyDescent="0.3">
      <c r="F31006" s="193"/>
    </row>
    <row r="31007" spans="6:6" x14ac:dyDescent="0.3">
      <c r="F31007" s="193"/>
    </row>
    <row r="31008" spans="6:6" x14ac:dyDescent="0.3">
      <c r="F31008" s="193"/>
    </row>
    <row r="31009" spans="6:6" x14ac:dyDescent="0.3">
      <c r="F31009" s="193"/>
    </row>
    <row r="31010" spans="6:6" x14ac:dyDescent="0.3">
      <c r="F31010" s="193"/>
    </row>
    <row r="31011" spans="6:6" x14ac:dyDescent="0.3">
      <c r="F31011" s="193"/>
    </row>
    <row r="31012" spans="6:6" x14ac:dyDescent="0.3">
      <c r="F31012" s="193"/>
    </row>
    <row r="31013" spans="6:6" x14ac:dyDescent="0.3">
      <c r="F31013" s="193"/>
    </row>
    <row r="31014" spans="6:6" x14ac:dyDescent="0.3">
      <c r="F31014" s="193"/>
    </row>
    <row r="31015" spans="6:6" x14ac:dyDescent="0.3">
      <c r="F31015" s="193"/>
    </row>
    <row r="31016" spans="6:6" x14ac:dyDescent="0.3">
      <c r="F31016" s="193"/>
    </row>
    <row r="31017" spans="6:6" x14ac:dyDescent="0.3">
      <c r="F31017" s="193"/>
    </row>
    <row r="31018" spans="6:6" x14ac:dyDescent="0.3">
      <c r="F31018" s="193"/>
    </row>
    <row r="31019" spans="6:6" x14ac:dyDescent="0.3">
      <c r="F31019" s="193"/>
    </row>
    <row r="31020" spans="6:6" x14ac:dyDescent="0.3">
      <c r="F31020" s="193"/>
    </row>
    <row r="31021" spans="6:6" x14ac:dyDescent="0.3">
      <c r="F31021" s="193"/>
    </row>
    <row r="31022" spans="6:6" x14ac:dyDescent="0.3">
      <c r="F31022" s="193"/>
    </row>
    <row r="31023" spans="6:6" x14ac:dyDescent="0.3">
      <c r="F31023" s="193"/>
    </row>
    <row r="31024" spans="6:6" x14ac:dyDescent="0.3">
      <c r="F31024" s="193"/>
    </row>
    <row r="31025" spans="6:6" x14ac:dyDescent="0.3">
      <c r="F31025" s="193"/>
    </row>
    <row r="31026" spans="6:6" x14ac:dyDescent="0.3">
      <c r="F31026" s="193"/>
    </row>
    <row r="31027" spans="6:6" x14ac:dyDescent="0.3">
      <c r="F31027" s="193"/>
    </row>
    <row r="31028" spans="6:6" x14ac:dyDescent="0.3">
      <c r="F31028" s="193"/>
    </row>
    <row r="31029" spans="6:6" x14ac:dyDescent="0.3">
      <c r="F31029" s="193"/>
    </row>
    <row r="31030" spans="6:6" x14ac:dyDescent="0.3">
      <c r="F31030" s="193"/>
    </row>
    <row r="31031" spans="6:6" x14ac:dyDescent="0.3">
      <c r="F31031" s="193"/>
    </row>
    <row r="31032" spans="6:6" x14ac:dyDescent="0.3">
      <c r="F31032" s="193"/>
    </row>
    <row r="31033" spans="6:6" x14ac:dyDescent="0.3">
      <c r="F31033" s="193"/>
    </row>
    <row r="31034" spans="6:6" x14ac:dyDescent="0.3">
      <c r="F31034" s="193"/>
    </row>
    <row r="31035" spans="6:6" x14ac:dyDescent="0.3">
      <c r="F31035" s="193"/>
    </row>
    <row r="31036" spans="6:6" x14ac:dyDescent="0.3">
      <c r="F31036" s="193"/>
    </row>
    <row r="31037" spans="6:6" x14ac:dyDescent="0.3">
      <c r="F31037" s="193"/>
    </row>
    <row r="31038" spans="6:6" x14ac:dyDescent="0.3">
      <c r="F31038" s="193"/>
    </row>
    <row r="31039" spans="6:6" x14ac:dyDescent="0.3">
      <c r="F31039" s="193"/>
    </row>
    <row r="31040" spans="6:6" x14ac:dyDescent="0.3">
      <c r="F31040" s="193"/>
    </row>
    <row r="31041" spans="6:6" x14ac:dyDescent="0.3">
      <c r="F31041" s="193"/>
    </row>
    <row r="31042" spans="6:6" x14ac:dyDescent="0.3">
      <c r="F31042" s="193"/>
    </row>
    <row r="31043" spans="6:6" x14ac:dyDescent="0.3">
      <c r="F31043" s="193"/>
    </row>
    <row r="31044" spans="6:6" x14ac:dyDescent="0.3">
      <c r="F31044" s="193"/>
    </row>
    <row r="31045" spans="6:6" x14ac:dyDescent="0.3">
      <c r="F31045" s="193"/>
    </row>
    <row r="31046" spans="6:6" x14ac:dyDescent="0.3">
      <c r="F31046" s="193"/>
    </row>
    <row r="31047" spans="6:6" x14ac:dyDescent="0.3">
      <c r="F31047" s="193"/>
    </row>
    <row r="31048" spans="6:6" x14ac:dyDescent="0.3">
      <c r="F31048" s="193"/>
    </row>
    <row r="31049" spans="6:6" x14ac:dyDescent="0.3">
      <c r="F31049" s="193"/>
    </row>
    <row r="31050" spans="6:6" x14ac:dyDescent="0.3">
      <c r="F31050" s="193"/>
    </row>
    <row r="31051" spans="6:6" x14ac:dyDescent="0.3">
      <c r="F31051" s="193"/>
    </row>
    <row r="31052" spans="6:6" x14ac:dyDescent="0.3">
      <c r="F31052" s="193"/>
    </row>
    <row r="31053" spans="6:6" x14ac:dyDescent="0.3">
      <c r="F31053" s="193"/>
    </row>
    <row r="31054" spans="6:6" x14ac:dyDescent="0.3">
      <c r="F31054" s="193"/>
    </row>
    <row r="31055" spans="6:6" x14ac:dyDescent="0.3">
      <c r="F31055" s="193"/>
    </row>
    <row r="31056" spans="6:6" x14ac:dyDescent="0.3">
      <c r="F31056" s="193"/>
    </row>
    <row r="31057" spans="6:6" x14ac:dyDescent="0.3">
      <c r="F31057" s="193"/>
    </row>
    <row r="31058" spans="6:6" x14ac:dyDescent="0.3">
      <c r="F31058" s="193"/>
    </row>
    <row r="31059" spans="6:6" x14ac:dyDescent="0.3">
      <c r="F31059" s="193"/>
    </row>
    <row r="31060" spans="6:6" x14ac:dyDescent="0.3">
      <c r="F31060" s="193"/>
    </row>
    <row r="31061" spans="6:6" x14ac:dyDescent="0.3">
      <c r="F31061" s="193"/>
    </row>
    <row r="31062" spans="6:6" x14ac:dyDescent="0.3">
      <c r="F31062" s="193"/>
    </row>
    <row r="31063" spans="6:6" x14ac:dyDescent="0.3">
      <c r="F31063" s="193"/>
    </row>
    <row r="31064" spans="6:6" x14ac:dyDescent="0.3">
      <c r="F31064" s="193"/>
    </row>
    <row r="31065" spans="6:6" x14ac:dyDescent="0.3">
      <c r="F31065" s="193"/>
    </row>
    <row r="31066" spans="6:6" x14ac:dyDescent="0.3">
      <c r="F31066" s="193"/>
    </row>
    <row r="31067" spans="6:6" x14ac:dyDescent="0.3">
      <c r="F31067" s="193"/>
    </row>
    <row r="31068" spans="6:6" x14ac:dyDescent="0.3">
      <c r="F31068" s="193"/>
    </row>
    <row r="31069" spans="6:6" x14ac:dyDescent="0.3">
      <c r="F31069" s="193"/>
    </row>
    <row r="31070" spans="6:6" x14ac:dyDescent="0.3">
      <c r="F31070" s="193"/>
    </row>
    <row r="31071" spans="6:6" x14ac:dyDescent="0.3">
      <c r="F31071" s="193"/>
    </row>
    <row r="31072" spans="6:6" x14ac:dyDescent="0.3">
      <c r="F31072" s="193"/>
    </row>
    <row r="31073" spans="6:6" x14ac:dyDescent="0.3">
      <c r="F31073" s="193"/>
    </row>
    <row r="31074" spans="6:6" x14ac:dyDescent="0.3">
      <c r="F31074" s="193"/>
    </row>
    <row r="31075" spans="6:6" x14ac:dyDescent="0.3">
      <c r="F31075" s="193"/>
    </row>
    <row r="31076" spans="6:6" x14ac:dyDescent="0.3">
      <c r="F31076" s="193"/>
    </row>
    <row r="31077" spans="6:6" x14ac:dyDescent="0.3">
      <c r="F31077" s="193"/>
    </row>
    <row r="31078" spans="6:6" x14ac:dyDescent="0.3">
      <c r="F31078" s="193"/>
    </row>
    <row r="31079" spans="6:6" x14ac:dyDescent="0.3">
      <c r="F31079" s="193"/>
    </row>
    <row r="31080" spans="6:6" x14ac:dyDescent="0.3">
      <c r="F31080" s="193"/>
    </row>
    <row r="31081" spans="6:6" x14ac:dyDescent="0.3">
      <c r="F31081" s="193"/>
    </row>
    <row r="31082" spans="6:6" x14ac:dyDescent="0.3">
      <c r="F31082" s="193"/>
    </row>
    <row r="31083" spans="6:6" x14ac:dyDescent="0.3">
      <c r="F31083" s="193"/>
    </row>
    <row r="31084" spans="6:6" x14ac:dyDescent="0.3">
      <c r="F31084" s="193"/>
    </row>
    <row r="31085" spans="6:6" x14ac:dyDescent="0.3">
      <c r="F31085" s="193"/>
    </row>
    <row r="31086" spans="6:6" x14ac:dyDescent="0.3">
      <c r="F31086" s="193"/>
    </row>
    <row r="31087" spans="6:6" x14ac:dyDescent="0.3">
      <c r="F31087" s="193"/>
    </row>
    <row r="31088" spans="6:6" x14ac:dyDescent="0.3">
      <c r="F31088" s="193"/>
    </row>
    <row r="31089" spans="6:6" x14ac:dyDescent="0.3">
      <c r="F31089" s="193"/>
    </row>
    <row r="31090" spans="6:6" x14ac:dyDescent="0.3">
      <c r="F31090" s="193"/>
    </row>
    <row r="31091" spans="6:6" x14ac:dyDescent="0.3">
      <c r="F31091" s="193"/>
    </row>
    <row r="31092" spans="6:6" x14ac:dyDescent="0.3">
      <c r="F31092" s="193"/>
    </row>
    <row r="31093" spans="6:6" x14ac:dyDescent="0.3">
      <c r="F31093" s="193"/>
    </row>
    <row r="31094" spans="6:6" x14ac:dyDescent="0.3">
      <c r="F31094" s="193"/>
    </row>
    <row r="31095" spans="6:6" x14ac:dyDescent="0.3">
      <c r="F31095" s="193"/>
    </row>
    <row r="31096" spans="6:6" x14ac:dyDescent="0.3">
      <c r="F31096" s="193"/>
    </row>
    <row r="31097" spans="6:6" x14ac:dyDescent="0.3">
      <c r="F31097" s="193"/>
    </row>
    <row r="31098" spans="6:6" x14ac:dyDescent="0.3">
      <c r="F31098" s="193"/>
    </row>
    <row r="31099" spans="6:6" x14ac:dyDescent="0.3">
      <c r="F31099" s="193"/>
    </row>
    <row r="31100" spans="6:6" x14ac:dyDescent="0.3">
      <c r="F31100" s="193"/>
    </row>
    <row r="31101" spans="6:6" x14ac:dyDescent="0.3">
      <c r="F31101" s="193"/>
    </row>
    <row r="31102" spans="6:6" x14ac:dyDescent="0.3">
      <c r="F31102" s="193"/>
    </row>
    <row r="31103" spans="6:6" x14ac:dyDescent="0.3">
      <c r="F31103" s="193"/>
    </row>
    <row r="31104" spans="6:6" x14ac:dyDescent="0.3">
      <c r="F31104" s="193"/>
    </row>
    <row r="31105" spans="6:6" x14ac:dyDescent="0.3">
      <c r="F31105" s="193"/>
    </row>
    <row r="31106" spans="6:6" x14ac:dyDescent="0.3">
      <c r="F31106" s="193"/>
    </row>
    <row r="31107" spans="6:6" x14ac:dyDescent="0.3">
      <c r="F31107" s="193"/>
    </row>
    <row r="31108" spans="6:6" x14ac:dyDescent="0.3">
      <c r="F31108" s="193"/>
    </row>
    <row r="31109" spans="6:6" x14ac:dyDescent="0.3">
      <c r="F31109" s="193"/>
    </row>
    <row r="31110" spans="6:6" x14ac:dyDescent="0.3">
      <c r="F31110" s="193"/>
    </row>
    <row r="31111" spans="6:6" x14ac:dyDescent="0.3">
      <c r="F31111" s="193"/>
    </row>
    <row r="31112" spans="6:6" x14ac:dyDescent="0.3">
      <c r="F31112" s="193"/>
    </row>
    <row r="31113" spans="6:6" x14ac:dyDescent="0.3">
      <c r="F31113" s="193"/>
    </row>
    <row r="31114" spans="6:6" x14ac:dyDescent="0.3">
      <c r="F31114" s="193"/>
    </row>
    <row r="31115" spans="6:6" x14ac:dyDescent="0.3">
      <c r="F31115" s="193"/>
    </row>
    <row r="31116" spans="6:6" x14ac:dyDescent="0.3">
      <c r="F31116" s="193"/>
    </row>
    <row r="31117" spans="6:6" x14ac:dyDescent="0.3">
      <c r="F31117" s="193"/>
    </row>
    <row r="31118" spans="6:6" x14ac:dyDescent="0.3">
      <c r="F31118" s="193"/>
    </row>
    <row r="31119" spans="6:6" x14ac:dyDescent="0.3">
      <c r="F31119" s="193"/>
    </row>
    <row r="31120" spans="6:6" x14ac:dyDescent="0.3">
      <c r="F31120" s="193"/>
    </row>
    <row r="31121" spans="6:6" x14ac:dyDescent="0.3">
      <c r="F31121" s="193"/>
    </row>
    <row r="31122" spans="6:6" x14ac:dyDescent="0.3">
      <c r="F31122" s="193"/>
    </row>
    <row r="31123" spans="6:6" x14ac:dyDescent="0.3">
      <c r="F31123" s="193"/>
    </row>
    <row r="31124" spans="6:6" x14ac:dyDescent="0.3">
      <c r="F31124" s="193"/>
    </row>
    <row r="31125" spans="6:6" x14ac:dyDescent="0.3">
      <c r="F31125" s="193"/>
    </row>
    <row r="31126" spans="6:6" x14ac:dyDescent="0.3">
      <c r="F31126" s="193"/>
    </row>
    <row r="31127" spans="6:6" x14ac:dyDescent="0.3">
      <c r="F31127" s="193"/>
    </row>
    <row r="31128" spans="6:6" x14ac:dyDescent="0.3">
      <c r="F31128" s="193"/>
    </row>
    <row r="31129" spans="6:6" x14ac:dyDescent="0.3">
      <c r="F31129" s="193"/>
    </row>
    <row r="31130" spans="6:6" x14ac:dyDescent="0.3">
      <c r="F31130" s="193"/>
    </row>
    <row r="31131" spans="6:6" x14ac:dyDescent="0.3">
      <c r="F31131" s="193"/>
    </row>
    <row r="31132" spans="6:6" x14ac:dyDescent="0.3">
      <c r="F31132" s="193"/>
    </row>
    <row r="31133" spans="6:6" x14ac:dyDescent="0.3">
      <c r="F31133" s="193"/>
    </row>
    <row r="31134" spans="6:6" x14ac:dyDescent="0.3">
      <c r="F31134" s="193"/>
    </row>
    <row r="31135" spans="6:6" x14ac:dyDescent="0.3">
      <c r="F31135" s="193"/>
    </row>
    <row r="31136" spans="6:6" x14ac:dyDescent="0.3">
      <c r="F31136" s="193"/>
    </row>
    <row r="31137" spans="6:6" x14ac:dyDescent="0.3">
      <c r="F31137" s="193"/>
    </row>
    <row r="31138" spans="6:6" x14ac:dyDescent="0.3">
      <c r="F31138" s="193"/>
    </row>
    <row r="31139" spans="6:6" x14ac:dyDescent="0.3">
      <c r="F31139" s="193"/>
    </row>
    <row r="31140" spans="6:6" x14ac:dyDescent="0.3">
      <c r="F31140" s="193"/>
    </row>
    <row r="31141" spans="6:6" x14ac:dyDescent="0.3">
      <c r="F31141" s="193"/>
    </row>
    <row r="31142" spans="6:6" x14ac:dyDescent="0.3">
      <c r="F31142" s="193"/>
    </row>
    <row r="31143" spans="6:6" x14ac:dyDescent="0.3">
      <c r="F31143" s="193"/>
    </row>
    <row r="31144" spans="6:6" x14ac:dyDescent="0.3">
      <c r="F31144" s="193"/>
    </row>
    <row r="31145" spans="6:6" x14ac:dyDescent="0.3">
      <c r="F31145" s="193"/>
    </row>
    <row r="31146" spans="6:6" x14ac:dyDescent="0.3">
      <c r="F31146" s="193"/>
    </row>
    <row r="31147" spans="6:6" x14ac:dyDescent="0.3">
      <c r="F31147" s="193"/>
    </row>
    <row r="31148" spans="6:6" x14ac:dyDescent="0.3">
      <c r="F31148" s="193"/>
    </row>
    <row r="31149" spans="6:6" x14ac:dyDescent="0.3">
      <c r="F31149" s="193"/>
    </row>
    <row r="31150" spans="6:6" x14ac:dyDescent="0.3">
      <c r="F31150" s="193"/>
    </row>
    <row r="31151" spans="6:6" x14ac:dyDescent="0.3">
      <c r="F31151" s="193"/>
    </row>
    <row r="31152" spans="6:6" x14ac:dyDescent="0.3">
      <c r="F31152" s="193"/>
    </row>
    <row r="31153" spans="6:6" x14ac:dyDescent="0.3">
      <c r="F31153" s="193"/>
    </row>
    <row r="31154" spans="6:6" x14ac:dyDescent="0.3">
      <c r="F31154" s="193"/>
    </row>
    <row r="31155" spans="6:6" x14ac:dyDescent="0.3">
      <c r="F31155" s="193"/>
    </row>
    <row r="31156" spans="6:6" x14ac:dyDescent="0.3">
      <c r="F31156" s="193"/>
    </row>
    <row r="31157" spans="6:6" x14ac:dyDescent="0.3">
      <c r="F31157" s="193"/>
    </row>
    <row r="31158" spans="6:6" x14ac:dyDescent="0.3">
      <c r="F31158" s="193"/>
    </row>
    <row r="31159" spans="6:6" x14ac:dyDescent="0.3">
      <c r="F31159" s="193"/>
    </row>
    <row r="31160" spans="6:6" x14ac:dyDescent="0.3">
      <c r="F31160" s="193"/>
    </row>
    <row r="31161" spans="6:6" x14ac:dyDescent="0.3">
      <c r="F31161" s="193"/>
    </row>
    <row r="31162" spans="6:6" x14ac:dyDescent="0.3">
      <c r="F31162" s="193"/>
    </row>
    <row r="31163" spans="6:6" x14ac:dyDescent="0.3">
      <c r="F31163" s="193"/>
    </row>
    <row r="31164" spans="6:6" x14ac:dyDescent="0.3">
      <c r="F31164" s="193"/>
    </row>
    <row r="31165" spans="6:6" x14ac:dyDescent="0.3">
      <c r="F31165" s="193"/>
    </row>
    <row r="31166" spans="6:6" x14ac:dyDescent="0.3">
      <c r="F31166" s="193"/>
    </row>
    <row r="31167" spans="6:6" x14ac:dyDescent="0.3">
      <c r="F31167" s="193"/>
    </row>
    <row r="31168" spans="6:6" x14ac:dyDescent="0.3">
      <c r="F31168" s="193"/>
    </row>
    <row r="31169" spans="6:6" x14ac:dyDescent="0.3">
      <c r="F31169" s="193"/>
    </row>
    <row r="31170" spans="6:6" x14ac:dyDescent="0.3">
      <c r="F31170" s="193"/>
    </row>
    <row r="31171" spans="6:6" x14ac:dyDescent="0.3">
      <c r="F31171" s="193"/>
    </row>
    <row r="31172" spans="6:6" x14ac:dyDescent="0.3">
      <c r="F31172" s="193"/>
    </row>
    <row r="31173" spans="6:6" x14ac:dyDescent="0.3">
      <c r="F31173" s="193"/>
    </row>
    <row r="31174" spans="6:6" x14ac:dyDescent="0.3">
      <c r="F31174" s="193"/>
    </row>
    <row r="31175" spans="6:6" x14ac:dyDescent="0.3">
      <c r="F31175" s="193"/>
    </row>
    <row r="31176" spans="6:6" x14ac:dyDescent="0.3">
      <c r="F31176" s="193"/>
    </row>
    <row r="31177" spans="6:6" x14ac:dyDescent="0.3">
      <c r="F31177" s="193"/>
    </row>
    <row r="31178" spans="6:6" x14ac:dyDescent="0.3">
      <c r="F31178" s="193"/>
    </row>
    <row r="31179" spans="6:6" x14ac:dyDescent="0.3">
      <c r="F31179" s="193"/>
    </row>
    <row r="31180" spans="6:6" x14ac:dyDescent="0.3">
      <c r="F31180" s="193"/>
    </row>
    <row r="31181" spans="6:6" x14ac:dyDescent="0.3">
      <c r="F31181" s="193"/>
    </row>
    <row r="31182" spans="6:6" x14ac:dyDescent="0.3">
      <c r="F31182" s="193"/>
    </row>
    <row r="31183" spans="6:6" x14ac:dyDescent="0.3">
      <c r="F31183" s="193"/>
    </row>
    <row r="31184" spans="6:6" x14ac:dyDescent="0.3">
      <c r="F31184" s="193"/>
    </row>
    <row r="31185" spans="6:6" x14ac:dyDescent="0.3">
      <c r="F31185" s="193"/>
    </row>
    <row r="31186" spans="6:6" x14ac:dyDescent="0.3">
      <c r="F31186" s="193"/>
    </row>
    <row r="31187" spans="6:6" x14ac:dyDescent="0.3">
      <c r="F31187" s="193"/>
    </row>
    <row r="31188" spans="6:6" x14ac:dyDescent="0.3">
      <c r="F31188" s="193"/>
    </row>
    <row r="31189" spans="6:6" x14ac:dyDescent="0.3">
      <c r="F31189" s="193"/>
    </row>
    <row r="31190" spans="6:6" x14ac:dyDescent="0.3">
      <c r="F31190" s="193"/>
    </row>
    <row r="31191" spans="6:6" x14ac:dyDescent="0.3">
      <c r="F31191" s="193"/>
    </row>
    <row r="31192" spans="6:6" x14ac:dyDescent="0.3">
      <c r="F31192" s="193"/>
    </row>
    <row r="31193" spans="6:6" x14ac:dyDescent="0.3">
      <c r="F31193" s="193"/>
    </row>
    <row r="31194" spans="6:6" x14ac:dyDescent="0.3">
      <c r="F31194" s="193"/>
    </row>
    <row r="31195" spans="6:6" x14ac:dyDescent="0.3">
      <c r="F31195" s="193"/>
    </row>
    <row r="31196" spans="6:6" x14ac:dyDescent="0.3">
      <c r="F31196" s="193"/>
    </row>
    <row r="31197" spans="6:6" x14ac:dyDescent="0.3">
      <c r="F31197" s="193"/>
    </row>
    <row r="31198" spans="6:6" x14ac:dyDescent="0.3">
      <c r="F31198" s="193"/>
    </row>
    <row r="31199" spans="6:6" x14ac:dyDescent="0.3">
      <c r="F31199" s="193"/>
    </row>
    <row r="31200" spans="6:6" x14ac:dyDescent="0.3">
      <c r="F31200" s="193"/>
    </row>
    <row r="31201" spans="6:6" x14ac:dyDescent="0.3">
      <c r="F31201" s="193"/>
    </row>
    <row r="31202" spans="6:6" x14ac:dyDescent="0.3">
      <c r="F31202" s="193"/>
    </row>
    <row r="31203" spans="6:6" x14ac:dyDescent="0.3">
      <c r="F31203" s="193"/>
    </row>
    <row r="31204" spans="6:6" x14ac:dyDescent="0.3">
      <c r="F31204" s="193"/>
    </row>
    <row r="31205" spans="6:6" x14ac:dyDescent="0.3">
      <c r="F31205" s="193"/>
    </row>
    <row r="31206" spans="6:6" x14ac:dyDescent="0.3">
      <c r="F31206" s="193"/>
    </row>
    <row r="31207" spans="6:6" x14ac:dyDescent="0.3">
      <c r="F31207" s="193"/>
    </row>
    <row r="31208" spans="6:6" x14ac:dyDescent="0.3">
      <c r="F31208" s="193"/>
    </row>
    <row r="31209" spans="6:6" x14ac:dyDescent="0.3">
      <c r="F31209" s="193"/>
    </row>
    <row r="31210" spans="6:6" x14ac:dyDescent="0.3">
      <c r="F31210" s="193"/>
    </row>
    <row r="31211" spans="6:6" x14ac:dyDescent="0.3">
      <c r="F31211" s="193"/>
    </row>
    <row r="31212" spans="6:6" x14ac:dyDescent="0.3">
      <c r="F31212" s="193"/>
    </row>
    <row r="31213" spans="6:6" x14ac:dyDescent="0.3">
      <c r="F31213" s="193"/>
    </row>
    <row r="31214" spans="6:6" x14ac:dyDescent="0.3">
      <c r="F31214" s="193"/>
    </row>
    <row r="31215" spans="6:6" x14ac:dyDescent="0.3">
      <c r="F31215" s="193"/>
    </row>
    <row r="31216" spans="6:6" x14ac:dyDescent="0.3">
      <c r="F31216" s="193"/>
    </row>
    <row r="31217" spans="6:6" x14ac:dyDescent="0.3">
      <c r="F31217" s="193"/>
    </row>
    <row r="31218" spans="6:6" x14ac:dyDescent="0.3">
      <c r="F31218" s="193"/>
    </row>
    <row r="31219" spans="6:6" x14ac:dyDescent="0.3">
      <c r="F31219" s="193"/>
    </row>
    <row r="31220" spans="6:6" x14ac:dyDescent="0.3">
      <c r="F31220" s="193"/>
    </row>
    <row r="31221" spans="6:6" x14ac:dyDescent="0.3">
      <c r="F31221" s="193"/>
    </row>
    <row r="31222" spans="6:6" x14ac:dyDescent="0.3">
      <c r="F31222" s="193"/>
    </row>
    <row r="31223" spans="6:6" x14ac:dyDescent="0.3">
      <c r="F31223" s="193"/>
    </row>
    <row r="31224" spans="6:6" x14ac:dyDescent="0.3">
      <c r="F31224" s="193"/>
    </row>
    <row r="31225" spans="6:6" x14ac:dyDescent="0.3">
      <c r="F31225" s="193"/>
    </row>
    <row r="31226" spans="6:6" x14ac:dyDescent="0.3">
      <c r="F31226" s="193"/>
    </row>
    <row r="31227" spans="6:6" x14ac:dyDescent="0.3">
      <c r="F31227" s="193"/>
    </row>
    <row r="31228" spans="6:6" x14ac:dyDescent="0.3">
      <c r="F31228" s="193"/>
    </row>
    <row r="31229" spans="6:6" x14ac:dyDescent="0.3">
      <c r="F31229" s="193"/>
    </row>
    <row r="31230" spans="6:6" x14ac:dyDescent="0.3">
      <c r="F31230" s="193"/>
    </row>
    <row r="31231" spans="6:6" x14ac:dyDescent="0.3">
      <c r="F31231" s="193"/>
    </row>
    <row r="31232" spans="6:6" x14ac:dyDescent="0.3">
      <c r="F31232" s="193"/>
    </row>
    <row r="31233" spans="6:6" x14ac:dyDescent="0.3">
      <c r="F31233" s="193"/>
    </row>
    <row r="31234" spans="6:6" x14ac:dyDescent="0.3">
      <c r="F31234" s="193"/>
    </row>
    <row r="31235" spans="6:6" x14ac:dyDescent="0.3">
      <c r="F31235" s="193"/>
    </row>
    <row r="31236" spans="6:6" x14ac:dyDescent="0.3">
      <c r="F31236" s="193"/>
    </row>
    <row r="31237" spans="6:6" x14ac:dyDescent="0.3">
      <c r="F31237" s="193"/>
    </row>
    <row r="31238" spans="6:6" x14ac:dyDescent="0.3">
      <c r="F31238" s="193"/>
    </row>
    <row r="31239" spans="6:6" x14ac:dyDescent="0.3">
      <c r="F31239" s="193"/>
    </row>
    <row r="31240" spans="6:6" x14ac:dyDescent="0.3">
      <c r="F31240" s="193"/>
    </row>
    <row r="31241" spans="6:6" x14ac:dyDescent="0.3">
      <c r="F31241" s="193"/>
    </row>
    <row r="31242" spans="6:6" x14ac:dyDescent="0.3">
      <c r="F31242" s="193"/>
    </row>
    <row r="31243" spans="6:6" x14ac:dyDescent="0.3">
      <c r="F31243" s="193"/>
    </row>
    <row r="31244" spans="6:6" x14ac:dyDescent="0.3">
      <c r="F31244" s="193"/>
    </row>
    <row r="31245" spans="6:6" x14ac:dyDescent="0.3">
      <c r="F31245" s="193"/>
    </row>
    <row r="31246" spans="6:6" x14ac:dyDescent="0.3">
      <c r="F31246" s="193"/>
    </row>
    <row r="31247" spans="6:6" x14ac:dyDescent="0.3">
      <c r="F31247" s="193"/>
    </row>
    <row r="31248" spans="6:6" x14ac:dyDescent="0.3">
      <c r="F31248" s="193"/>
    </row>
    <row r="31249" spans="6:6" x14ac:dyDescent="0.3">
      <c r="F31249" s="193"/>
    </row>
    <row r="31250" spans="6:6" x14ac:dyDescent="0.3">
      <c r="F31250" s="193"/>
    </row>
    <row r="31251" spans="6:6" x14ac:dyDescent="0.3">
      <c r="F31251" s="193"/>
    </row>
    <row r="31252" spans="6:6" x14ac:dyDescent="0.3">
      <c r="F31252" s="193"/>
    </row>
    <row r="31253" spans="6:6" x14ac:dyDescent="0.3">
      <c r="F31253" s="193"/>
    </row>
    <row r="31254" spans="6:6" x14ac:dyDescent="0.3">
      <c r="F31254" s="193"/>
    </row>
    <row r="31255" spans="6:6" x14ac:dyDescent="0.3">
      <c r="F31255" s="193"/>
    </row>
    <row r="31256" spans="6:6" x14ac:dyDescent="0.3">
      <c r="F31256" s="193"/>
    </row>
    <row r="31257" spans="6:6" x14ac:dyDescent="0.3">
      <c r="F31257" s="193"/>
    </row>
    <row r="31258" spans="6:6" x14ac:dyDescent="0.3">
      <c r="F31258" s="193"/>
    </row>
    <row r="31259" spans="6:6" x14ac:dyDescent="0.3">
      <c r="F31259" s="193"/>
    </row>
    <row r="31260" spans="6:6" x14ac:dyDescent="0.3">
      <c r="F31260" s="193"/>
    </row>
    <row r="31261" spans="6:6" x14ac:dyDescent="0.3">
      <c r="F31261" s="193"/>
    </row>
    <row r="31262" spans="6:6" x14ac:dyDescent="0.3">
      <c r="F31262" s="193"/>
    </row>
    <row r="31263" spans="6:6" x14ac:dyDescent="0.3">
      <c r="F31263" s="193"/>
    </row>
    <row r="31264" spans="6:6" x14ac:dyDescent="0.3">
      <c r="F31264" s="193"/>
    </row>
    <row r="31265" spans="6:6" x14ac:dyDescent="0.3">
      <c r="F31265" s="193"/>
    </row>
    <row r="31266" spans="6:6" x14ac:dyDescent="0.3">
      <c r="F31266" s="193"/>
    </row>
    <row r="31267" spans="6:6" x14ac:dyDescent="0.3">
      <c r="F31267" s="193"/>
    </row>
    <row r="31268" spans="6:6" x14ac:dyDescent="0.3">
      <c r="F31268" s="193"/>
    </row>
    <row r="31269" spans="6:6" x14ac:dyDescent="0.3">
      <c r="F31269" s="193"/>
    </row>
    <row r="31270" spans="6:6" x14ac:dyDescent="0.3">
      <c r="F31270" s="193"/>
    </row>
    <row r="31271" spans="6:6" x14ac:dyDescent="0.3">
      <c r="F31271" s="193"/>
    </row>
    <row r="31272" spans="6:6" x14ac:dyDescent="0.3">
      <c r="F31272" s="193"/>
    </row>
    <row r="31273" spans="6:6" x14ac:dyDescent="0.3">
      <c r="F31273" s="193"/>
    </row>
    <row r="31274" spans="6:6" x14ac:dyDescent="0.3">
      <c r="F31274" s="193"/>
    </row>
    <row r="31275" spans="6:6" x14ac:dyDescent="0.3">
      <c r="F31275" s="193"/>
    </row>
    <row r="31276" spans="6:6" x14ac:dyDescent="0.3">
      <c r="F31276" s="193"/>
    </row>
    <row r="31277" spans="6:6" x14ac:dyDescent="0.3">
      <c r="F31277" s="193"/>
    </row>
    <row r="31278" spans="6:6" x14ac:dyDescent="0.3">
      <c r="F31278" s="193"/>
    </row>
    <row r="31279" spans="6:6" x14ac:dyDescent="0.3">
      <c r="F31279" s="193"/>
    </row>
    <row r="31280" spans="6:6" x14ac:dyDescent="0.3">
      <c r="F31280" s="193"/>
    </row>
    <row r="31281" spans="6:6" x14ac:dyDescent="0.3">
      <c r="F31281" s="193"/>
    </row>
    <row r="31282" spans="6:6" x14ac:dyDescent="0.3">
      <c r="F31282" s="193"/>
    </row>
    <row r="31283" spans="6:6" x14ac:dyDescent="0.3">
      <c r="F31283" s="193"/>
    </row>
    <row r="31284" spans="6:6" x14ac:dyDescent="0.3">
      <c r="F31284" s="193"/>
    </row>
    <row r="31285" spans="6:6" x14ac:dyDescent="0.3">
      <c r="F31285" s="193"/>
    </row>
    <row r="31286" spans="6:6" x14ac:dyDescent="0.3">
      <c r="F31286" s="193"/>
    </row>
    <row r="31287" spans="6:6" x14ac:dyDescent="0.3">
      <c r="F31287" s="193"/>
    </row>
    <row r="31288" spans="6:6" x14ac:dyDescent="0.3">
      <c r="F31288" s="193"/>
    </row>
    <row r="31289" spans="6:6" x14ac:dyDescent="0.3">
      <c r="F31289" s="193"/>
    </row>
    <row r="31290" spans="6:6" x14ac:dyDescent="0.3">
      <c r="F31290" s="193"/>
    </row>
    <row r="31291" spans="6:6" x14ac:dyDescent="0.3">
      <c r="F31291" s="193"/>
    </row>
    <row r="31292" spans="6:6" x14ac:dyDescent="0.3">
      <c r="F31292" s="193"/>
    </row>
    <row r="31293" spans="6:6" x14ac:dyDescent="0.3">
      <c r="F31293" s="193"/>
    </row>
    <row r="31294" spans="6:6" x14ac:dyDescent="0.3">
      <c r="F31294" s="193"/>
    </row>
    <row r="31295" spans="6:6" x14ac:dyDescent="0.3">
      <c r="F31295" s="193"/>
    </row>
    <row r="31296" spans="6:6" x14ac:dyDescent="0.3">
      <c r="F31296" s="193"/>
    </row>
    <row r="31297" spans="6:6" x14ac:dyDescent="0.3">
      <c r="F31297" s="193"/>
    </row>
    <row r="31298" spans="6:6" x14ac:dyDescent="0.3">
      <c r="F31298" s="193"/>
    </row>
    <row r="31299" spans="6:6" x14ac:dyDescent="0.3">
      <c r="F31299" s="193"/>
    </row>
    <row r="31300" spans="6:6" x14ac:dyDescent="0.3">
      <c r="F31300" s="193"/>
    </row>
    <row r="31301" spans="6:6" x14ac:dyDescent="0.3">
      <c r="F31301" s="193"/>
    </row>
    <row r="31302" spans="6:6" x14ac:dyDescent="0.3">
      <c r="F31302" s="193"/>
    </row>
    <row r="31303" spans="6:6" x14ac:dyDescent="0.3">
      <c r="F31303" s="193"/>
    </row>
    <row r="31304" spans="6:6" x14ac:dyDescent="0.3">
      <c r="F31304" s="193"/>
    </row>
    <row r="31305" spans="6:6" x14ac:dyDescent="0.3">
      <c r="F31305" s="193"/>
    </row>
    <row r="31306" spans="6:6" x14ac:dyDescent="0.3">
      <c r="F31306" s="193"/>
    </row>
    <row r="31307" spans="6:6" x14ac:dyDescent="0.3">
      <c r="F31307" s="193"/>
    </row>
    <row r="31308" spans="6:6" x14ac:dyDescent="0.3">
      <c r="F31308" s="193"/>
    </row>
    <row r="31309" spans="6:6" x14ac:dyDescent="0.3">
      <c r="F31309" s="193"/>
    </row>
    <row r="31310" spans="6:6" x14ac:dyDescent="0.3">
      <c r="F31310" s="193"/>
    </row>
    <row r="31311" spans="6:6" x14ac:dyDescent="0.3">
      <c r="F31311" s="193"/>
    </row>
    <row r="31312" spans="6:6" x14ac:dyDescent="0.3">
      <c r="F31312" s="193"/>
    </row>
    <row r="31313" spans="6:6" x14ac:dyDescent="0.3">
      <c r="F31313" s="193"/>
    </row>
    <row r="31314" spans="6:6" x14ac:dyDescent="0.3">
      <c r="F31314" s="193"/>
    </row>
    <row r="31315" spans="6:6" x14ac:dyDescent="0.3">
      <c r="F31315" s="193"/>
    </row>
    <row r="31316" spans="6:6" x14ac:dyDescent="0.3">
      <c r="F31316" s="193"/>
    </row>
    <row r="31317" spans="6:6" x14ac:dyDescent="0.3">
      <c r="F31317" s="193"/>
    </row>
    <row r="31318" spans="6:6" x14ac:dyDescent="0.3">
      <c r="F31318" s="193"/>
    </row>
    <row r="31319" spans="6:6" x14ac:dyDescent="0.3">
      <c r="F31319" s="193"/>
    </row>
    <row r="31320" spans="6:6" x14ac:dyDescent="0.3">
      <c r="F31320" s="193"/>
    </row>
    <row r="31321" spans="6:6" x14ac:dyDescent="0.3">
      <c r="F31321" s="193"/>
    </row>
    <row r="31322" spans="6:6" x14ac:dyDescent="0.3">
      <c r="F31322" s="193"/>
    </row>
    <row r="31323" spans="6:6" x14ac:dyDescent="0.3">
      <c r="F31323" s="193"/>
    </row>
    <row r="31324" spans="6:6" x14ac:dyDescent="0.3">
      <c r="F31324" s="193"/>
    </row>
    <row r="31325" spans="6:6" x14ac:dyDescent="0.3">
      <c r="F31325" s="193"/>
    </row>
    <row r="31326" spans="6:6" x14ac:dyDescent="0.3">
      <c r="F31326" s="193"/>
    </row>
    <row r="31327" spans="6:6" x14ac:dyDescent="0.3">
      <c r="F31327" s="193"/>
    </row>
    <row r="31328" spans="6:6" x14ac:dyDescent="0.3">
      <c r="F31328" s="193"/>
    </row>
    <row r="31329" spans="6:6" x14ac:dyDescent="0.3">
      <c r="F31329" s="193"/>
    </row>
    <row r="31330" spans="6:6" x14ac:dyDescent="0.3">
      <c r="F31330" s="193"/>
    </row>
    <row r="31331" spans="6:6" x14ac:dyDescent="0.3">
      <c r="F31331" s="193"/>
    </row>
    <row r="31332" spans="6:6" x14ac:dyDescent="0.3">
      <c r="F31332" s="193"/>
    </row>
    <row r="31333" spans="6:6" x14ac:dyDescent="0.3">
      <c r="F31333" s="193"/>
    </row>
    <row r="31334" spans="6:6" x14ac:dyDescent="0.3">
      <c r="F31334" s="193"/>
    </row>
    <row r="31335" spans="6:6" x14ac:dyDescent="0.3">
      <c r="F31335" s="193"/>
    </row>
    <row r="31336" spans="6:6" x14ac:dyDescent="0.3">
      <c r="F31336" s="193"/>
    </row>
    <row r="31337" spans="6:6" x14ac:dyDescent="0.3">
      <c r="F31337" s="193"/>
    </row>
    <row r="31338" spans="6:6" x14ac:dyDescent="0.3">
      <c r="F31338" s="193"/>
    </row>
    <row r="31339" spans="6:6" x14ac:dyDescent="0.3">
      <c r="F31339" s="193"/>
    </row>
    <row r="31340" spans="6:6" x14ac:dyDescent="0.3">
      <c r="F31340" s="193"/>
    </row>
    <row r="31341" spans="6:6" x14ac:dyDescent="0.3">
      <c r="F31341" s="193"/>
    </row>
    <row r="31342" spans="6:6" x14ac:dyDescent="0.3">
      <c r="F31342" s="193"/>
    </row>
    <row r="31343" spans="6:6" x14ac:dyDescent="0.3">
      <c r="F31343" s="193"/>
    </row>
    <row r="31344" spans="6:6" x14ac:dyDescent="0.3">
      <c r="F31344" s="193"/>
    </row>
    <row r="31345" spans="6:6" x14ac:dyDescent="0.3">
      <c r="F31345" s="193"/>
    </row>
    <row r="31346" spans="6:6" x14ac:dyDescent="0.3">
      <c r="F31346" s="193"/>
    </row>
    <row r="31347" spans="6:6" x14ac:dyDescent="0.3">
      <c r="F31347" s="193"/>
    </row>
    <row r="31348" spans="6:6" x14ac:dyDescent="0.3">
      <c r="F31348" s="193"/>
    </row>
    <row r="31349" spans="6:6" x14ac:dyDescent="0.3">
      <c r="F31349" s="193"/>
    </row>
    <row r="31350" spans="6:6" x14ac:dyDescent="0.3">
      <c r="F31350" s="193"/>
    </row>
    <row r="31351" spans="6:6" x14ac:dyDescent="0.3">
      <c r="F31351" s="193"/>
    </row>
    <row r="31352" spans="6:6" x14ac:dyDescent="0.3">
      <c r="F31352" s="193"/>
    </row>
    <row r="31353" spans="6:6" x14ac:dyDescent="0.3">
      <c r="F31353" s="193"/>
    </row>
    <row r="31354" spans="6:6" x14ac:dyDescent="0.3">
      <c r="F31354" s="193"/>
    </row>
    <row r="31355" spans="6:6" x14ac:dyDescent="0.3">
      <c r="F31355" s="193"/>
    </row>
    <row r="31356" spans="6:6" x14ac:dyDescent="0.3">
      <c r="F31356" s="193"/>
    </row>
    <row r="31357" spans="6:6" x14ac:dyDescent="0.3">
      <c r="F31357" s="193"/>
    </row>
    <row r="31358" spans="6:6" x14ac:dyDescent="0.3">
      <c r="F31358" s="193"/>
    </row>
    <row r="31359" spans="6:6" x14ac:dyDescent="0.3">
      <c r="F31359" s="193"/>
    </row>
    <row r="31360" spans="6:6" x14ac:dyDescent="0.3">
      <c r="F31360" s="193"/>
    </row>
    <row r="31361" spans="6:6" x14ac:dyDescent="0.3">
      <c r="F31361" s="193"/>
    </row>
    <row r="31362" spans="6:6" x14ac:dyDescent="0.3">
      <c r="F31362" s="193"/>
    </row>
    <row r="31363" spans="6:6" x14ac:dyDescent="0.3">
      <c r="F31363" s="193"/>
    </row>
    <row r="31364" spans="6:6" x14ac:dyDescent="0.3">
      <c r="F31364" s="193"/>
    </row>
    <row r="31365" spans="6:6" x14ac:dyDescent="0.3">
      <c r="F31365" s="193"/>
    </row>
    <row r="31366" spans="6:6" x14ac:dyDescent="0.3">
      <c r="F31366" s="193"/>
    </row>
    <row r="31367" spans="6:6" x14ac:dyDescent="0.3">
      <c r="F31367" s="193"/>
    </row>
    <row r="31368" spans="6:6" x14ac:dyDescent="0.3">
      <c r="F31368" s="193"/>
    </row>
    <row r="31369" spans="6:6" x14ac:dyDescent="0.3">
      <c r="F31369" s="193"/>
    </row>
    <row r="31370" spans="6:6" x14ac:dyDescent="0.3">
      <c r="F31370" s="193"/>
    </row>
    <row r="31371" spans="6:6" x14ac:dyDescent="0.3">
      <c r="F31371" s="193"/>
    </row>
    <row r="31372" spans="6:6" x14ac:dyDescent="0.3">
      <c r="F31372" s="193"/>
    </row>
    <row r="31373" spans="6:6" x14ac:dyDescent="0.3">
      <c r="F31373" s="193"/>
    </row>
    <row r="31374" spans="6:6" x14ac:dyDescent="0.3">
      <c r="F31374" s="193"/>
    </row>
    <row r="31375" spans="6:6" x14ac:dyDescent="0.3">
      <c r="F31375" s="193"/>
    </row>
    <row r="31376" spans="6:6" x14ac:dyDescent="0.3">
      <c r="F31376" s="193"/>
    </row>
    <row r="31377" spans="6:6" x14ac:dyDescent="0.3">
      <c r="F31377" s="193"/>
    </row>
    <row r="31378" spans="6:6" x14ac:dyDescent="0.3">
      <c r="F31378" s="193"/>
    </row>
    <row r="31379" spans="6:6" x14ac:dyDescent="0.3">
      <c r="F31379" s="193"/>
    </row>
    <row r="31380" spans="6:6" x14ac:dyDescent="0.3">
      <c r="F31380" s="193"/>
    </row>
    <row r="31381" spans="6:6" x14ac:dyDescent="0.3">
      <c r="F31381" s="193"/>
    </row>
    <row r="31382" spans="6:6" x14ac:dyDescent="0.3">
      <c r="F31382" s="193"/>
    </row>
    <row r="31383" spans="6:6" x14ac:dyDescent="0.3">
      <c r="F31383" s="193"/>
    </row>
    <row r="31384" spans="6:6" x14ac:dyDescent="0.3">
      <c r="F31384" s="193"/>
    </row>
    <row r="31385" spans="6:6" x14ac:dyDescent="0.3">
      <c r="F31385" s="193"/>
    </row>
    <row r="31386" spans="6:6" x14ac:dyDescent="0.3">
      <c r="F31386" s="193"/>
    </row>
    <row r="31387" spans="6:6" x14ac:dyDescent="0.3">
      <c r="F31387" s="193"/>
    </row>
    <row r="31388" spans="6:6" x14ac:dyDescent="0.3">
      <c r="F31388" s="193"/>
    </row>
    <row r="31389" spans="6:6" x14ac:dyDescent="0.3">
      <c r="F31389" s="193"/>
    </row>
    <row r="31390" spans="6:6" x14ac:dyDescent="0.3">
      <c r="F31390" s="193"/>
    </row>
    <row r="31391" spans="6:6" x14ac:dyDescent="0.3">
      <c r="F31391" s="193"/>
    </row>
    <row r="31392" spans="6:6" x14ac:dyDescent="0.3">
      <c r="F31392" s="193"/>
    </row>
    <row r="31393" spans="6:6" x14ac:dyDescent="0.3">
      <c r="F31393" s="193"/>
    </row>
    <row r="31394" spans="6:6" x14ac:dyDescent="0.3">
      <c r="F31394" s="193"/>
    </row>
    <row r="31395" spans="6:6" x14ac:dyDescent="0.3">
      <c r="F31395" s="193"/>
    </row>
    <row r="31396" spans="6:6" x14ac:dyDescent="0.3">
      <c r="F31396" s="193"/>
    </row>
    <row r="31397" spans="6:6" x14ac:dyDescent="0.3">
      <c r="F31397" s="193"/>
    </row>
    <row r="31398" spans="6:6" x14ac:dyDescent="0.3">
      <c r="F31398" s="193"/>
    </row>
    <row r="31399" spans="6:6" x14ac:dyDescent="0.3">
      <c r="F31399" s="193"/>
    </row>
    <row r="31400" spans="6:6" x14ac:dyDescent="0.3">
      <c r="F31400" s="193"/>
    </row>
    <row r="31401" spans="6:6" x14ac:dyDescent="0.3">
      <c r="F31401" s="193"/>
    </row>
    <row r="31402" spans="6:6" x14ac:dyDescent="0.3">
      <c r="F31402" s="193"/>
    </row>
    <row r="31403" spans="6:6" x14ac:dyDescent="0.3">
      <c r="F31403" s="193"/>
    </row>
    <row r="31404" spans="6:6" x14ac:dyDescent="0.3">
      <c r="F31404" s="193"/>
    </row>
    <row r="31405" spans="6:6" x14ac:dyDescent="0.3">
      <c r="F31405" s="193"/>
    </row>
    <row r="31406" spans="6:6" x14ac:dyDescent="0.3">
      <c r="F31406" s="193"/>
    </row>
    <row r="31407" spans="6:6" x14ac:dyDescent="0.3">
      <c r="F31407" s="193"/>
    </row>
    <row r="31408" spans="6:6" x14ac:dyDescent="0.3">
      <c r="F31408" s="193"/>
    </row>
    <row r="31409" spans="6:6" x14ac:dyDescent="0.3">
      <c r="F31409" s="193"/>
    </row>
    <row r="31410" spans="6:6" x14ac:dyDescent="0.3">
      <c r="F31410" s="193"/>
    </row>
    <row r="31411" spans="6:6" x14ac:dyDescent="0.3">
      <c r="F31411" s="193"/>
    </row>
    <row r="31412" spans="6:6" x14ac:dyDescent="0.3">
      <c r="F31412" s="193"/>
    </row>
    <row r="31413" spans="6:6" x14ac:dyDescent="0.3">
      <c r="F31413" s="193"/>
    </row>
    <row r="31414" spans="6:6" x14ac:dyDescent="0.3">
      <c r="F31414" s="193"/>
    </row>
    <row r="31415" spans="6:6" x14ac:dyDescent="0.3">
      <c r="F31415" s="193"/>
    </row>
    <row r="31416" spans="6:6" x14ac:dyDescent="0.3">
      <c r="F31416" s="193"/>
    </row>
    <row r="31417" spans="6:6" x14ac:dyDescent="0.3">
      <c r="F31417" s="193"/>
    </row>
    <row r="31418" spans="6:6" x14ac:dyDescent="0.3">
      <c r="F31418" s="193"/>
    </row>
    <row r="31419" spans="6:6" x14ac:dyDescent="0.3">
      <c r="F31419" s="193"/>
    </row>
    <row r="31420" spans="6:6" x14ac:dyDescent="0.3">
      <c r="F31420" s="193"/>
    </row>
    <row r="31421" spans="6:6" x14ac:dyDescent="0.3">
      <c r="F31421" s="193"/>
    </row>
    <row r="31422" spans="6:6" x14ac:dyDescent="0.3">
      <c r="F31422" s="193"/>
    </row>
    <row r="31423" spans="6:6" x14ac:dyDescent="0.3">
      <c r="F31423" s="193"/>
    </row>
    <row r="31424" spans="6:6" x14ac:dyDescent="0.3">
      <c r="F31424" s="193"/>
    </row>
    <row r="31425" spans="6:6" x14ac:dyDescent="0.3">
      <c r="F31425" s="193"/>
    </row>
    <row r="31426" spans="6:6" x14ac:dyDescent="0.3">
      <c r="F31426" s="193"/>
    </row>
    <row r="31427" spans="6:6" x14ac:dyDescent="0.3">
      <c r="F31427" s="193"/>
    </row>
    <row r="31428" spans="6:6" x14ac:dyDescent="0.3">
      <c r="F31428" s="193"/>
    </row>
    <row r="31429" spans="6:6" x14ac:dyDescent="0.3">
      <c r="F31429" s="193"/>
    </row>
    <row r="31430" spans="6:6" x14ac:dyDescent="0.3">
      <c r="F31430" s="193"/>
    </row>
    <row r="31431" spans="6:6" x14ac:dyDescent="0.3">
      <c r="F31431" s="193"/>
    </row>
    <row r="31432" spans="6:6" x14ac:dyDescent="0.3">
      <c r="F31432" s="193"/>
    </row>
    <row r="31433" spans="6:6" x14ac:dyDescent="0.3">
      <c r="F31433" s="193"/>
    </row>
    <row r="31434" spans="6:6" x14ac:dyDescent="0.3">
      <c r="F31434" s="193"/>
    </row>
    <row r="31435" spans="6:6" x14ac:dyDescent="0.3">
      <c r="F31435" s="193"/>
    </row>
    <row r="31436" spans="6:6" x14ac:dyDescent="0.3">
      <c r="F31436" s="193"/>
    </row>
    <row r="31437" spans="6:6" x14ac:dyDescent="0.3">
      <c r="F31437" s="193"/>
    </row>
    <row r="31438" spans="6:6" x14ac:dyDescent="0.3">
      <c r="F31438" s="193"/>
    </row>
    <row r="31439" spans="6:6" x14ac:dyDescent="0.3">
      <c r="F31439" s="193"/>
    </row>
    <row r="31440" spans="6:6" x14ac:dyDescent="0.3">
      <c r="F31440" s="193"/>
    </row>
    <row r="31441" spans="6:6" x14ac:dyDescent="0.3">
      <c r="F31441" s="193"/>
    </row>
    <row r="31442" spans="6:6" x14ac:dyDescent="0.3">
      <c r="F31442" s="193"/>
    </row>
    <row r="31443" spans="6:6" x14ac:dyDescent="0.3">
      <c r="F31443" s="193"/>
    </row>
    <row r="31444" spans="6:6" x14ac:dyDescent="0.3">
      <c r="F31444" s="193"/>
    </row>
    <row r="31445" spans="6:6" x14ac:dyDescent="0.3">
      <c r="F31445" s="193"/>
    </row>
    <row r="31446" spans="6:6" x14ac:dyDescent="0.3">
      <c r="F31446" s="193"/>
    </row>
    <row r="31447" spans="6:6" x14ac:dyDescent="0.3">
      <c r="F31447" s="193"/>
    </row>
    <row r="31448" spans="6:6" x14ac:dyDescent="0.3">
      <c r="F31448" s="193"/>
    </row>
    <row r="31449" spans="6:6" x14ac:dyDescent="0.3">
      <c r="F31449" s="193"/>
    </row>
    <row r="31450" spans="6:6" x14ac:dyDescent="0.3">
      <c r="F31450" s="193"/>
    </row>
    <row r="31451" spans="6:6" x14ac:dyDescent="0.3">
      <c r="F31451" s="193"/>
    </row>
    <row r="31452" spans="6:6" x14ac:dyDescent="0.3">
      <c r="F31452" s="193"/>
    </row>
    <row r="31453" spans="6:6" x14ac:dyDescent="0.3">
      <c r="F31453" s="193"/>
    </row>
    <row r="31454" spans="6:6" x14ac:dyDescent="0.3">
      <c r="F31454" s="193"/>
    </row>
    <row r="31455" spans="6:6" x14ac:dyDescent="0.3">
      <c r="F31455" s="193"/>
    </row>
    <row r="31456" spans="6:6" x14ac:dyDescent="0.3">
      <c r="F31456" s="193"/>
    </row>
    <row r="31457" spans="6:6" x14ac:dyDescent="0.3">
      <c r="F31457" s="193"/>
    </row>
    <row r="31458" spans="6:6" x14ac:dyDescent="0.3">
      <c r="F31458" s="193"/>
    </row>
    <row r="31459" spans="6:6" x14ac:dyDescent="0.3">
      <c r="F31459" s="193"/>
    </row>
    <row r="31460" spans="6:6" x14ac:dyDescent="0.3">
      <c r="F31460" s="193"/>
    </row>
    <row r="31461" spans="6:6" x14ac:dyDescent="0.3">
      <c r="F31461" s="193"/>
    </row>
    <row r="31462" spans="6:6" x14ac:dyDescent="0.3">
      <c r="F31462" s="193"/>
    </row>
    <row r="31463" spans="6:6" x14ac:dyDescent="0.3">
      <c r="F31463" s="193"/>
    </row>
    <row r="31464" spans="6:6" x14ac:dyDescent="0.3">
      <c r="F31464" s="193"/>
    </row>
    <row r="31465" spans="6:6" x14ac:dyDescent="0.3">
      <c r="F31465" s="193"/>
    </row>
    <row r="31466" spans="6:6" x14ac:dyDescent="0.3">
      <c r="F31466" s="193"/>
    </row>
    <row r="31467" spans="6:6" x14ac:dyDescent="0.3">
      <c r="F31467" s="193"/>
    </row>
    <row r="31468" spans="6:6" x14ac:dyDescent="0.3">
      <c r="F31468" s="193"/>
    </row>
    <row r="31469" spans="6:6" x14ac:dyDescent="0.3">
      <c r="F31469" s="193"/>
    </row>
    <row r="31470" spans="6:6" x14ac:dyDescent="0.3">
      <c r="F31470" s="193"/>
    </row>
    <row r="31471" spans="6:6" x14ac:dyDescent="0.3">
      <c r="F31471" s="193"/>
    </row>
    <row r="31472" spans="6:6" x14ac:dyDescent="0.3">
      <c r="F31472" s="193"/>
    </row>
    <row r="31473" spans="6:6" x14ac:dyDescent="0.3">
      <c r="F31473" s="193"/>
    </row>
    <row r="31474" spans="6:6" x14ac:dyDescent="0.3">
      <c r="F31474" s="193"/>
    </row>
    <row r="31475" spans="6:6" x14ac:dyDescent="0.3">
      <c r="F31475" s="193"/>
    </row>
    <row r="31476" spans="6:6" x14ac:dyDescent="0.3">
      <c r="F31476" s="193"/>
    </row>
    <row r="31477" spans="6:6" x14ac:dyDescent="0.3">
      <c r="F31477" s="193"/>
    </row>
    <row r="31478" spans="6:6" x14ac:dyDescent="0.3">
      <c r="F31478" s="193"/>
    </row>
    <row r="31479" spans="6:6" x14ac:dyDescent="0.3">
      <c r="F31479" s="193"/>
    </row>
    <row r="31480" spans="6:6" x14ac:dyDescent="0.3">
      <c r="F31480" s="193"/>
    </row>
    <row r="31481" spans="6:6" x14ac:dyDescent="0.3">
      <c r="F31481" s="193"/>
    </row>
    <row r="31482" spans="6:6" x14ac:dyDescent="0.3">
      <c r="F31482" s="193"/>
    </row>
    <row r="31483" spans="6:6" x14ac:dyDescent="0.3">
      <c r="F31483" s="193"/>
    </row>
    <row r="31484" spans="6:6" x14ac:dyDescent="0.3">
      <c r="F31484" s="193"/>
    </row>
    <row r="31485" spans="6:6" x14ac:dyDescent="0.3">
      <c r="F31485" s="193"/>
    </row>
    <row r="31486" spans="6:6" x14ac:dyDescent="0.3">
      <c r="F31486" s="193"/>
    </row>
    <row r="31487" spans="6:6" x14ac:dyDescent="0.3">
      <c r="F31487" s="193"/>
    </row>
    <row r="31488" spans="6:6" x14ac:dyDescent="0.3">
      <c r="F31488" s="193"/>
    </row>
    <row r="31489" spans="6:6" x14ac:dyDescent="0.3">
      <c r="F31489" s="193"/>
    </row>
    <row r="31490" spans="6:6" x14ac:dyDescent="0.3">
      <c r="F31490" s="193"/>
    </row>
    <row r="31491" spans="6:6" x14ac:dyDescent="0.3">
      <c r="F31491" s="193"/>
    </row>
    <row r="31492" spans="6:6" x14ac:dyDescent="0.3">
      <c r="F31492" s="193"/>
    </row>
    <row r="31493" spans="6:6" x14ac:dyDescent="0.3">
      <c r="F31493" s="193"/>
    </row>
    <row r="31494" spans="6:6" x14ac:dyDescent="0.3">
      <c r="F31494" s="193"/>
    </row>
    <row r="31495" spans="6:6" x14ac:dyDescent="0.3">
      <c r="F31495" s="193"/>
    </row>
    <row r="31496" spans="6:6" x14ac:dyDescent="0.3">
      <c r="F31496" s="193"/>
    </row>
    <row r="31497" spans="6:6" x14ac:dyDescent="0.3">
      <c r="F31497" s="193"/>
    </row>
    <row r="31498" spans="6:6" x14ac:dyDescent="0.3">
      <c r="F31498" s="193"/>
    </row>
    <row r="31499" spans="6:6" x14ac:dyDescent="0.3">
      <c r="F31499" s="193"/>
    </row>
    <row r="31500" spans="6:6" x14ac:dyDescent="0.3">
      <c r="F31500" s="193"/>
    </row>
    <row r="31501" spans="6:6" x14ac:dyDescent="0.3">
      <c r="F31501" s="193"/>
    </row>
    <row r="31502" spans="6:6" x14ac:dyDescent="0.3">
      <c r="F31502" s="193"/>
    </row>
    <row r="31503" spans="6:6" x14ac:dyDescent="0.3">
      <c r="F31503" s="193"/>
    </row>
    <row r="31504" spans="6:6" x14ac:dyDescent="0.3">
      <c r="F31504" s="193"/>
    </row>
    <row r="31505" spans="6:6" x14ac:dyDescent="0.3">
      <c r="F31505" s="193"/>
    </row>
    <row r="31506" spans="6:6" x14ac:dyDescent="0.3">
      <c r="F31506" s="193"/>
    </row>
    <row r="31507" spans="6:6" x14ac:dyDescent="0.3">
      <c r="F31507" s="193"/>
    </row>
    <row r="31508" spans="6:6" x14ac:dyDescent="0.3">
      <c r="F31508" s="193"/>
    </row>
    <row r="31509" spans="6:6" x14ac:dyDescent="0.3">
      <c r="F31509" s="193"/>
    </row>
    <row r="31510" spans="6:6" x14ac:dyDescent="0.3">
      <c r="F31510" s="193"/>
    </row>
    <row r="31511" spans="6:6" x14ac:dyDescent="0.3">
      <c r="F31511" s="193"/>
    </row>
    <row r="31512" spans="6:6" x14ac:dyDescent="0.3">
      <c r="F31512" s="193"/>
    </row>
    <row r="31513" spans="6:6" x14ac:dyDescent="0.3">
      <c r="F31513" s="193"/>
    </row>
    <row r="31514" spans="6:6" x14ac:dyDescent="0.3">
      <c r="F31514" s="193"/>
    </row>
    <row r="31515" spans="6:6" x14ac:dyDescent="0.3">
      <c r="F31515" s="193"/>
    </row>
    <row r="31516" spans="6:6" x14ac:dyDescent="0.3">
      <c r="F31516" s="193"/>
    </row>
    <row r="31517" spans="6:6" x14ac:dyDescent="0.3">
      <c r="F31517" s="193"/>
    </row>
    <row r="31518" spans="6:6" x14ac:dyDescent="0.3">
      <c r="F31518" s="193"/>
    </row>
    <row r="31519" spans="6:6" x14ac:dyDescent="0.3">
      <c r="F31519" s="193"/>
    </row>
    <row r="31520" spans="6:6" x14ac:dyDescent="0.3">
      <c r="F31520" s="193"/>
    </row>
    <row r="31521" spans="6:6" x14ac:dyDescent="0.3">
      <c r="F31521" s="193"/>
    </row>
    <row r="31522" spans="6:6" x14ac:dyDescent="0.3">
      <c r="F31522" s="193"/>
    </row>
    <row r="31523" spans="6:6" x14ac:dyDescent="0.3">
      <c r="F31523" s="193"/>
    </row>
    <row r="31524" spans="6:6" x14ac:dyDescent="0.3">
      <c r="F31524" s="193"/>
    </row>
    <row r="31525" spans="6:6" x14ac:dyDescent="0.3">
      <c r="F31525" s="193"/>
    </row>
    <row r="31526" spans="6:6" x14ac:dyDescent="0.3">
      <c r="F31526" s="193"/>
    </row>
    <row r="31527" spans="6:6" x14ac:dyDescent="0.3">
      <c r="F31527" s="193"/>
    </row>
    <row r="31528" spans="6:6" x14ac:dyDescent="0.3">
      <c r="F31528" s="193"/>
    </row>
    <row r="31529" spans="6:6" x14ac:dyDescent="0.3">
      <c r="F31529" s="193"/>
    </row>
    <row r="31530" spans="6:6" x14ac:dyDescent="0.3">
      <c r="F31530" s="193"/>
    </row>
    <row r="31531" spans="6:6" x14ac:dyDescent="0.3">
      <c r="F31531" s="193"/>
    </row>
    <row r="31532" spans="6:6" x14ac:dyDescent="0.3">
      <c r="F31532" s="193"/>
    </row>
    <row r="31533" spans="6:6" x14ac:dyDescent="0.3">
      <c r="F31533" s="193"/>
    </row>
    <row r="31534" spans="6:6" x14ac:dyDescent="0.3">
      <c r="F31534" s="193"/>
    </row>
    <row r="31535" spans="6:6" x14ac:dyDescent="0.3">
      <c r="F31535" s="193"/>
    </row>
    <row r="31536" spans="6:6" x14ac:dyDescent="0.3">
      <c r="F31536" s="193"/>
    </row>
    <row r="31537" spans="6:6" x14ac:dyDescent="0.3">
      <c r="F31537" s="193"/>
    </row>
    <row r="31538" spans="6:6" x14ac:dyDescent="0.3">
      <c r="F31538" s="193"/>
    </row>
    <row r="31539" spans="6:6" x14ac:dyDescent="0.3">
      <c r="F31539" s="193"/>
    </row>
    <row r="31540" spans="6:6" x14ac:dyDescent="0.3">
      <c r="F31540" s="193"/>
    </row>
    <row r="31541" spans="6:6" x14ac:dyDescent="0.3">
      <c r="F31541" s="193"/>
    </row>
    <row r="31542" spans="6:6" x14ac:dyDescent="0.3">
      <c r="F31542" s="193"/>
    </row>
    <row r="31543" spans="6:6" x14ac:dyDescent="0.3">
      <c r="F31543" s="193"/>
    </row>
    <row r="31544" spans="6:6" x14ac:dyDescent="0.3">
      <c r="F31544" s="193"/>
    </row>
    <row r="31545" spans="6:6" x14ac:dyDescent="0.3">
      <c r="F31545" s="193"/>
    </row>
    <row r="31546" spans="6:6" x14ac:dyDescent="0.3">
      <c r="F31546" s="193"/>
    </row>
    <row r="31547" spans="6:6" x14ac:dyDescent="0.3">
      <c r="F31547" s="193"/>
    </row>
    <row r="31548" spans="6:6" x14ac:dyDescent="0.3">
      <c r="F31548" s="193"/>
    </row>
    <row r="31549" spans="6:6" x14ac:dyDescent="0.3">
      <c r="F31549" s="193"/>
    </row>
    <row r="31550" spans="6:6" x14ac:dyDescent="0.3">
      <c r="F31550" s="193"/>
    </row>
    <row r="31551" spans="6:6" x14ac:dyDescent="0.3">
      <c r="F31551" s="193"/>
    </row>
    <row r="31552" spans="6:6" x14ac:dyDescent="0.3">
      <c r="F31552" s="193"/>
    </row>
    <row r="31553" spans="6:6" x14ac:dyDescent="0.3">
      <c r="F31553" s="193"/>
    </row>
    <row r="31554" spans="6:6" x14ac:dyDescent="0.3">
      <c r="F31554" s="193"/>
    </row>
    <row r="31555" spans="6:6" x14ac:dyDescent="0.3">
      <c r="F31555" s="193"/>
    </row>
    <row r="31556" spans="6:6" x14ac:dyDescent="0.3">
      <c r="F31556" s="193"/>
    </row>
    <row r="31557" spans="6:6" x14ac:dyDescent="0.3">
      <c r="F31557" s="193"/>
    </row>
    <row r="31558" spans="6:6" x14ac:dyDescent="0.3">
      <c r="F31558" s="193"/>
    </row>
    <row r="31559" spans="6:6" x14ac:dyDescent="0.3">
      <c r="F31559" s="193"/>
    </row>
    <row r="31560" spans="6:6" x14ac:dyDescent="0.3">
      <c r="F31560" s="193"/>
    </row>
    <row r="31561" spans="6:6" x14ac:dyDescent="0.3">
      <c r="F31561" s="193"/>
    </row>
    <row r="31562" spans="6:6" x14ac:dyDescent="0.3">
      <c r="F31562" s="193"/>
    </row>
    <row r="31563" spans="6:6" x14ac:dyDescent="0.3">
      <c r="F31563" s="193"/>
    </row>
    <row r="31564" spans="6:6" x14ac:dyDescent="0.3">
      <c r="F31564" s="193"/>
    </row>
    <row r="31565" spans="6:6" x14ac:dyDescent="0.3">
      <c r="F31565" s="193"/>
    </row>
    <row r="31566" spans="6:6" x14ac:dyDescent="0.3">
      <c r="F31566" s="193"/>
    </row>
    <row r="31567" spans="6:6" x14ac:dyDescent="0.3">
      <c r="F31567" s="193"/>
    </row>
    <row r="31568" spans="6:6" x14ac:dyDescent="0.3">
      <c r="F31568" s="193"/>
    </row>
    <row r="31569" spans="6:6" x14ac:dyDescent="0.3">
      <c r="F31569" s="193"/>
    </row>
    <row r="31570" spans="6:6" x14ac:dyDescent="0.3">
      <c r="F31570" s="193"/>
    </row>
    <row r="31571" spans="6:6" x14ac:dyDescent="0.3">
      <c r="F31571" s="193"/>
    </row>
    <row r="31572" spans="6:6" x14ac:dyDescent="0.3">
      <c r="F31572" s="193"/>
    </row>
    <row r="31573" spans="6:6" x14ac:dyDescent="0.3">
      <c r="F31573" s="193"/>
    </row>
    <row r="31574" spans="6:6" x14ac:dyDescent="0.3">
      <c r="F31574" s="193"/>
    </row>
    <row r="31575" spans="6:6" x14ac:dyDescent="0.3">
      <c r="F31575" s="193"/>
    </row>
    <row r="31576" spans="6:6" x14ac:dyDescent="0.3">
      <c r="F31576" s="193"/>
    </row>
    <row r="31577" spans="6:6" x14ac:dyDescent="0.3">
      <c r="F31577" s="193"/>
    </row>
    <row r="31578" spans="6:6" x14ac:dyDescent="0.3">
      <c r="F31578" s="193"/>
    </row>
    <row r="31579" spans="6:6" x14ac:dyDescent="0.3">
      <c r="F31579" s="193"/>
    </row>
    <row r="31580" spans="6:6" x14ac:dyDescent="0.3">
      <c r="F31580" s="193"/>
    </row>
    <row r="31581" spans="6:6" x14ac:dyDescent="0.3">
      <c r="F31581" s="193"/>
    </row>
    <row r="31582" spans="6:6" x14ac:dyDescent="0.3">
      <c r="F31582" s="193"/>
    </row>
    <row r="31583" spans="6:6" x14ac:dyDescent="0.3">
      <c r="F31583" s="193"/>
    </row>
    <row r="31584" spans="6:6" x14ac:dyDescent="0.3">
      <c r="F31584" s="193"/>
    </row>
    <row r="31585" spans="6:6" x14ac:dyDescent="0.3">
      <c r="F31585" s="193"/>
    </row>
    <row r="31586" spans="6:6" x14ac:dyDescent="0.3">
      <c r="F31586" s="193"/>
    </row>
    <row r="31587" spans="6:6" x14ac:dyDescent="0.3">
      <c r="F31587" s="193"/>
    </row>
    <row r="31588" spans="6:6" x14ac:dyDescent="0.3">
      <c r="F31588" s="193"/>
    </row>
    <row r="31589" spans="6:6" x14ac:dyDescent="0.3">
      <c r="F31589" s="193"/>
    </row>
    <row r="31590" spans="6:6" x14ac:dyDescent="0.3">
      <c r="F31590" s="193"/>
    </row>
    <row r="31591" spans="6:6" x14ac:dyDescent="0.3">
      <c r="F31591" s="193"/>
    </row>
    <row r="31592" spans="6:6" x14ac:dyDescent="0.3">
      <c r="F31592" s="193"/>
    </row>
    <row r="31593" spans="6:6" x14ac:dyDescent="0.3">
      <c r="F31593" s="193"/>
    </row>
    <row r="31594" spans="6:6" x14ac:dyDescent="0.3">
      <c r="F31594" s="193"/>
    </row>
    <row r="31595" spans="6:6" x14ac:dyDescent="0.3">
      <c r="F31595" s="193"/>
    </row>
    <row r="31596" spans="6:6" x14ac:dyDescent="0.3">
      <c r="F31596" s="193"/>
    </row>
    <row r="31597" spans="6:6" x14ac:dyDescent="0.3">
      <c r="F31597" s="193"/>
    </row>
    <row r="31598" spans="6:6" x14ac:dyDescent="0.3">
      <c r="F31598" s="193"/>
    </row>
    <row r="31599" spans="6:6" x14ac:dyDescent="0.3">
      <c r="F31599" s="193"/>
    </row>
    <row r="31600" spans="6:6" x14ac:dyDescent="0.3">
      <c r="F31600" s="193"/>
    </row>
    <row r="31601" spans="6:6" x14ac:dyDescent="0.3">
      <c r="F31601" s="193"/>
    </row>
    <row r="31602" spans="6:6" x14ac:dyDescent="0.3">
      <c r="F31602" s="193"/>
    </row>
    <row r="31603" spans="6:6" x14ac:dyDescent="0.3">
      <c r="F31603" s="193"/>
    </row>
    <row r="31604" spans="6:6" x14ac:dyDescent="0.3">
      <c r="F31604" s="193"/>
    </row>
    <row r="31605" spans="6:6" x14ac:dyDescent="0.3">
      <c r="F31605" s="193"/>
    </row>
    <row r="31606" spans="6:6" x14ac:dyDescent="0.3">
      <c r="F31606" s="193"/>
    </row>
    <row r="31607" spans="6:6" x14ac:dyDescent="0.3">
      <c r="F31607" s="193"/>
    </row>
    <row r="31608" spans="6:6" x14ac:dyDescent="0.3">
      <c r="F31608" s="193"/>
    </row>
    <row r="31609" spans="6:6" x14ac:dyDescent="0.3">
      <c r="F31609" s="193"/>
    </row>
    <row r="31610" spans="6:6" x14ac:dyDescent="0.3">
      <c r="F31610" s="193"/>
    </row>
    <row r="31611" spans="6:6" x14ac:dyDescent="0.3">
      <c r="F31611" s="193"/>
    </row>
    <row r="31612" spans="6:6" x14ac:dyDescent="0.3">
      <c r="F31612" s="193"/>
    </row>
    <row r="31613" spans="6:6" x14ac:dyDescent="0.3">
      <c r="F31613" s="193"/>
    </row>
    <row r="31614" spans="6:6" x14ac:dyDescent="0.3">
      <c r="F31614" s="193"/>
    </row>
    <row r="31615" spans="6:6" x14ac:dyDescent="0.3">
      <c r="F31615" s="193"/>
    </row>
    <row r="31616" spans="6:6" x14ac:dyDescent="0.3">
      <c r="F31616" s="193"/>
    </row>
    <row r="31617" spans="6:6" x14ac:dyDescent="0.3">
      <c r="F31617" s="193"/>
    </row>
    <row r="31618" spans="6:6" x14ac:dyDescent="0.3">
      <c r="F31618" s="193"/>
    </row>
    <row r="31619" spans="6:6" x14ac:dyDescent="0.3">
      <c r="F31619" s="193"/>
    </row>
    <row r="31620" spans="6:6" x14ac:dyDescent="0.3">
      <c r="F31620" s="193"/>
    </row>
    <row r="31621" spans="6:6" x14ac:dyDescent="0.3">
      <c r="F31621" s="193"/>
    </row>
    <row r="31622" spans="6:6" x14ac:dyDescent="0.3">
      <c r="F31622" s="193"/>
    </row>
    <row r="31623" spans="6:6" x14ac:dyDescent="0.3">
      <c r="F31623" s="193"/>
    </row>
    <row r="31624" spans="6:6" x14ac:dyDescent="0.3">
      <c r="F31624" s="193"/>
    </row>
    <row r="31625" spans="6:6" x14ac:dyDescent="0.3">
      <c r="F31625" s="193"/>
    </row>
    <row r="31626" spans="6:6" x14ac:dyDescent="0.3">
      <c r="F31626" s="193"/>
    </row>
    <row r="31627" spans="6:6" x14ac:dyDescent="0.3">
      <c r="F31627" s="193"/>
    </row>
    <row r="31628" spans="6:6" x14ac:dyDescent="0.3">
      <c r="F31628" s="193"/>
    </row>
    <row r="31629" spans="6:6" x14ac:dyDescent="0.3">
      <c r="F31629" s="193"/>
    </row>
    <row r="31630" spans="6:6" x14ac:dyDescent="0.3">
      <c r="F31630" s="193"/>
    </row>
    <row r="31631" spans="6:6" x14ac:dyDescent="0.3">
      <c r="F31631" s="193"/>
    </row>
    <row r="31632" spans="6:6" x14ac:dyDescent="0.3">
      <c r="F31632" s="193"/>
    </row>
    <row r="31633" spans="6:6" x14ac:dyDescent="0.3">
      <c r="F31633" s="193"/>
    </row>
    <row r="31634" spans="6:6" x14ac:dyDescent="0.3">
      <c r="F31634" s="193"/>
    </row>
    <row r="31635" spans="6:6" x14ac:dyDescent="0.3">
      <c r="F31635" s="193"/>
    </row>
    <row r="31636" spans="6:6" x14ac:dyDescent="0.3">
      <c r="F31636" s="193"/>
    </row>
    <row r="31637" spans="6:6" x14ac:dyDescent="0.3">
      <c r="F31637" s="193"/>
    </row>
    <row r="31638" spans="6:6" x14ac:dyDescent="0.3">
      <c r="F31638" s="193"/>
    </row>
    <row r="31639" spans="6:6" x14ac:dyDescent="0.3">
      <c r="F31639" s="193"/>
    </row>
    <row r="31640" spans="6:6" x14ac:dyDescent="0.3">
      <c r="F31640" s="193"/>
    </row>
    <row r="31641" spans="6:6" x14ac:dyDescent="0.3">
      <c r="F31641" s="193"/>
    </row>
    <row r="31642" spans="6:6" x14ac:dyDescent="0.3">
      <c r="F31642" s="193"/>
    </row>
    <row r="31643" spans="6:6" x14ac:dyDescent="0.3">
      <c r="F31643" s="193"/>
    </row>
    <row r="31644" spans="6:6" x14ac:dyDescent="0.3">
      <c r="F31644" s="193"/>
    </row>
    <row r="31645" spans="6:6" x14ac:dyDescent="0.3">
      <c r="F31645" s="193"/>
    </row>
    <row r="31646" spans="6:6" x14ac:dyDescent="0.3">
      <c r="F31646" s="193"/>
    </row>
    <row r="31647" spans="6:6" x14ac:dyDescent="0.3">
      <c r="F31647" s="193"/>
    </row>
    <row r="31648" spans="6:6" x14ac:dyDescent="0.3">
      <c r="F31648" s="193"/>
    </row>
    <row r="31649" spans="6:6" x14ac:dyDescent="0.3">
      <c r="F31649" s="193"/>
    </row>
    <row r="31650" spans="6:6" x14ac:dyDescent="0.3">
      <c r="F31650" s="193"/>
    </row>
    <row r="31651" spans="6:6" x14ac:dyDescent="0.3">
      <c r="F31651" s="193"/>
    </row>
    <row r="31652" spans="6:6" x14ac:dyDescent="0.3">
      <c r="F31652" s="193"/>
    </row>
    <row r="31653" spans="6:6" x14ac:dyDescent="0.3">
      <c r="F31653" s="193"/>
    </row>
    <row r="31654" spans="6:6" x14ac:dyDescent="0.3">
      <c r="F31654" s="193"/>
    </row>
    <row r="31655" spans="6:6" x14ac:dyDescent="0.3">
      <c r="F31655" s="193"/>
    </row>
    <row r="31656" spans="6:6" x14ac:dyDescent="0.3">
      <c r="F31656" s="193"/>
    </row>
    <row r="31657" spans="6:6" x14ac:dyDescent="0.3">
      <c r="F31657" s="193"/>
    </row>
    <row r="31658" spans="6:6" x14ac:dyDescent="0.3">
      <c r="F31658" s="193"/>
    </row>
    <row r="31659" spans="6:6" x14ac:dyDescent="0.3">
      <c r="F31659" s="193"/>
    </row>
    <row r="31660" spans="6:6" x14ac:dyDescent="0.3">
      <c r="F31660" s="193"/>
    </row>
    <row r="31661" spans="6:6" x14ac:dyDescent="0.3">
      <c r="F31661" s="193"/>
    </row>
    <row r="31662" spans="6:6" x14ac:dyDescent="0.3">
      <c r="F31662" s="193"/>
    </row>
    <row r="31663" spans="6:6" x14ac:dyDescent="0.3">
      <c r="F31663" s="193"/>
    </row>
    <row r="31664" spans="6:6" x14ac:dyDescent="0.3">
      <c r="F31664" s="193"/>
    </row>
    <row r="31665" spans="6:6" x14ac:dyDescent="0.3">
      <c r="F31665" s="193"/>
    </row>
    <row r="31666" spans="6:6" x14ac:dyDescent="0.3">
      <c r="F31666" s="193"/>
    </row>
    <row r="31667" spans="6:6" x14ac:dyDescent="0.3">
      <c r="F31667" s="193"/>
    </row>
    <row r="31668" spans="6:6" x14ac:dyDescent="0.3">
      <c r="F31668" s="193"/>
    </row>
    <row r="31669" spans="6:6" x14ac:dyDescent="0.3">
      <c r="F31669" s="193"/>
    </row>
    <row r="31670" spans="6:6" x14ac:dyDescent="0.3">
      <c r="F31670" s="193"/>
    </row>
    <row r="31671" spans="6:6" x14ac:dyDescent="0.3">
      <c r="F31671" s="193"/>
    </row>
    <row r="31672" spans="6:6" x14ac:dyDescent="0.3">
      <c r="F31672" s="193"/>
    </row>
    <row r="31673" spans="6:6" x14ac:dyDescent="0.3">
      <c r="F31673" s="193"/>
    </row>
    <row r="31674" spans="6:6" x14ac:dyDescent="0.3">
      <c r="F31674" s="193"/>
    </row>
    <row r="31675" spans="6:6" x14ac:dyDescent="0.3">
      <c r="F31675" s="193"/>
    </row>
    <row r="31676" spans="6:6" x14ac:dyDescent="0.3">
      <c r="F31676" s="193"/>
    </row>
    <row r="31677" spans="6:6" x14ac:dyDescent="0.3">
      <c r="F31677" s="193"/>
    </row>
    <row r="31678" spans="6:6" x14ac:dyDescent="0.3">
      <c r="F31678" s="193"/>
    </row>
    <row r="31679" spans="6:6" x14ac:dyDescent="0.3">
      <c r="F31679" s="193"/>
    </row>
    <row r="31680" spans="6:6" x14ac:dyDescent="0.3">
      <c r="F31680" s="193"/>
    </row>
    <row r="31681" spans="6:6" x14ac:dyDescent="0.3">
      <c r="F31681" s="193"/>
    </row>
    <row r="31682" spans="6:6" x14ac:dyDescent="0.3">
      <c r="F31682" s="193"/>
    </row>
    <row r="31683" spans="6:6" x14ac:dyDescent="0.3">
      <c r="F31683" s="193"/>
    </row>
    <row r="31684" spans="6:6" x14ac:dyDescent="0.3">
      <c r="F31684" s="193"/>
    </row>
    <row r="31685" spans="6:6" x14ac:dyDescent="0.3">
      <c r="F31685" s="193"/>
    </row>
    <row r="31686" spans="6:6" x14ac:dyDescent="0.3">
      <c r="F31686" s="193"/>
    </row>
    <row r="31687" spans="6:6" x14ac:dyDescent="0.3">
      <c r="F31687" s="193"/>
    </row>
    <row r="31688" spans="6:6" x14ac:dyDescent="0.3">
      <c r="F31688" s="193"/>
    </row>
    <row r="31689" spans="6:6" x14ac:dyDescent="0.3">
      <c r="F31689" s="193"/>
    </row>
    <row r="31690" spans="6:6" x14ac:dyDescent="0.3">
      <c r="F31690" s="193"/>
    </row>
    <row r="31691" spans="6:6" x14ac:dyDescent="0.3">
      <c r="F31691" s="193"/>
    </row>
    <row r="31692" spans="6:6" x14ac:dyDescent="0.3">
      <c r="F31692" s="193"/>
    </row>
    <row r="31693" spans="6:6" x14ac:dyDescent="0.3">
      <c r="F31693" s="193"/>
    </row>
    <row r="31694" spans="6:6" x14ac:dyDescent="0.3">
      <c r="F31694" s="193"/>
    </row>
    <row r="31695" spans="6:6" x14ac:dyDescent="0.3">
      <c r="F31695" s="193"/>
    </row>
    <row r="31696" spans="6:6" x14ac:dyDescent="0.3">
      <c r="F31696" s="193"/>
    </row>
    <row r="31697" spans="6:6" x14ac:dyDescent="0.3">
      <c r="F31697" s="193"/>
    </row>
    <row r="31698" spans="6:6" x14ac:dyDescent="0.3">
      <c r="F31698" s="193"/>
    </row>
    <row r="31699" spans="6:6" x14ac:dyDescent="0.3">
      <c r="F31699" s="193"/>
    </row>
    <row r="31700" spans="6:6" x14ac:dyDescent="0.3">
      <c r="F31700" s="193"/>
    </row>
    <row r="31701" spans="6:6" x14ac:dyDescent="0.3">
      <c r="F31701" s="193"/>
    </row>
    <row r="31702" spans="6:6" x14ac:dyDescent="0.3">
      <c r="F31702" s="193"/>
    </row>
    <row r="31703" spans="6:6" x14ac:dyDescent="0.3">
      <c r="F31703" s="193"/>
    </row>
    <row r="31704" spans="6:6" x14ac:dyDescent="0.3">
      <c r="F31704" s="193"/>
    </row>
    <row r="31705" spans="6:6" x14ac:dyDescent="0.3">
      <c r="F31705" s="193"/>
    </row>
    <row r="31706" spans="6:6" x14ac:dyDescent="0.3">
      <c r="F31706" s="193"/>
    </row>
    <row r="31707" spans="6:6" x14ac:dyDescent="0.3">
      <c r="F31707" s="193"/>
    </row>
    <row r="31708" spans="6:6" x14ac:dyDescent="0.3">
      <c r="F31708" s="193"/>
    </row>
    <row r="31709" spans="6:6" x14ac:dyDescent="0.3">
      <c r="F31709" s="193"/>
    </row>
    <row r="31710" spans="6:6" x14ac:dyDescent="0.3">
      <c r="F31710" s="193"/>
    </row>
    <row r="31711" spans="6:6" x14ac:dyDescent="0.3">
      <c r="F31711" s="193"/>
    </row>
    <row r="31712" spans="6:6" x14ac:dyDescent="0.3">
      <c r="F31712" s="193"/>
    </row>
    <row r="31713" spans="6:6" x14ac:dyDescent="0.3">
      <c r="F31713" s="193"/>
    </row>
    <row r="31714" spans="6:6" x14ac:dyDescent="0.3">
      <c r="F31714" s="193"/>
    </row>
    <row r="31715" spans="6:6" x14ac:dyDescent="0.3">
      <c r="F31715" s="193"/>
    </row>
    <row r="31716" spans="6:6" x14ac:dyDescent="0.3">
      <c r="F31716" s="193"/>
    </row>
    <row r="31717" spans="6:6" x14ac:dyDescent="0.3">
      <c r="F31717" s="193"/>
    </row>
    <row r="31718" spans="6:6" x14ac:dyDescent="0.3">
      <c r="F31718" s="193"/>
    </row>
    <row r="31719" spans="6:6" x14ac:dyDescent="0.3">
      <c r="F31719" s="193"/>
    </row>
    <row r="31720" spans="6:6" x14ac:dyDescent="0.3">
      <c r="F31720" s="193"/>
    </row>
    <row r="31721" spans="6:6" x14ac:dyDescent="0.3">
      <c r="F31721" s="193"/>
    </row>
    <row r="31722" spans="6:6" x14ac:dyDescent="0.3">
      <c r="F31722" s="193"/>
    </row>
    <row r="31723" spans="6:6" x14ac:dyDescent="0.3">
      <c r="F31723" s="193"/>
    </row>
    <row r="31724" spans="6:6" x14ac:dyDescent="0.3">
      <c r="F31724" s="193"/>
    </row>
    <row r="31725" spans="6:6" x14ac:dyDescent="0.3">
      <c r="F31725" s="193"/>
    </row>
    <row r="31726" spans="6:6" x14ac:dyDescent="0.3">
      <c r="F31726" s="193"/>
    </row>
    <row r="31727" spans="6:6" x14ac:dyDescent="0.3">
      <c r="F31727" s="193"/>
    </row>
    <row r="31728" spans="6:6" x14ac:dyDescent="0.3">
      <c r="F31728" s="193"/>
    </row>
    <row r="31729" spans="6:6" x14ac:dyDescent="0.3">
      <c r="F31729" s="193"/>
    </row>
    <row r="31730" spans="6:6" x14ac:dyDescent="0.3">
      <c r="F31730" s="193"/>
    </row>
    <row r="31731" spans="6:6" x14ac:dyDescent="0.3">
      <c r="F31731" s="193"/>
    </row>
    <row r="31732" spans="6:6" x14ac:dyDescent="0.3">
      <c r="F31732" s="193"/>
    </row>
    <row r="31733" spans="6:6" x14ac:dyDescent="0.3">
      <c r="F31733" s="193"/>
    </row>
    <row r="31734" spans="6:6" x14ac:dyDescent="0.3">
      <c r="F31734" s="193"/>
    </row>
    <row r="31735" spans="6:6" x14ac:dyDescent="0.3">
      <c r="F31735" s="193"/>
    </row>
    <row r="31736" spans="6:6" x14ac:dyDescent="0.3">
      <c r="F31736" s="193"/>
    </row>
    <row r="31737" spans="6:6" x14ac:dyDescent="0.3">
      <c r="F31737" s="193"/>
    </row>
    <row r="31738" spans="6:6" x14ac:dyDescent="0.3">
      <c r="F31738" s="193"/>
    </row>
    <row r="31739" spans="6:6" x14ac:dyDescent="0.3">
      <c r="F31739" s="193"/>
    </row>
    <row r="31740" spans="6:6" x14ac:dyDescent="0.3">
      <c r="F31740" s="193"/>
    </row>
    <row r="31741" spans="6:6" x14ac:dyDescent="0.3">
      <c r="F31741" s="193"/>
    </row>
    <row r="31742" spans="6:6" x14ac:dyDescent="0.3">
      <c r="F31742" s="193"/>
    </row>
    <row r="31743" spans="6:6" x14ac:dyDescent="0.3">
      <c r="F31743" s="193"/>
    </row>
    <row r="31744" spans="6:6" x14ac:dyDescent="0.3">
      <c r="F31744" s="193"/>
    </row>
    <row r="31745" spans="6:6" x14ac:dyDescent="0.3">
      <c r="F31745" s="193"/>
    </row>
    <row r="31746" spans="6:6" x14ac:dyDescent="0.3">
      <c r="F31746" s="193"/>
    </row>
    <row r="31747" spans="6:6" x14ac:dyDescent="0.3">
      <c r="F31747" s="193"/>
    </row>
    <row r="31748" spans="6:6" x14ac:dyDescent="0.3">
      <c r="F31748" s="193"/>
    </row>
    <row r="31749" spans="6:6" x14ac:dyDescent="0.3">
      <c r="F31749" s="193"/>
    </row>
    <row r="31750" spans="6:6" x14ac:dyDescent="0.3">
      <c r="F31750" s="193"/>
    </row>
    <row r="31751" spans="6:6" x14ac:dyDescent="0.3">
      <c r="F31751" s="193"/>
    </row>
    <row r="31752" spans="6:6" x14ac:dyDescent="0.3">
      <c r="F31752" s="193"/>
    </row>
    <row r="31753" spans="6:6" x14ac:dyDescent="0.3">
      <c r="F31753" s="193"/>
    </row>
    <row r="31754" spans="6:6" x14ac:dyDescent="0.3">
      <c r="F31754" s="193"/>
    </row>
    <row r="31755" spans="6:6" x14ac:dyDescent="0.3">
      <c r="F31755" s="193"/>
    </row>
    <row r="31756" spans="6:6" x14ac:dyDescent="0.3">
      <c r="F31756" s="193"/>
    </row>
    <row r="31757" spans="6:6" x14ac:dyDescent="0.3">
      <c r="F31757" s="193"/>
    </row>
    <row r="31758" spans="6:6" x14ac:dyDescent="0.3">
      <c r="F31758" s="193"/>
    </row>
    <row r="31759" spans="6:6" x14ac:dyDescent="0.3">
      <c r="F31759" s="193"/>
    </row>
    <row r="31760" spans="6:6" x14ac:dyDescent="0.3">
      <c r="F31760" s="193"/>
    </row>
    <row r="31761" spans="6:6" x14ac:dyDescent="0.3">
      <c r="F31761" s="193"/>
    </row>
    <row r="31762" spans="6:6" x14ac:dyDescent="0.3">
      <c r="F31762" s="193"/>
    </row>
    <row r="31763" spans="6:6" x14ac:dyDescent="0.3">
      <c r="F31763" s="193"/>
    </row>
    <row r="31764" spans="6:6" x14ac:dyDescent="0.3">
      <c r="F31764" s="193"/>
    </row>
    <row r="31765" spans="6:6" x14ac:dyDescent="0.3">
      <c r="F31765" s="193"/>
    </row>
    <row r="31766" spans="6:6" x14ac:dyDescent="0.3">
      <c r="F31766" s="193"/>
    </row>
    <row r="31767" spans="6:6" x14ac:dyDescent="0.3">
      <c r="F31767" s="193"/>
    </row>
    <row r="31768" spans="6:6" x14ac:dyDescent="0.3">
      <c r="F31768" s="193"/>
    </row>
    <row r="31769" spans="6:6" x14ac:dyDescent="0.3">
      <c r="F31769" s="193"/>
    </row>
    <row r="31770" spans="6:6" x14ac:dyDescent="0.3">
      <c r="F31770" s="193"/>
    </row>
    <row r="31771" spans="6:6" x14ac:dyDescent="0.3">
      <c r="F31771" s="193"/>
    </row>
    <row r="31772" spans="6:6" x14ac:dyDescent="0.3">
      <c r="F31772" s="193"/>
    </row>
    <row r="31773" spans="6:6" x14ac:dyDescent="0.3">
      <c r="F31773" s="193"/>
    </row>
    <row r="31774" spans="6:6" x14ac:dyDescent="0.3">
      <c r="F31774" s="193"/>
    </row>
    <row r="31775" spans="6:6" x14ac:dyDescent="0.3">
      <c r="F31775" s="193"/>
    </row>
    <row r="31776" spans="6:6" x14ac:dyDescent="0.3">
      <c r="F31776" s="193"/>
    </row>
    <row r="31777" spans="6:6" x14ac:dyDescent="0.3">
      <c r="F31777" s="193"/>
    </row>
    <row r="31778" spans="6:6" x14ac:dyDescent="0.3">
      <c r="F31778" s="193"/>
    </row>
    <row r="31779" spans="6:6" x14ac:dyDescent="0.3">
      <c r="F31779" s="193"/>
    </row>
    <row r="31780" spans="6:6" x14ac:dyDescent="0.3">
      <c r="F31780" s="193"/>
    </row>
    <row r="31781" spans="6:6" x14ac:dyDescent="0.3">
      <c r="F31781" s="193"/>
    </row>
    <row r="31782" spans="6:6" x14ac:dyDescent="0.3">
      <c r="F31782" s="193"/>
    </row>
    <row r="31783" spans="6:6" x14ac:dyDescent="0.3">
      <c r="F31783" s="193"/>
    </row>
    <row r="31784" spans="6:6" x14ac:dyDescent="0.3">
      <c r="F31784" s="193"/>
    </row>
    <row r="31785" spans="6:6" x14ac:dyDescent="0.3">
      <c r="F31785" s="193"/>
    </row>
    <row r="31786" spans="6:6" x14ac:dyDescent="0.3">
      <c r="F31786" s="193"/>
    </row>
    <row r="31787" spans="6:6" x14ac:dyDescent="0.3">
      <c r="F31787" s="193"/>
    </row>
    <row r="31788" spans="6:6" x14ac:dyDescent="0.3">
      <c r="F31788" s="193"/>
    </row>
    <row r="31789" spans="6:6" x14ac:dyDescent="0.3">
      <c r="F31789" s="193"/>
    </row>
    <row r="31790" spans="6:6" x14ac:dyDescent="0.3">
      <c r="F31790" s="193"/>
    </row>
    <row r="31791" spans="6:6" x14ac:dyDescent="0.3">
      <c r="F31791" s="193"/>
    </row>
    <row r="31792" spans="6:6" x14ac:dyDescent="0.3">
      <c r="F31792" s="193"/>
    </row>
    <row r="31793" spans="6:6" x14ac:dyDescent="0.3">
      <c r="F31793" s="193"/>
    </row>
    <row r="31794" spans="6:6" x14ac:dyDescent="0.3">
      <c r="F31794" s="193"/>
    </row>
    <row r="31795" spans="6:6" x14ac:dyDescent="0.3">
      <c r="F31795" s="193"/>
    </row>
    <row r="31796" spans="6:6" x14ac:dyDescent="0.3">
      <c r="F31796" s="193"/>
    </row>
    <row r="31797" spans="6:6" x14ac:dyDescent="0.3">
      <c r="F31797" s="193"/>
    </row>
    <row r="31798" spans="6:6" x14ac:dyDescent="0.3">
      <c r="F31798" s="193"/>
    </row>
    <row r="31799" spans="6:6" x14ac:dyDescent="0.3">
      <c r="F31799" s="193"/>
    </row>
    <row r="31800" spans="6:6" x14ac:dyDescent="0.3">
      <c r="F31800" s="193"/>
    </row>
    <row r="31801" spans="6:6" x14ac:dyDescent="0.3">
      <c r="F31801" s="193"/>
    </row>
    <row r="31802" spans="6:6" x14ac:dyDescent="0.3">
      <c r="F31802" s="193"/>
    </row>
    <row r="31803" spans="6:6" x14ac:dyDescent="0.3">
      <c r="F31803" s="193"/>
    </row>
    <row r="31804" spans="6:6" x14ac:dyDescent="0.3">
      <c r="F31804" s="193"/>
    </row>
    <row r="31805" spans="6:6" x14ac:dyDescent="0.3">
      <c r="F31805" s="193"/>
    </row>
    <row r="31806" spans="6:6" x14ac:dyDescent="0.3">
      <c r="F31806" s="193"/>
    </row>
    <row r="31807" spans="6:6" x14ac:dyDescent="0.3">
      <c r="F31807" s="193"/>
    </row>
    <row r="31808" spans="6:6" x14ac:dyDescent="0.3">
      <c r="F31808" s="193"/>
    </row>
    <row r="31809" spans="6:6" x14ac:dyDescent="0.3">
      <c r="F31809" s="193"/>
    </row>
    <row r="31810" spans="6:6" x14ac:dyDescent="0.3">
      <c r="F31810" s="193"/>
    </row>
    <row r="31811" spans="6:6" x14ac:dyDescent="0.3">
      <c r="F31811" s="193"/>
    </row>
    <row r="31812" spans="6:6" x14ac:dyDescent="0.3">
      <c r="F31812" s="193"/>
    </row>
    <row r="31813" spans="6:6" x14ac:dyDescent="0.3">
      <c r="F31813" s="193"/>
    </row>
    <row r="31814" spans="6:6" x14ac:dyDescent="0.3">
      <c r="F31814" s="193"/>
    </row>
    <row r="31815" spans="6:6" x14ac:dyDescent="0.3">
      <c r="F31815" s="193"/>
    </row>
    <row r="31816" spans="6:6" x14ac:dyDescent="0.3">
      <c r="F31816" s="193"/>
    </row>
    <row r="31817" spans="6:6" x14ac:dyDescent="0.3">
      <c r="F31817" s="193"/>
    </row>
    <row r="31818" spans="6:6" x14ac:dyDescent="0.3">
      <c r="F31818" s="193"/>
    </row>
    <row r="31819" spans="6:6" x14ac:dyDescent="0.3">
      <c r="F31819" s="193"/>
    </row>
    <row r="31820" spans="6:6" x14ac:dyDescent="0.3">
      <c r="F31820" s="193"/>
    </row>
    <row r="31821" spans="6:6" x14ac:dyDescent="0.3">
      <c r="F31821" s="193"/>
    </row>
    <row r="31822" spans="6:6" x14ac:dyDescent="0.3">
      <c r="F31822" s="193"/>
    </row>
    <row r="31823" spans="6:6" x14ac:dyDescent="0.3">
      <c r="F31823" s="193"/>
    </row>
    <row r="31824" spans="6:6" x14ac:dyDescent="0.3">
      <c r="F31824" s="193"/>
    </row>
    <row r="31825" spans="6:6" x14ac:dyDescent="0.3">
      <c r="F31825" s="193"/>
    </row>
    <row r="31826" spans="6:6" x14ac:dyDescent="0.3">
      <c r="F31826" s="193"/>
    </row>
    <row r="31827" spans="6:6" x14ac:dyDescent="0.3">
      <c r="F31827" s="193"/>
    </row>
    <row r="31828" spans="6:6" x14ac:dyDescent="0.3">
      <c r="F31828" s="193"/>
    </row>
    <row r="31829" spans="6:6" x14ac:dyDescent="0.3">
      <c r="F31829" s="193"/>
    </row>
    <row r="31830" spans="6:6" x14ac:dyDescent="0.3">
      <c r="F31830" s="193"/>
    </row>
    <row r="31831" spans="6:6" x14ac:dyDescent="0.3">
      <c r="F31831" s="193"/>
    </row>
    <row r="31832" spans="6:6" x14ac:dyDescent="0.3">
      <c r="F31832" s="193"/>
    </row>
    <row r="31833" spans="6:6" x14ac:dyDescent="0.3">
      <c r="F31833" s="193"/>
    </row>
    <row r="31834" spans="6:6" x14ac:dyDescent="0.3">
      <c r="F31834" s="193"/>
    </row>
    <row r="31835" spans="6:6" x14ac:dyDescent="0.3">
      <c r="F31835" s="193"/>
    </row>
    <row r="31836" spans="6:6" x14ac:dyDescent="0.3">
      <c r="F31836" s="193"/>
    </row>
    <row r="31837" spans="6:6" x14ac:dyDescent="0.3">
      <c r="F31837" s="193"/>
    </row>
    <row r="31838" spans="6:6" x14ac:dyDescent="0.3">
      <c r="F31838" s="193"/>
    </row>
    <row r="31839" spans="6:6" x14ac:dyDescent="0.3">
      <c r="F31839" s="193"/>
    </row>
    <row r="31840" spans="6:6" x14ac:dyDescent="0.3">
      <c r="F31840" s="193"/>
    </row>
    <row r="31841" spans="6:6" x14ac:dyDescent="0.3">
      <c r="F31841" s="193"/>
    </row>
    <row r="31842" spans="6:6" x14ac:dyDescent="0.3">
      <c r="F31842" s="193"/>
    </row>
    <row r="31843" spans="6:6" x14ac:dyDescent="0.3">
      <c r="F31843" s="193"/>
    </row>
    <row r="31844" spans="6:6" x14ac:dyDescent="0.3">
      <c r="F31844" s="193"/>
    </row>
    <row r="31845" spans="6:6" x14ac:dyDescent="0.3">
      <c r="F31845" s="193"/>
    </row>
    <row r="31846" spans="6:6" x14ac:dyDescent="0.3">
      <c r="F31846" s="193"/>
    </row>
    <row r="31847" spans="6:6" x14ac:dyDescent="0.3">
      <c r="F31847" s="193"/>
    </row>
    <row r="31848" spans="6:6" x14ac:dyDescent="0.3">
      <c r="F31848" s="193"/>
    </row>
    <row r="31849" spans="6:6" x14ac:dyDescent="0.3">
      <c r="F31849" s="193"/>
    </row>
    <row r="31850" spans="6:6" x14ac:dyDescent="0.3">
      <c r="F31850" s="193"/>
    </row>
    <row r="31851" spans="6:6" x14ac:dyDescent="0.3">
      <c r="F31851" s="193"/>
    </row>
    <row r="31852" spans="6:6" x14ac:dyDescent="0.3">
      <c r="F31852" s="193"/>
    </row>
    <row r="31853" spans="6:6" x14ac:dyDescent="0.3">
      <c r="F31853" s="193"/>
    </row>
    <row r="31854" spans="6:6" x14ac:dyDescent="0.3">
      <c r="F31854" s="193"/>
    </row>
    <row r="31855" spans="6:6" x14ac:dyDescent="0.3">
      <c r="F31855" s="193"/>
    </row>
    <row r="31856" spans="6:6" x14ac:dyDescent="0.3">
      <c r="F31856" s="193"/>
    </row>
    <row r="31857" spans="6:6" x14ac:dyDescent="0.3">
      <c r="F31857" s="193"/>
    </row>
    <row r="31858" spans="6:6" x14ac:dyDescent="0.3">
      <c r="F31858" s="193"/>
    </row>
    <row r="31859" spans="6:6" x14ac:dyDescent="0.3">
      <c r="F31859" s="193"/>
    </row>
    <row r="31860" spans="6:6" x14ac:dyDescent="0.3">
      <c r="F31860" s="193"/>
    </row>
    <row r="31861" spans="6:6" x14ac:dyDescent="0.3">
      <c r="F31861" s="193"/>
    </row>
    <row r="31862" spans="6:6" x14ac:dyDescent="0.3">
      <c r="F31862" s="193"/>
    </row>
    <row r="31863" spans="6:6" x14ac:dyDescent="0.3">
      <c r="F31863" s="193"/>
    </row>
    <row r="31864" spans="6:6" x14ac:dyDescent="0.3">
      <c r="F31864" s="193"/>
    </row>
    <row r="31865" spans="6:6" x14ac:dyDescent="0.3">
      <c r="F31865" s="193"/>
    </row>
    <row r="31866" spans="6:6" x14ac:dyDescent="0.3">
      <c r="F31866" s="193"/>
    </row>
    <row r="31867" spans="6:6" x14ac:dyDescent="0.3">
      <c r="F31867" s="193"/>
    </row>
    <row r="31868" spans="6:6" x14ac:dyDescent="0.3">
      <c r="F31868" s="193"/>
    </row>
    <row r="31869" spans="6:6" x14ac:dyDescent="0.3">
      <c r="F31869" s="193"/>
    </row>
    <row r="31870" spans="6:6" x14ac:dyDescent="0.3">
      <c r="F31870" s="193"/>
    </row>
    <row r="31871" spans="6:6" x14ac:dyDescent="0.3">
      <c r="F31871" s="193"/>
    </row>
    <row r="31872" spans="6:6" x14ac:dyDescent="0.3">
      <c r="F31872" s="193"/>
    </row>
    <row r="31873" spans="6:6" x14ac:dyDescent="0.3">
      <c r="F31873" s="193"/>
    </row>
    <row r="31874" spans="6:6" x14ac:dyDescent="0.3">
      <c r="F31874" s="193"/>
    </row>
    <row r="31875" spans="6:6" x14ac:dyDescent="0.3">
      <c r="F31875" s="193"/>
    </row>
    <row r="31876" spans="6:6" x14ac:dyDescent="0.3">
      <c r="F31876" s="193"/>
    </row>
    <row r="31877" spans="6:6" x14ac:dyDescent="0.3">
      <c r="F31877" s="193"/>
    </row>
    <row r="31878" spans="6:6" x14ac:dyDescent="0.3">
      <c r="F31878" s="193"/>
    </row>
    <row r="31879" spans="6:6" x14ac:dyDescent="0.3">
      <c r="F31879" s="193"/>
    </row>
    <row r="31880" spans="6:6" x14ac:dyDescent="0.3">
      <c r="F31880" s="193"/>
    </row>
    <row r="31881" spans="6:6" x14ac:dyDescent="0.3">
      <c r="F31881" s="193"/>
    </row>
    <row r="31882" spans="6:6" x14ac:dyDescent="0.3">
      <c r="F31882" s="193"/>
    </row>
    <row r="31883" spans="6:6" x14ac:dyDescent="0.3">
      <c r="F31883" s="193"/>
    </row>
    <row r="31884" spans="6:6" x14ac:dyDescent="0.3">
      <c r="F31884" s="193"/>
    </row>
    <row r="31885" spans="6:6" x14ac:dyDescent="0.3">
      <c r="F31885" s="193"/>
    </row>
    <row r="31886" spans="6:6" x14ac:dyDescent="0.3">
      <c r="F31886" s="193"/>
    </row>
    <row r="31887" spans="6:6" x14ac:dyDescent="0.3">
      <c r="F31887" s="193"/>
    </row>
    <row r="31888" spans="6:6" x14ac:dyDescent="0.3">
      <c r="F31888" s="193"/>
    </row>
    <row r="31889" spans="6:6" x14ac:dyDescent="0.3">
      <c r="F31889" s="193"/>
    </row>
    <row r="31890" spans="6:6" x14ac:dyDescent="0.3">
      <c r="F31890" s="193"/>
    </row>
    <row r="31891" spans="6:6" x14ac:dyDescent="0.3">
      <c r="F31891" s="193"/>
    </row>
    <row r="31892" spans="6:6" x14ac:dyDescent="0.3">
      <c r="F31892" s="193"/>
    </row>
    <row r="31893" spans="6:6" x14ac:dyDescent="0.3">
      <c r="F31893" s="193"/>
    </row>
    <row r="31894" spans="6:6" x14ac:dyDescent="0.3">
      <c r="F31894" s="193"/>
    </row>
    <row r="31895" spans="6:6" x14ac:dyDescent="0.3">
      <c r="F31895" s="193"/>
    </row>
    <row r="31896" spans="6:6" x14ac:dyDescent="0.3">
      <c r="F31896" s="193"/>
    </row>
    <row r="31897" spans="6:6" x14ac:dyDescent="0.3">
      <c r="F31897" s="193"/>
    </row>
    <row r="31898" spans="6:6" x14ac:dyDescent="0.3">
      <c r="F31898" s="193"/>
    </row>
    <row r="31899" spans="6:6" x14ac:dyDescent="0.3">
      <c r="F31899" s="193"/>
    </row>
    <row r="31900" spans="6:6" x14ac:dyDescent="0.3">
      <c r="F31900" s="193"/>
    </row>
    <row r="31901" spans="6:6" x14ac:dyDescent="0.3">
      <c r="F31901" s="193"/>
    </row>
    <row r="31902" spans="6:6" x14ac:dyDescent="0.3">
      <c r="F31902" s="193"/>
    </row>
    <row r="31903" spans="6:6" x14ac:dyDescent="0.3">
      <c r="F31903" s="193"/>
    </row>
    <row r="31904" spans="6:6" x14ac:dyDescent="0.3">
      <c r="F31904" s="193"/>
    </row>
    <row r="31905" spans="6:6" x14ac:dyDescent="0.3">
      <c r="F31905" s="193"/>
    </row>
    <row r="31906" spans="6:6" x14ac:dyDescent="0.3">
      <c r="F31906" s="193"/>
    </row>
    <row r="31907" spans="6:6" x14ac:dyDescent="0.3">
      <c r="F31907" s="193"/>
    </row>
    <row r="31908" spans="6:6" x14ac:dyDescent="0.3">
      <c r="F31908" s="193"/>
    </row>
    <row r="31909" spans="6:6" x14ac:dyDescent="0.3">
      <c r="F31909" s="193"/>
    </row>
    <row r="31910" spans="6:6" x14ac:dyDescent="0.3">
      <c r="F31910" s="193"/>
    </row>
    <row r="31911" spans="6:6" x14ac:dyDescent="0.3">
      <c r="F31911" s="193"/>
    </row>
    <row r="31912" spans="6:6" x14ac:dyDescent="0.3">
      <c r="F31912" s="193"/>
    </row>
    <row r="31913" spans="6:6" x14ac:dyDescent="0.3">
      <c r="F31913" s="193"/>
    </row>
    <row r="31914" spans="6:6" x14ac:dyDescent="0.3">
      <c r="F31914" s="193"/>
    </row>
    <row r="31915" spans="6:6" x14ac:dyDescent="0.3">
      <c r="F31915" s="193"/>
    </row>
    <row r="31916" spans="6:6" x14ac:dyDescent="0.3">
      <c r="F31916" s="193"/>
    </row>
    <row r="31917" spans="6:6" x14ac:dyDescent="0.3">
      <c r="F31917" s="193"/>
    </row>
    <row r="31918" spans="6:6" x14ac:dyDescent="0.3">
      <c r="F31918" s="193"/>
    </row>
    <row r="31919" spans="6:6" x14ac:dyDescent="0.3">
      <c r="F31919" s="193"/>
    </row>
    <row r="31920" spans="6:6" x14ac:dyDescent="0.3">
      <c r="F31920" s="193"/>
    </row>
    <row r="31921" spans="6:6" x14ac:dyDescent="0.3">
      <c r="F31921" s="193"/>
    </row>
    <row r="31922" spans="6:6" x14ac:dyDescent="0.3">
      <c r="F31922" s="193"/>
    </row>
    <row r="31923" spans="6:6" x14ac:dyDescent="0.3">
      <c r="F31923" s="193"/>
    </row>
    <row r="31924" spans="6:6" x14ac:dyDescent="0.3">
      <c r="F31924" s="193"/>
    </row>
    <row r="31925" spans="6:6" x14ac:dyDescent="0.3">
      <c r="F31925" s="193"/>
    </row>
    <row r="31926" spans="6:6" x14ac:dyDescent="0.3">
      <c r="F31926" s="193"/>
    </row>
    <row r="31927" spans="6:6" x14ac:dyDescent="0.3">
      <c r="F31927" s="193"/>
    </row>
    <row r="31928" spans="6:6" x14ac:dyDescent="0.3">
      <c r="F31928" s="193"/>
    </row>
    <row r="31929" spans="6:6" x14ac:dyDescent="0.3">
      <c r="F31929" s="193"/>
    </row>
    <row r="31930" spans="6:6" x14ac:dyDescent="0.3">
      <c r="F31930" s="193"/>
    </row>
    <row r="31931" spans="6:6" x14ac:dyDescent="0.3">
      <c r="F31931" s="193"/>
    </row>
    <row r="31932" spans="6:6" x14ac:dyDescent="0.3">
      <c r="F31932" s="193"/>
    </row>
    <row r="31933" spans="6:6" x14ac:dyDescent="0.3">
      <c r="F31933" s="193"/>
    </row>
    <row r="31934" spans="6:6" x14ac:dyDescent="0.3">
      <c r="F31934" s="193"/>
    </row>
    <row r="31935" spans="6:6" x14ac:dyDescent="0.3">
      <c r="F31935" s="193"/>
    </row>
    <row r="31936" spans="6:6" x14ac:dyDescent="0.3">
      <c r="F31936" s="193"/>
    </row>
    <row r="31937" spans="6:6" x14ac:dyDescent="0.3">
      <c r="F31937" s="193"/>
    </row>
    <row r="31938" spans="6:6" x14ac:dyDescent="0.3">
      <c r="F31938" s="193"/>
    </row>
    <row r="31939" spans="6:6" x14ac:dyDescent="0.3">
      <c r="F31939" s="193"/>
    </row>
    <row r="31940" spans="6:6" x14ac:dyDescent="0.3">
      <c r="F31940" s="193"/>
    </row>
    <row r="31941" spans="6:6" x14ac:dyDescent="0.3">
      <c r="F31941" s="193"/>
    </row>
    <row r="31942" spans="6:6" x14ac:dyDescent="0.3">
      <c r="F31942" s="193"/>
    </row>
    <row r="31943" spans="6:6" x14ac:dyDescent="0.3">
      <c r="F31943" s="193"/>
    </row>
    <row r="31944" spans="6:6" x14ac:dyDescent="0.3">
      <c r="F31944" s="193"/>
    </row>
    <row r="31945" spans="6:6" x14ac:dyDescent="0.3">
      <c r="F31945" s="193"/>
    </row>
    <row r="31946" spans="6:6" x14ac:dyDescent="0.3">
      <c r="F31946" s="193"/>
    </row>
    <row r="31947" spans="6:6" x14ac:dyDescent="0.3">
      <c r="F31947" s="193"/>
    </row>
    <row r="31948" spans="6:6" x14ac:dyDescent="0.3">
      <c r="F31948" s="193"/>
    </row>
    <row r="31949" spans="6:6" x14ac:dyDescent="0.3">
      <c r="F31949" s="193"/>
    </row>
    <row r="31950" spans="6:6" x14ac:dyDescent="0.3">
      <c r="F31950" s="193"/>
    </row>
    <row r="31951" spans="6:6" x14ac:dyDescent="0.3">
      <c r="F31951" s="193"/>
    </row>
    <row r="31952" spans="6:6" x14ac:dyDescent="0.3">
      <c r="F31952" s="193"/>
    </row>
    <row r="31953" spans="6:6" x14ac:dyDescent="0.3">
      <c r="F31953" s="193"/>
    </row>
    <row r="31954" spans="6:6" x14ac:dyDescent="0.3">
      <c r="F31954" s="193"/>
    </row>
    <row r="31955" spans="6:6" x14ac:dyDescent="0.3">
      <c r="F31955" s="193"/>
    </row>
    <row r="31956" spans="6:6" x14ac:dyDescent="0.3">
      <c r="F31956" s="193"/>
    </row>
    <row r="31957" spans="6:6" x14ac:dyDescent="0.3">
      <c r="F31957" s="193"/>
    </row>
    <row r="31958" spans="6:6" x14ac:dyDescent="0.3">
      <c r="F31958" s="193"/>
    </row>
    <row r="31959" spans="6:6" x14ac:dyDescent="0.3">
      <c r="F31959" s="193"/>
    </row>
    <row r="31960" spans="6:6" x14ac:dyDescent="0.3">
      <c r="F31960" s="193"/>
    </row>
    <row r="31961" spans="6:6" x14ac:dyDescent="0.3">
      <c r="F31961" s="193"/>
    </row>
    <row r="31962" spans="6:6" x14ac:dyDescent="0.3">
      <c r="F31962" s="193"/>
    </row>
    <row r="31963" spans="6:6" x14ac:dyDescent="0.3">
      <c r="F31963" s="193"/>
    </row>
    <row r="31964" spans="6:6" x14ac:dyDescent="0.3">
      <c r="F31964" s="193"/>
    </row>
    <row r="31965" spans="6:6" x14ac:dyDescent="0.3">
      <c r="F31965" s="193"/>
    </row>
    <row r="31966" spans="6:6" x14ac:dyDescent="0.3">
      <c r="F31966" s="193"/>
    </row>
    <row r="31967" spans="6:6" x14ac:dyDescent="0.3">
      <c r="F31967" s="193"/>
    </row>
    <row r="31968" spans="6:6" x14ac:dyDescent="0.3">
      <c r="F31968" s="193"/>
    </row>
    <row r="31969" spans="6:6" x14ac:dyDescent="0.3">
      <c r="F31969" s="193"/>
    </row>
    <row r="31970" spans="6:6" x14ac:dyDescent="0.3">
      <c r="F31970" s="193"/>
    </row>
    <row r="31971" spans="6:6" x14ac:dyDescent="0.3">
      <c r="F31971" s="193"/>
    </row>
    <row r="31972" spans="6:6" x14ac:dyDescent="0.3">
      <c r="F31972" s="193"/>
    </row>
    <row r="31973" spans="6:6" x14ac:dyDescent="0.3">
      <c r="F31973" s="193"/>
    </row>
    <row r="31974" spans="6:6" x14ac:dyDescent="0.3">
      <c r="F31974" s="193"/>
    </row>
    <row r="31975" spans="6:6" x14ac:dyDescent="0.3">
      <c r="F31975" s="193"/>
    </row>
    <row r="31976" spans="6:6" x14ac:dyDescent="0.3">
      <c r="F31976" s="193"/>
    </row>
    <row r="31977" spans="6:6" x14ac:dyDescent="0.3">
      <c r="F31977" s="193"/>
    </row>
    <row r="31978" spans="6:6" x14ac:dyDescent="0.3">
      <c r="F31978" s="193"/>
    </row>
    <row r="31979" spans="6:6" x14ac:dyDescent="0.3">
      <c r="F31979" s="193"/>
    </row>
    <row r="31980" spans="6:6" x14ac:dyDescent="0.3">
      <c r="F31980" s="193"/>
    </row>
    <row r="31981" spans="6:6" x14ac:dyDescent="0.3">
      <c r="F31981" s="193"/>
    </row>
    <row r="31982" spans="6:6" x14ac:dyDescent="0.3">
      <c r="F31982" s="193"/>
    </row>
    <row r="31983" spans="6:6" x14ac:dyDescent="0.3">
      <c r="F31983" s="193"/>
    </row>
    <row r="31984" spans="6:6" x14ac:dyDescent="0.3">
      <c r="F31984" s="193"/>
    </row>
    <row r="31985" spans="6:6" x14ac:dyDescent="0.3">
      <c r="F31985" s="193"/>
    </row>
    <row r="31986" spans="6:6" x14ac:dyDescent="0.3">
      <c r="F31986" s="193"/>
    </row>
    <row r="31987" spans="6:6" x14ac:dyDescent="0.3">
      <c r="F31987" s="193"/>
    </row>
    <row r="31988" spans="6:6" x14ac:dyDescent="0.3">
      <c r="F31988" s="193"/>
    </row>
    <row r="31989" spans="6:6" x14ac:dyDescent="0.3">
      <c r="F31989" s="193"/>
    </row>
    <row r="31990" spans="6:6" x14ac:dyDescent="0.3">
      <c r="F31990" s="193"/>
    </row>
    <row r="31991" spans="6:6" x14ac:dyDescent="0.3">
      <c r="F31991" s="193"/>
    </row>
    <row r="31992" spans="6:6" x14ac:dyDescent="0.3">
      <c r="F31992" s="193"/>
    </row>
    <row r="31993" spans="6:6" x14ac:dyDescent="0.3">
      <c r="F31993" s="193"/>
    </row>
    <row r="31994" spans="6:6" x14ac:dyDescent="0.3">
      <c r="F31994" s="193"/>
    </row>
    <row r="31995" spans="6:6" x14ac:dyDescent="0.3">
      <c r="F31995" s="193"/>
    </row>
    <row r="31996" spans="6:6" x14ac:dyDescent="0.3">
      <c r="F31996" s="193"/>
    </row>
    <row r="31997" spans="6:6" x14ac:dyDescent="0.3">
      <c r="F31997" s="193"/>
    </row>
    <row r="31998" spans="6:6" x14ac:dyDescent="0.3">
      <c r="F31998" s="193"/>
    </row>
    <row r="31999" spans="6:6" x14ac:dyDescent="0.3">
      <c r="F31999" s="193"/>
    </row>
    <row r="32000" spans="6:6" x14ac:dyDescent="0.3">
      <c r="F32000" s="193"/>
    </row>
    <row r="32001" spans="6:6" x14ac:dyDescent="0.3">
      <c r="F32001" s="193"/>
    </row>
    <row r="32002" spans="6:6" x14ac:dyDescent="0.3">
      <c r="F32002" s="193"/>
    </row>
    <row r="32003" spans="6:6" x14ac:dyDescent="0.3">
      <c r="F32003" s="193"/>
    </row>
    <row r="32004" spans="6:6" x14ac:dyDescent="0.3">
      <c r="F32004" s="193"/>
    </row>
    <row r="32005" spans="6:6" x14ac:dyDescent="0.3">
      <c r="F32005" s="193"/>
    </row>
    <row r="32006" spans="6:6" x14ac:dyDescent="0.3">
      <c r="F32006" s="193"/>
    </row>
    <row r="32007" spans="6:6" x14ac:dyDescent="0.3">
      <c r="F32007" s="193"/>
    </row>
    <row r="32008" spans="6:6" x14ac:dyDescent="0.3">
      <c r="F32008" s="193"/>
    </row>
    <row r="32009" spans="6:6" x14ac:dyDescent="0.3">
      <c r="F32009" s="193"/>
    </row>
    <row r="32010" spans="6:6" x14ac:dyDescent="0.3">
      <c r="F32010" s="193"/>
    </row>
    <row r="32011" spans="6:6" x14ac:dyDescent="0.3">
      <c r="F32011" s="193"/>
    </row>
    <row r="32012" spans="6:6" x14ac:dyDescent="0.3">
      <c r="F32012" s="193"/>
    </row>
    <row r="32013" spans="6:6" x14ac:dyDescent="0.3">
      <c r="F32013" s="193"/>
    </row>
    <row r="32014" spans="6:6" x14ac:dyDescent="0.3">
      <c r="F32014" s="193"/>
    </row>
    <row r="32015" spans="6:6" x14ac:dyDescent="0.3">
      <c r="F32015" s="193"/>
    </row>
    <row r="32016" spans="6:6" x14ac:dyDescent="0.3">
      <c r="F32016" s="193"/>
    </row>
    <row r="32017" spans="6:6" x14ac:dyDescent="0.3">
      <c r="F32017" s="193"/>
    </row>
    <row r="32018" spans="6:6" x14ac:dyDescent="0.3">
      <c r="F32018" s="193"/>
    </row>
    <row r="32019" spans="6:6" x14ac:dyDescent="0.3">
      <c r="F32019" s="193"/>
    </row>
    <row r="32020" spans="6:6" x14ac:dyDescent="0.3">
      <c r="F32020" s="193"/>
    </row>
    <row r="32021" spans="6:6" x14ac:dyDescent="0.3">
      <c r="F32021" s="193"/>
    </row>
    <row r="32022" spans="6:6" x14ac:dyDescent="0.3">
      <c r="F32022" s="193"/>
    </row>
    <row r="32023" spans="6:6" x14ac:dyDescent="0.3">
      <c r="F32023" s="193"/>
    </row>
    <row r="32024" spans="6:6" x14ac:dyDescent="0.3">
      <c r="F32024" s="193"/>
    </row>
    <row r="32025" spans="6:6" x14ac:dyDescent="0.3">
      <c r="F32025" s="193"/>
    </row>
    <row r="32026" spans="6:6" x14ac:dyDescent="0.3">
      <c r="F32026" s="193"/>
    </row>
    <row r="32027" spans="6:6" x14ac:dyDescent="0.3">
      <c r="F32027" s="193"/>
    </row>
    <row r="32028" spans="6:6" x14ac:dyDescent="0.3">
      <c r="F32028" s="193"/>
    </row>
    <row r="32029" spans="6:6" x14ac:dyDescent="0.3">
      <c r="F32029" s="193"/>
    </row>
    <row r="32030" spans="6:6" x14ac:dyDescent="0.3">
      <c r="F32030" s="193"/>
    </row>
    <row r="32031" spans="6:6" x14ac:dyDescent="0.3">
      <c r="F32031" s="193"/>
    </row>
    <row r="32032" spans="6:6" x14ac:dyDescent="0.3">
      <c r="F32032" s="193"/>
    </row>
    <row r="32033" spans="6:6" x14ac:dyDescent="0.3">
      <c r="F32033" s="193"/>
    </row>
    <row r="32034" spans="6:6" x14ac:dyDescent="0.3">
      <c r="F32034" s="193"/>
    </row>
    <row r="32035" spans="6:6" x14ac:dyDescent="0.3">
      <c r="F32035" s="193"/>
    </row>
    <row r="32036" spans="6:6" x14ac:dyDescent="0.3">
      <c r="F32036" s="193"/>
    </row>
    <row r="32037" spans="6:6" x14ac:dyDescent="0.3">
      <c r="F32037" s="193"/>
    </row>
    <row r="32038" spans="6:6" x14ac:dyDescent="0.3">
      <c r="F32038" s="193"/>
    </row>
    <row r="32039" spans="6:6" x14ac:dyDescent="0.3">
      <c r="F32039" s="193"/>
    </row>
    <row r="32040" spans="6:6" x14ac:dyDescent="0.3">
      <c r="F32040" s="193"/>
    </row>
    <row r="32041" spans="6:6" x14ac:dyDescent="0.3">
      <c r="F32041" s="193"/>
    </row>
    <row r="32042" spans="6:6" x14ac:dyDescent="0.3">
      <c r="F32042" s="193"/>
    </row>
    <row r="32043" spans="6:6" x14ac:dyDescent="0.3">
      <c r="F32043" s="193"/>
    </row>
    <row r="32044" spans="6:6" x14ac:dyDescent="0.3">
      <c r="F32044" s="193"/>
    </row>
    <row r="32045" spans="6:6" x14ac:dyDescent="0.3">
      <c r="F32045" s="193"/>
    </row>
    <row r="32046" spans="6:6" x14ac:dyDescent="0.3">
      <c r="F32046" s="193"/>
    </row>
    <row r="32047" spans="6:6" x14ac:dyDescent="0.3">
      <c r="F32047" s="193"/>
    </row>
    <row r="32048" spans="6:6" x14ac:dyDescent="0.3">
      <c r="F32048" s="193"/>
    </row>
    <row r="32049" spans="6:6" x14ac:dyDescent="0.3">
      <c r="F32049" s="193"/>
    </row>
    <row r="32050" spans="6:6" x14ac:dyDescent="0.3">
      <c r="F32050" s="193"/>
    </row>
    <row r="32051" spans="6:6" x14ac:dyDescent="0.3">
      <c r="F32051" s="193"/>
    </row>
    <row r="32052" spans="6:6" x14ac:dyDescent="0.3">
      <c r="F32052" s="193"/>
    </row>
    <row r="32053" spans="6:6" x14ac:dyDescent="0.3">
      <c r="F32053" s="193"/>
    </row>
    <row r="32054" spans="6:6" x14ac:dyDescent="0.3">
      <c r="F32054" s="193"/>
    </row>
    <row r="32055" spans="6:6" x14ac:dyDescent="0.3">
      <c r="F32055" s="193"/>
    </row>
    <row r="32056" spans="6:6" x14ac:dyDescent="0.3">
      <c r="F32056" s="193"/>
    </row>
    <row r="32057" spans="6:6" x14ac:dyDescent="0.3">
      <c r="F32057" s="193"/>
    </row>
    <row r="32058" spans="6:6" x14ac:dyDescent="0.3">
      <c r="F32058" s="193"/>
    </row>
    <row r="32059" spans="6:6" x14ac:dyDescent="0.3">
      <c r="F32059" s="193"/>
    </row>
    <row r="32060" spans="6:6" x14ac:dyDescent="0.3">
      <c r="F32060" s="193"/>
    </row>
    <row r="32061" spans="6:6" x14ac:dyDescent="0.3">
      <c r="F32061" s="193"/>
    </row>
    <row r="32062" spans="6:6" x14ac:dyDescent="0.3">
      <c r="F32062" s="193"/>
    </row>
    <row r="32063" spans="6:6" x14ac:dyDescent="0.3">
      <c r="F32063" s="193"/>
    </row>
    <row r="32064" spans="6:6" x14ac:dyDescent="0.3">
      <c r="F32064" s="193"/>
    </row>
    <row r="32065" spans="6:6" x14ac:dyDescent="0.3">
      <c r="F32065" s="193"/>
    </row>
    <row r="32066" spans="6:6" x14ac:dyDescent="0.3">
      <c r="F32066" s="193"/>
    </row>
    <row r="32067" spans="6:6" x14ac:dyDescent="0.3">
      <c r="F32067" s="193"/>
    </row>
    <row r="32068" spans="6:6" x14ac:dyDescent="0.3">
      <c r="F32068" s="193"/>
    </row>
    <row r="32069" spans="6:6" x14ac:dyDescent="0.3">
      <c r="F32069" s="193"/>
    </row>
    <row r="32070" spans="6:6" x14ac:dyDescent="0.3">
      <c r="F32070" s="193"/>
    </row>
    <row r="32071" spans="6:6" x14ac:dyDescent="0.3">
      <c r="F32071" s="193"/>
    </row>
    <row r="32072" spans="6:6" x14ac:dyDescent="0.3">
      <c r="F32072" s="193"/>
    </row>
    <row r="32073" spans="6:6" x14ac:dyDescent="0.3">
      <c r="F32073" s="193"/>
    </row>
    <row r="32074" spans="6:6" x14ac:dyDescent="0.3">
      <c r="F32074" s="193"/>
    </row>
    <row r="32075" spans="6:6" x14ac:dyDescent="0.3">
      <c r="F32075" s="193"/>
    </row>
    <row r="32076" spans="6:6" x14ac:dyDescent="0.3">
      <c r="F32076" s="193"/>
    </row>
    <row r="32077" spans="6:6" x14ac:dyDescent="0.3">
      <c r="F32077" s="193"/>
    </row>
    <row r="32078" spans="6:6" x14ac:dyDescent="0.3">
      <c r="F32078" s="193"/>
    </row>
    <row r="32079" spans="6:6" x14ac:dyDescent="0.3">
      <c r="F32079" s="193"/>
    </row>
    <row r="32080" spans="6:6" x14ac:dyDescent="0.3">
      <c r="F32080" s="193"/>
    </row>
    <row r="32081" spans="6:6" x14ac:dyDescent="0.3">
      <c r="F32081" s="193"/>
    </row>
    <row r="32082" spans="6:6" x14ac:dyDescent="0.3">
      <c r="F32082" s="193"/>
    </row>
    <row r="32083" spans="6:6" x14ac:dyDescent="0.3">
      <c r="F32083" s="193"/>
    </row>
    <row r="32084" spans="6:6" x14ac:dyDescent="0.3">
      <c r="F32084" s="193"/>
    </row>
    <row r="32085" spans="6:6" x14ac:dyDescent="0.3">
      <c r="F32085" s="193"/>
    </row>
    <row r="32086" spans="6:6" x14ac:dyDescent="0.3">
      <c r="F32086" s="193"/>
    </row>
    <row r="32087" spans="6:6" x14ac:dyDescent="0.3">
      <c r="F32087" s="193"/>
    </row>
    <row r="32088" spans="6:6" x14ac:dyDescent="0.3">
      <c r="F32088" s="193"/>
    </row>
    <row r="32089" spans="6:6" x14ac:dyDescent="0.3">
      <c r="F32089" s="193"/>
    </row>
    <row r="32090" spans="6:6" x14ac:dyDescent="0.3">
      <c r="F32090" s="193"/>
    </row>
    <row r="32091" spans="6:6" x14ac:dyDescent="0.3">
      <c r="F32091" s="193"/>
    </row>
    <row r="32092" spans="6:6" x14ac:dyDescent="0.3">
      <c r="F32092" s="193"/>
    </row>
    <row r="32093" spans="6:6" x14ac:dyDescent="0.3">
      <c r="F32093" s="193"/>
    </row>
    <row r="32094" spans="6:6" x14ac:dyDescent="0.3">
      <c r="F32094" s="193"/>
    </row>
    <row r="32095" spans="6:6" x14ac:dyDescent="0.3">
      <c r="F32095" s="193"/>
    </row>
    <row r="32096" spans="6:6" x14ac:dyDescent="0.3">
      <c r="F32096" s="193"/>
    </row>
    <row r="32097" spans="6:6" x14ac:dyDescent="0.3">
      <c r="F32097" s="193"/>
    </row>
    <row r="32098" spans="6:6" x14ac:dyDescent="0.3">
      <c r="F32098" s="193"/>
    </row>
    <row r="32099" spans="6:6" x14ac:dyDescent="0.3">
      <c r="F32099" s="193"/>
    </row>
    <row r="32100" spans="6:6" x14ac:dyDescent="0.3">
      <c r="F32100" s="193"/>
    </row>
    <row r="32101" spans="6:6" x14ac:dyDescent="0.3">
      <c r="F32101" s="193"/>
    </row>
    <row r="32102" spans="6:6" x14ac:dyDescent="0.3">
      <c r="F32102" s="193"/>
    </row>
    <row r="32103" spans="6:6" x14ac:dyDescent="0.3">
      <c r="F32103" s="193"/>
    </row>
    <row r="32104" spans="6:6" x14ac:dyDescent="0.3">
      <c r="F32104" s="193"/>
    </row>
    <row r="32105" spans="6:6" x14ac:dyDescent="0.3">
      <c r="F32105" s="193"/>
    </row>
    <row r="32106" spans="6:6" x14ac:dyDescent="0.3">
      <c r="F32106" s="193"/>
    </row>
    <row r="32107" spans="6:6" x14ac:dyDescent="0.3">
      <c r="F32107" s="193"/>
    </row>
    <row r="32108" spans="6:6" x14ac:dyDescent="0.3">
      <c r="F32108" s="193"/>
    </row>
    <row r="32109" spans="6:6" x14ac:dyDescent="0.3">
      <c r="F32109" s="193"/>
    </row>
    <row r="32110" spans="6:6" x14ac:dyDescent="0.3">
      <c r="F32110" s="193"/>
    </row>
    <row r="32111" spans="6:6" x14ac:dyDescent="0.3">
      <c r="F32111" s="193"/>
    </row>
    <row r="32112" spans="6:6" x14ac:dyDescent="0.3">
      <c r="F32112" s="193"/>
    </row>
    <row r="32113" spans="6:6" x14ac:dyDescent="0.3">
      <c r="F32113" s="193"/>
    </row>
    <row r="32114" spans="6:6" x14ac:dyDescent="0.3">
      <c r="F32114" s="193"/>
    </row>
    <row r="32115" spans="6:6" x14ac:dyDescent="0.3">
      <c r="F32115" s="193"/>
    </row>
    <row r="32116" spans="6:6" x14ac:dyDescent="0.3">
      <c r="F32116" s="193"/>
    </row>
    <row r="32117" spans="6:6" x14ac:dyDescent="0.3">
      <c r="F32117" s="193"/>
    </row>
    <row r="32118" spans="6:6" x14ac:dyDescent="0.3">
      <c r="F32118" s="193"/>
    </row>
    <row r="32119" spans="6:6" x14ac:dyDescent="0.3">
      <c r="F32119" s="193"/>
    </row>
    <row r="32120" spans="6:6" x14ac:dyDescent="0.3">
      <c r="F32120" s="193"/>
    </row>
    <row r="32121" spans="6:6" x14ac:dyDescent="0.3">
      <c r="F32121" s="193"/>
    </row>
    <row r="32122" spans="6:6" x14ac:dyDescent="0.3">
      <c r="F32122" s="193"/>
    </row>
    <row r="32123" spans="6:6" x14ac:dyDescent="0.3">
      <c r="F32123" s="193"/>
    </row>
    <row r="32124" spans="6:6" x14ac:dyDescent="0.3">
      <c r="F32124" s="193"/>
    </row>
    <row r="32125" spans="6:6" x14ac:dyDescent="0.3">
      <c r="F32125" s="193"/>
    </row>
    <row r="32126" spans="6:6" x14ac:dyDescent="0.3">
      <c r="F32126" s="193"/>
    </row>
    <row r="32127" spans="6:6" x14ac:dyDescent="0.3">
      <c r="F32127" s="193"/>
    </row>
    <row r="32128" spans="6:6" x14ac:dyDescent="0.3">
      <c r="F32128" s="193"/>
    </row>
    <row r="32129" spans="6:6" x14ac:dyDescent="0.3">
      <c r="F32129" s="193"/>
    </row>
    <row r="32130" spans="6:6" x14ac:dyDescent="0.3">
      <c r="F32130" s="193"/>
    </row>
    <row r="32131" spans="6:6" x14ac:dyDescent="0.3">
      <c r="F32131" s="193"/>
    </row>
    <row r="32132" spans="6:6" x14ac:dyDescent="0.3">
      <c r="F32132" s="193"/>
    </row>
    <row r="32133" spans="6:6" x14ac:dyDescent="0.3">
      <c r="F32133" s="193"/>
    </row>
    <row r="32134" spans="6:6" x14ac:dyDescent="0.3">
      <c r="F32134" s="193"/>
    </row>
    <row r="32135" spans="6:6" x14ac:dyDescent="0.3">
      <c r="F32135" s="193"/>
    </row>
    <row r="32136" spans="6:6" x14ac:dyDescent="0.3">
      <c r="F32136" s="193"/>
    </row>
    <row r="32137" spans="6:6" x14ac:dyDescent="0.3">
      <c r="F32137" s="193"/>
    </row>
    <row r="32138" spans="6:6" x14ac:dyDescent="0.3">
      <c r="F32138" s="193"/>
    </row>
    <row r="32139" spans="6:6" x14ac:dyDescent="0.3">
      <c r="F32139" s="193"/>
    </row>
    <row r="32140" spans="6:6" x14ac:dyDescent="0.3">
      <c r="F32140" s="193"/>
    </row>
    <row r="32141" spans="6:6" x14ac:dyDescent="0.3">
      <c r="F32141" s="193"/>
    </row>
    <row r="32142" spans="6:6" x14ac:dyDescent="0.3">
      <c r="F32142" s="193"/>
    </row>
    <row r="32143" spans="6:6" x14ac:dyDescent="0.3">
      <c r="F32143" s="193"/>
    </row>
    <row r="32144" spans="6:6" x14ac:dyDescent="0.3">
      <c r="F32144" s="193"/>
    </row>
    <row r="32145" spans="6:6" x14ac:dyDescent="0.3">
      <c r="F32145" s="193"/>
    </row>
    <row r="32146" spans="6:6" x14ac:dyDescent="0.3">
      <c r="F32146" s="193"/>
    </row>
    <row r="32147" spans="6:6" x14ac:dyDescent="0.3">
      <c r="F32147" s="193"/>
    </row>
    <row r="32148" spans="6:6" x14ac:dyDescent="0.3">
      <c r="F32148" s="193"/>
    </row>
    <row r="32149" spans="6:6" x14ac:dyDescent="0.3">
      <c r="F32149" s="193"/>
    </row>
    <row r="32150" spans="6:6" x14ac:dyDescent="0.3">
      <c r="F32150" s="193"/>
    </row>
    <row r="32151" spans="6:6" x14ac:dyDescent="0.3">
      <c r="F32151" s="193"/>
    </row>
    <row r="32152" spans="6:6" x14ac:dyDescent="0.3">
      <c r="F32152" s="193"/>
    </row>
    <row r="32153" spans="6:6" x14ac:dyDescent="0.3">
      <c r="F32153" s="193"/>
    </row>
    <row r="32154" spans="6:6" x14ac:dyDescent="0.3">
      <c r="F32154" s="193"/>
    </row>
    <row r="32155" spans="6:6" x14ac:dyDescent="0.3">
      <c r="F32155" s="193"/>
    </row>
    <row r="32156" spans="6:6" x14ac:dyDescent="0.3">
      <c r="F32156" s="193"/>
    </row>
    <row r="32157" spans="6:6" x14ac:dyDescent="0.3">
      <c r="F32157" s="193"/>
    </row>
    <row r="32158" spans="6:6" x14ac:dyDescent="0.3">
      <c r="F32158" s="193"/>
    </row>
    <row r="32159" spans="6:6" x14ac:dyDescent="0.3">
      <c r="F32159" s="193"/>
    </row>
    <row r="32160" spans="6:6" x14ac:dyDescent="0.3">
      <c r="F32160" s="193"/>
    </row>
    <row r="32161" spans="6:6" x14ac:dyDescent="0.3">
      <c r="F32161" s="193"/>
    </row>
    <row r="32162" spans="6:6" x14ac:dyDescent="0.3">
      <c r="F32162" s="193"/>
    </row>
    <row r="32163" spans="6:6" x14ac:dyDescent="0.3">
      <c r="F32163" s="193"/>
    </row>
    <row r="32164" spans="6:6" x14ac:dyDescent="0.3">
      <c r="F32164" s="193"/>
    </row>
    <row r="32165" spans="6:6" x14ac:dyDescent="0.3">
      <c r="F32165" s="193"/>
    </row>
    <row r="32166" spans="6:6" x14ac:dyDescent="0.3">
      <c r="F32166" s="193"/>
    </row>
    <row r="32167" spans="6:6" x14ac:dyDescent="0.3">
      <c r="F32167" s="193"/>
    </row>
    <row r="32168" spans="6:6" x14ac:dyDescent="0.3">
      <c r="F32168" s="193"/>
    </row>
    <row r="32169" spans="6:6" x14ac:dyDescent="0.3">
      <c r="F32169" s="193"/>
    </row>
    <row r="32170" spans="6:6" x14ac:dyDescent="0.3">
      <c r="F32170" s="193"/>
    </row>
    <row r="32171" spans="6:6" x14ac:dyDescent="0.3">
      <c r="F32171" s="193"/>
    </row>
    <row r="32172" spans="6:6" x14ac:dyDescent="0.3">
      <c r="F32172" s="193"/>
    </row>
    <row r="32173" spans="6:6" x14ac:dyDescent="0.3">
      <c r="F32173" s="193"/>
    </row>
    <row r="32174" spans="6:6" x14ac:dyDescent="0.3">
      <c r="F32174" s="193"/>
    </row>
    <row r="32175" spans="6:6" x14ac:dyDescent="0.3">
      <c r="F32175" s="193"/>
    </row>
    <row r="32176" spans="6:6" x14ac:dyDescent="0.3">
      <c r="F32176" s="193"/>
    </row>
    <row r="32177" spans="6:6" x14ac:dyDescent="0.3">
      <c r="F32177" s="193"/>
    </row>
    <row r="32178" spans="6:6" x14ac:dyDescent="0.3">
      <c r="F32178" s="193"/>
    </row>
    <row r="32179" spans="6:6" x14ac:dyDescent="0.3">
      <c r="F32179" s="193"/>
    </row>
    <row r="32180" spans="6:6" x14ac:dyDescent="0.3">
      <c r="F32180" s="193"/>
    </row>
    <row r="32181" spans="6:6" x14ac:dyDescent="0.3">
      <c r="F32181" s="193"/>
    </row>
    <row r="32182" spans="6:6" x14ac:dyDescent="0.3">
      <c r="F32182" s="193"/>
    </row>
    <row r="32183" spans="6:6" x14ac:dyDescent="0.3">
      <c r="F32183" s="193"/>
    </row>
    <row r="32184" spans="6:6" x14ac:dyDescent="0.3">
      <c r="F32184" s="193"/>
    </row>
    <row r="32185" spans="6:6" x14ac:dyDescent="0.3">
      <c r="F32185" s="193"/>
    </row>
    <row r="32186" spans="6:6" x14ac:dyDescent="0.3">
      <c r="F32186" s="193"/>
    </row>
    <row r="32187" spans="6:6" x14ac:dyDescent="0.3">
      <c r="F32187" s="193"/>
    </row>
    <row r="32188" spans="6:6" x14ac:dyDescent="0.3">
      <c r="F32188" s="193"/>
    </row>
    <row r="32189" spans="6:6" x14ac:dyDescent="0.3">
      <c r="F32189" s="193"/>
    </row>
    <row r="32190" spans="6:6" x14ac:dyDescent="0.3">
      <c r="F32190" s="193"/>
    </row>
    <row r="32191" spans="6:6" x14ac:dyDescent="0.3">
      <c r="F32191" s="193"/>
    </row>
    <row r="32192" spans="6:6" x14ac:dyDescent="0.3">
      <c r="F32192" s="193"/>
    </row>
    <row r="32193" spans="6:6" x14ac:dyDescent="0.3">
      <c r="F32193" s="193"/>
    </row>
    <row r="32194" spans="6:6" x14ac:dyDescent="0.3">
      <c r="F32194" s="193"/>
    </row>
    <row r="32195" spans="6:6" x14ac:dyDescent="0.3">
      <c r="F32195" s="193"/>
    </row>
    <row r="32196" spans="6:6" x14ac:dyDescent="0.3">
      <c r="F32196" s="193"/>
    </row>
    <row r="32197" spans="6:6" x14ac:dyDescent="0.3">
      <c r="F32197" s="193"/>
    </row>
    <row r="32198" spans="6:6" x14ac:dyDescent="0.3">
      <c r="F32198" s="193"/>
    </row>
    <row r="32199" spans="6:6" x14ac:dyDescent="0.3">
      <c r="F32199" s="193"/>
    </row>
    <row r="32200" spans="6:6" x14ac:dyDescent="0.3">
      <c r="F32200" s="193"/>
    </row>
    <row r="32201" spans="6:6" x14ac:dyDescent="0.3">
      <c r="F32201" s="193"/>
    </row>
    <row r="32202" spans="6:6" x14ac:dyDescent="0.3">
      <c r="F32202" s="193"/>
    </row>
    <row r="32203" spans="6:6" x14ac:dyDescent="0.3">
      <c r="F32203" s="193"/>
    </row>
    <row r="32204" spans="6:6" x14ac:dyDescent="0.3">
      <c r="F32204" s="193"/>
    </row>
    <row r="32205" spans="6:6" x14ac:dyDescent="0.3">
      <c r="F32205" s="193"/>
    </row>
    <row r="32206" spans="6:6" x14ac:dyDescent="0.3">
      <c r="F32206" s="193"/>
    </row>
    <row r="32207" spans="6:6" x14ac:dyDescent="0.3">
      <c r="F32207" s="193"/>
    </row>
    <row r="32208" spans="6:6" x14ac:dyDescent="0.3">
      <c r="F32208" s="193"/>
    </row>
    <row r="32209" spans="6:6" x14ac:dyDescent="0.3">
      <c r="F32209" s="193"/>
    </row>
    <row r="32210" spans="6:6" x14ac:dyDescent="0.3">
      <c r="F32210" s="193"/>
    </row>
    <row r="32211" spans="6:6" x14ac:dyDescent="0.3">
      <c r="F32211" s="193"/>
    </row>
    <row r="32212" spans="6:6" x14ac:dyDescent="0.3">
      <c r="F32212" s="193"/>
    </row>
    <row r="32213" spans="6:6" x14ac:dyDescent="0.3">
      <c r="F32213" s="193"/>
    </row>
    <row r="32214" spans="6:6" x14ac:dyDescent="0.3">
      <c r="F32214" s="193"/>
    </row>
    <row r="32215" spans="6:6" x14ac:dyDescent="0.3">
      <c r="F32215" s="193"/>
    </row>
    <row r="32216" spans="6:6" x14ac:dyDescent="0.3">
      <c r="F32216" s="193"/>
    </row>
    <row r="32217" spans="6:6" x14ac:dyDescent="0.3">
      <c r="F32217" s="193"/>
    </row>
    <row r="32218" spans="6:6" x14ac:dyDescent="0.3">
      <c r="F32218" s="193"/>
    </row>
    <row r="32219" spans="6:6" x14ac:dyDescent="0.3">
      <c r="F32219" s="193"/>
    </row>
    <row r="32220" spans="6:6" x14ac:dyDescent="0.3">
      <c r="F32220" s="193"/>
    </row>
    <row r="32221" spans="6:6" x14ac:dyDescent="0.3">
      <c r="F32221" s="193"/>
    </row>
    <row r="32222" spans="6:6" x14ac:dyDescent="0.3">
      <c r="F32222" s="193"/>
    </row>
    <row r="32223" spans="6:6" x14ac:dyDescent="0.3">
      <c r="F32223" s="193"/>
    </row>
    <row r="32224" spans="6:6" x14ac:dyDescent="0.3">
      <c r="F32224" s="193"/>
    </row>
    <row r="32225" spans="6:6" x14ac:dyDescent="0.3">
      <c r="F32225" s="193"/>
    </row>
    <row r="32226" spans="6:6" x14ac:dyDescent="0.3">
      <c r="F32226" s="193"/>
    </row>
    <row r="32227" spans="6:6" x14ac:dyDescent="0.3">
      <c r="F32227" s="193"/>
    </row>
    <row r="32228" spans="6:6" x14ac:dyDescent="0.3">
      <c r="F32228" s="193"/>
    </row>
    <row r="32229" spans="6:6" x14ac:dyDescent="0.3">
      <c r="F32229" s="193"/>
    </row>
    <row r="32230" spans="6:6" x14ac:dyDescent="0.3">
      <c r="F32230" s="193"/>
    </row>
    <row r="32231" spans="6:6" x14ac:dyDescent="0.3">
      <c r="F32231" s="193"/>
    </row>
    <row r="32232" spans="6:6" x14ac:dyDescent="0.3">
      <c r="F32232" s="193"/>
    </row>
    <row r="32233" spans="6:6" x14ac:dyDescent="0.3">
      <c r="F32233" s="193"/>
    </row>
    <row r="32234" spans="6:6" x14ac:dyDescent="0.3">
      <c r="F32234" s="193"/>
    </row>
    <row r="32235" spans="6:6" x14ac:dyDescent="0.3">
      <c r="F32235" s="193"/>
    </row>
    <row r="32236" spans="6:6" x14ac:dyDescent="0.3">
      <c r="F32236" s="193"/>
    </row>
    <row r="32237" spans="6:6" x14ac:dyDescent="0.3">
      <c r="F32237" s="193"/>
    </row>
    <row r="32238" spans="6:6" x14ac:dyDescent="0.3">
      <c r="F32238" s="193"/>
    </row>
    <row r="32239" spans="6:6" x14ac:dyDescent="0.3">
      <c r="F32239" s="193"/>
    </row>
    <row r="32240" spans="6:6" x14ac:dyDescent="0.3">
      <c r="F32240" s="193"/>
    </row>
    <row r="32241" spans="6:6" x14ac:dyDescent="0.3">
      <c r="F32241" s="193"/>
    </row>
    <row r="32242" spans="6:6" x14ac:dyDescent="0.3">
      <c r="F32242" s="193"/>
    </row>
    <row r="32243" spans="6:6" x14ac:dyDescent="0.3">
      <c r="F32243" s="193"/>
    </row>
    <row r="32244" spans="6:6" x14ac:dyDescent="0.3">
      <c r="F32244" s="193"/>
    </row>
    <row r="32245" spans="6:6" x14ac:dyDescent="0.3">
      <c r="F32245" s="193"/>
    </row>
    <row r="32246" spans="6:6" x14ac:dyDescent="0.3">
      <c r="F32246" s="193"/>
    </row>
    <row r="32247" spans="6:6" x14ac:dyDescent="0.3">
      <c r="F32247" s="193"/>
    </row>
    <row r="32248" spans="6:6" x14ac:dyDescent="0.3">
      <c r="F32248" s="193"/>
    </row>
    <row r="32249" spans="6:6" x14ac:dyDescent="0.3">
      <c r="F32249" s="193"/>
    </row>
    <row r="32250" spans="6:6" x14ac:dyDescent="0.3">
      <c r="F32250" s="193"/>
    </row>
    <row r="32251" spans="6:6" x14ac:dyDescent="0.3">
      <c r="F32251" s="193"/>
    </row>
    <row r="32252" spans="6:6" x14ac:dyDescent="0.3">
      <c r="F32252" s="193"/>
    </row>
    <row r="32253" spans="6:6" x14ac:dyDescent="0.3">
      <c r="F32253" s="193"/>
    </row>
    <row r="32254" spans="6:6" x14ac:dyDescent="0.3">
      <c r="F32254" s="193"/>
    </row>
    <row r="32255" spans="6:6" x14ac:dyDescent="0.3">
      <c r="F32255" s="193"/>
    </row>
    <row r="32256" spans="6:6" x14ac:dyDescent="0.3">
      <c r="F32256" s="193"/>
    </row>
    <row r="32257" spans="6:6" x14ac:dyDescent="0.3">
      <c r="F32257" s="193"/>
    </row>
    <row r="32258" spans="6:6" x14ac:dyDescent="0.3">
      <c r="F32258" s="193"/>
    </row>
    <row r="32259" spans="6:6" x14ac:dyDescent="0.3">
      <c r="F32259" s="193"/>
    </row>
    <row r="32260" spans="6:6" x14ac:dyDescent="0.3">
      <c r="F32260" s="193"/>
    </row>
    <row r="32261" spans="6:6" x14ac:dyDescent="0.3">
      <c r="F32261" s="193"/>
    </row>
    <row r="32262" spans="6:6" x14ac:dyDescent="0.3">
      <c r="F32262" s="193"/>
    </row>
    <row r="32263" spans="6:6" x14ac:dyDescent="0.3">
      <c r="F32263" s="193"/>
    </row>
    <row r="32264" spans="6:6" x14ac:dyDescent="0.3">
      <c r="F32264" s="193"/>
    </row>
    <row r="32265" spans="6:6" x14ac:dyDescent="0.3">
      <c r="F32265" s="193"/>
    </row>
    <row r="32266" spans="6:6" x14ac:dyDescent="0.3">
      <c r="F32266" s="193"/>
    </row>
    <row r="32267" spans="6:6" x14ac:dyDescent="0.3">
      <c r="F32267" s="193"/>
    </row>
    <row r="32268" spans="6:6" x14ac:dyDescent="0.3">
      <c r="F32268" s="193"/>
    </row>
    <row r="32269" spans="6:6" x14ac:dyDescent="0.3">
      <c r="F32269" s="193"/>
    </row>
    <row r="32270" spans="6:6" x14ac:dyDescent="0.3">
      <c r="F32270" s="193"/>
    </row>
    <row r="32271" spans="6:6" x14ac:dyDescent="0.3">
      <c r="F32271" s="193"/>
    </row>
    <row r="32272" spans="6:6" x14ac:dyDescent="0.3">
      <c r="F32272" s="193"/>
    </row>
    <row r="32273" spans="6:6" x14ac:dyDescent="0.3">
      <c r="F32273" s="193"/>
    </row>
    <row r="32274" spans="6:6" x14ac:dyDescent="0.3">
      <c r="F32274" s="193"/>
    </row>
    <row r="32275" spans="6:6" x14ac:dyDescent="0.3">
      <c r="F32275" s="193"/>
    </row>
    <row r="32276" spans="6:6" x14ac:dyDescent="0.3">
      <c r="F32276" s="193"/>
    </row>
    <row r="32277" spans="6:6" x14ac:dyDescent="0.3">
      <c r="F32277" s="193"/>
    </row>
    <row r="32278" spans="6:6" x14ac:dyDescent="0.3">
      <c r="F32278" s="193"/>
    </row>
    <row r="32279" spans="6:6" x14ac:dyDescent="0.3">
      <c r="F32279" s="193"/>
    </row>
    <row r="32280" spans="6:6" x14ac:dyDescent="0.3">
      <c r="F32280" s="193"/>
    </row>
    <row r="32281" spans="6:6" x14ac:dyDescent="0.3">
      <c r="F32281" s="193"/>
    </row>
    <row r="32282" spans="6:6" x14ac:dyDescent="0.3">
      <c r="F32282" s="193"/>
    </row>
    <row r="32283" spans="6:6" x14ac:dyDescent="0.3">
      <c r="F32283" s="193"/>
    </row>
    <row r="32284" spans="6:6" x14ac:dyDescent="0.3">
      <c r="F32284" s="193"/>
    </row>
    <row r="32285" spans="6:6" x14ac:dyDescent="0.3">
      <c r="F32285" s="193"/>
    </row>
    <row r="32286" spans="6:6" x14ac:dyDescent="0.3">
      <c r="F32286" s="193"/>
    </row>
    <row r="32287" spans="6:6" x14ac:dyDescent="0.3">
      <c r="F32287" s="193"/>
    </row>
    <row r="32288" spans="6:6" x14ac:dyDescent="0.3">
      <c r="F32288" s="193"/>
    </row>
    <row r="32289" spans="6:6" x14ac:dyDescent="0.3">
      <c r="F32289" s="193"/>
    </row>
    <row r="32290" spans="6:6" x14ac:dyDescent="0.3">
      <c r="F32290" s="193"/>
    </row>
    <row r="32291" spans="6:6" x14ac:dyDescent="0.3">
      <c r="F32291" s="193"/>
    </row>
    <row r="32292" spans="6:6" x14ac:dyDescent="0.3">
      <c r="F32292" s="193"/>
    </row>
    <row r="32293" spans="6:6" x14ac:dyDescent="0.3">
      <c r="F32293" s="193"/>
    </row>
    <row r="32294" spans="6:6" x14ac:dyDescent="0.3">
      <c r="F32294" s="193"/>
    </row>
    <row r="32295" spans="6:6" x14ac:dyDescent="0.3">
      <c r="F32295" s="193"/>
    </row>
    <row r="32296" spans="6:6" x14ac:dyDescent="0.3">
      <c r="F32296" s="193"/>
    </row>
    <row r="32297" spans="6:6" x14ac:dyDescent="0.3">
      <c r="F32297" s="193"/>
    </row>
    <row r="32298" spans="6:6" x14ac:dyDescent="0.3">
      <c r="F32298" s="193"/>
    </row>
    <row r="32299" spans="6:6" x14ac:dyDescent="0.3">
      <c r="F32299" s="193"/>
    </row>
    <row r="32300" spans="6:6" x14ac:dyDescent="0.3">
      <c r="F32300" s="193"/>
    </row>
    <row r="32301" spans="6:6" x14ac:dyDescent="0.3">
      <c r="F32301" s="193"/>
    </row>
    <row r="32302" spans="6:6" x14ac:dyDescent="0.3">
      <c r="F32302" s="193"/>
    </row>
    <row r="32303" spans="6:6" x14ac:dyDescent="0.3">
      <c r="F32303" s="193"/>
    </row>
    <row r="32304" spans="6:6" x14ac:dyDescent="0.3">
      <c r="F32304" s="193"/>
    </row>
    <row r="32305" spans="6:6" x14ac:dyDescent="0.3">
      <c r="F32305" s="193"/>
    </row>
    <row r="32306" spans="6:6" x14ac:dyDescent="0.3">
      <c r="F32306" s="193"/>
    </row>
    <row r="32307" spans="6:6" x14ac:dyDescent="0.3">
      <c r="F32307" s="193"/>
    </row>
    <row r="32308" spans="6:6" x14ac:dyDescent="0.3">
      <c r="F32308" s="193"/>
    </row>
    <row r="32309" spans="6:6" x14ac:dyDescent="0.3">
      <c r="F32309" s="193"/>
    </row>
    <row r="32310" spans="6:6" x14ac:dyDescent="0.3">
      <c r="F32310" s="193"/>
    </row>
    <row r="32311" spans="6:6" x14ac:dyDescent="0.3">
      <c r="F32311" s="193"/>
    </row>
    <row r="32312" spans="6:6" x14ac:dyDescent="0.3">
      <c r="F32312" s="193"/>
    </row>
    <row r="32313" spans="6:6" x14ac:dyDescent="0.3">
      <c r="F32313" s="193"/>
    </row>
    <row r="32314" spans="6:6" x14ac:dyDescent="0.3">
      <c r="F32314" s="193"/>
    </row>
    <row r="32315" spans="6:6" x14ac:dyDescent="0.3">
      <c r="F32315" s="193"/>
    </row>
    <row r="32316" spans="6:6" x14ac:dyDescent="0.3">
      <c r="F32316" s="193"/>
    </row>
    <row r="32317" spans="6:6" x14ac:dyDescent="0.3">
      <c r="F32317" s="193"/>
    </row>
    <row r="32318" spans="6:6" x14ac:dyDescent="0.3">
      <c r="F32318" s="193"/>
    </row>
    <row r="32319" spans="6:6" x14ac:dyDescent="0.3">
      <c r="F32319" s="193"/>
    </row>
    <row r="32320" spans="6:6" x14ac:dyDescent="0.3">
      <c r="F32320" s="193"/>
    </row>
    <row r="32321" spans="6:6" x14ac:dyDescent="0.3">
      <c r="F32321" s="193"/>
    </row>
    <row r="32322" spans="6:6" x14ac:dyDescent="0.3">
      <c r="F32322" s="193"/>
    </row>
    <row r="32323" spans="6:6" x14ac:dyDescent="0.3">
      <c r="F32323" s="193"/>
    </row>
    <row r="32324" spans="6:6" x14ac:dyDescent="0.3">
      <c r="F32324" s="193"/>
    </row>
    <row r="32325" spans="6:6" x14ac:dyDescent="0.3">
      <c r="F32325" s="193"/>
    </row>
    <row r="32326" spans="6:6" x14ac:dyDescent="0.3">
      <c r="F32326" s="193"/>
    </row>
    <row r="32327" spans="6:6" x14ac:dyDescent="0.3">
      <c r="F32327" s="193"/>
    </row>
    <row r="32328" spans="6:6" x14ac:dyDescent="0.3">
      <c r="F32328" s="193"/>
    </row>
    <row r="32329" spans="6:6" x14ac:dyDescent="0.3">
      <c r="F32329" s="193"/>
    </row>
    <row r="32330" spans="6:6" x14ac:dyDescent="0.3">
      <c r="F32330" s="193"/>
    </row>
    <row r="32331" spans="6:6" x14ac:dyDescent="0.3">
      <c r="F32331" s="193"/>
    </row>
    <row r="32332" spans="6:6" x14ac:dyDescent="0.3">
      <c r="F32332" s="193"/>
    </row>
    <row r="32333" spans="6:6" x14ac:dyDescent="0.3">
      <c r="F32333" s="193"/>
    </row>
    <row r="32334" spans="6:6" x14ac:dyDescent="0.3">
      <c r="F32334" s="193"/>
    </row>
    <row r="32335" spans="6:6" x14ac:dyDescent="0.3">
      <c r="F32335" s="193"/>
    </row>
    <row r="32336" spans="6:6" x14ac:dyDescent="0.3">
      <c r="F32336" s="193"/>
    </row>
    <row r="32337" spans="6:6" x14ac:dyDescent="0.3">
      <c r="F32337" s="193"/>
    </row>
    <row r="32338" spans="6:6" x14ac:dyDescent="0.3">
      <c r="F32338" s="193"/>
    </row>
    <row r="32339" spans="6:6" x14ac:dyDescent="0.3">
      <c r="F32339" s="193"/>
    </row>
    <row r="32340" spans="6:6" x14ac:dyDescent="0.3">
      <c r="F32340" s="193"/>
    </row>
    <row r="32341" spans="6:6" x14ac:dyDescent="0.3">
      <c r="F32341" s="193"/>
    </row>
    <row r="32342" spans="6:6" x14ac:dyDescent="0.3">
      <c r="F32342" s="193"/>
    </row>
    <row r="32343" spans="6:6" x14ac:dyDescent="0.3">
      <c r="F32343" s="193"/>
    </row>
    <row r="32344" spans="6:6" x14ac:dyDescent="0.3">
      <c r="F32344" s="193"/>
    </row>
    <row r="32345" spans="6:6" x14ac:dyDescent="0.3">
      <c r="F32345" s="193"/>
    </row>
    <row r="32346" spans="6:6" x14ac:dyDescent="0.3">
      <c r="F32346" s="193"/>
    </row>
    <row r="32347" spans="6:6" x14ac:dyDescent="0.3">
      <c r="F32347" s="193"/>
    </row>
    <row r="32348" spans="6:6" x14ac:dyDescent="0.3">
      <c r="F32348" s="193"/>
    </row>
    <row r="32349" spans="6:6" x14ac:dyDescent="0.3">
      <c r="F32349" s="193"/>
    </row>
    <row r="32350" spans="6:6" x14ac:dyDescent="0.3">
      <c r="F32350" s="193"/>
    </row>
    <row r="32351" spans="6:6" x14ac:dyDescent="0.3">
      <c r="F32351" s="193"/>
    </row>
    <row r="32352" spans="6:6" x14ac:dyDescent="0.3">
      <c r="F32352" s="193"/>
    </row>
    <row r="32353" spans="6:6" x14ac:dyDescent="0.3">
      <c r="F32353" s="193"/>
    </row>
    <row r="32354" spans="6:6" x14ac:dyDescent="0.3">
      <c r="F32354" s="193"/>
    </row>
    <row r="32355" spans="6:6" x14ac:dyDescent="0.3">
      <c r="F32355" s="193"/>
    </row>
    <row r="32356" spans="6:6" x14ac:dyDescent="0.3">
      <c r="F32356" s="193"/>
    </row>
    <row r="32357" spans="6:6" x14ac:dyDescent="0.3">
      <c r="F32357" s="193"/>
    </row>
    <row r="32358" spans="6:6" x14ac:dyDescent="0.3">
      <c r="F32358" s="193"/>
    </row>
    <row r="32359" spans="6:6" x14ac:dyDescent="0.3">
      <c r="F32359" s="193"/>
    </row>
    <row r="32360" spans="6:6" x14ac:dyDescent="0.3">
      <c r="F32360" s="193"/>
    </row>
    <row r="32361" spans="6:6" x14ac:dyDescent="0.3">
      <c r="F32361" s="193"/>
    </row>
    <row r="32362" spans="6:6" x14ac:dyDescent="0.3">
      <c r="F32362" s="193"/>
    </row>
    <row r="32363" spans="6:6" x14ac:dyDescent="0.3">
      <c r="F32363" s="193"/>
    </row>
    <row r="32364" spans="6:6" x14ac:dyDescent="0.3">
      <c r="F32364" s="193"/>
    </row>
    <row r="32365" spans="6:6" x14ac:dyDescent="0.3">
      <c r="F32365" s="193"/>
    </row>
    <row r="32366" spans="6:6" x14ac:dyDescent="0.3">
      <c r="F32366" s="193"/>
    </row>
    <row r="32367" spans="6:6" x14ac:dyDescent="0.3">
      <c r="F32367" s="193"/>
    </row>
    <row r="32368" spans="6:6" x14ac:dyDescent="0.3">
      <c r="F32368" s="193"/>
    </row>
    <row r="32369" spans="6:6" x14ac:dyDescent="0.3">
      <c r="F32369" s="193"/>
    </row>
    <row r="32370" spans="6:6" x14ac:dyDescent="0.3">
      <c r="F32370" s="193"/>
    </row>
    <row r="32371" spans="6:6" x14ac:dyDescent="0.3">
      <c r="F32371" s="193"/>
    </row>
    <row r="32372" spans="6:6" x14ac:dyDescent="0.3">
      <c r="F32372" s="193"/>
    </row>
    <row r="32373" spans="6:6" x14ac:dyDescent="0.3">
      <c r="F32373" s="193"/>
    </row>
    <row r="32374" spans="6:6" x14ac:dyDescent="0.3">
      <c r="F32374" s="193"/>
    </row>
    <row r="32375" spans="6:6" x14ac:dyDescent="0.3">
      <c r="F32375" s="193"/>
    </row>
    <row r="32376" spans="6:6" x14ac:dyDescent="0.3">
      <c r="F32376" s="193"/>
    </row>
    <row r="32377" spans="6:6" x14ac:dyDescent="0.3">
      <c r="F32377" s="193"/>
    </row>
    <row r="32378" spans="6:6" x14ac:dyDescent="0.3">
      <c r="F32378" s="193"/>
    </row>
    <row r="32379" spans="6:6" x14ac:dyDescent="0.3">
      <c r="F32379" s="193"/>
    </row>
    <row r="32380" spans="6:6" x14ac:dyDescent="0.3">
      <c r="F32380" s="193"/>
    </row>
    <row r="32381" spans="6:6" x14ac:dyDescent="0.3">
      <c r="F32381" s="193"/>
    </row>
    <row r="32382" spans="6:6" x14ac:dyDescent="0.3">
      <c r="F32382" s="193"/>
    </row>
    <row r="32383" spans="6:6" x14ac:dyDescent="0.3">
      <c r="F32383" s="193"/>
    </row>
    <row r="32384" spans="6:6" x14ac:dyDescent="0.3">
      <c r="F32384" s="193"/>
    </row>
    <row r="32385" spans="6:6" x14ac:dyDescent="0.3">
      <c r="F32385" s="193"/>
    </row>
    <row r="32386" spans="6:6" x14ac:dyDescent="0.3">
      <c r="F32386" s="193"/>
    </row>
    <row r="32387" spans="6:6" x14ac:dyDescent="0.3">
      <c r="F32387" s="193"/>
    </row>
    <row r="32388" spans="6:6" x14ac:dyDescent="0.3">
      <c r="F32388" s="193"/>
    </row>
    <row r="32389" spans="6:6" x14ac:dyDescent="0.3">
      <c r="F32389" s="193"/>
    </row>
    <row r="32390" spans="6:6" x14ac:dyDescent="0.3">
      <c r="F32390" s="193"/>
    </row>
    <row r="32391" spans="6:6" x14ac:dyDescent="0.3">
      <c r="F32391" s="193"/>
    </row>
    <row r="32392" spans="6:6" x14ac:dyDescent="0.3">
      <c r="F32392" s="193"/>
    </row>
    <row r="32393" spans="6:6" x14ac:dyDescent="0.3">
      <c r="F32393" s="193"/>
    </row>
    <row r="32394" spans="6:6" x14ac:dyDescent="0.3">
      <c r="F32394" s="193"/>
    </row>
    <row r="32395" spans="6:6" x14ac:dyDescent="0.3">
      <c r="F32395" s="193"/>
    </row>
    <row r="32396" spans="6:6" x14ac:dyDescent="0.3">
      <c r="F32396" s="193"/>
    </row>
    <row r="32397" spans="6:6" x14ac:dyDescent="0.3">
      <c r="F32397" s="193"/>
    </row>
    <row r="32398" spans="6:6" x14ac:dyDescent="0.3">
      <c r="F32398" s="193"/>
    </row>
    <row r="32399" spans="6:6" x14ac:dyDescent="0.3">
      <c r="F32399" s="193"/>
    </row>
    <row r="32400" spans="6:6" x14ac:dyDescent="0.3">
      <c r="F32400" s="193"/>
    </row>
    <row r="32401" spans="6:6" x14ac:dyDescent="0.3">
      <c r="F32401" s="193"/>
    </row>
    <row r="32402" spans="6:6" x14ac:dyDescent="0.3">
      <c r="F32402" s="193"/>
    </row>
    <row r="32403" spans="6:6" x14ac:dyDescent="0.3">
      <c r="F32403" s="193"/>
    </row>
    <row r="32404" spans="6:6" x14ac:dyDescent="0.3">
      <c r="F32404" s="193"/>
    </row>
    <row r="32405" spans="6:6" x14ac:dyDescent="0.3">
      <c r="F32405" s="193"/>
    </row>
    <row r="32406" spans="6:6" x14ac:dyDescent="0.3">
      <c r="F32406" s="193"/>
    </row>
    <row r="32407" spans="6:6" x14ac:dyDescent="0.3">
      <c r="F32407" s="193"/>
    </row>
    <row r="32408" spans="6:6" x14ac:dyDescent="0.3">
      <c r="F32408" s="193"/>
    </row>
    <row r="32409" spans="6:6" x14ac:dyDescent="0.3">
      <c r="F32409" s="193"/>
    </row>
    <row r="32410" spans="6:6" x14ac:dyDescent="0.3">
      <c r="F32410" s="193"/>
    </row>
    <row r="32411" spans="6:6" x14ac:dyDescent="0.3">
      <c r="F32411" s="193"/>
    </row>
    <row r="32412" spans="6:6" x14ac:dyDescent="0.3">
      <c r="F32412" s="193"/>
    </row>
    <row r="32413" spans="6:6" x14ac:dyDescent="0.3">
      <c r="F32413" s="193"/>
    </row>
    <row r="32414" spans="6:6" x14ac:dyDescent="0.3">
      <c r="F32414" s="193"/>
    </row>
    <row r="32415" spans="6:6" x14ac:dyDescent="0.3">
      <c r="F32415" s="193"/>
    </row>
    <row r="32416" spans="6:6" x14ac:dyDescent="0.3">
      <c r="F32416" s="193"/>
    </row>
    <row r="32417" spans="6:6" x14ac:dyDescent="0.3">
      <c r="F32417" s="193"/>
    </row>
    <row r="32418" spans="6:6" x14ac:dyDescent="0.3">
      <c r="F32418" s="193"/>
    </row>
    <row r="32419" spans="6:6" x14ac:dyDescent="0.3">
      <c r="F32419" s="193"/>
    </row>
    <row r="32420" spans="6:6" x14ac:dyDescent="0.3">
      <c r="F32420" s="193"/>
    </row>
    <row r="32421" spans="6:6" x14ac:dyDescent="0.3">
      <c r="F32421" s="193"/>
    </row>
    <row r="32422" spans="6:6" x14ac:dyDescent="0.3">
      <c r="F32422" s="193"/>
    </row>
    <row r="32423" spans="6:6" x14ac:dyDescent="0.3">
      <c r="F32423" s="193"/>
    </row>
    <row r="32424" spans="6:6" x14ac:dyDescent="0.3">
      <c r="F32424" s="193"/>
    </row>
    <row r="32425" spans="6:6" x14ac:dyDescent="0.3">
      <c r="F32425" s="193"/>
    </row>
    <row r="32426" spans="6:6" x14ac:dyDescent="0.3">
      <c r="F32426" s="193"/>
    </row>
    <row r="32427" spans="6:6" x14ac:dyDescent="0.3">
      <c r="F32427" s="193"/>
    </row>
    <row r="32428" spans="6:6" x14ac:dyDescent="0.3">
      <c r="F32428" s="193"/>
    </row>
    <row r="32429" spans="6:6" x14ac:dyDescent="0.3">
      <c r="F32429" s="193"/>
    </row>
    <row r="32430" spans="6:6" x14ac:dyDescent="0.3">
      <c r="F32430" s="193"/>
    </row>
    <row r="32431" spans="6:6" x14ac:dyDescent="0.3">
      <c r="F32431" s="193"/>
    </row>
    <row r="32432" spans="6:6" x14ac:dyDescent="0.3">
      <c r="F32432" s="193"/>
    </row>
    <row r="32433" spans="6:6" x14ac:dyDescent="0.3">
      <c r="F32433" s="193"/>
    </row>
    <row r="32434" spans="6:6" x14ac:dyDescent="0.3">
      <c r="F32434" s="193"/>
    </row>
    <row r="32435" spans="6:6" x14ac:dyDescent="0.3">
      <c r="F32435" s="193"/>
    </row>
    <row r="32436" spans="6:6" x14ac:dyDescent="0.3">
      <c r="F32436" s="193"/>
    </row>
    <row r="32437" spans="6:6" x14ac:dyDescent="0.3">
      <c r="F32437" s="193"/>
    </row>
    <row r="32438" spans="6:6" x14ac:dyDescent="0.3">
      <c r="F32438" s="193"/>
    </row>
    <row r="32439" spans="6:6" x14ac:dyDescent="0.3">
      <c r="F32439" s="193"/>
    </row>
    <row r="32440" spans="6:6" x14ac:dyDescent="0.3">
      <c r="F32440" s="193"/>
    </row>
    <row r="32441" spans="6:6" x14ac:dyDescent="0.3">
      <c r="F32441" s="193"/>
    </row>
    <row r="32442" spans="6:6" x14ac:dyDescent="0.3">
      <c r="F32442" s="193"/>
    </row>
    <row r="32443" spans="6:6" x14ac:dyDescent="0.3">
      <c r="F32443" s="193"/>
    </row>
    <row r="32444" spans="6:6" x14ac:dyDescent="0.3">
      <c r="F32444" s="193"/>
    </row>
    <row r="32445" spans="6:6" x14ac:dyDescent="0.3">
      <c r="F32445" s="193"/>
    </row>
    <row r="32446" spans="6:6" x14ac:dyDescent="0.3">
      <c r="F32446" s="193"/>
    </row>
    <row r="32447" spans="6:6" x14ac:dyDescent="0.3">
      <c r="F32447" s="193"/>
    </row>
    <row r="32448" spans="6:6" x14ac:dyDescent="0.3">
      <c r="F32448" s="193"/>
    </row>
    <row r="32449" spans="6:6" x14ac:dyDescent="0.3">
      <c r="F32449" s="193"/>
    </row>
    <row r="32450" spans="6:6" x14ac:dyDescent="0.3">
      <c r="F32450" s="193"/>
    </row>
    <row r="32451" spans="6:6" x14ac:dyDescent="0.3">
      <c r="F32451" s="193"/>
    </row>
    <row r="32452" spans="6:6" x14ac:dyDescent="0.3">
      <c r="F32452" s="193"/>
    </row>
    <row r="32453" spans="6:6" x14ac:dyDescent="0.3">
      <c r="F32453" s="193"/>
    </row>
    <row r="32454" spans="6:6" x14ac:dyDescent="0.3">
      <c r="F32454" s="193"/>
    </row>
    <row r="32455" spans="6:6" x14ac:dyDescent="0.3">
      <c r="F32455" s="193"/>
    </row>
    <row r="32456" spans="6:6" x14ac:dyDescent="0.3">
      <c r="F32456" s="193"/>
    </row>
    <row r="32457" spans="6:6" x14ac:dyDescent="0.3">
      <c r="F32457" s="193"/>
    </row>
    <row r="32458" spans="6:6" x14ac:dyDescent="0.3">
      <c r="F32458" s="193"/>
    </row>
    <row r="32459" spans="6:6" x14ac:dyDescent="0.3">
      <c r="F32459" s="193"/>
    </row>
    <row r="32460" spans="6:6" x14ac:dyDescent="0.3">
      <c r="F32460" s="193"/>
    </row>
    <row r="32461" spans="6:6" x14ac:dyDescent="0.3">
      <c r="F32461" s="193"/>
    </row>
    <row r="32462" spans="6:6" x14ac:dyDescent="0.3">
      <c r="F32462" s="193"/>
    </row>
    <row r="32463" spans="6:6" x14ac:dyDescent="0.3">
      <c r="F32463" s="193"/>
    </row>
    <row r="32464" spans="6:6" x14ac:dyDescent="0.3">
      <c r="F32464" s="193"/>
    </row>
    <row r="32465" spans="6:6" x14ac:dyDescent="0.3">
      <c r="F32465" s="193"/>
    </row>
    <row r="32466" spans="6:6" x14ac:dyDescent="0.3">
      <c r="F32466" s="193"/>
    </row>
    <row r="32467" spans="6:6" x14ac:dyDescent="0.3">
      <c r="F32467" s="193"/>
    </row>
    <row r="32468" spans="6:6" x14ac:dyDescent="0.3">
      <c r="F32468" s="193"/>
    </row>
    <row r="32469" spans="6:6" x14ac:dyDescent="0.3">
      <c r="F32469" s="193"/>
    </row>
    <row r="32470" spans="6:6" x14ac:dyDescent="0.3">
      <c r="F32470" s="193"/>
    </row>
    <row r="32471" spans="6:6" x14ac:dyDescent="0.3">
      <c r="F32471" s="193"/>
    </row>
    <row r="32472" spans="6:6" x14ac:dyDescent="0.3">
      <c r="F32472" s="193"/>
    </row>
    <row r="32473" spans="6:6" x14ac:dyDescent="0.3">
      <c r="F32473" s="193"/>
    </row>
    <row r="32474" spans="6:6" x14ac:dyDescent="0.3">
      <c r="F32474" s="193"/>
    </row>
    <row r="32475" spans="6:6" x14ac:dyDescent="0.3">
      <c r="F32475" s="193"/>
    </row>
    <row r="32476" spans="6:6" x14ac:dyDescent="0.3">
      <c r="F32476" s="193"/>
    </row>
    <row r="32477" spans="6:6" x14ac:dyDescent="0.3">
      <c r="F32477" s="193"/>
    </row>
    <row r="32478" spans="6:6" x14ac:dyDescent="0.3">
      <c r="F32478" s="193"/>
    </row>
    <row r="32479" spans="6:6" x14ac:dyDescent="0.3">
      <c r="F32479" s="193"/>
    </row>
    <row r="32480" spans="6:6" x14ac:dyDescent="0.3">
      <c r="F32480" s="193"/>
    </row>
    <row r="32481" spans="6:6" x14ac:dyDescent="0.3">
      <c r="F32481" s="193"/>
    </row>
    <row r="32482" spans="6:6" x14ac:dyDescent="0.3">
      <c r="F32482" s="193"/>
    </row>
    <row r="32483" spans="6:6" x14ac:dyDescent="0.3">
      <c r="F32483" s="193"/>
    </row>
    <row r="32484" spans="6:6" x14ac:dyDescent="0.3">
      <c r="F32484" s="193"/>
    </row>
    <row r="32485" spans="6:6" x14ac:dyDescent="0.3">
      <c r="F32485" s="193"/>
    </row>
    <row r="32486" spans="6:6" x14ac:dyDescent="0.3">
      <c r="F32486" s="193"/>
    </row>
    <row r="32487" spans="6:6" x14ac:dyDescent="0.3">
      <c r="F32487" s="193"/>
    </row>
    <row r="32488" spans="6:6" x14ac:dyDescent="0.3">
      <c r="F32488" s="193"/>
    </row>
    <row r="32489" spans="6:6" x14ac:dyDescent="0.3">
      <c r="F32489" s="193"/>
    </row>
    <row r="32490" spans="6:6" x14ac:dyDescent="0.3">
      <c r="F32490" s="193"/>
    </row>
    <row r="32491" spans="6:6" x14ac:dyDescent="0.3">
      <c r="F32491" s="193"/>
    </row>
    <row r="32492" spans="6:6" x14ac:dyDescent="0.3">
      <c r="F32492" s="193"/>
    </row>
    <row r="32493" spans="6:6" x14ac:dyDescent="0.3">
      <c r="F32493" s="193"/>
    </row>
    <row r="32494" spans="6:6" x14ac:dyDescent="0.3">
      <c r="F32494" s="193"/>
    </row>
    <row r="32495" spans="6:6" x14ac:dyDescent="0.3">
      <c r="F32495" s="193"/>
    </row>
    <row r="32496" spans="6:6" x14ac:dyDescent="0.3">
      <c r="F32496" s="193"/>
    </row>
    <row r="32497" spans="6:6" x14ac:dyDescent="0.3">
      <c r="F32497" s="193"/>
    </row>
    <row r="32498" spans="6:6" x14ac:dyDescent="0.3">
      <c r="F32498" s="193"/>
    </row>
    <row r="32499" spans="6:6" x14ac:dyDescent="0.3">
      <c r="F32499" s="193"/>
    </row>
    <row r="32500" spans="6:6" x14ac:dyDescent="0.3">
      <c r="F32500" s="193"/>
    </row>
    <row r="32501" spans="6:6" x14ac:dyDescent="0.3">
      <c r="F32501" s="193"/>
    </row>
    <row r="32502" spans="6:6" x14ac:dyDescent="0.3">
      <c r="F32502" s="193"/>
    </row>
    <row r="32503" spans="6:6" x14ac:dyDescent="0.3">
      <c r="F32503" s="193"/>
    </row>
    <row r="32504" spans="6:6" x14ac:dyDescent="0.3">
      <c r="F32504" s="193"/>
    </row>
    <row r="32505" spans="6:6" x14ac:dyDescent="0.3">
      <c r="F32505" s="193"/>
    </row>
    <row r="32506" spans="6:6" x14ac:dyDescent="0.3">
      <c r="F32506" s="193"/>
    </row>
    <row r="32507" spans="6:6" x14ac:dyDescent="0.3">
      <c r="F32507" s="193"/>
    </row>
    <row r="32508" spans="6:6" x14ac:dyDescent="0.3">
      <c r="F32508" s="193"/>
    </row>
    <row r="32509" spans="6:6" x14ac:dyDescent="0.3">
      <c r="F32509" s="193"/>
    </row>
    <row r="32510" spans="6:6" x14ac:dyDescent="0.3">
      <c r="F32510" s="193"/>
    </row>
    <row r="32511" spans="6:6" x14ac:dyDescent="0.3">
      <c r="F32511" s="193"/>
    </row>
    <row r="32512" spans="6:6" x14ac:dyDescent="0.3">
      <c r="F32512" s="193"/>
    </row>
    <row r="32513" spans="6:6" x14ac:dyDescent="0.3">
      <c r="F32513" s="193"/>
    </row>
    <row r="32514" spans="6:6" x14ac:dyDescent="0.3">
      <c r="F32514" s="193"/>
    </row>
    <row r="32515" spans="6:6" x14ac:dyDescent="0.3">
      <c r="F32515" s="193"/>
    </row>
    <row r="32516" spans="6:6" x14ac:dyDescent="0.3">
      <c r="F32516" s="193"/>
    </row>
    <row r="32517" spans="6:6" x14ac:dyDescent="0.3">
      <c r="F32517" s="193"/>
    </row>
    <row r="32518" spans="6:6" x14ac:dyDescent="0.3">
      <c r="F32518" s="193"/>
    </row>
    <row r="32519" spans="6:6" x14ac:dyDescent="0.3">
      <c r="F32519" s="193"/>
    </row>
    <row r="32520" spans="6:6" x14ac:dyDescent="0.3">
      <c r="F32520" s="193"/>
    </row>
    <row r="32521" spans="6:6" x14ac:dyDescent="0.3">
      <c r="F32521" s="193"/>
    </row>
    <row r="32522" spans="6:6" x14ac:dyDescent="0.3">
      <c r="F32522" s="193"/>
    </row>
    <row r="32523" spans="6:6" x14ac:dyDescent="0.3">
      <c r="F32523" s="193"/>
    </row>
    <row r="32524" spans="6:6" x14ac:dyDescent="0.3">
      <c r="F32524" s="193"/>
    </row>
    <row r="32525" spans="6:6" x14ac:dyDescent="0.3">
      <c r="F32525" s="193"/>
    </row>
    <row r="32526" spans="6:6" x14ac:dyDescent="0.3">
      <c r="F32526" s="193"/>
    </row>
    <row r="32527" spans="6:6" x14ac:dyDescent="0.3">
      <c r="F32527" s="193"/>
    </row>
    <row r="32528" spans="6:6" x14ac:dyDescent="0.3">
      <c r="F32528" s="193"/>
    </row>
    <row r="32529" spans="6:6" x14ac:dyDescent="0.3">
      <c r="F32529" s="193"/>
    </row>
    <row r="32530" spans="6:6" x14ac:dyDescent="0.3">
      <c r="F32530" s="193"/>
    </row>
    <row r="32531" spans="6:6" x14ac:dyDescent="0.3">
      <c r="F32531" s="193"/>
    </row>
    <row r="32532" spans="6:6" x14ac:dyDescent="0.3">
      <c r="F32532" s="193"/>
    </row>
    <row r="32533" spans="6:6" x14ac:dyDescent="0.3">
      <c r="F32533" s="193"/>
    </row>
    <row r="32534" spans="6:6" x14ac:dyDescent="0.3">
      <c r="F32534" s="193"/>
    </row>
    <row r="32535" spans="6:6" x14ac:dyDescent="0.3">
      <c r="F32535" s="193"/>
    </row>
    <row r="32536" spans="6:6" x14ac:dyDescent="0.3">
      <c r="F32536" s="193"/>
    </row>
    <row r="32537" spans="6:6" x14ac:dyDescent="0.3">
      <c r="F32537" s="193"/>
    </row>
    <row r="32538" spans="6:6" x14ac:dyDescent="0.3">
      <c r="F32538" s="193"/>
    </row>
    <row r="32539" spans="6:6" x14ac:dyDescent="0.3">
      <c r="F32539" s="193"/>
    </row>
    <row r="32540" spans="6:6" x14ac:dyDescent="0.3">
      <c r="F32540" s="193"/>
    </row>
    <row r="32541" spans="6:6" x14ac:dyDescent="0.3">
      <c r="F32541" s="193"/>
    </row>
    <row r="32542" spans="6:6" x14ac:dyDescent="0.3">
      <c r="F32542" s="193"/>
    </row>
    <row r="32543" spans="6:6" x14ac:dyDescent="0.3">
      <c r="F32543" s="193"/>
    </row>
    <row r="32544" spans="6:6" x14ac:dyDescent="0.3">
      <c r="F32544" s="193"/>
    </row>
    <row r="32545" spans="6:6" x14ac:dyDescent="0.3">
      <c r="F32545" s="193"/>
    </row>
    <row r="32546" spans="6:6" x14ac:dyDescent="0.3">
      <c r="F32546" s="193"/>
    </row>
    <row r="32547" spans="6:6" x14ac:dyDescent="0.3">
      <c r="F32547" s="193"/>
    </row>
    <row r="32548" spans="6:6" x14ac:dyDescent="0.3">
      <c r="F32548" s="193"/>
    </row>
    <row r="32549" spans="6:6" x14ac:dyDescent="0.3">
      <c r="F32549" s="193"/>
    </row>
    <row r="32550" spans="6:6" x14ac:dyDescent="0.3">
      <c r="F32550" s="193"/>
    </row>
    <row r="32551" spans="6:6" x14ac:dyDescent="0.3">
      <c r="F32551" s="193"/>
    </row>
    <row r="32552" spans="6:6" x14ac:dyDescent="0.3">
      <c r="F32552" s="193"/>
    </row>
    <row r="32553" spans="6:6" x14ac:dyDescent="0.3">
      <c r="F32553" s="193"/>
    </row>
    <row r="32554" spans="6:6" x14ac:dyDescent="0.3">
      <c r="F32554" s="193"/>
    </row>
    <row r="32555" spans="6:6" x14ac:dyDescent="0.3">
      <c r="F32555" s="193"/>
    </row>
    <row r="32556" spans="6:6" x14ac:dyDescent="0.3">
      <c r="F32556" s="193"/>
    </row>
    <row r="32557" spans="6:6" x14ac:dyDescent="0.3">
      <c r="F32557" s="193"/>
    </row>
    <row r="32558" spans="6:6" x14ac:dyDescent="0.3">
      <c r="F32558" s="193"/>
    </row>
    <row r="32559" spans="6:6" x14ac:dyDescent="0.3">
      <c r="F32559" s="193"/>
    </row>
    <row r="32560" spans="6:6" x14ac:dyDescent="0.3">
      <c r="F32560" s="193"/>
    </row>
    <row r="32561" spans="6:6" x14ac:dyDescent="0.3">
      <c r="F32561" s="193"/>
    </row>
    <row r="32562" spans="6:6" x14ac:dyDescent="0.3">
      <c r="F32562" s="193"/>
    </row>
    <row r="32563" spans="6:6" x14ac:dyDescent="0.3">
      <c r="F32563" s="193"/>
    </row>
    <row r="32564" spans="6:6" x14ac:dyDescent="0.3">
      <c r="F32564" s="193"/>
    </row>
    <row r="32565" spans="6:6" x14ac:dyDescent="0.3">
      <c r="F32565" s="193"/>
    </row>
    <row r="32566" spans="6:6" x14ac:dyDescent="0.3">
      <c r="F32566" s="193"/>
    </row>
    <row r="32567" spans="6:6" x14ac:dyDescent="0.3">
      <c r="F32567" s="193"/>
    </row>
    <row r="32568" spans="6:6" x14ac:dyDescent="0.3">
      <c r="F32568" s="193"/>
    </row>
    <row r="32569" spans="6:6" x14ac:dyDescent="0.3">
      <c r="F32569" s="193"/>
    </row>
    <row r="32570" spans="6:6" x14ac:dyDescent="0.3">
      <c r="F32570" s="193"/>
    </row>
    <row r="32571" spans="6:6" x14ac:dyDescent="0.3">
      <c r="F32571" s="193"/>
    </row>
    <row r="32572" spans="6:6" x14ac:dyDescent="0.3">
      <c r="F32572" s="193"/>
    </row>
    <row r="32573" spans="6:6" x14ac:dyDescent="0.3">
      <c r="F32573" s="193"/>
    </row>
    <row r="32574" spans="6:6" x14ac:dyDescent="0.3">
      <c r="F32574" s="193"/>
    </row>
    <row r="32575" spans="6:6" x14ac:dyDescent="0.3">
      <c r="F32575" s="193"/>
    </row>
    <row r="32576" spans="6:6" x14ac:dyDescent="0.3">
      <c r="F32576" s="193"/>
    </row>
    <row r="32577" spans="6:6" x14ac:dyDescent="0.3">
      <c r="F32577" s="193"/>
    </row>
    <row r="32578" spans="6:6" x14ac:dyDescent="0.3">
      <c r="F32578" s="193"/>
    </row>
    <row r="32579" spans="6:6" x14ac:dyDescent="0.3">
      <c r="F32579" s="193"/>
    </row>
    <row r="32580" spans="6:6" x14ac:dyDescent="0.3">
      <c r="F32580" s="193"/>
    </row>
    <row r="32581" spans="6:6" x14ac:dyDescent="0.3">
      <c r="F32581" s="193"/>
    </row>
    <row r="32582" spans="6:6" x14ac:dyDescent="0.3">
      <c r="F32582" s="193"/>
    </row>
    <row r="32583" spans="6:6" x14ac:dyDescent="0.3">
      <c r="F32583" s="193"/>
    </row>
    <row r="32584" spans="6:6" x14ac:dyDescent="0.3">
      <c r="F32584" s="193"/>
    </row>
    <row r="32585" spans="6:6" x14ac:dyDescent="0.3">
      <c r="F32585" s="193"/>
    </row>
    <row r="32586" spans="6:6" x14ac:dyDescent="0.3">
      <c r="F32586" s="193"/>
    </row>
    <row r="32587" spans="6:6" x14ac:dyDescent="0.3">
      <c r="F32587" s="193"/>
    </row>
    <row r="32588" spans="6:6" x14ac:dyDescent="0.3">
      <c r="F32588" s="193"/>
    </row>
    <row r="32589" spans="6:6" x14ac:dyDescent="0.3">
      <c r="F32589" s="193"/>
    </row>
    <row r="32590" spans="6:6" x14ac:dyDescent="0.3">
      <c r="F32590" s="193"/>
    </row>
    <row r="32591" spans="6:6" x14ac:dyDescent="0.3">
      <c r="F32591" s="193"/>
    </row>
    <row r="32592" spans="6:6" x14ac:dyDescent="0.3">
      <c r="F32592" s="193"/>
    </row>
    <row r="32593" spans="6:6" x14ac:dyDescent="0.3">
      <c r="F32593" s="193"/>
    </row>
    <row r="32594" spans="6:6" x14ac:dyDescent="0.3">
      <c r="F32594" s="193"/>
    </row>
    <row r="32595" spans="6:6" x14ac:dyDescent="0.3">
      <c r="F32595" s="193"/>
    </row>
    <row r="32596" spans="6:6" x14ac:dyDescent="0.3">
      <c r="F32596" s="193"/>
    </row>
    <row r="32597" spans="6:6" x14ac:dyDescent="0.3">
      <c r="F32597" s="193"/>
    </row>
    <row r="32598" spans="6:6" x14ac:dyDescent="0.3">
      <c r="F32598" s="193"/>
    </row>
    <row r="32599" spans="6:6" x14ac:dyDescent="0.3">
      <c r="F32599" s="193"/>
    </row>
    <row r="32600" spans="6:6" x14ac:dyDescent="0.3">
      <c r="F32600" s="193"/>
    </row>
    <row r="32601" spans="6:6" x14ac:dyDescent="0.3">
      <c r="F32601" s="193"/>
    </row>
    <row r="32602" spans="6:6" x14ac:dyDescent="0.3">
      <c r="F32602" s="193"/>
    </row>
    <row r="32603" spans="6:6" x14ac:dyDescent="0.3">
      <c r="F32603" s="193"/>
    </row>
    <row r="32604" spans="6:6" x14ac:dyDescent="0.3">
      <c r="F32604" s="193"/>
    </row>
    <row r="32605" spans="6:6" x14ac:dyDescent="0.3">
      <c r="F32605" s="193"/>
    </row>
    <row r="32606" spans="6:6" x14ac:dyDescent="0.3">
      <c r="F32606" s="193"/>
    </row>
    <row r="32607" spans="6:6" x14ac:dyDescent="0.3">
      <c r="F32607" s="193"/>
    </row>
    <row r="32608" spans="6:6" x14ac:dyDescent="0.3">
      <c r="F32608" s="193"/>
    </row>
    <row r="32609" spans="6:6" x14ac:dyDescent="0.3">
      <c r="F32609" s="193"/>
    </row>
    <row r="32610" spans="6:6" x14ac:dyDescent="0.3">
      <c r="F32610" s="193"/>
    </row>
    <row r="32611" spans="6:6" x14ac:dyDescent="0.3">
      <c r="F32611" s="193"/>
    </row>
    <row r="32612" spans="6:6" x14ac:dyDescent="0.3">
      <c r="F32612" s="193"/>
    </row>
    <row r="32613" spans="6:6" x14ac:dyDescent="0.3">
      <c r="F32613" s="193"/>
    </row>
    <row r="32614" spans="6:6" x14ac:dyDescent="0.3">
      <c r="F32614" s="193"/>
    </row>
    <row r="32615" spans="6:6" x14ac:dyDescent="0.3">
      <c r="F32615" s="193"/>
    </row>
    <row r="32616" spans="6:6" x14ac:dyDescent="0.3">
      <c r="F32616" s="193"/>
    </row>
    <row r="32617" spans="6:6" x14ac:dyDescent="0.3">
      <c r="F32617" s="193"/>
    </row>
    <row r="32618" spans="6:6" x14ac:dyDescent="0.3">
      <c r="F32618" s="193"/>
    </row>
    <row r="32619" spans="6:6" x14ac:dyDescent="0.3">
      <c r="F32619" s="193"/>
    </row>
    <row r="32620" spans="6:6" x14ac:dyDescent="0.3">
      <c r="F32620" s="193"/>
    </row>
    <row r="32621" spans="6:6" x14ac:dyDescent="0.3">
      <c r="F32621" s="193"/>
    </row>
    <row r="32622" spans="6:6" x14ac:dyDescent="0.3">
      <c r="F32622" s="193"/>
    </row>
    <row r="32623" spans="6:6" x14ac:dyDescent="0.3">
      <c r="F32623" s="193"/>
    </row>
    <row r="32624" spans="6:6" x14ac:dyDescent="0.3">
      <c r="F32624" s="193"/>
    </row>
    <row r="32625" spans="6:6" x14ac:dyDescent="0.3">
      <c r="F32625" s="193"/>
    </row>
    <row r="32626" spans="6:6" x14ac:dyDescent="0.3">
      <c r="F32626" s="193"/>
    </row>
    <row r="32627" spans="6:6" x14ac:dyDescent="0.3">
      <c r="F32627" s="193"/>
    </row>
    <row r="32628" spans="6:6" x14ac:dyDescent="0.3">
      <c r="F32628" s="193"/>
    </row>
    <row r="32629" spans="6:6" x14ac:dyDescent="0.3">
      <c r="F32629" s="193"/>
    </row>
    <row r="32630" spans="6:6" x14ac:dyDescent="0.3">
      <c r="F32630" s="193"/>
    </row>
    <row r="32631" spans="6:6" x14ac:dyDescent="0.3">
      <c r="F32631" s="193"/>
    </row>
    <row r="32632" spans="6:6" x14ac:dyDescent="0.3">
      <c r="F32632" s="193"/>
    </row>
    <row r="32633" spans="6:6" x14ac:dyDescent="0.3">
      <c r="F32633" s="193"/>
    </row>
    <row r="32634" spans="6:6" x14ac:dyDescent="0.3">
      <c r="F32634" s="193"/>
    </row>
    <row r="32635" spans="6:6" x14ac:dyDescent="0.3">
      <c r="F32635" s="193"/>
    </row>
    <row r="32636" spans="6:6" x14ac:dyDescent="0.3">
      <c r="F32636" s="193"/>
    </row>
    <row r="32637" spans="6:6" x14ac:dyDescent="0.3">
      <c r="F32637" s="193"/>
    </row>
    <row r="32638" spans="6:6" x14ac:dyDescent="0.3">
      <c r="F32638" s="193"/>
    </row>
    <row r="32639" spans="6:6" x14ac:dyDescent="0.3">
      <c r="F32639" s="193"/>
    </row>
    <row r="32640" spans="6:6" x14ac:dyDescent="0.3">
      <c r="F32640" s="193"/>
    </row>
    <row r="32641" spans="6:6" x14ac:dyDescent="0.3">
      <c r="F32641" s="193"/>
    </row>
    <row r="32642" spans="6:6" x14ac:dyDescent="0.3">
      <c r="F32642" s="193"/>
    </row>
    <row r="32643" spans="6:6" x14ac:dyDescent="0.3">
      <c r="F32643" s="193"/>
    </row>
    <row r="32644" spans="6:6" x14ac:dyDescent="0.3">
      <c r="F32644" s="193"/>
    </row>
    <row r="32645" spans="6:6" x14ac:dyDescent="0.3">
      <c r="F32645" s="193"/>
    </row>
    <row r="32646" spans="6:6" x14ac:dyDescent="0.3">
      <c r="F32646" s="193"/>
    </row>
    <row r="32647" spans="6:6" x14ac:dyDescent="0.3">
      <c r="F32647" s="193"/>
    </row>
    <row r="32648" spans="6:6" x14ac:dyDescent="0.3">
      <c r="F32648" s="193"/>
    </row>
    <row r="32649" spans="6:6" x14ac:dyDescent="0.3">
      <c r="F32649" s="193"/>
    </row>
    <row r="32650" spans="6:6" x14ac:dyDescent="0.3">
      <c r="F32650" s="193"/>
    </row>
    <row r="32651" spans="6:6" x14ac:dyDescent="0.3">
      <c r="F32651" s="193"/>
    </row>
    <row r="32652" spans="6:6" x14ac:dyDescent="0.3">
      <c r="F32652" s="193"/>
    </row>
    <row r="32653" spans="6:6" x14ac:dyDescent="0.3">
      <c r="F32653" s="193"/>
    </row>
    <row r="32654" spans="6:6" x14ac:dyDescent="0.3">
      <c r="F32654" s="193"/>
    </row>
    <row r="32655" spans="6:6" x14ac:dyDescent="0.3">
      <c r="F32655" s="193"/>
    </row>
    <row r="32656" spans="6:6" x14ac:dyDescent="0.3">
      <c r="F32656" s="193"/>
    </row>
    <row r="32657" spans="6:6" x14ac:dyDescent="0.3">
      <c r="F32657" s="193"/>
    </row>
    <row r="32658" spans="6:6" x14ac:dyDescent="0.3">
      <c r="F32658" s="193"/>
    </row>
    <row r="32659" spans="6:6" x14ac:dyDescent="0.3">
      <c r="F32659" s="193"/>
    </row>
    <row r="32660" spans="6:6" x14ac:dyDescent="0.3">
      <c r="F32660" s="193"/>
    </row>
    <row r="32661" spans="6:6" x14ac:dyDescent="0.3">
      <c r="F32661" s="193"/>
    </row>
    <row r="32662" spans="6:6" x14ac:dyDescent="0.3">
      <c r="F32662" s="193"/>
    </row>
    <row r="32663" spans="6:6" x14ac:dyDescent="0.3">
      <c r="F32663" s="193"/>
    </row>
    <row r="32664" spans="6:6" x14ac:dyDescent="0.3">
      <c r="F32664" s="193"/>
    </row>
    <row r="32665" spans="6:6" x14ac:dyDescent="0.3">
      <c r="F32665" s="193"/>
    </row>
    <row r="32666" spans="6:6" x14ac:dyDescent="0.3">
      <c r="F32666" s="193"/>
    </row>
    <row r="32667" spans="6:6" x14ac:dyDescent="0.3">
      <c r="F32667" s="193"/>
    </row>
    <row r="32668" spans="6:6" x14ac:dyDescent="0.3">
      <c r="F32668" s="193"/>
    </row>
    <row r="32669" spans="6:6" x14ac:dyDescent="0.3">
      <c r="F32669" s="193"/>
    </row>
    <row r="32670" spans="6:6" x14ac:dyDescent="0.3">
      <c r="F32670" s="193"/>
    </row>
    <row r="32671" spans="6:6" x14ac:dyDescent="0.3">
      <c r="F32671" s="193"/>
    </row>
    <row r="32672" spans="6:6" x14ac:dyDescent="0.3">
      <c r="F32672" s="193"/>
    </row>
    <row r="32673" spans="6:6" x14ac:dyDescent="0.3">
      <c r="F32673" s="193"/>
    </row>
    <row r="32674" spans="6:6" x14ac:dyDescent="0.3">
      <c r="F32674" s="193"/>
    </row>
    <row r="32675" spans="6:6" x14ac:dyDescent="0.3">
      <c r="F32675" s="193"/>
    </row>
    <row r="32676" spans="6:6" x14ac:dyDescent="0.3">
      <c r="F32676" s="193"/>
    </row>
    <row r="32677" spans="6:6" x14ac:dyDescent="0.3">
      <c r="F32677" s="193"/>
    </row>
    <row r="32678" spans="6:6" x14ac:dyDescent="0.3">
      <c r="F32678" s="193"/>
    </row>
    <row r="32679" spans="6:6" x14ac:dyDescent="0.3">
      <c r="F32679" s="193"/>
    </row>
    <row r="32680" spans="6:6" x14ac:dyDescent="0.3">
      <c r="F32680" s="193"/>
    </row>
    <row r="32681" spans="6:6" x14ac:dyDescent="0.3">
      <c r="F32681" s="193"/>
    </row>
    <row r="32682" spans="6:6" x14ac:dyDescent="0.3">
      <c r="F32682" s="193"/>
    </row>
    <row r="32683" spans="6:6" x14ac:dyDescent="0.3">
      <c r="F32683" s="193"/>
    </row>
    <row r="32684" spans="6:6" x14ac:dyDescent="0.3">
      <c r="F32684" s="193"/>
    </row>
    <row r="32685" spans="6:6" x14ac:dyDescent="0.3">
      <c r="F32685" s="193"/>
    </row>
    <row r="32686" spans="6:6" x14ac:dyDescent="0.3">
      <c r="F32686" s="193"/>
    </row>
    <row r="32687" spans="6:6" x14ac:dyDescent="0.3">
      <c r="F32687" s="193"/>
    </row>
    <row r="32688" spans="6:6" x14ac:dyDescent="0.3">
      <c r="F32688" s="193"/>
    </row>
    <row r="32689" spans="6:6" x14ac:dyDescent="0.3">
      <c r="F32689" s="193"/>
    </row>
    <row r="32690" spans="6:6" x14ac:dyDescent="0.3">
      <c r="F32690" s="193"/>
    </row>
    <row r="32691" spans="6:6" x14ac:dyDescent="0.3">
      <c r="F32691" s="193"/>
    </row>
    <row r="32692" spans="6:6" x14ac:dyDescent="0.3">
      <c r="F32692" s="193"/>
    </row>
    <row r="32693" spans="6:6" x14ac:dyDescent="0.3">
      <c r="F32693" s="193"/>
    </row>
    <row r="32694" spans="6:6" x14ac:dyDescent="0.3">
      <c r="F32694" s="193"/>
    </row>
    <row r="32695" spans="6:6" x14ac:dyDescent="0.3">
      <c r="F32695" s="193"/>
    </row>
    <row r="32696" spans="6:6" x14ac:dyDescent="0.3">
      <c r="F32696" s="193"/>
    </row>
    <row r="32697" spans="6:6" x14ac:dyDescent="0.3">
      <c r="F32697" s="193"/>
    </row>
    <row r="32698" spans="6:6" x14ac:dyDescent="0.3">
      <c r="F32698" s="193"/>
    </row>
    <row r="32699" spans="6:6" x14ac:dyDescent="0.3">
      <c r="F32699" s="193"/>
    </row>
    <row r="32700" spans="6:6" x14ac:dyDescent="0.3">
      <c r="F32700" s="193"/>
    </row>
    <row r="32701" spans="6:6" x14ac:dyDescent="0.3">
      <c r="F32701" s="193"/>
    </row>
    <row r="32702" spans="6:6" x14ac:dyDescent="0.3">
      <c r="F32702" s="193"/>
    </row>
    <row r="32703" spans="6:6" x14ac:dyDescent="0.3">
      <c r="F32703" s="193"/>
    </row>
    <row r="32704" spans="6:6" x14ac:dyDescent="0.3">
      <c r="F32704" s="193"/>
    </row>
    <row r="32705" spans="6:6" x14ac:dyDescent="0.3">
      <c r="F32705" s="193"/>
    </row>
    <row r="32706" spans="6:6" x14ac:dyDescent="0.3">
      <c r="F32706" s="193"/>
    </row>
    <row r="32707" spans="6:6" x14ac:dyDescent="0.3">
      <c r="F32707" s="193"/>
    </row>
    <row r="32708" spans="6:6" x14ac:dyDescent="0.3">
      <c r="F32708" s="193"/>
    </row>
    <row r="32709" spans="6:6" x14ac:dyDescent="0.3">
      <c r="F32709" s="193"/>
    </row>
    <row r="32710" spans="6:6" x14ac:dyDescent="0.3">
      <c r="F32710" s="193"/>
    </row>
    <row r="32711" spans="6:6" x14ac:dyDescent="0.3">
      <c r="F32711" s="193"/>
    </row>
    <row r="32712" spans="6:6" x14ac:dyDescent="0.3">
      <c r="F32712" s="193"/>
    </row>
    <row r="32713" spans="6:6" x14ac:dyDescent="0.3">
      <c r="F32713" s="193"/>
    </row>
    <row r="32714" spans="6:6" x14ac:dyDescent="0.3">
      <c r="F32714" s="193"/>
    </row>
    <row r="32715" spans="6:6" x14ac:dyDescent="0.3">
      <c r="F32715" s="193"/>
    </row>
    <row r="32716" spans="6:6" x14ac:dyDescent="0.3">
      <c r="F32716" s="193"/>
    </row>
    <row r="32717" spans="6:6" x14ac:dyDescent="0.3">
      <c r="F32717" s="193"/>
    </row>
    <row r="32718" spans="6:6" x14ac:dyDescent="0.3">
      <c r="F32718" s="193"/>
    </row>
    <row r="32719" spans="6:6" x14ac:dyDescent="0.3">
      <c r="F32719" s="193"/>
    </row>
    <row r="32720" spans="6:6" x14ac:dyDescent="0.3">
      <c r="F32720" s="193"/>
    </row>
    <row r="32721" spans="6:6" x14ac:dyDescent="0.3">
      <c r="F32721" s="193"/>
    </row>
    <row r="32722" spans="6:6" x14ac:dyDescent="0.3">
      <c r="F32722" s="193"/>
    </row>
    <row r="32723" spans="6:6" x14ac:dyDescent="0.3">
      <c r="F32723" s="193"/>
    </row>
    <row r="32724" spans="6:6" x14ac:dyDescent="0.3">
      <c r="F32724" s="193"/>
    </row>
    <row r="32725" spans="6:6" x14ac:dyDescent="0.3">
      <c r="F32725" s="193"/>
    </row>
    <row r="32726" spans="6:6" x14ac:dyDescent="0.3">
      <c r="F32726" s="193"/>
    </row>
    <row r="32727" spans="6:6" x14ac:dyDescent="0.3">
      <c r="F32727" s="193"/>
    </row>
    <row r="32728" spans="6:6" x14ac:dyDescent="0.3">
      <c r="F32728" s="193"/>
    </row>
    <row r="32729" spans="6:6" x14ac:dyDescent="0.3">
      <c r="F32729" s="193"/>
    </row>
    <row r="32730" spans="6:6" x14ac:dyDescent="0.3">
      <c r="F32730" s="193"/>
    </row>
    <row r="32731" spans="6:6" x14ac:dyDescent="0.3">
      <c r="F32731" s="193"/>
    </row>
    <row r="32732" spans="6:6" x14ac:dyDescent="0.3">
      <c r="F32732" s="193"/>
    </row>
    <row r="32733" spans="6:6" x14ac:dyDescent="0.3">
      <c r="F32733" s="193"/>
    </row>
    <row r="32734" spans="6:6" x14ac:dyDescent="0.3">
      <c r="F32734" s="193"/>
    </row>
    <row r="32735" spans="6:6" x14ac:dyDescent="0.3">
      <c r="F32735" s="193"/>
    </row>
    <row r="32736" spans="6:6" x14ac:dyDescent="0.3">
      <c r="F32736" s="193"/>
    </row>
    <row r="32737" spans="6:6" x14ac:dyDescent="0.3">
      <c r="F32737" s="193"/>
    </row>
    <row r="32738" spans="6:6" x14ac:dyDescent="0.3">
      <c r="F32738" s="193"/>
    </row>
    <row r="32739" spans="6:6" x14ac:dyDescent="0.3">
      <c r="F32739" s="193"/>
    </row>
    <row r="32740" spans="6:6" x14ac:dyDescent="0.3">
      <c r="F32740" s="193"/>
    </row>
    <row r="32741" spans="6:6" x14ac:dyDescent="0.3">
      <c r="F32741" s="193"/>
    </row>
    <row r="32742" spans="6:6" x14ac:dyDescent="0.3">
      <c r="F32742" s="193"/>
    </row>
    <row r="32743" spans="6:6" x14ac:dyDescent="0.3">
      <c r="F32743" s="193"/>
    </row>
    <row r="32744" spans="6:6" x14ac:dyDescent="0.3">
      <c r="F32744" s="193"/>
    </row>
    <row r="32745" spans="6:6" x14ac:dyDescent="0.3">
      <c r="F32745" s="193"/>
    </row>
    <row r="32746" spans="6:6" x14ac:dyDescent="0.3">
      <c r="F32746" s="193"/>
    </row>
    <row r="32747" spans="6:6" x14ac:dyDescent="0.3">
      <c r="F32747" s="193"/>
    </row>
    <row r="32748" spans="6:6" x14ac:dyDescent="0.3">
      <c r="F32748" s="193"/>
    </row>
    <row r="32749" spans="6:6" x14ac:dyDescent="0.3">
      <c r="F32749" s="193"/>
    </row>
    <row r="32750" spans="6:6" x14ac:dyDescent="0.3">
      <c r="F32750" s="193"/>
    </row>
    <row r="32751" spans="6:6" x14ac:dyDescent="0.3">
      <c r="F32751" s="193"/>
    </row>
    <row r="32752" spans="6:6" x14ac:dyDescent="0.3">
      <c r="F32752" s="193"/>
    </row>
    <row r="32753" spans="6:6" x14ac:dyDescent="0.3">
      <c r="F32753" s="193"/>
    </row>
    <row r="32754" spans="6:6" x14ac:dyDescent="0.3">
      <c r="F32754" s="193"/>
    </row>
    <row r="32755" spans="6:6" x14ac:dyDescent="0.3">
      <c r="F32755" s="193"/>
    </row>
    <row r="32756" spans="6:6" x14ac:dyDescent="0.3">
      <c r="F32756" s="193"/>
    </row>
    <row r="32757" spans="6:6" x14ac:dyDescent="0.3">
      <c r="F32757" s="193"/>
    </row>
    <row r="32758" spans="6:6" x14ac:dyDescent="0.3">
      <c r="F32758" s="193"/>
    </row>
    <row r="32759" spans="6:6" x14ac:dyDescent="0.3">
      <c r="F32759" s="193"/>
    </row>
    <row r="32760" spans="6:6" x14ac:dyDescent="0.3">
      <c r="F32760" s="193"/>
    </row>
    <row r="32761" spans="6:6" x14ac:dyDescent="0.3">
      <c r="F32761" s="193"/>
    </row>
    <row r="32762" spans="6:6" x14ac:dyDescent="0.3">
      <c r="F32762" s="193"/>
    </row>
    <row r="32763" spans="6:6" x14ac:dyDescent="0.3">
      <c r="F32763" s="193"/>
    </row>
    <row r="32764" spans="6:6" x14ac:dyDescent="0.3">
      <c r="F32764" s="193"/>
    </row>
    <row r="32765" spans="6:6" x14ac:dyDescent="0.3">
      <c r="F32765" s="193"/>
    </row>
    <row r="32766" spans="6:6" x14ac:dyDescent="0.3">
      <c r="F32766" s="193"/>
    </row>
    <row r="32767" spans="6:6" x14ac:dyDescent="0.3">
      <c r="F32767" s="193"/>
    </row>
    <row r="32768" spans="6:6" x14ac:dyDescent="0.3">
      <c r="F32768" s="193"/>
    </row>
    <row r="32769" spans="6:6" x14ac:dyDescent="0.3">
      <c r="F32769" s="193"/>
    </row>
    <row r="32770" spans="6:6" x14ac:dyDescent="0.3">
      <c r="F32770" s="193"/>
    </row>
    <row r="32771" spans="6:6" x14ac:dyDescent="0.3">
      <c r="F32771" s="193"/>
    </row>
    <row r="32772" spans="6:6" x14ac:dyDescent="0.3">
      <c r="F32772" s="193"/>
    </row>
    <row r="32773" spans="6:6" x14ac:dyDescent="0.3">
      <c r="F32773" s="193"/>
    </row>
    <row r="32774" spans="6:6" x14ac:dyDescent="0.3">
      <c r="F32774" s="193"/>
    </row>
    <row r="32775" spans="6:6" x14ac:dyDescent="0.3">
      <c r="F32775" s="193"/>
    </row>
    <row r="32776" spans="6:6" x14ac:dyDescent="0.3">
      <c r="F32776" s="193"/>
    </row>
    <row r="32777" spans="6:6" x14ac:dyDescent="0.3">
      <c r="F32777" s="193"/>
    </row>
    <row r="32778" spans="6:6" x14ac:dyDescent="0.3">
      <c r="F32778" s="193"/>
    </row>
    <row r="32779" spans="6:6" x14ac:dyDescent="0.3">
      <c r="F32779" s="193"/>
    </row>
    <row r="32780" spans="6:6" x14ac:dyDescent="0.3">
      <c r="F32780" s="193"/>
    </row>
    <row r="32781" spans="6:6" x14ac:dyDescent="0.3">
      <c r="F32781" s="193"/>
    </row>
    <row r="32782" spans="6:6" x14ac:dyDescent="0.3">
      <c r="F32782" s="193"/>
    </row>
    <row r="32783" spans="6:6" x14ac:dyDescent="0.3">
      <c r="F32783" s="193"/>
    </row>
    <row r="32784" spans="6:6" x14ac:dyDescent="0.3">
      <c r="F32784" s="193"/>
    </row>
    <row r="32785" spans="6:6" x14ac:dyDescent="0.3">
      <c r="F32785" s="193"/>
    </row>
    <row r="32786" spans="6:6" x14ac:dyDescent="0.3">
      <c r="F32786" s="193"/>
    </row>
    <row r="32787" spans="6:6" x14ac:dyDescent="0.3">
      <c r="F32787" s="193"/>
    </row>
    <row r="32788" spans="6:6" x14ac:dyDescent="0.3">
      <c r="F32788" s="193"/>
    </row>
    <row r="32789" spans="6:6" x14ac:dyDescent="0.3">
      <c r="F32789" s="193"/>
    </row>
    <row r="32790" spans="6:6" x14ac:dyDescent="0.3">
      <c r="F32790" s="193"/>
    </row>
    <row r="32791" spans="6:6" x14ac:dyDescent="0.3">
      <c r="F32791" s="193"/>
    </row>
    <row r="32792" spans="6:6" x14ac:dyDescent="0.3">
      <c r="F32792" s="193"/>
    </row>
    <row r="32793" spans="6:6" x14ac:dyDescent="0.3">
      <c r="F32793" s="193"/>
    </row>
    <row r="32794" spans="6:6" x14ac:dyDescent="0.3">
      <c r="F32794" s="193"/>
    </row>
    <row r="32795" spans="6:6" x14ac:dyDescent="0.3">
      <c r="F32795" s="193"/>
    </row>
    <row r="32796" spans="6:6" x14ac:dyDescent="0.3">
      <c r="F32796" s="193"/>
    </row>
    <row r="32797" spans="6:6" x14ac:dyDescent="0.3">
      <c r="F32797" s="193"/>
    </row>
    <row r="32798" spans="6:6" x14ac:dyDescent="0.3">
      <c r="F32798" s="193"/>
    </row>
    <row r="32799" spans="6:6" x14ac:dyDescent="0.3">
      <c r="F32799" s="193"/>
    </row>
    <row r="32800" spans="6:6" x14ac:dyDescent="0.3">
      <c r="F32800" s="193"/>
    </row>
    <row r="32801" spans="6:6" x14ac:dyDescent="0.3">
      <c r="F32801" s="193"/>
    </row>
    <row r="32802" spans="6:6" x14ac:dyDescent="0.3">
      <c r="F32802" s="193"/>
    </row>
    <row r="32803" spans="6:6" x14ac:dyDescent="0.3">
      <c r="F32803" s="193"/>
    </row>
    <row r="32804" spans="6:6" x14ac:dyDescent="0.3">
      <c r="F32804" s="193"/>
    </row>
    <row r="32805" spans="6:6" x14ac:dyDescent="0.3">
      <c r="F32805" s="193"/>
    </row>
    <row r="32806" spans="6:6" x14ac:dyDescent="0.3">
      <c r="F32806" s="193"/>
    </row>
    <row r="32807" spans="6:6" x14ac:dyDescent="0.3">
      <c r="F32807" s="193"/>
    </row>
    <row r="32808" spans="6:6" x14ac:dyDescent="0.3">
      <c r="F32808" s="193"/>
    </row>
    <row r="32809" spans="6:6" x14ac:dyDescent="0.3">
      <c r="F32809" s="193"/>
    </row>
    <row r="32810" spans="6:6" x14ac:dyDescent="0.3">
      <c r="F32810" s="193"/>
    </row>
    <row r="32811" spans="6:6" x14ac:dyDescent="0.3">
      <c r="F32811" s="193"/>
    </row>
    <row r="32812" spans="6:6" x14ac:dyDescent="0.3">
      <c r="F32812" s="193"/>
    </row>
    <row r="32813" spans="6:6" x14ac:dyDescent="0.3">
      <c r="F32813" s="193"/>
    </row>
    <row r="32814" spans="6:6" x14ac:dyDescent="0.3">
      <c r="F32814" s="193"/>
    </row>
    <row r="32815" spans="6:6" x14ac:dyDescent="0.3">
      <c r="F32815" s="193"/>
    </row>
    <row r="32816" spans="6:6" x14ac:dyDescent="0.3">
      <c r="F32816" s="193"/>
    </row>
    <row r="32817" spans="6:6" x14ac:dyDescent="0.3">
      <c r="F32817" s="193"/>
    </row>
    <row r="32818" spans="6:6" x14ac:dyDescent="0.3">
      <c r="F32818" s="193"/>
    </row>
    <row r="32819" spans="6:6" x14ac:dyDescent="0.3">
      <c r="F32819" s="193"/>
    </row>
    <row r="32820" spans="6:6" x14ac:dyDescent="0.3">
      <c r="F32820" s="193"/>
    </row>
    <row r="32821" spans="6:6" x14ac:dyDescent="0.3">
      <c r="F32821" s="193"/>
    </row>
    <row r="32822" spans="6:6" x14ac:dyDescent="0.3">
      <c r="F32822" s="193"/>
    </row>
    <row r="32823" spans="6:6" x14ac:dyDescent="0.3">
      <c r="F32823" s="193"/>
    </row>
    <row r="32824" spans="6:6" x14ac:dyDescent="0.3">
      <c r="F32824" s="193"/>
    </row>
    <row r="32825" spans="6:6" x14ac:dyDescent="0.3">
      <c r="F32825" s="193"/>
    </row>
    <row r="32826" spans="6:6" x14ac:dyDescent="0.3">
      <c r="F32826" s="193"/>
    </row>
    <row r="32827" spans="6:6" x14ac:dyDescent="0.3">
      <c r="F32827" s="193"/>
    </row>
    <row r="32828" spans="6:6" x14ac:dyDescent="0.3">
      <c r="F32828" s="193"/>
    </row>
    <row r="32829" spans="6:6" x14ac:dyDescent="0.3">
      <c r="F32829" s="193"/>
    </row>
    <row r="32830" spans="6:6" x14ac:dyDescent="0.3">
      <c r="F32830" s="193"/>
    </row>
    <row r="32831" spans="6:6" x14ac:dyDescent="0.3">
      <c r="F32831" s="193"/>
    </row>
    <row r="32832" spans="6:6" x14ac:dyDescent="0.3">
      <c r="F32832" s="193"/>
    </row>
    <row r="32833" spans="6:6" x14ac:dyDescent="0.3">
      <c r="F32833" s="193"/>
    </row>
    <row r="32834" spans="6:6" x14ac:dyDescent="0.3">
      <c r="F32834" s="193"/>
    </row>
    <row r="32835" spans="6:6" x14ac:dyDescent="0.3">
      <c r="F32835" s="193"/>
    </row>
    <row r="32836" spans="6:6" x14ac:dyDescent="0.3">
      <c r="F32836" s="193"/>
    </row>
    <row r="32837" spans="6:6" x14ac:dyDescent="0.3">
      <c r="F32837" s="193"/>
    </row>
    <row r="32838" spans="6:6" x14ac:dyDescent="0.3">
      <c r="F32838" s="193"/>
    </row>
    <row r="32839" spans="6:6" x14ac:dyDescent="0.3">
      <c r="F32839" s="193"/>
    </row>
    <row r="32840" spans="6:6" x14ac:dyDescent="0.3">
      <c r="F32840" s="193"/>
    </row>
    <row r="32841" spans="6:6" x14ac:dyDescent="0.3">
      <c r="F32841" s="193"/>
    </row>
    <row r="32842" spans="6:6" x14ac:dyDescent="0.3">
      <c r="F32842" s="193"/>
    </row>
    <row r="32843" spans="6:6" x14ac:dyDescent="0.3">
      <c r="F32843" s="193"/>
    </row>
    <row r="32844" spans="6:6" x14ac:dyDescent="0.3">
      <c r="F32844" s="193"/>
    </row>
    <row r="32845" spans="6:6" x14ac:dyDescent="0.3">
      <c r="F32845" s="193"/>
    </row>
    <row r="32846" spans="6:6" x14ac:dyDescent="0.3">
      <c r="F32846" s="193"/>
    </row>
    <row r="32847" spans="6:6" x14ac:dyDescent="0.3">
      <c r="F32847" s="193"/>
    </row>
    <row r="32848" spans="6:6" x14ac:dyDescent="0.3">
      <c r="F32848" s="193"/>
    </row>
    <row r="32849" spans="6:6" x14ac:dyDescent="0.3">
      <c r="F32849" s="193"/>
    </row>
    <row r="32850" spans="6:6" x14ac:dyDescent="0.3">
      <c r="F32850" s="193"/>
    </row>
    <row r="32851" spans="6:6" x14ac:dyDescent="0.3">
      <c r="F32851" s="193"/>
    </row>
    <row r="32852" spans="6:6" x14ac:dyDescent="0.3">
      <c r="F32852" s="193"/>
    </row>
    <row r="32853" spans="6:6" x14ac:dyDescent="0.3">
      <c r="F32853" s="193"/>
    </row>
    <row r="32854" spans="6:6" x14ac:dyDescent="0.3">
      <c r="F32854" s="193"/>
    </row>
    <row r="32855" spans="6:6" x14ac:dyDescent="0.3">
      <c r="F32855" s="193"/>
    </row>
    <row r="32856" spans="6:6" x14ac:dyDescent="0.3">
      <c r="F32856" s="193"/>
    </row>
    <row r="32857" spans="6:6" x14ac:dyDescent="0.3">
      <c r="F32857" s="193"/>
    </row>
    <row r="32858" spans="6:6" x14ac:dyDescent="0.3">
      <c r="F32858" s="193"/>
    </row>
    <row r="32859" spans="6:6" x14ac:dyDescent="0.3">
      <c r="F32859" s="193"/>
    </row>
    <row r="32860" spans="6:6" x14ac:dyDescent="0.3">
      <c r="F32860" s="193"/>
    </row>
    <row r="32861" spans="6:6" x14ac:dyDescent="0.3">
      <c r="F32861" s="193"/>
    </row>
    <row r="32862" spans="6:6" x14ac:dyDescent="0.3">
      <c r="F32862" s="193"/>
    </row>
    <row r="32863" spans="6:6" x14ac:dyDescent="0.3">
      <c r="F32863" s="193"/>
    </row>
    <row r="32864" spans="6:6" x14ac:dyDescent="0.3">
      <c r="F32864" s="193"/>
    </row>
    <row r="32865" spans="6:6" x14ac:dyDescent="0.3">
      <c r="F32865" s="193"/>
    </row>
    <row r="32866" spans="6:6" x14ac:dyDescent="0.3">
      <c r="F32866" s="193"/>
    </row>
    <row r="32867" spans="6:6" x14ac:dyDescent="0.3">
      <c r="F32867" s="193"/>
    </row>
    <row r="32868" spans="6:6" x14ac:dyDescent="0.3">
      <c r="F32868" s="193"/>
    </row>
    <row r="32869" spans="6:6" x14ac:dyDescent="0.3">
      <c r="F32869" s="193"/>
    </row>
    <row r="32870" spans="6:6" x14ac:dyDescent="0.3">
      <c r="F32870" s="193"/>
    </row>
    <row r="32871" spans="6:6" x14ac:dyDescent="0.3">
      <c r="F32871" s="193"/>
    </row>
    <row r="32872" spans="6:6" x14ac:dyDescent="0.3">
      <c r="F32872" s="193"/>
    </row>
    <row r="32873" spans="6:6" x14ac:dyDescent="0.3">
      <c r="F32873" s="193"/>
    </row>
    <row r="32874" spans="6:6" x14ac:dyDescent="0.3">
      <c r="F32874" s="193"/>
    </row>
    <row r="32875" spans="6:6" x14ac:dyDescent="0.3">
      <c r="F32875" s="193"/>
    </row>
    <row r="32876" spans="6:6" x14ac:dyDescent="0.3">
      <c r="F32876" s="193"/>
    </row>
    <row r="32877" spans="6:6" x14ac:dyDescent="0.3">
      <c r="F32877" s="193"/>
    </row>
    <row r="32878" spans="6:6" x14ac:dyDescent="0.3">
      <c r="F32878" s="193"/>
    </row>
    <row r="32879" spans="6:6" x14ac:dyDescent="0.3">
      <c r="F32879" s="193"/>
    </row>
    <row r="32880" spans="6:6" x14ac:dyDescent="0.3">
      <c r="F32880" s="193"/>
    </row>
    <row r="32881" spans="6:6" x14ac:dyDescent="0.3">
      <c r="F32881" s="193"/>
    </row>
    <row r="32882" spans="6:6" x14ac:dyDescent="0.3">
      <c r="F32882" s="193"/>
    </row>
    <row r="32883" spans="6:6" x14ac:dyDescent="0.3">
      <c r="F32883" s="193"/>
    </row>
    <row r="32884" spans="6:6" x14ac:dyDescent="0.3">
      <c r="F32884" s="193"/>
    </row>
    <row r="32885" spans="6:6" x14ac:dyDescent="0.3">
      <c r="F32885" s="193"/>
    </row>
    <row r="32886" spans="6:6" x14ac:dyDescent="0.3">
      <c r="F32886" s="193"/>
    </row>
    <row r="32887" spans="6:6" x14ac:dyDescent="0.3">
      <c r="F32887" s="193"/>
    </row>
    <row r="32888" spans="6:6" x14ac:dyDescent="0.3">
      <c r="F32888" s="193"/>
    </row>
    <row r="32889" spans="6:6" x14ac:dyDescent="0.3">
      <c r="F32889" s="193"/>
    </row>
    <row r="32890" spans="6:6" x14ac:dyDescent="0.3">
      <c r="F32890" s="193"/>
    </row>
    <row r="32891" spans="6:6" x14ac:dyDescent="0.3">
      <c r="F32891" s="193"/>
    </row>
    <row r="32892" spans="6:6" x14ac:dyDescent="0.3">
      <c r="F32892" s="193"/>
    </row>
    <row r="32893" spans="6:6" x14ac:dyDescent="0.3">
      <c r="F32893" s="193"/>
    </row>
    <row r="32894" spans="6:6" x14ac:dyDescent="0.3">
      <c r="F32894" s="193"/>
    </row>
    <row r="32895" spans="6:6" x14ac:dyDescent="0.3">
      <c r="F32895" s="193"/>
    </row>
    <row r="32896" spans="6:6" x14ac:dyDescent="0.3">
      <c r="F32896" s="193"/>
    </row>
    <row r="32897" spans="6:6" x14ac:dyDescent="0.3">
      <c r="F32897" s="193"/>
    </row>
    <row r="32898" spans="6:6" x14ac:dyDescent="0.3">
      <c r="F32898" s="193"/>
    </row>
    <row r="32899" spans="6:6" x14ac:dyDescent="0.3">
      <c r="F32899" s="193"/>
    </row>
    <row r="32900" spans="6:6" x14ac:dyDescent="0.3">
      <c r="F32900" s="193"/>
    </row>
    <row r="32901" spans="6:6" x14ac:dyDescent="0.3">
      <c r="F32901" s="193"/>
    </row>
    <row r="32902" spans="6:6" x14ac:dyDescent="0.3">
      <c r="F32902" s="193"/>
    </row>
    <row r="32903" spans="6:6" x14ac:dyDescent="0.3">
      <c r="F32903" s="193"/>
    </row>
    <row r="32904" spans="6:6" x14ac:dyDescent="0.3">
      <c r="F32904" s="193"/>
    </row>
    <row r="32905" spans="6:6" x14ac:dyDescent="0.3">
      <c r="F32905" s="193"/>
    </row>
    <row r="32906" spans="6:6" x14ac:dyDescent="0.3">
      <c r="F32906" s="193"/>
    </row>
    <row r="32907" spans="6:6" x14ac:dyDescent="0.3">
      <c r="F32907" s="193"/>
    </row>
    <row r="32908" spans="6:6" x14ac:dyDescent="0.3">
      <c r="F32908" s="193"/>
    </row>
    <row r="32909" spans="6:6" x14ac:dyDescent="0.3">
      <c r="F32909" s="193"/>
    </row>
    <row r="32910" spans="6:6" x14ac:dyDescent="0.3">
      <c r="F32910" s="193"/>
    </row>
    <row r="32911" spans="6:6" x14ac:dyDescent="0.3">
      <c r="F32911" s="193"/>
    </row>
    <row r="32912" spans="6:6" x14ac:dyDescent="0.3">
      <c r="F32912" s="193"/>
    </row>
    <row r="32913" spans="6:6" x14ac:dyDescent="0.3">
      <c r="F32913" s="193"/>
    </row>
    <row r="32914" spans="6:6" x14ac:dyDescent="0.3">
      <c r="F32914" s="193"/>
    </row>
    <row r="32915" spans="6:6" x14ac:dyDescent="0.3">
      <c r="F32915" s="193"/>
    </row>
    <row r="32916" spans="6:6" x14ac:dyDescent="0.3">
      <c r="F32916" s="193"/>
    </row>
    <row r="32917" spans="6:6" x14ac:dyDescent="0.3">
      <c r="F32917" s="193"/>
    </row>
    <row r="32918" spans="6:6" x14ac:dyDescent="0.3">
      <c r="F32918" s="193"/>
    </row>
    <row r="32919" spans="6:6" x14ac:dyDescent="0.3">
      <c r="F32919" s="193"/>
    </row>
    <row r="32920" spans="6:6" x14ac:dyDescent="0.3">
      <c r="F32920" s="193"/>
    </row>
    <row r="32921" spans="6:6" x14ac:dyDescent="0.3">
      <c r="F32921" s="193"/>
    </row>
    <row r="32922" spans="6:6" x14ac:dyDescent="0.3">
      <c r="F32922" s="193"/>
    </row>
    <row r="32923" spans="6:6" x14ac:dyDescent="0.3">
      <c r="F32923" s="193"/>
    </row>
    <row r="32924" spans="6:6" x14ac:dyDescent="0.3">
      <c r="F32924" s="193"/>
    </row>
    <row r="32925" spans="6:6" x14ac:dyDescent="0.3">
      <c r="F32925" s="193"/>
    </row>
    <row r="32926" spans="6:6" x14ac:dyDescent="0.3">
      <c r="F32926" s="193"/>
    </row>
    <row r="32927" spans="6:6" x14ac:dyDescent="0.3">
      <c r="F32927" s="193"/>
    </row>
    <row r="32928" spans="6:6" x14ac:dyDescent="0.3">
      <c r="F32928" s="193"/>
    </row>
    <row r="32929" spans="6:6" x14ac:dyDescent="0.3">
      <c r="F32929" s="193"/>
    </row>
    <row r="32930" spans="6:6" x14ac:dyDescent="0.3">
      <c r="F32930" s="193"/>
    </row>
    <row r="32931" spans="6:6" x14ac:dyDescent="0.3">
      <c r="F32931" s="193"/>
    </row>
    <row r="32932" spans="6:6" x14ac:dyDescent="0.3">
      <c r="F32932" s="193"/>
    </row>
    <row r="32933" spans="6:6" x14ac:dyDescent="0.3">
      <c r="F32933" s="193"/>
    </row>
    <row r="32934" spans="6:6" x14ac:dyDescent="0.3">
      <c r="F32934" s="193"/>
    </row>
    <row r="32935" spans="6:6" x14ac:dyDescent="0.3">
      <c r="F32935" s="193"/>
    </row>
    <row r="32936" spans="6:6" x14ac:dyDescent="0.3">
      <c r="F32936" s="193"/>
    </row>
    <row r="32937" spans="6:6" x14ac:dyDescent="0.3">
      <c r="F32937" s="193"/>
    </row>
    <row r="32938" spans="6:6" x14ac:dyDescent="0.3">
      <c r="F32938" s="193"/>
    </row>
    <row r="32939" spans="6:6" x14ac:dyDescent="0.3">
      <c r="F32939" s="193"/>
    </row>
    <row r="32940" spans="6:6" x14ac:dyDescent="0.3">
      <c r="F32940" s="193"/>
    </row>
    <row r="32941" spans="6:6" x14ac:dyDescent="0.3">
      <c r="F32941" s="193"/>
    </row>
    <row r="32942" spans="6:6" x14ac:dyDescent="0.3">
      <c r="F32942" s="193"/>
    </row>
    <row r="32943" spans="6:6" x14ac:dyDescent="0.3">
      <c r="F32943" s="193"/>
    </row>
    <row r="32944" spans="6:6" x14ac:dyDescent="0.3">
      <c r="F32944" s="193"/>
    </row>
    <row r="32945" spans="6:6" x14ac:dyDescent="0.3">
      <c r="F32945" s="193"/>
    </row>
    <row r="32946" spans="6:6" x14ac:dyDescent="0.3">
      <c r="F32946" s="193"/>
    </row>
    <row r="32947" spans="6:6" x14ac:dyDescent="0.3">
      <c r="F32947" s="193"/>
    </row>
    <row r="32948" spans="6:6" x14ac:dyDescent="0.3">
      <c r="F32948" s="193"/>
    </row>
    <row r="32949" spans="6:6" x14ac:dyDescent="0.3">
      <c r="F32949" s="193"/>
    </row>
    <row r="32950" spans="6:6" x14ac:dyDescent="0.3">
      <c r="F32950" s="193"/>
    </row>
    <row r="32951" spans="6:6" x14ac:dyDescent="0.3">
      <c r="F32951" s="193"/>
    </row>
    <row r="32952" spans="6:6" x14ac:dyDescent="0.3">
      <c r="F32952" s="193"/>
    </row>
    <row r="32953" spans="6:6" x14ac:dyDescent="0.3">
      <c r="F32953" s="193"/>
    </row>
    <row r="32954" spans="6:6" x14ac:dyDescent="0.3">
      <c r="F32954" s="193"/>
    </row>
    <row r="32955" spans="6:6" x14ac:dyDescent="0.3">
      <c r="F32955" s="193"/>
    </row>
    <row r="32956" spans="6:6" x14ac:dyDescent="0.3">
      <c r="F32956" s="193"/>
    </row>
    <row r="32957" spans="6:6" x14ac:dyDescent="0.3">
      <c r="F32957" s="193"/>
    </row>
    <row r="32958" spans="6:6" x14ac:dyDescent="0.3">
      <c r="F32958" s="193"/>
    </row>
    <row r="32959" spans="6:6" x14ac:dyDescent="0.3">
      <c r="F32959" s="193"/>
    </row>
    <row r="32960" spans="6:6" x14ac:dyDescent="0.3">
      <c r="F32960" s="193"/>
    </row>
    <row r="32961" spans="6:6" x14ac:dyDescent="0.3">
      <c r="F32961" s="193"/>
    </row>
    <row r="32962" spans="6:6" x14ac:dyDescent="0.3">
      <c r="F32962" s="193"/>
    </row>
    <row r="32963" spans="6:6" x14ac:dyDescent="0.3">
      <c r="F32963" s="193"/>
    </row>
    <row r="32964" spans="6:6" x14ac:dyDescent="0.3">
      <c r="F32964" s="193"/>
    </row>
    <row r="32965" spans="6:6" x14ac:dyDescent="0.3">
      <c r="F32965" s="193"/>
    </row>
    <row r="32966" spans="6:6" x14ac:dyDescent="0.3">
      <c r="F32966" s="193"/>
    </row>
    <row r="32967" spans="6:6" x14ac:dyDescent="0.3">
      <c r="F32967" s="193"/>
    </row>
    <row r="32968" spans="6:6" x14ac:dyDescent="0.3">
      <c r="F32968" s="193"/>
    </row>
    <row r="32969" spans="6:6" x14ac:dyDescent="0.3">
      <c r="F32969" s="193"/>
    </row>
    <row r="32970" spans="6:6" x14ac:dyDescent="0.3">
      <c r="F32970" s="193"/>
    </row>
    <row r="32971" spans="6:6" x14ac:dyDescent="0.3">
      <c r="F32971" s="193"/>
    </row>
    <row r="32972" spans="6:6" x14ac:dyDescent="0.3">
      <c r="F32972" s="193"/>
    </row>
    <row r="32973" spans="6:6" x14ac:dyDescent="0.3">
      <c r="F32973" s="193"/>
    </row>
    <row r="32974" spans="6:6" x14ac:dyDescent="0.3">
      <c r="F32974" s="193"/>
    </row>
    <row r="32975" spans="6:6" x14ac:dyDescent="0.3">
      <c r="F32975" s="193"/>
    </row>
    <row r="32976" spans="6:6" x14ac:dyDescent="0.3">
      <c r="F32976" s="193"/>
    </row>
    <row r="32977" spans="6:6" x14ac:dyDescent="0.3">
      <c r="F32977" s="193"/>
    </row>
    <row r="32978" spans="6:6" x14ac:dyDescent="0.3">
      <c r="F32978" s="193"/>
    </row>
    <row r="32979" spans="6:6" x14ac:dyDescent="0.3">
      <c r="F32979" s="193"/>
    </row>
    <row r="32980" spans="6:6" x14ac:dyDescent="0.3">
      <c r="F32980" s="193"/>
    </row>
    <row r="32981" spans="6:6" x14ac:dyDescent="0.3">
      <c r="F32981" s="193"/>
    </row>
    <row r="32982" spans="6:6" x14ac:dyDescent="0.3">
      <c r="F32982" s="193"/>
    </row>
    <row r="32983" spans="6:6" x14ac:dyDescent="0.3">
      <c r="F32983" s="193"/>
    </row>
    <row r="32984" spans="6:6" x14ac:dyDescent="0.3">
      <c r="F32984" s="193"/>
    </row>
    <row r="32985" spans="6:6" x14ac:dyDescent="0.3">
      <c r="F32985" s="193"/>
    </row>
    <row r="32986" spans="6:6" x14ac:dyDescent="0.3">
      <c r="F32986" s="193"/>
    </row>
    <row r="32987" spans="6:6" x14ac:dyDescent="0.3">
      <c r="F32987" s="193"/>
    </row>
    <row r="32988" spans="6:6" x14ac:dyDescent="0.3">
      <c r="F32988" s="193"/>
    </row>
    <row r="32989" spans="6:6" x14ac:dyDescent="0.3">
      <c r="F32989" s="193"/>
    </row>
    <row r="32990" spans="6:6" x14ac:dyDescent="0.3">
      <c r="F32990" s="193"/>
    </row>
    <row r="32991" spans="6:6" x14ac:dyDescent="0.3">
      <c r="F32991" s="193"/>
    </row>
    <row r="32992" spans="6:6" x14ac:dyDescent="0.3">
      <c r="F32992" s="193"/>
    </row>
    <row r="32993" spans="6:6" x14ac:dyDescent="0.3">
      <c r="F32993" s="193"/>
    </row>
    <row r="32994" spans="6:6" x14ac:dyDescent="0.3">
      <c r="F32994" s="193"/>
    </row>
    <row r="32995" spans="6:6" x14ac:dyDescent="0.3">
      <c r="F32995" s="193"/>
    </row>
    <row r="32996" spans="6:6" x14ac:dyDescent="0.3">
      <c r="F32996" s="193"/>
    </row>
    <row r="32997" spans="6:6" x14ac:dyDescent="0.3">
      <c r="F32997" s="193"/>
    </row>
    <row r="32998" spans="6:6" x14ac:dyDescent="0.3">
      <c r="F32998" s="193"/>
    </row>
    <row r="32999" spans="6:6" x14ac:dyDescent="0.3">
      <c r="F32999" s="193"/>
    </row>
    <row r="33000" spans="6:6" x14ac:dyDescent="0.3">
      <c r="F33000" s="193"/>
    </row>
    <row r="33001" spans="6:6" x14ac:dyDescent="0.3">
      <c r="F33001" s="193"/>
    </row>
    <row r="33002" spans="6:6" x14ac:dyDescent="0.3">
      <c r="F33002" s="193"/>
    </row>
    <row r="33003" spans="6:6" x14ac:dyDescent="0.3">
      <c r="F33003" s="193"/>
    </row>
    <row r="33004" spans="6:6" x14ac:dyDescent="0.3">
      <c r="F33004" s="193"/>
    </row>
    <row r="33005" spans="6:6" x14ac:dyDescent="0.3">
      <c r="F33005" s="193"/>
    </row>
    <row r="33006" spans="6:6" x14ac:dyDescent="0.3">
      <c r="F33006" s="193"/>
    </row>
    <row r="33007" spans="6:6" x14ac:dyDescent="0.3">
      <c r="F33007" s="193"/>
    </row>
    <row r="33008" spans="6:6" x14ac:dyDescent="0.3">
      <c r="F33008" s="193"/>
    </row>
    <row r="33009" spans="6:6" x14ac:dyDescent="0.3">
      <c r="F33009" s="193"/>
    </row>
    <row r="33010" spans="6:6" x14ac:dyDescent="0.3">
      <c r="F33010" s="193"/>
    </row>
    <row r="33011" spans="6:6" x14ac:dyDescent="0.3">
      <c r="F33011" s="193"/>
    </row>
    <row r="33012" spans="6:6" x14ac:dyDescent="0.3">
      <c r="F33012" s="193"/>
    </row>
    <row r="33013" spans="6:6" x14ac:dyDescent="0.3">
      <c r="F33013" s="193"/>
    </row>
    <row r="33014" spans="6:6" x14ac:dyDescent="0.3">
      <c r="F33014" s="193"/>
    </row>
    <row r="33015" spans="6:6" x14ac:dyDescent="0.3">
      <c r="F33015" s="193"/>
    </row>
    <row r="33016" spans="6:6" x14ac:dyDescent="0.3">
      <c r="F33016" s="193"/>
    </row>
    <row r="33017" spans="6:6" x14ac:dyDescent="0.3">
      <c r="F33017" s="193"/>
    </row>
    <row r="33018" spans="6:6" x14ac:dyDescent="0.3">
      <c r="F33018" s="193"/>
    </row>
    <row r="33019" spans="6:6" x14ac:dyDescent="0.3">
      <c r="F33019" s="193"/>
    </row>
    <row r="33020" spans="6:6" x14ac:dyDescent="0.3">
      <c r="F33020" s="193"/>
    </row>
    <row r="33021" spans="6:6" x14ac:dyDescent="0.3">
      <c r="F33021" s="193"/>
    </row>
    <row r="33022" spans="6:6" x14ac:dyDescent="0.3">
      <c r="F33022" s="193"/>
    </row>
    <row r="33023" spans="6:6" x14ac:dyDescent="0.3">
      <c r="F33023" s="193"/>
    </row>
    <row r="33024" spans="6:6" x14ac:dyDescent="0.3">
      <c r="F33024" s="193"/>
    </row>
    <row r="33025" spans="6:6" x14ac:dyDescent="0.3">
      <c r="F33025" s="193"/>
    </row>
    <row r="33026" spans="6:6" x14ac:dyDescent="0.3">
      <c r="F33026" s="193"/>
    </row>
    <row r="33027" spans="6:6" x14ac:dyDescent="0.3">
      <c r="F33027" s="193"/>
    </row>
    <row r="33028" spans="6:6" x14ac:dyDescent="0.3">
      <c r="F33028" s="193"/>
    </row>
    <row r="33029" spans="6:6" x14ac:dyDescent="0.3">
      <c r="F33029" s="193"/>
    </row>
    <row r="33030" spans="6:6" x14ac:dyDescent="0.3">
      <c r="F33030" s="193"/>
    </row>
    <row r="33031" spans="6:6" x14ac:dyDescent="0.3">
      <c r="F33031" s="193"/>
    </row>
    <row r="33032" spans="6:6" x14ac:dyDescent="0.3">
      <c r="F33032" s="193"/>
    </row>
    <row r="33033" spans="6:6" x14ac:dyDescent="0.3">
      <c r="F33033" s="193"/>
    </row>
    <row r="33034" spans="6:6" x14ac:dyDescent="0.3">
      <c r="F33034" s="193"/>
    </row>
    <row r="33035" spans="6:6" x14ac:dyDescent="0.3">
      <c r="F33035" s="193"/>
    </row>
    <row r="33036" spans="6:6" x14ac:dyDescent="0.3">
      <c r="F33036" s="193"/>
    </row>
    <row r="33037" spans="6:6" x14ac:dyDescent="0.3">
      <c r="F33037" s="193"/>
    </row>
    <row r="33038" spans="6:6" x14ac:dyDescent="0.3">
      <c r="F33038" s="193"/>
    </row>
    <row r="33039" spans="6:6" x14ac:dyDescent="0.3">
      <c r="F33039" s="193"/>
    </row>
    <row r="33040" spans="6:6" x14ac:dyDescent="0.3">
      <c r="F33040" s="193"/>
    </row>
    <row r="33041" spans="6:6" x14ac:dyDescent="0.3">
      <c r="F33041" s="193"/>
    </row>
    <row r="33042" spans="6:6" x14ac:dyDescent="0.3">
      <c r="F33042" s="193"/>
    </row>
    <row r="33043" spans="6:6" x14ac:dyDescent="0.3">
      <c r="F33043" s="193"/>
    </row>
    <row r="33044" spans="6:6" x14ac:dyDescent="0.3">
      <c r="F33044" s="193"/>
    </row>
    <row r="33045" spans="6:6" x14ac:dyDescent="0.3">
      <c r="F33045" s="193"/>
    </row>
    <row r="33046" spans="6:6" x14ac:dyDescent="0.3">
      <c r="F33046" s="193"/>
    </row>
    <row r="33047" spans="6:6" x14ac:dyDescent="0.3">
      <c r="F33047" s="193"/>
    </row>
    <row r="33048" spans="6:6" x14ac:dyDescent="0.3">
      <c r="F33048" s="193"/>
    </row>
    <row r="33049" spans="6:6" x14ac:dyDescent="0.3">
      <c r="F33049" s="193"/>
    </row>
    <row r="33050" spans="6:6" x14ac:dyDescent="0.3">
      <c r="F33050" s="193"/>
    </row>
    <row r="33051" spans="6:6" x14ac:dyDescent="0.3">
      <c r="F33051" s="193"/>
    </row>
    <row r="33052" spans="6:6" x14ac:dyDescent="0.3">
      <c r="F33052" s="193"/>
    </row>
    <row r="33053" spans="6:6" x14ac:dyDescent="0.3">
      <c r="F33053" s="193"/>
    </row>
    <row r="33054" spans="6:6" x14ac:dyDescent="0.3">
      <c r="F33054" s="193"/>
    </row>
    <row r="33055" spans="6:6" x14ac:dyDescent="0.3">
      <c r="F33055" s="193"/>
    </row>
    <row r="33056" spans="6:6" x14ac:dyDescent="0.3">
      <c r="F33056" s="193"/>
    </row>
    <row r="33057" spans="6:6" x14ac:dyDescent="0.3">
      <c r="F33057" s="193"/>
    </row>
    <row r="33058" spans="6:6" x14ac:dyDescent="0.3">
      <c r="F33058" s="193"/>
    </row>
    <row r="33059" spans="6:6" x14ac:dyDescent="0.3">
      <c r="F33059" s="193"/>
    </row>
    <row r="33060" spans="6:6" x14ac:dyDescent="0.3">
      <c r="F33060" s="193"/>
    </row>
    <row r="33061" spans="6:6" x14ac:dyDescent="0.3">
      <c r="F33061" s="193"/>
    </row>
    <row r="33062" spans="6:6" x14ac:dyDescent="0.3">
      <c r="F33062" s="193"/>
    </row>
    <row r="33063" spans="6:6" x14ac:dyDescent="0.3">
      <c r="F33063" s="193"/>
    </row>
    <row r="33064" spans="6:6" x14ac:dyDescent="0.3">
      <c r="F33064" s="193"/>
    </row>
    <row r="33065" spans="6:6" x14ac:dyDescent="0.3">
      <c r="F33065" s="193"/>
    </row>
    <row r="33066" spans="6:6" x14ac:dyDescent="0.3">
      <c r="F33066" s="193"/>
    </row>
    <row r="33067" spans="6:6" x14ac:dyDescent="0.3">
      <c r="F33067" s="193"/>
    </row>
    <row r="33068" spans="6:6" x14ac:dyDescent="0.3">
      <c r="F33068" s="193"/>
    </row>
    <row r="33069" spans="6:6" x14ac:dyDescent="0.3">
      <c r="F33069" s="193"/>
    </row>
    <row r="33070" spans="6:6" x14ac:dyDescent="0.3">
      <c r="F33070" s="193"/>
    </row>
    <row r="33071" spans="6:6" x14ac:dyDescent="0.3">
      <c r="F33071" s="193"/>
    </row>
    <row r="33072" spans="6:6" x14ac:dyDescent="0.3">
      <c r="F33072" s="193"/>
    </row>
    <row r="33073" spans="6:6" x14ac:dyDescent="0.3">
      <c r="F33073" s="193"/>
    </row>
    <row r="33074" spans="6:6" x14ac:dyDescent="0.3">
      <c r="F33074" s="193"/>
    </row>
    <row r="33075" spans="6:6" x14ac:dyDescent="0.3">
      <c r="F33075" s="193"/>
    </row>
    <row r="33076" spans="6:6" x14ac:dyDescent="0.3">
      <c r="F33076" s="193"/>
    </row>
    <row r="33077" spans="6:6" x14ac:dyDescent="0.3">
      <c r="F33077" s="193"/>
    </row>
    <row r="33078" spans="6:6" x14ac:dyDescent="0.3">
      <c r="F33078" s="193"/>
    </row>
    <row r="33079" spans="6:6" x14ac:dyDescent="0.3">
      <c r="F33079" s="193"/>
    </row>
    <row r="33080" spans="6:6" x14ac:dyDescent="0.3">
      <c r="F33080" s="193"/>
    </row>
    <row r="33081" spans="6:6" x14ac:dyDescent="0.3">
      <c r="F33081" s="193"/>
    </row>
    <row r="33082" spans="6:6" x14ac:dyDescent="0.3">
      <c r="F33082" s="193"/>
    </row>
    <row r="33083" spans="6:6" x14ac:dyDescent="0.3">
      <c r="F33083" s="193"/>
    </row>
    <row r="33084" spans="6:6" x14ac:dyDescent="0.3">
      <c r="F33084" s="193"/>
    </row>
    <row r="33085" spans="6:6" x14ac:dyDescent="0.3">
      <c r="F33085" s="193"/>
    </row>
    <row r="33086" spans="6:6" x14ac:dyDescent="0.3">
      <c r="F33086" s="193"/>
    </row>
    <row r="33087" spans="6:6" x14ac:dyDescent="0.3">
      <c r="F33087" s="193"/>
    </row>
    <row r="33088" spans="6:6" x14ac:dyDescent="0.3">
      <c r="F33088" s="193"/>
    </row>
    <row r="33089" spans="6:6" x14ac:dyDescent="0.3">
      <c r="F33089" s="193"/>
    </row>
    <row r="33090" spans="6:6" x14ac:dyDescent="0.3">
      <c r="F33090" s="193"/>
    </row>
    <row r="33091" spans="6:6" x14ac:dyDescent="0.3">
      <c r="F33091" s="193"/>
    </row>
    <row r="33092" spans="6:6" x14ac:dyDescent="0.3">
      <c r="F33092" s="193"/>
    </row>
    <row r="33093" spans="6:6" x14ac:dyDescent="0.3">
      <c r="F33093" s="193"/>
    </row>
    <row r="33094" spans="6:6" x14ac:dyDescent="0.3">
      <c r="F33094" s="193"/>
    </row>
    <row r="33095" spans="6:6" x14ac:dyDescent="0.3">
      <c r="F33095" s="193"/>
    </row>
    <row r="33096" spans="6:6" x14ac:dyDescent="0.3">
      <c r="F33096" s="193"/>
    </row>
    <row r="33097" spans="6:6" x14ac:dyDescent="0.3">
      <c r="F33097" s="193"/>
    </row>
    <row r="33098" spans="6:6" x14ac:dyDescent="0.3">
      <c r="F33098" s="193"/>
    </row>
    <row r="33099" spans="6:6" x14ac:dyDescent="0.3">
      <c r="F33099" s="193"/>
    </row>
    <row r="33100" spans="6:6" x14ac:dyDescent="0.3">
      <c r="F33100" s="193"/>
    </row>
    <row r="33101" spans="6:6" x14ac:dyDescent="0.3">
      <c r="F33101" s="193"/>
    </row>
    <row r="33102" spans="6:6" x14ac:dyDescent="0.3">
      <c r="F33102" s="193"/>
    </row>
    <row r="33103" spans="6:6" x14ac:dyDescent="0.3">
      <c r="F33103" s="193"/>
    </row>
    <row r="33104" spans="6:6" x14ac:dyDescent="0.3">
      <c r="F33104" s="193"/>
    </row>
    <row r="33105" spans="6:6" x14ac:dyDescent="0.3">
      <c r="F33105" s="193"/>
    </row>
    <row r="33106" spans="6:6" x14ac:dyDescent="0.3">
      <c r="F33106" s="193"/>
    </row>
    <row r="33107" spans="6:6" x14ac:dyDescent="0.3">
      <c r="F33107" s="193"/>
    </row>
    <row r="33108" spans="6:6" x14ac:dyDescent="0.3">
      <c r="F33108" s="193"/>
    </row>
    <row r="33109" spans="6:6" x14ac:dyDescent="0.3">
      <c r="F33109" s="193"/>
    </row>
    <row r="33110" spans="6:6" x14ac:dyDescent="0.3">
      <c r="F33110" s="193"/>
    </row>
    <row r="33111" spans="6:6" x14ac:dyDescent="0.3">
      <c r="F33111" s="193"/>
    </row>
    <row r="33112" spans="6:6" x14ac:dyDescent="0.3">
      <c r="F33112" s="193"/>
    </row>
    <row r="33113" spans="6:6" x14ac:dyDescent="0.3">
      <c r="F33113" s="193"/>
    </row>
    <row r="33114" spans="6:6" x14ac:dyDescent="0.3">
      <c r="F33114" s="193"/>
    </row>
    <row r="33115" spans="6:6" x14ac:dyDescent="0.3">
      <c r="F33115" s="193"/>
    </row>
    <row r="33116" spans="6:6" x14ac:dyDescent="0.3">
      <c r="F33116" s="193"/>
    </row>
    <row r="33117" spans="6:6" x14ac:dyDescent="0.3">
      <c r="F33117" s="193"/>
    </row>
    <row r="33118" spans="6:6" x14ac:dyDescent="0.3">
      <c r="F33118" s="193"/>
    </row>
    <row r="33119" spans="6:6" x14ac:dyDescent="0.3">
      <c r="F33119" s="193"/>
    </row>
    <row r="33120" spans="6:6" x14ac:dyDescent="0.3">
      <c r="F33120" s="193"/>
    </row>
    <row r="33121" spans="6:6" x14ac:dyDescent="0.3">
      <c r="F33121" s="193"/>
    </row>
    <row r="33122" spans="6:6" x14ac:dyDescent="0.3">
      <c r="F33122" s="193"/>
    </row>
    <row r="33123" spans="6:6" x14ac:dyDescent="0.3">
      <c r="F33123" s="193"/>
    </row>
    <row r="33124" spans="6:6" x14ac:dyDescent="0.3">
      <c r="F33124" s="193"/>
    </row>
    <row r="33125" spans="6:6" x14ac:dyDescent="0.3">
      <c r="F33125" s="193"/>
    </row>
    <row r="33126" spans="6:6" x14ac:dyDescent="0.3">
      <c r="F33126" s="193"/>
    </row>
    <row r="33127" spans="6:6" x14ac:dyDescent="0.3">
      <c r="F33127" s="193"/>
    </row>
    <row r="33128" spans="6:6" x14ac:dyDescent="0.3">
      <c r="F33128" s="193"/>
    </row>
    <row r="33129" spans="6:6" x14ac:dyDescent="0.3">
      <c r="F33129" s="193"/>
    </row>
    <row r="33130" spans="6:6" x14ac:dyDescent="0.3">
      <c r="F33130" s="193"/>
    </row>
    <row r="33131" spans="6:6" x14ac:dyDescent="0.3">
      <c r="F33131" s="193"/>
    </row>
    <row r="33132" spans="6:6" x14ac:dyDescent="0.3">
      <c r="F33132" s="193"/>
    </row>
    <row r="33133" spans="6:6" x14ac:dyDescent="0.3">
      <c r="F33133" s="193"/>
    </row>
    <row r="33134" spans="6:6" x14ac:dyDescent="0.3">
      <c r="F33134" s="193"/>
    </row>
    <row r="33135" spans="6:6" x14ac:dyDescent="0.3">
      <c r="F33135" s="193"/>
    </row>
    <row r="33136" spans="6:6" x14ac:dyDescent="0.3">
      <c r="F33136" s="193"/>
    </row>
    <row r="33137" spans="6:6" x14ac:dyDescent="0.3">
      <c r="F33137" s="193"/>
    </row>
    <row r="33138" spans="6:6" x14ac:dyDescent="0.3">
      <c r="F33138" s="193"/>
    </row>
    <row r="33139" spans="6:6" x14ac:dyDescent="0.3">
      <c r="F33139" s="193"/>
    </row>
    <row r="33140" spans="6:6" x14ac:dyDescent="0.3">
      <c r="F33140" s="193"/>
    </row>
    <row r="33141" spans="6:6" x14ac:dyDescent="0.3">
      <c r="F33141" s="193"/>
    </row>
    <row r="33142" spans="6:6" x14ac:dyDescent="0.3">
      <c r="F33142" s="193"/>
    </row>
    <row r="33143" spans="6:6" x14ac:dyDescent="0.3">
      <c r="F33143" s="193"/>
    </row>
    <row r="33144" spans="6:6" x14ac:dyDescent="0.3">
      <c r="F33144" s="193"/>
    </row>
    <row r="33145" spans="6:6" x14ac:dyDescent="0.3">
      <c r="F33145" s="193"/>
    </row>
    <row r="33146" spans="6:6" x14ac:dyDescent="0.3">
      <c r="F33146" s="193"/>
    </row>
    <row r="33147" spans="6:6" x14ac:dyDescent="0.3">
      <c r="F33147" s="193"/>
    </row>
    <row r="33148" spans="6:6" x14ac:dyDescent="0.3">
      <c r="F33148" s="193"/>
    </row>
    <row r="33149" spans="6:6" x14ac:dyDescent="0.3">
      <c r="F33149" s="193"/>
    </row>
    <row r="33150" spans="6:6" x14ac:dyDescent="0.3">
      <c r="F33150" s="193"/>
    </row>
    <row r="33151" spans="6:6" x14ac:dyDescent="0.3">
      <c r="F33151" s="193"/>
    </row>
    <row r="33152" spans="6:6" x14ac:dyDescent="0.3">
      <c r="F33152" s="193"/>
    </row>
    <row r="33153" spans="6:6" x14ac:dyDescent="0.3">
      <c r="F33153" s="193"/>
    </row>
    <row r="33154" spans="6:6" x14ac:dyDescent="0.3">
      <c r="F33154" s="193"/>
    </row>
    <row r="33155" spans="6:6" x14ac:dyDescent="0.3">
      <c r="F33155" s="193"/>
    </row>
    <row r="33156" spans="6:6" x14ac:dyDescent="0.3">
      <c r="F33156" s="193"/>
    </row>
    <row r="33157" spans="6:6" x14ac:dyDescent="0.3">
      <c r="F33157" s="193"/>
    </row>
    <row r="33158" spans="6:6" x14ac:dyDescent="0.3">
      <c r="F33158" s="193"/>
    </row>
    <row r="33159" spans="6:6" x14ac:dyDescent="0.3">
      <c r="F33159" s="193"/>
    </row>
    <row r="33160" spans="6:6" x14ac:dyDescent="0.3">
      <c r="F33160" s="193"/>
    </row>
    <row r="33161" spans="6:6" x14ac:dyDescent="0.3">
      <c r="F33161" s="193"/>
    </row>
    <row r="33162" spans="6:6" x14ac:dyDescent="0.3">
      <c r="F33162" s="193"/>
    </row>
    <row r="33163" spans="6:6" x14ac:dyDescent="0.3">
      <c r="F33163" s="193"/>
    </row>
    <row r="33164" spans="6:6" x14ac:dyDescent="0.3">
      <c r="F33164" s="193"/>
    </row>
    <row r="33165" spans="6:6" x14ac:dyDescent="0.3">
      <c r="F33165" s="193"/>
    </row>
    <row r="33166" spans="6:6" x14ac:dyDescent="0.3">
      <c r="F33166" s="193"/>
    </row>
    <row r="33167" spans="6:6" x14ac:dyDescent="0.3">
      <c r="F33167" s="193"/>
    </row>
    <row r="33168" spans="6:6" x14ac:dyDescent="0.3">
      <c r="F33168" s="193"/>
    </row>
    <row r="33169" spans="6:6" x14ac:dyDescent="0.3">
      <c r="F33169" s="193"/>
    </row>
    <row r="33170" spans="6:6" x14ac:dyDescent="0.3">
      <c r="F33170" s="193"/>
    </row>
    <row r="33171" spans="6:6" x14ac:dyDescent="0.3">
      <c r="F33171" s="193"/>
    </row>
    <row r="33172" spans="6:6" x14ac:dyDescent="0.3">
      <c r="F33172" s="193"/>
    </row>
    <row r="33173" spans="6:6" x14ac:dyDescent="0.3">
      <c r="F33173" s="193"/>
    </row>
    <row r="33174" spans="6:6" x14ac:dyDescent="0.3">
      <c r="F33174" s="193"/>
    </row>
    <row r="33175" spans="6:6" x14ac:dyDescent="0.3">
      <c r="F33175" s="193"/>
    </row>
    <row r="33176" spans="6:6" x14ac:dyDescent="0.3">
      <c r="F33176" s="193"/>
    </row>
    <row r="33177" spans="6:6" x14ac:dyDescent="0.3">
      <c r="F33177" s="193"/>
    </row>
    <row r="33178" spans="6:6" x14ac:dyDescent="0.3">
      <c r="F33178" s="193"/>
    </row>
    <row r="33179" spans="6:6" x14ac:dyDescent="0.3">
      <c r="F33179" s="193"/>
    </row>
    <row r="33180" spans="6:6" x14ac:dyDescent="0.3">
      <c r="F33180" s="193"/>
    </row>
    <row r="33181" spans="6:6" x14ac:dyDescent="0.3">
      <c r="F33181" s="193"/>
    </row>
    <row r="33182" spans="6:6" x14ac:dyDescent="0.3">
      <c r="F33182" s="193"/>
    </row>
    <row r="33183" spans="6:6" x14ac:dyDescent="0.3">
      <c r="F33183" s="193"/>
    </row>
    <row r="33184" spans="6:6" x14ac:dyDescent="0.3">
      <c r="F33184" s="193"/>
    </row>
    <row r="33185" spans="6:6" x14ac:dyDescent="0.3">
      <c r="F33185" s="193"/>
    </row>
    <row r="33186" spans="6:6" x14ac:dyDescent="0.3">
      <c r="F33186" s="193"/>
    </row>
    <row r="33187" spans="6:6" x14ac:dyDescent="0.3">
      <c r="F33187" s="193"/>
    </row>
    <row r="33188" spans="6:6" x14ac:dyDescent="0.3">
      <c r="F33188" s="193"/>
    </row>
    <row r="33189" spans="6:6" x14ac:dyDescent="0.3">
      <c r="F33189" s="193"/>
    </row>
    <row r="33190" spans="6:6" x14ac:dyDescent="0.3">
      <c r="F33190" s="193"/>
    </row>
    <row r="33191" spans="6:6" x14ac:dyDescent="0.3">
      <c r="F33191" s="193"/>
    </row>
    <row r="33192" spans="6:6" x14ac:dyDescent="0.3">
      <c r="F33192" s="193"/>
    </row>
    <row r="33193" spans="6:6" x14ac:dyDescent="0.3">
      <c r="F33193" s="193"/>
    </row>
    <row r="33194" spans="6:6" x14ac:dyDescent="0.3">
      <c r="F33194" s="193"/>
    </row>
    <row r="33195" spans="6:6" x14ac:dyDescent="0.3">
      <c r="F33195" s="193"/>
    </row>
    <row r="33196" spans="6:6" x14ac:dyDescent="0.3">
      <c r="F33196" s="193"/>
    </row>
    <row r="33197" spans="6:6" x14ac:dyDescent="0.3">
      <c r="F33197" s="193"/>
    </row>
    <row r="33198" spans="6:6" x14ac:dyDescent="0.3">
      <c r="F33198" s="193"/>
    </row>
    <row r="33199" spans="6:6" x14ac:dyDescent="0.3">
      <c r="F33199" s="193"/>
    </row>
    <row r="33200" spans="6:6" x14ac:dyDescent="0.3">
      <c r="F33200" s="193"/>
    </row>
    <row r="33201" spans="6:6" x14ac:dyDescent="0.3">
      <c r="F33201" s="193"/>
    </row>
    <row r="33202" spans="6:6" x14ac:dyDescent="0.3">
      <c r="F33202" s="193"/>
    </row>
    <row r="33203" spans="6:6" x14ac:dyDescent="0.3">
      <c r="F33203" s="193"/>
    </row>
    <row r="33204" spans="6:6" x14ac:dyDescent="0.3">
      <c r="F33204" s="193"/>
    </row>
    <row r="33205" spans="6:6" x14ac:dyDescent="0.3">
      <c r="F33205" s="193"/>
    </row>
    <row r="33206" spans="6:6" x14ac:dyDescent="0.3">
      <c r="F33206" s="193"/>
    </row>
    <row r="33207" spans="6:6" x14ac:dyDescent="0.3">
      <c r="F33207" s="193"/>
    </row>
    <row r="33208" spans="6:6" x14ac:dyDescent="0.3">
      <c r="F33208" s="193"/>
    </row>
    <row r="33209" spans="6:6" x14ac:dyDescent="0.3">
      <c r="F33209" s="193"/>
    </row>
    <row r="33210" spans="6:6" x14ac:dyDescent="0.3">
      <c r="F33210" s="193"/>
    </row>
    <row r="33211" spans="6:6" x14ac:dyDescent="0.3">
      <c r="F33211" s="193"/>
    </row>
    <row r="33212" spans="6:6" x14ac:dyDescent="0.3">
      <c r="F33212" s="193"/>
    </row>
    <row r="33213" spans="6:6" x14ac:dyDescent="0.3">
      <c r="F33213" s="193"/>
    </row>
    <row r="33214" spans="6:6" x14ac:dyDescent="0.3">
      <c r="F33214" s="193"/>
    </row>
    <row r="33215" spans="6:6" x14ac:dyDescent="0.3">
      <c r="F33215" s="193"/>
    </row>
    <row r="33216" spans="6:6" x14ac:dyDescent="0.3">
      <c r="F33216" s="193"/>
    </row>
    <row r="33217" spans="6:6" x14ac:dyDescent="0.3">
      <c r="F33217" s="193"/>
    </row>
    <row r="33218" spans="6:6" x14ac:dyDescent="0.3">
      <c r="F33218" s="193"/>
    </row>
    <row r="33219" spans="6:6" x14ac:dyDescent="0.3">
      <c r="F33219" s="193"/>
    </row>
    <row r="33220" spans="6:6" x14ac:dyDescent="0.3">
      <c r="F33220" s="193"/>
    </row>
    <row r="33221" spans="6:6" x14ac:dyDescent="0.3">
      <c r="F33221" s="193"/>
    </row>
    <row r="33222" spans="6:6" x14ac:dyDescent="0.3">
      <c r="F33222" s="193"/>
    </row>
    <row r="33223" spans="6:6" x14ac:dyDescent="0.3">
      <c r="F33223" s="193"/>
    </row>
    <row r="33224" spans="6:6" x14ac:dyDescent="0.3">
      <c r="F33224" s="193"/>
    </row>
    <row r="33225" spans="6:6" x14ac:dyDescent="0.3">
      <c r="F33225" s="193"/>
    </row>
    <row r="33226" spans="6:6" x14ac:dyDescent="0.3">
      <c r="F33226" s="193"/>
    </row>
    <row r="33227" spans="6:6" x14ac:dyDescent="0.3">
      <c r="F33227" s="193"/>
    </row>
    <row r="33228" spans="6:6" x14ac:dyDescent="0.3">
      <c r="F33228" s="193"/>
    </row>
    <row r="33229" spans="6:6" x14ac:dyDescent="0.3">
      <c r="F33229" s="193"/>
    </row>
    <row r="33230" spans="6:6" x14ac:dyDescent="0.3">
      <c r="F33230" s="193"/>
    </row>
    <row r="33231" spans="6:6" x14ac:dyDescent="0.3">
      <c r="F33231" s="193"/>
    </row>
    <row r="33232" spans="6:6" x14ac:dyDescent="0.3">
      <c r="F33232" s="193"/>
    </row>
    <row r="33233" spans="6:6" x14ac:dyDescent="0.3">
      <c r="F33233" s="193"/>
    </row>
    <row r="33234" spans="6:6" x14ac:dyDescent="0.3">
      <c r="F33234" s="193"/>
    </row>
    <row r="33235" spans="6:6" x14ac:dyDescent="0.3">
      <c r="F33235" s="193"/>
    </row>
    <row r="33236" spans="6:6" x14ac:dyDescent="0.3">
      <c r="F33236" s="193"/>
    </row>
    <row r="33237" spans="6:6" x14ac:dyDescent="0.3">
      <c r="F33237" s="193"/>
    </row>
    <row r="33238" spans="6:6" x14ac:dyDescent="0.3">
      <c r="F33238" s="193"/>
    </row>
    <row r="33239" spans="6:6" x14ac:dyDescent="0.3">
      <c r="F33239" s="193"/>
    </row>
    <row r="33240" spans="6:6" x14ac:dyDescent="0.3">
      <c r="F33240" s="193"/>
    </row>
    <row r="33241" spans="6:6" x14ac:dyDescent="0.3">
      <c r="F33241" s="193"/>
    </row>
    <row r="33242" spans="6:6" x14ac:dyDescent="0.3">
      <c r="F33242" s="193"/>
    </row>
    <row r="33243" spans="6:6" x14ac:dyDescent="0.3">
      <c r="F33243" s="193"/>
    </row>
    <row r="33244" spans="6:6" x14ac:dyDescent="0.3">
      <c r="F33244" s="193"/>
    </row>
    <row r="33245" spans="6:6" x14ac:dyDescent="0.3">
      <c r="F33245" s="193"/>
    </row>
    <row r="33246" spans="6:6" x14ac:dyDescent="0.3">
      <c r="F33246" s="193"/>
    </row>
    <row r="33247" spans="6:6" x14ac:dyDescent="0.3">
      <c r="F33247" s="193"/>
    </row>
    <row r="33248" spans="6:6" x14ac:dyDescent="0.3">
      <c r="F33248" s="193"/>
    </row>
    <row r="33249" spans="6:6" x14ac:dyDescent="0.3">
      <c r="F33249" s="193"/>
    </row>
    <row r="33250" spans="6:6" x14ac:dyDescent="0.3">
      <c r="F33250" s="193"/>
    </row>
    <row r="33251" spans="6:6" x14ac:dyDescent="0.3">
      <c r="F33251" s="193"/>
    </row>
    <row r="33252" spans="6:6" x14ac:dyDescent="0.3">
      <c r="F33252" s="193"/>
    </row>
    <row r="33253" spans="6:6" x14ac:dyDescent="0.3">
      <c r="F33253" s="193"/>
    </row>
    <row r="33254" spans="6:6" x14ac:dyDescent="0.3">
      <c r="F33254" s="193"/>
    </row>
    <row r="33255" spans="6:6" x14ac:dyDescent="0.3">
      <c r="F33255" s="193"/>
    </row>
    <row r="33256" spans="6:6" x14ac:dyDescent="0.3">
      <c r="F33256" s="193"/>
    </row>
    <row r="33257" spans="6:6" x14ac:dyDescent="0.3">
      <c r="F33257" s="193"/>
    </row>
    <row r="33258" spans="6:6" x14ac:dyDescent="0.3">
      <c r="F33258" s="193"/>
    </row>
    <row r="33259" spans="6:6" x14ac:dyDescent="0.3">
      <c r="F33259" s="193"/>
    </row>
    <row r="33260" spans="6:6" x14ac:dyDescent="0.3">
      <c r="F33260" s="193"/>
    </row>
    <row r="33261" spans="6:6" x14ac:dyDescent="0.3">
      <c r="F33261" s="193"/>
    </row>
    <row r="33262" spans="6:6" x14ac:dyDescent="0.3">
      <c r="F33262" s="193"/>
    </row>
    <row r="33263" spans="6:6" x14ac:dyDescent="0.3">
      <c r="F33263" s="193"/>
    </row>
    <row r="33264" spans="6:6" x14ac:dyDescent="0.3">
      <c r="F33264" s="193"/>
    </row>
    <row r="33265" spans="6:6" x14ac:dyDescent="0.3">
      <c r="F33265" s="193"/>
    </row>
    <row r="33266" spans="6:6" x14ac:dyDescent="0.3">
      <c r="F33266" s="193"/>
    </row>
    <row r="33267" spans="6:6" x14ac:dyDescent="0.3">
      <c r="F33267" s="193"/>
    </row>
    <row r="33268" spans="6:6" x14ac:dyDescent="0.3">
      <c r="F33268" s="193"/>
    </row>
    <row r="33269" spans="6:6" x14ac:dyDescent="0.3">
      <c r="F33269" s="193"/>
    </row>
    <row r="33270" spans="6:6" x14ac:dyDescent="0.3">
      <c r="F33270" s="193"/>
    </row>
    <row r="33271" spans="6:6" x14ac:dyDescent="0.3">
      <c r="F33271" s="193"/>
    </row>
    <row r="33272" spans="6:6" x14ac:dyDescent="0.3">
      <c r="F33272" s="193"/>
    </row>
    <row r="33273" spans="6:6" x14ac:dyDescent="0.3">
      <c r="F33273" s="193"/>
    </row>
    <row r="33274" spans="6:6" x14ac:dyDescent="0.3">
      <c r="F33274" s="193"/>
    </row>
    <row r="33275" spans="6:6" x14ac:dyDescent="0.3">
      <c r="F33275" s="193"/>
    </row>
    <row r="33276" spans="6:6" x14ac:dyDescent="0.3">
      <c r="F33276" s="193"/>
    </row>
    <row r="33277" spans="6:6" x14ac:dyDescent="0.3">
      <c r="F33277" s="193"/>
    </row>
    <row r="33278" spans="6:6" x14ac:dyDescent="0.3">
      <c r="F33278" s="193"/>
    </row>
    <row r="33279" spans="6:6" x14ac:dyDescent="0.3">
      <c r="F33279" s="193"/>
    </row>
    <row r="33280" spans="6:6" x14ac:dyDescent="0.3">
      <c r="F33280" s="193"/>
    </row>
    <row r="33281" spans="6:6" x14ac:dyDescent="0.3">
      <c r="F33281" s="193"/>
    </row>
    <row r="33282" spans="6:6" x14ac:dyDescent="0.3">
      <c r="F33282" s="193"/>
    </row>
    <row r="33283" spans="6:6" x14ac:dyDescent="0.3">
      <c r="F33283" s="193"/>
    </row>
    <row r="33284" spans="6:6" x14ac:dyDescent="0.3">
      <c r="F33284" s="193"/>
    </row>
    <row r="33285" spans="6:6" x14ac:dyDescent="0.3">
      <c r="F33285" s="193"/>
    </row>
    <row r="33286" spans="6:6" x14ac:dyDescent="0.3">
      <c r="F33286" s="193"/>
    </row>
    <row r="33287" spans="6:6" x14ac:dyDescent="0.3">
      <c r="F33287" s="193"/>
    </row>
    <row r="33288" spans="6:6" x14ac:dyDescent="0.3">
      <c r="F33288" s="193"/>
    </row>
    <row r="33289" spans="6:6" x14ac:dyDescent="0.3">
      <c r="F33289" s="193"/>
    </row>
    <row r="33290" spans="6:6" x14ac:dyDescent="0.3">
      <c r="F33290" s="193"/>
    </row>
    <row r="33291" spans="6:6" x14ac:dyDescent="0.3">
      <c r="F33291" s="193"/>
    </row>
    <row r="33292" spans="6:6" x14ac:dyDescent="0.3">
      <c r="F33292" s="193"/>
    </row>
    <row r="33293" spans="6:6" x14ac:dyDescent="0.3">
      <c r="F33293" s="193"/>
    </row>
    <row r="33294" spans="6:6" x14ac:dyDescent="0.3">
      <c r="F33294" s="193"/>
    </row>
    <row r="33295" spans="6:6" x14ac:dyDescent="0.3">
      <c r="F33295" s="193"/>
    </row>
    <row r="33296" spans="6:6" x14ac:dyDescent="0.3">
      <c r="F33296" s="193"/>
    </row>
    <row r="33297" spans="6:6" x14ac:dyDescent="0.3">
      <c r="F33297" s="193"/>
    </row>
    <row r="33298" spans="6:6" x14ac:dyDescent="0.3">
      <c r="F33298" s="193"/>
    </row>
    <row r="33299" spans="6:6" x14ac:dyDescent="0.3">
      <c r="F33299" s="193"/>
    </row>
    <row r="33300" spans="6:6" x14ac:dyDescent="0.3">
      <c r="F33300" s="193"/>
    </row>
    <row r="33301" spans="6:6" x14ac:dyDescent="0.3">
      <c r="F33301" s="193"/>
    </row>
    <row r="33302" spans="6:6" x14ac:dyDescent="0.3">
      <c r="F33302" s="193"/>
    </row>
    <row r="33303" spans="6:6" x14ac:dyDescent="0.3">
      <c r="F33303" s="193"/>
    </row>
    <row r="33304" spans="6:6" x14ac:dyDescent="0.3">
      <c r="F33304" s="193"/>
    </row>
    <row r="33305" spans="6:6" x14ac:dyDescent="0.3">
      <c r="F33305" s="193"/>
    </row>
    <row r="33306" spans="6:6" x14ac:dyDescent="0.3">
      <c r="F33306" s="193"/>
    </row>
    <row r="33307" spans="6:6" x14ac:dyDescent="0.3">
      <c r="F33307" s="193"/>
    </row>
    <row r="33308" spans="6:6" x14ac:dyDescent="0.3">
      <c r="F33308" s="193"/>
    </row>
    <row r="33309" spans="6:6" x14ac:dyDescent="0.3">
      <c r="F33309" s="193"/>
    </row>
    <row r="33310" spans="6:6" x14ac:dyDescent="0.3">
      <c r="F33310" s="193"/>
    </row>
    <row r="33311" spans="6:6" x14ac:dyDescent="0.3">
      <c r="F33311" s="193"/>
    </row>
    <row r="33312" spans="6:6" x14ac:dyDescent="0.3">
      <c r="F33312" s="193"/>
    </row>
    <row r="33313" spans="6:6" x14ac:dyDescent="0.3">
      <c r="F33313" s="193"/>
    </row>
    <row r="33314" spans="6:6" x14ac:dyDescent="0.3">
      <c r="F33314" s="193"/>
    </row>
    <row r="33315" spans="6:6" x14ac:dyDescent="0.3">
      <c r="F33315" s="193"/>
    </row>
    <row r="33316" spans="6:6" x14ac:dyDescent="0.3">
      <c r="F33316" s="193"/>
    </row>
    <row r="33317" spans="6:6" x14ac:dyDescent="0.3">
      <c r="F33317" s="193"/>
    </row>
    <row r="33318" spans="6:6" x14ac:dyDescent="0.3">
      <c r="F33318" s="193"/>
    </row>
    <row r="33319" spans="6:6" x14ac:dyDescent="0.3">
      <c r="F33319" s="193"/>
    </row>
    <row r="33320" spans="6:6" x14ac:dyDescent="0.3">
      <c r="F33320" s="193"/>
    </row>
    <row r="33321" spans="6:6" x14ac:dyDescent="0.3">
      <c r="F33321" s="193"/>
    </row>
    <row r="33322" spans="6:6" x14ac:dyDescent="0.3">
      <c r="F33322" s="193"/>
    </row>
    <row r="33323" spans="6:6" x14ac:dyDescent="0.3">
      <c r="F33323" s="193"/>
    </row>
    <row r="33324" spans="6:6" x14ac:dyDescent="0.3">
      <c r="F33324" s="193"/>
    </row>
    <row r="33325" spans="6:6" x14ac:dyDescent="0.3">
      <c r="F33325" s="193"/>
    </row>
    <row r="33326" spans="6:6" x14ac:dyDescent="0.3">
      <c r="F33326" s="193"/>
    </row>
    <row r="33327" spans="6:6" x14ac:dyDescent="0.3">
      <c r="F33327" s="193"/>
    </row>
    <row r="33328" spans="6:6" x14ac:dyDescent="0.3">
      <c r="F33328" s="193"/>
    </row>
    <row r="33329" spans="6:6" x14ac:dyDescent="0.3">
      <c r="F33329" s="193"/>
    </row>
    <row r="33330" spans="6:6" x14ac:dyDescent="0.3">
      <c r="F33330" s="193"/>
    </row>
    <row r="33331" spans="6:6" x14ac:dyDescent="0.3">
      <c r="F33331" s="193"/>
    </row>
    <row r="33332" spans="6:6" x14ac:dyDescent="0.3">
      <c r="F33332" s="193"/>
    </row>
    <row r="33333" spans="6:6" x14ac:dyDescent="0.3">
      <c r="F33333" s="193"/>
    </row>
    <row r="33334" spans="6:6" x14ac:dyDescent="0.3">
      <c r="F33334" s="193"/>
    </row>
    <row r="33335" spans="6:6" x14ac:dyDescent="0.3">
      <c r="F33335" s="193"/>
    </row>
    <row r="33336" spans="6:6" x14ac:dyDescent="0.3">
      <c r="F33336" s="193"/>
    </row>
    <row r="33337" spans="6:6" x14ac:dyDescent="0.3">
      <c r="F33337" s="193"/>
    </row>
    <row r="33338" spans="6:6" x14ac:dyDescent="0.3">
      <c r="F33338" s="193"/>
    </row>
    <row r="33339" spans="6:6" x14ac:dyDescent="0.3">
      <c r="F33339" s="193"/>
    </row>
    <row r="33340" spans="6:6" x14ac:dyDescent="0.3">
      <c r="F33340" s="193"/>
    </row>
    <row r="33341" spans="6:6" x14ac:dyDescent="0.3">
      <c r="F33341" s="193"/>
    </row>
    <row r="33342" spans="6:6" x14ac:dyDescent="0.3">
      <c r="F33342" s="193"/>
    </row>
    <row r="33343" spans="6:6" x14ac:dyDescent="0.3">
      <c r="F33343" s="193"/>
    </row>
    <row r="33344" spans="6:6" x14ac:dyDescent="0.3">
      <c r="F33344" s="193"/>
    </row>
    <row r="33345" spans="6:6" x14ac:dyDescent="0.3">
      <c r="F33345" s="193"/>
    </row>
    <row r="33346" spans="6:6" x14ac:dyDescent="0.3">
      <c r="F33346" s="193"/>
    </row>
    <row r="33347" spans="6:6" x14ac:dyDescent="0.3">
      <c r="F33347" s="193"/>
    </row>
    <row r="33348" spans="6:6" x14ac:dyDescent="0.3">
      <c r="F33348" s="193"/>
    </row>
    <row r="33349" spans="6:6" x14ac:dyDescent="0.3">
      <c r="F33349" s="193"/>
    </row>
    <row r="33350" spans="6:6" x14ac:dyDescent="0.3">
      <c r="F33350" s="193"/>
    </row>
    <row r="33351" spans="6:6" x14ac:dyDescent="0.3">
      <c r="F33351" s="193"/>
    </row>
    <row r="33352" spans="6:6" x14ac:dyDescent="0.3">
      <c r="F33352" s="193"/>
    </row>
    <row r="33353" spans="6:6" x14ac:dyDescent="0.3">
      <c r="F33353" s="193"/>
    </row>
    <row r="33354" spans="6:6" x14ac:dyDescent="0.3">
      <c r="F33354" s="193"/>
    </row>
    <row r="33355" spans="6:6" x14ac:dyDescent="0.3">
      <c r="F33355" s="193"/>
    </row>
    <row r="33356" spans="6:6" x14ac:dyDescent="0.3">
      <c r="F33356" s="193"/>
    </row>
    <row r="33357" spans="6:6" x14ac:dyDescent="0.3">
      <c r="F33357" s="193"/>
    </row>
    <row r="33358" spans="6:6" x14ac:dyDescent="0.3">
      <c r="F33358" s="193"/>
    </row>
    <row r="33359" spans="6:6" x14ac:dyDescent="0.3">
      <c r="F33359" s="193"/>
    </row>
    <row r="33360" spans="6:6" x14ac:dyDescent="0.3">
      <c r="F33360" s="193"/>
    </row>
    <row r="33361" spans="6:6" x14ac:dyDescent="0.3">
      <c r="F33361" s="193"/>
    </row>
    <row r="33362" spans="6:6" x14ac:dyDescent="0.3">
      <c r="F33362" s="193"/>
    </row>
    <row r="33363" spans="6:6" x14ac:dyDescent="0.3">
      <c r="F33363" s="193"/>
    </row>
    <row r="33364" spans="6:6" x14ac:dyDescent="0.3">
      <c r="F33364" s="193"/>
    </row>
    <row r="33365" spans="6:6" x14ac:dyDescent="0.3">
      <c r="F33365" s="193"/>
    </row>
    <row r="33366" spans="6:6" x14ac:dyDescent="0.3">
      <c r="F33366" s="193"/>
    </row>
    <row r="33367" spans="6:6" x14ac:dyDescent="0.3">
      <c r="F33367" s="193"/>
    </row>
    <row r="33368" spans="6:6" x14ac:dyDescent="0.3">
      <c r="F33368" s="193"/>
    </row>
    <row r="33369" spans="6:6" x14ac:dyDescent="0.3">
      <c r="F33369" s="193"/>
    </row>
    <row r="33370" spans="6:6" x14ac:dyDescent="0.3">
      <c r="F33370" s="193"/>
    </row>
    <row r="33371" spans="6:6" x14ac:dyDescent="0.3">
      <c r="F33371" s="193"/>
    </row>
    <row r="33372" spans="6:6" x14ac:dyDescent="0.3">
      <c r="F33372" s="193"/>
    </row>
    <row r="33373" spans="6:6" x14ac:dyDescent="0.3">
      <c r="F33373" s="193"/>
    </row>
    <row r="33374" spans="6:6" x14ac:dyDescent="0.3">
      <c r="F33374" s="193"/>
    </row>
    <row r="33375" spans="6:6" x14ac:dyDescent="0.3">
      <c r="F33375" s="193"/>
    </row>
    <row r="33376" spans="6:6" x14ac:dyDescent="0.3">
      <c r="F33376" s="193"/>
    </row>
    <row r="33377" spans="6:6" x14ac:dyDescent="0.3">
      <c r="F33377" s="193"/>
    </row>
    <row r="33378" spans="6:6" x14ac:dyDescent="0.3">
      <c r="F33378" s="193"/>
    </row>
    <row r="33379" spans="6:6" x14ac:dyDescent="0.3">
      <c r="F33379" s="193"/>
    </row>
    <row r="33380" spans="6:6" x14ac:dyDescent="0.3">
      <c r="F33380" s="193"/>
    </row>
    <row r="33381" spans="6:6" x14ac:dyDescent="0.3">
      <c r="F33381" s="193"/>
    </row>
    <row r="33382" spans="6:6" x14ac:dyDescent="0.3">
      <c r="F33382" s="193"/>
    </row>
    <row r="33383" spans="6:6" x14ac:dyDescent="0.3">
      <c r="F33383" s="193"/>
    </row>
    <row r="33384" spans="6:6" x14ac:dyDescent="0.3">
      <c r="F33384" s="193"/>
    </row>
    <row r="33385" spans="6:6" x14ac:dyDescent="0.3">
      <c r="F33385" s="193"/>
    </row>
    <row r="33386" spans="6:6" x14ac:dyDescent="0.3">
      <c r="F33386" s="193"/>
    </row>
    <row r="33387" spans="6:6" x14ac:dyDescent="0.3">
      <c r="F33387" s="193"/>
    </row>
    <row r="33388" spans="6:6" x14ac:dyDescent="0.3">
      <c r="F33388" s="193"/>
    </row>
    <row r="33389" spans="6:6" x14ac:dyDescent="0.3">
      <c r="F33389" s="193"/>
    </row>
    <row r="33390" spans="6:6" x14ac:dyDescent="0.3">
      <c r="F33390" s="193"/>
    </row>
    <row r="33391" spans="6:6" x14ac:dyDescent="0.3">
      <c r="F33391" s="193"/>
    </row>
    <row r="33392" spans="6:6" x14ac:dyDescent="0.3">
      <c r="F33392" s="193"/>
    </row>
    <row r="33393" spans="6:6" x14ac:dyDescent="0.3">
      <c r="F33393" s="193"/>
    </row>
    <row r="33394" spans="6:6" x14ac:dyDescent="0.3">
      <c r="F33394" s="193"/>
    </row>
    <row r="33395" spans="6:6" x14ac:dyDescent="0.3">
      <c r="F33395" s="193"/>
    </row>
    <row r="33396" spans="6:6" x14ac:dyDescent="0.3">
      <c r="F33396" s="193"/>
    </row>
    <row r="33397" spans="6:6" x14ac:dyDescent="0.3">
      <c r="F33397" s="193"/>
    </row>
    <row r="33398" spans="6:6" x14ac:dyDescent="0.3">
      <c r="F33398" s="193"/>
    </row>
    <row r="33399" spans="6:6" x14ac:dyDescent="0.3">
      <c r="F33399" s="193"/>
    </row>
    <row r="33400" spans="6:6" x14ac:dyDescent="0.3">
      <c r="F33400" s="193"/>
    </row>
    <row r="33401" spans="6:6" x14ac:dyDescent="0.3">
      <c r="F33401" s="193"/>
    </row>
    <row r="33402" spans="6:6" x14ac:dyDescent="0.3">
      <c r="F33402" s="193"/>
    </row>
    <row r="33403" spans="6:6" x14ac:dyDescent="0.3">
      <c r="F33403" s="193"/>
    </row>
    <row r="33404" spans="6:6" x14ac:dyDescent="0.3">
      <c r="F33404" s="193"/>
    </row>
    <row r="33405" spans="6:6" x14ac:dyDescent="0.3">
      <c r="F33405" s="193"/>
    </row>
    <row r="33406" spans="6:6" x14ac:dyDescent="0.3">
      <c r="F33406" s="193"/>
    </row>
    <row r="33407" spans="6:6" x14ac:dyDescent="0.3">
      <c r="F33407" s="193"/>
    </row>
    <row r="33408" spans="6:6" x14ac:dyDescent="0.3">
      <c r="F33408" s="193"/>
    </row>
    <row r="33409" spans="6:6" x14ac:dyDescent="0.3">
      <c r="F33409" s="193"/>
    </row>
    <row r="33410" spans="6:6" x14ac:dyDescent="0.3">
      <c r="F33410" s="193"/>
    </row>
    <row r="33411" spans="6:6" x14ac:dyDescent="0.3">
      <c r="F33411" s="193"/>
    </row>
    <row r="33412" spans="6:6" x14ac:dyDescent="0.3">
      <c r="F33412" s="193"/>
    </row>
    <row r="33413" spans="6:6" x14ac:dyDescent="0.3">
      <c r="F33413" s="193"/>
    </row>
    <row r="33414" spans="6:6" x14ac:dyDescent="0.3">
      <c r="F33414" s="193"/>
    </row>
    <row r="33415" spans="6:6" x14ac:dyDescent="0.3">
      <c r="F33415" s="193"/>
    </row>
    <row r="33416" spans="6:6" x14ac:dyDescent="0.3">
      <c r="F33416" s="193"/>
    </row>
    <row r="33417" spans="6:6" x14ac:dyDescent="0.3">
      <c r="F33417" s="193"/>
    </row>
    <row r="33418" spans="6:6" x14ac:dyDescent="0.3">
      <c r="F33418" s="193"/>
    </row>
    <row r="33419" spans="6:6" x14ac:dyDescent="0.3">
      <c r="F33419" s="193"/>
    </row>
    <row r="33420" spans="6:6" x14ac:dyDescent="0.3">
      <c r="F33420" s="193"/>
    </row>
    <row r="33421" spans="6:6" x14ac:dyDescent="0.3">
      <c r="F33421" s="193"/>
    </row>
    <row r="33422" spans="6:6" x14ac:dyDescent="0.3">
      <c r="F33422" s="193"/>
    </row>
    <row r="33423" spans="6:6" x14ac:dyDescent="0.3">
      <c r="F33423" s="193"/>
    </row>
    <row r="33424" spans="6:6" x14ac:dyDescent="0.3">
      <c r="F33424" s="193"/>
    </row>
    <row r="33425" spans="6:6" x14ac:dyDescent="0.3">
      <c r="F33425" s="193"/>
    </row>
    <row r="33426" spans="6:6" x14ac:dyDescent="0.3">
      <c r="F33426" s="193"/>
    </row>
    <row r="33427" spans="6:6" x14ac:dyDescent="0.3">
      <c r="F33427" s="193"/>
    </row>
    <row r="33428" spans="6:6" x14ac:dyDescent="0.3">
      <c r="F33428" s="193"/>
    </row>
    <row r="33429" spans="6:6" x14ac:dyDescent="0.3">
      <c r="F33429" s="193"/>
    </row>
    <row r="33430" spans="6:6" x14ac:dyDescent="0.3">
      <c r="F33430" s="193"/>
    </row>
    <row r="33431" spans="6:6" x14ac:dyDescent="0.3">
      <c r="F33431" s="193"/>
    </row>
    <row r="33432" spans="6:6" x14ac:dyDescent="0.3">
      <c r="F33432" s="193"/>
    </row>
    <row r="33433" spans="6:6" x14ac:dyDescent="0.3">
      <c r="F33433" s="193"/>
    </row>
    <row r="33434" spans="6:6" x14ac:dyDescent="0.3">
      <c r="F33434" s="193"/>
    </row>
    <row r="33435" spans="6:6" x14ac:dyDescent="0.3">
      <c r="F33435" s="193"/>
    </row>
    <row r="33436" spans="6:6" x14ac:dyDescent="0.3">
      <c r="F33436" s="193"/>
    </row>
    <row r="33437" spans="6:6" x14ac:dyDescent="0.3">
      <c r="F33437" s="193"/>
    </row>
    <row r="33438" spans="6:6" x14ac:dyDescent="0.3">
      <c r="F33438" s="193"/>
    </row>
    <row r="33439" spans="6:6" x14ac:dyDescent="0.3">
      <c r="F33439" s="193"/>
    </row>
    <row r="33440" spans="6:6" x14ac:dyDescent="0.3">
      <c r="F33440" s="193"/>
    </row>
    <row r="33441" spans="6:6" x14ac:dyDescent="0.3">
      <c r="F33441" s="193"/>
    </row>
    <row r="33442" spans="6:6" x14ac:dyDescent="0.3">
      <c r="F33442" s="193"/>
    </row>
    <row r="33443" spans="6:6" x14ac:dyDescent="0.3">
      <c r="F33443" s="193"/>
    </row>
    <row r="33444" spans="6:6" x14ac:dyDescent="0.3">
      <c r="F33444" s="193"/>
    </row>
    <row r="33445" spans="6:6" x14ac:dyDescent="0.3">
      <c r="F33445" s="193"/>
    </row>
    <row r="33446" spans="6:6" x14ac:dyDescent="0.3">
      <c r="F33446" s="193"/>
    </row>
    <row r="33447" spans="6:6" x14ac:dyDescent="0.3">
      <c r="F33447" s="193"/>
    </row>
    <row r="33448" spans="6:6" x14ac:dyDescent="0.3">
      <c r="F33448" s="193"/>
    </row>
    <row r="33449" spans="6:6" x14ac:dyDescent="0.3">
      <c r="F33449" s="193"/>
    </row>
    <row r="33450" spans="6:6" x14ac:dyDescent="0.3">
      <c r="F33450" s="193"/>
    </row>
    <row r="33451" spans="6:6" x14ac:dyDescent="0.3">
      <c r="F33451" s="193"/>
    </row>
    <row r="33452" spans="6:6" x14ac:dyDescent="0.3">
      <c r="F33452" s="193"/>
    </row>
    <row r="33453" spans="6:6" x14ac:dyDescent="0.3">
      <c r="F33453" s="193"/>
    </row>
    <row r="33454" spans="6:6" x14ac:dyDescent="0.3">
      <c r="F33454" s="193"/>
    </row>
    <row r="33455" spans="6:6" x14ac:dyDescent="0.3">
      <c r="F33455" s="193"/>
    </row>
    <row r="33456" spans="6:6" x14ac:dyDescent="0.3">
      <c r="F33456" s="193"/>
    </row>
    <row r="33457" spans="6:6" x14ac:dyDescent="0.3">
      <c r="F33457" s="193"/>
    </row>
    <row r="33458" spans="6:6" x14ac:dyDescent="0.3">
      <c r="F33458" s="193"/>
    </row>
    <row r="33459" spans="6:6" x14ac:dyDescent="0.3">
      <c r="F33459" s="193"/>
    </row>
    <row r="33460" spans="6:6" x14ac:dyDescent="0.3">
      <c r="F33460" s="193"/>
    </row>
    <row r="33461" spans="6:6" x14ac:dyDescent="0.3">
      <c r="F33461" s="193"/>
    </row>
    <row r="33462" spans="6:6" x14ac:dyDescent="0.3">
      <c r="F33462" s="193"/>
    </row>
    <row r="33463" spans="6:6" x14ac:dyDescent="0.3">
      <c r="F33463" s="193"/>
    </row>
    <row r="33464" spans="6:6" x14ac:dyDescent="0.3">
      <c r="F33464" s="193"/>
    </row>
    <row r="33465" spans="6:6" x14ac:dyDescent="0.3">
      <c r="F33465" s="193"/>
    </row>
    <row r="33466" spans="6:6" x14ac:dyDescent="0.3">
      <c r="F33466" s="193"/>
    </row>
    <row r="33467" spans="6:6" x14ac:dyDescent="0.3">
      <c r="F33467" s="193"/>
    </row>
    <row r="33468" spans="6:6" x14ac:dyDescent="0.3">
      <c r="F33468" s="193"/>
    </row>
    <row r="33469" spans="6:6" x14ac:dyDescent="0.3">
      <c r="F33469" s="193"/>
    </row>
    <row r="33470" spans="6:6" x14ac:dyDescent="0.3">
      <c r="F33470" s="193"/>
    </row>
    <row r="33471" spans="6:6" x14ac:dyDescent="0.3">
      <c r="F33471" s="193"/>
    </row>
    <row r="33472" spans="6:6" x14ac:dyDescent="0.3">
      <c r="F33472" s="193"/>
    </row>
    <row r="33473" spans="6:6" x14ac:dyDescent="0.3">
      <c r="F33473" s="193"/>
    </row>
    <row r="33474" spans="6:6" x14ac:dyDescent="0.3">
      <c r="F33474" s="193"/>
    </row>
    <row r="33475" spans="6:6" x14ac:dyDescent="0.3">
      <c r="F33475" s="193"/>
    </row>
    <row r="33476" spans="6:6" x14ac:dyDescent="0.3">
      <c r="F33476" s="193"/>
    </row>
    <row r="33477" spans="6:6" x14ac:dyDescent="0.3">
      <c r="F33477" s="193"/>
    </row>
    <row r="33478" spans="6:6" x14ac:dyDescent="0.3">
      <c r="F33478" s="193"/>
    </row>
    <row r="33479" spans="6:6" x14ac:dyDescent="0.3">
      <c r="F33479" s="193"/>
    </row>
    <row r="33480" spans="6:6" x14ac:dyDescent="0.3">
      <c r="F33480" s="193"/>
    </row>
    <row r="33481" spans="6:6" x14ac:dyDescent="0.3">
      <c r="F33481" s="193"/>
    </row>
    <row r="33482" spans="6:6" x14ac:dyDescent="0.3">
      <c r="F33482" s="193"/>
    </row>
    <row r="33483" spans="6:6" x14ac:dyDescent="0.3">
      <c r="F33483" s="193"/>
    </row>
    <row r="33484" spans="6:6" x14ac:dyDescent="0.3">
      <c r="F33484" s="193"/>
    </row>
    <row r="33485" spans="6:6" x14ac:dyDescent="0.3">
      <c r="F33485" s="193"/>
    </row>
    <row r="33486" spans="6:6" x14ac:dyDescent="0.3">
      <c r="F33486" s="193"/>
    </row>
    <row r="33487" spans="6:6" x14ac:dyDescent="0.3">
      <c r="F33487" s="193"/>
    </row>
    <row r="33488" spans="6:6" x14ac:dyDescent="0.3">
      <c r="F33488" s="193"/>
    </row>
    <row r="33489" spans="6:6" x14ac:dyDescent="0.3">
      <c r="F33489" s="193"/>
    </row>
    <row r="33490" spans="6:6" x14ac:dyDescent="0.3">
      <c r="F33490" s="193"/>
    </row>
    <row r="33491" spans="6:6" x14ac:dyDescent="0.3">
      <c r="F33491" s="193"/>
    </row>
    <row r="33492" spans="6:6" x14ac:dyDescent="0.3">
      <c r="F33492" s="193"/>
    </row>
    <row r="33493" spans="6:6" x14ac:dyDescent="0.3">
      <c r="F33493" s="193"/>
    </row>
    <row r="33494" spans="6:6" x14ac:dyDescent="0.3">
      <c r="F33494" s="193"/>
    </row>
    <row r="33495" spans="6:6" x14ac:dyDescent="0.3">
      <c r="F33495" s="193"/>
    </row>
    <row r="33496" spans="6:6" x14ac:dyDescent="0.3">
      <c r="F33496" s="193"/>
    </row>
    <row r="33497" spans="6:6" x14ac:dyDescent="0.3">
      <c r="F33497" s="193"/>
    </row>
    <row r="33498" spans="6:6" x14ac:dyDescent="0.3">
      <c r="F33498" s="193"/>
    </row>
    <row r="33499" spans="6:6" x14ac:dyDescent="0.3">
      <c r="F33499" s="193"/>
    </row>
    <row r="33500" spans="6:6" x14ac:dyDescent="0.3">
      <c r="F33500" s="193"/>
    </row>
    <row r="33501" spans="6:6" x14ac:dyDescent="0.3">
      <c r="F33501" s="193"/>
    </row>
    <row r="33502" spans="6:6" x14ac:dyDescent="0.3">
      <c r="F33502" s="193"/>
    </row>
    <row r="33503" spans="6:6" x14ac:dyDescent="0.3">
      <c r="F33503" s="193"/>
    </row>
    <row r="33504" spans="6:6" x14ac:dyDescent="0.3">
      <c r="F33504" s="193"/>
    </row>
    <row r="33505" spans="6:6" x14ac:dyDescent="0.3">
      <c r="F33505" s="193"/>
    </row>
    <row r="33506" spans="6:6" x14ac:dyDescent="0.3">
      <c r="F33506" s="193"/>
    </row>
    <row r="33507" spans="6:6" x14ac:dyDescent="0.3">
      <c r="F33507" s="193"/>
    </row>
    <row r="33508" spans="6:6" x14ac:dyDescent="0.3">
      <c r="F33508" s="193"/>
    </row>
    <row r="33509" spans="6:6" x14ac:dyDescent="0.3">
      <c r="F33509" s="193"/>
    </row>
    <row r="33510" spans="6:6" x14ac:dyDescent="0.3">
      <c r="F33510" s="193"/>
    </row>
    <row r="33511" spans="6:6" x14ac:dyDescent="0.3">
      <c r="F33511" s="193"/>
    </row>
    <row r="33512" spans="6:6" x14ac:dyDescent="0.3">
      <c r="F33512" s="193"/>
    </row>
    <row r="33513" spans="6:6" x14ac:dyDescent="0.3">
      <c r="F33513" s="193"/>
    </row>
    <row r="33514" spans="6:6" x14ac:dyDescent="0.3">
      <c r="F33514" s="193"/>
    </row>
    <row r="33515" spans="6:6" x14ac:dyDescent="0.3">
      <c r="F33515" s="193"/>
    </row>
    <row r="33516" spans="6:6" x14ac:dyDescent="0.3">
      <c r="F33516" s="193"/>
    </row>
    <row r="33517" spans="6:6" x14ac:dyDescent="0.3">
      <c r="F33517" s="193"/>
    </row>
    <row r="33518" spans="6:6" x14ac:dyDescent="0.3">
      <c r="F33518" s="193"/>
    </row>
    <row r="33519" spans="6:6" x14ac:dyDescent="0.3">
      <c r="F33519" s="193"/>
    </row>
    <row r="33520" spans="6:6" x14ac:dyDescent="0.3">
      <c r="F33520" s="193"/>
    </row>
    <row r="33521" spans="6:6" x14ac:dyDescent="0.3">
      <c r="F33521" s="193"/>
    </row>
    <row r="33522" spans="6:6" x14ac:dyDescent="0.3">
      <c r="F33522" s="193"/>
    </row>
    <row r="33523" spans="6:6" x14ac:dyDescent="0.3">
      <c r="F33523" s="193"/>
    </row>
    <row r="33524" spans="6:6" x14ac:dyDescent="0.3">
      <c r="F33524" s="193"/>
    </row>
    <row r="33525" spans="6:6" x14ac:dyDescent="0.3">
      <c r="F33525" s="193"/>
    </row>
    <row r="33526" spans="6:6" x14ac:dyDescent="0.3">
      <c r="F33526" s="193"/>
    </row>
    <row r="33527" spans="6:6" x14ac:dyDescent="0.3">
      <c r="F33527" s="193"/>
    </row>
    <row r="33528" spans="6:6" x14ac:dyDescent="0.3">
      <c r="F33528" s="193"/>
    </row>
    <row r="33529" spans="6:6" x14ac:dyDescent="0.3">
      <c r="F33529" s="193"/>
    </row>
    <row r="33530" spans="6:6" x14ac:dyDescent="0.3">
      <c r="F33530" s="193"/>
    </row>
    <row r="33531" spans="6:6" x14ac:dyDescent="0.3">
      <c r="F33531" s="193"/>
    </row>
    <row r="33532" spans="6:6" x14ac:dyDescent="0.3">
      <c r="F33532" s="193"/>
    </row>
    <row r="33533" spans="6:6" x14ac:dyDescent="0.3">
      <c r="F33533" s="193"/>
    </row>
    <row r="33534" spans="6:6" x14ac:dyDescent="0.3">
      <c r="F33534" s="193"/>
    </row>
    <row r="33535" spans="6:6" x14ac:dyDescent="0.3">
      <c r="F33535" s="193"/>
    </row>
    <row r="33536" spans="6:6" x14ac:dyDescent="0.3">
      <c r="F33536" s="193"/>
    </row>
    <row r="33537" spans="6:6" x14ac:dyDescent="0.3">
      <c r="F33537" s="193"/>
    </row>
    <row r="33538" spans="6:6" x14ac:dyDescent="0.3">
      <c r="F33538" s="193"/>
    </row>
    <row r="33539" spans="6:6" x14ac:dyDescent="0.3">
      <c r="F33539" s="193"/>
    </row>
    <row r="33540" spans="6:6" x14ac:dyDescent="0.3">
      <c r="F33540" s="193"/>
    </row>
    <row r="33541" spans="6:6" x14ac:dyDescent="0.3">
      <c r="F33541" s="193"/>
    </row>
    <row r="33542" spans="6:6" x14ac:dyDescent="0.3">
      <c r="F33542" s="193"/>
    </row>
    <row r="33543" spans="6:6" x14ac:dyDescent="0.3">
      <c r="F33543" s="193"/>
    </row>
    <row r="33544" spans="6:6" x14ac:dyDescent="0.3">
      <c r="F33544" s="193"/>
    </row>
    <row r="33545" spans="6:6" x14ac:dyDescent="0.3">
      <c r="F33545" s="193"/>
    </row>
    <row r="33546" spans="6:6" x14ac:dyDescent="0.3">
      <c r="F33546" s="193"/>
    </row>
    <row r="33547" spans="6:6" x14ac:dyDescent="0.3">
      <c r="F33547" s="193"/>
    </row>
    <row r="33548" spans="6:6" x14ac:dyDescent="0.3">
      <c r="F33548" s="193"/>
    </row>
    <row r="33549" spans="6:6" x14ac:dyDescent="0.3">
      <c r="F33549" s="193"/>
    </row>
    <row r="33550" spans="6:6" x14ac:dyDescent="0.3">
      <c r="F33550" s="193"/>
    </row>
    <row r="33551" spans="6:6" x14ac:dyDescent="0.3">
      <c r="F33551" s="193"/>
    </row>
    <row r="33552" spans="6:6" x14ac:dyDescent="0.3">
      <c r="F33552" s="193"/>
    </row>
    <row r="33553" spans="6:6" x14ac:dyDescent="0.3">
      <c r="F33553" s="193"/>
    </row>
    <row r="33554" spans="6:6" x14ac:dyDescent="0.3">
      <c r="F33554" s="193"/>
    </row>
    <row r="33555" spans="6:6" x14ac:dyDescent="0.3">
      <c r="F33555" s="193"/>
    </row>
    <row r="33556" spans="6:6" x14ac:dyDescent="0.3">
      <c r="F33556" s="193"/>
    </row>
    <row r="33557" spans="6:6" x14ac:dyDescent="0.3">
      <c r="F33557" s="193"/>
    </row>
    <row r="33558" spans="6:6" x14ac:dyDescent="0.3">
      <c r="F33558" s="193"/>
    </row>
    <row r="33559" spans="6:6" x14ac:dyDescent="0.3">
      <c r="F33559" s="193"/>
    </row>
    <row r="33560" spans="6:6" x14ac:dyDescent="0.3">
      <c r="F33560" s="193"/>
    </row>
    <row r="33561" spans="6:6" x14ac:dyDescent="0.3">
      <c r="F33561" s="193"/>
    </row>
    <row r="33562" spans="6:6" x14ac:dyDescent="0.3">
      <c r="F33562" s="193"/>
    </row>
    <row r="33563" spans="6:6" x14ac:dyDescent="0.3">
      <c r="F33563" s="193"/>
    </row>
    <row r="33564" spans="6:6" x14ac:dyDescent="0.3">
      <c r="F33564" s="193"/>
    </row>
    <row r="33565" spans="6:6" x14ac:dyDescent="0.3">
      <c r="F33565" s="193"/>
    </row>
    <row r="33566" spans="6:6" x14ac:dyDescent="0.3">
      <c r="F33566" s="193"/>
    </row>
    <row r="33567" spans="6:6" x14ac:dyDescent="0.3">
      <c r="F33567" s="193"/>
    </row>
    <row r="33568" spans="6:6" x14ac:dyDescent="0.3">
      <c r="F33568" s="193"/>
    </row>
    <row r="33569" spans="6:6" x14ac:dyDescent="0.3">
      <c r="F33569" s="193"/>
    </row>
    <row r="33570" spans="6:6" x14ac:dyDescent="0.3">
      <c r="F33570" s="193"/>
    </row>
    <row r="33571" spans="6:6" x14ac:dyDescent="0.3">
      <c r="F33571" s="193"/>
    </row>
    <row r="33572" spans="6:6" x14ac:dyDescent="0.3">
      <c r="F33572" s="193"/>
    </row>
    <row r="33573" spans="6:6" x14ac:dyDescent="0.3">
      <c r="F33573" s="193"/>
    </row>
    <row r="33574" spans="6:6" x14ac:dyDescent="0.3">
      <c r="F33574" s="193"/>
    </row>
    <row r="33575" spans="6:6" x14ac:dyDescent="0.3">
      <c r="F33575" s="193"/>
    </row>
    <row r="33576" spans="6:6" x14ac:dyDescent="0.3">
      <c r="F33576" s="193"/>
    </row>
    <row r="33577" spans="6:6" x14ac:dyDescent="0.3">
      <c r="F33577" s="193"/>
    </row>
    <row r="33578" spans="6:6" x14ac:dyDescent="0.3">
      <c r="F33578" s="193"/>
    </row>
    <row r="33579" spans="6:6" x14ac:dyDescent="0.3">
      <c r="F33579" s="193"/>
    </row>
    <row r="33580" spans="6:6" x14ac:dyDescent="0.3">
      <c r="F33580" s="193"/>
    </row>
    <row r="33581" spans="6:6" x14ac:dyDescent="0.3">
      <c r="F33581" s="193"/>
    </row>
    <row r="33582" spans="6:6" x14ac:dyDescent="0.3">
      <c r="F33582" s="193"/>
    </row>
    <row r="33583" spans="6:6" x14ac:dyDescent="0.3">
      <c r="F33583" s="193"/>
    </row>
    <row r="33584" spans="6:6" x14ac:dyDescent="0.3">
      <c r="F33584" s="193"/>
    </row>
    <row r="33585" spans="6:6" x14ac:dyDescent="0.3">
      <c r="F33585" s="193"/>
    </row>
    <row r="33586" spans="6:6" x14ac:dyDescent="0.3">
      <c r="F33586" s="193"/>
    </row>
    <row r="33587" spans="6:6" x14ac:dyDescent="0.3">
      <c r="F33587" s="193"/>
    </row>
    <row r="33588" spans="6:6" x14ac:dyDescent="0.3">
      <c r="F33588" s="193"/>
    </row>
    <row r="33589" spans="6:6" x14ac:dyDescent="0.3">
      <c r="F33589" s="193"/>
    </row>
    <row r="33590" spans="6:6" x14ac:dyDescent="0.3">
      <c r="F33590" s="193"/>
    </row>
    <row r="33591" spans="6:6" x14ac:dyDescent="0.3">
      <c r="F33591" s="193"/>
    </row>
    <row r="33592" spans="6:6" x14ac:dyDescent="0.3">
      <c r="F33592" s="193"/>
    </row>
    <row r="33593" spans="6:6" x14ac:dyDescent="0.3">
      <c r="F33593" s="193"/>
    </row>
    <row r="33594" spans="6:6" x14ac:dyDescent="0.3">
      <c r="F33594" s="193"/>
    </row>
    <row r="33595" spans="6:6" x14ac:dyDescent="0.3">
      <c r="F33595" s="193"/>
    </row>
    <row r="33596" spans="6:6" x14ac:dyDescent="0.3">
      <c r="F33596" s="193"/>
    </row>
    <row r="33597" spans="6:6" x14ac:dyDescent="0.3">
      <c r="F33597" s="193"/>
    </row>
    <row r="33598" spans="6:6" x14ac:dyDescent="0.3">
      <c r="F33598" s="193"/>
    </row>
    <row r="33599" spans="6:6" x14ac:dyDescent="0.3">
      <c r="F33599" s="193"/>
    </row>
    <row r="33600" spans="6:6" x14ac:dyDescent="0.3">
      <c r="F33600" s="193"/>
    </row>
    <row r="33601" spans="6:6" x14ac:dyDescent="0.3">
      <c r="F33601" s="193"/>
    </row>
    <row r="33602" spans="6:6" x14ac:dyDescent="0.3">
      <c r="F33602" s="193"/>
    </row>
    <row r="33603" spans="6:6" x14ac:dyDescent="0.3">
      <c r="F33603" s="193"/>
    </row>
    <row r="33604" spans="6:6" x14ac:dyDescent="0.3">
      <c r="F33604" s="193"/>
    </row>
    <row r="33605" spans="6:6" x14ac:dyDescent="0.3">
      <c r="F33605" s="193"/>
    </row>
    <row r="33606" spans="6:6" x14ac:dyDescent="0.3">
      <c r="F33606" s="193"/>
    </row>
    <row r="33607" spans="6:6" x14ac:dyDescent="0.3">
      <c r="F33607" s="193"/>
    </row>
    <row r="33608" spans="6:6" x14ac:dyDescent="0.3">
      <c r="F33608" s="193"/>
    </row>
    <row r="33609" spans="6:6" x14ac:dyDescent="0.3">
      <c r="F33609" s="193"/>
    </row>
    <row r="33610" spans="6:6" x14ac:dyDescent="0.3">
      <c r="F33610" s="193"/>
    </row>
    <row r="33611" spans="6:6" x14ac:dyDescent="0.3">
      <c r="F33611" s="193"/>
    </row>
    <row r="33612" spans="6:6" x14ac:dyDescent="0.3">
      <c r="F33612" s="193"/>
    </row>
    <row r="33613" spans="6:6" x14ac:dyDescent="0.3">
      <c r="F33613" s="193"/>
    </row>
    <row r="33614" spans="6:6" x14ac:dyDescent="0.3">
      <c r="F33614" s="193"/>
    </row>
    <row r="33615" spans="6:6" x14ac:dyDescent="0.3">
      <c r="F33615" s="193"/>
    </row>
    <row r="33616" spans="6:6" x14ac:dyDescent="0.3">
      <c r="F33616" s="193"/>
    </row>
    <row r="33617" spans="6:6" x14ac:dyDescent="0.3">
      <c r="F33617" s="193"/>
    </row>
    <row r="33618" spans="6:6" x14ac:dyDescent="0.3">
      <c r="F33618" s="193"/>
    </row>
    <row r="33619" spans="6:6" x14ac:dyDescent="0.3">
      <c r="F33619" s="193"/>
    </row>
    <row r="33620" spans="6:6" x14ac:dyDescent="0.3">
      <c r="F33620" s="193"/>
    </row>
    <row r="33621" spans="6:6" x14ac:dyDescent="0.3">
      <c r="F33621" s="193"/>
    </row>
    <row r="33622" spans="6:6" x14ac:dyDescent="0.3">
      <c r="F33622" s="193"/>
    </row>
    <row r="33623" spans="6:6" x14ac:dyDescent="0.3">
      <c r="F33623" s="193"/>
    </row>
    <row r="33624" spans="6:6" x14ac:dyDescent="0.3">
      <c r="F33624" s="193"/>
    </row>
    <row r="33625" spans="6:6" x14ac:dyDescent="0.3">
      <c r="F33625" s="193"/>
    </row>
    <row r="33626" spans="6:6" x14ac:dyDescent="0.3">
      <c r="F33626" s="193"/>
    </row>
    <row r="33627" spans="6:6" x14ac:dyDescent="0.3">
      <c r="F33627" s="193"/>
    </row>
    <row r="33628" spans="6:6" x14ac:dyDescent="0.3">
      <c r="F33628" s="193"/>
    </row>
    <row r="33629" spans="6:6" x14ac:dyDescent="0.3">
      <c r="F33629" s="193"/>
    </row>
    <row r="33630" spans="6:6" x14ac:dyDescent="0.3">
      <c r="F33630" s="193"/>
    </row>
    <row r="33631" spans="6:6" x14ac:dyDescent="0.3">
      <c r="F33631" s="193"/>
    </row>
    <row r="33632" spans="6:6" x14ac:dyDescent="0.3">
      <c r="F33632" s="193"/>
    </row>
    <row r="33633" spans="6:6" x14ac:dyDescent="0.3">
      <c r="F33633" s="193"/>
    </row>
    <row r="33634" spans="6:6" x14ac:dyDescent="0.3">
      <c r="F33634" s="193"/>
    </row>
    <row r="33635" spans="6:6" x14ac:dyDescent="0.3">
      <c r="F33635" s="193"/>
    </row>
    <row r="33636" spans="6:6" x14ac:dyDescent="0.3">
      <c r="F33636" s="193"/>
    </row>
    <row r="33637" spans="6:6" x14ac:dyDescent="0.3">
      <c r="F33637" s="193"/>
    </row>
    <row r="33638" spans="6:6" x14ac:dyDescent="0.3">
      <c r="F33638" s="193"/>
    </row>
    <row r="33639" spans="6:6" x14ac:dyDescent="0.3">
      <c r="F33639" s="193"/>
    </row>
    <row r="33640" spans="6:6" x14ac:dyDescent="0.3">
      <c r="F33640" s="193"/>
    </row>
    <row r="33641" spans="6:6" x14ac:dyDescent="0.3">
      <c r="F33641" s="193"/>
    </row>
    <row r="33642" spans="6:6" x14ac:dyDescent="0.3">
      <c r="F33642" s="193"/>
    </row>
    <row r="33643" spans="6:6" x14ac:dyDescent="0.3">
      <c r="F33643" s="193"/>
    </row>
    <row r="33644" spans="6:6" x14ac:dyDescent="0.3">
      <c r="F33644" s="193"/>
    </row>
    <row r="33645" spans="6:6" x14ac:dyDescent="0.3">
      <c r="F33645" s="193"/>
    </row>
    <row r="33646" spans="6:6" x14ac:dyDescent="0.3">
      <c r="F33646" s="193"/>
    </row>
    <row r="33647" spans="6:6" x14ac:dyDescent="0.3">
      <c r="F33647" s="193"/>
    </row>
    <row r="33648" spans="6:6" x14ac:dyDescent="0.3">
      <c r="F33648" s="193"/>
    </row>
    <row r="33649" spans="6:6" x14ac:dyDescent="0.3">
      <c r="F33649" s="193"/>
    </row>
    <row r="33650" spans="6:6" x14ac:dyDescent="0.3">
      <c r="F33650" s="193"/>
    </row>
    <row r="33651" spans="6:6" x14ac:dyDescent="0.3">
      <c r="F33651" s="193"/>
    </row>
    <row r="33652" spans="6:6" x14ac:dyDescent="0.3">
      <c r="F33652" s="193"/>
    </row>
    <row r="33653" spans="6:6" x14ac:dyDescent="0.3">
      <c r="F33653" s="193"/>
    </row>
    <row r="33654" spans="6:6" x14ac:dyDescent="0.3">
      <c r="F33654" s="193"/>
    </row>
    <row r="33655" spans="6:6" x14ac:dyDescent="0.3">
      <c r="F33655" s="193"/>
    </row>
    <row r="33656" spans="6:6" x14ac:dyDescent="0.3">
      <c r="F33656" s="193"/>
    </row>
    <row r="33657" spans="6:6" x14ac:dyDescent="0.3">
      <c r="F33657" s="193"/>
    </row>
    <row r="33658" spans="6:6" x14ac:dyDescent="0.3">
      <c r="F33658" s="193"/>
    </row>
    <row r="33659" spans="6:6" x14ac:dyDescent="0.3">
      <c r="F33659" s="193"/>
    </row>
    <row r="33660" spans="6:6" x14ac:dyDescent="0.3">
      <c r="F33660" s="193"/>
    </row>
    <row r="33661" spans="6:6" x14ac:dyDescent="0.3">
      <c r="F33661" s="193"/>
    </row>
    <row r="33662" spans="6:6" x14ac:dyDescent="0.3">
      <c r="F33662" s="193"/>
    </row>
    <row r="33663" spans="6:6" x14ac:dyDescent="0.3">
      <c r="F33663" s="193"/>
    </row>
    <row r="33664" spans="6:6" x14ac:dyDescent="0.3">
      <c r="F33664" s="193"/>
    </row>
    <row r="33665" spans="6:6" x14ac:dyDescent="0.3">
      <c r="F33665" s="193"/>
    </row>
    <row r="33666" spans="6:6" x14ac:dyDescent="0.3">
      <c r="F33666" s="193"/>
    </row>
    <row r="33667" spans="6:6" x14ac:dyDescent="0.3">
      <c r="F33667" s="193"/>
    </row>
    <row r="33668" spans="6:6" x14ac:dyDescent="0.3">
      <c r="F33668" s="193"/>
    </row>
    <row r="33669" spans="6:6" x14ac:dyDescent="0.3">
      <c r="F33669" s="193"/>
    </row>
    <row r="33670" spans="6:6" x14ac:dyDescent="0.3">
      <c r="F33670" s="193"/>
    </row>
    <row r="33671" spans="6:6" x14ac:dyDescent="0.3">
      <c r="F33671" s="193"/>
    </row>
    <row r="33672" spans="6:6" x14ac:dyDescent="0.3">
      <c r="F33672" s="193"/>
    </row>
    <row r="33673" spans="6:6" x14ac:dyDescent="0.3">
      <c r="F33673" s="193"/>
    </row>
    <row r="33674" spans="6:6" x14ac:dyDescent="0.3">
      <c r="F33674" s="193"/>
    </row>
    <row r="33675" spans="6:6" x14ac:dyDescent="0.3">
      <c r="F33675" s="193"/>
    </row>
    <row r="33676" spans="6:6" x14ac:dyDescent="0.3">
      <c r="F33676" s="193"/>
    </row>
    <row r="33677" spans="6:6" x14ac:dyDescent="0.3">
      <c r="F33677" s="193"/>
    </row>
    <row r="33678" spans="6:6" x14ac:dyDescent="0.3">
      <c r="F33678" s="193"/>
    </row>
    <row r="33679" spans="6:6" x14ac:dyDescent="0.3">
      <c r="F33679" s="193"/>
    </row>
    <row r="33680" spans="6:6" x14ac:dyDescent="0.3">
      <c r="F33680" s="193"/>
    </row>
    <row r="33681" spans="6:6" x14ac:dyDescent="0.3">
      <c r="F33681" s="193"/>
    </row>
    <row r="33682" spans="6:6" x14ac:dyDescent="0.3">
      <c r="F33682" s="193"/>
    </row>
    <row r="33683" spans="6:6" x14ac:dyDescent="0.3">
      <c r="F33683" s="193"/>
    </row>
    <row r="33684" spans="6:6" x14ac:dyDescent="0.3">
      <c r="F33684" s="193"/>
    </row>
    <row r="33685" spans="6:6" x14ac:dyDescent="0.3">
      <c r="F33685" s="193"/>
    </row>
    <row r="33686" spans="6:6" x14ac:dyDescent="0.3">
      <c r="F33686" s="193"/>
    </row>
    <row r="33687" spans="6:6" x14ac:dyDescent="0.3">
      <c r="F33687" s="193"/>
    </row>
    <row r="33688" spans="6:6" x14ac:dyDescent="0.3">
      <c r="F33688" s="193"/>
    </row>
    <row r="33689" spans="6:6" x14ac:dyDescent="0.3">
      <c r="F33689" s="193"/>
    </row>
    <row r="33690" spans="6:6" x14ac:dyDescent="0.3">
      <c r="F33690" s="193"/>
    </row>
    <row r="33691" spans="6:6" x14ac:dyDescent="0.3">
      <c r="F33691" s="193"/>
    </row>
    <row r="33692" spans="6:6" x14ac:dyDescent="0.3">
      <c r="F33692" s="193"/>
    </row>
    <row r="33693" spans="6:6" x14ac:dyDescent="0.3">
      <c r="F33693" s="193"/>
    </row>
    <row r="33694" spans="6:6" x14ac:dyDescent="0.3">
      <c r="F33694" s="193"/>
    </row>
    <row r="33695" spans="6:6" x14ac:dyDescent="0.3">
      <c r="F33695" s="193"/>
    </row>
    <row r="33696" spans="6:6" x14ac:dyDescent="0.3">
      <c r="F33696" s="193"/>
    </row>
    <row r="33697" spans="6:6" x14ac:dyDescent="0.3">
      <c r="F33697" s="193"/>
    </row>
    <row r="33698" spans="6:6" x14ac:dyDescent="0.3">
      <c r="F33698" s="193"/>
    </row>
    <row r="33699" spans="6:6" x14ac:dyDescent="0.3">
      <c r="F33699" s="193"/>
    </row>
    <row r="33700" spans="6:6" x14ac:dyDescent="0.3">
      <c r="F33700" s="193"/>
    </row>
    <row r="33701" spans="6:6" x14ac:dyDescent="0.3">
      <c r="F33701" s="193"/>
    </row>
    <row r="33702" spans="6:6" x14ac:dyDescent="0.3">
      <c r="F33702" s="193"/>
    </row>
    <row r="33703" spans="6:6" x14ac:dyDescent="0.3">
      <c r="F33703" s="193"/>
    </row>
    <row r="33704" spans="6:6" x14ac:dyDescent="0.3">
      <c r="F33704" s="193"/>
    </row>
    <row r="33705" spans="6:6" x14ac:dyDescent="0.3">
      <c r="F33705" s="193"/>
    </row>
    <row r="33706" spans="6:6" x14ac:dyDescent="0.3">
      <c r="F33706" s="193"/>
    </row>
    <row r="33707" spans="6:6" x14ac:dyDescent="0.3">
      <c r="F33707" s="193"/>
    </row>
    <row r="33708" spans="6:6" x14ac:dyDescent="0.3">
      <c r="F33708" s="193"/>
    </row>
    <row r="33709" spans="6:6" x14ac:dyDescent="0.3">
      <c r="F33709" s="193"/>
    </row>
    <row r="33710" spans="6:6" x14ac:dyDescent="0.3">
      <c r="F33710" s="193"/>
    </row>
    <row r="33711" spans="6:6" x14ac:dyDescent="0.3">
      <c r="F33711" s="193"/>
    </row>
    <row r="33712" spans="6:6" x14ac:dyDescent="0.3">
      <c r="F33712" s="193"/>
    </row>
    <row r="33713" spans="6:6" x14ac:dyDescent="0.3">
      <c r="F33713" s="193"/>
    </row>
    <row r="33714" spans="6:6" x14ac:dyDescent="0.3">
      <c r="F33714" s="193"/>
    </row>
    <row r="33715" spans="6:6" x14ac:dyDescent="0.3">
      <c r="F33715" s="193"/>
    </row>
    <row r="33716" spans="6:6" x14ac:dyDescent="0.3">
      <c r="F33716" s="193"/>
    </row>
    <row r="33717" spans="6:6" x14ac:dyDescent="0.3">
      <c r="F33717" s="193"/>
    </row>
    <row r="33718" spans="6:6" x14ac:dyDescent="0.3">
      <c r="F33718" s="193"/>
    </row>
    <row r="33719" spans="6:6" x14ac:dyDescent="0.3">
      <c r="F33719" s="193"/>
    </row>
    <row r="33720" spans="6:6" x14ac:dyDescent="0.3">
      <c r="F33720" s="193"/>
    </row>
    <row r="33721" spans="6:6" x14ac:dyDescent="0.3">
      <c r="F33721" s="193"/>
    </row>
    <row r="33722" spans="6:6" x14ac:dyDescent="0.3">
      <c r="F33722" s="193"/>
    </row>
    <row r="33723" spans="6:6" x14ac:dyDescent="0.3">
      <c r="F33723" s="193"/>
    </row>
    <row r="33724" spans="6:6" x14ac:dyDescent="0.3">
      <c r="F33724" s="193"/>
    </row>
    <row r="33725" spans="6:6" x14ac:dyDescent="0.3">
      <c r="F33725" s="193"/>
    </row>
    <row r="33726" spans="6:6" x14ac:dyDescent="0.3">
      <c r="F33726" s="193"/>
    </row>
    <row r="33727" spans="6:6" x14ac:dyDescent="0.3">
      <c r="F33727" s="193"/>
    </row>
    <row r="33728" spans="6:6" x14ac:dyDescent="0.3">
      <c r="F33728" s="193"/>
    </row>
    <row r="33729" spans="6:6" x14ac:dyDescent="0.3">
      <c r="F33729" s="193"/>
    </row>
    <row r="33730" spans="6:6" x14ac:dyDescent="0.3">
      <c r="F33730" s="193"/>
    </row>
    <row r="33731" spans="6:6" x14ac:dyDescent="0.3">
      <c r="F33731" s="193"/>
    </row>
    <row r="33732" spans="6:6" x14ac:dyDescent="0.3">
      <c r="F33732" s="193"/>
    </row>
    <row r="33733" spans="6:6" x14ac:dyDescent="0.3">
      <c r="F33733" s="193"/>
    </row>
    <row r="33734" spans="6:6" x14ac:dyDescent="0.3">
      <c r="F33734" s="193"/>
    </row>
    <row r="33735" spans="6:6" x14ac:dyDescent="0.3">
      <c r="F33735" s="193"/>
    </row>
    <row r="33736" spans="6:6" x14ac:dyDescent="0.3">
      <c r="F33736" s="193"/>
    </row>
    <row r="33737" spans="6:6" x14ac:dyDescent="0.3">
      <c r="F33737" s="193"/>
    </row>
    <row r="33738" spans="6:6" x14ac:dyDescent="0.3">
      <c r="F33738" s="193"/>
    </row>
    <row r="33739" spans="6:6" x14ac:dyDescent="0.3">
      <c r="F33739" s="193"/>
    </row>
    <row r="33740" spans="6:6" x14ac:dyDescent="0.3">
      <c r="F33740" s="193"/>
    </row>
    <row r="33741" spans="6:6" x14ac:dyDescent="0.3">
      <c r="F33741" s="193"/>
    </row>
    <row r="33742" spans="6:6" x14ac:dyDescent="0.3">
      <c r="F33742" s="193"/>
    </row>
    <row r="33743" spans="6:6" x14ac:dyDescent="0.3">
      <c r="F33743" s="193"/>
    </row>
    <row r="33744" spans="6:6" x14ac:dyDescent="0.3">
      <c r="F33744" s="193"/>
    </row>
    <row r="33745" spans="6:6" x14ac:dyDescent="0.3">
      <c r="F33745" s="193"/>
    </row>
    <row r="33746" spans="6:6" x14ac:dyDescent="0.3">
      <c r="F33746" s="193"/>
    </row>
    <row r="33747" spans="6:6" x14ac:dyDescent="0.3">
      <c r="F33747" s="193"/>
    </row>
    <row r="33748" spans="6:6" x14ac:dyDescent="0.3">
      <c r="F33748" s="193"/>
    </row>
    <row r="33749" spans="6:6" x14ac:dyDescent="0.3">
      <c r="F33749" s="193"/>
    </row>
    <row r="33750" spans="6:6" x14ac:dyDescent="0.3">
      <c r="F33750" s="193"/>
    </row>
    <row r="33751" spans="6:6" x14ac:dyDescent="0.3">
      <c r="F33751" s="193"/>
    </row>
    <row r="33752" spans="6:6" x14ac:dyDescent="0.3">
      <c r="F33752" s="193"/>
    </row>
    <row r="33753" spans="6:6" x14ac:dyDescent="0.3">
      <c r="F33753" s="193"/>
    </row>
    <row r="33754" spans="6:6" x14ac:dyDescent="0.3">
      <c r="F33754" s="193"/>
    </row>
    <row r="33755" spans="6:6" x14ac:dyDescent="0.3">
      <c r="F33755" s="193"/>
    </row>
    <row r="33756" spans="6:6" x14ac:dyDescent="0.3">
      <c r="F33756" s="193"/>
    </row>
    <row r="33757" spans="6:6" x14ac:dyDescent="0.3">
      <c r="F33757" s="193"/>
    </row>
    <row r="33758" spans="6:6" x14ac:dyDescent="0.3">
      <c r="F33758" s="193"/>
    </row>
    <row r="33759" spans="6:6" x14ac:dyDescent="0.3">
      <c r="F33759" s="193"/>
    </row>
    <row r="33760" spans="6:6" x14ac:dyDescent="0.3">
      <c r="F33760" s="193"/>
    </row>
    <row r="33761" spans="6:6" x14ac:dyDescent="0.3">
      <c r="F33761" s="193"/>
    </row>
    <row r="33762" spans="6:6" x14ac:dyDescent="0.3">
      <c r="F33762" s="193"/>
    </row>
    <row r="33763" spans="6:6" x14ac:dyDescent="0.3">
      <c r="F33763" s="193"/>
    </row>
    <row r="33764" spans="6:6" x14ac:dyDescent="0.3">
      <c r="F33764" s="193"/>
    </row>
    <row r="33765" spans="6:6" x14ac:dyDescent="0.3">
      <c r="F33765" s="193"/>
    </row>
    <row r="33766" spans="6:6" x14ac:dyDescent="0.3">
      <c r="F33766" s="193"/>
    </row>
    <row r="33767" spans="6:6" x14ac:dyDescent="0.3">
      <c r="F33767" s="193"/>
    </row>
    <row r="33768" spans="6:6" x14ac:dyDescent="0.3">
      <c r="F33768" s="193"/>
    </row>
    <row r="33769" spans="6:6" x14ac:dyDescent="0.3">
      <c r="F33769" s="193"/>
    </row>
    <row r="33770" spans="6:6" x14ac:dyDescent="0.3">
      <c r="F33770" s="193"/>
    </row>
    <row r="33771" spans="6:6" x14ac:dyDescent="0.3">
      <c r="F33771" s="193"/>
    </row>
    <row r="33772" spans="6:6" x14ac:dyDescent="0.3">
      <c r="F33772" s="193"/>
    </row>
    <row r="33773" spans="6:6" x14ac:dyDescent="0.3">
      <c r="F33773" s="193"/>
    </row>
    <row r="33774" spans="6:6" x14ac:dyDescent="0.3">
      <c r="F33774" s="193"/>
    </row>
    <row r="33775" spans="6:6" x14ac:dyDescent="0.3">
      <c r="F33775" s="193"/>
    </row>
    <row r="33776" spans="6:6" x14ac:dyDescent="0.3">
      <c r="F33776" s="193"/>
    </row>
    <row r="33777" spans="6:6" x14ac:dyDescent="0.3">
      <c r="F33777" s="193"/>
    </row>
    <row r="33778" spans="6:6" x14ac:dyDescent="0.3">
      <c r="F33778" s="193"/>
    </row>
    <row r="33779" spans="6:6" x14ac:dyDescent="0.3">
      <c r="F33779" s="193"/>
    </row>
    <row r="33780" spans="6:6" x14ac:dyDescent="0.3">
      <c r="F33780" s="193"/>
    </row>
    <row r="33781" spans="6:6" x14ac:dyDescent="0.3">
      <c r="F33781" s="193"/>
    </row>
    <row r="33782" spans="6:6" x14ac:dyDescent="0.3">
      <c r="F33782" s="193"/>
    </row>
    <row r="33783" spans="6:6" x14ac:dyDescent="0.3">
      <c r="F33783" s="193"/>
    </row>
    <row r="33784" spans="6:6" x14ac:dyDescent="0.3">
      <c r="F33784" s="193"/>
    </row>
    <row r="33785" spans="6:6" x14ac:dyDescent="0.3">
      <c r="F33785" s="193"/>
    </row>
    <row r="33786" spans="6:6" x14ac:dyDescent="0.3">
      <c r="F33786" s="193"/>
    </row>
    <row r="33787" spans="6:6" x14ac:dyDescent="0.3">
      <c r="F33787" s="193"/>
    </row>
    <row r="33788" spans="6:6" x14ac:dyDescent="0.3">
      <c r="F33788" s="193"/>
    </row>
    <row r="33789" spans="6:6" x14ac:dyDescent="0.3">
      <c r="F33789" s="193"/>
    </row>
    <row r="33790" spans="6:6" x14ac:dyDescent="0.3">
      <c r="F33790" s="193"/>
    </row>
    <row r="33791" spans="6:6" x14ac:dyDescent="0.3">
      <c r="F33791" s="193"/>
    </row>
    <row r="33792" spans="6:6" x14ac:dyDescent="0.3">
      <c r="F33792" s="193"/>
    </row>
    <row r="33793" spans="6:6" x14ac:dyDescent="0.3">
      <c r="F33793" s="193"/>
    </row>
    <row r="33794" spans="6:6" x14ac:dyDescent="0.3">
      <c r="F33794" s="193"/>
    </row>
    <row r="33795" spans="6:6" x14ac:dyDescent="0.3">
      <c r="F33795" s="193"/>
    </row>
    <row r="33796" spans="6:6" x14ac:dyDescent="0.3">
      <c r="F33796" s="193"/>
    </row>
    <row r="33797" spans="6:6" x14ac:dyDescent="0.3">
      <c r="F33797" s="193"/>
    </row>
    <row r="33798" spans="6:6" x14ac:dyDescent="0.3">
      <c r="F33798" s="193"/>
    </row>
    <row r="33799" spans="6:6" x14ac:dyDescent="0.3">
      <c r="F33799" s="193"/>
    </row>
    <row r="33800" spans="6:6" x14ac:dyDescent="0.3">
      <c r="F33800" s="193"/>
    </row>
    <row r="33801" spans="6:6" x14ac:dyDescent="0.3">
      <c r="F33801" s="193"/>
    </row>
    <row r="33802" spans="6:6" x14ac:dyDescent="0.3">
      <c r="F33802" s="193"/>
    </row>
    <row r="33803" spans="6:6" x14ac:dyDescent="0.3">
      <c r="F33803" s="193"/>
    </row>
    <row r="33804" spans="6:6" x14ac:dyDescent="0.3">
      <c r="F33804" s="193"/>
    </row>
    <row r="33805" spans="6:6" x14ac:dyDescent="0.3">
      <c r="F33805" s="193"/>
    </row>
    <row r="33806" spans="6:6" x14ac:dyDescent="0.3">
      <c r="F33806" s="193"/>
    </row>
    <row r="33807" spans="6:6" x14ac:dyDescent="0.3">
      <c r="F33807" s="193"/>
    </row>
    <row r="33808" spans="6:6" x14ac:dyDescent="0.3">
      <c r="F33808" s="193"/>
    </row>
    <row r="33809" spans="6:6" x14ac:dyDescent="0.3">
      <c r="F33809" s="193"/>
    </row>
    <row r="33810" spans="6:6" x14ac:dyDescent="0.3">
      <c r="F33810" s="193"/>
    </row>
    <row r="33811" spans="6:6" x14ac:dyDescent="0.3">
      <c r="F33811" s="193"/>
    </row>
    <row r="33812" spans="6:6" x14ac:dyDescent="0.3">
      <c r="F33812" s="193"/>
    </row>
    <row r="33813" spans="6:6" x14ac:dyDescent="0.3">
      <c r="F33813" s="193"/>
    </row>
    <row r="33814" spans="6:6" x14ac:dyDescent="0.3">
      <c r="F33814" s="193"/>
    </row>
    <row r="33815" spans="6:6" x14ac:dyDescent="0.3">
      <c r="F33815" s="193"/>
    </row>
    <row r="33816" spans="6:6" x14ac:dyDescent="0.3">
      <c r="F33816" s="193"/>
    </row>
    <row r="33817" spans="6:6" x14ac:dyDescent="0.3">
      <c r="F33817" s="193"/>
    </row>
    <row r="33818" spans="6:6" x14ac:dyDescent="0.3">
      <c r="F33818" s="193"/>
    </row>
    <row r="33819" spans="6:6" x14ac:dyDescent="0.3">
      <c r="F33819" s="193"/>
    </row>
    <row r="33820" spans="6:6" x14ac:dyDescent="0.3">
      <c r="F33820" s="193"/>
    </row>
    <row r="33821" spans="6:6" x14ac:dyDescent="0.3">
      <c r="F33821" s="193"/>
    </row>
    <row r="33822" spans="6:6" x14ac:dyDescent="0.3">
      <c r="F33822" s="193"/>
    </row>
    <row r="33823" spans="6:6" x14ac:dyDescent="0.3">
      <c r="F33823" s="193"/>
    </row>
    <row r="33824" spans="6:6" x14ac:dyDescent="0.3">
      <c r="F33824" s="193"/>
    </row>
    <row r="33825" spans="6:6" x14ac:dyDescent="0.3">
      <c r="F33825" s="193"/>
    </row>
    <row r="33826" spans="6:6" x14ac:dyDescent="0.3">
      <c r="F33826" s="193"/>
    </row>
    <row r="33827" spans="6:6" x14ac:dyDescent="0.3">
      <c r="F33827" s="193"/>
    </row>
    <row r="33828" spans="6:6" x14ac:dyDescent="0.3">
      <c r="F33828" s="193"/>
    </row>
    <row r="33829" spans="6:6" x14ac:dyDescent="0.3">
      <c r="F33829" s="193"/>
    </row>
    <row r="33830" spans="6:6" x14ac:dyDescent="0.3">
      <c r="F33830" s="193"/>
    </row>
    <row r="33831" spans="6:6" x14ac:dyDescent="0.3">
      <c r="F33831" s="193"/>
    </row>
    <row r="33832" spans="6:6" x14ac:dyDescent="0.3">
      <c r="F33832" s="193"/>
    </row>
    <row r="33833" spans="6:6" x14ac:dyDescent="0.3">
      <c r="F33833" s="193"/>
    </row>
    <row r="33834" spans="6:6" x14ac:dyDescent="0.3">
      <c r="F33834" s="193"/>
    </row>
    <row r="33835" spans="6:6" x14ac:dyDescent="0.3">
      <c r="F33835" s="193"/>
    </row>
    <row r="33836" spans="6:6" x14ac:dyDescent="0.3">
      <c r="F33836" s="193"/>
    </row>
    <row r="33837" spans="6:6" x14ac:dyDescent="0.3">
      <c r="F33837" s="193"/>
    </row>
    <row r="33838" spans="6:6" x14ac:dyDescent="0.3">
      <c r="F33838" s="193"/>
    </row>
    <row r="33839" spans="6:6" x14ac:dyDescent="0.3">
      <c r="F33839" s="193"/>
    </row>
    <row r="33840" spans="6:6" x14ac:dyDescent="0.3">
      <c r="F33840" s="193"/>
    </row>
    <row r="33841" spans="6:6" x14ac:dyDescent="0.3">
      <c r="F33841" s="193"/>
    </row>
    <row r="33842" spans="6:6" x14ac:dyDescent="0.3">
      <c r="F33842" s="193"/>
    </row>
    <row r="33843" spans="6:6" x14ac:dyDescent="0.3">
      <c r="F33843" s="193"/>
    </row>
    <row r="33844" spans="6:6" x14ac:dyDescent="0.3">
      <c r="F33844" s="193"/>
    </row>
    <row r="33845" spans="6:6" x14ac:dyDescent="0.3">
      <c r="F33845" s="193"/>
    </row>
    <row r="33846" spans="6:6" x14ac:dyDescent="0.3">
      <c r="F33846" s="193"/>
    </row>
    <row r="33847" spans="6:6" x14ac:dyDescent="0.3">
      <c r="F33847" s="193"/>
    </row>
    <row r="33848" spans="6:6" x14ac:dyDescent="0.3">
      <c r="F33848" s="193"/>
    </row>
    <row r="33849" spans="6:6" x14ac:dyDescent="0.3">
      <c r="F33849" s="193"/>
    </row>
    <row r="33850" spans="6:6" x14ac:dyDescent="0.3">
      <c r="F33850" s="193"/>
    </row>
    <row r="33851" spans="6:6" x14ac:dyDescent="0.3">
      <c r="F33851" s="193"/>
    </row>
    <row r="33852" spans="6:6" x14ac:dyDescent="0.3">
      <c r="F33852" s="193"/>
    </row>
    <row r="33853" spans="6:6" x14ac:dyDescent="0.3">
      <c r="F33853" s="193"/>
    </row>
    <row r="33854" spans="6:6" x14ac:dyDescent="0.3">
      <c r="F33854" s="193"/>
    </row>
    <row r="33855" spans="6:6" x14ac:dyDescent="0.3">
      <c r="F33855" s="193"/>
    </row>
    <row r="33856" spans="6:6" x14ac:dyDescent="0.3">
      <c r="F33856" s="193"/>
    </row>
    <row r="33857" spans="6:6" x14ac:dyDescent="0.3">
      <c r="F33857" s="193"/>
    </row>
    <row r="33858" spans="6:6" x14ac:dyDescent="0.3">
      <c r="F33858" s="193"/>
    </row>
    <row r="33859" spans="6:6" x14ac:dyDescent="0.3">
      <c r="F33859" s="193"/>
    </row>
    <row r="33860" spans="6:6" x14ac:dyDescent="0.3">
      <c r="F33860" s="193"/>
    </row>
    <row r="33861" spans="6:6" x14ac:dyDescent="0.3">
      <c r="F33861" s="193"/>
    </row>
    <row r="33862" spans="6:6" x14ac:dyDescent="0.3">
      <c r="F33862" s="193"/>
    </row>
    <row r="33863" spans="6:6" x14ac:dyDescent="0.3">
      <c r="F33863" s="193"/>
    </row>
    <row r="33864" spans="6:6" x14ac:dyDescent="0.3">
      <c r="F33864" s="193"/>
    </row>
    <row r="33865" spans="6:6" x14ac:dyDescent="0.3">
      <c r="F33865" s="193"/>
    </row>
    <row r="33866" spans="6:6" x14ac:dyDescent="0.3">
      <c r="F33866" s="193"/>
    </row>
    <row r="33867" spans="6:6" x14ac:dyDescent="0.3">
      <c r="F33867" s="193"/>
    </row>
    <row r="33868" spans="6:6" x14ac:dyDescent="0.3">
      <c r="F33868" s="193"/>
    </row>
    <row r="33869" spans="6:6" x14ac:dyDescent="0.3">
      <c r="F33869" s="193"/>
    </row>
    <row r="33870" spans="6:6" x14ac:dyDescent="0.3">
      <c r="F33870" s="193"/>
    </row>
    <row r="33871" spans="6:6" x14ac:dyDescent="0.3">
      <c r="F33871" s="193"/>
    </row>
    <row r="33872" spans="6:6" x14ac:dyDescent="0.3">
      <c r="F33872" s="193"/>
    </row>
    <row r="33873" spans="6:6" x14ac:dyDescent="0.3">
      <c r="F33873" s="193"/>
    </row>
    <row r="33874" spans="6:6" x14ac:dyDescent="0.3">
      <c r="F33874" s="193"/>
    </row>
    <row r="33875" spans="6:6" x14ac:dyDescent="0.3">
      <c r="F33875" s="193"/>
    </row>
    <row r="33876" spans="6:6" x14ac:dyDescent="0.3">
      <c r="F33876" s="193"/>
    </row>
    <row r="33877" spans="6:6" x14ac:dyDescent="0.3">
      <c r="F33877" s="193"/>
    </row>
    <row r="33878" spans="6:6" x14ac:dyDescent="0.3">
      <c r="F33878" s="193"/>
    </row>
    <row r="33879" spans="6:6" x14ac:dyDescent="0.3">
      <c r="F33879" s="193"/>
    </row>
    <row r="33880" spans="6:6" x14ac:dyDescent="0.3">
      <c r="F33880" s="193"/>
    </row>
    <row r="33881" spans="6:6" x14ac:dyDescent="0.3">
      <c r="F33881" s="193"/>
    </row>
    <row r="33882" spans="6:6" x14ac:dyDescent="0.3">
      <c r="F33882" s="193"/>
    </row>
    <row r="33883" spans="6:6" x14ac:dyDescent="0.3">
      <c r="F33883" s="193"/>
    </row>
    <row r="33884" spans="6:6" x14ac:dyDescent="0.3">
      <c r="F33884" s="193"/>
    </row>
    <row r="33885" spans="6:6" x14ac:dyDescent="0.3">
      <c r="F33885" s="193"/>
    </row>
    <row r="33886" spans="6:6" x14ac:dyDescent="0.3">
      <c r="F33886" s="193"/>
    </row>
    <row r="33887" spans="6:6" x14ac:dyDescent="0.3">
      <c r="F33887" s="193"/>
    </row>
    <row r="33888" spans="6:6" x14ac:dyDescent="0.3">
      <c r="F33888" s="193"/>
    </row>
    <row r="33889" spans="6:6" x14ac:dyDescent="0.3">
      <c r="F33889" s="193"/>
    </row>
    <row r="33890" spans="6:6" x14ac:dyDescent="0.3">
      <c r="F33890" s="193"/>
    </row>
    <row r="33891" spans="6:6" x14ac:dyDescent="0.3">
      <c r="F33891" s="193"/>
    </row>
    <row r="33892" spans="6:6" x14ac:dyDescent="0.3">
      <c r="F33892" s="193"/>
    </row>
    <row r="33893" spans="6:6" x14ac:dyDescent="0.3">
      <c r="F33893" s="193"/>
    </row>
    <row r="33894" spans="6:6" x14ac:dyDescent="0.3">
      <c r="F33894" s="193"/>
    </row>
    <row r="33895" spans="6:6" x14ac:dyDescent="0.3">
      <c r="F33895" s="193"/>
    </row>
    <row r="33896" spans="6:6" x14ac:dyDescent="0.3">
      <c r="F33896" s="193"/>
    </row>
    <row r="33897" spans="6:6" x14ac:dyDescent="0.3">
      <c r="F33897" s="193"/>
    </row>
    <row r="33898" spans="6:6" x14ac:dyDescent="0.3">
      <c r="F33898" s="193"/>
    </row>
    <row r="33899" spans="6:6" x14ac:dyDescent="0.3">
      <c r="F33899" s="193"/>
    </row>
    <row r="33900" spans="6:6" x14ac:dyDescent="0.3">
      <c r="F33900" s="193"/>
    </row>
    <row r="33901" spans="6:6" x14ac:dyDescent="0.3">
      <c r="F33901" s="193"/>
    </row>
    <row r="33902" spans="6:6" x14ac:dyDescent="0.3">
      <c r="F33902" s="193"/>
    </row>
    <row r="33903" spans="6:6" x14ac:dyDescent="0.3">
      <c r="F33903" s="193"/>
    </row>
    <row r="33904" spans="6:6" x14ac:dyDescent="0.3">
      <c r="F33904" s="193"/>
    </row>
    <row r="33905" spans="6:6" x14ac:dyDescent="0.3">
      <c r="F33905" s="193"/>
    </row>
    <row r="33906" spans="6:6" x14ac:dyDescent="0.3">
      <c r="F33906" s="193"/>
    </row>
    <row r="33907" spans="6:6" x14ac:dyDescent="0.3">
      <c r="F33907" s="193"/>
    </row>
    <row r="33908" spans="6:6" x14ac:dyDescent="0.3">
      <c r="F33908" s="193"/>
    </row>
    <row r="33909" spans="6:6" x14ac:dyDescent="0.3">
      <c r="F33909" s="193"/>
    </row>
    <row r="33910" spans="6:6" x14ac:dyDescent="0.3">
      <c r="F33910" s="193"/>
    </row>
    <row r="33911" spans="6:6" x14ac:dyDescent="0.3">
      <c r="F33911" s="193"/>
    </row>
    <row r="33912" spans="6:6" x14ac:dyDescent="0.3">
      <c r="F33912" s="193"/>
    </row>
    <row r="33913" spans="6:6" x14ac:dyDescent="0.3">
      <c r="F33913" s="193"/>
    </row>
    <row r="33914" spans="6:6" x14ac:dyDescent="0.3">
      <c r="F33914" s="193"/>
    </row>
    <row r="33915" spans="6:6" x14ac:dyDescent="0.3">
      <c r="F33915" s="193"/>
    </row>
    <row r="33916" spans="6:6" x14ac:dyDescent="0.3">
      <c r="F33916" s="193"/>
    </row>
    <row r="33917" spans="6:6" x14ac:dyDescent="0.3">
      <c r="F33917" s="193"/>
    </row>
    <row r="33918" spans="6:6" x14ac:dyDescent="0.3">
      <c r="F33918" s="193"/>
    </row>
    <row r="33919" spans="6:6" x14ac:dyDescent="0.3">
      <c r="F33919" s="193"/>
    </row>
    <row r="33920" spans="6:6" x14ac:dyDescent="0.3">
      <c r="F33920" s="193"/>
    </row>
    <row r="33921" spans="6:6" x14ac:dyDescent="0.3">
      <c r="F33921" s="193"/>
    </row>
    <row r="33922" spans="6:6" x14ac:dyDescent="0.3">
      <c r="F33922" s="193"/>
    </row>
    <row r="33923" spans="6:6" x14ac:dyDescent="0.3">
      <c r="F33923" s="193"/>
    </row>
    <row r="33924" spans="6:6" x14ac:dyDescent="0.3">
      <c r="F33924" s="193"/>
    </row>
    <row r="33925" spans="6:6" x14ac:dyDescent="0.3">
      <c r="F33925" s="193"/>
    </row>
    <row r="33926" spans="6:6" x14ac:dyDescent="0.3">
      <c r="F33926" s="193"/>
    </row>
    <row r="33927" spans="6:6" x14ac:dyDescent="0.3">
      <c r="F33927" s="193"/>
    </row>
    <row r="33928" spans="6:6" x14ac:dyDescent="0.3">
      <c r="F33928" s="193"/>
    </row>
    <row r="33929" spans="6:6" x14ac:dyDescent="0.3">
      <c r="F33929" s="193"/>
    </row>
    <row r="33930" spans="6:6" x14ac:dyDescent="0.3">
      <c r="F33930" s="193"/>
    </row>
    <row r="33931" spans="6:6" x14ac:dyDescent="0.3">
      <c r="F33931" s="193"/>
    </row>
    <row r="33932" spans="6:6" x14ac:dyDescent="0.3">
      <c r="F33932" s="193"/>
    </row>
    <row r="33933" spans="6:6" x14ac:dyDescent="0.3">
      <c r="F33933" s="193"/>
    </row>
    <row r="33934" spans="6:6" x14ac:dyDescent="0.3">
      <c r="F33934" s="193"/>
    </row>
    <row r="33935" spans="6:6" x14ac:dyDescent="0.3">
      <c r="F33935" s="193"/>
    </row>
    <row r="33936" spans="6:6" x14ac:dyDescent="0.3">
      <c r="F33936" s="193"/>
    </row>
    <row r="33937" spans="6:6" x14ac:dyDescent="0.3">
      <c r="F33937" s="193"/>
    </row>
    <row r="33938" spans="6:6" x14ac:dyDescent="0.3">
      <c r="F33938" s="193"/>
    </row>
    <row r="33939" spans="6:6" x14ac:dyDescent="0.3">
      <c r="F33939" s="193"/>
    </row>
    <row r="33940" spans="6:6" x14ac:dyDescent="0.3">
      <c r="F33940" s="193"/>
    </row>
    <row r="33941" spans="6:6" x14ac:dyDescent="0.3">
      <c r="F33941" s="193"/>
    </row>
    <row r="33942" spans="6:6" x14ac:dyDescent="0.3">
      <c r="F33942" s="193"/>
    </row>
    <row r="33943" spans="6:6" x14ac:dyDescent="0.3">
      <c r="F33943" s="193"/>
    </row>
    <row r="33944" spans="6:6" x14ac:dyDescent="0.3">
      <c r="F33944" s="193"/>
    </row>
    <row r="33945" spans="6:6" x14ac:dyDescent="0.3">
      <c r="F33945" s="193"/>
    </row>
    <row r="33946" spans="6:6" x14ac:dyDescent="0.3">
      <c r="F33946" s="193"/>
    </row>
    <row r="33947" spans="6:6" x14ac:dyDescent="0.3">
      <c r="F33947" s="193"/>
    </row>
    <row r="33948" spans="6:6" x14ac:dyDescent="0.3">
      <c r="F33948" s="193"/>
    </row>
    <row r="33949" spans="6:6" x14ac:dyDescent="0.3">
      <c r="F33949" s="193"/>
    </row>
    <row r="33950" spans="6:6" x14ac:dyDescent="0.3">
      <c r="F33950" s="193"/>
    </row>
    <row r="33951" spans="6:6" x14ac:dyDescent="0.3">
      <c r="F33951" s="193"/>
    </row>
    <row r="33952" spans="6:6" x14ac:dyDescent="0.3">
      <c r="F33952" s="193"/>
    </row>
    <row r="33953" spans="6:6" x14ac:dyDescent="0.3">
      <c r="F33953" s="193"/>
    </row>
    <row r="33954" spans="6:6" x14ac:dyDescent="0.3">
      <c r="F33954" s="193"/>
    </row>
    <row r="33955" spans="6:6" x14ac:dyDescent="0.3">
      <c r="F33955" s="193"/>
    </row>
    <row r="33956" spans="6:6" x14ac:dyDescent="0.3">
      <c r="F33956" s="193"/>
    </row>
    <row r="33957" spans="6:6" x14ac:dyDescent="0.3">
      <c r="F33957" s="193"/>
    </row>
    <row r="33958" spans="6:6" x14ac:dyDescent="0.3">
      <c r="F33958" s="193"/>
    </row>
    <row r="33959" spans="6:6" x14ac:dyDescent="0.3">
      <c r="F33959" s="193"/>
    </row>
    <row r="33960" spans="6:6" x14ac:dyDescent="0.3">
      <c r="F33960" s="193"/>
    </row>
    <row r="33961" spans="6:6" x14ac:dyDescent="0.3">
      <c r="F33961" s="193"/>
    </row>
    <row r="33962" spans="6:6" x14ac:dyDescent="0.3">
      <c r="F33962" s="193"/>
    </row>
    <row r="33963" spans="6:6" x14ac:dyDescent="0.3">
      <c r="F33963" s="193"/>
    </row>
    <row r="33964" spans="6:6" x14ac:dyDescent="0.3">
      <c r="F33964" s="193"/>
    </row>
    <row r="33965" spans="6:6" x14ac:dyDescent="0.3">
      <c r="F33965" s="193"/>
    </row>
    <row r="33966" spans="6:6" x14ac:dyDescent="0.3">
      <c r="F33966" s="193"/>
    </row>
    <row r="33967" spans="6:6" x14ac:dyDescent="0.3">
      <c r="F33967" s="193"/>
    </row>
    <row r="33968" spans="6:6" x14ac:dyDescent="0.3">
      <c r="F33968" s="193"/>
    </row>
    <row r="33969" spans="6:6" x14ac:dyDescent="0.3">
      <c r="F33969" s="193"/>
    </row>
    <row r="33970" spans="6:6" x14ac:dyDescent="0.3">
      <c r="F33970" s="193"/>
    </row>
    <row r="33971" spans="6:6" x14ac:dyDescent="0.3">
      <c r="F33971" s="193"/>
    </row>
    <row r="33972" spans="6:6" x14ac:dyDescent="0.3">
      <c r="F33972" s="193"/>
    </row>
    <row r="33973" spans="6:6" x14ac:dyDescent="0.3">
      <c r="F33973" s="193"/>
    </row>
    <row r="33974" spans="6:6" x14ac:dyDescent="0.3">
      <c r="F33974" s="193"/>
    </row>
    <row r="33975" spans="6:6" x14ac:dyDescent="0.3">
      <c r="F33975" s="193"/>
    </row>
    <row r="33976" spans="6:6" x14ac:dyDescent="0.3">
      <c r="F33976" s="193"/>
    </row>
    <row r="33977" spans="6:6" x14ac:dyDescent="0.3">
      <c r="F33977" s="193"/>
    </row>
    <row r="33978" spans="6:6" x14ac:dyDescent="0.3">
      <c r="F33978" s="193"/>
    </row>
    <row r="33979" spans="6:6" x14ac:dyDescent="0.3">
      <c r="F33979" s="193"/>
    </row>
    <row r="33980" spans="6:6" x14ac:dyDescent="0.3">
      <c r="F33980" s="193"/>
    </row>
    <row r="33981" spans="6:6" x14ac:dyDescent="0.3">
      <c r="F33981" s="193"/>
    </row>
    <row r="33982" spans="6:6" x14ac:dyDescent="0.3">
      <c r="F33982" s="193"/>
    </row>
    <row r="33983" spans="6:6" x14ac:dyDescent="0.3">
      <c r="F33983" s="193"/>
    </row>
    <row r="33984" spans="6:6" x14ac:dyDescent="0.3">
      <c r="F33984" s="193"/>
    </row>
    <row r="33985" spans="6:6" x14ac:dyDescent="0.3">
      <c r="F33985" s="193"/>
    </row>
    <row r="33986" spans="6:6" x14ac:dyDescent="0.3">
      <c r="F33986" s="193"/>
    </row>
    <row r="33987" spans="6:6" x14ac:dyDescent="0.3">
      <c r="F33987" s="193"/>
    </row>
    <row r="33988" spans="6:6" x14ac:dyDescent="0.3">
      <c r="F33988" s="193"/>
    </row>
    <row r="33989" spans="6:6" x14ac:dyDescent="0.3">
      <c r="F33989" s="193"/>
    </row>
    <row r="33990" spans="6:6" x14ac:dyDescent="0.3">
      <c r="F33990" s="193"/>
    </row>
    <row r="33991" spans="6:6" x14ac:dyDescent="0.3">
      <c r="F33991" s="193"/>
    </row>
    <row r="33992" spans="6:6" x14ac:dyDescent="0.3">
      <c r="F33992" s="193"/>
    </row>
    <row r="33993" spans="6:6" x14ac:dyDescent="0.3">
      <c r="F33993" s="193"/>
    </row>
    <row r="33994" spans="6:6" x14ac:dyDescent="0.3">
      <c r="F33994" s="193"/>
    </row>
    <row r="33995" spans="6:6" x14ac:dyDescent="0.3">
      <c r="F33995" s="193"/>
    </row>
    <row r="33996" spans="6:6" x14ac:dyDescent="0.3">
      <c r="F33996" s="193"/>
    </row>
    <row r="33997" spans="6:6" x14ac:dyDescent="0.3">
      <c r="F33997" s="193"/>
    </row>
    <row r="33998" spans="6:6" x14ac:dyDescent="0.3">
      <c r="F33998" s="193"/>
    </row>
    <row r="33999" spans="6:6" x14ac:dyDescent="0.3">
      <c r="F33999" s="193"/>
    </row>
    <row r="34000" spans="6:6" x14ac:dyDescent="0.3">
      <c r="F34000" s="193"/>
    </row>
    <row r="34001" spans="6:6" x14ac:dyDescent="0.3">
      <c r="F34001" s="193"/>
    </row>
    <row r="34002" spans="6:6" x14ac:dyDescent="0.3">
      <c r="F34002" s="193"/>
    </row>
    <row r="34003" spans="6:6" x14ac:dyDescent="0.3">
      <c r="F34003" s="193"/>
    </row>
    <row r="34004" spans="6:6" x14ac:dyDescent="0.3">
      <c r="F34004" s="193"/>
    </row>
    <row r="34005" spans="6:6" x14ac:dyDescent="0.3">
      <c r="F34005" s="193"/>
    </row>
    <row r="34006" spans="6:6" x14ac:dyDescent="0.3">
      <c r="F34006" s="193"/>
    </row>
    <row r="34007" spans="6:6" x14ac:dyDescent="0.3">
      <c r="F34007" s="193"/>
    </row>
    <row r="34008" spans="6:6" x14ac:dyDescent="0.3">
      <c r="F34008" s="193"/>
    </row>
    <row r="34009" spans="6:6" x14ac:dyDescent="0.3">
      <c r="F34009" s="193"/>
    </row>
    <row r="34010" spans="6:6" x14ac:dyDescent="0.3">
      <c r="F34010" s="193"/>
    </row>
    <row r="34011" spans="6:6" x14ac:dyDescent="0.3">
      <c r="F34011" s="193"/>
    </row>
    <row r="34012" spans="6:6" x14ac:dyDescent="0.3">
      <c r="F34012" s="193"/>
    </row>
    <row r="34013" spans="6:6" x14ac:dyDescent="0.3">
      <c r="F34013" s="193"/>
    </row>
    <row r="34014" spans="6:6" x14ac:dyDescent="0.3">
      <c r="F34014" s="193"/>
    </row>
    <row r="34015" spans="6:6" x14ac:dyDescent="0.3">
      <c r="F34015" s="193"/>
    </row>
    <row r="34016" spans="6:6" x14ac:dyDescent="0.3">
      <c r="F34016" s="193"/>
    </row>
    <row r="34017" spans="6:6" x14ac:dyDescent="0.3">
      <c r="F34017" s="193"/>
    </row>
    <row r="34018" spans="6:6" x14ac:dyDescent="0.3">
      <c r="F34018" s="193"/>
    </row>
    <row r="34019" spans="6:6" x14ac:dyDescent="0.3">
      <c r="F34019" s="193"/>
    </row>
    <row r="34020" spans="6:6" x14ac:dyDescent="0.3">
      <c r="F34020" s="193"/>
    </row>
    <row r="34021" spans="6:6" x14ac:dyDescent="0.3">
      <c r="F34021" s="193"/>
    </row>
    <row r="34022" spans="6:6" x14ac:dyDescent="0.3">
      <c r="F34022" s="193"/>
    </row>
    <row r="34023" spans="6:6" x14ac:dyDescent="0.3">
      <c r="F34023" s="193"/>
    </row>
    <row r="34024" spans="6:6" x14ac:dyDescent="0.3">
      <c r="F34024" s="193"/>
    </row>
    <row r="34025" spans="6:6" x14ac:dyDescent="0.3">
      <c r="F34025" s="193"/>
    </row>
    <row r="34026" spans="6:6" x14ac:dyDescent="0.3">
      <c r="F34026" s="193"/>
    </row>
    <row r="34027" spans="6:6" x14ac:dyDescent="0.3">
      <c r="F34027" s="193"/>
    </row>
    <row r="34028" spans="6:6" x14ac:dyDescent="0.3">
      <c r="F34028" s="193"/>
    </row>
    <row r="34029" spans="6:6" x14ac:dyDescent="0.3">
      <c r="F34029" s="193"/>
    </row>
    <row r="34030" spans="6:6" x14ac:dyDescent="0.3">
      <c r="F34030" s="193"/>
    </row>
    <row r="34031" spans="6:6" x14ac:dyDescent="0.3">
      <c r="F34031" s="193"/>
    </row>
    <row r="34032" spans="6:6" x14ac:dyDescent="0.3">
      <c r="F34032" s="193"/>
    </row>
    <row r="34033" spans="6:6" x14ac:dyDescent="0.3">
      <c r="F34033" s="193"/>
    </row>
    <row r="34034" spans="6:6" x14ac:dyDescent="0.3">
      <c r="F34034" s="193"/>
    </row>
    <row r="34035" spans="6:6" x14ac:dyDescent="0.3">
      <c r="F34035" s="193"/>
    </row>
    <row r="34036" spans="6:6" x14ac:dyDescent="0.3">
      <c r="F34036" s="193"/>
    </row>
    <row r="34037" spans="6:6" x14ac:dyDescent="0.3">
      <c r="F34037" s="193"/>
    </row>
    <row r="34038" spans="6:6" x14ac:dyDescent="0.3">
      <c r="F34038" s="193"/>
    </row>
    <row r="34039" spans="6:6" x14ac:dyDescent="0.3">
      <c r="F34039" s="193"/>
    </row>
    <row r="34040" spans="6:6" x14ac:dyDescent="0.3">
      <c r="F34040" s="193"/>
    </row>
    <row r="34041" spans="6:6" x14ac:dyDescent="0.3">
      <c r="F34041" s="193"/>
    </row>
    <row r="34042" spans="6:6" x14ac:dyDescent="0.3">
      <c r="F34042" s="193"/>
    </row>
    <row r="34043" spans="6:6" x14ac:dyDescent="0.3">
      <c r="F34043" s="193"/>
    </row>
    <row r="34044" spans="6:6" x14ac:dyDescent="0.3">
      <c r="F34044" s="193"/>
    </row>
    <row r="34045" spans="6:6" x14ac:dyDescent="0.3">
      <c r="F34045" s="193"/>
    </row>
    <row r="34046" spans="6:6" x14ac:dyDescent="0.3">
      <c r="F34046" s="193"/>
    </row>
    <row r="34047" spans="6:6" x14ac:dyDescent="0.3">
      <c r="F34047" s="193"/>
    </row>
    <row r="34048" spans="6:6" x14ac:dyDescent="0.3">
      <c r="F34048" s="193"/>
    </row>
    <row r="34049" spans="6:6" x14ac:dyDescent="0.3">
      <c r="F34049" s="193"/>
    </row>
    <row r="34050" spans="6:6" x14ac:dyDescent="0.3">
      <c r="F34050" s="193"/>
    </row>
    <row r="34051" spans="6:6" x14ac:dyDescent="0.3">
      <c r="F34051" s="193"/>
    </row>
    <row r="34052" spans="6:6" x14ac:dyDescent="0.3">
      <c r="F34052" s="193"/>
    </row>
    <row r="34053" spans="6:6" x14ac:dyDescent="0.3">
      <c r="F34053" s="193"/>
    </row>
    <row r="34054" spans="6:6" x14ac:dyDescent="0.3">
      <c r="F34054" s="193"/>
    </row>
    <row r="34055" spans="6:6" x14ac:dyDescent="0.3">
      <c r="F34055" s="193"/>
    </row>
    <row r="34056" spans="6:6" x14ac:dyDescent="0.3">
      <c r="F34056" s="193"/>
    </row>
    <row r="34057" spans="6:6" x14ac:dyDescent="0.3">
      <c r="F34057" s="193"/>
    </row>
    <row r="34058" spans="6:6" x14ac:dyDescent="0.3">
      <c r="F34058" s="193"/>
    </row>
    <row r="34059" spans="6:6" x14ac:dyDescent="0.3">
      <c r="F34059" s="193"/>
    </row>
    <row r="34060" spans="6:6" x14ac:dyDescent="0.3">
      <c r="F34060" s="193"/>
    </row>
    <row r="34061" spans="6:6" x14ac:dyDescent="0.3">
      <c r="F34061" s="193"/>
    </row>
    <row r="34062" spans="6:6" x14ac:dyDescent="0.3">
      <c r="F34062" s="193"/>
    </row>
    <row r="34063" spans="6:6" x14ac:dyDescent="0.3">
      <c r="F34063" s="193"/>
    </row>
    <row r="34064" spans="6:6" x14ac:dyDescent="0.3">
      <c r="F34064" s="193"/>
    </row>
    <row r="34065" spans="6:6" x14ac:dyDescent="0.3">
      <c r="F34065" s="193"/>
    </row>
    <row r="34066" spans="6:6" x14ac:dyDescent="0.3">
      <c r="F34066" s="193"/>
    </row>
    <row r="34067" spans="6:6" x14ac:dyDescent="0.3">
      <c r="F34067" s="193"/>
    </row>
    <row r="34068" spans="6:6" x14ac:dyDescent="0.3">
      <c r="F34068" s="193"/>
    </row>
    <row r="34069" spans="6:6" x14ac:dyDescent="0.3">
      <c r="F34069" s="193"/>
    </row>
    <row r="34070" spans="6:6" x14ac:dyDescent="0.3">
      <c r="F34070" s="193"/>
    </row>
    <row r="34071" spans="6:6" x14ac:dyDescent="0.3">
      <c r="F34071" s="193"/>
    </row>
    <row r="34072" spans="6:6" x14ac:dyDescent="0.3">
      <c r="F34072" s="193"/>
    </row>
    <row r="34073" spans="6:6" x14ac:dyDescent="0.3">
      <c r="F34073" s="193"/>
    </row>
    <row r="34074" spans="6:6" x14ac:dyDescent="0.3">
      <c r="F34074" s="193"/>
    </row>
    <row r="34075" spans="6:6" x14ac:dyDescent="0.3">
      <c r="F34075" s="193"/>
    </row>
    <row r="34076" spans="6:6" x14ac:dyDescent="0.3">
      <c r="F34076" s="193"/>
    </row>
    <row r="34077" spans="6:6" x14ac:dyDescent="0.3">
      <c r="F34077" s="193"/>
    </row>
    <row r="34078" spans="6:6" x14ac:dyDescent="0.3">
      <c r="F34078" s="193"/>
    </row>
    <row r="34079" spans="6:6" x14ac:dyDescent="0.3">
      <c r="F34079" s="193"/>
    </row>
    <row r="34080" spans="6:6" x14ac:dyDescent="0.3">
      <c r="F34080" s="193"/>
    </row>
    <row r="34081" spans="6:6" x14ac:dyDescent="0.3">
      <c r="F34081" s="193"/>
    </row>
    <row r="34082" spans="6:6" x14ac:dyDescent="0.3">
      <c r="F34082" s="193"/>
    </row>
    <row r="34083" spans="6:6" x14ac:dyDescent="0.3">
      <c r="F34083" s="193"/>
    </row>
    <row r="34084" spans="6:6" x14ac:dyDescent="0.3">
      <c r="F34084" s="193"/>
    </row>
    <row r="34085" spans="6:6" x14ac:dyDescent="0.3">
      <c r="F34085" s="193"/>
    </row>
    <row r="34086" spans="6:6" x14ac:dyDescent="0.3">
      <c r="F34086" s="193"/>
    </row>
    <row r="34087" spans="6:6" x14ac:dyDescent="0.3">
      <c r="F34087" s="193"/>
    </row>
    <row r="34088" spans="6:6" x14ac:dyDescent="0.3">
      <c r="F34088" s="193"/>
    </row>
    <row r="34089" spans="6:6" x14ac:dyDescent="0.3">
      <c r="F34089" s="193"/>
    </row>
    <row r="34090" spans="6:6" x14ac:dyDescent="0.3">
      <c r="F34090" s="193"/>
    </row>
    <row r="34091" spans="6:6" x14ac:dyDescent="0.3">
      <c r="F34091" s="193"/>
    </row>
    <row r="34092" spans="6:6" x14ac:dyDescent="0.3">
      <c r="F34092" s="193"/>
    </row>
    <row r="34093" spans="6:6" x14ac:dyDescent="0.3">
      <c r="F34093" s="193"/>
    </row>
    <row r="34094" spans="6:6" x14ac:dyDescent="0.3">
      <c r="F34094" s="193"/>
    </row>
    <row r="34095" spans="6:6" x14ac:dyDescent="0.3">
      <c r="F34095" s="193"/>
    </row>
    <row r="34096" spans="6:6" x14ac:dyDescent="0.3">
      <c r="F34096" s="193"/>
    </row>
    <row r="34097" spans="6:6" x14ac:dyDescent="0.3">
      <c r="F34097" s="193"/>
    </row>
    <row r="34098" spans="6:6" x14ac:dyDescent="0.3">
      <c r="F34098" s="193"/>
    </row>
    <row r="34099" spans="6:6" x14ac:dyDescent="0.3">
      <c r="F34099" s="193"/>
    </row>
    <row r="34100" spans="6:6" x14ac:dyDescent="0.3">
      <c r="F34100" s="193"/>
    </row>
    <row r="34101" spans="6:6" x14ac:dyDescent="0.3">
      <c r="F34101" s="193"/>
    </row>
    <row r="34102" spans="6:6" x14ac:dyDescent="0.3">
      <c r="F34102" s="193"/>
    </row>
    <row r="34103" spans="6:6" x14ac:dyDescent="0.3">
      <c r="F34103" s="193"/>
    </row>
    <row r="34104" spans="6:6" x14ac:dyDescent="0.3">
      <c r="F34104" s="193"/>
    </row>
    <row r="34105" spans="6:6" x14ac:dyDescent="0.3">
      <c r="F34105" s="193"/>
    </row>
    <row r="34106" spans="6:6" x14ac:dyDescent="0.3">
      <c r="F34106" s="193"/>
    </row>
    <row r="34107" spans="6:6" x14ac:dyDescent="0.3">
      <c r="F34107" s="193"/>
    </row>
    <row r="34108" spans="6:6" x14ac:dyDescent="0.3">
      <c r="F34108" s="193"/>
    </row>
    <row r="34109" spans="6:6" x14ac:dyDescent="0.3">
      <c r="F34109" s="193"/>
    </row>
    <row r="34110" spans="6:6" x14ac:dyDescent="0.3">
      <c r="F34110" s="193"/>
    </row>
    <row r="34111" spans="6:6" x14ac:dyDescent="0.3">
      <c r="F34111" s="193"/>
    </row>
    <row r="34112" spans="6:6" x14ac:dyDescent="0.3">
      <c r="F34112" s="193"/>
    </row>
    <row r="34113" spans="6:6" x14ac:dyDescent="0.3">
      <c r="F34113" s="193"/>
    </row>
    <row r="34114" spans="6:6" x14ac:dyDescent="0.3">
      <c r="F34114" s="193"/>
    </row>
    <row r="34115" spans="6:6" x14ac:dyDescent="0.3">
      <c r="F34115" s="193"/>
    </row>
    <row r="34116" spans="6:6" x14ac:dyDescent="0.3">
      <c r="F34116" s="193"/>
    </row>
    <row r="34117" spans="6:6" x14ac:dyDescent="0.3">
      <c r="F34117" s="193"/>
    </row>
    <row r="34118" spans="6:6" x14ac:dyDescent="0.3">
      <c r="F34118" s="193"/>
    </row>
    <row r="34119" spans="6:6" x14ac:dyDescent="0.3">
      <c r="F34119" s="193"/>
    </row>
    <row r="34120" spans="6:6" x14ac:dyDescent="0.3">
      <c r="F34120" s="193"/>
    </row>
    <row r="34121" spans="6:6" x14ac:dyDescent="0.3">
      <c r="F34121" s="193"/>
    </row>
    <row r="34122" spans="6:6" x14ac:dyDescent="0.3">
      <c r="F34122" s="193"/>
    </row>
    <row r="34123" spans="6:6" x14ac:dyDescent="0.3">
      <c r="F34123" s="193"/>
    </row>
    <row r="34124" spans="6:6" x14ac:dyDescent="0.3">
      <c r="F34124" s="193"/>
    </row>
    <row r="34125" spans="6:6" x14ac:dyDescent="0.3">
      <c r="F34125" s="193"/>
    </row>
    <row r="34126" spans="6:6" x14ac:dyDescent="0.3">
      <c r="F34126" s="193"/>
    </row>
    <row r="34127" spans="6:6" x14ac:dyDescent="0.3">
      <c r="F34127" s="193"/>
    </row>
    <row r="34128" spans="6:6" x14ac:dyDescent="0.3">
      <c r="F34128" s="193"/>
    </row>
    <row r="34129" spans="6:6" x14ac:dyDescent="0.3">
      <c r="F34129" s="193"/>
    </row>
    <row r="34130" spans="6:6" x14ac:dyDescent="0.3">
      <c r="F34130" s="193"/>
    </row>
    <row r="34131" spans="6:6" x14ac:dyDescent="0.3">
      <c r="F34131" s="193"/>
    </row>
    <row r="34132" spans="6:6" x14ac:dyDescent="0.3">
      <c r="F34132" s="193"/>
    </row>
    <row r="34133" spans="6:6" x14ac:dyDescent="0.3">
      <c r="F34133" s="193"/>
    </row>
    <row r="34134" spans="6:6" x14ac:dyDescent="0.3">
      <c r="F34134" s="193"/>
    </row>
    <row r="34135" spans="6:6" x14ac:dyDescent="0.3">
      <c r="F34135" s="193"/>
    </row>
    <row r="34136" spans="6:6" x14ac:dyDescent="0.3">
      <c r="F34136" s="193"/>
    </row>
    <row r="34137" spans="6:6" x14ac:dyDescent="0.3">
      <c r="F34137" s="193"/>
    </row>
    <row r="34138" spans="6:6" x14ac:dyDescent="0.3">
      <c r="F34138" s="193"/>
    </row>
    <row r="34139" spans="6:6" x14ac:dyDescent="0.3">
      <c r="F34139" s="193"/>
    </row>
    <row r="34140" spans="6:6" x14ac:dyDescent="0.3">
      <c r="F34140" s="193"/>
    </row>
    <row r="34141" spans="6:6" x14ac:dyDescent="0.3">
      <c r="F34141" s="193"/>
    </row>
    <row r="34142" spans="6:6" x14ac:dyDescent="0.3">
      <c r="F34142" s="193"/>
    </row>
    <row r="34143" spans="6:6" x14ac:dyDescent="0.3">
      <c r="F34143" s="193"/>
    </row>
    <row r="34144" spans="6:6" x14ac:dyDescent="0.3">
      <c r="F34144" s="193"/>
    </row>
    <row r="34145" spans="6:6" x14ac:dyDescent="0.3">
      <c r="F34145" s="193"/>
    </row>
    <row r="34146" spans="6:6" x14ac:dyDescent="0.3">
      <c r="F34146" s="193"/>
    </row>
    <row r="34147" spans="6:6" x14ac:dyDescent="0.3">
      <c r="F34147" s="193"/>
    </row>
    <row r="34148" spans="6:6" x14ac:dyDescent="0.3">
      <c r="F34148" s="193"/>
    </row>
    <row r="34149" spans="6:6" x14ac:dyDescent="0.3">
      <c r="F34149" s="193"/>
    </row>
    <row r="34150" spans="6:6" x14ac:dyDescent="0.3">
      <c r="F34150" s="193"/>
    </row>
    <row r="34151" spans="6:6" x14ac:dyDescent="0.3">
      <c r="F34151" s="193"/>
    </row>
    <row r="34152" spans="6:6" x14ac:dyDescent="0.3">
      <c r="F34152" s="193"/>
    </row>
    <row r="34153" spans="6:6" x14ac:dyDescent="0.3">
      <c r="F34153" s="193"/>
    </row>
    <row r="34154" spans="6:6" x14ac:dyDescent="0.3">
      <c r="F34154" s="193"/>
    </row>
    <row r="34155" spans="6:6" x14ac:dyDescent="0.3">
      <c r="F34155" s="193"/>
    </row>
    <row r="34156" spans="6:6" x14ac:dyDescent="0.3">
      <c r="F34156" s="193"/>
    </row>
    <row r="34157" spans="6:6" x14ac:dyDescent="0.3">
      <c r="F34157" s="193"/>
    </row>
    <row r="34158" spans="6:6" x14ac:dyDescent="0.3">
      <c r="F34158" s="193"/>
    </row>
    <row r="34159" spans="6:6" x14ac:dyDescent="0.3">
      <c r="F34159" s="193"/>
    </row>
    <row r="34160" spans="6:6" x14ac:dyDescent="0.3">
      <c r="F34160" s="193"/>
    </row>
    <row r="34161" spans="6:6" x14ac:dyDescent="0.3">
      <c r="F34161" s="193"/>
    </row>
    <row r="34162" spans="6:6" x14ac:dyDescent="0.3">
      <c r="F34162" s="193"/>
    </row>
    <row r="34163" spans="6:6" x14ac:dyDescent="0.3">
      <c r="F34163" s="193"/>
    </row>
    <row r="34164" spans="6:6" x14ac:dyDescent="0.3">
      <c r="F34164" s="193"/>
    </row>
    <row r="34165" spans="6:6" x14ac:dyDescent="0.3">
      <c r="F34165" s="193"/>
    </row>
    <row r="34166" spans="6:6" x14ac:dyDescent="0.3">
      <c r="F34166" s="193"/>
    </row>
    <row r="34167" spans="6:6" x14ac:dyDescent="0.3">
      <c r="F34167" s="193"/>
    </row>
    <row r="34168" spans="6:6" x14ac:dyDescent="0.3">
      <c r="F34168" s="193"/>
    </row>
    <row r="34169" spans="6:6" x14ac:dyDescent="0.3">
      <c r="F34169" s="193"/>
    </row>
    <row r="34170" spans="6:6" x14ac:dyDescent="0.3">
      <c r="F34170" s="193"/>
    </row>
    <row r="34171" spans="6:6" x14ac:dyDescent="0.3">
      <c r="F34171" s="193"/>
    </row>
    <row r="34172" spans="6:6" x14ac:dyDescent="0.3">
      <c r="F34172" s="193"/>
    </row>
    <row r="34173" spans="6:6" x14ac:dyDescent="0.3">
      <c r="F34173" s="193"/>
    </row>
    <row r="34174" spans="6:6" x14ac:dyDescent="0.3">
      <c r="F34174" s="193"/>
    </row>
    <row r="34175" spans="6:6" x14ac:dyDescent="0.3">
      <c r="F34175" s="193"/>
    </row>
    <row r="34176" spans="6:6" x14ac:dyDescent="0.3">
      <c r="F34176" s="193"/>
    </row>
    <row r="34177" spans="6:6" x14ac:dyDescent="0.3">
      <c r="F34177" s="193"/>
    </row>
    <row r="34178" spans="6:6" x14ac:dyDescent="0.3">
      <c r="F34178" s="193"/>
    </row>
    <row r="34179" spans="6:6" x14ac:dyDescent="0.3">
      <c r="F34179" s="193"/>
    </row>
    <row r="34180" spans="6:6" x14ac:dyDescent="0.3">
      <c r="F34180" s="193"/>
    </row>
    <row r="34181" spans="6:6" x14ac:dyDescent="0.3">
      <c r="F34181" s="193"/>
    </row>
    <row r="34182" spans="6:6" x14ac:dyDescent="0.3">
      <c r="F34182" s="193"/>
    </row>
    <row r="34183" spans="6:6" x14ac:dyDescent="0.3">
      <c r="F34183" s="193"/>
    </row>
    <row r="34184" spans="6:6" x14ac:dyDescent="0.3">
      <c r="F34184" s="193"/>
    </row>
    <row r="34185" spans="6:6" x14ac:dyDescent="0.3">
      <c r="F34185" s="193"/>
    </row>
    <row r="34186" spans="6:6" x14ac:dyDescent="0.3">
      <c r="F34186" s="193"/>
    </row>
    <row r="34187" spans="6:6" x14ac:dyDescent="0.3">
      <c r="F34187" s="193"/>
    </row>
    <row r="34188" spans="6:6" x14ac:dyDescent="0.3">
      <c r="F34188" s="193"/>
    </row>
    <row r="34189" spans="6:6" x14ac:dyDescent="0.3">
      <c r="F34189" s="193"/>
    </row>
    <row r="34190" spans="6:6" x14ac:dyDescent="0.3">
      <c r="F34190" s="193"/>
    </row>
    <row r="34191" spans="6:6" x14ac:dyDescent="0.3">
      <c r="F34191" s="193"/>
    </row>
    <row r="34192" spans="6:6" x14ac:dyDescent="0.3">
      <c r="F34192" s="193"/>
    </row>
    <row r="34193" spans="6:6" x14ac:dyDescent="0.3">
      <c r="F34193" s="193"/>
    </row>
    <row r="34194" spans="6:6" x14ac:dyDescent="0.3">
      <c r="F34194" s="193"/>
    </row>
    <row r="34195" spans="6:6" x14ac:dyDescent="0.3">
      <c r="F34195" s="193"/>
    </row>
    <row r="34196" spans="6:6" x14ac:dyDescent="0.3">
      <c r="F34196" s="193"/>
    </row>
    <row r="34197" spans="6:6" x14ac:dyDescent="0.3">
      <c r="F34197" s="193"/>
    </row>
    <row r="34198" spans="6:6" x14ac:dyDescent="0.3">
      <c r="F34198" s="193"/>
    </row>
    <row r="34199" spans="6:6" x14ac:dyDescent="0.3">
      <c r="F34199" s="193"/>
    </row>
    <row r="34200" spans="6:6" x14ac:dyDescent="0.3">
      <c r="F34200" s="193"/>
    </row>
    <row r="34201" spans="6:6" x14ac:dyDescent="0.3">
      <c r="F34201" s="193"/>
    </row>
    <row r="34202" spans="6:6" x14ac:dyDescent="0.3">
      <c r="F34202" s="193"/>
    </row>
    <row r="34203" spans="6:6" x14ac:dyDescent="0.3">
      <c r="F34203" s="193"/>
    </row>
    <row r="34204" spans="6:6" x14ac:dyDescent="0.3">
      <c r="F34204" s="193"/>
    </row>
    <row r="34205" spans="6:6" x14ac:dyDescent="0.3">
      <c r="F34205" s="193"/>
    </row>
    <row r="34206" spans="6:6" x14ac:dyDescent="0.3">
      <c r="F34206" s="193"/>
    </row>
    <row r="34207" spans="6:6" x14ac:dyDescent="0.3">
      <c r="F34207" s="193"/>
    </row>
    <row r="34208" spans="6:6" x14ac:dyDescent="0.3">
      <c r="F34208" s="193"/>
    </row>
    <row r="34209" spans="6:6" x14ac:dyDescent="0.3">
      <c r="F34209" s="193"/>
    </row>
    <row r="34210" spans="6:6" x14ac:dyDescent="0.3">
      <c r="F34210" s="193"/>
    </row>
    <row r="34211" spans="6:6" x14ac:dyDescent="0.3">
      <c r="F34211" s="193"/>
    </row>
    <row r="34212" spans="6:6" x14ac:dyDescent="0.3">
      <c r="F34212" s="193"/>
    </row>
    <row r="34213" spans="6:6" x14ac:dyDescent="0.3">
      <c r="F34213" s="193"/>
    </row>
    <row r="34214" spans="6:6" x14ac:dyDescent="0.3">
      <c r="F34214" s="193"/>
    </row>
    <row r="34215" spans="6:6" x14ac:dyDescent="0.3">
      <c r="F34215" s="193"/>
    </row>
    <row r="34216" spans="6:6" x14ac:dyDescent="0.3">
      <c r="F34216" s="193"/>
    </row>
    <row r="34217" spans="6:6" x14ac:dyDescent="0.3">
      <c r="F34217" s="193"/>
    </row>
    <row r="34218" spans="6:6" x14ac:dyDescent="0.3">
      <c r="F34218" s="193"/>
    </row>
    <row r="34219" spans="6:6" x14ac:dyDescent="0.3">
      <c r="F34219" s="193"/>
    </row>
    <row r="34220" spans="6:6" x14ac:dyDescent="0.3">
      <c r="F34220" s="193"/>
    </row>
    <row r="34221" spans="6:6" x14ac:dyDescent="0.3">
      <c r="F34221" s="193"/>
    </row>
    <row r="34222" spans="6:6" x14ac:dyDescent="0.3">
      <c r="F34222" s="193"/>
    </row>
    <row r="34223" spans="6:6" x14ac:dyDescent="0.3">
      <c r="F34223" s="193"/>
    </row>
    <row r="34224" spans="6:6" x14ac:dyDescent="0.3">
      <c r="F34224" s="193"/>
    </row>
    <row r="34225" spans="6:6" x14ac:dyDescent="0.3">
      <c r="F34225" s="193"/>
    </row>
    <row r="34226" spans="6:6" x14ac:dyDescent="0.3">
      <c r="F34226" s="193"/>
    </row>
    <row r="34227" spans="6:6" x14ac:dyDescent="0.3">
      <c r="F34227" s="193"/>
    </row>
    <row r="34228" spans="6:6" x14ac:dyDescent="0.3">
      <c r="F34228" s="193"/>
    </row>
    <row r="34229" spans="6:6" x14ac:dyDescent="0.3">
      <c r="F34229" s="193"/>
    </row>
    <row r="34230" spans="6:6" x14ac:dyDescent="0.3">
      <c r="F34230" s="193"/>
    </row>
    <row r="34231" spans="6:6" x14ac:dyDescent="0.3">
      <c r="F34231" s="193"/>
    </row>
    <row r="34232" spans="6:6" x14ac:dyDescent="0.3">
      <c r="F34232" s="193"/>
    </row>
    <row r="34233" spans="6:6" x14ac:dyDescent="0.3">
      <c r="F34233" s="193"/>
    </row>
    <row r="34234" spans="6:6" x14ac:dyDescent="0.3">
      <c r="F34234" s="193"/>
    </row>
    <row r="34235" spans="6:6" x14ac:dyDescent="0.3">
      <c r="F34235" s="193"/>
    </row>
    <row r="34236" spans="6:6" x14ac:dyDescent="0.3">
      <c r="F34236" s="193"/>
    </row>
    <row r="34237" spans="6:6" x14ac:dyDescent="0.3">
      <c r="F34237" s="193"/>
    </row>
    <row r="34238" spans="6:6" x14ac:dyDescent="0.3">
      <c r="F34238" s="193"/>
    </row>
    <row r="34239" spans="6:6" x14ac:dyDescent="0.3">
      <c r="F34239" s="193"/>
    </row>
    <row r="34240" spans="6:6" x14ac:dyDescent="0.3">
      <c r="F34240" s="193"/>
    </row>
    <row r="34241" spans="6:6" x14ac:dyDescent="0.3">
      <c r="F34241" s="193"/>
    </row>
    <row r="34242" spans="6:6" x14ac:dyDescent="0.3">
      <c r="F34242" s="193"/>
    </row>
    <row r="34243" spans="6:6" x14ac:dyDescent="0.3">
      <c r="F34243" s="193"/>
    </row>
    <row r="34244" spans="6:6" x14ac:dyDescent="0.3">
      <c r="F34244" s="193"/>
    </row>
    <row r="34245" spans="6:6" x14ac:dyDescent="0.3">
      <c r="F34245" s="193"/>
    </row>
    <row r="34246" spans="6:6" x14ac:dyDescent="0.3">
      <c r="F34246" s="193"/>
    </row>
    <row r="34247" spans="6:6" x14ac:dyDescent="0.3">
      <c r="F34247" s="193"/>
    </row>
    <row r="34248" spans="6:6" x14ac:dyDescent="0.3">
      <c r="F34248" s="193"/>
    </row>
    <row r="34249" spans="6:6" x14ac:dyDescent="0.3">
      <c r="F34249" s="193"/>
    </row>
    <row r="34250" spans="6:6" x14ac:dyDescent="0.3">
      <c r="F34250" s="193"/>
    </row>
    <row r="34251" spans="6:6" x14ac:dyDescent="0.3">
      <c r="F34251" s="193"/>
    </row>
    <row r="34252" spans="6:6" x14ac:dyDescent="0.3">
      <c r="F34252" s="193"/>
    </row>
    <row r="34253" spans="6:6" x14ac:dyDescent="0.3">
      <c r="F34253" s="193"/>
    </row>
    <row r="34254" spans="6:6" x14ac:dyDescent="0.3">
      <c r="F34254" s="193"/>
    </row>
    <row r="34255" spans="6:6" x14ac:dyDescent="0.3">
      <c r="F34255" s="193"/>
    </row>
    <row r="34256" spans="6:6" x14ac:dyDescent="0.3">
      <c r="F34256" s="193"/>
    </row>
    <row r="34257" spans="6:6" x14ac:dyDescent="0.3">
      <c r="F34257" s="193"/>
    </row>
    <row r="34258" spans="6:6" x14ac:dyDescent="0.3">
      <c r="F34258" s="193"/>
    </row>
    <row r="34259" spans="6:6" x14ac:dyDescent="0.3">
      <c r="F34259" s="193"/>
    </row>
    <row r="34260" spans="6:6" x14ac:dyDescent="0.3">
      <c r="F34260" s="193"/>
    </row>
    <row r="34261" spans="6:6" x14ac:dyDescent="0.3">
      <c r="F34261" s="193"/>
    </row>
    <row r="34262" spans="6:6" x14ac:dyDescent="0.3">
      <c r="F34262" s="193"/>
    </row>
    <row r="34263" spans="6:6" x14ac:dyDescent="0.3">
      <c r="F34263" s="193"/>
    </row>
    <row r="34264" spans="6:6" x14ac:dyDescent="0.3">
      <c r="F34264" s="193"/>
    </row>
    <row r="34265" spans="6:6" x14ac:dyDescent="0.3">
      <c r="F34265" s="193"/>
    </row>
    <row r="34266" spans="6:6" x14ac:dyDescent="0.3">
      <c r="F34266" s="193"/>
    </row>
    <row r="34267" spans="6:6" x14ac:dyDescent="0.3">
      <c r="F34267" s="193"/>
    </row>
    <row r="34268" spans="6:6" x14ac:dyDescent="0.3">
      <c r="F34268" s="193"/>
    </row>
    <row r="34269" spans="6:6" x14ac:dyDescent="0.3">
      <c r="F34269" s="193"/>
    </row>
    <row r="34270" spans="6:6" x14ac:dyDescent="0.3">
      <c r="F34270" s="193"/>
    </row>
    <row r="34271" spans="6:6" x14ac:dyDescent="0.3">
      <c r="F34271" s="193"/>
    </row>
    <row r="34272" spans="6:6" x14ac:dyDescent="0.3">
      <c r="F34272" s="193"/>
    </row>
    <row r="34273" spans="6:6" x14ac:dyDescent="0.3">
      <c r="F34273" s="193"/>
    </row>
    <row r="34274" spans="6:6" x14ac:dyDescent="0.3">
      <c r="F34274" s="193"/>
    </row>
    <row r="34275" spans="6:6" x14ac:dyDescent="0.3">
      <c r="F34275" s="193"/>
    </row>
    <row r="34276" spans="6:6" x14ac:dyDescent="0.3">
      <c r="F34276" s="193"/>
    </row>
    <row r="34277" spans="6:6" x14ac:dyDescent="0.3">
      <c r="F34277" s="193"/>
    </row>
    <row r="34278" spans="6:6" x14ac:dyDescent="0.3">
      <c r="F34278" s="193"/>
    </row>
    <row r="34279" spans="6:6" x14ac:dyDescent="0.3">
      <c r="F34279" s="193"/>
    </row>
    <row r="34280" spans="6:6" x14ac:dyDescent="0.3">
      <c r="F34280" s="193"/>
    </row>
    <row r="34281" spans="6:6" x14ac:dyDescent="0.3">
      <c r="F34281" s="193"/>
    </row>
    <row r="34282" spans="6:6" x14ac:dyDescent="0.3">
      <c r="F34282" s="193"/>
    </row>
    <row r="34283" spans="6:6" x14ac:dyDescent="0.3">
      <c r="F34283" s="193"/>
    </row>
    <row r="34284" spans="6:6" x14ac:dyDescent="0.3">
      <c r="F34284" s="193"/>
    </row>
    <row r="34285" spans="6:6" x14ac:dyDescent="0.3">
      <c r="F34285" s="193"/>
    </row>
    <row r="34286" spans="6:6" x14ac:dyDescent="0.3">
      <c r="F34286" s="193"/>
    </row>
    <row r="34287" spans="6:6" x14ac:dyDescent="0.3">
      <c r="F34287" s="193"/>
    </row>
    <row r="34288" spans="6:6" x14ac:dyDescent="0.3">
      <c r="F34288" s="193"/>
    </row>
    <row r="34289" spans="6:6" x14ac:dyDescent="0.3">
      <c r="F34289" s="193"/>
    </row>
    <row r="34290" spans="6:6" x14ac:dyDescent="0.3">
      <c r="F34290" s="193"/>
    </row>
    <row r="34291" spans="6:6" x14ac:dyDescent="0.3">
      <c r="F34291" s="193"/>
    </row>
    <row r="34292" spans="6:6" x14ac:dyDescent="0.3">
      <c r="F34292" s="193"/>
    </row>
    <row r="34293" spans="6:6" x14ac:dyDescent="0.3">
      <c r="F34293" s="193"/>
    </row>
    <row r="34294" spans="6:6" x14ac:dyDescent="0.3">
      <c r="F34294" s="193"/>
    </row>
    <row r="34295" spans="6:6" x14ac:dyDescent="0.3">
      <c r="F34295" s="193"/>
    </row>
    <row r="34296" spans="6:6" x14ac:dyDescent="0.3">
      <c r="F34296" s="193"/>
    </row>
    <row r="34297" spans="6:6" x14ac:dyDescent="0.3">
      <c r="F34297" s="193"/>
    </row>
    <row r="34298" spans="6:6" x14ac:dyDescent="0.3">
      <c r="F34298" s="193"/>
    </row>
    <row r="34299" spans="6:6" x14ac:dyDescent="0.3">
      <c r="F34299" s="193"/>
    </row>
    <row r="34300" spans="6:6" x14ac:dyDescent="0.3">
      <c r="F34300" s="193"/>
    </row>
    <row r="34301" spans="6:6" x14ac:dyDescent="0.3">
      <c r="F34301" s="193"/>
    </row>
    <row r="34302" spans="6:6" x14ac:dyDescent="0.3">
      <c r="F34302" s="193"/>
    </row>
    <row r="34303" spans="6:6" x14ac:dyDescent="0.3">
      <c r="F34303" s="193"/>
    </row>
    <row r="34304" spans="6:6" x14ac:dyDescent="0.3">
      <c r="F34304" s="193"/>
    </row>
    <row r="34305" spans="6:6" x14ac:dyDescent="0.3">
      <c r="F34305" s="193"/>
    </row>
    <row r="34306" spans="6:6" x14ac:dyDescent="0.3">
      <c r="F34306" s="193"/>
    </row>
    <row r="34307" spans="6:6" x14ac:dyDescent="0.3">
      <c r="F34307" s="193"/>
    </row>
    <row r="34308" spans="6:6" x14ac:dyDescent="0.3">
      <c r="F34308" s="193"/>
    </row>
    <row r="34309" spans="6:6" x14ac:dyDescent="0.3">
      <c r="F34309" s="193"/>
    </row>
    <row r="34310" spans="6:6" x14ac:dyDescent="0.3">
      <c r="F34310" s="193"/>
    </row>
    <row r="34311" spans="6:6" x14ac:dyDescent="0.3">
      <c r="F34311" s="193"/>
    </row>
    <row r="34312" spans="6:6" x14ac:dyDescent="0.3">
      <c r="F34312" s="193"/>
    </row>
    <row r="34313" spans="6:6" x14ac:dyDescent="0.3">
      <c r="F34313" s="193"/>
    </row>
    <row r="34314" spans="6:6" x14ac:dyDescent="0.3">
      <c r="F34314" s="193"/>
    </row>
    <row r="34315" spans="6:6" x14ac:dyDescent="0.3">
      <c r="F34315" s="193"/>
    </row>
    <row r="34316" spans="6:6" x14ac:dyDescent="0.3">
      <c r="F34316" s="193"/>
    </row>
    <row r="34317" spans="6:6" x14ac:dyDescent="0.3">
      <c r="F34317" s="193"/>
    </row>
    <row r="34318" spans="6:6" x14ac:dyDescent="0.3">
      <c r="F34318" s="193"/>
    </row>
    <row r="34319" spans="6:6" x14ac:dyDescent="0.3">
      <c r="F34319" s="193"/>
    </row>
    <row r="34320" spans="6:6" x14ac:dyDescent="0.3">
      <c r="F34320" s="193"/>
    </row>
    <row r="34321" spans="6:6" x14ac:dyDescent="0.3">
      <c r="F34321" s="193"/>
    </row>
    <row r="34322" spans="6:6" x14ac:dyDescent="0.3">
      <c r="F34322" s="193"/>
    </row>
    <row r="34323" spans="6:6" x14ac:dyDescent="0.3">
      <c r="F34323" s="193"/>
    </row>
    <row r="34324" spans="6:6" x14ac:dyDescent="0.3">
      <c r="F34324" s="193"/>
    </row>
    <row r="34325" spans="6:6" x14ac:dyDescent="0.3">
      <c r="F34325" s="193"/>
    </row>
    <row r="34326" spans="6:6" x14ac:dyDescent="0.3">
      <c r="F34326" s="193"/>
    </row>
    <row r="34327" spans="6:6" x14ac:dyDescent="0.3">
      <c r="F34327" s="193"/>
    </row>
    <row r="34328" spans="6:6" x14ac:dyDescent="0.3">
      <c r="F34328" s="193"/>
    </row>
    <row r="34329" spans="6:6" x14ac:dyDescent="0.3">
      <c r="F34329" s="193"/>
    </row>
    <row r="34330" spans="6:6" x14ac:dyDescent="0.3">
      <c r="F34330" s="193"/>
    </row>
    <row r="34331" spans="6:6" x14ac:dyDescent="0.3">
      <c r="F34331" s="193"/>
    </row>
    <row r="34332" spans="6:6" x14ac:dyDescent="0.3">
      <c r="F34332" s="193"/>
    </row>
    <row r="34333" spans="6:6" x14ac:dyDescent="0.3">
      <c r="F34333" s="193"/>
    </row>
    <row r="34334" spans="6:6" x14ac:dyDescent="0.3">
      <c r="F34334" s="193"/>
    </row>
    <row r="34335" spans="6:6" x14ac:dyDescent="0.3">
      <c r="F34335" s="193"/>
    </row>
    <row r="34336" spans="6:6" x14ac:dyDescent="0.3">
      <c r="F34336" s="193"/>
    </row>
    <row r="34337" spans="6:6" x14ac:dyDescent="0.3">
      <c r="F34337" s="193"/>
    </row>
    <row r="34338" spans="6:6" x14ac:dyDescent="0.3">
      <c r="F34338" s="193"/>
    </row>
    <row r="34339" spans="6:6" x14ac:dyDescent="0.3">
      <c r="F34339" s="193"/>
    </row>
    <row r="34340" spans="6:6" x14ac:dyDescent="0.3">
      <c r="F34340" s="193"/>
    </row>
    <row r="34341" spans="6:6" x14ac:dyDescent="0.3">
      <c r="F34341" s="193"/>
    </row>
    <row r="34342" spans="6:6" x14ac:dyDescent="0.3">
      <c r="F34342" s="193"/>
    </row>
    <row r="34343" spans="6:6" x14ac:dyDescent="0.3">
      <c r="F34343" s="193"/>
    </row>
    <row r="34344" spans="6:6" x14ac:dyDescent="0.3">
      <c r="F34344" s="193"/>
    </row>
    <row r="34345" spans="6:6" x14ac:dyDescent="0.3">
      <c r="F34345" s="193"/>
    </row>
    <row r="34346" spans="6:6" x14ac:dyDescent="0.3">
      <c r="F34346" s="193"/>
    </row>
    <row r="34347" spans="6:6" x14ac:dyDescent="0.3">
      <c r="F34347" s="193"/>
    </row>
    <row r="34348" spans="6:6" x14ac:dyDescent="0.3">
      <c r="F34348" s="193"/>
    </row>
    <row r="34349" spans="6:6" x14ac:dyDescent="0.3">
      <c r="F34349" s="193"/>
    </row>
    <row r="34350" spans="6:6" x14ac:dyDescent="0.3">
      <c r="F34350" s="193"/>
    </row>
    <row r="34351" spans="6:6" x14ac:dyDescent="0.3">
      <c r="F34351" s="193"/>
    </row>
    <row r="34352" spans="6:6" x14ac:dyDescent="0.3">
      <c r="F34352" s="193"/>
    </row>
    <row r="34353" spans="6:6" x14ac:dyDescent="0.3">
      <c r="F34353" s="193"/>
    </row>
    <row r="34354" spans="6:6" x14ac:dyDescent="0.3">
      <c r="F34354" s="193"/>
    </row>
    <row r="34355" spans="6:6" x14ac:dyDescent="0.3">
      <c r="F34355" s="193"/>
    </row>
    <row r="34356" spans="6:6" x14ac:dyDescent="0.3">
      <c r="F34356" s="193"/>
    </row>
    <row r="34357" spans="6:6" x14ac:dyDescent="0.3">
      <c r="F34357" s="193"/>
    </row>
    <row r="34358" spans="6:6" x14ac:dyDescent="0.3">
      <c r="F34358" s="193"/>
    </row>
    <row r="34359" spans="6:6" x14ac:dyDescent="0.3">
      <c r="F34359" s="193"/>
    </row>
    <row r="34360" spans="6:6" x14ac:dyDescent="0.3">
      <c r="F34360" s="193"/>
    </row>
    <row r="34361" spans="6:6" x14ac:dyDescent="0.3">
      <c r="F34361" s="193"/>
    </row>
    <row r="34362" spans="6:6" x14ac:dyDescent="0.3">
      <c r="F34362" s="193"/>
    </row>
    <row r="34363" spans="6:6" x14ac:dyDescent="0.3">
      <c r="F34363" s="193"/>
    </row>
    <row r="34364" spans="6:6" x14ac:dyDescent="0.3">
      <c r="F34364" s="193"/>
    </row>
    <row r="34365" spans="6:6" x14ac:dyDescent="0.3">
      <c r="F34365" s="193"/>
    </row>
    <row r="34366" spans="6:6" x14ac:dyDescent="0.3">
      <c r="F34366" s="193"/>
    </row>
    <row r="34367" spans="6:6" x14ac:dyDescent="0.3">
      <c r="F34367" s="193"/>
    </row>
    <row r="34368" spans="6:6" x14ac:dyDescent="0.3">
      <c r="F34368" s="193"/>
    </row>
    <row r="34369" spans="6:6" x14ac:dyDescent="0.3">
      <c r="F34369" s="193"/>
    </row>
    <row r="34370" spans="6:6" x14ac:dyDescent="0.3">
      <c r="F34370" s="193"/>
    </row>
    <row r="34371" spans="6:6" x14ac:dyDescent="0.3">
      <c r="F34371" s="193"/>
    </row>
    <row r="34372" spans="6:6" x14ac:dyDescent="0.3">
      <c r="F34372" s="193"/>
    </row>
    <row r="34373" spans="6:6" x14ac:dyDescent="0.3">
      <c r="F34373" s="193"/>
    </row>
    <row r="34374" spans="6:6" x14ac:dyDescent="0.3">
      <c r="F34374" s="193"/>
    </row>
    <row r="34375" spans="6:6" x14ac:dyDescent="0.3">
      <c r="F34375" s="193"/>
    </row>
    <row r="34376" spans="6:6" x14ac:dyDescent="0.3">
      <c r="F34376" s="193"/>
    </row>
    <row r="34377" spans="6:6" x14ac:dyDescent="0.3">
      <c r="F34377" s="193"/>
    </row>
    <row r="34378" spans="6:6" x14ac:dyDescent="0.3">
      <c r="F34378" s="193"/>
    </row>
    <row r="34379" spans="6:6" x14ac:dyDescent="0.3">
      <c r="F34379" s="193"/>
    </row>
    <row r="34380" spans="6:6" x14ac:dyDescent="0.3">
      <c r="F34380" s="193"/>
    </row>
    <row r="34381" spans="6:6" x14ac:dyDescent="0.3">
      <c r="F34381" s="193"/>
    </row>
    <row r="34382" spans="6:6" x14ac:dyDescent="0.3">
      <c r="F34382" s="193"/>
    </row>
    <row r="34383" spans="6:6" x14ac:dyDescent="0.3">
      <c r="F34383" s="193"/>
    </row>
    <row r="34384" spans="6:6" x14ac:dyDescent="0.3">
      <c r="F34384" s="193"/>
    </row>
    <row r="34385" spans="6:6" x14ac:dyDescent="0.3">
      <c r="F34385" s="193"/>
    </row>
    <row r="34386" spans="6:6" x14ac:dyDescent="0.3">
      <c r="F34386" s="193"/>
    </row>
    <row r="34387" spans="6:6" x14ac:dyDescent="0.3">
      <c r="F34387" s="193"/>
    </row>
    <row r="34388" spans="6:6" x14ac:dyDescent="0.3">
      <c r="F34388" s="193"/>
    </row>
    <row r="34389" spans="6:6" x14ac:dyDescent="0.3">
      <c r="F34389" s="193"/>
    </row>
    <row r="34390" spans="6:6" x14ac:dyDescent="0.3">
      <c r="F34390" s="193"/>
    </row>
    <row r="34391" spans="6:6" x14ac:dyDescent="0.3">
      <c r="F34391" s="193"/>
    </row>
    <row r="34392" spans="6:6" x14ac:dyDescent="0.3">
      <c r="F34392" s="193"/>
    </row>
    <row r="34393" spans="6:6" x14ac:dyDescent="0.3">
      <c r="F34393" s="193"/>
    </row>
    <row r="34394" spans="6:6" x14ac:dyDescent="0.3">
      <c r="F34394" s="193"/>
    </row>
    <row r="34395" spans="6:6" x14ac:dyDescent="0.3">
      <c r="F34395" s="193"/>
    </row>
    <row r="34396" spans="6:6" x14ac:dyDescent="0.3">
      <c r="F34396" s="193"/>
    </row>
    <row r="34397" spans="6:6" x14ac:dyDescent="0.3">
      <c r="F34397" s="193"/>
    </row>
    <row r="34398" spans="6:6" x14ac:dyDescent="0.3">
      <c r="F34398" s="193"/>
    </row>
    <row r="34399" spans="6:6" x14ac:dyDescent="0.3">
      <c r="F34399" s="193"/>
    </row>
    <row r="34400" spans="6:6" x14ac:dyDescent="0.3">
      <c r="F34400" s="193"/>
    </row>
    <row r="34401" spans="6:6" x14ac:dyDescent="0.3">
      <c r="F34401" s="193"/>
    </row>
    <row r="34402" spans="6:6" x14ac:dyDescent="0.3">
      <c r="F34402" s="193"/>
    </row>
    <row r="34403" spans="6:6" x14ac:dyDescent="0.3">
      <c r="F34403" s="193"/>
    </row>
    <row r="34404" spans="6:6" x14ac:dyDescent="0.3">
      <c r="F34404" s="193"/>
    </row>
    <row r="34405" spans="6:6" x14ac:dyDescent="0.3">
      <c r="F34405" s="193"/>
    </row>
    <row r="34406" spans="6:6" x14ac:dyDescent="0.3">
      <c r="F34406" s="193"/>
    </row>
    <row r="34407" spans="6:6" x14ac:dyDescent="0.3">
      <c r="F34407" s="193"/>
    </row>
    <row r="34408" spans="6:6" x14ac:dyDescent="0.3">
      <c r="F34408" s="193"/>
    </row>
    <row r="34409" spans="6:6" x14ac:dyDescent="0.3">
      <c r="F34409" s="193"/>
    </row>
    <row r="34410" spans="6:6" x14ac:dyDescent="0.3">
      <c r="F34410" s="193"/>
    </row>
    <row r="34411" spans="6:6" x14ac:dyDescent="0.3">
      <c r="F34411" s="193"/>
    </row>
    <row r="34412" spans="6:6" x14ac:dyDescent="0.3">
      <c r="F34412" s="193"/>
    </row>
    <row r="34413" spans="6:6" x14ac:dyDescent="0.3">
      <c r="F34413" s="193"/>
    </row>
    <row r="34414" spans="6:6" x14ac:dyDescent="0.3">
      <c r="F34414" s="193"/>
    </row>
    <row r="34415" spans="6:6" x14ac:dyDescent="0.3">
      <c r="F34415" s="193"/>
    </row>
    <row r="34416" spans="6:6" x14ac:dyDescent="0.3">
      <c r="F34416" s="193"/>
    </row>
    <row r="34417" spans="6:6" x14ac:dyDescent="0.3">
      <c r="F34417" s="193"/>
    </row>
    <row r="34418" spans="6:6" x14ac:dyDescent="0.3">
      <c r="F34418" s="193"/>
    </row>
    <row r="34419" spans="6:6" x14ac:dyDescent="0.3">
      <c r="F34419" s="193"/>
    </row>
    <row r="34420" spans="6:6" x14ac:dyDescent="0.3">
      <c r="F34420" s="193"/>
    </row>
    <row r="34421" spans="6:6" x14ac:dyDescent="0.3">
      <c r="F34421" s="193"/>
    </row>
    <row r="34422" spans="6:6" x14ac:dyDescent="0.3">
      <c r="F34422" s="193"/>
    </row>
    <row r="34423" spans="6:6" x14ac:dyDescent="0.3">
      <c r="F34423" s="193"/>
    </row>
    <row r="34424" spans="6:6" x14ac:dyDescent="0.3">
      <c r="F34424" s="193"/>
    </row>
    <row r="34425" spans="6:6" x14ac:dyDescent="0.3">
      <c r="F34425" s="193"/>
    </row>
    <row r="34426" spans="6:6" x14ac:dyDescent="0.3">
      <c r="F34426" s="193"/>
    </row>
    <row r="34427" spans="6:6" x14ac:dyDescent="0.3">
      <c r="F34427" s="193"/>
    </row>
    <row r="34428" spans="6:6" x14ac:dyDescent="0.3">
      <c r="F34428" s="193"/>
    </row>
    <row r="34429" spans="6:6" x14ac:dyDescent="0.3">
      <c r="F34429" s="193"/>
    </row>
    <row r="34430" spans="6:6" x14ac:dyDescent="0.3">
      <c r="F34430" s="193"/>
    </row>
    <row r="34431" spans="6:6" x14ac:dyDescent="0.3">
      <c r="F34431" s="193"/>
    </row>
    <row r="34432" spans="6:6" x14ac:dyDescent="0.3">
      <c r="F34432" s="193"/>
    </row>
    <row r="34433" spans="6:6" x14ac:dyDescent="0.3">
      <c r="F34433" s="193"/>
    </row>
    <row r="34434" spans="6:6" x14ac:dyDescent="0.3">
      <c r="F34434" s="193"/>
    </row>
    <row r="34435" spans="6:6" x14ac:dyDescent="0.3">
      <c r="F34435" s="193"/>
    </row>
    <row r="34436" spans="6:6" x14ac:dyDescent="0.3">
      <c r="F34436" s="193"/>
    </row>
    <row r="34437" spans="6:6" x14ac:dyDescent="0.3">
      <c r="F34437" s="193"/>
    </row>
    <row r="34438" spans="6:6" x14ac:dyDescent="0.3">
      <c r="F34438" s="193"/>
    </row>
    <row r="34439" spans="6:6" x14ac:dyDescent="0.3">
      <c r="F34439" s="193"/>
    </row>
    <row r="34440" spans="6:6" x14ac:dyDescent="0.3">
      <c r="F34440" s="193"/>
    </row>
    <row r="34441" spans="6:6" x14ac:dyDescent="0.3">
      <c r="F34441" s="193"/>
    </row>
    <row r="34442" spans="6:6" x14ac:dyDescent="0.3">
      <c r="F34442" s="193"/>
    </row>
    <row r="34443" spans="6:6" x14ac:dyDescent="0.3">
      <c r="F34443" s="193"/>
    </row>
    <row r="34444" spans="6:6" x14ac:dyDescent="0.3">
      <c r="F34444" s="193"/>
    </row>
    <row r="34445" spans="6:6" x14ac:dyDescent="0.3">
      <c r="F34445" s="193"/>
    </row>
    <row r="34446" spans="6:6" x14ac:dyDescent="0.3">
      <c r="F34446" s="193"/>
    </row>
    <row r="34447" spans="6:6" x14ac:dyDescent="0.3">
      <c r="F34447" s="193"/>
    </row>
    <row r="34448" spans="6:6" x14ac:dyDescent="0.3">
      <c r="F34448" s="193"/>
    </row>
    <row r="34449" spans="6:6" x14ac:dyDescent="0.3">
      <c r="F34449" s="193"/>
    </row>
    <row r="34450" spans="6:6" x14ac:dyDescent="0.3">
      <c r="F34450" s="193"/>
    </row>
    <row r="34451" spans="6:6" x14ac:dyDescent="0.3">
      <c r="F34451" s="193"/>
    </row>
    <row r="34452" spans="6:6" x14ac:dyDescent="0.3">
      <c r="F34452" s="193"/>
    </row>
    <row r="34453" spans="6:6" x14ac:dyDescent="0.3">
      <c r="F34453" s="193"/>
    </row>
    <row r="34454" spans="6:6" x14ac:dyDescent="0.3">
      <c r="F34454" s="193"/>
    </row>
    <row r="34455" spans="6:6" x14ac:dyDescent="0.3">
      <c r="F34455" s="193"/>
    </row>
    <row r="34456" spans="6:6" x14ac:dyDescent="0.3">
      <c r="F34456" s="193"/>
    </row>
    <row r="34457" spans="6:6" x14ac:dyDescent="0.3">
      <c r="F34457" s="193"/>
    </row>
    <row r="34458" spans="6:6" x14ac:dyDescent="0.3">
      <c r="F34458" s="193"/>
    </row>
    <row r="34459" spans="6:6" x14ac:dyDescent="0.3">
      <c r="F34459" s="193"/>
    </row>
    <row r="34460" spans="6:6" x14ac:dyDescent="0.3">
      <c r="F34460" s="193"/>
    </row>
    <row r="34461" spans="6:6" x14ac:dyDescent="0.3">
      <c r="F34461" s="193"/>
    </row>
    <row r="34462" spans="6:6" x14ac:dyDescent="0.3">
      <c r="F34462" s="193"/>
    </row>
    <row r="34463" spans="6:6" x14ac:dyDescent="0.3">
      <c r="F34463" s="193"/>
    </row>
    <row r="34464" spans="6:6" x14ac:dyDescent="0.3">
      <c r="F34464" s="193"/>
    </row>
    <row r="34465" spans="6:6" x14ac:dyDescent="0.3">
      <c r="F34465" s="193"/>
    </row>
    <row r="34466" spans="6:6" x14ac:dyDescent="0.3">
      <c r="F34466" s="193"/>
    </row>
    <row r="34467" spans="6:6" x14ac:dyDescent="0.3">
      <c r="F34467" s="193"/>
    </row>
    <row r="34468" spans="6:6" x14ac:dyDescent="0.3">
      <c r="F34468" s="193"/>
    </row>
    <row r="34469" spans="6:6" x14ac:dyDescent="0.3">
      <c r="F34469" s="193"/>
    </row>
    <row r="34470" spans="6:6" x14ac:dyDescent="0.3">
      <c r="F34470" s="193"/>
    </row>
    <row r="34471" spans="6:6" x14ac:dyDescent="0.3">
      <c r="F34471" s="193"/>
    </row>
    <row r="34472" spans="6:6" x14ac:dyDescent="0.3">
      <c r="F34472" s="193"/>
    </row>
    <row r="34473" spans="6:6" x14ac:dyDescent="0.3">
      <c r="F34473" s="193"/>
    </row>
    <row r="34474" spans="6:6" x14ac:dyDescent="0.3">
      <c r="F34474" s="193"/>
    </row>
    <row r="34475" spans="6:6" x14ac:dyDescent="0.3">
      <c r="F34475" s="193"/>
    </row>
    <row r="34476" spans="6:6" x14ac:dyDescent="0.3">
      <c r="F34476" s="193"/>
    </row>
    <row r="34477" spans="6:6" x14ac:dyDescent="0.3">
      <c r="F34477" s="193"/>
    </row>
    <row r="34478" spans="6:6" x14ac:dyDescent="0.3">
      <c r="F34478" s="193"/>
    </row>
    <row r="34479" spans="6:6" x14ac:dyDescent="0.3">
      <c r="F34479" s="193"/>
    </row>
    <row r="34480" spans="6:6" x14ac:dyDescent="0.3">
      <c r="F34480" s="193"/>
    </row>
    <row r="34481" spans="6:6" x14ac:dyDescent="0.3">
      <c r="F34481" s="193"/>
    </row>
    <row r="34482" spans="6:6" x14ac:dyDescent="0.3">
      <c r="F34482" s="193"/>
    </row>
    <row r="34483" spans="6:6" x14ac:dyDescent="0.3">
      <c r="F34483" s="193"/>
    </row>
    <row r="34484" spans="6:6" x14ac:dyDescent="0.3">
      <c r="F34484" s="193"/>
    </row>
    <row r="34485" spans="6:6" x14ac:dyDescent="0.3">
      <c r="F34485" s="193"/>
    </row>
    <row r="34486" spans="6:6" x14ac:dyDescent="0.3">
      <c r="F34486" s="193"/>
    </row>
    <row r="34487" spans="6:6" x14ac:dyDescent="0.3">
      <c r="F34487" s="193"/>
    </row>
    <row r="34488" spans="6:6" x14ac:dyDescent="0.3">
      <c r="F34488" s="193"/>
    </row>
    <row r="34489" spans="6:6" x14ac:dyDescent="0.3">
      <c r="F34489" s="193"/>
    </row>
    <row r="34490" spans="6:6" x14ac:dyDescent="0.3">
      <c r="F34490" s="193"/>
    </row>
    <row r="34491" spans="6:6" x14ac:dyDescent="0.3">
      <c r="F34491" s="193"/>
    </row>
    <row r="34492" spans="6:6" x14ac:dyDescent="0.3">
      <c r="F34492" s="193"/>
    </row>
    <row r="34493" spans="6:6" x14ac:dyDescent="0.3">
      <c r="F34493" s="193"/>
    </row>
    <row r="34494" spans="6:6" x14ac:dyDescent="0.3">
      <c r="F34494" s="193"/>
    </row>
    <row r="34495" spans="6:6" x14ac:dyDescent="0.3">
      <c r="F34495" s="193"/>
    </row>
    <row r="34496" spans="6:6" x14ac:dyDescent="0.3">
      <c r="F34496" s="193"/>
    </row>
    <row r="34497" spans="6:6" x14ac:dyDescent="0.3">
      <c r="F34497" s="193"/>
    </row>
    <row r="34498" spans="6:6" x14ac:dyDescent="0.3">
      <c r="F34498" s="193"/>
    </row>
    <row r="34499" spans="6:6" x14ac:dyDescent="0.3">
      <c r="F34499" s="193"/>
    </row>
    <row r="34500" spans="6:6" x14ac:dyDescent="0.3">
      <c r="F34500" s="193"/>
    </row>
    <row r="34501" spans="6:6" x14ac:dyDescent="0.3">
      <c r="F34501" s="193"/>
    </row>
    <row r="34502" spans="6:6" x14ac:dyDescent="0.3">
      <c r="F34502" s="193"/>
    </row>
    <row r="34503" spans="6:6" x14ac:dyDescent="0.3">
      <c r="F34503" s="193"/>
    </row>
    <row r="34504" spans="6:6" x14ac:dyDescent="0.3">
      <c r="F34504" s="193"/>
    </row>
    <row r="34505" spans="6:6" x14ac:dyDescent="0.3">
      <c r="F34505" s="193"/>
    </row>
    <row r="34506" spans="6:6" x14ac:dyDescent="0.3">
      <c r="F34506" s="193"/>
    </row>
    <row r="34507" spans="6:6" x14ac:dyDescent="0.3">
      <c r="F34507" s="193"/>
    </row>
    <row r="34508" spans="6:6" x14ac:dyDescent="0.3">
      <c r="F34508" s="193"/>
    </row>
    <row r="34509" spans="6:6" x14ac:dyDescent="0.3">
      <c r="F34509" s="193"/>
    </row>
    <row r="34510" spans="6:6" x14ac:dyDescent="0.3">
      <c r="F34510" s="193"/>
    </row>
    <row r="34511" spans="6:6" x14ac:dyDescent="0.3">
      <c r="F34511" s="193"/>
    </row>
    <row r="34512" spans="6:6" x14ac:dyDescent="0.3">
      <c r="F34512" s="193"/>
    </row>
    <row r="34513" spans="6:6" x14ac:dyDescent="0.3">
      <c r="F34513" s="193"/>
    </row>
    <row r="34514" spans="6:6" x14ac:dyDescent="0.3">
      <c r="F34514" s="193"/>
    </row>
    <row r="34515" spans="6:6" x14ac:dyDescent="0.3">
      <c r="F34515" s="193"/>
    </row>
    <row r="34516" spans="6:6" x14ac:dyDescent="0.3">
      <c r="F34516" s="193"/>
    </row>
    <row r="34517" spans="6:6" x14ac:dyDescent="0.3">
      <c r="F34517" s="193"/>
    </row>
    <row r="34518" spans="6:6" x14ac:dyDescent="0.3">
      <c r="F34518" s="193"/>
    </row>
    <row r="34519" spans="6:6" x14ac:dyDescent="0.3">
      <c r="F34519" s="193"/>
    </row>
    <row r="34520" spans="6:6" x14ac:dyDescent="0.3">
      <c r="F34520" s="193"/>
    </row>
    <row r="34521" spans="6:6" x14ac:dyDescent="0.3">
      <c r="F34521" s="193"/>
    </row>
    <row r="34522" spans="6:6" x14ac:dyDescent="0.3">
      <c r="F34522" s="193"/>
    </row>
    <row r="34523" spans="6:6" x14ac:dyDescent="0.3">
      <c r="F34523" s="193"/>
    </row>
    <row r="34524" spans="6:6" x14ac:dyDescent="0.3">
      <c r="F34524" s="193"/>
    </row>
    <row r="34525" spans="6:6" x14ac:dyDescent="0.3">
      <c r="F34525" s="193"/>
    </row>
    <row r="34526" spans="6:6" x14ac:dyDescent="0.3">
      <c r="F34526" s="193"/>
    </row>
    <row r="34527" spans="6:6" x14ac:dyDescent="0.3">
      <c r="F34527" s="193"/>
    </row>
    <row r="34528" spans="6:6" x14ac:dyDescent="0.3">
      <c r="F34528" s="193"/>
    </row>
    <row r="34529" spans="6:6" x14ac:dyDescent="0.3">
      <c r="F34529" s="193"/>
    </row>
    <row r="34530" spans="6:6" x14ac:dyDescent="0.3">
      <c r="F34530" s="193"/>
    </row>
    <row r="34531" spans="6:6" x14ac:dyDescent="0.3">
      <c r="F34531" s="193"/>
    </row>
    <row r="34532" spans="6:6" x14ac:dyDescent="0.3">
      <c r="F34532" s="193"/>
    </row>
    <row r="34533" spans="6:6" x14ac:dyDescent="0.3">
      <c r="F34533" s="193"/>
    </row>
    <row r="34534" spans="6:6" x14ac:dyDescent="0.3">
      <c r="F34534" s="193"/>
    </row>
    <row r="34535" spans="6:6" x14ac:dyDescent="0.3">
      <c r="F34535" s="193"/>
    </row>
    <row r="34536" spans="6:6" x14ac:dyDescent="0.3">
      <c r="F34536" s="193"/>
    </row>
    <row r="34537" spans="6:6" x14ac:dyDescent="0.3">
      <c r="F34537" s="193"/>
    </row>
    <row r="34538" spans="6:6" x14ac:dyDescent="0.3">
      <c r="F34538" s="193"/>
    </row>
    <row r="34539" spans="6:6" x14ac:dyDescent="0.3">
      <c r="F34539" s="193"/>
    </row>
    <row r="34540" spans="6:6" x14ac:dyDescent="0.3">
      <c r="F34540" s="193"/>
    </row>
    <row r="34541" spans="6:6" x14ac:dyDescent="0.3">
      <c r="F34541" s="193"/>
    </row>
    <row r="34542" spans="6:6" x14ac:dyDescent="0.3">
      <c r="F34542" s="193"/>
    </row>
    <row r="34543" spans="6:6" x14ac:dyDescent="0.3">
      <c r="F34543" s="193"/>
    </row>
    <row r="34544" spans="6:6" x14ac:dyDescent="0.3">
      <c r="F34544" s="193"/>
    </row>
    <row r="34545" spans="6:6" x14ac:dyDescent="0.3">
      <c r="F34545" s="193"/>
    </row>
    <row r="34546" spans="6:6" x14ac:dyDescent="0.3">
      <c r="F34546" s="193"/>
    </row>
    <row r="34547" spans="6:6" x14ac:dyDescent="0.3">
      <c r="F34547" s="193"/>
    </row>
    <row r="34548" spans="6:6" x14ac:dyDescent="0.3">
      <c r="F34548" s="193"/>
    </row>
    <row r="34549" spans="6:6" x14ac:dyDescent="0.3">
      <c r="F34549" s="193"/>
    </row>
    <row r="34550" spans="6:6" x14ac:dyDescent="0.3">
      <c r="F34550" s="193"/>
    </row>
    <row r="34551" spans="6:6" x14ac:dyDescent="0.3">
      <c r="F34551" s="193"/>
    </row>
    <row r="34552" spans="6:6" x14ac:dyDescent="0.3">
      <c r="F34552" s="193"/>
    </row>
    <row r="34553" spans="6:6" x14ac:dyDescent="0.3">
      <c r="F34553" s="193"/>
    </row>
    <row r="34554" spans="6:6" x14ac:dyDescent="0.3">
      <c r="F34554" s="193"/>
    </row>
    <row r="34555" spans="6:6" x14ac:dyDescent="0.3">
      <c r="F34555" s="193"/>
    </row>
    <row r="34556" spans="6:6" x14ac:dyDescent="0.3">
      <c r="F34556" s="193"/>
    </row>
    <row r="34557" spans="6:6" x14ac:dyDescent="0.3">
      <c r="F34557" s="193"/>
    </row>
    <row r="34558" spans="6:6" x14ac:dyDescent="0.3">
      <c r="F34558" s="193"/>
    </row>
    <row r="34559" spans="6:6" x14ac:dyDescent="0.3">
      <c r="F34559" s="193"/>
    </row>
    <row r="34560" spans="6:6" x14ac:dyDescent="0.3">
      <c r="F34560" s="193"/>
    </row>
    <row r="34561" spans="6:6" x14ac:dyDescent="0.3">
      <c r="F34561" s="193"/>
    </row>
    <row r="34562" spans="6:6" x14ac:dyDescent="0.3">
      <c r="F34562" s="193"/>
    </row>
    <row r="34563" spans="6:6" x14ac:dyDescent="0.3">
      <c r="F34563" s="193"/>
    </row>
    <row r="34564" spans="6:6" x14ac:dyDescent="0.3">
      <c r="F34564" s="193"/>
    </row>
    <row r="34565" spans="6:6" x14ac:dyDescent="0.3">
      <c r="F34565" s="193"/>
    </row>
    <row r="34566" spans="6:6" x14ac:dyDescent="0.3">
      <c r="F34566" s="193"/>
    </row>
    <row r="34567" spans="6:6" x14ac:dyDescent="0.3">
      <c r="F34567" s="193"/>
    </row>
    <row r="34568" spans="6:6" x14ac:dyDescent="0.3">
      <c r="F34568" s="193"/>
    </row>
    <row r="34569" spans="6:6" x14ac:dyDescent="0.3">
      <c r="F34569" s="193"/>
    </row>
    <row r="34570" spans="6:6" x14ac:dyDescent="0.3">
      <c r="F34570" s="193"/>
    </row>
    <row r="34571" spans="6:6" x14ac:dyDescent="0.3">
      <c r="F34571" s="193"/>
    </row>
    <row r="34572" spans="6:6" x14ac:dyDescent="0.3">
      <c r="F34572" s="193"/>
    </row>
    <row r="34573" spans="6:6" x14ac:dyDescent="0.3">
      <c r="F34573" s="193"/>
    </row>
    <row r="34574" spans="6:6" x14ac:dyDescent="0.3">
      <c r="F34574" s="193"/>
    </row>
    <row r="34575" spans="6:6" x14ac:dyDescent="0.3">
      <c r="F34575" s="193"/>
    </row>
    <row r="34576" spans="6:6" x14ac:dyDescent="0.3">
      <c r="F34576" s="193"/>
    </row>
    <row r="34577" spans="6:6" x14ac:dyDescent="0.3">
      <c r="F34577" s="193"/>
    </row>
    <row r="34578" spans="6:6" x14ac:dyDescent="0.3">
      <c r="F34578" s="193"/>
    </row>
    <row r="34579" spans="6:6" x14ac:dyDescent="0.3">
      <c r="F34579" s="193"/>
    </row>
    <row r="34580" spans="6:6" x14ac:dyDescent="0.3">
      <c r="F34580" s="193"/>
    </row>
    <row r="34581" spans="6:6" x14ac:dyDescent="0.3">
      <c r="F34581" s="193"/>
    </row>
    <row r="34582" spans="6:6" x14ac:dyDescent="0.3">
      <c r="F34582" s="193"/>
    </row>
    <row r="34583" spans="6:6" x14ac:dyDescent="0.3">
      <c r="F34583" s="193"/>
    </row>
    <row r="34584" spans="6:6" x14ac:dyDescent="0.3">
      <c r="F34584" s="193"/>
    </row>
    <row r="34585" spans="6:6" x14ac:dyDescent="0.3">
      <c r="F34585" s="193"/>
    </row>
    <row r="34586" spans="6:6" x14ac:dyDescent="0.3">
      <c r="F34586" s="193"/>
    </row>
    <row r="34587" spans="6:6" x14ac:dyDescent="0.3">
      <c r="F34587" s="193"/>
    </row>
    <row r="34588" spans="6:6" x14ac:dyDescent="0.3">
      <c r="F34588" s="193"/>
    </row>
    <row r="34589" spans="6:6" x14ac:dyDescent="0.3">
      <c r="F34589" s="193"/>
    </row>
    <row r="34590" spans="6:6" x14ac:dyDescent="0.3">
      <c r="F34590" s="193"/>
    </row>
    <row r="34591" spans="6:6" x14ac:dyDescent="0.3">
      <c r="F34591" s="193"/>
    </row>
    <row r="34592" spans="6:6" x14ac:dyDescent="0.3">
      <c r="F34592" s="193"/>
    </row>
    <row r="34593" spans="6:6" x14ac:dyDescent="0.3">
      <c r="F34593" s="193"/>
    </row>
    <row r="34594" spans="6:6" x14ac:dyDescent="0.3">
      <c r="F34594" s="193"/>
    </row>
    <row r="34595" spans="6:6" x14ac:dyDescent="0.3">
      <c r="F34595" s="193"/>
    </row>
    <row r="34596" spans="6:6" x14ac:dyDescent="0.3">
      <c r="F34596" s="193"/>
    </row>
    <row r="34597" spans="6:6" x14ac:dyDescent="0.3">
      <c r="F34597" s="193"/>
    </row>
    <row r="34598" spans="6:6" x14ac:dyDescent="0.3">
      <c r="F34598" s="193"/>
    </row>
    <row r="34599" spans="6:6" x14ac:dyDescent="0.3">
      <c r="F34599" s="193"/>
    </row>
    <row r="34600" spans="6:6" x14ac:dyDescent="0.3">
      <c r="F34600" s="193"/>
    </row>
    <row r="34601" spans="6:6" x14ac:dyDescent="0.3">
      <c r="F34601" s="193"/>
    </row>
    <row r="34602" spans="6:6" x14ac:dyDescent="0.3">
      <c r="F34602" s="193"/>
    </row>
    <row r="34603" spans="6:6" x14ac:dyDescent="0.3">
      <c r="F34603" s="193"/>
    </row>
    <row r="34604" spans="6:6" x14ac:dyDescent="0.3">
      <c r="F34604" s="193"/>
    </row>
    <row r="34605" spans="6:6" x14ac:dyDescent="0.3">
      <c r="F34605" s="193"/>
    </row>
    <row r="34606" spans="6:6" x14ac:dyDescent="0.3">
      <c r="F34606" s="193"/>
    </row>
    <row r="34607" spans="6:6" x14ac:dyDescent="0.3">
      <c r="F34607" s="193"/>
    </row>
    <row r="34608" spans="6:6" x14ac:dyDescent="0.3">
      <c r="F34608" s="193"/>
    </row>
    <row r="34609" spans="6:6" x14ac:dyDescent="0.3">
      <c r="F34609" s="193"/>
    </row>
    <row r="34610" spans="6:6" x14ac:dyDescent="0.3">
      <c r="F34610" s="193"/>
    </row>
    <row r="34611" spans="6:6" x14ac:dyDescent="0.3">
      <c r="F34611" s="193"/>
    </row>
    <row r="34612" spans="6:6" x14ac:dyDescent="0.3">
      <c r="F34612" s="193"/>
    </row>
    <row r="34613" spans="6:6" x14ac:dyDescent="0.3">
      <c r="F34613" s="193"/>
    </row>
    <row r="34614" spans="6:6" x14ac:dyDescent="0.3">
      <c r="F34614" s="193"/>
    </row>
    <row r="34615" spans="6:6" x14ac:dyDescent="0.3">
      <c r="F34615" s="193"/>
    </row>
    <row r="34616" spans="6:6" x14ac:dyDescent="0.3">
      <c r="F34616" s="193"/>
    </row>
    <row r="34617" spans="6:6" x14ac:dyDescent="0.3">
      <c r="F34617" s="193"/>
    </row>
    <row r="34618" spans="6:6" x14ac:dyDescent="0.3">
      <c r="F34618" s="193"/>
    </row>
    <row r="34619" spans="6:6" x14ac:dyDescent="0.3">
      <c r="F34619" s="193"/>
    </row>
    <row r="34620" spans="6:6" x14ac:dyDescent="0.3">
      <c r="F34620" s="193"/>
    </row>
    <row r="34621" spans="6:6" x14ac:dyDescent="0.3">
      <c r="F34621" s="193"/>
    </row>
    <row r="34622" spans="6:6" x14ac:dyDescent="0.3">
      <c r="F34622" s="193"/>
    </row>
    <row r="34623" spans="6:6" x14ac:dyDescent="0.3">
      <c r="F34623" s="193"/>
    </row>
    <row r="34624" spans="6:6" x14ac:dyDescent="0.3">
      <c r="F34624" s="193"/>
    </row>
    <row r="34625" spans="6:6" x14ac:dyDescent="0.3">
      <c r="F34625" s="193"/>
    </row>
    <row r="34626" spans="6:6" x14ac:dyDescent="0.3">
      <c r="F34626" s="193"/>
    </row>
    <row r="34627" spans="6:6" x14ac:dyDescent="0.3">
      <c r="F34627" s="193"/>
    </row>
    <row r="34628" spans="6:6" x14ac:dyDescent="0.3">
      <c r="F34628" s="193"/>
    </row>
    <row r="34629" spans="6:6" x14ac:dyDescent="0.3">
      <c r="F34629" s="193"/>
    </row>
    <row r="34630" spans="6:6" x14ac:dyDescent="0.3">
      <c r="F34630" s="193"/>
    </row>
    <row r="34631" spans="6:6" x14ac:dyDescent="0.3">
      <c r="F34631" s="193"/>
    </row>
    <row r="34632" spans="6:6" x14ac:dyDescent="0.3">
      <c r="F34632" s="193"/>
    </row>
    <row r="34633" spans="6:6" x14ac:dyDescent="0.3">
      <c r="F34633" s="193"/>
    </row>
    <row r="34634" spans="6:6" x14ac:dyDescent="0.3">
      <c r="F34634" s="193"/>
    </row>
    <row r="34635" spans="6:6" x14ac:dyDescent="0.3">
      <c r="F34635" s="193"/>
    </row>
    <row r="34636" spans="6:6" x14ac:dyDescent="0.3">
      <c r="F34636" s="193"/>
    </row>
    <row r="34637" spans="6:6" x14ac:dyDescent="0.3">
      <c r="F34637" s="193"/>
    </row>
    <row r="34638" spans="6:6" x14ac:dyDescent="0.3">
      <c r="F34638" s="193"/>
    </row>
    <row r="34639" spans="6:6" x14ac:dyDescent="0.3">
      <c r="F34639" s="193"/>
    </row>
    <row r="34640" spans="6:6" x14ac:dyDescent="0.3">
      <c r="F34640" s="193"/>
    </row>
    <row r="34641" spans="6:6" x14ac:dyDescent="0.3">
      <c r="F34641" s="193"/>
    </row>
    <row r="34642" spans="6:6" x14ac:dyDescent="0.3">
      <c r="F34642" s="193"/>
    </row>
    <row r="34643" spans="6:6" x14ac:dyDescent="0.3">
      <c r="F34643" s="193"/>
    </row>
    <row r="34644" spans="6:6" x14ac:dyDescent="0.3">
      <c r="F34644" s="193"/>
    </row>
    <row r="34645" spans="6:6" x14ac:dyDescent="0.3">
      <c r="F34645" s="193"/>
    </row>
    <row r="34646" spans="6:6" x14ac:dyDescent="0.3">
      <c r="F34646" s="193"/>
    </row>
    <row r="34647" spans="6:6" x14ac:dyDescent="0.3">
      <c r="F34647" s="193"/>
    </row>
    <row r="34648" spans="6:6" x14ac:dyDescent="0.3">
      <c r="F34648" s="193"/>
    </row>
    <row r="34649" spans="6:6" x14ac:dyDescent="0.3">
      <c r="F34649" s="193"/>
    </row>
    <row r="34650" spans="6:6" x14ac:dyDescent="0.3">
      <c r="F34650" s="193"/>
    </row>
    <row r="34651" spans="6:6" x14ac:dyDescent="0.3">
      <c r="F34651" s="193"/>
    </row>
    <row r="34652" spans="6:6" x14ac:dyDescent="0.3">
      <c r="F34652" s="193"/>
    </row>
    <row r="34653" spans="6:6" x14ac:dyDescent="0.3">
      <c r="F34653" s="193"/>
    </row>
    <row r="34654" spans="6:6" x14ac:dyDescent="0.3">
      <c r="F34654" s="193"/>
    </row>
    <row r="34655" spans="6:6" x14ac:dyDescent="0.3">
      <c r="F34655" s="193"/>
    </row>
    <row r="34656" spans="6:6" x14ac:dyDescent="0.3">
      <c r="F34656" s="193"/>
    </row>
    <row r="34657" spans="6:6" x14ac:dyDescent="0.3">
      <c r="F34657" s="193"/>
    </row>
    <row r="34658" spans="6:6" x14ac:dyDescent="0.3">
      <c r="F34658" s="193"/>
    </row>
    <row r="34659" spans="6:6" x14ac:dyDescent="0.3">
      <c r="F34659" s="193"/>
    </row>
    <row r="34660" spans="6:6" x14ac:dyDescent="0.3">
      <c r="F34660" s="193"/>
    </row>
    <row r="34661" spans="6:6" x14ac:dyDescent="0.3">
      <c r="F34661" s="193"/>
    </row>
    <row r="34662" spans="6:6" x14ac:dyDescent="0.3">
      <c r="F34662" s="193"/>
    </row>
    <row r="34663" spans="6:6" x14ac:dyDescent="0.3">
      <c r="F34663" s="193"/>
    </row>
    <row r="34664" spans="6:6" x14ac:dyDescent="0.3">
      <c r="F34664" s="193"/>
    </row>
    <row r="34665" spans="6:6" x14ac:dyDescent="0.3">
      <c r="F34665" s="193"/>
    </row>
    <row r="34666" spans="6:6" x14ac:dyDescent="0.3">
      <c r="F34666" s="193"/>
    </row>
    <row r="34667" spans="6:6" x14ac:dyDescent="0.3">
      <c r="F34667" s="193"/>
    </row>
    <row r="34668" spans="6:6" x14ac:dyDescent="0.3">
      <c r="F34668" s="193"/>
    </row>
    <row r="34669" spans="6:6" x14ac:dyDescent="0.3">
      <c r="F34669" s="193"/>
    </row>
    <row r="34670" spans="6:6" x14ac:dyDescent="0.3">
      <c r="F34670" s="193"/>
    </row>
    <row r="34671" spans="6:6" x14ac:dyDescent="0.3">
      <c r="F34671" s="193"/>
    </row>
    <row r="34672" spans="6:6" x14ac:dyDescent="0.3">
      <c r="F34672" s="193"/>
    </row>
    <row r="34673" spans="6:6" x14ac:dyDescent="0.3">
      <c r="F34673" s="193"/>
    </row>
    <row r="34674" spans="6:6" x14ac:dyDescent="0.3">
      <c r="F34674" s="193"/>
    </row>
    <row r="34675" spans="6:6" x14ac:dyDescent="0.3">
      <c r="F34675" s="193"/>
    </row>
    <row r="34676" spans="6:6" x14ac:dyDescent="0.3">
      <c r="F34676" s="193"/>
    </row>
    <row r="34677" spans="6:6" x14ac:dyDescent="0.3">
      <c r="F34677" s="193"/>
    </row>
    <row r="34678" spans="6:6" x14ac:dyDescent="0.3">
      <c r="F34678" s="193"/>
    </row>
    <row r="34679" spans="6:6" x14ac:dyDescent="0.3">
      <c r="F34679" s="193"/>
    </row>
    <row r="34680" spans="6:6" x14ac:dyDescent="0.3">
      <c r="F34680" s="193"/>
    </row>
    <row r="34681" spans="6:6" x14ac:dyDescent="0.3">
      <c r="F34681" s="193"/>
    </row>
    <row r="34682" spans="6:6" x14ac:dyDescent="0.3">
      <c r="F34682" s="193"/>
    </row>
    <row r="34683" spans="6:6" x14ac:dyDescent="0.3">
      <c r="F34683" s="193"/>
    </row>
    <row r="34684" spans="6:6" x14ac:dyDescent="0.3">
      <c r="F34684" s="193"/>
    </row>
    <row r="34685" spans="6:6" x14ac:dyDescent="0.3">
      <c r="F34685" s="193"/>
    </row>
    <row r="34686" spans="6:6" x14ac:dyDescent="0.3">
      <c r="F34686" s="193"/>
    </row>
    <row r="34687" spans="6:6" x14ac:dyDescent="0.3">
      <c r="F34687" s="193"/>
    </row>
    <row r="34688" spans="6:6" x14ac:dyDescent="0.3">
      <c r="F34688" s="193"/>
    </row>
    <row r="34689" spans="6:6" x14ac:dyDescent="0.3">
      <c r="F34689" s="193"/>
    </row>
    <row r="34690" spans="6:6" x14ac:dyDescent="0.3">
      <c r="F34690" s="193"/>
    </row>
    <row r="34691" spans="6:6" x14ac:dyDescent="0.3">
      <c r="F34691" s="193"/>
    </row>
    <row r="34692" spans="6:6" x14ac:dyDescent="0.3">
      <c r="F34692" s="193"/>
    </row>
    <row r="34693" spans="6:6" x14ac:dyDescent="0.3">
      <c r="F34693" s="193"/>
    </row>
    <row r="34694" spans="6:6" x14ac:dyDescent="0.3">
      <c r="F34694" s="193"/>
    </row>
    <row r="34695" spans="6:6" x14ac:dyDescent="0.3">
      <c r="F34695" s="193"/>
    </row>
    <row r="34696" spans="6:6" x14ac:dyDescent="0.3">
      <c r="F34696" s="193"/>
    </row>
    <row r="34697" spans="6:6" x14ac:dyDescent="0.3">
      <c r="F34697" s="193"/>
    </row>
    <row r="34698" spans="6:6" x14ac:dyDescent="0.3">
      <c r="F34698" s="193"/>
    </row>
    <row r="34699" spans="6:6" x14ac:dyDescent="0.3">
      <c r="F34699" s="193"/>
    </row>
    <row r="34700" spans="6:6" x14ac:dyDescent="0.3">
      <c r="F34700" s="193"/>
    </row>
    <row r="34701" spans="6:6" x14ac:dyDescent="0.3">
      <c r="F34701" s="193"/>
    </row>
    <row r="34702" spans="6:6" x14ac:dyDescent="0.3">
      <c r="F34702" s="193"/>
    </row>
    <row r="34703" spans="6:6" x14ac:dyDescent="0.3">
      <c r="F34703" s="193"/>
    </row>
    <row r="34704" spans="6:6" x14ac:dyDescent="0.3">
      <c r="F34704" s="193"/>
    </row>
    <row r="34705" spans="6:6" x14ac:dyDescent="0.3">
      <c r="F34705" s="193"/>
    </row>
    <row r="34706" spans="6:6" x14ac:dyDescent="0.3">
      <c r="F34706" s="193"/>
    </row>
    <row r="34707" spans="6:6" x14ac:dyDescent="0.3">
      <c r="F34707" s="193"/>
    </row>
    <row r="34708" spans="6:6" x14ac:dyDescent="0.3">
      <c r="F34708" s="193"/>
    </row>
    <row r="34709" spans="6:6" x14ac:dyDescent="0.3">
      <c r="F34709" s="193"/>
    </row>
    <row r="34710" spans="6:6" x14ac:dyDescent="0.3">
      <c r="F34710" s="193"/>
    </row>
    <row r="34711" spans="6:6" x14ac:dyDescent="0.3">
      <c r="F34711" s="193"/>
    </row>
    <row r="34712" spans="6:6" x14ac:dyDescent="0.3">
      <c r="F34712" s="193"/>
    </row>
    <row r="34713" spans="6:6" x14ac:dyDescent="0.3">
      <c r="F34713" s="193"/>
    </row>
    <row r="34714" spans="6:6" x14ac:dyDescent="0.3">
      <c r="F34714" s="193"/>
    </row>
    <row r="34715" spans="6:6" x14ac:dyDescent="0.3">
      <c r="F34715" s="193"/>
    </row>
    <row r="34716" spans="6:6" x14ac:dyDescent="0.3">
      <c r="F34716" s="193"/>
    </row>
    <row r="34717" spans="6:6" x14ac:dyDescent="0.3">
      <c r="F34717" s="193"/>
    </row>
    <row r="34718" spans="6:6" x14ac:dyDescent="0.3">
      <c r="F34718" s="193"/>
    </row>
    <row r="34719" spans="6:6" x14ac:dyDescent="0.3">
      <c r="F34719" s="193"/>
    </row>
    <row r="34720" spans="6:6" x14ac:dyDescent="0.3">
      <c r="F34720" s="193"/>
    </row>
    <row r="34721" spans="6:6" x14ac:dyDescent="0.3">
      <c r="F34721" s="193"/>
    </row>
    <row r="34722" spans="6:6" x14ac:dyDescent="0.3">
      <c r="F34722" s="193"/>
    </row>
    <row r="34723" spans="6:6" x14ac:dyDescent="0.3">
      <c r="F34723" s="193"/>
    </row>
    <row r="34724" spans="6:6" x14ac:dyDescent="0.3">
      <c r="F34724" s="193"/>
    </row>
    <row r="34725" spans="6:6" x14ac:dyDescent="0.3">
      <c r="F34725" s="193"/>
    </row>
    <row r="34726" spans="6:6" x14ac:dyDescent="0.3">
      <c r="F34726" s="193"/>
    </row>
    <row r="34727" spans="6:6" x14ac:dyDescent="0.3">
      <c r="F34727" s="193"/>
    </row>
    <row r="34728" spans="6:6" x14ac:dyDescent="0.3">
      <c r="F34728" s="193"/>
    </row>
    <row r="34729" spans="6:6" x14ac:dyDescent="0.3">
      <c r="F34729" s="193"/>
    </row>
    <row r="34730" spans="6:6" x14ac:dyDescent="0.3">
      <c r="F34730" s="193"/>
    </row>
    <row r="34731" spans="6:6" x14ac:dyDescent="0.3">
      <c r="F34731" s="193"/>
    </row>
    <row r="34732" spans="6:6" x14ac:dyDescent="0.3">
      <c r="F34732" s="193"/>
    </row>
    <row r="34733" spans="6:6" x14ac:dyDescent="0.3">
      <c r="F34733" s="193"/>
    </row>
    <row r="34734" spans="6:6" x14ac:dyDescent="0.3">
      <c r="F34734" s="193"/>
    </row>
    <row r="34735" spans="6:6" x14ac:dyDescent="0.3">
      <c r="F34735" s="193"/>
    </row>
    <row r="34736" spans="6:6" x14ac:dyDescent="0.3">
      <c r="F34736" s="193"/>
    </row>
    <row r="34737" spans="6:6" x14ac:dyDescent="0.3">
      <c r="F34737" s="193"/>
    </row>
    <row r="34738" spans="6:6" x14ac:dyDescent="0.3">
      <c r="F34738" s="193"/>
    </row>
    <row r="34739" spans="6:6" x14ac:dyDescent="0.3">
      <c r="F34739" s="193"/>
    </row>
    <row r="34740" spans="6:6" x14ac:dyDescent="0.3">
      <c r="F34740" s="193"/>
    </row>
    <row r="34741" spans="6:6" x14ac:dyDescent="0.3">
      <c r="F34741" s="193"/>
    </row>
    <row r="34742" spans="6:6" x14ac:dyDescent="0.3">
      <c r="F34742" s="193"/>
    </row>
    <row r="34743" spans="6:6" x14ac:dyDescent="0.3">
      <c r="F34743" s="193"/>
    </row>
    <row r="34744" spans="6:6" x14ac:dyDescent="0.3">
      <c r="F34744" s="193"/>
    </row>
    <row r="34745" spans="6:6" x14ac:dyDescent="0.3">
      <c r="F34745" s="193"/>
    </row>
    <row r="34746" spans="6:6" x14ac:dyDescent="0.3">
      <c r="F34746" s="193"/>
    </row>
    <row r="34747" spans="6:6" x14ac:dyDescent="0.3">
      <c r="F34747" s="193"/>
    </row>
    <row r="34748" spans="6:6" x14ac:dyDescent="0.3">
      <c r="F34748" s="193"/>
    </row>
    <row r="34749" spans="6:6" x14ac:dyDescent="0.3">
      <c r="F34749" s="193"/>
    </row>
    <row r="34750" spans="6:6" x14ac:dyDescent="0.3">
      <c r="F34750" s="193"/>
    </row>
    <row r="34751" spans="6:6" x14ac:dyDescent="0.3">
      <c r="F34751" s="193"/>
    </row>
    <row r="34752" spans="6:6" x14ac:dyDescent="0.3">
      <c r="F34752" s="193"/>
    </row>
    <row r="34753" spans="6:6" x14ac:dyDescent="0.3">
      <c r="F34753" s="193"/>
    </row>
    <row r="34754" spans="6:6" x14ac:dyDescent="0.3">
      <c r="F34754" s="193"/>
    </row>
    <row r="34755" spans="6:6" x14ac:dyDescent="0.3">
      <c r="F34755" s="193"/>
    </row>
    <row r="34756" spans="6:6" x14ac:dyDescent="0.3">
      <c r="F34756" s="193"/>
    </row>
    <row r="34757" spans="6:6" x14ac:dyDescent="0.3">
      <c r="F34757" s="193"/>
    </row>
    <row r="34758" spans="6:6" x14ac:dyDescent="0.3">
      <c r="F34758" s="193"/>
    </row>
    <row r="34759" spans="6:6" x14ac:dyDescent="0.3">
      <c r="F34759" s="193"/>
    </row>
    <row r="34760" spans="6:6" x14ac:dyDescent="0.3">
      <c r="F34760" s="193"/>
    </row>
    <row r="34761" spans="6:6" x14ac:dyDescent="0.3">
      <c r="F34761" s="193"/>
    </row>
    <row r="34762" spans="6:6" x14ac:dyDescent="0.3">
      <c r="F34762" s="193"/>
    </row>
    <row r="34763" spans="6:6" x14ac:dyDescent="0.3">
      <c r="F34763" s="193"/>
    </row>
    <row r="34764" spans="6:6" x14ac:dyDescent="0.3">
      <c r="F34764" s="193"/>
    </row>
    <row r="34765" spans="6:6" x14ac:dyDescent="0.3">
      <c r="F34765" s="193"/>
    </row>
    <row r="34766" spans="6:6" x14ac:dyDescent="0.3">
      <c r="F34766" s="193"/>
    </row>
    <row r="34767" spans="6:6" x14ac:dyDescent="0.3">
      <c r="F34767" s="193"/>
    </row>
    <row r="34768" spans="6:6" x14ac:dyDescent="0.3">
      <c r="F34768" s="193"/>
    </row>
    <row r="34769" spans="6:6" x14ac:dyDescent="0.3">
      <c r="F34769" s="193"/>
    </row>
    <row r="34770" spans="6:6" x14ac:dyDescent="0.3">
      <c r="F34770" s="193"/>
    </row>
    <row r="34771" spans="6:6" x14ac:dyDescent="0.3">
      <c r="F34771" s="193"/>
    </row>
    <row r="34772" spans="6:6" x14ac:dyDescent="0.3">
      <c r="F34772" s="193"/>
    </row>
    <row r="34773" spans="6:6" x14ac:dyDescent="0.3">
      <c r="F34773" s="193"/>
    </row>
    <row r="34774" spans="6:6" x14ac:dyDescent="0.3">
      <c r="F34774" s="193"/>
    </row>
    <row r="34775" spans="6:6" x14ac:dyDescent="0.3">
      <c r="F34775" s="193"/>
    </row>
    <row r="34776" spans="6:6" x14ac:dyDescent="0.3">
      <c r="F34776" s="193"/>
    </row>
    <row r="34777" spans="6:6" x14ac:dyDescent="0.3">
      <c r="F34777" s="193"/>
    </row>
    <row r="34778" spans="6:6" x14ac:dyDescent="0.3">
      <c r="F34778" s="193"/>
    </row>
    <row r="34779" spans="6:6" x14ac:dyDescent="0.3">
      <c r="F34779" s="193"/>
    </row>
    <row r="34780" spans="6:6" x14ac:dyDescent="0.3">
      <c r="F34780" s="193"/>
    </row>
    <row r="34781" spans="6:6" x14ac:dyDescent="0.3">
      <c r="F34781" s="193"/>
    </row>
    <row r="34782" spans="6:6" x14ac:dyDescent="0.3">
      <c r="F34782" s="193"/>
    </row>
    <row r="34783" spans="6:6" x14ac:dyDescent="0.3">
      <c r="F34783" s="193"/>
    </row>
    <row r="34784" spans="6:6" x14ac:dyDescent="0.3">
      <c r="F34784" s="193"/>
    </row>
    <row r="34785" spans="6:6" x14ac:dyDescent="0.3">
      <c r="F34785" s="193"/>
    </row>
    <row r="34786" spans="6:6" x14ac:dyDescent="0.3">
      <c r="F34786" s="193"/>
    </row>
    <row r="34787" spans="6:6" x14ac:dyDescent="0.3">
      <c r="F34787" s="193"/>
    </row>
    <row r="34788" spans="6:6" x14ac:dyDescent="0.3">
      <c r="F34788" s="193"/>
    </row>
    <row r="34789" spans="6:6" x14ac:dyDescent="0.3">
      <c r="F34789" s="193"/>
    </row>
    <row r="34790" spans="6:6" x14ac:dyDescent="0.3">
      <c r="F34790" s="193"/>
    </row>
    <row r="34791" spans="6:6" x14ac:dyDescent="0.3">
      <c r="F34791" s="193"/>
    </row>
    <row r="34792" spans="6:6" x14ac:dyDescent="0.3">
      <c r="F34792" s="193"/>
    </row>
    <row r="34793" spans="6:6" x14ac:dyDescent="0.3">
      <c r="F34793" s="193"/>
    </row>
    <row r="34794" spans="6:6" x14ac:dyDescent="0.3">
      <c r="F34794" s="193"/>
    </row>
    <row r="34795" spans="6:6" x14ac:dyDescent="0.3">
      <c r="F34795" s="193"/>
    </row>
    <row r="34796" spans="6:6" x14ac:dyDescent="0.3">
      <c r="F34796" s="193"/>
    </row>
    <row r="34797" spans="6:6" x14ac:dyDescent="0.3">
      <c r="F34797" s="193"/>
    </row>
    <row r="34798" spans="6:6" x14ac:dyDescent="0.3">
      <c r="F34798" s="193"/>
    </row>
    <row r="34799" spans="6:6" x14ac:dyDescent="0.3">
      <c r="F34799" s="193"/>
    </row>
    <row r="34800" spans="6:6" x14ac:dyDescent="0.3">
      <c r="F34800" s="193"/>
    </row>
    <row r="34801" spans="6:6" x14ac:dyDescent="0.3">
      <c r="F34801" s="193"/>
    </row>
    <row r="34802" spans="6:6" x14ac:dyDescent="0.3">
      <c r="F34802" s="193"/>
    </row>
    <row r="34803" spans="6:6" x14ac:dyDescent="0.3">
      <c r="F34803" s="193"/>
    </row>
    <row r="34804" spans="6:6" x14ac:dyDescent="0.3">
      <c r="F34804" s="193"/>
    </row>
    <row r="34805" spans="6:6" x14ac:dyDescent="0.3">
      <c r="F34805" s="193"/>
    </row>
    <row r="34806" spans="6:6" x14ac:dyDescent="0.3">
      <c r="F34806" s="193"/>
    </row>
    <row r="34807" spans="6:6" x14ac:dyDescent="0.3">
      <c r="F34807" s="193"/>
    </row>
    <row r="34808" spans="6:6" x14ac:dyDescent="0.3">
      <c r="F34808" s="193"/>
    </row>
    <row r="34809" spans="6:6" x14ac:dyDescent="0.3">
      <c r="F34809" s="193"/>
    </row>
    <row r="34810" spans="6:6" x14ac:dyDescent="0.3">
      <c r="F34810" s="193"/>
    </row>
    <row r="34811" spans="6:6" x14ac:dyDescent="0.3">
      <c r="F34811" s="193"/>
    </row>
    <row r="34812" spans="6:6" x14ac:dyDescent="0.3">
      <c r="F34812" s="193"/>
    </row>
    <row r="34813" spans="6:6" x14ac:dyDescent="0.3">
      <c r="F34813" s="193"/>
    </row>
    <row r="34814" spans="6:6" x14ac:dyDescent="0.3">
      <c r="F34814" s="193"/>
    </row>
    <row r="34815" spans="6:6" x14ac:dyDescent="0.3">
      <c r="F34815" s="193"/>
    </row>
    <row r="34816" spans="6:6" x14ac:dyDescent="0.3">
      <c r="F34816" s="193"/>
    </row>
    <row r="34817" spans="6:6" x14ac:dyDescent="0.3">
      <c r="F34817" s="193"/>
    </row>
    <row r="34818" spans="6:6" x14ac:dyDescent="0.3">
      <c r="F34818" s="193"/>
    </row>
    <row r="34819" spans="6:6" x14ac:dyDescent="0.3">
      <c r="F34819" s="193"/>
    </row>
    <row r="34820" spans="6:6" x14ac:dyDescent="0.3">
      <c r="F34820" s="193"/>
    </row>
    <row r="34821" spans="6:6" x14ac:dyDescent="0.3">
      <c r="F34821" s="193"/>
    </row>
    <row r="34822" spans="6:6" x14ac:dyDescent="0.3">
      <c r="F34822" s="193"/>
    </row>
    <row r="34823" spans="6:6" x14ac:dyDescent="0.3">
      <c r="F34823" s="193"/>
    </row>
    <row r="34824" spans="6:6" x14ac:dyDescent="0.3">
      <c r="F34824" s="193"/>
    </row>
    <row r="34825" spans="6:6" x14ac:dyDescent="0.3">
      <c r="F34825" s="193"/>
    </row>
    <row r="34826" spans="6:6" x14ac:dyDescent="0.3">
      <c r="F34826" s="193"/>
    </row>
    <row r="34827" spans="6:6" x14ac:dyDescent="0.3">
      <c r="F34827" s="193"/>
    </row>
    <row r="34828" spans="6:6" x14ac:dyDescent="0.3">
      <c r="F34828" s="193"/>
    </row>
    <row r="34829" spans="6:6" x14ac:dyDescent="0.3">
      <c r="F34829" s="193"/>
    </row>
    <row r="34830" spans="6:6" x14ac:dyDescent="0.3">
      <c r="F34830" s="193"/>
    </row>
    <row r="34831" spans="6:6" x14ac:dyDescent="0.3">
      <c r="F34831" s="193"/>
    </row>
    <row r="34832" spans="6:6" x14ac:dyDescent="0.3">
      <c r="F34832" s="193"/>
    </row>
    <row r="34833" spans="6:6" x14ac:dyDescent="0.3">
      <c r="F34833" s="193"/>
    </row>
    <row r="34834" spans="6:6" x14ac:dyDescent="0.3">
      <c r="F34834" s="193"/>
    </row>
    <row r="34835" spans="6:6" x14ac:dyDescent="0.3">
      <c r="F34835" s="193"/>
    </row>
    <row r="34836" spans="6:6" x14ac:dyDescent="0.3">
      <c r="F34836" s="193"/>
    </row>
    <row r="34837" spans="6:6" x14ac:dyDescent="0.3">
      <c r="F34837" s="193"/>
    </row>
    <row r="34838" spans="6:6" x14ac:dyDescent="0.3">
      <c r="F34838" s="193"/>
    </row>
    <row r="34839" spans="6:6" x14ac:dyDescent="0.3">
      <c r="F34839" s="193"/>
    </row>
    <row r="34840" spans="6:6" x14ac:dyDescent="0.3">
      <c r="F34840" s="193"/>
    </row>
    <row r="34841" spans="6:6" x14ac:dyDescent="0.3">
      <c r="F34841" s="193"/>
    </row>
    <row r="34842" spans="6:6" x14ac:dyDescent="0.3">
      <c r="F34842" s="193"/>
    </row>
    <row r="34843" spans="6:6" x14ac:dyDescent="0.3">
      <c r="F34843" s="193"/>
    </row>
    <row r="34844" spans="6:6" x14ac:dyDescent="0.3">
      <c r="F34844" s="193"/>
    </row>
    <row r="34845" spans="6:6" x14ac:dyDescent="0.3">
      <c r="F34845" s="193"/>
    </row>
    <row r="34846" spans="6:6" x14ac:dyDescent="0.3">
      <c r="F34846" s="193"/>
    </row>
    <row r="34847" spans="6:6" x14ac:dyDescent="0.3">
      <c r="F34847" s="193"/>
    </row>
    <row r="34848" spans="6:6" x14ac:dyDescent="0.3">
      <c r="F34848" s="193"/>
    </row>
    <row r="34849" spans="6:6" x14ac:dyDescent="0.3">
      <c r="F34849" s="193"/>
    </row>
    <row r="34850" spans="6:6" x14ac:dyDescent="0.3">
      <c r="F34850" s="193"/>
    </row>
    <row r="34851" spans="6:6" x14ac:dyDescent="0.3">
      <c r="F34851" s="193"/>
    </row>
    <row r="34852" spans="6:6" x14ac:dyDescent="0.3">
      <c r="F34852" s="193"/>
    </row>
    <row r="34853" spans="6:6" x14ac:dyDescent="0.3">
      <c r="F34853" s="193"/>
    </row>
    <row r="34854" spans="6:6" x14ac:dyDescent="0.3">
      <c r="F34854" s="193"/>
    </row>
    <row r="34855" spans="6:6" x14ac:dyDescent="0.3">
      <c r="F34855" s="193"/>
    </row>
    <row r="34856" spans="6:6" x14ac:dyDescent="0.3">
      <c r="F34856" s="193"/>
    </row>
    <row r="34857" spans="6:6" x14ac:dyDescent="0.3">
      <c r="F34857" s="193"/>
    </row>
    <row r="34858" spans="6:6" x14ac:dyDescent="0.3">
      <c r="F34858" s="193"/>
    </row>
    <row r="34859" spans="6:6" x14ac:dyDescent="0.3">
      <c r="F34859" s="193"/>
    </row>
    <row r="34860" spans="6:6" x14ac:dyDescent="0.3">
      <c r="F34860" s="193"/>
    </row>
    <row r="34861" spans="6:6" x14ac:dyDescent="0.3">
      <c r="F34861" s="193"/>
    </row>
    <row r="34862" spans="6:6" x14ac:dyDescent="0.3">
      <c r="F34862" s="193"/>
    </row>
    <row r="34863" spans="6:6" x14ac:dyDescent="0.3">
      <c r="F34863" s="193"/>
    </row>
    <row r="34864" spans="6:6" x14ac:dyDescent="0.3">
      <c r="F34864" s="193"/>
    </row>
    <row r="34865" spans="6:6" x14ac:dyDescent="0.3">
      <c r="F34865" s="193"/>
    </row>
    <row r="34866" spans="6:6" x14ac:dyDescent="0.3">
      <c r="F34866" s="193"/>
    </row>
    <row r="34867" spans="6:6" x14ac:dyDescent="0.3">
      <c r="F34867" s="193"/>
    </row>
    <row r="34868" spans="6:6" x14ac:dyDescent="0.3">
      <c r="F34868" s="193"/>
    </row>
    <row r="34869" spans="6:6" x14ac:dyDescent="0.3">
      <c r="F34869" s="193"/>
    </row>
    <row r="34870" spans="6:6" x14ac:dyDescent="0.3">
      <c r="F34870" s="193"/>
    </row>
    <row r="34871" spans="6:6" x14ac:dyDescent="0.3">
      <c r="F34871" s="193"/>
    </row>
    <row r="34872" spans="6:6" x14ac:dyDescent="0.3">
      <c r="F34872" s="193"/>
    </row>
    <row r="34873" spans="6:6" x14ac:dyDescent="0.3">
      <c r="F34873" s="193"/>
    </row>
    <row r="34874" spans="6:6" x14ac:dyDescent="0.3">
      <c r="F34874" s="193"/>
    </row>
    <row r="34875" spans="6:6" x14ac:dyDescent="0.3">
      <c r="F34875" s="193"/>
    </row>
    <row r="34876" spans="6:6" x14ac:dyDescent="0.3">
      <c r="F34876" s="193"/>
    </row>
    <row r="34877" spans="6:6" x14ac:dyDescent="0.3">
      <c r="F34877" s="193"/>
    </row>
    <row r="34878" spans="6:6" x14ac:dyDescent="0.3">
      <c r="F34878" s="193"/>
    </row>
    <row r="34879" spans="6:6" x14ac:dyDescent="0.3">
      <c r="F34879" s="193"/>
    </row>
    <row r="34880" spans="6:6" x14ac:dyDescent="0.3">
      <c r="F34880" s="193"/>
    </row>
    <row r="34881" spans="6:6" x14ac:dyDescent="0.3">
      <c r="F34881" s="193"/>
    </row>
    <row r="34882" spans="6:6" x14ac:dyDescent="0.3">
      <c r="F34882" s="193"/>
    </row>
    <row r="34883" spans="6:6" x14ac:dyDescent="0.3">
      <c r="F34883" s="193"/>
    </row>
    <row r="34884" spans="6:6" x14ac:dyDescent="0.3">
      <c r="F34884" s="193"/>
    </row>
    <row r="34885" spans="6:6" x14ac:dyDescent="0.3">
      <c r="F34885" s="193"/>
    </row>
    <row r="34886" spans="6:6" x14ac:dyDescent="0.3">
      <c r="F34886" s="193"/>
    </row>
    <row r="34887" spans="6:6" x14ac:dyDescent="0.3">
      <c r="F34887" s="193"/>
    </row>
    <row r="34888" spans="6:6" x14ac:dyDescent="0.3">
      <c r="F34888" s="193"/>
    </row>
    <row r="34889" spans="6:6" x14ac:dyDescent="0.3">
      <c r="F34889" s="193"/>
    </row>
    <row r="34890" spans="6:6" x14ac:dyDescent="0.3">
      <c r="F34890" s="193"/>
    </row>
    <row r="34891" spans="6:6" x14ac:dyDescent="0.3">
      <c r="F34891" s="193"/>
    </row>
    <row r="34892" spans="6:6" x14ac:dyDescent="0.3">
      <c r="F34892" s="193"/>
    </row>
    <row r="34893" spans="6:6" x14ac:dyDescent="0.3">
      <c r="F34893" s="193"/>
    </row>
    <row r="34894" spans="6:6" x14ac:dyDescent="0.3">
      <c r="F34894" s="193"/>
    </row>
    <row r="34895" spans="6:6" x14ac:dyDescent="0.3">
      <c r="F34895" s="193"/>
    </row>
    <row r="34896" spans="6:6" x14ac:dyDescent="0.3">
      <c r="F34896" s="193"/>
    </row>
    <row r="34897" spans="6:6" x14ac:dyDescent="0.3">
      <c r="F34897" s="193"/>
    </row>
    <row r="34898" spans="6:6" x14ac:dyDescent="0.3">
      <c r="F34898" s="193"/>
    </row>
    <row r="34899" spans="6:6" x14ac:dyDescent="0.3">
      <c r="F34899" s="193"/>
    </row>
    <row r="34900" spans="6:6" x14ac:dyDescent="0.3">
      <c r="F34900" s="193"/>
    </row>
    <row r="34901" spans="6:6" x14ac:dyDescent="0.3">
      <c r="F34901" s="193"/>
    </row>
    <row r="34902" spans="6:6" x14ac:dyDescent="0.3">
      <c r="F34902" s="193"/>
    </row>
    <row r="34903" spans="6:6" x14ac:dyDescent="0.3">
      <c r="F34903" s="193"/>
    </row>
    <row r="34904" spans="6:6" x14ac:dyDescent="0.3">
      <c r="F34904" s="193"/>
    </row>
    <row r="34905" spans="6:6" x14ac:dyDescent="0.3">
      <c r="F34905" s="193"/>
    </row>
    <row r="34906" spans="6:6" x14ac:dyDescent="0.3">
      <c r="F34906" s="193"/>
    </row>
    <row r="34907" spans="6:6" x14ac:dyDescent="0.3">
      <c r="F34907" s="193"/>
    </row>
    <row r="34908" spans="6:6" x14ac:dyDescent="0.3">
      <c r="F34908" s="193"/>
    </row>
    <row r="34909" spans="6:6" x14ac:dyDescent="0.3">
      <c r="F34909" s="193"/>
    </row>
    <row r="34910" spans="6:6" x14ac:dyDescent="0.3">
      <c r="F34910" s="193"/>
    </row>
    <row r="34911" spans="6:6" x14ac:dyDescent="0.3">
      <c r="F34911" s="193"/>
    </row>
    <row r="34912" spans="6:6" x14ac:dyDescent="0.3">
      <c r="F34912" s="193"/>
    </row>
    <row r="34913" spans="6:6" x14ac:dyDescent="0.3">
      <c r="F34913" s="193"/>
    </row>
    <row r="34914" spans="6:6" x14ac:dyDescent="0.3">
      <c r="F34914" s="193"/>
    </row>
    <row r="34915" spans="6:6" x14ac:dyDescent="0.3">
      <c r="F34915" s="193"/>
    </row>
    <row r="34916" spans="6:6" x14ac:dyDescent="0.3">
      <c r="F34916" s="193"/>
    </row>
    <row r="34917" spans="6:6" x14ac:dyDescent="0.3">
      <c r="F34917" s="193"/>
    </row>
    <row r="34918" spans="6:6" x14ac:dyDescent="0.3">
      <c r="F34918" s="193"/>
    </row>
    <row r="34919" spans="6:6" x14ac:dyDescent="0.3">
      <c r="F34919" s="193"/>
    </row>
    <row r="34920" spans="6:6" x14ac:dyDescent="0.3">
      <c r="F34920" s="193"/>
    </row>
    <row r="34921" spans="6:6" x14ac:dyDescent="0.3">
      <c r="F34921" s="193"/>
    </row>
    <row r="34922" spans="6:6" x14ac:dyDescent="0.3">
      <c r="F34922" s="193"/>
    </row>
    <row r="34923" spans="6:6" x14ac:dyDescent="0.3">
      <c r="F34923" s="193"/>
    </row>
    <row r="34924" spans="6:6" x14ac:dyDescent="0.3">
      <c r="F34924" s="193"/>
    </row>
    <row r="34925" spans="6:6" x14ac:dyDescent="0.3">
      <c r="F34925" s="193"/>
    </row>
    <row r="34926" spans="6:6" x14ac:dyDescent="0.3">
      <c r="F34926" s="193"/>
    </row>
    <row r="34927" spans="6:6" x14ac:dyDescent="0.3">
      <c r="F34927" s="193"/>
    </row>
    <row r="34928" spans="6:6" x14ac:dyDescent="0.3">
      <c r="F34928" s="193"/>
    </row>
    <row r="34929" spans="6:6" x14ac:dyDescent="0.3">
      <c r="F34929" s="193"/>
    </row>
    <row r="34930" spans="6:6" x14ac:dyDescent="0.3">
      <c r="F34930" s="193"/>
    </row>
    <row r="34931" spans="6:6" x14ac:dyDescent="0.3">
      <c r="F34931" s="193"/>
    </row>
    <row r="34932" spans="6:6" x14ac:dyDescent="0.3">
      <c r="F34932" s="193"/>
    </row>
    <row r="34933" spans="6:6" x14ac:dyDescent="0.3">
      <c r="F34933" s="193"/>
    </row>
    <row r="34934" spans="6:6" x14ac:dyDescent="0.3">
      <c r="F34934" s="193"/>
    </row>
    <row r="34935" spans="6:6" x14ac:dyDescent="0.3">
      <c r="F34935" s="193"/>
    </row>
    <row r="34936" spans="6:6" x14ac:dyDescent="0.3">
      <c r="F34936" s="193"/>
    </row>
    <row r="34937" spans="6:6" x14ac:dyDescent="0.3">
      <c r="F34937" s="193"/>
    </row>
    <row r="34938" spans="6:6" x14ac:dyDescent="0.3">
      <c r="F34938" s="193"/>
    </row>
    <row r="34939" spans="6:6" x14ac:dyDescent="0.3">
      <c r="F34939" s="193"/>
    </row>
    <row r="34940" spans="6:6" x14ac:dyDescent="0.3">
      <c r="F34940" s="193"/>
    </row>
    <row r="34941" spans="6:6" x14ac:dyDescent="0.3">
      <c r="F34941" s="193"/>
    </row>
    <row r="34942" spans="6:6" x14ac:dyDescent="0.3">
      <c r="F34942" s="193"/>
    </row>
    <row r="34943" spans="6:6" x14ac:dyDescent="0.3">
      <c r="F34943" s="193"/>
    </row>
    <row r="34944" spans="6:6" x14ac:dyDescent="0.3">
      <c r="F34944" s="193"/>
    </row>
    <row r="34945" spans="6:6" x14ac:dyDescent="0.3">
      <c r="F34945" s="193"/>
    </row>
    <row r="34946" spans="6:6" x14ac:dyDescent="0.3">
      <c r="F34946" s="193"/>
    </row>
    <row r="34947" spans="6:6" x14ac:dyDescent="0.3">
      <c r="F34947" s="193"/>
    </row>
    <row r="34948" spans="6:6" x14ac:dyDescent="0.3">
      <c r="F34948" s="193"/>
    </row>
    <row r="34949" spans="6:6" x14ac:dyDescent="0.3">
      <c r="F34949" s="193"/>
    </row>
    <row r="34950" spans="6:6" x14ac:dyDescent="0.3">
      <c r="F34950" s="193"/>
    </row>
    <row r="34951" spans="6:6" x14ac:dyDescent="0.3">
      <c r="F34951" s="193"/>
    </row>
    <row r="34952" spans="6:6" x14ac:dyDescent="0.3">
      <c r="F34952" s="193"/>
    </row>
    <row r="34953" spans="6:6" x14ac:dyDescent="0.3">
      <c r="F34953" s="193"/>
    </row>
    <row r="34954" spans="6:6" x14ac:dyDescent="0.3">
      <c r="F34954" s="193"/>
    </row>
    <row r="34955" spans="6:6" x14ac:dyDescent="0.3">
      <c r="F34955" s="193"/>
    </row>
    <row r="34956" spans="6:6" x14ac:dyDescent="0.3">
      <c r="F34956" s="193"/>
    </row>
    <row r="34957" spans="6:6" x14ac:dyDescent="0.3">
      <c r="F34957" s="193"/>
    </row>
    <row r="34958" spans="6:6" x14ac:dyDescent="0.3">
      <c r="F34958" s="193"/>
    </row>
    <row r="34959" spans="6:6" x14ac:dyDescent="0.3">
      <c r="F34959" s="193"/>
    </row>
    <row r="34960" spans="6:6" x14ac:dyDescent="0.3">
      <c r="F34960" s="193"/>
    </row>
    <row r="34961" spans="6:6" x14ac:dyDescent="0.3">
      <c r="F34961" s="193"/>
    </row>
    <row r="34962" spans="6:6" x14ac:dyDescent="0.3">
      <c r="F34962" s="193"/>
    </row>
    <row r="34963" spans="6:6" x14ac:dyDescent="0.3">
      <c r="F34963" s="193"/>
    </row>
    <row r="34964" spans="6:6" x14ac:dyDescent="0.3">
      <c r="F34964" s="193"/>
    </row>
    <row r="34965" spans="6:6" x14ac:dyDescent="0.3">
      <c r="F34965" s="193"/>
    </row>
    <row r="34966" spans="6:6" x14ac:dyDescent="0.3">
      <c r="F34966" s="193"/>
    </row>
    <row r="34967" spans="6:6" x14ac:dyDescent="0.3">
      <c r="F34967" s="193"/>
    </row>
    <row r="34968" spans="6:6" x14ac:dyDescent="0.3">
      <c r="F34968" s="193"/>
    </row>
    <row r="34969" spans="6:6" x14ac:dyDescent="0.3">
      <c r="F34969" s="193"/>
    </row>
    <row r="34970" spans="6:6" x14ac:dyDescent="0.3">
      <c r="F34970" s="193"/>
    </row>
    <row r="34971" spans="6:6" x14ac:dyDescent="0.3">
      <c r="F34971" s="193"/>
    </row>
    <row r="34972" spans="6:6" x14ac:dyDescent="0.3">
      <c r="F34972" s="193"/>
    </row>
    <row r="34973" spans="6:6" x14ac:dyDescent="0.3">
      <c r="F34973" s="193"/>
    </row>
    <row r="34974" spans="6:6" x14ac:dyDescent="0.3">
      <c r="F34974" s="193"/>
    </row>
    <row r="34975" spans="6:6" x14ac:dyDescent="0.3">
      <c r="F34975" s="193"/>
    </row>
    <row r="34976" spans="6:6" x14ac:dyDescent="0.3">
      <c r="F34976" s="193"/>
    </row>
    <row r="34977" spans="6:6" x14ac:dyDescent="0.3">
      <c r="F34977" s="193"/>
    </row>
    <row r="34978" spans="6:6" x14ac:dyDescent="0.3">
      <c r="F34978" s="193"/>
    </row>
    <row r="34979" spans="6:6" x14ac:dyDescent="0.3">
      <c r="F34979" s="193"/>
    </row>
    <row r="34980" spans="6:6" x14ac:dyDescent="0.3">
      <c r="F34980" s="193"/>
    </row>
    <row r="34981" spans="6:6" x14ac:dyDescent="0.3">
      <c r="F34981" s="193"/>
    </row>
    <row r="34982" spans="6:6" x14ac:dyDescent="0.3">
      <c r="F34982" s="193"/>
    </row>
    <row r="34983" spans="6:6" x14ac:dyDescent="0.3">
      <c r="F34983" s="193"/>
    </row>
    <row r="34984" spans="6:6" x14ac:dyDescent="0.3">
      <c r="F34984" s="193"/>
    </row>
    <row r="34985" spans="6:6" x14ac:dyDescent="0.3">
      <c r="F34985" s="193"/>
    </row>
    <row r="34986" spans="6:6" x14ac:dyDescent="0.3">
      <c r="F34986" s="193"/>
    </row>
    <row r="34987" spans="6:6" x14ac:dyDescent="0.3">
      <c r="F34987" s="193"/>
    </row>
    <row r="34988" spans="6:6" x14ac:dyDescent="0.3">
      <c r="F34988" s="193"/>
    </row>
    <row r="34989" spans="6:6" x14ac:dyDescent="0.3">
      <c r="F34989" s="193"/>
    </row>
    <row r="34990" spans="6:6" x14ac:dyDescent="0.3">
      <c r="F34990" s="193"/>
    </row>
    <row r="34991" spans="6:6" x14ac:dyDescent="0.3">
      <c r="F34991" s="193"/>
    </row>
    <row r="34992" spans="6:6" x14ac:dyDescent="0.3">
      <c r="F34992" s="193"/>
    </row>
    <row r="34993" spans="6:6" x14ac:dyDescent="0.3">
      <c r="F34993" s="193"/>
    </row>
    <row r="34994" spans="6:6" x14ac:dyDescent="0.3">
      <c r="F34994" s="193"/>
    </row>
    <row r="34995" spans="6:6" x14ac:dyDescent="0.3">
      <c r="F34995" s="193"/>
    </row>
    <row r="34996" spans="6:6" x14ac:dyDescent="0.3">
      <c r="F34996" s="193"/>
    </row>
    <row r="34997" spans="6:6" x14ac:dyDescent="0.3">
      <c r="F34997" s="193"/>
    </row>
    <row r="34998" spans="6:6" x14ac:dyDescent="0.3">
      <c r="F34998" s="193"/>
    </row>
    <row r="34999" spans="6:6" x14ac:dyDescent="0.3">
      <c r="F34999" s="193"/>
    </row>
    <row r="35000" spans="6:6" x14ac:dyDescent="0.3">
      <c r="F35000" s="193"/>
    </row>
    <row r="35001" spans="6:6" x14ac:dyDescent="0.3">
      <c r="F35001" s="193"/>
    </row>
    <row r="35002" spans="6:6" x14ac:dyDescent="0.3">
      <c r="F35002" s="193"/>
    </row>
    <row r="35003" spans="6:6" x14ac:dyDescent="0.3">
      <c r="F35003" s="193"/>
    </row>
    <row r="35004" spans="6:6" x14ac:dyDescent="0.3">
      <c r="F35004" s="193"/>
    </row>
    <row r="35005" spans="6:6" x14ac:dyDescent="0.3">
      <c r="F35005" s="193"/>
    </row>
    <row r="35006" spans="6:6" x14ac:dyDescent="0.3">
      <c r="F35006" s="193"/>
    </row>
    <row r="35007" spans="6:6" x14ac:dyDescent="0.3">
      <c r="F35007" s="193"/>
    </row>
    <row r="35008" spans="6:6" x14ac:dyDescent="0.3">
      <c r="F35008" s="193"/>
    </row>
    <row r="35009" spans="6:6" x14ac:dyDescent="0.3">
      <c r="F35009" s="193"/>
    </row>
    <row r="35010" spans="6:6" x14ac:dyDescent="0.3">
      <c r="F35010" s="193"/>
    </row>
    <row r="35011" spans="6:6" x14ac:dyDescent="0.3">
      <c r="F35011" s="193"/>
    </row>
    <row r="35012" spans="6:6" x14ac:dyDescent="0.3">
      <c r="F35012" s="193"/>
    </row>
    <row r="35013" spans="6:6" x14ac:dyDescent="0.3">
      <c r="F35013" s="193"/>
    </row>
    <row r="35014" spans="6:6" x14ac:dyDescent="0.3">
      <c r="F35014" s="193"/>
    </row>
    <row r="35015" spans="6:6" x14ac:dyDescent="0.3">
      <c r="F35015" s="193"/>
    </row>
    <row r="35016" spans="6:6" x14ac:dyDescent="0.3">
      <c r="F35016" s="193"/>
    </row>
    <row r="35017" spans="6:6" x14ac:dyDescent="0.3">
      <c r="F35017" s="193"/>
    </row>
    <row r="35018" spans="6:6" x14ac:dyDescent="0.3">
      <c r="F35018" s="193"/>
    </row>
    <row r="35019" spans="6:6" x14ac:dyDescent="0.3">
      <c r="F35019" s="193"/>
    </row>
    <row r="35020" spans="6:6" x14ac:dyDescent="0.3">
      <c r="F35020" s="193"/>
    </row>
    <row r="35021" spans="6:6" x14ac:dyDescent="0.3">
      <c r="F35021" s="193"/>
    </row>
    <row r="35022" spans="6:6" x14ac:dyDescent="0.3">
      <c r="F35022" s="193"/>
    </row>
    <row r="35023" spans="6:6" x14ac:dyDescent="0.3">
      <c r="F35023" s="193"/>
    </row>
    <row r="35024" spans="6:6" x14ac:dyDescent="0.3">
      <c r="F35024" s="193"/>
    </row>
    <row r="35025" spans="6:6" x14ac:dyDescent="0.3">
      <c r="F35025" s="193"/>
    </row>
    <row r="35026" spans="6:6" x14ac:dyDescent="0.3">
      <c r="F35026" s="193"/>
    </row>
    <row r="35027" spans="6:6" x14ac:dyDescent="0.3">
      <c r="F35027" s="193"/>
    </row>
    <row r="35028" spans="6:6" x14ac:dyDescent="0.3">
      <c r="F35028" s="193"/>
    </row>
    <row r="35029" spans="6:6" x14ac:dyDescent="0.3">
      <c r="F35029" s="193"/>
    </row>
    <row r="35030" spans="6:6" x14ac:dyDescent="0.3">
      <c r="F35030" s="193"/>
    </row>
    <row r="35031" spans="6:6" x14ac:dyDescent="0.3">
      <c r="F35031" s="193"/>
    </row>
    <row r="35032" spans="6:6" x14ac:dyDescent="0.3">
      <c r="F35032" s="193"/>
    </row>
    <row r="35033" spans="6:6" x14ac:dyDescent="0.3">
      <c r="F35033" s="193"/>
    </row>
    <row r="35034" spans="6:6" x14ac:dyDescent="0.3">
      <c r="F35034" s="193"/>
    </row>
    <row r="35035" spans="6:6" x14ac:dyDescent="0.3">
      <c r="F35035" s="193"/>
    </row>
    <row r="35036" spans="6:6" x14ac:dyDescent="0.3">
      <c r="F35036" s="193"/>
    </row>
    <row r="35037" spans="6:6" x14ac:dyDescent="0.3">
      <c r="F35037" s="193"/>
    </row>
    <row r="35038" spans="6:6" x14ac:dyDescent="0.3">
      <c r="F35038" s="193"/>
    </row>
    <row r="35039" spans="6:6" x14ac:dyDescent="0.3">
      <c r="F35039" s="193"/>
    </row>
    <row r="35040" spans="6:6" x14ac:dyDescent="0.3">
      <c r="F35040" s="193"/>
    </row>
    <row r="35041" spans="6:6" x14ac:dyDescent="0.3">
      <c r="F35041" s="193"/>
    </row>
    <row r="35042" spans="6:6" x14ac:dyDescent="0.3">
      <c r="F35042" s="193"/>
    </row>
    <row r="35043" spans="6:6" x14ac:dyDescent="0.3">
      <c r="F35043" s="193"/>
    </row>
    <row r="35044" spans="6:6" x14ac:dyDescent="0.3">
      <c r="F35044" s="193"/>
    </row>
    <row r="35045" spans="6:6" x14ac:dyDescent="0.3">
      <c r="F35045" s="193"/>
    </row>
    <row r="35046" spans="6:6" x14ac:dyDescent="0.3">
      <c r="F35046" s="193"/>
    </row>
    <row r="35047" spans="6:6" x14ac:dyDescent="0.3">
      <c r="F35047" s="193"/>
    </row>
    <row r="35048" spans="6:6" x14ac:dyDescent="0.3">
      <c r="F35048" s="193"/>
    </row>
    <row r="35049" spans="6:6" x14ac:dyDescent="0.3">
      <c r="F35049" s="193"/>
    </row>
    <row r="35050" spans="6:6" x14ac:dyDescent="0.3">
      <c r="F35050" s="193"/>
    </row>
    <row r="35051" spans="6:6" x14ac:dyDescent="0.3">
      <c r="F35051" s="193"/>
    </row>
    <row r="35052" spans="6:6" x14ac:dyDescent="0.3">
      <c r="F35052" s="193"/>
    </row>
    <row r="35053" spans="6:6" x14ac:dyDescent="0.3">
      <c r="F35053" s="193"/>
    </row>
    <row r="35054" spans="6:6" x14ac:dyDescent="0.3">
      <c r="F35054" s="193"/>
    </row>
    <row r="35055" spans="6:6" x14ac:dyDescent="0.3">
      <c r="F35055" s="193"/>
    </row>
    <row r="35056" spans="6:6" x14ac:dyDescent="0.3">
      <c r="F35056" s="193"/>
    </row>
    <row r="35057" spans="6:6" x14ac:dyDescent="0.3">
      <c r="F35057" s="193"/>
    </row>
    <row r="35058" spans="6:6" x14ac:dyDescent="0.3">
      <c r="F35058" s="193"/>
    </row>
    <row r="35059" spans="6:6" x14ac:dyDescent="0.3">
      <c r="F35059" s="193"/>
    </row>
    <row r="35060" spans="6:6" x14ac:dyDescent="0.3">
      <c r="F35060" s="193"/>
    </row>
    <row r="35061" spans="6:6" x14ac:dyDescent="0.3">
      <c r="F35061" s="193"/>
    </row>
    <row r="35062" spans="6:6" x14ac:dyDescent="0.3">
      <c r="F35062" s="193"/>
    </row>
    <row r="35063" spans="6:6" x14ac:dyDescent="0.3">
      <c r="F35063" s="193"/>
    </row>
    <row r="35064" spans="6:6" x14ac:dyDescent="0.3">
      <c r="F35064" s="193"/>
    </row>
    <row r="35065" spans="6:6" x14ac:dyDescent="0.3">
      <c r="F35065" s="193"/>
    </row>
    <row r="35066" spans="6:6" x14ac:dyDescent="0.3">
      <c r="F35066" s="193"/>
    </row>
    <row r="35067" spans="6:6" x14ac:dyDescent="0.3">
      <c r="F35067" s="193"/>
    </row>
    <row r="35068" spans="6:6" x14ac:dyDescent="0.3">
      <c r="F35068" s="193"/>
    </row>
    <row r="35069" spans="6:6" x14ac:dyDescent="0.3">
      <c r="F35069" s="193"/>
    </row>
    <row r="35070" spans="6:6" x14ac:dyDescent="0.3">
      <c r="F35070" s="193"/>
    </row>
    <row r="35071" spans="6:6" x14ac:dyDescent="0.3">
      <c r="F35071" s="193"/>
    </row>
    <row r="35072" spans="6:6" x14ac:dyDescent="0.3">
      <c r="F35072" s="193"/>
    </row>
    <row r="35073" spans="6:6" x14ac:dyDescent="0.3">
      <c r="F35073" s="193"/>
    </row>
    <row r="35074" spans="6:6" x14ac:dyDescent="0.3">
      <c r="F35074" s="193"/>
    </row>
    <row r="35075" spans="6:6" x14ac:dyDescent="0.3">
      <c r="F35075" s="193"/>
    </row>
    <row r="35076" spans="6:6" x14ac:dyDescent="0.3">
      <c r="F35076" s="193"/>
    </row>
    <row r="35077" spans="6:6" x14ac:dyDescent="0.3">
      <c r="F35077" s="193"/>
    </row>
    <row r="35078" spans="6:6" x14ac:dyDescent="0.3">
      <c r="F35078" s="193"/>
    </row>
    <row r="35079" spans="6:6" x14ac:dyDescent="0.3">
      <c r="F35079" s="193"/>
    </row>
    <row r="35080" spans="6:6" x14ac:dyDescent="0.3">
      <c r="F35080" s="193"/>
    </row>
    <row r="35081" spans="6:6" x14ac:dyDescent="0.3">
      <c r="F35081" s="193"/>
    </row>
    <row r="35082" spans="6:6" x14ac:dyDescent="0.3">
      <c r="F35082" s="193"/>
    </row>
    <row r="35083" spans="6:6" x14ac:dyDescent="0.3">
      <c r="F35083" s="193"/>
    </row>
    <row r="35084" spans="6:6" x14ac:dyDescent="0.3">
      <c r="F35084" s="193"/>
    </row>
    <row r="35085" spans="6:6" x14ac:dyDescent="0.3">
      <c r="F35085" s="193"/>
    </row>
    <row r="35086" spans="6:6" x14ac:dyDescent="0.3">
      <c r="F35086" s="193"/>
    </row>
    <row r="35087" spans="6:6" x14ac:dyDescent="0.3">
      <c r="F35087" s="193"/>
    </row>
    <row r="35088" spans="6:6" x14ac:dyDescent="0.3">
      <c r="F35088" s="193"/>
    </row>
    <row r="35089" spans="6:6" x14ac:dyDescent="0.3">
      <c r="F35089" s="193"/>
    </row>
    <row r="35090" spans="6:6" x14ac:dyDescent="0.3">
      <c r="F35090" s="193"/>
    </row>
    <row r="35091" spans="6:6" x14ac:dyDescent="0.3">
      <c r="F35091" s="193"/>
    </row>
    <row r="35092" spans="6:6" x14ac:dyDescent="0.3">
      <c r="F35092" s="193"/>
    </row>
    <row r="35093" spans="6:6" x14ac:dyDescent="0.3">
      <c r="F35093" s="193"/>
    </row>
    <row r="35094" spans="6:6" x14ac:dyDescent="0.3">
      <c r="F35094" s="193"/>
    </row>
    <row r="35095" spans="6:6" x14ac:dyDescent="0.3">
      <c r="F35095" s="193"/>
    </row>
    <row r="35096" spans="6:6" x14ac:dyDescent="0.3">
      <c r="F35096" s="193"/>
    </row>
    <row r="35097" spans="6:6" x14ac:dyDescent="0.3">
      <c r="F35097" s="193"/>
    </row>
    <row r="35098" spans="6:6" x14ac:dyDescent="0.3">
      <c r="F35098" s="193"/>
    </row>
    <row r="35099" spans="6:6" x14ac:dyDescent="0.3">
      <c r="F35099" s="193"/>
    </row>
    <row r="35100" spans="6:6" x14ac:dyDescent="0.3">
      <c r="F35100" s="193"/>
    </row>
    <row r="35101" spans="6:6" x14ac:dyDescent="0.3">
      <c r="F35101" s="193"/>
    </row>
    <row r="35102" spans="6:6" x14ac:dyDescent="0.3">
      <c r="F35102" s="193"/>
    </row>
    <row r="35103" spans="6:6" x14ac:dyDescent="0.3">
      <c r="F35103" s="193"/>
    </row>
    <row r="35104" spans="6:6" x14ac:dyDescent="0.3">
      <c r="F35104" s="193"/>
    </row>
    <row r="35105" spans="6:6" x14ac:dyDescent="0.3">
      <c r="F35105" s="193"/>
    </row>
    <row r="35106" spans="6:6" x14ac:dyDescent="0.3">
      <c r="F35106" s="193"/>
    </row>
    <row r="35107" spans="6:6" x14ac:dyDescent="0.3">
      <c r="F35107" s="193"/>
    </row>
    <row r="35108" spans="6:6" x14ac:dyDescent="0.3">
      <c r="F35108" s="193"/>
    </row>
    <row r="35109" spans="6:6" x14ac:dyDescent="0.3">
      <c r="F35109" s="193"/>
    </row>
    <row r="35110" spans="6:6" x14ac:dyDescent="0.3">
      <c r="F35110" s="193"/>
    </row>
    <row r="35111" spans="6:6" x14ac:dyDescent="0.3">
      <c r="F35111" s="193"/>
    </row>
    <row r="35112" spans="6:6" x14ac:dyDescent="0.3">
      <c r="F35112" s="193"/>
    </row>
    <row r="35113" spans="6:6" x14ac:dyDescent="0.3">
      <c r="F35113" s="193"/>
    </row>
    <row r="35114" spans="6:6" x14ac:dyDescent="0.3">
      <c r="F35114" s="193"/>
    </row>
    <row r="35115" spans="6:6" x14ac:dyDescent="0.3">
      <c r="F35115" s="193"/>
    </row>
    <row r="35116" spans="6:6" x14ac:dyDescent="0.3">
      <c r="F35116" s="193"/>
    </row>
    <row r="35117" spans="6:6" x14ac:dyDescent="0.3">
      <c r="F35117" s="193"/>
    </row>
    <row r="35118" spans="6:6" x14ac:dyDescent="0.3">
      <c r="F35118" s="193"/>
    </row>
    <row r="35119" spans="6:6" x14ac:dyDescent="0.3">
      <c r="F35119" s="193"/>
    </row>
    <row r="35120" spans="6:6" x14ac:dyDescent="0.3">
      <c r="F35120" s="193"/>
    </row>
    <row r="35121" spans="6:6" x14ac:dyDescent="0.3">
      <c r="F35121" s="193"/>
    </row>
    <row r="35122" spans="6:6" x14ac:dyDescent="0.3">
      <c r="F35122" s="193"/>
    </row>
    <row r="35123" spans="6:6" x14ac:dyDescent="0.3">
      <c r="F35123" s="193"/>
    </row>
    <row r="35124" spans="6:6" x14ac:dyDescent="0.3">
      <c r="F35124" s="193"/>
    </row>
    <row r="35125" spans="6:6" x14ac:dyDescent="0.3">
      <c r="F35125" s="193"/>
    </row>
    <row r="35126" spans="6:6" x14ac:dyDescent="0.3">
      <c r="F35126" s="193"/>
    </row>
    <row r="35127" spans="6:6" x14ac:dyDescent="0.3">
      <c r="F35127" s="193"/>
    </row>
    <row r="35128" spans="6:6" x14ac:dyDescent="0.3">
      <c r="F35128" s="193"/>
    </row>
    <row r="35129" spans="6:6" x14ac:dyDescent="0.3">
      <c r="F35129" s="193"/>
    </row>
    <row r="35130" spans="6:6" x14ac:dyDescent="0.3">
      <c r="F35130" s="193"/>
    </row>
    <row r="35131" spans="6:6" x14ac:dyDescent="0.3">
      <c r="F35131" s="193"/>
    </row>
    <row r="35132" spans="6:6" x14ac:dyDescent="0.3">
      <c r="F35132" s="193"/>
    </row>
    <row r="35133" spans="6:6" x14ac:dyDescent="0.3">
      <c r="F35133" s="193"/>
    </row>
    <row r="35134" spans="6:6" x14ac:dyDescent="0.3">
      <c r="F35134" s="193"/>
    </row>
    <row r="35135" spans="6:6" x14ac:dyDescent="0.3">
      <c r="F35135" s="193"/>
    </row>
    <row r="35136" spans="6:6" x14ac:dyDescent="0.3">
      <c r="F35136" s="193"/>
    </row>
    <row r="35137" spans="6:6" x14ac:dyDescent="0.3">
      <c r="F35137" s="193"/>
    </row>
    <row r="35138" spans="6:6" x14ac:dyDescent="0.3">
      <c r="F35138" s="193"/>
    </row>
    <row r="35139" spans="6:6" x14ac:dyDescent="0.3">
      <c r="F35139" s="193"/>
    </row>
    <row r="35140" spans="6:6" x14ac:dyDescent="0.3">
      <c r="F35140" s="193"/>
    </row>
    <row r="35141" spans="6:6" x14ac:dyDescent="0.3">
      <c r="F35141" s="193"/>
    </row>
    <row r="35142" spans="6:6" x14ac:dyDescent="0.3">
      <c r="F35142" s="193"/>
    </row>
    <row r="35143" spans="6:6" x14ac:dyDescent="0.3">
      <c r="F35143" s="193"/>
    </row>
    <row r="35144" spans="6:6" x14ac:dyDescent="0.3">
      <c r="F35144" s="193"/>
    </row>
    <row r="35145" spans="6:6" x14ac:dyDescent="0.3">
      <c r="F35145" s="193"/>
    </row>
    <row r="35146" spans="6:6" x14ac:dyDescent="0.3">
      <c r="F35146" s="193"/>
    </row>
    <row r="35147" spans="6:6" x14ac:dyDescent="0.3">
      <c r="F35147" s="193"/>
    </row>
    <row r="35148" spans="6:6" x14ac:dyDescent="0.3">
      <c r="F35148" s="193"/>
    </row>
    <row r="35149" spans="6:6" x14ac:dyDescent="0.3">
      <c r="F35149" s="193"/>
    </row>
    <row r="35150" spans="6:6" x14ac:dyDescent="0.3">
      <c r="F35150" s="193"/>
    </row>
    <row r="35151" spans="6:6" x14ac:dyDescent="0.3">
      <c r="F35151" s="193"/>
    </row>
    <row r="35152" spans="6:6" x14ac:dyDescent="0.3">
      <c r="F35152" s="193"/>
    </row>
    <row r="35153" spans="6:6" x14ac:dyDescent="0.3">
      <c r="F35153" s="193"/>
    </row>
    <row r="35154" spans="6:6" x14ac:dyDescent="0.3">
      <c r="F35154" s="193"/>
    </row>
    <row r="35155" spans="6:6" x14ac:dyDescent="0.3">
      <c r="F35155" s="193"/>
    </row>
    <row r="35156" spans="6:6" x14ac:dyDescent="0.3">
      <c r="F35156" s="193"/>
    </row>
    <row r="35157" spans="6:6" x14ac:dyDescent="0.3">
      <c r="F35157" s="193"/>
    </row>
    <row r="35158" spans="6:6" x14ac:dyDescent="0.3">
      <c r="F35158" s="193"/>
    </row>
    <row r="35159" spans="6:6" x14ac:dyDescent="0.3">
      <c r="F35159" s="193"/>
    </row>
    <row r="35160" spans="6:6" x14ac:dyDescent="0.3">
      <c r="F35160" s="193"/>
    </row>
    <row r="35161" spans="6:6" x14ac:dyDescent="0.3">
      <c r="F35161" s="193"/>
    </row>
    <row r="35162" spans="6:6" x14ac:dyDescent="0.3">
      <c r="F35162" s="193"/>
    </row>
    <row r="35163" spans="6:6" x14ac:dyDescent="0.3">
      <c r="F35163" s="193"/>
    </row>
    <row r="35164" spans="6:6" x14ac:dyDescent="0.3">
      <c r="F35164" s="193"/>
    </row>
    <row r="35165" spans="6:6" x14ac:dyDescent="0.3">
      <c r="F35165" s="193"/>
    </row>
    <row r="35166" spans="6:6" x14ac:dyDescent="0.3">
      <c r="F35166" s="193"/>
    </row>
    <row r="35167" spans="6:6" x14ac:dyDescent="0.3">
      <c r="F35167" s="193"/>
    </row>
    <row r="35168" spans="6:6" x14ac:dyDescent="0.3">
      <c r="F35168" s="193"/>
    </row>
    <row r="35169" spans="6:6" x14ac:dyDescent="0.3">
      <c r="F35169" s="193"/>
    </row>
    <row r="35170" spans="6:6" x14ac:dyDescent="0.3">
      <c r="F35170" s="193"/>
    </row>
    <row r="35171" spans="6:6" x14ac:dyDescent="0.3">
      <c r="F35171" s="193"/>
    </row>
    <row r="35172" spans="6:6" x14ac:dyDescent="0.3">
      <c r="F35172" s="193"/>
    </row>
    <row r="35173" spans="6:6" x14ac:dyDescent="0.3">
      <c r="F35173" s="193"/>
    </row>
    <row r="35174" spans="6:6" x14ac:dyDescent="0.3">
      <c r="F35174" s="193"/>
    </row>
    <row r="35175" spans="6:6" x14ac:dyDescent="0.3">
      <c r="F35175" s="193"/>
    </row>
    <row r="35176" spans="6:6" x14ac:dyDescent="0.3">
      <c r="F35176" s="193"/>
    </row>
    <row r="35177" spans="6:6" x14ac:dyDescent="0.3">
      <c r="F35177" s="193"/>
    </row>
    <row r="35178" spans="6:6" x14ac:dyDescent="0.3">
      <c r="F35178" s="193"/>
    </row>
    <row r="35179" spans="6:6" x14ac:dyDescent="0.3">
      <c r="F35179" s="193"/>
    </row>
    <row r="35180" spans="6:6" x14ac:dyDescent="0.3">
      <c r="F35180" s="193"/>
    </row>
    <row r="35181" spans="6:6" x14ac:dyDescent="0.3">
      <c r="F35181" s="193"/>
    </row>
    <row r="35182" spans="6:6" x14ac:dyDescent="0.3">
      <c r="F35182" s="193"/>
    </row>
    <row r="35183" spans="6:6" x14ac:dyDescent="0.3">
      <c r="F35183" s="193"/>
    </row>
    <row r="35184" spans="6:6" x14ac:dyDescent="0.3">
      <c r="F35184" s="193"/>
    </row>
    <row r="35185" spans="6:6" x14ac:dyDescent="0.3">
      <c r="F35185" s="193"/>
    </row>
    <row r="35186" spans="6:6" x14ac:dyDescent="0.3">
      <c r="F35186" s="193"/>
    </row>
    <row r="35187" spans="6:6" x14ac:dyDescent="0.3">
      <c r="F35187" s="193"/>
    </row>
    <row r="35188" spans="6:6" x14ac:dyDescent="0.3">
      <c r="F35188" s="193"/>
    </row>
    <row r="35189" spans="6:6" x14ac:dyDescent="0.3">
      <c r="F35189" s="193"/>
    </row>
    <row r="35190" spans="6:6" x14ac:dyDescent="0.3">
      <c r="F35190" s="193"/>
    </row>
    <row r="35191" spans="6:6" x14ac:dyDescent="0.3">
      <c r="F35191" s="193"/>
    </row>
    <row r="35192" spans="6:6" x14ac:dyDescent="0.3">
      <c r="F35192" s="193"/>
    </row>
    <row r="35193" spans="6:6" x14ac:dyDescent="0.3">
      <c r="F35193" s="193"/>
    </row>
    <row r="35194" spans="6:6" x14ac:dyDescent="0.3">
      <c r="F35194" s="193"/>
    </row>
    <row r="35195" spans="6:6" x14ac:dyDescent="0.3">
      <c r="F35195" s="193"/>
    </row>
    <row r="35196" spans="6:6" x14ac:dyDescent="0.3">
      <c r="F35196" s="193"/>
    </row>
    <row r="35197" spans="6:6" x14ac:dyDescent="0.3">
      <c r="F35197" s="193"/>
    </row>
    <row r="35198" spans="6:6" x14ac:dyDescent="0.3">
      <c r="F35198" s="193"/>
    </row>
    <row r="35199" spans="6:6" x14ac:dyDescent="0.3">
      <c r="F35199" s="193"/>
    </row>
    <row r="35200" spans="6:6" x14ac:dyDescent="0.3">
      <c r="F35200" s="193"/>
    </row>
    <row r="35201" spans="6:6" x14ac:dyDescent="0.3">
      <c r="F35201" s="193"/>
    </row>
    <row r="35202" spans="6:6" x14ac:dyDescent="0.3">
      <c r="F35202" s="193"/>
    </row>
    <row r="35203" spans="6:6" x14ac:dyDescent="0.3">
      <c r="F35203" s="193"/>
    </row>
    <row r="35204" spans="6:6" x14ac:dyDescent="0.3">
      <c r="F35204" s="193"/>
    </row>
    <row r="35205" spans="6:6" x14ac:dyDescent="0.3">
      <c r="F35205" s="193"/>
    </row>
    <row r="35206" spans="6:6" x14ac:dyDescent="0.3">
      <c r="F35206" s="193"/>
    </row>
    <row r="35207" spans="6:6" x14ac:dyDescent="0.3">
      <c r="F35207" s="193"/>
    </row>
    <row r="35208" spans="6:6" x14ac:dyDescent="0.3">
      <c r="F35208" s="193"/>
    </row>
    <row r="35209" spans="6:6" x14ac:dyDescent="0.3">
      <c r="F35209" s="193"/>
    </row>
    <row r="35210" spans="6:6" x14ac:dyDescent="0.3">
      <c r="F35210" s="193"/>
    </row>
    <row r="35211" spans="6:6" x14ac:dyDescent="0.3">
      <c r="F35211" s="193"/>
    </row>
    <row r="35212" spans="6:6" x14ac:dyDescent="0.3">
      <c r="F35212" s="193"/>
    </row>
    <row r="35213" spans="6:6" x14ac:dyDescent="0.3">
      <c r="F35213" s="193"/>
    </row>
    <row r="35214" spans="6:6" x14ac:dyDescent="0.3">
      <c r="F35214" s="193"/>
    </row>
    <row r="35215" spans="6:6" x14ac:dyDescent="0.3">
      <c r="F35215" s="193"/>
    </row>
    <row r="35216" spans="6:6" x14ac:dyDescent="0.3">
      <c r="F35216" s="193"/>
    </row>
    <row r="35217" spans="6:6" x14ac:dyDescent="0.3">
      <c r="F35217" s="193"/>
    </row>
    <row r="35218" spans="6:6" x14ac:dyDescent="0.3">
      <c r="F35218" s="193"/>
    </row>
    <row r="35219" spans="6:6" x14ac:dyDescent="0.3">
      <c r="F35219" s="193"/>
    </row>
    <row r="35220" spans="6:6" x14ac:dyDescent="0.3">
      <c r="F35220" s="193"/>
    </row>
    <row r="35221" spans="6:6" x14ac:dyDescent="0.3">
      <c r="F35221" s="193"/>
    </row>
    <row r="35222" spans="6:6" x14ac:dyDescent="0.3">
      <c r="F35222" s="193"/>
    </row>
    <row r="35223" spans="6:6" x14ac:dyDescent="0.3">
      <c r="F35223" s="193"/>
    </row>
    <row r="35224" spans="6:6" x14ac:dyDescent="0.3">
      <c r="F35224" s="193"/>
    </row>
    <row r="35225" spans="6:6" x14ac:dyDescent="0.3">
      <c r="F35225" s="193"/>
    </row>
    <row r="35226" spans="6:6" x14ac:dyDescent="0.3">
      <c r="F35226" s="193"/>
    </row>
    <row r="35227" spans="6:6" x14ac:dyDescent="0.3">
      <c r="F35227" s="193"/>
    </row>
    <row r="35228" spans="6:6" x14ac:dyDescent="0.3">
      <c r="F35228" s="193"/>
    </row>
    <row r="35229" spans="6:6" x14ac:dyDescent="0.3">
      <c r="F35229" s="193"/>
    </row>
    <row r="35230" spans="6:6" x14ac:dyDescent="0.3">
      <c r="F35230" s="193"/>
    </row>
    <row r="35231" spans="6:6" x14ac:dyDescent="0.3">
      <c r="F35231" s="193"/>
    </row>
    <row r="35232" spans="6:6" x14ac:dyDescent="0.3">
      <c r="F35232" s="193"/>
    </row>
    <row r="35233" spans="6:6" x14ac:dyDescent="0.3">
      <c r="F35233" s="193"/>
    </row>
    <row r="35234" spans="6:6" x14ac:dyDescent="0.3">
      <c r="F35234" s="193"/>
    </row>
    <row r="35235" spans="6:6" x14ac:dyDescent="0.3">
      <c r="F35235" s="193"/>
    </row>
    <row r="35236" spans="6:6" x14ac:dyDescent="0.3">
      <c r="F35236" s="193"/>
    </row>
    <row r="35237" spans="6:6" x14ac:dyDescent="0.3">
      <c r="F35237" s="193"/>
    </row>
    <row r="35238" spans="6:6" x14ac:dyDescent="0.3">
      <c r="F35238" s="193"/>
    </row>
    <row r="35239" spans="6:6" x14ac:dyDescent="0.3">
      <c r="F35239" s="193"/>
    </row>
    <row r="35240" spans="6:6" x14ac:dyDescent="0.3">
      <c r="F35240" s="193"/>
    </row>
    <row r="35241" spans="6:6" x14ac:dyDescent="0.3">
      <c r="F35241" s="193"/>
    </row>
    <row r="35242" spans="6:6" x14ac:dyDescent="0.3">
      <c r="F35242" s="193"/>
    </row>
    <row r="35243" spans="6:6" x14ac:dyDescent="0.3">
      <c r="F35243" s="193"/>
    </row>
    <row r="35244" spans="6:6" x14ac:dyDescent="0.3">
      <c r="F35244" s="193"/>
    </row>
    <row r="35245" spans="6:6" x14ac:dyDescent="0.3">
      <c r="F35245" s="193"/>
    </row>
    <row r="35246" spans="6:6" x14ac:dyDescent="0.3">
      <c r="F35246" s="193"/>
    </row>
    <row r="35247" spans="6:6" x14ac:dyDescent="0.3">
      <c r="F35247" s="193"/>
    </row>
    <row r="35248" spans="6:6" x14ac:dyDescent="0.3">
      <c r="F35248" s="193"/>
    </row>
    <row r="35249" spans="6:6" x14ac:dyDescent="0.3">
      <c r="F35249" s="193"/>
    </row>
    <row r="35250" spans="6:6" x14ac:dyDescent="0.3">
      <c r="F35250" s="193"/>
    </row>
    <row r="35251" spans="6:6" x14ac:dyDescent="0.3">
      <c r="F35251" s="193"/>
    </row>
    <row r="35252" spans="6:6" x14ac:dyDescent="0.3">
      <c r="F35252" s="193"/>
    </row>
    <row r="35253" spans="6:6" x14ac:dyDescent="0.3">
      <c r="F35253" s="193"/>
    </row>
    <row r="35254" spans="6:6" x14ac:dyDescent="0.3">
      <c r="F35254" s="193"/>
    </row>
    <row r="35255" spans="6:6" x14ac:dyDescent="0.3">
      <c r="F35255" s="193"/>
    </row>
    <row r="35256" spans="6:6" x14ac:dyDescent="0.3">
      <c r="F35256" s="193"/>
    </row>
    <row r="35257" spans="6:6" x14ac:dyDescent="0.3">
      <c r="F35257" s="193"/>
    </row>
    <row r="35258" spans="6:6" x14ac:dyDescent="0.3">
      <c r="F35258" s="193"/>
    </row>
    <row r="35259" spans="6:6" x14ac:dyDescent="0.3">
      <c r="F35259" s="193"/>
    </row>
    <row r="35260" spans="6:6" x14ac:dyDescent="0.3">
      <c r="F35260" s="193"/>
    </row>
    <row r="35261" spans="6:6" x14ac:dyDescent="0.3">
      <c r="F35261" s="193"/>
    </row>
    <row r="35262" spans="6:6" x14ac:dyDescent="0.3">
      <c r="F35262" s="193"/>
    </row>
    <row r="35263" spans="6:6" x14ac:dyDescent="0.3">
      <c r="F35263" s="193"/>
    </row>
    <row r="35264" spans="6:6" x14ac:dyDescent="0.3">
      <c r="F35264" s="193"/>
    </row>
    <row r="35265" spans="6:6" x14ac:dyDescent="0.3">
      <c r="F35265" s="193"/>
    </row>
    <row r="35266" spans="6:6" x14ac:dyDescent="0.3">
      <c r="F35266" s="193"/>
    </row>
    <row r="35267" spans="6:6" x14ac:dyDescent="0.3">
      <c r="F35267" s="193"/>
    </row>
    <row r="35268" spans="6:6" x14ac:dyDescent="0.3">
      <c r="F35268" s="193"/>
    </row>
    <row r="35269" spans="6:6" x14ac:dyDescent="0.3">
      <c r="F35269" s="193"/>
    </row>
    <row r="35270" spans="6:6" x14ac:dyDescent="0.3">
      <c r="F35270" s="193"/>
    </row>
    <row r="35271" spans="6:6" x14ac:dyDescent="0.3">
      <c r="F35271" s="193"/>
    </row>
    <row r="35272" spans="6:6" x14ac:dyDescent="0.3">
      <c r="F35272" s="193"/>
    </row>
    <row r="35273" spans="6:6" x14ac:dyDescent="0.3">
      <c r="F35273" s="193"/>
    </row>
    <row r="35274" spans="6:6" x14ac:dyDescent="0.3">
      <c r="F35274" s="193"/>
    </row>
    <row r="35275" spans="6:6" x14ac:dyDescent="0.3">
      <c r="F35275" s="193"/>
    </row>
    <row r="35276" spans="6:6" x14ac:dyDescent="0.3">
      <c r="F35276" s="193"/>
    </row>
    <row r="35277" spans="6:6" x14ac:dyDescent="0.3">
      <c r="F35277" s="193"/>
    </row>
    <row r="35278" spans="6:6" x14ac:dyDescent="0.3">
      <c r="F35278" s="193"/>
    </row>
    <row r="35279" spans="6:6" x14ac:dyDescent="0.3">
      <c r="F35279" s="193"/>
    </row>
    <row r="35280" spans="6:6" x14ac:dyDescent="0.3">
      <c r="F35280" s="193"/>
    </row>
    <row r="35281" spans="6:6" x14ac:dyDescent="0.3">
      <c r="F35281" s="193"/>
    </row>
    <row r="35282" spans="6:6" x14ac:dyDescent="0.3">
      <c r="F35282" s="193"/>
    </row>
    <row r="35283" spans="6:6" x14ac:dyDescent="0.3">
      <c r="F35283" s="193"/>
    </row>
    <row r="35284" spans="6:6" x14ac:dyDescent="0.3">
      <c r="F35284" s="193"/>
    </row>
    <row r="35285" spans="6:6" x14ac:dyDescent="0.3">
      <c r="F35285" s="193"/>
    </row>
    <row r="35286" spans="6:6" x14ac:dyDescent="0.3">
      <c r="F35286" s="193"/>
    </row>
    <row r="35287" spans="6:6" x14ac:dyDescent="0.3">
      <c r="F35287" s="193"/>
    </row>
    <row r="35288" spans="6:6" x14ac:dyDescent="0.3">
      <c r="F35288" s="193"/>
    </row>
    <row r="35289" spans="6:6" x14ac:dyDescent="0.3">
      <c r="F35289" s="193"/>
    </row>
    <row r="35290" spans="6:6" x14ac:dyDescent="0.3">
      <c r="F35290" s="193"/>
    </row>
    <row r="35291" spans="6:6" x14ac:dyDescent="0.3">
      <c r="F35291" s="193"/>
    </row>
    <row r="35292" spans="6:6" x14ac:dyDescent="0.3">
      <c r="F35292" s="193"/>
    </row>
    <row r="35293" spans="6:6" x14ac:dyDescent="0.3">
      <c r="F35293" s="193"/>
    </row>
    <row r="35294" spans="6:6" x14ac:dyDescent="0.3">
      <c r="F35294" s="193"/>
    </row>
    <row r="35295" spans="6:6" x14ac:dyDescent="0.3">
      <c r="F35295" s="193"/>
    </row>
    <row r="35296" spans="6:6" x14ac:dyDescent="0.3">
      <c r="F35296" s="193"/>
    </row>
    <row r="35297" spans="6:6" x14ac:dyDescent="0.3">
      <c r="F35297" s="193"/>
    </row>
    <row r="35298" spans="6:6" x14ac:dyDescent="0.3">
      <c r="F35298" s="193"/>
    </row>
    <row r="35299" spans="6:6" x14ac:dyDescent="0.3">
      <c r="F35299" s="193"/>
    </row>
    <row r="35300" spans="6:6" x14ac:dyDescent="0.3">
      <c r="F35300" s="193"/>
    </row>
    <row r="35301" spans="6:6" x14ac:dyDescent="0.3">
      <c r="F35301" s="193"/>
    </row>
    <row r="35302" spans="6:6" x14ac:dyDescent="0.3">
      <c r="F35302" s="193"/>
    </row>
    <row r="35303" spans="6:6" x14ac:dyDescent="0.3">
      <c r="F35303" s="193"/>
    </row>
    <row r="35304" spans="6:6" x14ac:dyDescent="0.3">
      <c r="F35304" s="193"/>
    </row>
    <row r="35305" spans="6:6" x14ac:dyDescent="0.3">
      <c r="F35305" s="193"/>
    </row>
    <row r="35306" spans="6:6" x14ac:dyDescent="0.3">
      <c r="F35306" s="193"/>
    </row>
    <row r="35307" spans="6:6" x14ac:dyDescent="0.3">
      <c r="F35307" s="193"/>
    </row>
    <row r="35308" spans="6:6" x14ac:dyDescent="0.3">
      <c r="F35308" s="193"/>
    </row>
    <row r="35309" spans="6:6" x14ac:dyDescent="0.3">
      <c r="F35309" s="193"/>
    </row>
    <row r="35310" spans="6:6" x14ac:dyDescent="0.3">
      <c r="F35310" s="193"/>
    </row>
    <row r="35311" spans="6:6" x14ac:dyDescent="0.3">
      <c r="F35311" s="193"/>
    </row>
    <row r="35312" spans="6:6" x14ac:dyDescent="0.3">
      <c r="F35312" s="193"/>
    </row>
    <row r="35313" spans="6:6" x14ac:dyDescent="0.3">
      <c r="F35313" s="193"/>
    </row>
    <row r="35314" spans="6:6" x14ac:dyDescent="0.3">
      <c r="F35314" s="193"/>
    </row>
    <row r="35315" spans="6:6" x14ac:dyDescent="0.3">
      <c r="F35315" s="193"/>
    </row>
    <row r="35316" spans="6:6" x14ac:dyDescent="0.3">
      <c r="F35316" s="193"/>
    </row>
    <row r="35317" spans="6:6" x14ac:dyDescent="0.3">
      <c r="F35317" s="193"/>
    </row>
    <row r="35318" spans="6:6" x14ac:dyDescent="0.3">
      <c r="F35318" s="193"/>
    </row>
    <row r="35319" spans="6:6" x14ac:dyDescent="0.3">
      <c r="F35319" s="193"/>
    </row>
    <row r="35320" spans="6:6" x14ac:dyDescent="0.3">
      <c r="F35320" s="193"/>
    </row>
    <row r="35321" spans="6:6" x14ac:dyDescent="0.3">
      <c r="F35321" s="193"/>
    </row>
    <row r="35322" spans="6:6" x14ac:dyDescent="0.3">
      <c r="F35322" s="193"/>
    </row>
    <row r="35323" spans="6:6" x14ac:dyDescent="0.3">
      <c r="F35323" s="193"/>
    </row>
    <row r="35324" spans="6:6" x14ac:dyDescent="0.3">
      <c r="F35324" s="193"/>
    </row>
    <row r="35325" spans="6:6" x14ac:dyDescent="0.3">
      <c r="F35325" s="193"/>
    </row>
    <row r="35326" spans="6:6" x14ac:dyDescent="0.3">
      <c r="F35326" s="193"/>
    </row>
    <row r="35327" spans="6:6" x14ac:dyDescent="0.3">
      <c r="F35327" s="193"/>
    </row>
    <row r="35328" spans="6:6" x14ac:dyDescent="0.3">
      <c r="F35328" s="193"/>
    </row>
    <row r="35329" spans="6:6" x14ac:dyDescent="0.3">
      <c r="F35329" s="193"/>
    </row>
    <row r="35330" spans="6:6" x14ac:dyDescent="0.3">
      <c r="F35330" s="193"/>
    </row>
    <row r="35331" spans="6:6" x14ac:dyDescent="0.3">
      <c r="F35331" s="193"/>
    </row>
    <row r="35332" spans="6:6" x14ac:dyDescent="0.3">
      <c r="F35332" s="193"/>
    </row>
    <row r="35333" spans="6:6" x14ac:dyDescent="0.3">
      <c r="F35333" s="193"/>
    </row>
    <row r="35334" spans="6:6" x14ac:dyDescent="0.3">
      <c r="F35334" s="193"/>
    </row>
    <row r="35335" spans="6:6" x14ac:dyDescent="0.3">
      <c r="F35335" s="193"/>
    </row>
    <row r="35336" spans="6:6" x14ac:dyDescent="0.3">
      <c r="F35336" s="193"/>
    </row>
    <row r="35337" spans="6:6" x14ac:dyDescent="0.3">
      <c r="F35337" s="193"/>
    </row>
    <row r="35338" spans="6:6" x14ac:dyDescent="0.3">
      <c r="F35338" s="193"/>
    </row>
    <row r="35339" spans="6:6" x14ac:dyDescent="0.3">
      <c r="F35339" s="193"/>
    </row>
    <row r="35340" spans="6:6" x14ac:dyDescent="0.3">
      <c r="F35340" s="193"/>
    </row>
    <row r="35341" spans="6:6" x14ac:dyDescent="0.3">
      <c r="F35341" s="193"/>
    </row>
    <row r="35342" spans="6:6" x14ac:dyDescent="0.3">
      <c r="F35342" s="193"/>
    </row>
    <row r="35343" spans="6:6" x14ac:dyDescent="0.3">
      <c r="F35343" s="193"/>
    </row>
    <row r="35344" spans="6:6" x14ac:dyDescent="0.3">
      <c r="F35344" s="193"/>
    </row>
    <row r="35345" spans="6:6" x14ac:dyDescent="0.3">
      <c r="F35345" s="193"/>
    </row>
    <row r="35346" spans="6:6" x14ac:dyDescent="0.3">
      <c r="F35346" s="193"/>
    </row>
    <row r="35347" spans="6:6" x14ac:dyDescent="0.3">
      <c r="F35347" s="193"/>
    </row>
    <row r="35348" spans="6:6" x14ac:dyDescent="0.3">
      <c r="F35348" s="193"/>
    </row>
    <row r="35349" spans="6:6" x14ac:dyDescent="0.3">
      <c r="F35349" s="193"/>
    </row>
    <row r="35350" spans="6:6" x14ac:dyDescent="0.3">
      <c r="F35350" s="193"/>
    </row>
    <row r="35351" spans="6:6" x14ac:dyDescent="0.3">
      <c r="F35351" s="193"/>
    </row>
    <row r="35352" spans="6:6" x14ac:dyDescent="0.3">
      <c r="F35352" s="193"/>
    </row>
    <row r="35353" spans="6:6" x14ac:dyDescent="0.3">
      <c r="F35353" s="193"/>
    </row>
    <row r="35354" spans="6:6" x14ac:dyDescent="0.3">
      <c r="F35354" s="193"/>
    </row>
    <row r="35355" spans="6:6" x14ac:dyDescent="0.3">
      <c r="F35355" s="193"/>
    </row>
    <row r="35356" spans="6:6" x14ac:dyDescent="0.3">
      <c r="F35356" s="193"/>
    </row>
    <row r="35357" spans="6:6" x14ac:dyDescent="0.3">
      <c r="F35357" s="193"/>
    </row>
    <row r="35358" spans="6:6" x14ac:dyDescent="0.3">
      <c r="F35358" s="193"/>
    </row>
    <row r="35359" spans="6:6" x14ac:dyDescent="0.3">
      <c r="F35359" s="193"/>
    </row>
    <row r="35360" spans="6:6" x14ac:dyDescent="0.3">
      <c r="F35360" s="193"/>
    </row>
    <row r="35361" spans="6:6" x14ac:dyDescent="0.3">
      <c r="F35361" s="193"/>
    </row>
    <row r="35362" spans="6:6" x14ac:dyDescent="0.3">
      <c r="F35362" s="193"/>
    </row>
    <row r="35363" spans="6:6" x14ac:dyDescent="0.3">
      <c r="F35363" s="193"/>
    </row>
    <row r="35364" spans="6:6" x14ac:dyDescent="0.3">
      <c r="F35364" s="193"/>
    </row>
    <row r="35365" spans="6:6" x14ac:dyDescent="0.3">
      <c r="F35365" s="193"/>
    </row>
    <row r="35366" spans="6:6" x14ac:dyDescent="0.3">
      <c r="F35366" s="193"/>
    </row>
    <row r="35367" spans="6:6" x14ac:dyDescent="0.3">
      <c r="F35367" s="193"/>
    </row>
    <row r="35368" spans="6:6" x14ac:dyDescent="0.3">
      <c r="F35368" s="193"/>
    </row>
    <row r="35369" spans="6:6" x14ac:dyDescent="0.3">
      <c r="F35369" s="193"/>
    </row>
    <row r="35370" spans="6:6" x14ac:dyDescent="0.3">
      <c r="F35370" s="193"/>
    </row>
    <row r="35371" spans="6:6" x14ac:dyDescent="0.3">
      <c r="F35371" s="193"/>
    </row>
    <row r="35372" spans="6:6" x14ac:dyDescent="0.3">
      <c r="F35372" s="193"/>
    </row>
    <row r="35373" spans="6:6" x14ac:dyDescent="0.3">
      <c r="F35373" s="193"/>
    </row>
    <row r="35374" spans="6:6" x14ac:dyDescent="0.3">
      <c r="F35374" s="193"/>
    </row>
    <row r="35375" spans="6:6" x14ac:dyDescent="0.3">
      <c r="F35375" s="193"/>
    </row>
    <row r="35376" spans="6:6" x14ac:dyDescent="0.3">
      <c r="F35376" s="193"/>
    </row>
    <row r="35377" spans="6:6" x14ac:dyDescent="0.3">
      <c r="F35377" s="193"/>
    </row>
    <row r="35378" spans="6:6" x14ac:dyDescent="0.3">
      <c r="F35378" s="193"/>
    </row>
    <row r="35379" spans="6:6" x14ac:dyDescent="0.3">
      <c r="F35379" s="193"/>
    </row>
    <row r="35380" spans="6:6" x14ac:dyDescent="0.3">
      <c r="F35380" s="193"/>
    </row>
    <row r="35381" spans="6:6" x14ac:dyDescent="0.3">
      <c r="F35381" s="193"/>
    </row>
    <row r="35382" spans="6:6" x14ac:dyDescent="0.3">
      <c r="F35382" s="193"/>
    </row>
    <row r="35383" spans="6:6" x14ac:dyDescent="0.3">
      <c r="F35383" s="193"/>
    </row>
    <row r="35384" spans="6:6" x14ac:dyDescent="0.3">
      <c r="F35384" s="193"/>
    </row>
    <row r="35385" spans="6:6" x14ac:dyDescent="0.3">
      <c r="F35385" s="193"/>
    </row>
    <row r="35386" spans="6:6" x14ac:dyDescent="0.3">
      <c r="F35386" s="193"/>
    </row>
    <row r="35387" spans="6:6" x14ac:dyDescent="0.3">
      <c r="F35387" s="193"/>
    </row>
    <row r="35388" spans="6:6" x14ac:dyDescent="0.3">
      <c r="F35388" s="193"/>
    </row>
    <row r="35389" spans="6:6" x14ac:dyDescent="0.3">
      <c r="F35389" s="193"/>
    </row>
    <row r="35390" spans="6:6" x14ac:dyDescent="0.3">
      <c r="F35390" s="193"/>
    </row>
    <row r="35391" spans="6:6" x14ac:dyDescent="0.3">
      <c r="F35391" s="193"/>
    </row>
    <row r="35392" spans="6:6" x14ac:dyDescent="0.3">
      <c r="F35392" s="193"/>
    </row>
    <row r="35393" spans="6:6" x14ac:dyDescent="0.3">
      <c r="F35393" s="193"/>
    </row>
    <row r="35394" spans="6:6" x14ac:dyDescent="0.3">
      <c r="F35394" s="193"/>
    </row>
    <row r="35395" spans="6:6" x14ac:dyDescent="0.3">
      <c r="F35395" s="193"/>
    </row>
    <row r="35396" spans="6:6" x14ac:dyDescent="0.3">
      <c r="F35396" s="193"/>
    </row>
    <row r="35397" spans="6:6" x14ac:dyDescent="0.3">
      <c r="F35397" s="193"/>
    </row>
    <row r="35398" spans="6:6" x14ac:dyDescent="0.3">
      <c r="F35398" s="193"/>
    </row>
    <row r="35399" spans="6:6" x14ac:dyDescent="0.3">
      <c r="F35399" s="193"/>
    </row>
    <row r="35400" spans="6:6" x14ac:dyDescent="0.3">
      <c r="F35400" s="193"/>
    </row>
    <row r="35401" spans="6:6" x14ac:dyDescent="0.3">
      <c r="F35401" s="193"/>
    </row>
    <row r="35402" spans="6:6" x14ac:dyDescent="0.3">
      <c r="F35402" s="193"/>
    </row>
    <row r="35403" spans="6:6" x14ac:dyDescent="0.3">
      <c r="F35403" s="193"/>
    </row>
    <row r="35404" spans="6:6" x14ac:dyDescent="0.3">
      <c r="F35404" s="193"/>
    </row>
    <row r="35405" spans="6:6" x14ac:dyDescent="0.3">
      <c r="F35405" s="193"/>
    </row>
    <row r="35406" spans="6:6" x14ac:dyDescent="0.3">
      <c r="F35406" s="193"/>
    </row>
    <row r="35407" spans="6:6" x14ac:dyDescent="0.3">
      <c r="F35407" s="193"/>
    </row>
    <row r="35408" spans="6:6" x14ac:dyDescent="0.3">
      <c r="F35408" s="193"/>
    </row>
    <row r="35409" spans="6:6" x14ac:dyDescent="0.3">
      <c r="F35409" s="193"/>
    </row>
    <row r="35410" spans="6:6" x14ac:dyDescent="0.3">
      <c r="F35410" s="193"/>
    </row>
    <row r="35411" spans="6:6" x14ac:dyDescent="0.3">
      <c r="F35411" s="193"/>
    </row>
    <row r="35412" spans="6:6" x14ac:dyDescent="0.3">
      <c r="F35412" s="193"/>
    </row>
    <row r="35413" spans="6:6" x14ac:dyDescent="0.3">
      <c r="F35413" s="193"/>
    </row>
    <row r="35414" spans="6:6" x14ac:dyDescent="0.3">
      <c r="F35414" s="193"/>
    </row>
    <row r="35415" spans="6:6" x14ac:dyDescent="0.3">
      <c r="F35415" s="193"/>
    </row>
    <row r="35416" spans="6:6" x14ac:dyDescent="0.3">
      <c r="F35416" s="193"/>
    </row>
    <row r="35417" spans="6:6" x14ac:dyDescent="0.3">
      <c r="F35417" s="193"/>
    </row>
    <row r="35418" spans="6:6" x14ac:dyDescent="0.3">
      <c r="F35418" s="193"/>
    </row>
    <row r="35419" spans="6:6" x14ac:dyDescent="0.3">
      <c r="F35419" s="193"/>
    </row>
    <row r="35420" spans="6:6" x14ac:dyDescent="0.3">
      <c r="F35420" s="193"/>
    </row>
    <row r="35421" spans="6:6" x14ac:dyDescent="0.3">
      <c r="F35421" s="193"/>
    </row>
    <row r="35422" spans="6:6" x14ac:dyDescent="0.3">
      <c r="F35422" s="193"/>
    </row>
    <row r="35423" spans="6:6" x14ac:dyDescent="0.3">
      <c r="F35423" s="193"/>
    </row>
    <row r="35424" spans="6:6" x14ac:dyDescent="0.3">
      <c r="F35424" s="193"/>
    </row>
    <row r="35425" spans="6:6" x14ac:dyDescent="0.3">
      <c r="F35425" s="193"/>
    </row>
    <row r="35426" spans="6:6" x14ac:dyDescent="0.3">
      <c r="F35426" s="193"/>
    </row>
    <row r="35427" spans="6:6" x14ac:dyDescent="0.3">
      <c r="F35427" s="193"/>
    </row>
    <row r="35428" spans="6:6" x14ac:dyDescent="0.3">
      <c r="F35428" s="193"/>
    </row>
    <row r="35429" spans="6:6" x14ac:dyDescent="0.3">
      <c r="F35429" s="193"/>
    </row>
    <row r="35430" spans="6:6" x14ac:dyDescent="0.3">
      <c r="F35430" s="193"/>
    </row>
    <row r="35431" spans="6:6" x14ac:dyDescent="0.3">
      <c r="F35431" s="193"/>
    </row>
    <row r="35432" spans="6:6" x14ac:dyDescent="0.3">
      <c r="F35432" s="193"/>
    </row>
    <row r="35433" spans="6:6" x14ac:dyDescent="0.3">
      <c r="F35433" s="193"/>
    </row>
    <row r="35434" spans="6:6" x14ac:dyDescent="0.3">
      <c r="F35434" s="193"/>
    </row>
    <row r="35435" spans="6:6" x14ac:dyDescent="0.3">
      <c r="F35435" s="193"/>
    </row>
    <row r="35436" spans="6:6" x14ac:dyDescent="0.3">
      <c r="F35436" s="193"/>
    </row>
    <row r="35437" spans="6:6" x14ac:dyDescent="0.3">
      <c r="F35437" s="193"/>
    </row>
    <row r="35438" spans="6:6" x14ac:dyDescent="0.3">
      <c r="F35438" s="193"/>
    </row>
    <row r="35439" spans="6:6" x14ac:dyDescent="0.3">
      <c r="F35439" s="193"/>
    </row>
    <row r="35440" spans="6:6" x14ac:dyDescent="0.3">
      <c r="F35440" s="193"/>
    </row>
    <row r="35441" spans="6:6" x14ac:dyDescent="0.3">
      <c r="F35441" s="193"/>
    </row>
    <row r="35442" spans="6:6" x14ac:dyDescent="0.3">
      <c r="F35442" s="193"/>
    </row>
    <row r="35443" spans="6:6" x14ac:dyDescent="0.3">
      <c r="F35443" s="193"/>
    </row>
    <row r="35444" spans="6:6" x14ac:dyDescent="0.3">
      <c r="F35444" s="193"/>
    </row>
    <row r="35445" spans="6:6" x14ac:dyDescent="0.3">
      <c r="F35445" s="193"/>
    </row>
    <row r="35446" spans="6:6" x14ac:dyDescent="0.3">
      <c r="F35446" s="193"/>
    </row>
    <row r="35447" spans="6:6" x14ac:dyDescent="0.3">
      <c r="F35447" s="193"/>
    </row>
    <row r="35448" spans="6:6" x14ac:dyDescent="0.3">
      <c r="F35448" s="193"/>
    </row>
    <row r="35449" spans="6:6" x14ac:dyDescent="0.3">
      <c r="F35449" s="193"/>
    </row>
    <row r="35450" spans="6:6" x14ac:dyDescent="0.3">
      <c r="F35450" s="193"/>
    </row>
    <row r="35451" spans="6:6" x14ac:dyDescent="0.3">
      <c r="F35451" s="193"/>
    </row>
    <row r="35452" spans="6:6" x14ac:dyDescent="0.3">
      <c r="F35452" s="193"/>
    </row>
    <row r="35453" spans="6:6" x14ac:dyDescent="0.3">
      <c r="F35453" s="193"/>
    </row>
    <row r="35454" spans="6:6" x14ac:dyDescent="0.3">
      <c r="F35454" s="193"/>
    </row>
    <row r="35455" spans="6:6" x14ac:dyDescent="0.3">
      <c r="F35455" s="193"/>
    </row>
    <row r="35456" spans="6:6" x14ac:dyDescent="0.3">
      <c r="F35456" s="193"/>
    </row>
    <row r="35457" spans="6:6" x14ac:dyDescent="0.3">
      <c r="F35457" s="193"/>
    </row>
    <row r="35458" spans="6:6" x14ac:dyDescent="0.3">
      <c r="F35458" s="193"/>
    </row>
    <row r="35459" spans="6:6" x14ac:dyDescent="0.3">
      <c r="F35459" s="193"/>
    </row>
    <row r="35460" spans="6:6" x14ac:dyDescent="0.3">
      <c r="F35460" s="193"/>
    </row>
    <row r="35461" spans="6:6" x14ac:dyDescent="0.3">
      <c r="F35461" s="193"/>
    </row>
    <row r="35462" spans="6:6" x14ac:dyDescent="0.3">
      <c r="F35462" s="193"/>
    </row>
    <row r="35463" spans="6:6" x14ac:dyDescent="0.3">
      <c r="F35463" s="193"/>
    </row>
    <row r="35464" spans="6:6" x14ac:dyDescent="0.3">
      <c r="F35464" s="193"/>
    </row>
    <row r="35465" spans="6:6" x14ac:dyDescent="0.3">
      <c r="F35465" s="193"/>
    </row>
    <row r="35466" spans="6:6" x14ac:dyDescent="0.3">
      <c r="F35466" s="193"/>
    </row>
    <row r="35467" spans="6:6" x14ac:dyDescent="0.3">
      <c r="F35467" s="193"/>
    </row>
    <row r="35468" spans="6:6" x14ac:dyDescent="0.3">
      <c r="F35468" s="193"/>
    </row>
    <row r="35469" spans="6:6" x14ac:dyDescent="0.3">
      <c r="F35469" s="193"/>
    </row>
    <row r="35470" spans="6:6" x14ac:dyDescent="0.3">
      <c r="F35470" s="193"/>
    </row>
    <row r="35471" spans="6:6" x14ac:dyDescent="0.3">
      <c r="F35471" s="193"/>
    </row>
    <row r="35472" spans="6:6" x14ac:dyDescent="0.3">
      <c r="F35472" s="193"/>
    </row>
    <row r="35473" spans="6:6" x14ac:dyDescent="0.3">
      <c r="F35473" s="193"/>
    </row>
    <row r="35474" spans="6:6" x14ac:dyDescent="0.3">
      <c r="F35474" s="193"/>
    </row>
    <row r="35475" spans="6:6" x14ac:dyDescent="0.3">
      <c r="F35475" s="193"/>
    </row>
    <row r="35476" spans="6:6" x14ac:dyDescent="0.3">
      <c r="F35476" s="193"/>
    </row>
    <row r="35477" spans="6:6" x14ac:dyDescent="0.3">
      <c r="F35477" s="193"/>
    </row>
    <row r="35478" spans="6:6" x14ac:dyDescent="0.3">
      <c r="F35478" s="193"/>
    </row>
    <row r="35479" spans="6:6" x14ac:dyDescent="0.3">
      <c r="F35479" s="193"/>
    </row>
    <row r="35480" spans="6:6" x14ac:dyDescent="0.3">
      <c r="F35480" s="193"/>
    </row>
    <row r="35481" spans="6:6" x14ac:dyDescent="0.3">
      <c r="F35481" s="193"/>
    </row>
    <row r="35482" spans="6:6" x14ac:dyDescent="0.3">
      <c r="F35482" s="193"/>
    </row>
    <row r="35483" spans="6:6" x14ac:dyDescent="0.3">
      <c r="F35483" s="193"/>
    </row>
    <row r="35484" spans="6:6" x14ac:dyDescent="0.3">
      <c r="F35484" s="193"/>
    </row>
    <row r="35485" spans="6:6" x14ac:dyDescent="0.3">
      <c r="F35485" s="193"/>
    </row>
    <row r="35486" spans="6:6" x14ac:dyDescent="0.3">
      <c r="F35486" s="193"/>
    </row>
    <row r="35487" spans="6:6" x14ac:dyDescent="0.3">
      <c r="F35487" s="193"/>
    </row>
    <row r="35488" spans="6:6" x14ac:dyDescent="0.3">
      <c r="F35488" s="193"/>
    </row>
    <row r="35489" spans="6:6" x14ac:dyDescent="0.3">
      <c r="F35489" s="193"/>
    </row>
    <row r="35490" spans="6:6" x14ac:dyDescent="0.3">
      <c r="F35490" s="193"/>
    </row>
    <row r="35491" spans="6:6" x14ac:dyDescent="0.3">
      <c r="F35491" s="193"/>
    </row>
    <row r="35492" spans="6:6" x14ac:dyDescent="0.3">
      <c r="F35492" s="193"/>
    </row>
    <row r="35493" spans="6:6" x14ac:dyDescent="0.3">
      <c r="F35493" s="193"/>
    </row>
    <row r="35494" spans="6:6" x14ac:dyDescent="0.3">
      <c r="F35494" s="193"/>
    </row>
    <row r="35495" spans="6:6" x14ac:dyDescent="0.3">
      <c r="F35495" s="193"/>
    </row>
    <row r="35496" spans="6:6" x14ac:dyDescent="0.3">
      <c r="F35496" s="193"/>
    </row>
    <row r="35497" spans="6:6" x14ac:dyDescent="0.3">
      <c r="F35497" s="193"/>
    </row>
    <row r="35498" spans="6:6" x14ac:dyDescent="0.3">
      <c r="F35498" s="193"/>
    </row>
    <row r="35499" spans="6:6" x14ac:dyDescent="0.3">
      <c r="F35499" s="193"/>
    </row>
    <row r="35500" spans="6:6" x14ac:dyDescent="0.3">
      <c r="F35500" s="193"/>
    </row>
    <row r="35501" spans="6:6" x14ac:dyDescent="0.3">
      <c r="F35501" s="193"/>
    </row>
    <row r="35502" spans="6:6" x14ac:dyDescent="0.3">
      <c r="F35502" s="193"/>
    </row>
    <row r="35503" spans="6:6" x14ac:dyDescent="0.3">
      <c r="F35503" s="193"/>
    </row>
    <row r="35504" spans="6:6" x14ac:dyDescent="0.3">
      <c r="F35504" s="193"/>
    </row>
    <row r="35505" spans="6:6" x14ac:dyDescent="0.3">
      <c r="F35505" s="193"/>
    </row>
    <row r="35506" spans="6:6" x14ac:dyDescent="0.3">
      <c r="F35506" s="193"/>
    </row>
    <row r="35507" spans="6:6" x14ac:dyDescent="0.3">
      <c r="F35507" s="193"/>
    </row>
    <row r="35508" spans="6:6" x14ac:dyDescent="0.3">
      <c r="F35508" s="193"/>
    </row>
    <row r="35509" spans="6:6" x14ac:dyDescent="0.3">
      <c r="F35509" s="193"/>
    </row>
    <row r="35510" spans="6:6" x14ac:dyDescent="0.3">
      <c r="F35510" s="193"/>
    </row>
    <row r="35511" spans="6:6" x14ac:dyDescent="0.3">
      <c r="F35511" s="193"/>
    </row>
    <row r="35512" spans="6:6" x14ac:dyDescent="0.3">
      <c r="F35512" s="193"/>
    </row>
    <row r="35513" spans="6:6" x14ac:dyDescent="0.3">
      <c r="F35513" s="193"/>
    </row>
    <row r="35514" spans="6:6" x14ac:dyDescent="0.3">
      <c r="F35514" s="193"/>
    </row>
    <row r="35515" spans="6:6" x14ac:dyDescent="0.3">
      <c r="F35515" s="193"/>
    </row>
    <row r="35516" spans="6:6" x14ac:dyDescent="0.3">
      <c r="F35516" s="193"/>
    </row>
    <row r="35517" spans="6:6" x14ac:dyDescent="0.3">
      <c r="F35517" s="193"/>
    </row>
    <row r="35518" spans="6:6" x14ac:dyDescent="0.3">
      <c r="F35518" s="193"/>
    </row>
    <row r="35519" spans="6:6" x14ac:dyDescent="0.3">
      <c r="F35519" s="193"/>
    </row>
    <row r="35520" spans="6:6" x14ac:dyDescent="0.3">
      <c r="F35520" s="193"/>
    </row>
    <row r="35521" spans="6:6" x14ac:dyDescent="0.3">
      <c r="F35521" s="193"/>
    </row>
    <row r="35522" spans="6:6" x14ac:dyDescent="0.3">
      <c r="F35522" s="193"/>
    </row>
    <row r="35523" spans="6:6" x14ac:dyDescent="0.3">
      <c r="F35523" s="193"/>
    </row>
    <row r="35524" spans="6:6" x14ac:dyDescent="0.3">
      <c r="F35524" s="193"/>
    </row>
    <row r="35525" spans="6:6" x14ac:dyDescent="0.3">
      <c r="F35525" s="193"/>
    </row>
    <row r="35526" spans="6:6" x14ac:dyDescent="0.3">
      <c r="F35526" s="193"/>
    </row>
    <row r="35527" spans="6:6" x14ac:dyDescent="0.3">
      <c r="F35527" s="193"/>
    </row>
    <row r="35528" spans="6:6" x14ac:dyDescent="0.3">
      <c r="F35528" s="193"/>
    </row>
    <row r="35529" spans="6:6" x14ac:dyDescent="0.3">
      <c r="F35529" s="193"/>
    </row>
    <row r="35530" spans="6:6" x14ac:dyDescent="0.3">
      <c r="F35530" s="193"/>
    </row>
    <row r="35531" spans="6:6" x14ac:dyDescent="0.3">
      <c r="F35531" s="193"/>
    </row>
    <row r="35532" spans="6:6" x14ac:dyDescent="0.3">
      <c r="F35532" s="193"/>
    </row>
    <row r="35533" spans="6:6" x14ac:dyDescent="0.3">
      <c r="F35533" s="193"/>
    </row>
    <row r="35534" spans="6:6" x14ac:dyDescent="0.3">
      <c r="F35534" s="193"/>
    </row>
    <row r="35535" spans="6:6" x14ac:dyDescent="0.3">
      <c r="F35535" s="193"/>
    </row>
    <row r="35536" spans="6:6" x14ac:dyDescent="0.3">
      <c r="F35536" s="193"/>
    </row>
    <row r="35537" spans="6:6" x14ac:dyDescent="0.3">
      <c r="F35537" s="193"/>
    </row>
    <row r="35538" spans="6:6" x14ac:dyDescent="0.3">
      <c r="F35538" s="193"/>
    </row>
    <row r="35539" spans="6:6" x14ac:dyDescent="0.3">
      <c r="F35539" s="193"/>
    </row>
    <row r="35540" spans="6:6" x14ac:dyDescent="0.3">
      <c r="F35540" s="193"/>
    </row>
    <row r="35541" spans="6:6" x14ac:dyDescent="0.3">
      <c r="F35541" s="193"/>
    </row>
    <row r="35542" spans="6:6" x14ac:dyDescent="0.3">
      <c r="F35542" s="193"/>
    </row>
    <row r="35543" spans="6:6" x14ac:dyDescent="0.3">
      <c r="F35543" s="193"/>
    </row>
    <row r="35544" spans="6:6" x14ac:dyDescent="0.3">
      <c r="F35544" s="193"/>
    </row>
    <row r="35545" spans="6:6" x14ac:dyDescent="0.3">
      <c r="F35545" s="193"/>
    </row>
    <row r="35546" spans="6:6" x14ac:dyDescent="0.3">
      <c r="F35546" s="193"/>
    </row>
    <row r="35547" spans="6:6" x14ac:dyDescent="0.3">
      <c r="F35547" s="193"/>
    </row>
    <row r="35548" spans="6:6" x14ac:dyDescent="0.3">
      <c r="F35548" s="193"/>
    </row>
    <row r="35549" spans="6:6" x14ac:dyDescent="0.3">
      <c r="F35549" s="193"/>
    </row>
    <row r="35550" spans="6:6" x14ac:dyDescent="0.3">
      <c r="F35550" s="193"/>
    </row>
    <row r="35551" spans="6:6" x14ac:dyDescent="0.3">
      <c r="F35551" s="193"/>
    </row>
    <row r="35552" spans="6:6" x14ac:dyDescent="0.3">
      <c r="F35552" s="193"/>
    </row>
    <row r="35553" spans="6:6" x14ac:dyDescent="0.3">
      <c r="F35553" s="193"/>
    </row>
    <row r="35554" spans="6:6" x14ac:dyDescent="0.3">
      <c r="F35554" s="193"/>
    </row>
    <row r="35555" spans="6:6" x14ac:dyDescent="0.3">
      <c r="F35555" s="193"/>
    </row>
    <row r="35556" spans="6:6" x14ac:dyDescent="0.3">
      <c r="F35556" s="193"/>
    </row>
    <row r="35557" spans="6:6" x14ac:dyDescent="0.3">
      <c r="F35557" s="193"/>
    </row>
    <row r="35558" spans="6:6" x14ac:dyDescent="0.3">
      <c r="F35558" s="193"/>
    </row>
    <row r="35559" spans="6:6" x14ac:dyDescent="0.3">
      <c r="F35559" s="193"/>
    </row>
    <row r="35560" spans="6:6" x14ac:dyDescent="0.3">
      <c r="F35560" s="193"/>
    </row>
    <row r="35561" spans="6:6" x14ac:dyDescent="0.3">
      <c r="F35561" s="193"/>
    </row>
    <row r="35562" spans="6:6" x14ac:dyDescent="0.3">
      <c r="F35562" s="193"/>
    </row>
    <row r="35563" spans="6:6" x14ac:dyDescent="0.3">
      <c r="F35563" s="193"/>
    </row>
    <row r="35564" spans="6:6" x14ac:dyDescent="0.3">
      <c r="F35564" s="193"/>
    </row>
    <row r="35565" spans="6:6" x14ac:dyDescent="0.3">
      <c r="F35565" s="193"/>
    </row>
    <row r="35566" spans="6:6" x14ac:dyDescent="0.3">
      <c r="F35566" s="193"/>
    </row>
    <row r="35567" spans="6:6" x14ac:dyDescent="0.3">
      <c r="F35567" s="193"/>
    </row>
    <row r="35568" spans="6:6" x14ac:dyDescent="0.3">
      <c r="F35568" s="193"/>
    </row>
    <row r="35569" spans="6:6" x14ac:dyDescent="0.3">
      <c r="F35569" s="193"/>
    </row>
    <row r="35570" spans="6:6" x14ac:dyDescent="0.3">
      <c r="F35570" s="193"/>
    </row>
    <row r="35571" spans="6:6" x14ac:dyDescent="0.3">
      <c r="F35571" s="193"/>
    </row>
    <row r="35572" spans="6:6" x14ac:dyDescent="0.3">
      <c r="F35572" s="193"/>
    </row>
    <row r="35573" spans="6:6" x14ac:dyDescent="0.3">
      <c r="F35573" s="193"/>
    </row>
    <row r="35574" spans="6:6" x14ac:dyDescent="0.3">
      <c r="F35574" s="193"/>
    </row>
    <row r="35575" spans="6:6" x14ac:dyDescent="0.3">
      <c r="F35575" s="193"/>
    </row>
    <row r="35576" spans="6:6" x14ac:dyDescent="0.3">
      <c r="F35576" s="193"/>
    </row>
    <row r="35577" spans="6:6" x14ac:dyDescent="0.3">
      <c r="F35577" s="193"/>
    </row>
    <row r="35578" spans="6:6" x14ac:dyDescent="0.3">
      <c r="F35578" s="193"/>
    </row>
    <row r="35579" spans="6:6" x14ac:dyDescent="0.3">
      <c r="F35579" s="193"/>
    </row>
    <row r="35580" spans="6:6" x14ac:dyDescent="0.3">
      <c r="F35580" s="193"/>
    </row>
    <row r="35581" spans="6:6" x14ac:dyDescent="0.3">
      <c r="F35581" s="193"/>
    </row>
    <row r="35582" spans="6:6" x14ac:dyDescent="0.3">
      <c r="F35582" s="193"/>
    </row>
    <row r="35583" spans="6:6" x14ac:dyDescent="0.3">
      <c r="F35583" s="193"/>
    </row>
    <row r="35584" spans="6:6" x14ac:dyDescent="0.3">
      <c r="F35584" s="193"/>
    </row>
    <row r="35585" spans="6:6" x14ac:dyDescent="0.3">
      <c r="F35585" s="193"/>
    </row>
    <row r="35586" spans="6:6" x14ac:dyDescent="0.3">
      <c r="F35586" s="193"/>
    </row>
    <row r="35587" spans="6:6" x14ac:dyDescent="0.3">
      <c r="F35587" s="193"/>
    </row>
    <row r="35588" spans="6:6" x14ac:dyDescent="0.3">
      <c r="F35588" s="193"/>
    </row>
    <row r="35589" spans="6:6" x14ac:dyDescent="0.3">
      <c r="F35589" s="193"/>
    </row>
    <row r="35590" spans="6:6" x14ac:dyDescent="0.3">
      <c r="F35590" s="193"/>
    </row>
    <row r="35591" spans="6:6" x14ac:dyDescent="0.3">
      <c r="F35591" s="193"/>
    </row>
    <row r="35592" spans="6:6" x14ac:dyDescent="0.3">
      <c r="F35592" s="193"/>
    </row>
    <row r="35593" spans="6:6" x14ac:dyDescent="0.3">
      <c r="F35593" s="193"/>
    </row>
    <row r="35594" spans="6:6" x14ac:dyDescent="0.3">
      <c r="F35594" s="193"/>
    </row>
    <row r="35595" spans="6:6" x14ac:dyDescent="0.3">
      <c r="F35595" s="193"/>
    </row>
    <row r="35596" spans="6:6" x14ac:dyDescent="0.3">
      <c r="F35596" s="193"/>
    </row>
    <row r="35597" spans="6:6" x14ac:dyDescent="0.3">
      <c r="F35597" s="193"/>
    </row>
    <row r="35598" spans="6:6" x14ac:dyDescent="0.3">
      <c r="F35598" s="193"/>
    </row>
    <row r="35599" spans="6:6" x14ac:dyDescent="0.3">
      <c r="F35599" s="193"/>
    </row>
    <row r="35600" spans="6:6" x14ac:dyDescent="0.3">
      <c r="F35600" s="193"/>
    </row>
    <row r="35601" spans="6:6" x14ac:dyDescent="0.3">
      <c r="F35601" s="193"/>
    </row>
    <row r="35602" spans="6:6" x14ac:dyDescent="0.3">
      <c r="F35602" s="193"/>
    </row>
    <row r="35603" spans="6:6" x14ac:dyDescent="0.3">
      <c r="F35603" s="193"/>
    </row>
    <row r="35604" spans="6:6" x14ac:dyDescent="0.3">
      <c r="F35604" s="193"/>
    </row>
    <row r="35605" spans="6:6" x14ac:dyDescent="0.3">
      <c r="F35605" s="193"/>
    </row>
    <row r="35606" spans="6:6" x14ac:dyDescent="0.3">
      <c r="F35606" s="193"/>
    </row>
    <row r="35607" spans="6:6" x14ac:dyDescent="0.3">
      <c r="F35607" s="193"/>
    </row>
    <row r="35608" spans="6:6" x14ac:dyDescent="0.3">
      <c r="F35608" s="193"/>
    </row>
    <row r="35609" spans="6:6" x14ac:dyDescent="0.3">
      <c r="F35609" s="193"/>
    </row>
    <row r="35610" spans="6:6" x14ac:dyDescent="0.3">
      <c r="F35610" s="193"/>
    </row>
    <row r="35611" spans="6:6" x14ac:dyDescent="0.3">
      <c r="F35611" s="193"/>
    </row>
    <row r="35612" spans="6:6" x14ac:dyDescent="0.3">
      <c r="F35612" s="193"/>
    </row>
    <row r="35613" spans="6:6" x14ac:dyDescent="0.3">
      <c r="F35613" s="193"/>
    </row>
    <row r="35614" spans="6:6" x14ac:dyDescent="0.3">
      <c r="F35614" s="193"/>
    </row>
    <row r="35615" spans="6:6" x14ac:dyDescent="0.3">
      <c r="F35615" s="193"/>
    </row>
    <row r="35616" spans="6:6" x14ac:dyDescent="0.3">
      <c r="F35616" s="193"/>
    </row>
    <row r="35617" spans="6:6" x14ac:dyDescent="0.3">
      <c r="F35617" s="193"/>
    </row>
    <row r="35618" spans="6:6" x14ac:dyDescent="0.3">
      <c r="F35618" s="193"/>
    </row>
    <row r="35619" spans="6:6" x14ac:dyDescent="0.3">
      <c r="F35619" s="193"/>
    </row>
    <row r="35620" spans="6:6" x14ac:dyDescent="0.3">
      <c r="F35620" s="193"/>
    </row>
    <row r="35621" spans="6:6" x14ac:dyDescent="0.3">
      <c r="F35621" s="193"/>
    </row>
    <row r="35622" spans="6:6" x14ac:dyDescent="0.3">
      <c r="F35622" s="193"/>
    </row>
    <row r="35623" spans="6:6" x14ac:dyDescent="0.3">
      <c r="F35623" s="193"/>
    </row>
    <row r="35624" spans="6:6" x14ac:dyDescent="0.3">
      <c r="F35624" s="193"/>
    </row>
    <row r="35625" spans="6:6" x14ac:dyDescent="0.3">
      <c r="F35625" s="193"/>
    </row>
    <row r="35626" spans="6:6" x14ac:dyDescent="0.3">
      <c r="F35626" s="193"/>
    </row>
    <row r="35627" spans="6:6" x14ac:dyDescent="0.3">
      <c r="F35627" s="193"/>
    </row>
    <row r="35628" spans="6:6" x14ac:dyDescent="0.3">
      <c r="F35628" s="193"/>
    </row>
    <row r="35629" spans="6:6" x14ac:dyDescent="0.3">
      <c r="F35629" s="193"/>
    </row>
    <row r="35630" spans="6:6" x14ac:dyDescent="0.3">
      <c r="F35630" s="193"/>
    </row>
    <row r="35631" spans="6:6" x14ac:dyDescent="0.3">
      <c r="F35631" s="193"/>
    </row>
    <row r="35632" spans="6:6" x14ac:dyDescent="0.3">
      <c r="F35632" s="193"/>
    </row>
    <row r="35633" spans="6:6" x14ac:dyDescent="0.3">
      <c r="F35633" s="193"/>
    </row>
    <row r="35634" spans="6:6" x14ac:dyDescent="0.3">
      <c r="F35634" s="193"/>
    </row>
    <row r="35635" spans="6:6" x14ac:dyDescent="0.3">
      <c r="F35635" s="193"/>
    </row>
    <row r="35636" spans="6:6" x14ac:dyDescent="0.3">
      <c r="F35636" s="193"/>
    </row>
    <row r="35637" spans="6:6" x14ac:dyDescent="0.3">
      <c r="F35637" s="193"/>
    </row>
    <row r="35638" spans="6:6" x14ac:dyDescent="0.3">
      <c r="F35638" s="193"/>
    </row>
    <row r="35639" spans="6:6" x14ac:dyDescent="0.3">
      <c r="F35639" s="193"/>
    </row>
    <row r="35640" spans="6:6" x14ac:dyDescent="0.3">
      <c r="F35640" s="193"/>
    </row>
    <row r="35641" spans="6:6" x14ac:dyDescent="0.3">
      <c r="F35641" s="193"/>
    </row>
    <row r="35642" spans="6:6" x14ac:dyDescent="0.3">
      <c r="F35642" s="193"/>
    </row>
    <row r="35643" spans="6:6" x14ac:dyDescent="0.3">
      <c r="F35643" s="193"/>
    </row>
    <row r="35644" spans="6:6" x14ac:dyDescent="0.3">
      <c r="F35644" s="193"/>
    </row>
    <row r="35645" spans="6:6" x14ac:dyDescent="0.3">
      <c r="F35645" s="193"/>
    </row>
    <row r="35646" spans="6:6" x14ac:dyDescent="0.3">
      <c r="F35646" s="193"/>
    </row>
    <row r="35647" spans="6:6" x14ac:dyDescent="0.3">
      <c r="F35647" s="193"/>
    </row>
    <row r="35648" spans="6:6" x14ac:dyDescent="0.3">
      <c r="F35648" s="193"/>
    </row>
    <row r="35649" spans="6:6" x14ac:dyDescent="0.3">
      <c r="F35649" s="193"/>
    </row>
    <row r="35650" spans="6:6" x14ac:dyDescent="0.3">
      <c r="F35650" s="193"/>
    </row>
    <row r="35651" spans="6:6" x14ac:dyDescent="0.3">
      <c r="F35651" s="193"/>
    </row>
    <row r="35652" spans="6:6" x14ac:dyDescent="0.3">
      <c r="F35652" s="193"/>
    </row>
    <row r="35653" spans="6:6" x14ac:dyDescent="0.3">
      <c r="F35653" s="193"/>
    </row>
    <row r="35654" spans="6:6" x14ac:dyDescent="0.3">
      <c r="F35654" s="193"/>
    </row>
    <row r="35655" spans="6:6" x14ac:dyDescent="0.3">
      <c r="F35655" s="193"/>
    </row>
    <row r="35656" spans="6:6" x14ac:dyDescent="0.3">
      <c r="F35656" s="193"/>
    </row>
    <row r="35657" spans="6:6" x14ac:dyDescent="0.3">
      <c r="F35657" s="193"/>
    </row>
    <row r="35658" spans="6:6" x14ac:dyDescent="0.3">
      <c r="F35658" s="193"/>
    </row>
    <row r="35659" spans="6:6" x14ac:dyDescent="0.3">
      <c r="F35659" s="193"/>
    </row>
    <row r="35660" spans="6:6" x14ac:dyDescent="0.3">
      <c r="F35660" s="193"/>
    </row>
    <row r="35661" spans="6:6" x14ac:dyDescent="0.3">
      <c r="F35661" s="193"/>
    </row>
    <row r="35662" spans="6:6" x14ac:dyDescent="0.3">
      <c r="F35662" s="193"/>
    </row>
    <row r="35663" spans="6:6" x14ac:dyDescent="0.3">
      <c r="F35663" s="193"/>
    </row>
    <row r="35664" spans="6:6" x14ac:dyDescent="0.3">
      <c r="F35664" s="193"/>
    </row>
    <row r="35665" spans="6:6" x14ac:dyDescent="0.3">
      <c r="F35665" s="193"/>
    </row>
    <row r="35666" spans="6:6" x14ac:dyDescent="0.3">
      <c r="F35666" s="193"/>
    </row>
    <row r="35667" spans="6:6" x14ac:dyDescent="0.3">
      <c r="F35667" s="193"/>
    </row>
    <row r="35668" spans="6:6" x14ac:dyDescent="0.3">
      <c r="F35668" s="193"/>
    </row>
    <row r="35669" spans="6:6" x14ac:dyDescent="0.3">
      <c r="F35669" s="193"/>
    </row>
    <row r="35670" spans="6:6" x14ac:dyDescent="0.3">
      <c r="F35670" s="193"/>
    </row>
    <row r="35671" spans="6:6" x14ac:dyDescent="0.3">
      <c r="F35671" s="193"/>
    </row>
    <row r="35672" spans="6:6" x14ac:dyDescent="0.3">
      <c r="F35672" s="193"/>
    </row>
    <row r="35673" spans="6:6" x14ac:dyDescent="0.3">
      <c r="F35673" s="193"/>
    </row>
    <row r="35674" spans="6:6" x14ac:dyDescent="0.3">
      <c r="F35674" s="193"/>
    </row>
    <row r="35675" spans="6:6" x14ac:dyDescent="0.3">
      <c r="F35675" s="193"/>
    </row>
    <row r="35676" spans="6:6" x14ac:dyDescent="0.3">
      <c r="F35676" s="193"/>
    </row>
    <row r="35677" spans="6:6" x14ac:dyDescent="0.3">
      <c r="F35677" s="193"/>
    </row>
    <row r="35678" spans="6:6" x14ac:dyDescent="0.3">
      <c r="F35678" s="193"/>
    </row>
    <row r="35679" spans="6:6" x14ac:dyDescent="0.3">
      <c r="F35679" s="193"/>
    </row>
    <row r="35680" spans="6:6" x14ac:dyDescent="0.3">
      <c r="F35680" s="193"/>
    </row>
    <row r="35681" spans="6:6" x14ac:dyDescent="0.3">
      <c r="F35681" s="193"/>
    </row>
    <row r="35682" spans="6:6" x14ac:dyDescent="0.3">
      <c r="F35682" s="193"/>
    </row>
    <row r="35683" spans="6:6" x14ac:dyDescent="0.3">
      <c r="F35683" s="193"/>
    </row>
    <row r="35684" spans="6:6" x14ac:dyDescent="0.3">
      <c r="F35684" s="193"/>
    </row>
    <row r="35685" spans="6:6" x14ac:dyDescent="0.3">
      <c r="F35685" s="193"/>
    </row>
    <row r="35686" spans="6:6" x14ac:dyDescent="0.3">
      <c r="F35686" s="193"/>
    </row>
    <row r="35687" spans="6:6" x14ac:dyDescent="0.3">
      <c r="F35687" s="193"/>
    </row>
    <row r="35688" spans="6:6" x14ac:dyDescent="0.3">
      <c r="F35688" s="193"/>
    </row>
    <row r="35689" spans="6:6" x14ac:dyDescent="0.3">
      <c r="F35689" s="193"/>
    </row>
    <row r="35690" spans="6:6" x14ac:dyDescent="0.3">
      <c r="F35690" s="193"/>
    </row>
    <row r="35691" spans="6:6" x14ac:dyDescent="0.3">
      <c r="F35691" s="193"/>
    </row>
    <row r="35692" spans="6:6" x14ac:dyDescent="0.3">
      <c r="F35692" s="193"/>
    </row>
    <row r="35693" spans="6:6" x14ac:dyDescent="0.3">
      <c r="F35693" s="193"/>
    </row>
    <row r="35694" spans="6:6" x14ac:dyDescent="0.3">
      <c r="F35694" s="193"/>
    </row>
    <row r="35695" spans="6:6" x14ac:dyDescent="0.3">
      <c r="F35695" s="193"/>
    </row>
    <row r="35696" spans="6:6" x14ac:dyDescent="0.3">
      <c r="F35696" s="193"/>
    </row>
    <row r="35697" spans="6:6" x14ac:dyDescent="0.3">
      <c r="F35697" s="193"/>
    </row>
    <row r="35698" spans="6:6" x14ac:dyDescent="0.3">
      <c r="F35698" s="193"/>
    </row>
    <row r="35699" spans="6:6" x14ac:dyDescent="0.3">
      <c r="F35699" s="193"/>
    </row>
    <row r="35700" spans="6:6" x14ac:dyDescent="0.3">
      <c r="F35700" s="193"/>
    </row>
    <row r="35701" spans="6:6" x14ac:dyDescent="0.3">
      <c r="F35701" s="193"/>
    </row>
    <row r="35702" spans="6:6" x14ac:dyDescent="0.3">
      <c r="F35702" s="193"/>
    </row>
    <row r="35703" spans="6:6" x14ac:dyDescent="0.3">
      <c r="F35703" s="193"/>
    </row>
    <row r="35704" spans="6:6" x14ac:dyDescent="0.3">
      <c r="F35704" s="193"/>
    </row>
    <row r="35705" spans="6:6" x14ac:dyDescent="0.3">
      <c r="F35705" s="193"/>
    </row>
    <row r="35706" spans="6:6" x14ac:dyDescent="0.3">
      <c r="F35706" s="193"/>
    </row>
    <row r="35707" spans="6:6" x14ac:dyDescent="0.3">
      <c r="F35707" s="193"/>
    </row>
    <row r="35708" spans="6:6" x14ac:dyDescent="0.3">
      <c r="F35708" s="193"/>
    </row>
    <row r="35709" spans="6:6" x14ac:dyDescent="0.3">
      <c r="F35709" s="193"/>
    </row>
    <row r="35710" spans="6:6" x14ac:dyDescent="0.3">
      <c r="F35710" s="193"/>
    </row>
    <row r="35711" spans="6:6" x14ac:dyDescent="0.3">
      <c r="F35711" s="193"/>
    </row>
    <row r="35712" spans="6:6" x14ac:dyDescent="0.3">
      <c r="F35712" s="193"/>
    </row>
    <row r="35713" spans="6:6" x14ac:dyDescent="0.3">
      <c r="F35713" s="193"/>
    </row>
    <row r="35714" spans="6:6" x14ac:dyDescent="0.3">
      <c r="F35714" s="193"/>
    </row>
    <row r="35715" spans="6:6" x14ac:dyDescent="0.3">
      <c r="F35715" s="193"/>
    </row>
    <row r="35716" spans="6:6" x14ac:dyDescent="0.3">
      <c r="F35716" s="193"/>
    </row>
    <row r="35717" spans="6:6" x14ac:dyDescent="0.3">
      <c r="F35717" s="193"/>
    </row>
    <row r="35718" spans="6:6" x14ac:dyDescent="0.3">
      <c r="F35718" s="193"/>
    </row>
    <row r="35719" spans="6:6" x14ac:dyDescent="0.3">
      <c r="F35719" s="193"/>
    </row>
    <row r="35720" spans="6:6" x14ac:dyDescent="0.3">
      <c r="F35720" s="193"/>
    </row>
    <row r="35721" spans="6:6" x14ac:dyDescent="0.3">
      <c r="F35721" s="193"/>
    </row>
    <row r="35722" spans="6:6" x14ac:dyDescent="0.3">
      <c r="F35722" s="193"/>
    </row>
    <row r="35723" spans="6:6" x14ac:dyDescent="0.3">
      <c r="F35723" s="193"/>
    </row>
    <row r="35724" spans="6:6" x14ac:dyDescent="0.3">
      <c r="F35724" s="193"/>
    </row>
    <row r="35725" spans="6:6" x14ac:dyDescent="0.3">
      <c r="F35725" s="193"/>
    </row>
    <row r="35726" spans="6:6" x14ac:dyDescent="0.3">
      <c r="F35726" s="193"/>
    </row>
    <row r="35727" spans="6:6" x14ac:dyDescent="0.3">
      <c r="F35727" s="193"/>
    </row>
    <row r="35728" spans="6:6" x14ac:dyDescent="0.3">
      <c r="F35728" s="193"/>
    </row>
    <row r="35729" spans="6:6" x14ac:dyDescent="0.3">
      <c r="F35729" s="193"/>
    </row>
    <row r="35730" spans="6:6" x14ac:dyDescent="0.3">
      <c r="F35730" s="193"/>
    </row>
    <row r="35731" spans="6:6" x14ac:dyDescent="0.3">
      <c r="F35731" s="193"/>
    </row>
    <row r="35732" spans="6:6" x14ac:dyDescent="0.3">
      <c r="F35732" s="193"/>
    </row>
    <row r="35733" spans="6:6" x14ac:dyDescent="0.3">
      <c r="F35733" s="193"/>
    </row>
    <row r="35734" spans="6:6" x14ac:dyDescent="0.3">
      <c r="F35734" s="193"/>
    </row>
    <row r="35735" spans="6:6" x14ac:dyDescent="0.3">
      <c r="F35735" s="193"/>
    </row>
    <row r="35736" spans="6:6" x14ac:dyDescent="0.3">
      <c r="F35736" s="193"/>
    </row>
    <row r="35737" spans="6:6" x14ac:dyDescent="0.3">
      <c r="F35737" s="193"/>
    </row>
    <row r="35738" spans="6:6" x14ac:dyDescent="0.3">
      <c r="F35738" s="193"/>
    </row>
    <row r="35739" spans="6:6" x14ac:dyDescent="0.3">
      <c r="F35739" s="193"/>
    </row>
    <row r="35740" spans="6:6" x14ac:dyDescent="0.3">
      <c r="F35740" s="193"/>
    </row>
    <row r="35741" spans="6:6" x14ac:dyDescent="0.3">
      <c r="F35741" s="193"/>
    </row>
    <row r="35742" spans="6:6" x14ac:dyDescent="0.3">
      <c r="F35742" s="193"/>
    </row>
    <row r="35743" spans="6:6" x14ac:dyDescent="0.3">
      <c r="F35743" s="193"/>
    </row>
    <row r="35744" spans="6:6" x14ac:dyDescent="0.3">
      <c r="F35744" s="193"/>
    </row>
    <row r="35745" spans="6:6" x14ac:dyDescent="0.3">
      <c r="F35745" s="193"/>
    </row>
    <row r="35746" spans="6:6" x14ac:dyDescent="0.3">
      <c r="F35746" s="193"/>
    </row>
    <row r="35747" spans="6:6" x14ac:dyDescent="0.3">
      <c r="F35747" s="193"/>
    </row>
    <row r="35748" spans="6:6" x14ac:dyDescent="0.3">
      <c r="F35748" s="193"/>
    </row>
    <row r="35749" spans="6:6" x14ac:dyDescent="0.3">
      <c r="F35749" s="193"/>
    </row>
    <row r="35750" spans="6:6" x14ac:dyDescent="0.3">
      <c r="F35750" s="193"/>
    </row>
    <row r="35751" spans="6:6" x14ac:dyDescent="0.3">
      <c r="F35751" s="193"/>
    </row>
    <row r="35752" spans="6:6" x14ac:dyDescent="0.3">
      <c r="F35752" s="193"/>
    </row>
    <row r="35753" spans="6:6" x14ac:dyDescent="0.3">
      <c r="F35753" s="193"/>
    </row>
    <row r="35754" spans="6:6" x14ac:dyDescent="0.3">
      <c r="F35754" s="193"/>
    </row>
    <row r="35755" spans="6:6" x14ac:dyDescent="0.3">
      <c r="F35755" s="193"/>
    </row>
    <row r="35756" spans="6:6" x14ac:dyDescent="0.3">
      <c r="F35756" s="193"/>
    </row>
    <row r="35757" spans="6:6" x14ac:dyDescent="0.3">
      <c r="F35757" s="193"/>
    </row>
    <row r="35758" spans="6:6" x14ac:dyDescent="0.3">
      <c r="F35758" s="193"/>
    </row>
    <row r="35759" spans="6:6" x14ac:dyDescent="0.3">
      <c r="F35759" s="193"/>
    </row>
    <row r="35760" spans="6:6" x14ac:dyDescent="0.3">
      <c r="F35760" s="193"/>
    </row>
    <row r="35761" spans="6:6" x14ac:dyDescent="0.3">
      <c r="F35761" s="193"/>
    </row>
    <row r="35762" spans="6:6" x14ac:dyDescent="0.3">
      <c r="F35762" s="193"/>
    </row>
    <row r="35763" spans="6:6" x14ac:dyDescent="0.3">
      <c r="F35763" s="193"/>
    </row>
    <row r="35764" spans="6:6" x14ac:dyDescent="0.3">
      <c r="F35764" s="193"/>
    </row>
    <row r="35765" spans="6:6" x14ac:dyDescent="0.3">
      <c r="F35765" s="193"/>
    </row>
    <row r="35766" spans="6:6" x14ac:dyDescent="0.3">
      <c r="F35766" s="193"/>
    </row>
    <row r="35767" spans="6:6" x14ac:dyDescent="0.3">
      <c r="F35767" s="193"/>
    </row>
    <row r="35768" spans="6:6" x14ac:dyDescent="0.3">
      <c r="F35768" s="193"/>
    </row>
    <row r="35769" spans="6:6" x14ac:dyDescent="0.3">
      <c r="F35769" s="193"/>
    </row>
    <row r="35770" spans="6:6" x14ac:dyDescent="0.3">
      <c r="F35770" s="193"/>
    </row>
    <row r="35771" spans="6:6" x14ac:dyDescent="0.3">
      <c r="F35771" s="193"/>
    </row>
    <row r="35772" spans="6:6" x14ac:dyDescent="0.3">
      <c r="F35772" s="193"/>
    </row>
    <row r="35773" spans="6:6" x14ac:dyDescent="0.3">
      <c r="F35773" s="193"/>
    </row>
    <row r="35774" spans="6:6" x14ac:dyDescent="0.3">
      <c r="F35774" s="193"/>
    </row>
    <row r="35775" spans="6:6" x14ac:dyDescent="0.3">
      <c r="F35775" s="193"/>
    </row>
    <row r="35776" spans="6:6" x14ac:dyDescent="0.3">
      <c r="F35776" s="193"/>
    </row>
    <row r="35777" spans="6:6" x14ac:dyDescent="0.3">
      <c r="F35777" s="193"/>
    </row>
    <row r="35778" spans="6:6" x14ac:dyDescent="0.3">
      <c r="F35778" s="193"/>
    </row>
    <row r="35779" spans="6:6" x14ac:dyDescent="0.3">
      <c r="F35779" s="193"/>
    </row>
    <row r="35780" spans="6:6" x14ac:dyDescent="0.3">
      <c r="F35780" s="193"/>
    </row>
    <row r="35781" spans="6:6" x14ac:dyDescent="0.3">
      <c r="F35781" s="193"/>
    </row>
    <row r="35782" spans="6:6" x14ac:dyDescent="0.3">
      <c r="F35782" s="193"/>
    </row>
    <row r="35783" spans="6:6" x14ac:dyDescent="0.3">
      <c r="F35783" s="193"/>
    </row>
    <row r="35784" spans="6:6" x14ac:dyDescent="0.3">
      <c r="F35784" s="193"/>
    </row>
    <row r="35785" spans="6:6" x14ac:dyDescent="0.3">
      <c r="F35785" s="193"/>
    </row>
    <row r="35786" spans="6:6" x14ac:dyDescent="0.3">
      <c r="F35786" s="193"/>
    </row>
    <row r="35787" spans="6:6" x14ac:dyDescent="0.3">
      <c r="F35787" s="193"/>
    </row>
    <row r="35788" spans="6:6" x14ac:dyDescent="0.3">
      <c r="F35788" s="193"/>
    </row>
    <row r="35789" spans="6:6" x14ac:dyDescent="0.3">
      <c r="F35789" s="193"/>
    </row>
    <row r="35790" spans="6:6" x14ac:dyDescent="0.3">
      <c r="F35790" s="193"/>
    </row>
    <row r="35791" spans="6:6" x14ac:dyDescent="0.3">
      <c r="F35791" s="193"/>
    </row>
    <row r="35792" spans="6:6" x14ac:dyDescent="0.3">
      <c r="F35792" s="193"/>
    </row>
    <row r="35793" spans="6:6" x14ac:dyDescent="0.3">
      <c r="F35793" s="193"/>
    </row>
    <row r="35794" spans="6:6" x14ac:dyDescent="0.3">
      <c r="F35794" s="193"/>
    </row>
    <row r="35795" spans="6:6" x14ac:dyDescent="0.3">
      <c r="F35795" s="193"/>
    </row>
    <row r="35796" spans="6:6" x14ac:dyDescent="0.3">
      <c r="F35796" s="193"/>
    </row>
    <row r="35797" spans="6:6" x14ac:dyDescent="0.3">
      <c r="F35797" s="193"/>
    </row>
    <row r="35798" spans="6:6" x14ac:dyDescent="0.3">
      <c r="F35798" s="193"/>
    </row>
    <row r="35799" spans="6:6" x14ac:dyDescent="0.3">
      <c r="F35799" s="193"/>
    </row>
    <row r="35800" spans="6:6" x14ac:dyDescent="0.3">
      <c r="F35800" s="193"/>
    </row>
    <row r="35801" spans="6:6" x14ac:dyDescent="0.3">
      <c r="F35801" s="193"/>
    </row>
    <row r="35802" spans="6:6" x14ac:dyDescent="0.3">
      <c r="F35802" s="193"/>
    </row>
    <row r="35803" spans="6:6" x14ac:dyDescent="0.3">
      <c r="F35803" s="193"/>
    </row>
    <row r="35804" spans="6:6" x14ac:dyDescent="0.3">
      <c r="F35804" s="193"/>
    </row>
    <row r="35805" spans="6:6" x14ac:dyDescent="0.3">
      <c r="F35805" s="193"/>
    </row>
    <row r="35806" spans="6:6" x14ac:dyDescent="0.3">
      <c r="F35806" s="193"/>
    </row>
    <row r="35807" spans="6:6" x14ac:dyDescent="0.3">
      <c r="F35807" s="193"/>
    </row>
    <row r="35808" spans="6:6" x14ac:dyDescent="0.3">
      <c r="F35808" s="193"/>
    </row>
    <row r="35809" spans="6:6" x14ac:dyDescent="0.3">
      <c r="F35809" s="193"/>
    </row>
    <row r="35810" spans="6:6" x14ac:dyDescent="0.3">
      <c r="F35810" s="193"/>
    </row>
    <row r="35811" spans="6:6" x14ac:dyDescent="0.3">
      <c r="F35811" s="193"/>
    </row>
    <row r="35812" spans="6:6" x14ac:dyDescent="0.3">
      <c r="F35812" s="193"/>
    </row>
    <row r="35813" spans="6:6" x14ac:dyDescent="0.3">
      <c r="F35813" s="193"/>
    </row>
    <row r="35814" spans="6:6" x14ac:dyDescent="0.3">
      <c r="F35814" s="193"/>
    </row>
    <row r="35815" spans="6:6" x14ac:dyDescent="0.3">
      <c r="F35815" s="193"/>
    </row>
    <row r="35816" spans="6:6" x14ac:dyDescent="0.3">
      <c r="F35816" s="193"/>
    </row>
    <row r="35817" spans="6:6" x14ac:dyDescent="0.3">
      <c r="F35817" s="193"/>
    </row>
    <row r="35818" spans="6:6" x14ac:dyDescent="0.3">
      <c r="F35818" s="193"/>
    </row>
    <row r="35819" spans="6:6" x14ac:dyDescent="0.3">
      <c r="F35819" s="193"/>
    </row>
    <row r="35820" spans="6:6" x14ac:dyDescent="0.3">
      <c r="F35820" s="193"/>
    </row>
    <row r="35821" spans="6:6" x14ac:dyDescent="0.3">
      <c r="F35821" s="193"/>
    </row>
    <row r="35822" spans="6:6" x14ac:dyDescent="0.3">
      <c r="F35822" s="193"/>
    </row>
    <row r="35823" spans="6:6" x14ac:dyDescent="0.3">
      <c r="F35823" s="193"/>
    </row>
    <row r="35824" spans="6:6" x14ac:dyDescent="0.3">
      <c r="F35824" s="193"/>
    </row>
    <row r="35825" spans="6:6" x14ac:dyDescent="0.3">
      <c r="F35825" s="193"/>
    </row>
    <row r="35826" spans="6:6" x14ac:dyDescent="0.3">
      <c r="F35826" s="193"/>
    </row>
    <row r="35827" spans="6:6" x14ac:dyDescent="0.3">
      <c r="F35827" s="193"/>
    </row>
    <row r="35828" spans="6:6" x14ac:dyDescent="0.3">
      <c r="F35828" s="193"/>
    </row>
    <row r="35829" spans="6:6" x14ac:dyDescent="0.3">
      <c r="F35829" s="193"/>
    </row>
    <row r="35830" spans="6:6" x14ac:dyDescent="0.3">
      <c r="F35830" s="193"/>
    </row>
    <row r="35831" spans="6:6" x14ac:dyDescent="0.3">
      <c r="F35831" s="193"/>
    </row>
    <row r="35832" spans="6:6" x14ac:dyDescent="0.3">
      <c r="F35832" s="193"/>
    </row>
    <row r="35833" spans="6:6" x14ac:dyDescent="0.3">
      <c r="F35833" s="193"/>
    </row>
    <row r="35834" spans="6:6" x14ac:dyDescent="0.3">
      <c r="F35834" s="193"/>
    </row>
    <row r="35835" spans="6:6" x14ac:dyDescent="0.3">
      <c r="F35835" s="193"/>
    </row>
    <row r="35836" spans="6:6" x14ac:dyDescent="0.3">
      <c r="F35836" s="193"/>
    </row>
    <row r="35837" spans="6:6" x14ac:dyDescent="0.3">
      <c r="F35837" s="193"/>
    </row>
    <row r="35838" spans="6:6" x14ac:dyDescent="0.3">
      <c r="F35838" s="193"/>
    </row>
    <row r="35839" spans="6:6" x14ac:dyDescent="0.3">
      <c r="F35839" s="193"/>
    </row>
    <row r="35840" spans="6:6" x14ac:dyDescent="0.3">
      <c r="F35840" s="193"/>
    </row>
    <row r="35841" spans="6:6" x14ac:dyDescent="0.3">
      <c r="F35841" s="193"/>
    </row>
    <row r="35842" spans="6:6" x14ac:dyDescent="0.3">
      <c r="F35842" s="193"/>
    </row>
    <row r="35843" spans="6:6" x14ac:dyDescent="0.3">
      <c r="F35843" s="193"/>
    </row>
    <row r="35844" spans="6:6" x14ac:dyDescent="0.3">
      <c r="F35844" s="193"/>
    </row>
    <row r="35845" spans="6:6" x14ac:dyDescent="0.3">
      <c r="F35845" s="193"/>
    </row>
    <row r="35846" spans="6:6" x14ac:dyDescent="0.3">
      <c r="F35846" s="193"/>
    </row>
    <row r="35847" spans="6:6" x14ac:dyDescent="0.3">
      <c r="F35847" s="193"/>
    </row>
    <row r="35848" spans="6:6" x14ac:dyDescent="0.3">
      <c r="F35848" s="193"/>
    </row>
    <row r="35849" spans="6:6" x14ac:dyDescent="0.3">
      <c r="F35849" s="193"/>
    </row>
    <row r="35850" spans="6:6" x14ac:dyDescent="0.3">
      <c r="F35850" s="193"/>
    </row>
    <row r="35851" spans="6:6" x14ac:dyDescent="0.3">
      <c r="F35851" s="193"/>
    </row>
    <row r="35852" spans="6:6" x14ac:dyDescent="0.3">
      <c r="F35852" s="193"/>
    </row>
    <row r="35853" spans="6:6" x14ac:dyDescent="0.3">
      <c r="F35853" s="193"/>
    </row>
    <row r="35854" spans="6:6" x14ac:dyDescent="0.3">
      <c r="F35854" s="193"/>
    </row>
    <row r="35855" spans="6:6" x14ac:dyDescent="0.3">
      <c r="F35855" s="193"/>
    </row>
    <row r="35856" spans="6:6" x14ac:dyDescent="0.3">
      <c r="F35856" s="193"/>
    </row>
    <row r="35857" spans="6:6" x14ac:dyDescent="0.3">
      <c r="F35857" s="193"/>
    </row>
    <row r="35858" spans="6:6" x14ac:dyDescent="0.3">
      <c r="F35858" s="193"/>
    </row>
    <row r="35859" spans="6:6" x14ac:dyDescent="0.3">
      <c r="F35859" s="193"/>
    </row>
    <row r="35860" spans="6:6" x14ac:dyDescent="0.3">
      <c r="F35860" s="193"/>
    </row>
    <row r="35861" spans="6:6" x14ac:dyDescent="0.3">
      <c r="F35861" s="193"/>
    </row>
    <row r="35862" spans="6:6" x14ac:dyDescent="0.3">
      <c r="F35862" s="193"/>
    </row>
    <row r="35863" spans="6:6" x14ac:dyDescent="0.3">
      <c r="F35863" s="193"/>
    </row>
    <row r="35864" spans="6:6" x14ac:dyDescent="0.3">
      <c r="F35864" s="193"/>
    </row>
    <row r="35865" spans="6:6" x14ac:dyDescent="0.3">
      <c r="F35865" s="193"/>
    </row>
    <row r="35866" spans="6:6" x14ac:dyDescent="0.3">
      <c r="F35866" s="193"/>
    </row>
    <row r="35867" spans="6:6" x14ac:dyDescent="0.3">
      <c r="F35867" s="193"/>
    </row>
    <row r="35868" spans="6:6" x14ac:dyDescent="0.3">
      <c r="F35868" s="193"/>
    </row>
    <row r="35869" spans="6:6" x14ac:dyDescent="0.3">
      <c r="F35869" s="193"/>
    </row>
    <row r="35870" spans="6:6" x14ac:dyDescent="0.3">
      <c r="F35870" s="193"/>
    </row>
    <row r="35871" spans="6:6" x14ac:dyDescent="0.3">
      <c r="F35871" s="193"/>
    </row>
    <row r="35872" spans="6:6" x14ac:dyDescent="0.3">
      <c r="F35872" s="193"/>
    </row>
    <row r="35873" spans="6:6" x14ac:dyDescent="0.3">
      <c r="F35873" s="193"/>
    </row>
    <row r="35874" spans="6:6" x14ac:dyDescent="0.3">
      <c r="F35874" s="193"/>
    </row>
    <row r="35875" spans="6:6" x14ac:dyDescent="0.3">
      <c r="F35875" s="193"/>
    </row>
    <row r="35876" spans="6:6" x14ac:dyDescent="0.3">
      <c r="F35876" s="193"/>
    </row>
    <row r="35877" spans="6:6" x14ac:dyDescent="0.3">
      <c r="F35877" s="193"/>
    </row>
    <row r="35878" spans="6:6" x14ac:dyDescent="0.3">
      <c r="F35878" s="193"/>
    </row>
    <row r="35879" spans="6:6" x14ac:dyDescent="0.3">
      <c r="F35879" s="193"/>
    </row>
    <row r="35880" spans="6:6" x14ac:dyDescent="0.3">
      <c r="F35880" s="193"/>
    </row>
    <row r="35881" spans="6:6" x14ac:dyDescent="0.3">
      <c r="F35881" s="193"/>
    </row>
    <row r="35882" spans="6:6" x14ac:dyDescent="0.3">
      <c r="F35882" s="193"/>
    </row>
    <row r="35883" spans="6:6" x14ac:dyDescent="0.3">
      <c r="F35883" s="193"/>
    </row>
    <row r="35884" spans="6:6" x14ac:dyDescent="0.3">
      <c r="F35884" s="193"/>
    </row>
    <row r="35885" spans="6:6" x14ac:dyDescent="0.3">
      <c r="F35885" s="193"/>
    </row>
    <row r="35886" spans="6:6" x14ac:dyDescent="0.3">
      <c r="F35886" s="193"/>
    </row>
    <row r="35887" spans="6:6" x14ac:dyDescent="0.3">
      <c r="F35887" s="193"/>
    </row>
    <row r="35888" spans="6:6" x14ac:dyDescent="0.3">
      <c r="F35888" s="193"/>
    </row>
    <row r="35889" spans="6:6" x14ac:dyDescent="0.3">
      <c r="F35889" s="193"/>
    </row>
    <row r="35890" spans="6:6" x14ac:dyDescent="0.3">
      <c r="F35890" s="193"/>
    </row>
    <row r="35891" spans="6:6" x14ac:dyDescent="0.3">
      <c r="F35891" s="193"/>
    </row>
    <row r="35892" spans="6:6" x14ac:dyDescent="0.3">
      <c r="F35892" s="193"/>
    </row>
    <row r="35893" spans="6:6" x14ac:dyDescent="0.3">
      <c r="F35893" s="193"/>
    </row>
    <row r="35894" spans="6:6" x14ac:dyDescent="0.3">
      <c r="F35894" s="193"/>
    </row>
    <row r="35895" spans="6:6" x14ac:dyDescent="0.3">
      <c r="F35895" s="193"/>
    </row>
    <row r="35896" spans="6:6" x14ac:dyDescent="0.3">
      <c r="F35896" s="193"/>
    </row>
    <row r="35897" spans="6:6" x14ac:dyDescent="0.3">
      <c r="F35897" s="193"/>
    </row>
    <row r="35898" spans="6:6" x14ac:dyDescent="0.3">
      <c r="F35898" s="193"/>
    </row>
    <row r="35899" spans="6:6" x14ac:dyDescent="0.3">
      <c r="F35899" s="193"/>
    </row>
    <row r="35900" spans="6:6" x14ac:dyDescent="0.3">
      <c r="F35900" s="193"/>
    </row>
    <row r="35901" spans="6:6" x14ac:dyDescent="0.3">
      <c r="F35901" s="193"/>
    </row>
    <row r="35902" spans="6:6" x14ac:dyDescent="0.3">
      <c r="F35902" s="193"/>
    </row>
    <row r="35903" spans="6:6" x14ac:dyDescent="0.3">
      <c r="F35903" s="193"/>
    </row>
    <row r="35904" spans="6:6" x14ac:dyDescent="0.3">
      <c r="F35904" s="193"/>
    </row>
    <row r="35905" spans="6:6" x14ac:dyDescent="0.3">
      <c r="F35905" s="193"/>
    </row>
    <row r="35906" spans="6:6" x14ac:dyDescent="0.3">
      <c r="F35906" s="193"/>
    </row>
    <row r="35907" spans="6:6" x14ac:dyDescent="0.3">
      <c r="F35907" s="193"/>
    </row>
    <row r="35908" spans="6:6" x14ac:dyDescent="0.3">
      <c r="F35908" s="193"/>
    </row>
    <row r="35909" spans="6:6" x14ac:dyDescent="0.3">
      <c r="F35909" s="193"/>
    </row>
    <row r="35910" spans="6:6" x14ac:dyDescent="0.3">
      <c r="F35910" s="193"/>
    </row>
    <row r="35911" spans="6:6" x14ac:dyDescent="0.3">
      <c r="F35911" s="193"/>
    </row>
    <row r="35912" spans="6:6" x14ac:dyDescent="0.3">
      <c r="F35912" s="193"/>
    </row>
    <row r="35913" spans="6:6" x14ac:dyDescent="0.3">
      <c r="F35913" s="193"/>
    </row>
    <row r="35914" spans="6:6" x14ac:dyDescent="0.3">
      <c r="F35914" s="193"/>
    </row>
    <row r="35915" spans="6:6" x14ac:dyDescent="0.3">
      <c r="F35915" s="193"/>
    </row>
    <row r="35916" spans="6:6" x14ac:dyDescent="0.3">
      <c r="F35916" s="193"/>
    </row>
    <row r="35917" spans="6:6" x14ac:dyDescent="0.3">
      <c r="F35917" s="193"/>
    </row>
    <row r="35918" spans="6:6" x14ac:dyDescent="0.3">
      <c r="F35918" s="193"/>
    </row>
    <row r="35919" spans="6:6" x14ac:dyDescent="0.3">
      <c r="F35919" s="193"/>
    </row>
    <row r="35920" spans="6:6" x14ac:dyDescent="0.3">
      <c r="F35920" s="193"/>
    </row>
    <row r="35921" spans="6:6" x14ac:dyDescent="0.3">
      <c r="F35921" s="193"/>
    </row>
    <row r="35922" spans="6:6" x14ac:dyDescent="0.3">
      <c r="F35922" s="193"/>
    </row>
    <row r="35923" spans="6:6" x14ac:dyDescent="0.3">
      <c r="F35923" s="193"/>
    </row>
    <row r="35924" spans="6:6" x14ac:dyDescent="0.3">
      <c r="F35924" s="193"/>
    </row>
    <row r="35925" spans="6:6" x14ac:dyDescent="0.3">
      <c r="F35925" s="193"/>
    </row>
    <row r="35926" spans="6:6" x14ac:dyDescent="0.3">
      <c r="F35926" s="193"/>
    </row>
    <row r="35927" spans="6:6" x14ac:dyDescent="0.3">
      <c r="F35927" s="193"/>
    </row>
    <row r="35928" spans="6:6" x14ac:dyDescent="0.3">
      <c r="F35928" s="193"/>
    </row>
    <row r="35929" spans="6:6" x14ac:dyDescent="0.3">
      <c r="F35929" s="193"/>
    </row>
    <row r="35930" spans="6:6" x14ac:dyDescent="0.3">
      <c r="F35930" s="193"/>
    </row>
    <row r="35931" spans="6:6" x14ac:dyDescent="0.3">
      <c r="F35931" s="193"/>
    </row>
    <row r="35932" spans="6:6" x14ac:dyDescent="0.3">
      <c r="F35932" s="193"/>
    </row>
    <row r="35933" spans="6:6" x14ac:dyDescent="0.3">
      <c r="F35933" s="193"/>
    </row>
    <row r="35934" spans="6:6" x14ac:dyDescent="0.3">
      <c r="F35934" s="193"/>
    </row>
    <row r="35935" spans="6:6" x14ac:dyDescent="0.3">
      <c r="F35935" s="193"/>
    </row>
    <row r="35936" spans="6:6" x14ac:dyDescent="0.3">
      <c r="F35936" s="193"/>
    </row>
    <row r="35937" spans="6:6" x14ac:dyDescent="0.3">
      <c r="F35937" s="193"/>
    </row>
    <row r="35938" spans="6:6" x14ac:dyDescent="0.3">
      <c r="F35938" s="193"/>
    </row>
    <row r="35939" spans="6:6" x14ac:dyDescent="0.3">
      <c r="F35939" s="193"/>
    </row>
    <row r="35940" spans="6:6" x14ac:dyDescent="0.3">
      <c r="F35940" s="193"/>
    </row>
    <row r="35941" spans="6:6" x14ac:dyDescent="0.3">
      <c r="F35941" s="193"/>
    </row>
    <row r="35942" spans="6:6" x14ac:dyDescent="0.3">
      <c r="F35942" s="193"/>
    </row>
    <row r="35943" spans="6:6" x14ac:dyDescent="0.3">
      <c r="F35943" s="193"/>
    </row>
    <row r="35944" spans="6:6" x14ac:dyDescent="0.3">
      <c r="F35944" s="193"/>
    </row>
    <row r="35945" spans="6:6" x14ac:dyDescent="0.3">
      <c r="F35945" s="193"/>
    </row>
    <row r="35946" spans="6:6" x14ac:dyDescent="0.3">
      <c r="F35946" s="193"/>
    </row>
    <row r="35947" spans="6:6" x14ac:dyDescent="0.3">
      <c r="F35947" s="193"/>
    </row>
    <row r="35948" spans="6:6" x14ac:dyDescent="0.3">
      <c r="F35948" s="193"/>
    </row>
    <row r="35949" spans="6:6" x14ac:dyDescent="0.3">
      <c r="F35949" s="193"/>
    </row>
    <row r="35950" spans="6:6" x14ac:dyDescent="0.3">
      <c r="F35950" s="193"/>
    </row>
    <row r="35951" spans="6:6" x14ac:dyDescent="0.3">
      <c r="F35951" s="193"/>
    </row>
    <row r="35952" spans="6:6" x14ac:dyDescent="0.3">
      <c r="F35952" s="193"/>
    </row>
    <row r="35953" spans="6:6" x14ac:dyDescent="0.3">
      <c r="F35953" s="193"/>
    </row>
    <row r="35954" spans="6:6" x14ac:dyDescent="0.3">
      <c r="F35954" s="193"/>
    </row>
    <row r="35955" spans="6:6" x14ac:dyDescent="0.3">
      <c r="F35955" s="193"/>
    </row>
    <row r="35956" spans="6:6" x14ac:dyDescent="0.3">
      <c r="F35956" s="193"/>
    </row>
    <row r="35957" spans="6:6" x14ac:dyDescent="0.3">
      <c r="F35957" s="193"/>
    </row>
    <row r="35958" spans="6:6" x14ac:dyDescent="0.3">
      <c r="F35958" s="193"/>
    </row>
    <row r="35959" spans="6:6" x14ac:dyDescent="0.3">
      <c r="F35959" s="193"/>
    </row>
    <row r="35960" spans="6:6" x14ac:dyDescent="0.3">
      <c r="F35960" s="193"/>
    </row>
    <row r="35961" spans="6:6" x14ac:dyDescent="0.3">
      <c r="F35961" s="193"/>
    </row>
    <row r="35962" spans="6:6" x14ac:dyDescent="0.3">
      <c r="F35962" s="193"/>
    </row>
    <row r="35963" spans="6:6" x14ac:dyDescent="0.3">
      <c r="F35963" s="193"/>
    </row>
    <row r="35964" spans="6:6" x14ac:dyDescent="0.3">
      <c r="F35964" s="193"/>
    </row>
    <row r="35965" spans="6:6" x14ac:dyDescent="0.3">
      <c r="F35965" s="193"/>
    </row>
    <row r="35966" spans="6:6" x14ac:dyDescent="0.3">
      <c r="F35966" s="193"/>
    </row>
    <row r="35967" spans="6:6" x14ac:dyDescent="0.3">
      <c r="F35967" s="193"/>
    </row>
    <row r="35968" spans="6:6" x14ac:dyDescent="0.3">
      <c r="F35968" s="193"/>
    </row>
    <row r="35969" spans="6:6" x14ac:dyDescent="0.3">
      <c r="F35969" s="193"/>
    </row>
    <row r="35970" spans="6:6" x14ac:dyDescent="0.3">
      <c r="F35970" s="193"/>
    </row>
    <row r="35971" spans="6:6" x14ac:dyDescent="0.3">
      <c r="F35971" s="193"/>
    </row>
    <row r="35972" spans="6:6" x14ac:dyDescent="0.3">
      <c r="F35972" s="193"/>
    </row>
    <row r="35973" spans="6:6" x14ac:dyDescent="0.3">
      <c r="F35973" s="193"/>
    </row>
    <row r="35974" spans="6:6" x14ac:dyDescent="0.3">
      <c r="F35974" s="193"/>
    </row>
    <row r="35975" spans="6:6" x14ac:dyDescent="0.3">
      <c r="F35975" s="193"/>
    </row>
    <row r="35976" spans="6:6" x14ac:dyDescent="0.3">
      <c r="F35976" s="193"/>
    </row>
    <row r="35977" spans="6:6" x14ac:dyDescent="0.3">
      <c r="F35977" s="193"/>
    </row>
    <row r="35978" spans="6:6" x14ac:dyDescent="0.3">
      <c r="F35978" s="193"/>
    </row>
    <row r="35979" spans="6:6" x14ac:dyDescent="0.3">
      <c r="F35979" s="193"/>
    </row>
    <row r="35980" spans="6:6" x14ac:dyDescent="0.3">
      <c r="F35980" s="193"/>
    </row>
    <row r="35981" spans="6:6" x14ac:dyDescent="0.3">
      <c r="F35981" s="193"/>
    </row>
    <row r="35982" spans="6:6" x14ac:dyDescent="0.3">
      <c r="F35982" s="193"/>
    </row>
    <row r="35983" spans="6:6" x14ac:dyDescent="0.3">
      <c r="F35983" s="193"/>
    </row>
    <row r="35984" spans="6:6" x14ac:dyDescent="0.3">
      <c r="F35984" s="193"/>
    </row>
    <row r="35985" spans="6:6" x14ac:dyDescent="0.3">
      <c r="F35985" s="193"/>
    </row>
    <row r="35986" spans="6:6" x14ac:dyDescent="0.3">
      <c r="F35986" s="193"/>
    </row>
    <row r="35987" spans="6:6" x14ac:dyDescent="0.3">
      <c r="F35987" s="193"/>
    </row>
    <row r="35988" spans="6:6" x14ac:dyDescent="0.3">
      <c r="F35988" s="193"/>
    </row>
    <row r="35989" spans="6:6" x14ac:dyDescent="0.3">
      <c r="F35989" s="193"/>
    </row>
    <row r="35990" spans="6:6" x14ac:dyDescent="0.3">
      <c r="F35990" s="193"/>
    </row>
    <row r="35991" spans="6:6" x14ac:dyDescent="0.3">
      <c r="F35991" s="193"/>
    </row>
    <row r="35992" spans="6:6" x14ac:dyDescent="0.3">
      <c r="F35992" s="193"/>
    </row>
    <row r="35993" spans="6:6" x14ac:dyDescent="0.3">
      <c r="F35993" s="193"/>
    </row>
    <row r="35994" spans="6:6" x14ac:dyDescent="0.3">
      <c r="F35994" s="193"/>
    </row>
    <row r="35995" spans="6:6" x14ac:dyDescent="0.3">
      <c r="F35995" s="193"/>
    </row>
    <row r="35996" spans="6:6" x14ac:dyDescent="0.3">
      <c r="F35996" s="193"/>
    </row>
    <row r="35997" spans="6:6" x14ac:dyDescent="0.3">
      <c r="F35997" s="193"/>
    </row>
    <row r="35998" spans="6:6" x14ac:dyDescent="0.3">
      <c r="F35998" s="193"/>
    </row>
    <row r="35999" spans="6:6" x14ac:dyDescent="0.3">
      <c r="F35999" s="193"/>
    </row>
    <row r="36000" spans="6:6" x14ac:dyDescent="0.3">
      <c r="F36000" s="193"/>
    </row>
    <row r="36001" spans="6:6" x14ac:dyDescent="0.3">
      <c r="F36001" s="193"/>
    </row>
    <row r="36002" spans="6:6" x14ac:dyDescent="0.3">
      <c r="F36002" s="193"/>
    </row>
    <row r="36003" spans="6:6" x14ac:dyDescent="0.3">
      <c r="F36003" s="193"/>
    </row>
    <row r="36004" spans="6:6" x14ac:dyDescent="0.3">
      <c r="F36004" s="193"/>
    </row>
    <row r="36005" spans="6:6" x14ac:dyDescent="0.3">
      <c r="F36005" s="193"/>
    </row>
    <row r="36006" spans="6:6" x14ac:dyDescent="0.3">
      <c r="F36006" s="193"/>
    </row>
    <row r="36007" spans="6:6" x14ac:dyDescent="0.3">
      <c r="F36007" s="193"/>
    </row>
    <row r="36008" spans="6:6" x14ac:dyDescent="0.3">
      <c r="F36008" s="193"/>
    </row>
    <row r="36009" spans="6:6" x14ac:dyDescent="0.3">
      <c r="F36009" s="193"/>
    </row>
    <row r="36010" spans="6:6" x14ac:dyDescent="0.3">
      <c r="F36010" s="193"/>
    </row>
    <row r="36011" spans="6:6" x14ac:dyDescent="0.3">
      <c r="F36011" s="193"/>
    </row>
    <row r="36012" spans="6:6" x14ac:dyDescent="0.3">
      <c r="F36012" s="193"/>
    </row>
    <row r="36013" spans="6:6" x14ac:dyDescent="0.3">
      <c r="F36013" s="193"/>
    </row>
    <row r="36014" spans="6:6" x14ac:dyDescent="0.3">
      <c r="F36014" s="193"/>
    </row>
    <row r="36015" spans="6:6" x14ac:dyDescent="0.3">
      <c r="F36015" s="193"/>
    </row>
    <row r="36016" spans="6:6" x14ac:dyDescent="0.3">
      <c r="F36016" s="193"/>
    </row>
    <row r="36017" spans="6:6" x14ac:dyDescent="0.3">
      <c r="F36017" s="193"/>
    </row>
    <row r="36018" spans="6:6" x14ac:dyDescent="0.3">
      <c r="F36018" s="193"/>
    </row>
    <row r="36019" spans="6:6" x14ac:dyDescent="0.3">
      <c r="F36019" s="193"/>
    </row>
    <row r="36020" spans="6:6" x14ac:dyDescent="0.3">
      <c r="F36020" s="193"/>
    </row>
    <row r="36021" spans="6:6" x14ac:dyDescent="0.3">
      <c r="F36021" s="193"/>
    </row>
    <row r="36022" spans="6:6" x14ac:dyDescent="0.3">
      <c r="F36022" s="193"/>
    </row>
    <row r="36023" spans="6:6" x14ac:dyDescent="0.3">
      <c r="F36023" s="193"/>
    </row>
    <row r="36024" spans="6:6" x14ac:dyDescent="0.3">
      <c r="F36024" s="193"/>
    </row>
    <row r="36025" spans="6:6" x14ac:dyDescent="0.3">
      <c r="F36025" s="193"/>
    </row>
    <row r="36026" spans="6:6" x14ac:dyDescent="0.3">
      <c r="F36026" s="193"/>
    </row>
    <row r="36027" spans="6:6" x14ac:dyDescent="0.3">
      <c r="F36027" s="193"/>
    </row>
    <row r="36028" spans="6:6" x14ac:dyDescent="0.3">
      <c r="F36028" s="193"/>
    </row>
    <row r="36029" spans="6:6" x14ac:dyDescent="0.3">
      <c r="F36029" s="193"/>
    </row>
    <row r="36030" spans="6:6" x14ac:dyDescent="0.3">
      <c r="F36030" s="193"/>
    </row>
    <row r="36031" spans="6:6" x14ac:dyDescent="0.3">
      <c r="F36031" s="193"/>
    </row>
    <row r="36032" spans="6:6" x14ac:dyDescent="0.3">
      <c r="F36032" s="193"/>
    </row>
    <row r="36033" spans="6:6" x14ac:dyDescent="0.3">
      <c r="F36033" s="193"/>
    </row>
    <row r="36034" spans="6:6" x14ac:dyDescent="0.3">
      <c r="F36034" s="193"/>
    </row>
    <row r="36035" spans="6:6" x14ac:dyDescent="0.3">
      <c r="F36035" s="193"/>
    </row>
    <row r="36036" spans="6:6" x14ac:dyDescent="0.3">
      <c r="F36036" s="193"/>
    </row>
    <row r="36037" spans="6:6" x14ac:dyDescent="0.3">
      <c r="F36037" s="193"/>
    </row>
    <row r="36038" spans="6:6" x14ac:dyDescent="0.3">
      <c r="F36038" s="193"/>
    </row>
    <row r="36039" spans="6:6" x14ac:dyDescent="0.3">
      <c r="F36039" s="193"/>
    </row>
    <row r="36040" spans="6:6" x14ac:dyDescent="0.3">
      <c r="F36040" s="193"/>
    </row>
    <row r="36041" spans="6:6" x14ac:dyDescent="0.3">
      <c r="F36041" s="193"/>
    </row>
    <row r="36042" spans="6:6" x14ac:dyDescent="0.3">
      <c r="F36042" s="193"/>
    </row>
    <row r="36043" spans="6:6" x14ac:dyDescent="0.3">
      <c r="F36043" s="193"/>
    </row>
    <row r="36044" spans="6:6" x14ac:dyDescent="0.3">
      <c r="F36044" s="193"/>
    </row>
    <row r="36045" spans="6:6" x14ac:dyDescent="0.3">
      <c r="F36045" s="193"/>
    </row>
    <row r="36046" spans="6:6" x14ac:dyDescent="0.3">
      <c r="F36046" s="193"/>
    </row>
    <row r="36047" spans="6:6" x14ac:dyDescent="0.3">
      <c r="F36047" s="193"/>
    </row>
    <row r="36048" spans="6:6" x14ac:dyDescent="0.3">
      <c r="F36048" s="193"/>
    </row>
    <row r="36049" spans="6:6" x14ac:dyDescent="0.3">
      <c r="F36049" s="193"/>
    </row>
    <row r="36050" spans="6:6" x14ac:dyDescent="0.3">
      <c r="F36050" s="193"/>
    </row>
    <row r="36051" spans="6:6" x14ac:dyDescent="0.3">
      <c r="F36051" s="193"/>
    </row>
    <row r="36052" spans="6:6" x14ac:dyDescent="0.3">
      <c r="F36052" s="193"/>
    </row>
    <row r="36053" spans="6:6" x14ac:dyDescent="0.3">
      <c r="F36053" s="193"/>
    </row>
    <row r="36054" spans="6:6" x14ac:dyDescent="0.3">
      <c r="F36054" s="193"/>
    </row>
    <row r="36055" spans="6:6" x14ac:dyDescent="0.3">
      <c r="F36055" s="193"/>
    </row>
    <row r="36056" spans="6:6" x14ac:dyDescent="0.3">
      <c r="F36056" s="193"/>
    </row>
    <row r="36057" spans="6:6" x14ac:dyDescent="0.3">
      <c r="F36057" s="193"/>
    </row>
    <row r="36058" spans="6:6" x14ac:dyDescent="0.3">
      <c r="F36058" s="193"/>
    </row>
    <row r="36059" spans="6:6" x14ac:dyDescent="0.3">
      <c r="F36059" s="193"/>
    </row>
    <row r="36060" spans="6:6" x14ac:dyDescent="0.3">
      <c r="F36060" s="193"/>
    </row>
    <row r="36061" spans="6:6" x14ac:dyDescent="0.3">
      <c r="F36061" s="193"/>
    </row>
    <row r="36062" spans="6:6" x14ac:dyDescent="0.3">
      <c r="F36062" s="193"/>
    </row>
    <row r="36063" spans="6:6" x14ac:dyDescent="0.3">
      <c r="F36063" s="193"/>
    </row>
    <row r="36064" spans="6:6" x14ac:dyDescent="0.3">
      <c r="F36064" s="193"/>
    </row>
    <row r="36065" spans="6:6" x14ac:dyDescent="0.3">
      <c r="F36065" s="193"/>
    </row>
    <row r="36066" spans="6:6" x14ac:dyDescent="0.3">
      <c r="F36066" s="193"/>
    </row>
    <row r="36067" spans="6:6" x14ac:dyDescent="0.3">
      <c r="F36067" s="193"/>
    </row>
    <row r="36068" spans="6:6" x14ac:dyDescent="0.3">
      <c r="F36068" s="193"/>
    </row>
    <row r="36069" spans="6:6" x14ac:dyDescent="0.3">
      <c r="F36069" s="193"/>
    </row>
    <row r="36070" spans="6:6" x14ac:dyDescent="0.3">
      <c r="F36070" s="193"/>
    </row>
    <row r="36071" spans="6:6" x14ac:dyDescent="0.3">
      <c r="F36071" s="193"/>
    </row>
    <row r="36072" spans="6:6" x14ac:dyDescent="0.3">
      <c r="F36072" s="193"/>
    </row>
    <row r="36073" spans="6:6" x14ac:dyDescent="0.3">
      <c r="F36073" s="193"/>
    </row>
    <row r="36074" spans="6:6" x14ac:dyDescent="0.3">
      <c r="F36074" s="193"/>
    </row>
    <row r="36075" spans="6:6" x14ac:dyDescent="0.3">
      <c r="F36075" s="193"/>
    </row>
    <row r="36076" spans="6:6" x14ac:dyDescent="0.3">
      <c r="F36076" s="193"/>
    </row>
    <row r="36077" spans="6:6" x14ac:dyDescent="0.3">
      <c r="F36077" s="193"/>
    </row>
    <row r="36078" spans="6:6" x14ac:dyDescent="0.3">
      <c r="F36078" s="193"/>
    </row>
    <row r="36079" spans="6:6" x14ac:dyDescent="0.3">
      <c r="F36079" s="193"/>
    </row>
    <row r="36080" spans="6:6" x14ac:dyDescent="0.3">
      <c r="F36080" s="193"/>
    </row>
    <row r="36081" spans="6:6" x14ac:dyDescent="0.3">
      <c r="F36081" s="193"/>
    </row>
    <row r="36082" spans="6:6" x14ac:dyDescent="0.3">
      <c r="F36082" s="193"/>
    </row>
    <row r="36083" spans="6:6" x14ac:dyDescent="0.3">
      <c r="F36083" s="193"/>
    </row>
    <row r="36084" spans="6:6" x14ac:dyDescent="0.3">
      <c r="F36084" s="193"/>
    </row>
    <row r="36085" spans="6:6" x14ac:dyDescent="0.3">
      <c r="F36085" s="193"/>
    </row>
    <row r="36086" spans="6:6" x14ac:dyDescent="0.3">
      <c r="F36086" s="193"/>
    </row>
    <row r="36087" spans="6:6" x14ac:dyDescent="0.3">
      <c r="F36087" s="193"/>
    </row>
    <row r="36088" spans="6:6" x14ac:dyDescent="0.3">
      <c r="F36088" s="193"/>
    </row>
    <row r="36089" spans="6:6" x14ac:dyDescent="0.3">
      <c r="F36089" s="193"/>
    </row>
    <row r="36090" spans="6:6" x14ac:dyDescent="0.3">
      <c r="F36090" s="193"/>
    </row>
    <row r="36091" spans="6:6" x14ac:dyDescent="0.3">
      <c r="F36091" s="193"/>
    </row>
    <row r="36092" spans="6:6" x14ac:dyDescent="0.3">
      <c r="F36092" s="193"/>
    </row>
    <row r="36093" spans="6:6" x14ac:dyDescent="0.3">
      <c r="F36093" s="193"/>
    </row>
    <row r="36094" spans="6:6" x14ac:dyDescent="0.3">
      <c r="F36094" s="193"/>
    </row>
    <row r="36095" spans="6:6" x14ac:dyDescent="0.3">
      <c r="F36095" s="193"/>
    </row>
    <row r="36096" spans="6:6" x14ac:dyDescent="0.3">
      <c r="F36096" s="193"/>
    </row>
    <row r="36097" spans="6:6" x14ac:dyDescent="0.3">
      <c r="F36097" s="193"/>
    </row>
    <row r="36098" spans="6:6" x14ac:dyDescent="0.3">
      <c r="F36098" s="193"/>
    </row>
    <row r="36099" spans="6:6" x14ac:dyDescent="0.3">
      <c r="F36099" s="193"/>
    </row>
    <row r="36100" spans="6:6" x14ac:dyDescent="0.3">
      <c r="F36100" s="193"/>
    </row>
    <row r="36101" spans="6:6" x14ac:dyDescent="0.3">
      <c r="F36101" s="193"/>
    </row>
    <row r="36102" spans="6:6" x14ac:dyDescent="0.3">
      <c r="F36102" s="193"/>
    </row>
    <row r="36103" spans="6:6" x14ac:dyDescent="0.3">
      <c r="F36103" s="193"/>
    </row>
    <row r="36104" spans="6:6" x14ac:dyDescent="0.3">
      <c r="F36104" s="193"/>
    </row>
    <row r="36105" spans="6:6" x14ac:dyDescent="0.3">
      <c r="F36105" s="193"/>
    </row>
    <row r="36106" spans="6:6" x14ac:dyDescent="0.3">
      <c r="F36106" s="193"/>
    </row>
    <row r="36107" spans="6:6" x14ac:dyDescent="0.3">
      <c r="F36107" s="193"/>
    </row>
    <row r="36108" spans="6:6" x14ac:dyDescent="0.3">
      <c r="F36108" s="193"/>
    </row>
    <row r="36109" spans="6:6" x14ac:dyDescent="0.3">
      <c r="F36109" s="193"/>
    </row>
    <row r="36110" spans="6:6" x14ac:dyDescent="0.3">
      <c r="F36110" s="193"/>
    </row>
    <row r="36111" spans="6:6" x14ac:dyDescent="0.3">
      <c r="F36111" s="193"/>
    </row>
    <row r="36112" spans="6:6" x14ac:dyDescent="0.3">
      <c r="F36112" s="193"/>
    </row>
    <row r="36113" spans="6:6" x14ac:dyDescent="0.3">
      <c r="F36113" s="193"/>
    </row>
    <row r="36114" spans="6:6" x14ac:dyDescent="0.3">
      <c r="F36114" s="193"/>
    </row>
    <row r="36115" spans="6:6" x14ac:dyDescent="0.3">
      <c r="F36115" s="193"/>
    </row>
    <row r="36116" spans="6:6" x14ac:dyDescent="0.3">
      <c r="F36116" s="193"/>
    </row>
    <row r="36117" spans="6:6" x14ac:dyDescent="0.3">
      <c r="F36117" s="193"/>
    </row>
    <row r="36118" spans="6:6" x14ac:dyDescent="0.3">
      <c r="F36118" s="193"/>
    </row>
    <row r="36119" spans="6:6" x14ac:dyDescent="0.3">
      <c r="F36119" s="193"/>
    </row>
    <row r="36120" spans="6:6" x14ac:dyDescent="0.3">
      <c r="F36120" s="193"/>
    </row>
    <row r="36121" spans="6:6" x14ac:dyDescent="0.3">
      <c r="F36121" s="193"/>
    </row>
    <row r="36122" spans="6:6" x14ac:dyDescent="0.3">
      <c r="F36122" s="193"/>
    </row>
    <row r="36123" spans="6:6" x14ac:dyDescent="0.3">
      <c r="F36123" s="193"/>
    </row>
    <row r="36124" spans="6:6" x14ac:dyDescent="0.3">
      <c r="F36124" s="193"/>
    </row>
    <row r="36125" spans="6:6" x14ac:dyDescent="0.3">
      <c r="F36125" s="193"/>
    </row>
    <row r="36126" spans="6:6" x14ac:dyDescent="0.3">
      <c r="F36126" s="193"/>
    </row>
    <row r="36127" spans="6:6" x14ac:dyDescent="0.3">
      <c r="F36127" s="193"/>
    </row>
    <row r="36128" spans="6:6" x14ac:dyDescent="0.3">
      <c r="F36128" s="193"/>
    </row>
    <row r="36129" spans="6:6" x14ac:dyDescent="0.3">
      <c r="F36129" s="193"/>
    </row>
    <row r="36130" spans="6:6" x14ac:dyDescent="0.3">
      <c r="F36130" s="193"/>
    </row>
    <row r="36131" spans="6:6" x14ac:dyDescent="0.3">
      <c r="F36131" s="193"/>
    </row>
    <row r="36132" spans="6:6" x14ac:dyDescent="0.3">
      <c r="F36132" s="193"/>
    </row>
    <row r="36133" spans="6:6" x14ac:dyDescent="0.3">
      <c r="F36133" s="193"/>
    </row>
    <row r="36134" spans="6:6" x14ac:dyDescent="0.3">
      <c r="F36134" s="193"/>
    </row>
    <row r="36135" spans="6:6" x14ac:dyDescent="0.3">
      <c r="F36135" s="193"/>
    </row>
    <row r="36136" spans="6:6" x14ac:dyDescent="0.3">
      <c r="F36136" s="193"/>
    </row>
    <row r="36137" spans="6:6" x14ac:dyDescent="0.3">
      <c r="F36137" s="193"/>
    </row>
    <row r="36138" spans="6:6" x14ac:dyDescent="0.3">
      <c r="F36138" s="193"/>
    </row>
    <row r="36139" spans="6:6" x14ac:dyDescent="0.3">
      <c r="F36139" s="193"/>
    </row>
    <row r="36140" spans="6:6" x14ac:dyDescent="0.3">
      <c r="F36140" s="193"/>
    </row>
    <row r="36141" spans="6:6" x14ac:dyDescent="0.3">
      <c r="F36141" s="193"/>
    </row>
    <row r="36142" spans="6:6" x14ac:dyDescent="0.3">
      <c r="F36142" s="193"/>
    </row>
    <row r="36143" spans="6:6" x14ac:dyDescent="0.3">
      <c r="F36143" s="193"/>
    </row>
    <row r="36144" spans="6:6" x14ac:dyDescent="0.3">
      <c r="F36144" s="193"/>
    </row>
    <row r="36145" spans="6:6" x14ac:dyDescent="0.3">
      <c r="F36145" s="193"/>
    </row>
    <row r="36146" spans="6:6" x14ac:dyDescent="0.3">
      <c r="F36146" s="193"/>
    </row>
    <row r="36147" spans="6:6" x14ac:dyDescent="0.3">
      <c r="F36147" s="193"/>
    </row>
    <row r="36148" spans="6:6" x14ac:dyDescent="0.3">
      <c r="F36148" s="193"/>
    </row>
    <row r="36149" spans="6:6" x14ac:dyDescent="0.3">
      <c r="F36149" s="193"/>
    </row>
    <row r="36150" spans="6:6" x14ac:dyDescent="0.3">
      <c r="F36150" s="193"/>
    </row>
    <row r="36151" spans="6:6" x14ac:dyDescent="0.3">
      <c r="F36151" s="193"/>
    </row>
    <row r="36152" spans="6:6" x14ac:dyDescent="0.3">
      <c r="F36152" s="193"/>
    </row>
    <row r="36153" spans="6:6" x14ac:dyDescent="0.3">
      <c r="F36153" s="193"/>
    </row>
    <row r="36154" spans="6:6" x14ac:dyDescent="0.3">
      <c r="F36154" s="193"/>
    </row>
    <row r="36155" spans="6:6" x14ac:dyDescent="0.3">
      <c r="F36155" s="193"/>
    </row>
    <row r="36156" spans="6:6" x14ac:dyDescent="0.3">
      <c r="F36156" s="193"/>
    </row>
    <row r="36157" spans="6:6" x14ac:dyDescent="0.3">
      <c r="F36157" s="193"/>
    </row>
    <row r="36158" spans="6:6" x14ac:dyDescent="0.3">
      <c r="F36158" s="193"/>
    </row>
    <row r="36159" spans="6:6" x14ac:dyDescent="0.3">
      <c r="F36159" s="193"/>
    </row>
    <row r="36160" spans="6:6" x14ac:dyDescent="0.3">
      <c r="F36160" s="193"/>
    </row>
    <row r="36161" spans="6:6" x14ac:dyDescent="0.3">
      <c r="F36161" s="193"/>
    </row>
    <row r="36162" spans="6:6" x14ac:dyDescent="0.3">
      <c r="F36162" s="193"/>
    </row>
    <row r="36163" spans="6:6" x14ac:dyDescent="0.3">
      <c r="F36163" s="193"/>
    </row>
    <row r="36164" spans="6:6" x14ac:dyDescent="0.3">
      <c r="F36164" s="193"/>
    </row>
    <row r="36165" spans="6:6" x14ac:dyDescent="0.3">
      <c r="F36165" s="193"/>
    </row>
    <row r="36166" spans="6:6" x14ac:dyDescent="0.3">
      <c r="F36166" s="193"/>
    </row>
    <row r="36167" spans="6:6" x14ac:dyDescent="0.3">
      <c r="F36167" s="193"/>
    </row>
    <row r="36168" spans="6:6" x14ac:dyDescent="0.3">
      <c r="F36168" s="193"/>
    </row>
    <row r="36169" spans="6:6" x14ac:dyDescent="0.3">
      <c r="F36169" s="193"/>
    </row>
    <row r="36170" spans="6:6" x14ac:dyDescent="0.3">
      <c r="F36170" s="193"/>
    </row>
    <row r="36171" spans="6:6" x14ac:dyDescent="0.3">
      <c r="F36171" s="193"/>
    </row>
    <row r="36172" spans="6:6" x14ac:dyDescent="0.3">
      <c r="F36172" s="193"/>
    </row>
    <row r="36173" spans="6:6" x14ac:dyDescent="0.3">
      <c r="F36173" s="193"/>
    </row>
    <row r="36174" spans="6:6" x14ac:dyDescent="0.3">
      <c r="F36174" s="193"/>
    </row>
    <row r="36175" spans="6:6" x14ac:dyDescent="0.3">
      <c r="F36175" s="193"/>
    </row>
    <row r="36176" spans="6:6" x14ac:dyDescent="0.3">
      <c r="F36176" s="193"/>
    </row>
    <row r="36177" spans="6:6" x14ac:dyDescent="0.3">
      <c r="F36177" s="193"/>
    </row>
    <row r="36178" spans="6:6" x14ac:dyDescent="0.3">
      <c r="F36178" s="193"/>
    </row>
    <row r="36179" spans="6:6" x14ac:dyDescent="0.3">
      <c r="F36179" s="193"/>
    </row>
    <row r="36180" spans="6:6" x14ac:dyDescent="0.3">
      <c r="F36180" s="193"/>
    </row>
    <row r="36181" spans="6:6" x14ac:dyDescent="0.3">
      <c r="F36181" s="193"/>
    </row>
    <row r="36182" spans="6:6" x14ac:dyDescent="0.3">
      <c r="F36182" s="193"/>
    </row>
    <row r="36183" spans="6:6" x14ac:dyDescent="0.3">
      <c r="F36183" s="193"/>
    </row>
    <row r="36184" spans="6:6" x14ac:dyDescent="0.3">
      <c r="F36184" s="193"/>
    </row>
    <row r="36185" spans="6:6" x14ac:dyDescent="0.3">
      <c r="F36185" s="193"/>
    </row>
    <row r="36186" spans="6:6" x14ac:dyDescent="0.3">
      <c r="F36186" s="193"/>
    </row>
    <row r="36187" spans="6:6" x14ac:dyDescent="0.3">
      <c r="F36187" s="193"/>
    </row>
    <row r="36188" spans="6:6" x14ac:dyDescent="0.3">
      <c r="F36188" s="193"/>
    </row>
    <row r="36189" spans="6:6" x14ac:dyDescent="0.3">
      <c r="F36189" s="193"/>
    </row>
    <row r="36190" spans="6:6" x14ac:dyDescent="0.3">
      <c r="F36190" s="193"/>
    </row>
    <row r="36191" spans="6:6" x14ac:dyDescent="0.3">
      <c r="F36191" s="193"/>
    </row>
    <row r="36192" spans="6:6" x14ac:dyDescent="0.3">
      <c r="F36192" s="193"/>
    </row>
    <row r="36193" spans="6:6" x14ac:dyDescent="0.3">
      <c r="F36193" s="193"/>
    </row>
    <row r="36194" spans="6:6" x14ac:dyDescent="0.3">
      <c r="F36194" s="193"/>
    </row>
    <row r="36195" spans="6:6" x14ac:dyDescent="0.3">
      <c r="F36195" s="193"/>
    </row>
    <row r="36196" spans="6:6" x14ac:dyDescent="0.3">
      <c r="F36196" s="193"/>
    </row>
    <row r="36197" spans="6:6" x14ac:dyDescent="0.3">
      <c r="F36197" s="193"/>
    </row>
    <row r="36198" spans="6:6" x14ac:dyDescent="0.3">
      <c r="F36198" s="193"/>
    </row>
    <row r="36199" spans="6:6" x14ac:dyDescent="0.3">
      <c r="F36199" s="193"/>
    </row>
    <row r="36200" spans="6:6" x14ac:dyDescent="0.3">
      <c r="F36200" s="193"/>
    </row>
    <row r="36201" spans="6:6" x14ac:dyDescent="0.3">
      <c r="F36201" s="193"/>
    </row>
    <row r="36202" spans="6:6" x14ac:dyDescent="0.3">
      <c r="F36202" s="193"/>
    </row>
    <row r="36203" spans="6:6" x14ac:dyDescent="0.3">
      <c r="F36203" s="193"/>
    </row>
    <row r="36204" spans="6:6" x14ac:dyDescent="0.3">
      <c r="F36204" s="193"/>
    </row>
    <row r="36205" spans="6:6" x14ac:dyDescent="0.3">
      <c r="F36205" s="193"/>
    </row>
    <row r="36206" spans="6:6" x14ac:dyDescent="0.3">
      <c r="F36206" s="193"/>
    </row>
    <row r="36207" spans="6:6" x14ac:dyDescent="0.3">
      <c r="F36207" s="193"/>
    </row>
    <row r="36208" spans="6:6" x14ac:dyDescent="0.3">
      <c r="F36208" s="193"/>
    </row>
    <row r="36209" spans="6:6" x14ac:dyDescent="0.3">
      <c r="F36209" s="193"/>
    </row>
    <row r="36210" spans="6:6" x14ac:dyDescent="0.3">
      <c r="F36210" s="193"/>
    </row>
    <row r="36211" spans="6:6" x14ac:dyDescent="0.3">
      <c r="F36211" s="193"/>
    </row>
    <row r="36212" spans="6:6" x14ac:dyDescent="0.3">
      <c r="F36212" s="193"/>
    </row>
    <row r="36213" spans="6:6" x14ac:dyDescent="0.3">
      <c r="F36213" s="193"/>
    </row>
    <row r="36214" spans="6:6" x14ac:dyDescent="0.3">
      <c r="F36214" s="193"/>
    </row>
    <row r="36215" spans="6:6" x14ac:dyDescent="0.3">
      <c r="F36215" s="193"/>
    </row>
    <row r="36216" spans="6:6" x14ac:dyDescent="0.3">
      <c r="F36216" s="193"/>
    </row>
    <row r="36217" spans="6:6" x14ac:dyDescent="0.3">
      <c r="F36217" s="193"/>
    </row>
    <row r="36218" spans="6:6" x14ac:dyDescent="0.3">
      <c r="F36218" s="193"/>
    </row>
    <row r="36219" spans="6:6" x14ac:dyDescent="0.3">
      <c r="F36219" s="193"/>
    </row>
    <row r="36220" spans="6:6" x14ac:dyDescent="0.3">
      <c r="F36220" s="193"/>
    </row>
    <row r="36221" spans="6:6" x14ac:dyDescent="0.3">
      <c r="F36221" s="193"/>
    </row>
    <row r="36222" spans="6:6" x14ac:dyDescent="0.3">
      <c r="F36222" s="193"/>
    </row>
    <row r="36223" spans="6:6" x14ac:dyDescent="0.3">
      <c r="F36223" s="193"/>
    </row>
    <row r="36224" spans="6:6" x14ac:dyDescent="0.3">
      <c r="F36224" s="193"/>
    </row>
    <row r="36225" spans="6:6" x14ac:dyDescent="0.3">
      <c r="F36225" s="193"/>
    </row>
    <row r="36226" spans="6:6" x14ac:dyDescent="0.3">
      <c r="F36226" s="193"/>
    </row>
    <row r="36227" spans="6:6" x14ac:dyDescent="0.3">
      <c r="F36227" s="193"/>
    </row>
    <row r="36228" spans="6:6" x14ac:dyDescent="0.3">
      <c r="F36228" s="193"/>
    </row>
    <row r="36229" spans="6:6" x14ac:dyDescent="0.3">
      <c r="F36229" s="193"/>
    </row>
    <row r="36230" spans="6:6" x14ac:dyDescent="0.3">
      <c r="F36230" s="193"/>
    </row>
    <row r="36231" spans="6:6" x14ac:dyDescent="0.3">
      <c r="F36231" s="193"/>
    </row>
    <row r="36232" spans="6:6" x14ac:dyDescent="0.3">
      <c r="F36232" s="193"/>
    </row>
    <row r="36233" spans="6:6" x14ac:dyDescent="0.3">
      <c r="F36233" s="193"/>
    </row>
    <row r="36234" spans="6:6" x14ac:dyDescent="0.3">
      <c r="F36234" s="193"/>
    </row>
    <row r="36235" spans="6:6" x14ac:dyDescent="0.3">
      <c r="F36235" s="193"/>
    </row>
    <row r="36236" spans="6:6" x14ac:dyDescent="0.3">
      <c r="F36236" s="193"/>
    </row>
    <row r="36237" spans="6:6" x14ac:dyDescent="0.3">
      <c r="F36237" s="193"/>
    </row>
    <row r="36238" spans="6:6" x14ac:dyDescent="0.3">
      <c r="F36238" s="193"/>
    </row>
    <row r="36239" spans="6:6" x14ac:dyDescent="0.3">
      <c r="F36239" s="193"/>
    </row>
    <row r="36240" spans="6:6" x14ac:dyDescent="0.3">
      <c r="F36240" s="193"/>
    </row>
    <row r="36241" spans="6:6" x14ac:dyDescent="0.3">
      <c r="F36241" s="193"/>
    </row>
    <row r="36242" spans="6:6" x14ac:dyDescent="0.3">
      <c r="F36242" s="193"/>
    </row>
    <row r="36243" spans="6:6" x14ac:dyDescent="0.3">
      <c r="F36243" s="193"/>
    </row>
    <row r="36244" spans="6:6" x14ac:dyDescent="0.3">
      <c r="F36244" s="193"/>
    </row>
    <row r="36245" spans="6:6" x14ac:dyDescent="0.3">
      <c r="F36245" s="193"/>
    </row>
    <row r="36246" spans="6:6" x14ac:dyDescent="0.3">
      <c r="F36246" s="193"/>
    </row>
    <row r="36247" spans="6:6" x14ac:dyDescent="0.3">
      <c r="F36247" s="193"/>
    </row>
    <row r="36248" spans="6:6" x14ac:dyDescent="0.3">
      <c r="F36248" s="193"/>
    </row>
    <row r="36249" spans="6:6" x14ac:dyDescent="0.3">
      <c r="F36249" s="193"/>
    </row>
    <row r="36250" spans="6:6" x14ac:dyDescent="0.3">
      <c r="F36250" s="193"/>
    </row>
    <row r="36251" spans="6:6" x14ac:dyDescent="0.3">
      <c r="F36251" s="193"/>
    </row>
    <row r="36252" spans="6:6" x14ac:dyDescent="0.3">
      <c r="F36252" s="193"/>
    </row>
    <row r="36253" spans="6:6" x14ac:dyDescent="0.3">
      <c r="F36253" s="193"/>
    </row>
    <row r="36254" spans="6:6" x14ac:dyDescent="0.3">
      <c r="F36254" s="193"/>
    </row>
    <row r="36255" spans="6:6" x14ac:dyDescent="0.3">
      <c r="F36255" s="193"/>
    </row>
    <row r="36256" spans="6:6" x14ac:dyDescent="0.3">
      <c r="F36256" s="193"/>
    </row>
    <row r="36257" spans="6:6" x14ac:dyDescent="0.3">
      <c r="F36257" s="193"/>
    </row>
    <row r="36258" spans="6:6" x14ac:dyDescent="0.3">
      <c r="F36258" s="193"/>
    </row>
    <row r="36259" spans="6:6" x14ac:dyDescent="0.3">
      <c r="F36259" s="193"/>
    </row>
    <row r="36260" spans="6:6" x14ac:dyDescent="0.3">
      <c r="F36260" s="193"/>
    </row>
    <row r="36261" spans="6:6" x14ac:dyDescent="0.3">
      <c r="F36261" s="193"/>
    </row>
    <row r="36262" spans="6:6" x14ac:dyDescent="0.3">
      <c r="F36262" s="193"/>
    </row>
    <row r="36263" spans="6:6" x14ac:dyDescent="0.3">
      <c r="F36263" s="193"/>
    </row>
    <row r="36264" spans="6:6" x14ac:dyDescent="0.3">
      <c r="F36264" s="193"/>
    </row>
    <row r="36265" spans="6:6" x14ac:dyDescent="0.3">
      <c r="F36265" s="193"/>
    </row>
    <row r="36266" spans="6:6" x14ac:dyDescent="0.3">
      <c r="F36266" s="193"/>
    </row>
    <row r="36267" spans="6:6" x14ac:dyDescent="0.3">
      <c r="F36267" s="193"/>
    </row>
    <row r="36268" spans="6:6" x14ac:dyDescent="0.3">
      <c r="F36268" s="193"/>
    </row>
    <row r="36269" spans="6:6" x14ac:dyDescent="0.3">
      <c r="F36269" s="193"/>
    </row>
    <row r="36270" spans="6:6" x14ac:dyDescent="0.3">
      <c r="F36270" s="193"/>
    </row>
    <row r="36271" spans="6:6" x14ac:dyDescent="0.3">
      <c r="F36271" s="193"/>
    </row>
    <row r="36272" spans="6:6" x14ac:dyDescent="0.3">
      <c r="F36272" s="193"/>
    </row>
    <row r="36273" spans="6:6" x14ac:dyDescent="0.3">
      <c r="F36273" s="193"/>
    </row>
    <row r="36274" spans="6:6" x14ac:dyDescent="0.3">
      <c r="F36274" s="193"/>
    </row>
    <row r="36275" spans="6:6" x14ac:dyDescent="0.3">
      <c r="F36275" s="193"/>
    </row>
    <row r="36276" spans="6:6" x14ac:dyDescent="0.3">
      <c r="F36276" s="193"/>
    </row>
    <row r="36277" spans="6:6" x14ac:dyDescent="0.3">
      <c r="F36277" s="193"/>
    </row>
    <row r="36278" spans="6:6" x14ac:dyDescent="0.3">
      <c r="F36278" s="193"/>
    </row>
    <row r="36279" spans="6:6" x14ac:dyDescent="0.3">
      <c r="F36279" s="193"/>
    </row>
    <row r="36280" spans="6:6" x14ac:dyDescent="0.3">
      <c r="F36280" s="193"/>
    </row>
    <row r="36281" spans="6:6" x14ac:dyDescent="0.3">
      <c r="F36281" s="193"/>
    </row>
    <row r="36282" spans="6:6" x14ac:dyDescent="0.3">
      <c r="F36282" s="193"/>
    </row>
    <row r="36283" spans="6:6" x14ac:dyDescent="0.3">
      <c r="F36283" s="193"/>
    </row>
    <row r="36284" spans="6:6" x14ac:dyDescent="0.3">
      <c r="F36284" s="193"/>
    </row>
    <row r="36285" spans="6:6" x14ac:dyDescent="0.3">
      <c r="F36285" s="193"/>
    </row>
    <row r="36286" spans="6:6" x14ac:dyDescent="0.3">
      <c r="F36286" s="193"/>
    </row>
    <row r="36287" spans="6:6" x14ac:dyDescent="0.3">
      <c r="F36287" s="193"/>
    </row>
    <row r="36288" spans="6:6" x14ac:dyDescent="0.3">
      <c r="F36288" s="193"/>
    </row>
    <row r="36289" spans="6:6" x14ac:dyDescent="0.3">
      <c r="F36289" s="193"/>
    </row>
    <row r="36290" spans="6:6" x14ac:dyDescent="0.3">
      <c r="F36290" s="193"/>
    </row>
    <row r="36291" spans="6:6" x14ac:dyDescent="0.3">
      <c r="F36291" s="193"/>
    </row>
    <row r="36292" spans="6:6" x14ac:dyDescent="0.3">
      <c r="F36292" s="193"/>
    </row>
    <row r="36293" spans="6:6" x14ac:dyDescent="0.3">
      <c r="F36293" s="193"/>
    </row>
    <row r="36294" spans="6:6" x14ac:dyDescent="0.3">
      <c r="F36294" s="193"/>
    </row>
    <row r="36295" spans="6:6" x14ac:dyDescent="0.3">
      <c r="F36295" s="193"/>
    </row>
    <row r="36296" spans="6:6" x14ac:dyDescent="0.3">
      <c r="F36296" s="193"/>
    </row>
    <row r="36297" spans="6:6" x14ac:dyDescent="0.3">
      <c r="F36297" s="193"/>
    </row>
    <row r="36298" spans="6:6" x14ac:dyDescent="0.3">
      <c r="F36298" s="193"/>
    </row>
    <row r="36299" spans="6:6" x14ac:dyDescent="0.3">
      <c r="F36299" s="193"/>
    </row>
    <row r="36300" spans="6:6" x14ac:dyDescent="0.3">
      <c r="F36300" s="193"/>
    </row>
    <row r="36301" spans="6:6" x14ac:dyDescent="0.3">
      <c r="F36301" s="193"/>
    </row>
    <row r="36302" spans="6:6" x14ac:dyDescent="0.3">
      <c r="F36302" s="193"/>
    </row>
    <row r="36303" spans="6:6" x14ac:dyDescent="0.3">
      <c r="F36303" s="193"/>
    </row>
    <row r="36304" spans="6:6" x14ac:dyDescent="0.3">
      <c r="F36304" s="193"/>
    </row>
    <row r="36305" spans="6:6" x14ac:dyDescent="0.3">
      <c r="F36305" s="193"/>
    </row>
    <row r="36306" spans="6:6" x14ac:dyDescent="0.3">
      <c r="F36306" s="193"/>
    </row>
    <row r="36307" spans="6:6" x14ac:dyDescent="0.3">
      <c r="F36307" s="193"/>
    </row>
    <row r="36308" spans="6:6" x14ac:dyDescent="0.3">
      <c r="F36308" s="193"/>
    </row>
    <row r="36309" spans="6:6" x14ac:dyDescent="0.3">
      <c r="F36309" s="193"/>
    </row>
    <row r="36310" spans="6:6" x14ac:dyDescent="0.3">
      <c r="F36310" s="193"/>
    </row>
    <row r="36311" spans="6:6" x14ac:dyDescent="0.3">
      <c r="F36311" s="193"/>
    </row>
    <row r="36312" spans="6:6" x14ac:dyDescent="0.3">
      <c r="F36312" s="193"/>
    </row>
    <row r="36313" spans="6:6" x14ac:dyDescent="0.3">
      <c r="F36313" s="193"/>
    </row>
    <row r="36314" spans="6:6" x14ac:dyDescent="0.3">
      <c r="F36314" s="193"/>
    </row>
    <row r="36315" spans="6:6" x14ac:dyDescent="0.3">
      <c r="F36315" s="193"/>
    </row>
    <row r="36316" spans="6:6" x14ac:dyDescent="0.3">
      <c r="F36316" s="193"/>
    </row>
    <row r="36317" spans="6:6" x14ac:dyDescent="0.3">
      <c r="F36317" s="193"/>
    </row>
    <row r="36318" spans="6:6" x14ac:dyDescent="0.3">
      <c r="F36318" s="193"/>
    </row>
    <row r="36319" spans="6:6" x14ac:dyDescent="0.3">
      <c r="F36319" s="193"/>
    </row>
    <row r="36320" spans="6:6" x14ac:dyDescent="0.3">
      <c r="F36320" s="193"/>
    </row>
    <row r="36321" spans="6:6" x14ac:dyDescent="0.3">
      <c r="F36321" s="193"/>
    </row>
    <row r="36322" spans="6:6" x14ac:dyDescent="0.3">
      <c r="F36322" s="193"/>
    </row>
    <row r="36323" spans="6:6" x14ac:dyDescent="0.3">
      <c r="F36323" s="193"/>
    </row>
    <row r="36324" spans="6:6" x14ac:dyDescent="0.3">
      <c r="F36324" s="193"/>
    </row>
    <row r="36325" spans="6:6" x14ac:dyDescent="0.3">
      <c r="F36325" s="193"/>
    </row>
    <row r="36326" spans="6:6" x14ac:dyDescent="0.3">
      <c r="F36326" s="193"/>
    </row>
    <row r="36327" spans="6:6" x14ac:dyDescent="0.3">
      <c r="F36327" s="193"/>
    </row>
    <row r="36328" spans="6:6" x14ac:dyDescent="0.3">
      <c r="F36328" s="193"/>
    </row>
    <row r="36329" spans="6:6" x14ac:dyDescent="0.3">
      <c r="F36329" s="193"/>
    </row>
    <row r="36330" spans="6:6" x14ac:dyDescent="0.3">
      <c r="F36330" s="193"/>
    </row>
    <row r="36331" spans="6:6" x14ac:dyDescent="0.3">
      <c r="F36331" s="193"/>
    </row>
    <row r="36332" spans="6:6" x14ac:dyDescent="0.3">
      <c r="F36332" s="193"/>
    </row>
    <row r="36333" spans="6:6" x14ac:dyDescent="0.3">
      <c r="F36333" s="193"/>
    </row>
    <row r="36334" spans="6:6" x14ac:dyDescent="0.3">
      <c r="F36334" s="193"/>
    </row>
    <row r="36335" spans="6:6" x14ac:dyDescent="0.3">
      <c r="F36335" s="193"/>
    </row>
    <row r="36336" spans="6:6" x14ac:dyDescent="0.3">
      <c r="F36336" s="193"/>
    </row>
    <row r="36337" spans="6:6" x14ac:dyDescent="0.3">
      <c r="F36337" s="193"/>
    </row>
    <row r="36338" spans="6:6" x14ac:dyDescent="0.3">
      <c r="F36338" s="193"/>
    </row>
    <row r="36339" spans="6:6" x14ac:dyDescent="0.3">
      <c r="F36339" s="193"/>
    </row>
    <row r="36340" spans="6:6" x14ac:dyDescent="0.3">
      <c r="F36340" s="193"/>
    </row>
    <row r="36341" spans="6:6" x14ac:dyDescent="0.3">
      <c r="F36341" s="193"/>
    </row>
    <row r="36342" spans="6:6" x14ac:dyDescent="0.3">
      <c r="F36342" s="193"/>
    </row>
    <row r="36343" spans="6:6" x14ac:dyDescent="0.3">
      <c r="F36343" s="193"/>
    </row>
    <row r="36344" spans="6:6" x14ac:dyDescent="0.3">
      <c r="F36344" s="193"/>
    </row>
    <row r="36345" spans="6:6" x14ac:dyDescent="0.3">
      <c r="F36345" s="193"/>
    </row>
    <row r="36346" spans="6:6" x14ac:dyDescent="0.3">
      <c r="F36346" s="193"/>
    </row>
    <row r="36347" spans="6:6" x14ac:dyDescent="0.3">
      <c r="F36347" s="193"/>
    </row>
    <row r="36348" spans="6:6" x14ac:dyDescent="0.3">
      <c r="F36348" s="193"/>
    </row>
    <row r="36349" spans="6:6" x14ac:dyDescent="0.3">
      <c r="F36349" s="193"/>
    </row>
    <row r="36350" spans="6:6" x14ac:dyDescent="0.3">
      <c r="F36350" s="193"/>
    </row>
    <row r="36351" spans="6:6" x14ac:dyDescent="0.3">
      <c r="F36351" s="193"/>
    </row>
    <row r="36352" spans="6:6" x14ac:dyDescent="0.3">
      <c r="F36352" s="193"/>
    </row>
    <row r="36353" spans="6:6" x14ac:dyDescent="0.3">
      <c r="F36353" s="193"/>
    </row>
    <row r="36354" spans="6:6" x14ac:dyDescent="0.3">
      <c r="F36354" s="193"/>
    </row>
    <row r="36355" spans="6:6" x14ac:dyDescent="0.3">
      <c r="F36355" s="193"/>
    </row>
    <row r="36356" spans="6:6" x14ac:dyDescent="0.3">
      <c r="F36356" s="193"/>
    </row>
    <row r="36357" spans="6:6" x14ac:dyDescent="0.3">
      <c r="F36357" s="193"/>
    </row>
    <row r="36358" spans="6:6" x14ac:dyDescent="0.3">
      <c r="F36358" s="193"/>
    </row>
    <row r="36359" spans="6:6" x14ac:dyDescent="0.3">
      <c r="F36359" s="193"/>
    </row>
    <row r="36360" spans="6:6" x14ac:dyDescent="0.3">
      <c r="F36360" s="193"/>
    </row>
    <row r="36361" spans="6:6" x14ac:dyDescent="0.3">
      <c r="F36361" s="193"/>
    </row>
    <row r="36362" spans="6:6" x14ac:dyDescent="0.3">
      <c r="F36362" s="193"/>
    </row>
    <row r="36363" spans="6:6" x14ac:dyDescent="0.3">
      <c r="F36363" s="193"/>
    </row>
    <row r="36364" spans="6:6" x14ac:dyDescent="0.3">
      <c r="F36364" s="193"/>
    </row>
    <row r="36365" spans="6:6" x14ac:dyDescent="0.3">
      <c r="F36365" s="193"/>
    </row>
    <row r="36366" spans="6:6" x14ac:dyDescent="0.3">
      <c r="F36366" s="193"/>
    </row>
    <row r="36367" spans="6:6" x14ac:dyDescent="0.3">
      <c r="F36367" s="193"/>
    </row>
    <row r="36368" spans="6:6" x14ac:dyDescent="0.3">
      <c r="F36368" s="193"/>
    </row>
    <row r="36369" spans="6:6" x14ac:dyDescent="0.3">
      <c r="F36369" s="193"/>
    </row>
    <row r="36370" spans="6:6" x14ac:dyDescent="0.3">
      <c r="F36370" s="193"/>
    </row>
    <row r="36371" spans="6:6" x14ac:dyDescent="0.3">
      <c r="F36371" s="193"/>
    </row>
    <row r="36372" spans="6:6" x14ac:dyDescent="0.3">
      <c r="F36372" s="193"/>
    </row>
    <row r="36373" spans="6:6" x14ac:dyDescent="0.3">
      <c r="F36373" s="193"/>
    </row>
    <row r="36374" spans="6:6" x14ac:dyDescent="0.3">
      <c r="F36374" s="193"/>
    </row>
    <row r="36375" spans="6:6" x14ac:dyDescent="0.3">
      <c r="F36375" s="193"/>
    </row>
    <row r="36376" spans="6:6" x14ac:dyDescent="0.3">
      <c r="F36376" s="193"/>
    </row>
    <row r="36377" spans="6:6" x14ac:dyDescent="0.3">
      <c r="F36377" s="193"/>
    </row>
    <row r="36378" spans="6:6" x14ac:dyDescent="0.3">
      <c r="F36378" s="193"/>
    </row>
    <row r="36379" spans="6:6" x14ac:dyDescent="0.3">
      <c r="F36379" s="193"/>
    </row>
    <row r="36380" spans="6:6" x14ac:dyDescent="0.3">
      <c r="F36380" s="193"/>
    </row>
    <row r="36381" spans="6:6" x14ac:dyDescent="0.3">
      <c r="F36381" s="193"/>
    </row>
    <row r="36382" spans="6:6" x14ac:dyDescent="0.3">
      <c r="F36382" s="193"/>
    </row>
    <row r="36383" spans="6:6" x14ac:dyDescent="0.3">
      <c r="F36383" s="193"/>
    </row>
    <row r="36384" spans="6:6" x14ac:dyDescent="0.3">
      <c r="F36384" s="193"/>
    </row>
    <row r="36385" spans="6:6" x14ac:dyDescent="0.3">
      <c r="F36385" s="193"/>
    </row>
    <row r="36386" spans="6:6" x14ac:dyDescent="0.3">
      <c r="F36386" s="193"/>
    </row>
    <row r="36387" spans="6:6" x14ac:dyDescent="0.3">
      <c r="F36387" s="193"/>
    </row>
    <row r="36388" spans="6:6" x14ac:dyDescent="0.3">
      <c r="F36388" s="193"/>
    </row>
    <row r="36389" spans="6:6" x14ac:dyDescent="0.3">
      <c r="F36389" s="193"/>
    </row>
    <row r="36390" spans="6:6" x14ac:dyDescent="0.3">
      <c r="F36390" s="193"/>
    </row>
    <row r="36391" spans="6:6" x14ac:dyDescent="0.3">
      <c r="F36391" s="193"/>
    </row>
    <row r="36392" spans="6:6" x14ac:dyDescent="0.3">
      <c r="F36392" s="193"/>
    </row>
    <row r="36393" spans="6:6" x14ac:dyDescent="0.3">
      <c r="F36393" s="193"/>
    </row>
    <row r="36394" spans="6:6" x14ac:dyDescent="0.3">
      <c r="F36394" s="193"/>
    </row>
    <row r="36395" spans="6:6" x14ac:dyDescent="0.3">
      <c r="F36395" s="193"/>
    </row>
    <row r="36396" spans="6:6" x14ac:dyDescent="0.3">
      <c r="F36396" s="193"/>
    </row>
    <row r="36397" spans="6:6" x14ac:dyDescent="0.3">
      <c r="F36397" s="193"/>
    </row>
    <row r="36398" spans="6:6" x14ac:dyDescent="0.3">
      <c r="F36398" s="193"/>
    </row>
    <row r="36399" spans="6:6" x14ac:dyDescent="0.3">
      <c r="F36399" s="193"/>
    </row>
    <row r="36400" spans="6:6" x14ac:dyDescent="0.3">
      <c r="F36400" s="193"/>
    </row>
    <row r="36401" spans="6:6" x14ac:dyDescent="0.3">
      <c r="F36401" s="193"/>
    </row>
    <row r="36402" spans="6:6" x14ac:dyDescent="0.3">
      <c r="F36402" s="193"/>
    </row>
    <row r="36403" spans="6:6" x14ac:dyDescent="0.3">
      <c r="F36403" s="193"/>
    </row>
    <row r="36404" spans="6:6" x14ac:dyDescent="0.3">
      <c r="F36404" s="193"/>
    </row>
    <row r="36405" spans="6:6" x14ac:dyDescent="0.3">
      <c r="F36405" s="193"/>
    </row>
    <row r="36406" spans="6:6" x14ac:dyDescent="0.3">
      <c r="F36406" s="193"/>
    </row>
    <row r="36407" spans="6:6" x14ac:dyDescent="0.3">
      <c r="F36407" s="193"/>
    </row>
    <row r="36408" spans="6:6" x14ac:dyDescent="0.3">
      <c r="F36408" s="193"/>
    </row>
    <row r="36409" spans="6:6" x14ac:dyDescent="0.3">
      <c r="F36409" s="193"/>
    </row>
    <row r="36410" spans="6:6" x14ac:dyDescent="0.3">
      <c r="F36410" s="193"/>
    </row>
    <row r="36411" spans="6:6" x14ac:dyDescent="0.3">
      <c r="F36411" s="193"/>
    </row>
    <row r="36412" spans="6:6" x14ac:dyDescent="0.3">
      <c r="F36412" s="193"/>
    </row>
    <row r="36413" spans="6:6" x14ac:dyDescent="0.3">
      <c r="F36413" s="193"/>
    </row>
    <row r="36414" spans="6:6" x14ac:dyDescent="0.3">
      <c r="F36414" s="193"/>
    </row>
    <row r="36415" spans="6:6" x14ac:dyDescent="0.3">
      <c r="F36415" s="193"/>
    </row>
    <row r="36416" spans="6:6" x14ac:dyDescent="0.3">
      <c r="F36416" s="193"/>
    </row>
    <row r="36417" spans="6:6" x14ac:dyDescent="0.3">
      <c r="F36417" s="193"/>
    </row>
    <row r="36418" spans="6:6" x14ac:dyDescent="0.3">
      <c r="F36418" s="193"/>
    </row>
    <row r="36419" spans="6:6" x14ac:dyDescent="0.3">
      <c r="F36419" s="193"/>
    </row>
    <row r="36420" spans="6:6" x14ac:dyDescent="0.3">
      <c r="F36420" s="193"/>
    </row>
    <row r="36421" spans="6:6" x14ac:dyDescent="0.3">
      <c r="F36421" s="193"/>
    </row>
    <row r="36422" spans="6:6" x14ac:dyDescent="0.3">
      <c r="F36422" s="193"/>
    </row>
    <row r="36423" spans="6:6" x14ac:dyDescent="0.3">
      <c r="F36423" s="193"/>
    </row>
    <row r="36424" spans="6:6" x14ac:dyDescent="0.3">
      <c r="F36424" s="193"/>
    </row>
    <row r="36425" spans="6:6" x14ac:dyDescent="0.3">
      <c r="F36425" s="193"/>
    </row>
    <row r="36426" spans="6:6" x14ac:dyDescent="0.3">
      <c r="F36426" s="193"/>
    </row>
    <row r="36427" spans="6:6" x14ac:dyDescent="0.3">
      <c r="F36427" s="193"/>
    </row>
    <row r="36428" spans="6:6" x14ac:dyDescent="0.3">
      <c r="F36428" s="193"/>
    </row>
    <row r="36429" spans="6:6" x14ac:dyDescent="0.3">
      <c r="F36429" s="193"/>
    </row>
    <row r="36430" spans="6:6" x14ac:dyDescent="0.3">
      <c r="F36430" s="193"/>
    </row>
    <row r="36431" spans="6:6" x14ac:dyDescent="0.3">
      <c r="F36431" s="193"/>
    </row>
    <row r="36432" spans="6:6" x14ac:dyDescent="0.3">
      <c r="F36432" s="193"/>
    </row>
    <row r="36433" spans="6:6" x14ac:dyDescent="0.3">
      <c r="F36433" s="193"/>
    </row>
    <row r="36434" spans="6:6" x14ac:dyDescent="0.3">
      <c r="F36434" s="193"/>
    </row>
    <row r="36435" spans="6:6" x14ac:dyDescent="0.3">
      <c r="F36435" s="193"/>
    </row>
    <row r="36436" spans="6:6" x14ac:dyDescent="0.3">
      <c r="F36436" s="193"/>
    </row>
    <row r="36437" spans="6:6" x14ac:dyDescent="0.3">
      <c r="F36437" s="193"/>
    </row>
    <row r="36438" spans="6:6" x14ac:dyDescent="0.3">
      <c r="F36438" s="193"/>
    </row>
    <row r="36439" spans="6:6" x14ac:dyDescent="0.3">
      <c r="F36439" s="193"/>
    </row>
    <row r="36440" spans="6:6" x14ac:dyDescent="0.3">
      <c r="F36440" s="193"/>
    </row>
    <row r="36441" spans="6:6" x14ac:dyDescent="0.3">
      <c r="F36441" s="193"/>
    </row>
    <row r="36442" spans="6:6" x14ac:dyDescent="0.3">
      <c r="F36442" s="193"/>
    </row>
    <row r="36443" spans="6:6" x14ac:dyDescent="0.3">
      <c r="F36443" s="193"/>
    </row>
    <row r="36444" spans="6:6" x14ac:dyDescent="0.3">
      <c r="F36444" s="193"/>
    </row>
    <row r="36445" spans="6:6" x14ac:dyDescent="0.3">
      <c r="F36445" s="193"/>
    </row>
    <row r="36446" spans="6:6" x14ac:dyDescent="0.3">
      <c r="F36446" s="193"/>
    </row>
    <row r="36447" spans="6:6" x14ac:dyDescent="0.3">
      <c r="F36447" s="193"/>
    </row>
    <row r="36448" spans="6:6" x14ac:dyDescent="0.3">
      <c r="F36448" s="193"/>
    </row>
    <row r="36449" spans="6:6" x14ac:dyDescent="0.3">
      <c r="F36449" s="193"/>
    </row>
    <row r="36450" spans="6:6" x14ac:dyDescent="0.3">
      <c r="F36450" s="193"/>
    </row>
    <row r="36451" spans="6:6" x14ac:dyDescent="0.3">
      <c r="F36451" s="193"/>
    </row>
    <row r="36452" spans="6:6" x14ac:dyDescent="0.3">
      <c r="F36452" s="193"/>
    </row>
    <row r="36453" spans="6:6" x14ac:dyDescent="0.3">
      <c r="F36453" s="193"/>
    </row>
    <row r="36454" spans="6:6" x14ac:dyDescent="0.3">
      <c r="F36454" s="193"/>
    </row>
    <row r="36455" spans="6:6" x14ac:dyDescent="0.3">
      <c r="F36455" s="193"/>
    </row>
    <row r="36456" spans="6:6" x14ac:dyDescent="0.3">
      <c r="F36456" s="193"/>
    </row>
    <row r="36457" spans="6:6" x14ac:dyDescent="0.3">
      <c r="F36457" s="193"/>
    </row>
    <row r="36458" spans="6:6" x14ac:dyDescent="0.3">
      <c r="F36458" s="193"/>
    </row>
    <row r="36459" spans="6:6" x14ac:dyDescent="0.3">
      <c r="F36459" s="193"/>
    </row>
    <row r="36460" spans="6:6" x14ac:dyDescent="0.3">
      <c r="F36460" s="193"/>
    </row>
    <row r="36461" spans="6:6" x14ac:dyDescent="0.3">
      <c r="F36461" s="193"/>
    </row>
    <row r="36462" spans="6:6" x14ac:dyDescent="0.3">
      <c r="F36462" s="193"/>
    </row>
    <row r="36463" spans="6:6" x14ac:dyDescent="0.3">
      <c r="F36463" s="193"/>
    </row>
    <row r="36464" spans="6:6" x14ac:dyDescent="0.3">
      <c r="F36464" s="193"/>
    </row>
    <row r="36465" spans="6:6" x14ac:dyDescent="0.3">
      <c r="F36465" s="193"/>
    </row>
    <row r="36466" spans="6:6" x14ac:dyDescent="0.3">
      <c r="F36466" s="193"/>
    </row>
    <row r="36467" spans="6:6" x14ac:dyDescent="0.3">
      <c r="F36467" s="193"/>
    </row>
    <row r="36468" spans="6:6" x14ac:dyDescent="0.3">
      <c r="F36468" s="193"/>
    </row>
    <row r="36469" spans="6:6" x14ac:dyDescent="0.3">
      <c r="F36469" s="193"/>
    </row>
    <row r="36470" spans="6:6" x14ac:dyDescent="0.3">
      <c r="F36470" s="193"/>
    </row>
    <row r="36471" spans="6:6" x14ac:dyDescent="0.3">
      <c r="F36471" s="193"/>
    </row>
    <row r="36472" spans="6:6" x14ac:dyDescent="0.3">
      <c r="F36472" s="193"/>
    </row>
    <row r="36473" spans="6:6" x14ac:dyDescent="0.3">
      <c r="F36473" s="193"/>
    </row>
    <row r="36474" spans="6:6" x14ac:dyDescent="0.3">
      <c r="F36474" s="193"/>
    </row>
    <row r="36475" spans="6:6" x14ac:dyDescent="0.3">
      <c r="F36475" s="193"/>
    </row>
    <row r="36476" spans="6:6" x14ac:dyDescent="0.3">
      <c r="F36476" s="193"/>
    </row>
    <row r="36477" spans="6:6" x14ac:dyDescent="0.3">
      <c r="F36477" s="193"/>
    </row>
    <row r="36478" spans="6:6" x14ac:dyDescent="0.3">
      <c r="F36478" s="193"/>
    </row>
    <row r="36479" spans="6:6" x14ac:dyDescent="0.3">
      <c r="F36479" s="193"/>
    </row>
    <row r="36480" spans="6:6" x14ac:dyDescent="0.3">
      <c r="F36480" s="193"/>
    </row>
    <row r="36481" spans="6:6" x14ac:dyDescent="0.3">
      <c r="F36481" s="193"/>
    </row>
    <row r="36482" spans="6:6" x14ac:dyDescent="0.3">
      <c r="F36482" s="193"/>
    </row>
    <row r="36483" spans="6:6" x14ac:dyDescent="0.3">
      <c r="F36483" s="193"/>
    </row>
    <row r="36484" spans="6:6" x14ac:dyDescent="0.3">
      <c r="F36484" s="193"/>
    </row>
    <row r="36485" spans="6:6" x14ac:dyDescent="0.3">
      <c r="F36485" s="193"/>
    </row>
    <row r="36486" spans="6:6" x14ac:dyDescent="0.3">
      <c r="F36486" s="193"/>
    </row>
    <row r="36487" spans="6:6" x14ac:dyDescent="0.3">
      <c r="F36487" s="193"/>
    </row>
    <row r="36488" spans="6:6" x14ac:dyDescent="0.3">
      <c r="F36488" s="193"/>
    </row>
    <row r="36489" spans="6:6" x14ac:dyDescent="0.3">
      <c r="F36489" s="193"/>
    </row>
    <row r="36490" spans="6:6" x14ac:dyDescent="0.3">
      <c r="F36490" s="193"/>
    </row>
    <row r="36491" spans="6:6" x14ac:dyDescent="0.3">
      <c r="F36491" s="193"/>
    </row>
    <row r="36492" spans="6:6" x14ac:dyDescent="0.3">
      <c r="F36492" s="193"/>
    </row>
    <row r="36493" spans="6:6" x14ac:dyDescent="0.3">
      <c r="F36493" s="193"/>
    </row>
    <row r="36494" spans="6:6" x14ac:dyDescent="0.3">
      <c r="F36494" s="193"/>
    </row>
    <row r="36495" spans="6:6" x14ac:dyDescent="0.3">
      <c r="F36495" s="193"/>
    </row>
    <row r="36496" spans="6:6" x14ac:dyDescent="0.3">
      <c r="F36496" s="193"/>
    </row>
    <row r="36497" spans="6:6" x14ac:dyDescent="0.3">
      <c r="F36497" s="193"/>
    </row>
    <row r="36498" spans="6:6" x14ac:dyDescent="0.3">
      <c r="F36498" s="193"/>
    </row>
    <row r="36499" spans="6:6" x14ac:dyDescent="0.3">
      <c r="F36499" s="193"/>
    </row>
    <row r="36500" spans="6:6" x14ac:dyDescent="0.3">
      <c r="F36500" s="193"/>
    </row>
    <row r="36501" spans="6:6" x14ac:dyDescent="0.3">
      <c r="F36501" s="193"/>
    </row>
    <row r="36502" spans="6:6" x14ac:dyDescent="0.3">
      <c r="F36502" s="193"/>
    </row>
    <row r="36503" spans="6:6" x14ac:dyDescent="0.3">
      <c r="F36503" s="193"/>
    </row>
    <row r="36504" spans="6:6" x14ac:dyDescent="0.3">
      <c r="F36504" s="193"/>
    </row>
    <row r="36505" spans="6:6" x14ac:dyDescent="0.3">
      <c r="F36505" s="193"/>
    </row>
    <row r="36506" spans="6:6" x14ac:dyDescent="0.3">
      <c r="F36506" s="193"/>
    </row>
    <row r="36507" spans="6:6" x14ac:dyDescent="0.3">
      <c r="F36507" s="193"/>
    </row>
    <row r="36508" spans="6:6" x14ac:dyDescent="0.3">
      <c r="F36508" s="193"/>
    </row>
    <row r="36509" spans="6:6" x14ac:dyDescent="0.3">
      <c r="F36509" s="193"/>
    </row>
    <row r="36510" spans="6:6" x14ac:dyDescent="0.3">
      <c r="F36510" s="193"/>
    </row>
    <row r="36511" spans="6:6" x14ac:dyDescent="0.3">
      <c r="F36511" s="193"/>
    </row>
    <row r="36512" spans="6:6" x14ac:dyDescent="0.3">
      <c r="F36512" s="193"/>
    </row>
    <row r="36513" spans="6:6" x14ac:dyDescent="0.3">
      <c r="F36513" s="193"/>
    </row>
    <row r="36514" spans="6:6" x14ac:dyDescent="0.3">
      <c r="F36514" s="193"/>
    </row>
    <row r="36515" spans="6:6" x14ac:dyDescent="0.3">
      <c r="F36515" s="193"/>
    </row>
    <row r="36516" spans="6:6" x14ac:dyDescent="0.3">
      <c r="F36516" s="193"/>
    </row>
    <row r="36517" spans="6:6" x14ac:dyDescent="0.3">
      <c r="F36517" s="193"/>
    </row>
    <row r="36518" spans="6:6" x14ac:dyDescent="0.3">
      <c r="F36518" s="193"/>
    </row>
    <row r="36519" spans="6:6" x14ac:dyDescent="0.3">
      <c r="F36519" s="193"/>
    </row>
    <row r="36520" spans="6:6" x14ac:dyDescent="0.3">
      <c r="F36520" s="193"/>
    </row>
    <row r="36521" spans="6:6" x14ac:dyDescent="0.3">
      <c r="F36521" s="193"/>
    </row>
    <row r="36522" spans="6:6" x14ac:dyDescent="0.3">
      <c r="F36522" s="193"/>
    </row>
    <row r="36523" spans="6:6" x14ac:dyDescent="0.3">
      <c r="F36523" s="193"/>
    </row>
    <row r="36524" spans="6:6" x14ac:dyDescent="0.3">
      <c r="F36524" s="193"/>
    </row>
    <row r="36525" spans="6:6" x14ac:dyDescent="0.3">
      <c r="F36525" s="193"/>
    </row>
    <row r="36526" spans="6:6" x14ac:dyDescent="0.3">
      <c r="F36526" s="193"/>
    </row>
    <row r="36527" spans="6:6" x14ac:dyDescent="0.3">
      <c r="F36527" s="193"/>
    </row>
    <row r="36528" spans="6:6" x14ac:dyDescent="0.3">
      <c r="F36528" s="193"/>
    </row>
    <row r="36529" spans="6:6" x14ac:dyDescent="0.3">
      <c r="F36529" s="193"/>
    </row>
    <row r="36530" spans="6:6" x14ac:dyDescent="0.3">
      <c r="F36530" s="193"/>
    </row>
    <row r="36531" spans="6:6" x14ac:dyDescent="0.3">
      <c r="F36531" s="193"/>
    </row>
    <row r="36532" spans="6:6" x14ac:dyDescent="0.3">
      <c r="F36532" s="193"/>
    </row>
    <row r="36533" spans="6:6" x14ac:dyDescent="0.3">
      <c r="F36533" s="193"/>
    </row>
    <row r="36534" spans="6:6" x14ac:dyDescent="0.3">
      <c r="F36534" s="193"/>
    </row>
    <row r="36535" spans="6:6" x14ac:dyDescent="0.3">
      <c r="F36535" s="193"/>
    </row>
    <row r="36536" spans="6:6" x14ac:dyDescent="0.3">
      <c r="F36536" s="193"/>
    </row>
    <row r="36537" spans="6:6" x14ac:dyDescent="0.3">
      <c r="F36537" s="193"/>
    </row>
    <row r="36538" spans="6:6" x14ac:dyDescent="0.3">
      <c r="F36538" s="193"/>
    </row>
    <row r="36539" spans="6:6" x14ac:dyDescent="0.3">
      <c r="F36539" s="193"/>
    </row>
    <row r="36540" spans="6:6" x14ac:dyDescent="0.3">
      <c r="F36540" s="193"/>
    </row>
    <row r="36541" spans="6:6" x14ac:dyDescent="0.3">
      <c r="F36541" s="193"/>
    </row>
    <row r="36542" spans="6:6" x14ac:dyDescent="0.3">
      <c r="F36542" s="193"/>
    </row>
    <row r="36543" spans="6:6" x14ac:dyDescent="0.3">
      <c r="F36543" s="193"/>
    </row>
    <row r="36544" spans="6:6" x14ac:dyDescent="0.3">
      <c r="F36544" s="193"/>
    </row>
    <row r="36545" spans="6:6" x14ac:dyDescent="0.3">
      <c r="F36545" s="193"/>
    </row>
    <row r="36546" spans="6:6" x14ac:dyDescent="0.3">
      <c r="F36546" s="193"/>
    </row>
    <row r="36547" spans="6:6" x14ac:dyDescent="0.3">
      <c r="F36547" s="193"/>
    </row>
    <row r="36548" spans="6:6" x14ac:dyDescent="0.3">
      <c r="F36548" s="193"/>
    </row>
    <row r="36549" spans="6:6" x14ac:dyDescent="0.3">
      <c r="F36549" s="193"/>
    </row>
    <row r="36550" spans="6:6" x14ac:dyDescent="0.3">
      <c r="F36550" s="193"/>
    </row>
    <row r="36551" spans="6:6" x14ac:dyDescent="0.3">
      <c r="F36551" s="193"/>
    </row>
    <row r="36552" spans="6:6" x14ac:dyDescent="0.3">
      <c r="F36552" s="193"/>
    </row>
    <row r="36553" spans="6:6" x14ac:dyDescent="0.3">
      <c r="F36553" s="193"/>
    </row>
    <row r="36554" spans="6:6" x14ac:dyDescent="0.3">
      <c r="F36554" s="193"/>
    </row>
    <row r="36555" spans="6:6" x14ac:dyDescent="0.3">
      <c r="F36555" s="193"/>
    </row>
    <row r="36556" spans="6:6" x14ac:dyDescent="0.3">
      <c r="F36556" s="193"/>
    </row>
    <row r="36557" spans="6:6" x14ac:dyDescent="0.3">
      <c r="F36557" s="193"/>
    </row>
    <row r="36558" spans="6:6" x14ac:dyDescent="0.3">
      <c r="F36558" s="193"/>
    </row>
    <row r="36559" spans="6:6" x14ac:dyDescent="0.3">
      <c r="F36559" s="193"/>
    </row>
    <row r="36560" spans="6:6" x14ac:dyDescent="0.3">
      <c r="F36560" s="193"/>
    </row>
    <row r="36561" spans="6:6" x14ac:dyDescent="0.3">
      <c r="F36561" s="193"/>
    </row>
    <row r="36562" spans="6:6" x14ac:dyDescent="0.3">
      <c r="F36562" s="193"/>
    </row>
    <row r="36563" spans="6:6" x14ac:dyDescent="0.3">
      <c r="F36563" s="193"/>
    </row>
    <row r="36564" spans="6:6" x14ac:dyDescent="0.3">
      <c r="F36564" s="193"/>
    </row>
    <row r="36565" spans="6:6" x14ac:dyDescent="0.3">
      <c r="F36565" s="193"/>
    </row>
    <row r="36566" spans="6:6" x14ac:dyDescent="0.3">
      <c r="F36566" s="193"/>
    </row>
    <row r="36567" spans="6:6" x14ac:dyDescent="0.3">
      <c r="F36567" s="193"/>
    </row>
    <row r="36568" spans="6:6" x14ac:dyDescent="0.3">
      <c r="F36568" s="193"/>
    </row>
    <row r="36569" spans="6:6" x14ac:dyDescent="0.3">
      <c r="F36569" s="193"/>
    </row>
    <row r="36570" spans="6:6" x14ac:dyDescent="0.3">
      <c r="F36570" s="193"/>
    </row>
    <row r="36571" spans="6:6" x14ac:dyDescent="0.3">
      <c r="F36571" s="193"/>
    </row>
    <row r="36572" spans="6:6" x14ac:dyDescent="0.3">
      <c r="F36572" s="193"/>
    </row>
    <row r="36573" spans="6:6" x14ac:dyDescent="0.3">
      <c r="F36573" s="193"/>
    </row>
    <row r="36574" spans="6:6" x14ac:dyDescent="0.3">
      <c r="F36574" s="193"/>
    </row>
    <row r="36575" spans="6:6" x14ac:dyDescent="0.3">
      <c r="F36575" s="193"/>
    </row>
    <row r="36576" spans="6:6" x14ac:dyDescent="0.3">
      <c r="F36576" s="193"/>
    </row>
    <row r="36577" spans="6:6" x14ac:dyDescent="0.3">
      <c r="F36577" s="193"/>
    </row>
    <row r="36578" spans="6:6" x14ac:dyDescent="0.3">
      <c r="F36578" s="193"/>
    </row>
    <row r="36579" spans="6:6" x14ac:dyDescent="0.3">
      <c r="F36579" s="193"/>
    </row>
    <row r="36580" spans="6:6" x14ac:dyDescent="0.3">
      <c r="F36580" s="193"/>
    </row>
    <row r="36581" spans="6:6" x14ac:dyDescent="0.3">
      <c r="F36581" s="193"/>
    </row>
    <row r="36582" spans="6:6" x14ac:dyDescent="0.3">
      <c r="F36582" s="193"/>
    </row>
    <row r="36583" spans="6:6" x14ac:dyDescent="0.3">
      <c r="F36583" s="193"/>
    </row>
    <row r="36584" spans="6:6" x14ac:dyDescent="0.3">
      <c r="F36584" s="193"/>
    </row>
    <row r="36585" spans="6:6" x14ac:dyDescent="0.3">
      <c r="F36585" s="193"/>
    </row>
    <row r="36586" spans="6:6" x14ac:dyDescent="0.3">
      <c r="F36586" s="193"/>
    </row>
    <row r="36587" spans="6:6" x14ac:dyDescent="0.3">
      <c r="F36587" s="193"/>
    </row>
    <row r="36588" spans="6:6" x14ac:dyDescent="0.3">
      <c r="F36588" s="193"/>
    </row>
    <row r="36589" spans="6:6" x14ac:dyDescent="0.3">
      <c r="F36589" s="193"/>
    </row>
    <row r="36590" spans="6:6" x14ac:dyDescent="0.3">
      <c r="F36590" s="193"/>
    </row>
    <row r="36591" spans="6:6" x14ac:dyDescent="0.3">
      <c r="F36591" s="193"/>
    </row>
    <row r="36592" spans="6:6" x14ac:dyDescent="0.3">
      <c r="F36592" s="193"/>
    </row>
    <row r="36593" spans="6:6" x14ac:dyDescent="0.3">
      <c r="F36593" s="193"/>
    </row>
    <row r="36594" spans="6:6" x14ac:dyDescent="0.3">
      <c r="F36594" s="193"/>
    </row>
    <row r="36595" spans="6:6" x14ac:dyDescent="0.3">
      <c r="F36595" s="193"/>
    </row>
    <row r="36596" spans="6:6" x14ac:dyDescent="0.3">
      <c r="F36596" s="193"/>
    </row>
    <row r="36597" spans="6:6" x14ac:dyDescent="0.3">
      <c r="F36597" s="193"/>
    </row>
    <row r="36598" spans="6:6" x14ac:dyDescent="0.3">
      <c r="F36598" s="193"/>
    </row>
    <row r="36599" spans="6:6" x14ac:dyDescent="0.3">
      <c r="F36599" s="193"/>
    </row>
    <row r="36600" spans="6:6" x14ac:dyDescent="0.3">
      <c r="F36600" s="193"/>
    </row>
    <row r="36601" spans="6:6" x14ac:dyDescent="0.3">
      <c r="F36601" s="193"/>
    </row>
    <row r="36602" spans="6:6" x14ac:dyDescent="0.3">
      <c r="F36602" s="193"/>
    </row>
    <row r="36603" spans="6:6" x14ac:dyDescent="0.3">
      <c r="F36603" s="193"/>
    </row>
    <row r="36604" spans="6:6" x14ac:dyDescent="0.3">
      <c r="F36604" s="193"/>
    </row>
    <row r="36605" spans="6:6" x14ac:dyDescent="0.3">
      <c r="F36605" s="193"/>
    </row>
    <row r="36606" spans="6:6" x14ac:dyDescent="0.3">
      <c r="F36606" s="193"/>
    </row>
    <row r="36607" spans="6:6" x14ac:dyDescent="0.3">
      <c r="F36607" s="193"/>
    </row>
    <row r="36608" spans="6:6" x14ac:dyDescent="0.3">
      <c r="F36608" s="193"/>
    </row>
    <row r="36609" spans="6:6" x14ac:dyDescent="0.3">
      <c r="F36609" s="193"/>
    </row>
    <row r="36610" spans="6:6" x14ac:dyDescent="0.3">
      <c r="F36610" s="193"/>
    </row>
    <row r="36611" spans="6:6" x14ac:dyDescent="0.3">
      <c r="F36611" s="193"/>
    </row>
    <row r="36612" spans="6:6" x14ac:dyDescent="0.3">
      <c r="F36612" s="193"/>
    </row>
    <row r="36613" spans="6:6" x14ac:dyDescent="0.3">
      <c r="F36613" s="193"/>
    </row>
    <row r="36614" spans="6:6" x14ac:dyDescent="0.3">
      <c r="F36614" s="193"/>
    </row>
    <row r="36615" spans="6:6" x14ac:dyDescent="0.3">
      <c r="F36615" s="193"/>
    </row>
    <row r="36616" spans="6:6" x14ac:dyDescent="0.3">
      <c r="F36616" s="193"/>
    </row>
    <row r="36617" spans="6:6" x14ac:dyDescent="0.3">
      <c r="F36617" s="193"/>
    </row>
    <row r="36618" spans="6:6" x14ac:dyDescent="0.3">
      <c r="F36618" s="193"/>
    </row>
    <row r="36619" spans="6:6" x14ac:dyDescent="0.3">
      <c r="F36619" s="193"/>
    </row>
    <row r="36620" spans="6:6" x14ac:dyDescent="0.3">
      <c r="F36620" s="193"/>
    </row>
    <row r="36621" spans="6:6" x14ac:dyDescent="0.3">
      <c r="F36621" s="193"/>
    </row>
    <row r="36622" spans="6:6" x14ac:dyDescent="0.3">
      <c r="F36622" s="193"/>
    </row>
    <row r="36623" spans="6:6" x14ac:dyDescent="0.3">
      <c r="F36623" s="193"/>
    </row>
    <row r="36624" spans="6:6" x14ac:dyDescent="0.3">
      <c r="F36624" s="193"/>
    </row>
    <row r="36625" spans="6:6" x14ac:dyDescent="0.3">
      <c r="F36625" s="193"/>
    </row>
    <row r="36626" spans="6:6" x14ac:dyDescent="0.3">
      <c r="F36626" s="193"/>
    </row>
    <row r="36627" spans="6:6" x14ac:dyDescent="0.3">
      <c r="F36627" s="193"/>
    </row>
    <row r="36628" spans="6:6" x14ac:dyDescent="0.3">
      <c r="F36628" s="193"/>
    </row>
    <row r="36629" spans="6:6" x14ac:dyDescent="0.3">
      <c r="F36629" s="193"/>
    </row>
    <row r="36630" spans="6:6" x14ac:dyDescent="0.3">
      <c r="F36630" s="193"/>
    </row>
    <row r="36631" spans="6:6" x14ac:dyDescent="0.3">
      <c r="F36631" s="193"/>
    </row>
    <row r="36632" spans="6:6" x14ac:dyDescent="0.3">
      <c r="F36632" s="193"/>
    </row>
    <row r="36633" spans="6:6" x14ac:dyDescent="0.3">
      <c r="F36633" s="193"/>
    </row>
    <row r="36634" spans="6:6" x14ac:dyDescent="0.3">
      <c r="F36634" s="193"/>
    </row>
    <row r="36635" spans="6:6" x14ac:dyDescent="0.3">
      <c r="F36635" s="193"/>
    </row>
    <row r="36636" spans="6:6" x14ac:dyDescent="0.3">
      <c r="F36636" s="193"/>
    </row>
    <row r="36637" spans="6:6" x14ac:dyDescent="0.3">
      <c r="F36637" s="193"/>
    </row>
    <row r="36638" spans="6:6" x14ac:dyDescent="0.3">
      <c r="F36638" s="193"/>
    </row>
    <row r="36639" spans="6:6" x14ac:dyDescent="0.3">
      <c r="F36639" s="193"/>
    </row>
    <row r="36640" spans="6:6" x14ac:dyDescent="0.3">
      <c r="F36640" s="193"/>
    </row>
    <row r="36641" spans="6:6" x14ac:dyDescent="0.3">
      <c r="F36641" s="193"/>
    </row>
    <row r="36642" spans="6:6" x14ac:dyDescent="0.3">
      <c r="F36642" s="193"/>
    </row>
    <row r="36643" spans="6:6" x14ac:dyDescent="0.3">
      <c r="F36643" s="193"/>
    </row>
    <row r="36644" spans="6:6" x14ac:dyDescent="0.3">
      <c r="F36644" s="193"/>
    </row>
    <row r="36645" spans="6:6" x14ac:dyDescent="0.3">
      <c r="F36645" s="193"/>
    </row>
    <row r="36646" spans="6:6" x14ac:dyDescent="0.3">
      <c r="F36646" s="193"/>
    </row>
    <row r="36647" spans="6:6" x14ac:dyDescent="0.3">
      <c r="F36647" s="193"/>
    </row>
    <row r="36648" spans="6:6" x14ac:dyDescent="0.3">
      <c r="F36648" s="193"/>
    </row>
    <row r="36649" spans="6:6" x14ac:dyDescent="0.3">
      <c r="F36649" s="193"/>
    </row>
    <row r="36650" spans="6:6" x14ac:dyDescent="0.3">
      <c r="F36650" s="193"/>
    </row>
    <row r="36651" spans="6:6" x14ac:dyDescent="0.3">
      <c r="F36651" s="193"/>
    </row>
    <row r="36652" spans="6:6" x14ac:dyDescent="0.3">
      <c r="F36652" s="193"/>
    </row>
    <row r="36653" spans="6:6" x14ac:dyDescent="0.3">
      <c r="F36653" s="193"/>
    </row>
    <row r="36654" spans="6:6" x14ac:dyDescent="0.3">
      <c r="F36654" s="193"/>
    </row>
    <row r="36655" spans="6:6" x14ac:dyDescent="0.3">
      <c r="F36655" s="193"/>
    </row>
    <row r="36656" spans="6:6" x14ac:dyDescent="0.3">
      <c r="F36656" s="193"/>
    </row>
    <row r="36657" spans="6:6" x14ac:dyDescent="0.3">
      <c r="F36657" s="193"/>
    </row>
    <row r="36658" spans="6:6" x14ac:dyDescent="0.3">
      <c r="F36658" s="193"/>
    </row>
    <row r="36659" spans="6:6" x14ac:dyDescent="0.3">
      <c r="F36659" s="193"/>
    </row>
    <row r="36660" spans="6:6" x14ac:dyDescent="0.3">
      <c r="F36660" s="193"/>
    </row>
    <row r="36661" spans="6:6" x14ac:dyDescent="0.3">
      <c r="F36661" s="193"/>
    </row>
    <row r="36662" spans="6:6" x14ac:dyDescent="0.3">
      <c r="F36662" s="193"/>
    </row>
    <row r="36663" spans="6:6" x14ac:dyDescent="0.3">
      <c r="F36663" s="193"/>
    </row>
    <row r="36664" spans="6:6" x14ac:dyDescent="0.3">
      <c r="F36664" s="193"/>
    </row>
    <row r="36665" spans="6:6" x14ac:dyDescent="0.3">
      <c r="F36665" s="193"/>
    </row>
    <row r="36666" spans="6:6" x14ac:dyDescent="0.3">
      <c r="F36666" s="193"/>
    </row>
    <row r="36667" spans="6:6" x14ac:dyDescent="0.3">
      <c r="F36667" s="193"/>
    </row>
    <row r="36668" spans="6:6" x14ac:dyDescent="0.3">
      <c r="F36668" s="193"/>
    </row>
    <row r="36669" spans="6:6" x14ac:dyDescent="0.3">
      <c r="F36669" s="193"/>
    </row>
    <row r="36670" spans="6:6" x14ac:dyDescent="0.3">
      <c r="F36670" s="193"/>
    </row>
    <row r="36671" spans="6:6" x14ac:dyDescent="0.3">
      <c r="F36671" s="193"/>
    </row>
    <row r="36672" spans="6:6" x14ac:dyDescent="0.3">
      <c r="F36672" s="193"/>
    </row>
    <row r="36673" spans="6:6" x14ac:dyDescent="0.3">
      <c r="F36673" s="193"/>
    </row>
    <row r="36674" spans="6:6" x14ac:dyDescent="0.3">
      <c r="F36674" s="193"/>
    </row>
    <row r="36675" spans="6:6" x14ac:dyDescent="0.3">
      <c r="F36675" s="193"/>
    </row>
    <row r="36676" spans="6:6" x14ac:dyDescent="0.3">
      <c r="F36676" s="193"/>
    </row>
    <row r="36677" spans="6:6" x14ac:dyDescent="0.3">
      <c r="F36677" s="193"/>
    </row>
    <row r="36678" spans="6:6" x14ac:dyDescent="0.3">
      <c r="F36678" s="193"/>
    </row>
    <row r="36679" spans="6:6" x14ac:dyDescent="0.3">
      <c r="F36679" s="193"/>
    </row>
    <row r="36680" spans="6:6" x14ac:dyDescent="0.3">
      <c r="F36680" s="193"/>
    </row>
    <row r="36681" spans="6:6" x14ac:dyDescent="0.3">
      <c r="F36681" s="193"/>
    </row>
    <row r="36682" spans="6:6" x14ac:dyDescent="0.3">
      <c r="F36682" s="193"/>
    </row>
    <row r="36683" spans="6:6" x14ac:dyDescent="0.3">
      <c r="F36683" s="193"/>
    </row>
    <row r="36684" spans="6:6" x14ac:dyDescent="0.3">
      <c r="F36684" s="193"/>
    </row>
    <row r="36685" spans="6:6" x14ac:dyDescent="0.3">
      <c r="F36685" s="193"/>
    </row>
    <row r="36686" spans="6:6" x14ac:dyDescent="0.3">
      <c r="F36686" s="193"/>
    </row>
    <row r="36687" spans="6:6" x14ac:dyDescent="0.3">
      <c r="F36687" s="193"/>
    </row>
    <row r="36688" spans="6:6" x14ac:dyDescent="0.3">
      <c r="F36688" s="193"/>
    </row>
    <row r="36689" spans="6:6" x14ac:dyDescent="0.3">
      <c r="F36689" s="193"/>
    </row>
    <row r="36690" spans="6:6" x14ac:dyDescent="0.3">
      <c r="F36690" s="193"/>
    </row>
    <row r="36691" spans="6:6" x14ac:dyDescent="0.3">
      <c r="F36691" s="193"/>
    </row>
    <row r="36692" spans="6:6" x14ac:dyDescent="0.3">
      <c r="F36692" s="193"/>
    </row>
    <row r="36693" spans="6:6" x14ac:dyDescent="0.3">
      <c r="F36693" s="193"/>
    </row>
    <row r="36694" spans="6:6" x14ac:dyDescent="0.3">
      <c r="F36694" s="193"/>
    </row>
    <row r="36695" spans="6:6" x14ac:dyDescent="0.3">
      <c r="F36695" s="193"/>
    </row>
    <row r="36696" spans="6:6" x14ac:dyDescent="0.3">
      <c r="F36696" s="193"/>
    </row>
    <row r="36697" spans="6:6" x14ac:dyDescent="0.3">
      <c r="F36697" s="193"/>
    </row>
    <row r="36698" spans="6:6" x14ac:dyDescent="0.3">
      <c r="F36698" s="193"/>
    </row>
    <row r="36699" spans="6:6" x14ac:dyDescent="0.3">
      <c r="F36699" s="193"/>
    </row>
    <row r="36700" spans="6:6" x14ac:dyDescent="0.3">
      <c r="F36700" s="193"/>
    </row>
    <row r="36701" spans="6:6" x14ac:dyDescent="0.3">
      <c r="F36701" s="193"/>
    </row>
    <row r="36702" spans="6:6" x14ac:dyDescent="0.3">
      <c r="F36702" s="193"/>
    </row>
    <row r="36703" spans="6:6" x14ac:dyDescent="0.3">
      <c r="F36703" s="193"/>
    </row>
    <row r="36704" spans="6:6" x14ac:dyDescent="0.3">
      <c r="F36704" s="193"/>
    </row>
    <row r="36705" spans="6:6" x14ac:dyDescent="0.3">
      <c r="F36705" s="193"/>
    </row>
    <row r="36706" spans="6:6" x14ac:dyDescent="0.3">
      <c r="F36706" s="193"/>
    </row>
    <row r="36707" spans="6:6" x14ac:dyDescent="0.3">
      <c r="F36707" s="193"/>
    </row>
    <row r="36708" spans="6:6" x14ac:dyDescent="0.3">
      <c r="F36708" s="193"/>
    </row>
    <row r="36709" spans="6:6" x14ac:dyDescent="0.3">
      <c r="F36709" s="193"/>
    </row>
    <row r="36710" spans="6:6" x14ac:dyDescent="0.3">
      <c r="F36710" s="193"/>
    </row>
    <row r="36711" spans="6:6" x14ac:dyDescent="0.3">
      <c r="F36711" s="193"/>
    </row>
    <row r="36712" spans="6:6" x14ac:dyDescent="0.3">
      <c r="F36712" s="193"/>
    </row>
    <row r="36713" spans="6:6" x14ac:dyDescent="0.3">
      <c r="F36713" s="193"/>
    </row>
    <row r="36714" spans="6:6" x14ac:dyDescent="0.3">
      <c r="F36714" s="193"/>
    </row>
    <row r="36715" spans="6:6" x14ac:dyDescent="0.3">
      <c r="F36715" s="193"/>
    </row>
    <row r="36716" spans="6:6" x14ac:dyDescent="0.3">
      <c r="F36716" s="193"/>
    </row>
    <row r="36717" spans="6:6" x14ac:dyDescent="0.3">
      <c r="F36717" s="193"/>
    </row>
    <row r="36718" spans="6:6" x14ac:dyDescent="0.3">
      <c r="F36718" s="193"/>
    </row>
    <row r="36719" spans="6:6" x14ac:dyDescent="0.3">
      <c r="F36719" s="193"/>
    </row>
    <row r="36720" spans="6:6" x14ac:dyDescent="0.3">
      <c r="F36720" s="193"/>
    </row>
    <row r="36721" spans="6:6" x14ac:dyDescent="0.3">
      <c r="F36721" s="193"/>
    </row>
    <row r="36722" spans="6:6" x14ac:dyDescent="0.3">
      <c r="F36722" s="193"/>
    </row>
    <row r="36723" spans="6:6" x14ac:dyDescent="0.3">
      <c r="F36723" s="193"/>
    </row>
    <row r="36724" spans="6:6" x14ac:dyDescent="0.3">
      <c r="F36724" s="193"/>
    </row>
    <row r="36725" spans="6:6" x14ac:dyDescent="0.3">
      <c r="F36725" s="193"/>
    </row>
    <row r="36726" spans="6:6" x14ac:dyDescent="0.3">
      <c r="F36726" s="193"/>
    </row>
    <row r="36727" spans="6:6" x14ac:dyDescent="0.3">
      <c r="F36727" s="193"/>
    </row>
    <row r="36728" spans="6:6" x14ac:dyDescent="0.3">
      <c r="F36728" s="193"/>
    </row>
    <row r="36729" spans="6:6" x14ac:dyDescent="0.3">
      <c r="F36729" s="193"/>
    </row>
    <row r="36730" spans="6:6" x14ac:dyDescent="0.3">
      <c r="F36730" s="193"/>
    </row>
    <row r="36731" spans="6:6" x14ac:dyDescent="0.3">
      <c r="F36731" s="193"/>
    </row>
    <row r="36732" spans="6:6" x14ac:dyDescent="0.3">
      <c r="F36732" s="193"/>
    </row>
    <row r="36733" spans="6:6" x14ac:dyDescent="0.3">
      <c r="F36733" s="193"/>
    </row>
    <row r="36734" spans="6:6" x14ac:dyDescent="0.3">
      <c r="F36734" s="193"/>
    </row>
    <row r="36735" spans="6:6" x14ac:dyDescent="0.3">
      <c r="F36735" s="193"/>
    </row>
    <row r="36736" spans="6:6" x14ac:dyDescent="0.3">
      <c r="F36736" s="193"/>
    </row>
    <row r="36737" spans="6:6" x14ac:dyDescent="0.3">
      <c r="F36737" s="193"/>
    </row>
    <row r="36738" spans="6:6" x14ac:dyDescent="0.3">
      <c r="F36738" s="193"/>
    </row>
    <row r="36739" spans="6:6" x14ac:dyDescent="0.3">
      <c r="F36739" s="193"/>
    </row>
    <row r="36740" spans="6:6" x14ac:dyDescent="0.3">
      <c r="F36740" s="193"/>
    </row>
    <row r="36741" spans="6:6" x14ac:dyDescent="0.3">
      <c r="F36741" s="193"/>
    </row>
    <row r="36742" spans="6:6" x14ac:dyDescent="0.3">
      <c r="F36742" s="193"/>
    </row>
    <row r="36743" spans="6:6" x14ac:dyDescent="0.3">
      <c r="F36743" s="193"/>
    </row>
    <row r="36744" spans="6:6" x14ac:dyDescent="0.3">
      <c r="F36744" s="193"/>
    </row>
    <row r="36745" spans="6:6" x14ac:dyDescent="0.3">
      <c r="F36745" s="193"/>
    </row>
    <row r="36746" spans="6:6" x14ac:dyDescent="0.3">
      <c r="F36746" s="193"/>
    </row>
    <row r="36747" spans="6:6" x14ac:dyDescent="0.3">
      <c r="F36747" s="193"/>
    </row>
    <row r="36748" spans="6:6" x14ac:dyDescent="0.3">
      <c r="F36748" s="193"/>
    </row>
    <row r="36749" spans="6:6" x14ac:dyDescent="0.3">
      <c r="F36749" s="193"/>
    </row>
    <row r="36750" spans="6:6" x14ac:dyDescent="0.3">
      <c r="F36750" s="193"/>
    </row>
    <row r="36751" spans="6:6" x14ac:dyDescent="0.3">
      <c r="F36751" s="193"/>
    </row>
    <row r="36752" spans="6:6" x14ac:dyDescent="0.3">
      <c r="F36752" s="193"/>
    </row>
    <row r="36753" spans="6:6" x14ac:dyDescent="0.3">
      <c r="F36753" s="193"/>
    </row>
    <row r="36754" spans="6:6" x14ac:dyDescent="0.3">
      <c r="F36754" s="193"/>
    </row>
    <row r="36755" spans="6:6" x14ac:dyDescent="0.3">
      <c r="F36755" s="193"/>
    </row>
    <row r="36756" spans="6:6" x14ac:dyDescent="0.3">
      <c r="F36756" s="193"/>
    </row>
    <row r="36757" spans="6:6" x14ac:dyDescent="0.3">
      <c r="F36757" s="193"/>
    </row>
    <row r="36758" spans="6:6" x14ac:dyDescent="0.3">
      <c r="F36758" s="193"/>
    </row>
    <row r="36759" spans="6:6" x14ac:dyDescent="0.3">
      <c r="F36759" s="193"/>
    </row>
    <row r="36760" spans="6:6" x14ac:dyDescent="0.3">
      <c r="F36760" s="193"/>
    </row>
    <row r="36761" spans="6:6" x14ac:dyDescent="0.3">
      <c r="F36761" s="193"/>
    </row>
    <row r="36762" spans="6:6" x14ac:dyDescent="0.3">
      <c r="F36762" s="193"/>
    </row>
    <row r="36763" spans="6:6" x14ac:dyDescent="0.3">
      <c r="F36763" s="193"/>
    </row>
    <row r="36764" spans="6:6" x14ac:dyDescent="0.3">
      <c r="F36764" s="193"/>
    </row>
    <row r="36765" spans="6:6" x14ac:dyDescent="0.3">
      <c r="F36765" s="193"/>
    </row>
    <row r="36766" spans="6:6" x14ac:dyDescent="0.3">
      <c r="F36766" s="193"/>
    </row>
    <row r="36767" spans="6:6" x14ac:dyDescent="0.3">
      <c r="F36767" s="193"/>
    </row>
    <row r="36768" spans="6:6" x14ac:dyDescent="0.3">
      <c r="F36768" s="193"/>
    </row>
    <row r="36769" spans="6:6" x14ac:dyDescent="0.3">
      <c r="F36769" s="193"/>
    </row>
    <row r="36770" spans="6:6" x14ac:dyDescent="0.3">
      <c r="F36770" s="193"/>
    </row>
    <row r="36771" spans="6:6" x14ac:dyDescent="0.3">
      <c r="F36771" s="193"/>
    </row>
    <row r="36772" spans="6:6" x14ac:dyDescent="0.3">
      <c r="F36772" s="193"/>
    </row>
    <row r="36773" spans="6:6" x14ac:dyDescent="0.3">
      <c r="F36773" s="193"/>
    </row>
    <row r="36774" spans="6:6" x14ac:dyDescent="0.3">
      <c r="F36774" s="193"/>
    </row>
    <row r="36775" spans="6:6" x14ac:dyDescent="0.3">
      <c r="F36775" s="193"/>
    </row>
    <row r="36776" spans="6:6" x14ac:dyDescent="0.3">
      <c r="F36776" s="193"/>
    </row>
    <row r="36777" spans="6:6" x14ac:dyDescent="0.3">
      <c r="F36777" s="193"/>
    </row>
    <row r="36778" spans="6:6" x14ac:dyDescent="0.3">
      <c r="F36778" s="193"/>
    </row>
    <row r="36779" spans="6:6" x14ac:dyDescent="0.3">
      <c r="F36779" s="193"/>
    </row>
    <row r="36780" spans="6:6" x14ac:dyDescent="0.3">
      <c r="F36780" s="193"/>
    </row>
    <row r="36781" spans="6:6" x14ac:dyDescent="0.3">
      <c r="F36781" s="193"/>
    </row>
    <row r="36782" spans="6:6" x14ac:dyDescent="0.3">
      <c r="F36782" s="193"/>
    </row>
    <row r="36783" spans="6:6" x14ac:dyDescent="0.3">
      <c r="F36783" s="193"/>
    </row>
    <row r="36784" spans="6:6" x14ac:dyDescent="0.3">
      <c r="F36784" s="193"/>
    </row>
    <row r="36785" spans="6:6" x14ac:dyDescent="0.3">
      <c r="F36785" s="193"/>
    </row>
    <row r="36786" spans="6:6" x14ac:dyDescent="0.3">
      <c r="F36786" s="193"/>
    </row>
    <row r="36787" spans="6:6" x14ac:dyDescent="0.3">
      <c r="F36787" s="193"/>
    </row>
    <row r="36788" spans="6:6" x14ac:dyDescent="0.3">
      <c r="F36788" s="193"/>
    </row>
    <row r="36789" spans="6:6" x14ac:dyDescent="0.3">
      <c r="F36789" s="193"/>
    </row>
    <row r="36790" spans="6:6" x14ac:dyDescent="0.3">
      <c r="F36790" s="193"/>
    </row>
    <row r="36791" spans="6:6" x14ac:dyDescent="0.3">
      <c r="F36791" s="193"/>
    </row>
    <row r="36792" spans="6:6" x14ac:dyDescent="0.3">
      <c r="F36792" s="193"/>
    </row>
    <row r="36793" spans="6:6" x14ac:dyDescent="0.3">
      <c r="F36793" s="193"/>
    </row>
    <row r="36794" spans="6:6" x14ac:dyDescent="0.3">
      <c r="F36794" s="193"/>
    </row>
    <row r="36795" spans="6:6" x14ac:dyDescent="0.3">
      <c r="F36795" s="193"/>
    </row>
    <row r="36796" spans="6:6" x14ac:dyDescent="0.3">
      <c r="F36796" s="193"/>
    </row>
    <row r="36797" spans="6:6" x14ac:dyDescent="0.3">
      <c r="F36797" s="193"/>
    </row>
    <row r="36798" spans="6:6" x14ac:dyDescent="0.3">
      <c r="F36798" s="193"/>
    </row>
    <row r="36799" spans="6:6" x14ac:dyDescent="0.3">
      <c r="F36799" s="193"/>
    </row>
    <row r="36800" spans="6:6" x14ac:dyDescent="0.3">
      <c r="F36800" s="193"/>
    </row>
    <row r="36801" spans="6:6" x14ac:dyDescent="0.3">
      <c r="F36801" s="193"/>
    </row>
    <row r="36802" spans="6:6" x14ac:dyDescent="0.3">
      <c r="F36802" s="193"/>
    </row>
    <row r="36803" spans="6:6" x14ac:dyDescent="0.3">
      <c r="F36803" s="193"/>
    </row>
    <row r="36804" spans="6:6" x14ac:dyDescent="0.3">
      <c r="F36804" s="193"/>
    </row>
    <row r="36805" spans="6:6" x14ac:dyDescent="0.3">
      <c r="F36805" s="193"/>
    </row>
    <row r="36806" spans="6:6" x14ac:dyDescent="0.3">
      <c r="F36806" s="193"/>
    </row>
    <row r="36807" spans="6:6" x14ac:dyDescent="0.3">
      <c r="F36807" s="193"/>
    </row>
    <row r="36808" spans="6:6" x14ac:dyDescent="0.3">
      <c r="F36808" s="193"/>
    </row>
    <row r="36809" spans="6:6" x14ac:dyDescent="0.3">
      <c r="F36809" s="193"/>
    </row>
    <row r="36810" spans="6:6" x14ac:dyDescent="0.3">
      <c r="F36810" s="193"/>
    </row>
    <row r="36811" spans="6:6" x14ac:dyDescent="0.3">
      <c r="F36811" s="193"/>
    </row>
    <row r="36812" spans="6:6" x14ac:dyDescent="0.3">
      <c r="F36812" s="193"/>
    </row>
    <row r="36813" spans="6:6" x14ac:dyDescent="0.3">
      <c r="F36813" s="193"/>
    </row>
    <row r="36814" spans="6:6" x14ac:dyDescent="0.3">
      <c r="F36814" s="193"/>
    </row>
    <row r="36815" spans="6:6" x14ac:dyDescent="0.3">
      <c r="F36815" s="193"/>
    </row>
    <row r="36816" spans="6:6" x14ac:dyDescent="0.3">
      <c r="F36816" s="193"/>
    </row>
    <row r="36817" spans="6:6" x14ac:dyDescent="0.3">
      <c r="F36817" s="193"/>
    </row>
    <row r="36818" spans="6:6" x14ac:dyDescent="0.3">
      <c r="F36818" s="193"/>
    </row>
    <row r="36819" spans="6:6" x14ac:dyDescent="0.3">
      <c r="F36819" s="193"/>
    </row>
    <row r="36820" spans="6:6" x14ac:dyDescent="0.3">
      <c r="F36820" s="193"/>
    </row>
    <row r="36821" spans="6:6" x14ac:dyDescent="0.3">
      <c r="F36821" s="193"/>
    </row>
    <row r="36822" spans="6:6" x14ac:dyDescent="0.3">
      <c r="F36822" s="193"/>
    </row>
    <row r="36823" spans="6:6" x14ac:dyDescent="0.3">
      <c r="F36823" s="193"/>
    </row>
    <row r="36824" spans="6:6" x14ac:dyDescent="0.3">
      <c r="F36824" s="193"/>
    </row>
    <row r="36825" spans="6:6" x14ac:dyDescent="0.3">
      <c r="F36825" s="193"/>
    </row>
    <row r="36826" spans="6:6" x14ac:dyDescent="0.3">
      <c r="F36826" s="193"/>
    </row>
    <row r="36827" spans="6:6" x14ac:dyDescent="0.3">
      <c r="F36827" s="193"/>
    </row>
    <row r="36828" spans="6:6" x14ac:dyDescent="0.3">
      <c r="F36828" s="193"/>
    </row>
    <row r="36829" spans="6:6" x14ac:dyDescent="0.3">
      <c r="F36829" s="193"/>
    </row>
    <row r="36830" spans="6:6" x14ac:dyDescent="0.3">
      <c r="F36830" s="193"/>
    </row>
    <row r="36831" spans="6:6" x14ac:dyDescent="0.3">
      <c r="F36831" s="193"/>
    </row>
    <row r="36832" spans="6:6" x14ac:dyDescent="0.3">
      <c r="F36832" s="193"/>
    </row>
    <row r="36833" spans="6:6" x14ac:dyDescent="0.3">
      <c r="F36833" s="193"/>
    </row>
    <row r="36834" spans="6:6" x14ac:dyDescent="0.3">
      <c r="F36834" s="193"/>
    </row>
    <row r="36835" spans="6:6" x14ac:dyDescent="0.3">
      <c r="F36835" s="193"/>
    </row>
    <row r="36836" spans="6:6" x14ac:dyDescent="0.3">
      <c r="F36836" s="193"/>
    </row>
    <row r="36837" spans="6:6" x14ac:dyDescent="0.3">
      <c r="F36837" s="193"/>
    </row>
    <row r="36838" spans="6:6" x14ac:dyDescent="0.3">
      <c r="F36838" s="193"/>
    </row>
    <row r="36839" spans="6:6" x14ac:dyDescent="0.3">
      <c r="F36839" s="193"/>
    </row>
    <row r="36840" spans="6:6" x14ac:dyDescent="0.3">
      <c r="F36840" s="193"/>
    </row>
    <row r="36841" spans="6:6" x14ac:dyDescent="0.3">
      <c r="F36841" s="193"/>
    </row>
    <row r="36842" spans="6:6" x14ac:dyDescent="0.3">
      <c r="F36842" s="193"/>
    </row>
    <row r="36843" spans="6:6" x14ac:dyDescent="0.3">
      <c r="F36843" s="193"/>
    </row>
    <row r="36844" spans="6:6" x14ac:dyDescent="0.3">
      <c r="F36844" s="193"/>
    </row>
    <row r="36845" spans="6:6" x14ac:dyDescent="0.3">
      <c r="F36845" s="193"/>
    </row>
    <row r="36846" spans="6:6" x14ac:dyDescent="0.3">
      <c r="F36846" s="193"/>
    </row>
    <row r="36847" spans="6:6" x14ac:dyDescent="0.3">
      <c r="F36847" s="193"/>
    </row>
    <row r="36848" spans="6:6" x14ac:dyDescent="0.3">
      <c r="F36848" s="193"/>
    </row>
    <row r="36849" spans="6:6" x14ac:dyDescent="0.3">
      <c r="F36849" s="193"/>
    </row>
    <row r="36850" spans="6:6" x14ac:dyDescent="0.3">
      <c r="F36850" s="193"/>
    </row>
    <row r="36851" spans="6:6" x14ac:dyDescent="0.3">
      <c r="F36851" s="193"/>
    </row>
    <row r="36852" spans="6:6" x14ac:dyDescent="0.3">
      <c r="F36852" s="193"/>
    </row>
    <row r="36853" spans="6:6" x14ac:dyDescent="0.3">
      <c r="F36853" s="193"/>
    </row>
    <row r="36854" spans="6:6" x14ac:dyDescent="0.3">
      <c r="F36854" s="193"/>
    </row>
    <row r="36855" spans="6:6" x14ac:dyDescent="0.3">
      <c r="F36855" s="193"/>
    </row>
    <row r="36856" spans="6:6" x14ac:dyDescent="0.3">
      <c r="F36856" s="193"/>
    </row>
    <row r="36857" spans="6:6" x14ac:dyDescent="0.3">
      <c r="F36857" s="193"/>
    </row>
    <row r="36858" spans="6:6" x14ac:dyDescent="0.3">
      <c r="F36858" s="193"/>
    </row>
    <row r="36859" spans="6:6" x14ac:dyDescent="0.3">
      <c r="F36859" s="193"/>
    </row>
    <row r="36860" spans="6:6" x14ac:dyDescent="0.3">
      <c r="F36860" s="193"/>
    </row>
    <row r="36861" spans="6:6" x14ac:dyDescent="0.3">
      <c r="F36861" s="193"/>
    </row>
    <row r="36862" spans="6:6" x14ac:dyDescent="0.3">
      <c r="F36862" s="193"/>
    </row>
    <row r="36863" spans="6:6" x14ac:dyDescent="0.3">
      <c r="F36863" s="193"/>
    </row>
    <row r="36864" spans="6:6" x14ac:dyDescent="0.3">
      <c r="F36864" s="193"/>
    </row>
    <row r="36865" spans="6:6" x14ac:dyDescent="0.3">
      <c r="F36865" s="193"/>
    </row>
    <row r="36866" spans="6:6" x14ac:dyDescent="0.3">
      <c r="F36866" s="193"/>
    </row>
    <row r="36867" spans="6:6" x14ac:dyDescent="0.3">
      <c r="F36867" s="193"/>
    </row>
    <row r="36868" spans="6:6" x14ac:dyDescent="0.3">
      <c r="F36868" s="193"/>
    </row>
    <row r="36869" spans="6:6" x14ac:dyDescent="0.3">
      <c r="F36869" s="193"/>
    </row>
    <row r="36870" spans="6:6" x14ac:dyDescent="0.3">
      <c r="F36870" s="193"/>
    </row>
    <row r="36871" spans="6:6" x14ac:dyDescent="0.3">
      <c r="F36871" s="193"/>
    </row>
    <row r="36872" spans="6:6" x14ac:dyDescent="0.3">
      <c r="F36872" s="193"/>
    </row>
    <row r="36873" spans="6:6" x14ac:dyDescent="0.3">
      <c r="F36873" s="193"/>
    </row>
    <row r="36874" spans="6:6" x14ac:dyDescent="0.3">
      <c r="F36874" s="193"/>
    </row>
    <row r="36875" spans="6:6" x14ac:dyDescent="0.3">
      <c r="F36875" s="193"/>
    </row>
    <row r="36876" spans="6:6" x14ac:dyDescent="0.3">
      <c r="F36876" s="193"/>
    </row>
    <row r="36877" spans="6:6" x14ac:dyDescent="0.3">
      <c r="F36877" s="193"/>
    </row>
    <row r="36878" spans="6:6" x14ac:dyDescent="0.3">
      <c r="F36878" s="193"/>
    </row>
    <row r="36879" spans="6:6" x14ac:dyDescent="0.3">
      <c r="F36879" s="193"/>
    </row>
    <row r="36880" spans="6:6" x14ac:dyDescent="0.3">
      <c r="F36880" s="193"/>
    </row>
    <row r="36881" spans="6:6" x14ac:dyDescent="0.3">
      <c r="F36881" s="193"/>
    </row>
    <row r="36882" spans="6:6" x14ac:dyDescent="0.3">
      <c r="F36882" s="193"/>
    </row>
    <row r="36883" spans="6:6" x14ac:dyDescent="0.3">
      <c r="F36883" s="193"/>
    </row>
    <row r="36884" spans="6:6" x14ac:dyDescent="0.3">
      <c r="F36884" s="193"/>
    </row>
    <row r="36885" spans="6:6" x14ac:dyDescent="0.3">
      <c r="F36885" s="193"/>
    </row>
    <row r="36886" spans="6:6" x14ac:dyDescent="0.3">
      <c r="F36886" s="193"/>
    </row>
    <row r="36887" spans="6:6" x14ac:dyDescent="0.3">
      <c r="F36887" s="193"/>
    </row>
    <row r="36888" spans="6:6" x14ac:dyDescent="0.3">
      <c r="F36888" s="193"/>
    </row>
    <row r="36889" spans="6:6" x14ac:dyDescent="0.3">
      <c r="F36889" s="193"/>
    </row>
    <row r="36890" spans="6:6" x14ac:dyDescent="0.3">
      <c r="F36890" s="193"/>
    </row>
    <row r="36891" spans="6:6" x14ac:dyDescent="0.3">
      <c r="F36891" s="193"/>
    </row>
    <row r="36892" spans="6:6" x14ac:dyDescent="0.3">
      <c r="F36892" s="193"/>
    </row>
    <row r="36893" spans="6:6" x14ac:dyDescent="0.3">
      <c r="F36893" s="193"/>
    </row>
    <row r="36894" spans="6:6" x14ac:dyDescent="0.3">
      <c r="F36894" s="193"/>
    </row>
    <row r="36895" spans="6:6" x14ac:dyDescent="0.3">
      <c r="F36895" s="193"/>
    </row>
    <row r="36896" spans="6:6" x14ac:dyDescent="0.3">
      <c r="F36896" s="193"/>
    </row>
    <row r="36897" spans="6:6" x14ac:dyDescent="0.3">
      <c r="F36897" s="193"/>
    </row>
    <row r="36898" spans="6:6" x14ac:dyDescent="0.3">
      <c r="F36898" s="193"/>
    </row>
    <row r="36899" spans="6:6" x14ac:dyDescent="0.3">
      <c r="F36899" s="193"/>
    </row>
    <row r="36900" spans="6:6" x14ac:dyDescent="0.3">
      <c r="F36900" s="193"/>
    </row>
    <row r="36901" spans="6:6" x14ac:dyDescent="0.3">
      <c r="F36901" s="193"/>
    </row>
    <row r="36902" spans="6:6" x14ac:dyDescent="0.3">
      <c r="F36902" s="193"/>
    </row>
    <row r="36903" spans="6:6" x14ac:dyDescent="0.3">
      <c r="F36903" s="193"/>
    </row>
    <row r="36904" spans="6:6" x14ac:dyDescent="0.3">
      <c r="F36904" s="193"/>
    </row>
    <row r="36905" spans="6:6" x14ac:dyDescent="0.3">
      <c r="F36905" s="193"/>
    </row>
    <row r="36906" spans="6:6" x14ac:dyDescent="0.3">
      <c r="F36906" s="193"/>
    </row>
    <row r="36907" spans="6:6" x14ac:dyDescent="0.3">
      <c r="F36907" s="193"/>
    </row>
    <row r="36908" spans="6:6" x14ac:dyDescent="0.3">
      <c r="F36908" s="193"/>
    </row>
    <row r="36909" spans="6:6" x14ac:dyDescent="0.3">
      <c r="F36909" s="193"/>
    </row>
    <row r="36910" spans="6:6" x14ac:dyDescent="0.3">
      <c r="F36910" s="193"/>
    </row>
    <row r="36911" spans="6:6" x14ac:dyDescent="0.3">
      <c r="F36911" s="193"/>
    </row>
    <row r="36912" spans="6:6" x14ac:dyDescent="0.3">
      <c r="F36912" s="193"/>
    </row>
    <row r="36913" spans="6:6" x14ac:dyDescent="0.3">
      <c r="F36913" s="193"/>
    </row>
    <row r="36914" spans="6:6" x14ac:dyDescent="0.3">
      <c r="F36914" s="193"/>
    </row>
    <row r="36915" spans="6:6" x14ac:dyDescent="0.3">
      <c r="F36915" s="193"/>
    </row>
    <row r="36916" spans="6:6" x14ac:dyDescent="0.3">
      <c r="F36916" s="193"/>
    </row>
    <row r="36917" spans="6:6" x14ac:dyDescent="0.3">
      <c r="F36917" s="193"/>
    </row>
    <row r="36918" spans="6:6" x14ac:dyDescent="0.3">
      <c r="F36918" s="193"/>
    </row>
    <row r="36919" spans="6:6" x14ac:dyDescent="0.3">
      <c r="F36919" s="193"/>
    </row>
    <row r="36920" spans="6:6" x14ac:dyDescent="0.3">
      <c r="F36920" s="193"/>
    </row>
    <row r="36921" spans="6:6" x14ac:dyDescent="0.3">
      <c r="F36921" s="193"/>
    </row>
    <row r="36922" spans="6:6" x14ac:dyDescent="0.3">
      <c r="F36922" s="193"/>
    </row>
    <row r="36923" spans="6:6" x14ac:dyDescent="0.3">
      <c r="F36923" s="193"/>
    </row>
    <row r="36924" spans="6:6" x14ac:dyDescent="0.3">
      <c r="F36924" s="193"/>
    </row>
    <row r="36925" spans="6:6" x14ac:dyDescent="0.3">
      <c r="F36925" s="193"/>
    </row>
    <row r="36926" spans="6:6" x14ac:dyDescent="0.3">
      <c r="F36926" s="193"/>
    </row>
    <row r="36927" spans="6:6" x14ac:dyDescent="0.3">
      <c r="F36927" s="193"/>
    </row>
    <row r="36928" spans="6:6" x14ac:dyDescent="0.3">
      <c r="F36928" s="193"/>
    </row>
    <row r="36929" spans="6:6" x14ac:dyDescent="0.3">
      <c r="F36929" s="193"/>
    </row>
    <row r="36930" spans="6:6" x14ac:dyDescent="0.3">
      <c r="F36930" s="193"/>
    </row>
    <row r="36931" spans="6:6" x14ac:dyDescent="0.3">
      <c r="F36931" s="193"/>
    </row>
    <row r="36932" spans="6:6" x14ac:dyDescent="0.3">
      <c r="F36932" s="193"/>
    </row>
    <row r="36933" spans="6:6" x14ac:dyDescent="0.3">
      <c r="F36933" s="193"/>
    </row>
    <row r="36934" spans="6:6" x14ac:dyDescent="0.3">
      <c r="F36934" s="193"/>
    </row>
    <row r="36935" spans="6:6" x14ac:dyDescent="0.3">
      <c r="F36935" s="193"/>
    </row>
    <row r="36936" spans="6:6" x14ac:dyDescent="0.3">
      <c r="F36936" s="193"/>
    </row>
    <row r="36937" spans="6:6" x14ac:dyDescent="0.3">
      <c r="F36937" s="193"/>
    </row>
    <row r="36938" spans="6:6" x14ac:dyDescent="0.3">
      <c r="F36938" s="193"/>
    </row>
    <row r="36939" spans="6:6" x14ac:dyDescent="0.3">
      <c r="F36939" s="193"/>
    </row>
    <row r="36940" spans="6:6" x14ac:dyDescent="0.3">
      <c r="F36940" s="193"/>
    </row>
    <row r="36941" spans="6:6" x14ac:dyDescent="0.3">
      <c r="F36941" s="193"/>
    </row>
    <row r="36942" spans="6:6" x14ac:dyDescent="0.3">
      <c r="F36942" s="193"/>
    </row>
    <row r="36943" spans="6:6" x14ac:dyDescent="0.3">
      <c r="F36943" s="193"/>
    </row>
    <row r="36944" spans="6:6" x14ac:dyDescent="0.3">
      <c r="F36944" s="193"/>
    </row>
    <row r="36945" spans="6:6" x14ac:dyDescent="0.3">
      <c r="F36945" s="193"/>
    </row>
    <row r="36946" spans="6:6" x14ac:dyDescent="0.3">
      <c r="F36946" s="193"/>
    </row>
    <row r="36947" spans="6:6" x14ac:dyDescent="0.3">
      <c r="F36947" s="193"/>
    </row>
    <row r="36948" spans="6:6" x14ac:dyDescent="0.3">
      <c r="F36948" s="193"/>
    </row>
    <row r="36949" spans="6:6" x14ac:dyDescent="0.3">
      <c r="F36949" s="193"/>
    </row>
    <row r="36950" spans="6:6" x14ac:dyDescent="0.3">
      <c r="F36950" s="193"/>
    </row>
    <row r="36951" spans="6:6" x14ac:dyDescent="0.3">
      <c r="F36951" s="193"/>
    </row>
    <row r="36952" spans="6:6" x14ac:dyDescent="0.3">
      <c r="F36952" s="193"/>
    </row>
    <row r="36953" spans="6:6" x14ac:dyDescent="0.3">
      <c r="F36953" s="193"/>
    </row>
    <row r="36954" spans="6:6" x14ac:dyDescent="0.3">
      <c r="F36954" s="193"/>
    </row>
    <row r="36955" spans="6:6" x14ac:dyDescent="0.3">
      <c r="F36955" s="193"/>
    </row>
    <row r="36956" spans="6:6" x14ac:dyDescent="0.3">
      <c r="F36956" s="193"/>
    </row>
    <row r="36957" spans="6:6" x14ac:dyDescent="0.3">
      <c r="F36957" s="193"/>
    </row>
    <row r="36958" spans="6:6" x14ac:dyDescent="0.3">
      <c r="F36958" s="193"/>
    </row>
    <row r="36959" spans="6:6" x14ac:dyDescent="0.3">
      <c r="F36959" s="193"/>
    </row>
    <row r="36960" spans="6:6" x14ac:dyDescent="0.3">
      <c r="F36960" s="193"/>
    </row>
    <row r="36961" spans="6:6" x14ac:dyDescent="0.3">
      <c r="F36961" s="193"/>
    </row>
    <row r="36962" spans="6:6" x14ac:dyDescent="0.3">
      <c r="F36962" s="193"/>
    </row>
    <row r="36963" spans="6:6" x14ac:dyDescent="0.3">
      <c r="F36963" s="193"/>
    </row>
    <row r="36964" spans="6:6" x14ac:dyDescent="0.3">
      <c r="F36964" s="193"/>
    </row>
    <row r="36965" spans="6:6" x14ac:dyDescent="0.3">
      <c r="F36965" s="193"/>
    </row>
    <row r="36966" spans="6:6" x14ac:dyDescent="0.3">
      <c r="F36966" s="193"/>
    </row>
    <row r="36967" spans="6:6" x14ac:dyDescent="0.3">
      <c r="F36967" s="193"/>
    </row>
    <row r="36968" spans="6:6" x14ac:dyDescent="0.3">
      <c r="F36968" s="193"/>
    </row>
    <row r="36969" spans="6:6" x14ac:dyDescent="0.3">
      <c r="F36969" s="193"/>
    </row>
    <row r="36970" spans="6:6" x14ac:dyDescent="0.3">
      <c r="F36970" s="193"/>
    </row>
    <row r="36971" spans="6:6" x14ac:dyDescent="0.3">
      <c r="F36971" s="193"/>
    </row>
    <row r="36972" spans="6:6" x14ac:dyDescent="0.3">
      <c r="F36972" s="193"/>
    </row>
    <row r="36973" spans="6:6" x14ac:dyDescent="0.3">
      <c r="F36973" s="193"/>
    </row>
    <row r="36974" spans="6:6" x14ac:dyDescent="0.3">
      <c r="F36974" s="193"/>
    </row>
    <row r="36975" spans="6:6" x14ac:dyDescent="0.3">
      <c r="F36975" s="193"/>
    </row>
    <row r="36976" spans="6:6" x14ac:dyDescent="0.3">
      <c r="F36976" s="193"/>
    </row>
    <row r="36977" spans="6:6" x14ac:dyDescent="0.3">
      <c r="F36977" s="193"/>
    </row>
    <row r="36978" spans="6:6" x14ac:dyDescent="0.3">
      <c r="F36978" s="193"/>
    </row>
    <row r="36979" spans="6:6" x14ac:dyDescent="0.3">
      <c r="F36979" s="193"/>
    </row>
    <row r="36980" spans="6:6" x14ac:dyDescent="0.3">
      <c r="F36980" s="193"/>
    </row>
    <row r="36981" spans="6:6" x14ac:dyDescent="0.3">
      <c r="F36981" s="193"/>
    </row>
    <row r="36982" spans="6:6" x14ac:dyDescent="0.3">
      <c r="F36982" s="193"/>
    </row>
    <row r="36983" spans="6:6" x14ac:dyDescent="0.3">
      <c r="F36983" s="193"/>
    </row>
    <row r="36984" spans="6:6" x14ac:dyDescent="0.3">
      <c r="F36984" s="193"/>
    </row>
    <row r="36985" spans="6:6" x14ac:dyDescent="0.3">
      <c r="F36985" s="193"/>
    </row>
    <row r="36986" spans="6:6" x14ac:dyDescent="0.3">
      <c r="F36986" s="193"/>
    </row>
    <row r="36987" spans="6:6" x14ac:dyDescent="0.3">
      <c r="F36987" s="193"/>
    </row>
    <row r="36988" spans="6:6" x14ac:dyDescent="0.3">
      <c r="F36988" s="193"/>
    </row>
    <row r="36989" spans="6:6" x14ac:dyDescent="0.3">
      <c r="F36989" s="193"/>
    </row>
    <row r="36990" spans="6:6" x14ac:dyDescent="0.3">
      <c r="F36990" s="193"/>
    </row>
    <row r="36991" spans="6:6" x14ac:dyDescent="0.3">
      <c r="F36991" s="193"/>
    </row>
    <row r="36992" spans="6:6" x14ac:dyDescent="0.3">
      <c r="F36992" s="193"/>
    </row>
    <row r="36993" spans="6:6" x14ac:dyDescent="0.3">
      <c r="F36993" s="193"/>
    </row>
    <row r="36994" spans="6:6" x14ac:dyDescent="0.3">
      <c r="F36994" s="193"/>
    </row>
    <row r="36995" spans="6:6" x14ac:dyDescent="0.3">
      <c r="F36995" s="193"/>
    </row>
    <row r="36996" spans="6:6" x14ac:dyDescent="0.3">
      <c r="F36996" s="193"/>
    </row>
    <row r="36997" spans="6:6" x14ac:dyDescent="0.3">
      <c r="F36997" s="193"/>
    </row>
    <row r="36998" spans="6:6" x14ac:dyDescent="0.3">
      <c r="F36998" s="193"/>
    </row>
    <row r="36999" spans="6:6" x14ac:dyDescent="0.3">
      <c r="F36999" s="193"/>
    </row>
    <row r="37000" spans="6:6" x14ac:dyDescent="0.3">
      <c r="F37000" s="193"/>
    </row>
    <row r="37001" spans="6:6" x14ac:dyDescent="0.3">
      <c r="F37001" s="193"/>
    </row>
    <row r="37002" spans="6:6" x14ac:dyDescent="0.3">
      <c r="F37002" s="193"/>
    </row>
    <row r="37003" spans="6:6" x14ac:dyDescent="0.3">
      <c r="F37003" s="193"/>
    </row>
    <row r="37004" spans="6:6" x14ac:dyDescent="0.3">
      <c r="F37004" s="193"/>
    </row>
    <row r="37005" spans="6:6" x14ac:dyDescent="0.3">
      <c r="F37005" s="193"/>
    </row>
    <row r="37006" spans="6:6" x14ac:dyDescent="0.3">
      <c r="F37006" s="193"/>
    </row>
    <row r="37007" spans="6:6" x14ac:dyDescent="0.3">
      <c r="F37007" s="193"/>
    </row>
    <row r="37008" spans="6:6" x14ac:dyDescent="0.3">
      <c r="F37008" s="193"/>
    </row>
    <row r="37009" spans="6:6" x14ac:dyDescent="0.3">
      <c r="F37009" s="193"/>
    </row>
    <row r="37010" spans="6:6" x14ac:dyDescent="0.3">
      <c r="F37010" s="193"/>
    </row>
    <row r="37011" spans="6:6" x14ac:dyDescent="0.3">
      <c r="F37011" s="193"/>
    </row>
    <row r="37012" spans="6:6" x14ac:dyDescent="0.3">
      <c r="F37012" s="193"/>
    </row>
    <row r="37013" spans="6:6" x14ac:dyDescent="0.3">
      <c r="F37013" s="193"/>
    </row>
    <row r="37014" spans="6:6" x14ac:dyDescent="0.3">
      <c r="F37014" s="193"/>
    </row>
    <row r="37015" spans="6:6" x14ac:dyDescent="0.3">
      <c r="F37015" s="193"/>
    </row>
    <row r="37016" spans="6:6" x14ac:dyDescent="0.3">
      <c r="F37016" s="193"/>
    </row>
    <row r="37017" spans="6:6" x14ac:dyDescent="0.3">
      <c r="F37017" s="193"/>
    </row>
    <row r="37018" spans="6:6" x14ac:dyDescent="0.3">
      <c r="F37018" s="193"/>
    </row>
    <row r="37019" spans="6:6" x14ac:dyDescent="0.3">
      <c r="F37019" s="193"/>
    </row>
    <row r="37020" spans="6:6" x14ac:dyDescent="0.3">
      <c r="F37020" s="193"/>
    </row>
    <row r="37021" spans="6:6" x14ac:dyDescent="0.3">
      <c r="F37021" s="193"/>
    </row>
    <row r="37022" spans="6:6" x14ac:dyDescent="0.3">
      <c r="F37022" s="193"/>
    </row>
    <row r="37023" spans="6:6" x14ac:dyDescent="0.3">
      <c r="F37023" s="193"/>
    </row>
    <row r="37024" spans="6:6" x14ac:dyDescent="0.3">
      <c r="F37024" s="193"/>
    </row>
    <row r="37025" spans="6:6" x14ac:dyDescent="0.3">
      <c r="F37025" s="193"/>
    </row>
    <row r="37026" spans="6:6" x14ac:dyDescent="0.3">
      <c r="F37026" s="193"/>
    </row>
    <row r="37027" spans="6:6" x14ac:dyDescent="0.3">
      <c r="F37027" s="193"/>
    </row>
    <row r="37028" spans="6:6" x14ac:dyDescent="0.3">
      <c r="F37028" s="193"/>
    </row>
    <row r="37029" spans="6:6" x14ac:dyDescent="0.3">
      <c r="F37029" s="193"/>
    </row>
    <row r="37030" spans="6:6" x14ac:dyDescent="0.3">
      <c r="F37030" s="193"/>
    </row>
    <row r="37031" spans="6:6" x14ac:dyDescent="0.3">
      <c r="F37031" s="193"/>
    </row>
    <row r="37032" spans="6:6" x14ac:dyDescent="0.3">
      <c r="F37032" s="193"/>
    </row>
    <row r="37033" spans="6:6" x14ac:dyDescent="0.3">
      <c r="F37033" s="193"/>
    </row>
    <row r="37034" spans="6:6" x14ac:dyDescent="0.3">
      <c r="F37034" s="193"/>
    </row>
    <row r="37035" spans="6:6" x14ac:dyDescent="0.3">
      <c r="F37035" s="193"/>
    </row>
    <row r="37036" spans="6:6" x14ac:dyDescent="0.3">
      <c r="F37036" s="193"/>
    </row>
    <row r="37037" spans="6:6" x14ac:dyDescent="0.3">
      <c r="F37037" s="193"/>
    </row>
    <row r="37038" spans="6:6" x14ac:dyDescent="0.3">
      <c r="F37038" s="193"/>
    </row>
    <row r="37039" spans="6:6" x14ac:dyDescent="0.3">
      <c r="F37039" s="193"/>
    </row>
    <row r="37040" spans="6:6" x14ac:dyDescent="0.3">
      <c r="F37040" s="193"/>
    </row>
    <row r="37041" spans="6:6" x14ac:dyDescent="0.3">
      <c r="F37041" s="193"/>
    </row>
    <row r="37042" spans="6:6" x14ac:dyDescent="0.3">
      <c r="F37042" s="193"/>
    </row>
    <row r="37043" spans="6:6" x14ac:dyDescent="0.3">
      <c r="F37043" s="193"/>
    </row>
    <row r="37044" spans="6:6" x14ac:dyDescent="0.3">
      <c r="F37044" s="193"/>
    </row>
    <row r="37045" spans="6:6" x14ac:dyDescent="0.3">
      <c r="F37045" s="193"/>
    </row>
    <row r="37046" spans="6:6" x14ac:dyDescent="0.3">
      <c r="F37046" s="193"/>
    </row>
    <row r="37047" spans="6:6" x14ac:dyDescent="0.3">
      <c r="F37047" s="193"/>
    </row>
    <row r="37048" spans="6:6" x14ac:dyDescent="0.3">
      <c r="F37048" s="193"/>
    </row>
    <row r="37049" spans="6:6" x14ac:dyDescent="0.3">
      <c r="F37049" s="193"/>
    </row>
    <row r="37050" spans="6:6" x14ac:dyDescent="0.3">
      <c r="F37050" s="193"/>
    </row>
    <row r="37051" spans="6:6" x14ac:dyDescent="0.3">
      <c r="F37051" s="193"/>
    </row>
    <row r="37052" spans="6:6" x14ac:dyDescent="0.3">
      <c r="F37052" s="193"/>
    </row>
    <row r="37053" spans="6:6" x14ac:dyDescent="0.3">
      <c r="F37053" s="193"/>
    </row>
    <row r="37054" spans="6:6" x14ac:dyDescent="0.3">
      <c r="F37054" s="193"/>
    </row>
    <row r="37055" spans="6:6" x14ac:dyDescent="0.3">
      <c r="F37055" s="193"/>
    </row>
    <row r="37056" spans="6:6" x14ac:dyDescent="0.3">
      <c r="F37056" s="193"/>
    </row>
    <row r="37057" spans="6:6" x14ac:dyDescent="0.3">
      <c r="F37057" s="193"/>
    </row>
    <row r="37058" spans="6:6" x14ac:dyDescent="0.3">
      <c r="F37058" s="193"/>
    </row>
    <row r="37059" spans="6:6" x14ac:dyDescent="0.3">
      <c r="F37059" s="193"/>
    </row>
    <row r="37060" spans="6:6" x14ac:dyDescent="0.3">
      <c r="F37060" s="193"/>
    </row>
    <row r="37061" spans="6:6" x14ac:dyDescent="0.3">
      <c r="F37061" s="193"/>
    </row>
    <row r="37062" spans="6:6" x14ac:dyDescent="0.3">
      <c r="F37062" s="193"/>
    </row>
    <row r="37063" spans="6:6" x14ac:dyDescent="0.3">
      <c r="F37063" s="193"/>
    </row>
    <row r="37064" spans="6:6" x14ac:dyDescent="0.3">
      <c r="F37064" s="193"/>
    </row>
    <row r="37065" spans="6:6" x14ac:dyDescent="0.3">
      <c r="F37065" s="193"/>
    </row>
    <row r="37066" spans="6:6" x14ac:dyDescent="0.3">
      <c r="F37066" s="193"/>
    </row>
    <row r="37067" spans="6:6" x14ac:dyDescent="0.3">
      <c r="F37067" s="193"/>
    </row>
    <row r="37068" spans="6:6" x14ac:dyDescent="0.3">
      <c r="F37068" s="193"/>
    </row>
    <row r="37069" spans="6:6" x14ac:dyDescent="0.3">
      <c r="F37069" s="193"/>
    </row>
    <row r="37070" spans="6:6" x14ac:dyDescent="0.3">
      <c r="F37070" s="193"/>
    </row>
    <row r="37071" spans="6:6" x14ac:dyDescent="0.3">
      <c r="F37071" s="193"/>
    </row>
    <row r="37072" spans="6:6" x14ac:dyDescent="0.3">
      <c r="F37072" s="193"/>
    </row>
    <row r="37073" spans="6:6" x14ac:dyDescent="0.3">
      <c r="F37073" s="193"/>
    </row>
    <row r="37074" spans="6:6" x14ac:dyDescent="0.3">
      <c r="F37074" s="193"/>
    </row>
    <row r="37075" spans="6:6" x14ac:dyDescent="0.3">
      <c r="F37075" s="193"/>
    </row>
    <row r="37076" spans="6:6" x14ac:dyDescent="0.3">
      <c r="F37076" s="193"/>
    </row>
    <row r="37077" spans="6:6" x14ac:dyDescent="0.3">
      <c r="F37077" s="193"/>
    </row>
    <row r="37078" spans="6:6" x14ac:dyDescent="0.3">
      <c r="F37078" s="193"/>
    </row>
    <row r="37079" spans="6:6" x14ac:dyDescent="0.3">
      <c r="F37079" s="193"/>
    </row>
    <row r="37080" spans="6:6" x14ac:dyDescent="0.3">
      <c r="F37080" s="193"/>
    </row>
    <row r="37081" spans="6:6" x14ac:dyDescent="0.3">
      <c r="F37081" s="193"/>
    </row>
    <row r="37082" spans="6:6" x14ac:dyDescent="0.3">
      <c r="F37082" s="193"/>
    </row>
    <row r="37083" spans="6:6" x14ac:dyDescent="0.3">
      <c r="F37083" s="193"/>
    </row>
    <row r="37084" spans="6:6" x14ac:dyDescent="0.3">
      <c r="F37084" s="193"/>
    </row>
    <row r="37085" spans="6:6" x14ac:dyDescent="0.3">
      <c r="F37085" s="193"/>
    </row>
    <row r="37086" spans="6:6" x14ac:dyDescent="0.3">
      <c r="F37086" s="193"/>
    </row>
    <row r="37087" spans="6:6" x14ac:dyDescent="0.3">
      <c r="F37087" s="193"/>
    </row>
    <row r="37088" spans="6:6" x14ac:dyDescent="0.3">
      <c r="F37088" s="193"/>
    </row>
    <row r="37089" spans="6:6" x14ac:dyDescent="0.3">
      <c r="F37089" s="193"/>
    </row>
    <row r="37090" spans="6:6" x14ac:dyDescent="0.3">
      <c r="F37090" s="193"/>
    </row>
    <row r="37091" spans="6:6" x14ac:dyDescent="0.3">
      <c r="F37091" s="193"/>
    </row>
    <row r="37092" spans="6:6" x14ac:dyDescent="0.3">
      <c r="F37092" s="193"/>
    </row>
    <row r="37093" spans="6:6" x14ac:dyDescent="0.3">
      <c r="F37093" s="193"/>
    </row>
    <row r="37094" spans="6:6" x14ac:dyDescent="0.3">
      <c r="F37094" s="193"/>
    </row>
    <row r="37095" spans="6:6" x14ac:dyDescent="0.3">
      <c r="F37095" s="193"/>
    </row>
    <row r="37096" spans="6:6" x14ac:dyDescent="0.3">
      <c r="F37096" s="193"/>
    </row>
    <row r="37097" spans="6:6" x14ac:dyDescent="0.3">
      <c r="F37097" s="193"/>
    </row>
    <row r="37098" spans="6:6" x14ac:dyDescent="0.3">
      <c r="F37098" s="193"/>
    </row>
    <row r="37099" spans="6:6" x14ac:dyDescent="0.3">
      <c r="F37099" s="193"/>
    </row>
    <row r="37100" spans="6:6" x14ac:dyDescent="0.3">
      <c r="F37100" s="193"/>
    </row>
    <row r="37101" spans="6:6" x14ac:dyDescent="0.3">
      <c r="F37101" s="193"/>
    </row>
    <row r="37102" spans="6:6" x14ac:dyDescent="0.3">
      <c r="F37102" s="193"/>
    </row>
    <row r="37103" spans="6:6" x14ac:dyDescent="0.3">
      <c r="F37103" s="193"/>
    </row>
    <row r="37104" spans="6:6" x14ac:dyDescent="0.3">
      <c r="F37104" s="193"/>
    </row>
    <row r="37105" spans="6:6" x14ac:dyDescent="0.3">
      <c r="F37105" s="193"/>
    </row>
    <row r="37106" spans="6:6" x14ac:dyDescent="0.3">
      <c r="F37106" s="193"/>
    </row>
    <row r="37107" spans="6:6" x14ac:dyDescent="0.3">
      <c r="F37107" s="193"/>
    </row>
    <row r="37108" spans="6:6" x14ac:dyDescent="0.3">
      <c r="F37108" s="193"/>
    </row>
    <row r="37109" spans="6:6" x14ac:dyDescent="0.3">
      <c r="F37109" s="193"/>
    </row>
    <row r="37110" spans="6:6" x14ac:dyDescent="0.3">
      <c r="F37110" s="193"/>
    </row>
    <row r="37111" spans="6:6" x14ac:dyDescent="0.3">
      <c r="F37111" s="193"/>
    </row>
    <row r="37112" spans="6:6" x14ac:dyDescent="0.3">
      <c r="F37112" s="193"/>
    </row>
    <row r="37113" spans="6:6" x14ac:dyDescent="0.3">
      <c r="F37113" s="193"/>
    </row>
    <row r="37114" spans="6:6" x14ac:dyDescent="0.3">
      <c r="F37114" s="193"/>
    </row>
    <row r="37115" spans="6:6" x14ac:dyDescent="0.3">
      <c r="F37115" s="193"/>
    </row>
    <row r="37116" spans="6:6" x14ac:dyDescent="0.3">
      <c r="F37116" s="193"/>
    </row>
    <row r="37117" spans="6:6" x14ac:dyDescent="0.3">
      <c r="F37117" s="193"/>
    </row>
    <row r="37118" spans="6:6" x14ac:dyDescent="0.3">
      <c r="F37118" s="193"/>
    </row>
    <row r="37119" spans="6:6" x14ac:dyDescent="0.3">
      <c r="F37119" s="193"/>
    </row>
    <row r="37120" spans="6:6" x14ac:dyDescent="0.3">
      <c r="F37120" s="193"/>
    </row>
    <row r="37121" spans="6:6" x14ac:dyDescent="0.3">
      <c r="F37121" s="193"/>
    </row>
    <row r="37122" spans="6:6" x14ac:dyDescent="0.3">
      <c r="F37122" s="193"/>
    </row>
    <row r="37123" spans="6:6" x14ac:dyDescent="0.3">
      <c r="F37123" s="193"/>
    </row>
    <row r="37124" spans="6:6" x14ac:dyDescent="0.3">
      <c r="F37124" s="193"/>
    </row>
    <row r="37125" spans="6:6" x14ac:dyDescent="0.3">
      <c r="F37125" s="193"/>
    </row>
    <row r="37126" spans="6:6" x14ac:dyDescent="0.3">
      <c r="F37126" s="193"/>
    </row>
    <row r="37127" spans="6:6" x14ac:dyDescent="0.3">
      <c r="F37127" s="193"/>
    </row>
    <row r="37128" spans="6:6" x14ac:dyDescent="0.3">
      <c r="F37128" s="193"/>
    </row>
    <row r="37129" spans="6:6" x14ac:dyDescent="0.3">
      <c r="F37129" s="193"/>
    </row>
    <row r="37130" spans="6:6" x14ac:dyDescent="0.3">
      <c r="F37130" s="193"/>
    </row>
    <row r="37131" spans="6:6" x14ac:dyDescent="0.3">
      <c r="F37131" s="193"/>
    </row>
    <row r="37132" spans="6:6" x14ac:dyDescent="0.3">
      <c r="F37132" s="193"/>
    </row>
    <row r="37133" spans="6:6" x14ac:dyDescent="0.3">
      <c r="F37133" s="193"/>
    </row>
    <row r="37134" spans="6:6" x14ac:dyDescent="0.3">
      <c r="F37134" s="193"/>
    </row>
    <row r="37135" spans="6:6" x14ac:dyDescent="0.3">
      <c r="F37135" s="193"/>
    </row>
    <row r="37136" spans="6:6" x14ac:dyDescent="0.3">
      <c r="F37136" s="193"/>
    </row>
    <row r="37137" spans="6:6" x14ac:dyDescent="0.3">
      <c r="F37137" s="193"/>
    </row>
    <row r="37138" spans="6:6" x14ac:dyDescent="0.3">
      <c r="F37138" s="193"/>
    </row>
    <row r="37139" spans="6:6" x14ac:dyDescent="0.3">
      <c r="F37139" s="193"/>
    </row>
    <row r="37140" spans="6:6" x14ac:dyDescent="0.3">
      <c r="F37140" s="193"/>
    </row>
    <row r="37141" spans="6:6" x14ac:dyDescent="0.3">
      <c r="F37141" s="193"/>
    </row>
    <row r="37142" spans="6:6" x14ac:dyDescent="0.3">
      <c r="F37142" s="193"/>
    </row>
    <row r="37143" spans="6:6" x14ac:dyDescent="0.3">
      <c r="F37143" s="193"/>
    </row>
    <row r="37144" spans="6:6" x14ac:dyDescent="0.3">
      <c r="F37144" s="193"/>
    </row>
    <row r="37145" spans="6:6" x14ac:dyDescent="0.3">
      <c r="F37145" s="193"/>
    </row>
    <row r="37146" spans="6:6" x14ac:dyDescent="0.3">
      <c r="F37146" s="193"/>
    </row>
    <row r="37147" spans="6:6" x14ac:dyDescent="0.3">
      <c r="F37147" s="193"/>
    </row>
    <row r="37148" spans="6:6" x14ac:dyDescent="0.3">
      <c r="F37148" s="193"/>
    </row>
    <row r="37149" spans="6:6" x14ac:dyDescent="0.3">
      <c r="F37149" s="193"/>
    </row>
    <row r="37150" spans="6:6" x14ac:dyDescent="0.3">
      <c r="F37150" s="193"/>
    </row>
    <row r="37151" spans="6:6" x14ac:dyDescent="0.3">
      <c r="F37151" s="193"/>
    </row>
    <row r="37152" spans="6:6" x14ac:dyDescent="0.3">
      <c r="F37152" s="193"/>
    </row>
    <row r="37153" spans="6:6" x14ac:dyDescent="0.3">
      <c r="F37153" s="193"/>
    </row>
    <row r="37154" spans="6:6" x14ac:dyDescent="0.3">
      <c r="F37154" s="193"/>
    </row>
    <row r="37155" spans="6:6" x14ac:dyDescent="0.3">
      <c r="F37155" s="193"/>
    </row>
    <row r="37156" spans="6:6" x14ac:dyDescent="0.3">
      <c r="F37156" s="193"/>
    </row>
    <row r="37157" spans="6:6" x14ac:dyDescent="0.3">
      <c r="F37157" s="193"/>
    </row>
    <row r="37158" spans="6:6" x14ac:dyDescent="0.3">
      <c r="F37158" s="193"/>
    </row>
    <row r="37159" spans="6:6" x14ac:dyDescent="0.3">
      <c r="F37159" s="193"/>
    </row>
    <row r="37160" spans="6:6" x14ac:dyDescent="0.3">
      <c r="F37160" s="193"/>
    </row>
    <row r="37161" spans="6:6" x14ac:dyDescent="0.3">
      <c r="F37161" s="193"/>
    </row>
    <row r="37162" spans="6:6" x14ac:dyDescent="0.3">
      <c r="F37162" s="193"/>
    </row>
    <row r="37163" spans="6:6" x14ac:dyDescent="0.3">
      <c r="F37163" s="193"/>
    </row>
    <row r="37164" spans="6:6" x14ac:dyDescent="0.3">
      <c r="F37164" s="193"/>
    </row>
    <row r="37165" spans="6:6" x14ac:dyDescent="0.3">
      <c r="F37165" s="193"/>
    </row>
    <row r="37166" spans="6:6" x14ac:dyDescent="0.3">
      <c r="F37166" s="193"/>
    </row>
    <row r="37167" spans="6:6" x14ac:dyDescent="0.3">
      <c r="F37167" s="193"/>
    </row>
    <row r="37168" spans="6:6" x14ac:dyDescent="0.3">
      <c r="F37168" s="193"/>
    </row>
    <row r="37169" spans="6:6" x14ac:dyDescent="0.3">
      <c r="F37169" s="193"/>
    </row>
    <row r="37170" spans="6:6" x14ac:dyDescent="0.3">
      <c r="F37170" s="193"/>
    </row>
    <row r="37171" spans="6:6" x14ac:dyDescent="0.3">
      <c r="F37171" s="193"/>
    </row>
    <row r="37172" spans="6:6" x14ac:dyDescent="0.3">
      <c r="F37172" s="193"/>
    </row>
    <row r="37173" spans="6:6" x14ac:dyDescent="0.3">
      <c r="F37173" s="193"/>
    </row>
    <row r="37174" spans="6:6" x14ac:dyDescent="0.3">
      <c r="F37174" s="193"/>
    </row>
    <row r="37175" spans="6:6" x14ac:dyDescent="0.3">
      <c r="F37175" s="193"/>
    </row>
    <row r="37176" spans="6:6" x14ac:dyDescent="0.3">
      <c r="F37176" s="193"/>
    </row>
    <row r="37177" spans="6:6" x14ac:dyDescent="0.3">
      <c r="F37177" s="193"/>
    </row>
    <row r="37178" spans="6:6" x14ac:dyDescent="0.3">
      <c r="F37178" s="193"/>
    </row>
    <row r="37179" spans="6:6" x14ac:dyDescent="0.3">
      <c r="F37179" s="193"/>
    </row>
    <row r="37180" spans="6:6" x14ac:dyDescent="0.3">
      <c r="F37180" s="193"/>
    </row>
    <row r="37181" spans="6:6" x14ac:dyDescent="0.3">
      <c r="F37181" s="193"/>
    </row>
    <row r="37182" spans="6:6" x14ac:dyDescent="0.3">
      <c r="F37182" s="193"/>
    </row>
    <row r="37183" spans="6:6" x14ac:dyDescent="0.3">
      <c r="F37183" s="193"/>
    </row>
    <row r="37184" spans="6:6" x14ac:dyDescent="0.3">
      <c r="F37184" s="193"/>
    </row>
    <row r="37185" spans="6:6" x14ac:dyDescent="0.3">
      <c r="F37185" s="193"/>
    </row>
    <row r="37186" spans="6:6" x14ac:dyDescent="0.3">
      <c r="F37186" s="193"/>
    </row>
    <row r="37187" spans="6:6" x14ac:dyDescent="0.3">
      <c r="F37187" s="193"/>
    </row>
    <row r="37188" spans="6:6" x14ac:dyDescent="0.3">
      <c r="F37188" s="193"/>
    </row>
    <row r="37189" spans="6:6" x14ac:dyDescent="0.3">
      <c r="F37189" s="193"/>
    </row>
    <row r="37190" spans="6:6" x14ac:dyDescent="0.3">
      <c r="F37190" s="193"/>
    </row>
    <row r="37191" spans="6:6" x14ac:dyDescent="0.3">
      <c r="F37191" s="193"/>
    </row>
    <row r="37192" spans="6:6" x14ac:dyDescent="0.3">
      <c r="F37192" s="193"/>
    </row>
    <row r="37193" spans="6:6" x14ac:dyDescent="0.3">
      <c r="F37193" s="193"/>
    </row>
    <row r="37194" spans="6:6" x14ac:dyDescent="0.3">
      <c r="F37194" s="193"/>
    </row>
    <row r="37195" spans="6:6" x14ac:dyDescent="0.3">
      <c r="F37195" s="193"/>
    </row>
    <row r="37196" spans="6:6" x14ac:dyDescent="0.3">
      <c r="F37196" s="193"/>
    </row>
    <row r="37197" spans="6:6" x14ac:dyDescent="0.3">
      <c r="F37197" s="193"/>
    </row>
    <row r="37198" spans="6:6" x14ac:dyDescent="0.3">
      <c r="F37198" s="193"/>
    </row>
    <row r="37199" spans="6:6" x14ac:dyDescent="0.3">
      <c r="F37199" s="193"/>
    </row>
    <row r="37200" spans="6:6" x14ac:dyDescent="0.3">
      <c r="F37200" s="193"/>
    </row>
    <row r="37201" spans="6:6" x14ac:dyDescent="0.3">
      <c r="F37201" s="193"/>
    </row>
    <row r="37202" spans="6:6" x14ac:dyDescent="0.3">
      <c r="F37202" s="193"/>
    </row>
    <row r="37203" spans="6:6" x14ac:dyDescent="0.3">
      <c r="F37203" s="193"/>
    </row>
    <row r="37204" spans="6:6" x14ac:dyDescent="0.3">
      <c r="F37204" s="193"/>
    </row>
    <row r="37205" spans="6:6" x14ac:dyDescent="0.3">
      <c r="F37205" s="193"/>
    </row>
    <row r="37206" spans="6:6" x14ac:dyDescent="0.3">
      <c r="F37206" s="193"/>
    </row>
    <row r="37207" spans="6:6" x14ac:dyDescent="0.3">
      <c r="F37207" s="193"/>
    </row>
    <row r="37208" spans="6:6" x14ac:dyDescent="0.3">
      <c r="F37208" s="193"/>
    </row>
    <row r="37209" spans="6:6" x14ac:dyDescent="0.3">
      <c r="F37209" s="193"/>
    </row>
    <row r="37210" spans="6:6" x14ac:dyDescent="0.3">
      <c r="F37210" s="193"/>
    </row>
    <row r="37211" spans="6:6" x14ac:dyDescent="0.3">
      <c r="F37211" s="193"/>
    </row>
    <row r="37212" spans="6:6" x14ac:dyDescent="0.3">
      <c r="F37212" s="193"/>
    </row>
    <row r="37213" spans="6:6" x14ac:dyDescent="0.3">
      <c r="F37213" s="193"/>
    </row>
    <row r="37214" spans="6:6" x14ac:dyDescent="0.3">
      <c r="F37214" s="193"/>
    </row>
    <row r="37215" spans="6:6" x14ac:dyDescent="0.3">
      <c r="F37215" s="193"/>
    </row>
    <row r="37216" spans="6:6" x14ac:dyDescent="0.3">
      <c r="F37216" s="193"/>
    </row>
    <row r="37217" spans="6:6" x14ac:dyDescent="0.3">
      <c r="F37217" s="193"/>
    </row>
    <row r="37218" spans="6:6" x14ac:dyDescent="0.3">
      <c r="F37218" s="193"/>
    </row>
    <row r="37219" spans="6:6" x14ac:dyDescent="0.3">
      <c r="F37219" s="193"/>
    </row>
    <row r="37220" spans="6:6" x14ac:dyDescent="0.3">
      <c r="F37220" s="193"/>
    </row>
    <row r="37221" spans="6:6" x14ac:dyDescent="0.3">
      <c r="F37221" s="193"/>
    </row>
    <row r="37222" spans="6:6" x14ac:dyDescent="0.3">
      <c r="F37222" s="193"/>
    </row>
    <row r="37223" spans="6:6" x14ac:dyDescent="0.3">
      <c r="F37223" s="193"/>
    </row>
    <row r="37224" spans="6:6" x14ac:dyDescent="0.3">
      <c r="F37224" s="193"/>
    </row>
    <row r="37225" spans="6:6" x14ac:dyDescent="0.3">
      <c r="F37225" s="193"/>
    </row>
    <row r="37226" spans="6:6" x14ac:dyDescent="0.3">
      <c r="F37226" s="193"/>
    </row>
    <row r="37227" spans="6:6" x14ac:dyDescent="0.3">
      <c r="F37227" s="193"/>
    </row>
    <row r="37228" spans="6:6" x14ac:dyDescent="0.3">
      <c r="F37228" s="193"/>
    </row>
    <row r="37229" spans="6:6" x14ac:dyDescent="0.3">
      <c r="F37229" s="193"/>
    </row>
    <row r="37230" spans="6:6" x14ac:dyDescent="0.3">
      <c r="F37230" s="193"/>
    </row>
    <row r="37231" spans="6:6" x14ac:dyDescent="0.3">
      <c r="F37231" s="193"/>
    </row>
    <row r="37232" spans="6:6" x14ac:dyDescent="0.3">
      <c r="F37232" s="193"/>
    </row>
    <row r="37233" spans="6:6" x14ac:dyDescent="0.3">
      <c r="F37233" s="193"/>
    </row>
    <row r="37234" spans="6:6" x14ac:dyDescent="0.3">
      <c r="F37234" s="193"/>
    </row>
    <row r="37235" spans="6:6" x14ac:dyDescent="0.3">
      <c r="F37235" s="193"/>
    </row>
    <row r="37236" spans="6:6" x14ac:dyDescent="0.3">
      <c r="F37236" s="193"/>
    </row>
    <row r="37237" spans="6:6" x14ac:dyDescent="0.3">
      <c r="F37237" s="193"/>
    </row>
    <row r="37238" spans="6:6" x14ac:dyDescent="0.3">
      <c r="F37238" s="193"/>
    </row>
    <row r="37239" spans="6:6" x14ac:dyDescent="0.3">
      <c r="F37239" s="193"/>
    </row>
    <row r="37240" spans="6:6" x14ac:dyDescent="0.3">
      <c r="F37240" s="193"/>
    </row>
    <row r="37241" spans="6:6" x14ac:dyDescent="0.3">
      <c r="F37241" s="193"/>
    </row>
    <row r="37242" spans="6:6" x14ac:dyDescent="0.3">
      <c r="F37242" s="193"/>
    </row>
    <row r="37243" spans="6:6" x14ac:dyDescent="0.3">
      <c r="F37243" s="193"/>
    </row>
    <row r="37244" spans="6:6" x14ac:dyDescent="0.3">
      <c r="F37244" s="193"/>
    </row>
    <row r="37245" spans="6:6" x14ac:dyDescent="0.3">
      <c r="F37245" s="193"/>
    </row>
    <row r="37246" spans="6:6" x14ac:dyDescent="0.3">
      <c r="F37246" s="193"/>
    </row>
    <row r="37247" spans="6:6" x14ac:dyDescent="0.3">
      <c r="F37247" s="193"/>
    </row>
    <row r="37248" spans="6:6" x14ac:dyDescent="0.3">
      <c r="F37248" s="193"/>
    </row>
    <row r="37249" spans="6:6" x14ac:dyDescent="0.3">
      <c r="F37249" s="193"/>
    </row>
    <row r="37250" spans="6:6" x14ac:dyDescent="0.3">
      <c r="F37250" s="193"/>
    </row>
    <row r="37251" spans="6:6" x14ac:dyDescent="0.3">
      <c r="F37251" s="193"/>
    </row>
    <row r="37252" spans="6:6" x14ac:dyDescent="0.3">
      <c r="F37252" s="193"/>
    </row>
    <row r="37253" spans="6:6" x14ac:dyDescent="0.3">
      <c r="F37253" s="193"/>
    </row>
    <row r="37254" spans="6:6" x14ac:dyDescent="0.3">
      <c r="F37254" s="193"/>
    </row>
    <row r="37255" spans="6:6" x14ac:dyDescent="0.3">
      <c r="F37255" s="193"/>
    </row>
    <row r="37256" spans="6:6" x14ac:dyDescent="0.3">
      <c r="F37256" s="193"/>
    </row>
    <row r="37257" spans="6:6" x14ac:dyDescent="0.3">
      <c r="F37257" s="193"/>
    </row>
    <row r="37258" spans="6:6" x14ac:dyDescent="0.3">
      <c r="F37258" s="193"/>
    </row>
    <row r="37259" spans="6:6" x14ac:dyDescent="0.3">
      <c r="F37259" s="193"/>
    </row>
    <row r="37260" spans="6:6" x14ac:dyDescent="0.3">
      <c r="F37260" s="193"/>
    </row>
    <row r="37261" spans="6:6" x14ac:dyDescent="0.3">
      <c r="F37261" s="193"/>
    </row>
    <row r="37262" spans="6:6" x14ac:dyDescent="0.3">
      <c r="F37262" s="193"/>
    </row>
    <row r="37263" spans="6:6" x14ac:dyDescent="0.3">
      <c r="F37263" s="193"/>
    </row>
    <row r="37264" spans="6:6" x14ac:dyDescent="0.3">
      <c r="F37264" s="193"/>
    </row>
    <row r="37265" spans="6:6" x14ac:dyDescent="0.3">
      <c r="F37265" s="193"/>
    </row>
    <row r="37266" spans="6:6" x14ac:dyDescent="0.3">
      <c r="F37266" s="193"/>
    </row>
    <row r="37267" spans="6:6" x14ac:dyDescent="0.3">
      <c r="F37267" s="193"/>
    </row>
    <row r="37268" spans="6:6" x14ac:dyDescent="0.3">
      <c r="F37268" s="193"/>
    </row>
    <row r="37269" spans="6:6" x14ac:dyDescent="0.3">
      <c r="F37269" s="193"/>
    </row>
    <row r="37270" spans="6:6" x14ac:dyDescent="0.3">
      <c r="F37270" s="193"/>
    </row>
    <row r="37271" spans="6:6" x14ac:dyDescent="0.3">
      <c r="F37271" s="193"/>
    </row>
    <row r="37272" spans="6:6" x14ac:dyDescent="0.3">
      <c r="F37272" s="193"/>
    </row>
    <row r="37273" spans="6:6" x14ac:dyDescent="0.3">
      <c r="F37273" s="193"/>
    </row>
    <row r="37274" spans="6:6" x14ac:dyDescent="0.3">
      <c r="F37274" s="193"/>
    </row>
    <row r="37275" spans="6:6" x14ac:dyDescent="0.3">
      <c r="F37275" s="193"/>
    </row>
    <row r="37276" spans="6:6" x14ac:dyDescent="0.3">
      <c r="F37276" s="193"/>
    </row>
    <row r="37277" spans="6:6" x14ac:dyDescent="0.3">
      <c r="F37277" s="193"/>
    </row>
    <row r="37278" spans="6:6" x14ac:dyDescent="0.3">
      <c r="F37278" s="193"/>
    </row>
    <row r="37279" spans="6:6" x14ac:dyDescent="0.3">
      <c r="F37279" s="193"/>
    </row>
    <row r="37280" spans="6:6" x14ac:dyDescent="0.3">
      <c r="F37280" s="193"/>
    </row>
    <row r="37281" spans="6:6" x14ac:dyDescent="0.3">
      <c r="F37281" s="193"/>
    </row>
    <row r="37282" spans="6:6" x14ac:dyDescent="0.3">
      <c r="F37282" s="193"/>
    </row>
    <row r="37283" spans="6:6" x14ac:dyDescent="0.3">
      <c r="F37283" s="193"/>
    </row>
    <row r="37284" spans="6:6" x14ac:dyDescent="0.3">
      <c r="F37284" s="193"/>
    </row>
    <row r="37285" spans="6:6" x14ac:dyDescent="0.3">
      <c r="F37285" s="193"/>
    </row>
    <row r="37286" spans="6:6" x14ac:dyDescent="0.3">
      <c r="F37286" s="193"/>
    </row>
    <row r="37287" spans="6:6" x14ac:dyDescent="0.3">
      <c r="F37287" s="193"/>
    </row>
    <row r="37288" spans="6:6" x14ac:dyDescent="0.3">
      <c r="F37288" s="193"/>
    </row>
    <row r="37289" spans="6:6" x14ac:dyDescent="0.3">
      <c r="F37289" s="193"/>
    </row>
    <row r="37290" spans="6:6" x14ac:dyDescent="0.3">
      <c r="F37290" s="193"/>
    </row>
    <row r="37291" spans="6:6" x14ac:dyDescent="0.3">
      <c r="F37291" s="193"/>
    </row>
    <row r="37292" spans="6:6" x14ac:dyDescent="0.3">
      <c r="F37292" s="193"/>
    </row>
    <row r="37293" spans="6:6" x14ac:dyDescent="0.3">
      <c r="F37293" s="193"/>
    </row>
    <row r="37294" spans="6:6" x14ac:dyDescent="0.3">
      <c r="F37294" s="193"/>
    </row>
    <row r="37295" spans="6:6" x14ac:dyDescent="0.3">
      <c r="F37295" s="193"/>
    </row>
    <row r="37296" spans="6:6" x14ac:dyDescent="0.3">
      <c r="F37296" s="193"/>
    </row>
    <row r="37297" spans="6:6" x14ac:dyDescent="0.3">
      <c r="F37297" s="193"/>
    </row>
    <row r="37298" spans="6:6" x14ac:dyDescent="0.3">
      <c r="F37298" s="193"/>
    </row>
    <row r="37299" spans="6:6" x14ac:dyDescent="0.3">
      <c r="F37299" s="193"/>
    </row>
    <row r="37300" spans="6:6" x14ac:dyDescent="0.3">
      <c r="F37300" s="193"/>
    </row>
    <row r="37301" spans="6:6" x14ac:dyDescent="0.3">
      <c r="F37301" s="193"/>
    </row>
    <row r="37302" spans="6:6" x14ac:dyDescent="0.3">
      <c r="F37302" s="193"/>
    </row>
    <row r="37303" spans="6:6" x14ac:dyDescent="0.3">
      <c r="F37303" s="193"/>
    </row>
    <row r="37304" spans="6:6" x14ac:dyDescent="0.3">
      <c r="F37304" s="193"/>
    </row>
    <row r="37305" spans="6:6" x14ac:dyDescent="0.3">
      <c r="F37305" s="193"/>
    </row>
    <row r="37306" spans="6:6" x14ac:dyDescent="0.3">
      <c r="F37306" s="193"/>
    </row>
    <row r="37307" spans="6:6" x14ac:dyDescent="0.3">
      <c r="F37307" s="193"/>
    </row>
    <row r="37308" spans="6:6" x14ac:dyDescent="0.3">
      <c r="F37308" s="193"/>
    </row>
    <row r="37309" spans="6:6" x14ac:dyDescent="0.3">
      <c r="F37309" s="193"/>
    </row>
    <row r="37310" spans="6:6" x14ac:dyDescent="0.3">
      <c r="F37310" s="193"/>
    </row>
    <row r="37311" spans="6:6" x14ac:dyDescent="0.3">
      <c r="F37311" s="193"/>
    </row>
    <row r="37312" spans="6:6" x14ac:dyDescent="0.3">
      <c r="F37312" s="193"/>
    </row>
    <row r="37313" spans="6:6" x14ac:dyDescent="0.3">
      <c r="F37313" s="193"/>
    </row>
    <row r="37314" spans="6:6" x14ac:dyDescent="0.3">
      <c r="F37314" s="193"/>
    </row>
    <row r="37315" spans="6:6" x14ac:dyDescent="0.3">
      <c r="F37315" s="193"/>
    </row>
    <row r="37316" spans="6:6" x14ac:dyDescent="0.3">
      <c r="F37316" s="193"/>
    </row>
    <row r="37317" spans="6:6" x14ac:dyDescent="0.3">
      <c r="F37317" s="193"/>
    </row>
    <row r="37318" spans="6:6" x14ac:dyDescent="0.3">
      <c r="F37318" s="193"/>
    </row>
    <row r="37319" spans="6:6" x14ac:dyDescent="0.3">
      <c r="F37319" s="193"/>
    </row>
    <row r="37320" spans="6:6" x14ac:dyDescent="0.3">
      <c r="F37320" s="193"/>
    </row>
    <row r="37321" spans="6:6" x14ac:dyDescent="0.3">
      <c r="F37321" s="193"/>
    </row>
    <row r="37322" spans="6:6" x14ac:dyDescent="0.3">
      <c r="F37322" s="193"/>
    </row>
    <row r="37323" spans="6:6" x14ac:dyDescent="0.3">
      <c r="F37323" s="193"/>
    </row>
    <row r="37324" spans="6:6" x14ac:dyDescent="0.3">
      <c r="F37324" s="193"/>
    </row>
    <row r="37325" spans="6:6" x14ac:dyDescent="0.3">
      <c r="F37325" s="193"/>
    </row>
    <row r="37326" spans="6:6" x14ac:dyDescent="0.3">
      <c r="F37326" s="193"/>
    </row>
    <row r="37327" spans="6:6" x14ac:dyDescent="0.3">
      <c r="F37327" s="193"/>
    </row>
    <row r="37328" spans="6:6" x14ac:dyDescent="0.3">
      <c r="F37328" s="193"/>
    </row>
    <row r="37329" spans="6:6" x14ac:dyDescent="0.3">
      <c r="F37329" s="193"/>
    </row>
    <row r="37330" spans="6:6" x14ac:dyDescent="0.3">
      <c r="F37330" s="193"/>
    </row>
    <row r="37331" spans="6:6" x14ac:dyDescent="0.3">
      <c r="F37331" s="193"/>
    </row>
    <row r="37332" spans="6:6" x14ac:dyDescent="0.3">
      <c r="F37332" s="193"/>
    </row>
    <row r="37333" spans="6:6" x14ac:dyDescent="0.3">
      <c r="F37333" s="193"/>
    </row>
    <row r="37334" spans="6:6" x14ac:dyDescent="0.3">
      <c r="F37334" s="193"/>
    </row>
    <row r="37335" spans="6:6" x14ac:dyDescent="0.3">
      <c r="F37335" s="193"/>
    </row>
    <row r="37336" spans="6:6" x14ac:dyDescent="0.3">
      <c r="F37336" s="193"/>
    </row>
    <row r="37337" spans="6:6" x14ac:dyDescent="0.3">
      <c r="F37337" s="193"/>
    </row>
    <row r="37338" spans="6:6" x14ac:dyDescent="0.3">
      <c r="F37338" s="193"/>
    </row>
    <row r="37339" spans="6:6" x14ac:dyDescent="0.3">
      <c r="F37339" s="193"/>
    </row>
    <row r="37340" spans="6:6" x14ac:dyDescent="0.3">
      <c r="F37340" s="193"/>
    </row>
    <row r="37341" spans="6:6" x14ac:dyDescent="0.3">
      <c r="F37341" s="193"/>
    </row>
    <row r="37342" spans="6:6" x14ac:dyDescent="0.3">
      <c r="F37342" s="193"/>
    </row>
    <row r="37343" spans="6:6" x14ac:dyDescent="0.3">
      <c r="F37343" s="193"/>
    </row>
    <row r="37344" spans="6:6" x14ac:dyDescent="0.3">
      <c r="F37344" s="193"/>
    </row>
    <row r="37345" spans="6:6" x14ac:dyDescent="0.3">
      <c r="F37345" s="193"/>
    </row>
    <row r="37346" spans="6:6" x14ac:dyDescent="0.3">
      <c r="F37346" s="193"/>
    </row>
    <row r="37347" spans="6:6" x14ac:dyDescent="0.3">
      <c r="F37347" s="193"/>
    </row>
    <row r="37348" spans="6:6" x14ac:dyDescent="0.3">
      <c r="F37348" s="193"/>
    </row>
    <row r="37349" spans="6:6" x14ac:dyDescent="0.3">
      <c r="F37349" s="193"/>
    </row>
    <row r="37350" spans="6:6" x14ac:dyDescent="0.3">
      <c r="F37350" s="193"/>
    </row>
    <row r="37351" spans="6:6" x14ac:dyDescent="0.3">
      <c r="F37351" s="193"/>
    </row>
    <row r="37352" spans="6:6" x14ac:dyDescent="0.3">
      <c r="F37352" s="193"/>
    </row>
    <row r="37353" spans="6:6" x14ac:dyDescent="0.3">
      <c r="F37353" s="193"/>
    </row>
    <row r="37354" spans="6:6" x14ac:dyDescent="0.3">
      <c r="F37354" s="193"/>
    </row>
    <row r="37355" spans="6:6" x14ac:dyDescent="0.3">
      <c r="F37355" s="193"/>
    </row>
    <row r="37356" spans="6:6" x14ac:dyDescent="0.3">
      <c r="F37356" s="193"/>
    </row>
    <row r="37357" spans="6:6" x14ac:dyDescent="0.3">
      <c r="F37357" s="193"/>
    </row>
    <row r="37358" spans="6:6" x14ac:dyDescent="0.3">
      <c r="F37358" s="193"/>
    </row>
    <row r="37359" spans="6:6" x14ac:dyDescent="0.3">
      <c r="F37359" s="193"/>
    </row>
    <row r="37360" spans="6:6" x14ac:dyDescent="0.3">
      <c r="F37360" s="193"/>
    </row>
    <row r="37361" spans="6:6" x14ac:dyDescent="0.3">
      <c r="F37361" s="193"/>
    </row>
    <row r="37362" spans="6:6" x14ac:dyDescent="0.3">
      <c r="F37362" s="193"/>
    </row>
    <row r="37363" spans="6:6" x14ac:dyDescent="0.3">
      <c r="F37363" s="193"/>
    </row>
    <row r="37364" spans="6:6" x14ac:dyDescent="0.3">
      <c r="F37364" s="193"/>
    </row>
    <row r="37365" spans="6:6" x14ac:dyDescent="0.3">
      <c r="F37365" s="193"/>
    </row>
    <row r="37366" spans="6:6" x14ac:dyDescent="0.3">
      <c r="F37366" s="193"/>
    </row>
    <row r="37367" spans="6:6" x14ac:dyDescent="0.3">
      <c r="F37367" s="193"/>
    </row>
    <row r="37368" spans="6:6" x14ac:dyDescent="0.3">
      <c r="F37368" s="193"/>
    </row>
    <row r="37369" spans="6:6" x14ac:dyDescent="0.3">
      <c r="F37369" s="193"/>
    </row>
    <row r="37370" spans="6:6" x14ac:dyDescent="0.3">
      <c r="F37370" s="193"/>
    </row>
    <row r="37371" spans="6:6" x14ac:dyDescent="0.3">
      <c r="F37371" s="193"/>
    </row>
    <row r="37372" spans="6:6" x14ac:dyDescent="0.3">
      <c r="F37372" s="193"/>
    </row>
    <row r="37373" spans="6:6" x14ac:dyDescent="0.3">
      <c r="F37373" s="193"/>
    </row>
    <row r="37374" spans="6:6" x14ac:dyDescent="0.3">
      <c r="F37374" s="193"/>
    </row>
    <row r="37375" spans="6:6" x14ac:dyDescent="0.3">
      <c r="F37375" s="193"/>
    </row>
    <row r="37376" spans="6:6" x14ac:dyDescent="0.3">
      <c r="F37376" s="193"/>
    </row>
    <row r="37377" spans="6:6" x14ac:dyDescent="0.3">
      <c r="F37377" s="193"/>
    </row>
    <row r="37378" spans="6:6" x14ac:dyDescent="0.3">
      <c r="F37378" s="193"/>
    </row>
    <row r="37379" spans="6:6" x14ac:dyDescent="0.3">
      <c r="F37379" s="193"/>
    </row>
    <row r="37380" spans="6:6" x14ac:dyDescent="0.3">
      <c r="F37380" s="193"/>
    </row>
    <row r="37381" spans="6:6" x14ac:dyDescent="0.3">
      <c r="F37381" s="193"/>
    </row>
    <row r="37382" spans="6:6" x14ac:dyDescent="0.3">
      <c r="F37382" s="193"/>
    </row>
    <row r="37383" spans="6:6" x14ac:dyDescent="0.3">
      <c r="F37383" s="193"/>
    </row>
    <row r="37384" spans="6:6" x14ac:dyDescent="0.3">
      <c r="F37384" s="193"/>
    </row>
    <row r="37385" spans="6:6" x14ac:dyDescent="0.3">
      <c r="F37385" s="193"/>
    </row>
    <row r="37386" spans="6:6" x14ac:dyDescent="0.3">
      <c r="F37386" s="193"/>
    </row>
    <row r="37387" spans="6:6" x14ac:dyDescent="0.3">
      <c r="F37387" s="193"/>
    </row>
    <row r="37388" spans="6:6" x14ac:dyDescent="0.3">
      <c r="F37388" s="193"/>
    </row>
    <row r="37389" spans="6:6" x14ac:dyDescent="0.3">
      <c r="F37389" s="193"/>
    </row>
    <row r="37390" spans="6:6" x14ac:dyDescent="0.3">
      <c r="F37390" s="193"/>
    </row>
    <row r="37391" spans="6:6" x14ac:dyDescent="0.3">
      <c r="F37391" s="193"/>
    </row>
    <row r="37392" spans="6:6" x14ac:dyDescent="0.3">
      <c r="F37392" s="193"/>
    </row>
    <row r="37393" spans="6:6" x14ac:dyDescent="0.3">
      <c r="F37393" s="193"/>
    </row>
    <row r="37394" spans="6:6" x14ac:dyDescent="0.3">
      <c r="F37394" s="193"/>
    </row>
    <row r="37395" spans="6:6" x14ac:dyDescent="0.3">
      <c r="F37395" s="193"/>
    </row>
    <row r="37396" spans="6:6" x14ac:dyDescent="0.3">
      <c r="F37396" s="193"/>
    </row>
    <row r="37397" spans="6:6" x14ac:dyDescent="0.3">
      <c r="F37397" s="193"/>
    </row>
    <row r="37398" spans="6:6" x14ac:dyDescent="0.3">
      <c r="F37398" s="193"/>
    </row>
    <row r="37399" spans="6:6" x14ac:dyDescent="0.3">
      <c r="F37399" s="193"/>
    </row>
    <row r="37400" spans="6:6" x14ac:dyDescent="0.3">
      <c r="F37400" s="193"/>
    </row>
    <row r="37401" spans="6:6" x14ac:dyDescent="0.3">
      <c r="F37401" s="193"/>
    </row>
    <row r="37402" spans="6:6" x14ac:dyDescent="0.3">
      <c r="F37402" s="193"/>
    </row>
    <row r="37403" spans="6:6" x14ac:dyDescent="0.3">
      <c r="F37403" s="193"/>
    </row>
    <row r="37404" spans="6:6" x14ac:dyDescent="0.3">
      <c r="F37404" s="193"/>
    </row>
    <row r="37405" spans="6:6" x14ac:dyDescent="0.3">
      <c r="F37405" s="193"/>
    </row>
    <row r="37406" spans="6:6" x14ac:dyDescent="0.3">
      <c r="F37406" s="193"/>
    </row>
    <row r="37407" spans="6:6" x14ac:dyDescent="0.3">
      <c r="F37407" s="193"/>
    </row>
    <row r="37408" spans="6:6" x14ac:dyDescent="0.3">
      <c r="F37408" s="193"/>
    </row>
    <row r="37409" spans="6:6" x14ac:dyDescent="0.3">
      <c r="F37409" s="193"/>
    </row>
    <row r="37410" spans="6:6" x14ac:dyDescent="0.3">
      <c r="F37410" s="193"/>
    </row>
    <row r="37411" spans="6:6" x14ac:dyDescent="0.3">
      <c r="F37411" s="193"/>
    </row>
    <row r="37412" spans="6:6" x14ac:dyDescent="0.3">
      <c r="F37412" s="193"/>
    </row>
    <row r="37413" spans="6:6" x14ac:dyDescent="0.3">
      <c r="F37413" s="193"/>
    </row>
    <row r="37414" spans="6:6" x14ac:dyDescent="0.3">
      <c r="F37414" s="193"/>
    </row>
    <row r="37415" spans="6:6" x14ac:dyDescent="0.3">
      <c r="F37415" s="193"/>
    </row>
    <row r="37416" spans="6:6" x14ac:dyDescent="0.3">
      <c r="F37416" s="193"/>
    </row>
    <row r="37417" spans="6:6" x14ac:dyDescent="0.3">
      <c r="F37417" s="193"/>
    </row>
    <row r="37418" spans="6:6" x14ac:dyDescent="0.3">
      <c r="F37418" s="193"/>
    </row>
    <row r="37419" spans="6:6" x14ac:dyDescent="0.3">
      <c r="F37419" s="193"/>
    </row>
    <row r="37420" spans="6:6" x14ac:dyDescent="0.3">
      <c r="F37420" s="193"/>
    </row>
    <row r="37421" spans="6:6" x14ac:dyDescent="0.3">
      <c r="F37421" s="193"/>
    </row>
    <row r="37422" spans="6:6" x14ac:dyDescent="0.3">
      <c r="F37422" s="193"/>
    </row>
    <row r="37423" spans="6:6" x14ac:dyDescent="0.3">
      <c r="F37423" s="193"/>
    </row>
    <row r="37424" spans="6:6" x14ac:dyDescent="0.3">
      <c r="F37424" s="193"/>
    </row>
    <row r="37425" spans="6:6" x14ac:dyDescent="0.3">
      <c r="F37425" s="193"/>
    </row>
    <row r="37426" spans="6:6" x14ac:dyDescent="0.3">
      <c r="F37426" s="193"/>
    </row>
    <row r="37427" spans="6:6" x14ac:dyDescent="0.3">
      <c r="F37427" s="193"/>
    </row>
    <row r="37428" spans="6:6" x14ac:dyDescent="0.3">
      <c r="F37428" s="193"/>
    </row>
    <row r="37429" spans="6:6" x14ac:dyDescent="0.3">
      <c r="F37429" s="193"/>
    </row>
    <row r="37430" spans="6:6" x14ac:dyDescent="0.3">
      <c r="F37430" s="193"/>
    </row>
    <row r="37431" spans="6:6" x14ac:dyDescent="0.3">
      <c r="F37431" s="193"/>
    </row>
    <row r="37432" spans="6:6" x14ac:dyDescent="0.3">
      <c r="F37432" s="193"/>
    </row>
    <row r="37433" spans="6:6" x14ac:dyDescent="0.3">
      <c r="F37433" s="193"/>
    </row>
    <row r="37434" spans="6:6" x14ac:dyDescent="0.3">
      <c r="F37434" s="193"/>
    </row>
    <row r="37435" spans="6:6" x14ac:dyDescent="0.3">
      <c r="F37435" s="193"/>
    </row>
    <row r="37436" spans="6:6" x14ac:dyDescent="0.3">
      <c r="F37436" s="193"/>
    </row>
    <row r="37437" spans="6:6" x14ac:dyDescent="0.3">
      <c r="F37437" s="193"/>
    </row>
    <row r="37438" spans="6:6" x14ac:dyDescent="0.3">
      <c r="F37438" s="193"/>
    </row>
    <row r="37439" spans="6:6" x14ac:dyDescent="0.3">
      <c r="F37439" s="193"/>
    </row>
    <row r="37440" spans="6:6" x14ac:dyDescent="0.3">
      <c r="F37440" s="193"/>
    </row>
    <row r="37441" spans="6:6" x14ac:dyDescent="0.3">
      <c r="F37441" s="193"/>
    </row>
    <row r="37442" spans="6:6" x14ac:dyDescent="0.3">
      <c r="F37442" s="193"/>
    </row>
    <row r="37443" spans="6:6" x14ac:dyDescent="0.3">
      <c r="F37443" s="193"/>
    </row>
    <row r="37444" spans="6:6" x14ac:dyDescent="0.3">
      <c r="F37444" s="193"/>
    </row>
    <row r="37445" spans="6:6" x14ac:dyDescent="0.3">
      <c r="F37445" s="193"/>
    </row>
    <row r="37446" spans="6:6" x14ac:dyDescent="0.3">
      <c r="F37446" s="193"/>
    </row>
    <row r="37447" spans="6:6" x14ac:dyDescent="0.3">
      <c r="F37447" s="193"/>
    </row>
    <row r="37448" spans="6:6" x14ac:dyDescent="0.3">
      <c r="F37448" s="193"/>
    </row>
    <row r="37449" spans="6:6" x14ac:dyDescent="0.3">
      <c r="F37449" s="193"/>
    </row>
    <row r="37450" spans="6:6" x14ac:dyDescent="0.3">
      <c r="F37450" s="193"/>
    </row>
    <row r="37451" spans="6:6" x14ac:dyDescent="0.3">
      <c r="F37451" s="193"/>
    </row>
    <row r="37452" spans="6:6" x14ac:dyDescent="0.3">
      <c r="F37452" s="193"/>
    </row>
    <row r="37453" spans="6:6" x14ac:dyDescent="0.3">
      <c r="F37453" s="193"/>
    </row>
    <row r="37454" spans="6:6" x14ac:dyDescent="0.3">
      <c r="F37454" s="193"/>
    </row>
    <row r="37455" spans="6:6" x14ac:dyDescent="0.3">
      <c r="F37455" s="193"/>
    </row>
    <row r="37456" spans="6:6" x14ac:dyDescent="0.3">
      <c r="F37456" s="193"/>
    </row>
    <row r="37457" spans="6:6" x14ac:dyDescent="0.3">
      <c r="F37457" s="193"/>
    </row>
    <row r="37458" spans="6:6" x14ac:dyDescent="0.3">
      <c r="F37458" s="193"/>
    </row>
    <row r="37459" spans="6:6" x14ac:dyDescent="0.3">
      <c r="F37459" s="193"/>
    </row>
    <row r="37460" spans="6:6" x14ac:dyDescent="0.3">
      <c r="F37460" s="193"/>
    </row>
    <row r="37461" spans="6:6" x14ac:dyDescent="0.3">
      <c r="F37461" s="193"/>
    </row>
    <row r="37462" spans="6:6" x14ac:dyDescent="0.3">
      <c r="F37462" s="193"/>
    </row>
    <row r="37463" spans="6:6" x14ac:dyDescent="0.3">
      <c r="F37463" s="193"/>
    </row>
    <row r="37464" spans="6:6" x14ac:dyDescent="0.3">
      <c r="F37464" s="193"/>
    </row>
    <row r="37465" spans="6:6" x14ac:dyDescent="0.3">
      <c r="F37465" s="193"/>
    </row>
    <row r="37466" spans="6:6" x14ac:dyDescent="0.3">
      <c r="F37466" s="193"/>
    </row>
    <row r="37467" spans="6:6" x14ac:dyDescent="0.3">
      <c r="F37467" s="193"/>
    </row>
    <row r="37468" spans="6:6" x14ac:dyDescent="0.3">
      <c r="F37468" s="193"/>
    </row>
    <row r="37469" spans="6:6" x14ac:dyDescent="0.3">
      <c r="F37469" s="193"/>
    </row>
    <row r="37470" spans="6:6" x14ac:dyDescent="0.3">
      <c r="F37470" s="193"/>
    </row>
    <row r="37471" spans="6:6" x14ac:dyDescent="0.3">
      <c r="F37471" s="193"/>
    </row>
    <row r="37472" spans="6:6" x14ac:dyDescent="0.3">
      <c r="F37472" s="193"/>
    </row>
    <row r="37473" spans="6:6" x14ac:dyDescent="0.3">
      <c r="F37473" s="193"/>
    </row>
    <row r="37474" spans="6:6" x14ac:dyDescent="0.3">
      <c r="F37474" s="193"/>
    </row>
    <row r="37475" spans="6:6" x14ac:dyDescent="0.3">
      <c r="F37475" s="193"/>
    </row>
    <row r="37476" spans="6:6" x14ac:dyDescent="0.3">
      <c r="F37476" s="193"/>
    </row>
    <row r="37477" spans="6:6" x14ac:dyDescent="0.3">
      <c r="F37477" s="193"/>
    </row>
    <row r="37478" spans="6:6" x14ac:dyDescent="0.3">
      <c r="F37478" s="193"/>
    </row>
    <row r="37479" spans="6:6" x14ac:dyDescent="0.3">
      <c r="F37479" s="193"/>
    </row>
    <row r="37480" spans="6:6" x14ac:dyDescent="0.3">
      <c r="F37480" s="193"/>
    </row>
    <row r="37481" spans="6:6" x14ac:dyDescent="0.3">
      <c r="F37481" s="193"/>
    </row>
    <row r="37482" spans="6:6" x14ac:dyDescent="0.3">
      <c r="F37482" s="193"/>
    </row>
    <row r="37483" spans="6:6" x14ac:dyDescent="0.3">
      <c r="F37483" s="193"/>
    </row>
    <row r="37484" spans="6:6" x14ac:dyDescent="0.3">
      <c r="F37484" s="193"/>
    </row>
    <row r="37485" spans="6:6" x14ac:dyDescent="0.3">
      <c r="F37485" s="193"/>
    </row>
    <row r="37486" spans="6:6" x14ac:dyDescent="0.3">
      <c r="F37486" s="193"/>
    </row>
    <row r="37487" spans="6:6" x14ac:dyDescent="0.3">
      <c r="F37487" s="193"/>
    </row>
    <row r="37488" spans="6:6" x14ac:dyDescent="0.3">
      <c r="F37488" s="193"/>
    </row>
    <row r="37489" spans="6:6" x14ac:dyDescent="0.3">
      <c r="F37489" s="193"/>
    </row>
    <row r="37490" spans="6:6" x14ac:dyDescent="0.3">
      <c r="F37490" s="193"/>
    </row>
    <row r="37491" spans="6:6" x14ac:dyDescent="0.3">
      <c r="F37491" s="193"/>
    </row>
    <row r="37492" spans="6:6" x14ac:dyDescent="0.3">
      <c r="F37492" s="193"/>
    </row>
    <row r="37493" spans="6:6" x14ac:dyDescent="0.3">
      <c r="F37493" s="193"/>
    </row>
    <row r="37494" spans="6:6" x14ac:dyDescent="0.3">
      <c r="F37494" s="193"/>
    </row>
    <row r="37495" spans="6:6" x14ac:dyDescent="0.3">
      <c r="F37495" s="193"/>
    </row>
    <row r="37496" spans="6:6" x14ac:dyDescent="0.3">
      <c r="F37496" s="193"/>
    </row>
    <row r="37497" spans="6:6" x14ac:dyDescent="0.3">
      <c r="F37497" s="193"/>
    </row>
    <row r="37498" spans="6:6" x14ac:dyDescent="0.3">
      <c r="F37498" s="193"/>
    </row>
    <row r="37499" spans="6:6" x14ac:dyDescent="0.3">
      <c r="F37499" s="193"/>
    </row>
    <row r="37500" spans="6:6" x14ac:dyDescent="0.3">
      <c r="F37500" s="193"/>
    </row>
    <row r="37501" spans="6:6" x14ac:dyDescent="0.3">
      <c r="F37501" s="193"/>
    </row>
    <row r="37502" spans="6:6" x14ac:dyDescent="0.3">
      <c r="F37502" s="193"/>
    </row>
    <row r="37503" spans="6:6" x14ac:dyDescent="0.3">
      <c r="F37503" s="193"/>
    </row>
    <row r="37504" spans="6:6" x14ac:dyDescent="0.3">
      <c r="F37504" s="193"/>
    </row>
    <row r="37505" spans="6:6" x14ac:dyDescent="0.3">
      <c r="F37505" s="193"/>
    </row>
    <row r="37506" spans="6:6" x14ac:dyDescent="0.3">
      <c r="F37506" s="193"/>
    </row>
    <row r="37507" spans="6:6" x14ac:dyDescent="0.3">
      <c r="F37507" s="193"/>
    </row>
    <row r="37508" spans="6:6" x14ac:dyDescent="0.3">
      <c r="F37508" s="193"/>
    </row>
    <row r="37509" spans="6:6" x14ac:dyDescent="0.3">
      <c r="F37509" s="193"/>
    </row>
    <row r="37510" spans="6:6" x14ac:dyDescent="0.3">
      <c r="F37510" s="193"/>
    </row>
    <row r="37511" spans="6:6" x14ac:dyDescent="0.3">
      <c r="F37511" s="193"/>
    </row>
    <row r="37512" spans="6:6" x14ac:dyDescent="0.3">
      <c r="F37512" s="193"/>
    </row>
    <row r="37513" spans="6:6" x14ac:dyDescent="0.3">
      <c r="F37513" s="193"/>
    </row>
    <row r="37514" spans="6:6" x14ac:dyDescent="0.3">
      <c r="F37514" s="193"/>
    </row>
    <row r="37515" spans="6:6" x14ac:dyDescent="0.3">
      <c r="F37515" s="193"/>
    </row>
    <row r="37516" spans="6:6" x14ac:dyDescent="0.3">
      <c r="F37516" s="193"/>
    </row>
    <row r="37517" spans="6:6" x14ac:dyDescent="0.3">
      <c r="F37517" s="193"/>
    </row>
    <row r="37518" spans="6:6" x14ac:dyDescent="0.3">
      <c r="F37518" s="193"/>
    </row>
    <row r="37519" spans="6:6" x14ac:dyDescent="0.3">
      <c r="F37519" s="193"/>
    </row>
    <row r="37520" spans="6:6" x14ac:dyDescent="0.3">
      <c r="F37520" s="193"/>
    </row>
    <row r="37521" spans="6:6" x14ac:dyDescent="0.3">
      <c r="F37521" s="193"/>
    </row>
    <row r="37522" spans="6:6" x14ac:dyDescent="0.3">
      <c r="F37522" s="193"/>
    </row>
    <row r="37523" spans="6:6" x14ac:dyDescent="0.3">
      <c r="F37523" s="193"/>
    </row>
    <row r="37524" spans="6:6" x14ac:dyDescent="0.3">
      <c r="F37524" s="193"/>
    </row>
    <row r="37525" spans="6:6" x14ac:dyDescent="0.3">
      <c r="F37525" s="193"/>
    </row>
    <row r="37526" spans="6:6" x14ac:dyDescent="0.3">
      <c r="F37526" s="193"/>
    </row>
    <row r="37527" spans="6:6" x14ac:dyDescent="0.3">
      <c r="F37527" s="193"/>
    </row>
    <row r="37528" spans="6:6" x14ac:dyDescent="0.3">
      <c r="F37528" s="193"/>
    </row>
    <row r="37529" spans="6:6" x14ac:dyDescent="0.3">
      <c r="F37529" s="193"/>
    </row>
    <row r="37530" spans="6:6" x14ac:dyDescent="0.3">
      <c r="F37530" s="193"/>
    </row>
    <row r="37531" spans="6:6" x14ac:dyDescent="0.3">
      <c r="F37531" s="193"/>
    </row>
    <row r="37532" spans="6:6" x14ac:dyDescent="0.3">
      <c r="F37532" s="193"/>
    </row>
    <row r="37533" spans="6:6" x14ac:dyDescent="0.3">
      <c r="F37533" s="193"/>
    </row>
    <row r="37534" spans="6:6" x14ac:dyDescent="0.3">
      <c r="F37534" s="193"/>
    </row>
    <row r="37535" spans="6:6" x14ac:dyDescent="0.3">
      <c r="F37535" s="193"/>
    </row>
    <row r="37536" spans="6:6" x14ac:dyDescent="0.3">
      <c r="F37536" s="193"/>
    </row>
    <row r="37537" spans="6:6" x14ac:dyDescent="0.3">
      <c r="F37537" s="193"/>
    </row>
    <row r="37538" spans="6:6" x14ac:dyDescent="0.3">
      <c r="F37538" s="193"/>
    </row>
    <row r="37539" spans="6:6" x14ac:dyDescent="0.3">
      <c r="F37539" s="193"/>
    </row>
    <row r="37540" spans="6:6" x14ac:dyDescent="0.3">
      <c r="F37540" s="193"/>
    </row>
    <row r="37541" spans="6:6" x14ac:dyDescent="0.3">
      <c r="F37541" s="193"/>
    </row>
    <row r="37542" spans="6:6" x14ac:dyDescent="0.3">
      <c r="F37542" s="193"/>
    </row>
    <row r="37543" spans="6:6" x14ac:dyDescent="0.3">
      <c r="F37543" s="193"/>
    </row>
    <row r="37544" spans="6:6" x14ac:dyDescent="0.3">
      <c r="F37544" s="193"/>
    </row>
    <row r="37545" spans="6:6" x14ac:dyDescent="0.3">
      <c r="F37545" s="193"/>
    </row>
    <row r="37546" spans="6:6" x14ac:dyDescent="0.3">
      <c r="F37546" s="193"/>
    </row>
    <row r="37547" spans="6:6" x14ac:dyDescent="0.3">
      <c r="F37547" s="193"/>
    </row>
    <row r="37548" spans="6:6" x14ac:dyDescent="0.3">
      <c r="F37548" s="193"/>
    </row>
    <row r="37549" spans="6:6" x14ac:dyDescent="0.3">
      <c r="F37549" s="193"/>
    </row>
    <row r="37550" spans="6:6" x14ac:dyDescent="0.3">
      <c r="F37550" s="193"/>
    </row>
    <row r="37551" spans="6:6" x14ac:dyDescent="0.3">
      <c r="F37551" s="193"/>
    </row>
    <row r="37552" spans="6:6" x14ac:dyDescent="0.3">
      <c r="F37552" s="193"/>
    </row>
    <row r="37553" spans="6:6" x14ac:dyDescent="0.3">
      <c r="F37553" s="193"/>
    </row>
    <row r="37554" spans="6:6" x14ac:dyDescent="0.3">
      <c r="F37554" s="193"/>
    </row>
    <row r="37555" spans="6:6" x14ac:dyDescent="0.3">
      <c r="F37555" s="193"/>
    </row>
    <row r="37556" spans="6:6" x14ac:dyDescent="0.3">
      <c r="F37556" s="193"/>
    </row>
    <row r="37557" spans="6:6" x14ac:dyDescent="0.3">
      <c r="F37557" s="193"/>
    </row>
    <row r="37558" spans="6:6" x14ac:dyDescent="0.3">
      <c r="F37558" s="193"/>
    </row>
    <row r="37559" spans="6:6" x14ac:dyDescent="0.3">
      <c r="F37559" s="193"/>
    </row>
    <row r="37560" spans="6:6" x14ac:dyDescent="0.3">
      <c r="F37560" s="193"/>
    </row>
    <row r="37561" spans="6:6" x14ac:dyDescent="0.3">
      <c r="F37561" s="193"/>
    </row>
    <row r="37562" spans="6:6" x14ac:dyDescent="0.3">
      <c r="F37562" s="193"/>
    </row>
    <row r="37563" spans="6:6" x14ac:dyDescent="0.3">
      <c r="F37563" s="193"/>
    </row>
    <row r="37564" spans="6:6" x14ac:dyDescent="0.3">
      <c r="F37564" s="193"/>
    </row>
    <row r="37565" spans="6:6" x14ac:dyDescent="0.3">
      <c r="F37565" s="193"/>
    </row>
    <row r="37566" spans="6:6" x14ac:dyDescent="0.3">
      <c r="F37566" s="193"/>
    </row>
    <row r="37567" spans="6:6" x14ac:dyDescent="0.3">
      <c r="F37567" s="193"/>
    </row>
    <row r="37568" spans="6:6" x14ac:dyDescent="0.3">
      <c r="F37568" s="193"/>
    </row>
    <row r="37569" spans="6:6" x14ac:dyDescent="0.3">
      <c r="F37569" s="193"/>
    </row>
    <row r="37570" spans="6:6" x14ac:dyDescent="0.3">
      <c r="F37570" s="193"/>
    </row>
    <row r="37571" spans="6:6" x14ac:dyDescent="0.3">
      <c r="F37571" s="193"/>
    </row>
    <row r="37572" spans="6:6" x14ac:dyDescent="0.3">
      <c r="F37572" s="193"/>
    </row>
    <row r="37573" spans="6:6" x14ac:dyDescent="0.3">
      <c r="F37573" s="193"/>
    </row>
    <row r="37574" spans="6:6" x14ac:dyDescent="0.3">
      <c r="F37574" s="193"/>
    </row>
    <row r="37575" spans="6:6" x14ac:dyDescent="0.3">
      <c r="F37575" s="193"/>
    </row>
    <row r="37576" spans="6:6" x14ac:dyDescent="0.3">
      <c r="F37576" s="193"/>
    </row>
    <row r="37577" spans="6:6" x14ac:dyDescent="0.3">
      <c r="F37577" s="193"/>
    </row>
    <row r="37578" spans="6:6" x14ac:dyDescent="0.3">
      <c r="F37578" s="193"/>
    </row>
    <row r="37579" spans="6:6" x14ac:dyDescent="0.3">
      <c r="F37579" s="193"/>
    </row>
    <row r="37580" spans="6:6" x14ac:dyDescent="0.3">
      <c r="F37580" s="193"/>
    </row>
    <row r="37581" spans="6:6" x14ac:dyDescent="0.3">
      <c r="F37581" s="193"/>
    </row>
    <row r="37582" spans="6:6" x14ac:dyDescent="0.3">
      <c r="F37582" s="193"/>
    </row>
    <row r="37583" spans="6:6" x14ac:dyDescent="0.3">
      <c r="F37583" s="193"/>
    </row>
    <row r="37584" spans="6:6" x14ac:dyDescent="0.3">
      <c r="F37584" s="193"/>
    </row>
    <row r="37585" spans="6:6" x14ac:dyDescent="0.3">
      <c r="F37585" s="193"/>
    </row>
    <row r="37586" spans="6:6" x14ac:dyDescent="0.3">
      <c r="F37586" s="193"/>
    </row>
    <row r="37587" spans="6:6" x14ac:dyDescent="0.3">
      <c r="F37587" s="193"/>
    </row>
    <row r="37588" spans="6:6" x14ac:dyDescent="0.3">
      <c r="F37588" s="193"/>
    </row>
    <row r="37589" spans="6:6" x14ac:dyDescent="0.3">
      <c r="F37589" s="193"/>
    </row>
    <row r="37590" spans="6:6" x14ac:dyDescent="0.3">
      <c r="F37590" s="193"/>
    </row>
    <row r="37591" spans="6:6" x14ac:dyDescent="0.3">
      <c r="F37591" s="193"/>
    </row>
    <row r="37592" spans="6:6" x14ac:dyDescent="0.3">
      <c r="F37592" s="193"/>
    </row>
    <row r="37593" spans="6:6" x14ac:dyDescent="0.3">
      <c r="F37593" s="193"/>
    </row>
    <row r="37594" spans="6:6" x14ac:dyDescent="0.3">
      <c r="F37594" s="193"/>
    </row>
    <row r="37595" spans="6:6" x14ac:dyDescent="0.3">
      <c r="F37595" s="193"/>
    </row>
    <row r="37596" spans="6:6" x14ac:dyDescent="0.3">
      <c r="F37596" s="193"/>
    </row>
    <row r="37597" spans="6:6" x14ac:dyDescent="0.3">
      <c r="F37597" s="193"/>
    </row>
    <row r="37598" spans="6:6" x14ac:dyDescent="0.3">
      <c r="F37598" s="193"/>
    </row>
    <row r="37599" spans="6:6" x14ac:dyDescent="0.3">
      <c r="F37599" s="193"/>
    </row>
    <row r="37600" spans="6:6" x14ac:dyDescent="0.3">
      <c r="F37600" s="193"/>
    </row>
    <row r="37601" spans="6:6" x14ac:dyDescent="0.3">
      <c r="F37601" s="193"/>
    </row>
    <row r="37602" spans="6:6" x14ac:dyDescent="0.3">
      <c r="F37602" s="193"/>
    </row>
    <row r="37603" spans="6:6" x14ac:dyDescent="0.3">
      <c r="F37603" s="193"/>
    </row>
    <row r="37604" spans="6:6" x14ac:dyDescent="0.3">
      <c r="F37604" s="193"/>
    </row>
    <row r="37605" spans="6:6" x14ac:dyDescent="0.3">
      <c r="F37605" s="193"/>
    </row>
    <row r="37606" spans="6:6" x14ac:dyDescent="0.3">
      <c r="F37606" s="193"/>
    </row>
    <row r="37607" spans="6:6" x14ac:dyDescent="0.3">
      <c r="F37607" s="193"/>
    </row>
    <row r="37608" spans="6:6" x14ac:dyDescent="0.3">
      <c r="F37608" s="193"/>
    </row>
    <row r="37609" spans="6:6" x14ac:dyDescent="0.3">
      <c r="F37609" s="193"/>
    </row>
    <row r="37610" spans="6:6" x14ac:dyDescent="0.3">
      <c r="F37610" s="193"/>
    </row>
    <row r="37611" spans="6:6" x14ac:dyDescent="0.3">
      <c r="F37611" s="193"/>
    </row>
    <row r="37612" spans="6:6" x14ac:dyDescent="0.3">
      <c r="F37612" s="193"/>
    </row>
    <row r="37613" spans="6:6" x14ac:dyDescent="0.3">
      <c r="F37613" s="193"/>
    </row>
    <row r="37614" spans="6:6" x14ac:dyDescent="0.3">
      <c r="F37614" s="193"/>
    </row>
    <row r="37615" spans="6:6" x14ac:dyDescent="0.3">
      <c r="F37615" s="193"/>
    </row>
    <row r="37616" spans="6:6" x14ac:dyDescent="0.3">
      <c r="F37616" s="193"/>
    </row>
    <row r="37617" spans="6:6" x14ac:dyDescent="0.3">
      <c r="F37617" s="193"/>
    </row>
    <row r="37618" spans="6:6" x14ac:dyDescent="0.3">
      <c r="F37618" s="193"/>
    </row>
    <row r="37619" spans="6:6" x14ac:dyDescent="0.3">
      <c r="F37619" s="193"/>
    </row>
    <row r="37620" spans="6:6" x14ac:dyDescent="0.3">
      <c r="F37620" s="193"/>
    </row>
    <row r="37621" spans="6:6" x14ac:dyDescent="0.3">
      <c r="F37621" s="193"/>
    </row>
    <row r="37622" spans="6:6" x14ac:dyDescent="0.3">
      <c r="F37622" s="193"/>
    </row>
    <row r="37623" spans="6:6" x14ac:dyDescent="0.3">
      <c r="F37623" s="193"/>
    </row>
    <row r="37624" spans="6:6" x14ac:dyDescent="0.3">
      <c r="F37624" s="193"/>
    </row>
    <row r="37625" spans="6:6" x14ac:dyDescent="0.3">
      <c r="F37625" s="193"/>
    </row>
    <row r="37626" spans="6:6" x14ac:dyDescent="0.3">
      <c r="F37626" s="193"/>
    </row>
    <row r="37627" spans="6:6" x14ac:dyDescent="0.3">
      <c r="F37627" s="193"/>
    </row>
    <row r="37628" spans="6:6" x14ac:dyDescent="0.3">
      <c r="F37628" s="193"/>
    </row>
    <row r="37629" spans="6:6" x14ac:dyDescent="0.3">
      <c r="F37629" s="193"/>
    </row>
    <row r="37630" spans="6:6" x14ac:dyDescent="0.3">
      <c r="F37630" s="193"/>
    </row>
    <row r="37631" spans="6:6" x14ac:dyDescent="0.3">
      <c r="F37631" s="193"/>
    </row>
    <row r="37632" spans="6:6" x14ac:dyDescent="0.3">
      <c r="F37632" s="193"/>
    </row>
    <row r="37633" spans="6:6" x14ac:dyDescent="0.3">
      <c r="F37633" s="193"/>
    </row>
    <row r="37634" spans="6:6" x14ac:dyDescent="0.3">
      <c r="F37634" s="193"/>
    </row>
    <row r="37635" spans="6:6" x14ac:dyDescent="0.3">
      <c r="F37635" s="193"/>
    </row>
    <row r="37636" spans="6:6" x14ac:dyDescent="0.3">
      <c r="F37636" s="193"/>
    </row>
    <row r="37637" spans="6:6" x14ac:dyDescent="0.3">
      <c r="F37637" s="193"/>
    </row>
    <row r="37638" spans="6:6" x14ac:dyDescent="0.3">
      <c r="F37638" s="193"/>
    </row>
    <row r="37639" spans="6:6" x14ac:dyDescent="0.3">
      <c r="F37639" s="193"/>
    </row>
    <row r="37640" spans="6:6" x14ac:dyDescent="0.3">
      <c r="F37640" s="193"/>
    </row>
    <row r="37641" spans="6:6" x14ac:dyDescent="0.3">
      <c r="F37641" s="193"/>
    </row>
    <row r="37642" spans="6:6" x14ac:dyDescent="0.3">
      <c r="F37642" s="193"/>
    </row>
    <row r="37643" spans="6:6" x14ac:dyDescent="0.3">
      <c r="F37643" s="193"/>
    </row>
    <row r="37644" spans="6:6" x14ac:dyDescent="0.3">
      <c r="F37644" s="193"/>
    </row>
    <row r="37645" spans="6:6" x14ac:dyDescent="0.3">
      <c r="F37645" s="193"/>
    </row>
    <row r="37646" spans="6:6" x14ac:dyDescent="0.3">
      <c r="F37646" s="193"/>
    </row>
    <row r="37647" spans="6:6" x14ac:dyDescent="0.3">
      <c r="F37647" s="193"/>
    </row>
    <row r="37648" spans="6:6" x14ac:dyDescent="0.3">
      <c r="F37648" s="193"/>
    </row>
    <row r="37649" spans="6:6" x14ac:dyDescent="0.3">
      <c r="F37649" s="193"/>
    </row>
    <row r="37650" spans="6:6" x14ac:dyDescent="0.3">
      <c r="F37650" s="193"/>
    </row>
    <row r="37651" spans="6:6" x14ac:dyDescent="0.3">
      <c r="F37651" s="193"/>
    </row>
    <row r="37652" spans="6:6" x14ac:dyDescent="0.3">
      <c r="F37652" s="193"/>
    </row>
    <row r="37653" spans="6:6" x14ac:dyDescent="0.3">
      <c r="F37653" s="193"/>
    </row>
    <row r="37654" spans="6:6" x14ac:dyDescent="0.3">
      <c r="F37654" s="193"/>
    </row>
    <row r="37655" spans="6:6" x14ac:dyDescent="0.3">
      <c r="F37655" s="193"/>
    </row>
    <row r="37656" spans="6:6" x14ac:dyDescent="0.3">
      <c r="F37656" s="193"/>
    </row>
    <row r="37657" spans="6:6" x14ac:dyDescent="0.3">
      <c r="F37657" s="193"/>
    </row>
    <row r="37658" spans="6:6" x14ac:dyDescent="0.3">
      <c r="F37658" s="193"/>
    </row>
    <row r="37659" spans="6:6" x14ac:dyDescent="0.3">
      <c r="F37659" s="193"/>
    </row>
    <row r="37660" spans="6:6" x14ac:dyDescent="0.3">
      <c r="F37660" s="193"/>
    </row>
    <row r="37661" spans="6:6" x14ac:dyDescent="0.3">
      <c r="F37661" s="193"/>
    </row>
    <row r="37662" spans="6:6" x14ac:dyDescent="0.3">
      <c r="F37662" s="193"/>
    </row>
    <row r="37663" spans="6:6" x14ac:dyDescent="0.3">
      <c r="F37663" s="193"/>
    </row>
    <row r="37664" spans="6:6" x14ac:dyDescent="0.3">
      <c r="F37664" s="193"/>
    </row>
    <row r="37665" spans="6:6" x14ac:dyDescent="0.3">
      <c r="F37665" s="193"/>
    </row>
    <row r="37666" spans="6:6" x14ac:dyDescent="0.3">
      <c r="F37666" s="193"/>
    </row>
    <row r="37667" spans="6:6" x14ac:dyDescent="0.3">
      <c r="F37667" s="193"/>
    </row>
    <row r="37668" spans="6:6" x14ac:dyDescent="0.3">
      <c r="F37668" s="193"/>
    </row>
    <row r="37669" spans="6:6" x14ac:dyDescent="0.3">
      <c r="F37669" s="193"/>
    </row>
    <row r="37670" spans="6:6" x14ac:dyDescent="0.3">
      <c r="F37670" s="193"/>
    </row>
    <row r="37671" spans="6:6" x14ac:dyDescent="0.3">
      <c r="F37671" s="193"/>
    </row>
    <row r="37672" spans="6:6" x14ac:dyDescent="0.3">
      <c r="F37672" s="193"/>
    </row>
    <row r="37673" spans="6:6" x14ac:dyDescent="0.3">
      <c r="F37673" s="193"/>
    </row>
    <row r="37674" spans="6:6" x14ac:dyDescent="0.3">
      <c r="F37674" s="193"/>
    </row>
    <row r="37675" spans="6:6" x14ac:dyDescent="0.3">
      <c r="F37675" s="193"/>
    </row>
    <row r="37676" spans="6:6" x14ac:dyDescent="0.3">
      <c r="F37676" s="193"/>
    </row>
    <row r="37677" spans="6:6" x14ac:dyDescent="0.3">
      <c r="F37677" s="193"/>
    </row>
    <row r="37678" spans="6:6" x14ac:dyDescent="0.3">
      <c r="F37678" s="193"/>
    </row>
    <row r="37679" spans="6:6" x14ac:dyDescent="0.3">
      <c r="F37679" s="193"/>
    </row>
    <row r="37680" spans="6:6" x14ac:dyDescent="0.3">
      <c r="F37680" s="193"/>
    </row>
    <row r="37681" spans="6:6" x14ac:dyDescent="0.3">
      <c r="F37681" s="193"/>
    </row>
    <row r="37682" spans="6:6" x14ac:dyDescent="0.3">
      <c r="F37682" s="193"/>
    </row>
    <row r="37683" spans="6:6" x14ac:dyDescent="0.3">
      <c r="F37683" s="193"/>
    </row>
    <row r="37684" spans="6:6" x14ac:dyDescent="0.3">
      <c r="F37684" s="193"/>
    </row>
    <row r="37685" spans="6:6" x14ac:dyDescent="0.3">
      <c r="F37685" s="193"/>
    </row>
    <row r="37686" spans="6:6" x14ac:dyDescent="0.3">
      <c r="F37686" s="193"/>
    </row>
    <row r="37687" spans="6:6" x14ac:dyDescent="0.3">
      <c r="F37687" s="193"/>
    </row>
    <row r="37688" spans="6:6" x14ac:dyDescent="0.3">
      <c r="F37688" s="193"/>
    </row>
    <row r="37689" spans="6:6" x14ac:dyDescent="0.3">
      <c r="F37689" s="193"/>
    </row>
    <row r="37690" spans="6:6" x14ac:dyDescent="0.3">
      <c r="F37690" s="193"/>
    </row>
    <row r="37691" spans="6:6" x14ac:dyDescent="0.3">
      <c r="F37691" s="193"/>
    </row>
    <row r="37692" spans="6:6" x14ac:dyDescent="0.3">
      <c r="F37692" s="193"/>
    </row>
    <row r="37693" spans="6:6" x14ac:dyDescent="0.3">
      <c r="F37693" s="193"/>
    </row>
    <row r="37694" spans="6:6" x14ac:dyDescent="0.3">
      <c r="F37694" s="193"/>
    </row>
    <row r="37695" spans="6:6" x14ac:dyDescent="0.3">
      <c r="F37695" s="193"/>
    </row>
    <row r="37696" spans="6:6" x14ac:dyDescent="0.3">
      <c r="F37696" s="193"/>
    </row>
    <row r="37697" spans="6:6" x14ac:dyDescent="0.3">
      <c r="F37697" s="193"/>
    </row>
    <row r="37698" spans="6:6" x14ac:dyDescent="0.3">
      <c r="F37698" s="193"/>
    </row>
    <row r="37699" spans="6:6" x14ac:dyDescent="0.3">
      <c r="F37699" s="193"/>
    </row>
    <row r="37700" spans="6:6" x14ac:dyDescent="0.3">
      <c r="F37700" s="193"/>
    </row>
    <row r="37701" spans="6:6" x14ac:dyDescent="0.3">
      <c r="F37701" s="193"/>
    </row>
    <row r="37702" spans="6:6" x14ac:dyDescent="0.3">
      <c r="F37702" s="193"/>
    </row>
    <row r="37703" spans="6:6" x14ac:dyDescent="0.3">
      <c r="F37703" s="193"/>
    </row>
    <row r="37704" spans="6:6" x14ac:dyDescent="0.3">
      <c r="F37704" s="193"/>
    </row>
    <row r="37705" spans="6:6" x14ac:dyDescent="0.3">
      <c r="F37705" s="193"/>
    </row>
    <row r="37706" spans="6:6" x14ac:dyDescent="0.3">
      <c r="F37706" s="193"/>
    </row>
    <row r="37707" spans="6:6" x14ac:dyDescent="0.3">
      <c r="F37707" s="193"/>
    </row>
    <row r="37708" spans="6:6" x14ac:dyDescent="0.3">
      <c r="F37708" s="193"/>
    </row>
    <row r="37709" spans="6:6" x14ac:dyDescent="0.3">
      <c r="F37709" s="193"/>
    </row>
    <row r="37710" spans="6:6" x14ac:dyDescent="0.3">
      <c r="F37710" s="193"/>
    </row>
    <row r="37711" spans="6:6" x14ac:dyDescent="0.3">
      <c r="F37711" s="193"/>
    </row>
    <row r="37712" spans="6:6" x14ac:dyDescent="0.3">
      <c r="F37712" s="193"/>
    </row>
    <row r="37713" spans="6:6" x14ac:dyDescent="0.3">
      <c r="F37713" s="193"/>
    </row>
    <row r="37714" spans="6:6" x14ac:dyDescent="0.3">
      <c r="F37714" s="193"/>
    </row>
    <row r="37715" spans="6:6" x14ac:dyDescent="0.3">
      <c r="F37715" s="193"/>
    </row>
    <row r="37716" spans="6:6" x14ac:dyDescent="0.3">
      <c r="F37716" s="193"/>
    </row>
    <row r="37717" spans="6:6" x14ac:dyDescent="0.3">
      <c r="F37717" s="193"/>
    </row>
    <row r="37718" spans="6:6" x14ac:dyDescent="0.3">
      <c r="F37718" s="193"/>
    </row>
    <row r="37719" spans="6:6" x14ac:dyDescent="0.3">
      <c r="F37719" s="193"/>
    </row>
    <row r="37720" spans="6:6" x14ac:dyDescent="0.3">
      <c r="F37720" s="193"/>
    </row>
    <row r="37721" spans="6:6" x14ac:dyDescent="0.3">
      <c r="F37721" s="193"/>
    </row>
    <row r="37722" spans="6:6" x14ac:dyDescent="0.3">
      <c r="F37722" s="193"/>
    </row>
    <row r="37723" spans="6:6" x14ac:dyDescent="0.3">
      <c r="F37723" s="193"/>
    </row>
    <row r="37724" spans="6:6" x14ac:dyDescent="0.3">
      <c r="F37724" s="193"/>
    </row>
    <row r="37725" spans="6:6" x14ac:dyDescent="0.3">
      <c r="F37725" s="193"/>
    </row>
    <row r="37726" spans="6:6" x14ac:dyDescent="0.3">
      <c r="F37726" s="193"/>
    </row>
    <row r="37727" spans="6:6" x14ac:dyDescent="0.3">
      <c r="F37727" s="193"/>
    </row>
    <row r="37728" spans="6:6" x14ac:dyDescent="0.3">
      <c r="F37728" s="193"/>
    </row>
    <row r="37729" spans="6:6" x14ac:dyDescent="0.3">
      <c r="F37729" s="193"/>
    </row>
    <row r="37730" spans="6:6" x14ac:dyDescent="0.3">
      <c r="F37730" s="193"/>
    </row>
    <row r="37731" spans="6:6" x14ac:dyDescent="0.3">
      <c r="F37731" s="193"/>
    </row>
    <row r="37732" spans="6:6" x14ac:dyDescent="0.3">
      <c r="F37732" s="193"/>
    </row>
    <row r="37733" spans="6:6" x14ac:dyDescent="0.3">
      <c r="F37733" s="193"/>
    </row>
    <row r="37734" spans="6:6" x14ac:dyDescent="0.3">
      <c r="F37734" s="193"/>
    </row>
    <row r="37735" spans="6:6" x14ac:dyDescent="0.3">
      <c r="F37735" s="193"/>
    </row>
    <row r="37736" spans="6:6" x14ac:dyDescent="0.3">
      <c r="F37736" s="193"/>
    </row>
    <row r="37737" spans="6:6" x14ac:dyDescent="0.3">
      <c r="F37737" s="193"/>
    </row>
    <row r="37738" spans="6:6" x14ac:dyDescent="0.3">
      <c r="F37738" s="193"/>
    </row>
    <row r="37739" spans="6:6" x14ac:dyDescent="0.3">
      <c r="F37739" s="193"/>
    </row>
    <row r="37740" spans="6:6" x14ac:dyDescent="0.3">
      <c r="F37740" s="193"/>
    </row>
    <row r="37741" spans="6:6" x14ac:dyDescent="0.3">
      <c r="F37741" s="193"/>
    </row>
    <row r="37742" spans="6:6" x14ac:dyDescent="0.3">
      <c r="F37742" s="193"/>
    </row>
    <row r="37743" spans="6:6" x14ac:dyDescent="0.3">
      <c r="F37743" s="193"/>
    </row>
    <row r="37744" spans="6:6" x14ac:dyDescent="0.3">
      <c r="F37744" s="193"/>
    </row>
    <row r="37745" spans="6:6" x14ac:dyDescent="0.3">
      <c r="F37745" s="193"/>
    </row>
    <row r="37746" spans="6:6" x14ac:dyDescent="0.3">
      <c r="F37746" s="193"/>
    </row>
    <row r="37747" spans="6:6" x14ac:dyDescent="0.3">
      <c r="F37747" s="193"/>
    </row>
    <row r="37748" spans="6:6" x14ac:dyDescent="0.3">
      <c r="F37748" s="193"/>
    </row>
    <row r="37749" spans="6:6" x14ac:dyDescent="0.3">
      <c r="F37749" s="193"/>
    </row>
    <row r="37750" spans="6:6" x14ac:dyDescent="0.3">
      <c r="F37750" s="193"/>
    </row>
    <row r="37751" spans="6:6" x14ac:dyDescent="0.3">
      <c r="F37751" s="193"/>
    </row>
    <row r="37752" spans="6:6" x14ac:dyDescent="0.3">
      <c r="F37752" s="193"/>
    </row>
    <row r="37753" spans="6:6" x14ac:dyDescent="0.3">
      <c r="F37753" s="193"/>
    </row>
    <row r="37754" spans="6:6" x14ac:dyDescent="0.3">
      <c r="F37754" s="193"/>
    </row>
    <row r="37755" spans="6:6" x14ac:dyDescent="0.3">
      <c r="F37755" s="193"/>
    </row>
    <row r="37756" spans="6:6" x14ac:dyDescent="0.3">
      <c r="F37756" s="193"/>
    </row>
    <row r="37757" spans="6:6" x14ac:dyDescent="0.3">
      <c r="F37757" s="193"/>
    </row>
    <row r="37758" spans="6:6" x14ac:dyDescent="0.3">
      <c r="F37758" s="193"/>
    </row>
    <row r="37759" spans="6:6" x14ac:dyDescent="0.3">
      <c r="F37759" s="193"/>
    </row>
    <row r="37760" spans="6:6" x14ac:dyDescent="0.3">
      <c r="F37760" s="193"/>
    </row>
    <row r="37761" spans="6:6" x14ac:dyDescent="0.3">
      <c r="F37761" s="193"/>
    </row>
    <row r="37762" spans="6:6" x14ac:dyDescent="0.3">
      <c r="F37762" s="193"/>
    </row>
    <row r="37763" spans="6:6" x14ac:dyDescent="0.3">
      <c r="F37763" s="193"/>
    </row>
    <row r="37764" spans="6:6" x14ac:dyDescent="0.3">
      <c r="F37764" s="193"/>
    </row>
    <row r="37765" spans="6:6" x14ac:dyDescent="0.3">
      <c r="F37765" s="193"/>
    </row>
    <row r="37766" spans="6:6" x14ac:dyDescent="0.3">
      <c r="F37766" s="193"/>
    </row>
    <row r="37767" spans="6:6" x14ac:dyDescent="0.3">
      <c r="F37767" s="193"/>
    </row>
    <row r="37768" spans="6:6" x14ac:dyDescent="0.3">
      <c r="F37768" s="193"/>
    </row>
    <row r="37769" spans="6:6" x14ac:dyDescent="0.3">
      <c r="F37769" s="193"/>
    </row>
    <row r="37770" spans="6:6" x14ac:dyDescent="0.3">
      <c r="F37770" s="193"/>
    </row>
    <row r="37771" spans="6:6" x14ac:dyDescent="0.3">
      <c r="F37771" s="193"/>
    </row>
    <row r="37772" spans="6:6" x14ac:dyDescent="0.3">
      <c r="F37772" s="193"/>
    </row>
    <row r="37773" spans="6:6" x14ac:dyDescent="0.3">
      <c r="F37773" s="193"/>
    </row>
    <row r="37774" spans="6:6" x14ac:dyDescent="0.3">
      <c r="F37774" s="193"/>
    </row>
    <row r="37775" spans="6:6" x14ac:dyDescent="0.3">
      <c r="F37775" s="193"/>
    </row>
    <row r="37776" spans="6:6" x14ac:dyDescent="0.3">
      <c r="F37776" s="193"/>
    </row>
    <row r="37777" spans="6:6" x14ac:dyDescent="0.3">
      <c r="F37777" s="193"/>
    </row>
    <row r="37778" spans="6:6" x14ac:dyDescent="0.3">
      <c r="F37778" s="193"/>
    </row>
    <row r="37779" spans="6:6" x14ac:dyDescent="0.3">
      <c r="F37779" s="193"/>
    </row>
    <row r="37780" spans="6:6" x14ac:dyDescent="0.3">
      <c r="F37780" s="193"/>
    </row>
    <row r="37781" spans="6:6" x14ac:dyDescent="0.3">
      <c r="F37781" s="193"/>
    </row>
    <row r="37782" spans="6:6" x14ac:dyDescent="0.3">
      <c r="F37782" s="193"/>
    </row>
    <row r="37783" spans="6:6" x14ac:dyDescent="0.3">
      <c r="F37783" s="193"/>
    </row>
    <row r="37784" spans="6:6" x14ac:dyDescent="0.3">
      <c r="F37784" s="193"/>
    </row>
    <row r="37785" spans="6:6" x14ac:dyDescent="0.3">
      <c r="F37785" s="193"/>
    </row>
    <row r="37786" spans="6:6" x14ac:dyDescent="0.3">
      <c r="F37786" s="193"/>
    </row>
    <row r="37787" spans="6:6" x14ac:dyDescent="0.3">
      <c r="F37787" s="193"/>
    </row>
    <row r="37788" spans="6:6" x14ac:dyDescent="0.3">
      <c r="F37788" s="193"/>
    </row>
    <row r="37789" spans="6:6" x14ac:dyDescent="0.3">
      <c r="F37789" s="193"/>
    </row>
    <row r="37790" spans="6:6" x14ac:dyDescent="0.3">
      <c r="F37790" s="193"/>
    </row>
    <row r="37791" spans="6:6" x14ac:dyDescent="0.3">
      <c r="F37791" s="193"/>
    </row>
    <row r="37792" spans="6:6" x14ac:dyDescent="0.3">
      <c r="F37792" s="193"/>
    </row>
    <row r="37793" spans="6:6" x14ac:dyDescent="0.3">
      <c r="F37793" s="193"/>
    </row>
    <row r="37794" spans="6:6" x14ac:dyDescent="0.3">
      <c r="F37794" s="193"/>
    </row>
    <row r="37795" spans="6:6" x14ac:dyDescent="0.3">
      <c r="F37795" s="193"/>
    </row>
    <row r="37796" spans="6:6" x14ac:dyDescent="0.3">
      <c r="F37796" s="193"/>
    </row>
    <row r="37797" spans="6:6" x14ac:dyDescent="0.3">
      <c r="F37797" s="193"/>
    </row>
    <row r="37798" spans="6:6" x14ac:dyDescent="0.3">
      <c r="F37798" s="193"/>
    </row>
    <row r="37799" spans="6:6" x14ac:dyDescent="0.3">
      <c r="F37799" s="193"/>
    </row>
    <row r="37800" spans="6:6" x14ac:dyDescent="0.3">
      <c r="F37800" s="193"/>
    </row>
    <row r="37801" spans="6:6" x14ac:dyDescent="0.3">
      <c r="F37801" s="193"/>
    </row>
    <row r="37802" spans="6:6" x14ac:dyDescent="0.3">
      <c r="F37802" s="193"/>
    </row>
    <row r="37803" spans="6:6" x14ac:dyDescent="0.3">
      <c r="F37803" s="193"/>
    </row>
    <row r="37804" spans="6:6" x14ac:dyDescent="0.3">
      <c r="F37804" s="193"/>
    </row>
    <row r="37805" spans="6:6" x14ac:dyDescent="0.3">
      <c r="F37805" s="193"/>
    </row>
    <row r="37806" spans="6:6" x14ac:dyDescent="0.3">
      <c r="F37806" s="193"/>
    </row>
    <row r="37807" spans="6:6" x14ac:dyDescent="0.3">
      <c r="F37807" s="193"/>
    </row>
    <row r="37808" spans="6:6" x14ac:dyDescent="0.3">
      <c r="F37808" s="193"/>
    </row>
    <row r="37809" spans="6:6" x14ac:dyDescent="0.3">
      <c r="F37809" s="193"/>
    </row>
    <row r="37810" spans="6:6" x14ac:dyDescent="0.3">
      <c r="F37810" s="193"/>
    </row>
    <row r="37811" spans="6:6" x14ac:dyDescent="0.3">
      <c r="F37811" s="193"/>
    </row>
    <row r="37812" spans="6:6" x14ac:dyDescent="0.3">
      <c r="F37812" s="193"/>
    </row>
    <row r="37813" spans="6:6" x14ac:dyDescent="0.3">
      <c r="F37813" s="193"/>
    </row>
    <row r="37814" spans="6:6" x14ac:dyDescent="0.3">
      <c r="F37814" s="193"/>
    </row>
    <row r="37815" spans="6:6" x14ac:dyDescent="0.3">
      <c r="F37815" s="193"/>
    </row>
    <row r="37816" spans="6:6" x14ac:dyDescent="0.3">
      <c r="F37816" s="193"/>
    </row>
    <row r="37817" spans="6:6" x14ac:dyDescent="0.3">
      <c r="F37817" s="193"/>
    </row>
    <row r="37818" spans="6:6" x14ac:dyDescent="0.3">
      <c r="F37818" s="193"/>
    </row>
    <row r="37819" spans="6:6" x14ac:dyDescent="0.3">
      <c r="F37819" s="193"/>
    </row>
    <row r="37820" spans="6:6" x14ac:dyDescent="0.3">
      <c r="F37820" s="193"/>
    </row>
    <row r="37821" spans="6:6" x14ac:dyDescent="0.3">
      <c r="F37821" s="193"/>
    </row>
    <row r="37822" spans="6:6" x14ac:dyDescent="0.3">
      <c r="F37822" s="193"/>
    </row>
    <row r="37823" spans="6:6" x14ac:dyDescent="0.3">
      <c r="F37823" s="193"/>
    </row>
    <row r="37824" spans="6:6" x14ac:dyDescent="0.3">
      <c r="F37824" s="193"/>
    </row>
    <row r="37825" spans="6:6" x14ac:dyDescent="0.3">
      <c r="F37825" s="193"/>
    </row>
    <row r="37826" spans="6:6" x14ac:dyDescent="0.3">
      <c r="F37826" s="193"/>
    </row>
    <row r="37827" spans="6:6" x14ac:dyDescent="0.3">
      <c r="F37827" s="193"/>
    </row>
    <row r="37828" spans="6:6" x14ac:dyDescent="0.3">
      <c r="F37828" s="193"/>
    </row>
    <row r="37829" spans="6:6" x14ac:dyDescent="0.3">
      <c r="F37829" s="193"/>
    </row>
    <row r="37830" spans="6:6" x14ac:dyDescent="0.3">
      <c r="F37830" s="193"/>
    </row>
    <row r="37831" spans="6:6" x14ac:dyDescent="0.3">
      <c r="F37831" s="193"/>
    </row>
    <row r="37832" spans="6:6" x14ac:dyDescent="0.3">
      <c r="F37832" s="193"/>
    </row>
    <row r="37833" spans="6:6" x14ac:dyDescent="0.3">
      <c r="F37833" s="193"/>
    </row>
    <row r="37834" spans="6:6" x14ac:dyDescent="0.3">
      <c r="F37834" s="193"/>
    </row>
    <row r="37835" spans="6:6" x14ac:dyDescent="0.3">
      <c r="F37835" s="193"/>
    </row>
    <row r="37836" spans="6:6" x14ac:dyDescent="0.3">
      <c r="F37836" s="193"/>
    </row>
    <row r="37837" spans="6:6" x14ac:dyDescent="0.3">
      <c r="F37837" s="193"/>
    </row>
    <row r="37838" spans="6:6" x14ac:dyDescent="0.3">
      <c r="F37838" s="193"/>
    </row>
    <row r="37839" spans="6:6" x14ac:dyDescent="0.3">
      <c r="F37839" s="193"/>
    </row>
    <row r="37840" spans="6:6" x14ac:dyDescent="0.3">
      <c r="F37840" s="193"/>
    </row>
    <row r="37841" spans="6:6" x14ac:dyDescent="0.3">
      <c r="F37841" s="193"/>
    </row>
    <row r="37842" spans="6:6" x14ac:dyDescent="0.3">
      <c r="F37842" s="193"/>
    </row>
    <row r="37843" spans="6:6" x14ac:dyDescent="0.3">
      <c r="F37843" s="193"/>
    </row>
    <row r="37844" spans="6:6" x14ac:dyDescent="0.3">
      <c r="F37844" s="193"/>
    </row>
    <row r="37845" spans="6:6" x14ac:dyDescent="0.3">
      <c r="F37845" s="193"/>
    </row>
    <row r="37846" spans="6:6" x14ac:dyDescent="0.3">
      <c r="F37846" s="193"/>
    </row>
    <row r="37847" spans="6:6" x14ac:dyDescent="0.3">
      <c r="F37847" s="193"/>
    </row>
    <row r="37848" spans="6:6" x14ac:dyDescent="0.3">
      <c r="F37848" s="193"/>
    </row>
    <row r="37849" spans="6:6" x14ac:dyDescent="0.3">
      <c r="F37849" s="193"/>
    </row>
    <row r="37850" spans="6:6" x14ac:dyDescent="0.3">
      <c r="F37850" s="193"/>
    </row>
    <row r="37851" spans="6:6" x14ac:dyDescent="0.3">
      <c r="F37851" s="193"/>
    </row>
    <row r="37852" spans="6:6" x14ac:dyDescent="0.3">
      <c r="F37852" s="193"/>
    </row>
    <row r="37853" spans="6:6" x14ac:dyDescent="0.3">
      <c r="F37853" s="193"/>
    </row>
    <row r="37854" spans="6:6" x14ac:dyDescent="0.3">
      <c r="F37854" s="193"/>
    </row>
    <row r="37855" spans="6:6" x14ac:dyDescent="0.3">
      <c r="F37855" s="193"/>
    </row>
    <row r="37856" spans="6:6" x14ac:dyDescent="0.3">
      <c r="F37856" s="193"/>
    </row>
    <row r="37857" spans="6:6" x14ac:dyDescent="0.3">
      <c r="F37857" s="193"/>
    </row>
    <row r="37858" spans="6:6" x14ac:dyDescent="0.3">
      <c r="F37858" s="193"/>
    </row>
    <row r="37859" spans="6:6" x14ac:dyDescent="0.3">
      <c r="F37859" s="193"/>
    </row>
    <row r="37860" spans="6:6" x14ac:dyDescent="0.3">
      <c r="F37860" s="193"/>
    </row>
    <row r="37861" spans="6:6" x14ac:dyDescent="0.3">
      <c r="F37861" s="193"/>
    </row>
    <row r="37862" spans="6:6" x14ac:dyDescent="0.3">
      <c r="F37862" s="193"/>
    </row>
    <row r="37863" spans="6:6" x14ac:dyDescent="0.3">
      <c r="F37863" s="193"/>
    </row>
    <row r="37864" spans="6:6" x14ac:dyDescent="0.3">
      <c r="F37864" s="193"/>
    </row>
    <row r="37865" spans="6:6" x14ac:dyDescent="0.3">
      <c r="F37865" s="193"/>
    </row>
    <row r="37866" spans="6:6" x14ac:dyDescent="0.3">
      <c r="F37866" s="193"/>
    </row>
    <row r="37867" spans="6:6" x14ac:dyDescent="0.3">
      <c r="F37867" s="193"/>
    </row>
    <row r="37868" spans="6:6" x14ac:dyDescent="0.3">
      <c r="F37868" s="193"/>
    </row>
    <row r="37869" spans="6:6" x14ac:dyDescent="0.3">
      <c r="F37869" s="193"/>
    </row>
    <row r="37870" spans="6:6" x14ac:dyDescent="0.3">
      <c r="F37870" s="193"/>
    </row>
    <row r="37871" spans="6:6" x14ac:dyDescent="0.3">
      <c r="F37871" s="193"/>
    </row>
    <row r="37872" spans="6:6" x14ac:dyDescent="0.3">
      <c r="F37872" s="193"/>
    </row>
    <row r="37873" spans="6:6" x14ac:dyDescent="0.3">
      <c r="F37873" s="193"/>
    </row>
    <row r="37874" spans="6:6" x14ac:dyDescent="0.3">
      <c r="F37874" s="193"/>
    </row>
    <row r="37875" spans="6:6" x14ac:dyDescent="0.3">
      <c r="F37875" s="193"/>
    </row>
    <row r="37876" spans="6:6" x14ac:dyDescent="0.3">
      <c r="F37876" s="193"/>
    </row>
    <row r="37877" spans="6:6" x14ac:dyDescent="0.3">
      <c r="F37877" s="193"/>
    </row>
    <row r="37878" spans="6:6" x14ac:dyDescent="0.3">
      <c r="F37878" s="193"/>
    </row>
    <row r="37879" spans="6:6" x14ac:dyDescent="0.3">
      <c r="F37879" s="193"/>
    </row>
    <row r="37880" spans="6:6" x14ac:dyDescent="0.3">
      <c r="F37880" s="193"/>
    </row>
    <row r="37881" spans="6:6" x14ac:dyDescent="0.3">
      <c r="F37881" s="193"/>
    </row>
    <row r="37882" spans="6:6" x14ac:dyDescent="0.3">
      <c r="F37882" s="193"/>
    </row>
    <row r="37883" spans="6:6" x14ac:dyDescent="0.3">
      <c r="F37883" s="193"/>
    </row>
    <row r="37884" spans="6:6" x14ac:dyDescent="0.3">
      <c r="F37884" s="193"/>
    </row>
    <row r="37885" spans="6:6" x14ac:dyDescent="0.3">
      <c r="F37885" s="193"/>
    </row>
    <row r="37886" spans="6:6" x14ac:dyDescent="0.3">
      <c r="F37886" s="193"/>
    </row>
    <row r="37887" spans="6:6" x14ac:dyDescent="0.3">
      <c r="F37887" s="193"/>
    </row>
    <row r="37888" spans="6:6" x14ac:dyDescent="0.3">
      <c r="F37888" s="193"/>
    </row>
    <row r="37889" spans="6:6" x14ac:dyDescent="0.3">
      <c r="F37889" s="193"/>
    </row>
    <row r="37890" spans="6:6" x14ac:dyDescent="0.3">
      <c r="F37890" s="193"/>
    </row>
    <row r="37891" spans="6:6" x14ac:dyDescent="0.3">
      <c r="F37891" s="193"/>
    </row>
    <row r="37892" spans="6:6" x14ac:dyDescent="0.3">
      <c r="F37892" s="193"/>
    </row>
    <row r="37893" spans="6:6" x14ac:dyDescent="0.3">
      <c r="F37893" s="193"/>
    </row>
    <row r="37894" spans="6:6" x14ac:dyDescent="0.3">
      <c r="F37894" s="193"/>
    </row>
    <row r="37895" spans="6:6" x14ac:dyDescent="0.3">
      <c r="F37895" s="193"/>
    </row>
    <row r="37896" spans="6:6" x14ac:dyDescent="0.3">
      <c r="F37896" s="193"/>
    </row>
    <row r="37897" spans="6:6" x14ac:dyDescent="0.3">
      <c r="F37897" s="193"/>
    </row>
    <row r="37898" spans="6:6" x14ac:dyDescent="0.3">
      <c r="F37898" s="193"/>
    </row>
    <row r="37899" spans="6:6" x14ac:dyDescent="0.3">
      <c r="F37899" s="193"/>
    </row>
    <row r="37900" spans="6:6" x14ac:dyDescent="0.3">
      <c r="F37900" s="193"/>
    </row>
    <row r="37901" spans="6:6" x14ac:dyDescent="0.3">
      <c r="F37901" s="193"/>
    </row>
    <row r="37902" spans="6:6" x14ac:dyDescent="0.3">
      <c r="F37902" s="193"/>
    </row>
    <row r="37903" spans="6:6" x14ac:dyDescent="0.3">
      <c r="F37903" s="193"/>
    </row>
    <row r="37904" spans="6:6" x14ac:dyDescent="0.3">
      <c r="F37904" s="193"/>
    </row>
    <row r="37905" spans="6:6" x14ac:dyDescent="0.3">
      <c r="F37905" s="193"/>
    </row>
    <row r="37906" spans="6:6" x14ac:dyDescent="0.3">
      <c r="F37906" s="193"/>
    </row>
    <row r="37907" spans="6:6" x14ac:dyDescent="0.3">
      <c r="F37907" s="193"/>
    </row>
    <row r="37908" spans="6:6" x14ac:dyDescent="0.3">
      <c r="F37908" s="193"/>
    </row>
    <row r="37909" spans="6:6" x14ac:dyDescent="0.3">
      <c r="F37909" s="193"/>
    </row>
    <row r="37910" spans="6:6" x14ac:dyDescent="0.3">
      <c r="F37910" s="193"/>
    </row>
    <row r="37911" spans="6:6" x14ac:dyDescent="0.3">
      <c r="F37911" s="193"/>
    </row>
    <row r="37912" spans="6:6" x14ac:dyDescent="0.3">
      <c r="F37912" s="193"/>
    </row>
    <row r="37913" spans="6:6" x14ac:dyDescent="0.3">
      <c r="F37913" s="193"/>
    </row>
    <row r="37914" spans="6:6" x14ac:dyDescent="0.3">
      <c r="F37914" s="193"/>
    </row>
    <row r="37915" spans="6:6" x14ac:dyDescent="0.3">
      <c r="F37915" s="193"/>
    </row>
    <row r="37916" spans="6:6" x14ac:dyDescent="0.3">
      <c r="F37916" s="193"/>
    </row>
    <row r="37917" spans="6:6" x14ac:dyDescent="0.3">
      <c r="F37917" s="193"/>
    </row>
    <row r="37918" spans="6:6" x14ac:dyDescent="0.3">
      <c r="F37918" s="193"/>
    </row>
    <row r="37919" spans="6:6" x14ac:dyDescent="0.3">
      <c r="F37919" s="193"/>
    </row>
    <row r="37920" spans="6:6" x14ac:dyDescent="0.3">
      <c r="F37920" s="193"/>
    </row>
    <row r="37921" spans="6:6" x14ac:dyDescent="0.3">
      <c r="F37921" s="193"/>
    </row>
    <row r="37922" spans="6:6" x14ac:dyDescent="0.3">
      <c r="F37922" s="193"/>
    </row>
    <row r="37923" spans="6:6" x14ac:dyDescent="0.3">
      <c r="F37923" s="193"/>
    </row>
    <row r="37924" spans="6:6" x14ac:dyDescent="0.3">
      <c r="F37924" s="193"/>
    </row>
    <row r="37925" spans="6:6" x14ac:dyDescent="0.3">
      <c r="F37925" s="193"/>
    </row>
    <row r="37926" spans="6:6" x14ac:dyDescent="0.3">
      <c r="F37926" s="193"/>
    </row>
    <row r="37927" spans="6:6" x14ac:dyDescent="0.3">
      <c r="F37927" s="193"/>
    </row>
    <row r="37928" spans="6:6" x14ac:dyDescent="0.3">
      <c r="F37928" s="193"/>
    </row>
    <row r="37929" spans="6:6" x14ac:dyDescent="0.3">
      <c r="F37929" s="193"/>
    </row>
    <row r="37930" spans="6:6" x14ac:dyDescent="0.3">
      <c r="F37930" s="193"/>
    </row>
    <row r="37931" spans="6:6" x14ac:dyDescent="0.3">
      <c r="F37931" s="193"/>
    </row>
    <row r="37932" spans="6:6" x14ac:dyDescent="0.3">
      <c r="F37932" s="193"/>
    </row>
    <row r="37933" spans="6:6" x14ac:dyDescent="0.3">
      <c r="F37933" s="193"/>
    </row>
    <row r="37934" spans="6:6" x14ac:dyDescent="0.3">
      <c r="F37934" s="193"/>
    </row>
    <row r="37935" spans="6:6" x14ac:dyDescent="0.3">
      <c r="F37935" s="193"/>
    </row>
    <row r="37936" spans="6:6" x14ac:dyDescent="0.3">
      <c r="F37936" s="193"/>
    </row>
    <row r="37937" spans="6:6" x14ac:dyDescent="0.3">
      <c r="F37937" s="193"/>
    </row>
    <row r="37938" spans="6:6" x14ac:dyDescent="0.3">
      <c r="F37938" s="193"/>
    </row>
    <row r="37939" spans="6:6" x14ac:dyDescent="0.3">
      <c r="F37939" s="193"/>
    </row>
    <row r="37940" spans="6:6" x14ac:dyDescent="0.3">
      <c r="F37940" s="193"/>
    </row>
    <row r="37941" spans="6:6" x14ac:dyDescent="0.3">
      <c r="F37941" s="193"/>
    </row>
    <row r="37942" spans="6:6" x14ac:dyDescent="0.3">
      <c r="F37942" s="193"/>
    </row>
    <row r="37943" spans="6:6" x14ac:dyDescent="0.3">
      <c r="F37943" s="193"/>
    </row>
    <row r="37944" spans="6:6" x14ac:dyDescent="0.3">
      <c r="F37944" s="193"/>
    </row>
    <row r="37945" spans="6:6" x14ac:dyDescent="0.3">
      <c r="F37945" s="193"/>
    </row>
    <row r="37946" spans="6:6" x14ac:dyDescent="0.3">
      <c r="F37946" s="193"/>
    </row>
    <row r="37947" spans="6:6" x14ac:dyDescent="0.3">
      <c r="F37947" s="193"/>
    </row>
    <row r="37948" spans="6:6" x14ac:dyDescent="0.3">
      <c r="F37948" s="193"/>
    </row>
    <row r="37949" spans="6:6" x14ac:dyDescent="0.3">
      <c r="F37949" s="193"/>
    </row>
    <row r="37950" spans="6:6" x14ac:dyDescent="0.3">
      <c r="F37950" s="193"/>
    </row>
    <row r="37951" spans="6:6" x14ac:dyDescent="0.3">
      <c r="F37951" s="193"/>
    </row>
    <row r="37952" spans="6:6" x14ac:dyDescent="0.3">
      <c r="F37952" s="193"/>
    </row>
    <row r="37953" spans="6:6" x14ac:dyDescent="0.3">
      <c r="F37953" s="193"/>
    </row>
    <row r="37954" spans="6:6" x14ac:dyDescent="0.3">
      <c r="F37954" s="193"/>
    </row>
    <row r="37955" spans="6:6" x14ac:dyDescent="0.3">
      <c r="F37955" s="193"/>
    </row>
    <row r="37956" spans="6:6" x14ac:dyDescent="0.3">
      <c r="F37956" s="193"/>
    </row>
    <row r="37957" spans="6:6" x14ac:dyDescent="0.3">
      <c r="F37957" s="193"/>
    </row>
    <row r="37958" spans="6:6" x14ac:dyDescent="0.3">
      <c r="F37958" s="193"/>
    </row>
    <row r="37959" spans="6:6" x14ac:dyDescent="0.3">
      <c r="F37959" s="193"/>
    </row>
    <row r="37960" spans="6:6" x14ac:dyDescent="0.3">
      <c r="F37960" s="193"/>
    </row>
    <row r="37961" spans="6:6" x14ac:dyDescent="0.3">
      <c r="F37961" s="193"/>
    </row>
    <row r="37962" spans="6:6" x14ac:dyDescent="0.3">
      <c r="F37962" s="193"/>
    </row>
    <row r="37963" spans="6:6" x14ac:dyDescent="0.3">
      <c r="F37963" s="193"/>
    </row>
    <row r="37964" spans="6:6" x14ac:dyDescent="0.3">
      <c r="F37964" s="193"/>
    </row>
    <row r="37965" spans="6:6" x14ac:dyDescent="0.3">
      <c r="F37965" s="193"/>
    </row>
    <row r="37966" spans="6:6" x14ac:dyDescent="0.3">
      <c r="F37966" s="193"/>
    </row>
    <row r="37967" spans="6:6" x14ac:dyDescent="0.3">
      <c r="F37967" s="193"/>
    </row>
    <row r="37968" spans="6:6" x14ac:dyDescent="0.3">
      <c r="F37968" s="193"/>
    </row>
    <row r="37969" spans="6:6" x14ac:dyDescent="0.3">
      <c r="F37969" s="193"/>
    </row>
    <row r="37970" spans="6:6" x14ac:dyDescent="0.3">
      <c r="F37970" s="193"/>
    </row>
    <row r="37971" spans="6:6" x14ac:dyDescent="0.3">
      <c r="F37971" s="193"/>
    </row>
    <row r="37972" spans="6:6" x14ac:dyDescent="0.3">
      <c r="F37972" s="193"/>
    </row>
    <row r="37973" spans="6:6" x14ac:dyDescent="0.3">
      <c r="F37973" s="193"/>
    </row>
    <row r="37974" spans="6:6" x14ac:dyDescent="0.3">
      <c r="F37974" s="193"/>
    </row>
    <row r="37975" spans="6:6" x14ac:dyDescent="0.3">
      <c r="F37975" s="193"/>
    </row>
    <row r="37976" spans="6:6" x14ac:dyDescent="0.3">
      <c r="F37976" s="193"/>
    </row>
    <row r="37977" spans="6:6" x14ac:dyDescent="0.3">
      <c r="F37977" s="193"/>
    </row>
    <row r="37978" spans="6:6" x14ac:dyDescent="0.3">
      <c r="F37978" s="193"/>
    </row>
    <row r="37979" spans="6:6" x14ac:dyDescent="0.3">
      <c r="F37979" s="193"/>
    </row>
    <row r="37980" spans="6:6" x14ac:dyDescent="0.3">
      <c r="F37980" s="193"/>
    </row>
    <row r="37981" spans="6:6" x14ac:dyDescent="0.3">
      <c r="F37981" s="193"/>
    </row>
    <row r="37982" spans="6:6" x14ac:dyDescent="0.3">
      <c r="F37982" s="193"/>
    </row>
    <row r="37983" spans="6:6" x14ac:dyDescent="0.3">
      <c r="F37983" s="193"/>
    </row>
    <row r="37984" spans="6:6" x14ac:dyDescent="0.3">
      <c r="F37984" s="193"/>
    </row>
    <row r="37985" spans="6:6" x14ac:dyDescent="0.3">
      <c r="F37985" s="193"/>
    </row>
    <row r="37986" spans="6:6" x14ac:dyDescent="0.3">
      <c r="F37986" s="193"/>
    </row>
    <row r="37987" spans="6:6" x14ac:dyDescent="0.3">
      <c r="F37987" s="193"/>
    </row>
    <row r="37988" spans="6:6" x14ac:dyDescent="0.3">
      <c r="F37988" s="193"/>
    </row>
    <row r="37989" spans="6:6" x14ac:dyDescent="0.3">
      <c r="F37989" s="193"/>
    </row>
    <row r="37990" spans="6:6" x14ac:dyDescent="0.3">
      <c r="F37990" s="193"/>
    </row>
    <row r="37991" spans="6:6" x14ac:dyDescent="0.3">
      <c r="F37991" s="193"/>
    </row>
    <row r="37992" spans="6:6" x14ac:dyDescent="0.3">
      <c r="F37992" s="193"/>
    </row>
    <row r="37993" spans="6:6" x14ac:dyDescent="0.3">
      <c r="F37993" s="193"/>
    </row>
    <row r="37994" spans="6:6" x14ac:dyDescent="0.3">
      <c r="F37994" s="193"/>
    </row>
    <row r="37995" spans="6:6" x14ac:dyDescent="0.3">
      <c r="F37995" s="193"/>
    </row>
    <row r="37996" spans="6:6" x14ac:dyDescent="0.3">
      <c r="F37996" s="193"/>
    </row>
    <row r="37997" spans="6:6" x14ac:dyDescent="0.3">
      <c r="F37997" s="193"/>
    </row>
    <row r="37998" spans="6:6" x14ac:dyDescent="0.3">
      <c r="F37998" s="193"/>
    </row>
    <row r="37999" spans="6:6" x14ac:dyDescent="0.3">
      <c r="F37999" s="193"/>
    </row>
    <row r="38000" spans="6:6" x14ac:dyDescent="0.3">
      <c r="F38000" s="193"/>
    </row>
    <row r="38001" spans="6:6" x14ac:dyDescent="0.3">
      <c r="F38001" s="193"/>
    </row>
    <row r="38002" spans="6:6" x14ac:dyDescent="0.3">
      <c r="F38002" s="193"/>
    </row>
    <row r="38003" spans="6:6" x14ac:dyDescent="0.3">
      <c r="F38003" s="193"/>
    </row>
    <row r="38004" spans="6:6" x14ac:dyDescent="0.3">
      <c r="F38004" s="193"/>
    </row>
    <row r="38005" spans="6:6" x14ac:dyDescent="0.3">
      <c r="F38005" s="193"/>
    </row>
    <row r="38006" spans="6:6" x14ac:dyDescent="0.3">
      <c r="F38006" s="193"/>
    </row>
    <row r="38007" spans="6:6" x14ac:dyDescent="0.3">
      <c r="F38007" s="193"/>
    </row>
    <row r="38008" spans="6:6" x14ac:dyDescent="0.3">
      <c r="F38008" s="193"/>
    </row>
    <row r="38009" spans="6:6" x14ac:dyDescent="0.3">
      <c r="F38009" s="193"/>
    </row>
    <row r="38010" spans="6:6" x14ac:dyDescent="0.3">
      <c r="F38010" s="193"/>
    </row>
    <row r="38011" spans="6:6" x14ac:dyDescent="0.3">
      <c r="F38011" s="193"/>
    </row>
    <row r="38012" spans="6:6" x14ac:dyDescent="0.3">
      <c r="F38012" s="193"/>
    </row>
    <row r="38013" spans="6:6" x14ac:dyDescent="0.3">
      <c r="F38013" s="193"/>
    </row>
    <row r="38014" spans="6:6" x14ac:dyDescent="0.3">
      <c r="F38014" s="193"/>
    </row>
    <row r="38015" spans="6:6" x14ac:dyDescent="0.3">
      <c r="F38015" s="193"/>
    </row>
    <row r="38016" spans="6:6" x14ac:dyDescent="0.3">
      <c r="F38016" s="193"/>
    </row>
    <row r="38017" spans="6:6" x14ac:dyDescent="0.3">
      <c r="F38017" s="193"/>
    </row>
    <row r="38018" spans="6:6" x14ac:dyDescent="0.3">
      <c r="F38018" s="193"/>
    </row>
    <row r="38019" spans="6:6" x14ac:dyDescent="0.3">
      <c r="F38019" s="193"/>
    </row>
    <row r="38020" spans="6:6" x14ac:dyDescent="0.3">
      <c r="F38020" s="193"/>
    </row>
    <row r="38021" spans="6:6" x14ac:dyDescent="0.3">
      <c r="F38021" s="193"/>
    </row>
    <row r="38022" spans="6:6" x14ac:dyDescent="0.3">
      <c r="F38022" s="193"/>
    </row>
    <row r="38023" spans="6:6" x14ac:dyDescent="0.3">
      <c r="F38023" s="193"/>
    </row>
    <row r="38024" spans="6:6" x14ac:dyDescent="0.3">
      <c r="F38024" s="193"/>
    </row>
    <row r="38025" spans="6:6" x14ac:dyDescent="0.3">
      <c r="F38025" s="193"/>
    </row>
    <row r="38026" spans="6:6" x14ac:dyDescent="0.3">
      <c r="F38026" s="193"/>
    </row>
    <row r="38027" spans="6:6" x14ac:dyDescent="0.3">
      <c r="F38027" s="193"/>
    </row>
    <row r="38028" spans="6:6" x14ac:dyDescent="0.3">
      <c r="F38028" s="193"/>
    </row>
    <row r="38029" spans="6:6" x14ac:dyDescent="0.3">
      <c r="F38029" s="193"/>
    </row>
    <row r="38030" spans="6:6" x14ac:dyDescent="0.3">
      <c r="F38030" s="193"/>
    </row>
    <row r="38031" spans="6:6" x14ac:dyDescent="0.3">
      <c r="F38031" s="193"/>
    </row>
    <row r="38032" spans="6:6" x14ac:dyDescent="0.3">
      <c r="F38032" s="193"/>
    </row>
    <row r="38033" spans="6:6" x14ac:dyDescent="0.3">
      <c r="F38033" s="193"/>
    </row>
    <row r="38034" spans="6:6" x14ac:dyDescent="0.3">
      <c r="F38034" s="193"/>
    </row>
    <row r="38035" spans="6:6" x14ac:dyDescent="0.3">
      <c r="F38035" s="193"/>
    </row>
    <row r="38036" spans="6:6" x14ac:dyDescent="0.3">
      <c r="F38036" s="193"/>
    </row>
    <row r="38037" spans="6:6" x14ac:dyDescent="0.3">
      <c r="F38037" s="193"/>
    </row>
    <row r="38038" spans="6:6" x14ac:dyDescent="0.3">
      <c r="F38038" s="193"/>
    </row>
    <row r="38039" spans="6:6" x14ac:dyDescent="0.3">
      <c r="F38039" s="193"/>
    </row>
    <row r="38040" spans="6:6" x14ac:dyDescent="0.3">
      <c r="F38040" s="193"/>
    </row>
    <row r="38041" spans="6:6" x14ac:dyDescent="0.3">
      <c r="F38041" s="193"/>
    </row>
    <row r="38042" spans="6:6" x14ac:dyDescent="0.3">
      <c r="F38042" s="193"/>
    </row>
    <row r="38043" spans="6:6" x14ac:dyDescent="0.3">
      <c r="F38043" s="193"/>
    </row>
    <row r="38044" spans="6:6" x14ac:dyDescent="0.3">
      <c r="F38044" s="193"/>
    </row>
    <row r="38045" spans="6:6" x14ac:dyDescent="0.3">
      <c r="F38045" s="193"/>
    </row>
    <row r="38046" spans="6:6" x14ac:dyDescent="0.3">
      <c r="F38046" s="193"/>
    </row>
    <row r="38047" spans="6:6" x14ac:dyDescent="0.3">
      <c r="F38047" s="193"/>
    </row>
    <row r="38048" spans="6:6" x14ac:dyDescent="0.3">
      <c r="F38048" s="193"/>
    </row>
    <row r="38049" spans="6:6" x14ac:dyDescent="0.3">
      <c r="F38049" s="193"/>
    </row>
    <row r="38050" spans="6:6" x14ac:dyDescent="0.3">
      <c r="F38050" s="193"/>
    </row>
    <row r="38051" spans="6:6" x14ac:dyDescent="0.3">
      <c r="F38051" s="193"/>
    </row>
    <row r="38052" spans="6:6" x14ac:dyDescent="0.3">
      <c r="F38052" s="193"/>
    </row>
    <row r="38053" spans="6:6" x14ac:dyDescent="0.3">
      <c r="F38053" s="193"/>
    </row>
    <row r="38054" spans="6:6" x14ac:dyDescent="0.3">
      <c r="F38054" s="193"/>
    </row>
    <row r="38055" spans="6:6" x14ac:dyDescent="0.3">
      <c r="F38055" s="193"/>
    </row>
    <row r="38056" spans="6:6" x14ac:dyDescent="0.3">
      <c r="F38056" s="193"/>
    </row>
    <row r="38057" spans="6:6" x14ac:dyDescent="0.3">
      <c r="F38057" s="193"/>
    </row>
    <row r="38058" spans="6:6" x14ac:dyDescent="0.3">
      <c r="F38058" s="193"/>
    </row>
    <row r="38059" spans="6:6" x14ac:dyDescent="0.3">
      <c r="F38059" s="193"/>
    </row>
    <row r="38060" spans="6:6" x14ac:dyDescent="0.3">
      <c r="F38060" s="193"/>
    </row>
    <row r="38061" spans="6:6" x14ac:dyDescent="0.3">
      <c r="F38061" s="193"/>
    </row>
    <row r="38062" spans="6:6" x14ac:dyDescent="0.3">
      <c r="F38062" s="193"/>
    </row>
    <row r="38063" spans="6:6" x14ac:dyDescent="0.3">
      <c r="F38063" s="193"/>
    </row>
    <row r="38064" spans="6:6" x14ac:dyDescent="0.3">
      <c r="F38064" s="193"/>
    </row>
    <row r="38065" spans="6:6" x14ac:dyDescent="0.3">
      <c r="F38065" s="193"/>
    </row>
    <row r="38066" spans="6:6" x14ac:dyDescent="0.3">
      <c r="F38066" s="193"/>
    </row>
    <row r="38067" spans="6:6" x14ac:dyDescent="0.3">
      <c r="F38067" s="193"/>
    </row>
    <row r="38068" spans="6:6" x14ac:dyDescent="0.3">
      <c r="F38068" s="193"/>
    </row>
    <row r="38069" spans="6:6" x14ac:dyDescent="0.3">
      <c r="F38069" s="193"/>
    </row>
    <row r="38070" spans="6:6" x14ac:dyDescent="0.3">
      <c r="F38070" s="193"/>
    </row>
    <row r="38071" spans="6:6" x14ac:dyDescent="0.3">
      <c r="F38071" s="193"/>
    </row>
    <row r="38072" spans="6:6" x14ac:dyDescent="0.3">
      <c r="F38072" s="193"/>
    </row>
    <row r="38073" spans="6:6" x14ac:dyDescent="0.3">
      <c r="F38073" s="193"/>
    </row>
    <row r="38074" spans="6:6" x14ac:dyDescent="0.3">
      <c r="F38074" s="193"/>
    </row>
    <row r="38075" spans="6:6" x14ac:dyDescent="0.3">
      <c r="F38075" s="193"/>
    </row>
    <row r="38076" spans="6:6" x14ac:dyDescent="0.3">
      <c r="F38076" s="193"/>
    </row>
    <row r="38077" spans="6:6" x14ac:dyDescent="0.3">
      <c r="F38077" s="193"/>
    </row>
    <row r="38078" spans="6:6" x14ac:dyDescent="0.3">
      <c r="F38078" s="193"/>
    </row>
    <row r="38079" spans="6:6" x14ac:dyDescent="0.3">
      <c r="F38079" s="193"/>
    </row>
    <row r="38080" spans="6:6" x14ac:dyDescent="0.3">
      <c r="F38080" s="193"/>
    </row>
    <row r="38081" spans="6:6" x14ac:dyDescent="0.3">
      <c r="F38081" s="193"/>
    </row>
    <row r="38082" spans="6:6" x14ac:dyDescent="0.3">
      <c r="F38082" s="193"/>
    </row>
    <row r="38083" spans="6:6" x14ac:dyDescent="0.3">
      <c r="F38083" s="193"/>
    </row>
    <row r="38084" spans="6:6" x14ac:dyDescent="0.3">
      <c r="F38084" s="193"/>
    </row>
    <row r="38085" spans="6:6" x14ac:dyDescent="0.3">
      <c r="F38085" s="193"/>
    </row>
    <row r="38086" spans="6:6" x14ac:dyDescent="0.3">
      <c r="F38086" s="193"/>
    </row>
    <row r="38087" spans="6:6" x14ac:dyDescent="0.3">
      <c r="F38087" s="193"/>
    </row>
    <row r="38088" spans="6:6" x14ac:dyDescent="0.3">
      <c r="F38088" s="193"/>
    </row>
    <row r="38089" spans="6:6" x14ac:dyDescent="0.3">
      <c r="F38089" s="193"/>
    </row>
    <row r="38090" spans="6:6" x14ac:dyDescent="0.3">
      <c r="F38090" s="193"/>
    </row>
    <row r="38091" spans="6:6" x14ac:dyDescent="0.3">
      <c r="F38091" s="193"/>
    </row>
    <row r="38092" spans="6:6" x14ac:dyDescent="0.3">
      <c r="F38092" s="193"/>
    </row>
    <row r="38093" spans="6:6" x14ac:dyDescent="0.3">
      <c r="F38093" s="193"/>
    </row>
    <row r="38094" spans="6:6" x14ac:dyDescent="0.3">
      <c r="F38094" s="193"/>
    </row>
    <row r="38095" spans="6:6" x14ac:dyDescent="0.3">
      <c r="F38095" s="193"/>
    </row>
    <row r="38096" spans="6:6" x14ac:dyDescent="0.3">
      <c r="F38096" s="193"/>
    </row>
    <row r="38097" spans="6:6" x14ac:dyDescent="0.3">
      <c r="F38097" s="193"/>
    </row>
    <row r="38098" spans="6:6" x14ac:dyDescent="0.3">
      <c r="F38098" s="193"/>
    </row>
    <row r="38099" spans="6:6" x14ac:dyDescent="0.3">
      <c r="F38099" s="193"/>
    </row>
    <row r="38100" spans="6:6" x14ac:dyDescent="0.3">
      <c r="F38100" s="193"/>
    </row>
    <row r="38101" spans="6:6" x14ac:dyDescent="0.3">
      <c r="F38101" s="193"/>
    </row>
    <row r="38102" spans="6:6" x14ac:dyDescent="0.3">
      <c r="F38102" s="193"/>
    </row>
    <row r="38103" spans="6:6" x14ac:dyDescent="0.3">
      <c r="F38103" s="193"/>
    </row>
    <row r="38104" spans="6:6" x14ac:dyDescent="0.3">
      <c r="F38104" s="193"/>
    </row>
    <row r="38105" spans="6:6" x14ac:dyDescent="0.3">
      <c r="F38105" s="193"/>
    </row>
    <row r="38106" spans="6:6" x14ac:dyDescent="0.3">
      <c r="F38106" s="193"/>
    </row>
    <row r="38107" spans="6:6" x14ac:dyDescent="0.3">
      <c r="F38107" s="193"/>
    </row>
    <row r="38108" spans="6:6" x14ac:dyDescent="0.3">
      <c r="F38108" s="193"/>
    </row>
    <row r="38109" spans="6:6" x14ac:dyDescent="0.3">
      <c r="F38109" s="193"/>
    </row>
    <row r="38110" spans="6:6" x14ac:dyDescent="0.3">
      <c r="F38110" s="193"/>
    </row>
    <row r="38111" spans="6:6" x14ac:dyDescent="0.3">
      <c r="F38111" s="193"/>
    </row>
    <row r="38112" spans="6:6" x14ac:dyDescent="0.3">
      <c r="F38112" s="193"/>
    </row>
    <row r="38113" spans="6:6" x14ac:dyDescent="0.3">
      <c r="F38113" s="193"/>
    </row>
    <row r="38114" spans="6:6" x14ac:dyDescent="0.3">
      <c r="F38114" s="193"/>
    </row>
    <row r="38115" spans="6:6" x14ac:dyDescent="0.3">
      <c r="F38115" s="193"/>
    </row>
    <row r="38116" spans="6:6" x14ac:dyDescent="0.3">
      <c r="F38116" s="193"/>
    </row>
    <row r="38117" spans="6:6" x14ac:dyDescent="0.3">
      <c r="F38117" s="193"/>
    </row>
    <row r="38118" spans="6:6" x14ac:dyDescent="0.3">
      <c r="F38118" s="193"/>
    </row>
    <row r="38119" spans="6:6" x14ac:dyDescent="0.3">
      <c r="F38119" s="193"/>
    </row>
    <row r="38120" spans="6:6" x14ac:dyDescent="0.3">
      <c r="F38120" s="193"/>
    </row>
    <row r="38121" spans="6:6" x14ac:dyDescent="0.3">
      <c r="F38121" s="193"/>
    </row>
    <row r="38122" spans="6:6" x14ac:dyDescent="0.3">
      <c r="F38122" s="193"/>
    </row>
    <row r="38123" spans="6:6" x14ac:dyDescent="0.3">
      <c r="F38123" s="193"/>
    </row>
    <row r="38124" spans="6:6" x14ac:dyDescent="0.3">
      <c r="F38124" s="193"/>
    </row>
    <row r="38125" spans="6:6" x14ac:dyDescent="0.3">
      <c r="F38125" s="193"/>
    </row>
    <row r="38126" spans="6:6" x14ac:dyDescent="0.3">
      <c r="F38126" s="193"/>
    </row>
    <row r="38127" spans="6:6" x14ac:dyDescent="0.3">
      <c r="F38127" s="193"/>
    </row>
    <row r="38128" spans="6:6" x14ac:dyDescent="0.3">
      <c r="F38128" s="193"/>
    </row>
    <row r="38129" spans="6:6" x14ac:dyDescent="0.3">
      <c r="F38129" s="193"/>
    </row>
    <row r="38130" spans="6:6" x14ac:dyDescent="0.3">
      <c r="F38130" s="193"/>
    </row>
    <row r="38131" spans="6:6" x14ac:dyDescent="0.3">
      <c r="F38131" s="193"/>
    </row>
    <row r="38132" spans="6:6" x14ac:dyDescent="0.3">
      <c r="F38132" s="193"/>
    </row>
    <row r="38133" spans="6:6" x14ac:dyDescent="0.3">
      <c r="F38133" s="193"/>
    </row>
    <row r="38134" spans="6:6" x14ac:dyDescent="0.3">
      <c r="F38134" s="193"/>
    </row>
    <row r="38135" spans="6:6" x14ac:dyDescent="0.3">
      <c r="F38135" s="193"/>
    </row>
    <row r="38136" spans="6:6" x14ac:dyDescent="0.3">
      <c r="F38136" s="193"/>
    </row>
    <row r="38137" spans="6:6" x14ac:dyDescent="0.3">
      <c r="F38137" s="193"/>
    </row>
    <row r="38138" spans="6:6" x14ac:dyDescent="0.3">
      <c r="F38138" s="193"/>
    </row>
    <row r="38139" spans="6:6" x14ac:dyDescent="0.3">
      <c r="F38139" s="193"/>
    </row>
    <row r="38140" spans="6:6" x14ac:dyDescent="0.3">
      <c r="F38140" s="193"/>
    </row>
    <row r="38141" spans="6:6" x14ac:dyDescent="0.3">
      <c r="F38141" s="193"/>
    </row>
    <row r="38142" spans="6:6" x14ac:dyDescent="0.3">
      <c r="F38142" s="193"/>
    </row>
    <row r="38143" spans="6:6" x14ac:dyDescent="0.3">
      <c r="F38143" s="193"/>
    </row>
    <row r="38144" spans="6:6" x14ac:dyDescent="0.3">
      <c r="F38144" s="193"/>
    </row>
    <row r="38145" spans="6:6" x14ac:dyDescent="0.3">
      <c r="F38145" s="193"/>
    </row>
    <row r="38146" spans="6:6" x14ac:dyDescent="0.3">
      <c r="F38146" s="193"/>
    </row>
    <row r="38147" spans="6:6" x14ac:dyDescent="0.3">
      <c r="F38147" s="193"/>
    </row>
    <row r="38148" spans="6:6" x14ac:dyDescent="0.3">
      <c r="F38148" s="193"/>
    </row>
    <row r="38149" spans="6:6" x14ac:dyDescent="0.3">
      <c r="F38149" s="193"/>
    </row>
    <row r="38150" spans="6:6" x14ac:dyDescent="0.3">
      <c r="F38150" s="193"/>
    </row>
    <row r="38151" spans="6:6" x14ac:dyDescent="0.3">
      <c r="F38151" s="193"/>
    </row>
    <row r="38152" spans="6:6" x14ac:dyDescent="0.3">
      <c r="F38152" s="193"/>
    </row>
    <row r="38153" spans="6:6" x14ac:dyDescent="0.3">
      <c r="F38153" s="193"/>
    </row>
    <row r="38154" spans="6:6" x14ac:dyDescent="0.3">
      <c r="F38154" s="193"/>
    </row>
    <row r="38155" spans="6:6" x14ac:dyDescent="0.3">
      <c r="F38155" s="193"/>
    </row>
    <row r="38156" spans="6:6" x14ac:dyDescent="0.3">
      <c r="F38156" s="193"/>
    </row>
    <row r="38157" spans="6:6" x14ac:dyDescent="0.3">
      <c r="F38157" s="193"/>
    </row>
    <row r="38158" spans="6:6" x14ac:dyDescent="0.3">
      <c r="F38158" s="193"/>
    </row>
    <row r="38159" spans="6:6" x14ac:dyDescent="0.3">
      <c r="F38159" s="193"/>
    </row>
    <row r="38160" spans="6:6" x14ac:dyDescent="0.3">
      <c r="F38160" s="193"/>
    </row>
    <row r="38161" spans="6:6" x14ac:dyDescent="0.3">
      <c r="F38161" s="193"/>
    </row>
    <row r="38162" spans="6:6" x14ac:dyDescent="0.3">
      <c r="F38162" s="193"/>
    </row>
    <row r="38163" spans="6:6" x14ac:dyDescent="0.3">
      <c r="F38163" s="193"/>
    </row>
    <row r="38164" spans="6:6" x14ac:dyDescent="0.3">
      <c r="F38164" s="193"/>
    </row>
    <row r="38165" spans="6:6" x14ac:dyDescent="0.3">
      <c r="F38165" s="193"/>
    </row>
    <row r="38166" spans="6:6" x14ac:dyDescent="0.3">
      <c r="F38166" s="193"/>
    </row>
    <row r="38167" spans="6:6" x14ac:dyDescent="0.3">
      <c r="F38167" s="193"/>
    </row>
    <row r="38168" spans="6:6" x14ac:dyDescent="0.3">
      <c r="F38168" s="193"/>
    </row>
    <row r="38169" spans="6:6" x14ac:dyDescent="0.3">
      <c r="F38169" s="193"/>
    </row>
    <row r="38170" spans="6:6" x14ac:dyDescent="0.3">
      <c r="F38170" s="193"/>
    </row>
    <row r="38171" spans="6:6" x14ac:dyDescent="0.3">
      <c r="F38171" s="193"/>
    </row>
    <row r="38172" spans="6:6" x14ac:dyDescent="0.3">
      <c r="F38172" s="193"/>
    </row>
    <row r="38173" spans="6:6" x14ac:dyDescent="0.3">
      <c r="F38173" s="193"/>
    </row>
    <row r="38174" spans="6:6" x14ac:dyDescent="0.3">
      <c r="F38174" s="193"/>
    </row>
    <row r="38175" spans="6:6" x14ac:dyDescent="0.3">
      <c r="F38175" s="193"/>
    </row>
    <row r="38176" spans="6:6" x14ac:dyDescent="0.3">
      <c r="F38176" s="193"/>
    </row>
    <row r="38177" spans="6:6" x14ac:dyDescent="0.3">
      <c r="F38177" s="193"/>
    </row>
    <row r="38178" spans="6:6" x14ac:dyDescent="0.3">
      <c r="F38178" s="193"/>
    </row>
    <row r="38179" spans="6:6" x14ac:dyDescent="0.3">
      <c r="F38179" s="193"/>
    </row>
    <row r="38180" spans="6:6" x14ac:dyDescent="0.3">
      <c r="F38180" s="193"/>
    </row>
    <row r="38181" spans="6:6" x14ac:dyDescent="0.3">
      <c r="F38181" s="193"/>
    </row>
    <row r="38182" spans="6:6" x14ac:dyDescent="0.3">
      <c r="F38182" s="193"/>
    </row>
    <row r="38183" spans="6:6" x14ac:dyDescent="0.3">
      <c r="F38183" s="193"/>
    </row>
    <row r="38184" spans="6:6" x14ac:dyDescent="0.3">
      <c r="F38184" s="193"/>
    </row>
    <row r="38185" spans="6:6" x14ac:dyDescent="0.3">
      <c r="F38185" s="193"/>
    </row>
    <row r="38186" spans="6:6" x14ac:dyDescent="0.3">
      <c r="F38186" s="193"/>
    </row>
    <row r="38187" spans="6:6" x14ac:dyDescent="0.3">
      <c r="F38187" s="193"/>
    </row>
    <row r="38188" spans="6:6" x14ac:dyDescent="0.3">
      <c r="F38188" s="193"/>
    </row>
    <row r="38189" spans="6:6" x14ac:dyDescent="0.3">
      <c r="F38189" s="193"/>
    </row>
    <row r="38190" spans="6:6" x14ac:dyDescent="0.3">
      <c r="F38190" s="193"/>
    </row>
    <row r="38191" spans="6:6" x14ac:dyDescent="0.3">
      <c r="F38191" s="193"/>
    </row>
    <row r="38192" spans="6:6" x14ac:dyDescent="0.3">
      <c r="F38192" s="193"/>
    </row>
    <row r="38193" spans="6:6" x14ac:dyDescent="0.3">
      <c r="F38193" s="193"/>
    </row>
    <row r="38194" spans="6:6" x14ac:dyDescent="0.3">
      <c r="F38194" s="193"/>
    </row>
    <row r="38195" spans="6:6" x14ac:dyDescent="0.3">
      <c r="F38195" s="193"/>
    </row>
    <row r="38196" spans="6:6" x14ac:dyDescent="0.3">
      <c r="F38196" s="193"/>
    </row>
    <row r="38197" spans="6:6" x14ac:dyDescent="0.3">
      <c r="F38197" s="193"/>
    </row>
    <row r="38198" spans="6:6" x14ac:dyDescent="0.3">
      <c r="F38198" s="193"/>
    </row>
    <row r="38199" spans="6:6" x14ac:dyDescent="0.3">
      <c r="F38199" s="193"/>
    </row>
    <row r="38200" spans="6:6" x14ac:dyDescent="0.3">
      <c r="F38200" s="193"/>
    </row>
    <row r="38201" spans="6:6" x14ac:dyDescent="0.3">
      <c r="F38201" s="193"/>
    </row>
    <row r="38202" spans="6:6" x14ac:dyDescent="0.3">
      <c r="F38202" s="193"/>
    </row>
    <row r="38203" spans="6:6" x14ac:dyDescent="0.3">
      <c r="F38203" s="193"/>
    </row>
    <row r="38204" spans="6:6" x14ac:dyDescent="0.3">
      <c r="F38204" s="193"/>
    </row>
    <row r="38205" spans="6:6" x14ac:dyDescent="0.3">
      <c r="F38205" s="193"/>
    </row>
    <row r="38206" spans="6:6" x14ac:dyDescent="0.3">
      <c r="F38206" s="193"/>
    </row>
    <row r="38207" spans="6:6" x14ac:dyDescent="0.3">
      <c r="F38207" s="193"/>
    </row>
    <row r="38208" spans="6:6" x14ac:dyDescent="0.3">
      <c r="F38208" s="193"/>
    </row>
    <row r="38209" spans="6:6" x14ac:dyDescent="0.3">
      <c r="F38209" s="193"/>
    </row>
    <row r="38210" spans="6:6" x14ac:dyDescent="0.3">
      <c r="F38210" s="193"/>
    </row>
    <row r="38211" spans="6:6" x14ac:dyDescent="0.3">
      <c r="F38211" s="193"/>
    </row>
    <row r="38212" spans="6:6" x14ac:dyDescent="0.3">
      <c r="F38212" s="193"/>
    </row>
    <row r="38213" spans="6:6" x14ac:dyDescent="0.3">
      <c r="F38213" s="193"/>
    </row>
    <row r="38214" spans="6:6" x14ac:dyDescent="0.3">
      <c r="F38214" s="193"/>
    </row>
    <row r="38215" spans="6:6" x14ac:dyDescent="0.3">
      <c r="F38215" s="193"/>
    </row>
    <row r="38216" spans="6:6" x14ac:dyDescent="0.3">
      <c r="F38216" s="193"/>
    </row>
    <row r="38217" spans="6:6" x14ac:dyDescent="0.3">
      <c r="F38217" s="193"/>
    </row>
    <row r="38218" spans="6:6" x14ac:dyDescent="0.3">
      <c r="F38218" s="193"/>
    </row>
    <row r="38219" spans="6:6" x14ac:dyDescent="0.3">
      <c r="F38219" s="193"/>
    </row>
    <row r="38220" spans="6:6" x14ac:dyDescent="0.3">
      <c r="F38220" s="193"/>
    </row>
    <row r="38221" spans="6:6" x14ac:dyDescent="0.3">
      <c r="F38221" s="193"/>
    </row>
    <row r="38222" spans="6:6" x14ac:dyDescent="0.3">
      <c r="F38222" s="193"/>
    </row>
    <row r="38223" spans="6:6" x14ac:dyDescent="0.3">
      <c r="F38223" s="193"/>
    </row>
    <row r="38224" spans="6:6" x14ac:dyDescent="0.3">
      <c r="F38224" s="193"/>
    </row>
    <row r="38225" spans="6:6" x14ac:dyDescent="0.3">
      <c r="F38225" s="193"/>
    </row>
    <row r="38226" spans="6:6" x14ac:dyDescent="0.3">
      <c r="F38226" s="193"/>
    </row>
    <row r="38227" spans="6:6" x14ac:dyDescent="0.3">
      <c r="F38227" s="193"/>
    </row>
    <row r="38228" spans="6:6" x14ac:dyDescent="0.3">
      <c r="F38228" s="193"/>
    </row>
    <row r="38229" spans="6:6" x14ac:dyDescent="0.3">
      <c r="F38229" s="193"/>
    </row>
    <row r="38230" spans="6:6" x14ac:dyDescent="0.3">
      <c r="F38230" s="193"/>
    </row>
    <row r="38231" spans="6:6" x14ac:dyDescent="0.3">
      <c r="F38231" s="193"/>
    </row>
    <row r="38232" spans="6:6" x14ac:dyDescent="0.3">
      <c r="F38232" s="193"/>
    </row>
    <row r="38233" spans="6:6" x14ac:dyDescent="0.3">
      <c r="F38233" s="193"/>
    </row>
    <row r="38234" spans="6:6" x14ac:dyDescent="0.3">
      <c r="F38234" s="193"/>
    </row>
    <row r="38235" spans="6:6" x14ac:dyDescent="0.3">
      <c r="F38235" s="193"/>
    </row>
    <row r="38236" spans="6:6" x14ac:dyDescent="0.3">
      <c r="F38236" s="193"/>
    </row>
    <row r="38237" spans="6:6" x14ac:dyDescent="0.3">
      <c r="F38237" s="193"/>
    </row>
    <row r="38238" spans="6:6" x14ac:dyDescent="0.3">
      <c r="F38238" s="193"/>
    </row>
    <row r="38239" spans="6:6" x14ac:dyDescent="0.3">
      <c r="F38239" s="193"/>
    </row>
    <row r="38240" spans="6:6" x14ac:dyDescent="0.3">
      <c r="F38240" s="193"/>
    </row>
    <row r="38241" spans="6:6" x14ac:dyDescent="0.3">
      <c r="F38241" s="193"/>
    </row>
    <row r="38242" spans="6:6" x14ac:dyDescent="0.3">
      <c r="F38242" s="193"/>
    </row>
    <row r="38243" spans="6:6" x14ac:dyDescent="0.3">
      <c r="F38243" s="193"/>
    </row>
    <row r="38244" spans="6:6" x14ac:dyDescent="0.3">
      <c r="F38244" s="193"/>
    </row>
    <row r="38245" spans="6:6" x14ac:dyDescent="0.3">
      <c r="F38245" s="193"/>
    </row>
    <row r="38246" spans="6:6" x14ac:dyDescent="0.3">
      <c r="F38246" s="193"/>
    </row>
    <row r="38247" spans="6:6" x14ac:dyDescent="0.3">
      <c r="F38247" s="193"/>
    </row>
    <row r="38248" spans="6:6" x14ac:dyDescent="0.3">
      <c r="F38248" s="193"/>
    </row>
    <row r="38249" spans="6:6" x14ac:dyDescent="0.3">
      <c r="F38249" s="193"/>
    </row>
    <row r="38250" spans="6:6" x14ac:dyDescent="0.3">
      <c r="F38250" s="193"/>
    </row>
    <row r="38251" spans="6:6" x14ac:dyDescent="0.3">
      <c r="F38251" s="193"/>
    </row>
    <row r="38252" spans="6:6" x14ac:dyDescent="0.3">
      <c r="F38252" s="193"/>
    </row>
    <row r="38253" spans="6:6" x14ac:dyDescent="0.3">
      <c r="F38253" s="193"/>
    </row>
    <row r="38254" spans="6:6" x14ac:dyDescent="0.3">
      <c r="F38254" s="193"/>
    </row>
    <row r="38255" spans="6:6" x14ac:dyDescent="0.3">
      <c r="F38255" s="193"/>
    </row>
    <row r="38256" spans="6:6" x14ac:dyDescent="0.3">
      <c r="F38256" s="193"/>
    </row>
    <row r="38257" spans="6:6" x14ac:dyDescent="0.3">
      <c r="F38257" s="193"/>
    </row>
    <row r="38258" spans="6:6" x14ac:dyDescent="0.3">
      <c r="F38258" s="193"/>
    </row>
    <row r="38259" spans="6:6" x14ac:dyDescent="0.3">
      <c r="F38259" s="193"/>
    </row>
    <row r="38260" spans="6:6" x14ac:dyDescent="0.3">
      <c r="F38260" s="193"/>
    </row>
    <row r="38261" spans="6:6" x14ac:dyDescent="0.3">
      <c r="F38261" s="193"/>
    </row>
    <row r="38262" spans="6:6" x14ac:dyDescent="0.3">
      <c r="F38262" s="193"/>
    </row>
    <row r="38263" spans="6:6" x14ac:dyDescent="0.3">
      <c r="F38263" s="193"/>
    </row>
    <row r="38264" spans="6:6" x14ac:dyDescent="0.3">
      <c r="F38264" s="193"/>
    </row>
    <row r="38265" spans="6:6" x14ac:dyDescent="0.3">
      <c r="F38265" s="193"/>
    </row>
    <row r="38266" spans="6:6" x14ac:dyDescent="0.3">
      <c r="F38266" s="193"/>
    </row>
    <row r="38267" spans="6:6" x14ac:dyDescent="0.3">
      <c r="F38267" s="193"/>
    </row>
    <row r="38268" spans="6:6" x14ac:dyDescent="0.3">
      <c r="F38268" s="193"/>
    </row>
    <row r="38269" spans="6:6" x14ac:dyDescent="0.3">
      <c r="F38269" s="193"/>
    </row>
    <row r="38270" spans="6:6" x14ac:dyDescent="0.3">
      <c r="F38270" s="193"/>
    </row>
    <row r="38271" spans="6:6" x14ac:dyDescent="0.3">
      <c r="F38271" s="193"/>
    </row>
    <row r="38272" spans="6:6" x14ac:dyDescent="0.3">
      <c r="F38272" s="193"/>
    </row>
    <row r="38273" spans="6:6" x14ac:dyDescent="0.3">
      <c r="F38273" s="193"/>
    </row>
    <row r="38274" spans="6:6" x14ac:dyDescent="0.3">
      <c r="F38274" s="193"/>
    </row>
    <row r="38275" spans="6:6" x14ac:dyDescent="0.3">
      <c r="F38275" s="193"/>
    </row>
    <row r="38276" spans="6:6" x14ac:dyDescent="0.3">
      <c r="F38276" s="193"/>
    </row>
    <row r="38277" spans="6:6" x14ac:dyDescent="0.3">
      <c r="F38277" s="193"/>
    </row>
    <row r="38278" spans="6:6" x14ac:dyDescent="0.3">
      <c r="F38278" s="193"/>
    </row>
    <row r="38279" spans="6:6" x14ac:dyDescent="0.3">
      <c r="F38279" s="193"/>
    </row>
    <row r="38280" spans="6:6" x14ac:dyDescent="0.3">
      <c r="F38280" s="193"/>
    </row>
    <row r="38281" spans="6:6" x14ac:dyDescent="0.3">
      <c r="F38281" s="193"/>
    </row>
    <row r="38282" spans="6:6" x14ac:dyDescent="0.3">
      <c r="F38282" s="193"/>
    </row>
    <row r="38283" spans="6:6" x14ac:dyDescent="0.3">
      <c r="F38283" s="193"/>
    </row>
    <row r="38284" spans="6:6" x14ac:dyDescent="0.3">
      <c r="F38284" s="193"/>
    </row>
    <row r="38285" spans="6:6" x14ac:dyDescent="0.3">
      <c r="F38285" s="193"/>
    </row>
    <row r="38286" spans="6:6" x14ac:dyDescent="0.3">
      <c r="F38286" s="193"/>
    </row>
    <row r="38287" spans="6:6" x14ac:dyDescent="0.3">
      <c r="F38287" s="193"/>
    </row>
    <row r="38288" spans="6:6" x14ac:dyDescent="0.3">
      <c r="F38288" s="193"/>
    </row>
    <row r="38289" spans="6:6" x14ac:dyDescent="0.3">
      <c r="F38289" s="193"/>
    </row>
    <row r="38290" spans="6:6" x14ac:dyDescent="0.3">
      <c r="F38290" s="193"/>
    </row>
    <row r="38291" spans="6:6" x14ac:dyDescent="0.3">
      <c r="F38291" s="193"/>
    </row>
    <row r="38292" spans="6:6" x14ac:dyDescent="0.3">
      <c r="F38292" s="193"/>
    </row>
    <row r="38293" spans="6:6" x14ac:dyDescent="0.3">
      <c r="F38293" s="193"/>
    </row>
    <row r="38294" spans="6:6" x14ac:dyDescent="0.3">
      <c r="F38294" s="193"/>
    </row>
    <row r="38295" spans="6:6" x14ac:dyDescent="0.3">
      <c r="F38295" s="193"/>
    </row>
    <row r="38296" spans="6:6" x14ac:dyDescent="0.3">
      <c r="F38296" s="193"/>
    </row>
    <row r="38297" spans="6:6" x14ac:dyDescent="0.3">
      <c r="F38297" s="193"/>
    </row>
    <row r="38298" spans="6:6" x14ac:dyDescent="0.3">
      <c r="F38298" s="193"/>
    </row>
    <row r="38299" spans="6:6" x14ac:dyDescent="0.3">
      <c r="F38299" s="193"/>
    </row>
    <row r="38300" spans="6:6" x14ac:dyDescent="0.3">
      <c r="F38300" s="193"/>
    </row>
    <row r="38301" spans="6:6" x14ac:dyDescent="0.3">
      <c r="F38301" s="193"/>
    </row>
    <row r="38302" spans="6:6" x14ac:dyDescent="0.3">
      <c r="F38302" s="193"/>
    </row>
    <row r="38303" spans="6:6" x14ac:dyDescent="0.3">
      <c r="F38303" s="193"/>
    </row>
    <row r="38304" spans="6:6" x14ac:dyDescent="0.3">
      <c r="F38304" s="193"/>
    </row>
    <row r="38305" spans="6:6" x14ac:dyDescent="0.3">
      <c r="F38305" s="193"/>
    </row>
    <row r="38306" spans="6:6" x14ac:dyDescent="0.3">
      <c r="F38306" s="193"/>
    </row>
    <row r="38307" spans="6:6" x14ac:dyDescent="0.3">
      <c r="F38307" s="193"/>
    </row>
    <row r="38308" spans="6:6" x14ac:dyDescent="0.3">
      <c r="F38308" s="193"/>
    </row>
    <row r="38309" spans="6:6" x14ac:dyDescent="0.3">
      <c r="F38309" s="193"/>
    </row>
    <row r="38310" spans="6:6" x14ac:dyDescent="0.3">
      <c r="F38310" s="193"/>
    </row>
    <row r="38311" spans="6:6" x14ac:dyDescent="0.3">
      <c r="F38311" s="193"/>
    </row>
    <row r="38312" spans="6:6" x14ac:dyDescent="0.3">
      <c r="F38312" s="193"/>
    </row>
    <row r="38313" spans="6:6" x14ac:dyDescent="0.3">
      <c r="F38313" s="193"/>
    </row>
    <row r="38314" spans="6:6" x14ac:dyDescent="0.3">
      <c r="F38314" s="193"/>
    </row>
    <row r="38315" spans="6:6" x14ac:dyDescent="0.3">
      <c r="F38315" s="193"/>
    </row>
    <row r="38316" spans="6:6" x14ac:dyDescent="0.3">
      <c r="F38316" s="193"/>
    </row>
    <row r="38317" spans="6:6" x14ac:dyDescent="0.3">
      <c r="F38317" s="193"/>
    </row>
    <row r="38318" spans="6:6" x14ac:dyDescent="0.3">
      <c r="F38318" s="193"/>
    </row>
    <row r="38319" spans="6:6" x14ac:dyDescent="0.3">
      <c r="F38319" s="193"/>
    </row>
    <row r="38320" spans="6:6" x14ac:dyDescent="0.3">
      <c r="F38320" s="193"/>
    </row>
    <row r="38321" spans="6:6" x14ac:dyDescent="0.3">
      <c r="F38321" s="193"/>
    </row>
    <row r="38322" spans="6:6" x14ac:dyDescent="0.3">
      <c r="F38322" s="193"/>
    </row>
    <row r="38323" spans="6:6" x14ac:dyDescent="0.3">
      <c r="F38323" s="193"/>
    </row>
    <row r="38324" spans="6:6" x14ac:dyDescent="0.3">
      <c r="F38324" s="193"/>
    </row>
    <row r="38325" spans="6:6" x14ac:dyDescent="0.3">
      <c r="F38325" s="193"/>
    </row>
    <row r="38326" spans="6:6" x14ac:dyDescent="0.3">
      <c r="F38326" s="193"/>
    </row>
    <row r="38327" spans="6:6" x14ac:dyDescent="0.3">
      <c r="F38327" s="193"/>
    </row>
    <row r="38328" spans="6:6" x14ac:dyDescent="0.3">
      <c r="F38328" s="193"/>
    </row>
    <row r="38329" spans="6:6" x14ac:dyDescent="0.3">
      <c r="F38329" s="193"/>
    </row>
    <row r="38330" spans="6:6" x14ac:dyDescent="0.3">
      <c r="F38330" s="193"/>
    </row>
    <row r="38331" spans="6:6" x14ac:dyDescent="0.3">
      <c r="F38331" s="193"/>
    </row>
    <row r="38332" spans="6:6" x14ac:dyDescent="0.3">
      <c r="F38332" s="193"/>
    </row>
    <row r="38333" spans="6:6" x14ac:dyDescent="0.3">
      <c r="F38333" s="193"/>
    </row>
    <row r="38334" spans="6:6" x14ac:dyDescent="0.3">
      <c r="F38334" s="193"/>
    </row>
    <row r="38335" spans="6:6" x14ac:dyDescent="0.3">
      <c r="F38335" s="193"/>
    </row>
    <row r="38336" spans="6:6" x14ac:dyDescent="0.3">
      <c r="F38336" s="193"/>
    </row>
    <row r="38337" spans="6:6" x14ac:dyDescent="0.3">
      <c r="F38337" s="193"/>
    </row>
    <row r="38338" spans="6:6" x14ac:dyDescent="0.3">
      <c r="F38338" s="193"/>
    </row>
    <row r="38339" spans="6:6" x14ac:dyDescent="0.3">
      <c r="F38339" s="193"/>
    </row>
    <row r="38340" spans="6:6" x14ac:dyDescent="0.3">
      <c r="F38340" s="193"/>
    </row>
    <row r="38341" spans="6:6" x14ac:dyDescent="0.3">
      <c r="F38341" s="193"/>
    </row>
    <row r="38342" spans="6:6" x14ac:dyDescent="0.3">
      <c r="F38342" s="193"/>
    </row>
    <row r="38343" spans="6:6" x14ac:dyDescent="0.3">
      <c r="F38343" s="193"/>
    </row>
    <row r="38344" spans="6:6" x14ac:dyDescent="0.3">
      <c r="F38344" s="193"/>
    </row>
    <row r="38345" spans="6:6" x14ac:dyDescent="0.3">
      <c r="F38345" s="193"/>
    </row>
    <row r="38346" spans="6:6" x14ac:dyDescent="0.3">
      <c r="F38346" s="193"/>
    </row>
    <row r="38347" spans="6:6" x14ac:dyDescent="0.3">
      <c r="F38347" s="193"/>
    </row>
    <row r="38348" spans="6:6" x14ac:dyDescent="0.3">
      <c r="F38348" s="193"/>
    </row>
    <row r="38349" spans="6:6" x14ac:dyDescent="0.3">
      <c r="F38349" s="193"/>
    </row>
    <row r="38350" spans="6:6" x14ac:dyDescent="0.3">
      <c r="F38350" s="193"/>
    </row>
    <row r="38351" spans="6:6" x14ac:dyDescent="0.3">
      <c r="F38351" s="193"/>
    </row>
    <row r="38352" spans="6:6" x14ac:dyDescent="0.3">
      <c r="F38352" s="193"/>
    </row>
    <row r="38353" spans="6:6" x14ac:dyDescent="0.3">
      <c r="F38353" s="193"/>
    </row>
    <row r="38354" spans="6:6" x14ac:dyDescent="0.3">
      <c r="F38354" s="193"/>
    </row>
    <row r="38355" spans="6:6" x14ac:dyDescent="0.3">
      <c r="F38355" s="193"/>
    </row>
    <row r="38356" spans="6:6" x14ac:dyDescent="0.3">
      <c r="F38356" s="193"/>
    </row>
    <row r="38357" spans="6:6" x14ac:dyDescent="0.3">
      <c r="F38357" s="193"/>
    </row>
    <row r="38358" spans="6:6" x14ac:dyDescent="0.3">
      <c r="F38358" s="193"/>
    </row>
    <row r="38359" spans="6:6" x14ac:dyDescent="0.3">
      <c r="F38359" s="193"/>
    </row>
    <row r="38360" spans="6:6" x14ac:dyDescent="0.3">
      <c r="F38360" s="193"/>
    </row>
    <row r="38361" spans="6:6" x14ac:dyDescent="0.3">
      <c r="F38361" s="193"/>
    </row>
    <row r="38362" spans="6:6" x14ac:dyDescent="0.3">
      <c r="F38362" s="193"/>
    </row>
    <row r="38363" spans="6:6" x14ac:dyDescent="0.3">
      <c r="F38363" s="193"/>
    </row>
    <row r="38364" spans="6:6" x14ac:dyDescent="0.3">
      <c r="F38364" s="193"/>
    </row>
    <row r="38365" spans="6:6" x14ac:dyDescent="0.3">
      <c r="F38365" s="193"/>
    </row>
    <row r="38366" spans="6:6" x14ac:dyDescent="0.3">
      <c r="F38366" s="193"/>
    </row>
    <row r="38367" spans="6:6" x14ac:dyDescent="0.3">
      <c r="F38367" s="193"/>
    </row>
    <row r="38368" spans="6:6" x14ac:dyDescent="0.3">
      <c r="F38368" s="193"/>
    </row>
    <row r="38369" spans="6:6" x14ac:dyDescent="0.3">
      <c r="F38369" s="193"/>
    </row>
    <row r="38370" spans="6:6" x14ac:dyDescent="0.3">
      <c r="F38370" s="193"/>
    </row>
    <row r="38371" spans="6:6" x14ac:dyDescent="0.3">
      <c r="F38371" s="193"/>
    </row>
    <row r="38372" spans="6:6" x14ac:dyDescent="0.3">
      <c r="F38372" s="193"/>
    </row>
    <row r="38373" spans="6:6" x14ac:dyDescent="0.3">
      <c r="F38373" s="193"/>
    </row>
    <row r="38374" spans="6:6" x14ac:dyDescent="0.3">
      <c r="F38374" s="193"/>
    </row>
    <row r="38375" spans="6:6" x14ac:dyDescent="0.3">
      <c r="F38375" s="193"/>
    </row>
    <row r="38376" spans="6:6" x14ac:dyDescent="0.3">
      <c r="F38376" s="193"/>
    </row>
    <row r="38377" spans="6:6" x14ac:dyDescent="0.3">
      <c r="F38377" s="193"/>
    </row>
    <row r="38378" spans="6:6" x14ac:dyDescent="0.3">
      <c r="F38378" s="193"/>
    </row>
    <row r="38379" spans="6:6" x14ac:dyDescent="0.3">
      <c r="F38379" s="193"/>
    </row>
    <row r="38380" spans="6:6" x14ac:dyDescent="0.3">
      <c r="F38380" s="193"/>
    </row>
    <row r="38381" spans="6:6" x14ac:dyDescent="0.3">
      <c r="F38381" s="193"/>
    </row>
    <row r="38382" spans="6:6" x14ac:dyDescent="0.3">
      <c r="F38382" s="193"/>
    </row>
    <row r="38383" spans="6:6" x14ac:dyDescent="0.3">
      <c r="F38383" s="193"/>
    </row>
    <row r="38384" spans="6:6" x14ac:dyDescent="0.3">
      <c r="F38384" s="193"/>
    </row>
    <row r="38385" spans="6:6" x14ac:dyDescent="0.3">
      <c r="F38385" s="193"/>
    </row>
    <row r="38386" spans="6:6" x14ac:dyDescent="0.3">
      <c r="F38386" s="193"/>
    </row>
    <row r="38387" spans="6:6" x14ac:dyDescent="0.3">
      <c r="F38387" s="193"/>
    </row>
    <row r="38388" spans="6:6" x14ac:dyDescent="0.3">
      <c r="F38388" s="193"/>
    </row>
    <row r="38389" spans="6:6" x14ac:dyDescent="0.3">
      <c r="F38389" s="193"/>
    </row>
    <row r="38390" spans="6:6" x14ac:dyDescent="0.3">
      <c r="F38390" s="193"/>
    </row>
    <row r="38391" spans="6:6" x14ac:dyDescent="0.3">
      <c r="F38391" s="193"/>
    </row>
    <row r="38392" spans="6:6" x14ac:dyDescent="0.3">
      <c r="F38392" s="193"/>
    </row>
    <row r="38393" spans="6:6" x14ac:dyDescent="0.3">
      <c r="F38393" s="193"/>
    </row>
    <row r="38394" spans="6:6" x14ac:dyDescent="0.3">
      <c r="F38394" s="193"/>
    </row>
    <row r="38395" spans="6:6" x14ac:dyDescent="0.3">
      <c r="F38395" s="193"/>
    </row>
    <row r="38396" spans="6:6" x14ac:dyDescent="0.3">
      <c r="F38396" s="193"/>
    </row>
    <row r="38397" spans="6:6" x14ac:dyDescent="0.3">
      <c r="F38397" s="193"/>
    </row>
    <row r="38398" spans="6:6" x14ac:dyDescent="0.3">
      <c r="F38398" s="193"/>
    </row>
    <row r="38399" spans="6:6" x14ac:dyDescent="0.3">
      <c r="F38399" s="193"/>
    </row>
    <row r="38400" spans="6:6" x14ac:dyDescent="0.3">
      <c r="F38400" s="193"/>
    </row>
    <row r="38401" spans="6:6" x14ac:dyDescent="0.3">
      <c r="F38401" s="193"/>
    </row>
    <row r="38402" spans="6:6" x14ac:dyDescent="0.3">
      <c r="F38402" s="193"/>
    </row>
    <row r="38403" spans="6:6" x14ac:dyDescent="0.3">
      <c r="F38403" s="193"/>
    </row>
    <row r="38404" spans="6:6" x14ac:dyDescent="0.3">
      <c r="F38404" s="193"/>
    </row>
    <row r="38405" spans="6:6" x14ac:dyDescent="0.3">
      <c r="F38405" s="193"/>
    </row>
    <row r="38406" spans="6:6" x14ac:dyDescent="0.3">
      <c r="F38406" s="193"/>
    </row>
    <row r="38407" spans="6:6" x14ac:dyDescent="0.3">
      <c r="F38407" s="193"/>
    </row>
    <row r="38408" spans="6:6" x14ac:dyDescent="0.3">
      <c r="F38408" s="193"/>
    </row>
    <row r="38409" spans="6:6" x14ac:dyDescent="0.3">
      <c r="F38409" s="193"/>
    </row>
    <row r="38410" spans="6:6" x14ac:dyDescent="0.3">
      <c r="F38410" s="193"/>
    </row>
    <row r="38411" spans="6:6" x14ac:dyDescent="0.3">
      <c r="F38411" s="193"/>
    </row>
    <row r="38412" spans="6:6" x14ac:dyDescent="0.3">
      <c r="F38412" s="193"/>
    </row>
    <row r="38413" spans="6:6" x14ac:dyDescent="0.3">
      <c r="F38413" s="193"/>
    </row>
    <row r="38414" spans="6:6" x14ac:dyDescent="0.3">
      <c r="F38414" s="193"/>
    </row>
    <row r="38415" spans="6:6" x14ac:dyDescent="0.3">
      <c r="F38415" s="193"/>
    </row>
    <row r="38416" spans="6:6" x14ac:dyDescent="0.3">
      <c r="F38416" s="193"/>
    </row>
    <row r="38417" spans="6:6" x14ac:dyDescent="0.3">
      <c r="F38417" s="193"/>
    </row>
    <row r="38418" spans="6:6" x14ac:dyDescent="0.3">
      <c r="F38418" s="193"/>
    </row>
    <row r="38419" spans="6:6" x14ac:dyDescent="0.3">
      <c r="F38419" s="193"/>
    </row>
    <row r="38420" spans="6:6" x14ac:dyDescent="0.3">
      <c r="F38420" s="193"/>
    </row>
    <row r="38421" spans="6:6" x14ac:dyDescent="0.3">
      <c r="F38421" s="193"/>
    </row>
    <row r="38422" spans="6:6" x14ac:dyDescent="0.3">
      <c r="F38422" s="193"/>
    </row>
    <row r="38423" spans="6:6" x14ac:dyDescent="0.3">
      <c r="F38423" s="193"/>
    </row>
    <row r="38424" spans="6:6" x14ac:dyDescent="0.3">
      <c r="F38424" s="193"/>
    </row>
    <row r="38425" spans="6:6" x14ac:dyDescent="0.3">
      <c r="F38425" s="193"/>
    </row>
    <row r="38426" spans="6:6" x14ac:dyDescent="0.3">
      <c r="F38426" s="193"/>
    </row>
    <row r="38427" spans="6:6" x14ac:dyDescent="0.3">
      <c r="F38427" s="193"/>
    </row>
    <row r="38428" spans="6:6" x14ac:dyDescent="0.3">
      <c r="F38428" s="193"/>
    </row>
    <row r="38429" spans="6:6" x14ac:dyDescent="0.3">
      <c r="F38429" s="193"/>
    </row>
    <row r="38430" spans="6:6" x14ac:dyDescent="0.3">
      <c r="F38430" s="193"/>
    </row>
    <row r="38431" spans="6:6" x14ac:dyDescent="0.3">
      <c r="F38431" s="193"/>
    </row>
    <row r="38432" spans="6:6" x14ac:dyDescent="0.3">
      <c r="F38432" s="193"/>
    </row>
    <row r="38433" spans="6:6" x14ac:dyDescent="0.3">
      <c r="F38433" s="193"/>
    </row>
    <row r="38434" spans="6:6" x14ac:dyDescent="0.3">
      <c r="F38434" s="193"/>
    </row>
    <row r="38435" spans="6:6" x14ac:dyDescent="0.3">
      <c r="F38435" s="193"/>
    </row>
    <row r="38436" spans="6:6" x14ac:dyDescent="0.3">
      <c r="F38436" s="193"/>
    </row>
    <row r="38437" spans="6:6" x14ac:dyDescent="0.3">
      <c r="F38437" s="193"/>
    </row>
    <row r="38438" spans="6:6" x14ac:dyDescent="0.3">
      <c r="F38438" s="193"/>
    </row>
    <row r="38439" spans="6:6" x14ac:dyDescent="0.3">
      <c r="F38439" s="193"/>
    </row>
    <row r="38440" spans="6:6" x14ac:dyDescent="0.3">
      <c r="F38440" s="193"/>
    </row>
    <row r="38441" spans="6:6" x14ac:dyDescent="0.3">
      <c r="F38441" s="193"/>
    </row>
    <row r="38442" spans="6:6" x14ac:dyDescent="0.3">
      <c r="F38442" s="193"/>
    </row>
    <row r="38443" spans="6:6" x14ac:dyDescent="0.3">
      <c r="F38443" s="193"/>
    </row>
    <row r="38444" spans="6:6" x14ac:dyDescent="0.3">
      <c r="F38444" s="193"/>
    </row>
    <row r="38445" spans="6:6" x14ac:dyDescent="0.3">
      <c r="F38445" s="193"/>
    </row>
    <row r="38446" spans="6:6" x14ac:dyDescent="0.3">
      <c r="F38446" s="193"/>
    </row>
    <row r="38447" spans="6:6" x14ac:dyDescent="0.3">
      <c r="F38447" s="193"/>
    </row>
    <row r="38448" spans="6:6" x14ac:dyDescent="0.3">
      <c r="F38448" s="193"/>
    </row>
    <row r="38449" spans="6:6" x14ac:dyDescent="0.3">
      <c r="F38449" s="193"/>
    </row>
    <row r="38450" spans="6:6" x14ac:dyDescent="0.3">
      <c r="F38450" s="193"/>
    </row>
    <row r="38451" spans="6:6" x14ac:dyDescent="0.3">
      <c r="F38451" s="193"/>
    </row>
    <row r="38452" spans="6:6" x14ac:dyDescent="0.3">
      <c r="F38452" s="193"/>
    </row>
    <row r="38453" spans="6:6" x14ac:dyDescent="0.3">
      <c r="F38453" s="193"/>
    </row>
    <row r="38454" spans="6:6" x14ac:dyDescent="0.3">
      <c r="F38454" s="193"/>
    </row>
    <row r="38455" spans="6:6" x14ac:dyDescent="0.3">
      <c r="F38455" s="193"/>
    </row>
    <row r="38456" spans="6:6" x14ac:dyDescent="0.3">
      <c r="F38456" s="193"/>
    </row>
    <row r="38457" spans="6:6" x14ac:dyDescent="0.3">
      <c r="F38457" s="193"/>
    </row>
    <row r="38458" spans="6:6" x14ac:dyDescent="0.3">
      <c r="F38458" s="193"/>
    </row>
    <row r="38459" spans="6:6" x14ac:dyDescent="0.3">
      <c r="F38459" s="193"/>
    </row>
    <row r="38460" spans="6:6" x14ac:dyDescent="0.3">
      <c r="F38460" s="193"/>
    </row>
    <row r="38461" spans="6:6" x14ac:dyDescent="0.3">
      <c r="F38461" s="193"/>
    </row>
    <row r="38462" spans="6:6" x14ac:dyDescent="0.3">
      <c r="F38462" s="193"/>
    </row>
    <row r="38463" spans="6:6" x14ac:dyDescent="0.3">
      <c r="F38463" s="193"/>
    </row>
    <row r="38464" spans="6:6" x14ac:dyDescent="0.3">
      <c r="F38464" s="193"/>
    </row>
    <row r="38465" spans="6:6" x14ac:dyDescent="0.3">
      <c r="F38465" s="193"/>
    </row>
    <row r="38466" spans="6:6" x14ac:dyDescent="0.3">
      <c r="F38466" s="193"/>
    </row>
    <row r="38467" spans="6:6" x14ac:dyDescent="0.3">
      <c r="F38467" s="193"/>
    </row>
    <row r="38468" spans="6:6" x14ac:dyDescent="0.3">
      <c r="F38468" s="193"/>
    </row>
    <row r="38469" spans="6:6" x14ac:dyDescent="0.3">
      <c r="F38469" s="193"/>
    </row>
    <row r="38470" spans="6:6" x14ac:dyDescent="0.3">
      <c r="F38470" s="193"/>
    </row>
    <row r="38471" spans="6:6" x14ac:dyDescent="0.3">
      <c r="F38471" s="193"/>
    </row>
    <row r="38472" spans="6:6" x14ac:dyDescent="0.3">
      <c r="F38472" s="193"/>
    </row>
    <row r="38473" spans="6:6" x14ac:dyDescent="0.3">
      <c r="F38473" s="193"/>
    </row>
    <row r="38474" spans="6:6" x14ac:dyDescent="0.3">
      <c r="F38474" s="193"/>
    </row>
    <row r="38475" spans="6:6" x14ac:dyDescent="0.3">
      <c r="F38475" s="193"/>
    </row>
    <row r="38476" spans="6:6" x14ac:dyDescent="0.3">
      <c r="F38476" s="193"/>
    </row>
    <row r="38477" spans="6:6" x14ac:dyDescent="0.3">
      <c r="F38477" s="193"/>
    </row>
    <row r="38478" spans="6:6" x14ac:dyDescent="0.3">
      <c r="F38478" s="193"/>
    </row>
    <row r="38479" spans="6:6" x14ac:dyDescent="0.3">
      <c r="F38479" s="193"/>
    </row>
    <row r="38480" spans="6:6" x14ac:dyDescent="0.3">
      <c r="F38480" s="193"/>
    </row>
    <row r="38481" spans="6:6" x14ac:dyDescent="0.3">
      <c r="F38481" s="193"/>
    </row>
    <row r="38482" spans="6:6" x14ac:dyDescent="0.3">
      <c r="F38482" s="193"/>
    </row>
    <row r="38483" spans="6:6" x14ac:dyDescent="0.3">
      <c r="F38483" s="193"/>
    </row>
    <row r="38484" spans="6:6" x14ac:dyDescent="0.3">
      <c r="F38484" s="193"/>
    </row>
    <row r="38485" spans="6:6" x14ac:dyDescent="0.3">
      <c r="F38485" s="193"/>
    </row>
    <row r="38486" spans="6:6" x14ac:dyDescent="0.3">
      <c r="F38486" s="193"/>
    </row>
    <row r="38487" spans="6:6" x14ac:dyDescent="0.3">
      <c r="F38487" s="193"/>
    </row>
    <row r="38488" spans="6:6" x14ac:dyDescent="0.3">
      <c r="F38488" s="193"/>
    </row>
    <row r="38489" spans="6:6" x14ac:dyDescent="0.3">
      <c r="F38489" s="193"/>
    </row>
    <row r="38490" spans="6:6" x14ac:dyDescent="0.3">
      <c r="F38490" s="193"/>
    </row>
    <row r="38491" spans="6:6" x14ac:dyDescent="0.3">
      <c r="F38491" s="193"/>
    </row>
    <row r="38492" spans="6:6" x14ac:dyDescent="0.3">
      <c r="F38492" s="193"/>
    </row>
    <row r="38493" spans="6:6" x14ac:dyDescent="0.3">
      <c r="F38493" s="193"/>
    </row>
    <row r="38494" spans="6:6" x14ac:dyDescent="0.3">
      <c r="F38494" s="193"/>
    </row>
    <row r="38495" spans="6:6" x14ac:dyDescent="0.3">
      <c r="F38495" s="193"/>
    </row>
    <row r="38496" spans="6:6" x14ac:dyDescent="0.3">
      <c r="F38496" s="193"/>
    </row>
    <row r="38497" spans="6:6" x14ac:dyDescent="0.3">
      <c r="F38497" s="193"/>
    </row>
    <row r="38498" spans="6:6" x14ac:dyDescent="0.3">
      <c r="F38498" s="193"/>
    </row>
    <row r="38499" spans="6:6" x14ac:dyDescent="0.3">
      <c r="F38499" s="193"/>
    </row>
    <row r="38500" spans="6:6" x14ac:dyDescent="0.3">
      <c r="F38500" s="193"/>
    </row>
    <row r="38501" spans="6:6" x14ac:dyDescent="0.3">
      <c r="F38501" s="193"/>
    </row>
    <row r="38502" spans="6:6" x14ac:dyDescent="0.3">
      <c r="F38502" s="193"/>
    </row>
    <row r="38503" spans="6:6" x14ac:dyDescent="0.3">
      <c r="F38503" s="193"/>
    </row>
    <row r="38504" spans="6:6" x14ac:dyDescent="0.3">
      <c r="F38504" s="193"/>
    </row>
    <row r="38505" spans="6:6" x14ac:dyDescent="0.3">
      <c r="F38505" s="193"/>
    </row>
    <row r="38506" spans="6:6" x14ac:dyDescent="0.3">
      <c r="F38506" s="193"/>
    </row>
    <row r="38507" spans="6:6" x14ac:dyDescent="0.3">
      <c r="F38507" s="193"/>
    </row>
    <row r="38508" spans="6:6" x14ac:dyDescent="0.3">
      <c r="F38508" s="193"/>
    </row>
    <row r="38509" spans="6:6" x14ac:dyDescent="0.3">
      <c r="F38509" s="193"/>
    </row>
    <row r="38510" spans="6:6" x14ac:dyDescent="0.3">
      <c r="F38510" s="193"/>
    </row>
    <row r="38511" spans="6:6" x14ac:dyDescent="0.3">
      <c r="F38511" s="193"/>
    </row>
    <row r="38512" spans="6:6" x14ac:dyDescent="0.3">
      <c r="F38512" s="193"/>
    </row>
    <row r="38513" spans="6:6" x14ac:dyDescent="0.3">
      <c r="F38513" s="193"/>
    </row>
    <row r="38514" spans="6:6" x14ac:dyDescent="0.3">
      <c r="F38514" s="193"/>
    </row>
    <row r="38515" spans="6:6" x14ac:dyDescent="0.3">
      <c r="F38515" s="193"/>
    </row>
    <row r="38516" spans="6:6" x14ac:dyDescent="0.3">
      <c r="F38516" s="193"/>
    </row>
    <row r="38517" spans="6:6" x14ac:dyDescent="0.3">
      <c r="F38517" s="193"/>
    </row>
    <row r="38518" spans="6:6" x14ac:dyDescent="0.3">
      <c r="F38518" s="193"/>
    </row>
    <row r="38519" spans="6:6" x14ac:dyDescent="0.3">
      <c r="F38519" s="193"/>
    </row>
    <row r="38520" spans="6:6" x14ac:dyDescent="0.3">
      <c r="F38520" s="193"/>
    </row>
    <row r="38521" spans="6:6" x14ac:dyDescent="0.3">
      <c r="F38521" s="193"/>
    </row>
    <row r="38522" spans="6:6" x14ac:dyDescent="0.3">
      <c r="F38522" s="193"/>
    </row>
    <row r="38523" spans="6:6" x14ac:dyDescent="0.3">
      <c r="F38523" s="193"/>
    </row>
    <row r="38524" spans="6:6" x14ac:dyDescent="0.3">
      <c r="F38524" s="193"/>
    </row>
    <row r="38525" spans="6:6" x14ac:dyDescent="0.3">
      <c r="F38525" s="193"/>
    </row>
    <row r="38526" spans="6:6" x14ac:dyDescent="0.3">
      <c r="F38526" s="193"/>
    </row>
    <row r="38527" spans="6:6" x14ac:dyDescent="0.3">
      <c r="F38527" s="193"/>
    </row>
    <row r="38528" spans="6:6" x14ac:dyDescent="0.3">
      <c r="F38528" s="193"/>
    </row>
    <row r="38529" spans="6:6" x14ac:dyDescent="0.3">
      <c r="F38529" s="193"/>
    </row>
    <row r="38530" spans="6:6" x14ac:dyDescent="0.3">
      <c r="F38530" s="193"/>
    </row>
    <row r="38531" spans="6:6" x14ac:dyDescent="0.3">
      <c r="F38531" s="193"/>
    </row>
    <row r="38532" spans="6:6" x14ac:dyDescent="0.3">
      <c r="F38532" s="193"/>
    </row>
    <row r="38533" spans="6:6" x14ac:dyDescent="0.3">
      <c r="F38533" s="193"/>
    </row>
    <row r="38534" spans="6:6" x14ac:dyDescent="0.3">
      <c r="F38534" s="193"/>
    </row>
    <row r="38535" spans="6:6" x14ac:dyDescent="0.3">
      <c r="F38535" s="193"/>
    </row>
    <row r="38536" spans="6:6" x14ac:dyDescent="0.3">
      <c r="F38536" s="193"/>
    </row>
    <row r="38537" spans="6:6" x14ac:dyDescent="0.3">
      <c r="F38537" s="193"/>
    </row>
    <row r="38538" spans="6:6" x14ac:dyDescent="0.3">
      <c r="F38538" s="193"/>
    </row>
    <row r="38539" spans="6:6" x14ac:dyDescent="0.3">
      <c r="F38539" s="193"/>
    </row>
    <row r="38540" spans="6:6" x14ac:dyDescent="0.3">
      <c r="F38540" s="193"/>
    </row>
    <row r="38541" spans="6:6" x14ac:dyDescent="0.3">
      <c r="F38541" s="193"/>
    </row>
    <row r="38542" spans="6:6" x14ac:dyDescent="0.3">
      <c r="F38542" s="193"/>
    </row>
    <row r="38543" spans="6:6" x14ac:dyDescent="0.3">
      <c r="F38543" s="193"/>
    </row>
    <row r="38544" spans="6:6" x14ac:dyDescent="0.3">
      <c r="F38544" s="193"/>
    </row>
    <row r="38545" spans="6:6" x14ac:dyDescent="0.3">
      <c r="F38545" s="193"/>
    </row>
    <row r="38546" spans="6:6" x14ac:dyDescent="0.3">
      <c r="F38546" s="193"/>
    </row>
    <row r="38547" spans="6:6" x14ac:dyDescent="0.3">
      <c r="F38547" s="193"/>
    </row>
    <row r="38548" spans="6:6" x14ac:dyDescent="0.3">
      <c r="F38548" s="193"/>
    </row>
    <row r="38549" spans="6:6" x14ac:dyDescent="0.3">
      <c r="F38549" s="193"/>
    </row>
    <row r="38550" spans="6:6" x14ac:dyDescent="0.3">
      <c r="F38550" s="193"/>
    </row>
    <row r="38551" spans="6:6" x14ac:dyDescent="0.3">
      <c r="F38551" s="193"/>
    </row>
    <row r="38552" spans="6:6" x14ac:dyDescent="0.3">
      <c r="F38552" s="193"/>
    </row>
    <row r="38553" spans="6:6" x14ac:dyDescent="0.3">
      <c r="F38553" s="193"/>
    </row>
    <row r="38554" spans="6:6" x14ac:dyDescent="0.3">
      <c r="F38554" s="193"/>
    </row>
    <row r="38555" spans="6:6" x14ac:dyDescent="0.3">
      <c r="F38555" s="193"/>
    </row>
    <row r="38556" spans="6:6" x14ac:dyDescent="0.3">
      <c r="F38556" s="193"/>
    </row>
    <row r="38557" spans="6:6" x14ac:dyDescent="0.3">
      <c r="F38557" s="193"/>
    </row>
    <row r="38558" spans="6:6" x14ac:dyDescent="0.3">
      <c r="F38558" s="193"/>
    </row>
    <row r="38559" spans="6:6" x14ac:dyDescent="0.3">
      <c r="F38559" s="193"/>
    </row>
    <row r="38560" spans="6:6" x14ac:dyDescent="0.3">
      <c r="F38560" s="193"/>
    </row>
    <row r="38561" spans="6:6" x14ac:dyDescent="0.3">
      <c r="F38561" s="193"/>
    </row>
    <row r="38562" spans="6:6" x14ac:dyDescent="0.3">
      <c r="F38562" s="193"/>
    </row>
    <row r="38563" spans="6:6" x14ac:dyDescent="0.3">
      <c r="F38563" s="193"/>
    </row>
    <row r="38564" spans="6:6" x14ac:dyDescent="0.3">
      <c r="F38564" s="193"/>
    </row>
    <row r="38565" spans="6:6" x14ac:dyDescent="0.3">
      <c r="F38565" s="193"/>
    </row>
    <row r="38566" spans="6:6" x14ac:dyDescent="0.3">
      <c r="F38566" s="193"/>
    </row>
    <row r="38567" spans="6:6" x14ac:dyDescent="0.3">
      <c r="F38567" s="193"/>
    </row>
    <row r="38568" spans="6:6" x14ac:dyDescent="0.3">
      <c r="F38568" s="193"/>
    </row>
    <row r="38569" spans="6:6" x14ac:dyDescent="0.3">
      <c r="F38569" s="193"/>
    </row>
    <row r="38570" spans="6:6" x14ac:dyDescent="0.3">
      <c r="F38570" s="193"/>
    </row>
    <row r="38571" spans="6:6" x14ac:dyDescent="0.3">
      <c r="F38571" s="193"/>
    </row>
    <row r="38572" spans="6:6" x14ac:dyDescent="0.3">
      <c r="F38572" s="193"/>
    </row>
    <row r="38573" spans="6:6" x14ac:dyDescent="0.3">
      <c r="F38573" s="193"/>
    </row>
    <row r="38574" spans="6:6" x14ac:dyDescent="0.3">
      <c r="F38574" s="193"/>
    </row>
    <row r="38575" spans="6:6" x14ac:dyDescent="0.3">
      <c r="F38575" s="193"/>
    </row>
    <row r="38576" spans="6:6" x14ac:dyDescent="0.3">
      <c r="F38576" s="193"/>
    </row>
    <row r="38577" spans="6:6" x14ac:dyDescent="0.3">
      <c r="F38577" s="193"/>
    </row>
    <row r="38578" spans="6:6" x14ac:dyDescent="0.3">
      <c r="F38578" s="193"/>
    </row>
    <row r="38579" spans="6:6" x14ac:dyDescent="0.3">
      <c r="F38579" s="193"/>
    </row>
    <row r="38580" spans="6:6" x14ac:dyDescent="0.3">
      <c r="F38580" s="193"/>
    </row>
    <row r="38581" spans="6:6" x14ac:dyDescent="0.3">
      <c r="F38581" s="193"/>
    </row>
    <row r="38582" spans="6:6" x14ac:dyDescent="0.3">
      <c r="F38582" s="193"/>
    </row>
    <row r="38583" spans="6:6" x14ac:dyDescent="0.3">
      <c r="F38583" s="193"/>
    </row>
    <row r="38584" spans="6:6" x14ac:dyDescent="0.3">
      <c r="F38584" s="193"/>
    </row>
    <row r="38585" spans="6:6" x14ac:dyDescent="0.3">
      <c r="F38585" s="193"/>
    </row>
    <row r="38586" spans="6:6" x14ac:dyDescent="0.3">
      <c r="F38586" s="193"/>
    </row>
    <row r="38587" spans="6:6" x14ac:dyDescent="0.3">
      <c r="F38587" s="193"/>
    </row>
    <row r="38588" spans="6:6" x14ac:dyDescent="0.3">
      <c r="F38588" s="193"/>
    </row>
    <row r="38589" spans="6:6" x14ac:dyDescent="0.3">
      <c r="F38589" s="193"/>
    </row>
    <row r="38590" spans="6:6" x14ac:dyDescent="0.3">
      <c r="F38590" s="193"/>
    </row>
    <row r="38591" spans="6:6" x14ac:dyDescent="0.3">
      <c r="F38591" s="193"/>
    </row>
    <row r="38592" spans="6:6" x14ac:dyDescent="0.3">
      <c r="F38592" s="193"/>
    </row>
    <row r="38593" spans="6:6" x14ac:dyDescent="0.3">
      <c r="F38593" s="193"/>
    </row>
    <row r="38594" spans="6:6" x14ac:dyDescent="0.3">
      <c r="F38594" s="193"/>
    </row>
    <row r="38595" spans="6:6" x14ac:dyDescent="0.3">
      <c r="F38595" s="193"/>
    </row>
    <row r="38596" spans="6:6" x14ac:dyDescent="0.3">
      <c r="F38596" s="193"/>
    </row>
    <row r="38597" spans="6:6" x14ac:dyDescent="0.3">
      <c r="F38597" s="193"/>
    </row>
    <row r="38598" spans="6:6" x14ac:dyDescent="0.3">
      <c r="F38598" s="193"/>
    </row>
    <row r="38599" spans="6:6" x14ac:dyDescent="0.3">
      <c r="F38599" s="193"/>
    </row>
    <row r="38600" spans="6:6" x14ac:dyDescent="0.3">
      <c r="F38600" s="193"/>
    </row>
    <row r="38601" spans="6:6" x14ac:dyDescent="0.3">
      <c r="F38601" s="193"/>
    </row>
    <row r="38602" spans="6:6" x14ac:dyDescent="0.3">
      <c r="F38602" s="193"/>
    </row>
    <row r="38603" spans="6:6" x14ac:dyDescent="0.3">
      <c r="F38603" s="193"/>
    </row>
    <row r="38604" spans="6:6" x14ac:dyDescent="0.3">
      <c r="F38604" s="193"/>
    </row>
    <row r="38605" spans="6:6" x14ac:dyDescent="0.3">
      <c r="F38605" s="193"/>
    </row>
    <row r="38606" spans="6:6" x14ac:dyDescent="0.3">
      <c r="F38606" s="193"/>
    </row>
    <row r="38607" spans="6:6" x14ac:dyDescent="0.3">
      <c r="F38607" s="193"/>
    </row>
    <row r="38608" spans="6:6" x14ac:dyDescent="0.3">
      <c r="F38608" s="193"/>
    </row>
    <row r="38609" spans="6:6" x14ac:dyDescent="0.3">
      <c r="F38609" s="193"/>
    </row>
    <row r="38610" spans="6:6" x14ac:dyDescent="0.3">
      <c r="F38610" s="193"/>
    </row>
    <row r="38611" spans="6:6" x14ac:dyDescent="0.3">
      <c r="F38611" s="193"/>
    </row>
    <row r="38612" spans="6:6" x14ac:dyDescent="0.3">
      <c r="F38612" s="193"/>
    </row>
    <row r="38613" spans="6:6" x14ac:dyDescent="0.3">
      <c r="F38613" s="193"/>
    </row>
    <row r="38614" spans="6:6" x14ac:dyDescent="0.3">
      <c r="F38614" s="193"/>
    </row>
    <row r="38615" spans="6:6" x14ac:dyDescent="0.3">
      <c r="F38615" s="193"/>
    </row>
    <row r="38616" spans="6:6" x14ac:dyDescent="0.3">
      <c r="F38616" s="193"/>
    </row>
    <row r="38617" spans="6:6" x14ac:dyDescent="0.3">
      <c r="F38617" s="193"/>
    </row>
    <row r="38618" spans="6:6" x14ac:dyDescent="0.3">
      <c r="F38618" s="193"/>
    </row>
    <row r="38619" spans="6:6" x14ac:dyDescent="0.3">
      <c r="F38619" s="193"/>
    </row>
    <row r="38620" spans="6:6" x14ac:dyDescent="0.3">
      <c r="F38620" s="193"/>
    </row>
    <row r="38621" spans="6:6" x14ac:dyDescent="0.3">
      <c r="F38621" s="193"/>
    </row>
    <row r="38622" spans="6:6" x14ac:dyDescent="0.3">
      <c r="F38622" s="193"/>
    </row>
    <row r="38623" spans="6:6" x14ac:dyDescent="0.3">
      <c r="F38623" s="193"/>
    </row>
    <row r="38624" spans="6:6" x14ac:dyDescent="0.3">
      <c r="F38624" s="193"/>
    </row>
    <row r="38625" spans="6:6" x14ac:dyDescent="0.3">
      <c r="F38625" s="193"/>
    </row>
    <row r="38626" spans="6:6" x14ac:dyDescent="0.3">
      <c r="F38626" s="193"/>
    </row>
    <row r="38627" spans="6:6" x14ac:dyDescent="0.3">
      <c r="F38627" s="193"/>
    </row>
    <row r="38628" spans="6:6" x14ac:dyDescent="0.3">
      <c r="F38628" s="193"/>
    </row>
    <row r="38629" spans="6:6" x14ac:dyDescent="0.3">
      <c r="F38629" s="193"/>
    </row>
    <row r="38630" spans="6:6" x14ac:dyDescent="0.3">
      <c r="F38630" s="193"/>
    </row>
    <row r="38631" spans="6:6" x14ac:dyDescent="0.3">
      <c r="F38631" s="193"/>
    </row>
    <row r="38632" spans="6:6" x14ac:dyDescent="0.3">
      <c r="F38632" s="193"/>
    </row>
    <row r="38633" spans="6:6" x14ac:dyDescent="0.3">
      <c r="F38633" s="193"/>
    </row>
    <row r="38634" spans="6:6" x14ac:dyDescent="0.3">
      <c r="F38634" s="193"/>
    </row>
    <row r="38635" spans="6:6" x14ac:dyDescent="0.3">
      <c r="F38635" s="193"/>
    </row>
    <row r="38636" spans="6:6" x14ac:dyDescent="0.3">
      <c r="F38636" s="193"/>
    </row>
    <row r="38637" spans="6:6" x14ac:dyDescent="0.3">
      <c r="F38637" s="193"/>
    </row>
    <row r="38638" spans="6:6" x14ac:dyDescent="0.3">
      <c r="F38638" s="193"/>
    </row>
    <row r="38639" spans="6:6" x14ac:dyDescent="0.3">
      <c r="F38639" s="193"/>
    </row>
    <row r="38640" spans="6:6" x14ac:dyDescent="0.3">
      <c r="F38640" s="193"/>
    </row>
    <row r="38641" spans="6:6" x14ac:dyDescent="0.3">
      <c r="F38641" s="193"/>
    </row>
    <row r="38642" spans="6:6" x14ac:dyDescent="0.3">
      <c r="F38642" s="193"/>
    </row>
    <row r="38643" spans="6:6" x14ac:dyDescent="0.3">
      <c r="F38643" s="193"/>
    </row>
    <row r="38644" spans="6:6" x14ac:dyDescent="0.3">
      <c r="F38644" s="193"/>
    </row>
    <row r="38645" spans="6:6" x14ac:dyDescent="0.3">
      <c r="F38645" s="193"/>
    </row>
    <row r="38646" spans="6:6" x14ac:dyDescent="0.3">
      <c r="F38646" s="193"/>
    </row>
    <row r="38647" spans="6:6" x14ac:dyDescent="0.3">
      <c r="F38647" s="193"/>
    </row>
    <row r="38648" spans="6:6" x14ac:dyDescent="0.3">
      <c r="F38648" s="193"/>
    </row>
    <row r="38649" spans="6:6" x14ac:dyDescent="0.3">
      <c r="F38649" s="193"/>
    </row>
    <row r="38650" spans="6:6" x14ac:dyDescent="0.3">
      <c r="F38650" s="193"/>
    </row>
    <row r="38651" spans="6:6" x14ac:dyDescent="0.3">
      <c r="F38651" s="193"/>
    </row>
    <row r="38652" spans="6:6" x14ac:dyDescent="0.3">
      <c r="F38652" s="193"/>
    </row>
    <row r="38653" spans="6:6" x14ac:dyDescent="0.3">
      <c r="F38653" s="193"/>
    </row>
    <row r="38654" spans="6:6" x14ac:dyDescent="0.3">
      <c r="F38654" s="193"/>
    </row>
    <row r="38655" spans="6:6" x14ac:dyDescent="0.3">
      <c r="F38655" s="193"/>
    </row>
    <row r="38656" spans="6:6" x14ac:dyDescent="0.3">
      <c r="F38656" s="193"/>
    </row>
    <row r="38657" spans="6:6" x14ac:dyDescent="0.3">
      <c r="F38657" s="193"/>
    </row>
    <row r="38658" spans="6:6" x14ac:dyDescent="0.3">
      <c r="F38658" s="193"/>
    </row>
    <row r="38659" spans="6:6" x14ac:dyDescent="0.3">
      <c r="F38659" s="193"/>
    </row>
    <row r="38660" spans="6:6" x14ac:dyDescent="0.3">
      <c r="F38660" s="193"/>
    </row>
    <row r="38661" spans="6:6" x14ac:dyDescent="0.3">
      <c r="F38661" s="193"/>
    </row>
    <row r="38662" spans="6:6" x14ac:dyDescent="0.3">
      <c r="F38662" s="193"/>
    </row>
    <row r="38663" spans="6:6" x14ac:dyDescent="0.3">
      <c r="F38663" s="193"/>
    </row>
    <row r="38664" spans="6:6" x14ac:dyDescent="0.3">
      <c r="F38664" s="193"/>
    </row>
    <row r="38665" spans="6:6" x14ac:dyDescent="0.3">
      <c r="F38665" s="193"/>
    </row>
    <row r="38666" spans="6:6" x14ac:dyDescent="0.3">
      <c r="F38666" s="193"/>
    </row>
    <row r="38667" spans="6:6" x14ac:dyDescent="0.3">
      <c r="F38667" s="193"/>
    </row>
    <row r="38668" spans="6:6" x14ac:dyDescent="0.3">
      <c r="F38668" s="193"/>
    </row>
    <row r="38669" spans="6:6" x14ac:dyDescent="0.3">
      <c r="F38669" s="193"/>
    </row>
    <row r="38670" spans="6:6" x14ac:dyDescent="0.3">
      <c r="F38670" s="193"/>
    </row>
    <row r="38671" spans="6:6" x14ac:dyDescent="0.3">
      <c r="F38671" s="193"/>
    </row>
    <row r="38672" spans="6:6" x14ac:dyDescent="0.3">
      <c r="F38672" s="193"/>
    </row>
    <row r="38673" spans="6:6" x14ac:dyDescent="0.3">
      <c r="F38673" s="193"/>
    </row>
    <row r="38674" spans="6:6" x14ac:dyDescent="0.3">
      <c r="F38674" s="193"/>
    </row>
    <row r="38675" spans="6:6" x14ac:dyDescent="0.3">
      <c r="F38675" s="193"/>
    </row>
    <row r="38676" spans="6:6" x14ac:dyDescent="0.3">
      <c r="F38676" s="193"/>
    </row>
    <row r="38677" spans="6:6" x14ac:dyDescent="0.3">
      <c r="F38677" s="193"/>
    </row>
    <row r="38678" spans="6:6" x14ac:dyDescent="0.3">
      <c r="F38678" s="193"/>
    </row>
    <row r="38679" spans="6:6" x14ac:dyDescent="0.3">
      <c r="F38679" s="193"/>
    </row>
    <row r="38680" spans="6:6" x14ac:dyDescent="0.3">
      <c r="F38680" s="193"/>
    </row>
    <row r="38681" spans="6:6" x14ac:dyDescent="0.3">
      <c r="F38681" s="193"/>
    </row>
    <row r="38682" spans="6:6" x14ac:dyDescent="0.3">
      <c r="F38682" s="193"/>
    </row>
    <row r="38683" spans="6:6" x14ac:dyDescent="0.3">
      <c r="F38683" s="193"/>
    </row>
    <row r="38684" spans="6:6" x14ac:dyDescent="0.3">
      <c r="F38684" s="193"/>
    </row>
    <row r="38685" spans="6:6" x14ac:dyDescent="0.3">
      <c r="F38685" s="193"/>
    </row>
    <row r="38686" spans="6:6" x14ac:dyDescent="0.3">
      <c r="F38686" s="193"/>
    </row>
    <row r="38687" spans="6:6" x14ac:dyDescent="0.3">
      <c r="F38687" s="193"/>
    </row>
    <row r="38688" spans="6:6" x14ac:dyDescent="0.3">
      <c r="F38688" s="193"/>
    </row>
    <row r="38689" spans="6:6" x14ac:dyDescent="0.3">
      <c r="F38689" s="193"/>
    </row>
    <row r="38690" spans="6:6" x14ac:dyDescent="0.3">
      <c r="F38690" s="193"/>
    </row>
    <row r="38691" spans="6:6" x14ac:dyDescent="0.3">
      <c r="F38691" s="193"/>
    </row>
    <row r="38692" spans="6:6" x14ac:dyDescent="0.3">
      <c r="F38692" s="193"/>
    </row>
    <row r="38693" spans="6:6" x14ac:dyDescent="0.3">
      <c r="F38693" s="193"/>
    </row>
    <row r="38694" spans="6:6" x14ac:dyDescent="0.3">
      <c r="F38694" s="193"/>
    </row>
    <row r="38695" spans="6:6" x14ac:dyDescent="0.3">
      <c r="F38695" s="193"/>
    </row>
    <row r="38696" spans="6:6" x14ac:dyDescent="0.3">
      <c r="F38696" s="193"/>
    </row>
    <row r="38697" spans="6:6" x14ac:dyDescent="0.3">
      <c r="F38697" s="193"/>
    </row>
    <row r="38698" spans="6:6" x14ac:dyDescent="0.3">
      <c r="F38698" s="193"/>
    </row>
    <row r="38699" spans="6:6" x14ac:dyDescent="0.3">
      <c r="F38699" s="193"/>
    </row>
    <row r="38700" spans="6:6" x14ac:dyDescent="0.3">
      <c r="F38700" s="193"/>
    </row>
    <row r="38701" spans="6:6" x14ac:dyDescent="0.3">
      <c r="F38701" s="193"/>
    </row>
    <row r="38702" spans="6:6" x14ac:dyDescent="0.3">
      <c r="F38702" s="193"/>
    </row>
    <row r="38703" spans="6:6" x14ac:dyDescent="0.3">
      <c r="F38703" s="193"/>
    </row>
    <row r="38704" spans="6:6" x14ac:dyDescent="0.3">
      <c r="F38704" s="193"/>
    </row>
    <row r="38705" spans="6:6" x14ac:dyDescent="0.3">
      <c r="F38705" s="193"/>
    </row>
    <row r="38706" spans="6:6" x14ac:dyDescent="0.3">
      <c r="F38706" s="193"/>
    </row>
    <row r="38707" spans="6:6" x14ac:dyDescent="0.3">
      <c r="F38707" s="193"/>
    </row>
    <row r="38708" spans="6:6" x14ac:dyDescent="0.3">
      <c r="F38708" s="193"/>
    </row>
    <row r="38709" spans="6:6" x14ac:dyDescent="0.3">
      <c r="F38709" s="193"/>
    </row>
    <row r="38710" spans="6:6" x14ac:dyDescent="0.3">
      <c r="F38710" s="193"/>
    </row>
    <row r="38711" spans="6:6" x14ac:dyDescent="0.3">
      <c r="F38711" s="193"/>
    </row>
    <row r="38712" spans="6:6" x14ac:dyDescent="0.3">
      <c r="F38712" s="193"/>
    </row>
    <row r="38713" spans="6:6" x14ac:dyDescent="0.3">
      <c r="F38713" s="193"/>
    </row>
    <row r="38714" spans="6:6" x14ac:dyDescent="0.3">
      <c r="F38714" s="193"/>
    </row>
    <row r="38715" spans="6:6" x14ac:dyDescent="0.3">
      <c r="F38715" s="193"/>
    </row>
    <row r="38716" spans="6:6" x14ac:dyDescent="0.3">
      <c r="F38716" s="193"/>
    </row>
    <row r="38717" spans="6:6" x14ac:dyDescent="0.3">
      <c r="F38717" s="193"/>
    </row>
    <row r="38718" spans="6:6" x14ac:dyDescent="0.3">
      <c r="F38718" s="193"/>
    </row>
    <row r="38719" spans="6:6" x14ac:dyDescent="0.3">
      <c r="F38719" s="193"/>
    </row>
    <row r="38720" spans="6:6" x14ac:dyDescent="0.3">
      <c r="F38720" s="193"/>
    </row>
    <row r="38721" spans="6:6" x14ac:dyDescent="0.3">
      <c r="F38721" s="193"/>
    </row>
    <row r="38722" spans="6:6" x14ac:dyDescent="0.3">
      <c r="F38722" s="193"/>
    </row>
    <row r="38723" spans="6:6" x14ac:dyDescent="0.3">
      <c r="F38723" s="193"/>
    </row>
    <row r="38724" spans="6:6" x14ac:dyDescent="0.3">
      <c r="F38724" s="193"/>
    </row>
    <row r="38725" spans="6:6" x14ac:dyDescent="0.3">
      <c r="F38725" s="193"/>
    </row>
    <row r="38726" spans="6:6" x14ac:dyDescent="0.3">
      <c r="F38726" s="193"/>
    </row>
    <row r="38727" spans="6:6" x14ac:dyDescent="0.3">
      <c r="F38727" s="193"/>
    </row>
    <row r="38728" spans="6:6" x14ac:dyDescent="0.3">
      <c r="F38728" s="193"/>
    </row>
    <row r="38729" spans="6:6" x14ac:dyDescent="0.3">
      <c r="F38729" s="193"/>
    </row>
    <row r="38730" spans="6:6" x14ac:dyDescent="0.3">
      <c r="F38730" s="193"/>
    </row>
    <row r="38731" spans="6:6" x14ac:dyDescent="0.3">
      <c r="F38731" s="193"/>
    </row>
    <row r="38732" spans="6:6" x14ac:dyDescent="0.3">
      <c r="F38732" s="193"/>
    </row>
    <row r="38733" spans="6:6" x14ac:dyDescent="0.3">
      <c r="F38733" s="193"/>
    </row>
    <row r="38734" spans="6:6" x14ac:dyDescent="0.3">
      <c r="F38734" s="193"/>
    </row>
    <row r="38735" spans="6:6" x14ac:dyDescent="0.3">
      <c r="F38735" s="193"/>
    </row>
    <row r="38736" spans="6:6" x14ac:dyDescent="0.3">
      <c r="F38736" s="193"/>
    </row>
    <row r="38737" spans="6:6" x14ac:dyDescent="0.3">
      <c r="F38737" s="193"/>
    </row>
    <row r="38738" spans="6:6" x14ac:dyDescent="0.3">
      <c r="F38738" s="193"/>
    </row>
    <row r="38739" spans="6:6" x14ac:dyDescent="0.3">
      <c r="F38739" s="193"/>
    </row>
    <row r="38740" spans="6:6" x14ac:dyDescent="0.3">
      <c r="F38740" s="193"/>
    </row>
    <row r="38741" spans="6:6" x14ac:dyDescent="0.3">
      <c r="F38741" s="193"/>
    </row>
    <row r="38742" spans="6:6" x14ac:dyDescent="0.3">
      <c r="F38742" s="193"/>
    </row>
    <row r="38743" spans="6:6" x14ac:dyDescent="0.3">
      <c r="F38743" s="193"/>
    </row>
    <row r="38744" spans="6:6" x14ac:dyDescent="0.3">
      <c r="F38744" s="193"/>
    </row>
    <row r="38745" spans="6:6" x14ac:dyDescent="0.3">
      <c r="F38745" s="193"/>
    </row>
    <row r="38746" spans="6:6" x14ac:dyDescent="0.3">
      <c r="F38746" s="193"/>
    </row>
    <row r="38747" spans="6:6" x14ac:dyDescent="0.3">
      <c r="F38747" s="193"/>
    </row>
    <row r="38748" spans="6:6" x14ac:dyDescent="0.3">
      <c r="F38748" s="193"/>
    </row>
    <row r="38749" spans="6:6" x14ac:dyDescent="0.3">
      <c r="F38749" s="193"/>
    </row>
    <row r="38750" spans="6:6" x14ac:dyDescent="0.3">
      <c r="F38750" s="193"/>
    </row>
    <row r="38751" spans="6:6" x14ac:dyDescent="0.3">
      <c r="F38751" s="193"/>
    </row>
    <row r="38752" spans="6:6" x14ac:dyDescent="0.3">
      <c r="F38752" s="193"/>
    </row>
    <row r="38753" spans="6:6" x14ac:dyDescent="0.3">
      <c r="F38753" s="193"/>
    </row>
    <row r="38754" spans="6:6" x14ac:dyDescent="0.3">
      <c r="F38754" s="193"/>
    </row>
    <row r="38755" spans="6:6" x14ac:dyDescent="0.3">
      <c r="F38755" s="193"/>
    </row>
    <row r="38756" spans="6:6" x14ac:dyDescent="0.3">
      <c r="F38756" s="193"/>
    </row>
    <row r="38757" spans="6:6" x14ac:dyDescent="0.3">
      <c r="F38757" s="193"/>
    </row>
    <row r="38758" spans="6:6" x14ac:dyDescent="0.3">
      <c r="F38758" s="193"/>
    </row>
    <row r="38759" spans="6:6" x14ac:dyDescent="0.3">
      <c r="F38759" s="193"/>
    </row>
    <row r="38760" spans="6:6" x14ac:dyDescent="0.3">
      <c r="F38760" s="193"/>
    </row>
    <row r="38761" spans="6:6" x14ac:dyDescent="0.3">
      <c r="F38761" s="193"/>
    </row>
    <row r="38762" spans="6:6" x14ac:dyDescent="0.3">
      <c r="F38762" s="193"/>
    </row>
    <row r="38763" spans="6:6" x14ac:dyDescent="0.3">
      <c r="F38763" s="193"/>
    </row>
    <row r="38764" spans="6:6" x14ac:dyDescent="0.3">
      <c r="F38764" s="193"/>
    </row>
    <row r="38765" spans="6:6" x14ac:dyDescent="0.3">
      <c r="F38765" s="193"/>
    </row>
    <row r="38766" spans="6:6" x14ac:dyDescent="0.3">
      <c r="F38766" s="193"/>
    </row>
    <row r="38767" spans="6:6" x14ac:dyDescent="0.3">
      <c r="F38767" s="193"/>
    </row>
    <row r="38768" spans="6:6" x14ac:dyDescent="0.3">
      <c r="F38768" s="193"/>
    </row>
    <row r="38769" spans="6:6" x14ac:dyDescent="0.3">
      <c r="F38769" s="193"/>
    </row>
    <row r="38770" spans="6:6" x14ac:dyDescent="0.3">
      <c r="F38770" s="193"/>
    </row>
    <row r="38771" spans="6:6" x14ac:dyDescent="0.3">
      <c r="F38771" s="193"/>
    </row>
    <row r="38772" spans="6:6" x14ac:dyDescent="0.3">
      <c r="F38772" s="193"/>
    </row>
    <row r="38773" spans="6:6" x14ac:dyDescent="0.3">
      <c r="F38773" s="193"/>
    </row>
    <row r="38774" spans="6:6" x14ac:dyDescent="0.3">
      <c r="F38774" s="193"/>
    </row>
    <row r="38775" spans="6:6" x14ac:dyDescent="0.3">
      <c r="F38775" s="193"/>
    </row>
    <row r="38776" spans="6:6" x14ac:dyDescent="0.3">
      <c r="F38776" s="193"/>
    </row>
    <row r="38777" spans="6:6" x14ac:dyDescent="0.3">
      <c r="F38777" s="193"/>
    </row>
    <row r="38778" spans="6:6" x14ac:dyDescent="0.3">
      <c r="F38778" s="193"/>
    </row>
    <row r="38779" spans="6:6" x14ac:dyDescent="0.3">
      <c r="F38779" s="193"/>
    </row>
    <row r="38780" spans="6:6" x14ac:dyDescent="0.3">
      <c r="F38780" s="193"/>
    </row>
    <row r="38781" spans="6:6" x14ac:dyDescent="0.3">
      <c r="F38781" s="193"/>
    </row>
    <row r="38782" spans="6:6" x14ac:dyDescent="0.3">
      <c r="F38782" s="193"/>
    </row>
    <row r="38783" spans="6:6" x14ac:dyDescent="0.3">
      <c r="F38783" s="193"/>
    </row>
    <row r="38784" spans="6:6" x14ac:dyDescent="0.3">
      <c r="F38784" s="193"/>
    </row>
    <row r="38785" spans="6:6" x14ac:dyDescent="0.3">
      <c r="F38785" s="193"/>
    </row>
    <row r="38786" spans="6:6" x14ac:dyDescent="0.3">
      <c r="F38786" s="193"/>
    </row>
    <row r="38787" spans="6:6" x14ac:dyDescent="0.3">
      <c r="F38787" s="193"/>
    </row>
    <row r="38788" spans="6:6" x14ac:dyDescent="0.3">
      <c r="F38788" s="193"/>
    </row>
    <row r="38789" spans="6:6" x14ac:dyDescent="0.3">
      <c r="F38789" s="193"/>
    </row>
    <row r="38790" spans="6:6" x14ac:dyDescent="0.3">
      <c r="F38790" s="193"/>
    </row>
    <row r="38791" spans="6:6" x14ac:dyDescent="0.3">
      <c r="F38791" s="193"/>
    </row>
    <row r="38792" spans="6:6" x14ac:dyDescent="0.3">
      <c r="F38792" s="193"/>
    </row>
    <row r="38793" spans="6:6" x14ac:dyDescent="0.3">
      <c r="F38793" s="193"/>
    </row>
    <row r="38794" spans="6:6" x14ac:dyDescent="0.3">
      <c r="F38794" s="193"/>
    </row>
    <row r="38795" spans="6:6" x14ac:dyDescent="0.3">
      <c r="F38795" s="193"/>
    </row>
    <row r="38796" spans="6:6" x14ac:dyDescent="0.3">
      <c r="F38796" s="193"/>
    </row>
    <row r="38797" spans="6:6" x14ac:dyDescent="0.3">
      <c r="F38797" s="193"/>
    </row>
    <row r="38798" spans="6:6" x14ac:dyDescent="0.3">
      <c r="F38798" s="193"/>
    </row>
    <row r="38799" spans="6:6" x14ac:dyDescent="0.3">
      <c r="F38799" s="193"/>
    </row>
    <row r="38800" spans="6:6" x14ac:dyDescent="0.3">
      <c r="F38800" s="193"/>
    </row>
    <row r="38801" spans="6:6" x14ac:dyDescent="0.3">
      <c r="F38801" s="193"/>
    </row>
    <row r="38802" spans="6:6" x14ac:dyDescent="0.3">
      <c r="F38802" s="193"/>
    </row>
    <row r="38803" spans="6:6" x14ac:dyDescent="0.3">
      <c r="F38803" s="193"/>
    </row>
    <row r="38804" spans="6:6" x14ac:dyDescent="0.3">
      <c r="F38804" s="193"/>
    </row>
    <row r="38805" spans="6:6" x14ac:dyDescent="0.3">
      <c r="F38805" s="193"/>
    </row>
    <row r="38806" spans="6:6" x14ac:dyDescent="0.3">
      <c r="F38806" s="193"/>
    </row>
    <row r="38807" spans="6:6" x14ac:dyDescent="0.3">
      <c r="F38807" s="193"/>
    </row>
    <row r="38808" spans="6:6" x14ac:dyDescent="0.3">
      <c r="F38808" s="193"/>
    </row>
    <row r="38809" spans="6:6" x14ac:dyDescent="0.3">
      <c r="F38809" s="193"/>
    </row>
    <row r="38810" spans="6:6" x14ac:dyDescent="0.3">
      <c r="F38810" s="193"/>
    </row>
    <row r="38811" spans="6:6" x14ac:dyDescent="0.3">
      <c r="F38811" s="193"/>
    </row>
    <row r="38812" spans="6:6" x14ac:dyDescent="0.3">
      <c r="F38812" s="193"/>
    </row>
    <row r="38813" spans="6:6" x14ac:dyDescent="0.3">
      <c r="F38813" s="193"/>
    </row>
    <row r="38814" spans="6:6" x14ac:dyDescent="0.3">
      <c r="F38814" s="193"/>
    </row>
    <row r="38815" spans="6:6" x14ac:dyDescent="0.3">
      <c r="F38815" s="193"/>
    </row>
    <row r="38816" spans="6:6" x14ac:dyDescent="0.3">
      <c r="F38816" s="193"/>
    </row>
    <row r="38817" spans="6:6" x14ac:dyDescent="0.3">
      <c r="F38817" s="193"/>
    </row>
    <row r="38818" spans="6:6" x14ac:dyDescent="0.3">
      <c r="F38818" s="193"/>
    </row>
    <row r="38819" spans="6:6" x14ac:dyDescent="0.3">
      <c r="F38819" s="193"/>
    </row>
    <row r="38820" spans="6:6" x14ac:dyDescent="0.3">
      <c r="F38820" s="193"/>
    </row>
    <row r="38821" spans="6:6" x14ac:dyDescent="0.3">
      <c r="F38821" s="193"/>
    </row>
    <row r="38822" spans="6:6" x14ac:dyDescent="0.3">
      <c r="F38822" s="193"/>
    </row>
    <row r="38823" spans="6:6" x14ac:dyDescent="0.3">
      <c r="F38823" s="193"/>
    </row>
    <row r="38824" spans="6:6" x14ac:dyDescent="0.3">
      <c r="F38824" s="193"/>
    </row>
    <row r="38825" spans="6:6" x14ac:dyDescent="0.3">
      <c r="F38825" s="193"/>
    </row>
    <row r="38826" spans="6:6" x14ac:dyDescent="0.3">
      <c r="F38826" s="193"/>
    </row>
    <row r="38827" spans="6:6" x14ac:dyDescent="0.3">
      <c r="F38827" s="193"/>
    </row>
    <row r="38828" spans="6:6" x14ac:dyDescent="0.3">
      <c r="F38828" s="193"/>
    </row>
    <row r="38829" spans="6:6" x14ac:dyDescent="0.3">
      <c r="F38829" s="193"/>
    </row>
    <row r="38830" spans="6:6" x14ac:dyDescent="0.3">
      <c r="F38830" s="193"/>
    </row>
    <row r="38831" spans="6:6" x14ac:dyDescent="0.3">
      <c r="F38831" s="193"/>
    </row>
    <row r="38832" spans="6:6" x14ac:dyDescent="0.3">
      <c r="F38832" s="193"/>
    </row>
    <row r="38833" spans="6:6" x14ac:dyDescent="0.3">
      <c r="F38833" s="193"/>
    </row>
    <row r="38834" spans="6:6" x14ac:dyDescent="0.3">
      <c r="F38834" s="193"/>
    </row>
    <row r="38835" spans="6:6" x14ac:dyDescent="0.3">
      <c r="F38835" s="193"/>
    </row>
    <row r="38836" spans="6:6" x14ac:dyDescent="0.3">
      <c r="F38836" s="193"/>
    </row>
    <row r="38837" spans="6:6" x14ac:dyDescent="0.3">
      <c r="F38837" s="193"/>
    </row>
    <row r="38838" spans="6:6" x14ac:dyDescent="0.3">
      <c r="F38838" s="193"/>
    </row>
    <row r="38839" spans="6:6" x14ac:dyDescent="0.3">
      <c r="F38839" s="193"/>
    </row>
    <row r="38840" spans="6:6" x14ac:dyDescent="0.3">
      <c r="F38840" s="193"/>
    </row>
    <row r="38841" spans="6:6" x14ac:dyDescent="0.3">
      <c r="F38841" s="193"/>
    </row>
    <row r="38842" spans="6:6" x14ac:dyDescent="0.3">
      <c r="F38842" s="193"/>
    </row>
    <row r="38843" spans="6:6" x14ac:dyDescent="0.3">
      <c r="F38843" s="193"/>
    </row>
    <row r="38844" spans="6:6" x14ac:dyDescent="0.3">
      <c r="F38844" s="193"/>
    </row>
    <row r="38845" spans="6:6" x14ac:dyDescent="0.3">
      <c r="F38845" s="193"/>
    </row>
    <row r="38846" spans="6:6" x14ac:dyDescent="0.3">
      <c r="F38846" s="193"/>
    </row>
    <row r="38847" spans="6:6" x14ac:dyDescent="0.3">
      <c r="F38847" s="193"/>
    </row>
    <row r="38848" spans="6:6" x14ac:dyDescent="0.3">
      <c r="F38848" s="193"/>
    </row>
    <row r="38849" spans="6:6" x14ac:dyDescent="0.3">
      <c r="F38849" s="193"/>
    </row>
    <row r="38850" spans="6:6" x14ac:dyDescent="0.3">
      <c r="F38850" s="193"/>
    </row>
    <row r="38851" spans="6:6" x14ac:dyDescent="0.3">
      <c r="F38851" s="193"/>
    </row>
    <row r="38852" spans="6:6" x14ac:dyDescent="0.3">
      <c r="F38852" s="193"/>
    </row>
    <row r="38853" spans="6:6" x14ac:dyDescent="0.3">
      <c r="F38853" s="193"/>
    </row>
    <row r="38854" spans="6:6" x14ac:dyDescent="0.3">
      <c r="F38854" s="193"/>
    </row>
    <row r="38855" spans="6:6" x14ac:dyDescent="0.3">
      <c r="F38855" s="193"/>
    </row>
    <row r="38856" spans="6:6" x14ac:dyDescent="0.3">
      <c r="F38856" s="193"/>
    </row>
    <row r="38857" spans="6:6" x14ac:dyDescent="0.3">
      <c r="F38857" s="193"/>
    </row>
    <row r="38858" spans="6:6" x14ac:dyDescent="0.3">
      <c r="F38858" s="193"/>
    </row>
    <row r="38859" spans="6:6" x14ac:dyDescent="0.3">
      <c r="F38859" s="193"/>
    </row>
    <row r="38860" spans="6:6" x14ac:dyDescent="0.3">
      <c r="F38860" s="193"/>
    </row>
    <row r="38861" spans="6:6" x14ac:dyDescent="0.3">
      <c r="F38861" s="193"/>
    </row>
    <row r="38862" spans="6:6" x14ac:dyDescent="0.3">
      <c r="F38862" s="193"/>
    </row>
    <row r="38863" spans="6:6" x14ac:dyDescent="0.3">
      <c r="F38863" s="193"/>
    </row>
    <row r="38864" spans="6:6" x14ac:dyDescent="0.3">
      <c r="F38864" s="193"/>
    </row>
    <row r="38865" spans="6:6" x14ac:dyDescent="0.3">
      <c r="F38865" s="193"/>
    </row>
    <row r="38866" spans="6:6" x14ac:dyDescent="0.3">
      <c r="F38866" s="193"/>
    </row>
    <row r="38867" spans="6:6" x14ac:dyDescent="0.3">
      <c r="F38867" s="193"/>
    </row>
    <row r="38868" spans="6:6" x14ac:dyDescent="0.3">
      <c r="F38868" s="193"/>
    </row>
    <row r="38869" spans="6:6" x14ac:dyDescent="0.3">
      <c r="F38869" s="193"/>
    </row>
    <row r="38870" spans="6:6" x14ac:dyDescent="0.3">
      <c r="F38870" s="193"/>
    </row>
    <row r="38871" spans="6:6" x14ac:dyDescent="0.3">
      <c r="F38871" s="193"/>
    </row>
    <row r="38872" spans="6:6" x14ac:dyDescent="0.3">
      <c r="F38872" s="193"/>
    </row>
    <row r="38873" spans="6:6" x14ac:dyDescent="0.3">
      <c r="F38873" s="193"/>
    </row>
    <row r="38874" spans="6:6" x14ac:dyDescent="0.3">
      <c r="F38874" s="193"/>
    </row>
    <row r="38875" spans="6:6" x14ac:dyDescent="0.3">
      <c r="F38875" s="193"/>
    </row>
    <row r="38876" spans="6:6" x14ac:dyDescent="0.3">
      <c r="F38876" s="193"/>
    </row>
    <row r="38877" spans="6:6" x14ac:dyDescent="0.3">
      <c r="F38877" s="193"/>
    </row>
    <row r="38878" spans="6:6" x14ac:dyDescent="0.3">
      <c r="F38878" s="193"/>
    </row>
    <row r="38879" spans="6:6" x14ac:dyDescent="0.3">
      <c r="F38879" s="193"/>
    </row>
    <row r="38880" spans="6:6" x14ac:dyDescent="0.3">
      <c r="F38880" s="193"/>
    </row>
    <row r="38881" spans="6:6" x14ac:dyDescent="0.3">
      <c r="F38881" s="193"/>
    </row>
    <row r="38882" spans="6:6" x14ac:dyDescent="0.3">
      <c r="F38882" s="193"/>
    </row>
    <row r="38883" spans="6:6" x14ac:dyDescent="0.3">
      <c r="F38883" s="193"/>
    </row>
    <row r="38884" spans="6:6" x14ac:dyDescent="0.3">
      <c r="F38884" s="193"/>
    </row>
    <row r="38885" spans="6:6" x14ac:dyDescent="0.3">
      <c r="F38885" s="193"/>
    </row>
    <row r="38886" spans="6:6" x14ac:dyDescent="0.3">
      <c r="F38886" s="193"/>
    </row>
    <row r="38887" spans="6:6" x14ac:dyDescent="0.3">
      <c r="F38887" s="193"/>
    </row>
    <row r="38888" spans="6:6" x14ac:dyDescent="0.3">
      <c r="F38888" s="193"/>
    </row>
    <row r="38889" spans="6:6" x14ac:dyDescent="0.3">
      <c r="F38889" s="193"/>
    </row>
    <row r="38890" spans="6:6" x14ac:dyDescent="0.3">
      <c r="F38890" s="193"/>
    </row>
    <row r="38891" spans="6:6" x14ac:dyDescent="0.3">
      <c r="F38891" s="193"/>
    </row>
    <row r="38892" spans="6:6" x14ac:dyDescent="0.3">
      <c r="F38892" s="193"/>
    </row>
    <row r="38893" spans="6:6" x14ac:dyDescent="0.3">
      <c r="F38893" s="193"/>
    </row>
    <row r="38894" spans="6:6" x14ac:dyDescent="0.3">
      <c r="F38894" s="193"/>
    </row>
    <row r="38895" spans="6:6" x14ac:dyDescent="0.3">
      <c r="F38895" s="193"/>
    </row>
    <row r="38896" spans="6:6" x14ac:dyDescent="0.3">
      <c r="F38896" s="193"/>
    </row>
    <row r="38897" spans="6:6" x14ac:dyDescent="0.3">
      <c r="F38897" s="193"/>
    </row>
    <row r="38898" spans="6:6" x14ac:dyDescent="0.3">
      <c r="F38898" s="193"/>
    </row>
    <row r="38899" spans="6:6" x14ac:dyDescent="0.3">
      <c r="F38899" s="193"/>
    </row>
    <row r="38900" spans="6:6" x14ac:dyDescent="0.3">
      <c r="F38900" s="193"/>
    </row>
    <row r="38901" spans="6:6" x14ac:dyDescent="0.3">
      <c r="F38901" s="193"/>
    </row>
    <row r="38902" spans="6:6" x14ac:dyDescent="0.3">
      <c r="F38902" s="193"/>
    </row>
    <row r="38903" spans="6:6" x14ac:dyDescent="0.3">
      <c r="F38903" s="193"/>
    </row>
    <row r="38904" spans="6:6" x14ac:dyDescent="0.3">
      <c r="F38904" s="193"/>
    </row>
    <row r="38905" spans="6:6" x14ac:dyDescent="0.3">
      <c r="F38905" s="193"/>
    </row>
    <row r="38906" spans="6:6" x14ac:dyDescent="0.3">
      <c r="F38906" s="193"/>
    </row>
    <row r="38907" spans="6:6" x14ac:dyDescent="0.3">
      <c r="F38907" s="193"/>
    </row>
    <row r="38908" spans="6:6" x14ac:dyDescent="0.3">
      <c r="F38908" s="193"/>
    </row>
    <row r="38909" spans="6:6" x14ac:dyDescent="0.3">
      <c r="F38909" s="193"/>
    </row>
    <row r="38910" spans="6:6" x14ac:dyDescent="0.3">
      <c r="F38910" s="193"/>
    </row>
    <row r="38911" spans="6:6" x14ac:dyDescent="0.3">
      <c r="F38911" s="193"/>
    </row>
    <row r="38912" spans="6:6" x14ac:dyDescent="0.3">
      <c r="F38912" s="193"/>
    </row>
    <row r="38913" spans="6:6" x14ac:dyDescent="0.3">
      <c r="F38913" s="193"/>
    </row>
    <row r="38914" spans="6:6" x14ac:dyDescent="0.3">
      <c r="F38914" s="193"/>
    </row>
    <row r="38915" spans="6:6" x14ac:dyDescent="0.3">
      <c r="F38915" s="193"/>
    </row>
    <row r="38916" spans="6:6" x14ac:dyDescent="0.3">
      <c r="F38916" s="193"/>
    </row>
    <row r="38917" spans="6:6" x14ac:dyDescent="0.3">
      <c r="F38917" s="193"/>
    </row>
    <row r="38918" spans="6:6" x14ac:dyDescent="0.3">
      <c r="F38918" s="193"/>
    </row>
    <row r="38919" spans="6:6" x14ac:dyDescent="0.3">
      <c r="F38919" s="193"/>
    </row>
    <row r="38920" spans="6:6" x14ac:dyDescent="0.3">
      <c r="F38920" s="193"/>
    </row>
    <row r="38921" spans="6:6" x14ac:dyDescent="0.3">
      <c r="F38921" s="193"/>
    </row>
    <row r="38922" spans="6:6" x14ac:dyDescent="0.3">
      <c r="F38922" s="193"/>
    </row>
    <row r="38923" spans="6:6" x14ac:dyDescent="0.3">
      <c r="F38923" s="193"/>
    </row>
    <row r="38924" spans="6:6" x14ac:dyDescent="0.3">
      <c r="F38924" s="193"/>
    </row>
    <row r="38925" spans="6:6" x14ac:dyDescent="0.3">
      <c r="F38925" s="193"/>
    </row>
    <row r="38926" spans="6:6" x14ac:dyDescent="0.3">
      <c r="F38926" s="193"/>
    </row>
    <row r="38927" spans="6:6" x14ac:dyDescent="0.3">
      <c r="F38927" s="193"/>
    </row>
    <row r="38928" spans="6:6" x14ac:dyDescent="0.3">
      <c r="F38928" s="193"/>
    </row>
    <row r="38929" spans="6:6" x14ac:dyDescent="0.3">
      <c r="F38929" s="193"/>
    </row>
    <row r="38930" spans="6:6" x14ac:dyDescent="0.3">
      <c r="F38930" s="193"/>
    </row>
    <row r="38931" spans="6:6" x14ac:dyDescent="0.3">
      <c r="F38931" s="193"/>
    </row>
    <row r="38932" spans="6:6" x14ac:dyDescent="0.3">
      <c r="F38932" s="193"/>
    </row>
    <row r="38933" spans="6:6" x14ac:dyDescent="0.3">
      <c r="F38933" s="193"/>
    </row>
    <row r="38934" spans="6:6" x14ac:dyDescent="0.3">
      <c r="F38934" s="193"/>
    </row>
    <row r="38935" spans="6:6" x14ac:dyDescent="0.3">
      <c r="F38935" s="193"/>
    </row>
    <row r="38936" spans="6:6" x14ac:dyDescent="0.3">
      <c r="F38936" s="193"/>
    </row>
    <row r="38937" spans="6:6" x14ac:dyDescent="0.3">
      <c r="F38937" s="193"/>
    </row>
    <row r="38938" spans="6:6" x14ac:dyDescent="0.3">
      <c r="F38938" s="193"/>
    </row>
    <row r="38939" spans="6:6" x14ac:dyDescent="0.3">
      <c r="F38939" s="193"/>
    </row>
    <row r="38940" spans="6:6" x14ac:dyDescent="0.3">
      <c r="F38940" s="193"/>
    </row>
    <row r="38941" spans="6:6" x14ac:dyDescent="0.3">
      <c r="F38941" s="193"/>
    </row>
    <row r="38942" spans="6:6" x14ac:dyDescent="0.3">
      <c r="F38942" s="193"/>
    </row>
    <row r="38943" spans="6:6" x14ac:dyDescent="0.3">
      <c r="F38943" s="193"/>
    </row>
    <row r="38944" spans="6:6" x14ac:dyDescent="0.3">
      <c r="F38944" s="193"/>
    </row>
    <row r="38945" spans="6:6" x14ac:dyDescent="0.3">
      <c r="F38945" s="193"/>
    </row>
    <row r="38946" spans="6:6" x14ac:dyDescent="0.3">
      <c r="F38946" s="193"/>
    </row>
    <row r="38947" spans="6:6" x14ac:dyDescent="0.3">
      <c r="F38947" s="193"/>
    </row>
    <row r="38948" spans="6:6" x14ac:dyDescent="0.3">
      <c r="F38948" s="193"/>
    </row>
    <row r="38949" spans="6:6" x14ac:dyDescent="0.3">
      <c r="F38949" s="193"/>
    </row>
    <row r="38950" spans="6:6" x14ac:dyDescent="0.3">
      <c r="F38950" s="193"/>
    </row>
    <row r="38951" spans="6:6" x14ac:dyDescent="0.3">
      <c r="F38951" s="193"/>
    </row>
    <row r="38952" spans="6:6" x14ac:dyDescent="0.3">
      <c r="F38952" s="193"/>
    </row>
    <row r="38953" spans="6:6" x14ac:dyDescent="0.3">
      <c r="F38953" s="193"/>
    </row>
    <row r="38954" spans="6:6" x14ac:dyDescent="0.3">
      <c r="F38954" s="193"/>
    </row>
    <row r="38955" spans="6:6" x14ac:dyDescent="0.3">
      <c r="F38955" s="193"/>
    </row>
    <row r="38956" spans="6:6" x14ac:dyDescent="0.3">
      <c r="F38956" s="193"/>
    </row>
    <row r="38957" spans="6:6" x14ac:dyDescent="0.3">
      <c r="F38957" s="193"/>
    </row>
    <row r="38958" spans="6:6" x14ac:dyDescent="0.3">
      <c r="F38958" s="193"/>
    </row>
    <row r="38959" spans="6:6" x14ac:dyDescent="0.3">
      <c r="F38959" s="193"/>
    </row>
    <row r="38960" spans="6:6" x14ac:dyDescent="0.3">
      <c r="F38960" s="193"/>
    </row>
    <row r="38961" spans="6:6" x14ac:dyDescent="0.3">
      <c r="F38961" s="193"/>
    </row>
    <row r="38962" spans="6:6" x14ac:dyDescent="0.3">
      <c r="F38962" s="193"/>
    </row>
    <row r="38963" spans="6:6" x14ac:dyDescent="0.3">
      <c r="F38963" s="193"/>
    </row>
    <row r="38964" spans="6:6" x14ac:dyDescent="0.3">
      <c r="F38964" s="193"/>
    </row>
    <row r="38965" spans="6:6" x14ac:dyDescent="0.3">
      <c r="F38965" s="193"/>
    </row>
    <row r="38966" spans="6:6" x14ac:dyDescent="0.3">
      <c r="F38966" s="193"/>
    </row>
    <row r="38967" spans="6:6" x14ac:dyDescent="0.3">
      <c r="F38967" s="193"/>
    </row>
    <row r="38968" spans="6:6" x14ac:dyDescent="0.3">
      <c r="F38968" s="193"/>
    </row>
    <row r="38969" spans="6:6" x14ac:dyDescent="0.3">
      <c r="F38969" s="193"/>
    </row>
    <row r="38970" spans="6:6" x14ac:dyDescent="0.3">
      <c r="F38970" s="193"/>
    </row>
    <row r="38971" spans="6:6" x14ac:dyDescent="0.3">
      <c r="F38971" s="193"/>
    </row>
    <row r="38972" spans="6:6" x14ac:dyDescent="0.3">
      <c r="F38972" s="193"/>
    </row>
    <row r="38973" spans="6:6" x14ac:dyDescent="0.3">
      <c r="F38973" s="193"/>
    </row>
    <row r="38974" spans="6:6" x14ac:dyDescent="0.3">
      <c r="F38974" s="193"/>
    </row>
    <row r="38975" spans="6:6" x14ac:dyDescent="0.3">
      <c r="F38975" s="193"/>
    </row>
    <row r="38976" spans="6:6" x14ac:dyDescent="0.3">
      <c r="F38976" s="193"/>
    </row>
    <row r="38977" spans="6:6" x14ac:dyDescent="0.3">
      <c r="F38977" s="193"/>
    </row>
    <row r="38978" spans="6:6" x14ac:dyDescent="0.3">
      <c r="F38978" s="193"/>
    </row>
    <row r="38979" spans="6:6" x14ac:dyDescent="0.3">
      <c r="F38979" s="193"/>
    </row>
    <row r="38980" spans="6:6" x14ac:dyDescent="0.3">
      <c r="F38980" s="193"/>
    </row>
    <row r="38981" spans="6:6" x14ac:dyDescent="0.3">
      <c r="F38981" s="193"/>
    </row>
    <row r="38982" spans="6:6" x14ac:dyDescent="0.3">
      <c r="F38982" s="193"/>
    </row>
    <row r="38983" spans="6:6" x14ac:dyDescent="0.3">
      <c r="F38983" s="193"/>
    </row>
    <row r="38984" spans="6:6" x14ac:dyDescent="0.3">
      <c r="F38984" s="193"/>
    </row>
    <row r="38985" spans="6:6" x14ac:dyDescent="0.3">
      <c r="F38985" s="193"/>
    </row>
    <row r="38986" spans="6:6" x14ac:dyDescent="0.3">
      <c r="F38986" s="193"/>
    </row>
    <row r="38987" spans="6:6" x14ac:dyDescent="0.3">
      <c r="F38987" s="193"/>
    </row>
    <row r="38988" spans="6:6" x14ac:dyDescent="0.3">
      <c r="F38988" s="193"/>
    </row>
    <row r="38989" spans="6:6" x14ac:dyDescent="0.3">
      <c r="F38989" s="193"/>
    </row>
    <row r="38990" spans="6:6" x14ac:dyDescent="0.3">
      <c r="F38990" s="193"/>
    </row>
    <row r="38991" spans="6:6" x14ac:dyDescent="0.3">
      <c r="F38991" s="193"/>
    </row>
    <row r="38992" spans="6:6" x14ac:dyDescent="0.3">
      <c r="F38992" s="193"/>
    </row>
    <row r="38993" spans="6:6" x14ac:dyDescent="0.3">
      <c r="F38993" s="193"/>
    </row>
    <row r="38994" spans="6:6" x14ac:dyDescent="0.3">
      <c r="F38994" s="193"/>
    </row>
    <row r="38995" spans="6:6" x14ac:dyDescent="0.3">
      <c r="F38995" s="193"/>
    </row>
    <row r="38996" spans="6:6" x14ac:dyDescent="0.3">
      <c r="F38996" s="193"/>
    </row>
    <row r="38997" spans="6:6" x14ac:dyDescent="0.3">
      <c r="F38997" s="193"/>
    </row>
    <row r="38998" spans="6:6" x14ac:dyDescent="0.3">
      <c r="F38998" s="193"/>
    </row>
    <row r="38999" spans="6:6" x14ac:dyDescent="0.3">
      <c r="F38999" s="193"/>
    </row>
    <row r="39000" spans="6:6" x14ac:dyDescent="0.3">
      <c r="F39000" s="193"/>
    </row>
    <row r="39001" spans="6:6" x14ac:dyDescent="0.3">
      <c r="F39001" s="193"/>
    </row>
    <row r="39002" spans="6:6" x14ac:dyDescent="0.3">
      <c r="F39002" s="193"/>
    </row>
    <row r="39003" spans="6:6" x14ac:dyDescent="0.3">
      <c r="F39003" s="193"/>
    </row>
    <row r="39004" spans="6:6" x14ac:dyDescent="0.3">
      <c r="F39004" s="193"/>
    </row>
    <row r="39005" spans="6:6" x14ac:dyDescent="0.3">
      <c r="F39005" s="193"/>
    </row>
    <row r="39006" spans="6:6" x14ac:dyDescent="0.3">
      <c r="F39006" s="193"/>
    </row>
    <row r="39007" spans="6:6" x14ac:dyDescent="0.3">
      <c r="F39007" s="193"/>
    </row>
    <row r="39008" spans="6:6" x14ac:dyDescent="0.3">
      <c r="F39008" s="193"/>
    </row>
    <row r="39009" spans="6:6" x14ac:dyDescent="0.3">
      <c r="F39009" s="193"/>
    </row>
    <row r="39010" spans="6:6" x14ac:dyDescent="0.3">
      <c r="F39010" s="193"/>
    </row>
    <row r="39011" spans="6:6" x14ac:dyDescent="0.3">
      <c r="F39011" s="193"/>
    </row>
    <row r="39012" spans="6:6" x14ac:dyDescent="0.3">
      <c r="F39012" s="193"/>
    </row>
    <row r="39013" spans="6:6" x14ac:dyDescent="0.3">
      <c r="F39013" s="193"/>
    </row>
    <row r="39014" spans="6:6" x14ac:dyDescent="0.3">
      <c r="F39014" s="193"/>
    </row>
    <row r="39015" spans="6:6" x14ac:dyDescent="0.3">
      <c r="F39015" s="193"/>
    </row>
    <row r="39016" spans="6:6" x14ac:dyDescent="0.3">
      <c r="F39016" s="193"/>
    </row>
    <row r="39017" spans="6:6" x14ac:dyDescent="0.3">
      <c r="F39017" s="193"/>
    </row>
    <row r="39018" spans="6:6" x14ac:dyDescent="0.3">
      <c r="F39018" s="193"/>
    </row>
    <row r="39019" spans="6:6" x14ac:dyDescent="0.3">
      <c r="F39019" s="193"/>
    </row>
    <row r="39020" spans="6:6" x14ac:dyDescent="0.3">
      <c r="F39020" s="193"/>
    </row>
    <row r="39021" spans="6:6" x14ac:dyDescent="0.3">
      <c r="F39021" s="193"/>
    </row>
    <row r="39022" spans="6:6" x14ac:dyDescent="0.3">
      <c r="F39022" s="193"/>
    </row>
    <row r="39023" spans="6:6" x14ac:dyDescent="0.3">
      <c r="F39023" s="193"/>
    </row>
    <row r="39024" spans="6:6" x14ac:dyDescent="0.3">
      <c r="F39024" s="193"/>
    </row>
    <row r="39025" spans="6:6" x14ac:dyDescent="0.3">
      <c r="F39025" s="193"/>
    </row>
    <row r="39026" spans="6:6" x14ac:dyDescent="0.3">
      <c r="F39026" s="193"/>
    </row>
    <row r="39027" spans="6:6" x14ac:dyDescent="0.3">
      <c r="F39027" s="193"/>
    </row>
    <row r="39028" spans="6:6" x14ac:dyDescent="0.3">
      <c r="F39028" s="193"/>
    </row>
    <row r="39029" spans="6:6" x14ac:dyDescent="0.3">
      <c r="F39029" s="193"/>
    </row>
    <row r="39030" spans="6:6" x14ac:dyDescent="0.3">
      <c r="F39030" s="193"/>
    </row>
    <row r="39031" spans="6:6" x14ac:dyDescent="0.3">
      <c r="F39031" s="193"/>
    </row>
    <row r="39032" spans="6:6" x14ac:dyDescent="0.3">
      <c r="F39032" s="193"/>
    </row>
    <row r="39033" spans="6:6" x14ac:dyDescent="0.3">
      <c r="F39033" s="193"/>
    </row>
    <row r="39034" spans="6:6" x14ac:dyDescent="0.3">
      <c r="F39034" s="193"/>
    </row>
    <row r="39035" spans="6:6" x14ac:dyDescent="0.3">
      <c r="F39035" s="193"/>
    </row>
    <row r="39036" spans="6:6" x14ac:dyDescent="0.3">
      <c r="F39036" s="193"/>
    </row>
    <row r="39037" spans="6:6" x14ac:dyDescent="0.3">
      <c r="F39037" s="193"/>
    </row>
    <row r="39038" spans="6:6" x14ac:dyDescent="0.3">
      <c r="F39038" s="193"/>
    </row>
    <row r="39039" spans="6:6" x14ac:dyDescent="0.3">
      <c r="F39039" s="193"/>
    </row>
    <row r="39040" spans="6:6" x14ac:dyDescent="0.3">
      <c r="F39040" s="193"/>
    </row>
    <row r="39041" spans="6:6" x14ac:dyDescent="0.3">
      <c r="F39041" s="193"/>
    </row>
    <row r="39042" spans="6:6" x14ac:dyDescent="0.3">
      <c r="F39042" s="193"/>
    </row>
    <row r="39043" spans="6:6" x14ac:dyDescent="0.3">
      <c r="F39043" s="193"/>
    </row>
    <row r="39044" spans="6:6" x14ac:dyDescent="0.3">
      <c r="F39044" s="193"/>
    </row>
    <row r="39045" spans="6:6" x14ac:dyDescent="0.3">
      <c r="F39045" s="193"/>
    </row>
    <row r="39046" spans="6:6" x14ac:dyDescent="0.3">
      <c r="F39046" s="193"/>
    </row>
    <row r="39047" spans="6:6" x14ac:dyDescent="0.3">
      <c r="F39047" s="193"/>
    </row>
    <row r="39048" spans="6:6" x14ac:dyDescent="0.3">
      <c r="F39048" s="193"/>
    </row>
    <row r="39049" spans="6:6" x14ac:dyDescent="0.3">
      <c r="F39049" s="193"/>
    </row>
    <row r="39050" spans="6:6" x14ac:dyDescent="0.3">
      <c r="F39050" s="193"/>
    </row>
    <row r="39051" spans="6:6" x14ac:dyDescent="0.3">
      <c r="F39051" s="193"/>
    </row>
    <row r="39052" spans="6:6" x14ac:dyDescent="0.3">
      <c r="F39052" s="193"/>
    </row>
    <row r="39053" spans="6:6" x14ac:dyDescent="0.3">
      <c r="F39053" s="193"/>
    </row>
    <row r="39054" spans="6:6" x14ac:dyDescent="0.3">
      <c r="F39054" s="193"/>
    </row>
    <row r="39055" spans="6:6" x14ac:dyDescent="0.3">
      <c r="F39055" s="193"/>
    </row>
    <row r="39056" spans="6:6" x14ac:dyDescent="0.3">
      <c r="F39056" s="193"/>
    </row>
    <row r="39057" spans="6:6" x14ac:dyDescent="0.3">
      <c r="F39057" s="193"/>
    </row>
    <row r="39058" spans="6:6" x14ac:dyDescent="0.3">
      <c r="F39058" s="193"/>
    </row>
    <row r="39059" spans="6:6" x14ac:dyDescent="0.3">
      <c r="F39059" s="193"/>
    </row>
    <row r="39060" spans="6:6" x14ac:dyDescent="0.3">
      <c r="F39060" s="193"/>
    </row>
    <row r="39061" spans="6:6" x14ac:dyDescent="0.3">
      <c r="F39061" s="193"/>
    </row>
    <row r="39062" spans="6:6" x14ac:dyDescent="0.3">
      <c r="F39062" s="193"/>
    </row>
    <row r="39063" spans="6:6" x14ac:dyDescent="0.3">
      <c r="F39063" s="193"/>
    </row>
    <row r="39064" spans="6:6" x14ac:dyDescent="0.3">
      <c r="F39064" s="193"/>
    </row>
    <row r="39065" spans="6:6" x14ac:dyDescent="0.3">
      <c r="F39065" s="193"/>
    </row>
    <row r="39066" spans="6:6" x14ac:dyDescent="0.3">
      <c r="F39066" s="193"/>
    </row>
    <row r="39067" spans="6:6" x14ac:dyDescent="0.3">
      <c r="F39067" s="193"/>
    </row>
    <row r="39068" spans="6:6" x14ac:dyDescent="0.3">
      <c r="F39068" s="193"/>
    </row>
    <row r="39069" spans="6:6" x14ac:dyDescent="0.3">
      <c r="F39069" s="193"/>
    </row>
    <row r="39070" spans="6:6" x14ac:dyDescent="0.3">
      <c r="F39070" s="193"/>
    </row>
    <row r="39071" spans="6:6" x14ac:dyDescent="0.3">
      <c r="F39071" s="193"/>
    </row>
    <row r="39072" spans="6:6" x14ac:dyDescent="0.3">
      <c r="F39072" s="193"/>
    </row>
    <row r="39073" spans="6:6" x14ac:dyDescent="0.3">
      <c r="F39073" s="193"/>
    </row>
    <row r="39074" spans="6:6" x14ac:dyDescent="0.3">
      <c r="F39074" s="193"/>
    </row>
    <row r="39075" spans="6:6" x14ac:dyDescent="0.3">
      <c r="F39075" s="193"/>
    </row>
    <row r="39076" spans="6:6" x14ac:dyDescent="0.3">
      <c r="F39076" s="193"/>
    </row>
    <row r="39077" spans="6:6" x14ac:dyDescent="0.3">
      <c r="F39077" s="193"/>
    </row>
    <row r="39078" spans="6:6" x14ac:dyDescent="0.3">
      <c r="F39078" s="193"/>
    </row>
    <row r="39079" spans="6:6" x14ac:dyDescent="0.3">
      <c r="F39079" s="193"/>
    </row>
    <row r="39080" spans="6:6" x14ac:dyDescent="0.3">
      <c r="F39080" s="193"/>
    </row>
    <row r="39081" spans="6:6" x14ac:dyDescent="0.3">
      <c r="F39081" s="193"/>
    </row>
    <row r="39082" spans="6:6" x14ac:dyDescent="0.3">
      <c r="F39082" s="193"/>
    </row>
    <row r="39083" spans="6:6" x14ac:dyDescent="0.3">
      <c r="F39083" s="193"/>
    </row>
    <row r="39084" spans="6:6" x14ac:dyDescent="0.3">
      <c r="F39084" s="193"/>
    </row>
    <row r="39085" spans="6:6" x14ac:dyDescent="0.3">
      <c r="F39085" s="193"/>
    </row>
    <row r="39086" spans="6:6" x14ac:dyDescent="0.3">
      <c r="F39086" s="193"/>
    </row>
    <row r="39087" spans="6:6" x14ac:dyDescent="0.3">
      <c r="F39087" s="193"/>
    </row>
    <row r="39088" spans="6:6" x14ac:dyDescent="0.3">
      <c r="F39088" s="193"/>
    </row>
    <row r="39089" spans="6:6" x14ac:dyDescent="0.3">
      <c r="F39089" s="193"/>
    </row>
    <row r="39090" spans="6:6" x14ac:dyDescent="0.3">
      <c r="F39090" s="193"/>
    </row>
    <row r="39091" spans="6:6" x14ac:dyDescent="0.3">
      <c r="F39091" s="193"/>
    </row>
    <row r="39092" spans="6:6" x14ac:dyDescent="0.3">
      <c r="F39092" s="193"/>
    </row>
    <row r="39093" spans="6:6" x14ac:dyDescent="0.3">
      <c r="F39093" s="193"/>
    </row>
    <row r="39094" spans="6:6" x14ac:dyDescent="0.3">
      <c r="F39094" s="193"/>
    </row>
    <row r="39095" spans="6:6" x14ac:dyDescent="0.3">
      <c r="F39095" s="193"/>
    </row>
    <row r="39096" spans="6:6" x14ac:dyDescent="0.3">
      <c r="F39096" s="193"/>
    </row>
    <row r="39097" spans="6:6" x14ac:dyDescent="0.3">
      <c r="F39097" s="193"/>
    </row>
    <row r="39098" spans="6:6" x14ac:dyDescent="0.3">
      <c r="F39098" s="193"/>
    </row>
    <row r="39099" spans="6:6" x14ac:dyDescent="0.3">
      <c r="F39099" s="193"/>
    </row>
    <row r="39100" spans="6:6" x14ac:dyDescent="0.3">
      <c r="F39100" s="193"/>
    </row>
    <row r="39101" spans="6:6" x14ac:dyDescent="0.3">
      <c r="F39101" s="193"/>
    </row>
    <row r="39102" spans="6:6" x14ac:dyDescent="0.3">
      <c r="F39102" s="193"/>
    </row>
    <row r="39103" spans="6:6" x14ac:dyDescent="0.3">
      <c r="F39103" s="193"/>
    </row>
    <row r="39104" spans="6:6" x14ac:dyDescent="0.3">
      <c r="F39104" s="193"/>
    </row>
    <row r="39105" spans="6:6" x14ac:dyDescent="0.3">
      <c r="F39105" s="193"/>
    </row>
    <row r="39106" spans="6:6" x14ac:dyDescent="0.3">
      <c r="F39106" s="193"/>
    </row>
    <row r="39107" spans="6:6" x14ac:dyDescent="0.3">
      <c r="F39107" s="193"/>
    </row>
    <row r="39108" spans="6:6" x14ac:dyDescent="0.3">
      <c r="F39108" s="193"/>
    </row>
    <row r="39109" spans="6:6" x14ac:dyDescent="0.3">
      <c r="F39109" s="193"/>
    </row>
    <row r="39110" spans="6:6" x14ac:dyDescent="0.3">
      <c r="F39110" s="193"/>
    </row>
    <row r="39111" spans="6:6" x14ac:dyDescent="0.3">
      <c r="F39111" s="193"/>
    </row>
    <row r="39112" spans="6:6" x14ac:dyDescent="0.3">
      <c r="F39112" s="193"/>
    </row>
    <row r="39113" spans="6:6" x14ac:dyDescent="0.3">
      <c r="F39113" s="193"/>
    </row>
    <row r="39114" spans="6:6" x14ac:dyDescent="0.3">
      <c r="F39114" s="193"/>
    </row>
    <row r="39115" spans="6:6" x14ac:dyDescent="0.3">
      <c r="F39115" s="193"/>
    </row>
    <row r="39116" spans="6:6" x14ac:dyDescent="0.3">
      <c r="F39116" s="193"/>
    </row>
    <row r="39117" spans="6:6" x14ac:dyDescent="0.3">
      <c r="F39117" s="193"/>
    </row>
    <row r="39118" spans="6:6" x14ac:dyDescent="0.3">
      <c r="F39118" s="193"/>
    </row>
    <row r="39119" spans="6:6" x14ac:dyDescent="0.3">
      <c r="F39119" s="193"/>
    </row>
    <row r="39120" spans="6:6" x14ac:dyDescent="0.3">
      <c r="F39120" s="193"/>
    </row>
    <row r="39121" spans="6:6" x14ac:dyDescent="0.3">
      <c r="F39121" s="193"/>
    </row>
    <row r="39122" spans="6:6" x14ac:dyDescent="0.3">
      <c r="F39122" s="193"/>
    </row>
    <row r="39123" spans="6:6" x14ac:dyDescent="0.3">
      <c r="F39123" s="193"/>
    </row>
    <row r="39124" spans="6:6" x14ac:dyDescent="0.3">
      <c r="F39124" s="193"/>
    </row>
    <row r="39125" spans="6:6" x14ac:dyDescent="0.3">
      <c r="F39125" s="193"/>
    </row>
    <row r="39126" spans="6:6" x14ac:dyDescent="0.3">
      <c r="F39126" s="193"/>
    </row>
    <row r="39127" spans="6:6" x14ac:dyDescent="0.3">
      <c r="F39127" s="193"/>
    </row>
    <row r="39128" spans="6:6" x14ac:dyDescent="0.3">
      <c r="F39128" s="193"/>
    </row>
    <row r="39129" spans="6:6" x14ac:dyDescent="0.3">
      <c r="F39129" s="193"/>
    </row>
    <row r="39130" spans="6:6" x14ac:dyDescent="0.3">
      <c r="F39130" s="193"/>
    </row>
    <row r="39131" spans="6:6" x14ac:dyDescent="0.3">
      <c r="F39131" s="193"/>
    </row>
    <row r="39132" spans="6:6" x14ac:dyDescent="0.3">
      <c r="F39132" s="193"/>
    </row>
    <row r="39133" spans="6:6" x14ac:dyDescent="0.3">
      <c r="F39133" s="193"/>
    </row>
    <row r="39134" spans="6:6" x14ac:dyDescent="0.3">
      <c r="F39134" s="193"/>
    </row>
    <row r="39135" spans="6:6" x14ac:dyDescent="0.3">
      <c r="F39135" s="193"/>
    </row>
    <row r="39136" spans="6:6" x14ac:dyDescent="0.3">
      <c r="F39136" s="193"/>
    </row>
    <row r="39137" spans="6:6" x14ac:dyDescent="0.3">
      <c r="F39137" s="193"/>
    </row>
    <row r="39138" spans="6:6" x14ac:dyDescent="0.3">
      <c r="F39138" s="193"/>
    </row>
    <row r="39139" spans="6:6" x14ac:dyDescent="0.3">
      <c r="F39139" s="193"/>
    </row>
    <row r="39140" spans="6:6" x14ac:dyDescent="0.3">
      <c r="F39140" s="193"/>
    </row>
    <row r="39141" spans="6:6" x14ac:dyDescent="0.3">
      <c r="F39141" s="193"/>
    </row>
    <row r="39142" spans="6:6" x14ac:dyDescent="0.3">
      <c r="F39142" s="193"/>
    </row>
    <row r="39143" spans="6:6" x14ac:dyDescent="0.3">
      <c r="F39143" s="193"/>
    </row>
    <row r="39144" spans="6:6" x14ac:dyDescent="0.3">
      <c r="F39144" s="193"/>
    </row>
    <row r="39145" spans="6:6" x14ac:dyDescent="0.3">
      <c r="F39145" s="193"/>
    </row>
    <row r="39146" spans="6:6" x14ac:dyDescent="0.3">
      <c r="F39146" s="193"/>
    </row>
    <row r="39147" spans="6:6" x14ac:dyDescent="0.3">
      <c r="F39147" s="193"/>
    </row>
    <row r="39148" spans="6:6" x14ac:dyDescent="0.3">
      <c r="F39148" s="193"/>
    </row>
    <row r="39149" spans="6:6" x14ac:dyDescent="0.3">
      <c r="F39149" s="193"/>
    </row>
    <row r="39150" spans="6:6" x14ac:dyDescent="0.3">
      <c r="F39150" s="193"/>
    </row>
    <row r="39151" spans="6:6" x14ac:dyDescent="0.3">
      <c r="F39151" s="193"/>
    </row>
    <row r="39152" spans="6:6" x14ac:dyDescent="0.3">
      <c r="F39152" s="193"/>
    </row>
    <row r="39153" spans="6:6" x14ac:dyDescent="0.3">
      <c r="F39153" s="193"/>
    </row>
    <row r="39154" spans="6:6" x14ac:dyDescent="0.3">
      <c r="F39154" s="193"/>
    </row>
    <row r="39155" spans="6:6" x14ac:dyDescent="0.3">
      <c r="F39155" s="193"/>
    </row>
    <row r="39156" spans="6:6" x14ac:dyDescent="0.3">
      <c r="F39156" s="193"/>
    </row>
    <row r="39157" spans="6:6" x14ac:dyDescent="0.3">
      <c r="F39157" s="193"/>
    </row>
    <row r="39158" spans="6:6" x14ac:dyDescent="0.3">
      <c r="F39158" s="193"/>
    </row>
    <row r="39159" spans="6:6" x14ac:dyDescent="0.3">
      <c r="F39159" s="193"/>
    </row>
    <row r="39160" spans="6:6" x14ac:dyDescent="0.3">
      <c r="F39160" s="193"/>
    </row>
    <row r="39161" spans="6:6" x14ac:dyDescent="0.3">
      <c r="F39161" s="193"/>
    </row>
    <row r="39162" spans="6:6" x14ac:dyDescent="0.3">
      <c r="F39162" s="193"/>
    </row>
    <row r="39163" spans="6:6" x14ac:dyDescent="0.3">
      <c r="F39163" s="193"/>
    </row>
    <row r="39164" spans="6:6" x14ac:dyDescent="0.3">
      <c r="F39164" s="193"/>
    </row>
    <row r="39165" spans="6:6" x14ac:dyDescent="0.3">
      <c r="F39165" s="193"/>
    </row>
    <row r="39166" spans="6:6" x14ac:dyDescent="0.3">
      <c r="F39166" s="193"/>
    </row>
    <row r="39167" spans="6:6" x14ac:dyDescent="0.3">
      <c r="F39167" s="193"/>
    </row>
    <row r="39168" spans="6:6" x14ac:dyDescent="0.3">
      <c r="F39168" s="193"/>
    </row>
    <row r="39169" spans="6:6" x14ac:dyDescent="0.3">
      <c r="F39169" s="193"/>
    </row>
    <row r="39170" spans="6:6" x14ac:dyDescent="0.3">
      <c r="F39170" s="193"/>
    </row>
    <row r="39171" spans="6:6" x14ac:dyDescent="0.3">
      <c r="F39171" s="193"/>
    </row>
    <row r="39172" spans="6:6" x14ac:dyDescent="0.3">
      <c r="F39172" s="193"/>
    </row>
    <row r="39173" spans="6:6" x14ac:dyDescent="0.3">
      <c r="F39173" s="193"/>
    </row>
    <row r="39174" spans="6:6" x14ac:dyDescent="0.3">
      <c r="F39174" s="193"/>
    </row>
    <row r="39175" spans="6:6" x14ac:dyDescent="0.3">
      <c r="F39175" s="193"/>
    </row>
    <row r="39176" spans="6:6" x14ac:dyDescent="0.3">
      <c r="F39176" s="193"/>
    </row>
    <row r="39177" spans="6:6" x14ac:dyDescent="0.3">
      <c r="F39177" s="193"/>
    </row>
    <row r="39178" spans="6:6" x14ac:dyDescent="0.3">
      <c r="F39178" s="193"/>
    </row>
    <row r="39179" spans="6:6" x14ac:dyDescent="0.3">
      <c r="F39179" s="193"/>
    </row>
    <row r="39180" spans="6:6" x14ac:dyDescent="0.3">
      <c r="F39180" s="193"/>
    </row>
    <row r="39181" spans="6:6" x14ac:dyDescent="0.3">
      <c r="F39181" s="193"/>
    </row>
    <row r="39182" spans="6:6" x14ac:dyDescent="0.3">
      <c r="F39182" s="193"/>
    </row>
    <row r="39183" spans="6:6" x14ac:dyDescent="0.3">
      <c r="F39183" s="193"/>
    </row>
    <row r="39184" spans="6:6" x14ac:dyDescent="0.3">
      <c r="F39184" s="193"/>
    </row>
    <row r="39185" spans="6:6" x14ac:dyDescent="0.3">
      <c r="F39185" s="193"/>
    </row>
    <row r="39186" spans="6:6" x14ac:dyDescent="0.3">
      <c r="F39186" s="193"/>
    </row>
    <row r="39187" spans="6:6" x14ac:dyDescent="0.3">
      <c r="F39187" s="193"/>
    </row>
    <row r="39188" spans="6:6" x14ac:dyDescent="0.3">
      <c r="F39188" s="193"/>
    </row>
    <row r="39189" spans="6:6" x14ac:dyDescent="0.3">
      <c r="F39189" s="193"/>
    </row>
    <row r="39190" spans="6:6" x14ac:dyDescent="0.3">
      <c r="F39190" s="193"/>
    </row>
    <row r="39191" spans="6:6" x14ac:dyDescent="0.3">
      <c r="F39191" s="193"/>
    </row>
    <row r="39192" spans="6:6" x14ac:dyDescent="0.3">
      <c r="F39192" s="193"/>
    </row>
    <row r="39193" spans="6:6" x14ac:dyDescent="0.3">
      <c r="F39193" s="193"/>
    </row>
    <row r="39194" spans="6:6" x14ac:dyDescent="0.3">
      <c r="F39194" s="193"/>
    </row>
    <row r="39195" spans="6:6" x14ac:dyDescent="0.3">
      <c r="F39195" s="193"/>
    </row>
    <row r="39196" spans="6:6" x14ac:dyDescent="0.3">
      <c r="F39196" s="193"/>
    </row>
    <row r="39197" spans="6:6" x14ac:dyDescent="0.3">
      <c r="F39197" s="193"/>
    </row>
    <row r="39198" spans="6:6" x14ac:dyDescent="0.3">
      <c r="F39198" s="193"/>
    </row>
    <row r="39199" spans="6:6" x14ac:dyDescent="0.3">
      <c r="F39199" s="193"/>
    </row>
    <row r="39200" spans="6:6" x14ac:dyDescent="0.3">
      <c r="F39200" s="193"/>
    </row>
    <row r="39201" spans="6:6" x14ac:dyDescent="0.3">
      <c r="F39201" s="193"/>
    </row>
    <row r="39202" spans="6:6" x14ac:dyDescent="0.3">
      <c r="F39202" s="193"/>
    </row>
    <row r="39203" spans="6:6" x14ac:dyDescent="0.3">
      <c r="F39203" s="193"/>
    </row>
    <row r="39204" spans="6:6" x14ac:dyDescent="0.3">
      <c r="F39204" s="193"/>
    </row>
    <row r="39205" spans="6:6" x14ac:dyDescent="0.3">
      <c r="F39205" s="193"/>
    </row>
    <row r="39206" spans="6:6" x14ac:dyDescent="0.3">
      <c r="F39206" s="193"/>
    </row>
    <row r="39207" spans="6:6" x14ac:dyDescent="0.3">
      <c r="F39207" s="193"/>
    </row>
    <row r="39208" spans="6:6" x14ac:dyDescent="0.3">
      <c r="F39208" s="193"/>
    </row>
    <row r="39209" spans="6:6" x14ac:dyDescent="0.3">
      <c r="F39209" s="193"/>
    </row>
    <row r="39210" spans="6:6" x14ac:dyDescent="0.3">
      <c r="F39210" s="193"/>
    </row>
    <row r="39211" spans="6:6" x14ac:dyDescent="0.3">
      <c r="F39211" s="193"/>
    </row>
    <row r="39212" spans="6:6" x14ac:dyDescent="0.3">
      <c r="F39212" s="193"/>
    </row>
    <row r="39213" spans="6:6" x14ac:dyDescent="0.3">
      <c r="F39213" s="193"/>
    </row>
    <row r="39214" spans="6:6" x14ac:dyDescent="0.3">
      <c r="F39214" s="193"/>
    </row>
    <row r="39215" spans="6:6" x14ac:dyDescent="0.3">
      <c r="F39215" s="193"/>
    </row>
    <row r="39216" spans="6:6" x14ac:dyDescent="0.3">
      <c r="F39216" s="193"/>
    </row>
    <row r="39217" spans="6:6" x14ac:dyDescent="0.3">
      <c r="F39217" s="193"/>
    </row>
    <row r="39218" spans="6:6" x14ac:dyDescent="0.3">
      <c r="F39218" s="193"/>
    </row>
    <row r="39219" spans="6:6" x14ac:dyDescent="0.3">
      <c r="F39219" s="193"/>
    </row>
    <row r="39220" spans="6:6" x14ac:dyDescent="0.3">
      <c r="F39220" s="193"/>
    </row>
    <row r="39221" spans="6:6" x14ac:dyDescent="0.3">
      <c r="F39221" s="193"/>
    </row>
    <row r="39222" spans="6:6" x14ac:dyDescent="0.3">
      <c r="F39222" s="193"/>
    </row>
    <row r="39223" spans="6:6" x14ac:dyDescent="0.3">
      <c r="F39223" s="193"/>
    </row>
    <row r="39224" spans="6:6" x14ac:dyDescent="0.3">
      <c r="F39224" s="193"/>
    </row>
    <row r="39225" spans="6:6" x14ac:dyDescent="0.3">
      <c r="F39225" s="193"/>
    </row>
    <row r="39226" spans="6:6" x14ac:dyDescent="0.3">
      <c r="F39226" s="193"/>
    </row>
    <row r="39227" spans="6:6" x14ac:dyDescent="0.3">
      <c r="F39227" s="193"/>
    </row>
    <row r="39228" spans="6:6" x14ac:dyDescent="0.3">
      <c r="F39228" s="193"/>
    </row>
    <row r="39229" spans="6:6" x14ac:dyDescent="0.3">
      <c r="F39229" s="193"/>
    </row>
    <row r="39230" spans="6:6" x14ac:dyDescent="0.3">
      <c r="F39230" s="193"/>
    </row>
    <row r="39231" spans="6:6" x14ac:dyDescent="0.3">
      <c r="F39231" s="193"/>
    </row>
    <row r="39232" spans="6:6" x14ac:dyDescent="0.3">
      <c r="F39232" s="193"/>
    </row>
    <row r="39233" spans="6:6" x14ac:dyDescent="0.3">
      <c r="F39233" s="193"/>
    </row>
    <row r="39234" spans="6:6" x14ac:dyDescent="0.3">
      <c r="F39234" s="193"/>
    </row>
    <row r="39235" spans="6:6" x14ac:dyDescent="0.3">
      <c r="F39235" s="193"/>
    </row>
    <row r="39236" spans="6:6" x14ac:dyDescent="0.3">
      <c r="F39236" s="193"/>
    </row>
    <row r="39237" spans="6:6" x14ac:dyDescent="0.3">
      <c r="F39237" s="193"/>
    </row>
    <row r="39238" spans="6:6" x14ac:dyDescent="0.3">
      <c r="F39238" s="193"/>
    </row>
    <row r="39239" spans="6:6" x14ac:dyDescent="0.3">
      <c r="F39239" s="193"/>
    </row>
    <row r="39240" spans="6:6" x14ac:dyDescent="0.3">
      <c r="F39240" s="193"/>
    </row>
    <row r="39241" spans="6:6" x14ac:dyDescent="0.3">
      <c r="F39241" s="193"/>
    </row>
    <row r="39242" spans="6:6" x14ac:dyDescent="0.3">
      <c r="F39242" s="193"/>
    </row>
    <row r="39243" spans="6:6" x14ac:dyDescent="0.3">
      <c r="F39243" s="193"/>
    </row>
    <row r="39244" spans="6:6" x14ac:dyDescent="0.3">
      <c r="F39244" s="193"/>
    </row>
    <row r="39245" spans="6:6" x14ac:dyDescent="0.3">
      <c r="F39245" s="193"/>
    </row>
    <row r="39246" spans="6:6" x14ac:dyDescent="0.3">
      <c r="F39246" s="193"/>
    </row>
    <row r="39247" spans="6:6" x14ac:dyDescent="0.3">
      <c r="F39247" s="193"/>
    </row>
    <row r="39248" spans="6:6" x14ac:dyDescent="0.3">
      <c r="F39248" s="193"/>
    </row>
    <row r="39249" spans="6:6" x14ac:dyDescent="0.3">
      <c r="F39249" s="193"/>
    </row>
    <row r="39250" spans="6:6" x14ac:dyDescent="0.3">
      <c r="F39250" s="193"/>
    </row>
    <row r="39251" spans="6:6" x14ac:dyDescent="0.3">
      <c r="F39251" s="193"/>
    </row>
    <row r="39252" spans="6:6" x14ac:dyDescent="0.3">
      <c r="F39252" s="193"/>
    </row>
    <row r="39253" spans="6:6" x14ac:dyDescent="0.3">
      <c r="F39253" s="193"/>
    </row>
    <row r="39254" spans="6:6" x14ac:dyDescent="0.3">
      <c r="F39254" s="193"/>
    </row>
    <row r="39255" spans="6:6" x14ac:dyDescent="0.3">
      <c r="F39255" s="193"/>
    </row>
    <row r="39256" spans="6:6" x14ac:dyDescent="0.3">
      <c r="F39256" s="193"/>
    </row>
    <row r="39257" spans="6:6" x14ac:dyDescent="0.3">
      <c r="F39257" s="193"/>
    </row>
    <row r="39258" spans="6:6" x14ac:dyDescent="0.3">
      <c r="F39258" s="193"/>
    </row>
    <row r="39259" spans="6:6" x14ac:dyDescent="0.3">
      <c r="F39259" s="193"/>
    </row>
    <row r="39260" spans="6:6" x14ac:dyDescent="0.3">
      <c r="F39260" s="193"/>
    </row>
    <row r="39261" spans="6:6" x14ac:dyDescent="0.3">
      <c r="F39261" s="193"/>
    </row>
    <row r="39262" spans="6:6" x14ac:dyDescent="0.3">
      <c r="F39262" s="193"/>
    </row>
    <row r="39263" spans="6:6" x14ac:dyDescent="0.3">
      <c r="F39263" s="193"/>
    </row>
    <row r="39264" spans="6:6" x14ac:dyDescent="0.3">
      <c r="F39264" s="193"/>
    </row>
    <row r="39265" spans="6:6" x14ac:dyDescent="0.3">
      <c r="F39265" s="193"/>
    </row>
    <row r="39266" spans="6:6" x14ac:dyDescent="0.3">
      <c r="F39266" s="193"/>
    </row>
    <row r="39267" spans="6:6" x14ac:dyDescent="0.3">
      <c r="F39267" s="193"/>
    </row>
    <row r="39268" spans="6:6" x14ac:dyDescent="0.3">
      <c r="F39268" s="193"/>
    </row>
    <row r="39269" spans="6:6" x14ac:dyDescent="0.3">
      <c r="F39269" s="193"/>
    </row>
    <row r="39270" spans="6:6" x14ac:dyDescent="0.3">
      <c r="F39270" s="193"/>
    </row>
    <row r="39271" spans="6:6" x14ac:dyDescent="0.3">
      <c r="F39271" s="193"/>
    </row>
    <row r="39272" spans="6:6" x14ac:dyDescent="0.3">
      <c r="F39272" s="193"/>
    </row>
    <row r="39273" spans="6:6" x14ac:dyDescent="0.3">
      <c r="F39273" s="193"/>
    </row>
    <row r="39274" spans="6:6" x14ac:dyDescent="0.3">
      <c r="F39274" s="193"/>
    </row>
    <row r="39275" spans="6:6" x14ac:dyDescent="0.3">
      <c r="F39275" s="193"/>
    </row>
    <row r="39276" spans="6:6" x14ac:dyDescent="0.3">
      <c r="F39276" s="193"/>
    </row>
    <row r="39277" spans="6:6" x14ac:dyDescent="0.3">
      <c r="F39277" s="193"/>
    </row>
    <row r="39278" spans="6:6" x14ac:dyDescent="0.3">
      <c r="F39278" s="193"/>
    </row>
    <row r="39279" spans="6:6" x14ac:dyDescent="0.3">
      <c r="F39279" s="193"/>
    </row>
    <row r="39280" spans="6:6" x14ac:dyDescent="0.3">
      <c r="F39280" s="193"/>
    </row>
    <row r="39281" spans="6:6" x14ac:dyDescent="0.3">
      <c r="F39281" s="193"/>
    </row>
    <row r="39282" spans="6:6" x14ac:dyDescent="0.3">
      <c r="F39282" s="193"/>
    </row>
    <row r="39283" spans="6:6" x14ac:dyDescent="0.3">
      <c r="F39283" s="193"/>
    </row>
    <row r="39284" spans="6:6" x14ac:dyDescent="0.3">
      <c r="F39284" s="193"/>
    </row>
    <row r="39285" spans="6:6" x14ac:dyDescent="0.3">
      <c r="F39285" s="193"/>
    </row>
    <row r="39286" spans="6:6" x14ac:dyDescent="0.3">
      <c r="F39286" s="193"/>
    </row>
    <row r="39287" spans="6:6" x14ac:dyDescent="0.3">
      <c r="F39287" s="193"/>
    </row>
    <row r="39288" spans="6:6" x14ac:dyDescent="0.3">
      <c r="F39288" s="193"/>
    </row>
    <row r="39289" spans="6:6" x14ac:dyDescent="0.3">
      <c r="F39289" s="193"/>
    </row>
    <row r="39290" spans="6:6" x14ac:dyDescent="0.3">
      <c r="F39290" s="193"/>
    </row>
    <row r="39291" spans="6:6" x14ac:dyDescent="0.3">
      <c r="F39291" s="193"/>
    </row>
    <row r="39292" spans="6:6" x14ac:dyDescent="0.3">
      <c r="F39292" s="193"/>
    </row>
    <row r="39293" spans="6:6" x14ac:dyDescent="0.3">
      <c r="F39293" s="193"/>
    </row>
    <row r="39294" spans="6:6" x14ac:dyDescent="0.3">
      <c r="F39294" s="193"/>
    </row>
    <row r="39295" spans="6:6" x14ac:dyDescent="0.3">
      <c r="F39295" s="193"/>
    </row>
    <row r="39296" spans="6:6" x14ac:dyDescent="0.3">
      <c r="F39296" s="193"/>
    </row>
    <row r="39297" spans="6:6" x14ac:dyDescent="0.3">
      <c r="F39297" s="193"/>
    </row>
    <row r="39298" spans="6:6" x14ac:dyDescent="0.3">
      <c r="F39298" s="193"/>
    </row>
    <row r="39299" spans="6:6" x14ac:dyDescent="0.3">
      <c r="F39299" s="193"/>
    </row>
    <row r="39300" spans="6:6" x14ac:dyDescent="0.3">
      <c r="F39300" s="193"/>
    </row>
    <row r="39301" spans="6:6" x14ac:dyDescent="0.3">
      <c r="F39301" s="193"/>
    </row>
    <row r="39302" spans="6:6" x14ac:dyDescent="0.3">
      <c r="F39302" s="193"/>
    </row>
    <row r="39303" spans="6:6" x14ac:dyDescent="0.3">
      <c r="F39303" s="193"/>
    </row>
    <row r="39304" spans="6:6" x14ac:dyDescent="0.3">
      <c r="F39304" s="193"/>
    </row>
    <row r="39305" spans="6:6" x14ac:dyDescent="0.3">
      <c r="F39305" s="193"/>
    </row>
    <row r="39306" spans="6:6" x14ac:dyDescent="0.3">
      <c r="F39306" s="193"/>
    </row>
    <row r="39307" spans="6:6" x14ac:dyDescent="0.3">
      <c r="F39307" s="193"/>
    </row>
    <row r="39308" spans="6:6" x14ac:dyDescent="0.3">
      <c r="F39308" s="193"/>
    </row>
    <row r="39309" spans="6:6" x14ac:dyDescent="0.3">
      <c r="F39309" s="193"/>
    </row>
    <row r="39310" spans="6:6" x14ac:dyDescent="0.3">
      <c r="F39310" s="193"/>
    </row>
    <row r="39311" spans="6:6" x14ac:dyDescent="0.3">
      <c r="F39311" s="193"/>
    </row>
    <row r="39312" spans="6:6" x14ac:dyDescent="0.3">
      <c r="F39312" s="193"/>
    </row>
    <row r="39313" spans="6:6" x14ac:dyDescent="0.3">
      <c r="F39313" s="193"/>
    </row>
    <row r="39314" spans="6:6" x14ac:dyDescent="0.3">
      <c r="F39314" s="193"/>
    </row>
    <row r="39315" spans="6:6" x14ac:dyDescent="0.3">
      <c r="F39315" s="193"/>
    </row>
    <row r="39316" spans="6:6" x14ac:dyDescent="0.3">
      <c r="F39316" s="193"/>
    </row>
    <row r="39317" spans="6:6" x14ac:dyDescent="0.3">
      <c r="F39317" s="193"/>
    </row>
    <row r="39318" spans="6:6" x14ac:dyDescent="0.3">
      <c r="F39318" s="193"/>
    </row>
    <row r="39319" spans="6:6" x14ac:dyDescent="0.3">
      <c r="F39319" s="193"/>
    </row>
    <row r="39320" spans="6:6" x14ac:dyDescent="0.3">
      <c r="F39320" s="193"/>
    </row>
    <row r="39321" spans="6:6" x14ac:dyDescent="0.3">
      <c r="F39321" s="193"/>
    </row>
    <row r="39322" spans="6:6" x14ac:dyDescent="0.3">
      <c r="F39322" s="193"/>
    </row>
    <row r="39323" spans="6:6" x14ac:dyDescent="0.3">
      <c r="F39323" s="193"/>
    </row>
    <row r="39324" spans="6:6" x14ac:dyDescent="0.3">
      <c r="F39324" s="193"/>
    </row>
    <row r="39325" spans="6:6" x14ac:dyDescent="0.3">
      <c r="F39325" s="193"/>
    </row>
    <row r="39326" spans="6:6" x14ac:dyDescent="0.3">
      <c r="F39326" s="193"/>
    </row>
    <row r="39327" spans="6:6" x14ac:dyDescent="0.3">
      <c r="F39327" s="193"/>
    </row>
    <row r="39328" spans="6:6" x14ac:dyDescent="0.3">
      <c r="F39328" s="193"/>
    </row>
    <row r="39329" spans="6:6" x14ac:dyDescent="0.3">
      <c r="F39329" s="193"/>
    </row>
    <row r="39330" spans="6:6" x14ac:dyDescent="0.3">
      <c r="F39330" s="193"/>
    </row>
    <row r="39331" spans="6:6" x14ac:dyDescent="0.3">
      <c r="F39331" s="193"/>
    </row>
    <row r="39332" spans="6:6" x14ac:dyDescent="0.3">
      <c r="F39332" s="193"/>
    </row>
    <row r="39333" spans="6:6" x14ac:dyDescent="0.3">
      <c r="F39333" s="193"/>
    </row>
    <row r="39334" spans="6:6" x14ac:dyDescent="0.3">
      <c r="F39334" s="193"/>
    </row>
    <row r="39335" spans="6:6" x14ac:dyDescent="0.3">
      <c r="F39335" s="193"/>
    </row>
    <row r="39336" spans="6:6" x14ac:dyDescent="0.3">
      <c r="F39336" s="193"/>
    </row>
    <row r="39337" spans="6:6" x14ac:dyDescent="0.3">
      <c r="F39337" s="193"/>
    </row>
    <row r="39338" spans="6:6" x14ac:dyDescent="0.3">
      <c r="F39338" s="193"/>
    </row>
    <row r="39339" spans="6:6" x14ac:dyDescent="0.3">
      <c r="F39339" s="193"/>
    </row>
    <row r="39340" spans="6:6" x14ac:dyDescent="0.3">
      <c r="F39340" s="193"/>
    </row>
    <row r="39341" spans="6:6" x14ac:dyDescent="0.3">
      <c r="F39341" s="193"/>
    </row>
    <row r="39342" spans="6:6" x14ac:dyDescent="0.3">
      <c r="F39342" s="193"/>
    </row>
    <row r="39343" spans="6:6" x14ac:dyDescent="0.3">
      <c r="F39343" s="193"/>
    </row>
    <row r="39344" spans="6:6" x14ac:dyDescent="0.3">
      <c r="F39344" s="193"/>
    </row>
    <row r="39345" spans="6:6" x14ac:dyDescent="0.3">
      <c r="F39345" s="193"/>
    </row>
    <row r="39346" spans="6:6" x14ac:dyDescent="0.3">
      <c r="F39346" s="193"/>
    </row>
    <row r="39347" spans="6:6" x14ac:dyDescent="0.3">
      <c r="F39347" s="193"/>
    </row>
    <row r="39348" spans="6:6" x14ac:dyDescent="0.3">
      <c r="F39348" s="193"/>
    </row>
    <row r="39349" spans="6:6" x14ac:dyDescent="0.3">
      <c r="F39349" s="193"/>
    </row>
    <row r="39350" spans="6:6" x14ac:dyDescent="0.3">
      <c r="F39350" s="193"/>
    </row>
    <row r="39351" spans="6:6" x14ac:dyDescent="0.3">
      <c r="F39351" s="193"/>
    </row>
    <row r="39352" spans="6:6" x14ac:dyDescent="0.3">
      <c r="F39352" s="193"/>
    </row>
    <row r="39353" spans="6:6" x14ac:dyDescent="0.3">
      <c r="F39353" s="193"/>
    </row>
    <row r="39354" spans="6:6" x14ac:dyDescent="0.3">
      <c r="F39354" s="193"/>
    </row>
    <row r="39355" spans="6:6" x14ac:dyDescent="0.3">
      <c r="F39355" s="193"/>
    </row>
    <row r="39356" spans="6:6" x14ac:dyDescent="0.3">
      <c r="F39356" s="193"/>
    </row>
    <row r="39357" spans="6:6" x14ac:dyDescent="0.3">
      <c r="F39357" s="193"/>
    </row>
    <row r="39358" spans="6:6" x14ac:dyDescent="0.3">
      <c r="F39358" s="193"/>
    </row>
    <row r="39359" spans="6:6" x14ac:dyDescent="0.3">
      <c r="F39359" s="193"/>
    </row>
    <row r="39360" spans="6:6" x14ac:dyDescent="0.3">
      <c r="F39360" s="193"/>
    </row>
    <row r="39361" spans="6:6" x14ac:dyDescent="0.3">
      <c r="F39361" s="193"/>
    </row>
    <row r="39362" spans="6:6" x14ac:dyDescent="0.3">
      <c r="F39362" s="193"/>
    </row>
    <row r="39363" spans="6:6" x14ac:dyDescent="0.3">
      <c r="F39363" s="193"/>
    </row>
    <row r="39364" spans="6:6" x14ac:dyDescent="0.3">
      <c r="F39364" s="193"/>
    </row>
    <row r="39365" spans="6:6" x14ac:dyDescent="0.3">
      <c r="F39365" s="193"/>
    </row>
    <row r="39366" spans="6:6" x14ac:dyDescent="0.3">
      <c r="F39366" s="193"/>
    </row>
    <row r="39367" spans="6:6" x14ac:dyDescent="0.3">
      <c r="F39367" s="193"/>
    </row>
    <row r="39368" spans="6:6" x14ac:dyDescent="0.3">
      <c r="F39368" s="193"/>
    </row>
    <row r="39369" spans="6:6" x14ac:dyDescent="0.3">
      <c r="F39369" s="193"/>
    </row>
    <row r="39370" spans="6:6" x14ac:dyDescent="0.3">
      <c r="F39370" s="193"/>
    </row>
    <row r="39371" spans="6:6" x14ac:dyDescent="0.3">
      <c r="F39371" s="193"/>
    </row>
    <row r="39372" spans="6:6" x14ac:dyDescent="0.3">
      <c r="F39372" s="193"/>
    </row>
    <row r="39373" spans="6:6" x14ac:dyDescent="0.3">
      <c r="F39373" s="193"/>
    </row>
    <row r="39374" spans="6:6" x14ac:dyDescent="0.3">
      <c r="F39374" s="193"/>
    </row>
    <row r="39375" spans="6:6" x14ac:dyDescent="0.3">
      <c r="F39375" s="193"/>
    </row>
    <row r="39376" spans="6:6" x14ac:dyDescent="0.3">
      <c r="F39376" s="193"/>
    </row>
    <row r="39377" spans="6:6" x14ac:dyDescent="0.3">
      <c r="F39377" s="193"/>
    </row>
    <row r="39378" spans="6:6" x14ac:dyDescent="0.3">
      <c r="F39378" s="193"/>
    </row>
    <row r="39379" spans="6:6" x14ac:dyDescent="0.3">
      <c r="F39379" s="193"/>
    </row>
    <row r="39380" spans="6:6" x14ac:dyDescent="0.3">
      <c r="F39380" s="193"/>
    </row>
    <row r="39381" spans="6:6" x14ac:dyDescent="0.3">
      <c r="F39381" s="193"/>
    </row>
    <row r="39382" spans="6:6" x14ac:dyDescent="0.3">
      <c r="F39382" s="193"/>
    </row>
    <row r="39383" spans="6:6" x14ac:dyDescent="0.3">
      <c r="F39383" s="193"/>
    </row>
    <row r="39384" spans="6:6" x14ac:dyDescent="0.3">
      <c r="F39384" s="193"/>
    </row>
    <row r="39385" spans="6:6" x14ac:dyDescent="0.3">
      <c r="F39385" s="193"/>
    </row>
    <row r="39386" spans="6:6" x14ac:dyDescent="0.3">
      <c r="F39386" s="193"/>
    </row>
    <row r="39387" spans="6:6" x14ac:dyDescent="0.3">
      <c r="F39387" s="193"/>
    </row>
    <row r="39388" spans="6:6" x14ac:dyDescent="0.3">
      <c r="F39388" s="193"/>
    </row>
    <row r="39389" spans="6:6" x14ac:dyDescent="0.3">
      <c r="F39389" s="193"/>
    </row>
    <row r="39390" spans="6:6" x14ac:dyDescent="0.3">
      <c r="F39390" s="193"/>
    </row>
    <row r="39391" spans="6:6" x14ac:dyDescent="0.3">
      <c r="F39391" s="193"/>
    </row>
    <row r="39392" spans="6:6" x14ac:dyDescent="0.3">
      <c r="F39392" s="193"/>
    </row>
    <row r="39393" spans="6:6" x14ac:dyDescent="0.3">
      <c r="F39393" s="193"/>
    </row>
    <row r="39394" spans="6:6" x14ac:dyDescent="0.3">
      <c r="F39394" s="193"/>
    </row>
    <row r="39395" spans="6:6" x14ac:dyDescent="0.3">
      <c r="F39395" s="193"/>
    </row>
    <row r="39396" spans="6:6" x14ac:dyDescent="0.3">
      <c r="F39396" s="193"/>
    </row>
    <row r="39397" spans="6:6" x14ac:dyDescent="0.3">
      <c r="F39397" s="193"/>
    </row>
    <row r="39398" spans="6:6" x14ac:dyDescent="0.3">
      <c r="F39398" s="193"/>
    </row>
    <row r="39399" spans="6:6" x14ac:dyDescent="0.3">
      <c r="F39399" s="193"/>
    </row>
    <row r="39400" spans="6:6" x14ac:dyDescent="0.3">
      <c r="F39400" s="193"/>
    </row>
    <row r="39401" spans="6:6" x14ac:dyDescent="0.3">
      <c r="F39401" s="193"/>
    </row>
    <row r="39402" spans="6:6" x14ac:dyDescent="0.3">
      <c r="F39402" s="193"/>
    </row>
    <row r="39403" spans="6:6" x14ac:dyDescent="0.3">
      <c r="F39403" s="193"/>
    </row>
    <row r="39404" spans="6:6" x14ac:dyDescent="0.3">
      <c r="F39404" s="193"/>
    </row>
    <row r="39405" spans="6:6" x14ac:dyDescent="0.3">
      <c r="F39405" s="193"/>
    </row>
    <row r="39406" spans="6:6" x14ac:dyDescent="0.3">
      <c r="F39406" s="193"/>
    </row>
    <row r="39407" spans="6:6" x14ac:dyDescent="0.3">
      <c r="F39407" s="193"/>
    </row>
    <row r="39408" spans="6:6" x14ac:dyDescent="0.3">
      <c r="F39408" s="193"/>
    </row>
    <row r="39409" spans="6:6" x14ac:dyDescent="0.3">
      <c r="F39409" s="193"/>
    </row>
    <row r="39410" spans="6:6" x14ac:dyDescent="0.3">
      <c r="F39410" s="193"/>
    </row>
    <row r="39411" spans="6:6" x14ac:dyDescent="0.3">
      <c r="F39411" s="193"/>
    </row>
    <row r="39412" spans="6:6" x14ac:dyDescent="0.3">
      <c r="F39412" s="193"/>
    </row>
    <row r="39413" spans="6:6" x14ac:dyDescent="0.3">
      <c r="F39413" s="193"/>
    </row>
    <row r="39414" spans="6:6" x14ac:dyDescent="0.3">
      <c r="F39414" s="193"/>
    </row>
    <row r="39415" spans="6:6" x14ac:dyDescent="0.3">
      <c r="F39415" s="193"/>
    </row>
    <row r="39416" spans="6:6" x14ac:dyDescent="0.3">
      <c r="F39416" s="193"/>
    </row>
    <row r="39417" spans="6:6" x14ac:dyDescent="0.3">
      <c r="F39417" s="193"/>
    </row>
    <row r="39418" spans="6:6" x14ac:dyDescent="0.3">
      <c r="F39418" s="193"/>
    </row>
    <row r="39419" spans="6:6" x14ac:dyDescent="0.3">
      <c r="F39419" s="193"/>
    </row>
    <row r="39420" spans="6:6" x14ac:dyDescent="0.3">
      <c r="F39420" s="193"/>
    </row>
    <row r="39421" spans="6:6" x14ac:dyDescent="0.3">
      <c r="F39421" s="193"/>
    </row>
    <row r="39422" spans="6:6" x14ac:dyDescent="0.3">
      <c r="F39422" s="193"/>
    </row>
    <row r="39423" spans="6:6" x14ac:dyDescent="0.3">
      <c r="F39423" s="193"/>
    </row>
    <row r="39424" spans="6:6" x14ac:dyDescent="0.3">
      <c r="F39424" s="193"/>
    </row>
    <row r="39425" spans="6:6" x14ac:dyDescent="0.3">
      <c r="F39425" s="193"/>
    </row>
    <row r="39426" spans="6:6" x14ac:dyDescent="0.3">
      <c r="F39426" s="193"/>
    </row>
    <row r="39427" spans="6:6" x14ac:dyDescent="0.3">
      <c r="F39427" s="193"/>
    </row>
    <row r="39428" spans="6:6" x14ac:dyDescent="0.3">
      <c r="F39428" s="193"/>
    </row>
    <row r="39429" spans="6:6" x14ac:dyDescent="0.3">
      <c r="F39429" s="193"/>
    </row>
    <row r="39430" spans="6:6" x14ac:dyDescent="0.3">
      <c r="F39430" s="193"/>
    </row>
    <row r="39431" spans="6:6" x14ac:dyDescent="0.3">
      <c r="F39431" s="193"/>
    </row>
    <row r="39432" spans="6:6" x14ac:dyDescent="0.3">
      <c r="F39432" s="193"/>
    </row>
    <row r="39433" spans="6:6" x14ac:dyDescent="0.3">
      <c r="F39433" s="193"/>
    </row>
    <row r="39434" spans="6:6" x14ac:dyDescent="0.3">
      <c r="F39434" s="193"/>
    </row>
    <row r="39435" spans="6:6" x14ac:dyDescent="0.3">
      <c r="F39435" s="193"/>
    </row>
    <row r="39436" spans="6:6" x14ac:dyDescent="0.3">
      <c r="F39436" s="193"/>
    </row>
    <row r="39437" spans="6:6" x14ac:dyDescent="0.3">
      <c r="F39437" s="193"/>
    </row>
    <row r="39438" spans="6:6" x14ac:dyDescent="0.3">
      <c r="F39438" s="193"/>
    </row>
    <row r="39439" spans="6:6" x14ac:dyDescent="0.3">
      <c r="F39439" s="193"/>
    </row>
    <row r="39440" spans="6:6" x14ac:dyDescent="0.3">
      <c r="F39440" s="193"/>
    </row>
    <row r="39441" spans="6:6" x14ac:dyDescent="0.3">
      <c r="F39441" s="193"/>
    </row>
    <row r="39442" spans="6:6" x14ac:dyDescent="0.3">
      <c r="F39442" s="193"/>
    </row>
    <row r="39443" spans="6:6" x14ac:dyDescent="0.3">
      <c r="F39443" s="193"/>
    </row>
    <row r="39444" spans="6:6" x14ac:dyDescent="0.3">
      <c r="F39444" s="193"/>
    </row>
    <row r="39445" spans="6:6" x14ac:dyDescent="0.3">
      <c r="F39445" s="193"/>
    </row>
    <row r="39446" spans="6:6" x14ac:dyDescent="0.3">
      <c r="F39446" s="193"/>
    </row>
    <row r="39447" spans="6:6" x14ac:dyDescent="0.3">
      <c r="F39447" s="193"/>
    </row>
    <row r="39448" spans="6:6" x14ac:dyDescent="0.3">
      <c r="F39448" s="193"/>
    </row>
    <row r="39449" spans="6:6" x14ac:dyDescent="0.3">
      <c r="F39449" s="193"/>
    </row>
    <row r="39450" spans="6:6" x14ac:dyDescent="0.3">
      <c r="F39450" s="193"/>
    </row>
    <row r="39451" spans="6:6" x14ac:dyDescent="0.3">
      <c r="F39451" s="193"/>
    </row>
    <row r="39452" spans="6:6" x14ac:dyDescent="0.3">
      <c r="F39452" s="193"/>
    </row>
    <row r="39453" spans="6:6" x14ac:dyDescent="0.3">
      <c r="F39453" s="193"/>
    </row>
    <row r="39454" spans="6:6" x14ac:dyDescent="0.3">
      <c r="F39454" s="193"/>
    </row>
    <row r="39455" spans="6:6" x14ac:dyDescent="0.3">
      <c r="F39455" s="193"/>
    </row>
    <row r="39456" spans="6:6" x14ac:dyDescent="0.3">
      <c r="F39456" s="193"/>
    </row>
    <row r="39457" spans="6:6" x14ac:dyDescent="0.3">
      <c r="F39457" s="193"/>
    </row>
    <row r="39458" spans="6:6" x14ac:dyDescent="0.3">
      <c r="F39458" s="193"/>
    </row>
    <row r="39459" spans="6:6" x14ac:dyDescent="0.3">
      <c r="F39459" s="193"/>
    </row>
    <row r="39460" spans="6:6" x14ac:dyDescent="0.3">
      <c r="F39460" s="193"/>
    </row>
    <row r="39461" spans="6:6" x14ac:dyDescent="0.3">
      <c r="F39461" s="193"/>
    </row>
    <row r="39462" spans="6:6" x14ac:dyDescent="0.3">
      <c r="F39462" s="193"/>
    </row>
    <row r="39463" spans="6:6" x14ac:dyDescent="0.3">
      <c r="F39463" s="193"/>
    </row>
    <row r="39464" spans="6:6" x14ac:dyDescent="0.3">
      <c r="F39464" s="193"/>
    </row>
    <row r="39465" spans="6:6" x14ac:dyDescent="0.3">
      <c r="F39465" s="193"/>
    </row>
    <row r="39466" spans="6:6" x14ac:dyDescent="0.3">
      <c r="F39466" s="193"/>
    </row>
    <row r="39467" spans="6:6" x14ac:dyDescent="0.3">
      <c r="F39467" s="193"/>
    </row>
    <row r="39468" spans="6:6" x14ac:dyDescent="0.3">
      <c r="F39468" s="193"/>
    </row>
    <row r="39469" spans="6:6" x14ac:dyDescent="0.3">
      <c r="F39469" s="193"/>
    </row>
    <row r="39470" spans="6:6" x14ac:dyDescent="0.3">
      <c r="F39470" s="193"/>
    </row>
    <row r="39471" spans="6:6" x14ac:dyDescent="0.3">
      <c r="F39471" s="193"/>
    </row>
    <row r="39472" spans="6:6" x14ac:dyDescent="0.3">
      <c r="F39472" s="193"/>
    </row>
    <row r="39473" spans="6:6" x14ac:dyDescent="0.3">
      <c r="F39473" s="193"/>
    </row>
    <row r="39474" spans="6:6" x14ac:dyDescent="0.3">
      <c r="F39474" s="193"/>
    </row>
    <row r="39475" spans="6:6" x14ac:dyDescent="0.3">
      <c r="F39475" s="193"/>
    </row>
    <row r="39476" spans="6:6" x14ac:dyDescent="0.3">
      <c r="F39476" s="193"/>
    </row>
    <row r="39477" spans="6:6" x14ac:dyDescent="0.3">
      <c r="F39477" s="193"/>
    </row>
    <row r="39478" spans="6:6" x14ac:dyDescent="0.3">
      <c r="F39478" s="193"/>
    </row>
    <row r="39479" spans="6:6" x14ac:dyDescent="0.3">
      <c r="F39479" s="193"/>
    </row>
    <row r="39480" spans="6:6" x14ac:dyDescent="0.3">
      <c r="F39480" s="193"/>
    </row>
    <row r="39481" spans="6:6" x14ac:dyDescent="0.3">
      <c r="F39481" s="193"/>
    </row>
    <row r="39482" spans="6:6" x14ac:dyDescent="0.3">
      <c r="F39482" s="193"/>
    </row>
    <row r="39483" spans="6:6" x14ac:dyDescent="0.3">
      <c r="F39483" s="193"/>
    </row>
    <row r="39484" spans="6:6" x14ac:dyDescent="0.3">
      <c r="F39484" s="193"/>
    </row>
    <row r="39485" spans="6:6" x14ac:dyDescent="0.3">
      <c r="F39485" s="193"/>
    </row>
    <row r="39486" spans="6:6" x14ac:dyDescent="0.3">
      <c r="F39486" s="193"/>
    </row>
    <row r="39487" spans="6:6" x14ac:dyDescent="0.3">
      <c r="F39487" s="193"/>
    </row>
    <row r="39488" spans="6:6" x14ac:dyDescent="0.3">
      <c r="F39488" s="193"/>
    </row>
    <row r="39489" spans="6:6" x14ac:dyDescent="0.3">
      <c r="F39489" s="193"/>
    </row>
    <row r="39490" spans="6:6" x14ac:dyDescent="0.3">
      <c r="F39490" s="193"/>
    </row>
    <row r="39491" spans="6:6" x14ac:dyDescent="0.3">
      <c r="F39491" s="193"/>
    </row>
    <row r="39492" spans="6:6" x14ac:dyDescent="0.3">
      <c r="F39492" s="193"/>
    </row>
    <row r="39493" spans="6:6" x14ac:dyDescent="0.3">
      <c r="F39493" s="193"/>
    </row>
    <row r="39494" spans="6:6" x14ac:dyDescent="0.3">
      <c r="F39494" s="193"/>
    </row>
    <row r="39495" spans="6:6" x14ac:dyDescent="0.3">
      <c r="F39495" s="193"/>
    </row>
    <row r="39496" spans="6:6" x14ac:dyDescent="0.3">
      <c r="F39496" s="193"/>
    </row>
    <row r="39497" spans="6:6" x14ac:dyDescent="0.3">
      <c r="F39497" s="193"/>
    </row>
    <row r="39498" spans="6:6" x14ac:dyDescent="0.3">
      <c r="F39498" s="193"/>
    </row>
    <row r="39499" spans="6:6" x14ac:dyDescent="0.3">
      <c r="F39499" s="193"/>
    </row>
    <row r="39500" spans="6:6" x14ac:dyDescent="0.3">
      <c r="F39500" s="193"/>
    </row>
    <row r="39501" spans="6:6" x14ac:dyDescent="0.3">
      <c r="F39501" s="193"/>
    </row>
    <row r="39502" spans="6:6" x14ac:dyDescent="0.3">
      <c r="F39502" s="193"/>
    </row>
    <row r="39503" spans="6:6" x14ac:dyDescent="0.3">
      <c r="F39503" s="193"/>
    </row>
    <row r="39504" spans="6:6" x14ac:dyDescent="0.3">
      <c r="F39504" s="193"/>
    </row>
    <row r="39505" spans="6:6" x14ac:dyDescent="0.3">
      <c r="F39505" s="193"/>
    </row>
    <row r="39506" spans="6:6" x14ac:dyDescent="0.3">
      <c r="F39506" s="193"/>
    </row>
    <row r="39507" spans="6:6" x14ac:dyDescent="0.3">
      <c r="F39507" s="193"/>
    </row>
    <row r="39508" spans="6:6" x14ac:dyDescent="0.3">
      <c r="F39508" s="193"/>
    </row>
    <row r="39509" spans="6:6" x14ac:dyDescent="0.3">
      <c r="F39509" s="193"/>
    </row>
    <row r="39510" spans="6:6" x14ac:dyDescent="0.3">
      <c r="F39510" s="193"/>
    </row>
    <row r="39511" spans="6:6" x14ac:dyDescent="0.3">
      <c r="F39511" s="193"/>
    </row>
    <row r="39512" spans="6:6" x14ac:dyDescent="0.3">
      <c r="F39512" s="193"/>
    </row>
    <row r="39513" spans="6:6" x14ac:dyDescent="0.3">
      <c r="F39513" s="193"/>
    </row>
    <row r="39514" spans="6:6" x14ac:dyDescent="0.3">
      <c r="F39514" s="193"/>
    </row>
    <row r="39515" spans="6:6" x14ac:dyDescent="0.3">
      <c r="F39515" s="193"/>
    </row>
    <row r="39516" spans="6:6" x14ac:dyDescent="0.3">
      <c r="F39516" s="193"/>
    </row>
    <row r="39517" spans="6:6" x14ac:dyDescent="0.3">
      <c r="F39517" s="193"/>
    </row>
    <row r="39518" spans="6:6" x14ac:dyDescent="0.3">
      <c r="F39518" s="193"/>
    </row>
    <row r="39519" spans="6:6" x14ac:dyDescent="0.3">
      <c r="F39519" s="193"/>
    </row>
    <row r="39520" spans="6:6" x14ac:dyDescent="0.3">
      <c r="F39520" s="193"/>
    </row>
    <row r="39521" spans="6:6" x14ac:dyDescent="0.3">
      <c r="F39521" s="193"/>
    </row>
    <row r="39522" spans="6:6" x14ac:dyDescent="0.3">
      <c r="F39522" s="193"/>
    </row>
    <row r="39523" spans="6:6" x14ac:dyDescent="0.3">
      <c r="F39523" s="193"/>
    </row>
    <row r="39524" spans="6:6" x14ac:dyDescent="0.3">
      <c r="F39524" s="193"/>
    </row>
    <row r="39525" spans="6:6" x14ac:dyDescent="0.3">
      <c r="F39525" s="193"/>
    </row>
    <row r="39526" spans="6:6" x14ac:dyDescent="0.3">
      <c r="F39526" s="193"/>
    </row>
    <row r="39527" spans="6:6" x14ac:dyDescent="0.3">
      <c r="F39527" s="193"/>
    </row>
    <row r="39528" spans="6:6" x14ac:dyDescent="0.3">
      <c r="F39528" s="193"/>
    </row>
    <row r="39529" spans="6:6" x14ac:dyDescent="0.3">
      <c r="F39529" s="193"/>
    </row>
    <row r="39530" spans="6:6" x14ac:dyDescent="0.3">
      <c r="F39530" s="193"/>
    </row>
    <row r="39531" spans="6:6" x14ac:dyDescent="0.3">
      <c r="F39531" s="193"/>
    </row>
    <row r="39532" spans="6:6" x14ac:dyDescent="0.3">
      <c r="F39532" s="193"/>
    </row>
    <row r="39533" spans="6:6" x14ac:dyDescent="0.3">
      <c r="F39533" s="193"/>
    </row>
    <row r="39534" spans="6:6" x14ac:dyDescent="0.3">
      <c r="F39534" s="193"/>
    </row>
    <row r="39535" spans="6:6" x14ac:dyDescent="0.3">
      <c r="F39535" s="193"/>
    </row>
    <row r="39536" spans="6:6" x14ac:dyDescent="0.3">
      <c r="F39536" s="193"/>
    </row>
    <row r="39537" spans="6:6" x14ac:dyDescent="0.3">
      <c r="F39537" s="193"/>
    </row>
    <row r="39538" spans="6:6" x14ac:dyDescent="0.3">
      <c r="F39538" s="193"/>
    </row>
    <row r="39539" spans="6:6" x14ac:dyDescent="0.3">
      <c r="F39539" s="193"/>
    </row>
    <row r="39540" spans="6:6" x14ac:dyDescent="0.3">
      <c r="F39540" s="193"/>
    </row>
    <row r="39541" spans="6:6" x14ac:dyDescent="0.3">
      <c r="F39541" s="193"/>
    </row>
    <row r="39542" spans="6:6" x14ac:dyDescent="0.3">
      <c r="F39542" s="193"/>
    </row>
    <row r="39543" spans="6:6" x14ac:dyDescent="0.3">
      <c r="F39543" s="193"/>
    </row>
    <row r="39544" spans="6:6" x14ac:dyDescent="0.3">
      <c r="F39544" s="193"/>
    </row>
    <row r="39545" spans="6:6" x14ac:dyDescent="0.3">
      <c r="F39545" s="193"/>
    </row>
    <row r="39546" spans="6:6" x14ac:dyDescent="0.3">
      <c r="F39546" s="193"/>
    </row>
    <row r="39547" spans="6:6" x14ac:dyDescent="0.3">
      <c r="F39547" s="193"/>
    </row>
    <row r="39548" spans="6:6" x14ac:dyDescent="0.3">
      <c r="F39548" s="193"/>
    </row>
    <row r="39549" spans="6:6" x14ac:dyDescent="0.3">
      <c r="F39549" s="193"/>
    </row>
    <row r="39550" spans="6:6" x14ac:dyDescent="0.3">
      <c r="F39550" s="193"/>
    </row>
    <row r="39551" spans="6:6" x14ac:dyDescent="0.3">
      <c r="F39551" s="193"/>
    </row>
    <row r="39552" spans="6:6" x14ac:dyDescent="0.3">
      <c r="F39552" s="193"/>
    </row>
    <row r="39553" spans="6:6" x14ac:dyDescent="0.3">
      <c r="F39553" s="193"/>
    </row>
    <row r="39554" spans="6:6" x14ac:dyDescent="0.3">
      <c r="F39554" s="193"/>
    </row>
    <row r="39555" spans="6:6" x14ac:dyDescent="0.3">
      <c r="F39555" s="193"/>
    </row>
    <row r="39556" spans="6:6" x14ac:dyDescent="0.3">
      <c r="F39556" s="193"/>
    </row>
    <row r="39557" spans="6:6" x14ac:dyDescent="0.3">
      <c r="F39557" s="193"/>
    </row>
    <row r="39558" spans="6:6" x14ac:dyDescent="0.3">
      <c r="F39558" s="193"/>
    </row>
    <row r="39559" spans="6:6" x14ac:dyDescent="0.3">
      <c r="F39559" s="193"/>
    </row>
    <row r="39560" spans="6:6" x14ac:dyDescent="0.3">
      <c r="F39560" s="193"/>
    </row>
    <row r="39561" spans="6:6" x14ac:dyDescent="0.3">
      <c r="F39561" s="193"/>
    </row>
    <row r="39562" spans="6:6" x14ac:dyDescent="0.3">
      <c r="F39562" s="193"/>
    </row>
    <row r="39563" spans="6:6" x14ac:dyDescent="0.3">
      <c r="F39563" s="193"/>
    </row>
    <row r="39564" spans="6:6" x14ac:dyDescent="0.3">
      <c r="F39564" s="193"/>
    </row>
    <row r="39565" spans="6:6" x14ac:dyDescent="0.3">
      <c r="F39565" s="193"/>
    </row>
    <row r="39566" spans="6:6" x14ac:dyDescent="0.3">
      <c r="F39566" s="193"/>
    </row>
    <row r="39567" spans="6:6" x14ac:dyDescent="0.3">
      <c r="F39567" s="193"/>
    </row>
    <row r="39568" spans="6:6" x14ac:dyDescent="0.3">
      <c r="F39568" s="193"/>
    </row>
    <row r="39569" spans="6:6" x14ac:dyDescent="0.3">
      <c r="F39569" s="193"/>
    </row>
    <row r="39570" spans="6:6" x14ac:dyDescent="0.3">
      <c r="F39570" s="193"/>
    </row>
    <row r="39571" spans="6:6" x14ac:dyDescent="0.3">
      <c r="F39571" s="193"/>
    </row>
    <row r="39572" spans="6:6" x14ac:dyDescent="0.3">
      <c r="F39572" s="193"/>
    </row>
    <row r="39573" spans="6:6" x14ac:dyDescent="0.3">
      <c r="F39573" s="193"/>
    </row>
    <row r="39574" spans="6:6" x14ac:dyDescent="0.3">
      <c r="F39574" s="193"/>
    </row>
    <row r="39575" spans="6:6" x14ac:dyDescent="0.3">
      <c r="F39575" s="193"/>
    </row>
    <row r="39576" spans="6:6" x14ac:dyDescent="0.3">
      <c r="F39576" s="193"/>
    </row>
    <row r="39577" spans="6:6" x14ac:dyDescent="0.3">
      <c r="F39577" s="193"/>
    </row>
    <row r="39578" spans="6:6" x14ac:dyDescent="0.3">
      <c r="F39578" s="193"/>
    </row>
    <row r="39579" spans="6:6" x14ac:dyDescent="0.3">
      <c r="F39579" s="193"/>
    </row>
    <row r="39580" spans="6:6" x14ac:dyDescent="0.3">
      <c r="F39580" s="193"/>
    </row>
    <row r="39581" spans="6:6" x14ac:dyDescent="0.3">
      <c r="F39581" s="193"/>
    </row>
    <row r="39582" spans="6:6" x14ac:dyDescent="0.3">
      <c r="F39582" s="193"/>
    </row>
    <row r="39583" spans="6:6" x14ac:dyDescent="0.3">
      <c r="F39583" s="193"/>
    </row>
    <row r="39584" spans="6:6" x14ac:dyDescent="0.3">
      <c r="F39584" s="193"/>
    </row>
    <row r="39585" spans="6:6" x14ac:dyDescent="0.3">
      <c r="F39585" s="193"/>
    </row>
    <row r="39586" spans="6:6" x14ac:dyDescent="0.3">
      <c r="F39586" s="193"/>
    </row>
    <row r="39587" spans="6:6" x14ac:dyDescent="0.3">
      <c r="F39587" s="193"/>
    </row>
    <row r="39588" spans="6:6" x14ac:dyDescent="0.3">
      <c r="F39588" s="193"/>
    </row>
    <row r="39589" spans="6:6" x14ac:dyDescent="0.3">
      <c r="F39589" s="193"/>
    </row>
    <row r="39590" spans="6:6" x14ac:dyDescent="0.3">
      <c r="F39590" s="193"/>
    </row>
    <row r="39591" spans="6:6" x14ac:dyDescent="0.3">
      <c r="F39591" s="193"/>
    </row>
    <row r="39592" spans="6:6" x14ac:dyDescent="0.3">
      <c r="F39592" s="193"/>
    </row>
    <row r="39593" spans="6:6" x14ac:dyDescent="0.3">
      <c r="F39593" s="193"/>
    </row>
    <row r="39594" spans="6:6" x14ac:dyDescent="0.3">
      <c r="F39594" s="193"/>
    </row>
    <row r="39595" spans="6:6" x14ac:dyDescent="0.3">
      <c r="F39595" s="193"/>
    </row>
    <row r="39596" spans="6:6" x14ac:dyDescent="0.3">
      <c r="F39596" s="193"/>
    </row>
    <row r="39597" spans="6:6" x14ac:dyDescent="0.3">
      <c r="F39597" s="193"/>
    </row>
    <row r="39598" spans="6:6" x14ac:dyDescent="0.3">
      <c r="F39598" s="193"/>
    </row>
    <row r="39599" spans="6:6" x14ac:dyDescent="0.3">
      <c r="F39599" s="193"/>
    </row>
    <row r="39600" spans="6:6" x14ac:dyDescent="0.3">
      <c r="F39600" s="193"/>
    </row>
    <row r="39601" spans="6:6" x14ac:dyDescent="0.3">
      <c r="F39601" s="193"/>
    </row>
    <row r="39602" spans="6:6" x14ac:dyDescent="0.3">
      <c r="F39602" s="193"/>
    </row>
    <row r="39603" spans="6:6" x14ac:dyDescent="0.3">
      <c r="F39603" s="193"/>
    </row>
    <row r="39604" spans="6:6" x14ac:dyDescent="0.3">
      <c r="F39604" s="193"/>
    </row>
    <row r="39605" spans="6:6" x14ac:dyDescent="0.3">
      <c r="F39605" s="193"/>
    </row>
    <row r="39606" spans="6:6" x14ac:dyDescent="0.3">
      <c r="F39606" s="193"/>
    </row>
    <row r="39607" spans="6:6" x14ac:dyDescent="0.3">
      <c r="F39607" s="193"/>
    </row>
    <row r="39608" spans="6:6" x14ac:dyDescent="0.3">
      <c r="F39608" s="193"/>
    </row>
    <row r="39609" spans="6:6" x14ac:dyDescent="0.3">
      <c r="F39609" s="193"/>
    </row>
    <row r="39610" spans="6:6" x14ac:dyDescent="0.3">
      <c r="F39610" s="193"/>
    </row>
    <row r="39611" spans="6:6" x14ac:dyDescent="0.3">
      <c r="F39611" s="193"/>
    </row>
    <row r="39612" spans="6:6" x14ac:dyDescent="0.3">
      <c r="F39612" s="193"/>
    </row>
    <row r="39613" spans="6:6" x14ac:dyDescent="0.3">
      <c r="F39613" s="193"/>
    </row>
    <row r="39614" spans="6:6" x14ac:dyDescent="0.3">
      <c r="F39614" s="193"/>
    </row>
    <row r="39615" spans="6:6" x14ac:dyDescent="0.3">
      <c r="F39615" s="193"/>
    </row>
    <row r="39616" spans="6:6" x14ac:dyDescent="0.3">
      <c r="F39616" s="193"/>
    </row>
    <row r="39617" spans="6:6" x14ac:dyDescent="0.3">
      <c r="F39617" s="193"/>
    </row>
    <row r="39618" spans="6:6" x14ac:dyDescent="0.3">
      <c r="F39618" s="193"/>
    </row>
    <row r="39619" spans="6:6" x14ac:dyDescent="0.3">
      <c r="F39619" s="193"/>
    </row>
    <row r="39620" spans="6:6" x14ac:dyDescent="0.3">
      <c r="F39620" s="193"/>
    </row>
    <row r="39621" spans="6:6" x14ac:dyDescent="0.3">
      <c r="F39621" s="193"/>
    </row>
    <row r="39622" spans="6:6" x14ac:dyDescent="0.3">
      <c r="F39622" s="193"/>
    </row>
    <row r="39623" spans="6:6" x14ac:dyDescent="0.3">
      <c r="F39623" s="193"/>
    </row>
    <row r="39624" spans="6:6" x14ac:dyDescent="0.3">
      <c r="F39624" s="193"/>
    </row>
    <row r="39625" spans="6:6" x14ac:dyDescent="0.3">
      <c r="F39625" s="193"/>
    </row>
    <row r="39626" spans="6:6" x14ac:dyDescent="0.3">
      <c r="F39626" s="193"/>
    </row>
    <row r="39627" spans="6:6" x14ac:dyDescent="0.3">
      <c r="F39627" s="193"/>
    </row>
    <row r="39628" spans="6:6" x14ac:dyDescent="0.3">
      <c r="F39628" s="193"/>
    </row>
    <row r="39629" spans="6:6" x14ac:dyDescent="0.3">
      <c r="F39629" s="193"/>
    </row>
    <row r="39630" spans="6:6" x14ac:dyDescent="0.3">
      <c r="F39630" s="193"/>
    </row>
    <row r="39631" spans="6:6" x14ac:dyDescent="0.3">
      <c r="F39631" s="193"/>
    </row>
    <row r="39632" spans="6:6" x14ac:dyDescent="0.3">
      <c r="F39632" s="193"/>
    </row>
    <row r="39633" spans="6:6" x14ac:dyDescent="0.3">
      <c r="F39633" s="193"/>
    </row>
    <row r="39634" spans="6:6" x14ac:dyDescent="0.3">
      <c r="F39634" s="193"/>
    </row>
    <row r="39635" spans="6:6" x14ac:dyDescent="0.3">
      <c r="F39635" s="193"/>
    </row>
    <row r="39636" spans="6:6" x14ac:dyDescent="0.3">
      <c r="F39636" s="193"/>
    </row>
    <row r="39637" spans="6:6" x14ac:dyDescent="0.3">
      <c r="F39637" s="193"/>
    </row>
    <row r="39638" spans="6:6" x14ac:dyDescent="0.3">
      <c r="F39638" s="193"/>
    </row>
    <row r="39639" spans="6:6" x14ac:dyDescent="0.3">
      <c r="F39639" s="193"/>
    </row>
    <row r="39640" spans="6:6" x14ac:dyDescent="0.3">
      <c r="F39640" s="193"/>
    </row>
    <row r="39641" spans="6:6" x14ac:dyDescent="0.3">
      <c r="F39641" s="193"/>
    </row>
    <row r="39642" spans="6:6" x14ac:dyDescent="0.3">
      <c r="F39642" s="193"/>
    </row>
    <row r="39643" spans="6:6" x14ac:dyDescent="0.3">
      <c r="F39643" s="193"/>
    </row>
    <row r="39644" spans="6:6" x14ac:dyDescent="0.3">
      <c r="F39644" s="193"/>
    </row>
    <row r="39645" spans="6:6" x14ac:dyDescent="0.3">
      <c r="F39645" s="193"/>
    </row>
    <row r="39646" spans="6:6" x14ac:dyDescent="0.3">
      <c r="F39646" s="193"/>
    </row>
    <row r="39647" spans="6:6" x14ac:dyDescent="0.3">
      <c r="F39647" s="193"/>
    </row>
    <row r="39648" spans="6:6" x14ac:dyDescent="0.3">
      <c r="F39648" s="193"/>
    </row>
    <row r="39649" spans="6:6" x14ac:dyDescent="0.3">
      <c r="F39649" s="193"/>
    </row>
    <row r="39650" spans="6:6" x14ac:dyDescent="0.3">
      <c r="F39650" s="193"/>
    </row>
    <row r="39651" spans="6:6" x14ac:dyDescent="0.3">
      <c r="F39651" s="193"/>
    </row>
    <row r="39652" spans="6:6" x14ac:dyDescent="0.3">
      <c r="F39652" s="193"/>
    </row>
    <row r="39653" spans="6:6" x14ac:dyDescent="0.3">
      <c r="F39653" s="193"/>
    </row>
    <row r="39654" spans="6:6" x14ac:dyDescent="0.3">
      <c r="F39654" s="193"/>
    </row>
    <row r="39655" spans="6:6" x14ac:dyDescent="0.3">
      <c r="F39655" s="193"/>
    </row>
    <row r="39656" spans="6:6" x14ac:dyDescent="0.3">
      <c r="F39656" s="193"/>
    </row>
    <row r="39657" spans="6:6" x14ac:dyDescent="0.3">
      <c r="F39657" s="193"/>
    </row>
    <row r="39658" spans="6:6" x14ac:dyDescent="0.3">
      <c r="F39658" s="193"/>
    </row>
    <row r="39659" spans="6:6" x14ac:dyDescent="0.3">
      <c r="F39659" s="193"/>
    </row>
    <row r="39660" spans="6:6" x14ac:dyDescent="0.3">
      <c r="F39660" s="193"/>
    </row>
    <row r="39661" spans="6:6" x14ac:dyDescent="0.3">
      <c r="F39661" s="193"/>
    </row>
    <row r="39662" spans="6:6" x14ac:dyDescent="0.3">
      <c r="F39662" s="193"/>
    </row>
    <row r="39663" spans="6:6" x14ac:dyDescent="0.3">
      <c r="F39663" s="193"/>
    </row>
    <row r="39664" spans="6:6" x14ac:dyDescent="0.3">
      <c r="F39664" s="193"/>
    </row>
    <row r="39665" spans="6:6" x14ac:dyDescent="0.3">
      <c r="F39665" s="193"/>
    </row>
    <row r="39666" spans="6:6" x14ac:dyDescent="0.3">
      <c r="F39666" s="193"/>
    </row>
    <row r="39667" spans="6:6" x14ac:dyDescent="0.3">
      <c r="F39667" s="193"/>
    </row>
    <row r="39668" spans="6:6" x14ac:dyDescent="0.3">
      <c r="F39668" s="193"/>
    </row>
    <row r="39669" spans="6:6" x14ac:dyDescent="0.3">
      <c r="F39669" s="193"/>
    </row>
    <row r="39670" spans="6:6" x14ac:dyDescent="0.3">
      <c r="F39670" s="193"/>
    </row>
    <row r="39671" spans="6:6" x14ac:dyDescent="0.3">
      <c r="F39671" s="193"/>
    </row>
    <row r="39672" spans="6:6" x14ac:dyDescent="0.3">
      <c r="F39672" s="193"/>
    </row>
    <row r="39673" spans="6:6" x14ac:dyDescent="0.3">
      <c r="F39673" s="193"/>
    </row>
    <row r="39674" spans="6:6" x14ac:dyDescent="0.3">
      <c r="F39674" s="193"/>
    </row>
    <row r="39675" spans="6:6" x14ac:dyDescent="0.3">
      <c r="F39675" s="193"/>
    </row>
    <row r="39676" spans="6:6" x14ac:dyDescent="0.3">
      <c r="F39676" s="193"/>
    </row>
    <row r="39677" spans="6:6" x14ac:dyDescent="0.3">
      <c r="F39677" s="193"/>
    </row>
    <row r="39678" spans="6:6" x14ac:dyDescent="0.3">
      <c r="F39678" s="193"/>
    </row>
    <row r="39679" spans="6:6" x14ac:dyDescent="0.3">
      <c r="F39679" s="193"/>
    </row>
    <row r="39680" spans="6:6" x14ac:dyDescent="0.3">
      <c r="F39680" s="193"/>
    </row>
    <row r="39681" spans="6:6" x14ac:dyDescent="0.3">
      <c r="F39681" s="193"/>
    </row>
    <row r="39682" spans="6:6" x14ac:dyDescent="0.3">
      <c r="F39682" s="193"/>
    </row>
    <row r="39683" spans="6:6" x14ac:dyDescent="0.3">
      <c r="F39683" s="193"/>
    </row>
    <row r="39684" spans="6:6" x14ac:dyDescent="0.3">
      <c r="F39684" s="193"/>
    </row>
    <row r="39685" spans="6:6" x14ac:dyDescent="0.3">
      <c r="F39685" s="193"/>
    </row>
    <row r="39686" spans="6:6" x14ac:dyDescent="0.3">
      <c r="F39686" s="193"/>
    </row>
    <row r="39687" spans="6:6" x14ac:dyDescent="0.3">
      <c r="F39687" s="193"/>
    </row>
    <row r="39688" spans="6:6" x14ac:dyDescent="0.3">
      <c r="F39688" s="193"/>
    </row>
    <row r="39689" spans="6:6" x14ac:dyDescent="0.3">
      <c r="F39689" s="193"/>
    </row>
    <row r="39690" spans="6:6" x14ac:dyDescent="0.3">
      <c r="F39690" s="193"/>
    </row>
    <row r="39691" spans="6:6" x14ac:dyDescent="0.3">
      <c r="F39691" s="193"/>
    </row>
    <row r="39692" spans="6:6" x14ac:dyDescent="0.3">
      <c r="F39692" s="193"/>
    </row>
    <row r="39693" spans="6:6" x14ac:dyDescent="0.3">
      <c r="F39693" s="193"/>
    </row>
    <row r="39694" spans="6:6" x14ac:dyDescent="0.3">
      <c r="F39694" s="193"/>
    </row>
    <row r="39695" spans="6:6" x14ac:dyDescent="0.3">
      <c r="F39695" s="193"/>
    </row>
    <row r="39696" spans="6:6" x14ac:dyDescent="0.3">
      <c r="F39696" s="193"/>
    </row>
    <row r="39697" spans="6:6" x14ac:dyDescent="0.3">
      <c r="F39697" s="193"/>
    </row>
    <row r="39698" spans="6:6" x14ac:dyDescent="0.3">
      <c r="F39698" s="193"/>
    </row>
    <row r="39699" spans="6:6" x14ac:dyDescent="0.3">
      <c r="F39699" s="193"/>
    </row>
    <row r="39700" spans="6:6" x14ac:dyDescent="0.3">
      <c r="F39700" s="193"/>
    </row>
    <row r="39701" spans="6:6" x14ac:dyDescent="0.3">
      <c r="F39701" s="193"/>
    </row>
    <row r="39702" spans="6:6" x14ac:dyDescent="0.3">
      <c r="F39702" s="193"/>
    </row>
    <row r="39703" spans="6:6" x14ac:dyDescent="0.3">
      <c r="F39703" s="193"/>
    </row>
    <row r="39704" spans="6:6" x14ac:dyDescent="0.3">
      <c r="F39704" s="193"/>
    </row>
    <row r="39705" spans="6:6" x14ac:dyDescent="0.3">
      <c r="F39705" s="193"/>
    </row>
    <row r="39706" spans="6:6" x14ac:dyDescent="0.3">
      <c r="F39706" s="193"/>
    </row>
    <row r="39707" spans="6:6" x14ac:dyDescent="0.3">
      <c r="F39707" s="193"/>
    </row>
    <row r="39708" spans="6:6" x14ac:dyDescent="0.3">
      <c r="F39708" s="193"/>
    </row>
    <row r="39709" spans="6:6" x14ac:dyDescent="0.3">
      <c r="F39709" s="193"/>
    </row>
    <row r="39710" spans="6:6" x14ac:dyDescent="0.3">
      <c r="F39710" s="193"/>
    </row>
    <row r="39711" spans="6:6" x14ac:dyDescent="0.3">
      <c r="F39711" s="193"/>
    </row>
    <row r="39712" spans="6:6" x14ac:dyDescent="0.3">
      <c r="F39712" s="193"/>
    </row>
    <row r="39713" spans="6:6" x14ac:dyDescent="0.3">
      <c r="F39713" s="193"/>
    </row>
    <row r="39714" spans="6:6" x14ac:dyDescent="0.3">
      <c r="F39714" s="193"/>
    </row>
    <row r="39715" spans="6:6" x14ac:dyDescent="0.3">
      <c r="F39715" s="193"/>
    </row>
    <row r="39716" spans="6:6" x14ac:dyDescent="0.3">
      <c r="F39716" s="193"/>
    </row>
    <row r="39717" spans="6:6" x14ac:dyDescent="0.3">
      <c r="F39717" s="193"/>
    </row>
    <row r="39718" spans="6:6" x14ac:dyDescent="0.3">
      <c r="F39718" s="193"/>
    </row>
    <row r="39719" spans="6:6" x14ac:dyDescent="0.3">
      <c r="F39719" s="193"/>
    </row>
    <row r="39720" spans="6:6" x14ac:dyDescent="0.3">
      <c r="F39720" s="193"/>
    </row>
    <row r="39721" spans="6:6" x14ac:dyDescent="0.3">
      <c r="F39721" s="193"/>
    </row>
    <row r="39722" spans="6:6" x14ac:dyDescent="0.3">
      <c r="F39722" s="193"/>
    </row>
    <row r="39723" spans="6:6" x14ac:dyDescent="0.3">
      <c r="F39723" s="193"/>
    </row>
    <row r="39724" spans="6:6" x14ac:dyDescent="0.3">
      <c r="F39724" s="193"/>
    </row>
    <row r="39725" spans="6:6" x14ac:dyDescent="0.3">
      <c r="F39725" s="193"/>
    </row>
    <row r="39726" spans="6:6" x14ac:dyDescent="0.3">
      <c r="F39726" s="193"/>
    </row>
    <row r="39727" spans="6:6" x14ac:dyDescent="0.3">
      <c r="F39727" s="193"/>
    </row>
    <row r="39728" spans="6:6" x14ac:dyDescent="0.3">
      <c r="F39728" s="193"/>
    </row>
    <row r="39729" spans="6:6" x14ac:dyDescent="0.3">
      <c r="F39729" s="193"/>
    </row>
    <row r="39730" spans="6:6" x14ac:dyDescent="0.3">
      <c r="F39730" s="193"/>
    </row>
    <row r="39731" spans="6:6" x14ac:dyDescent="0.3">
      <c r="F39731" s="193"/>
    </row>
    <row r="39732" spans="6:6" x14ac:dyDescent="0.3">
      <c r="F39732" s="193"/>
    </row>
    <row r="39733" spans="6:6" x14ac:dyDescent="0.3">
      <c r="F39733" s="193"/>
    </row>
    <row r="39734" spans="6:6" x14ac:dyDescent="0.3">
      <c r="F39734" s="193"/>
    </row>
    <row r="39735" spans="6:6" x14ac:dyDescent="0.3">
      <c r="F39735" s="193"/>
    </row>
    <row r="39736" spans="6:6" x14ac:dyDescent="0.3">
      <c r="F39736" s="193"/>
    </row>
    <row r="39737" spans="6:6" x14ac:dyDescent="0.3">
      <c r="F39737" s="193"/>
    </row>
    <row r="39738" spans="6:6" x14ac:dyDescent="0.3">
      <c r="F39738" s="193"/>
    </row>
    <row r="39739" spans="6:6" x14ac:dyDescent="0.3">
      <c r="F39739" s="193"/>
    </row>
    <row r="39740" spans="6:6" x14ac:dyDescent="0.3">
      <c r="F39740" s="193"/>
    </row>
    <row r="39741" spans="6:6" x14ac:dyDescent="0.3">
      <c r="F39741" s="193"/>
    </row>
    <row r="39742" spans="6:6" x14ac:dyDescent="0.3">
      <c r="F39742" s="193"/>
    </row>
    <row r="39743" spans="6:6" x14ac:dyDescent="0.3">
      <c r="F39743" s="193"/>
    </row>
    <row r="39744" spans="6:6" x14ac:dyDescent="0.3">
      <c r="F39744" s="193"/>
    </row>
    <row r="39745" spans="6:6" x14ac:dyDescent="0.3">
      <c r="F39745" s="193"/>
    </row>
    <row r="39746" spans="6:6" x14ac:dyDescent="0.3">
      <c r="F39746" s="193"/>
    </row>
    <row r="39747" spans="6:6" x14ac:dyDescent="0.3">
      <c r="F39747" s="193"/>
    </row>
    <row r="39748" spans="6:6" x14ac:dyDescent="0.3">
      <c r="F39748" s="193"/>
    </row>
    <row r="39749" spans="6:6" x14ac:dyDescent="0.3">
      <c r="F39749" s="193"/>
    </row>
    <row r="39750" spans="6:6" x14ac:dyDescent="0.3">
      <c r="F39750" s="193"/>
    </row>
    <row r="39751" spans="6:6" x14ac:dyDescent="0.3">
      <c r="F39751" s="193"/>
    </row>
    <row r="39752" spans="6:6" x14ac:dyDescent="0.3">
      <c r="F39752" s="193"/>
    </row>
    <row r="39753" spans="6:6" x14ac:dyDescent="0.3">
      <c r="F39753" s="193"/>
    </row>
    <row r="39754" spans="6:6" x14ac:dyDescent="0.3">
      <c r="F39754" s="193"/>
    </row>
    <row r="39755" spans="6:6" x14ac:dyDescent="0.3">
      <c r="F39755" s="193"/>
    </row>
    <row r="39756" spans="6:6" x14ac:dyDescent="0.3">
      <c r="F39756" s="193"/>
    </row>
    <row r="39757" spans="6:6" x14ac:dyDescent="0.3">
      <c r="F39757" s="193"/>
    </row>
    <row r="39758" spans="6:6" x14ac:dyDescent="0.3">
      <c r="F39758" s="193"/>
    </row>
    <row r="39759" spans="6:6" x14ac:dyDescent="0.3">
      <c r="F39759" s="193"/>
    </row>
    <row r="39760" spans="6:6" x14ac:dyDescent="0.3">
      <c r="F39760" s="193"/>
    </row>
    <row r="39761" spans="6:6" x14ac:dyDescent="0.3">
      <c r="F39761" s="193"/>
    </row>
    <row r="39762" spans="6:6" x14ac:dyDescent="0.3">
      <c r="F39762" s="193"/>
    </row>
    <row r="39763" spans="6:6" x14ac:dyDescent="0.3">
      <c r="F39763" s="193"/>
    </row>
    <row r="39764" spans="6:6" x14ac:dyDescent="0.3">
      <c r="F39764" s="193"/>
    </row>
    <row r="39765" spans="6:6" x14ac:dyDescent="0.3">
      <c r="F39765" s="193"/>
    </row>
    <row r="39766" spans="6:6" x14ac:dyDescent="0.3">
      <c r="F39766" s="193"/>
    </row>
    <row r="39767" spans="6:6" x14ac:dyDescent="0.3">
      <c r="F39767" s="193"/>
    </row>
    <row r="39768" spans="6:6" x14ac:dyDescent="0.3">
      <c r="F39768" s="193"/>
    </row>
    <row r="39769" spans="6:6" x14ac:dyDescent="0.3">
      <c r="F39769" s="193"/>
    </row>
    <row r="39770" spans="6:6" x14ac:dyDescent="0.3">
      <c r="F39770" s="193"/>
    </row>
    <row r="39771" spans="6:6" x14ac:dyDescent="0.3">
      <c r="F39771" s="193"/>
    </row>
    <row r="39772" spans="6:6" x14ac:dyDescent="0.3">
      <c r="F39772" s="193"/>
    </row>
    <row r="39773" spans="6:6" x14ac:dyDescent="0.3">
      <c r="F39773" s="193"/>
    </row>
    <row r="39774" spans="6:6" x14ac:dyDescent="0.3">
      <c r="F39774" s="193"/>
    </row>
    <row r="39775" spans="6:6" x14ac:dyDescent="0.3">
      <c r="F39775" s="193"/>
    </row>
    <row r="39776" spans="6:6" x14ac:dyDescent="0.3">
      <c r="F39776" s="193"/>
    </row>
    <row r="39777" spans="6:6" x14ac:dyDescent="0.3">
      <c r="F39777" s="193"/>
    </row>
    <row r="39778" spans="6:6" x14ac:dyDescent="0.3">
      <c r="F39778" s="193"/>
    </row>
    <row r="39779" spans="6:6" x14ac:dyDescent="0.3">
      <c r="F39779" s="193"/>
    </row>
    <row r="39780" spans="6:6" x14ac:dyDescent="0.3">
      <c r="F39780" s="193"/>
    </row>
    <row r="39781" spans="6:6" x14ac:dyDescent="0.3">
      <c r="F39781" s="193"/>
    </row>
    <row r="39782" spans="6:6" x14ac:dyDescent="0.3">
      <c r="F39782" s="193"/>
    </row>
    <row r="39783" spans="6:6" x14ac:dyDescent="0.3">
      <c r="F39783" s="193"/>
    </row>
    <row r="39784" spans="6:6" x14ac:dyDescent="0.3">
      <c r="F39784" s="193"/>
    </row>
    <row r="39785" spans="6:6" x14ac:dyDescent="0.3">
      <c r="F39785" s="193"/>
    </row>
    <row r="39786" spans="6:6" x14ac:dyDescent="0.3">
      <c r="F39786" s="193"/>
    </row>
    <row r="39787" spans="6:6" x14ac:dyDescent="0.3">
      <c r="F39787" s="193"/>
    </row>
    <row r="39788" spans="6:6" x14ac:dyDescent="0.3">
      <c r="F39788" s="193"/>
    </row>
    <row r="39789" spans="6:6" x14ac:dyDescent="0.3">
      <c r="F39789" s="193"/>
    </row>
    <row r="39790" spans="6:6" x14ac:dyDescent="0.3">
      <c r="F39790" s="193"/>
    </row>
    <row r="39791" spans="6:6" x14ac:dyDescent="0.3">
      <c r="F39791" s="193"/>
    </row>
    <row r="39792" spans="6:6" x14ac:dyDescent="0.3">
      <c r="F39792" s="193"/>
    </row>
    <row r="39793" spans="6:6" x14ac:dyDescent="0.3">
      <c r="F39793" s="193"/>
    </row>
    <row r="39794" spans="6:6" x14ac:dyDescent="0.3">
      <c r="F39794" s="193"/>
    </row>
    <row r="39795" spans="6:6" x14ac:dyDescent="0.3">
      <c r="F39795" s="193"/>
    </row>
    <row r="39796" spans="6:6" x14ac:dyDescent="0.3">
      <c r="F39796" s="193"/>
    </row>
    <row r="39797" spans="6:6" x14ac:dyDescent="0.3">
      <c r="F39797" s="193"/>
    </row>
    <row r="39798" spans="6:6" x14ac:dyDescent="0.3">
      <c r="F39798" s="193"/>
    </row>
    <row r="39799" spans="6:6" x14ac:dyDescent="0.3">
      <c r="F39799" s="193"/>
    </row>
    <row r="39800" spans="6:6" x14ac:dyDescent="0.3">
      <c r="F39800" s="193"/>
    </row>
    <row r="39801" spans="6:6" x14ac:dyDescent="0.3">
      <c r="F39801" s="193"/>
    </row>
    <row r="39802" spans="6:6" x14ac:dyDescent="0.3">
      <c r="F39802" s="193"/>
    </row>
    <row r="39803" spans="6:6" x14ac:dyDescent="0.3">
      <c r="F39803" s="193"/>
    </row>
    <row r="39804" spans="6:6" x14ac:dyDescent="0.3">
      <c r="F39804" s="193"/>
    </row>
    <row r="39805" spans="6:6" x14ac:dyDescent="0.3">
      <c r="F39805" s="193"/>
    </row>
    <row r="39806" spans="6:6" x14ac:dyDescent="0.3">
      <c r="F39806" s="193"/>
    </row>
    <row r="39807" spans="6:6" x14ac:dyDescent="0.3">
      <c r="F39807" s="193"/>
    </row>
    <row r="39808" spans="6:6" x14ac:dyDescent="0.3">
      <c r="F39808" s="193"/>
    </row>
    <row r="39809" spans="6:6" x14ac:dyDescent="0.3">
      <c r="F39809" s="193"/>
    </row>
    <row r="39810" spans="6:6" x14ac:dyDescent="0.3">
      <c r="F39810" s="193"/>
    </row>
    <row r="39811" spans="6:6" x14ac:dyDescent="0.3">
      <c r="F39811" s="193"/>
    </row>
    <row r="39812" spans="6:6" x14ac:dyDescent="0.3">
      <c r="F39812" s="193"/>
    </row>
    <row r="39813" spans="6:6" x14ac:dyDescent="0.3">
      <c r="F39813" s="193"/>
    </row>
    <row r="39814" spans="6:6" x14ac:dyDescent="0.3">
      <c r="F39814" s="193"/>
    </row>
    <row r="39815" spans="6:6" x14ac:dyDescent="0.3">
      <c r="F39815" s="193"/>
    </row>
    <row r="39816" spans="6:6" x14ac:dyDescent="0.3">
      <c r="F39816" s="193"/>
    </row>
    <row r="39817" spans="6:6" x14ac:dyDescent="0.3">
      <c r="F39817" s="193"/>
    </row>
    <row r="39818" spans="6:6" x14ac:dyDescent="0.3">
      <c r="F39818" s="193"/>
    </row>
    <row r="39819" spans="6:6" x14ac:dyDescent="0.3">
      <c r="F39819" s="193"/>
    </row>
    <row r="39820" spans="6:6" x14ac:dyDescent="0.3">
      <c r="F39820" s="193"/>
    </row>
    <row r="39821" spans="6:6" x14ac:dyDescent="0.3">
      <c r="F39821" s="193"/>
    </row>
    <row r="39822" spans="6:6" x14ac:dyDescent="0.3">
      <c r="F39822" s="193"/>
    </row>
    <row r="39823" spans="6:6" x14ac:dyDescent="0.3">
      <c r="F39823" s="193"/>
    </row>
    <row r="39824" spans="6:6" x14ac:dyDescent="0.3">
      <c r="F39824" s="193"/>
    </row>
    <row r="39825" spans="6:6" x14ac:dyDescent="0.3">
      <c r="F39825" s="193"/>
    </row>
    <row r="39826" spans="6:6" x14ac:dyDescent="0.3">
      <c r="F39826" s="193"/>
    </row>
    <row r="39827" spans="6:6" x14ac:dyDescent="0.3">
      <c r="F39827" s="193"/>
    </row>
    <row r="39828" spans="6:6" x14ac:dyDescent="0.3">
      <c r="F39828" s="193"/>
    </row>
    <row r="39829" spans="6:6" x14ac:dyDescent="0.3">
      <c r="F39829" s="193"/>
    </row>
    <row r="39830" spans="6:6" x14ac:dyDescent="0.3">
      <c r="F39830" s="193"/>
    </row>
    <row r="39831" spans="6:6" x14ac:dyDescent="0.3">
      <c r="F39831" s="193"/>
    </row>
    <row r="39832" spans="6:6" x14ac:dyDescent="0.3">
      <c r="F39832" s="193"/>
    </row>
    <row r="39833" spans="6:6" x14ac:dyDescent="0.3">
      <c r="F39833" s="193"/>
    </row>
    <row r="39834" spans="6:6" x14ac:dyDescent="0.3">
      <c r="F39834" s="193"/>
    </row>
    <row r="39835" spans="6:6" x14ac:dyDescent="0.3">
      <c r="F39835" s="193"/>
    </row>
    <row r="39836" spans="6:6" x14ac:dyDescent="0.3">
      <c r="F39836" s="193"/>
    </row>
    <row r="39837" spans="6:6" x14ac:dyDescent="0.3">
      <c r="F39837" s="193"/>
    </row>
    <row r="39838" spans="6:6" x14ac:dyDescent="0.3">
      <c r="F39838" s="193"/>
    </row>
    <row r="39839" spans="6:6" x14ac:dyDescent="0.3">
      <c r="F39839" s="193"/>
    </row>
    <row r="39840" spans="6:6" x14ac:dyDescent="0.3">
      <c r="F39840" s="193"/>
    </row>
    <row r="39841" spans="6:6" x14ac:dyDescent="0.3">
      <c r="F39841" s="193"/>
    </row>
    <row r="39842" spans="6:6" x14ac:dyDescent="0.3">
      <c r="F39842" s="193"/>
    </row>
    <row r="39843" spans="6:6" x14ac:dyDescent="0.3">
      <c r="F39843" s="193"/>
    </row>
    <row r="39844" spans="6:6" x14ac:dyDescent="0.3">
      <c r="F39844" s="193"/>
    </row>
    <row r="39845" spans="6:6" x14ac:dyDescent="0.3">
      <c r="F39845" s="193"/>
    </row>
    <row r="39846" spans="6:6" x14ac:dyDescent="0.3">
      <c r="F39846" s="193"/>
    </row>
    <row r="39847" spans="6:6" x14ac:dyDescent="0.3">
      <c r="F39847" s="193"/>
    </row>
    <row r="39848" spans="6:6" x14ac:dyDescent="0.3">
      <c r="F39848" s="193"/>
    </row>
    <row r="39849" spans="6:6" x14ac:dyDescent="0.3">
      <c r="F39849" s="193"/>
    </row>
    <row r="39850" spans="6:6" x14ac:dyDescent="0.3">
      <c r="F39850" s="193"/>
    </row>
    <row r="39851" spans="6:6" x14ac:dyDescent="0.3">
      <c r="F39851" s="193"/>
    </row>
    <row r="39852" spans="6:6" x14ac:dyDescent="0.3">
      <c r="F39852" s="193"/>
    </row>
    <row r="39853" spans="6:6" x14ac:dyDescent="0.3">
      <c r="F39853" s="193"/>
    </row>
    <row r="39854" spans="6:6" x14ac:dyDescent="0.3">
      <c r="F39854" s="193"/>
    </row>
    <row r="39855" spans="6:6" x14ac:dyDescent="0.3">
      <c r="F39855" s="193"/>
    </row>
    <row r="39856" spans="6:6" x14ac:dyDescent="0.3">
      <c r="F39856" s="193"/>
    </row>
    <row r="39857" spans="6:6" x14ac:dyDescent="0.3">
      <c r="F39857" s="193"/>
    </row>
    <row r="39858" spans="6:6" x14ac:dyDescent="0.3">
      <c r="F39858" s="193"/>
    </row>
    <row r="39859" spans="6:6" x14ac:dyDescent="0.3">
      <c r="F39859" s="193"/>
    </row>
    <row r="39860" spans="6:6" x14ac:dyDescent="0.3">
      <c r="F39860" s="193"/>
    </row>
    <row r="39861" spans="6:6" x14ac:dyDescent="0.3">
      <c r="F39861" s="193"/>
    </row>
    <row r="39862" spans="6:6" x14ac:dyDescent="0.3">
      <c r="F39862" s="193"/>
    </row>
    <row r="39863" spans="6:6" x14ac:dyDescent="0.3">
      <c r="F39863" s="193"/>
    </row>
    <row r="39864" spans="6:6" x14ac:dyDescent="0.3">
      <c r="F39864" s="193"/>
    </row>
    <row r="39865" spans="6:6" x14ac:dyDescent="0.3">
      <c r="F39865" s="193"/>
    </row>
    <row r="39866" spans="6:6" x14ac:dyDescent="0.3">
      <c r="F39866" s="193"/>
    </row>
    <row r="39867" spans="6:6" x14ac:dyDescent="0.3">
      <c r="F39867" s="193"/>
    </row>
    <row r="39868" spans="6:6" x14ac:dyDescent="0.3">
      <c r="F39868" s="193"/>
    </row>
    <row r="39869" spans="6:6" x14ac:dyDescent="0.3">
      <c r="F39869" s="193"/>
    </row>
    <row r="39870" spans="6:6" x14ac:dyDescent="0.3">
      <c r="F39870" s="193"/>
    </row>
    <row r="39871" spans="6:6" x14ac:dyDescent="0.3">
      <c r="F39871" s="193"/>
    </row>
    <row r="39872" spans="6:6" x14ac:dyDescent="0.3">
      <c r="F39872" s="193"/>
    </row>
    <row r="39873" spans="6:6" x14ac:dyDescent="0.3">
      <c r="F39873" s="193"/>
    </row>
    <row r="39874" spans="6:6" x14ac:dyDescent="0.3">
      <c r="F39874" s="193"/>
    </row>
    <row r="39875" spans="6:6" x14ac:dyDescent="0.3">
      <c r="F39875" s="193"/>
    </row>
    <row r="39876" spans="6:6" x14ac:dyDescent="0.3">
      <c r="F39876" s="193"/>
    </row>
    <row r="39877" spans="6:6" x14ac:dyDescent="0.3">
      <c r="F39877" s="193"/>
    </row>
    <row r="39878" spans="6:6" x14ac:dyDescent="0.3">
      <c r="F39878" s="193"/>
    </row>
    <row r="39879" spans="6:6" x14ac:dyDescent="0.3">
      <c r="F39879" s="193"/>
    </row>
    <row r="39880" spans="6:6" x14ac:dyDescent="0.3">
      <c r="F39880" s="193"/>
    </row>
    <row r="39881" spans="6:6" x14ac:dyDescent="0.3">
      <c r="F39881" s="193"/>
    </row>
    <row r="39882" spans="6:6" x14ac:dyDescent="0.3">
      <c r="F39882" s="193"/>
    </row>
    <row r="39883" spans="6:6" x14ac:dyDescent="0.3">
      <c r="F39883" s="193"/>
    </row>
    <row r="39884" spans="6:6" x14ac:dyDescent="0.3">
      <c r="F39884" s="193"/>
    </row>
    <row r="39885" spans="6:6" x14ac:dyDescent="0.3">
      <c r="F39885" s="193"/>
    </row>
    <row r="39886" spans="6:6" x14ac:dyDescent="0.3">
      <c r="F39886" s="193"/>
    </row>
    <row r="39887" spans="6:6" x14ac:dyDescent="0.3">
      <c r="F39887" s="193"/>
    </row>
    <row r="39888" spans="6:6" x14ac:dyDescent="0.3">
      <c r="F39888" s="193"/>
    </row>
    <row r="39889" spans="6:6" x14ac:dyDescent="0.3">
      <c r="F39889" s="193"/>
    </row>
    <row r="39890" spans="6:6" x14ac:dyDescent="0.3">
      <c r="F39890" s="193"/>
    </row>
    <row r="39891" spans="6:6" x14ac:dyDescent="0.3">
      <c r="F39891" s="193"/>
    </row>
    <row r="39892" spans="6:6" x14ac:dyDescent="0.3">
      <c r="F39892" s="193"/>
    </row>
    <row r="39893" spans="6:6" x14ac:dyDescent="0.3">
      <c r="F39893" s="193"/>
    </row>
    <row r="39894" spans="6:6" x14ac:dyDescent="0.3">
      <c r="F39894" s="193"/>
    </row>
    <row r="39895" spans="6:6" x14ac:dyDescent="0.3">
      <c r="F39895" s="193"/>
    </row>
    <row r="39896" spans="6:6" x14ac:dyDescent="0.3">
      <c r="F39896" s="193"/>
    </row>
    <row r="39897" spans="6:6" x14ac:dyDescent="0.3">
      <c r="F39897" s="193"/>
    </row>
    <row r="39898" spans="6:6" x14ac:dyDescent="0.3">
      <c r="F39898" s="193"/>
    </row>
    <row r="39899" spans="6:6" x14ac:dyDescent="0.3">
      <c r="F39899" s="193"/>
    </row>
    <row r="39900" spans="6:6" x14ac:dyDescent="0.3">
      <c r="F39900" s="193"/>
    </row>
    <row r="39901" spans="6:6" x14ac:dyDescent="0.3">
      <c r="F39901" s="193"/>
    </row>
    <row r="39902" spans="6:6" x14ac:dyDescent="0.3">
      <c r="F39902" s="193"/>
    </row>
    <row r="39903" spans="6:6" x14ac:dyDescent="0.3">
      <c r="F39903" s="193"/>
    </row>
    <row r="39904" spans="6:6" x14ac:dyDescent="0.3">
      <c r="F39904" s="193"/>
    </row>
    <row r="39905" spans="6:6" x14ac:dyDescent="0.3">
      <c r="F39905" s="193"/>
    </row>
    <row r="39906" spans="6:6" x14ac:dyDescent="0.3">
      <c r="F39906" s="193"/>
    </row>
    <row r="39907" spans="6:6" x14ac:dyDescent="0.3">
      <c r="F39907" s="193"/>
    </row>
    <row r="39908" spans="6:6" x14ac:dyDescent="0.3">
      <c r="F39908" s="193"/>
    </row>
    <row r="39909" spans="6:6" x14ac:dyDescent="0.3">
      <c r="F39909" s="193"/>
    </row>
    <row r="39910" spans="6:6" x14ac:dyDescent="0.3">
      <c r="F39910" s="193"/>
    </row>
    <row r="39911" spans="6:6" x14ac:dyDescent="0.3">
      <c r="F39911" s="193"/>
    </row>
    <row r="39912" spans="6:6" x14ac:dyDescent="0.3">
      <c r="F39912" s="193"/>
    </row>
    <row r="39913" spans="6:6" x14ac:dyDescent="0.3">
      <c r="F39913" s="193"/>
    </row>
    <row r="39914" spans="6:6" x14ac:dyDescent="0.3">
      <c r="F39914" s="193"/>
    </row>
    <row r="39915" spans="6:6" x14ac:dyDescent="0.3">
      <c r="F39915" s="193"/>
    </row>
    <row r="39916" spans="6:6" x14ac:dyDescent="0.3">
      <c r="F39916" s="193"/>
    </row>
    <row r="39917" spans="6:6" x14ac:dyDescent="0.3">
      <c r="F39917" s="193"/>
    </row>
    <row r="39918" spans="6:6" x14ac:dyDescent="0.3">
      <c r="F39918" s="193"/>
    </row>
    <row r="39919" spans="6:6" x14ac:dyDescent="0.3">
      <c r="F39919" s="193"/>
    </row>
    <row r="39920" spans="6:6" x14ac:dyDescent="0.3">
      <c r="F39920" s="193"/>
    </row>
    <row r="39921" spans="6:6" x14ac:dyDescent="0.3">
      <c r="F39921" s="193"/>
    </row>
    <row r="39922" spans="6:6" x14ac:dyDescent="0.3">
      <c r="F39922" s="193"/>
    </row>
    <row r="39923" spans="6:6" x14ac:dyDescent="0.3">
      <c r="F39923" s="193"/>
    </row>
    <row r="39924" spans="6:6" x14ac:dyDescent="0.3">
      <c r="F39924" s="193"/>
    </row>
    <row r="39925" spans="6:6" x14ac:dyDescent="0.3">
      <c r="F39925" s="193"/>
    </row>
    <row r="39926" spans="6:6" x14ac:dyDescent="0.3">
      <c r="F39926" s="193"/>
    </row>
    <row r="39927" spans="6:6" x14ac:dyDescent="0.3">
      <c r="F39927" s="193"/>
    </row>
    <row r="39928" spans="6:6" x14ac:dyDescent="0.3">
      <c r="F39928" s="193"/>
    </row>
    <row r="39929" spans="6:6" x14ac:dyDescent="0.3">
      <c r="F39929" s="193"/>
    </row>
    <row r="39930" spans="6:6" x14ac:dyDescent="0.3">
      <c r="F39930" s="193"/>
    </row>
    <row r="39931" spans="6:6" x14ac:dyDescent="0.3">
      <c r="F39931" s="193"/>
    </row>
    <row r="39932" spans="6:6" x14ac:dyDescent="0.3">
      <c r="F39932" s="193"/>
    </row>
    <row r="39933" spans="6:6" x14ac:dyDescent="0.3">
      <c r="F39933" s="193"/>
    </row>
    <row r="39934" spans="6:6" x14ac:dyDescent="0.3">
      <c r="F39934" s="193"/>
    </row>
    <row r="39935" spans="6:6" x14ac:dyDescent="0.3">
      <c r="F39935" s="193"/>
    </row>
    <row r="39936" spans="6:6" x14ac:dyDescent="0.3">
      <c r="F39936" s="193"/>
    </row>
    <row r="39937" spans="6:6" x14ac:dyDescent="0.3">
      <c r="F39937" s="193"/>
    </row>
    <row r="39938" spans="6:6" x14ac:dyDescent="0.3">
      <c r="F39938" s="193"/>
    </row>
    <row r="39939" spans="6:6" x14ac:dyDescent="0.3">
      <c r="F39939" s="193"/>
    </row>
    <row r="39940" spans="6:6" x14ac:dyDescent="0.3">
      <c r="F39940" s="193"/>
    </row>
    <row r="39941" spans="6:6" x14ac:dyDescent="0.3">
      <c r="F39941" s="193"/>
    </row>
    <row r="39942" spans="6:6" x14ac:dyDescent="0.3">
      <c r="F39942" s="193"/>
    </row>
    <row r="39943" spans="6:6" x14ac:dyDescent="0.3">
      <c r="F39943" s="193"/>
    </row>
    <row r="39944" spans="6:6" x14ac:dyDescent="0.3">
      <c r="F39944" s="193"/>
    </row>
    <row r="39945" spans="6:6" x14ac:dyDescent="0.3">
      <c r="F39945" s="193"/>
    </row>
    <row r="39946" spans="6:6" x14ac:dyDescent="0.3">
      <c r="F39946" s="193"/>
    </row>
    <row r="39947" spans="6:6" x14ac:dyDescent="0.3">
      <c r="F39947" s="193"/>
    </row>
    <row r="39948" spans="6:6" x14ac:dyDescent="0.3">
      <c r="F39948" s="193"/>
    </row>
    <row r="39949" spans="6:6" x14ac:dyDescent="0.3">
      <c r="F39949" s="193"/>
    </row>
    <row r="39950" spans="6:6" x14ac:dyDescent="0.3">
      <c r="F39950" s="193"/>
    </row>
    <row r="39951" spans="6:6" x14ac:dyDescent="0.3">
      <c r="F39951" s="193"/>
    </row>
    <row r="39952" spans="6:6" x14ac:dyDescent="0.3">
      <c r="F39952" s="193"/>
    </row>
    <row r="39953" spans="6:6" x14ac:dyDescent="0.3">
      <c r="F39953" s="193"/>
    </row>
    <row r="39954" spans="6:6" x14ac:dyDescent="0.3">
      <c r="F39954" s="193"/>
    </row>
    <row r="39955" spans="6:6" x14ac:dyDescent="0.3">
      <c r="F39955" s="193"/>
    </row>
    <row r="39956" spans="6:6" x14ac:dyDescent="0.3">
      <c r="F39956" s="193"/>
    </row>
    <row r="39957" spans="6:6" x14ac:dyDescent="0.3">
      <c r="F39957" s="193"/>
    </row>
    <row r="39958" spans="6:6" x14ac:dyDescent="0.3">
      <c r="F39958" s="193"/>
    </row>
    <row r="39959" spans="6:6" x14ac:dyDescent="0.3">
      <c r="F39959" s="193"/>
    </row>
    <row r="39960" spans="6:6" x14ac:dyDescent="0.3">
      <c r="F39960" s="193"/>
    </row>
    <row r="39961" spans="6:6" x14ac:dyDescent="0.3">
      <c r="F39961" s="193"/>
    </row>
    <row r="39962" spans="6:6" x14ac:dyDescent="0.3">
      <c r="F39962" s="193"/>
    </row>
    <row r="39963" spans="6:6" x14ac:dyDescent="0.3">
      <c r="F39963" s="193"/>
    </row>
    <row r="39964" spans="6:6" x14ac:dyDescent="0.3">
      <c r="F39964" s="193"/>
    </row>
    <row r="39965" spans="6:6" x14ac:dyDescent="0.3">
      <c r="F39965" s="193"/>
    </row>
    <row r="39966" spans="6:6" x14ac:dyDescent="0.3">
      <c r="F39966" s="193"/>
    </row>
    <row r="39967" spans="6:6" x14ac:dyDescent="0.3">
      <c r="F39967" s="193"/>
    </row>
    <row r="39968" spans="6:6" x14ac:dyDescent="0.3">
      <c r="F39968" s="193"/>
    </row>
    <row r="39969" spans="6:6" x14ac:dyDescent="0.3">
      <c r="F39969" s="193"/>
    </row>
    <row r="39970" spans="6:6" x14ac:dyDescent="0.3">
      <c r="F39970" s="193"/>
    </row>
    <row r="39971" spans="6:6" x14ac:dyDescent="0.3">
      <c r="F39971" s="193"/>
    </row>
    <row r="39972" spans="6:6" x14ac:dyDescent="0.3">
      <c r="F39972" s="193"/>
    </row>
    <row r="39973" spans="6:6" x14ac:dyDescent="0.3">
      <c r="F39973" s="193"/>
    </row>
    <row r="39974" spans="6:6" x14ac:dyDescent="0.3">
      <c r="F39974" s="193"/>
    </row>
    <row r="39975" spans="6:6" x14ac:dyDescent="0.3">
      <c r="F39975" s="193"/>
    </row>
    <row r="39976" spans="6:6" x14ac:dyDescent="0.3">
      <c r="F39976" s="193"/>
    </row>
    <row r="39977" spans="6:6" x14ac:dyDescent="0.3">
      <c r="F39977" s="193"/>
    </row>
    <row r="39978" spans="6:6" x14ac:dyDescent="0.3">
      <c r="F39978" s="193"/>
    </row>
    <row r="39979" spans="6:6" x14ac:dyDescent="0.3">
      <c r="F39979" s="193"/>
    </row>
    <row r="39980" spans="6:6" x14ac:dyDescent="0.3">
      <c r="F39980" s="193"/>
    </row>
    <row r="39981" spans="6:6" x14ac:dyDescent="0.3">
      <c r="F39981" s="193"/>
    </row>
    <row r="39982" spans="6:6" x14ac:dyDescent="0.3">
      <c r="F39982" s="193"/>
    </row>
    <row r="39983" spans="6:6" x14ac:dyDescent="0.3">
      <c r="F39983" s="193"/>
    </row>
    <row r="39984" spans="6:6" x14ac:dyDescent="0.3">
      <c r="F39984" s="193"/>
    </row>
    <row r="39985" spans="6:6" x14ac:dyDescent="0.3">
      <c r="F39985" s="193"/>
    </row>
    <row r="39986" spans="6:6" x14ac:dyDescent="0.3">
      <c r="F39986" s="193"/>
    </row>
    <row r="39987" spans="6:6" x14ac:dyDescent="0.3">
      <c r="F39987" s="193"/>
    </row>
    <row r="39988" spans="6:6" x14ac:dyDescent="0.3">
      <c r="F39988" s="193"/>
    </row>
    <row r="39989" spans="6:6" x14ac:dyDescent="0.3">
      <c r="F39989" s="193"/>
    </row>
    <row r="39990" spans="6:6" x14ac:dyDescent="0.3">
      <c r="F39990" s="193"/>
    </row>
    <row r="39991" spans="6:6" x14ac:dyDescent="0.3">
      <c r="F39991" s="193"/>
    </row>
    <row r="39992" spans="6:6" x14ac:dyDescent="0.3">
      <c r="F39992" s="193"/>
    </row>
    <row r="39993" spans="6:6" x14ac:dyDescent="0.3">
      <c r="F39993" s="193"/>
    </row>
    <row r="39994" spans="6:6" x14ac:dyDescent="0.3">
      <c r="F39994" s="193"/>
    </row>
    <row r="39995" spans="6:6" x14ac:dyDescent="0.3">
      <c r="F39995" s="193"/>
    </row>
    <row r="39996" spans="6:6" x14ac:dyDescent="0.3">
      <c r="F39996" s="193"/>
    </row>
    <row r="39997" spans="6:6" x14ac:dyDescent="0.3">
      <c r="F39997" s="193"/>
    </row>
    <row r="39998" spans="6:6" x14ac:dyDescent="0.3">
      <c r="F39998" s="193"/>
    </row>
    <row r="39999" spans="6:6" x14ac:dyDescent="0.3">
      <c r="F39999" s="193"/>
    </row>
    <row r="40000" spans="6:6" x14ac:dyDescent="0.3">
      <c r="F40000" s="193"/>
    </row>
    <row r="40001" spans="6:6" x14ac:dyDescent="0.3">
      <c r="F40001" s="193"/>
    </row>
    <row r="40002" spans="6:6" x14ac:dyDescent="0.3">
      <c r="F40002" s="193"/>
    </row>
    <row r="40003" spans="6:6" x14ac:dyDescent="0.3">
      <c r="F40003" s="193"/>
    </row>
    <row r="40004" spans="6:6" x14ac:dyDescent="0.3">
      <c r="F40004" s="193"/>
    </row>
    <row r="40005" spans="6:6" x14ac:dyDescent="0.3">
      <c r="F40005" s="193"/>
    </row>
    <row r="40006" spans="6:6" x14ac:dyDescent="0.3">
      <c r="F40006" s="193"/>
    </row>
    <row r="40007" spans="6:6" x14ac:dyDescent="0.3">
      <c r="F40007" s="193"/>
    </row>
    <row r="40008" spans="6:6" x14ac:dyDescent="0.3">
      <c r="F40008" s="193"/>
    </row>
    <row r="40009" spans="6:6" x14ac:dyDescent="0.3">
      <c r="F40009" s="193"/>
    </row>
    <row r="40010" spans="6:6" x14ac:dyDescent="0.3">
      <c r="F40010" s="193"/>
    </row>
    <row r="40011" spans="6:6" x14ac:dyDescent="0.3">
      <c r="F40011" s="193"/>
    </row>
    <row r="40012" spans="6:6" x14ac:dyDescent="0.3">
      <c r="F40012" s="193"/>
    </row>
    <row r="40013" spans="6:6" x14ac:dyDescent="0.3">
      <c r="F40013" s="193"/>
    </row>
    <row r="40014" spans="6:6" x14ac:dyDescent="0.3">
      <c r="F40014" s="193"/>
    </row>
    <row r="40015" spans="6:6" x14ac:dyDescent="0.3">
      <c r="F40015" s="193"/>
    </row>
    <row r="40016" spans="6:6" x14ac:dyDescent="0.3">
      <c r="F40016" s="193"/>
    </row>
    <row r="40017" spans="6:6" x14ac:dyDescent="0.3">
      <c r="F40017" s="193"/>
    </row>
    <row r="40018" spans="6:6" x14ac:dyDescent="0.3">
      <c r="F40018" s="193"/>
    </row>
    <row r="40019" spans="6:6" x14ac:dyDescent="0.3">
      <c r="F40019" s="193"/>
    </row>
    <row r="40020" spans="6:6" x14ac:dyDescent="0.3">
      <c r="F40020" s="193"/>
    </row>
    <row r="40021" spans="6:6" x14ac:dyDescent="0.3">
      <c r="F40021" s="193"/>
    </row>
    <row r="40022" spans="6:6" x14ac:dyDescent="0.3">
      <c r="F40022" s="193"/>
    </row>
    <row r="40023" spans="6:6" x14ac:dyDescent="0.3">
      <c r="F40023" s="193"/>
    </row>
    <row r="40024" spans="6:6" x14ac:dyDescent="0.3">
      <c r="F40024" s="193"/>
    </row>
    <row r="40025" spans="6:6" x14ac:dyDescent="0.3">
      <c r="F40025" s="193"/>
    </row>
    <row r="40026" spans="6:6" x14ac:dyDescent="0.3">
      <c r="F40026" s="193"/>
    </row>
    <row r="40027" spans="6:6" x14ac:dyDescent="0.3">
      <c r="F40027" s="193"/>
    </row>
    <row r="40028" spans="6:6" x14ac:dyDescent="0.3">
      <c r="F40028" s="193"/>
    </row>
    <row r="40029" spans="6:6" x14ac:dyDescent="0.3">
      <c r="F40029" s="193"/>
    </row>
    <row r="40030" spans="6:6" x14ac:dyDescent="0.3">
      <c r="F40030" s="193"/>
    </row>
    <row r="40031" spans="6:6" x14ac:dyDescent="0.3">
      <c r="F40031" s="193"/>
    </row>
    <row r="40032" spans="6:6" x14ac:dyDescent="0.3">
      <c r="F40032" s="193"/>
    </row>
    <row r="40033" spans="6:6" x14ac:dyDescent="0.3">
      <c r="F40033" s="193"/>
    </row>
    <row r="40034" spans="6:6" x14ac:dyDescent="0.3">
      <c r="F40034" s="193"/>
    </row>
    <row r="40035" spans="6:6" x14ac:dyDescent="0.3">
      <c r="F40035" s="193"/>
    </row>
    <row r="40036" spans="6:6" x14ac:dyDescent="0.3">
      <c r="F40036" s="193"/>
    </row>
    <row r="40037" spans="6:6" x14ac:dyDescent="0.3">
      <c r="F40037" s="193"/>
    </row>
    <row r="40038" spans="6:6" x14ac:dyDescent="0.3">
      <c r="F40038" s="193"/>
    </row>
    <row r="40039" spans="6:6" x14ac:dyDescent="0.3">
      <c r="F40039" s="193"/>
    </row>
    <row r="40040" spans="6:6" x14ac:dyDescent="0.3">
      <c r="F40040" s="193"/>
    </row>
    <row r="40041" spans="6:6" x14ac:dyDescent="0.3">
      <c r="F40041" s="193"/>
    </row>
    <row r="40042" spans="6:6" x14ac:dyDescent="0.3">
      <c r="F40042" s="193"/>
    </row>
    <row r="40043" spans="6:6" x14ac:dyDescent="0.3">
      <c r="F40043" s="193"/>
    </row>
    <row r="40044" spans="6:6" x14ac:dyDescent="0.3">
      <c r="F40044" s="193"/>
    </row>
    <row r="40045" spans="6:6" x14ac:dyDescent="0.3">
      <c r="F40045" s="193"/>
    </row>
    <row r="40046" spans="6:6" x14ac:dyDescent="0.3">
      <c r="F40046" s="193"/>
    </row>
    <row r="40047" spans="6:6" x14ac:dyDescent="0.3">
      <c r="F40047" s="193"/>
    </row>
    <row r="40048" spans="6:6" x14ac:dyDescent="0.3">
      <c r="F40048" s="193"/>
    </row>
    <row r="40049" spans="6:6" x14ac:dyDescent="0.3">
      <c r="F40049" s="193"/>
    </row>
    <row r="40050" spans="6:6" x14ac:dyDescent="0.3">
      <c r="F40050" s="193"/>
    </row>
    <row r="40051" spans="6:6" x14ac:dyDescent="0.3">
      <c r="F40051" s="193"/>
    </row>
    <row r="40052" spans="6:6" x14ac:dyDescent="0.3">
      <c r="F40052" s="193"/>
    </row>
    <row r="40053" spans="6:6" x14ac:dyDescent="0.3">
      <c r="F40053" s="193"/>
    </row>
    <row r="40054" spans="6:6" x14ac:dyDescent="0.3">
      <c r="F40054" s="193"/>
    </row>
    <row r="40055" spans="6:6" x14ac:dyDescent="0.3">
      <c r="F40055" s="193"/>
    </row>
    <row r="40056" spans="6:6" x14ac:dyDescent="0.3">
      <c r="F40056" s="193"/>
    </row>
    <row r="40057" spans="6:6" x14ac:dyDescent="0.3">
      <c r="F40057" s="193"/>
    </row>
    <row r="40058" spans="6:6" x14ac:dyDescent="0.3">
      <c r="F40058" s="193"/>
    </row>
    <row r="40059" spans="6:6" x14ac:dyDescent="0.3">
      <c r="F40059" s="193"/>
    </row>
    <row r="40060" spans="6:6" x14ac:dyDescent="0.3">
      <c r="F40060" s="193"/>
    </row>
    <row r="40061" spans="6:6" x14ac:dyDescent="0.3">
      <c r="F40061" s="193"/>
    </row>
    <row r="40062" spans="6:6" x14ac:dyDescent="0.3">
      <c r="F40062" s="193"/>
    </row>
    <row r="40063" spans="6:6" x14ac:dyDescent="0.3">
      <c r="F40063" s="193"/>
    </row>
    <row r="40064" spans="6:6" x14ac:dyDescent="0.3">
      <c r="F40064" s="193"/>
    </row>
    <row r="40065" spans="6:6" x14ac:dyDescent="0.3">
      <c r="F40065" s="193"/>
    </row>
    <row r="40066" spans="6:6" x14ac:dyDescent="0.3">
      <c r="F40066" s="193"/>
    </row>
    <row r="40067" spans="6:6" x14ac:dyDescent="0.3">
      <c r="F40067" s="193"/>
    </row>
    <row r="40068" spans="6:6" x14ac:dyDescent="0.3">
      <c r="F40068" s="193"/>
    </row>
    <row r="40069" spans="6:6" x14ac:dyDescent="0.3">
      <c r="F40069" s="193"/>
    </row>
    <row r="40070" spans="6:6" x14ac:dyDescent="0.3">
      <c r="F40070" s="193"/>
    </row>
    <row r="40071" spans="6:6" x14ac:dyDescent="0.3">
      <c r="F40071" s="193"/>
    </row>
    <row r="40072" spans="6:6" x14ac:dyDescent="0.3">
      <c r="F40072" s="193"/>
    </row>
    <row r="40073" spans="6:6" x14ac:dyDescent="0.3">
      <c r="F40073" s="193"/>
    </row>
    <row r="40074" spans="6:6" x14ac:dyDescent="0.3">
      <c r="F40074" s="193"/>
    </row>
    <row r="40075" spans="6:6" x14ac:dyDescent="0.3">
      <c r="F40075" s="193"/>
    </row>
    <row r="40076" spans="6:6" x14ac:dyDescent="0.3">
      <c r="F40076" s="193"/>
    </row>
    <row r="40077" spans="6:6" x14ac:dyDescent="0.3">
      <c r="F40077" s="193"/>
    </row>
    <row r="40078" spans="6:6" x14ac:dyDescent="0.3">
      <c r="F40078" s="193"/>
    </row>
    <row r="40079" spans="6:6" x14ac:dyDescent="0.3">
      <c r="F40079" s="193"/>
    </row>
    <row r="40080" spans="6:6" x14ac:dyDescent="0.3">
      <c r="F40080" s="193"/>
    </row>
    <row r="40081" spans="6:6" x14ac:dyDescent="0.3">
      <c r="F40081" s="193"/>
    </row>
    <row r="40082" spans="6:6" x14ac:dyDescent="0.3">
      <c r="F40082" s="193"/>
    </row>
    <row r="40083" spans="6:6" x14ac:dyDescent="0.3">
      <c r="F40083" s="193"/>
    </row>
    <row r="40084" spans="6:6" x14ac:dyDescent="0.3">
      <c r="F40084" s="193"/>
    </row>
    <row r="40085" spans="6:6" x14ac:dyDescent="0.3">
      <c r="F40085" s="193"/>
    </row>
    <row r="40086" spans="6:6" x14ac:dyDescent="0.3">
      <c r="F40086" s="193"/>
    </row>
    <row r="40087" spans="6:6" x14ac:dyDescent="0.3">
      <c r="F40087" s="193"/>
    </row>
    <row r="40088" spans="6:6" x14ac:dyDescent="0.3">
      <c r="F40088" s="193"/>
    </row>
    <row r="40089" spans="6:6" x14ac:dyDescent="0.3">
      <c r="F40089" s="193"/>
    </row>
    <row r="40090" spans="6:6" x14ac:dyDescent="0.3">
      <c r="F40090" s="193"/>
    </row>
    <row r="40091" spans="6:6" x14ac:dyDescent="0.3">
      <c r="F40091" s="193"/>
    </row>
    <row r="40092" spans="6:6" x14ac:dyDescent="0.3">
      <c r="F40092" s="193"/>
    </row>
    <row r="40093" spans="6:6" x14ac:dyDescent="0.3">
      <c r="F40093" s="193"/>
    </row>
    <row r="40094" spans="6:6" x14ac:dyDescent="0.3">
      <c r="F40094" s="193"/>
    </row>
    <row r="40095" spans="6:6" x14ac:dyDescent="0.3">
      <c r="F40095" s="193"/>
    </row>
    <row r="40096" spans="6:6" x14ac:dyDescent="0.3">
      <c r="F40096" s="193"/>
    </row>
    <row r="40097" spans="6:6" x14ac:dyDescent="0.3">
      <c r="F40097" s="193"/>
    </row>
    <row r="40098" spans="6:6" x14ac:dyDescent="0.3">
      <c r="F40098" s="193"/>
    </row>
    <row r="40099" spans="6:6" x14ac:dyDescent="0.3">
      <c r="F40099" s="193"/>
    </row>
    <row r="40100" spans="6:6" x14ac:dyDescent="0.3">
      <c r="F40100" s="193"/>
    </row>
    <row r="40101" spans="6:6" x14ac:dyDescent="0.3">
      <c r="F40101" s="193"/>
    </row>
    <row r="40102" spans="6:6" x14ac:dyDescent="0.3">
      <c r="F40102" s="193"/>
    </row>
    <row r="40103" spans="6:6" x14ac:dyDescent="0.3">
      <c r="F40103" s="193"/>
    </row>
    <row r="40104" spans="6:6" x14ac:dyDescent="0.3">
      <c r="F40104" s="193"/>
    </row>
    <row r="40105" spans="6:6" x14ac:dyDescent="0.3">
      <c r="F40105" s="193"/>
    </row>
    <row r="40106" spans="6:6" x14ac:dyDescent="0.3">
      <c r="F40106" s="193"/>
    </row>
    <row r="40107" spans="6:6" x14ac:dyDescent="0.3">
      <c r="F40107" s="193"/>
    </row>
    <row r="40108" spans="6:6" x14ac:dyDescent="0.3">
      <c r="F40108" s="193"/>
    </row>
    <row r="40109" spans="6:6" x14ac:dyDescent="0.3">
      <c r="F40109" s="193"/>
    </row>
    <row r="40110" spans="6:6" x14ac:dyDescent="0.3">
      <c r="F40110" s="193"/>
    </row>
    <row r="40111" spans="6:6" x14ac:dyDescent="0.3">
      <c r="F40111" s="193"/>
    </row>
    <row r="40112" spans="6:6" x14ac:dyDescent="0.3">
      <c r="F40112" s="193"/>
    </row>
    <row r="40113" spans="6:6" x14ac:dyDescent="0.3">
      <c r="F40113" s="193"/>
    </row>
    <row r="40114" spans="6:6" x14ac:dyDescent="0.3">
      <c r="F40114" s="193"/>
    </row>
    <row r="40115" spans="6:6" x14ac:dyDescent="0.3">
      <c r="F40115" s="193"/>
    </row>
    <row r="40116" spans="6:6" x14ac:dyDescent="0.3">
      <c r="F40116" s="193"/>
    </row>
    <row r="40117" spans="6:6" x14ac:dyDescent="0.3">
      <c r="F40117" s="193"/>
    </row>
    <row r="40118" spans="6:6" x14ac:dyDescent="0.3">
      <c r="F40118" s="193"/>
    </row>
    <row r="40119" spans="6:6" x14ac:dyDescent="0.3">
      <c r="F40119" s="193"/>
    </row>
    <row r="40120" spans="6:6" x14ac:dyDescent="0.3">
      <c r="F40120" s="193"/>
    </row>
    <row r="40121" spans="6:6" x14ac:dyDescent="0.3">
      <c r="F40121" s="193"/>
    </row>
    <row r="40122" spans="6:6" x14ac:dyDescent="0.3">
      <c r="F40122" s="193"/>
    </row>
    <row r="40123" spans="6:6" x14ac:dyDescent="0.3">
      <c r="F40123" s="193"/>
    </row>
    <row r="40124" spans="6:6" x14ac:dyDescent="0.3">
      <c r="F40124" s="193"/>
    </row>
    <row r="40125" spans="6:6" x14ac:dyDescent="0.3">
      <c r="F40125" s="193"/>
    </row>
    <row r="40126" spans="6:6" x14ac:dyDescent="0.3">
      <c r="F40126" s="193"/>
    </row>
    <row r="40127" spans="6:6" x14ac:dyDescent="0.3">
      <c r="F40127" s="193"/>
    </row>
    <row r="40128" spans="6:6" x14ac:dyDescent="0.3">
      <c r="F40128" s="193"/>
    </row>
    <row r="40129" spans="6:6" x14ac:dyDescent="0.3">
      <c r="F40129" s="193"/>
    </row>
    <row r="40130" spans="6:6" x14ac:dyDescent="0.3">
      <c r="F40130" s="193"/>
    </row>
    <row r="40131" spans="6:6" x14ac:dyDescent="0.3">
      <c r="F40131" s="193"/>
    </row>
    <row r="40132" spans="6:6" x14ac:dyDescent="0.3">
      <c r="F40132" s="193"/>
    </row>
    <row r="40133" spans="6:6" x14ac:dyDescent="0.3">
      <c r="F40133" s="193"/>
    </row>
    <row r="40134" spans="6:6" x14ac:dyDescent="0.3">
      <c r="F40134" s="193"/>
    </row>
    <row r="40135" spans="6:6" x14ac:dyDescent="0.3">
      <c r="F40135" s="193"/>
    </row>
    <row r="40136" spans="6:6" x14ac:dyDescent="0.3">
      <c r="F40136" s="193"/>
    </row>
    <row r="40137" spans="6:6" x14ac:dyDescent="0.3">
      <c r="F40137" s="193"/>
    </row>
    <row r="40138" spans="6:6" x14ac:dyDescent="0.3">
      <c r="F40138" s="193"/>
    </row>
    <row r="40139" spans="6:6" x14ac:dyDescent="0.3">
      <c r="F40139" s="193"/>
    </row>
    <row r="40140" spans="6:6" x14ac:dyDescent="0.3">
      <c r="F40140" s="193"/>
    </row>
    <row r="40141" spans="6:6" x14ac:dyDescent="0.3">
      <c r="F40141" s="193"/>
    </row>
    <row r="40142" spans="6:6" x14ac:dyDescent="0.3">
      <c r="F40142" s="193"/>
    </row>
    <row r="40143" spans="6:6" x14ac:dyDescent="0.3">
      <c r="F40143" s="193"/>
    </row>
    <row r="40144" spans="6:6" x14ac:dyDescent="0.3">
      <c r="F40144" s="193"/>
    </row>
    <row r="40145" spans="6:6" x14ac:dyDescent="0.3">
      <c r="F40145" s="193"/>
    </row>
    <row r="40146" spans="6:6" x14ac:dyDescent="0.3">
      <c r="F40146" s="193"/>
    </row>
    <row r="40147" spans="6:6" x14ac:dyDescent="0.3">
      <c r="F40147" s="193"/>
    </row>
    <row r="40148" spans="6:6" x14ac:dyDescent="0.3">
      <c r="F40148" s="193"/>
    </row>
    <row r="40149" spans="6:6" x14ac:dyDescent="0.3">
      <c r="F40149" s="193"/>
    </row>
    <row r="40150" spans="6:6" x14ac:dyDescent="0.3">
      <c r="F40150" s="193"/>
    </row>
    <row r="40151" spans="6:6" x14ac:dyDescent="0.3">
      <c r="F40151" s="193"/>
    </row>
    <row r="40152" spans="6:6" x14ac:dyDescent="0.3">
      <c r="F40152" s="193"/>
    </row>
    <row r="40153" spans="6:6" x14ac:dyDescent="0.3">
      <c r="F40153" s="193"/>
    </row>
    <row r="40154" spans="6:6" x14ac:dyDescent="0.3">
      <c r="F40154" s="193"/>
    </row>
    <row r="40155" spans="6:6" x14ac:dyDescent="0.3">
      <c r="F40155" s="193"/>
    </row>
    <row r="40156" spans="6:6" x14ac:dyDescent="0.3">
      <c r="F40156" s="193"/>
    </row>
    <row r="40157" spans="6:6" x14ac:dyDescent="0.3">
      <c r="F40157" s="193"/>
    </row>
    <row r="40158" spans="6:6" x14ac:dyDescent="0.3">
      <c r="F40158" s="193"/>
    </row>
    <row r="40159" spans="6:6" x14ac:dyDescent="0.3">
      <c r="F40159" s="193"/>
    </row>
    <row r="40160" spans="6:6" x14ac:dyDescent="0.3">
      <c r="F40160" s="193"/>
    </row>
    <row r="40161" spans="6:6" x14ac:dyDescent="0.3">
      <c r="F40161" s="193"/>
    </row>
    <row r="40162" spans="6:6" x14ac:dyDescent="0.3">
      <c r="F40162" s="193"/>
    </row>
    <row r="40163" spans="6:6" x14ac:dyDescent="0.3">
      <c r="F40163" s="193"/>
    </row>
    <row r="40164" spans="6:6" x14ac:dyDescent="0.3">
      <c r="F40164" s="193"/>
    </row>
    <row r="40165" spans="6:6" x14ac:dyDescent="0.3">
      <c r="F40165" s="193"/>
    </row>
    <row r="40166" spans="6:6" x14ac:dyDescent="0.3">
      <c r="F40166" s="193"/>
    </row>
    <row r="40167" spans="6:6" x14ac:dyDescent="0.3">
      <c r="F40167" s="193"/>
    </row>
    <row r="40168" spans="6:6" x14ac:dyDescent="0.3">
      <c r="F40168" s="193"/>
    </row>
    <row r="40169" spans="6:6" x14ac:dyDescent="0.3">
      <c r="F40169" s="193"/>
    </row>
    <row r="40170" spans="6:6" x14ac:dyDescent="0.3">
      <c r="F40170" s="193"/>
    </row>
    <row r="40171" spans="6:6" x14ac:dyDescent="0.3">
      <c r="F40171" s="193"/>
    </row>
    <row r="40172" spans="6:6" x14ac:dyDescent="0.3">
      <c r="F40172" s="193"/>
    </row>
    <row r="40173" spans="6:6" x14ac:dyDescent="0.3">
      <c r="F40173" s="193"/>
    </row>
    <row r="40174" spans="6:6" x14ac:dyDescent="0.3">
      <c r="F40174" s="193"/>
    </row>
    <row r="40175" spans="6:6" x14ac:dyDescent="0.3">
      <c r="F40175" s="193"/>
    </row>
    <row r="40176" spans="6:6" x14ac:dyDescent="0.3">
      <c r="F40176" s="193"/>
    </row>
    <row r="40177" spans="6:6" x14ac:dyDescent="0.3">
      <c r="F40177" s="193"/>
    </row>
    <row r="40178" spans="6:6" x14ac:dyDescent="0.3">
      <c r="F40178" s="193"/>
    </row>
    <row r="40179" spans="6:6" x14ac:dyDescent="0.3">
      <c r="F40179" s="193"/>
    </row>
    <row r="40180" spans="6:6" x14ac:dyDescent="0.3">
      <c r="F40180" s="193"/>
    </row>
    <row r="40181" spans="6:6" x14ac:dyDescent="0.3">
      <c r="F40181" s="193"/>
    </row>
    <row r="40182" spans="6:6" x14ac:dyDescent="0.3">
      <c r="F40182" s="193"/>
    </row>
    <row r="40183" spans="6:6" x14ac:dyDescent="0.3">
      <c r="F40183" s="193"/>
    </row>
    <row r="40184" spans="6:6" x14ac:dyDescent="0.3">
      <c r="F40184" s="193"/>
    </row>
    <row r="40185" spans="6:6" x14ac:dyDescent="0.3">
      <c r="F40185" s="193"/>
    </row>
    <row r="40186" spans="6:6" x14ac:dyDescent="0.3">
      <c r="F40186" s="193"/>
    </row>
    <row r="40187" spans="6:6" x14ac:dyDescent="0.3">
      <c r="F40187" s="193"/>
    </row>
    <row r="40188" spans="6:6" x14ac:dyDescent="0.3">
      <c r="F40188" s="193"/>
    </row>
    <row r="40189" spans="6:6" x14ac:dyDescent="0.3">
      <c r="F40189" s="193"/>
    </row>
    <row r="40190" spans="6:6" x14ac:dyDescent="0.3">
      <c r="F40190" s="193"/>
    </row>
    <row r="40191" spans="6:6" x14ac:dyDescent="0.3">
      <c r="F40191" s="193"/>
    </row>
    <row r="40192" spans="6:6" x14ac:dyDescent="0.3">
      <c r="F40192" s="193"/>
    </row>
    <row r="40193" spans="6:6" x14ac:dyDescent="0.3">
      <c r="F40193" s="193"/>
    </row>
    <row r="40194" spans="6:6" x14ac:dyDescent="0.3">
      <c r="F40194" s="193"/>
    </row>
    <row r="40195" spans="6:6" x14ac:dyDescent="0.3">
      <c r="F40195" s="193"/>
    </row>
    <row r="40196" spans="6:6" x14ac:dyDescent="0.3">
      <c r="F40196" s="193"/>
    </row>
    <row r="40197" spans="6:6" x14ac:dyDescent="0.3">
      <c r="F40197" s="193"/>
    </row>
    <row r="40198" spans="6:6" x14ac:dyDescent="0.3">
      <c r="F40198" s="193"/>
    </row>
    <row r="40199" spans="6:6" x14ac:dyDescent="0.3">
      <c r="F40199" s="193"/>
    </row>
    <row r="40200" spans="6:6" x14ac:dyDescent="0.3">
      <c r="F40200" s="193"/>
    </row>
    <row r="40201" spans="6:6" x14ac:dyDescent="0.3">
      <c r="F40201" s="193"/>
    </row>
    <row r="40202" spans="6:6" x14ac:dyDescent="0.3">
      <c r="F40202" s="193"/>
    </row>
    <row r="40203" spans="6:6" x14ac:dyDescent="0.3">
      <c r="F40203" s="193"/>
    </row>
    <row r="40204" spans="6:6" x14ac:dyDescent="0.3">
      <c r="F40204" s="193"/>
    </row>
    <row r="40205" spans="6:6" x14ac:dyDescent="0.3">
      <c r="F40205" s="193"/>
    </row>
    <row r="40206" spans="6:6" x14ac:dyDescent="0.3">
      <c r="F40206" s="193"/>
    </row>
    <row r="40207" spans="6:6" x14ac:dyDescent="0.3">
      <c r="F40207" s="193"/>
    </row>
    <row r="40208" spans="6:6" x14ac:dyDescent="0.3">
      <c r="F40208" s="193"/>
    </row>
    <row r="40209" spans="6:6" x14ac:dyDescent="0.3">
      <c r="F40209" s="193"/>
    </row>
    <row r="40210" spans="6:6" x14ac:dyDescent="0.3">
      <c r="F40210" s="193"/>
    </row>
    <row r="40211" spans="6:6" x14ac:dyDescent="0.3">
      <c r="F40211" s="193"/>
    </row>
    <row r="40212" spans="6:6" x14ac:dyDescent="0.3">
      <c r="F40212" s="193"/>
    </row>
    <row r="40213" spans="6:6" x14ac:dyDescent="0.3">
      <c r="F40213" s="193"/>
    </row>
    <row r="40214" spans="6:6" x14ac:dyDescent="0.3">
      <c r="F40214" s="193"/>
    </row>
    <row r="40215" spans="6:6" x14ac:dyDescent="0.3">
      <c r="F40215" s="193"/>
    </row>
    <row r="40216" spans="6:6" x14ac:dyDescent="0.3">
      <c r="F40216" s="193"/>
    </row>
    <row r="40217" spans="6:6" x14ac:dyDescent="0.3">
      <c r="F40217" s="193"/>
    </row>
    <row r="40218" spans="6:6" x14ac:dyDescent="0.3">
      <c r="F40218" s="193"/>
    </row>
    <row r="40219" spans="6:6" x14ac:dyDescent="0.3">
      <c r="F40219" s="193"/>
    </row>
    <row r="40220" spans="6:6" x14ac:dyDescent="0.3">
      <c r="F40220" s="193"/>
    </row>
    <row r="40221" spans="6:6" x14ac:dyDescent="0.3">
      <c r="F40221" s="193"/>
    </row>
    <row r="40222" spans="6:6" x14ac:dyDescent="0.3">
      <c r="F40222" s="193"/>
    </row>
    <row r="40223" spans="6:6" x14ac:dyDescent="0.3">
      <c r="F40223" s="193"/>
    </row>
    <row r="40224" spans="6:6" x14ac:dyDescent="0.3">
      <c r="F40224" s="193"/>
    </row>
    <row r="40225" spans="6:6" x14ac:dyDescent="0.3">
      <c r="F40225" s="193"/>
    </row>
    <row r="40226" spans="6:6" x14ac:dyDescent="0.3">
      <c r="F40226" s="193"/>
    </row>
    <row r="40227" spans="6:6" x14ac:dyDescent="0.3">
      <c r="F40227" s="193"/>
    </row>
    <row r="40228" spans="6:6" x14ac:dyDescent="0.3">
      <c r="F40228" s="193"/>
    </row>
    <row r="40229" spans="6:6" x14ac:dyDescent="0.3">
      <c r="F40229" s="193"/>
    </row>
    <row r="40230" spans="6:6" x14ac:dyDescent="0.3">
      <c r="F40230" s="193"/>
    </row>
    <row r="40231" spans="6:6" x14ac:dyDescent="0.3">
      <c r="F40231" s="193"/>
    </row>
    <row r="40232" spans="6:6" x14ac:dyDescent="0.3">
      <c r="F40232" s="193"/>
    </row>
    <row r="40233" spans="6:6" x14ac:dyDescent="0.3">
      <c r="F40233" s="193"/>
    </row>
    <row r="40234" spans="6:6" x14ac:dyDescent="0.3">
      <c r="F40234" s="193"/>
    </row>
    <row r="40235" spans="6:6" x14ac:dyDescent="0.3">
      <c r="F40235" s="193"/>
    </row>
    <row r="40236" spans="6:6" x14ac:dyDescent="0.3">
      <c r="F40236" s="193"/>
    </row>
    <row r="40237" spans="6:6" x14ac:dyDescent="0.3">
      <c r="F40237" s="193"/>
    </row>
    <row r="40238" spans="6:6" x14ac:dyDescent="0.3">
      <c r="F40238" s="193"/>
    </row>
    <row r="40239" spans="6:6" x14ac:dyDescent="0.3">
      <c r="F40239" s="193"/>
    </row>
    <row r="40240" spans="6:6" x14ac:dyDescent="0.3">
      <c r="F40240" s="193"/>
    </row>
    <row r="40241" spans="6:6" x14ac:dyDescent="0.3">
      <c r="F40241" s="193"/>
    </row>
    <row r="40242" spans="6:6" x14ac:dyDescent="0.3">
      <c r="F40242" s="193"/>
    </row>
    <row r="40243" spans="6:6" x14ac:dyDescent="0.3">
      <c r="F40243" s="193"/>
    </row>
    <row r="40244" spans="6:6" x14ac:dyDescent="0.3">
      <c r="F40244" s="193"/>
    </row>
    <row r="40245" spans="6:6" x14ac:dyDescent="0.3">
      <c r="F40245" s="193"/>
    </row>
    <row r="40246" spans="6:6" x14ac:dyDescent="0.3">
      <c r="F40246" s="193"/>
    </row>
    <row r="40247" spans="6:6" x14ac:dyDescent="0.3">
      <c r="F40247" s="193"/>
    </row>
    <row r="40248" spans="6:6" x14ac:dyDescent="0.3">
      <c r="F40248" s="193"/>
    </row>
    <row r="40249" spans="6:6" x14ac:dyDescent="0.3">
      <c r="F40249" s="193"/>
    </row>
    <row r="40250" spans="6:6" x14ac:dyDescent="0.3">
      <c r="F40250" s="193"/>
    </row>
    <row r="40251" spans="6:6" x14ac:dyDescent="0.3">
      <c r="F40251" s="193"/>
    </row>
    <row r="40252" spans="6:6" x14ac:dyDescent="0.3">
      <c r="F40252" s="193"/>
    </row>
    <row r="40253" spans="6:6" x14ac:dyDescent="0.3">
      <c r="F40253" s="193"/>
    </row>
    <row r="40254" spans="6:6" x14ac:dyDescent="0.3">
      <c r="F40254" s="193"/>
    </row>
    <row r="40255" spans="6:6" x14ac:dyDescent="0.3">
      <c r="F40255" s="193"/>
    </row>
    <row r="40256" spans="6:6" x14ac:dyDescent="0.3">
      <c r="F40256" s="193"/>
    </row>
    <row r="40257" spans="6:6" x14ac:dyDescent="0.3">
      <c r="F40257" s="193"/>
    </row>
    <row r="40258" spans="6:6" x14ac:dyDescent="0.3">
      <c r="F40258" s="193"/>
    </row>
    <row r="40259" spans="6:6" x14ac:dyDescent="0.3">
      <c r="F40259" s="193"/>
    </row>
    <row r="40260" spans="6:6" x14ac:dyDescent="0.3">
      <c r="F40260" s="193"/>
    </row>
    <row r="40261" spans="6:6" x14ac:dyDescent="0.3">
      <c r="F40261" s="193"/>
    </row>
    <row r="40262" spans="6:6" x14ac:dyDescent="0.3">
      <c r="F40262" s="193"/>
    </row>
    <row r="40263" spans="6:6" x14ac:dyDescent="0.3">
      <c r="F40263" s="193"/>
    </row>
    <row r="40264" spans="6:6" x14ac:dyDescent="0.3">
      <c r="F40264" s="193"/>
    </row>
    <row r="40265" spans="6:6" x14ac:dyDescent="0.3">
      <c r="F40265" s="193"/>
    </row>
    <row r="40266" spans="6:6" x14ac:dyDescent="0.3">
      <c r="F40266" s="193"/>
    </row>
    <row r="40267" spans="6:6" x14ac:dyDescent="0.3">
      <c r="F40267" s="193"/>
    </row>
    <row r="40268" spans="6:6" x14ac:dyDescent="0.3">
      <c r="F40268" s="193"/>
    </row>
    <row r="40269" spans="6:6" x14ac:dyDescent="0.3">
      <c r="F40269" s="193"/>
    </row>
    <row r="40270" spans="6:6" x14ac:dyDescent="0.3">
      <c r="F40270" s="193"/>
    </row>
    <row r="40271" spans="6:6" x14ac:dyDescent="0.3">
      <c r="F40271" s="193"/>
    </row>
    <row r="40272" spans="6:6" x14ac:dyDescent="0.3">
      <c r="F40272" s="193"/>
    </row>
    <row r="40273" spans="6:6" x14ac:dyDescent="0.3">
      <c r="F40273" s="193"/>
    </row>
    <row r="40274" spans="6:6" x14ac:dyDescent="0.3">
      <c r="F40274" s="193"/>
    </row>
    <row r="40275" spans="6:6" x14ac:dyDescent="0.3">
      <c r="F40275" s="193"/>
    </row>
    <row r="40276" spans="6:6" x14ac:dyDescent="0.3">
      <c r="F40276" s="193"/>
    </row>
    <row r="40277" spans="6:6" x14ac:dyDescent="0.3">
      <c r="F40277" s="193"/>
    </row>
    <row r="40278" spans="6:6" x14ac:dyDescent="0.3">
      <c r="F40278" s="193"/>
    </row>
    <row r="40279" spans="6:6" x14ac:dyDescent="0.3">
      <c r="F40279" s="193"/>
    </row>
    <row r="40280" spans="6:6" x14ac:dyDescent="0.3">
      <c r="F40280" s="193"/>
    </row>
    <row r="40281" spans="6:6" x14ac:dyDescent="0.3">
      <c r="F40281" s="193"/>
    </row>
    <row r="40282" spans="6:6" x14ac:dyDescent="0.3">
      <c r="F40282" s="193"/>
    </row>
    <row r="40283" spans="6:6" x14ac:dyDescent="0.3">
      <c r="F40283" s="193"/>
    </row>
    <row r="40284" spans="6:6" x14ac:dyDescent="0.3">
      <c r="F40284" s="193"/>
    </row>
    <row r="40285" spans="6:6" x14ac:dyDescent="0.3">
      <c r="F40285" s="193"/>
    </row>
    <row r="40286" spans="6:6" x14ac:dyDescent="0.3">
      <c r="F40286" s="193"/>
    </row>
    <row r="40287" spans="6:6" x14ac:dyDescent="0.3">
      <c r="F40287" s="193"/>
    </row>
    <row r="40288" spans="6:6" x14ac:dyDescent="0.3">
      <c r="F40288" s="193"/>
    </row>
    <row r="40289" spans="6:6" x14ac:dyDescent="0.3">
      <c r="F40289" s="193"/>
    </row>
    <row r="40290" spans="6:6" x14ac:dyDescent="0.3">
      <c r="F40290" s="193"/>
    </row>
    <row r="40291" spans="6:6" x14ac:dyDescent="0.3">
      <c r="F40291" s="193"/>
    </row>
    <row r="40292" spans="6:6" x14ac:dyDescent="0.3">
      <c r="F40292" s="193"/>
    </row>
    <row r="40293" spans="6:6" x14ac:dyDescent="0.3">
      <c r="F40293" s="193"/>
    </row>
    <row r="40294" spans="6:6" x14ac:dyDescent="0.3">
      <c r="F40294" s="193"/>
    </row>
    <row r="40295" spans="6:6" x14ac:dyDescent="0.3">
      <c r="F40295" s="193"/>
    </row>
    <row r="40296" spans="6:6" x14ac:dyDescent="0.3">
      <c r="F40296" s="193"/>
    </row>
    <row r="40297" spans="6:6" x14ac:dyDescent="0.3">
      <c r="F40297" s="193"/>
    </row>
    <row r="40298" spans="6:6" x14ac:dyDescent="0.3">
      <c r="F40298" s="193"/>
    </row>
    <row r="40299" spans="6:6" x14ac:dyDescent="0.3">
      <c r="F40299" s="193"/>
    </row>
    <row r="40300" spans="6:6" x14ac:dyDescent="0.3">
      <c r="F40300" s="193"/>
    </row>
    <row r="40301" spans="6:6" x14ac:dyDescent="0.3">
      <c r="F40301" s="193"/>
    </row>
    <row r="40302" spans="6:6" x14ac:dyDescent="0.3">
      <c r="F40302" s="193"/>
    </row>
    <row r="40303" spans="6:6" x14ac:dyDescent="0.3">
      <c r="F40303" s="193"/>
    </row>
    <row r="40304" spans="6:6" x14ac:dyDescent="0.3">
      <c r="F40304" s="193"/>
    </row>
    <row r="40305" spans="6:6" x14ac:dyDescent="0.3">
      <c r="F40305" s="193"/>
    </row>
    <row r="40306" spans="6:6" x14ac:dyDescent="0.3">
      <c r="F40306" s="193"/>
    </row>
    <row r="40307" spans="6:6" x14ac:dyDescent="0.3">
      <c r="F40307" s="193"/>
    </row>
    <row r="40308" spans="6:6" x14ac:dyDescent="0.3">
      <c r="F40308" s="193"/>
    </row>
    <row r="40309" spans="6:6" x14ac:dyDescent="0.3">
      <c r="F40309" s="193"/>
    </row>
    <row r="40310" spans="6:6" x14ac:dyDescent="0.3">
      <c r="F40310" s="193"/>
    </row>
    <row r="40311" spans="6:6" x14ac:dyDescent="0.3">
      <c r="F40311" s="193"/>
    </row>
    <row r="40312" spans="6:6" x14ac:dyDescent="0.3">
      <c r="F40312" s="193"/>
    </row>
    <row r="40313" spans="6:6" x14ac:dyDescent="0.3">
      <c r="F40313" s="193"/>
    </row>
    <row r="40314" spans="6:6" x14ac:dyDescent="0.3">
      <c r="F40314" s="193"/>
    </row>
    <row r="40315" spans="6:6" x14ac:dyDescent="0.3">
      <c r="F40315" s="193"/>
    </row>
    <row r="40316" spans="6:6" x14ac:dyDescent="0.3">
      <c r="F40316" s="193"/>
    </row>
    <row r="40317" spans="6:6" x14ac:dyDescent="0.3">
      <c r="F40317" s="193"/>
    </row>
    <row r="40318" spans="6:6" x14ac:dyDescent="0.3">
      <c r="F40318" s="193"/>
    </row>
    <row r="40319" spans="6:6" x14ac:dyDescent="0.3">
      <c r="F40319" s="193"/>
    </row>
    <row r="40320" spans="6:6" x14ac:dyDescent="0.3">
      <c r="F40320" s="193"/>
    </row>
    <row r="40321" spans="6:6" x14ac:dyDescent="0.3">
      <c r="F40321" s="193"/>
    </row>
    <row r="40322" spans="6:6" x14ac:dyDescent="0.3">
      <c r="F40322" s="193"/>
    </row>
    <row r="40323" spans="6:6" x14ac:dyDescent="0.3">
      <c r="F40323" s="193"/>
    </row>
    <row r="40324" spans="6:6" x14ac:dyDescent="0.3">
      <c r="F40324" s="193"/>
    </row>
    <row r="40325" spans="6:6" x14ac:dyDescent="0.3">
      <c r="F40325" s="193"/>
    </row>
    <row r="40326" spans="6:6" x14ac:dyDescent="0.3">
      <c r="F40326" s="193"/>
    </row>
    <row r="40327" spans="6:6" x14ac:dyDescent="0.3">
      <c r="F40327" s="193"/>
    </row>
    <row r="40328" spans="6:6" x14ac:dyDescent="0.3">
      <c r="F40328" s="193"/>
    </row>
    <row r="40329" spans="6:6" x14ac:dyDescent="0.3">
      <c r="F40329" s="193"/>
    </row>
    <row r="40330" spans="6:6" x14ac:dyDescent="0.3">
      <c r="F40330" s="193"/>
    </row>
    <row r="40331" spans="6:6" x14ac:dyDescent="0.3">
      <c r="F40331" s="193"/>
    </row>
    <row r="40332" spans="6:6" x14ac:dyDescent="0.3">
      <c r="F40332" s="193"/>
    </row>
    <row r="40333" spans="6:6" x14ac:dyDescent="0.3">
      <c r="F40333" s="193"/>
    </row>
    <row r="40334" spans="6:6" x14ac:dyDescent="0.3">
      <c r="F40334" s="193"/>
    </row>
    <row r="40335" spans="6:6" x14ac:dyDescent="0.3">
      <c r="F40335" s="193"/>
    </row>
    <row r="40336" spans="6:6" x14ac:dyDescent="0.3">
      <c r="F40336" s="193"/>
    </row>
    <row r="40337" spans="6:6" x14ac:dyDescent="0.3">
      <c r="F40337" s="193"/>
    </row>
    <row r="40338" spans="6:6" x14ac:dyDescent="0.3">
      <c r="F40338" s="193"/>
    </row>
    <row r="40339" spans="6:6" x14ac:dyDescent="0.3">
      <c r="F40339" s="193"/>
    </row>
    <row r="40340" spans="6:6" x14ac:dyDescent="0.3">
      <c r="F40340" s="193"/>
    </row>
    <row r="40341" spans="6:6" x14ac:dyDescent="0.3">
      <c r="F40341" s="193"/>
    </row>
    <row r="40342" spans="6:6" x14ac:dyDescent="0.3">
      <c r="F40342" s="193"/>
    </row>
    <row r="40343" spans="6:6" x14ac:dyDescent="0.3">
      <c r="F40343" s="193"/>
    </row>
    <row r="40344" spans="6:6" x14ac:dyDescent="0.3">
      <c r="F40344" s="193"/>
    </row>
    <row r="40345" spans="6:6" x14ac:dyDescent="0.3">
      <c r="F40345" s="193"/>
    </row>
    <row r="40346" spans="6:6" x14ac:dyDescent="0.3">
      <c r="F40346" s="193"/>
    </row>
    <row r="40347" spans="6:6" x14ac:dyDescent="0.3">
      <c r="F40347" s="193"/>
    </row>
    <row r="40348" spans="6:6" x14ac:dyDescent="0.3">
      <c r="F40348" s="193"/>
    </row>
    <row r="40349" spans="6:6" x14ac:dyDescent="0.3">
      <c r="F40349" s="193"/>
    </row>
    <row r="40350" spans="6:6" x14ac:dyDescent="0.3">
      <c r="F40350" s="193"/>
    </row>
    <row r="40351" spans="6:6" x14ac:dyDescent="0.3">
      <c r="F40351" s="193"/>
    </row>
    <row r="40352" spans="6:6" x14ac:dyDescent="0.3">
      <c r="F40352" s="193"/>
    </row>
    <row r="40353" spans="6:6" x14ac:dyDescent="0.3">
      <c r="F40353" s="193"/>
    </row>
    <row r="40354" spans="6:6" x14ac:dyDescent="0.3">
      <c r="F40354" s="193"/>
    </row>
    <row r="40355" spans="6:6" x14ac:dyDescent="0.3">
      <c r="F40355" s="193"/>
    </row>
    <row r="40356" spans="6:6" x14ac:dyDescent="0.3">
      <c r="F40356" s="193"/>
    </row>
    <row r="40357" spans="6:6" x14ac:dyDescent="0.3">
      <c r="F40357" s="193"/>
    </row>
    <row r="40358" spans="6:6" x14ac:dyDescent="0.3">
      <c r="F40358" s="193"/>
    </row>
    <row r="40359" spans="6:6" x14ac:dyDescent="0.3">
      <c r="F40359" s="193"/>
    </row>
    <row r="40360" spans="6:6" x14ac:dyDescent="0.3">
      <c r="F40360" s="193"/>
    </row>
    <row r="40361" spans="6:6" x14ac:dyDescent="0.3">
      <c r="F40361" s="193"/>
    </row>
    <row r="40362" spans="6:6" x14ac:dyDescent="0.3">
      <c r="F40362" s="193"/>
    </row>
    <row r="40363" spans="6:6" x14ac:dyDescent="0.3">
      <c r="F40363" s="193"/>
    </row>
    <row r="40364" spans="6:6" x14ac:dyDescent="0.3">
      <c r="F40364" s="193"/>
    </row>
    <row r="40365" spans="6:6" x14ac:dyDescent="0.3">
      <c r="F40365" s="193"/>
    </row>
    <row r="40366" spans="6:6" x14ac:dyDescent="0.3">
      <c r="F40366" s="193"/>
    </row>
    <row r="40367" spans="6:6" x14ac:dyDescent="0.3">
      <c r="F40367" s="193"/>
    </row>
    <row r="40368" spans="6:6" x14ac:dyDescent="0.3">
      <c r="F40368" s="193"/>
    </row>
    <row r="40369" spans="6:6" x14ac:dyDescent="0.3">
      <c r="F40369" s="193"/>
    </row>
    <row r="40370" spans="6:6" x14ac:dyDescent="0.3">
      <c r="F40370" s="193"/>
    </row>
    <row r="40371" spans="6:6" x14ac:dyDescent="0.3">
      <c r="F40371" s="193"/>
    </row>
    <row r="40372" spans="6:6" x14ac:dyDescent="0.3">
      <c r="F40372" s="193"/>
    </row>
    <row r="40373" spans="6:6" x14ac:dyDescent="0.3">
      <c r="F40373" s="193"/>
    </row>
    <row r="40374" spans="6:6" x14ac:dyDescent="0.3">
      <c r="F40374" s="193"/>
    </row>
    <row r="40375" spans="6:6" x14ac:dyDescent="0.3">
      <c r="F40375" s="193"/>
    </row>
    <row r="40376" spans="6:6" x14ac:dyDescent="0.3">
      <c r="F40376" s="193"/>
    </row>
    <row r="40377" spans="6:6" x14ac:dyDescent="0.3">
      <c r="F40377" s="193"/>
    </row>
    <row r="40378" spans="6:6" x14ac:dyDescent="0.3">
      <c r="F40378" s="193"/>
    </row>
    <row r="40379" spans="6:6" x14ac:dyDescent="0.3">
      <c r="F40379" s="193"/>
    </row>
    <row r="40380" spans="6:6" x14ac:dyDescent="0.3">
      <c r="F40380" s="193"/>
    </row>
    <row r="40381" spans="6:6" x14ac:dyDescent="0.3">
      <c r="F40381" s="193"/>
    </row>
    <row r="40382" spans="6:6" x14ac:dyDescent="0.3">
      <c r="F40382" s="193"/>
    </row>
    <row r="40383" spans="6:6" x14ac:dyDescent="0.3">
      <c r="F40383" s="193"/>
    </row>
    <row r="40384" spans="6:6" x14ac:dyDescent="0.3">
      <c r="F40384" s="193"/>
    </row>
    <row r="40385" spans="6:6" x14ac:dyDescent="0.3">
      <c r="F40385" s="193"/>
    </row>
    <row r="40386" spans="6:6" x14ac:dyDescent="0.3">
      <c r="F40386" s="193"/>
    </row>
    <row r="40387" spans="6:6" x14ac:dyDescent="0.3">
      <c r="F40387" s="193"/>
    </row>
    <row r="40388" spans="6:6" x14ac:dyDescent="0.3">
      <c r="F40388" s="193"/>
    </row>
    <row r="40389" spans="6:6" x14ac:dyDescent="0.3">
      <c r="F40389" s="193"/>
    </row>
    <row r="40390" spans="6:6" x14ac:dyDescent="0.3">
      <c r="F40390" s="193"/>
    </row>
    <row r="40391" spans="6:6" x14ac:dyDescent="0.3">
      <c r="F40391" s="193"/>
    </row>
    <row r="40392" spans="6:6" x14ac:dyDescent="0.3">
      <c r="F40392" s="193"/>
    </row>
    <row r="40393" spans="6:6" x14ac:dyDescent="0.3">
      <c r="F40393" s="193"/>
    </row>
    <row r="40394" spans="6:6" x14ac:dyDescent="0.3">
      <c r="F40394" s="193"/>
    </row>
    <row r="40395" spans="6:6" x14ac:dyDescent="0.3">
      <c r="F40395" s="193"/>
    </row>
    <row r="40396" spans="6:6" x14ac:dyDescent="0.3">
      <c r="F40396" s="193"/>
    </row>
    <row r="40397" spans="6:6" x14ac:dyDescent="0.3">
      <c r="F40397" s="193"/>
    </row>
    <row r="40398" spans="6:6" x14ac:dyDescent="0.3">
      <c r="F40398" s="193"/>
    </row>
    <row r="40399" spans="6:6" x14ac:dyDescent="0.3">
      <c r="F40399" s="193"/>
    </row>
    <row r="40400" spans="6:6" x14ac:dyDescent="0.3">
      <c r="F40400" s="193"/>
    </row>
    <row r="40401" spans="6:6" x14ac:dyDescent="0.3">
      <c r="F40401" s="193"/>
    </row>
    <row r="40402" spans="6:6" x14ac:dyDescent="0.3">
      <c r="F40402" s="193"/>
    </row>
    <row r="40403" spans="6:6" x14ac:dyDescent="0.3">
      <c r="F40403" s="193"/>
    </row>
    <row r="40404" spans="6:6" x14ac:dyDescent="0.3">
      <c r="F40404" s="193"/>
    </row>
    <row r="40405" spans="6:6" x14ac:dyDescent="0.3">
      <c r="F40405" s="193"/>
    </row>
    <row r="40406" spans="6:6" x14ac:dyDescent="0.3">
      <c r="F40406" s="193"/>
    </row>
    <row r="40407" spans="6:6" x14ac:dyDescent="0.3">
      <c r="F40407" s="193"/>
    </row>
    <row r="40408" spans="6:6" x14ac:dyDescent="0.3">
      <c r="F40408" s="193"/>
    </row>
    <row r="40409" spans="6:6" x14ac:dyDescent="0.3">
      <c r="F40409" s="193"/>
    </row>
    <row r="40410" spans="6:6" x14ac:dyDescent="0.3">
      <c r="F40410" s="193"/>
    </row>
    <row r="40411" spans="6:6" x14ac:dyDescent="0.3">
      <c r="F40411" s="193"/>
    </row>
    <row r="40412" spans="6:6" x14ac:dyDescent="0.3">
      <c r="F40412" s="193"/>
    </row>
    <row r="40413" spans="6:6" x14ac:dyDescent="0.3">
      <c r="F40413" s="193"/>
    </row>
    <row r="40414" spans="6:6" x14ac:dyDescent="0.3">
      <c r="F40414" s="193"/>
    </row>
    <row r="40415" spans="6:6" x14ac:dyDescent="0.3">
      <c r="F40415" s="193"/>
    </row>
    <row r="40416" spans="6:6" x14ac:dyDescent="0.3">
      <c r="F40416" s="193"/>
    </row>
    <row r="40417" spans="6:6" x14ac:dyDescent="0.3">
      <c r="F40417" s="193"/>
    </row>
    <row r="40418" spans="6:6" x14ac:dyDescent="0.3">
      <c r="F40418" s="193"/>
    </row>
    <row r="40419" spans="6:6" x14ac:dyDescent="0.3">
      <c r="F40419" s="193"/>
    </row>
    <row r="40420" spans="6:6" x14ac:dyDescent="0.3">
      <c r="F40420" s="193"/>
    </row>
    <row r="40421" spans="6:6" x14ac:dyDescent="0.3">
      <c r="F40421" s="193"/>
    </row>
    <row r="40422" spans="6:6" x14ac:dyDescent="0.3">
      <c r="F40422" s="193"/>
    </row>
    <row r="40423" spans="6:6" x14ac:dyDescent="0.3">
      <c r="F40423" s="193"/>
    </row>
    <row r="40424" spans="6:6" x14ac:dyDescent="0.3">
      <c r="F40424" s="193"/>
    </row>
    <row r="40425" spans="6:6" x14ac:dyDescent="0.3">
      <c r="F40425" s="193"/>
    </row>
    <row r="40426" spans="6:6" x14ac:dyDescent="0.3">
      <c r="F40426" s="193"/>
    </row>
    <row r="40427" spans="6:6" x14ac:dyDescent="0.3">
      <c r="F40427" s="193"/>
    </row>
    <row r="40428" spans="6:6" x14ac:dyDescent="0.3">
      <c r="F40428" s="193"/>
    </row>
    <row r="40429" spans="6:6" x14ac:dyDescent="0.3">
      <c r="F40429" s="193"/>
    </row>
    <row r="40430" spans="6:6" x14ac:dyDescent="0.3">
      <c r="F40430" s="193"/>
    </row>
    <row r="40431" spans="6:6" x14ac:dyDescent="0.3">
      <c r="F40431" s="193"/>
    </row>
    <row r="40432" spans="6:6" x14ac:dyDescent="0.3">
      <c r="F40432" s="193"/>
    </row>
    <row r="40433" spans="6:6" x14ac:dyDescent="0.3">
      <c r="F40433" s="193"/>
    </row>
    <row r="40434" spans="6:6" x14ac:dyDescent="0.3">
      <c r="F40434" s="193"/>
    </row>
    <row r="40435" spans="6:6" x14ac:dyDescent="0.3">
      <c r="F40435" s="193"/>
    </row>
    <row r="40436" spans="6:6" x14ac:dyDescent="0.3">
      <c r="F40436" s="193"/>
    </row>
    <row r="40437" spans="6:6" x14ac:dyDescent="0.3">
      <c r="F40437" s="193"/>
    </row>
    <row r="40438" spans="6:6" x14ac:dyDescent="0.3">
      <c r="F40438" s="193"/>
    </row>
    <row r="40439" spans="6:6" x14ac:dyDescent="0.3">
      <c r="F40439" s="193"/>
    </row>
    <row r="40440" spans="6:6" x14ac:dyDescent="0.3">
      <c r="F40440" s="193"/>
    </row>
    <row r="40441" spans="6:6" x14ac:dyDescent="0.3">
      <c r="F40441" s="193"/>
    </row>
    <row r="40442" spans="6:6" x14ac:dyDescent="0.3">
      <c r="F40442" s="193"/>
    </row>
    <row r="40443" spans="6:6" x14ac:dyDescent="0.3">
      <c r="F40443" s="193"/>
    </row>
    <row r="40444" spans="6:6" x14ac:dyDescent="0.3">
      <c r="F40444" s="193"/>
    </row>
    <row r="40445" spans="6:6" x14ac:dyDescent="0.3">
      <c r="F40445" s="193"/>
    </row>
    <row r="40446" spans="6:6" x14ac:dyDescent="0.3">
      <c r="F40446" s="193"/>
    </row>
    <row r="40447" spans="6:6" x14ac:dyDescent="0.3">
      <c r="F40447" s="193"/>
    </row>
    <row r="40448" spans="6:6" x14ac:dyDescent="0.3">
      <c r="F40448" s="193"/>
    </row>
    <row r="40449" spans="6:6" x14ac:dyDescent="0.3">
      <c r="F40449" s="193"/>
    </row>
    <row r="40450" spans="6:6" x14ac:dyDescent="0.3">
      <c r="F40450" s="193"/>
    </row>
    <row r="40451" spans="6:6" x14ac:dyDescent="0.3">
      <c r="F40451" s="193"/>
    </row>
    <row r="40452" spans="6:6" x14ac:dyDescent="0.3">
      <c r="F40452" s="193"/>
    </row>
    <row r="40453" spans="6:6" x14ac:dyDescent="0.3">
      <c r="F40453" s="193"/>
    </row>
    <row r="40454" spans="6:6" x14ac:dyDescent="0.3">
      <c r="F40454" s="193"/>
    </row>
    <row r="40455" spans="6:6" x14ac:dyDescent="0.3">
      <c r="F40455" s="193"/>
    </row>
    <row r="40456" spans="6:6" x14ac:dyDescent="0.3">
      <c r="F40456" s="193"/>
    </row>
    <row r="40457" spans="6:6" x14ac:dyDescent="0.3">
      <c r="F40457" s="193"/>
    </row>
    <row r="40458" spans="6:6" x14ac:dyDescent="0.3">
      <c r="F40458" s="193"/>
    </row>
    <row r="40459" spans="6:6" x14ac:dyDescent="0.3">
      <c r="F40459" s="193"/>
    </row>
    <row r="40460" spans="6:6" x14ac:dyDescent="0.3">
      <c r="F40460" s="193"/>
    </row>
    <row r="40461" spans="6:6" x14ac:dyDescent="0.3">
      <c r="F40461" s="193"/>
    </row>
    <row r="40462" spans="6:6" x14ac:dyDescent="0.3">
      <c r="F40462" s="193"/>
    </row>
    <row r="40463" spans="6:6" x14ac:dyDescent="0.3">
      <c r="F40463" s="193"/>
    </row>
    <row r="40464" spans="6:6" x14ac:dyDescent="0.3">
      <c r="F40464" s="193"/>
    </row>
    <row r="40465" spans="6:6" x14ac:dyDescent="0.3">
      <c r="F40465" s="193"/>
    </row>
    <row r="40466" spans="6:6" x14ac:dyDescent="0.3">
      <c r="F40466" s="193"/>
    </row>
    <row r="40467" spans="6:6" x14ac:dyDescent="0.3">
      <c r="F40467" s="193"/>
    </row>
    <row r="40468" spans="6:6" x14ac:dyDescent="0.3">
      <c r="F40468" s="193"/>
    </row>
    <row r="40469" spans="6:6" x14ac:dyDescent="0.3">
      <c r="F40469" s="193"/>
    </row>
    <row r="40470" spans="6:6" x14ac:dyDescent="0.3">
      <c r="F40470" s="193"/>
    </row>
    <row r="40471" spans="6:6" x14ac:dyDescent="0.3">
      <c r="F40471" s="193"/>
    </row>
    <row r="40472" spans="6:6" x14ac:dyDescent="0.3">
      <c r="F40472" s="193"/>
    </row>
    <row r="40473" spans="6:6" x14ac:dyDescent="0.3">
      <c r="F40473" s="193"/>
    </row>
    <row r="40474" spans="6:6" x14ac:dyDescent="0.3">
      <c r="F40474" s="193"/>
    </row>
    <row r="40475" spans="6:6" x14ac:dyDescent="0.3">
      <c r="F40475" s="193"/>
    </row>
    <row r="40476" spans="6:6" x14ac:dyDescent="0.3">
      <c r="F40476" s="193"/>
    </row>
    <row r="40477" spans="6:6" x14ac:dyDescent="0.3">
      <c r="F40477" s="193"/>
    </row>
    <row r="40478" spans="6:6" x14ac:dyDescent="0.3">
      <c r="F40478" s="193"/>
    </row>
    <row r="40479" spans="6:6" x14ac:dyDescent="0.3">
      <c r="F40479" s="193"/>
    </row>
    <row r="40480" spans="6:6" x14ac:dyDescent="0.3">
      <c r="F40480" s="193"/>
    </row>
    <row r="40481" spans="6:6" x14ac:dyDescent="0.3">
      <c r="F40481" s="193"/>
    </row>
    <row r="40482" spans="6:6" x14ac:dyDescent="0.3">
      <c r="F40482" s="193"/>
    </row>
    <row r="40483" spans="6:6" x14ac:dyDescent="0.3">
      <c r="F40483" s="193"/>
    </row>
    <row r="40484" spans="6:6" x14ac:dyDescent="0.3">
      <c r="F40484" s="193"/>
    </row>
    <row r="40485" spans="6:6" x14ac:dyDescent="0.3">
      <c r="F40485" s="193"/>
    </row>
    <row r="40486" spans="6:6" x14ac:dyDescent="0.3">
      <c r="F40486" s="193"/>
    </row>
    <row r="40487" spans="6:6" x14ac:dyDescent="0.3">
      <c r="F40487" s="193"/>
    </row>
    <row r="40488" spans="6:6" x14ac:dyDescent="0.3">
      <c r="F40488" s="193"/>
    </row>
    <row r="40489" spans="6:6" x14ac:dyDescent="0.3">
      <c r="F40489" s="193"/>
    </row>
    <row r="40490" spans="6:6" x14ac:dyDescent="0.3">
      <c r="F40490" s="193"/>
    </row>
    <row r="40491" spans="6:6" x14ac:dyDescent="0.3">
      <c r="F40491" s="193"/>
    </row>
    <row r="40492" spans="6:6" x14ac:dyDescent="0.3">
      <c r="F40492" s="193"/>
    </row>
    <row r="40493" spans="6:6" x14ac:dyDescent="0.3">
      <c r="F40493" s="193"/>
    </row>
    <row r="40494" spans="6:6" x14ac:dyDescent="0.3">
      <c r="F40494" s="193"/>
    </row>
    <row r="40495" spans="6:6" x14ac:dyDescent="0.3">
      <c r="F40495" s="193"/>
    </row>
    <row r="40496" spans="6:6" x14ac:dyDescent="0.3">
      <c r="F40496" s="193"/>
    </row>
    <row r="40497" spans="6:6" x14ac:dyDescent="0.3">
      <c r="F40497" s="193"/>
    </row>
    <row r="40498" spans="6:6" x14ac:dyDescent="0.3">
      <c r="F40498" s="193"/>
    </row>
    <row r="40499" spans="6:6" x14ac:dyDescent="0.3">
      <c r="F40499" s="193"/>
    </row>
    <row r="40500" spans="6:6" x14ac:dyDescent="0.3">
      <c r="F40500" s="193"/>
    </row>
    <row r="40501" spans="6:6" x14ac:dyDescent="0.3">
      <c r="F40501" s="193"/>
    </row>
    <row r="40502" spans="6:6" x14ac:dyDescent="0.3">
      <c r="F40502" s="193"/>
    </row>
    <row r="40503" spans="6:6" x14ac:dyDescent="0.3">
      <c r="F40503" s="193"/>
    </row>
    <row r="40504" spans="6:6" x14ac:dyDescent="0.3">
      <c r="F40504" s="193"/>
    </row>
    <row r="40505" spans="6:6" x14ac:dyDescent="0.3">
      <c r="F40505" s="193"/>
    </row>
    <row r="40506" spans="6:6" x14ac:dyDescent="0.3">
      <c r="F40506" s="193"/>
    </row>
    <row r="40507" spans="6:6" x14ac:dyDescent="0.3">
      <c r="F40507" s="193"/>
    </row>
    <row r="40508" spans="6:6" x14ac:dyDescent="0.3">
      <c r="F40508" s="193"/>
    </row>
    <row r="40509" spans="6:6" x14ac:dyDescent="0.3">
      <c r="F40509" s="193"/>
    </row>
    <row r="40510" spans="6:6" x14ac:dyDescent="0.3">
      <c r="F40510" s="193"/>
    </row>
    <row r="40511" spans="6:6" x14ac:dyDescent="0.3">
      <c r="F40511" s="193"/>
    </row>
    <row r="40512" spans="6:6" x14ac:dyDescent="0.3">
      <c r="F40512" s="193"/>
    </row>
    <row r="40513" spans="6:6" x14ac:dyDescent="0.3">
      <c r="F40513" s="193"/>
    </row>
    <row r="40514" spans="6:6" x14ac:dyDescent="0.3">
      <c r="F40514" s="193"/>
    </row>
    <row r="40515" spans="6:6" x14ac:dyDescent="0.3">
      <c r="F40515" s="193"/>
    </row>
    <row r="40516" spans="6:6" x14ac:dyDescent="0.3">
      <c r="F40516" s="193"/>
    </row>
    <row r="40517" spans="6:6" x14ac:dyDescent="0.3">
      <c r="F40517" s="193"/>
    </row>
    <row r="40518" spans="6:6" x14ac:dyDescent="0.3">
      <c r="F40518" s="193"/>
    </row>
    <row r="40519" spans="6:6" x14ac:dyDescent="0.3">
      <c r="F40519" s="193"/>
    </row>
    <row r="40520" spans="6:6" x14ac:dyDescent="0.3">
      <c r="F40520" s="193"/>
    </row>
    <row r="40521" spans="6:6" x14ac:dyDescent="0.3">
      <c r="F40521" s="193"/>
    </row>
    <row r="40522" spans="6:6" x14ac:dyDescent="0.3">
      <c r="F40522" s="193"/>
    </row>
    <row r="40523" spans="6:6" x14ac:dyDescent="0.3">
      <c r="F40523" s="193"/>
    </row>
    <row r="40524" spans="6:6" x14ac:dyDescent="0.3">
      <c r="F40524" s="193"/>
    </row>
    <row r="40525" spans="6:6" x14ac:dyDescent="0.3">
      <c r="F40525" s="193"/>
    </row>
    <row r="40526" spans="6:6" x14ac:dyDescent="0.3">
      <c r="F40526" s="193"/>
    </row>
    <row r="40527" spans="6:6" x14ac:dyDescent="0.3">
      <c r="F40527" s="193"/>
    </row>
    <row r="40528" spans="6:6" x14ac:dyDescent="0.3">
      <c r="F40528" s="193"/>
    </row>
    <row r="40529" spans="6:6" x14ac:dyDescent="0.3">
      <c r="F40529" s="193"/>
    </row>
    <row r="40530" spans="6:6" x14ac:dyDescent="0.3">
      <c r="F40530" s="193"/>
    </row>
    <row r="40531" spans="6:6" x14ac:dyDescent="0.3">
      <c r="F40531" s="193"/>
    </row>
    <row r="40532" spans="6:6" x14ac:dyDescent="0.3">
      <c r="F40532" s="193"/>
    </row>
    <row r="40533" spans="6:6" x14ac:dyDescent="0.3">
      <c r="F40533" s="193"/>
    </row>
    <row r="40534" spans="6:6" x14ac:dyDescent="0.3">
      <c r="F40534" s="193"/>
    </row>
    <row r="40535" spans="6:6" x14ac:dyDescent="0.3">
      <c r="F40535" s="193"/>
    </row>
    <row r="40536" spans="6:6" x14ac:dyDescent="0.3">
      <c r="F40536" s="193"/>
    </row>
    <row r="40537" spans="6:6" x14ac:dyDescent="0.3">
      <c r="F40537" s="193"/>
    </row>
    <row r="40538" spans="6:6" x14ac:dyDescent="0.3">
      <c r="F40538" s="193"/>
    </row>
    <row r="40539" spans="6:6" x14ac:dyDescent="0.3">
      <c r="F40539" s="193"/>
    </row>
    <row r="40540" spans="6:6" x14ac:dyDescent="0.3">
      <c r="F40540" s="193"/>
    </row>
    <row r="40541" spans="6:6" x14ac:dyDescent="0.3">
      <c r="F40541" s="193"/>
    </row>
    <row r="40542" spans="6:6" x14ac:dyDescent="0.3">
      <c r="F40542" s="193"/>
    </row>
    <row r="40543" spans="6:6" x14ac:dyDescent="0.3">
      <c r="F40543" s="193"/>
    </row>
    <row r="40544" spans="6:6" x14ac:dyDescent="0.3">
      <c r="F40544" s="193"/>
    </row>
    <row r="40545" spans="6:6" x14ac:dyDescent="0.3">
      <c r="F40545" s="193"/>
    </row>
    <row r="40546" spans="6:6" x14ac:dyDescent="0.3">
      <c r="F40546" s="193"/>
    </row>
    <row r="40547" spans="6:6" x14ac:dyDescent="0.3">
      <c r="F40547" s="193"/>
    </row>
    <row r="40548" spans="6:6" x14ac:dyDescent="0.3">
      <c r="F40548" s="193"/>
    </row>
    <row r="40549" spans="6:6" x14ac:dyDescent="0.3">
      <c r="F40549" s="193"/>
    </row>
    <row r="40550" spans="6:6" x14ac:dyDescent="0.3">
      <c r="F40550" s="193"/>
    </row>
    <row r="40551" spans="6:6" x14ac:dyDescent="0.3">
      <c r="F40551" s="193"/>
    </row>
    <row r="40552" spans="6:6" x14ac:dyDescent="0.3">
      <c r="F40552" s="193"/>
    </row>
    <row r="40553" spans="6:6" x14ac:dyDescent="0.3">
      <c r="F40553" s="193"/>
    </row>
    <row r="40554" spans="6:6" x14ac:dyDescent="0.3">
      <c r="F40554" s="193"/>
    </row>
    <row r="40555" spans="6:6" x14ac:dyDescent="0.3">
      <c r="F40555" s="193"/>
    </row>
    <row r="40556" spans="6:6" x14ac:dyDescent="0.3">
      <c r="F40556" s="193"/>
    </row>
    <row r="40557" spans="6:6" x14ac:dyDescent="0.3">
      <c r="F40557" s="193"/>
    </row>
    <row r="40558" spans="6:6" x14ac:dyDescent="0.3">
      <c r="F40558" s="193"/>
    </row>
    <row r="40559" spans="6:6" x14ac:dyDescent="0.3">
      <c r="F40559" s="193"/>
    </row>
    <row r="40560" spans="6:6" x14ac:dyDescent="0.3">
      <c r="F40560" s="193"/>
    </row>
    <row r="40561" spans="6:6" x14ac:dyDescent="0.3">
      <c r="F40561" s="193"/>
    </row>
    <row r="40562" spans="6:6" x14ac:dyDescent="0.3">
      <c r="F40562" s="193"/>
    </row>
    <row r="40563" spans="6:6" x14ac:dyDescent="0.3">
      <c r="F40563" s="193"/>
    </row>
    <row r="40564" spans="6:6" x14ac:dyDescent="0.3">
      <c r="F40564" s="193"/>
    </row>
    <row r="40565" spans="6:6" x14ac:dyDescent="0.3">
      <c r="F40565" s="193"/>
    </row>
    <row r="40566" spans="6:6" x14ac:dyDescent="0.3">
      <c r="F40566" s="193"/>
    </row>
    <row r="40567" spans="6:6" x14ac:dyDescent="0.3">
      <c r="F40567" s="193"/>
    </row>
    <row r="40568" spans="6:6" x14ac:dyDescent="0.3">
      <c r="F40568" s="193"/>
    </row>
    <row r="40569" spans="6:6" x14ac:dyDescent="0.3">
      <c r="F40569" s="193"/>
    </row>
    <row r="40570" spans="6:6" x14ac:dyDescent="0.3">
      <c r="F40570" s="193"/>
    </row>
    <row r="40571" spans="6:6" x14ac:dyDescent="0.3">
      <c r="F40571" s="193"/>
    </row>
    <row r="40572" spans="6:6" x14ac:dyDescent="0.3">
      <c r="F40572" s="193"/>
    </row>
    <row r="40573" spans="6:6" x14ac:dyDescent="0.3">
      <c r="F40573" s="193"/>
    </row>
    <row r="40574" spans="6:6" x14ac:dyDescent="0.3">
      <c r="F40574" s="193"/>
    </row>
    <row r="40575" spans="6:6" x14ac:dyDescent="0.3">
      <c r="F40575" s="193"/>
    </row>
    <row r="40576" spans="6:6" x14ac:dyDescent="0.3">
      <c r="F40576" s="193"/>
    </row>
    <row r="40577" spans="6:6" x14ac:dyDescent="0.3">
      <c r="F40577" s="193"/>
    </row>
    <row r="40578" spans="6:6" x14ac:dyDescent="0.3">
      <c r="F40578" s="193"/>
    </row>
    <row r="40579" spans="6:6" x14ac:dyDescent="0.3">
      <c r="F40579" s="193"/>
    </row>
    <row r="40580" spans="6:6" x14ac:dyDescent="0.3">
      <c r="F40580" s="193"/>
    </row>
    <row r="40581" spans="6:6" x14ac:dyDescent="0.3">
      <c r="F40581" s="193"/>
    </row>
    <row r="40582" spans="6:6" x14ac:dyDescent="0.3">
      <c r="F40582" s="193"/>
    </row>
    <row r="40583" spans="6:6" x14ac:dyDescent="0.3">
      <c r="F40583" s="193"/>
    </row>
    <row r="40584" spans="6:6" x14ac:dyDescent="0.3">
      <c r="F40584" s="193"/>
    </row>
    <row r="40585" spans="6:6" x14ac:dyDescent="0.3">
      <c r="F40585" s="193"/>
    </row>
    <row r="40586" spans="6:6" x14ac:dyDescent="0.3">
      <c r="F40586" s="193"/>
    </row>
    <row r="40587" spans="6:6" x14ac:dyDescent="0.3">
      <c r="F40587" s="193"/>
    </row>
    <row r="40588" spans="6:6" x14ac:dyDescent="0.3">
      <c r="F40588" s="193"/>
    </row>
    <row r="40589" spans="6:6" x14ac:dyDescent="0.3">
      <c r="F40589" s="193"/>
    </row>
    <row r="40590" spans="6:6" x14ac:dyDescent="0.3">
      <c r="F40590" s="193"/>
    </row>
    <row r="40591" spans="6:6" x14ac:dyDescent="0.3">
      <c r="F40591" s="193"/>
    </row>
    <row r="40592" spans="6:6" x14ac:dyDescent="0.3">
      <c r="F40592" s="193"/>
    </row>
    <row r="40593" spans="6:6" x14ac:dyDescent="0.3">
      <c r="F40593" s="193"/>
    </row>
    <row r="40594" spans="6:6" x14ac:dyDescent="0.3">
      <c r="F40594" s="193"/>
    </row>
    <row r="40595" spans="6:6" x14ac:dyDescent="0.3">
      <c r="F40595" s="193"/>
    </row>
    <row r="40596" spans="6:6" x14ac:dyDescent="0.3">
      <c r="F40596" s="193"/>
    </row>
    <row r="40597" spans="6:6" x14ac:dyDescent="0.3">
      <c r="F40597" s="193"/>
    </row>
    <row r="40598" spans="6:6" x14ac:dyDescent="0.3">
      <c r="F40598" s="193"/>
    </row>
    <row r="40599" spans="6:6" x14ac:dyDescent="0.3">
      <c r="F40599" s="193"/>
    </row>
    <row r="40600" spans="6:6" x14ac:dyDescent="0.3">
      <c r="F40600" s="193"/>
    </row>
    <row r="40601" spans="6:6" x14ac:dyDescent="0.3">
      <c r="F40601" s="193"/>
    </row>
    <row r="40602" spans="6:6" x14ac:dyDescent="0.3">
      <c r="F40602" s="193"/>
    </row>
    <row r="40603" spans="6:6" x14ac:dyDescent="0.3">
      <c r="F40603" s="193"/>
    </row>
    <row r="40604" spans="6:6" x14ac:dyDescent="0.3">
      <c r="F40604" s="193"/>
    </row>
    <row r="40605" spans="6:6" x14ac:dyDescent="0.3">
      <c r="F40605" s="193"/>
    </row>
    <row r="40606" spans="6:6" x14ac:dyDescent="0.3">
      <c r="F40606" s="193"/>
    </row>
    <row r="40607" spans="6:6" x14ac:dyDescent="0.3">
      <c r="F40607" s="193"/>
    </row>
    <row r="40608" spans="6:6" x14ac:dyDescent="0.3">
      <c r="F40608" s="193"/>
    </row>
    <row r="40609" spans="6:6" x14ac:dyDescent="0.3">
      <c r="F40609" s="193"/>
    </row>
    <row r="40610" spans="6:6" x14ac:dyDescent="0.3">
      <c r="F40610" s="193"/>
    </row>
    <row r="40611" spans="6:6" x14ac:dyDescent="0.3">
      <c r="F40611" s="193"/>
    </row>
    <row r="40612" spans="6:6" x14ac:dyDescent="0.3">
      <c r="F40612" s="193"/>
    </row>
    <row r="40613" spans="6:6" x14ac:dyDescent="0.3">
      <c r="F40613" s="193"/>
    </row>
    <row r="40614" spans="6:6" x14ac:dyDescent="0.3">
      <c r="F40614" s="193"/>
    </row>
    <row r="40615" spans="6:6" x14ac:dyDescent="0.3">
      <c r="F40615" s="193"/>
    </row>
    <row r="40616" spans="6:6" x14ac:dyDescent="0.3">
      <c r="F40616" s="193"/>
    </row>
    <row r="40617" spans="6:6" x14ac:dyDescent="0.3">
      <c r="F40617" s="193"/>
    </row>
    <row r="40618" spans="6:6" x14ac:dyDescent="0.3">
      <c r="F40618" s="193"/>
    </row>
    <row r="40619" spans="6:6" x14ac:dyDescent="0.3">
      <c r="F40619" s="193"/>
    </row>
    <row r="40620" spans="6:6" x14ac:dyDescent="0.3">
      <c r="F40620" s="193"/>
    </row>
    <row r="40621" spans="6:6" x14ac:dyDescent="0.3">
      <c r="F40621" s="193"/>
    </row>
    <row r="40622" spans="6:6" x14ac:dyDescent="0.3">
      <c r="F40622" s="193"/>
    </row>
    <row r="40623" spans="6:6" x14ac:dyDescent="0.3">
      <c r="F40623" s="193"/>
    </row>
    <row r="40624" spans="6:6" x14ac:dyDescent="0.3">
      <c r="F40624" s="193"/>
    </row>
    <row r="40625" spans="6:6" x14ac:dyDescent="0.3">
      <c r="F40625" s="193"/>
    </row>
    <row r="40626" spans="6:6" x14ac:dyDescent="0.3">
      <c r="F40626" s="193"/>
    </row>
    <row r="40627" spans="6:6" x14ac:dyDescent="0.3">
      <c r="F40627" s="193"/>
    </row>
    <row r="40628" spans="6:6" x14ac:dyDescent="0.3">
      <c r="F40628" s="193"/>
    </row>
    <row r="40629" spans="6:6" x14ac:dyDescent="0.3">
      <c r="F40629" s="193"/>
    </row>
    <row r="40630" spans="6:6" x14ac:dyDescent="0.3">
      <c r="F40630" s="193"/>
    </row>
    <row r="40631" spans="6:6" x14ac:dyDescent="0.3">
      <c r="F40631" s="193"/>
    </row>
    <row r="40632" spans="6:6" x14ac:dyDescent="0.3">
      <c r="F40632" s="193"/>
    </row>
    <row r="40633" spans="6:6" x14ac:dyDescent="0.3">
      <c r="F40633" s="193"/>
    </row>
    <row r="40634" spans="6:6" x14ac:dyDescent="0.3">
      <c r="F40634" s="193"/>
    </row>
    <row r="40635" spans="6:6" x14ac:dyDescent="0.3">
      <c r="F40635" s="193"/>
    </row>
    <row r="40636" spans="6:6" x14ac:dyDescent="0.3">
      <c r="F40636" s="193"/>
    </row>
    <row r="40637" spans="6:6" x14ac:dyDescent="0.3">
      <c r="F40637" s="193"/>
    </row>
    <row r="40638" spans="6:6" x14ac:dyDescent="0.3">
      <c r="F40638" s="193"/>
    </row>
    <row r="40639" spans="6:6" x14ac:dyDescent="0.3">
      <c r="F40639" s="193"/>
    </row>
    <row r="40640" spans="6:6" x14ac:dyDescent="0.3">
      <c r="F40640" s="193"/>
    </row>
    <row r="40641" spans="6:6" x14ac:dyDescent="0.3">
      <c r="F40641" s="193"/>
    </row>
    <row r="40642" spans="6:6" x14ac:dyDescent="0.3">
      <c r="F40642" s="193"/>
    </row>
    <row r="40643" spans="6:6" x14ac:dyDescent="0.3">
      <c r="F40643" s="193"/>
    </row>
    <row r="40644" spans="6:6" x14ac:dyDescent="0.3">
      <c r="F40644" s="193"/>
    </row>
    <row r="40645" spans="6:6" x14ac:dyDescent="0.3">
      <c r="F40645" s="193"/>
    </row>
    <row r="40646" spans="6:6" x14ac:dyDescent="0.3">
      <c r="F40646" s="193"/>
    </row>
    <row r="40647" spans="6:6" x14ac:dyDescent="0.3">
      <c r="F40647" s="193"/>
    </row>
    <row r="40648" spans="6:6" x14ac:dyDescent="0.3">
      <c r="F40648" s="193"/>
    </row>
    <row r="40649" spans="6:6" x14ac:dyDescent="0.3">
      <c r="F40649" s="193"/>
    </row>
    <row r="40650" spans="6:6" x14ac:dyDescent="0.3">
      <c r="F40650" s="193"/>
    </row>
    <row r="40651" spans="6:6" x14ac:dyDescent="0.3">
      <c r="F40651" s="193"/>
    </row>
    <row r="40652" spans="6:6" x14ac:dyDescent="0.3">
      <c r="F40652" s="193"/>
    </row>
    <row r="40653" spans="6:6" x14ac:dyDescent="0.3">
      <c r="F40653" s="193"/>
    </row>
    <row r="40654" spans="6:6" x14ac:dyDescent="0.3">
      <c r="F40654" s="193"/>
    </row>
    <row r="40655" spans="6:6" x14ac:dyDescent="0.3">
      <c r="F40655" s="193"/>
    </row>
    <row r="40656" spans="6:6" x14ac:dyDescent="0.3">
      <c r="F40656" s="193"/>
    </row>
    <row r="40657" spans="6:6" x14ac:dyDescent="0.3">
      <c r="F40657" s="193"/>
    </row>
    <row r="40658" spans="6:6" x14ac:dyDescent="0.3">
      <c r="F40658" s="193"/>
    </row>
    <row r="40659" spans="6:6" x14ac:dyDescent="0.3">
      <c r="F40659" s="193"/>
    </row>
    <row r="40660" spans="6:6" x14ac:dyDescent="0.3">
      <c r="F40660" s="193"/>
    </row>
    <row r="40661" spans="6:6" x14ac:dyDescent="0.3">
      <c r="F40661" s="193"/>
    </row>
    <row r="40662" spans="6:6" x14ac:dyDescent="0.3">
      <c r="F40662" s="193"/>
    </row>
    <row r="40663" spans="6:6" x14ac:dyDescent="0.3">
      <c r="F40663" s="193"/>
    </row>
    <row r="40664" spans="6:6" x14ac:dyDescent="0.3">
      <c r="F40664" s="193"/>
    </row>
    <row r="40665" spans="6:6" x14ac:dyDescent="0.3">
      <c r="F40665" s="193"/>
    </row>
    <row r="40666" spans="6:6" x14ac:dyDescent="0.3">
      <c r="F40666" s="193"/>
    </row>
    <row r="40667" spans="6:6" x14ac:dyDescent="0.3">
      <c r="F40667" s="193"/>
    </row>
    <row r="40668" spans="6:6" x14ac:dyDescent="0.3">
      <c r="F40668" s="193"/>
    </row>
    <row r="40669" spans="6:6" x14ac:dyDescent="0.3">
      <c r="F40669" s="193"/>
    </row>
    <row r="40670" spans="6:6" x14ac:dyDescent="0.3">
      <c r="F40670" s="193"/>
    </row>
    <row r="40671" spans="6:6" x14ac:dyDescent="0.3">
      <c r="F40671" s="193"/>
    </row>
    <row r="40672" spans="6:6" x14ac:dyDescent="0.3">
      <c r="F40672" s="193"/>
    </row>
    <row r="40673" spans="6:6" x14ac:dyDescent="0.3">
      <c r="F40673" s="193"/>
    </row>
    <row r="40674" spans="6:6" x14ac:dyDescent="0.3">
      <c r="F40674" s="193"/>
    </row>
    <row r="40675" spans="6:6" x14ac:dyDescent="0.3">
      <c r="F40675" s="193"/>
    </row>
    <row r="40676" spans="6:6" x14ac:dyDescent="0.3">
      <c r="F40676" s="193"/>
    </row>
    <row r="40677" spans="6:6" x14ac:dyDescent="0.3">
      <c r="F40677" s="193"/>
    </row>
    <row r="40678" spans="6:6" x14ac:dyDescent="0.3">
      <c r="F40678" s="193"/>
    </row>
    <row r="40679" spans="6:6" x14ac:dyDescent="0.3">
      <c r="F40679" s="193"/>
    </row>
    <row r="40680" spans="6:6" x14ac:dyDescent="0.3">
      <c r="F40680" s="193"/>
    </row>
    <row r="40681" spans="6:6" x14ac:dyDescent="0.3">
      <c r="F40681" s="193"/>
    </row>
    <row r="40682" spans="6:6" x14ac:dyDescent="0.3">
      <c r="F40682" s="193"/>
    </row>
    <row r="40683" spans="6:6" x14ac:dyDescent="0.3">
      <c r="F40683" s="193"/>
    </row>
    <row r="40684" spans="6:6" x14ac:dyDescent="0.3">
      <c r="F40684" s="193"/>
    </row>
    <row r="40685" spans="6:6" x14ac:dyDescent="0.3">
      <c r="F40685" s="193"/>
    </row>
    <row r="40686" spans="6:6" x14ac:dyDescent="0.3">
      <c r="F40686" s="193"/>
    </row>
    <row r="40687" spans="6:6" x14ac:dyDescent="0.3">
      <c r="F40687" s="193"/>
    </row>
    <row r="40688" spans="6:6" x14ac:dyDescent="0.3">
      <c r="F40688" s="193"/>
    </row>
    <row r="40689" spans="6:6" x14ac:dyDescent="0.3">
      <c r="F40689" s="193"/>
    </row>
    <row r="40690" spans="6:6" x14ac:dyDescent="0.3">
      <c r="F40690" s="193"/>
    </row>
    <row r="40691" spans="6:6" x14ac:dyDescent="0.3">
      <c r="F40691" s="193"/>
    </row>
    <row r="40692" spans="6:6" x14ac:dyDescent="0.3">
      <c r="F40692" s="193"/>
    </row>
    <row r="40693" spans="6:6" x14ac:dyDescent="0.3">
      <c r="F40693" s="193"/>
    </row>
    <row r="40694" spans="6:6" x14ac:dyDescent="0.3">
      <c r="F40694" s="193"/>
    </row>
    <row r="40695" spans="6:6" x14ac:dyDescent="0.3">
      <c r="F40695" s="193"/>
    </row>
    <row r="40696" spans="6:6" x14ac:dyDescent="0.3">
      <c r="F40696" s="193"/>
    </row>
    <row r="40697" spans="6:6" x14ac:dyDescent="0.3">
      <c r="F40697" s="193"/>
    </row>
    <row r="40698" spans="6:6" x14ac:dyDescent="0.3">
      <c r="F40698" s="193"/>
    </row>
    <row r="40699" spans="6:6" x14ac:dyDescent="0.3">
      <c r="F40699" s="193"/>
    </row>
    <row r="40700" spans="6:6" x14ac:dyDescent="0.3">
      <c r="F40700" s="193"/>
    </row>
    <row r="40701" spans="6:6" x14ac:dyDescent="0.3">
      <c r="F40701" s="193"/>
    </row>
    <row r="40702" spans="6:6" x14ac:dyDescent="0.3">
      <c r="F40702" s="193"/>
    </row>
    <row r="40703" spans="6:6" x14ac:dyDescent="0.3">
      <c r="F40703" s="193"/>
    </row>
    <row r="40704" spans="6:6" x14ac:dyDescent="0.3">
      <c r="F40704" s="193"/>
    </row>
    <row r="40705" spans="6:6" x14ac:dyDescent="0.3">
      <c r="F40705" s="193"/>
    </row>
    <row r="40706" spans="6:6" x14ac:dyDescent="0.3">
      <c r="F40706" s="193"/>
    </row>
    <row r="40707" spans="6:6" x14ac:dyDescent="0.3">
      <c r="F40707" s="193"/>
    </row>
    <row r="40708" spans="6:6" x14ac:dyDescent="0.3">
      <c r="F40708" s="193"/>
    </row>
    <row r="40709" spans="6:6" x14ac:dyDescent="0.3">
      <c r="F40709" s="193"/>
    </row>
    <row r="40710" spans="6:6" x14ac:dyDescent="0.3">
      <c r="F40710" s="193"/>
    </row>
    <row r="40711" spans="6:6" x14ac:dyDescent="0.3">
      <c r="F40711" s="193"/>
    </row>
    <row r="40712" spans="6:6" x14ac:dyDescent="0.3">
      <c r="F40712" s="193"/>
    </row>
    <row r="40713" spans="6:6" x14ac:dyDescent="0.3">
      <c r="F40713" s="193"/>
    </row>
    <row r="40714" spans="6:6" x14ac:dyDescent="0.3">
      <c r="F40714" s="193"/>
    </row>
    <row r="40715" spans="6:6" x14ac:dyDescent="0.3">
      <c r="F40715" s="193"/>
    </row>
    <row r="40716" spans="6:6" x14ac:dyDescent="0.3">
      <c r="F40716" s="193"/>
    </row>
    <row r="40717" spans="6:6" x14ac:dyDescent="0.3">
      <c r="F40717" s="193"/>
    </row>
    <row r="40718" spans="6:6" x14ac:dyDescent="0.3">
      <c r="F40718" s="193"/>
    </row>
    <row r="40719" spans="6:6" x14ac:dyDescent="0.3">
      <c r="F40719" s="193"/>
    </row>
    <row r="40720" spans="6:6" x14ac:dyDescent="0.3">
      <c r="F40720" s="193"/>
    </row>
    <row r="40721" spans="6:6" x14ac:dyDescent="0.3">
      <c r="F40721" s="193"/>
    </row>
    <row r="40722" spans="6:6" x14ac:dyDescent="0.3">
      <c r="F40722" s="193"/>
    </row>
    <row r="40723" spans="6:6" x14ac:dyDescent="0.3">
      <c r="F40723" s="193"/>
    </row>
    <row r="40724" spans="6:6" x14ac:dyDescent="0.3">
      <c r="F40724" s="193"/>
    </row>
    <row r="40725" spans="6:6" x14ac:dyDescent="0.3">
      <c r="F40725" s="193"/>
    </row>
    <row r="40726" spans="6:6" x14ac:dyDescent="0.3">
      <c r="F40726" s="193"/>
    </row>
    <row r="40727" spans="6:6" x14ac:dyDescent="0.3">
      <c r="F40727" s="193"/>
    </row>
    <row r="40728" spans="6:6" x14ac:dyDescent="0.3">
      <c r="F40728" s="193"/>
    </row>
    <row r="40729" spans="6:6" x14ac:dyDescent="0.3">
      <c r="F40729" s="193"/>
    </row>
    <row r="40730" spans="6:6" x14ac:dyDescent="0.3">
      <c r="F40730" s="193"/>
    </row>
    <row r="40731" spans="6:6" x14ac:dyDescent="0.3">
      <c r="F40731" s="193"/>
    </row>
    <row r="40732" spans="6:6" x14ac:dyDescent="0.3">
      <c r="F40732" s="193"/>
    </row>
    <row r="40733" spans="6:6" x14ac:dyDescent="0.3">
      <c r="F40733" s="193"/>
    </row>
    <row r="40734" spans="6:6" x14ac:dyDescent="0.3">
      <c r="F40734" s="193"/>
    </row>
    <row r="40735" spans="6:6" x14ac:dyDescent="0.3">
      <c r="F40735" s="193"/>
    </row>
    <row r="40736" spans="6:6" x14ac:dyDescent="0.3">
      <c r="F40736" s="193"/>
    </row>
    <row r="40737" spans="6:6" x14ac:dyDescent="0.3">
      <c r="F40737" s="193"/>
    </row>
    <row r="40738" spans="6:6" x14ac:dyDescent="0.3">
      <c r="F40738" s="193"/>
    </row>
    <row r="40739" spans="6:6" x14ac:dyDescent="0.3">
      <c r="F40739" s="193"/>
    </row>
    <row r="40740" spans="6:6" x14ac:dyDescent="0.3">
      <c r="F40740" s="193"/>
    </row>
    <row r="40741" spans="6:6" x14ac:dyDescent="0.3">
      <c r="F40741" s="193"/>
    </row>
    <row r="40742" spans="6:6" x14ac:dyDescent="0.3">
      <c r="F40742" s="193"/>
    </row>
    <row r="40743" spans="6:6" x14ac:dyDescent="0.3">
      <c r="F40743" s="193"/>
    </row>
    <row r="40744" spans="6:6" x14ac:dyDescent="0.3">
      <c r="F40744" s="193"/>
    </row>
    <row r="40745" spans="6:6" x14ac:dyDescent="0.3">
      <c r="F40745" s="193"/>
    </row>
    <row r="40746" spans="6:6" x14ac:dyDescent="0.3">
      <c r="F40746" s="193"/>
    </row>
    <row r="40747" spans="6:6" x14ac:dyDescent="0.3">
      <c r="F40747" s="193"/>
    </row>
    <row r="40748" spans="6:6" x14ac:dyDescent="0.3">
      <c r="F40748" s="193"/>
    </row>
    <row r="40749" spans="6:6" x14ac:dyDescent="0.3">
      <c r="F40749" s="193"/>
    </row>
    <row r="40750" spans="6:6" x14ac:dyDescent="0.3">
      <c r="F40750" s="193"/>
    </row>
    <row r="40751" spans="6:6" x14ac:dyDescent="0.3">
      <c r="F40751" s="193"/>
    </row>
    <row r="40752" spans="6:6" x14ac:dyDescent="0.3">
      <c r="F40752" s="193"/>
    </row>
    <row r="40753" spans="6:6" x14ac:dyDescent="0.3">
      <c r="F40753" s="193"/>
    </row>
    <row r="40754" spans="6:6" x14ac:dyDescent="0.3">
      <c r="F40754" s="193"/>
    </row>
    <row r="40755" spans="6:6" x14ac:dyDescent="0.3">
      <c r="F40755" s="193"/>
    </row>
    <row r="40756" spans="6:6" x14ac:dyDescent="0.3">
      <c r="F40756" s="193"/>
    </row>
    <row r="40757" spans="6:6" x14ac:dyDescent="0.3">
      <c r="F40757" s="193"/>
    </row>
    <row r="40758" spans="6:6" x14ac:dyDescent="0.3">
      <c r="F40758" s="193"/>
    </row>
    <row r="40759" spans="6:6" x14ac:dyDescent="0.3">
      <c r="F40759" s="193"/>
    </row>
    <row r="40760" spans="6:6" x14ac:dyDescent="0.3">
      <c r="F40760" s="193"/>
    </row>
    <row r="40761" spans="6:6" x14ac:dyDescent="0.3">
      <c r="F40761" s="193"/>
    </row>
    <row r="40762" spans="6:6" x14ac:dyDescent="0.3">
      <c r="F40762" s="193"/>
    </row>
    <row r="40763" spans="6:6" x14ac:dyDescent="0.3">
      <c r="F40763" s="193"/>
    </row>
    <row r="40764" spans="6:6" x14ac:dyDescent="0.3">
      <c r="F40764" s="193"/>
    </row>
    <row r="40765" spans="6:6" x14ac:dyDescent="0.3">
      <c r="F40765" s="193"/>
    </row>
    <row r="40766" spans="6:6" x14ac:dyDescent="0.3">
      <c r="F40766" s="193"/>
    </row>
    <row r="40767" spans="6:6" x14ac:dyDescent="0.3">
      <c r="F40767" s="193"/>
    </row>
    <row r="40768" spans="6:6" x14ac:dyDescent="0.3">
      <c r="F40768" s="193"/>
    </row>
    <row r="40769" spans="6:6" x14ac:dyDescent="0.3">
      <c r="F40769" s="193"/>
    </row>
    <row r="40770" spans="6:6" x14ac:dyDescent="0.3">
      <c r="F40770" s="193"/>
    </row>
    <row r="40771" spans="6:6" x14ac:dyDescent="0.3">
      <c r="F40771" s="193"/>
    </row>
    <row r="40772" spans="6:6" x14ac:dyDescent="0.3">
      <c r="F40772" s="193"/>
    </row>
    <row r="40773" spans="6:6" x14ac:dyDescent="0.3">
      <c r="F40773" s="193"/>
    </row>
    <row r="40774" spans="6:6" x14ac:dyDescent="0.3">
      <c r="F40774" s="193"/>
    </row>
    <row r="40775" spans="6:6" x14ac:dyDescent="0.3">
      <c r="F40775" s="193"/>
    </row>
    <row r="40776" spans="6:6" x14ac:dyDescent="0.3">
      <c r="F40776" s="193"/>
    </row>
    <row r="40777" spans="6:6" x14ac:dyDescent="0.3">
      <c r="F40777" s="193"/>
    </row>
    <row r="40778" spans="6:6" x14ac:dyDescent="0.3">
      <c r="F40778" s="193"/>
    </row>
    <row r="40779" spans="6:6" x14ac:dyDescent="0.3">
      <c r="F40779" s="193"/>
    </row>
    <row r="40780" spans="6:6" x14ac:dyDescent="0.3">
      <c r="F40780" s="193"/>
    </row>
    <row r="40781" spans="6:6" x14ac:dyDescent="0.3">
      <c r="F40781" s="193"/>
    </row>
    <row r="40782" spans="6:6" x14ac:dyDescent="0.3">
      <c r="F40782" s="193"/>
    </row>
    <row r="40783" spans="6:6" x14ac:dyDescent="0.3">
      <c r="F40783" s="193"/>
    </row>
    <row r="40784" spans="6:6" x14ac:dyDescent="0.3">
      <c r="F40784" s="193"/>
    </row>
    <row r="40785" spans="6:6" x14ac:dyDescent="0.3">
      <c r="F40785" s="193"/>
    </row>
    <row r="40786" spans="6:6" x14ac:dyDescent="0.3">
      <c r="F40786" s="193"/>
    </row>
    <row r="40787" spans="6:6" x14ac:dyDescent="0.3">
      <c r="F40787" s="193"/>
    </row>
    <row r="40788" spans="6:6" x14ac:dyDescent="0.3">
      <c r="F40788" s="193"/>
    </row>
    <row r="40789" spans="6:6" x14ac:dyDescent="0.3">
      <c r="F40789" s="193"/>
    </row>
    <row r="40790" spans="6:6" x14ac:dyDescent="0.3">
      <c r="F40790" s="193"/>
    </row>
    <row r="40791" spans="6:6" x14ac:dyDescent="0.3">
      <c r="F40791" s="193"/>
    </row>
    <row r="40792" spans="6:6" x14ac:dyDescent="0.3">
      <c r="F40792" s="193"/>
    </row>
    <row r="40793" spans="6:6" x14ac:dyDescent="0.3">
      <c r="F40793" s="193"/>
    </row>
    <row r="40794" spans="6:6" x14ac:dyDescent="0.3">
      <c r="F40794" s="193"/>
    </row>
    <row r="40795" spans="6:6" x14ac:dyDescent="0.3">
      <c r="F40795" s="193"/>
    </row>
    <row r="40796" spans="6:6" x14ac:dyDescent="0.3">
      <c r="F40796" s="193"/>
    </row>
    <row r="40797" spans="6:6" x14ac:dyDescent="0.3">
      <c r="F40797" s="193"/>
    </row>
    <row r="40798" spans="6:6" x14ac:dyDescent="0.3">
      <c r="F40798" s="193"/>
    </row>
    <row r="40799" spans="6:6" x14ac:dyDescent="0.3">
      <c r="F40799" s="193"/>
    </row>
    <row r="40800" spans="6:6" x14ac:dyDescent="0.3">
      <c r="F40800" s="193"/>
    </row>
    <row r="40801" spans="6:6" x14ac:dyDescent="0.3">
      <c r="F40801" s="193"/>
    </row>
    <row r="40802" spans="6:6" x14ac:dyDescent="0.3">
      <c r="F40802" s="193"/>
    </row>
    <row r="40803" spans="6:6" x14ac:dyDescent="0.3">
      <c r="F40803" s="193"/>
    </row>
    <row r="40804" spans="6:6" x14ac:dyDescent="0.3">
      <c r="F40804" s="193"/>
    </row>
    <row r="40805" spans="6:6" x14ac:dyDescent="0.3">
      <c r="F40805" s="193"/>
    </row>
    <row r="40806" spans="6:6" x14ac:dyDescent="0.3">
      <c r="F40806" s="193"/>
    </row>
    <row r="40807" spans="6:6" x14ac:dyDescent="0.3">
      <c r="F40807" s="193"/>
    </row>
    <row r="40808" spans="6:6" x14ac:dyDescent="0.3">
      <c r="F40808" s="193"/>
    </row>
    <row r="40809" spans="6:6" x14ac:dyDescent="0.3">
      <c r="F40809" s="193"/>
    </row>
    <row r="40810" spans="6:6" x14ac:dyDescent="0.3">
      <c r="F40810" s="193"/>
    </row>
    <row r="40811" spans="6:6" x14ac:dyDescent="0.3">
      <c r="F40811" s="193"/>
    </row>
    <row r="40812" spans="6:6" x14ac:dyDescent="0.3">
      <c r="F40812" s="193"/>
    </row>
    <row r="40813" spans="6:6" x14ac:dyDescent="0.3">
      <c r="F40813" s="193"/>
    </row>
    <row r="40814" spans="6:6" x14ac:dyDescent="0.3">
      <c r="F40814" s="193"/>
    </row>
    <row r="40815" spans="6:6" x14ac:dyDescent="0.3">
      <c r="F40815" s="193"/>
    </row>
    <row r="40816" spans="6:6" x14ac:dyDescent="0.3">
      <c r="F40816" s="193"/>
    </row>
    <row r="40817" spans="6:6" x14ac:dyDescent="0.3">
      <c r="F40817" s="193"/>
    </row>
    <row r="40818" spans="6:6" x14ac:dyDescent="0.3">
      <c r="F40818" s="193"/>
    </row>
    <row r="40819" spans="6:6" x14ac:dyDescent="0.3">
      <c r="F40819" s="193"/>
    </row>
    <row r="40820" spans="6:6" x14ac:dyDescent="0.3">
      <c r="F40820" s="193"/>
    </row>
    <row r="40821" spans="6:6" x14ac:dyDescent="0.3">
      <c r="F40821" s="193"/>
    </row>
    <row r="40822" spans="6:6" x14ac:dyDescent="0.3">
      <c r="F40822" s="193"/>
    </row>
    <row r="40823" spans="6:6" x14ac:dyDescent="0.3">
      <c r="F40823" s="193"/>
    </row>
    <row r="40824" spans="6:6" x14ac:dyDescent="0.3">
      <c r="F40824" s="193"/>
    </row>
    <row r="40825" spans="6:6" x14ac:dyDescent="0.3">
      <c r="F40825" s="193"/>
    </row>
    <row r="40826" spans="6:6" x14ac:dyDescent="0.3">
      <c r="F40826" s="193"/>
    </row>
    <row r="40827" spans="6:6" x14ac:dyDescent="0.3">
      <c r="F40827" s="193"/>
    </row>
    <row r="40828" spans="6:6" x14ac:dyDescent="0.3">
      <c r="F40828" s="193"/>
    </row>
    <row r="40829" spans="6:6" x14ac:dyDescent="0.3">
      <c r="F40829" s="193"/>
    </row>
    <row r="40830" spans="6:6" x14ac:dyDescent="0.3">
      <c r="F40830" s="193"/>
    </row>
    <row r="40831" spans="6:6" x14ac:dyDescent="0.3">
      <c r="F40831" s="193"/>
    </row>
    <row r="40832" spans="6:6" x14ac:dyDescent="0.3">
      <c r="F40832" s="193"/>
    </row>
    <row r="40833" spans="6:6" x14ac:dyDescent="0.3">
      <c r="F40833" s="193"/>
    </row>
    <row r="40834" spans="6:6" x14ac:dyDescent="0.3">
      <c r="F40834" s="193"/>
    </row>
    <row r="40835" spans="6:6" x14ac:dyDescent="0.3">
      <c r="F40835" s="193"/>
    </row>
    <row r="40836" spans="6:6" x14ac:dyDescent="0.3">
      <c r="F40836" s="193"/>
    </row>
    <row r="40837" spans="6:6" x14ac:dyDescent="0.3">
      <c r="F40837" s="193"/>
    </row>
    <row r="40838" spans="6:6" x14ac:dyDescent="0.3">
      <c r="F40838" s="193"/>
    </row>
    <row r="40839" spans="6:6" x14ac:dyDescent="0.3">
      <c r="F40839" s="193"/>
    </row>
    <row r="40840" spans="6:6" x14ac:dyDescent="0.3">
      <c r="F40840" s="193"/>
    </row>
    <row r="40841" spans="6:6" x14ac:dyDescent="0.3">
      <c r="F40841" s="193"/>
    </row>
    <row r="40842" spans="6:6" x14ac:dyDescent="0.3">
      <c r="F40842" s="193"/>
    </row>
    <row r="40843" spans="6:6" x14ac:dyDescent="0.3">
      <c r="F40843" s="193"/>
    </row>
    <row r="40844" spans="6:6" x14ac:dyDescent="0.3">
      <c r="F40844" s="193"/>
    </row>
    <row r="40845" spans="6:6" x14ac:dyDescent="0.3">
      <c r="F40845" s="193"/>
    </row>
    <row r="40846" spans="6:6" x14ac:dyDescent="0.3">
      <c r="F40846" s="193"/>
    </row>
    <row r="40847" spans="6:6" x14ac:dyDescent="0.3">
      <c r="F40847" s="193"/>
    </row>
    <row r="40848" spans="6:6" x14ac:dyDescent="0.3">
      <c r="F40848" s="193"/>
    </row>
    <row r="40849" spans="6:6" x14ac:dyDescent="0.3">
      <c r="F40849" s="193"/>
    </row>
    <row r="40850" spans="6:6" x14ac:dyDescent="0.3">
      <c r="F40850" s="193"/>
    </row>
    <row r="40851" spans="6:6" x14ac:dyDescent="0.3">
      <c r="F40851" s="193"/>
    </row>
    <row r="40852" spans="6:6" x14ac:dyDescent="0.3">
      <c r="F40852" s="193"/>
    </row>
    <row r="40853" spans="6:6" x14ac:dyDescent="0.3">
      <c r="F40853" s="193"/>
    </row>
    <row r="40854" spans="6:6" x14ac:dyDescent="0.3">
      <c r="F40854" s="193"/>
    </row>
    <row r="40855" spans="6:6" x14ac:dyDescent="0.3">
      <c r="F40855" s="193"/>
    </row>
    <row r="40856" spans="6:6" x14ac:dyDescent="0.3">
      <c r="F40856" s="193"/>
    </row>
    <row r="40857" spans="6:6" x14ac:dyDescent="0.3">
      <c r="F40857" s="193"/>
    </row>
    <row r="40858" spans="6:6" x14ac:dyDescent="0.3">
      <c r="F40858" s="193"/>
    </row>
    <row r="40859" spans="6:6" x14ac:dyDescent="0.3">
      <c r="F40859" s="193"/>
    </row>
    <row r="40860" spans="6:6" x14ac:dyDescent="0.3">
      <c r="F40860" s="193"/>
    </row>
    <row r="40861" spans="6:6" x14ac:dyDescent="0.3">
      <c r="F40861" s="193"/>
    </row>
    <row r="40862" spans="6:6" x14ac:dyDescent="0.3">
      <c r="F40862" s="193"/>
    </row>
    <row r="40863" spans="6:6" x14ac:dyDescent="0.3">
      <c r="F40863" s="193"/>
    </row>
    <row r="40864" spans="6:6" x14ac:dyDescent="0.3">
      <c r="F40864" s="193"/>
    </row>
    <row r="40865" spans="6:6" x14ac:dyDescent="0.3">
      <c r="F40865" s="193"/>
    </row>
    <row r="40866" spans="6:6" x14ac:dyDescent="0.3">
      <c r="F40866" s="193"/>
    </row>
    <row r="40867" spans="6:6" x14ac:dyDescent="0.3">
      <c r="F40867" s="193"/>
    </row>
    <row r="40868" spans="6:6" x14ac:dyDescent="0.3">
      <c r="F40868" s="193"/>
    </row>
    <row r="40869" spans="6:6" x14ac:dyDescent="0.3">
      <c r="F40869" s="193"/>
    </row>
    <row r="40870" spans="6:6" x14ac:dyDescent="0.3">
      <c r="F40870" s="193"/>
    </row>
    <row r="40871" spans="6:6" x14ac:dyDescent="0.3">
      <c r="F40871" s="193"/>
    </row>
    <row r="40872" spans="6:6" x14ac:dyDescent="0.3">
      <c r="F40872" s="193"/>
    </row>
    <row r="40873" spans="6:6" x14ac:dyDescent="0.3">
      <c r="F40873" s="193"/>
    </row>
    <row r="40874" spans="6:6" x14ac:dyDescent="0.3">
      <c r="F40874" s="193"/>
    </row>
    <row r="40875" spans="6:6" x14ac:dyDescent="0.3">
      <c r="F40875" s="193"/>
    </row>
    <row r="40876" spans="6:6" x14ac:dyDescent="0.3">
      <c r="F40876" s="193"/>
    </row>
    <row r="40877" spans="6:6" x14ac:dyDescent="0.3">
      <c r="F40877" s="193"/>
    </row>
    <row r="40878" spans="6:6" x14ac:dyDescent="0.3">
      <c r="F40878" s="193"/>
    </row>
    <row r="40879" spans="6:6" x14ac:dyDescent="0.3">
      <c r="F40879" s="193"/>
    </row>
    <row r="40880" spans="6:6" x14ac:dyDescent="0.3">
      <c r="F40880" s="193"/>
    </row>
    <row r="40881" spans="6:6" x14ac:dyDescent="0.3">
      <c r="F40881" s="193"/>
    </row>
    <row r="40882" spans="6:6" x14ac:dyDescent="0.3">
      <c r="F40882" s="193"/>
    </row>
    <row r="40883" spans="6:6" x14ac:dyDescent="0.3">
      <c r="F40883" s="193"/>
    </row>
    <row r="40884" spans="6:6" x14ac:dyDescent="0.3">
      <c r="F40884" s="193"/>
    </row>
    <row r="40885" spans="6:6" x14ac:dyDescent="0.3">
      <c r="F40885" s="193"/>
    </row>
    <row r="40886" spans="6:6" x14ac:dyDescent="0.3">
      <c r="F40886" s="193"/>
    </row>
    <row r="40887" spans="6:6" x14ac:dyDescent="0.3">
      <c r="F40887" s="193"/>
    </row>
    <row r="40888" spans="6:6" x14ac:dyDescent="0.3">
      <c r="F40888" s="193"/>
    </row>
    <row r="40889" spans="6:6" x14ac:dyDescent="0.3">
      <c r="F40889" s="193"/>
    </row>
    <row r="40890" spans="6:6" x14ac:dyDescent="0.3">
      <c r="F40890" s="193"/>
    </row>
    <row r="40891" spans="6:6" x14ac:dyDescent="0.3">
      <c r="F40891" s="193"/>
    </row>
    <row r="40892" spans="6:6" x14ac:dyDescent="0.3">
      <c r="F40892" s="193"/>
    </row>
    <row r="40893" spans="6:6" x14ac:dyDescent="0.3">
      <c r="F40893" s="193"/>
    </row>
    <row r="40894" spans="6:6" x14ac:dyDescent="0.3">
      <c r="F40894" s="193"/>
    </row>
    <row r="40895" spans="6:6" x14ac:dyDescent="0.3">
      <c r="F40895" s="193"/>
    </row>
    <row r="40896" spans="6:6" x14ac:dyDescent="0.3">
      <c r="F40896" s="193"/>
    </row>
    <row r="40897" spans="6:6" x14ac:dyDescent="0.3">
      <c r="F40897" s="193"/>
    </row>
    <row r="40898" spans="6:6" x14ac:dyDescent="0.3">
      <c r="F40898" s="193"/>
    </row>
    <row r="40899" spans="6:6" x14ac:dyDescent="0.3">
      <c r="F40899" s="193"/>
    </row>
    <row r="40900" spans="6:6" x14ac:dyDescent="0.3">
      <c r="F40900" s="193"/>
    </row>
    <row r="40901" spans="6:6" x14ac:dyDescent="0.3">
      <c r="F40901" s="193"/>
    </row>
    <row r="40902" spans="6:6" x14ac:dyDescent="0.3">
      <c r="F40902" s="193"/>
    </row>
    <row r="40903" spans="6:6" x14ac:dyDescent="0.3">
      <c r="F40903" s="193"/>
    </row>
    <row r="40904" spans="6:6" x14ac:dyDescent="0.3">
      <c r="F40904" s="193"/>
    </row>
    <row r="40905" spans="6:6" x14ac:dyDescent="0.3">
      <c r="F40905" s="193"/>
    </row>
    <row r="40906" spans="6:6" x14ac:dyDescent="0.3">
      <c r="F40906" s="193"/>
    </row>
    <row r="40907" spans="6:6" x14ac:dyDescent="0.3">
      <c r="F40907" s="193"/>
    </row>
    <row r="40908" spans="6:6" x14ac:dyDescent="0.3">
      <c r="F40908" s="193"/>
    </row>
    <row r="40909" spans="6:6" x14ac:dyDescent="0.3">
      <c r="F40909" s="193"/>
    </row>
    <row r="40910" spans="6:6" x14ac:dyDescent="0.3">
      <c r="F40910" s="193"/>
    </row>
    <row r="40911" spans="6:6" x14ac:dyDescent="0.3">
      <c r="F40911" s="193"/>
    </row>
    <row r="40912" spans="6:6" x14ac:dyDescent="0.3">
      <c r="F40912" s="193"/>
    </row>
    <row r="40913" spans="6:6" x14ac:dyDescent="0.3">
      <c r="F40913" s="193"/>
    </row>
    <row r="40914" spans="6:6" x14ac:dyDescent="0.3">
      <c r="F40914" s="193"/>
    </row>
    <row r="40915" spans="6:6" x14ac:dyDescent="0.3">
      <c r="F40915" s="193"/>
    </row>
    <row r="40916" spans="6:6" x14ac:dyDescent="0.3">
      <c r="F40916" s="193"/>
    </row>
    <row r="40917" spans="6:6" x14ac:dyDescent="0.3">
      <c r="F40917" s="193"/>
    </row>
    <row r="40918" spans="6:6" x14ac:dyDescent="0.3">
      <c r="F40918" s="193"/>
    </row>
    <row r="40919" spans="6:6" x14ac:dyDescent="0.3">
      <c r="F40919" s="193"/>
    </row>
    <row r="40920" spans="6:6" x14ac:dyDescent="0.3">
      <c r="F40920" s="193"/>
    </row>
    <row r="40921" spans="6:6" x14ac:dyDescent="0.3">
      <c r="F40921" s="193"/>
    </row>
    <row r="40922" spans="6:6" x14ac:dyDescent="0.3">
      <c r="F40922" s="193"/>
    </row>
    <row r="40923" spans="6:6" x14ac:dyDescent="0.3">
      <c r="F40923" s="193"/>
    </row>
    <row r="40924" spans="6:6" x14ac:dyDescent="0.3">
      <c r="F40924" s="193"/>
    </row>
    <row r="40925" spans="6:6" x14ac:dyDescent="0.3">
      <c r="F40925" s="193"/>
    </row>
    <row r="40926" spans="6:6" x14ac:dyDescent="0.3">
      <c r="F40926" s="193"/>
    </row>
    <row r="40927" spans="6:6" x14ac:dyDescent="0.3">
      <c r="F40927" s="193"/>
    </row>
    <row r="40928" spans="6:6" x14ac:dyDescent="0.3">
      <c r="F40928" s="193"/>
    </row>
    <row r="40929" spans="6:6" x14ac:dyDescent="0.3">
      <c r="F40929" s="193"/>
    </row>
    <row r="40930" spans="6:6" x14ac:dyDescent="0.3">
      <c r="F40930" s="193"/>
    </row>
    <row r="40931" spans="6:6" x14ac:dyDescent="0.3">
      <c r="F40931" s="193"/>
    </row>
    <row r="40932" spans="6:6" x14ac:dyDescent="0.3">
      <c r="F40932" s="193"/>
    </row>
    <row r="40933" spans="6:6" x14ac:dyDescent="0.3">
      <c r="F40933" s="193"/>
    </row>
    <row r="40934" spans="6:6" x14ac:dyDescent="0.3">
      <c r="F40934" s="193"/>
    </row>
    <row r="40935" spans="6:6" x14ac:dyDescent="0.3">
      <c r="F40935" s="193"/>
    </row>
    <row r="40936" spans="6:6" x14ac:dyDescent="0.3">
      <c r="F40936" s="193"/>
    </row>
    <row r="40937" spans="6:6" x14ac:dyDescent="0.3">
      <c r="F40937" s="193"/>
    </row>
    <row r="40938" spans="6:6" x14ac:dyDescent="0.3">
      <c r="F40938" s="193"/>
    </row>
    <row r="40939" spans="6:6" x14ac:dyDescent="0.3">
      <c r="F40939" s="193"/>
    </row>
    <row r="40940" spans="6:6" x14ac:dyDescent="0.3">
      <c r="F40940" s="193"/>
    </row>
    <row r="40941" spans="6:6" x14ac:dyDescent="0.3">
      <c r="F40941" s="193"/>
    </row>
    <row r="40942" spans="6:6" x14ac:dyDescent="0.3">
      <c r="F40942" s="193"/>
    </row>
    <row r="40943" spans="6:6" x14ac:dyDescent="0.3">
      <c r="F40943" s="193"/>
    </row>
    <row r="40944" spans="6:6" x14ac:dyDescent="0.3">
      <c r="F40944" s="193"/>
    </row>
    <row r="40945" spans="6:6" x14ac:dyDescent="0.3">
      <c r="F40945" s="193"/>
    </row>
    <row r="40946" spans="6:6" x14ac:dyDescent="0.3">
      <c r="F40946" s="193"/>
    </row>
    <row r="40947" spans="6:6" x14ac:dyDescent="0.3">
      <c r="F40947" s="193"/>
    </row>
    <row r="40948" spans="6:6" x14ac:dyDescent="0.3">
      <c r="F40948" s="193"/>
    </row>
    <row r="40949" spans="6:6" x14ac:dyDescent="0.3">
      <c r="F40949" s="193"/>
    </row>
    <row r="40950" spans="6:6" x14ac:dyDescent="0.3">
      <c r="F40950" s="193"/>
    </row>
    <row r="40951" spans="6:6" x14ac:dyDescent="0.3">
      <c r="F40951" s="193"/>
    </row>
    <row r="40952" spans="6:6" x14ac:dyDescent="0.3">
      <c r="F40952" s="193"/>
    </row>
    <row r="40953" spans="6:6" x14ac:dyDescent="0.3">
      <c r="F40953" s="193"/>
    </row>
    <row r="40954" spans="6:6" x14ac:dyDescent="0.3">
      <c r="F40954" s="193"/>
    </row>
    <row r="40955" spans="6:6" x14ac:dyDescent="0.3">
      <c r="F40955" s="193"/>
    </row>
    <row r="40956" spans="6:6" x14ac:dyDescent="0.3">
      <c r="F40956" s="193"/>
    </row>
    <row r="40957" spans="6:6" x14ac:dyDescent="0.3">
      <c r="F40957" s="193"/>
    </row>
    <row r="40958" spans="6:6" x14ac:dyDescent="0.3">
      <c r="F40958" s="193"/>
    </row>
    <row r="40959" spans="6:6" x14ac:dyDescent="0.3">
      <c r="F40959" s="193"/>
    </row>
    <row r="40960" spans="6:6" x14ac:dyDescent="0.3">
      <c r="F40960" s="193"/>
    </row>
    <row r="40961" spans="6:6" x14ac:dyDescent="0.3">
      <c r="F40961" s="193"/>
    </row>
    <row r="40962" spans="6:6" x14ac:dyDescent="0.3">
      <c r="F40962" s="193"/>
    </row>
    <row r="40963" spans="6:6" x14ac:dyDescent="0.3">
      <c r="F40963" s="193"/>
    </row>
    <row r="40964" spans="6:6" x14ac:dyDescent="0.3">
      <c r="F40964" s="193"/>
    </row>
    <row r="40965" spans="6:6" x14ac:dyDescent="0.3">
      <c r="F40965" s="193"/>
    </row>
    <row r="40966" spans="6:6" x14ac:dyDescent="0.3">
      <c r="F40966" s="193"/>
    </row>
    <row r="40967" spans="6:6" x14ac:dyDescent="0.3">
      <c r="F40967" s="193"/>
    </row>
    <row r="40968" spans="6:6" x14ac:dyDescent="0.3">
      <c r="F40968" s="193"/>
    </row>
    <row r="40969" spans="6:6" x14ac:dyDescent="0.3">
      <c r="F40969" s="193"/>
    </row>
    <row r="40970" spans="6:6" x14ac:dyDescent="0.3">
      <c r="F40970" s="193"/>
    </row>
    <row r="40971" spans="6:6" x14ac:dyDescent="0.3">
      <c r="F40971" s="193"/>
    </row>
    <row r="40972" spans="6:6" x14ac:dyDescent="0.3">
      <c r="F40972" s="193"/>
    </row>
    <row r="40973" spans="6:6" x14ac:dyDescent="0.3">
      <c r="F40973" s="193"/>
    </row>
    <row r="40974" spans="6:6" x14ac:dyDescent="0.3">
      <c r="F40974" s="193"/>
    </row>
    <row r="40975" spans="6:6" x14ac:dyDescent="0.3">
      <c r="F40975" s="193"/>
    </row>
    <row r="40976" spans="6:6" x14ac:dyDescent="0.3">
      <c r="F40976" s="193"/>
    </row>
    <row r="40977" spans="6:6" x14ac:dyDescent="0.3">
      <c r="F40977" s="193"/>
    </row>
    <row r="40978" spans="6:6" x14ac:dyDescent="0.3">
      <c r="F40978" s="193"/>
    </row>
    <row r="40979" spans="6:6" x14ac:dyDescent="0.3">
      <c r="F40979" s="193"/>
    </row>
    <row r="40980" spans="6:6" x14ac:dyDescent="0.3">
      <c r="F40980" s="193"/>
    </row>
    <row r="40981" spans="6:6" x14ac:dyDescent="0.3">
      <c r="F40981" s="193"/>
    </row>
    <row r="40982" spans="6:6" x14ac:dyDescent="0.3">
      <c r="F40982" s="193"/>
    </row>
    <row r="40983" spans="6:6" x14ac:dyDescent="0.3">
      <c r="F40983" s="193"/>
    </row>
    <row r="40984" spans="6:6" x14ac:dyDescent="0.3">
      <c r="F40984" s="193"/>
    </row>
    <row r="40985" spans="6:6" x14ac:dyDescent="0.3">
      <c r="F40985" s="193"/>
    </row>
    <row r="40986" spans="6:6" x14ac:dyDescent="0.3">
      <c r="F40986" s="193"/>
    </row>
    <row r="40987" spans="6:6" x14ac:dyDescent="0.3">
      <c r="F40987" s="193"/>
    </row>
    <row r="40988" spans="6:6" x14ac:dyDescent="0.3">
      <c r="F40988" s="193"/>
    </row>
    <row r="40989" spans="6:6" x14ac:dyDescent="0.3">
      <c r="F40989" s="193"/>
    </row>
    <row r="40990" spans="6:6" x14ac:dyDescent="0.3">
      <c r="F40990" s="193"/>
    </row>
    <row r="40991" spans="6:6" x14ac:dyDescent="0.3">
      <c r="F40991" s="193"/>
    </row>
    <row r="40992" spans="6:6" x14ac:dyDescent="0.3">
      <c r="F40992" s="193"/>
    </row>
    <row r="40993" spans="6:6" x14ac:dyDescent="0.3">
      <c r="F40993" s="193"/>
    </row>
    <row r="40994" spans="6:6" x14ac:dyDescent="0.3">
      <c r="F40994" s="193"/>
    </row>
    <row r="40995" spans="6:6" x14ac:dyDescent="0.3">
      <c r="F40995" s="193"/>
    </row>
    <row r="40996" spans="6:6" x14ac:dyDescent="0.3">
      <c r="F40996" s="193"/>
    </row>
    <row r="40997" spans="6:6" x14ac:dyDescent="0.3">
      <c r="F40997" s="193"/>
    </row>
    <row r="40998" spans="6:6" x14ac:dyDescent="0.3">
      <c r="F40998" s="193"/>
    </row>
    <row r="40999" spans="6:6" x14ac:dyDescent="0.3">
      <c r="F40999" s="193"/>
    </row>
    <row r="41000" spans="6:6" x14ac:dyDescent="0.3">
      <c r="F41000" s="193"/>
    </row>
    <row r="41001" spans="6:6" x14ac:dyDescent="0.3">
      <c r="F41001" s="193"/>
    </row>
    <row r="41002" spans="6:6" x14ac:dyDescent="0.3">
      <c r="F41002" s="193"/>
    </row>
    <row r="41003" spans="6:6" x14ac:dyDescent="0.3">
      <c r="F41003" s="193"/>
    </row>
    <row r="41004" spans="6:6" x14ac:dyDescent="0.3">
      <c r="F41004" s="193"/>
    </row>
    <row r="41005" spans="6:6" x14ac:dyDescent="0.3">
      <c r="F41005" s="193"/>
    </row>
    <row r="41006" spans="6:6" x14ac:dyDescent="0.3">
      <c r="F41006" s="193"/>
    </row>
    <row r="41007" spans="6:6" x14ac:dyDescent="0.3">
      <c r="F41007" s="193"/>
    </row>
    <row r="41008" spans="6:6" x14ac:dyDescent="0.3">
      <c r="F41008" s="193"/>
    </row>
    <row r="41009" spans="6:6" x14ac:dyDescent="0.3">
      <c r="F41009" s="193"/>
    </row>
    <row r="41010" spans="6:6" x14ac:dyDescent="0.3">
      <c r="F41010" s="193"/>
    </row>
    <row r="41011" spans="6:6" x14ac:dyDescent="0.3">
      <c r="F41011" s="193"/>
    </row>
    <row r="41012" spans="6:6" x14ac:dyDescent="0.3">
      <c r="F41012" s="193"/>
    </row>
    <row r="41013" spans="6:6" x14ac:dyDescent="0.3">
      <c r="F41013" s="193"/>
    </row>
    <row r="41014" spans="6:6" x14ac:dyDescent="0.3">
      <c r="F41014" s="193"/>
    </row>
    <row r="41015" spans="6:6" x14ac:dyDescent="0.3">
      <c r="F41015" s="193"/>
    </row>
    <row r="41016" spans="6:6" x14ac:dyDescent="0.3">
      <c r="F41016" s="193"/>
    </row>
    <row r="41017" spans="6:6" x14ac:dyDescent="0.3">
      <c r="F41017" s="193"/>
    </row>
    <row r="41018" spans="6:6" x14ac:dyDescent="0.3">
      <c r="F41018" s="193"/>
    </row>
    <row r="41019" spans="6:6" x14ac:dyDescent="0.3">
      <c r="F41019" s="193"/>
    </row>
    <row r="41020" spans="6:6" x14ac:dyDescent="0.3">
      <c r="F41020" s="193"/>
    </row>
    <row r="41021" spans="6:6" x14ac:dyDescent="0.3">
      <c r="F41021" s="193"/>
    </row>
    <row r="41022" spans="6:6" x14ac:dyDescent="0.3">
      <c r="F41022" s="193"/>
    </row>
    <row r="41023" spans="6:6" x14ac:dyDescent="0.3">
      <c r="F41023" s="193"/>
    </row>
    <row r="41024" spans="6:6" x14ac:dyDescent="0.3">
      <c r="F41024" s="193"/>
    </row>
    <row r="41025" spans="6:6" x14ac:dyDescent="0.3">
      <c r="F41025" s="193"/>
    </row>
    <row r="41026" spans="6:6" x14ac:dyDescent="0.3">
      <c r="F41026" s="193"/>
    </row>
    <row r="41027" spans="6:6" x14ac:dyDescent="0.3">
      <c r="F41027" s="193"/>
    </row>
    <row r="41028" spans="6:6" x14ac:dyDescent="0.3">
      <c r="F41028" s="193"/>
    </row>
    <row r="41029" spans="6:6" x14ac:dyDescent="0.3">
      <c r="F41029" s="193"/>
    </row>
    <row r="41030" spans="6:6" x14ac:dyDescent="0.3">
      <c r="F41030" s="193"/>
    </row>
    <row r="41031" spans="6:6" x14ac:dyDescent="0.3">
      <c r="F41031" s="193"/>
    </row>
    <row r="41032" spans="6:6" x14ac:dyDescent="0.3">
      <c r="F41032" s="193"/>
    </row>
    <row r="41033" spans="6:6" x14ac:dyDescent="0.3">
      <c r="F41033" s="193"/>
    </row>
    <row r="41034" spans="6:6" x14ac:dyDescent="0.3">
      <c r="F41034" s="193"/>
    </row>
    <row r="41035" spans="6:6" x14ac:dyDescent="0.3">
      <c r="F41035" s="193"/>
    </row>
    <row r="41036" spans="6:6" x14ac:dyDescent="0.3">
      <c r="F41036" s="193"/>
    </row>
    <row r="41037" spans="6:6" x14ac:dyDescent="0.3">
      <c r="F41037" s="193"/>
    </row>
    <row r="41038" spans="6:6" x14ac:dyDescent="0.3">
      <c r="F41038" s="193"/>
    </row>
    <row r="41039" spans="6:6" x14ac:dyDescent="0.3">
      <c r="F41039" s="193"/>
    </row>
    <row r="41040" spans="6:6" x14ac:dyDescent="0.3">
      <c r="F41040" s="193"/>
    </row>
    <row r="41041" spans="6:6" x14ac:dyDescent="0.3">
      <c r="F41041" s="193"/>
    </row>
    <row r="41042" spans="6:6" x14ac:dyDescent="0.3">
      <c r="F41042" s="193"/>
    </row>
    <row r="41043" spans="6:6" x14ac:dyDescent="0.3">
      <c r="F41043" s="193"/>
    </row>
    <row r="41044" spans="6:6" x14ac:dyDescent="0.3">
      <c r="F41044" s="193"/>
    </row>
    <row r="41045" spans="6:6" x14ac:dyDescent="0.3">
      <c r="F41045" s="193"/>
    </row>
    <row r="41046" spans="6:6" x14ac:dyDescent="0.3">
      <c r="F41046" s="193"/>
    </row>
    <row r="41047" spans="6:6" x14ac:dyDescent="0.3">
      <c r="F41047" s="193"/>
    </row>
    <row r="41048" spans="6:6" x14ac:dyDescent="0.3">
      <c r="F41048" s="193"/>
    </row>
    <row r="41049" spans="6:6" x14ac:dyDescent="0.3">
      <c r="F41049" s="193"/>
    </row>
    <row r="41050" spans="6:6" x14ac:dyDescent="0.3">
      <c r="F41050" s="193"/>
    </row>
    <row r="41051" spans="6:6" x14ac:dyDescent="0.3">
      <c r="F41051" s="193"/>
    </row>
    <row r="41052" spans="6:6" x14ac:dyDescent="0.3">
      <c r="F41052" s="193"/>
    </row>
    <row r="41053" spans="6:6" x14ac:dyDescent="0.3">
      <c r="F41053" s="193"/>
    </row>
    <row r="41054" spans="6:6" x14ac:dyDescent="0.3">
      <c r="F41054" s="193"/>
    </row>
    <row r="41055" spans="6:6" x14ac:dyDescent="0.3">
      <c r="F41055" s="193"/>
    </row>
    <row r="41056" spans="6:6" x14ac:dyDescent="0.3">
      <c r="F41056" s="193"/>
    </row>
    <row r="41057" spans="6:6" x14ac:dyDescent="0.3">
      <c r="F41057" s="193"/>
    </row>
    <row r="41058" spans="6:6" x14ac:dyDescent="0.3">
      <c r="F41058" s="193"/>
    </row>
    <row r="41059" spans="6:6" x14ac:dyDescent="0.3">
      <c r="F41059" s="193"/>
    </row>
    <row r="41060" spans="6:6" x14ac:dyDescent="0.3">
      <c r="F41060" s="193"/>
    </row>
    <row r="41061" spans="6:6" x14ac:dyDescent="0.3">
      <c r="F41061" s="193"/>
    </row>
    <row r="41062" spans="6:6" x14ac:dyDescent="0.3">
      <c r="F41062" s="193"/>
    </row>
    <row r="41063" spans="6:6" x14ac:dyDescent="0.3">
      <c r="F41063" s="193"/>
    </row>
    <row r="41064" spans="6:6" x14ac:dyDescent="0.3">
      <c r="F41064" s="193"/>
    </row>
    <row r="41065" spans="6:6" x14ac:dyDescent="0.3">
      <c r="F41065" s="193"/>
    </row>
    <row r="41066" spans="6:6" x14ac:dyDescent="0.3">
      <c r="F41066" s="193"/>
    </row>
    <row r="41067" spans="6:6" x14ac:dyDescent="0.3">
      <c r="F41067" s="193"/>
    </row>
    <row r="41068" spans="6:6" x14ac:dyDescent="0.3">
      <c r="F41068" s="193"/>
    </row>
    <row r="41069" spans="6:6" x14ac:dyDescent="0.3">
      <c r="F41069" s="193"/>
    </row>
    <row r="41070" spans="6:6" x14ac:dyDescent="0.3">
      <c r="F41070" s="193"/>
    </row>
    <row r="41071" spans="6:6" x14ac:dyDescent="0.3">
      <c r="F41071" s="193"/>
    </row>
    <row r="41072" spans="6:6" x14ac:dyDescent="0.3">
      <c r="F41072" s="193"/>
    </row>
    <row r="41073" spans="6:6" x14ac:dyDescent="0.3">
      <c r="F41073" s="193"/>
    </row>
    <row r="41074" spans="6:6" x14ac:dyDescent="0.3">
      <c r="F41074" s="193"/>
    </row>
    <row r="41075" spans="6:6" x14ac:dyDescent="0.3">
      <c r="F41075" s="193"/>
    </row>
    <row r="41076" spans="6:6" x14ac:dyDescent="0.3">
      <c r="F41076" s="193"/>
    </row>
    <row r="41077" spans="6:6" x14ac:dyDescent="0.3">
      <c r="F41077" s="193"/>
    </row>
    <row r="41078" spans="6:6" x14ac:dyDescent="0.3">
      <c r="F41078" s="193"/>
    </row>
    <row r="41079" spans="6:6" x14ac:dyDescent="0.3">
      <c r="F41079" s="193"/>
    </row>
    <row r="41080" spans="6:6" x14ac:dyDescent="0.3">
      <c r="F41080" s="193"/>
    </row>
    <row r="41081" spans="6:6" x14ac:dyDescent="0.3">
      <c r="F41081" s="193"/>
    </row>
    <row r="41082" spans="6:6" x14ac:dyDescent="0.3">
      <c r="F41082" s="193"/>
    </row>
    <row r="41083" spans="6:6" x14ac:dyDescent="0.3">
      <c r="F41083" s="193"/>
    </row>
    <row r="41084" spans="6:6" x14ac:dyDescent="0.3">
      <c r="F41084" s="193"/>
    </row>
    <row r="41085" spans="6:6" x14ac:dyDescent="0.3">
      <c r="F41085" s="193"/>
    </row>
    <row r="41086" spans="6:6" x14ac:dyDescent="0.3">
      <c r="F41086" s="193"/>
    </row>
    <row r="41087" spans="6:6" x14ac:dyDescent="0.3">
      <c r="F41087" s="193"/>
    </row>
    <row r="41088" spans="6:6" x14ac:dyDescent="0.3">
      <c r="F41088" s="193"/>
    </row>
    <row r="41089" spans="6:6" x14ac:dyDescent="0.3">
      <c r="F41089" s="193"/>
    </row>
    <row r="41090" spans="6:6" x14ac:dyDescent="0.3">
      <c r="F41090" s="193"/>
    </row>
    <row r="41091" spans="6:6" x14ac:dyDescent="0.3">
      <c r="F41091" s="193"/>
    </row>
    <row r="41092" spans="6:6" x14ac:dyDescent="0.3">
      <c r="F41092" s="193"/>
    </row>
    <row r="41093" spans="6:6" x14ac:dyDescent="0.3">
      <c r="F41093" s="193"/>
    </row>
    <row r="41094" spans="6:6" x14ac:dyDescent="0.3">
      <c r="F41094" s="193"/>
    </row>
    <row r="41095" spans="6:6" x14ac:dyDescent="0.3">
      <c r="F41095" s="193"/>
    </row>
    <row r="41096" spans="6:6" x14ac:dyDescent="0.3">
      <c r="F41096" s="193"/>
    </row>
    <row r="41097" spans="6:6" x14ac:dyDescent="0.3">
      <c r="F41097" s="193"/>
    </row>
    <row r="41098" spans="6:6" x14ac:dyDescent="0.3">
      <c r="F41098" s="193"/>
    </row>
    <row r="41099" spans="6:6" x14ac:dyDescent="0.3">
      <c r="F41099" s="193"/>
    </row>
    <row r="41100" spans="6:6" x14ac:dyDescent="0.3">
      <c r="F41100" s="193"/>
    </row>
    <row r="41101" spans="6:6" x14ac:dyDescent="0.3">
      <c r="F41101" s="193"/>
    </row>
    <row r="41102" spans="6:6" x14ac:dyDescent="0.3">
      <c r="F41102" s="193"/>
    </row>
    <row r="41103" spans="6:6" x14ac:dyDescent="0.3">
      <c r="F41103" s="193"/>
    </row>
    <row r="41104" spans="6:6" x14ac:dyDescent="0.3">
      <c r="F41104" s="193"/>
    </row>
    <row r="41105" spans="6:6" x14ac:dyDescent="0.3">
      <c r="F41105" s="193"/>
    </row>
    <row r="41106" spans="6:6" x14ac:dyDescent="0.3">
      <c r="F41106" s="193"/>
    </row>
    <row r="41107" spans="6:6" x14ac:dyDescent="0.3">
      <c r="F41107" s="193"/>
    </row>
    <row r="41108" spans="6:6" x14ac:dyDescent="0.3">
      <c r="F41108" s="193"/>
    </row>
    <row r="41109" spans="6:6" x14ac:dyDescent="0.3">
      <c r="F41109" s="193"/>
    </row>
    <row r="41110" spans="6:6" x14ac:dyDescent="0.3">
      <c r="F41110" s="193"/>
    </row>
    <row r="41111" spans="6:6" x14ac:dyDescent="0.3">
      <c r="F41111" s="193"/>
    </row>
    <row r="41112" spans="6:6" x14ac:dyDescent="0.3">
      <c r="F41112" s="193"/>
    </row>
    <row r="41113" spans="6:6" x14ac:dyDescent="0.3">
      <c r="F41113" s="193"/>
    </row>
    <row r="41114" spans="6:6" x14ac:dyDescent="0.3">
      <c r="F41114" s="193"/>
    </row>
    <row r="41115" spans="6:6" x14ac:dyDescent="0.3">
      <c r="F41115" s="193"/>
    </row>
    <row r="41116" spans="6:6" x14ac:dyDescent="0.3">
      <c r="F41116" s="193"/>
    </row>
    <row r="41117" spans="6:6" x14ac:dyDescent="0.3">
      <c r="F41117" s="193"/>
    </row>
    <row r="41118" spans="6:6" x14ac:dyDescent="0.3">
      <c r="F41118" s="193"/>
    </row>
    <row r="41119" spans="6:6" x14ac:dyDescent="0.3">
      <c r="F41119" s="193"/>
    </row>
    <row r="41120" spans="6:6" x14ac:dyDescent="0.3">
      <c r="F41120" s="193"/>
    </row>
    <row r="41121" spans="6:6" x14ac:dyDescent="0.3">
      <c r="F41121" s="193"/>
    </row>
    <row r="41122" spans="6:6" x14ac:dyDescent="0.3">
      <c r="F41122" s="193"/>
    </row>
    <row r="41123" spans="6:6" x14ac:dyDescent="0.3">
      <c r="F41123" s="193"/>
    </row>
    <row r="41124" spans="6:6" x14ac:dyDescent="0.3">
      <c r="F41124" s="193"/>
    </row>
    <row r="41125" spans="6:6" x14ac:dyDescent="0.3">
      <c r="F41125" s="193"/>
    </row>
    <row r="41126" spans="6:6" x14ac:dyDescent="0.3">
      <c r="F41126" s="193"/>
    </row>
    <row r="41127" spans="6:6" x14ac:dyDescent="0.3">
      <c r="F41127" s="193"/>
    </row>
    <row r="41128" spans="6:6" x14ac:dyDescent="0.3">
      <c r="F41128" s="193"/>
    </row>
    <row r="41129" spans="6:6" x14ac:dyDescent="0.3">
      <c r="F41129" s="193"/>
    </row>
    <row r="41130" spans="6:6" x14ac:dyDescent="0.3">
      <c r="F41130" s="193"/>
    </row>
    <row r="41131" spans="6:6" x14ac:dyDescent="0.3">
      <c r="F41131" s="193"/>
    </row>
    <row r="41132" spans="6:6" x14ac:dyDescent="0.3">
      <c r="F41132" s="193"/>
    </row>
    <row r="41133" spans="6:6" x14ac:dyDescent="0.3">
      <c r="F41133" s="193"/>
    </row>
    <row r="41134" spans="6:6" x14ac:dyDescent="0.3">
      <c r="F41134" s="193"/>
    </row>
    <row r="41135" spans="6:6" x14ac:dyDescent="0.3">
      <c r="F41135" s="193"/>
    </row>
    <row r="41136" spans="6:6" x14ac:dyDescent="0.3">
      <c r="F41136" s="193"/>
    </row>
    <row r="41137" spans="6:6" x14ac:dyDescent="0.3">
      <c r="F41137" s="193"/>
    </row>
    <row r="41138" spans="6:6" x14ac:dyDescent="0.3">
      <c r="F41138" s="193"/>
    </row>
    <row r="41139" spans="6:6" x14ac:dyDescent="0.3">
      <c r="F41139" s="193"/>
    </row>
    <row r="41140" spans="6:6" x14ac:dyDescent="0.3">
      <c r="F41140" s="193"/>
    </row>
    <row r="41141" spans="6:6" x14ac:dyDescent="0.3">
      <c r="F41141" s="193"/>
    </row>
    <row r="41142" spans="6:6" x14ac:dyDescent="0.3">
      <c r="F41142" s="193"/>
    </row>
    <row r="41143" spans="6:6" x14ac:dyDescent="0.3">
      <c r="F41143" s="193"/>
    </row>
    <row r="41144" spans="6:6" x14ac:dyDescent="0.3">
      <c r="F41144" s="193"/>
    </row>
    <row r="41145" spans="6:6" x14ac:dyDescent="0.3">
      <c r="F41145" s="193"/>
    </row>
    <row r="41146" spans="6:6" x14ac:dyDescent="0.3">
      <c r="F41146" s="193"/>
    </row>
    <row r="41147" spans="6:6" x14ac:dyDescent="0.3">
      <c r="F41147" s="193"/>
    </row>
    <row r="41148" spans="6:6" x14ac:dyDescent="0.3">
      <c r="F41148" s="193"/>
    </row>
    <row r="41149" spans="6:6" x14ac:dyDescent="0.3">
      <c r="F41149" s="193"/>
    </row>
    <row r="41150" spans="6:6" x14ac:dyDescent="0.3">
      <c r="F41150" s="193"/>
    </row>
    <row r="41151" spans="6:6" x14ac:dyDescent="0.3">
      <c r="F41151" s="193"/>
    </row>
    <row r="41152" spans="6:6" x14ac:dyDescent="0.3">
      <c r="F41152" s="193"/>
    </row>
    <row r="41153" spans="6:6" x14ac:dyDescent="0.3">
      <c r="F41153" s="193"/>
    </row>
    <row r="41154" spans="6:6" x14ac:dyDescent="0.3">
      <c r="F41154" s="193"/>
    </row>
    <row r="41155" spans="6:6" x14ac:dyDescent="0.3">
      <c r="F41155" s="193"/>
    </row>
    <row r="41156" spans="6:6" x14ac:dyDescent="0.3">
      <c r="F41156" s="193"/>
    </row>
    <row r="41157" spans="6:6" x14ac:dyDescent="0.3">
      <c r="F41157" s="193"/>
    </row>
    <row r="41158" spans="6:6" x14ac:dyDescent="0.3">
      <c r="F41158" s="193"/>
    </row>
    <row r="41159" spans="6:6" x14ac:dyDescent="0.3">
      <c r="F41159" s="193"/>
    </row>
    <row r="41160" spans="6:6" x14ac:dyDescent="0.3">
      <c r="F41160" s="193"/>
    </row>
    <row r="41161" spans="6:6" x14ac:dyDescent="0.3">
      <c r="F41161" s="193"/>
    </row>
    <row r="41162" spans="6:6" x14ac:dyDescent="0.3">
      <c r="F41162" s="193"/>
    </row>
    <row r="41163" spans="6:6" x14ac:dyDescent="0.3">
      <c r="F41163" s="193"/>
    </row>
    <row r="41164" spans="6:6" x14ac:dyDescent="0.3">
      <c r="F41164" s="193"/>
    </row>
    <row r="41165" spans="6:6" x14ac:dyDescent="0.3">
      <c r="F41165" s="193"/>
    </row>
    <row r="41166" spans="6:6" x14ac:dyDescent="0.3">
      <c r="F41166" s="193"/>
    </row>
    <row r="41167" spans="6:6" x14ac:dyDescent="0.3">
      <c r="F41167" s="193"/>
    </row>
    <row r="41168" spans="6:6" x14ac:dyDescent="0.3">
      <c r="F41168" s="193"/>
    </row>
    <row r="41169" spans="6:6" x14ac:dyDescent="0.3">
      <c r="F41169" s="193"/>
    </row>
    <row r="41170" spans="6:6" x14ac:dyDescent="0.3">
      <c r="F41170" s="193"/>
    </row>
    <row r="41171" spans="6:6" x14ac:dyDescent="0.3">
      <c r="F41171" s="193"/>
    </row>
    <row r="41172" spans="6:6" x14ac:dyDescent="0.3">
      <c r="F41172" s="193"/>
    </row>
    <row r="41173" spans="6:6" x14ac:dyDescent="0.3">
      <c r="F41173" s="193"/>
    </row>
    <row r="41174" spans="6:6" x14ac:dyDescent="0.3">
      <c r="F41174" s="193"/>
    </row>
    <row r="41175" spans="6:6" x14ac:dyDescent="0.3">
      <c r="F41175" s="193"/>
    </row>
    <row r="41176" spans="6:6" x14ac:dyDescent="0.3">
      <c r="F41176" s="193"/>
    </row>
    <row r="41177" spans="6:6" x14ac:dyDescent="0.3">
      <c r="F41177" s="193"/>
    </row>
    <row r="41178" spans="6:6" x14ac:dyDescent="0.3">
      <c r="F41178" s="193"/>
    </row>
    <row r="41179" spans="6:6" x14ac:dyDescent="0.3">
      <c r="F41179" s="193"/>
    </row>
    <row r="41180" spans="6:6" x14ac:dyDescent="0.3">
      <c r="F41180" s="193"/>
    </row>
    <row r="41181" spans="6:6" x14ac:dyDescent="0.3">
      <c r="F41181" s="193"/>
    </row>
    <row r="41182" spans="6:6" x14ac:dyDescent="0.3">
      <c r="F41182" s="193"/>
    </row>
    <row r="41183" spans="6:6" x14ac:dyDescent="0.3">
      <c r="F41183" s="193"/>
    </row>
    <row r="41184" spans="6:6" x14ac:dyDescent="0.3">
      <c r="F41184" s="193"/>
    </row>
    <row r="41185" spans="6:6" x14ac:dyDescent="0.3">
      <c r="F41185" s="193"/>
    </row>
    <row r="41186" spans="6:6" x14ac:dyDescent="0.3">
      <c r="F41186" s="193"/>
    </row>
    <row r="41187" spans="6:6" x14ac:dyDescent="0.3">
      <c r="F41187" s="193"/>
    </row>
    <row r="41188" spans="6:6" x14ac:dyDescent="0.3">
      <c r="F41188" s="193"/>
    </row>
    <row r="41189" spans="6:6" x14ac:dyDescent="0.3">
      <c r="F41189" s="193"/>
    </row>
    <row r="41190" spans="6:6" x14ac:dyDescent="0.3">
      <c r="F41190" s="193"/>
    </row>
    <row r="41191" spans="6:6" x14ac:dyDescent="0.3">
      <c r="F41191" s="193"/>
    </row>
    <row r="41192" spans="6:6" x14ac:dyDescent="0.3">
      <c r="F41192" s="193"/>
    </row>
    <row r="41193" spans="6:6" x14ac:dyDescent="0.3">
      <c r="F41193" s="193"/>
    </row>
    <row r="41194" spans="6:6" x14ac:dyDescent="0.3">
      <c r="F41194" s="193"/>
    </row>
    <row r="41195" spans="6:6" x14ac:dyDescent="0.3">
      <c r="F41195" s="193"/>
    </row>
    <row r="41196" spans="6:6" x14ac:dyDescent="0.3">
      <c r="F41196" s="193"/>
    </row>
    <row r="41197" spans="6:6" x14ac:dyDescent="0.3">
      <c r="F41197" s="193"/>
    </row>
    <row r="41198" spans="6:6" x14ac:dyDescent="0.3">
      <c r="F41198" s="193"/>
    </row>
    <row r="41199" spans="6:6" x14ac:dyDescent="0.3">
      <c r="F41199" s="193"/>
    </row>
    <row r="41200" spans="6:6" x14ac:dyDescent="0.3">
      <c r="F41200" s="193"/>
    </row>
    <row r="41201" spans="6:6" x14ac:dyDescent="0.3">
      <c r="F41201" s="193"/>
    </row>
    <row r="41202" spans="6:6" x14ac:dyDescent="0.3">
      <c r="F41202" s="193"/>
    </row>
    <row r="41203" spans="6:6" x14ac:dyDescent="0.3">
      <c r="F41203" s="193"/>
    </row>
    <row r="41204" spans="6:6" x14ac:dyDescent="0.3">
      <c r="F41204" s="193"/>
    </row>
    <row r="41205" spans="6:6" x14ac:dyDescent="0.3">
      <c r="F41205" s="193"/>
    </row>
    <row r="41206" spans="6:6" x14ac:dyDescent="0.3">
      <c r="F41206" s="193"/>
    </row>
    <row r="41207" spans="6:6" x14ac:dyDescent="0.3">
      <c r="F41207" s="193"/>
    </row>
    <row r="41208" spans="6:6" x14ac:dyDescent="0.3">
      <c r="F41208" s="193"/>
    </row>
    <row r="41209" spans="6:6" x14ac:dyDescent="0.3">
      <c r="F41209" s="193"/>
    </row>
    <row r="41210" spans="6:6" x14ac:dyDescent="0.3">
      <c r="F41210" s="193"/>
    </row>
    <row r="41211" spans="6:6" x14ac:dyDescent="0.3">
      <c r="F41211" s="193"/>
    </row>
    <row r="41212" spans="6:6" x14ac:dyDescent="0.3">
      <c r="F41212" s="193"/>
    </row>
    <row r="41213" spans="6:6" x14ac:dyDescent="0.3">
      <c r="F41213" s="193"/>
    </row>
    <row r="41214" spans="6:6" x14ac:dyDescent="0.3">
      <c r="F41214" s="193"/>
    </row>
    <row r="41215" spans="6:6" x14ac:dyDescent="0.3">
      <c r="F41215" s="193"/>
    </row>
    <row r="41216" spans="6:6" x14ac:dyDescent="0.3">
      <c r="F41216" s="193"/>
    </row>
    <row r="41217" spans="6:6" x14ac:dyDescent="0.3">
      <c r="F41217" s="193"/>
    </row>
    <row r="41218" spans="6:6" x14ac:dyDescent="0.3">
      <c r="F41218" s="193"/>
    </row>
    <row r="41219" spans="6:6" x14ac:dyDescent="0.3">
      <c r="F41219" s="193"/>
    </row>
    <row r="41220" spans="6:6" x14ac:dyDescent="0.3">
      <c r="F41220" s="193"/>
    </row>
    <row r="41221" spans="6:6" x14ac:dyDescent="0.3">
      <c r="F41221" s="193"/>
    </row>
    <row r="41222" spans="6:6" x14ac:dyDescent="0.3">
      <c r="F41222" s="193"/>
    </row>
    <row r="41223" spans="6:6" x14ac:dyDescent="0.3">
      <c r="F41223" s="193"/>
    </row>
    <row r="41224" spans="6:6" x14ac:dyDescent="0.3">
      <c r="F41224" s="193"/>
    </row>
    <row r="41225" spans="6:6" x14ac:dyDescent="0.3">
      <c r="F41225" s="193"/>
    </row>
    <row r="41226" spans="6:6" x14ac:dyDescent="0.3">
      <c r="F41226" s="193"/>
    </row>
    <row r="41227" spans="6:6" x14ac:dyDescent="0.3">
      <c r="F41227" s="193"/>
    </row>
    <row r="41228" spans="6:6" x14ac:dyDescent="0.3">
      <c r="F41228" s="193"/>
    </row>
    <row r="41229" spans="6:6" x14ac:dyDescent="0.3">
      <c r="F41229" s="193"/>
    </row>
    <row r="41230" spans="6:6" x14ac:dyDescent="0.3">
      <c r="F41230" s="193"/>
    </row>
    <row r="41231" spans="6:6" x14ac:dyDescent="0.3">
      <c r="F41231" s="193"/>
    </row>
    <row r="41232" spans="6:6" x14ac:dyDescent="0.3">
      <c r="F41232" s="193"/>
    </row>
    <row r="41233" spans="6:6" x14ac:dyDescent="0.3">
      <c r="F41233" s="193"/>
    </row>
    <row r="41234" spans="6:6" x14ac:dyDescent="0.3">
      <c r="F41234" s="193"/>
    </row>
    <row r="41235" spans="6:6" x14ac:dyDescent="0.3">
      <c r="F41235" s="193"/>
    </row>
    <row r="41236" spans="6:6" x14ac:dyDescent="0.3">
      <c r="F41236" s="193"/>
    </row>
    <row r="41237" spans="6:6" x14ac:dyDescent="0.3">
      <c r="F41237" s="193"/>
    </row>
    <row r="41238" spans="6:6" x14ac:dyDescent="0.3">
      <c r="F41238" s="193"/>
    </row>
    <row r="41239" spans="6:6" x14ac:dyDescent="0.3">
      <c r="F41239" s="193"/>
    </row>
    <row r="41240" spans="6:6" x14ac:dyDescent="0.3">
      <c r="F41240" s="193"/>
    </row>
    <row r="41241" spans="6:6" x14ac:dyDescent="0.3">
      <c r="F41241" s="193"/>
    </row>
    <row r="41242" spans="6:6" x14ac:dyDescent="0.3">
      <c r="F41242" s="193"/>
    </row>
    <row r="41243" spans="6:6" x14ac:dyDescent="0.3">
      <c r="F41243" s="193"/>
    </row>
    <row r="41244" spans="6:6" x14ac:dyDescent="0.3">
      <c r="F41244" s="193"/>
    </row>
    <row r="41245" spans="6:6" x14ac:dyDescent="0.3">
      <c r="F41245" s="193"/>
    </row>
    <row r="41246" spans="6:6" x14ac:dyDescent="0.3">
      <c r="F41246" s="193"/>
    </row>
    <row r="41247" spans="6:6" x14ac:dyDescent="0.3">
      <c r="F41247" s="193"/>
    </row>
    <row r="41248" spans="6:6" x14ac:dyDescent="0.3">
      <c r="F41248" s="193"/>
    </row>
    <row r="41249" spans="6:6" x14ac:dyDescent="0.3">
      <c r="F41249" s="193"/>
    </row>
    <row r="41250" spans="6:6" x14ac:dyDescent="0.3">
      <c r="F41250" s="193"/>
    </row>
    <row r="41251" spans="6:6" x14ac:dyDescent="0.3">
      <c r="F41251" s="193"/>
    </row>
    <row r="41252" spans="6:6" x14ac:dyDescent="0.3">
      <c r="F41252" s="193"/>
    </row>
    <row r="41253" spans="6:6" x14ac:dyDescent="0.3">
      <c r="F41253" s="193"/>
    </row>
    <row r="41254" spans="6:6" x14ac:dyDescent="0.3">
      <c r="F41254" s="193"/>
    </row>
    <row r="41255" spans="6:6" x14ac:dyDescent="0.3">
      <c r="F41255" s="193"/>
    </row>
    <row r="41256" spans="6:6" x14ac:dyDescent="0.3">
      <c r="F41256" s="193"/>
    </row>
    <row r="41257" spans="6:6" x14ac:dyDescent="0.3">
      <c r="F41257" s="193"/>
    </row>
    <row r="41258" spans="6:6" x14ac:dyDescent="0.3">
      <c r="F41258" s="193"/>
    </row>
    <row r="41259" spans="6:6" x14ac:dyDescent="0.3">
      <c r="F41259" s="193"/>
    </row>
    <row r="41260" spans="6:6" x14ac:dyDescent="0.3">
      <c r="F41260" s="193"/>
    </row>
    <row r="41261" spans="6:6" x14ac:dyDescent="0.3">
      <c r="F41261" s="193"/>
    </row>
    <row r="41262" spans="6:6" x14ac:dyDescent="0.3">
      <c r="F41262" s="193"/>
    </row>
    <row r="41263" spans="6:6" x14ac:dyDescent="0.3">
      <c r="F41263" s="193"/>
    </row>
    <row r="41264" spans="6:6" x14ac:dyDescent="0.3">
      <c r="F41264" s="193"/>
    </row>
    <row r="41265" spans="6:6" x14ac:dyDescent="0.3">
      <c r="F41265" s="193"/>
    </row>
    <row r="41266" spans="6:6" x14ac:dyDescent="0.3">
      <c r="F41266" s="193"/>
    </row>
    <row r="41267" spans="6:6" x14ac:dyDescent="0.3">
      <c r="F41267" s="193"/>
    </row>
    <row r="41268" spans="6:6" x14ac:dyDescent="0.3">
      <c r="F41268" s="193"/>
    </row>
    <row r="41269" spans="6:6" x14ac:dyDescent="0.3">
      <c r="F41269" s="193"/>
    </row>
    <row r="41270" spans="6:6" x14ac:dyDescent="0.3">
      <c r="F41270" s="193"/>
    </row>
    <row r="41271" spans="6:6" x14ac:dyDescent="0.3">
      <c r="F41271" s="193"/>
    </row>
    <row r="41272" spans="6:6" x14ac:dyDescent="0.3">
      <c r="F41272" s="193"/>
    </row>
    <row r="41273" spans="6:6" x14ac:dyDescent="0.3">
      <c r="F41273" s="193"/>
    </row>
    <row r="41274" spans="6:6" x14ac:dyDescent="0.3">
      <c r="F41274" s="193"/>
    </row>
    <row r="41275" spans="6:6" x14ac:dyDescent="0.3">
      <c r="F41275" s="193"/>
    </row>
    <row r="41276" spans="6:6" x14ac:dyDescent="0.3">
      <c r="F41276" s="193"/>
    </row>
    <row r="41277" spans="6:6" x14ac:dyDescent="0.3">
      <c r="F41277" s="193"/>
    </row>
    <row r="41278" spans="6:6" x14ac:dyDescent="0.3">
      <c r="F41278" s="193"/>
    </row>
    <row r="41279" spans="6:6" x14ac:dyDescent="0.3">
      <c r="F41279" s="193"/>
    </row>
    <row r="41280" spans="6:6" x14ac:dyDescent="0.3">
      <c r="F41280" s="193"/>
    </row>
    <row r="41281" spans="6:6" x14ac:dyDescent="0.3">
      <c r="F41281" s="193"/>
    </row>
    <row r="41282" spans="6:6" x14ac:dyDescent="0.3">
      <c r="F41282" s="193"/>
    </row>
    <row r="41283" spans="6:6" x14ac:dyDescent="0.3">
      <c r="F41283" s="193"/>
    </row>
    <row r="41284" spans="6:6" x14ac:dyDescent="0.3">
      <c r="F41284" s="193"/>
    </row>
    <row r="41285" spans="6:6" x14ac:dyDescent="0.3">
      <c r="F41285" s="193"/>
    </row>
    <row r="41286" spans="6:6" x14ac:dyDescent="0.3">
      <c r="F41286" s="193"/>
    </row>
    <row r="41287" spans="6:6" x14ac:dyDescent="0.3">
      <c r="F41287" s="193"/>
    </row>
    <row r="41288" spans="6:6" x14ac:dyDescent="0.3">
      <c r="F41288" s="193"/>
    </row>
    <row r="41289" spans="6:6" x14ac:dyDescent="0.3">
      <c r="F41289" s="193"/>
    </row>
    <row r="41290" spans="6:6" x14ac:dyDescent="0.3">
      <c r="F41290" s="193"/>
    </row>
    <row r="41291" spans="6:6" x14ac:dyDescent="0.3">
      <c r="F41291" s="193"/>
    </row>
    <row r="41292" spans="6:6" x14ac:dyDescent="0.3">
      <c r="F41292" s="193"/>
    </row>
    <row r="41293" spans="6:6" x14ac:dyDescent="0.3">
      <c r="F41293" s="193"/>
    </row>
    <row r="41294" spans="6:6" x14ac:dyDescent="0.3">
      <c r="F41294" s="193"/>
    </row>
    <row r="41295" spans="6:6" x14ac:dyDescent="0.3">
      <c r="F41295" s="193"/>
    </row>
    <row r="41296" spans="6:6" x14ac:dyDescent="0.3">
      <c r="F41296" s="193"/>
    </row>
    <row r="41297" spans="6:6" x14ac:dyDescent="0.3">
      <c r="F41297" s="193"/>
    </row>
    <row r="41298" spans="6:6" x14ac:dyDescent="0.3">
      <c r="F41298" s="193"/>
    </row>
    <row r="41299" spans="6:6" x14ac:dyDescent="0.3">
      <c r="F41299" s="193"/>
    </row>
    <row r="41300" spans="6:6" x14ac:dyDescent="0.3">
      <c r="F41300" s="193"/>
    </row>
    <row r="41301" spans="6:6" x14ac:dyDescent="0.3">
      <c r="F41301" s="193"/>
    </row>
    <row r="41302" spans="6:6" x14ac:dyDescent="0.3">
      <c r="F41302" s="193"/>
    </row>
    <row r="41303" spans="6:6" x14ac:dyDescent="0.3">
      <c r="F41303" s="193"/>
    </row>
    <row r="41304" spans="6:6" x14ac:dyDescent="0.3">
      <c r="F41304" s="193"/>
    </row>
    <row r="41305" spans="6:6" x14ac:dyDescent="0.3">
      <c r="F41305" s="193"/>
    </row>
    <row r="41306" spans="6:6" x14ac:dyDescent="0.3">
      <c r="F41306" s="193"/>
    </row>
    <row r="41307" spans="6:6" x14ac:dyDescent="0.3">
      <c r="F41307" s="193"/>
    </row>
    <row r="41308" spans="6:6" x14ac:dyDescent="0.3">
      <c r="F41308" s="193"/>
    </row>
    <row r="41309" spans="6:6" x14ac:dyDescent="0.3">
      <c r="F41309" s="193"/>
    </row>
    <row r="41310" spans="6:6" x14ac:dyDescent="0.3">
      <c r="F41310" s="193"/>
    </row>
    <row r="41311" spans="6:6" x14ac:dyDescent="0.3">
      <c r="F41311" s="193"/>
    </row>
    <row r="41312" spans="6:6" x14ac:dyDescent="0.3">
      <c r="F41312" s="193"/>
    </row>
    <row r="41313" spans="6:6" x14ac:dyDescent="0.3">
      <c r="F41313" s="193"/>
    </row>
    <row r="41314" spans="6:6" x14ac:dyDescent="0.3">
      <c r="F41314" s="193"/>
    </row>
    <row r="41315" spans="6:6" x14ac:dyDescent="0.3">
      <c r="F41315" s="193"/>
    </row>
    <row r="41316" spans="6:6" x14ac:dyDescent="0.3">
      <c r="F41316" s="193"/>
    </row>
    <row r="41317" spans="6:6" x14ac:dyDescent="0.3">
      <c r="F41317" s="193"/>
    </row>
    <row r="41318" spans="6:6" x14ac:dyDescent="0.3">
      <c r="F41318" s="193"/>
    </row>
    <row r="41319" spans="6:6" x14ac:dyDescent="0.3">
      <c r="F41319" s="193"/>
    </row>
    <row r="41320" spans="6:6" x14ac:dyDescent="0.3">
      <c r="F41320" s="193"/>
    </row>
    <row r="41321" spans="6:6" x14ac:dyDescent="0.3">
      <c r="F41321" s="193"/>
    </row>
    <row r="41322" spans="6:6" x14ac:dyDescent="0.3">
      <c r="F41322" s="193"/>
    </row>
    <row r="41323" spans="6:6" x14ac:dyDescent="0.3">
      <c r="F41323" s="193"/>
    </row>
    <row r="41324" spans="6:6" x14ac:dyDescent="0.3">
      <c r="F41324" s="193"/>
    </row>
    <row r="41325" spans="6:6" x14ac:dyDescent="0.3">
      <c r="F41325" s="193"/>
    </row>
    <row r="41326" spans="6:6" x14ac:dyDescent="0.3">
      <c r="F41326" s="193"/>
    </row>
    <row r="41327" spans="6:6" x14ac:dyDescent="0.3">
      <c r="F41327" s="193"/>
    </row>
    <row r="41328" spans="6:6" x14ac:dyDescent="0.3">
      <c r="F41328" s="193"/>
    </row>
    <row r="41329" spans="6:6" x14ac:dyDescent="0.3">
      <c r="F41329" s="193"/>
    </row>
    <row r="41330" spans="6:6" x14ac:dyDescent="0.3">
      <c r="F41330" s="193"/>
    </row>
    <row r="41331" spans="6:6" x14ac:dyDescent="0.3">
      <c r="F41331" s="193"/>
    </row>
    <row r="41332" spans="6:6" x14ac:dyDescent="0.3">
      <c r="F41332" s="193"/>
    </row>
    <row r="41333" spans="6:6" x14ac:dyDescent="0.3">
      <c r="F41333" s="193"/>
    </row>
    <row r="41334" spans="6:6" x14ac:dyDescent="0.3">
      <c r="F41334" s="193"/>
    </row>
    <row r="41335" spans="6:6" x14ac:dyDescent="0.3">
      <c r="F41335" s="193"/>
    </row>
    <row r="41336" spans="6:6" x14ac:dyDescent="0.3">
      <c r="F41336" s="193"/>
    </row>
    <row r="41337" spans="6:6" x14ac:dyDescent="0.3">
      <c r="F41337" s="193"/>
    </row>
    <row r="41338" spans="6:6" x14ac:dyDescent="0.3">
      <c r="F41338" s="193"/>
    </row>
    <row r="41339" spans="6:6" x14ac:dyDescent="0.3">
      <c r="F41339" s="193"/>
    </row>
    <row r="41340" spans="6:6" x14ac:dyDescent="0.3">
      <c r="F41340" s="193"/>
    </row>
    <row r="41341" spans="6:6" x14ac:dyDescent="0.3">
      <c r="F41341" s="193"/>
    </row>
    <row r="41342" spans="6:6" x14ac:dyDescent="0.3">
      <c r="F41342" s="193"/>
    </row>
    <row r="41343" spans="6:6" x14ac:dyDescent="0.3">
      <c r="F41343" s="193"/>
    </row>
    <row r="41344" spans="6:6" x14ac:dyDescent="0.3">
      <c r="F41344" s="193"/>
    </row>
    <row r="41345" spans="6:6" x14ac:dyDescent="0.3">
      <c r="F41345" s="193"/>
    </row>
    <row r="41346" spans="6:6" x14ac:dyDescent="0.3">
      <c r="F41346" s="193"/>
    </row>
    <row r="41347" spans="6:6" x14ac:dyDescent="0.3">
      <c r="F41347" s="193"/>
    </row>
    <row r="41348" spans="6:6" x14ac:dyDescent="0.3">
      <c r="F41348" s="193"/>
    </row>
    <row r="41349" spans="6:6" x14ac:dyDescent="0.3">
      <c r="F41349" s="193"/>
    </row>
    <row r="41350" spans="6:6" x14ac:dyDescent="0.3">
      <c r="F41350" s="193"/>
    </row>
    <row r="41351" spans="6:6" x14ac:dyDescent="0.3">
      <c r="F41351" s="193"/>
    </row>
    <row r="41352" spans="6:6" x14ac:dyDescent="0.3">
      <c r="F41352" s="193"/>
    </row>
    <row r="41353" spans="6:6" x14ac:dyDescent="0.3">
      <c r="F41353" s="193"/>
    </row>
    <row r="41354" spans="6:6" x14ac:dyDescent="0.3">
      <c r="F41354" s="193"/>
    </row>
    <row r="41355" spans="6:6" x14ac:dyDescent="0.3">
      <c r="F41355" s="193"/>
    </row>
    <row r="41356" spans="6:6" x14ac:dyDescent="0.3">
      <c r="F41356" s="193"/>
    </row>
    <row r="41357" spans="6:6" x14ac:dyDescent="0.3">
      <c r="F41357" s="193"/>
    </row>
    <row r="41358" spans="6:6" x14ac:dyDescent="0.3">
      <c r="F41358" s="193"/>
    </row>
    <row r="41359" spans="6:6" x14ac:dyDescent="0.3">
      <c r="F41359" s="193"/>
    </row>
    <row r="41360" spans="6:6" x14ac:dyDescent="0.3">
      <c r="F41360" s="193"/>
    </row>
    <row r="41361" spans="6:6" x14ac:dyDescent="0.3">
      <c r="F41361" s="193"/>
    </row>
    <row r="41362" spans="6:6" x14ac:dyDescent="0.3">
      <c r="F41362" s="193"/>
    </row>
    <row r="41363" spans="6:6" x14ac:dyDescent="0.3">
      <c r="F41363" s="193"/>
    </row>
    <row r="41364" spans="6:6" x14ac:dyDescent="0.3">
      <c r="F41364" s="193"/>
    </row>
    <row r="41365" spans="6:6" x14ac:dyDescent="0.3">
      <c r="F41365" s="193"/>
    </row>
    <row r="41366" spans="6:6" x14ac:dyDescent="0.3">
      <c r="F41366" s="193"/>
    </row>
    <row r="41367" spans="6:6" x14ac:dyDescent="0.3">
      <c r="F41367" s="193"/>
    </row>
    <row r="41368" spans="6:6" x14ac:dyDescent="0.3">
      <c r="F41368" s="193"/>
    </row>
    <row r="41369" spans="6:6" x14ac:dyDescent="0.3">
      <c r="F41369" s="193"/>
    </row>
    <row r="41370" spans="6:6" x14ac:dyDescent="0.3">
      <c r="F41370" s="193"/>
    </row>
    <row r="41371" spans="6:6" x14ac:dyDescent="0.3">
      <c r="F41371" s="193"/>
    </row>
    <row r="41372" spans="6:6" x14ac:dyDescent="0.3">
      <c r="F41372" s="193"/>
    </row>
    <row r="41373" spans="6:6" x14ac:dyDescent="0.3">
      <c r="F41373" s="193"/>
    </row>
    <row r="41374" spans="6:6" x14ac:dyDescent="0.3">
      <c r="F41374" s="193"/>
    </row>
    <row r="41375" spans="6:6" x14ac:dyDescent="0.3">
      <c r="F41375" s="193"/>
    </row>
    <row r="41376" spans="6:6" x14ac:dyDescent="0.3">
      <c r="F41376" s="193"/>
    </row>
    <row r="41377" spans="6:6" x14ac:dyDescent="0.3">
      <c r="F41377" s="193"/>
    </row>
    <row r="41378" spans="6:6" x14ac:dyDescent="0.3">
      <c r="F41378" s="193"/>
    </row>
    <row r="41379" spans="6:6" x14ac:dyDescent="0.3">
      <c r="F41379" s="193"/>
    </row>
    <row r="41380" spans="6:6" x14ac:dyDescent="0.3">
      <c r="F41380" s="193"/>
    </row>
    <row r="41381" spans="6:6" x14ac:dyDescent="0.3">
      <c r="F41381" s="193"/>
    </row>
    <row r="41382" spans="6:6" x14ac:dyDescent="0.3">
      <c r="F41382" s="193"/>
    </row>
    <row r="41383" spans="6:6" x14ac:dyDescent="0.3">
      <c r="F41383" s="193"/>
    </row>
    <row r="41384" spans="6:6" x14ac:dyDescent="0.3">
      <c r="F41384" s="193"/>
    </row>
    <row r="41385" spans="6:6" x14ac:dyDescent="0.3">
      <c r="F41385" s="193"/>
    </row>
    <row r="41386" spans="6:6" x14ac:dyDescent="0.3">
      <c r="F41386" s="193"/>
    </row>
    <row r="41387" spans="6:6" x14ac:dyDescent="0.3">
      <c r="F41387" s="193"/>
    </row>
    <row r="41388" spans="6:6" x14ac:dyDescent="0.3">
      <c r="F41388" s="193"/>
    </row>
    <row r="41389" spans="6:6" x14ac:dyDescent="0.3">
      <c r="F41389" s="193"/>
    </row>
    <row r="41390" spans="6:6" x14ac:dyDescent="0.3">
      <c r="F41390" s="193"/>
    </row>
    <row r="41391" spans="6:6" x14ac:dyDescent="0.3">
      <c r="F41391" s="193"/>
    </row>
    <row r="41392" spans="6:6" x14ac:dyDescent="0.3">
      <c r="F41392" s="193"/>
    </row>
    <row r="41393" spans="6:6" x14ac:dyDescent="0.3">
      <c r="F41393" s="193"/>
    </row>
    <row r="41394" spans="6:6" x14ac:dyDescent="0.3">
      <c r="F41394" s="193"/>
    </row>
    <row r="41395" spans="6:6" x14ac:dyDescent="0.3">
      <c r="F41395" s="193"/>
    </row>
    <row r="41396" spans="6:6" x14ac:dyDescent="0.3">
      <c r="F41396" s="193"/>
    </row>
    <row r="41397" spans="6:6" x14ac:dyDescent="0.3">
      <c r="F41397" s="193"/>
    </row>
    <row r="41398" spans="6:6" x14ac:dyDescent="0.3">
      <c r="F41398" s="193"/>
    </row>
    <row r="41399" spans="6:6" x14ac:dyDescent="0.3">
      <c r="F41399" s="193"/>
    </row>
    <row r="41400" spans="6:6" x14ac:dyDescent="0.3">
      <c r="F41400" s="193"/>
    </row>
    <row r="41401" spans="6:6" x14ac:dyDescent="0.3">
      <c r="F41401" s="193"/>
    </row>
    <row r="41402" spans="6:6" x14ac:dyDescent="0.3">
      <c r="F41402" s="193"/>
    </row>
    <row r="41403" spans="6:6" x14ac:dyDescent="0.3">
      <c r="F41403" s="193"/>
    </row>
    <row r="41404" spans="6:6" x14ac:dyDescent="0.3">
      <c r="F41404" s="193"/>
    </row>
    <row r="41405" spans="6:6" x14ac:dyDescent="0.3">
      <c r="F41405" s="193"/>
    </row>
    <row r="41406" spans="6:6" x14ac:dyDescent="0.3">
      <c r="F41406" s="193"/>
    </row>
    <row r="41407" spans="6:6" x14ac:dyDescent="0.3">
      <c r="F41407" s="193"/>
    </row>
    <row r="41408" spans="6:6" x14ac:dyDescent="0.3">
      <c r="F41408" s="193"/>
    </row>
    <row r="41409" spans="6:6" x14ac:dyDescent="0.3">
      <c r="F41409" s="193"/>
    </row>
    <row r="41410" spans="6:6" x14ac:dyDescent="0.3">
      <c r="F41410" s="193"/>
    </row>
    <row r="41411" spans="6:6" x14ac:dyDescent="0.3">
      <c r="F41411" s="193"/>
    </row>
    <row r="41412" spans="6:6" x14ac:dyDescent="0.3">
      <c r="F41412" s="193"/>
    </row>
    <row r="41413" spans="6:6" x14ac:dyDescent="0.3">
      <c r="F41413" s="193"/>
    </row>
    <row r="41414" spans="6:6" x14ac:dyDescent="0.3">
      <c r="F41414" s="193"/>
    </row>
    <row r="41415" spans="6:6" x14ac:dyDescent="0.3">
      <c r="F41415" s="193"/>
    </row>
    <row r="41416" spans="6:6" x14ac:dyDescent="0.3">
      <c r="F41416" s="193"/>
    </row>
    <row r="41417" spans="6:6" x14ac:dyDescent="0.3">
      <c r="F41417" s="193"/>
    </row>
    <row r="41418" spans="6:6" x14ac:dyDescent="0.3">
      <c r="F41418" s="193"/>
    </row>
    <row r="41419" spans="6:6" x14ac:dyDescent="0.3">
      <c r="F41419" s="193"/>
    </row>
    <row r="41420" spans="6:6" x14ac:dyDescent="0.3">
      <c r="F41420" s="193"/>
    </row>
    <row r="41421" spans="6:6" x14ac:dyDescent="0.3">
      <c r="F41421" s="193"/>
    </row>
    <row r="41422" spans="6:6" x14ac:dyDescent="0.3">
      <c r="F41422" s="193"/>
    </row>
    <row r="41423" spans="6:6" x14ac:dyDescent="0.3">
      <c r="F41423" s="193"/>
    </row>
    <row r="41424" spans="6:6" x14ac:dyDescent="0.3">
      <c r="F41424" s="193"/>
    </row>
    <row r="41425" spans="6:6" x14ac:dyDescent="0.3">
      <c r="F41425" s="193"/>
    </row>
    <row r="41426" spans="6:6" x14ac:dyDescent="0.3">
      <c r="F41426" s="193"/>
    </row>
    <row r="41427" spans="6:6" x14ac:dyDescent="0.3">
      <c r="F41427" s="193"/>
    </row>
    <row r="41428" spans="6:6" x14ac:dyDescent="0.3">
      <c r="F41428" s="193"/>
    </row>
    <row r="41429" spans="6:6" x14ac:dyDescent="0.3">
      <c r="F41429" s="193"/>
    </row>
    <row r="41430" spans="6:6" x14ac:dyDescent="0.3">
      <c r="F41430" s="193"/>
    </row>
    <row r="41431" spans="6:6" x14ac:dyDescent="0.3">
      <c r="F41431" s="193"/>
    </row>
    <row r="41432" spans="6:6" x14ac:dyDescent="0.3">
      <c r="F41432" s="193"/>
    </row>
    <row r="41433" spans="6:6" x14ac:dyDescent="0.3">
      <c r="F41433" s="193"/>
    </row>
    <row r="41434" spans="6:6" x14ac:dyDescent="0.3">
      <c r="F41434" s="193"/>
    </row>
    <row r="41435" spans="6:6" x14ac:dyDescent="0.3">
      <c r="F41435" s="193"/>
    </row>
    <row r="41436" spans="6:6" x14ac:dyDescent="0.3">
      <c r="F41436" s="193"/>
    </row>
    <row r="41437" spans="6:6" x14ac:dyDescent="0.3">
      <c r="F41437" s="193"/>
    </row>
    <row r="41438" spans="6:6" x14ac:dyDescent="0.3">
      <c r="F41438" s="193"/>
    </row>
    <row r="41439" spans="6:6" x14ac:dyDescent="0.3">
      <c r="F41439" s="193"/>
    </row>
    <row r="41440" spans="6:6" x14ac:dyDescent="0.3">
      <c r="F41440" s="193"/>
    </row>
    <row r="41441" spans="6:6" x14ac:dyDescent="0.3">
      <c r="F41441" s="193"/>
    </row>
    <row r="41442" spans="6:6" x14ac:dyDescent="0.3">
      <c r="F41442" s="193"/>
    </row>
    <row r="41443" spans="6:6" x14ac:dyDescent="0.3">
      <c r="F41443" s="193"/>
    </row>
    <row r="41444" spans="6:6" x14ac:dyDescent="0.3">
      <c r="F41444" s="193"/>
    </row>
    <row r="41445" spans="6:6" x14ac:dyDescent="0.3">
      <c r="F41445" s="193"/>
    </row>
    <row r="41446" spans="6:6" x14ac:dyDescent="0.3">
      <c r="F41446" s="193"/>
    </row>
    <row r="41447" spans="6:6" x14ac:dyDescent="0.3">
      <c r="F41447" s="193"/>
    </row>
    <row r="41448" spans="6:6" x14ac:dyDescent="0.3">
      <c r="F41448" s="193"/>
    </row>
    <row r="41449" spans="6:6" x14ac:dyDescent="0.3">
      <c r="F41449" s="193"/>
    </row>
    <row r="41450" spans="6:6" x14ac:dyDescent="0.3">
      <c r="F41450" s="193"/>
    </row>
    <row r="41451" spans="6:6" x14ac:dyDescent="0.3">
      <c r="F41451" s="193"/>
    </row>
    <row r="41452" spans="6:6" x14ac:dyDescent="0.3">
      <c r="F41452" s="193"/>
    </row>
    <row r="41453" spans="6:6" x14ac:dyDescent="0.3">
      <c r="F41453" s="193"/>
    </row>
    <row r="41454" spans="6:6" x14ac:dyDescent="0.3">
      <c r="F41454" s="193"/>
    </row>
    <row r="41455" spans="6:6" x14ac:dyDescent="0.3">
      <c r="F41455" s="193"/>
    </row>
    <row r="41456" spans="6:6" x14ac:dyDescent="0.3">
      <c r="F41456" s="193"/>
    </row>
    <row r="41457" spans="6:6" x14ac:dyDescent="0.3">
      <c r="F41457" s="193"/>
    </row>
    <row r="41458" spans="6:6" x14ac:dyDescent="0.3">
      <c r="F41458" s="193"/>
    </row>
    <row r="41459" spans="6:6" x14ac:dyDescent="0.3">
      <c r="F41459" s="193"/>
    </row>
    <row r="41460" spans="6:6" x14ac:dyDescent="0.3">
      <c r="F41460" s="193"/>
    </row>
    <row r="41461" spans="6:6" x14ac:dyDescent="0.3">
      <c r="F41461" s="193"/>
    </row>
    <row r="41462" spans="6:6" x14ac:dyDescent="0.3">
      <c r="F41462" s="193"/>
    </row>
    <row r="41463" spans="6:6" x14ac:dyDescent="0.3">
      <c r="F41463" s="193"/>
    </row>
    <row r="41464" spans="6:6" x14ac:dyDescent="0.3">
      <c r="F41464" s="193"/>
    </row>
    <row r="41465" spans="6:6" x14ac:dyDescent="0.3">
      <c r="F41465" s="193"/>
    </row>
    <row r="41466" spans="6:6" x14ac:dyDescent="0.3">
      <c r="F41466" s="193"/>
    </row>
    <row r="41467" spans="6:6" x14ac:dyDescent="0.3">
      <c r="F41467" s="193"/>
    </row>
    <row r="41468" spans="6:6" x14ac:dyDescent="0.3">
      <c r="F41468" s="193"/>
    </row>
    <row r="41469" spans="6:6" x14ac:dyDescent="0.3">
      <c r="F41469" s="193"/>
    </row>
    <row r="41470" spans="6:6" x14ac:dyDescent="0.3">
      <c r="F41470" s="193"/>
    </row>
    <row r="41471" spans="6:6" x14ac:dyDescent="0.3">
      <c r="F41471" s="193"/>
    </row>
    <row r="41472" spans="6:6" x14ac:dyDescent="0.3">
      <c r="F41472" s="193"/>
    </row>
    <row r="41473" spans="6:6" x14ac:dyDescent="0.3">
      <c r="F41473" s="193"/>
    </row>
    <row r="41474" spans="6:6" x14ac:dyDescent="0.3">
      <c r="F41474" s="193"/>
    </row>
    <row r="41475" spans="6:6" x14ac:dyDescent="0.3">
      <c r="F41475" s="193"/>
    </row>
    <row r="41476" spans="6:6" x14ac:dyDescent="0.3">
      <c r="F41476" s="193"/>
    </row>
    <row r="41477" spans="6:6" x14ac:dyDescent="0.3">
      <c r="F41477" s="193"/>
    </row>
    <row r="41478" spans="6:6" x14ac:dyDescent="0.3">
      <c r="F41478" s="193"/>
    </row>
    <row r="41479" spans="6:6" x14ac:dyDescent="0.3">
      <c r="F41479" s="193"/>
    </row>
    <row r="41480" spans="6:6" x14ac:dyDescent="0.3">
      <c r="F41480" s="193"/>
    </row>
    <row r="41481" spans="6:6" x14ac:dyDescent="0.3">
      <c r="F41481" s="193"/>
    </row>
    <row r="41482" spans="6:6" x14ac:dyDescent="0.3">
      <c r="F41482" s="193"/>
    </row>
    <row r="41483" spans="6:6" x14ac:dyDescent="0.3">
      <c r="F41483" s="193"/>
    </row>
    <row r="41484" spans="6:6" x14ac:dyDescent="0.3">
      <c r="F41484" s="193"/>
    </row>
    <row r="41485" spans="6:6" x14ac:dyDescent="0.3">
      <c r="F41485" s="193"/>
    </row>
    <row r="41486" spans="6:6" x14ac:dyDescent="0.3">
      <c r="F41486" s="193"/>
    </row>
    <row r="41487" spans="6:6" x14ac:dyDescent="0.3">
      <c r="F41487" s="193"/>
    </row>
    <row r="41488" spans="6:6" x14ac:dyDescent="0.3">
      <c r="F41488" s="193"/>
    </row>
    <row r="41489" spans="6:6" x14ac:dyDescent="0.3">
      <c r="F41489" s="193"/>
    </row>
    <row r="41490" spans="6:6" x14ac:dyDescent="0.3">
      <c r="F41490" s="193"/>
    </row>
    <row r="41491" spans="6:6" x14ac:dyDescent="0.3">
      <c r="F41491" s="193"/>
    </row>
    <row r="41492" spans="6:6" x14ac:dyDescent="0.3">
      <c r="F41492" s="193"/>
    </row>
    <row r="41493" spans="6:6" x14ac:dyDescent="0.3">
      <c r="F41493" s="193"/>
    </row>
    <row r="41494" spans="6:6" x14ac:dyDescent="0.3">
      <c r="F41494" s="193"/>
    </row>
    <row r="41495" spans="6:6" x14ac:dyDescent="0.3">
      <c r="F41495" s="193"/>
    </row>
    <row r="41496" spans="6:6" x14ac:dyDescent="0.3">
      <c r="F41496" s="193"/>
    </row>
    <row r="41497" spans="6:6" x14ac:dyDescent="0.3">
      <c r="F41497" s="193"/>
    </row>
    <row r="41498" spans="6:6" x14ac:dyDescent="0.3">
      <c r="F41498" s="193"/>
    </row>
    <row r="41499" spans="6:6" x14ac:dyDescent="0.3">
      <c r="F41499" s="193"/>
    </row>
    <row r="41500" spans="6:6" x14ac:dyDescent="0.3">
      <c r="F41500" s="193"/>
    </row>
    <row r="41501" spans="6:6" x14ac:dyDescent="0.3">
      <c r="F41501" s="193"/>
    </row>
    <row r="41502" spans="6:6" x14ac:dyDescent="0.3">
      <c r="F41502" s="193"/>
    </row>
    <row r="41503" spans="6:6" x14ac:dyDescent="0.3">
      <c r="F41503" s="193"/>
    </row>
    <row r="41504" spans="6:6" x14ac:dyDescent="0.3">
      <c r="F41504" s="193"/>
    </row>
    <row r="41505" spans="6:6" x14ac:dyDescent="0.3">
      <c r="F41505" s="193"/>
    </row>
    <row r="41506" spans="6:6" x14ac:dyDescent="0.3">
      <c r="F41506" s="193"/>
    </row>
    <row r="41507" spans="6:6" x14ac:dyDescent="0.3">
      <c r="F41507" s="193"/>
    </row>
    <row r="41508" spans="6:6" x14ac:dyDescent="0.3">
      <c r="F41508" s="193"/>
    </row>
    <row r="41509" spans="6:6" x14ac:dyDescent="0.3">
      <c r="F41509" s="193"/>
    </row>
    <row r="41510" spans="6:6" x14ac:dyDescent="0.3">
      <c r="F41510" s="193"/>
    </row>
    <row r="41511" spans="6:6" x14ac:dyDescent="0.3">
      <c r="F41511" s="193"/>
    </row>
    <row r="41512" spans="6:6" x14ac:dyDescent="0.3">
      <c r="F41512" s="193"/>
    </row>
    <row r="41513" spans="6:6" x14ac:dyDescent="0.3">
      <c r="F41513" s="193"/>
    </row>
    <row r="41514" spans="6:6" x14ac:dyDescent="0.3">
      <c r="F41514" s="193"/>
    </row>
    <row r="41515" spans="6:6" x14ac:dyDescent="0.3">
      <c r="F41515" s="193"/>
    </row>
    <row r="41516" spans="6:6" x14ac:dyDescent="0.3">
      <c r="F41516" s="193"/>
    </row>
    <row r="41517" spans="6:6" x14ac:dyDescent="0.3">
      <c r="F41517" s="193"/>
    </row>
    <row r="41518" spans="6:6" x14ac:dyDescent="0.3">
      <c r="F41518" s="193"/>
    </row>
    <row r="41519" spans="6:6" x14ac:dyDescent="0.3">
      <c r="F41519" s="193"/>
    </row>
    <row r="41520" spans="6:6" x14ac:dyDescent="0.3">
      <c r="F41520" s="193"/>
    </row>
    <row r="41521" spans="6:6" x14ac:dyDescent="0.3">
      <c r="F41521" s="193"/>
    </row>
    <row r="41522" spans="6:6" x14ac:dyDescent="0.3">
      <c r="F41522" s="193"/>
    </row>
    <row r="41523" spans="6:6" x14ac:dyDescent="0.3">
      <c r="F41523" s="193"/>
    </row>
    <row r="41524" spans="6:6" x14ac:dyDescent="0.3">
      <c r="F41524" s="193"/>
    </row>
    <row r="41525" spans="6:6" x14ac:dyDescent="0.3">
      <c r="F41525" s="193"/>
    </row>
    <row r="41526" spans="6:6" x14ac:dyDescent="0.3">
      <c r="F41526" s="193"/>
    </row>
    <row r="41527" spans="6:6" x14ac:dyDescent="0.3">
      <c r="F41527" s="193"/>
    </row>
    <row r="41528" spans="6:6" x14ac:dyDescent="0.3">
      <c r="F41528" s="193"/>
    </row>
    <row r="41529" spans="6:6" x14ac:dyDescent="0.3">
      <c r="F41529" s="193"/>
    </row>
    <row r="41530" spans="6:6" x14ac:dyDescent="0.3">
      <c r="F41530" s="193"/>
    </row>
    <row r="41531" spans="6:6" x14ac:dyDescent="0.3">
      <c r="F41531" s="193"/>
    </row>
    <row r="41532" spans="6:6" x14ac:dyDescent="0.3">
      <c r="F41532" s="193"/>
    </row>
    <row r="41533" spans="6:6" x14ac:dyDescent="0.3">
      <c r="F41533" s="193"/>
    </row>
    <row r="41534" spans="6:6" x14ac:dyDescent="0.3">
      <c r="F41534" s="193"/>
    </row>
    <row r="41535" spans="6:6" x14ac:dyDescent="0.3">
      <c r="F41535" s="193"/>
    </row>
    <row r="41536" spans="6:6" x14ac:dyDescent="0.3">
      <c r="F41536" s="193"/>
    </row>
    <row r="41537" spans="6:6" x14ac:dyDescent="0.3">
      <c r="F41537" s="193"/>
    </row>
    <row r="41538" spans="6:6" x14ac:dyDescent="0.3">
      <c r="F41538" s="193"/>
    </row>
    <row r="41539" spans="6:6" x14ac:dyDescent="0.3">
      <c r="F41539" s="193"/>
    </row>
    <row r="41540" spans="6:6" x14ac:dyDescent="0.3">
      <c r="F41540" s="193"/>
    </row>
    <row r="41541" spans="6:6" x14ac:dyDescent="0.3">
      <c r="F41541" s="193"/>
    </row>
    <row r="41542" spans="6:6" x14ac:dyDescent="0.3">
      <c r="F41542" s="193"/>
    </row>
    <row r="41543" spans="6:6" x14ac:dyDescent="0.3">
      <c r="F41543" s="193"/>
    </row>
    <row r="41544" spans="6:6" x14ac:dyDescent="0.3">
      <c r="F41544" s="193"/>
    </row>
    <row r="41545" spans="6:6" x14ac:dyDescent="0.3">
      <c r="F41545" s="193"/>
    </row>
    <row r="41546" spans="6:6" x14ac:dyDescent="0.3">
      <c r="F41546" s="193"/>
    </row>
    <row r="41547" spans="6:6" x14ac:dyDescent="0.3">
      <c r="F41547" s="193"/>
    </row>
    <row r="41548" spans="6:6" x14ac:dyDescent="0.3">
      <c r="F41548" s="193"/>
    </row>
    <row r="41549" spans="6:6" x14ac:dyDescent="0.3">
      <c r="F41549" s="193"/>
    </row>
    <row r="41550" spans="6:6" x14ac:dyDescent="0.3">
      <c r="F41550" s="193"/>
    </row>
    <row r="41551" spans="6:6" x14ac:dyDescent="0.3">
      <c r="F41551" s="193"/>
    </row>
    <row r="41552" spans="6:6" x14ac:dyDescent="0.3">
      <c r="F41552" s="193"/>
    </row>
    <row r="41553" spans="6:6" x14ac:dyDescent="0.3">
      <c r="F41553" s="193"/>
    </row>
    <row r="41554" spans="6:6" x14ac:dyDescent="0.3">
      <c r="F41554" s="193"/>
    </row>
    <row r="41555" spans="6:6" x14ac:dyDescent="0.3">
      <c r="F41555" s="193"/>
    </row>
    <row r="41556" spans="6:6" x14ac:dyDescent="0.3">
      <c r="F41556" s="193"/>
    </row>
    <row r="41557" spans="6:6" x14ac:dyDescent="0.3">
      <c r="F41557" s="193"/>
    </row>
    <row r="41558" spans="6:6" x14ac:dyDescent="0.3">
      <c r="F41558" s="193"/>
    </row>
    <row r="41559" spans="6:6" x14ac:dyDescent="0.3">
      <c r="F41559" s="193"/>
    </row>
    <row r="41560" spans="6:6" x14ac:dyDescent="0.3">
      <c r="F41560" s="193"/>
    </row>
    <row r="41561" spans="6:6" x14ac:dyDescent="0.3">
      <c r="F41561" s="193"/>
    </row>
    <row r="41562" spans="6:6" x14ac:dyDescent="0.3">
      <c r="F41562" s="193"/>
    </row>
    <row r="41563" spans="6:6" x14ac:dyDescent="0.3">
      <c r="F41563" s="193"/>
    </row>
    <row r="41564" spans="6:6" x14ac:dyDescent="0.3">
      <c r="F41564" s="193"/>
    </row>
    <row r="41565" spans="6:6" x14ac:dyDescent="0.3">
      <c r="F41565" s="193"/>
    </row>
    <row r="41566" spans="6:6" x14ac:dyDescent="0.3">
      <c r="F41566" s="193"/>
    </row>
    <row r="41567" spans="6:6" x14ac:dyDescent="0.3">
      <c r="F41567" s="193"/>
    </row>
    <row r="41568" spans="6:6" x14ac:dyDescent="0.3">
      <c r="F41568" s="193"/>
    </row>
    <row r="41569" spans="6:6" x14ac:dyDescent="0.3">
      <c r="F41569" s="193"/>
    </row>
    <row r="41570" spans="6:6" x14ac:dyDescent="0.3">
      <c r="F41570" s="193"/>
    </row>
    <row r="41571" spans="6:6" x14ac:dyDescent="0.3">
      <c r="F41571" s="193"/>
    </row>
    <row r="41572" spans="6:6" x14ac:dyDescent="0.3">
      <c r="F41572" s="193"/>
    </row>
    <row r="41573" spans="6:6" x14ac:dyDescent="0.3">
      <c r="F41573" s="193"/>
    </row>
    <row r="41574" spans="6:6" x14ac:dyDescent="0.3">
      <c r="F41574" s="193"/>
    </row>
    <row r="41575" spans="6:6" x14ac:dyDescent="0.3">
      <c r="F41575" s="193"/>
    </row>
    <row r="41576" spans="6:6" x14ac:dyDescent="0.3">
      <c r="F41576" s="193"/>
    </row>
    <row r="41577" spans="6:6" x14ac:dyDescent="0.3">
      <c r="F41577" s="193"/>
    </row>
    <row r="41578" spans="6:6" x14ac:dyDescent="0.3">
      <c r="F41578" s="193"/>
    </row>
    <row r="41579" spans="6:6" x14ac:dyDescent="0.3">
      <c r="F41579" s="193"/>
    </row>
    <row r="41580" spans="6:6" x14ac:dyDescent="0.3">
      <c r="F41580" s="193"/>
    </row>
    <row r="41581" spans="6:6" x14ac:dyDescent="0.3">
      <c r="F41581" s="193"/>
    </row>
    <row r="41582" spans="6:6" x14ac:dyDescent="0.3">
      <c r="F41582" s="193"/>
    </row>
    <row r="41583" spans="6:6" x14ac:dyDescent="0.3">
      <c r="F41583" s="193"/>
    </row>
    <row r="41584" spans="6:6" x14ac:dyDescent="0.3">
      <c r="F41584" s="193"/>
    </row>
    <row r="41585" spans="6:6" x14ac:dyDescent="0.3">
      <c r="F41585" s="193"/>
    </row>
    <row r="41586" spans="6:6" x14ac:dyDescent="0.3">
      <c r="F41586" s="193"/>
    </row>
    <row r="41587" spans="6:6" x14ac:dyDescent="0.3">
      <c r="F41587" s="193"/>
    </row>
    <row r="41588" spans="6:6" x14ac:dyDescent="0.3">
      <c r="F41588" s="193"/>
    </row>
    <row r="41589" spans="6:6" x14ac:dyDescent="0.3">
      <c r="F41589" s="193"/>
    </row>
    <row r="41590" spans="6:6" x14ac:dyDescent="0.3">
      <c r="F41590" s="193"/>
    </row>
    <row r="41591" spans="6:6" x14ac:dyDescent="0.3">
      <c r="F41591" s="193"/>
    </row>
    <row r="41592" spans="6:6" x14ac:dyDescent="0.3">
      <c r="F41592" s="193"/>
    </row>
    <row r="41593" spans="6:6" x14ac:dyDescent="0.3">
      <c r="F41593" s="193"/>
    </row>
    <row r="41594" spans="6:6" x14ac:dyDescent="0.3">
      <c r="F41594" s="193"/>
    </row>
    <row r="41595" spans="6:6" x14ac:dyDescent="0.3">
      <c r="F41595" s="193"/>
    </row>
    <row r="41596" spans="6:6" x14ac:dyDescent="0.3">
      <c r="F41596" s="193"/>
    </row>
    <row r="41597" spans="6:6" x14ac:dyDescent="0.3">
      <c r="F41597" s="193"/>
    </row>
    <row r="41598" spans="6:6" x14ac:dyDescent="0.3">
      <c r="F41598" s="193"/>
    </row>
    <row r="41599" spans="6:6" x14ac:dyDescent="0.3">
      <c r="F41599" s="193"/>
    </row>
    <row r="41600" spans="6:6" x14ac:dyDescent="0.3">
      <c r="F41600" s="193"/>
    </row>
    <row r="41601" spans="6:6" x14ac:dyDescent="0.3">
      <c r="F41601" s="193"/>
    </row>
    <row r="41602" spans="6:6" x14ac:dyDescent="0.3">
      <c r="F41602" s="193"/>
    </row>
    <row r="41603" spans="6:6" x14ac:dyDescent="0.3">
      <c r="F41603" s="193"/>
    </row>
    <row r="41604" spans="6:6" x14ac:dyDescent="0.3">
      <c r="F41604" s="193"/>
    </row>
    <row r="41605" spans="6:6" x14ac:dyDescent="0.3">
      <c r="F41605" s="193"/>
    </row>
    <row r="41606" spans="6:6" x14ac:dyDescent="0.3">
      <c r="F41606" s="193"/>
    </row>
    <row r="41607" spans="6:6" x14ac:dyDescent="0.3">
      <c r="F41607" s="193"/>
    </row>
    <row r="41608" spans="6:6" x14ac:dyDescent="0.3">
      <c r="F41608" s="193"/>
    </row>
    <row r="41609" spans="6:6" x14ac:dyDescent="0.3">
      <c r="F41609" s="193"/>
    </row>
    <row r="41610" spans="6:6" x14ac:dyDescent="0.3">
      <c r="F41610" s="193"/>
    </row>
    <row r="41611" spans="6:6" x14ac:dyDescent="0.3">
      <c r="F41611" s="193"/>
    </row>
    <row r="41612" spans="6:6" x14ac:dyDescent="0.3">
      <c r="F41612" s="193"/>
    </row>
    <row r="41613" spans="6:6" x14ac:dyDescent="0.3">
      <c r="F41613" s="193"/>
    </row>
    <row r="41614" spans="6:6" x14ac:dyDescent="0.3">
      <c r="F41614" s="193"/>
    </row>
    <row r="41615" spans="6:6" x14ac:dyDescent="0.3">
      <c r="F41615" s="193"/>
    </row>
    <row r="41616" spans="6:6" x14ac:dyDescent="0.3">
      <c r="F41616" s="193"/>
    </row>
    <row r="41617" spans="6:6" x14ac:dyDescent="0.3">
      <c r="F41617" s="193"/>
    </row>
    <row r="41618" spans="6:6" x14ac:dyDescent="0.3">
      <c r="F41618" s="193"/>
    </row>
    <row r="41619" spans="6:6" x14ac:dyDescent="0.3">
      <c r="F41619" s="193"/>
    </row>
    <row r="41620" spans="6:6" x14ac:dyDescent="0.3">
      <c r="F41620" s="193"/>
    </row>
    <row r="41621" spans="6:6" x14ac:dyDescent="0.3">
      <c r="F41621" s="193"/>
    </row>
    <row r="41622" spans="6:6" x14ac:dyDescent="0.3">
      <c r="F41622" s="193"/>
    </row>
    <row r="41623" spans="6:6" x14ac:dyDescent="0.3">
      <c r="F41623" s="193"/>
    </row>
    <row r="41624" spans="6:6" x14ac:dyDescent="0.3">
      <c r="F41624" s="193"/>
    </row>
    <row r="41625" spans="6:6" x14ac:dyDescent="0.3">
      <c r="F41625" s="193"/>
    </row>
    <row r="41626" spans="6:6" x14ac:dyDescent="0.3">
      <c r="F41626" s="193"/>
    </row>
    <row r="41627" spans="6:6" x14ac:dyDescent="0.3">
      <c r="F41627" s="193"/>
    </row>
    <row r="41628" spans="6:6" x14ac:dyDescent="0.3">
      <c r="F41628" s="193"/>
    </row>
    <row r="41629" spans="6:6" x14ac:dyDescent="0.3">
      <c r="F41629" s="193"/>
    </row>
    <row r="41630" spans="6:6" x14ac:dyDescent="0.3">
      <c r="F41630" s="193"/>
    </row>
    <row r="41631" spans="6:6" x14ac:dyDescent="0.3">
      <c r="F41631" s="193"/>
    </row>
    <row r="41632" spans="6:6" x14ac:dyDescent="0.3">
      <c r="F41632" s="193"/>
    </row>
    <row r="41633" spans="6:6" x14ac:dyDescent="0.3">
      <c r="F41633" s="193"/>
    </row>
    <row r="41634" spans="6:6" x14ac:dyDescent="0.3">
      <c r="F41634" s="193"/>
    </row>
    <row r="41635" spans="6:6" x14ac:dyDescent="0.3">
      <c r="F41635" s="193"/>
    </row>
    <row r="41636" spans="6:6" x14ac:dyDescent="0.3">
      <c r="F41636" s="193"/>
    </row>
    <row r="41637" spans="6:6" x14ac:dyDescent="0.3">
      <c r="F41637" s="193"/>
    </row>
    <row r="41638" spans="6:6" x14ac:dyDescent="0.3">
      <c r="F41638" s="193"/>
    </row>
    <row r="41639" spans="6:6" x14ac:dyDescent="0.3">
      <c r="F41639" s="193"/>
    </row>
    <row r="41640" spans="6:6" x14ac:dyDescent="0.3">
      <c r="F41640" s="193"/>
    </row>
    <row r="41641" spans="6:6" x14ac:dyDescent="0.3">
      <c r="F41641" s="193"/>
    </row>
    <row r="41642" spans="6:6" x14ac:dyDescent="0.3">
      <c r="F41642" s="193"/>
    </row>
    <row r="41643" spans="6:6" x14ac:dyDescent="0.3">
      <c r="F41643" s="193"/>
    </row>
    <row r="41644" spans="6:6" x14ac:dyDescent="0.3">
      <c r="F41644" s="193"/>
    </row>
    <row r="41645" spans="6:6" x14ac:dyDescent="0.3">
      <c r="F41645" s="193"/>
    </row>
    <row r="41646" spans="6:6" x14ac:dyDescent="0.3">
      <c r="F41646" s="193"/>
    </row>
    <row r="41647" spans="6:6" x14ac:dyDescent="0.3">
      <c r="F41647" s="193"/>
    </row>
    <row r="41648" spans="6:6" x14ac:dyDescent="0.3">
      <c r="F41648" s="193"/>
    </row>
    <row r="41649" spans="6:6" x14ac:dyDescent="0.3">
      <c r="F41649" s="193"/>
    </row>
    <row r="41650" spans="6:6" x14ac:dyDescent="0.3">
      <c r="F41650" s="193"/>
    </row>
    <row r="41651" spans="6:6" x14ac:dyDescent="0.3">
      <c r="F41651" s="193"/>
    </row>
    <row r="41652" spans="6:6" x14ac:dyDescent="0.3">
      <c r="F41652" s="193"/>
    </row>
    <row r="41653" spans="6:6" x14ac:dyDescent="0.3">
      <c r="F41653" s="193"/>
    </row>
    <row r="41654" spans="6:6" x14ac:dyDescent="0.3">
      <c r="F41654" s="193"/>
    </row>
    <row r="41655" spans="6:6" x14ac:dyDescent="0.3">
      <c r="F41655" s="193"/>
    </row>
    <row r="41656" spans="6:6" x14ac:dyDescent="0.3">
      <c r="F41656" s="193"/>
    </row>
    <row r="41657" spans="6:6" x14ac:dyDescent="0.3">
      <c r="F41657" s="193"/>
    </row>
    <row r="41658" spans="6:6" x14ac:dyDescent="0.3">
      <c r="F41658" s="193"/>
    </row>
    <row r="41659" spans="6:6" x14ac:dyDescent="0.3">
      <c r="F41659" s="193"/>
    </row>
    <row r="41660" spans="6:6" x14ac:dyDescent="0.3">
      <c r="F41660" s="193"/>
    </row>
    <row r="41661" spans="6:6" x14ac:dyDescent="0.3">
      <c r="F41661" s="193"/>
    </row>
    <row r="41662" spans="6:6" x14ac:dyDescent="0.3">
      <c r="F41662" s="193"/>
    </row>
    <row r="41663" spans="6:6" x14ac:dyDescent="0.3">
      <c r="F41663" s="193"/>
    </row>
    <row r="41664" spans="6:6" x14ac:dyDescent="0.3">
      <c r="F41664" s="193"/>
    </row>
    <row r="41665" spans="6:6" x14ac:dyDescent="0.3">
      <c r="F41665" s="193"/>
    </row>
    <row r="41666" spans="6:6" x14ac:dyDescent="0.3">
      <c r="F41666" s="193"/>
    </row>
    <row r="41667" spans="6:6" x14ac:dyDescent="0.3">
      <c r="F41667" s="193"/>
    </row>
    <row r="41668" spans="6:6" x14ac:dyDescent="0.3">
      <c r="F41668" s="193"/>
    </row>
    <row r="41669" spans="6:6" x14ac:dyDescent="0.3">
      <c r="F41669" s="193"/>
    </row>
    <row r="41670" spans="6:6" x14ac:dyDescent="0.3">
      <c r="F41670" s="193"/>
    </row>
    <row r="41671" spans="6:6" x14ac:dyDescent="0.3">
      <c r="F41671" s="193"/>
    </row>
    <row r="41672" spans="6:6" x14ac:dyDescent="0.3">
      <c r="F41672" s="193"/>
    </row>
    <row r="41673" spans="6:6" x14ac:dyDescent="0.3">
      <c r="F41673" s="193"/>
    </row>
    <row r="41674" spans="6:6" x14ac:dyDescent="0.3">
      <c r="F41674" s="193"/>
    </row>
    <row r="41675" spans="6:6" x14ac:dyDescent="0.3">
      <c r="F41675" s="193"/>
    </row>
    <row r="41676" spans="6:6" x14ac:dyDescent="0.3">
      <c r="F41676" s="193"/>
    </row>
    <row r="41677" spans="6:6" x14ac:dyDescent="0.3">
      <c r="F41677" s="193"/>
    </row>
    <row r="41678" spans="6:6" x14ac:dyDescent="0.3">
      <c r="F41678" s="193"/>
    </row>
    <row r="41679" spans="6:6" x14ac:dyDescent="0.3">
      <c r="F41679" s="193"/>
    </row>
    <row r="41680" spans="6:6" x14ac:dyDescent="0.3">
      <c r="F41680" s="193"/>
    </row>
    <row r="41681" spans="6:6" x14ac:dyDescent="0.3">
      <c r="F41681" s="193"/>
    </row>
    <row r="41682" spans="6:6" x14ac:dyDescent="0.3">
      <c r="F41682" s="193"/>
    </row>
    <row r="41683" spans="6:6" x14ac:dyDescent="0.3">
      <c r="F41683" s="193"/>
    </row>
    <row r="41684" spans="6:6" x14ac:dyDescent="0.3">
      <c r="F41684" s="193"/>
    </row>
    <row r="41685" spans="6:6" x14ac:dyDescent="0.3">
      <c r="F41685" s="193"/>
    </row>
    <row r="41686" spans="6:6" x14ac:dyDescent="0.3">
      <c r="F41686" s="193"/>
    </row>
    <row r="41687" spans="6:6" x14ac:dyDescent="0.3">
      <c r="F41687" s="193"/>
    </row>
    <row r="41688" spans="6:6" x14ac:dyDescent="0.3">
      <c r="F41688" s="193"/>
    </row>
    <row r="41689" spans="6:6" x14ac:dyDescent="0.3">
      <c r="F41689" s="193"/>
    </row>
    <row r="41690" spans="6:6" x14ac:dyDescent="0.3">
      <c r="F41690" s="193"/>
    </row>
    <row r="41691" spans="6:6" x14ac:dyDescent="0.3">
      <c r="F41691" s="193"/>
    </row>
    <row r="41692" spans="6:6" x14ac:dyDescent="0.3">
      <c r="F41692" s="193"/>
    </row>
    <row r="41693" spans="6:6" x14ac:dyDescent="0.3">
      <c r="F41693" s="193"/>
    </row>
    <row r="41694" spans="6:6" x14ac:dyDescent="0.3">
      <c r="F41694" s="193"/>
    </row>
    <row r="41695" spans="6:6" x14ac:dyDescent="0.3">
      <c r="F41695" s="193"/>
    </row>
    <row r="41696" spans="6:6" x14ac:dyDescent="0.3">
      <c r="F41696" s="193"/>
    </row>
    <row r="41697" spans="6:6" x14ac:dyDescent="0.3">
      <c r="F41697" s="193"/>
    </row>
    <row r="41698" spans="6:6" x14ac:dyDescent="0.3">
      <c r="F41698" s="193"/>
    </row>
    <row r="41699" spans="6:6" x14ac:dyDescent="0.3">
      <c r="F41699" s="193"/>
    </row>
    <row r="41700" spans="6:6" x14ac:dyDescent="0.3">
      <c r="F41700" s="193"/>
    </row>
    <row r="41701" spans="6:6" x14ac:dyDescent="0.3">
      <c r="F41701" s="193"/>
    </row>
    <row r="41702" spans="6:6" x14ac:dyDescent="0.3">
      <c r="F41702" s="193"/>
    </row>
    <row r="41703" spans="6:6" x14ac:dyDescent="0.3">
      <c r="F41703" s="193"/>
    </row>
    <row r="41704" spans="6:6" x14ac:dyDescent="0.3">
      <c r="F41704" s="193"/>
    </row>
    <row r="41705" spans="6:6" x14ac:dyDescent="0.3">
      <c r="F41705" s="193"/>
    </row>
    <row r="41706" spans="6:6" x14ac:dyDescent="0.3">
      <c r="F41706" s="193"/>
    </row>
    <row r="41707" spans="6:6" x14ac:dyDescent="0.3">
      <c r="F41707" s="193"/>
    </row>
    <row r="41708" spans="6:6" x14ac:dyDescent="0.3">
      <c r="F41708" s="193"/>
    </row>
    <row r="41709" spans="6:6" x14ac:dyDescent="0.3">
      <c r="F41709" s="193"/>
    </row>
    <row r="41710" spans="6:6" x14ac:dyDescent="0.3">
      <c r="F41710" s="193"/>
    </row>
    <row r="41711" spans="6:6" x14ac:dyDescent="0.3">
      <c r="F41711" s="193"/>
    </row>
    <row r="41712" spans="6:6" x14ac:dyDescent="0.3">
      <c r="F41712" s="193"/>
    </row>
    <row r="41713" spans="6:6" x14ac:dyDescent="0.3">
      <c r="F41713" s="193"/>
    </row>
    <row r="41714" spans="6:6" x14ac:dyDescent="0.3">
      <c r="F41714" s="193"/>
    </row>
    <row r="41715" spans="6:6" x14ac:dyDescent="0.3">
      <c r="F41715" s="193"/>
    </row>
    <row r="41716" spans="6:6" x14ac:dyDescent="0.3">
      <c r="F41716" s="193"/>
    </row>
    <row r="41717" spans="6:6" x14ac:dyDescent="0.3">
      <c r="F41717" s="193"/>
    </row>
    <row r="41718" spans="6:6" x14ac:dyDescent="0.3">
      <c r="F41718" s="193"/>
    </row>
    <row r="41719" spans="6:6" x14ac:dyDescent="0.3">
      <c r="F41719" s="193"/>
    </row>
    <row r="41720" spans="6:6" x14ac:dyDescent="0.3">
      <c r="F41720" s="193"/>
    </row>
    <row r="41721" spans="6:6" x14ac:dyDescent="0.3">
      <c r="F41721" s="193"/>
    </row>
    <row r="41722" spans="6:6" x14ac:dyDescent="0.3">
      <c r="F41722" s="193"/>
    </row>
    <row r="41723" spans="6:6" x14ac:dyDescent="0.3">
      <c r="F41723" s="193"/>
    </row>
    <row r="41724" spans="6:6" x14ac:dyDescent="0.3">
      <c r="F41724" s="193"/>
    </row>
    <row r="41725" spans="6:6" x14ac:dyDescent="0.3">
      <c r="F41725" s="193"/>
    </row>
    <row r="41726" spans="6:6" x14ac:dyDescent="0.3">
      <c r="F41726" s="193"/>
    </row>
    <row r="41727" spans="6:6" x14ac:dyDescent="0.3">
      <c r="F41727" s="193"/>
    </row>
    <row r="41728" spans="6:6" x14ac:dyDescent="0.3">
      <c r="F41728" s="193"/>
    </row>
    <row r="41729" spans="6:6" x14ac:dyDescent="0.3">
      <c r="F41729" s="193"/>
    </row>
    <row r="41730" spans="6:6" x14ac:dyDescent="0.3">
      <c r="F41730" s="193"/>
    </row>
    <row r="41731" spans="6:6" x14ac:dyDescent="0.3">
      <c r="F41731" s="193"/>
    </row>
    <row r="41732" spans="6:6" x14ac:dyDescent="0.3">
      <c r="F41732" s="193"/>
    </row>
    <row r="41733" spans="6:6" x14ac:dyDescent="0.3">
      <c r="F41733" s="193"/>
    </row>
    <row r="41734" spans="6:6" x14ac:dyDescent="0.3">
      <c r="F41734" s="193"/>
    </row>
    <row r="41735" spans="6:6" x14ac:dyDescent="0.3">
      <c r="F41735" s="193"/>
    </row>
    <row r="41736" spans="6:6" x14ac:dyDescent="0.3">
      <c r="F41736" s="193"/>
    </row>
    <row r="41737" spans="6:6" x14ac:dyDescent="0.3">
      <c r="F41737" s="193"/>
    </row>
    <row r="41738" spans="6:6" x14ac:dyDescent="0.3">
      <c r="F41738" s="193"/>
    </row>
    <row r="41739" spans="6:6" x14ac:dyDescent="0.3">
      <c r="F41739" s="193"/>
    </row>
    <row r="41740" spans="6:6" x14ac:dyDescent="0.3">
      <c r="F41740" s="193"/>
    </row>
    <row r="41741" spans="6:6" x14ac:dyDescent="0.3">
      <c r="F41741" s="193"/>
    </row>
    <row r="41742" spans="6:6" x14ac:dyDescent="0.3">
      <c r="F41742" s="193"/>
    </row>
    <row r="41743" spans="6:6" x14ac:dyDescent="0.3">
      <c r="F41743" s="193"/>
    </row>
    <row r="41744" spans="6:6" x14ac:dyDescent="0.3">
      <c r="F41744" s="193"/>
    </row>
    <row r="41745" spans="6:6" x14ac:dyDescent="0.3">
      <c r="F41745" s="193"/>
    </row>
    <row r="41746" spans="6:6" x14ac:dyDescent="0.3">
      <c r="F41746" s="193"/>
    </row>
    <row r="41747" spans="6:6" x14ac:dyDescent="0.3">
      <c r="F41747" s="193"/>
    </row>
    <row r="41748" spans="6:6" x14ac:dyDescent="0.3">
      <c r="F41748" s="193"/>
    </row>
    <row r="41749" spans="6:6" x14ac:dyDescent="0.3">
      <c r="F41749" s="193"/>
    </row>
    <row r="41750" spans="6:6" x14ac:dyDescent="0.3">
      <c r="F41750" s="193"/>
    </row>
    <row r="41751" spans="6:6" x14ac:dyDescent="0.3">
      <c r="F41751" s="193"/>
    </row>
    <row r="41752" spans="6:6" x14ac:dyDescent="0.3">
      <c r="F41752" s="193"/>
    </row>
    <row r="41753" spans="6:6" x14ac:dyDescent="0.3">
      <c r="F41753" s="193"/>
    </row>
    <row r="41754" spans="6:6" x14ac:dyDescent="0.3">
      <c r="F41754" s="193"/>
    </row>
    <row r="41755" spans="6:6" x14ac:dyDescent="0.3">
      <c r="F41755" s="193"/>
    </row>
    <row r="41756" spans="6:6" x14ac:dyDescent="0.3">
      <c r="F41756" s="193"/>
    </row>
    <row r="41757" spans="6:6" x14ac:dyDescent="0.3">
      <c r="F41757" s="193"/>
    </row>
    <row r="41758" spans="6:6" x14ac:dyDescent="0.3">
      <c r="F41758" s="193"/>
    </row>
    <row r="41759" spans="6:6" x14ac:dyDescent="0.3">
      <c r="F41759" s="193"/>
    </row>
    <row r="41760" spans="6:6" x14ac:dyDescent="0.3">
      <c r="F41760" s="193"/>
    </row>
    <row r="41761" spans="6:6" x14ac:dyDescent="0.3">
      <c r="F41761" s="193"/>
    </row>
    <row r="41762" spans="6:6" x14ac:dyDescent="0.3">
      <c r="F41762" s="193"/>
    </row>
    <row r="41763" spans="6:6" x14ac:dyDescent="0.3">
      <c r="F41763" s="193"/>
    </row>
    <row r="41764" spans="6:6" x14ac:dyDescent="0.3">
      <c r="F41764" s="193"/>
    </row>
    <row r="41765" spans="6:6" x14ac:dyDescent="0.3">
      <c r="F41765" s="193"/>
    </row>
    <row r="41766" spans="6:6" x14ac:dyDescent="0.3">
      <c r="F41766" s="193"/>
    </row>
    <row r="41767" spans="6:6" x14ac:dyDescent="0.3">
      <c r="F41767" s="193"/>
    </row>
    <row r="41768" spans="6:6" x14ac:dyDescent="0.3">
      <c r="F41768" s="193"/>
    </row>
    <row r="41769" spans="6:6" x14ac:dyDescent="0.3">
      <c r="F41769" s="193"/>
    </row>
    <row r="41770" spans="6:6" x14ac:dyDescent="0.3">
      <c r="F41770" s="193"/>
    </row>
    <row r="41771" spans="6:6" x14ac:dyDescent="0.3">
      <c r="F41771" s="193"/>
    </row>
    <row r="41772" spans="6:6" x14ac:dyDescent="0.3">
      <c r="F41772" s="193"/>
    </row>
    <row r="41773" spans="6:6" x14ac:dyDescent="0.3">
      <c r="F41773" s="193"/>
    </row>
    <row r="41774" spans="6:6" x14ac:dyDescent="0.3">
      <c r="F41774" s="193"/>
    </row>
    <row r="41775" spans="6:6" x14ac:dyDescent="0.3">
      <c r="F41775" s="193"/>
    </row>
    <row r="41776" spans="6:6" x14ac:dyDescent="0.3">
      <c r="F41776" s="193"/>
    </row>
    <row r="41777" spans="6:6" x14ac:dyDescent="0.3">
      <c r="F41777" s="193"/>
    </row>
    <row r="41778" spans="6:6" x14ac:dyDescent="0.3">
      <c r="F41778" s="193"/>
    </row>
    <row r="41779" spans="6:6" x14ac:dyDescent="0.3">
      <c r="F41779" s="193"/>
    </row>
    <row r="41780" spans="6:6" x14ac:dyDescent="0.3">
      <c r="F41780" s="193"/>
    </row>
    <row r="41781" spans="6:6" x14ac:dyDescent="0.3">
      <c r="F41781" s="193"/>
    </row>
    <row r="41782" spans="6:6" x14ac:dyDescent="0.3">
      <c r="F41782" s="193"/>
    </row>
    <row r="41783" spans="6:6" x14ac:dyDescent="0.3">
      <c r="F41783" s="193"/>
    </row>
    <row r="41784" spans="6:6" x14ac:dyDescent="0.3">
      <c r="F41784" s="193"/>
    </row>
    <row r="41785" spans="6:6" x14ac:dyDescent="0.3">
      <c r="F41785" s="193"/>
    </row>
    <row r="41786" spans="6:6" x14ac:dyDescent="0.3">
      <c r="F41786" s="193"/>
    </row>
    <row r="41787" spans="6:6" x14ac:dyDescent="0.3">
      <c r="F41787" s="193"/>
    </row>
    <row r="41788" spans="6:6" x14ac:dyDescent="0.3">
      <c r="F41788" s="193"/>
    </row>
    <row r="41789" spans="6:6" x14ac:dyDescent="0.3">
      <c r="F41789" s="193"/>
    </row>
    <row r="41790" spans="6:6" x14ac:dyDescent="0.3">
      <c r="F41790" s="193"/>
    </row>
    <row r="41791" spans="6:6" x14ac:dyDescent="0.3">
      <c r="F41791" s="193"/>
    </row>
    <row r="41792" spans="6:6" x14ac:dyDescent="0.3">
      <c r="F41792" s="193"/>
    </row>
    <row r="41793" spans="6:6" x14ac:dyDescent="0.3">
      <c r="F41793" s="193"/>
    </row>
    <row r="41794" spans="6:6" x14ac:dyDescent="0.3">
      <c r="F41794" s="193"/>
    </row>
    <row r="41795" spans="6:6" x14ac:dyDescent="0.3">
      <c r="F41795" s="193"/>
    </row>
    <row r="41796" spans="6:6" x14ac:dyDescent="0.3">
      <c r="F41796" s="193"/>
    </row>
    <row r="41797" spans="6:6" x14ac:dyDescent="0.3">
      <c r="F41797" s="193"/>
    </row>
    <row r="41798" spans="6:6" x14ac:dyDescent="0.3">
      <c r="F41798" s="193"/>
    </row>
    <row r="41799" spans="6:6" x14ac:dyDescent="0.3">
      <c r="F41799" s="193"/>
    </row>
    <row r="41800" spans="6:6" x14ac:dyDescent="0.3">
      <c r="F41800" s="193"/>
    </row>
    <row r="41801" spans="6:6" x14ac:dyDescent="0.3">
      <c r="F41801" s="193"/>
    </row>
    <row r="41802" spans="6:6" x14ac:dyDescent="0.3">
      <c r="F41802" s="193"/>
    </row>
    <row r="41803" spans="6:6" x14ac:dyDescent="0.3">
      <c r="F41803" s="193"/>
    </row>
    <row r="41804" spans="6:6" x14ac:dyDescent="0.3">
      <c r="F41804" s="193"/>
    </row>
    <row r="41805" spans="6:6" x14ac:dyDescent="0.3">
      <c r="F41805" s="193"/>
    </row>
    <row r="41806" spans="6:6" x14ac:dyDescent="0.3">
      <c r="F41806" s="193"/>
    </row>
    <row r="41807" spans="6:6" x14ac:dyDescent="0.3">
      <c r="F41807" s="193"/>
    </row>
    <row r="41808" spans="6:6" x14ac:dyDescent="0.3">
      <c r="F41808" s="193"/>
    </row>
    <row r="41809" spans="6:6" x14ac:dyDescent="0.3">
      <c r="F41809" s="193"/>
    </row>
    <row r="41810" spans="6:6" x14ac:dyDescent="0.3">
      <c r="F41810" s="193"/>
    </row>
    <row r="41811" spans="6:6" x14ac:dyDescent="0.3">
      <c r="F41811" s="193"/>
    </row>
    <row r="41812" spans="6:6" x14ac:dyDescent="0.3">
      <c r="F41812" s="193"/>
    </row>
    <row r="41813" spans="6:6" x14ac:dyDescent="0.3">
      <c r="F41813" s="193"/>
    </row>
    <row r="41814" spans="6:6" x14ac:dyDescent="0.3">
      <c r="F41814" s="193"/>
    </row>
    <row r="41815" spans="6:6" x14ac:dyDescent="0.3">
      <c r="F41815" s="193"/>
    </row>
    <row r="41816" spans="6:6" x14ac:dyDescent="0.3">
      <c r="F41816" s="193"/>
    </row>
    <row r="41817" spans="6:6" x14ac:dyDescent="0.3">
      <c r="F41817" s="193"/>
    </row>
    <row r="41818" spans="6:6" x14ac:dyDescent="0.3">
      <c r="F41818" s="193"/>
    </row>
    <row r="41819" spans="6:6" x14ac:dyDescent="0.3">
      <c r="F41819" s="193"/>
    </row>
    <row r="41820" spans="6:6" x14ac:dyDescent="0.3">
      <c r="F41820" s="193"/>
    </row>
    <row r="41821" spans="6:6" x14ac:dyDescent="0.3">
      <c r="F41821" s="193"/>
    </row>
    <row r="41822" spans="6:6" x14ac:dyDescent="0.3">
      <c r="F41822" s="193"/>
    </row>
    <row r="41823" spans="6:6" x14ac:dyDescent="0.3">
      <c r="F41823" s="193"/>
    </row>
    <row r="41824" spans="6:6" x14ac:dyDescent="0.3">
      <c r="F41824" s="193"/>
    </row>
    <row r="41825" spans="6:6" x14ac:dyDescent="0.3">
      <c r="F41825" s="193"/>
    </row>
    <row r="41826" spans="6:6" x14ac:dyDescent="0.3">
      <c r="F41826" s="193"/>
    </row>
    <row r="41827" spans="6:6" x14ac:dyDescent="0.3">
      <c r="F41827" s="193"/>
    </row>
    <row r="41828" spans="6:6" x14ac:dyDescent="0.3">
      <c r="F41828" s="193"/>
    </row>
    <row r="41829" spans="6:6" x14ac:dyDescent="0.3">
      <c r="F41829" s="193"/>
    </row>
    <row r="41830" spans="6:6" x14ac:dyDescent="0.3">
      <c r="F41830" s="193"/>
    </row>
    <row r="41831" spans="6:6" x14ac:dyDescent="0.3">
      <c r="F41831" s="193"/>
    </row>
    <row r="41832" spans="6:6" x14ac:dyDescent="0.3">
      <c r="F41832" s="193"/>
    </row>
    <row r="41833" spans="6:6" x14ac:dyDescent="0.3">
      <c r="F41833" s="193"/>
    </row>
    <row r="41834" spans="6:6" x14ac:dyDescent="0.3">
      <c r="F41834" s="193"/>
    </row>
    <row r="41835" spans="6:6" x14ac:dyDescent="0.3">
      <c r="F41835" s="193"/>
    </row>
    <row r="41836" spans="6:6" x14ac:dyDescent="0.3">
      <c r="F41836" s="193"/>
    </row>
    <row r="41837" spans="6:6" x14ac:dyDescent="0.3">
      <c r="F41837" s="193"/>
    </row>
    <row r="41838" spans="6:6" x14ac:dyDescent="0.3">
      <c r="F41838" s="193"/>
    </row>
    <row r="41839" spans="6:6" x14ac:dyDescent="0.3">
      <c r="F41839" s="193"/>
    </row>
    <row r="41840" spans="6:6" x14ac:dyDescent="0.3">
      <c r="F41840" s="193"/>
    </row>
    <row r="41841" spans="6:6" x14ac:dyDescent="0.3">
      <c r="F41841" s="193"/>
    </row>
    <row r="41842" spans="6:6" x14ac:dyDescent="0.3">
      <c r="F41842" s="193"/>
    </row>
    <row r="41843" spans="6:6" x14ac:dyDescent="0.3">
      <c r="F41843" s="193"/>
    </row>
    <row r="41844" spans="6:6" x14ac:dyDescent="0.3">
      <c r="F41844" s="193"/>
    </row>
    <row r="41845" spans="6:6" x14ac:dyDescent="0.3">
      <c r="F41845" s="193"/>
    </row>
    <row r="41846" spans="6:6" x14ac:dyDescent="0.3">
      <c r="F41846" s="193"/>
    </row>
    <row r="41847" spans="6:6" x14ac:dyDescent="0.3">
      <c r="F41847" s="193"/>
    </row>
    <row r="41848" spans="6:6" x14ac:dyDescent="0.3">
      <c r="F41848" s="193"/>
    </row>
    <row r="41849" spans="6:6" x14ac:dyDescent="0.3">
      <c r="F41849" s="193"/>
    </row>
    <row r="41850" spans="6:6" x14ac:dyDescent="0.3">
      <c r="F41850" s="193"/>
    </row>
    <row r="41851" spans="6:6" x14ac:dyDescent="0.3">
      <c r="F41851" s="193"/>
    </row>
    <row r="41852" spans="6:6" x14ac:dyDescent="0.3">
      <c r="F41852" s="193"/>
    </row>
    <row r="41853" spans="6:6" x14ac:dyDescent="0.3">
      <c r="F41853" s="193"/>
    </row>
    <row r="41854" spans="6:6" x14ac:dyDescent="0.3">
      <c r="F41854" s="193"/>
    </row>
    <row r="41855" spans="6:6" x14ac:dyDescent="0.3">
      <c r="F41855" s="193"/>
    </row>
    <row r="41856" spans="6:6" x14ac:dyDescent="0.3">
      <c r="F41856" s="193"/>
    </row>
    <row r="41857" spans="6:6" x14ac:dyDescent="0.3">
      <c r="F41857" s="193"/>
    </row>
    <row r="41858" spans="6:6" x14ac:dyDescent="0.3">
      <c r="F41858" s="193"/>
    </row>
    <row r="41859" spans="6:6" x14ac:dyDescent="0.3">
      <c r="F41859" s="193"/>
    </row>
    <row r="41860" spans="6:6" x14ac:dyDescent="0.3">
      <c r="F41860" s="193"/>
    </row>
    <row r="41861" spans="6:6" x14ac:dyDescent="0.3">
      <c r="F41861" s="193"/>
    </row>
    <row r="41862" spans="6:6" x14ac:dyDescent="0.3">
      <c r="F41862" s="193"/>
    </row>
    <row r="41863" spans="6:6" x14ac:dyDescent="0.3">
      <c r="F41863" s="193"/>
    </row>
    <row r="41864" spans="6:6" x14ac:dyDescent="0.3">
      <c r="F41864" s="193"/>
    </row>
    <row r="41865" spans="6:6" x14ac:dyDescent="0.3">
      <c r="F41865" s="193"/>
    </row>
    <row r="41866" spans="6:6" x14ac:dyDescent="0.3">
      <c r="F41866" s="193"/>
    </row>
    <row r="41867" spans="6:6" x14ac:dyDescent="0.3">
      <c r="F41867" s="193"/>
    </row>
    <row r="41868" spans="6:6" x14ac:dyDescent="0.3">
      <c r="F41868" s="193"/>
    </row>
    <row r="41869" spans="6:6" x14ac:dyDescent="0.3">
      <c r="F41869" s="193"/>
    </row>
    <row r="41870" spans="6:6" x14ac:dyDescent="0.3">
      <c r="F41870" s="193"/>
    </row>
    <row r="41871" spans="6:6" x14ac:dyDescent="0.3">
      <c r="F41871" s="193"/>
    </row>
    <row r="41872" spans="6:6" x14ac:dyDescent="0.3">
      <c r="F41872" s="193"/>
    </row>
    <row r="41873" spans="6:6" x14ac:dyDescent="0.3">
      <c r="F41873" s="193"/>
    </row>
    <row r="41874" spans="6:6" x14ac:dyDescent="0.3">
      <c r="F41874" s="193"/>
    </row>
    <row r="41875" spans="6:6" x14ac:dyDescent="0.3">
      <c r="F41875" s="193"/>
    </row>
    <row r="41876" spans="6:6" x14ac:dyDescent="0.3">
      <c r="F41876" s="193"/>
    </row>
    <row r="41877" spans="6:6" x14ac:dyDescent="0.3">
      <c r="F41877" s="193"/>
    </row>
    <row r="41878" spans="6:6" x14ac:dyDescent="0.3">
      <c r="F41878" s="193"/>
    </row>
    <row r="41879" spans="6:6" x14ac:dyDescent="0.3">
      <c r="F41879" s="193"/>
    </row>
    <row r="41880" spans="6:6" x14ac:dyDescent="0.3">
      <c r="F41880" s="193"/>
    </row>
    <row r="41881" spans="6:6" x14ac:dyDescent="0.3">
      <c r="F41881" s="193"/>
    </row>
    <row r="41882" spans="6:6" x14ac:dyDescent="0.3">
      <c r="F41882" s="193"/>
    </row>
    <row r="41883" spans="6:6" x14ac:dyDescent="0.3">
      <c r="F41883" s="193"/>
    </row>
    <row r="41884" spans="6:6" x14ac:dyDescent="0.3">
      <c r="F41884" s="193"/>
    </row>
    <row r="41885" spans="6:6" x14ac:dyDescent="0.3">
      <c r="F41885" s="193"/>
    </row>
    <row r="41886" spans="6:6" x14ac:dyDescent="0.3">
      <c r="F41886" s="193"/>
    </row>
    <row r="41887" spans="6:6" x14ac:dyDescent="0.3">
      <c r="F41887" s="193"/>
    </row>
    <row r="41888" spans="6:6" x14ac:dyDescent="0.3">
      <c r="F41888" s="193"/>
    </row>
    <row r="41889" spans="6:6" x14ac:dyDescent="0.3">
      <c r="F41889" s="193"/>
    </row>
    <row r="41890" spans="6:6" x14ac:dyDescent="0.3">
      <c r="F41890" s="193"/>
    </row>
    <row r="41891" spans="6:6" x14ac:dyDescent="0.3">
      <c r="F41891" s="193"/>
    </row>
    <row r="41892" spans="6:6" x14ac:dyDescent="0.3">
      <c r="F41892" s="193"/>
    </row>
    <row r="41893" spans="6:6" x14ac:dyDescent="0.3">
      <c r="F41893" s="193"/>
    </row>
    <row r="41894" spans="6:6" x14ac:dyDescent="0.3">
      <c r="F41894" s="193"/>
    </row>
    <row r="41895" spans="6:6" x14ac:dyDescent="0.3">
      <c r="F41895" s="193"/>
    </row>
    <row r="41896" spans="6:6" x14ac:dyDescent="0.3">
      <c r="F41896" s="193"/>
    </row>
    <row r="41897" spans="6:6" x14ac:dyDescent="0.3">
      <c r="F41897" s="193"/>
    </row>
    <row r="41898" spans="6:6" x14ac:dyDescent="0.3">
      <c r="F41898" s="193"/>
    </row>
    <row r="41899" spans="6:6" x14ac:dyDescent="0.3">
      <c r="F41899" s="193"/>
    </row>
    <row r="41900" spans="6:6" x14ac:dyDescent="0.3">
      <c r="F41900" s="193"/>
    </row>
    <row r="41901" spans="6:6" x14ac:dyDescent="0.3">
      <c r="F41901" s="193"/>
    </row>
    <row r="41902" spans="6:6" x14ac:dyDescent="0.3">
      <c r="F41902" s="193"/>
    </row>
    <row r="41903" spans="6:6" x14ac:dyDescent="0.3">
      <c r="F41903" s="193"/>
    </row>
    <row r="41904" spans="6:6" x14ac:dyDescent="0.3">
      <c r="F41904" s="193"/>
    </row>
    <row r="41905" spans="6:6" x14ac:dyDescent="0.3">
      <c r="F41905" s="193"/>
    </row>
    <row r="41906" spans="6:6" x14ac:dyDescent="0.3">
      <c r="F41906" s="193"/>
    </row>
    <row r="41907" spans="6:6" x14ac:dyDescent="0.3">
      <c r="F41907" s="193"/>
    </row>
    <row r="41908" spans="6:6" x14ac:dyDescent="0.3">
      <c r="F41908" s="193"/>
    </row>
    <row r="41909" spans="6:6" x14ac:dyDescent="0.3">
      <c r="F41909" s="193"/>
    </row>
    <row r="41910" spans="6:6" x14ac:dyDescent="0.3">
      <c r="F41910" s="193"/>
    </row>
    <row r="41911" spans="6:6" x14ac:dyDescent="0.3">
      <c r="F41911" s="193"/>
    </row>
    <row r="41912" spans="6:6" x14ac:dyDescent="0.3">
      <c r="F41912" s="193"/>
    </row>
    <row r="41913" spans="6:6" x14ac:dyDescent="0.3">
      <c r="F41913" s="193"/>
    </row>
    <row r="41914" spans="6:6" x14ac:dyDescent="0.3">
      <c r="F41914" s="193"/>
    </row>
    <row r="41915" spans="6:6" x14ac:dyDescent="0.3">
      <c r="F41915" s="193"/>
    </row>
    <row r="41916" spans="6:6" x14ac:dyDescent="0.3">
      <c r="F41916" s="193"/>
    </row>
    <row r="41917" spans="6:6" x14ac:dyDescent="0.3">
      <c r="F41917" s="193"/>
    </row>
    <row r="41918" spans="6:6" x14ac:dyDescent="0.3">
      <c r="F41918" s="193"/>
    </row>
    <row r="41919" spans="6:6" x14ac:dyDescent="0.3">
      <c r="F41919" s="193"/>
    </row>
    <row r="41920" spans="6:6" x14ac:dyDescent="0.3">
      <c r="F41920" s="193"/>
    </row>
    <row r="41921" spans="6:6" x14ac:dyDescent="0.3">
      <c r="F41921" s="193"/>
    </row>
    <row r="41922" spans="6:6" x14ac:dyDescent="0.3">
      <c r="F41922" s="193"/>
    </row>
    <row r="41923" spans="6:6" x14ac:dyDescent="0.3">
      <c r="F41923" s="193"/>
    </row>
    <row r="41924" spans="6:6" x14ac:dyDescent="0.3">
      <c r="F41924" s="193"/>
    </row>
    <row r="41925" spans="6:6" x14ac:dyDescent="0.3">
      <c r="F41925" s="193"/>
    </row>
    <row r="41926" spans="6:6" x14ac:dyDescent="0.3">
      <c r="F41926" s="193"/>
    </row>
    <row r="41927" spans="6:6" x14ac:dyDescent="0.3">
      <c r="F41927" s="193"/>
    </row>
    <row r="41928" spans="6:6" x14ac:dyDescent="0.3">
      <c r="F41928" s="193"/>
    </row>
    <row r="41929" spans="6:6" x14ac:dyDescent="0.3">
      <c r="F41929" s="193"/>
    </row>
    <row r="41930" spans="6:6" x14ac:dyDescent="0.3">
      <c r="F41930" s="193"/>
    </row>
    <row r="41931" spans="6:6" x14ac:dyDescent="0.3">
      <c r="F41931" s="193"/>
    </row>
    <row r="41932" spans="6:6" x14ac:dyDescent="0.3">
      <c r="F41932" s="193"/>
    </row>
    <row r="41933" spans="6:6" x14ac:dyDescent="0.3">
      <c r="F41933" s="193"/>
    </row>
    <row r="41934" spans="6:6" x14ac:dyDescent="0.3">
      <c r="F41934" s="193"/>
    </row>
    <row r="41935" spans="6:6" x14ac:dyDescent="0.3">
      <c r="F41935" s="193"/>
    </row>
    <row r="41936" spans="6:6" x14ac:dyDescent="0.3">
      <c r="F41936" s="193"/>
    </row>
    <row r="41937" spans="6:6" x14ac:dyDescent="0.3">
      <c r="F41937" s="193"/>
    </row>
    <row r="41938" spans="6:6" x14ac:dyDescent="0.3">
      <c r="F41938" s="193"/>
    </row>
    <row r="41939" spans="6:6" x14ac:dyDescent="0.3">
      <c r="F41939" s="193"/>
    </row>
    <row r="41940" spans="6:6" x14ac:dyDescent="0.3">
      <c r="F41940" s="193"/>
    </row>
    <row r="41941" spans="6:6" x14ac:dyDescent="0.3">
      <c r="F41941" s="193"/>
    </row>
    <row r="41942" spans="6:6" x14ac:dyDescent="0.3">
      <c r="F41942" s="193"/>
    </row>
    <row r="41943" spans="6:6" x14ac:dyDescent="0.3">
      <c r="F41943" s="193"/>
    </row>
    <row r="41944" spans="6:6" x14ac:dyDescent="0.3">
      <c r="F41944" s="193"/>
    </row>
    <row r="41945" spans="6:6" x14ac:dyDescent="0.3">
      <c r="F41945" s="193"/>
    </row>
    <row r="41946" spans="6:6" x14ac:dyDescent="0.3">
      <c r="F41946" s="193"/>
    </row>
    <row r="41947" spans="6:6" x14ac:dyDescent="0.3">
      <c r="F41947" s="193"/>
    </row>
    <row r="41948" spans="6:6" x14ac:dyDescent="0.3">
      <c r="F41948" s="193"/>
    </row>
    <row r="41949" spans="6:6" x14ac:dyDescent="0.3">
      <c r="F41949" s="193"/>
    </row>
    <row r="41950" spans="6:6" x14ac:dyDescent="0.3">
      <c r="F41950" s="193"/>
    </row>
    <row r="41951" spans="6:6" x14ac:dyDescent="0.3">
      <c r="F41951" s="193"/>
    </row>
    <row r="41952" spans="6:6" x14ac:dyDescent="0.3">
      <c r="F41952" s="193"/>
    </row>
    <row r="41953" spans="6:6" x14ac:dyDescent="0.3">
      <c r="F41953" s="193"/>
    </row>
    <row r="41954" spans="6:6" x14ac:dyDescent="0.3">
      <c r="F41954" s="193"/>
    </row>
    <row r="41955" spans="6:6" x14ac:dyDescent="0.3">
      <c r="F41955" s="193"/>
    </row>
    <row r="41956" spans="6:6" x14ac:dyDescent="0.3">
      <c r="F41956" s="193"/>
    </row>
    <row r="41957" spans="6:6" x14ac:dyDescent="0.3">
      <c r="F41957" s="193"/>
    </row>
    <row r="41958" spans="6:6" x14ac:dyDescent="0.3">
      <c r="F41958" s="193"/>
    </row>
    <row r="41959" spans="6:6" x14ac:dyDescent="0.3">
      <c r="F41959" s="193"/>
    </row>
    <row r="41960" spans="6:6" x14ac:dyDescent="0.3">
      <c r="F41960" s="193"/>
    </row>
    <row r="41961" spans="6:6" x14ac:dyDescent="0.3">
      <c r="F41961" s="193"/>
    </row>
    <row r="41962" spans="6:6" x14ac:dyDescent="0.3">
      <c r="F41962" s="193"/>
    </row>
    <row r="41963" spans="6:6" x14ac:dyDescent="0.3">
      <c r="F41963" s="193"/>
    </row>
    <row r="41964" spans="6:6" x14ac:dyDescent="0.3">
      <c r="F41964" s="193"/>
    </row>
    <row r="41965" spans="6:6" x14ac:dyDescent="0.3">
      <c r="F41965" s="193"/>
    </row>
    <row r="41966" spans="6:6" x14ac:dyDescent="0.3">
      <c r="F41966" s="193"/>
    </row>
    <row r="41967" spans="6:6" x14ac:dyDescent="0.3">
      <c r="F41967" s="193"/>
    </row>
    <row r="41968" spans="6:6" x14ac:dyDescent="0.3">
      <c r="F41968" s="193"/>
    </row>
    <row r="41969" spans="6:6" x14ac:dyDescent="0.3">
      <c r="F41969" s="193"/>
    </row>
    <row r="41970" spans="6:6" x14ac:dyDescent="0.3">
      <c r="F41970" s="193"/>
    </row>
    <row r="41971" spans="6:6" x14ac:dyDescent="0.3">
      <c r="F41971" s="193"/>
    </row>
    <row r="41972" spans="6:6" x14ac:dyDescent="0.3">
      <c r="F41972" s="193"/>
    </row>
    <row r="41973" spans="6:6" x14ac:dyDescent="0.3">
      <c r="F41973" s="193"/>
    </row>
    <row r="41974" spans="6:6" x14ac:dyDescent="0.3">
      <c r="F41974" s="193"/>
    </row>
    <row r="41975" spans="6:6" x14ac:dyDescent="0.3">
      <c r="F41975" s="193"/>
    </row>
    <row r="41976" spans="6:6" x14ac:dyDescent="0.3">
      <c r="F41976" s="193"/>
    </row>
    <row r="41977" spans="6:6" x14ac:dyDescent="0.3">
      <c r="F41977" s="193"/>
    </row>
    <row r="41978" spans="6:6" x14ac:dyDescent="0.3">
      <c r="F41978" s="193"/>
    </row>
    <row r="41979" spans="6:6" x14ac:dyDescent="0.3">
      <c r="F41979" s="193"/>
    </row>
    <row r="41980" spans="6:6" x14ac:dyDescent="0.3">
      <c r="F41980" s="193"/>
    </row>
    <row r="41981" spans="6:6" x14ac:dyDescent="0.3">
      <c r="F41981" s="193"/>
    </row>
    <row r="41982" spans="6:6" x14ac:dyDescent="0.3">
      <c r="F41982" s="193"/>
    </row>
    <row r="41983" spans="6:6" x14ac:dyDescent="0.3">
      <c r="F41983" s="193"/>
    </row>
    <row r="41984" spans="6:6" x14ac:dyDescent="0.3">
      <c r="F41984" s="193"/>
    </row>
    <row r="41985" spans="6:6" x14ac:dyDescent="0.3">
      <c r="F41985" s="193"/>
    </row>
    <row r="41986" spans="6:6" x14ac:dyDescent="0.3">
      <c r="F41986" s="193"/>
    </row>
    <row r="41987" spans="6:6" x14ac:dyDescent="0.3">
      <c r="F41987" s="193"/>
    </row>
    <row r="41988" spans="6:6" x14ac:dyDescent="0.3">
      <c r="F41988" s="193"/>
    </row>
    <row r="41989" spans="6:6" x14ac:dyDescent="0.3">
      <c r="F41989" s="193"/>
    </row>
    <row r="41990" spans="6:6" x14ac:dyDescent="0.3">
      <c r="F41990" s="193"/>
    </row>
    <row r="41991" spans="6:6" x14ac:dyDescent="0.3">
      <c r="F41991" s="193"/>
    </row>
    <row r="41992" spans="6:6" x14ac:dyDescent="0.3">
      <c r="F41992" s="193"/>
    </row>
    <row r="41993" spans="6:6" x14ac:dyDescent="0.3">
      <c r="F41993" s="193"/>
    </row>
    <row r="41994" spans="6:6" x14ac:dyDescent="0.3">
      <c r="F41994" s="193"/>
    </row>
    <row r="41995" spans="6:6" x14ac:dyDescent="0.3">
      <c r="F41995" s="193"/>
    </row>
    <row r="41996" spans="6:6" x14ac:dyDescent="0.3">
      <c r="F41996" s="193"/>
    </row>
    <row r="41997" spans="6:6" x14ac:dyDescent="0.3">
      <c r="F41997" s="193"/>
    </row>
    <row r="41998" spans="6:6" x14ac:dyDescent="0.3">
      <c r="F41998" s="193"/>
    </row>
    <row r="41999" spans="6:6" x14ac:dyDescent="0.3">
      <c r="F41999" s="193"/>
    </row>
    <row r="42000" spans="6:6" x14ac:dyDescent="0.3">
      <c r="F42000" s="193"/>
    </row>
    <row r="42001" spans="6:6" x14ac:dyDescent="0.3">
      <c r="F42001" s="193"/>
    </row>
    <row r="42002" spans="6:6" x14ac:dyDescent="0.3">
      <c r="F42002" s="193"/>
    </row>
    <row r="42003" spans="6:6" x14ac:dyDescent="0.3">
      <c r="F42003" s="193"/>
    </row>
    <row r="42004" spans="6:6" x14ac:dyDescent="0.3">
      <c r="F42004" s="193"/>
    </row>
    <row r="42005" spans="6:6" x14ac:dyDescent="0.3">
      <c r="F42005" s="193"/>
    </row>
    <row r="42006" spans="6:6" x14ac:dyDescent="0.3">
      <c r="F42006" s="193"/>
    </row>
    <row r="42007" spans="6:6" x14ac:dyDescent="0.3">
      <c r="F42007" s="193"/>
    </row>
    <row r="42008" spans="6:6" x14ac:dyDescent="0.3">
      <c r="F42008" s="193"/>
    </row>
    <row r="42009" spans="6:6" x14ac:dyDescent="0.3">
      <c r="F42009" s="193"/>
    </row>
    <row r="42010" spans="6:6" x14ac:dyDescent="0.3">
      <c r="F42010" s="193"/>
    </row>
    <row r="42011" spans="6:6" x14ac:dyDescent="0.3">
      <c r="F42011" s="193"/>
    </row>
    <row r="42012" spans="6:6" x14ac:dyDescent="0.3">
      <c r="F42012" s="193"/>
    </row>
    <row r="42013" spans="6:6" x14ac:dyDescent="0.3">
      <c r="F42013" s="193"/>
    </row>
    <row r="42014" spans="6:6" x14ac:dyDescent="0.3">
      <c r="F42014" s="193"/>
    </row>
    <row r="42015" spans="6:6" x14ac:dyDescent="0.3">
      <c r="F42015" s="193"/>
    </row>
    <row r="42016" spans="6:6" x14ac:dyDescent="0.3">
      <c r="F42016" s="193"/>
    </row>
    <row r="42017" spans="6:6" x14ac:dyDescent="0.3">
      <c r="F42017" s="193"/>
    </row>
    <row r="42018" spans="6:6" x14ac:dyDescent="0.3">
      <c r="F42018" s="193"/>
    </row>
    <row r="42019" spans="6:6" x14ac:dyDescent="0.3">
      <c r="F42019" s="193"/>
    </row>
    <row r="42020" spans="6:6" x14ac:dyDescent="0.3">
      <c r="F42020" s="193"/>
    </row>
    <row r="42021" spans="6:6" x14ac:dyDescent="0.3">
      <c r="F42021" s="193"/>
    </row>
    <row r="42022" spans="6:6" x14ac:dyDescent="0.3">
      <c r="F42022" s="193"/>
    </row>
    <row r="42023" spans="6:6" x14ac:dyDescent="0.3">
      <c r="F42023" s="193"/>
    </row>
    <row r="42024" spans="6:6" x14ac:dyDescent="0.3">
      <c r="F42024" s="193"/>
    </row>
    <row r="42025" spans="6:6" x14ac:dyDescent="0.3">
      <c r="F42025" s="193"/>
    </row>
    <row r="42026" spans="6:6" x14ac:dyDescent="0.3">
      <c r="F42026" s="193"/>
    </row>
    <row r="42027" spans="6:6" x14ac:dyDescent="0.3">
      <c r="F42027" s="193"/>
    </row>
    <row r="42028" spans="6:6" x14ac:dyDescent="0.3">
      <c r="F42028" s="193"/>
    </row>
    <row r="42029" spans="6:6" x14ac:dyDescent="0.3">
      <c r="F42029" s="193"/>
    </row>
    <row r="42030" spans="6:6" x14ac:dyDescent="0.3">
      <c r="F42030" s="193"/>
    </row>
    <row r="42031" spans="6:6" x14ac:dyDescent="0.3">
      <c r="F42031" s="193"/>
    </row>
    <row r="42032" spans="6:6" x14ac:dyDescent="0.3">
      <c r="F42032" s="193"/>
    </row>
    <row r="42033" spans="6:6" x14ac:dyDescent="0.3">
      <c r="F42033" s="193"/>
    </row>
    <row r="42034" spans="6:6" x14ac:dyDescent="0.3">
      <c r="F42034" s="193"/>
    </row>
    <row r="42035" spans="6:6" x14ac:dyDescent="0.3">
      <c r="F42035" s="193"/>
    </row>
    <row r="42036" spans="6:6" x14ac:dyDescent="0.3">
      <c r="F42036" s="193"/>
    </row>
    <row r="42037" spans="6:6" x14ac:dyDescent="0.3">
      <c r="F42037" s="193"/>
    </row>
    <row r="42038" spans="6:6" x14ac:dyDescent="0.3">
      <c r="F42038" s="193"/>
    </row>
    <row r="42039" spans="6:6" x14ac:dyDescent="0.3">
      <c r="F42039" s="193"/>
    </row>
    <row r="42040" spans="6:6" x14ac:dyDescent="0.3">
      <c r="F42040" s="193"/>
    </row>
    <row r="42041" spans="6:6" x14ac:dyDescent="0.3">
      <c r="F42041" s="193"/>
    </row>
    <row r="42042" spans="6:6" x14ac:dyDescent="0.3">
      <c r="F42042" s="193"/>
    </row>
    <row r="42043" spans="6:6" x14ac:dyDescent="0.3">
      <c r="F42043" s="193"/>
    </row>
    <row r="42044" spans="6:6" x14ac:dyDescent="0.3">
      <c r="F42044" s="193"/>
    </row>
    <row r="42045" spans="6:6" x14ac:dyDescent="0.3">
      <c r="F42045" s="193"/>
    </row>
    <row r="42046" spans="6:6" x14ac:dyDescent="0.3">
      <c r="F42046" s="193"/>
    </row>
    <row r="42047" spans="6:6" x14ac:dyDescent="0.3">
      <c r="F42047" s="193"/>
    </row>
    <row r="42048" spans="6:6" x14ac:dyDescent="0.3">
      <c r="F42048" s="193"/>
    </row>
    <row r="42049" spans="6:6" x14ac:dyDescent="0.3">
      <c r="F42049" s="193"/>
    </row>
    <row r="42050" spans="6:6" x14ac:dyDescent="0.3">
      <c r="F42050" s="193"/>
    </row>
    <row r="42051" spans="6:6" x14ac:dyDescent="0.3">
      <c r="F42051" s="193"/>
    </row>
    <row r="42052" spans="6:6" x14ac:dyDescent="0.3">
      <c r="F42052" s="193"/>
    </row>
    <row r="42053" spans="6:6" x14ac:dyDescent="0.3">
      <c r="F42053" s="193"/>
    </row>
    <row r="42054" spans="6:6" x14ac:dyDescent="0.3">
      <c r="F42054" s="193"/>
    </row>
    <row r="42055" spans="6:6" x14ac:dyDescent="0.3">
      <c r="F42055" s="193"/>
    </row>
    <row r="42056" spans="6:6" x14ac:dyDescent="0.3">
      <c r="F42056" s="193"/>
    </row>
    <row r="42057" spans="6:6" x14ac:dyDescent="0.3">
      <c r="F42057" s="193"/>
    </row>
    <row r="42058" spans="6:6" x14ac:dyDescent="0.3">
      <c r="F42058" s="193"/>
    </row>
    <row r="42059" spans="6:6" x14ac:dyDescent="0.3">
      <c r="F42059" s="193"/>
    </row>
    <row r="42060" spans="6:6" x14ac:dyDescent="0.3">
      <c r="F42060" s="193"/>
    </row>
    <row r="42061" spans="6:6" x14ac:dyDescent="0.3">
      <c r="F42061" s="193"/>
    </row>
    <row r="42062" spans="6:6" x14ac:dyDescent="0.3">
      <c r="F42062" s="193"/>
    </row>
    <row r="42063" spans="6:6" x14ac:dyDescent="0.3">
      <c r="F42063" s="193"/>
    </row>
    <row r="42064" spans="6:6" x14ac:dyDescent="0.3">
      <c r="F42064" s="193"/>
    </row>
    <row r="42065" spans="6:6" x14ac:dyDescent="0.3">
      <c r="F42065" s="193"/>
    </row>
    <row r="42066" spans="6:6" x14ac:dyDescent="0.3">
      <c r="F42066" s="193"/>
    </row>
    <row r="42067" spans="6:6" x14ac:dyDescent="0.3">
      <c r="F42067" s="193"/>
    </row>
    <row r="42068" spans="6:6" x14ac:dyDescent="0.3">
      <c r="F42068" s="193"/>
    </row>
    <row r="42069" spans="6:6" x14ac:dyDescent="0.3">
      <c r="F42069" s="193"/>
    </row>
    <row r="42070" spans="6:6" x14ac:dyDescent="0.3">
      <c r="F42070" s="193"/>
    </row>
    <row r="42071" spans="6:6" x14ac:dyDescent="0.3">
      <c r="F42071" s="193"/>
    </row>
    <row r="42072" spans="6:6" x14ac:dyDescent="0.3">
      <c r="F42072" s="193"/>
    </row>
    <row r="42073" spans="6:6" x14ac:dyDescent="0.3">
      <c r="F42073" s="193"/>
    </row>
    <row r="42074" spans="6:6" x14ac:dyDescent="0.3">
      <c r="F42074" s="193"/>
    </row>
    <row r="42075" spans="6:6" x14ac:dyDescent="0.3">
      <c r="F42075" s="193"/>
    </row>
    <row r="42076" spans="6:6" x14ac:dyDescent="0.3">
      <c r="F42076" s="193"/>
    </row>
    <row r="42077" spans="6:6" x14ac:dyDescent="0.3">
      <c r="F42077" s="193"/>
    </row>
    <row r="42078" spans="6:6" x14ac:dyDescent="0.3">
      <c r="F42078" s="193"/>
    </row>
    <row r="42079" spans="6:6" x14ac:dyDescent="0.3">
      <c r="F42079" s="193"/>
    </row>
    <row r="42080" spans="6:6" x14ac:dyDescent="0.3">
      <c r="F42080" s="193"/>
    </row>
    <row r="42081" spans="6:6" x14ac:dyDescent="0.3">
      <c r="F42081" s="193"/>
    </row>
    <row r="42082" spans="6:6" x14ac:dyDescent="0.3">
      <c r="F42082" s="193"/>
    </row>
    <row r="42083" spans="6:6" x14ac:dyDescent="0.3">
      <c r="F42083" s="193"/>
    </row>
    <row r="42084" spans="6:6" x14ac:dyDescent="0.3">
      <c r="F42084" s="193"/>
    </row>
    <row r="42085" spans="6:6" x14ac:dyDescent="0.3">
      <c r="F42085" s="193"/>
    </row>
    <row r="42086" spans="6:6" x14ac:dyDescent="0.3">
      <c r="F42086" s="193"/>
    </row>
    <row r="42087" spans="6:6" x14ac:dyDescent="0.3">
      <c r="F42087" s="193"/>
    </row>
    <row r="42088" spans="6:6" x14ac:dyDescent="0.3">
      <c r="F42088" s="193"/>
    </row>
    <row r="42089" spans="6:6" x14ac:dyDescent="0.3">
      <c r="F42089" s="193"/>
    </row>
    <row r="42090" spans="6:6" x14ac:dyDescent="0.3">
      <c r="F42090" s="193"/>
    </row>
    <row r="42091" spans="6:6" x14ac:dyDescent="0.3">
      <c r="F42091" s="193"/>
    </row>
    <row r="42092" spans="6:6" x14ac:dyDescent="0.3">
      <c r="F42092" s="193"/>
    </row>
    <row r="42093" spans="6:6" x14ac:dyDescent="0.3">
      <c r="F42093" s="193"/>
    </row>
    <row r="42094" spans="6:6" x14ac:dyDescent="0.3">
      <c r="F42094" s="193"/>
    </row>
    <row r="42095" spans="6:6" x14ac:dyDescent="0.3">
      <c r="F42095" s="193"/>
    </row>
    <row r="42096" spans="6:6" x14ac:dyDescent="0.3">
      <c r="F42096" s="193"/>
    </row>
    <row r="42097" spans="6:6" x14ac:dyDescent="0.3">
      <c r="F42097" s="193"/>
    </row>
    <row r="42098" spans="6:6" x14ac:dyDescent="0.3">
      <c r="F42098" s="193"/>
    </row>
    <row r="42099" spans="6:6" x14ac:dyDescent="0.3">
      <c r="F42099" s="193"/>
    </row>
    <row r="42100" spans="6:6" x14ac:dyDescent="0.3">
      <c r="F42100" s="193"/>
    </row>
    <row r="42101" spans="6:6" x14ac:dyDescent="0.3">
      <c r="F42101" s="193"/>
    </row>
    <row r="42102" spans="6:6" x14ac:dyDescent="0.3">
      <c r="F42102" s="193"/>
    </row>
    <row r="42103" spans="6:6" x14ac:dyDescent="0.3">
      <c r="F42103" s="193"/>
    </row>
    <row r="42104" spans="6:6" x14ac:dyDescent="0.3">
      <c r="F42104" s="193"/>
    </row>
    <row r="42105" spans="6:6" x14ac:dyDescent="0.3">
      <c r="F42105" s="193"/>
    </row>
    <row r="42106" spans="6:6" x14ac:dyDescent="0.3">
      <c r="F42106" s="193"/>
    </row>
    <row r="42107" spans="6:6" x14ac:dyDescent="0.3">
      <c r="F42107" s="193"/>
    </row>
    <row r="42108" spans="6:6" x14ac:dyDescent="0.3">
      <c r="F42108" s="193"/>
    </row>
    <row r="42109" spans="6:6" x14ac:dyDescent="0.3">
      <c r="F42109" s="193"/>
    </row>
    <row r="42110" spans="6:6" x14ac:dyDescent="0.3">
      <c r="F42110" s="193"/>
    </row>
    <row r="42111" spans="6:6" x14ac:dyDescent="0.3">
      <c r="F42111" s="193"/>
    </row>
    <row r="42112" spans="6:6" x14ac:dyDescent="0.3">
      <c r="F42112" s="193"/>
    </row>
    <row r="42113" spans="6:6" x14ac:dyDescent="0.3">
      <c r="F42113" s="193"/>
    </row>
    <row r="42114" spans="6:6" x14ac:dyDescent="0.3">
      <c r="F42114" s="193"/>
    </row>
    <row r="42115" spans="6:6" x14ac:dyDescent="0.3">
      <c r="F42115" s="193"/>
    </row>
    <row r="42116" spans="6:6" x14ac:dyDescent="0.3">
      <c r="F42116" s="193"/>
    </row>
    <row r="42117" spans="6:6" x14ac:dyDescent="0.3">
      <c r="F42117" s="193"/>
    </row>
    <row r="42118" spans="6:6" x14ac:dyDescent="0.3">
      <c r="F42118" s="193"/>
    </row>
    <row r="42119" spans="6:6" x14ac:dyDescent="0.3">
      <c r="F42119" s="193"/>
    </row>
    <row r="42120" spans="6:6" x14ac:dyDescent="0.3">
      <c r="F42120" s="193"/>
    </row>
    <row r="42121" spans="6:6" x14ac:dyDescent="0.3">
      <c r="F42121" s="193"/>
    </row>
    <row r="42122" spans="6:6" x14ac:dyDescent="0.3">
      <c r="F42122" s="193"/>
    </row>
    <row r="42123" spans="6:6" x14ac:dyDescent="0.3">
      <c r="F42123" s="193"/>
    </row>
    <row r="42124" spans="6:6" x14ac:dyDescent="0.3">
      <c r="F42124" s="193"/>
    </row>
    <row r="42125" spans="6:6" x14ac:dyDescent="0.3">
      <c r="F42125" s="193"/>
    </row>
    <row r="42126" spans="6:6" x14ac:dyDescent="0.3">
      <c r="F42126" s="193"/>
    </row>
    <row r="42127" spans="6:6" x14ac:dyDescent="0.3">
      <c r="F42127" s="193"/>
    </row>
    <row r="42128" spans="6:6" x14ac:dyDescent="0.3">
      <c r="F42128" s="193"/>
    </row>
    <row r="42129" spans="6:6" x14ac:dyDescent="0.3">
      <c r="F42129" s="193"/>
    </row>
    <row r="42130" spans="6:6" x14ac:dyDescent="0.3">
      <c r="F42130" s="193"/>
    </row>
    <row r="42131" spans="6:6" x14ac:dyDescent="0.3">
      <c r="F42131" s="193"/>
    </row>
    <row r="42132" spans="6:6" x14ac:dyDescent="0.3">
      <c r="F42132" s="193"/>
    </row>
    <row r="42133" spans="6:6" x14ac:dyDescent="0.3">
      <c r="F42133" s="193"/>
    </row>
    <row r="42134" spans="6:6" x14ac:dyDescent="0.3">
      <c r="F42134" s="193"/>
    </row>
    <row r="42135" spans="6:6" x14ac:dyDescent="0.3">
      <c r="F42135" s="193"/>
    </row>
    <row r="42136" spans="6:6" x14ac:dyDescent="0.3">
      <c r="F42136" s="193"/>
    </row>
    <row r="42137" spans="6:6" x14ac:dyDescent="0.3">
      <c r="F42137" s="193"/>
    </row>
    <row r="42138" spans="6:6" x14ac:dyDescent="0.3">
      <c r="F42138" s="193"/>
    </row>
    <row r="42139" spans="6:6" x14ac:dyDescent="0.3">
      <c r="F42139" s="193"/>
    </row>
    <row r="42140" spans="6:6" x14ac:dyDescent="0.3">
      <c r="F42140" s="193"/>
    </row>
    <row r="42141" spans="6:6" x14ac:dyDescent="0.3">
      <c r="F42141" s="193"/>
    </row>
    <row r="42142" spans="6:6" x14ac:dyDescent="0.3">
      <c r="F42142" s="193"/>
    </row>
    <row r="42143" spans="6:6" x14ac:dyDescent="0.3">
      <c r="F42143" s="193"/>
    </row>
    <row r="42144" spans="6:6" x14ac:dyDescent="0.3">
      <c r="F42144" s="193"/>
    </row>
    <row r="42145" spans="6:6" x14ac:dyDescent="0.3">
      <c r="F42145" s="193"/>
    </row>
    <row r="42146" spans="6:6" x14ac:dyDescent="0.3">
      <c r="F42146" s="193"/>
    </row>
    <row r="42147" spans="6:6" x14ac:dyDescent="0.3">
      <c r="F42147" s="193"/>
    </row>
    <row r="42148" spans="6:6" x14ac:dyDescent="0.3">
      <c r="F42148" s="193"/>
    </row>
    <row r="42149" spans="6:6" x14ac:dyDescent="0.3">
      <c r="F42149" s="193"/>
    </row>
    <row r="42150" spans="6:6" x14ac:dyDescent="0.3">
      <c r="F42150" s="193"/>
    </row>
    <row r="42151" spans="6:6" x14ac:dyDescent="0.3">
      <c r="F42151" s="193"/>
    </row>
    <row r="42152" spans="6:6" x14ac:dyDescent="0.3">
      <c r="F42152" s="193"/>
    </row>
    <row r="42153" spans="6:6" x14ac:dyDescent="0.3">
      <c r="F42153" s="193"/>
    </row>
    <row r="42154" spans="6:6" x14ac:dyDescent="0.3">
      <c r="F42154" s="193"/>
    </row>
    <row r="42155" spans="6:6" x14ac:dyDescent="0.3">
      <c r="F42155" s="193"/>
    </row>
    <row r="42156" spans="6:6" x14ac:dyDescent="0.3">
      <c r="F42156" s="193"/>
    </row>
    <row r="42157" spans="6:6" x14ac:dyDescent="0.3">
      <c r="F42157" s="193"/>
    </row>
    <row r="42158" spans="6:6" x14ac:dyDescent="0.3">
      <c r="F42158" s="193"/>
    </row>
    <row r="42159" spans="6:6" x14ac:dyDescent="0.3">
      <c r="F42159" s="193"/>
    </row>
    <row r="42160" spans="6:6" x14ac:dyDescent="0.3">
      <c r="F42160" s="193"/>
    </row>
    <row r="42161" spans="6:6" x14ac:dyDescent="0.3">
      <c r="F42161" s="193"/>
    </row>
    <row r="42162" spans="6:6" x14ac:dyDescent="0.3">
      <c r="F42162" s="193"/>
    </row>
    <row r="42163" spans="6:6" x14ac:dyDescent="0.3">
      <c r="F42163" s="193"/>
    </row>
    <row r="42164" spans="6:6" x14ac:dyDescent="0.3">
      <c r="F42164" s="193"/>
    </row>
    <row r="42165" spans="6:6" x14ac:dyDescent="0.3">
      <c r="F42165" s="193"/>
    </row>
    <row r="42166" spans="6:6" x14ac:dyDescent="0.3">
      <c r="F42166" s="193"/>
    </row>
    <row r="42167" spans="6:6" x14ac:dyDescent="0.3">
      <c r="F42167" s="193"/>
    </row>
    <row r="42168" spans="6:6" x14ac:dyDescent="0.3">
      <c r="F42168" s="193"/>
    </row>
    <row r="42169" spans="6:6" x14ac:dyDescent="0.3">
      <c r="F42169" s="193"/>
    </row>
    <row r="42170" spans="6:6" x14ac:dyDescent="0.3">
      <c r="F42170" s="193"/>
    </row>
    <row r="42171" spans="6:6" x14ac:dyDescent="0.3">
      <c r="F42171" s="193"/>
    </row>
    <row r="42172" spans="6:6" x14ac:dyDescent="0.3">
      <c r="F42172" s="193"/>
    </row>
    <row r="42173" spans="6:6" x14ac:dyDescent="0.3">
      <c r="F42173" s="193"/>
    </row>
    <row r="42174" spans="6:6" x14ac:dyDescent="0.3">
      <c r="F42174" s="193"/>
    </row>
    <row r="42175" spans="6:6" x14ac:dyDescent="0.3">
      <c r="F42175" s="193"/>
    </row>
    <row r="42176" spans="6:6" x14ac:dyDescent="0.3">
      <c r="F42176" s="193"/>
    </row>
    <row r="42177" spans="6:6" x14ac:dyDescent="0.3">
      <c r="F42177" s="193"/>
    </row>
    <row r="42178" spans="6:6" x14ac:dyDescent="0.3">
      <c r="F42178" s="193"/>
    </row>
    <row r="42179" spans="6:6" x14ac:dyDescent="0.3">
      <c r="F42179" s="193"/>
    </row>
    <row r="42180" spans="6:6" x14ac:dyDescent="0.3">
      <c r="F42180" s="193"/>
    </row>
    <row r="42181" spans="6:6" x14ac:dyDescent="0.3">
      <c r="F42181" s="193"/>
    </row>
    <row r="42182" spans="6:6" x14ac:dyDescent="0.3">
      <c r="F42182" s="193"/>
    </row>
    <row r="42183" spans="6:6" x14ac:dyDescent="0.3">
      <c r="F42183" s="193"/>
    </row>
    <row r="42184" spans="6:6" x14ac:dyDescent="0.3">
      <c r="F42184" s="193"/>
    </row>
    <row r="42185" spans="6:6" x14ac:dyDescent="0.3">
      <c r="F42185" s="193"/>
    </row>
    <row r="42186" spans="6:6" x14ac:dyDescent="0.3">
      <c r="F42186" s="193"/>
    </row>
    <row r="42187" spans="6:6" x14ac:dyDescent="0.3">
      <c r="F42187" s="193"/>
    </row>
    <row r="42188" spans="6:6" x14ac:dyDescent="0.3">
      <c r="F42188" s="193"/>
    </row>
    <row r="42189" spans="6:6" x14ac:dyDescent="0.3">
      <c r="F42189" s="193"/>
    </row>
    <row r="42190" spans="6:6" x14ac:dyDescent="0.3">
      <c r="F42190" s="193"/>
    </row>
    <row r="42191" spans="6:6" x14ac:dyDescent="0.3">
      <c r="F42191" s="193"/>
    </row>
    <row r="42192" spans="6:6" x14ac:dyDescent="0.3">
      <c r="F42192" s="193"/>
    </row>
    <row r="42193" spans="6:6" x14ac:dyDescent="0.3">
      <c r="F42193" s="193"/>
    </row>
    <row r="42194" spans="6:6" x14ac:dyDescent="0.3">
      <c r="F42194" s="193"/>
    </row>
    <row r="42195" spans="6:6" x14ac:dyDescent="0.3">
      <c r="F42195" s="193"/>
    </row>
    <row r="42196" spans="6:6" x14ac:dyDescent="0.3">
      <c r="F42196" s="193"/>
    </row>
    <row r="42197" spans="6:6" x14ac:dyDescent="0.3">
      <c r="F42197" s="193"/>
    </row>
    <row r="42198" spans="6:6" x14ac:dyDescent="0.3">
      <c r="F42198" s="193"/>
    </row>
    <row r="42199" spans="6:6" x14ac:dyDescent="0.3">
      <c r="F42199" s="193"/>
    </row>
    <row r="42200" spans="6:6" x14ac:dyDescent="0.3">
      <c r="F42200" s="193"/>
    </row>
    <row r="42201" spans="6:6" x14ac:dyDescent="0.3">
      <c r="F42201" s="193"/>
    </row>
    <row r="42202" spans="6:6" x14ac:dyDescent="0.3">
      <c r="F42202" s="193"/>
    </row>
    <row r="42203" spans="6:6" x14ac:dyDescent="0.3">
      <c r="F42203" s="193"/>
    </row>
    <row r="42204" spans="6:6" x14ac:dyDescent="0.3">
      <c r="F42204" s="193"/>
    </row>
    <row r="42205" spans="6:6" x14ac:dyDescent="0.3">
      <c r="F42205" s="193"/>
    </row>
    <row r="42206" spans="6:6" x14ac:dyDescent="0.3">
      <c r="F42206" s="193"/>
    </row>
    <row r="42207" spans="6:6" x14ac:dyDescent="0.3">
      <c r="F42207" s="193"/>
    </row>
    <row r="42208" spans="6:6" x14ac:dyDescent="0.3">
      <c r="F42208" s="193"/>
    </row>
    <row r="42209" spans="6:6" x14ac:dyDescent="0.3">
      <c r="F42209" s="193"/>
    </row>
    <row r="42210" spans="6:6" x14ac:dyDescent="0.3">
      <c r="F42210" s="193"/>
    </row>
    <row r="42211" spans="6:6" x14ac:dyDescent="0.3">
      <c r="F42211" s="193"/>
    </row>
    <row r="42212" spans="6:6" x14ac:dyDescent="0.3">
      <c r="F42212" s="193"/>
    </row>
    <row r="42213" spans="6:6" x14ac:dyDescent="0.3">
      <c r="F42213" s="193"/>
    </row>
    <row r="42214" spans="6:6" x14ac:dyDescent="0.3">
      <c r="F42214" s="193"/>
    </row>
    <row r="42215" spans="6:6" x14ac:dyDescent="0.3">
      <c r="F42215" s="193"/>
    </row>
    <row r="42216" spans="6:6" x14ac:dyDescent="0.3">
      <c r="F42216" s="193"/>
    </row>
    <row r="42217" spans="6:6" x14ac:dyDescent="0.3">
      <c r="F42217" s="193"/>
    </row>
    <row r="42218" spans="6:6" x14ac:dyDescent="0.3">
      <c r="F42218" s="193"/>
    </row>
    <row r="42219" spans="6:6" x14ac:dyDescent="0.3">
      <c r="F42219" s="193"/>
    </row>
    <row r="42220" spans="6:6" x14ac:dyDescent="0.3">
      <c r="F42220" s="193"/>
    </row>
    <row r="42221" spans="6:6" x14ac:dyDescent="0.3">
      <c r="F42221" s="193"/>
    </row>
    <row r="42222" spans="6:6" x14ac:dyDescent="0.3">
      <c r="F42222" s="193"/>
    </row>
    <row r="42223" spans="6:6" x14ac:dyDescent="0.3">
      <c r="F42223" s="193"/>
    </row>
    <row r="42224" spans="6:6" x14ac:dyDescent="0.3">
      <c r="F42224" s="193"/>
    </row>
    <row r="42225" spans="6:6" x14ac:dyDescent="0.3">
      <c r="F42225" s="193"/>
    </row>
    <row r="42226" spans="6:6" x14ac:dyDescent="0.3">
      <c r="F42226" s="193"/>
    </row>
    <row r="42227" spans="6:6" x14ac:dyDescent="0.3">
      <c r="F42227" s="193"/>
    </row>
    <row r="42228" spans="6:6" x14ac:dyDescent="0.3">
      <c r="F42228" s="193"/>
    </row>
    <row r="42229" spans="6:6" x14ac:dyDescent="0.3">
      <c r="F42229" s="193"/>
    </row>
    <row r="42230" spans="6:6" x14ac:dyDescent="0.3">
      <c r="F42230" s="193"/>
    </row>
    <row r="42231" spans="6:6" x14ac:dyDescent="0.3">
      <c r="F42231" s="193"/>
    </row>
    <row r="42232" spans="6:6" x14ac:dyDescent="0.3">
      <c r="F42232" s="193"/>
    </row>
    <row r="42233" spans="6:6" x14ac:dyDescent="0.3">
      <c r="F42233" s="193"/>
    </row>
    <row r="42234" spans="6:6" x14ac:dyDescent="0.3">
      <c r="F42234" s="193"/>
    </row>
    <row r="42235" spans="6:6" x14ac:dyDescent="0.3">
      <c r="F42235" s="193"/>
    </row>
    <row r="42236" spans="6:6" x14ac:dyDescent="0.3">
      <c r="F42236" s="193"/>
    </row>
    <row r="42237" spans="6:6" x14ac:dyDescent="0.3">
      <c r="F42237" s="193"/>
    </row>
    <row r="42238" spans="6:6" x14ac:dyDescent="0.3">
      <c r="F42238" s="193"/>
    </row>
    <row r="42239" spans="6:6" x14ac:dyDescent="0.3">
      <c r="F42239" s="193"/>
    </row>
    <row r="42240" spans="6:6" x14ac:dyDescent="0.3">
      <c r="F42240" s="193"/>
    </row>
    <row r="42241" spans="6:6" x14ac:dyDescent="0.3">
      <c r="F42241" s="193"/>
    </row>
    <row r="42242" spans="6:6" x14ac:dyDescent="0.3">
      <c r="F42242" s="193"/>
    </row>
    <row r="42243" spans="6:6" x14ac:dyDescent="0.3">
      <c r="F42243" s="193"/>
    </row>
    <row r="42244" spans="6:6" x14ac:dyDescent="0.3">
      <c r="F42244" s="193"/>
    </row>
    <row r="42245" spans="6:6" x14ac:dyDescent="0.3">
      <c r="F42245" s="193"/>
    </row>
    <row r="42246" spans="6:6" x14ac:dyDescent="0.3">
      <c r="F42246" s="193"/>
    </row>
    <row r="42247" spans="6:6" x14ac:dyDescent="0.3">
      <c r="F42247" s="193"/>
    </row>
    <row r="42248" spans="6:6" x14ac:dyDescent="0.3">
      <c r="F42248" s="193"/>
    </row>
    <row r="42249" spans="6:6" x14ac:dyDescent="0.3">
      <c r="F42249" s="193"/>
    </row>
    <row r="42250" spans="6:6" x14ac:dyDescent="0.3">
      <c r="F42250" s="193"/>
    </row>
    <row r="42251" spans="6:6" x14ac:dyDescent="0.3">
      <c r="F42251" s="193"/>
    </row>
    <row r="42252" spans="6:6" x14ac:dyDescent="0.3">
      <c r="F42252" s="193"/>
    </row>
    <row r="42253" spans="6:6" x14ac:dyDescent="0.3">
      <c r="F42253" s="193"/>
    </row>
    <row r="42254" spans="6:6" x14ac:dyDescent="0.3">
      <c r="F42254" s="193"/>
    </row>
    <row r="42255" spans="6:6" x14ac:dyDescent="0.3">
      <c r="F42255" s="193"/>
    </row>
    <row r="42256" spans="6:6" x14ac:dyDescent="0.3">
      <c r="F42256" s="193"/>
    </row>
    <row r="42257" spans="6:6" x14ac:dyDescent="0.3">
      <c r="F42257" s="193"/>
    </row>
    <row r="42258" spans="6:6" x14ac:dyDescent="0.3">
      <c r="F42258" s="193"/>
    </row>
    <row r="42259" spans="6:6" x14ac:dyDescent="0.3">
      <c r="F42259" s="193"/>
    </row>
    <row r="42260" spans="6:6" x14ac:dyDescent="0.3">
      <c r="F42260" s="193"/>
    </row>
    <row r="42261" spans="6:6" x14ac:dyDescent="0.3">
      <c r="F42261" s="193"/>
    </row>
    <row r="42262" spans="6:6" x14ac:dyDescent="0.3">
      <c r="F42262" s="193"/>
    </row>
    <row r="42263" spans="6:6" x14ac:dyDescent="0.3">
      <c r="F42263" s="193"/>
    </row>
    <row r="42264" spans="6:6" x14ac:dyDescent="0.3">
      <c r="F42264" s="193"/>
    </row>
    <row r="42265" spans="6:6" x14ac:dyDescent="0.3">
      <c r="F42265" s="193"/>
    </row>
    <row r="42266" spans="6:6" x14ac:dyDescent="0.3">
      <c r="F42266" s="193"/>
    </row>
    <row r="42267" spans="6:6" x14ac:dyDescent="0.3">
      <c r="F42267" s="193"/>
    </row>
    <row r="42268" spans="6:6" x14ac:dyDescent="0.3">
      <c r="F42268" s="193"/>
    </row>
    <row r="42269" spans="6:6" x14ac:dyDescent="0.3">
      <c r="F42269" s="193"/>
    </row>
    <row r="42270" spans="6:6" x14ac:dyDescent="0.3">
      <c r="F42270" s="193"/>
    </row>
    <row r="42271" spans="6:6" x14ac:dyDescent="0.3">
      <c r="F42271" s="193"/>
    </row>
    <row r="42272" spans="6:6" x14ac:dyDescent="0.3">
      <c r="F42272" s="193"/>
    </row>
    <row r="42273" spans="6:6" x14ac:dyDescent="0.3">
      <c r="F42273" s="193"/>
    </row>
    <row r="42274" spans="6:6" x14ac:dyDescent="0.3">
      <c r="F42274" s="193"/>
    </row>
    <row r="42275" spans="6:6" x14ac:dyDescent="0.3">
      <c r="F42275" s="193"/>
    </row>
    <row r="42276" spans="6:6" x14ac:dyDescent="0.3">
      <c r="F42276" s="193"/>
    </row>
    <row r="42277" spans="6:6" x14ac:dyDescent="0.3">
      <c r="F42277" s="193"/>
    </row>
    <row r="42278" spans="6:6" x14ac:dyDescent="0.3">
      <c r="F42278" s="193"/>
    </row>
    <row r="42279" spans="6:6" x14ac:dyDescent="0.3">
      <c r="F42279" s="193"/>
    </row>
    <row r="42280" spans="6:6" x14ac:dyDescent="0.3">
      <c r="F42280" s="193"/>
    </row>
    <row r="42281" spans="6:6" x14ac:dyDescent="0.3">
      <c r="F42281" s="193"/>
    </row>
    <row r="42282" spans="6:6" x14ac:dyDescent="0.3">
      <c r="F42282" s="193"/>
    </row>
    <row r="42283" spans="6:6" x14ac:dyDescent="0.3">
      <c r="F42283" s="193"/>
    </row>
    <row r="42284" spans="6:6" x14ac:dyDescent="0.3">
      <c r="F42284" s="193"/>
    </row>
    <row r="42285" spans="6:6" x14ac:dyDescent="0.3">
      <c r="F42285" s="193"/>
    </row>
    <row r="42286" spans="6:6" x14ac:dyDescent="0.3">
      <c r="F42286" s="193"/>
    </row>
    <row r="42287" spans="6:6" x14ac:dyDescent="0.3">
      <c r="F42287" s="193"/>
    </row>
    <row r="42288" spans="6:6" x14ac:dyDescent="0.3">
      <c r="F42288" s="193"/>
    </row>
    <row r="42289" spans="6:6" x14ac:dyDescent="0.3">
      <c r="F42289" s="193"/>
    </row>
    <row r="42290" spans="6:6" x14ac:dyDescent="0.3">
      <c r="F42290" s="193"/>
    </row>
    <row r="42291" spans="6:6" x14ac:dyDescent="0.3">
      <c r="F42291" s="193"/>
    </row>
    <row r="42292" spans="6:6" x14ac:dyDescent="0.3">
      <c r="F42292" s="193"/>
    </row>
    <row r="42293" spans="6:6" x14ac:dyDescent="0.3">
      <c r="F42293" s="193"/>
    </row>
    <row r="42294" spans="6:6" x14ac:dyDescent="0.3">
      <c r="F42294" s="193"/>
    </row>
    <row r="42295" spans="6:6" x14ac:dyDescent="0.3">
      <c r="F42295" s="193"/>
    </row>
    <row r="42296" spans="6:6" x14ac:dyDescent="0.3">
      <c r="F42296" s="193"/>
    </row>
    <row r="42297" spans="6:6" x14ac:dyDescent="0.3">
      <c r="F42297" s="193"/>
    </row>
    <row r="42298" spans="6:6" x14ac:dyDescent="0.3">
      <c r="F42298" s="193"/>
    </row>
    <row r="42299" spans="6:6" x14ac:dyDescent="0.3">
      <c r="F42299" s="193"/>
    </row>
    <row r="42300" spans="6:6" x14ac:dyDescent="0.3">
      <c r="F42300" s="193"/>
    </row>
    <row r="42301" spans="6:6" x14ac:dyDescent="0.3">
      <c r="F42301" s="193"/>
    </row>
    <row r="42302" spans="6:6" x14ac:dyDescent="0.3">
      <c r="F42302" s="193"/>
    </row>
    <row r="42303" spans="6:6" x14ac:dyDescent="0.3">
      <c r="F42303" s="193"/>
    </row>
    <row r="42304" spans="6:6" x14ac:dyDescent="0.3">
      <c r="F42304" s="193"/>
    </row>
    <row r="42305" spans="6:6" x14ac:dyDescent="0.3">
      <c r="F42305" s="193"/>
    </row>
    <row r="42306" spans="6:6" x14ac:dyDescent="0.3">
      <c r="F42306" s="193"/>
    </row>
    <row r="42307" spans="6:6" x14ac:dyDescent="0.3">
      <c r="F42307" s="193"/>
    </row>
    <row r="42308" spans="6:6" x14ac:dyDescent="0.3">
      <c r="F42308" s="193"/>
    </row>
    <row r="42309" spans="6:6" x14ac:dyDescent="0.3">
      <c r="F42309" s="193"/>
    </row>
    <row r="42310" spans="6:6" x14ac:dyDescent="0.3">
      <c r="F42310" s="193"/>
    </row>
    <row r="42311" spans="6:6" x14ac:dyDescent="0.3">
      <c r="F42311" s="193"/>
    </row>
    <row r="42312" spans="6:6" x14ac:dyDescent="0.3">
      <c r="F42312" s="193"/>
    </row>
    <row r="42313" spans="6:6" x14ac:dyDescent="0.3">
      <c r="F42313" s="193"/>
    </row>
    <row r="42314" spans="6:6" x14ac:dyDescent="0.3">
      <c r="F42314" s="193"/>
    </row>
    <row r="42315" spans="6:6" x14ac:dyDescent="0.3">
      <c r="F42315" s="193"/>
    </row>
    <row r="42316" spans="6:6" x14ac:dyDescent="0.3">
      <c r="F42316" s="193"/>
    </row>
    <row r="42317" spans="6:6" x14ac:dyDescent="0.3">
      <c r="F42317" s="193"/>
    </row>
    <row r="42318" spans="6:6" x14ac:dyDescent="0.3">
      <c r="F42318" s="193"/>
    </row>
    <row r="42319" spans="6:6" x14ac:dyDescent="0.3">
      <c r="F42319" s="193"/>
    </row>
    <row r="42320" spans="6:6" x14ac:dyDescent="0.3">
      <c r="F42320" s="193"/>
    </row>
    <row r="42321" spans="6:6" x14ac:dyDescent="0.3">
      <c r="F42321" s="193"/>
    </row>
    <row r="42322" spans="6:6" x14ac:dyDescent="0.3">
      <c r="F42322" s="193"/>
    </row>
    <row r="42323" spans="6:6" x14ac:dyDescent="0.3">
      <c r="F42323" s="193"/>
    </row>
    <row r="42324" spans="6:6" x14ac:dyDescent="0.3">
      <c r="F42324" s="193"/>
    </row>
    <row r="42325" spans="6:6" x14ac:dyDescent="0.3">
      <c r="F42325" s="193"/>
    </row>
    <row r="42326" spans="6:6" x14ac:dyDescent="0.3">
      <c r="F42326" s="193"/>
    </row>
    <row r="42327" spans="6:6" x14ac:dyDescent="0.3">
      <c r="F42327" s="193"/>
    </row>
    <row r="42328" spans="6:6" x14ac:dyDescent="0.3">
      <c r="F42328" s="193"/>
    </row>
    <row r="42329" spans="6:6" x14ac:dyDescent="0.3">
      <c r="F42329" s="193"/>
    </row>
    <row r="42330" spans="6:6" x14ac:dyDescent="0.3">
      <c r="F42330" s="193"/>
    </row>
    <row r="42331" spans="6:6" x14ac:dyDescent="0.3">
      <c r="F42331" s="193"/>
    </row>
    <row r="42332" spans="6:6" x14ac:dyDescent="0.3">
      <c r="F42332" s="193"/>
    </row>
    <row r="42333" spans="6:6" x14ac:dyDescent="0.3">
      <c r="F42333" s="193"/>
    </row>
    <row r="42334" spans="6:6" x14ac:dyDescent="0.3">
      <c r="F42334" s="193"/>
    </row>
    <row r="42335" spans="6:6" x14ac:dyDescent="0.3">
      <c r="F42335" s="193"/>
    </row>
    <row r="42336" spans="6:6" x14ac:dyDescent="0.3">
      <c r="F42336" s="193"/>
    </row>
    <row r="42337" spans="6:6" x14ac:dyDescent="0.3">
      <c r="F42337" s="193"/>
    </row>
    <row r="42338" spans="6:6" x14ac:dyDescent="0.3">
      <c r="F42338" s="193"/>
    </row>
    <row r="42339" spans="6:6" x14ac:dyDescent="0.3">
      <c r="F42339" s="193"/>
    </row>
    <row r="42340" spans="6:6" x14ac:dyDescent="0.3">
      <c r="F42340" s="193"/>
    </row>
    <row r="42341" spans="6:6" x14ac:dyDescent="0.3">
      <c r="F42341" s="193"/>
    </row>
    <row r="42342" spans="6:6" x14ac:dyDescent="0.3">
      <c r="F42342" s="193"/>
    </row>
    <row r="42343" spans="6:6" x14ac:dyDescent="0.3">
      <c r="F42343" s="193"/>
    </row>
    <row r="42344" spans="6:6" x14ac:dyDescent="0.3">
      <c r="F42344" s="193"/>
    </row>
    <row r="42345" spans="6:6" x14ac:dyDescent="0.3">
      <c r="F42345" s="193"/>
    </row>
    <row r="42346" spans="6:6" x14ac:dyDescent="0.3">
      <c r="F42346" s="193"/>
    </row>
    <row r="42347" spans="6:6" x14ac:dyDescent="0.3">
      <c r="F42347" s="193"/>
    </row>
    <row r="42348" spans="6:6" x14ac:dyDescent="0.3">
      <c r="F42348" s="193"/>
    </row>
    <row r="42349" spans="6:6" x14ac:dyDescent="0.3">
      <c r="F42349" s="193"/>
    </row>
    <row r="42350" spans="6:6" x14ac:dyDescent="0.3">
      <c r="F42350" s="193"/>
    </row>
    <row r="42351" spans="6:6" x14ac:dyDescent="0.3">
      <c r="F42351" s="193"/>
    </row>
    <row r="42352" spans="6:6" x14ac:dyDescent="0.3">
      <c r="F42352" s="193"/>
    </row>
    <row r="42353" spans="6:6" x14ac:dyDescent="0.3">
      <c r="F42353" s="193"/>
    </row>
    <row r="42354" spans="6:6" x14ac:dyDescent="0.3">
      <c r="F42354" s="193"/>
    </row>
    <row r="42355" spans="6:6" x14ac:dyDescent="0.3">
      <c r="F42355" s="193"/>
    </row>
    <row r="42356" spans="6:6" x14ac:dyDescent="0.3">
      <c r="F42356" s="193"/>
    </row>
    <row r="42357" spans="6:6" x14ac:dyDescent="0.3">
      <c r="F42357" s="193"/>
    </row>
    <row r="42358" spans="6:6" x14ac:dyDescent="0.3">
      <c r="F42358" s="193"/>
    </row>
    <row r="42359" spans="6:6" x14ac:dyDescent="0.3">
      <c r="F42359" s="193"/>
    </row>
    <row r="42360" spans="6:6" x14ac:dyDescent="0.3">
      <c r="F42360" s="193"/>
    </row>
    <row r="42361" spans="6:6" x14ac:dyDescent="0.3">
      <c r="F42361" s="193"/>
    </row>
    <row r="42362" spans="6:6" x14ac:dyDescent="0.3">
      <c r="F42362" s="193"/>
    </row>
    <row r="42363" spans="6:6" x14ac:dyDescent="0.3">
      <c r="F42363" s="193"/>
    </row>
    <row r="42364" spans="6:6" x14ac:dyDescent="0.3">
      <c r="F42364" s="193"/>
    </row>
    <row r="42365" spans="6:6" x14ac:dyDescent="0.3">
      <c r="F42365" s="193"/>
    </row>
    <row r="42366" spans="6:6" x14ac:dyDescent="0.3">
      <c r="F42366" s="193"/>
    </row>
    <row r="42367" spans="6:6" x14ac:dyDescent="0.3">
      <c r="F42367" s="193"/>
    </row>
    <row r="42368" spans="6:6" x14ac:dyDescent="0.3">
      <c r="F42368" s="193"/>
    </row>
    <row r="42369" spans="6:6" x14ac:dyDescent="0.3">
      <c r="F42369" s="193"/>
    </row>
    <row r="42370" spans="6:6" x14ac:dyDescent="0.3">
      <c r="F42370" s="193"/>
    </row>
    <row r="42371" spans="6:6" x14ac:dyDescent="0.3">
      <c r="F42371" s="193"/>
    </row>
    <row r="42372" spans="6:6" x14ac:dyDescent="0.3">
      <c r="F42372" s="193"/>
    </row>
    <row r="42373" spans="6:6" x14ac:dyDescent="0.3">
      <c r="F42373" s="193"/>
    </row>
    <row r="42374" spans="6:6" x14ac:dyDescent="0.3">
      <c r="F42374" s="193"/>
    </row>
    <row r="42375" spans="6:6" x14ac:dyDescent="0.3">
      <c r="F42375" s="193"/>
    </row>
    <row r="42376" spans="6:6" x14ac:dyDescent="0.3">
      <c r="F42376" s="193"/>
    </row>
    <row r="42377" spans="6:6" x14ac:dyDescent="0.3">
      <c r="F42377" s="193"/>
    </row>
    <row r="42378" spans="6:6" x14ac:dyDescent="0.3">
      <c r="F42378" s="193"/>
    </row>
    <row r="42379" spans="6:6" x14ac:dyDescent="0.3">
      <c r="F42379" s="193"/>
    </row>
    <row r="42380" spans="6:6" x14ac:dyDescent="0.3">
      <c r="F42380" s="193"/>
    </row>
    <row r="42381" spans="6:6" x14ac:dyDescent="0.3">
      <c r="F42381" s="193"/>
    </row>
    <row r="42382" spans="6:6" x14ac:dyDescent="0.3">
      <c r="F42382" s="193"/>
    </row>
    <row r="42383" spans="6:6" x14ac:dyDescent="0.3">
      <c r="F42383" s="193"/>
    </row>
    <row r="42384" spans="6:6" x14ac:dyDescent="0.3">
      <c r="F42384" s="193"/>
    </row>
    <row r="42385" spans="6:6" x14ac:dyDescent="0.3">
      <c r="F42385" s="193"/>
    </row>
    <row r="42386" spans="6:6" x14ac:dyDescent="0.3">
      <c r="F42386" s="193"/>
    </row>
    <row r="42387" spans="6:6" x14ac:dyDescent="0.3">
      <c r="F42387" s="193"/>
    </row>
    <row r="42388" spans="6:6" x14ac:dyDescent="0.3">
      <c r="F42388" s="193"/>
    </row>
    <row r="42389" spans="6:6" x14ac:dyDescent="0.3">
      <c r="F42389" s="193"/>
    </row>
    <row r="42390" spans="6:6" x14ac:dyDescent="0.3">
      <c r="F42390" s="193"/>
    </row>
    <row r="42391" spans="6:6" x14ac:dyDescent="0.3">
      <c r="F42391" s="193"/>
    </row>
    <row r="42392" spans="6:6" x14ac:dyDescent="0.3">
      <c r="F42392" s="193"/>
    </row>
    <row r="42393" spans="6:6" x14ac:dyDescent="0.3">
      <c r="F42393" s="193"/>
    </row>
    <row r="42394" spans="6:6" x14ac:dyDescent="0.3">
      <c r="F42394" s="193"/>
    </row>
    <row r="42395" spans="6:6" x14ac:dyDescent="0.3">
      <c r="F42395" s="193"/>
    </row>
    <row r="42396" spans="6:6" x14ac:dyDescent="0.3">
      <c r="F42396" s="193"/>
    </row>
    <row r="42397" spans="6:6" x14ac:dyDescent="0.3">
      <c r="F42397" s="193"/>
    </row>
    <row r="42398" spans="6:6" x14ac:dyDescent="0.3">
      <c r="F42398" s="193"/>
    </row>
    <row r="42399" spans="6:6" x14ac:dyDescent="0.3">
      <c r="F42399" s="193"/>
    </row>
    <row r="42400" spans="6:6" x14ac:dyDescent="0.3">
      <c r="F42400" s="193"/>
    </row>
    <row r="42401" spans="6:6" x14ac:dyDescent="0.3">
      <c r="F42401" s="193"/>
    </row>
    <row r="42402" spans="6:6" x14ac:dyDescent="0.3">
      <c r="F42402" s="193"/>
    </row>
    <row r="42403" spans="6:6" x14ac:dyDescent="0.3">
      <c r="F42403" s="193"/>
    </row>
    <row r="42404" spans="6:6" x14ac:dyDescent="0.3">
      <c r="F42404" s="193"/>
    </row>
    <row r="42405" spans="6:6" x14ac:dyDescent="0.3">
      <c r="F42405" s="193"/>
    </row>
    <row r="42406" spans="6:6" x14ac:dyDescent="0.3">
      <c r="F42406" s="193"/>
    </row>
    <row r="42407" spans="6:6" x14ac:dyDescent="0.3">
      <c r="F42407" s="193"/>
    </row>
    <row r="42408" spans="6:6" x14ac:dyDescent="0.3">
      <c r="F42408" s="193"/>
    </row>
    <row r="42409" spans="6:6" x14ac:dyDescent="0.3">
      <c r="F42409" s="193"/>
    </row>
    <row r="42410" spans="6:6" x14ac:dyDescent="0.3">
      <c r="F42410" s="193"/>
    </row>
    <row r="42411" spans="6:6" x14ac:dyDescent="0.3">
      <c r="F42411" s="193"/>
    </row>
    <row r="42412" spans="6:6" x14ac:dyDescent="0.3">
      <c r="F42412" s="193"/>
    </row>
    <row r="42413" spans="6:6" x14ac:dyDescent="0.3">
      <c r="F42413" s="193"/>
    </row>
    <row r="42414" spans="6:6" x14ac:dyDescent="0.3">
      <c r="F42414" s="193"/>
    </row>
    <row r="42415" spans="6:6" x14ac:dyDescent="0.3">
      <c r="F42415" s="193"/>
    </row>
    <row r="42416" spans="6:6" x14ac:dyDescent="0.3">
      <c r="F42416" s="193"/>
    </row>
    <row r="42417" spans="6:6" x14ac:dyDescent="0.3">
      <c r="F42417" s="193"/>
    </row>
    <row r="42418" spans="6:6" x14ac:dyDescent="0.3">
      <c r="F42418" s="193"/>
    </row>
    <row r="42419" spans="6:6" x14ac:dyDescent="0.3">
      <c r="F42419" s="193"/>
    </row>
    <row r="42420" spans="6:6" x14ac:dyDescent="0.3">
      <c r="F42420" s="193"/>
    </row>
    <row r="42421" spans="6:6" x14ac:dyDescent="0.3">
      <c r="F42421" s="193"/>
    </row>
    <row r="42422" spans="6:6" x14ac:dyDescent="0.3">
      <c r="F42422" s="193"/>
    </row>
    <row r="42423" spans="6:6" x14ac:dyDescent="0.3">
      <c r="F42423" s="193"/>
    </row>
    <row r="42424" spans="6:6" x14ac:dyDescent="0.3">
      <c r="F42424" s="193"/>
    </row>
    <row r="42425" spans="6:6" x14ac:dyDescent="0.3">
      <c r="F42425" s="193"/>
    </row>
    <row r="42426" spans="6:6" x14ac:dyDescent="0.3">
      <c r="F42426" s="193"/>
    </row>
    <row r="42427" spans="6:6" x14ac:dyDescent="0.3">
      <c r="F42427" s="193"/>
    </row>
    <row r="42428" spans="6:6" x14ac:dyDescent="0.3">
      <c r="F42428" s="193"/>
    </row>
    <row r="42429" spans="6:6" x14ac:dyDescent="0.3">
      <c r="F42429" s="193"/>
    </row>
    <row r="42430" spans="6:6" x14ac:dyDescent="0.3">
      <c r="F42430" s="193"/>
    </row>
    <row r="42431" spans="6:6" x14ac:dyDescent="0.3">
      <c r="F42431" s="193"/>
    </row>
    <row r="42432" spans="6:6" x14ac:dyDescent="0.3">
      <c r="F42432" s="193"/>
    </row>
    <row r="42433" spans="6:6" x14ac:dyDescent="0.3">
      <c r="F42433" s="193"/>
    </row>
    <row r="42434" spans="6:6" x14ac:dyDescent="0.3">
      <c r="F42434" s="193"/>
    </row>
    <row r="42435" spans="6:6" x14ac:dyDescent="0.3">
      <c r="F42435" s="193"/>
    </row>
    <row r="42436" spans="6:6" x14ac:dyDescent="0.3">
      <c r="F42436" s="193"/>
    </row>
    <row r="42437" spans="6:6" x14ac:dyDescent="0.3">
      <c r="F42437" s="193"/>
    </row>
    <row r="42438" spans="6:6" x14ac:dyDescent="0.3">
      <c r="F42438" s="193"/>
    </row>
    <row r="42439" spans="6:6" x14ac:dyDescent="0.3">
      <c r="F42439" s="193"/>
    </row>
    <row r="42440" spans="6:6" x14ac:dyDescent="0.3">
      <c r="F42440" s="193"/>
    </row>
    <row r="42441" spans="6:6" x14ac:dyDescent="0.3">
      <c r="F42441" s="193"/>
    </row>
    <row r="42442" spans="6:6" x14ac:dyDescent="0.3">
      <c r="F42442" s="193"/>
    </row>
    <row r="42443" spans="6:6" x14ac:dyDescent="0.3">
      <c r="F42443" s="193"/>
    </row>
    <row r="42444" spans="6:6" x14ac:dyDescent="0.3">
      <c r="F42444" s="193"/>
    </row>
    <row r="42445" spans="6:6" x14ac:dyDescent="0.3">
      <c r="F42445" s="193"/>
    </row>
    <row r="42446" spans="6:6" x14ac:dyDescent="0.3">
      <c r="F42446" s="193"/>
    </row>
    <row r="42447" spans="6:6" x14ac:dyDescent="0.3">
      <c r="F42447" s="193"/>
    </row>
    <row r="42448" spans="6:6" x14ac:dyDescent="0.3">
      <c r="F42448" s="193"/>
    </row>
    <row r="42449" spans="6:6" x14ac:dyDescent="0.3">
      <c r="F42449" s="193"/>
    </row>
    <row r="42450" spans="6:6" x14ac:dyDescent="0.3">
      <c r="F42450" s="193"/>
    </row>
    <row r="42451" spans="6:6" x14ac:dyDescent="0.3">
      <c r="F42451" s="193"/>
    </row>
    <row r="42452" spans="6:6" x14ac:dyDescent="0.3">
      <c r="F42452" s="193"/>
    </row>
    <row r="42453" spans="6:6" x14ac:dyDescent="0.3">
      <c r="F42453" s="193"/>
    </row>
    <row r="42454" spans="6:6" x14ac:dyDescent="0.3">
      <c r="F42454" s="193"/>
    </row>
    <row r="42455" spans="6:6" x14ac:dyDescent="0.3">
      <c r="F42455" s="193"/>
    </row>
    <row r="42456" spans="6:6" x14ac:dyDescent="0.3">
      <c r="F42456" s="193"/>
    </row>
    <row r="42457" spans="6:6" x14ac:dyDescent="0.3">
      <c r="F42457" s="193"/>
    </row>
    <row r="42458" spans="6:6" x14ac:dyDescent="0.3">
      <c r="F42458" s="193"/>
    </row>
    <row r="42459" spans="6:6" x14ac:dyDescent="0.3">
      <c r="F42459" s="193"/>
    </row>
    <row r="42460" spans="6:6" x14ac:dyDescent="0.3">
      <c r="F42460" s="193"/>
    </row>
    <row r="42461" spans="6:6" x14ac:dyDescent="0.3">
      <c r="F42461" s="193"/>
    </row>
    <row r="42462" spans="6:6" x14ac:dyDescent="0.3">
      <c r="F42462" s="193"/>
    </row>
    <row r="42463" spans="6:6" x14ac:dyDescent="0.3">
      <c r="F42463" s="193"/>
    </row>
    <row r="42464" spans="6:6" x14ac:dyDescent="0.3">
      <c r="F42464" s="193"/>
    </row>
    <row r="42465" spans="6:6" x14ac:dyDescent="0.3">
      <c r="F42465" s="193"/>
    </row>
    <row r="42466" spans="6:6" x14ac:dyDescent="0.3">
      <c r="F42466" s="193"/>
    </row>
    <row r="42467" spans="6:6" x14ac:dyDescent="0.3">
      <c r="F42467" s="193"/>
    </row>
    <row r="42468" spans="6:6" x14ac:dyDescent="0.3">
      <c r="F42468" s="193"/>
    </row>
    <row r="42469" spans="6:6" x14ac:dyDescent="0.3">
      <c r="F42469" s="193"/>
    </row>
    <row r="42470" spans="6:6" x14ac:dyDescent="0.3">
      <c r="F42470" s="193"/>
    </row>
    <row r="42471" spans="6:6" x14ac:dyDescent="0.3">
      <c r="F42471" s="193"/>
    </row>
    <row r="42472" spans="6:6" x14ac:dyDescent="0.3">
      <c r="F42472" s="193"/>
    </row>
    <row r="42473" spans="6:6" x14ac:dyDescent="0.3">
      <c r="F42473" s="193"/>
    </row>
    <row r="42474" spans="6:6" x14ac:dyDescent="0.3">
      <c r="F42474" s="193"/>
    </row>
    <row r="42475" spans="6:6" x14ac:dyDescent="0.3">
      <c r="F42475" s="193"/>
    </row>
    <row r="42476" spans="6:6" x14ac:dyDescent="0.3">
      <c r="F42476" s="193"/>
    </row>
    <row r="42477" spans="6:6" x14ac:dyDescent="0.3">
      <c r="F42477" s="193"/>
    </row>
    <row r="42478" spans="6:6" x14ac:dyDescent="0.3">
      <c r="F42478" s="193"/>
    </row>
    <row r="42479" spans="6:6" x14ac:dyDescent="0.3">
      <c r="F42479" s="193"/>
    </row>
    <row r="42480" spans="6:6" x14ac:dyDescent="0.3">
      <c r="F42480" s="193"/>
    </row>
    <row r="42481" spans="6:6" x14ac:dyDescent="0.3">
      <c r="F42481" s="193"/>
    </row>
    <row r="42482" spans="6:6" x14ac:dyDescent="0.3">
      <c r="F42482" s="193"/>
    </row>
    <row r="42483" spans="6:6" x14ac:dyDescent="0.3">
      <c r="F42483" s="193"/>
    </row>
    <row r="42484" spans="6:6" x14ac:dyDescent="0.3">
      <c r="F42484" s="193"/>
    </row>
    <row r="42485" spans="6:6" x14ac:dyDescent="0.3">
      <c r="F42485" s="193"/>
    </row>
    <row r="42486" spans="6:6" x14ac:dyDescent="0.3">
      <c r="F42486" s="193"/>
    </row>
    <row r="42487" spans="6:6" x14ac:dyDescent="0.3">
      <c r="F42487" s="193"/>
    </row>
    <row r="42488" spans="6:6" x14ac:dyDescent="0.3">
      <c r="F42488" s="193"/>
    </row>
    <row r="42489" spans="6:6" x14ac:dyDescent="0.3">
      <c r="F42489" s="193"/>
    </row>
    <row r="42490" spans="6:6" x14ac:dyDescent="0.3">
      <c r="F42490" s="193"/>
    </row>
    <row r="42491" spans="6:6" x14ac:dyDescent="0.3">
      <c r="F42491" s="193"/>
    </row>
    <row r="42492" spans="6:6" x14ac:dyDescent="0.3">
      <c r="F42492" s="193"/>
    </row>
    <row r="42493" spans="6:6" x14ac:dyDescent="0.3">
      <c r="F42493" s="193"/>
    </row>
    <row r="42494" spans="6:6" x14ac:dyDescent="0.3">
      <c r="F42494" s="193"/>
    </row>
    <row r="42495" spans="6:6" x14ac:dyDescent="0.3">
      <c r="F42495" s="193"/>
    </row>
    <row r="42496" spans="6:6" x14ac:dyDescent="0.3">
      <c r="F42496" s="193"/>
    </row>
    <row r="42497" spans="6:6" x14ac:dyDescent="0.3">
      <c r="F42497" s="193"/>
    </row>
    <row r="42498" spans="6:6" x14ac:dyDescent="0.3">
      <c r="F42498" s="193"/>
    </row>
    <row r="42499" spans="6:6" x14ac:dyDescent="0.3">
      <c r="F42499" s="193"/>
    </row>
    <row r="42500" spans="6:6" x14ac:dyDescent="0.3">
      <c r="F42500" s="193"/>
    </row>
    <row r="42501" spans="6:6" x14ac:dyDescent="0.3">
      <c r="F42501" s="193"/>
    </row>
    <row r="42502" spans="6:6" x14ac:dyDescent="0.3">
      <c r="F42502" s="193"/>
    </row>
    <row r="42503" spans="6:6" x14ac:dyDescent="0.3">
      <c r="F42503" s="193"/>
    </row>
    <row r="42504" spans="6:6" x14ac:dyDescent="0.3">
      <c r="F42504" s="193"/>
    </row>
    <row r="42505" spans="6:6" x14ac:dyDescent="0.3">
      <c r="F42505" s="193"/>
    </row>
    <row r="42506" spans="6:6" x14ac:dyDescent="0.3">
      <c r="F42506" s="193"/>
    </row>
    <row r="42507" spans="6:6" x14ac:dyDescent="0.3">
      <c r="F42507" s="193"/>
    </row>
    <row r="42508" spans="6:6" x14ac:dyDescent="0.3">
      <c r="F42508" s="193"/>
    </row>
    <row r="42509" spans="6:6" x14ac:dyDescent="0.3">
      <c r="F42509" s="193"/>
    </row>
    <row r="42510" spans="6:6" x14ac:dyDescent="0.3">
      <c r="F42510" s="193"/>
    </row>
    <row r="42511" spans="6:6" x14ac:dyDescent="0.3">
      <c r="F42511" s="193"/>
    </row>
    <row r="42512" spans="6:6" x14ac:dyDescent="0.3">
      <c r="F42512" s="193"/>
    </row>
    <row r="42513" spans="6:6" x14ac:dyDescent="0.3">
      <c r="F42513" s="193"/>
    </row>
    <row r="42514" spans="6:6" x14ac:dyDescent="0.3">
      <c r="F42514" s="193"/>
    </row>
    <row r="42515" spans="6:6" x14ac:dyDescent="0.3">
      <c r="F42515" s="193"/>
    </row>
    <row r="42516" spans="6:6" x14ac:dyDescent="0.3">
      <c r="F42516" s="193"/>
    </row>
    <row r="42517" spans="6:6" x14ac:dyDescent="0.3">
      <c r="F42517" s="193"/>
    </row>
    <row r="42518" spans="6:6" x14ac:dyDescent="0.3">
      <c r="F42518" s="193"/>
    </row>
    <row r="42519" spans="6:6" x14ac:dyDescent="0.3">
      <c r="F42519" s="193"/>
    </row>
    <row r="42520" spans="6:6" x14ac:dyDescent="0.3">
      <c r="F42520" s="193"/>
    </row>
    <row r="42521" spans="6:6" x14ac:dyDescent="0.3">
      <c r="F42521" s="193"/>
    </row>
    <row r="42522" spans="6:6" x14ac:dyDescent="0.3">
      <c r="F42522" s="193"/>
    </row>
    <row r="42523" spans="6:6" x14ac:dyDescent="0.3">
      <c r="F42523" s="193"/>
    </row>
    <row r="42524" spans="6:6" x14ac:dyDescent="0.3">
      <c r="F42524" s="193"/>
    </row>
    <row r="42525" spans="6:6" x14ac:dyDescent="0.3">
      <c r="F42525" s="193"/>
    </row>
    <row r="42526" spans="6:6" x14ac:dyDescent="0.3">
      <c r="F42526" s="193"/>
    </row>
    <row r="42527" spans="6:6" x14ac:dyDescent="0.3">
      <c r="F42527" s="193"/>
    </row>
    <row r="42528" spans="6:6" x14ac:dyDescent="0.3">
      <c r="F42528" s="193"/>
    </row>
    <row r="42529" spans="6:6" x14ac:dyDescent="0.3">
      <c r="F42529" s="193"/>
    </row>
    <row r="42530" spans="6:6" x14ac:dyDescent="0.3">
      <c r="F42530" s="193"/>
    </row>
    <row r="42531" spans="6:6" x14ac:dyDescent="0.3">
      <c r="F42531" s="193"/>
    </row>
    <row r="42532" spans="6:6" x14ac:dyDescent="0.3">
      <c r="F42532" s="193"/>
    </row>
    <row r="42533" spans="6:6" x14ac:dyDescent="0.3">
      <c r="F42533" s="193"/>
    </row>
    <row r="42534" spans="6:6" x14ac:dyDescent="0.3">
      <c r="F42534" s="193"/>
    </row>
    <row r="42535" spans="6:6" x14ac:dyDescent="0.3">
      <c r="F42535" s="193"/>
    </row>
    <row r="42536" spans="6:6" x14ac:dyDescent="0.3">
      <c r="F42536" s="193"/>
    </row>
    <row r="42537" spans="6:6" x14ac:dyDescent="0.3">
      <c r="F42537" s="193"/>
    </row>
    <row r="42538" spans="6:6" x14ac:dyDescent="0.3">
      <c r="F42538" s="193"/>
    </row>
    <row r="42539" spans="6:6" x14ac:dyDescent="0.3">
      <c r="F42539" s="193"/>
    </row>
    <row r="42540" spans="6:6" x14ac:dyDescent="0.3">
      <c r="F42540" s="193"/>
    </row>
    <row r="42541" spans="6:6" x14ac:dyDescent="0.3">
      <c r="F42541" s="193"/>
    </row>
    <row r="42542" spans="6:6" x14ac:dyDescent="0.3">
      <c r="F42542" s="193"/>
    </row>
    <row r="42543" spans="6:6" x14ac:dyDescent="0.3">
      <c r="F42543" s="193"/>
    </row>
    <row r="42544" spans="6:6" x14ac:dyDescent="0.3">
      <c r="F42544" s="193"/>
    </row>
    <row r="42545" spans="6:6" x14ac:dyDescent="0.3">
      <c r="F42545" s="193"/>
    </row>
    <row r="42546" spans="6:6" x14ac:dyDescent="0.3">
      <c r="F42546" s="193"/>
    </row>
    <row r="42547" spans="6:6" x14ac:dyDescent="0.3">
      <c r="F42547" s="193"/>
    </row>
    <row r="42548" spans="6:6" x14ac:dyDescent="0.3">
      <c r="F42548" s="193"/>
    </row>
    <row r="42549" spans="6:6" x14ac:dyDescent="0.3">
      <c r="F42549" s="193"/>
    </row>
    <row r="42550" spans="6:6" x14ac:dyDescent="0.3">
      <c r="F42550" s="193"/>
    </row>
    <row r="42551" spans="6:6" x14ac:dyDescent="0.3">
      <c r="F42551" s="193"/>
    </row>
    <row r="42552" spans="6:6" x14ac:dyDescent="0.3">
      <c r="F42552" s="193"/>
    </row>
    <row r="42553" spans="6:6" x14ac:dyDescent="0.3">
      <c r="F42553" s="193"/>
    </row>
    <row r="42554" spans="6:6" x14ac:dyDescent="0.3">
      <c r="F42554" s="193"/>
    </row>
    <row r="42555" spans="6:6" x14ac:dyDescent="0.3">
      <c r="F42555" s="193"/>
    </row>
    <row r="42556" spans="6:6" x14ac:dyDescent="0.3">
      <c r="F42556" s="193"/>
    </row>
    <row r="42557" spans="6:6" x14ac:dyDescent="0.3">
      <c r="F42557" s="193"/>
    </row>
    <row r="42558" spans="6:6" x14ac:dyDescent="0.3">
      <c r="F42558" s="193"/>
    </row>
    <row r="42559" spans="6:6" x14ac:dyDescent="0.3">
      <c r="F42559" s="193"/>
    </row>
    <row r="42560" spans="6:6" x14ac:dyDescent="0.3">
      <c r="F42560" s="193"/>
    </row>
    <row r="42561" spans="6:6" x14ac:dyDescent="0.3">
      <c r="F42561" s="193"/>
    </row>
    <row r="42562" spans="6:6" x14ac:dyDescent="0.3">
      <c r="F42562" s="193"/>
    </row>
    <row r="42563" spans="6:6" x14ac:dyDescent="0.3">
      <c r="F42563" s="193"/>
    </row>
    <row r="42564" spans="6:6" x14ac:dyDescent="0.3">
      <c r="F42564" s="193"/>
    </row>
    <row r="42565" spans="6:6" x14ac:dyDescent="0.3">
      <c r="F42565" s="193"/>
    </row>
    <row r="42566" spans="6:6" x14ac:dyDescent="0.3">
      <c r="F42566" s="193"/>
    </row>
    <row r="42567" spans="6:6" x14ac:dyDescent="0.3">
      <c r="F42567" s="193"/>
    </row>
    <row r="42568" spans="6:6" x14ac:dyDescent="0.3">
      <c r="F42568" s="193"/>
    </row>
    <row r="42569" spans="6:6" x14ac:dyDescent="0.3">
      <c r="F42569" s="193"/>
    </row>
    <row r="42570" spans="6:6" x14ac:dyDescent="0.3">
      <c r="F42570" s="193"/>
    </row>
    <row r="42571" spans="6:6" x14ac:dyDescent="0.3">
      <c r="F42571" s="193"/>
    </row>
    <row r="42572" spans="6:6" x14ac:dyDescent="0.3">
      <c r="F42572" s="193"/>
    </row>
    <row r="42573" spans="6:6" x14ac:dyDescent="0.3">
      <c r="F42573" s="193"/>
    </row>
    <row r="42574" spans="6:6" x14ac:dyDescent="0.3">
      <c r="F42574" s="193"/>
    </row>
    <row r="42575" spans="6:6" x14ac:dyDescent="0.3">
      <c r="F42575" s="193"/>
    </row>
    <row r="42576" spans="6:6" x14ac:dyDescent="0.3">
      <c r="F42576" s="193"/>
    </row>
    <row r="42577" spans="6:6" x14ac:dyDescent="0.3">
      <c r="F42577" s="193"/>
    </row>
    <row r="42578" spans="6:6" x14ac:dyDescent="0.3">
      <c r="F42578" s="193"/>
    </row>
    <row r="42579" spans="6:6" x14ac:dyDescent="0.3">
      <c r="F42579" s="193"/>
    </row>
    <row r="42580" spans="6:6" x14ac:dyDescent="0.3">
      <c r="F42580" s="193"/>
    </row>
    <row r="42581" spans="6:6" x14ac:dyDescent="0.3">
      <c r="F42581" s="193"/>
    </row>
    <row r="42582" spans="6:6" x14ac:dyDescent="0.3">
      <c r="F42582" s="193"/>
    </row>
    <row r="42583" spans="6:6" x14ac:dyDescent="0.3">
      <c r="F42583" s="193"/>
    </row>
    <row r="42584" spans="6:6" x14ac:dyDescent="0.3">
      <c r="F42584" s="193"/>
    </row>
    <row r="42585" spans="6:6" x14ac:dyDescent="0.3">
      <c r="F42585" s="193"/>
    </row>
    <row r="42586" spans="6:6" x14ac:dyDescent="0.3">
      <c r="F42586" s="193"/>
    </row>
    <row r="42587" spans="6:6" x14ac:dyDescent="0.3">
      <c r="F42587" s="193"/>
    </row>
    <row r="42588" spans="6:6" x14ac:dyDescent="0.3">
      <c r="F42588" s="193"/>
    </row>
    <row r="42589" spans="6:6" x14ac:dyDescent="0.3">
      <c r="F42589" s="193"/>
    </row>
    <row r="42590" spans="6:6" x14ac:dyDescent="0.3">
      <c r="F42590" s="193"/>
    </row>
    <row r="42591" spans="6:6" x14ac:dyDescent="0.3">
      <c r="F42591" s="193"/>
    </row>
    <row r="42592" spans="6:6" x14ac:dyDescent="0.3">
      <c r="F42592" s="193"/>
    </row>
    <row r="42593" spans="6:6" x14ac:dyDescent="0.3">
      <c r="F42593" s="193"/>
    </row>
    <row r="42594" spans="6:6" x14ac:dyDescent="0.3">
      <c r="F42594" s="193"/>
    </row>
    <row r="42595" spans="6:6" x14ac:dyDescent="0.3">
      <c r="F42595" s="193"/>
    </row>
    <row r="42596" spans="6:6" x14ac:dyDescent="0.3">
      <c r="F42596" s="193"/>
    </row>
    <row r="42597" spans="6:6" x14ac:dyDescent="0.3">
      <c r="F42597" s="193"/>
    </row>
    <row r="42598" spans="6:6" x14ac:dyDescent="0.3">
      <c r="F42598" s="193"/>
    </row>
    <row r="42599" spans="6:6" x14ac:dyDescent="0.3">
      <c r="F42599" s="193"/>
    </row>
    <row r="42600" spans="6:6" x14ac:dyDescent="0.3">
      <c r="F42600" s="193"/>
    </row>
    <row r="42601" spans="6:6" x14ac:dyDescent="0.3">
      <c r="F42601" s="193"/>
    </row>
    <row r="42602" spans="6:6" x14ac:dyDescent="0.3">
      <c r="F42602" s="193"/>
    </row>
    <row r="42603" spans="6:6" x14ac:dyDescent="0.3">
      <c r="F42603" s="193"/>
    </row>
    <row r="42604" spans="6:6" x14ac:dyDescent="0.3">
      <c r="F42604" s="193"/>
    </row>
    <row r="42605" spans="6:6" x14ac:dyDescent="0.3">
      <c r="F42605" s="193"/>
    </row>
    <row r="42606" spans="6:6" x14ac:dyDescent="0.3">
      <c r="F42606" s="193"/>
    </row>
    <row r="42607" spans="6:6" x14ac:dyDescent="0.3">
      <c r="F42607" s="193"/>
    </row>
    <row r="42608" spans="6:6" x14ac:dyDescent="0.3">
      <c r="F42608" s="193"/>
    </row>
    <row r="42609" spans="6:6" x14ac:dyDescent="0.3">
      <c r="F42609" s="193"/>
    </row>
    <row r="42610" spans="6:6" x14ac:dyDescent="0.3">
      <c r="F42610" s="193"/>
    </row>
    <row r="42611" spans="6:6" x14ac:dyDescent="0.3">
      <c r="F42611" s="193"/>
    </row>
    <row r="42612" spans="6:6" x14ac:dyDescent="0.3">
      <c r="F42612" s="193"/>
    </row>
    <row r="42613" spans="6:6" x14ac:dyDescent="0.3">
      <c r="F42613" s="193"/>
    </row>
    <row r="42614" spans="6:6" x14ac:dyDescent="0.3">
      <c r="F42614" s="193"/>
    </row>
    <row r="42615" spans="6:6" x14ac:dyDescent="0.3">
      <c r="F42615" s="193"/>
    </row>
    <row r="42616" spans="6:6" x14ac:dyDescent="0.3">
      <c r="F42616" s="193"/>
    </row>
    <row r="42617" spans="6:6" x14ac:dyDescent="0.3">
      <c r="F42617" s="193"/>
    </row>
    <row r="42618" spans="6:6" x14ac:dyDescent="0.3">
      <c r="F42618" s="193"/>
    </row>
    <row r="42619" spans="6:6" x14ac:dyDescent="0.3">
      <c r="F42619" s="193"/>
    </row>
    <row r="42620" spans="6:6" x14ac:dyDescent="0.3">
      <c r="F42620" s="193"/>
    </row>
    <row r="42621" spans="6:6" x14ac:dyDescent="0.3">
      <c r="F42621" s="193"/>
    </row>
    <row r="42622" spans="6:6" x14ac:dyDescent="0.3">
      <c r="F42622" s="193"/>
    </row>
    <row r="42623" spans="6:6" x14ac:dyDescent="0.3">
      <c r="F42623" s="193"/>
    </row>
    <row r="42624" spans="6:6" x14ac:dyDescent="0.3">
      <c r="F42624" s="193"/>
    </row>
    <row r="42625" spans="6:6" x14ac:dyDescent="0.3">
      <c r="F42625" s="193"/>
    </row>
    <row r="42626" spans="6:6" x14ac:dyDescent="0.3">
      <c r="F42626" s="193"/>
    </row>
    <row r="42627" spans="6:6" x14ac:dyDescent="0.3">
      <c r="F42627" s="193"/>
    </row>
    <row r="42628" spans="6:6" x14ac:dyDescent="0.3">
      <c r="F42628" s="193"/>
    </row>
    <row r="42629" spans="6:6" x14ac:dyDescent="0.3">
      <c r="F42629" s="193"/>
    </row>
    <row r="42630" spans="6:6" x14ac:dyDescent="0.3">
      <c r="F42630" s="193"/>
    </row>
    <row r="42631" spans="6:6" x14ac:dyDescent="0.3">
      <c r="F42631" s="193"/>
    </row>
    <row r="42632" spans="6:6" x14ac:dyDescent="0.3">
      <c r="F42632" s="193"/>
    </row>
    <row r="42633" spans="6:6" x14ac:dyDescent="0.3">
      <c r="F42633" s="193"/>
    </row>
    <row r="42634" spans="6:6" x14ac:dyDescent="0.3">
      <c r="F42634" s="193"/>
    </row>
    <row r="42635" spans="6:6" x14ac:dyDescent="0.3">
      <c r="F42635" s="193"/>
    </row>
    <row r="42636" spans="6:6" x14ac:dyDescent="0.3">
      <c r="F42636" s="193"/>
    </row>
    <row r="42637" spans="6:6" x14ac:dyDescent="0.3">
      <c r="F42637" s="193"/>
    </row>
    <row r="42638" spans="6:6" x14ac:dyDescent="0.3">
      <c r="F42638" s="193"/>
    </row>
    <row r="42639" spans="6:6" x14ac:dyDescent="0.3">
      <c r="F42639" s="193"/>
    </row>
    <row r="42640" spans="6:6" x14ac:dyDescent="0.3">
      <c r="F42640" s="193"/>
    </row>
    <row r="42641" spans="6:6" x14ac:dyDescent="0.3">
      <c r="F42641" s="193"/>
    </row>
    <row r="42642" spans="6:6" x14ac:dyDescent="0.3">
      <c r="F42642" s="193"/>
    </row>
    <row r="42643" spans="6:6" x14ac:dyDescent="0.3">
      <c r="F42643" s="193"/>
    </row>
    <row r="42644" spans="6:6" x14ac:dyDescent="0.3">
      <c r="F42644" s="193"/>
    </row>
    <row r="42645" spans="6:6" x14ac:dyDescent="0.3">
      <c r="F42645" s="193"/>
    </row>
    <row r="42646" spans="6:6" x14ac:dyDescent="0.3">
      <c r="F42646" s="193"/>
    </row>
    <row r="42647" spans="6:6" x14ac:dyDescent="0.3">
      <c r="F42647" s="193"/>
    </row>
    <row r="42648" spans="6:6" x14ac:dyDescent="0.3">
      <c r="F42648" s="193"/>
    </row>
    <row r="42649" spans="6:6" x14ac:dyDescent="0.3">
      <c r="F42649" s="193"/>
    </row>
    <row r="42650" spans="6:6" x14ac:dyDescent="0.3">
      <c r="F42650" s="193"/>
    </row>
    <row r="42651" spans="6:6" x14ac:dyDescent="0.3">
      <c r="F42651" s="193"/>
    </row>
    <row r="42652" spans="6:6" x14ac:dyDescent="0.3">
      <c r="F42652" s="193"/>
    </row>
    <row r="42653" spans="6:6" x14ac:dyDescent="0.3">
      <c r="F42653" s="193"/>
    </row>
    <row r="42654" spans="6:6" x14ac:dyDescent="0.3">
      <c r="F42654" s="193"/>
    </row>
    <row r="42655" spans="6:6" x14ac:dyDescent="0.3">
      <c r="F42655" s="193"/>
    </row>
    <row r="42656" spans="6:6" x14ac:dyDescent="0.3">
      <c r="F42656" s="193"/>
    </row>
    <row r="42657" spans="6:6" x14ac:dyDescent="0.3">
      <c r="F42657" s="193"/>
    </row>
    <row r="42658" spans="6:6" x14ac:dyDescent="0.3">
      <c r="F42658" s="193"/>
    </row>
    <row r="42659" spans="6:6" x14ac:dyDescent="0.3">
      <c r="F42659" s="193"/>
    </row>
    <row r="42660" spans="6:6" x14ac:dyDescent="0.3">
      <c r="F42660" s="193"/>
    </row>
    <row r="42661" spans="6:6" x14ac:dyDescent="0.3">
      <c r="F42661" s="193"/>
    </row>
    <row r="42662" spans="6:6" x14ac:dyDescent="0.3">
      <c r="F42662" s="193"/>
    </row>
    <row r="42663" spans="6:6" x14ac:dyDescent="0.3">
      <c r="F42663" s="193"/>
    </row>
    <row r="42664" spans="6:6" x14ac:dyDescent="0.3">
      <c r="F42664" s="193"/>
    </row>
    <row r="42665" spans="6:6" x14ac:dyDescent="0.3">
      <c r="F42665" s="193"/>
    </row>
    <row r="42666" spans="6:6" x14ac:dyDescent="0.3">
      <c r="F42666" s="193"/>
    </row>
    <row r="42667" spans="6:6" x14ac:dyDescent="0.3">
      <c r="F42667" s="193"/>
    </row>
    <row r="42668" spans="6:6" x14ac:dyDescent="0.3">
      <c r="F42668" s="193"/>
    </row>
    <row r="42669" spans="6:6" x14ac:dyDescent="0.3">
      <c r="F42669" s="193"/>
    </row>
    <row r="42670" spans="6:6" x14ac:dyDescent="0.3">
      <c r="F42670" s="193"/>
    </row>
    <row r="42671" spans="6:6" x14ac:dyDescent="0.3">
      <c r="F42671" s="193"/>
    </row>
    <row r="42672" spans="6:6" x14ac:dyDescent="0.3">
      <c r="F42672" s="193"/>
    </row>
    <row r="42673" spans="6:6" x14ac:dyDescent="0.3">
      <c r="F42673" s="193"/>
    </row>
    <row r="42674" spans="6:6" x14ac:dyDescent="0.3">
      <c r="F42674" s="193"/>
    </row>
    <row r="42675" spans="6:6" x14ac:dyDescent="0.3">
      <c r="F42675" s="193"/>
    </row>
    <row r="42676" spans="6:6" x14ac:dyDescent="0.3">
      <c r="F42676" s="193"/>
    </row>
    <row r="42677" spans="6:6" x14ac:dyDescent="0.3">
      <c r="F42677" s="193"/>
    </row>
    <row r="42678" spans="6:6" x14ac:dyDescent="0.3">
      <c r="F42678" s="193"/>
    </row>
    <row r="42679" spans="6:6" x14ac:dyDescent="0.3">
      <c r="F42679" s="193"/>
    </row>
    <row r="42680" spans="6:6" x14ac:dyDescent="0.3">
      <c r="F42680" s="193"/>
    </row>
    <row r="42681" spans="6:6" x14ac:dyDescent="0.3">
      <c r="F42681" s="193"/>
    </row>
    <row r="42682" spans="6:6" x14ac:dyDescent="0.3">
      <c r="F42682" s="193"/>
    </row>
    <row r="42683" spans="6:6" x14ac:dyDescent="0.3">
      <c r="F42683" s="193"/>
    </row>
    <row r="42684" spans="6:6" x14ac:dyDescent="0.3">
      <c r="F42684" s="193"/>
    </row>
    <row r="42685" spans="6:6" x14ac:dyDescent="0.3">
      <c r="F42685" s="193"/>
    </row>
    <row r="42686" spans="6:6" x14ac:dyDescent="0.3">
      <c r="F42686" s="193"/>
    </row>
    <row r="42687" spans="6:6" x14ac:dyDescent="0.3">
      <c r="F42687" s="193"/>
    </row>
    <row r="42688" spans="6:6" x14ac:dyDescent="0.3">
      <c r="F42688" s="193"/>
    </row>
    <row r="42689" spans="6:6" x14ac:dyDescent="0.3">
      <c r="F42689" s="193"/>
    </row>
    <row r="42690" spans="6:6" x14ac:dyDescent="0.3">
      <c r="F42690" s="193"/>
    </row>
    <row r="42691" spans="6:6" x14ac:dyDescent="0.3">
      <c r="F42691" s="193"/>
    </row>
    <row r="42692" spans="6:6" x14ac:dyDescent="0.3">
      <c r="F42692" s="193"/>
    </row>
    <row r="42693" spans="6:6" x14ac:dyDescent="0.3">
      <c r="F42693" s="193"/>
    </row>
    <row r="42694" spans="6:6" x14ac:dyDescent="0.3">
      <c r="F42694" s="193"/>
    </row>
    <row r="42695" spans="6:6" x14ac:dyDescent="0.3">
      <c r="F42695" s="193"/>
    </row>
    <row r="42696" spans="6:6" x14ac:dyDescent="0.3">
      <c r="F42696" s="193"/>
    </row>
    <row r="42697" spans="6:6" x14ac:dyDescent="0.3">
      <c r="F42697" s="193"/>
    </row>
    <row r="42698" spans="6:6" x14ac:dyDescent="0.3">
      <c r="F42698" s="193"/>
    </row>
    <row r="42699" spans="6:6" x14ac:dyDescent="0.3">
      <c r="F42699" s="193"/>
    </row>
    <row r="42700" spans="6:6" x14ac:dyDescent="0.3">
      <c r="F42700" s="193"/>
    </row>
    <row r="42701" spans="6:6" x14ac:dyDescent="0.3">
      <c r="F42701" s="193"/>
    </row>
    <row r="42702" spans="6:6" x14ac:dyDescent="0.3">
      <c r="F42702" s="193"/>
    </row>
    <row r="42703" spans="6:6" x14ac:dyDescent="0.3">
      <c r="F42703" s="193"/>
    </row>
    <row r="42704" spans="6:6" x14ac:dyDescent="0.3">
      <c r="F42704" s="193"/>
    </row>
    <row r="42705" spans="6:6" x14ac:dyDescent="0.3">
      <c r="F42705" s="193"/>
    </row>
    <row r="42706" spans="6:6" x14ac:dyDescent="0.3">
      <c r="F42706" s="193"/>
    </row>
    <row r="42707" spans="6:6" x14ac:dyDescent="0.3">
      <c r="F42707" s="193"/>
    </row>
    <row r="42708" spans="6:6" x14ac:dyDescent="0.3">
      <c r="F42708" s="193"/>
    </row>
    <row r="42709" spans="6:6" x14ac:dyDescent="0.3">
      <c r="F42709" s="193"/>
    </row>
    <row r="42710" spans="6:6" x14ac:dyDescent="0.3">
      <c r="F42710" s="193"/>
    </row>
    <row r="42711" spans="6:6" x14ac:dyDescent="0.3">
      <c r="F42711" s="193"/>
    </row>
    <row r="42712" spans="6:6" x14ac:dyDescent="0.3">
      <c r="F42712" s="193"/>
    </row>
    <row r="42713" spans="6:6" x14ac:dyDescent="0.3">
      <c r="F42713" s="193"/>
    </row>
    <row r="42714" spans="6:6" x14ac:dyDescent="0.3">
      <c r="F42714" s="193"/>
    </row>
    <row r="42715" spans="6:6" x14ac:dyDescent="0.3">
      <c r="F42715" s="193"/>
    </row>
    <row r="42716" spans="6:6" x14ac:dyDescent="0.3">
      <c r="F42716" s="193"/>
    </row>
    <row r="42717" spans="6:6" x14ac:dyDescent="0.3">
      <c r="F42717" s="193"/>
    </row>
    <row r="42718" spans="6:6" x14ac:dyDescent="0.3">
      <c r="F42718" s="193"/>
    </row>
    <row r="42719" spans="6:6" x14ac:dyDescent="0.3">
      <c r="F42719" s="193"/>
    </row>
    <row r="42720" spans="6:6" x14ac:dyDescent="0.3">
      <c r="F42720" s="193"/>
    </row>
    <row r="42721" spans="6:6" x14ac:dyDescent="0.3">
      <c r="F42721" s="193"/>
    </row>
    <row r="42722" spans="6:6" x14ac:dyDescent="0.3">
      <c r="F42722" s="193"/>
    </row>
    <row r="42723" spans="6:6" x14ac:dyDescent="0.3">
      <c r="F42723" s="193"/>
    </row>
    <row r="42724" spans="6:6" x14ac:dyDescent="0.3">
      <c r="F42724" s="193"/>
    </row>
    <row r="42725" spans="6:6" x14ac:dyDescent="0.3">
      <c r="F42725" s="193"/>
    </row>
    <row r="42726" spans="6:6" x14ac:dyDescent="0.3">
      <c r="F42726" s="193"/>
    </row>
    <row r="42727" spans="6:6" x14ac:dyDescent="0.3">
      <c r="F42727" s="193"/>
    </row>
    <row r="42728" spans="6:6" x14ac:dyDescent="0.3">
      <c r="F42728" s="193"/>
    </row>
    <row r="42729" spans="6:6" x14ac:dyDescent="0.3">
      <c r="F42729" s="193"/>
    </row>
    <row r="42730" spans="6:6" x14ac:dyDescent="0.3">
      <c r="F42730" s="193"/>
    </row>
    <row r="42731" spans="6:6" x14ac:dyDescent="0.3">
      <c r="F42731" s="193"/>
    </row>
    <row r="42732" spans="6:6" x14ac:dyDescent="0.3">
      <c r="F42732" s="193"/>
    </row>
    <row r="42733" spans="6:6" x14ac:dyDescent="0.3">
      <c r="F42733" s="193"/>
    </row>
    <row r="42734" spans="6:6" x14ac:dyDescent="0.3">
      <c r="F42734" s="193"/>
    </row>
    <row r="42735" spans="6:6" x14ac:dyDescent="0.3">
      <c r="F42735" s="193"/>
    </row>
    <row r="42736" spans="6:6" x14ac:dyDescent="0.3">
      <c r="F42736" s="193"/>
    </row>
    <row r="42737" spans="6:6" x14ac:dyDescent="0.3">
      <c r="F42737" s="193"/>
    </row>
    <row r="42738" spans="6:6" x14ac:dyDescent="0.3">
      <c r="F42738" s="193"/>
    </row>
    <row r="42739" spans="6:6" x14ac:dyDescent="0.3">
      <c r="F42739" s="193"/>
    </row>
    <row r="42740" spans="6:6" x14ac:dyDescent="0.3">
      <c r="F42740" s="193"/>
    </row>
    <row r="42741" spans="6:6" x14ac:dyDescent="0.3">
      <c r="F42741" s="193"/>
    </row>
    <row r="42742" spans="6:6" x14ac:dyDescent="0.3">
      <c r="F42742" s="193"/>
    </row>
    <row r="42743" spans="6:6" x14ac:dyDescent="0.3">
      <c r="F42743" s="193"/>
    </row>
    <row r="42744" spans="6:6" x14ac:dyDescent="0.3">
      <c r="F42744" s="193"/>
    </row>
    <row r="42745" spans="6:6" x14ac:dyDescent="0.3">
      <c r="F42745" s="193"/>
    </row>
    <row r="42746" spans="6:6" x14ac:dyDescent="0.3">
      <c r="F42746" s="193"/>
    </row>
    <row r="42747" spans="6:6" x14ac:dyDescent="0.3">
      <c r="F42747" s="193"/>
    </row>
    <row r="42748" spans="6:6" x14ac:dyDescent="0.3">
      <c r="F42748" s="193"/>
    </row>
    <row r="42749" spans="6:6" x14ac:dyDescent="0.3">
      <c r="F42749" s="193"/>
    </row>
    <row r="42750" spans="6:6" x14ac:dyDescent="0.3">
      <c r="F42750" s="193"/>
    </row>
    <row r="42751" spans="6:6" x14ac:dyDescent="0.3">
      <c r="F42751" s="193"/>
    </row>
    <row r="42752" spans="6:6" x14ac:dyDescent="0.3">
      <c r="F42752" s="193"/>
    </row>
    <row r="42753" spans="6:6" x14ac:dyDescent="0.3">
      <c r="F42753" s="193"/>
    </row>
    <row r="42754" spans="6:6" x14ac:dyDescent="0.3">
      <c r="F42754" s="193"/>
    </row>
    <row r="42755" spans="6:6" x14ac:dyDescent="0.3">
      <c r="F42755" s="193"/>
    </row>
    <row r="42756" spans="6:6" x14ac:dyDescent="0.3">
      <c r="F42756" s="193"/>
    </row>
    <row r="42757" spans="6:6" x14ac:dyDescent="0.3">
      <c r="F42757" s="193"/>
    </row>
    <row r="42758" spans="6:6" x14ac:dyDescent="0.3">
      <c r="F42758" s="193"/>
    </row>
    <row r="42759" spans="6:6" x14ac:dyDescent="0.3">
      <c r="F42759" s="193"/>
    </row>
    <row r="42760" spans="6:6" x14ac:dyDescent="0.3">
      <c r="F42760" s="193"/>
    </row>
    <row r="42761" spans="6:6" x14ac:dyDescent="0.3">
      <c r="F42761" s="193"/>
    </row>
    <row r="42762" spans="6:6" x14ac:dyDescent="0.3">
      <c r="F42762" s="193"/>
    </row>
    <row r="42763" spans="6:6" x14ac:dyDescent="0.3">
      <c r="F42763" s="193"/>
    </row>
    <row r="42764" spans="6:6" x14ac:dyDescent="0.3">
      <c r="F42764" s="193"/>
    </row>
    <row r="42765" spans="6:6" x14ac:dyDescent="0.3">
      <c r="F42765" s="193"/>
    </row>
    <row r="42766" spans="6:6" x14ac:dyDescent="0.3">
      <c r="F42766" s="193"/>
    </row>
    <row r="42767" spans="6:6" x14ac:dyDescent="0.3">
      <c r="F42767" s="193"/>
    </row>
    <row r="42768" spans="6:6" x14ac:dyDescent="0.3">
      <c r="F42768" s="193"/>
    </row>
    <row r="42769" spans="6:6" x14ac:dyDescent="0.3">
      <c r="F42769" s="193"/>
    </row>
    <row r="42770" spans="6:6" x14ac:dyDescent="0.3">
      <c r="F42770" s="193"/>
    </row>
    <row r="42771" spans="6:6" x14ac:dyDescent="0.3">
      <c r="F42771" s="193"/>
    </row>
    <row r="42772" spans="6:6" x14ac:dyDescent="0.3">
      <c r="F42772" s="193"/>
    </row>
    <row r="42773" spans="6:6" x14ac:dyDescent="0.3">
      <c r="F42773" s="193"/>
    </row>
    <row r="42774" spans="6:6" x14ac:dyDescent="0.3">
      <c r="F42774" s="193"/>
    </row>
    <row r="42775" spans="6:6" x14ac:dyDescent="0.3">
      <c r="F42775" s="193"/>
    </row>
    <row r="42776" spans="6:6" x14ac:dyDescent="0.3">
      <c r="F42776" s="193"/>
    </row>
    <row r="42777" spans="6:6" x14ac:dyDescent="0.3">
      <c r="F42777" s="193"/>
    </row>
    <row r="42778" spans="6:6" x14ac:dyDescent="0.3">
      <c r="F42778" s="193"/>
    </row>
    <row r="42779" spans="6:6" x14ac:dyDescent="0.3">
      <c r="F42779" s="193"/>
    </row>
    <row r="42780" spans="6:6" x14ac:dyDescent="0.3">
      <c r="F42780" s="193"/>
    </row>
    <row r="42781" spans="6:6" x14ac:dyDescent="0.3">
      <c r="F42781" s="193"/>
    </row>
    <row r="42782" spans="6:6" x14ac:dyDescent="0.3">
      <c r="F42782" s="193"/>
    </row>
    <row r="42783" spans="6:6" x14ac:dyDescent="0.3">
      <c r="F42783" s="193"/>
    </row>
    <row r="42784" spans="6:6" x14ac:dyDescent="0.3">
      <c r="F42784" s="193"/>
    </row>
    <row r="42785" spans="6:6" x14ac:dyDescent="0.3">
      <c r="F42785" s="193"/>
    </row>
    <row r="42786" spans="6:6" x14ac:dyDescent="0.3">
      <c r="F42786" s="193"/>
    </row>
    <row r="42787" spans="6:6" x14ac:dyDescent="0.3">
      <c r="F42787" s="193"/>
    </row>
    <row r="42788" spans="6:6" x14ac:dyDescent="0.3">
      <c r="F42788" s="193"/>
    </row>
    <row r="42789" spans="6:6" x14ac:dyDescent="0.3">
      <c r="F42789" s="193"/>
    </row>
    <row r="42790" spans="6:6" x14ac:dyDescent="0.3">
      <c r="F42790" s="193"/>
    </row>
    <row r="42791" spans="6:6" x14ac:dyDescent="0.3">
      <c r="F42791" s="193"/>
    </row>
    <row r="42792" spans="6:6" x14ac:dyDescent="0.3">
      <c r="F42792" s="193"/>
    </row>
    <row r="42793" spans="6:6" x14ac:dyDescent="0.3">
      <c r="F42793" s="193"/>
    </row>
    <row r="42794" spans="6:6" x14ac:dyDescent="0.3">
      <c r="F42794" s="193"/>
    </row>
    <row r="42795" spans="6:6" x14ac:dyDescent="0.3">
      <c r="F42795" s="193"/>
    </row>
    <row r="42796" spans="6:6" x14ac:dyDescent="0.3">
      <c r="F42796" s="193"/>
    </row>
    <row r="42797" spans="6:6" x14ac:dyDescent="0.3">
      <c r="F42797" s="193"/>
    </row>
    <row r="42798" spans="6:6" x14ac:dyDescent="0.3">
      <c r="F42798" s="193"/>
    </row>
    <row r="42799" spans="6:6" x14ac:dyDescent="0.3">
      <c r="F42799" s="193"/>
    </row>
    <row r="42800" spans="6:6" x14ac:dyDescent="0.3">
      <c r="F42800" s="193"/>
    </row>
    <row r="42801" spans="6:6" x14ac:dyDescent="0.3">
      <c r="F42801" s="193"/>
    </row>
    <row r="42802" spans="6:6" x14ac:dyDescent="0.3">
      <c r="F42802" s="193"/>
    </row>
    <row r="42803" spans="6:6" x14ac:dyDescent="0.3">
      <c r="F42803" s="193"/>
    </row>
    <row r="42804" spans="6:6" x14ac:dyDescent="0.3">
      <c r="F42804" s="193"/>
    </row>
    <row r="42805" spans="6:6" x14ac:dyDescent="0.3">
      <c r="F42805" s="193"/>
    </row>
    <row r="42806" spans="6:6" x14ac:dyDescent="0.3">
      <c r="F42806" s="193"/>
    </row>
    <row r="42807" spans="6:6" x14ac:dyDescent="0.3">
      <c r="F42807" s="193"/>
    </row>
    <row r="42808" spans="6:6" x14ac:dyDescent="0.3">
      <c r="F42808" s="193"/>
    </row>
    <row r="42809" spans="6:6" x14ac:dyDescent="0.3">
      <c r="F42809" s="193"/>
    </row>
    <row r="42810" spans="6:6" x14ac:dyDescent="0.3">
      <c r="F42810" s="193"/>
    </row>
    <row r="42811" spans="6:6" x14ac:dyDescent="0.3">
      <c r="F42811" s="193"/>
    </row>
    <row r="42812" spans="6:6" x14ac:dyDescent="0.3">
      <c r="F42812" s="193"/>
    </row>
    <row r="42813" spans="6:6" x14ac:dyDescent="0.3">
      <c r="F42813" s="193"/>
    </row>
    <row r="42814" spans="6:6" x14ac:dyDescent="0.3">
      <c r="F42814" s="193"/>
    </row>
    <row r="42815" spans="6:6" x14ac:dyDescent="0.3">
      <c r="F42815" s="193"/>
    </row>
    <row r="42816" spans="6:6" x14ac:dyDescent="0.3">
      <c r="F42816" s="193"/>
    </row>
    <row r="42817" spans="6:6" x14ac:dyDescent="0.3">
      <c r="F42817" s="193"/>
    </row>
    <row r="42818" spans="6:6" x14ac:dyDescent="0.3">
      <c r="F42818" s="193"/>
    </row>
    <row r="42819" spans="6:6" x14ac:dyDescent="0.3">
      <c r="F42819" s="193"/>
    </row>
    <row r="42820" spans="6:6" x14ac:dyDescent="0.3">
      <c r="F42820" s="193"/>
    </row>
    <row r="42821" spans="6:6" x14ac:dyDescent="0.3">
      <c r="F42821" s="193"/>
    </row>
    <row r="42822" spans="6:6" x14ac:dyDescent="0.3">
      <c r="F42822" s="193"/>
    </row>
    <row r="42823" spans="6:6" x14ac:dyDescent="0.3">
      <c r="F42823" s="193"/>
    </row>
    <row r="42824" spans="6:6" x14ac:dyDescent="0.3">
      <c r="F42824" s="193"/>
    </row>
    <row r="42825" spans="6:6" x14ac:dyDescent="0.3">
      <c r="F42825" s="193"/>
    </row>
    <row r="42826" spans="6:6" x14ac:dyDescent="0.3">
      <c r="F42826" s="193"/>
    </row>
    <row r="42827" spans="6:6" x14ac:dyDescent="0.3">
      <c r="F42827" s="193"/>
    </row>
    <row r="42828" spans="6:6" x14ac:dyDescent="0.3">
      <c r="F42828" s="193"/>
    </row>
    <row r="42829" spans="6:6" x14ac:dyDescent="0.3">
      <c r="F42829" s="193"/>
    </row>
    <row r="42830" spans="6:6" x14ac:dyDescent="0.3">
      <c r="F42830" s="193"/>
    </row>
    <row r="42831" spans="6:6" x14ac:dyDescent="0.3">
      <c r="F42831" s="193"/>
    </row>
    <row r="42832" spans="6:6" x14ac:dyDescent="0.3">
      <c r="F42832" s="193"/>
    </row>
    <row r="42833" spans="6:6" x14ac:dyDescent="0.3">
      <c r="F42833" s="193"/>
    </row>
    <row r="42834" spans="6:6" x14ac:dyDescent="0.3">
      <c r="F42834" s="193"/>
    </row>
    <row r="42835" spans="6:6" x14ac:dyDescent="0.3">
      <c r="F42835" s="193"/>
    </row>
    <row r="42836" spans="6:6" x14ac:dyDescent="0.3">
      <c r="F42836" s="193"/>
    </row>
    <row r="42837" spans="6:6" x14ac:dyDescent="0.3">
      <c r="F42837" s="193"/>
    </row>
    <row r="42838" spans="6:6" x14ac:dyDescent="0.3">
      <c r="F42838" s="193"/>
    </row>
    <row r="42839" spans="6:6" x14ac:dyDescent="0.3">
      <c r="F42839" s="193"/>
    </row>
    <row r="42840" spans="6:6" x14ac:dyDescent="0.3">
      <c r="F42840" s="193"/>
    </row>
    <row r="42841" spans="6:6" x14ac:dyDescent="0.3">
      <c r="F42841" s="193"/>
    </row>
    <row r="42842" spans="6:6" x14ac:dyDescent="0.3">
      <c r="F42842" s="193"/>
    </row>
    <row r="42843" spans="6:6" x14ac:dyDescent="0.3">
      <c r="F42843" s="193"/>
    </row>
    <row r="42844" spans="6:6" x14ac:dyDescent="0.3">
      <c r="F42844" s="193"/>
    </row>
    <row r="42845" spans="6:6" x14ac:dyDescent="0.3">
      <c r="F42845" s="193"/>
    </row>
    <row r="42846" spans="6:6" x14ac:dyDescent="0.3">
      <c r="F42846" s="193"/>
    </row>
    <row r="42847" spans="6:6" x14ac:dyDescent="0.3">
      <c r="F42847" s="193"/>
    </row>
    <row r="42848" spans="6:6" x14ac:dyDescent="0.3">
      <c r="F42848" s="193"/>
    </row>
    <row r="42849" spans="6:6" x14ac:dyDescent="0.3">
      <c r="F42849" s="193"/>
    </row>
    <row r="42850" spans="6:6" x14ac:dyDescent="0.3">
      <c r="F42850" s="193"/>
    </row>
    <row r="42851" spans="6:6" x14ac:dyDescent="0.3">
      <c r="F42851" s="193"/>
    </row>
    <row r="42852" spans="6:6" x14ac:dyDescent="0.3">
      <c r="F42852" s="193"/>
    </row>
    <row r="42853" spans="6:6" x14ac:dyDescent="0.3">
      <c r="F42853" s="193"/>
    </row>
    <row r="42854" spans="6:6" x14ac:dyDescent="0.3">
      <c r="F42854" s="193"/>
    </row>
    <row r="42855" spans="6:6" x14ac:dyDescent="0.3">
      <c r="F42855" s="193"/>
    </row>
    <row r="42856" spans="6:6" x14ac:dyDescent="0.3">
      <c r="F42856" s="193"/>
    </row>
    <row r="42857" spans="6:6" x14ac:dyDescent="0.3">
      <c r="F42857" s="193"/>
    </row>
    <row r="42858" spans="6:6" x14ac:dyDescent="0.3">
      <c r="F42858" s="193"/>
    </row>
    <row r="42859" spans="6:6" x14ac:dyDescent="0.3">
      <c r="F42859" s="193"/>
    </row>
    <row r="42860" spans="6:6" x14ac:dyDescent="0.3">
      <c r="F42860" s="193"/>
    </row>
    <row r="42861" spans="6:6" x14ac:dyDescent="0.3">
      <c r="F42861" s="193"/>
    </row>
    <row r="42862" spans="6:6" x14ac:dyDescent="0.3">
      <c r="F42862" s="193"/>
    </row>
    <row r="42863" spans="6:6" x14ac:dyDescent="0.3">
      <c r="F42863" s="193"/>
    </row>
    <row r="42864" spans="6:6" x14ac:dyDescent="0.3">
      <c r="F42864" s="193"/>
    </row>
    <row r="42865" spans="6:6" x14ac:dyDescent="0.3">
      <c r="F42865" s="193"/>
    </row>
    <row r="42866" spans="6:6" x14ac:dyDescent="0.3">
      <c r="F42866" s="193"/>
    </row>
    <row r="42867" spans="6:6" x14ac:dyDescent="0.3">
      <c r="F42867" s="193"/>
    </row>
    <row r="42868" spans="6:6" x14ac:dyDescent="0.3">
      <c r="F42868" s="193"/>
    </row>
    <row r="42869" spans="6:6" x14ac:dyDescent="0.3">
      <c r="F42869" s="193"/>
    </row>
    <row r="42870" spans="6:6" x14ac:dyDescent="0.3">
      <c r="F42870" s="193"/>
    </row>
    <row r="42871" spans="6:6" x14ac:dyDescent="0.3">
      <c r="F42871" s="193"/>
    </row>
    <row r="42872" spans="6:6" x14ac:dyDescent="0.3">
      <c r="F42872" s="193"/>
    </row>
    <row r="42873" spans="6:6" x14ac:dyDescent="0.3">
      <c r="F42873" s="193"/>
    </row>
    <row r="42874" spans="6:6" x14ac:dyDescent="0.3">
      <c r="F42874" s="193"/>
    </row>
    <row r="42875" spans="6:6" x14ac:dyDescent="0.3">
      <c r="F42875" s="193"/>
    </row>
    <row r="42876" spans="6:6" x14ac:dyDescent="0.3">
      <c r="F42876" s="193"/>
    </row>
    <row r="42877" spans="6:6" x14ac:dyDescent="0.3">
      <c r="F42877" s="193"/>
    </row>
    <row r="42878" spans="6:6" x14ac:dyDescent="0.3">
      <c r="F42878" s="193"/>
    </row>
    <row r="42879" spans="6:6" x14ac:dyDescent="0.3">
      <c r="F42879" s="193"/>
    </row>
    <row r="42880" spans="6:6" x14ac:dyDescent="0.3">
      <c r="F42880" s="193"/>
    </row>
    <row r="42881" spans="6:6" x14ac:dyDescent="0.3">
      <c r="F42881" s="193"/>
    </row>
    <row r="42882" spans="6:6" x14ac:dyDescent="0.3">
      <c r="F42882" s="193"/>
    </row>
    <row r="42883" spans="6:6" x14ac:dyDescent="0.3">
      <c r="F42883" s="193"/>
    </row>
    <row r="42884" spans="6:6" x14ac:dyDescent="0.3">
      <c r="F42884" s="193"/>
    </row>
    <row r="42885" spans="6:6" x14ac:dyDescent="0.3">
      <c r="F42885" s="193"/>
    </row>
    <row r="42886" spans="6:6" x14ac:dyDescent="0.3">
      <c r="F42886" s="193"/>
    </row>
    <row r="42887" spans="6:6" x14ac:dyDescent="0.3">
      <c r="F42887" s="193"/>
    </row>
    <row r="42888" spans="6:6" x14ac:dyDescent="0.3">
      <c r="F42888" s="193"/>
    </row>
    <row r="42889" spans="6:6" x14ac:dyDescent="0.3">
      <c r="F42889" s="193"/>
    </row>
    <row r="42890" spans="6:6" x14ac:dyDescent="0.3">
      <c r="F42890" s="193"/>
    </row>
    <row r="42891" spans="6:6" x14ac:dyDescent="0.3">
      <c r="F42891" s="193"/>
    </row>
    <row r="42892" spans="6:6" x14ac:dyDescent="0.3">
      <c r="F42892" s="193"/>
    </row>
    <row r="42893" spans="6:6" x14ac:dyDescent="0.3">
      <c r="F42893" s="193"/>
    </row>
    <row r="42894" spans="6:6" x14ac:dyDescent="0.3">
      <c r="F42894" s="193"/>
    </row>
    <row r="42895" spans="6:6" x14ac:dyDescent="0.3">
      <c r="F42895" s="193"/>
    </row>
    <row r="42896" spans="6:6" x14ac:dyDescent="0.3">
      <c r="F42896" s="193"/>
    </row>
    <row r="42897" spans="6:6" x14ac:dyDescent="0.3">
      <c r="F42897" s="193"/>
    </row>
    <row r="42898" spans="6:6" x14ac:dyDescent="0.3">
      <c r="F42898" s="193"/>
    </row>
    <row r="42899" spans="6:6" x14ac:dyDescent="0.3">
      <c r="F42899" s="193"/>
    </row>
    <row r="42900" spans="6:6" x14ac:dyDescent="0.3">
      <c r="F42900" s="193"/>
    </row>
    <row r="42901" spans="6:6" x14ac:dyDescent="0.3">
      <c r="F42901" s="193"/>
    </row>
    <row r="42902" spans="6:6" x14ac:dyDescent="0.3">
      <c r="F42902" s="193"/>
    </row>
    <row r="42903" spans="6:6" x14ac:dyDescent="0.3">
      <c r="F42903" s="193"/>
    </row>
    <row r="42904" spans="6:6" x14ac:dyDescent="0.3">
      <c r="F42904" s="193"/>
    </row>
    <row r="42905" spans="6:6" x14ac:dyDescent="0.3">
      <c r="F42905" s="193"/>
    </row>
    <row r="42906" spans="6:6" x14ac:dyDescent="0.3">
      <c r="F42906" s="193"/>
    </row>
    <row r="42907" spans="6:6" x14ac:dyDescent="0.3">
      <c r="F42907" s="193"/>
    </row>
    <row r="42908" spans="6:6" x14ac:dyDescent="0.3">
      <c r="F42908" s="193"/>
    </row>
    <row r="42909" spans="6:6" x14ac:dyDescent="0.3">
      <c r="F42909" s="193"/>
    </row>
    <row r="42910" spans="6:6" x14ac:dyDescent="0.3">
      <c r="F42910" s="193"/>
    </row>
    <row r="42911" spans="6:6" x14ac:dyDescent="0.3">
      <c r="F42911" s="193"/>
    </row>
    <row r="42912" spans="6:6" x14ac:dyDescent="0.3">
      <c r="F42912" s="193"/>
    </row>
    <row r="42913" spans="6:6" x14ac:dyDescent="0.3">
      <c r="F42913" s="193"/>
    </row>
    <row r="42914" spans="6:6" x14ac:dyDescent="0.3">
      <c r="F42914" s="193"/>
    </row>
    <row r="42915" spans="6:6" x14ac:dyDescent="0.3">
      <c r="F42915" s="193"/>
    </row>
    <row r="42916" spans="6:6" x14ac:dyDescent="0.3">
      <c r="F42916" s="193"/>
    </row>
    <row r="42917" spans="6:6" x14ac:dyDescent="0.3">
      <c r="F42917" s="193"/>
    </row>
    <row r="42918" spans="6:6" x14ac:dyDescent="0.3">
      <c r="F42918" s="193"/>
    </row>
    <row r="42919" spans="6:6" x14ac:dyDescent="0.3">
      <c r="F42919" s="193"/>
    </row>
    <row r="42920" spans="6:6" x14ac:dyDescent="0.3">
      <c r="F42920" s="193"/>
    </row>
    <row r="42921" spans="6:6" x14ac:dyDescent="0.3">
      <c r="F42921" s="193"/>
    </row>
    <row r="42922" spans="6:6" x14ac:dyDescent="0.3">
      <c r="F42922" s="193"/>
    </row>
    <row r="42923" spans="6:6" x14ac:dyDescent="0.3">
      <c r="F42923" s="193"/>
    </row>
    <row r="42924" spans="6:6" x14ac:dyDescent="0.3">
      <c r="F42924" s="193"/>
    </row>
    <row r="42925" spans="6:6" x14ac:dyDescent="0.3">
      <c r="F42925" s="193"/>
    </row>
    <row r="42926" spans="6:6" x14ac:dyDescent="0.3">
      <c r="F42926" s="193"/>
    </row>
    <row r="42927" spans="6:6" x14ac:dyDescent="0.3">
      <c r="F42927" s="193"/>
    </row>
    <row r="42928" spans="6:6" x14ac:dyDescent="0.3">
      <c r="F42928" s="193"/>
    </row>
    <row r="42929" spans="6:6" x14ac:dyDescent="0.3">
      <c r="F42929" s="193"/>
    </row>
    <row r="42930" spans="6:6" x14ac:dyDescent="0.3">
      <c r="F42930" s="193"/>
    </row>
    <row r="42931" spans="6:6" x14ac:dyDescent="0.3">
      <c r="F42931" s="193"/>
    </row>
    <row r="42932" spans="6:6" x14ac:dyDescent="0.3">
      <c r="F42932" s="193"/>
    </row>
    <row r="42933" spans="6:6" x14ac:dyDescent="0.3">
      <c r="F42933" s="193"/>
    </row>
    <row r="42934" spans="6:6" x14ac:dyDescent="0.3">
      <c r="F42934" s="193"/>
    </row>
    <row r="42935" spans="6:6" x14ac:dyDescent="0.3">
      <c r="F42935" s="193"/>
    </row>
    <row r="42936" spans="6:6" x14ac:dyDescent="0.3">
      <c r="F42936" s="193"/>
    </row>
    <row r="42937" spans="6:6" x14ac:dyDescent="0.3">
      <c r="F42937" s="193"/>
    </row>
    <row r="42938" spans="6:6" x14ac:dyDescent="0.3">
      <c r="F42938" s="193"/>
    </row>
    <row r="42939" spans="6:6" x14ac:dyDescent="0.3">
      <c r="F42939" s="193"/>
    </row>
    <row r="42940" spans="6:6" x14ac:dyDescent="0.3">
      <c r="F42940" s="193"/>
    </row>
    <row r="42941" spans="6:6" x14ac:dyDescent="0.3">
      <c r="F42941" s="193"/>
    </row>
    <row r="42942" spans="6:6" x14ac:dyDescent="0.3">
      <c r="F42942" s="193"/>
    </row>
    <row r="42943" spans="6:6" x14ac:dyDescent="0.3">
      <c r="F42943" s="193"/>
    </row>
    <row r="42944" spans="6:6" x14ac:dyDescent="0.3">
      <c r="F42944" s="193"/>
    </row>
    <row r="42945" spans="6:6" x14ac:dyDescent="0.3">
      <c r="F42945" s="193"/>
    </row>
    <row r="42946" spans="6:6" x14ac:dyDescent="0.3">
      <c r="F42946" s="193"/>
    </row>
    <row r="42947" spans="6:6" x14ac:dyDescent="0.3">
      <c r="F42947" s="193"/>
    </row>
    <row r="42948" spans="6:6" x14ac:dyDescent="0.3">
      <c r="F42948" s="193"/>
    </row>
    <row r="42949" spans="6:6" x14ac:dyDescent="0.3">
      <c r="F42949" s="193"/>
    </row>
    <row r="42950" spans="6:6" x14ac:dyDescent="0.3">
      <c r="F42950" s="193"/>
    </row>
    <row r="42951" spans="6:6" x14ac:dyDescent="0.3">
      <c r="F42951" s="193"/>
    </row>
    <row r="42952" spans="6:6" x14ac:dyDescent="0.3">
      <c r="F42952" s="193"/>
    </row>
    <row r="42953" spans="6:6" x14ac:dyDescent="0.3">
      <c r="F42953" s="193"/>
    </row>
    <row r="42954" spans="6:6" x14ac:dyDescent="0.3">
      <c r="F42954" s="193"/>
    </row>
    <row r="42955" spans="6:6" x14ac:dyDescent="0.3">
      <c r="F42955" s="193"/>
    </row>
    <row r="42956" spans="6:6" x14ac:dyDescent="0.3">
      <c r="F42956" s="193"/>
    </row>
    <row r="42957" spans="6:6" x14ac:dyDescent="0.3">
      <c r="F42957" s="193"/>
    </row>
    <row r="42958" spans="6:6" x14ac:dyDescent="0.3">
      <c r="F42958" s="193"/>
    </row>
    <row r="42959" spans="6:6" x14ac:dyDescent="0.3">
      <c r="F42959" s="193"/>
    </row>
    <row r="42960" spans="6:6" x14ac:dyDescent="0.3">
      <c r="F42960" s="193"/>
    </row>
    <row r="42961" spans="6:6" x14ac:dyDescent="0.3">
      <c r="F42961" s="193"/>
    </row>
    <row r="42962" spans="6:6" x14ac:dyDescent="0.3">
      <c r="F42962" s="193"/>
    </row>
    <row r="42963" spans="6:6" x14ac:dyDescent="0.3">
      <c r="F42963" s="193"/>
    </row>
    <row r="42964" spans="6:6" x14ac:dyDescent="0.3">
      <c r="F42964" s="193"/>
    </row>
    <row r="42965" spans="6:6" x14ac:dyDescent="0.3">
      <c r="F42965" s="193"/>
    </row>
    <row r="42966" spans="6:6" x14ac:dyDescent="0.3">
      <c r="F42966" s="193"/>
    </row>
    <row r="42967" spans="6:6" x14ac:dyDescent="0.3">
      <c r="F42967" s="193"/>
    </row>
    <row r="42968" spans="6:6" x14ac:dyDescent="0.3">
      <c r="F42968" s="193"/>
    </row>
    <row r="42969" spans="6:6" x14ac:dyDescent="0.3">
      <c r="F42969" s="193"/>
    </row>
    <row r="42970" spans="6:6" x14ac:dyDescent="0.3">
      <c r="F42970" s="193"/>
    </row>
    <row r="42971" spans="6:6" x14ac:dyDescent="0.3">
      <c r="F42971" s="193"/>
    </row>
    <row r="42972" spans="6:6" x14ac:dyDescent="0.3">
      <c r="F42972" s="193"/>
    </row>
    <row r="42973" spans="6:6" x14ac:dyDescent="0.3">
      <c r="F42973" s="193"/>
    </row>
    <row r="42974" spans="6:6" x14ac:dyDescent="0.3">
      <c r="F42974" s="193"/>
    </row>
    <row r="42975" spans="6:6" x14ac:dyDescent="0.3">
      <c r="F42975" s="193"/>
    </row>
    <row r="42976" spans="6:6" x14ac:dyDescent="0.3">
      <c r="F42976" s="193"/>
    </row>
    <row r="42977" spans="6:6" x14ac:dyDescent="0.3">
      <c r="F42977" s="193"/>
    </row>
    <row r="42978" spans="6:6" x14ac:dyDescent="0.3">
      <c r="F42978" s="193"/>
    </row>
    <row r="42979" spans="6:6" x14ac:dyDescent="0.3">
      <c r="F42979" s="193"/>
    </row>
    <row r="42980" spans="6:6" x14ac:dyDescent="0.3">
      <c r="F42980" s="193"/>
    </row>
    <row r="42981" spans="6:6" x14ac:dyDescent="0.3">
      <c r="F42981" s="193"/>
    </row>
    <row r="42982" spans="6:6" x14ac:dyDescent="0.3">
      <c r="F42982" s="193"/>
    </row>
    <row r="42983" spans="6:6" x14ac:dyDescent="0.3">
      <c r="F42983" s="193"/>
    </row>
    <row r="42984" spans="6:6" x14ac:dyDescent="0.3">
      <c r="F42984" s="193"/>
    </row>
    <row r="42985" spans="6:6" x14ac:dyDescent="0.3">
      <c r="F42985" s="193"/>
    </row>
    <row r="42986" spans="6:6" x14ac:dyDescent="0.3">
      <c r="F42986" s="193"/>
    </row>
    <row r="42987" spans="6:6" x14ac:dyDescent="0.3">
      <c r="F42987" s="193"/>
    </row>
    <row r="42988" spans="6:6" x14ac:dyDescent="0.3">
      <c r="F42988" s="193"/>
    </row>
    <row r="42989" spans="6:6" x14ac:dyDescent="0.3">
      <c r="F42989" s="193"/>
    </row>
    <row r="42990" spans="6:6" x14ac:dyDescent="0.3">
      <c r="F42990" s="193"/>
    </row>
    <row r="42991" spans="6:6" x14ac:dyDescent="0.3">
      <c r="F42991" s="193"/>
    </row>
    <row r="42992" spans="6:6" x14ac:dyDescent="0.3">
      <c r="F42992" s="193"/>
    </row>
    <row r="42993" spans="6:6" x14ac:dyDescent="0.3">
      <c r="F42993" s="193"/>
    </row>
    <row r="42994" spans="6:6" x14ac:dyDescent="0.3">
      <c r="F42994" s="193"/>
    </row>
    <row r="42995" spans="6:6" x14ac:dyDescent="0.3">
      <c r="F42995" s="193"/>
    </row>
    <row r="42996" spans="6:6" x14ac:dyDescent="0.3">
      <c r="F42996" s="193"/>
    </row>
    <row r="42997" spans="6:6" x14ac:dyDescent="0.3">
      <c r="F42997" s="193"/>
    </row>
    <row r="42998" spans="6:6" x14ac:dyDescent="0.3">
      <c r="F42998" s="193"/>
    </row>
    <row r="42999" spans="6:6" x14ac:dyDescent="0.3">
      <c r="F42999" s="193"/>
    </row>
    <row r="43000" spans="6:6" x14ac:dyDescent="0.3">
      <c r="F43000" s="193"/>
    </row>
    <row r="43001" spans="6:6" x14ac:dyDescent="0.3">
      <c r="F43001" s="193"/>
    </row>
    <row r="43002" spans="6:6" x14ac:dyDescent="0.3">
      <c r="F43002" s="193"/>
    </row>
    <row r="43003" spans="6:6" x14ac:dyDescent="0.3">
      <c r="F43003" s="193"/>
    </row>
    <row r="43004" spans="6:6" x14ac:dyDescent="0.3">
      <c r="F43004" s="193"/>
    </row>
    <row r="43005" spans="6:6" x14ac:dyDescent="0.3">
      <c r="F43005" s="193"/>
    </row>
    <row r="43006" spans="6:6" x14ac:dyDescent="0.3">
      <c r="F43006" s="193"/>
    </row>
    <row r="43007" spans="6:6" x14ac:dyDescent="0.3">
      <c r="F43007" s="193"/>
    </row>
    <row r="43008" spans="6:6" x14ac:dyDescent="0.3">
      <c r="F43008" s="193"/>
    </row>
    <row r="43009" spans="6:6" x14ac:dyDescent="0.3">
      <c r="F43009" s="193"/>
    </row>
    <row r="43010" spans="6:6" x14ac:dyDescent="0.3">
      <c r="F43010" s="193"/>
    </row>
    <row r="43011" spans="6:6" x14ac:dyDescent="0.3">
      <c r="F43011" s="193"/>
    </row>
    <row r="43012" spans="6:6" x14ac:dyDescent="0.3">
      <c r="F43012" s="193"/>
    </row>
    <row r="43013" spans="6:6" x14ac:dyDescent="0.3">
      <c r="F43013" s="193"/>
    </row>
    <row r="43014" spans="6:6" x14ac:dyDescent="0.3">
      <c r="F43014" s="193"/>
    </row>
    <row r="43015" spans="6:6" x14ac:dyDescent="0.3">
      <c r="F43015" s="193"/>
    </row>
    <row r="43016" spans="6:6" x14ac:dyDescent="0.3">
      <c r="F43016" s="193"/>
    </row>
    <row r="43017" spans="6:6" x14ac:dyDescent="0.3">
      <c r="F43017" s="193"/>
    </row>
    <row r="43018" spans="6:6" x14ac:dyDescent="0.3">
      <c r="F43018" s="193"/>
    </row>
    <row r="43019" spans="6:6" x14ac:dyDescent="0.3">
      <c r="F43019" s="193"/>
    </row>
    <row r="43020" spans="6:6" x14ac:dyDescent="0.3">
      <c r="F43020" s="193"/>
    </row>
    <row r="43021" spans="6:6" x14ac:dyDescent="0.3">
      <c r="F43021" s="193"/>
    </row>
    <row r="43022" spans="6:6" x14ac:dyDescent="0.3">
      <c r="F43022" s="193"/>
    </row>
    <row r="43023" spans="6:6" x14ac:dyDescent="0.3">
      <c r="F43023" s="193"/>
    </row>
    <row r="43024" spans="6:6" x14ac:dyDescent="0.3">
      <c r="F43024" s="193"/>
    </row>
    <row r="43025" spans="6:6" x14ac:dyDescent="0.3">
      <c r="F43025" s="193"/>
    </row>
    <row r="43026" spans="6:6" x14ac:dyDescent="0.3">
      <c r="F43026" s="193"/>
    </row>
    <row r="43027" spans="6:6" x14ac:dyDescent="0.3">
      <c r="F43027" s="193"/>
    </row>
    <row r="43028" spans="6:6" x14ac:dyDescent="0.3">
      <c r="F43028" s="193"/>
    </row>
    <row r="43029" spans="6:6" x14ac:dyDescent="0.3">
      <c r="F43029" s="193"/>
    </row>
    <row r="43030" spans="6:6" x14ac:dyDescent="0.3">
      <c r="F43030" s="193"/>
    </row>
    <row r="43031" spans="6:6" x14ac:dyDescent="0.3">
      <c r="F43031" s="193"/>
    </row>
    <row r="43032" spans="6:6" x14ac:dyDescent="0.3">
      <c r="F43032" s="193"/>
    </row>
    <row r="43033" spans="6:6" x14ac:dyDescent="0.3">
      <c r="F43033" s="193"/>
    </row>
    <row r="43034" spans="6:6" x14ac:dyDescent="0.3">
      <c r="F43034" s="193"/>
    </row>
    <row r="43035" spans="6:6" x14ac:dyDescent="0.3">
      <c r="F43035" s="193"/>
    </row>
    <row r="43036" spans="6:6" x14ac:dyDescent="0.3">
      <c r="F43036" s="193"/>
    </row>
    <row r="43037" spans="6:6" x14ac:dyDescent="0.3">
      <c r="F43037" s="193"/>
    </row>
    <row r="43038" spans="6:6" x14ac:dyDescent="0.3">
      <c r="F43038" s="193"/>
    </row>
    <row r="43039" spans="6:6" x14ac:dyDescent="0.3">
      <c r="F43039" s="193"/>
    </row>
    <row r="43040" spans="6:6" x14ac:dyDescent="0.3">
      <c r="F43040" s="193"/>
    </row>
    <row r="43041" spans="6:6" x14ac:dyDescent="0.3">
      <c r="F43041" s="193"/>
    </row>
    <row r="43042" spans="6:6" x14ac:dyDescent="0.3">
      <c r="F43042" s="193"/>
    </row>
    <row r="43043" spans="6:6" x14ac:dyDescent="0.3">
      <c r="F43043" s="193"/>
    </row>
    <row r="43044" spans="6:6" x14ac:dyDescent="0.3">
      <c r="F43044" s="193"/>
    </row>
    <row r="43045" spans="6:6" x14ac:dyDescent="0.3">
      <c r="F43045" s="193"/>
    </row>
    <row r="43046" spans="6:6" x14ac:dyDescent="0.3">
      <c r="F43046" s="193"/>
    </row>
    <row r="43047" spans="6:6" x14ac:dyDescent="0.3">
      <c r="F43047" s="193"/>
    </row>
    <row r="43048" spans="6:6" x14ac:dyDescent="0.3">
      <c r="F43048" s="193"/>
    </row>
    <row r="43049" spans="6:6" x14ac:dyDescent="0.3">
      <c r="F43049" s="193"/>
    </row>
    <row r="43050" spans="6:6" x14ac:dyDescent="0.3">
      <c r="F43050" s="193"/>
    </row>
    <row r="43051" spans="6:6" x14ac:dyDescent="0.3">
      <c r="F43051" s="193"/>
    </row>
    <row r="43052" spans="6:6" x14ac:dyDescent="0.3">
      <c r="F43052" s="193"/>
    </row>
    <row r="43053" spans="6:6" x14ac:dyDescent="0.3">
      <c r="F43053" s="193"/>
    </row>
    <row r="43054" spans="6:6" x14ac:dyDescent="0.3">
      <c r="F43054" s="193"/>
    </row>
    <row r="43055" spans="6:6" x14ac:dyDescent="0.3">
      <c r="F43055" s="193"/>
    </row>
    <row r="43056" spans="6:6" x14ac:dyDescent="0.3">
      <c r="F43056" s="193"/>
    </row>
    <row r="43057" spans="6:6" x14ac:dyDescent="0.3">
      <c r="F43057" s="193"/>
    </row>
    <row r="43058" spans="6:6" x14ac:dyDescent="0.3">
      <c r="F43058" s="193"/>
    </row>
    <row r="43059" spans="6:6" x14ac:dyDescent="0.3">
      <c r="F43059" s="193"/>
    </row>
    <row r="43060" spans="6:6" x14ac:dyDescent="0.3">
      <c r="F43060" s="193"/>
    </row>
    <row r="43061" spans="6:6" x14ac:dyDescent="0.3">
      <c r="F43061" s="193"/>
    </row>
    <row r="43062" spans="6:6" x14ac:dyDescent="0.3">
      <c r="F43062" s="193"/>
    </row>
    <row r="43063" spans="6:6" x14ac:dyDescent="0.3">
      <c r="F43063" s="193"/>
    </row>
    <row r="43064" spans="6:6" x14ac:dyDescent="0.3">
      <c r="F43064" s="193"/>
    </row>
    <row r="43065" spans="6:6" x14ac:dyDescent="0.3">
      <c r="F43065" s="193"/>
    </row>
    <row r="43066" spans="6:6" x14ac:dyDescent="0.3">
      <c r="F43066" s="193"/>
    </row>
    <row r="43067" spans="6:6" x14ac:dyDescent="0.3">
      <c r="F43067" s="193"/>
    </row>
    <row r="43068" spans="6:6" x14ac:dyDescent="0.3">
      <c r="F43068" s="193"/>
    </row>
    <row r="43069" spans="6:6" x14ac:dyDescent="0.3">
      <c r="F43069" s="193"/>
    </row>
    <row r="43070" spans="6:6" x14ac:dyDescent="0.3">
      <c r="F43070" s="193"/>
    </row>
    <row r="43071" spans="6:6" x14ac:dyDescent="0.3">
      <c r="F43071" s="193"/>
    </row>
    <row r="43072" spans="6:6" x14ac:dyDescent="0.3">
      <c r="F43072" s="193"/>
    </row>
    <row r="43073" spans="6:6" x14ac:dyDescent="0.3">
      <c r="F43073" s="193"/>
    </row>
    <row r="43074" spans="6:6" x14ac:dyDescent="0.3">
      <c r="F43074" s="193"/>
    </row>
    <row r="43075" spans="6:6" x14ac:dyDescent="0.3">
      <c r="F43075" s="193"/>
    </row>
    <row r="43076" spans="6:6" x14ac:dyDescent="0.3">
      <c r="F43076" s="193"/>
    </row>
    <row r="43077" spans="6:6" x14ac:dyDescent="0.3">
      <c r="F43077" s="193"/>
    </row>
    <row r="43078" spans="6:6" x14ac:dyDescent="0.3">
      <c r="F43078" s="193"/>
    </row>
    <row r="43079" spans="6:6" x14ac:dyDescent="0.3">
      <c r="F43079" s="193"/>
    </row>
    <row r="43080" spans="6:6" x14ac:dyDescent="0.3">
      <c r="F43080" s="193"/>
    </row>
    <row r="43081" spans="6:6" x14ac:dyDescent="0.3">
      <c r="F43081" s="193"/>
    </row>
    <row r="43082" spans="6:6" x14ac:dyDescent="0.3">
      <c r="F43082" s="193"/>
    </row>
    <row r="43083" spans="6:6" x14ac:dyDescent="0.3">
      <c r="F43083" s="193"/>
    </row>
    <row r="43084" spans="6:6" x14ac:dyDescent="0.3">
      <c r="F43084" s="193"/>
    </row>
    <row r="43085" spans="6:6" x14ac:dyDescent="0.3">
      <c r="F43085" s="193"/>
    </row>
    <row r="43086" spans="6:6" x14ac:dyDescent="0.3">
      <c r="F43086" s="193"/>
    </row>
    <row r="43087" spans="6:6" x14ac:dyDescent="0.3">
      <c r="F43087" s="193"/>
    </row>
    <row r="43088" spans="6:6" x14ac:dyDescent="0.3">
      <c r="F43088" s="193"/>
    </row>
    <row r="43089" spans="6:6" x14ac:dyDescent="0.3">
      <c r="F43089" s="193"/>
    </row>
    <row r="43090" spans="6:6" x14ac:dyDescent="0.3">
      <c r="F43090" s="193"/>
    </row>
    <row r="43091" spans="6:6" x14ac:dyDescent="0.3">
      <c r="F43091" s="193"/>
    </row>
    <row r="43092" spans="6:6" x14ac:dyDescent="0.3">
      <c r="F43092" s="193"/>
    </row>
    <row r="43093" spans="6:6" x14ac:dyDescent="0.3">
      <c r="F43093" s="193"/>
    </row>
    <row r="43094" spans="6:6" x14ac:dyDescent="0.3">
      <c r="F43094" s="193"/>
    </row>
    <row r="43095" spans="6:6" x14ac:dyDescent="0.3">
      <c r="F43095" s="193"/>
    </row>
    <row r="43096" spans="6:6" x14ac:dyDescent="0.3">
      <c r="F43096" s="193"/>
    </row>
    <row r="43097" spans="6:6" x14ac:dyDescent="0.3">
      <c r="F43097" s="193"/>
    </row>
    <row r="43098" spans="6:6" x14ac:dyDescent="0.3">
      <c r="F43098" s="193"/>
    </row>
    <row r="43099" spans="6:6" x14ac:dyDescent="0.3">
      <c r="F43099" s="193"/>
    </row>
    <row r="43100" spans="6:6" x14ac:dyDescent="0.3">
      <c r="F43100" s="193"/>
    </row>
    <row r="43101" spans="6:6" x14ac:dyDescent="0.3">
      <c r="F43101" s="193"/>
    </row>
    <row r="43102" spans="6:6" x14ac:dyDescent="0.3">
      <c r="F43102" s="193"/>
    </row>
    <row r="43103" spans="6:6" x14ac:dyDescent="0.3">
      <c r="F43103" s="193"/>
    </row>
    <row r="43104" spans="6:6" x14ac:dyDescent="0.3">
      <c r="F43104" s="193"/>
    </row>
    <row r="43105" spans="6:6" x14ac:dyDescent="0.3">
      <c r="F43105" s="193"/>
    </row>
    <row r="43106" spans="6:6" x14ac:dyDescent="0.3">
      <c r="F43106" s="193"/>
    </row>
    <row r="43107" spans="6:6" x14ac:dyDescent="0.3">
      <c r="F43107" s="193"/>
    </row>
    <row r="43108" spans="6:6" x14ac:dyDescent="0.3">
      <c r="F43108" s="193"/>
    </row>
    <row r="43109" spans="6:6" x14ac:dyDescent="0.3">
      <c r="F43109" s="193"/>
    </row>
    <row r="43110" spans="6:6" x14ac:dyDescent="0.3">
      <c r="F43110" s="193"/>
    </row>
    <row r="43111" spans="6:6" x14ac:dyDescent="0.3">
      <c r="F43111" s="193"/>
    </row>
    <row r="43112" spans="6:6" x14ac:dyDescent="0.3">
      <c r="F43112" s="193"/>
    </row>
    <row r="43113" spans="6:6" x14ac:dyDescent="0.3">
      <c r="F43113" s="193"/>
    </row>
    <row r="43114" spans="6:6" x14ac:dyDescent="0.3">
      <c r="F43114" s="193"/>
    </row>
    <row r="43115" spans="6:6" x14ac:dyDescent="0.3">
      <c r="F43115" s="193"/>
    </row>
    <row r="43116" spans="6:6" x14ac:dyDescent="0.3">
      <c r="F43116" s="193"/>
    </row>
    <row r="43117" spans="6:6" x14ac:dyDescent="0.3">
      <c r="F43117" s="193"/>
    </row>
    <row r="43118" spans="6:6" x14ac:dyDescent="0.3">
      <c r="F43118" s="193"/>
    </row>
    <row r="43119" spans="6:6" x14ac:dyDescent="0.3">
      <c r="F43119" s="193"/>
    </row>
    <row r="43120" spans="6:6" x14ac:dyDescent="0.3">
      <c r="F43120" s="193"/>
    </row>
    <row r="43121" spans="6:6" x14ac:dyDescent="0.3">
      <c r="F43121" s="193"/>
    </row>
    <row r="43122" spans="6:6" x14ac:dyDescent="0.3">
      <c r="F43122" s="193"/>
    </row>
    <row r="43123" spans="6:6" x14ac:dyDescent="0.3">
      <c r="F43123" s="193"/>
    </row>
    <row r="43124" spans="6:6" x14ac:dyDescent="0.3">
      <c r="F43124" s="193"/>
    </row>
    <row r="43125" spans="6:6" x14ac:dyDescent="0.3">
      <c r="F43125" s="193"/>
    </row>
    <row r="43126" spans="6:6" x14ac:dyDescent="0.3">
      <c r="F43126" s="193"/>
    </row>
    <row r="43127" spans="6:6" x14ac:dyDescent="0.3">
      <c r="F43127" s="193"/>
    </row>
    <row r="43128" spans="6:6" x14ac:dyDescent="0.3">
      <c r="F43128" s="193"/>
    </row>
    <row r="43129" spans="6:6" x14ac:dyDescent="0.3">
      <c r="F43129" s="193"/>
    </row>
    <row r="43130" spans="6:6" x14ac:dyDescent="0.3">
      <c r="F43130" s="193"/>
    </row>
    <row r="43131" spans="6:6" x14ac:dyDescent="0.3">
      <c r="F43131" s="193"/>
    </row>
    <row r="43132" spans="6:6" x14ac:dyDescent="0.3">
      <c r="F43132" s="193"/>
    </row>
    <row r="43133" spans="6:6" x14ac:dyDescent="0.3">
      <c r="F43133" s="193"/>
    </row>
    <row r="43134" spans="6:6" x14ac:dyDescent="0.3">
      <c r="F43134" s="193"/>
    </row>
    <row r="43135" spans="6:6" x14ac:dyDescent="0.3">
      <c r="F43135" s="193"/>
    </row>
    <row r="43136" spans="6:6" x14ac:dyDescent="0.3">
      <c r="F43136" s="193"/>
    </row>
    <row r="43137" spans="6:6" x14ac:dyDescent="0.3">
      <c r="F43137" s="193"/>
    </row>
    <row r="43138" spans="6:6" x14ac:dyDescent="0.3">
      <c r="F43138" s="193"/>
    </row>
    <row r="43139" spans="6:6" x14ac:dyDescent="0.3">
      <c r="F43139" s="193"/>
    </row>
    <row r="43140" spans="6:6" x14ac:dyDescent="0.3">
      <c r="F43140" s="193"/>
    </row>
    <row r="43141" spans="6:6" x14ac:dyDescent="0.3">
      <c r="F43141" s="193"/>
    </row>
    <row r="43142" spans="6:6" x14ac:dyDescent="0.3">
      <c r="F43142" s="193"/>
    </row>
    <row r="43143" spans="6:6" x14ac:dyDescent="0.3">
      <c r="F43143" s="193"/>
    </row>
    <row r="43144" spans="6:6" x14ac:dyDescent="0.3">
      <c r="F43144" s="193"/>
    </row>
    <row r="43145" spans="6:6" x14ac:dyDescent="0.3">
      <c r="F43145" s="193"/>
    </row>
    <row r="43146" spans="6:6" x14ac:dyDescent="0.3">
      <c r="F43146" s="193"/>
    </row>
    <row r="43147" spans="6:6" x14ac:dyDescent="0.3">
      <c r="F43147" s="193"/>
    </row>
    <row r="43148" spans="6:6" x14ac:dyDescent="0.3">
      <c r="F43148" s="193"/>
    </row>
    <row r="43149" spans="6:6" x14ac:dyDescent="0.3">
      <c r="F43149" s="193"/>
    </row>
    <row r="43150" spans="6:6" x14ac:dyDescent="0.3">
      <c r="F43150" s="193"/>
    </row>
    <row r="43151" spans="6:6" x14ac:dyDescent="0.3">
      <c r="F43151" s="193"/>
    </row>
    <row r="43152" spans="6:6" x14ac:dyDescent="0.3">
      <c r="F43152" s="193"/>
    </row>
    <row r="43153" spans="6:6" x14ac:dyDescent="0.3">
      <c r="F43153" s="193"/>
    </row>
    <row r="43154" spans="6:6" x14ac:dyDescent="0.3">
      <c r="F43154" s="193"/>
    </row>
    <row r="43155" spans="6:6" x14ac:dyDescent="0.3">
      <c r="F43155" s="193"/>
    </row>
    <row r="43156" spans="6:6" x14ac:dyDescent="0.3">
      <c r="F43156" s="193"/>
    </row>
    <row r="43157" spans="6:6" x14ac:dyDescent="0.3">
      <c r="F43157" s="193"/>
    </row>
    <row r="43158" spans="6:6" x14ac:dyDescent="0.3">
      <c r="F43158" s="193"/>
    </row>
    <row r="43159" spans="6:6" x14ac:dyDescent="0.3">
      <c r="F43159" s="193"/>
    </row>
    <row r="43160" spans="6:6" x14ac:dyDescent="0.3">
      <c r="F43160" s="193"/>
    </row>
    <row r="43161" spans="6:6" x14ac:dyDescent="0.3">
      <c r="F43161" s="193"/>
    </row>
    <row r="43162" spans="6:6" x14ac:dyDescent="0.3">
      <c r="F43162" s="193"/>
    </row>
    <row r="43163" spans="6:6" x14ac:dyDescent="0.3">
      <c r="F43163" s="193"/>
    </row>
    <row r="43164" spans="6:6" x14ac:dyDescent="0.3">
      <c r="F43164" s="193"/>
    </row>
    <row r="43165" spans="6:6" x14ac:dyDescent="0.3">
      <c r="F43165" s="193"/>
    </row>
    <row r="43166" spans="6:6" x14ac:dyDescent="0.3">
      <c r="F43166" s="193"/>
    </row>
    <row r="43167" spans="6:6" x14ac:dyDescent="0.3">
      <c r="F43167" s="193"/>
    </row>
    <row r="43168" spans="6:6" x14ac:dyDescent="0.3">
      <c r="F43168" s="193"/>
    </row>
    <row r="43169" spans="6:6" x14ac:dyDescent="0.3">
      <c r="F43169" s="193"/>
    </row>
    <row r="43170" spans="6:6" x14ac:dyDescent="0.3">
      <c r="F43170" s="193"/>
    </row>
    <row r="43171" spans="6:6" x14ac:dyDescent="0.3">
      <c r="F43171" s="193"/>
    </row>
    <row r="43172" spans="6:6" x14ac:dyDescent="0.3">
      <c r="F43172" s="193"/>
    </row>
    <row r="43173" spans="6:6" x14ac:dyDescent="0.3">
      <c r="F43173" s="193"/>
    </row>
    <row r="43174" spans="6:6" x14ac:dyDescent="0.3">
      <c r="F43174" s="193"/>
    </row>
    <row r="43175" spans="6:6" x14ac:dyDescent="0.3">
      <c r="F43175" s="193"/>
    </row>
    <row r="43176" spans="6:6" x14ac:dyDescent="0.3">
      <c r="F43176" s="193"/>
    </row>
    <row r="43177" spans="6:6" x14ac:dyDescent="0.3">
      <c r="F43177" s="193"/>
    </row>
    <row r="43178" spans="6:6" x14ac:dyDescent="0.3">
      <c r="F43178" s="193"/>
    </row>
    <row r="43179" spans="6:6" x14ac:dyDescent="0.3">
      <c r="F43179" s="193"/>
    </row>
    <row r="43180" spans="6:6" x14ac:dyDescent="0.3">
      <c r="F43180" s="193"/>
    </row>
    <row r="43181" spans="6:6" x14ac:dyDescent="0.3">
      <c r="F43181" s="193"/>
    </row>
    <row r="43182" spans="6:6" x14ac:dyDescent="0.3">
      <c r="F43182" s="193"/>
    </row>
    <row r="43183" spans="6:6" x14ac:dyDescent="0.3">
      <c r="F43183" s="193"/>
    </row>
    <row r="43184" spans="6:6" x14ac:dyDescent="0.3">
      <c r="F43184" s="193"/>
    </row>
    <row r="43185" spans="6:6" x14ac:dyDescent="0.3">
      <c r="F43185" s="193"/>
    </row>
    <row r="43186" spans="6:6" x14ac:dyDescent="0.3">
      <c r="F43186" s="193"/>
    </row>
    <row r="43187" spans="6:6" x14ac:dyDescent="0.3">
      <c r="F43187" s="193"/>
    </row>
    <row r="43188" spans="6:6" x14ac:dyDescent="0.3">
      <c r="F43188" s="193"/>
    </row>
    <row r="43189" spans="6:6" x14ac:dyDescent="0.3">
      <c r="F43189" s="193"/>
    </row>
    <row r="43190" spans="6:6" x14ac:dyDescent="0.3">
      <c r="F43190" s="193"/>
    </row>
    <row r="43191" spans="6:6" x14ac:dyDescent="0.3">
      <c r="F43191" s="193"/>
    </row>
    <row r="43192" spans="6:6" x14ac:dyDescent="0.3">
      <c r="F43192" s="193"/>
    </row>
    <row r="43193" spans="6:6" x14ac:dyDescent="0.3">
      <c r="F43193" s="193"/>
    </row>
    <row r="43194" spans="6:6" x14ac:dyDescent="0.3">
      <c r="F43194" s="193"/>
    </row>
    <row r="43195" spans="6:6" x14ac:dyDescent="0.3">
      <c r="F43195" s="193"/>
    </row>
    <row r="43196" spans="6:6" x14ac:dyDescent="0.3">
      <c r="F43196" s="193"/>
    </row>
    <row r="43197" spans="6:6" x14ac:dyDescent="0.3">
      <c r="F43197" s="193"/>
    </row>
    <row r="43198" spans="6:6" x14ac:dyDescent="0.3">
      <c r="F43198" s="193"/>
    </row>
    <row r="43199" spans="6:6" x14ac:dyDescent="0.3">
      <c r="F43199" s="193"/>
    </row>
    <row r="43200" spans="6:6" x14ac:dyDescent="0.3">
      <c r="F43200" s="193"/>
    </row>
    <row r="43201" spans="6:6" x14ac:dyDescent="0.3">
      <c r="F43201" s="193"/>
    </row>
    <row r="43202" spans="6:6" x14ac:dyDescent="0.3">
      <c r="F43202" s="193"/>
    </row>
    <row r="43203" spans="6:6" x14ac:dyDescent="0.3">
      <c r="F43203" s="193"/>
    </row>
    <row r="43204" spans="6:6" x14ac:dyDescent="0.3">
      <c r="F43204" s="193"/>
    </row>
    <row r="43205" spans="6:6" x14ac:dyDescent="0.3">
      <c r="F43205" s="193"/>
    </row>
    <row r="43206" spans="6:6" x14ac:dyDescent="0.3">
      <c r="F43206" s="193"/>
    </row>
    <row r="43207" spans="6:6" x14ac:dyDescent="0.3">
      <c r="F43207" s="193"/>
    </row>
    <row r="43208" spans="6:6" x14ac:dyDescent="0.3">
      <c r="F43208" s="193"/>
    </row>
    <row r="43209" spans="6:6" x14ac:dyDescent="0.3">
      <c r="F43209" s="193"/>
    </row>
    <row r="43210" spans="6:6" x14ac:dyDescent="0.3">
      <c r="F43210" s="193"/>
    </row>
    <row r="43211" spans="6:6" x14ac:dyDescent="0.3">
      <c r="F43211" s="193"/>
    </row>
    <row r="43212" spans="6:6" x14ac:dyDescent="0.3">
      <c r="F43212" s="193"/>
    </row>
    <row r="43213" spans="6:6" x14ac:dyDescent="0.3">
      <c r="F43213" s="193"/>
    </row>
    <row r="43214" spans="6:6" x14ac:dyDescent="0.3">
      <c r="F43214" s="193"/>
    </row>
    <row r="43215" spans="6:6" x14ac:dyDescent="0.3">
      <c r="F43215" s="193"/>
    </row>
    <row r="43216" spans="6:6" x14ac:dyDescent="0.3">
      <c r="F43216" s="193"/>
    </row>
    <row r="43217" spans="6:6" x14ac:dyDescent="0.3">
      <c r="F43217" s="193"/>
    </row>
    <row r="43218" spans="6:6" x14ac:dyDescent="0.3">
      <c r="F43218" s="193"/>
    </row>
    <row r="43219" spans="6:6" x14ac:dyDescent="0.3">
      <c r="F43219" s="193"/>
    </row>
    <row r="43220" spans="6:6" x14ac:dyDescent="0.3">
      <c r="F43220" s="193"/>
    </row>
    <row r="43221" spans="6:6" x14ac:dyDescent="0.3">
      <c r="F43221" s="193"/>
    </row>
    <row r="43222" spans="6:6" x14ac:dyDescent="0.3">
      <c r="F43222" s="193"/>
    </row>
    <row r="43223" spans="6:6" x14ac:dyDescent="0.3">
      <c r="F43223" s="193"/>
    </row>
    <row r="43224" spans="6:6" x14ac:dyDescent="0.3">
      <c r="F43224" s="193"/>
    </row>
    <row r="43225" spans="6:6" x14ac:dyDescent="0.3">
      <c r="F43225" s="193"/>
    </row>
    <row r="43226" spans="6:6" x14ac:dyDescent="0.3">
      <c r="F43226" s="193"/>
    </row>
    <row r="43227" spans="6:6" x14ac:dyDescent="0.3">
      <c r="F43227" s="193"/>
    </row>
    <row r="43228" spans="6:6" x14ac:dyDescent="0.3">
      <c r="F43228" s="193"/>
    </row>
    <row r="43229" spans="6:6" x14ac:dyDescent="0.3">
      <c r="F43229" s="193"/>
    </row>
    <row r="43230" spans="6:6" x14ac:dyDescent="0.3">
      <c r="F43230" s="193"/>
    </row>
    <row r="43231" spans="6:6" x14ac:dyDescent="0.3">
      <c r="F43231" s="193"/>
    </row>
    <row r="43232" spans="6:6" x14ac:dyDescent="0.3">
      <c r="F43232" s="193"/>
    </row>
    <row r="43233" spans="6:6" x14ac:dyDescent="0.3">
      <c r="F43233" s="193"/>
    </row>
    <row r="43234" spans="6:6" x14ac:dyDescent="0.3">
      <c r="F43234" s="193"/>
    </row>
    <row r="43235" spans="6:6" x14ac:dyDescent="0.3">
      <c r="F43235" s="193"/>
    </row>
    <row r="43236" spans="6:6" x14ac:dyDescent="0.3">
      <c r="F43236" s="193"/>
    </row>
    <row r="43237" spans="6:6" x14ac:dyDescent="0.3">
      <c r="F43237" s="193"/>
    </row>
    <row r="43238" spans="6:6" x14ac:dyDescent="0.3">
      <c r="F43238" s="193"/>
    </row>
    <row r="43239" spans="6:6" x14ac:dyDescent="0.3">
      <c r="F43239" s="193"/>
    </row>
    <row r="43240" spans="6:6" x14ac:dyDescent="0.3">
      <c r="F43240" s="193"/>
    </row>
    <row r="43241" spans="6:6" x14ac:dyDescent="0.3">
      <c r="F43241" s="193"/>
    </row>
    <row r="43242" spans="6:6" x14ac:dyDescent="0.3">
      <c r="F43242" s="193"/>
    </row>
    <row r="43243" spans="6:6" x14ac:dyDescent="0.3">
      <c r="F43243" s="193"/>
    </row>
    <row r="43244" spans="6:6" x14ac:dyDescent="0.3">
      <c r="F43244" s="193"/>
    </row>
    <row r="43245" spans="6:6" x14ac:dyDescent="0.3">
      <c r="F43245" s="193"/>
    </row>
    <row r="43246" spans="6:6" x14ac:dyDescent="0.3">
      <c r="F43246" s="193"/>
    </row>
    <row r="43247" spans="6:6" x14ac:dyDescent="0.3">
      <c r="F43247" s="193"/>
    </row>
    <row r="43248" spans="6:6" x14ac:dyDescent="0.3">
      <c r="F43248" s="193"/>
    </row>
    <row r="43249" spans="6:6" x14ac:dyDescent="0.3">
      <c r="F43249" s="193"/>
    </row>
    <row r="43250" spans="6:6" x14ac:dyDescent="0.3">
      <c r="F43250" s="193"/>
    </row>
    <row r="43251" spans="6:6" x14ac:dyDescent="0.3">
      <c r="F43251" s="193"/>
    </row>
    <row r="43252" spans="6:6" x14ac:dyDescent="0.3">
      <c r="F43252" s="193"/>
    </row>
    <row r="43253" spans="6:6" x14ac:dyDescent="0.3">
      <c r="F43253" s="193"/>
    </row>
    <row r="43254" spans="6:6" x14ac:dyDescent="0.3">
      <c r="F43254" s="193"/>
    </row>
    <row r="43255" spans="6:6" x14ac:dyDescent="0.3">
      <c r="F43255" s="193"/>
    </row>
    <row r="43256" spans="6:6" x14ac:dyDescent="0.3">
      <c r="F43256" s="193"/>
    </row>
    <row r="43257" spans="6:6" x14ac:dyDescent="0.3">
      <c r="F43257" s="193"/>
    </row>
    <row r="43258" spans="6:6" x14ac:dyDescent="0.3">
      <c r="F43258" s="193"/>
    </row>
    <row r="43259" spans="6:6" x14ac:dyDescent="0.3">
      <c r="F43259" s="193"/>
    </row>
    <row r="43260" spans="6:6" x14ac:dyDescent="0.3">
      <c r="F43260" s="193"/>
    </row>
    <row r="43261" spans="6:6" x14ac:dyDescent="0.3">
      <c r="F43261" s="193"/>
    </row>
    <row r="43262" spans="6:6" x14ac:dyDescent="0.3">
      <c r="F43262" s="193"/>
    </row>
    <row r="43263" spans="6:6" x14ac:dyDescent="0.3">
      <c r="F43263" s="193"/>
    </row>
    <row r="43264" spans="6:6" x14ac:dyDescent="0.3">
      <c r="F43264" s="193"/>
    </row>
    <row r="43265" spans="6:6" x14ac:dyDescent="0.3">
      <c r="F43265" s="193"/>
    </row>
    <row r="43266" spans="6:6" x14ac:dyDescent="0.3">
      <c r="F43266" s="193"/>
    </row>
    <row r="43267" spans="6:6" x14ac:dyDescent="0.3">
      <c r="F43267" s="193"/>
    </row>
    <row r="43268" spans="6:6" x14ac:dyDescent="0.3">
      <c r="F43268" s="193"/>
    </row>
    <row r="43269" spans="6:6" x14ac:dyDescent="0.3">
      <c r="F43269" s="193"/>
    </row>
    <row r="43270" spans="6:6" x14ac:dyDescent="0.3">
      <c r="F43270" s="193"/>
    </row>
    <row r="43271" spans="6:6" x14ac:dyDescent="0.3">
      <c r="F43271" s="193"/>
    </row>
    <row r="43272" spans="6:6" x14ac:dyDescent="0.3">
      <c r="F43272" s="193"/>
    </row>
    <row r="43273" spans="6:6" x14ac:dyDescent="0.3">
      <c r="F43273" s="193"/>
    </row>
    <row r="43274" spans="6:6" x14ac:dyDescent="0.3">
      <c r="F43274" s="193"/>
    </row>
    <row r="43275" spans="6:6" x14ac:dyDescent="0.3">
      <c r="F43275" s="193"/>
    </row>
    <row r="43276" spans="6:6" x14ac:dyDescent="0.3">
      <c r="F43276" s="193"/>
    </row>
    <row r="43277" spans="6:6" x14ac:dyDescent="0.3">
      <c r="F43277" s="193"/>
    </row>
    <row r="43278" spans="6:6" x14ac:dyDescent="0.3">
      <c r="F43278" s="193"/>
    </row>
    <row r="43279" spans="6:6" x14ac:dyDescent="0.3">
      <c r="F43279" s="193"/>
    </row>
    <row r="43280" spans="6:6" x14ac:dyDescent="0.3">
      <c r="F43280" s="193"/>
    </row>
    <row r="43281" spans="6:6" x14ac:dyDescent="0.3">
      <c r="F43281" s="193"/>
    </row>
    <row r="43282" spans="6:6" x14ac:dyDescent="0.3">
      <c r="F43282" s="193"/>
    </row>
    <row r="43283" spans="6:6" x14ac:dyDescent="0.3">
      <c r="F43283" s="193"/>
    </row>
    <row r="43284" spans="6:6" x14ac:dyDescent="0.3">
      <c r="F43284" s="193"/>
    </row>
    <row r="43285" spans="6:6" x14ac:dyDescent="0.3">
      <c r="F43285" s="193"/>
    </row>
    <row r="43286" spans="6:6" x14ac:dyDescent="0.3">
      <c r="F43286" s="193"/>
    </row>
    <row r="43287" spans="6:6" x14ac:dyDescent="0.3">
      <c r="F43287" s="193"/>
    </row>
    <row r="43288" spans="6:6" x14ac:dyDescent="0.3">
      <c r="F43288" s="193"/>
    </row>
    <row r="43289" spans="6:6" x14ac:dyDescent="0.3">
      <c r="F43289" s="193"/>
    </row>
    <row r="43290" spans="6:6" x14ac:dyDescent="0.3">
      <c r="F43290" s="193"/>
    </row>
    <row r="43291" spans="6:6" x14ac:dyDescent="0.3">
      <c r="F43291" s="193"/>
    </row>
    <row r="43292" spans="6:6" x14ac:dyDescent="0.3">
      <c r="F43292" s="193"/>
    </row>
    <row r="43293" spans="6:6" x14ac:dyDescent="0.3">
      <c r="F43293" s="193"/>
    </row>
    <row r="43294" spans="6:6" x14ac:dyDescent="0.3">
      <c r="F43294" s="193"/>
    </row>
    <row r="43295" spans="6:6" x14ac:dyDescent="0.3">
      <c r="F43295" s="193"/>
    </row>
    <row r="43296" spans="6:6" x14ac:dyDescent="0.3">
      <c r="F43296" s="193"/>
    </row>
    <row r="43297" spans="6:6" x14ac:dyDescent="0.3">
      <c r="F43297" s="193"/>
    </row>
    <row r="43298" spans="6:6" x14ac:dyDescent="0.3">
      <c r="F43298" s="193"/>
    </row>
    <row r="43299" spans="6:6" x14ac:dyDescent="0.3">
      <c r="F43299" s="193"/>
    </row>
    <row r="43300" spans="6:6" x14ac:dyDescent="0.3">
      <c r="F43300" s="193"/>
    </row>
    <row r="43301" spans="6:6" x14ac:dyDescent="0.3">
      <c r="F43301" s="193"/>
    </row>
    <row r="43302" spans="6:6" x14ac:dyDescent="0.3">
      <c r="F43302" s="193"/>
    </row>
    <row r="43303" spans="6:6" x14ac:dyDescent="0.3">
      <c r="F43303" s="193"/>
    </row>
    <row r="43304" spans="6:6" x14ac:dyDescent="0.3">
      <c r="F43304" s="193"/>
    </row>
    <row r="43305" spans="6:6" x14ac:dyDescent="0.3">
      <c r="F43305" s="193"/>
    </row>
    <row r="43306" spans="6:6" x14ac:dyDescent="0.3">
      <c r="F43306" s="193"/>
    </row>
    <row r="43307" spans="6:6" x14ac:dyDescent="0.3">
      <c r="F43307" s="193"/>
    </row>
    <row r="43308" spans="6:6" x14ac:dyDescent="0.3">
      <c r="F43308" s="193"/>
    </row>
    <row r="43309" spans="6:6" x14ac:dyDescent="0.3">
      <c r="F43309" s="193"/>
    </row>
    <row r="43310" spans="6:6" x14ac:dyDescent="0.3">
      <c r="F43310" s="193"/>
    </row>
    <row r="43311" spans="6:6" x14ac:dyDescent="0.3">
      <c r="F43311" s="193"/>
    </row>
    <row r="43312" spans="6:6" x14ac:dyDescent="0.3">
      <c r="F43312" s="193"/>
    </row>
    <row r="43313" spans="6:6" x14ac:dyDescent="0.3">
      <c r="F43313" s="193"/>
    </row>
    <row r="43314" spans="6:6" x14ac:dyDescent="0.3">
      <c r="F43314" s="193"/>
    </row>
    <row r="43315" spans="6:6" x14ac:dyDescent="0.3">
      <c r="F43315" s="193"/>
    </row>
    <row r="43316" spans="6:6" x14ac:dyDescent="0.3">
      <c r="F43316" s="193"/>
    </row>
    <row r="43317" spans="6:6" x14ac:dyDescent="0.3">
      <c r="F43317" s="193"/>
    </row>
    <row r="43318" spans="6:6" x14ac:dyDescent="0.3">
      <c r="F43318" s="193"/>
    </row>
    <row r="43319" spans="6:6" x14ac:dyDescent="0.3">
      <c r="F43319" s="193"/>
    </row>
    <row r="43320" spans="6:6" x14ac:dyDescent="0.3">
      <c r="F43320" s="193"/>
    </row>
    <row r="43321" spans="6:6" x14ac:dyDescent="0.3">
      <c r="F43321" s="193"/>
    </row>
    <row r="43322" spans="6:6" x14ac:dyDescent="0.3">
      <c r="F43322" s="193"/>
    </row>
    <row r="43323" spans="6:6" x14ac:dyDescent="0.3">
      <c r="F43323" s="193"/>
    </row>
    <row r="43324" spans="6:6" x14ac:dyDescent="0.3">
      <c r="F43324" s="193"/>
    </row>
    <row r="43325" spans="6:6" x14ac:dyDescent="0.3">
      <c r="F43325" s="193"/>
    </row>
    <row r="43326" spans="6:6" x14ac:dyDescent="0.3">
      <c r="F43326" s="193"/>
    </row>
    <row r="43327" spans="6:6" x14ac:dyDescent="0.3">
      <c r="F43327" s="193"/>
    </row>
    <row r="43328" spans="6:6" x14ac:dyDescent="0.3">
      <c r="F43328" s="193"/>
    </row>
    <row r="43329" spans="6:6" x14ac:dyDescent="0.3">
      <c r="F43329" s="193"/>
    </row>
    <row r="43330" spans="6:6" x14ac:dyDescent="0.3">
      <c r="F43330" s="193"/>
    </row>
    <row r="43331" spans="6:6" x14ac:dyDescent="0.3">
      <c r="F43331" s="193"/>
    </row>
    <row r="43332" spans="6:6" x14ac:dyDescent="0.3">
      <c r="F43332" s="193"/>
    </row>
    <row r="43333" spans="6:6" x14ac:dyDescent="0.3">
      <c r="F43333" s="193"/>
    </row>
    <row r="43334" spans="6:6" x14ac:dyDescent="0.3">
      <c r="F43334" s="193"/>
    </row>
    <row r="43335" spans="6:6" x14ac:dyDescent="0.3">
      <c r="F43335" s="193"/>
    </row>
    <row r="43336" spans="6:6" x14ac:dyDescent="0.3">
      <c r="F43336" s="193"/>
    </row>
    <row r="43337" spans="6:6" x14ac:dyDescent="0.3">
      <c r="F43337" s="193"/>
    </row>
    <row r="43338" spans="6:6" x14ac:dyDescent="0.3">
      <c r="F43338" s="193"/>
    </row>
    <row r="43339" spans="6:6" x14ac:dyDescent="0.3">
      <c r="F43339" s="193"/>
    </row>
    <row r="43340" spans="6:6" x14ac:dyDescent="0.3">
      <c r="F43340" s="193"/>
    </row>
    <row r="43341" spans="6:6" x14ac:dyDescent="0.3">
      <c r="F43341" s="193"/>
    </row>
    <row r="43342" spans="6:6" x14ac:dyDescent="0.3">
      <c r="F43342" s="193"/>
    </row>
    <row r="43343" spans="6:6" x14ac:dyDescent="0.3">
      <c r="F43343" s="193"/>
    </row>
    <row r="43344" spans="6:6" x14ac:dyDescent="0.3">
      <c r="F43344" s="193"/>
    </row>
    <row r="43345" spans="6:6" x14ac:dyDescent="0.3">
      <c r="F43345" s="193"/>
    </row>
    <row r="43346" spans="6:6" x14ac:dyDescent="0.3">
      <c r="F43346" s="193"/>
    </row>
    <row r="43347" spans="6:6" x14ac:dyDescent="0.3">
      <c r="F43347" s="193"/>
    </row>
    <row r="43348" spans="6:6" x14ac:dyDescent="0.3">
      <c r="F43348" s="193"/>
    </row>
    <row r="43349" spans="6:6" x14ac:dyDescent="0.3">
      <c r="F43349" s="193"/>
    </row>
    <row r="43350" spans="6:6" x14ac:dyDescent="0.3">
      <c r="F43350" s="193"/>
    </row>
    <row r="43351" spans="6:6" x14ac:dyDescent="0.3">
      <c r="F43351" s="193"/>
    </row>
    <row r="43352" spans="6:6" x14ac:dyDescent="0.3">
      <c r="F43352" s="193"/>
    </row>
    <row r="43353" spans="6:6" x14ac:dyDescent="0.3">
      <c r="F43353" s="193"/>
    </row>
    <row r="43354" spans="6:6" x14ac:dyDescent="0.3">
      <c r="F43354" s="193"/>
    </row>
    <row r="43355" spans="6:6" x14ac:dyDescent="0.3">
      <c r="F43355" s="193"/>
    </row>
    <row r="43356" spans="6:6" x14ac:dyDescent="0.3">
      <c r="F43356" s="193"/>
    </row>
    <row r="43357" spans="6:6" x14ac:dyDescent="0.3">
      <c r="F43357" s="193"/>
    </row>
    <row r="43358" spans="6:6" x14ac:dyDescent="0.3">
      <c r="F43358" s="193"/>
    </row>
    <row r="43359" spans="6:6" x14ac:dyDescent="0.3">
      <c r="F43359" s="193"/>
    </row>
    <row r="43360" spans="6:6" x14ac:dyDescent="0.3">
      <c r="F43360" s="193"/>
    </row>
    <row r="43361" spans="6:6" x14ac:dyDescent="0.3">
      <c r="F43361" s="193"/>
    </row>
    <row r="43362" spans="6:6" x14ac:dyDescent="0.3">
      <c r="F43362" s="193"/>
    </row>
    <row r="43363" spans="6:6" x14ac:dyDescent="0.3">
      <c r="F43363" s="193"/>
    </row>
    <row r="43364" spans="6:6" x14ac:dyDescent="0.3">
      <c r="F43364" s="193"/>
    </row>
    <row r="43365" spans="6:6" x14ac:dyDescent="0.3">
      <c r="F43365" s="193"/>
    </row>
    <row r="43366" spans="6:6" x14ac:dyDescent="0.3">
      <c r="F43366" s="193"/>
    </row>
    <row r="43367" spans="6:6" x14ac:dyDescent="0.3">
      <c r="F43367" s="193"/>
    </row>
    <row r="43368" spans="6:6" x14ac:dyDescent="0.3">
      <c r="F43368" s="193"/>
    </row>
    <row r="43369" spans="6:6" x14ac:dyDescent="0.3">
      <c r="F43369" s="193"/>
    </row>
    <row r="43370" spans="6:6" x14ac:dyDescent="0.3">
      <c r="F43370" s="193"/>
    </row>
    <row r="43371" spans="6:6" x14ac:dyDescent="0.3">
      <c r="F43371" s="193"/>
    </row>
    <row r="43372" spans="6:6" x14ac:dyDescent="0.3">
      <c r="F43372" s="193"/>
    </row>
    <row r="43373" spans="6:6" x14ac:dyDescent="0.3">
      <c r="F43373" s="193"/>
    </row>
    <row r="43374" spans="6:6" x14ac:dyDescent="0.3">
      <c r="F43374" s="193"/>
    </row>
    <row r="43375" spans="6:6" x14ac:dyDescent="0.3">
      <c r="F43375" s="193"/>
    </row>
    <row r="43376" spans="6:6" x14ac:dyDescent="0.3">
      <c r="F43376" s="193"/>
    </row>
    <row r="43377" spans="6:6" x14ac:dyDescent="0.3">
      <c r="F43377" s="193"/>
    </row>
    <row r="43378" spans="6:6" x14ac:dyDescent="0.3">
      <c r="F43378" s="193"/>
    </row>
    <row r="43379" spans="6:6" x14ac:dyDescent="0.3">
      <c r="F43379" s="193"/>
    </row>
    <row r="43380" spans="6:6" x14ac:dyDescent="0.3">
      <c r="F43380" s="193"/>
    </row>
    <row r="43381" spans="6:6" x14ac:dyDescent="0.3">
      <c r="F43381" s="193"/>
    </row>
    <row r="43382" spans="6:6" x14ac:dyDescent="0.3">
      <c r="F43382" s="193"/>
    </row>
    <row r="43383" spans="6:6" x14ac:dyDescent="0.3">
      <c r="F43383" s="193"/>
    </row>
    <row r="43384" spans="6:6" x14ac:dyDescent="0.3">
      <c r="F43384" s="193"/>
    </row>
    <row r="43385" spans="6:6" x14ac:dyDescent="0.3">
      <c r="F43385" s="193"/>
    </row>
    <row r="43386" spans="6:6" x14ac:dyDescent="0.3">
      <c r="F43386" s="193"/>
    </row>
    <row r="43387" spans="6:6" x14ac:dyDescent="0.3">
      <c r="F43387" s="193"/>
    </row>
    <row r="43388" spans="6:6" x14ac:dyDescent="0.3">
      <c r="F43388" s="193"/>
    </row>
    <row r="43389" spans="6:6" x14ac:dyDescent="0.3">
      <c r="F43389" s="193"/>
    </row>
    <row r="43390" spans="6:6" x14ac:dyDescent="0.3">
      <c r="F43390" s="193"/>
    </row>
    <row r="43391" spans="6:6" x14ac:dyDescent="0.3">
      <c r="F43391" s="193"/>
    </row>
    <row r="43392" spans="6:6" x14ac:dyDescent="0.3">
      <c r="F43392" s="193"/>
    </row>
    <row r="43393" spans="6:6" x14ac:dyDescent="0.3">
      <c r="F43393" s="193"/>
    </row>
    <row r="43394" spans="6:6" x14ac:dyDescent="0.3">
      <c r="F43394" s="193"/>
    </row>
    <row r="43395" spans="6:6" x14ac:dyDescent="0.3">
      <c r="F43395" s="193"/>
    </row>
    <row r="43396" spans="6:6" x14ac:dyDescent="0.3">
      <c r="F43396" s="193"/>
    </row>
    <row r="43397" spans="6:6" x14ac:dyDescent="0.3">
      <c r="F43397" s="193"/>
    </row>
    <row r="43398" spans="6:6" x14ac:dyDescent="0.3">
      <c r="F43398" s="193"/>
    </row>
    <row r="43399" spans="6:6" x14ac:dyDescent="0.3">
      <c r="F43399" s="193"/>
    </row>
    <row r="43400" spans="6:6" x14ac:dyDescent="0.3">
      <c r="F43400" s="193"/>
    </row>
    <row r="43401" spans="6:6" x14ac:dyDescent="0.3">
      <c r="F43401" s="193"/>
    </row>
    <row r="43402" spans="6:6" x14ac:dyDescent="0.3">
      <c r="F43402" s="193"/>
    </row>
    <row r="43403" spans="6:6" x14ac:dyDescent="0.3">
      <c r="F43403" s="193"/>
    </row>
    <row r="43404" spans="6:6" x14ac:dyDescent="0.3">
      <c r="F43404" s="193"/>
    </row>
    <row r="43405" spans="6:6" x14ac:dyDescent="0.3">
      <c r="F43405" s="193"/>
    </row>
    <row r="43406" spans="6:6" x14ac:dyDescent="0.3">
      <c r="F43406" s="193"/>
    </row>
    <row r="43407" spans="6:6" x14ac:dyDescent="0.3">
      <c r="F43407" s="193"/>
    </row>
    <row r="43408" spans="6:6" x14ac:dyDescent="0.3">
      <c r="F43408" s="193"/>
    </row>
    <row r="43409" spans="6:6" x14ac:dyDescent="0.3">
      <c r="F43409" s="193"/>
    </row>
    <row r="43410" spans="6:6" x14ac:dyDescent="0.3">
      <c r="F43410" s="193"/>
    </row>
    <row r="43411" spans="6:6" x14ac:dyDescent="0.3">
      <c r="F43411" s="193"/>
    </row>
    <row r="43412" spans="6:6" x14ac:dyDescent="0.3">
      <c r="F43412" s="193"/>
    </row>
    <row r="43413" spans="6:6" x14ac:dyDescent="0.3">
      <c r="F43413" s="193"/>
    </row>
    <row r="43414" spans="6:6" x14ac:dyDescent="0.3">
      <c r="F43414" s="193"/>
    </row>
    <row r="43415" spans="6:6" x14ac:dyDescent="0.3">
      <c r="F43415" s="193"/>
    </row>
    <row r="43416" spans="6:6" x14ac:dyDescent="0.3">
      <c r="F43416" s="193"/>
    </row>
    <row r="43417" spans="6:6" x14ac:dyDescent="0.3">
      <c r="F43417" s="193"/>
    </row>
    <row r="43418" spans="6:6" x14ac:dyDescent="0.3">
      <c r="F43418" s="193"/>
    </row>
    <row r="43419" spans="6:6" x14ac:dyDescent="0.3">
      <c r="F43419" s="193"/>
    </row>
    <row r="43420" spans="6:6" x14ac:dyDescent="0.3">
      <c r="F43420" s="193"/>
    </row>
    <row r="43421" spans="6:6" x14ac:dyDescent="0.3">
      <c r="F43421" s="193"/>
    </row>
    <row r="43422" spans="6:6" x14ac:dyDescent="0.3">
      <c r="F43422" s="193"/>
    </row>
    <row r="43423" spans="6:6" x14ac:dyDescent="0.3">
      <c r="F43423" s="193"/>
    </row>
    <row r="43424" spans="6:6" x14ac:dyDescent="0.3">
      <c r="F43424" s="193"/>
    </row>
    <row r="43425" spans="6:6" x14ac:dyDescent="0.3">
      <c r="F43425" s="193"/>
    </row>
    <row r="43426" spans="6:6" x14ac:dyDescent="0.3">
      <c r="F43426" s="193"/>
    </row>
    <row r="43427" spans="6:6" x14ac:dyDescent="0.3">
      <c r="F43427" s="193"/>
    </row>
    <row r="43428" spans="6:6" x14ac:dyDescent="0.3">
      <c r="F43428" s="193"/>
    </row>
    <row r="43429" spans="6:6" x14ac:dyDescent="0.3">
      <c r="F43429" s="193"/>
    </row>
    <row r="43430" spans="6:6" x14ac:dyDescent="0.3">
      <c r="F43430" s="193"/>
    </row>
    <row r="43431" spans="6:6" x14ac:dyDescent="0.3">
      <c r="F43431" s="193"/>
    </row>
    <row r="43432" spans="6:6" x14ac:dyDescent="0.3">
      <c r="F43432" s="193"/>
    </row>
    <row r="43433" spans="6:6" x14ac:dyDescent="0.3">
      <c r="F43433" s="193"/>
    </row>
    <row r="43434" spans="6:6" x14ac:dyDescent="0.3">
      <c r="F43434" s="193"/>
    </row>
    <row r="43435" spans="6:6" x14ac:dyDescent="0.3">
      <c r="F43435" s="193"/>
    </row>
    <row r="43436" spans="6:6" x14ac:dyDescent="0.3">
      <c r="F43436" s="193"/>
    </row>
    <row r="43437" spans="6:6" x14ac:dyDescent="0.3">
      <c r="F43437" s="193"/>
    </row>
    <row r="43438" spans="6:6" x14ac:dyDescent="0.3">
      <c r="F43438" s="193"/>
    </row>
    <row r="43439" spans="6:6" x14ac:dyDescent="0.3">
      <c r="F43439" s="193"/>
    </row>
    <row r="43440" spans="6:6" x14ac:dyDescent="0.3">
      <c r="F43440" s="193"/>
    </row>
    <row r="43441" spans="6:6" x14ac:dyDescent="0.3">
      <c r="F43441" s="193"/>
    </row>
    <row r="43442" spans="6:6" x14ac:dyDescent="0.3">
      <c r="F43442" s="193"/>
    </row>
    <row r="43443" spans="6:6" x14ac:dyDescent="0.3">
      <c r="F43443" s="193"/>
    </row>
    <row r="43444" spans="6:6" x14ac:dyDescent="0.3">
      <c r="F43444" s="193"/>
    </row>
    <row r="43445" spans="6:6" x14ac:dyDescent="0.3">
      <c r="F43445" s="193"/>
    </row>
    <row r="43446" spans="6:6" x14ac:dyDescent="0.3">
      <c r="F43446" s="193"/>
    </row>
    <row r="43447" spans="6:6" x14ac:dyDescent="0.3">
      <c r="F43447" s="193"/>
    </row>
    <row r="43448" spans="6:6" x14ac:dyDescent="0.3">
      <c r="F43448" s="193"/>
    </row>
    <row r="43449" spans="6:6" x14ac:dyDescent="0.3">
      <c r="F43449" s="193"/>
    </row>
    <row r="43450" spans="6:6" x14ac:dyDescent="0.3">
      <c r="F43450" s="193"/>
    </row>
    <row r="43451" spans="6:6" x14ac:dyDescent="0.3">
      <c r="F43451" s="193"/>
    </row>
    <row r="43452" spans="6:6" x14ac:dyDescent="0.3">
      <c r="F43452" s="193"/>
    </row>
    <row r="43453" spans="6:6" x14ac:dyDescent="0.3">
      <c r="F43453" s="193"/>
    </row>
    <row r="43454" spans="6:6" x14ac:dyDescent="0.3">
      <c r="F43454" s="193"/>
    </row>
    <row r="43455" spans="6:6" x14ac:dyDescent="0.3">
      <c r="F43455" s="193"/>
    </row>
    <row r="43456" spans="6:6" x14ac:dyDescent="0.3">
      <c r="F43456" s="193"/>
    </row>
    <row r="43457" spans="6:6" x14ac:dyDescent="0.3">
      <c r="F43457" s="193"/>
    </row>
    <row r="43458" spans="6:6" x14ac:dyDescent="0.3">
      <c r="F43458" s="193"/>
    </row>
    <row r="43459" spans="6:6" x14ac:dyDescent="0.3">
      <c r="F43459" s="193"/>
    </row>
    <row r="43460" spans="6:6" x14ac:dyDescent="0.3">
      <c r="F43460" s="193"/>
    </row>
    <row r="43461" spans="6:6" x14ac:dyDescent="0.3">
      <c r="F43461" s="193"/>
    </row>
    <row r="43462" spans="6:6" x14ac:dyDescent="0.3">
      <c r="F43462" s="193"/>
    </row>
    <row r="43463" spans="6:6" x14ac:dyDescent="0.3">
      <c r="F43463" s="193"/>
    </row>
    <row r="43464" spans="6:6" x14ac:dyDescent="0.3">
      <c r="F43464" s="193"/>
    </row>
    <row r="43465" spans="6:6" x14ac:dyDescent="0.3">
      <c r="F43465" s="193"/>
    </row>
    <row r="43466" spans="6:6" x14ac:dyDescent="0.3">
      <c r="F43466" s="193"/>
    </row>
    <row r="43467" spans="6:6" x14ac:dyDescent="0.3">
      <c r="F43467" s="193"/>
    </row>
    <row r="43468" spans="6:6" x14ac:dyDescent="0.3">
      <c r="F43468" s="193"/>
    </row>
    <row r="43469" spans="6:6" x14ac:dyDescent="0.3">
      <c r="F43469" s="193"/>
    </row>
    <row r="43470" spans="6:6" x14ac:dyDescent="0.3">
      <c r="F43470" s="193"/>
    </row>
    <row r="43471" spans="6:6" x14ac:dyDescent="0.3">
      <c r="F43471" s="193"/>
    </row>
    <row r="43472" spans="6:6" x14ac:dyDescent="0.3">
      <c r="F43472" s="193"/>
    </row>
    <row r="43473" spans="6:6" x14ac:dyDescent="0.3">
      <c r="F43473" s="193"/>
    </row>
    <row r="43474" spans="6:6" x14ac:dyDescent="0.3">
      <c r="F43474" s="193"/>
    </row>
    <row r="43475" spans="6:6" x14ac:dyDescent="0.3">
      <c r="F43475" s="193"/>
    </row>
    <row r="43476" spans="6:6" x14ac:dyDescent="0.3">
      <c r="F43476" s="193"/>
    </row>
    <row r="43477" spans="6:6" x14ac:dyDescent="0.3">
      <c r="F43477" s="193"/>
    </row>
    <row r="43478" spans="6:6" x14ac:dyDescent="0.3">
      <c r="F43478" s="193"/>
    </row>
    <row r="43479" spans="6:6" x14ac:dyDescent="0.3">
      <c r="F43479" s="193"/>
    </row>
    <row r="43480" spans="6:6" x14ac:dyDescent="0.3">
      <c r="F43480" s="193"/>
    </row>
    <row r="43481" spans="6:6" x14ac:dyDescent="0.3">
      <c r="F43481" s="193"/>
    </row>
    <row r="43482" spans="6:6" x14ac:dyDescent="0.3">
      <c r="F43482" s="193"/>
    </row>
    <row r="43483" spans="6:6" x14ac:dyDescent="0.3">
      <c r="F43483" s="193"/>
    </row>
    <row r="43484" spans="6:6" x14ac:dyDescent="0.3">
      <c r="F43484" s="193"/>
    </row>
    <row r="43485" spans="6:6" x14ac:dyDescent="0.3">
      <c r="F43485" s="193"/>
    </row>
    <row r="43486" spans="6:6" x14ac:dyDescent="0.3">
      <c r="F43486" s="193"/>
    </row>
    <row r="43487" spans="6:6" x14ac:dyDescent="0.3">
      <c r="F43487" s="193"/>
    </row>
    <row r="43488" spans="6:6" x14ac:dyDescent="0.3">
      <c r="F43488" s="193"/>
    </row>
    <row r="43489" spans="6:6" x14ac:dyDescent="0.3">
      <c r="F43489" s="193"/>
    </row>
    <row r="43490" spans="6:6" x14ac:dyDescent="0.3">
      <c r="F43490" s="193"/>
    </row>
    <row r="43491" spans="6:6" x14ac:dyDescent="0.3">
      <c r="F43491" s="193"/>
    </row>
    <row r="43492" spans="6:6" x14ac:dyDescent="0.3">
      <c r="F43492" s="193"/>
    </row>
    <row r="43493" spans="6:6" x14ac:dyDescent="0.3">
      <c r="F43493" s="193"/>
    </row>
    <row r="43494" spans="6:6" x14ac:dyDescent="0.3">
      <c r="F43494" s="193"/>
    </row>
    <row r="43495" spans="6:6" x14ac:dyDescent="0.3">
      <c r="F43495" s="193"/>
    </row>
    <row r="43496" spans="6:6" x14ac:dyDescent="0.3">
      <c r="F43496" s="193"/>
    </row>
    <row r="43497" spans="6:6" x14ac:dyDescent="0.3">
      <c r="F43497" s="193"/>
    </row>
    <row r="43498" spans="6:6" x14ac:dyDescent="0.3">
      <c r="F43498" s="193"/>
    </row>
    <row r="43499" spans="6:6" x14ac:dyDescent="0.3">
      <c r="F43499" s="193"/>
    </row>
    <row r="43500" spans="6:6" x14ac:dyDescent="0.3">
      <c r="F43500" s="193"/>
    </row>
    <row r="43501" spans="6:6" x14ac:dyDescent="0.3">
      <c r="F43501" s="193"/>
    </row>
    <row r="43502" spans="6:6" x14ac:dyDescent="0.3">
      <c r="F43502" s="193"/>
    </row>
    <row r="43503" spans="6:6" x14ac:dyDescent="0.3">
      <c r="F43503" s="193"/>
    </row>
    <row r="43504" spans="6:6" x14ac:dyDescent="0.3">
      <c r="F43504" s="193"/>
    </row>
    <row r="43505" spans="6:6" x14ac:dyDescent="0.3">
      <c r="F43505" s="193"/>
    </row>
    <row r="43506" spans="6:6" x14ac:dyDescent="0.3">
      <c r="F43506" s="193"/>
    </row>
    <row r="43507" spans="6:6" x14ac:dyDescent="0.3">
      <c r="F43507" s="193"/>
    </row>
    <row r="43508" spans="6:6" x14ac:dyDescent="0.3">
      <c r="F43508" s="193"/>
    </row>
    <row r="43509" spans="6:6" x14ac:dyDescent="0.3">
      <c r="F43509" s="193"/>
    </row>
    <row r="43510" spans="6:6" x14ac:dyDescent="0.3">
      <c r="F43510" s="193"/>
    </row>
    <row r="43511" spans="6:6" x14ac:dyDescent="0.3">
      <c r="F43511" s="193"/>
    </row>
    <row r="43512" spans="6:6" x14ac:dyDescent="0.3">
      <c r="F43512" s="193"/>
    </row>
    <row r="43513" spans="6:6" x14ac:dyDescent="0.3">
      <c r="F43513" s="193"/>
    </row>
    <row r="43514" spans="6:6" x14ac:dyDescent="0.3">
      <c r="F43514" s="193"/>
    </row>
    <row r="43515" spans="6:6" x14ac:dyDescent="0.3">
      <c r="F43515" s="193"/>
    </row>
    <row r="43516" spans="6:6" x14ac:dyDescent="0.3">
      <c r="F43516" s="193"/>
    </row>
    <row r="43517" spans="6:6" x14ac:dyDescent="0.3">
      <c r="F43517" s="193"/>
    </row>
    <row r="43518" spans="6:6" x14ac:dyDescent="0.3">
      <c r="F43518" s="193"/>
    </row>
    <row r="43519" spans="6:6" x14ac:dyDescent="0.3">
      <c r="F43519" s="193"/>
    </row>
    <row r="43520" spans="6:6" x14ac:dyDescent="0.3">
      <c r="F43520" s="193"/>
    </row>
    <row r="43521" spans="6:6" x14ac:dyDescent="0.3">
      <c r="F43521" s="193"/>
    </row>
    <row r="43522" spans="6:6" x14ac:dyDescent="0.3">
      <c r="F43522" s="193"/>
    </row>
    <row r="43523" spans="6:6" x14ac:dyDescent="0.3">
      <c r="F43523" s="193"/>
    </row>
    <row r="43524" spans="6:6" x14ac:dyDescent="0.3">
      <c r="F43524" s="193"/>
    </row>
    <row r="43525" spans="6:6" x14ac:dyDescent="0.3">
      <c r="F43525" s="193"/>
    </row>
    <row r="43526" spans="6:6" x14ac:dyDescent="0.3">
      <c r="F43526" s="193"/>
    </row>
    <row r="43527" spans="6:6" x14ac:dyDescent="0.3">
      <c r="F43527" s="193"/>
    </row>
    <row r="43528" spans="6:6" x14ac:dyDescent="0.3">
      <c r="F43528" s="193"/>
    </row>
    <row r="43529" spans="6:6" x14ac:dyDescent="0.3">
      <c r="F43529" s="193"/>
    </row>
    <row r="43530" spans="6:6" x14ac:dyDescent="0.3">
      <c r="F43530" s="193"/>
    </row>
    <row r="43531" spans="6:6" x14ac:dyDescent="0.3">
      <c r="F43531" s="193"/>
    </row>
    <row r="43532" spans="6:6" x14ac:dyDescent="0.3">
      <c r="F43532" s="193"/>
    </row>
    <row r="43533" spans="6:6" x14ac:dyDescent="0.3">
      <c r="F43533" s="193"/>
    </row>
    <row r="43534" spans="6:6" x14ac:dyDescent="0.3">
      <c r="F43534" s="193"/>
    </row>
    <row r="43535" spans="6:6" x14ac:dyDescent="0.3">
      <c r="F43535" s="193"/>
    </row>
    <row r="43536" spans="6:6" x14ac:dyDescent="0.3">
      <c r="F43536" s="193"/>
    </row>
    <row r="43537" spans="6:6" x14ac:dyDescent="0.3">
      <c r="F43537" s="193"/>
    </row>
    <row r="43538" spans="6:6" x14ac:dyDescent="0.3">
      <c r="F43538" s="193"/>
    </row>
    <row r="43539" spans="6:6" x14ac:dyDescent="0.3">
      <c r="F43539" s="193"/>
    </row>
    <row r="43540" spans="6:6" x14ac:dyDescent="0.3">
      <c r="F43540" s="193"/>
    </row>
    <row r="43541" spans="6:6" x14ac:dyDescent="0.3">
      <c r="F43541" s="193"/>
    </row>
    <row r="43542" spans="6:6" x14ac:dyDescent="0.3">
      <c r="F43542" s="193"/>
    </row>
    <row r="43543" spans="6:6" x14ac:dyDescent="0.3">
      <c r="F43543" s="193"/>
    </row>
    <row r="43544" spans="6:6" x14ac:dyDescent="0.3">
      <c r="F43544" s="193"/>
    </row>
    <row r="43545" spans="6:6" x14ac:dyDescent="0.3">
      <c r="F43545" s="193"/>
    </row>
    <row r="43546" spans="6:6" x14ac:dyDescent="0.3">
      <c r="F43546" s="193"/>
    </row>
    <row r="43547" spans="6:6" x14ac:dyDescent="0.3">
      <c r="F43547" s="193"/>
    </row>
    <row r="43548" spans="6:6" x14ac:dyDescent="0.3">
      <c r="F43548" s="193"/>
    </row>
    <row r="43549" spans="6:6" x14ac:dyDescent="0.3">
      <c r="F43549" s="193"/>
    </row>
    <row r="43550" spans="6:6" x14ac:dyDescent="0.3">
      <c r="F43550" s="193"/>
    </row>
    <row r="43551" spans="6:6" x14ac:dyDescent="0.3">
      <c r="F43551" s="193"/>
    </row>
    <row r="43552" spans="6:6" x14ac:dyDescent="0.3">
      <c r="F43552" s="193"/>
    </row>
    <row r="43553" spans="6:6" x14ac:dyDescent="0.3">
      <c r="F43553" s="193"/>
    </row>
    <row r="43554" spans="6:6" x14ac:dyDescent="0.3">
      <c r="F43554" s="193"/>
    </row>
    <row r="43555" spans="6:6" x14ac:dyDescent="0.3">
      <c r="F43555" s="193"/>
    </row>
    <row r="43556" spans="6:6" x14ac:dyDescent="0.3">
      <c r="F43556" s="193"/>
    </row>
    <row r="43557" spans="6:6" x14ac:dyDescent="0.3">
      <c r="F43557" s="193"/>
    </row>
    <row r="43558" spans="6:6" x14ac:dyDescent="0.3">
      <c r="F43558" s="193"/>
    </row>
    <row r="43559" spans="6:6" x14ac:dyDescent="0.3">
      <c r="F43559" s="193"/>
    </row>
    <row r="43560" spans="6:6" x14ac:dyDescent="0.3">
      <c r="F43560" s="193"/>
    </row>
    <row r="43561" spans="6:6" x14ac:dyDescent="0.3">
      <c r="F43561" s="193"/>
    </row>
    <row r="43562" spans="6:6" x14ac:dyDescent="0.3">
      <c r="F43562" s="193"/>
    </row>
    <row r="43563" spans="6:6" x14ac:dyDescent="0.3">
      <c r="F43563" s="193"/>
    </row>
    <row r="43564" spans="6:6" x14ac:dyDescent="0.3">
      <c r="F43564" s="193"/>
    </row>
    <row r="43565" spans="6:6" x14ac:dyDescent="0.3">
      <c r="F43565" s="193"/>
    </row>
    <row r="43566" spans="6:6" x14ac:dyDescent="0.3">
      <c r="F43566" s="193"/>
    </row>
    <row r="43567" spans="6:6" x14ac:dyDescent="0.3">
      <c r="F43567" s="193"/>
    </row>
    <row r="43568" spans="6:6" x14ac:dyDescent="0.3">
      <c r="F43568" s="193"/>
    </row>
    <row r="43569" spans="6:6" x14ac:dyDescent="0.3">
      <c r="F43569" s="193"/>
    </row>
    <row r="43570" spans="6:6" x14ac:dyDescent="0.3">
      <c r="F43570" s="193"/>
    </row>
    <row r="43571" spans="6:6" x14ac:dyDescent="0.3">
      <c r="F43571" s="193"/>
    </row>
    <row r="43572" spans="6:6" x14ac:dyDescent="0.3">
      <c r="F43572" s="193"/>
    </row>
    <row r="43573" spans="6:6" x14ac:dyDescent="0.3">
      <c r="F43573" s="193"/>
    </row>
    <row r="43574" spans="6:6" x14ac:dyDescent="0.3">
      <c r="F43574" s="193"/>
    </row>
    <row r="43575" spans="6:6" x14ac:dyDescent="0.3">
      <c r="F43575" s="193"/>
    </row>
    <row r="43576" spans="6:6" x14ac:dyDescent="0.3">
      <c r="F43576" s="193"/>
    </row>
    <row r="43577" spans="6:6" x14ac:dyDescent="0.3">
      <c r="F43577" s="193"/>
    </row>
    <row r="43578" spans="6:6" x14ac:dyDescent="0.3">
      <c r="F43578" s="193"/>
    </row>
    <row r="43579" spans="6:6" x14ac:dyDescent="0.3">
      <c r="F43579" s="193"/>
    </row>
    <row r="43580" spans="6:6" x14ac:dyDescent="0.3">
      <c r="F43580" s="193"/>
    </row>
    <row r="43581" spans="6:6" x14ac:dyDescent="0.3">
      <c r="F43581" s="193"/>
    </row>
    <row r="43582" spans="6:6" x14ac:dyDescent="0.3">
      <c r="F43582" s="193"/>
    </row>
    <row r="43583" spans="6:6" x14ac:dyDescent="0.3">
      <c r="F43583" s="193"/>
    </row>
    <row r="43584" spans="6:6" x14ac:dyDescent="0.3">
      <c r="F43584" s="193"/>
    </row>
    <row r="43585" spans="6:6" x14ac:dyDescent="0.3">
      <c r="F43585" s="193"/>
    </row>
    <row r="43586" spans="6:6" x14ac:dyDescent="0.3">
      <c r="F43586" s="193"/>
    </row>
    <row r="43587" spans="6:6" x14ac:dyDescent="0.3">
      <c r="F43587" s="193"/>
    </row>
    <row r="43588" spans="6:6" x14ac:dyDescent="0.3">
      <c r="F43588" s="193"/>
    </row>
    <row r="43589" spans="6:6" x14ac:dyDescent="0.3">
      <c r="F43589" s="193"/>
    </row>
    <row r="43590" spans="6:6" x14ac:dyDescent="0.3">
      <c r="F43590" s="193"/>
    </row>
    <row r="43591" spans="6:6" x14ac:dyDescent="0.3">
      <c r="F43591" s="193"/>
    </row>
    <row r="43592" spans="6:6" x14ac:dyDescent="0.3">
      <c r="F43592" s="193"/>
    </row>
    <row r="43593" spans="6:6" x14ac:dyDescent="0.3">
      <c r="F43593" s="193"/>
    </row>
    <row r="43594" spans="6:6" x14ac:dyDescent="0.3">
      <c r="F43594" s="193"/>
    </row>
    <row r="43595" spans="6:6" x14ac:dyDescent="0.3">
      <c r="F43595" s="193"/>
    </row>
    <row r="43596" spans="6:6" x14ac:dyDescent="0.3">
      <c r="F43596" s="193"/>
    </row>
    <row r="43597" spans="6:6" x14ac:dyDescent="0.3">
      <c r="F43597" s="193"/>
    </row>
    <row r="43598" spans="6:6" x14ac:dyDescent="0.3">
      <c r="F43598" s="193"/>
    </row>
    <row r="43599" spans="6:6" x14ac:dyDescent="0.3">
      <c r="F43599" s="193"/>
    </row>
    <row r="43600" spans="6:6" x14ac:dyDescent="0.3">
      <c r="F43600" s="193"/>
    </row>
    <row r="43601" spans="6:6" x14ac:dyDescent="0.3">
      <c r="F43601" s="193"/>
    </row>
    <row r="43602" spans="6:6" x14ac:dyDescent="0.3">
      <c r="F43602" s="193"/>
    </row>
    <row r="43603" spans="6:6" x14ac:dyDescent="0.3">
      <c r="F43603" s="193"/>
    </row>
    <row r="43604" spans="6:6" x14ac:dyDescent="0.3">
      <c r="F43604" s="193"/>
    </row>
    <row r="43605" spans="6:6" x14ac:dyDescent="0.3">
      <c r="F43605" s="193"/>
    </row>
    <row r="43606" spans="6:6" x14ac:dyDescent="0.3">
      <c r="F43606" s="193"/>
    </row>
    <row r="43607" spans="6:6" x14ac:dyDescent="0.3">
      <c r="F43607" s="193"/>
    </row>
    <row r="43608" spans="6:6" x14ac:dyDescent="0.3">
      <c r="F43608" s="193"/>
    </row>
    <row r="43609" spans="6:6" x14ac:dyDescent="0.3">
      <c r="F43609" s="193"/>
    </row>
    <row r="43610" spans="6:6" x14ac:dyDescent="0.3">
      <c r="F43610" s="193"/>
    </row>
    <row r="43611" spans="6:6" x14ac:dyDescent="0.3">
      <c r="F43611" s="193"/>
    </row>
    <row r="43612" spans="6:6" x14ac:dyDescent="0.3">
      <c r="F43612" s="193"/>
    </row>
    <row r="43613" spans="6:6" x14ac:dyDescent="0.3">
      <c r="F43613" s="193"/>
    </row>
    <row r="43614" spans="6:6" x14ac:dyDescent="0.3">
      <c r="F43614" s="193"/>
    </row>
    <row r="43615" spans="6:6" x14ac:dyDescent="0.3">
      <c r="F43615" s="193"/>
    </row>
    <row r="43616" spans="6:6" x14ac:dyDescent="0.3">
      <c r="F43616" s="193"/>
    </row>
    <row r="43617" spans="6:6" x14ac:dyDescent="0.3">
      <c r="F43617" s="193"/>
    </row>
    <row r="43618" spans="6:6" x14ac:dyDescent="0.3">
      <c r="F43618" s="193"/>
    </row>
    <row r="43619" spans="6:6" x14ac:dyDescent="0.3">
      <c r="F43619" s="193"/>
    </row>
    <row r="43620" spans="6:6" x14ac:dyDescent="0.3">
      <c r="F43620" s="193"/>
    </row>
    <row r="43621" spans="6:6" x14ac:dyDescent="0.3">
      <c r="F43621" s="193"/>
    </row>
    <row r="43622" spans="6:6" x14ac:dyDescent="0.3">
      <c r="F43622" s="193"/>
    </row>
    <row r="43623" spans="6:6" x14ac:dyDescent="0.3">
      <c r="F43623" s="193"/>
    </row>
    <row r="43624" spans="6:6" x14ac:dyDescent="0.3">
      <c r="F43624" s="193"/>
    </row>
    <row r="43625" spans="6:6" x14ac:dyDescent="0.3">
      <c r="F43625" s="193"/>
    </row>
    <row r="43626" spans="6:6" x14ac:dyDescent="0.3">
      <c r="F43626" s="193"/>
    </row>
    <row r="43627" spans="6:6" x14ac:dyDescent="0.3">
      <c r="F43627" s="193"/>
    </row>
    <row r="43628" spans="6:6" x14ac:dyDescent="0.3">
      <c r="F43628" s="193"/>
    </row>
    <row r="43629" spans="6:6" x14ac:dyDescent="0.3">
      <c r="F43629" s="193"/>
    </row>
    <row r="43630" spans="6:6" x14ac:dyDescent="0.3">
      <c r="F43630" s="193"/>
    </row>
    <row r="43631" spans="6:6" x14ac:dyDescent="0.3">
      <c r="F43631" s="193"/>
    </row>
    <row r="43632" spans="6:6" x14ac:dyDescent="0.3">
      <c r="F43632" s="193"/>
    </row>
    <row r="43633" spans="6:6" x14ac:dyDescent="0.3">
      <c r="F43633" s="193"/>
    </row>
    <row r="43634" spans="6:6" x14ac:dyDescent="0.3">
      <c r="F43634" s="193"/>
    </row>
    <row r="43635" spans="6:6" x14ac:dyDescent="0.3">
      <c r="F43635" s="193"/>
    </row>
    <row r="43636" spans="6:6" x14ac:dyDescent="0.3">
      <c r="F43636" s="193"/>
    </row>
    <row r="43637" spans="6:6" x14ac:dyDescent="0.3">
      <c r="F43637" s="193"/>
    </row>
    <row r="43638" spans="6:6" x14ac:dyDescent="0.3">
      <c r="F43638" s="193"/>
    </row>
    <row r="43639" spans="6:6" x14ac:dyDescent="0.3">
      <c r="F43639" s="193"/>
    </row>
    <row r="43640" spans="6:6" x14ac:dyDescent="0.3">
      <c r="F43640" s="193"/>
    </row>
    <row r="43641" spans="6:6" x14ac:dyDescent="0.3">
      <c r="F43641" s="193"/>
    </row>
    <row r="43642" spans="6:6" x14ac:dyDescent="0.3">
      <c r="F43642" s="193"/>
    </row>
    <row r="43643" spans="6:6" x14ac:dyDescent="0.3">
      <c r="F43643" s="193"/>
    </row>
    <row r="43644" spans="6:6" x14ac:dyDescent="0.3">
      <c r="F43644" s="193"/>
    </row>
    <row r="43645" spans="6:6" x14ac:dyDescent="0.3">
      <c r="F43645" s="193"/>
    </row>
    <row r="43646" spans="6:6" x14ac:dyDescent="0.3">
      <c r="F43646" s="193"/>
    </row>
    <row r="43647" spans="6:6" x14ac:dyDescent="0.3">
      <c r="F43647" s="193"/>
    </row>
    <row r="43648" spans="6:6" x14ac:dyDescent="0.3">
      <c r="F43648" s="193"/>
    </row>
    <row r="43649" spans="6:6" x14ac:dyDescent="0.3">
      <c r="F43649" s="193"/>
    </row>
    <row r="43650" spans="6:6" x14ac:dyDescent="0.3">
      <c r="F43650" s="193"/>
    </row>
    <row r="43651" spans="6:6" x14ac:dyDescent="0.3">
      <c r="F43651" s="193"/>
    </row>
    <row r="43652" spans="6:6" x14ac:dyDescent="0.3">
      <c r="F43652" s="193"/>
    </row>
    <row r="43653" spans="6:6" x14ac:dyDescent="0.3">
      <c r="F43653" s="193"/>
    </row>
    <row r="43654" spans="6:6" x14ac:dyDescent="0.3">
      <c r="F43654" s="193"/>
    </row>
    <row r="43655" spans="6:6" x14ac:dyDescent="0.3">
      <c r="F43655" s="193"/>
    </row>
    <row r="43656" spans="6:6" x14ac:dyDescent="0.3">
      <c r="F43656" s="193"/>
    </row>
    <row r="43657" spans="6:6" x14ac:dyDescent="0.3">
      <c r="F43657" s="193"/>
    </row>
    <row r="43658" spans="6:6" x14ac:dyDescent="0.3">
      <c r="F43658" s="193"/>
    </row>
    <row r="43659" spans="6:6" x14ac:dyDescent="0.3">
      <c r="F43659" s="193"/>
    </row>
    <row r="43660" spans="6:6" x14ac:dyDescent="0.3">
      <c r="F43660" s="193"/>
    </row>
    <row r="43661" spans="6:6" x14ac:dyDescent="0.3">
      <c r="F43661" s="193"/>
    </row>
    <row r="43662" spans="6:6" x14ac:dyDescent="0.3">
      <c r="F43662" s="193"/>
    </row>
    <row r="43663" spans="6:6" x14ac:dyDescent="0.3">
      <c r="F43663" s="193"/>
    </row>
    <row r="43664" spans="6:6" x14ac:dyDescent="0.3">
      <c r="F43664" s="193"/>
    </row>
    <row r="43665" spans="6:6" x14ac:dyDescent="0.3">
      <c r="F43665" s="193"/>
    </row>
    <row r="43666" spans="6:6" x14ac:dyDescent="0.3">
      <c r="F43666" s="193"/>
    </row>
    <row r="43667" spans="6:6" x14ac:dyDescent="0.3">
      <c r="F43667" s="193"/>
    </row>
    <row r="43668" spans="6:6" x14ac:dyDescent="0.3">
      <c r="F43668" s="193"/>
    </row>
    <row r="43669" spans="6:6" x14ac:dyDescent="0.3">
      <c r="F43669" s="193"/>
    </row>
    <row r="43670" spans="6:6" x14ac:dyDescent="0.3">
      <c r="F43670" s="193"/>
    </row>
    <row r="43671" spans="6:6" x14ac:dyDescent="0.3">
      <c r="F43671" s="193"/>
    </row>
    <row r="43672" spans="6:6" x14ac:dyDescent="0.3">
      <c r="F43672" s="193"/>
    </row>
    <row r="43673" spans="6:6" x14ac:dyDescent="0.3">
      <c r="F43673" s="193"/>
    </row>
    <row r="43674" spans="6:6" x14ac:dyDescent="0.3">
      <c r="F43674" s="193"/>
    </row>
    <row r="43675" spans="6:6" x14ac:dyDescent="0.3">
      <c r="F43675" s="193"/>
    </row>
    <row r="43676" spans="6:6" x14ac:dyDescent="0.3">
      <c r="F43676" s="193"/>
    </row>
    <row r="43677" spans="6:6" x14ac:dyDescent="0.3">
      <c r="F43677" s="193"/>
    </row>
    <row r="43678" spans="6:6" x14ac:dyDescent="0.3">
      <c r="F43678" s="193"/>
    </row>
    <row r="43679" spans="6:6" x14ac:dyDescent="0.3">
      <c r="F43679" s="193"/>
    </row>
    <row r="43680" spans="6:6" x14ac:dyDescent="0.3">
      <c r="F43680" s="193"/>
    </row>
    <row r="43681" spans="6:6" x14ac:dyDescent="0.3">
      <c r="F43681" s="193"/>
    </row>
    <row r="43682" spans="6:6" x14ac:dyDescent="0.3">
      <c r="F43682" s="193"/>
    </row>
    <row r="43683" spans="6:6" x14ac:dyDescent="0.3">
      <c r="F43683" s="193"/>
    </row>
    <row r="43684" spans="6:6" x14ac:dyDescent="0.3">
      <c r="F43684" s="193"/>
    </row>
    <row r="43685" spans="6:6" x14ac:dyDescent="0.3">
      <c r="F43685" s="193"/>
    </row>
    <row r="43686" spans="6:6" x14ac:dyDescent="0.3">
      <c r="F43686" s="193"/>
    </row>
    <row r="43687" spans="6:6" x14ac:dyDescent="0.3">
      <c r="F43687" s="193"/>
    </row>
    <row r="43688" spans="6:6" x14ac:dyDescent="0.3">
      <c r="F43688" s="193"/>
    </row>
    <row r="43689" spans="6:6" x14ac:dyDescent="0.3">
      <c r="F43689" s="193"/>
    </row>
    <row r="43690" spans="6:6" x14ac:dyDescent="0.3">
      <c r="F43690" s="193"/>
    </row>
    <row r="43691" spans="6:6" x14ac:dyDescent="0.3">
      <c r="F43691" s="193"/>
    </row>
    <row r="43692" spans="6:6" x14ac:dyDescent="0.3">
      <c r="F43692" s="193"/>
    </row>
    <row r="43693" spans="6:6" x14ac:dyDescent="0.3">
      <c r="F43693" s="193"/>
    </row>
    <row r="43694" spans="6:6" x14ac:dyDescent="0.3">
      <c r="F43694" s="193"/>
    </row>
    <row r="43695" spans="6:6" x14ac:dyDescent="0.3">
      <c r="F43695" s="193"/>
    </row>
    <row r="43696" spans="6:6" x14ac:dyDescent="0.3">
      <c r="F43696" s="193"/>
    </row>
    <row r="43697" spans="6:6" x14ac:dyDescent="0.3">
      <c r="F43697" s="193"/>
    </row>
    <row r="43698" spans="6:6" x14ac:dyDescent="0.3">
      <c r="F43698" s="193"/>
    </row>
    <row r="43699" spans="6:6" x14ac:dyDescent="0.3">
      <c r="F43699" s="193"/>
    </row>
    <row r="43700" spans="6:6" x14ac:dyDescent="0.3">
      <c r="F43700" s="193"/>
    </row>
    <row r="43701" spans="6:6" x14ac:dyDescent="0.3">
      <c r="F43701" s="193"/>
    </row>
    <row r="43702" spans="6:6" x14ac:dyDescent="0.3">
      <c r="F43702" s="193"/>
    </row>
    <row r="43703" spans="6:6" x14ac:dyDescent="0.3">
      <c r="F43703" s="193"/>
    </row>
    <row r="43704" spans="6:6" x14ac:dyDescent="0.3">
      <c r="F43704" s="193"/>
    </row>
    <row r="43705" spans="6:6" x14ac:dyDescent="0.3">
      <c r="F43705" s="193"/>
    </row>
    <row r="43706" spans="6:6" x14ac:dyDescent="0.3">
      <c r="F43706" s="193"/>
    </row>
    <row r="43707" spans="6:6" x14ac:dyDescent="0.3">
      <c r="F43707" s="193"/>
    </row>
    <row r="43708" spans="6:6" x14ac:dyDescent="0.3">
      <c r="F43708" s="193"/>
    </row>
    <row r="43709" spans="6:6" x14ac:dyDescent="0.3">
      <c r="F43709" s="193"/>
    </row>
    <row r="43710" spans="6:6" x14ac:dyDescent="0.3">
      <c r="F43710" s="193"/>
    </row>
    <row r="43711" spans="6:6" x14ac:dyDescent="0.3">
      <c r="F43711" s="193"/>
    </row>
    <row r="43712" spans="6:6" x14ac:dyDescent="0.3">
      <c r="F43712" s="193"/>
    </row>
    <row r="43713" spans="6:6" x14ac:dyDescent="0.3">
      <c r="F43713" s="193"/>
    </row>
    <row r="43714" spans="6:6" x14ac:dyDescent="0.3">
      <c r="F43714" s="193"/>
    </row>
    <row r="43715" spans="6:6" x14ac:dyDescent="0.3">
      <c r="F43715" s="193"/>
    </row>
    <row r="43716" spans="6:6" x14ac:dyDescent="0.3">
      <c r="F43716" s="193"/>
    </row>
    <row r="43717" spans="6:6" x14ac:dyDescent="0.3">
      <c r="F43717" s="193"/>
    </row>
    <row r="43718" spans="6:6" x14ac:dyDescent="0.3">
      <c r="F43718" s="193"/>
    </row>
    <row r="43719" spans="6:6" x14ac:dyDescent="0.3">
      <c r="F43719" s="193"/>
    </row>
    <row r="43720" spans="6:6" x14ac:dyDescent="0.3">
      <c r="F43720" s="193"/>
    </row>
    <row r="43721" spans="6:6" x14ac:dyDescent="0.3">
      <c r="F43721" s="193"/>
    </row>
    <row r="43722" spans="6:6" x14ac:dyDescent="0.3">
      <c r="F43722" s="193"/>
    </row>
    <row r="43723" spans="6:6" x14ac:dyDescent="0.3">
      <c r="F43723" s="193"/>
    </row>
    <row r="43724" spans="6:6" x14ac:dyDescent="0.3">
      <c r="F43724" s="193"/>
    </row>
    <row r="43725" spans="6:6" x14ac:dyDescent="0.3">
      <c r="F43725" s="193"/>
    </row>
    <row r="43726" spans="6:6" x14ac:dyDescent="0.3">
      <c r="F43726" s="193"/>
    </row>
    <row r="43727" spans="6:6" x14ac:dyDescent="0.3">
      <c r="F43727" s="193"/>
    </row>
    <row r="43728" spans="6:6" x14ac:dyDescent="0.3">
      <c r="F43728" s="193"/>
    </row>
    <row r="43729" spans="6:6" x14ac:dyDescent="0.3">
      <c r="F43729" s="193"/>
    </row>
    <row r="43730" spans="6:6" x14ac:dyDescent="0.3">
      <c r="F43730" s="193"/>
    </row>
    <row r="43731" spans="6:6" x14ac:dyDescent="0.3">
      <c r="F43731" s="193"/>
    </row>
    <row r="43732" spans="6:6" x14ac:dyDescent="0.3">
      <c r="F43732" s="193"/>
    </row>
    <row r="43733" spans="6:6" x14ac:dyDescent="0.3">
      <c r="F43733" s="193"/>
    </row>
    <row r="43734" spans="6:6" x14ac:dyDescent="0.3">
      <c r="F43734" s="193"/>
    </row>
    <row r="43735" spans="6:6" x14ac:dyDescent="0.3">
      <c r="F43735" s="193"/>
    </row>
    <row r="43736" spans="6:6" x14ac:dyDescent="0.3">
      <c r="F43736" s="193"/>
    </row>
    <row r="43737" spans="6:6" x14ac:dyDescent="0.3">
      <c r="F43737" s="193"/>
    </row>
    <row r="43738" spans="6:6" x14ac:dyDescent="0.3">
      <c r="F43738" s="193"/>
    </row>
    <row r="43739" spans="6:6" x14ac:dyDescent="0.3">
      <c r="F43739" s="193"/>
    </row>
    <row r="43740" spans="6:6" x14ac:dyDescent="0.3">
      <c r="F43740" s="193"/>
    </row>
    <row r="43741" spans="6:6" x14ac:dyDescent="0.3">
      <c r="F43741" s="193"/>
    </row>
    <row r="43742" spans="6:6" x14ac:dyDescent="0.3">
      <c r="F43742" s="193"/>
    </row>
    <row r="43743" spans="6:6" x14ac:dyDescent="0.3">
      <c r="F43743" s="193"/>
    </row>
    <row r="43744" spans="6:6" x14ac:dyDescent="0.3">
      <c r="F43744" s="193"/>
    </row>
    <row r="43745" spans="6:6" x14ac:dyDescent="0.3">
      <c r="F43745" s="193"/>
    </row>
    <row r="43746" spans="6:6" x14ac:dyDescent="0.3">
      <c r="F43746" s="193"/>
    </row>
    <row r="43747" spans="6:6" x14ac:dyDescent="0.3">
      <c r="F43747" s="193"/>
    </row>
    <row r="43748" spans="6:6" x14ac:dyDescent="0.3">
      <c r="F43748" s="193"/>
    </row>
    <row r="43749" spans="6:6" x14ac:dyDescent="0.3">
      <c r="F43749" s="193"/>
    </row>
    <row r="43750" spans="6:6" x14ac:dyDescent="0.3">
      <c r="F43750" s="193"/>
    </row>
    <row r="43751" spans="6:6" x14ac:dyDescent="0.3">
      <c r="F43751" s="193"/>
    </row>
    <row r="43752" spans="6:6" x14ac:dyDescent="0.3">
      <c r="F43752" s="193"/>
    </row>
    <row r="43753" spans="6:6" x14ac:dyDescent="0.3">
      <c r="F43753" s="193"/>
    </row>
    <row r="43754" spans="6:6" x14ac:dyDescent="0.3">
      <c r="F43754" s="193"/>
    </row>
    <row r="43755" spans="6:6" x14ac:dyDescent="0.3">
      <c r="F43755" s="193"/>
    </row>
    <row r="43756" spans="6:6" x14ac:dyDescent="0.3">
      <c r="F43756" s="193"/>
    </row>
    <row r="43757" spans="6:6" x14ac:dyDescent="0.3">
      <c r="F43757" s="193"/>
    </row>
    <row r="43758" spans="6:6" x14ac:dyDescent="0.3">
      <c r="F43758" s="193"/>
    </row>
    <row r="43759" spans="6:6" x14ac:dyDescent="0.3">
      <c r="F43759" s="193"/>
    </row>
    <row r="43760" spans="6:6" x14ac:dyDescent="0.3">
      <c r="F43760" s="193"/>
    </row>
    <row r="43761" spans="6:6" x14ac:dyDescent="0.3">
      <c r="F43761" s="193"/>
    </row>
    <row r="43762" spans="6:6" x14ac:dyDescent="0.3">
      <c r="F43762" s="193"/>
    </row>
    <row r="43763" spans="6:6" x14ac:dyDescent="0.3">
      <c r="F43763" s="193"/>
    </row>
    <row r="43764" spans="6:6" x14ac:dyDescent="0.3">
      <c r="F43764" s="193"/>
    </row>
    <row r="43765" spans="6:6" x14ac:dyDescent="0.3">
      <c r="F43765" s="193"/>
    </row>
    <row r="43766" spans="6:6" x14ac:dyDescent="0.3">
      <c r="F43766" s="193"/>
    </row>
    <row r="43767" spans="6:6" x14ac:dyDescent="0.3">
      <c r="F43767" s="193"/>
    </row>
    <row r="43768" spans="6:6" x14ac:dyDescent="0.3">
      <c r="F43768" s="193"/>
    </row>
    <row r="43769" spans="6:6" x14ac:dyDescent="0.3">
      <c r="F43769" s="193"/>
    </row>
    <row r="43770" spans="6:6" x14ac:dyDescent="0.3">
      <c r="F43770" s="193"/>
    </row>
    <row r="43771" spans="6:6" x14ac:dyDescent="0.3">
      <c r="F43771" s="193"/>
    </row>
    <row r="43772" spans="6:6" x14ac:dyDescent="0.3">
      <c r="F43772" s="193"/>
    </row>
    <row r="43773" spans="6:6" x14ac:dyDescent="0.3">
      <c r="F43773" s="193"/>
    </row>
    <row r="43774" spans="6:6" x14ac:dyDescent="0.3">
      <c r="F43774" s="193"/>
    </row>
    <row r="43775" spans="6:6" x14ac:dyDescent="0.3">
      <c r="F43775" s="193"/>
    </row>
    <row r="43776" spans="6:6" x14ac:dyDescent="0.3">
      <c r="F43776" s="193"/>
    </row>
    <row r="43777" spans="6:6" x14ac:dyDescent="0.3">
      <c r="F43777" s="193"/>
    </row>
    <row r="43778" spans="6:6" x14ac:dyDescent="0.3">
      <c r="F43778" s="193"/>
    </row>
    <row r="43779" spans="6:6" x14ac:dyDescent="0.3">
      <c r="F43779" s="193"/>
    </row>
    <row r="43780" spans="6:6" x14ac:dyDescent="0.3">
      <c r="F43780" s="193"/>
    </row>
    <row r="43781" spans="6:6" x14ac:dyDescent="0.3">
      <c r="F43781" s="193"/>
    </row>
    <row r="43782" spans="6:6" x14ac:dyDescent="0.3">
      <c r="F43782" s="193"/>
    </row>
    <row r="43783" spans="6:6" x14ac:dyDescent="0.3">
      <c r="F43783" s="193"/>
    </row>
    <row r="43784" spans="6:6" x14ac:dyDescent="0.3">
      <c r="F43784" s="193"/>
    </row>
    <row r="43785" spans="6:6" x14ac:dyDescent="0.3">
      <c r="F43785" s="193"/>
    </row>
    <row r="43786" spans="6:6" x14ac:dyDescent="0.3">
      <c r="F43786" s="193"/>
    </row>
    <row r="43787" spans="6:6" x14ac:dyDescent="0.3">
      <c r="F43787" s="193"/>
    </row>
    <row r="43788" spans="6:6" x14ac:dyDescent="0.3">
      <c r="F43788" s="193"/>
    </row>
    <row r="43789" spans="6:6" x14ac:dyDescent="0.3">
      <c r="F43789" s="193"/>
    </row>
    <row r="43790" spans="6:6" x14ac:dyDescent="0.3">
      <c r="F43790" s="193"/>
    </row>
    <row r="43791" spans="6:6" x14ac:dyDescent="0.3">
      <c r="F43791" s="193"/>
    </row>
    <row r="43792" spans="6:6" x14ac:dyDescent="0.3">
      <c r="F43792" s="193"/>
    </row>
    <row r="43793" spans="6:6" x14ac:dyDescent="0.3">
      <c r="F43793" s="193"/>
    </row>
    <row r="43794" spans="6:6" x14ac:dyDescent="0.3">
      <c r="F43794" s="193"/>
    </row>
    <row r="43795" spans="6:6" x14ac:dyDescent="0.3">
      <c r="F43795" s="193"/>
    </row>
    <row r="43796" spans="6:6" x14ac:dyDescent="0.3">
      <c r="F43796" s="193"/>
    </row>
    <row r="43797" spans="6:6" x14ac:dyDescent="0.3">
      <c r="F43797" s="193"/>
    </row>
    <row r="43798" spans="6:6" x14ac:dyDescent="0.3">
      <c r="F43798" s="193"/>
    </row>
    <row r="43799" spans="6:6" x14ac:dyDescent="0.3">
      <c r="F43799" s="193"/>
    </row>
    <row r="43800" spans="6:6" x14ac:dyDescent="0.3">
      <c r="F43800" s="193"/>
    </row>
    <row r="43801" spans="6:6" x14ac:dyDescent="0.3">
      <c r="F43801" s="193"/>
    </row>
    <row r="43802" spans="6:6" x14ac:dyDescent="0.3">
      <c r="F43802" s="193"/>
    </row>
    <row r="43803" spans="6:6" x14ac:dyDescent="0.3">
      <c r="F43803" s="193"/>
    </row>
    <row r="43804" spans="6:6" x14ac:dyDescent="0.3">
      <c r="F43804" s="193"/>
    </row>
    <row r="43805" spans="6:6" x14ac:dyDescent="0.3">
      <c r="F43805" s="193"/>
    </row>
    <row r="43806" spans="6:6" x14ac:dyDescent="0.3">
      <c r="F43806" s="193"/>
    </row>
    <row r="43807" spans="6:6" x14ac:dyDescent="0.3">
      <c r="F43807" s="193"/>
    </row>
    <row r="43808" spans="6:6" x14ac:dyDescent="0.3">
      <c r="F43808" s="193"/>
    </row>
    <row r="43809" spans="6:6" x14ac:dyDescent="0.3">
      <c r="F43809" s="193"/>
    </row>
    <row r="43810" spans="6:6" x14ac:dyDescent="0.3">
      <c r="F43810" s="193"/>
    </row>
    <row r="43811" spans="6:6" x14ac:dyDescent="0.3">
      <c r="F43811" s="193"/>
    </row>
    <row r="43812" spans="6:6" x14ac:dyDescent="0.3">
      <c r="F43812" s="193"/>
    </row>
    <row r="43813" spans="6:6" x14ac:dyDescent="0.3">
      <c r="F43813" s="193"/>
    </row>
    <row r="43814" spans="6:6" x14ac:dyDescent="0.3">
      <c r="F43814" s="193"/>
    </row>
    <row r="43815" spans="6:6" x14ac:dyDescent="0.3">
      <c r="F43815" s="193"/>
    </row>
    <row r="43816" spans="6:6" x14ac:dyDescent="0.3">
      <c r="F43816" s="193"/>
    </row>
    <row r="43817" spans="6:6" x14ac:dyDescent="0.3">
      <c r="F43817" s="193"/>
    </row>
    <row r="43818" spans="6:6" x14ac:dyDescent="0.3">
      <c r="F43818" s="193"/>
    </row>
    <row r="43819" spans="6:6" x14ac:dyDescent="0.3">
      <c r="F43819" s="193"/>
    </row>
    <row r="43820" spans="6:6" x14ac:dyDescent="0.3">
      <c r="F43820" s="193"/>
    </row>
    <row r="43821" spans="6:6" x14ac:dyDescent="0.3">
      <c r="F43821" s="193"/>
    </row>
    <row r="43822" spans="6:6" x14ac:dyDescent="0.3">
      <c r="F43822" s="193"/>
    </row>
    <row r="43823" spans="6:6" x14ac:dyDescent="0.3">
      <c r="F43823" s="193"/>
    </row>
    <row r="43824" spans="6:6" x14ac:dyDescent="0.3">
      <c r="F43824" s="193"/>
    </row>
    <row r="43825" spans="6:6" x14ac:dyDescent="0.3">
      <c r="F43825" s="193"/>
    </row>
    <row r="43826" spans="6:6" x14ac:dyDescent="0.3">
      <c r="F43826" s="193"/>
    </row>
    <row r="43827" spans="6:6" x14ac:dyDescent="0.3">
      <c r="F43827" s="193"/>
    </row>
    <row r="43828" spans="6:6" x14ac:dyDescent="0.3">
      <c r="F43828" s="193"/>
    </row>
    <row r="43829" spans="6:6" x14ac:dyDescent="0.3">
      <c r="F43829" s="193"/>
    </row>
    <row r="43830" spans="6:6" x14ac:dyDescent="0.3">
      <c r="F43830" s="193"/>
    </row>
    <row r="43831" spans="6:6" x14ac:dyDescent="0.3">
      <c r="F43831" s="193"/>
    </row>
    <row r="43832" spans="6:6" x14ac:dyDescent="0.3">
      <c r="F43832" s="193"/>
    </row>
    <row r="43833" spans="6:6" x14ac:dyDescent="0.3">
      <c r="F43833" s="193"/>
    </row>
    <row r="43834" spans="6:6" x14ac:dyDescent="0.3">
      <c r="F43834" s="193"/>
    </row>
    <row r="43835" spans="6:6" x14ac:dyDescent="0.3">
      <c r="F43835" s="193"/>
    </row>
    <row r="43836" spans="6:6" x14ac:dyDescent="0.3">
      <c r="F43836" s="193"/>
    </row>
    <row r="43837" spans="6:6" x14ac:dyDescent="0.3">
      <c r="F43837" s="193"/>
    </row>
    <row r="43838" spans="6:6" x14ac:dyDescent="0.3">
      <c r="F43838" s="193"/>
    </row>
    <row r="43839" spans="6:6" x14ac:dyDescent="0.3">
      <c r="F43839" s="193"/>
    </row>
    <row r="43840" spans="6:6" x14ac:dyDescent="0.3">
      <c r="F43840" s="193"/>
    </row>
    <row r="43841" spans="6:6" x14ac:dyDescent="0.3">
      <c r="F43841" s="193"/>
    </row>
    <row r="43842" spans="6:6" x14ac:dyDescent="0.3">
      <c r="F43842" s="193"/>
    </row>
    <row r="43843" spans="6:6" x14ac:dyDescent="0.3">
      <c r="F43843" s="193"/>
    </row>
    <row r="43844" spans="6:6" x14ac:dyDescent="0.3">
      <c r="F43844" s="193"/>
    </row>
    <row r="43845" spans="6:6" x14ac:dyDescent="0.3">
      <c r="F43845" s="193"/>
    </row>
    <row r="43846" spans="6:6" x14ac:dyDescent="0.3">
      <c r="F43846" s="193"/>
    </row>
    <row r="43847" spans="6:6" x14ac:dyDescent="0.3">
      <c r="F43847" s="193"/>
    </row>
    <row r="43848" spans="6:6" x14ac:dyDescent="0.3">
      <c r="F43848" s="193"/>
    </row>
    <row r="43849" spans="6:6" x14ac:dyDescent="0.3">
      <c r="F43849" s="193"/>
    </row>
    <row r="43850" spans="6:6" x14ac:dyDescent="0.3">
      <c r="F43850" s="193"/>
    </row>
    <row r="43851" spans="6:6" x14ac:dyDescent="0.3">
      <c r="F43851" s="193"/>
    </row>
    <row r="43852" spans="6:6" x14ac:dyDescent="0.3">
      <c r="F43852" s="193"/>
    </row>
    <row r="43853" spans="6:6" x14ac:dyDescent="0.3">
      <c r="F43853" s="193"/>
    </row>
    <row r="43854" spans="6:6" x14ac:dyDescent="0.3">
      <c r="F43854" s="193"/>
    </row>
    <row r="43855" spans="6:6" x14ac:dyDescent="0.3">
      <c r="F43855" s="193"/>
    </row>
    <row r="43856" spans="6:6" x14ac:dyDescent="0.3">
      <c r="F43856" s="193"/>
    </row>
    <row r="43857" spans="6:6" x14ac:dyDescent="0.3">
      <c r="F43857" s="193"/>
    </row>
    <row r="43858" spans="6:6" x14ac:dyDescent="0.3">
      <c r="F43858" s="193"/>
    </row>
    <row r="43859" spans="6:6" x14ac:dyDescent="0.3">
      <c r="F43859" s="193"/>
    </row>
    <row r="43860" spans="6:6" x14ac:dyDescent="0.3">
      <c r="F43860" s="193"/>
    </row>
    <row r="43861" spans="6:6" x14ac:dyDescent="0.3">
      <c r="F43861" s="193"/>
    </row>
    <row r="43862" spans="6:6" x14ac:dyDescent="0.3">
      <c r="F43862" s="193"/>
    </row>
    <row r="43863" spans="6:6" x14ac:dyDescent="0.3">
      <c r="F43863" s="193"/>
    </row>
    <row r="43864" spans="6:6" x14ac:dyDescent="0.3">
      <c r="F43864" s="193"/>
    </row>
    <row r="43865" spans="6:6" x14ac:dyDescent="0.3">
      <c r="F43865" s="193"/>
    </row>
    <row r="43866" spans="6:6" x14ac:dyDescent="0.3">
      <c r="F43866" s="193"/>
    </row>
    <row r="43867" spans="6:6" x14ac:dyDescent="0.3">
      <c r="F43867" s="193"/>
    </row>
    <row r="43868" spans="6:6" x14ac:dyDescent="0.3">
      <c r="F43868" s="193"/>
    </row>
    <row r="43869" spans="6:6" x14ac:dyDescent="0.3">
      <c r="F43869" s="193"/>
    </row>
    <row r="43870" spans="6:6" x14ac:dyDescent="0.3">
      <c r="F43870" s="193"/>
    </row>
    <row r="43871" spans="6:6" x14ac:dyDescent="0.3">
      <c r="F43871" s="193"/>
    </row>
    <row r="43872" spans="6:6" x14ac:dyDescent="0.3">
      <c r="F43872" s="193"/>
    </row>
    <row r="43873" spans="6:6" x14ac:dyDescent="0.3">
      <c r="F43873" s="193"/>
    </row>
    <row r="43874" spans="6:6" x14ac:dyDescent="0.3">
      <c r="F43874" s="193"/>
    </row>
    <row r="43875" spans="6:6" x14ac:dyDescent="0.3">
      <c r="F43875" s="193"/>
    </row>
    <row r="43876" spans="6:6" x14ac:dyDescent="0.3">
      <c r="F43876" s="193"/>
    </row>
    <row r="43877" spans="6:6" x14ac:dyDescent="0.3">
      <c r="F43877" s="193"/>
    </row>
    <row r="43878" spans="6:6" x14ac:dyDescent="0.3">
      <c r="F43878" s="193"/>
    </row>
    <row r="43879" spans="6:6" x14ac:dyDescent="0.3">
      <c r="F43879" s="193"/>
    </row>
    <row r="43880" spans="6:6" x14ac:dyDescent="0.3">
      <c r="F43880" s="193"/>
    </row>
    <row r="43881" spans="6:6" x14ac:dyDescent="0.3">
      <c r="F43881" s="193"/>
    </row>
    <row r="43882" spans="6:6" x14ac:dyDescent="0.3">
      <c r="F43882" s="193"/>
    </row>
    <row r="43883" spans="6:6" x14ac:dyDescent="0.3">
      <c r="F43883" s="193"/>
    </row>
    <row r="43884" spans="6:6" x14ac:dyDescent="0.3">
      <c r="F43884" s="193"/>
    </row>
    <row r="43885" spans="6:6" x14ac:dyDescent="0.3">
      <c r="F43885" s="193"/>
    </row>
    <row r="43886" spans="6:6" x14ac:dyDescent="0.3">
      <c r="F43886" s="193"/>
    </row>
    <row r="43887" spans="6:6" x14ac:dyDescent="0.3">
      <c r="F43887" s="193"/>
    </row>
    <row r="43888" spans="6:6" x14ac:dyDescent="0.3">
      <c r="F43888" s="193"/>
    </row>
    <row r="43889" spans="6:6" x14ac:dyDescent="0.3">
      <c r="F43889" s="193"/>
    </row>
    <row r="43890" spans="6:6" x14ac:dyDescent="0.3">
      <c r="F43890" s="193"/>
    </row>
    <row r="43891" spans="6:6" x14ac:dyDescent="0.3">
      <c r="F43891" s="193"/>
    </row>
    <row r="43892" spans="6:6" x14ac:dyDescent="0.3">
      <c r="F43892" s="193"/>
    </row>
    <row r="43893" spans="6:6" x14ac:dyDescent="0.3">
      <c r="F43893" s="193"/>
    </row>
    <row r="43894" spans="6:6" x14ac:dyDescent="0.3">
      <c r="F43894" s="193"/>
    </row>
    <row r="43895" spans="6:6" x14ac:dyDescent="0.3">
      <c r="F43895" s="193"/>
    </row>
    <row r="43896" spans="6:6" x14ac:dyDescent="0.3">
      <c r="F43896" s="193"/>
    </row>
    <row r="43897" spans="6:6" x14ac:dyDescent="0.3">
      <c r="F43897" s="193"/>
    </row>
    <row r="43898" spans="6:6" x14ac:dyDescent="0.3">
      <c r="F43898" s="193"/>
    </row>
    <row r="43899" spans="6:6" x14ac:dyDescent="0.3">
      <c r="F43899" s="193"/>
    </row>
    <row r="43900" spans="6:6" x14ac:dyDescent="0.3">
      <c r="F43900" s="193"/>
    </row>
    <row r="43901" spans="6:6" x14ac:dyDescent="0.3">
      <c r="F43901" s="193"/>
    </row>
    <row r="43902" spans="6:6" x14ac:dyDescent="0.3">
      <c r="F43902" s="193"/>
    </row>
    <row r="43903" spans="6:6" x14ac:dyDescent="0.3">
      <c r="F43903" s="193"/>
    </row>
    <row r="43904" spans="6:6" x14ac:dyDescent="0.3">
      <c r="F43904" s="193"/>
    </row>
    <row r="43905" spans="6:6" x14ac:dyDescent="0.3">
      <c r="F43905" s="193"/>
    </row>
    <row r="43906" spans="6:6" x14ac:dyDescent="0.3">
      <c r="F43906" s="193"/>
    </row>
    <row r="43907" spans="6:6" x14ac:dyDescent="0.3">
      <c r="F43907" s="193"/>
    </row>
    <row r="43908" spans="6:6" x14ac:dyDescent="0.3">
      <c r="F43908" s="193"/>
    </row>
    <row r="43909" spans="6:6" x14ac:dyDescent="0.3">
      <c r="F43909" s="193"/>
    </row>
    <row r="43910" spans="6:6" x14ac:dyDescent="0.3">
      <c r="F43910" s="193"/>
    </row>
    <row r="43911" spans="6:6" x14ac:dyDescent="0.3">
      <c r="F43911" s="193"/>
    </row>
    <row r="43912" spans="6:6" x14ac:dyDescent="0.3">
      <c r="F43912" s="193"/>
    </row>
    <row r="43913" spans="6:6" x14ac:dyDescent="0.3">
      <c r="F43913" s="193"/>
    </row>
    <row r="43914" spans="6:6" x14ac:dyDescent="0.3">
      <c r="F43914" s="193"/>
    </row>
    <row r="43915" spans="6:6" x14ac:dyDescent="0.3">
      <c r="F43915" s="193"/>
    </row>
    <row r="43916" spans="6:6" x14ac:dyDescent="0.3">
      <c r="F43916" s="193"/>
    </row>
    <row r="43917" spans="6:6" x14ac:dyDescent="0.3">
      <c r="F43917" s="193"/>
    </row>
    <row r="43918" spans="6:6" x14ac:dyDescent="0.3">
      <c r="F43918" s="193"/>
    </row>
    <row r="43919" spans="6:6" x14ac:dyDescent="0.3">
      <c r="F43919" s="193"/>
    </row>
    <row r="43920" spans="6:6" x14ac:dyDescent="0.3">
      <c r="F43920" s="193"/>
    </row>
    <row r="43921" spans="6:6" x14ac:dyDescent="0.3">
      <c r="F43921" s="193"/>
    </row>
    <row r="43922" spans="6:6" x14ac:dyDescent="0.3">
      <c r="F43922" s="193"/>
    </row>
    <row r="43923" spans="6:6" x14ac:dyDescent="0.3">
      <c r="F43923" s="193"/>
    </row>
    <row r="43924" spans="6:6" x14ac:dyDescent="0.3">
      <c r="F43924" s="193"/>
    </row>
    <row r="43925" spans="6:6" x14ac:dyDescent="0.3">
      <c r="F43925" s="193"/>
    </row>
    <row r="43926" spans="6:6" x14ac:dyDescent="0.3">
      <c r="F43926" s="193"/>
    </row>
    <row r="43927" spans="6:6" x14ac:dyDescent="0.3">
      <c r="F43927" s="193"/>
    </row>
    <row r="43928" spans="6:6" x14ac:dyDescent="0.3">
      <c r="F43928" s="193"/>
    </row>
    <row r="43929" spans="6:6" x14ac:dyDescent="0.3">
      <c r="F43929" s="193"/>
    </row>
    <row r="43930" spans="6:6" x14ac:dyDescent="0.3">
      <c r="F43930" s="193"/>
    </row>
    <row r="43931" spans="6:6" x14ac:dyDescent="0.3">
      <c r="F43931" s="193"/>
    </row>
    <row r="43932" spans="6:6" x14ac:dyDescent="0.3">
      <c r="F43932" s="193"/>
    </row>
    <row r="43933" spans="6:6" x14ac:dyDescent="0.3">
      <c r="F43933" s="193"/>
    </row>
    <row r="43934" spans="6:6" x14ac:dyDescent="0.3">
      <c r="F43934" s="193"/>
    </row>
    <row r="43935" spans="6:6" x14ac:dyDescent="0.3">
      <c r="F43935" s="193"/>
    </row>
    <row r="43936" spans="6:6" x14ac:dyDescent="0.3">
      <c r="F43936" s="193"/>
    </row>
    <row r="43937" spans="6:6" x14ac:dyDescent="0.3">
      <c r="F43937" s="193"/>
    </row>
    <row r="43938" spans="6:6" x14ac:dyDescent="0.3">
      <c r="F43938" s="193"/>
    </row>
    <row r="43939" spans="6:6" x14ac:dyDescent="0.3">
      <c r="F43939" s="193"/>
    </row>
    <row r="43940" spans="6:6" x14ac:dyDescent="0.3">
      <c r="F43940" s="193"/>
    </row>
    <row r="43941" spans="6:6" x14ac:dyDescent="0.3">
      <c r="F43941" s="193"/>
    </row>
    <row r="43942" spans="6:6" x14ac:dyDescent="0.3">
      <c r="F43942" s="193"/>
    </row>
    <row r="43943" spans="6:6" x14ac:dyDescent="0.3">
      <c r="F43943" s="193"/>
    </row>
    <row r="43944" spans="6:6" x14ac:dyDescent="0.3">
      <c r="F43944" s="193"/>
    </row>
    <row r="43945" spans="6:6" x14ac:dyDescent="0.3">
      <c r="F43945" s="193"/>
    </row>
    <row r="43946" spans="6:6" x14ac:dyDescent="0.3">
      <c r="F43946" s="193"/>
    </row>
    <row r="43947" spans="6:6" x14ac:dyDescent="0.3">
      <c r="F43947" s="193"/>
    </row>
    <row r="43948" spans="6:6" x14ac:dyDescent="0.3">
      <c r="F43948" s="193"/>
    </row>
    <row r="43949" spans="6:6" x14ac:dyDescent="0.3">
      <c r="F43949" s="193"/>
    </row>
    <row r="43950" spans="6:6" x14ac:dyDescent="0.3">
      <c r="F43950" s="193"/>
    </row>
    <row r="43951" spans="6:6" x14ac:dyDescent="0.3">
      <c r="F43951" s="193"/>
    </row>
    <row r="43952" spans="6:6" x14ac:dyDescent="0.3">
      <c r="F43952" s="193"/>
    </row>
    <row r="43953" spans="6:6" x14ac:dyDescent="0.3">
      <c r="F43953" s="193"/>
    </row>
    <row r="43954" spans="6:6" x14ac:dyDescent="0.3">
      <c r="F43954" s="193"/>
    </row>
    <row r="43955" spans="6:6" x14ac:dyDescent="0.3">
      <c r="F43955" s="193"/>
    </row>
    <row r="43956" spans="6:6" x14ac:dyDescent="0.3">
      <c r="F43956" s="193"/>
    </row>
    <row r="43957" spans="6:6" x14ac:dyDescent="0.3">
      <c r="F43957" s="193"/>
    </row>
    <row r="43958" spans="6:6" x14ac:dyDescent="0.3">
      <c r="F43958" s="193"/>
    </row>
    <row r="43959" spans="6:6" x14ac:dyDescent="0.3">
      <c r="F43959" s="193"/>
    </row>
    <row r="43960" spans="6:6" x14ac:dyDescent="0.3">
      <c r="F43960" s="193"/>
    </row>
    <row r="43961" spans="6:6" x14ac:dyDescent="0.3">
      <c r="F43961" s="193"/>
    </row>
    <row r="43962" spans="6:6" x14ac:dyDescent="0.3">
      <c r="F43962" s="193"/>
    </row>
    <row r="43963" spans="6:6" x14ac:dyDescent="0.3">
      <c r="F43963" s="193"/>
    </row>
    <row r="43964" spans="6:6" x14ac:dyDescent="0.3">
      <c r="F43964" s="193"/>
    </row>
    <row r="43965" spans="6:6" x14ac:dyDescent="0.3">
      <c r="F43965" s="193"/>
    </row>
    <row r="43966" spans="6:6" x14ac:dyDescent="0.3">
      <c r="F43966" s="193"/>
    </row>
    <row r="43967" spans="6:6" x14ac:dyDescent="0.3">
      <c r="F43967" s="193"/>
    </row>
    <row r="43968" spans="6:6" x14ac:dyDescent="0.3">
      <c r="F43968" s="193"/>
    </row>
    <row r="43969" spans="6:6" x14ac:dyDescent="0.3">
      <c r="F43969" s="193"/>
    </row>
    <row r="43970" spans="6:6" x14ac:dyDescent="0.3">
      <c r="F43970" s="193"/>
    </row>
    <row r="43971" spans="6:6" x14ac:dyDescent="0.3">
      <c r="F43971" s="193"/>
    </row>
    <row r="43972" spans="6:6" x14ac:dyDescent="0.3">
      <c r="F43972" s="193"/>
    </row>
    <row r="43973" spans="6:6" x14ac:dyDescent="0.3">
      <c r="F43973" s="193"/>
    </row>
    <row r="43974" spans="6:6" x14ac:dyDescent="0.3">
      <c r="F43974" s="193"/>
    </row>
    <row r="43975" spans="6:6" x14ac:dyDescent="0.3">
      <c r="F43975" s="193"/>
    </row>
    <row r="43976" spans="6:6" x14ac:dyDescent="0.3">
      <c r="F43976" s="193"/>
    </row>
    <row r="43977" spans="6:6" x14ac:dyDescent="0.3">
      <c r="F43977" s="193"/>
    </row>
    <row r="43978" spans="6:6" x14ac:dyDescent="0.3">
      <c r="F43978" s="193"/>
    </row>
    <row r="43979" spans="6:6" x14ac:dyDescent="0.3">
      <c r="F43979" s="193"/>
    </row>
    <row r="43980" spans="6:6" x14ac:dyDescent="0.3">
      <c r="F43980" s="193"/>
    </row>
    <row r="43981" spans="6:6" x14ac:dyDescent="0.3">
      <c r="F43981" s="193"/>
    </row>
    <row r="43982" spans="6:6" x14ac:dyDescent="0.3">
      <c r="F43982" s="193"/>
    </row>
    <row r="43983" spans="6:6" x14ac:dyDescent="0.3">
      <c r="F43983" s="193"/>
    </row>
    <row r="43984" spans="6:6" x14ac:dyDescent="0.3">
      <c r="F43984" s="193"/>
    </row>
    <row r="43985" spans="6:6" x14ac:dyDescent="0.3">
      <c r="F43985" s="193"/>
    </row>
    <row r="43986" spans="6:6" x14ac:dyDescent="0.3">
      <c r="F43986" s="193"/>
    </row>
    <row r="43987" spans="6:6" x14ac:dyDescent="0.3">
      <c r="F43987" s="193"/>
    </row>
    <row r="43988" spans="6:6" x14ac:dyDescent="0.3">
      <c r="F43988" s="193"/>
    </row>
    <row r="43989" spans="6:6" x14ac:dyDescent="0.3">
      <c r="F43989" s="193"/>
    </row>
    <row r="43990" spans="6:6" x14ac:dyDescent="0.3">
      <c r="F43990" s="193"/>
    </row>
    <row r="43991" spans="6:6" x14ac:dyDescent="0.3">
      <c r="F43991" s="193"/>
    </row>
    <row r="43992" spans="6:6" x14ac:dyDescent="0.3">
      <c r="F43992" s="193"/>
    </row>
    <row r="43993" spans="6:6" x14ac:dyDescent="0.3">
      <c r="F43993" s="193"/>
    </row>
    <row r="43994" spans="6:6" x14ac:dyDescent="0.3">
      <c r="F43994" s="193"/>
    </row>
    <row r="43995" spans="6:6" x14ac:dyDescent="0.3">
      <c r="F43995" s="193"/>
    </row>
    <row r="43996" spans="6:6" x14ac:dyDescent="0.3">
      <c r="F43996" s="193"/>
    </row>
    <row r="43997" spans="6:6" x14ac:dyDescent="0.3">
      <c r="F43997" s="193"/>
    </row>
    <row r="43998" spans="6:6" x14ac:dyDescent="0.3">
      <c r="F43998" s="193"/>
    </row>
    <row r="43999" spans="6:6" x14ac:dyDescent="0.3">
      <c r="F43999" s="193"/>
    </row>
    <row r="44000" spans="6:6" x14ac:dyDescent="0.3">
      <c r="F44000" s="193"/>
    </row>
    <row r="44001" spans="6:6" x14ac:dyDescent="0.3">
      <c r="F44001" s="193"/>
    </row>
    <row r="44002" spans="6:6" x14ac:dyDescent="0.3">
      <c r="F44002" s="193"/>
    </row>
    <row r="44003" spans="6:6" x14ac:dyDescent="0.3">
      <c r="F44003" s="193"/>
    </row>
    <row r="44004" spans="6:6" x14ac:dyDescent="0.3">
      <c r="F44004" s="193"/>
    </row>
    <row r="44005" spans="6:6" x14ac:dyDescent="0.3">
      <c r="F44005" s="193"/>
    </row>
    <row r="44006" spans="6:6" x14ac:dyDescent="0.3">
      <c r="F44006" s="193"/>
    </row>
    <row r="44007" spans="6:6" x14ac:dyDescent="0.3">
      <c r="F44007" s="193"/>
    </row>
    <row r="44008" spans="6:6" x14ac:dyDescent="0.3">
      <c r="F44008" s="193"/>
    </row>
    <row r="44009" spans="6:6" x14ac:dyDescent="0.3">
      <c r="F44009" s="193"/>
    </row>
    <row r="44010" spans="6:6" x14ac:dyDescent="0.3">
      <c r="F44010" s="193"/>
    </row>
    <row r="44011" spans="6:6" x14ac:dyDescent="0.3">
      <c r="F44011" s="193"/>
    </row>
    <row r="44012" spans="6:6" x14ac:dyDescent="0.3">
      <c r="F44012" s="193"/>
    </row>
    <row r="44013" spans="6:6" x14ac:dyDescent="0.3">
      <c r="F44013" s="193"/>
    </row>
    <row r="44014" spans="6:6" x14ac:dyDescent="0.3">
      <c r="F44014" s="193"/>
    </row>
    <row r="44015" spans="6:6" x14ac:dyDescent="0.3">
      <c r="F44015" s="193"/>
    </row>
    <row r="44016" spans="6:6" x14ac:dyDescent="0.3">
      <c r="F44016" s="193"/>
    </row>
    <row r="44017" spans="6:6" x14ac:dyDescent="0.3">
      <c r="F44017" s="193"/>
    </row>
    <row r="44018" spans="6:6" x14ac:dyDescent="0.3">
      <c r="F44018" s="193"/>
    </row>
    <row r="44019" spans="6:6" x14ac:dyDescent="0.3">
      <c r="F44019" s="193"/>
    </row>
    <row r="44020" spans="6:6" x14ac:dyDescent="0.3">
      <c r="F44020" s="193"/>
    </row>
    <row r="44021" spans="6:6" x14ac:dyDescent="0.3">
      <c r="F44021" s="193"/>
    </row>
    <row r="44022" spans="6:6" x14ac:dyDescent="0.3">
      <c r="F44022" s="193"/>
    </row>
    <row r="44023" spans="6:6" x14ac:dyDescent="0.3">
      <c r="F44023" s="193"/>
    </row>
    <row r="44024" spans="6:6" x14ac:dyDescent="0.3">
      <c r="F44024" s="193"/>
    </row>
    <row r="44025" spans="6:6" x14ac:dyDescent="0.3">
      <c r="F44025" s="193"/>
    </row>
    <row r="44026" spans="6:6" x14ac:dyDescent="0.3">
      <c r="F44026" s="193"/>
    </row>
    <row r="44027" spans="6:6" x14ac:dyDescent="0.3">
      <c r="F44027" s="193"/>
    </row>
    <row r="44028" spans="6:6" x14ac:dyDescent="0.3">
      <c r="F44028" s="193"/>
    </row>
    <row r="44029" spans="6:6" x14ac:dyDescent="0.3">
      <c r="F44029" s="193"/>
    </row>
    <row r="44030" spans="6:6" x14ac:dyDescent="0.3">
      <c r="F44030" s="193"/>
    </row>
    <row r="44031" spans="6:6" x14ac:dyDescent="0.3">
      <c r="F44031" s="193"/>
    </row>
    <row r="44032" spans="6:6" x14ac:dyDescent="0.3">
      <c r="F44032" s="193"/>
    </row>
    <row r="44033" spans="6:6" x14ac:dyDescent="0.3">
      <c r="F44033" s="193"/>
    </row>
    <row r="44034" spans="6:6" x14ac:dyDescent="0.3">
      <c r="F44034" s="193"/>
    </row>
    <row r="44035" spans="6:6" x14ac:dyDescent="0.3">
      <c r="F44035" s="193"/>
    </row>
    <row r="44036" spans="6:6" x14ac:dyDescent="0.3">
      <c r="F44036" s="193"/>
    </row>
    <row r="44037" spans="6:6" x14ac:dyDescent="0.3">
      <c r="F44037" s="193"/>
    </row>
    <row r="44038" spans="6:6" x14ac:dyDescent="0.3">
      <c r="F44038" s="193"/>
    </row>
    <row r="44039" spans="6:6" x14ac:dyDescent="0.3">
      <c r="F44039" s="193"/>
    </row>
    <row r="44040" spans="6:6" x14ac:dyDescent="0.3">
      <c r="F44040" s="193"/>
    </row>
    <row r="44041" spans="6:6" x14ac:dyDescent="0.3">
      <c r="F44041" s="193"/>
    </row>
    <row r="44042" spans="6:6" x14ac:dyDescent="0.3">
      <c r="F44042" s="193"/>
    </row>
    <row r="44043" spans="6:6" x14ac:dyDescent="0.3">
      <c r="F44043" s="193"/>
    </row>
    <row r="44044" spans="6:6" x14ac:dyDescent="0.3">
      <c r="F44044" s="193"/>
    </row>
    <row r="44045" spans="6:6" x14ac:dyDescent="0.3">
      <c r="F44045" s="193"/>
    </row>
    <row r="44046" spans="6:6" x14ac:dyDescent="0.3">
      <c r="F44046" s="193"/>
    </row>
    <row r="44047" spans="6:6" x14ac:dyDescent="0.3">
      <c r="F44047" s="193"/>
    </row>
    <row r="44048" spans="6:6" x14ac:dyDescent="0.3">
      <c r="F44048" s="193"/>
    </row>
    <row r="44049" spans="6:6" x14ac:dyDescent="0.3">
      <c r="F44049" s="193"/>
    </row>
    <row r="44050" spans="6:6" x14ac:dyDescent="0.3">
      <c r="F44050" s="193"/>
    </row>
    <row r="44051" spans="6:6" x14ac:dyDescent="0.3">
      <c r="F44051" s="193"/>
    </row>
    <row r="44052" spans="6:6" x14ac:dyDescent="0.3">
      <c r="F44052" s="193"/>
    </row>
    <row r="44053" spans="6:6" x14ac:dyDescent="0.3">
      <c r="F44053" s="193"/>
    </row>
    <row r="44054" spans="6:6" x14ac:dyDescent="0.3">
      <c r="F44054" s="193"/>
    </row>
    <row r="44055" spans="6:6" x14ac:dyDescent="0.3">
      <c r="F44055" s="193"/>
    </row>
    <row r="44056" spans="6:6" x14ac:dyDescent="0.3">
      <c r="F44056" s="193"/>
    </row>
    <row r="44057" spans="6:6" x14ac:dyDescent="0.3">
      <c r="F44057" s="193"/>
    </row>
    <row r="44058" spans="6:6" x14ac:dyDescent="0.3">
      <c r="F44058" s="193"/>
    </row>
    <row r="44059" spans="6:6" x14ac:dyDescent="0.3">
      <c r="F44059" s="193"/>
    </row>
    <row r="44060" spans="6:6" x14ac:dyDescent="0.3">
      <c r="F44060" s="193"/>
    </row>
    <row r="44061" spans="6:6" x14ac:dyDescent="0.3">
      <c r="F44061" s="193"/>
    </row>
    <row r="44062" spans="6:6" x14ac:dyDescent="0.3">
      <c r="F44062" s="193"/>
    </row>
    <row r="44063" spans="6:6" x14ac:dyDescent="0.3">
      <c r="F44063" s="193"/>
    </row>
    <row r="44064" spans="6:6" x14ac:dyDescent="0.3">
      <c r="F44064" s="193"/>
    </row>
    <row r="44065" spans="6:6" x14ac:dyDescent="0.3">
      <c r="F44065" s="193"/>
    </row>
    <row r="44066" spans="6:6" x14ac:dyDescent="0.3">
      <c r="F44066" s="193"/>
    </row>
    <row r="44067" spans="6:6" x14ac:dyDescent="0.3">
      <c r="F44067" s="193"/>
    </row>
    <row r="44068" spans="6:6" x14ac:dyDescent="0.3">
      <c r="F44068" s="193"/>
    </row>
    <row r="44069" spans="6:6" x14ac:dyDescent="0.3">
      <c r="F44069" s="193"/>
    </row>
    <row r="44070" spans="6:6" x14ac:dyDescent="0.3">
      <c r="F44070" s="193"/>
    </row>
    <row r="44071" spans="6:6" x14ac:dyDescent="0.3">
      <c r="F44071" s="193"/>
    </row>
    <row r="44072" spans="6:6" x14ac:dyDescent="0.3">
      <c r="F44072" s="193"/>
    </row>
    <row r="44073" spans="6:6" x14ac:dyDescent="0.3">
      <c r="F44073" s="193"/>
    </row>
    <row r="44074" spans="6:6" x14ac:dyDescent="0.3">
      <c r="F44074" s="193"/>
    </row>
    <row r="44075" spans="6:6" x14ac:dyDescent="0.3">
      <c r="F44075" s="193"/>
    </row>
    <row r="44076" spans="6:6" x14ac:dyDescent="0.3">
      <c r="F44076" s="193"/>
    </row>
    <row r="44077" spans="6:6" x14ac:dyDescent="0.3">
      <c r="F44077" s="193"/>
    </row>
    <row r="44078" spans="6:6" x14ac:dyDescent="0.3">
      <c r="F44078" s="193"/>
    </row>
    <row r="44079" spans="6:6" x14ac:dyDescent="0.3">
      <c r="F44079" s="193"/>
    </row>
    <row r="44080" spans="6:6" x14ac:dyDescent="0.3">
      <c r="F44080" s="193"/>
    </row>
    <row r="44081" spans="6:6" x14ac:dyDescent="0.3">
      <c r="F44081" s="193"/>
    </row>
    <row r="44082" spans="6:6" x14ac:dyDescent="0.3">
      <c r="F44082" s="193"/>
    </row>
    <row r="44083" spans="6:6" x14ac:dyDescent="0.3">
      <c r="F44083" s="193"/>
    </row>
    <row r="44084" spans="6:6" x14ac:dyDescent="0.3">
      <c r="F44084" s="193"/>
    </row>
    <row r="44085" spans="6:6" x14ac:dyDescent="0.3">
      <c r="F44085" s="193"/>
    </row>
    <row r="44086" spans="6:6" x14ac:dyDescent="0.3">
      <c r="F44086" s="193"/>
    </row>
    <row r="44087" spans="6:6" x14ac:dyDescent="0.3">
      <c r="F44087" s="193"/>
    </row>
    <row r="44088" spans="6:6" x14ac:dyDescent="0.3">
      <c r="F44088" s="193"/>
    </row>
    <row r="44089" spans="6:6" x14ac:dyDescent="0.3">
      <c r="F44089" s="193"/>
    </row>
    <row r="44090" spans="6:6" x14ac:dyDescent="0.3">
      <c r="F44090" s="193"/>
    </row>
    <row r="44091" spans="6:6" x14ac:dyDescent="0.3">
      <c r="F44091" s="193"/>
    </row>
    <row r="44092" spans="6:6" x14ac:dyDescent="0.3">
      <c r="F44092" s="193"/>
    </row>
    <row r="44093" spans="6:6" x14ac:dyDescent="0.3">
      <c r="F44093" s="193"/>
    </row>
    <row r="44094" spans="6:6" x14ac:dyDescent="0.3">
      <c r="F44094" s="193"/>
    </row>
    <row r="44095" spans="6:6" x14ac:dyDescent="0.3">
      <c r="F44095" s="193"/>
    </row>
    <row r="44096" spans="6:6" x14ac:dyDescent="0.3">
      <c r="F44096" s="193"/>
    </row>
    <row r="44097" spans="6:6" x14ac:dyDescent="0.3">
      <c r="F44097" s="193"/>
    </row>
    <row r="44098" spans="6:6" x14ac:dyDescent="0.3">
      <c r="F44098" s="193"/>
    </row>
    <row r="44099" spans="6:6" x14ac:dyDescent="0.3">
      <c r="F44099" s="193"/>
    </row>
    <row r="44100" spans="6:6" x14ac:dyDescent="0.3">
      <c r="F44100" s="193"/>
    </row>
    <row r="44101" spans="6:6" x14ac:dyDescent="0.3">
      <c r="F44101" s="193"/>
    </row>
    <row r="44102" spans="6:6" x14ac:dyDescent="0.3">
      <c r="F44102" s="193"/>
    </row>
    <row r="44103" spans="6:6" x14ac:dyDescent="0.3">
      <c r="F44103" s="193"/>
    </row>
    <row r="44104" spans="6:6" x14ac:dyDescent="0.3">
      <c r="F44104" s="193"/>
    </row>
    <row r="44105" spans="6:6" x14ac:dyDescent="0.3">
      <c r="F44105" s="193"/>
    </row>
    <row r="44106" spans="6:6" x14ac:dyDescent="0.3">
      <c r="F44106" s="193"/>
    </row>
    <row r="44107" spans="6:6" x14ac:dyDescent="0.3">
      <c r="F44107" s="193"/>
    </row>
    <row r="44108" spans="6:6" x14ac:dyDescent="0.3">
      <c r="F44108" s="193"/>
    </row>
    <row r="44109" spans="6:6" x14ac:dyDescent="0.3">
      <c r="F44109" s="193"/>
    </row>
    <row r="44110" spans="6:6" x14ac:dyDescent="0.3">
      <c r="F44110" s="193"/>
    </row>
    <row r="44111" spans="6:6" x14ac:dyDescent="0.3">
      <c r="F44111" s="193"/>
    </row>
    <row r="44112" spans="6:6" x14ac:dyDescent="0.3">
      <c r="F44112" s="193"/>
    </row>
    <row r="44113" spans="6:6" x14ac:dyDescent="0.3">
      <c r="F44113" s="193"/>
    </row>
    <row r="44114" spans="6:6" x14ac:dyDescent="0.3">
      <c r="F44114" s="193"/>
    </row>
    <row r="44115" spans="6:6" x14ac:dyDescent="0.3">
      <c r="F44115" s="193"/>
    </row>
    <row r="44116" spans="6:6" x14ac:dyDescent="0.3">
      <c r="F44116" s="193"/>
    </row>
    <row r="44117" spans="6:6" x14ac:dyDescent="0.3">
      <c r="F44117" s="193"/>
    </row>
    <row r="44118" spans="6:6" x14ac:dyDescent="0.3">
      <c r="F44118" s="193"/>
    </row>
    <row r="44119" spans="6:6" x14ac:dyDescent="0.3">
      <c r="F44119" s="193"/>
    </row>
    <row r="44120" spans="6:6" x14ac:dyDescent="0.3">
      <c r="F44120" s="193"/>
    </row>
    <row r="44121" spans="6:6" x14ac:dyDescent="0.3">
      <c r="F44121" s="193"/>
    </row>
    <row r="44122" spans="6:6" x14ac:dyDescent="0.3">
      <c r="F44122" s="193"/>
    </row>
    <row r="44123" spans="6:6" x14ac:dyDescent="0.3">
      <c r="F44123" s="193"/>
    </row>
    <row r="44124" spans="6:6" x14ac:dyDescent="0.3">
      <c r="F44124" s="193"/>
    </row>
    <row r="44125" spans="6:6" x14ac:dyDescent="0.3">
      <c r="F44125" s="193"/>
    </row>
    <row r="44126" spans="6:6" x14ac:dyDescent="0.3">
      <c r="F44126" s="193"/>
    </row>
    <row r="44127" spans="6:6" x14ac:dyDescent="0.3">
      <c r="F44127" s="193"/>
    </row>
    <row r="44128" spans="6:6" x14ac:dyDescent="0.3">
      <c r="F44128" s="193"/>
    </row>
    <row r="44129" spans="6:6" x14ac:dyDescent="0.3">
      <c r="F44129" s="193"/>
    </row>
    <row r="44130" spans="6:6" x14ac:dyDescent="0.3">
      <c r="F44130" s="193"/>
    </row>
    <row r="44131" spans="6:6" x14ac:dyDescent="0.3">
      <c r="F44131" s="193"/>
    </row>
    <row r="44132" spans="6:6" x14ac:dyDescent="0.3">
      <c r="F44132" s="193"/>
    </row>
    <row r="44133" spans="6:6" x14ac:dyDescent="0.3">
      <c r="F44133" s="193"/>
    </row>
    <row r="44134" spans="6:6" x14ac:dyDescent="0.3">
      <c r="F44134" s="193"/>
    </row>
    <row r="44135" spans="6:6" x14ac:dyDescent="0.3">
      <c r="F44135" s="193"/>
    </row>
    <row r="44136" spans="6:6" x14ac:dyDescent="0.3">
      <c r="F44136" s="193"/>
    </row>
    <row r="44137" spans="6:6" x14ac:dyDescent="0.3">
      <c r="F44137" s="193"/>
    </row>
    <row r="44138" spans="6:6" x14ac:dyDescent="0.3">
      <c r="F44138" s="193"/>
    </row>
    <row r="44139" spans="6:6" x14ac:dyDescent="0.3">
      <c r="F44139" s="193"/>
    </row>
    <row r="44140" spans="6:6" x14ac:dyDescent="0.3">
      <c r="F44140" s="193"/>
    </row>
    <row r="44141" spans="6:6" x14ac:dyDescent="0.3">
      <c r="F44141" s="193"/>
    </row>
    <row r="44142" spans="6:6" x14ac:dyDescent="0.3">
      <c r="F44142" s="193"/>
    </row>
    <row r="44143" spans="6:6" x14ac:dyDescent="0.3">
      <c r="F44143" s="193"/>
    </row>
    <row r="44144" spans="6:6" x14ac:dyDescent="0.3">
      <c r="F44144" s="193"/>
    </row>
    <row r="44145" spans="6:6" x14ac:dyDescent="0.3">
      <c r="F44145" s="193"/>
    </row>
    <row r="44146" spans="6:6" x14ac:dyDescent="0.3">
      <c r="F44146" s="193"/>
    </row>
    <row r="44147" spans="6:6" x14ac:dyDescent="0.3">
      <c r="F44147" s="193"/>
    </row>
    <row r="44148" spans="6:6" x14ac:dyDescent="0.3">
      <c r="F44148" s="193"/>
    </row>
    <row r="44149" spans="6:6" x14ac:dyDescent="0.3">
      <c r="F44149" s="193"/>
    </row>
    <row r="44150" spans="6:6" x14ac:dyDescent="0.3">
      <c r="F44150" s="193"/>
    </row>
    <row r="44151" spans="6:6" x14ac:dyDescent="0.3">
      <c r="F44151" s="193"/>
    </row>
    <row r="44152" spans="6:6" x14ac:dyDescent="0.3">
      <c r="F44152" s="193"/>
    </row>
    <row r="44153" spans="6:6" x14ac:dyDescent="0.3">
      <c r="F44153" s="193"/>
    </row>
    <row r="44154" spans="6:6" x14ac:dyDescent="0.3">
      <c r="F44154" s="193"/>
    </row>
    <row r="44155" spans="6:6" x14ac:dyDescent="0.3">
      <c r="F44155" s="193"/>
    </row>
    <row r="44156" spans="6:6" x14ac:dyDescent="0.3">
      <c r="F44156" s="193"/>
    </row>
    <row r="44157" spans="6:6" x14ac:dyDescent="0.3">
      <c r="F44157" s="193"/>
    </row>
    <row r="44158" spans="6:6" x14ac:dyDescent="0.3">
      <c r="F44158" s="193"/>
    </row>
    <row r="44159" spans="6:6" x14ac:dyDescent="0.3">
      <c r="F44159" s="193"/>
    </row>
    <row r="44160" spans="6:6" x14ac:dyDescent="0.3">
      <c r="F44160" s="193"/>
    </row>
    <row r="44161" spans="6:6" x14ac:dyDescent="0.3">
      <c r="F44161" s="193"/>
    </row>
    <row r="44162" spans="6:6" x14ac:dyDescent="0.3">
      <c r="F44162" s="193"/>
    </row>
    <row r="44163" spans="6:6" x14ac:dyDescent="0.3">
      <c r="F44163" s="193"/>
    </row>
    <row r="44164" spans="6:6" x14ac:dyDescent="0.3">
      <c r="F44164" s="193"/>
    </row>
    <row r="44165" spans="6:6" x14ac:dyDescent="0.3">
      <c r="F44165" s="193"/>
    </row>
    <row r="44166" spans="6:6" x14ac:dyDescent="0.3">
      <c r="F44166" s="193"/>
    </row>
    <row r="44167" spans="6:6" x14ac:dyDescent="0.3">
      <c r="F44167" s="193"/>
    </row>
    <row r="44168" spans="6:6" x14ac:dyDescent="0.3">
      <c r="F44168" s="193"/>
    </row>
    <row r="44169" spans="6:6" x14ac:dyDescent="0.3">
      <c r="F44169" s="193"/>
    </row>
    <row r="44170" spans="6:6" x14ac:dyDescent="0.3">
      <c r="F44170" s="193"/>
    </row>
    <row r="44171" spans="6:6" x14ac:dyDescent="0.3">
      <c r="F44171" s="193"/>
    </row>
    <row r="44172" spans="6:6" x14ac:dyDescent="0.3">
      <c r="F44172" s="193"/>
    </row>
    <row r="44173" spans="6:6" x14ac:dyDescent="0.3">
      <c r="F44173" s="193"/>
    </row>
    <row r="44174" spans="6:6" x14ac:dyDescent="0.3">
      <c r="F44174" s="193"/>
    </row>
    <row r="44175" spans="6:6" x14ac:dyDescent="0.3">
      <c r="F44175" s="193"/>
    </row>
    <row r="44176" spans="6:6" x14ac:dyDescent="0.3">
      <c r="F44176" s="193"/>
    </row>
    <row r="44177" spans="6:6" x14ac:dyDescent="0.3">
      <c r="F44177" s="193"/>
    </row>
    <row r="44178" spans="6:6" x14ac:dyDescent="0.3">
      <c r="F44178" s="193"/>
    </row>
    <row r="44179" spans="6:6" x14ac:dyDescent="0.3">
      <c r="F44179" s="193"/>
    </row>
    <row r="44180" spans="6:6" x14ac:dyDescent="0.3">
      <c r="F44180" s="193"/>
    </row>
    <row r="44181" spans="6:6" x14ac:dyDescent="0.3">
      <c r="F44181" s="193"/>
    </row>
    <row r="44182" spans="6:6" x14ac:dyDescent="0.3">
      <c r="F44182" s="193"/>
    </row>
    <row r="44183" spans="6:6" x14ac:dyDescent="0.3">
      <c r="F44183" s="193"/>
    </row>
    <row r="44184" spans="6:6" x14ac:dyDescent="0.3">
      <c r="F44184" s="193"/>
    </row>
    <row r="44185" spans="6:6" x14ac:dyDescent="0.3">
      <c r="F44185" s="193"/>
    </row>
    <row r="44186" spans="6:6" x14ac:dyDescent="0.3">
      <c r="F44186" s="193"/>
    </row>
    <row r="44187" spans="6:6" x14ac:dyDescent="0.3">
      <c r="F44187" s="193"/>
    </row>
    <row r="44188" spans="6:6" x14ac:dyDescent="0.3">
      <c r="F44188" s="193"/>
    </row>
    <row r="44189" spans="6:6" x14ac:dyDescent="0.3">
      <c r="F44189" s="193"/>
    </row>
    <row r="44190" spans="6:6" x14ac:dyDescent="0.3">
      <c r="F44190" s="193"/>
    </row>
    <row r="44191" spans="6:6" x14ac:dyDescent="0.3">
      <c r="F44191" s="193"/>
    </row>
    <row r="44192" spans="6:6" x14ac:dyDescent="0.3">
      <c r="F44192" s="193"/>
    </row>
    <row r="44193" spans="6:6" x14ac:dyDescent="0.3">
      <c r="F44193" s="193"/>
    </row>
    <row r="44194" spans="6:6" x14ac:dyDescent="0.3">
      <c r="F44194" s="193"/>
    </row>
    <row r="44195" spans="6:6" x14ac:dyDescent="0.3">
      <c r="F44195" s="193"/>
    </row>
    <row r="44196" spans="6:6" x14ac:dyDescent="0.3">
      <c r="F44196" s="193"/>
    </row>
    <row r="44197" spans="6:6" x14ac:dyDescent="0.3">
      <c r="F44197" s="193"/>
    </row>
    <row r="44198" spans="6:6" x14ac:dyDescent="0.3">
      <c r="F44198" s="193"/>
    </row>
    <row r="44199" spans="6:6" x14ac:dyDescent="0.3">
      <c r="F44199" s="193"/>
    </row>
    <row r="44200" spans="6:6" x14ac:dyDescent="0.3">
      <c r="F44200" s="193"/>
    </row>
    <row r="44201" spans="6:6" x14ac:dyDescent="0.3">
      <c r="F44201" s="193"/>
    </row>
    <row r="44202" spans="6:6" x14ac:dyDescent="0.3">
      <c r="F44202" s="193"/>
    </row>
    <row r="44203" spans="6:6" x14ac:dyDescent="0.3">
      <c r="F44203" s="193"/>
    </row>
    <row r="44204" spans="6:6" x14ac:dyDescent="0.3">
      <c r="F44204" s="193"/>
    </row>
    <row r="44205" spans="6:6" x14ac:dyDescent="0.3">
      <c r="F44205" s="193"/>
    </row>
    <row r="44206" spans="6:6" x14ac:dyDescent="0.3">
      <c r="F44206" s="193"/>
    </row>
    <row r="44207" spans="6:6" x14ac:dyDescent="0.3">
      <c r="F44207" s="193"/>
    </row>
    <row r="44208" spans="6:6" x14ac:dyDescent="0.3">
      <c r="F44208" s="193"/>
    </row>
    <row r="44209" spans="6:6" x14ac:dyDescent="0.3">
      <c r="F44209" s="193"/>
    </row>
    <row r="44210" spans="6:6" x14ac:dyDescent="0.3">
      <c r="F44210" s="193"/>
    </row>
    <row r="44211" spans="6:6" x14ac:dyDescent="0.3">
      <c r="F44211" s="193"/>
    </row>
    <row r="44212" spans="6:6" x14ac:dyDescent="0.3">
      <c r="F44212" s="193"/>
    </row>
    <row r="44213" spans="6:6" x14ac:dyDescent="0.3">
      <c r="F44213" s="193"/>
    </row>
    <row r="44214" spans="6:6" x14ac:dyDescent="0.3">
      <c r="F44214" s="193"/>
    </row>
    <row r="44215" spans="6:6" x14ac:dyDescent="0.3">
      <c r="F44215" s="193"/>
    </row>
    <row r="44216" spans="6:6" x14ac:dyDescent="0.3">
      <c r="F44216" s="193"/>
    </row>
    <row r="44217" spans="6:6" x14ac:dyDescent="0.3">
      <c r="F44217" s="193"/>
    </row>
    <row r="44218" spans="6:6" x14ac:dyDescent="0.3">
      <c r="F44218" s="193"/>
    </row>
    <row r="44219" spans="6:6" x14ac:dyDescent="0.3">
      <c r="F44219" s="193"/>
    </row>
    <row r="44220" spans="6:6" x14ac:dyDescent="0.3">
      <c r="F44220" s="193"/>
    </row>
    <row r="44221" spans="6:6" x14ac:dyDescent="0.3">
      <c r="F44221" s="193"/>
    </row>
    <row r="44222" spans="6:6" x14ac:dyDescent="0.3">
      <c r="F44222" s="193"/>
    </row>
    <row r="44223" spans="6:6" x14ac:dyDescent="0.3">
      <c r="F44223" s="193"/>
    </row>
    <row r="44224" spans="6:6" x14ac:dyDescent="0.3">
      <c r="F44224" s="193"/>
    </row>
    <row r="44225" spans="6:6" x14ac:dyDescent="0.3">
      <c r="F44225" s="193"/>
    </row>
    <row r="44226" spans="6:6" x14ac:dyDescent="0.3">
      <c r="F44226" s="193"/>
    </row>
    <row r="44227" spans="6:6" x14ac:dyDescent="0.3">
      <c r="F44227" s="193"/>
    </row>
    <row r="44228" spans="6:6" x14ac:dyDescent="0.3">
      <c r="F44228" s="193"/>
    </row>
    <row r="44229" spans="6:6" x14ac:dyDescent="0.3">
      <c r="F44229" s="193"/>
    </row>
    <row r="44230" spans="6:6" x14ac:dyDescent="0.3">
      <c r="F44230" s="193"/>
    </row>
    <row r="44231" spans="6:6" x14ac:dyDescent="0.3">
      <c r="F44231" s="193"/>
    </row>
    <row r="44232" spans="6:6" x14ac:dyDescent="0.3">
      <c r="F44232" s="193"/>
    </row>
    <row r="44233" spans="6:6" x14ac:dyDescent="0.3">
      <c r="F44233" s="193"/>
    </row>
    <row r="44234" spans="6:6" x14ac:dyDescent="0.3">
      <c r="F44234" s="193"/>
    </row>
    <row r="44235" spans="6:6" x14ac:dyDescent="0.3">
      <c r="F44235" s="193"/>
    </row>
    <row r="44236" spans="6:6" x14ac:dyDescent="0.3">
      <c r="F44236" s="193"/>
    </row>
    <row r="44237" spans="6:6" x14ac:dyDescent="0.3">
      <c r="F44237" s="193"/>
    </row>
    <row r="44238" spans="6:6" x14ac:dyDescent="0.3">
      <c r="F44238" s="193"/>
    </row>
    <row r="44239" spans="6:6" x14ac:dyDescent="0.3">
      <c r="F44239" s="193"/>
    </row>
    <row r="44240" spans="6:6" x14ac:dyDescent="0.3">
      <c r="F44240" s="193"/>
    </row>
    <row r="44241" spans="6:6" x14ac:dyDescent="0.3">
      <c r="F44241" s="193"/>
    </row>
    <row r="44242" spans="6:6" x14ac:dyDescent="0.3">
      <c r="F44242" s="193"/>
    </row>
    <row r="44243" spans="6:6" x14ac:dyDescent="0.3">
      <c r="F44243" s="193"/>
    </row>
    <row r="44244" spans="6:6" x14ac:dyDescent="0.3">
      <c r="F44244" s="193"/>
    </row>
    <row r="44245" spans="6:6" x14ac:dyDescent="0.3">
      <c r="F44245" s="193"/>
    </row>
    <row r="44246" spans="6:6" x14ac:dyDescent="0.3">
      <c r="F44246" s="193"/>
    </row>
    <row r="44247" spans="6:6" x14ac:dyDescent="0.3">
      <c r="F44247" s="193"/>
    </row>
    <row r="44248" spans="6:6" x14ac:dyDescent="0.3">
      <c r="F44248" s="193"/>
    </row>
    <row r="44249" spans="6:6" x14ac:dyDescent="0.3">
      <c r="F44249" s="193"/>
    </row>
    <row r="44250" spans="6:6" x14ac:dyDescent="0.3">
      <c r="F44250" s="193"/>
    </row>
    <row r="44251" spans="6:6" x14ac:dyDescent="0.3">
      <c r="F44251" s="193"/>
    </row>
    <row r="44252" spans="6:6" x14ac:dyDescent="0.3">
      <c r="F44252" s="193"/>
    </row>
    <row r="44253" spans="6:6" x14ac:dyDescent="0.3">
      <c r="F44253" s="193"/>
    </row>
    <row r="44254" spans="6:6" x14ac:dyDescent="0.3">
      <c r="F44254" s="193"/>
    </row>
    <row r="44255" spans="6:6" x14ac:dyDescent="0.3">
      <c r="F44255" s="193"/>
    </row>
    <row r="44256" spans="6:6" x14ac:dyDescent="0.3">
      <c r="F44256" s="193"/>
    </row>
    <row r="44257" spans="6:6" x14ac:dyDescent="0.3">
      <c r="F44257" s="193"/>
    </row>
    <row r="44258" spans="6:6" x14ac:dyDescent="0.3">
      <c r="F44258" s="193"/>
    </row>
    <row r="44259" spans="6:6" x14ac:dyDescent="0.3">
      <c r="F44259" s="193"/>
    </row>
    <row r="44260" spans="6:6" x14ac:dyDescent="0.3">
      <c r="F44260" s="193"/>
    </row>
    <row r="44261" spans="6:6" x14ac:dyDescent="0.3">
      <c r="F44261" s="193"/>
    </row>
    <row r="44262" spans="6:6" x14ac:dyDescent="0.3">
      <c r="F44262" s="193"/>
    </row>
    <row r="44263" spans="6:6" x14ac:dyDescent="0.3">
      <c r="F44263" s="193"/>
    </row>
    <row r="44264" spans="6:6" x14ac:dyDescent="0.3">
      <c r="F44264" s="193"/>
    </row>
    <row r="44265" spans="6:6" x14ac:dyDescent="0.3">
      <c r="F44265" s="193"/>
    </row>
    <row r="44266" spans="6:6" x14ac:dyDescent="0.3">
      <c r="F44266" s="193"/>
    </row>
    <row r="44267" spans="6:6" x14ac:dyDescent="0.3">
      <c r="F44267" s="193"/>
    </row>
    <row r="44268" spans="6:6" x14ac:dyDescent="0.3">
      <c r="F44268" s="193"/>
    </row>
    <row r="44269" spans="6:6" x14ac:dyDescent="0.3">
      <c r="F44269" s="193"/>
    </row>
    <row r="44270" spans="6:6" x14ac:dyDescent="0.3">
      <c r="F44270" s="193"/>
    </row>
    <row r="44271" spans="6:6" x14ac:dyDescent="0.3">
      <c r="F44271" s="193"/>
    </row>
    <row r="44272" spans="6:6" x14ac:dyDescent="0.3">
      <c r="F44272" s="193"/>
    </row>
    <row r="44273" spans="6:6" x14ac:dyDescent="0.3">
      <c r="F44273" s="193"/>
    </row>
    <row r="44274" spans="6:6" x14ac:dyDescent="0.3">
      <c r="F44274" s="193"/>
    </row>
    <row r="44275" spans="6:6" x14ac:dyDescent="0.3">
      <c r="F44275" s="193"/>
    </row>
    <row r="44276" spans="6:6" x14ac:dyDescent="0.3">
      <c r="F44276" s="193"/>
    </row>
    <row r="44277" spans="6:6" x14ac:dyDescent="0.3">
      <c r="F44277" s="193"/>
    </row>
    <row r="44278" spans="6:6" x14ac:dyDescent="0.3">
      <c r="F44278" s="193"/>
    </row>
    <row r="44279" spans="6:6" x14ac:dyDescent="0.3">
      <c r="F44279" s="193"/>
    </row>
    <row r="44280" spans="6:6" x14ac:dyDescent="0.3">
      <c r="F44280" s="193"/>
    </row>
    <row r="44281" spans="6:6" x14ac:dyDescent="0.3">
      <c r="F44281" s="193"/>
    </row>
    <row r="44282" spans="6:6" x14ac:dyDescent="0.3">
      <c r="F44282" s="193"/>
    </row>
    <row r="44283" spans="6:6" x14ac:dyDescent="0.3">
      <c r="F44283" s="193"/>
    </row>
    <row r="44284" spans="6:6" x14ac:dyDescent="0.3">
      <c r="F44284" s="193"/>
    </row>
    <row r="44285" spans="6:6" x14ac:dyDescent="0.3">
      <c r="F44285" s="193"/>
    </row>
    <row r="44286" spans="6:6" x14ac:dyDescent="0.3">
      <c r="F44286" s="193"/>
    </row>
    <row r="44287" spans="6:6" x14ac:dyDescent="0.3">
      <c r="F44287" s="193"/>
    </row>
    <row r="44288" spans="6:6" x14ac:dyDescent="0.3">
      <c r="F44288" s="193"/>
    </row>
    <row r="44289" spans="6:6" x14ac:dyDescent="0.3">
      <c r="F44289" s="193"/>
    </row>
    <row r="44290" spans="6:6" x14ac:dyDescent="0.3">
      <c r="F44290" s="193"/>
    </row>
    <row r="44291" spans="6:6" x14ac:dyDescent="0.3">
      <c r="F44291" s="193"/>
    </row>
    <row r="44292" spans="6:6" x14ac:dyDescent="0.3">
      <c r="F44292" s="193"/>
    </row>
    <row r="44293" spans="6:6" x14ac:dyDescent="0.3">
      <c r="F44293" s="193"/>
    </row>
    <row r="44294" spans="6:6" x14ac:dyDescent="0.3">
      <c r="F44294" s="193"/>
    </row>
    <row r="44295" spans="6:6" x14ac:dyDescent="0.3">
      <c r="F44295" s="193"/>
    </row>
    <row r="44296" spans="6:6" x14ac:dyDescent="0.3">
      <c r="F44296" s="193"/>
    </row>
    <row r="44297" spans="6:6" x14ac:dyDescent="0.3">
      <c r="F44297" s="193"/>
    </row>
    <row r="44298" spans="6:6" x14ac:dyDescent="0.3">
      <c r="F44298" s="193"/>
    </row>
    <row r="44299" spans="6:6" x14ac:dyDescent="0.3">
      <c r="F44299" s="193"/>
    </row>
    <row r="44300" spans="6:6" x14ac:dyDescent="0.3">
      <c r="F44300" s="193"/>
    </row>
    <row r="44301" spans="6:6" x14ac:dyDescent="0.3">
      <c r="F44301" s="193"/>
    </row>
    <row r="44302" spans="6:6" x14ac:dyDescent="0.3">
      <c r="F44302" s="193"/>
    </row>
    <row r="44303" spans="6:6" x14ac:dyDescent="0.3">
      <c r="F44303" s="193"/>
    </row>
    <row r="44304" spans="6:6" x14ac:dyDescent="0.3">
      <c r="F44304" s="193"/>
    </row>
    <row r="44305" spans="6:6" x14ac:dyDescent="0.3">
      <c r="F44305" s="193"/>
    </row>
    <row r="44306" spans="6:6" x14ac:dyDescent="0.3">
      <c r="F44306" s="193"/>
    </row>
    <row r="44307" spans="6:6" x14ac:dyDescent="0.3">
      <c r="F44307" s="193"/>
    </row>
    <row r="44308" spans="6:6" x14ac:dyDescent="0.3">
      <c r="F44308" s="193"/>
    </row>
    <row r="44309" spans="6:6" x14ac:dyDescent="0.3">
      <c r="F44309" s="193"/>
    </row>
    <row r="44310" spans="6:6" x14ac:dyDescent="0.3">
      <c r="F44310" s="193"/>
    </row>
    <row r="44311" spans="6:6" x14ac:dyDescent="0.3">
      <c r="F44311" s="193"/>
    </row>
    <row r="44312" spans="6:6" x14ac:dyDescent="0.3">
      <c r="F44312" s="193"/>
    </row>
    <row r="44313" spans="6:6" x14ac:dyDescent="0.3">
      <c r="F44313" s="193"/>
    </row>
    <row r="44314" spans="6:6" x14ac:dyDescent="0.3">
      <c r="F44314" s="193"/>
    </row>
    <row r="44315" spans="6:6" x14ac:dyDescent="0.3">
      <c r="F44315" s="193"/>
    </row>
    <row r="44316" spans="6:6" x14ac:dyDescent="0.3">
      <c r="F44316" s="193"/>
    </row>
    <row r="44317" spans="6:6" x14ac:dyDescent="0.3">
      <c r="F44317" s="193"/>
    </row>
    <row r="44318" spans="6:6" x14ac:dyDescent="0.3">
      <c r="F44318" s="193"/>
    </row>
    <row r="44319" spans="6:6" x14ac:dyDescent="0.3">
      <c r="F44319" s="193"/>
    </row>
    <row r="44320" spans="6:6" x14ac:dyDescent="0.3">
      <c r="F44320" s="193"/>
    </row>
    <row r="44321" spans="6:6" x14ac:dyDescent="0.3">
      <c r="F44321" s="193"/>
    </row>
    <row r="44322" spans="6:6" x14ac:dyDescent="0.3">
      <c r="F44322" s="193"/>
    </row>
    <row r="44323" spans="6:6" x14ac:dyDescent="0.3">
      <c r="F44323" s="193"/>
    </row>
    <row r="44324" spans="6:6" x14ac:dyDescent="0.3">
      <c r="F44324" s="193"/>
    </row>
    <row r="44325" spans="6:6" x14ac:dyDescent="0.3">
      <c r="F44325" s="193"/>
    </row>
    <row r="44326" spans="6:6" x14ac:dyDescent="0.3">
      <c r="F44326" s="193"/>
    </row>
    <row r="44327" spans="6:6" x14ac:dyDescent="0.3">
      <c r="F44327" s="193"/>
    </row>
    <row r="44328" spans="6:6" x14ac:dyDescent="0.3">
      <c r="F44328" s="193"/>
    </row>
    <row r="44329" spans="6:6" x14ac:dyDescent="0.3">
      <c r="F44329" s="193"/>
    </row>
    <row r="44330" spans="6:6" x14ac:dyDescent="0.3">
      <c r="F44330" s="193"/>
    </row>
    <row r="44331" spans="6:6" x14ac:dyDescent="0.3">
      <c r="F44331" s="193"/>
    </row>
    <row r="44332" spans="6:6" x14ac:dyDescent="0.3">
      <c r="F44332" s="193"/>
    </row>
    <row r="44333" spans="6:6" x14ac:dyDescent="0.3">
      <c r="F44333" s="193"/>
    </row>
    <row r="44334" spans="6:6" x14ac:dyDescent="0.3">
      <c r="F44334" s="193"/>
    </row>
    <row r="44335" spans="6:6" x14ac:dyDescent="0.3">
      <c r="F44335" s="193"/>
    </row>
    <row r="44336" spans="6:6" x14ac:dyDescent="0.3">
      <c r="F44336" s="193"/>
    </row>
    <row r="44337" spans="6:6" x14ac:dyDescent="0.3">
      <c r="F44337" s="193"/>
    </row>
    <row r="44338" spans="6:6" x14ac:dyDescent="0.3">
      <c r="F44338" s="193"/>
    </row>
    <row r="44339" spans="6:6" x14ac:dyDescent="0.3">
      <c r="F44339" s="193"/>
    </row>
    <row r="44340" spans="6:6" x14ac:dyDescent="0.3">
      <c r="F44340" s="193"/>
    </row>
    <row r="44341" spans="6:6" x14ac:dyDescent="0.3">
      <c r="F44341" s="193"/>
    </row>
    <row r="44342" spans="6:6" x14ac:dyDescent="0.3">
      <c r="F44342" s="193"/>
    </row>
    <row r="44343" spans="6:6" x14ac:dyDescent="0.3">
      <c r="F44343" s="193"/>
    </row>
    <row r="44344" spans="6:6" x14ac:dyDescent="0.3">
      <c r="F44344" s="193"/>
    </row>
    <row r="44345" spans="6:6" x14ac:dyDescent="0.3">
      <c r="F44345" s="193"/>
    </row>
    <row r="44346" spans="6:6" x14ac:dyDescent="0.3">
      <c r="F44346" s="193"/>
    </row>
    <row r="44347" spans="6:6" x14ac:dyDescent="0.3">
      <c r="F44347" s="193"/>
    </row>
    <row r="44348" spans="6:6" x14ac:dyDescent="0.3">
      <c r="F44348" s="193"/>
    </row>
    <row r="44349" spans="6:6" x14ac:dyDescent="0.3">
      <c r="F44349" s="193"/>
    </row>
    <row r="44350" spans="6:6" x14ac:dyDescent="0.3">
      <c r="F44350" s="193"/>
    </row>
    <row r="44351" spans="6:6" x14ac:dyDescent="0.3">
      <c r="F44351" s="193"/>
    </row>
    <row r="44352" spans="6:6" x14ac:dyDescent="0.3">
      <c r="F44352" s="193"/>
    </row>
    <row r="44353" spans="6:6" x14ac:dyDescent="0.3">
      <c r="F44353" s="193"/>
    </row>
    <row r="44354" spans="6:6" x14ac:dyDescent="0.3">
      <c r="F44354" s="193"/>
    </row>
    <row r="44355" spans="6:6" x14ac:dyDescent="0.3">
      <c r="F44355" s="193"/>
    </row>
    <row r="44356" spans="6:6" x14ac:dyDescent="0.3">
      <c r="F44356" s="193"/>
    </row>
    <row r="44357" spans="6:6" x14ac:dyDescent="0.3">
      <c r="F44357" s="193"/>
    </row>
    <row r="44358" spans="6:6" x14ac:dyDescent="0.3">
      <c r="F44358" s="193"/>
    </row>
    <row r="44359" spans="6:6" x14ac:dyDescent="0.3">
      <c r="F44359" s="193"/>
    </row>
    <row r="44360" spans="6:6" x14ac:dyDescent="0.3">
      <c r="F44360" s="193"/>
    </row>
    <row r="44361" spans="6:6" x14ac:dyDescent="0.3">
      <c r="F44361" s="193"/>
    </row>
    <row r="44362" spans="6:6" x14ac:dyDescent="0.3">
      <c r="F44362" s="193"/>
    </row>
    <row r="44363" spans="6:6" x14ac:dyDescent="0.3">
      <c r="F44363" s="193"/>
    </row>
    <row r="44364" spans="6:6" x14ac:dyDescent="0.3">
      <c r="F44364" s="193"/>
    </row>
    <row r="44365" spans="6:6" x14ac:dyDescent="0.3">
      <c r="F44365" s="193"/>
    </row>
    <row r="44366" spans="6:6" x14ac:dyDescent="0.3">
      <c r="F44366" s="193"/>
    </row>
    <row r="44367" spans="6:6" x14ac:dyDescent="0.3">
      <c r="F44367" s="193"/>
    </row>
    <row r="44368" spans="6:6" x14ac:dyDescent="0.3">
      <c r="F44368" s="193"/>
    </row>
    <row r="44369" spans="6:6" x14ac:dyDescent="0.3">
      <c r="F44369" s="193"/>
    </row>
    <row r="44370" spans="6:6" x14ac:dyDescent="0.3">
      <c r="F44370" s="193"/>
    </row>
    <row r="44371" spans="6:6" x14ac:dyDescent="0.3">
      <c r="F44371" s="193"/>
    </row>
    <row r="44372" spans="6:6" x14ac:dyDescent="0.3">
      <c r="F44372" s="193"/>
    </row>
    <row r="44373" spans="6:6" x14ac:dyDescent="0.3">
      <c r="F44373" s="193"/>
    </row>
    <row r="44374" spans="6:6" x14ac:dyDescent="0.3">
      <c r="F44374" s="193"/>
    </row>
    <row r="44375" spans="6:6" x14ac:dyDescent="0.3">
      <c r="F44375" s="193"/>
    </row>
    <row r="44376" spans="6:6" x14ac:dyDescent="0.3">
      <c r="F44376" s="193"/>
    </row>
    <row r="44377" spans="6:6" x14ac:dyDescent="0.3">
      <c r="F44377" s="193"/>
    </row>
    <row r="44378" spans="6:6" x14ac:dyDescent="0.3">
      <c r="F44378" s="193"/>
    </row>
    <row r="44379" spans="6:6" x14ac:dyDescent="0.3">
      <c r="F44379" s="193"/>
    </row>
    <row r="44380" spans="6:6" x14ac:dyDescent="0.3">
      <c r="F44380" s="193"/>
    </row>
    <row r="44381" spans="6:6" x14ac:dyDescent="0.3">
      <c r="F44381" s="193"/>
    </row>
    <row r="44382" spans="6:6" x14ac:dyDescent="0.3">
      <c r="F44382" s="193"/>
    </row>
    <row r="44383" spans="6:6" x14ac:dyDescent="0.3">
      <c r="F44383" s="193"/>
    </row>
    <row r="44384" spans="6:6" x14ac:dyDescent="0.3">
      <c r="F44384" s="193"/>
    </row>
    <row r="44385" spans="6:6" x14ac:dyDescent="0.3">
      <c r="F44385" s="193"/>
    </row>
    <row r="44386" spans="6:6" x14ac:dyDescent="0.3">
      <c r="F44386" s="193"/>
    </row>
    <row r="44387" spans="6:6" x14ac:dyDescent="0.3">
      <c r="F44387" s="193"/>
    </row>
    <row r="44388" spans="6:6" x14ac:dyDescent="0.3">
      <c r="F44388" s="193"/>
    </row>
    <row r="44389" spans="6:6" x14ac:dyDescent="0.3">
      <c r="F44389" s="193"/>
    </row>
    <row r="44390" spans="6:6" x14ac:dyDescent="0.3">
      <c r="F44390" s="193"/>
    </row>
    <row r="44391" spans="6:6" x14ac:dyDescent="0.3">
      <c r="F44391" s="193"/>
    </row>
    <row r="44392" spans="6:6" x14ac:dyDescent="0.3">
      <c r="F44392" s="193"/>
    </row>
    <row r="44393" spans="6:6" x14ac:dyDescent="0.3">
      <c r="F44393" s="193"/>
    </row>
    <row r="44394" spans="6:6" x14ac:dyDescent="0.3">
      <c r="F44394" s="193"/>
    </row>
    <row r="44395" spans="6:6" x14ac:dyDescent="0.3">
      <c r="F44395" s="193"/>
    </row>
    <row r="44396" spans="6:6" x14ac:dyDescent="0.3">
      <c r="F44396" s="193"/>
    </row>
    <row r="44397" spans="6:6" x14ac:dyDescent="0.3">
      <c r="F44397" s="193"/>
    </row>
    <row r="44398" spans="6:6" x14ac:dyDescent="0.3">
      <c r="F44398" s="193"/>
    </row>
    <row r="44399" spans="6:6" x14ac:dyDescent="0.3">
      <c r="F44399" s="193"/>
    </row>
    <row r="44400" spans="6:6" x14ac:dyDescent="0.3">
      <c r="F44400" s="193"/>
    </row>
    <row r="44401" spans="6:6" x14ac:dyDescent="0.3">
      <c r="F44401" s="193"/>
    </row>
    <row r="44402" spans="6:6" x14ac:dyDescent="0.3">
      <c r="F44402" s="193"/>
    </row>
    <row r="44403" spans="6:6" x14ac:dyDescent="0.3">
      <c r="F44403" s="193"/>
    </row>
    <row r="44404" spans="6:6" x14ac:dyDescent="0.3">
      <c r="F44404" s="193"/>
    </row>
    <row r="44405" spans="6:6" x14ac:dyDescent="0.3">
      <c r="F44405" s="193"/>
    </row>
    <row r="44406" spans="6:6" x14ac:dyDescent="0.3">
      <c r="F44406" s="193"/>
    </row>
    <row r="44407" spans="6:6" x14ac:dyDescent="0.3">
      <c r="F44407" s="193"/>
    </row>
    <row r="44408" spans="6:6" x14ac:dyDescent="0.3">
      <c r="F44408" s="193"/>
    </row>
    <row r="44409" spans="6:6" x14ac:dyDescent="0.3">
      <c r="F44409" s="193"/>
    </row>
    <row r="44410" spans="6:6" x14ac:dyDescent="0.3">
      <c r="F44410" s="193"/>
    </row>
    <row r="44411" spans="6:6" x14ac:dyDescent="0.3">
      <c r="F44411" s="193"/>
    </row>
    <row r="44412" spans="6:6" x14ac:dyDescent="0.3">
      <c r="F44412" s="193"/>
    </row>
    <row r="44413" spans="6:6" x14ac:dyDescent="0.3">
      <c r="F44413" s="193"/>
    </row>
    <row r="44414" spans="6:6" x14ac:dyDescent="0.3">
      <c r="F44414" s="193"/>
    </row>
    <row r="44415" spans="6:6" x14ac:dyDescent="0.3">
      <c r="F44415" s="193"/>
    </row>
    <row r="44416" spans="6:6" x14ac:dyDescent="0.3">
      <c r="F44416" s="193"/>
    </row>
    <row r="44417" spans="6:6" x14ac:dyDescent="0.3">
      <c r="F44417" s="193"/>
    </row>
    <row r="44418" spans="6:6" x14ac:dyDescent="0.3">
      <c r="F44418" s="193"/>
    </row>
    <row r="44419" spans="6:6" x14ac:dyDescent="0.3">
      <c r="F44419" s="193"/>
    </row>
    <row r="44420" spans="6:6" x14ac:dyDescent="0.3">
      <c r="F44420" s="193"/>
    </row>
    <row r="44421" spans="6:6" x14ac:dyDescent="0.3">
      <c r="F44421" s="193"/>
    </row>
    <row r="44422" spans="6:6" x14ac:dyDescent="0.3">
      <c r="F44422" s="193"/>
    </row>
    <row r="44423" spans="6:6" x14ac:dyDescent="0.3">
      <c r="F44423" s="193"/>
    </row>
    <row r="44424" spans="6:6" x14ac:dyDescent="0.3">
      <c r="F44424" s="193"/>
    </row>
    <row r="44425" spans="6:6" x14ac:dyDescent="0.3">
      <c r="F44425" s="193"/>
    </row>
    <row r="44426" spans="6:6" x14ac:dyDescent="0.3">
      <c r="F44426" s="193"/>
    </row>
    <row r="44427" spans="6:6" x14ac:dyDescent="0.3">
      <c r="F44427" s="193"/>
    </row>
    <row r="44428" spans="6:6" x14ac:dyDescent="0.3">
      <c r="F44428" s="193"/>
    </row>
    <row r="44429" spans="6:6" x14ac:dyDescent="0.3">
      <c r="F44429" s="193"/>
    </row>
    <row r="44430" spans="6:6" x14ac:dyDescent="0.3">
      <c r="F44430" s="193"/>
    </row>
    <row r="44431" spans="6:6" x14ac:dyDescent="0.3">
      <c r="F44431" s="193"/>
    </row>
    <row r="44432" spans="6:6" x14ac:dyDescent="0.3">
      <c r="F44432" s="193"/>
    </row>
    <row r="44433" spans="6:6" x14ac:dyDescent="0.3">
      <c r="F44433" s="193"/>
    </row>
    <row r="44434" spans="6:6" x14ac:dyDescent="0.3">
      <c r="F44434" s="193"/>
    </row>
    <row r="44435" spans="6:6" x14ac:dyDescent="0.3">
      <c r="F44435" s="193"/>
    </row>
    <row r="44436" spans="6:6" x14ac:dyDescent="0.3">
      <c r="F44436" s="193"/>
    </row>
    <row r="44437" spans="6:6" x14ac:dyDescent="0.3">
      <c r="F44437" s="193"/>
    </row>
    <row r="44438" spans="6:6" x14ac:dyDescent="0.3">
      <c r="F44438" s="193"/>
    </row>
    <row r="44439" spans="6:6" x14ac:dyDescent="0.3">
      <c r="F44439" s="193"/>
    </row>
    <row r="44440" spans="6:6" x14ac:dyDescent="0.3">
      <c r="F44440" s="193"/>
    </row>
    <row r="44441" spans="6:6" x14ac:dyDescent="0.3">
      <c r="F44441" s="193"/>
    </row>
    <row r="44442" spans="6:6" x14ac:dyDescent="0.3">
      <c r="F44442" s="193"/>
    </row>
    <row r="44443" spans="6:6" x14ac:dyDescent="0.3">
      <c r="F44443" s="193"/>
    </row>
    <row r="44444" spans="6:6" x14ac:dyDescent="0.3">
      <c r="F44444" s="193"/>
    </row>
    <row r="44445" spans="6:6" x14ac:dyDescent="0.3">
      <c r="F44445" s="193"/>
    </row>
    <row r="44446" spans="6:6" x14ac:dyDescent="0.3">
      <c r="F44446" s="193"/>
    </row>
    <row r="44447" spans="6:6" x14ac:dyDescent="0.3">
      <c r="F44447" s="193"/>
    </row>
    <row r="44448" spans="6:6" x14ac:dyDescent="0.3">
      <c r="F44448" s="193"/>
    </row>
    <row r="44449" spans="6:6" x14ac:dyDescent="0.3">
      <c r="F44449" s="193"/>
    </row>
    <row r="44450" spans="6:6" x14ac:dyDescent="0.3">
      <c r="F44450" s="193"/>
    </row>
    <row r="44451" spans="6:6" x14ac:dyDescent="0.3">
      <c r="F44451" s="193"/>
    </row>
    <row r="44452" spans="6:6" x14ac:dyDescent="0.3">
      <c r="F44452" s="193"/>
    </row>
    <row r="44453" spans="6:6" x14ac:dyDescent="0.3">
      <c r="F44453" s="193"/>
    </row>
    <row r="44454" spans="6:6" x14ac:dyDescent="0.3">
      <c r="F44454" s="193"/>
    </row>
    <row r="44455" spans="6:6" x14ac:dyDescent="0.3">
      <c r="F44455" s="193"/>
    </row>
    <row r="44456" spans="6:6" x14ac:dyDescent="0.3">
      <c r="F44456" s="193"/>
    </row>
    <row r="44457" spans="6:6" x14ac:dyDescent="0.3">
      <c r="F44457" s="193"/>
    </row>
    <row r="44458" spans="6:6" x14ac:dyDescent="0.3">
      <c r="F44458" s="193"/>
    </row>
    <row r="44459" spans="6:6" x14ac:dyDescent="0.3">
      <c r="F44459" s="193"/>
    </row>
    <row r="44460" spans="6:6" x14ac:dyDescent="0.3">
      <c r="F44460" s="193"/>
    </row>
    <row r="44461" spans="6:6" x14ac:dyDescent="0.3">
      <c r="F44461" s="193"/>
    </row>
    <row r="44462" spans="6:6" x14ac:dyDescent="0.3">
      <c r="F44462" s="193"/>
    </row>
    <row r="44463" spans="6:6" x14ac:dyDescent="0.3">
      <c r="F44463" s="193"/>
    </row>
    <row r="44464" spans="6:6" x14ac:dyDescent="0.3">
      <c r="F44464" s="193"/>
    </row>
    <row r="44465" spans="6:6" x14ac:dyDescent="0.3">
      <c r="F44465" s="193"/>
    </row>
    <row r="44466" spans="6:6" x14ac:dyDescent="0.3">
      <c r="F44466" s="193"/>
    </row>
    <row r="44467" spans="6:6" x14ac:dyDescent="0.3">
      <c r="F44467" s="193"/>
    </row>
    <row r="44468" spans="6:6" x14ac:dyDescent="0.3">
      <c r="F44468" s="193"/>
    </row>
    <row r="44469" spans="6:6" x14ac:dyDescent="0.3">
      <c r="F44469" s="193"/>
    </row>
    <row r="44470" spans="6:6" x14ac:dyDescent="0.3">
      <c r="F44470" s="193"/>
    </row>
    <row r="44471" spans="6:6" x14ac:dyDescent="0.3">
      <c r="F44471" s="193"/>
    </row>
    <row r="44472" spans="6:6" x14ac:dyDescent="0.3">
      <c r="F44472" s="193"/>
    </row>
    <row r="44473" spans="6:6" x14ac:dyDescent="0.3">
      <c r="F44473" s="193"/>
    </row>
    <row r="44474" spans="6:6" x14ac:dyDescent="0.3">
      <c r="F44474" s="193"/>
    </row>
    <row r="44475" spans="6:6" x14ac:dyDescent="0.3">
      <c r="F44475" s="193"/>
    </row>
    <row r="44476" spans="6:6" x14ac:dyDescent="0.3">
      <c r="F44476" s="193"/>
    </row>
    <row r="44477" spans="6:6" x14ac:dyDescent="0.3">
      <c r="F44477" s="193"/>
    </row>
    <row r="44478" spans="6:6" x14ac:dyDescent="0.3">
      <c r="F44478" s="193"/>
    </row>
    <row r="44479" spans="6:6" x14ac:dyDescent="0.3">
      <c r="F44479" s="193"/>
    </row>
    <row r="44480" spans="6:6" x14ac:dyDescent="0.3">
      <c r="F44480" s="193"/>
    </row>
    <row r="44481" spans="6:6" x14ac:dyDescent="0.3">
      <c r="F44481" s="193"/>
    </row>
    <row r="44482" spans="6:6" x14ac:dyDescent="0.3">
      <c r="F44482" s="193"/>
    </row>
    <row r="44483" spans="6:6" x14ac:dyDescent="0.3">
      <c r="F44483" s="193"/>
    </row>
    <row r="44484" spans="6:6" x14ac:dyDescent="0.3">
      <c r="F44484" s="193"/>
    </row>
    <row r="44485" spans="6:6" x14ac:dyDescent="0.3">
      <c r="F44485" s="193"/>
    </row>
    <row r="44486" spans="6:6" x14ac:dyDescent="0.3">
      <c r="F44486" s="193"/>
    </row>
    <row r="44487" spans="6:6" x14ac:dyDescent="0.3">
      <c r="F44487" s="193"/>
    </row>
    <row r="44488" spans="6:6" x14ac:dyDescent="0.3">
      <c r="F44488" s="193"/>
    </row>
    <row r="44489" spans="6:6" x14ac:dyDescent="0.3">
      <c r="F44489" s="193"/>
    </row>
    <row r="44490" spans="6:6" x14ac:dyDescent="0.3">
      <c r="F44490" s="193"/>
    </row>
    <row r="44491" spans="6:6" x14ac:dyDescent="0.3">
      <c r="F44491" s="193"/>
    </row>
    <row r="44492" spans="6:6" x14ac:dyDescent="0.3">
      <c r="F44492" s="193"/>
    </row>
    <row r="44493" spans="6:6" x14ac:dyDescent="0.3">
      <c r="F44493" s="193"/>
    </row>
    <row r="44494" spans="6:6" x14ac:dyDescent="0.3">
      <c r="F44494" s="193"/>
    </row>
    <row r="44495" spans="6:6" x14ac:dyDescent="0.3">
      <c r="F44495" s="193"/>
    </row>
    <row r="44496" spans="6:6" x14ac:dyDescent="0.3">
      <c r="F44496" s="193"/>
    </row>
    <row r="44497" spans="6:6" x14ac:dyDescent="0.3">
      <c r="F44497" s="193"/>
    </row>
    <row r="44498" spans="6:6" x14ac:dyDescent="0.3">
      <c r="F44498" s="193"/>
    </row>
    <row r="44499" spans="6:6" x14ac:dyDescent="0.3">
      <c r="F44499" s="193"/>
    </row>
    <row r="44500" spans="6:6" x14ac:dyDescent="0.3">
      <c r="F44500" s="193"/>
    </row>
    <row r="44501" spans="6:6" x14ac:dyDescent="0.3">
      <c r="F44501" s="193"/>
    </row>
    <row r="44502" spans="6:6" x14ac:dyDescent="0.3">
      <c r="F44502" s="193"/>
    </row>
    <row r="44503" spans="6:6" x14ac:dyDescent="0.3">
      <c r="F44503" s="193"/>
    </row>
    <row r="44504" spans="6:6" x14ac:dyDescent="0.3">
      <c r="F44504" s="193"/>
    </row>
    <row r="44505" spans="6:6" x14ac:dyDescent="0.3">
      <c r="F44505" s="193"/>
    </row>
    <row r="44506" spans="6:6" x14ac:dyDescent="0.3">
      <c r="F44506" s="193"/>
    </row>
    <row r="44507" spans="6:6" x14ac:dyDescent="0.3">
      <c r="F44507" s="193"/>
    </row>
    <row r="44508" spans="6:6" x14ac:dyDescent="0.3">
      <c r="F44508" s="193"/>
    </row>
    <row r="44509" spans="6:6" x14ac:dyDescent="0.3">
      <c r="F44509" s="193"/>
    </row>
    <row r="44510" spans="6:6" x14ac:dyDescent="0.3">
      <c r="F44510" s="193"/>
    </row>
    <row r="44511" spans="6:6" x14ac:dyDescent="0.3">
      <c r="F44511" s="193"/>
    </row>
    <row r="44512" spans="6:6" x14ac:dyDescent="0.3">
      <c r="F44512" s="193"/>
    </row>
    <row r="44513" spans="6:6" x14ac:dyDescent="0.3">
      <c r="F44513" s="193"/>
    </row>
    <row r="44514" spans="6:6" x14ac:dyDescent="0.3">
      <c r="F44514" s="193"/>
    </row>
    <row r="44515" spans="6:6" x14ac:dyDescent="0.3">
      <c r="F44515" s="193"/>
    </row>
    <row r="44516" spans="6:6" x14ac:dyDescent="0.3">
      <c r="F44516" s="193"/>
    </row>
    <row r="44517" spans="6:6" x14ac:dyDescent="0.3">
      <c r="F44517" s="193"/>
    </row>
    <row r="44518" spans="6:6" x14ac:dyDescent="0.3">
      <c r="F44518" s="193"/>
    </row>
    <row r="44519" spans="6:6" x14ac:dyDescent="0.3">
      <c r="F44519" s="193"/>
    </row>
    <row r="44520" spans="6:6" x14ac:dyDescent="0.3">
      <c r="F44520" s="193"/>
    </row>
    <row r="44521" spans="6:6" x14ac:dyDescent="0.3">
      <c r="F44521" s="193"/>
    </row>
    <row r="44522" spans="6:6" x14ac:dyDescent="0.3">
      <c r="F44522" s="193"/>
    </row>
    <row r="44523" spans="6:6" x14ac:dyDescent="0.3">
      <c r="F44523" s="193"/>
    </row>
    <row r="44524" spans="6:6" x14ac:dyDescent="0.3">
      <c r="F44524" s="193"/>
    </row>
    <row r="44525" spans="6:6" x14ac:dyDescent="0.3">
      <c r="F44525" s="193"/>
    </row>
    <row r="44526" spans="6:6" x14ac:dyDescent="0.3">
      <c r="F44526" s="193"/>
    </row>
    <row r="44527" spans="6:6" x14ac:dyDescent="0.3">
      <c r="F44527" s="193"/>
    </row>
    <row r="44528" spans="6:6" x14ac:dyDescent="0.3">
      <c r="F44528" s="193"/>
    </row>
    <row r="44529" spans="6:6" x14ac:dyDescent="0.3">
      <c r="F44529" s="193"/>
    </row>
    <row r="44530" spans="6:6" x14ac:dyDescent="0.3">
      <c r="F44530" s="193"/>
    </row>
    <row r="44531" spans="6:6" x14ac:dyDescent="0.3">
      <c r="F44531" s="193"/>
    </row>
    <row r="44532" spans="6:6" x14ac:dyDescent="0.3">
      <c r="F44532" s="193"/>
    </row>
    <row r="44533" spans="6:6" x14ac:dyDescent="0.3">
      <c r="F44533" s="193"/>
    </row>
    <row r="44534" spans="6:6" x14ac:dyDescent="0.3">
      <c r="F44534" s="193"/>
    </row>
    <row r="44535" spans="6:6" x14ac:dyDescent="0.3">
      <c r="F44535" s="193"/>
    </row>
    <row r="44536" spans="6:6" x14ac:dyDescent="0.3">
      <c r="F44536" s="193"/>
    </row>
    <row r="44537" spans="6:6" x14ac:dyDescent="0.3">
      <c r="F44537" s="193"/>
    </row>
    <row r="44538" spans="6:6" x14ac:dyDescent="0.3">
      <c r="F44538" s="193"/>
    </row>
    <row r="44539" spans="6:6" x14ac:dyDescent="0.3">
      <c r="F44539" s="193"/>
    </row>
    <row r="44540" spans="6:6" x14ac:dyDescent="0.3">
      <c r="F44540" s="193"/>
    </row>
    <row r="44541" spans="6:6" x14ac:dyDescent="0.3">
      <c r="F44541" s="193"/>
    </row>
    <row r="44542" spans="6:6" x14ac:dyDescent="0.3">
      <c r="F44542" s="193"/>
    </row>
    <row r="44543" spans="6:6" x14ac:dyDescent="0.3">
      <c r="F44543" s="193"/>
    </row>
    <row r="44544" spans="6:6" x14ac:dyDescent="0.3">
      <c r="F44544" s="193"/>
    </row>
    <row r="44545" spans="6:6" x14ac:dyDescent="0.3">
      <c r="F44545" s="193"/>
    </row>
    <row r="44546" spans="6:6" x14ac:dyDescent="0.3">
      <c r="F44546" s="193"/>
    </row>
    <row r="44547" spans="6:6" x14ac:dyDescent="0.3">
      <c r="F44547" s="193"/>
    </row>
    <row r="44548" spans="6:6" x14ac:dyDescent="0.3">
      <c r="F44548" s="193"/>
    </row>
    <row r="44549" spans="6:6" x14ac:dyDescent="0.3">
      <c r="F44549" s="193"/>
    </row>
    <row r="44550" spans="6:6" x14ac:dyDescent="0.3">
      <c r="F44550" s="193"/>
    </row>
    <row r="44551" spans="6:6" x14ac:dyDescent="0.3">
      <c r="F44551" s="193"/>
    </row>
    <row r="44552" spans="6:6" x14ac:dyDescent="0.3">
      <c r="F44552" s="193"/>
    </row>
    <row r="44553" spans="6:6" x14ac:dyDescent="0.3">
      <c r="F44553" s="193"/>
    </row>
    <row r="44554" spans="6:6" x14ac:dyDescent="0.3">
      <c r="F44554" s="193"/>
    </row>
    <row r="44555" spans="6:6" x14ac:dyDescent="0.3">
      <c r="F44555" s="193"/>
    </row>
    <row r="44556" spans="6:6" x14ac:dyDescent="0.3">
      <c r="F44556" s="193"/>
    </row>
    <row r="44557" spans="6:6" x14ac:dyDescent="0.3">
      <c r="F44557" s="193"/>
    </row>
    <row r="44558" spans="6:6" x14ac:dyDescent="0.3">
      <c r="F44558" s="193"/>
    </row>
    <row r="44559" spans="6:6" x14ac:dyDescent="0.3">
      <c r="F44559" s="193"/>
    </row>
    <row r="44560" spans="6:6" x14ac:dyDescent="0.3">
      <c r="F44560" s="193"/>
    </row>
    <row r="44561" spans="6:6" x14ac:dyDescent="0.3">
      <c r="F44561" s="193"/>
    </row>
    <row r="44562" spans="6:6" x14ac:dyDescent="0.3">
      <c r="F44562" s="193"/>
    </row>
    <row r="44563" spans="6:6" x14ac:dyDescent="0.3">
      <c r="F44563" s="193"/>
    </row>
    <row r="44564" spans="6:6" x14ac:dyDescent="0.3">
      <c r="F44564" s="193"/>
    </row>
    <row r="44565" spans="6:6" x14ac:dyDescent="0.3">
      <c r="F44565" s="193"/>
    </row>
    <row r="44566" spans="6:6" x14ac:dyDescent="0.3">
      <c r="F44566" s="193"/>
    </row>
    <row r="44567" spans="6:6" x14ac:dyDescent="0.3">
      <c r="F44567" s="193"/>
    </row>
    <row r="44568" spans="6:6" x14ac:dyDescent="0.3">
      <c r="F44568" s="193"/>
    </row>
    <row r="44569" spans="6:6" x14ac:dyDescent="0.3">
      <c r="F44569" s="193"/>
    </row>
    <row r="44570" spans="6:6" x14ac:dyDescent="0.3">
      <c r="F44570" s="193"/>
    </row>
    <row r="44571" spans="6:6" x14ac:dyDescent="0.3">
      <c r="F44571" s="193"/>
    </row>
    <row r="44572" spans="6:6" x14ac:dyDescent="0.3">
      <c r="F44572" s="193"/>
    </row>
    <row r="44573" spans="6:6" x14ac:dyDescent="0.3">
      <c r="F44573" s="193"/>
    </row>
    <row r="44574" spans="6:6" x14ac:dyDescent="0.3">
      <c r="F44574" s="193"/>
    </row>
    <row r="44575" spans="6:6" x14ac:dyDescent="0.3">
      <c r="F44575" s="193"/>
    </row>
    <row r="44576" spans="6:6" x14ac:dyDescent="0.3">
      <c r="F44576" s="193"/>
    </row>
    <row r="44577" spans="6:6" x14ac:dyDescent="0.3">
      <c r="F44577" s="193"/>
    </row>
    <row r="44578" spans="6:6" x14ac:dyDescent="0.3">
      <c r="F44578" s="193"/>
    </row>
    <row r="44579" spans="6:6" x14ac:dyDescent="0.3">
      <c r="F44579" s="193"/>
    </row>
    <row r="44580" spans="6:6" x14ac:dyDescent="0.3">
      <c r="F44580" s="193"/>
    </row>
    <row r="44581" spans="6:6" x14ac:dyDescent="0.3">
      <c r="F44581" s="193"/>
    </row>
    <row r="44582" spans="6:6" x14ac:dyDescent="0.3">
      <c r="F44582" s="193"/>
    </row>
    <row r="44583" spans="6:6" x14ac:dyDescent="0.3">
      <c r="F44583" s="193"/>
    </row>
    <row r="44584" spans="6:6" x14ac:dyDescent="0.3">
      <c r="F44584" s="193"/>
    </row>
    <row r="44585" spans="6:6" x14ac:dyDescent="0.3">
      <c r="F44585" s="193"/>
    </row>
    <row r="44586" spans="6:6" x14ac:dyDescent="0.3">
      <c r="F44586" s="193"/>
    </row>
    <row r="44587" spans="6:6" x14ac:dyDescent="0.3">
      <c r="F44587" s="193"/>
    </row>
    <row r="44588" spans="6:6" x14ac:dyDescent="0.3">
      <c r="F44588" s="193"/>
    </row>
    <row r="44589" spans="6:6" x14ac:dyDescent="0.3">
      <c r="F44589" s="193"/>
    </row>
    <row r="44590" spans="6:6" x14ac:dyDescent="0.3">
      <c r="F44590" s="193"/>
    </row>
    <row r="44591" spans="6:6" x14ac:dyDescent="0.3">
      <c r="F44591" s="193"/>
    </row>
    <row r="44592" spans="6:6" x14ac:dyDescent="0.3">
      <c r="F44592" s="193"/>
    </row>
    <row r="44593" spans="6:6" x14ac:dyDescent="0.3">
      <c r="F44593" s="193"/>
    </row>
    <row r="44594" spans="6:6" x14ac:dyDescent="0.3">
      <c r="F44594" s="193"/>
    </row>
    <row r="44595" spans="6:6" x14ac:dyDescent="0.3">
      <c r="F44595" s="193"/>
    </row>
    <row r="44596" spans="6:6" x14ac:dyDescent="0.3">
      <c r="F44596" s="193"/>
    </row>
    <row r="44597" spans="6:6" x14ac:dyDescent="0.3">
      <c r="F44597" s="193"/>
    </row>
    <row r="44598" spans="6:6" x14ac:dyDescent="0.3">
      <c r="F44598" s="193"/>
    </row>
    <row r="44599" spans="6:6" x14ac:dyDescent="0.3">
      <c r="F44599" s="193"/>
    </row>
    <row r="44600" spans="6:6" x14ac:dyDescent="0.3">
      <c r="F44600" s="193"/>
    </row>
    <row r="44601" spans="6:6" x14ac:dyDescent="0.3">
      <c r="F44601" s="193"/>
    </row>
    <row r="44602" spans="6:6" x14ac:dyDescent="0.3">
      <c r="F44602" s="193"/>
    </row>
    <row r="44603" spans="6:6" x14ac:dyDescent="0.3">
      <c r="F44603" s="193"/>
    </row>
    <row r="44604" spans="6:6" x14ac:dyDescent="0.3">
      <c r="F44604" s="193"/>
    </row>
    <row r="44605" spans="6:6" x14ac:dyDescent="0.3">
      <c r="F44605" s="193"/>
    </row>
    <row r="44606" spans="6:6" x14ac:dyDescent="0.3">
      <c r="F44606" s="193"/>
    </row>
    <row r="44607" spans="6:6" x14ac:dyDescent="0.3">
      <c r="F44607" s="193"/>
    </row>
    <row r="44608" spans="6:6" x14ac:dyDescent="0.3">
      <c r="F44608" s="193"/>
    </row>
    <row r="44609" spans="6:6" x14ac:dyDescent="0.3">
      <c r="F44609" s="193"/>
    </row>
    <row r="44610" spans="6:6" x14ac:dyDescent="0.3">
      <c r="F44610" s="193"/>
    </row>
    <row r="44611" spans="6:6" x14ac:dyDescent="0.3">
      <c r="F44611" s="193"/>
    </row>
    <row r="44612" spans="6:6" x14ac:dyDescent="0.3">
      <c r="F44612" s="193"/>
    </row>
    <row r="44613" spans="6:6" x14ac:dyDescent="0.3">
      <c r="F44613" s="193"/>
    </row>
    <row r="44614" spans="6:6" x14ac:dyDescent="0.3">
      <c r="F44614" s="193"/>
    </row>
    <row r="44615" spans="6:6" x14ac:dyDescent="0.3">
      <c r="F44615" s="193"/>
    </row>
    <row r="44616" spans="6:6" x14ac:dyDescent="0.3">
      <c r="F44616" s="193"/>
    </row>
    <row r="44617" spans="6:6" x14ac:dyDescent="0.3">
      <c r="F44617" s="193"/>
    </row>
    <row r="44618" spans="6:6" x14ac:dyDescent="0.3">
      <c r="F44618" s="193"/>
    </row>
    <row r="44619" spans="6:6" x14ac:dyDescent="0.3">
      <c r="F44619" s="193"/>
    </row>
    <row r="44620" spans="6:6" x14ac:dyDescent="0.3">
      <c r="F44620" s="193"/>
    </row>
    <row r="44621" spans="6:6" x14ac:dyDescent="0.3">
      <c r="F44621" s="193"/>
    </row>
    <row r="44622" spans="6:6" x14ac:dyDescent="0.3">
      <c r="F44622" s="193"/>
    </row>
    <row r="44623" spans="6:6" x14ac:dyDescent="0.3">
      <c r="F44623" s="193"/>
    </row>
    <row r="44624" spans="6:6" x14ac:dyDescent="0.3">
      <c r="F44624" s="193"/>
    </row>
    <row r="44625" spans="6:6" x14ac:dyDescent="0.3">
      <c r="F44625" s="193"/>
    </row>
    <row r="44626" spans="6:6" x14ac:dyDescent="0.3">
      <c r="F44626" s="193"/>
    </row>
    <row r="44627" spans="6:6" x14ac:dyDescent="0.3">
      <c r="F44627" s="193"/>
    </row>
    <row r="44628" spans="6:6" x14ac:dyDescent="0.3">
      <c r="F44628" s="193"/>
    </row>
    <row r="44629" spans="6:6" x14ac:dyDescent="0.3">
      <c r="F44629" s="193"/>
    </row>
    <row r="44630" spans="6:6" x14ac:dyDescent="0.3">
      <c r="F44630" s="193"/>
    </row>
    <row r="44631" spans="6:6" x14ac:dyDescent="0.3">
      <c r="F44631" s="193"/>
    </row>
    <row r="44632" spans="6:6" x14ac:dyDescent="0.3">
      <c r="F44632" s="193"/>
    </row>
    <row r="44633" spans="6:6" x14ac:dyDescent="0.3">
      <c r="F44633" s="193"/>
    </row>
    <row r="44634" spans="6:6" x14ac:dyDescent="0.3">
      <c r="F44634" s="193"/>
    </row>
    <row r="44635" spans="6:6" x14ac:dyDescent="0.3">
      <c r="F44635" s="193"/>
    </row>
    <row r="44636" spans="6:6" x14ac:dyDescent="0.3">
      <c r="F44636" s="193"/>
    </row>
    <row r="44637" spans="6:6" x14ac:dyDescent="0.3">
      <c r="F44637" s="193"/>
    </row>
    <row r="44638" spans="6:6" x14ac:dyDescent="0.3">
      <c r="F44638" s="193"/>
    </row>
    <row r="44639" spans="6:6" x14ac:dyDescent="0.3">
      <c r="F44639" s="193"/>
    </row>
    <row r="44640" spans="6:6" x14ac:dyDescent="0.3">
      <c r="F44640" s="193"/>
    </row>
    <row r="44641" spans="6:6" x14ac:dyDescent="0.3">
      <c r="F44641" s="193"/>
    </row>
    <row r="44642" spans="6:6" x14ac:dyDescent="0.3">
      <c r="F44642" s="193"/>
    </row>
    <row r="44643" spans="6:6" x14ac:dyDescent="0.3">
      <c r="F44643" s="193"/>
    </row>
    <row r="44644" spans="6:6" x14ac:dyDescent="0.3">
      <c r="F44644" s="193"/>
    </row>
    <row r="44645" spans="6:6" x14ac:dyDescent="0.3">
      <c r="F44645" s="193"/>
    </row>
    <row r="44646" spans="6:6" x14ac:dyDescent="0.3">
      <c r="F44646" s="193"/>
    </row>
    <row r="44647" spans="6:6" x14ac:dyDescent="0.3">
      <c r="F44647" s="193"/>
    </row>
    <row r="44648" spans="6:6" x14ac:dyDescent="0.3">
      <c r="F44648" s="193"/>
    </row>
    <row r="44649" spans="6:6" x14ac:dyDescent="0.3">
      <c r="F44649" s="193"/>
    </row>
    <row r="44650" spans="6:6" x14ac:dyDescent="0.3">
      <c r="F44650" s="193"/>
    </row>
    <row r="44651" spans="6:6" x14ac:dyDescent="0.3">
      <c r="F44651" s="193"/>
    </row>
    <row r="44652" spans="6:6" x14ac:dyDescent="0.3">
      <c r="F44652" s="193"/>
    </row>
    <row r="44653" spans="6:6" x14ac:dyDescent="0.3">
      <c r="F44653" s="193"/>
    </row>
    <row r="44654" spans="6:6" x14ac:dyDescent="0.3">
      <c r="F44654" s="193"/>
    </row>
    <row r="44655" spans="6:6" x14ac:dyDescent="0.3">
      <c r="F44655" s="193"/>
    </row>
    <row r="44656" spans="6:6" x14ac:dyDescent="0.3">
      <c r="F44656" s="193"/>
    </row>
    <row r="44657" spans="6:6" x14ac:dyDescent="0.3">
      <c r="F44657" s="193"/>
    </row>
    <row r="44658" spans="6:6" x14ac:dyDescent="0.3">
      <c r="F44658" s="193"/>
    </row>
    <row r="44659" spans="6:6" x14ac:dyDescent="0.3">
      <c r="F44659" s="193"/>
    </row>
    <row r="44660" spans="6:6" x14ac:dyDescent="0.3">
      <c r="F44660" s="193"/>
    </row>
    <row r="44661" spans="6:6" x14ac:dyDescent="0.3">
      <c r="F44661" s="193"/>
    </row>
    <row r="44662" spans="6:6" x14ac:dyDescent="0.3">
      <c r="F44662" s="193"/>
    </row>
    <row r="44663" spans="6:6" x14ac:dyDescent="0.3">
      <c r="F44663" s="193"/>
    </row>
    <row r="44664" spans="6:6" x14ac:dyDescent="0.3">
      <c r="F44664" s="193"/>
    </row>
    <row r="44665" spans="6:6" x14ac:dyDescent="0.3">
      <c r="F44665" s="193"/>
    </row>
    <row r="44666" spans="6:6" x14ac:dyDescent="0.3">
      <c r="F44666" s="193"/>
    </row>
    <row r="44667" spans="6:6" x14ac:dyDescent="0.3">
      <c r="F44667" s="193"/>
    </row>
    <row r="44668" spans="6:6" x14ac:dyDescent="0.3">
      <c r="F44668" s="193"/>
    </row>
    <row r="44669" spans="6:6" x14ac:dyDescent="0.3">
      <c r="F44669" s="193"/>
    </row>
    <row r="44670" spans="6:6" x14ac:dyDescent="0.3">
      <c r="F44670" s="193"/>
    </row>
    <row r="44671" spans="6:6" x14ac:dyDescent="0.3">
      <c r="F44671" s="193"/>
    </row>
    <row r="44672" spans="6:6" x14ac:dyDescent="0.3">
      <c r="F44672" s="193"/>
    </row>
    <row r="44673" spans="6:6" x14ac:dyDescent="0.3">
      <c r="F44673" s="193"/>
    </row>
    <row r="44674" spans="6:6" x14ac:dyDescent="0.3">
      <c r="F44674" s="193"/>
    </row>
    <row r="44675" spans="6:6" x14ac:dyDescent="0.3">
      <c r="F44675" s="193"/>
    </row>
    <row r="44676" spans="6:6" x14ac:dyDescent="0.3">
      <c r="F44676" s="193"/>
    </row>
    <row r="44677" spans="6:6" x14ac:dyDescent="0.3">
      <c r="F44677" s="193"/>
    </row>
    <row r="44678" spans="6:6" x14ac:dyDescent="0.3">
      <c r="F44678" s="193"/>
    </row>
    <row r="44679" spans="6:6" x14ac:dyDescent="0.3">
      <c r="F44679" s="193"/>
    </row>
    <row r="44680" spans="6:6" x14ac:dyDescent="0.3">
      <c r="F44680" s="193"/>
    </row>
    <row r="44681" spans="6:6" x14ac:dyDescent="0.3">
      <c r="F44681" s="193"/>
    </row>
    <row r="44682" spans="6:6" x14ac:dyDescent="0.3">
      <c r="F44682" s="193"/>
    </row>
    <row r="44683" spans="6:6" x14ac:dyDescent="0.3">
      <c r="F44683" s="193"/>
    </row>
    <row r="44684" spans="6:6" x14ac:dyDescent="0.3">
      <c r="F44684" s="193"/>
    </row>
    <row r="44685" spans="6:6" x14ac:dyDescent="0.3">
      <c r="F44685" s="193"/>
    </row>
    <row r="44686" spans="6:6" x14ac:dyDescent="0.3">
      <c r="F44686" s="193"/>
    </row>
    <row r="44687" spans="6:6" x14ac:dyDescent="0.3">
      <c r="F44687" s="193"/>
    </row>
    <row r="44688" spans="6:6" x14ac:dyDescent="0.3">
      <c r="F44688" s="193"/>
    </row>
    <row r="44689" spans="6:6" x14ac:dyDescent="0.3">
      <c r="F44689" s="193"/>
    </row>
    <row r="44690" spans="6:6" x14ac:dyDescent="0.3">
      <c r="F44690" s="193"/>
    </row>
    <row r="44691" spans="6:6" x14ac:dyDescent="0.3">
      <c r="F44691" s="193"/>
    </row>
    <row r="44692" spans="6:6" x14ac:dyDescent="0.3">
      <c r="F44692" s="193"/>
    </row>
    <row r="44693" spans="6:6" x14ac:dyDescent="0.3">
      <c r="F44693" s="193"/>
    </row>
    <row r="44694" spans="6:6" x14ac:dyDescent="0.3">
      <c r="F44694" s="193"/>
    </row>
    <row r="44695" spans="6:6" x14ac:dyDescent="0.3">
      <c r="F44695" s="193"/>
    </row>
    <row r="44696" spans="6:6" x14ac:dyDescent="0.3">
      <c r="F44696" s="193"/>
    </row>
    <row r="44697" spans="6:6" x14ac:dyDescent="0.3">
      <c r="F44697" s="193"/>
    </row>
    <row r="44698" spans="6:6" x14ac:dyDescent="0.3">
      <c r="F44698" s="193"/>
    </row>
    <row r="44699" spans="6:6" x14ac:dyDescent="0.3">
      <c r="F44699" s="193"/>
    </row>
    <row r="44700" spans="6:6" x14ac:dyDescent="0.3">
      <c r="F44700" s="193"/>
    </row>
    <row r="44701" spans="6:6" x14ac:dyDescent="0.3">
      <c r="F44701" s="193"/>
    </row>
    <row r="44702" spans="6:6" x14ac:dyDescent="0.3">
      <c r="F44702" s="193"/>
    </row>
    <row r="44703" spans="6:6" x14ac:dyDescent="0.3">
      <c r="F44703" s="193"/>
    </row>
    <row r="44704" spans="6:6" x14ac:dyDescent="0.3">
      <c r="F44704" s="193"/>
    </row>
    <row r="44705" spans="6:6" x14ac:dyDescent="0.3">
      <c r="F44705" s="193"/>
    </row>
    <row r="44706" spans="6:6" x14ac:dyDescent="0.3">
      <c r="F44706" s="193"/>
    </row>
    <row r="44707" spans="6:6" x14ac:dyDescent="0.3">
      <c r="F44707" s="193"/>
    </row>
    <row r="44708" spans="6:6" x14ac:dyDescent="0.3">
      <c r="F44708" s="193"/>
    </row>
    <row r="44709" spans="6:6" x14ac:dyDescent="0.3">
      <c r="F44709" s="193"/>
    </row>
    <row r="44710" spans="6:6" x14ac:dyDescent="0.3">
      <c r="F44710" s="193"/>
    </row>
    <row r="44711" spans="6:6" x14ac:dyDescent="0.3">
      <c r="F44711" s="193"/>
    </row>
    <row r="44712" spans="6:6" x14ac:dyDescent="0.3">
      <c r="F44712" s="193"/>
    </row>
    <row r="44713" spans="6:6" x14ac:dyDescent="0.3">
      <c r="F44713" s="193"/>
    </row>
    <row r="44714" spans="6:6" x14ac:dyDescent="0.3">
      <c r="F44714" s="193"/>
    </row>
    <row r="44715" spans="6:6" x14ac:dyDescent="0.3">
      <c r="F44715" s="193"/>
    </row>
    <row r="44716" spans="6:6" x14ac:dyDescent="0.3">
      <c r="F44716" s="193"/>
    </row>
    <row r="44717" spans="6:6" x14ac:dyDescent="0.3">
      <c r="F44717" s="193"/>
    </row>
    <row r="44718" spans="6:6" x14ac:dyDescent="0.3">
      <c r="F44718" s="193"/>
    </row>
    <row r="44719" spans="6:6" x14ac:dyDescent="0.3">
      <c r="F44719" s="193"/>
    </row>
    <row r="44720" spans="6:6" x14ac:dyDescent="0.3">
      <c r="F44720" s="193"/>
    </row>
    <row r="44721" spans="6:6" x14ac:dyDescent="0.3">
      <c r="F44721" s="193"/>
    </row>
    <row r="44722" spans="6:6" x14ac:dyDescent="0.3">
      <c r="F44722" s="193"/>
    </row>
    <row r="44723" spans="6:6" x14ac:dyDescent="0.3">
      <c r="F44723" s="193"/>
    </row>
    <row r="44724" spans="6:6" x14ac:dyDescent="0.3">
      <c r="F44724" s="193"/>
    </row>
    <row r="44725" spans="6:6" x14ac:dyDescent="0.3">
      <c r="F44725" s="193"/>
    </row>
    <row r="44726" spans="6:6" x14ac:dyDescent="0.3">
      <c r="F44726" s="193"/>
    </row>
    <row r="44727" spans="6:6" x14ac:dyDescent="0.3">
      <c r="F44727" s="193"/>
    </row>
    <row r="44728" spans="6:6" x14ac:dyDescent="0.3">
      <c r="F44728" s="193"/>
    </row>
    <row r="44729" spans="6:6" x14ac:dyDescent="0.3">
      <c r="F44729" s="193"/>
    </row>
    <row r="44730" spans="6:6" x14ac:dyDescent="0.3">
      <c r="F44730" s="193"/>
    </row>
    <row r="44731" spans="6:6" x14ac:dyDescent="0.3">
      <c r="F44731" s="193"/>
    </row>
    <row r="44732" spans="6:6" x14ac:dyDescent="0.3">
      <c r="F44732" s="193"/>
    </row>
    <row r="44733" spans="6:6" x14ac:dyDescent="0.3">
      <c r="F44733" s="193"/>
    </row>
    <row r="44734" spans="6:6" x14ac:dyDescent="0.3">
      <c r="F44734" s="193"/>
    </row>
    <row r="44735" spans="6:6" x14ac:dyDescent="0.3">
      <c r="F44735" s="193"/>
    </row>
    <row r="44736" spans="6:6" x14ac:dyDescent="0.3">
      <c r="F44736" s="193"/>
    </row>
    <row r="44737" spans="6:6" x14ac:dyDescent="0.3">
      <c r="F44737" s="193"/>
    </row>
    <row r="44738" spans="6:6" x14ac:dyDescent="0.3">
      <c r="F44738" s="193"/>
    </row>
    <row r="44739" spans="6:6" x14ac:dyDescent="0.3">
      <c r="F44739" s="193"/>
    </row>
    <row r="44740" spans="6:6" x14ac:dyDescent="0.3">
      <c r="F44740" s="193"/>
    </row>
    <row r="44741" spans="6:6" x14ac:dyDescent="0.3">
      <c r="F44741" s="193"/>
    </row>
    <row r="44742" spans="6:6" x14ac:dyDescent="0.3">
      <c r="F44742" s="193"/>
    </row>
    <row r="44743" spans="6:6" x14ac:dyDescent="0.3">
      <c r="F44743" s="193"/>
    </row>
    <row r="44744" spans="6:6" x14ac:dyDescent="0.3">
      <c r="F44744" s="193"/>
    </row>
    <row r="44745" spans="6:6" x14ac:dyDescent="0.3">
      <c r="F44745" s="193"/>
    </row>
    <row r="44746" spans="6:6" x14ac:dyDescent="0.3">
      <c r="F44746" s="193"/>
    </row>
    <row r="44747" spans="6:6" x14ac:dyDescent="0.3">
      <c r="F44747" s="193"/>
    </row>
    <row r="44748" spans="6:6" x14ac:dyDescent="0.3">
      <c r="F44748" s="193"/>
    </row>
    <row r="44749" spans="6:6" x14ac:dyDescent="0.3">
      <c r="F44749" s="193"/>
    </row>
    <row r="44750" spans="6:6" x14ac:dyDescent="0.3">
      <c r="F44750" s="193"/>
    </row>
    <row r="44751" spans="6:6" x14ac:dyDescent="0.3">
      <c r="F44751" s="193"/>
    </row>
    <row r="44752" spans="6:6" x14ac:dyDescent="0.3">
      <c r="F44752" s="193"/>
    </row>
    <row r="44753" spans="6:6" x14ac:dyDescent="0.3">
      <c r="F44753" s="193"/>
    </row>
    <row r="44754" spans="6:6" x14ac:dyDescent="0.3">
      <c r="F44754" s="193"/>
    </row>
    <row r="44755" spans="6:6" x14ac:dyDescent="0.3">
      <c r="F44755" s="193"/>
    </row>
    <row r="44756" spans="6:6" x14ac:dyDescent="0.3">
      <c r="F44756" s="193"/>
    </row>
    <row r="44757" spans="6:6" x14ac:dyDescent="0.3">
      <c r="F44757" s="193"/>
    </row>
    <row r="44758" spans="6:6" x14ac:dyDescent="0.3">
      <c r="F44758" s="193"/>
    </row>
    <row r="44759" spans="6:6" x14ac:dyDescent="0.3">
      <c r="F44759" s="193"/>
    </row>
    <row r="44760" spans="6:6" x14ac:dyDescent="0.3">
      <c r="F44760" s="193"/>
    </row>
    <row r="44761" spans="6:6" x14ac:dyDescent="0.3">
      <c r="F44761" s="193"/>
    </row>
    <row r="44762" spans="6:6" x14ac:dyDescent="0.3">
      <c r="F44762" s="193"/>
    </row>
    <row r="44763" spans="6:6" x14ac:dyDescent="0.3">
      <c r="F44763" s="193"/>
    </row>
    <row r="44764" spans="6:6" x14ac:dyDescent="0.3">
      <c r="F44764" s="193"/>
    </row>
    <row r="44765" spans="6:6" x14ac:dyDescent="0.3">
      <c r="F44765" s="193"/>
    </row>
    <row r="44766" spans="6:6" x14ac:dyDescent="0.3">
      <c r="F44766" s="193"/>
    </row>
    <row r="44767" spans="6:6" x14ac:dyDescent="0.3">
      <c r="F44767" s="193"/>
    </row>
    <row r="44768" spans="6:6" x14ac:dyDescent="0.3">
      <c r="F44768" s="193"/>
    </row>
    <row r="44769" spans="6:6" x14ac:dyDescent="0.3">
      <c r="F44769" s="193"/>
    </row>
    <row r="44770" spans="6:6" x14ac:dyDescent="0.3">
      <c r="F44770" s="193"/>
    </row>
    <row r="44771" spans="6:6" x14ac:dyDescent="0.3">
      <c r="F44771" s="193"/>
    </row>
    <row r="44772" spans="6:6" x14ac:dyDescent="0.3">
      <c r="F44772" s="193"/>
    </row>
    <row r="44773" spans="6:6" x14ac:dyDescent="0.3">
      <c r="F44773" s="193"/>
    </row>
    <row r="44774" spans="6:6" x14ac:dyDescent="0.3">
      <c r="F44774" s="193"/>
    </row>
    <row r="44775" spans="6:6" x14ac:dyDescent="0.3">
      <c r="F44775" s="193"/>
    </row>
    <row r="44776" spans="6:6" x14ac:dyDescent="0.3">
      <c r="F44776" s="193"/>
    </row>
    <row r="44777" spans="6:6" x14ac:dyDescent="0.3">
      <c r="F44777" s="193"/>
    </row>
    <row r="44778" spans="6:6" x14ac:dyDescent="0.3">
      <c r="F44778" s="193"/>
    </row>
    <row r="44779" spans="6:6" x14ac:dyDescent="0.3">
      <c r="F44779" s="193"/>
    </row>
    <row r="44780" spans="6:6" x14ac:dyDescent="0.3">
      <c r="F44780" s="193"/>
    </row>
    <row r="44781" spans="6:6" x14ac:dyDescent="0.3">
      <c r="F44781" s="193"/>
    </row>
    <row r="44782" spans="6:6" x14ac:dyDescent="0.3">
      <c r="F44782" s="193"/>
    </row>
    <row r="44783" spans="6:6" x14ac:dyDescent="0.3">
      <c r="F44783" s="193"/>
    </row>
    <row r="44784" spans="6:6" x14ac:dyDescent="0.3">
      <c r="F44784" s="193"/>
    </row>
    <row r="44785" spans="6:6" x14ac:dyDescent="0.3">
      <c r="F44785" s="193"/>
    </row>
    <row r="44786" spans="6:6" x14ac:dyDescent="0.3">
      <c r="F44786" s="193"/>
    </row>
    <row r="44787" spans="6:6" x14ac:dyDescent="0.3">
      <c r="F44787" s="193"/>
    </row>
    <row r="44788" spans="6:6" x14ac:dyDescent="0.3">
      <c r="F44788" s="193"/>
    </row>
    <row r="44789" spans="6:6" x14ac:dyDescent="0.3">
      <c r="F44789" s="193"/>
    </row>
    <row r="44790" spans="6:6" x14ac:dyDescent="0.3">
      <c r="F44790" s="193"/>
    </row>
    <row r="44791" spans="6:6" x14ac:dyDescent="0.3">
      <c r="F44791" s="193"/>
    </row>
    <row r="44792" spans="6:6" x14ac:dyDescent="0.3">
      <c r="F44792" s="193"/>
    </row>
    <row r="44793" spans="6:6" x14ac:dyDescent="0.3">
      <c r="F44793" s="193"/>
    </row>
    <row r="44794" spans="6:6" x14ac:dyDescent="0.3">
      <c r="F44794" s="193"/>
    </row>
    <row r="44795" spans="6:6" x14ac:dyDescent="0.3">
      <c r="F44795" s="193"/>
    </row>
    <row r="44796" spans="6:6" x14ac:dyDescent="0.3">
      <c r="F44796" s="193"/>
    </row>
    <row r="44797" spans="6:6" x14ac:dyDescent="0.3">
      <c r="F44797" s="193"/>
    </row>
    <row r="44798" spans="6:6" x14ac:dyDescent="0.3">
      <c r="F44798" s="193"/>
    </row>
    <row r="44799" spans="6:6" x14ac:dyDescent="0.3">
      <c r="F44799" s="193"/>
    </row>
    <row r="44800" spans="6:6" x14ac:dyDescent="0.3">
      <c r="F44800" s="193"/>
    </row>
    <row r="44801" spans="6:6" x14ac:dyDescent="0.3">
      <c r="F44801" s="193"/>
    </row>
    <row r="44802" spans="6:6" x14ac:dyDescent="0.3">
      <c r="F44802" s="193"/>
    </row>
    <row r="44803" spans="6:6" x14ac:dyDescent="0.3">
      <c r="F44803" s="193"/>
    </row>
    <row r="44804" spans="6:6" x14ac:dyDescent="0.3">
      <c r="F44804" s="193"/>
    </row>
    <row r="44805" spans="6:6" x14ac:dyDescent="0.3">
      <c r="F44805" s="193"/>
    </row>
    <row r="44806" spans="6:6" x14ac:dyDescent="0.3">
      <c r="F44806" s="193"/>
    </row>
    <row r="44807" spans="6:6" x14ac:dyDescent="0.3">
      <c r="F44807" s="193"/>
    </row>
    <row r="44808" spans="6:6" x14ac:dyDescent="0.3">
      <c r="F44808" s="193"/>
    </row>
    <row r="44809" spans="6:6" x14ac:dyDescent="0.3">
      <c r="F44809" s="193"/>
    </row>
    <row r="44810" spans="6:6" x14ac:dyDescent="0.3">
      <c r="F44810" s="193"/>
    </row>
    <row r="44811" spans="6:6" x14ac:dyDescent="0.3">
      <c r="F44811" s="193"/>
    </row>
    <row r="44812" spans="6:6" x14ac:dyDescent="0.3">
      <c r="F44812" s="193"/>
    </row>
    <row r="44813" spans="6:6" x14ac:dyDescent="0.3">
      <c r="F44813" s="193"/>
    </row>
    <row r="44814" spans="6:6" x14ac:dyDescent="0.3">
      <c r="F44814" s="193"/>
    </row>
    <row r="44815" spans="6:6" x14ac:dyDescent="0.3">
      <c r="F44815" s="193"/>
    </row>
    <row r="44816" spans="6:6" x14ac:dyDescent="0.3">
      <c r="F44816" s="193"/>
    </row>
    <row r="44817" spans="6:6" x14ac:dyDescent="0.3">
      <c r="F44817" s="193"/>
    </row>
    <row r="44818" spans="6:6" x14ac:dyDescent="0.3">
      <c r="F44818" s="193"/>
    </row>
    <row r="44819" spans="6:6" x14ac:dyDescent="0.3">
      <c r="F44819" s="193"/>
    </row>
    <row r="44820" spans="6:6" x14ac:dyDescent="0.3">
      <c r="F44820" s="193"/>
    </row>
    <row r="44821" spans="6:6" x14ac:dyDescent="0.3">
      <c r="F44821" s="193"/>
    </row>
    <row r="44822" spans="6:6" x14ac:dyDescent="0.3">
      <c r="F44822" s="193"/>
    </row>
    <row r="44823" spans="6:6" x14ac:dyDescent="0.3">
      <c r="F44823" s="193"/>
    </row>
    <row r="44824" spans="6:6" x14ac:dyDescent="0.3">
      <c r="F44824" s="193"/>
    </row>
    <row r="44825" spans="6:6" x14ac:dyDescent="0.3">
      <c r="F44825" s="193"/>
    </row>
    <row r="44826" spans="6:6" x14ac:dyDescent="0.3">
      <c r="F44826" s="193"/>
    </row>
    <row r="44827" spans="6:6" x14ac:dyDescent="0.3">
      <c r="F44827" s="193"/>
    </row>
    <row r="44828" spans="6:6" x14ac:dyDescent="0.3">
      <c r="F44828" s="193"/>
    </row>
    <row r="44829" spans="6:6" x14ac:dyDescent="0.3">
      <c r="F44829" s="193"/>
    </row>
    <row r="44830" spans="6:6" x14ac:dyDescent="0.3">
      <c r="F44830" s="193"/>
    </row>
    <row r="44831" spans="6:6" x14ac:dyDescent="0.3">
      <c r="F44831" s="193"/>
    </row>
    <row r="44832" spans="6:6" x14ac:dyDescent="0.3">
      <c r="F44832" s="193"/>
    </row>
    <row r="44833" spans="6:6" x14ac:dyDescent="0.3">
      <c r="F44833" s="193"/>
    </row>
    <row r="44834" spans="6:6" x14ac:dyDescent="0.3">
      <c r="F44834" s="193"/>
    </row>
    <row r="44835" spans="6:6" x14ac:dyDescent="0.3">
      <c r="F44835" s="193"/>
    </row>
    <row r="44836" spans="6:6" x14ac:dyDescent="0.3">
      <c r="F44836" s="193"/>
    </row>
    <row r="44837" spans="6:6" x14ac:dyDescent="0.3">
      <c r="F44837" s="193"/>
    </row>
    <row r="44838" spans="6:6" x14ac:dyDescent="0.3">
      <c r="F44838" s="193"/>
    </row>
    <row r="44839" spans="6:6" x14ac:dyDescent="0.3">
      <c r="F44839" s="193"/>
    </row>
    <row r="44840" spans="6:6" x14ac:dyDescent="0.3">
      <c r="F44840" s="193"/>
    </row>
    <row r="44841" spans="6:6" x14ac:dyDescent="0.3">
      <c r="F44841" s="193"/>
    </row>
    <row r="44842" spans="6:6" x14ac:dyDescent="0.3">
      <c r="F44842" s="193"/>
    </row>
    <row r="44843" spans="6:6" x14ac:dyDescent="0.3">
      <c r="F44843" s="193"/>
    </row>
    <row r="44844" spans="6:6" x14ac:dyDescent="0.3">
      <c r="F44844" s="193"/>
    </row>
    <row r="44845" spans="6:6" x14ac:dyDescent="0.3">
      <c r="F44845" s="193"/>
    </row>
    <row r="44846" spans="6:6" x14ac:dyDescent="0.3">
      <c r="F44846" s="193"/>
    </row>
    <row r="44847" spans="6:6" x14ac:dyDescent="0.3">
      <c r="F44847" s="193"/>
    </row>
    <row r="44848" spans="6:6" x14ac:dyDescent="0.3">
      <c r="F44848" s="193"/>
    </row>
    <row r="44849" spans="6:6" x14ac:dyDescent="0.3">
      <c r="F44849" s="193"/>
    </row>
    <row r="44850" spans="6:6" x14ac:dyDescent="0.3">
      <c r="F44850" s="193"/>
    </row>
    <row r="44851" spans="6:6" x14ac:dyDescent="0.3">
      <c r="F44851" s="193"/>
    </row>
    <row r="44852" spans="6:6" x14ac:dyDescent="0.3">
      <c r="F44852" s="193"/>
    </row>
    <row r="44853" spans="6:6" x14ac:dyDescent="0.3">
      <c r="F44853" s="193"/>
    </row>
    <row r="44854" spans="6:6" x14ac:dyDescent="0.3">
      <c r="F44854" s="193"/>
    </row>
    <row r="44855" spans="6:6" x14ac:dyDescent="0.3">
      <c r="F44855" s="193"/>
    </row>
    <row r="44856" spans="6:6" x14ac:dyDescent="0.3">
      <c r="F44856" s="193"/>
    </row>
    <row r="44857" spans="6:6" x14ac:dyDescent="0.3">
      <c r="F44857" s="193"/>
    </row>
    <row r="44858" spans="6:6" x14ac:dyDescent="0.3">
      <c r="F44858" s="193"/>
    </row>
    <row r="44859" spans="6:6" x14ac:dyDescent="0.3">
      <c r="F44859" s="193"/>
    </row>
    <row r="44860" spans="6:6" x14ac:dyDescent="0.3">
      <c r="F44860" s="193"/>
    </row>
    <row r="44861" spans="6:6" x14ac:dyDescent="0.3">
      <c r="F44861" s="193"/>
    </row>
    <row r="44862" spans="6:6" x14ac:dyDescent="0.3">
      <c r="F44862" s="193"/>
    </row>
    <row r="44863" spans="6:6" x14ac:dyDescent="0.3">
      <c r="F44863" s="193"/>
    </row>
    <row r="44864" spans="6:6" x14ac:dyDescent="0.3">
      <c r="F44864" s="193"/>
    </row>
    <row r="44865" spans="6:6" x14ac:dyDescent="0.3">
      <c r="F44865" s="193"/>
    </row>
    <row r="44866" spans="6:6" x14ac:dyDescent="0.3">
      <c r="F44866" s="193"/>
    </row>
    <row r="44867" spans="6:6" x14ac:dyDescent="0.3">
      <c r="F44867" s="193"/>
    </row>
    <row r="44868" spans="6:6" x14ac:dyDescent="0.3">
      <c r="F44868" s="193"/>
    </row>
    <row r="44869" spans="6:6" x14ac:dyDescent="0.3">
      <c r="F44869" s="193"/>
    </row>
    <row r="44870" spans="6:6" x14ac:dyDescent="0.3">
      <c r="F44870" s="193"/>
    </row>
    <row r="44871" spans="6:6" x14ac:dyDescent="0.3">
      <c r="F44871" s="193"/>
    </row>
    <row r="44872" spans="6:6" x14ac:dyDescent="0.3">
      <c r="F44872" s="193"/>
    </row>
    <row r="44873" spans="6:6" x14ac:dyDescent="0.3">
      <c r="F44873" s="193"/>
    </row>
    <row r="44874" spans="6:6" x14ac:dyDescent="0.3">
      <c r="F44874" s="193"/>
    </row>
    <row r="44875" spans="6:6" x14ac:dyDescent="0.3">
      <c r="F44875" s="193"/>
    </row>
    <row r="44876" spans="6:6" x14ac:dyDescent="0.3">
      <c r="F44876" s="193"/>
    </row>
    <row r="44877" spans="6:6" x14ac:dyDescent="0.3">
      <c r="F44877" s="193"/>
    </row>
    <row r="44878" spans="6:6" x14ac:dyDescent="0.3">
      <c r="F44878" s="193"/>
    </row>
    <row r="44879" spans="6:6" x14ac:dyDescent="0.3">
      <c r="F44879" s="193"/>
    </row>
    <row r="44880" spans="6:6" x14ac:dyDescent="0.3">
      <c r="F44880" s="193"/>
    </row>
    <row r="44881" spans="6:6" x14ac:dyDescent="0.3">
      <c r="F44881" s="193"/>
    </row>
    <row r="44882" spans="6:6" x14ac:dyDescent="0.3">
      <c r="F44882" s="193"/>
    </row>
    <row r="44883" spans="6:6" x14ac:dyDescent="0.3">
      <c r="F44883" s="193"/>
    </row>
    <row r="44884" spans="6:6" x14ac:dyDescent="0.3">
      <c r="F44884" s="193"/>
    </row>
    <row r="44885" spans="6:6" x14ac:dyDescent="0.3">
      <c r="F44885" s="193"/>
    </row>
    <row r="44886" spans="6:6" x14ac:dyDescent="0.3">
      <c r="F44886" s="193"/>
    </row>
    <row r="44887" spans="6:6" x14ac:dyDescent="0.3">
      <c r="F44887" s="193"/>
    </row>
    <row r="44888" spans="6:6" x14ac:dyDescent="0.3">
      <c r="F44888" s="193"/>
    </row>
    <row r="44889" spans="6:6" x14ac:dyDescent="0.3">
      <c r="F44889" s="193"/>
    </row>
    <row r="44890" spans="6:6" x14ac:dyDescent="0.3">
      <c r="F44890" s="193"/>
    </row>
    <row r="44891" spans="6:6" x14ac:dyDescent="0.3">
      <c r="F44891" s="193"/>
    </row>
    <row r="44892" spans="6:6" x14ac:dyDescent="0.3">
      <c r="F44892" s="193"/>
    </row>
    <row r="44893" spans="6:6" x14ac:dyDescent="0.3">
      <c r="F44893" s="193"/>
    </row>
    <row r="44894" spans="6:6" x14ac:dyDescent="0.3">
      <c r="F44894" s="193"/>
    </row>
    <row r="44895" spans="6:6" x14ac:dyDescent="0.3">
      <c r="F44895" s="193"/>
    </row>
    <row r="44896" spans="6:6" x14ac:dyDescent="0.3">
      <c r="F44896" s="193"/>
    </row>
    <row r="44897" spans="6:6" x14ac:dyDescent="0.3">
      <c r="F44897" s="193"/>
    </row>
    <row r="44898" spans="6:6" x14ac:dyDescent="0.3">
      <c r="F44898" s="193"/>
    </row>
    <row r="44899" spans="6:6" x14ac:dyDescent="0.3">
      <c r="F44899" s="193"/>
    </row>
    <row r="44900" spans="6:6" x14ac:dyDescent="0.3">
      <c r="F44900" s="193"/>
    </row>
    <row r="44901" spans="6:6" x14ac:dyDescent="0.3">
      <c r="F44901" s="193"/>
    </row>
    <row r="44902" spans="6:6" x14ac:dyDescent="0.3">
      <c r="F44902" s="193"/>
    </row>
    <row r="44903" spans="6:6" x14ac:dyDescent="0.3">
      <c r="F44903" s="193"/>
    </row>
    <row r="44904" spans="6:6" x14ac:dyDescent="0.3">
      <c r="F44904" s="193"/>
    </row>
    <row r="44905" spans="6:6" x14ac:dyDescent="0.3">
      <c r="F44905" s="193"/>
    </row>
    <row r="44906" spans="6:6" x14ac:dyDescent="0.3">
      <c r="F44906" s="193"/>
    </row>
    <row r="44907" spans="6:6" x14ac:dyDescent="0.3">
      <c r="F44907" s="193"/>
    </row>
    <row r="44908" spans="6:6" x14ac:dyDescent="0.3">
      <c r="F44908" s="193"/>
    </row>
    <row r="44909" spans="6:6" x14ac:dyDescent="0.3">
      <c r="F44909" s="193"/>
    </row>
    <row r="44910" spans="6:6" x14ac:dyDescent="0.3">
      <c r="F44910" s="193"/>
    </row>
    <row r="44911" spans="6:6" x14ac:dyDescent="0.3">
      <c r="F44911" s="193"/>
    </row>
    <row r="44912" spans="6:6" x14ac:dyDescent="0.3">
      <c r="F44912" s="193"/>
    </row>
    <row r="44913" spans="6:6" x14ac:dyDescent="0.3">
      <c r="F44913" s="193"/>
    </row>
    <row r="44914" spans="6:6" x14ac:dyDescent="0.3">
      <c r="F44914" s="193"/>
    </row>
    <row r="44915" spans="6:6" x14ac:dyDescent="0.3">
      <c r="F44915" s="193"/>
    </row>
    <row r="44916" spans="6:6" x14ac:dyDescent="0.3">
      <c r="F44916" s="193"/>
    </row>
    <row r="44917" spans="6:6" x14ac:dyDescent="0.3">
      <c r="F44917" s="193"/>
    </row>
    <row r="44918" spans="6:6" x14ac:dyDescent="0.3">
      <c r="F44918" s="193"/>
    </row>
    <row r="44919" spans="6:6" x14ac:dyDescent="0.3">
      <c r="F44919" s="193"/>
    </row>
    <row r="44920" spans="6:6" x14ac:dyDescent="0.3">
      <c r="F44920" s="193"/>
    </row>
    <row r="44921" spans="6:6" x14ac:dyDescent="0.3">
      <c r="F44921" s="193"/>
    </row>
    <row r="44922" spans="6:6" x14ac:dyDescent="0.3">
      <c r="F44922" s="193"/>
    </row>
    <row r="44923" spans="6:6" x14ac:dyDescent="0.3">
      <c r="F44923" s="193"/>
    </row>
    <row r="44924" spans="6:6" x14ac:dyDescent="0.3">
      <c r="F44924" s="193"/>
    </row>
    <row r="44925" spans="6:6" x14ac:dyDescent="0.3">
      <c r="F44925" s="193"/>
    </row>
    <row r="44926" spans="6:6" x14ac:dyDescent="0.3">
      <c r="F44926" s="193"/>
    </row>
    <row r="44927" spans="6:6" x14ac:dyDescent="0.3">
      <c r="F44927" s="193"/>
    </row>
    <row r="44928" spans="6:6" x14ac:dyDescent="0.3">
      <c r="F44928" s="193"/>
    </row>
    <row r="44929" spans="6:6" x14ac:dyDescent="0.3">
      <c r="F44929" s="193"/>
    </row>
    <row r="44930" spans="6:6" x14ac:dyDescent="0.3">
      <c r="F44930" s="193"/>
    </row>
    <row r="44931" spans="6:6" x14ac:dyDescent="0.3">
      <c r="F44931" s="193"/>
    </row>
    <row r="44932" spans="6:6" x14ac:dyDescent="0.3">
      <c r="F44932" s="193"/>
    </row>
    <row r="44933" spans="6:6" x14ac:dyDescent="0.3">
      <c r="F44933" s="193"/>
    </row>
    <row r="44934" spans="6:6" x14ac:dyDescent="0.3">
      <c r="F44934" s="193"/>
    </row>
    <row r="44935" spans="6:6" x14ac:dyDescent="0.3">
      <c r="F44935" s="193"/>
    </row>
    <row r="44936" spans="6:6" x14ac:dyDescent="0.3">
      <c r="F44936" s="193"/>
    </row>
    <row r="44937" spans="6:6" x14ac:dyDescent="0.3">
      <c r="F44937" s="193"/>
    </row>
    <row r="44938" spans="6:6" x14ac:dyDescent="0.3">
      <c r="F44938" s="193"/>
    </row>
    <row r="44939" spans="6:6" x14ac:dyDescent="0.3">
      <c r="F44939" s="193"/>
    </row>
    <row r="44940" spans="6:6" x14ac:dyDescent="0.3">
      <c r="F44940" s="193"/>
    </row>
    <row r="44941" spans="6:6" x14ac:dyDescent="0.3">
      <c r="F44941" s="193"/>
    </row>
    <row r="44942" spans="6:6" x14ac:dyDescent="0.3">
      <c r="F44942" s="193"/>
    </row>
    <row r="44943" spans="6:6" x14ac:dyDescent="0.3">
      <c r="F44943" s="193"/>
    </row>
    <row r="44944" spans="6:6" x14ac:dyDescent="0.3">
      <c r="F44944" s="193"/>
    </row>
    <row r="44945" spans="6:6" x14ac:dyDescent="0.3">
      <c r="F44945" s="193"/>
    </row>
    <row r="44946" spans="6:6" x14ac:dyDescent="0.3">
      <c r="F44946" s="193"/>
    </row>
    <row r="44947" spans="6:6" x14ac:dyDescent="0.3">
      <c r="F44947" s="193"/>
    </row>
    <row r="44948" spans="6:6" x14ac:dyDescent="0.3">
      <c r="F44948" s="193"/>
    </row>
    <row r="44949" spans="6:6" x14ac:dyDescent="0.3">
      <c r="F44949" s="193"/>
    </row>
    <row r="44950" spans="6:6" x14ac:dyDescent="0.3">
      <c r="F44950" s="193"/>
    </row>
    <row r="44951" spans="6:6" x14ac:dyDescent="0.3">
      <c r="F44951" s="193"/>
    </row>
    <row r="44952" spans="6:6" x14ac:dyDescent="0.3">
      <c r="F44952" s="193"/>
    </row>
    <row r="44953" spans="6:6" x14ac:dyDescent="0.3">
      <c r="F44953" s="193"/>
    </row>
    <row r="44954" spans="6:6" x14ac:dyDescent="0.3">
      <c r="F44954" s="193"/>
    </row>
    <row r="44955" spans="6:6" x14ac:dyDescent="0.3">
      <c r="F44955" s="193"/>
    </row>
    <row r="44956" spans="6:6" x14ac:dyDescent="0.3">
      <c r="F44956" s="193"/>
    </row>
    <row r="44957" spans="6:6" x14ac:dyDescent="0.3">
      <c r="F44957" s="193"/>
    </row>
    <row r="44958" spans="6:6" x14ac:dyDescent="0.3">
      <c r="F44958" s="193"/>
    </row>
    <row r="44959" spans="6:6" x14ac:dyDescent="0.3">
      <c r="F44959" s="193"/>
    </row>
    <row r="44960" spans="6:6" x14ac:dyDescent="0.3">
      <c r="F44960" s="193"/>
    </row>
    <row r="44961" spans="6:6" x14ac:dyDescent="0.3">
      <c r="F44961" s="193"/>
    </row>
    <row r="44962" spans="6:6" x14ac:dyDescent="0.3">
      <c r="F44962" s="193"/>
    </row>
    <row r="44963" spans="6:6" x14ac:dyDescent="0.3">
      <c r="F44963" s="193"/>
    </row>
    <row r="44964" spans="6:6" x14ac:dyDescent="0.3">
      <c r="F44964" s="193"/>
    </row>
    <row r="44965" spans="6:6" x14ac:dyDescent="0.3">
      <c r="F44965" s="193"/>
    </row>
    <row r="44966" spans="6:6" x14ac:dyDescent="0.3">
      <c r="F44966" s="193"/>
    </row>
    <row r="44967" spans="6:6" x14ac:dyDescent="0.3">
      <c r="F44967" s="193"/>
    </row>
    <row r="44968" spans="6:6" x14ac:dyDescent="0.3">
      <c r="F44968" s="193"/>
    </row>
    <row r="44969" spans="6:6" x14ac:dyDescent="0.3">
      <c r="F44969" s="193"/>
    </row>
    <row r="44970" spans="6:6" x14ac:dyDescent="0.3">
      <c r="F44970" s="193"/>
    </row>
    <row r="44971" spans="6:6" x14ac:dyDescent="0.3">
      <c r="F44971" s="193"/>
    </row>
    <row r="44972" spans="6:6" x14ac:dyDescent="0.3">
      <c r="F44972" s="193"/>
    </row>
    <row r="44973" spans="6:6" x14ac:dyDescent="0.3">
      <c r="F44973" s="193"/>
    </row>
    <row r="44974" spans="6:6" x14ac:dyDescent="0.3">
      <c r="F44974" s="193"/>
    </row>
    <row r="44975" spans="6:6" x14ac:dyDescent="0.3">
      <c r="F44975" s="193"/>
    </row>
    <row r="44976" spans="6:6" x14ac:dyDescent="0.3">
      <c r="F44976" s="193"/>
    </row>
    <row r="44977" spans="6:6" x14ac:dyDescent="0.3">
      <c r="F44977" s="193"/>
    </row>
    <row r="44978" spans="6:6" x14ac:dyDescent="0.3">
      <c r="F44978" s="193"/>
    </row>
    <row r="44979" spans="6:6" x14ac:dyDescent="0.3">
      <c r="F44979" s="193"/>
    </row>
    <row r="44980" spans="6:6" x14ac:dyDescent="0.3">
      <c r="F44980" s="193"/>
    </row>
    <row r="44981" spans="6:6" x14ac:dyDescent="0.3">
      <c r="F44981" s="193"/>
    </row>
    <row r="44982" spans="6:6" x14ac:dyDescent="0.3">
      <c r="F44982" s="193"/>
    </row>
    <row r="44983" spans="6:6" x14ac:dyDescent="0.3">
      <c r="F44983" s="193"/>
    </row>
    <row r="44984" spans="6:6" x14ac:dyDescent="0.3">
      <c r="F44984" s="193"/>
    </row>
    <row r="44985" spans="6:6" x14ac:dyDescent="0.3">
      <c r="F44985" s="193"/>
    </row>
    <row r="44986" spans="6:6" x14ac:dyDescent="0.3">
      <c r="F44986" s="193"/>
    </row>
    <row r="44987" spans="6:6" x14ac:dyDescent="0.3">
      <c r="F44987" s="193"/>
    </row>
    <row r="44988" spans="6:6" x14ac:dyDescent="0.3">
      <c r="F44988" s="193"/>
    </row>
    <row r="44989" spans="6:6" x14ac:dyDescent="0.3">
      <c r="F44989" s="193"/>
    </row>
    <row r="44990" spans="6:6" x14ac:dyDescent="0.3">
      <c r="F44990" s="193"/>
    </row>
    <row r="44991" spans="6:6" x14ac:dyDescent="0.3">
      <c r="F44991" s="193"/>
    </row>
    <row r="44992" spans="6:6" x14ac:dyDescent="0.3">
      <c r="F44992" s="193"/>
    </row>
    <row r="44993" spans="6:6" x14ac:dyDescent="0.3">
      <c r="F44993" s="193"/>
    </row>
    <row r="44994" spans="6:6" x14ac:dyDescent="0.3">
      <c r="F44994" s="193"/>
    </row>
    <row r="44995" spans="6:6" x14ac:dyDescent="0.3">
      <c r="F44995" s="193"/>
    </row>
    <row r="44996" spans="6:6" x14ac:dyDescent="0.3">
      <c r="F44996" s="193"/>
    </row>
    <row r="44997" spans="6:6" x14ac:dyDescent="0.3">
      <c r="F44997" s="193"/>
    </row>
    <row r="44998" spans="6:6" x14ac:dyDescent="0.3">
      <c r="F44998" s="193"/>
    </row>
    <row r="44999" spans="6:6" x14ac:dyDescent="0.3">
      <c r="F44999" s="193"/>
    </row>
    <row r="45000" spans="6:6" x14ac:dyDescent="0.3">
      <c r="F45000" s="193"/>
    </row>
    <row r="45001" spans="6:6" x14ac:dyDescent="0.3">
      <c r="F45001" s="193"/>
    </row>
    <row r="45002" spans="6:6" x14ac:dyDescent="0.3">
      <c r="F45002" s="193"/>
    </row>
    <row r="45003" spans="6:6" x14ac:dyDescent="0.3">
      <c r="F45003" s="193"/>
    </row>
    <row r="45004" spans="6:6" x14ac:dyDescent="0.3">
      <c r="F45004" s="193"/>
    </row>
    <row r="45005" spans="6:6" x14ac:dyDescent="0.3">
      <c r="F45005" s="193"/>
    </row>
    <row r="45006" spans="6:6" x14ac:dyDescent="0.3">
      <c r="F45006" s="193"/>
    </row>
    <row r="45007" spans="6:6" x14ac:dyDescent="0.3">
      <c r="F45007" s="193"/>
    </row>
    <row r="45008" spans="6:6" x14ac:dyDescent="0.3">
      <c r="F45008" s="193"/>
    </row>
    <row r="45009" spans="6:6" x14ac:dyDescent="0.3">
      <c r="F45009" s="193"/>
    </row>
    <row r="45010" spans="6:6" x14ac:dyDescent="0.3">
      <c r="F45010" s="193"/>
    </row>
    <row r="45011" spans="6:6" x14ac:dyDescent="0.3">
      <c r="F45011" s="193"/>
    </row>
    <row r="45012" spans="6:6" x14ac:dyDescent="0.3">
      <c r="F45012" s="193"/>
    </row>
    <row r="45013" spans="6:6" x14ac:dyDescent="0.3">
      <c r="F45013" s="193"/>
    </row>
    <row r="45014" spans="6:6" x14ac:dyDescent="0.3">
      <c r="F45014" s="193"/>
    </row>
    <row r="45015" spans="6:6" x14ac:dyDescent="0.3">
      <c r="F45015" s="193"/>
    </row>
    <row r="45016" spans="6:6" x14ac:dyDescent="0.3">
      <c r="F45016" s="193"/>
    </row>
    <row r="45017" spans="6:6" x14ac:dyDescent="0.3">
      <c r="F45017" s="193"/>
    </row>
    <row r="45018" spans="6:6" x14ac:dyDescent="0.3">
      <c r="F45018" s="193"/>
    </row>
    <row r="45019" spans="6:6" x14ac:dyDescent="0.3">
      <c r="F45019" s="193"/>
    </row>
    <row r="45020" spans="6:6" x14ac:dyDescent="0.3">
      <c r="F45020" s="193"/>
    </row>
    <row r="45021" spans="6:6" x14ac:dyDescent="0.3">
      <c r="F45021" s="193"/>
    </row>
    <row r="45022" spans="6:6" x14ac:dyDescent="0.3">
      <c r="F45022" s="193"/>
    </row>
    <row r="45023" spans="6:6" x14ac:dyDescent="0.3">
      <c r="F45023" s="193"/>
    </row>
    <row r="45024" spans="6:6" x14ac:dyDescent="0.3">
      <c r="F45024" s="193"/>
    </row>
    <row r="45025" spans="6:6" x14ac:dyDescent="0.3">
      <c r="F45025" s="193"/>
    </row>
    <row r="45026" spans="6:6" x14ac:dyDescent="0.3">
      <c r="F45026" s="193"/>
    </row>
    <row r="45027" spans="6:6" x14ac:dyDescent="0.3">
      <c r="F45027" s="193"/>
    </row>
    <row r="45028" spans="6:6" x14ac:dyDescent="0.3">
      <c r="F45028" s="193"/>
    </row>
    <row r="45029" spans="6:6" x14ac:dyDescent="0.3">
      <c r="F45029" s="193"/>
    </row>
    <row r="45030" spans="6:6" x14ac:dyDescent="0.3">
      <c r="F45030" s="193"/>
    </row>
    <row r="45031" spans="6:6" x14ac:dyDescent="0.3">
      <c r="F45031" s="193"/>
    </row>
    <row r="45032" spans="6:6" x14ac:dyDescent="0.3">
      <c r="F45032" s="193"/>
    </row>
    <row r="45033" spans="6:6" x14ac:dyDescent="0.3">
      <c r="F45033" s="193"/>
    </row>
    <row r="45034" spans="6:6" x14ac:dyDescent="0.3">
      <c r="F45034" s="193"/>
    </row>
    <row r="45035" spans="6:6" x14ac:dyDescent="0.3">
      <c r="F45035" s="193"/>
    </row>
    <row r="45036" spans="6:6" x14ac:dyDescent="0.3">
      <c r="F45036" s="193"/>
    </row>
    <row r="45037" spans="6:6" x14ac:dyDescent="0.3">
      <c r="F45037" s="193"/>
    </row>
    <row r="45038" spans="6:6" x14ac:dyDescent="0.3">
      <c r="F45038" s="193"/>
    </row>
    <row r="45039" spans="6:6" x14ac:dyDescent="0.3">
      <c r="F45039" s="193"/>
    </row>
    <row r="45040" spans="6:6" x14ac:dyDescent="0.3">
      <c r="F45040" s="193"/>
    </row>
    <row r="45041" spans="6:6" x14ac:dyDescent="0.3">
      <c r="F45041" s="193"/>
    </row>
    <row r="45042" spans="6:6" x14ac:dyDescent="0.3">
      <c r="F45042" s="193"/>
    </row>
    <row r="45043" spans="6:6" x14ac:dyDescent="0.3">
      <c r="F45043" s="193"/>
    </row>
    <row r="45044" spans="6:6" x14ac:dyDescent="0.3">
      <c r="F45044" s="193"/>
    </row>
    <row r="45045" spans="6:6" x14ac:dyDescent="0.3">
      <c r="F45045" s="193"/>
    </row>
    <row r="45046" spans="6:6" x14ac:dyDescent="0.3">
      <c r="F45046" s="193"/>
    </row>
    <row r="45047" spans="6:6" x14ac:dyDescent="0.3">
      <c r="F45047" s="193"/>
    </row>
    <row r="45048" spans="6:6" x14ac:dyDescent="0.3">
      <c r="F45048" s="193"/>
    </row>
    <row r="45049" spans="6:6" x14ac:dyDescent="0.3">
      <c r="F45049" s="193"/>
    </row>
    <row r="45050" spans="6:6" x14ac:dyDescent="0.3">
      <c r="F45050" s="193"/>
    </row>
    <row r="45051" spans="6:6" x14ac:dyDescent="0.3">
      <c r="F45051" s="193"/>
    </row>
    <row r="45052" spans="6:6" x14ac:dyDescent="0.3">
      <c r="F45052" s="193"/>
    </row>
    <row r="45053" spans="6:6" x14ac:dyDescent="0.3">
      <c r="F45053" s="193"/>
    </row>
    <row r="45054" spans="6:6" x14ac:dyDescent="0.3">
      <c r="F45054" s="193"/>
    </row>
    <row r="45055" spans="6:6" x14ac:dyDescent="0.3">
      <c r="F45055" s="193"/>
    </row>
    <row r="45056" spans="6:6" x14ac:dyDescent="0.3">
      <c r="F45056" s="193"/>
    </row>
    <row r="45057" spans="6:6" x14ac:dyDescent="0.3">
      <c r="F45057" s="193"/>
    </row>
    <row r="45058" spans="6:6" x14ac:dyDescent="0.3">
      <c r="F45058" s="193"/>
    </row>
    <row r="45059" spans="6:6" x14ac:dyDescent="0.3">
      <c r="F45059" s="193"/>
    </row>
    <row r="45060" spans="6:6" x14ac:dyDescent="0.3">
      <c r="F45060" s="193"/>
    </row>
    <row r="45061" spans="6:6" x14ac:dyDescent="0.3">
      <c r="F45061" s="193"/>
    </row>
    <row r="45062" spans="6:6" x14ac:dyDescent="0.3">
      <c r="F45062" s="193"/>
    </row>
    <row r="45063" spans="6:6" x14ac:dyDescent="0.3">
      <c r="F45063" s="193"/>
    </row>
    <row r="45064" spans="6:6" x14ac:dyDescent="0.3">
      <c r="F45064" s="193"/>
    </row>
    <row r="45065" spans="6:6" x14ac:dyDescent="0.3">
      <c r="F45065" s="193"/>
    </row>
    <row r="45066" spans="6:6" x14ac:dyDescent="0.3">
      <c r="F45066" s="193"/>
    </row>
    <row r="45067" spans="6:6" x14ac:dyDescent="0.3">
      <c r="F45067" s="193"/>
    </row>
    <row r="45068" spans="6:6" x14ac:dyDescent="0.3">
      <c r="F45068" s="193"/>
    </row>
    <row r="45069" spans="6:6" x14ac:dyDescent="0.3">
      <c r="F45069" s="193"/>
    </row>
    <row r="45070" spans="6:6" x14ac:dyDescent="0.3">
      <c r="F45070" s="193"/>
    </row>
    <row r="45071" spans="6:6" x14ac:dyDescent="0.3">
      <c r="F45071" s="193"/>
    </row>
    <row r="45072" spans="6:6" x14ac:dyDescent="0.3">
      <c r="F45072" s="193"/>
    </row>
    <row r="45073" spans="6:6" x14ac:dyDescent="0.3">
      <c r="F45073" s="193"/>
    </row>
    <row r="45074" spans="6:6" x14ac:dyDescent="0.3">
      <c r="F45074" s="193"/>
    </row>
    <row r="45075" spans="6:6" x14ac:dyDescent="0.3">
      <c r="F45075" s="193"/>
    </row>
    <row r="45076" spans="6:6" x14ac:dyDescent="0.3">
      <c r="F45076" s="193"/>
    </row>
    <row r="45077" spans="6:6" x14ac:dyDescent="0.3">
      <c r="F45077" s="193"/>
    </row>
    <row r="45078" spans="6:6" x14ac:dyDescent="0.3">
      <c r="F45078" s="193"/>
    </row>
    <row r="45079" spans="6:6" x14ac:dyDescent="0.3">
      <c r="F45079" s="193"/>
    </row>
    <row r="45080" spans="6:6" x14ac:dyDescent="0.3">
      <c r="F45080" s="193"/>
    </row>
    <row r="45081" spans="6:6" x14ac:dyDescent="0.3">
      <c r="F45081" s="193"/>
    </row>
    <row r="45082" spans="6:6" x14ac:dyDescent="0.3">
      <c r="F45082" s="193"/>
    </row>
    <row r="45083" spans="6:6" x14ac:dyDescent="0.3">
      <c r="F45083" s="193"/>
    </row>
    <row r="45084" spans="6:6" x14ac:dyDescent="0.3">
      <c r="F45084" s="193"/>
    </row>
    <row r="45085" spans="6:6" x14ac:dyDescent="0.3">
      <c r="F45085" s="193"/>
    </row>
    <row r="45086" spans="6:6" x14ac:dyDescent="0.3">
      <c r="F45086" s="193"/>
    </row>
    <row r="45087" spans="6:6" x14ac:dyDescent="0.3">
      <c r="F45087" s="193"/>
    </row>
    <row r="45088" spans="6:6" x14ac:dyDescent="0.3">
      <c r="F45088" s="193"/>
    </row>
    <row r="45089" spans="6:6" x14ac:dyDescent="0.3">
      <c r="F45089" s="193"/>
    </row>
    <row r="45090" spans="6:6" x14ac:dyDescent="0.3">
      <c r="F45090" s="193"/>
    </row>
    <row r="45091" spans="6:6" x14ac:dyDescent="0.3">
      <c r="F45091" s="193"/>
    </row>
    <row r="45092" spans="6:6" x14ac:dyDescent="0.3">
      <c r="F45092" s="193"/>
    </row>
    <row r="45093" spans="6:6" x14ac:dyDescent="0.3">
      <c r="F45093" s="193"/>
    </row>
    <row r="45094" spans="6:6" x14ac:dyDescent="0.3">
      <c r="F45094" s="193"/>
    </row>
    <row r="45095" spans="6:6" x14ac:dyDescent="0.3">
      <c r="F45095" s="193"/>
    </row>
    <row r="45096" spans="6:6" x14ac:dyDescent="0.3">
      <c r="F45096" s="193"/>
    </row>
    <row r="45097" spans="6:6" x14ac:dyDescent="0.3">
      <c r="F45097" s="193"/>
    </row>
    <row r="45098" spans="6:6" x14ac:dyDescent="0.3">
      <c r="F45098" s="193"/>
    </row>
    <row r="45099" spans="6:6" x14ac:dyDescent="0.3">
      <c r="F45099" s="193"/>
    </row>
    <row r="45100" spans="6:6" x14ac:dyDescent="0.3">
      <c r="F45100" s="193"/>
    </row>
    <row r="45101" spans="6:6" x14ac:dyDescent="0.3">
      <c r="F45101" s="193"/>
    </row>
    <row r="45102" spans="6:6" x14ac:dyDescent="0.3">
      <c r="F45102" s="193"/>
    </row>
    <row r="45103" spans="6:6" x14ac:dyDescent="0.3">
      <c r="F45103" s="193"/>
    </row>
    <row r="45104" spans="6:6" x14ac:dyDescent="0.3">
      <c r="F45104" s="193"/>
    </row>
    <row r="45105" spans="6:6" x14ac:dyDescent="0.3">
      <c r="F45105" s="193"/>
    </row>
    <row r="45106" spans="6:6" x14ac:dyDescent="0.3">
      <c r="F45106" s="193"/>
    </row>
    <row r="45107" spans="6:6" x14ac:dyDescent="0.3">
      <c r="F45107" s="193"/>
    </row>
    <row r="45108" spans="6:6" x14ac:dyDescent="0.3">
      <c r="F45108" s="193"/>
    </row>
    <row r="45109" spans="6:6" x14ac:dyDescent="0.3">
      <c r="F45109" s="193"/>
    </row>
    <row r="45110" spans="6:6" x14ac:dyDescent="0.3">
      <c r="F45110" s="193"/>
    </row>
    <row r="45111" spans="6:6" x14ac:dyDescent="0.3">
      <c r="F45111" s="193"/>
    </row>
    <row r="45112" spans="6:6" x14ac:dyDescent="0.3">
      <c r="F45112" s="193"/>
    </row>
    <row r="45113" spans="6:6" x14ac:dyDescent="0.3">
      <c r="F45113" s="193"/>
    </row>
    <row r="45114" spans="6:6" x14ac:dyDescent="0.3">
      <c r="F45114" s="193"/>
    </row>
    <row r="45115" spans="6:6" x14ac:dyDescent="0.3">
      <c r="F45115" s="193"/>
    </row>
    <row r="45116" spans="6:6" x14ac:dyDescent="0.3">
      <c r="F45116" s="193"/>
    </row>
    <row r="45117" spans="6:6" x14ac:dyDescent="0.3">
      <c r="F45117" s="193"/>
    </row>
    <row r="45118" spans="6:6" x14ac:dyDescent="0.3">
      <c r="F45118" s="193"/>
    </row>
    <row r="45119" spans="6:6" x14ac:dyDescent="0.3">
      <c r="F45119" s="193"/>
    </row>
    <row r="45120" spans="6:6" x14ac:dyDescent="0.3">
      <c r="F45120" s="193"/>
    </row>
    <row r="45121" spans="6:6" x14ac:dyDescent="0.3">
      <c r="F45121" s="193"/>
    </row>
    <row r="45122" spans="6:6" x14ac:dyDescent="0.3">
      <c r="F45122" s="193"/>
    </row>
    <row r="45123" spans="6:6" x14ac:dyDescent="0.3">
      <c r="F45123" s="193"/>
    </row>
    <row r="45124" spans="6:6" x14ac:dyDescent="0.3">
      <c r="F45124" s="193"/>
    </row>
    <row r="45125" spans="6:6" x14ac:dyDescent="0.3">
      <c r="F45125" s="193"/>
    </row>
    <row r="45126" spans="6:6" x14ac:dyDescent="0.3">
      <c r="F45126" s="193"/>
    </row>
    <row r="45127" spans="6:6" x14ac:dyDescent="0.3">
      <c r="F45127" s="193"/>
    </row>
    <row r="45128" spans="6:6" x14ac:dyDescent="0.3">
      <c r="F45128" s="193"/>
    </row>
    <row r="45129" spans="6:6" x14ac:dyDescent="0.3">
      <c r="F45129" s="193"/>
    </row>
    <row r="45130" spans="6:6" x14ac:dyDescent="0.3">
      <c r="F45130" s="193"/>
    </row>
    <row r="45131" spans="6:6" x14ac:dyDescent="0.3">
      <c r="F45131" s="193"/>
    </row>
    <row r="45132" spans="6:6" x14ac:dyDescent="0.3">
      <c r="F45132" s="193"/>
    </row>
    <row r="45133" spans="6:6" x14ac:dyDescent="0.3">
      <c r="F45133" s="193"/>
    </row>
    <row r="45134" spans="6:6" x14ac:dyDescent="0.3">
      <c r="F45134" s="193"/>
    </row>
    <row r="45135" spans="6:6" x14ac:dyDescent="0.3">
      <c r="F45135" s="193"/>
    </row>
    <row r="45136" spans="6:6" x14ac:dyDescent="0.3">
      <c r="F45136" s="193"/>
    </row>
    <row r="45137" spans="6:6" x14ac:dyDescent="0.3">
      <c r="F45137" s="193"/>
    </row>
    <row r="45138" spans="6:6" x14ac:dyDescent="0.3">
      <c r="F45138" s="193"/>
    </row>
    <row r="45139" spans="6:6" x14ac:dyDescent="0.3">
      <c r="F45139" s="193"/>
    </row>
    <row r="45140" spans="6:6" x14ac:dyDescent="0.3">
      <c r="F45140" s="193"/>
    </row>
    <row r="45141" spans="6:6" x14ac:dyDescent="0.3">
      <c r="F45141" s="193"/>
    </row>
    <row r="45142" spans="6:6" x14ac:dyDescent="0.3">
      <c r="F45142" s="193"/>
    </row>
    <row r="45143" spans="6:6" x14ac:dyDescent="0.3">
      <c r="F45143" s="193"/>
    </row>
    <row r="45144" spans="6:6" x14ac:dyDescent="0.3">
      <c r="F45144" s="193"/>
    </row>
    <row r="45145" spans="6:6" x14ac:dyDescent="0.3">
      <c r="F45145" s="193"/>
    </row>
    <row r="45146" spans="6:6" x14ac:dyDescent="0.3">
      <c r="F45146" s="193"/>
    </row>
    <row r="45147" spans="6:6" x14ac:dyDescent="0.3">
      <c r="F45147" s="193"/>
    </row>
    <row r="45148" spans="6:6" x14ac:dyDescent="0.3">
      <c r="F45148" s="193"/>
    </row>
    <row r="45149" spans="6:6" x14ac:dyDescent="0.3">
      <c r="F45149" s="193"/>
    </row>
    <row r="45150" spans="6:6" x14ac:dyDescent="0.3">
      <c r="F45150" s="193"/>
    </row>
    <row r="45151" spans="6:6" x14ac:dyDescent="0.3">
      <c r="F45151" s="193"/>
    </row>
    <row r="45152" spans="6:6" x14ac:dyDescent="0.3">
      <c r="F45152" s="193"/>
    </row>
    <row r="45153" spans="6:6" x14ac:dyDescent="0.3">
      <c r="F45153" s="193"/>
    </row>
    <row r="45154" spans="6:6" x14ac:dyDescent="0.3">
      <c r="F45154" s="193"/>
    </row>
    <row r="45155" spans="6:6" x14ac:dyDescent="0.3">
      <c r="F45155" s="193"/>
    </row>
    <row r="45156" spans="6:6" x14ac:dyDescent="0.3">
      <c r="F45156" s="193"/>
    </row>
    <row r="45157" spans="6:6" x14ac:dyDescent="0.3">
      <c r="F45157" s="193"/>
    </row>
    <row r="45158" spans="6:6" x14ac:dyDescent="0.3">
      <c r="F45158" s="193"/>
    </row>
    <row r="45159" spans="6:6" x14ac:dyDescent="0.3">
      <c r="F45159" s="193"/>
    </row>
    <row r="45160" spans="6:6" x14ac:dyDescent="0.3">
      <c r="F45160" s="193"/>
    </row>
    <row r="45161" spans="6:6" x14ac:dyDescent="0.3">
      <c r="F45161" s="193"/>
    </row>
    <row r="45162" spans="6:6" x14ac:dyDescent="0.3">
      <c r="F45162" s="193"/>
    </row>
    <row r="45163" spans="6:6" x14ac:dyDescent="0.3">
      <c r="F45163" s="193"/>
    </row>
    <row r="45164" spans="6:6" x14ac:dyDescent="0.3">
      <c r="F45164" s="193"/>
    </row>
    <row r="45165" spans="6:6" x14ac:dyDescent="0.3">
      <c r="F45165" s="193"/>
    </row>
    <row r="45166" spans="6:6" x14ac:dyDescent="0.3">
      <c r="F45166" s="193"/>
    </row>
    <row r="45167" spans="6:6" x14ac:dyDescent="0.3">
      <c r="F45167" s="193"/>
    </row>
    <row r="45168" spans="6:6" x14ac:dyDescent="0.3">
      <c r="F45168" s="193"/>
    </row>
    <row r="45169" spans="6:6" x14ac:dyDescent="0.3">
      <c r="F45169" s="193"/>
    </row>
    <row r="45170" spans="6:6" x14ac:dyDescent="0.3">
      <c r="F45170" s="193"/>
    </row>
    <row r="45171" spans="6:6" x14ac:dyDescent="0.3">
      <c r="F45171" s="193"/>
    </row>
    <row r="45172" spans="6:6" x14ac:dyDescent="0.3">
      <c r="F45172" s="193"/>
    </row>
    <row r="45173" spans="6:6" x14ac:dyDescent="0.3">
      <c r="F45173" s="193"/>
    </row>
    <row r="45174" spans="6:6" x14ac:dyDescent="0.3">
      <c r="F45174" s="193"/>
    </row>
    <row r="45175" spans="6:6" x14ac:dyDescent="0.3">
      <c r="F45175" s="193"/>
    </row>
    <row r="45176" spans="6:6" x14ac:dyDescent="0.3">
      <c r="F45176" s="193"/>
    </row>
    <row r="45177" spans="6:6" x14ac:dyDescent="0.3">
      <c r="F45177" s="193"/>
    </row>
    <row r="45178" spans="6:6" x14ac:dyDescent="0.3">
      <c r="F45178" s="193"/>
    </row>
    <row r="45179" spans="6:6" x14ac:dyDescent="0.3">
      <c r="F45179" s="193"/>
    </row>
    <row r="45180" spans="6:6" x14ac:dyDescent="0.3">
      <c r="F45180" s="193"/>
    </row>
    <row r="45181" spans="6:6" x14ac:dyDescent="0.3">
      <c r="F45181" s="193"/>
    </row>
    <row r="45182" spans="6:6" x14ac:dyDescent="0.3">
      <c r="F45182" s="193"/>
    </row>
    <row r="45183" spans="6:6" x14ac:dyDescent="0.3">
      <c r="F45183" s="193"/>
    </row>
    <row r="45184" spans="6:6" x14ac:dyDescent="0.3">
      <c r="F45184" s="193"/>
    </row>
    <row r="45185" spans="6:6" x14ac:dyDescent="0.3">
      <c r="F45185" s="193"/>
    </row>
    <row r="45186" spans="6:6" x14ac:dyDescent="0.3">
      <c r="F45186" s="193"/>
    </row>
    <row r="45187" spans="6:6" x14ac:dyDescent="0.3">
      <c r="F45187" s="193"/>
    </row>
    <row r="45188" spans="6:6" x14ac:dyDescent="0.3">
      <c r="F45188" s="193"/>
    </row>
    <row r="45189" spans="6:6" x14ac:dyDescent="0.3">
      <c r="F45189" s="193"/>
    </row>
    <row r="45190" spans="6:6" x14ac:dyDescent="0.3">
      <c r="F45190" s="193"/>
    </row>
    <row r="45191" spans="6:6" x14ac:dyDescent="0.3">
      <c r="F45191" s="193"/>
    </row>
    <row r="45192" spans="6:6" x14ac:dyDescent="0.3">
      <c r="F45192" s="193"/>
    </row>
    <row r="45193" spans="6:6" x14ac:dyDescent="0.3">
      <c r="F45193" s="193"/>
    </row>
    <row r="45194" spans="6:6" x14ac:dyDescent="0.3">
      <c r="F45194" s="193"/>
    </row>
    <row r="45195" spans="6:6" x14ac:dyDescent="0.3">
      <c r="F45195" s="193"/>
    </row>
    <row r="45196" spans="6:6" x14ac:dyDescent="0.3">
      <c r="F45196" s="193"/>
    </row>
    <row r="45197" spans="6:6" x14ac:dyDescent="0.3">
      <c r="F45197" s="193"/>
    </row>
    <row r="45198" spans="6:6" x14ac:dyDescent="0.3">
      <c r="F45198" s="193"/>
    </row>
    <row r="45199" spans="6:6" x14ac:dyDescent="0.3">
      <c r="F45199" s="193"/>
    </row>
    <row r="45200" spans="6:6" x14ac:dyDescent="0.3">
      <c r="F45200" s="193"/>
    </row>
    <row r="45201" spans="6:6" x14ac:dyDescent="0.3">
      <c r="F45201" s="193"/>
    </row>
    <row r="45202" spans="6:6" x14ac:dyDescent="0.3">
      <c r="F45202" s="193"/>
    </row>
    <row r="45203" spans="6:6" x14ac:dyDescent="0.3">
      <c r="F45203" s="193"/>
    </row>
    <row r="45204" spans="6:6" x14ac:dyDescent="0.3">
      <c r="F45204" s="193"/>
    </row>
    <row r="45205" spans="6:6" x14ac:dyDescent="0.3">
      <c r="F45205" s="193"/>
    </row>
    <row r="45206" spans="6:6" x14ac:dyDescent="0.3">
      <c r="F45206" s="193"/>
    </row>
    <row r="45207" spans="6:6" x14ac:dyDescent="0.3">
      <c r="F45207" s="193"/>
    </row>
    <row r="45208" spans="6:6" x14ac:dyDescent="0.3">
      <c r="F45208" s="193"/>
    </row>
    <row r="45209" spans="6:6" x14ac:dyDescent="0.3">
      <c r="F45209" s="193"/>
    </row>
    <row r="45210" spans="6:6" x14ac:dyDescent="0.3">
      <c r="F45210" s="193"/>
    </row>
    <row r="45211" spans="6:6" x14ac:dyDescent="0.3">
      <c r="F45211" s="193"/>
    </row>
    <row r="45212" spans="6:6" x14ac:dyDescent="0.3">
      <c r="F45212" s="193"/>
    </row>
    <row r="45213" spans="6:6" x14ac:dyDescent="0.3">
      <c r="F45213" s="193"/>
    </row>
    <row r="45214" spans="6:6" x14ac:dyDescent="0.3">
      <c r="F45214" s="193"/>
    </row>
    <row r="45215" spans="6:6" x14ac:dyDescent="0.3">
      <c r="F45215" s="193"/>
    </row>
    <row r="45216" spans="6:6" x14ac:dyDescent="0.3">
      <c r="F45216" s="193"/>
    </row>
    <row r="45217" spans="6:6" x14ac:dyDescent="0.3">
      <c r="F45217" s="193"/>
    </row>
    <row r="45218" spans="6:6" x14ac:dyDescent="0.3">
      <c r="F45218" s="193"/>
    </row>
    <row r="45219" spans="6:6" x14ac:dyDescent="0.3">
      <c r="F45219" s="193"/>
    </row>
    <row r="45220" spans="6:6" x14ac:dyDescent="0.3">
      <c r="F45220" s="193"/>
    </row>
    <row r="45221" spans="6:6" x14ac:dyDescent="0.3">
      <c r="F45221" s="193"/>
    </row>
    <row r="45222" spans="6:6" x14ac:dyDescent="0.3">
      <c r="F45222" s="193"/>
    </row>
    <row r="45223" spans="6:6" x14ac:dyDescent="0.3">
      <c r="F45223" s="193"/>
    </row>
    <row r="45224" spans="6:6" x14ac:dyDescent="0.3">
      <c r="F45224" s="193"/>
    </row>
    <row r="45225" spans="6:6" x14ac:dyDescent="0.3">
      <c r="F45225" s="193"/>
    </row>
    <row r="45226" spans="6:6" x14ac:dyDescent="0.3">
      <c r="F45226" s="193"/>
    </row>
    <row r="45227" spans="6:6" x14ac:dyDescent="0.3">
      <c r="F45227" s="193"/>
    </row>
    <row r="45228" spans="6:6" x14ac:dyDescent="0.3">
      <c r="F45228" s="193"/>
    </row>
    <row r="45229" spans="6:6" x14ac:dyDescent="0.3">
      <c r="F45229" s="193"/>
    </row>
    <row r="45230" spans="6:6" x14ac:dyDescent="0.3">
      <c r="F45230" s="193"/>
    </row>
    <row r="45231" spans="6:6" x14ac:dyDescent="0.3">
      <c r="F45231" s="193"/>
    </row>
    <row r="45232" spans="6:6" x14ac:dyDescent="0.3">
      <c r="F45232" s="193"/>
    </row>
    <row r="45233" spans="6:6" x14ac:dyDescent="0.3">
      <c r="F45233" s="193"/>
    </row>
    <row r="45234" spans="6:6" x14ac:dyDescent="0.3">
      <c r="F45234" s="193"/>
    </row>
    <row r="45235" spans="6:6" x14ac:dyDescent="0.3">
      <c r="F45235" s="193"/>
    </row>
    <row r="45236" spans="6:6" x14ac:dyDescent="0.3">
      <c r="F45236" s="193"/>
    </row>
    <row r="45237" spans="6:6" x14ac:dyDescent="0.3">
      <c r="F45237" s="193"/>
    </row>
    <row r="45238" spans="6:6" x14ac:dyDescent="0.3">
      <c r="F45238" s="193"/>
    </row>
    <row r="45239" spans="6:6" x14ac:dyDescent="0.3">
      <c r="F45239" s="193"/>
    </row>
    <row r="45240" spans="6:6" x14ac:dyDescent="0.3">
      <c r="F45240" s="193"/>
    </row>
    <row r="45241" spans="6:6" x14ac:dyDescent="0.3">
      <c r="F45241" s="193"/>
    </row>
    <row r="45242" spans="6:6" x14ac:dyDescent="0.3">
      <c r="F45242" s="193"/>
    </row>
    <row r="45243" spans="6:6" x14ac:dyDescent="0.3">
      <c r="F45243" s="193"/>
    </row>
    <row r="45244" spans="6:6" x14ac:dyDescent="0.3">
      <c r="F45244" s="193"/>
    </row>
    <row r="45245" spans="6:6" x14ac:dyDescent="0.3">
      <c r="F45245" s="193"/>
    </row>
    <row r="45246" spans="6:6" x14ac:dyDescent="0.3">
      <c r="F45246" s="193"/>
    </row>
    <row r="45247" spans="6:6" x14ac:dyDescent="0.3">
      <c r="F45247" s="193"/>
    </row>
    <row r="45248" spans="6:6" x14ac:dyDescent="0.3">
      <c r="F45248" s="193"/>
    </row>
    <row r="45249" spans="6:6" x14ac:dyDescent="0.3">
      <c r="F45249" s="193"/>
    </row>
    <row r="45250" spans="6:6" x14ac:dyDescent="0.3">
      <c r="F45250" s="193"/>
    </row>
    <row r="45251" spans="6:6" x14ac:dyDescent="0.3">
      <c r="F45251" s="193"/>
    </row>
    <row r="45252" spans="6:6" x14ac:dyDescent="0.3">
      <c r="F45252" s="193"/>
    </row>
    <row r="45253" spans="6:6" x14ac:dyDescent="0.3">
      <c r="F45253" s="193"/>
    </row>
    <row r="45254" spans="6:6" x14ac:dyDescent="0.3">
      <c r="F45254" s="193"/>
    </row>
    <row r="45255" spans="6:6" x14ac:dyDescent="0.3">
      <c r="F45255" s="193"/>
    </row>
    <row r="45256" spans="6:6" x14ac:dyDescent="0.3">
      <c r="F45256" s="193"/>
    </row>
    <row r="45257" spans="6:6" x14ac:dyDescent="0.3">
      <c r="F45257" s="193"/>
    </row>
    <row r="45258" spans="6:6" x14ac:dyDescent="0.3">
      <c r="F45258" s="193"/>
    </row>
    <row r="45259" spans="6:6" x14ac:dyDescent="0.3">
      <c r="F45259" s="193"/>
    </row>
    <row r="45260" spans="6:6" x14ac:dyDescent="0.3">
      <c r="F45260" s="193"/>
    </row>
    <row r="45261" spans="6:6" x14ac:dyDescent="0.3">
      <c r="F45261" s="193"/>
    </row>
    <row r="45262" spans="6:6" x14ac:dyDescent="0.3">
      <c r="F45262" s="193"/>
    </row>
    <row r="45263" spans="6:6" x14ac:dyDescent="0.3">
      <c r="F45263" s="193"/>
    </row>
    <row r="45264" spans="6:6" x14ac:dyDescent="0.3">
      <c r="F45264" s="193"/>
    </row>
    <row r="45265" spans="6:6" x14ac:dyDescent="0.3">
      <c r="F45265" s="193"/>
    </row>
    <row r="45266" spans="6:6" x14ac:dyDescent="0.3">
      <c r="F45266" s="193"/>
    </row>
    <row r="45267" spans="6:6" x14ac:dyDescent="0.3">
      <c r="F45267" s="193"/>
    </row>
    <row r="45268" spans="6:6" x14ac:dyDescent="0.3">
      <c r="F45268" s="193"/>
    </row>
    <row r="45269" spans="6:6" x14ac:dyDescent="0.3">
      <c r="F45269" s="193"/>
    </row>
    <row r="45270" spans="6:6" x14ac:dyDescent="0.3">
      <c r="F45270" s="193"/>
    </row>
    <row r="45271" spans="6:6" x14ac:dyDescent="0.3">
      <c r="F45271" s="193"/>
    </row>
    <row r="45272" spans="6:6" x14ac:dyDescent="0.3">
      <c r="F45272" s="193"/>
    </row>
    <row r="45273" spans="6:6" x14ac:dyDescent="0.3">
      <c r="F45273" s="193"/>
    </row>
    <row r="45274" spans="6:6" x14ac:dyDescent="0.3">
      <c r="F45274" s="193"/>
    </row>
    <row r="45275" spans="6:6" x14ac:dyDescent="0.3">
      <c r="F45275" s="193"/>
    </row>
    <row r="45276" spans="6:6" x14ac:dyDescent="0.3">
      <c r="F45276" s="193"/>
    </row>
    <row r="45277" spans="6:6" x14ac:dyDescent="0.3">
      <c r="F45277" s="193"/>
    </row>
    <row r="45278" spans="6:6" x14ac:dyDescent="0.3">
      <c r="F45278" s="193"/>
    </row>
    <row r="45279" spans="6:6" x14ac:dyDescent="0.3">
      <c r="F45279" s="193"/>
    </row>
    <row r="45280" spans="6:6" x14ac:dyDescent="0.3">
      <c r="F45280" s="193"/>
    </row>
    <row r="45281" spans="6:6" x14ac:dyDescent="0.3">
      <c r="F45281" s="193"/>
    </row>
    <row r="45282" spans="6:6" x14ac:dyDescent="0.3">
      <c r="F45282" s="193"/>
    </row>
    <row r="45283" spans="6:6" x14ac:dyDescent="0.3">
      <c r="F45283" s="193"/>
    </row>
    <row r="45284" spans="6:6" x14ac:dyDescent="0.3">
      <c r="F45284" s="193"/>
    </row>
    <row r="45285" spans="6:6" x14ac:dyDescent="0.3">
      <c r="F45285" s="193"/>
    </row>
    <row r="45286" spans="6:6" x14ac:dyDescent="0.3">
      <c r="F45286" s="193"/>
    </row>
    <row r="45287" spans="6:6" x14ac:dyDescent="0.3">
      <c r="F45287" s="193"/>
    </row>
    <row r="45288" spans="6:6" x14ac:dyDescent="0.3">
      <c r="F45288" s="193"/>
    </row>
    <row r="45289" spans="6:6" x14ac:dyDescent="0.3">
      <c r="F45289" s="193"/>
    </row>
    <row r="45290" spans="6:6" x14ac:dyDescent="0.3">
      <c r="F45290" s="193"/>
    </row>
    <row r="45291" spans="6:6" x14ac:dyDescent="0.3">
      <c r="F45291" s="193"/>
    </row>
    <row r="45292" spans="6:6" x14ac:dyDescent="0.3">
      <c r="F45292" s="193"/>
    </row>
    <row r="45293" spans="6:6" x14ac:dyDescent="0.3">
      <c r="F45293" s="193"/>
    </row>
    <row r="45294" spans="6:6" x14ac:dyDescent="0.3">
      <c r="F45294" s="193"/>
    </row>
    <row r="45295" spans="6:6" x14ac:dyDescent="0.3">
      <c r="F45295" s="193"/>
    </row>
    <row r="45296" spans="6:6" x14ac:dyDescent="0.3">
      <c r="F45296" s="193"/>
    </row>
    <row r="45297" spans="6:6" x14ac:dyDescent="0.3">
      <c r="F45297" s="193"/>
    </row>
    <row r="45298" spans="6:6" x14ac:dyDescent="0.3">
      <c r="F45298" s="193"/>
    </row>
    <row r="45299" spans="6:6" x14ac:dyDescent="0.3">
      <c r="F45299" s="193"/>
    </row>
    <row r="45300" spans="6:6" x14ac:dyDescent="0.3">
      <c r="F45300" s="193"/>
    </row>
    <row r="45301" spans="6:6" x14ac:dyDescent="0.3">
      <c r="F45301" s="193"/>
    </row>
    <row r="45302" spans="6:6" x14ac:dyDescent="0.3">
      <c r="F45302" s="193"/>
    </row>
    <row r="45303" spans="6:6" x14ac:dyDescent="0.3">
      <c r="F45303" s="193"/>
    </row>
    <row r="45304" spans="6:6" x14ac:dyDescent="0.3">
      <c r="F45304" s="193"/>
    </row>
    <row r="45305" spans="6:6" x14ac:dyDescent="0.3">
      <c r="F45305" s="193"/>
    </row>
    <row r="45306" spans="6:6" x14ac:dyDescent="0.3">
      <c r="F45306" s="193"/>
    </row>
    <row r="45307" spans="6:6" x14ac:dyDescent="0.3">
      <c r="F45307" s="193"/>
    </row>
    <row r="45308" spans="6:6" x14ac:dyDescent="0.3">
      <c r="F45308" s="193"/>
    </row>
    <row r="45309" spans="6:6" x14ac:dyDescent="0.3">
      <c r="F45309" s="193"/>
    </row>
    <row r="45310" spans="6:6" x14ac:dyDescent="0.3">
      <c r="F45310" s="193"/>
    </row>
    <row r="45311" spans="6:6" x14ac:dyDescent="0.3">
      <c r="F45311" s="193"/>
    </row>
    <row r="45312" spans="6:6" x14ac:dyDescent="0.3">
      <c r="F45312" s="193"/>
    </row>
    <row r="45313" spans="6:6" x14ac:dyDescent="0.3">
      <c r="F45313" s="193"/>
    </row>
    <row r="45314" spans="6:6" x14ac:dyDescent="0.3">
      <c r="F45314" s="193"/>
    </row>
    <row r="45315" spans="6:6" x14ac:dyDescent="0.3">
      <c r="F45315" s="193"/>
    </row>
    <row r="45316" spans="6:6" x14ac:dyDescent="0.3">
      <c r="F45316" s="193"/>
    </row>
    <row r="45317" spans="6:6" x14ac:dyDescent="0.3">
      <c r="F45317" s="193"/>
    </row>
    <row r="45318" spans="6:6" x14ac:dyDescent="0.3">
      <c r="F45318" s="193"/>
    </row>
    <row r="45319" spans="6:6" x14ac:dyDescent="0.3">
      <c r="F45319" s="193"/>
    </row>
    <row r="45320" spans="6:6" x14ac:dyDescent="0.3">
      <c r="F45320" s="193"/>
    </row>
    <row r="45321" spans="6:6" x14ac:dyDescent="0.3">
      <c r="F45321" s="193"/>
    </row>
    <row r="45322" spans="6:6" x14ac:dyDescent="0.3">
      <c r="F45322" s="193"/>
    </row>
    <row r="45323" spans="6:6" x14ac:dyDescent="0.3">
      <c r="F45323" s="193"/>
    </row>
    <row r="45324" spans="6:6" x14ac:dyDescent="0.3">
      <c r="F45324" s="193"/>
    </row>
    <row r="45325" spans="6:6" x14ac:dyDescent="0.3">
      <c r="F45325" s="193"/>
    </row>
    <row r="45326" spans="6:6" x14ac:dyDescent="0.3">
      <c r="F45326" s="193"/>
    </row>
    <row r="45327" spans="6:6" x14ac:dyDescent="0.3">
      <c r="F45327" s="193"/>
    </row>
    <row r="45328" spans="6:6" x14ac:dyDescent="0.3">
      <c r="F45328" s="193"/>
    </row>
    <row r="45329" spans="6:6" x14ac:dyDescent="0.3">
      <c r="F45329" s="193"/>
    </row>
    <row r="45330" spans="6:6" x14ac:dyDescent="0.3">
      <c r="F45330" s="193"/>
    </row>
    <row r="45331" spans="6:6" x14ac:dyDescent="0.3">
      <c r="F45331" s="193"/>
    </row>
    <row r="45332" spans="6:6" x14ac:dyDescent="0.3">
      <c r="F45332" s="193"/>
    </row>
    <row r="45333" spans="6:6" x14ac:dyDescent="0.3">
      <c r="F45333" s="193"/>
    </row>
    <row r="45334" spans="6:6" x14ac:dyDescent="0.3">
      <c r="F45334" s="193"/>
    </row>
    <row r="45335" spans="6:6" x14ac:dyDescent="0.3">
      <c r="F45335" s="193"/>
    </row>
    <row r="45336" spans="6:6" x14ac:dyDescent="0.3">
      <c r="F45336" s="193"/>
    </row>
    <row r="45337" spans="6:6" x14ac:dyDescent="0.3">
      <c r="F45337" s="193"/>
    </row>
    <row r="45338" spans="6:6" x14ac:dyDescent="0.3">
      <c r="F45338" s="193"/>
    </row>
    <row r="45339" spans="6:6" x14ac:dyDescent="0.3">
      <c r="F45339" s="193"/>
    </row>
    <row r="45340" spans="6:6" x14ac:dyDescent="0.3">
      <c r="F45340" s="193"/>
    </row>
    <row r="45341" spans="6:6" x14ac:dyDescent="0.3">
      <c r="F45341" s="193"/>
    </row>
    <row r="45342" spans="6:6" x14ac:dyDescent="0.3">
      <c r="F45342" s="193"/>
    </row>
    <row r="45343" spans="6:6" x14ac:dyDescent="0.3">
      <c r="F45343" s="193"/>
    </row>
    <row r="45344" spans="6:6" x14ac:dyDescent="0.3">
      <c r="F45344" s="193"/>
    </row>
    <row r="45345" spans="6:6" x14ac:dyDescent="0.3">
      <c r="F45345" s="193"/>
    </row>
    <row r="45346" spans="6:6" x14ac:dyDescent="0.3">
      <c r="F45346" s="193"/>
    </row>
    <row r="45347" spans="6:6" x14ac:dyDescent="0.3">
      <c r="F45347" s="193"/>
    </row>
    <row r="45348" spans="6:6" x14ac:dyDescent="0.3">
      <c r="F45348" s="193"/>
    </row>
    <row r="45349" spans="6:6" x14ac:dyDescent="0.3">
      <c r="F45349" s="193"/>
    </row>
    <row r="45350" spans="6:6" x14ac:dyDescent="0.3">
      <c r="F45350" s="193"/>
    </row>
    <row r="45351" spans="6:6" x14ac:dyDescent="0.3">
      <c r="F45351" s="193"/>
    </row>
    <row r="45352" spans="6:6" x14ac:dyDescent="0.3">
      <c r="F45352" s="193"/>
    </row>
    <row r="45353" spans="6:6" x14ac:dyDescent="0.3">
      <c r="F45353" s="193"/>
    </row>
    <row r="45354" spans="6:6" x14ac:dyDescent="0.3">
      <c r="F45354" s="193"/>
    </row>
    <row r="45355" spans="6:6" x14ac:dyDescent="0.3">
      <c r="F45355" s="193"/>
    </row>
    <row r="45356" spans="6:6" x14ac:dyDescent="0.3">
      <c r="F45356" s="193"/>
    </row>
    <row r="45357" spans="6:6" x14ac:dyDescent="0.3">
      <c r="F45357" s="193"/>
    </row>
    <row r="45358" spans="6:6" x14ac:dyDescent="0.3">
      <c r="F45358" s="193"/>
    </row>
    <row r="45359" spans="6:6" x14ac:dyDescent="0.3">
      <c r="F45359" s="193"/>
    </row>
    <row r="45360" spans="6:6" x14ac:dyDescent="0.3">
      <c r="F45360" s="193"/>
    </row>
    <row r="45361" spans="6:6" x14ac:dyDescent="0.3">
      <c r="F45361" s="193"/>
    </row>
    <row r="45362" spans="6:6" x14ac:dyDescent="0.3">
      <c r="F45362" s="193"/>
    </row>
    <row r="45363" spans="6:6" x14ac:dyDescent="0.3">
      <c r="F45363" s="193"/>
    </row>
    <row r="45364" spans="6:6" x14ac:dyDescent="0.3">
      <c r="F45364" s="193"/>
    </row>
    <row r="45365" spans="6:6" x14ac:dyDescent="0.3">
      <c r="F45365" s="193"/>
    </row>
    <row r="45366" spans="6:6" x14ac:dyDescent="0.3">
      <c r="F45366" s="193"/>
    </row>
    <row r="45367" spans="6:6" x14ac:dyDescent="0.3">
      <c r="F45367" s="193"/>
    </row>
    <row r="45368" spans="6:6" x14ac:dyDescent="0.3">
      <c r="F45368" s="193"/>
    </row>
    <row r="45369" spans="6:6" x14ac:dyDescent="0.3">
      <c r="F45369" s="193"/>
    </row>
    <row r="45370" spans="6:6" x14ac:dyDescent="0.3">
      <c r="F45370" s="193"/>
    </row>
    <row r="45371" spans="6:6" x14ac:dyDescent="0.3">
      <c r="F45371" s="193"/>
    </row>
    <row r="45372" spans="6:6" x14ac:dyDescent="0.3">
      <c r="F45372" s="193"/>
    </row>
    <row r="45373" spans="6:6" x14ac:dyDescent="0.3">
      <c r="F45373" s="193"/>
    </row>
    <row r="45374" spans="6:6" x14ac:dyDescent="0.3">
      <c r="F45374" s="193"/>
    </row>
    <row r="45375" spans="6:6" x14ac:dyDescent="0.3">
      <c r="F45375" s="193"/>
    </row>
    <row r="45376" spans="6:6" x14ac:dyDescent="0.3">
      <c r="F45376" s="193"/>
    </row>
    <row r="45377" spans="6:6" x14ac:dyDescent="0.3">
      <c r="F45377" s="193"/>
    </row>
    <row r="45378" spans="6:6" x14ac:dyDescent="0.3">
      <c r="F45378" s="193"/>
    </row>
    <row r="45379" spans="6:6" x14ac:dyDescent="0.3">
      <c r="F45379" s="193"/>
    </row>
    <row r="45380" spans="6:6" x14ac:dyDescent="0.3">
      <c r="F45380" s="193"/>
    </row>
    <row r="45381" spans="6:6" x14ac:dyDescent="0.3">
      <c r="F45381" s="193"/>
    </row>
    <row r="45382" spans="6:6" x14ac:dyDescent="0.3">
      <c r="F45382" s="193"/>
    </row>
    <row r="45383" spans="6:6" x14ac:dyDescent="0.3">
      <c r="F45383" s="193"/>
    </row>
    <row r="45384" spans="6:6" x14ac:dyDescent="0.3">
      <c r="F45384" s="193"/>
    </row>
    <row r="45385" spans="6:6" x14ac:dyDescent="0.3">
      <c r="F45385" s="193"/>
    </row>
    <row r="45386" spans="6:6" x14ac:dyDescent="0.3">
      <c r="F45386" s="193"/>
    </row>
    <row r="45387" spans="6:6" x14ac:dyDescent="0.3">
      <c r="F45387" s="193"/>
    </row>
    <row r="45388" spans="6:6" x14ac:dyDescent="0.3">
      <c r="F45388" s="193"/>
    </row>
    <row r="45389" spans="6:6" x14ac:dyDescent="0.3">
      <c r="F45389" s="193"/>
    </row>
    <row r="45390" spans="6:6" x14ac:dyDescent="0.3">
      <c r="F45390" s="193"/>
    </row>
    <row r="45391" spans="6:6" x14ac:dyDescent="0.3">
      <c r="F45391" s="193"/>
    </row>
    <row r="45392" spans="6:6" x14ac:dyDescent="0.3">
      <c r="F45392" s="193"/>
    </row>
    <row r="45393" spans="6:6" x14ac:dyDescent="0.3">
      <c r="F45393" s="193"/>
    </row>
    <row r="45394" spans="6:6" x14ac:dyDescent="0.3">
      <c r="F45394" s="193"/>
    </row>
    <row r="45395" spans="6:6" x14ac:dyDescent="0.3">
      <c r="F45395" s="193"/>
    </row>
    <row r="45396" spans="6:6" x14ac:dyDescent="0.3">
      <c r="F45396" s="193"/>
    </row>
    <row r="45397" spans="6:6" x14ac:dyDescent="0.3">
      <c r="F45397" s="193"/>
    </row>
    <row r="45398" spans="6:6" x14ac:dyDescent="0.3">
      <c r="F45398" s="193"/>
    </row>
    <row r="45399" spans="6:6" x14ac:dyDescent="0.3">
      <c r="F45399" s="193"/>
    </row>
    <row r="45400" spans="6:6" x14ac:dyDescent="0.3">
      <c r="F45400" s="193"/>
    </row>
    <row r="45401" spans="6:6" x14ac:dyDescent="0.3">
      <c r="F45401" s="193"/>
    </row>
    <row r="45402" spans="6:6" x14ac:dyDescent="0.3">
      <c r="F45402" s="193"/>
    </row>
    <row r="45403" spans="6:6" x14ac:dyDescent="0.3">
      <c r="F45403" s="193"/>
    </row>
    <row r="45404" spans="6:6" x14ac:dyDescent="0.3">
      <c r="F45404" s="193"/>
    </row>
    <row r="45405" spans="6:6" x14ac:dyDescent="0.3">
      <c r="F45405" s="193"/>
    </row>
    <row r="45406" spans="6:6" x14ac:dyDescent="0.3">
      <c r="F45406" s="193"/>
    </row>
    <row r="45407" spans="6:6" x14ac:dyDescent="0.3">
      <c r="F45407" s="193"/>
    </row>
    <row r="45408" spans="6:6" x14ac:dyDescent="0.3">
      <c r="F45408" s="193"/>
    </row>
    <row r="45409" spans="6:6" x14ac:dyDescent="0.3">
      <c r="F45409" s="193"/>
    </row>
    <row r="45410" spans="6:6" x14ac:dyDescent="0.3">
      <c r="F45410" s="193"/>
    </row>
    <row r="45411" spans="6:6" x14ac:dyDescent="0.3">
      <c r="F45411" s="193"/>
    </row>
    <row r="45412" spans="6:6" x14ac:dyDescent="0.3">
      <c r="F45412" s="193"/>
    </row>
    <row r="45413" spans="6:6" x14ac:dyDescent="0.3">
      <c r="F45413" s="193"/>
    </row>
    <row r="45414" spans="6:6" x14ac:dyDescent="0.3">
      <c r="F45414" s="193"/>
    </row>
    <row r="45415" spans="6:6" x14ac:dyDescent="0.3">
      <c r="F45415" s="193"/>
    </row>
    <row r="45416" spans="6:6" x14ac:dyDescent="0.3">
      <c r="F45416" s="193"/>
    </row>
    <row r="45417" spans="6:6" x14ac:dyDescent="0.3">
      <c r="F45417" s="193"/>
    </row>
    <row r="45418" spans="6:6" x14ac:dyDescent="0.3">
      <c r="F45418" s="193"/>
    </row>
    <row r="45419" spans="6:6" x14ac:dyDescent="0.3">
      <c r="F45419" s="193"/>
    </row>
    <row r="45420" spans="6:6" x14ac:dyDescent="0.3">
      <c r="F45420" s="193"/>
    </row>
    <row r="45421" spans="6:6" x14ac:dyDescent="0.3">
      <c r="F45421" s="193"/>
    </row>
    <row r="45422" spans="6:6" x14ac:dyDescent="0.3">
      <c r="F45422" s="193"/>
    </row>
    <row r="45423" spans="6:6" x14ac:dyDescent="0.3">
      <c r="F45423" s="193"/>
    </row>
    <row r="45424" spans="6:6" x14ac:dyDescent="0.3">
      <c r="F45424" s="193"/>
    </row>
    <row r="45425" spans="6:6" x14ac:dyDescent="0.3">
      <c r="F45425" s="193"/>
    </row>
    <row r="45426" spans="6:6" x14ac:dyDescent="0.3">
      <c r="F45426" s="193"/>
    </row>
    <row r="45427" spans="6:6" x14ac:dyDescent="0.3">
      <c r="F45427" s="193"/>
    </row>
    <row r="45428" spans="6:6" x14ac:dyDescent="0.3">
      <c r="F45428" s="193"/>
    </row>
    <row r="45429" spans="6:6" x14ac:dyDescent="0.3">
      <c r="F45429" s="193"/>
    </row>
    <row r="45430" spans="6:6" x14ac:dyDescent="0.3">
      <c r="F45430" s="193"/>
    </row>
    <row r="45431" spans="6:6" x14ac:dyDescent="0.3">
      <c r="F45431" s="193"/>
    </row>
    <row r="45432" spans="6:6" x14ac:dyDescent="0.3">
      <c r="F45432" s="193"/>
    </row>
    <row r="45433" spans="6:6" x14ac:dyDescent="0.3">
      <c r="F45433" s="193"/>
    </row>
    <row r="45434" spans="6:6" x14ac:dyDescent="0.3">
      <c r="F45434" s="193"/>
    </row>
    <row r="45435" spans="6:6" x14ac:dyDescent="0.3">
      <c r="F45435" s="193"/>
    </row>
    <row r="45436" spans="6:6" x14ac:dyDescent="0.3">
      <c r="F45436" s="193"/>
    </row>
    <row r="45437" spans="6:6" x14ac:dyDescent="0.3">
      <c r="F45437" s="193"/>
    </row>
    <row r="45438" spans="6:6" x14ac:dyDescent="0.3">
      <c r="F45438" s="193"/>
    </row>
    <row r="45439" spans="6:6" x14ac:dyDescent="0.3">
      <c r="F45439" s="193"/>
    </row>
    <row r="45440" spans="6:6" x14ac:dyDescent="0.3">
      <c r="F45440" s="193"/>
    </row>
    <row r="45441" spans="6:6" x14ac:dyDescent="0.3">
      <c r="F45441" s="193"/>
    </row>
    <row r="45442" spans="6:6" x14ac:dyDescent="0.3">
      <c r="F45442" s="193"/>
    </row>
    <row r="45443" spans="6:6" x14ac:dyDescent="0.3">
      <c r="F45443" s="193"/>
    </row>
    <row r="45444" spans="6:6" x14ac:dyDescent="0.3">
      <c r="F45444" s="193"/>
    </row>
    <row r="45445" spans="6:6" x14ac:dyDescent="0.3">
      <c r="F45445" s="193"/>
    </row>
    <row r="45446" spans="6:6" x14ac:dyDescent="0.3">
      <c r="F45446" s="193"/>
    </row>
    <row r="45447" spans="6:6" x14ac:dyDescent="0.3">
      <c r="F45447" s="193"/>
    </row>
    <row r="45448" spans="6:6" x14ac:dyDescent="0.3">
      <c r="F45448" s="193"/>
    </row>
    <row r="45449" spans="6:6" x14ac:dyDescent="0.3">
      <c r="F45449" s="193"/>
    </row>
    <row r="45450" spans="6:6" x14ac:dyDescent="0.3">
      <c r="F45450" s="193"/>
    </row>
    <row r="45451" spans="6:6" x14ac:dyDescent="0.3">
      <c r="F45451" s="193"/>
    </row>
    <row r="45452" spans="6:6" x14ac:dyDescent="0.3">
      <c r="F45452" s="193"/>
    </row>
    <row r="45453" spans="6:6" x14ac:dyDescent="0.3">
      <c r="F45453" s="193"/>
    </row>
    <row r="45454" spans="6:6" x14ac:dyDescent="0.3">
      <c r="F45454" s="193"/>
    </row>
    <row r="45455" spans="6:6" x14ac:dyDescent="0.3">
      <c r="F45455" s="193"/>
    </row>
    <row r="45456" spans="6:6" x14ac:dyDescent="0.3">
      <c r="F45456" s="193"/>
    </row>
    <row r="45457" spans="6:6" x14ac:dyDescent="0.3">
      <c r="F45457" s="193"/>
    </row>
    <row r="45458" spans="6:6" x14ac:dyDescent="0.3">
      <c r="F45458" s="193"/>
    </row>
    <row r="45459" spans="6:6" x14ac:dyDescent="0.3">
      <c r="F45459" s="193"/>
    </row>
    <row r="45460" spans="6:6" x14ac:dyDescent="0.3">
      <c r="F45460" s="193"/>
    </row>
    <row r="45461" spans="6:6" x14ac:dyDescent="0.3">
      <c r="F45461" s="193"/>
    </row>
    <row r="45462" spans="6:6" x14ac:dyDescent="0.3">
      <c r="F45462" s="193"/>
    </row>
    <row r="45463" spans="6:6" x14ac:dyDescent="0.3">
      <c r="F45463" s="193"/>
    </row>
    <row r="45464" spans="6:6" x14ac:dyDescent="0.3">
      <c r="F45464" s="193"/>
    </row>
    <row r="45465" spans="6:6" x14ac:dyDescent="0.3">
      <c r="F45465" s="193"/>
    </row>
    <row r="45466" spans="6:6" x14ac:dyDescent="0.3">
      <c r="F45466" s="193"/>
    </row>
    <row r="45467" spans="6:6" x14ac:dyDescent="0.3">
      <c r="F45467" s="193"/>
    </row>
    <row r="45468" spans="6:6" x14ac:dyDescent="0.3">
      <c r="F45468" s="193"/>
    </row>
    <row r="45469" spans="6:6" x14ac:dyDescent="0.3">
      <c r="F45469" s="193"/>
    </row>
    <row r="45470" spans="6:6" x14ac:dyDescent="0.3">
      <c r="F45470" s="193"/>
    </row>
    <row r="45471" spans="6:6" x14ac:dyDescent="0.3">
      <c r="F45471" s="193"/>
    </row>
    <row r="45472" spans="6:6" x14ac:dyDescent="0.3">
      <c r="F45472" s="193"/>
    </row>
    <row r="45473" spans="6:6" x14ac:dyDescent="0.3">
      <c r="F45473" s="193"/>
    </row>
    <row r="45474" spans="6:6" x14ac:dyDescent="0.3">
      <c r="F45474" s="193"/>
    </row>
    <row r="45475" spans="6:6" x14ac:dyDescent="0.3">
      <c r="F45475" s="193"/>
    </row>
    <row r="45476" spans="6:6" x14ac:dyDescent="0.3">
      <c r="F45476" s="193"/>
    </row>
    <row r="45477" spans="6:6" x14ac:dyDescent="0.3">
      <c r="F45477" s="193"/>
    </row>
    <row r="45478" spans="6:6" x14ac:dyDescent="0.3">
      <c r="F45478" s="193"/>
    </row>
    <row r="45479" spans="6:6" x14ac:dyDescent="0.3">
      <c r="F45479" s="193"/>
    </row>
    <row r="45480" spans="6:6" x14ac:dyDescent="0.3">
      <c r="F45480" s="193"/>
    </row>
    <row r="45481" spans="6:6" x14ac:dyDescent="0.3">
      <c r="F45481" s="193"/>
    </row>
    <row r="45482" spans="6:6" x14ac:dyDescent="0.3">
      <c r="F45482" s="193"/>
    </row>
    <row r="45483" spans="6:6" x14ac:dyDescent="0.3">
      <c r="F45483" s="193"/>
    </row>
    <row r="45484" spans="6:6" x14ac:dyDescent="0.3">
      <c r="F45484" s="193"/>
    </row>
    <row r="45485" spans="6:6" x14ac:dyDescent="0.3">
      <c r="F45485" s="193"/>
    </row>
    <row r="45486" spans="6:6" x14ac:dyDescent="0.3">
      <c r="F45486" s="193"/>
    </row>
    <row r="45487" spans="6:6" x14ac:dyDescent="0.3">
      <c r="F45487" s="193"/>
    </row>
    <row r="45488" spans="6:6" x14ac:dyDescent="0.3">
      <c r="F45488" s="193"/>
    </row>
    <row r="45489" spans="6:6" x14ac:dyDescent="0.3">
      <c r="F45489" s="193"/>
    </row>
    <row r="45490" spans="6:6" x14ac:dyDescent="0.3">
      <c r="F45490" s="193"/>
    </row>
    <row r="45491" spans="6:6" x14ac:dyDescent="0.3">
      <c r="F45491" s="193"/>
    </row>
    <row r="45492" spans="6:6" x14ac:dyDescent="0.3">
      <c r="F45492" s="193"/>
    </row>
    <row r="45493" spans="6:6" x14ac:dyDescent="0.3">
      <c r="F45493" s="193"/>
    </row>
    <row r="45494" spans="6:6" x14ac:dyDescent="0.3">
      <c r="F45494" s="193"/>
    </row>
    <row r="45495" spans="6:6" x14ac:dyDescent="0.3">
      <c r="F45495" s="193"/>
    </row>
    <row r="45496" spans="6:6" x14ac:dyDescent="0.3">
      <c r="F45496" s="193"/>
    </row>
    <row r="45497" spans="6:6" x14ac:dyDescent="0.3">
      <c r="F45497" s="193"/>
    </row>
    <row r="45498" spans="6:6" x14ac:dyDescent="0.3">
      <c r="F45498" s="193"/>
    </row>
    <row r="45499" spans="6:6" x14ac:dyDescent="0.3">
      <c r="F45499" s="193"/>
    </row>
    <row r="45500" spans="6:6" x14ac:dyDescent="0.3">
      <c r="F45500" s="193"/>
    </row>
    <row r="45501" spans="6:6" x14ac:dyDescent="0.3">
      <c r="F45501" s="193"/>
    </row>
    <row r="45502" spans="6:6" x14ac:dyDescent="0.3">
      <c r="F45502" s="193"/>
    </row>
    <row r="45503" spans="6:6" x14ac:dyDescent="0.3">
      <c r="F45503" s="193"/>
    </row>
    <row r="45504" spans="6:6" x14ac:dyDescent="0.3">
      <c r="F45504" s="193"/>
    </row>
    <row r="45505" spans="6:6" x14ac:dyDescent="0.3">
      <c r="F45505" s="193"/>
    </row>
    <row r="45506" spans="6:6" x14ac:dyDescent="0.3">
      <c r="F45506" s="193"/>
    </row>
    <row r="45507" spans="6:6" x14ac:dyDescent="0.3">
      <c r="F45507" s="193"/>
    </row>
    <row r="45508" spans="6:6" x14ac:dyDescent="0.3">
      <c r="F45508" s="193"/>
    </row>
    <row r="45509" spans="6:6" x14ac:dyDescent="0.3">
      <c r="F45509" s="193"/>
    </row>
    <row r="45510" spans="6:6" x14ac:dyDescent="0.3">
      <c r="F45510" s="193"/>
    </row>
    <row r="45511" spans="6:6" x14ac:dyDescent="0.3">
      <c r="F45511" s="193"/>
    </row>
    <row r="45512" spans="6:6" x14ac:dyDescent="0.3">
      <c r="F45512" s="193"/>
    </row>
    <row r="45513" spans="6:6" x14ac:dyDescent="0.3">
      <c r="F45513" s="193"/>
    </row>
    <row r="45514" spans="6:6" x14ac:dyDescent="0.3">
      <c r="F45514" s="193"/>
    </row>
    <row r="45515" spans="6:6" x14ac:dyDescent="0.3">
      <c r="F45515" s="193"/>
    </row>
    <row r="45516" spans="6:6" x14ac:dyDescent="0.3">
      <c r="F45516" s="193"/>
    </row>
    <row r="45517" spans="6:6" x14ac:dyDescent="0.3">
      <c r="F45517" s="193"/>
    </row>
    <row r="45518" spans="6:6" x14ac:dyDescent="0.3">
      <c r="F45518" s="193"/>
    </row>
    <row r="45519" spans="6:6" x14ac:dyDescent="0.3">
      <c r="F45519" s="193"/>
    </row>
    <row r="45520" spans="6:6" x14ac:dyDescent="0.3">
      <c r="F45520" s="193"/>
    </row>
    <row r="45521" spans="6:6" x14ac:dyDescent="0.3">
      <c r="F45521" s="193"/>
    </row>
    <row r="45522" spans="6:6" x14ac:dyDescent="0.3">
      <c r="F45522" s="193"/>
    </row>
    <row r="45523" spans="6:6" x14ac:dyDescent="0.3">
      <c r="F45523" s="193"/>
    </row>
    <row r="45524" spans="6:6" x14ac:dyDescent="0.3">
      <c r="F45524" s="193"/>
    </row>
    <row r="45525" spans="6:6" x14ac:dyDescent="0.3">
      <c r="F45525" s="193"/>
    </row>
    <row r="45526" spans="6:6" x14ac:dyDescent="0.3">
      <c r="F45526" s="193"/>
    </row>
    <row r="45527" spans="6:6" x14ac:dyDescent="0.3">
      <c r="F45527" s="193"/>
    </row>
    <row r="45528" spans="6:6" x14ac:dyDescent="0.3">
      <c r="F45528" s="193"/>
    </row>
    <row r="45529" spans="6:6" x14ac:dyDescent="0.3">
      <c r="F45529" s="193"/>
    </row>
    <row r="45530" spans="6:6" x14ac:dyDescent="0.3">
      <c r="F45530" s="193"/>
    </row>
    <row r="45531" spans="6:6" x14ac:dyDescent="0.3">
      <c r="F45531" s="193"/>
    </row>
    <row r="45532" spans="6:6" x14ac:dyDescent="0.3">
      <c r="F45532" s="193"/>
    </row>
    <row r="45533" spans="6:6" x14ac:dyDescent="0.3">
      <c r="F45533" s="193"/>
    </row>
    <row r="45534" spans="6:6" x14ac:dyDescent="0.3">
      <c r="F45534" s="193"/>
    </row>
    <row r="45535" spans="6:6" x14ac:dyDescent="0.3">
      <c r="F45535" s="193"/>
    </row>
    <row r="45536" spans="6:6" x14ac:dyDescent="0.3">
      <c r="F45536" s="193"/>
    </row>
    <row r="45537" spans="6:6" x14ac:dyDescent="0.3">
      <c r="F45537" s="193"/>
    </row>
    <row r="45538" spans="6:6" x14ac:dyDescent="0.3">
      <c r="F45538" s="193"/>
    </row>
    <row r="45539" spans="6:6" x14ac:dyDescent="0.3">
      <c r="F45539" s="193"/>
    </row>
    <row r="45540" spans="6:6" x14ac:dyDescent="0.3">
      <c r="F45540" s="193"/>
    </row>
    <row r="45541" spans="6:6" x14ac:dyDescent="0.3">
      <c r="F45541" s="193"/>
    </row>
    <row r="45542" spans="6:6" x14ac:dyDescent="0.3">
      <c r="F45542" s="193"/>
    </row>
    <row r="45543" spans="6:6" x14ac:dyDescent="0.3">
      <c r="F45543" s="193"/>
    </row>
    <row r="45544" spans="6:6" x14ac:dyDescent="0.3">
      <c r="F45544" s="193"/>
    </row>
    <row r="45545" spans="6:6" x14ac:dyDescent="0.3">
      <c r="F45545" s="193"/>
    </row>
    <row r="45546" spans="6:6" x14ac:dyDescent="0.3">
      <c r="F45546" s="193"/>
    </row>
    <row r="45547" spans="6:6" x14ac:dyDescent="0.3">
      <c r="F45547" s="193"/>
    </row>
    <row r="45548" spans="6:6" x14ac:dyDescent="0.3">
      <c r="F45548" s="193"/>
    </row>
    <row r="45549" spans="6:6" x14ac:dyDescent="0.3">
      <c r="F45549" s="193"/>
    </row>
    <row r="45550" spans="6:6" x14ac:dyDescent="0.3">
      <c r="F45550" s="193"/>
    </row>
    <row r="45551" spans="6:6" x14ac:dyDescent="0.3">
      <c r="F45551" s="193"/>
    </row>
    <row r="45552" spans="6:6" x14ac:dyDescent="0.3">
      <c r="F45552" s="193"/>
    </row>
    <row r="45553" spans="6:6" x14ac:dyDescent="0.3">
      <c r="F45553" s="193"/>
    </row>
    <row r="45554" spans="6:6" x14ac:dyDescent="0.3">
      <c r="F45554" s="193"/>
    </row>
    <row r="45555" spans="6:6" x14ac:dyDescent="0.3">
      <c r="F45555" s="193"/>
    </row>
    <row r="45556" spans="6:6" x14ac:dyDescent="0.3">
      <c r="F45556" s="193"/>
    </row>
    <row r="45557" spans="6:6" x14ac:dyDescent="0.3">
      <c r="F45557" s="193"/>
    </row>
    <row r="45558" spans="6:6" x14ac:dyDescent="0.3">
      <c r="F45558" s="193"/>
    </row>
    <row r="45559" spans="6:6" x14ac:dyDescent="0.3">
      <c r="F45559" s="193"/>
    </row>
    <row r="45560" spans="6:6" x14ac:dyDescent="0.3">
      <c r="F45560" s="193"/>
    </row>
    <row r="45561" spans="6:6" x14ac:dyDescent="0.3">
      <c r="F45561" s="193"/>
    </row>
    <row r="45562" spans="6:6" x14ac:dyDescent="0.3">
      <c r="F45562" s="193"/>
    </row>
    <row r="45563" spans="6:6" x14ac:dyDescent="0.3">
      <c r="F45563" s="193"/>
    </row>
    <row r="45564" spans="6:6" x14ac:dyDescent="0.3">
      <c r="F45564" s="193"/>
    </row>
    <row r="45565" spans="6:6" x14ac:dyDescent="0.3">
      <c r="F45565" s="193"/>
    </row>
    <row r="45566" spans="6:6" x14ac:dyDescent="0.3">
      <c r="F45566" s="193"/>
    </row>
    <row r="45567" spans="6:6" x14ac:dyDescent="0.3">
      <c r="F45567" s="193"/>
    </row>
    <row r="45568" spans="6:6" x14ac:dyDescent="0.3">
      <c r="F45568" s="193"/>
    </row>
    <row r="45569" spans="6:6" x14ac:dyDescent="0.3">
      <c r="F45569" s="193"/>
    </row>
    <row r="45570" spans="6:6" x14ac:dyDescent="0.3">
      <c r="F45570" s="193"/>
    </row>
    <row r="45571" spans="6:6" x14ac:dyDescent="0.3">
      <c r="F45571" s="193"/>
    </row>
    <row r="45572" spans="6:6" x14ac:dyDescent="0.3">
      <c r="F45572" s="193"/>
    </row>
    <row r="45573" spans="6:6" x14ac:dyDescent="0.3">
      <c r="F45573" s="193"/>
    </row>
    <row r="45574" spans="6:6" x14ac:dyDescent="0.3">
      <c r="F45574" s="193"/>
    </row>
    <row r="45575" spans="6:6" x14ac:dyDescent="0.3">
      <c r="F45575" s="193"/>
    </row>
    <row r="45576" spans="6:6" x14ac:dyDescent="0.3">
      <c r="F45576" s="193"/>
    </row>
    <row r="45577" spans="6:6" x14ac:dyDescent="0.3">
      <c r="F45577" s="193"/>
    </row>
    <row r="45578" spans="6:6" x14ac:dyDescent="0.3">
      <c r="F45578" s="193"/>
    </row>
    <row r="45579" spans="6:6" x14ac:dyDescent="0.3">
      <c r="F45579" s="193"/>
    </row>
    <row r="45580" spans="6:6" x14ac:dyDescent="0.3">
      <c r="F45580" s="193"/>
    </row>
    <row r="45581" spans="6:6" x14ac:dyDescent="0.3">
      <c r="F45581" s="193"/>
    </row>
    <row r="45582" spans="6:6" x14ac:dyDescent="0.3">
      <c r="F45582" s="193"/>
    </row>
    <row r="45583" spans="6:6" x14ac:dyDescent="0.3">
      <c r="F45583" s="193"/>
    </row>
    <row r="45584" spans="6:6" x14ac:dyDescent="0.3">
      <c r="F45584" s="193"/>
    </row>
    <row r="45585" spans="6:6" x14ac:dyDescent="0.3">
      <c r="F45585" s="193"/>
    </row>
    <row r="45586" spans="6:6" x14ac:dyDescent="0.3">
      <c r="F45586" s="193"/>
    </row>
    <row r="45587" spans="6:6" x14ac:dyDescent="0.3">
      <c r="F45587" s="193"/>
    </row>
    <row r="45588" spans="6:6" x14ac:dyDescent="0.3">
      <c r="F45588" s="193"/>
    </row>
    <row r="45589" spans="6:6" x14ac:dyDescent="0.3">
      <c r="F45589" s="193"/>
    </row>
    <row r="45590" spans="6:6" x14ac:dyDescent="0.3">
      <c r="F45590" s="193"/>
    </row>
    <row r="45591" spans="6:6" x14ac:dyDescent="0.3">
      <c r="F45591" s="193"/>
    </row>
    <row r="45592" spans="6:6" x14ac:dyDescent="0.3">
      <c r="F45592" s="193"/>
    </row>
    <row r="45593" spans="6:6" x14ac:dyDescent="0.3">
      <c r="F45593" s="193"/>
    </row>
    <row r="45594" spans="6:6" x14ac:dyDescent="0.3">
      <c r="F45594" s="193"/>
    </row>
    <row r="45595" spans="6:6" x14ac:dyDescent="0.3">
      <c r="F45595" s="193"/>
    </row>
    <row r="45596" spans="6:6" x14ac:dyDescent="0.3">
      <c r="F45596" s="193"/>
    </row>
    <row r="45597" spans="6:6" x14ac:dyDescent="0.3">
      <c r="F45597" s="193"/>
    </row>
    <row r="45598" spans="6:6" x14ac:dyDescent="0.3">
      <c r="F45598" s="193"/>
    </row>
    <row r="45599" spans="6:6" x14ac:dyDescent="0.3">
      <c r="F45599" s="193"/>
    </row>
    <row r="45600" spans="6:6" x14ac:dyDescent="0.3">
      <c r="F45600" s="193"/>
    </row>
    <row r="45601" spans="6:6" x14ac:dyDescent="0.3">
      <c r="F45601" s="193"/>
    </row>
    <row r="45602" spans="6:6" x14ac:dyDescent="0.3">
      <c r="F45602" s="193"/>
    </row>
    <row r="45603" spans="6:6" x14ac:dyDescent="0.3">
      <c r="F45603" s="193"/>
    </row>
    <row r="45604" spans="6:6" x14ac:dyDescent="0.3">
      <c r="F45604" s="193"/>
    </row>
    <row r="45605" spans="6:6" x14ac:dyDescent="0.3">
      <c r="F45605" s="193"/>
    </row>
    <row r="45606" spans="6:6" x14ac:dyDescent="0.3">
      <c r="F45606" s="193"/>
    </row>
    <row r="45607" spans="6:6" x14ac:dyDescent="0.3">
      <c r="F45607" s="193"/>
    </row>
    <row r="45608" spans="6:6" x14ac:dyDescent="0.3">
      <c r="F45608" s="193"/>
    </row>
    <row r="45609" spans="6:6" x14ac:dyDescent="0.3">
      <c r="F45609" s="193"/>
    </row>
    <row r="45610" spans="6:6" x14ac:dyDescent="0.3">
      <c r="F45610" s="193"/>
    </row>
    <row r="45611" spans="6:6" x14ac:dyDescent="0.3">
      <c r="F45611" s="193"/>
    </row>
    <row r="45612" spans="6:6" x14ac:dyDescent="0.3">
      <c r="F45612" s="193"/>
    </row>
    <row r="45613" spans="6:6" x14ac:dyDescent="0.3">
      <c r="F45613" s="193"/>
    </row>
    <row r="45614" spans="6:6" x14ac:dyDescent="0.3">
      <c r="F45614" s="193"/>
    </row>
    <row r="45615" spans="6:6" x14ac:dyDescent="0.3">
      <c r="F45615" s="193"/>
    </row>
    <row r="45616" spans="6:6" x14ac:dyDescent="0.3">
      <c r="F45616" s="193"/>
    </row>
    <row r="45617" spans="6:6" x14ac:dyDescent="0.3">
      <c r="F45617" s="193"/>
    </row>
    <row r="45618" spans="6:6" x14ac:dyDescent="0.3">
      <c r="F45618" s="193"/>
    </row>
    <row r="45619" spans="6:6" x14ac:dyDescent="0.3">
      <c r="F45619" s="193"/>
    </row>
    <row r="45620" spans="6:6" x14ac:dyDescent="0.3">
      <c r="F45620" s="193"/>
    </row>
    <row r="45621" spans="6:6" x14ac:dyDescent="0.3">
      <c r="F45621" s="193"/>
    </row>
    <row r="45622" spans="6:6" x14ac:dyDescent="0.3">
      <c r="F45622" s="193"/>
    </row>
    <row r="45623" spans="6:6" x14ac:dyDescent="0.3">
      <c r="F45623" s="193"/>
    </row>
    <row r="45624" spans="6:6" x14ac:dyDescent="0.3">
      <c r="F45624" s="193"/>
    </row>
    <row r="45625" spans="6:6" x14ac:dyDescent="0.3">
      <c r="F45625" s="193"/>
    </row>
    <row r="45626" spans="6:6" x14ac:dyDescent="0.3">
      <c r="F45626" s="193"/>
    </row>
    <row r="45627" spans="6:6" x14ac:dyDescent="0.3">
      <c r="F45627" s="193"/>
    </row>
    <row r="45628" spans="6:6" x14ac:dyDescent="0.3">
      <c r="F45628" s="193"/>
    </row>
    <row r="45629" spans="6:6" x14ac:dyDescent="0.3">
      <c r="F45629" s="193"/>
    </row>
    <row r="45630" spans="6:6" x14ac:dyDescent="0.3">
      <c r="F45630" s="193"/>
    </row>
    <row r="45631" spans="6:6" x14ac:dyDescent="0.3">
      <c r="F45631" s="193"/>
    </row>
    <row r="45632" spans="6:6" x14ac:dyDescent="0.3">
      <c r="F45632" s="193"/>
    </row>
    <row r="45633" spans="6:6" x14ac:dyDescent="0.3">
      <c r="F45633" s="193"/>
    </row>
    <row r="45634" spans="6:6" x14ac:dyDescent="0.3">
      <c r="F45634" s="193"/>
    </row>
    <row r="45635" spans="6:6" x14ac:dyDescent="0.3">
      <c r="F45635" s="193"/>
    </row>
    <row r="45636" spans="6:6" x14ac:dyDescent="0.3">
      <c r="F45636" s="193"/>
    </row>
    <row r="45637" spans="6:6" x14ac:dyDescent="0.3">
      <c r="F45637" s="193"/>
    </row>
    <row r="45638" spans="6:6" x14ac:dyDescent="0.3">
      <c r="F45638" s="193"/>
    </row>
    <row r="45639" spans="6:6" x14ac:dyDescent="0.3">
      <c r="F45639" s="193"/>
    </row>
    <row r="45640" spans="6:6" x14ac:dyDescent="0.3">
      <c r="F45640" s="193"/>
    </row>
    <row r="45641" spans="6:6" x14ac:dyDescent="0.3">
      <c r="F45641" s="193"/>
    </row>
    <row r="45642" spans="6:6" x14ac:dyDescent="0.3">
      <c r="F45642" s="193"/>
    </row>
    <row r="45643" spans="6:6" x14ac:dyDescent="0.3">
      <c r="F45643" s="193"/>
    </row>
    <row r="45644" spans="6:6" x14ac:dyDescent="0.3">
      <c r="F45644" s="193"/>
    </row>
    <row r="45645" spans="6:6" x14ac:dyDescent="0.3">
      <c r="F45645" s="193"/>
    </row>
    <row r="45646" spans="6:6" x14ac:dyDescent="0.3">
      <c r="F45646" s="193"/>
    </row>
    <row r="45647" spans="6:6" x14ac:dyDescent="0.3">
      <c r="F45647" s="193"/>
    </row>
    <row r="45648" spans="6:6" x14ac:dyDescent="0.3">
      <c r="F45648" s="193"/>
    </row>
    <row r="45649" spans="6:6" x14ac:dyDescent="0.3">
      <c r="F45649" s="193"/>
    </row>
    <row r="45650" spans="6:6" x14ac:dyDescent="0.3">
      <c r="F45650" s="193"/>
    </row>
    <row r="45651" spans="6:6" x14ac:dyDescent="0.3">
      <c r="F45651" s="193"/>
    </row>
    <row r="45652" spans="6:6" x14ac:dyDescent="0.3">
      <c r="F45652" s="193"/>
    </row>
    <row r="45653" spans="6:6" x14ac:dyDescent="0.3">
      <c r="F45653" s="193"/>
    </row>
    <row r="45654" spans="6:6" x14ac:dyDescent="0.3">
      <c r="F45654" s="193"/>
    </row>
    <row r="45655" spans="6:6" x14ac:dyDescent="0.3">
      <c r="F45655" s="193"/>
    </row>
    <row r="45656" spans="6:6" x14ac:dyDescent="0.3">
      <c r="F45656" s="193"/>
    </row>
    <row r="45657" spans="6:6" x14ac:dyDescent="0.3">
      <c r="F45657" s="193"/>
    </row>
    <row r="45658" spans="6:6" x14ac:dyDescent="0.3">
      <c r="F45658" s="193"/>
    </row>
    <row r="45659" spans="6:6" x14ac:dyDescent="0.3">
      <c r="F45659" s="193"/>
    </row>
    <row r="45660" spans="6:6" x14ac:dyDescent="0.3">
      <c r="F45660" s="193"/>
    </row>
    <row r="45661" spans="6:6" x14ac:dyDescent="0.3">
      <c r="F45661" s="193"/>
    </row>
    <row r="45662" spans="6:6" x14ac:dyDescent="0.3">
      <c r="F45662" s="193"/>
    </row>
    <row r="45663" spans="6:6" x14ac:dyDescent="0.3">
      <c r="F45663" s="193"/>
    </row>
    <row r="45664" spans="6:6" x14ac:dyDescent="0.3">
      <c r="F45664" s="193"/>
    </row>
    <row r="45665" spans="6:6" x14ac:dyDescent="0.3">
      <c r="F45665" s="193"/>
    </row>
    <row r="45666" spans="6:6" x14ac:dyDescent="0.3">
      <c r="F45666" s="193"/>
    </row>
    <row r="45667" spans="6:6" x14ac:dyDescent="0.3">
      <c r="F45667" s="193"/>
    </row>
    <row r="45668" spans="6:6" x14ac:dyDescent="0.3">
      <c r="F45668" s="193"/>
    </row>
    <row r="45669" spans="6:6" x14ac:dyDescent="0.3">
      <c r="F45669" s="193"/>
    </row>
    <row r="45670" spans="6:6" x14ac:dyDescent="0.3">
      <c r="F45670" s="193"/>
    </row>
    <row r="45671" spans="6:6" x14ac:dyDescent="0.3">
      <c r="F45671" s="193"/>
    </row>
    <row r="45672" spans="6:6" x14ac:dyDescent="0.3">
      <c r="F45672" s="193"/>
    </row>
    <row r="45673" spans="6:6" x14ac:dyDescent="0.3">
      <c r="F45673" s="193"/>
    </row>
    <row r="45674" spans="6:6" x14ac:dyDescent="0.3">
      <c r="F45674" s="193"/>
    </row>
    <row r="45675" spans="6:6" x14ac:dyDescent="0.3">
      <c r="F45675" s="193"/>
    </row>
    <row r="45676" spans="6:6" x14ac:dyDescent="0.3">
      <c r="F45676" s="193"/>
    </row>
    <row r="45677" spans="6:6" x14ac:dyDescent="0.3">
      <c r="F45677" s="193"/>
    </row>
    <row r="45678" spans="6:6" x14ac:dyDescent="0.3">
      <c r="F45678" s="193"/>
    </row>
    <row r="45679" spans="6:6" x14ac:dyDescent="0.3">
      <c r="F45679" s="193"/>
    </row>
    <row r="45680" spans="6:6" x14ac:dyDescent="0.3">
      <c r="F45680" s="193"/>
    </row>
    <row r="45681" spans="6:6" x14ac:dyDescent="0.3">
      <c r="F45681" s="193"/>
    </row>
    <row r="45682" spans="6:6" x14ac:dyDescent="0.3">
      <c r="F45682" s="193"/>
    </row>
    <row r="45683" spans="6:6" x14ac:dyDescent="0.3">
      <c r="F45683" s="193"/>
    </row>
    <row r="45684" spans="6:6" x14ac:dyDescent="0.3">
      <c r="F45684" s="193"/>
    </row>
    <row r="45685" spans="6:6" x14ac:dyDescent="0.3">
      <c r="F45685" s="193"/>
    </row>
    <row r="45686" spans="6:6" x14ac:dyDescent="0.3">
      <c r="F45686" s="193"/>
    </row>
    <row r="45687" spans="6:6" x14ac:dyDescent="0.3">
      <c r="F45687" s="193"/>
    </row>
    <row r="45688" spans="6:6" x14ac:dyDescent="0.3">
      <c r="F45688" s="193"/>
    </row>
    <row r="45689" spans="6:6" x14ac:dyDescent="0.3">
      <c r="F45689" s="193"/>
    </row>
    <row r="45690" spans="6:6" x14ac:dyDescent="0.3">
      <c r="F45690" s="193"/>
    </row>
    <row r="45691" spans="6:6" x14ac:dyDescent="0.3">
      <c r="F45691" s="193"/>
    </row>
    <row r="45692" spans="6:6" x14ac:dyDescent="0.3">
      <c r="F45692" s="193"/>
    </row>
    <row r="45693" spans="6:6" x14ac:dyDescent="0.3">
      <c r="F45693" s="193"/>
    </row>
    <row r="45694" spans="6:6" x14ac:dyDescent="0.3">
      <c r="F45694" s="193"/>
    </row>
    <row r="45695" spans="6:6" x14ac:dyDescent="0.3">
      <c r="F45695" s="193"/>
    </row>
    <row r="45696" spans="6:6" x14ac:dyDescent="0.3">
      <c r="F45696" s="193"/>
    </row>
    <row r="45697" spans="6:6" x14ac:dyDescent="0.3">
      <c r="F45697" s="193"/>
    </row>
    <row r="45698" spans="6:6" x14ac:dyDescent="0.3">
      <c r="F45698" s="193"/>
    </row>
    <row r="45699" spans="6:6" x14ac:dyDescent="0.3">
      <c r="F45699" s="193"/>
    </row>
    <row r="45700" spans="6:6" x14ac:dyDescent="0.3">
      <c r="F45700" s="193"/>
    </row>
    <row r="45701" spans="6:6" x14ac:dyDescent="0.3">
      <c r="F45701" s="193"/>
    </row>
    <row r="45702" spans="6:6" x14ac:dyDescent="0.3">
      <c r="F45702" s="193"/>
    </row>
    <row r="45703" spans="6:6" x14ac:dyDescent="0.3">
      <c r="F45703" s="193"/>
    </row>
    <row r="45704" spans="6:6" x14ac:dyDescent="0.3">
      <c r="F45704" s="193"/>
    </row>
    <row r="45705" spans="6:6" x14ac:dyDescent="0.3">
      <c r="F45705" s="193"/>
    </row>
    <row r="45706" spans="6:6" x14ac:dyDescent="0.3">
      <c r="F45706" s="193"/>
    </row>
    <row r="45707" spans="6:6" x14ac:dyDescent="0.3">
      <c r="F45707" s="193"/>
    </row>
    <row r="45708" spans="6:6" x14ac:dyDescent="0.3">
      <c r="F45708" s="193"/>
    </row>
    <row r="45709" spans="6:6" x14ac:dyDescent="0.3">
      <c r="F45709" s="193"/>
    </row>
    <row r="45710" spans="6:6" x14ac:dyDescent="0.3">
      <c r="F45710" s="193"/>
    </row>
    <row r="45711" spans="6:6" x14ac:dyDescent="0.3">
      <c r="F45711" s="193"/>
    </row>
    <row r="45712" spans="6:6" x14ac:dyDescent="0.3">
      <c r="F45712" s="193"/>
    </row>
    <row r="45713" spans="6:6" x14ac:dyDescent="0.3">
      <c r="F45713" s="193"/>
    </row>
    <row r="45714" spans="6:6" x14ac:dyDescent="0.3">
      <c r="F45714" s="193"/>
    </row>
    <row r="45715" spans="6:6" x14ac:dyDescent="0.3">
      <c r="F45715" s="193"/>
    </row>
    <row r="45716" spans="6:6" x14ac:dyDescent="0.3">
      <c r="F45716" s="193"/>
    </row>
    <row r="45717" spans="6:6" x14ac:dyDescent="0.3">
      <c r="F45717" s="193"/>
    </row>
    <row r="45718" spans="6:6" x14ac:dyDescent="0.3">
      <c r="F45718" s="193"/>
    </row>
    <row r="45719" spans="6:6" x14ac:dyDescent="0.3">
      <c r="F45719" s="193"/>
    </row>
    <row r="45720" spans="6:6" x14ac:dyDescent="0.3">
      <c r="F45720" s="193"/>
    </row>
    <row r="45721" spans="6:6" x14ac:dyDescent="0.3">
      <c r="F45721" s="193"/>
    </row>
    <row r="45722" spans="6:6" x14ac:dyDescent="0.3">
      <c r="F45722" s="193"/>
    </row>
    <row r="45723" spans="6:6" x14ac:dyDescent="0.3">
      <c r="F45723" s="193"/>
    </row>
    <row r="45724" spans="6:6" x14ac:dyDescent="0.3">
      <c r="F45724" s="193"/>
    </row>
    <row r="45725" spans="6:6" x14ac:dyDescent="0.3">
      <c r="F45725" s="193"/>
    </row>
    <row r="45726" spans="6:6" x14ac:dyDescent="0.3">
      <c r="F45726" s="193"/>
    </row>
    <row r="45727" spans="6:6" x14ac:dyDescent="0.3">
      <c r="F45727" s="193"/>
    </row>
    <row r="45728" spans="6:6" x14ac:dyDescent="0.3">
      <c r="F45728" s="193"/>
    </row>
    <row r="45729" spans="6:6" x14ac:dyDescent="0.3">
      <c r="F45729" s="193"/>
    </row>
    <row r="45730" spans="6:6" x14ac:dyDescent="0.3">
      <c r="F45730" s="193"/>
    </row>
    <row r="45731" spans="6:6" x14ac:dyDescent="0.3">
      <c r="F45731" s="193"/>
    </row>
    <row r="45732" spans="6:6" x14ac:dyDescent="0.3">
      <c r="F45732" s="193"/>
    </row>
    <row r="45733" spans="6:6" x14ac:dyDescent="0.3">
      <c r="F45733" s="193"/>
    </row>
    <row r="45734" spans="6:6" x14ac:dyDescent="0.3">
      <c r="F45734" s="193"/>
    </row>
    <row r="45735" spans="6:6" x14ac:dyDescent="0.3">
      <c r="F45735" s="193"/>
    </row>
    <row r="45736" spans="6:6" x14ac:dyDescent="0.3">
      <c r="F45736" s="193"/>
    </row>
    <row r="45737" spans="6:6" x14ac:dyDescent="0.3">
      <c r="F45737" s="193"/>
    </row>
    <row r="45738" spans="6:6" x14ac:dyDescent="0.3">
      <c r="F45738" s="193"/>
    </row>
    <row r="45739" spans="6:6" x14ac:dyDescent="0.3">
      <c r="F45739" s="193"/>
    </row>
    <row r="45740" spans="6:6" x14ac:dyDescent="0.3">
      <c r="F45740" s="193"/>
    </row>
    <row r="45741" spans="6:6" x14ac:dyDescent="0.3">
      <c r="F45741" s="193"/>
    </row>
    <row r="45742" spans="6:6" x14ac:dyDescent="0.3">
      <c r="F45742" s="193"/>
    </row>
    <row r="45743" spans="6:6" x14ac:dyDescent="0.3">
      <c r="F45743" s="193"/>
    </row>
    <row r="45744" spans="6:6" x14ac:dyDescent="0.3">
      <c r="F45744" s="193"/>
    </row>
    <row r="45745" spans="6:6" x14ac:dyDescent="0.3">
      <c r="F45745" s="193"/>
    </row>
    <row r="45746" spans="6:6" x14ac:dyDescent="0.3">
      <c r="F45746" s="193"/>
    </row>
    <row r="45747" spans="6:6" x14ac:dyDescent="0.3">
      <c r="F45747" s="193"/>
    </row>
    <row r="45748" spans="6:6" x14ac:dyDescent="0.3">
      <c r="F45748" s="193"/>
    </row>
    <row r="45749" spans="6:6" x14ac:dyDescent="0.3">
      <c r="F45749" s="193"/>
    </row>
    <row r="45750" spans="6:6" x14ac:dyDescent="0.3">
      <c r="F45750" s="193"/>
    </row>
    <row r="45751" spans="6:6" x14ac:dyDescent="0.3">
      <c r="F45751" s="193"/>
    </row>
    <row r="45752" spans="6:6" x14ac:dyDescent="0.3">
      <c r="F45752" s="193"/>
    </row>
    <row r="45753" spans="6:6" x14ac:dyDescent="0.3">
      <c r="F45753" s="193"/>
    </row>
    <row r="45754" spans="6:6" x14ac:dyDescent="0.3">
      <c r="F45754" s="193"/>
    </row>
    <row r="45755" spans="6:6" x14ac:dyDescent="0.3">
      <c r="F45755" s="193"/>
    </row>
    <row r="45756" spans="6:6" x14ac:dyDescent="0.3">
      <c r="F45756" s="193"/>
    </row>
    <row r="45757" spans="6:6" x14ac:dyDescent="0.3">
      <c r="F45757" s="193"/>
    </row>
    <row r="45758" spans="6:6" x14ac:dyDescent="0.3">
      <c r="F45758" s="193"/>
    </row>
    <row r="45759" spans="6:6" x14ac:dyDescent="0.3">
      <c r="F45759" s="193"/>
    </row>
    <row r="45760" spans="6:6" x14ac:dyDescent="0.3">
      <c r="F45760" s="193"/>
    </row>
    <row r="45761" spans="6:6" x14ac:dyDescent="0.3">
      <c r="F45761" s="193"/>
    </row>
    <row r="45762" spans="6:6" x14ac:dyDescent="0.3">
      <c r="F45762" s="193"/>
    </row>
    <row r="45763" spans="6:6" x14ac:dyDescent="0.3">
      <c r="F45763" s="193"/>
    </row>
    <row r="45764" spans="6:6" x14ac:dyDescent="0.3">
      <c r="F45764" s="193"/>
    </row>
    <row r="45765" spans="6:6" x14ac:dyDescent="0.3">
      <c r="F45765" s="193"/>
    </row>
    <row r="45766" spans="6:6" x14ac:dyDescent="0.3">
      <c r="F45766" s="193"/>
    </row>
    <row r="45767" spans="6:6" x14ac:dyDescent="0.3">
      <c r="F45767" s="193"/>
    </row>
    <row r="45768" spans="6:6" x14ac:dyDescent="0.3">
      <c r="F45768" s="193"/>
    </row>
    <row r="45769" spans="6:6" x14ac:dyDescent="0.3">
      <c r="F45769" s="193"/>
    </row>
    <row r="45770" spans="6:6" x14ac:dyDescent="0.3">
      <c r="F45770" s="193"/>
    </row>
    <row r="45771" spans="6:6" x14ac:dyDescent="0.3">
      <c r="F45771" s="193"/>
    </row>
    <row r="45772" spans="6:6" x14ac:dyDescent="0.3">
      <c r="F45772" s="193"/>
    </row>
    <row r="45773" spans="6:6" x14ac:dyDescent="0.3">
      <c r="F45773" s="193"/>
    </row>
    <row r="45774" spans="6:6" x14ac:dyDescent="0.3">
      <c r="F45774" s="193"/>
    </row>
    <row r="45775" spans="6:6" x14ac:dyDescent="0.3">
      <c r="F45775" s="193"/>
    </row>
    <row r="45776" spans="6:6" x14ac:dyDescent="0.3">
      <c r="F45776" s="193"/>
    </row>
    <row r="45777" spans="6:6" x14ac:dyDescent="0.3">
      <c r="F45777" s="193"/>
    </row>
    <row r="45778" spans="6:6" x14ac:dyDescent="0.3">
      <c r="F45778" s="193"/>
    </row>
    <row r="45779" spans="6:6" x14ac:dyDescent="0.3">
      <c r="F45779" s="193"/>
    </row>
    <row r="45780" spans="6:6" x14ac:dyDescent="0.3">
      <c r="F45780" s="193"/>
    </row>
    <row r="45781" spans="6:6" x14ac:dyDescent="0.3">
      <c r="F45781" s="193"/>
    </row>
    <row r="45782" spans="6:6" x14ac:dyDescent="0.3">
      <c r="F45782" s="193"/>
    </row>
    <row r="45783" spans="6:6" x14ac:dyDescent="0.3">
      <c r="F45783" s="193"/>
    </row>
    <row r="45784" spans="6:6" x14ac:dyDescent="0.3">
      <c r="F45784" s="193"/>
    </row>
    <row r="45785" spans="6:6" x14ac:dyDescent="0.3">
      <c r="F45785" s="193"/>
    </row>
    <row r="45786" spans="6:6" x14ac:dyDescent="0.3">
      <c r="F45786" s="193"/>
    </row>
    <row r="45787" spans="6:6" x14ac:dyDescent="0.3">
      <c r="F45787" s="193"/>
    </row>
    <row r="45788" spans="6:6" x14ac:dyDescent="0.3">
      <c r="F45788" s="193"/>
    </row>
    <row r="45789" spans="6:6" x14ac:dyDescent="0.3">
      <c r="F45789" s="193"/>
    </row>
    <row r="45790" spans="6:6" x14ac:dyDescent="0.3">
      <c r="F45790" s="193"/>
    </row>
    <row r="45791" spans="6:6" x14ac:dyDescent="0.3">
      <c r="F45791" s="193"/>
    </row>
    <row r="45792" spans="6:6" x14ac:dyDescent="0.3">
      <c r="F45792" s="193"/>
    </row>
    <row r="45793" spans="6:6" x14ac:dyDescent="0.3">
      <c r="F45793" s="193"/>
    </row>
    <row r="45794" spans="6:6" x14ac:dyDescent="0.3">
      <c r="F45794" s="193"/>
    </row>
    <row r="45795" spans="6:6" x14ac:dyDescent="0.3">
      <c r="F45795" s="193"/>
    </row>
    <row r="45796" spans="6:6" x14ac:dyDescent="0.3">
      <c r="F45796" s="193"/>
    </row>
    <row r="45797" spans="6:6" x14ac:dyDescent="0.3">
      <c r="F45797" s="193"/>
    </row>
    <row r="45798" spans="6:6" x14ac:dyDescent="0.3">
      <c r="F45798" s="193"/>
    </row>
    <row r="45799" spans="6:6" x14ac:dyDescent="0.3">
      <c r="F45799" s="193"/>
    </row>
    <row r="45800" spans="6:6" x14ac:dyDescent="0.3">
      <c r="F45800" s="193"/>
    </row>
    <row r="45801" spans="6:6" x14ac:dyDescent="0.3">
      <c r="F45801" s="193"/>
    </row>
    <row r="45802" spans="6:6" x14ac:dyDescent="0.3">
      <c r="F45802" s="193"/>
    </row>
    <row r="45803" spans="6:6" x14ac:dyDescent="0.3">
      <c r="F45803" s="193"/>
    </row>
    <row r="45804" spans="6:6" x14ac:dyDescent="0.3">
      <c r="F45804" s="193"/>
    </row>
    <row r="45805" spans="6:6" x14ac:dyDescent="0.3">
      <c r="F45805" s="193"/>
    </row>
    <row r="45806" spans="6:6" x14ac:dyDescent="0.3">
      <c r="F45806" s="193"/>
    </row>
    <row r="45807" spans="6:6" x14ac:dyDescent="0.3">
      <c r="F45807" s="193"/>
    </row>
    <row r="45808" spans="6:6" x14ac:dyDescent="0.3">
      <c r="F45808" s="193"/>
    </row>
    <row r="45809" spans="6:6" x14ac:dyDescent="0.3">
      <c r="F45809" s="193"/>
    </row>
    <row r="45810" spans="6:6" x14ac:dyDescent="0.3">
      <c r="F45810" s="193"/>
    </row>
    <row r="45811" spans="6:6" x14ac:dyDescent="0.3">
      <c r="F45811" s="193"/>
    </row>
    <row r="45812" spans="6:6" x14ac:dyDescent="0.3">
      <c r="F45812" s="193"/>
    </row>
    <row r="45813" spans="6:6" x14ac:dyDescent="0.3">
      <c r="F45813" s="193"/>
    </row>
    <row r="45814" spans="6:6" x14ac:dyDescent="0.3">
      <c r="F45814" s="193"/>
    </row>
    <row r="45815" spans="6:6" x14ac:dyDescent="0.3">
      <c r="F45815" s="193"/>
    </row>
    <row r="45816" spans="6:6" x14ac:dyDescent="0.3">
      <c r="F45816" s="193"/>
    </row>
    <row r="45817" spans="6:6" x14ac:dyDescent="0.3">
      <c r="F45817" s="193"/>
    </row>
    <row r="45818" spans="6:6" x14ac:dyDescent="0.3">
      <c r="F45818" s="193"/>
    </row>
    <row r="45819" spans="6:6" x14ac:dyDescent="0.3">
      <c r="F45819" s="193"/>
    </row>
    <row r="45820" spans="6:6" x14ac:dyDescent="0.3">
      <c r="F45820" s="193"/>
    </row>
    <row r="45821" spans="6:6" x14ac:dyDescent="0.3">
      <c r="F45821" s="193"/>
    </row>
    <row r="45822" spans="6:6" x14ac:dyDescent="0.3">
      <c r="F45822" s="193"/>
    </row>
    <row r="45823" spans="6:6" x14ac:dyDescent="0.3">
      <c r="F45823" s="193"/>
    </row>
    <row r="45824" spans="6:6" x14ac:dyDescent="0.3">
      <c r="F45824" s="193"/>
    </row>
    <row r="45825" spans="6:6" x14ac:dyDescent="0.3">
      <c r="F45825" s="193"/>
    </row>
    <row r="45826" spans="6:6" x14ac:dyDescent="0.3">
      <c r="F45826" s="193"/>
    </row>
    <row r="45827" spans="6:6" x14ac:dyDescent="0.3">
      <c r="F45827" s="193"/>
    </row>
    <row r="45828" spans="6:6" x14ac:dyDescent="0.3">
      <c r="F45828" s="193"/>
    </row>
    <row r="45829" spans="6:6" x14ac:dyDescent="0.3">
      <c r="F45829" s="193"/>
    </row>
    <row r="45830" spans="6:6" x14ac:dyDescent="0.3">
      <c r="F45830" s="193"/>
    </row>
    <row r="45831" spans="6:6" x14ac:dyDescent="0.3">
      <c r="F45831" s="193"/>
    </row>
    <row r="45832" spans="6:6" x14ac:dyDescent="0.3">
      <c r="F45832" s="193"/>
    </row>
    <row r="45833" spans="6:6" x14ac:dyDescent="0.3">
      <c r="F45833" s="193"/>
    </row>
    <row r="45834" spans="6:6" x14ac:dyDescent="0.3">
      <c r="F45834" s="193"/>
    </row>
    <row r="45835" spans="6:6" x14ac:dyDescent="0.3">
      <c r="F45835" s="193"/>
    </row>
    <row r="45836" spans="6:6" x14ac:dyDescent="0.3">
      <c r="F45836" s="193"/>
    </row>
    <row r="45837" spans="6:6" x14ac:dyDescent="0.3">
      <c r="F45837" s="193"/>
    </row>
    <row r="45838" spans="6:6" x14ac:dyDescent="0.3">
      <c r="F45838" s="193"/>
    </row>
    <row r="45839" spans="6:6" x14ac:dyDescent="0.3">
      <c r="F45839" s="193"/>
    </row>
    <row r="45840" spans="6:6" x14ac:dyDescent="0.3">
      <c r="F45840" s="193"/>
    </row>
    <row r="45841" spans="6:6" x14ac:dyDescent="0.3">
      <c r="F45841" s="193"/>
    </row>
    <row r="45842" spans="6:6" x14ac:dyDescent="0.3">
      <c r="F45842" s="193"/>
    </row>
    <row r="45843" spans="6:6" x14ac:dyDescent="0.3">
      <c r="F45843" s="193"/>
    </row>
    <row r="45844" spans="6:6" x14ac:dyDescent="0.3">
      <c r="F45844" s="193"/>
    </row>
    <row r="45845" spans="6:6" x14ac:dyDescent="0.3">
      <c r="F45845" s="193"/>
    </row>
    <row r="45846" spans="6:6" x14ac:dyDescent="0.3">
      <c r="F45846" s="193"/>
    </row>
    <row r="45847" spans="6:6" x14ac:dyDescent="0.3">
      <c r="F45847" s="193"/>
    </row>
    <row r="45848" spans="6:6" x14ac:dyDescent="0.3">
      <c r="F45848" s="193"/>
    </row>
    <row r="45849" spans="6:6" x14ac:dyDescent="0.3">
      <c r="F45849" s="193"/>
    </row>
    <row r="45850" spans="6:6" x14ac:dyDescent="0.3">
      <c r="F45850" s="193"/>
    </row>
    <row r="45851" spans="6:6" x14ac:dyDescent="0.3">
      <c r="F45851" s="193"/>
    </row>
    <row r="45852" spans="6:6" x14ac:dyDescent="0.3">
      <c r="F45852" s="193"/>
    </row>
    <row r="45853" spans="6:6" x14ac:dyDescent="0.3">
      <c r="F45853" s="193"/>
    </row>
    <row r="45854" spans="6:6" x14ac:dyDescent="0.3">
      <c r="F45854" s="193"/>
    </row>
    <row r="45855" spans="6:6" x14ac:dyDescent="0.3">
      <c r="F45855" s="193"/>
    </row>
    <row r="45856" spans="6:6" x14ac:dyDescent="0.3">
      <c r="F45856" s="193"/>
    </row>
    <row r="45857" spans="6:6" x14ac:dyDescent="0.3">
      <c r="F45857" s="193"/>
    </row>
    <row r="45858" spans="6:6" x14ac:dyDescent="0.3">
      <c r="F45858" s="193"/>
    </row>
    <row r="45859" spans="6:6" x14ac:dyDescent="0.3">
      <c r="F45859" s="193"/>
    </row>
    <row r="45860" spans="6:6" x14ac:dyDescent="0.3">
      <c r="F45860" s="193"/>
    </row>
    <row r="45861" spans="6:6" x14ac:dyDescent="0.3">
      <c r="F45861" s="193"/>
    </row>
    <row r="45862" spans="6:6" x14ac:dyDescent="0.3">
      <c r="F45862" s="193"/>
    </row>
    <row r="45863" spans="6:6" x14ac:dyDescent="0.3">
      <c r="F45863" s="193"/>
    </row>
    <row r="45864" spans="6:6" x14ac:dyDescent="0.3">
      <c r="F45864" s="193"/>
    </row>
    <row r="45865" spans="6:6" x14ac:dyDescent="0.3">
      <c r="F45865" s="193"/>
    </row>
    <row r="45866" spans="6:6" x14ac:dyDescent="0.3">
      <c r="F45866" s="193"/>
    </row>
    <row r="45867" spans="6:6" x14ac:dyDescent="0.3">
      <c r="F45867" s="193"/>
    </row>
    <row r="45868" spans="6:6" x14ac:dyDescent="0.3">
      <c r="F45868" s="193"/>
    </row>
    <row r="45869" spans="6:6" x14ac:dyDescent="0.3">
      <c r="F45869" s="193"/>
    </row>
    <row r="45870" spans="6:6" x14ac:dyDescent="0.3">
      <c r="F45870" s="193"/>
    </row>
    <row r="45871" spans="6:6" x14ac:dyDescent="0.3">
      <c r="F45871" s="193"/>
    </row>
    <row r="45872" spans="6:6" x14ac:dyDescent="0.3">
      <c r="F45872" s="193"/>
    </row>
    <row r="45873" spans="6:6" x14ac:dyDescent="0.3">
      <c r="F45873" s="193"/>
    </row>
    <row r="45874" spans="6:6" x14ac:dyDescent="0.3">
      <c r="F45874" s="193"/>
    </row>
    <row r="45875" spans="6:6" x14ac:dyDescent="0.3">
      <c r="F45875" s="193"/>
    </row>
    <row r="45876" spans="6:6" x14ac:dyDescent="0.3">
      <c r="F45876" s="193"/>
    </row>
    <row r="45877" spans="6:6" x14ac:dyDescent="0.3">
      <c r="F45877" s="193"/>
    </row>
    <row r="45878" spans="6:6" x14ac:dyDescent="0.3">
      <c r="F45878" s="193"/>
    </row>
    <row r="45879" spans="6:6" x14ac:dyDescent="0.3">
      <c r="F45879" s="193"/>
    </row>
    <row r="45880" spans="6:6" x14ac:dyDescent="0.3">
      <c r="F45880" s="193"/>
    </row>
    <row r="45881" spans="6:6" x14ac:dyDescent="0.3">
      <c r="F45881" s="193"/>
    </row>
    <row r="45882" spans="6:6" x14ac:dyDescent="0.3">
      <c r="F45882" s="193"/>
    </row>
    <row r="45883" spans="6:6" x14ac:dyDescent="0.3">
      <c r="F45883" s="193"/>
    </row>
    <row r="45884" spans="6:6" x14ac:dyDescent="0.3">
      <c r="F45884" s="193"/>
    </row>
    <row r="45885" spans="6:6" x14ac:dyDescent="0.3">
      <c r="F45885" s="193"/>
    </row>
    <row r="45886" spans="6:6" x14ac:dyDescent="0.3">
      <c r="F45886" s="193"/>
    </row>
    <row r="45887" spans="6:6" x14ac:dyDescent="0.3">
      <c r="F45887" s="193"/>
    </row>
    <row r="45888" spans="6:6" x14ac:dyDescent="0.3">
      <c r="F45888" s="193"/>
    </row>
    <row r="45889" spans="6:6" x14ac:dyDescent="0.3">
      <c r="F45889" s="193"/>
    </row>
    <row r="45890" spans="6:6" x14ac:dyDescent="0.3">
      <c r="F45890" s="193"/>
    </row>
    <row r="45891" spans="6:6" x14ac:dyDescent="0.3">
      <c r="F45891" s="193"/>
    </row>
    <row r="45892" spans="6:6" x14ac:dyDescent="0.3">
      <c r="F45892" s="193"/>
    </row>
    <row r="45893" spans="6:6" x14ac:dyDescent="0.3">
      <c r="F45893" s="193"/>
    </row>
    <row r="45894" spans="6:6" x14ac:dyDescent="0.3">
      <c r="F45894" s="193"/>
    </row>
    <row r="45895" spans="6:6" x14ac:dyDescent="0.3">
      <c r="F45895" s="193"/>
    </row>
    <row r="45896" spans="6:6" x14ac:dyDescent="0.3">
      <c r="F45896" s="193"/>
    </row>
    <row r="45897" spans="6:6" x14ac:dyDescent="0.3">
      <c r="F45897" s="193"/>
    </row>
    <row r="45898" spans="6:6" x14ac:dyDescent="0.3">
      <c r="F45898" s="193"/>
    </row>
    <row r="45899" spans="6:6" x14ac:dyDescent="0.3">
      <c r="F45899" s="193"/>
    </row>
    <row r="45900" spans="6:6" x14ac:dyDescent="0.3">
      <c r="F45900" s="193"/>
    </row>
    <row r="45901" spans="6:6" x14ac:dyDescent="0.3">
      <c r="F45901" s="193"/>
    </row>
    <row r="45902" spans="6:6" x14ac:dyDescent="0.3">
      <c r="F45902" s="193"/>
    </row>
    <row r="45903" spans="6:6" x14ac:dyDescent="0.3">
      <c r="F45903" s="193"/>
    </row>
    <row r="45904" spans="6:6" x14ac:dyDescent="0.3">
      <c r="F45904" s="193"/>
    </row>
    <row r="45905" spans="6:6" x14ac:dyDescent="0.3">
      <c r="F45905" s="193"/>
    </row>
    <row r="45906" spans="6:6" x14ac:dyDescent="0.3">
      <c r="F45906" s="193"/>
    </row>
    <row r="45907" spans="6:6" x14ac:dyDescent="0.3">
      <c r="F45907" s="193"/>
    </row>
    <row r="45908" spans="6:6" x14ac:dyDescent="0.3">
      <c r="F45908" s="193"/>
    </row>
    <row r="45909" spans="6:6" x14ac:dyDescent="0.3">
      <c r="F45909" s="193"/>
    </row>
    <row r="45910" spans="6:6" x14ac:dyDescent="0.3">
      <c r="F45910" s="193"/>
    </row>
    <row r="45911" spans="6:6" x14ac:dyDescent="0.3">
      <c r="F45911" s="193"/>
    </row>
    <row r="45912" spans="6:6" x14ac:dyDescent="0.3">
      <c r="F45912" s="193"/>
    </row>
    <row r="45913" spans="6:6" x14ac:dyDescent="0.3">
      <c r="F45913" s="193"/>
    </row>
    <row r="45914" spans="6:6" x14ac:dyDescent="0.3">
      <c r="F45914" s="193"/>
    </row>
    <row r="45915" spans="6:6" x14ac:dyDescent="0.3">
      <c r="F45915" s="193"/>
    </row>
    <row r="45916" spans="6:6" x14ac:dyDescent="0.3">
      <c r="F45916" s="193"/>
    </row>
    <row r="45917" spans="6:6" x14ac:dyDescent="0.3">
      <c r="F45917" s="193"/>
    </row>
    <row r="45918" spans="6:6" x14ac:dyDescent="0.3">
      <c r="F45918" s="193"/>
    </row>
    <row r="45919" spans="6:6" x14ac:dyDescent="0.3">
      <c r="F45919" s="193"/>
    </row>
    <row r="45920" spans="6:6" x14ac:dyDescent="0.3">
      <c r="F45920" s="193"/>
    </row>
    <row r="45921" spans="6:6" x14ac:dyDescent="0.3">
      <c r="F45921" s="193"/>
    </row>
    <row r="45922" spans="6:6" x14ac:dyDescent="0.3">
      <c r="F45922" s="193"/>
    </row>
    <row r="45923" spans="6:6" x14ac:dyDescent="0.3">
      <c r="F45923" s="193"/>
    </row>
    <row r="45924" spans="6:6" x14ac:dyDescent="0.3">
      <c r="F45924" s="193"/>
    </row>
    <row r="45925" spans="6:6" x14ac:dyDescent="0.3">
      <c r="F45925" s="193"/>
    </row>
    <row r="45926" spans="6:6" x14ac:dyDescent="0.3">
      <c r="F45926" s="193"/>
    </row>
    <row r="45927" spans="6:6" x14ac:dyDescent="0.3">
      <c r="F45927" s="193"/>
    </row>
    <row r="45928" spans="6:6" x14ac:dyDescent="0.3">
      <c r="F45928" s="193"/>
    </row>
    <row r="45929" spans="6:6" x14ac:dyDescent="0.3">
      <c r="F45929" s="193"/>
    </row>
    <row r="45930" spans="6:6" x14ac:dyDescent="0.3">
      <c r="F45930" s="193"/>
    </row>
    <row r="45931" spans="6:6" x14ac:dyDescent="0.3">
      <c r="F45931" s="193"/>
    </row>
    <row r="45932" spans="6:6" x14ac:dyDescent="0.3">
      <c r="F45932" s="193"/>
    </row>
    <row r="45933" spans="6:6" x14ac:dyDescent="0.3">
      <c r="F45933" s="193"/>
    </row>
    <row r="45934" spans="6:6" x14ac:dyDescent="0.3">
      <c r="F45934" s="193"/>
    </row>
    <row r="45935" spans="6:6" x14ac:dyDescent="0.3">
      <c r="F45935" s="193"/>
    </row>
    <row r="45936" spans="6:6" x14ac:dyDescent="0.3">
      <c r="F45936" s="193"/>
    </row>
    <row r="45937" spans="6:6" x14ac:dyDescent="0.3">
      <c r="F45937" s="193"/>
    </row>
    <row r="45938" spans="6:6" x14ac:dyDescent="0.3">
      <c r="F45938" s="193"/>
    </row>
    <row r="45939" spans="6:6" x14ac:dyDescent="0.3">
      <c r="F45939" s="193"/>
    </row>
    <row r="45940" spans="6:6" x14ac:dyDescent="0.3">
      <c r="F45940" s="193"/>
    </row>
    <row r="45941" spans="6:6" x14ac:dyDescent="0.3">
      <c r="F45941" s="193"/>
    </row>
    <row r="45942" spans="6:6" x14ac:dyDescent="0.3">
      <c r="F45942" s="193"/>
    </row>
    <row r="45943" spans="6:6" x14ac:dyDescent="0.3">
      <c r="F45943" s="193"/>
    </row>
    <row r="45944" spans="6:6" x14ac:dyDescent="0.3">
      <c r="F45944" s="193"/>
    </row>
    <row r="45945" spans="6:6" x14ac:dyDescent="0.3">
      <c r="F45945" s="193"/>
    </row>
    <row r="45946" spans="6:6" x14ac:dyDescent="0.3">
      <c r="F45946" s="193"/>
    </row>
    <row r="45947" spans="6:6" x14ac:dyDescent="0.3">
      <c r="F45947" s="193"/>
    </row>
    <row r="45948" spans="6:6" x14ac:dyDescent="0.3">
      <c r="F45948" s="193"/>
    </row>
    <row r="45949" spans="6:6" x14ac:dyDescent="0.3">
      <c r="F45949" s="193"/>
    </row>
    <row r="45950" spans="6:6" x14ac:dyDescent="0.3">
      <c r="F45950" s="193"/>
    </row>
    <row r="45951" spans="6:6" x14ac:dyDescent="0.3">
      <c r="F45951" s="193"/>
    </row>
    <row r="45952" spans="6:6" x14ac:dyDescent="0.3">
      <c r="F45952" s="193"/>
    </row>
    <row r="45953" spans="6:6" x14ac:dyDescent="0.3">
      <c r="F45953" s="193"/>
    </row>
    <row r="45954" spans="6:6" x14ac:dyDescent="0.3">
      <c r="F45954" s="193"/>
    </row>
    <row r="45955" spans="6:6" x14ac:dyDescent="0.3">
      <c r="F45955" s="193"/>
    </row>
    <row r="45956" spans="6:6" x14ac:dyDescent="0.3">
      <c r="F45956" s="193"/>
    </row>
    <row r="45957" spans="6:6" x14ac:dyDescent="0.3">
      <c r="F45957" s="193"/>
    </row>
    <row r="45958" spans="6:6" x14ac:dyDescent="0.3">
      <c r="F45958" s="193"/>
    </row>
    <row r="45959" spans="6:6" x14ac:dyDescent="0.3">
      <c r="F45959" s="193"/>
    </row>
    <row r="45960" spans="6:6" x14ac:dyDescent="0.3">
      <c r="F45960" s="193"/>
    </row>
    <row r="45961" spans="6:6" x14ac:dyDescent="0.3">
      <c r="F45961" s="193"/>
    </row>
    <row r="45962" spans="6:6" x14ac:dyDescent="0.3">
      <c r="F45962" s="193"/>
    </row>
    <row r="45963" spans="6:6" x14ac:dyDescent="0.3">
      <c r="F45963" s="193"/>
    </row>
    <row r="45964" spans="6:6" x14ac:dyDescent="0.3">
      <c r="F45964" s="193"/>
    </row>
    <row r="45965" spans="6:6" x14ac:dyDescent="0.3">
      <c r="F45965" s="193"/>
    </row>
    <row r="45966" spans="6:6" x14ac:dyDescent="0.3">
      <c r="F45966" s="193"/>
    </row>
    <row r="45967" spans="6:6" x14ac:dyDescent="0.3">
      <c r="F45967" s="193"/>
    </row>
    <row r="45968" spans="6:6" x14ac:dyDescent="0.3">
      <c r="F45968" s="193"/>
    </row>
    <row r="45969" spans="6:6" x14ac:dyDescent="0.3">
      <c r="F45969" s="193"/>
    </row>
    <row r="45970" spans="6:6" x14ac:dyDescent="0.3">
      <c r="F45970" s="193"/>
    </row>
    <row r="45971" spans="6:6" x14ac:dyDescent="0.3">
      <c r="F45971" s="193"/>
    </row>
    <row r="45972" spans="6:6" x14ac:dyDescent="0.3">
      <c r="F45972" s="193"/>
    </row>
    <row r="45973" spans="6:6" x14ac:dyDescent="0.3">
      <c r="F45973" s="193"/>
    </row>
    <row r="45974" spans="6:6" x14ac:dyDescent="0.3">
      <c r="F45974" s="193"/>
    </row>
    <row r="45975" spans="6:6" x14ac:dyDescent="0.3">
      <c r="F45975" s="193"/>
    </row>
    <row r="45976" spans="6:6" x14ac:dyDescent="0.3">
      <c r="F45976" s="193"/>
    </row>
    <row r="45977" spans="6:6" x14ac:dyDescent="0.3">
      <c r="F45977" s="193"/>
    </row>
    <row r="45978" spans="6:6" x14ac:dyDescent="0.3">
      <c r="F45978" s="193"/>
    </row>
    <row r="45979" spans="6:6" x14ac:dyDescent="0.3">
      <c r="F45979" s="193"/>
    </row>
    <row r="45980" spans="6:6" x14ac:dyDescent="0.3">
      <c r="F45980" s="193"/>
    </row>
    <row r="45981" spans="6:6" x14ac:dyDescent="0.3">
      <c r="F45981" s="193"/>
    </row>
    <row r="45982" spans="6:6" x14ac:dyDescent="0.3">
      <c r="F45982" s="193"/>
    </row>
    <row r="45983" spans="6:6" x14ac:dyDescent="0.3">
      <c r="F45983" s="193"/>
    </row>
    <row r="45984" spans="6:6" x14ac:dyDescent="0.3">
      <c r="F45984" s="193"/>
    </row>
    <row r="45985" spans="6:6" x14ac:dyDescent="0.3">
      <c r="F45985" s="193"/>
    </row>
    <row r="45986" spans="6:6" x14ac:dyDescent="0.3">
      <c r="F45986" s="193"/>
    </row>
    <row r="45987" spans="6:6" x14ac:dyDescent="0.3">
      <c r="F45987" s="193"/>
    </row>
    <row r="45988" spans="6:6" x14ac:dyDescent="0.3">
      <c r="F45988" s="193"/>
    </row>
    <row r="45989" spans="6:6" x14ac:dyDescent="0.3">
      <c r="F45989" s="193"/>
    </row>
    <row r="45990" spans="6:6" x14ac:dyDescent="0.3">
      <c r="F45990" s="193"/>
    </row>
    <row r="45991" spans="6:6" x14ac:dyDescent="0.3">
      <c r="F45991" s="193"/>
    </row>
    <row r="45992" spans="6:6" x14ac:dyDescent="0.3">
      <c r="F45992" s="193"/>
    </row>
    <row r="45993" spans="6:6" x14ac:dyDescent="0.3">
      <c r="F45993" s="193"/>
    </row>
    <row r="45994" spans="6:6" x14ac:dyDescent="0.3">
      <c r="F45994" s="193"/>
    </row>
    <row r="45995" spans="6:6" x14ac:dyDescent="0.3">
      <c r="F45995" s="193"/>
    </row>
    <row r="45996" spans="6:6" x14ac:dyDescent="0.3">
      <c r="F45996" s="193"/>
    </row>
    <row r="45997" spans="6:6" x14ac:dyDescent="0.3">
      <c r="F45997" s="193"/>
    </row>
    <row r="45998" spans="6:6" x14ac:dyDescent="0.3">
      <c r="F45998" s="193"/>
    </row>
    <row r="45999" spans="6:6" x14ac:dyDescent="0.3">
      <c r="F45999" s="193"/>
    </row>
    <row r="46000" spans="6:6" x14ac:dyDescent="0.3">
      <c r="F46000" s="193"/>
    </row>
    <row r="46001" spans="6:6" x14ac:dyDescent="0.3">
      <c r="F46001" s="193"/>
    </row>
    <row r="46002" spans="6:6" x14ac:dyDescent="0.3">
      <c r="F46002" s="193"/>
    </row>
    <row r="46003" spans="6:6" x14ac:dyDescent="0.3">
      <c r="F46003" s="193"/>
    </row>
    <row r="46004" spans="6:6" x14ac:dyDescent="0.3">
      <c r="F46004" s="193"/>
    </row>
    <row r="46005" spans="6:6" x14ac:dyDescent="0.3">
      <c r="F46005" s="193"/>
    </row>
    <row r="46006" spans="6:6" x14ac:dyDescent="0.3">
      <c r="F46006" s="193"/>
    </row>
    <row r="46007" spans="6:6" x14ac:dyDescent="0.3">
      <c r="F46007" s="193"/>
    </row>
    <row r="46008" spans="6:6" x14ac:dyDescent="0.3">
      <c r="F46008" s="193"/>
    </row>
    <row r="46009" spans="6:6" x14ac:dyDescent="0.3">
      <c r="F46009" s="193"/>
    </row>
    <row r="46010" spans="6:6" x14ac:dyDescent="0.3">
      <c r="F46010" s="193"/>
    </row>
    <row r="46011" spans="6:6" x14ac:dyDescent="0.3">
      <c r="F46011" s="193"/>
    </row>
    <row r="46012" spans="6:6" x14ac:dyDescent="0.3">
      <c r="F46012" s="193"/>
    </row>
    <row r="46013" spans="6:6" x14ac:dyDescent="0.3">
      <c r="F46013" s="193"/>
    </row>
    <row r="46014" spans="6:6" x14ac:dyDescent="0.3">
      <c r="F46014" s="193"/>
    </row>
    <row r="46015" spans="6:6" x14ac:dyDescent="0.3">
      <c r="F46015" s="193"/>
    </row>
    <row r="46016" spans="6:6" x14ac:dyDescent="0.3">
      <c r="F46016" s="193"/>
    </row>
    <row r="46017" spans="6:6" x14ac:dyDescent="0.3">
      <c r="F46017" s="193"/>
    </row>
    <row r="46018" spans="6:6" x14ac:dyDescent="0.3">
      <c r="F46018" s="193"/>
    </row>
    <row r="46019" spans="6:6" x14ac:dyDescent="0.3">
      <c r="F46019" s="193"/>
    </row>
    <row r="46020" spans="6:6" x14ac:dyDescent="0.3">
      <c r="F46020" s="193"/>
    </row>
    <row r="46021" spans="6:6" x14ac:dyDescent="0.3">
      <c r="F46021" s="193"/>
    </row>
    <row r="46022" spans="6:6" x14ac:dyDescent="0.3">
      <c r="F46022" s="193"/>
    </row>
    <row r="46023" spans="6:6" x14ac:dyDescent="0.3">
      <c r="F46023" s="193"/>
    </row>
    <row r="46024" spans="6:6" x14ac:dyDescent="0.3">
      <c r="F46024" s="193"/>
    </row>
    <row r="46025" spans="6:6" x14ac:dyDescent="0.3">
      <c r="F46025" s="193"/>
    </row>
    <row r="46026" spans="6:6" x14ac:dyDescent="0.3">
      <c r="F46026" s="193"/>
    </row>
    <row r="46027" spans="6:6" x14ac:dyDescent="0.3">
      <c r="F46027" s="193"/>
    </row>
    <row r="46028" spans="6:6" x14ac:dyDescent="0.3">
      <c r="F46028" s="193"/>
    </row>
    <row r="46029" spans="6:6" x14ac:dyDescent="0.3">
      <c r="F46029" s="193"/>
    </row>
    <row r="46030" spans="6:6" x14ac:dyDescent="0.3">
      <c r="F46030" s="193"/>
    </row>
    <row r="46031" spans="6:6" x14ac:dyDescent="0.3">
      <c r="F46031" s="193"/>
    </row>
    <row r="46032" spans="6:6" x14ac:dyDescent="0.3">
      <c r="F46032" s="193"/>
    </row>
    <row r="46033" spans="6:6" x14ac:dyDescent="0.3">
      <c r="F46033" s="193"/>
    </row>
    <row r="46034" spans="6:6" x14ac:dyDescent="0.3">
      <c r="F46034" s="193"/>
    </row>
    <row r="46035" spans="6:6" x14ac:dyDescent="0.3">
      <c r="F46035" s="193"/>
    </row>
    <row r="46036" spans="6:6" x14ac:dyDescent="0.3">
      <c r="F46036" s="193"/>
    </row>
    <row r="46037" spans="6:6" x14ac:dyDescent="0.3">
      <c r="F46037" s="193"/>
    </row>
    <row r="46038" spans="6:6" x14ac:dyDescent="0.3">
      <c r="F46038" s="193"/>
    </row>
    <row r="46039" spans="6:6" x14ac:dyDescent="0.3">
      <c r="F46039" s="193"/>
    </row>
    <row r="46040" spans="6:6" x14ac:dyDescent="0.3">
      <c r="F46040" s="193"/>
    </row>
    <row r="46041" spans="6:6" x14ac:dyDescent="0.3">
      <c r="F46041" s="193"/>
    </row>
    <row r="46042" spans="6:6" x14ac:dyDescent="0.3">
      <c r="F46042" s="193"/>
    </row>
    <row r="46043" spans="6:6" x14ac:dyDescent="0.3">
      <c r="F46043" s="193"/>
    </row>
    <row r="46044" spans="6:6" x14ac:dyDescent="0.3">
      <c r="F46044" s="193"/>
    </row>
    <row r="46045" spans="6:6" x14ac:dyDescent="0.3">
      <c r="F46045" s="193"/>
    </row>
    <row r="46046" spans="6:6" x14ac:dyDescent="0.3">
      <c r="F46046" s="193"/>
    </row>
    <row r="46047" spans="6:6" x14ac:dyDescent="0.3">
      <c r="F46047" s="193"/>
    </row>
    <row r="46048" spans="6:6" x14ac:dyDescent="0.3">
      <c r="F46048" s="193"/>
    </row>
    <row r="46049" spans="6:6" x14ac:dyDescent="0.3">
      <c r="F46049" s="193"/>
    </row>
    <row r="46050" spans="6:6" x14ac:dyDescent="0.3">
      <c r="F46050" s="193"/>
    </row>
    <row r="46051" spans="6:6" x14ac:dyDescent="0.3">
      <c r="F46051" s="193"/>
    </row>
    <row r="46052" spans="6:6" x14ac:dyDescent="0.3">
      <c r="F46052" s="193"/>
    </row>
    <row r="46053" spans="6:6" x14ac:dyDescent="0.3">
      <c r="F46053" s="193"/>
    </row>
    <row r="46054" spans="6:6" x14ac:dyDescent="0.3">
      <c r="F46054" s="193"/>
    </row>
    <row r="46055" spans="6:6" x14ac:dyDescent="0.3">
      <c r="F46055" s="193"/>
    </row>
    <row r="46056" spans="6:6" x14ac:dyDescent="0.3">
      <c r="F46056" s="193"/>
    </row>
    <row r="46057" spans="6:6" x14ac:dyDescent="0.3">
      <c r="F46057" s="193"/>
    </row>
    <row r="46058" spans="6:6" x14ac:dyDescent="0.3">
      <c r="F46058" s="193"/>
    </row>
    <row r="46059" spans="6:6" x14ac:dyDescent="0.3">
      <c r="F46059" s="193"/>
    </row>
    <row r="46060" spans="6:6" x14ac:dyDescent="0.3">
      <c r="F46060" s="193"/>
    </row>
    <row r="46061" spans="6:6" x14ac:dyDescent="0.3">
      <c r="F46061" s="193"/>
    </row>
    <row r="46062" spans="6:6" x14ac:dyDescent="0.3">
      <c r="F46062" s="193"/>
    </row>
    <row r="46063" spans="6:6" x14ac:dyDescent="0.3">
      <c r="F46063" s="193"/>
    </row>
    <row r="46064" spans="6:6" x14ac:dyDescent="0.3">
      <c r="F46064" s="193"/>
    </row>
    <row r="46065" spans="6:6" x14ac:dyDescent="0.3">
      <c r="F46065" s="193"/>
    </row>
    <row r="46066" spans="6:6" x14ac:dyDescent="0.3">
      <c r="F46066" s="193"/>
    </row>
    <row r="46067" spans="6:6" x14ac:dyDescent="0.3">
      <c r="F46067" s="193"/>
    </row>
    <row r="46068" spans="6:6" x14ac:dyDescent="0.3">
      <c r="F46068" s="193"/>
    </row>
    <row r="46069" spans="6:6" x14ac:dyDescent="0.3">
      <c r="F46069" s="193"/>
    </row>
    <row r="46070" spans="6:6" x14ac:dyDescent="0.3">
      <c r="F46070" s="193"/>
    </row>
    <row r="46071" spans="6:6" x14ac:dyDescent="0.3">
      <c r="F46071" s="193"/>
    </row>
    <row r="46072" spans="6:6" x14ac:dyDescent="0.3">
      <c r="F46072" s="193"/>
    </row>
    <row r="46073" spans="6:6" x14ac:dyDescent="0.3">
      <c r="F46073" s="193"/>
    </row>
    <row r="46074" spans="6:6" x14ac:dyDescent="0.3">
      <c r="F46074" s="193"/>
    </row>
    <row r="46075" spans="6:6" x14ac:dyDescent="0.3">
      <c r="F46075" s="193"/>
    </row>
    <row r="46076" spans="6:6" x14ac:dyDescent="0.3">
      <c r="F46076" s="193"/>
    </row>
    <row r="46077" spans="6:6" x14ac:dyDescent="0.3">
      <c r="F46077" s="193"/>
    </row>
    <row r="46078" spans="6:6" x14ac:dyDescent="0.3">
      <c r="F46078" s="193"/>
    </row>
    <row r="46079" spans="6:6" x14ac:dyDescent="0.3">
      <c r="F46079" s="193"/>
    </row>
    <row r="46080" spans="6:6" x14ac:dyDescent="0.3">
      <c r="F46080" s="193"/>
    </row>
    <row r="46081" spans="6:6" x14ac:dyDescent="0.3">
      <c r="F46081" s="193"/>
    </row>
    <row r="46082" spans="6:6" x14ac:dyDescent="0.3">
      <c r="F46082" s="193"/>
    </row>
    <row r="46083" spans="6:6" x14ac:dyDescent="0.3">
      <c r="F46083" s="193"/>
    </row>
    <row r="46084" spans="6:6" x14ac:dyDescent="0.3">
      <c r="F46084" s="193"/>
    </row>
    <row r="46085" spans="6:6" x14ac:dyDescent="0.3">
      <c r="F46085" s="193"/>
    </row>
    <row r="46086" spans="6:6" x14ac:dyDescent="0.3">
      <c r="F46086" s="193"/>
    </row>
    <row r="46087" spans="6:6" x14ac:dyDescent="0.3">
      <c r="F46087" s="193"/>
    </row>
    <row r="46088" spans="6:6" x14ac:dyDescent="0.3">
      <c r="F46088" s="193"/>
    </row>
    <row r="46089" spans="6:6" x14ac:dyDescent="0.3">
      <c r="F46089" s="193"/>
    </row>
    <row r="46090" spans="6:6" x14ac:dyDescent="0.3">
      <c r="F46090" s="193"/>
    </row>
    <row r="46091" spans="6:6" x14ac:dyDescent="0.3">
      <c r="F46091" s="193"/>
    </row>
    <row r="46092" spans="6:6" x14ac:dyDescent="0.3">
      <c r="F46092" s="193"/>
    </row>
    <row r="46093" spans="6:6" x14ac:dyDescent="0.3">
      <c r="F46093" s="193"/>
    </row>
    <row r="46094" spans="6:6" x14ac:dyDescent="0.3">
      <c r="F46094" s="193"/>
    </row>
    <row r="46095" spans="6:6" x14ac:dyDescent="0.3">
      <c r="F46095" s="193"/>
    </row>
    <row r="46096" spans="6:6" x14ac:dyDescent="0.3">
      <c r="F46096" s="193"/>
    </row>
    <row r="46097" spans="6:6" x14ac:dyDescent="0.3">
      <c r="F46097" s="193"/>
    </row>
    <row r="46098" spans="6:6" x14ac:dyDescent="0.3">
      <c r="F46098" s="193"/>
    </row>
    <row r="46099" spans="6:6" x14ac:dyDescent="0.3">
      <c r="F46099" s="193"/>
    </row>
    <row r="46100" spans="6:6" x14ac:dyDescent="0.3">
      <c r="F46100" s="193"/>
    </row>
    <row r="46101" spans="6:6" x14ac:dyDescent="0.3">
      <c r="F46101" s="193"/>
    </row>
    <row r="46102" spans="6:6" x14ac:dyDescent="0.3">
      <c r="F46102" s="193"/>
    </row>
    <row r="46103" spans="6:6" x14ac:dyDescent="0.3">
      <c r="F46103" s="193"/>
    </row>
    <row r="46104" spans="6:6" x14ac:dyDescent="0.3">
      <c r="F46104" s="193"/>
    </row>
    <row r="46105" spans="6:6" x14ac:dyDescent="0.3">
      <c r="F46105" s="193"/>
    </row>
    <row r="46106" spans="6:6" x14ac:dyDescent="0.3">
      <c r="F46106" s="193"/>
    </row>
    <row r="46107" spans="6:6" x14ac:dyDescent="0.3">
      <c r="F46107" s="193"/>
    </row>
    <row r="46108" spans="6:6" x14ac:dyDescent="0.3">
      <c r="F46108" s="193"/>
    </row>
    <row r="46109" spans="6:6" x14ac:dyDescent="0.3">
      <c r="F46109" s="193"/>
    </row>
    <row r="46110" spans="6:6" x14ac:dyDescent="0.3">
      <c r="F46110" s="193"/>
    </row>
    <row r="46111" spans="6:6" x14ac:dyDescent="0.3">
      <c r="F46111" s="193"/>
    </row>
    <row r="46112" spans="6:6" x14ac:dyDescent="0.3">
      <c r="F46112" s="193"/>
    </row>
    <row r="46113" spans="6:6" x14ac:dyDescent="0.3">
      <c r="F46113" s="193"/>
    </row>
    <row r="46114" spans="6:6" x14ac:dyDescent="0.3">
      <c r="F46114" s="193"/>
    </row>
    <row r="46115" spans="6:6" x14ac:dyDescent="0.3">
      <c r="F46115" s="193"/>
    </row>
    <row r="46116" spans="6:6" x14ac:dyDescent="0.3">
      <c r="F46116" s="193"/>
    </row>
    <row r="46117" spans="6:6" x14ac:dyDescent="0.3">
      <c r="F46117" s="193"/>
    </row>
    <row r="46118" spans="6:6" x14ac:dyDescent="0.3">
      <c r="F46118" s="193"/>
    </row>
    <row r="46119" spans="6:6" x14ac:dyDescent="0.3">
      <c r="F46119" s="193"/>
    </row>
    <row r="46120" spans="6:6" x14ac:dyDescent="0.3">
      <c r="F46120" s="193"/>
    </row>
    <row r="46121" spans="6:6" x14ac:dyDescent="0.3">
      <c r="F46121" s="193"/>
    </row>
    <row r="46122" spans="6:6" x14ac:dyDescent="0.3">
      <c r="F46122" s="193"/>
    </row>
    <row r="46123" spans="6:6" x14ac:dyDescent="0.3">
      <c r="F46123" s="193"/>
    </row>
    <row r="46124" spans="6:6" x14ac:dyDescent="0.3">
      <c r="F46124" s="193"/>
    </row>
    <row r="46125" spans="6:6" x14ac:dyDescent="0.3">
      <c r="F46125" s="193"/>
    </row>
    <row r="46126" spans="6:6" x14ac:dyDescent="0.3">
      <c r="F46126" s="193"/>
    </row>
    <row r="46127" spans="6:6" x14ac:dyDescent="0.3">
      <c r="F46127" s="193"/>
    </row>
    <row r="46128" spans="6:6" x14ac:dyDescent="0.3">
      <c r="F46128" s="193"/>
    </row>
    <row r="46129" spans="6:6" x14ac:dyDescent="0.3">
      <c r="F46129" s="193"/>
    </row>
    <row r="46130" spans="6:6" x14ac:dyDescent="0.3">
      <c r="F46130" s="193"/>
    </row>
    <row r="46131" spans="6:6" x14ac:dyDescent="0.3">
      <c r="F46131" s="193"/>
    </row>
    <row r="46132" spans="6:6" x14ac:dyDescent="0.3">
      <c r="F46132" s="193"/>
    </row>
    <row r="46133" spans="6:6" x14ac:dyDescent="0.3">
      <c r="F46133" s="193"/>
    </row>
    <row r="46134" spans="6:6" x14ac:dyDescent="0.3">
      <c r="F46134" s="193"/>
    </row>
    <row r="46135" spans="6:6" x14ac:dyDescent="0.3">
      <c r="F46135" s="193"/>
    </row>
    <row r="46136" spans="6:6" x14ac:dyDescent="0.3">
      <c r="F46136" s="193"/>
    </row>
    <row r="46137" spans="6:6" x14ac:dyDescent="0.3">
      <c r="F46137" s="193"/>
    </row>
    <row r="46138" spans="6:6" x14ac:dyDescent="0.3">
      <c r="F46138" s="193"/>
    </row>
    <row r="46139" spans="6:6" x14ac:dyDescent="0.3">
      <c r="F46139" s="193"/>
    </row>
    <row r="46140" spans="6:6" x14ac:dyDescent="0.3">
      <c r="F46140" s="193"/>
    </row>
    <row r="46141" spans="6:6" x14ac:dyDescent="0.3">
      <c r="F46141" s="193"/>
    </row>
    <row r="46142" spans="6:6" x14ac:dyDescent="0.3">
      <c r="F46142" s="193"/>
    </row>
    <row r="46143" spans="6:6" x14ac:dyDescent="0.3">
      <c r="F46143" s="193"/>
    </row>
    <row r="46144" spans="6:6" x14ac:dyDescent="0.3">
      <c r="F46144" s="193"/>
    </row>
    <row r="46145" spans="6:6" x14ac:dyDescent="0.3">
      <c r="F46145" s="193"/>
    </row>
    <row r="46146" spans="6:6" x14ac:dyDescent="0.3">
      <c r="F46146" s="193"/>
    </row>
    <row r="46147" spans="6:6" x14ac:dyDescent="0.3">
      <c r="F46147" s="193"/>
    </row>
    <row r="46148" spans="6:6" x14ac:dyDescent="0.3">
      <c r="F46148" s="193"/>
    </row>
    <row r="46149" spans="6:6" x14ac:dyDescent="0.3">
      <c r="F46149" s="193"/>
    </row>
    <row r="46150" spans="6:6" x14ac:dyDescent="0.3">
      <c r="F46150" s="193"/>
    </row>
    <row r="46151" spans="6:6" x14ac:dyDescent="0.3">
      <c r="F46151" s="193"/>
    </row>
    <row r="46152" spans="6:6" x14ac:dyDescent="0.3">
      <c r="F46152" s="193"/>
    </row>
    <row r="46153" spans="6:6" x14ac:dyDescent="0.3">
      <c r="F46153" s="193"/>
    </row>
    <row r="46154" spans="6:6" x14ac:dyDescent="0.3">
      <c r="F46154" s="193"/>
    </row>
    <row r="46155" spans="6:6" x14ac:dyDescent="0.3">
      <c r="F46155" s="193"/>
    </row>
    <row r="46156" spans="6:6" x14ac:dyDescent="0.3">
      <c r="F46156" s="193"/>
    </row>
    <row r="46157" spans="6:6" x14ac:dyDescent="0.3">
      <c r="F46157" s="193"/>
    </row>
    <row r="46158" spans="6:6" x14ac:dyDescent="0.3">
      <c r="F46158" s="193"/>
    </row>
    <row r="46159" spans="6:6" x14ac:dyDescent="0.3">
      <c r="F46159" s="193"/>
    </row>
    <row r="46160" spans="6:6" x14ac:dyDescent="0.3">
      <c r="F46160" s="193"/>
    </row>
    <row r="46161" spans="6:6" x14ac:dyDescent="0.3">
      <c r="F46161" s="193"/>
    </row>
    <row r="46162" spans="6:6" x14ac:dyDescent="0.3">
      <c r="F46162" s="193"/>
    </row>
    <row r="46163" spans="6:6" x14ac:dyDescent="0.3">
      <c r="F46163" s="193"/>
    </row>
    <row r="46164" spans="6:6" x14ac:dyDescent="0.3">
      <c r="F46164" s="193"/>
    </row>
    <row r="46165" spans="6:6" x14ac:dyDescent="0.3">
      <c r="F46165" s="193"/>
    </row>
    <row r="46166" spans="6:6" x14ac:dyDescent="0.3">
      <c r="F46166" s="193"/>
    </row>
    <row r="46167" spans="6:6" x14ac:dyDescent="0.3">
      <c r="F46167" s="193"/>
    </row>
    <row r="46168" spans="6:6" x14ac:dyDescent="0.3">
      <c r="F46168" s="193"/>
    </row>
    <row r="46169" spans="6:6" x14ac:dyDescent="0.3">
      <c r="F46169" s="193"/>
    </row>
    <row r="46170" spans="6:6" x14ac:dyDescent="0.3">
      <c r="F46170" s="193"/>
    </row>
    <row r="46171" spans="6:6" x14ac:dyDescent="0.3">
      <c r="F46171" s="193"/>
    </row>
    <row r="46172" spans="6:6" x14ac:dyDescent="0.3">
      <c r="F46172" s="193"/>
    </row>
    <row r="46173" spans="6:6" x14ac:dyDescent="0.3">
      <c r="F46173" s="193"/>
    </row>
    <row r="46174" spans="6:6" x14ac:dyDescent="0.3">
      <c r="F46174" s="193"/>
    </row>
    <row r="46175" spans="6:6" x14ac:dyDescent="0.3">
      <c r="F46175" s="193"/>
    </row>
    <row r="46176" spans="6:6" x14ac:dyDescent="0.3">
      <c r="F46176" s="193"/>
    </row>
    <row r="46177" spans="6:6" x14ac:dyDescent="0.3">
      <c r="F46177" s="193"/>
    </row>
    <row r="46178" spans="6:6" x14ac:dyDescent="0.3">
      <c r="F46178" s="193"/>
    </row>
    <row r="46179" spans="6:6" x14ac:dyDescent="0.3">
      <c r="F46179" s="193"/>
    </row>
    <row r="46180" spans="6:6" x14ac:dyDescent="0.3">
      <c r="F46180" s="193"/>
    </row>
    <row r="46181" spans="6:6" x14ac:dyDescent="0.3">
      <c r="F46181" s="193"/>
    </row>
    <row r="46182" spans="6:6" x14ac:dyDescent="0.3">
      <c r="F46182" s="193"/>
    </row>
    <row r="46183" spans="6:6" x14ac:dyDescent="0.3">
      <c r="F46183" s="193"/>
    </row>
    <row r="46184" spans="6:6" x14ac:dyDescent="0.3">
      <c r="F46184" s="193"/>
    </row>
    <row r="46185" spans="6:6" x14ac:dyDescent="0.3">
      <c r="F46185" s="193"/>
    </row>
    <row r="46186" spans="6:6" x14ac:dyDescent="0.3">
      <c r="F46186" s="193"/>
    </row>
    <row r="46187" spans="6:6" x14ac:dyDescent="0.3">
      <c r="F46187" s="193"/>
    </row>
    <row r="46188" spans="6:6" x14ac:dyDescent="0.3">
      <c r="F46188" s="193"/>
    </row>
    <row r="46189" spans="6:6" x14ac:dyDescent="0.3">
      <c r="F46189" s="193"/>
    </row>
    <row r="46190" spans="6:6" x14ac:dyDescent="0.3">
      <c r="F46190" s="193"/>
    </row>
    <row r="46191" spans="6:6" x14ac:dyDescent="0.3">
      <c r="F46191" s="193"/>
    </row>
    <row r="46192" spans="6:6" x14ac:dyDescent="0.3">
      <c r="F46192" s="193"/>
    </row>
    <row r="46193" spans="6:6" x14ac:dyDescent="0.3">
      <c r="F46193" s="193"/>
    </row>
    <row r="46194" spans="6:6" x14ac:dyDescent="0.3">
      <c r="F46194" s="193"/>
    </row>
    <row r="46195" spans="6:6" x14ac:dyDescent="0.3">
      <c r="F46195" s="193"/>
    </row>
    <row r="46196" spans="6:6" x14ac:dyDescent="0.3">
      <c r="F46196" s="193"/>
    </row>
    <row r="46197" spans="6:6" x14ac:dyDescent="0.3">
      <c r="F46197" s="193"/>
    </row>
    <row r="46198" spans="6:6" x14ac:dyDescent="0.3">
      <c r="F46198" s="193"/>
    </row>
    <row r="46199" spans="6:6" x14ac:dyDescent="0.3">
      <c r="F46199" s="193"/>
    </row>
    <row r="46200" spans="6:6" x14ac:dyDescent="0.3">
      <c r="F46200" s="193"/>
    </row>
    <row r="46201" spans="6:6" x14ac:dyDescent="0.3">
      <c r="F46201" s="193"/>
    </row>
    <row r="46202" spans="6:6" x14ac:dyDescent="0.3">
      <c r="F46202" s="193"/>
    </row>
    <row r="46203" spans="6:6" x14ac:dyDescent="0.3">
      <c r="F46203" s="193"/>
    </row>
    <row r="46204" spans="6:6" x14ac:dyDescent="0.3">
      <c r="F46204" s="193"/>
    </row>
    <row r="46205" spans="6:6" x14ac:dyDescent="0.3">
      <c r="F46205" s="193"/>
    </row>
    <row r="46206" spans="6:6" x14ac:dyDescent="0.3">
      <c r="F46206" s="193"/>
    </row>
    <row r="46207" spans="6:6" x14ac:dyDescent="0.3">
      <c r="F46207" s="193"/>
    </row>
    <row r="46208" spans="6:6" x14ac:dyDescent="0.3">
      <c r="F46208" s="193"/>
    </row>
    <row r="46209" spans="6:6" x14ac:dyDescent="0.3">
      <c r="F46209" s="193"/>
    </row>
    <row r="46210" spans="6:6" x14ac:dyDescent="0.3">
      <c r="F46210" s="193"/>
    </row>
    <row r="46211" spans="6:6" x14ac:dyDescent="0.3">
      <c r="F46211" s="193"/>
    </row>
    <row r="46212" spans="6:6" x14ac:dyDescent="0.3">
      <c r="F46212" s="193"/>
    </row>
    <row r="46213" spans="6:6" x14ac:dyDescent="0.3">
      <c r="F46213" s="193"/>
    </row>
    <row r="46214" spans="6:6" x14ac:dyDescent="0.3">
      <c r="F46214" s="193"/>
    </row>
    <row r="46215" spans="6:6" x14ac:dyDescent="0.3">
      <c r="F46215" s="193"/>
    </row>
    <row r="46216" spans="6:6" x14ac:dyDescent="0.3">
      <c r="F46216" s="193"/>
    </row>
    <row r="46217" spans="6:6" x14ac:dyDescent="0.3">
      <c r="F46217" s="193"/>
    </row>
    <row r="46218" spans="6:6" x14ac:dyDescent="0.3">
      <c r="F46218" s="193"/>
    </row>
    <row r="46219" spans="6:6" x14ac:dyDescent="0.3">
      <c r="F46219" s="193"/>
    </row>
    <row r="46220" spans="6:6" x14ac:dyDescent="0.3">
      <c r="F46220" s="193"/>
    </row>
    <row r="46221" spans="6:6" x14ac:dyDescent="0.3">
      <c r="F46221" s="193"/>
    </row>
    <row r="46222" spans="6:6" x14ac:dyDescent="0.3">
      <c r="F46222" s="193"/>
    </row>
    <row r="46223" spans="6:6" x14ac:dyDescent="0.3">
      <c r="F46223" s="193"/>
    </row>
    <row r="46224" spans="6:6" x14ac:dyDescent="0.3">
      <c r="F46224" s="193"/>
    </row>
    <row r="46225" spans="6:6" x14ac:dyDescent="0.3">
      <c r="F46225" s="193"/>
    </row>
    <row r="46226" spans="6:6" x14ac:dyDescent="0.3">
      <c r="F46226" s="193"/>
    </row>
    <row r="46227" spans="6:6" x14ac:dyDescent="0.3">
      <c r="F46227" s="193"/>
    </row>
    <row r="46228" spans="6:6" x14ac:dyDescent="0.3">
      <c r="F46228" s="193"/>
    </row>
    <row r="46229" spans="6:6" x14ac:dyDescent="0.3">
      <c r="F46229" s="193"/>
    </row>
    <row r="46230" spans="6:6" x14ac:dyDescent="0.3">
      <c r="F46230" s="193"/>
    </row>
    <row r="46231" spans="6:6" x14ac:dyDescent="0.3">
      <c r="F46231" s="193"/>
    </row>
    <row r="46232" spans="6:6" x14ac:dyDescent="0.3">
      <c r="F46232" s="193"/>
    </row>
    <row r="46233" spans="6:6" x14ac:dyDescent="0.3">
      <c r="F46233" s="193"/>
    </row>
    <row r="46234" spans="6:6" x14ac:dyDescent="0.3">
      <c r="F46234" s="193"/>
    </row>
    <row r="46235" spans="6:6" x14ac:dyDescent="0.3">
      <c r="F46235" s="193"/>
    </row>
    <row r="46236" spans="6:6" x14ac:dyDescent="0.3">
      <c r="F46236" s="193"/>
    </row>
    <row r="46237" spans="6:6" x14ac:dyDescent="0.3">
      <c r="F46237" s="193"/>
    </row>
    <row r="46238" spans="6:6" x14ac:dyDescent="0.3">
      <c r="F46238" s="193"/>
    </row>
    <row r="46239" spans="6:6" x14ac:dyDescent="0.3">
      <c r="F46239" s="193"/>
    </row>
    <row r="46240" spans="6:6" x14ac:dyDescent="0.3">
      <c r="F46240" s="193"/>
    </row>
    <row r="46241" spans="6:6" x14ac:dyDescent="0.3">
      <c r="F46241" s="193"/>
    </row>
    <row r="46242" spans="6:6" x14ac:dyDescent="0.3">
      <c r="F46242" s="193"/>
    </row>
    <row r="46243" spans="6:6" x14ac:dyDescent="0.3">
      <c r="F46243" s="193"/>
    </row>
    <row r="46244" spans="6:6" x14ac:dyDescent="0.3">
      <c r="F46244" s="193"/>
    </row>
    <row r="46245" spans="6:6" x14ac:dyDescent="0.3">
      <c r="F46245" s="193"/>
    </row>
    <row r="46246" spans="6:6" x14ac:dyDescent="0.3">
      <c r="F46246" s="193"/>
    </row>
    <row r="46247" spans="6:6" x14ac:dyDescent="0.3">
      <c r="F46247" s="193"/>
    </row>
    <row r="46248" spans="6:6" x14ac:dyDescent="0.3">
      <c r="F46248" s="193"/>
    </row>
    <row r="46249" spans="6:6" x14ac:dyDescent="0.3">
      <c r="F46249" s="193"/>
    </row>
    <row r="46250" spans="6:6" x14ac:dyDescent="0.3">
      <c r="F46250" s="193"/>
    </row>
    <row r="46251" spans="6:6" x14ac:dyDescent="0.3">
      <c r="F46251" s="193"/>
    </row>
    <row r="46252" spans="6:6" x14ac:dyDescent="0.3">
      <c r="F46252" s="193"/>
    </row>
    <row r="46253" spans="6:6" x14ac:dyDescent="0.3">
      <c r="F46253" s="193"/>
    </row>
    <row r="46254" spans="6:6" x14ac:dyDescent="0.3">
      <c r="F46254" s="193"/>
    </row>
    <row r="46255" spans="6:6" x14ac:dyDescent="0.3">
      <c r="F46255" s="193"/>
    </row>
    <row r="46256" spans="6:6" x14ac:dyDescent="0.3">
      <c r="F46256" s="193"/>
    </row>
    <row r="46257" spans="6:6" x14ac:dyDescent="0.3">
      <c r="F46257" s="193"/>
    </row>
    <row r="46258" spans="6:6" x14ac:dyDescent="0.3">
      <c r="F46258" s="193"/>
    </row>
    <row r="46259" spans="6:6" x14ac:dyDescent="0.3">
      <c r="F46259" s="193"/>
    </row>
    <row r="46260" spans="6:6" x14ac:dyDescent="0.3">
      <c r="F46260" s="193"/>
    </row>
    <row r="46261" spans="6:6" x14ac:dyDescent="0.3">
      <c r="F46261" s="193"/>
    </row>
    <row r="46262" spans="6:6" x14ac:dyDescent="0.3">
      <c r="F46262" s="193"/>
    </row>
    <row r="46263" spans="6:6" x14ac:dyDescent="0.3">
      <c r="F46263" s="193"/>
    </row>
    <row r="46264" spans="6:6" x14ac:dyDescent="0.3">
      <c r="F46264" s="193"/>
    </row>
    <row r="46265" spans="6:6" x14ac:dyDescent="0.3">
      <c r="F46265" s="193"/>
    </row>
    <row r="46266" spans="6:6" x14ac:dyDescent="0.3">
      <c r="F46266" s="193"/>
    </row>
    <row r="46267" spans="6:6" x14ac:dyDescent="0.3">
      <c r="F46267" s="193"/>
    </row>
    <row r="46268" spans="6:6" x14ac:dyDescent="0.3">
      <c r="F46268" s="193"/>
    </row>
    <row r="46269" spans="6:6" x14ac:dyDescent="0.3">
      <c r="F46269" s="193"/>
    </row>
    <row r="46270" spans="6:6" x14ac:dyDescent="0.3">
      <c r="F46270" s="193"/>
    </row>
    <row r="46271" spans="6:6" x14ac:dyDescent="0.3">
      <c r="F46271" s="193"/>
    </row>
    <row r="46272" spans="6:6" x14ac:dyDescent="0.3">
      <c r="F46272" s="193"/>
    </row>
    <row r="46273" spans="6:6" x14ac:dyDescent="0.3">
      <c r="F46273" s="193"/>
    </row>
    <row r="46274" spans="6:6" x14ac:dyDescent="0.3">
      <c r="F46274" s="193"/>
    </row>
    <row r="46275" spans="6:6" x14ac:dyDescent="0.3">
      <c r="F46275" s="193"/>
    </row>
    <row r="46276" spans="6:6" x14ac:dyDescent="0.3">
      <c r="F46276" s="193"/>
    </row>
    <row r="46277" spans="6:6" x14ac:dyDescent="0.3">
      <c r="F46277" s="193"/>
    </row>
    <row r="46278" spans="6:6" x14ac:dyDescent="0.3">
      <c r="F46278" s="193"/>
    </row>
    <row r="46279" spans="6:6" x14ac:dyDescent="0.3">
      <c r="F46279" s="193"/>
    </row>
    <row r="46280" spans="6:6" x14ac:dyDescent="0.3">
      <c r="F46280" s="193"/>
    </row>
    <row r="46281" spans="6:6" x14ac:dyDescent="0.3">
      <c r="F46281" s="193"/>
    </row>
    <row r="46282" spans="6:6" x14ac:dyDescent="0.3">
      <c r="F46282" s="193"/>
    </row>
    <row r="46283" spans="6:6" x14ac:dyDescent="0.3">
      <c r="F46283" s="193"/>
    </row>
    <row r="46284" spans="6:6" x14ac:dyDescent="0.3">
      <c r="F46284" s="193"/>
    </row>
    <row r="46285" spans="6:6" x14ac:dyDescent="0.3">
      <c r="F46285" s="193"/>
    </row>
    <row r="46286" spans="6:6" x14ac:dyDescent="0.3">
      <c r="F46286" s="193"/>
    </row>
    <row r="46287" spans="6:6" x14ac:dyDescent="0.3">
      <c r="F46287" s="193"/>
    </row>
    <row r="46288" spans="6:6" x14ac:dyDescent="0.3">
      <c r="F46288" s="193"/>
    </row>
    <row r="46289" spans="6:6" x14ac:dyDescent="0.3">
      <c r="F46289" s="193"/>
    </row>
    <row r="46290" spans="6:6" x14ac:dyDescent="0.3">
      <c r="F46290" s="193"/>
    </row>
    <row r="46291" spans="6:6" x14ac:dyDescent="0.3">
      <c r="F46291" s="193"/>
    </row>
    <row r="46292" spans="6:6" x14ac:dyDescent="0.3">
      <c r="F46292" s="193"/>
    </row>
    <row r="46293" spans="6:6" x14ac:dyDescent="0.3">
      <c r="F46293" s="193"/>
    </row>
    <row r="46294" spans="6:6" x14ac:dyDescent="0.3">
      <c r="F46294" s="193"/>
    </row>
    <row r="46295" spans="6:6" x14ac:dyDescent="0.3">
      <c r="F46295" s="193"/>
    </row>
    <row r="46296" spans="6:6" x14ac:dyDescent="0.3">
      <c r="F46296" s="193"/>
    </row>
    <row r="46297" spans="6:6" x14ac:dyDescent="0.3">
      <c r="F46297" s="193"/>
    </row>
    <row r="46298" spans="6:6" x14ac:dyDescent="0.3">
      <c r="F46298" s="193"/>
    </row>
    <row r="46299" spans="6:6" x14ac:dyDescent="0.3">
      <c r="F46299" s="193"/>
    </row>
    <row r="46300" spans="6:6" x14ac:dyDescent="0.3">
      <c r="F46300" s="193"/>
    </row>
    <row r="46301" spans="6:6" x14ac:dyDescent="0.3">
      <c r="F46301" s="193"/>
    </row>
    <row r="46302" spans="6:6" x14ac:dyDescent="0.3">
      <c r="F46302" s="193"/>
    </row>
    <row r="46303" spans="6:6" x14ac:dyDescent="0.3">
      <c r="F46303" s="193"/>
    </row>
    <row r="46304" spans="6:6" x14ac:dyDescent="0.3">
      <c r="F46304" s="193"/>
    </row>
    <row r="46305" spans="6:6" x14ac:dyDescent="0.3">
      <c r="F46305" s="193"/>
    </row>
    <row r="46306" spans="6:6" x14ac:dyDescent="0.3">
      <c r="F46306" s="193"/>
    </row>
    <row r="46307" spans="6:6" x14ac:dyDescent="0.3">
      <c r="F46307" s="193"/>
    </row>
    <row r="46308" spans="6:6" x14ac:dyDescent="0.3">
      <c r="F46308" s="193"/>
    </row>
    <row r="46309" spans="6:6" x14ac:dyDescent="0.3">
      <c r="F46309" s="193"/>
    </row>
    <row r="46310" spans="6:6" x14ac:dyDescent="0.3">
      <c r="F46310" s="193"/>
    </row>
    <row r="46311" spans="6:6" x14ac:dyDescent="0.3">
      <c r="F46311" s="193"/>
    </row>
    <row r="46312" spans="6:6" x14ac:dyDescent="0.3">
      <c r="F46312" s="193"/>
    </row>
    <row r="46313" spans="6:6" x14ac:dyDescent="0.3">
      <c r="F46313" s="193"/>
    </row>
    <row r="46314" spans="6:6" x14ac:dyDescent="0.3">
      <c r="F46314" s="193"/>
    </row>
    <row r="46315" spans="6:6" x14ac:dyDescent="0.3">
      <c r="F46315" s="193"/>
    </row>
    <row r="46316" spans="6:6" x14ac:dyDescent="0.3">
      <c r="F46316" s="193"/>
    </row>
    <row r="46317" spans="6:6" x14ac:dyDescent="0.3">
      <c r="F46317" s="193"/>
    </row>
    <row r="46318" spans="6:6" x14ac:dyDescent="0.3">
      <c r="F46318" s="193"/>
    </row>
    <row r="46319" spans="6:6" x14ac:dyDescent="0.3">
      <c r="F46319" s="193"/>
    </row>
    <row r="46320" spans="6:6" x14ac:dyDescent="0.3">
      <c r="F46320" s="193"/>
    </row>
    <row r="46321" spans="6:6" x14ac:dyDescent="0.3">
      <c r="F46321" s="193"/>
    </row>
    <row r="46322" spans="6:6" x14ac:dyDescent="0.3">
      <c r="F46322" s="193"/>
    </row>
    <row r="46323" spans="6:6" x14ac:dyDescent="0.3">
      <c r="F46323" s="193"/>
    </row>
    <row r="46324" spans="6:6" x14ac:dyDescent="0.3">
      <c r="F46324" s="193"/>
    </row>
    <row r="46325" spans="6:6" x14ac:dyDescent="0.3">
      <c r="F46325" s="193"/>
    </row>
    <row r="46326" spans="6:6" x14ac:dyDescent="0.3">
      <c r="F46326" s="193"/>
    </row>
    <row r="46327" spans="6:6" x14ac:dyDescent="0.3">
      <c r="F46327" s="193"/>
    </row>
    <row r="46328" spans="6:6" x14ac:dyDescent="0.3">
      <c r="F46328" s="193"/>
    </row>
    <row r="46329" spans="6:6" x14ac:dyDescent="0.3">
      <c r="F46329" s="193"/>
    </row>
    <row r="46330" spans="6:6" x14ac:dyDescent="0.3">
      <c r="F46330" s="193"/>
    </row>
    <row r="46331" spans="6:6" x14ac:dyDescent="0.3">
      <c r="F46331" s="193"/>
    </row>
    <row r="46332" spans="6:6" x14ac:dyDescent="0.3">
      <c r="F46332" s="193"/>
    </row>
    <row r="46333" spans="6:6" x14ac:dyDescent="0.3">
      <c r="F46333" s="193"/>
    </row>
    <row r="46334" spans="6:6" x14ac:dyDescent="0.3">
      <c r="F46334" s="193"/>
    </row>
    <row r="46335" spans="6:6" x14ac:dyDescent="0.3">
      <c r="F46335" s="193"/>
    </row>
    <row r="46336" spans="6:6" x14ac:dyDescent="0.3">
      <c r="F46336" s="193"/>
    </row>
    <row r="46337" spans="6:6" x14ac:dyDescent="0.3">
      <c r="F46337" s="193"/>
    </row>
    <row r="46338" spans="6:6" x14ac:dyDescent="0.3">
      <c r="F46338" s="193"/>
    </row>
    <row r="46339" spans="6:6" x14ac:dyDescent="0.3">
      <c r="F46339" s="193"/>
    </row>
    <row r="46340" spans="6:6" x14ac:dyDescent="0.3">
      <c r="F46340" s="193"/>
    </row>
    <row r="46341" spans="6:6" x14ac:dyDescent="0.3">
      <c r="F46341" s="193"/>
    </row>
    <row r="46342" spans="6:6" x14ac:dyDescent="0.3">
      <c r="F46342" s="193"/>
    </row>
    <row r="46343" spans="6:6" x14ac:dyDescent="0.3">
      <c r="F46343" s="193"/>
    </row>
    <row r="46344" spans="6:6" x14ac:dyDescent="0.3">
      <c r="F46344" s="193"/>
    </row>
    <row r="46345" spans="6:6" x14ac:dyDescent="0.3">
      <c r="F46345" s="193"/>
    </row>
    <row r="46346" spans="6:6" x14ac:dyDescent="0.3">
      <c r="F46346" s="193"/>
    </row>
    <row r="46347" spans="6:6" x14ac:dyDescent="0.3">
      <c r="F46347" s="193"/>
    </row>
    <row r="46348" spans="6:6" x14ac:dyDescent="0.3">
      <c r="F46348" s="193"/>
    </row>
    <row r="46349" spans="6:6" x14ac:dyDescent="0.3">
      <c r="F46349" s="193"/>
    </row>
    <row r="46350" spans="6:6" x14ac:dyDescent="0.3">
      <c r="F46350" s="193"/>
    </row>
    <row r="46351" spans="6:6" x14ac:dyDescent="0.3">
      <c r="F46351" s="193"/>
    </row>
    <row r="46352" spans="6:6" x14ac:dyDescent="0.3">
      <c r="F46352" s="193"/>
    </row>
    <row r="46353" spans="6:6" x14ac:dyDescent="0.3">
      <c r="F46353" s="193"/>
    </row>
    <row r="46354" spans="6:6" x14ac:dyDescent="0.3">
      <c r="F46354" s="193"/>
    </row>
    <row r="46355" spans="6:6" x14ac:dyDescent="0.3">
      <c r="F46355" s="193"/>
    </row>
    <row r="46356" spans="6:6" x14ac:dyDescent="0.3">
      <c r="F46356" s="193"/>
    </row>
    <row r="46357" spans="6:6" x14ac:dyDescent="0.3">
      <c r="F46357" s="193"/>
    </row>
    <row r="46358" spans="6:6" x14ac:dyDescent="0.3">
      <c r="F46358" s="193"/>
    </row>
    <row r="46359" spans="6:6" x14ac:dyDescent="0.3">
      <c r="F46359" s="193"/>
    </row>
    <row r="46360" spans="6:6" x14ac:dyDescent="0.3">
      <c r="F46360" s="193"/>
    </row>
    <row r="46361" spans="6:6" x14ac:dyDescent="0.3">
      <c r="F46361" s="193"/>
    </row>
    <row r="46362" spans="6:6" x14ac:dyDescent="0.3">
      <c r="F46362" s="193"/>
    </row>
    <row r="46363" spans="6:6" x14ac:dyDescent="0.3">
      <c r="F46363" s="193"/>
    </row>
    <row r="46364" spans="6:6" x14ac:dyDescent="0.3">
      <c r="F46364" s="193"/>
    </row>
    <row r="46365" spans="6:6" x14ac:dyDescent="0.3">
      <c r="F46365" s="193"/>
    </row>
    <row r="46366" spans="6:6" x14ac:dyDescent="0.3">
      <c r="F46366" s="193"/>
    </row>
    <row r="46367" spans="6:6" x14ac:dyDescent="0.3">
      <c r="F46367" s="193"/>
    </row>
    <row r="46368" spans="6:6" x14ac:dyDescent="0.3">
      <c r="F46368" s="193"/>
    </row>
    <row r="46369" spans="6:6" x14ac:dyDescent="0.3">
      <c r="F46369" s="193"/>
    </row>
    <row r="46370" spans="6:6" x14ac:dyDescent="0.3">
      <c r="F46370" s="193"/>
    </row>
    <row r="46371" spans="6:6" x14ac:dyDescent="0.3">
      <c r="F46371" s="193"/>
    </row>
    <row r="46372" spans="6:6" x14ac:dyDescent="0.3">
      <c r="F46372" s="193"/>
    </row>
    <row r="46373" spans="6:6" x14ac:dyDescent="0.3">
      <c r="F46373" s="193"/>
    </row>
    <row r="46374" spans="6:6" x14ac:dyDescent="0.3">
      <c r="F46374" s="193"/>
    </row>
    <row r="46375" spans="6:6" x14ac:dyDescent="0.3">
      <c r="F46375" s="193"/>
    </row>
    <row r="46376" spans="6:6" x14ac:dyDescent="0.3">
      <c r="F46376" s="193"/>
    </row>
    <row r="46377" spans="6:6" x14ac:dyDescent="0.3">
      <c r="F46377" s="193"/>
    </row>
    <row r="46378" spans="6:6" x14ac:dyDescent="0.3">
      <c r="F46378" s="193"/>
    </row>
    <row r="46379" spans="6:6" x14ac:dyDescent="0.3">
      <c r="F46379" s="193"/>
    </row>
    <row r="46380" spans="6:6" x14ac:dyDescent="0.3">
      <c r="F46380" s="193"/>
    </row>
    <row r="46381" spans="6:6" x14ac:dyDescent="0.3">
      <c r="F46381" s="193"/>
    </row>
    <row r="46382" spans="6:6" x14ac:dyDescent="0.3">
      <c r="F46382" s="193"/>
    </row>
    <row r="46383" spans="6:6" x14ac:dyDescent="0.3">
      <c r="F46383" s="193"/>
    </row>
    <row r="46384" spans="6:6" x14ac:dyDescent="0.3">
      <c r="F46384" s="193"/>
    </row>
    <row r="46385" spans="6:6" x14ac:dyDescent="0.3">
      <c r="F46385" s="193"/>
    </row>
    <row r="46386" spans="6:6" x14ac:dyDescent="0.3">
      <c r="F46386" s="193"/>
    </row>
    <row r="46387" spans="6:6" x14ac:dyDescent="0.3">
      <c r="F46387" s="193"/>
    </row>
    <row r="46388" spans="6:6" x14ac:dyDescent="0.3">
      <c r="F46388" s="193"/>
    </row>
    <row r="46389" spans="6:6" x14ac:dyDescent="0.3">
      <c r="F46389" s="193"/>
    </row>
    <row r="46390" spans="6:6" x14ac:dyDescent="0.3">
      <c r="F46390" s="193"/>
    </row>
    <row r="46391" spans="6:6" x14ac:dyDescent="0.3">
      <c r="F46391" s="193"/>
    </row>
    <row r="46392" spans="6:6" x14ac:dyDescent="0.3">
      <c r="F46392" s="193"/>
    </row>
    <row r="46393" spans="6:6" x14ac:dyDescent="0.3">
      <c r="F46393" s="193"/>
    </row>
    <row r="46394" spans="6:6" x14ac:dyDescent="0.3">
      <c r="F46394" s="193"/>
    </row>
    <row r="46395" spans="6:6" x14ac:dyDescent="0.3">
      <c r="F46395" s="193"/>
    </row>
    <row r="46396" spans="6:6" x14ac:dyDescent="0.3">
      <c r="F46396" s="193"/>
    </row>
    <row r="46397" spans="6:6" x14ac:dyDescent="0.3">
      <c r="F46397" s="193"/>
    </row>
    <row r="46398" spans="6:6" x14ac:dyDescent="0.3">
      <c r="F46398" s="193"/>
    </row>
    <row r="46399" spans="6:6" x14ac:dyDescent="0.3">
      <c r="F46399" s="193"/>
    </row>
    <row r="46400" spans="6:6" x14ac:dyDescent="0.3">
      <c r="F46400" s="193"/>
    </row>
    <row r="46401" spans="6:6" x14ac:dyDescent="0.3">
      <c r="F46401" s="193"/>
    </row>
    <row r="46402" spans="6:6" x14ac:dyDescent="0.3">
      <c r="F46402" s="193"/>
    </row>
    <row r="46403" spans="6:6" x14ac:dyDescent="0.3">
      <c r="F46403" s="193"/>
    </row>
    <row r="46404" spans="6:6" x14ac:dyDescent="0.3">
      <c r="F46404" s="193"/>
    </row>
    <row r="46405" spans="6:6" x14ac:dyDescent="0.3">
      <c r="F46405" s="193"/>
    </row>
    <row r="46406" spans="6:6" x14ac:dyDescent="0.3">
      <c r="F46406" s="193"/>
    </row>
    <row r="46407" spans="6:6" x14ac:dyDescent="0.3">
      <c r="F46407" s="193"/>
    </row>
    <row r="46408" spans="6:6" x14ac:dyDescent="0.3">
      <c r="F46408" s="193"/>
    </row>
    <row r="46409" spans="6:6" x14ac:dyDescent="0.3">
      <c r="F46409" s="193"/>
    </row>
    <row r="46410" spans="6:6" x14ac:dyDescent="0.3">
      <c r="F46410" s="193"/>
    </row>
    <row r="46411" spans="6:6" x14ac:dyDescent="0.3">
      <c r="F46411" s="193"/>
    </row>
    <row r="46412" spans="6:6" x14ac:dyDescent="0.3">
      <c r="F46412" s="193"/>
    </row>
    <row r="46413" spans="6:6" x14ac:dyDescent="0.3">
      <c r="F46413" s="193"/>
    </row>
    <row r="46414" spans="6:6" x14ac:dyDescent="0.3">
      <c r="F46414" s="193"/>
    </row>
    <row r="46415" spans="6:6" x14ac:dyDescent="0.3">
      <c r="F46415" s="193"/>
    </row>
    <row r="46416" spans="6:6" x14ac:dyDescent="0.3">
      <c r="F46416" s="193"/>
    </row>
    <row r="46417" spans="6:6" x14ac:dyDescent="0.3">
      <c r="F46417" s="193"/>
    </row>
    <row r="46418" spans="6:6" x14ac:dyDescent="0.3">
      <c r="F46418" s="193"/>
    </row>
    <row r="46419" spans="6:6" x14ac:dyDescent="0.3">
      <c r="F46419" s="193"/>
    </row>
    <row r="46420" spans="6:6" x14ac:dyDescent="0.3">
      <c r="F46420" s="193"/>
    </row>
    <row r="46421" spans="6:6" x14ac:dyDescent="0.3">
      <c r="F46421" s="193"/>
    </row>
    <row r="46422" spans="6:6" x14ac:dyDescent="0.3">
      <c r="F46422" s="193"/>
    </row>
    <row r="46423" spans="6:6" x14ac:dyDescent="0.3">
      <c r="F46423" s="193"/>
    </row>
    <row r="46424" spans="6:6" x14ac:dyDescent="0.3">
      <c r="F46424" s="193"/>
    </row>
    <row r="46425" spans="6:6" x14ac:dyDescent="0.3">
      <c r="F46425" s="193"/>
    </row>
    <row r="46426" spans="6:6" x14ac:dyDescent="0.3">
      <c r="F46426" s="193"/>
    </row>
    <row r="46427" spans="6:6" x14ac:dyDescent="0.3">
      <c r="F46427" s="193"/>
    </row>
    <row r="46428" spans="6:6" x14ac:dyDescent="0.3">
      <c r="F46428" s="193"/>
    </row>
    <row r="46429" spans="6:6" x14ac:dyDescent="0.3">
      <c r="F46429" s="193"/>
    </row>
    <row r="46430" spans="6:6" x14ac:dyDescent="0.3">
      <c r="F46430" s="193"/>
    </row>
    <row r="46431" spans="6:6" x14ac:dyDescent="0.3">
      <c r="F46431" s="193"/>
    </row>
    <row r="46432" spans="6:6" x14ac:dyDescent="0.3">
      <c r="F46432" s="193"/>
    </row>
    <row r="46433" spans="6:6" x14ac:dyDescent="0.3">
      <c r="F46433" s="193"/>
    </row>
    <row r="46434" spans="6:6" x14ac:dyDescent="0.3">
      <c r="F46434" s="193"/>
    </row>
    <row r="46435" spans="6:6" x14ac:dyDescent="0.3">
      <c r="F46435" s="193"/>
    </row>
    <row r="46436" spans="6:6" x14ac:dyDescent="0.3">
      <c r="F46436" s="193"/>
    </row>
    <row r="46437" spans="6:6" x14ac:dyDescent="0.3">
      <c r="F46437" s="193"/>
    </row>
    <row r="46438" spans="6:6" x14ac:dyDescent="0.3">
      <c r="F46438" s="193"/>
    </row>
    <row r="46439" spans="6:6" x14ac:dyDescent="0.3">
      <c r="F46439" s="193"/>
    </row>
    <row r="46440" spans="6:6" x14ac:dyDescent="0.3">
      <c r="F46440" s="193"/>
    </row>
    <row r="46441" spans="6:6" x14ac:dyDescent="0.3">
      <c r="F46441" s="193"/>
    </row>
    <row r="46442" spans="6:6" x14ac:dyDescent="0.3">
      <c r="F46442" s="193"/>
    </row>
    <row r="46443" spans="6:6" x14ac:dyDescent="0.3">
      <c r="F46443" s="193"/>
    </row>
    <row r="46444" spans="6:6" x14ac:dyDescent="0.3">
      <c r="F46444" s="193"/>
    </row>
    <row r="46445" spans="6:6" x14ac:dyDescent="0.3">
      <c r="F46445" s="193"/>
    </row>
    <row r="46446" spans="6:6" x14ac:dyDescent="0.3">
      <c r="F46446" s="193"/>
    </row>
    <row r="46447" spans="6:6" x14ac:dyDescent="0.3">
      <c r="F46447" s="193"/>
    </row>
    <row r="46448" spans="6:6" x14ac:dyDescent="0.3">
      <c r="F46448" s="193"/>
    </row>
    <row r="46449" spans="6:6" x14ac:dyDescent="0.3">
      <c r="F46449" s="193"/>
    </row>
    <row r="46450" spans="6:6" x14ac:dyDescent="0.3">
      <c r="F46450" s="193"/>
    </row>
    <row r="46451" spans="6:6" x14ac:dyDescent="0.3">
      <c r="F46451" s="193"/>
    </row>
    <row r="46452" spans="6:6" x14ac:dyDescent="0.3">
      <c r="F46452" s="193"/>
    </row>
    <row r="46453" spans="6:6" x14ac:dyDescent="0.3">
      <c r="F46453" s="193"/>
    </row>
    <row r="46454" spans="6:6" x14ac:dyDescent="0.3">
      <c r="F46454" s="193"/>
    </row>
    <row r="46455" spans="6:6" x14ac:dyDescent="0.3">
      <c r="F46455" s="193"/>
    </row>
    <row r="46456" spans="6:6" x14ac:dyDescent="0.3">
      <c r="F46456" s="193"/>
    </row>
    <row r="46457" spans="6:6" x14ac:dyDescent="0.3">
      <c r="F46457" s="193"/>
    </row>
    <row r="46458" spans="6:6" x14ac:dyDescent="0.3">
      <c r="F46458" s="193"/>
    </row>
    <row r="46459" spans="6:6" x14ac:dyDescent="0.3">
      <c r="F46459" s="193"/>
    </row>
    <row r="46460" spans="6:6" x14ac:dyDescent="0.3">
      <c r="F46460" s="193"/>
    </row>
    <row r="46461" spans="6:6" x14ac:dyDescent="0.3">
      <c r="F46461" s="193"/>
    </row>
    <row r="46462" spans="6:6" x14ac:dyDescent="0.3">
      <c r="F46462" s="193"/>
    </row>
    <row r="46463" spans="6:6" x14ac:dyDescent="0.3">
      <c r="F46463" s="193"/>
    </row>
    <row r="46464" spans="6:6" x14ac:dyDescent="0.3">
      <c r="F46464" s="193"/>
    </row>
    <row r="46465" spans="6:6" x14ac:dyDescent="0.3">
      <c r="F46465" s="193"/>
    </row>
    <row r="46466" spans="6:6" x14ac:dyDescent="0.3">
      <c r="F46466" s="193"/>
    </row>
    <row r="46467" spans="6:6" x14ac:dyDescent="0.3">
      <c r="F46467" s="193"/>
    </row>
    <row r="46468" spans="6:6" x14ac:dyDescent="0.3">
      <c r="F46468" s="193"/>
    </row>
    <row r="46469" spans="6:6" x14ac:dyDescent="0.3">
      <c r="F46469" s="193"/>
    </row>
    <row r="46470" spans="6:6" x14ac:dyDescent="0.3">
      <c r="F46470" s="193"/>
    </row>
    <row r="46471" spans="6:6" x14ac:dyDescent="0.3">
      <c r="F46471" s="193"/>
    </row>
    <row r="46472" spans="6:6" x14ac:dyDescent="0.3">
      <c r="F46472" s="193"/>
    </row>
    <row r="46473" spans="6:6" x14ac:dyDescent="0.3">
      <c r="F46473" s="193"/>
    </row>
    <row r="46474" spans="6:6" x14ac:dyDescent="0.3">
      <c r="F46474" s="193"/>
    </row>
    <row r="46475" spans="6:6" x14ac:dyDescent="0.3">
      <c r="F46475" s="193"/>
    </row>
    <row r="46476" spans="6:6" x14ac:dyDescent="0.3">
      <c r="F46476" s="193"/>
    </row>
    <row r="46477" spans="6:6" x14ac:dyDescent="0.3">
      <c r="F46477" s="193"/>
    </row>
    <row r="46478" spans="6:6" x14ac:dyDescent="0.3">
      <c r="F46478" s="193"/>
    </row>
    <row r="46479" spans="6:6" x14ac:dyDescent="0.3">
      <c r="F46479" s="193"/>
    </row>
    <row r="46480" spans="6:6" x14ac:dyDescent="0.3">
      <c r="F46480" s="193"/>
    </row>
    <row r="46481" spans="6:6" x14ac:dyDescent="0.3">
      <c r="F46481" s="193"/>
    </row>
    <row r="46482" spans="6:6" x14ac:dyDescent="0.3">
      <c r="F46482" s="193"/>
    </row>
    <row r="46483" spans="6:6" x14ac:dyDescent="0.3">
      <c r="F46483" s="193"/>
    </row>
    <row r="46484" spans="6:6" x14ac:dyDescent="0.3">
      <c r="F46484" s="193"/>
    </row>
    <row r="46485" spans="6:6" x14ac:dyDescent="0.3">
      <c r="F46485" s="193"/>
    </row>
    <row r="46486" spans="6:6" x14ac:dyDescent="0.3">
      <c r="F46486" s="193"/>
    </row>
    <row r="46487" spans="6:6" x14ac:dyDescent="0.3">
      <c r="F46487" s="193"/>
    </row>
    <row r="46488" spans="6:6" x14ac:dyDescent="0.3">
      <c r="F46488" s="193"/>
    </row>
    <row r="46489" spans="6:6" x14ac:dyDescent="0.3">
      <c r="F46489" s="193"/>
    </row>
    <row r="46490" spans="6:6" x14ac:dyDescent="0.3">
      <c r="F46490" s="193"/>
    </row>
    <row r="46491" spans="6:6" x14ac:dyDescent="0.3">
      <c r="F46491" s="193"/>
    </row>
    <row r="46492" spans="6:6" x14ac:dyDescent="0.3">
      <c r="F46492" s="193"/>
    </row>
    <row r="46493" spans="6:6" x14ac:dyDescent="0.3">
      <c r="F46493" s="193"/>
    </row>
    <row r="46494" spans="6:6" x14ac:dyDescent="0.3">
      <c r="F46494" s="193"/>
    </row>
    <row r="46495" spans="6:6" x14ac:dyDescent="0.3">
      <c r="F46495" s="193"/>
    </row>
    <row r="46496" spans="6:6" x14ac:dyDescent="0.3">
      <c r="F46496" s="193"/>
    </row>
    <row r="46497" spans="6:6" x14ac:dyDescent="0.3">
      <c r="F46497" s="193"/>
    </row>
    <row r="46498" spans="6:6" x14ac:dyDescent="0.3">
      <c r="F46498" s="193"/>
    </row>
    <row r="46499" spans="6:6" x14ac:dyDescent="0.3">
      <c r="F46499" s="193"/>
    </row>
    <row r="46500" spans="6:6" x14ac:dyDescent="0.3">
      <c r="F46500" s="193"/>
    </row>
    <row r="46501" spans="6:6" x14ac:dyDescent="0.3">
      <c r="F46501" s="193"/>
    </row>
    <row r="46502" spans="6:6" x14ac:dyDescent="0.3">
      <c r="F46502" s="193"/>
    </row>
    <row r="46503" spans="6:6" x14ac:dyDescent="0.3">
      <c r="F46503" s="193"/>
    </row>
    <row r="46504" spans="6:6" x14ac:dyDescent="0.3">
      <c r="F46504" s="193"/>
    </row>
    <row r="46505" spans="6:6" x14ac:dyDescent="0.3">
      <c r="F46505" s="193"/>
    </row>
    <row r="46506" spans="6:6" x14ac:dyDescent="0.3">
      <c r="F46506" s="193"/>
    </row>
    <row r="46507" spans="6:6" x14ac:dyDescent="0.3">
      <c r="F46507" s="193"/>
    </row>
    <row r="46508" spans="6:6" x14ac:dyDescent="0.3">
      <c r="F46508" s="193"/>
    </row>
    <row r="46509" spans="6:6" x14ac:dyDescent="0.3">
      <c r="F46509" s="193"/>
    </row>
    <row r="46510" spans="6:6" x14ac:dyDescent="0.3">
      <c r="F46510" s="193"/>
    </row>
    <row r="46511" spans="6:6" x14ac:dyDescent="0.3">
      <c r="F46511" s="193"/>
    </row>
    <row r="46512" spans="6:6" x14ac:dyDescent="0.3">
      <c r="F46512" s="193"/>
    </row>
    <row r="46513" spans="6:6" x14ac:dyDescent="0.3">
      <c r="F46513" s="193"/>
    </row>
    <row r="46514" spans="6:6" x14ac:dyDescent="0.3">
      <c r="F46514" s="193"/>
    </row>
    <row r="46515" spans="6:6" x14ac:dyDescent="0.3">
      <c r="F46515" s="193"/>
    </row>
    <row r="46516" spans="6:6" x14ac:dyDescent="0.3">
      <c r="F46516" s="193"/>
    </row>
    <row r="46517" spans="6:6" x14ac:dyDescent="0.3">
      <c r="F46517" s="193"/>
    </row>
    <row r="46518" spans="6:6" x14ac:dyDescent="0.3">
      <c r="F46518" s="193"/>
    </row>
    <row r="46519" spans="6:6" x14ac:dyDescent="0.3">
      <c r="F46519" s="193"/>
    </row>
    <row r="46520" spans="6:6" x14ac:dyDescent="0.3">
      <c r="F46520" s="193"/>
    </row>
    <row r="46521" spans="6:6" x14ac:dyDescent="0.3">
      <c r="F46521" s="193"/>
    </row>
    <row r="46522" spans="6:6" x14ac:dyDescent="0.3">
      <c r="F46522" s="193"/>
    </row>
    <row r="46523" spans="6:6" x14ac:dyDescent="0.3">
      <c r="F46523" s="193"/>
    </row>
    <row r="46524" spans="6:6" x14ac:dyDescent="0.3">
      <c r="F46524" s="193"/>
    </row>
    <row r="46525" spans="6:6" x14ac:dyDescent="0.3">
      <c r="F46525" s="193"/>
    </row>
    <row r="46526" spans="6:6" x14ac:dyDescent="0.3">
      <c r="F46526" s="193"/>
    </row>
    <row r="46527" spans="6:6" x14ac:dyDescent="0.3">
      <c r="F46527" s="193"/>
    </row>
    <row r="46528" spans="6:6" x14ac:dyDescent="0.3">
      <c r="F46528" s="193"/>
    </row>
    <row r="46529" spans="6:6" x14ac:dyDescent="0.3">
      <c r="F46529" s="193"/>
    </row>
    <row r="46530" spans="6:6" x14ac:dyDescent="0.3">
      <c r="F46530" s="193"/>
    </row>
    <row r="46531" spans="6:6" x14ac:dyDescent="0.3">
      <c r="F46531" s="193"/>
    </row>
    <row r="46532" spans="6:6" x14ac:dyDescent="0.3">
      <c r="F46532" s="193"/>
    </row>
    <row r="46533" spans="6:6" x14ac:dyDescent="0.3">
      <c r="F46533" s="193"/>
    </row>
    <row r="46534" spans="6:6" x14ac:dyDescent="0.3">
      <c r="F46534" s="193"/>
    </row>
    <row r="46535" spans="6:6" x14ac:dyDescent="0.3">
      <c r="F46535" s="193"/>
    </row>
    <row r="46536" spans="6:6" x14ac:dyDescent="0.3">
      <c r="F46536" s="193"/>
    </row>
    <row r="46537" spans="6:6" x14ac:dyDescent="0.3">
      <c r="F46537" s="193"/>
    </row>
    <row r="46538" spans="6:6" x14ac:dyDescent="0.3">
      <c r="F46538" s="193"/>
    </row>
    <row r="46539" spans="6:6" x14ac:dyDescent="0.3">
      <c r="F46539" s="193"/>
    </row>
    <row r="46540" spans="6:6" x14ac:dyDescent="0.3">
      <c r="F46540" s="193"/>
    </row>
    <row r="46541" spans="6:6" x14ac:dyDescent="0.3">
      <c r="F46541" s="193"/>
    </row>
    <row r="46542" spans="6:6" x14ac:dyDescent="0.3">
      <c r="F46542" s="193"/>
    </row>
    <row r="46543" spans="6:6" x14ac:dyDescent="0.3">
      <c r="F46543" s="193"/>
    </row>
    <row r="46544" spans="6:6" x14ac:dyDescent="0.3">
      <c r="F46544" s="193"/>
    </row>
    <row r="46545" spans="6:6" x14ac:dyDescent="0.3">
      <c r="F46545" s="193"/>
    </row>
    <row r="46546" spans="6:6" x14ac:dyDescent="0.3">
      <c r="F46546" s="193"/>
    </row>
    <row r="46547" spans="6:6" x14ac:dyDescent="0.3">
      <c r="F46547" s="193"/>
    </row>
    <row r="46548" spans="6:6" x14ac:dyDescent="0.3">
      <c r="F46548" s="193"/>
    </row>
    <row r="46549" spans="6:6" x14ac:dyDescent="0.3">
      <c r="F46549" s="193"/>
    </row>
    <row r="46550" spans="6:6" x14ac:dyDescent="0.3">
      <c r="F46550" s="193"/>
    </row>
    <row r="46551" spans="6:6" x14ac:dyDescent="0.3">
      <c r="F46551" s="193"/>
    </row>
    <row r="46552" spans="6:6" x14ac:dyDescent="0.3">
      <c r="F46552" s="193"/>
    </row>
    <row r="46553" spans="6:6" x14ac:dyDescent="0.3">
      <c r="F46553" s="193"/>
    </row>
    <row r="46554" spans="6:6" x14ac:dyDescent="0.3">
      <c r="F46554" s="193"/>
    </row>
    <row r="46555" spans="6:6" x14ac:dyDescent="0.3">
      <c r="F46555" s="193"/>
    </row>
    <row r="46556" spans="6:6" x14ac:dyDescent="0.3">
      <c r="F46556" s="193"/>
    </row>
    <row r="46557" spans="6:6" x14ac:dyDescent="0.3">
      <c r="F46557" s="193"/>
    </row>
    <row r="46558" spans="6:6" x14ac:dyDescent="0.3">
      <c r="F46558" s="193"/>
    </row>
    <row r="46559" spans="6:6" x14ac:dyDescent="0.3">
      <c r="F46559" s="193"/>
    </row>
    <row r="46560" spans="6:6" x14ac:dyDescent="0.3">
      <c r="F46560" s="193"/>
    </row>
    <row r="46561" spans="6:6" x14ac:dyDescent="0.3">
      <c r="F46561" s="193"/>
    </row>
    <row r="46562" spans="6:6" x14ac:dyDescent="0.3">
      <c r="F46562" s="193"/>
    </row>
    <row r="46563" spans="6:6" x14ac:dyDescent="0.3">
      <c r="F46563" s="193"/>
    </row>
    <row r="46564" spans="6:6" x14ac:dyDescent="0.3">
      <c r="F46564" s="193"/>
    </row>
    <row r="46565" spans="6:6" x14ac:dyDescent="0.3">
      <c r="F46565" s="193"/>
    </row>
    <row r="46566" spans="6:6" x14ac:dyDescent="0.3">
      <c r="F46566" s="193"/>
    </row>
    <row r="46567" spans="6:6" x14ac:dyDescent="0.3">
      <c r="F46567" s="193"/>
    </row>
    <row r="46568" spans="6:6" x14ac:dyDescent="0.3">
      <c r="F46568" s="193"/>
    </row>
    <row r="46569" spans="6:6" x14ac:dyDescent="0.3">
      <c r="F46569" s="193"/>
    </row>
    <row r="46570" spans="6:6" x14ac:dyDescent="0.3">
      <c r="F46570" s="193"/>
    </row>
    <row r="46571" spans="6:6" x14ac:dyDescent="0.3">
      <c r="F46571" s="193"/>
    </row>
    <row r="46572" spans="6:6" x14ac:dyDescent="0.3">
      <c r="F46572" s="193"/>
    </row>
    <row r="46573" spans="6:6" x14ac:dyDescent="0.3">
      <c r="F46573" s="193"/>
    </row>
    <row r="46574" spans="6:6" x14ac:dyDescent="0.3">
      <c r="F46574" s="193"/>
    </row>
    <row r="46575" spans="6:6" x14ac:dyDescent="0.3">
      <c r="F46575" s="193"/>
    </row>
    <row r="46576" spans="6:6" x14ac:dyDescent="0.3">
      <c r="F46576" s="193"/>
    </row>
    <row r="46577" spans="6:6" x14ac:dyDescent="0.3">
      <c r="F46577" s="193"/>
    </row>
    <row r="46578" spans="6:6" x14ac:dyDescent="0.3">
      <c r="F46578" s="193"/>
    </row>
    <row r="46579" spans="6:6" x14ac:dyDescent="0.3">
      <c r="F46579" s="193"/>
    </row>
    <row r="46580" spans="6:6" x14ac:dyDescent="0.3">
      <c r="F46580" s="193"/>
    </row>
    <row r="46581" spans="6:6" x14ac:dyDescent="0.3">
      <c r="F46581" s="193"/>
    </row>
    <row r="46582" spans="6:6" x14ac:dyDescent="0.3">
      <c r="F46582" s="193"/>
    </row>
    <row r="46583" spans="6:6" x14ac:dyDescent="0.3">
      <c r="F46583" s="193"/>
    </row>
    <row r="46584" spans="6:6" x14ac:dyDescent="0.3">
      <c r="F46584" s="193"/>
    </row>
    <row r="46585" spans="6:6" x14ac:dyDescent="0.3">
      <c r="F46585" s="193"/>
    </row>
    <row r="46586" spans="6:6" x14ac:dyDescent="0.3">
      <c r="F46586" s="193"/>
    </row>
    <row r="46587" spans="6:6" x14ac:dyDescent="0.3">
      <c r="F46587" s="193"/>
    </row>
    <row r="46588" spans="6:6" x14ac:dyDescent="0.3">
      <c r="F46588" s="193"/>
    </row>
    <row r="46589" spans="6:6" x14ac:dyDescent="0.3">
      <c r="F46589" s="193"/>
    </row>
    <row r="46590" spans="6:6" x14ac:dyDescent="0.3">
      <c r="F46590" s="193"/>
    </row>
    <row r="46591" spans="6:6" x14ac:dyDescent="0.3">
      <c r="F46591" s="193"/>
    </row>
    <row r="46592" spans="6:6" x14ac:dyDescent="0.3">
      <c r="F46592" s="193"/>
    </row>
    <row r="46593" spans="6:6" x14ac:dyDescent="0.3">
      <c r="F46593" s="193"/>
    </row>
    <row r="46594" spans="6:6" x14ac:dyDescent="0.3">
      <c r="F46594" s="193"/>
    </row>
    <row r="46595" spans="6:6" x14ac:dyDescent="0.3">
      <c r="F46595" s="193"/>
    </row>
    <row r="46596" spans="6:6" x14ac:dyDescent="0.3">
      <c r="F46596" s="193"/>
    </row>
    <row r="46597" spans="6:6" x14ac:dyDescent="0.3">
      <c r="F46597" s="193"/>
    </row>
    <row r="46598" spans="6:6" x14ac:dyDescent="0.3">
      <c r="F46598" s="193"/>
    </row>
    <row r="46599" spans="6:6" x14ac:dyDescent="0.3">
      <c r="F46599" s="193"/>
    </row>
    <row r="46600" spans="6:6" x14ac:dyDescent="0.3">
      <c r="F46600" s="193"/>
    </row>
    <row r="46601" spans="6:6" x14ac:dyDescent="0.3">
      <c r="F46601" s="193"/>
    </row>
    <row r="46602" spans="6:6" x14ac:dyDescent="0.3">
      <c r="F46602" s="193"/>
    </row>
    <row r="46603" spans="6:6" x14ac:dyDescent="0.3">
      <c r="F46603" s="193"/>
    </row>
    <row r="46604" spans="6:6" x14ac:dyDescent="0.3">
      <c r="F46604" s="193"/>
    </row>
    <row r="46605" spans="6:6" x14ac:dyDescent="0.3">
      <c r="F46605" s="193"/>
    </row>
    <row r="46606" spans="6:6" x14ac:dyDescent="0.3">
      <c r="F46606" s="193"/>
    </row>
    <row r="46607" spans="6:6" x14ac:dyDescent="0.3">
      <c r="F46607" s="193"/>
    </row>
    <row r="46608" spans="6:6" x14ac:dyDescent="0.3">
      <c r="F46608" s="193"/>
    </row>
    <row r="46609" spans="6:6" x14ac:dyDescent="0.3">
      <c r="F46609" s="193"/>
    </row>
    <row r="46610" spans="6:6" x14ac:dyDescent="0.3">
      <c r="F46610" s="193"/>
    </row>
    <row r="46611" spans="6:6" x14ac:dyDescent="0.3">
      <c r="F46611" s="193"/>
    </row>
    <row r="46612" spans="6:6" x14ac:dyDescent="0.3">
      <c r="F46612" s="193"/>
    </row>
    <row r="46613" spans="6:6" x14ac:dyDescent="0.3">
      <c r="F46613" s="193"/>
    </row>
    <row r="46614" spans="6:6" x14ac:dyDescent="0.3">
      <c r="F46614" s="193"/>
    </row>
    <row r="46615" spans="6:6" x14ac:dyDescent="0.3">
      <c r="F46615" s="193"/>
    </row>
    <row r="46616" spans="6:6" x14ac:dyDescent="0.3">
      <c r="F46616" s="193"/>
    </row>
    <row r="46617" spans="6:6" x14ac:dyDescent="0.3">
      <c r="F46617" s="193"/>
    </row>
    <row r="46618" spans="6:6" x14ac:dyDescent="0.3">
      <c r="F46618" s="193"/>
    </row>
    <row r="46619" spans="6:6" x14ac:dyDescent="0.3">
      <c r="F46619" s="193"/>
    </row>
    <row r="46620" spans="6:6" x14ac:dyDescent="0.3">
      <c r="F46620" s="193"/>
    </row>
    <row r="46621" spans="6:6" x14ac:dyDescent="0.3">
      <c r="F46621" s="193"/>
    </row>
    <row r="46622" spans="6:6" x14ac:dyDescent="0.3">
      <c r="F46622" s="193"/>
    </row>
    <row r="46623" spans="6:6" x14ac:dyDescent="0.3">
      <c r="F46623" s="193"/>
    </row>
    <row r="46624" spans="6:6" x14ac:dyDescent="0.3">
      <c r="F46624" s="193"/>
    </row>
    <row r="46625" spans="6:6" x14ac:dyDescent="0.3">
      <c r="F46625" s="193"/>
    </row>
    <row r="46626" spans="6:6" x14ac:dyDescent="0.3">
      <c r="F46626" s="193"/>
    </row>
    <row r="46627" spans="6:6" x14ac:dyDescent="0.3">
      <c r="F46627" s="193"/>
    </row>
    <row r="46628" spans="6:6" x14ac:dyDescent="0.3">
      <c r="F46628" s="193"/>
    </row>
    <row r="46629" spans="6:6" x14ac:dyDescent="0.3">
      <c r="F46629" s="193"/>
    </row>
    <row r="46630" spans="6:6" x14ac:dyDescent="0.3">
      <c r="F46630" s="193"/>
    </row>
    <row r="46631" spans="6:6" x14ac:dyDescent="0.3">
      <c r="F46631" s="193"/>
    </row>
    <row r="46632" spans="6:6" x14ac:dyDescent="0.3">
      <c r="F46632" s="193"/>
    </row>
    <row r="46633" spans="6:6" x14ac:dyDescent="0.3">
      <c r="F46633" s="193"/>
    </row>
    <row r="46634" spans="6:6" x14ac:dyDescent="0.3">
      <c r="F46634" s="193"/>
    </row>
    <row r="46635" spans="6:6" x14ac:dyDescent="0.3">
      <c r="F46635" s="193"/>
    </row>
    <row r="46636" spans="6:6" x14ac:dyDescent="0.3">
      <c r="F46636" s="193"/>
    </row>
    <row r="46637" spans="6:6" x14ac:dyDescent="0.3">
      <c r="F46637" s="193"/>
    </row>
    <row r="46638" spans="6:6" x14ac:dyDescent="0.3">
      <c r="F46638" s="193"/>
    </row>
    <row r="46639" spans="6:6" x14ac:dyDescent="0.3">
      <c r="F46639" s="193"/>
    </row>
    <row r="46640" spans="6:6" x14ac:dyDescent="0.3">
      <c r="F46640" s="193"/>
    </row>
    <row r="46641" spans="6:6" x14ac:dyDescent="0.3">
      <c r="F46641" s="193"/>
    </row>
    <row r="46642" spans="6:6" x14ac:dyDescent="0.3">
      <c r="F46642" s="193"/>
    </row>
    <row r="46643" spans="6:6" x14ac:dyDescent="0.3">
      <c r="F46643" s="193"/>
    </row>
    <row r="46644" spans="6:6" x14ac:dyDescent="0.3">
      <c r="F46644" s="193"/>
    </row>
    <row r="46645" spans="6:6" x14ac:dyDescent="0.3">
      <c r="F46645" s="193"/>
    </row>
    <row r="46646" spans="6:6" x14ac:dyDescent="0.3">
      <c r="F46646" s="193"/>
    </row>
    <row r="46647" spans="6:6" x14ac:dyDescent="0.3">
      <c r="F46647" s="193"/>
    </row>
    <row r="46648" spans="6:6" x14ac:dyDescent="0.3">
      <c r="F46648" s="193"/>
    </row>
    <row r="46649" spans="6:6" x14ac:dyDescent="0.3">
      <c r="F46649" s="193"/>
    </row>
    <row r="46650" spans="6:6" x14ac:dyDescent="0.3">
      <c r="F46650" s="193"/>
    </row>
    <row r="46651" spans="6:6" x14ac:dyDescent="0.3">
      <c r="F46651" s="193"/>
    </row>
    <row r="46652" spans="6:6" x14ac:dyDescent="0.3">
      <c r="F46652" s="193"/>
    </row>
    <row r="46653" spans="6:6" x14ac:dyDescent="0.3">
      <c r="F46653" s="193"/>
    </row>
    <row r="46654" spans="6:6" x14ac:dyDescent="0.3">
      <c r="F46654" s="193"/>
    </row>
    <row r="46655" spans="6:6" x14ac:dyDescent="0.3">
      <c r="F46655" s="193"/>
    </row>
    <row r="46656" spans="6:6" x14ac:dyDescent="0.3">
      <c r="F46656" s="193"/>
    </row>
    <row r="46657" spans="6:6" x14ac:dyDescent="0.3">
      <c r="F46657" s="193"/>
    </row>
    <row r="46658" spans="6:6" x14ac:dyDescent="0.3">
      <c r="F46658" s="193"/>
    </row>
    <row r="46659" spans="6:6" x14ac:dyDescent="0.3">
      <c r="F46659" s="193"/>
    </row>
    <row r="46660" spans="6:6" x14ac:dyDescent="0.3">
      <c r="F46660" s="193"/>
    </row>
    <row r="46661" spans="6:6" x14ac:dyDescent="0.3">
      <c r="F46661" s="193"/>
    </row>
    <row r="46662" spans="6:6" x14ac:dyDescent="0.3">
      <c r="F46662" s="193"/>
    </row>
    <row r="46663" spans="6:6" x14ac:dyDescent="0.3">
      <c r="F46663" s="193"/>
    </row>
    <row r="46664" spans="6:6" x14ac:dyDescent="0.3">
      <c r="F46664" s="193"/>
    </row>
    <row r="46665" spans="6:6" x14ac:dyDescent="0.3">
      <c r="F46665" s="193"/>
    </row>
    <row r="46666" spans="6:6" x14ac:dyDescent="0.3">
      <c r="F46666" s="193"/>
    </row>
    <row r="46667" spans="6:6" x14ac:dyDescent="0.3">
      <c r="F46667" s="193"/>
    </row>
    <row r="46668" spans="6:6" x14ac:dyDescent="0.3">
      <c r="F46668" s="193"/>
    </row>
    <row r="46669" spans="6:6" x14ac:dyDescent="0.3">
      <c r="F46669" s="193"/>
    </row>
    <row r="46670" spans="6:6" x14ac:dyDescent="0.3">
      <c r="F46670" s="193"/>
    </row>
    <row r="46671" spans="6:6" x14ac:dyDescent="0.3">
      <c r="F46671" s="193"/>
    </row>
    <row r="46672" spans="6:6" x14ac:dyDescent="0.3">
      <c r="F46672" s="193"/>
    </row>
    <row r="46673" spans="6:6" x14ac:dyDescent="0.3">
      <c r="F46673" s="193"/>
    </row>
    <row r="46674" spans="6:6" x14ac:dyDescent="0.3">
      <c r="F46674" s="193"/>
    </row>
    <row r="46675" spans="6:6" x14ac:dyDescent="0.3">
      <c r="F46675" s="193"/>
    </row>
    <row r="46676" spans="6:6" x14ac:dyDescent="0.3">
      <c r="F46676" s="193"/>
    </row>
    <row r="46677" spans="6:6" x14ac:dyDescent="0.3">
      <c r="F46677" s="193"/>
    </row>
    <row r="46678" spans="6:6" x14ac:dyDescent="0.3">
      <c r="F46678" s="193"/>
    </row>
    <row r="46679" spans="6:6" x14ac:dyDescent="0.3">
      <c r="F46679" s="193"/>
    </row>
    <row r="46680" spans="6:6" x14ac:dyDescent="0.3">
      <c r="F46680" s="193"/>
    </row>
    <row r="46681" spans="6:6" x14ac:dyDescent="0.3">
      <c r="F46681" s="193"/>
    </row>
    <row r="46682" spans="6:6" x14ac:dyDescent="0.3">
      <c r="F46682" s="193"/>
    </row>
    <row r="46683" spans="6:6" x14ac:dyDescent="0.3">
      <c r="F46683" s="193"/>
    </row>
    <row r="46684" spans="6:6" x14ac:dyDescent="0.3">
      <c r="F46684" s="193"/>
    </row>
    <row r="46685" spans="6:6" x14ac:dyDescent="0.3">
      <c r="F46685" s="193"/>
    </row>
    <row r="46686" spans="6:6" x14ac:dyDescent="0.3">
      <c r="F46686" s="193"/>
    </row>
    <row r="46687" spans="6:6" x14ac:dyDescent="0.3">
      <c r="F46687" s="193"/>
    </row>
    <row r="46688" spans="6:6" x14ac:dyDescent="0.3">
      <c r="F46688" s="193"/>
    </row>
    <row r="46689" spans="6:6" x14ac:dyDescent="0.3">
      <c r="F46689" s="193"/>
    </row>
    <row r="46690" spans="6:6" x14ac:dyDescent="0.3">
      <c r="F46690" s="193"/>
    </row>
    <row r="46691" spans="6:6" x14ac:dyDescent="0.3">
      <c r="F46691" s="193"/>
    </row>
    <row r="46692" spans="6:6" x14ac:dyDescent="0.3">
      <c r="F46692" s="193"/>
    </row>
    <row r="46693" spans="6:6" x14ac:dyDescent="0.3">
      <c r="F46693" s="193"/>
    </row>
    <row r="46694" spans="6:6" x14ac:dyDescent="0.3">
      <c r="F46694" s="193"/>
    </row>
    <row r="46695" spans="6:6" x14ac:dyDescent="0.3">
      <c r="F46695" s="193"/>
    </row>
    <row r="46696" spans="6:6" x14ac:dyDescent="0.3">
      <c r="F46696" s="193"/>
    </row>
    <row r="46697" spans="6:6" x14ac:dyDescent="0.3">
      <c r="F46697" s="193"/>
    </row>
    <row r="46698" spans="6:6" x14ac:dyDescent="0.3">
      <c r="F46698" s="193"/>
    </row>
    <row r="46699" spans="6:6" x14ac:dyDescent="0.3">
      <c r="F46699" s="193"/>
    </row>
    <row r="46700" spans="6:6" x14ac:dyDescent="0.3">
      <c r="F46700" s="193"/>
    </row>
    <row r="46701" spans="6:6" x14ac:dyDescent="0.3">
      <c r="F46701" s="193"/>
    </row>
    <row r="46702" spans="6:6" x14ac:dyDescent="0.3">
      <c r="F46702" s="193"/>
    </row>
    <row r="46703" spans="6:6" x14ac:dyDescent="0.3">
      <c r="F46703" s="193"/>
    </row>
    <row r="46704" spans="6:6" x14ac:dyDescent="0.3">
      <c r="F46704" s="193"/>
    </row>
    <row r="46705" spans="6:6" x14ac:dyDescent="0.3">
      <c r="F46705" s="193"/>
    </row>
    <row r="46706" spans="6:6" x14ac:dyDescent="0.3">
      <c r="F46706" s="193"/>
    </row>
    <row r="46707" spans="6:6" x14ac:dyDescent="0.3">
      <c r="F46707" s="193"/>
    </row>
    <row r="46708" spans="6:6" x14ac:dyDescent="0.3">
      <c r="F46708" s="193"/>
    </row>
    <row r="46709" spans="6:6" x14ac:dyDescent="0.3">
      <c r="F46709" s="193"/>
    </row>
    <row r="46710" spans="6:6" x14ac:dyDescent="0.3">
      <c r="F46710" s="193"/>
    </row>
    <row r="46711" spans="6:6" x14ac:dyDescent="0.3">
      <c r="F46711" s="193"/>
    </row>
    <row r="46712" spans="6:6" x14ac:dyDescent="0.3">
      <c r="F46712" s="193"/>
    </row>
    <row r="46713" spans="6:6" x14ac:dyDescent="0.3">
      <c r="F46713" s="193"/>
    </row>
    <row r="46714" spans="6:6" x14ac:dyDescent="0.3">
      <c r="F46714" s="193"/>
    </row>
    <row r="46715" spans="6:6" x14ac:dyDescent="0.3">
      <c r="F46715" s="193"/>
    </row>
    <row r="46716" spans="6:6" x14ac:dyDescent="0.3">
      <c r="F46716" s="193"/>
    </row>
    <row r="46717" spans="6:6" x14ac:dyDescent="0.3">
      <c r="F46717" s="193"/>
    </row>
    <row r="46718" spans="6:6" x14ac:dyDescent="0.3">
      <c r="F46718" s="193"/>
    </row>
    <row r="46719" spans="6:6" x14ac:dyDescent="0.3">
      <c r="F46719" s="193"/>
    </row>
    <row r="46720" spans="6:6" x14ac:dyDescent="0.3">
      <c r="F46720" s="193"/>
    </row>
    <row r="46721" spans="6:6" x14ac:dyDescent="0.3">
      <c r="F46721" s="193"/>
    </row>
    <row r="46722" spans="6:6" x14ac:dyDescent="0.3">
      <c r="F46722" s="193"/>
    </row>
    <row r="46723" spans="6:6" x14ac:dyDescent="0.3">
      <c r="F46723" s="193"/>
    </row>
    <row r="46724" spans="6:6" x14ac:dyDescent="0.3">
      <c r="F46724" s="193"/>
    </row>
    <row r="46725" spans="6:6" x14ac:dyDescent="0.3">
      <c r="F46725" s="193"/>
    </row>
    <row r="46726" spans="6:6" x14ac:dyDescent="0.3">
      <c r="F46726" s="193"/>
    </row>
    <row r="46727" spans="6:6" x14ac:dyDescent="0.3">
      <c r="F46727" s="193"/>
    </row>
    <row r="46728" spans="6:6" x14ac:dyDescent="0.3">
      <c r="F46728" s="193"/>
    </row>
    <row r="46729" spans="6:6" x14ac:dyDescent="0.3">
      <c r="F46729" s="193"/>
    </row>
    <row r="46730" spans="6:6" x14ac:dyDescent="0.3">
      <c r="F46730" s="193"/>
    </row>
    <row r="46731" spans="6:6" x14ac:dyDescent="0.3">
      <c r="F46731" s="193"/>
    </row>
    <row r="46732" spans="6:6" x14ac:dyDescent="0.3">
      <c r="F46732" s="193"/>
    </row>
    <row r="46733" spans="6:6" x14ac:dyDescent="0.3">
      <c r="F46733" s="193"/>
    </row>
    <row r="46734" spans="6:6" x14ac:dyDescent="0.3">
      <c r="F46734" s="193"/>
    </row>
    <row r="46735" spans="6:6" x14ac:dyDescent="0.3">
      <c r="F46735" s="193"/>
    </row>
    <row r="46736" spans="6:6" x14ac:dyDescent="0.3">
      <c r="F46736" s="193"/>
    </row>
    <row r="46737" spans="6:6" x14ac:dyDescent="0.3">
      <c r="F46737" s="193"/>
    </row>
    <row r="46738" spans="6:6" x14ac:dyDescent="0.3">
      <c r="F46738" s="193"/>
    </row>
    <row r="46739" spans="6:6" x14ac:dyDescent="0.3">
      <c r="F46739" s="193"/>
    </row>
    <row r="46740" spans="6:6" x14ac:dyDescent="0.3">
      <c r="F46740" s="193"/>
    </row>
    <row r="46741" spans="6:6" x14ac:dyDescent="0.3">
      <c r="F46741" s="193"/>
    </row>
    <row r="46742" spans="6:6" x14ac:dyDescent="0.3">
      <c r="F46742" s="193"/>
    </row>
    <row r="46743" spans="6:6" x14ac:dyDescent="0.3">
      <c r="F46743" s="193"/>
    </row>
    <row r="46744" spans="6:6" x14ac:dyDescent="0.3">
      <c r="F46744" s="193"/>
    </row>
    <row r="46745" spans="6:6" x14ac:dyDescent="0.3">
      <c r="F46745" s="193"/>
    </row>
    <row r="46746" spans="6:6" x14ac:dyDescent="0.3">
      <c r="F46746" s="193"/>
    </row>
    <row r="46747" spans="6:6" x14ac:dyDescent="0.3">
      <c r="F46747" s="193"/>
    </row>
    <row r="46748" spans="6:6" x14ac:dyDescent="0.3">
      <c r="F46748" s="193"/>
    </row>
    <row r="46749" spans="6:6" x14ac:dyDescent="0.3">
      <c r="F46749" s="193"/>
    </row>
    <row r="46750" spans="6:6" x14ac:dyDescent="0.3">
      <c r="F46750" s="193"/>
    </row>
    <row r="46751" spans="6:6" x14ac:dyDescent="0.3">
      <c r="F46751" s="193"/>
    </row>
    <row r="46752" spans="6:6" x14ac:dyDescent="0.3">
      <c r="F46752" s="193"/>
    </row>
    <row r="46753" spans="6:6" x14ac:dyDescent="0.3">
      <c r="F46753" s="193"/>
    </row>
    <row r="46754" spans="6:6" x14ac:dyDescent="0.3">
      <c r="F46754" s="193"/>
    </row>
    <row r="46755" spans="6:6" x14ac:dyDescent="0.3">
      <c r="F46755" s="193"/>
    </row>
    <row r="46756" spans="6:6" x14ac:dyDescent="0.3">
      <c r="F46756" s="193"/>
    </row>
    <row r="46757" spans="6:6" x14ac:dyDescent="0.3">
      <c r="F46757" s="193"/>
    </row>
    <row r="46758" spans="6:6" x14ac:dyDescent="0.3">
      <c r="F46758" s="193"/>
    </row>
    <row r="46759" spans="6:6" x14ac:dyDescent="0.3">
      <c r="F46759" s="193"/>
    </row>
    <row r="46760" spans="6:6" x14ac:dyDescent="0.3">
      <c r="F46760" s="193"/>
    </row>
    <row r="46761" spans="6:6" x14ac:dyDescent="0.3">
      <c r="F46761" s="193"/>
    </row>
    <row r="46762" spans="6:6" x14ac:dyDescent="0.3">
      <c r="F46762" s="193"/>
    </row>
    <row r="46763" spans="6:6" x14ac:dyDescent="0.3">
      <c r="F46763" s="193"/>
    </row>
    <row r="46764" spans="6:6" x14ac:dyDescent="0.3">
      <c r="F46764" s="193"/>
    </row>
    <row r="46765" spans="6:6" x14ac:dyDescent="0.3">
      <c r="F46765" s="193"/>
    </row>
    <row r="46766" spans="6:6" x14ac:dyDescent="0.3">
      <c r="F46766" s="193"/>
    </row>
    <row r="46767" spans="6:6" x14ac:dyDescent="0.3">
      <c r="F46767" s="193"/>
    </row>
    <row r="46768" spans="6:6" x14ac:dyDescent="0.3">
      <c r="F46768" s="193"/>
    </row>
    <row r="46769" spans="6:6" x14ac:dyDescent="0.3">
      <c r="F46769" s="193"/>
    </row>
    <row r="46770" spans="6:6" x14ac:dyDescent="0.3">
      <c r="F46770" s="193"/>
    </row>
    <row r="46771" spans="6:6" x14ac:dyDescent="0.3">
      <c r="F46771" s="193"/>
    </row>
    <row r="46772" spans="6:6" x14ac:dyDescent="0.3">
      <c r="F46772" s="193"/>
    </row>
    <row r="46773" spans="6:6" x14ac:dyDescent="0.3">
      <c r="F46773" s="193"/>
    </row>
    <row r="46774" spans="6:6" x14ac:dyDescent="0.3">
      <c r="F46774" s="193"/>
    </row>
    <row r="46775" spans="6:6" x14ac:dyDescent="0.3">
      <c r="F46775" s="193"/>
    </row>
    <row r="46776" spans="6:6" x14ac:dyDescent="0.3">
      <c r="F46776" s="193"/>
    </row>
    <row r="46777" spans="6:6" x14ac:dyDescent="0.3">
      <c r="F46777" s="193"/>
    </row>
    <row r="46778" spans="6:6" x14ac:dyDescent="0.3">
      <c r="F46778" s="193"/>
    </row>
    <row r="46779" spans="6:6" x14ac:dyDescent="0.3">
      <c r="F46779" s="193"/>
    </row>
    <row r="46780" spans="6:6" x14ac:dyDescent="0.3">
      <c r="F46780" s="193"/>
    </row>
    <row r="46781" spans="6:6" x14ac:dyDescent="0.3">
      <c r="F46781" s="193"/>
    </row>
    <row r="46782" spans="6:6" x14ac:dyDescent="0.3">
      <c r="F46782" s="193"/>
    </row>
    <row r="46783" spans="6:6" x14ac:dyDescent="0.3">
      <c r="F46783" s="193"/>
    </row>
    <row r="46784" spans="6:6" x14ac:dyDescent="0.3">
      <c r="F46784" s="193"/>
    </row>
    <row r="46785" spans="6:6" x14ac:dyDescent="0.3">
      <c r="F46785" s="193"/>
    </row>
    <row r="46786" spans="6:6" x14ac:dyDescent="0.3">
      <c r="F46786" s="193"/>
    </row>
    <row r="46787" spans="6:6" x14ac:dyDescent="0.3">
      <c r="F46787" s="193"/>
    </row>
    <row r="46788" spans="6:6" x14ac:dyDescent="0.3">
      <c r="F46788" s="193"/>
    </row>
    <row r="46789" spans="6:6" x14ac:dyDescent="0.3">
      <c r="F46789" s="193"/>
    </row>
    <row r="46790" spans="6:6" x14ac:dyDescent="0.3">
      <c r="F46790" s="193"/>
    </row>
    <row r="46791" spans="6:6" x14ac:dyDescent="0.3">
      <c r="F46791" s="193"/>
    </row>
    <row r="46792" spans="6:6" x14ac:dyDescent="0.3">
      <c r="F46792" s="193"/>
    </row>
    <row r="46793" spans="6:6" x14ac:dyDescent="0.3">
      <c r="F46793" s="193"/>
    </row>
    <row r="46794" spans="6:6" x14ac:dyDescent="0.3">
      <c r="F46794" s="193"/>
    </row>
    <row r="46795" spans="6:6" x14ac:dyDescent="0.3">
      <c r="F46795" s="193"/>
    </row>
    <row r="46796" spans="6:6" x14ac:dyDescent="0.3">
      <c r="F46796" s="193"/>
    </row>
    <row r="46797" spans="6:6" x14ac:dyDescent="0.3">
      <c r="F46797" s="193"/>
    </row>
    <row r="46798" spans="6:6" x14ac:dyDescent="0.3">
      <c r="F46798" s="193"/>
    </row>
    <row r="46799" spans="6:6" x14ac:dyDescent="0.3">
      <c r="F46799" s="193"/>
    </row>
    <row r="46800" spans="6:6" x14ac:dyDescent="0.3">
      <c r="F46800" s="193"/>
    </row>
    <row r="46801" spans="6:6" x14ac:dyDescent="0.3">
      <c r="F46801" s="193"/>
    </row>
    <row r="46802" spans="6:6" x14ac:dyDescent="0.3">
      <c r="F46802" s="193"/>
    </row>
    <row r="46803" spans="6:6" x14ac:dyDescent="0.3">
      <c r="F46803" s="193"/>
    </row>
    <row r="46804" spans="6:6" x14ac:dyDescent="0.3">
      <c r="F46804" s="193"/>
    </row>
    <row r="46805" spans="6:6" x14ac:dyDescent="0.3">
      <c r="F46805" s="193"/>
    </row>
    <row r="46806" spans="6:6" x14ac:dyDescent="0.3">
      <c r="F46806" s="193"/>
    </row>
    <row r="46807" spans="6:6" x14ac:dyDescent="0.3">
      <c r="F46807" s="193"/>
    </row>
    <row r="46808" spans="6:6" x14ac:dyDescent="0.3">
      <c r="F46808" s="193"/>
    </row>
    <row r="46809" spans="6:6" x14ac:dyDescent="0.3">
      <c r="F46809" s="193"/>
    </row>
    <row r="46810" spans="6:6" x14ac:dyDescent="0.3">
      <c r="F46810" s="193"/>
    </row>
    <row r="46811" spans="6:6" x14ac:dyDescent="0.3">
      <c r="F46811" s="193"/>
    </row>
    <row r="46812" spans="6:6" x14ac:dyDescent="0.3">
      <c r="F46812" s="193"/>
    </row>
    <row r="46813" spans="6:6" x14ac:dyDescent="0.3">
      <c r="F46813" s="193"/>
    </row>
    <row r="46814" spans="6:6" x14ac:dyDescent="0.3">
      <c r="F46814" s="193"/>
    </row>
    <row r="46815" spans="6:6" x14ac:dyDescent="0.3">
      <c r="F46815" s="193"/>
    </row>
    <row r="46816" spans="6:6" x14ac:dyDescent="0.3">
      <c r="F46816" s="193"/>
    </row>
    <row r="46817" spans="6:6" x14ac:dyDescent="0.3">
      <c r="F46817" s="193"/>
    </row>
    <row r="46818" spans="6:6" x14ac:dyDescent="0.3">
      <c r="F46818" s="193"/>
    </row>
    <row r="46819" spans="6:6" x14ac:dyDescent="0.3">
      <c r="F46819" s="193"/>
    </row>
    <row r="46820" spans="6:6" x14ac:dyDescent="0.3">
      <c r="F46820" s="193"/>
    </row>
    <row r="46821" spans="6:6" x14ac:dyDescent="0.3">
      <c r="F46821" s="193"/>
    </row>
    <row r="46822" spans="6:6" x14ac:dyDescent="0.3">
      <c r="F46822" s="193"/>
    </row>
    <row r="46823" spans="6:6" x14ac:dyDescent="0.3">
      <c r="F46823" s="193"/>
    </row>
    <row r="46824" spans="6:6" x14ac:dyDescent="0.3">
      <c r="F46824" s="193"/>
    </row>
    <row r="46825" spans="6:6" x14ac:dyDescent="0.3">
      <c r="F46825" s="193"/>
    </row>
    <row r="46826" spans="6:6" x14ac:dyDescent="0.3">
      <c r="F46826" s="193"/>
    </row>
    <row r="46827" spans="6:6" x14ac:dyDescent="0.3">
      <c r="F46827" s="193"/>
    </row>
    <row r="46828" spans="6:6" x14ac:dyDescent="0.3">
      <c r="F46828" s="193"/>
    </row>
    <row r="46829" spans="6:6" x14ac:dyDescent="0.3">
      <c r="F46829" s="193"/>
    </row>
    <row r="46830" spans="6:6" x14ac:dyDescent="0.3">
      <c r="F46830" s="193"/>
    </row>
    <row r="46831" spans="6:6" x14ac:dyDescent="0.3">
      <c r="F46831" s="193"/>
    </row>
    <row r="46832" spans="6:6" x14ac:dyDescent="0.3">
      <c r="F46832" s="193"/>
    </row>
    <row r="46833" spans="6:6" x14ac:dyDescent="0.3">
      <c r="F46833" s="193"/>
    </row>
    <row r="46834" spans="6:6" x14ac:dyDescent="0.3">
      <c r="F46834" s="193"/>
    </row>
    <row r="46835" spans="6:6" x14ac:dyDescent="0.3">
      <c r="F46835" s="193"/>
    </row>
    <row r="46836" spans="6:6" x14ac:dyDescent="0.3">
      <c r="F46836" s="193"/>
    </row>
    <row r="46837" spans="6:6" x14ac:dyDescent="0.3">
      <c r="F46837" s="193"/>
    </row>
    <row r="46838" spans="6:6" x14ac:dyDescent="0.3">
      <c r="F46838" s="193"/>
    </row>
    <row r="46839" spans="6:6" x14ac:dyDescent="0.3">
      <c r="F46839" s="193"/>
    </row>
    <row r="46840" spans="6:6" x14ac:dyDescent="0.3">
      <c r="F46840" s="193"/>
    </row>
    <row r="46841" spans="6:6" x14ac:dyDescent="0.3">
      <c r="F46841" s="193"/>
    </row>
    <row r="46842" spans="6:6" x14ac:dyDescent="0.3">
      <c r="F46842" s="193"/>
    </row>
    <row r="46843" spans="6:6" x14ac:dyDescent="0.3">
      <c r="F46843" s="193"/>
    </row>
    <row r="46844" spans="6:6" x14ac:dyDescent="0.3">
      <c r="F46844" s="193"/>
    </row>
    <row r="46845" spans="6:6" x14ac:dyDescent="0.3">
      <c r="F46845" s="193"/>
    </row>
    <row r="46846" spans="6:6" x14ac:dyDescent="0.3">
      <c r="F46846" s="193"/>
    </row>
    <row r="46847" spans="6:6" x14ac:dyDescent="0.3">
      <c r="F46847" s="193"/>
    </row>
    <row r="46848" spans="6:6" x14ac:dyDescent="0.3">
      <c r="F46848" s="193"/>
    </row>
    <row r="46849" spans="6:6" x14ac:dyDescent="0.3">
      <c r="F46849" s="193"/>
    </row>
    <row r="46850" spans="6:6" x14ac:dyDescent="0.3">
      <c r="F46850" s="193"/>
    </row>
    <row r="46851" spans="6:6" x14ac:dyDescent="0.3">
      <c r="F46851" s="193"/>
    </row>
    <row r="46852" spans="6:6" x14ac:dyDescent="0.3">
      <c r="F46852" s="193"/>
    </row>
    <row r="46853" spans="6:6" x14ac:dyDescent="0.3">
      <c r="F46853" s="193"/>
    </row>
    <row r="46854" spans="6:6" x14ac:dyDescent="0.3">
      <c r="F46854" s="193"/>
    </row>
    <row r="46855" spans="6:6" x14ac:dyDescent="0.3">
      <c r="F46855" s="193"/>
    </row>
    <row r="46856" spans="6:6" x14ac:dyDescent="0.3">
      <c r="F46856" s="193"/>
    </row>
    <row r="46857" spans="6:6" x14ac:dyDescent="0.3">
      <c r="F46857" s="193"/>
    </row>
    <row r="46858" spans="6:6" x14ac:dyDescent="0.3">
      <c r="F46858" s="193"/>
    </row>
    <row r="46859" spans="6:6" x14ac:dyDescent="0.3">
      <c r="F46859" s="193"/>
    </row>
    <row r="46860" spans="6:6" x14ac:dyDescent="0.3">
      <c r="F46860" s="193"/>
    </row>
    <row r="46861" spans="6:6" x14ac:dyDescent="0.3">
      <c r="F46861" s="193"/>
    </row>
    <row r="46862" spans="6:6" x14ac:dyDescent="0.3">
      <c r="F46862" s="193"/>
    </row>
    <row r="46863" spans="6:6" x14ac:dyDescent="0.3">
      <c r="F46863" s="193"/>
    </row>
    <row r="46864" spans="6:6" x14ac:dyDescent="0.3">
      <c r="F46864" s="193"/>
    </row>
    <row r="46865" spans="6:6" x14ac:dyDescent="0.3">
      <c r="F46865" s="193"/>
    </row>
    <row r="46866" spans="6:6" x14ac:dyDescent="0.3">
      <c r="F46866" s="193"/>
    </row>
    <row r="46867" spans="6:6" x14ac:dyDescent="0.3">
      <c r="F46867" s="193"/>
    </row>
    <row r="46868" spans="6:6" x14ac:dyDescent="0.3">
      <c r="F46868" s="193"/>
    </row>
    <row r="46869" spans="6:6" x14ac:dyDescent="0.3">
      <c r="F46869" s="193"/>
    </row>
    <row r="46870" spans="6:6" x14ac:dyDescent="0.3">
      <c r="F46870" s="193"/>
    </row>
    <row r="46871" spans="6:6" x14ac:dyDescent="0.3">
      <c r="F46871" s="193"/>
    </row>
    <row r="46872" spans="6:6" x14ac:dyDescent="0.3">
      <c r="F46872" s="193"/>
    </row>
    <row r="46873" spans="6:6" x14ac:dyDescent="0.3">
      <c r="F46873" s="193"/>
    </row>
    <row r="46874" spans="6:6" x14ac:dyDescent="0.3">
      <c r="F46874" s="193"/>
    </row>
    <row r="46875" spans="6:6" x14ac:dyDescent="0.3">
      <c r="F46875" s="193"/>
    </row>
    <row r="46876" spans="6:6" x14ac:dyDescent="0.3">
      <c r="F46876" s="193"/>
    </row>
    <row r="46877" spans="6:6" x14ac:dyDescent="0.3">
      <c r="F46877" s="193"/>
    </row>
    <row r="46878" spans="6:6" x14ac:dyDescent="0.3">
      <c r="F46878" s="193"/>
    </row>
    <row r="46879" spans="6:6" x14ac:dyDescent="0.3">
      <c r="F46879" s="193"/>
    </row>
    <row r="46880" spans="6:6" x14ac:dyDescent="0.3">
      <c r="F46880" s="193"/>
    </row>
    <row r="46881" spans="6:6" x14ac:dyDescent="0.3">
      <c r="F46881" s="193"/>
    </row>
    <row r="46882" spans="6:6" x14ac:dyDescent="0.3">
      <c r="F46882" s="193"/>
    </row>
    <row r="46883" spans="6:6" x14ac:dyDescent="0.3">
      <c r="F46883" s="193"/>
    </row>
    <row r="46884" spans="6:6" x14ac:dyDescent="0.3">
      <c r="F46884" s="193"/>
    </row>
    <row r="46885" spans="6:6" x14ac:dyDescent="0.3">
      <c r="F46885" s="193"/>
    </row>
    <row r="46886" spans="6:6" x14ac:dyDescent="0.3">
      <c r="F46886" s="193"/>
    </row>
    <row r="46887" spans="6:6" x14ac:dyDescent="0.3">
      <c r="F46887" s="193"/>
    </row>
    <row r="46888" spans="6:6" x14ac:dyDescent="0.3">
      <c r="F46888" s="193"/>
    </row>
    <row r="46889" spans="6:6" x14ac:dyDescent="0.3">
      <c r="F46889" s="193"/>
    </row>
    <row r="46890" spans="6:6" x14ac:dyDescent="0.3">
      <c r="F46890" s="193"/>
    </row>
    <row r="46891" spans="6:6" x14ac:dyDescent="0.3">
      <c r="F46891" s="193"/>
    </row>
    <row r="46892" spans="6:6" x14ac:dyDescent="0.3">
      <c r="F46892" s="193"/>
    </row>
    <row r="46893" spans="6:6" x14ac:dyDescent="0.3">
      <c r="F46893" s="193"/>
    </row>
    <row r="46894" spans="6:6" x14ac:dyDescent="0.3">
      <c r="F46894" s="193"/>
    </row>
    <row r="46895" spans="6:6" x14ac:dyDescent="0.3">
      <c r="F46895" s="193"/>
    </row>
    <row r="46896" spans="6:6" x14ac:dyDescent="0.3">
      <c r="F46896" s="193"/>
    </row>
    <row r="46897" spans="6:6" x14ac:dyDescent="0.3">
      <c r="F46897" s="193"/>
    </row>
    <row r="46898" spans="6:6" x14ac:dyDescent="0.3">
      <c r="F46898" s="193"/>
    </row>
    <row r="46899" spans="6:6" x14ac:dyDescent="0.3">
      <c r="F46899" s="193"/>
    </row>
    <row r="46900" spans="6:6" x14ac:dyDescent="0.3">
      <c r="F46900" s="193"/>
    </row>
    <row r="46901" spans="6:6" x14ac:dyDescent="0.3">
      <c r="F46901" s="193"/>
    </row>
    <row r="46902" spans="6:6" x14ac:dyDescent="0.3">
      <c r="F46902" s="193"/>
    </row>
    <row r="46903" spans="6:6" x14ac:dyDescent="0.3">
      <c r="F46903" s="193"/>
    </row>
    <row r="46904" spans="6:6" x14ac:dyDescent="0.3">
      <c r="F46904" s="193"/>
    </row>
    <row r="46905" spans="6:6" x14ac:dyDescent="0.3">
      <c r="F46905" s="193"/>
    </row>
    <row r="46906" spans="6:6" x14ac:dyDescent="0.3">
      <c r="F46906" s="193"/>
    </row>
    <row r="46907" spans="6:6" x14ac:dyDescent="0.3">
      <c r="F46907" s="193"/>
    </row>
    <row r="46908" spans="6:6" x14ac:dyDescent="0.3">
      <c r="F46908" s="193"/>
    </row>
    <row r="46909" spans="6:6" x14ac:dyDescent="0.3">
      <c r="F46909" s="193"/>
    </row>
    <row r="46910" spans="6:6" x14ac:dyDescent="0.3">
      <c r="F46910" s="193"/>
    </row>
    <row r="46911" spans="6:6" x14ac:dyDescent="0.3">
      <c r="F46911" s="193"/>
    </row>
    <row r="46912" spans="6:6" x14ac:dyDescent="0.3">
      <c r="F46912" s="193"/>
    </row>
    <row r="46913" spans="6:6" x14ac:dyDescent="0.3">
      <c r="F46913" s="193"/>
    </row>
    <row r="46914" spans="6:6" x14ac:dyDescent="0.3">
      <c r="F46914" s="193"/>
    </row>
    <row r="46915" spans="6:6" x14ac:dyDescent="0.3">
      <c r="F46915" s="193"/>
    </row>
    <row r="46916" spans="6:6" x14ac:dyDescent="0.3">
      <c r="F46916" s="193"/>
    </row>
    <row r="46917" spans="6:6" x14ac:dyDescent="0.3">
      <c r="F46917" s="193"/>
    </row>
    <row r="46918" spans="6:6" x14ac:dyDescent="0.3">
      <c r="F46918" s="193"/>
    </row>
    <row r="46919" spans="6:6" x14ac:dyDescent="0.3">
      <c r="F46919" s="193"/>
    </row>
    <row r="46920" spans="6:6" x14ac:dyDescent="0.3">
      <c r="F46920" s="193"/>
    </row>
    <row r="46921" spans="6:6" x14ac:dyDescent="0.3">
      <c r="F46921" s="193"/>
    </row>
    <row r="46922" spans="6:6" x14ac:dyDescent="0.3">
      <c r="F46922" s="193"/>
    </row>
    <row r="46923" spans="6:6" x14ac:dyDescent="0.3">
      <c r="F46923" s="193"/>
    </row>
    <row r="46924" spans="6:6" x14ac:dyDescent="0.3">
      <c r="F46924" s="193"/>
    </row>
    <row r="46925" spans="6:6" x14ac:dyDescent="0.3">
      <c r="F46925" s="193"/>
    </row>
    <row r="46926" spans="6:6" x14ac:dyDescent="0.3">
      <c r="F46926" s="193"/>
    </row>
    <row r="46927" spans="6:6" x14ac:dyDescent="0.3">
      <c r="F46927" s="193"/>
    </row>
    <row r="46928" spans="6:6" x14ac:dyDescent="0.3">
      <c r="F46928" s="193"/>
    </row>
    <row r="46929" spans="6:6" x14ac:dyDescent="0.3">
      <c r="F46929" s="193"/>
    </row>
    <row r="46930" spans="6:6" x14ac:dyDescent="0.3">
      <c r="F46930" s="193"/>
    </row>
    <row r="46931" spans="6:6" x14ac:dyDescent="0.3">
      <c r="F46931" s="193"/>
    </row>
    <row r="46932" spans="6:6" x14ac:dyDescent="0.3">
      <c r="F46932" s="193"/>
    </row>
    <row r="46933" spans="6:6" x14ac:dyDescent="0.3">
      <c r="F46933" s="193"/>
    </row>
    <row r="46934" spans="6:6" x14ac:dyDescent="0.3">
      <c r="F46934" s="193"/>
    </row>
    <row r="46935" spans="6:6" x14ac:dyDescent="0.3">
      <c r="F46935" s="193"/>
    </row>
    <row r="46936" spans="6:6" x14ac:dyDescent="0.3">
      <c r="F46936" s="193"/>
    </row>
    <row r="46937" spans="6:6" x14ac:dyDescent="0.3">
      <c r="F46937" s="193"/>
    </row>
    <row r="46938" spans="6:6" x14ac:dyDescent="0.3">
      <c r="F46938" s="193"/>
    </row>
    <row r="46939" spans="6:6" x14ac:dyDescent="0.3">
      <c r="F46939" s="193"/>
    </row>
    <row r="46940" spans="6:6" x14ac:dyDescent="0.3">
      <c r="F46940" s="193"/>
    </row>
    <row r="46941" spans="6:6" x14ac:dyDescent="0.3">
      <c r="F46941" s="193"/>
    </row>
    <row r="46942" spans="6:6" x14ac:dyDescent="0.3">
      <c r="F46942" s="193"/>
    </row>
    <row r="46943" spans="6:6" x14ac:dyDescent="0.3">
      <c r="F46943" s="193"/>
    </row>
    <row r="46944" spans="6:6" x14ac:dyDescent="0.3">
      <c r="F46944" s="193"/>
    </row>
    <row r="46945" spans="6:6" x14ac:dyDescent="0.3">
      <c r="F46945" s="193"/>
    </row>
    <row r="46946" spans="6:6" x14ac:dyDescent="0.3">
      <c r="F46946" s="193"/>
    </row>
    <row r="46947" spans="6:6" x14ac:dyDescent="0.3">
      <c r="F46947" s="193"/>
    </row>
    <row r="46948" spans="6:6" x14ac:dyDescent="0.3">
      <c r="F46948" s="193"/>
    </row>
    <row r="46949" spans="6:6" x14ac:dyDescent="0.3">
      <c r="F46949" s="193"/>
    </row>
    <row r="46950" spans="6:6" x14ac:dyDescent="0.3">
      <c r="F46950" s="193"/>
    </row>
    <row r="46951" spans="6:6" x14ac:dyDescent="0.3">
      <c r="F46951" s="193"/>
    </row>
    <row r="46952" spans="6:6" x14ac:dyDescent="0.3">
      <c r="F46952" s="193"/>
    </row>
    <row r="46953" spans="6:6" x14ac:dyDescent="0.3">
      <c r="F46953" s="193"/>
    </row>
    <row r="46954" spans="6:6" x14ac:dyDescent="0.3">
      <c r="F46954" s="193"/>
    </row>
    <row r="46955" spans="6:6" x14ac:dyDescent="0.3">
      <c r="F46955" s="193"/>
    </row>
    <row r="46956" spans="6:6" x14ac:dyDescent="0.3">
      <c r="F46956" s="193"/>
    </row>
    <row r="46957" spans="6:6" x14ac:dyDescent="0.3">
      <c r="F46957" s="193"/>
    </row>
    <row r="46958" spans="6:6" x14ac:dyDescent="0.3">
      <c r="F46958" s="193"/>
    </row>
    <row r="46959" spans="6:6" x14ac:dyDescent="0.3">
      <c r="F46959" s="193"/>
    </row>
    <row r="46960" spans="6:6" x14ac:dyDescent="0.3">
      <c r="F46960" s="193"/>
    </row>
    <row r="46961" spans="6:6" x14ac:dyDescent="0.3">
      <c r="F46961" s="193"/>
    </row>
    <row r="46962" spans="6:6" x14ac:dyDescent="0.3">
      <c r="F46962" s="193"/>
    </row>
    <row r="46963" spans="6:6" x14ac:dyDescent="0.3">
      <c r="F46963" s="193"/>
    </row>
    <row r="46964" spans="6:6" x14ac:dyDescent="0.3">
      <c r="F46964" s="193"/>
    </row>
    <row r="46965" spans="6:6" x14ac:dyDescent="0.3">
      <c r="F46965" s="193"/>
    </row>
    <row r="46966" spans="6:6" x14ac:dyDescent="0.3">
      <c r="F46966" s="193"/>
    </row>
    <row r="46967" spans="6:6" x14ac:dyDescent="0.3">
      <c r="F46967" s="193"/>
    </row>
    <row r="46968" spans="6:6" x14ac:dyDescent="0.3">
      <c r="F46968" s="193"/>
    </row>
    <row r="46969" spans="6:6" x14ac:dyDescent="0.3">
      <c r="F46969" s="193"/>
    </row>
    <row r="46970" spans="6:6" x14ac:dyDescent="0.3">
      <c r="F46970" s="193"/>
    </row>
    <row r="46971" spans="6:6" x14ac:dyDescent="0.3">
      <c r="F46971" s="193"/>
    </row>
    <row r="46972" spans="6:6" x14ac:dyDescent="0.3">
      <c r="F46972" s="193"/>
    </row>
    <row r="46973" spans="6:6" x14ac:dyDescent="0.3">
      <c r="F46973" s="193"/>
    </row>
    <row r="46974" spans="6:6" x14ac:dyDescent="0.3">
      <c r="F46974" s="193"/>
    </row>
    <row r="46975" spans="6:6" x14ac:dyDescent="0.3">
      <c r="F46975" s="193"/>
    </row>
    <row r="46976" spans="6:6" x14ac:dyDescent="0.3">
      <c r="F46976" s="193"/>
    </row>
    <row r="46977" spans="6:6" x14ac:dyDescent="0.3">
      <c r="F46977" s="193"/>
    </row>
    <row r="46978" spans="6:6" x14ac:dyDescent="0.3">
      <c r="F46978" s="193"/>
    </row>
    <row r="46979" spans="6:6" x14ac:dyDescent="0.3">
      <c r="F46979" s="193"/>
    </row>
    <row r="46980" spans="6:6" x14ac:dyDescent="0.3">
      <c r="F46980" s="193"/>
    </row>
    <row r="46981" spans="6:6" x14ac:dyDescent="0.3">
      <c r="F46981" s="193"/>
    </row>
    <row r="46982" spans="6:6" x14ac:dyDescent="0.3">
      <c r="F46982" s="193"/>
    </row>
    <row r="46983" spans="6:6" x14ac:dyDescent="0.3">
      <c r="F46983" s="193"/>
    </row>
    <row r="46984" spans="6:6" x14ac:dyDescent="0.3">
      <c r="F46984" s="193"/>
    </row>
    <row r="46985" spans="6:6" x14ac:dyDescent="0.3">
      <c r="F46985" s="193"/>
    </row>
    <row r="46986" spans="6:6" x14ac:dyDescent="0.3">
      <c r="F46986" s="193"/>
    </row>
    <row r="46987" spans="6:6" x14ac:dyDescent="0.3">
      <c r="F46987" s="193"/>
    </row>
    <row r="46988" spans="6:6" x14ac:dyDescent="0.3">
      <c r="F46988" s="193"/>
    </row>
    <row r="46989" spans="6:6" x14ac:dyDescent="0.3">
      <c r="F46989" s="193"/>
    </row>
    <row r="46990" spans="6:6" x14ac:dyDescent="0.3">
      <c r="F46990" s="193"/>
    </row>
    <row r="46991" spans="6:6" x14ac:dyDescent="0.3">
      <c r="F46991" s="193"/>
    </row>
    <row r="46992" spans="6:6" x14ac:dyDescent="0.3">
      <c r="F46992" s="193"/>
    </row>
    <row r="46993" spans="6:6" x14ac:dyDescent="0.3">
      <c r="F46993" s="193"/>
    </row>
    <row r="46994" spans="6:6" x14ac:dyDescent="0.3">
      <c r="F46994" s="193"/>
    </row>
    <row r="46995" spans="6:6" x14ac:dyDescent="0.3">
      <c r="F46995" s="193"/>
    </row>
    <row r="46996" spans="6:6" x14ac:dyDescent="0.3">
      <c r="F46996" s="193"/>
    </row>
    <row r="46997" spans="6:6" x14ac:dyDescent="0.3">
      <c r="F46997" s="193"/>
    </row>
    <row r="46998" spans="6:6" x14ac:dyDescent="0.3">
      <c r="F46998" s="193"/>
    </row>
    <row r="46999" spans="6:6" x14ac:dyDescent="0.3">
      <c r="F46999" s="193"/>
    </row>
    <row r="47000" spans="6:6" x14ac:dyDescent="0.3">
      <c r="F47000" s="193"/>
    </row>
    <row r="47001" spans="6:6" x14ac:dyDescent="0.3">
      <c r="F47001" s="193"/>
    </row>
    <row r="47002" spans="6:6" x14ac:dyDescent="0.3">
      <c r="F47002" s="193"/>
    </row>
    <row r="47003" spans="6:6" x14ac:dyDescent="0.3">
      <c r="F47003" s="193"/>
    </row>
    <row r="47004" spans="6:6" x14ac:dyDescent="0.3">
      <c r="F47004" s="193"/>
    </row>
    <row r="47005" spans="6:6" x14ac:dyDescent="0.3">
      <c r="F47005" s="193"/>
    </row>
    <row r="47006" spans="6:6" x14ac:dyDescent="0.3">
      <c r="F47006" s="193"/>
    </row>
    <row r="47007" spans="6:6" x14ac:dyDescent="0.3">
      <c r="F47007" s="193"/>
    </row>
    <row r="47008" spans="6:6" x14ac:dyDescent="0.3">
      <c r="F47008" s="193"/>
    </row>
    <row r="47009" spans="6:6" x14ac:dyDescent="0.3">
      <c r="F47009" s="193"/>
    </row>
    <row r="47010" spans="6:6" x14ac:dyDescent="0.3">
      <c r="F47010" s="193"/>
    </row>
    <row r="47011" spans="6:6" x14ac:dyDescent="0.3">
      <c r="F47011" s="193"/>
    </row>
    <row r="47012" spans="6:6" x14ac:dyDescent="0.3">
      <c r="F47012" s="193"/>
    </row>
    <row r="47013" spans="6:6" x14ac:dyDescent="0.3">
      <c r="F47013" s="193"/>
    </row>
    <row r="47014" spans="6:6" x14ac:dyDescent="0.3">
      <c r="F47014" s="193"/>
    </row>
    <row r="47015" spans="6:6" x14ac:dyDescent="0.3">
      <c r="F47015" s="193"/>
    </row>
    <row r="47016" spans="6:6" x14ac:dyDescent="0.3">
      <c r="F47016" s="193"/>
    </row>
    <row r="47017" spans="6:6" x14ac:dyDescent="0.3">
      <c r="F47017" s="193"/>
    </row>
    <row r="47018" spans="6:6" x14ac:dyDescent="0.3">
      <c r="F47018" s="193"/>
    </row>
    <row r="47019" spans="6:6" x14ac:dyDescent="0.3">
      <c r="F47019" s="193"/>
    </row>
    <row r="47020" spans="6:6" x14ac:dyDescent="0.3">
      <c r="F47020" s="193"/>
    </row>
    <row r="47021" spans="6:6" x14ac:dyDescent="0.3">
      <c r="F47021" s="193"/>
    </row>
    <row r="47022" spans="6:6" x14ac:dyDescent="0.3">
      <c r="F47022" s="193"/>
    </row>
    <row r="47023" spans="6:6" x14ac:dyDescent="0.3">
      <c r="F47023" s="193"/>
    </row>
    <row r="47024" spans="6:6" x14ac:dyDescent="0.3">
      <c r="F47024" s="193"/>
    </row>
    <row r="47025" spans="6:6" x14ac:dyDescent="0.3">
      <c r="F47025" s="193"/>
    </row>
    <row r="47026" spans="6:6" x14ac:dyDescent="0.3">
      <c r="F47026" s="193"/>
    </row>
    <row r="47027" spans="6:6" x14ac:dyDescent="0.3">
      <c r="F47027" s="193"/>
    </row>
    <row r="47028" spans="6:6" x14ac:dyDescent="0.3">
      <c r="F47028" s="193"/>
    </row>
    <row r="47029" spans="6:6" x14ac:dyDescent="0.3">
      <c r="F47029" s="193"/>
    </row>
    <row r="47030" spans="6:6" x14ac:dyDescent="0.3">
      <c r="F47030" s="193"/>
    </row>
    <row r="47031" spans="6:6" x14ac:dyDescent="0.3">
      <c r="F47031" s="193"/>
    </row>
    <row r="47032" spans="6:6" x14ac:dyDescent="0.3">
      <c r="F47032" s="193"/>
    </row>
    <row r="47033" spans="6:6" x14ac:dyDescent="0.3">
      <c r="F47033" s="193"/>
    </row>
    <row r="47034" spans="6:6" x14ac:dyDescent="0.3">
      <c r="F47034" s="193"/>
    </row>
    <row r="47035" spans="6:6" x14ac:dyDescent="0.3">
      <c r="F47035" s="193"/>
    </row>
    <row r="47036" spans="6:6" x14ac:dyDescent="0.3">
      <c r="F47036" s="193"/>
    </row>
    <row r="47037" spans="6:6" x14ac:dyDescent="0.3">
      <c r="F47037" s="193"/>
    </row>
    <row r="47038" spans="6:6" x14ac:dyDescent="0.3">
      <c r="F47038" s="193"/>
    </row>
    <row r="47039" spans="6:6" x14ac:dyDescent="0.3">
      <c r="F47039" s="193"/>
    </row>
    <row r="47040" spans="6:6" x14ac:dyDescent="0.3">
      <c r="F47040" s="193"/>
    </row>
    <row r="47041" spans="6:6" x14ac:dyDescent="0.3">
      <c r="F47041" s="193"/>
    </row>
    <row r="47042" spans="6:6" x14ac:dyDescent="0.3">
      <c r="F47042" s="193"/>
    </row>
    <row r="47043" spans="6:6" x14ac:dyDescent="0.3">
      <c r="F47043" s="193"/>
    </row>
    <row r="47044" spans="6:6" x14ac:dyDescent="0.3">
      <c r="F47044" s="193"/>
    </row>
    <row r="47045" spans="6:6" x14ac:dyDescent="0.3">
      <c r="F47045" s="193"/>
    </row>
    <row r="47046" spans="6:6" x14ac:dyDescent="0.3">
      <c r="F47046" s="193"/>
    </row>
    <row r="47047" spans="6:6" x14ac:dyDescent="0.3">
      <c r="F47047" s="193"/>
    </row>
    <row r="47048" spans="6:6" x14ac:dyDescent="0.3">
      <c r="F47048" s="193"/>
    </row>
    <row r="47049" spans="6:6" x14ac:dyDescent="0.3">
      <c r="F47049" s="193"/>
    </row>
    <row r="47050" spans="6:6" x14ac:dyDescent="0.3">
      <c r="F47050" s="193"/>
    </row>
    <row r="47051" spans="6:6" x14ac:dyDescent="0.3">
      <c r="F47051" s="193"/>
    </row>
    <row r="47052" spans="6:6" x14ac:dyDescent="0.3">
      <c r="F47052" s="193"/>
    </row>
    <row r="47053" spans="6:6" x14ac:dyDescent="0.3">
      <c r="F47053" s="193"/>
    </row>
    <row r="47054" spans="6:6" x14ac:dyDescent="0.3">
      <c r="F47054" s="193"/>
    </row>
    <row r="47055" spans="6:6" x14ac:dyDescent="0.3">
      <c r="F47055" s="193"/>
    </row>
    <row r="47056" spans="6:6" x14ac:dyDescent="0.3">
      <c r="F47056" s="193"/>
    </row>
    <row r="47057" spans="6:6" x14ac:dyDescent="0.3">
      <c r="F47057" s="193"/>
    </row>
    <row r="47058" spans="6:6" x14ac:dyDescent="0.3">
      <c r="F47058" s="193"/>
    </row>
    <row r="47059" spans="6:6" x14ac:dyDescent="0.3">
      <c r="F47059" s="193"/>
    </row>
    <row r="47060" spans="6:6" x14ac:dyDescent="0.3">
      <c r="F47060" s="193"/>
    </row>
    <row r="47061" spans="6:6" x14ac:dyDescent="0.3">
      <c r="F47061" s="193"/>
    </row>
    <row r="47062" spans="6:6" x14ac:dyDescent="0.3">
      <c r="F47062" s="193"/>
    </row>
    <row r="47063" spans="6:6" x14ac:dyDescent="0.3">
      <c r="F47063" s="193"/>
    </row>
    <row r="47064" spans="6:6" x14ac:dyDescent="0.3">
      <c r="F47064" s="193"/>
    </row>
    <row r="47065" spans="6:6" x14ac:dyDescent="0.3">
      <c r="F47065" s="193"/>
    </row>
    <row r="47066" spans="6:6" x14ac:dyDescent="0.3">
      <c r="F47066" s="193"/>
    </row>
    <row r="47067" spans="6:6" x14ac:dyDescent="0.3">
      <c r="F47067" s="193"/>
    </row>
    <row r="47068" spans="6:6" x14ac:dyDescent="0.3">
      <c r="F47068" s="193"/>
    </row>
    <row r="47069" spans="6:6" x14ac:dyDescent="0.3">
      <c r="F47069" s="193"/>
    </row>
    <row r="47070" spans="6:6" x14ac:dyDescent="0.3">
      <c r="F47070" s="193"/>
    </row>
    <row r="47071" spans="6:6" x14ac:dyDescent="0.3">
      <c r="F47071" s="193"/>
    </row>
    <row r="47072" spans="6:6" x14ac:dyDescent="0.3">
      <c r="F47072" s="193"/>
    </row>
    <row r="47073" spans="6:6" x14ac:dyDescent="0.3">
      <c r="F47073" s="193"/>
    </row>
    <row r="47074" spans="6:6" x14ac:dyDescent="0.3">
      <c r="F47074" s="193"/>
    </row>
    <row r="47075" spans="6:6" x14ac:dyDescent="0.3">
      <c r="F47075" s="193"/>
    </row>
    <row r="47076" spans="6:6" x14ac:dyDescent="0.3">
      <c r="F47076" s="193"/>
    </row>
    <row r="47077" spans="6:6" x14ac:dyDescent="0.3">
      <c r="F47077" s="193"/>
    </row>
    <row r="47078" spans="6:6" x14ac:dyDescent="0.3">
      <c r="F47078" s="193"/>
    </row>
    <row r="47079" spans="6:6" x14ac:dyDescent="0.3">
      <c r="F47079" s="193"/>
    </row>
    <row r="47080" spans="6:6" x14ac:dyDescent="0.3">
      <c r="F47080" s="193"/>
    </row>
    <row r="47081" spans="6:6" x14ac:dyDescent="0.3">
      <c r="F47081" s="193"/>
    </row>
    <row r="47082" spans="6:6" x14ac:dyDescent="0.3">
      <c r="F47082" s="193"/>
    </row>
    <row r="47083" spans="6:6" x14ac:dyDescent="0.3">
      <c r="F47083" s="193"/>
    </row>
    <row r="47084" spans="6:6" x14ac:dyDescent="0.3">
      <c r="F47084" s="193"/>
    </row>
    <row r="47085" spans="6:6" x14ac:dyDescent="0.3">
      <c r="F47085" s="193"/>
    </row>
    <row r="47086" spans="6:6" x14ac:dyDescent="0.3">
      <c r="F47086" s="193"/>
    </row>
    <row r="47087" spans="6:6" x14ac:dyDescent="0.3">
      <c r="F47087" s="193"/>
    </row>
    <row r="47088" spans="6:6" x14ac:dyDescent="0.3">
      <c r="F47088" s="193"/>
    </row>
    <row r="47089" spans="6:6" x14ac:dyDescent="0.3">
      <c r="F47089" s="193"/>
    </row>
    <row r="47090" spans="6:6" x14ac:dyDescent="0.3">
      <c r="F47090" s="193"/>
    </row>
    <row r="47091" spans="6:6" x14ac:dyDescent="0.3">
      <c r="F47091" s="193"/>
    </row>
    <row r="47092" spans="6:6" x14ac:dyDescent="0.3">
      <c r="F47092" s="193"/>
    </row>
    <row r="47093" spans="6:6" x14ac:dyDescent="0.3">
      <c r="F47093" s="193"/>
    </row>
    <row r="47094" spans="6:6" x14ac:dyDescent="0.3">
      <c r="F47094" s="193"/>
    </row>
    <row r="47095" spans="6:6" x14ac:dyDescent="0.3">
      <c r="F47095" s="193"/>
    </row>
    <row r="47096" spans="6:6" x14ac:dyDescent="0.3">
      <c r="F47096" s="193"/>
    </row>
    <row r="47097" spans="6:6" x14ac:dyDescent="0.3">
      <c r="F47097" s="193"/>
    </row>
    <row r="47098" spans="6:6" x14ac:dyDescent="0.3">
      <c r="F47098" s="193"/>
    </row>
    <row r="47099" spans="6:6" x14ac:dyDescent="0.3">
      <c r="F47099" s="193"/>
    </row>
    <row r="47100" spans="6:6" x14ac:dyDescent="0.3">
      <c r="F47100" s="193"/>
    </row>
    <row r="47101" spans="6:6" x14ac:dyDescent="0.3">
      <c r="F47101" s="193"/>
    </row>
    <row r="47102" spans="6:6" x14ac:dyDescent="0.3">
      <c r="F47102" s="193"/>
    </row>
    <row r="47103" spans="6:6" x14ac:dyDescent="0.3">
      <c r="F47103" s="193"/>
    </row>
    <row r="47104" spans="6:6" x14ac:dyDescent="0.3">
      <c r="F47104" s="193"/>
    </row>
    <row r="47105" spans="6:6" x14ac:dyDescent="0.3">
      <c r="F47105" s="193"/>
    </row>
    <row r="47106" spans="6:6" x14ac:dyDescent="0.3">
      <c r="F47106" s="193"/>
    </row>
    <row r="47107" spans="6:6" x14ac:dyDescent="0.3">
      <c r="F47107" s="193"/>
    </row>
    <row r="47108" spans="6:6" x14ac:dyDescent="0.3">
      <c r="F47108" s="193"/>
    </row>
    <row r="47109" spans="6:6" x14ac:dyDescent="0.3">
      <c r="F47109" s="193"/>
    </row>
    <row r="47110" spans="6:6" x14ac:dyDescent="0.3">
      <c r="F47110" s="193"/>
    </row>
    <row r="47111" spans="6:6" x14ac:dyDescent="0.3">
      <c r="F47111" s="193"/>
    </row>
    <row r="47112" spans="6:6" x14ac:dyDescent="0.3">
      <c r="F47112" s="193"/>
    </row>
    <row r="47113" spans="6:6" x14ac:dyDescent="0.3">
      <c r="F47113" s="193"/>
    </row>
    <row r="47114" spans="6:6" x14ac:dyDescent="0.3">
      <c r="F47114" s="193"/>
    </row>
    <row r="47115" spans="6:6" x14ac:dyDescent="0.3">
      <c r="F47115" s="193"/>
    </row>
    <row r="47116" spans="6:6" x14ac:dyDescent="0.3">
      <c r="F47116" s="193"/>
    </row>
    <row r="47117" spans="6:6" x14ac:dyDescent="0.3">
      <c r="F47117" s="193"/>
    </row>
    <row r="47118" spans="6:6" x14ac:dyDescent="0.3">
      <c r="F47118" s="193"/>
    </row>
    <row r="47119" spans="6:6" x14ac:dyDescent="0.3">
      <c r="F47119" s="193"/>
    </row>
    <row r="47120" spans="6:6" x14ac:dyDescent="0.3">
      <c r="F47120" s="193"/>
    </row>
    <row r="47121" spans="6:6" x14ac:dyDescent="0.3">
      <c r="F47121" s="193"/>
    </row>
    <row r="47122" spans="6:6" x14ac:dyDescent="0.3">
      <c r="F47122" s="193"/>
    </row>
    <row r="47123" spans="6:6" x14ac:dyDescent="0.3">
      <c r="F47123" s="193"/>
    </row>
    <row r="47124" spans="6:6" x14ac:dyDescent="0.3">
      <c r="F47124" s="193"/>
    </row>
    <row r="47125" spans="6:6" x14ac:dyDescent="0.3">
      <c r="F47125" s="193"/>
    </row>
    <row r="47126" spans="6:6" x14ac:dyDescent="0.3">
      <c r="F47126" s="193"/>
    </row>
    <row r="47127" spans="6:6" x14ac:dyDescent="0.3">
      <c r="F47127" s="193"/>
    </row>
    <row r="47128" spans="6:6" x14ac:dyDescent="0.3">
      <c r="F47128" s="193"/>
    </row>
    <row r="47129" spans="6:6" x14ac:dyDescent="0.3">
      <c r="F47129" s="193"/>
    </row>
    <row r="47130" spans="6:6" x14ac:dyDescent="0.3">
      <c r="F47130" s="193"/>
    </row>
    <row r="47131" spans="6:6" x14ac:dyDescent="0.3">
      <c r="F47131" s="193"/>
    </row>
    <row r="47132" spans="6:6" x14ac:dyDescent="0.3">
      <c r="F47132" s="193"/>
    </row>
    <row r="47133" spans="6:6" x14ac:dyDescent="0.3">
      <c r="F47133" s="193"/>
    </row>
    <row r="47134" spans="6:6" x14ac:dyDescent="0.3">
      <c r="F47134" s="193"/>
    </row>
    <row r="47135" spans="6:6" x14ac:dyDescent="0.3">
      <c r="F47135" s="193"/>
    </row>
    <row r="47136" spans="6:6" x14ac:dyDescent="0.3">
      <c r="F47136" s="193"/>
    </row>
    <row r="47137" spans="6:6" x14ac:dyDescent="0.3">
      <c r="F47137" s="193"/>
    </row>
    <row r="47138" spans="6:6" x14ac:dyDescent="0.3">
      <c r="F47138" s="193"/>
    </row>
    <row r="47139" spans="6:6" x14ac:dyDescent="0.3">
      <c r="F47139" s="193"/>
    </row>
    <row r="47140" spans="6:6" x14ac:dyDescent="0.3">
      <c r="F47140" s="193"/>
    </row>
    <row r="47141" spans="6:6" x14ac:dyDescent="0.3">
      <c r="F47141" s="193"/>
    </row>
    <row r="47142" spans="6:6" x14ac:dyDescent="0.3">
      <c r="F47142" s="193"/>
    </row>
    <row r="47143" spans="6:6" x14ac:dyDescent="0.3">
      <c r="F47143" s="193"/>
    </row>
    <row r="47144" spans="6:6" x14ac:dyDescent="0.3">
      <c r="F47144" s="193"/>
    </row>
    <row r="47145" spans="6:6" x14ac:dyDescent="0.3">
      <c r="F47145" s="193"/>
    </row>
    <row r="47146" spans="6:6" x14ac:dyDescent="0.3">
      <c r="F47146" s="193"/>
    </row>
    <row r="47147" spans="6:6" x14ac:dyDescent="0.3">
      <c r="F47147" s="193"/>
    </row>
    <row r="47148" spans="6:6" x14ac:dyDescent="0.3">
      <c r="F47148" s="193"/>
    </row>
    <row r="47149" spans="6:6" x14ac:dyDescent="0.3">
      <c r="F47149" s="193"/>
    </row>
    <row r="47150" spans="6:6" x14ac:dyDescent="0.3">
      <c r="F47150" s="193"/>
    </row>
    <row r="47151" spans="6:6" x14ac:dyDescent="0.3">
      <c r="F47151" s="193"/>
    </row>
    <row r="47152" spans="6:6" x14ac:dyDescent="0.3">
      <c r="F47152" s="193"/>
    </row>
    <row r="47153" spans="6:6" x14ac:dyDescent="0.3">
      <c r="F47153" s="193"/>
    </row>
    <row r="47154" spans="6:6" x14ac:dyDescent="0.3">
      <c r="F47154" s="193"/>
    </row>
    <row r="47155" spans="6:6" x14ac:dyDescent="0.3">
      <c r="F47155" s="193"/>
    </row>
    <row r="47156" spans="6:6" x14ac:dyDescent="0.3">
      <c r="F47156" s="193"/>
    </row>
    <row r="47157" spans="6:6" x14ac:dyDescent="0.3">
      <c r="F47157" s="193"/>
    </row>
    <row r="47158" spans="6:6" x14ac:dyDescent="0.3">
      <c r="F47158" s="193"/>
    </row>
    <row r="47159" spans="6:6" x14ac:dyDescent="0.3">
      <c r="F47159" s="193"/>
    </row>
    <row r="47160" spans="6:6" x14ac:dyDescent="0.3">
      <c r="F47160" s="193"/>
    </row>
    <row r="47161" spans="6:6" x14ac:dyDescent="0.3">
      <c r="F47161" s="193"/>
    </row>
    <row r="47162" spans="6:6" x14ac:dyDescent="0.3">
      <c r="F47162" s="193"/>
    </row>
    <row r="47163" spans="6:6" x14ac:dyDescent="0.3">
      <c r="F47163" s="193"/>
    </row>
    <row r="47164" spans="6:6" x14ac:dyDescent="0.3">
      <c r="F47164" s="193"/>
    </row>
    <row r="47165" spans="6:6" x14ac:dyDescent="0.3">
      <c r="F47165" s="193"/>
    </row>
    <row r="47166" spans="6:6" x14ac:dyDescent="0.3">
      <c r="F47166" s="193"/>
    </row>
    <row r="47167" spans="6:6" x14ac:dyDescent="0.3">
      <c r="F47167" s="193"/>
    </row>
    <row r="47168" spans="6:6" x14ac:dyDescent="0.3">
      <c r="F47168" s="193"/>
    </row>
    <row r="47169" spans="6:6" x14ac:dyDescent="0.3">
      <c r="F47169" s="193"/>
    </row>
    <row r="47170" spans="6:6" x14ac:dyDescent="0.3">
      <c r="F47170" s="193"/>
    </row>
    <row r="47171" spans="6:6" x14ac:dyDescent="0.3">
      <c r="F47171" s="193"/>
    </row>
    <row r="47172" spans="6:6" x14ac:dyDescent="0.3">
      <c r="F47172" s="193"/>
    </row>
    <row r="47173" spans="6:6" x14ac:dyDescent="0.3">
      <c r="F47173" s="193"/>
    </row>
    <row r="47174" spans="6:6" x14ac:dyDescent="0.3">
      <c r="F47174" s="193"/>
    </row>
    <row r="47175" spans="6:6" x14ac:dyDescent="0.3">
      <c r="F47175" s="193"/>
    </row>
    <row r="47176" spans="6:6" x14ac:dyDescent="0.3">
      <c r="F47176" s="193"/>
    </row>
    <row r="47177" spans="6:6" x14ac:dyDescent="0.3">
      <c r="F47177" s="193"/>
    </row>
    <row r="47178" spans="6:6" x14ac:dyDescent="0.3">
      <c r="F47178" s="193"/>
    </row>
    <row r="47179" spans="6:6" x14ac:dyDescent="0.3">
      <c r="F47179" s="193"/>
    </row>
    <row r="47180" spans="6:6" x14ac:dyDescent="0.3">
      <c r="F47180" s="193"/>
    </row>
    <row r="47181" spans="6:6" x14ac:dyDescent="0.3">
      <c r="F47181" s="193"/>
    </row>
    <row r="47182" spans="6:6" x14ac:dyDescent="0.3">
      <c r="F47182" s="193"/>
    </row>
    <row r="47183" spans="6:6" x14ac:dyDescent="0.3">
      <c r="F47183" s="193"/>
    </row>
    <row r="47184" spans="6:6" x14ac:dyDescent="0.3">
      <c r="F47184" s="193"/>
    </row>
    <row r="47185" spans="6:6" x14ac:dyDescent="0.3">
      <c r="F47185" s="193"/>
    </row>
    <row r="47186" spans="6:6" x14ac:dyDescent="0.3">
      <c r="F47186" s="193"/>
    </row>
    <row r="47187" spans="6:6" x14ac:dyDescent="0.3">
      <c r="F47187" s="193"/>
    </row>
    <row r="47188" spans="6:6" x14ac:dyDescent="0.3">
      <c r="F47188" s="193"/>
    </row>
    <row r="47189" spans="6:6" x14ac:dyDescent="0.3">
      <c r="F47189" s="193"/>
    </row>
    <row r="47190" spans="6:6" x14ac:dyDescent="0.3">
      <c r="F47190" s="193"/>
    </row>
    <row r="47191" spans="6:6" x14ac:dyDescent="0.3">
      <c r="F47191" s="193"/>
    </row>
    <row r="47192" spans="6:6" x14ac:dyDescent="0.3">
      <c r="F47192" s="193"/>
    </row>
    <row r="47193" spans="6:6" x14ac:dyDescent="0.3">
      <c r="F47193" s="193"/>
    </row>
    <row r="47194" spans="6:6" x14ac:dyDescent="0.3">
      <c r="F47194" s="193"/>
    </row>
    <row r="47195" spans="6:6" x14ac:dyDescent="0.3">
      <c r="F47195" s="193"/>
    </row>
    <row r="47196" spans="6:6" x14ac:dyDescent="0.3">
      <c r="F47196" s="193"/>
    </row>
    <row r="47197" spans="6:6" x14ac:dyDescent="0.3">
      <c r="F47197" s="193"/>
    </row>
    <row r="47198" spans="6:6" x14ac:dyDescent="0.3">
      <c r="F47198" s="193"/>
    </row>
    <row r="47199" spans="6:6" x14ac:dyDescent="0.3">
      <c r="F47199" s="193"/>
    </row>
    <row r="47200" spans="6:6" x14ac:dyDescent="0.3">
      <c r="F47200" s="193"/>
    </row>
    <row r="47201" spans="6:6" x14ac:dyDescent="0.3">
      <c r="F47201" s="193"/>
    </row>
    <row r="47202" spans="6:6" x14ac:dyDescent="0.3">
      <c r="F47202" s="193"/>
    </row>
    <row r="47203" spans="6:6" x14ac:dyDescent="0.3">
      <c r="F47203" s="193"/>
    </row>
    <row r="47204" spans="6:6" x14ac:dyDescent="0.3">
      <c r="F47204" s="193"/>
    </row>
    <row r="47205" spans="6:6" x14ac:dyDescent="0.3">
      <c r="F47205" s="193"/>
    </row>
    <row r="47206" spans="6:6" x14ac:dyDescent="0.3">
      <c r="F47206" s="193"/>
    </row>
    <row r="47207" spans="6:6" x14ac:dyDescent="0.3">
      <c r="F47207" s="193"/>
    </row>
    <row r="47208" spans="6:6" x14ac:dyDescent="0.3">
      <c r="F47208" s="193"/>
    </row>
    <row r="47209" spans="6:6" x14ac:dyDescent="0.3">
      <c r="F47209" s="193"/>
    </row>
    <row r="47210" spans="6:6" x14ac:dyDescent="0.3">
      <c r="F47210" s="193"/>
    </row>
    <row r="47211" spans="6:6" x14ac:dyDescent="0.3">
      <c r="F47211" s="193"/>
    </row>
    <row r="47212" spans="6:6" x14ac:dyDescent="0.3">
      <c r="F47212" s="193"/>
    </row>
    <row r="47213" spans="6:6" x14ac:dyDescent="0.3">
      <c r="F47213" s="193"/>
    </row>
    <row r="47214" spans="6:6" x14ac:dyDescent="0.3">
      <c r="F47214" s="193"/>
    </row>
    <row r="47215" spans="6:6" x14ac:dyDescent="0.3">
      <c r="F47215" s="193"/>
    </row>
    <row r="47216" spans="6:6" x14ac:dyDescent="0.3">
      <c r="F47216" s="193"/>
    </row>
    <row r="47217" spans="6:6" x14ac:dyDescent="0.3">
      <c r="F47217" s="193"/>
    </row>
    <row r="47218" spans="6:6" x14ac:dyDescent="0.3">
      <c r="F47218" s="193"/>
    </row>
    <row r="47219" spans="6:6" x14ac:dyDescent="0.3">
      <c r="F47219" s="193"/>
    </row>
    <row r="47220" spans="6:6" x14ac:dyDescent="0.3">
      <c r="F47220" s="193"/>
    </row>
    <row r="47221" spans="6:6" x14ac:dyDescent="0.3">
      <c r="F47221" s="193"/>
    </row>
    <row r="47222" spans="6:6" x14ac:dyDescent="0.3">
      <c r="F47222" s="193"/>
    </row>
    <row r="47223" spans="6:6" x14ac:dyDescent="0.3">
      <c r="F47223" s="193"/>
    </row>
    <row r="47224" spans="6:6" x14ac:dyDescent="0.3">
      <c r="F47224" s="193"/>
    </row>
    <row r="47225" spans="6:6" x14ac:dyDescent="0.3">
      <c r="F47225" s="193"/>
    </row>
    <row r="47226" spans="6:6" x14ac:dyDescent="0.3">
      <c r="F47226" s="193"/>
    </row>
    <row r="47227" spans="6:6" x14ac:dyDescent="0.3">
      <c r="F47227" s="193"/>
    </row>
    <row r="47228" spans="6:6" x14ac:dyDescent="0.3">
      <c r="F47228" s="193"/>
    </row>
    <row r="47229" spans="6:6" x14ac:dyDescent="0.3">
      <c r="F47229" s="193"/>
    </row>
    <row r="47230" spans="6:6" x14ac:dyDescent="0.3">
      <c r="F47230" s="193"/>
    </row>
    <row r="47231" spans="6:6" x14ac:dyDescent="0.3">
      <c r="F47231" s="193"/>
    </row>
    <row r="47232" spans="6:6" x14ac:dyDescent="0.3">
      <c r="F47232" s="193"/>
    </row>
    <row r="47233" spans="6:6" x14ac:dyDescent="0.3">
      <c r="F47233" s="193"/>
    </row>
    <row r="47234" spans="6:6" x14ac:dyDescent="0.3">
      <c r="F47234" s="193"/>
    </row>
    <row r="47235" spans="6:6" x14ac:dyDescent="0.3">
      <c r="F47235" s="193"/>
    </row>
    <row r="47236" spans="6:6" x14ac:dyDescent="0.3">
      <c r="F47236" s="193"/>
    </row>
    <row r="47237" spans="6:6" x14ac:dyDescent="0.3">
      <c r="F47237" s="193"/>
    </row>
    <row r="47238" spans="6:6" x14ac:dyDescent="0.3">
      <c r="F47238" s="193"/>
    </row>
    <row r="47239" spans="6:6" x14ac:dyDescent="0.3">
      <c r="F47239" s="193"/>
    </row>
    <row r="47240" spans="6:6" x14ac:dyDescent="0.3">
      <c r="F47240" s="193"/>
    </row>
    <row r="47241" spans="6:6" x14ac:dyDescent="0.3">
      <c r="F47241" s="193"/>
    </row>
    <row r="47242" spans="6:6" x14ac:dyDescent="0.3">
      <c r="F47242" s="193"/>
    </row>
    <row r="47243" spans="6:6" x14ac:dyDescent="0.3">
      <c r="F47243" s="193"/>
    </row>
    <row r="47244" spans="6:6" x14ac:dyDescent="0.3">
      <c r="F47244" s="193"/>
    </row>
    <row r="47245" spans="6:6" x14ac:dyDescent="0.3">
      <c r="F47245" s="193"/>
    </row>
    <row r="47246" spans="6:6" x14ac:dyDescent="0.3">
      <c r="F47246" s="193"/>
    </row>
    <row r="47247" spans="6:6" x14ac:dyDescent="0.3">
      <c r="F47247" s="193"/>
    </row>
    <row r="47248" spans="6:6" x14ac:dyDescent="0.3">
      <c r="F47248" s="193"/>
    </row>
    <row r="47249" spans="6:6" x14ac:dyDescent="0.3">
      <c r="F47249" s="193"/>
    </row>
    <row r="47250" spans="6:6" x14ac:dyDescent="0.3">
      <c r="F47250" s="193"/>
    </row>
    <row r="47251" spans="6:6" x14ac:dyDescent="0.3">
      <c r="F47251" s="193"/>
    </row>
    <row r="47252" spans="6:6" x14ac:dyDescent="0.3">
      <c r="F47252" s="193"/>
    </row>
    <row r="47253" spans="6:6" x14ac:dyDescent="0.3">
      <c r="F47253" s="193"/>
    </row>
    <row r="47254" spans="6:6" x14ac:dyDescent="0.3">
      <c r="F47254" s="193"/>
    </row>
    <row r="47255" spans="6:6" x14ac:dyDescent="0.3">
      <c r="F47255" s="193"/>
    </row>
    <row r="47256" spans="6:6" x14ac:dyDescent="0.3">
      <c r="F47256" s="193"/>
    </row>
    <row r="47257" spans="6:6" x14ac:dyDescent="0.3">
      <c r="F47257" s="193"/>
    </row>
    <row r="47258" spans="6:6" x14ac:dyDescent="0.3">
      <c r="F47258" s="193"/>
    </row>
    <row r="47259" spans="6:6" x14ac:dyDescent="0.3">
      <c r="F47259" s="193"/>
    </row>
    <row r="47260" spans="6:6" x14ac:dyDescent="0.3">
      <c r="F47260" s="193"/>
    </row>
    <row r="47261" spans="6:6" x14ac:dyDescent="0.3">
      <c r="F47261" s="193"/>
    </row>
    <row r="47262" spans="6:6" x14ac:dyDescent="0.3">
      <c r="F47262" s="193"/>
    </row>
    <row r="47263" spans="6:6" x14ac:dyDescent="0.3">
      <c r="F47263" s="193"/>
    </row>
    <row r="47264" spans="6:6" x14ac:dyDescent="0.3">
      <c r="F47264" s="193"/>
    </row>
    <row r="47265" spans="6:6" x14ac:dyDescent="0.3">
      <c r="F47265" s="193"/>
    </row>
    <row r="47266" spans="6:6" x14ac:dyDescent="0.3">
      <c r="F47266" s="193"/>
    </row>
    <row r="47267" spans="6:6" x14ac:dyDescent="0.3">
      <c r="F47267" s="193"/>
    </row>
    <row r="47268" spans="6:6" x14ac:dyDescent="0.3">
      <c r="F47268" s="193"/>
    </row>
    <row r="47269" spans="6:6" x14ac:dyDescent="0.3">
      <c r="F47269" s="193"/>
    </row>
    <row r="47270" spans="6:6" x14ac:dyDescent="0.3">
      <c r="F47270" s="193"/>
    </row>
    <row r="47271" spans="6:6" x14ac:dyDescent="0.3">
      <c r="F47271" s="193"/>
    </row>
    <row r="47272" spans="6:6" x14ac:dyDescent="0.3">
      <c r="F47272" s="193"/>
    </row>
    <row r="47273" spans="6:6" x14ac:dyDescent="0.3">
      <c r="F47273" s="193"/>
    </row>
    <row r="47274" spans="6:6" x14ac:dyDescent="0.3">
      <c r="F47274" s="193"/>
    </row>
    <row r="47275" spans="6:6" x14ac:dyDescent="0.3">
      <c r="F47275" s="193"/>
    </row>
    <row r="47276" spans="6:6" x14ac:dyDescent="0.3">
      <c r="F47276" s="193"/>
    </row>
    <row r="47277" spans="6:6" x14ac:dyDescent="0.3">
      <c r="F47277" s="193"/>
    </row>
    <row r="47278" spans="6:6" x14ac:dyDescent="0.3">
      <c r="F47278" s="193"/>
    </row>
    <row r="47279" spans="6:6" x14ac:dyDescent="0.3">
      <c r="F47279" s="193"/>
    </row>
    <row r="47280" spans="6:6" x14ac:dyDescent="0.3">
      <c r="F47280" s="193"/>
    </row>
    <row r="47281" spans="6:6" x14ac:dyDescent="0.3">
      <c r="F47281" s="193"/>
    </row>
    <row r="47282" spans="6:6" x14ac:dyDescent="0.3">
      <c r="F47282" s="193"/>
    </row>
    <row r="47283" spans="6:6" x14ac:dyDescent="0.3">
      <c r="F47283" s="193"/>
    </row>
    <row r="47284" spans="6:6" x14ac:dyDescent="0.3">
      <c r="F47284" s="193"/>
    </row>
    <row r="47285" spans="6:6" x14ac:dyDescent="0.3">
      <c r="F47285" s="193"/>
    </row>
    <row r="47286" spans="6:6" x14ac:dyDescent="0.3">
      <c r="F47286" s="193"/>
    </row>
    <row r="47287" spans="6:6" x14ac:dyDescent="0.3">
      <c r="F47287" s="193"/>
    </row>
    <row r="47288" spans="6:6" x14ac:dyDescent="0.3">
      <c r="F47288" s="193"/>
    </row>
    <row r="47289" spans="6:6" x14ac:dyDescent="0.3">
      <c r="F47289" s="193"/>
    </row>
    <row r="47290" spans="6:6" x14ac:dyDescent="0.3">
      <c r="F47290" s="193"/>
    </row>
    <row r="47291" spans="6:6" x14ac:dyDescent="0.3">
      <c r="F47291" s="193"/>
    </row>
    <row r="47292" spans="6:6" x14ac:dyDescent="0.3">
      <c r="F47292" s="193"/>
    </row>
    <row r="47293" spans="6:6" x14ac:dyDescent="0.3">
      <c r="F47293" s="193"/>
    </row>
    <row r="47294" spans="6:6" x14ac:dyDescent="0.3">
      <c r="F47294" s="193"/>
    </row>
    <row r="47295" spans="6:6" x14ac:dyDescent="0.3">
      <c r="F47295" s="193"/>
    </row>
    <row r="47296" spans="6:6" x14ac:dyDescent="0.3">
      <c r="F47296" s="193"/>
    </row>
    <row r="47297" spans="6:6" x14ac:dyDescent="0.3">
      <c r="F47297" s="193"/>
    </row>
    <row r="47298" spans="6:6" x14ac:dyDescent="0.3">
      <c r="F47298" s="193"/>
    </row>
    <row r="47299" spans="6:6" x14ac:dyDescent="0.3">
      <c r="F47299" s="193"/>
    </row>
    <row r="47300" spans="6:6" x14ac:dyDescent="0.3">
      <c r="F47300" s="193"/>
    </row>
    <row r="47301" spans="6:6" x14ac:dyDescent="0.3">
      <c r="F47301" s="193"/>
    </row>
    <row r="47302" spans="6:6" x14ac:dyDescent="0.3">
      <c r="F47302" s="193"/>
    </row>
    <row r="47303" spans="6:6" x14ac:dyDescent="0.3">
      <c r="F47303" s="193"/>
    </row>
    <row r="47304" spans="6:6" x14ac:dyDescent="0.3">
      <c r="F47304" s="193"/>
    </row>
    <row r="47305" spans="6:6" x14ac:dyDescent="0.3">
      <c r="F47305" s="193"/>
    </row>
    <row r="47306" spans="6:6" x14ac:dyDescent="0.3">
      <c r="F47306" s="193"/>
    </row>
    <row r="47307" spans="6:6" x14ac:dyDescent="0.3">
      <c r="F47307" s="193"/>
    </row>
    <row r="47308" spans="6:6" x14ac:dyDescent="0.3">
      <c r="F47308" s="193"/>
    </row>
    <row r="47309" spans="6:6" x14ac:dyDescent="0.3">
      <c r="F47309" s="193"/>
    </row>
    <row r="47310" spans="6:6" x14ac:dyDescent="0.3">
      <c r="F47310" s="193"/>
    </row>
    <row r="47311" spans="6:6" x14ac:dyDescent="0.3">
      <c r="F47311" s="193"/>
    </row>
    <row r="47312" spans="6:6" x14ac:dyDescent="0.3">
      <c r="F47312" s="193"/>
    </row>
    <row r="47313" spans="6:6" x14ac:dyDescent="0.3">
      <c r="F47313" s="193"/>
    </row>
    <row r="47314" spans="6:6" x14ac:dyDescent="0.3">
      <c r="F47314" s="193"/>
    </row>
    <row r="47315" spans="6:6" x14ac:dyDescent="0.3">
      <c r="F47315" s="193"/>
    </row>
    <row r="47316" spans="6:6" x14ac:dyDescent="0.3">
      <c r="F47316" s="193"/>
    </row>
    <row r="47317" spans="6:6" x14ac:dyDescent="0.3">
      <c r="F47317" s="193"/>
    </row>
    <row r="47318" spans="6:6" x14ac:dyDescent="0.3">
      <c r="F47318" s="193"/>
    </row>
    <row r="47319" spans="6:6" x14ac:dyDescent="0.3">
      <c r="F47319" s="193"/>
    </row>
    <row r="47320" spans="6:6" x14ac:dyDescent="0.3">
      <c r="F47320" s="193"/>
    </row>
    <row r="47321" spans="6:6" x14ac:dyDescent="0.3">
      <c r="F47321" s="193"/>
    </row>
    <row r="47322" spans="6:6" x14ac:dyDescent="0.3">
      <c r="F47322" s="193"/>
    </row>
    <row r="47323" spans="6:6" x14ac:dyDescent="0.3">
      <c r="F47323" s="193"/>
    </row>
    <row r="47324" spans="6:6" x14ac:dyDescent="0.3">
      <c r="F47324" s="193"/>
    </row>
    <row r="47325" spans="6:6" x14ac:dyDescent="0.3">
      <c r="F47325" s="193"/>
    </row>
    <row r="47326" spans="6:6" x14ac:dyDescent="0.3">
      <c r="F47326" s="193"/>
    </row>
    <row r="47327" spans="6:6" x14ac:dyDescent="0.3">
      <c r="F47327" s="193"/>
    </row>
    <row r="47328" spans="6:6" x14ac:dyDescent="0.3">
      <c r="F47328" s="193"/>
    </row>
    <row r="47329" spans="6:6" x14ac:dyDescent="0.3">
      <c r="F47329" s="193"/>
    </row>
    <row r="47330" spans="6:6" x14ac:dyDescent="0.3">
      <c r="F47330" s="193"/>
    </row>
    <row r="47331" spans="6:6" x14ac:dyDescent="0.3">
      <c r="F47331" s="193"/>
    </row>
    <row r="47332" spans="6:6" x14ac:dyDescent="0.3">
      <c r="F47332" s="193"/>
    </row>
    <row r="47333" spans="6:6" x14ac:dyDescent="0.3">
      <c r="F47333" s="193"/>
    </row>
    <row r="47334" spans="6:6" x14ac:dyDescent="0.3">
      <c r="F47334" s="193"/>
    </row>
    <row r="47335" spans="6:6" x14ac:dyDescent="0.3">
      <c r="F47335" s="193"/>
    </row>
    <row r="47336" spans="6:6" x14ac:dyDescent="0.3">
      <c r="F47336" s="193"/>
    </row>
    <row r="47337" spans="6:6" x14ac:dyDescent="0.3">
      <c r="F47337" s="193"/>
    </row>
    <row r="47338" spans="6:6" x14ac:dyDescent="0.3">
      <c r="F47338" s="193"/>
    </row>
    <row r="47339" spans="6:6" x14ac:dyDescent="0.3">
      <c r="F47339" s="193"/>
    </row>
    <row r="47340" spans="6:6" x14ac:dyDescent="0.3">
      <c r="F47340" s="193"/>
    </row>
    <row r="47341" spans="6:6" x14ac:dyDescent="0.3">
      <c r="F47341" s="193"/>
    </row>
    <row r="47342" spans="6:6" x14ac:dyDescent="0.3">
      <c r="F47342" s="193"/>
    </row>
    <row r="47343" spans="6:6" x14ac:dyDescent="0.3">
      <c r="F47343" s="193"/>
    </row>
    <row r="47344" spans="6:6" x14ac:dyDescent="0.3">
      <c r="F47344" s="193"/>
    </row>
    <row r="47345" spans="6:6" x14ac:dyDescent="0.3">
      <c r="F47345" s="193"/>
    </row>
    <row r="47346" spans="6:6" x14ac:dyDescent="0.3">
      <c r="F47346" s="193"/>
    </row>
    <row r="47347" spans="6:6" x14ac:dyDescent="0.3">
      <c r="F47347" s="193"/>
    </row>
    <row r="47348" spans="6:6" x14ac:dyDescent="0.3">
      <c r="F47348" s="193"/>
    </row>
    <row r="47349" spans="6:6" x14ac:dyDescent="0.3">
      <c r="F47349" s="193"/>
    </row>
    <row r="47350" spans="6:6" x14ac:dyDescent="0.3">
      <c r="F47350" s="193"/>
    </row>
    <row r="47351" spans="6:6" x14ac:dyDescent="0.3">
      <c r="F47351" s="193"/>
    </row>
    <row r="47352" spans="6:6" x14ac:dyDescent="0.3">
      <c r="F47352" s="193"/>
    </row>
    <row r="47353" spans="6:6" x14ac:dyDescent="0.3">
      <c r="F47353" s="193"/>
    </row>
    <row r="47354" spans="6:6" x14ac:dyDescent="0.3">
      <c r="F47354" s="193"/>
    </row>
    <row r="47355" spans="6:6" x14ac:dyDescent="0.3">
      <c r="F47355" s="193"/>
    </row>
    <row r="47356" spans="6:6" x14ac:dyDescent="0.3">
      <c r="F47356" s="193"/>
    </row>
    <row r="47357" spans="6:6" x14ac:dyDescent="0.3">
      <c r="F47357" s="193"/>
    </row>
    <row r="47358" spans="6:6" x14ac:dyDescent="0.3">
      <c r="F47358" s="193"/>
    </row>
    <row r="47359" spans="6:6" x14ac:dyDescent="0.3">
      <c r="F47359" s="193"/>
    </row>
    <row r="47360" spans="6:6" x14ac:dyDescent="0.3">
      <c r="F47360" s="193"/>
    </row>
    <row r="47361" spans="6:6" x14ac:dyDescent="0.3">
      <c r="F47361" s="193"/>
    </row>
    <row r="47362" spans="6:6" x14ac:dyDescent="0.3">
      <c r="F47362" s="193"/>
    </row>
    <row r="47363" spans="6:6" x14ac:dyDescent="0.3">
      <c r="F47363" s="193"/>
    </row>
    <row r="47364" spans="6:6" x14ac:dyDescent="0.3">
      <c r="F47364" s="193"/>
    </row>
    <row r="47365" spans="6:6" x14ac:dyDescent="0.3">
      <c r="F47365" s="193"/>
    </row>
    <row r="47366" spans="6:6" x14ac:dyDescent="0.3">
      <c r="F47366" s="193"/>
    </row>
    <row r="47367" spans="6:6" x14ac:dyDescent="0.3">
      <c r="F47367" s="193"/>
    </row>
    <row r="47368" spans="6:6" x14ac:dyDescent="0.3">
      <c r="F47368" s="193"/>
    </row>
    <row r="47369" spans="6:6" x14ac:dyDescent="0.3">
      <c r="F47369" s="193"/>
    </row>
    <row r="47370" spans="6:6" x14ac:dyDescent="0.3">
      <c r="F47370" s="193"/>
    </row>
    <row r="47371" spans="6:6" x14ac:dyDescent="0.3">
      <c r="F47371" s="193"/>
    </row>
    <row r="47372" spans="6:6" x14ac:dyDescent="0.3">
      <c r="F47372" s="193"/>
    </row>
    <row r="47373" spans="6:6" x14ac:dyDescent="0.3">
      <c r="F47373" s="193"/>
    </row>
    <row r="47374" spans="6:6" x14ac:dyDescent="0.3">
      <c r="F47374" s="193"/>
    </row>
    <row r="47375" spans="6:6" x14ac:dyDescent="0.3">
      <c r="F47375" s="193"/>
    </row>
    <row r="47376" spans="6:6" x14ac:dyDescent="0.3">
      <c r="F47376" s="193"/>
    </row>
    <row r="47377" spans="6:6" x14ac:dyDescent="0.3">
      <c r="F47377" s="193"/>
    </row>
    <row r="47378" spans="6:6" x14ac:dyDescent="0.3">
      <c r="F47378" s="193"/>
    </row>
    <row r="47379" spans="6:6" x14ac:dyDescent="0.3">
      <c r="F47379" s="193"/>
    </row>
    <row r="47380" spans="6:6" x14ac:dyDescent="0.3">
      <c r="F47380" s="193"/>
    </row>
    <row r="47381" spans="6:6" x14ac:dyDescent="0.3">
      <c r="F47381" s="193"/>
    </row>
    <row r="47382" spans="6:6" x14ac:dyDescent="0.3">
      <c r="F47382" s="193"/>
    </row>
    <row r="47383" spans="6:6" x14ac:dyDescent="0.3">
      <c r="F47383" s="193"/>
    </row>
    <row r="47384" spans="6:6" x14ac:dyDescent="0.3">
      <c r="F47384" s="193"/>
    </row>
    <row r="47385" spans="6:6" x14ac:dyDescent="0.3">
      <c r="F47385" s="193"/>
    </row>
    <row r="47386" spans="6:6" x14ac:dyDescent="0.3">
      <c r="F47386" s="193"/>
    </row>
    <row r="47387" spans="6:6" x14ac:dyDescent="0.3">
      <c r="F47387" s="193"/>
    </row>
    <row r="47388" spans="6:6" x14ac:dyDescent="0.3">
      <c r="F47388" s="193"/>
    </row>
    <row r="47389" spans="6:6" x14ac:dyDescent="0.3">
      <c r="F47389" s="193"/>
    </row>
    <row r="47390" spans="6:6" x14ac:dyDescent="0.3">
      <c r="F47390" s="193"/>
    </row>
    <row r="47391" spans="6:6" x14ac:dyDescent="0.3">
      <c r="F47391" s="193"/>
    </row>
    <row r="47392" spans="6:6" x14ac:dyDescent="0.3">
      <c r="F47392" s="193"/>
    </row>
    <row r="47393" spans="6:6" x14ac:dyDescent="0.3">
      <c r="F47393" s="193"/>
    </row>
    <row r="47394" spans="6:6" x14ac:dyDescent="0.3">
      <c r="F47394" s="193"/>
    </row>
    <row r="47395" spans="6:6" x14ac:dyDescent="0.3">
      <c r="F47395" s="193"/>
    </row>
    <row r="47396" spans="6:6" x14ac:dyDescent="0.3">
      <c r="F47396" s="193"/>
    </row>
    <row r="47397" spans="6:6" x14ac:dyDescent="0.3">
      <c r="F47397" s="193"/>
    </row>
    <row r="47398" spans="6:6" x14ac:dyDescent="0.3">
      <c r="F47398" s="193"/>
    </row>
    <row r="47399" spans="6:6" x14ac:dyDescent="0.3">
      <c r="F47399" s="193"/>
    </row>
    <row r="47400" spans="6:6" x14ac:dyDescent="0.3">
      <c r="F47400" s="193"/>
    </row>
    <row r="47401" spans="6:6" x14ac:dyDescent="0.3">
      <c r="F47401" s="193"/>
    </row>
    <row r="47402" spans="6:6" x14ac:dyDescent="0.3">
      <c r="F47402" s="193"/>
    </row>
    <row r="47403" spans="6:6" x14ac:dyDescent="0.3">
      <c r="F47403" s="193"/>
    </row>
    <row r="47404" spans="6:6" x14ac:dyDescent="0.3">
      <c r="F47404" s="193"/>
    </row>
    <row r="47405" spans="6:6" x14ac:dyDescent="0.3">
      <c r="F47405" s="193"/>
    </row>
    <row r="47406" spans="6:6" x14ac:dyDescent="0.3">
      <c r="F47406" s="193"/>
    </row>
    <row r="47407" spans="6:6" x14ac:dyDescent="0.3">
      <c r="F47407" s="193"/>
    </row>
    <row r="47408" spans="6:6" x14ac:dyDescent="0.3">
      <c r="F47408" s="193"/>
    </row>
    <row r="47409" spans="6:6" x14ac:dyDescent="0.3">
      <c r="F47409" s="193"/>
    </row>
    <row r="47410" spans="6:6" x14ac:dyDescent="0.3">
      <c r="F47410" s="193"/>
    </row>
    <row r="47411" spans="6:6" x14ac:dyDescent="0.3">
      <c r="F47411" s="193"/>
    </row>
    <row r="47412" spans="6:6" x14ac:dyDescent="0.3">
      <c r="F47412" s="193"/>
    </row>
    <row r="47413" spans="6:6" x14ac:dyDescent="0.3">
      <c r="F47413" s="193"/>
    </row>
    <row r="47414" spans="6:6" x14ac:dyDescent="0.3">
      <c r="F47414" s="193"/>
    </row>
    <row r="47415" spans="6:6" x14ac:dyDescent="0.3">
      <c r="F47415" s="193"/>
    </row>
    <row r="47416" spans="6:6" x14ac:dyDescent="0.3">
      <c r="F47416" s="193"/>
    </row>
    <row r="47417" spans="6:6" x14ac:dyDescent="0.3">
      <c r="F47417" s="193"/>
    </row>
    <row r="47418" spans="6:6" x14ac:dyDescent="0.3">
      <c r="F47418" s="193"/>
    </row>
    <row r="47419" spans="6:6" x14ac:dyDescent="0.3">
      <c r="F47419" s="193"/>
    </row>
    <row r="47420" spans="6:6" x14ac:dyDescent="0.3">
      <c r="F47420" s="193"/>
    </row>
    <row r="47421" spans="6:6" x14ac:dyDescent="0.3">
      <c r="F47421" s="193"/>
    </row>
    <row r="47422" spans="6:6" x14ac:dyDescent="0.3">
      <c r="F47422" s="193"/>
    </row>
    <row r="47423" spans="6:6" x14ac:dyDescent="0.3">
      <c r="F47423" s="193"/>
    </row>
    <row r="47424" spans="6:6" x14ac:dyDescent="0.3">
      <c r="F47424" s="193"/>
    </row>
    <row r="47425" spans="6:6" x14ac:dyDescent="0.3">
      <c r="F47425" s="193"/>
    </row>
    <row r="47426" spans="6:6" x14ac:dyDescent="0.3">
      <c r="F47426" s="193"/>
    </row>
    <row r="47427" spans="6:6" x14ac:dyDescent="0.3">
      <c r="F47427" s="193"/>
    </row>
    <row r="47428" spans="6:6" x14ac:dyDescent="0.3">
      <c r="F47428" s="193"/>
    </row>
    <row r="47429" spans="6:6" x14ac:dyDescent="0.3">
      <c r="F47429" s="193"/>
    </row>
    <row r="47430" spans="6:6" x14ac:dyDescent="0.3">
      <c r="F47430" s="193"/>
    </row>
    <row r="47431" spans="6:6" x14ac:dyDescent="0.3">
      <c r="F47431" s="193"/>
    </row>
    <row r="47432" spans="6:6" x14ac:dyDescent="0.3">
      <c r="F47432" s="193"/>
    </row>
    <row r="47433" spans="6:6" x14ac:dyDescent="0.3">
      <c r="F47433" s="193"/>
    </row>
    <row r="47434" spans="6:6" x14ac:dyDescent="0.3">
      <c r="F47434" s="193"/>
    </row>
    <row r="47435" spans="6:6" x14ac:dyDescent="0.3">
      <c r="F47435" s="193"/>
    </row>
    <row r="47436" spans="6:6" x14ac:dyDescent="0.3">
      <c r="F47436" s="193"/>
    </row>
    <row r="47437" spans="6:6" x14ac:dyDescent="0.3">
      <c r="F47437" s="193"/>
    </row>
    <row r="47438" spans="6:6" x14ac:dyDescent="0.3">
      <c r="F47438" s="193"/>
    </row>
    <row r="47439" spans="6:6" x14ac:dyDescent="0.3">
      <c r="F47439" s="193"/>
    </row>
    <row r="47440" spans="6:6" x14ac:dyDescent="0.3">
      <c r="F47440" s="193"/>
    </row>
    <row r="47441" spans="6:6" x14ac:dyDescent="0.3">
      <c r="F47441" s="193"/>
    </row>
    <row r="47442" spans="6:6" x14ac:dyDescent="0.3">
      <c r="F47442" s="193"/>
    </row>
    <row r="47443" spans="6:6" x14ac:dyDescent="0.3">
      <c r="F47443" s="193"/>
    </row>
    <row r="47444" spans="6:6" x14ac:dyDescent="0.3">
      <c r="F47444" s="193"/>
    </row>
    <row r="47445" spans="6:6" x14ac:dyDescent="0.3">
      <c r="F47445" s="193"/>
    </row>
    <row r="47446" spans="6:6" x14ac:dyDescent="0.3">
      <c r="F47446" s="193"/>
    </row>
    <row r="47447" spans="6:6" x14ac:dyDescent="0.3">
      <c r="F47447" s="193"/>
    </row>
    <row r="47448" spans="6:6" x14ac:dyDescent="0.3">
      <c r="F47448" s="193"/>
    </row>
    <row r="47449" spans="6:6" x14ac:dyDescent="0.3">
      <c r="F47449" s="193"/>
    </row>
    <row r="47450" spans="6:6" x14ac:dyDescent="0.3">
      <c r="F47450" s="193"/>
    </row>
    <row r="47451" spans="6:6" x14ac:dyDescent="0.3">
      <c r="F47451" s="193"/>
    </row>
    <row r="47452" spans="6:6" x14ac:dyDescent="0.3">
      <c r="F47452" s="193"/>
    </row>
    <row r="47453" spans="6:6" x14ac:dyDescent="0.3">
      <c r="F47453" s="193"/>
    </row>
    <row r="47454" spans="6:6" x14ac:dyDescent="0.3">
      <c r="F47454" s="193"/>
    </row>
    <row r="47455" spans="6:6" x14ac:dyDescent="0.3">
      <c r="F47455" s="193"/>
    </row>
    <row r="47456" spans="6:6" x14ac:dyDescent="0.3">
      <c r="F47456" s="193"/>
    </row>
    <row r="47457" spans="6:6" x14ac:dyDescent="0.3">
      <c r="F47457" s="193"/>
    </row>
    <row r="47458" spans="6:6" x14ac:dyDescent="0.3">
      <c r="F47458" s="193"/>
    </row>
    <row r="47459" spans="6:6" x14ac:dyDescent="0.3">
      <c r="F47459" s="193"/>
    </row>
    <row r="47460" spans="6:6" x14ac:dyDescent="0.3">
      <c r="F47460" s="193"/>
    </row>
    <row r="47461" spans="6:6" x14ac:dyDescent="0.3">
      <c r="F47461" s="193"/>
    </row>
    <row r="47462" spans="6:6" x14ac:dyDescent="0.3">
      <c r="F47462" s="193"/>
    </row>
    <row r="47463" spans="6:6" x14ac:dyDescent="0.3">
      <c r="F47463" s="193"/>
    </row>
    <row r="47464" spans="6:6" x14ac:dyDescent="0.3">
      <c r="F47464" s="193"/>
    </row>
    <row r="47465" spans="6:6" x14ac:dyDescent="0.3">
      <c r="F47465" s="193"/>
    </row>
    <row r="47466" spans="6:6" x14ac:dyDescent="0.3">
      <c r="F47466" s="193"/>
    </row>
    <row r="47467" spans="6:6" x14ac:dyDescent="0.3">
      <c r="F47467" s="193"/>
    </row>
    <row r="47468" spans="6:6" x14ac:dyDescent="0.3">
      <c r="F47468" s="193"/>
    </row>
    <row r="47469" spans="6:6" x14ac:dyDescent="0.3">
      <c r="F47469" s="193"/>
    </row>
    <row r="47470" spans="6:6" x14ac:dyDescent="0.3">
      <c r="F47470" s="193"/>
    </row>
    <row r="47471" spans="6:6" x14ac:dyDescent="0.3">
      <c r="F47471" s="193"/>
    </row>
    <row r="47472" spans="6:6" x14ac:dyDescent="0.3">
      <c r="F47472" s="193"/>
    </row>
    <row r="47473" spans="6:6" x14ac:dyDescent="0.3">
      <c r="F47473" s="193"/>
    </row>
    <row r="47474" spans="6:6" x14ac:dyDescent="0.3">
      <c r="F47474" s="193"/>
    </row>
    <row r="47475" spans="6:6" x14ac:dyDescent="0.3">
      <c r="F47475" s="193"/>
    </row>
    <row r="47476" spans="6:6" x14ac:dyDescent="0.3">
      <c r="F47476" s="193"/>
    </row>
    <row r="47477" spans="6:6" x14ac:dyDescent="0.3">
      <c r="F47477" s="193"/>
    </row>
    <row r="47478" spans="6:6" x14ac:dyDescent="0.3">
      <c r="F47478" s="193"/>
    </row>
    <row r="47479" spans="6:6" x14ac:dyDescent="0.3">
      <c r="F47479" s="193"/>
    </row>
    <row r="47480" spans="6:6" x14ac:dyDescent="0.3">
      <c r="F47480" s="193"/>
    </row>
    <row r="47481" spans="6:6" x14ac:dyDescent="0.3">
      <c r="F47481" s="193"/>
    </row>
    <row r="47482" spans="6:6" x14ac:dyDescent="0.3">
      <c r="F47482" s="193"/>
    </row>
    <row r="47483" spans="6:6" x14ac:dyDescent="0.3">
      <c r="F47483" s="193"/>
    </row>
    <row r="47484" spans="6:6" x14ac:dyDescent="0.3">
      <c r="F47484" s="193"/>
    </row>
    <row r="47485" spans="6:6" x14ac:dyDescent="0.3">
      <c r="F47485" s="193"/>
    </row>
    <row r="47486" spans="6:6" x14ac:dyDescent="0.3">
      <c r="F47486" s="193"/>
    </row>
    <row r="47487" spans="6:6" x14ac:dyDescent="0.3">
      <c r="F47487" s="193"/>
    </row>
    <row r="47488" spans="6:6" x14ac:dyDescent="0.3">
      <c r="F47488" s="193"/>
    </row>
    <row r="47489" spans="6:6" x14ac:dyDescent="0.3">
      <c r="F47489" s="193"/>
    </row>
    <row r="47490" spans="6:6" x14ac:dyDescent="0.3">
      <c r="F47490" s="193"/>
    </row>
    <row r="47491" spans="6:6" x14ac:dyDescent="0.3">
      <c r="F47491" s="193"/>
    </row>
    <row r="47492" spans="6:6" x14ac:dyDescent="0.3">
      <c r="F47492" s="193"/>
    </row>
    <row r="47493" spans="6:6" x14ac:dyDescent="0.3">
      <c r="F47493" s="193"/>
    </row>
    <row r="47494" spans="6:6" x14ac:dyDescent="0.3">
      <c r="F47494" s="193"/>
    </row>
    <row r="47495" spans="6:6" x14ac:dyDescent="0.3">
      <c r="F47495" s="193"/>
    </row>
    <row r="47496" spans="6:6" x14ac:dyDescent="0.3">
      <c r="F47496" s="193"/>
    </row>
    <row r="47497" spans="6:6" x14ac:dyDescent="0.3">
      <c r="F47497" s="193"/>
    </row>
    <row r="47498" spans="6:6" x14ac:dyDescent="0.3">
      <c r="F47498" s="193"/>
    </row>
    <row r="47499" spans="6:6" x14ac:dyDescent="0.3">
      <c r="F47499" s="193"/>
    </row>
    <row r="47500" spans="6:6" x14ac:dyDescent="0.3">
      <c r="F47500" s="193"/>
    </row>
    <row r="47501" spans="6:6" x14ac:dyDescent="0.3">
      <c r="F47501" s="193"/>
    </row>
    <row r="47502" spans="6:6" x14ac:dyDescent="0.3">
      <c r="F47502" s="193"/>
    </row>
    <row r="47503" spans="6:6" x14ac:dyDescent="0.3">
      <c r="F47503" s="193"/>
    </row>
    <row r="47504" spans="6:6" x14ac:dyDescent="0.3">
      <c r="F47504" s="193"/>
    </row>
    <row r="47505" spans="6:6" x14ac:dyDescent="0.3">
      <c r="F47505" s="193"/>
    </row>
    <row r="47506" spans="6:6" x14ac:dyDescent="0.3">
      <c r="F47506" s="193"/>
    </row>
    <row r="47507" spans="6:6" x14ac:dyDescent="0.3">
      <c r="F47507" s="193"/>
    </row>
    <row r="47508" spans="6:6" x14ac:dyDescent="0.3">
      <c r="F47508" s="193"/>
    </row>
    <row r="47509" spans="6:6" x14ac:dyDescent="0.3">
      <c r="F47509" s="193"/>
    </row>
    <row r="47510" spans="6:6" x14ac:dyDescent="0.3">
      <c r="F47510" s="193"/>
    </row>
    <row r="47511" spans="6:6" x14ac:dyDescent="0.3">
      <c r="F47511" s="193"/>
    </row>
    <row r="47512" spans="6:6" x14ac:dyDescent="0.3">
      <c r="F47512" s="193"/>
    </row>
    <row r="47513" spans="6:6" x14ac:dyDescent="0.3">
      <c r="F47513" s="193"/>
    </row>
    <row r="47514" spans="6:6" x14ac:dyDescent="0.3">
      <c r="F47514" s="193"/>
    </row>
    <row r="47515" spans="6:6" x14ac:dyDescent="0.3">
      <c r="F47515" s="193"/>
    </row>
    <row r="47516" spans="6:6" x14ac:dyDescent="0.3">
      <c r="F47516" s="193"/>
    </row>
    <row r="47517" spans="6:6" x14ac:dyDescent="0.3">
      <c r="F47517" s="193"/>
    </row>
    <row r="47518" spans="6:6" x14ac:dyDescent="0.3">
      <c r="F47518" s="193"/>
    </row>
    <row r="47519" spans="6:6" x14ac:dyDescent="0.3">
      <c r="F47519" s="193"/>
    </row>
    <row r="47520" spans="6:6" x14ac:dyDescent="0.3">
      <c r="F47520" s="193"/>
    </row>
    <row r="47521" spans="6:6" x14ac:dyDescent="0.3">
      <c r="F47521" s="193"/>
    </row>
    <row r="47522" spans="6:6" x14ac:dyDescent="0.3">
      <c r="F47522" s="193"/>
    </row>
    <row r="47523" spans="6:6" x14ac:dyDescent="0.3">
      <c r="F47523" s="193"/>
    </row>
    <row r="47524" spans="6:6" x14ac:dyDescent="0.3">
      <c r="F47524" s="193"/>
    </row>
    <row r="47525" spans="6:6" x14ac:dyDescent="0.3">
      <c r="F47525" s="193"/>
    </row>
    <row r="47526" spans="6:6" x14ac:dyDescent="0.3">
      <c r="F47526" s="193"/>
    </row>
    <row r="47527" spans="6:6" x14ac:dyDescent="0.3">
      <c r="F47527" s="193"/>
    </row>
    <row r="47528" spans="6:6" x14ac:dyDescent="0.3">
      <c r="F47528" s="193"/>
    </row>
    <row r="47529" spans="6:6" x14ac:dyDescent="0.3">
      <c r="F47529" s="193"/>
    </row>
    <row r="47530" spans="6:6" x14ac:dyDescent="0.3">
      <c r="F47530" s="193"/>
    </row>
    <row r="47531" spans="6:6" x14ac:dyDescent="0.3">
      <c r="F47531" s="193"/>
    </row>
    <row r="47532" spans="6:6" x14ac:dyDescent="0.3">
      <c r="F47532" s="193"/>
    </row>
    <row r="47533" spans="6:6" x14ac:dyDescent="0.3">
      <c r="F47533" s="193"/>
    </row>
    <row r="47534" spans="6:6" x14ac:dyDescent="0.3">
      <c r="F47534" s="193"/>
    </row>
    <row r="47535" spans="6:6" x14ac:dyDescent="0.3">
      <c r="F47535" s="193"/>
    </row>
    <row r="47536" spans="6:6" x14ac:dyDescent="0.3">
      <c r="F47536" s="193"/>
    </row>
    <row r="47537" spans="6:6" x14ac:dyDescent="0.3">
      <c r="F47537" s="193"/>
    </row>
    <row r="47538" spans="6:6" x14ac:dyDescent="0.3">
      <c r="F47538" s="193"/>
    </row>
    <row r="47539" spans="6:6" x14ac:dyDescent="0.3">
      <c r="F47539" s="193"/>
    </row>
    <row r="47540" spans="6:6" x14ac:dyDescent="0.3">
      <c r="F47540" s="193"/>
    </row>
    <row r="47541" spans="6:6" x14ac:dyDescent="0.3">
      <c r="F47541" s="193"/>
    </row>
    <row r="47542" spans="6:6" x14ac:dyDescent="0.3">
      <c r="F47542" s="193"/>
    </row>
    <row r="47543" spans="6:6" x14ac:dyDescent="0.3">
      <c r="F47543" s="193"/>
    </row>
    <row r="47544" spans="6:6" x14ac:dyDescent="0.3">
      <c r="F47544" s="193"/>
    </row>
    <row r="47545" spans="6:6" x14ac:dyDescent="0.3">
      <c r="F47545" s="193"/>
    </row>
    <row r="47546" spans="6:6" x14ac:dyDescent="0.3">
      <c r="F47546" s="193"/>
    </row>
    <row r="47547" spans="6:6" x14ac:dyDescent="0.3">
      <c r="F47547" s="193"/>
    </row>
    <row r="47548" spans="6:6" x14ac:dyDescent="0.3">
      <c r="F47548" s="193"/>
    </row>
    <row r="47549" spans="6:6" x14ac:dyDescent="0.3">
      <c r="F47549" s="193"/>
    </row>
    <row r="47550" spans="6:6" x14ac:dyDescent="0.3">
      <c r="F47550" s="193"/>
    </row>
    <row r="47551" spans="6:6" x14ac:dyDescent="0.3">
      <c r="F47551" s="193"/>
    </row>
    <row r="47552" spans="6:6" x14ac:dyDescent="0.3">
      <c r="F47552" s="193"/>
    </row>
    <row r="47553" spans="6:6" x14ac:dyDescent="0.3">
      <c r="F47553" s="193"/>
    </row>
    <row r="47554" spans="6:6" x14ac:dyDescent="0.3">
      <c r="F47554" s="193"/>
    </row>
    <row r="47555" spans="6:6" x14ac:dyDescent="0.3">
      <c r="F47555" s="193"/>
    </row>
    <row r="47556" spans="6:6" x14ac:dyDescent="0.3">
      <c r="F47556" s="193"/>
    </row>
    <row r="47557" spans="6:6" x14ac:dyDescent="0.3">
      <c r="F47557" s="193"/>
    </row>
    <row r="47558" spans="6:6" x14ac:dyDescent="0.3">
      <c r="F47558" s="193"/>
    </row>
    <row r="47559" spans="6:6" x14ac:dyDescent="0.3">
      <c r="F47559" s="193"/>
    </row>
    <row r="47560" spans="6:6" x14ac:dyDescent="0.3">
      <c r="F47560" s="193"/>
    </row>
    <row r="47561" spans="6:6" x14ac:dyDescent="0.3">
      <c r="F47561" s="193"/>
    </row>
    <row r="47562" spans="6:6" x14ac:dyDescent="0.3">
      <c r="F47562" s="193"/>
    </row>
    <row r="47563" spans="6:6" x14ac:dyDescent="0.3">
      <c r="F47563" s="193"/>
    </row>
    <row r="47564" spans="6:6" x14ac:dyDescent="0.3">
      <c r="F47564" s="193"/>
    </row>
    <row r="47565" spans="6:6" x14ac:dyDescent="0.3">
      <c r="F47565" s="193"/>
    </row>
    <row r="47566" spans="6:6" x14ac:dyDescent="0.3">
      <c r="F47566" s="193"/>
    </row>
    <row r="47567" spans="6:6" x14ac:dyDescent="0.3">
      <c r="F47567" s="193"/>
    </row>
    <row r="47568" spans="6:6" x14ac:dyDescent="0.3">
      <c r="F47568" s="193"/>
    </row>
    <row r="47569" spans="6:6" x14ac:dyDescent="0.3">
      <c r="F47569" s="193"/>
    </row>
    <row r="47570" spans="6:6" x14ac:dyDescent="0.3">
      <c r="F47570" s="193"/>
    </row>
    <row r="47571" spans="6:6" x14ac:dyDescent="0.3">
      <c r="F47571" s="193"/>
    </row>
    <row r="47572" spans="6:6" x14ac:dyDescent="0.3">
      <c r="F47572" s="193"/>
    </row>
    <row r="47573" spans="6:6" x14ac:dyDescent="0.3">
      <c r="F47573" s="193"/>
    </row>
    <row r="47574" spans="6:6" x14ac:dyDescent="0.3">
      <c r="F47574" s="193"/>
    </row>
    <row r="47575" spans="6:6" x14ac:dyDescent="0.3">
      <c r="F47575" s="193"/>
    </row>
    <row r="47576" spans="6:6" x14ac:dyDescent="0.3">
      <c r="F47576" s="193"/>
    </row>
    <row r="47577" spans="6:6" x14ac:dyDescent="0.3">
      <c r="F47577" s="193"/>
    </row>
    <row r="47578" spans="6:6" x14ac:dyDescent="0.3">
      <c r="F47578" s="193"/>
    </row>
    <row r="47579" spans="6:6" x14ac:dyDescent="0.3">
      <c r="F47579" s="193"/>
    </row>
    <row r="47580" spans="6:6" x14ac:dyDescent="0.3">
      <c r="F47580" s="193"/>
    </row>
    <row r="47581" spans="6:6" x14ac:dyDescent="0.3">
      <c r="F47581" s="193"/>
    </row>
    <row r="47582" spans="6:6" x14ac:dyDescent="0.3">
      <c r="F47582" s="193"/>
    </row>
    <row r="47583" spans="6:6" x14ac:dyDescent="0.3">
      <c r="F47583" s="193"/>
    </row>
    <row r="47584" spans="6:6" x14ac:dyDescent="0.3">
      <c r="F47584" s="193"/>
    </row>
    <row r="47585" spans="6:6" x14ac:dyDescent="0.3">
      <c r="F47585" s="193"/>
    </row>
    <row r="47586" spans="6:6" x14ac:dyDescent="0.3">
      <c r="F47586" s="193"/>
    </row>
    <row r="47587" spans="6:6" x14ac:dyDescent="0.3">
      <c r="F47587" s="193"/>
    </row>
    <row r="47588" spans="6:6" x14ac:dyDescent="0.3">
      <c r="F47588" s="193"/>
    </row>
    <row r="47589" spans="6:6" x14ac:dyDescent="0.3">
      <c r="F47589" s="193"/>
    </row>
    <row r="47590" spans="6:6" x14ac:dyDescent="0.3">
      <c r="F47590" s="193"/>
    </row>
    <row r="47591" spans="6:6" x14ac:dyDescent="0.3">
      <c r="F47591" s="193"/>
    </row>
    <row r="47592" spans="6:6" x14ac:dyDescent="0.3">
      <c r="F47592" s="193"/>
    </row>
    <row r="47593" spans="6:6" x14ac:dyDescent="0.3">
      <c r="F47593" s="193"/>
    </row>
    <row r="47594" spans="6:6" x14ac:dyDescent="0.3">
      <c r="F47594" s="193"/>
    </row>
    <row r="47595" spans="6:6" x14ac:dyDescent="0.3">
      <c r="F47595" s="193"/>
    </row>
    <row r="47596" spans="6:6" x14ac:dyDescent="0.3">
      <c r="F47596" s="193"/>
    </row>
    <row r="47597" spans="6:6" x14ac:dyDescent="0.3">
      <c r="F47597" s="193"/>
    </row>
    <row r="47598" spans="6:6" x14ac:dyDescent="0.3">
      <c r="F47598" s="193"/>
    </row>
    <row r="47599" spans="6:6" x14ac:dyDescent="0.3">
      <c r="F47599" s="193"/>
    </row>
    <row r="47600" spans="6:6" x14ac:dyDescent="0.3">
      <c r="F47600" s="193"/>
    </row>
    <row r="47601" spans="6:6" x14ac:dyDescent="0.3">
      <c r="F47601" s="193"/>
    </row>
    <row r="47602" spans="6:6" x14ac:dyDescent="0.3">
      <c r="F47602" s="193"/>
    </row>
    <row r="47603" spans="6:6" x14ac:dyDescent="0.3">
      <c r="F47603" s="193"/>
    </row>
    <row r="47604" spans="6:6" x14ac:dyDescent="0.3">
      <c r="F47604" s="193"/>
    </row>
    <row r="47605" spans="6:6" x14ac:dyDescent="0.3">
      <c r="F47605" s="193"/>
    </row>
    <row r="47606" spans="6:6" x14ac:dyDescent="0.3">
      <c r="F47606" s="193"/>
    </row>
    <row r="47607" spans="6:6" x14ac:dyDescent="0.3">
      <c r="F47607" s="193"/>
    </row>
    <row r="47608" spans="6:6" x14ac:dyDescent="0.3">
      <c r="F47608" s="193"/>
    </row>
    <row r="47609" spans="6:6" x14ac:dyDescent="0.3">
      <c r="F47609" s="193"/>
    </row>
    <row r="47610" spans="6:6" x14ac:dyDescent="0.3">
      <c r="F47610" s="193"/>
    </row>
    <row r="47611" spans="6:6" x14ac:dyDescent="0.3">
      <c r="F47611" s="193"/>
    </row>
    <row r="47612" spans="6:6" x14ac:dyDescent="0.3">
      <c r="F47612" s="193"/>
    </row>
    <row r="47613" spans="6:6" x14ac:dyDescent="0.3">
      <c r="F47613" s="193"/>
    </row>
    <row r="47614" spans="6:6" x14ac:dyDescent="0.3">
      <c r="F47614" s="193"/>
    </row>
    <row r="47615" spans="6:6" x14ac:dyDescent="0.3">
      <c r="F47615" s="193"/>
    </row>
    <row r="47616" spans="6:6" x14ac:dyDescent="0.3">
      <c r="F47616" s="193"/>
    </row>
    <row r="47617" spans="6:6" x14ac:dyDescent="0.3">
      <c r="F47617" s="193"/>
    </row>
    <row r="47618" spans="6:6" x14ac:dyDescent="0.3">
      <c r="F47618" s="193"/>
    </row>
    <row r="47619" spans="6:6" x14ac:dyDescent="0.3">
      <c r="F47619" s="193"/>
    </row>
    <row r="47620" spans="6:6" x14ac:dyDescent="0.3">
      <c r="F47620" s="193"/>
    </row>
    <row r="47621" spans="6:6" x14ac:dyDescent="0.3">
      <c r="F47621" s="193"/>
    </row>
    <row r="47622" spans="6:6" x14ac:dyDescent="0.3">
      <c r="F47622" s="193"/>
    </row>
    <row r="47623" spans="6:6" x14ac:dyDescent="0.3">
      <c r="F47623" s="193"/>
    </row>
    <row r="47624" spans="6:6" x14ac:dyDescent="0.3">
      <c r="F47624" s="193"/>
    </row>
    <row r="47625" spans="6:6" x14ac:dyDescent="0.3">
      <c r="F47625" s="193"/>
    </row>
    <row r="47626" spans="6:6" x14ac:dyDescent="0.3">
      <c r="F47626" s="193"/>
    </row>
    <row r="47627" spans="6:6" x14ac:dyDescent="0.3">
      <c r="F47627" s="193"/>
    </row>
    <row r="47628" spans="6:6" x14ac:dyDescent="0.3">
      <c r="F47628" s="193"/>
    </row>
    <row r="47629" spans="6:6" x14ac:dyDescent="0.3">
      <c r="F47629" s="193"/>
    </row>
    <row r="47630" spans="6:6" x14ac:dyDescent="0.3">
      <c r="F47630" s="193"/>
    </row>
    <row r="47631" spans="6:6" x14ac:dyDescent="0.3">
      <c r="F47631" s="193"/>
    </row>
    <row r="47632" spans="6:6" x14ac:dyDescent="0.3">
      <c r="F47632" s="193"/>
    </row>
    <row r="47633" spans="6:6" x14ac:dyDescent="0.3">
      <c r="F47633" s="193"/>
    </row>
    <row r="47634" spans="6:6" x14ac:dyDescent="0.3">
      <c r="F47634" s="193"/>
    </row>
    <row r="47635" spans="6:6" x14ac:dyDescent="0.3">
      <c r="F47635" s="193"/>
    </row>
    <row r="47636" spans="6:6" x14ac:dyDescent="0.3">
      <c r="F47636" s="193"/>
    </row>
    <row r="47637" spans="6:6" x14ac:dyDescent="0.3">
      <c r="F47637" s="193"/>
    </row>
    <row r="47638" spans="6:6" x14ac:dyDescent="0.3">
      <c r="F47638" s="193"/>
    </row>
    <row r="47639" spans="6:6" x14ac:dyDescent="0.3">
      <c r="F47639" s="193"/>
    </row>
    <row r="47640" spans="6:6" x14ac:dyDescent="0.3">
      <c r="F47640" s="193"/>
    </row>
    <row r="47641" spans="6:6" x14ac:dyDescent="0.3">
      <c r="F47641" s="193"/>
    </row>
    <row r="47642" spans="6:6" x14ac:dyDescent="0.3">
      <c r="F47642" s="193"/>
    </row>
    <row r="47643" spans="6:6" x14ac:dyDescent="0.3">
      <c r="F47643" s="193"/>
    </row>
    <row r="47644" spans="6:6" x14ac:dyDescent="0.3">
      <c r="F47644" s="193"/>
    </row>
    <row r="47645" spans="6:6" x14ac:dyDescent="0.3">
      <c r="F47645" s="193"/>
    </row>
    <row r="47646" spans="6:6" x14ac:dyDescent="0.3">
      <c r="F47646" s="193"/>
    </row>
    <row r="47647" spans="6:6" x14ac:dyDescent="0.3">
      <c r="F47647" s="193"/>
    </row>
    <row r="47648" spans="6:6" x14ac:dyDescent="0.3">
      <c r="F47648" s="193"/>
    </row>
    <row r="47649" spans="6:6" x14ac:dyDescent="0.3">
      <c r="F47649" s="193"/>
    </row>
    <row r="47650" spans="6:6" x14ac:dyDescent="0.3">
      <c r="F47650" s="193"/>
    </row>
    <row r="47651" spans="6:6" x14ac:dyDescent="0.3">
      <c r="F47651" s="193"/>
    </row>
    <row r="47652" spans="6:6" x14ac:dyDescent="0.3">
      <c r="F47652" s="193"/>
    </row>
    <row r="47653" spans="6:6" x14ac:dyDescent="0.3">
      <c r="F47653" s="193"/>
    </row>
    <row r="47654" spans="6:6" x14ac:dyDescent="0.3">
      <c r="F47654" s="193"/>
    </row>
    <row r="47655" spans="6:6" x14ac:dyDescent="0.3">
      <c r="F47655" s="193"/>
    </row>
    <row r="47656" spans="6:6" x14ac:dyDescent="0.3">
      <c r="F47656" s="193"/>
    </row>
    <row r="47657" spans="6:6" x14ac:dyDescent="0.3">
      <c r="F47657" s="193"/>
    </row>
    <row r="47658" spans="6:6" x14ac:dyDescent="0.3">
      <c r="F47658" s="193"/>
    </row>
    <row r="47659" spans="6:6" x14ac:dyDescent="0.3">
      <c r="F47659" s="193"/>
    </row>
    <row r="47660" spans="6:6" x14ac:dyDescent="0.3">
      <c r="F47660" s="193"/>
    </row>
    <row r="47661" spans="6:6" x14ac:dyDescent="0.3">
      <c r="F47661" s="193"/>
    </row>
    <row r="47662" spans="6:6" x14ac:dyDescent="0.3">
      <c r="F47662" s="193"/>
    </row>
    <row r="47663" spans="6:6" x14ac:dyDescent="0.3">
      <c r="F47663" s="193"/>
    </row>
    <row r="47664" spans="6:6" x14ac:dyDescent="0.3">
      <c r="F47664" s="193"/>
    </row>
    <row r="47665" spans="6:6" x14ac:dyDescent="0.3">
      <c r="F47665" s="193"/>
    </row>
    <row r="47666" spans="6:6" x14ac:dyDescent="0.3">
      <c r="F47666" s="193"/>
    </row>
    <row r="47667" spans="6:6" x14ac:dyDescent="0.3">
      <c r="F47667" s="193"/>
    </row>
    <row r="47668" spans="6:6" x14ac:dyDescent="0.3">
      <c r="F47668" s="193"/>
    </row>
    <row r="47669" spans="6:6" x14ac:dyDescent="0.3">
      <c r="F47669" s="193"/>
    </row>
    <row r="47670" spans="6:6" x14ac:dyDescent="0.3">
      <c r="F47670" s="193"/>
    </row>
    <row r="47671" spans="6:6" x14ac:dyDescent="0.3">
      <c r="F47671" s="193"/>
    </row>
    <row r="47672" spans="6:6" x14ac:dyDescent="0.3">
      <c r="F47672" s="193"/>
    </row>
    <row r="47673" spans="6:6" x14ac:dyDescent="0.3">
      <c r="F47673" s="193"/>
    </row>
    <row r="47674" spans="6:6" x14ac:dyDescent="0.3">
      <c r="F47674" s="193"/>
    </row>
    <row r="47675" spans="6:6" x14ac:dyDescent="0.3">
      <c r="F47675" s="193"/>
    </row>
    <row r="47676" spans="6:6" x14ac:dyDescent="0.3">
      <c r="F47676" s="193"/>
    </row>
    <row r="47677" spans="6:6" x14ac:dyDescent="0.3">
      <c r="F47677" s="193"/>
    </row>
    <row r="47678" spans="6:6" x14ac:dyDescent="0.3">
      <c r="F47678" s="193"/>
    </row>
    <row r="47679" spans="6:6" x14ac:dyDescent="0.3">
      <c r="F47679" s="193"/>
    </row>
    <row r="47680" spans="6:6" x14ac:dyDescent="0.3">
      <c r="F47680" s="193"/>
    </row>
    <row r="47681" spans="6:6" x14ac:dyDescent="0.3">
      <c r="F47681" s="193"/>
    </row>
    <row r="47682" spans="6:6" x14ac:dyDescent="0.3">
      <c r="F47682" s="193"/>
    </row>
    <row r="47683" spans="6:6" x14ac:dyDescent="0.3">
      <c r="F47683" s="193"/>
    </row>
    <row r="47684" spans="6:6" x14ac:dyDescent="0.3">
      <c r="F47684" s="193"/>
    </row>
    <row r="47685" spans="6:6" x14ac:dyDescent="0.3">
      <c r="F47685" s="193"/>
    </row>
    <row r="47686" spans="6:6" x14ac:dyDescent="0.3">
      <c r="F47686" s="193"/>
    </row>
    <row r="47687" spans="6:6" x14ac:dyDescent="0.3">
      <c r="F47687" s="193"/>
    </row>
    <row r="47688" spans="6:6" x14ac:dyDescent="0.3">
      <c r="F47688" s="193"/>
    </row>
    <row r="47689" spans="6:6" x14ac:dyDescent="0.3">
      <c r="F47689" s="193"/>
    </row>
    <row r="47690" spans="6:6" x14ac:dyDescent="0.3">
      <c r="F47690" s="193"/>
    </row>
    <row r="47691" spans="6:6" x14ac:dyDescent="0.3">
      <c r="F47691" s="193"/>
    </row>
    <row r="47692" spans="6:6" x14ac:dyDescent="0.3">
      <c r="F47692" s="193"/>
    </row>
    <row r="47693" spans="6:6" x14ac:dyDescent="0.3">
      <c r="F47693" s="193"/>
    </row>
    <row r="47694" spans="6:6" x14ac:dyDescent="0.3">
      <c r="F47694" s="193"/>
    </row>
    <row r="47695" spans="6:6" x14ac:dyDescent="0.3">
      <c r="F47695" s="193"/>
    </row>
    <row r="47696" spans="6:6" x14ac:dyDescent="0.3">
      <c r="F47696" s="193"/>
    </row>
    <row r="47697" spans="6:6" x14ac:dyDescent="0.3">
      <c r="F47697" s="193"/>
    </row>
    <row r="47698" spans="6:6" x14ac:dyDescent="0.3">
      <c r="F47698" s="193"/>
    </row>
    <row r="47699" spans="6:6" x14ac:dyDescent="0.3">
      <c r="F47699" s="193"/>
    </row>
    <row r="47700" spans="6:6" x14ac:dyDescent="0.3">
      <c r="F47700" s="193"/>
    </row>
    <row r="47701" spans="6:6" x14ac:dyDescent="0.3">
      <c r="F47701" s="193"/>
    </row>
    <row r="47702" spans="6:6" x14ac:dyDescent="0.3">
      <c r="F47702" s="193"/>
    </row>
    <row r="47703" spans="6:6" x14ac:dyDescent="0.3">
      <c r="F47703" s="193"/>
    </row>
    <row r="47704" spans="6:6" x14ac:dyDescent="0.3">
      <c r="F47704" s="193"/>
    </row>
    <row r="47705" spans="6:6" x14ac:dyDescent="0.3">
      <c r="F47705" s="193"/>
    </row>
    <row r="47706" spans="6:6" x14ac:dyDescent="0.3">
      <c r="F47706" s="193"/>
    </row>
    <row r="47707" spans="6:6" x14ac:dyDescent="0.3">
      <c r="F47707" s="193"/>
    </row>
    <row r="47708" spans="6:6" x14ac:dyDescent="0.3">
      <c r="F47708" s="193"/>
    </row>
    <row r="47709" spans="6:6" x14ac:dyDescent="0.3">
      <c r="F47709" s="193"/>
    </row>
    <row r="47710" spans="6:6" x14ac:dyDescent="0.3">
      <c r="F47710" s="193"/>
    </row>
    <row r="47711" spans="6:6" x14ac:dyDescent="0.3">
      <c r="F47711" s="193"/>
    </row>
    <row r="47712" spans="6:6" x14ac:dyDescent="0.3">
      <c r="F47712" s="193"/>
    </row>
    <row r="47713" spans="6:6" x14ac:dyDescent="0.3">
      <c r="F47713" s="193"/>
    </row>
    <row r="47714" spans="6:6" x14ac:dyDescent="0.3">
      <c r="F47714" s="193"/>
    </row>
    <row r="47715" spans="6:6" x14ac:dyDescent="0.3">
      <c r="F47715" s="193"/>
    </row>
    <row r="47716" spans="6:6" x14ac:dyDescent="0.3">
      <c r="F47716" s="193"/>
    </row>
    <row r="47717" spans="6:6" x14ac:dyDescent="0.3">
      <c r="F47717" s="193"/>
    </row>
    <row r="47718" spans="6:6" x14ac:dyDescent="0.3">
      <c r="F47718" s="193"/>
    </row>
    <row r="47719" spans="6:6" x14ac:dyDescent="0.3">
      <c r="F47719" s="193"/>
    </row>
    <row r="47720" spans="6:6" x14ac:dyDescent="0.3">
      <c r="F47720" s="193"/>
    </row>
    <row r="47721" spans="6:6" x14ac:dyDescent="0.3">
      <c r="F47721" s="193"/>
    </row>
    <row r="47722" spans="6:6" x14ac:dyDescent="0.3">
      <c r="F47722" s="193"/>
    </row>
    <row r="47723" spans="6:6" x14ac:dyDescent="0.3">
      <c r="F47723" s="193"/>
    </row>
    <row r="47724" spans="6:6" x14ac:dyDescent="0.3">
      <c r="F47724" s="193"/>
    </row>
    <row r="47725" spans="6:6" x14ac:dyDescent="0.3">
      <c r="F47725" s="193"/>
    </row>
    <row r="47726" spans="6:6" x14ac:dyDescent="0.3">
      <c r="F47726" s="193"/>
    </row>
    <row r="47727" spans="6:6" x14ac:dyDescent="0.3">
      <c r="F47727" s="193"/>
    </row>
    <row r="47728" spans="6:6" x14ac:dyDescent="0.3">
      <c r="F47728" s="193"/>
    </row>
    <row r="47729" spans="6:6" x14ac:dyDescent="0.3">
      <c r="F47729" s="193"/>
    </row>
    <row r="47730" spans="6:6" x14ac:dyDescent="0.3">
      <c r="F47730" s="193"/>
    </row>
    <row r="47731" spans="6:6" x14ac:dyDescent="0.3">
      <c r="F47731" s="193"/>
    </row>
    <row r="47732" spans="6:6" x14ac:dyDescent="0.3">
      <c r="F47732" s="193"/>
    </row>
    <row r="47733" spans="6:6" x14ac:dyDescent="0.3">
      <c r="F47733" s="193"/>
    </row>
    <row r="47734" spans="6:6" x14ac:dyDescent="0.3">
      <c r="F47734" s="193"/>
    </row>
    <row r="47735" spans="6:6" x14ac:dyDescent="0.3">
      <c r="F47735" s="193"/>
    </row>
    <row r="47736" spans="6:6" x14ac:dyDescent="0.3">
      <c r="F47736" s="193"/>
    </row>
    <row r="47737" spans="6:6" x14ac:dyDescent="0.3">
      <c r="F47737" s="193"/>
    </row>
    <row r="47738" spans="6:6" x14ac:dyDescent="0.3">
      <c r="F47738" s="193"/>
    </row>
    <row r="47739" spans="6:6" x14ac:dyDescent="0.3">
      <c r="F47739" s="193"/>
    </row>
    <row r="47740" spans="6:6" x14ac:dyDescent="0.3">
      <c r="F47740" s="193"/>
    </row>
    <row r="47741" spans="6:6" x14ac:dyDescent="0.3">
      <c r="F47741" s="193"/>
    </row>
    <row r="47742" spans="6:6" x14ac:dyDescent="0.3">
      <c r="F47742" s="193"/>
    </row>
    <row r="47743" spans="6:6" x14ac:dyDescent="0.3">
      <c r="F47743" s="193"/>
    </row>
    <row r="47744" spans="6:6" x14ac:dyDescent="0.3">
      <c r="F47744" s="193"/>
    </row>
    <row r="47745" spans="6:6" x14ac:dyDescent="0.3">
      <c r="F47745" s="193"/>
    </row>
    <row r="47746" spans="6:6" x14ac:dyDescent="0.3">
      <c r="F47746" s="193"/>
    </row>
    <row r="47747" spans="6:6" x14ac:dyDescent="0.3">
      <c r="F47747" s="193"/>
    </row>
    <row r="47748" spans="6:6" x14ac:dyDescent="0.3">
      <c r="F47748" s="193"/>
    </row>
    <row r="47749" spans="6:6" x14ac:dyDescent="0.3">
      <c r="F47749" s="193"/>
    </row>
    <row r="47750" spans="6:6" x14ac:dyDescent="0.3">
      <c r="F47750" s="193"/>
    </row>
    <row r="47751" spans="6:6" x14ac:dyDescent="0.3">
      <c r="F47751" s="193"/>
    </row>
    <row r="47752" spans="6:6" x14ac:dyDescent="0.3">
      <c r="F47752" s="193"/>
    </row>
    <row r="47753" spans="6:6" x14ac:dyDescent="0.3">
      <c r="F47753" s="193"/>
    </row>
    <row r="47754" spans="6:6" x14ac:dyDescent="0.3">
      <c r="F47754" s="193"/>
    </row>
    <row r="47755" spans="6:6" x14ac:dyDescent="0.3">
      <c r="F47755" s="193"/>
    </row>
    <row r="47756" spans="6:6" x14ac:dyDescent="0.3">
      <c r="F47756" s="193"/>
    </row>
    <row r="47757" spans="6:6" x14ac:dyDescent="0.3">
      <c r="F47757" s="193"/>
    </row>
    <row r="47758" spans="6:6" x14ac:dyDescent="0.3">
      <c r="F47758" s="193"/>
    </row>
    <row r="47759" spans="6:6" x14ac:dyDescent="0.3">
      <c r="F47759" s="193"/>
    </row>
    <row r="47760" spans="6:6" x14ac:dyDescent="0.3">
      <c r="F47760" s="193"/>
    </row>
    <row r="47761" spans="6:6" x14ac:dyDescent="0.3">
      <c r="F47761" s="193"/>
    </row>
    <row r="47762" spans="6:6" x14ac:dyDescent="0.3">
      <c r="F47762" s="193"/>
    </row>
    <row r="47763" spans="6:6" x14ac:dyDescent="0.3">
      <c r="F47763" s="193"/>
    </row>
    <row r="47764" spans="6:6" x14ac:dyDescent="0.3">
      <c r="F47764" s="193"/>
    </row>
    <row r="47765" spans="6:6" x14ac:dyDescent="0.3">
      <c r="F47765" s="193"/>
    </row>
    <row r="47766" spans="6:6" x14ac:dyDescent="0.3">
      <c r="F47766" s="193"/>
    </row>
    <row r="47767" spans="6:6" x14ac:dyDescent="0.3">
      <c r="F47767" s="193"/>
    </row>
    <row r="47768" spans="6:6" x14ac:dyDescent="0.3">
      <c r="F47768" s="193"/>
    </row>
    <row r="47769" spans="6:6" x14ac:dyDescent="0.3">
      <c r="F47769" s="193"/>
    </row>
    <row r="47770" spans="6:6" x14ac:dyDescent="0.3">
      <c r="F47770" s="193"/>
    </row>
    <row r="47771" spans="6:6" x14ac:dyDescent="0.3">
      <c r="F47771" s="193"/>
    </row>
    <row r="47772" spans="6:6" x14ac:dyDescent="0.3">
      <c r="F47772" s="193"/>
    </row>
    <row r="47773" spans="6:6" x14ac:dyDescent="0.3">
      <c r="F47773" s="193"/>
    </row>
    <row r="47774" spans="6:6" x14ac:dyDescent="0.3">
      <c r="F47774" s="193"/>
    </row>
    <row r="47775" spans="6:6" x14ac:dyDescent="0.3">
      <c r="F47775" s="193"/>
    </row>
    <row r="47776" spans="6:6" x14ac:dyDescent="0.3">
      <c r="F47776" s="193"/>
    </row>
    <row r="47777" spans="6:6" x14ac:dyDescent="0.3">
      <c r="F47777" s="193"/>
    </row>
    <row r="47778" spans="6:6" x14ac:dyDescent="0.3">
      <c r="F47778" s="193"/>
    </row>
    <row r="47779" spans="6:6" x14ac:dyDescent="0.3">
      <c r="F47779" s="193"/>
    </row>
    <row r="47780" spans="6:6" x14ac:dyDescent="0.3">
      <c r="F47780" s="193"/>
    </row>
    <row r="47781" spans="6:6" x14ac:dyDescent="0.3">
      <c r="F47781" s="193"/>
    </row>
    <row r="47782" spans="6:6" x14ac:dyDescent="0.3">
      <c r="F47782" s="193"/>
    </row>
    <row r="47783" spans="6:6" x14ac:dyDescent="0.3">
      <c r="F47783" s="193"/>
    </row>
    <row r="47784" spans="6:6" x14ac:dyDescent="0.3">
      <c r="F47784" s="193"/>
    </row>
    <row r="47785" spans="6:6" x14ac:dyDescent="0.3">
      <c r="F47785" s="193"/>
    </row>
    <row r="47786" spans="6:6" x14ac:dyDescent="0.3">
      <c r="F47786" s="193"/>
    </row>
    <row r="47787" spans="6:6" x14ac:dyDescent="0.3">
      <c r="F47787" s="193"/>
    </row>
    <row r="47788" spans="6:6" x14ac:dyDescent="0.3">
      <c r="F47788" s="193"/>
    </row>
    <row r="47789" spans="6:6" x14ac:dyDescent="0.3">
      <c r="F47789" s="193"/>
    </row>
    <row r="47790" spans="6:6" x14ac:dyDescent="0.3">
      <c r="F47790" s="193"/>
    </row>
    <row r="47791" spans="6:6" x14ac:dyDescent="0.3">
      <c r="F47791" s="193"/>
    </row>
    <row r="47792" spans="6:6" x14ac:dyDescent="0.3">
      <c r="F47792" s="193"/>
    </row>
    <row r="47793" spans="6:6" x14ac:dyDescent="0.3">
      <c r="F47793" s="193"/>
    </row>
    <row r="47794" spans="6:6" x14ac:dyDescent="0.3">
      <c r="F47794" s="193"/>
    </row>
    <row r="47795" spans="6:6" x14ac:dyDescent="0.3">
      <c r="F47795" s="193"/>
    </row>
    <row r="47796" spans="6:6" x14ac:dyDescent="0.3">
      <c r="F47796" s="193"/>
    </row>
    <row r="47797" spans="6:6" x14ac:dyDescent="0.3">
      <c r="F47797" s="193"/>
    </row>
    <row r="47798" spans="6:6" x14ac:dyDescent="0.3">
      <c r="F47798" s="193"/>
    </row>
    <row r="47799" spans="6:6" x14ac:dyDescent="0.3">
      <c r="F47799" s="193"/>
    </row>
    <row r="47800" spans="6:6" x14ac:dyDescent="0.3">
      <c r="F47800" s="193"/>
    </row>
    <row r="47801" spans="6:6" x14ac:dyDescent="0.3">
      <c r="F47801" s="193"/>
    </row>
    <row r="47802" spans="6:6" x14ac:dyDescent="0.3">
      <c r="F47802" s="193"/>
    </row>
    <row r="47803" spans="6:6" x14ac:dyDescent="0.3">
      <c r="F47803" s="193"/>
    </row>
    <row r="47804" spans="6:6" x14ac:dyDescent="0.3">
      <c r="F47804" s="193"/>
    </row>
    <row r="47805" spans="6:6" x14ac:dyDescent="0.3">
      <c r="F47805" s="193"/>
    </row>
    <row r="47806" spans="6:6" x14ac:dyDescent="0.3">
      <c r="F47806" s="193"/>
    </row>
    <row r="47807" spans="6:6" x14ac:dyDescent="0.3">
      <c r="F47807" s="193"/>
    </row>
    <row r="47808" spans="6:6" x14ac:dyDescent="0.3">
      <c r="F47808" s="193"/>
    </row>
    <row r="47809" spans="6:6" x14ac:dyDescent="0.3">
      <c r="F47809" s="193"/>
    </row>
    <row r="47810" spans="6:6" x14ac:dyDescent="0.3">
      <c r="F47810" s="193"/>
    </row>
    <row r="47811" spans="6:6" x14ac:dyDescent="0.3">
      <c r="F47811" s="193"/>
    </row>
    <row r="47812" spans="6:6" x14ac:dyDescent="0.3">
      <c r="F47812" s="193"/>
    </row>
    <row r="47813" spans="6:6" x14ac:dyDescent="0.3">
      <c r="F47813" s="193"/>
    </row>
    <row r="47814" spans="6:6" x14ac:dyDescent="0.3">
      <c r="F47814" s="193"/>
    </row>
    <row r="47815" spans="6:6" x14ac:dyDescent="0.3">
      <c r="F47815" s="193"/>
    </row>
    <row r="47816" spans="6:6" x14ac:dyDescent="0.3">
      <c r="F47816" s="193"/>
    </row>
    <row r="47817" spans="6:6" x14ac:dyDescent="0.3">
      <c r="F47817" s="193"/>
    </row>
    <row r="47818" spans="6:6" x14ac:dyDescent="0.3">
      <c r="F47818" s="193"/>
    </row>
    <row r="47819" spans="6:6" x14ac:dyDescent="0.3">
      <c r="F47819" s="193"/>
    </row>
    <row r="47820" spans="6:6" x14ac:dyDescent="0.3">
      <c r="F47820" s="193"/>
    </row>
    <row r="47821" spans="6:6" x14ac:dyDescent="0.3">
      <c r="F47821" s="193"/>
    </row>
    <row r="47822" spans="6:6" x14ac:dyDescent="0.3">
      <c r="F47822" s="193"/>
    </row>
    <row r="47823" spans="6:6" x14ac:dyDescent="0.3">
      <c r="F47823" s="193"/>
    </row>
    <row r="47824" spans="6:6" x14ac:dyDescent="0.3">
      <c r="F47824" s="193"/>
    </row>
    <row r="47825" spans="6:6" x14ac:dyDescent="0.3">
      <c r="F47825" s="193"/>
    </row>
    <row r="47826" spans="6:6" x14ac:dyDescent="0.3">
      <c r="F47826" s="193"/>
    </row>
    <row r="47827" spans="6:6" x14ac:dyDescent="0.3">
      <c r="F47827" s="193"/>
    </row>
    <row r="47828" spans="6:6" x14ac:dyDescent="0.3">
      <c r="F47828" s="193"/>
    </row>
    <row r="47829" spans="6:6" x14ac:dyDescent="0.3">
      <c r="F47829" s="193"/>
    </row>
    <row r="47830" spans="6:6" x14ac:dyDescent="0.3">
      <c r="F47830" s="193"/>
    </row>
    <row r="47831" spans="6:6" x14ac:dyDescent="0.3">
      <c r="F47831" s="193"/>
    </row>
    <row r="47832" spans="6:6" x14ac:dyDescent="0.3">
      <c r="F47832" s="193"/>
    </row>
    <row r="47833" spans="6:6" x14ac:dyDescent="0.3">
      <c r="F47833" s="193"/>
    </row>
    <row r="47834" spans="6:6" x14ac:dyDescent="0.3">
      <c r="F47834" s="193"/>
    </row>
    <row r="47835" spans="6:6" x14ac:dyDescent="0.3">
      <c r="F47835" s="193"/>
    </row>
    <row r="47836" spans="6:6" x14ac:dyDescent="0.3">
      <c r="F47836" s="193"/>
    </row>
    <row r="47837" spans="6:6" x14ac:dyDescent="0.3">
      <c r="F47837" s="193"/>
    </row>
    <row r="47838" spans="6:6" x14ac:dyDescent="0.3">
      <c r="F47838" s="193"/>
    </row>
    <row r="47839" spans="6:6" x14ac:dyDescent="0.3">
      <c r="F47839" s="193"/>
    </row>
    <row r="47840" spans="6:6" x14ac:dyDescent="0.3">
      <c r="F47840" s="193"/>
    </row>
    <row r="47841" spans="6:6" x14ac:dyDescent="0.3">
      <c r="F47841" s="193"/>
    </row>
    <row r="47842" spans="6:6" x14ac:dyDescent="0.3">
      <c r="F47842" s="193"/>
    </row>
    <row r="47843" spans="6:6" x14ac:dyDescent="0.3">
      <c r="F47843" s="193"/>
    </row>
    <row r="47844" spans="6:6" x14ac:dyDescent="0.3">
      <c r="F47844" s="193"/>
    </row>
    <row r="47845" spans="6:6" x14ac:dyDescent="0.3">
      <c r="F47845" s="193"/>
    </row>
    <row r="47846" spans="6:6" x14ac:dyDescent="0.3">
      <c r="F47846" s="193"/>
    </row>
    <row r="47847" spans="6:6" x14ac:dyDescent="0.3">
      <c r="F47847" s="193"/>
    </row>
    <row r="47848" spans="6:6" x14ac:dyDescent="0.3">
      <c r="F47848" s="193"/>
    </row>
    <row r="47849" spans="6:6" x14ac:dyDescent="0.3">
      <c r="F47849" s="193"/>
    </row>
    <row r="47850" spans="6:6" x14ac:dyDescent="0.3">
      <c r="F47850" s="193"/>
    </row>
    <row r="47851" spans="6:6" x14ac:dyDescent="0.3">
      <c r="F47851" s="193"/>
    </row>
    <row r="47852" spans="6:6" x14ac:dyDescent="0.3">
      <c r="F47852" s="193"/>
    </row>
    <row r="47853" spans="6:6" x14ac:dyDescent="0.3">
      <c r="F47853" s="193"/>
    </row>
    <row r="47854" spans="6:6" x14ac:dyDescent="0.3">
      <c r="F47854" s="193"/>
    </row>
    <row r="47855" spans="6:6" x14ac:dyDescent="0.3">
      <c r="F47855" s="193"/>
    </row>
    <row r="47856" spans="6:6" x14ac:dyDescent="0.3">
      <c r="F47856" s="193"/>
    </row>
    <row r="47857" spans="6:6" x14ac:dyDescent="0.3">
      <c r="F47857" s="193"/>
    </row>
    <row r="47858" spans="6:6" x14ac:dyDescent="0.3">
      <c r="F47858" s="193"/>
    </row>
    <row r="47859" spans="6:6" x14ac:dyDescent="0.3">
      <c r="F47859" s="193"/>
    </row>
    <row r="47860" spans="6:6" x14ac:dyDescent="0.3">
      <c r="F47860" s="193"/>
    </row>
    <row r="47861" spans="6:6" x14ac:dyDescent="0.3">
      <c r="F47861" s="193"/>
    </row>
    <row r="47862" spans="6:6" x14ac:dyDescent="0.3">
      <c r="F47862" s="193"/>
    </row>
    <row r="47863" spans="6:6" x14ac:dyDescent="0.3">
      <c r="F47863" s="193"/>
    </row>
    <row r="47864" spans="6:6" x14ac:dyDescent="0.3">
      <c r="F47864" s="193"/>
    </row>
    <row r="47865" spans="6:6" x14ac:dyDescent="0.3">
      <c r="F47865" s="193"/>
    </row>
    <row r="47866" spans="6:6" x14ac:dyDescent="0.3">
      <c r="F47866" s="193"/>
    </row>
    <row r="47867" spans="6:6" x14ac:dyDescent="0.3">
      <c r="F47867" s="193"/>
    </row>
    <row r="47868" spans="6:6" x14ac:dyDescent="0.3">
      <c r="F47868" s="193"/>
    </row>
    <row r="47869" spans="6:6" x14ac:dyDescent="0.3">
      <c r="F47869" s="193"/>
    </row>
    <row r="47870" spans="6:6" x14ac:dyDescent="0.3">
      <c r="F47870" s="193"/>
    </row>
    <row r="47871" spans="6:6" x14ac:dyDescent="0.3">
      <c r="F47871" s="193"/>
    </row>
    <row r="47872" spans="6:6" x14ac:dyDescent="0.3">
      <c r="F47872" s="193"/>
    </row>
    <row r="47873" spans="6:6" x14ac:dyDescent="0.3">
      <c r="F47873" s="193"/>
    </row>
    <row r="47874" spans="6:6" x14ac:dyDescent="0.3">
      <c r="F47874" s="193"/>
    </row>
    <row r="47875" spans="6:6" x14ac:dyDescent="0.3">
      <c r="F47875" s="193"/>
    </row>
    <row r="47876" spans="6:6" x14ac:dyDescent="0.3">
      <c r="F47876" s="193"/>
    </row>
    <row r="47877" spans="6:6" x14ac:dyDescent="0.3">
      <c r="F47877" s="193"/>
    </row>
    <row r="47878" spans="6:6" x14ac:dyDescent="0.3">
      <c r="F47878" s="193"/>
    </row>
    <row r="47879" spans="6:6" x14ac:dyDescent="0.3">
      <c r="F47879" s="193"/>
    </row>
    <row r="47880" spans="6:6" x14ac:dyDescent="0.3">
      <c r="F47880" s="193"/>
    </row>
    <row r="47881" spans="6:6" x14ac:dyDescent="0.3">
      <c r="F47881" s="193"/>
    </row>
    <row r="47882" spans="6:6" x14ac:dyDescent="0.3">
      <c r="F47882" s="193"/>
    </row>
    <row r="47883" spans="6:6" x14ac:dyDescent="0.3">
      <c r="F47883" s="193"/>
    </row>
    <row r="47884" spans="6:6" x14ac:dyDescent="0.3">
      <c r="F47884" s="193"/>
    </row>
    <row r="47885" spans="6:6" x14ac:dyDescent="0.3">
      <c r="F47885" s="193"/>
    </row>
    <row r="47886" spans="6:6" x14ac:dyDescent="0.3">
      <c r="F47886" s="193"/>
    </row>
    <row r="47887" spans="6:6" x14ac:dyDescent="0.3">
      <c r="F47887" s="193"/>
    </row>
    <row r="47888" spans="6:6" x14ac:dyDescent="0.3">
      <c r="F47888" s="193"/>
    </row>
    <row r="47889" spans="6:6" x14ac:dyDescent="0.3">
      <c r="F47889" s="193"/>
    </row>
    <row r="47890" spans="6:6" x14ac:dyDescent="0.3">
      <c r="F47890" s="193"/>
    </row>
    <row r="47891" spans="6:6" x14ac:dyDescent="0.3">
      <c r="F47891" s="193"/>
    </row>
    <row r="47892" spans="6:6" x14ac:dyDescent="0.3">
      <c r="F47892" s="193"/>
    </row>
    <row r="47893" spans="6:6" x14ac:dyDescent="0.3">
      <c r="F47893" s="193"/>
    </row>
    <row r="47894" spans="6:6" x14ac:dyDescent="0.3">
      <c r="F47894" s="193"/>
    </row>
    <row r="47895" spans="6:6" x14ac:dyDescent="0.3">
      <c r="F47895" s="193"/>
    </row>
    <row r="47896" spans="6:6" x14ac:dyDescent="0.3">
      <c r="F47896" s="193"/>
    </row>
    <row r="47897" spans="6:6" x14ac:dyDescent="0.3">
      <c r="F47897" s="193"/>
    </row>
    <row r="47898" spans="6:6" x14ac:dyDescent="0.3">
      <c r="F47898" s="193"/>
    </row>
    <row r="47899" spans="6:6" x14ac:dyDescent="0.3">
      <c r="F47899" s="193"/>
    </row>
    <row r="47900" spans="6:6" x14ac:dyDescent="0.3">
      <c r="F47900" s="193"/>
    </row>
    <row r="47901" spans="6:6" x14ac:dyDescent="0.3">
      <c r="F47901" s="193"/>
    </row>
    <row r="47902" spans="6:6" x14ac:dyDescent="0.3">
      <c r="F47902" s="193"/>
    </row>
    <row r="47903" spans="6:6" x14ac:dyDescent="0.3">
      <c r="F47903" s="193"/>
    </row>
    <row r="47904" spans="6:6" x14ac:dyDescent="0.3">
      <c r="F47904" s="193"/>
    </row>
    <row r="47905" spans="6:6" x14ac:dyDescent="0.3">
      <c r="F47905" s="193"/>
    </row>
    <row r="47906" spans="6:6" x14ac:dyDescent="0.3">
      <c r="F47906" s="193"/>
    </row>
    <row r="47907" spans="6:6" x14ac:dyDescent="0.3">
      <c r="F47907" s="193"/>
    </row>
    <row r="47908" spans="6:6" x14ac:dyDescent="0.3">
      <c r="F47908" s="193"/>
    </row>
    <row r="47909" spans="6:6" x14ac:dyDescent="0.3">
      <c r="F47909" s="193"/>
    </row>
    <row r="47910" spans="6:6" x14ac:dyDescent="0.3">
      <c r="F47910" s="193"/>
    </row>
    <row r="47911" spans="6:6" x14ac:dyDescent="0.3">
      <c r="F47911" s="193"/>
    </row>
    <row r="47912" spans="6:6" x14ac:dyDescent="0.3">
      <c r="F47912" s="193"/>
    </row>
    <row r="47913" spans="6:6" x14ac:dyDescent="0.3">
      <c r="F47913" s="193"/>
    </row>
    <row r="47914" spans="6:6" x14ac:dyDescent="0.3">
      <c r="F47914" s="193"/>
    </row>
    <row r="47915" spans="6:6" x14ac:dyDescent="0.3">
      <c r="F47915" s="193"/>
    </row>
    <row r="47916" spans="6:6" x14ac:dyDescent="0.3">
      <c r="F47916" s="193"/>
    </row>
    <row r="47917" spans="6:6" x14ac:dyDescent="0.3">
      <c r="F47917" s="193"/>
    </row>
    <row r="47918" spans="6:6" x14ac:dyDescent="0.3">
      <c r="F47918" s="193"/>
    </row>
    <row r="47919" spans="6:6" x14ac:dyDescent="0.3">
      <c r="F47919" s="193"/>
    </row>
    <row r="47920" spans="6:6" x14ac:dyDescent="0.3">
      <c r="F47920" s="193"/>
    </row>
    <row r="47921" spans="6:6" x14ac:dyDescent="0.3">
      <c r="F47921" s="193"/>
    </row>
    <row r="47922" spans="6:6" x14ac:dyDescent="0.3">
      <c r="F47922" s="193"/>
    </row>
    <row r="47923" spans="6:6" x14ac:dyDescent="0.3">
      <c r="F47923" s="193"/>
    </row>
    <row r="47924" spans="6:6" x14ac:dyDescent="0.3">
      <c r="F47924" s="193"/>
    </row>
    <row r="47925" spans="6:6" x14ac:dyDescent="0.3">
      <c r="F47925" s="193"/>
    </row>
    <row r="47926" spans="6:6" x14ac:dyDescent="0.3">
      <c r="F47926" s="193"/>
    </row>
    <row r="47927" spans="6:6" x14ac:dyDescent="0.3">
      <c r="F47927" s="193"/>
    </row>
    <row r="47928" spans="6:6" x14ac:dyDescent="0.3">
      <c r="F47928" s="193"/>
    </row>
    <row r="47929" spans="6:6" x14ac:dyDescent="0.3">
      <c r="F47929" s="193"/>
    </row>
    <row r="47930" spans="6:6" x14ac:dyDescent="0.3">
      <c r="F47930" s="193"/>
    </row>
    <row r="47931" spans="6:6" x14ac:dyDescent="0.3">
      <c r="F47931" s="193"/>
    </row>
    <row r="47932" spans="6:6" x14ac:dyDescent="0.3">
      <c r="F47932" s="193"/>
    </row>
    <row r="47933" spans="6:6" x14ac:dyDescent="0.3">
      <c r="F47933" s="193"/>
    </row>
    <row r="47934" spans="6:6" x14ac:dyDescent="0.3">
      <c r="F47934" s="193"/>
    </row>
    <row r="47935" spans="6:6" x14ac:dyDescent="0.3">
      <c r="F47935" s="193"/>
    </row>
    <row r="47936" spans="6:6" x14ac:dyDescent="0.3">
      <c r="F47936" s="193"/>
    </row>
    <row r="47937" spans="6:6" x14ac:dyDescent="0.3">
      <c r="F47937" s="193"/>
    </row>
    <row r="47938" spans="6:6" x14ac:dyDescent="0.3">
      <c r="F47938" s="193"/>
    </row>
    <row r="47939" spans="6:6" x14ac:dyDescent="0.3">
      <c r="F47939" s="193"/>
    </row>
    <row r="47940" spans="6:6" x14ac:dyDescent="0.3">
      <c r="F47940" s="193"/>
    </row>
    <row r="47941" spans="6:6" x14ac:dyDescent="0.3">
      <c r="F47941" s="193"/>
    </row>
    <row r="47942" spans="6:6" x14ac:dyDescent="0.3">
      <c r="F47942" s="193"/>
    </row>
    <row r="47943" spans="6:6" x14ac:dyDescent="0.3">
      <c r="F47943" s="193"/>
    </row>
    <row r="47944" spans="6:6" x14ac:dyDescent="0.3">
      <c r="F47944" s="193"/>
    </row>
    <row r="47945" spans="6:6" x14ac:dyDescent="0.3">
      <c r="F47945" s="193"/>
    </row>
    <row r="47946" spans="6:6" x14ac:dyDescent="0.3">
      <c r="F47946" s="193"/>
    </row>
    <row r="47947" spans="6:6" x14ac:dyDescent="0.3">
      <c r="F47947" s="193"/>
    </row>
    <row r="47948" spans="6:6" x14ac:dyDescent="0.3">
      <c r="F47948" s="193"/>
    </row>
    <row r="47949" spans="6:6" x14ac:dyDescent="0.3">
      <c r="F47949" s="193"/>
    </row>
    <row r="47950" spans="6:6" x14ac:dyDescent="0.3">
      <c r="F47950" s="193"/>
    </row>
    <row r="47951" spans="6:6" x14ac:dyDescent="0.3">
      <c r="F47951" s="193"/>
    </row>
    <row r="47952" spans="6:6" x14ac:dyDescent="0.3">
      <c r="F47952" s="193"/>
    </row>
    <row r="47953" spans="6:6" x14ac:dyDescent="0.3">
      <c r="F47953" s="193"/>
    </row>
    <row r="47954" spans="6:6" x14ac:dyDescent="0.3">
      <c r="F47954" s="193"/>
    </row>
    <row r="47955" spans="6:6" x14ac:dyDescent="0.3">
      <c r="F47955" s="193"/>
    </row>
    <row r="47956" spans="6:6" x14ac:dyDescent="0.3">
      <c r="F47956" s="193"/>
    </row>
    <row r="47957" spans="6:6" x14ac:dyDescent="0.3">
      <c r="F47957" s="193"/>
    </row>
    <row r="47958" spans="6:6" x14ac:dyDescent="0.3">
      <c r="F47958" s="193"/>
    </row>
    <row r="47959" spans="6:6" x14ac:dyDescent="0.3">
      <c r="F47959" s="193"/>
    </row>
    <row r="47960" spans="6:6" x14ac:dyDescent="0.3">
      <c r="F47960" s="193"/>
    </row>
    <row r="47961" spans="6:6" x14ac:dyDescent="0.3">
      <c r="F47961" s="193"/>
    </row>
    <row r="47962" spans="6:6" x14ac:dyDescent="0.3">
      <c r="F47962" s="193"/>
    </row>
    <row r="47963" spans="6:6" x14ac:dyDescent="0.3">
      <c r="F47963" s="193"/>
    </row>
    <row r="47964" spans="6:6" x14ac:dyDescent="0.3">
      <c r="F47964" s="193"/>
    </row>
    <row r="47965" spans="6:6" x14ac:dyDescent="0.3">
      <c r="F47965" s="193"/>
    </row>
    <row r="47966" spans="6:6" x14ac:dyDescent="0.3">
      <c r="F47966" s="193"/>
    </row>
    <row r="47967" spans="6:6" x14ac:dyDescent="0.3">
      <c r="F47967" s="193"/>
    </row>
    <row r="47968" spans="6:6" x14ac:dyDescent="0.3">
      <c r="F47968" s="193"/>
    </row>
    <row r="47969" spans="6:6" x14ac:dyDescent="0.3">
      <c r="F47969" s="193"/>
    </row>
    <row r="47970" spans="6:6" x14ac:dyDescent="0.3">
      <c r="F47970" s="193"/>
    </row>
    <row r="47971" spans="6:6" x14ac:dyDescent="0.3">
      <c r="F47971" s="193"/>
    </row>
    <row r="47972" spans="6:6" x14ac:dyDescent="0.3">
      <c r="F47972" s="193"/>
    </row>
    <row r="47973" spans="6:6" x14ac:dyDescent="0.3">
      <c r="F47973" s="193"/>
    </row>
    <row r="47974" spans="6:6" x14ac:dyDescent="0.3">
      <c r="F47974" s="193"/>
    </row>
    <row r="47975" spans="6:6" x14ac:dyDescent="0.3">
      <c r="F47975" s="193"/>
    </row>
    <row r="47976" spans="6:6" x14ac:dyDescent="0.3">
      <c r="F47976" s="193"/>
    </row>
    <row r="47977" spans="6:6" x14ac:dyDescent="0.3">
      <c r="F47977" s="193"/>
    </row>
    <row r="47978" spans="6:6" x14ac:dyDescent="0.3">
      <c r="F47978" s="193"/>
    </row>
    <row r="47979" spans="6:6" x14ac:dyDescent="0.3">
      <c r="F47979" s="193"/>
    </row>
    <row r="47980" spans="6:6" x14ac:dyDescent="0.3">
      <c r="F47980" s="193"/>
    </row>
    <row r="47981" spans="6:6" x14ac:dyDescent="0.3">
      <c r="F47981" s="193"/>
    </row>
    <row r="47982" spans="6:6" x14ac:dyDescent="0.3">
      <c r="F47982" s="193"/>
    </row>
    <row r="47983" spans="6:6" x14ac:dyDescent="0.3">
      <c r="F47983" s="193"/>
    </row>
    <row r="47984" spans="6:6" x14ac:dyDescent="0.3">
      <c r="F47984" s="193"/>
    </row>
    <row r="47985" spans="6:6" x14ac:dyDescent="0.3">
      <c r="F47985" s="193"/>
    </row>
    <row r="47986" spans="6:6" x14ac:dyDescent="0.3">
      <c r="F47986" s="193"/>
    </row>
    <row r="47987" spans="6:6" x14ac:dyDescent="0.3">
      <c r="F47987" s="193"/>
    </row>
    <row r="47988" spans="6:6" x14ac:dyDescent="0.3">
      <c r="F47988" s="193"/>
    </row>
    <row r="47989" spans="6:6" x14ac:dyDescent="0.3">
      <c r="F47989" s="193"/>
    </row>
    <row r="47990" spans="6:6" x14ac:dyDescent="0.3">
      <c r="F47990" s="193"/>
    </row>
    <row r="47991" spans="6:6" x14ac:dyDescent="0.3">
      <c r="F47991" s="193"/>
    </row>
    <row r="47992" spans="6:6" x14ac:dyDescent="0.3">
      <c r="F47992" s="193"/>
    </row>
    <row r="47993" spans="6:6" x14ac:dyDescent="0.3">
      <c r="F47993" s="193"/>
    </row>
    <row r="47994" spans="6:6" x14ac:dyDescent="0.3">
      <c r="F47994" s="193"/>
    </row>
    <row r="47995" spans="6:6" x14ac:dyDescent="0.3">
      <c r="F47995" s="193"/>
    </row>
    <row r="47996" spans="6:6" x14ac:dyDescent="0.3">
      <c r="F47996" s="193"/>
    </row>
    <row r="47997" spans="6:6" x14ac:dyDescent="0.3">
      <c r="F47997" s="193"/>
    </row>
    <row r="47998" spans="6:6" x14ac:dyDescent="0.3">
      <c r="F47998" s="193"/>
    </row>
    <row r="47999" spans="6:6" x14ac:dyDescent="0.3">
      <c r="F47999" s="193"/>
    </row>
    <row r="48000" spans="6:6" x14ac:dyDescent="0.3">
      <c r="F48000" s="193"/>
    </row>
    <row r="48001" spans="6:6" x14ac:dyDescent="0.3">
      <c r="F48001" s="193"/>
    </row>
    <row r="48002" spans="6:6" x14ac:dyDescent="0.3">
      <c r="F48002" s="193"/>
    </row>
    <row r="48003" spans="6:6" x14ac:dyDescent="0.3">
      <c r="F48003" s="193"/>
    </row>
    <row r="48004" spans="6:6" x14ac:dyDescent="0.3">
      <c r="F48004" s="193"/>
    </row>
    <row r="48005" spans="6:6" x14ac:dyDescent="0.3">
      <c r="F48005" s="193"/>
    </row>
    <row r="48006" spans="6:6" x14ac:dyDescent="0.3">
      <c r="F48006" s="193"/>
    </row>
    <row r="48007" spans="6:6" x14ac:dyDescent="0.3">
      <c r="F48007" s="193"/>
    </row>
    <row r="48008" spans="6:6" x14ac:dyDescent="0.3">
      <c r="F48008" s="193"/>
    </row>
    <row r="48009" spans="6:6" x14ac:dyDescent="0.3">
      <c r="F48009" s="193"/>
    </row>
    <row r="48010" spans="6:6" x14ac:dyDescent="0.3">
      <c r="F48010" s="193"/>
    </row>
    <row r="48011" spans="6:6" x14ac:dyDescent="0.3">
      <c r="F48011" s="193"/>
    </row>
    <row r="48012" spans="6:6" x14ac:dyDescent="0.3">
      <c r="F48012" s="193"/>
    </row>
    <row r="48013" spans="6:6" x14ac:dyDescent="0.3">
      <c r="F48013" s="193"/>
    </row>
    <row r="48014" spans="6:6" x14ac:dyDescent="0.3">
      <c r="F48014" s="193"/>
    </row>
    <row r="48015" spans="6:6" x14ac:dyDescent="0.3">
      <c r="F48015" s="193"/>
    </row>
    <row r="48016" spans="6:6" x14ac:dyDescent="0.3">
      <c r="F48016" s="193"/>
    </row>
    <row r="48017" spans="6:6" x14ac:dyDescent="0.3">
      <c r="F48017" s="193"/>
    </row>
    <row r="48018" spans="6:6" x14ac:dyDescent="0.3">
      <c r="F48018" s="193"/>
    </row>
    <row r="48019" spans="6:6" x14ac:dyDescent="0.3">
      <c r="F48019" s="193"/>
    </row>
    <row r="48020" spans="6:6" x14ac:dyDescent="0.3">
      <c r="F48020" s="193"/>
    </row>
    <row r="48021" spans="6:6" x14ac:dyDescent="0.3">
      <c r="F48021" s="193"/>
    </row>
    <row r="48022" spans="6:6" x14ac:dyDescent="0.3">
      <c r="F48022" s="193"/>
    </row>
    <row r="48023" spans="6:6" x14ac:dyDescent="0.3">
      <c r="F48023" s="193"/>
    </row>
    <row r="48024" spans="6:6" x14ac:dyDescent="0.3">
      <c r="F48024" s="193"/>
    </row>
    <row r="48025" spans="6:6" x14ac:dyDescent="0.3">
      <c r="F48025" s="193"/>
    </row>
    <row r="48026" spans="6:6" x14ac:dyDescent="0.3">
      <c r="F48026" s="193"/>
    </row>
    <row r="48027" spans="6:6" x14ac:dyDescent="0.3">
      <c r="F48027" s="193"/>
    </row>
    <row r="48028" spans="6:6" x14ac:dyDescent="0.3">
      <c r="F48028" s="193"/>
    </row>
    <row r="48029" spans="6:6" x14ac:dyDescent="0.3">
      <c r="F48029" s="193"/>
    </row>
    <row r="48030" spans="6:6" x14ac:dyDescent="0.3">
      <c r="F48030" s="193"/>
    </row>
    <row r="48031" spans="6:6" x14ac:dyDescent="0.3">
      <c r="F48031" s="193"/>
    </row>
    <row r="48032" spans="6:6" x14ac:dyDescent="0.3">
      <c r="F48032" s="193"/>
    </row>
    <row r="48033" spans="6:6" x14ac:dyDescent="0.3">
      <c r="F48033" s="193"/>
    </row>
    <row r="48034" spans="6:6" x14ac:dyDescent="0.3">
      <c r="F48034" s="193"/>
    </row>
    <row r="48035" spans="6:6" x14ac:dyDescent="0.3">
      <c r="F48035" s="193"/>
    </row>
    <row r="48036" spans="6:6" x14ac:dyDescent="0.3">
      <c r="F48036" s="193"/>
    </row>
    <row r="48037" spans="6:6" x14ac:dyDescent="0.3">
      <c r="F48037" s="193"/>
    </row>
    <row r="48038" spans="6:6" x14ac:dyDescent="0.3">
      <c r="F48038" s="193"/>
    </row>
    <row r="48039" spans="6:6" x14ac:dyDescent="0.3">
      <c r="F48039" s="193"/>
    </row>
    <row r="48040" spans="6:6" x14ac:dyDescent="0.3">
      <c r="F48040" s="193"/>
    </row>
    <row r="48041" spans="6:6" x14ac:dyDescent="0.3">
      <c r="F48041" s="193"/>
    </row>
    <row r="48042" spans="6:6" x14ac:dyDescent="0.3">
      <c r="F48042" s="193"/>
    </row>
    <row r="48043" spans="6:6" x14ac:dyDescent="0.3">
      <c r="F48043" s="193"/>
    </row>
    <row r="48044" spans="6:6" x14ac:dyDescent="0.3">
      <c r="F48044" s="193"/>
    </row>
    <row r="48045" spans="6:6" x14ac:dyDescent="0.3">
      <c r="F48045" s="193"/>
    </row>
    <row r="48046" spans="6:6" x14ac:dyDescent="0.3">
      <c r="F48046" s="193"/>
    </row>
    <row r="48047" spans="6:6" x14ac:dyDescent="0.3">
      <c r="F48047" s="193"/>
    </row>
    <row r="48048" spans="6:6" x14ac:dyDescent="0.3">
      <c r="F48048" s="193"/>
    </row>
    <row r="48049" spans="6:6" x14ac:dyDescent="0.3">
      <c r="F48049" s="193"/>
    </row>
    <row r="48050" spans="6:6" x14ac:dyDescent="0.3">
      <c r="F48050" s="193"/>
    </row>
    <row r="48051" spans="6:6" x14ac:dyDescent="0.3">
      <c r="F48051" s="193"/>
    </row>
    <row r="48052" spans="6:6" x14ac:dyDescent="0.3">
      <c r="F48052" s="193"/>
    </row>
    <row r="48053" spans="6:6" x14ac:dyDescent="0.3">
      <c r="F48053" s="193"/>
    </row>
    <row r="48054" spans="6:6" x14ac:dyDescent="0.3">
      <c r="F48054" s="193"/>
    </row>
    <row r="48055" spans="6:6" x14ac:dyDescent="0.3">
      <c r="F48055" s="193"/>
    </row>
    <row r="48056" spans="6:6" x14ac:dyDescent="0.3">
      <c r="F48056" s="193"/>
    </row>
    <row r="48057" spans="6:6" x14ac:dyDescent="0.3">
      <c r="F48057" s="193"/>
    </row>
    <row r="48058" spans="6:6" x14ac:dyDescent="0.3">
      <c r="F48058" s="193"/>
    </row>
    <row r="48059" spans="6:6" x14ac:dyDescent="0.3">
      <c r="F48059" s="193"/>
    </row>
    <row r="48060" spans="6:6" x14ac:dyDescent="0.3">
      <c r="F48060" s="193"/>
    </row>
    <row r="48061" spans="6:6" x14ac:dyDescent="0.3">
      <c r="F48061" s="193"/>
    </row>
    <row r="48062" spans="6:6" x14ac:dyDescent="0.3">
      <c r="F48062" s="193"/>
    </row>
    <row r="48063" spans="6:6" x14ac:dyDescent="0.3">
      <c r="F48063" s="193"/>
    </row>
    <row r="48064" spans="6:6" x14ac:dyDescent="0.3">
      <c r="F48064" s="193"/>
    </row>
    <row r="48065" spans="6:6" x14ac:dyDescent="0.3">
      <c r="F48065" s="193"/>
    </row>
    <row r="48066" spans="6:6" x14ac:dyDescent="0.3">
      <c r="F48066" s="193"/>
    </row>
    <row r="48067" spans="6:6" x14ac:dyDescent="0.3">
      <c r="F48067" s="193"/>
    </row>
    <row r="48068" spans="6:6" x14ac:dyDescent="0.3">
      <c r="F48068" s="193"/>
    </row>
    <row r="48069" spans="6:6" x14ac:dyDescent="0.3">
      <c r="F48069" s="193"/>
    </row>
    <row r="48070" spans="6:6" x14ac:dyDescent="0.3">
      <c r="F48070" s="193"/>
    </row>
    <row r="48071" spans="6:6" x14ac:dyDescent="0.3">
      <c r="F48071" s="193"/>
    </row>
    <row r="48072" spans="6:6" x14ac:dyDescent="0.3">
      <c r="F48072" s="193"/>
    </row>
    <row r="48073" spans="6:6" x14ac:dyDescent="0.3">
      <c r="F48073" s="193"/>
    </row>
    <row r="48074" spans="6:6" x14ac:dyDescent="0.3">
      <c r="F48074" s="193"/>
    </row>
    <row r="48075" spans="6:6" x14ac:dyDescent="0.3">
      <c r="F48075" s="193"/>
    </row>
    <row r="48076" spans="6:6" x14ac:dyDescent="0.3">
      <c r="F48076" s="193"/>
    </row>
    <row r="48077" spans="6:6" x14ac:dyDescent="0.3">
      <c r="F48077" s="193"/>
    </row>
    <row r="48078" spans="6:6" x14ac:dyDescent="0.3">
      <c r="F48078" s="193"/>
    </row>
    <row r="48079" spans="6:6" x14ac:dyDescent="0.3">
      <c r="F48079" s="193"/>
    </row>
    <row r="48080" spans="6:6" x14ac:dyDescent="0.3">
      <c r="F48080" s="193"/>
    </row>
    <row r="48081" spans="6:6" x14ac:dyDescent="0.3">
      <c r="F48081" s="193"/>
    </row>
    <row r="48082" spans="6:6" x14ac:dyDescent="0.3">
      <c r="F48082" s="193"/>
    </row>
    <row r="48083" spans="6:6" x14ac:dyDescent="0.3">
      <c r="F48083" s="193"/>
    </row>
    <row r="48084" spans="6:6" x14ac:dyDescent="0.3">
      <c r="F48084" s="193"/>
    </row>
    <row r="48085" spans="6:6" x14ac:dyDescent="0.3">
      <c r="F48085" s="193"/>
    </row>
    <row r="48086" spans="6:6" x14ac:dyDescent="0.3">
      <c r="F48086" s="193"/>
    </row>
    <row r="48087" spans="6:6" x14ac:dyDescent="0.3">
      <c r="F48087" s="193"/>
    </row>
    <row r="48088" spans="6:6" x14ac:dyDescent="0.3">
      <c r="F48088" s="193"/>
    </row>
    <row r="48089" spans="6:6" x14ac:dyDescent="0.3">
      <c r="F48089" s="193"/>
    </row>
    <row r="48090" spans="6:6" x14ac:dyDescent="0.3">
      <c r="F48090" s="193"/>
    </row>
    <row r="48091" spans="6:6" x14ac:dyDescent="0.3">
      <c r="F48091" s="193"/>
    </row>
    <row r="48092" spans="6:6" x14ac:dyDescent="0.3">
      <c r="F48092" s="193"/>
    </row>
    <row r="48093" spans="6:6" x14ac:dyDescent="0.3">
      <c r="F48093" s="193"/>
    </row>
    <row r="48094" spans="6:6" x14ac:dyDescent="0.3">
      <c r="F48094" s="193"/>
    </row>
    <row r="48095" spans="6:6" x14ac:dyDescent="0.3">
      <c r="F48095" s="193"/>
    </row>
    <row r="48096" spans="6:6" x14ac:dyDescent="0.3">
      <c r="F48096" s="193"/>
    </row>
    <row r="48097" spans="6:6" x14ac:dyDescent="0.3">
      <c r="F48097" s="193"/>
    </row>
    <row r="48098" spans="6:6" x14ac:dyDescent="0.3">
      <c r="F48098" s="193"/>
    </row>
    <row r="48099" spans="6:6" x14ac:dyDescent="0.3">
      <c r="F48099" s="193"/>
    </row>
    <row r="48100" spans="6:6" x14ac:dyDescent="0.3">
      <c r="F48100" s="193"/>
    </row>
    <row r="48101" spans="6:6" x14ac:dyDescent="0.3">
      <c r="F48101" s="193"/>
    </row>
    <row r="48102" spans="6:6" x14ac:dyDescent="0.3">
      <c r="F48102" s="193"/>
    </row>
    <row r="48103" spans="6:6" x14ac:dyDescent="0.3">
      <c r="F48103" s="193"/>
    </row>
    <row r="48104" spans="6:6" x14ac:dyDescent="0.3">
      <c r="F48104" s="193"/>
    </row>
    <row r="48105" spans="6:6" x14ac:dyDescent="0.3">
      <c r="F48105" s="193"/>
    </row>
    <row r="48106" spans="6:6" x14ac:dyDescent="0.3">
      <c r="F48106" s="193"/>
    </row>
    <row r="48107" spans="6:6" x14ac:dyDescent="0.3">
      <c r="F48107" s="193"/>
    </row>
    <row r="48108" spans="6:6" x14ac:dyDescent="0.3">
      <c r="F48108" s="193"/>
    </row>
    <row r="48109" spans="6:6" x14ac:dyDescent="0.3">
      <c r="F48109" s="193"/>
    </row>
    <row r="48110" spans="6:6" x14ac:dyDescent="0.3">
      <c r="F48110" s="193"/>
    </row>
    <row r="48111" spans="6:6" x14ac:dyDescent="0.3">
      <c r="F48111" s="193"/>
    </row>
    <row r="48112" spans="6:6" x14ac:dyDescent="0.3">
      <c r="F48112" s="193"/>
    </row>
    <row r="48113" spans="6:6" x14ac:dyDescent="0.3">
      <c r="F48113" s="193"/>
    </row>
    <row r="48114" spans="6:6" x14ac:dyDescent="0.3">
      <c r="F48114" s="193"/>
    </row>
    <row r="48115" spans="6:6" x14ac:dyDescent="0.3">
      <c r="F48115" s="193"/>
    </row>
    <row r="48116" spans="6:6" x14ac:dyDescent="0.3">
      <c r="F48116" s="193"/>
    </row>
    <row r="48117" spans="6:6" x14ac:dyDescent="0.3">
      <c r="F48117" s="193"/>
    </row>
    <row r="48118" spans="6:6" x14ac:dyDescent="0.3">
      <c r="F48118" s="193"/>
    </row>
    <row r="48119" spans="6:6" x14ac:dyDescent="0.3">
      <c r="F48119" s="193"/>
    </row>
    <row r="48120" spans="6:6" x14ac:dyDescent="0.3">
      <c r="F48120" s="193"/>
    </row>
    <row r="48121" spans="6:6" x14ac:dyDescent="0.3">
      <c r="F48121" s="193"/>
    </row>
    <row r="48122" spans="6:6" x14ac:dyDescent="0.3">
      <c r="F48122" s="193"/>
    </row>
    <row r="48123" spans="6:6" x14ac:dyDescent="0.3">
      <c r="F48123" s="193"/>
    </row>
    <row r="48124" spans="6:6" x14ac:dyDescent="0.3">
      <c r="F48124" s="193"/>
    </row>
    <row r="48125" spans="6:6" x14ac:dyDescent="0.3">
      <c r="F48125" s="193"/>
    </row>
    <row r="48126" spans="6:6" x14ac:dyDescent="0.3">
      <c r="F48126" s="193"/>
    </row>
    <row r="48127" spans="6:6" x14ac:dyDescent="0.3">
      <c r="F48127" s="193"/>
    </row>
    <row r="48128" spans="6:6" x14ac:dyDescent="0.3">
      <c r="F48128" s="193"/>
    </row>
    <row r="48129" spans="6:6" x14ac:dyDescent="0.3">
      <c r="F48129" s="193"/>
    </row>
    <row r="48130" spans="6:6" x14ac:dyDescent="0.3">
      <c r="F48130" s="193"/>
    </row>
    <row r="48131" spans="6:6" x14ac:dyDescent="0.3">
      <c r="F48131" s="193"/>
    </row>
    <row r="48132" spans="6:6" x14ac:dyDescent="0.3">
      <c r="F48132" s="193"/>
    </row>
    <row r="48133" spans="6:6" x14ac:dyDescent="0.3">
      <c r="F48133" s="193"/>
    </row>
    <row r="48134" spans="6:6" x14ac:dyDescent="0.3">
      <c r="F48134" s="193"/>
    </row>
    <row r="48135" spans="6:6" x14ac:dyDescent="0.3">
      <c r="F48135" s="193"/>
    </row>
    <row r="48136" spans="6:6" x14ac:dyDescent="0.3">
      <c r="F48136" s="193"/>
    </row>
    <row r="48137" spans="6:6" x14ac:dyDescent="0.3">
      <c r="F48137" s="193"/>
    </row>
    <row r="48138" spans="6:6" x14ac:dyDescent="0.3">
      <c r="F48138" s="193"/>
    </row>
    <row r="48139" spans="6:6" x14ac:dyDescent="0.3">
      <c r="F48139" s="193"/>
    </row>
    <row r="48140" spans="6:6" x14ac:dyDescent="0.3">
      <c r="F48140" s="193"/>
    </row>
    <row r="48141" spans="6:6" x14ac:dyDescent="0.3">
      <c r="F48141" s="193"/>
    </row>
    <row r="48142" spans="6:6" x14ac:dyDescent="0.3">
      <c r="F48142" s="193"/>
    </row>
    <row r="48143" spans="6:6" x14ac:dyDescent="0.3">
      <c r="F48143" s="193"/>
    </row>
    <row r="48144" spans="6:6" x14ac:dyDescent="0.3">
      <c r="F48144" s="193"/>
    </row>
    <row r="48145" spans="6:6" x14ac:dyDescent="0.3">
      <c r="F48145" s="193"/>
    </row>
    <row r="48146" spans="6:6" x14ac:dyDescent="0.3">
      <c r="F48146" s="193"/>
    </row>
    <row r="48147" spans="6:6" x14ac:dyDescent="0.3">
      <c r="F48147" s="193"/>
    </row>
    <row r="48148" spans="6:6" x14ac:dyDescent="0.3">
      <c r="F48148" s="193"/>
    </row>
    <row r="48149" spans="6:6" x14ac:dyDescent="0.3">
      <c r="F48149" s="193"/>
    </row>
    <row r="48150" spans="6:6" x14ac:dyDescent="0.3">
      <c r="F48150" s="193"/>
    </row>
    <row r="48151" spans="6:6" x14ac:dyDescent="0.3">
      <c r="F48151" s="193"/>
    </row>
    <row r="48152" spans="6:6" x14ac:dyDescent="0.3">
      <c r="F48152" s="193"/>
    </row>
    <row r="48153" spans="6:6" x14ac:dyDescent="0.3">
      <c r="F48153" s="193"/>
    </row>
    <row r="48154" spans="6:6" x14ac:dyDescent="0.3">
      <c r="F48154" s="193"/>
    </row>
    <row r="48155" spans="6:6" x14ac:dyDescent="0.3">
      <c r="F48155" s="193"/>
    </row>
    <row r="48156" spans="6:6" x14ac:dyDescent="0.3">
      <c r="F48156" s="193"/>
    </row>
    <row r="48157" spans="6:6" x14ac:dyDescent="0.3">
      <c r="F48157" s="193"/>
    </row>
    <row r="48158" spans="6:6" x14ac:dyDescent="0.3">
      <c r="F48158" s="193"/>
    </row>
    <row r="48159" spans="6:6" x14ac:dyDescent="0.3">
      <c r="F48159" s="193"/>
    </row>
    <row r="48160" spans="6:6" x14ac:dyDescent="0.3">
      <c r="F48160" s="193"/>
    </row>
    <row r="48161" spans="6:6" x14ac:dyDescent="0.3">
      <c r="F48161" s="193"/>
    </row>
    <row r="48162" spans="6:6" x14ac:dyDescent="0.3">
      <c r="F48162" s="193"/>
    </row>
    <row r="48163" spans="6:6" x14ac:dyDescent="0.3">
      <c r="F48163" s="193"/>
    </row>
    <row r="48164" spans="6:6" x14ac:dyDescent="0.3">
      <c r="F48164" s="193"/>
    </row>
    <row r="48165" spans="6:6" x14ac:dyDescent="0.3">
      <c r="F48165" s="193"/>
    </row>
    <row r="48166" spans="6:6" x14ac:dyDescent="0.3">
      <c r="F48166" s="193"/>
    </row>
    <row r="48167" spans="6:6" x14ac:dyDescent="0.3">
      <c r="F48167" s="193"/>
    </row>
    <row r="48168" spans="6:6" x14ac:dyDescent="0.3">
      <c r="F48168" s="193"/>
    </row>
    <row r="48169" spans="6:6" x14ac:dyDescent="0.3">
      <c r="F48169" s="193"/>
    </row>
    <row r="48170" spans="6:6" x14ac:dyDescent="0.3">
      <c r="F48170" s="193"/>
    </row>
    <row r="48171" spans="6:6" x14ac:dyDescent="0.3">
      <c r="F48171" s="193"/>
    </row>
    <row r="48172" spans="6:6" x14ac:dyDescent="0.3">
      <c r="F48172" s="193"/>
    </row>
    <row r="48173" spans="6:6" x14ac:dyDescent="0.3">
      <c r="F48173" s="193"/>
    </row>
    <row r="48174" spans="6:6" x14ac:dyDescent="0.3">
      <c r="F48174" s="193"/>
    </row>
    <row r="48175" spans="6:6" x14ac:dyDescent="0.3">
      <c r="F48175" s="193"/>
    </row>
    <row r="48176" spans="6:6" x14ac:dyDescent="0.3">
      <c r="F48176" s="193"/>
    </row>
    <row r="48177" spans="6:6" x14ac:dyDescent="0.3">
      <c r="F48177" s="193"/>
    </row>
    <row r="48178" spans="6:6" x14ac:dyDescent="0.3">
      <c r="F48178" s="193"/>
    </row>
    <row r="48179" spans="6:6" x14ac:dyDescent="0.3">
      <c r="F48179" s="193"/>
    </row>
    <row r="48180" spans="6:6" x14ac:dyDescent="0.3">
      <c r="F48180" s="193"/>
    </row>
    <row r="48181" spans="6:6" x14ac:dyDescent="0.3">
      <c r="F48181" s="193"/>
    </row>
    <row r="48182" spans="6:6" x14ac:dyDescent="0.3">
      <c r="F48182" s="193"/>
    </row>
    <row r="48183" spans="6:6" x14ac:dyDescent="0.3">
      <c r="F48183" s="193"/>
    </row>
    <row r="48184" spans="6:6" x14ac:dyDescent="0.3">
      <c r="F48184" s="193"/>
    </row>
    <row r="48185" spans="6:6" x14ac:dyDescent="0.3">
      <c r="F48185" s="193"/>
    </row>
    <row r="48186" spans="6:6" x14ac:dyDescent="0.3">
      <c r="F48186" s="193"/>
    </row>
    <row r="48187" spans="6:6" x14ac:dyDescent="0.3">
      <c r="F48187" s="193"/>
    </row>
    <row r="48188" spans="6:6" x14ac:dyDescent="0.3">
      <c r="F48188" s="193"/>
    </row>
    <row r="48189" spans="6:6" x14ac:dyDescent="0.3">
      <c r="F48189" s="193"/>
    </row>
    <row r="48190" spans="6:6" x14ac:dyDescent="0.3">
      <c r="F48190" s="193"/>
    </row>
    <row r="48191" spans="6:6" x14ac:dyDescent="0.3">
      <c r="F48191" s="193"/>
    </row>
    <row r="48192" spans="6:6" x14ac:dyDescent="0.3">
      <c r="F48192" s="193"/>
    </row>
    <row r="48193" spans="6:6" x14ac:dyDescent="0.3">
      <c r="F48193" s="193"/>
    </row>
    <row r="48194" spans="6:6" x14ac:dyDescent="0.3">
      <c r="F48194" s="193"/>
    </row>
    <row r="48195" spans="6:6" x14ac:dyDescent="0.3">
      <c r="F48195" s="193"/>
    </row>
    <row r="48196" spans="6:6" x14ac:dyDescent="0.3">
      <c r="F48196" s="193"/>
    </row>
    <row r="48197" spans="6:6" x14ac:dyDescent="0.3">
      <c r="F48197" s="193"/>
    </row>
    <row r="48198" spans="6:6" x14ac:dyDescent="0.3">
      <c r="F48198" s="193"/>
    </row>
    <row r="48199" spans="6:6" x14ac:dyDescent="0.3">
      <c r="F48199" s="193"/>
    </row>
    <row r="48200" spans="6:6" x14ac:dyDescent="0.3">
      <c r="F48200" s="193"/>
    </row>
    <row r="48201" spans="6:6" x14ac:dyDescent="0.3">
      <c r="F48201" s="193"/>
    </row>
    <row r="48202" spans="6:6" x14ac:dyDescent="0.3">
      <c r="F48202" s="193"/>
    </row>
    <row r="48203" spans="6:6" x14ac:dyDescent="0.3">
      <c r="F48203" s="193"/>
    </row>
    <row r="48204" spans="6:6" x14ac:dyDescent="0.3">
      <c r="F48204" s="193"/>
    </row>
    <row r="48205" spans="6:6" x14ac:dyDescent="0.3">
      <c r="F48205" s="193"/>
    </row>
    <row r="48206" spans="6:6" x14ac:dyDescent="0.3">
      <c r="F48206" s="193"/>
    </row>
    <row r="48207" spans="6:6" x14ac:dyDescent="0.3">
      <c r="F48207" s="193"/>
    </row>
    <row r="48208" spans="6:6" x14ac:dyDescent="0.3">
      <c r="F48208" s="193"/>
    </row>
    <row r="48209" spans="6:6" x14ac:dyDescent="0.3">
      <c r="F48209" s="193"/>
    </row>
    <row r="48210" spans="6:6" x14ac:dyDescent="0.3">
      <c r="F48210" s="193"/>
    </row>
    <row r="48211" spans="6:6" x14ac:dyDescent="0.3">
      <c r="F48211" s="193"/>
    </row>
    <row r="48212" spans="6:6" x14ac:dyDescent="0.3">
      <c r="F48212" s="193"/>
    </row>
    <row r="48213" spans="6:6" x14ac:dyDescent="0.3">
      <c r="F48213" s="193"/>
    </row>
    <row r="48214" spans="6:6" x14ac:dyDescent="0.3">
      <c r="F48214" s="193"/>
    </row>
    <row r="48215" spans="6:6" x14ac:dyDescent="0.3">
      <c r="F48215" s="193"/>
    </row>
    <row r="48216" spans="6:6" x14ac:dyDescent="0.3">
      <c r="F48216" s="193"/>
    </row>
    <row r="48217" spans="6:6" x14ac:dyDescent="0.3">
      <c r="F48217" s="193"/>
    </row>
    <row r="48218" spans="6:6" x14ac:dyDescent="0.3">
      <c r="F48218" s="193"/>
    </row>
    <row r="48219" spans="6:6" x14ac:dyDescent="0.3">
      <c r="F48219" s="193"/>
    </row>
    <row r="48220" spans="6:6" x14ac:dyDescent="0.3">
      <c r="F48220" s="193"/>
    </row>
    <row r="48221" spans="6:6" x14ac:dyDescent="0.3">
      <c r="F48221" s="193"/>
    </row>
    <row r="48222" spans="6:6" x14ac:dyDescent="0.3">
      <c r="F48222" s="193"/>
    </row>
    <row r="48223" spans="6:6" x14ac:dyDescent="0.3">
      <c r="F48223" s="193"/>
    </row>
    <row r="48224" spans="6:6" x14ac:dyDescent="0.3">
      <c r="F48224" s="193"/>
    </row>
    <row r="48225" spans="6:6" x14ac:dyDescent="0.3">
      <c r="F48225" s="193"/>
    </row>
    <row r="48226" spans="6:6" x14ac:dyDescent="0.3">
      <c r="F48226" s="193"/>
    </row>
    <row r="48227" spans="6:6" x14ac:dyDescent="0.3">
      <c r="F48227" s="193"/>
    </row>
    <row r="48228" spans="6:6" x14ac:dyDescent="0.3">
      <c r="F48228" s="193"/>
    </row>
    <row r="48229" spans="6:6" x14ac:dyDescent="0.3">
      <c r="F48229" s="193"/>
    </row>
    <row r="48230" spans="6:6" x14ac:dyDescent="0.3">
      <c r="F48230" s="193"/>
    </row>
    <row r="48231" spans="6:6" x14ac:dyDescent="0.3">
      <c r="F48231" s="193"/>
    </row>
    <row r="48232" spans="6:6" x14ac:dyDescent="0.3">
      <c r="F48232" s="193"/>
    </row>
    <row r="48233" spans="6:6" x14ac:dyDescent="0.3">
      <c r="F48233" s="193"/>
    </row>
    <row r="48234" spans="6:6" x14ac:dyDescent="0.3">
      <c r="F48234" s="193"/>
    </row>
    <row r="48235" spans="6:6" x14ac:dyDescent="0.3">
      <c r="F48235" s="193"/>
    </row>
    <row r="48236" spans="6:6" x14ac:dyDescent="0.3">
      <c r="F48236" s="193"/>
    </row>
    <row r="48237" spans="6:6" x14ac:dyDescent="0.3">
      <c r="F48237" s="193"/>
    </row>
    <row r="48238" spans="6:6" x14ac:dyDescent="0.3">
      <c r="F48238" s="193"/>
    </row>
    <row r="48239" spans="6:6" x14ac:dyDescent="0.3">
      <c r="F48239" s="193"/>
    </row>
    <row r="48240" spans="6:6" x14ac:dyDescent="0.3">
      <c r="F48240" s="193"/>
    </row>
    <row r="48241" spans="6:6" x14ac:dyDescent="0.3">
      <c r="F48241" s="193"/>
    </row>
    <row r="48242" spans="6:6" x14ac:dyDescent="0.3">
      <c r="F48242" s="193"/>
    </row>
    <row r="48243" spans="6:6" x14ac:dyDescent="0.3">
      <c r="F48243" s="193"/>
    </row>
    <row r="48244" spans="6:6" x14ac:dyDescent="0.3">
      <c r="F48244" s="193"/>
    </row>
    <row r="48245" spans="6:6" x14ac:dyDescent="0.3">
      <c r="F48245" s="193"/>
    </row>
    <row r="48246" spans="6:6" x14ac:dyDescent="0.3">
      <c r="F48246" s="193"/>
    </row>
    <row r="48247" spans="6:6" x14ac:dyDescent="0.3">
      <c r="F48247" s="193"/>
    </row>
    <row r="48248" spans="6:6" x14ac:dyDescent="0.3">
      <c r="F48248" s="193"/>
    </row>
    <row r="48249" spans="6:6" x14ac:dyDescent="0.3">
      <c r="F48249" s="193"/>
    </row>
    <row r="48250" spans="6:6" x14ac:dyDescent="0.3">
      <c r="F48250" s="193"/>
    </row>
    <row r="48251" spans="6:6" x14ac:dyDescent="0.3">
      <c r="F48251" s="193"/>
    </row>
    <row r="48252" spans="6:6" x14ac:dyDescent="0.3">
      <c r="F48252" s="193"/>
    </row>
    <row r="48253" spans="6:6" x14ac:dyDescent="0.3">
      <c r="F48253" s="193"/>
    </row>
    <row r="48254" spans="6:6" x14ac:dyDescent="0.3">
      <c r="F48254" s="193"/>
    </row>
    <row r="48255" spans="6:6" x14ac:dyDescent="0.3">
      <c r="F48255" s="193"/>
    </row>
    <row r="48256" spans="6:6" x14ac:dyDescent="0.3">
      <c r="F48256" s="193"/>
    </row>
    <row r="48257" spans="6:6" x14ac:dyDescent="0.3">
      <c r="F48257" s="193"/>
    </row>
    <row r="48258" spans="6:6" x14ac:dyDescent="0.3">
      <c r="F48258" s="193"/>
    </row>
    <row r="48259" spans="6:6" x14ac:dyDescent="0.3">
      <c r="F48259" s="193"/>
    </row>
    <row r="48260" spans="6:6" x14ac:dyDescent="0.3">
      <c r="F48260" s="193"/>
    </row>
    <row r="48261" spans="6:6" x14ac:dyDescent="0.3">
      <c r="F48261" s="193"/>
    </row>
    <row r="48262" spans="6:6" x14ac:dyDescent="0.3">
      <c r="F48262" s="193"/>
    </row>
    <row r="48263" spans="6:6" x14ac:dyDescent="0.3">
      <c r="F48263" s="193"/>
    </row>
    <row r="48264" spans="6:6" x14ac:dyDescent="0.3">
      <c r="F48264" s="193"/>
    </row>
    <row r="48265" spans="6:6" x14ac:dyDescent="0.3">
      <c r="F48265" s="193"/>
    </row>
    <row r="48266" spans="6:6" x14ac:dyDescent="0.3">
      <c r="F48266" s="193"/>
    </row>
    <row r="48267" spans="6:6" x14ac:dyDescent="0.3">
      <c r="F48267" s="193"/>
    </row>
    <row r="48268" spans="6:6" x14ac:dyDescent="0.3">
      <c r="F48268" s="193"/>
    </row>
    <row r="48269" spans="6:6" x14ac:dyDescent="0.3">
      <c r="F48269" s="193"/>
    </row>
    <row r="48270" spans="6:6" x14ac:dyDescent="0.3">
      <c r="F48270" s="193"/>
    </row>
    <row r="48271" spans="6:6" x14ac:dyDescent="0.3">
      <c r="F48271" s="193"/>
    </row>
    <row r="48272" spans="6:6" x14ac:dyDescent="0.3">
      <c r="F48272" s="193"/>
    </row>
    <row r="48273" spans="6:6" x14ac:dyDescent="0.3">
      <c r="F48273" s="193"/>
    </row>
    <row r="48274" spans="6:6" x14ac:dyDescent="0.3">
      <c r="F48274" s="193"/>
    </row>
    <row r="48275" spans="6:6" x14ac:dyDescent="0.3">
      <c r="F48275" s="193"/>
    </row>
    <row r="48276" spans="6:6" x14ac:dyDescent="0.3">
      <c r="F48276" s="193"/>
    </row>
    <row r="48277" spans="6:6" x14ac:dyDescent="0.3">
      <c r="F48277" s="193"/>
    </row>
    <row r="48278" spans="6:6" x14ac:dyDescent="0.3">
      <c r="F48278" s="193"/>
    </row>
    <row r="48279" spans="6:6" x14ac:dyDescent="0.3">
      <c r="F48279" s="193"/>
    </row>
    <row r="48280" spans="6:6" x14ac:dyDescent="0.3">
      <c r="F48280" s="193"/>
    </row>
    <row r="48281" spans="6:6" x14ac:dyDescent="0.3">
      <c r="F48281" s="193"/>
    </row>
    <row r="48282" spans="6:6" x14ac:dyDescent="0.3">
      <c r="F48282" s="193"/>
    </row>
    <row r="48283" spans="6:6" x14ac:dyDescent="0.3">
      <c r="F48283" s="193"/>
    </row>
    <row r="48284" spans="6:6" x14ac:dyDescent="0.3">
      <c r="F48284" s="193"/>
    </row>
    <row r="48285" spans="6:6" x14ac:dyDescent="0.3">
      <c r="F48285" s="193"/>
    </row>
    <row r="48286" spans="6:6" x14ac:dyDescent="0.3">
      <c r="F48286" s="193"/>
    </row>
    <row r="48287" spans="6:6" x14ac:dyDescent="0.3">
      <c r="F48287" s="193"/>
    </row>
    <row r="48288" spans="6:6" x14ac:dyDescent="0.3">
      <c r="F48288" s="193"/>
    </row>
    <row r="48289" spans="6:6" x14ac:dyDescent="0.3">
      <c r="F48289" s="193"/>
    </row>
    <row r="48290" spans="6:6" x14ac:dyDescent="0.3">
      <c r="F48290" s="193"/>
    </row>
    <row r="48291" spans="6:6" x14ac:dyDescent="0.3">
      <c r="F48291" s="193"/>
    </row>
    <row r="48292" spans="6:6" x14ac:dyDescent="0.3">
      <c r="F48292" s="193"/>
    </row>
    <row r="48293" spans="6:6" x14ac:dyDescent="0.3">
      <c r="F48293" s="193"/>
    </row>
    <row r="48294" spans="6:6" x14ac:dyDescent="0.3">
      <c r="F48294" s="193"/>
    </row>
    <row r="48295" spans="6:6" x14ac:dyDescent="0.3">
      <c r="F48295" s="193"/>
    </row>
    <row r="48296" spans="6:6" x14ac:dyDescent="0.3">
      <c r="F48296" s="193"/>
    </row>
    <row r="48297" spans="6:6" x14ac:dyDescent="0.3">
      <c r="F48297" s="193"/>
    </row>
    <row r="48298" spans="6:6" x14ac:dyDescent="0.3">
      <c r="F48298" s="193"/>
    </row>
    <row r="48299" spans="6:6" x14ac:dyDescent="0.3">
      <c r="F48299" s="193"/>
    </row>
    <row r="48300" spans="6:6" x14ac:dyDescent="0.3">
      <c r="F48300" s="193"/>
    </row>
    <row r="48301" spans="6:6" x14ac:dyDescent="0.3">
      <c r="F48301" s="193"/>
    </row>
    <row r="48302" spans="6:6" x14ac:dyDescent="0.3">
      <c r="F48302" s="193"/>
    </row>
    <row r="48303" spans="6:6" x14ac:dyDescent="0.3">
      <c r="F48303" s="193"/>
    </row>
    <row r="48304" spans="6:6" x14ac:dyDescent="0.3">
      <c r="F48304" s="193"/>
    </row>
    <row r="48305" spans="6:6" x14ac:dyDescent="0.3">
      <c r="F48305" s="193"/>
    </row>
    <row r="48306" spans="6:6" x14ac:dyDescent="0.3">
      <c r="F48306" s="193"/>
    </row>
    <row r="48307" spans="6:6" x14ac:dyDescent="0.3">
      <c r="F48307" s="193"/>
    </row>
    <row r="48308" spans="6:6" x14ac:dyDescent="0.3">
      <c r="F48308" s="193"/>
    </row>
    <row r="48309" spans="6:6" x14ac:dyDescent="0.3">
      <c r="F48309" s="193"/>
    </row>
    <row r="48310" spans="6:6" x14ac:dyDescent="0.3">
      <c r="F48310" s="193"/>
    </row>
    <row r="48311" spans="6:6" x14ac:dyDescent="0.3">
      <c r="F48311" s="193"/>
    </row>
    <row r="48312" spans="6:6" x14ac:dyDescent="0.3">
      <c r="F48312" s="193"/>
    </row>
    <row r="48313" spans="6:6" x14ac:dyDescent="0.3">
      <c r="F48313" s="193"/>
    </row>
    <row r="48314" spans="6:6" x14ac:dyDescent="0.3">
      <c r="F48314" s="193"/>
    </row>
    <row r="48315" spans="6:6" x14ac:dyDescent="0.3">
      <c r="F48315" s="193"/>
    </row>
    <row r="48316" spans="6:6" x14ac:dyDescent="0.3">
      <c r="F48316" s="193"/>
    </row>
    <row r="48317" spans="6:6" x14ac:dyDescent="0.3">
      <c r="F48317" s="193"/>
    </row>
    <row r="48318" spans="6:6" x14ac:dyDescent="0.3">
      <c r="F48318" s="193"/>
    </row>
    <row r="48319" spans="6:6" x14ac:dyDescent="0.3">
      <c r="F48319" s="193"/>
    </row>
    <row r="48320" spans="6:6" x14ac:dyDescent="0.3">
      <c r="F48320" s="193"/>
    </row>
    <row r="48321" spans="6:6" x14ac:dyDescent="0.3">
      <c r="F48321" s="193"/>
    </row>
    <row r="48322" spans="6:6" x14ac:dyDescent="0.3">
      <c r="F48322" s="193"/>
    </row>
    <row r="48323" spans="6:6" x14ac:dyDescent="0.3">
      <c r="F48323" s="193"/>
    </row>
    <row r="48324" spans="6:6" x14ac:dyDescent="0.3">
      <c r="F48324" s="193"/>
    </row>
    <row r="48325" spans="6:6" x14ac:dyDescent="0.3">
      <c r="F48325" s="193"/>
    </row>
    <row r="48326" spans="6:6" x14ac:dyDescent="0.3">
      <c r="F48326" s="193"/>
    </row>
    <row r="48327" spans="6:6" x14ac:dyDescent="0.3">
      <c r="F48327" s="193"/>
    </row>
    <row r="48328" spans="6:6" x14ac:dyDescent="0.3">
      <c r="F48328" s="193"/>
    </row>
    <row r="48329" spans="6:6" x14ac:dyDescent="0.3">
      <c r="F48329" s="193"/>
    </row>
    <row r="48330" spans="6:6" x14ac:dyDescent="0.3">
      <c r="F48330" s="193"/>
    </row>
    <row r="48331" spans="6:6" x14ac:dyDescent="0.3">
      <c r="F48331" s="193"/>
    </row>
    <row r="48332" spans="6:6" x14ac:dyDescent="0.3">
      <c r="F48332" s="193"/>
    </row>
    <row r="48333" spans="6:6" x14ac:dyDescent="0.3">
      <c r="F48333" s="193"/>
    </row>
    <row r="48334" spans="6:6" x14ac:dyDescent="0.3">
      <c r="F48334" s="193"/>
    </row>
    <row r="48335" spans="6:6" x14ac:dyDescent="0.3">
      <c r="F48335" s="193"/>
    </row>
    <row r="48336" spans="6:6" x14ac:dyDescent="0.3">
      <c r="F48336" s="193"/>
    </row>
    <row r="48337" spans="6:6" x14ac:dyDescent="0.3">
      <c r="F48337" s="193"/>
    </row>
    <row r="48338" spans="6:6" x14ac:dyDescent="0.3">
      <c r="F48338" s="193"/>
    </row>
    <row r="48339" spans="6:6" x14ac:dyDescent="0.3">
      <c r="F48339" s="193"/>
    </row>
    <row r="48340" spans="6:6" x14ac:dyDescent="0.3">
      <c r="F48340" s="193"/>
    </row>
    <row r="48341" spans="6:6" x14ac:dyDescent="0.3">
      <c r="F48341" s="193"/>
    </row>
    <row r="48342" spans="6:6" x14ac:dyDescent="0.3">
      <c r="F48342" s="193"/>
    </row>
    <row r="48343" spans="6:6" x14ac:dyDescent="0.3">
      <c r="F48343" s="193"/>
    </row>
    <row r="48344" spans="6:6" x14ac:dyDescent="0.3">
      <c r="F48344" s="193"/>
    </row>
    <row r="48345" spans="6:6" x14ac:dyDescent="0.3">
      <c r="F48345" s="193"/>
    </row>
    <row r="48346" spans="6:6" x14ac:dyDescent="0.3">
      <c r="F48346" s="193"/>
    </row>
    <row r="48347" spans="6:6" x14ac:dyDescent="0.3">
      <c r="F48347" s="193"/>
    </row>
    <row r="48348" spans="6:6" x14ac:dyDescent="0.3">
      <c r="F48348" s="193"/>
    </row>
    <row r="48349" spans="6:6" x14ac:dyDescent="0.3">
      <c r="F48349" s="193"/>
    </row>
    <row r="48350" spans="6:6" x14ac:dyDescent="0.3">
      <c r="F48350" s="193"/>
    </row>
    <row r="48351" spans="6:6" x14ac:dyDescent="0.3">
      <c r="F48351" s="193"/>
    </row>
    <row r="48352" spans="6:6" x14ac:dyDescent="0.3">
      <c r="F48352" s="193"/>
    </row>
    <row r="48353" spans="6:6" x14ac:dyDescent="0.3">
      <c r="F48353" s="193"/>
    </row>
    <row r="48354" spans="6:6" x14ac:dyDescent="0.3">
      <c r="F48354" s="193"/>
    </row>
    <row r="48355" spans="6:6" x14ac:dyDescent="0.3">
      <c r="F48355" s="193"/>
    </row>
    <row r="48356" spans="6:6" x14ac:dyDescent="0.3">
      <c r="F48356" s="193"/>
    </row>
    <row r="48357" spans="6:6" x14ac:dyDescent="0.3">
      <c r="F48357" s="193"/>
    </row>
    <row r="48358" spans="6:6" x14ac:dyDescent="0.3">
      <c r="F48358" s="193"/>
    </row>
    <row r="48359" spans="6:6" x14ac:dyDescent="0.3">
      <c r="F48359" s="193"/>
    </row>
    <row r="48360" spans="6:6" x14ac:dyDescent="0.3">
      <c r="F48360" s="193"/>
    </row>
    <row r="48361" spans="6:6" x14ac:dyDescent="0.3">
      <c r="F48361" s="193"/>
    </row>
    <row r="48362" spans="6:6" x14ac:dyDescent="0.3">
      <c r="F48362" s="193"/>
    </row>
    <row r="48363" spans="6:6" x14ac:dyDescent="0.3">
      <c r="F48363" s="193"/>
    </row>
    <row r="48364" spans="6:6" x14ac:dyDescent="0.3">
      <c r="F48364" s="193"/>
    </row>
    <row r="48365" spans="6:6" x14ac:dyDescent="0.3">
      <c r="F48365" s="193"/>
    </row>
    <row r="48366" spans="6:6" x14ac:dyDescent="0.3">
      <c r="F48366" s="193"/>
    </row>
    <row r="48367" spans="6:6" x14ac:dyDescent="0.3">
      <c r="F48367" s="193"/>
    </row>
    <row r="48368" spans="6:6" x14ac:dyDescent="0.3">
      <c r="F48368" s="193"/>
    </row>
    <row r="48369" spans="6:6" x14ac:dyDescent="0.3">
      <c r="F48369" s="193"/>
    </row>
    <row r="48370" spans="6:6" x14ac:dyDescent="0.3">
      <c r="F48370" s="193"/>
    </row>
    <row r="48371" spans="6:6" x14ac:dyDescent="0.3">
      <c r="F48371" s="193"/>
    </row>
    <row r="48372" spans="6:6" x14ac:dyDescent="0.3">
      <c r="F48372" s="193"/>
    </row>
    <row r="48373" spans="6:6" x14ac:dyDescent="0.3">
      <c r="F48373" s="193"/>
    </row>
    <row r="48374" spans="6:6" x14ac:dyDescent="0.3">
      <c r="F48374" s="193"/>
    </row>
    <row r="48375" spans="6:6" x14ac:dyDescent="0.3">
      <c r="F48375" s="193"/>
    </row>
    <row r="48376" spans="6:6" x14ac:dyDescent="0.3">
      <c r="F48376" s="193"/>
    </row>
    <row r="48377" spans="6:6" x14ac:dyDescent="0.3">
      <c r="F48377" s="193"/>
    </row>
    <row r="48378" spans="6:6" x14ac:dyDescent="0.3">
      <c r="F48378" s="193"/>
    </row>
    <row r="48379" spans="6:6" x14ac:dyDescent="0.3">
      <c r="F48379" s="193"/>
    </row>
    <row r="48380" spans="6:6" x14ac:dyDescent="0.3">
      <c r="F48380" s="193"/>
    </row>
    <row r="48381" spans="6:6" x14ac:dyDescent="0.3">
      <c r="F48381" s="193"/>
    </row>
    <row r="48382" spans="6:6" x14ac:dyDescent="0.3">
      <c r="F48382" s="193"/>
    </row>
    <row r="48383" spans="6:6" x14ac:dyDescent="0.3">
      <c r="F48383" s="193"/>
    </row>
    <row r="48384" spans="6:6" x14ac:dyDescent="0.3">
      <c r="F48384" s="193"/>
    </row>
    <row r="48385" spans="6:6" x14ac:dyDescent="0.3">
      <c r="F48385" s="193"/>
    </row>
    <row r="48386" spans="6:6" x14ac:dyDescent="0.3">
      <c r="F48386" s="193"/>
    </row>
    <row r="48387" spans="6:6" x14ac:dyDescent="0.3">
      <c r="F48387" s="193"/>
    </row>
    <row r="48388" spans="6:6" x14ac:dyDescent="0.3">
      <c r="F48388" s="193"/>
    </row>
    <row r="48389" spans="6:6" x14ac:dyDescent="0.3">
      <c r="F48389" s="193"/>
    </row>
    <row r="48390" spans="6:6" x14ac:dyDescent="0.3">
      <c r="F48390" s="193"/>
    </row>
    <row r="48391" spans="6:6" x14ac:dyDescent="0.3">
      <c r="F48391" s="193"/>
    </row>
    <row r="48392" spans="6:6" x14ac:dyDescent="0.3">
      <c r="F48392" s="193"/>
    </row>
    <row r="48393" spans="6:6" x14ac:dyDescent="0.3">
      <c r="F48393" s="193"/>
    </row>
    <row r="48394" spans="6:6" x14ac:dyDescent="0.3">
      <c r="F48394" s="193"/>
    </row>
    <row r="48395" spans="6:6" x14ac:dyDescent="0.3">
      <c r="F48395" s="193"/>
    </row>
    <row r="48396" spans="6:6" x14ac:dyDescent="0.3">
      <c r="F48396" s="193"/>
    </row>
    <row r="48397" spans="6:6" x14ac:dyDescent="0.3">
      <c r="F48397" s="193"/>
    </row>
    <row r="48398" spans="6:6" x14ac:dyDescent="0.3">
      <c r="F48398" s="193"/>
    </row>
    <row r="48399" spans="6:6" x14ac:dyDescent="0.3">
      <c r="F48399" s="193"/>
    </row>
    <row r="48400" spans="6:6" x14ac:dyDescent="0.3">
      <c r="F48400" s="193"/>
    </row>
    <row r="48401" spans="6:6" x14ac:dyDescent="0.3">
      <c r="F48401" s="193"/>
    </row>
    <row r="48402" spans="6:6" x14ac:dyDescent="0.3">
      <c r="F48402" s="193"/>
    </row>
    <row r="48403" spans="6:6" x14ac:dyDescent="0.3">
      <c r="F48403" s="193"/>
    </row>
    <row r="48404" spans="6:6" x14ac:dyDescent="0.3">
      <c r="F48404" s="193"/>
    </row>
    <row r="48405" spans="6:6" x14ac:dyDescent="0.3">
      <c r="F48405" s="193"/>
    </row>
    <row r="48406" spans="6:6" x14ac:dyDescent="0.3">
      <c r="F48406" s="193"/>
    </row>
    <row r="48407" spans="6:6" x14ac:dyDescent="0.3">
      <c r="F48407" s="193"/>
    </row>
    <row r="48408" spans="6:6" x14ac:dyDescent="0.3">
      <c r="F48408" s="193"/>
    </row>
    <row r="48409" spans="6:6" x14ac:dyDescent="0.3">
      <c r="F48409" s="193"/>
    </row>
    <row r="48410" spans="6:6" x14ac:dyDescent="0.3">
      <c r="F48410" s="193"/>
    </row>
    <row r="48411" spans="6:6" x14ac:dyDescent="0.3">
      <c r="F48411" s="193"/>
    </row>
    <row r="48412" spans="6:6" x14ac:dyDescent="0.3">
      <c r="F48412" s="193"/>
    </row>
    <row r="48413" spans="6:6" x14ac:dyDescent="0.3">
      <c r="F48413" s="193"/>
    </row>
    <row r="48414" spans="6:6" x14ac:dyDescent="0.3">
      <c r="F48414" s="193"/>
    </row>
    <row r="48415" spans="6:6" x14ac:dyDescent="0.3">
      <c r="F48415" s="193"/>
    </row>
    <row r="48416" spans="6:6" x14ac:dyDescent="0.3">
      <c r="F48416" s="193"/>
    </row>
    <row r="48417" spans="6:6" x14ac:dyDescent="0.3">
      <c r="F48417" s="193"/>
    </row>
    <row r="48418" spans="6:6" x14ac:dyDescent="0.3">
      <c r="F48418" s="193"/>
    </row>
    <row r="48419" spans="6:6" x14ac:dyDescent="0.3">
      <c r="F48419" s="193"/>
    </row>
    <row r="48420" spans="6:6" x14ac:dyDescent="0.3">
      <c r="F48420" s="193"/>
    </row>
    <row r="48421" spans="6:6" x14ac:dyDescent="0.3">
      <c r="F48421" s="193"/>
    </row>
    <row r="48422" spans="6:6" x14ac:dyDescent="0.3">
      <c r="F48422" s="193"/>
    </row>
    <row r="48423" spans="6:6" x14ac:dyDescent="0.3">
      <c r="F48423" s="193"/>
    </row>
    <row r="48424" spans="6:6" x14ac:dyDescent="0.3">
      <c r="F48424" s="193"/>
    </row>
    <row r="48425" spans="6:6" x14ac:dyDescent="0.3">
      <c r="F48425" s="193"/>
    </row>
    <row r="48426" spans="6:6" x14ac:dyDescent="0.3">
      <c r="F48426" s="193"/>
    </row>
    <row r="48427" spans="6:6" x14ac:dyDescent="0.3">
      <c r="F48427" s="193"/>
    </row>
    <row r="48428" spans="6:6" x14ac:dyDescent="0.3">
      <c r="F48428" s="193"/>
    </row>
    <row r="48429" spans="6:6" x14ac:dyDescent="0.3">
      <c r="F48429" s="193"/>
    </row>
    <row r="48430" spans="6:6" x14ac:dyDescent="0.3">
      <c r="F48430" s="193"/>
    </row>
    <row r="48431" spans="6:6" x14ac:dyDescent="0.3">
      <c r="F48431" s="193"/>
    </row>
    <row r="48432" spans="6:6" x14ac:dyDescent="0.3">
      <c r="F48432" s="193"/>
    </row>
    <row r="48433" spans="6:6" x14ac:dyDescent="0.3">
      <c r="F48433" s="193"/>
    </row>
    <row r="48434" spans="6:6" x14ac:dyDescent="0.3">
      <c r="F48434" s="193"/>
    </row>
    <row r="48435" spans="6:6" x14ac:dyDescent="0.3">
      <c r="F48435" s="193"/>
    </row>
    <row r="48436" spans="6:6" x14ac:dyDescent="0.3">
      <c r="F48436" s="193"/>
    </row>
    <row r="48437" spans="6:6" x14ac:dyDescent="0.3">
      <c r="F48437" s="193"/>
    </row>
    <row r="48438" spans="6:6" x14ac:dyDescent="0.3">
      <c r="F48438" s="193"/>
    </row>
    <row r="48439" spans="6:6" x14ac:dyDescent="0.3">
      <c r="F48439" s="193"/>
    </row>
    <row r="48440" spans="6:6" x14ac:dyDescent="0.3">
      <c r="F48440" s="193"/>
    </row>
    <row r="48441" spans="6:6" x14ac:dyDescent="0.3">
      <c r="F48441" s="193"/>
    </row>
    <row r="48442" spans="6:6" x14ac:dyDescent="0.3">
      <c r="F48442" s="193"/>
    </row>
    <row r="48443" spans="6:6" x14ac:dyDescent="0.3">
      <c r="F48443" s="193"/>
    </row>
    <row r="48444" spans="6:6" x14ac:dyDescent="0.3">
      <c r="F48444" s="193"/>
    </row>
    <row r="48445" spans="6:6" x14ac:dyDescent="0.3">
      <c r="F48445" s="193"/>
    </row>
    <row r="48446" spans="6:6" x14ac:dyDescent="0.3">
      <c r="F48446" s="193"/>
    </row>
    <row r="48447" spans="6:6" x14ac:dyDescent="0.3">
      <c r="F48447" s="193"/>
    </row>
    <row r="48448" spans="6:6" x14ac:dyDescent="0.3">
      <c r="F48448" s="193"/>
    </row>
    <row r="48449" spans="6:6" x14ac:dyDescent="0.3">
      <c r="F48449" s="193"/>
    </row>
    <row r="48450" spans="6:6" x14ac:dyDescent="0.3">
      <c r="F48450" s="193"/>
    </row>
    <row r="48451" spans="6:6" x14ac:dyDescent="0.3">
      <c r="F48451" s="193"/>
    </row>
    <row r="48452" spans="6:6" x14ac:dyDescent="0.3">
      <c r="F48452" s="193"/>
    </row>
    <row r="48453" spans="6:6" x14ac:dyDescent="0.3">
      <c r="F48453" s="193"/>
    </row>
    <row r="48454" spans="6:6" x14ac:dyDescent="0.3">
      <c r="F48454" s="193"/>
    </row>
    <row r="48455" spans="6:6" x14ac:dyDescent="0.3">
      <c r="F48455" s="193"/>
    </row>
    <row r="48456" spans="6:6" x14ac:dyDescent="0.3">
      <c r="F48456" s="193"/>
    </row>
    <row r="48457" spans="6:6" x14ac:dyDescent="0.3">
      <c r="F48457" s="193"/>
    </row>
    <row r="48458" spans="6:6" x14ac:dyDescent="0.3">
      <c r="F48458" s="193"/>
    </row>
    <row r="48459" spans="6:6" x14ac:dyDescent="0.3">
      <c r="F48459" s="193"/>
    </row>
    <row r="48460" spans="6:6" x14ac:dyDescent="0.3">
      <c r="F48460" s="193"/>
    </row>
    <row r="48461" spans="6:6" x14ac:dyDescent="0.3">
      <c r="F48461" s="193"/>
    </row>
    <row r="48462" spans="6:6" x14ac:dyDescent="0.3">
      <c r="F48462" s="193"/>
    </row>
    <row r="48463" spans="6:6" x14ac:dyDescent="0.3">
      <c r="F48463" s="193"/>
    </row>
    <row r="48464" spans="6:6" x14ac:dyDescent="0.3">
      <c r="F48464" s="193"/>
    </row>
    <row r="48465" spans="6:6" x14ac:dyDescent="0.3">
      <c r="F48465" s="193"/>
    </row>
    <row r="48466" spans="6:6" x14ac:dyDescent="0.3">
      <c r="F48466" s="193"/>
    </row>
    <row r="48467" spans="6:6" x14ac:dyDescent="0.3">
      <c r="F48467" s="193"/>
    </row>
    <row r="48468" spans="6:6" x14ac:dyDescent="0.3">
      <c r="F48468" s="193"/>
    </row>
    <row r="48469" spans="6:6" x14ac:dyDescent="0.3">
      <c r="F48469" s="193"/>
    </row>
    <row r="48470" spans="6:6" x14ac:dyDescent="0.3">
      <c r="F48470" s="193"/>
    </row>
    <row r="48471" spans="6:6" x14ac:dyDescent="0.3">
      <c r="F48471" s="193"/>
    </row>
    <row r="48472" spans="6:6" x14ac:dyDescent="0.3">
      <c r="F48472" s="193"/>
    </row>
    <row r="48473" spans="6:6" x14ac:dyDescent="0.3">
      <c r="F48473" s="193"/>
    </row>
    <row r="48474" spans="6:6" x14ac:dyDescent="0.3">
      <c r="F48474" s="193"/>
    </row>
    <row r="48475" spans="6:6" x14ac:dyDescent="0.3">
      <c r="F48475" s="193"/>
    </row>
    <row r="48476" spans="6:6" x14ac:dyDescent="0.3">
      <c r="F48476" s="193"/>
    </row>
    <row r="48477" spans="6:6" x14ac:dyDescent="0.3">
      <c r="F48477" s="193"/>
    </row>
    <row r="48478" spans="6:6" x14ac:dyDescent="0.3">
      <c r="F48478" s="193"/>
    </row>
    <row r="48479" spans="6:6" x14ac:dyDescent="0.3">
      <c r="F48479" s="193"/>
    </row>
    <row r="48480" spans="6:6" x14ac:dyDescent="0.3">
      <c r="F48480" s="193"/>
    </row>
    <row r="48481" spans="6:6" x14ac:dyDescent="0.3">
      <c r="F48481" s="193"/>
    </row>
    <row r="48482" spans="6:6" x14ac:dyDescent="0.3">
      <c r="F48482" s="193"/>
    </row>
    <row r="48483" spans="6:6" x14ac:dyDescent="0.3">
      <c r="F48483" s="193"/>
    </row>
    <row r="48484" spans="6:6" x14ac:dyDescent="0.3">
      <c r="F48484" s="193"/>
    </row>
    <row r="48485" spans="6:6" x14ac:dyDescent="0.3">
      <c r="F48485" s="193"/>
    </row>
    <row r="48486" spans="6:6" x14ac:dyDescent="0.3">
      <c r="F48486" s="193"/>
    </row>
    <row r="48487" spans="6:6" x14ac:dyDescent="0.3">
      <c r="F48487" s="193"/>
    </row>
    <row r="48488" spans="6:6" x14ac:dyDescent="0.3">
      <c r="F48488" s="193"/>
    </row>
    <row r="48489" spans="6:6" x14ac:dyDescent="0.3">
      <c r="F48489" s="193"/>
    </row>
    <row r="48490" spans="6:6" x14ac:dyDescent="0.3">
      <c r="F48490" s="193"/>
    </row>
    <row r="48491" spans="6:6" x14ac:dyDescent="0.3">
      <c r="F48491" s="193"/>
    </row>
    <row r="48492" spans="6:6" x14ac:dyDescent="0.3">
      <c r="F48492" s="193"/>
    </row>
    <row r="48493" spans="6:6" x14ac:dyDescent="0.3">
      <c r="F48493" s="193"/>
    </row>
    <row r="48494" spans="6:6" x14ac:dyDescent="0.3">
      <c r="F48494" s="193"/>
    </row>
    <row r="48495" spans="6:6" x14ac:dyDescent="0.3">
      <c r="F48495" s="193"/>
    </row>
    <row r="48496" spans="6:6" x14ac:dyDescent="0.3">
      <c r="F48496" s="193"/>
    </row>
    <row r="48497" spans="6:6" x14ac:dyDescent="0.3">
      <c r="F48497" s="193"/>
    </row>
    <row r="48498" spans="6:6" x14ac:dyDescent="0.3">
      <c r="F48498" s="193"/>
    </row>
    <row r="48499" spans="6:6" x14ac:dyDescent="0.3">
      <c r="F48499" s="193"/>
    </row>
    <row r="48500" spans="6:6" x14ac:dyDescent="0.3">
      <c r="F48500" s="193"/>
    </row>
    <row r="48501" spans="6:6" x14ac:dyDescent="0.3">
      <c r="F48501" s="193"/>
    </row>
    <row r="48502" spans="6:6" x14ac:dyDescent="0.3">
      <c r="F48502" s="193"/>
    </row>
    <row r="48503" spans="6:6" x14ac:dyDescent="0.3">
      <c r="F48503" s="193"/>
    </row>
    <row r="48504" spans="6:6" x14ac:dyDescent="0.3">
      <c r="F48504" s="193"/>
    </row>
    <row r="48505" spans="6:6" x14ac:dyDescent="0.3">
      <c r="F48505" s="193"/>
    </row>
    <row r="48506" spans="6:6" x14ac:dyDescent="0.3">
      <c r="F48506" s="193"/>
    </row>
    <row r="48507" spans="6:6" x14ac:dyDescent="0.3">
      <c r="F48507" s="193"/>
    </row>
    <row r="48508" spans="6:6" x14ac:dyDescent="0.3">
      <c r="F48508" s="193"/>
    </row>
    <row r="48509" spans="6:6" x14ac:dyDescent="0.3">
      <c r="F48509" s="193"/>
    </row>
    <row r="48510" spans="6:6" x14ac:dyDescent="0.3">
      <c r="F48510" s="193"/>
    </row>
    <row r="48511" spans="6:6" x14ac:dyDescent="0.3">
      <c r="F48511" s="193"/>
    </row>
    <row r="48512" spans="6:6" x14ac:dyDescent="0.3">
      <c r="F48512" s="193"/>
    </row>
    <row r="48513" spans="6:6" x14ac:dyDescent="0.3">
      <c r="F48513" s="193"/>
    </row>
    <row r="48514" spans="6:6" x14ac:dyDescent="0.3">
      <c r="F48514" s="193"/>
    </row>
    <row r="48515" spans="6:6" x14ac:dyDescent="0.3">
      <c r="F48515" s="193"/>
    </row>
    <row r="48516" spans="6:6" x14ac:dyDescent="0.3">
      <c r="F48516" s="193"/>
    </row>
    <row r="48517" spans="6:6" x14ac:dyDescent="0.3">
      <c r="F48517" s="193"/>
    </row>
    <row r="48518" spans="6:6" x14ac:dyDescent="0.3">
      <c r="F48518" s="193"/>
    </row>
    <row r="48519" spans="6:6" x14ac:dyDescent="0.3">
      <c r="F48519" s="193"/>
    </row>
    <row r="48520" spans="6:6" x14ac:dyDescent="0.3">
      <c r="F48520" s="193"/>
    </row>
    <row r="48521" spans="6:6" x14ac:dyDescent="0.3">
      <c r="F48521" s="193"/>
    </row>
    <row r="48522" spans="6:6" x14ac:dyDescent="0.3">
      <c r="F48522" s="193"/>
    </row>
    <row r="48523" spans="6:6" x14ac:dyDescent="0.3">
      <c r="F48523" s="193"/>
    </row>
    <row r="48524" spans="6:6" x14ac:dyDescent="0.3">
      <c r="F48524" s="193"/>
    </row>
    <row r="48525" spans="6:6" x14ac:dyDescent="0.3">
      <c r="F48525" s="193"/>
    </row>
    <row r="48526" spans="6:6" x14ac:dyDescent="0.3">
      <c r="F48526" s="193"/>
    </row>
    <row r="48527" spans="6:6" x14ac:dyDescent="0.3">
      <c r="F48527" s="193"/>
    </row>
    <row r="48528" spans="6:6" x14ac:dyDescent="0.3">
      <c r="F48528" s="193"/>
    </row>
    <row r="48529" spans="6:6" x14ac:dyDescent="0.3">
      <c r="F48529" s="193"/>
    </row>
    <row r="48530" spans="6:6" x14ac:dyDescent="0.3">
      <c r="F48530" s="193"/>
    </row>
    <row r="48531" spans="6:6" x14ac:dyDescent="0.3">
      <c r="F48531" s="193"/>
    </row>
    <row r="48532" spans="6:6" x14ac:dyDescent="0.3">
      <c r="F48532" s="193"/>
    </row>
    <row r="48533" spans="6:6" x14ac:dyDescent="0.3">
      <c r="F48533" s="193"/>
    </row>
    <row r="48534" spans="6:6" x14ac:dyDescent="0.3">
      <c r="F48534" s="193"/>
    </row>
    <row r="48535" spans="6:6" x14ac:dyDescent="0.3">
      <c r="F48535" s="193"/>
    </row>
    <row r="48536" spans="6:6" x14ac:dyDescent="0.3">
      <c r="F48536" s="193"/>
    </row>
    <row r="48537" spans="6:6" x14ac:dyDescent="0.3">
      <c r="F48537" s="193"/>
    </row>
    <row r="48538" spans="6:6" x14ac:dyDescent="0.3">
      <c r="F48538" s="193"/>
    </row>
    <row r="48539" spans="6:6" x14ac:dyDescent="0.3">
      <c r="F48539" s="193"/>
    </row>
    <row r="48540" spans="6:6" x14ac:dyDescent="0.3">
      <c r="F48540" s="193"/>
    </row>
    <row r="48541" spans="6:6" x14ac:dyDescent="0.3">
      <c r="F48541" s="193"/>
    </row>
    <row r="48542" spans="6:6" x14ac:dyDescent="0.3">
      <c r="F48542" s="193"/>
    </row>
    <row r="48543" spans="6:6" x14ac:dyDescent="0.3">
      <c r="F48543" s="193"/>
    </row>
    <row r="48544" spans="6:6" x14ac:dyDescent="0.3">
      <c r="F48544" s="193"/>
    </row>
    <row r="48545" spans="6:6" x14ac:dyDescent="0.3">
      <c r="F48545" s="193"/>
    </row>
    <row r="48546" spans="6:6" x14ac:dyDescent="0.3">
      <c r="F48546" s="193"/>
    </row>
    <row r="48547" spans="6:6" x14ac:dyDescent="0.3">
      <c r="F48547" s="193"/>
    </row>
    <row r="48548" spans="6:6" x14ac:dyDescent="0.3">
      <c r="F48548" s="193"/>
    </row>
    <row r="48549" spans="6:6" x14ac:dyDescent="0.3">
      <c r="F48549" s="193"/>
    </row>
    <row r="48550" spans="6:6" x14ac:dyDescent="0.3">
      <c r="F48550" s="193"/>
    </row>
    <row r="48551" spans="6:6" x14ac:dyDescent="0.3">
      <c r="F48551" s="193"/>
    </row>
    <row r="48552" spans="6:6" x14ac:dyDescent="0.3">
      <c r="F48552" s="193"/>
    </row>
    <row r="48553" spans="6:6" x14ac:dyDescent="0.3">
      <c r="F48553" s="193"/>
    </row>
    <row r="48554" spans="6:6" x14ac:dyDescent="0.3">
      <c r="F48554" s="193"/>
    </row>
    <row r="48555" spans="6:6" x14ac:dyDescent="0.3">
      <c r="F48555" s="193"/>
    </row>
    <row r="48556" spans="6:6" x14ac:dyDescent="0.3">
      <c r="F48556" s="193"/>
    </row>
    <row r="48557" spans="6:6" x14ac:dyDescent="0.3">
      <c r="F48557" s="193"/>
    </row>
    <row r="48558" spans="6:6" x14ac:dyDescent="0.3">
      <c r="F48558" s="193"/>
    </row>
    <row r="48559" spans="6:6" x14ac:dyDescent="0.3">
      <c r="F48559" s="193"/>
    </row>
    <row r="48560" spans="6:6" x14ac:dyDescent="0.3">
      <c r="F48560" s="193"/>
    </row>
    <row r="48561" spans="6:6" x14ac:dyDescent="0.3">
      <c r="F48561" s="193"/>
    </row>
    <row r="48562" spans="6:6" x14ac:dyDescent="0.3">
      <c r="F48562" s="193"/>
    </row>
    <row r="48563" spans="6:6" x14ac:dyDescent="0.3">
      <c r="F48563" s="193"/>
    </row>
    <row r="48564" spans="6:6" x14ac:dyDescent="0.3">
      <c r="F48564" s="193"/>
    </row>
    <row r="48565" spans="6:6" x14ac:dyDescent="0.3">
      <c r="F48565" s="193"/>
    </row>
    <row r="48566" spans="6:6" x14ac:dyDescent="0.3">
      <c r="F48566" s="193"/>
    </row>
    <row r="48567" spans="6:6" x14ac:dyDescent="0.3">
      <c r="F48567" s="193"/>
    </row>
    <row r="48568" spans="6:6" x14ac:dyDescent="0.3">
      <c r="F48568" s="193"/>
    </row>
    <row r="48569" spans="6:6" x14ac:dyDescent="0.3">
      <c r="F48569" s="193"/>
    </row>
    <row r="48570" spans="6:6" x14ac:dyDescent="0.3">
      <c r="F48570" s="193"/>
    </row>
    <row r="48571" spans="6:6" x14ac:dyDescent="0.3">
      <c r="F48571" s="193"/>
    </row>
    <row r="48572" spans="6:6" x14ac:dyDescent="0.3">
      <c r="F48572" s="193"/>
    </row>
    <row r="48573" spans="6:6" x14ac:dyDescent="0.3">
      <c r="F48573" s="193"/>
    </row>
    <row r="48574" spans="6:6" x14ac:dyDescent="0.3">
      <c r="F48574" s="193"/>
    </row>
    <row r="48575" spans="6:6" x14ac:dyDescent="0.3">
      <c r="F48575" s="193"/>
    </row>
    <row r="48576" spans="6:6" x14ac:dyDescent="0.3">
      <c r="F48576" s="193"/>
    </row>
    <row r="48577" spans="6:6" x14ac:dyDescent="0.3">
      <c r="F48577" s="193"/>
    </row>
    <row r="48578" spans="6:6" x14ac:dyDescent="0.3">
      <c r="F48578" s="193"/>
    </row>
    <row r="48579" spans="6:6" x14ac:dyDescent="0.3">
      <c r="F48579" s="193"/>
    </row>
    <row r="48580" spans="6:6" x14ac:dyDescent="0.3">
      <c r="F48580" s="193"/>
    </row>
    <row r="48581" spans="6:6" x14ac:dyDescent="0.3">
      <c r="F48581" s="193"/>
    </row>
    <row r="48582" spans="6:6" x14ac:dyDescent="0.3">
      <c r="F48582" s="193"/>
    </row>
    <row r="48583" spans="6:6" x14ac:dyDescent="0.3">
      <c r="F48583" s="193"/>
    </row>
    <row r="48584" spans="6:6" x14ac:dyDescent="0.3">
      <c r="F48584" s="193"/>
    </row>
    <row r="48585" spans="6:6" x14ac:dyDescent="0.3">
      <c r="F48585" s="193"/>
    </row>
    <row r="48586" spans="6:6" x14ac:dyDescent="0.3">
      <c r="F48586" s="193"/>
    </row>
    <row r="48587" spans="6:6" x14ac:dyDescent="0.3">
      <c r="F48587" s="193"/>
    </row>
    <row r="48588" spans="6:6" x14ac:dyDescent="0.3">
      <c r="F48588" s="193"/>
    </row>
    <row r="48589" spans="6:6" x14ac:dyDescent="0.3">
      <c r="F48589" s="193"/>
    </row>
    <row r="48590" spans="6:6" x14ac:dyDescent="0.3">
      <c r="F48590" s="193"/>
    </row>
    <row r="48591" spans="6:6" x14ac:dyDescent="0.3">
      <c r="F48591" s="193"/>
    </row>
    <row r="48592" spans="6:6" x14ac:dyDescent="0.3">
      <c r="F48592" s="193"/>
    </row>
    <row r="48593" spans="6:6" x14ac:dyDescent="0.3">
      <c r="F48593" s="193"/>
    </row>
    <row r="48594" spans="6:6" x14ac:dyDescent="0.3">
      <c r="F48594" s="193"/>
    </row>
    <row r="48595" spans="6:6" x14ac:dyDescent="0.3">
      <c r="F48595" s="193"/>
    </row>
    <row r="48596" spans="6:6" x14ac:dyDescent="0.3">
      <c r="F48596" s="193"/>
    </row>
    <row r="48597" spans="6:6" x14ac:dyDescent="0.3">
      <c r="F48597" s="193"/>
    </row>
    <row r="48598" spans="6:6" x14ac:dyDescent="0.3">
      <c r="F48598" s="193"/>
    </row>
    <row r="48599" spans="6:6" x14ac:dyDescent="0.3">
      <c r="F48599" s="193"/>
    </row>
    <row r="48600" spans="6:6" x14ac:dyDescent="0.3">
      <c r="F48600" s="193"/>
    </row>
    <row r="48601" spans="6:6" x14ac:dyDescent="0.3">
      <c r="F48601" s="193"/>
    </row>
    <row r="48602" spans="6:6" x14ac:dyDescent="0.3">
      <c r="F48602" s="193"/>
    </row>
    <row r="48603" spans="6:6" x14ac:dyDescent="0.3">
      <c r="F48603" s="193"/>
    </row>
    <row r="48604" spans="6:6" x14ac:dyDescent="0.3">
      <c r="F48604" s="193"/>
    </row>
    <row r="48605" spans="6:6" x14ac:dyDescent="0.3">
      <c r="F48605" s="193"/>
    </row>
    <row r="48606" spans="6:6" x14ac:dyDescent="0.3">
      <c r="F48606" s="193"/>
    </row>
    <row r="48607" spans="6:6" x14ac:dyDescent="0.3">
      <c r="F48607" s="193"/>
    </row>
    <row r="48608" spans="6:6" x14ac:dyDescent="0.3">
      <c r="F48608" s="193"/>
    </row>
    <row r="48609" spans="6:6" x14ac:dyDescent="0.3">
      <c r="F48609" s="193"/>
    </row>
    <row r="48610" spans="6:6" x14ac:dyDescent="0.3">
      <c r="F48610" s="193"/>
    </row>
    <row r="48611" spans="6:6" x14ac:dyDescent="0.3">
      <c r="F48611" s="193"/>
    </row>
    <row r="48612" spans="6:6" x14ac:dyDescent="0.3">
      <c r="F48612" s="193"/>
    </row>
    <row r="48613" spans="6:6" x14ac:dyDescent="0.3">
      <c r="F48613" s="193"/>
    </row>
    <row r="48614" spans="6:6" x14ac:dyDescent="0.3">
      <c r="F48614" s="193"/>
    </row>
    <row r="48615" spans="6:6" x14ac:dyDescent="0.3">
      <c r="F48615" s="193"/>
    </row>
    <row r="48616" spans="6:6" x14ac:dyDescent="0.3">
      <c r="F48616" s="193"/>
    </row>
    <row r="48617" spans="6:6" x14ac:dyDescent="0.3">
      <c r="F48617" s="193"/>
    </row>
    <row r="48618" spans="6:6" x14ac:dyDescent="0.3">
      <c r="F48618" s="193"/>
    </row>
    <row r="48619" spans="6:6" x14ac:dyDescent="0.3">
      <c r="F48619" s="193"/>
    </row>
    <row r="48620" spans="6:6" x14ac:dyDescent="0.3">
      <c r="F48620" s="193"/>
    </row>
    <row r="48621" spans="6:6" x14ac:dyDescent="0.3">
      <c r="F48621" s="193"/>
    </row>
    <row r="48622" spans="6:6" x14ac:dyDescent="0.3">
      <c r="F48622" s="193"/>
    </row>
    <row r="48623" spans="6:6" x14ac:dyDescent="0.3">
      <c r="F48623" s="193"/>
    </row>
    <row r="48624" spans="6:6" x14ac:dyDescent="0.3">
      <c r="F48624" s="193"/>
    </row>
    <row r="48625" spans="6:6" x14ac:dyDescent="0.3">
      <c r="F48625" s="193"/>
    </row>
    <row r="48626" spans="6:6" x14ac:dyDescent="0.3">
      <c r="F48626" s="193"/>
    </row>
    <row r="48627" spans="6:6" x14ac:dyDescent="0.3">
      <c r="F48627" s="193"/>
    </row>
    <row r="48628" spans="6:6" x14ac:dyDescent="0.3">
      <c r="F48628" s="193"/>
    </row>
    <row r="48629" spans="6:6" x14ac:dyDescent="0.3">
      <c r="F48629" s="193"/>
    </row>
    <row r="48630" spans="6:6" x14ac:dyDescent="0.3">
      <c r="F48630" s="193"/>
    </row>
    <row r="48631" spans="6:6" x14ac:dyDescent="0.3">
      <c r="F48631" s="193"/>
    </row>
    <row r="48632" spans="6:6" x14ac:dyDescent="0.3">
      <c r="F48632" s="193"/>
    </row>
    <row r="48633" spans="6:6" x14ac:dyDescent="0.3">
      <c r="F48633" s="193"/>
    </row>
    <row r="48634" spans="6:6" x14ac:dyDescent="0.3">
      <c r="F48634" s="193"/>
    </row>
    <row r="48635" spans="6:6" x14ac:dyDescent="0.3">
      <c r="F48635" s="193"/>
    </row>
    <row r="48636" spans="6:6" x14ac:dyDescent="0.3">
      <c r="F48636" s="193"/>
    </row>
    <row r="48637" spans="6:6" x14ac:dyDescent="0.3">
      <c r="F48637" s="193"/>
    </row>
    <row r="48638" spans="6:6" x14ac:dyDescent="0.3">
      <c r="F48638" s="193"/>
    </row>
    <row r="48639" spans="6:6" x14ac:dyDescent="0.3">
      <c r="F48639" s="193"/>
    </row>
    <row r="48640" spans="6:6" x14ac:dyDescent="0.3">
      <c r="F48640" s="193"/>
    </row>
    <row r="48641" spans="6:6" x14ac:dyDescent="0.3">
      <c r="F48641" s="193"/>
    </row>
    <row r="48642" spans="6:6" x14ac:dyDescent="0.3">
      <c r="F48642" s="193"/>
    </row>
    <row r="48643" spans="6:6" x14ac:dyDescent="0.3">
      <c r="F48643" s="193"/>
    </row>
    <row r="48644" spans="6:6" x14ac:dyDescent="0.3">
      <c r="F48644" s="193"/>
    </row>
    <row r="48645" spans="6:6" x14ac:dyDescent="0.3">
      <c r="F48645" s="193"/>
    </row>
    <row r="48646" spans="6:6" x14ac:dyDescent="0.3">
      <c r="F48646" s="193"/>
    </row>
    <row r="48647" spans="6:6" x14ac:dyDescent="0.3">
      <c r="F48647" s="193"/>
    </row>
    <row r="48648" spans="6:6" x14ac:dyDescent="0.3">
      <c r="F48648" s="193"/>
    </row>
    <row r="48649" spans="6:6" x14ac:dyDescent="0.3">
      <c r="F48649" s="193"/>
    </row>
    <row r="48650" spans="6:6" x14ac:dyDescent="0.3">
      <c r="F48650" s="193"/>
    </row>
    <row r="48651" spans="6:6" x14ac:dyDescent="0.3">
      <c r="F48651" s="193"/>
    </row>
    <row r="48652" spans="6:6" x14ac:dyDescent="0.3">
      <c r="F48652" s="193"/>
    </row>
    <row r="48653" spans="6:6" x14ac:dyDescent="0.3">
      <c r="F48653" s="193"/>
    </row>
    <row r="48654" spans="6:6" x14ac:dyDescent="0.3">
      <c r="F48654" s="193"/>
    </row>
    <row r="48655" spans="6:6" x14ac:dyDescent="0.3">
      <c r="F48655" s="193"/>
    </row>
    <row r="48656" spans="6:6" x14ac:dyDescent="0.3">
      <c r="F48656" s="193"/>
    </row>
    <row r="48657" spans="6:6" x14ac:dyDescent="0.3">
      <c r="F48657" s="193"/>
    </row>
    <row r="48658" spans="6:6" x14ac:dyDescent="0.3">
      <c r="F48658" s="193"/>
    </row>
    <row r="48659" spans="6:6" x14ac:dyDescent="0.3">
      <c r="F48659" s="193"/>
    </row>
    <row r="48660" spans="6:6" x14ac:dyDescent="0.3">
      <c r="F48660" s="193"/>
    </row>
    <row r="48661" spans="6:6" x14ac:dyDescent="0.3">
      <c r="F48661" s="193"/>
    </row>
    <row r="48662" spans="6:6" x14ac:dyDescent="0.3">
      <c r="F48662" s="193"/>
    </row>
    <row r="48663" spans="6:6" x14ac:dyDescent="0.3">
      <c r="F48663" s="193"/>
    </row>
    <row r="48664" spans="6:6" x14ac:dyDescent="0.3">
      <c r="F48664" s="193"/>
    </row>
    <row r="48665" spans="6:6" x14ac:dyDescent="0.3">
      <c r="F48665" s="193"/>
    </row>
    <row r="48666" spans="6:6" x14ac:dyDescent="0.3">
      <c r="F48666" s="193"/>
    </row>
    <row r="48667" spans="6:6" x14ac:dyDescent="0.3">
      <c r="F48667" s="193"/>
    </row>
    <row r="48668" spans="6:6" x14ac:dyDescent="0.3">
      <c r="F48668" s="193"/>
    </row>
    <row r="48669" spans="6:6" x14ac:dyDescent="0.3">
      <c r="F48669" s="193"/>
    </row>
    <row r="48670" spans="6:6" x14ac:dyDescent="0.3">
      <c r="F48670" s="193"/>
    </row>
    <row r="48671" spans="6:6" x14ac:dyDescent="0.3">
      <c r="F48671" s="193"/>
    </row>
    <row r="48672" spans="6:6" x14ac:dyDescent="0.3">
      <c r="F48672" s="193"/>
    </row>
    <row r="48673" spans="6:6" x14ac:dyDescent="0.3">
      <c r="F48673" s="193"/>
    </row>
    <row r="48674" spans="6:6" x14ac:dyDescent="0.3">
      <c r="F48674" s="193"/>
    </row>
    <row r="48675" spans="6:6" x14ac:dyDescent="0.3">
      <c r="F48675" s="193"/>
    </row>
    <row r="48676" spans="6:6" x14ac:dyDescent="0.3">
      <c r="F48676" s="193"/>
    </row>
    <row r="48677" spans="6:6" x14ac:dyDescent="0.3">
      <c r="F48677" s="193"/>
    </row>
    <row r="48678" spans="6:6" x14ac:dyDescent="0.3">
      <c r="F48678" s="193"/>
    </row>
    <row r="48679" spans="6:6" x14ac:dyDescent="0.3">
      <c r="F48679" s="193"/>
    </row>
    <row r="48680" spans="6:6" x14ac:dyDescent="0.3">
      <c r="F48680" s="193"/>
    </row>
    <row r="48681" spans="6:6" x14ac:dyDescent="0.3">
      <c r="F48681" s="193"/>
    </row>
    <row r="48682" spans="6:6" x14ac:dyDescent="0.3">
      <c r="F48682" s="193"/>
    </row>
    <row r="48683" spans="6:6" x14ac:dyDescent="0.3">
      <c r="F48683" s="193"/>
    </row>
    <row r="48684" spans="6:6" x14ac:dyDescent="0.3">
      <c r="F48684" s="193"/>
    </row>
    <row r="48685" spans="6:6" x14ac:dyDescent="0.3">
      <c r="F48685" s="193"/>
    </row>
    <row r="48686" spans="6:6" x14ac:dyDescent="0.3">
      <c r="F48686" s="193"/>
    </row>
    <row r="48687" spans="6:6" x14ac:dyDescent="0.3">
      <c r="F48687" s="193"/>
    </row>
    <row r="48688" spans="6:6" x14ac:dyDescent="0.3">
      <c r="F48688" s="193"/>
    </row>
    <row r="48689" spans="6:6" x14ac:dyDescent="0.3">
      <c r="F48689" s="193"/>
    </row>
    <row r="48690" spans="6:6" x14ac:dyDescent="0.3">
      <c r="F48690" s="193"/>
    </row>
    <row r="48691" spans="6:6" x14ac:dyDescent="0.3">
      <c r="F48691" s="193"/>
    </row>
    <row r="48692" spans="6:6" x14ac:dyDescent="0.3">
      <c r="F48692" s="193"/>
    </row>
    <row r="48693" spans="6:6" x14ac:dyDescent="0.3">
      <c r="F48693" s="193"/>
    </row>
    <row r="48694" spans="6:6" x14ac:dyDescent="0.3">
      <c r="F48694" s="193"/>
    </row>
    <row r="48695" spans="6:6" x14ac:dyDescent="0.3">
      <c r="F48695" s="193"/>
    </row>
    <row r="48696" spans="6:6" x14ac:dyDescent="0.3">
      <c r="F48696" s="193"/>
    </row>
    <row r="48697" spans="6:6" x14ac:dyDescent="0.3">
      <c r="F48697" s="193"/>
    </row>
    <row r="48698" spans="6:6" x14ac:dyDescent="0.3">
      <c r="F48698" s="193"/>
    </row>
    <row r="48699" spans="6:6" x14ac:dyDescent="0.3">
      <c r="F48699" s="193"/>
    </row>
    <row r="48700" spans="6:6" x14ac:dyDescent="0.3">
      <c r="F48700" s="193"/>
    </row>
    <row r="48701" spans="6:6" x14ac:dyDescent="0.3">
      <c r="F48701" s="193"/>
    </row>
    <row r="48702" spans="6:6" x14ac:dyDescent="0.3">
      <c r="F48702" s="193"/>
    </row>
    <row r="48703" spans="6:6" x14ac:dyDescent="0.3">
      <c r="F48703" s="193"/>
    </row>
    <row r="48704" spans="6:6" x14ac:dyDescent="0.3">
      <c r="F48704" s="193"/>
    </row>
    <row r="48705" spans="6:6" x14ac:dyDescent="0.3">
      <c r="F48705" s="193"/>
    </row>
    <row r="48706" spans="6:6" x14ac:dyDescent="0.3">
      <c r="F48706" s="193"/>
    </row>
    <row r="48707" spans="6:6" x14ac:dyDescent="0.3">
      <c r="F48707" s="193"/>
    </row>
    <row r="48708" spans="6:6" x14ac:dyDescent="0.3">
      <c r="F48708" s="193"/>
    </row>
    <row r="48709" spans="6:6" x14ac:dyDescent="0.3">
      <c r="F48709" s="193"/>
    </row>
    <row r="48710" spans="6:6" x14ac:dyDescent="0.3">
      <c r="F48710" s="193"/>
    </row>
    <row r="48711" spans="6:6" x14ac:dyDescent="0.3">
      <c r="F48711" s="193"/>
    </row>
    <row r="48712" spans="6:6" x14ac:dyDescent="0.3">
      <c r="F48712" s="193"/>
    </row>
    <row r="48713" spans="6:6" x14ac:dyDescent="0.3">
      <c r="F48713" s="193"/>
    </row>
    <row r="48714" spans="6:6" x14ac:dyDescent="0.3">
      <c r="F48714" s="193"/>
    </row>
    <row r="48715" spans="6:6" x14ac:dyDescent="0.3">
      <c r="F48715" s="193"/>
    </row>
    <row r="48716" spans="6:6" x14ac:dyDescent="0.3">
      <c r="F48716" s="193"/>
    </row>
    <row r="48717" spans="6:6" x14ac:dyDescent="0.3">
      <c r="F48717" s="193"/>
    </row>
    <row r="48718" spans="6:6" x14ac:dyDescent="0.3">
      <c r="F48718" s="193"/>
    </row>
    <row r="48719" spans="6:6" x14ac:dyDescent="0.3">
      <c r="F48719" s="193"/>
    </row>
    <row r="48720" spans="6:6" x14ac:dyDescent="0.3">
      <c r="F48720" s="193"/>
    </row>
    <row r="48721" spans="6:6" x14ac:dyDescent="0.3">
      <c r="F48721" s="193"/>
    </row>
    <row r="48722" spans="6:6" x14ac:dyDescent="0.3">
      <c r="F48722" s="193"/>
    </row>
    <row r="48723" spans="6:6" x14ac:dyDescent="0.3">
      <c r="F48723" s="193"/>
    </row>
    <row r="48724" spans="6:6" x14ac:dyDescent="0.3">
      <c r="F48724" s="193"/>
    </row>
    <row r="48725" spans="6:6" x14ac:dyDescent="0.3">
      <c r="F48725" s="193"/>
    </row>
    <row r="48726" spans="6:6" x14ac:dyDescent="0.3">
      <c r="F48726" s="193"/>
    </row>
    <row r="48727" spans="6:6" x14ac:dyDescent="0.3">
      <c r="F48727" s="193"/>
    </row>
    <row r="48728" spans="6:6" x14ac:dyDescent="0.3">
      <c r="F48728" s="193"/>
    </row>
    <row r="48729" spans="6:6" x14ac:dyDescent="0.3">
      <c r="F48729" s="193"/>
    </row>
    <row r="48730" spans="6:6" x14ac:dyDescent="0.3">
      <c r="F48730" s="193"/>
    </row>
    <row r="48731" spans="6:6" x14ac:dyDescent="0.3">
      <c r="F48731" s="193"/>
    </row>
    <row r="48732" spans="6:6" x14ac:dyDescent="0.3">
      <c r="F48732" s="193"/>
    </row>
    <row r="48733" spans="6:6" x14ac:dyDescent="0.3">
      <c r="F48733" s="193"/>
    </row>
    <row r="48734" spans="6:6" x14ac:dyDescent="0.3">
      <c r="F48734" s="193"/>
    </row>
    <row r="48735" spans="6:6" x14ac:dyDescent="0.3">
      <c r="F48735" s="193"/>
    </row>
    <row r="48736" spans="6:6" x14ac:dyDescent="0.3">
      <c r="F48736" s="193"/>
    </row>
    <row r="48737" spans="6:6" x14ac:dyDescent="0.3">
      <c r="F48737" s="193"/>
    </row>
    <row r="48738" spans="6:6" x14ac:dyDescent="0.3">
      <c r="F48738" s="193"/>
    </row>
    <row r="48739" spans="6:6" x14ac:dyDescent="0.3">
      <c r="F48739" s="193"/>
    </row>
    <row r="48740" spans="6:6" x14ac:dyDescent="0.3">
      <c r="F48740" s="193"/>
    </row>
    <row r="48741" spans="6:6" x14ac:dyDescent="0.3">
      <c r="F48741" s="193"/>
    </row>
    <row r="48742" spans="6:6" x14ac:dyDescent="0.3">
      <c r="F48742" s="193"/>
    </row>
    <row r="48743" spans="6:6" x14ac:dyDescent="0.3">
      <c r="F48743" s="193"/>
    </row>
    <row r="48744" spans="6:6" x14ac:dyDescent="0.3">
      <c r="F48744" s="193"/>
    </row>
    <row r="48745" spans="6:6" x14ac:dyDescent="0.3">
      <c r="F48745" s="193"/>
    </row>
    <row r="48746" spans="6:6" x14ac:dyDescent="0.3">
      <c r="F48746" s="193"/>
    </row>
    <row r="48747" spans="6:6" x14ac:dyDescent="0.3">
      <c r="F48747" s="193"/>
    </row>
    <row r="48748" spans="6:6" x14ac:dyDescent="0.3">
      <c r="F48748" s="193"/>
    </row>
    <row r="48749" spans="6:6" x14ac:dyDescent="0.3">
      <c r="F48749" s="193"/>
    </row>
    <row r="48750" spans="6:6" x14ac:dyDescent="0.3">
      <c r="F48750" s="193"/>
    </row>
    <row r="48751" spans="6:6" x14ac:dyDescent="0.3">
      <c r="F48751" s="193"/>
    </row>
    <row r="48752" spans="6:6" x14ac:dyDescent="0.3">
      <c r="F48752" s="193"/>
    </row>
    <row r="48753" spans="6:6" x14ac:dyDescent="0.3">
      <c r="F48753" s="193"/>
    </row>
    <row r="48754" spans="6:6" x14ac:dyDescent="0.3">
      <c r="F48754" s="193"/>
    </row>
    <row r="48755" spans="6:6" x14ac:dyDescent="0.3">
      <c r="F48755" s="193"/>
    </row>
    <row r="48756" spans="6:6" x14ac:dyDescent="0.3">
      <c r="F48756" s="193"/>
    </row>
    <row r="48757" spans="6:6" x14ac:dyDescent="0.3">
      <c r="F48757" s="193"/>
    </row>
    <row r="48758" spans="6:6" x14ac:dyDescent="0.3">
      <c r="F48758" s="193"/>
    </row>
    <row r="48759" spans="6:6" x14ac:dyDescent="0.3">
      <c r="F48759" s="193"/>
    </row>
    <row r="48760" spans="6:6" x14ac:dyDescent="0.3">
      <c r="F48760" s="193"/>
    </row>
    <row r="48761" spans="6:6" x14ac:dyDescent="0.3">
      <c r="F48761" s="193"/>
    </row>
    <row r="48762" spans="6:6" x14ac:dyDescent="0.3">
      <c r="F48762" s="193"/>
    </row>
    <row r="48763" spans="6:6" x14ac:dyDescent="0.3">
      <c r="F48763" s="193"/>
    </row>
    <row r="48764" spans="6:6" x14ac:dyDescent="0.3">
      <c r="F48764" s="193"/>
    </row>
    <row r="48765" spans="6:6" x14ac:dyDescent="0.3">
      <c r="F48765" s="193"/>
    </row>
    <row r="48766" spans="6:6" x14ac:dyDescent="0.3">
      <c r="F48766" s="193"/>
    </row>
    <row r="48767" spans="6:6" x14ac:dyDescent="0.3">
      <c r="F48767" s="193"/>
    </row>
    <row r="48768" spans="6:6" x14ac:dyDescent="0.3">
      <c r="F48768" s="193"/>
    </row>
    <row r="48769" spans="6:6" x14ac:dyDescent="0.3">
      <c r="F48769" s="193"/>
    </row>
    <row r="48770" spans="6:6" x14ac:dyDescent="0.3">
      <c r="F48770" s="193"/>
    </row>
    <row r="48771" spans="6:6" x14ac:dyDescent="0.3">
      <c r="F48771" s="193"/>
    </row>
    <row r="48772" spans="6:6" x14ac:dyDescent="0.3">
      <c r="F48772" s="193"/>
    </row>
    <row r="48773" spans="6:6" x14ac:dyDescent="0.3">
      <c r="F48773" s="193"/>
    </row>
    <row r="48774" spans="6:6" x14ac:dyDescent="0.3">
      <c r="F48774" s="193"/>
    </row>
    <row r="48775" spans="6:6" x14ac:dyDescent="0.3">
      <c r="F48775" s="193"/>
    </row>
    <row r="48776" spans="6:6" x14ac:dyDescent="0.3">
      <c r="F48776" s="193"/>
    </row>
    <row r="48777" spans="6:6" x14ac:dyDescent="0.3">
      <c r="F48777" s="193"/>
    </row>
    <row r="48778" spans="6:6" x14ac:dyDescent="0.3">
      <c r="F48778" s="193"/>
    </row>
    <row r="48779" spans="6:6" x14ac:dyDescent="0.3">
      <c r="F48779" s="193"/>
    </row>
    <row r="48780" spans="6:6" x14ac:dyDescent="0.3">
      <c r="F48780" s="193"/>
    </row>
    <row r="48781" spans="6:6" x14ac:dyDescent="0.3">
      <c r="F48781" s="193"/>
    </row>
    <row r="48782" spans="6:6" x14ac:dyDescent="0.3">
      <c r="F48782" s="193"/>
    </row>
    <row r="48783" spans="6:6" x14ac:dyDescent="0.3">
      <c r="F48783" s="193"/>
    </row>
    <row r="48784" spans="6:6" x14ac:dyDescent="0.3">
      <c r="F48784" s="193"/>
    </row>
    <row r="48785" spans="6:6" x14ac:dyDescent="0.3">
      <c r="F48785" s="193"/>
    </row>
    <row r="48786" spans="6:6" x14ac:dyDescent="0.3">
      <c r="F48786" s="193"/>
    </row>
    <row r="48787" spans="6:6" x14ac:dyDescent="0.3">
      <c r="F48787" s="193"/>
    </row>
    <row r="48788" spans="6:6" x14ac:dyDescent="0.3">
      <c r="F48788" s="193"/>
    </row>
    <row r="48789" spans="6:6" x14ac:dyDescent="0.3">
      <c r="F48789" s="193"/>
    </row>
    <row r="48790" spans="6:6" x14ac:dyDescent="0.3">
      <c r="F48790" s="193"/>
    </row>
    <row r="48791" spans="6:6" x14ac:dyDescent="0.3">
      <c r="F48791" s="193"/>
    </row>
    <row r="48792" spans="6:6" x14ac:dyDescent="0.3">
      <c r="F48792" s="193"/>
    </row>
    <row r="48793" spans="6:6" x14ac:dyDescent="0.3">
      <c r="F48793" s="193"/>
    </row>
    <row r="48794" spans="6:6" x14ac:dyDescent="0.3">
      <c r="F48794" s="193"/>
    </row>
    <row r="48795" spans="6:6" x14ac:dyDescent="0.3">
      <c r="F48795" s="193"/>
    </row>
    <row r="48796" spans="6:6" x14ac:dyDescent="0.3">
      <c r="F48796" s="193"/>
    </row>
    <row r="48797" spans="6:6" x14ac:dyDescent="0.3">
      <c r="F48797" s="193"/>
    </row>
    <row r="48798" spans="6:6" x14ac:dyDescent="0.3">
      <c r="F48798" s="193"/>
    </row>
    <row r="48799" spans="6:6" x14ac:dyDescent="0.3">
      <c r="F48799" s="193"/>
    </row>
    <row r="48800" spans="6:6" x14ac:dyDescent="0.3">
      <c r="F48800" s="193"/>
    </row>
    <row r="48801" spans="6:6" x14ac:dyDescent="0.3">
      <c r="F48801" s="193"/>
    </row>
    <row r="48802" spans="6:6" x14ac:dyDescent="0.3">
      <c r="F48802" s="193"/>
    </row>
    <row r="48803" spans="6:6" x14ac:dyDescent="0.3">
      <c r="F48803" s="193"/>
    </row>
    <row r="48804" spans="6:6" x14ac:dyDescent="0.3">
      <c r="F48804" s="193"/>
    </row>
    <row r="48805" spans="6:6" x14ac:dyDescent="0.3">
      <c r="F48805" s="193"/>
    </row>
    <row r="48806" spans="6:6" x14ac:dyDescent="0.3">
      <c r="F48806" s="193"/>
    </row>
    <row r="48807" spans="6:6" x14ac:dyDescent="0.3">
      <c r="F48807" s="193"/>
    </row>
    <row r="48808" spans="6:6" x14ac:dyDescent="0.3">
      <c r="F48808" s="193"/>
    </row>
    <row r="48809" spans="6:6" x14ac:dyDescent="0.3">
      <c r="F48809" s="193"/>
    </row>
    <row r="48810" spans="6:6" x14ac:dyDescent="0.3">
      <c r="F48810" s="193"/>
    </row>
    <row r="48811" spans="6:6" x14ac:dyDescent="0.3">
      <c r="F48811" s="193"/>
    </row>
    <row r="48812" spans="6:6" x14ac:dyDescent="0.3">
      <c r="F48812" s="193"/>
    </row>
    <row r="48813" spans="6:6" x14ac:dyDescent="0.3">
      <c r="F48813" s="193"/>
    </row>
    <row r="48814" spans="6:6" x14ac:dyDescent="0.3">
      <c r="F48814" s="193"/>
    </row>
    <row r="48815" spans="6:6" x14ac:dyDescent="0.3">
      <c r="F48815" s="193"/>
    </row>
    <row r="48816" spans="6:6" x14ac:dyDescent="0.3">
      <c r="F48816" s="193"/>
    </row>
    <row r="48817" spans="6:6" x14ac:dyDescent="0.3">
      <c r="F48817" s="193"/>
    </row>
    <row r="48818" spans="6:6" x14ac:dyDescent="0.3">
      <c r="F48818" s="193"/>
    </row>
    <row r="48819" spans="6:6" x14ac:dyDescent="0.3">
      <c r="F48819" s="193"/>
    </row>
    <row r="48820" spans="6:6" x14ac:dyDescent="0.3">
      <c r="F48820" s="193"/>
    </row>
    <row r="48821" spans="6:6" x14ac:dyDescent="0.3">
      <c r="F48821" s="193"/>
    </row>
    <row r="48822" spans="6:6" x14ac:dyDescent="0.3">
      <c r="F48822" s="193"/>
    </row>
    <row r="48823" spans="6:6" x14ac:dyDescent="0.3">
      <c r="F48823" s="193"/>
    </row>
    <row r="48824" spans="6:6" x14ac:dyDescent="0.3">
      <c r="F48824" s="193"/>
    </row>
    <row r="48825" spans="6:6" x14ac:dyDescent="0.3">
      <c r="F48825" s="193"/>
    </row>
    <row r="48826" spans="6:6" x14ac:dyDescent="0.3">
      <c r="F48826" s="193"/>
    </row>
    <row r="48827" spans="6:6" x14ac:dyDescent="0.3">
      <c r="F48827" s="193"/>
    </row>
    <row r="48828" spans="6:6" x14ac:dyDescent="0.3">
      <c r="F48828" s="193"/>
    </row>
    <row r="48829" spans="6:6" x14ac:dyDescent="0.3">
      <c r="F48829" s="193"/>
    </row>
    <row r="48830" spans="6:6" x14ac:dyDescent="0.3">
      <c r="F48830" s="193"/>
    </row>
    <row r="48831" spans="6:6" x14ac:dyDescent="0.3">
      <c r="F48831" s="193"/>
    </row>
    <row r="48832" spans="6:6" x14ac:dyDescent="0.3">
      <c r="F48832" s="193"/>
    </row>
    <row r="48833" spans="6:6" x14ac:dyDescent="0.3">
      <c r="F48833" s="193"/>
    </row>
    <row r="48834" spans="6:6" x14ac:dyDescent="0.3">
      <c r="F48834" s="193"/>
    </row>
    <row r="48835" spans="6:6" x14ac:dyDescent="0.3">
      <c r="F48835" s="193"/>
    </row>
    <row r="48836" spans="6:6" x14ac:dyDescent="0.3">
      <c r="F48836" s="193"/>
    </row>
    <row r="48837" spans="6:6" x14ac:dyDescent="0.3">
      <c r="F48837" s="193"/>
    </row>
    <row r="48838" spans="6:6" x14ac:dyDescent="0.3">
      <c r="F48838" s="193"/>
    </row>
    <row r="48839" spans="6:6" x14ac:dyDescent="0.3">
      <c r="F48839" s="193"/>
    </row>
    <row r="48840" spans="6:6" x14ac:dyDescent="0.3">
      <c r="F48840" s="193"/>
    </row>
    <row r="48841" spans="6:6" x14ac:dyDescent="0.3">
      <c r="F48841" s="193"/>
    </row>
    <row r="48842" spans="6:6" x14ac:dyDescent="0.3">
      <c r="F48842" s="193"/>
    </row>
    <row r="48843" spans="6:6" x14ac:dyDescent="0.3">
      <c r="F48843" s="193"/>
    </row>
    <row r="48844" spans="6:6" x14ac:dyDescent="0.3">
      <c r="F48844" s="193"/>
    </row>
    <row r="48845" spans="6:6" x14ac:dyDescent="0.3">
      <c r="F48845" s="193"/>
    </row>
    <row r="48846" spans="6:6" x14ac:dyDescent="0.3">
      <c r="F48846" s="193"/>
    </row>
    <row r="48847" spans="6:6" x14ac:dyDescent="0.3">
      <c r="F48847" s="193"/>
    </row>
    <row r="48848" spans="6:6" x14ac:dyDescent="0.3">
      <c r="F48848" s="193"/>
    </row>
    <row r="48849" spans="6:6" x14ac:dyDescent="0.3">
      <c r="F48849" s="193"/>
    </row>
    <row r="48850" spans="6:6" x14ac:dyDescent="0.3">
      <c r="F48850" s="193"/>
    </row>
    <row r="48851" spans="6:6" x14ac:dyDescent="0.3">
      <c r="F48851" s="193"/>
    </row>
    <row r="48852" spans="6:6" x14ac:dyDescent="0.3">
      <c r="F48852" s="193"/>
    </row>
    <row r="48853" spans="6:6" x14ac:dyDescent="0.3">
      <c r="F48853" s="193"/>
    </row>
    <row r="48854" spans="6:6" x14ac:dyDescent="0.3">
      <c r="F48854" s="193"/>
    </row>
    <row r="48855" spans="6:6" x14ac:dyDescent="0.3">
      <c r="F48855" s="193"/>
    </row>
    <row r="48856" spans="6:6" x14ac:dyDescent="0.3">
      <c r="F48856" s="193"/>
    </row>
    <row r="48857" spans="6:6" x14ac:dyDescent="0.3">
      <c r="F48857" s="193"/>
    </row>
    <row r="48858" spans="6:6" x14ac:dyDescent="0.3">
      <c r="F48858" s="193"/>
    </row>
    <row r="48859" spans="6:6" x14ac:dyDescent="0.3">
      <c r="F48859" s="193"/>
    </row>
    <row r="48860" spans="6:6" x14ac:dyDescent="0.3">
      <c r="F48860" s="193"/>
    </row>
    <row r="48861" spans="6:6" x14ac:dyDescent="0.3">
      <c r="F48861" s="193"/>
    </row>
    <row r="48862" spans="6:6" x14ac:dyDescent="0.3">
      <c r="F48862" s="193"/>
    </row>
    <row r="48863" spans="6:6" x14ac:dyDescent="0.3">
      <c r="F48863" s="193"/>
    </row>
    <row r="48864" spans="6:6" x14ac:dyDescent="0.3">
      <c r="F48864" s="193"/>
    </row>
    <row r="48865" spans="6:6" x14ac:dyDescent="0.3">
      <c r="F48865" s="193"/>
    </row>
    <row r="48866" spans="6:6" x14ac:dyDescent="0.3">
      <c r="F48866" s="193"/>
    </row>
    <row r="48867" spans="6:6" x14ac:dyDescent="0.3">
      <c r="F48867" s="193"/>
    </row>
    <row r="48868" spans="6:6" x14ac:dyDescent="0.3">
      <c r="F48868" s="193"/>
    </row>
    <row r="48869" spans="6:6" x14ac:dyDescent="0.3">
      <c r="F48869" s="193"/>
    </row>
    <row r="48870" spans="6:6" x14ac:dyDescent="0.3">
      <c r="F48870" s="193"/>
    </row>
    <row r="48871" spans="6:6" x14ac:dyDescent="0.3">
      <c r="F48871" s="193"/>
    </row>
    <row r="48872" spans="6:6" x14ac:dyDescent="0.3">
      <c r="F48872" s="193"/>
    </row>
    <row r="48873" spans="6:6" x14ac:dyDescent="0.3">
      <c r="F48873" s="193"/>
    </row>
    <row r="48874" spans="6:6" x14ac:dyDescent="0.3">
      <c r="F48874" s="193"/>
    </row>
    <row r="48875" spans="6:6" x14ac:dyDescent="0.3">
      <c r="F48875" s="193"/>
    </row>
    <row r="48876" spans="6:6" x14ac:dyDescent="0.3">
      <c r="F48876" s="193"/>
    </row>
    <row r="48877" spans="6:6" x14ac:dyDescent="0.3">
      <c r="F48877" s="193"/>
    </row>
    <row r="48878" spans="6:6" x14ac:dyDescent="0.3">
      <c r="F48878" s="193"/>
    </row>
    <row r="48879" spans="6:6" x14ac:dyDescent="0.3">
      <c r="F48879" s="193"/>
    </row>
    <row r="48880" spans="6:6" x14ac:dyDescent="0.3">
      <c r="F48880" s="193"/>
    </row>
    <row r="48881" spans="6:6" x14ac:dyDescent="0.3">
      <c r="F48881" s="193"/>
    </row>
    <row r="48882" spans="6:6" x14ac:dyDescent="0.3">
      <c r="F48882" s="193"/>
    </row>
    <row r="48883" spans="6:6" x14ac:dyDescent="0.3">
      <c r="F48883" s="193"/>
    </row>
    <row r="48884" spans="6:6" x14ac:dyDescent="0.3">
      <c r="F48884" s="193"/>
    </row>
    <row r="48885" spans="6:6" x14ac:dyDescent="0.3">
      <c r="F48885" s="193"/>
    </row>
    <row r="48886" spans="6:6" x14ac:dyDescent="0.3">
      <c r="F48886" s="193"/>
    </row>
    <row r="48887" spans="6:6" x14ac:dyDescent="0.3">
      <c r="F48887" s="193"/>
    </row>
    <row r="48888" spans="6:6" x14ac:dyDescent="0.3">
      <c r="F48888" s="193"/>
    </row>
    <row r="48889" spans="6:6" x14ac:dyDescent="0.3">
      <c r="F48889" s="193"/>
    </row>
    <row r="48890" spans="6:6" x14ac:dyDescent="0.3">
      <c r="F48890" s="193"/>
    </row>
    <row r="48891" spans="6:6" x14ac:dyDescent="0.3">
      <c r="F48891" s="193"/>
    </row>
    <row r="48892" spans="6:6" x14ac:dyDescent="0.3">
      <c r="F48892" s="193"/>
    </row>
    <row r="48893" spans="6:6" x14ac:dyDescent="0.3">
      <c r="F48893" s="193"/>
    </row>
    <row r="48894" spans="6:6" x14ac:dyDescent="0.3">
      <c r="F48894" s="193"/>
    </row>
    <row r="48895" spans="6:6" x14ac:dyDescent="0.3">
      <c r="F48895" s="193"/>
    </row>
    <row r="48896" spans="6:6" x14ac:dyDescent="0.3">
      <c r="F48896" s="193"/>
    </row>
    <row r="48897" spans="6:6" x14ac:dyDescent="0.3">
      <c r="F48897" s="193"/>
    </row>
    <row r="48898" spans="6:6" x14ac:dyDescent="0.3">
      <c r="F48898" s="193"/>
    </row>
    <row r="48899" spans="6:6" x14ac:dyDescent="0.3">
      <c r="F48899" s="193"/>
    </row>
    <row r="48900" spans="6:6" x14ac:dyDescent="0.3">
      <c r="F48900" s="193"/>
    </row>
    <row r="48901" spans="6:6" x14ac:dyDescent="0.3">
      <c r="F48901" s="193"/>
    </row>
    <row r="48902" spans="6:6" x14ac:dyDescent="0.3">
      <c r="F48902" s="193"/>
    </row>
    <row r="48903" spans="6:6" x14ac:dyDescent="0.3">
      <c r="F48903" s="193"/>
    </row>
    <row r="48904" spans="6:6" x14ac:dyDescent="0.3">
      <c r="F48904" s="193"/>
    </row>
    <row r="48905" spans="6:6" x14ac:dyDescent="0.3">
      <c r="F48905" s="193"/>
    </row>
    <row r="48906" spans="6:6" x14ac:dyDescent="0.3">
      <c r="F48906" s="193"/>
    </row>
    <row r="48907" spans="6:6" x14ac:dyDescent="0.3">
      <c r="F48907" s="193"/>
    </row>
    <row r="48908" spans="6:6" x14ac:dyDescent="0.3">
      <c r="F48908" s="193"/>
    </row>
    <row r="48909" spans="6:6" x14ac:dyDescent="0.3">
      <c r="F48909" s="193"/>
    </row>
    <row r="48910" spans="6:6" x14ac:dyDescent="0.3">
      <c r="F48910" s="193"/>
    </row>
    <row r="48911" spans="6:6" x14ac:dyDescent="0.3">
      <c r="F48911" s="193"/>
    </row>
    <row r="48912" spans="6:6" x14ac:dyDescent="0.3">
      <c r="F48912" s="193"/>
    </row>
    <row r="48913" spans="6:6" x14ac:dyDescent="0.3">
      <c r="F48913" s="193"/>
    </row>
    <row r="48914" spans="6:6" x14ac:dyDescent="0.3">
      <c r="F48914" s="193"/>
    </row>
    <row r="48915" spans="6:6" x14ac:dyDescent="0.3">
      <c r="F48915" s="193"/>
    </row>
    <row r="48916" spans="6:6" x14ac:dyDescent="0.3">
      <c r="F48916" s="193"/>
    </row>
    <row r="48917" spans="6:6" x14ac:dyDescent="0.3">
      <c r="F48917" s="193"/>
    </row>
    <row r="48918" spans="6:6" x14ac:dyDescent="0.3">
      <c r="F48918" s="193"/>
    </row>
    <row r="48919" spans="6:6" x14ac:dyDescent="0.3">
      <c r="F48919" s="193"/>
    </row>
    <row r="48920" spans="6:6" x14ac:dyDescent="0.3">
      <c r="F48920" s="193"/>
    </row>
    <row r="48921" spans="6:6" x14ac:dyDescent="0.3">
      <c r="F48921" s="193"/>
    </row>
    <row r="48922" spans="6:6" x14ac:dyDescent="0.3">
      <c r="F48922" s="193"/>
    </row>
    <row r="48923" spans="6:6" x14ac:dyDescent="0.3">
      <c r="F48923" s="193"/>
    </row>
    <row r="48924" spans="6:6" x14ac:dyDescent="0.3">
      <c r="F48924" s="193"/>
    </row>
    <row r="48925" spans="6:6" x14ac:dyDescent="0.3">
      <c r="F48925" s="193"/>
    </row>
    <row r="48926" spans="6:6" x14ac:dyDescent="0.3">
      <c r="F48926" s="193"/>
    </row>
    <row r="48927" spans="6:6" x14ac:dyDescent="0.3">
      <c r="F48927" s="193"/>
    </row>
    <row r="48928" spans="6:6" x14ac:dyDescent="0.3">
      <c r="F48928" s="193"/>
    </row>
    <row r="48929" spans="6:6" x14ac:dyDescent="0.3">
      <c r="F48929" s="193"/>
    </row>
    <row r="48930" spans="6:6" x14ac:dyDescent="0.3">
      <c r="F48930" s="193"/>
    </row>
    <row r="48931" spans="6:6" x14ac:dyDescent="0.3">
      <c r="F48931" s="193"/>
    </row>
    <row r="48932" spans="6:6" x14ac:dyDescent="0.3">
      <c r="F48932" s="193"/>
    </row>
    <row r="48933" spans="6:6" x14ac:dyDescent="0.3">
      <c r="F48933" s="193"/>
    </row>
    <row r="48934" spans="6:6" x14ac:dyDescent="0.3">
      <c r="F48934" s="193"/>
    </row>
    <row r="48935" spans="6:6" x14ac:dyDescent="0.3">
      <c r="F48935" s="193"/>
    </row>
    <row r="48936" spans="6:6" x14ac:dyDescent="0.3">
      <c r="F48936" s="193"/>
    </row>
    <row r="48937" spans="6:6" x14ac:dyDescent="0.3">
      <c r="F48937" s="193"/>
    </row>
    <row r="48938" spans="6:6" x14ac:dyDescent="0.3">
      <c r="F48938" s="193"/>
    </row>
    <row r="48939" spans="6:6" x14ac:dyDescent="0.3">
      <c r="F48939" s="193"/>
    </row>
    <row r="48940" spans="6:6" x14ac:dyDescent="0.3">
      <c r="F48940" s="193"/>
    </row>
    <row r="48941" spans="6:6" x14ac:dyDescent="0.3">
      <c r="F48941" s="193"/>
    </row>
    <row r="48942" spans="6:6" x14ac:dyDescent="0.3">
      <c r="F48942" s="193"/>
    </row>
    <row r="48943" spans="6:6" x14ac:dyDescent="0.3">
      <c r="F48943" s="193"/>
    </row>
    <row r="48944" spans="6:6" x14ac:dyDescent="0.3">
      <c r="F48944" s="193"/>
    </row>
    <row r="48945" spans="6:6" x14ac:dyDescent="0.3">
      <c r="F48945" s="193"/>
    </row>
    <row r="48946" spans="6:6" x14ac:dyDescent="0.3">
      <c r="F48946" s="193"/>
    </row>
    <row r="48947" spans="6:6" x14ac:dyDescent="0.3">
      <c r="F48947" s="193"/>
    </row>
    <row r="48948" spans="6:6" x14ac:dyDescent="0.3">
      <c r="F48948" s="193"/>
    </row>
    <row r="48949" spans="6:6" x14ac:dyDescent="0.3">
      <c r="F48949" s="193"/>
    </row>
    <row r="48950" spans="6:6" x14ac:dyDescent="0.3">
      <c r="F48950" s="193"/>
    </row>
    <row r="48951" spans="6:6" x14ac:dyDescent="0.3">
      <c r="F48951" s="193"/>
    </row>
    <row r="48952" spans="6:6" x14ac:dyDescent="0.3">
      <c r="F48952" s="193"/>
    </row>
    <row r="48953" spans="6:6" x14ac:dyDescent="0.3">
      <c r="F48953" s="193"/>
    </row>
    <row r="48954" spans="6:6" x14ac:dyDescent="0.3">
      <c r="F48954" s="193"/>
    </row>
    <row r="48955" spans="6:6" x14ac:dyDescent="0.3">
      <c r="F48955" s="193"/>
    </row>
    <row r="48956" spans="6:6" x14ac:dyDescent="0.3">
      <c r="F48956" s="193"/>
    </row>
    <row r="48957" spans="6:6" x14ac:dyDescent="0.3">
      <c r="F48957" s="193"/>
    </row>
    <row r="48958" spans="6:6" x14ac:dyDescent="0.3">
      <c r="F48958" s="193"/>
    </row>
    <row r="48959" spans="6:6" x14ac:dyDescent="0.3">
      <c r="F48959" s="193"/>
    </row>
    <row r="48960" spans="6:6" x14ac:dyDescent="0.3">
      <c r="F48960" s="193"/>
    </row>
    <row r="48961" spans="6:6" x14ac:dyDescent="0.3">
      <c r="F48961" s="193"/>
    </row>
    <row r="48962" spans="6:6" x14ac:dyDescent="0.3">
      <c r="F48962" s="193"/>
    </row>
    <row r="48963" spans="6:6" x14ac:dyDescent="0.3">
      <c r="F48963" s="193"/>
    </row>
    <row r="48964" spans="6:6" x14ac:dyDescent="0.3">
      <c r="F48964" s="193"/>
    </row>
    <row r="48965" spans="6:6" x14ac:dyDescent="0.3">
      <c r="F48965" s="193"/>
    </row>
    <row r="48966" spans="6:6" x14ac:dyDescent="0.3">
      <c r="F48966" s="193"/>
    </row>
    <row r="48967" spans="6:6" x14ac:dyDescent="0.3">
      <c r="F48967" s="193"/>
    </row>
    <row r="48968" spans="6:6" x14ac:dyDescent="0.3">
      <c r="F48968" s="193"/>
    </row>
    <row r="48969" spans="6:6" x14ac:dyDescent="0.3">
      <c r="F48969" s="193"/>
    </row>
    <row r="48970" spans="6:6" x14ac:dyDescent="0.3">
      <c r="F48970" s="193"/>
    </row>
    <row r="48971" spans="6:6" x14ac:dyDescent="0.3">
      <c r="F48971" s="193"/>
    </row>
    <row r="48972" spans="6:6" x14ac:dyDescent="0.3">
      <c r="F48972" s="193"/>
    </row>
    <row r="48973" spans="6:6" x14ac:dyDescent="0.3">
      <c r="F48973" s="193"/>
    </row>
    <row r="48974" spans="6:6" x14ac:dyDescent="0.3">
      <c r="F48974" s="193"/>
    </row>
    <row r="48975" spans="6:6" x14ac:dyDescent="0.3">
      <c r="F48975" s="193"/>
    </row>
    <row r="48976" spans="6:6" x14ac:dyDescent="0.3">
      <c r="F48976" s="193"/>
    </row>
    <row r="48977" spans="6:6" x14ac:dyDescent="0.3">
      <c r="F48977" s="193"/>
    </row>
    <row r="48978" spans="6:6" x14ac:dyDescent="0.3">
      <c r="F48978" s="193"/>
    </row>
    <row r="48979" spans="6:6" x14ac:dyDescent="0.3">
      <c r="F48979" s="193"/>
    </row>
    <row r="48980" spans="6:6" x14ac:dyDescent="0.3">
      <c r="F48980" s="193"/>
    </row>
    <row r="48981" spans="6:6" x14ac:dyDescent="0.3">
      <c r="F48981" s="193"/>
    </row>
    <row r="48982" spans="6:6" x14ac:dyDescent="0.3">
      <c r="F48982" s="193"/>
    </row>
    <row r="48983" spans="6:6" x14ac:dyDescent="0.3">
      <c r="F48983" s="193"/>
    </row>
    <row r="48984" spans="6:6" x14ac:dyDescent="0.3">
      <c r="F48984" s="193"/>
    </row>
    <row r="48985" spans="6:6" x14ac:dyDescent="0.3">
      <c r="F48985" s="193"/>
    </row>
    <row r="48986" spans="6:6" x14ac:dyDescent="0.3">
      <c r="F48986" s="193"/>
    </row>
    <row r="48987" spans="6:6" x14ac:dyDescent="0.3">
      <c r="F48987" s="193"/>
    </row>
    <row r="48988" spans="6:6" x14ac:dyDescent="0.3">
      <c r="F48988" s="193"/>
    </row>
    <row r="48989" spans="6:6" x14ac:dyDescent="0.3">
      <c r="F48989" s="193"/>
    </row>
    <row r="48990" spans="6:6" x14ac:dyDescent="0.3">
      <c r="F48990" s="193"/>
    </row>
    <row r="48991" spans="6:6" x14ac:dyDescent="0.3">
      <c r="F48991" s="193"/>
    </row>
    <row r="48992" spans="6:6" x14ac:dyDescent="0.3">
      <c r="F48992" s="193"/>
    </row>
    <row r="48993" spans="6:6" x14ac:dyDescent="0.3">
      <c r="F48993" s="193"/>
    </row>
    <row r="48994" spans="6:6" x14ac:dyDescent="0.3">
      <c r="F48994" s="193"/>
    </row>
    <row r="48995" spans="6:6" x14ac:dyDescent="0.3">
      <c r="F48995" s="193"/>
    </row>
    <row r="48996" spans="6:6" x14ac:dyDescent="0.3">
      <c r="F48996" s="193"/>
    </row>
    <row r="48997" spans="6:6" x14ac:dyDescent="0.3">
      <c r="F48997" s="193"/>
    </row>
    <row r="48998" spans="6:6" x14ac:dyDescent="0.3">
      <c r="F48998" s="193"/>
    </row>
    <row r="48999" spans="6:6" x14ac:dyDescent="0.3">
      <c r="F48999" s="193"/>
    </row>
    <row r="49000" spans="6:6" x14ac:dyDescent="0.3">
      <c r="F49000" s="193"/>
    </row>
    <row r="49001" spans="6:6" x14ac:dyDescent="0.3">
      <c r="F49001" s="193"/>
    </row>
    <row r="49002" spans="6:6" x14ac:dyDescent="0.3">
      <c r="F49002" s="193"/>
    </row>
    <row r="49003" spans="6:6" x14ac:dyDescent="0.3">
      <c r="F49003" s="193"/>
    </row>
    <row r="49004" spans="6:6" x14ac:dyDescent="0.3">
      <c r="F49004" s="193"/>
    </row>
    <row r="49005" spans="6:6" x14ac:dyDescent="0.3">
      <c r="F49005" s="193"/>
    </row>
    <row r="49006" spans="6:6" x14ac:dyDescent="0.3">
      <c r="F49006" s="193"/>
    </row>
    <row r="49007" spans="6:6" x14ac:dyDescent="0.3">
      <c r="F49007" s="193"/>
    </row>
    <row r="49008" spans="6:6" x14ac:dyDescent="0.3">
      <c r="F49008" s="193"/>
    </row>
    <row r="49009" spans="6:6" x14ac:dyDescent="0.3">
      <c r="F49009" s="193"/>
    </row>
    <row r="49010" spans="6:6" x14ac:dyDescent="0.3">
      <c r="F49010" s="193"/>
    </row>
    <row r="49011" spans="6:6" x14ac:dyDescent="0.3">
      <c r="F49011" s="193"/>
    </row>
    <row r="49012" spans="6:6" x14ac:dyDescent="0.3">
      <c r="F49012" s="193"/>
    </row>
    <row r="49013" spans="6:6" x14ac:dyDescent="0.3">
      <c r="F49013" s="193"/>
    </row>
    <row r="49014" spans="6:6" x14ac:dyDescent="0.3">
      <c r="F49014" s="193"/>
    </row>
    <row r="49015" spans="6:6" x14ac:dyDescent="0.3">
      <c r="F49015" s="193"/>
    </row>
    <row r="49016" spans="6:6" x14ac:dyDescent="0.3">
      <c r="F49016" s="193"/>
    </row>
    <row r="49017" spans="6:6" x14ac:dyDescent="0.3">
      <c r="F49017" s="193"/>
    </row>
    <row r="49018" spans="6:6" x14ac:dyDescent="0.3">
      <c r="F49018" s="193"/>
    </row>
    <row r="49019" spans="6:6" x14ac:dyDescent="0.3">
      <c r="F49019" s="193"/>
    </row>
    <row r="49020" spans="6:6" x14ac:dyDescent="0.3">
      <c r="F49020" s="193"/>
    </row>
    <row r="49021" spans="6:6" x14ac:dyDescent="0.3">
      <c r="F49021" s="193"/>
    </row>
    <row r="49022" spans="6:6" x14ac:dyDescent="0.3">
      <c r="F49022" s="193"/>
    </row>
    <row r="49023" spans="6:6" x14ac:dyDescent="0.3">
      <c r="F49023" s="193"/>
    </row>
    <row r="49024" spans="6:6" x14ac:dyDescent="0.3">
      <c r="F49024" s="193"/>
    </row>
    <row r="49025" spans="6:6" x14ac:dyDescent="0.3">
      <c r="F49025" s="193"/>
    </row>
    <row r="49026" spans="6:6" x14ac:dyDescent="0.3">
      <c r="F49026" s="193"/>
    </row>
    <row r="49027" spans="6:6" x14ac:dyDescent="0.3">
      <c r="F49027" s="193"/>
    </row>
    <row r="49028" spans="6:6" x14ac:dyDescent="0.3">
      <c r="F49028" s="193"/>
    </row>
    <row r="49029" spans="6:6" x14ac:dyDescent="0.3">
      <c r="F49029" s="193"/>
    </row>
    <row r="49030" spans="6:6" x14ac:dyDescent="0.3">
      <c r="F49030" s="193"/>
    </row>
    <row r="49031" spans="6:6" x14ac:dyDescent="0.3">
      <c r="F49031" s="193"/>
    </row>
    <row r="49032" spans="6:6" x14ac:dyDescent="0.3">
      <c r="F49032" s="193"/>
    </row>
    <row r="49033" spans="6:6" x14ac:dyDescent="0.3">
      <c r="F49033" s="193"/>
    </row>
    <row r="49034" spans="6:6" x14ac:dyDescent="0.3">
      <c r="F49034" s="193"/>
    </row>
    <row r="49035" spans="6:6" x14ac:dyDescent="0.3">
      <c r="F49035" s="193"/>
    </row>
    <row r="49036" spans="6:6" x14ac:dyDescent="0.3">
      <c r="F49036" s="193"/>
    </row>
    <row r="49037" spans="6:6" x14ac:dyDescent="0.3">
      <c r="F49037" s="193"/>
    </row>
    <row r="49038" spans="6:6" x14ac:dyDescent="0.3">
      <c r="F49038" s="193"/>
    </row>
    <row r="49039" spans="6:6" x14ac:dyDescent="0.3">
      <c r="F49039" s="193"/>
    </row>
    <row r="49040" spans="6:6" x14ac:dyDescent="0.3">
      <c r="F49040" s="193"/>
    </row>
    <row r="49041" spans="6:6" x14ac:dyDescent="0.3">
      <c r="F49041" s="193"/>
    </row>
    <row r="49042" spans="6:6" x14ac:dyDescent="0.3">
      <c r="F49042" s="193"/>
    </row>
    <row r="49043" spans="6:6" x14ac:dyDescent="0.3">
      <c r="F49043" s="193"/>
    </row>
    <row r="49044" spans="6:6" x14ac:dyDescent="0.3">
      <c r="F49044" s="193"/>
    </row>
    <row r="49045" spans="6:6" x14ac:dyDescent="0.3">
      <c r="F49045" s="193"/>
    </row>
    <row r="49046" spans="6:6" x14ac:dyDescent="0.3">
      <c r="F49046" s="193"/>
    </row>
    <row r="49047" spans="6:6" x14ac:dyDescent="0.3">
      <c r="F49047" s="193"/>
    </row>
    <row r="49048" spans="6:6" x14ac:dyDescent="0.3">
      <c r="F49048" s="193"/>
    </row>
    <row r="49049" spans="6:6" x14ac:dyDescent="0.3">
      <c r="F49049" s="193"/>
    </row>
    <row r="49050" spans="6:6" x14ac:dyDescent="0.3">
      <c r="F49050" s="193"/>
    </row>
    <row r="49051" spans="6:6" x14ac:dyDescent="0.3">
      <c r="F49051" s="193"/>
    </row>
    <row r="49052" spans="6:6" x14ac:dyDescent="0.3">
      <c r="F49052" s="193"/>
    </row>
    <row r="49053" spans="6:6" x14ac:dyDescent="0.3">
      <c r="F49053" s="193"/>
    </row>
    <row r="49054" spans="6:6" x14ac:dyDescent="0.3">
      <c r="F49054" s="193"/>
    </row>
    <row r="49055" spans="6:6" x14ac:dyDescent="0.3">
      <c r="F49055" s="193"/>
    </row>
    <row r="49056" spans="6:6" x14ac:dyDescent="0.3">
      <c r="F49056" s="193"/>
    </row>
    <row r="49057" spans="6:6" x14ac:dyDescent="0.3">
      <c r="F49057" s="193"/>
    </row>
    <row r="49058" spans="6:6" x14ac:dyDescent="0.3">
      <c r="F49058" s="193"/>
    </row>
    <row r="49059" spans="6:6" x14ac:dyDescent="0.3">
      <c r="F49059" s="193"/>
    </row>
    <row r="49060" spans="6:6" x14ac:dyDescent="0.3">
      <c r="F49060" s="193"/>
    </row>
    <row r="49061" spans="6:6" x14ac:dyDescent="0.3">
      <c r="F49061" s="193"/>
    </row>
    <row r="49062" spans="6:6" x14ac:dyDescent="0.3">
      <c r="F49062" s="193"/>
    </row>
    <row r="49063" spans="6:6" x14ac:dyDescent="0.3">
      <c r="F49063" s="193"/>
    </row>
    <row r="49064" spans="6:6" x14ac:dyDescent="0.3">
      <c r="F49064" s="193"/>
    </row>
    <row r="49065" spans="6:6" x14ac:dyDescent="0.3">
      <c r="F49065" s="193"/>
    </row>
    <row r="49066" spans="6:6" x14ac:dyDescent="0.3">
      <c r="F49066" s="193"/>
    </row>
    <row r="49067" spans="6:6" x14ac:dyDescent="0.3">
      <c r="F49067" s="193"/>
    </row>
    <row r="49068" spans="6:6" x14ac:dyDescent="0.3">
      <c r="F49068" s="193"/>
    </row>
    <row r="49069" spans="6:6" x14ac:dyDescent="0.3">
      <c r="F49069" s="193"/>
    </row>
    <row r="49070" spans="6:6" x14ac:dyDescent="0.3">
      <c r="F49070" s="193"/>
    </row>
    <row r="49071" spans="6:6" x14ac:dyDescent="0.3">
      <c r="F49071" s="193"/>
    </row>
    <row r="49072" spans="6:6" x14ac:dyDescent="0.3">
      <c r="F49072" s="193"/>
    </row>
    <row r="49073" spans="6:6" x14ac:dyDescent="0.3">
      <c r="F49073" s="193"/>
    </row>
    <row r="49074" spans="6:6" x14ac:dyDescent="0.3">
      <c r="F49074" s="193"/>
    </row>
    <row r="49075" spans="6:6" x14ac:dyDescent="0.3">
      <c r="F49075" s="193"/>
    </row>
    <row r="49076" spans="6:6" x14ac:dyDescent="0.3">
      <c r="F49076" s="193"/>
    </row>
    <row r="49077" spans="6:6" x14ac:dyDescent="0.3">
      <c r="F49077" s="193"/>
    </row>
    <row r="49078" spans="6:6" x14ac:dyDescent="0.3">
      <c r="F49078" s="193"/>
    </row>
    <row r="49079" spans="6:6" x14ac:dyDescent="0.3">
      <c r="F49079" s="193"/>
    </row>
    <row r="49080" spans="6:6" x14ac:dyDescent="0.3">
      <c r="F49080" s="193"/>
    </row>
    <row r="49081" spans="6:6" x14ac:dyDescent="0.3">
      <c r="F49081" s="193"/>
    </row>
    <row r="49082" spans="6:6" x14ac:dyDescent="0.3">
      <c r="F49082" s="193"/>
    </row>
    <row r="49083" spans="6:6" x14ac:dyDescent="0.3">
      <c r="F49083" s="193"/>
    </row>
    <row r="49084" spans="6:6" x14ac:dyDescent="0.3">
      <c r="F49084" s="193"/>
    </row>
    <row r="49085" spans="6:6" x14ac:dyDescent="0.3">
      <c r="F49085" s="193"/>
    </row>
    <row r="49086" spans="6:6" x14ac:dyDescent="0.3">
      <c r="F49086" s="193"/>
    </row>
    <row r="49087" spans="6:6" x14ac:dyDescent="0.3">
      <c r="F49087" s="193"/>
    </row>
    <row r="49088" spans="6:6" x14ac:dyDescent="0.3">
      <c r="F49088" s="193"/>
    </row>
    <row r="49089" spans="6:6" x14ac:dyDescent="0.3">
      <c r="F49089" s="193"/>
    </row>
    <row r="49090" spans="6:6" x14ac:dyDescent="0.3">
      <c r="F49090" s="193"/>
    </row>
    <row r="49091" spans="6:6" x14ac:dyDescent="0.3">
      <c r="F49091" s="193"/>
    </row>
    <row r="49092" spans="6:6" x14ac:dyDescent="0.3">
      <c r="F49092" s="193"/>
    </row>
    <row r="49093" spans="6:6" x14ac:dyDescent="0.3">
      <c r="F49093" s="193"/>
    </row>
    <row r="49094" spans="6:6" x14ac:dyDescent="0.3">
      <c r="F49094" s="193"/>
    </row>
    <row r="49095" spans="6:6" x14ac:dyDescent="0.3">
      <c r="F49095" s="193"/>
    </row>
    <row r="49096" spans="6:6" x14ac:dyDescent="0.3">
      <c r="F49096" s="193"/>
    </row>
    <row r="49097" spans="6:6" x14ac:dyDescent="0.3">
      <c r="F49097" s="193"/>
    </row>
    <row r="49098" spans="6:6" x14ac:dyDescent="0.3">
      <c r="F49098" s="193"/>
    </row>
    <row r="49099" spans="6:6" x14ac:dyDescent="0.3">
      <c r="F49099" s="193"/>
    </row>
    <row r="49100" spans="6:6" x14ac:dyDescent="0.3">
      <c r="F49100" s="193"/>
    </row>
    <row r="49101" spans="6:6" x14ac:dyDescent="0.3">
      <c r="F49101" s="193"/>
    </row>
    <row r="49102" spans="6:6" x14ac:dyDescent="0.3">
      <c r="F49102" s="193"/>
    </row>
    <row r="49103" spans="6:6" x14ac:dyDescent="0.3">
      <c r="F49103" s="193"/>
    </row>
    <row r="49104" spans="6:6" x14ac:dyDescent="0.3">
      <c r="F49104" s="193"/>
    </row>
    <row r="49105" spans="6:6" x14ac:dyDescent="0.3">
      <c r="F49105" s="193"/>
    </row>
    <row r="49106" spans="6:6" x14ac:dyDescent="0.3">
      <c r="F49106" s="193"/>
    </row>
    <row r="49107" spans="6:6" x14ac:dyDescent="0.3">
      <c r="F49107" s="193"/>
    </row>
    <row r="49108" spans="6:6" x14ac:dyDescent="0.3">
      <c r="F49108" s="193"/>
    </row>
    <row r="49109" spans="6:6" x14ac:dyDescent="0.3">
      <c r="F49109" s="193"/>
    </row>
    <row r="49110" spans="6:6" x14ac:dyDescent="0.3">
      <c r="F49110" s="193"/>
    </row>
    <row r="49111" spans="6:6" x14ac:dyDescent="0.3">
      <c r="F49111" s="193"/>
    </row>
    <row r="49112" spans="6:6" x14ac:dyDescent="0.3">
      <c r="F49112" s="193"/>
    </row>
    <row r="49113" spans="6:6" x14ac:dyDescent="0.3">
      <c r="F49113" s="193"/>
    </row>
    <row r="49114" spans="6:6" x14ac:dyDescent="0.3">
      <c r="F49114" s="193"/>
    </row>
    <row r="49115" spans="6:6" x14ac:dyDescent="0.3">
      <c r="F49115" s="193"/>
    </row>
    <row r="49116" spans="6:6" x14ac:dyDescent="0.3">
      <c r="F49116" s="193"/>
    </row>
    <row r="49117" spans="6:6" x14ac:dyDescent="0.3">
      <c r="F49117" s="193"/>
    </row>
    <row r="49118" spans="6:6" x14ac:dyDescent="0.3">
      <c r="F49118" s="193"/>
    </row>
    <row r="49119" spans="6:6" x14ac:dyDescent="0.3">
      <c r="F49119" s="193"/>
    </row>
    <row r="49120" spans="6:6" x14ac:dyDescent="0.3">
      <c r="F49120" s="193"/>
    </row>
    <row r="49121" spans="6:6" x14ac:dyDescent="0.3">
      <c r="F49121" s="193"/>
    </row>
    <row r="49122" spans="6:6" x14ac:dyDescent="0.3">
      <c r="F49122" s="193"/>
    </row>
    <row r="49123" spans="6:6" x14ac:dyDescent="0.3">
      <c r="F49123" s="193"/>
    </row>
    <row r="49124" spans="6:6" x14ac:dyDescent="0.3">
      <c r="F49124" s="193"/>
    </row>
    <row r="49125" spans="6:6" x14ac:dyDescent="0.3">
      <c r="F49125" s="193"/>
    </row>
    <row r="49126" spans="6:6" x14ac:dyDescent="0.3">
      <c r="F49126" s="193"/>
    </row>
    <row r="49127" spans="6:6" x14ac:dyDescent="0.3">
      <c r="F49127" s="193"/>
    </row>
    <row r="49128" spans="6:6" x14ac:dyDescent="0.3">
      <c r="F49128" s="193"/>
    </row>
    <row r="49129" spans="6:6" x14ac:dyDescent="0.3">
      <c r="F49129" s="193"/>
    </row>
    <row r="49130" spans="6:6" x14ac:dyDescent="0.3">
      <c r="F49130" s="193"/>
    </row>
    <row r="49131" spans="6:6" x14ac:dyDescent="0.3">
      <c r="F49131" s="193"/>
    </row>
    <row r="49132" spans="6:6" x14ac:dyDescent="0.3">
      <c r="F49132" s="193"/>
    </row>
    <row r="49133" spans="6:6" x14ac:dyDescent="0.3">
      <c r="F49133" s="193"/>
    </row>
    <row r="49134" spans="6:6" x14ac:dyDescent="0.3">
      <c r="F49134" s="193"/>
    </row>
    <row r="49135" spans="6:6" x14ac:dyDescent="0.3">
      <c r="F49135" s="193"/>
    </row>
    <row r="49136" spans="6:6" x14ac:dyDescent="0.3">
      <c r="F49136" s="193"/>
    </row>
    <row r="49137" spans="6:6" x14ac:dyDescent="0.3">
      <c r="F49137" s="193"/>
    </row>
    <row r="49138" spans="6:6" x14ac:dyDescent="0.3">
      <c r="F49138" s="193"/>
    </row>
    <row r="49139" spans="6:6" x14ac:dyDescent="0.3">
      <c r="F49139" s="193"/>
    </row>
    <row r="49140" spans="6:6" x14ac:dyDescent="0.3">
      <c r="F49140" s="193"/>
    </row>
    <row r="49141" spans="6:6" x14ac:dyDescent="0.3">
      <c r="F49141" s="193"/>
    </row>
    <row r="49142" spans="6:6" x14ac:dyDescent="0.3">
      <c r="F49142" s="193"/>
    </row>
    <row r="49143" spans="6:6" x14ac:dyDescent="0.3">
      <c r="F49143" s="193"/>
    </row>
    <row r="49144" spans="6:6" x14ac:dyDescent="0.3">
      <c r="F49144" s="193"/>
    </row>
    <row r="49145" spans="6:6" x14ac:dyDescent="0.3">
      <c r="F49145" s="193"/>
    </row>
    <row r="49146" spans="6:6" x14ac:dyDescent="0.3">
      <c r="F49146" s="193"/>
    </row>
    <row r="49147" spans="6:6" x14ac:dyDescent="0.3">
      <c r="F49147" s="193"/>
    </row>
    <row r="49148" spans="6:6" x14ac:dyDescent="0.3">
      <c r="F49148" s="193"/>
    </row>
    <row r="49149" spans="6:6" x14ac:dyDescent="0.3">
      <c r="F49149" s="193"/>
    </row>
    <row r="49150" spans="6:6" x14ac:dyDescent="0.3">
      <c r="F49150" s="193"/>
    </row>
    <row r="49151" spans="6:6" x14ac:dyDescent="0.3">
      <c r="F49151" s="193"/>
    </row>
    <row r="49152" spans="6:6" x14ac:dyDescent="0.3">
      <c r="F49152" s="193"/>
    </row>
    <row r="49153" spans="6:6" x14ac:dyDescent="0.3">
      <c r="F49153" s="193"/>
    </row>
    <row r="49154" spans="6:6" x14ac:dyDescent="0.3">
      <c r="F49154" s="193"/>
    </row>
    <row r="49155" spans="6:6" x14ac:dyDescent="0.3">
      <c r="F49155" s="193"/>
    </row>
    <row r="49156" spans="6:6" x14ac:dyDescent="0.3">
      <c r="F49156" s="193"/>
    </row>
    <row r="49157" spans="6:6" x14ac:dyDescent="0.3">
      <c r="F49157" s="193"/>
    </row>
    <row r="49158" spans="6:6" x14ac:dyDescent="0.3">
      <c r="F49158" s="193"/>
    </row>
    <row r="49159" spans="6:6" x14ac:dyDescent="0.3">
      <c r="F49159" s="193"/>
    </row>
    <row r="49160" spans="6:6" x14ac:dyDescent="0.3">
      <c r="F49160" s="193"/>
    </row>
    <row r="49161" spans="6:6" x14ac:dyDescent="0.3">
      <c r="F49161" s="193"/>
    </row>
    <row r="49162" spans="6:6" x14ac:dyDescent="0.3">
      <c r="F49162" s="193"/>
    </row>
    <row r="49163" spans="6:6" x14ac:dyDescent="0.3">
      <c r="F49163" s="193"/>
    </row>
    <row r="49164" spans="6:6" x14ac:dyDescent="0.3">
      <c r="F49164" s="193"/>
    </row>
    <row r="49165" spans="6:6" x14ac:dyDescent="0.3">
      <c r="F49165" s="193"/>
    </row>
    <row r="49166" spans="6:6" x14ac:dyDescent="0.3">
      <c r="F49166" s="193"/>
    </row>
    <row r="49167" spans="6:6" x14ac:dyDescent="0.3">
      <c r="F49167" s="193"/>
    </row>
    <row r="49168" spans="6:6" x14ac:dyDescent="0.3">
      <c r="F49168" s="193"/>
    </row>
    <row r="49169" spans="6:6" x14ac:dyDescent="0.3">
      <c r="F49169" s="193"/>
    </row>
    <row r="49170" spans="6:6" x14ac:dyDescent="0.3">
      <c r="F49170" s="193"/>
    </row>
    <row r="49171" spans="6:6" x14ac:dyDescent="0.3">
      <c r="F49171" s="193"/>
    </row>
    <row r="49172" spans="6:6" x14ac:dyDescent="0.3">
      <c r="F49172" s="193"/>
    </row>
    <row r="49173" spans="6:6" x14ac:dyDescent="0.3">
      <c r="F49173" s="193"/>
    </row>
    <row r="49174" spans="6:6" x14ac:dyDescent="0.3">
      <c r="F49174" s="193"/>
    </row>
    <row r="49175" spans="6:6" x14ac:dyDescent="0.3">
      <c r="F49175" s="193"/>
    </row>
    <row r="49176" spans="6:6" x14ac:dyDescent="0.3">
      <c r="F49176" s="193"/>
    </row>
    <row r="49177" spans="6:6" x14ac:dyDescent="0.3">
      <c r="F49177" s="193"/>
    </row>
    <row r="49178" spans="6:6" x14ac:dyDescent="0.3">
      <c r="F49178" s="193"/>
    </row>
    <row r="49179" spans="6:6" x14ac:dyDescent="0.3">
      <c r="F49179" s="193"/>
    </row>
    <row r="49180" spans="6:6" x14ac:dyDescent="0.3">
      <c r="F49180" s="193"/>
    </row>
    <row r="49181" spans="6:6" x14ac:dyDescent="0.3">
      <c r="F49181" s="193"/>
    </row>
    <row r="49182" spans="6:6" x14ac:dyDescent="0.3">
      <c r="F49182" s="193"/>
    </row>
    <row r="49183" spans="6:6" x14ac:dyDescent="0.3">
      <c r="F49183" s="193"/>
    </row>
    <row r="49184" spans="6:6" x14ac:dyDescent="0.3">
      <c r="F49184" s="193"/>
    </row>
    <row r="49185" spans="6:6" x14ac:dyDescent="0.3">
      <c r="F49185" s="193"/>
    </row>
    <row r="49186" spans="6:6" x14ac:dyDescent="0.3">
      <c r="F49186" s="193"/>
    </row>
    <row r="49187" spans="6:6" x14ac:dyDescent="0.3">
      <c r="F49187" s="193"/>
    </row>
    <row r="49188" spans="6:6" x14ac:dyDescent="0.3">
      <c r="F49188" s="193"/>
    </row>
    <row r="49189" spans="6:6" x14ac:dyDescent="0.3">
      <c r="F49189" s="193"/>
    </row>
    <row r="49190" spans="6:6" x14ac:dyDescent="0.3">
      <c r="F49190" s="193"/>
    </row>
    <row r="49191" spans="6:6" x14ac:dyDescent="0.3">
      <c r="F49191" s="193"/>
    </row>
    <row r="49192" spans="6:6" x14ac:dyDescent="0.3">
      <c r="F49192" s="193"/>
    </row>
    <row r="49193" spans="6:6" x14ac:dyDescent="0.3">
      <c r="F49193" s="193"/>
    </row>
    <row r="49194" spans="6:6" x14ac:dyDescent="0.3">
      <c r="F49194" s="193"/>
    </row>
    <row r="49195" spans="6:6" x14ac:dyDescent="0.3">
      <c r="F49195" s="193"/>
    </row>
    <row r="49196" spans="6:6" x14ac:dyDescent="0.3">
      <c r="F49196" s="193"/>
    </row>
    <row r="49197" spans="6:6" x14ac:dyDescent="0.3">
      <c r="F49197" s="193"/>
    </row>
    <row r="49198" spans="6:6" x14ac:dyDescent="0.3">
      <c r="F49198" s="193"/>
    </row>
    <row r="49199" spans="6:6" x14ac:dyDescent="0.3">
      <c r="F49199" s="193"/>
    </row>
    <row r="49200" spans="6:6" x14ac:dyDescent="0.3">
      <c r="F49200" s="193"/>
    </row>
    <row r="49201" spans="6:6" x14ac:dyDescent="0.3">
      <c r="F49201" s="193"/>
    </row>
    <row r="49202" spans="6:6" x14ac:dyDescent="0.3">
      <c r="F49202" s="193"/>
    </row>
    <row r="49203" spans="6:6" x14ac:dyDescent="0.3">
      <c r="F49203" s="193"/>
    </row>
    <row r="49204" spans="6:6" x14ac:dyDescent="0.3">
      <c r="F49204" s="193"/>
    </row>
    <row r="49205" spans="6:6" x14ac:dyDescent="0.3">
      <c r="F49205" s="193"/>
    </row>
    <row r="49206" spans="6:6" x14ac:dyDescent="0.3">
      <c r="F49206" s="193"/>
    </row>
    <row r="49207" spans="6:6" x14ac:dyDescent="0.3">
      <c r="F49207" s="193"/>
    </row>
    <row r="49208" spans="6:6" x14ac:dyDescent="0.3">
      <c r="F49208" s="193"/>
    </row>
    <row r="49209" spans="6:6" x14ac:dyDescent="0.3">
      <c r="F49209" s="193"/>
    </row>
    <row r="49210" spans="6:6" x14ac:dyDescent="0.3">
      <c r="F49210" s="193"/>
    </row>
    <row r="49211" spans="6:6" x14ac:dyDescent="0.3">
      <c r="F49211" s="193"/>
    </row>
    <row r="49212" spans="6:6" x14ac:dyDescent="0.3">
      <c r="F49212" s="193"/>
    </row>
    <row r="49213" spans="6:6" x14ac:dyDescent="0.3">
      <c r="F49213" s="193"/>
    </row>
    <row r="49214" spans="6:6" x14ac:dyDescent="0.3">
      <c r="F49214" s="193"/>
    </row>
    <row r="49215" spans="6:6" x14ac:dyDescent="0.3">
      <c r="F49215" s="193"/>
    </row>
    <row r="49216" spans="6:6" x14ac:dyDescent="0.3">
      <c r="F49216" s="193"/>
    </row>
    <row r="49217" spans="6:6" x14ac:dyDescent="0.3">
      <c r="F49217" s="193"/>
    </row>
    <row r="49218" spans="6:6" x14ac:dyDescent="0.3">
      <c r="F49218" s="193"/>
    </row>
    <row r="49219" spans="6:6" x14ac:dyDescent="0.3">
      <c r="F49219" s="193"/>
    </row>
    <row r="49220" spans="6:6" x14ac:dyDescent="0.3">
      <c r="F49220" s="193"/>
    </row>
    <row r="49221" spans="6:6" x14ac:dyDescent="0.3">
      <c r="F49221" s="193"/>
    </row>
    <row r="49222" spans="6:6" x14ac:dyDescent="0.3">
      <c r="F49222" s="193"/>
    </row>
    <row r="49223" spans="6:6" x14ac:dyDescent="0.3">
      <c r="F49223" s="193"/>
    </row>
    <row r="49224" spans="6:6" x14ac:dyDescent="0.3">
      <c r="F49224" s="193"/>
    </row>
    <row r="49225" spans="6:6" x14ac:dyDescent="0.3">
      <c r="F49225" s="193"/>
    </row>
    <row r="49226" spans="6:6" x14ac:dyDescent="0.3">
      <c r="F49226" s="193"/>
    </row>
    <row r="49227" spans="6:6" x14ac:dyDescent="0.3">
      <c r="F49227" s="193"/>
    </row>
    <row r="49228" spans="6:6" x14ac:dyDescent="0.3">
      <c r="F49228" s="193"/>
    </row>
    <row r="49229" spans="6:6" x14ac:dyDescent="0.3">
      <c r="F49229" s="193"/>
    </row>
    <row r="49230" spans="6:6" x14ac:dyDescent="0.3">
      <c r="F49230" s="193"/>
    </row>
    <row r="49231" spans="6:6" x14ac:dyDescent="0.3">
      <c r="F49231" s="193"/>
    </row>
    <row r="49232" spans="6:6" x14ac:dyDescent="0.3">
      <c r="F49232" s="193"/>
    </row>
    <row r="49233" spans="6:6" x14ac:dyDescent="0.3">
      <c r="F49233" s="193"/>
    </row>
    <row r="49234" spans="6:6" x14ac:dyDescent="0.3">
      <c r="F49234" s="193"/>
    </row>
    <row r="49235" spans="6:6" x14ac:dyDescent="0.3">
      <c r="F49235" s="193"/>
    </row>
    <row r="49236" spans="6:6" x14ac:dyDescent="0.3">
      <c r="F49236" s="193"/>
    </row>
    <row r="49237" spans="6:6" x14ac:dyDescent="0.3">
      <c r="F49237" s="193"/>
    </row>
    <row r="49238" spans="6:6" x14ac:dyDescent="0.3">
      <c r="F49238" s="193"/>
    </row>
    <row r="49239" spans="6:6" x14ac:dyDescent="0.3">
      <c r="F49239" s="193"/>
    </row>
    <row r="49240" spans="6:6" x14ac:dyDescent="0.3">
      <c r="F49240" s="193"/>
    </row>
    <row r="49241" spans="6:6" x14ac:dyDescent="0.3">
      <c r="F49241" s="193"/>
    </row>
    <row r="49242" spans="6:6" x14ac:dyDescent="0.3">
      <c r="F49242" s="193"/>
    </row>
    <row r="49243" spans="6:6" x14ac:dyDescent="0.3">
      <c r="F49243" s="193"/>
    </row>
    <row r="49244" spans="6:6" x14ac:dyDescent="0.3">
      <c r="F49244" s="193"/>
    </row>
    <row r="49245" spans="6:6" x14ac:dyDescent="0.3">
      <c r="F49245" s="193"/>
    </row>
    <row r="49246" spans="6:6" x14ac:dyDescent="0.3">
      <c r="F49246" s="193"/>
    </row>
    <row r="49247" spans="6:6" x14ac:dyDescent="0.3">
      <c r="F49247" s="193"/>
    </row>
    <row r="49248" spans="6:6" x14ac:dyDescent="0.3">
      <c r="F49248" s="193"/>
    </row>
    <row r="49249" spans="6:6" x14ac:dyDescent="0.3">
      <c r="F49249" s="193"/>
    </row>
    <row r="49250" spans="6:6" x14ac:dyDescent="0.3">
      <c r="F49250" s="193"/>
    </row>
    <row r="49251" spans="6:6" x14ac:dyDescent="0.3">
      <c r="F49251" s="193"/>
    </row>
    <row r="49252" spans="6:6" x14ac:dyDescent="0.3">
      <c r="F49252" s="193"/>
    </row>
    <row r="49253" spans="6:6" x14ac:dyDescent="0.3">
      <c r="F49253" s="193"/>
    </row>
    <row r="49254" spans="6:6" x14ac:dyDescent="0.3">
      <c r="F49254" s="193"/>
    </row>
    <row r="49255" spans="6:6" x14ac:dyDescent="0.3">
      <c r="F49255" s="193"/>
    </row>
    <row r="49256" spans="6:6" x14ac:dyDescent="0.3">
      <c r="F49256" s="193"/>
    </row>
    <row r="49257" spans="6:6" x14ac:dyDescent="0.3">
      <c r="F49257" s="193"/>
    </row>
    <row r="49258" spans="6:6" x14ac:dyDescent="0.3">
      <c r="F49258" s="193"/>
    </row>
    <row r="49259" spans="6:6" x14ac:dyDescent="0.3">
      <c r="F49259" s="193"/>
    </row>
    <row r="49260" spans="6:6" x14ac:dyDescent="0.3">
      <c r="F49260" s="193"/>
    </row>
    <row r="49261" spans="6:6" x14ac:dyDescent="0.3">
      <c r="F49261" s="193"/>
    </row>
    <row r="49262" spans="6:6" x14ac:dyDescent="0.3">
      <c r="F49262" s="193"/>
    </row>
    <row r="49263" spans="6:6" x14ac:dyDescent="0.3">
      <c r="F49263" s="193"/>
    </row>
    <row r="49264" spans="6:6" x14ac:dyDescent="0.3">
      <c r="F49264" s="193"/>
    </row>
    <row r="49265" spans="6:6" x14ac:dyDescent="0.3">
      <c r="F49265" s="193"/>
    </row>
    <row r="49266" spans="6:6" x14ac:dyDescent="0.3">
      <c r="F49266" s="193"/>
    </row>
    <row r="49267" spans="6:6" x14ac:dyDescent="0.3">
      <c r="F49267" s="193"/>
    </row>
    <row r="49268" spans="6:6" x14ac:dyDescent="0.3">
      <c r="F49268" s="193"/>
    </row>
    <row r="49269" spans="6:6" x14ac:dyDescent="0.3">
      <c r="F49269" s="193"/>
    </row>
    <row r="49270" spans="6:6" x14ac:dyDescent="0.3">
      <c r="F49270" s="193"/>
    </row>
    <row r="49271" spans="6:6" x14ac:dyDescent="0.3">
      <c r="F49271" s="193"/>
    </row>
    <row r="49272" spans="6:6" x14ac:dyDescent="0.3">
      <c r="F49272" s="193"/>
    </row>
    <row r="49273" spans="6:6" x14ac:dyDescent="0.3">
      <c r="F49273" s="193"/>
    </row>
    <row r="49274" spans="6:6" x14ac:dyDescent="0.3">
      <c r="F49274" s="193"/>
    </row>
    <row r="49275" spans="6:6" x14ac:dyDescent="0.3">
      <c r="F49275" s="193"/>
    </row>
    <row r="49276" spans="6:6" x14ac:dyDescent="0.3">
      <c r="F49276" s="193"/>
    </row>
    <row r="49277" spans="6:6" x14ac:dyDescent="0.3">
      <c r="F49277" s="193"/>
    </row>
    <row r="49278" spans="6:6" x14ac:dyDescent="0.3">
      <c r="F49278" s="193"/>
    </row>
    <row r="49279" spans="6:6" x14ac:dyDescent="0.3">
      <c r="F49279" s="193"/>
    </row>
    <row r="49280" spans="6:6" x14ac:dyDescent="0.3">
      <c r="F49280" s="193"/>
    </row>
    <row r="49281" spans="6:6" x14ac:dyDescent="0.3">
      <c r="F49281" s="193"/>
    </row>
    <row r="49282" spans="6:6" x14ac:dyDescent="0.3">
      <c r="F49282" s="193"/>
    </row>
    <row r="49283" spans="6:6" x14ac:dyDescent="0.3">
      <c r="F49283" s="193"/>
    </row>
    <row r="49284" spans="6:6" x14ac:dyDescent="0.3">
      <c r="F49284" s="193"/>
    </row>
    <row r="49285" spans="6:6" x14ac:dyDescent="0.3">
      <c r="F49285" s="193"/>
    </row>
    <row r="49286" spans="6:6" x14ac:dyDescent="0.3">
      <c r="F49286" s="193"/>
    </row>
    <row r="49287" spans="6:6" x14ac:dyDescent="0.3">
      <c r="F49287" s="193"/>
    </row>
    <row r="49288" spans="6:6" x14ac:dyDescent="0.3">
      <c r="F49288" s="193"/>
    </row>
    <row r="49289" spans="6:6" x14ac:dyDescent="0.3">
      <c r="F49289" s="193"/>
    </row>
    <row r="49290" spans="6:6" x14ac:dyDescent="0.3">
      <c r="F49290" s="193"/>
    </row>
    <row r="49291" spans="6:6" x14ac:dyDescent="0.3">
      <c r="F49291" s="193"/>
    </row>
    <row r="49292" spans="6:6" x14ac:dyDescent="0.3">
      <c r="F49292" s="193"/>
    </row>
    <row r="49293" spans="6:6" x14ac:dyDescent="0.3">
      <c r="F49293" s="193"/>
    </row>
    <row r="49294" spans="6:6" x14ac:dyDescent="0.3">
      <c r="F49294" s="193"/>
    </row>
    <row r="49295" spans="6:6" x14ac:dyDescent="0.3">
      <c r="F49295" s="193"/>
    </row>
    <row r="49296" spans="6:6" x14ac:dyDescent="0.3">
      <c r="F49296" s="193"/>
    </row>
    <row r="49297" spans="6:6" x14ac:dyDescent="0.3">
      <c r="F49297" s="193"/>
    </row>
    <row r="49298" spans="6:6" x14ac:dyDescent="0.3">
      <c r="F49298" s="193"/>
    </row>
    <row r="49299" spans="6:6" x14ac:dyDescent="0.3">
      <c r="F49299" s="193"/>
    </row>
    <row r="49300" spans="6:6" x14ac:dyDescent="0.3">
      <c r="F49300" s="193"/>
    </row>
    <row r="49301" spans="6:6" x14ac:dyDescent="0.3">
      <c r="F49301" s="193"/>
    </row>
    <row r="49302" spans="6:6" x14ac:dyDescent="0.3">
      <c r="F49302" s="193"/>
    </row>
    <row r="49303" spans="6:6" x14ac:dyDescent="0.3">
      <c r="F49303" s="193"/>
    </row>
    <row r="49304" spans="6:6" x14ac:dyDescent="0.3">
      <c r="F49304" s="193"/>
    </row>
    <row r="49305" spans="6:6" x14ac:dyDescent="0.3">
      <c r="F49305" s="193"/>
    </row>
    <row r="49306" spans="6:6" x14ac:dyDescent="0.3">
      <c r="F49306" s="193"/>
    </row>
    <row r="49307" spans="6:6" x14ac:dyDescent="0.3">
      <c r="F49307" s="193"/>
    </row>
    <row r="49308" spans="6:6" x14ac:dyDescent="0.3">
      <c r="F49308" s="193"/>
    </row>
    <row r="49309" spans="6:6" x14ac:dyDescent="0.3">
      <c r="F49309" s="193"/>
    </row>
    <row r="49310" spans="6:6" x14ac:dyDescent="0.3">
      <c r="F49310" s="193"/>
    </row>
    <row r="49311" spans="6:6" x14ac:dyDescent="0.3">
      <c r="F49311" s="193"/>
    </row>
    <row r="49312" spans="6:6" x14ac:dyDescent="0.3">
      <c r="F49312" s="193"/>
    </row>
    <row r="49313" spans="6:6" x14ac:dyDescent="0.3">
      <c r="F49313" s="193"/>
    </row>
    <row r="49314" spans="6:6" x14ac:dyDescent="0.3">
      <c r="F49314" s="193"/>
    </row>
    <row r="49315" spans="6:6" x14ac:dyDescent="0.3">
      <c r="F49315" s="193"/>
    </row>
    <row r="49316" spans="6:6" x14ac:dyDescent="0.3">
      <c r="F49316" s="193"/>
    </row>
    <row r="49317" spans="6:6" x14ac:dyDescent="0.3">
      <c r="F49317" s="193"/>
    </row>
    <row r="49318" spans="6:6" x14ac:dyDescent="0.3">
      <c r="F49318" s="193"/>
    </row>
    <row r="49319" spans="6:6" x14ac:dyDescent="0.3">
      <c r="F49319" s="193"/>
    </row>
    <row r="49320" spans="6:6" x14ac:dyDescent="0.3">
      <c r="F49320" s="193"/>
    </row>
    <row r="49321" spans="6:6" x14ac:dyDescent="0.3">
      <c r="F49321" s="193"/>
    </row>
    <row r="49322" spans="6:6" x14ac:dyDescent="0.3">
      <c r="F49322" s="193"/>
    </row>
    <row r="49323" spans="6:6" x14ac:dyDescent="0.3">
      <c r="F49323" s="193"/>
    </row>
    <row r="49324" spans="6:6" x14ac:dyDescent="0.3">
      <c r="F49324" s="193"/>
    </row>
    <row r="49325" spans="6:6" x14ac:dyDescent="0.3">
      <c r="F49325" s="193"/>
    </row>
    <row r="49326" spans="6:6" x14ac:dyDescent="0.3">
      <c r="F49326" s="193"/>
    </row>
    <row r="49327" spans="6:6" x14ac:dyDescent="0.3">
      <c r="F49327" s="193"/>
    </row>
    <row r="49328" spans="6:6" x14ac:dyDescent="0.3">
      <c r="F49328" s="193"/>
    </row>
    <row r="49329" spans="6:6" x14ac:dyDescent="0.3">
      <c r="F49329" s="193"/>
    </row>
    <row r="49330" spans="6:6" x14ac:dyDescent="0.3">
      <c r="F49330" s="193"/>
    </row>
    <row r="49331" spans="6:6" x14ac:dyDescent="0.3">
      <c r="F49331" s="193"/>
    </row>
    <row r="49332" spans="6:6" x14ac:dyDescent="0.3">
      <c r="F49332" s="193"/>
    </row>
    <row r="49333" spans="6:6" x14ac:dyDescent="0.3">
      <c r="F49333" s="193"/>
    </row>
    <row r="49334" spans="6:6" x14ac:dyDescent="0.3">
      <c r="F49334" s="193"/>
    </row>
    <row r="49335" spans="6:6" x14ac:dyDescent="0.3">
      <c r="F49335" s="193"/>
    </row>
    <row r="49336" spans="6:6" x14ac:dyDescent="0.3">
      <c r="F49336" s="193"/>
    </row>
    <row r="49337" spans="6:6" x14ac:dyDescent="0.3">
      <c r="F49337" s="193"/>
    </row>
    <row r="49338" spans="6:6" x14ac:dyDescent="0.3">
      <c r="F49338" s="193"/>
    </row>
    <row r="49339" spans="6:6" x14ac:dyDescent="0.3">
      <c r="F49339" s="193"/>
    </row>
    <row r="49340" spans="6:6" x14ac:dyDescent="0.3">
      <c r="F49340" s="193"/>
    </row>
    <row r="49341" spans="6:6" x14ac:dyDescent="0.3">
      <c r="F49341" s="193"/>
    </row>
    <row r="49342" spans="6:6" x14ac:dyDescent="0.3">
      <c r="F49342" s="193"/>
    </row>
    <row r="49343" spans="6:6" x14ac:dyDescent="0.3">
      <c r="F49343" s="193"/>
    </row>
    <row r="49344" spans="6:6" x14ac:dyDescent="0.3">
      <c r="F49344" s="193"/>
    </row>
    <row r="49345" spans="6:6" x14ac:dyDescent="0.3">
      <c r="F49345" s="193"/>
    </row>
    <row r="49346" spans="6:6" x14ac:dyDescent="0.3">
      <c r="F49346" s="193"/>
    </row>
    <row r="49347" spans="6:6" x14ac:dyDescent="0.3">
      <c r="F49347" s="193"/>
    </row>
    <row r="49348" spans="6:6" x14ac:dyDescent="0.3">
      <c r="F49348" s="193"/>
    </row>
    <row r="49349" spans="6:6" x14ac:dyDescent="0.3">
      <c r="F49349" s="193"/>
    </row>
    <row r="49350" spans="6:6" x14ac:dyDescent="0.3">
      <c r="F49350" s="193"/>
    </row>
    <row r="49351" spans="6:6" x14ac:dyDescent="0.3">
      <c r="F49351" s="193"/>
    </row>
    <row r="49352" spans="6:6" x14ac:dyDescent="0.3">
      <c r="F49352" s="193"/>
    </row>
    <row r="49353" spans="6:6" x14ac:dyDescent="0.3">
      <c r="F49353" s="193"/>
    </row>
    <row r="49354" spans="6:6" x14ac:dyDescent="0.3">
      <c r="F49354" s="193"/>
    </row>
    <row r="49355" spans="6:6" x14ac:dyDescent="0.3">
      <c r="F49355" s="193"/>
    </row>
    <row r="49356" spans="6:6" x14ac:dyDescent="0.3">
      <c r="F49356" s="193"/>
    </row>
    <row r="49357" spans="6:6" x14ac:dyDescent="0.3">
      <c r="F49357" s="193"/>
    </row>
    <row r="49358" spans="6:6" x14ac:dyDescent="0.3">
      <c r="F49358" s="193"/>
    </row>
    <row r="49359" spans="6:6" x14ac:dyDescent="0.3">
      <c r="F49359" s="193"/>
    </row>
    <row r="49360" spans="6:6" x14ac:dyDescent="0.3">
      <c r="F49360" s="193"/>
    </row>
    <row r="49361" spans="6:6" x14ac:dyDescent="0.3">
      <c r="F49361" s="193"/>
    </row>
    <row r="49362" spans="6:6" x14ac:dyDescent="0.3">
      <c r="F49362" s="193"/>
    </row>
    <row r="49363" spans="6:6" x14ac:dyDescent="0.3">
      <c r="F49363" s="193"/>
    </row>
    <row r="49364" spans="6:6" x14ac:dyDescent="0.3">
      <c r="F49364" s="193"/>
    </row>
    <row r="49365" spans="6:6" x14ac:dyDescent="0.3">
      <c r="F49365" s="193"/>
    </row>
    <row r="49366" spans="6:6" x14ac:dyDescent="0.3">
      <c r="F49366" s="193"/>
    </row>
    <row r="49367" spans="6:6" x14ac:dyDescent="0.3">
      <c r="F49367" s="193"/>
    </row>
    <row r="49368" spans="6:6" x14ac:dyDescent="0.3">
      <c r="F49368" s="193"/>
    </row>
    <row r="49369" spans="6:6" x14ac:dyDescent="0.3">
      <c r="F49369" s="193"/>
    </row>
    <row r="49370" spans="6:6" x14ac:dyDescent="0.3">
      <c r="F49370" s="193"/>
    </row>
    <row r="49371" spans="6:6" x14ac:dyDescent="0.3">
      <c r="F49371" s="193"/>
    </row>
    <row r="49372" spans="6:6" x14ac:dyDescent="0.3">
      <c r="F49372" s="193"/>
    </row>
    <row r="49373" spans="6:6" x14ac:dyDescent="0.3">
      <c r="F49373" s="193"/>
    </row>
    <row r="49374" spans="6:6" x14ac:dyDescent="0.3">
      <c r="F49374" s="193"/>
    </row>
    <row r="49375" spans="6:6" x14ac:dyDescent="0.3">
      <c r="F49375" s="193"/>
    </row>
    <row r="49376" spans="6:6" x14ac:dyDescent="0.3">
      <c r="F49376" s="193"/>
    </row>
    <row r="49377" spans="6:6" x14ac:dyDescent="0.3">
      <c r="F49377" s="193"/>
    </row>
    <row r="49378" spans="6:6" x14ac:dyDescent="0.3">
      <c r="F49378" s="193"/>
    </row>
    <row r="49379" spans="6:6" x14ac:dyDescent="0.3">
      <c r="F49379" s="193"/>
    </row>
    <row r="49380" spans="6:6" x14ac:dyDescent="0.3">
      <c r="F49380" s="193"/>
    </row>
    <row r="49381" spans="6:6" x14ac:dyDescent="0.3">
      <c r="F49381" s="193"/>
    </row>
    <row r="49382" spans="6:6" x14ac:dyDescent="0.3">
      <c r="F49382" s="193"/>
    </row>
    <row r="49383" spans="6:6" x14ac:dyDescent="0.3">
      <c r="F49383" s="193"/>
    </row>
    <row r="49384" spans="6:6" x14ac:dyDescent="0.3">
      <c r="F49384" s="193"/>
    </row>
    <row r="49385" spans="6:6" x14ac:dyDescent="0.3">
      <c r="F49385" s="193"/>
    </row>
    <row r="49386" spans="6:6" x14ac:dyDescent="0.3">
      <c r="F49386" s="193"/>
    </row>
    <row r="49387" spans="6:6" x14ac:dyDescent="0.3">
      <c r="F49387" s="193"/>
    </row>
    <row r="49388" spans="6:6" x14ac:dyDescent="0.3">
      <c r="F49388" s="193"/>
    </row>
    <row r="49389" spans="6:6" x14ac:dyDescent="0.3">
      <c r="F49389" s="193"/>
    </row>
    <row r="49390" spans="6:6" x14ac:dyDescent="0.3">
      <c r="F49390" s="193"/>
    </row>
    <row r="49391" spans="6:6" x14ac:dyDescent="0.3">
      <c r="F49391" s="193"/>
    </row>
    <row r="49392" spans="6:6" x14ac:dyDescent="0.3">
      <c r="F49392" s="193"/>
    </row>
    <row r="49393" spans="6:6" x14ac:dyDescent="0.3">
      <c r="F49393" s="193"/>
    </row>
    <row r="49394" spans="6:6" x14ac:dyDescent="0.3">
      <c r="F49394" s="193"/>
    </row>
    <row r="49395" spans="6:6" x14ac:dyDescent="0.3">
      <c r="F49395" s="193"/>
    </row>
    <row r="49396" spans="6:6" x14ac:dyDescent="0.3">
      <c r="F49396" s="193"/>
    </row>
    <row r="49397" spans="6:6" x14ac:dyDescent="0.3">
      <c r="F49397" s="193"/>
    </row>
    <row r="49398" spans="6:6" x14ac:dyDescent="0.3">
      <c r="F49398" s="193"/>
    </row>
    <row r="49399" spans="6:6" x14ac:dyDescent="0.3">
      <c r="F49399" s="193"/>
    </row>
    <row r="49400" spans="6:6" x14ac:dyDescent="0.3">
      <c r="F49400" s="193"/>
    </row>
    <row r="49401" spans="6:6" x14ac:dyDescent="0.3">
      <c r="F49401" s="193"/>
    </row>
    <row r="49402" spans="6:6" x14ac:dyDescent="0.3">
      <c r="F49402" s="193"/>
    </row>
    <row r="49403" spans="6:6" x14ac:dyDescent="0.3">
      <c r="F49403" s="193"/>
    </row>
    <row r="49404" spans="6:6" x14ac:dyDescent="0.3">
      <c r="F49404" s="193"/>
    </row>
    <row r="49405" spans="6:6" x14ac:dyDescent="0.3">
      <c r="F49405" s="193"/>
    </row>
    <row r="49406" spans="6:6" x14ac:dyDescent="0.3">
      <c r="F49406" s="193"/>
    </row>
    <row r="49407" spans="6:6" x14ac:dyDescent="0.3">
      <c r="F49407" s="193"/>
    </row>
    <row r="49408" spans="6:6" x14ac:dyDescent="0.3">
      <c r="F49408" s="193"/>
    </row>
    <row r="49409" spans="6:6" x14ac:dyDescent="0.3">
      <c r="F49409" s="193"/>
    </row>
    <row r="49410" spans="6:6" x14ac:dyDescent="0.3">
      <c r="F49410" s="193"/>
    </row>
    <row r="49411" spans="6:6" x14ac:dyDescent="0.3">
      <c r="F49411" s="193"/>
    </row>
    <row r="49412" spans="6:6" x14ac:dyDescent="0.3">
      <c r="F49412" s="193"/>
    </row>
    <row r="49413" spans="6:6" x14ac:dyDescent="0.3">
      <c r="F49413" s="193"/>
    </row>
    <row r="49414" spans="6:6" x14ac:dyDescent="0.3">
      <c r="F49414" s="193"/>
    </row>
    <row r="49415" spans="6:6" x14ac:dyDescent="0.3">
      <c r="F49415" s="193"/>
    </row>
    <row r="49416" spans="6:6" x14ac:dyDescent="0.3">
      <c r="F49416" s="193"/>
    </row>
    <row r="49417" spans="6:6" x14ac:dyDescent="0.3">
      <c r="F49417" s="193"/>
    </row>
    <row r="49418" spans="6:6" x14ac:dyDescent="0.3">
      <c r="F49418" s="193"/>
    </row>
    <row r="49419" spans="6:6" x14ac:dyDescent="0.3">
      <c r="F49419" s="193"/>
    </row>
    <row r="49420" spans="6:6" x14ac:dyDescent="0.3">
      <c r="F49420" s="193"/>
    </row>
    <row r="49421" spans="6:6" x14ac:dyDescent="0.3">
      <c r="F49421" s="193"/>
    </row>
    <row r="49422" spans="6:6" x14ac:dyDescent="0.3">
      <c r="F49422" s="193"/>
    </row>
    <row r="49423" spans="6:6" x14ac:dyDescent="0.3">
      <c r="F49423" s="193"/>
    </row>
    <row r="49424" spans="6:6" x14ac:dyDescent="0.3">
      <c r="F49424" s="193"/>
    </row>
    <row r="49425" spans="6:6" x14ac:dyDescent="0.3">
      <c r="F49425" s="193"/>
    </row>
    <row r="49426" spans="6:6" x14ac:dyDescent="0.3">
      <c r="F49426" s="193"/>
    </row>
    <row r="49427" spans="6:6" x14ac:dyDescent="0.3">
      <c r="F49427" s="193"/>
    </row>
    <row r="49428" spans="6:6" x14ac:dyDescent="0.3">
      <c r="F49428" s="193"/>
    </row>
    <row r="49429" spans="6:6" x14ac:dyDescent="0.3">
      <c r="F49429" s="193"/>
    </row>
    <row r="49430" spans="6:6" x14ac:dyDescent="0.3">
      <c r="F49430" s="193"/>
    </row>
    <row r="49431" spans="6:6" x14ac:dyDescent="0.3">
      <c r="F49431" s="193"/>
    </row>
    <row r="49432" spans="6:6" x14ac:dyDescent="0.3">
      <c r="F49432" s="193"/>
    </row>
    <row r="49433" spans="6:6" x14ac:dyDescent="0.3">
      <c r="F49433" s="193"/>
    </row>
    <row r="49434" spans="6:6" x14ac:dyDescent="0.3">
      <c r="F49434" s="193"/>
    </row>
    <row r="49435" spans="6:6" x14ac:dyDescent="0.3">
      <c r="F49435" s="193"/>
    </row>
    <row r="49436" spans="6:6" x14ac:dyDescent="0.3">
      <c r="F49436" s="193"/>
    </row>
    <row r="49437" spans="6:6" x14ac:dyDescent="0.3">
      <c r="F49437" s="193"/>
    </row>
    <row r="49438" spans="6:6" x14ac:dyDescent="0.3">
      <c r="F49438" s="193"/>
    </row>
    <row r="49439" spans="6:6" x14ac:dyDescent="0.3">
      <c r="F49439" s="193"/>
    </row>
    <row r="49440" spans="6:6" x14ac:dyDescent="0.3">
      <c r="F49440" s="193"/>
    </row>
    <row r="49441" spans="6:6" x14ac:dyDescent="0.3">
      <c r="F49441" s="193"/>
    </row>
    <row r="49442" spans="6:6" x14ac:dyDescent="0.3">
      <c r="F49442" s="193"/>
    </row>
    <row r="49443" spans="6:6" x14ac:dyDescent="0.3">
      <c r="F49443" s="193"/>
    </row>
    <row r="49444" spans="6:6" x14ac:dyDescent="0.3">
      <c r="F49444" s="193"/>
    </row>
    <row r="49445" spans="6:6" x14ac:dyDescent="0.3">
      <c r="F49445" s="193"/>
    </row>
    <row r="49446" spans="6:6" x14ac:dyDescent="0.3">
      <c r="F49446" s="193"/>
    </row>
    <row r="49447" spans="6:6" x14ac:dyDescent="0.3">
      <c r="F49447" s="193"/>
    </row>
    <row r="49448" spans="6:6" x14ac:dyDescent="0.3">
      <c r="F49448" s="193"/>
    </row>
    <row r="49449" spans="6:6" x14ac:dyDescent="0.3">
      <c r="F49449" s="193"/>
    </row>
    <row r="49450" spans="6:6" x14ac:dyDescent="0.3">
      <c r="F49450" s="193"/>
    </row>
    <row r="49451" spans="6:6" x14ac:dyDescent="0.3">
      <c r="F49451" s="193"/>
    </row>
    <row r="49452" spans="6:6" x14ac:dyDescent="0.3">
      <c r="F49452" s="193"/>
    </row>
    <row r="49453" spans="6:6" x14ac:dyDescent="0.3">
      <c r="F49453" s="193"/>
    </row>
    <row r="49454" spans="6:6" x14ac:dyDescent="0.3">
      <c r="F49454" s="193"/>
    </row>
    <row r="49455" spans="6:6" x14ac:dyDescent="0.3">
      <c r="F49455" s="193"/>
    </row>
    <row r="49456" spans="6:6" x14ac:dyDescent="0.3">
      <c r="F49456" s="193"/>
    </row>
    <row r="49457" spans="6:6" x14ac:dyDescent="0.3">
      <c r="F49457" s="193"/>
    </row>
    <row r="49458" spans="6:6" x14ac:dyDescent="0.3">
      <c r="F49458" s="193"/>
    </row>
    <row r="49459" spans="6:6" x14ac:dyDescent="0.3">
      <c r="F49459" s="193"/>
    </row>
    <row r="49460" spans="6:6" x14ac:dyDescent="0.3">
      <c r="F49460" s="193"/>
    </row>
    <row r="49461" spans="6:6" x14ac:dyDescent="0.3">
      <c r="F49461" s="193"/>
    </row>
    <row r="49462" spans="6:6" x14ac:dyDescent="0.3">
      <c r="F49462" s="193"/>
    </row>
    <row r="49463" spans="6:6" x14ac:dyDescent="0.3">
      <c r="F49463" s="193"/>
    </row>
    <row r="49464" spans="6:6" x14ac:dyDescent="0.3">
      <c r="F49464" s="193"/>
    </row>
    <row r="49465" spans="6:6" x14ac:dyDescent="0.3">
      <c r="F49465" s="193"/>
    </row>
    <row r="49466" spans="6:6" x14ac:dyDescent="0.3">
      <c r="F49466" s="193"/>
    </row>
    <row r="49467" spans="6:6" x14ac:dyDescent="0.3">
      <c r="F49467" s="193"/>
    </row>
    <row r="49468" spans="6:6" x14ac:dyDescent="0.3">
      <c r="F49468" s="193"/>
    </row>
    <row r="49469" spans="6:6" x14ac:dyDescent="0.3">
      <c r="F49469" s="193"/>
    </row>
    <row r="49470" spans="6:6" x14ac:dyDescent="0.3">
      <c r="F49470" s="193"/>
    </row>
    <row r="49471" spans="6:6" x14ac:dyDescent="0.3">
      <c r="F49471" s="193"/>
    </row>
    <row r="49472" spans="6:6" x14ac:dyDescent="0.3">
      <c r="F49472" s="193"/>
    </row>
    <row r="49473" spans="6:6" x14ac:dyDescent="0.3">
      <c r="F49473" s="193"/>
    </row>
    <row r="49474" spans="6:6" x14ac:dyDescent="0.3">
      <c r="F49474" s="193"/>
    </row>
    <row r="49475" spans="6:6" x14ac:dyDescent="0.3">
      <c r="F49475" s="193"/>
    </row>
    <row r="49476" spans="6:6" x14ac:dyDescent="0.3">
      <c r="F49476" s="193"/>
    </row>
    <row r="49477" spans="6:6" x14ac:dyDescent="0.3">
      <c r="F49477" s="193"/>
    </row>
    <row r="49478" spans="6:6" x14ac:dyDescent="0.3">
      <c r="F49478" s="193"/>
    </row>
    <row r="49479" spans="6:6" x14ac:dyDescent="0.3">
      <c r="F49479" s="193"/>
    </row>
    <row r="49480" spans="6:6" x14ac:dyDescent="0.3">
      <c r="F49480" s="193"/>
    </row>
    <row r="49481" spans="6:6" x14ac:dyDescent="0.3">
      <c r="F49481" s="193"/>
    </row>
    <row r="49482" spans="6:6" x14ac:dyDescent="0.3">
      <c r="F49482" s="193"/>
    </row>
    <row r="49483" spans="6:6" x14ac:dyDescent="0.3">
      <c r="F49483" s="193"/>
    </row>
    <row r="49484" spans="6:6" x14ac:dyDescent="0.3">
      <c r="F49484" s="193"/>
    </row>
    <row r="49485" spans="6:6" x14ac:dyDescent="0.3">
      <c r="F49485" s="193"/>
    </row>
    <row r="49486" spans="6:6" x14ac:dyDescent="0.3">
      <c r="F49486" s="193"/>
    </row>
    <row r="49487" spans="6:6" x14ac:dyDescent="0.3">
      <c r="F49487" s="193"/>
    </row>
    <row r="49488" spans="6:6" x14ac:dyDescent="0.3">
      <c r="F49488" s="193"/>
    </row>
    <row r="49489" spans="6:6" x14ac:dyDescent="0.3">
      <c r="F49489" s="193"/>
    </row>
    <row r="49490" spans="6:6" x14ac:dyDescent="0.3">
      <c r="F49490" s="193"/>
    </row>
    <row r="49491" spans="6:6" x14ac:dyDescent="0.3">
      <c r="F49491" s="193"/>
    </row>
    <row r="49492" spans="6:6" x14ac:dyDescent="0.3">
      <c r="F49492" s="193"/>
    </row>
    <row r="49493" spans="6:6" x14ac:dyDescent="0.3">
      <c r="F49493" s="193"/>
    </row>
    <row r="49494" spans="6:6" x14ac:dyDescent="0.3">
      <c r="F49494" s="193"/>
    </row>
    <row r="49495" spans="6:6" x14ac:dyDescent="0.3">
      <c r="F49495" s="193"/>
    </row>
    <row r="49496" spans="6:6" x14ac:dyDescent="0.3">
      <c r="F49496" s="193"/>
    </row>
    <row r="49497" spans="6:6" x14ac:dyDescent="0.3">
      <c r="F49497" s="193"/>
    </row>
    <row r="49498" spans="6:6" x14ac:dyDescent="0.3">
      <c r="F49498" s="193"/>
    </row>
    <row r="49499" spans="6:6" x14ac:dyDescent="0.3">
      <c r="F49499" s="193"/>
    </row>
    <row r="49500" spans="6:6" x14ac:dyDescent="0.3">
      <c r="F49500" s="193"/>
    </row>
    <row r="49501" spans="6:6" x14ac:dyDescent="0.3">
      <c r="F49501" s="193"/>
    </row>
    <row r="49502" spans="6:6" x14ac:dyDescent="0.3">
      <c r="F49502" s="193"/>
    </row>
    <row r="49503" spans="6:6" x14ac:dyDescent="0.3">
      <c r="F49503" s="193"/>
    </row>
    <row r="49504" spans="6:6" x14ac:dyDescent="0.3">
      <c r="F49504" s="193"/>
    </row>
    <row r="49505" spans="6:6" x14ac:dyDescent="0.3">
      <c r="F49505" s="193"/>
    </row>
    <row r="49506" spans="6:6" x14ac:dyDescent="0.3">
      <c r="F49506" s="193"/>
    </row>
    <row r="49507" spans="6:6" x14ac:dyDescent="0.3">
      <c r="F49507" s="193"/>
    </row>
    <row r="49508" spans="6:6" x14ac:dyDescent="0.3">
      <c r="F49508" s="193"/>
    </row>
    <row r="49509" spans="6:6" x14ac:dyDescent="0.3">
      <c r="F49509" s="193"/>
    </row>
    <row r="49510" spans="6:6" x14ac:dyDescent="0.3">
      <c r="F49510" s="193"/>
    </row>
    <row r="49511" spans="6:6" x14ac:dyDescent="0.3">
      <c r="F49511" s="193"/>
    </row>
    <row r="49512" spans="6:6" x14ac:dyDescent="0.3">
      <c r="F49512" s="193"/>
    </row>
    <row r="49513" spans="6:6" x14ac:dyDescent="0.3">
      <c r="F49513" s="193"/>
    </row>
    <row r="49514" spans="6:6" x14ac:dyDescent="0.3">
      <c r="F49514" s="193"/>
    </row>
    <row r="49515" spans="6:6" x14ac:dyDescent="0.3">
      <c r="F49515" s="193"/>
    </row>
    <row r="49516" spans="6:6" x14ac:dyDescent="0.3">
      <c r="F49516" s="193"/>
    </row>
    <row r="49517" spans="6:6" x14ac:dyDescent="0.3">
      <c r="F49517" s="193"/>
    </row>
    <row r="49518" spans="6:6" x14ac:dyDescent="0.3">
      <c r="F49518" s="193"/>
    </row>
    <row r="49519" spans="6:6" x14ac:dyDescent="0.3">
      <c r="F49519" s="193"/>
    </row>
    <row r="49520" spans="6:6" x14ac:dyDescent="0.3">
      <c r="F49520" s="193"/>
    </row>
    <row r="49521" spans="6:6" x14ac:dyDescent="0.3">
      <c r="F49521" s="193"/>
    </row>
    <row r="49522" spans="6:6" x14ac:dyDescent="0.3">
      <c r="F49522" s="193"/>
    </row>
    <row r="49523" spans="6:6" x14ac:dyDescent="0.3">
      <c r="F49523" s="193"/>
    </row>
    <row r="49524" spans="6:6" x14ac:dyDescent="0.3">
      <c r="F49524" s="193"/>
    </row>
    <row r="49525" spans="6:6" x14ac:dyDescent="0.3">
      <c r="F49525" s="193"/>
    </row>
    <row r="49526" spans="6:6" x14ac:dyDescent="0.3">
      <c r="F49526" s="193"/>
    </row>
    <row r="49527" spans="6:6" x14ac:dyDescent="0.3">
      <c r="F49527" s="193"/>
    </row>
    <row r="49528" spans="6:6" x14ac:dyDescent="0.3">
      <c r="F49528" s="193"/>
    </row>
    <row r="49529" spans="6:6" x14ac:dyDescent="0.3">
      <c r="F49529" s="193"/>
    </row>
    <row r="49530" spans="6:6" x14ac:dyDescent="0.3">
      <c r="F49530" s="193"/>
    </row>
    <row r="49531" spans="6:6" x14ac:dyDescent="0.3">
      <c r="F49531" s="193"/>
    </row>
    <row r="49532" spans="6:6" x14ac:dyDescent="0.3">
      <c r="F49532" s="193"/>
    </row>
    <row r="49533" spans="6:6" x14ac:dyDescent="0.3">
      <c r="F49533" s="193"/>
    </row>
    <row r="49534" spans="6:6" x14ac:dyDescent="0.3">
      <c r="F49534" s="193"/>
    </row>
    <row r="49535" spans="6:6" x14ac:dyDescent="0.3">
      <c r="F49535" s="193"/>
    </row>
    <row r="49536" spans="6:6" x14ac:dyDescent="0.3">
      <c r="F49536" s="193"/>
    </row>
    <row r="49537" spans="6:6" x14ac:dyDescent="0.3">
      <c r="F49537" s="193"/>
    </row>
    <row r="49538" spans="6:6" x14ac:dyDescent="0.3">
      <c r="F49538" s="193"/>
    </row>
    <row r="49539" spans="6:6" x14ac:dyDescent="0.3">
      <c r="F49539" s="193"/>
    </row>
    <row r="49540" spans="6:6" x14ac:dyDescent="0.3">
      <c r="F49540" s="193"/>
    </row>
    <row r="49541" spans="6:6" x14ac:dyDescent="0.3">
      <c r="F49541" s="193"/>
    </row>
    <row r="49542" spans="6:6" x14ac:dyDescent="0.3">
      <c r="F49542" s="193"/>
    </row>
    <row r="49543" spans="6:6" x14ac:dyDescent="0.3">
      <c r="F49543" s="193"/>
    </row>
    <row r="49544" spans="6:6" x14ac:dyDescent="0.3">
      <c r="F49544" s="193"/>
    </row>
    <row r="49545" spans="6:6" x14ac:dyDescent="0.3">
      <c r="F49545" s="193"/>
    </row>
    <row r="49546" spans="6:6" x14ac:dyDescent="0.3">
      <c r="F49546" s="193"/>
    </row>
    <row r="49547" spans="6:6" x14ac:dyDescent="0.3">
      <c r="F49547" s="193"/>
    </row>
    <row r="49548" spans="6:6" x14ac:dyDescent="0.3">
      <c r="F49548" s="193"/>
    </row>
    <row r="49549" spans="6:6" x14ac:dyDescent="0.3">
      <c r="F49549" s="193"/>
    </row>
    <row r="49550" spans="6:6" x14ac:dyDescent="0.3">
      <c r="F49550" s="193"/>
    </row>
    <row r="49551" spans="6:6" x14ac:dyDescent="0.3">
      <c r="F49551" s="193"/>
    </row>
    <row r="49552" spans="6:6" x14ac:dyDescent="0.3">
      <c r="F49552" s="193"/>
    </row>
    <row r="49553" spans="6:6" x14ac:dyDescent="0.3">
      <c r="F49553" s="193"/>
    </row>
    <row r="49554" spans="6:6" x14ac:dyDescent="0.3">
      <c r="F49554" s="193"/>
    </row>
    <row r="49555" spans="6:6" x14ac:dyDescent="0.3">
      <c r="F49555" s="193"/>
    </row>
    <row r="49556" spans="6:6" x14ac:dyDescent="0.3">
      <c r="F49556" s="193"/>
    </row>
    <row r="49557" spans="6:6" x14ac:dyDescent="0.3">
      <c r="F49557" s="193"/>
    </row>
    <row r="49558" spans="6:6" x14ac:dyDescent="0.3">
      <c r="F49558" s="193"/>
    </row>
    <row r="49559" spans="6:6" x14ac:dyDescent="0.3">
      <c r="F49559" s="193"/>
    </row>
    <row r="49560" spans="6:6" x14ac:dyDescent="0.3">
      <c r="F49560" s="193"/>
    </row>
    <row r="49561" spans="6:6" x14ac:dyDescent="0.3">
      <c r="F49561" s="193"/>
    </row>
    <row r="49562" spans="6:6" x14ac:dyDescent="0.3">
      <c r="F49562" s="193"/>
    </row>
    <row r="49563" spans="6:6" x14ac:dyDescent="0.3">
      <c r="F49563" s="193"/>
    </row>
    <row r="49564" spans="6:6" x14ac:dyDescent="0.3">
      <c r="F49564" s="193"/>
    </row>
    <row r="49565" spans="6:6" x14ac:dyDescent="0.3">
      <c r="F49565" s="193"/>
    </row>
    <row r="49566" spans="6:6" x14ac:dyDescent="0.3">
      <c r="F49566" s="193"/>
    </row>
    <row r="49567" spans="6:6" x14ac:dyDescent="0.3">
      <c r="F49567" s="193"/>
    </row>
    <row r="49568" spans="6:6" x14ac:dyDescent="0.3">
      <c r="F49568" s="193"/>
    </row>
    <row r="49569" spans="6:6" x14ac:dyDescent="0.3">
      <c r="F49569" s="193"/>
    </row>
    <row r="49570" spans="6:6" x14ac:dyDescent="0.3">
      <c r="F49570" s="193"/>
    </row>
    <row r="49571" spans="6:6" x14ac:dyDescent="0.3">
      <c r="F49571" s="193"/>
    </row>
    <row r="49572" spans="6:6" x14ac:dyDescent="0.3">
      <c r="F49572" s="193"/>
    </row>
    <row r="49573" spans="6:6" x14ac:dyDescent="0.3">
      <c r="F49573" s="193"/>
    </row>
    <row r="49574" spans="6:6" x14ac:dyDescent="0.3">
      <c r="F49574" s="193"/>
    </row>
    <row r="49575" spans="6:6" x14ac:dyDescent="0.3">
      <c r="F49575" s="193"/>
    </row>
    <row r="49576" spans="6:6" x14ac:dyDescent="0.3">
      <c r="F49576" s="193"/>
    </row>
    <row r="49577" spans="6:6" x14ac:dyDescent="0.3">
      <c r="F49577" s="193"/>
    </row>
    <row r="49578" spans="6:6" x14ac:dyDescent="0.3">
      <c r="F49578" s="193"/>
    </row>
    <row r="49579" spans="6:6" x14ac:dyDescent="0.3">
      <c r="F49579" s="193"/>
    </row>
    <row r="49580" spans="6:6" x14ac:dyDescent="0.3">
      <c r="F49580" s="193"/>
    </row>
    <row r="49581" spans="6:6" x14ac:dyDescent="0.3">
      <c r="F49581" s="193"/>
    </row>
    <row r="49582" spans="6:6" x14ac:dyDescent="0.3">
      <c r="F49582" s="193"/>
    </row>
    <row r="49583" spans="6:6" x14ac:dyDescent="0.3">
      <c r="F49583" s="193"/>
    </row>
    <row r="49584" spans="6:6" x14ac:dyDescent="0.3">
      <c r="F49584" s="193"/>
    </row>
    <row r="49585" spans="6:6" x14ac:dyDescent="0.3">
      <c r="F49585" s="193"/>
    </row>
    <row r="49586" spans="6:6" x14ac:dyDescent="0.3">
      <c r="F49586" s="193"/>
    </row>
    <row r="49587" spans="6:6" x14ac:dyDescent="0.3">
      <c r="F49587" s="193"/>
    </row>
    <row r="49588" spans="6:6" x14ac:dyDescent="0.3">
      <c r="F49588" s="193"/>
    </row>
    <row r="49589" spans="6:6" x14ac:dyDescent="0.3">
      <c r="F49589" s="193"/>
    </row>
    <row r="49590" spans="6:6" x14ac:dyDescent="0.3">
      <c r="F49590" s="193"/>
    </row>
    <row r="49591" spans="6:6" x14ac:dyDescent="0.3">
      <c r="F49591" s="193"/>
    </row>
    <row r="49592" spans="6:6" x14ac:dyDescent="0.3">
      <c r="F49592" s="193"/>
    </row>
    <row r="49593" spans="6:6" x14ac:dyDescent="0.3">
      <c r="F49593" s="193"/>
    </row>
    <row r="49594" spans="6:6" x14ac:dyDescent="0.3">
      <c r="F49594" s="193"/>
    </row>
    <row r="49595" spans="6:6" x14ac:dyDescent="0.3">
      <c r="F49595" s="193"/>
    </row>
    <row r="49596" spans="6:6" x14ac:dyDescent="0.3">
      <c r="F49596" s="193"/>
    </row>
    <row r="49597" spans="6:6" x14ac:dyDescent="0.3">
      <c r="F49597" s="193"/>
    </row>
    <row r="49598" spans="6:6" x14ac:dyDescent="0.3">
      <c r="F49598" s="193"/>
    </row>
    <row r="49599" spans="6:6" x14ac:dyDescent="0.3">
      <c r="F49599" s="193"/>
    </row>
    <row r="49600" spans="6:6" x14ac:dyDescent="0.3">
      <c r="F49600" s="193"/>
    </row>
    <row r="49601" spans="6:6" x14ac:dyDescent="0.3">
      <c r="F49601" s="193"/>
    </row>
    <row r="49602" spans="6:6" x14ac:dyDescent="0.3">
      <c r="F49602" s="193"/>
    </row>
    <row r="49603" spans="6:6" x14ac:dyDescent="0.3">
      <c r="F49603" s="193"/>
    </row>
    <row r="49604" spans="6:6" x14ac:dyDescent="0.3">
      <c r="F49604" s="193"/>
    </row>
    <row r="49605" spans="6:6" x14ac:dyDescent="0.3">
      <c r="F49605" s="193"/>
    </row>
    <row r="49606" spans="6:6" x14ac:dyDescent="0.3">
      <c r="F49606" s="193"/>
    </row>
    <row r="49607" spans="6:6" x14ac:dyDescent="0.3">
      <c r="F49607" s="193"/>
    </row>
    <row r="49608" spans="6:6" x14ac:dyDescent="0.3">
      <c r="F49608" s="193"/>
    </row>
    <row r="49609" spans="6:6" x14ac:dyDescent="0.3">
      <c r="F49609" s="193"/>
    </row>
    <row r="49610" spans="6:6" x14ac:dyDescent="0.3">
      <c r="F49610" s="193"/>
    </row>
    <row r="49611" spans="6:6" x14ac:dyDescent="0.3">
      <c r="F49611" s="193"/>
    </row>
    <row r="49612" spans="6:6" x14ac:dyDescent="0.3">
      <c r="F49612" s="193"/>
    </row>
    <row r="49613" spans="6:6" x14ac:dyDescent="0.3">
      <c r="F49613" s="193"/>
    </row>
    <row r="49614" spans="6:6" x14ac:dyDescent="0.3">
      <c r="F49614" s="193"/>
    </row>
    <row r="49615" spans="6:6" x14ac:dyDescent="0.3">
      <c r="F49615" s="193"/>
    </row>
    <row r="49616" spans="6:6" x14ac:dyDescent="0.3">
      <c r="F49616" s="193"/>
    </row>
    <row r="49617" spans="6:6" x14ac:dyDescent="0.3">
      <c r="F49617" s="193"/>
    </row>
    <row r="49618" spans="6:6" x14ac:dyDescent="0.3">
      <c r="F49618" s="193"/>
    </row>
    <row r="49619" spans="6:6" x14ac:dyDescent="0.3">
      <c r="F49619" s="193"/>
    </row>
    <row r="49620" spans="6:6" x14ac:dyDescent="0.3">
      <c r="F49620" s="193"/>
    </row>
    <row r="49621" spans="6:6" x14ac:dyDescent="0.3">
      <c r="F49621" s="193"/>
    </row>
    <row r="49622" spans="6:6" x14ac:dyDescent="0.3">
      <c r="F49622" s="193"/>
    </row>
    <row r="49623" spans="6:6" x14ac:dyDescent="0.3">
      <c r="F49623" s="193"/>
    </row>
    <row r="49624" spans="6:6" x14ac:dyDescent="0.3">
      <c r="F49624" s="193"/>
    </row>
    <row r="49625" spans="6:6" x14ac:dyDescent="0.3">
      <c r="F49625" s="193"/>
    </row>
    <row r="49626" spans="6:6" x14ac:dyDescent="0.3">
      <c r="F49626" s="193"/>
    </row>
    <row r="49627" spans="6:6" x14ac:dyDescent="0.3">
      <c r="F49627" s="193"/>
    </row>
    <row r="49628" spans="6:6" x14ac:dyDescent="0.3">
      <c r="F49628" s="193"/>
    </row>
    <row r="49629" spans="6:6" x14ac:dyDescent="0.3">
      <c r="F49629" s="193"/>
    </row>
    <row r="49630" spans="6:6" x14ac:dyDescent="0.3">
      <c r="F49630" s="193"/>
    </row>
    <row r="49631" spans="6:6" x14ac:dyDescent="0.3">
      <c r="F49631" s="193"/>
    </row>
    <row r="49632" spans="6:6" x14ac:dyDescent="0.3">
      <c r="F49632" s="193"/>
    </row>
    <row r="49633" spans="6:6" x14ac:dyDescent="0.3">
      <c r="F49633" s="193"/>
    </row>
    <row r="49634" spans="6:6" x14ac:dyDescent="0.3">
      <c r="F49634" s="193"/>
    </row>
    <row r="49635" spans="6:6" x14ac:dyDescent="0.3">
      <c r="F49635" s="193"/>
    </row>
    <row r="49636" spans="6:6" x14ac:dyDescent="0.3">
      <c r="F49636" s="193"/>
    </row>
    <row r="49637" spans="6:6" x14ac:dyDescent="0.3">
      <c r="F49637" s="193"/>
    </row>
    <row r="49638" spans="6:6" x14ac:dyDescent="0.3">
      <c r="F49638" s="193"/>
    </row>
    <row r="49639" spans="6:6" x14ac:dyDescent="0.3">
      <c r="F49639" s="193"/>
    </row>
    <row r="49640" spans="6:6" x14ac:dyDescent="0.3">
      <c r="F49640" s="193"/>
    </row>
    <row r="49641" spans="6:6" x14ac:dyDescent="0.3">
      <c r="F49641" s="193"/>
    </row>
    <row r="49642" spans="6:6" x14ac:dyDescent="0.3">
      <c r="F49642" s="193"/>
    </row>
    <row r="49643" spans="6:6" x14ac:dyDescent="0.3">
      <c r="F49643" s="193"/>
    </row>
    <row r="49644" spans="6:6" x14ac:dyDescent="0.3">
      <c r="F49644" s="193"/>
    </row>
    <row r="49645" spans="6:6" x14ac:dyDescent="0.3">
      <c r="F49645" s="193"/>
    </row>
    <row r="49646" spans="6:6" x14ac:dyDescent="0.3">
      <c r="F49646" s="193"/>
    </row>
    <row r="49647" spans="6:6" x14ac:dyDescent="0.3">
      <c r="F49647" s="193"/>
    </row>
    <row r="49648" spans="6:6" x14ac:dyDescent="0.3">
      <c r="F49648" s="193"/>
    </row>
    <row r="49649" spans="6:6" x14ac:dyDescent="0.3">
      <c r="F49649" s="193"/>
    </row>
    <row r="49650" spans="6:6" x14ac:dyDescent="0.3">
      <c r="F49650" s="193"/>
    </row>
    <row r="49651" spans="6:6" x14ac:dyDescent="0.3">
      <c r="F49651" s="193"/>
    </row>
    <row r="49652" spans="6:6" x14ac:dyDescent="0.3">
      <c r="F49652" s="193"/>
    </row>
    <row r="49653" spans="6:6" x14ac:dyDescent="0.3">
      <c r="F49653" s="193"/>
    </row>
    <row r="49654" spans="6:6" x14ac:dyDescent="0.3">
      <c r="F49654" s="193"/>
    </row>
    <row r="49655" spans="6:6" x14ac:dyDescent="0.3">
      <c r="F49655" s="193"/>
    </row>
    <row r="49656" spans="6:6" x14ac:dyDescent="0.3">
      <c r="F49656" s="193"/>
    </row>
    <row r="49657" spans="6:6" x14ac:dyDescent="0.3">
      <c r="F49657" s="193"/>
    </row>
    <row r="49658" spans="6:6" x14ac:dyDescent="0.3">
      <c r="F49658" s="193"/>
    </row>
    <row r="49659" spans="6:6" x14ac:dyDescent="0.3">
      <c r="F49659" s="193"/>
    </row>
    <row r="49660" spans="6:6" x14ac:dyDescent="0.3">
      <c r="F49660" s="193"/>
    </row>
    <row r="49661" spans="6:6" x14ac:dyDescent="0.3">
      <c r="F49661" s="193"/>
    </row>
    <row r="49662" spans="6:6" x14ac:dyDescent="0.3">
      <c r="F49662" s="193"/>
    </row>
    <row r="49663" spans="6:6" x14ac:dyDescent="0.3">
      <c r="F49663" s="193"/>
    </row>
    <row r="49664" spans="6:6" x14ac:dyDescent="0.3">
      <c r="F49664" s="193"/>
    </row>
    <row r="49665" spans="6:6" x14ac:dyDescent="0.3">
      <c r="F49665" s="193"/>
    </row>
    <row r="49666" spans="6:6" x14ac:dyDescent="0.3">
      <c r="F49666" s="193"/>
    </row>
    <row r="49667" spans="6:6" x14ac:dyDescent="0.3">
      <c r="F49667" s="193"/>
    </row>
    <row r="49668" spans="6:6" x14ac:dyDescent="0.3">
      <c r="F49668" s="193"/>
    </row>
    <row r="49669" spans="6:6" x14ac:dyDescent="0.3">
      <c r="F49669" s="193"/>
    </row>
    <row r="49670" spans="6:6" x14ac:dyDescent="0.3">
      <c r="F49670" s="193"/>
    </row>
    <row r="49671" spans="6:6" x14ac:dyDescent="0.3">
      <c r="F49671" s="193"/>
    </row>
    <row r="49672" spans="6:6" x14ac:dyDescent="0.3">
      <c r="F49672" s="193"/>
    </row>
    <row r="49673" spans="6:6" x14ac:dyDescent="0.3">
      <c r="F49673" s="193"/>
    </row>
    <row r="49674" spans="6:6" x14ac:dyDescent="0.3">
      <c r="F49674" s="193"/>
    </row>
    <row r="49675" spans="6:6" x14ac:dyDescent="0.3">
      <c r="F49675" s="193"/>
    </row>
    <row r="49676" spans="6:6" x14ac:dyDescent="0.3">
      <c r="F49676" s="193"/>
    </row>
    <row r="49677" spans="6:6" x14ac:dyDescent="0.3">
      <c r="F49677" s="193"/>
    </row>
    <row r="49678" spans="6:6" x14ac:dyDescent="0.3">
      <c r="F49678" s="193"/>
    </row>
    <row r="49679" spans="6:6" x14ac:dyDescent="0.3">
      <c r="F49679" s="193"/>
    </row>
    <row r="49680" spans="6:6" x14ac:dyDescent="0.3">
      <c r="F49680" s="193"/>
    </row>
    <row r="49681" spans="6:6" x14ac:dyDescent="0.3">
      <c r="F49681" s="193"/>
    </row>
    <row r="49682" spans="6:6" x14ac:dyDescent="0.3">
      <c r="F49682" s="193"/>
    </row>
    <row r="49683" spans="6:6" x14ac:dyDescent="0.3">
      <c r="F49683" s="193"/>
    </row>
    <row r="49684" spans="6:6" x14ac:dyDescent="0.3">
      <c r="F49684" s="193"/>
    </row>
    <row r="49685" spans="6:6" x14ac:dyDescent="0.3">
      <c r="F49685" s="193"/>
    </row>
    <row r="49686" spans="6:6" x14ac:dyDescent="0.3">
      <c r="F49686" s="193"/>
    </row>
    <row r="49687" spans="6:6" x14ac:dyDescent="0.3">
      <c r="F49687" s="193"/>
    </row>
    <row r="49688" spans="6:6" x14ac:dyDescent="0.3">
      <c r="F49688" s="193"/>
    </row>
    <row r="49689" spans="6:6" x14ac:dyDescent="0.3">
      <c r="F49689" s="193"/>
    </row>
    <row r="49690" spans="6:6" x14ac:dyDescent="0.3">
      <c r="F49690" s="193"/>
    </row>
    <row r="49691" spans="6:6" x14ac:dyDescent="0.3">
      <c r="F49691" s="193"/>
    </row>
    <row r="49692" spans="6:6" x14ac:dyDescent="0.3">
      <c r="F49692" s="193"/>
    </row>
    <row r="49693" spans="6:6" x14ac:dyDescent="0.3">
      <c r="F49693" s="193"/>
    </row>
    <row r="49694" spans="6:6" x14ac:dyDescent="0.3">
      <c r="F49694" s="193"/>
    </row>
    <row r="49695" spans="6:6" x14ac:dyDescent="0.3">
      <c r="F49695" s="193"/>
    </row>
    <row r="49696" spans="6:6" x14ac:dyDescent="0.3">
      <c r="F49696" s="193"/>
    </row>
    <row r="49697" spans="6:6" x14ac:dyDescent="0.3">
      <c r="F49697" s="193"/>
    </row>
    <row r="49698" spans="6:6" x14ac:dyDescent="0.3">
      <c r="F49698" s="193"/>
    </row>
    <row r="49699" spans="6:6" x14ac:dyDescent="0.3">
      <c r="F49699" s="193"/>
    </row>
    <row r="49700" spans="6:6" x14ac:dyDescent="0.3">
      <c r="F49700" s="193"/>
    </row>
    <row r="49701" spans="6:6" x14ac:dyDescent="0.3">
      <c r="F49701" s="193"/>
    </row>
    <row r="49702" spans="6:6" x14ac:dyDescent="0.3">
      <c r="F49702" s="193"/>
    </row>
    <row r="49703" spans="6:6" x14ac:dyDescent="0.3">
      <c r="F49703" s="193"/>
    </row>
    <row r="49704" spans="6:6" x14ac:dyDescent="0.3">
      <c r="F49704" s="193"/>
    </row>
    <row r="49705" spans="6:6" x14ac:dyDescent="0.3">
      <c r="F49705" s="193"/>
    </row>
    <row r="49706" spans="6:6" x14ac:dyDescent="0.3">
      <c r="F49706" s="193"/>
    </row>
    <row r="49707" spans="6:6" x14ac:dyDescent="0.3">
      <c r="F49707" s="193"/>
    </row>
    <row r="49708" spans="6:6" x14ac:dyDescent="0.3">
      <c r="F49708" s="193"/>
    </row>
    <row r="49709" spans="6:6" x14ac:dyDescent="0.3">
      <c r="F49709" s="193"/>
    </row>
    <row r="49710" spans="6:6" x14ac:dyDescent="0.3">
      <c r="F49710" s="193"/>
    </row>
    <row r="49711" spans="6:6" x14ac:dyDescent="0.3">
      <c r="F49711" s="193"/>
    </row>
    <row r="49712" spans="6:6" x14ac:dyDescent="0.3">
      <c r="F49712" s="193"/>
    </row>
    <row r="49713" spans="6:6" x14ac:dyDescent="0.3">
      <c r="F49713" s="193"/>
    </row>
    <row r="49714" spans="6:6" x14ac:dyDescent="0.3">
      <c r="F49714" s="193"/>
    </row>
    <row r="49715" spans="6:6" x14ac:dyDescent="0.3">
      <c r="F49715" s="193"/>
    </row>
    <row r="49716" spans="6:6" x14ac:dyDescent="0.3">
      <c r="F49716" s="193"/>
    </row>
    <row r="49717" spans="6:6" x14ac:dyDescent="0.3">
      <c r="F49717" s="193"/>
    </row>
    <row r="49718" spans="6:6" x14ac:dyDescent="0.3">
      <c r="F49718" s="193"/>
    </row>
    <row r="49719" spans="6:6" x14ac:dyDescent="0.3">
      <c r="F49719" s="193"/>
    </row>
    <row r="49720" spans="6:6" x14ac:dyDescent="0.3">
      <c r="F49720" s="193"/>
    </row>
    <row r="49721" spans="6:6" x14ac:dyDescent="0.3">
      <c r="F49721" s="193"/>
    </row>
    <row r="49722" spans="6:6" x14ac:dyDescent="0.3">
      <c r="F49722" s="193"/>
    </row>
    <row r="49723" spans="6:6" x14ac:dyDescent="0.3">
      <c r="F49723" s="193"/>
    </row>
    <row r="49724" spans="6:6" x14ac:dyDescent="0.3">
      <c r="F49724" s="193"/>
    </row>
    <row r="49725" spans="6:6" x14ac:dyDescent="0.3">
      <c r="F49725" s="193"/>
    </row>
    <row r="49726" spans="6:6" x14ac:dyDescent="0.3">
      <c r="F49726" s="193"/>
    </row>
    <row r="49727" spans="6:6" x14ac:dyDescent="0.3">
      <c r="F49727" s="193"/>
    </row>
    <row r="49728" spans="6:6" x14ac:dyDescent="0.3">
      <c r="F49728" s="193"/>
    </row>
    <row r="49729" spans="6:6" x14ac:dyDescent="0.3">
      <c r="F49729" s="193"/>
    </row>
    <row r="49730" spans="6:6" x14ac:dyDescent="0.3">
      <c r="F49730" s="193"/>
    </row>
    <row r="49731" spans="6:6" x14ac:dyDescent="0.3">
      <c r="F49731" s="193"/>
    </row>
    <row r="49732" spans="6:6" x14ac:dyDescent="0.3">
      <c r="F49732" s="193"/>
    </row>
    <row r="49733" spans="6:6" x14ac:dyDescent="0.3">
      <c r="F49733" s="193"/>
    </row>
    <row r="49734" spans="6:6" x14ac:dyDescent="0.3">
      <c r="F49734" s="193"/>
    </row>
    <row r="49735" spans="6:6" x14ac:dyDescent="0.3">
      <c r="F49735" s="193"/>
    </row>
    <row r="49736" spans="6:6" x14ac:dyDescent="0.3">
      <c r="F49736" s="193"/>
    </row>
    <row r="49737" spans="6:6" x14ac:dyDescent="0.3">
      <c r="F49737" s="193"/>
    </row>
    <row r="49738" spans="6:6" x14ac:dyDescent="0.3">
      <c r="F49738" s="193"/>
    </row>
    <row r="49739" spans="6:6" x14ac:dyDescent="0.3">
      <c r="F49739" s="193"/>
    </row>
    <row r="49740" spans="6:6" x14ac:dyDescent="0.3">
      <c r="F49740" s="193"/>
    </row>
    <row r="49741" spans="6:6" x14ac:dyDescent="0.3">
      <c r="F49741" s="193"/>
    </row>
    <row r="49742" spans="6:6" x14ac:dyDescent="0.3">
      <c r="F49742" s="193"/>
    </row>
    <row r="49743" spans="6:6" x14ac:dyDescent="0.3">
      <c r="F49743" s="193"/>
    </row>
    <row r="49744" spans="6:6" x14ac:dyDescent="0.3">
      <c r="F49744" s="193"/>
    </row>
    <row r="49745" spans="6:6" x14ac:dyDescent="0.3">
      <c r="F49745" s="193"/>
    </row>
    <row r="49746" spans="6:6" x14ac:dyDescent="0.3">
      <c r="F49746" s="193"/>
    </row>
    <row r="49747" spans="6:6" x14ac:dyDescent="0.3">
      <c r="F49747" s="193"/>
    </row>
    <row r="49748" spans="6:6" x14ac:dyDescent="0.3">
      <c r="F49748" s="193"/>
    </row>
    <row r="49749" spans="6:6" x14ac:dyDescent="0.3">
      <c r="F49749" s="193"/>
    </row>
    <row r="49750" spans="6:6" x14ac:dyDescent="0.3">
      <c r="F49750" s="193"/>
    </row>
    <row r="49751" spans="6:6" x14ac:dyDescent="0.3">
      <c r="F49751" s="193"/>
    </row>
    <row r="49752" spans="6:6" x14ac:dyDescent="0.3">
      <c r="F49752" s="193"/>
    </row>
    <row r="49753" spans="6:6" x14ac:dyDescent="0.3">
      <c r="F49753" s="193"/>
    </row>
    <row r="49754" spans="6:6" x14ac:dyDescent="0.3">
      <c r="F49754" s="193"/>
    </row>
    <row r="49755" spans="6:6" x14ac:dyDescent="0.3">
      <c r="F49755" s="193"/>
    </row>
    <row r="49756" spans="6:6" x14ac:dyDescent="0.3">
      <c r="F49756" s="193"/>
    </row>
    <row r="49757" spans="6:6" x14ac:dyDescent="0.3">
      <c r="F49757" s="193"/>
    </row>
    <row r="49758" spans="6:6" x14ac:dyDescent="0.3">
      <c r="F49758" s="193"/>
    </row>
    <row r="49759" spans="6:6" x14ac:dyDescent="0.3">
      <c r="F49759" s="193"/>
    </row>
    <row r="49760" spans="6:6" x14ac:dyDescent="0.3">
      <c r="F49760" s="193"/>
    </row>
    <row r="49761" spans="6:6" x14ac:dyDescent="0.3">
      <c r="F49761" s="193"/>
    </row>
    <row r="49762" spans="6:6" x14ac:dyDescent="0.3">
      <c r="F49762" s="193"/>
    </row>
    <row r="49763" spans="6:6" x14ac:dyDescent="0.3">
      <c r="F49763" s="193"/>
    </row>
    <row r="49764" spans="6:6" x14ac:dyDescent="0.3">
      <c r="F49764" s="193"/>
    </row>
    <row r="49765" spans="6:6" x14ac:dyDescent="0.3">
      <c r="F49765" s="193"/>
    </row>
    <row r="49766" spans="6:6" x14ac:dyDescent="0.3">
      <c r="F49766" s="193"/>
    </row>
    <row r="49767" spans="6:6" x14ac:dyDescent="0.3">
      <c r="F49767" s="193"/>
    </row>
    <row r="49768" spans="6:6" x14ac:dyDescent="0.3">
      <c r="F49768" s="193"/>
    </row>
    <row r="49769" spans="6:6" x14ac:dyDescent="0.3">
      <c r="F49769" s="193"/>
    </row>
    <row r="49770" spans="6:6" x14ac:dyDescent="0.3">
      <c r="F49770" s="193"/>
    </row>
    <row r="49771" spans="6:6" x14ac:dyDescent="0.3">
      <c r="F49771" s="193"/>
    </row>
    <row r="49772" spans="6:6" x14ac:dyDescent="0.3">
      <c r="F49772" s="193"/>
    </row>
    <row r="49773" spans="6:6" x14ac:dyDescent="0.3">
      <c r="F49773" s="193"/>
    </row>
    <row r="49774" spans="6:6" x14ac:dyDescent="0.3">
      <c r="F49774" s="193"/>
    </row>
    <row r="49775" spans="6:6" x14ac:dyDescent="0.3">
      <c r="F49775" s="193"/>
    </row>
    <row r="49776" spans="6:6" x14ac:dyDescent="0.3">
      <c r="F49776" s="193"/>
    </row>
    <row r="49777" spans="6:6" x14ac:dyDescent="0.3">
      <c r="F49777" s="193"/>
    </row>
    <row r="49778" spans="6:6" x14ac:dyDescent="0.3">
      <c r="F49778" s="193"/>
    </row>
    <row r="49779" spans="6:6" x14ac:dyDescent="0.3">
      <c r="F49779" s="193"/>
    </row>
    <row r="49780" spans="6:6" x14ac:dyDescent="0.3">
      <c r="F49780" s="193"/>
    </row>
    <row r="49781" spans="6:6" x14ac:dyDescent="0.3">
      <c r="F49781" s="193"/>
    </row>
    <row r="49782" spans="6:6" x14ac:dyDescent="0.3">
      <c r="F49782" s="193"/>
    </row>
    <row r="49783" spans="6:6" x14ac:dyDescent="0.3">
      <c r="F49783" s="193"/>
    </row>
    <row r="49784" spans="6:6" x14ac:dyDescent="0.3">
      <c r="F49784" s="193"/>
    </row>
    <row r="49785" spans="6:6" x14ac:dyDescent="0.3">
      <c r="F49785" s="193"/>
    </row>
    <row r="49786" spans="6:6" x14ac:dyDescent="0.3">
      <c r="F49786" s="193"/>
    </row>
    <row r="49787" spans="6:6" x14ac:dyDescent="0.3">
      <c r="F49787" s="193"/>
    </row>
    <row r="49788" spans="6:6" x14ac:dyDescent="0.3">
      <c r="F49788" s="193"/>
    </row>
    <row r="49789" spans="6:6" x14ac:dyDescent="0.3">
      <c r="F49789" s="193"/>
    </row>
    <row r="49790" spans="6:6" x14ac:dyDescent="0.3">
      <c r="F49790" s="193"/>
    </row>
    <row r="49791" spans="6:6" x14ac:dyDescent="0.3">
      <c r="F49791" s="193"/>
    </row>
    <row r="49792" spans="6:6" x14ac:dyDescent="0.3">
      <c r="F49792" s="193"/>
    </row>
    <row r="49793" spans="6:6" x14ac:dyDescent="0.3">
      <c r="F49793" s="193"/>
    </row>
    <row r="49794" spans="6:6" x14ac:dyDescent="0.3">
      <c r="F49794" s="193"/>
    </row>
    <row r="49795" spans="6:6" x14ac:dyDescent="0.3">
      <c r="F49795" s="193"/>
    </row>
    <row r="49796" spans="6:6" x14ac:dyDescent="0.3">
      <c r="F49796" s="193"/>
    </row>
    <row r="49797" spans="6:6" x14ac:dyDescent="0.3">
      <c r="F49797" s="193"/>
    </row>
    <row r="49798" spans="6:6" x14ac:dyDescent="0.3">
      <c r="F49798" s="193"/>
    </row>
    <row r="49799" spans="6:6" x14ac:dyDescent="0.3">
      <c r="F49799" s="193"/>
    </row>
    <row r="49800" spans="6:6" x14ac:dyDescent="0.3">
      <c r="F49800" s="193"/>
    </row>
    <row r="49801" spans="6:6" x14ac:dyDescent="0.3">
      <c r="F49801" s="193"/>
    </row>
    <row r="49802" spans="6:6" x14ac:dyDescent="0.3">
      <c r="F49802" s="193"/>
    </row>
    <row r="49803" spans="6:6" x14ac:dyDescent="0.3">
      <c r="F49803" s="193"/>
    </row>
    <row r="49804" spans="6:6" x14ac:dyDescent="0.3">
      <c r="F49804" s="193"/>
    </row>
    <row r="49805" spans="6:6" x14ac:dyDescent="0.3">
      <c r="F49805" s="193"/>
    </row>
    <row r="49806" spans="6:6" x14ac:dyDescent="0.3">
      <c r="F49806" s="193"/>
    </row>
    <row r="49807" spans="6:6" x14ac:dyDescent="0.3">
      <c r="F49807" s="193"/>
    </row>
    <row r="49808" spans="6:6" x14ac:dyDescent="0.3">
      <c r="F49808" s="193"/>
    </row>
    <row r="49809" spans="6:6" x14ac:dyDescent="0.3">
      <c r="F49809" s="193"/>
    </row>
    <row r="49810" spans="6:6" x14ac:dyDescent="0.3">
      <c r="F49810" s="193"/>
    </row>
    <row r="49811" spans="6:6" x14ac:dyDescent="0.3">
      <c r="F49811" s="193"/>
    </row>
    <row r="49812" spans="6:6" x14ac:dyDescent="0.3">
      <c r="F49812" s="193"/>
    </row>
    <row r="49813" spans="6:6" x14ac:dyDescent="0.3">
      <c r="F49813" s="193"/>
    </row>
    <row r="49814" spans="6:6" x14ac:dyDescent="0.3">
      <c r="F49814" s="193"/>
    </row>
    <row r="49815" spans="6:6" x14ac:dyDescent="0.3">
      <c r="F49815" s="193"/>
    </row>
    <row r="49816" spans="6:6" x14ac:dyDescent="0.3">
      <c r="F49816" s="193"/>
    </row>
    <row r="49817" spans="6:6" x14ac:dyDescent="0.3">
      <c r="F49817" s="193"/>
    </row>
    <row r="49818" spans="6:6" x14ac:dyDescent="0.3">
      <c r="F49818" s="193"/>
    </row>
    <row r="49819" spans="6:6" x14ac:dyDescent="0.3">
      <c r="F49819" s="193"/>
    </row>
    <row r="49820" spans="6:6" x14ac:dyDescent="0.3">
      <c r="F49820" s="193"/>
    </row>
    <row r="49821" spans="6:6" x14ac:dyDescent="0.3">
      <c r="F49821" s="193"/>
    </row>
    <row r="49822" spans="6:6" x14ac:dyDescent="0.3">
      <c r="F49822" s="193"/>
    </row>
    <row r="49823" spans="6:6" x14ac:dyDescent="0.3">
      <c r="F49823" s="193"/>
    </row>
    <row r="49824" spans="6:6" x14ac:dyDescent="0.3">
      <c r="F49824" s="193"/>
    </row>
    <row r="49825" spans="6:6" x14ac:dyDescent="0.3">
      <c r="F49825" s="193"/>
    </row>
    <row r="49826" spans="6:6" x14ac:dyDescent="0.3">
      <c r="F49826" s="193"/>
    </row>
    <row r="49827" spans="6:6" x14ac:dyDescent="0.3">
      <c r="F49827" s="193"/>
    </row>
    <row r="49828" spans="6:6" x14ac:dyDescent="0.3">
      <c r="F49828" s="193"/>
    </row>
    <row r="49829" spans="6:6" x14ac:dyDescent="0.3">
      <c r="F49829" s="193"/>
    </row>
    <row r="49830" spans="6:6" x14ac:dyDescent="0.3">
      <c r="F49830" s="193"/>
    </row>
    <row r="49831" spans="6:6" x14ac:dyDescent="0.3">
      <c r="F49831" s="193"/>
    </row>
    <row r="49832" spans="6:6" x14ac:dyDescent="0.3">
      <c r="F49832" s="193"/>
    </row>
    <row r="49833" spans="6:6" x14ac:dyDescent="0.3">
      <c r="F49833" s="193"/>
    </row>
    <row r="49834" spans="6:6" x14ac:dyDescent="0.3">
      <c r="F49834" s="193"/>
    </row>
    <row r="49835" spans="6:6" x14ac:dyDescent="0.3">
      <c r="F49835" s="193"/>
    </row>
    <row r="49836" spans="6:6" x14ac:dyDescent="0.3">
      <c r="F49836" s="193"/>
    </row>
    <row r="49837" spans="6:6" x14ac:dyDescent="0.3">
      <c r="F49837" s="193"/>
    </row>
    <row r="49838" spans="6:6" x14ac:dyDescent="0.3">
      <c r="F49838" s="193"/>
    </row>
    <row r="49839" spans="6:6" x14ac:dyDescent="0.3">
      <c r="F49839" s="193"/>
    </row>
    <row r="49840" spans="6:6" x14ac:dyDescent="0.3">
      <c r="F49840" s="193"/>
    </row>
    <row r="49841" spans="6:6" x14ac:dyDescent="0.3">
      <c r="F49841" s="193"/>
    </row>
    <row r="49842" spans="6:6" x14ac:dyDescent="0.3">
      <c r="F49842" s="193"/>
    </row>
    <row r="49843" spans="6:6" x14ac:dyDescent="0.3">
      <c r="F49843" s="193"/>
    </row>
    <row r="49844" spans="6:6" x14ac:dyDescent="0.3">
      <c r="F49844" s="193"/>
    </row>
    <row r="49845" spans="6:6" x14ac:dyDescent="0.3">
      <c r="F49845" s="193"/>
    </row>
    <row r="49846" spans="6:6" x14ac:dyDescent="0.3">
      <c r="F49846" s="193"/>
    </row>
    <row r="49847" spans="6:6" x14ac:dyDescent="0.3">
      <c r="F49847" s="193"/>
    </row>
    <row r="49848" spans="6:6" x14ac:dyDescent="0.3">
      <c r="F49848" s="193"/>
    </row>
    <row r="49849" spans="6:6" x14ac:dyDescent="0.3">
      <c r="F49849" s="193"/>
    </row>
    <row r="49850" spans="6:6" x14ac:dyDescent="0.3">
      <c r="F49850" s="193"/>
    </row>
    <row r="49851" spans="6:6" x14ac:dyDescent="0.3">
      <c r="F49851" s="193"/>
    </row>
    <row r="49852" spans="6:6" x14ac:dyDescent="0.3">
      <c r="F49852" s="193"/>
    </row>
    <row r="49853" spans="6:6" x14ac:dyDescent="0.3">
      <c r="F49853" s="193"/>
    </row>
    <row r="49854" spans="6:6" x14ac:dyDescent="0.3">
      <c r="F49854" s="193"/>
    </row>
    <row r="49855" spans="6:6" x14ac:dyDescent="0.3">
      <c r="F49855" s="193"/>
    </row>
    <row r="49856" spans="6:6" x14ac:dyDescent="0.3">
      <c r="F49856" s="193"/>
    </row>
    <row r="49857" spans="6:6" x14ac:dyDescent="0.3">
      <c r="F49857" s="193"/>
    </row>
    <row r="49858" spans="6:6" x14ac:dyDescent="0.3">
      <c r="F49858" s="193"/>
    </row>
    <row r="49859" spans="6:6" x14ac:dyDescent="0.3">
      <c r="F49859" s="193"/>
    </row>
    <row r="49860" spans="6:6" x14ac:dyDescent="0.3">
      <c r="F49860" s="193"/>
    </row>
    <row r="49861" spans="6:6" x14ac:dyDescent="0.3">
      <c r="F49861" s="193"/>
    </row>
    <row r="49862" spans="6:6" x14ac:dyDescent="0.3">
      <c r="F49862" s="193"/>
    </row>
    <row r="49863" spans="6:6" x14ac:dyDescent="0.3">
      <c r="F49863" s="193"/>
    </row>
    <row r="49864" spans="6:6" x14ac:dyDescent="0.3">
      <c r="F49864" s="193"/>
    </row>
    <row r="49865" spans="6:6" x14ac:dyDescent="0.3">
      <c r="F49865" s="193"/>
    </row>
    <row r="49866" spans="6:6" x14ac:dyDescent="0.3">
      <c r="F49866" s="193"/>
    </row>
    <row r="49867" spans="6:6" x14ac:dyDescent="0.3">
      <c r="F49867" s="193"/>
    </row>
    <row r="49868" spans="6:6" x14ac:dyDescent="0.3">
      <c r="F49868" s="193"/>
    </row>
    <row r="49869" spans="6:6" x14ac:dyDescent="0.3">
      <c r="F49869" s="193"/>
    </row>
    <row r="49870" spans="6:6" x14ac:dyDescent="0.3">
      <c r="F49870" s="193"/>
    </row>
    <row r="49871" spans="6:6" x14ac:dyDescent="0.3">
      <c r="F49871" s="193"/>
    </row>
    <row r="49872" spans="6:6" x14ac:dyDescent="0.3">
      <c r="F49872" s="193"/>
    </row>
    <row r="49873" spans="6:6" x14ac:dyDescent="0.3">
      <c r="F49873" s="193"/>
    </row>
    <row r="49874" spans="6:6" x14ac:dyDescent="0.3">
      <c r="F49874" s="193"/>
    </row>
    <row r="49875" spans="6:6" x14ac:dyDescent="0.3">
      <c r="F49875" s="193"/>
    </row>
    <row r="49876" spans="6:6" x14ac:dyDescent="0.3">
      <c r="F49876" s="193"/>
    </row>
    <row r="49877" spans="6:6" x14ac:dyDescent="0.3">
      <c r="F49877" s="193"/>
    </row>
    <row r="49878" spans="6:6" x14ac:dyDescent="0.3">
      <c r="F49878" s="193"/>
    </row>
    <row r="49879" spans="6:6" x14ac:dyDescent="0.3">
      <c r="F49879" s="193"/>
    </row>
    <row r="49880" spans="6:6" x14ac:dyDescent="0.3">
      <c r="F49880" s="193"/>
    </row>
    <row r="49881" spans="6:6" x14ac:dyDescent="0.3">
      <c r="F49881" s="193"/>
    </row>
    <row r="49882" spans="6:6" x14ac:dyDescent="0.3">
      <c r="F49882" s="193"/>
    </row>
    <row r="49883" spans="6:6" x14ac:dyDescent="0.3">
      <c r="F49883" s="193"/>
    </row>
    <row r="49884" spans="6:6" x14ac:dyDescent="0.3">
      <c r="F49884" s="193"/>
    </row>
    <row r="49885" spans="6:6" x14ac:dyDescent="0.3">
      <c r="F49885" s="193"/>
    </row>
    <row r="49886" spans="6:6" x14ac:dyDescent="0.3">
      <c r="F49886" s="193"/>
    </row>
    <row r="49887" spans="6:6" x14ac:dyDescent="0.3">
      <c r="F49887" s="193"/>
    </row>
    <row r="49888" spans="6:6" x14ac:dyDescent="0.3">
      <c r="F49888" s="193"/>
    </row>
    <row r="49889" spans="6:6" x14ac:dyDescent="0.3">
      <c r="F49889" s="193"/>
    </row>
    <row r="49890" spans="6:6" x14ac:dyDescent="0.3">
      <c r="F49890" s="193"/>
    </row>
    <row r="49891" spans="6:6" x14ac:dyDescent="0.3">
      <c r="F49891" s="193"/>
    </row>
    <row r="49892" spans="6:6" x14ac:dyDescent="0.3">
      <c r="F49892" s="193"/>
    </row>
    <row r="49893" spans="6:6" x14ac:dyDescent="0.3">
      <c r="F49893" s="193"/>
    </row>
    <row r="49894" spans="6:6" x14ac:dyDescent="0.3">
      <c r="F49894" s="193"/>
    </row>
    <row r="49895" spans="6:6" x14ac:dyDescent="0.3">
      <c r="F49895" s="193"/>
    </row>
    <row r="49896" spans="6:6" x14ac:dyDescent="0.3">
      <c r="F49896" s="193"/>
    </row>
    <row r="49897" spans="6:6" x14ac:dyDescent="0.3">
      <c r="F49897" s="193"/>
    </row>
    <row r="49898" spans="6:6" x14ac:dyDescent="0.3">
      <c r="F49898" s="193"/>
    </row>
    <row r="49899" spans="6:6" x14ac:dyDescent="0.3">
      <c r="F49899" s="193"/>
    </row>
    <row r="49900" spans="6:6" x14ac:dyDescent="0.3">
      <c r="F49900" s="193"/>
    </row>
    <row r="49901" spans="6:6" x14ac:dyDescent="0.3">
      <c r="F49901" s="193"/>
    </row>
    <row r="49902" spans="6:6" x14ac:dyDescent="0.3">
      <c r="F49902" s="193"/>
    </row>
    <row r="49903" spans="6:6" x14ac:dyDescent="0.3">
      <c r="F49903" s="193"/>
    </row>
    <row r="49904" spans="6:6" x14ac:dyDescent="0.3">
      <c r="F49904" s="193"/>
    </row>
    <row r="49905" spans="6:6" x14ac:dyDescent="0.3">
      <c r="F49905" s="193"/>
    </row>
    <row r="49906" spans="6:6" x14ac:dyDescent="0.3">
      <c r="F49906" s="193"/>
    </row>
    <row r="49907" spans="6:6" x14ac:dyDescent="0.3">
      <c r="F49907" s="193"/>
    </row>
    <row r="49908" spans="6:6" x14ac:dyDescent="0.3">
      <c r="F49908" s="193"/>
    </row>
    <row r="49909" spans="6:6" x14ac:dyDescent="0.3">
      <c r="F49909" s="193"/>
    </row>
    <row r="49910" spans="6:6" x14ac:dyDescent="0.3">
      <c r="F49910" s="193"/>
    </row>
    <row r="49911" spans="6:6" x14ac:dyDescent="0.3">
      <c r="F49911" s="193"/>
    </row>
    <row r="49912" spans="6:6" x14ac:dyDescent="0.3">
      <c r="F49912" s="193"/>
    </row>
    <row r="49913" spans="6:6" x14ac:dyDescent="0.3">
      <c r="F49913" s="193"/>
    </row>
    <row r="49914" spans="6:6" x14ac:dyDescent="0.3">
      <c r="F49914" s="193"/>
    </row>
    <row r="49915" spans="6:6" x14ac:dyDescent="0.3">
      <c r="F49915" s="193"/>
    </row>
    <row r="49916" spans="6:6" x14ac:dyDescent="0.3">
      <c r="F49916" s="193"/>
    </row>
    <row r="49917" spans="6:6" x14ac:dyDescent="0.3">
      <c r="F49917" s="193"/>
    </row>
    <row r="49918" spans="6:6" x14ac:dyDescent="0.3">
      <c r="F49918" s="193"/>
    </row>
    <row r="49919" spans="6:6" x14ac:dyDescent="0.3">
      <c r="F49919" s="193"/>
    </row>
    <row r="49920" spans="6:6" x14ac:dyDescent="0.3">
      <c r="F49920" s="193"/>
    </row>
    <row r="49921" spans="6:6" x14ac:dyDescent="0.3">
      <c r="F49921" s="193"/>
    </row>
    <row r="49922" spans="6:6" x14ac:dyDescent="0.3">
      <c r="F49922" s="193"/>
    </row>
    <row r="49923" spans="6:6" x14ac:dyDescent="0.3">
      <c r="F49923" s="193"/>
    </row>
    <row r="49924" spans="6:6" x14ac:dyDescent="0.3">
      <c r="F49924" s="193"/>
    </row>
    <row r="49925" spans="6:6" x14ac:dyDescent="0.3">
      <c r="F49925" s="193"/>
    </row>
    <row r="49926" spans="6:6" x14ac:dyDescent="0.3">
      <c r="F49926" s="193"/>
    </row>
    <row r="49927" spans="6:6" x14ac:dyDescent="0.3">
      <c r="F49927" s="193"/>
    </row>
    <row r="49928" spans="6:6" x14ac:dyDescent="0.3">
      <c r="F49928" s="193"/>
    </row>
    <row r="49929" spans="6:6" x14ac:dyDescent="0.3">
      <c r="F49929" s="193"/>
    </row>
    <row r="49930" spans="6:6" x14ac:dyDescent="0.3">
      <c r="F49930" s="193"/>
    </row>
    <row r="49931" spans="6:6" x14ac:dyDescent="0.3">
      <c r="F49931" s="193"/>
    </row>
    <row r="49932" spans="6:6" x14ac:dyDescent="0.3">
      <c r="F49932" s="193"/>
    </row>
    <row r="49933" spans="6:6" x14ac:dyDescent="0.3">
      <c r="F49933" s="193"/>
    </row>
    <row r="49934" spans="6:6" x14ac:dyDescent="0.3">
      <c r="F49934" s="193"/>
    </row>
    <row r="49935" spans="6:6" x14ac:dyDescent="0.3">
      <c r="F49935" s="193"/>
    </row>
    <row r="49936" spans="6:6" x14ac:dyDescent="0.3">
      <c r="F49936" s="193"/>
    </row>
    <row r="49937" spans="6:6" x14ac:dyDescent="0.3">
      <c r="F49937" s="193"/>
    </row>
    <row r="49938" spans="6:6" x14ac:dyDescent="0.3">
      <c r="F49938" s="193"/>
    </row>
    <row r="49939" spans="6:6" x14ac:dyDescent="0.3">
      <c r="F49939" s="193"/>
    </row>
    <row r="49940" spans="6:6" x14ac:dyDescent="0.3">
      <c r="F49940" s="193"/>
    </row>
    <row r="49941" spans="6:6" x14ac:dyDescent="0.3">
      <c r="F49941" s="193"/>
    </row>
    <row r="49942" spans="6:6" x14ac:dyDescent="0.3">
      <c r="F49942" s="193"/>
    </row>
    <row r="49943" spans="6:6" x14ac:dyDescent="0.3">
      <c r="F49943" s="193"/>
    </row>
    <row r="49944" spans="6:6" x14ac:dyDescent="0.3">
      <c r="F49944" s="193"/>
    </row>
    <row r="49945" spans="6:6" x14ac:dyDescent="0.3">
      <c r="F49945" s="193"/>
    </row>
    <row r="49946" spans="6:6" x14ac:dyDescent="0.3">
      <c r="F49946" s="193"/>
    </row>
    <row r="49947" spans="6:6" x14ac:dyDescent="0.3">
      <c r="F49947" s="193"/>
    </row>
    <row r="49948" spans="6:6" x14ac:dyDescent="0.3">
      <c r="F49948" s="193"/>
    </row>
    <row r="49949" spans="6:6" x14ac:dyDescent="0.3">
      <c r="F49949" s="193"/>
    </row>
    <row r="49950" spans="6:6" x14ac:dyDescent="0.3">
      <c r="F49950" s="193"/>
    </row>
    <row r="49951" spans="6:6" x14ac:dyDescent="0.3">
      <c r="F49951" s="193"/>
    </row>
    <row r="49952" spans="6:6" x14ac:dyDescent="0.3">
      <c r="F49952" s="193"/>
    </row>
    <row r="49953" spans="6:6" x14ac:dyDescent="0.3">
      <c r="F49953" s="193"/>
    </row>
    <row r="49954" spans="6:6" x14ac:dyDescent="0.3">
      <c r="F49954" s="193"/>
    </row>
    <row r="49955" spans="6:6" x14ac:dyDescent="0.3">
      <c r="F49955" s="193"/>
    </row>
    <row r="49956" spans="6:6" x14ac:dyDescent="0.3">
      <c r="F49956" s="193"/>
    </row>
    <row r="49957" spans="6:6" x14ac:dyDescent="0.3">
      <c r="F49957" s="193"/>
    </row>
    <row r="49958" spans="6:6" x14ac:dyDescent="0.3">
      <c r="F49958" s="193"/>
    </row>
    <row r="49959" spans="6:6" x14ac:dyDescent="0.3">
      <c r="F49959" s="193"/>
    </row>
    <row r="49960" spans="6:6" x14ac:dyDescent="0.3">
      <c r="F49960" s="193"/>
    </row>
    <row r="49961" spans="6:6" x14ac:dyDescent="0.3">
      <c r="F49961" s="193"/>
    </row>
    <row r="49962" spans="6:6" x14ac:dyDescent="0.3">
      <c r="F49962" s="193"/>
    </row>
    <row r="49963" spans="6:6" x14ac:dyDescent="0.3">
      <c r="F49963" s="193"/>
    </row>
    <row r="49964" spans="6:6" x14ac:dyDescent="0.3">
      <c r="F49964" s="193"/>
    </row>
    <row r="49965" spans="6:6" x14ac:dyDescent="0.3">
      <c r="F49965" s="193"/>
    </row>
    <row r="49966" spans="6:6" x14ac:dyDescent="0.3">
      <c r="F49966" s="193"/>
    </row>
    <row r="49967" spans="6:6" x14ac:dyDescent="0.3">
      <c r="F49967" s="193"/>
    </row>
    <row r="49968" spans="6:6" x14ac:dyDescent="0.3">
      <c r="F49968" s="193"/>
    </row>
    <row r="49969" spans="6:6" x14ac:dyDescent="0.3">
      <c r="F49969" s="193"/>
    </row>
    <row r="49970" spans="6:6" x14ac:dyDescent="0.3">
      <c r="F49970" s="193"/>
    </row>
    <row r="49971" spans="6:6" x14ac:dyDescent="0.3">
      <c r="F49971" s="193"/>
    </row>
    <row r="49972" spans="6:6" x14ac:dyDescent="0.3">
      <c r="F49972" s="193"/>
    </row>
    <row r="49973" spans="6:6" x14ac:dyDescent="0.3">
      <c r="F49973" s="193"/>
    </row>
    <row r="49974" spans="6:6" x14ac:dyDescent="0.3">
      <c r="F49974" s="193"/>
    </row>
    <row r="49975" spans="6:6" x14ac:dyDescent="0.3">
      <c r="F49975" s="193"/>
    </row>
    <row r="49976" spans="6:6" x14ac:dyDescent="0.3">
      <c r="F49976" s="193"/>
    </row>
    <row r="49977" spans="6:6" x14ac:dyDescent="0.3">
      <c r="F49977" s="193"/>
    </row>
    <row r="49978" spans="6:6" x14ac:dyDescent="0.3">
      <c r="F49978" s="193"/>
    </row>
    <row r="49979" spans="6:6" x14ac:dyDescent="0.3">
      <c r="F49979" s="193"/>
    </row>
    <row r="49980" spans="6:6" x14ac:dyDescent="0.3">
      <c r="F49980" s="193"/>
    </row>
    <row r="49981" spans="6:6" x14ac:dyDescent="0.3">
      <c r="F49981" s="193"/>
    </row>
    <row r="49982" spans="6:6" x14ac:dyDescent="0.3">
      <c r="F49982" s="193"/>
    </row>
    <row r="49983" spans="6:6" x14ac:dyDescent="0.3">
      <c r="F49983" s="193"/>
    </row>
    <row r="49984" spans="6:6" x14ac:dyDescent="0.3">
      <c r="F49984" s="193"/>
    </row>
    <row r="49985" spans="6:6" x14ac:dyDescent="0.3">
      <c r="F49985" s="193"/>
    </row>
    <row r="49986" spans="6:6" x14ac:dyDescent="0.3">
      <c r="F49986" s="193"/>
    </row>
    <row r="49987" spans="6:6" x14ac:dyDescent="0.3">
      <c r="F49987" s="193"/>
    </row>
    <row r="49988" spans="6:6" x14ac:dyDescent="0.3">
      <c r="F49988" s="193"/>
    </row>
    <row r="49989" spans="6:6" x14ac:dyDescent="0.3">
      <c r="F49989" s="193"/>
    </row>
    <row r="49990" spans="6:6" x14ac:dyDescent="0.3">
      <c r="F49990" s="193"/>
    </row>
    <row r="49991" spans="6:6" x14ac:dyDescent="0.3">
      <c r="F49991" s="193"/>
    </row>
    <row r="49992" spans="6:6" x14ac:dyDescent="0.3">
      <c r="F49992" s="193"/>
    </row>
    <row r="49993" spans="6:6" x14ac:dyDescent="0.3">
      <c r="F49993" s="193"/>
    </row>
    <row r="49994" spans="6:6" x14ac:dyDescent="0.3">
      <c r="F49994" s="193"/>
    </row>
    <row r="49995" spans="6:6" x14ac:dyDescent="0.3">
      <c r="F49995" s="193"/>
    </row>
    <row r="49996" spans="6:6" x14ac:dyDescent="0.3">
      <c r="F49996" s="193"/>
    </row>
    <row r="49997" spans="6:6" x14ac:dyDescent="0.3">
      <c r="F49997" s="193"/>
    </row>
    <row r="49998" spans="6:6" x14ac:dyDescent="0.3">
      <c r="F49998" s="193"/>
    </row>
    <row r="49999" spans="6:6" x14ac:dyDescent="0.3">
      <c r="F49999" s="193"/>
    </row>
    <row r="50000" spans="6:6" x14ac:dyDescent="0.3">
      <c r="F50000" s="193"/>
    </row>
    <row r="50001" spans="6:6" x14ac:dyDescent="0.3">
      <c r="F50001" s="193"/>
    </row>
    <row r="50002" spans="6:6" x14ac:dyDescent="0.3">
      <c r="F50002" s="193"/>
    </row>
    <row r="50003" spans="6:6" x14ac:dyDescent="0.3">
      <c r="F50003" s="193"/>
    </row>
    <row r="50004" spans="6:6" x14ac:dyDescent="0.3">
      <c r="F50004" s="193"/>
    </row>
    <row r="50005" spans="6:6" x14ac:dyDescent="0.3">
      <c r="F50005" s="193"/>
    </row>
    <row r="50006" spans="6:6" x14ac:dyDescent="0.3">
      <c r="F50006" s="193"/>
    </row>
    <row r="50007" spans="6:6" x14ac:dyDescent="0.3">
      <c r="F50007" s="193"/>
    </row>
    <row r="50008" spans="6:6" x14ac:dyDescent="0.3">
      <c r="F50008" s="193"/>
    </row>
    <row r="50009" spans="6:6" x14ac:dyDescent="0.3">
      <c r="F50009" s="193"/>
    </row>
    <row r="50010" spans="6:6" x14ac:dyDescent="0.3">
      <c r="F50010" s="193"/>
    </row>
    <row r="50011" spans="6:6" x14ac:dyDescent="0.3">
      <c r="F50011" s="193"/>
    </row>
    <row r="50012" spans="6:6" x14ac:dyDescent="0.3">
      <c r="F50012" s="193"/>
    </row>
    <row r="50013" spans="6:6" x14ac:dyDescent="0.3">
      <c r="F50013" s="193"/>
    </row>
    <row r="50014" spans="6:6" x14ac:dyDescent="0.3">
      <c r="F50014" s="193"/>
    </row>
    <row r="50015" spans="6:6" x14ac:dyDescent="0.3">
      <c r="F50015" s="193"/>
    </row>
    <row r="50016" spans="6:6" x14ac:dyDescent="0.3">
      <c r="F50016" s="193"/>
    </row>
    <row r="50017" spans="6:6" x14ac:dyDescent="0.3">
      <c r="F50017" s="193"/>
    </row>
    <row r="50018" spans="6:6" x14ac:dyDescent="0.3">
      <c r="F50018" s="193"/>
    </row>
    <row r="50019" spans="6:6" x14ac:dyDescent="0.3">
      <c r="F50019" s="193"/>
    </row>
    <row r="50020" spans="6:6" x14ac:dyDescent="0.3">
      <c r="F50020" s="193"/>
    </row>
    <row r="50021" spans="6:6" x14ac:dyDescent="0.3">
      <c r="F50021" s="193"/>
    </row>
    <row r="50022" spans="6:6" x14ac:dyDescent="0.3">
      <c r="F50022" s="193"/>
    </row>
    <row r="50023" spans="6:6" x14ac:dyDescent="0.3">
      <c r="F50023" s="193"/>
    </row>
    <row r="50024" spans="6:6" x14ac:dyDescent="0.3">
      <c r="F50024" s="193"/>
    </row>
    <row r="50025" spans="6:6" x14ac:dyDescent="0.3">
      <c r="F50025" s="193"/>
    </row>
    <row r="50026" spans="6:6" x14ac:dyDescent="0.3">
      <c r="F50026" s="193"/>
    </row>
    <row r="50027" spans="6:6" x14ac:dyDescent="0.3">
      <c r="F50027" s="193"/>
    </row>
    <row r="50028" spans="6:6" x14ac:dyDescent="0.3">
      <c r="F50028" s="193"/>
    </row>
    <row r="50029" spans="6:6" x14ac:dyDescent="0.3">
      <c r="F50029" s="193"/>
    </row>
    <row r="50030" spans="6:6" x14ac:dyDescent="0.3">
      <c r="F50030" s="193"/>
    </row>
    <row r="50031" spans="6:6" x14ac:dyDescent="0.3">
      <c r="F50031" s="193"/>
    </row>
    <row r="50032" spans="6:6" x14ac:dyDescent="0.3">
      <c r="F50032" s="193"/>
    </row>
    <row r="50033" spans="6:6" x14ac:dyDescent="0.3">
      <c r="F50033" s="193"/>
    </row>
    <row r="50034" spans="6:6" x14ac:dyDescent="0.3">
      <c r="F50034" s="193"/>
    </row>
    <row r="50035" spans="6:6" x14ac:dyDescent="0.3">
      <c r="F50035" s="193"/>
    </row>
    <row r="50036" spans="6:6" x14ac:dyDescent="0.3">
      <c r="F50036" s="193"/>
    </row>
    <row r="50037" spans="6:6" x14ac:dyDescent="0.3">
      <c r="F50037" s="193"/>
    </row>
    <row r="50038" spans="6:6" x14ac:dyDescent="0.3">
      <c r="F50038" s="193"/>
    </row>
    <row r="50039" spans="6:6" x14ac:dyDescent="0.3">
      <c r="F50039" s="193"/>
    </row>
    <row r="50040" spans="6:6" x14ac:dyDescent="0.3">
      <c r="F50040" s="193"/>
    </row>
    <row r="50041" spans="6:6" x14ac:dyDescent="0.3">
      <c r="F50041" s="193"/>
    </row>
    <row r="50042" spans="6:6" x14ac:dyDescent="0.3">
      <c r="F50042" s="193"/>
    </row>
    <row r="50043" spans="6:6" x14ac:dyDescent="0.3">
      <c r="F50043" s="193"/>
    </row>
    <row r="50044" spans="6:6" x14ac:dyDescent="0.3">
      <c r="F50044" s="193"/>
    </row>
    <row r="50045" spans="6:6" x14ac:dyDescent="0.3">
      <c r="F50045" s="193"/>
    </row>
    <row r="50046" spans="6:6" x14ac:dyDescent="0.3">
      <c r="F50046" s="193"/>
    </row>
    <row r="50047" spans="6:6" x14ac:dyDescent="0.3">
      <c r="F50047" s="193"/>
    </row>
    <row r="50048" spans="6:6" x14ac:dyDescent="0.3">
      <c r="F50048" s="193"/>
    </row>
    <row r="50049" spans="6:6" x14ac:dyDescent="0.3">
      <c r="F50049" s="193"/>
    </row>
    <row r="50050" spans="6:6" x14ac:dyDescent="0.3">
      <c r="F50050" s="193"/>
    </row>
    <row r="50051" spans="6:6" x14ac:dyDescent="0.3">
      <c r="F50051" s="193"/>
    </row>
    <row r="50052" spans="6:6" x14ac:dyDescent="0.3">
      <c r="F50052" s="193"/>
    </row>
    <row r="50053" spans="6:6" x14ac:dyDescent="0.3">
      <c r="F50053" s="193"/>
    </row>
    <row r="50054" spans="6:6" x14ac:dyDescent="0.3">
      <c r="F50054" s="193"/>
    </row>
    <row r="50055" spans="6:6" x14ac:dyDescent="0.3">
      <c r="F50055" s="193"/>
    </row>
    <row r="50056" spans="6:6" x14ac:dyDescent="0.3">
      <c r="F50056" s="193"/>
    </row>
    <row r="50057" spans="6:6" x14ac:dyDescent="0.3">
      <c r="F50057" s="193"/>
    </row>
    <row r="50058" spans="6:6" x14ac:dyDescent="0.3">
      <c r="F50058" s="193"/>
    </row>
    <row r="50059" spans="6:6" x14ac:dyDescent="0.3">
      <c r="F50059" s="193"/>
    </row>
    <row r="50060" spans="6:6" x14ac:dyDescent="0.3">
      <c r="F50060" s="193"/>
    </row>
    <row r="50061" spans="6:6" x14ac:dyDescent="0.3">
      <c r="F50061" s="193"/>
    </row>
    <row r="50062" spans="6:6" x14ac:dyDescent="0.3">
      <c r="F50062" s="193"/>
    </row>
    <row r="50063" spans="6:6" x14ac:dyDescent="0.3">
      <c r="F50063" s="193"/>
    </row>
    <row r="50064" spans="6:6" x14ac:dyDescent="0.3">
      <c r="F50064" s="193"/>
    </row>
    <row r="50065" spans="6:6" x14ac:dyDescent="0.3">
      <c r="F50065" s="193"/>
    </row>
    <row r="50066" spans="6:6" x14ac:dyDescent="0.3">
      <c r="F50066" s="193"/>
    </row>
    <row r="50067" spans="6:6" x14ac:dyDescent="0.3">
      <c r="F50067" s="193"/>
    </row>
    <row r="50068" spans="6:6" x14ac:dyDescent="0.3">
      <c r="F50068" s="193"/>
    </row>
    <row r="50069" spans="6:6" x14ac:dyDescent="0.3">
      <c r="F50069" s="193"/>
    </row>
    <row r="50070" spans="6:6" x14ac:dyDescent="0.3">
      <c r="F50070" s="193"/>
    </row>
    <row r="50071" spans="6:6" x14ac:dyDescent="0.3">
      <c r="F50071" s="193"/>
    </row>
    <row r="50072" spans="6:6" x14ac:dyDescent="0.3">
      <c r="F50072" s="193"/>
    </row>
    <row r="50073" spans="6:6" x14ac:dyDescent="0.3">
      <c r="F50073" s="193"/>
    </row>
    <row r="50074" spans="6:6" x14ac:dyDescent="0.3">
      <c r="F50074" s="193"/>
    </row>
    <row r="50075" spans="6:6" x14ac:dyDescent="0.3">
      <c r="F50075" s="193"/>
    </row>
    <row r="50076" spans="6:6" x14ac:dyDescent="0.3">
      <c r="F50076" s="193"/>
    </row>
    <row r="50077" spans="6:6" x14ac:dyDescent="0.3">
      <c r="F50077" s="193"/>
    </row>
    <row r="50078" spans="6:6" x14ac:dyDescent="0.3">
      <c r="F50078" s="193"/>
    </row>
    <row r="50079" spans="6:6" x14ac:dyDescent="0.3">
      <c r="F50079" s="193"/>
    </row>
    <row r="50080" spans="6:6" x14ac:dyDescent="0.3">
      <c r="F50080" s="193"/>
    </row>
    <row r="50081" spans="6:6" x14ac:dyDescent="0.3">
      <c r="F50081" s="193"/>
    </row>
    <row r="50082" spans="6:6" x14ac:dyDescent="0.3">
      <c r="F50082" s="193"/>
    </row>
    <row r="50083" spans="6:6" x14ac:dyDescent="0.3">
      <c r="F50083" s="193"/>
    </row>
    <row r="50084" spans="6:6" x14ac:dyDescent="0.3">
      <c r="F50084" s="193"/>
    </row>
    <row r="50085" spans="6:6" x14ac:dyDescent="0.3">
      <c r="F50085" s="193"/>
    </row>
    <row r="50086" spans="6:6" x14ac:dyDescent="0.3">
      <c r="F50086" s="193"/>
    </row>
    <row r="50087" spans="6:6" x14ac:dyDescent="0.3">
      <c r="F50087" s="193"/>
    </row>
    <row r="50088" spans="6:6" x14ac:dyDescent="0.3">
      <c r="F50088" s="193"/>
    </row>
    <row r="50089" spans="6:6" x14ac:dyDescent="0.3">
      <c r="F50089" s="193"/>
    </row>
    <row r="50090" spans="6:6" x14ac:dyDescent="0.3">
      <c r="F50090" s="193"/>
    </row>
    <row r="50091" spans="6:6" x14ac:dyDescent="0.3">
      <c r="F50091" s="193"/>
    </row>
    <row r="50092" spans="6:6" x14ac:dyDescent="0.3">
      <c r="F50092" s="193"/>
    </row>
    <row r="50093" spans="6:6" x14ac:dyDescent="0.3">
      <c r="F50093" s="193"/>
    </row>
    <row r="50094" spans="6:6" x14ac:dyDescent="0.3">
      <c r="F50094" s="193"/>
    </row>
    <row r="50095" spans="6:6" x14ac:dyDescent="0.3">
      <c r="F50095" s="193"/>
    </row>
    <row r="50096" spans="6:6" x14ac:dyDescent="0.3">
      <c r="F50096" s="193"/>
    </row>
    <row r="50097" spans="6:6" x14ac:dyDescent="0.3">
      <c r="F50097" s="193"/>
    </row>
    <row r="50098" spans="6:6" x14ac:dyDescent="0.3">
      <c r="F50098" s="193"/>
    </row>
    <row r="50099" spans="6:6" x14ac:dyDescent="0.3">
      <c r="F50099" s="193"/>
    </row>
    <row r="50100" spans="6:6" x14ac:dyDescent="0.3">
      <c r="F50100" s="193"/>
    </row>
    <row r="50101" spans="6:6" x14ac:dyDescent="0.3">
      <c r="F50101" s="193"/>
    </row>
    <row r="50102" spans="6:6" x14ac:dyDescent="0.3">
      <c r="F50102" s="193"/>
    </row>
    <row r="50103" spans="6:6" x14ac:dyDescent="0.3">
      <c r="F50103" s="193"/>
    </row>
    <row r="50104" spans="6:6" x14ac:dyDescent="0.3">
      <c r="F50104" s="193"/>
    </row>
    <row r="50105" spans="6:6" x14ac:dyDescent="0.3">
      <c r="F50105" s="193"/>
    </row>
    <row r="50106" spans="6:6" x14ac:dyDescent="0.3">
      <c r="F50106" s="193"/>
    </row>
    <row r="50107" spans="6:6" x14ac:dyDescent="0.3">
      <c r="F50107" s="193"/>
    </row>
    <row r="50108" spans="6:6" x14ac:dyDescent="0.3">
      <c r="F50108" s="193"/>
    </row>
    <row r="50109" spans="6:6" x14ac:dyDescent="0.3">
      <c r="F50109" s="193"/>
    </row>
    <row r="50110" spans="6:6" x14ac:dyDescent="0.3">
      <c r="F50110" s="193"/>
    </row>
    <row r="50111" spans="6:6" x14ac:dyDescent="0.3">
      <c r="F50111" s="193"/>
    </row>
    <row r="50112" spans="6:6" x14ac:dyDescent="0.3">
      <c r="F50112" s="193"/>
    </row>
    <row r="50113" spans="6:6" x14ac:dyDescent="0.3">
      <c r="F50113" s="193"/>
    </row>
    <row r="50114" spans="6:6" x14ac:dyDescent="0.3">
      <c r="F50114" s="193"/>
    </row>
    <row r="50115" spans="6:6" x14ac:dyDescent="0.3">
      <c r="F50115" s="193"/>
    </row>
    <row r="50116" spans="6:6" x14ac:dyDescent="0.3">
      <c r="F50116" s="193"/>
    </row>
    <row r="50117" spans="6:6" x14ac:dyDescent="0.3">
      <c r="F50117" s="193"/>
    </row>
    <row r="50118" spans="6:6" x14ac:dyDescent="0.3">
      <c r="F50118" s="193"/>
    </row>
    <row r="50119" spans="6:6" x14ac:dyDescent="0.3">
      <c r="F50119" s="193"/>
    </row>
    <row r="50120" spans="6:6" x14ac:dyDescent="0.3">
      <c r="F50120" s="193"/>
    </row>
    <row r="50121" spans="6:6" x14ac:dyDescent="0.3">
      <c r="F50121" s="193"/>
    </row>
    <row r="50122" spans="6:6" x14ac:dyDescent="0.3">
      <c r="F50122" s="193"/>
    </row>
    <row r="50123" spans="6:6" x14ac:dyDescent="0.3">
      <c r="F50123" s="193"/>
    </row>
    <row r="50124" spans="6:6" x14ac:dyDescent="0.3">
      <c r="F50124" s="193"/>
    </row>
    <row r="50125" spans="6:6" x14ac:dyDescent="0.3">
      <c r="F50125" s="193"/>
    </row>
    <row r="50126" spans="6:6" x14ac:dyDescent="0.3">
      <c r="F50126" s="193"/>
    </row>
    <row r="50127" spans="6:6" x14ac:dyDescent="0.3">
      <c r="F50127" s="193"/>
    </row>
    <row r="50128" spans="6:6" x14ac:dyDescent="0.3">
      <c r="F50128" s="193"/>
    </row>
    <row r="50129" spans="6:6" x14ac:dyDescent="0.3">
      <c r="F50129" s="193"/>
    </row>
    <row r="50130" spans="6:6" x14ac:dyDescent="0.3">
      <c r="F50130" s="193"/>
    </row>
    <row r="50131" spans="6:6" x14ac:dyDescent="0.3">
      <c r="F50131" s="193"/>
    </row>
    <row r="50132" spans="6:6" x14ac:dyDescent="0.3">
      <c r="F50132" s="193"/>
    </row>
    <row r="50133" spans="6:6" x14ac:dyDescent="0.3">
      <c r="F50133" s="193"/>
    </row>
    <row r="50134" spans="6:6" x14ac:dyDescent="0.3">
      <c r="F50134" s="193"/>
    </row>
    <row r="50135" spans="6:6" x14ac:dyDescent="0.3">
      <c r="F50135" s="193"/>
    </row>
    <row r="50136" spans="6:6" x14ac:dyDescent="0.3">
      <c r="F50136" s="193"/>
    </row>
    <row r="50137" spans="6:6" x14ac:dyDescent="0.3">
      <c r="F50137" s="193"/>
    </row>
    <row r="50138" spans="6:6" x14ac:dyDescent="0.3">
      <c r="F50138" s="193"/>
    </row>
    <row r="50139" spans="6:6" x14ac:dyDescent="0.3">
      <c r="F50139" s="193"/>
    </row>
    <row r="50140" spans="6:6" x14ac:dyDescent="0.3">
      <c r="F50140" s="193"/>
    </row>
    <row r="50141" spans="6:6" x14ac:dyDescent="0.3">
      <c r="F50141" s="193"/>
    </row>
    <row r="50142" spans="6:6" x14ac:dyDescent="0.3">
      <c r="F50142" s="193"/>
    </row>
    <row r="50143" spans="6:6" x14ac:dyDescent="0.3">
      <c r="F50143" s="193"/>
    </row>
    <row r="50144" spans="6:6" x14ac:dyDescent="0.3">
      <c r="F50144" s="193"/>
    </row>
    <row r="50145" spans="6:6" x14ac:dyDescent="0.3">
      <c r="F50145" s="193"/>
    </row>
    <row r="50146" spans="6:6" x14ac:dyDescent="0.3">
      <c r="F50146" s="193"/>
    </row>
    <row r="50147" spans="6:6" x14ac:dyDescent="0.3">
      <c r="F50147" s="193"/>
    </row>
    <row r="50148" spans="6:6" x14ac:dyDescent="0.3">
      <c r="F50148" s="193"/>
    </row>
    <row r="50149" spans="6:6" x14ac:dyDescent="0.3">
      <c r="F50149" s="193"/>
    </row>
    <row r="50150" spans="6:6" x14ac:dyDescent="0.3">
      <c r="F50150" s="193"/>
    </row>
    <row r="50151" spans="6:6" x14ac:dyDescent="0.3">
      <c r="F50151" s="193"/>
    </row>
    <row r="50152" spans="6:6" x14ac:dyDescent="0.3">
      <c r="F50152" s="193"/>
    </row>
    <row r="50153" spans="6:6" x14ac:dyDescent="0.3">
      <c r="F50153" s="193"/>
    </row>
    <row r="50154" spans="6:6" x14ac:dyDescent="0.3">
      <c r="F50154" s="193"/>
    </row>
    <row r="50155" spans="6:6" x14ac:dyDescent="0.3">
      <c r="F50155" s="193"/>
    </row>
    <row r="50156" spans="6:6" x14ac:dyDescent="0.3">
      <c r="F50156" s="193"/>
    </row>
    <row r="50157" spans="6:6" x14ac:dyDescent="0.3">
      <c r="F50157" s="193"/>
    </row>
    <row r="50158" spans="6:6" x14ac:dyDescent="0.3">
      <c r="F50158" s="193"/>
    </row>
    <row r="50159" spans="6:6" x14ac:dyDescent="0.3">
      <c r="F50159" s="193"/>
    </row>
    <row r="50160" spans="6:6" x14ac:dyDescent="0.3">
      <c r="F50160" s="193"/>
    </row>
    <row r="50161" spans="6:6" x14ac:dyDescent="0.3">
      <c r="F50161" s="193"/>
    </row>
    <row r="50162" spans="6:6" x14ac:dyDescent="0.3">
      <c r="F50162" s="193"/>
    </row>
    <row r="50163" spans="6:6" x14ac:dyDescent="0.3">
      <c r="F50163" s="193"/>
    </row>
    <row r="50164" spans="6:6" x14ac:dyDescent="0.3">
      <c r="F50164" s="193"/>
    </row>
    <row r="50165" spans="6:6" x14ac:dyDescent="0.3">
      <c r="F50165" s="193"/>
    </row>
    <row r="50166" spans="6:6" x14ac:dyDescent="0.3">
      <c r="F50166" s="193"/>
    </row>
    <row r="50167" spans="6:6" x14ac:dyDescent="0.3">
      <c r="F50167" s="193"/>
    </row>
    <row r="50168" spans="6:6" x14ac:dyDescent="0.3">
      <c r="F50168" s="193"/>
    </row>
    <row r="50169" spans="6:6" x14ac:dyDescent="0.3">
      <c r="F50169" s="193"/>
    </row>
    <row r="50170" spans="6:6" x14ac:dyDescent="0.3">
      <c r="F50170" s="193"/>
    </row>
    <row r="50171" spans="6:6" x14ac:dyDescent="0.3">
      <c r="F50171" s="193"/>
    </row>
    <row r="50172" spans="6:6" x14ac:dyDescent="0.3">
      <c r="F50172" s="193"/>
    </row>
    <row r="50173" spans="6:6" x14ac:dyDescent="0.3">
      <c r="F50173" s="193"/>
    </row>
    <row r="50174" spans="6:6" x14ac:dyDescent="0.3">
      <c r="F50174" s="193"/>
    </row>
    <row r="50175" spans="6:6" x14ac:dyDescent="0.3">
      <c r="F50175" s="193"/>
    </row>
    <row r="50176" spans="6:6" x14ac:dyDescent="0.3">
      <c r="F50176" s="193"/>
    </row>
    <row r="50177" spans="6:6" x14ac:dyDescent="0.3">
      <c r="F50177" s="193"/>
    </row>
    <row r="50178" spans="6:6" x14ac:dyDescent="0.3">
      <c r="F50178" s="193"/>
    </row>
    <row r="50179" spans="6:6" x14ac:dyDescent="0.3">
      <c r="F50179" s="193"/>
    </row>
    <row r="50180" spans="6:6" x14ac:dyDescent="0.3">
      <c r="F50180" s="193"/>
    </row>
    <row r="50181" spans="6:6" x14ac:dyDescent="0.3">
      <c r="F50181" s="193"/>
    </row>
    <row r="50182" spans="6:6" x14ac:dyDescent="0.3">
      <c r="F50182" s="193"/>
    </row>
    <row r="50183" spans="6:6" x14ac:dyDescent="0.3">
      <c r="F50183" s="193"/>
    </row>
    <row r="50184" spans="6:6" x14ac:dyDescent="0.3">
      <c r="F50184" s="193"/>
    </row>
    <row r="50185" spans="6:6" x14ac:dyDescent="0.3">
      <c r="F50185" s="193"/>
    </row>
    <row r="50186" spans="6:6" x14ac:dyDescent="0.3">
      <c r="F50186" s="193"/>
    </row>
    <row r="50187" spans="6:6" x14ac:dyDescent="0.3">
      <c r="F50187" s="193"/>
    </row>
    <row r="50188" spans="6:6" x14ac:dyDescent="0.3">
      <c r="F50188" s="193"/>
    </row>
    <row r="50189" spans="6:6" x14ac:dyDescent="0.3">
      <c r="F50189" s="193"/>
    </row>
    <row r="50190" spans="6:6" x14ac:dyDescent="0.3">
      <c r="F50190" s="193"/>
    </row>
    <row r="50191" spans="6:6" x14ac:dyDescent="0.3">
      <c r="F50191" s="193"/>
    </row>
    <row r="50192" spans="6:6" x14ac:dyDescent="0.3">
      <c r="F50192" s="193"/>
    </row>
    <row r="50193" spans="6:6" x14ac:dyDescent="0.3">
      <c r="F50193" s="193"/>
    </row>
    <row r="50194" spans="6:6" x14ac:dyDescent="0.3">
      <c r="F50194" s="193"/>
    </row>
    <row r="50195" spans="6:6" x14ac:dyDescent="0.3">
      <c r="F50195" s="193"/>
    </row>
    <row r="50196" spans="6:6" x14ac:dyDescent="0.3">
      <c r="F50196" s="193"/>
    </row>
    <row r="50197" spans="6:6" x14ac:dyDescent="0.3">
      <c r="F50197" s="193"/>
    </row>
    <row r="50198" spans="6:6" x14ac:dyDescent="0.3">
      <c r="F50198" s="193"/>
    </row>
    <row r="50199" spans="6:6" x14ac:dyDescent="0.3">
      <c r="F50199" s="193"/>
    </row>
    <row r="50200" spans="6:6" x14ac:dyDescent="0.3">
      <c r="F50200" s="193"/>
    </row>
    <row r="50201" spans="6:6" x14ac:dyDescent="0.3">
      <c r="F50201" s="193"/>
    </row>
    <row r="50202" spans="6:6" x14ac:dyDescent="0.3">
      <c r="F50202" s="193"/>
    </row>
    <row r="50203" spans="6:6" x14ac:dyDescent="0.3">
      <c r="F50203" s="193"/>
    </row>
    <row r="50204" spans="6:6" x14ac:dyDescent="0.3">
      <c r="F50204" s="193"/>
    </row>
    <row r="50205" spans="6:6" x14ac:dyDescent="0.3">
      <c r="F50205" s="193"/>
    </row>
    <row r="50206" spans="6:6" x14ac:dyDescent="0.3">
      <c r="F50206" s="193"/>
    </row>
    <row r="50207" spans="6:6" x14ac:dyDescent="0.3">
      <c r="F50207" s="193"/>
    </row>
    <row r="50208" spans="6:6" x14ac:dyDescent="0.3">
      <c r="F50208" s="193"/>
    </row>
    <row r="50209" spans="6:6" x14ac:dyDescent="0.3">
      <c r="F50209" s="193"/>
    </row>
    <row r="50210" spans="6:6" x14ac:dyDescent="0.3">
      <c r="F50210" s="193"/>
    </row>
    <row r="50211" spans="6:6" x14ac:dyDescent="0.3">
      <c r="F50211" s="193"/>
    </row>
    <row r="50212" spans="6:6" x14ac:dyDescent="0.3">
      <c r="F50212" s="193"/>
    </row>
    <row r="50213" spans="6:6" x14ac:dyDescent="0.3">
      <c r="F50213" s="193"/>
    </row>
    <row r="50214" spans="6:6" x14ac:dyDescent="0.3">
      <c r="F50214" s="193"/>
    </row>
    <row r="50215" spans="6:6" x14ac:dyDescent="0.3">
      <c r="F50215" s="193"/>
    </row>
    <row r="50216" spans="6:6" x14ac:dyDescent="0.3">
      <c r="F50216" s="193"/>
    </row>
    <row r="50217" spans="6:6" x14ac:dyDescent="0.3">
      <c r="F50217" s="193"/>
    </row>
    <row r="50218" spans="6:6" x14ac:dyDescent="0.3">
      <c r="F50218" s="193"/>
    </row>
    <row r="50219" spans="6:6" x14ac:dyDescent="0.3">
      <c r="F50219" s="193"/>
    </row>
    <row r="50220" spans="6:6" x14ac:dyDescent="0.3">
      <c r="F50220" s="193"/>
    </row>
    <row r="50221" spans="6:6" x14ac:dyDescent="0.3">
      <c r="F50221" s="193"/>
    </row>
    <row r="50222" spans="6:6" x14ac:dyDescent="0.3">
      <c r="F50222" s="193"/>
    </row>
    <row r="50223" spans="6:6" x14ac:dyDescent="0.3">
      <c r="F50223" s="193"/>
    </row>
    <row r="50224" spans="6:6" x14ac:dyDescent="0.3">
      <c r="F50224" s="193"/>
    </row>
    <row r="50225" spans="6:6" x14ac:dyDescent="0.3">
      <c r="F50225" s="193"/>
    </row>
    <row r="50226" spans="6:6" x14ac:dyDescent="0.3">
      <c r="F50226" s="193"/>
    </row>
    <row r="50227" spans="6:6" x14ac:dyDescent="0.3">
      <c r="F50227" s="193"/>
    </row>
    <row r="50228" spans="6:6" x14ac:dyDescent="0.3">
      <c r="F50228" s="193"/>
    </row>
    <row r="50229" spans="6:6" x14ac:dyDescent="0.3">
      <c r="F50229" s="193"/>
    </row>
    <row r="50230" spans="6:6" x14ac:dyDescent="0.3">
      <c r="F50230" s="193"/>
    </row>
    <row r="50231" spans="6:6" x14ac:dyDescent="0.3">
      <c r="F50231" s="193"/>
    </row>
    <row r="50232" spans="6:6" x14ac:dyDescent="0.3">
      <c r="F50232" s="193"/>
    </row>
    <row r="50233" spans="6:6" x14ac:dyDescent="0.3">
      <c r="F50233" s="193"/>
    </row>
    <row r="50234" spans="6:6" x14ac:dyDescent="0.3">
      <c r="F50234" s="193"/>
    </row>
    <row r="50235" spans="6:6" x14ac:dyDescent="0.3">
      <c r="F50235" s="193"/>
    </row>
    <row r="50236" spans="6:6" x14ac:dyDescent="0.3">
      <c r="F50236" s="193"/>
    </row>
    <row r="50237" spans="6:6" x14ac:dyDescent="0.3">
      <c r="F50237" s="193"/>
    </row>
    <row r="50238" spans="6:6" x14ac:dyDescent="0.3">
      <c r="F50238" s="193"/>
    </row>
    <row r="50239" spans="6:6" x14ac:dyDescent="0.3">
      <c r="F50239" s="193"/>
    </row>
    <row r="50240" spans="6:6" x14ac:dyDescent="0.3">
      <c r="F50240" s="193"/>
    </row>
    <row r="50241" spans="6:6" x14ac:dyDescent="0.3">
      <c r="F50241" s="193"/>
    </row>
    <row r="50242" spans="6:6" x14ac:dyDescent="0.3">
      <c r="F50242" s="193"/>
    </row>
    <row r="50243" spans="6:6" x14ac:dyDescent="0.3">
      <c r="F50243" s="193"/>
    </row>
    <row r="50244" spans="6:6" x14ac:dyDescent="0.3">
      <c r="F50244" s="193"/>
    </row>
    <row r="50245" spans="6:6" x14ac:dyDescent="0.3">
      <c r="F50245" s="193"/>
    </row>
    <row r="50246" spans="6:6" x14ac:dyDescent="0.3">
      <c r="F50246" s="193"/>
    </row>
    <row r="50247" spans="6:6" x14ac:dyDescent="0.3">
      <c r="F50247" s="193"/>
    </row>
    <row r="50248" spans="6:6" x14ac:dyDescent="0.3">
      <c r="F50248" s="193"/>
    </row>
    <row r="50249" spans="6:6" x14ac:dyDescent="0.3">
      <c r="F50249" s="193"/>
    </row>
    <row r="50250" spans="6:6" x14ac:dyDescent="0.3">
      <c r="F50250" s="193"/>
    </row>
    <row r="50251" spans="6:6" x14ac:dyDescent="0.3">
      <c r="F50251" s="193"/>
    </row>
    <row r="50252" spans="6:6" x14ac:dyDescent="0.3">
      <c r="F50252" s="193"/>
    </row>
    <row r="50253" spans="6:6" x14ac:dyDescent="0.3">
      <c r="F50253" s="193"/>
    </row>
    <row r="50254" spans="6:6" x14ac:dyDescent="0.3">
      <c r="F50254" s="193"/>
    </row>
    <row r="50255" spans="6:6" x14ac:dyDescent="0.3">
      <c r="F50255" s="193"/>
    </row>
    <row r="50256" spans="6:6" x14ac:dyDescent="0.3">
      <c r="F50256" s="193"/>
    </row>
    <row r="50257" spans="6:6" x14ac:dyDescent="0.3">
      <c r="F50257" s="193"/>
    </row>
    <row r="50258" spans="6:6" x14ac:dyDescent="0.3">
      <c r="F50258" s="193"/>
    </row>
    <row r="50259" spans="6:6" x14ac:dyDescent="0.3">
      <c r="F50259" s="193"/>
    </row>
    <row r="50260" spans="6:6" x14ac:dyDescent="0.3">
      <c r="F50260" s="193"/>
    </row>
    <row r="50261" spans="6:6" x14ac:dyDescent="0.3">
      <c r="F50261" s="193"/>
    </row>
    <row r="50262" spans="6:6" x14ac:dyDescent="0.3">
      <c r="F50262" s="193"/>
    </row>
    <row r="50263" spans="6:6" x14ac:dyDescent="0.3">
      <c r="F50263" s="193"/>
    </row>
    <row r="50264" spans="6:6" x14ac:dyDescent="0.3">
      <c r="F50264" s="193"/>
    </row>
    <row r="50265" spans="6:6" x14ac:dyDescent="0.3">
      <c r="F50265" s="193"/>
    </row>
    <row r="50266" spans="6:6" x14ac:dyDescent="0.3">
      <c r="F50266" s="193"/>
    </row>
    <row r="50267" spans="6:6" x14ac:dyDescent="0.3">
      <c r="F50267" s="193"/>
    </row>
    <row r="50268" spans="6:6" x14ac:dyDescent="0.3">
      <c r="F50268" s="193"/>
    </row>
    <row r="50269" spans="6:6" x14ac:dyDescent="0.3">
      <c r="F50269" s="193"/>
    </row>
    <row r="50270" spans="6:6" x14ac:dyDescent="0.3">
      <c r="F50270" s="193"/>
    </row>
    <row r="50271" spans="6:6" x14ac:dyDescent="0.3">
      <c r="F50271" s="193"/>
    </row>
    <row r="50272" spans="6:6" x14ac:dyDescent="0.3">
      <c r="F50272" s="193"/>
    </row>
    <row r="50273" spans="6:6" x14ac:dyDescent="0.3">
      <c r="F50273" s="193"/>
    </row>
    <row r="50274" spans="6:6" x14ac:dyDescent="0.3">
      <c r="F50274" s="193"/>
    </row>
    <row r="50275" spans="6:6" x14ac:dyDescent="0.3">
      <c r="F50275" s="193"/>
    </row>
    <row r="50276" spans="6:6" x14ac:dyDescent="0.3">
      <c r="F50276" s="193"/>
    </row>
    <row r="50277" spans="6:6" x14ac:dyDescent="0.3">
      <c r="F50277" s="193"/>
    </row>
    <row r="50278" spans="6:6" x14ac:dyDescent="0.3">
      <c r="F50278" s="193"/>
    </row>
    <row r="50279" spans="6:6" x14ac:dyDescent="0.3">
      <c r="F50279" s="193"/>
    </row>
    <row r="50280" spans="6:6" x14ac:dyDescent="0.3">
      <c r="F50280" s="193"/>
    </row>
    <row r="50281" spans="6:6" x14ac:dyDescent="0.3">
      <c r="F50281" s="193"/>
    </row>
    <row r="50282" spans="6:6" x14ac:dyDescent="0.3">
      <c r="F50282" s="193"/>
    </row>
    <row r="50283" spans="6:6" x14ac:dyDescent="0.3">
      <c r="F50283" s="193"/>
    </row>
    <row r="50284" spans="6:6" x14ac:dyDescent="0.3">
      <c r="F50284" s="193"/>
    </row>
    <row r="50285" spans="6:6" x14ac:dyDescent="0.3">
      <c r="F50285" s="193"/>
    </row>
    <row r="50286" spans="6:6" x14ac:dyDescent="0.3">
      <c r="F50286" s="193"/>
    </row>
    <row r="50287" spans="6:6" x14ac:dyDescent="0.3">
      <c r="F50287" s="193"/>
    </row>
    <row r="50288" spans="6:6" x14ac:dyDescent="0.3">
      <c r="F50288" s="193"/>
    </row>
    <row r="50289" spans="6:6" x14ac:dyDescent="0.3">
      <c r="F50289" s="193"/>
    </row>
    <row r="50290" spans="6:6" x14ac:dyDescent="0.3">
      <c r="F50290" s="193"/>
    </row>
    <row r="50291" spans="6:6" x14ac:dyDescent="0.3">
      <c r="F50291" s="193"/>
    </row>
    <row r="50292" spans="6:6" x14ac:dyDescent="0.3">
      <c r="F50292" s="193"/>
    </row>
    <row r="50293" spans="6:6" x14ac:dyDescent="0.3">
      <c r="F50293" s="193"/>
    </row>
    <row r="50294" spans="6:6" x14ac:dyDescent="0.3">
      <c r="F50294" s="193"/>
    </row>
    <row r="50295" spans="6:6" x14ac:dyDescent="0.3">
      <c r="F50295" s="193"/>
    </row>
    <row r="50296" spans="6:6" x14ac:dyDescent="0.3">
      <c r="F50296" s="193"/>
    </row>
    <row r="50297" spans="6:6" x14ac:dyDescent="0.3">
      <c r="F50297" s="193"/>
    </row>
    <row r="50298" spans="6:6" x14ac:dyDescent="0.3">
      <c r="F50298" s="193"/>
    </row>
    <row r="50299" spans="6:6" x14ac:dyDescent="0.3">
      <c r="F50299" s="193"/>
    </row>
    <row r="50300" spans="6:6" x14ac:dyDescent="0.3">
      <c r="F50300" s="193"/>
    </row>
    <row r="50301" spans="6:6" x14ac:dyDescent="0.3">
      <c r="F50301" s="193"/>
    </row>
    <row r="50302" spans="6:6" x14ac:dyDescent="0.3">
      <c r="F50302" s="193"/>
    </row>
    <row r="50303" spans="6:6" x14ac:dyDescent="0.3">
      <c r="F50303" s="193"/>
    </row>
    <row r="50304" spans="6:6" x14ac:dyDescent="0.3">
      <c r="F50304" s="193"/>
    </row>
    <row r="50305" spans="6:6" x14ac:dyDescent="0.3">
      <c r="F50305" s="193"/>
    </row>
    <row r="50306" spans="6:6" x14ac:dyDescent="0.3">
      <c r="F50306" s="193"/>
    </row>
    <row r="50307" spans="6:6" x14ac:dyDescent="0.3">
      <c r="F50307" s="193"/>
    </row>
    <row r="50308" spans="6:6" x14ac:dyDescent="0.3">
      <c r="F50308" s="193"/>
    </row>
    <row r="50309" spans="6:6" x14ac:dyDescent="0.3">
      <c r="F50309" s="193"/>
    </row>
    <row r="50310" spans="6:6" x14ac:dyDescent="0.3">
      <c r="F50310" s="193"/>
    </row>
    <row r="50311" spans="6:6" x14ac:dyDescent="0.3">
      <c r="F50311" s="193"/>
    </row>
    <row r="50312" spans="6:6" x14ac:dyDescent="0.3">
      <c r="F50312" s="193"/>
    </row>
    <row r="50313" spans="6:6" x14ac:dyDescent="0.3">
      <c r="F50313" s="193"/>
    </row>
    <row r="50314" spans="6:6" x14ac:dyDescent="0.3">
      <c r="F50314" s="193"/>
    </row>
    <row r="50315" spans="6:6" x14ac:dyDescent="0.3">
      <c r="F50315" s="193"/>
    </row>
    <row r="50316" spans="6:6" x14ac:dyDescent="0.3">
      <c r="F50316" s="193"/>
    </row>
    <row r="50317" spans="6:6" x14ac:dyDescent="0.3">
      <c r="F50317" s="193"/>
    </row>
    <row r="50318" spans="6:6" x14ac:dyDescent="0.3">
      <c r="F50318" s="193"/>
    </row>
    <row r="50319" spans="6:6" x14ac:dyDescent="0.3">
      <c r="F50319" s="193"/>
    </row>
    <row r="50320" spans="6:6" x14ac:dyDescent="0.3">
      <c r="F50320" s="193"/>
    </row>
    <row r="50321" spans="6:6" x14ac:dyDescent="0.3">
      <c r="F50321" s="193"/>
    </row>
    <row r="50322" spans="6:6" x14ac:dyDescent="0.3">
      <c r="F50322" s="193"/>
    </row>
    <row r="50323" spans="6:6" x14ac:dyDescent="0.3">
      <c r="F50323" s="193"/>
    </row>
    <row r="50324" spans="6:6" x14ac:dyDescent="0.3">
      <c r="F50324" s="193"/>
    </row>
    <row r="50325" spans="6:6" x14ac:dyDescent="0.3">
      <c r="F50325" s="193"/>
    </row>
    <row r="50326" spans="6:6" x14ac:dyDescent="0.3">
      <c r="F50326" s="193"/>
    </row>
    <row r="50327" spans="6:6" x14ac:dyDescent="0.3">
      <c r="F50327" s="193"/>
    </row>
    <row r="50328" spans="6:6" x14ac:dyDescent="0.3">
      <c r="F50328" s="193"/>
    </row>
    <row r="50329" spans="6:6" x14ac:dyDescent="0.3">
      <c r="F50329" s="193"/>
    </row>
    <row r="50330" spans="6:6" x14ac:dyDescent="0.3">
      <c r="F50330" s="193"/>
    </row>
    <row r="50331" spans="6:6" x14ac:dyDescent="0.3">
      <c r="F50331" s="193"/>
    </row>
    <row r="50332" spans="6:6" x14ac:dyDescent="0.3">
      <c r="F50332" s="193"/>
    </row>
    <row r="50333" spans="6:6" x14ac:dyDescent="0.3">
      <c r="F50333" s="193"/>
    </row>
    <row r="50334" spans="6:6" x14ac:dyDescent="0.3">
      <c r="F50334" s="193"/>
    </row>
    <row r="50335" spans="6:6" x14ac:dyDescent="0.3">
      <c r="F50335" s="193"/>
    </row>
    <row r="50336" spans="6:6" x14ac:dyDescent="0.3">
      <c r="F50336" s="193"/>
    </row>
    <row r="50337" spans="6:6" x14ac:dyDescent="0.3">
      <c r="F50337" s="193"/>
    </row>
    <row r="50338" spans="6:6" x14ac:dyDescent="0.3">
      <c r="F50338" s="193"/>
    </row>
    <row r="50339" spans="6:6" x14ac:dyDescent="0.3">
      <c r="F50339" s="193"/>
    </row>
    <row r="50340" spans="6:6" x14ac:dyDescent="0.3">
      <c r="F50340" s="193"/>
    </row>
    <row r="50341" spans="6:6" x14ac:dyDescent="0.3">
      <c r="F50341" s="193"/>
    </row>
    <row r="50342" spans="6:6" x14ac:dyDescent="0.3">
      <c r="F50342" s="193"/>
    </row>
    <row r="50343" spans="6:6" x14ac:dyDescent="0.3">
      <c r="F50343" s="193"/>
    </row>
    <row r="50344" spans="6:6" x14ac:dyDescent="0.3">
      <c r="F50344" s="193"/>
    </row>
    <row r="50345" spans="6:6" x14ac:dyDescent="0.3">
      <c r="F50345" s="193"/>
    </row>
    <row r="50346" spans="6:6" x14ac:dyDescent="0.3">
      <c r="F50346" s="193"/>
    </row>
    <row r="50347" spans="6:6" x14ac:dyDescent="0.3">
      <c r="F50347" s="193"/>
    </row>
    <row r="50348" spans="6:6" x14ac:dyDescent="0.3">
      <c r="F50348" s="193"/>
    </row>
    <row r="50349" spans="6:6" x14ac:dyDescent="0.3">
      <c r="F50349" s="193"/>
    </row>
    <row r="50350" spans="6:6" x14ac:dyDescent="0.3">
      <c r="F50350" s="193"/>
    </row>
    <row r="50351" spans="6:6" x14ac:dyDescent="0.3">
      <c r="F50351" s="193"/>
    </row>
    <row r="50352" spans="6:6" x14ac:dyDescent="0.3">
      <c r="F50352" s="193"/>
    </row>
    <row r="50353" spans="6:6" x14ac:dyDescent="0.3">
      <c r="F50353" s="193"/>
    </row>
    <row r="50354" spans="6:6" x14ac:dyDescent="0.3">
      <c r="F50354" s="193"/>
    </row>
    <row r="50355" spans="6:6" x14ac:dyDescent="0.3">
      <c r="F50355" s="193"/>
    </row>
    <row r="50356" spans="6:6" x14ac:dyDescent="0.3">
      <c r="F50356" s="193"/>
    </row>
    <row r="50357" spans="6:6" x14ac:dyDescent="0.3">
      <c r="F50357" s="193"/>
    </row>
    <row r="50358" spans="6:6" x14ac:dyDescent="0.3">
      <c r="F50358" s="193"/>
    </row>
    <row r="50359" spans="6:6" x14ac:dyDescent="0.3">
      <c r="F50359" s="193"/>
    </row>
    <row r="50360" spans="6:6" x14ac:dyDescent="0.3">
      <c r="F50360" s="193"/>
    </row>
    <row r="50361" spans="6:6" x14ac:dyDescent="0.3">
      <c r="F50361" s="193"/>
    </row>
    <row r="50362" spans="6:6" x14ac:dyDescent="0.3">
      <c r="F50362" s="193"/>
    </row>
    <row r="50363" spans="6:6" x14ac:dyDescent="0.3">
      <c r="F50363" s="193"/>
    </row>
    <row r="50364" spans="6:6" x14ac:dyDescent="0.3">
      <c r="F50364" s="193"/>
    </row>
    <row r="50365" spans="6:6" x14ac:dyDescent="0.3">
      <c r="F50365" s="193"/>
    </row>
    <row r="50366" spans="6:6" x14ac:dyDescent="0.3">
      <c r="F50366" s="193"/>
    </row>
    <row r="50367" spans="6:6" x14ac:dyDescent="0.3">
      <c r="F50367" s="193"/>
    </row>
    <row r="50368" spans="6:6" x14ac:dyDescent="0.3">
      <c r="F50368" s="193"/>
    </row>
    <row r="50369" spans="6:6" x14ac:dyDescent="0.3">
      <c r="F50369" s="193"/>
    </row>
    <row r="50370" spans="6:6" x14ac:dyDescent="0.3">
      <c r="F50370" s="193"/>
    </row>
    <row r="50371" spans="6:6" x14ac:dyDescent="0.3">
      <c r="F50371" s="193"/>
    </row>
    <row r="50372" spans="6:6" x14ac:dyDescent="0.3">
      <c r="F50372" s="193"/>
    </row>
    <row r="50373" spans="6:6" x14ac:dyDescent="0.3">
      <c r="F50373" s="193"/>
    </row>
    <row r="50374" spans="6:6" x14ac:dyDescent="0.3">
      <c r="F50374" s="193"/>
    </row>
    <row r="50375" spans="6:6" x14ac:dyDescent="0.3">
      <c r="F50375" s="193"/>
    </row>
    <row r="50376" spans="6:6" x14ac:dyDescent="0.3">
      <c r="F50376" s="193"/>
    </row>
    <row r="50377" spans="6:6" x14ac:dyDescent="0.3">
      <c r="F50377" s="193"/>
    </row>
    <row r="50378" spans="6:6" x14ac:dyDescent="0.3">
      <c r="F50378" s="193"/>
    </row>
    <row r="50379" spans="6:6" x14ac:dyDescent="0.3">
      <c r="F50379" s="193"/>
    </row>
    <row r="50380" spans="6:6" x14ac:dyDescent="0.3">
      <c r="F50380" s="193"/>
    </row>
    <row r="50381" spans="6:6" x14ac:dyDescent="0.3">
      <c r="F50381" s="193"/>
    </row>
    <row r="50382" spans="6:6" x14ac:dyDescent="0.3">
      <c r="F50382" s="193"/>
    </row>
    <row r="50383" spans="6:6" x14ac:dyDescent="0.3">
      <c r="F50383" s="193"/>
    </row>
    <row r="50384" spans="6:6" x14ac:dyDescent="0.3">
      <c r="F50384" s="193"/>
    </row>
    <row r="50385" spans="6:6" x14ac:dyDescent="0.3">
      <c r="F50385" s="193"/>
    </row>
    <row r="50386" spans="6:6" x14ac:dyDescent="0.3">
      <c r="F50386" s="193"/>
    </row>
    <row r="50387" spans="6:6" x14ac:dyDescent="0.3">
      <c r="F50387" s="193"/>
    </row>
    <row r="50388" spans="6:6" x14ac:dyDescent="0.3">
      <c r="F50388" s="193"/>
    </row>
    <row r="50389" spans="6:6" x14ac:dyDescent="0.3">
      <c r="F50389" s="193"/>
    </row>
    <row r="50390" spans="6:6" x14ac:dyDescent="0.3">
      <c r="F50390" s="193"/>
    </row>
    <row r="50391" spans="6:6" x14ac:dyDescent="0.3">
      <c r="F50391" s="193"/>
    </row>
    <row r="50392" spans="6:6" x14ac:dyDescent="0.3">
      <c r="F50392" s="193"/>
    </row>
    <row r="50393" spans="6:6" x14ac:dyDescent="0.3">
      <c r="F50393" s="193"/>
    </row>
    <row r="50394" spans="6:6" x14ac:dyDescent="0.3">
      <c r="F50394" s="193"/>
    </row>
    <row r="50395" spans="6:6" x14ac:dyDescent="0.3">
      <c r="F50395" s="193"/>
    </row>
    <row r="50396" spans="6:6" x14ac:dyDescent="0.3">
      <c r="F50396" s="193"/>
    </row>
    <row r="50397" spans="6:6" x14ac:dyDescent="0.3">
      <c r="F50397" s="193"/>
    </row>
    <row r="50398" spans="6:6" x14ac:dyDescent="0.3">
      <c r="F50398" s="193"/>
    </row>
    <row r="50399" spans="6:6" x14ac:dyDescent="0.3">
      <c r="F50399" s="193"/>
    </row>
    <row r="50400" spans="6:6" x14ac:dyDescent="0.3">
      <c r="F50400" s="193"/>
    </row>
    <row r="50401" spans="6:6" x14ac:dyDescent="0.3">
      <c r="F50401" s="193"/>
    </row>
    <row r="50402" spans="6:6" x14ac:dyDescent="0.3">
      <c r="F50402" s="193"/>
    </row>
    <row r="50403" spans="6:6" x14ac:dyDescent="0.3">
      <c r="F50403" s="193"/>
    </row>
    <row r="50404" spans="6:6" x14ac:dyDescent="0.3">
      <c r="F50404" s="193"/>
    </row>
    <row r="50405" spans="6:6" x14ac:dyDescent="0.3">
      <c r="F50405" s="193"/>
    </row>
    <row r="50406" spans="6:6" x14ac:dyDescent="0.3">
      <c r="F50406" s="193"/>
    </row>
    <row r="50407" spans="6:6" x14ac:dyDescent="0.3">
      <c r="F50407" s="193"/>
    </row>
    <row r="50408" spans="6:6" x14ac:dyDescent="0.3">
      <c r="F50408" s="193"/>
    </row>
    <row r="50409" spans="6:6" x14ac:dyDescent="0.3">
      <c r="F50409" s="193"/>
    </row>
    <row r="50410" spans="6:6" x14ac:dyDescent="0.3">
      <c r="F50410" s="193"/>
    </row>
    <row r="50411" spans="6:6" x14ac:dyDescent="0.3">
      <c r="F50411" s="193"/>
    </row>
    <row r="50412" spans="6:6" x14ac:dyDescent="0.3">
      <c r="F50412" s="193"/>
    </row>
    <row r="50413" spans="6:6" x14ac:dyDescent="0.3">
      <c r="F50413" s="193"/>
    </row>
    <row r="50414" spans="6:6" x14ac:dyDescent="0.3">
      <c r="F50414" s="193"/>
    </row>
    <row r="50415" spans="6:6" x14ac:dyDescent="0.3">
      <c r="F50415" s="193"/>
    </row>
    <row r="50416" spans="6:6" x14ac:dyDescent="0.3">
      <c r="F50416" s="193"/>
    </row>
    <row r="50417" spans="6:6" x14ac:dyDescent="0.3">
      <c r="F50417" s="193"/>
    </row>
    <row r="50418" spans="6:6" x14ac:dyDescent="0.3">
      <c r="F50418" s="193"/>
    </row>
    <row r="50419" spans="6:6" x14ac:dyDescent="0.3">
      <c r="F50419" s="193"/>
    </row>
    <row r="50420" spans="6:6" x14ac:dyDescent="0.3">
      <c r="F50420" s="193"/>
    </row>
    <row r="50421" spans="6:6" x14ac:dyDescent="0.3">
      <c r="F50421" s="193"/>
    </row>
    <row r="50422" spans="6:6" x14ac:dyDescent="0.3">
      <c r="F50422" s="193"/>
    </row>
    <row r="50423" spans="6:6" x14ac:dyDescent="0.3">
      <c r="F50423" s="193"/>
    </row>
    <row r="50424" spans="6:6" x14ac:dyDescent="0.3">
      <c r="F50424" s="193"/>
    </row>
    <row r="50425" spans="6:6" x14ac:dyDescent="0.3">
      <c r="F50425" s="193"/>
    </row>
    <row r="50426" spans="6:6" x14ac:dyDescent="0.3">
      <c r="F50426" s="193"/>
    </row>
    <row r="50427" spans="6:6" x14ac:dyDescent="0.3">
      <c r="F50427" s="193"/>
    </row>
    <row r="50428" spans="6:6" x14ac:dyDescent="0.3">
      <c r="F50428" s="193"/>
    </row>
    <row r="50429" spans="6:6" x14ac:dyDescent="0.3">
      <c r="F50429" s="193"/>
    </row>
    <row r="50430" spans="6:6" x14ac:dyDescent="0.3">
      <c r="F50430" s="193"/>
    </row>
    <row r="50431" spans="6:6" x14ac:dyDescent="0.3">
      <c r="F50431" s="193"/>
    </row>
    <row r="50432" spans="6:6" x14ac:dyDescent="0.3">
      <c r="F50432" s="193"/>
    </row>
    <row r="50433" spans="6:6" x14ac:dyDescent="0.3">
      <c r="F50433" s="193"/>
    </row>
    <row r="50434" spans="6:6" x14ac:dyDescent="0.3">
      <c r="F50434" s="193"/>
    </row>
    <row r="50435" spans="6:6" x14ac:dyDescent="0.3">
      <c r="F50435" s="193"/>
    </row>
    <row r="50436" spans="6:6" x14ac:dyDescent="0.3">
      <c r="F50436" s="193"/>
    </row>
    <row r="50437" spans="6:6" x14ac:dyDescent="0.3">
      <c r="F50437" s="193"/>
    </row>
    <row r="50438" spans="6:6" x14ac:dyDescent="0.3">
      <c r="F50438" s="193"/>
    </row>
    <row r="50439" spans="6:6" x14ac:dyDescent="0.3">
      <c r="F50439" s="193"/>
    </row>
    <row r="50440" spans="6:6" x14ac:dyDescent="0.3">
      <c r="F50440" s="193"/>
    </row>
    <row r="50441" spans="6:6" x14ac:dyDescent="0.3">
      <c r="F50441" s="193"/>
    </row>
    <row r="50442" spans="6:6" x14ac:dyDescent="0.3">
      <c r="F50442" s="193"/>
    </row>
    <row r="50443" spans="6:6" x14ac:dyDescent="0.3">
      <c r="F50443" s="193"/>
    </row>
    <row r="50444" spans="6:6" x14ac:dyDescent="0.3">
      <c r="F50444" s="193"/>
    </row>
    <row r="50445" spans="6:6" x14ac:dyDescent="0.3">
      <c r="F50445" s="193"/>
    </row>
    <row r="50446" spans="6:6" x14ac:dyDescent="0.3">
      <c r="F50446" s="193"/>
    </row>
    <row r="50447" spans="6:6" x14ac:dyDescent="0.3">
      <c r="F50447" s="193"/>
    </row>
    <row r="50448" spans="6:6" x14ac:dyDescent="0.3">
      <c r="F50448" s="193"/>
    </row>
    <row r="50449" spans="6:6" x14ac:dyDescent="0.3">
      <c r="F50449" s="193"/>
    </row>
    <row r="50450" spans="6:6" x14ac:dyDescent="0.3">
      <c r="F50450" s="193"/>
    </row>
    <row r="50451" spans="6:6" x14ac:dyDescent="0.3">
      <c r="F50451" s="193"/>
    </row>
    <row r="50452" spans="6:6" x14ac:dyDescent="0.3">
      <c r="F50452" s="193"/>
    </row>
    <row r="50453" spans="6:6" x14ac:dyDescent="0.3">
      <c r="F50453" s="193"/>
    </row>
    <row r="50454" spans="6:6" x14ac:dyDescent="0.3">
      <c r="F50454" s="193"/>
    </row>
    <row r="50455" spans="6:6" x14ac:dyDescent="0.3">
      <c r="F50455" s="193"/>
    </row>
    <row r="50456" spans="6:6" x14ac:dyDescent="0.3">
      <c r="F50456" s="193"/>
    </row>
    <row r="50457" spans="6:6" x14ac:dyDescent="0.3">
      <c r="F50457" s="193"/>
    </row>
    <row r="50458" spans="6:6" x14ac:dyDescent="0.3">
      <c r="F50458" s="193"/>
    </row>
    <row r="50459" spans="6:6" x14ac:dyDescent="0.3">
      <c r="F50459" s="193"/>
    </row>
    <row r="50460" spans="6:6" x14ac:dyDescent="0.3">
      <c r="F50460" s="193"/>
    </row>
    <row r="50461" spans="6:6" x14ac:dyDescent="0.3">
      <c r="F50461" s="193"/>
    </row>
    <row r="50462" spans="6:6" x14ac:dyDescent="0.3">
      <c r="F50462" s="193"/>
    </row>
    <row r="50463" spans="6:6" x14ac:dyDescent="0.3">
      <c r="F50463" s="193"/>
    </row>
    <row r="50464" spans="6:6" x14ac:dyDescent="0.3">
      <c r="F50464" s="193"/>
    </row>
    <row r="50465" spans="6:6" x14ac:dyDescent="0.3">
      <c r="F50465" s="193"/>
    </row>
    <row r="50466" spans="6:6" x14ac:dyDescent="0.3">
      <c r="F50466" s="193"/>
    </row>
    <row r="50467" spans="6:6" x14ac:dyDescent="0.3">
      <c r="F50467" s="193"/>
    </row>
    <row r="50468" spans="6:6" x14ac:dyDescent="0.3">
      <c r="F50468" s="193"/>
    </row>
    <row r="50469" spans="6:6" x14ac:dyDescent="0.3">
      <c r="F50469" s="193"/>
    </row>
    <row r="50470" spans="6:6" x14ac:dyDescent="0.3">
      <c r="F50470" s="193"/>
    </row>
    <row r="50471" spans="6:6" x14ac:dyDescent="0.3">
      <c r="F50471" s="193"/>
    </row>
    <row r="50472" spans="6:6" x14ac:dyDescent="0.3">
      <c r="F50472" s="193"/>
    </row>
    <row r="50473" spans="6:6" x14ac:dyDescent="0.3">
      <c r="F50473" s="193"/>
    </row>
    <row r="50474" spans="6:6" x14ac:dyDescent="0.3">
      <c r="F50474" s="193"/>
    </row>
    <row r="50475" spans="6:6" x14ac:dyDescent="0.3">
      <c r="F50475" s="193"/>
    </row>
    <row r="50476" spans="6:6" x14ac:dyDescent="0.3">
      <c r="F50476" s="193"/>
    </row>
    <row r="50477" spans="6:6" x14ac:dyDescent="0.3">
      <c r="F50477" s="193"/>
    </row>
    <row r="50478" spans="6:6" x14ac:dyDescent="0.3">
      <c r="F50478" s="193"/>
    </row>
    <row r="50479" spans="6:6" x14ac:dyDescent="0.3">
      <c r="F50479" s="193"/>
    </row>
    <row r="50480" spans="6:6" x14ac:dyDescent="0.3">
      <c r="F50480" s="193"/>
    </row>
    <row r="50481" spans="6:6" x14ac:dyDescent="0.3">
      <c r="F50481" s="193"/>
    </row>
    <row r="50482" spans="6:6" x14ac:dyDescent="0.3">
      <c r="F50482" s="193"/>
    </row>
    <row r="50483" spans="6:6" x14ac:dyDescent="0.3">
      <c r="F50483" s="193"/>
    </row>
    <row r="50484" spans="6:6" x14ac:dyDescent="0.3">
      <c r="F50484" s="193"/>
    </row>
    <row r="50485" spans="6:6" x14ac:dyDescent="0.3">
      <c r="F50485" s="193"/>
    </row>
    <row r="50486" spans="6:6" x14ac:dyDescent="0.3">
      <c r="F50486" s="193"/>
    </row>
    <row r="50487" spans="6:6" x14ac:dyDescent="0.3">
      <c r="F50487" s="193"/>
    </row>
    <row r="50488" spans="6:6" x14ac:dyDescent="0.3">
      <c r="F50488" s="193"/>
    </row>
    <row r="50489" spans="6:6" x14ac:dyDescent="0.3">
      <c r="F50489" s="193"/>
    </row>
    <row r="50490" spans="6:6" x14ac:dyDescent="0.3">
      <c r="F50490" s="193"/>
    </row>
    <row r="50491" spans="6:6" x14ac:dyDescent="0.3">
      <c r="F50491" s="193"/>
    </row>
    <row r="50492" spans="6:6" x14ac:dyDescent="0.3">
      <c r="F50492" s="193"/>
    </row>
    <row r="50493" spans="6:6" x14ac:dyDescent="0.3">
      <c r="F50493" s="193"/>
    </row>
    <row r="50494" spans="6:6" x14ac:dyDescent="0.3">
      <c r="F50494" s="193"/>
    </row>
    <row r="50495" spans="6:6" x14ac:dyDescent="0.3">
      <c r="F50495" s="193"/>
    </row>
    <row r="50496" spans="6:6" x14ac:dyDescent="0.3">
      <c r="F50496" s="193"/>
    </row>
    <row r="50497" spans="6:6" x14ac:dyDescent="0.3">
      <c r="F50497" s="193"/>
    </row>
    <row r="50498" spans="6:6" x14ac:dyDescent="0.3">
      <c r="F50498" s="193"/>
    </row>
    <row r="50499" spans="6:6" x14ac:dyDescent="0.3">
      <c r="F50499" s="193"/>
    </row>
    <row r="50500" spans="6:6" x14ac:dyDescent="0.3">
      <c r="F50500" s="193"/>
    </row>
    <row r="50501" spans="6:6" x14ac:dyDescent="0.3">
      <c r="F50501" s="193"/>
    </row>
    <row r="50502" spans="6:6" x14ac:dyDescent="0.3">
      <c r="F50502" s="193"/>
    </row>
    <row r="50503" spans="6:6" x14ac:dyDescent="0.3">
      <c r="F50503" s="193"/>
    </row>
    <row r="50504" spans="6:6" x14ac:dyDescent="0.3">
      <c r="F50504" s="193"/>
    </row>
    <row r="50505" spans="6:6" x14ac:dyDescent="0.3">
      <c r="F50505" s="193"/>
    </row>
    <row r="50506" spans="6:6" x14ac:dyDescent="0.3">
      <c r="F50506" s="193"/>
    </row>
    <row r="50507" spans="6:6" x14ac:dyDescent="0.3">
      <c r="F50507" s="193"/>
    </row>
    <row r="50508" spans="6:6" x14ac:dyDescent="0.3">
      <c r="F50508" s="193"/>
    </row>
    <row r="50509" spans="6:6" x14ac:dyDescent="0.3">
      <c r="F50509" s="193"/>
    </row>
    <row r="50510" spans="6:6" x14ac:dyDescent="0.3">
      <c r="F50510" s="193"/>
    </row>
    <row r="50511" spans="6:6" x14ac:dyDescent="0.3">
      <c r="F50511" s="193"/>
    </row>
    <row r="50512" spans="6:6" x14ac:dyDescent="0.3">
      <c r="F50512" s="193"/>
    </row>
    <row r="50513" spans="6:6" x14ac:dyDescent="0.3">
      <c r="F50513" s="193"/>
    </row>
    <row r="50514" spans="6:6" x14ac:dyDescent="0.3">
      <c r="F50514" s="193"/>
    </row>
    <row r="50515" spans="6:6" x14ac:dyDescent="0.3">
      <c r="F50515" s="193"/>
    </row>
    <row r="50516" spans="6:6" x14ac:dyDescent="0.3">
      <c r="F50516" s="193"/>
    </row>
    <row r="50517" spans="6:6" x14ac:dyDescent="0.3">
      <c r="F50517" s="193"/>
    </row>
    <row r="50518" spans="6:6" x14ac:dyDescent="0.3">
      <c r="F50518" s="193"/>
    </row>
    <row r="50519" spans="6:6" x14ac:dyDescent="0.3">
      <c r="F50519" s="193"/>
    </row>
    <row r="50520" spans="6:6" x14ac:dyDescent="0.3">
      <c r="F50520" s="193"/>
    </row>
    <row r="50521" spans="6:6" x14ac:dyDescent="0.3">
      <c r="F50521" s="193"/>
    </row>
    <row r="50522" spans="6:6" x14ac:dyDescent="0.3">
      <c r="F50522" s="193"/>
    </row>
    <row r="50523" spans="6:6" x14ac:dyDescent="0.3">
      <c r="F50523" s="193"/>
    </row>
    <row r="50524" spans="6:6" x14ac:dyDescent="0.3">
      <c r="F50524" s="193"/>
    </row>
    <row r="50525" spans="6:6" x14ac:dyDescent="0.3">
      <c r="F50525" s="193"/>
    </row>
    <row r="50526" spans="6:6" x14ac:dyDescent="0.3">
      <c r="F50526" s="193"/>
    </row>
    <row r="50527" spans="6:6" x14ac:dyDescent="0.3">
      <c r="F50527" s="193"/>
    </row>
    <row r="50528" spans="6:6" x14ac:dyDescent="0.3">
      <c r="F50528" s="193"/>
    </row>
    <row r="50529" spans="6:6" x14ac:dyDescent="0.3">
      <c r="F50529" s="193"/>
    </row>
    <row r="50530" spans="6:6" x14ac:dyDescent="0.3">
      <c r="F50530" s="193"/>
    </row>
    <row r="50531" spans="6:6" x14ac:dyDescent="0.3">
      <c r="F50531" s="193"/>
    </row>
    <row r="50532" spans="6:6" x14ac:dyDescent="0.3">
      <c r="F50532" s="193"/>
    </row>
    <row r="50533" spans="6:6" x14ac:dyDescent="0.3">
      <c r="F50533" s="193"/>
    </row>
    <row r="50534" spans="6:6" x14ac:dyDescent="0.3">
      <c r="F50534" s="193"/>
    </row>
    <row r="50535" spans="6:6" x14ac:dyDescent="0.3">
      <c r="F50535" s="193"/>
    </row>
    <row r="50536" spans="6:6" x14ac:dyDescent="0.3">
      <c r="F50536" s="193"/>
    </row>
    <row r="50537" spans="6:6" x14ac:dyDescent="0.3">
      <c r="F50537" s="193"/>
    </row>
    <row r="50538" spans="6:6" x14ac:dyDescent="0.3">
      <c r="F50538" s="193"/>
    </row>
    <row r="50539" spans="6:6" x14ac:dyDescent="0.3">
      <c r="F50539" s="193"/>
    </row>
    <row r="50540" spans="6:6" x14ac:dyDescent="0.3">
      <c r="F50540" s="193"/>
    </row>
    <row r="50541" spans="6:6" x14ac:dyDescent="0.3">
      <c r="F50541" s="193"/>
    </row>
    <row r="50542" spans="6:6" x14ac:dyDescent="0.3">
      <c r="F50542" s="193"/>
    </row>
    <row r="50543" spans="6:6" x14ac:dyDescent="0.3">
      <c r="F50543" s="193"/>
    </row>
    <row r="50544" spans="6:6" x14ac:dyDescent="0.3">
      <c r="F50544" s="193"/>
    </row>
    <row r="50545" spans="6:6" x14ac:dyDescent="0.3">
      <c r="F50545" s="193"/>
    </row>
    <row r="50546" spans="6:6" x14ac:dyDescent="0.3">
      <c r="F50546" s="193"/>
    </row>
    <row r="50547" spans="6:6" x14ac:dyDescent="0.3">
      <c r="F50547" s="193"/>
    </row>
    <row r="50548" spans="6:6" x14ac:dyDescent="0.3">
      <c r="F50548" s="193"/>
    </row>
    <row r="50549" spans="6:6" x14ac:dyDescent="0.3">
      <c r="F50549" s="193"/>
    </row>
    <row r="50550" spans="6:6" x14ac:dyDescent="0.3">
      <c r="F50550" s="193"/>
    </row>
    <row r="50551" spans="6:6" x14ac:dyDescent="0.3">
      <c r="F50551" s="193"/>
    </row>
    <row r="50552" spans="6:6" x14ac:dyDescent="0.3">
      <c r="F50552" s="193"/>
    </row>
    <row r="50553" spans="6:6" x14ac:dyDescent="0.3">
      <c r="F50553" s="193"/>
    </row>
    <row r="50554" spans="6:6" x14ac:dyDescent="0.3">
      <c r="F50554" s="193"/>
    </row>
    <row r="50555" spans="6:6" x14ac:dyDescent="0.3">
      <c r="F50555" s="193"/>
    </row>
    <row r="50556" spans="6:6" x14ac:dyDescent="0.3">
      <c r="F50556" s="193"/>
    </row>
    <row r="50557" spans="6:6" x14ac:dyDescent="0.3">
      <c r="F50557" s="193"/>
    </row>
    <row r="50558" spans="6:6" x14ac:dyDescent="0.3">
      <c r="F50558" s="193"/>
    </row>
    <row r="50559" spans="6:6" x14ac:dyDescent="0.3">
      <c r="F50559" s="193"/>
    </row>
    <row r="50560" spans="6:6" x14ac:dyDescent="0.3">
      <c r="F50560" s="193"/>
    </row>
    <row r="50561" spans="6:6" x14ac:dyDescent="0.3">
      <c r="F50561" s="193"/>
    </row>
    <row r="50562" spans="6:6" x14ac:dyDescent="0.3">
      <c r="F50562" s="193"/>
    </row>
    <row r="50563" spans="6:6" x14ac:dyDescent="0.3">
      <c r="F50563" s="193"/>
    </row>
    <row r="50564" spans="6:6" x14ac:dyDescent="0.3">
      <c r="F50564" s="193"/>
    </row>
    <row r="50565" spans="6:6" x14ac:dyDescent="0.3">
      <c r="F50565" s="193"/>
    </row>
    <row r="50566" spans="6:6" x14ac:dyDescent="0.3">
      <c r="F50566" s="193"/>
    </row>
    <row r="50567" spans="6:6" x14ac:dyDescent="0.3">
      <c r="F50567" s="193"/>
    </row>
    <row r="50568" spans="6:6" x14ac:dyDescent="0.3">
      <c r="F50568" s="193"/>
    </row>
    <row r="50569" spans="6:6" x14ac:dyDescent="0.3">
      <c r="F50569" s="193"/>
    </row>
    <row r="50570" spans="6:6" x14ac:dyDescent="0.3">
      <c r="F50570" s="193"/>
    </row>
    <row r="50571" spans="6:6" x14ac:dyDescent="0.3">
      <c r="F50571" s="193"/>
    </row>
    <row r="50572" spans="6:6" x14ac:dyDescent="0.3">
      <c r="F50572" s="193"/>
    </row>
    <row r="50573" spans="6:6" x14ac:dyDescent="0.3">
      <c r="F50573" s="193"/>
    </row>
    <row r="50574" spans="6:6" x14ac:dyDescent="0.3">
      <c r="F50574" s="193"/>
    </row>
    <row r="50575" spans="6:6" x14ac:dyDescent="0.3">
      <c r="F50575" s="193"/>
    </row>
    <row r="50576" spans="6:6" x14ac:dyDescent="0.3">
      <c r="F50576" s="193"/>
    </row>
    <row r="50577" spans="6:6" x14ac:dyDescent="0.3">
      <c r="F50577" s="193"/>
    </row>
    <row r="50578" spans="6:6" x14ac:dyDescent="0.3">
      <c r="F50578" s="193"/>
    </row>
    <row r="50579" spans="6:6" x14ac:dyDescent="0.3">
      <c r="F50579" s="193"/>
    </row>
    <row r="50580" spans="6:6" x14ac:dyDescent="0.3">
      <c r="F50580" s="193"/>
    </row>
    <row r="50581" spans="6:6" x14ac:dyDescent="0.3">
      <c r="F50581" s="193"/>
    </row>
    <row r="50582" spans="6:6" x14ac:dyDescent="0.3">
      <c r="F50582" s="193"/>
    </row>
    <row r="50583" spans="6:6" x14ac:dyDescent="0.3">
      <c r="F50583" s="193"/>
    </row>
    <row r="50584" spans="6:6" x14ac:dyDescent="0.3">
      <c r="F50584" s="193"/>
    </row>
    <row r="50585" spans="6:6" x14ac:dyDescent="0.3">
      <c r="F50585" s="193"/>
    </row>
    <row r="50586" spans="6:6" x14ac:dyDescent="0.3">
      <c r="F50586" s="193"/>
    </row>
    <row r="50587" spans="6:6" x14ac:dyDescent="0.3">
      <c r="F50587" s="193"/>
    </row>
    <row r="50588" spans="6:6" x14ac:dyDescent="0.3">
      <c r="F50588" s="193"/>
    </row>
    <row r="50589" spans="6:6" x14ac:dyDescent="0.3">
      <c r="F50589" s="193"/>
    </row>
    <row r="50590" spans="6:6" x14ac:dyDescent="0.3">
      <c r="F50590" s="193"/>
    </row>
    <row r="50591" spans="6:6" x14ac:dyDescent="0.3">
      <c r="F50591" s="193"/>
    </row>
    <row r="50592" spans="6:6" x14ac:dyDescent="0.3">
      <c r="F50592" s="193"/>
    </row>
    <row r="50593" spans="6:6" x14ac:dyDescent="0.3">
      <c r="F50593" s="193"/>
    </row>
    <row r="50594" spans="6:6" x14ac:dyDescent="0.3">
      <c r="F50594" s="193"/>
    </row>
    <row r="50595" spans="6:6" x14ac:dyDescent="0.3">
      <c r="F50595" s="193"/>
    </row>
    <row r="50596" spans="6:6" x14ac:dyDescent="0.3">
      <c r="F50596" s="193"/>
    </row>
    <row r="50597" spans="6:6" x14ac:dyDescent="0.3">
      <c r="F50597" s="193"/>
    </row>
    <row r="50598" spans="6:6" x14ac:dyDescent="0.3">
      <c r="F50598" s="193"/>
    </row>
    <row r="50599" spans="6:6" x14ac:dyDescent="0.3">
      <c r="F50599" s="193"/>
    </row>
    <row r="50600" spans="6:6" x14ac:dyDescent="0.3">
      <c r="F50600" s="193"/>
    </row>
    <row r="50601" spans="6:6" x14ac:dyDescent="0.3">
      <c r="F50601" s="193"/>
    </row>
    <row r="50602" spans="6:6" x14ac:dyDescent="0.3">
      <c r="F50602" s="193"/>
    </row>
    <row r="50603" spans="6:6" x14ac:dyDescent="0.3">
      <c r="F50603" s="193"/>
    </row>
    <row r="50604" spans="6:6" x14ac:dyDescent="0.3">
      <c r="F50604" s="193"/>
    </row>
    <row r="50605" spans="6:6" x14ac:dyDescent="0.3">
      <c r="F50605" s="193"/>
    </row>
    <row r="50606" spans="6:6" x14ac:dyDescent="0.3">
      <c r="F50606" s="193"/>
    </row>
    <row r="50607" spans="6:6" x14ac:dyDescent="0.3">
      <c r="F50607" s="193"/>
    </row>
    <row r="50608" spans="6:6" x14ac:dyDescent="0.3">
      <c r="F50608" s="193"/>
    </row>
    <row r="50609" spans="6:6" x14ac:dyDescent="0.3">
      <c r="F50609" s="193"/>
    </row>
    <row r="50610" spans="6:6" x14ac:dyDescent="0.3">
      <c r="F50610" s="193"/>
    </row>
    <row r="50611" spans="6:6" x14ac:dyDescent="0.3">
      <c r="F50611" s="193"/>
    </row>
    <row r="50612" spans="6:6" x14ac:dyDescent="0.3">
      <c r="F50612" s="193"/>
    </row>
    <row r="50613" spans="6:6" x14ac:dyDescent="0.3">
      <c r="F50613" s="193"/>
    </row>
    <row r="50614" spans="6:6" x14ac:dyDescent="0.3">
      <c r="F50614" s="193"/>
    </row>
    <row r="50615" spans="6:6" x14ac:dyDescent="0.3">
      <c r="F50615" s="193"/>
    </row>
    <row r="50616" spans="6:6" x14ac:dyDescent="0.3">
      <c r="F50616" s="193"/>
    </row>
    <row r="50617" spans="6:6" x14ac:dyDescent="0.3">
      <c r="F50617" s="193"/>
    </row>
    <row r="50618" spans="6:6" x14ac:dyDescent="0.3">
      <c r="F50618" s="193"/>
    </row>
    <row r="50619" spans="6:6" x14ac:dyDescent="0.3">
      <c r="F50619" s="193"/>
    </row>
    <row r="50620" spans="6:6" x14ac:dyDescent="0.3">
      <c r="F50620" s="193"/>
    </row>
    <row r="50621" spans="6:6" x14ac:dyDescent="0.3">
      <c r="F50621" s="193"/>
    </row>
    <row r="50622" spans="6:6" x14ac:dyDescent="0.3">
      <c r="F50622" s="193"/>
    </row>
    <row r="50623" spans="6:6" x14ac:dyDescent="0.3">
      <c r="F50623" s="193"/>
    </row>
    <row r="50624" spans="6:6" x14ac:dyDescent="0.3">
      <c r="F50624" s="193"/>
    </row>
    <row r="50625" spans="6:6" x14ac:dyDescent="0.3">
      <c r="F50625" s="193"/>
    </row>
    <row r="50626" spans="6:6" x14ac:dyDescent="0.3">
      <c r="F50626" s="193"/>
    </row>
    <row r="50627" spans="6:6" x14ac:dyDescent="0.3">
      <c r="F50627" s="193"/>
    </row>
    <row r="50628" spans="6:6" x14ac:dyDescent="0.3">
      <c r="F50628" s="193"/>
    </row>
    <row r="50629" spans="6:6" x14ac:dyDescent="0.3">
      <c r="F50629" s="193"/>
    </row>
    <row r="50630" spans="6:6" x14ac:dyDescent="0.3">
      <c r="F50630" s="193"/>
    </row>
    <row r="50631" spans="6:6" x14ac:dyDescent="0.3">
      <c r="F50631" s="193"/>
    </row>
    <row r="50632" spans="6:6" x14ac:dyDescent="0.3">
      <c r="F50632" s="193"/>
    </row>
    <row r="50633" spans="6:6" x14ac:dyDescent="0.3">
      <c r="F50633" s="193"/>
    </row>
    <row r="50634" spans="6:6" x14ac:dyDescent="0.3">
      <c r="F50634" s="193"/>
    </row>
    <row r="50635" spans="6:6" x14ac:dyDescent="0.3">
      <c r="F50635" s="193"/>
    </row>
    <row r="50636" spans="6:6" x14ac:dyDescent="0.3">
      <c r="F50636" s="193"/>
    </row>
    <row r="50637" spans="6:6" x14ac:dyDescent="0.3">
      <c r="F50637" s="193"/>
    </row>
    <row r="50638" spans="6:6" x14ac:dyDescent="0.3">
      <c r="F50638" s="193"/>
    </row>
    <row r="50639" spans="6:6" x14ac:dyDescent="0.3">
      <c r="F50639" s="193"/>
    </row>
    <row r="50640" spans="6:6" x14ac:dyDescent="0.3">
      <c r="F50640" s="193"/>
    </row>
    <row r="50641" spans="6:6" x14ac:dyDescent="0.3">
      <c r="F50641" s="193"/>
    </row>
    <row r="50642" spans="6:6" x14ac:dyDescent="0.3">
      <c r="F50642" s="193"/>
    </row>
    <row r="50643" spans="6:6" x14ac:dyDescent="0.3">
      <c r="F50643" s="193"/>
    </row>
    <row r="50644" spans="6:6" x14ac:dyDescent="0.3">
      <c r="F50644" s="193"/>
    </row>
    <row r="50645" spans="6:6" x14ac:dyDescent="0.3">
      <c r="F50645" s="193"/>
    </row>
    <row r="50646" spans="6:6" x14ac:dyDescent="0.3">
      <c r="F50646" s="193"/>
    </row>
    <row r="50647" spans="6:6" x14ac:dyDescent="0.3">
      <c r="F50647" s="193"/>
    </row>
    <row r="50648" spans="6:6" x14ac:dyDescent="0.3">
      <c r="F50648" s="193"/>
    </row>
    <row r="50649" spans="6:6" x14ac:dyDescent="0.3">
      <c r="F50649" s="193"/>
    </row>
    <row r="50650" spans="6:6" x14ac:dyDescent="0.3">
      <c r="F50650" s="193"/>
    </row>
    <row r="50651" spans="6:6" x14ac:dyDescent="0.3">
      <c r="F50651" s="193"/>
    </row>
    <row r="50652" spans="6:6" x14ac:dyDescent="0.3">
      <c r="F50652" s="193"/>
    </row>
    <row r="50653" spans="6:6" x14ac:dyDescent="0.3">
      <c r="F50653" s="193"/>
    </row>
    <row r="50654" spans="6:6" x14ac:dyDescent="0.3">
      <c r="F50654" s="193"/>
    </row>
    <row r="50655" spans="6:6" x14ac:dyDescent="0.3">
      <c r="F50655" s="193"/>
    </row>
    <row r="50656" spans="6:6" x14ac:dyDescent="0.3">
      <c r="F50656" s="193"/>
    </row>
    <row r="50657" spans="6:6" x14ac:dyDescent="0.3">
      <c r="F50657" s="193"/>
    </row>
    <row r="50658" spans="6:6" x14ac:dyDescent="0.3">
      <c r="F50658" s="193"/>
    </row>
    <row r="50659" spans="6:6" x14ac:dyDescent="0.3">
      <c r="F50659" s="193"/>
    </row>
    <row r="50660" spans="6:6" x14ac:dyDescent="0.3">
      <c r="F50660" s="193"/>
    </row>
    <row r="50661" spans="6:6" x14ac:dyDescent="0.3">
      <c r="F50661" s="193"/>
    </row>
    <row r="50662" spans="6:6" x14ac:dyDescent="0.3">
      <c r="F50662" s="193"/>
    </row>
    <row r="50663" spans="6:6" x14ac:dyDescent="0.3">
      <c r="F50663" s="193"/>
    </row>
    <row r="50664" spans="6:6" x14ac:dyDescent="0.3">
      <c r="F50664" s="193"/>
    </row>
    <row r="50665" spans="6:6" x14ac:dyDescent="0.3">
      <c r="F50665" s="193"/>
    </row>
    <row r="50666" spans="6:6" x14ac:dyDescent="0.3">
      <c r="F50666" s="193"/>
    </row>
    <row r="50667" spans="6:6" x14ac:dyDescent="0.3">
      <c r="F50667" s="193"/>
    </row>
    <row r="50668" spans="6:6" x14ac:dyDescent="0.3">
      <c r="F50668" s="193"/>
    </row>
    <row r="50669" spans="6:6" x14ac:dyDescent="0.3">
      <c r="F50669" s="193"/>
    </row>
    <row r="50670" spans="6:6" x14ac:dyDescent="0.3">
      <c r="F50670" s="193"/>
    </row>
    <row r="50671" spans="6:6" x14ac:dyDescent="0.3">
      <c r="F50671" s="193"/>
    </row>
    <row r="50672" spans="6:6" x14ac:dyDescent="0.3">
      <c r="F50672" s="193"/>
    </row>
    <row r="50673" spans="6:6" x14ac:dyDescent="0.3">
      <c r="F50673" s="193"/>
    </row>
    <row r="50674" spans="6:6" x14ac:dyDescent="0.3">
      <c r="F50674" s="193"/>
    </row>
    <row r="50675" spans="6:6" x14ac:dyDescent="0.3">
      <c r="F50675" s="193"/>
    </row>
    <row r="50676" spans="6:6" x14ac:dyDescent="0.3">
      <c r="F50676" s="193"/>
    </row>
    <row r="50677" spans="6:6" x14ac:dyDescent="0.3">
      <c r="F50677" s="193"/>
    </row>
    <row r="50678" spans="6:6" x14ac:dyDescent="0.3">
      <c r="F50678" s="193"/>
    </row>
    <row r="50679" spans="6:6" x14ac:dyDescent="0.3">
      <c r="F50679" s="193"/>
    </row>
    <row r="50680" spans="6:6" x14ac:dyDescent="0.3">
      <c r="F50680" s="193"/>
    </row>
    <row r="50681" spans="6:6" x14ac:dyDescent="0.3">
      <c r="F50681" s="193"/>
    </row>
    <row r="50682" spans="6:6" x14ac:dyDescent="0.3">
      <c r="F50682" s="193"/>
    </row>
    <row r="50683" spans="6:6" x14ac:dyDescent="0.3">
      <c r="F50683" s="193"/>
    </row>
    <row r="50684" spans="6:6" x14ac:dyDescent="0.3">
      <c r="F50684" s="193"/>
    </row>
    <row r="50685" spans="6:6" x14ac:dyDescent="0.3">
      <c r="F50685" s="193"/>
    </row>
    <row r="50686" spans="6:6" x14ac:dyDescent="0.3">
      <c r="F50686" s="193"/>
    </row>
    <row r="50687" spans="6:6" x14ac:dyDescent="0.3">
      <c r="F50687" s="193"/>
    </row>
    <row r="50688" spans="6:6" x14ac:dyDescent="0.3">
      <c r="F50688" s="193"/>
    </row>
    <row r="50689" spans="6:6" x14ac:dyDescent="0.3">
      <c r="F50689" s="193"/>
    </row>
    <row r="50690" spans="6:6" x14ac:dyDescent="0.3">
      <c r="F50690" s="193"/>
    </row>
    <row r="50691" spans="6:6" x14ac:dyDescent="0.3">
      <c r="F50691" s="193"/>
    </row>
    <row r="50692" spans="6:6" x14ac:dyDescent="0.3">
      <c r="F50692" s="193"/>
    </row>
    <row r="50693" spans="6:6" x14ac:dyDescent="0.3">
      <c r="F50693" s="193"/>
    </row>
    <row r="50694" spans="6:6" x14ac:dyDescent="0.3">
      <c r="F50694" s="193"/>
    </row>
    <row r="50695" spans="6:6" x14ac:dyDescent="0.3">
      <c r="F50695" s="193"/>
    </row>
    <row r="50696" spans="6:6" x14ac:dyDescent="0.3">
      <c r="F50696" s="193"/>
    </row>
    <row r="50697" spans="6:6" x14ac:dyDescent="0.3">
      <c r="F50697" s="193"/>
    </row>
    <row r="50698" spans="6:6" x14ac:dyDescent="0.3">
      <c r="F50698" s="193"/>
    </row>
    <row r="50699" spans="6:6" x14ac:dyDescent="0.3">
      <c r="F50699" s="193"/>
    </row>
    <row r="50700" spans="6:6" x14ac:dyDescent="0.3">
      <c r="F50700" s="193"/>
    </row>
    <row r="50701" spans="6:6" x14ac:dyDescent="0.3">
      <c r="F50701" s="193"/>
    </row>
    <row r="50702" spans="6:6" x14ac:dyDescent="0.3">
      <c r="F50702" s="193"/>
    </row>
    <row r="50703" spans="6:6" x14ac:dyDescent="0.3">
      <c r="F50703" s="193"/>
    </row>
    <row r="50704" spans="6:6" x14ac:dyDescent="0.3">
      <c r="F50704" s="193"/>
    </row>
    <row r="50705" spans="6:6" x14ac:dyDescent="0.3">
      <c r="F50705" s="193"/>
    </row>
    <row r="50706" spans="6:6" x14ac:dyDescent="0.3">
      <c r="F50706" s="193"/>
    </row>
    <row r="50707" spans="6:6" x14ac:dyDescent="0.3">
      <c r="F50707" s="193"/>
    </row>
    <row r="50708" spans="6:6" x14ac:dyDescent="0.3">
      <c r="F50708" s="193"/>
    </row>
    <row r="50709" spans="6:6" x14ac:dyDescent="0.3">
      <c r="F50709" s="193"/>
    </row>
    <row r="50710" spans="6:6" x14ac:dyDescent="0.3">
      <c r="F50710" s="193"/>
    </row>
    <row r="50711" spans="6:6" x14ac:dyDescent="0.3">
      <c r="F50711" s="193"/>
    </row>
    <row r="50712" spans="6:6" x14ac:dyDescent="0.3">
      <c r="F50712" s="193"/>
    </row>
    <row r="50713" spans="6:6" x14ac:dyDescent="0.3">
      <c r="F50713" s="193"/>
    </row>
    <row r="50714" spans="6:6" x14ac:dyDescent="0.3">
      <c r="F50714" s="193"/>
    </row>
    <row r="50715" spans="6:6" x14ac:dyDescent="0.3">
      <c r="F50715" s="193"/>
    </row>
    <row r="50716" spans="6:6" x14ac:dyDescent="0.3">
      <c r="F50716" s="193"/>
    </row>
    <row r="50717" spans="6:6" x14ac:dyDescent="0.3">
      <c r="F50717" s="193"/>
    </row>
    <row r="50718" spans="6:6" x14ac:dyDescent="0.3">
      <c r="F50718" s="193"/>
    </row>
    <row r="50719" spans="6:6" x14ac:dyDescent="0.3">
      <c r="F50719" s="193"/>
    </row>
    <row r="50720" spans="6:6" x14ac:dyDescent="0.3">
      <c r="F50720" s="193"/>
    </row>
    <row r="50721" spans="6:6" x14ac:dyDescent="0.3">
      <c r="F50721" s="193"/>
    </row>
    <row r="50722" spans="6:6" x14ac:dyDescent="0.3">
      <c r="F50722" s="193"/>
    </row>
    <row r="50723" spans="6:6" x14ac:dyDescent="0.3">
      <c r="F50723" s="193"/>
    </row>
    <row r="50724" spans="6:6" x14ac:dyDescent="0.3">
      <c r="F50724" s="193"/>
    </row>
    <row r="50725" spans="6:6" x14ac:dyDescent="0.3">
      <c r="F50725" s="193"/>
    </row>
    <row r="50726" spans="6:6" x14ac:dyDescent="0.3">
      <c r="F50726" s="193"/>
    </row>
    <row r="50727" spans="6:6" x14ac:dyDescent="0.3">
      <c r="F50727" s="193"/>
    </row>
    <row r="50728" spans="6:6" x14ac:dyDescent="0.3">
      <c r="F50728" s="193"/>
    </row>
    <row r="50729" spans="6:6" x14ac:dyDescent="0.3">
      <c r="F50729" s="193"/>
    </row>
    <row r="50730" spans="6:6" x14ac:dyDescent="0.3">
      <c r="F50730" s="193"/>
    </row>
    <row r="50731" spans="6:6" x14ac:dyDescent="0.3">
      <c r="F50731" s="193"/>
    </row>
    <row r="50732" spans="6:6" x14ac:dyDescent="0.3">
      <c r="F50732" s="193"/>
    </row>
    <row r="50733" spans="6:6" x14ac:dyDescent="0.3">
      <c r="F50733" s="193"/>
    </row>
    <row r="50734" spans="6:6" x14ac:dyDescent="0.3">
      <c r="F50734" s="193"/>
    </row>
    <row r="50735" spans="6:6" x14ac:dyDescent="0.3">
      <c r="F50735" s="193"/>
    </row>
    <row r="50736" spans="6:6" x14ac:dyDescent="0.3">
      <c r="F50736" s="193"/>
    </row>
    <row r="50737" spans="6:6" x14ac:dyDescent="0.3">
      <c r="F50737" s="193"/>
    </row>
    <row r="50738" spans="6:6" x14ac:dyDescent="0.3">
      <c r="F50738" s="193"/>
    </row>
    <row r="50739" spans="6:6" x14ac:dyDescent="0.3">
      <c r="F50739" s="193"/>
    </row>
    <row r="50740" spans="6:6" x14ac:dyDescent="0.3">
      <c r="F50740" s="193"/>
    </row>
    <row r="50741" spans="6:6" x14ac:dyDescent="0.3">
      <c r="F50741" s="193"/>
    </row>
    <row r="50742" spans="6:6" x14ac:dyDescent="0.3">
      <c r="F50742" s="193"/>
    </row>
    <row r="50743" spans="6:6" x14ac:dyDescent="0.3">
      <c r="F50743" s="193"/>
    </row>
    <row r="50744" spans="6:6" x14ac:dyDescent="0.3">
      <c r="F50744" s="193"/>
    </row>
    <row r="50745" spans="6:6" x14ac:dyDescent="0.3">
      <c r="F50745" s="193"/>
    </row>
    <row r="50746" spans="6:6" x14ac:dyDescent="0.3">
      <c r="F50746" s="193"/>
    </row>
    <row r="50747" spans="6:6" x14ac:dyDescent="0.3">
      <c r="F50747" s="193"/>
    </row>
    <row r="50748" spans="6:6" x14ac:dyDescent="0.3">
      <c r="F50748" s="193"/>
    </row>
    <row r="50749" spans="6:6" x14ac:dyDescent="0.3">
      <c r="F50749" s="193"/>
    </row>
    <row r="50750" spans="6:6" x14ac:dyDescent="0.3">
      <c r="F50750" s="193"/>
    </row>
    <row r="50751" spans="6:6" x14ac:dyDescent="0.3">
      <c r="F50751" s="193"/>
    </row>
    <row r="50752" spans="6:6" x14ac:dyDescent="0.3">
      <c r="F50752" s="193"/>
    </row>
    <row r="50753" spans="6:6" x14ac:dyDescent="0.3">
      <c r="F50753" s="193"/>
    </row>
    <row r="50754" spans="6:6" x14ac:dyDescent="0.3">
      <c r="F50754" s="193"/>
    </row>
    <row r="50755" spans="6:6" x14ac:dyDescent="0.3">
      <c r="F50755" s="193"/>
    </row>
    <row r="50756" spans="6:6" x14ac:dyDescent="0.3">
      <c r="F50756" s="193"/>
    </row>
    <row r="50757" spans="6:6" x14ac:dyDescent="0.3">
      <c r="F50757" s="193"/>
    </row>
    <row r="50758" spans="6:6" x14ac:dyDescent="0.3">
      <c r="F50758" s="193"/>
    </row>
    <row r="50759" spans="6:6" x14ac:dyDescent="0.3">
      <c r="F50759" s="193"/>
    </row>
    <row r="50760" spans="6:6" x14ac:dyDescent="0.3">
      <c r="F50760" s="193"/>
    </row>
    <row r="50761" spans="6:6" x14ac:dyDescent="0.3">
      <c r="F50761" s="193"/>
    </row>
    <row r="50762" spans="6:6" x14ac:dyDescent="0.3">
      <c r="F50762" s="193"/>
    </row>
    <row r="50763" spans="6:6" x14ac:dyDescent="0.3">
      <c r="F50763" s="193"/>
    </row>
    <row r="50764" spans="6:6" x14ac:dyDescent="0.3">
      <c r="F50764" s="193"/>
    </row>
    <row r="50765" spans="6:6" x14ac:dyDescent="0.3">
      <c r="F50765" s="193"/>
    </row>
    <row r="50766" spans="6:6" x14ac:dyDescent="0.3">
      <c r="F50766" s="193"/>
    </row>
    <row r="50767" spans="6:6" x14ac:dyDescent="0.3">
      <c r="F50767" s="193"/>
    </row>
    <row r="50768" spans="6:6" x14ac:dyDescent="0.3">
      <c r="F50768" s="193"/>
    </row>
    <row r="50769" spans="6:6" x14ac:dyDescent="0.3">
      <c r="F50769" s="193"/>
    </row>
    <row r="50770" spans="6:6" x14ac:dyDescent="0.3">
      <c r="F50770" s="193"/>
    </row>
    <row r="50771" spans="6:6" x14ac:dyDescent="0.3">
      <c r="F50771" s="193"/>
    </row>
    <row r="50772" spans="6:6" x14ac:dyDescent="0.3">
      <c r="F50772" s="193"/>
    </row>
    <row r="50773" spans="6:6" x14ac:dyDescent="0.3">
      <c r="F50773" s="193"/>
    </row>
    <row r="50774" spans="6:6" x14ac:dyDescent="0.3">
      <c r="F50774" s="193"/>
    </row>
    <row r="50775" spans="6:6" x14ac:dyDescent="0.3">
      <c r="F50775" s="193"/>
    </row>
    <row r="50776" spans="6:6" x14ac:dyDescent="0.3">
      <c r="F50776" s="193"/>
    </row>
    <row r="50777" spans="6:6" x14ac:dyDescent="0.3">
      <c r="F50777" s="193"/>
    </row>
    <row r="50778" spans="6:6" x14ac:dyDescent="0.3">
      <c r="F50778" s="193"/>
    </row>
    <row r="50779" spans="6:6" x14ac:dyDescent="0.3">
      <c r="F50779" s="193"/>
    </row>
    <row r="50780" spans="6:6" x14ac:dyDescent="0.3">
      <c r="F50780" s="193"/>
    </row>
    <row r="50781" spans="6:6" x14ac:dyDescent="0.3">
      <c r="F50781" s="193"/>
    </row>
    <row r="50782" spans="6:6" x14ac:dyDescent="0.3">
      <c r="F50782" s="193"/>
    </row>
    <row r="50783" spans="6:6" x14ac:dyDescent="0.3">
      <c r="F50783" s="193"/>
    </row>
    <row r="50784" spans="6:6" x14ac:dyDescent="0.3">
      <c r="F50784" s="193"/>
    </row>
    <row r="50785" spans="6:6" x14ac:dyDescent="0.3">
      <c r="F50785" s="193"/>
    </row>
    <row r="50786" spans="6:6" x14ac:dyDescent="0.3">
      <c r="F50786" s="193"/>
    </row>
    <row r="50787" spans="6:6" x14ac:dyDescent="0.3">
      <c r="F50787" s="193"/>
    </row>
    <row r="50788" spans="6:6" x14ac:dyDescent="0.3">
      <c r="F50788" s="193"/>
    </row>
    <row r="50789" spans="6:6" x14ac:dyDescent="0.3">
      <c r="F50789" s="193"/>
    </row>
    <row r="50790" spans="6:6" x14ac:dyDescent="0.3">
      <c r="F50790" s="193"/>
    </row>
    <row r="50791" spans="6:6" x14ac:dyDescent="0.3">
      <c r="F50791" s="193"/>
    </row>
    <row r="50792" spans="6:6" x14ac:dyDescent="0.3">
      <c r="F50792" s="193"/>
    </row>
    <row r="50793" spans="6:6" x14ac:dyDescent="0.3">
      <c r="F50793" s="193"/>
    </row>
    <row r="50794" spans="6:6" x14ac:dyDescent="0.3">
      <c r="F50794" s="193"/>
    </row>
    <row r="50795" spans="6:6" x14ac:dyDescent="0.3">
      <c r="F50795" s="193"/>
    </row>
    <row r="50796" spans="6:6" x14ac:dyDescent="0.3">
      <c r="F50796" s="193"/>
    </row>
    <row r="50797" spans="6:6" x14ac:dyDescent="0.3">
      <c r="F50797" s="193"/>
    </row>
    <row r="50798" spans="6:6" x14ac:dyDescent="0.3">
      <c r="F50798" s="193"/>
    </row>
    <row r="50799" spans="6:6" x14ac:dyDescent="0.3">
      <c r="F50799" s="193"/>
    </row>
    <row r="50800" spans="6:6" x14ac:dyDescent="0.3">
      <c r="F50800" s="193"/>
    </row>
    <row r="50801" spans="6:6" x14ac:dyDescent="0.3">
      <c r="F50801" s="193"/>
    </row>
    <row r="50802" spans="6:6" x14ac:dyDescent="0.3">
      <c r="F50802" s="193"/>
    </row>
    <row r="50803" spans="6:6" x14ac:dyDescent="0.3">
      <c r="F50803" s="193"/>
    </row>
    <row r="50804" spans="6:6" x14ac:dyDescent="0.3">
      <c r="F50804" s="193"/>
    </row>
    <row r="50805" spans="6:6" x14ac:dyDescent="0.3">
      <c r="F50805" s="193"/>
    </row>
    <row r="50806" spans="6:6" x14ac:dyDescent="0.3">
      <c r="F50806" s="193"/>
    </row>
    <row r="50807" spans="6:6" x14ac:dyDescent="0.3">
      <c r="F50807" s="193"/>
    </row>
    <row r="50808" spans="6:6" x14ac:dyDescent="0.3">
      <c r="F50808" s="193"/>
    </row>
    <row r="50809" spans="6:6" x14ac:dyDescent="0.3">
      <c r="F50809" s="193"/>
    </row>
    <row r="50810" spans="6:6" x14ac:dyDescent="0.3">
      <c r="F50810" s="193"/>
    </row>
    <row r="50811" spans="6:6" x14ac:dyDescent="0.3">
      <c r="F50811" s="193"/>
    </row>
    <row r="50812" spans="6:6" x14ac:dyDescent="0.3">
      <c r="F50812" s="193"/>
    </row>
    <row r="50813" spans="6:6" x14ac:dyDescent="0.3">
      <c r="F50813" s="193"/>
    </row>
    <row r="50814" spans="6:6" x14ac:dyDescent="0.3">
      <c r="F50814" s="193"/>
    </row>
    <row r="50815" spans="6:6" x14ac:dyDescent="0.3">
      <c r="F50815" s="193"/>
    </row>
    <row r="50816" spans="6:6" x14ac:dyDescent="0.3">
      <c r="F50816" s="193"/>
    </row>
    <row r="50817" spans="6:6" x14ac:dyDescent="0.3">
      <c r="F50817" s="193"/>
    </row>
    <row r="50818" spans="6:6" x14ac:dyDescent="0.3">
      <c r="F50818" s="193"/>
    </row>
    <row r="50819" spans="6:6" x14ac:dyDescent="0.3">
      <c r="F50819" s="193"/>
    </row>
    <row r="50820" spans="6:6" x14ac:dyDescent="0.3">
      <c r="F50820" s="193"/>
    </row>
    <row r="50821" spans="6:6" x14ac:dyDescent="0.3">
      <c r="F50821" s="193"/>
    </row>
    <row r="50822" spans="6:6" x14ac:dyDescent="0.3">
      <c r="F50822" s="193"/>
    </row>
    <row r="50823" spans="6:6" x14ac:dyDescent="0.3">
      <c r="F50823" s="193"/>
    </row>
    <row r="50824" spans="6:6" x14ac:dyDescent="0.3">
      <c r="F50824" s="193"/>
    </row>
    <row r="50825" spans="6:6" x14ac:dyDescent="0.3">
      <c r="F50825" s="193"/>
    </row>
    <row r="50826" spans="6:6" x14ac:dyDescent="0.3">
      <c r="F50826" s="193"/>
    </row>
    <row r="50827" spans="6:6" x14ac:dyDescent="0.3">
      <c r="F50827" s="193"/>
    </row>
    <row r="50828" spans="6:6" x14ac:dyDescent="0.3">
      <c r="F50828" s="193"/>
    </row>
    <row r="50829" spans="6:6" x14ac:dyDescent="0.3">
      <c r="F50829" s="193"/>
    </row>
    <row r="50830" spans="6:6" x14ac:dyDescent="0.3">
      <c r="F50830" s="193"/>
    </row>
    <row r="50831" spans="6:6" x14ac:dyDescent="0.3">
      <c r="F50831" s="193"/>
    </row>
    <row r="50832" spans="6:6" x14ac:dyDescent="0.3">
      <c r="F50832" s="193"/>
    </row>
    <row r="50833" spans="6:6" x14ac:dyDescent="0.3">
      <c r="F50833" s="193"/>
    </row>
    <row r="50834" spans="6:6" x14ac:dyDescent="0.3">
      <c r="F50834" s="193"/>
    </row>
    <row r="50835" spans="6:6" x14ac:dyDescent="0.3">
      <c r="F50835" s="193"/>
    </row>
    <row r="50836" spans="6:6" x14ac:dyDescent="0.3">
      <c r="F50836" s="193"/>
    </row>
    <row r="50837" spans="6:6" x14ac:dyDescent="0.3">
      <c r="F50837" s="193"/>
    </row>
    <row r="50838" spans="6:6" x14ac:dyDescent="0.3">
      <c r="F50838" s="193"/>
    </row>
    <row r="50839" spans="6:6" x14ac:dyDescent="0.3">
      <c r="F50839" s="193"/>
    </row>
    <row r="50840" spans="6:6" x14ac:dyDescent="0.3">
      <c r="F50840" s="193"/>
    </row>
    <row r="50841" spans="6:6" x14ac:dyDescent="0.3">
      <c r="F50841" s="193"/>
    </row>
    <row r="50842" spans="6:6" x14ac:dyDescent="0.3">
      <c r="F50842" s="193"/>
    </row>
    <row r="50843" spans="6:6" x14ac:dyDescent="0.3">
      <c r="F50843" s="193"/>
    </row>
    <row r="50844" spans="6:6" x14ac:dyDescent="0.3">
      <c r="F50844" s="193"/>
    </row>
    <row r="50845" spans="6:6" x14ac:dyDescent="0.3">
      <c r="F50845" s="193"/>
    </row>
    <row r="50846" spans="6:6" x14ac:dyDescent="0.3">
      <c r="F50846" s="193"/>
    </row>
    <row r="50847" spans="6:6" x14ac:dyDescent="0.3">
      <c r="F50847" s="193"/>
    </row>
    <row r="50848" spans="6:6" x14ac:dyDescent="0.3">
      <c r="F50848" s="193"/>
    </row>
    <row r="50849" spans="6:6" x14ac:dyDescent="0.3">
      <c r="F50849" s="193"/>
    </row>
    <row r="50850" spans="6:6" x14ac:dyDescent="0.3">
      <c r="F50850" s="193"/>
    </row>
    <row r="50851" spans="6:6" x14ac:dyDescent="0.3">
      <c r="F50851" s="193"/>
    </row>
    <row r="50852" spans="6:6" x14ac:dyDescent="0.3">
      <c r="F50852" s="193"/>
    </row>
    <row r="50853" spans="6:6" x14ac:dyDescent="0.3">
      <c r="F50853" s="193"/>
    </row>
    <row r="50854" spans="6:6" x14ac:dyDescent="0.3">
      <c r="F50854" s="193"/>
    </row>
    <row r="50855" spans="6:6" x14ac:dyDescent="0.3">
      <c r="F50855" s="193"/>
    </row>
    <row r="50856" spans="6:6" x14ac:dyDescent="0.3">
      <c r="F50856" s="193"/>
    </row>
    <row r="50857" spans="6:6" x14ac:dyDescent="0.3">
      <c r="F50857" s="193"/>
    </row>
    <row r="50858" spans="6:6" x14ac:dyDescent="0.3">
      <c r="F50858" s="193"/>
    </row>
    <row r="50859" spans="6:6" x14ac:dyDescent="0.3">
      <c r="F50859" s="193"/>
    </row>
    <row r="50860" spans="6:6" x14ac:dyDescent="0.3">
      <c r="F50860" s="193"/>
    </row>
    <row r="50861" spans="6:6" x14ac:dyDescent="0.3">
      <c r="F50861" s="193"/>
    </row>
    <row r="50862" spans="6:6" x14ac:dyDescent="0.3">
      <c r="F50862" s="193"/>
    </row>
    <row r="50863" spans="6:6" x14ac:dyDescent="0.3">
      <c r="F50863" s="193"/>
    </row>
    <row r="50864" spans="6:6" x14ac:dyDescent="0.3">
      <c r="F50864" s="193"/>
    </row>
    <row r="50865" spans="6:6" x14ac:dyDescent="0.3">
      <c r="F50865" s="193"/>
    </row>
    <row r="50866" spans="6:6" x14ac:dyDescent="0.3">
      <c r="F50866" s="193"/>
    </row>
    <row r="50867" spans="6:6" x14ac:dyDescent="0.3">
      <c r="F50867" s="193"/>
    </row>
    <row r="50868" spans="6:6" x14ac:dyDescent="0.3">
      <c r="F50868" s="193"/>
    </row>
    <row r="50869" spans="6:6" x14ac:dyDescent="0.3">
      <c r="F50869" s="193"/>
    </row>
    <row r="50870" spans="6:6" x14ac:dyDescent="0.3">
      <c r="F50870" s="193"/>
    </row>
    <row r="50871" spans="6:6" x14ac:dyDescent="0.3">
      <c r="F50871" s="193"/>
    </row>
    <row r="50872" spans="6:6" x14ac:dyDescent="0.3">
      <c r="F50872" s="193"/>
    </row>
    <row r="50873" spans="6:6" x14ac:dyDescent="0.3">
      <c r="F50873" s="193"/>
    </row>
    <row r="50874" spans="6:6" x14ac:dyDescent="0.3">
      <c r="F50874" s="193"/>
    </row>
    <row r="50875" spans="6:6" x14ac:dyDescent="0.3">
      <c r="F50875" s="193"/>
    </row>
    <row r="50876" spans="6:6" x14ac:dyDescent="0.3">
      <c r="F50876" s="193"/>
    </row>
    <row r="50877" spans="6:6" x14ac:dyDescent="0.3">
      <c r="F50877" s="193"/>
    </row>
    <row r="50878" spans="6:6" x14ac:dyDescent="0.3">
      <c r="F50878" s="193"/>
    </row>
    <row r="50879" spans="6:6" x14ac:dyDescent="0.3">
      <c r="F50879" s="193"/>
    </row>
    <row r="50880" spans="6:6" x14ac:dyDescent="0.3">
      <c r="F50880" s="193"/>
    </row>
    <row r="50881" spans="6:6" x14ac:dyDescent="0.3">
      <c r="F50881" s="193"/>
    </row>
    <row r="50882" spans="6:6" x14ac:dyDescent="0.3">
      <c r="F50882" s="193"/>
    </row>
    <row r="50883" spans="6:6" x14ac:dyDescent="0.3">
      <c r="F50883" s="193"/>
    </row>
    <row r="50884" spans="6:6" x14ac:dyDescent="0.3">
      <c r="F50884" s="193"/>
    </row>
    <row r="50885" spans="6:6" x14ac:dyDescent="0.3">
      <c r="F50885" s="193"/>
    </row>
    <row r="50886" spans="6:6" x14ac:dyDescent="0.3">
      <c r="F50886" s="193"/>
    </row>
    <row r="50887" spans="6:6" x14ac:dyDescent="0.3">
      <c r="F50887" s="193"/>
    </row>
    <row r="50888" spans="6:6" x14ac:dyDescent="0.3">
      <c r="F50888" s="193"/>
    </row>
    <row r="50889" spans="6:6" x14ac:dyDescent="0.3">
      <c r="F50889" s="193"/>
    </row>
    <row r="50890" spans="6:6" x14ac:dyDescent="0.3">
      <c r="F50890" s="193"/>
    </row>
    <row r="50891" spans="6:6" x14ac:dyDescent="0.3">
      <c r="F50891" s="193"/>
    </row>
    <row r="50892" spans="6:6" x14ac:dyDescent="0.3">
      <c r="F50892" s="193"/>
    </row>
    <row r="50893" spans="6:6" x14ac:dyDescent="0.3">
      <c r="F50893" s="193"/>
    </row>
    <row r="50894" spans="6:6" x14ac:dyDescent="0.3">
      <c r="F50894" s="193"/>
    </row>
    <row r="50895" spans="6:6" x14ac:dyDescent="0.3">
      <c r="F50895" s="193"/>
    </row>
    <row r="50896" spans="6:6" x14ac:dyDescent="0.3">
      <c r="F50896" s="193"/>
    </row>
    <row r="50897" spans="6:6" x14ac:dyDescent="0.3">
      <c r="F50897" s="193"/>
    </row>
    <row r="50898" spans="6:6" x14ac:dyDescent="0.3">
      <c r="F50898" s="193"/>
    </row>
    <row r="50899" spans="6:6" x14ac:dyDescent="0.3">
      <c r="F50899" s="193"/>
    </row>
    <row r="50900" spans="6:6" x14ac:dyDescent="0.3">
      <c r="F50900" s="193"/>
    </row>
    <row r="50901" spans="6:6" x14ac:dyDescent="0.3">
      <c r="F50901" s="193"/>
    </row>
    <row r="50902" spans="6:6" x14ac:dyDescent="0.3">
      <c r="F50902" s="193"/>
    </row>
    <row r="50903" spans="6:6" x14ac:dyDescent="0.3">
      <c r="F50903" s="193"/>
    </row>
    <row r="50904" spans="6:6" x14ac:dyDescent="0.3">
      <c r="F50904" s="193"/>
    </row>
    <row r="50905" spans="6:6" x14ac:dyDescent="0.3">
      <c r="F50905" s="193"/>
    </row>
    <row r="50906" spans="6:6" x14ac:dyDescent="0.3">
      <c r="F50906" s="193"/>
    </row>
    <row r="50907" spans="6:6" x14ac:dyDescent="0.3">
      <c r="F50907" s="193"/>
    </row>
    <row r="50908" spans="6:6" x14ac:dyDescent="0.3">
      <c r="F50908" s="193"/>
    </row>
    <row r="50909" spans="6:6" x14ac:dyDescent="0.3">
      <c r="F50909" s="193"/>
    </row>
    <row r="50910" spans="6:6" x14ac:dyDescent="0.3">
      <c r="F50910" s="193"/>
    </row>
    <row r="50911" spans="6:6" x14ac:dyDescent="0.3">
      <c r="F50911" s="193"/>
    </row>
    <row r="50912" spans="6:6" x14ac:dyDescent="0.3">
      <c r="F50912" s="193"/>
    </row>
    <row r="50913" spans="6:6" x14ac:dyDescent="0.3">
      <c r="F50913" s="193"/>
    </row>
    <row r="50914" spans="6:6" x14ac:dyDescent="0.3">
      <c r="F50914" s="193"/>
    </row>
    <row r="50915" spans="6:6" x14ac:dyDescent="0.3">
      <c r="F50915" s="193"/>
    </row>
    <row r="50916" spans="6:6" x14ac:dyDescent="0.3">
      <c r="F50916" s="193"/>
    </row>
    <row r="50917" spans="6:6" x14ac:dyDescent="0.3">
      <c r="F50917" s="193"/>
    </row>
    <row r="50918" spans="6:6" x14ac:dyDescent="0.3">
      <c r="F50918" s="193"/>
    </row>
    <row r="50919" spans="6:6" x14ac:dyDescent="0.3">
      <c r="F50919" s="193"/>
    </row>
    <row r="50920" spans="6:6" x14ac:dyDescent="0.3">
      <c r="F50920" s="193"/>
    </row>
    <row r="50921" spans="6:6" x14ac:dyDescent="0.3">
      <c r="F50921" s="193"/>
    </row>
    <row r="50922" spans="6:6" x14ac:dyDescent="0.3">
      <c r="F50922" s="193"/>
    </row>
    <row r="50923" spans="6:6" x14ac:dyDescent="0.3">
      <c r="F50923" s="193"/>
    </row>
    <row r="50924" spans="6:6" x14ac:dyDescent="0.3">
      <c r="F50924" s="193"/>
    </row>
    <row r="50925" spans="6:6" x14ac:dyDescent="0.3">
      <c r="F50925" s="193"/>
    </row>
    <row r="50926" spans="6:6" x14ac:dyDescent="0.3">
      <c r="F50926" s="193"/>
    </row>
    <row r="50927" spans="6:6" x14ac:dyDescent="0.3">
      <c r="F50927" s="193"/>
    </row>
    <row r="50928" spans="6:6" x14ac:dyDescent="0.3">
      <c r="F50928" s="193"/>
    </row>
    <row r="50929" spans="6:6" x14ac:dyDescent="0.3">
      <c r="F50929" s="193"/>
    </row>
    <row r="50930" spans="6:6" x14ac:dyDescent="0.3">
      <c r="F50930" s="193"/>
    </row>
    <row r="50931" spans="6:6" x14ac:dyDescent="0.3">
      <c r="F50931" s="193"/>
    </row>
    <row r="50932" spans="6:6" x14ac:dyDescent="0.3">
      <c r="F50932" s="193"/>
    </row>
    <row r="50933" spans="6:6" x14ac:dyDescent="0.3">
      <c r="F50933" s="193"/>
    </row>
    <row r="50934" spans="6:6" x14ac:dyDescent="0.3">
      <c r="F50934" s="193"/>
    </row>
    <row r="50935" spans="6:6" x14ac:dyDescent="0.3">
      <c r="F50935" s="193"/>
    </row>
    <row r="50936" spans="6:6" x14ac:dyDescent="0.3">
      <c r="F50936" s="193"/>
    </row>
    <row r="50937" spans="6:6" x14ac:dyDescent="0.3">
      <c r="F50937" s="193"/>
    </row>
    <row r="50938" spans="6:6" x14ac:dyDescent="0.3">
      <c r="F50938" s="193"/>
    </row>
    <row r="50939" spans="6:6" x14ac:dyDescent="0.3">
      <c r="F50939" s="193"/>
    </row>
    <row r="50940" spans="6:6" x14ac:dyDescent="0.3">
      <c r="F50940" s="193"/>
    </row>
    <row r="50941" spans="6:6" x14ac:dyDescent="0.3">
      <c r="F50941" s="193"/>
    </row>
    <row r="50942" spans="6:6" x14ac:dyDescent="0.3">
      <c r="F50942" s="193"/>
    </row>
    <row r="50943" spans="6:6" x14ac:dyDescent="0.3">
      <c r="F50943" s="193"/>
    </row>
    <row r="50944" spans="6:6" x14ac:dyDescent="0.3">
      <c r="F50944" s="193"/>
    </row>
    <row r="50945" spans="6:6" x14ac:dyDescent="0.3">
      <c r="F50945" s="193"/>
    </row>
    <row r="50946" spans="6:6" x14ac:dyDescent="0.3">
      <c r="F50946" s="193"/>
    </row>
    <row r="50947" spans="6:6" x14ac:dyDescent="0.3">
      <c r="F50947" s="193"/>
    </row>
    <row r="50948" spans="6:6" x14ac:dyDescent="0.3">
      <c r="F50948" s="193"/>
    </row>
    <row r="50949" spans="6:6" x14ac:dyDescent="0.3">
      <c r="F50949" s="193"/>
    </row>
    <row r="50950" spans="6:6" x14ac:dyDescent="0.3">
      <c r="F50950" s="193"/>
    </row>
    <row r="50951" spans="6:6" x14ac:dyDescent="0.3">
      <c r="F50951" s="193"/>
    </row>
    <row r="50952" spans="6:6" x14ac:dyDescent="0.3">
      <c r="F50952" s="193"/>
    </row>
    <row r="50953" spans="6:6" x14ac:dyDescent="0.3">
      <c r="F50953" s="193"/>
    </row>
    <row r="50954" spans="6:6" x14ac:dyDescent="0.3">
      <c r="F50954" s="193"/>
    </row>
    <row r="50955" spans="6:6" x14ac:dyDescent="0.3">
      <c r="F50955" s="193"/>
    </row>
    <row r="50956" spans="6:6" x14ac:dyDescent="0.3">
      <c r="F50956" s="193"/>
    </row>
    <row r="50957" spans="6:6" x14ac:dyDescent="0.3">
      <c r="F50957" s="193"/>
    </row>
    <row r="50958" spans="6:6" x14ac:dyDescent="0.3">
      <c r="F50958" s="193"/>
    </row>
    <row r="50959" spans="6:6" x14ac:dyDescent="0.3">
      <c r="F50959" s="193"/>
    </row>
    <row r="50960" spans="6:6" x14ac:dyDescent="0.3">
      <c r="F50960" s="193"/>
    </row>
    <row r="50961" spans="6:6" x14ac:dyDescent="0.3">
      <c r="F50961" s="193"/>
    </row>
    <row r="50962" spans="6:6" x14ac:dyDescent="0.3">
      <c r="F50962" s="193"/>
    </row>
    <row r="50963" spans="6:6" x14ac:dyDescent="0.3">
      <c r="F50963" s="193"/>
    </row>
    <row r="50964" spans="6:6" x14ac:dyDescent="0.3">
      <c r="F50964" s="193"/>
    </row>
    <row r="50965" spans="6:6" x14ac:dyDescent="0.3">
      <c r="F50965" s="193"/>
    </row>
    <row r="50966" spans="6:6" x14ac:dyDescent="0.3">
      <c r="F50966" s="193"/>
    </row>
    <row r="50967" spans="6:6" x14ac:dyDescent="0.3">
      <c r="F50967" s="193"/>
    </row>
    <row r="50968" spans="6:6" x14ac:dyDescent="0.3">
      <c r="F50968" s="193"/>
    </row>
    <row r="50969" spans="6:6" x14ac:dyDescent="0.3">
      <c r="F50969" s="193"/>
    </row>
    <row r="50970" spans="6:6" x14ac:dyDescent="0.3">
      <c r="F50970" s="193"/>
    </row>
    <row r="50971" spans="6:6" x14ac:dyDescent="0.3">
      <c r="F50971" s="193"/>
    </row>
    <row r="50972" spans="6:6" x14ac:dyDescent="0.3">
      <c r="F50972" s="193"/>
    </row>
    <row r="50973" spans="6:6" x14ac:dyDescent="0.3">
      <c r="F50973" s="193"/>
    </row>
    <row r="50974" spans="6:6" x14ac:dyDescent="0.3">
      <c r="F50974" s="193"/>
    </row>
    <row r="50975" spans="6:6" x14ac:dyDescent="0.3">
      <c r="F50975" s="193"/>
    </row>
    <row r="50976" spans="6:6" x14ac:dyDescent="0.3">
      <c r="F50976" s="193"/>
    </row>
    <row r="50977" spans="6:6" x14ac:dyDescent="0.3">
      <c r="F50977" s="193"/>
    </row>
    <row r="50978" spans="6:6" x14ac:dyDescent="0.3">
      <c r="F50978" s="193"/>
    </row>
    <row r="50979" spans="6:6" x14ac:dyDescent="0.3">
      <c r="F50979" s="193"/>
    </row>
    <row r="50980" spans="6:6" x14ac:dyDescent="0.3">
      <c r="F50980" s="193"/>
    </row>
    <row r="50981" spans="6:6" x14ac:dyDescent="0.3">
      <c r="F50981" s="193"/>
    </row>
    <row r="50982" spans="6:6" x14ac:dyDescent="0.3">
      <c r="F50982" s="193"/>
    </row>
    <row r="50983" spans="6:6" x14ac:dyDescent="0.3">
      <c r="F50983" s="193"/>
    </row>
    <row r="50984" spans="6:6" x14ac:dyDescent="0.3">
      <c r="F50984" s="193"/>
    </row>
    <row r="50985" spans="6:6" x14ac:dyDescent="0.3">
      <c r="F50985" s="193"/>
    </row>
    <row r="50986" spans="6:6" x14ac:dyDescent="0.3">
      <c r="F50986" s="193"/>
    </row>
    <row r="50987" spans="6:6" x14ac:dyDescent="0.3">
      <c r="F50987" s="193"/>
    </row>
    <row r="50988" spans="6:6" x14ac:dyDescent="0.3">
      <c r="F50988" s="193"/>
    </row>
    <row r="50989" spans="6:6" x14ac:dyDescent="0.3">
      <c r="F50989" s="193"/>
    </row>
    <row r="50990" spans="6:6" x14ac:dyDescent="0.3">
      <c r="F50990" s="193"/>
    </row>
    <row r="50991" spans="6:6" x14ac:dyDescent="0.3">
      <c r="F50991" s="193"/>
    </row>
    <row r="50992" spans="6:6" x14ac:dyDescent="0.3">
      <c r="F50992" s="193"/>
    </row>
    <row r="50993" spans="6:6" x14ac:dyDescent="0.3">
      <c r="F50993" s="193"/>
    </row>
    <row r="50994" spans="6:6" x14ac:dyDescent="0.3">
      <c r="F50994" s="193"/>
    </row>
    <row r="50995" spans="6:6" x14ac:dyDescent="0.3">
      <c r="F50995" s="193"/>
    </row>
    <row r="50996" spans="6:6" x14ac:dyDescent="0.3">
      <c r="F50996" s="193"/>
    </row>
    <row r="50997" spans="6:6" x14ac:dyDescent="0.3">
      <c r="F50997" s="193"/>
    </row>
    <row r="50998" spans="6:6" x14ac:dyDescent="0.3">
      <c r="F50998" s="193"/>
    </row>
    <row r="50999" spans="6:6" x14ac:dyDescent="0.3">
      <c r="F50999" s="193"/>
    </row>
    <row r="51000" spans="6:6" x14ac:dyDescent="0.3">
      <c r="F51000" s="193"/>
    </row>
    <row r="51001" spans="6:6" x14ac:dyDescent="0.3">
      <c r="F51001" s="193"/>
    </row>
    <row r="51002" spans="6:6" x14ac:dyDescent="0.3">
      <c r="F51002" s="193"/>
    </row>
    <row r="51003" spans="6:6" x14ac:dyDescent="0.3">
      <c r="F51003" s="193"/>
    </row>
    <row r="51004" spans="6:6" x14ac:dyDescent="0.3">
      <c r="F51004" s="193"/>
    </row>
    <row r="51005" spans="6:6" x14ac:dyDescent="0.3">
      <c r="F51005" s="193"/>
    </row>
    <row r="51006" spans="6:6" x14ac:dyDescent="0.3">
      <c r="F51006" s="193"/>
    </row>
    <row r="51007" spans="6:6" x14ac:dyDescent="0.3">
      <c r="F51007" s="193"/>
    </row>
    <row r="51008" spans="6:6" x14ac:dyDescent="0.3">
      <c r="F51008" s="193"/>
    </row>
    <row r="51009" spans="6:6" x14ac:dyDescent="0.3">
      <c r="F51009" s="193"/>
    </row>
    <row r="51010" spans="6:6" x14ac:dyDescent="0.3">
      <c r="F51010" s="193"/>
    </row>
    <row r="51011" spans="6:6" x14ac:dyDescent="0.3">
      <c r="F51011" s="193"/>
    </row>
    <row r="51012" spans="6:6" x14ac:dyDescent="0.3">
      <c r="F51012" s="193"/>
    </row>
    <row r="51013" spans="6:6" x14ac:dyDescent="0.3">
      <c r="F51013" s="193"/>
    </row>
    <row r="51014" spans="6:6" x14ac:dyDescent="0.3">
      <c r="F51014" s="193"/>
    </row>
    <row r="51015" spans="6:6" x14ac:dyDescent="0.3">
      <c r="F51015" s="193"/>
    </row>
    <row r="51016" spans="6:6" x14ac:dyDescent="0.3">
      <c r="F51016" s="193"/>
    </row>
    <row r="51017" spans="6:6" x14ac:dyDescent="0.3">
      <c r="F51017" s="193"/>
    </row>
    <row r="51018" spans="6:6" x14ac:dyDescent="0.3">
      <c r="F51018" s="193"/>
    </row>
    <row r="51019" spans="6:6" x14ac:dyDescent="0.3">
      <c r="F51019" s="193"/>
    </row>
    <row r="51020" spans="6:6" x14ac:dyDescent="0.3">
      <c r="F51020" s="193"/>
    </row>
    <row r="51021" spans="6:6" x14ac:dyDescent="0.3">
      <c r="F51021" s="193"/>
    </row>
    <row r="51022" spans="6:6" x14ac:dyDescent="0.3">
      <c r="F51022" s="193"/>
    </row>
    <row r="51023" spans="6:6" x14ac:dyDescent="0.3">
      <c r="F51023" s="193"/>
    </row>
    <row r="51024" spans="6:6" x14ac:dyDescent="0.3">
      <c r="F51024" s="193"/>
    </row>
    <row r="51025" spans="6:6" x14ac:dyDescent="0.3">
      <c r="F51025" s="193"/>
    </row>
    <row r="51026" spans="6:6" x14ac:dyDescent="0.3">
      <c r="F51026" s="193"/>
    </row>
    <row r="51027" spans="6:6" x14ac:dyDescent="0.3">
      <c r="F51027" s="193"/>
    </row>
    <row r="51028" spans="6:6" x14ac:dyDescent="0.3">
      <c r="F51028" s="193"/>
    </row>
    <row r="51029" spans="6:6" x14ac:dyDescent="0.3">
      <c r="F51029" s="193"/>
    </row>
    <row r="51030" spans="6:6" x14ac:dyDescent="0.3">
      <c r="F51030" s="193"/>
    </row>
    <row r="51031" spans="6:6" x14ac:dyDescent="0.3">
      <c r="F51031" s="193"/>
    </row>
    <row r="51032" spans="6:6" x14ac:dyDescent="0.3">
      <c r="F51032" s="193"/>
    </row>
    <row r="51033" spans="6:6" x14ac:dyDescent="0.3">
      <c r="F51033" s="193"/>
    </row>
    <row r="51034" spans="6:6" x14ac:dyDescent="0.3">
      <c r="F51034" s="193"/>
    </row>
    <row r="51035" spans="6:6" x14ac:dyDescent="0.3">
      <c r="F51035" s="193"/>
    </row>
    <row r="51036" spans="6:6" x14ac:dyDescent="0.3">
      <c r="F51036" s="193"/>
    </row>
    <row r="51037" spans="6:6" x14ac:dyDescent="0.3">
      <c r="F51037" s="193"/>
    </row>
    <row r="51038" spans="6:6" x14ac:dyDescent="0.3">
      <c r="F51038" s="193"/>
    </row>
    <row r="51039" spans="6:6" x14ac:dyDescent="0.3">
      <c r="F51039" s="193"/>
    </row>
    <row r="51040" spans="6:6" x14ac:dyDescent="0.3">
      <c r="F51040" s="193"/>
    </row>
    <row r="51041" spans="6:6" x14ac:dyDescent="0.3">
      <c r="F51041" s="193"/>
    </row>
    <row r="51042" spans="6:6" x14ac:dyDescent="0.3">
      <c r="F51042" s="193"/>
    </row>
    <row r="51043" spans="6:6" x14ac:dyDescent="0.3">
      <c r="F51043" s="193"/>
    </row>
    <row r="51044" spans="6:6" x14ac:dyDescent="0.3">
      <c r="F51044" s="193"/>
    </row>
    <row r="51045" spans="6:6" x14ac:dyDescent="0.3">
      <c r="F51045" s="193"/>
    </row>
    <row r="51046" spans="6:6" x14ac:dyDescent="0.3">
      <c r="F51046" s="193"/>
    </row>
    <row r="51047" spans="6:6" x14ac:dyDescent="0.3">
      <c r="F51047" s="193"/>
    </row>
    <row r="51048" spans="6:6" x14ac:dyDescent="0.3">
      <c r="F51048" s="193"/>
    </row>
    <row r="51049" spans="6:6" x14ac:dyDescent="0.3">
      <c r="F51049" s="193"/>
    </row>
    <row r="51050" spans="6:6" x14ac:dyDescent="0.3">
      <c r="F51050" s="193"/>
    </row>
    <row r="51051" spans="6:6" x14ac:dyDescent="0.3">
      <c r="F51051" s="193"/>
    </row>
    <row r="51052" spans="6:6" x14ac:dyDescent="0.3">
      <c r="F51052" s="193"/>
    </row>
    <row r="51053" spans="6:6" x14ac:dyDescent="0.3">
      <c r="F51053" s="193"/>
    </row>
    <row r="51054" spans="6:6" x14ac:dyDescent="0.3">
      <c r="F51054" s="193"/>
    </row>
    <row r="51055" spans="6:6" x14ac:dyDescent="0.3">
      <c r="F51055" s="193"/>
    </row>
    <row r="51056" spans="6:6" x14ac:dyDescent="0.3">
      <c r="F51056" s="193"/>
    </row>
    <row r="51057" spans="6:6" x14ac:dyDescent="0.3">
      <c r="F51057" s="193"/>
    </row>
    <row r="51058" spans="6:6" x14ac:dyDescent="0.3">
      <c r="F51058" s="193"/>
    </row>
    <row r="51059" spans="6:6" x14ac:dyDescent="0.3">
      <c r="F51059" s="193"/>
    </row>
    <row r="51060" spans="6:6" x14ac:dyDescent="0.3">
      <c r="F51060" s="193"/>
    </row>
    <row r="51061" spans="6:6" x14ac:dyDescent="0.3">
      <c r="F51061" s="193"/>
    </row>
    <row r="51062" spans="6:6" x14ac:dyDescent="0.3">
      <c r="F51062" s="193"/>
    </row>
    <row r="51063" spans="6:6" x14ac:dyDescent="0.3">
      <c r="F51063" s="193"/>
    </row>
    <row r="51064" spans="6:6" x14ac:dyDescent="0.3">
      <c r="F51064" s="193"/>
    </row>
    <row r="51065" spans="6:6" x14ac:dyDescent="0.3">
      <c r="F51065" s="193"/>
    </row>
    <row r="51066" spans="6:6" x14ac:dyDescent="0.3">
      <c r="F51066" s="193"/>
    </row>
    <row r="51067" spans="6:6" x14ac:dyDescent="0.3">
      <c r="F51067" s="193"/>
    </row>
    <row r="51068" spans="6:6" x14ac:dyDescent="0.3">
      <c r="F51068" s="193"/>
    </row>
    <row r="51069" spans="6:6" x14ac:dyDescent="0.3">
      <c r="F51069" s="193"/>
    </row>
    <row r="51070" spans="6:6" x14ac:dyDescent="0.3">
      <c r="F51070" s="193"/>
    </row>
    <row r="51071" spans="6:6" x14ac:dyDescent="0.3">
      <c r="F51071" s="193"/>
    </row>
    <row r="51072" spans="6:6" x14ac:dyDescent="0.3">
      <c r="F51072" s="193"/>
    </row>
    <row r="51073" spans="6:6" x14ac:dyDescent="0.3">
      <c r="F51073" s="193"/>
    </row>
    <row r="51074" spans="6:6" x14ac:dyDescent="0.3">
      <c r="F51074" s="193"/>
    </row>
    <row r="51075" spans="6:6" x14ac:dyDescent="0.3">
      <c r="F51075" s="193"/>
    </row>
    <row r="51076" spans="6:6" x14ac:dyDescent="0.3">
      <c r="F51076" s="193"/>
    </row>
    <row r="51077" spans="6:6" x14ac:dyDescent="0.3">
      <c r="F51077" s="193"/>
    </row>
    <row r="51078" spans="6:6" x14ac:dyDescent="0.3">
      <c r="F51078" s="193"/>
    </row>
    <row r="51079" spans="6:6" x14ac:dyDescent="0.3">
      <c r="F51079" s="193"/>
    </row>
    <row r="51080" spans="6:6" x14ac:dyDescent="0.3">
      <c r="F51080" s="193"/>
    </row>
    <row r="51081" spans="6:6" x14ac:dyDescent="0.3">
      <c r="F51081" s="193"/>
    </row>
    <row r="51082" spans="6:6" x14ac:dyDescent="0.3">
      <c r="F51082" s="193"/>
    </row>
    <row r="51083" spans="6:6" x14ac:dyDescent="0.3">
      <c r="F51083" s="193"/>
    </row>
    <row r="51084" spans="6:6" x14ac:dyDescent="0.3">
      <c r="F51084" s="193"/>
    </row>
    <row r="51085" spans="6:6" x14ac:dyDescent="0.3">
      <c r="F51085" s="193"/>
    </row>
    <row r="51086" spans="6:6" x14ac:dyDescent="0.3">
      <c r="F51086" s="193"/>
    </row>
    <row r="51087" spans="6:6" x14ac:dyDescent="0.3">
      <c r="F51087" s="193"/>
    </row>
    <row r="51088" spans="6:6" x14ac:dyDescent="0.3">
      <c r="F51088" s="193"/>
    </row>
    <row r="51089" spans="6:6" x14ac:dyDescent="0.3">
      <c r="F51089" s="193"/>
    </row>
    <row r="51090" spans="6:6" x14ac:dyDescent="0.3">
      <c r="F51090" s="193"/>
    </row>
    <row r="51091" spans="6:6" x14ac:dyDescent="0.3">
      <c r="F51091" s="193"/>
    </row>
    <row r="51092" spans="6:6" x14ac:dyDescent="0.3">
      <c r="F51092" s="193"/>
    </row>
    <row r="51093" spans="6:6" x14ac:dyDescent="0.3">
      <c r="F51093" s="193"/>
    </row>
    <row r="51094" spans="6:6" x14ac:dyDescent="0.3">
      <c r="F51094" s="193"/>
    </row>
    <row r="51095" spans="6:6" x14ac:dyDescent="0.3">
      <c r="F51095" s="193"/>
    </row>
    <row r="51096" spans="6:6" x14ac:dyDescent="0.3">
      <c r="F51096" s="193"/>
    </row>
    <row r="51097" spans="6:6" x14ac:dyDescent="0.3">
      <c r="F51097" s="193"/>
    </row>
    <row r="51098" spans="6:6" x14ac:dyDescent="0.3">
      <c r="F51098" s="193"/>
    </row>
    <row r="51099" spans="6:6" x14ac:dyDescent="0.3">
      <c r="F51099" s="193"/>
    </row>
    <row r="51100" spans="6:6" x14ac:dyDescent="0.3">
      <c r="F51100" s="193"/>
    </row>
    <row r="51101" spans="6:6" x14ac:dyDescent="0.3">
      <c r="F51101" s="193"/>
    </row>
    <row r="51102" spans="6:6" x14ac:dyDescent="0.3">
      <c r="F51102" s="193"/>
    </row>
    <row r="51103" spans="6:6" x14ac:dyDescent="0.3">
      <c r="F51103" s="193"/>
    </row>
    <row r="51104" spans="6:6" x14ac:dyDescent="0.3">
      <c r="F51104" s="193"/>
    </row>
    <row r="51105" spans="6:6" x14ac:dyDescent="0.3">
      <c r="F51105" s="193"/>
    </row>
    <row r="51106" spans="6:6" x14ac:dyDescent="0.3">
      <c r="F51106" s="193"/>
    </row>
    <row r="51107" spans="6:6" x14ac:dyDescent="0.3">
      <c r="F51107" s="193"/>
    </row>
    <row r="51108" spans="6:6" x14ac:dyDescent="0.3">
      <c r="F51108" s="193"/>
    </row>
    <row r="51109" spans="6:6" x14ac:dyDescent="0.3">
      <c r="F51109" s="193"/>
    </row>
    <row r="51110" spans="6:6" x14ac:dyDescent="0.3">
      <c r="F51110" s="193"/>
    </row>
    <row r="51111" spans="6:6" x14ac:dyDescent="0.3">
      <c r="F51111" s="193"/>
    </row>
    <row r="51112" spans="6:6" x14ac:dyDescent="0.3">
      <c r="F51112" s="193"/>
    </row>
    <row r="51113" spans="6:6" x14ac:dyDescent="0.3">
      <c r="F51113" s="193"/>
    </row>
    <row r="51114" spans="6:6" x14ac:dyDescent="0.3">
      <c r="F51114" s="193"/>
    </row>
    <row r="51115" spans="6:6" x14ac:dyDescent="0.3">
      <c r="F51115" s="193"/>
    </row>
    <row r="51116" spans="6:6" x14ac:dyDescent="0.3">
      <c r="F51116" s="193"/>
    </row>
    <row r="51117" spans="6:6" x14ac:dyDescent="0.3">
      <c r="F51117" s="193"/>
    </row>
    <row r="51118" spans="6:6" x14ac:dyDescent="0.3">
      <c r="F51118" s="193"/>
    </row>
    <row r="51119" spans="6:6" x14ac:dyDescent="0.3">
      <c r="F51119" s="193"/>
    </row>
    <row r="51120" spans="6:6" x14ac:dyDescent="0.3">
      <c r="F51120" s="193"/>
    </row>
    <row r="51121" spans="6:6" x14ac:dyDescent="0.3">
      <c r="F51121" s="193"/>
    </row>
    <row r="51122" spans="6:6" x14ac:dyDescent="0.3">
      <c r="F51122" s="193"/>
    </row>
    <row r="51123" spans="6:6" x14ac:dyDescent="0.3">
      <c r="F51123" s="193"/>
    </row>
    <row r="51124" spans="6:6" x14ac:dyDescent="0.3">
      <c r="F51124" s="193"/>
    </row>
    <row r="51125" spans="6:6" x14ac:dyDescent="0.3">
      <c r="F51125" s="193"/>
    </row>
    <row r="51126" spans="6:6" x14ac:dyDescent="0.3">
      <c r="F51126" s="193"/>
    </row>
    <row r="51127" spans="6:6" x14ac:dyDescent="0.3">
      <c r="F51127" s="193"/>
    </row>
    <row r="51128" spans="6:6" x14ac:dyDescent="0.3">
      <c r="F51128" s="193"/>
    </row>
    <row r="51129" spans="6:6" x14ac:dyDescent="0.3">
      <c r="F51129" s="193"/>
    </row>
    <row r="51130" spans="6:6" x14ac:dyDescent="0.3">
      <c r="F51130" s="193"/>
    </row>
    <row r="51131" spans="6:6" x14ac:dyDescent="0.3">
      <c r="F51131" s="193"/>
    </row>
    <row r="51132" spans="6:6" x14ac:dyDescent="0.3">
      <c r="F51132" s="193"/>
    </row>
    <row r="51133" spans="6:6" x14ac:dyDescent="0.3">
      <c r="F51133" s="193"/>
    </row>
    <row r="51134" spans="6:6" x14ac:dyDescent="0.3">
      <c r="F51134" s="193"/>
    </row>
    <row r="51135" spans="6:6" x14ac:dyDescent="0.3">
      <c r="F51135" s="193"/>
    </row>
    <row r="51136" spans="6:6" x14ac:dyDescent="0.3">
      <c r="F51136" s="193"/>
    </row>
    <row r="51137" spans="6:6" x14ac:dyDescent="0.3">
      <c r="F51137" s="193"/>
    </row>
    <row r="51138" spans="6:6" x14ac:dyDescent="0.3">
      <c r="F51138" s="193"/>
    </row>
    <row r="51139" spans="6:6" x14ac:dyDescent="0.3">
      <c r="F51139" s="193"/>
    </row>
    <row r="51140" spans="6:6" x14ac:dyDescent="0.3">
      <c r="F51140" s="193"/>
    </row>
    <row r="51141" spans="6:6" x14ac:dyDescent="0.3">
      <c r="F51141" s="193"/>
    </row>
    <row r="51142" spans="6:6" x14ac:dyDescent="0.3">
      <c r="F51142" s="193"/>
    </row>
    <row r="51143" spans="6:6" x14ac:dyDescent="0.3">
      <c r="F51143" s="193"/>
    </row>
    <row r="51144" spans="6:6" x14ac:dyDescent="0.3">
      <c r="F51144" s="193"/>
    </row>
    <row r="51145" spans="6:6" x14ac:dyDescent="0.3">
      <c r="F51145" s="193"/>
    </row>
    <row r="51146" spans="6:6" x14ac:dyDescent="0.3">
      <c r="F51146" s="193"/>
    </row>
    <row r="51147" spans="6:6" x14ac:dyDescent="0.3">
      <c r="F51147" s="193"/>
    </row>
    <row r="51148" spans="6:6" x14ac:dyDescent="0.3">
      <c r="F51148" s="193"/>
    </row>
    <row r="51149" spans="6:6" x14ac:dyDescent="0.3">
      <c r="F51149" s="193"/>
    </row>
    <row r="51150" spans="6:6" x14ac:dyDescent="0.3">
      <c r="F51150" s="193"/>
    </row>
    <row r="51151" spans="6:6" x14ac:dyDescent="0.3">
      <c r="F51151" s="193"/>
    </row>
    <row r="51152" spans="6:6" x14ac:dyDescent="0.3">
      <c r="F51152" s="193"/>
    </row>
    <row r="51153" spans="6:6" x14ac:dyDescent="0.3">
      <c r="F51153" s="193"/>
    </row>
    <row r="51154" spans="6:6" x14ac:dyDescent="0.3">
      <c r="F51154" s="193"/>
    </row>
    <row r="51155" spans="6:6" x14ac:dyDescent="0.3">
      <c r="F51155" s="193"/>
    </row>
    <row r="51156" spans="6:6" x14ac:dyDescent="0.3">
      <c r="F51156" s="193"/>
    </row>
    <row r="51157" spans="6:6" x14ac:dyDescent="0.3">
      <c r="F51157" s="193"/>
    </row>
    <row r="51158" spans="6:6" x14ac:dyDescent="0.3">
      <c r="F51158" s="193"/>
    </row>
    <row r="51159" spans="6:6" x14ac:dyDescent="0.3">
      <c r="F51159" s="193"/>
    </row>
    <row r="51160" spans="6:6" x14ac:dyDescent="0.3">
      <c r="F51160" s="193"/>
    </row>
    <row r="51161" spans="6:6" x14ac:dyDescent="0.3">
      <c r="F51161" s="193"/>
    </row>
    <row r="51162" spans="6:6" x14ac:dyDescent="0.3">
      <c r="F51162" s="193"/>
    </row>
    <row r="51163" spans="6:6" x14ac:dyDescent="0.3">
      <c r="F51163" s="193"/>
    </row>
    <row r="51164" spans="6:6" x14ac:dyDescent="0.3">
      <c r="F51164" s="193"/>
    </row>
    <row r="51165" spans="6:6" x14ac:dyDescent="0.3">
      <c r="F51165" s="193"/>
    </row>
    <row r="51166" spans="6:6" x14ac:dyDescent="0.3">
      <c r="F51166" s="193"/>
    </row>
    <row r="51167" spans="6:6" x14ac:dyDescent="0.3">
      <c r="F51167" s="193"/>
    </row>
    <row r="51168" spans="6:6" x14ac:dyDescent="0.3">
      <c r="F51168" s="193"/>
    </row>
    <row r="51169" spans="6:6" x14ac:dyDescent="0.3">
      <c r="F51169" s="193"/>
    </row>
    <row r="51170" spans="6:6" x14ac:dyDescent="0.3">
      <c r="F51170" s="193"/>
    </row>
    <row r="51171" spans="6:6" x14ac:dyDescent="0.3">
      <c r="F51171" s="193"/>
    </row>
    <row r="51172" spans="6:6" x14ac:dyDescent="0.3">
      <c r="F51172" s="193"/>
    </row>
    <row r="51173" spans="6:6" x14ac:dyDescent="0.3">
      <c r="F51173" s="193"/>
    </row>
    <row r="51174" spans="6:6" x14ac:dyDescent="0.3">
      <c r="F51174" s="193"/>
    </row>
    <row r="51175" spans="6:6" x14ac:dyDescent="0.3">
      <c r="F51175" s="193"/>
    </row>
    <row r="51176" spans="6:6" x14ac:dyDescent="0.3">
      <c r="F51176" s="193"/>
    </row>
    <row r="51177" spans="6:6" x14ac:dyDescent="0.3">
      <c r="F51177" s="193"/>
    </row>
    <row r="51178" spans="6:6" x14ac:dyDescent="0.3">
      <c r="F51178" s="193"/>
    </row>
    <row r="51179" spans="6:6" x14ac:dyDescent="0.3">
      <c r="F51179" s="193"/>
    </row>
    <row r="51180" spans="6:6" x14ac:dyDescent="0.3">
      <c r="F51180" s="193"/>
    </row>
    <row r="51181" spans="6:6" x14ac:dyDescent="0.3">
      <c r="F51181" s="193"/>
    </row>
    <row r="51182" spans="6:6" x14ac:dyDescent="0.3">
      <c r="F51182" s="193"/>
    </row>
    <row r="51183" spans="6:6" x14ac:dyDescent="0.3">
      <c r="F51183" s="193"/>
    </row>
    <row r="51184" spans="6:6" x14ac:dyDescent="0.3">
      <c r="F51184" s="193"/>
    </row>
    <row r="51185" spans="6:6" x14ac:dyDescent="0.3">
      <c r="F51185" s="193"/>
    </row>
    <row r="51186" spans="6:6" x14ac:dyDescent="0.3">
      <c r="F51186" s="193"/>
    </row>
    <row r="51187" spans="6:6" x14ac:dyDescent="0.3">
      <c r="F51187" s="193"/>
    </row>
    <row r="51188" spans="6:6" x14ac:dyDescent="0.3">
      <c r="F51188" s="193"/>
    </row>
    <row r="51189" spans="6:6" x14ac:dyDescent="0.3">
      <c r="F51189" s="193"/>
    </row>
    <row r="51190" spans="6:6" x14ac:dyDescent="0.3">
      <c r="F51190" s="193"/>
    </row>
    <row r="51191" spans="6:6" x14ac:dyDescent="0.3">
      <c r="F51191" s="193"/>
    </row>
    <row r="51192" spans="6:6" x14ac:dyDescent="0.3">
      <c r="F51192" s="193"/>
    </row>
    <row r="51193" spans="6:6" x14ac:dyDescent="0.3">
      <c r="F51193" s="193"/>
    </row>
    <row r="51194" spans="6:6" x14ac:dyDescent="0.3">
      <c r="F51194" s="193"/>
    </row>
    <row r="51195" spans="6:6" x14ac:dyDescent="0.3">
      <c r="F51195" s="193"/>
    </row>
    <row r="51196" spans="6:6" x14ac:dyDescent="0.3">
      <c r="F51196" s="193"/>
    </row>
    <row r="51197" spans="6:6" x14ac:dyDescent="0.3">
      <c r="F51197" s="193"/>
    </row>
    <row r="51198" spans="6:6" x14ac:dyDescent="0.3">
      <c r="F51198" s="193"/>
    </row>
    <row r="51199" spans="6:6" x14ac:dyDescent="0.3">
      <c r="F51199" s="193"/>
    </row>
    <row r="51200" spans="6:6" x14ac:dyDescent="0.3">
      <c r="F51200" s="193"/>
    </row>
    <row r="51201" spans="6:6" x14ac:dyDescent="0.3">
      <c r="F51201" s="193"/>
    </row>
    <row r="51202" spans="6:6" x14ac:dyDescent="0.3">
      <c r="F51202" s="193"/>
    </row>
    <row r="51203" spans="6:6" x14ac:dyDescent="0.3">
      <c r="F51203" s="193"/>
    </row>
    <row r="51204" spans="6:6" x14ac:dyDescent="0.3">
      <c r="F51204" s="193"/>
    </row>
    <row r="51205" spans="6:6" x14ac:dyDescent="0.3">
      <c r="F51205" s="193"/>
    </row>
    <row r="51206" spans="6:6" x14ac:dyDescent="0.3">
      <c r="F51206" s="193"/>
    </row>
    <row r="51207" spans="6:6" x14ac:dyDescent="0.3">
      <c r="F51207" s="193"/>
    </row>
    <row r="51208" spans="6:6" x14ac:dyDescent="0.3">
      <c r="F51208" s="193"/>
    </row>
    <row r="51209" spans="6:6" x14ac:dyDescent="0.3">
      <c r="F51209" s="193"/>
    </row>
    <row r="51210" spans="6:6" x14ac:dyDescent="0.3">
      <c r="F51210" s="193"/>
    </row>
    <row r="51211" spans="6:6" x14ac:dyDescent="0.3">
      <c r="F51211" s="193"/>
    </row>
    <row r="51212" spans="6:6" x14ac:dyDescent="0.3">
      <c r="F51212" s="193"/>
    </row>
    <row r="51213" spans="6:6" x14ac:dyDescent="0.3">
      <c r="F51213" s="193"/>
    </row>
    <row r="51214" spans="6:6" x14ac:dyDescent="0.3">
      <c r="F51214" s="193"/>
    </row>
    <row r="51215" spans="6:6" x14ac:dyDescent="0.3">
      <c r="F51215" s="193"/>
    </row>
    <row r="51216" spans="6:6" x14ac:dyDescent="0.3">
      <c r="F51216" s="193"/>
    </row>
    <row r="51217" spans="6:6" x14ac:dyDescent="0.3">
      <c r="F51217" s="193"/>
    </row>
    <row r="51218" spans="6:6" x14ac:dyDescent="0.3">
      <c r="F51218" s="193"/>
    </row>
    <row r="51219" spans="6:6" x14ac:dyDescent="0.3">
      <c r="F51219" s="193"/>
    </row>
    <row r="51220" spans="6:6" x14ac:dyDescent="0.3">
      <c r="F51220" s="193"/>
    </row>
    <row r="51221" spans="6:6" x14ac:dyDescent="0.3">
      <c r="F51221" s="193"/>
    </row>
    <row r="51222" spans="6:6" x14ac:dyDescent="0.3">
      <c r="F51222" s="193"/>
    </row>
    <row r="51223" spans="6:6" x14ac:dyDescent="0.3">
      <c r="F51223" s="193"/>
    </row>
    <row r="51224" spans="6:6" x14ac:dyDescent="0.3">
      <c r="F51224" s="193"/>
    </row>
    <row r="51225" spans="6:6" x14ac:dyDescent="0.3">
      <c r="F51225" s="193"/>
    </row>
    <row r="51226" spans="6:6" x14ac:dyDescent="0.3">
      <c r="F51226" s="193"/>
    </row>
    <row r="51227" spans="6:6" x14ac:dyDescent="0.3">
      <c r="F51227" s="193"/>
    </row>
    <row r="51228" spans="6:6" x14ac:dyDescent="0.3">
      <c r="F51228" s="193"/>
    </row>
    <row r="51229" spans="6:6" x14ac:dyDescent="0.3">
      <c r="F51229" s="193"/>
    </row>
    <row r="51230" spans="6:6" x14ac:dyDescent="0.3">
      <c r="F51230" s="193"/>
    </row>
    <row r="51231" spans="6:6" x14ac:dyDescent="0.3">
      <c r="F51231" s="193"/>
    </row>
    <row r="51232" spans="6:6" x14ac:dyDescent="0.3">
      <c r="F51232" s="193"/>
    </row>
    <row r="51233" spans="6:6" x14ac:dyDescent="0.3">
      <c r="F51233" s="193"/>
    </row>
    <row r="51234" spans="6:6" x14ac:dyDescent="0.3">
      <c r="F51234" s="193"/>
    </row>
    <row r="51235" spans="6:6" x14ac:dyDescent="0.3">
      <c r="F51235" s="193"/>
    </row>
    <row r="51236" spans="6:6" x14ac:dyDescent="0.3">
      <c r="F51236" s="193"/>
    </row>
    <row r="51237" spans="6:6" x14ac:dyDescent="0.3">
      <c r="F51237" s="193"/>
    </row>
    <row r="51238" spans="6:6" x14ac:dyDescent="0.3">
      <c r="F51238" s="193"/>
    </row>
    <row r="51239" spans="6:6" x14ac:dyDescent="0.3">
      <c r="F51239" s="193"/>
    </row>
    <row r="51240" spans="6:6" x14ac:dyDescent="0.3">
      <c r="F51240" s="193"/>
    </row>
    <row r="51241" spans="6:6" x14ac:dyDescent="0.3">
      <c r="F51241" s="193"/>
    </row>
    <row r="51242" spans="6:6" x14ac:dyDescent="0.3">
      <c r="F51242" s="193"/>
    </row>
    <row r="51243" spans="6:6" x14ac:dyDescent="0.3">
      <c r="F51243" s="193"/>
    </row>
    <row r="51244" spans="6:6" x14ac:dyDescent="0.3">
      <c r="F51244" s="193"/>
    </row>
    <row r="51245" spans="6:6" x14ac:dyDescent="0.3">
      <c r="F51245" s="193"/>
    </row>
    <row r="51246" spans="6:6" x14ac:dyDescent="0.3">
      <c r="F51246" s="193"/>
    </row>
    <row r="51247" spans="6:6" x14ac:dyDescent="0.3">
      <c r="F51247" s="193"/>
    </row>
    <row r="51248" spans="6:6" x14ac:dyDescent="0.3">
      <c r="F51248" s="193"/>
    </row>
    <row r="51249" spans="6:6" x14ac:dyDescent="0.3">
      <c r="F51249" s="193"/>
    </row>
    <row r="51250" spans="6:6" x14ac:dyDescent="0.3">
      <c r="F51250" s="193"/>
    </row>
    <row r="51251" spans="6:6" x14ac:dyDescent="0.3">
      <c r="F51251" s="193"/>
    </row>
    <row r="51252" spans="6:6" x14ac:dyDescent="0.3">
      <c r="F51252" s="193"/>
    </row>
    <row r="51253" spans="6:6" x14ac:dyDescent="0.3">
      <c r="F51253" s="193"/>
    </row>
    <row r="51254" spans="6:6" x14ac:dyDescent="0.3">
      <c r="F51254" s="193"/>
    </row>
    <row r="51255" spans="6:6" x14ac:dyDescent="0.3">
      <c r="F51255" s="193"/>
    </row>
    <row r="51256" spans="6:6" x14ac:dyDescent="0.3">
      <c r="F51256" s="193"/>
    </row>
    <row r="51257" spans="6:6" x14ac:dyDescent="0.3">
      <c r="F51257" s="193"/>
    </row>
    <row r="51258" spans="6:6" x14ac:dyDescent="0.3">
      <c r="F51258" s="193"/>
    </row>
    <row r="51259" spans="6:6" x14ac:dyDescent="0.3">
      <c r="F51259" s="193"/>
    </row>
    <row r="51260" spans="6:6" x14ac:dyDescent="0.3">
      <c r="F51260" s="193"/>
    </row>
    <row r="51261" spans="6:6" x14ac:dyDescent="0.3">
      <c r="F51261" s="193"/>
    </row>
    <row r="51262" spans="6:6" x14ac:dyDescent="0.3">
      <c r="F51262" s="193"/>
    </row>
    <row r="51263" spans="6:6" x14ac:dyDescent="0.3">
      <c r="F51263" s="193"/>
    </row>
    <row r="51264" spans="6:6" x14ac:dyDescent="0.3">
      <c r="F51264" s="193"/>
    </row>
    <row r="51265" spans="6:6" x14ac:dyDescent="0.3">
      <c r="F51265" s="193"/>
    </row>
    <row r="51266" spans="6:6" x14ac:dyDescent="0.3">
      <c r="F51266" s="193"/>
    </row>
    <row r="51267" spans="6:6" x14ac:dyDescent="0.3">
      <c r="F51267" s="193"/>
    </row>
    <row r="51268" spans="6:6" x14ac:dyDescent="0.3">
      <c r="F51268" s="193"/>
    </row>
    <row r="51269" spans="6:6" x14ac:dyDescent="0.3">
      <c r="F51269" s="193"/>
    </row>
    <row r="51270" spans="6:6" x14ac:dyDescent="0.3">
      <c r="F51270" s="193"/>
    </row>
    <row r="51271" spans="6:6" x14ac:dyDescent="0.3">
      <c r="F51271" s="193"/>
    </row>
    <row r="51272" spans="6:6" x14ac:dyDescent="0.3">
      <c r="F51272" s="193"/>
    </row>
    <row r="51273" spans="6:6" x14ac:dyDescent="0.3">
      <c r="F51273" s="193"/>
    </row>
    <row r="51274" spans="6:6" x14ac:dyDescent="0.3">
      <c r="F51274" s="193"/>
    </row>
    <row r="51275" spans="6:6" x14ac:dyDescent="0.3">
      <c r="F51275" s="193"/>
    </row>
    <row r="51276" spans="6:6" x14ac:dyDescent="0.3">
      <c r="F51276" s="193"/>
    </row>
    <row r="51277" spans="6:6" x14ac:dyDescent="0.3">
      <c r="F51277" s="193"/>
    </row>
    <row r="51278" spans="6:6" x14ac:dyDescent="0.3">
      <c r="F51278" s="193"/>
    </row>
    <row r="51279" spans="6:6" x14ac:dyDescent="0.3">
      <c r="F51279" s="193"/>
    </row>
    <row r="51280" spans="6:6" x14ac:dyDescent="0.3">
      <c r="F51280" s="193"/>
    </row>
    <row r="51281" spans="6:6" x14ac:dyDescent="0.3">
      <c r="F51281" s="193"/>
    </row>
    <row r="51282" spans="6:6" x14ac:dyDescent="0.3">
      <c r="F51282" s="193"/>
    </row>
    <row r="51283" spans="6:6" x14ac:dyDescent="0.3">
      <c r="F51283" s="193"/>
    </row>
    <row r="51284" spans="6:6" x14ac:dyDescent="0.3">
      <c r="F51284" s="193"/>
    </row>
    <row r="51285" spans="6:6" x14ac:dyDescent="0.3">
      <c r="F51285" s="193"/>
    </row>
    <row r="51286" spans="6:6" x14ac:dyDescent="0.3">
      <c r="F51286" s="193"/>
    </row>
    <row r="51287" spans="6:6" x14ac:dyDescent="0.3">
      <c r="F51287" s="193"/>
    </row>
    <row r="51288" spans="6:6" x14ac:dyDescent="0.3">
      <c r="F51288" s="193"/>
    </row>
    <row r="51289" spans="6:6" x14ac:dyDescent="0.3">
      <c r="F51289" s="193"/>
    </row>
    <row r="51290" spans="6:6" x14ac:dyDescent="0.3">
      <c r="F51290" s="193"/>
    </row>
    <row r="51291" spans="6:6" x14ac:dyDescent="0.3">
      <c r="F51291" s="193"/>
    </row>
    <row r="51292" spans="6:6" x14ac:dyDescent="0.3">
      <c r="F51292" s="193"/>
    </row>
    <row r="51293" spans="6:6" x14ac:dyDescent="0.3">
      <c r="F51293" s="193"/>
    </row>
    <row r="51294" spans="6:6" x14ac:dyDescent="0.3">
      <c r="F51294" s="193"/>
    </row>
    <row r="51295" spans="6:6" x14ac:dyDescent="0.3">
      <c r="F51295" s="193"/>
    </row>
    <row r="51296" spans="6:6" x14ac:dyDescent="0.3">
      <c r="F51296" s="193"/>
    </row>
    <row r="51297" spans="6:6" x14ac:dyDescent="0.3">
      <c r="F51297" s="193"/>
    </row>
    <row r="51298" spans="6:6" x14ac:dyDescent="0.3">
      <c r="F51298" s="193"/>
    </row>
    <row r="51299" spans="6:6" x14ac:dyDescent="0.3">
      <c r="F51299" s="193"/>
    </row>
    <row r="51300" spans="6:6" x14ac:dyDescent="0.3">
      <c r="F51300" s="193"/>
    </row>
    <row r="51301" spans="6:6" x14ac:dyDescent="0.3">
      <c r="F51301" s="193"/>
    </row>
    <row r="51302" spans="6:6" x14ac:dyDescent="0.3">
      <c r="F51302" s="193"/>
    </row>
    <row r="51303" spans="6:6" x14ac:dyDescent="0.3">
      <c r="F51303" s="193"/>
    </row>
    <row r="51304" spans="6:6" x14ac:dyDescent="0.3">
      <c r="F51304" s="193"/>
    </row>
    <row r="51305" spans="6:6" x14ac:dyDescent="0.3">
      <c r="F51305" s="193"/>
    </row>
    <row r="51306" spans="6:6" x14ac:dyDescent="0.3">
      <c r="F51306" s="193"/>
    </row>
    <row r="51307" spans="6:6" x14ac:dyDescent="0.3">
      <c r="F51307" s="193"/>
    </row>
    <row r="51308" spans="6:6" x14ac:dyDescent="0.3">
      <c r="F51308" s="193"/>
    </row>
    <row r="51309" spans="6:6" x14ac:dyDescent="0.3">
      <c r="F51309" s="193"/>
    </row>
    <row r="51310" spans="6:6" x14ac:dyDescent="0.3">
      <c r="F51310" s="193"/>
    </row>
    <row r="51311" spans="6:6" x14ac:dyDescent="0.3">
      <c r="F51311" s="193"/>
    </row>
    <row r="51312" spans="6:6" x14ac:dyDescent="0.3">
      <c r="F51312" s="193"/>
    </row>
    <row r="51313" spans="6:6" x14ac:dyDescent="0.3">
      <c r="F51313" s="193"/>
    </row>
    <row r="51314" spans="6:6" x14ac:dyDescent="0.3">
      <c r="F51314" s="193"/>
    </row>
    <row r="51315" spans="6:6" x14ac:dyDescent="0.3">
      <c r="F51315" s="193"/>
    </row>
    <row r="51316" spans="6:6" x14ac:dyDescent="0.3">
      <c r="F51316" s="193"/>
    </row>
    <row r="51317" spans="6:6" x14ac:dyDescent="0.3">
      <c r="F51317" s="193"/>
    </row>
    <row r="51318" spans="6:6" x14ac:dyDescent="0.3">
      <c r="F51318" s="193"/>
    </row>
    <row r="51319" spans="6:6" x14ac:dyDescent="0.3">
      <c r="F51319" s="193"/>
    </row>
    <row r="51320" spans="6:6" x14ac:dyDescent="0.3">
      <c r="F51320" s="193"/>
    </row>
    <row r="51321" spans="6:6" x14ac:dyDescent="0.3">
      <c r="F51321" s="193"/>
    </row>
    <row r="51322" spans="6:6" x14ac:dyDescent="0.3">
      <c r="F51322" s="193"/>
    </row>
    <row r="51323" spans="6:6" x14ac:dyDescent="0.3">
      <c r="F51323" s="193"/>
    </row>
    <row r="51324" spans="6:6" x14ac:dyDescent="0.3">
      <c r="F51324" s="193"/>
    </row>
    <row r="51325" spans="6:6" x14ac:dyDescent="0.3">
      <c r="F51325" s="193"/>
    </row>
    <row r="51326" spans="6:6" x14ac:dyDescent="0.3">
      <c r="F51326" s="193"/>
    </row>
    <row r="51327" spans="6:6" x14ac:dyDescent="0.3">
      <c r="F51327" s="193"/>
    </row>
    <row r="51328" spans="6:6" x14ac:dyDescent="0.3">
      <c r="F51328" s="193"/>
    </row>
    <row r="51329" spans="6:6" x14ac:dyDescent="0.3">
      <c r="F51329" s="193"/>
    </row>
    <row r="51330" spans="6:6" x14ac:dyDescent="0.3">
      <c r="F51330" s="193"/>
    </row>
    <row r="51331" spans="6:6" x14ac:dyDescent="0.3">
      <c r="F51331" s="193"/>
    </row>
    <row r="51332" spans="6:6" x14ac:dyDescent="0.3">
      <c r="F51332" s="193"/>
    </row>
    <row r="51333" spans="6:6" x14ac:dyDescent="0.3">
      <c r="F51333" s="193"/>
    </row>
    <row r="51334" spans="6:6" x14ac:dyDescent="0.3">
      <c r="F51334" s="193"/>
    </row>
    <row r="51335" spans="6:6" x14ac:dyDescent="0.3">
      <c r="F51335" s="193"/>
    </row>
    <row r="51336" spans="6:6" x14ac:dyDescent="0.3">
      <c r="F51336" s="193"/>
    </row>
    <row r="51337" spans="6:6" x14ac:dyDescent="0.3">
      <c r="F51337" s="193"/>
    </row>
    <row r="51338" spans="6:6" x14ac:dyDescent="0.3">
      <c r="F51338" s="193"/>
    </row>
    <row r="51339" spans="6:6" x14ac:dyDescent="0.3">
      <c r="F51339" s="193"/>
    </row>
    <row r="51340" spans="6:6" x14ac:dyDescent="0.3">
      <c r="F51340" s="193"/>
    </row>
    <row r="51341" spans="6:6" x14ac:dyDescent="0.3">
      <c r="F51341" s="193"/>
    </row>
    <row r="51342" spans="6:6" x14ac:dyDescent="0.3">
      <c r="F51342" s="193"/>
    </row>
    <row r="51343" spans="6:6" x14ac:dyDescent="0.3">
      <c r="F51343" s="193"/>
    </row>
    <row r="51344" spans="6:6" x14ac:dyDescent="0.3">
      <c r="F51344" s="193"/>
    </row>
    <row r="51345" spans="6:6" x14ac:dyDescent="0.3">
      <c r="F51345" s="193"/>
    </row>
    <row r="51346" spans="6:6" x14ac:dyDescent="0.3">
      <c r="F51346" s="193"/>
    </row>
    <row r="51347" spans="6:6" x14ac:dyDescent="0.3">
      <c r="F51347" s="193"/>
    </row>
    <row r="51348" spans="6:6" x14ac:dyDescent="0.3">
      <c r="F51348" s="193"/>
    </row>
    <row r="51349" spans="6:6" x14ac:dyDescent="0.3">
      <c r="F51349" s="193"/>
    </row>
    <row r="51350" spans="6:6" x14ac:dyDescent="0.3">
      <c r="F51350" s="193"/>
    </row>
    <row r="51351" spans="6:6" x14ac:dyDescent="0.3">
      <c r="F51351" s="193"/>
    </row>
    <row r="51352" spans="6:6" x14ac:dyDescent="0.3">
      <c r="F51352" s="193"/>
    </row>
    <row r="51353" spans="6:6" x14ac:dyDescent="0.3">
      <c r="F51353" s="193"/>
    </row>
    <row r="51354" spans="6:6" x14ac:dyDescent="0.3">
      <c r="F51354" s="193"/>
    </row>
    <row r="51355" spans="6:6" x14ac:dyDescent="0.3">
      <c r="F51355" s="193"/>
    </row>
    <row r="51356" spans="6:6" x14ac:dyDescent="0.3">
      <c r="F51356" s="193"/>
    </row>
    <row r="51357" spans="6:6" x14ac:dyDescent="0.3">
      <c r="F51357" s="193"/>
    </row>
    <row r="51358" spans="6:6" x14ac:dyDescent="0.3">
      <c r="F51358" s="193"/>
    </row>
    <row r="51359" spans="6:6" x14ac:dyDescent="0.3">
      <c r="F51359" s="193"/>
    </row>
    <row r="51360" spans="6:6" x14ac:dyDescent="0.3">
      <c r="F51360" s="193"/>
    </row>
    <row r="51361" spans="6:6" x14ac:dyDescent="0.3">
      <c r="F51361" s="193"/>
    </row>
    <row r="51362" spans="6:6" x14ac:dyDescent="0.3">
      <c r="F51362" s="193"/>
    </row>
    <row r="51363" spans="6:6" x14ac:dyDescent="0.3">
      <c r="F51363" s="193"/>
    </row>
    <row r="51364" spans="6:6" x14ac:dyDescent="0.3">
      <c r="F51364" s="193"/>
    </row>
    <row r="51365" spans="6:6" x14ac:dyDescent="0.3">
      <c r="F51365" s="193"/>
    </row>
    <row r="51366" spans="6:6" x14ac:dyDescent="0.3">
      <c r="F51366" s="193"/>
    </row>
    <row r="51367" spans="6:6" x14ac:dyDescent="0.3">
      <c r="F51367" s="193"/>
    </row>
    <row r="51368" spans="6:6" x14ac:dyDescent="0.3">
      <c r="F51368" s="193"/>
    </row>
    <row r="51369" spans="6:6" x14ac:dyDescent="0.3">
      <c r="F51369" s="193"/>
    </row>
    <row r="51370" spans="6:6" x14ac:dyDescent="0.3">
      <c r="F51370" s="193"/>
    </row>
    <row r="51371" spans="6:6" x14ac:dyDescent="0.3">
      <c r="F51371" s="193"/>
    </row>
    <row r="51372" spans="6:6" x14ac:dyDescent="0.3">
      <c r="F51372" s="193"/>
    </row>
    <row r="51373" spans="6:6" x14ac:dyDescent="0.3">
      <c r="F51373" s="193"/>
    </row>
    <row r="51374" spans="6:6" x14ac:dyDescent="0.3">
      <c r="F51374" s="193"/>
    </row>
    <row r="51375" spans="6:6" x14ac:dyDescent="0.3">
      <c r="F51375" s="193"/>
    </row>
    <row r="51376" spans="6:6" x14ac:dyDescent="0.3">
      <c r="F51376" s="193"/>
    </row>
    <row r="51377" spans="6:6" x14ac:dyDescent="0.3">
      <c r="F51377" s="193"/>
    </row>
    <row r="51378" spans="6:6" x14ac:dyDescent="0.3">
      <c r="F51378" s="193"/>
    </row>
    <row r="51379" spans="6:6" x14ac:dyDescent="0.3">
      <c r="F51379" s="193"/>
    </row>
    <row r="51380" spans="6:6" x14ac:dyDescent="0.3">
      <c r="F51380" s="193"/>
    </row>
    <row r="51381" spans="6:6" x14ac:dyDescent="0.3">
      <c r="F51381" s="193"/>
    </row>
    <row r="51382" spans="6:6" x14ac:dyDescent="0.3">
      <c r="F51382" s="193"/>
    </row>
    <row r="51383" spans="6:6" x14ac:dyDescent="0.3">
      <c r="F51383" s="193"/>
    </row>
    <row r="51384" spans="6:6" x14ac:dyDescent="0.3">
      <c r="F51384" s="193"/>
    </row>
    <row r="51385" spans="6:6" x14ac:dyDescent="0.3">
      <c r="F51385" s="193"/>
    </row>
    <row r="51386" spans="6:6" x14ac:dyDescent="0.3">
      <c r="F51386" s="193"/>
    </row>
    <row r="51387" spans="6:6" x14ac:dyDescent="0.3">
      <c r="F51387" s="193"/>
    </row>
    <row r="51388" spans="6:6" x14ac:dyDescent="0.3">
      <c r="F51388" s="193"/>
    </row>
    <row r="51389" spans="6:6" x14ac:dyDescent="0.3">
      <c r="F51389" s="193"/>
    </row>
    <row r="51390" spans="6:6" x14ac:dyDescent="0.3">
      <c r="F51390" s="193"/>
    </row>
    <row r="51391" spans="6:6" x14ac:dyDescent="0.3">
      <c r="F51391" s="193"/>
    </row>
    <row r="51392" spans="6:6" x14ac:dyDescent="0.3">
      <c r="F51392" s="193"/>
    </row>
    <row r="51393" spans="6:6" x14ac:dyDescent="0.3">
      <c r="F51393" s="193"/>
    </row>
    <row r="51394" spans="6:6" x14ac:dyDescent="0.3">
      <c r="F51394" s="193"/>
    </row>
    <row r="51395" spans="6:6" x14ac:dyDescent="0.3">
      <c r="F51395" s="193"/>
    </row>
    <row r="51396" spans="6:6" x14ac:dyDescent="0.3">
      <c r="F51396" s="193"/>
    </row>
    <row r="51397" spans="6:6" x14ac:dyDescent="0.3">
      <c r="F51397" s="193"/>
    </row>
    <row r="51398" spans="6:6" x14ac:dyDescent="0.3">
      <c r="F51398" s="193"/>
    </row>
    <row r="51399" spans="6:6" x14ac:dyDescent="0.3">
      <c r="F51399" s="193"/>
    </row>
    <row r="51400" spans="6:6" x14ac:dyDescent="0.3">
      <c r="F51400" s="193"/>
    </row>
    <row r="51401" spans="6:6" x14ac:dyDescent="0.3">
      <c r="F51401" s="193"/>
    </row>
    <row r="51402" spans="6:6" x14ac:dyDescent="0.3">
      <c r="F51402" s="193"/>
    </row>
    <row r="51403" spans="6:6" x14ac:dyDescent="0.3">
      <c r="F51403" s="193"/>
    </row>
    <row r="51404" spans="6:6" x14ac:dyDescent="0.3">
      <c r="F51404" s="193"/>
    </row>
    <row r="51405" spans="6:6" x14ac:dyDescent="0.3">
      <c r="F51405" s="193"/>
    </row>
    <row r="51406" spans="6:6" x14ac:dyDescent="0.3">
      <c r="F51406" s="193"/>
    </row>
    <row r="51407" spans="6:6" x14ac:dyDescent="0.3">
      <c r="F51407" s="193"/>
    </row>
    <row r="51408" spans="6:6" x14ac:dyDescent="0.3">
      <c r="F51408" s="193"/>
    </row>
    <row r="51409" spans="6:6" x14ac:dyDescent="0.3">
      <c r="F51409" s="193"/>
    </row>
    <row r="51410" spans="6:6" x14ac:dyDescent="0.3">
      <c r="F51410" s="193"/>
    </row>
    <row r="51411" spans="6:6" x14ac:dyDescent="0.3">
      <c r="F51411" s="193"/>
    </row>
    <row r="51412" spans="6:6" x14ac:dyDescent="0.3">
      <c r="F51412" s="193"/>
    </row>
    <row r="51413" spans="6:6" x14ac:dyDescent="0.3">
      <c r="F51413" s="193"/>
    </row>
    <row r="51414" spans="6:6" x14ac:dyDescent="0.3">
      <c r="F51414" s="193"/>
    </row>
    <row r="51415" spans="6:6" x14ac:dyDescent="0.3">
      <c r="F51415" s="193"/>
    </row>
    <row r="51416" spans="6:6" x14ac:dyDescent="0.3">
      <c r="F51416" s="193"/>
    </row>
    <row r="51417" spans="6:6" x14ac:dyDescent="0.3">
      <c r="F51417" s="193"/>
    </row>
    <row r="51418" spans="6:6" x14ac:dyDescent="0.3">
      <c r="F51418" s="193"/>
    </row>
    <row r="51419" spans="6:6" x14ac:dyDescent="0.3">
      <c r="F51419" s="193"/>
    </row>
    <row r="51420" spans="6:6" x14ac:dyDescent="0.3">
      <c r="F51420" s="193"/>
    </row>
    <row r="51421" spans="6:6" x14ac:dyDescent="0.3">
      <c r="F51421" s="193"/>
    </row>
    <row r="51422" spans="6:6" x14ac:dyDescent="0.3">
      <c r="F51422" s="193"/>
    </row>
    <row r="51423" spans="6:6" x14ac:dyDescent="0.3">
      <c r="F51423" s="193"/>
    </row>
    <row r="51424" spans="6:6" x14ac:dyDescent="0.3">
      <c r="F51424" s="193"/>
    </row>
    <row r="51425" spans="6:6" x14ac:dyDescent="0.3">
      <c r="F51425" s="193"/>
    </row>
    <row r="51426" spans="6:6" x14ac:dyDescent="0.3">
      <c r="F51426" s="193"/>
    </row>
    <row r="51427" spans="6:6" x14ac:dyDescent="0.3">
      <c r="F51427" s="193"/>
    </row>
    <row r="51428" spans="6:6" x14ac:dyDescent="0.3">
      <c r="F51428" s="193"/>
    </row>
    <row r="51429" spans="6:6" x14ac:dyDescent="0.3">
      <c r="F51429" s="193"/>
    </row>
    <row r="51430" spans="6:6" x14ac:dyDescent="0.3">
      <c r="F51430" s="193"/>
    </row>
    <row r="51431" spans="6:6" x14ac:dyDescent="0.3">
      <c r="F51431" s="193"/>
    </row>
    <row r="51432" spans="6:6" x14ac:dyDescent="0.3">
      <c r="F51432" s="193"/>
    </row>
    <row r="51433" spans="6:6" x14ac:dyDescent="0.3">
      <c r="F51433" s="193"/>
    </row>
    <row r="51434" spans="6:6" x14ac:dyDescent="0.3">
      <c r="F51434" s="193"/>
    </row>
    <row r="51435" spans="6:6" x14ac:dyDescent="0.3">
      <c r="F51435" s="193"/>
    </row>
    <row r="51436" spans="6:6" x14ac:dyDescent="0.3">
      <c r="F51436" s="193"/>
    </row>
    <row r="51437" spans="6:6" x14ac:dyDescent="0.3">
      <c r="F51437" s="193"/>
    </row>
    <row r="51438" spans="6:6" x14ac:dyDescent="0.3">
      <c r="F51438" s="193"/>
    </row>
    <row r="51439" spans="6:6" x14ac:dyDescent="0.3">
      <c r="F51439" s="193"/>
    </row>
    <row r="51440" spans="6:6" x14ac:dyDescent="0.3">
      <c r="F51440" s="193"/>
    </row>
    <row r="51441" spans="6:6" x14ac:dyDescent="0.3">
      <c r="F51441" s="193"/>
    </row>
    <row r="51442" spans="6:6" x14ac:dyDescent="0.3">
      <c r="F51442" s="193"/>
    </row>
    <row r="51443" spans="6:6" x14ac:dyDescent="0.3">
      <c r="F51443" s="193"/>
    </row>
    <row r="51444" spans="6:6" x14ac:dyDescent="0.3">
      <c r="F51444" s="193"/>
    </row>
    <row r="51445" spans="6:6" x14ac:dyDescent="0.3">
      <c r="F51445" s="193"/>
    </row>
    <row r="51446" spans="6:6" x14ac:dyDescent="0.3">
      <c r="F51446" s="193"/>
    </row>
    <row r="51447" spans="6:6" x14ac:dyDescent="0.3">
      <c r="F51447" s="193"/>
    </row>
    <row r="51448" spans="6:6" x14ac:dyDescent="0.3">
      <c r="F51448" s="193"/>
    </row>
    <row r="51449" spans="6:6" x14ac:dyDescent="0.3">
      <c r="F51449" s="193"/>
    </row>
    <row r="51450" spans="6:6" x14ac:dyDescent="0.3">
      <c r="F51450" s="193"/>
    </row>
    <row r="51451" spans="6:6" x14ac:dyDescent="0.3">
      <c r="F51451" s="193"/>
    </row>
    <row r="51452" spans="6:6" x14ac:dyDescent="0.3">
      <c r="F51452" s="193"/>
    </row>
    <row r="51453" spans="6:6" x14ac:dyDescent="0.3">
      <c r="F51453" s="193"/>
    </row>
    <row r="51454" spans="6:6" x14ac:dyDescent="0.3">
      <c r="F51454" s="193"/>
    </row>
    <row r="51455" spans="6:6" x14ac:dyDescent="0.3">
      <c r="F51455" s="193"/>
    </row>
    <row r="51456" spans="6:6" x14ac:dyDescent="0.3">
      <c r="F51456" s="193"/>
    </row>
    <row r="51457" spans="6:6" x14ac:dyDescent="0.3">
      <c r="F51457" s="193"/>
    </row>
    <row r="51458" spans="6:6" x14ac:dyDescent="0.3">
      <c r="F51458" s="193"/>
    </row>
    <row r="51459" spans="6:6" x14ac:dyDescent="0.3">
      <c r="F51459" s="193"/>
    </row>
    <row r="51460" spans="6:6" x14ac:dyDescent="0.3">
      <c r="F51460" s="193"/>
    </row>
    <row r="51461" spans="6:6" x14ac:dyDescent="0.3">
      <c r="F51461" s="193"/>
    </row>
    <row r="51462" spans="6:6" x14ac:dyDescent="0.3">
      <c r="F51462" s="193"/>
    </row>
    <row r="51463" spans="6:6" x14ac:dyDescent="0.3">
      <c r="F51463" s="193"/>
    </row>
    <row r="51464" spans="6:6" x14ac:dyDescent="0.3">
      <c r="F51464" s="193"/>
    </row>
    <row r="51465" spans="6:6" x14ac:dyDescent="0.3">
      <c r="F51465" s="193"/>
    </row>
    <row r="51466" spans="6:6" x14ac:dyDescent="0.3">
      <c r="F51466" s="193"/>
    </row>
    <row r="51467" spans="6:6" x14ac:dyDescent="0.3">
      <c r="F51467" s="193"/>
    </row>
    <row r="51468" spans="6:6" x14ac:dyDescent="0.3">
      <c r="F51468" s="193"/>
    </row>
    <row r="51469" spans="6:6" x14ac:dyDescent="0.3">
      <c r="F51469" s="193"/>
    </row>
    <row r="51470" spans="6:6" x14ac:dyDescent="0.3">
      <c r="F51470" s="193"/>
    </row>
    <row r="51471" spans="6:6" x14ac:dyDescent="0.3">
      <c r="F51471" s="193"/>
    </row>
    <row r="51472" spans="6:6" x14ac:dyDescent="0.3">
      <c r="F51472" s="193"/>
    </row>
    <row r="51473" spans="6:6" x14ac:dyDescent="0.3">
      <c r="F51473" s="193"/>
    </row>
    <row r="51474" spans="6:6" x14ac:dyDescent="0.3">
      <c r="F51474" s="193"/>
    </row>
    <row r="51475" spans="6:6" x14ac:dyDescent="0.3">
      <c r="F51475" s="193"/>
    </row>
    <row r="51476" spans="6:6" x14ac:dyDescent="0.3">
      <c r="F51476" s="193"/>
    </row>
    <row r="51477" spans="6:6" x14ac:dyDescent="0.3">
      <c r="F51477" s="193"/>
    </row>
    <row r="51478" spans="6:6" x14ac:dyDescent="0.3">
      <c r="F51478" s="193"/>
    </row>
    <row r="51479" spans="6:6" x14ac:dyDescent="0.3">
      <c r="F51479" s="193"/>
    </row>
    <row r="51480" spans="6:6" x14ac:dyDescent="0.3">
      <c r="F51480" s="193"/>
    </row>
    <row r="51481" spans="6:6" x14ac:dyDescent="0.3">
      <c r="F51481" s="193"/>
    </row>
    <row r="51482" spans="6:6" x14ac:dyDescent="0.3">
      <c r="F51482" s="193"/>
    </row>
    <row r="51483" spans="6:6" x14ac:dyDescent="0.3">
      <c r="F51483" s="193"/>
    </row>
    <row r="51484" spans="6:6" x14ac:dyDescent="0.3">
      <c r="F51484" s="193"/>
    </row>
    <row r="51485" spans="6:6" x14ac:dyDescent="0.3">
      <c r="F51485" s="193"/>
    </row>
    <row r="51486" spans="6:6" x14ac:dyDescent="0.3">
      <c r="F51486" s="193"/>
    </row>
    <row r="51487" spans="6:6" x14ac:dyDescent="0.3">
      <c r="F51487" s="193"/>
    </row>
    <row r="51488" spans="6:6" x14ac:dyDescent="0.3">
      <c r="F51488" s="193"/>
    </row>
    <row r="51489" spans="6:6" x14ac:dyDescent="0.3">
      <c r="F51489" s="193"/>
    </row>
    <row r="51490" spans="6:6" x14ac:dyDescent="0.3">
      <c r="F51490" s="193"/>
    </row>
    <row r="51491" spans="6:6" x14ac:dyDescent="0.3">
      <c r="F51491" s="193"/>
    </row>
    <row r="51492" spans="6:6" x14ac:dyDescent="0.3">
      <c r="F51492" s="193"/>
    </row>
    <row r="51493" spans="6:6" x14ac:dyDescent="0.3">
      <c r="F51493" s="193"/>
    </row>
    <row r="51494" spans="6:6" x14ac:dyDescent="0.3">
      <c r="F51494" s="193"/>
    </row>
    <row r="51495" spans="6:6" x14ac:dyDescent="0.3">
      <c r="F51495" s="193"/>
    </row>
    <row r="51496" spans="6:6" x14ac:dyDescent="0.3">
      <c r="F51496" s="193"/>
    </row>
    <row r="51497" spans="6:6" x14ac:dyDescent="0.3">
      <c r="F51497" s="193"/>
    </row>
    <row r="51498" spans="6:6" x14ac:dyDescent="0.3">
      <c r="F51498" s="193"/>
    </row>
    <row r="51499" spans="6:6" x14ac:dyDescent="0.3">
      <c r="F51499" s="193"/>
    </row>
    <row r="51500" spans="6:6" x14ac:dyDescent="0.3">
      <c r="F51500" s="193"/>
    </row>
    <row r="51501" spans="6:6" x14ac:dyDescent="0.3">
      <c r="F51501" s="193"/>
    </row>
    <row r="51502" spans="6:6" x14ac:dyDescent="0.3">
      <c r="F51502" s="193"/>
    </row>
    <row r="51503" spans="6:6" x14ac:dyDescent="0.3">
      <c r="F51503" s="193"/>
    </row>
    <row r="51504" spans="6:6" x14ac:dyDescent="0.3">
      <c r="F51504" s="193"/>
    </row>
    <row r="51505" spans="6:6" x14ac:dyDescent="0.3">
      <c r="F51505" s="193"/>
    </row>
    <row r="51506" spans="6:6" x14ac:dyDescent="0.3">
      <c r="F51506" s="193"/>
    </row>
    <row r="51507" spans="6:6" x14ac:dyDescent="0.3">
      <c r="F51507" s="193"/>
    </row>
    <row r="51508" spans="6:6" x14ac:dyDescent="0.3">
      <c r="F51508" s="193"/>
    </row>
    <row r="51509" spans="6:6" x14ac:dyDescent="0.3">
      <c r="F51509" s="193"/>
    </row>
    <row r="51510" spans="6:6" x14ac:dyDescent="0.3">
      <c r="F51510" s="193"/>
    </row>
    <row r="51511" spans="6:6" x14ac:dyDescent="0.3">
      <c r="F51511" s="193"/>
    </row>
    <row r="51512" spans="6:6" x14ac:dyDescent="0.3">
      <c r="F51512" s="193"/>
    </row>
    <row r="51513" spans="6:6" x14ac:dyDescent="0.3">
      <c r="F51513" s="193"/>
    </row>
    <row r="51514" spans="6:6" x14ac:dyDescent="0.3">
      <c r="F51514" s="193"/>
    </row>
    <row r="51515" spans="6:6" x14ac:dyDescent="0.3">
      <c r="F51515" s="193"/>
    </row>
    <row r="51516" spans="6:6" x14ac:dyDescent="0.3">
      <c r="F51516" s="193"/>
    </row>
    <row r="51517" spans="6:6" x14ac:dyDescent="0.3">
      <c r="F51517" s="193"/>
    </row>
    <row r="51518" spans="6:6" x14ac:dyDescent="0.3">
      <c r="F51518" s="193"/>
    </row>
    <row r="51519" spans="6:6" x14ac:dyDescent="0.3">
      <c r="F51519" s="193"/>
    </row>
    <row r="51520" spans="6:6" x14ac:dyDescent="0.3">
      <c r="F51520" s="193"/>
    </row>
    <row r="51521" spans="6:6" x14ac:dyDescent="0.3">
      <c r="F51521" s="193"/>
    </row>
    <row r="51522" spans="6:6" x14ac:dyDescent="0.3">
      <c r="F51522" s="193"/>
    </row>
    <row r="51523" spans="6:6" x14ac:dyDescent="0.3">
      <c r="F51523" s="193"/>
    </row>
    <row r="51524" spans="6:6" x14ac:dyDescent="0.3">
      <c r="F51524" s="193"/>
    </row>
    <row r="51525" spans="6:6" x14ac:dyDescent="0.3">
      <c r="F51525" s="193"/>
    </row>
    <row r="51526" spans="6:6" x14ac:dyDescent="0.3">
      <c r="F51526" s="193"/>
    </row>
    <row r="51527" spans="6:6" x14ac:dyDescent="0.3">
      <c r="F51527" s="193"/>
    </row>
    <row r="51528" spans="6:6" x14ac:dyDescent="0.3">
      <c r="F51528" s="193"/>
    </row>
    <row r="51529" spans="6:6" x14ac:dyDescent="0.3">
      <c r="F51529" s="193"/>
    </row>
    <row r="51530" spans="6:6" x14ac:dyDescent="0.3">
      <c r="F51530" s="193"/>
    </row>
    <row r="51531" spans="6:6" x14ac:dyDescent="0.3">
      <c r="F51531" s="193"/>
    </row>
    <row r="51532" spans="6:6" x14ac:dyDescent="0.3">
      <c r="F51532" s="193"/>
    </row>
    <row r="51533" spans="6:6" x14ac:dyDescent="0.3">
      <c r="F51533" s="193"/>
    </row>
    <row r="51534" spans="6:6" x14ac:dyDescent="0.3">
      <c r="F51534" s="193"/>
    </row>
    <row r="51535" spans="6:6" x14ac:dyDescent="0.3">
      <c r="F51535" s="193"/>
    </row>
    <row r="51536" spans="6:6" x14ac:dyDescent="0.3">
      <c r="F51536" s="193"/>
    </row>
    <row r="51537" spans="6:6" x14ac:dyDescent="0.3">
      <c r="F51537" s="193"/>
    </row>
    <row r="51538" spans="6:6" x14ac:dyDescent="0.3">
      <c r="F51538" s="193"/>
    </row>
    <row r="51539" spans="6:6" x14ac:dyDescent="0.3">
      <c r="F51539" s="193"/>
    </row>
    <row r="51540" spans="6:6" x14ac:dyDescent="0.3">
      <c r="F51540" s="193"/>
    </row>
    <row r="51541" spans="6:6" x14ac:dyDescent="0.3">
      <c r="F51541" s="193"/>
    </row>
    <row r="51542" spans="6:6" x14ac:dyDescent="0.3">
      <c r="F51542" s="193"/>
    </row>
    <row r="51543" spans="6:6" x14ac:dyDescent="0.3">
      <c r="F51543" s="193"/>
    </row>
    <row r="51544" spans="6:6" x14ac:dyDescent="0.3">
      <c r="F51544" s="193"/>
    </row>
    <row r="51545" spans="6:6" x14ac:dyDescent="0.3">
      <c r="F51545" s="193"/>
    </row>
    <row r="51546" spans="6:6" x14ac:dyDescent="0.3">
      <c r="F51546" s="193"/>
    </row>
    <row r="51547" spans="6:6" x14ac:dyDescent="0.3">
      <c r="F51547" s="193"/>
    </row>
    <row r="51548" spans="6:6" x14ac:dyDescent="0.3">
      <c r="F51548" s="193"/>
    </row>
    <row r="51549" spans="6:6" x14ac:dyDescent="0.3">
      <c r="F51549" s="193"/>
    </row>
    <row r="51550" spans="6:6" x14ac:dyDescent="0.3">
      <c r="F51550" s="193"/>
    </row>
    <row r="51551" spans="6:6" x14ac:dyDescent="0.3">
      <c r="F51551" s="193"/>
    </row>
    <row r="51552" spans="6:6" x14ac:dyDescent="0.3">
      <c r="F51552" s="193"/>
    </row>
    <row r="51553" spans="6:6" x14ac:dyDescent="0.3">
      <c r="F51553" s="193"/>
    </row>
    <row r="51554" spans="6:6" x14ac:dyDescent="0.3">
      <c r="F51554" s="193"/>
    </row>
    <row r="51555" spans="6:6" x14ac:dyDescent="0.3">
      <c r="F51555" s="193"/>
    </row>
    <row r="51556" spans="6:6" x14ac:dyDescent="0.3">
      <c r="F51556" s="193"/>
    </row>
    <row r="51557" spans="6:6" x14ac:dyDescent="0.3">
      <c r="F51557" s="193"/>
    </row>
    <row r="51558" spans="6:6" x14ac:dyDescent="0.3">
      <c r="F51558" s="193"/>
    </row>
    <row r="51559" spans="6:6" x14ac:dyDescent="0.3">
      <c r="F51559" s="193"/>
    </row>
    <row r="51560" spans="6:6" x14ac:dyDescent="0.3">
      <c r="F51560" s="193"/>
    </row>
    <row r="51561" spans="6:6" x14ac:dyDescent="0.3">
      <c r="F51561" s="193"/>
    </row>
    <row r="51562" spans="6:6" x14ac:dyDescent="0.3">
      <c r="F51562" s="193"/>
    </row>
    <row r="51563" spans="6:6" x14ac:dyDescent="0.3">
      <c r="F51563" s="193"/>
    </row>
    <row r="51564" spans="6:6" x14ac:dyDescent="0.3">
      <c r="F51564" s="193"/>
    </row>
    <row r="51565" spans="6:6" x14ac:dyDescent="0.3">
      <c r="F51565" s="193"/>
    </row>
    <row r="51566" spans="6:6" x14ac:dyDescent="0.3">
      <c r="F51566" s="193"/>
    </row>
    <row r="51567" spans="6:6" x14ac:dyDescent="0.3">
      <c r="F51567" s="193"/>
    </row>
    <row r="51568" spans="6:6" x14ac:dyDescent="0.3">
      <c r="F51568" s="193"/>
    </row>
    <row r="51569" spans="6:6" x14ac:dyDescent="0.3">
      <c r="F51569" s="193"/>
    </row>
    <row r="51570" spans="6:6" x14ac:dyDescent="0.3">
      <c r="F51570" s="193"/>
    </row>
    <row r="51571" spans="6:6" x14ac:dyDescent="0.3">
      <c r="F51571" s="193"/>
    </row>
    <row r="51572" spans="6:6" x14ac:dyDescent="0.3">
      <c r="F51572" s="193"/>
    </row>
    <row r="51573" spans="6:6" x14ac:dyDescent="0.3">
      <c r="F51573" s="193"/>
    </row>
    <row r="51574" spans="6:6" x14ac:dyDescent="0.3">
      <c r="F51574" s="193"/>
    </row>
    <row r="51575" spans="6:6" x14ac:dyDescent="0.3">
      <c r="F51575" s="193"/>
    </row>
    <row r="51576" spans="6:6" x14ac:dyDescent="0.3">
      <c r="F51576" s="193"/>
    </row>
    <row r="51577" spans="6:6" x14ac:dyDescent="0.3">
      <c r="F51577" s="193"/>
    </row>
    <row r="51578" spans="6:6" x14ac:dyDescent="0.3">
      <c r="F51578" s="193"/>
    </row>
    <row r="51579" spans="6:6" x14ac:dyDescent="0.3">
      <c r="F51579" s="193"/>
    </row>
    <row r="51580" spans="6:6" x14ac:dyDescent="0.3">
      <c r="F51580" s="193"/>
    </row>
    <row r="51581" spans="6:6" x14ac:dyDescent="0.3">
      <c r="F51581" s="193"/>
    </row>
    <row r="51582" spans="6:6" x14ac:dyDescent="0.3">
      <c r="F51582" s="193"/>
    </row>
    <row r="51583" spans="6:6" x14ac:dyDescent="0.3">
      <c r="F51583" s="193"/>
    </row>
    <row r="51584" spans="6:6" x14ac:dyDescent="0.3">
      <c r="F51584" s="193"/>
    </row>
    <row r="51585" spans="6:6" x14ac:dyDescent="0.3">
      <c r="F51585" s="193"/>
    </row>
    <row r="51586" spans="6:6" x14ac:dyDescent="0.3">
      <c r="F51586" s="193"/>
    </row>
    <row r="51587" spans="6:6" x14ac:dyDescent="0.3">
      <c r="F51587" s="193"/>
    </row>
    <row r="51588" spans="6:6" x14ac:dyDescent="0.3">
      <c r="F51588" s="193"/>
    </row>
    <row r="51589" spans="6:6" x14ac:dyDescent="0.3">
      <c r="F51589" s="193"/>
    </row>
    <row r="51590" spans="6:6" x14ac:dyDescent="0.3">
      <c r="F51590" s="193"/>
    </row>
    <row r="51591" spans="6:6" x14ac:dyDescent="0.3">
      <c r="F51591" s="193"/>
    </row>
    <row r="51592" spans="6:6" x14ac:dyDescent="0.3">
      <c r="F51592" s="193"/>
    </row>
    <row r="51593" spans="6:6" x14ac:dyDescent="0.3">
      <c r="F51593" s="193"/>
    </row>
    <row r="51594" spans="6:6" x14ac:dyDescent="0.3">
      <c r="F51594" s="193"/>
    </row>
    <row r="51595" spans="6:6" x14ac:dyDescent="0.3">
      <c r="F51595" s="193"/>
    </row>
    <row r="51596" spans="6:6" x14ac:dyDescent="0.3">
      <c r="F51596" s="193"/>
    </row>
    <row r="51597" spans="6:6" x14ac:dyDescent="0.3">
      <c r="F51597" s="193"/>
    </row>
    <row r="51598" spans="6:6" x14ac:dyDescent="0.3">
      <c r="F51598" s="193"/>
    </row>
    <row r="51599" spans="6:6" x14ac:dyDescent="0.3">
      <c r="F51599" s="193"/>
    </row>
    <row r="51600" spans="6:6" x14ac:dyDescent="0.3">
      <c r="F51600" s="193"/>
    </row>
    <row r="51601" spans="6:6" x14ac:dyDescent="0.3">
      <c r="F51601" s="193"/>
    </row>
    <row r="51602" spans="6:6" x14ac:dyDescent="0.3">
      <c r="F51602" s="193"/>
    </row>
    <row r="51603" spans="6:6" x14ac:dyDescent="0.3">
      <c r="F51603" s="193"/>
    </row>
    <row r="51604" spans="6:6" x14ac:dyDescent="0.3">
      <c r="F51604" s="193"/>
    </row>
    <row r="51605" spans="6:6" x14ac:dyDescent="0.3">
      <c r="F51605" s="193"/>
    </row>
    <row r="51606" spans="6:6" x14ac:dyDescent="0.3">
      <c r="F51606" s="193"/>
    </row>
    <row r="51607" spans="6:6" x14ac:dyDescent="0.3">
      <c r="F51607" s="193"/>
    </row>
    <row r="51608" spans="6:6" x14ac:dyDescent="0.3">
      <c r="F51608" s="193"/>
    </row>
    <row r="51609" spans="6:6" x14ac:dyDescent="0.3">
      <c r="F51609" s="193"/>
    </row>
    <row r="51610" spans="6:6" x14ac:dyDescent="0.3">
      <c r="F51610" s="193"/>
    </row>
    <row r="51611" spans="6:6" x14ac:dyDescent="0.3">
      <c r="F51611" s="193"/>
    </row>
    <row r="51612" spans="6:6" x14ac:dyDescent="0.3">
      <c r="F51612" s="193"/>
    </row>
    <row r="51613" spans="6:6" x14ac:dyDescent="0.3">
      <c r="F51613" s="193"/>
    </row>
    <row r="51614" spans="6:6" x14ac:dyDescent="0.3">
      <c r="F51614" s="193"/>
    </row>
    <row r="51615" spans="6:6" x14ac:dyDescent="0.3">
      <c r="F51615" s="193"/>
    </row>
    <row r="51616" spans="6:6" x14ac:dyDescent="0.3">
      <c r="F51616" s="193"/>
    </row>
    <row r="51617" spans="6:6" x14ac:dyDescent="0.3">
      <c r="F51617" s="193"/>
    </row>
    <row r="51618" spans="6:6" x14ac:dyDescent="0.3">
      <c r="F51618" s="193"/>
    </row>
    <row r="51619" spans="6:6" x14ac:dyDescent="0.3">
      <c r="F51619" s="193"/>
    </row>
    <row r="51620" spans="6:6" x14ac:dyDescent="0.3">
      <c r="F51620" s="193"/>
    </row>
    <row r="51621" spans="6:6" x14ac:dyDescent="0.3">
      <c r="F51621" s="193"/>
    </row>
    <row r="51622" spans="6:6" x14ac:dyDescent="0.3">
      <c r="F51622" s="193"/>
    </row>
    <row r="51623" spans="6:6" x14ac:dyDescent="0.3">
      <c r="F51623" s="193"/>
    </row>
    <row r="51624" spans="6:6" x14ac:dyDescent="0.3">
      <c r="F51624" s="193"/>
    </row>
    <row r="51625" spans="6:6" x14ac:dyDescent="0.3">
      <c r="F51625" s="193"/>
    </row>
    <row r="51626" spans="6:6" x14ac:dyDescent="0.3">
      <c r="F51626" s="193"/>
    </row>
    <row r="51627" spans="6:6" x14ac:dyDescent="0.3">
      <c r="F51627" s="193"/>
    </row>
    <row r="51628" spans="6:6" x14ac:dyDescent="0.3">
      <c r="F51628" s="193"/>
    </row>
    <row r="51629" spans="6:6" x14ac:dyDescent="0.3">
      <c r="F51629" s="193"/>
    </row>
    <row r="51630" spans="6:6" x14ac:dyDescent="0.3">
      <c r="F51630" s="193"/>
    </row>
    <row r="51631" spans="6:6" x14ac:dyDescent="0.3">
      <c r="F51631" s="193"/>
    </row>
    <row r="51632" spans="6:6" x14ac:dyDescent="0.3">
      <c r="F51632" s="193"/>
    </row>
    <row r="51633" spans="6:6" x14ac:dyDescent="0.3">
      <c r="F51633" s="193"/>
    </row>
    <row r="51634" spans="6:6" x14ac:dyDescent="0.3">
      <c r="F51634" s="193"/>
    </row>
    <row r="51635" spans="6:6" x14ac:dyDescent="0.3">
      <c r="F51635" s="193"/>
    </row>
    <row r="51636" spans="6:6" x14ac:dyDescent="0.3">
      <c r="F51636" s="193"/>
    </row>
    <row r="51637" spans="6:6" x14ac:dyDescent="0.3">
      <c r="F51637" s="193"/>
    </row>
    <row r="51638" spans="6:6" x14ac:dyDescent="0.3">
      <c r="F51638" s="193"/>
    </row>
    <row r="51639" spans="6:6" x14ac:dyDescent="0.3">
      <c r="F51639" s="193"/>
    </row>
    <row r="51640" spans="6:6" x14ac:dyDescent="0.3">
      <c r="F51640" s="193"/>
    </row>
    <row r="51641" spans="6:6" x14ac:dyDescent="0.3">
      <c r="F51641" s="193"/>
    </row>
    <row r="51642" spans="6:6" x14ac:dyDescent="0.3">
      <c r="F51642" s="193"/>
    </row>
    <row r="51643" spans="6:6" x14ac:dyDescent="0.3">
      <c r="F51643" s="193"/>
    </row>
    <row r="51644" spans="6:6" x14ac:dyDescent="0.3">
      <c r="F51644" s="193"/>
    </row>
    <row r="51645" spans="6:6" x14ac:dyDescent="0.3">
      <c r="F51645" s="193"/>
    </row>
    <row r="51646" spans="6:6" x14ac:dyDescent="0.3">
      <c r="F51646" s="193"/>
    </row>
    <row r="51647" spans="6:6" x14ac:dyDescent="0.3">
      <c r="F51647" s="193"/>
    </row>
    <row r="51648" spans="6:6" x14ac:dyDescent="0.3">
      <c r="F51648" s="193"/>
    </row>
    <row r="51649" spans="6:6" x14ac:dyDescent="0.3">
      <c r="F51649" s="193"/>
    </row>
    <row r="51650" spans="6:6" x14ac:dyDescent="0.3">
      <c r="F51650" s="193"/>
    </row>
    <row r="51651" spans="6:6" x14ac:dyDescent="0.3">
      <c r="F51651" s="193"/>
    </row>
    <row r="51652" spans="6:6" x14ac:dyDescent="0.3">
      <c r="F51652" s="193"/>
    </row>
    <row r="51653" spans="6:6" x14ac:dyDescent="0.3">
      <c r="F51653" s="193"/>
    </row>
    <row r="51654" spans="6:6" x14ac:dyDescent="0.3">
      <c r="F51654" s="193"/>
    </row>
    <row r="51655" spans="6:6" x14ac:dyDescent="0.3">
      <c r="F51655" s="193"/>
    </row>
    <row r="51656" spans="6:6" x14ac:dyDescent="0.3">
      <c r="F51656" s="193"/>
    </row>
    <row r="51657" spans="6:6" x14ac:dyDescent="0.3">
      <c r="F51657" s="193"/>
    </row>
    <row r="51658" spans="6:6" x14ac:dyDescent="0.3">
      <c r="F51658" s="193"/>
    </row>
    <row r="51659" spans="6:6" x14ac:dyDescent="0.3">
      <c r="F51659" s="193"/>
    </row>
    <row r="51660" spans="6:6" x14ac:dyDescent="0.3">
      <c r="F51660" s="193"/>
    </row>
    <row r="51661" spans="6:6" x14ac:dyDescent="0.3">
      <c r="F51661" s="193"/>
    </row>
    <row r="51662" spans="6:6" x14ac:dyDescent="0.3">
      <c r="F51662" s="193"/>
    </row>
    <row r="51663" spans="6:6" x14ac:dyDescent="0.3">
      <c r="F51663" s="193"/>
    </row>
    <row r="51664" spans="6:6" x14ac:dyDescent="0.3">
      <c r="F51664" s="193"/>
    </row>
    <row r="51665" spans="6:6" x14ac:dyDescent="0.3">
      <c r="F51665" s="193"/>
    </row>
    <row r="51666" spans="6:6" x14ac:dyDescent="0.3">
      <c r="F51666" s="193"/>
    </row>
    <row r="51667" spans="6:6" x14ac:dyDescent="0.3">
      <c r="F51667" s="193"/>
    </row>
    <row r="51668" spans="6:6" x14ac:dyDescent="0.3">
      <c r="F51668" s="193"/>
    </row>
    <row r="51669" spans="6:6" x14ac:dyDescent="0.3">
      <c r="F51669" s="193"/>
    </row>
    <row r="51670" spans="6:6" x14ac:dyDescent="0.3">
      <c r="F51670" s="193"/>
    </row>
    <row r="51671" spans="6:6" x14ac:dyDescent="0.3">
      <c r="F51671" s="193"/>
    </row>
    <row r="51672" spans="6:6" x14ac:dyDescent="0.3">
      <c r="F51672" s="193"/>
    </row>
    <row r="51673" spans="6:6" x14ac:dyDescent="0.3">
      <c r="F51673" s="193"/>
    </row>
    <row r="51674" spans="6:6" x14ac:dyDescent="0.3">
      <c r="F51674" s="193"/>
    </row>
    <row r="51675" spans="6:6" x14ac:dyDescent="0.3">
      <c r="F51675" s="193"/>
    </row>
    <row r="51676" spans="6:6" x14ac:dyDescent="0.3">
      <c r="F51676" s="193"/>
    </row>
    <row r="51677" spans="6:6" x14ac:dyDescent="0.3">
      <c r="F51677" s="193"/>
    </row>
    <row r="51678" spans="6:6" x14ac:dyDescent="0.3">
      <c r="F51678" s="193"/>
    </row>
    <row r="51679" spans="6:6" x14ac:dyDescent="0.3">
      <c r="F51679" s="193"/>
    </row>
    <row r="51680" spans="6:6" x14ac:dyDescent="0.3">
      <c r="F51680" s="193"/>
    </row>
    <row r="51681" spans="6:6" x14ac:dyDescent="0.3">
      <c r="F51681" s="193"/>
    </row>
    <row r="51682" spans="6:6" x14ac:dyDescent="0.3">
      <c r="F51682" s="193"/>
    </row>
    <row r="51683" spans="6:6" x14ac:dyDescent="0.3">
      <c r="F51683" s="193"/>
    </row>
    <row r="51684" spans="6:6" x14ac:dyDescent="0.3">
      <c r="F51684" s="193"/>
    </row>
    <row r="51685" spans="6:6" x14ac:dyDescent="0.3">
      <c r="F51685" s="193"/>
    </row>
    <row r="51686" spans="6:6" x14ac:dyDescent="0.3">
      <c r="F51686" s="193"/>
    </row>
    <row r="51687" spans="6:6" x14ac:dyDescent="0.3">
      <c r="F51687" s="193"/>
    </row>
    <row r="51688" spans="6:6" x14ac:dyDescent="0.3">
      <c r="F51688" s="193"/>
    </row>
    <row r="51689" spans="6:6" x14ac:dyDescent="0.3">
      <c r="F51689" s="193"/>
    </row>
    <row r="51690" spans="6:6" x14ac:dyDescent="0.3">
      <c r="F51690" s="193"/>
    </row>
    <row r="51691" spans="6:6" x14ac:dyDescent="0.3">
      <c r="F51691" s="193"/>
    </row>
    <row r="51692" spans="6:6" x14ac:dyDescent="0.3">
      <c r="F51692" s="193"/>
    </row>
    <row r="51693" spans="6:6" x14ac:dyDescent="0.3">
      <c r="F51693" s="193"/>
    </row>
    <row r="51694" spans="6:6" x14ac:dyDescent="0.3">
      <c r="F51694" s="193"/>
    </row>
    <row r="51695" spans="6:6" x14ac:dyDescent="0.3">
      <c r="F51695" s="193"/>
    </row>
    <row r="51696" spans="6:6" x14ac:dyDescent="0.3">
      <c r="F51696" s="193"/>
    </row>
    <row r="51697" spans="6:6" x14ac:dyDescent="0.3">
      <c r="F51697" s="193"/>
    </row>
    <row r="51698" spans="6:6" x14ac:dyDescent="0.3">
      <c r="F51698" s="193"/>
    </row>
    <row r="51699" spans="6:6" x14ac:dyDescent="0.3">
      <c r="F51699" s="193"/>
    </row>
    <row r="51700" spans="6:6" x14ac:dyDescent="0.3">
      <c r="F51700" s="193"/>
    </row>
    <row r="51701" spans="6:6" x14ac:dyDescent="0.3">
      <c r="F51701" s="193"/>
    </row>
    <row r="51702" spans="6:6" x14ac:dyDescent="0.3">
      <c r="F51702" s="193"/>
    </row>
    <row r="51703" spans="6:6" x14ac:dyDescent="0.3">
      <c r="F51703" s="193"/>
    </row>
    <row r="51704" spans="6:6" x14ac:dyDescent="0.3">
      <c r="F51704" s="193"/>
    </row>
    <row r="51705" spans="6:6" x14ac:dyDescent="0.3">
      <c r="F51705" s="193"/>
    </row>
    <row r="51706" spans="6:6" x14ac:dyDescent="0.3">
      <c r="F51706" s="193"/>
    </row>
    <row r="51707" spans="6:6" x14ac:dyDescent="0.3">
      <c r="F51707" s="193"/>
    </row>
    <row r="51708" spans="6:6" x14ac:dyDescent="0.3">
      <c r="F51708" s="193"/>
    </row>
    <row r="51709" spans="6:6" x14ac:dyDescent="0.3">
      <c r="F51709" s="193"/>
    </row>
    <row r="51710" spans="6:6" x14ac:dyDescent="0.3">
      <c r="F51710" s="193"/>
    </row>
    <row r="51711" spans="6:6" x14ac:dyDescent="0.3">
      <c r="F51711" s="193"/>
    </row>
    <row r="51712" spans="6:6" x14ac:dyDescent="0.3">
      <c r="F51712" s="193"/>
    </row>
    <row r="51713" spans="6:6" x14ac:dyDescent="0.3">
      <c r="F51713" s="193"/>
    </row>
    <row r="51714" spans="6:6" x14ac:dyDescent="0.3">
      <c r="F51714" s="193"/>
    </row>
    <row r="51715" spans="6:6" x14ac:dyDescent="0.3">
      <c r="F51715" s="193"/>
    </row>
    <row r="51716" spans="6:6" x14ac:dyDescent="0.3">
      <c r="F51716" s="193"/>
    </row>
    <row r="51717" spans="6:6" x14ac:dyDescent="0.3">
      <c r="F51717" s="193"/>
    </row>
    <row r="51718" spans="6:6" x14ac:dyDescent="0.3">
      <c r="F51718" s="193"/>
    </row>
    <row r="51719" spans="6:6" x14ac:dyDescent="0.3">
      <c r="F51719" s="193"/>
    </row>
    <row r="51720" spans="6:6" x14ac:dyDescent="0.3">
      <c r="F51720" s="193"/>
    </row>
    <row r="51721" spans="6:6" x14ac:dyDescent="0.3">
      <c r="F51721" s="193"/>
    </row>
    <row r="51722" spans="6:6" x14ac:dyDescent="0.3">
      <c r="F51722" s="193"/>
    </row>
    <row r="51723" spans="6:6" x14ac:dyDescent="0.3">
      <c r="F51723" s="193"/>
    </row>
    <row r="51724" spans="6:6" x14ac:dyDescent="0.3">
      <c r="F51724" s="193"/>
    </row>
    <row r="51725" spans="6:6" x14ac:dyDescent="0.3">
      <c r="F51725" s="193"/>
    </row>
    <row r="51726" spans="6:6" x14ac:dyDescent="0.3">
      <c r="F51726" s="193"/>
    </row>
    <row r="51727" spans="6:6" x14ac:dyDescent="0.3">
      <c r="F51727" s="193"/>
    </row>
    <row r="51728" spans="6:6" x14ac:dyDescent="0.3">
      <c r="F51728" s="193"/>
    </row>
    <row r="51729" spans="6:6" x14ac:dyDescent="0.3">
      <c r="F51729" s="193"/>
    </row>
    <row r="51730" spans="6:6" x14ac:dyDescent="0.3">
      <c r="F51730" s="193"/>
    </row>
    <row r="51731" spans="6:6" x14ac:dyDescent="0.3">
      <c r="F51731" s="193"/>
    </row>
    <row r="51732" spans="6:6" x14ac:dyDescent="0.3">
      <c r="F51732" s="193"/>
    </row>
    <row r="51733" spans="6:6" x14ac:dyDescent="0.3">
      <c r="F51733" s="193"/>
    </row>
    <row r="51734" spans="6:6" x14ac:dyDescent="0.3">
      <c r="F51734" s="193"/>
    </row>
    <row r="51735" spans="6:6" x14ac:dyDescent="0.3">
      <c r="F51735" s="193"/>
    </row>
    <row r="51736" spans="6:6" x14ac:dyDescent="0.3">
      <c r="F51736" s="193"/>
    </row>
    <row r="51737" spans="6:6" x14ac:dyDescent="0.3">
      <c r="F51737" s="193"/>
    </row>
    <row r="51738" spans="6:6" x14ac:dyDescent="0.3">
      <c r="F51738" s="193"/>
    </row>
    <row r="51739" spans="6:6" x14ac:dyDescent="0.3">
      <c r="F51739" s="193"/>
    </row>
    <row r="51740" spans="6:6" x14ac:dyDescent="0.3">
      <c r="F51740" s="193"/>
    </row>
    <row r="51741" spans="6:6" x14ac:dyDescent="0.3">
      <c r="F51741" s="193"/>
    </row>
    <row r="51742" spans="6:6" x14ac:dyDescent="0.3">
      <c r="F51742" s="193"/>
    </row>
    <row r="51743" spans="6:6" x14ac:dyDescent="0.3">
      <c r="F51743" s="193"/>
    </row>
    <row r="51744" spans="6:6" x14ac:dyDescent="0.3">
      <c r="F51744" s="193"/>
    </row>
    <row r="51745" spans="6:6" x14ac:dyDescent="0.3">
      <c r="F51745" s="193"/>
    </row>
    <row r="51746" spans="6:6" x14ac:dyDescent="0.3">
      <c r="F51746" s="193"/>
    </row>
    <row r="51747" spans="6:6" x14ac:dyDescent="0.3">
      <c r="F51747" s="193"/>
    </row>
    <row r="51748" spans="6:6" x14ac:dyDescent="0.3">
      <c r="F51748" s="193"/>
    </row>
    <row r="51749" spans="6:6" x14ac:dyDescent="0.3">
      <c r="F51749" s="193"/>
    </row>
    <row r="51750" spans="6:6" x14ac:dyDescent="0.3">
      <c r="F51750" s="193"/>
    </row>
    <row r="51751" spans="6:6" x14ac:dyDescent="0.3">
      <c r="F51751" s="193"/>
    </row>
    <row r="51752" spans="6:6" x14ac:dyDescent="0.3">
      <c r="F51752" s="193"/>
    </row>
    <row r="51753" spans="6:6" x14ac:dyDescent="0.3">
      <c r="F51753" s="193"/>
    </row>
    <row r="51754" spans="6:6" x14ac:dyDescent="0.3">
      <c r="F51754" s="193"/>
    </row>
    <row r="51755" spans="6:6" x14ac:dyDescent="0.3">
      <c r="F51755" s="193"/>
    </row>
    <row r="51756" spans="6:6" x14ac:dyDescent="0.3">
      <c r="F51756" s="193"/>
    </row>
    <row r="51757" spans="6:6" x14ac:dyDescent="0.3">
      <c r="F51757" s="193"/>
    </row>
    <row r="51758" spans="6:6" x14ac:dyDescent="0.3">
      <c r="F51758" s="193"/>
    </row>
    <row r="51759" spans="6:6" x14ac:dyDescent="0.3">
      <c r="F51759" s="193"/>
    </row>
    <row r="51760" spans="6:6" x14ac:dyDescent="0.3">
      <c r="F51760" s="193"/>
    </row>
    <row r="51761" spans="6:6" x14ac:dyDescent="0.3">
      <c r="F51761" s="193"/>
    </row>
    <row r="51762" spans="6:6" x14ac:dyDescent="0.3">
      <c r="F51762" s="193"/>
    </row>
    <row r="51763" spans="6:6" x14ac:dyDescent="0.3">
      <c r="F51763" s="193"/>
    </row>
    <row r="51764" spans="6:6" x14ac:dyDescent="0.3">
      <c r="F51764" s="193"/>
    </row>
    <row r="51765" spans="6:6" x14ac:dyDescent="0.3">
      <c r="F51765" s="193"/>
    </row>
    <row r="51766" spans="6:6" x14ac:dyDescent="0.3">
      <c r="F51766" s="193"/>
    </row>
    <row r="51767" spans="6:6" x14ac:dyDescent="0.3">
      <c r="F51767" s="193"/>
    </row>
    <row r="51768" spans="6:6" x14ac:dyDescent="0.3">
      <c r="F51768" s="193"/>
    </row>
    <row r="51769" spans="6:6" x14ac:dyDescent="0.3">
      <c r="F51769" s="193"/>
    </row>
    <row r="51770" spans="6:6" x14ac:dyDescent="0.3">
      <c r="F51770" s="193"/>
    </row>
    <row r="51771" spans="6:6" x14ac:dyDescent="0.3">
      <c r="F51771" s="193"/>
    </row>
    <row r="51772" spans="6:6" x14ac:dyDescent="0.3">
      <c r="F51772" s="193"/>
    </row>
    <row r="51773" spans="6:6" x14ac:dyDescent="0.3">
      <c r="F51773" s="193"/>
    </row>
    <row r="51774" spans="6:6" x14ac:dyDescent="0.3">
      <c r="F51774" s="193"/>
    </row>
    <row r="51775" spans="6:6" x14ac:dyDescent="0.3">
      <c r="F51775" s="193"/>
    </row>
    <row r="51776" spans="6:6" x14ac:dyDescent="0.3">
      <c r="F51776" s="193"/>
    </row>
    <row r="51777" spans="6:6" x14ac:dyDescent="0.3">
      <c r="F51777" s="193"/>
    </row>
    <row r="51778" spans="6:6" x14ac:dyDescent="0.3">
      <c r="F51778" s="193"/>
    </row>
    <row r="51779" spans="6:6" x14ac:dyDescent="0.3">
      <c r="F51779" s="193"/>
    </row>
    <row r="51780" spans="6:6" x14ac:dyDescent="0.3">
      <c r="F51780" s="193"/>
    </row>
    <row r="51781" spans="6:6" x14ac:dyDescent="0.3">
      <c r="F51781" s="193"/>
    </row>
    <row r="51782" spans="6:6" x14ac:dyDescent="0.3">
      <c r="F51782" s="193"/>
    </row>
    <row r="51783" spans="6:6" x14ac:dyDescent="0.3">
      <c r="F51783" s="193"/>
    </row>
    <row r="51784" spans="6:6" x14ac:dyDescent="0.3">
      <c r="F51784" s="193"/>
    </row>
    <row r="51785" spans="6:6" x14ac:dyDescent="0.3">
      <c r="F51785" s="193"/>
    </row>
    <row r="51786" spans="6:6" x14ac:dyDescent="0.3">
      <c r="F51786" s="193"/>
    </row>
    <row r="51787" spans="6:6" x14ac:dyDescent="0.3">
      <c r="F51787" s="193"/>
    </row>
    <row r="51788" spans="6:6" x14ac:dyDescent="0.3">
      <c r="F51788" s="193"/>
    </row>
    <row r="51789" spans="6:6" x14ac:dyDescent="0.3">
      <c r="F51789" s="193"/>
    </row>
    <row r="51790" spans="6:6" x14ac:dyDescent="0.3">
      <c r="F51790" s="193"/>
    </row>
    <row r="51791" spans="6:6" x14ac:dyDescent="0.3">
      <c r="F51791" s="193"/>
    </row>
    <row r="51792" spans="6:6" x14ac:dyDescent="0.3">
      <c r="F51792" s="193"/>
    </row>
    <row r="51793" spans="6:6" x14ac:dyDescent="0.3">
      <c r="F51793" s="193"/>
    </row>
    <row r="51794" spans="6:6" x14ac:dyDescent="0.3">
      <c r="F51794" s="193"/>
    </row>
    <row r="51795" spans="6:6" x14ac:dyDescent="0.3">
      <c r="F51795" s="193"/>
    </row>
    <row r="51796" spans="6:6" x14ac:dyDescent="0.3">
      <c r="F51796" s="193"/>
    </row>
    <row r="51797" spans="6:6" x14ac:dyDescent="0.3">
      <c r="F51797" s="193"/>
    </row>
    <row r="51798" spans="6:6" x14ac:dyDescent="0.3">
      <c r="F51798" s="193"/>
    </row>
    <row r="51799" spans="6:6" x14ac:dyDescent="0.3">
      <c r="F51799" s="193"/>
    </row>
    <row r="51800" spans="6:6" x14ac:dyDescent="0.3">
      <c r="F51800" s="193"/>
    </row>
    <row r="51801" spans="6:6" x14ac:dyDescent="0.3">
      <c r="F51801" s="193"/>
    </row>
    <row r="51802" spans="6:6" x14ac:dyDescent="0.3">
      <c r="F51802" s="193"/>
    </row>
    <row r="51803" spans="6:6" x14ac:dyDescent="0.3">
      <c r="F51803" s="193"/>
    </row>
    <row r="51804" spans="6:6" x14ac:dyDescent="0.3">
      <c r="F51804" s="193"/>
    </row>
    <row r="51805" spans="6:6" x14ac:dyDescent="0.3">
      <c r="F51805" s="193"/>
    </row>
    <row r="51806" spans="6:6" x14ac:dyDescent="0.3">
      <c r="F51806" s="193"/>
    </row>
    <row r="51807" spans="6:6" x14ac:dyDescent="0.3">
      <c r="F51807" s="193"/>
    </row>
    <row r="51808" spans="6:6" x14ac:dyDescent="0.3">
      <c r="F51808" s="193"/>
    </row>
    <row r="51809" spans="6:6" x14ac:dyDescent="0.3">
      <c r="F51809" s="193"/>
    </row>
    <row r="51810" spans="6:6" x14ac:dyDescent="0.3">
      <c r="F51810" s="193"/>
    </row>
    <row r="51811" spans="6:6" x14ac:dyDescent="0.3">
      <c r="F51811" s="193"/>
    </row>
    <row r="51812" spans="6:6" x14ac:dyDescent="0.3">
      <c r="F51812" s="193"/>
    </row>
    <row r="51813" spans="6:6" x14ac:dyDescent="0.3">
      <c r="F51813" s="193"/>
    </row>
    <row r="51814" spans="6:6" x14ac:dyDescent="0.3">
      <c r="F51814" s="193"/>
    </row>
    <row r="51815" spans="6:6" x14ac:dyDescent="0.3">
      <c r="F51815" s="193"/>
    </row>
    <row r="51816" spans="6:6" x14ac:dyDescent="0.3">
      <c r="F51816" s="193"/>
    </row>
    <row r="51817" spans="6:6" x14ac:dyDescent="0.3">
      <c r="F51817" s="193"/>
    </row>
    <row r="51818" spans="6:6" x14ac:dyDescent="0.3">
      <c r="F51818" s="193"/>
    </row>
    <row r="51819" spans="6:6" x14ac:dyDescent="0.3">
      <c r="F51819" s="193"/>
    </row>
    <row r="51820" spans="6:6" x14ac:dyDescent="0.3">
      <c r="F51820" s="193"/>
    </row>
    <row r="51821" spans="6:6" x14ac:dyDescent="0.3">
      <c r="F51821" s="193"/>
    </row>
    <row r="51822" spans="6:6" x14ac:dyDescent="0.3">
      <c r="F51822" s="193"/>
    </row>
    <row r="51823" spans="6:6" x14ac:dyDescent="0.3">
      <c r="F51823" s="193"/>
    </row>
    <row r="51824" spans="6:6" x14ac:dyDescent="0.3">
      <c r="F51824" s="193"/>
    </row>
    <row r="51825" spans="6:6" x14ac:dyDescent="0.3">
      <c r="F51825" s="193"/>
    </row>
    <row r="51826" spans="6:6" x14ac:dyDescent="0.3">
      <c r="F51826" s="193"/>
    </row>
    <row r="51827" spans="6:6" x14ac:dyDescent="0.3">
      <c r="F51827" s="193"/>
    </row>
    <row r="51828" spans="6:6" x14ac:dyDescent="0.3">
      <c r="F51828" s="193"/>
    </row>
    <row r="51829" spans="6:6" x14ac:dyDescent="0.3">
      <c r="F51829" s="193"/>
    </row>
    <row r="51830" spans="6:6" x14ac:dyDescent="0.3">
      <c r="F51830" s="193"/>
    </row>
    <row r="51831" spans="6:6" x14ac:dyDescent="0.3">
      <c r="F51831" s="193"/>
    </row>
    <row r="51832" spans="6:6" x14ac:dyDescent="0.3">
      <c r="F51832" s="193"/>
    </row>
    <row r="51833" spans="6:6" x14ac:dyDescent="0.3">
      <c r="F51833" s="193"/>
    </row>
    <row r="51834" spans="6:6" x14ac:dyDescent="0.3">
      <c r="F51834" s="193"/>
    </row>
    <row r="51835" spans="6:6" x14ac:dyDescent="0.3">
      <c r="F51835" s="193"/>
    </row>
    <row r="51836" spans="6:6" x14ac:dyDescent="0.3">
      <c r="F51836" s="193"/>
    </row>
    <row r="51837" spans="6:6" x14ac:dyDescent="0.3">
      <c r="F51837" s="193"/>
    </row>
    <row r="51838" spans="6:6" x14ac:dyDescent="0.3">
      <c r="F51838" s="193"/>
    </row>
    <row r="51839" spans="6:6" x14ac:dyDescent="0.3">
      <c r="F51839" s="193"/>
    </row>
    <row r="51840" spans="6:6" x14ac:dyDescent="0.3">
      <c r="F51840" s="193"/>
    </row>
    <row r="51841" spans="6:6" x14ac:dyDescent="0.3">
      <c r="F51841" s="193"/>
    </row>
    <row r="51842" spans="6:6" x14ac:dyDescent="0.3">
      <c r="F51842" s="193"/>
    </row>
    <row r="51843" spans="6:6" x14ac:dyDescent="0.3">
      <c r="F51843" s="193"/>
    </row>
    <row r="51844" spans="6:6" x14ac:dyDescent="0.3">
      <c r="F51844" s="193"/>
    </row>
    <row r="51845" spans="6:6" x14ac:dyDescent="0.3">
      <c r="F51845" s="193"/>
    </row>
    <row r="51846" spans="6:6" x14ac:dyDescent="0.3">
      <c r="F51846" s="193"/>
    </row>
    <row r="51847" spans="6:6" x14ac:dyDescent="0.3">
      <c r="F51847" s="193"/>
    </row>
    <row r="51848" spans="6:6" x14ac:dyDescent="0.3">
      <c r="F51848" s="193"/>
    </row>
    <row r="51849" spans="6:6" x14ac:dyDescent="0.3">
      <c r="F51849" s="193"/>
    </row>
    <row r="51850" spans="6:6" x14ac:dyDescent="0.3">
      <c r="F51850" s="193"/>
    </row>
    <row r="51851" spans="6:6" x14ac:dyDescent="0.3">
      <c r="F51851" s="193"/>
    </row>
    <row r="51852" spans="6:6" x14ac:dyDescent="0.3">
      <c r="F51852" s="193"/>
    </row>
    <row r="51853" spans="6:6" x14ac:dyDescent="0.3">
      <c r="F51853" s="193"/>
    </row>
    <row r="51854" spans="6:6" x14ac:dyDescent="0.3">
      <c r="F51854" s="193"/>
    </row>
    <row r="51855" spans="6:6" x14ac:dyDescent="0.3">
      <c r="F51855" s="193"/>
    </row>
    <row r="51856" spans="6:6" x14ac:dyDescent="0.3">
      <c r="F51856" s="193"/>
    </row>
    <row r="51857" spans="6:6" x14ac:dyDescent="0.3">
      <c r="F51857" s="193"/>
    </row>
    <row r="51858" spans="6:6" x14ac:dyDescent="0.3">
      <c r="F51858" s="193"/>
    </row>
    <row r="51859" spans="6:6" x14ac:dyDescent="0.3">
      <c r="F51859" s="193"/>
    </row>
    <row r="51860" spans="6:6" x14ac:dyDescent="0.3">
      <c r="F51860" s="193"/>
    </row>
    <row r="51861" spans="6:6" x14ac:dyDescent="0.3">
      <c r="F51861" s="193"/>
    </row>
    <row r="51862" spans="6:6" x14ac:dyDescent="0.3">
      <c r="F51862" s="193"/>
    </row>
    <row r="51863" spans="6:6" x14ac:dyDescent="0.3">
      <c r="F51863" s="193"/>
    </row>
    <row r="51864" spans="6:6" x14ac:dyDescent="0.3">
      <c r="F51864" s="193"/>
    </row>
    <row r="51865" spans="6:6" x14ac:dyDescent="0.3">
      <c r="F51865" s="193"/>
    </row>
    <row r="51866" spans="6:6" x14ac:dyDescent="0.3">
      <c r="F51866" s="193"/>
    </row>
    <row r="51867" spans="6:6" x14ac:dyDescent="0.3">
      <c r="F51867" s="193"/>
    </row>
    <row r="51868" spans="6:6" x14ac:dyDescent="0.3">
      <c r="F51868" s="193"/>
    </row>
    <row r="51869" spans="6:6" x14ac:dyDescent="0.3">
      <c r="F51869" s="193"/>
    </row>
    <row r="51870" spans="6:6" x14ac:dyDescent="0.3">
      <c r="F51870" s="193"/>
    </row>
    <row r="51871" spans="6:6" x14ac:dyDescent="0.3">
      <c r="F51871" s="193"/>
    </row>
    <row r="51872" spans="6:6" x14ac:dyDescent="0.3">
      <c r="F51872" s="193"/>
    </row>
    <row r="51873" spans="6:6" x14ac:dyDescent="0.3">
      <c r="F51873" s="193"/>
    </row>
    <row r="51874" spans="6:6" x14ac:dyDescent="0.3">
      <c r="F51874" s="193"/>
    </row>
    <row r="51875" spans="6:6" x14ac:dyDescent="0.3">
      <c r="F51875" s="193"/>
    </row>
    <row r="51876" spans="6:6" x14ac:dyDescent="0.3">
      <c r="F51876" s="193"/>
    </row>
    <row r="51877" spans="6:6" x14ac:dyDescent="0.3">
      <c r="F51877" s="193"/>
    </row>
    <row r="51878" spans="6:6" x14ac:dyDescent="0.3">
      <c r="F51878" s="193"/>
    </row>
    <row r="51879" spans="6:6" x14ac:dyDescent="0.3">
      <c r="F51879" s="193"/>
    </row>
    <row r="51880" spans="6:6" x14ac:dyDescent="0.3">
      <c r="F51880" s="193"/>
    </row>
    <row r="51881" spans="6:6" x14ac:dyDescent="0.3">
      <c r="F51881" s="193"/>
    </row>
    <row r="51882" spans="6:6" x14ac:dyDescent="0.3">
      <c r="F51882" s="193"/>
    </row>
    <row r="51883" spans="6:6" x14ac:dyDescent="0.3">
      <c r="F51883" s="193"/>
    </row>
    <row r="51884" spans="6:6" x14ac:dyDescent="0.3">
      <c r="F51884" s="193"/>
    </row>
    <row r="51885" spans="6:6" x14ac:dyDescent="0.3">
      <c r="F51885" s="193"/>
    </row>
    <row r="51886" spans="6:6" x14ac:dyDescent="0.3">
      <c r="F51886" s="193"/>
    </row>
    <row r="51887" spans="6:6" x14ac:dyDescent="0.3">
      <c r="F51887" s="193"/>
    </row>
    <row r="51888" spans="6:6" x14ac:dyDescent="0.3">
      <c r="F51888" s="193"/>
    </row>
    <row r="51889" spans="6:6" x14ac:dyDescent="0.3">
      <c r="F51889" s="193"/>
    </row>
    <row r="51890" spans="6:6" x14ac:dyDescent="0.3">
      <c r="F51890" s="193"/>
    </row>
    <row r="51891" spans="6:6" x14ac:dyDescent="0.3">
      <c r="F51891" s="193"/>
    </row>
    <row r="51892" spans="6:6" x14ac:dyDescent="0.3">
      <c r="F51892" s="193"/>
    </row>
    <row r="51893" spans="6:6" x14ac:dyDescent="0.3">
      <c r="F51893" s="193"/>
    </row>
    <row r="51894" spans="6:6" x14ac:dyDescent="0.3">
      <c r="F51894" s="193"/>
    </row>
    <row r="51895" spans="6:6" x14ac:dyDescent="0.3">
      <c r="F51895" s="193"/>
    </row>
    <row r="51896" spans="6:6" x14ac:dyDescent="0.3">
      <c r="F51896" s="193"/>
    </row>
    <row r="51897" spans="6:6" x14ac:dyDescent="0.3">
      <c r="F51897" s="193"/>
    </row>
    <row r="51898" spans="6:6" x14ac:dyDescent="0.3">
      <c r="F51898" s="193"/>
    </row>
    <row r="51899" spans="6:6" x14ac:dyDescent="0.3">
      <c r="F51899" s="193"/>
    </row>
    <row r="51900" spans="6:6" x14ac:dyDescent="0.3">
      <c r="F51900" s="193"/>
    </row>
    <row r="51901" spans="6:6" x14ac:dyDescent="0.3">
      <c r="F51901" s="193"/>
    </row>
    <row r="51902" spans="6:6" x14ac:dyDescent="0.3">
      <c r="F51902" s="193"/>
    </row>
    <row r="51903" spans="6:6" x14ac:dyDescent="0.3">
      <c r="F51903" s="193"/>
    </row>
    <row r="51904" spans="6:6" x14ac:dyDescent="0.3">
      <c r="F51904" s="193"/>
    </row>
    <row r="51905" spans="6:6" x14ac:dyDescent="0.3">
      <c r="F51905" s="193"/>
    </row>
    <row r="51906" spans="6:6" x14ac:dyDescent="0.3">
      <c r="F51906" s="193"/>
    </row>
    <row r="51907" spans="6:6" x14ac:dyDescent="0.3">
      <c r="F51907" s="193"/>
    </row>
    <row r="51908" spans="6:6" x14ac:dyDescent="0.3">
      <c r="F51908" s="193"/>
    </row>
    <row r="51909" spans="6:6" x14ac:dyDescent="0.3">
      <c r="F51909" s="193"/>
    </row>
    <row r="51910" spans="6:6" x14ac:dyDescent="0.3">
      <c r="F51910" s="193"/>
    </row>
    <row r="51911" spans="6:6" x14ac:dyDescent="0.3">
      <c r="F51911" s="193"/>
    </row>
    <row r="51912" spans="6:6" x14ac:dyDescent="0.3">
      <c r="F51912" s="193"/>
    </row>
    <row r="51913" spans="6:6" x14ac:dyDescent="0.3">
      <c r="F51913" s="193"/>
    </row>
    <row r="51914" spans="6:6" x14ac:dyDescent="0.3">
      <c r="F51914" s="193"/>
    </row>
    <row r="51915" spans="6:6" x14ac:dyDescent="0.3">
      <c r="F51915" s="193"/>
    </row>
    <row r="51916" spans="6:6" x14ac:dyDescent="0.3">
      <c r="F51916" s="193"/>
    </row>
    <row r="51917" spans="6:6" x14ac:dyDescent="0.3">
      <c r="F51917" s="193"/>
    </row>
    <row r="51918" spans="6:6" x14ac:dyDescent="0.3">
      <c r="F51918" s="193"/>
    </row>
    <row r="51919" spans="6:6" x14ac:dyDescent="0.3">
      <c r="F51919" s="193"/>
    </row>
    <row r="51920" spans="6:6" x14ac:dyDescent="0.3">
      <c r="F51920" s="193"/>
    </row>
    <row r="51921" spans="6:6" x14ac:dyDescent="0.3">
      <c r="F51921" s="193"/>
    </row>
    <row r="51922" spans="6:6" x14ac:dyDescent="0.3">
      <c r="F51922" s="193"/>
    </row>
    <row r="51923" spans="6:6" x14ac:dyDescent="0.3">
      <c r="F51923" s="193"/>
    </row>
    <row r="51924" spans="6:6" x14ac:dyDescent="0.3">
      <c r="F51924" s="193"/>
    </row>
    <row r="51925" spans="6:6" x14ac:dyDescent="0.3">
      <c r="F51925" s="193"/>
    </row>
    <row r="51926" spans="6:6" x14ac:dyDescent="0.3">
      <c r="F51926" s="193"/>
    </row>
    <row r="51927" spans="6:6" x14ac:dyDescent="0.3">
      <c r="F51927" s="193"/>
    </row>
    <row r="51928" spans="6:6" x14ac:dyDescent="0.3">
      <c r="F51928" s="193"/>
    </row>
    <row r="51929" spans="6:6" x14ac:dyDescent="0.3">
      <c r="F51929" s="193"/>
    </row>
    <row r="51930" spans="6:6" x14ac:dyDescent="0.3">
      <c r="F51930" s="193"/>
    </row>
    <row r="51931" spans="6:6" x14ac:dyDescent="0.3">
      <c r="F51931" s="193"/>
    </row>
    <row r="51932" spans="6:6" x14ac:dyDescent="0.3">
      <c r="F51932" s="193"/>
    </row>
    <row r="51933" spans="6:6" x14ac:dyDescent="0.3">
      <c r="F51933" s="193"/>
    </row>
    <row r="51934" spans="6:6" x14ac:dyDescent="0.3">
      <c r="F51934" s="193"/>
    </row>
    <row r="51935" spans="6:6" x14ac:dyDescent="0.3">
      <c r="F51935" s="193"/>
    </row>
    <row r="51936" spans="6:6" x14ac:dyDescent="0.3">
      <c r="F51936" s="193"/>
    </row>
    <row r="51937" spans="6:6" x14ac:dyDescent="0.3">
      <c r="F51937" s="193"/>
    </row>
    <row r="51938" spans="6:6" x14ac:dyDescent="0.3">
      <c r="F51938" s="193"/>
    </row>
    <row r="51939" spans="6:6" x14ac:dyDescent="0.3">
      <c r="F51939" s="193"/>
    </row>
    <row r="51940" spans="6:6" x14ac:dyDescent="0.3">
      <c r="F51940" s="193"/>
    </row>
    <row r="51941" spans="6:6" x14ac:dyDescent="0.3">
      <c r="F51941" s="193"/>
    </row>
    <row r="51942" spans="6:6" x14ac:dyDescent="0.3">
      <c r="F51942" s="193"/>
    </row>
    <row r="51943" spans="6:6" x14ac:dyDescent="0.3">
      <c r="F51943" s="193"/>
    </row>
    <row r="51944" spans="6:6" x14ac:dyDescent="0.3">
      <c r="F51944" s="193"/>
    </row>
    <row r="51945" spans="6:6" x14ac:dyDescent="0.3">
      <c r="F51945" s="193"/>
    </row>
    <row r="51946" spans="6:6" x14ac:dyDescent="0.3">
      <c r="F51946" s="193"/>
    </row>
    <row r="51947" spans="6:6" x14ac:dyDescent="0.3">
      <c r="F51947" s="193"/>
    </row>
    <row r="51948" spans="6:6" x14ac:dyDescent="0.3">
      <c r="F51948" s="193"/>
    </row>
    <row r="51949" spans="6:6" x14ac:dyDescent="0.3">
      <c r="F51949" s="193"/>
    </row>
    <row r="51950" spans="6:6" x14ac:dyDescent="0.3">
      <c r="F51950" s="193"/>
    </row>
    <row r="51951" spans="6:6" x14ac:dyDescent="0.3">
      <c r="F51951" s="193"/>
    </row>
    <row r="51952" spans="6:6" x14ac:dyDescent="0.3">
      <c r="F51952" s="193"/>
    </row>
    <row r="51953" spans="6:6" x14ac:dyDescent="0.3">
      <c r="F51953" s="193"/>
    </row>
    <row r="51954" spans="6:6" x14ac:dyDescent="0.3">
      <c r="F51954" s="193"/>
    </row>
    <row r="51955" spans="6:6" x14ac:dyDescent="0.3">
      <c r="F51955" s="193"/>
    </row>
    <row r="51956" spans="6:6" x14ac:dyDescent="0.3">
      <c r="F51956" s="193"/>
    </row>
    <row r="51957" spans="6:6" x14ac:dyDescent="0.3">
      <c r="F51957" s="193"/>
    </row>
    <row r="51958" spans="6:6" x14ac:dyDescent="0.3">
      <c r="F51958" s="193"/>
    </row>
    <row r="51959" spans="6:6" x14ac:dyDescent="0.3">
      <c r="F51959" s="193"/>
    </row>
    <row r="51960" spans="6:6" x14ac:dyDescent="0.3">
      <c r="F51960" s="193"/>
    </row>
    <row r="51961" spans="6:6" x14ac:dyDescent="0.3">
      <c r="F51961" s="193"/>
    </row>
    <row r="51962" spans="6:6" x14ac:dyDescent="0.3">
      <c r="F51962" s="193"/>
    </row>
    <row r="51963" spans="6:6" x14ac:dyDescent="0.3">
      <c r="F51963" s="193"/>
    </row>
    <row r="51964" spans="6:6" x14ac:dyDescent="0.3">
      <c r="F51964" s="193"/>
    </row>
    <row r="51965" spans="6:6" x14ac:dyDescent="0.3">
      <c r="F51965" s="193"/>
    </row>
    <row r="51966" spans="6:6" x14ac:dyDescent="0.3">
      <c r="F51966" s="193"/>
    </row>
    <row r="51967" spans="6:6" x14ac:dyDescent="0.3">
      <c r="F51967" s="193"/>
    </row>
    <row r="51968" spans="6:6" x14ac:dyDescent="0.3">
      <c r="F51968" s="193"/>
    </row>
    <row r="51969" spans="6:6" x14ac:dyDescent="0.3">
      <c r="F51969" s="193"/>
    </row>
    <row r="51970" spans="6:6" x14ac:dyDescent="0.3">
      <c r="F51970" s="193"/>
    </row>
    <row r="51971" spans="6:6" x14ac:dyDescent="0.3">
      <c r="F51971" s="193"/>
    </row>
    <row r="51972" spans="6:6" x14ac:dyDescent="0.3">
      <c r="F51972" s="193"/>
    </row>
    <row r="51973" spans="6:6" x14ac:dyDescent="0.3">
      <c r="F51973" s="193"/>
    </row>
    <row r="51974" spans="6:6" x14ac:dyDescent="0.3">
      <c r="F51974" s="193"/>
    </row>
    <row r="51975" spans="6:6" x14ac:dyDescent="0.3">
      <c r="F51975" s="193"/>
    </row>
    <row r="51976" spans="6:6" x14ac:dyDescent="0.3">
      <c r="F51976" s="193"/>
    </row>
    <row r="51977" spans="6:6" x14ac:dyDescent="0.3">
      <c r="F51977" s="193"/>
    </row>
    <row r="51978" spans="6:6" x14ac:dyDescent="0.3">
      <c r="F51978" s="193"/>
    </row>
    <row r="51979" spans="6:6" x14ac:dyDescent="0.3">
      <c r="F51979" s="193"/>
    </row>
    <row r="51980" spans="6:6" x14ac:dyDescent="0.3">
      <c r="F51980" s="193"/>
    </row>
    <row r="51981" spans="6:6" x14ac:dyDescent="0.3">
      <c r="F51981" s="193"/>
    </row>
    <row r="51982" spans="6:6" x14ac:dyDescent="0.3">
      <c r="F51982" s="193"/>
    </row>
    <row r="51983" spans="6:6" x14ac:dyDescent="0.3">
      <c r="F51983" s="193"/>
    </row>
    <row r="51984" spans="6:6" x14ac:dyDescent="0.3">
      <c r="F51984" s="193"/>
    </row>
    <row r="51985" spans="6:6" x14ac:dyDescent="0.3">
      <c r="F51985" s="193"/>
    </row>
    <row r="51986" spans="6:6" x14ac:dyDescent="0.3">
      <c r="F51986" s="193"/>
    </row>
    <row r="51987" spans="6:6" x14ac:dyDescent="0.3">
      <c r="F51987" s="193"/>
    </row>
    <row r="51988" spans="6:6" x14ac:dyDescent="0.3">
      <c r="F51988" s="193"/>
    </row>
    <row r="51989" spans="6:6" x14ac:dyDescent="0.3">
      <c r="F51989" s="193"/>
    </row>
    <row r="51990" spans="6:6" x14ac:dyDescent="0.3">
      <c r="F51990" s="193"/>
    </row>
    <row r="51991" spans="6:6" x14ac:dyDescent="0.3">
      <c r="F51991" s="193"/>
    </row>
    <row r="51992" spans="6:6" x14ac:dyDescent="0.3">
      <c r="F51992" s="193"/>
    </row>
    <row r="51993" spans="6:6" x14ac:dyDescent="0.3">
      <c r="F51993" s="193"/>
    </row>
    <row r="51994" spans="6:6" x14ac:dyDescent="0.3">
      <c r="F51994" s="193"/>
    </row>
    <row r="51995" spans="6:6" x14ac:dyDescent="0.3">
      <c r="F51995" s="193"/>
    </row>
    <row r="51996" spans="6:6" x14ac:dyDescent="0.3">
      <c r="F51996" s="193"/>
    </row>
    <row r="51997" spans="6:6" x14ac:dyDescent="0.3">
      <c r="F51997" s="193"/>
    </row>
    <row r="51998" spans="6:6" x14ac:dyDescent="0.3">
      <c r="F51998" s="193"/>
    </row>
    <row r="51999" spans="6:6" x14ac:dyDescent="0.3">
      <c r="F51999" s="193"/>
    </row>
    <row r="52000" spans="6:6" x14ac:dyDescent="0.3">
      <c r="F52000" s="193"/>
    </row>
    <row r="52001" spans="6:6" x14ac:dyDescent="0.3">
      <c r="F52001" s="193"/>
    </row>
    <row r="52002" spans="6:6" x14ac:dyDescent="0.3">
      <c r="F52002" s="193"/>
    </row>
    <row r="52003" spans="6:6" x14ac:dyDescent="0.3">
      <c r="F52003" s="193"/>
    </row>
    <row r="52004" spans="6:6" x14ac:dyDescent="0.3">
      <c r="F52004" s="193"/>
    </row>
    <row r="52005" spans="6:6" x14ac:dyDescent="0.3">
      <c r="F52005" s="193"/>
    </row>
    <row r="52006" spans="6:6" x14ac:dyDescent="0.3">
      <c r="F52006" s="193"/>
    </row>
    <row r="52007" spans="6:6" x14ac:dyDescent="0.3">
      <c r="F52007" s="193"/>
    </row>
    <row r="52008" spans="6:6" x14ac:dyDescent="0.3">
      <c r="F52008" s="193"/>
    </row>
    <row r="52009" spans="6:6" x14ac:dyDescent="0.3">
      <c r="F52009" s="193"/>
    </row>
    <row r="52010" spans="6:6" x14ac:dyDescent="0.3">
      <c r="F52010" s="193"/>
    </row>
    <row r="52011" spans="6:6" x14ac:dyDescent="0.3">
      <c r="F52011" s="193"/>
    </row>
    <row r="52012" spans="6:6" x14ac:dyDescent="0.3">
      <c r="F52012" s="193"/>
    </row>
    <row r="52013" spans="6:6" x14ac:dyDescent="0.3">
      <c r="F52013" s="193"/>
    </row>
    <row r="52014" spans="6:6" x14ac:dyDescent="0.3">
      <c r="F52014" s="193"/>
    </row>
    <row r="52015" spans="6:6" x14ac:dyDescent="0.3">
      <c r="F52015" s="193"/>
    </row>
    <row r="52016" spans="6:6" x14ac:dyDescent="0.3">
      <c r="F52016" s="193"/>
    </row>
    <row r="52017" spans="6:6" x14ac:dyDescent="0.3">
      <c r="F52017" s="193"/>
    </row>
    <row r="52018" spans="6:6" x14ac:dyDescent="0.3">
      <c r="F52018" s="193"/>
    </row>
    <row r="52019" spans="6:6" x14ac:dyDescent="0.3">
      <c r="F52019" s="193"/>
    </row>
    <row r="52020" spans="6:6" x14ac:dyDescent="0.3">
      <c r="F52020" s="193"/>
    </row>
    <row r="52021" spans="6:6" x14ac:dyDescent="0.3">
      <c r="F52021" s="193"/>
    </row>
    <row r="52022" spans="6:6" x14ac:dyDescent="0.3">
      <c r="F52022" s="193"/>
    </row>
    <row r="52023" spans="6:6" x14ac:dyDescent="0.3">
      <c r="F52023" s="193"/>
    </row>
    <row r="52024" spans="6:6" x14ac:dyDescent="0.3">
      <c r="F52024" s="193"/>
    </row>
    <row r="52025" spans="6:6" x14ac:dyDescent="0.3">
      <c r="F52025" s="193"/>
    </row>
    <row r="52026" spans="6:6" x14ac:dyDescent="0.3">
      <c r="F52026" s="193"/>
    </row>
    <row r="52027" spans="6:6" x14ac:dyDescent="0.3">
      <c r="F52027" s="193"/>
    </row>
    <row r="52028" spans="6:6" x14ac:dyDescent="0.3">
      <c r="F52028" s="193"/>
    </row>
    <row r="52029" spans="6:6" x14ac:dyDescent="0.3">
      <c r="F52029" s="193"/>
    </row>
    <row r="52030" spans="6:6" x14ac:dyDescent="0.3">
      <c r="F52030" s="193"/>
    </row>
    <row r="52031" spans="6:6" x14ac:dyDescent="0.3">
      <c r="F52031" s="193"/>
    </row>
    <row r="52032" spans="6:6" x14ac:dyDescent="0.3">
      <c r="F52032" s="193"/>
    </row>
    <row r="52033" spans="6:6" x14ac:dyDescent="0.3">
      <c r="F52033" s="193"/>
    </row>
    <row r="52034" spans="6:6" x14ac:dyDescent="0.3">
      <c r="F52034" s="193"/>
    </row>
    <row r="52035" spans="6:6" x14ac:dyDescent="0.3">
      <c r="F52035" s="193"/>
    </row>
    <row r="52036" spans="6:6" x14ac:dyDescent="0.3">
      <c r="F52036" s="193"/>
    </row>
    <row r="52037" spans="6:6" x14ac:dyDescent="0.3">
      <c r="F52037" s="193"/>
    </row>
    <row r="52038" spans="6:6" x14ac:dyDescent="0.3">
      <c r="F52038" s="193"/>
    </row>
    <row r="52039" spans="6:6" x14ac:dyDescent="0.3">
      <c r="F52039" s="193"/>
    </row>
    <row r="52040" spans="6:6" x14ac:dyDescent="0.3">
      <c r="F52040" s="193"/>
    </row>
    <row r="52041" spans="6:6" x14ac:dyDescent="0.3">
      <c r="F52041" s="193"/>
    </row>
    <row r="52042" spans="6:6" x14ac:dyDescent="0.3">
      <c r="F52042" s="193"/>
    </row>
    <row r="52043" spans="6:6" x14ac:dyDescent="0.3">
      <c r="F52043" s="193"/>
    </row>
    <row r="52044" spans="6:6" x14ac:dyDescent="0.3">
      <c r="F52044" s="193"/>
    </row>
    <row r="52045" spans="6:6" x14ac:dyDescent="0.3">
      <c r="F52045" s="193"/>
    </row>
    <row r="52046" spans="6:6" x14ac:dyDescent="0.3">
      <c r="F52046" s="193"/>
    </row>
    <row r="52047" spans="6:6" x14ac:dyDescent="0.3">
      <c r="F52047" s="193"/>
    </row>
    <row r="52048" spans="6:6" x14ac:dyDescent="0.3">
      <c r="F52048" s="193"/>
    </row>
    <row r="52049" spans="6:6" x14ac:dyDescent="0.3">
      <c r="F52049" s="193"/>
    </row>
    <row r="52050" spans="6:6" x14ac:dyDescent="0.3">
      <c r="F52050" s="193"/>
    </row>
    <row r="52051" spans="6:6" x14ac:dyDescent="0.3">
      <c r="F52051" s="193"/>
    </row>
    <row r="52052" spans="6:6" x14ac:dyDescent="0.3">
      <c r="F52052" s="193"/>
    </row>
    <row r="52053" spans="6:6" x14ac:dyDescent="0.3">
      <c r="F52053" s="193"/>
    </row>
    <row r="52054" spans="6:6" x14ac:dyDescent="0.3">
      <c r="F52054" s="193"/>
    </row>
    <row r="52055" spans="6:6" x14ac:dyDescent="0.3">
      <c r="F52055" s="193"/>
    </row>
    <row r="52056" spans="6:6" x14ac:dyDescent="0.3">
      <c r="F52056" s="193"/>
    </row>
    <row r="52057" spans="6:6" x14ac:dyDescent="0.3">
      <c r="F52057" s="193"/>
    </row>
    <row r="52058" spans="6:6" x14ac:dyDescent="0.3">
      <c r="F52058" s="193"/>
    </row>
    <row r="52059" spans="6:6" x14ac:dyDescent="0.3">
      <c r="F52059" s="193"/>
    </row>
    <row r="52060" spans="6:6" x14ac:dyDescent="0.3">
      <c r="F52060" s="193"/>
    </row>
    <row r="52061" spans="6:6" x14ac:dyDescent="0.3">
      <c r="F52061" s="193"/>
    </row>
    <row r="52062" spans="6:6" x14ac:dyDescent="0.3">
      <c r="F52062" s="193"/>
    </row>
    <row r="52063" spans="6:6" x14ac:dyDescent="0.3">
      <c r="F52063" s="193"/>
    </row>
    <row r="52064" spans="6:6" x14ac:dyDescent="0.3">
      <c r="F52064" s="193"/>
    </row>
    <row r="52065" spans="6:6" x14ac:dyDescent="0.3">
      <c r="F52065" s="193"/>
    </row>
    <row r="52066" spans="6:6" x14ac:dyDescent="0.3">
      <c r="F52066" s="193"/>
    </row>
    <row r="52067" spans="6:6" x14ac:dyDescent="0.3">
      <c r="F52067" s="193"/>
    </row>
    <row r="52068" spans="6:6" x14ac:dyDescent="0.3">
      <c r="F52068" s="193"/>
    </row>
    <row r="52069" spans="6:6" x14ac:dyDescent="0.3">
      <c r="F52069" s="193"/>
    </row>
    <row r="52070" spans="6:6" x14ac:dyDescent="0.3">
      <c r="F52070" s="193"/>
    </row>
    <row r="52071" spans="6:6" x14ac:dyDescent="0.3">
      <c r="F52071" s="193"/>
    </row>
    <row r="52072" spans="6:6" x14ac:dyDescent="0.3">
      <c r="F52072" s="193"/>
    </row>
    <row r="52073" spans="6:6" x14ac:dyDescent="0.3">
      <c r="F52073" s="193"/>
    </row>
    <row r="52074" spans="6:6" x14ac:dyDescent="0.3">
      <c r="F52074" s="193"/>
    </row>
    <row r="52075" spans="6:6" x14ac:dyDescent="0.3">
      <c r="F52075" s="193"/>
    </row>
    <row r="52076" spans="6:6" x14ac:dyDescent="0.3">
      <c r="F52076" s="193"/>
    </row>
    <row r="52077" spans="6:6" x14ac:dyDescent="0.3">
      <c r="F52077" s="193"/>
    </row>
    <row r="52078" spans="6:6" x14ac:dyDescent="0.3">
      <c r="F52078" s="193"/>
    </row>
    <row r="52079" spans="6:6" x14ac:dyDescent="0.3">
      <c r="F52079" s="193"/>
    </row>
    <row r="52080" spans="6:6" x14ac:dyDescent="0.3">
      <c r="F52080" s="193"/>
    </row>
    <row r="52081" spans="6:6" x14ac:dyDescent="0.3">
      <c r="F52081" s="193"/>
    </row>
    <row r="52082" spans="6:6" x14ac:dyDescent="0.3">
      <c r="F52082" s="193"/>
    </row>
    <row r="52083" spans="6:6" x14ac:dyDescent="0.3">
      <c r="F52083" s="193"/>
    </row>
    <row r="52084" spans="6:6" x14ac:dyDescent="0.3">
      <c r="F52084" s="193"/>
    </row>
    <row r="52085" spans="6:6" x14ac:dyDescent="0.3">
      <c r="F52085" s="193"/>
    </row>
    <row r="52086" spans="6:6" x14ac:dyDescent="0.3">
      <c r="F52086" s="193"/>
    </row>
    <row r="52087" spans="6:6" x14ac:dyDescent="0.3">
      <c r="F52087" s="193"/>
    </row>
    <row r="52088" spans="6:6" x14ac:dyDescent="0.3">
      <c r="F52088" s="193"/>
    </row>
    <row r="52089" spans="6:6" x14ac:dyDescent="0.3">
      <c r="F52089" s="193"/>
    </row>
    <row r="52090" spans="6:6" x14ac:dyDescent="0.3">
      <c r="F52090" s="193"/>
    </row>
    <row r="52091" spans="6:6" x14ac:dyDescent="0.3">
      <c r="F52091" s="193"/>
    </row>
    <row r="52092" spans="6:6" x14ac:dyDescent="0.3">
      <c r="F52092" s="193"/>
    </row>
    <row r="52093" spans="6:6" x14ac:dyDescent="0.3">
      <c r="F52093" s="193"/>
    </row>
    <row r="52094" spans="6:6" x14ac:dyDescent="0.3">
      <c r="F52094" s="193"/>
    </row>
    <row r="52095" spans="6:6" x14ac:dyDescent="0.3">
      <c r="F52095" s="193"/>
    </row>
    <row r="52096" spans="6:6" x14ac:dyDescent="0.3">
      <c r="F52096" s="193"/>
    </row>
    <row r="52097" spans="6:6" x14ac:dyDescent="0.3">
      <c r="F52097" s="193"/>
    </row>
    <row r="52098" spans="6:6" x14ac:dyDescent="0.3">
      <c r="F52098" s="193"/>
    </row>
    <row r="52099" spans="6:6" x14ac:dyDescent="0.3">
      <c r="F52099" s="193"/>
    </row>
    <row r="52100" spans="6:6" x14ac:dyDescent="0.3">
      <c r="F52100" s="193"/>
    </row>
    <row r="52101" spans="6:6" x14ac:dyDescent="0.3">
      <c r="F52101" s="193"/>
    </row>
    <row r="52102" spans="6:6" x14ac:dyDescent="0.3">
      <c r="F52102" s="193"/>
    </row>
    <row r="52103" spans="6:6" x14ac:dyDescent="0.3">
      <c r="F52103" s="193"/>
    </row>
    <row r="52104" spans="6:6" x14ac:dyDescent="0.3">
      <c r="F52104" s="193"/>
    </row>
    <row r="52105" spans="6:6" x14ac:dyDescent="0.3">
      <c r="F52105" s="193"/>
    </row>
    <row r="52106" spans="6:6" x14ac:dyDescent="0.3">
      <c r="F52106" s="193"/>
    </row>
    <row r="52107" spans="6:6" x14ac:dyDescent="0.3">
      <c r="F52107" s="193"/>
    </row>
    <row r="52108" spans="6:6" x14ac:dyDescent="0.3">
      <c r="F52108" s="193"/>
    </row>
    <row r="52109" spans="6:6" x14ac:dyDescent="0.3">
      <c r="F52109" s="193"/>
    </row>
    <row r="52110" spans="6:6" x14ac:dyDescent="0.3">
      <c r="F52110" s="193"/>
    </row>
    <row r="52111" spans="6:6" x14ac:dyDescent="0.3">
      <c r="F52111" s="193"/>
    </row>
    <row r="52112" spans="6:6" x14ac:dyDescent="0.3">
      <c r="F52112" s="193"/>
    </row>
    <row r="52113" spans="6:6" x14ac:dyDescent="0.3">
      <c r="F52113" s="193"/>
    </row>
    <row r="52114" spans="6:6" x14ac:dyDescent="0.3">
      <c r="F52114" s="193"/>
    </row>
    <row r="52115" spans="6:6" x14ac:dyDescent="0.3">
      <c r="F52115" s="193"/>
    </row>
    <row r="52116" spans="6:6" x14ac:dyDescent="0.3">
      <c r="F52116" s="193"/>
    </row>
    <row r="52117" spans="6:6" x14ac:dyDescent="0.3">
      <c r="F52117" s="193"/>
    </row>
    <row r="52118" spans="6:6" x14ac:dyDescent="0.3">
      <c r="F52118" s="193"/>
    </row>
    <row r="52119" spans="6:6" x14ac:dyDescent="0.3">
      <c r="F52119" s="193"/>
    </row>
    <row r="52120" spans="6:6" x14ac:dyDescent="0.3">
      <c r="F52120" s="193"/>
    </row>
    <row r="52121" spans="6:6" x14ac:dyDescent="0.3">
      <c r="F52121" s="193"/>
    </row>
    <row r="52122" spans="6:6" x14ac:dyDescent="0.3">
      <c r="F52122" s="193"/>
    </row>
    <row r="52123" spans="6:6" x14ac:dyDescent="0.3">
      <c r="F52123" s="193"/>
    </row>
    <row r="52124" spans="6:6" x14ac:dyDescent="0.3">
      <c r="F52124" s="193"/>
    </row>
    <row r="52125" spans="6:6" x14ac:dyDescent="0.3">
      <c r="F52125" s="193"/>
    </row>
    <row r="52126" spans="6:6" x14ac:dyDescent="0.3">
      <c r="F52126" s="193"/>
    </row>
    <row r="52127" spans="6:6" x14ac:dyDescent="0.3">
      <c r="F52127" s="193"/>
    </row>
    <row r="52128" spans="6:6" x14ac:dyDescent="0.3">
      <c r="F52128" s="193"/>
    </row>
    <row r="52129" spans="6:6" x14ac:dyDescent="0.3">
      <c r="F52129" s="193"/>
    </row>
    <row r="52130" spans="6:6" x14ac:dyDescent="0.3">
      <c r="F52130" s="193"/>
    </row>
    <row r="52131" spans="6:6" x14ac:dyDescent="0.3">
      <c r="F52131" s="193"/>
    </row>
    <row r="52132" spans="6:6" x14ac:dyDescent="0.3">
      <c r="F52132" s="193"/>
    </row>
    <row r="52133" spans="6:6" x14ac:dyDescent="0.3">
      <c r="F52133" s="193"/>
    </row>
    <row r="52134" spans="6:6" x14ac:dyDescent="0.3">
      <c r="F52134" s="193"/>
    </row>
    <row r="52135" spans="6:6" x14ac:dyDescent="0.3">
      <c r="F52135" s="193"/>
    </row>
    <row r="52136" spans="6:6" x14ac:dyDescent="0.3">
      <c r="F52136" s="193"/>
    </row>
    <row r="52137" spans="6:6" x14ac:dyDescent="0.3">
      <c r="F52137" s="193"/>
    </row>
    <row r="52138" spans="6:6" x14ac:dyDescent="0.3">
      <c r="F52138" s="193"/>
    </row>
    <row r="52139" spans="6:6" x14ac:dyDescent="0.3">
      <c r="F52139" s="193"/>
    </row>
    <row r="52140" spans="6:6" x14ac:dyDescent="0.3">
      <c r="F52140" s="193"/>
    </row>
    <row r="52141" spans="6:6" x14ac:dyDescent="0.3">
      <c r="F52141" s="193"/>
    </row>
    <row r="52142" spans="6:6" x14ac:dyDescent="0.3">
      <c r="F52142" s="193"/>
    </row>
    <row r="52143" spans="6:6" x14ac:dyDescent="0.3">
      <c r="F52143" s="193"/>
    </row>
    <row r="52144" spans="6:6" x14ac:dyDescent="0.3">
      <c r="F52144" s="193"/>
    </row>
    <row r="52145" spans="6:6" x14ac:dyDescent="0.3">
      <c r="F52145" s="193"/>
    </row>
    <row r="52146" spans="6:6" x14ac:dyDescent="0.3">
      <c r="F52146" s="193"/>
    </row>
    <row r="52147" spans="6:6" x14ac:dyDescent="0.3">
      <c r="F52147" s="193"/>
    </row>
    <row r="52148" spans="6:6" x14ac:dyDescent="0.3">
      <c r="F52148" s="193"/>
    </row>
    <row r="52149" spans="6:6" x14ac:dyDescent="0.3">
      <c r="F52149" s="193"/>
    </row>
    <row r="52150" spans="6:6" x14ac:dyDescent="0.3">
      <c r="F52150" s="193"/>
    </row>
    <row r="52151" spans="6:6" x14ac:dyDescent="0.3">
      <c r="F52151" s="193"/>
    </row>
    <row r="52152" spans="6:6" x14ac:dyDescent="0.3">
      <c r="F52152" s="193"/>
    </row>
    <row r="52153" spans="6:6" x14ac:dyDescent="0.3">
      <c r="F52153" s="193"/>
    </row>
    <row r="52154" spans="6:6" x14ac:dyDescent="0.3">
      <c r="F52154" s="193"/>
    </row>
    <row r="52155" spans="6:6" x14ac:dyDescent="0.3">
      <c r="F52155" s="193"/>
    </row>
    <row r="52156" spans="6:6" x14ac:dyDescent="0.3">
      <c r="F52156" s="193"/>
    </row>
    <row r="52157" spans="6:6" x14ac:dyDescent="0.3">
      <c r="F52157" s="193"/>
    </row>
    <row r="52158" spans="6:6" x14ac:dyDescent="0.3">
      <c r="F52158" s="193"/>
    </row>
    <row r="52159" spans="6:6" x14ac:dyDescent="0.3">
      <c r="F52159" s="193"/>
    </row>
    <row r="52160" spans="6:6" x14ac:dyDescent="0.3">
      <c r="F52160" s="193"/>
    </row>
    <row r="52161" spans="6:6" x14ac:dyDescent="0.3">
      <c r="F52161" s="193"/>
    </row>
    <row r="52162" spans="6:6" x14ac:dyDescent="0.3">
      <c r="F52162" s="193"/>
    </row>
    <row r="52163" spans="6:6" x14ac:dyDescent="0.3">
      <c r="F52163" s="193"/>
    </row>
    <row r="52164" spans="6:6" x14ac:dyDescent="0.3">
      <c r="F52164" s="193"/>
    </row>
    <row r="52165" spans="6:6" x14ac:dyDescent="0.3">
      <c r="F52165" s="193"/>
    </row>
    <row r="52166" spans="6:6" x14ac:dyDescent="0.3">
      <c r="F52166" s="193"/>
    </row>
    <row r="52167" spans="6:6" x14ac:dyDescent="0.3">
      <c r="F52167" s="193"/>
    </row>
    <row r="52168" spans="6:6" x14ac:dyDescent="0.3">
      <c r="F52168" s="193"/>
    </row>
    <row r="52169" spans="6:6" x14ac:dyDescent="0.3">
      <c r="F52169" s="193"/>
    </row>
    <row r="52170" spans="6:6" x14ac:dyDescent="0.3">
      <c r="F52170" s="193"/>
    </row>
    <row r="52171" spans="6:6" x14ac:dyDescent="0.3">
      <c r="F52171" s="193"/>
    </row>
    <row r="52172" spans="6:6" x14ac:dyDescent="0.3">
      <c r="F52172" s="193"/>
    </row>
    <row r="52173" spans="6:6" x14ac:dyDescent="0.3">
      <c r="F52173" s="193"/>
    </row>
    <row r="52174" spans="6:6" x14ac:dyDescent="0.3">
      <c r="F52174" s="193"/>
    </row>
    <row r="52175" spans="6:6" x14ac:dyDescent="0.3">
      <c r="F52175" s="193"/>
    </row>
    <row r="52176" spans="6:6" x14ac:dyDescent="0.3">
      <c r="F52176" s="193"/>
    </row>
    <row r="52177" spans="6:6" x14ac:dyDescent="0.3">
      <c r="F52177" s="193"/>
    </row>
    <row r="52178" spans="6:6" x14ac:dyDescent="0.3">
      <c r="F52178" s="193"/>
    </row>
    <row r="52179" spans="6:6" x14ac:dyDescent="0.3">
      <c r="F52179" s="193"/>
    </row>
    <row r="52180" spans="6:6" x14ac:dyDescent="0.3">
      <c r="F52180" s="193"/>
    </row>
    <row r="52181" spans="6:6" x14ac:dyDescent="0.3">
      <c r="F52181" s="193"/>
    </row>
    <row r="52182" spans="6:6" x14ac:dyDescent="0.3">
      <c r="F52182" s="193"/>
    </row>
    <row r="52183" spans="6:6" x14ac:dyDescent="0.3">
      <c r="F52183" s="193"/>
    </row>
    <row r="52184" spans="6:6" x14ac:dyDescent="0.3">
      <c r="F52184" s="193"/>
    </row>
    <row r="52185" spans="6:6" x14ac:dyDescent="0.3">
      <c r="F52185" s="193"/>
    </row>
    <row r="52186" spans="6:6" x14ac:dyDescent="0.3">
      <c r="F52186" s="193"/>
    </row>
    <row r="52187" spans="6:6" x14ac:dyDescent="0.3">
      <c r="F52187" s="193"/>
    </row>
    <row r="52188" spans="6:6" x14ac:dyDescent="0.3">
      <c r="F52188" s="193"/>
    </row>
    <row r="52189" spans="6:6" x14ac:dyDescent="0.3">
      <c r="F52189" s="193"/>
    </row>
    <row r="52190" spans="6:6" x14ac:dyDescent="0.3">
      <c r="F52190" s="193"/>
    </row>
    <row r="52191" spans="6:6" x14ac:dyDescent="0.3">
      <c r="F52191" s="193"/>
    </row>
    <row r="52192" spans="6:6" x14ac:dyDescent="0.3">
      <c r="F52192" s="193"/>
    </row>
    <row r="52193" spans="6:6" x14ac:dyDescent="0.3">
      <c r="F52193" s="193"/>
    </row>
    <row r="52194" spans="6:6" x14ac:dyDescent="0.3">
      <c r="F52194" s="193"/>
    </row>
    <row r="52195" spans="6:6" x14ac:dyDescent="0.3">
      <c r="F52195" s="193"/>
    </row>
    <row r="52196" spans="6:6" x14ac:dyDescent="0.3">
      <c r="F52196" s="193"/>
    </row>
    <row r="52197" spans="6:6" x14ac:dyDescent="0.3">
      <c r="F52197" s="193"/>
    </row>
    <row r="52198" spans="6:6" x14ac:dyDescent="0.3">
      <c r="F52198" s="193"/>
    </row>
    <row r="52199" spans="6:6" x14ac:dyDescent="0.3">
      <c r="F52199" s="193"/>
    </row>
    <row r="52200" spans="6:6" x14ac:dyDescent="0.3">
      <c r="F52200" s="193"/>
    </row>
    <row r="52201" spans="6:6" x14ac:dyDescent="0.3">
      <c r="F52201" s="193"/>
    </row>
    <row r="52202" spans="6:6" x14ac:dyDescent="0.3">
      <c r="F52202" s="193"/>
    </row>
    <row r="52203" spans="6:6" x14ac:dyDescent="0.3">
      <c r="F52203" s="193"/>
    </row>
    <row r="52204" spans="6:6" x14ac:dyDescent="0.3">
      <c r="F52204" s="193"/>
    </row>
    <row r="52205" spans="6:6" x14ac:dyDescent="0.3">
      <c r="F52205" s="193"/>
    </row>
    <row r="52206" spans="6:6" x14ac:dyDescent="0.3">
      <c r="F52206" s="193"/>
    </row>
    <row r="52207" spans="6:6" x14ac:dyDescent="0.3">
      <c r="F52207" s="193"/>
    </row>
    <row r="52208" spans="6:6" x14ac:dyDescent="0.3">
      <c r="F52208" s="193"/>
    </row>
    <row r="52209" spans="6:6" x14ac:dyDescent="0.3">
      <c r="F52209" s="193"/>
    </row>
    <row r="52210" spans="6:6" x14ac:dyDescent="0.3">
      <c r="F52210" s="193"/>
    </row>
    <row r="52211" spans="6:6" x14ac:dyDescent="0.3">
      <c r="F52211" s="193"/>
    </row>
    <row r="52212" spans="6:6" x14ac:dyDescent="0.3">
      <c r="F52212" s="193"/>
    </row>
    <row r="52213" spans="6:6" x14ac:dyDescent="0.3">
      <c r="F52213" s="193"/>
    </row>
    <row r="52214" spans="6:6" x14ac:dyDescent="0.3">
      <c r="F52214" s="193"/>
    </row>
    <row r="52215" spans="6:6" x14ac:dyDescent="0.3">
      <c r="F52215" s="193"/>
    </row>
    <row r="52216" spans="6:6" x14ac:dyDescent="0.3">
      <c r="F52216" s="193"/>
    </row>
    <row r="52217" spans="6:6" x14ac:dyDescent="0.3">
      <c r="F52217" s="193"/>
    </row>
    <row r="52218" spans="6:6" x14ac:dyDescent="0.3">
      <c r="F52218" s="193"/>
    </row>
    <row r="52219" spans="6:6" x14ac:dyDescent="0.3">
      <c r="F52219" s="193"/>
    </row>
    <row r="52220" spans="6:6" x14ac:dyDescent="0.3">
      <c r="F52220" s="193"/>
    </row>
    <row r="52221" spans="6:6" x14ac:dyDescent="0.3">
      <c r="F52221" s="193"/>
    </row>
    <row r="52222" spans="6:6" x14ac:dyDescent="0.3">
      <c r="F52222" s="193"/>
    </row>
    <row r="52223" spans="6:6" x14ac:dyDescent="0.3">
      <c r="F52223" s="193"/>
    </row>
    <row r="52224" spans="6:6" x14ac:dyDescent="0.3">
      <c r="F52224" s="193"/>
    </row>
    <row r="52225" spans="6:6" x14ac:dyDescent="0.3">
      <c r="F52225" s="193"/>
    </row>
    <row r="52226" spans="6:6" x14ac:dyDescent="0.3">
      <c r="F52226" s="193"/>
    </row>
    <row r="52227" spans="6:6" x14ac:dyDescent="0.3">
      <c r="F52227" s="193"/>
    </row>
    <row r="52228" spans="6:6" x14ac:dyDescent="0.3">
      <c r="F52228" s="193"/>
    </row>
    <row r="52229" spans="6:6" x14ac:dyDescent="0.3">
      <c r="F52229" s="193"/>
    </row>
    <row r="52230" spans="6:6" x14ac:dyDescent="0.3">
      <c r="F52230" s="193"/>
    </row>
    <row r="52231" spans="6:6" x14ac:dyDescent="0.3">
      <c r="F52231" s="193"/>
    </row>
    <row r="52232" spans="6:6" x14ac:dyDescent="0.3">
      <c r="F52232" s="193"/>
    </row>
    <row r="52233" spans="6:6" x14ac:dyDescent="0.3">
      <c r="F52233" s="193"/>
    </row>
    <row r="52234" spans="6:6" x14ac:dyDescent="0.3">
      <c r="F52234" s="193"/>
    </row>
    <row r="52235" spans="6:6" x14ac:dyDescent="0.3">
      <c r="F52235" s="193"/>
    </row>
    <row r="52236" spans="6:6" x14ac:dyDescent="0.3">
      <c r="F52236" s="193"/>
    </row>
    <row r="52237" spans="6:6" x14ac:dyDescent="0.3">
      <c r="F52237" s="193"/>
    </row>
    <row r="52238" spans="6:6" x14ac:dyDescent="0.3">
      <c r="F52238" s="193"/>
    </row>
    <row r="52239" spans="6:6" x14ac:dyDescent="0.3">
      <c r="F52239" s="193"/>
    </row>
    <row r="52240" spans="6:6" x14ac:dyDescent="0.3">
      <c r="F52240" s="193"/>
    </row>
    <row r="52241" spans="6:6" x14ac:dyDescent="0.3">
      <c r="F52241" s="193"/>
    </row>
    <row r="52242" spans="6:6" x14ac:dyDescent="0.3">
      <c r="F52242" s="193"/>
    </row>
    <row r="52243" spans="6:6" x14ac:dyDescent="0.3">
      <c r="F52243" s="193"/>
    </row>
    <row r="52244" spans="6:6" x14ac:dyDescent="0.3">
      <c r="F52244" s="193"/>
    </row>
    <row r="52245" spans="6:6" x14ac:dyDescent="0.3">
      <c r="F52245" s="193"/>
    </row>
    <row r="52246" spans="6:6" x14ac:dyDescent="0.3">
      <c r="F52246" s="193"/>
    </row>
    <row r="52247" spans="6:6" x14ac:dyDescent="0.3">
      <c r="F52247" s="193"/>
    </row>
    <row r="52248" spans="6:6" x14ac:dyDescent="0.3">
      <c r="F52248" s="193"/>
    </row>
    <row r="52249" spans="6:6" x14ac:dyDescent="0.3">
      <c r="F52249" s="193"/>
    </row>
    <row r="52250" spans="6:6" x14ac:dyDescent="0.3">
      <c r="F52250" s="193"/>
    </row>
    <row r="52251" spans="6:6" x14ac:dyDescent="0.3">
      <c r="F52251" s="193"/>
    </row>
    <row r="52252" spans="6:6" x14ac:dyDescent="0.3">
      <c r="F52252" s="193"/>
    </row>
    <row r="52253" spans="6:6" x14ac:dyDescent="0.3">
      <c r="F52253" s="193"/>
    </row>
    <row r="52254" spans="6:6" x14ac:dyDescent="0.3">
      <c r="F52254" s="193"/>
    </row>
    <row r="52255" spans="6:6" x14ac:dyDescent="0.3">
      <c r="F52255" s="193"/>
    </row>
    <row r="52256" spans="6:6" x14ac:dyDescent="0.3">
      <c r="F52256" s="193"/>
    </row>
    <row r="52257" spans="6:6" x14ac:dyDescent="0.3">
      <c r="F52257" s="193"/>
    </row>
    <row r="52258" spans="6:6" x14ac:dyDescent="0.3">
      <c r="F52258" s="193"/>
    </row>
    <row r="52259" spans="6:6" x14ac:dyDescent="0.3">
      <c r="F52259" s="193"/>
    </row>
    <row r="52260" spans="6:6" x14ac:dyDescent="0.3">
      <c r="F52260" s="193"/>
    </row>
    <row r="52261" spans="6:6" x14ac:dyDescent="0.3">
      <c r="F52261" s="193"/>
    </row>
    <row r="52262" spans="6:6" x14ac:dyDescent="0.3">
      <c r="F52262" s="193"/>
    </row>
    <row r="52263" spans="6:6" x14ac:dyDescent="0.3">
      <c r="F52263" s="193"/>
    </row>
    <row r="52264" spans="6:6" x14ac:dyDescent="0.3">
      <c r="F52264" s="193"/>
    </row>
    <row r="52265" spans="6:6" x14ac:dyDescent="0.3">
      <c r="F52265" s="193"/>
    </row>
    <row r="52266" spans="6:6" x14ac:dyDescent="0.3">
      <c r="F52266" s="193"/>
    </row>
    <row r="52267" spans="6:6" x14ac:dyDescent="0.3">
      <c r="F52267" s="193"/>
    </row>
    <row r="52268" spans="6:6" x14ac:dyDescent="0.3">
      <c r="F52268" s="193"/>
    </row>
    <row r="52269" spans="6:6" x14ac:dyDescent="0.3">
      <c r="F52269" s="193"/>
    </row>
    <row r="52270" spans="6:6" x14ac:dyDescent="0.3">
      <c r="F52270" s="193"/>
    </row>
    <row r="52271" spans="6:6" x14ac:dyDescent="0.3">
      <c r="F52271" s="193"/>
    </row>
    <row r="52272" spans="6:6" x14ac:dyDescent="0.3">
      <c r="F52272" s="193"/>
    </row>
    <row r="52273" spans="6:6" x14ac:dyDescent="0.3">
      <c r="F52273" s="193"/>
    </row>
    <row r="52274" spans="6:6" x14ac:dyDescent="0.3">
      <c r="F52274" s="193"/>
    </row>
    <row r="52275" spans="6:6" x14ac:dyDescent="0.3">
      <c r="F52275" s="193"/>
    </row>
    <row r="52276" spans="6:6" x14ac:dyDescent="0.3">
      <c r="F52276" s="193"/>
    </row>
    <row r="52277" spans="6:6" x14ac:dyDescent="0.3">
      <c r="F52277" s="193"/>
    </row>
    <row r="52278" spans="6:6" x14ac:dyDescent="0.3">
      <c r="F52278" s="193"/>
    </row>
    <row r="52279" spans="6:6" x14ac:dyDescent="0.3">
      <c r="F52279" s="193"/>
    </row>
    <row r="52280" spans="6:6" x14ac:dyDescent="0.3">
      <c r="F52280" s="193"/>
    </row>
    <row r="52281" spans="6:6" x14ac:dyDescent="0.3">
      <c r="F52281" s="193"/>
    </row>
    <row r="52282" spans="6:6" x14ac:dyDescent="0.3">
      <c r="F52282" s="193"/>
    </row>
    <row r="52283" spans="6:6" x14ac:dyDescent="0.3">
      <c r="F52283" s="193"/>
    </row>
    <row r="52284" spans="6:6" x14ac:dyDescent="0.3">
      <c r="F52284" s="193"/>
    </row>
    <row r="52285" spans="6:6" x14ac:dyDescent="0.3">
      <c r="F52285" s="193"/>
    </row>
    <row r="52286" spans="6:6" x14ac:dyDescent="0.3">
      <c r="F52286" s="193"/>
    </row>
    <row r="52287" spans="6:6" x14ac:dyDescent="0.3">
      <c r="F52287" s="193"/>
    </row>
    <row r="52288" spans="6:6" x14ac:dyDescent="0.3">
      <c r="F52288" s="193"/>
    </row>
    <row r="52289" spans="6:6" x14ac:dyDescent="0.3">
      <c r="F52289" s="193"/>
    </row>
    <row r="52290" spans="6:6" x14ac:dyDescent="0.3">
      <c r="F52290" s="193"/>
    </row>
    <row r="52291" spans="6:6" x14ac:dyDescent="0.3">
      <c r="F52291" s="193"/>
    </row>
    <row r="52292" spans="6:6" x14ac:dyDescent="0.3">
      <c r="F52292" s="193"/>
    </row>
    <row r="52293" spans="6:6" x14ac:dyDescent="0.3">
      <c r="F52293" s="193"/>
    </row>
    <row r="52294" spans="6:6" x14ac:dyDescent="0.3">
      <c r="F52294" s="193"/>
    </row>
    <row r="52295" spans="6:6" x14ac:dyDescent="0.3">
      <c r="F52295" s="193"/>
    </row>
    <row r="52296" spans="6:6" x14ac:dyDescent="0.3">
      <c r="F52296" s="193"/>
    </row>
    <row r="52297" spans="6:6" x14ac:dyDescent="0.3">
      <c r="F52297" s="193"/>
    </row>
    <row r="52298" spans="6:6" x14ac:dyDescent="0.3">
      <c r="F52298" s="193"/>
    </row>
    <row r="52299" spans="6:6" x14ac:dyDescent="0.3">
      <c r="F52299" s="193"/>
    </row>
    <row r="52300" spans="6:6" x14ac:dyDescent="0.3">
      <c r="F52300" s="193"/>
    </row>
    <row r="52301" spans="6:6" x14ac:dyDescent="0.3">
      <c r="F52301" s="193"/>
    </row>
    <row r="52302" spans="6:6" x14ac:dyDescent="0.3">
      <c r="F52302" s="193"/>
    </row>
    <row r="52303" spans="6:6" x14ac:dyDescent="0.3">
      <c r="F52303" s="193"/>
    </row>
    <row r="52304" spans="6:6" x14ac:dyDescent="0.3">
      <c r="F52304" s="193"/>
    </row>
    <row r="52305" spans="6:6" x14ac:dyDescent="0.3">
      <c r="F52305" s="193"/>
    </row>
    <row r="52306" spans="6:6" x14ac:dyDescent="0.3">
      <c r="F52306" s="193"/>
    </row>
    <row r="52307" spans="6:6" x14ac:dyDescent="0.3">
      <c r="F52307" s="193"/>
    </row>
    <row r="52308" spans="6:6" x14ac:dyDescent="0.3">
      <c r="F52308" s="193"/>
    </row>
    <row r="52309" spans="6:6" x14ac:dyDescent="0.3">
      <c r="F52309" s="193"/>
    </row>
    <row r="52310" spans="6:6" x14ac:dyDescent="0.3">
      <c r="F52310" s="193"/>
    </row>
    <row r="52311" spans="6:6" x14ac:dyDescent="0.3">
      <c r="F52311" s="193"/>
    </row>
    <row r="52312" spans="6:6" x14ac:dyDescent="0.3">
      <c r="F52312" s="193"/>
    </row>
    <row r="52313" spans="6:6" x14ac:dyDescent="0.3">
      <c r="F52313" s="193"/>
    </row>
    <row r="52314" spans="6:6" x14ac:dyDescent="0.3">
      <c r="F52314" s="193"/>
    </row>
    <row r="52315" spans="6:6" x14ac:dyDescent="0.3">
      <c r="F52315" s="193"/>
    </row>
    <row r="52316" spans="6:6" x14ac:dyDescent="0.3">
      <c r="F52316" s="193"/>
    </row>
    <row r="52317" spans="6:6" x14ac:dyDescent="0.3">
      <c r="F52317" s="193"/>
    </row>
    <row r="52318" spans="6:6" x14ac:dyDescent="0.3">
      <c r="F52318" s="193"/>
    </row>
    <row r="52319" spans="6:6" x14ac:dyDescent="0.3">
      <c r="F52319" s="193"/>
    </row>
    <row r="52320" spans="6:6" x14ac:dyDescent="0.3">
      <c r="F52320" s="193"/>
    </row>
    <row r="52321" spans="6:6" x14ac:dyDescent="0.3">
      <c r="F52321" s="193"/>
    </row>
    <row r="52322" spans="6:6" x14ac:dyDescent="0.3">
      <c r="F52322" s="193"/>
    </row>
    <row r="52323" spans="6:6" x14ac:dyDescent="0.3">
      <c r="F52323" s="193"/>
    </row>
    <row r="52324" spans="6:6" x14ac:dyDescent="0.3">
      <c r="F52324" s="193"/>
    </row>
    <row r="52325" spans="6:6" x14ac:dyDescent="0.3">
      <c r="F52325" s="193"/>
    </row>
    <row r="52326" spans="6:6" x14ac:dyDescent="0.3">
      <c r="F52326" s="193"/>
    </row>
    <row r="52327" spans="6:6" x14ac:dyDescent="0.3">
      <c r="F52327" s="193"/>
    </row>
    <row r="52328" spans="6:6" x14ac:dyDescent="0.3">
      <c r="F52328" s="193"/>
    </row>
    <row r="52329" spans="6:6" x14ac:dyDescent="0.3">
      <c r="F52329" s="193"/>
    </row>
    <row r="52330" spans="6:6" x14ac:dyDescent="0.3">
      <c r="F52330" s="193"/>
    </row>
    <row r="52331" spans="6:6" x14ac:dyDescent="0.3">
      <c r="F52331" s="193"/>
    </row>
    <row r="52332" spans="6:6" x14ac:dyDescent="0.3">
      <c r="F52332" s="193"/>
    </row>
    <row r="52333" spans="6:6" x14ac:dyDescent="0.3">
      <c r="F52333" s="193"/>
    </row>
    <row r="52334" spans="6:6" x14ac:dyDescent="0.3">
      <c r="F52334" s="193"/>
    </row>
    <row r="52335" spans="6:6" x14ac:dyDescent="0.3">
      <c r="F52335" s="193"/>
    </row>
    <row r="52336" spans="6:6" x14ac:dyDescent="0.3">
      <c r="F52336" s="193"/>
    </row>
    <row r="52337" spans="6:6" x14ac:dyDescent="0.3">
      <c r="F52337" s="193"/>
    </row>
    <row r="52338" spans="6:6" x14ac:dyDescent="0.3">
      <c r="F52338" s="193"/>
    </row>
    <row r="52339" spans="6:6" x14ac:dyDescent="0.3">
      <c r="F52339" s="193"/>
    </row>
    <row r="52340" spans="6:6" x14ac:dyDescent="0.3">
      <c r="F52340" s="193"/>
    </row>
    <row r="52341" spans="6:6" x14ac:dyDescent="0.3">
      <c r="F52341" s="193"/>
    </row>
    <row r="52342" spans="6:6" x14ac:dyDescent="0.3">
      <c r="F52342" s="193"/>
    </row>
    <row r="52343" spans="6:6" x14ac:dyDescent="0.3">
      <c r="F52343" s="193"/>
    </row>
    <row r="52344" spans="6:6" x14ac:dyDescent="0.3">
      <c r="F52344" s="193"/>
    </row>
    <row r="52345" spans="6:6" x14ac:dyDescent="0.3">
      <c r="F52345" s="193"/>
    </row>
    <row r="52346" spans="6:6" x14ac:dyDescent="0.3">
      <c r="F52346" s="193"/>
    </row>
    <row r="52347" spans="6:6" x14ac:dyDescent="0.3">
      <c r="F52347" s="193"/>
    </row>
    <row r="52348" spans="6:6" x14ac:dyDescent="0.3">
      <c r="F52348" s="193"/>
    </row>
    <row r="52349" spans="6:6" x14ac:dyDescent="0.3">
      <c r="F52349" s="193"/>
    </row>
    <row r="52350" spans="6:6" x14ac:dyDescent="0.3">
      <c r="F52350" s="193"/>
    </row>
    <row r="52351" spans="6:6" x14ac:dyDescent="0.3">
      <c r="F52351" s="193"/>
    </row>
    <row r="52352" spans="6:6" x14ac:dyDescent="0.3">
      <c r="F52352" s="193"/>
    </row>
    <row r="52353" spans="6:6" x14ac:dyDescent="0.3">
      <c r="F52353" s="193"/>
    </row>
    <row r="52354" spans="6:6" x14ac:dyDescent="0.3">
      <c r="F52354" s="193"/>
    </row>
    <row r="52355" spans="6:6" x14ac:dyDescent="0.3">
      <c r="F52355" s="193"/>
    </row>
    <row r="52356" spans="6:6" x14ac:dyDescent="0.3">
      <c r="F52356" s="193"/>
    </row>
    <row r="52357" spans="6:6" x14ac:dyDescent="0.3">
      <c r="F52357" s="193"/>
    </row>
    <row r="52358" spans="6:6" x14ac:dyDescent="0.3">
      <c r="F52358" s="193"/>
    </row>
    <row r="52359" spans="6:6" x14ac:dyDescent="0.3">
      <c r="F52359" s="193"/>
    </row>
    <row r="52360" spans="6:6" x14ac:dyDescent="0.3">
      <c r="F52360" s="193"/>
    </row>
    <row r="52361" spans="6:6" x14ac:dyDescent="0.3">
      <c r="F52361" s="193"/>
    </row>
    <row r="52362" spans="6:6" x14ac:dyDescent="0.3">
      <c r="F52362" s="193"/>
    </row>
    <row r="52363" spans="6:6" x14ac:dyDescent="0.3">
      <c r="F52363" s="193"/>
    </row>
    <row r="52364" spans="6:6" x14ac:dyDescent="0.3">
      <c r="F52364" s="193"/>
    </row>
    <row r="52365" spans="6:6" x14ac:dyDescent="0.3">
      <c r="F52365" s="193"/>
    </row>
    <row r="52366" spans="6:6" x14ac:dyDescent="0.3">
      <c r="F52366" s="193"/>
    </row>
    <row r="52367" spans="6:6" x14ac:dyDescent="0.3">
      <c r="F52367" s="193"/>
    </row>
    <row r="52368" spans="6:6" x14ac:dyDescent="0.3">
      <c r="F52368" s="193"/>
    </row>
    <row r="52369" spans="6:6" x14ac:dyDescent="0.3">
      <c r="F52369" s="193"/>
    </row>
    <row r="52370" spans="6:6" x14ac:dyDescent="0.3">
      <c r="F52370" s="193"/>
    </row>
    <row r="52371" spans="6:6" x14ac:dyDescent="0.3">
      <c r="F52371" s="193"/>
    </row>
    <row r="52372" spans="6:6" x14ac:dyDescent="0.3">
      <c r="F52372" s="193"/>
    </row>
    <row r="52373" spans="6:6" x14ac:dyDescent="0.3">
      <c r="F52373" s="193"/>
    </row>
    <row r="52374" spans="6:6" x14ac:dyDescent="0.3">
      <c r="F52374" s="193"/>
    </row>
    <row r="52375" spans="6:6" x14ac:dyDescent="0.3">
      <c r="F52375" s="193"/>
    </row>
    <row r="52376" spans="6:6" x14ac:dyDescent="0.3">
      <c r="F52376" s="193"/>
    </row>
    <row r="52377" spans="6:6" x14ac:dyDescent="0.3">
      <c r="F52377" s="193"/>
    </row>
    <row r="52378" spans="6:6" x14ac:dyDescent="0.3">
      <c r="F52378" s="193"/>
    </row>
    <row r="52379" spans="6:6" x14ac:dyDescent="0.3">
      <c r="F52379" s="193"/>
    </row>
    <row r="52380" spans="6:6" x14ac:dyDescent="0.3">
      <c r="F52380" s="193"/>
    </row>
    <row r="52381" spans="6:6" x14ac:dyDescent="0.3">
      <c r="F52381" s="193"/>
    </row>
    <row r="52382" spans="6:6" x14ac:dyDescent="0.3">
      <c r="F52382" s="193"/>
    </row>
    <row r="52383" spans="6:6" x14ac:dyDescent="0.3">
      <c r="F52383" s="193"/>
    </row>
    <row r="52384" spans="6:6" x14ac:dyDescent="0.3">
      <c r="F52384" s="193"/>
    </row>
    <row r="52385" spans="6:6" x14ac:dyDescent="0.3">
      <c r="F52385" s="193"/>
    </row>
    <row r="52386" spans="6:6" x14ac:dyDescent="0.3">
      <c r="F52386" s="193"/>
    </row>
    <row r="52387" spans="6:6" x14ac:dyDescent="0.3">
      <c r="F52387" s="193"/>
    </row>
    <row r="52388" spans="6:6" x14ac:dyDescent="0.3">
      <c r="F52388" s="193"/>
    </row>
    <row r="52389" spans="6:6" x14ac:dyDescent="0.3">
      <c r="F52389" s="193"/>
    </row>
    <row r="52390" spans="6:6" x14ac:dyDescent="0.3">
      <c r="F52390" s="193"/>
    </row>
    <row r="52391" spans="6:6" x14ac:dyDescent="0.3">
      <c r="F52391" s="193"/>
    </row>
    <row r="52392" spans="6:6" x14ac:dyDescent="0.3">
      <c r="F52392" s="193"/>
    </row>
    <row r="52393" spans="6:6" x14ac:dyDescent="0.3">
      <c r="F52393" s="193"/>
    </row>
    <row r="52394" spans="6:6" x14ac:dyDescent="0.3">
      <c r="F52394" s="193"/>
    </row>
    <row r="52395" spans="6:6" x14ac:dyDescent="0.3">
      <c r="F52395" s="193"/>
    </row>
    <row r="52396" spans="6:6" x14ac:dyDescent="0.3">
      <c r="F52396" s="193"/>
    </row>
    <row r="52397" spans="6:6" x14ac:dyDescent="0.3">
      <c r="F52397" s="193"/>
    </row>
    <row r="52398" spans="6:6" x14ac:dyDescent="0.3">
      <c r="F52398" s="193"/>
    </row>
    <row r="52399" spans="6:6" x14ac:dyDescent="0.3">
      <c r="F52399" s="193"/>
    </row>
    <row r="52400" spans="6:6" x14ac:dyDescent="0.3">
      <c r="F52400" s="193"/>
    </row>
    <row r="52401" spans="6:6" x14ac:dyDescent="0.3">
      <c r="F52401" s="193"/>
    </row>
    <row r="52402" spans="6:6" x14ac:dyDescent="0.3">
      <c r="F52402" s="193"/>
    </row>
    <row r="52403" spans="6:6" x14ac:dyDescent="0.3">
      <c r="F52403" s="193"/>
    </row>
    <row r="52404" spans="6:6" x14ac:dyDescent="0.3">
      <c r="F52404" s="193"/>
    </row>
    <row r="52405" spans="6:6" x14ac:dyDescent="0.3">
      <c r="F52405" s="193"/>
    </row>
    <row r="52406" spans="6:6" x14ac:dyDescent="0.3">
      <c r="F52406" s="193"/>
    </row>
    <row r="52407" spans="6:6" x14ac:dyDescent="0.3">
      <c r="F52407" s="193"/>
    </row>
    <row r="52408" spans="6:6" x14ac:dyDescent="0.3">
      <c r="F52408" s="193"/>
    </row>
    <row r="52409" spans="6:6" x14ac:dyDescent="0.3">
      <c r="F52409" s="193"/>
    </row>
    <row r="52410" spans="6:6" x14ac:dyDescent="0.3">
      <c r="F52410" s="193"/>
    </row>
    <row r="52411" spans="6:6" x14ac:dyDescent="0.3">
      <c r="F52411" s="193"/>
    </row>
    <row r="52412" spans="6:6" x14ac:dyDescent="0.3">
      <c r="F52412" s="193"/>
    </row>
    <row r="52413" spans="6:6" x14ac:dyDescent="0.3">
      <c r="F52413" s="193"/>
    </row>
    <row r="52414" spans="6:6" x14ac:dyDescent="0.3">
      <c r="F52414" s="193"/>
    </row>
    <row r="52415" spans="6:6" x14ac:dyDescent="0.3">
      <c r="F52415" s="193"/>
    </row>
    <row r="52416" spans="6:6" x14ac:dyDescent="0.3">
      <c r="F52416" s="193"/>
    </row>
    <row r="52417" spans="6:6" x14ac:dyDescent="0.3">
      <c r="F52417" s="193"/>
    </row>
    <row r="52418" spans="6:6" x14ac:dyDescent="0.3">
      <c r="F52418" s="193"/>
    </row>
    <row r="52419" spans="6:6" x14ac:dyDescent="0.3">
      <c r="F52419" s="193"/>
    </row>
    <row r="52420" spans="6:6" x14ac:dyDescent="0.3">
      <c r="F52420" s="193"/>
    </row>
    <row r="52421" spans="6:6" x14ac:dyDescent="0.3">
      <c r="F52421" s="193"/>
    </row>
    <row r="52422" spans="6:6" x14ac:dyDescent="0.3">
      <c r="F52422" s="193"/>
    </row>
    <row r="52423" spans="6:6" x14ac:dyDescent="0.3">
      <c r="F52423" s="193"/>
    </row>
    <row r="52424" spans="6:6" x14ac:dyDescent="0.3">
      <c r="F52424" s="193"/>
    </row>
    <row r="52425" spans="6:6" x14ac:dyDescent="0.3">
      <c r="F52425" s="193"/>
    </row>
    <row r="52426" spans="6:6" x14ac:dyDescent="0.3">
      <c r="F52426" s="193"/>
    </row>
    <row r="52427" spans="6:6" x14ac:dyDescent="0.3">
      <c r="F52427" s="193"/>
    </row>
    <row r="52428" spans="6:6" x14ac:dyDescent="0.3">
      <c r="F52428" s="193"/>
    </row>
    <row r="52429" spans="6:6" x14ac:dyDescent="0.3">
      <c r="F52429" s="193"/>
    </row>
    <row r="52430" spans="6:6" x14ac:dyDescent="0.3">
      <c r="F52430" s="193"/>
    </row>
    <row r="52431" spans="6:6" x14ac:dyDescent="0.3">
      <c r="F52431" s="193"/>
    </row>
    <row r="52432" spans="6:6" x14ac:dyDescent="0.3">
      <c r="F52432" s="193"/>
    </row>
    <row r="52433" spans="6:6" x14ac:dyDescent="0.3">
      <c r="F52433" s="193"/>
    </row>
    <row r="52434" spans="6:6" x14ac:dyDescent="0.3">
      <c r="F52434" s="193"/>
    </row>
    <row r="52435" spans="6:6" x14ac:dyDescent="0.3">
      <c r="F52435" s="193"/>
    </row>
    <row r="52436" spans="6:6" x14ac:dyDescent="0.3">
      <c r="F52436" s="193"/>
    </row>
    <row r="52437" spans="6:6" x14ac:dyDescent="0.3">
      <c r="F52437" s="193"/>
    </row>
    <row r="52438" spans="6:6" x14ac:dyDescent="0.3">
      <c r="F52438" s="193"/>
    </row>
    <row r="52439" spans="6:6" x14ac:dyDescent="0.3">
      <c r="F52439" s="193"/>
    </row>
    <row r="52440" spans="6:6" x14ac:dyDescent="0.3">
      <c r="F52440" s="193"/>
    </row>
    <row r="52441" spans="6:6" x14ac:dyDescent="0.3">
      <c r="F52441" s="193"/>
    </row>
    <row r="52442" spans="6:6" x14ac:dyDescent="0.3">
      <c r="F52442" s="193"/>
    </row>
    <row r="52443" spans="6:6" x14ac:dyDescent="0.3">
      <c r="F52443" s="193"/>
    </row>
    <row r="52444" spans="6:6" x14ac:dyDescent="0.3">
      <c r="F52444" s="193"/>
    </row>
    <row r="52445" spans="6:6" x14ac:dyDescent="0.3">
      <c r="F52445" s="193"/>
    </row>
    <row r="52446" spans="6:6" x14ac:dyDescent="0.3">
      <c r="F52446" s="193"/>
    </row>
    <row r="52447" spans="6:6" x14ac:dyDescent="0.3">
      <c r="F52447" s="193"/>
    </row>
    <row r="52448" spans="6:6" x14ac:dyDescent="0.3">
      <c r="F52448" s="193"/>
    </row>
    <row r="52449" spans="6:6" x14ac:dyDescent="0.3">
      <c r="F52449" s="193"/>
    </row>
    <row r="52450" spans="6:6" x14ac:dyDescent="0.3">
      <c r="F52450" s="193"/>
    </row>
    <row r="52451" spans="6:6" x14ac:dyDescent="0.3">
      <c r="F52451" s="193"/>
    </row>
    <row r="52452" spans="6:6" x14ac:dyDescent="0.3">
      <c r="F52452" s="193"/>
    </row>
    <row r="52453" spans="6:6" x14ac:dyDescent="0.3">
      <c r="F52453" s="193"/>
    </row>
    <row r="52454" spans="6:6" x14ac:dyDescent="0.3">
      <c r="F52454" s="193"/>
    </row>
    <row r="52455" spans="6:6" x14ac:dyDescent="0.3">
      <c r="F52455" s="193"/>
    </row>
    <row r="52456" spans="6:6" x14ac:dyDescent="0.3">
      <c r="F52456" s="193"/>
    </row>
    <row r="52457" spans="6:6" x14ac:dyDescent="0.3">
      <c r="F52457" s="193"/>
    </row>
    <row r="52458" spans="6:6" x14ac:dyDescent="0.3">
      <c r="F52458" s="193"/>
    </row>
    <row r="52459" spans="6:6" x14ac:dyDescent="0.3">
      <c r="F52459" s="193"/>
    </row>
    <row r="52460" spans="6:6" x14ac:dyDescent="0.3">
      <c r="F52460" s="193"/>
    </row>
    <row r="52461" spans="6:6" x14ac:dyDescent="0.3">
      <c r="F52461" s="193"/>
    </row>
    <row r="52462" spans="6:6" x14ac:dyDescent="0.3">
      <c r="F52462" s="193"/>
    </row>
    <row r="52463" spans="6:6" x14ac:dyDescent="0.3">
      <c r="F52463" s="193"/>
    </row>
    <row r="52464" spans="6:6" x14ac:dyDescent="0.3">
      <c r="F52464" s="193"/>
    </row>
    <row r="52465" spans="6:6" x14ac:dyDescent="0.3">
      <c r="F52465" s="193"/>
    </row>
    <row r="52466" spans="6:6" x14ac:dyDescent="0.3">
      <c r="F52466" s="193"/>
    </row>
    <row r="52467" spans="6:6" x14ac:dyDescent="0.3">
      <c r="F52467" s="193"/>
    </row>
    <row r="52468" spans="6:6" x14ac:dyDescent="0.3">
      <c r="F52468" s="193"/>
    </row>
    <row r="52469" spans="6:6" x14ac:dyDescent="0.3">
      <c r="F52469" s="193"/>
    </row>
    <row r="52470" spans="6:6" x14ac:dyDescent="0.3">
      <c r="F52470" s="193"/>
    </row>
    <row r="52471" spans="6:6" x14ac:dyDescent="0.3">
      <c r="F52471" s="193"/>
    </row>
    <row r="52472" spans="6:6" x14ac:dyDescent="0.3">
      <c r="F52472" s="193"/>
    </row>
    <row r="52473" spans="6:6" x14ac:dyDescent="0.3">
      <c r="F52473" s="193"/>
    </row>
    <row r="52474" spans="6:6" x14ac:dyDescent="0.3">
      <c r="F52474" s="193"/>
    </row>
    <row r="52475" spans="6:6" x14ac:dyDescent="0.3">
      <c r="F52475" s="193"/>
    </row>
    <row r="52476" spans="6:6" x14ac:dyDescent="0.3">
      <c r="F52476" s="193"/>
    </row>
    <row r="52477" spans="6:6" x14ac:dyDescent="0.3">
      <c r="F52477" s="193"/>
    </row>
    <row r="52478" spans="6:6" x14ac:dyDescent="0.3">
      <c r="F52478" s="193"/>
    </row>
    <row r="52479" spans="6:6" x14ac:dyDescent="0.3">
      <c r="F52479" s="193"/>
    </row>
    <row r="52480" spans="6:6" x14ac:dyDescent="0.3">
      <c r="F52480" s="193"/>
    </row>
    <row r="52481" spans="6:6" x14ac:dyDescent="0.3">
      <c r="F52481" s="193"/>
    </row>
    <row r="52482" spans="6:6" x14ac:dyDescent="0.3">
      <c r="F52482" s="193"/>
    </row>
    <row r="52483" spans="6:6" x14ac:dyDescent="0.3">
      <c r="F52483" s="193"/>
    </row>
    <row r="52484" spans="6:6" x14ac:dyDescent="0.3">
      <c r="F52484" s="193"/>
    </row>
    <row r="52485" spans="6:6" x14ac:dyDescent="0.3">
      <c r="F52485" s="193"/>
    </row>
    <row r="52486" spans="6:6" x14ac:dyDescent="0.3">
      <c r="F52486" s="193"/>
    </row>
    <row r="52487" spans="6:6" x14ac:dyDescent="0.3">
      <c r="F52487" s="193"/>
    </row>
    <row r="52488" spans="6:6" x14ac:dyDescent="0.3">
      <c r="F52488" s="193"/>
    </row>
    <row r="52489" spans="6:6" x14ac:dyDescent="0.3">
      <c r="F52489" s="193"/>
    </row>
    <row r="52490" spans="6:6" x14ac:dyDescent="0.3">
      <c r="F52490" s="193"/>
    </row>
    <row r="52491" spans="6:6" x14ac:dyDescent="0.3">
      <c r="F52491" s="193"/>
    </row>
    <row r="52492" spans="6:6" x14ac:dyDescent="0.3">
      <c r="F52492" s="193"/>
    </row>
    <row r="52493" spans="6:6" x14ac:dyDescent="0.3">
      <c r="F52493" s="193"/>
    </row>
    <row r="52494" spans="6:6" x14ac:dyDescent="0.3">
      <c r="F52494" s="193"/>
    </row>
    <row r="52495" spans="6:6" x14ac:dyDescent="0.3">
      <c r="F52495" s="193"/>
    </row>
    <row r="52496" spans="6:6" x14ac:dyDescent="0.3">
      <c r="F52496" s="193"/>
    </row>
    <row r="52497" spans="6:6" x14ac:dyDescent="0.3">
      <c r="F52497" s="193"/>
    </row>
    <row r="52498" spans="6:6" x14ac:dyDescent="0.3">
      <c r="F52498" s="193"/>
    </row>
    <row r="52499" spans="6:6" x14ac:dyDescent="0.3">
      <c r="F52499" s="193"/>
    </row>
    <row r="52500" spans="6:6" x14ac:dyDescent="0.3">
      <c r="F52500" s="193"/>
    </row>
    <row r="52501" spans="6:6" x14ac:dyDescent="0.3">
      <c r="F52501" s="193"/>
    </row>
    <row r="52502" spans="6:6" x14ac:dyDescent="0.3">
      <c r="F52502" s="193"/>
    </row>
    <row r="52503" spans="6:6" x14ac:dyDescent="0.3">
      <c r="F52503" s="193"/>
    </row>
    <row r="52504" spans="6:6" x14ac:dyDescent="0.3">
      <c r="F52504" s="193"/>
    </row>
    <row r="52505" spans="6:6" x14ac:dyDescent="0.3">
      <c r="F52505" s="193"/>
    </row>
    <row r="52506" spans="6:6" x14ac:dyDescent="0.3">
      <c r="F52506" s="193"/>
    </row>
    <row r="52507" spans="6:6" x14ac:dyDescent="0.3">
      <c r="F52507" s="193"/>
    </row>
    <row r="52508" spans="6:6" x14ac:dyDescent="0.3">
      <c r="F52508" s="193"/>
    </row>
    <row r="52509" spans="6:6" x14ac:dyDescent="0.3">
      <c r="F52509" s="193"/>
    </row>
    <row r="52510" spans="6:6" x14ac:dyDescent="0.3">
      <c r="F52510" s="193"/>
    </row>
    <row r="52511" spans="6:6" x14ac:dyDescent="0.3">
      <c r="F52511" s="193"/>
    </row>
    <row r="52512" spans="6:6" x14ac:dyDescent="0.3">
      <c r="F52512" s="193"/>
    </row>
    <row r="52513" spans="6:6" x14ac:dyDescent="0.3">
      <c r="F52513" s="193"/>
    </row>
    <row r="52514" spans="6:6" x14ac:dyDescent="0.3">
      <c r="F52514" s="193"/>
    </row>
    <row r="52515" spans="6:6" x14ac:dyDescent="0.3">
      <c r="F52515" s="193"/>
    </row>
    <row r="52516" spans="6:6" x14ac:dyDescent="0.3">
      <c r="F52516" s="193"/>
    </row>
    <row r="52517" spans="6:6" x14ac:dyDescent="0.3">
      <c r="F52517" s="193"/>
    </row>
    <row r="52518" spans="6:6" x14ac:dyDescent="0.3">
      <c r="F52518" s="193"/>
    </row>
    <row r="52519" spans="6:6" x14ac:dyDescent="0.3">
      <c r="F52519" s="193"/>
    </row>
    <row r="52520" spans="6:6" x14ac:dyDescent="0.3">
      <c r="F52520" s="193"/>
    </row>
    <row r="52521" spans="6:6" x14ac:dyDescent="0.3">
      <c r="F52521" s="193"/>
    </row>
    <row r="52522" spans="6:6" x14ac:dyDescent="0.3">
      <c r="F52522" s="193"/>
    </row>
    <row r="52523" spans="6:6" x14ac:dyDescent="0.3">
      <c r="F52523" s="193"/>
    </row>
    <row r="52524" spans="6:6" x14ac:dyDescent="0.3">
      <c r="F52524" s="193"/>
    </row>
    <row r="52525" spans="6:6" x14ac:dyDescent="0.3">
      <c r="F52525" s="193"/>
    </row>
    <row r="52526" spans="6:6" x14ac:dyDescent="0.3">
      <c r="F52526" s="193"/>
    </row>
    <row r="52527" spans="6:6" x14ac:dyDescent="0.3">
      <c r="F52527" s="193"/>
    </row>
    <row r="52528" spans="6:6" x14ac:dyDescent="0.3">
      <c r="F52528" s="193"/>
    </row>
    <row r="52529" spans="6:6" x14ac:dyDescent="0.3">
      <c r="F52529" s="193"/>
    </row>
    <row r="52530" spans="6:6" x14ac:dyDescent="0.3">
      <c r="F52530" s="193"/>
    </row>
    <row r="52531" spans="6:6" x14ac:dyDescent="0.3">
      <c r="F52531" s="193"/>
    </row>
    <row r="52532" spans="6:6" x14ac:dyDescent="0.3">
      <c r="F52532" s="193"/>
    </row>
    <row r="52533" spans="6:6" x14ac:dyDescent="0.3">
      <c r="F52533" s="193"/>
    </row>
    <row r="52534" spans="6:6" x14ac:dyDescent="0.3">
      <c r="F52534" s="193"/>
    </row>
    <row r="52535" spans="6:6" x14ac:dyDescent="0.3">
      <c r="F52535" s="193"/>
    </row>
    <row r="52536" spans="6:6" x14ac:dyDescent="0.3">
      <c r="F52536" s="193"/>
    </row>
    <row r="52537" spans="6:6" x14ac:dyDescent="0.3">
      <c r="F52537" s="193"/>
    </row>
    <row r="52538" spans="6:6" x14ac:dyDescent="0.3">
      <c r="F52538" s="193"/>
    </row>
    <row r="52539" spans="6:6" x14ac:dyDescent="0.3">
      <c r="F52539" s="193"/>
    </row>
    <row r="52540" spans="6:6" x14ac:dyDescent="0.3">
      <c r="F52540" s="193"/>
    </row>
    <row r="52541" spans="6:6" x14ac:dyDescent="0.3">
      <c r="F52541" s="193"/>
    </row>
    <row r="52542" spans="6:6" x14ac:dyDescent="0.3">
      <c r="F52542" s="193"/>
    </row>
    <row r="52543" spans="6:6" x14ac:dyDescent="0.3">
      <c r="F52543" s="193"/>
    </row>
    <row r="52544" spans="6:6" x14ac:dyDescent="0.3">
      <c r="F52544" s="193"/>
    </row>
    <row r="52545" spans="6:6" x14ac:dyDescent="0.3">
      <c r="F52545" s="193"/>
    </row>
    <row r="52546" spans="6:6" x14ac:dyDescent="0.3">
      <c r="F52546" s="193"/>
    </row>
    <row r="52547" spans="6:6" x14ac:dyDescent="0.3">
      <c r="F52547" s="193"/>
    </row>
    <row r="52548" spans="6:6" x14ac:dyDescent="0.3">
      <c r="F52548" s="193"/>
    </row>
    <row r="52549" spans="6:6" x14ac:dyDescent="0.3">
      <c r="F52549" s="193"/>
    </row>
    <row r="52550" spans="6:6" x14ac:dyDescent="0.3">
      <c r="F52550" s="193"/>
    </row>
    <row r="52551" spans="6:6" x14ac:dyDescent="0.3">
      <c r="F52551" s="193"/>
    </row>
    <row r="52552" spans="6:6" x14ac:dyDescent="0.3">
      <c r="F52552" s="193"/>
    </row>
    <row r="52553" spans="6:6" x14ac:dyDescent="0.3">
      <c r="F52553" s="193"/>
    </row>
    <row r="52554" spans="6:6" x14ac:dyDescent="0.3">
      <c r="F52554" s="193"/>
    </row>
    <row r="52555" spans="6:6" x14ac:dyDescent="0.3">
      <c r="F52555" s="193"/>
    </row>
    <row r="52556" spans="6:6" x14ac:dyDescent="0.3">
      <c r="F52556" s="193"/>
    </row>
    <row r="52557" spans="6:6" x14ac:dyDescent="0.3">
      <c r="F52557" s="193"/>
    </row>
    <row r="52558" spans="6:6" x14ac:dyDescent="0.3">
      <c r="F52558" s="193"/>
    </row>
    <row r="52559" spans="6:6" x14ac:dyDescent="0.3">
      <c r="F52559" s="193"/>
    </row>
    <row r="52560" spans="6:6" x14ac:dyDescent="0.3">
      <c r="F52560" s="193"/>
    </row>
    <row r="52561" spans="6:6" x14ac:dyDescent="0.3">
      <c r="F52561" s="193"/>
    </row>
    <row r="52562" spans="6:6" x14ac:dyDescent="0.3">
      <c r="F52562" s="193"/>
    </row>
    <row r="52563" spans="6:6" x14ac:dyDescent="0.3">
      <c r="F52563" s="193"/>
    </row>
    <row r="52564" spans="6:6" x14ac:dyDescent="0.3">
      <c r="F52564" s="193"/>
    </row>
    <row r="52565" spans="6:6" x14ac:dyDescent="0.3">
      <c r="F52565" s="193"/>
    </row>
    <row r="52566" spans="6:6" x14ac:dyDescent="0.3">
      <c r="F52566" s="193"/>
    </row>
    <row r="52567" spans="6:6" x14ac:dyDescent="0.3">
      <c r="F52567" s="193"/>
    </row>
    <row r="52568" spans="6:6" x14ac:dyDescent="0.3">
      <c r="F52568" s="193"/>
    </row>
    <row r="52569" spans="6:6" x14ac:dyDescent="0.3">
      <c r="F52569" s="193"/>
    </row>
    <row r="52570" spans="6:6" x14ac:dyDescent="0.3">
      <c r="F52570" s="193"/>
    </row>
    <row r="52571" spans="6:6" x14ac:dyDescent="0.3">
      <c r="F52571" s="193"/>
    </row>
    <row r="52572" spans="6:6" x14ac:dyDescent="0.3">
      <c r="F52572" s="193"/>
    </row>
    <row r="52573" spans="6:6" x14ac:dyDescent="0.3">
      <c r="F52573" s="193"/>
    </row>
    <row r="52574" spans="6:6" x14ac:dyDescent="0.3">
      <c r="F52574" s="193"/>
    </row>
    <row r="52575" spans="6:6" x14ac:dyDescent="0.3">
      <c r="F52575" s="193"/>
    </row>
    <row r="52576" spans="6:6" x14ac:dyDescent="0.3">
      <c r="F52576" s="193"/>
    </row>
    <row r="52577" spans="6:6" x14ac:dyDescent="0.3">
      <c r="F52577" s="193"/>
    </row>
    <row r="52578" spans="6:6" x14ac:dyDescent="0.3">
      <c r="F52578" s="193"/>
    </row>
    <row r="52579" spans="6:6" x14ac:dyDescent="0.3">
      <c r="F52579" s="193"/>
    </row>
    <row r="52580" spans="6:6" x14ac:dyDescent="0.3">
      <c r="F52580" s="193"/>
    </row>
    <row r="52581" spans="6:6" x14ac:dyDescent="0.3">
      <c r="F52581" s="193"/>
    </row>
    <row r="52582" spans="6:6" x14ac:dyDescent="0.3">
      <c r="F52582" s="193"/>
    </row>
    <row r="52583" spans="6:6" x14ac:dyDescent="0.3">
      <c r="F52583" s="193"/>
    </row>
    <row r="52584" spans="6:6" x14ac:dyDescent="0.3">
      <c r="F52584" s="193"/>
    </row>
    <row r="52585" spans="6:6" x14ac:dyDescent="0.3">
      <c r="F52585" s="193"/>
    </row>
    <row r="52586" spans="6:6" x14ac:dyDescent="0.3">
      <c r="F52586" s="193"/>
    </row>
    <row r="52587" spans="6:6" x14ac:dyDescent="0.3">
      <c r="F52587" s="193"/>
    </row>
    <row r="52588" spans="6:6" x14ac:dyDescent="0.3">
      <c r="F52588" s="193"/>
    </row>
    <row r="52589" spans="6:6" x14ac:dyDescent="0.3">
      <c r="F52589" s="193"/>
    </row>
    <row r="52590" spans="6:6" x14ac:dyDescent="0.3">
      <c r="F52590" s="193"/>
    </row>
    <row r="52591" spans="6:6" x14ac:dyDescent="0.3">
      <c r="F52591" s="193"/>
    </row>
    <row r="52592" spans="6:6" x14ac:dyDescent="0.3">
      <c r="F52592" s="193"/>
    </row>
    <row r="52593" spans="6:6" x14ac:dyDescent="0.3">
      <c r="F52593" s="193"/>
    </row>
    <row r="52594" spans="6:6" x14ac:dyDescent="0.3">
      <c r="F52594" s="193"/>
    </row>
    <row r="52595" spans="6:6" x14ac:dyDescent="0.3">
      <c r="F52595" s="193"/>
    </row>
    <row r="52596" spans="6:6" x14ac:dyDescent="0.3">
      <c r="F52596" s="193"/>
    </row>
    <row r="52597" spans="6:6" x14ac:dyDescent="0.3">
      <c r="F52597" s="193"/>
    </row>
    <row r="52598" spans="6:6" x14ac:dyDescent="0.3">
      <c r="F52598" s="193"/>
    </row>
    <row r="52599" spans="6:6" x14ac:dyDescent="0.3">
      <c r="F52599" s="193"/>
    </row>
    <row r="52600" spans="6:6" x14ac:dyDescent="0.3">
      <c r="F52600" s="193"/>
    </row>
    <row r="52601" spans="6:6" x14ac:dyDescent="0.3">
      <c r="F52601" s="193"/>
    </row>
    <row r="52602" spans="6:6" x14ac:dyDescent="0.3">
      <c r="F52602" s="193"/>
    </row>
    <row r="52603" spans="6:6" x14ac:dyDescent="0.3">
      <c r="F52603" s="193"/>
    </row>
    <row r="52604" spans="6:6" x14ac:dyDescent="0.3">
      <c r="F52604" s="193"/>
    </row>
    <row r="52605" spans="6:6" x14ac:dyDescent="0.3">
      <c r="F52605" s="193"/>
    </row>
    <row r="52606" spans="6:6" x14ac:dyDescent="0.3">
      <c r="F52606" s="193"/>
    </row>
    <row r="52607" spans="6:6" x14ac:dyDescent="0.3">
      <c r="F52607" s="193"/>
    </row>
    <row r="52608" spans="6:6" x14ac:dyDescent="0.3">
      <c r="F52608" s="193"/>
    </row>
    <row r="52609" spans="6:6" x14ac:dyDescent="0.3">
      <c r="F52609" s="193"/>
    </row>
    <row r="52610" spans="6:6" x14ac:dyDescent="0.3">
      <c r="F52610" s="193"/>
    </row>
    <row r="52611" spans="6:6" x14ac:dyDescent="0.3">
      <c r="F52611" s="193"/>
    </row>
    <row r="52612" spans="6:6" x14ac:dyDescent="0.3">
      <c r="F52612" s="193"/>
    </row>
    <row r="52613" spans="6:6" x14ac:dyDescent="0.3">
      <c r="F52613" s="193"/>
    </row>
    <row r="52614" spans="6:6" x14ac:dyDescent="0.3">
      <c r="F52614" s="193"/>
    </row>
    <row r="52615" spans="6:6" x14ac:dyDescent="0.3">
      <c r="F52615" s="193"/>
    </row>
    <row r="52616" spans="6:6" x14ac:dyDescent="0.3">
      <c r="F52616" s="193"/>
    </row>
    <row r="52617" spans="6:6" x14ac:dyDescent="0.3">
      <c r="F52617" s="193"/>
    </row>
    <row r="52618" spans="6:6" x14ac:dyDescent="0.3">
      <c r="F52618" s="193"/>
    </row>
    <row r="52619" spans="6:6" x14ac:dyDescent="0.3">
      <c r="F52619" s="193"/>
    </row>
    <row r="52620" spans="6:6" x14ac:dyDescent="0.3">
      <c r="F52620" s="193"/>
    </row>
    <row r="52621" spans="6:6" x14ac:dyDescent="0.3">
      <c r="F52621" s="193"/>
    </row>
    <row r="52622" spans="6:6" x14ac:dyDescent="0.3">
      <c r="F52622" s="193"/>
    </row>
    <row r="52623" spans="6:6" x14ac:dyDescent="0.3">
      <c r="F52623" s="193"/>
    </row>
    <row r="52624" spans="6:6" x14ac:dyDescent="0.3">
      <c r="F52624" s="193"/>
    </row>
    <row r="52625" spans="6:6" x14ac:dyDescent="0.3">
      <c r="F52625" s="193"/>
    </row>
    <row r="52626" spans="6:6" x14ac:dyDescent="0.3">
      <c r="F52626" s="193"/>
    </row>
    <row r="52627" spans="6:6" x14ac:dyDescent="0.3">
      <c r="F52627" s="193"/>
    </row>
    <row r="52628" spans="6:6" x14ac:dyDescent="0.3">
      <c r="F52628" s="193"/>
    </row>
    <row r="52629" spans="6:6" x14ac:dyDescent="0.3">
      <c r="F52629" s="193"/>
    </row>
    <row r="52630" spans="6:6" x14ac:dyDescent="0.3">
      <c r="F52630" s="193"/>
    </row>
    <row r="52631" spans="6:6" x14ac:dyDescent="0.3">
      <c r="F52631" s="193"/>
    </row>
    <row r="52632" spans="6:6" x14ac:dyDescent="0.3">
      <c r="F52632" s="193"/>
    </row>
    <row r="52633" spans="6:6" x14ac:dyDescent="0.3">
      <c r="F52633" s="193"/>
    </row>
    <row r="52634" spans="6:6" x14ac:dyDescent="0.3">
      <c r="F52634" s="193"/>
    </row>
    <row r="52635" spans="6:6" x14ac:dyDescent="0.3">
      <c r="F52635" s="193"/>
    </row>
    <row r="52636" spans="6:6" x14ac:dyDescent="0.3">
      <c r="F52636" s="193"/>
    </row>
    <row r="52637" spans="6:6" x14ac:dyDescent="0.3">
      <c r="F52637" s="193"/>
    </row>
    <row r="52638" spans="6:6" x14ac:dyDescent="0.3">
      <c r="F52638" s="193"/>
    </row>
    <row r="52639" spans="6:6" x14ac:dyDescent="0.3">
      <c r="F52639" s="193"/>
    </row>
    <row r="52640" spans="6:6" x14ac:dyDescent="0.3">
      <c r="F52640" s="193"/>
    </row>
    <row r="52641" spans="6:6" x14ac:dyDescent="0.3">
      <c r="F52641" s="193"/>
    </row>
    <row r="52642" spans="6:6" x14ac:dyDescent="0.3">
      <c r="F52642" s="193"/>
    </row>
    <row r="52643" spans="6:6" x14ac:dyDescent="0.3">
      <c r="F52643" s="193"/>
    </row>
    <row r="52644" spans="6:6" x14ac:dyDescent="0.3">
      <c r="F52644" s="193"/>
    </row>
    <row r="52645" spans="6:6" x14ac:dyDescent="0.3">
      <c r="F52645" s="193"/>
    </row>
    <row r="52646" spans="6:6" x14ac:dyDescent="0.3">
      <c r="F52646" s="193"/>
    </row>
    <row r="52647" spans="6:6" x14ac:dyDescent="0.3">
      <c r="F52647" s="193"/>
    </row>
    <row r="52648" spans="6:6" x14ac:dyDescent="0.3">
      <c r="F52648" s="193"/>
    </row>
    <row r="52649" spans="6:6" x14ac:dyDescent="0.3">
      <c r="F52649" s="193"/>
    </row>
    <row r="52650" spans="6:6" x14ac:dyDescent="0.3">
      <c r="F52650" s="193"/>
    </row>
    <row r="52651" spans="6:6" x14ac:dyDescent="0.3">
      <c r="F52651" s="193"/>
    </row>
    <row r="52652" spans="6:6" x14ac:dyDescent="0.3">
      <c r="F52652" s="193"/>
    </row>
    <row r="52653" spans="6:6" x14ac:dyDescent="0.3">
      <c r="F52653" s="193"/>
    </row>
    <row r="52654" spans="6:6" x14ac:dyDescent="0.3">
      <c r="F52654" s="193"/>
    </row>
    <row r="52655" spans="6:6" x14ac:dyDescent="0.3">
      <c r="F52655" s="193"/>
    </row>
    <row r="52656" spans="6:6" x14ac:dyDescent="0.3">
      <c r="F52656" s="193"/>
    </row>
    <row r="52657" spans="6:6" x14ac:dyDescent="0.3">
      <c r="F52657" s="193"/>
    </row>
    <row r="52658" spans="6:6" x14ac:dyDescent="0.3">
      <c r="F52658" s="193"/>
    </row>
    <row r="52659" spans="6:6" x14ac:dyDescent="0.3">
      <c r="F52659" s="193"/>
    </row>
    <row r="52660" spans="6:6" x14ac:dyDescent="0.3">
      <c r="F52660" s="193"/>
    </row>
    <row r="52661" spans="6:6" x14ac:dyDescent="0.3">
      <c r="F52661" s="193"/>
    </row>
    <row r="52662" spans="6:6" x14ac:dyDescent="0.3">
      <c r="F52662" s="193"/>
    </row>
    <row r="52663" spans="6:6" x14ac:dyDescent="0.3">
      <c r="F52663" s="193"/>
    </row>
    <row r="52664" spans="6:6" x14ac:dyDescent="0.3">
      <c r="F52664" s="193"/>
    </row>
    <row r="52665" spans="6:6" x14ac:dyDescent="0.3">
      <c r="F52665" s="193"/>
    </row>
    <row r="52666" spans="6:6" x14ac:dyDescent="0.3">
      <c r="F52666" s="193"/>
    </row>
    <row r="52667" spans="6:6" x14ac:dyDescent="0.3">
      <c r="F52667" s="193"/>
    </row>
    <row r="52668" spans="6:6" x14ac:dyDescent="0.3">
      <c r="F52668" s="193"/>
    </row>
    <row r="52669" spans="6:6" x14ac:dyDescent="0.3">
      <c r="F52669" s="193"/>
    </row>
    <row r="52670" spans="6:6" x14ac:dyDescent="0.3">
      <c r="F52670" s="193"/>
    </row>
    <row r="52671" spans="6:6" x14ac:dyDescent="0.3">
      <c r="F52671" s="193"/>
    </row>
    <row r="52672" spans="6:6" x14ac:dyDescent="0.3">
      <c r="F52672" s="193"/>
    </row>
    <row r="52673" spans="6:6" x14ac:dyDescent="0.3">
      <c r="F52673" s="193"/>
    </row>
    <row r="52674" spans="6:6" x14ac:dyDescent="0.3">
      <c r="F52674" s="193"/>
    </row>
    <row r="52675" spans="6:6" x14ac:dyDescent="0.3">
      <c r="F52675" s="193"/>
    </row>
    <row r="52676" spans="6:6" x14ac:dyDescent="0.3">
      <c r="F52676" s="193"/>
    </row>
    <row r="52677" spans="6:6" x14ac:dyDescent="0.3">
      <c r="F52677" s="193"/>
    </row>
    <row r="52678" spans="6:6" x14ac:dyDescent="0.3">
      <c r="F52678" s="193"/>
    </row>
    <row r="52679" spans="6:6" x14ac:dyDescent="0.3">
      <c r="F52679" s="193"/>
    </row>
    <row r="52680" spans="6:6" x14ac:dyDescent="0.3">
      <c r="F52680" s="193"/>
    </row>
    <row r="52681" spans="6:6" x14ac:dyDescent="0.3">
      <c r="F52681" s="193"/>
    </row>
    <row r="52682" spans="6:6" x14ac:dyDescent="0.3">
      <c r="F52682" s="193"/>
    </row>
    <row r="52683" spans="6:6" x14ac:dyDescent="0.3">
      <c r="F52683" s="193"/>
    </row>
    <row r="52684" spans="6:6" x14ac:dyDescent="0.3">
      <c r="F52684" s="193"/>
    </row>
    <row r="52685" spans="6:6" x14ac:dyDescent="0.3">
      <c r="F52685" s="193"/>
    </row>
    <row r="52686" spans="6:6" x14ac:dyDescent="0.3">
      <c r="F52686" s="193"/>
    </row>
    <row r="52687" spans="6:6" x14ac:dyDescent="0.3">
      <c r="F52687" s="193"/>
    </row>
    <row r="52688" spans="6:6" x14ac:dyDescent="0.3">
      <c r="F52688" s="193"/>
    </row>
    <row r="52689" spans="6:6" x14ac:dyDescent="0.3">
      <c r="F52689" s="193"/>
    </row>
    <row r="52690" spans="6:6" x14ac:dyDescent="0.3">
      <c r="F52690" s="193"/>
    </row>
    <row r="52691" spans="6:6" x14ac:dyDescent="0.3">
      <c r="F52691" s="193"/>
    </row>
    <row r="52692" spans="6:6" x14ac:dyDescent="0.3">
      <c r="F52692" s="193"/>
    </row>
    <row r="52693" spans="6:6" x14ac:dyDescent="0.3">
      <c r="F52693" s="193"/>
    </row>
    <row r="52694" spans="6:6" x14ac:dyDescent="0.3">
      <c r="F52694" s="193"/>
    </row>
    <row r="52695" spans="6:6" x14ac:dyDescent="0.3">
      <c r="F52695" s="193"/>
    </row>
    <row r="52696" spans="6:6" x14ac:dyDescent="0.3">
      <c r="F52696" s="193"/>
    </row>
    <row r="52697" spans="6:6" x14ac:dyDescent="0.3">
      <c r="F52697" s="193"/>
    </row>
    <row r="52698" spans="6:6" x14ac:dyDescent="0.3">
      <c r="F52698" s="193"/>
    </row>
    <row r="52699" spans="6:6" x14ac:dyDescent="0.3">
      <c r="F52699" s="193"/>
    </row>
    <row r="52700" spans="6:6" x14ac:dyDescent="0.3">
      <c r="F52700" s="193"/>
    </row>
    <row r="52701" spans="6:6" x14ac:dyDescent="0.3">
      <c r="F52701" s="193"/>
    </row>
    <row r="52702" spans="6:6" x14ac:dyDescent="0.3">
      <c r="F52702" s="193"/>
    </row>
    <row r="52703" spans="6:6" x14ac:dyDescent="0.3">
      <c r="F52703" s="193"/>
    </row>
    <row r="52704" spans="6:6" x14ac:dyDescent="0.3">
      <c r="F52704" s="193"/>
    </row>
    <row r="52705" spans="6:6" x14ac:dyDescent="0.3">
      <c r="F52705" s="193"/>
    </row>
    <row r="52706" spans="6:6" x14ac:dyDescent="0.3">
      <c r="F52706" s="193"/>
    </row>
    <row r="52707" spans="6:6" x14ac:dyDescent="0.3">
      <c r="F52707" s="193"/>
    </row>
    <row r="52708" spans="6:6" x14ac:dyDescent="0.3">
      <c r="F52708" s="193"/>
    </row>
    <row r="52709" spans="6:6" x14ac:dyDescent="0.3">
      <c r="F52709" s="193"/>
    </row>
    <row r="52710" spans="6:6" x14ac:dyDescent="0.3">
      <c r="F52710" s="193"/>
    </row>
    <row r="52711" spans="6:6" x14ac:dyDescent="0.3">
      <c r="F52711" s="193"/>
    </row>
    <row r="52712" spans="6:6" x14ac:dyDescent="0.3">
      <c r="F52712" s="193"/>
    </row>
    <row r="52713" spans="6:6" x14ac:dyDescent="0.3">
      <c r="F52713" s="193"/>
    </row>
    <row r="52714" spans="6:6" x14ac:dyDescent="0.3">
      <c r="F52714" s="193"/>
    </row>
    <row r="52715" spans="6:6" x14ac:dyDescent="0.3">
      <c r="F52715" s="193"/>
    </row>
    <row r="52716" spans="6:6" x14ac:dyDescent="0.3">
      <c r="F52716" s="193"/>
    </row>
    <row r="52717" spans="6:6" x14ac:dyDescent="0.3">
      <c r="F52717" s="193"/>
    </row>
    <row r="52718" spans="6:6" x14ac:dyDescent="0.3">
      <c r="F52718" s="193"/>
    </row>
    <row r="52719" spans="6:6" x14ac:dyDescent="0.3">
      <c r="F52719" s="193"/>
    </row>
    <row r="52720" spans="6:6" x14ac:dyDescent="0.3">
      <c r="F52720" s="193"/>
    </row>
    <row r="52721" spans="6:6" x14ac:dyDescent="0.3">
      <c r="F52721" s="193"/>
    </row>
    <row r="52722" spans="6:6" x14ac:dyDescent="0.3">
      <c r="F52722" s="193"/>
    </row>
    <row r="52723" spans="6:6" x14ac:dyDescent="0.3">
      <c r="F52723" s="193"/>
    </row>
    <row r="52724" spans="6:6" x14ac:dyDescent="0.3">
      <c r="F52724" s="193"/>
    </row>
    <row r="52725" spans="6:6" x14ac:dyDescent="0.3">
      <c r="F52725" s="193"/>
    </row>
    <row r="52726" spans="6:6" x14ac:dyDescent="0.3">
      <c r="F52726" s="193"/>
    </row>
    <row r="52727" spans="6:6" x14ac:dyDescent="0.3">
      <c r="F52727" s="193"/>
    </row>
    <row r="52728" spans="6:6" x14ac:dyDescent="0.3">
      <c r="F52728" s="193"/>
    </row>
    <row r="52729" spans="6:6" x14ac:dyDescent="0.3">
      <c r="F52729" s="193"/>
    </row>
    <row r="52730" spans="6:6" x14ac:dyDescent="0.3">
      <c r="F52730" s="193"/>
    </row>
    <row r="52731" spans="6:6" x14ac:dyDescent="0.3">
      <c r="F52731" s="193"/>
    </row>
    <row r="52732" spans="6:6" x14ac:dyDescent="0.3">
      <c r="F52732" s="193"/>
    </row>
    <row r="52733" spans="6:6" x14ac:dyDescent="0.3">
      <c r="F52733" s="193"/>
    </row>
    <row r="52734" spans="6:6" x14ac:dyDescent="0.3">
      <c r="F52734" s="193"/>
    </row>
    <row r="52735" spans="6:6" x14ac:dyDescent="0.3">
      <c r="F52735" s="193"/>
    </row>
    <row r="52736" spans="6:6" x14ac:dyDescent="0.3">
      <c r="F52736" s="193"/>
    </row>
    <row r="52737" spans="6:6" x14ac:dyDescent="0.3">
      <c r="F52737" s="193"/>
    </row>
    <row r="52738" spans="6:6" x14ac:dyDescent="0.3">
      <c r="F52738" s="193"/>
    </row>
    <row r="52739" spans="6:6" x14ac:dyDescent="0.3">
      <c r="F52739" s="193"/>
    </row>
    <row r="52740" spans="6:6" x14ac:dyDescent="0.3">
      <c r="F52740" s="193"/>
    </row>
    <row r="52741" spans="6:6" x14ac:dyDescent="0.3">
      <c r="F52741" s="193"/>
    </row>
    <row r="52742" spans="6:6" x14ac:dyDescent="0.3">
      <c r="F52742" s="193"/>
    </row>
    <row r="52743" spans="6:6" x14ac:dyDescent="0.3">
      <c r="F52743" s="193"/>
    </row>
    <row r="52744" spans="6:6" x14ac:dyDescent="0.3">
      <c r="F52744" s="193"/>
    </row>
    <row r="52745" spans="6:6" x14ac:dyDescent="0.3">
      <c r="F52745" s="193"/>
    </row>
    <row r="52746" spans="6:6" x14ac:dyDescent="0.3">
      <c r="F52746" s="193"/>
    </row>
    <row r="52747" spans="6:6" x14ac:dyDescent="0.3">
      <c r="F52747" s="193"/>
    </row>
    <row r="52748" spans="6:6" x14ac:dyDescent="0.3">
      <c r="F52748" s="193"/>
    </row>
    <row r="52749" spans="6:6" x14ac:dyDescent="0.3">
      <c r="F52749" s="193"/>
    </row>
    <row r="52750" spans="6:6" x14ac:dyDescent="0.3">
      <c r="F52750" s="193"/>
    </row>
    <row r="52751" spans="6:6" x14ac:dyDescent="0.3">
      <c r="F52751" s="193"/>
    </row>
    <row r="52752" spans="6:6" x14ac:dyDescent="0.3">
      <c r="F52752" s="193"/>
    </row>
    <row r="52753" spans="6:6" x14ac:dyDescent="0.3">
      <c r="F52753" s="193"/>
    </row>
    <row r="52754" spans="6:6" x14ac:dyDescent="0.3">
      <c r="F52754" s="193"/>
    </row>
    <row r="52755" spans="6:6" x14ac:dyDescent="0.3">
      <c r="F52755" s="193"/>
    </row>
    <row r="52756" spans="6:6" x14ac:dyDescent="0.3">
      <c r="F52756" s="193"/>
    </row>
    <row r="52757" spans="6:6" x14ac:dyDescent="0.3">
      <c r="F52757" s="193"/>
    </row>
    <row r="52758" spans="6:6" x14ac:dyDescent="0.3">
      <c r="F52758" s="193"/>
    </row>
    <row r="52759" spans="6:6" x14ac:dyDescent="0.3">
      <c r="F52759" s="193"/>
    </row>
    <row r="52760" spans="6:6" x14ac:dyDescent="0.3">
      <c r="F52760" s="193"/>
    </row>
    <row r="52761" spans="6:6" x14ac:dyDescent="0.3">
      <c r="F52761" s="193"/>
    </row>
    <row r="52762" spans="6:6" x14ac:dyDescent="0.3">
      <c r="F52762" s="193"/>
    </row>
    <row r="52763" spans="6:6" x14ac:dyDescent="0.3">
      <c r="F52763" s="193"/>
    </row>
    <row r="52764" spans="6:6" x14ac:dyDescent="0.3">
      <c r="F52764" s="193"/>
    </row>
    <row r="52765" spans="6:6" x14ac:dyDescent="0.3">
      <c r="F52765" s="193"/>
    </row>
    <row r="52766" spans="6:6" x14ac:dyDescent="0.3">
      <c r="F52766" s="193"/>
    </row>
    <row r="52767" spans="6:6" x14ac:dyDescent="0.3">
      <c r="F52767" s="193"/>
    </row>
    <row r="52768" spans="6:6" x14ac:dyDescent="0.3">
      <c r="F52768" s="193"/>
    </row>
    <row r="52769" spans="6:6" x14ac:dyDescent="0.3">
      <c r="F52769" s="193"/>
    </row>
    <row r="52770" spans="6:6" x14ac:dyDescent="0.3">
      <c r="F52770" s="193"/>
    </row>
    <row r="52771" spans="6:6" x14ac:dyDescent="0.3">
      <c r="F52771" s="193"/>
    </row>
    <row r="52772" spans="6:6" x14ac:dyDescent="0.3">
      <c r="F52772" s="193"/>
    </row>
    <row r="52773" spans="6:6" x14ac:dyDescent="0.3">
      <c r="F52773" s="193"/>
    </row>
    <row r="52774" spans="6:6" x14ac:dyDescent="0.3">
      <c r="F52774" s="193"/>
    </row>
    <row r="52775" spans="6:6" x14ac:dyDescent="0.3">
      <c r="F52775" s="193"/>
    </row>
    <row r="52776" spans="6:6" x14ac:dyDescent="0.3">
      <c r="F52776" s="193"/>
    </row>
    <row r="52777" spans="6:6" x14ac:dyDescent="0.3">
      <c r="F52777" s="193"/>
    </row>
    <row r="52778" spans="6:6" x14ac:dyDescent="0.3">
      <c r="F52778" s="193"/>
    </row>
    <row r="52779" spans="6:6" x14ac:dyDescent="0.3">
      <c r="F52779" s="193"/>
    </row>
    <row r="52780" spans="6:6" x14ac:dyDescent="0.3">
      <c r="F52780" s="193"/>
    </row>
    <row r="52781" spans="6:6" x14ac:dyDescent="0.3">
      <c r="F52781" s="193"/>
    </row>
    <row r="52782" spans="6:6" x14ac:dyDescent="0.3">
      <c r="F52782" s="193"/>
    </row>
    <row r="52783" spans="6:6" x14ac:dyDescent="0.3">
      <c r="F52783" s="193"/>
    </row>
    <row r="52784" spans="6:6" x14ac:dyDescent="0.3">
      <c r="F52784" s="193"/>
    </row>
    <row r="52785" spans="6:6" x14ac:dyDescent="0.3">
      <c r="F52785" s="193"/>
    </row>
    <row r="52786" spans="6:6" x14ac:dyDescent="0.3">
      <c r="F52786" s="193"/>
    </row>
    <row r="52787" spans="6:6" x14ac:dyDescent="0.3">
      <c r="F52787" s="193"/>
    </row>
    <row r="52788" spans="6:6" x14ac:dyDescent="0.3">
      <c r="F52788" s="193"/>
    </row>
    <row r="52789" spans="6:6" x14ac:dyDescent="0.3">
      <c r="F52789" s="193"/>
    </row>
    <row r="52790" spans="6:6" x14ac:dyDescent="0.3">
      <c r="F52790" s="193"/>
    </row>
    <row r="52791" spans="6:6" x14ac:dyDescent="0.3">
      <c r="F52791" s="193"/>
    </row>
    <row r="52792" spans="6:6" x14ac:dyDescent="0.3">
      <c r="F52792" s="193"/>
    </row>
    <row r="52793" spans="6:6" x14ac:dyDescent="0.3">
      <c r="F52793" s="193"/>
    </row>
    <row r="52794" spans="6:6" x14ac:dyDescent="0.3">
      <c r="F52794" s="193"/>
    </row>
    <row r="52795" spans="6:6" x14ac:dyDescent="0.3">
      <c r="F52795" s="193"/>
    </row>
    <row r="52796" spans="6:6" x14ac:dyDescent="0.3">
      <c r="F52796" s="193"/>
    </row>
    <row r="52797" spans="6:6" x14ac:dyDescent="0.3">
      <c r="F52797" s="193"/>
    </row>
    <row r="52798" spans="6:6" x14ac:dyDescent="0.3">
      <c r="F52798" s="193"/>
    </row>
    <row r="52799" spans="6:6" x14ac:dyDescent="0.3">
      <c r="F52799" s="193"/>
    </row>
    <row r="52800" spans="6:6" x14ac:dyDescent="0.3">
      <c r="F52800" s="193"/>
    </row>
    <row r="52801" spans="6:6" x14ac:dyDescent="0.3">
      <c r="F52801" s="193"/>
    </row>
    <row r="52802" spans="6:6" x14ac:dyDescent="0.3">
      <c r="F52802" s="193"/>
    </row>
    <row r="52803" spans="6:6" x14ac:dyDescent="0.3">
      <c r="F52803" s="193"/>
    </row>
    <row r="52804" spans="6:6" x14ac:dyDescent="0.3">
      <c r="F52804" s="193"/>
    </row>
    <row r="52805" spans="6:6" x14ac:dyDescent="0.3">
      <c r="F52805" s="193"/>
    </row>
    <row r="52806" spans="6:6" x14ac:dyDescent="0.3">
      <c r="F52806" s="193"/>
    </row>
    <row r="52807" spans="6:6" x14ac:dyDescent="0.3">
      <c r="F52807" s="193"/>
    </row>
    <row r="52808" spans="6:6" x14ac:dyDescent="0.3">
      <c r="F52808" s="193"/>
    </row>
    <row r="52809" spans="6:6" x14ac:dyDescent="0.3">
      <c r="F52809" s="193"/>
    </row>
    <row r="52810" spans="6:6" x14ac:dyDescent="0.3">
      <c r="F52810" s="193"/>
    </row>
    <row r="52811" spans="6:6" x14ac:dyDescent="0.3">
      <c r="F52811" s="193"/>
    </row>
    <row r="52812" spans="6:6" x14ac:dyDescent="0.3">
      <c r="F52812" s="193"/>
    </row>
    <row r="52813" spans="6:6" x14ac:dyDescent="0.3">
      <c r="F52813" s="193"/>
    </row>
    <row r="52814" spans="6:6" x14ac:dyDescent="0.3">
      <c r="F52814" s="193"/>
    </row>
    <row r="52815" spans="6:6" x14ac:dyDescent="0.3">
      <c r="F52815" s="193"/>
    </row>
    <row r="52816" spans="6:6" x14ac:dyDescent="0.3">
      <c r="F52816" s="193"/>
    </row>
    <row r="52817" spans="6:6" x14ac:dyDescent="0.3">
      <c r="F52817" s="193"/>
    </row>
    <row r="52818" spans="6:6" x14ac:dyDescent="0.3">
      <c r="F52818" s="193"/>
    </row>
    <row r="52819" spans="6:6" x14ac:dyDescent="0.3">
      <c r="F52819" s="193"/>
    </row>
    <row r="52820" spans="6:6" x14ac:dyDescent="0.3">
      <c r="F52820" s="193"/>
    </row>
    <row r="52821" spans="6:6" x14ac:dyDescent="0.3">
      <c r="F52821" s="193"/>
    </row>
    <row r="52822" spans="6:6" x14ac:dyDescent="0.3">
      <c r="F52822" s="193"/>
    </row>
    <row r="52823" spans="6:6" x14ac:dyDescent="0.3">
      <c r="F52823" s="193"/>
    </row>
    <row r="52824" spans="6:6" x14ac:dyDescent="0.3">
      <c r="F52824" s="193"/>
    </row>
    <row r="52825" spans="6:6" x14ac:dyDescent="0.3">
      <c r="F52825" s="193"/>
    </row>
    <row r="52826" spans="6:6" x14ac:dyDescent="0.3">
      <c r="F52826" s="193"/>
    </row>
    <row r="52827" spans="6:6" x14ac:dyDescent="0.3">
      <c r="F52827" s="193"/>
    </row>
    <row r="52828" spans="6:6" x14ac:dyDescent="0.3">
      <c r="F52828" s="193"/>
    </row>
    <row r="52829" spans="6:6" x14ac:dyDescent="0.3">
      <c r="F52829" s="193"/>
    </row>
    <row r="52830" spans="6:6" x14ac:dyDescent="0.3">
      <c r="F52830" s="193"/>
    </row>
    <row r="52831" spans="6:6" x14ac:dyDescent="0.3">
      <c r="F52831" s="193"/>
    </row>
    <row r="52832" spans="6:6" x14ac:dyDescent="0.3">
      <c r="F52832" s="193"/>
    </row>
    <row r="52833" spans="6:6" x14ac:dyDescent="0.3">
      <c r="F52833" s="193"/>
    </row>
    <row r="52834" spans="6:6" x14ac:dyDescent="0.3">
      <c r="F52834" s="193"/>
    </row>
    <row r="52835" spans="6:6" x14ac:dyDescent="0.3">
      <c r="F52835" s="193"/>
    </row>
    <row r="52836" spans="6:6" x14ac:dyDescent="0.3">
      <c r="F52836" s="193"/>
    </row>
    <row r="52837" spans="6:6" x14ac:dyDescent="0.3">
      <c r="F52837" s="193"/>
    </row>
    <row r="52838" spans="6:6" x14ac:dyDescent="0.3">
      <c r="F52838" s="193"/>
    </row>
    <row r="52839" spans="6:6" x14ac:dyDescent="0.3">
      <c r="F52839" s="193"/>
    </row>
    <row r="52840" spans="6:6" x14ac:dyDescent="0.3">
      <c r="F52840" s="193"/>
    </row>
    <row r="52841" spans="6:6" x14ac:dyDescent="0.3">
      <c r="F52841" s="193"/>
    </row>
    <row r="52842" spans="6:6" x14ac:dyDescent="0.3">
      <c r="F52842" s="193"/>
    </row>
    <row r="52843" spans="6:6" x14ac:dyDescent="0.3">
      <c r="F52843" s="193"/>
    </row>
    <row r="52844" spans="6:6" x14ac:dyDescent="0.3">
      <c r="F52844" s="193"/>
    </row>
    <row r="52845" spans="6:6" x14ac:dyDescent="0.3">
      <c r="F52845" s="193"/>
    </row>
    <row r="52846" spans="6:6" x14ac:dyDescent="0.3">
      <c r="F52846" s="193"/>
    </row>
    <row r="52847" spans="6:6" x14ac:dyDescent="0.3">
      <c r="F52847" s="193"/>
    </row>
    <row r="52848" spans="6:6" x14ac:dyDescent="0.3">
      <c r="F52848" s="193"/>
    </row>
    <row r="52849" spans="6:6" x14ac:dyDescent="0.3">
      <c r="F52849" s="193"/>
    </row>
    <row r="52850" spans="6:6" x14ac:dyDescent="0.3">
      <c r="F52850" s="193"/>
    </row>
    <row r="52851" spans="6:6" x14ac:dyDescent="0.3">
      <c r="F52851" s="193"/>
    </row>
    <row r="52852" spans="6:6" x14ac:dyDescent="0.3">
      <c r="F52852" s="193"/>
    </row>
    <row r="52853" spans="6:6" x14ac:dyDescent="0.3">
      <c r="F52853" s="193"/>
    </row>
    <row r="52854" spans="6:6" x14ac:dyDescent="0.3">
      <c r="F52854" s="193"/>
    </row>
    <row r="52855" spans="6:6" x14ac:dyDescent="0.3">
      <c r="F52855" s="193"/>
    </row>
    <row r="52856" spans="6:6" x14ac:dyDescent="0.3">
      <c r="F52856" s="193"/>
    </row>
    <row r="52857" spans="6:6" x14ac:dyDescent="0.3">
      <c r="F52857" s="193"/>
    </row>
    <row r="52858" spans="6:6" x14ac:dyDescent="0.3">
      <c r="F52858" s="193"/>
    </row>
    <row r="52859" spans="6:6" x14ac:dyDescent="0.3">
      <c r="F52859" s="193"/>
    </row>
    <row r="52860" spans="6:6" x14ac:dyDescent="0.3">
      <c r="F52860" s="193"/>
    </row>
    <row r="52861" spans="6:6" x14ac:dyDescent="0.3">
      <c r="F52861" s="193"/>
    </row>
    <row r="52862" spans="6:6" x14ac:dyDescent="0.3">
      <c r="F52862" s="193"/>
    </row>
    <row r="52863" spans="6:6" x14ac:dyDescent="0.3">
      <c r="F52863" s="193"/>
    </row>
    <row r="52864" spans="6:6" x14ac:dyDescent="0.3">
      <c r="F52864" s="193"/>
    </row>
    <row r="52865" spans="6:6" x14ac:dyDescent="0.3">
      <c r="F52865" s="193"/>
    </row>
    <row r="52866" spans="6:6" x14ac:dyDescent="0.3">
      <c r="F52866" s="193"/>
    </row>
    <row r="52867" spans="6:6" x14ac:dyDescent="0.3">
      <c r="F52867" s="193"/>
    </row>
    <row r="52868" spans="6:6" x14ac:dyDescent="0.3">
      <c r="F52868" s="193"/>
    </row>
    <row r="52869" spans="6:6" x14ac:dyDescent="0.3">
      <c r="F52869" s="193"/>
    </row>
    <row r="52870" spans="6:6" x14ac:dyDescent="0.3">
      <c r="F52870" s="193"/>
    </row>
    <row r="52871" spans="6:6" x14ac:dyDescent="0.3">
      <c r="F52871" s="193"/>
    </row>
    <row r="52872" spans="6:6" x14ac:dyDescent="0.3">
      <c r="F52872" s="193"/>
    </row>
    <row r="52873" spans="6:6" x14ac:dyDescent="0.3">
      <c r="F52873" s="193"/>
    </row>
    <row r="52874" spans="6:6" x14ac:dyDescent="0.3">
      <c r="F52874" s="193"/>
    </row>
    <row r="52875" spans="6:6" x14ac:dyDescent="0.3">
      <c r="F52875" s="193"/>
    </row>
    <row r="52876" spans="6:6" x14ac:dyDescent="0.3">
      <c r="F52876" s="193"/>
    </row>
    <row r="52877" spans="6:6" x14ac:dyDescent="0.3">
      <c r="F52877" s="193"/>
    </row>
    <row r="52878" spans="6:6" x14ac:dyDescent="0.3">
      <c r="F52878" s="193"/>
    </row>
    <row r="52879" spans="6:6" x14ac:dyDescent="0.3">
      <c r="F52879" s="193"/>
    </row>
    <row r="52880" spans="6:6" x14ac:dyDescent="0.3">
      <c r="F52880" s="193"/>
    </row>
    <row r="52881" spans="6:6" x14ac:dyDescent="0.3">
      <c r="F52881" s="193"/>
    </row>
    <row r="52882" spans="6:6" x14ac:dyDescent="0.3">
      <c r="F52882" s="193"/>
    </row>
    <row r="52883" spans="6:6" x14ac:dyDescent="0.3">
      <c r="F52883" s="193"/>
    </row>
    <row r="52884" spans="6:6" x14ac:dyDescent="0.3">
      <c r="F52884" s="193"/>
    </row>
    <row r="52885" spans="6:6" x14ac:dyDescent="0.3">
      <c r="F52885" s="193"/>
    </row>
    <row r="52886" spans="6:6" x14ac:dyDescent="0.3">
      <c r="F52886" s="193"/>
    </row>
    <row r="52887" spans="6:6" x14ac:dyDescent="0.3">
      <c r="F52887" s="193"/>
    </row>
    <row r="52888" spans="6:6" x14ac:dyDescent="0.3">
      <c r="F52888" s="193"/>
    </row>
    <row r="52889" spans="6:6" x14ac:dyDescent="0.3">
      <c r="F52889" s="193"/>
    </row>
    <row r="52890" spans="6:6" x14ac:dyDescent="0.3">
      <c r="F52890" s="193"/>
    </row>
    <row r="52891" spans="6:6" x14ac:dyDescent="0.3">
      <c r="F52891" s="193"/>
    </row>
    <row r="52892" spans="6:6" x14ac:dyDescent="0.3">
      <c r="F52892" s="193"/>
    </row>
    <row r="52893" spans="6:6" x14ac:dyDescent="0.3">
      <c r="F52893" s="193"/>
    </row>
    <row r="52894" spans="6:6" x14ac:dyDescent="0.3">
      <c r="F52894" s="193"/>
    </row>
    <row r="52895" spans="6:6" x14ac:dyDescent="0.3">
      <c r="F52895" s="193"/>
    </row>
    <row r="52896" spans="6:6" x14ac:dyDescent="0.3">
      <c r="F52896" s="193"/>
    </row>
    <row r="52897" spans="6:6" x14ac:dyDescent="0.3">
      <c r="F52897" s="193"/>
    </row>
    <row r="52898" spans="6:6" x14ac:dyDescent="0.3">
      <c r="F52898" s="193"/>
    </row>
    <row r="52899" spans="6:6" x14ac:dyDescent="0.3">
      <c r="F52899" s="193"/>
    </row>
    <row r="52900" spans="6:6" x14ac:dyDescent="0.3">
      <c r="F52900" s="193"/>
    </row>
    <row r="52901" spans="6:6" x14ac:dyDescent="0.3">
      <c r="F52901" s="193"/>
    </row>
    <row r="52902" spans="6:6" x14ac:dyDescent="0.3">
      <c r="F52902" s="193"/>
    </row>
    <row r="52903" spans="6:6" x14ac:dyDescent="0.3">
      <c r="F52903" s="193"/>
    </row>
    <row r="52904" spans="6:6" x14ac:dyDescent="0.3">
      <c r="F52904" s="193"/>
    </row>
    <row r="52905" spans="6:6" x14ac:dyDescent="0.3">
      <c r="F52905" s="193"/>
    </row>
    <row r="52906" spans="6:6" x14ac:dyDescent="0.3">
      <c r="F52906" s="193"/>
    </row>
    <row r="52907" spans="6:6" x14ac:dyDescent="0.3">
      <c r="F52907" s="193"/>
    </row>
    <row r="52908" spans="6:6" x14ac:dyDescent="0.3">
      <c r="F52908" s="193"/>
    </row>
    <row r="52909" spans="6:6" x14ac:dyDescent="0.3">
      <c r="F52909" s="193"/>
    </row>
    <row r="52910" spans="6:6" x14ac:dyDescent="0.3">
      <c r="F52910" s="193"/>
    </row>
    <row r="52911" spans="6:6" x14ac:dyDescent="0.3">
      <c r="F52911" s="193"/>
    </row>
    <row r="52912" spans="6:6" x14ac:dyDescent="0.3">
      <c r="F52912" s="193"/>
    </row>
    <row r="52913" spans="6:6" x14ac:dyDescent="0.3">
      <c r="F52913" s="193"/>
    </row>
    <row r="52914" spans="6:6" x14ac:dyDescent="0.3">
      <c r="F52914" s="193"/>
    </row>
    <row r="52915" spans="6:6" x14ac:dyDescent="0.3">
      <c r="F52915" s="193"/>
    </row>
    <row r="52916" spans="6:6" x14ac:dyDescent="0.3">
      <c r="F52916" s="193"/>
    </row>
    <row r="52917" spans="6:6" x14ac:dyDescent="0.3">
      <c r="F52917" s="193"/>
    </row>
    <row r="52918" spans="6:6" x14ac:dyDescent="0.3">
      <c r="F52918" s="193"/>
    </row>
    <row r="52919" spans="6:6" x14ac:dyDescent="0.3">
      <c r="F52919" s="193"/>
    </row>
    <row r="52920" spans="6:6" x14ac:dyDescent="0.3">
      <c r="F52920" s="193"/>
    </row>
    <row r="52921" spans="6:6" x14ac:dyDescent="0.3">
      <c r="F52921" s="193"/>
    </row>
    <row r="52922" spans="6:6" x14ac:dyDescent="0.3">
      <c r="F52922" s="193"/>
    </row>
    <row r="52923" spans="6:6" x14ac:dyDescent="0.3">
      <c r="F52923" s="193"/>
    </row>
    <row r="52924" spans="6:6" x14ac:dyDescent="0.3">
      <c r="F52924" s="193"/>
    </row>
    <row r="52925" spans="6:6" x14ac:dyDescent="0.3">
      <c r="F52925" s="193"/>
    </row>
    <row r="52926" spans="6:6" x14ac:dyDescent="0.3">
      <c r="F52926" s="193"/>
    </row>
    <row r="52927" spans="6:6" x14ac:dyDescent="0.3">
      <c r="F52927" s="193"/>
    </row>
    <row r="52928" spans="6:6" x14ac:dyDescent="0.3">
      <c r="F52928" s="193"/>
    </row>
    <row r="52929" spans="6:6" x14ac:dyDescent="0.3">
      <c r="F52929" s="193"/>
    </row>
    <row r="52930" spans="6:6" x14ac:dyDescent="0.3">
      <c r="F52930" s="193"/>
    </row>
    <row r="52931" spans="6:6" x14ac:dyDescent="0.3">
      <c r="F52931" s="193"/>
    </row>
    <row r="52932" spans="6:6" x14ac:dyDescent="0.3">
      <c r="F52932" s="193"/>
    </row>
    <row r="52933" spans="6:6" x14ac:dyDescent="0.3">
      <c r="F52933" s="193"/>
    </row>
    <row r="52934" spans="6:6" x14ac:dyDescent="0.3">
      <c r="F52934" s="193"/>
    </row>
    <row r="52935" spans="6:6" x14ac:dyDescent="0.3">
      <c r="F52935" s="193"/>
    </row>
    <row r="52936" spans="6:6" x14ac:dyDescent="0.3">
      <c r="F52936" s="193"/>
    </row>
    <row r="52937" spans="6:6" x14ac:dyDescent="0.3">
      <c r="F52937" s="193"/>
    </row>
    <row r="52938" spans="6:6" x14ac:dyDescent="0.3">
      <c r="F52938" s="193"/>
    </row>
    <row r="52939" spans="6:6" x14ac:dyDescent="0.3">
      <c r="F52939" s="193"/>
    </row>
    <row r="52940" spans="6:6" x14ac:dyDescent="0.3">
      <c r="F52940" s="193"/>
    </row>
    <row r="52941" spans="6:6" x14ac:dyDescent="0.3">
      <c r="F52941" s="193"/>
    </row>
    <row r="52942" spans="6:6" x14ac:dyDescent="0.3">
      <c r="F52942" s="193"/>
    </row>
    <row r="52943" spans="6:6" x14ac:dyDescent="0.3">
      <c r="F52943" s="193"/>
    </row>
    <row r="52944" spans="6:6" x14ac:dyDescent="0.3">
      <c r="F52944" s="193"/>
    </row>
    <row r="52945" spans="6:6" x14ac:dyDescent="0.3">
      <c r="F52945" s="193"/>
    </row>
    <row r="52946" spans="6:6" x14ac:dyDescent="0.3">
      <c r="F52946" s="193"/>
    </row>
    <row r="52947" spans="6:6" x14ac:dyDescent="0.3">
      <c r="F52947" s="193"/>
    </row>
    <row r="52948" spans="6:6" x14ac:dyDescent="0.3">
      <c r="F52948" s="193"/>
    </row>
    <row r="52949" spans="6:6" x14ac:dyDescent="0.3">
      <c r="F52949" s="193"/>
    </row>
    <row r="52950" spans="6:6" x14ac:dyDescent="0.3">
      <c r="F52950" s="193"/>
    </row>
    <row r="52951" spans="6:6" x14ac:dyDescent="0.3">
      <c r="F52951" s="193"/>
    </row>
    <row r="52952" spans="6:6" x14ac:dyDescent="0.3">
      <c r="F52952" s="193"/>
    </row>
    <row r="52953" spans="6:6" x14ac:dyDescent="0.3">
      <c r="F52953" s="193"/>
    </row>
    <row r="52954" spans="6:6" x14ac:dyDescent="0.3">
      <c r="F52954" s="193"/>
    </row>
    <row r="52955" spans="6:6" x14ac:dyDescent="0.3">
      <c r="F52955" s="193"/>
    </row>
    <row r="52956" spans="6:6" x14ac:dyDescent="0.3">
      <c r="F52956" s="193"/>
    </row>
    <row r="52957" spans="6:6" x14ac:dyDescent="0.3">
      <c r="F52957" s="193"/>
    </row>
    <row r="52958" spans="6:6" x14ac:dyDescent="0.3">
      <c r="F52958" s="193"/>
    </row>
    <row r="52959" spans="6:6" x14ac:dyDescent="0.3">
      <c r="F52959" s="193"/>
    </row>
    <row r="52960" spans="6:6" x14ac:dyDescent="0.3">
      <c r="F52960" s="193"/>
    </row>
    <row r="52961" spans="6:6" x14ac:dyDescent="0.3">
      <c r="F52961" s="193"/>
    </row>
    <row r="52962" spans="6:6" x14ac:dyDescent="0.3">
      <c r="F52962" s="193"/>
    </row>
    <row r="52963" spans="6:6" x14ac:dyDescent="0.3">
      <c r="F52963" s="193"/>
    </row>
    <row r="52964" spans="6:6" x14ac:dyDescent="0.3">
      <c r="F52964" s="193"/>
    </row>
    <row r="52965" spans="6:6" x14ac:dyDescent="0.3">
      <c r="F52965" s="193"/>
    </row>
    <row r="52966" spans="6:6" x14ac:dyDescent="0.3">
      <c r="F52966" s="193"/>
    </row>
    <row r="52967" spans="6:6" x14ac:dyDescent="0.3">
      <c r="F52967" s="193"/>
    </row>
    <row r="52968" spans="6:6" x14ac:dyDescent="0.3">
      <c r="F52968" s="193"/>
    </row>
    <row r="52969" spans="6:6" x14ac:dyDescent="0.3">
      <c r="F52969" s="193"/>
    </row>
    <row r="52970" spans="6:6" x14ac:dyDescent="0.3">
      <c r="F52970" s="193"/>
    </row>
    <row r="52971" spans="6:6" x14ac:dyDescent="0.3">
      <c r="F52971" s="193"/>
    </row>
    <row r="52972" spans="6:6" x14ac:dyDescent="0.3">
      <c r="F52972" s="193"/>
    </row>
    <row r="52973" spans="6:6" x14ac:dyDescent="0.3">
      <c r="F52973" s="193"/>
    </row>
    <row r="52974" spans="6:6" x14ac:dyDescent="0.3">
      <c r="F52974" s="193"/>
    </row>
    <row r="52975" spans="6:6" x14ac:dyDescent="0.3">
      <c r="F52975" s="193"/>
    </row>
    <row r="52976" spans="6:6" x14ac:dyDescent="0.3">
      <c r="F52976" s="193"/>
    </row>
    <row r="52977" spans="6:6" x14ac:dyDescent="0.3">
      <c r="F52977" s="193"/>
    </row>
    <row r="52978" spans="6:6" x14ac:dyDescent="0.3">
      <c r="F52978" s="193"/>
    </row>
    <row r="52979" spans="6:6" x14ac:dyDescent="0.3">
      <c r="F52979" s="193"/>
    </row>
    <row r="52980" spans="6:6" x14ac:dyDescent="0.3">
      <c r="F52980" s="193"/>
    </row>
    <row r="52981" spans="6:6" x14ac:dyDescent="0.3">
      <c r="F52981" s="193"/>
    </row>
    <row r="52982" spans="6:6" x14ac:dyDescent="0.3">
      <c r="F52982" s="193"/>
    </row>
    <row r="52983" spans="6:6" x14ac:dyDescent="0.3">
      <c r="F52983" s="193"/>
    </row>
    <row r="52984" spans="6:6" x14ac:dyDescent="0.3">
      <c r="F52984" s="193"/>
    </row>
    <row r="52985" spans="6:6" x14ac:dyDescent="0.3">
      <c r="F52985" s="193"/>
    </row>
    <row r="52986" spans="6:6" x14ac:dyDescent="0.3">
      <c r="F52986" s="193"/>
    </row>
    <row r="52987" spans="6:6" x14ac:dyDescent="0.3">
      <c r="F52987" s="193"/>
    </row>
    <row r="52988" spans="6:6" x14ac:dyDescent="0.3">
      <c r="F52988" s="193"/>
    </row>
    <row r="52989" spans="6:6" x14ac:dyDescent="0.3">
      <c r="F52989" s="193"/>
    </row>
    <row r="52990" spans="6:6" x14ac:dyDescent="0.3">
      <c r="F52990" s="193"/>
    </row>
    <row r="52991" spans="6:6" x14ac:dyDescent="0.3">
      <c r="F52991" s="193"/>
    </row>
    <row r="52992" spans="6:6" x14ac:dyDescent="0.3">
      <c r="F52992" s="193"/>
    </row>
    <row r="52993" spans="6:6" x14ac:dyDescent="0.3">
      <c r="F52993" s="193"/>
    </row>
    <row r="52994" spans="6:6" x14ac:dyDescent="0.3">
      <c r="F52994" s="193"/>
    </row>
    <row r="52995" spans="6:6" x14ac:dyDescent="0.3">
      <c r="F52995" s="193"/>
    </row>
    <row r="52996" spans="6:6" x14ac:dyDescent="0.3">
      <c r="F52996" s="193"/>
    </row>
    <row r="52997" spans="6:6" x14ac:dyDescent="0.3">
      <c r="F52997" s="193"/>
    </row>
    <row r="52998" spans="6:6" x14ac:dyDescent="0.3">
      <c r="F52998" s="193"/>
    </row>
    <row r="52999" spans="6:6" x14ac:dyDescent="0.3">
      <c r="F52999" s="193"/>
    </row>
    <row r="53000" spans="6:6" x14ac:dyDescent="0.3">
      <c r="F53000" s="193"/>
    </row>
    <row r="53001" spans="6:6" x14ac:dyDescent="0.3">
      <c r="F53001" s="193"/>
    </row>
    <row r="53002" spans="6:6" x14ac:dyDescent="0.3">
      <c r="F53002" s="193"/>
    </row>
    <row r="53003" spans="6:6" x14ac:dyDescent="0.3">
      <c r="F53003" s="193"/>
    </row>
    <row r="53004" spans="6:6" x14ac:dyDescent="0.3">
      <c r="F53004" s="193"/>
    </row>
    <row r="53005" spans="6:6" x14ac:dyDescent="0.3">
      <c r="F53005" s="193"/>
    </row>
    <row r="53006" spans="6:6" x14ac:dyDescent="0.3">
      <c r="F53006" s="193"/>
    </row>
    <row r="53007" spans="6:6" x14ac:dyDescent="0.3">
      <c r="F53007" s="193"/>
    </row>
    <row r="53008" spans="6:6" x14ac:dyDescent="0.3">
      <c r="F53008" s="193"/>
    </row>
    <row r="53009" spans="6:6" x14ac:dyDescent="0.3">
      <c r="F53009" s="193"/>
    </row>
    <row r="53010" spans="6:6" x14ac:dyDescent="0.3">
      <c r="F53010" s="193"/>
    </row>
    <row r="53011" spans="6:6" x14ac:dyDescent="0.3">
      <c r="F53011" s="193"/>
    </row>
    <row r="53012" spans="6:6" x14ac:dyDescent="0.3">
      <c r="F53012" s="193"/>
    </row>
    <row r="53013" spans="6:6" x14ac:dyDescent="0.3">
      <c r="F53013" s="193"/>
    </row>
    <row r="53014" spans="6:6" x14ac:dyDescent="0.3">
      <c r="F53014" s="193"/>
    </row>
    <row r="53015" spans="6:6" x14ac:dyDescent="0.3">
      <c r="F53015" s="193"/>
    </row>
    <row r="53016" spans="6:6" x14ac:dyDescent="0.3">
      <c r="F53016" s="193"/>
    </row>
    <row r="53017" spans="6:6" x14ac:dyDescent="0.3">
      <c r="F53017" s="193"/>
    </row>
    <row r="53018" spans="6:6" x14ac:dyDescent="0.3">
      <c r="F53018" s="193"/>
    </row>
    <row r="53019" spans="6:6" x14ac:dyDescent="0.3">
      <c r="F53019" s="193"/>
    </row>
    <row r="53020" spans="6:6" x14ac:dyDescent="0.3">
      <c r="F53020" s="193"/>
    </row>
    <row r="53021" spans="6:6" x14ac:dyDescent="0.3">
      <c r="F53021" s="193"/>
    </row>
    <row r="53022" spans="6:6" x14ac:dyDescent="0.3">
      <c r="F53022" s="193"/>
    </row>
    <row r="53023" spans="6:6" x14ac:dyDescent="0.3">
      <c r="F53023" s="193"/>
    </row>
    <row r="53024" spans="6:6" x14ac:dyDescent="0.3">
      <c r="F53024" s="193"/>
    </row>
    <row r="53025" spans="6:6" x14ac:dyDescent="0.3">
      <c r="F53025" s="193"/>
    </row>
    <row r="53026" spans="6:6" x14ac:dyDescent="0.3">
      <c r="F53026" s="193"/>
    </row>
    <row r="53027" spans="6:6" x14ac:dyDescent="0.3">
      <c r="F53027" s="193"/>
    </row>
    <row r="53028" spans="6:6" x14ac:dyDescent="0.3">
      <c r="F53028" s="193"/>
    </row>
    <row r="53029" spans="6:6" x14ac:dyDescent="0.3">
      <c r="F53029" s="193"/>
    </row>
    <row r="53030" spans="6:6" x14ac:dyDescent="0.3">
      <c r="F53030" s="193"/>
    </row>
    <row r="53031" spans="6:6" x14ac:dyDescent="0.3">
      <c r="F53031" s="193"/>
    </row>
    <row r="53032" spans="6:6" x14ac:dyDescent="0.3">
      <c r="F53032" s="193"/>
    </row>
    <row r="53033" spans="6:6" x14ac:dyDescent="0.3">
      <c r="F53033" s="193"/>
    </row>
    <row r="53034" spans="6:6" x14ac:dyDescent="0.3">
      <c r="F53034" s="193"/>
    </row>
    <row r="53035" spans="6:6" x14ac:dyDescent="0.3">
      <c r="F53035" s="193"/>
    </row>
    <row r="53036" spans="6:6" x14ac:dyDescent="0.3">
      <c r="F53036" s="193"/>
    </row>
    <row r="53037" spans="6:6" x14ac:dyDescent="0.3">
      <c r="F53037" s="193"/>
    </row>
    <row r="53038" spans="6:6" x14ac:dyDescent="0.3">
      <c r="F53038" s="193"/>
    </row>
    <row r="53039" spans="6:6" x14ac:dyDescent="0.3">
      <c r="F53039" s="193"/>
    </row>
    <row r="53040" spans="6:6" x14ac:dyDescent="0.3">
      <c r="F53040" s="193"/>
    </row>
    <row r="53041" spans="6:6" x14ac:dyDescent="0.3">
      <c r="F53041" s="193"/>
    </row>
    <row r="53042" spans="6:6" x14ac:dyDescent="0.3">
      <c r="F53042" s="193"/>
    </row>
    <row r="53043" spans="6:6" x14ac:dyDescent="0.3">
      <c r="F53043" s="193"/>
    </row>
    <row r="53044" spans="6:6" x14ac:dyDescent="0.3">
      <c r="F53044" s="193"/>
    </row>
    <row r="53045" spans="6:6" x14ac:dyDescent="0.3">
      <c r="F53045" s="193"/>
    </row>
    <row r="53046" spans="6:6" x14ac:dyDescent="0.3">
      <c r="F53046" s="193"/>
    </row>
    <row r="53047" spans="6:6" x14ac:dyDescent="0.3">
      <c r="F53047" s="193"/>
    </row>
    <row r="53048" spans="6:6" x14ac:dyDescent="0.3">
      <c r="F53048" s="193"/>
    </row>
    <row r="53049" spans="6:6" x14ac:dyDescent="0.3">
      <c r="F53049" s="193"/>
    </row>
    <row r="53050" spans="6:6" x14ac:dyDescent="0.3">
      <c r="F53050" s="193"/>
    </row>
    <row r="53051" spans="6:6" x14ac:dyDescent="0.3">
      <c r="F53051" s="193"/>
    </row>
    <row r="53052" spans="6:6" x14ac:dyDescent="0.3">
      <c r="F53052" s="193"/>
    </row>
    <row r="53053" spans="6:6" x14ac:dyDescent="0.3">
      <c r="F53053" s="193"/>
    </row>
    <row r="53054" spans="6:6" x14ac:dyDescent="0.3">
      <c r="F53054" s="193"/>
    </row>
    <row r="53055" spans="6:6" x14ac:dyDescent="0.3">
      <c r="F53055" s="193"/>
    </row>
    <row r="53056" spans="6:6" x14ac:dyDescent="0.3">
      <c r="F53056" s="193"/>
    </row>
    <row r="53057" spans="6:6" x14ac:dyDescent="0.3">
      <c r="F53057" s="193"/>
    </row>
    <row r="53058" spans="6:6" x14ac:dyDescent="0.3">
      <c r="F53058" s="193"/>
    </row>
    <row r="53059" spans="6:6" x14ac:dyDescent="0.3">
      <c r="F53059" s="193"/>
    </row>
    <row r="53060" spans="6:6" x14ac:dyDescent="0.3">
      <c r="F53060" s="193"/>
    </row>
    <row r="53061" spans="6:6" x14ac:dyDescent="0.3">
      <c r="F53061" s="193"/>
    </row>
    <row r="53062" spans="6:6" x14ac:dyDescent="0.3">
      <c r="F53062" s="193"/>
    </row>
    <row r="53063" spans="6:6" x14ac:dyDescent="0.3">
      <c r="F53063" s="193"/>
    </row>
    <row r="53064" spans="6:6" x14ac:dyDescent="0.3">
      <c r="F53064" s="193"/>
    </row>
    <row r="53065" spans="6:6" x14ac:dyDescent="0.3">
      <c r="F53065" s="193"/>
    </row>
    <row r="53066" spans="6:6" x14ac:dyDescent="0.3">
      <c r="F53066" s="193"/>
    </row>
    <row r="53067" spans="6:6" x14ac:dyDescent="0.3">
      <c r="F53067" s="193"/>
    </row>
    <row r="53068" spans="6:6" x14ac:dyDescent="0.3">
      <c r="F53068" s="193"/>
    </row>
    <row r="53069" spans="6:6" x14ac:dyDescent="0.3">
      <c r="F53069" s="193"/>
    </row>
    <row r="53070" spans="6:6" x14ac:dyDescent="0.3">
      <c r="F53070" s="193"/>
    </row>
    <row r="53071" spans="6:6" x14ac:dyDescent="0.3">
      <c r="F53071" s="193"/>
    </row>
    <row r="53072" spans="6:6" x14ac:dyDescent="0.3">
      <c r="F53072" s="193"/>
    </row>
    <row r="53073" spans="6:6" x14ac:dyDescent="0.3">
      <c r="F53073" s="193"/>
    </row>
    <row r="53074" spans="6:6" x14ac:dyDescent="0.3">
      <c r="F53074" s="193"/>
    </row>
    <row r="53075" spans="6:6" x14ac:dyDescent="0.3">
      <c r="F53075" s="193"/>
    </row>
    <row r="53076" spans="6:6" x14ac:dyDescent="0.3">
      <c r="F53076" s="193"/>
    </row>
    <row r="53077" spans="6:6" x14ac:dyDescent="0.3">
      <c r="F53077" s="193"/>
    </row>
    <row r="53078" spans="6:6" x14ac:dyDescent="0.3">
      <c r="F53078" s="193"/>
    </row>
    <row r="53079" spans="6:6" x14ac:dyDescent="0.3">
      <c r="F53079" s="193"/>
    </row>
    <row r="53080" spans="6:6" x14ac:dyDescent="0.3">
      <c r="F53080" s="193"/>
    </row>
    <row r="53081" spans="6:6" x14ac:dyDescent="0.3">
      <c r="F53081" s="193"/>
    </row>
    <row r="53082" spans="6:6" x14ac:dyDescent="0.3">
      <c r="F53082" s="193"/>
    </row>
    <row r="53083" spans="6:6" x14ac:dyDescent="0.3">
      <c r="F53083" s="193"/>
    </row>
    <row r="53084" spans="6:6" x14ac:dyDescent="0.3">
      <c r="F53084" s="193"/>
    </row>
    <row r="53085" spans="6:6" x14ac:dyDescent="0.3">
      <c r="F53085" s="193"/>
    </row>
    <row r="53086" spans="6:6" x14ac:dyDescent="0.3">
      <c r="F53086" s="193"/>
    </row>
    <row r="53087" spans="6:6" x14ac:dyDescent="0.3">
      <c r="F53087" s="193"/>
    </row>
    <row r="53088" spans="6:6" x14ac:dyDescent="0.3">
      <c r="F53088" s="193"/>
    </row>
    <row r="53089" spans="6:6" x14ac:dyDescent="0.3">
      <c r="F53089" s="193"/>
    </row>
    <row r="53090" spans="6:6" x14ac:dyDescent="0.3">
      <c r="F53090" s="193"/>
    </row>
    <row r="53091" spans="6:6" x14ac:dyDescent="0.3">
      <c r="F53091" s="193"/>
    </row>
    <row r="53092" spans="6:6" x14ac:dyDescent="0.3">
      <c r="F53092" s="193"/>
    </row>
    <row r="53093" spans="6:6" x14ac:dyDescent="0.3">
      <c r="F53093" s="193"/>
    </row>
    <row r="53094" spans="6:6" x14ac:dyDescent="0.3">
      <c r="F53094" s="193"/>
    </row>
    <row r="53095" spans="6:6" x14ac:dyDescent="0.3">
      <c r="F53095" s="193"/>
    </row>
    <row r="53096" spans="6:6" x14ac:dyDescent="0.3">
      <c r="F53096" s="193"/>
    </row>
    <row r="53097" spans="6:6" x14ac:dyDescent="0.3">
      <c r="F53097" s="193"/>
    </row>
    <row r="53098" spans="6:6" x14ac:dyDescent="0.3">
      <c r="F53098" s="193"/>
    </row>
    <row r="53099" spans="6:6" x14ac:dyDescent="0.3">
      <c r="F53099" s="193"/>
    </row>
    <row r="53100" spans="6:6" x14ac:dyDescent="0.3">
      <c r="F53100" s="193"/>
    </row>
    <row r="53101" spans="6:6" x14ac:dyDescent="0.3">
      <c r="F53101" s="193"/>
    </row>
    <row r="53102" spans="6:6" x14ac:dyDescent="0.3">
      <c r="F53102" s="193"/>
    </row>
    <row r="53103" spans="6:6" x14ac:dyDescent="0.3">
      <c r="F53103" s="193"/>
    </row>
    <row r="53104" spans="6:6" x14ac:dyDescent="0.3">
      <c r="F53104" s="193"/>
    </row>
    <row r="53105" spans="6:6" x14ac:dyDescent="0.3">
      <c r="F53105" s="193"/>
    </row>
    <row r="53106" spans="6:6" x14ac:dyDescent="0.3">
      <c r="F53106" s="193"/>
    </row>
    <row r="53107" spans="6:6" x14ac:dyDescent="0.3">
      <c r="F53107" s="193"/>
    </row>
    <row r="53108" spans="6:6" x14ac:dyDescent="0.3">
      <c r="F53108" s="193"/>
    </row>
    <row r="53109" spans="6:6" x14ac:dyDescent="0.3">
      <c r="F53109" s="193"/>
    </row>
    <row r="53110" spans="6:6" x14ac:dyDescent="0.3">
      <c r="F53110" s="193"/>
    </row>
    <row r="53111" spans="6:6" x14ac:dyDescent="0.3">
      <c r="F53111" s="193"/>
    </row>
    <row r="53112" spans="6:6" x14ac:dyDescent="0.3">
      <c r="F53112" s="193"/>
    </row>
    <row r="53113" spans="6:6" x14ac:dyDescent="0.3">
      <c r="F53113" s="193"/>
    </row>
    <row r="53114" spans="6:6" x14ac:dyDescent="0.3">
      <c r="F53114" s="193"/>
    </row>
    <row r="53115" spans="6:6" x14ac:dyDescent="0.3">
      <c r="F53115" s="193"/>
    </row>
    <row r="53116" spans="6:6" x14ac:dyDescent="0.3">
      <c r="F53116" s="193"/>
    </row>
    <row r="53117" spans="6:6" x14ac:dyDescent="0.3">
      <c r="F53117" s="193"/>
    </row>
    <row r="53118" spans="6:6" x14ac:dyDescent="0.3">
      <c r="F53118" s="193"/>
    </row>
    <row r="53119" spans="6:6" x14ac:dyDescent="0.3">
      <c r="F53119" s="193"/>
    </row>
    <row r="53120" spans="6:6" x14ac:dyDescent="0.3">
      <c r="F53120" s="193"/>
    </row>
    <row r="53121" spans="6:6" x14ac:dyDescent="0.3">
      <c r="F53121" s="193"/>
    </row>
    <row r="53122" spans="6:6" x14ac:dyDescent="0.3">
      <c r="F53122" s="193"/>
    </row>
    <row r="53123" spans="6:6" x14ac:dyDescent="0.3">
      <c r="F53123" s="193"/>
    </row>
    <row r="53124" spans="6:6" x14ac:dyDescent="0.3">
      <c r="F53124" s="193"/>
    </row>
    <row r="53125" spans="6:6" x14ac:dyDescent="0.3">
      <c r="F53125" s="193"/>
    </row>
    <row r="53126" spans="6:6" x14ac:dyDescent="0.3">
      <c r="F53126" s="193"/>
    </row>
    <row r="53127" spans="6:6" x14ac:dyDescent="0.3">
      <c r="F53127" s="193"/>
    </row>
    <row r="53128" spans="6:6" x14ac:dyDescent="0.3">
      <c r="F53128" s="193"/>
    </row>
    <row r="53129" spans="6:6" x14ac:dyDescent="0.3">
      <c r="F53129" s="193"/>
    </row>
    <row r="53130" spans="6:6" x14ac:dyDescent="0.3">
      <c r="F53130" s="193"/>
    </row>
    <row r="53131" spans="6:6" x14ac:dyDescent="0.3">
      <c r="F53131" s="193"/>
    </row>
    <row r="53132" spans="6:6" x14ac:dyDescent="0.3">
      <c r="F53132" s="193"/>
    </row>
    <row r="53133" spans="6:6" x14ac:dyDescent="0.3">
      <c r="F53133" s="193"/>
    </row>
    <row r="53134" spans="6:6" x14ac:dyDescent="0.3">
      <c r="F53134" s="193"/>
    </row>
    <row r="53135" spans="6:6" x14ac:dyDescent="0.3">
      <c r="F53135" s="193"/>
    </row>
    <row r="53136" spans="6:6" x14ac:dyDescent="0.3">
      <c r="F53136" s="193"/>
    </row>
    <row r="53137" spans="6:6" x14ac:dyDescent="0.3">
      <c r="F53137" s="193"/>
    </row>
    <row r="53138" spans="6:6" x14ac:dyDescent="0.3">
      <c r="F53138" s="193"/>
    </row>
    <row r="53139" spans="6:6" x14ac:dyDescent="0.3">
      <c r="F53139" s="193"/>
    </row>
    <row r="53140" spans="6:6" x14ac:dyDescent="0.3">
      <c r="F53140" s="193"/>
    </row>
    <row r="53141" spans="6:6" x14ac:dyDescent="0.3">
      <c r="F53141" s="193"/>
    </row>
    <row r="53142" spans="6:6" x14ac:dyDescent="0.3">
      <c r="F53142" s="193"/>
    </row>
    <row r="53143" spans="6:6" x14ac:dyDescent="0.3">
      <c r="F53143" s="193"/>
    </row>
    <row r="53144" spans="6:6" x14ac:dyDescent="0.3">
      <c r="F53144" s="193"/>
    </row>
    <row r="53145" spans="6:6" x14ac:dyDescent="0.3">
      <c r="F53145" s="193"/>
    </row>
    <row r="53146" spans="6:6" x14ac:dyDescent="0.3">
      <c r="F53146" s="193"/>
    </row>
    <row r="53147" spans="6:6" x14ac:dyDescent="0.3">
      <c r="F53147" s="193"/>
    </row>
    <row r="53148" spans="6:6" x14ac:dyDescent="0.3">
      <c r="F53148" s="193"/>
    </row>
    <row r="53149" spans="6:6" x14ac:dyDescent="0.3">
      <c r="F53149" s="193"/>
    </row>
    <row r="53150" spans="6:6" x14ac:dyDescent="0.3">
      <c r="F53150" s="193"/>
    </row>
    <row r="53151" spans="6:6" x14ac:dyDescent="0.3">
      <c r="F53151" s="193"/>
    </row>
    <row r="53152" spans="6:6" x14ac:dyDescent="0.3">
      <c r="F53152" s="193"/>
    </row>
    <row r="53153" spans="6:6" x14ac:dyDescent="0.3">
      <c r="F53153" s="193"/>
    </row>
    <row r="53154" spans="6:6" x14ac:dyDescent="0.3">
      <c r="F53154" s="193"/>
    </row>
    <row r="53155" spans="6:6" x14ac:dyDescent="0.3">
      <c r="F53155" s="193"/>
    </row>
    <row r="53156" spans="6:6" x14ac:dyDescent="0.3">
      <c r="F53156" s="193"/>
    </row>
    <row r="53157" spans="6:6" x14ac:dyDescent="0.3">
      <c r="F53157" s="193"/>
    </row>
    <row r="53158" spans="6:6" x14ac:dyDescent="0.3">
      <c r="F53158" s="193"/>
    </row>
    <row r="53159" spans="6:6" x14ac:dyDescent="0.3">
      <c r="F53159" s="193"/>
    </row>
    <row r="53160" spans="6:6" x14ac:dyDescent="0.3">
      <c r="F53160" s="193"/>
    </row>
    <row r="53161" spans="6:6" x14ac:dyDescent="0.3">
      <c r="F53161" s="193"/>
    </row>
    <row r="53162" spans="6:6" x14ac:dyDescent="0.3">
      <c r="F53162" s="193"/>
    </row>
    <row r="53163" spans="6:6" x14ac:dyDescent="0.3">
      <c r="F53163" s="193"/>
    </row>
    <row r="53164" spans="6:6" x14ac:dyDescent="0.3">
      <c r="F53164" s="193"/>
    </row>
    <row r="53165" spans="6:6" x14ac:dyDescent="0.3">
      <c r="F53165" s="193"/>
    </row>
    <row r="53166" spans="6:6" x14ac:dyDescent="0.3">
      <c r="F53166" s="193"/>
    </row>
    <row r="53167" spans="6:6" x14ac:dyDescent="0.3">
      <c r="F53167" s="193"/>
    </row>
    <row r="53168" spans="6:6" x14ac:dyDescent="0.3">
      <c r="F53168" s="193"/>
    </row>
    <row r="53169" spans="6:6" x14ac:dyDescent="0.3">
      <c r="F53169" s="193"/>
    </row>
    <row r="53170" spans="6:6" x14ac:dyDescent="0.3">
      <c r="F53170" s="193"/>
    </row>
    <row r="53171" spans="6:6" x14ac:dyDescent="0.3">
      <c r="F53171" s="193"/>
    </row>
    <row r="53172" spans="6:6" x14ac:dyDescent="0.3">
      <c r="F53172" s="193"/>
    </row>
    <row r="53173" spans="6:6" x14ac:dyDescent="0.3">
      <c r="F53173" s="193"/>
    </row>
    <row r="53174" spans="6:6" x14ac:dyDescent="0.3">
      <c r="F53174" s="193"/>
    </row>
    <row r="53175" spans="6:6" x14ac:dyDescent="0.3">
      <c r="F53175" s="193"/>
    </row>
    <row r="53176" spans="6:6" x14ac:dyDescent="0.3">
      <c r="F53176" s="193"/>
    </row>
    <row r="53177" spans="6:6" x14ac:dyDescent="0.3">
      <c r="F53177" s="193"/>
    </row>
    <row r="53178" spans="6:6" x14ac:dyDescent="0.3">
      <c r="F53178" s="193"/>
    </row>
    <row r="53179" spans="6:6" x14ac:dyDescent="0.3">
      <c r="F53179" s="193"/>
    </row>
    <row r="53180" spans="6:6" x14ac:dyDescent="0.3">
      <c r="F53180" s="193"/>
    </row>
    <row r="53181" spans="6:6" x14ac:dyDescent="0.3">
      <c r="F53181" s="193"/>
    </row>
    <row r="53182" spans="6:6" x14ac:dyDescent="0.3">
      <c r="F53182" s="193"/>
    </row>
    <row r="53183" spans="6:6" x14ac:dyDescent="0.3">
      <c r="F53183" s="193"/>
    </row>
    <row r="53184" spans="6:6" x14ac:dyDescent="0.3">
      <c r="F53184" s="193"/>
    </row>
    <row r="53185" spans="6:6" x14ac:dyDescent="0.3">
      <c r="F53185" s="193"/>
    </row>
    <row r="53186" spans="6:6" x14ac:dyDescent="0.3">
      <c r="F53186" s="193"/>
    </row>
    <row r="53187" spans="6:6" x14ac:dyDescent="0.3">
      <c r="F53187" s="193"/>
    </row>
    <row r="53188" spans="6:6" x14ac:dyDescent="0.3">
      <c r="F53188" s="193"/>
    </row>
    <row r="53189" spans="6:6" x14ac:dyDescent="0.3">
      <c r="F53189" s="193"/>
    </row>
    <row r="53190" spans="6:6" x14ac:dyDescent="0.3">
      <c r="F53190" s="193"/>
    </row>
    <row r="53191" spans="6:6" x14ac:dyDescent="0.3">
      <c r="F53191" s="193"/>
    </row>
    <row r="53192" spans="6:6" x14ac:dyDescent="0.3">
      <c r="F53192" s="193"/>
    </row>
    <row r="53193" spans="6:6" x14ac:dyDescent="0.3">
      <c r="F53193" s="193"/>
    </row>
    <row r="53194" spans="6:6" x14ac:dyDescent="0.3">
      <c r="F53194" s="193"/>
    </row>
    <row r="53195" spans="6:6" x14ac:dyDescent="0.3">
      <c r="F53195" s="193"/>
    </row>
    <row r="53196" spans="6:6" x14ac:dyDescent="0.3">
      <c r="F53196" s="193"/>
    </row>
    <row r="53197" spans="6:6" x14ac:dyDescent="0.3">
      <c r="F53197" s="193"/>
    </row>
    <row r="53198" spans="6:6" x14ac:dyDescent="0.3">
      <c r="F53198" s="193"/>
    </row>
    <row r="53199" spans="6:6" x14ac:dyDescent="0.3">
      <c r="F53199" s="193"/>
    </row>
    <row r="53200" spans="6:6" x14ac:dyDescent="0.3">
      <c r="F53200" s="193"/>
    </row>
    <row r="53201" spans="6:6" x14ac:dyDescent="0.3">
      <c r="F53201" s="193"/>
    </row>
    <row r="53202" spans="6:6" x14ac:dyDescent="0.3">
      <c r="F53202" s="193"/>
    </row>
    <row r="53203" spans="6:6" x14ac:dyDescent="0.3">
      <c r="F53203" s="193"/>
    </row>
    <row r="53204" spans="6:6" x14ac:dyDescent="0.3">
      <c r="F53204" s="193"/>
    </row>
    <row r="53205" spans="6:6" x14ac:dyDescent="0.3">
      <c r="F53205" s="193"/>
    </row>
    <row r="53206" spans="6:6" x14ac:dyDescent="0.3">
      <c r="F53206" s="193"/>
    </row>
    <row r="53207" spans="6:6" x14ac:dyDescent="0.3">
      <c r="F53207" s="193"/>
    </row>
    <row r="53208" spans="6:6" x14ac:dyDescent="0.3">
      <c r="F53208" s="193"/>
    </row>
    <row r="53209" spans="6:6" x14ac:dyDescent="0.3">
      <c r="F53209" s="193"/>
    </row>
    <row r="53210" spans="6:6" x14ac:dyDescent="0.3">
      <c r="F53210" s="193"/>
    </row>
    <row r="53211" spans="6:6" x14ac:dyDescent="0.3">
      <c r="F53211" s="193"/>
    </row>
    <row r="53212" spans="6:6" x14ac:dyDescent="0.3">
      <c r="F53212" s="193"/>
    </row>
    <row r="53213" spans="6:6" x14ac:dyDescent="0.3">
      <c r="F53213" s="193"/>
    </row>
    <row r="53214" spans="6:6" x14ac:dyDescent="0.3">
      <c r="F53214" s="193"/>
    </row>
    <row r="53215" spans="6:6" x14ac:dyDescent="0.3">
      <c r="F53215" s="193"/>
    </row>
    <row r="53216" spans="6:6" x14ac:dyDescent="0.3">
      <c r="F53216" s="193"/>
    </row>
    <row r="53217" spans="6:6" x14ac:dyDescent="0.3">
      <c r="F53217" s="193"/>
    </row>
    <row r="53218" spans="6:6" x14ac:dyDescent="0.3">
      <c r="F53218" s="193"/>
    </row>
    <row r="53219" spans="6:6" x14ac:dyDescent="0.3">
      <c r="F53219" s="193"/>
    </row>
    <row r="53220" spans="6:6" x14ac:dyDescent="0.3">
      <c r="F53220" s="193"/>
    </row>
    <row r="53221" spans="6:6" x14ac:dyDescent="0.3">
      <c r="F53221" s="193"/>
    </row>
    <row r="53222" spans="6:6" x14ac:dyDescent="0.3">
      <c r="F53222" s="193"/>
    </row>
    <row r="53223" spans="6:6" x14ac:dyDescent="0.3">
      <c r="F53223" s="193"/>
    </row>
    <row r="53224" spans="6:6" x14ac:dyDescent="0.3">
      <c r="F53224" s="193"/>
    </row>
    <row r="53225" spans="6:6" x14ac:dyDescent="0.3">
      <c r="F53225" s="193"/>
    </row>
    <row r="53226" spans="6:6" x14ac:dyDescent="0.3">
      <c r="F53226" s="193"/>
    </row>
    <row r="53227" spans="6:6" x14ac:dyDescent="0.3">
      <c r="F53227" s="193"/>
    </row>
    <row r="53228" spans="6:6" x14ac:dyDescent="0.3">
      <c r="F53228" s="193"/>
    </row>
    <row r="53229" spans="6:6" x14ac:dyDescent="0.3">
      <c r="F53229" s="193"/>
    </row>
    <row r="53230" spans="6:6" x14ac:dyDescent="0.3">
      <c r="F53230" s="193"/>
    </row>
    <row r="53231" spans="6:6" x14ac:dyDescent="0.3">
      <c r="F53231" s="193"/>
    </row>
    <row r="53232" spans="6:6" x14ac:dyDescent="0.3">
      <c r="F53232" s="193"/>
    </row>
    <row r="53233" spans="6:6" x14ac:dyDescent="0.3">
      <c r="F53233" s="193"/>
    </row>
    <row r="53234" spans="6:6" x14ac:dyDescent="0.3">
      <c r="F53234" s="193"/>
    </row>
    <row r="53235" spans="6:6" x14ac:dyDescent="0.3">
      <c r="F53235" s="193"/>
    </row>
    <row r="53236" spans="6:6" x14ac:dyDescent="0.3">
      <c r="F53236" s="193"/>
    </row>
    <row r="53237" spans="6:6" x14ac:dyDescent="0.3">
      <c r="F53237" s="193"/>
    </row>
    <row r="53238" spans="6:6" x14ac:dyDescent="0.3">
      <c r="F53238" s="193"/>
    </row>
    <row r="53239" spans="6:6" x14ac:dyDescent="0.3">
      <c r="F53239" s="193"/>
    </row>
    <row r="53240" spans="6:6" x14ac:dyDescent="0.3">
      <c r="F53240" s="193"/>
    </row>
    <row r="53241" spans="6:6" x14ac:dyDescent="0.3">
      <c r="F53241" s="193"/>
    </row>
    <row r="53242" spans="6:6" x14ac:dyDescent="0.3">
      <c r="F53242" s="193"/>
    </row>
    <row r="53243" spans="6:6" x14ac:dyDescent="0.3">
      <c r="F53243" s="193"/>
    </row>
    <row r="53244" spans="6:6" x14ac:dyDescent="0.3">
      <c r="F53244" s="193"/>
    </row>
    <row r="53245" spans="6:6" x14ac:dyDescent="0.3">
      <c r="F53245" s="193"/>
    </row>
    <row r="53246" spans="6:6" x14ac:dyDescent="0.3">
      <c r="F53246" s="193"/>
    </row>
    <row r="53247" spans="6:6" x14ac:dyDescent="0.3">
      <c r="F53247" s="193"/>
    </row>
    <row r="53248" spans="6:6" x14ac:dyDescent="0.3">
      <c r="F53248" s="193"/>
    </row>
    <row r="53249" spans="6:6" x14ac:dyDescent="0.3">
      <c r="F53249" s="193"/>
    </row>
    <row r="53250" spans="6:6" x14ac:dyDescent="0.3">
      <c r="F53250" s="193"/>
    </row>
    <row r="53251" spans="6:6" x14ac:dyDescent="0.3">
      <c r="F53251" s="193"/>
    </row>
    <row r="53252" spans="6:6" x14ac:dyDescent="0.3">
      <c r="F53252" s="193"/>
    </row>
    <row r="53253" spans="6:6" x14ac:dyDescent="0.3">
      <c r="F53253" s="193"/>
    </row>
    <row r="53254" spans="6:6" x14ac:dyDescent="0.3">
      <c r="F53254" s="193"/>
    </row>
    <row r="53255" spans="6:6" x14ac:dyDescent="0.3">
      <c r="F53255" s="193"/>
    </row>
    <row r="53256" spans="6:6" x14ac:dyDescent="0.3">
      <c r="F53256" s="193"/>
    </row>
    <row r="53257" spans="6:6" x14ac:dyDescent="0.3">
      <c r="F53257" s="193"/>
    </row>
    <row r="53258" spans="6:6" x14ac:dyDescent="0.3">
      <c r="F53258" s="193"/>
    </row>
    <row r="53259" spans="6:6" x14ac:dyDescent="0.3">
      <c r="F53259" s="193"/>
    </row>
    <row r="53260" spans="6:6" x14ac:dyDescent="0.3">
      <c r="F53260" s="193"/>
    </row>
    <row r="53261" spans="6:6" x14ac:dyDescent="0.3">
      <c r="F53261" s="193"/>
    </row>
    <row r="53262" spans="6:6" x14ac:dyDescent="0.3">
      <c r="F53262" s="193"/>
    </row>
    <row r="53263" spans="6:6" x14ac:dyDescent="0.3">
      <c r="F53263" s="193"/>
    </row>
    <row r="53264" spans="6:6" x14ac:dyDescent="0.3">
      <c r="F53264" s="193"/>
    </row>
    <row r="53265" spans="6:6" x14ac:dyDescent="0.3">
      <c r="F53265" s="193"/>
    </row>
    <row r="53266" spans="6:6" x14ac:dyDescent="0.3">
      <c r="F53266" s="193"/>
    </row>
    <row r="53267" spans="6:6" x14ac:dyDescent="0.3">
      <c r="F53267" s="193"/>
    </row>
    <row r="53268" spans="6:6" x14ac:dyDescent="0.3">
      <c r="F53268" s="193"/>
    </row>
    <row r="53269" spans="6:6" x14ac:dyDescent="0.3">
      <c r="F53269" s="193"/>
    </row>
    <row r="53270" spans="6:6" x14ac:dyDescent="0.3">
      <c r="F53270" s="193"/>
    </row>
    <row r="53271" spans="6:6" x14ac:dyDescent="0.3">
      <c r="F53271" s="193"/>
    </row>
    <row r="53272" spans="6:6" x14ac:dyDescent="0.3">
      <c r="F53272" s="193"/>
    </row>
    <row r="53273" spans="6:6" x14ac:dyDescent="0.3">
      <c r="F53273" s="193"/>
    </row>
    <row r="53274" spans="6:6" x14ac:dyDescent="0.3">
      <c r="F53274" s="193"/>
    </row>
    <row r="53275" spans="6:6" x14ac:dyDescent="0.3">
      <c r="F53275" s="193"/>
    </row>
    <row r="53276" spans="6:6" x14ac:dyDescent="0.3">
      <c r="F53276" s="193"/>
    </row>
    <row r="53277" spans="6:6" x14ac:dyDescent="0.3">
      <c r="F53277" s="193"/>
    </row>
    <row r="53278" spans="6:6" x14ac:dyDescent="0.3">
      <c r="F53278" s="193"/>
    </row>
    <row r="53279" spans="6:6" x14ac:dyDescent="0.3">
      <c r="F53279" s="193"/>
    </row>
    <row r="53280" spans="6:6" x14ac:dyDescent="0.3">
      <c r="F53280" s="193"/>
    </row>
    <row r="53281" spans="6:6" x14ac:dyDescent="0.3">
      <c r="F53281" s="193"/>
    </row>
    <row r="53282" spans="6:6" x14ac:dyDescent="0.3">
      <c r="F53282" s="193"/>
    </row>
    <row r="53283" spans="6:6" x14ac:dyDescent="0.3">
      <c r="F53283" s="193"/>
    </row>
    <row r="53284" spans="6:6" x14ac:dyDescent="0.3">
      <c r="F53284" s="193"/>
    </row>
    <row r="53285" spans="6:6" x14ac:dyDescent="0.3">
      <c r="F53285" s="193"/>
    </row>
    <row r="53286" spans="6:6" x14ac:dyDescent="0.3">
      <c r="F53286" s="193"/>
    </row>
    <row r="53287" spans="6:6" x14ac:dyDescent="0.3">
      <c r="F53287" s="193"/>
    </row>
    <row r="53288" spans="6:6" x14ac:dyDescent="0.3">
      <c r="F53288" s="193"/>
    </row>
    <row r="53289" spans="6:6" x14ac:dyDescent="0.3">
      <c r="F53289" s="193"/>
    </row>
    <row r="53290" spans="6:6" x14ac:dyDescent="0.3">
      <c r="F53290" s="193"/>
    </row>
    <row r="53291" spans="6:6" x14ac:dyDescent="0.3">
      <c r="F53291" s="193"/>
    </row>
    <row r="53292" spans="6:6" x14ac:dyDescent="0.3">
      <c r="F53292" s="193"/>
    </row>
    <row r="53293" spans="6:6" x14ac:dyDescent="0.3">
      <c r="F53293" s="193"/>
    </row>
    <row r="53294" spans="6:6" x14ac:dyDescent="0.3">
      <c r="F53294" s="193"/>
    </row>
    <row r="53295" spans="6:6" x14ac:dyDescent="0.3">
      <c r="F53295" s="193"/>
    </row>
    <row r="53296" spans="6:6" x14ac:dyDescent="0.3">
      <c r="F53296" s="193"/>
    </row>
    <row r="53297" spans="6:6" x14ac:dyDescent="0.3">
      <c r="F53297" s="193"/>
    </row>
    <row r="53298" spans="6:6" x14ac:dyDescent="0.3">
      <c r="F53298" s="193"/>
    </row>
    <row r="53299" spans="6:6" x14ac:dyDescent="0.3">
      <c r="F53299" s="193"/>
    </row>
    <row r="53300" spans="6:6" x14ac:dyDescent="0.3">
      <c r="F53300" s="193"/>
    </row>
    <row r="53301" spans="6:6" x14ac:dyDescent="0.3">
      <c r="F53301" s="193"/>
    </row>
    <row r="53302" spans="6:6" x14ac:dyDescent="0.3">
      <c r="F53302" s="193"/>
    </row>
    <row r="53303" spans="6:6" x14ac:dyDescent="0.3">
      <c r="F53303" s="193"/>
    </row>
    <row r="53304" spans="6:6" x14ac:dyDescent="0.3">
      <c r="F53304" s="193"/>
    </row>
    <row r="53305" spans="6:6" x14ac:dyDescent="0.3">
      <c r="F53305" s="193"/>
    </row>
    <row r="53306" spans="6:6" x14ac:dyDescent="0.3">
      <c r="F53306" s="193"/>
    </row>
    <row r="53307" spans="6:6" x14ac:dyDescent="0.3">
      <c r="F53307" s="193"/>
    </row>
    <row r="53308" spans="6:6" x14ac:dyDescent="0.3">
      <c r="F53308" s="193"/>
    </row>
    <row r="53309" spans="6:6" x14ac:dyDescent="0.3">
      <c r="F53309" s="193"/>
    </row>
    <row r="53310" spans="6:6" x14ac:dyDescent="0.3">
      <c r="F53310" s="193"/>
    </row>
    <row r="53311" spans="6:6" x14ac:dyDescent="0.3">
      <c r="F53311" s="193"/>
    </row>
    <row r="53312" spans="6:6" x14ac:dyDescent="0.3">
      <c r="F53312" s="193"/>
    </row>
    <row r="53313" spans="6:6" x14ac:dyDescent="0.3">
      <c r="F53313" s="193"/>
    </row>
    <row r="53314" spans="6:6" x14ac:dyDescent="0.3">
      <c r="F53314" s="193"/>
    </row>
    <row r="53315" spans="6:6" x14ac:dyDescent="0.3">
      <c r="F53315" s="193"/>
    </row>
    <row r="53316" spans="6:6" x14ac:dyDescent="0.3">
      <c r="F53316" s="193"/>
    </row>
    <row r="53317" spans="6:6" x14ac:dyDescent="0.3">
      <c r="F53317" s="193"/>
    </row>
    <row r="53318" spans="6:6" x14ac:dyDescent="0.3">
      <c r="F53318" s="193"/>
    </row>
    <row r="53319" spans="6:6" x14ac:dyDescent="0.3">
      <c r="F53319" s="193"/>
    </row>
    <row r="53320" spans="6:6" x14ac:dyDescent="0.3">
      <c r="F53320" s="193"/>
    </row>
    <row r="53321" spans="6:6" x14ac:dyDescent="0.3">
      <c r="F53321" s="193"/>
    </row>
    <row r="53322" spans="6:6" x14ac:dyDescent="0.3">
      <c r="F53322" s="193"/>
    </row>
    <row r="53323" spans="6:6" x14ac:dyDescent="0.3">
      <c r="F53323" s="193"/>
    </row>
    <row r="53324" spans="6:6" x14ac:dyDescent="0.3">
      <c r="F53324" s="193"/>
    </row>
    <row r="53325" spans="6:6" x14ac:dyDescent="0.3">
      <c r="F53325" s="193"/>
    </row>
    <row r="53326" spans="6:6" x14ac:dyDescent="0.3">
      <c r="F53326" s="193"/>
    </row>
    <row r="53327" spans="6:6" x14ac:dyDescent="0.3">
      <c r="F53327" s="193"/>
    </row>
    <row r="53328" spans="6:6" x14ac:dyDescent="0.3">
      <c r="F53328" s="193"/>
    </row>
    <row r="53329" spans="6:6" x14ac:dyDescent="0.3">
      <c r="F53329" s="193"/>
    </row>
    <row r="53330" spans="6:6" x14ac:dyDescent="0.3">
      <c r="F53330" s="193"/>
    </row>
    <row r="53331" spans="6:6" x14ac:dyDescent="0.3">
      <c r="F53331" s="193"/>
    </row>
    <row r="53332" spans="6:6" x14ac:dyDescent="0.3">
      <c r="F53332" s="193"/>
    </row>
    <row r="53333" spans="6:6" x14ac:dyDescent="0.3">
      <c r="F53333" s="193"/>
    </row>
    <row r="53334" spans="6:6" x14ac:dyDescent="0.3">
      <c r="F53334" s="193"/>
    </row>
    <row r="53335" spans="6:6" x14ac:dyDescent="0.3">
      <c r="F53335" s="193"/>
    </row>
    <row r="53336" spans="6:6" x14ac:dyDescent="0.3">
      <c r="F53336" s="193"/>
    </row>
    <row r="53337" spans="6:6" x14ac:dyDescent="0.3">
      <c r="F53337" s="193"/>
    </row>
    <row r="53338" spans="6:6" x14ac:dyDescent="0.3">
      <c r="F53338" s="193"/>
    </row>
    <row r="53339" spans="6:6" x14ac:dyDescent="0.3">
      <c r="F53339" s="193"/>
    </row>
    <row r="53340" spans="6:6" x14ac:dyDescent="0.3">
      <c r="F53340" s="193"/>
    </row>
    <row r="53341" spans="6:6" x14ac:dyDescent="0.3">
      <c r="F53341" s="193"/>
    </row>
    <row r="53342" spans="6:6" x14ac:dyDescent="0.3">
      <c r="F53342" s="193"/>
    </row>
    <row r="53343" spans="6:6" x14ac:dyDescent="0.3">
      <c r="F53343" s="193"/>
    </row>
    <row r="53344" spans="6:6" x14ac:dyDescent="0.3">
      <c r="F53344" s="193"/>
    </row>
    <row r="53345" spans="6:6" x14ac:dyDescent="0.3">
      <c r="F53345" s="193"/>
    </row>
    <row r="53346" spans="6:6" x14ac:dyDescent="0.3">
      <c r="F53346" s="193"/>
    </row>
    <row r="53347" spans="6:6" x14ac:dyDescent="0.3">
      <c r="F53347" s="193"/>
    </row>
    <row r="53348" spans="6:6" x14ac:dyDescent="0.3">
      <c r="F53348" s="193"/>
    </row>
    <row r="53349" spans="6:6" x14ac:dyDescent="0.3">
      <c r="F53349" s="193"/>
    </row>
    <row r="53350" spans="6:6" x14ac:dyDescent="0.3">
      <c r="F53350" s="193"/>
    </row>
    <row r="53351" spans="6:6" x14ac:dyDescent="0.3">
      <c r="F53351" s="193"/>
    </row>
    <row r="53352" spans="6:6" x14ac:dyDescent="0.3">
      <c r="F53352" s="193"/>
    </row>
    <row r="53353" spans="6:6" x14ac:dyDescent="0.3">
      <c r="F53353" s="193"/>
    </row>
    <row r="53354" spans="6:6" x14ac:dyDescent="0.3">
      <c r="F53354" s="193"/>
    </row>
    <row r="53355" spans="6:6" x14ac:dyDescent="0.3">
      <c r="F53355" s="193"/>
    </row>
    <row r="53356" spans="6:6" x14ac:dyDescent="0.3">
      <c r="F53356" s="193"/>
    </row>
    <row r="53357" spans="6:6" x14ac:dyDescent="0.3">
      <c r="F53357" s="193"/>
    </row>
    <row r="53358" spans="6:6" x14ac:dyDescent="0.3">
      <c r="F53358" s="193"/>
    </row>
    <row r="53359" spans="6:6" x14ac:dyDescent="0.3">
      <c r="F53359" s="193"/>
    </row>
    <row r="53360" spans="6:6" x14ac:dyDescent="0.3">
      <c r="F53360" s="193"/>
    </row>
    <row r="53361" spans="6:6" x14ac:dyDescent="0.3">
      <c r="F53361" s="193"/>
    </row>
    <row r="53362" spans="6:6" x14ac:dyDescent="0.3">
      <c r="F53362" s="193"/>
    </row>
    <row r="53363" spans="6:6" x14ac:dyDescent="0.3">
      <c r="F53363" s="193"/>
    </row>
    <row r="53364" spans="6:6" x14ac:dyDescent="0.3">
      <c r="F53364" s="193"/>
    </row>
    <row r="53365" spans="6:6" x14ac:dyDescent="0.3">
      <c r="F53365" s="193"/>
    </row>
    <row r="53366" spans="6:6" x14ac:dyDescent="0.3">
      <c r="F53366" s="193"/>
    </row>
    <row r="53367" spans="6:6" x14ac:dyDescent="0.3">
      <c r="F53367" s="193"/>
    </row>
    <row r="53368" spans="6:6" x14ac:dyDescent="0.3">
      <c r="F53368" s="193"/>
    </row>
    <row r="53369" spans="6:6" x14ac:dyDescent="0.3">
      <c r="F53369" s="193"/>
    </row>
    <row r="53370" spans="6:6" x14ac:dyDescent="0.3">
      <c r="F53370" s="193"/>
    </row>
    <row r="53371" spans="6:6" x14ac:dyDescent="0.3">
      <c r="F53371" s="193"/>
    </row>
    <row r="53372" spans="6:6" x14ac:dyDescent="0.3">
      <c r="F53372" s="193"/>
    </row>
    <row r="53373" spans="6:6" x14ac:dyDescent="0.3">
      <c r="F53373" s="193"/>
    </row>
    <row r="53374" spans="6:6" x14ac:dyDescent="0.3">
      <c r="F53374" s="193"/>
    </row>
    <row r="53375" spans="6:6" x14ac:dyDescent="0.3">
      <c r="F53375" s="193"/>
    </row>
    <row r="53376" spans="6:6" x14ac:dyDescent="0.3">
      <c r="F53376" s="193"/>
    </row>
    <row r="53377" spans="6:6" x14ac:dyDescent="0.3">
      <c r="F53377" s="193"/>
    </row>
    <row r="53378" spans="6:6" x14ac:dyDescent="0.3">
      <c r="F53378" s="193"/>
    </row>
    <row r="53379" spans="6:6" x14ac:dyDescent="0.3">
      <c r="F53379" s="193"/>
    </row>
    <row r="53380" spans="6:6" x14ac:dyDescent="0.3">
      <c r="F53380" s="193"/>
    </row>
    <row r="53381" spans="6:6" x14ac:dyDescent="0.3">
      <c r="F53381" s="193"/>
    </row>
    <row r="53382" spans="6:6" x14ac:dyDescent="0.3">
      <c r="F53382" s="193"/>
    </row>
    <row r="53383" spans="6:6" x14ac:dyDescent="0.3">
      <c r="F53383" s="193"/>
    </row>
    <row r="53384" spans="6:6" x14ac:dyDescent="0.3">
      <c r="F53384" s="193"/>
    </row>
    <row r="53385" spans="6:6" x14ac:dyDescent="0.3">
      <c r="F53385" s="193"/>
    </row>
    <row r="53386" spans="6:6" x14ac:dyDescent="0.3">
      <c r="F53386" s="193"/>
    </row>
    <row r="53387" spans="6:6" x14ac:dyDescent="0.3">
      <c r="F53387" s="193"/>
    </row>
    <row r="53388" spans="6:6" x14ac:dyDescent="0.3">
      <c r="F53388" s="193"/>
    </row>
    <row r="53389" spans="6:6" x14ac:dyDescent="0.3">
      <c r="F53389" s="193"/>
    </row>
    <row r="53390" spans="6:6" x14ac:dyDescent="0.3">
      <c r="F53390" s="193"/>
    </row>
    <row r="53391" spans="6:6" x14ac:dyDescent="0.3">
      <c r="F53391" s="193"/>
    </row>
    <row r="53392" spans="6:6" x14ac:dyDescent="0.3">
      <c r="F53392" s="193"/>
    </row>
    <row r="53393" spans="6:6" x14ac:dyDescent="0.3">
      <c r="F53393" s="193"/>
    </row>
    <row r="53394" spans="6:6" x14ac:dyDescent="0.3">
      <c r="F53394" s="193"/>
    </row>
    <row r="53395" spans="6:6" x14ac:dyDescent="0.3">
      <c r="F53395" s="193"/>
    </row>
    <row r="53396" spans="6:6" x14ac:dyDescent="0.3">
      <c r="F53396" s="193"/>
    </row>
    <row r="53397" spans="6:6" x14ac:dyDescent="0.3">
      <c r="F53397" s="193"/>
    </row>
    <row r="53398" spans="6:6" x14ac:dyDescent="0.3">
      <c r="F53398" s="193"/>
    </row>
    <row r="53399" spans="6:6" x14ac:dyDescent="0.3">
      <c r="F53399" s="193"/>
    </row>
    <row r="53400" spans="6:6" x14ac:dyDescent="0.3">
      <c r="F53400" s="193"/>
    </row>
    <row r="53401" spans="6:6" x14ac:dyDescent="0.3">
      <c r="F53401" s="193"/>
    </row>
    <row r="53402" spans="6:6" x14ac:dyDescent="0.3">
      <c r="F53402" s="193"/>
    </row>
    <row r="53403" spans="6:6" x14ac:dyDescent="0.3">
      <c r="F53403" s="193"/>
    </row>
    <row r="53404" spans="6:6" x14ac:dyDescent="0.3">
      <c r="F53404" s="193"/>
    </row>
    <row r="53405" spans="6:6" x14ac:dyDescent="0.3">
      <c r="F53405" s="193"/>
    </row>
    <row r="53406" spans="6:6" x14ac:dyDescent="0.3">
      <c r="F53406" s="193"/>
    </row>
    <row r="53407" spans="6:6" x14ac:dyDescent="0.3">
      <c r="F53407" s="193"/>
    </row>
    <row r="53408" spans="6:6" x14ac:dyDescent="0.3">
      <c r="F53408" s="193"/>
    </row>
    <row r="53409" spans="6:6" x14ac:dyDescent="0.3">
      <c r="F53409" s="193"/>
    </row>
    <row r="53410" spans="6:6" x14ac:dyDescent="0.3">
      <c r="F53410" s="193"/>
    </row>
    <row r="53411" spans="6:6" x14ac:dyDescent="0.3">
      <c r="F53411" s="193"/>
    </row>
    <row r="53412" spans="6:6" x14ac:dyDescent="0.3">
      <c r="F53412" s="193"/>
    </row>
    <row r="53413" spans="6:6" x14ac:dyDescent="0.3">
      <c r="F53413" s="193"/>
    </row>
    <row r="53414" spans="6:6" x14ac:dyDescent="0.3">
      <c r="F53414" s="193"/>
    </row>
    <row r="53415" spans="6:6" x14ac:dyDescent="0.3">
      <c r="F53415" s="193"/>
    </row>
    <row r="53416" spans="6:6" x14ac:dyDescent="0.3">
      <c r="F53416" s="193"/>
    </row>
    <row r="53417" spans="6:6" x14ac:dyDescent="0.3">
      <c r="F53417" s="193"/>
    </row>
    <row r="53418" spans="6:6" x14ac:dyDescent="0.3">
      <c r="F53418" s="193"/>
    </row>
    <row r="53419" spans="6:6" x14ac:dyDescent="0.3">
      <c r="F53419" s="193"/>
    </row>
    <row r="53420" spans="6:6" x14ac:dyDescent="0.3">
      <c r="F53420" s="193"/>
    </row>
    <row r="53421" spans="6:6" x14ac:dyDescent="0.3">
      <c r="F53421" s="193"/>
    </row>
    <row r="53422" spans="6:6" x14ac:dyDescent="0.3">
      <c r="F53422" s="193"/>
    </row>
    <row r="53423" spans="6:6" x14ac:dyDescent="0.3">
      <c r="F53423" s="193"/>
    </row>
    <row r="53424" spans="6:6" x14ac:dyDescent="0.3">
      <c r="F53424" s="193"/>
    </row>
    <row r="53425" spans="6:6" x14ac:dyDescent="0.3">
      <c r="F53425" s="193"/>
    </row>
    <row r="53426" spans="6:6" x14ac:dyDescent="0.3">
      <c r="F53426" s="193"/>
    </row>
    <row r="53427" spans="6:6" x14ac:dyDescent="0.3">
      <c r="F53427" s="193"/>
    </row>
    <row r="53428" spans="6:6" x14ac:dyDescent="0.3">
      <c r="F53428" s="193"/>
    </row>
    <row r="53429" spans="6:6" x14ac:dyDescent="0.3">
      <c r="F53429" s="193"/>
    </row>
    <row r="53430" spans="6:6" x14ac:dyDescent="0.3">
      <c r="F53430" s="193"/>
    </row>
    <row r="53431" spans="6:6" x14ac:dyDescent="0.3">
      <c r="F53431" s="193"/>
    </row>
    <row r="53432" spans="6:6" x14ac:dyDescent="0.3">
      <c r="F53432" s="193"/>
    </row>
    <row r="53433" spans="6:6" x14ac:dyDescent="0.3">
      <c r="F53433" s="193"/>
    </row>
    <row r="53434" spans="6:6" x14ac:dyDescent="0.3">
      <c r="F53434" s="193"/>
    </row>
    <row r="53435" spans="6:6" x14ac:dyDescent="0.3">
      <c r="F53435" s="193"/>
    </row>
    <row r="53436" spans="6:6" x14ac:dyDescent="0.3">
      <c r="F53436" s="193"/>
    </row>
    <row r="53437" spans="6:6" x14ac:dyDescent="0.3">
      <c r="F53437" s="193"/>
    </row>
    <row r="53438" spans="6:6" x14ac:dyDescent="0.3">
      <c r="F53438" s="193"/>
    </row>
    <row r="53439" spans="6:6" x14ac:dyDescent="0.3">
      <c r="F53439" s="193"/>
    </row>
    <row r="53440" spans="6:6" x14ac:dyDescent="0.3">
      <c r="F53440" s="193"/>
    </row>
    <row r="53441" spans="6:6" x14ac:dyDescent="0.3">
      <c r="F53441" s="193"/>
    </row>
    <row r="53442" spans="6:6" x14ac:dyDescent="0.3">
      <c r="F53442" s="193"/>
    </row>
    <row r="53443" spans="6:6" x14ac:dyDescent="0.3">
      <c r="F53443" s="193"/>
    </row>
    <row r="53444" spans="6:6" x14ac:dyDescent="0.3">
      <c r="F53444" s="193"/>
    </row>
    <row r="53445" spans="6:6" x14ac:dyDescent="0.3">
      <c r="F53445" s="193"/>
    </row>
    <row r="53446" spans="6:6" x14ac:dyDescent="0.3">
      <c r="F53446" s="193"/>
    </row>
    <row r="53447" spans="6:6" x14ac:dyDescent="0.3">
      <c r="F53447" s="193"/>
    </row>
    <row r="53448" spans="6:6" x14ac:dyDescent="0.3">
      <c r="F53448" s="193"/>
    </row>
    <row r="53449" spans="6:6" x14ac:dyDescent="0.3">
      <c r="F53449" s="193"/>
    </row>
    <row r="53450" spans="6:6" x14ac:dyDescent="0.3">
      <c r="F53450" s="193"/>
    </row>
    <row r="53451" spans="6:6" x14ac:dyDescent="0.3">
      <c r="F53451" s="193"/>
    </row>
    <row r="53452" spans="6:6" x14ac:dyDescent="0.3">
      <c r="F53452" s="193"/>
    </row>
    <row r="53453" spans="6:6" x14ac:dyDescent="0.3">
      <c r="F53453" s="193"/>
    </row>
    <row r="53454" spans="6:6" x14ac:dyDescent="0.3">
      <c r="F53454" s="193"/>
    </row>
    <row r="53455" spans="6:6" x14ac:dyDescent="0.3">
      <c r="F53455" s="193"/>
    </row>
    <row r="53456" spans="6:6" x14ac:dyDescent="0.3">
      <c r="F53456" s="193"/>
    </row>
    <row r="53457" spans="6:6" x14ac:dyDescent="0.3">
      <c r="F53457" s="193"/>
    </row>
    <row r="53458" spans="6:6" x14ac:dyDescent="0.3">
      <c r="F53458" s="193"/>
    </row>
    <row r="53459" spans="6:6" x14ac:dyDescent="0.3">
      <c r="F53459" s="193"/>
    </row>
    <row r="53460" spans="6:6" x14ac:dyDescent="0.3">
      <c r="F53460" s="193"/>
    </row>
    <row r="53461" spans="6:6" x14ac:dyDescent="0.3">
      <c r="F53461" s="193"/>
    </row>
    <row r="53462" spans="6:6" x14ac:dyDescent="0.3">
      <c r="F53462" s="193"/>
    </row>
    <row r="53463" spans="6:6" x14ac:dyDescent="0.3">
      <c r="F53463" s="193"/>
    </row>
    <row r="53464" spans="6:6" x14ac:dyDescent="0.3">
      <c r="F53464" s="193"/>
    </row>
    <row r="53465" spans="6:6" x14ac:dyDescent="0.3">
      <c r="F53465" s="193"/>
    </row>
    <row r="53466" spans="6:6" x14ac:dyDescent="0.3">
      <c r="F53466" s="193"/>
    </row>
    <row r="53467" spans="6:6" x14ac:dyDescent="0.3">
      <c r="F53467" s="193"/>
    </row>
    <row r="53468" spans="6:6" x14ac:dyDescent="0.3">
      <c r="F53468" s="193"/>
    </row>
    <row r="53469" spans="6:6" x14ac:dyDescent="0.3">
      <c r="F53469" s="193"/>
    </row>
    <row r="53470" spans="6:6" x14ac:dyDescent="0.3">
      <c r="F53470" s="193"/>
    </row>
    <row r="53471" spans="6:6" x14ac:dyDescent="0.3">
      <c r="F53471" s="193"/>
    </row>
    <row r="53472" spans="6:6" x14ac:dyDescent="0.3">
      <c r="F53472" s="193"/>
    </row>
    <row r="53473" spans="6:6" x14ac:dyDescent="0.3">
      <c r="F53473" s="193"/>
    </row>
    <row r="53474" spans="6:6" x14ac:dyDescent="0.3">
      <c r="F53474" s="193"/>
    </row>
    <row r="53475" spans="6:6" x14ac:dyDescent="0.3">
      <c r="F53475" s="193"/>
    </row>
    <row r="53476" spans="6:6" x14ac:dyDescent="0.3">
      <c r="F53476" s="193"/>
    </row>
    <row r="53477" spans="6:6" x14ac:dyDescent="0.3">
      <c r="F53477" s="193"/>
    </row>
    <row r="53478" spans="6:6" x14ac:dyDescent="0.3">
      <c r="F53478" s="193"/>
    </row>
    <row r="53479" spans="6:6" x14ac:dyDescent="0.3">
      <c r="F53479" s="193"/>
    </row>
    <row r="53480" spans="6:6" x14ac:dyDescent="0.3">
      <c r="F53480" s="193"/>
    </row>
    <row r="53481" spans="6:6" x14ac:dyDescent="0.3">
      <c r="F53481" s="193"/>
    </row>
    <row r="53482" spans="6:6" x14ac:dyDescent="0.3">
      <c r="F53482" s="193"/>
    </row>
    <row r="53483" spans="6:6" x14ac:dyDescent="0.3">
      <c r="F53483" s="193"/>
    </row>
    <row r="53484" spans="6:6" x14ac:dyDescent="0.3">
      <c r="F53484" s="193"/>
    </row>
    <row r="53485" spans="6:6" x14ac:dyDescent="0.3">
      <c r="F53485" s="193"/>
    </row>
    <row r="53486" spans="6:6" x14ac:dyDescent="0.3">
      <c r="F53486" s="193"/>
    </row>
    <row r="53487" spans="6:6" x14ac:dyDescent="0.3">
      <c r="F53487" s="193"/>
    </row>
    <row r="53488" spans="6:6" x14ac:dyDescent="0.3">
      <c r="F53488" s="193"/>
    </row>
    <row r="53489" spans="6:6" x14ac:dyDescent="0.3">
      <c r="F53489" s="193"/>
    </row>
    <row r="53490" spans="6:6" x14ac:dyDescent="0.3">
      <c r="F53490" s="193"/>
    </row>
    <row r="53491" spans="6:6" x14ac:dyDescent="0.3">
      <c r="F53491" s="193"/>
    </row>
    <row r="53492" spans="6:6" x14ac:dyDescent="0.3">
      <c r="F53492" s="193"/>
    </row>
    <row r="53493" spans="6:6" x14ac:dyDescent="0.3">
      <c r="F53493" s="193"/>
    </row>
    <row r="53494" spans="6:6" x14ac:dyDescent="0.3">
      <c r="F53494" s="193"/>
    </row>
    <row r="53495" spans="6:6" x14ac:dyDescent="0.3">
      <c r="F53495" s="193"/>
    </row>
    <row r="53496" spans="6:6" x14ac:dyDescent="0.3">
      <c r="F53496" s="193"/>
    </row>
    <row r="53497" spans="6:6" x14ac:dyDescent="0.3">
      <c r="F53497" s="193"/>
    </row>
    <row r="53498" spans="6:6" x14ac:dyDescent="0.3">
      <c r="F53498" s="193"/>
    </row>
    <row r="53499" spans="6:6" x14ac:dyDescent="0.3">
      <c r="F53499" s="193"/>
    </row>
    <row r="53500" spans="6:6" x14ac:dyDescent="0.3">
      <c r="F53500" s="193"/>
    </row>
    <row r="53501" spans="6:6" x14ac:dyDescent="0.3">
      <c r="F53501" s="193"/>
    </row>
    <row r="53502" spans="6:6" x14ac:dyDescent="0.3">
      <c r="F53502" s="193"/>
    </row>
    <row r="53503" spans="6:6" x14ac:dyDescent="0.3">
      <c r="F53503" s="193"/>
    </row>
    <row r="53504" spans="6:6" x14ac:dyDescent="0.3">
      <c r="F53504" s="193"/>
    </row>
    <row r="53505" spans="6:6" x14ac:dyDescent="0.3">
      <c r="F53505" s="193"/>
    </row>
    <row r="53506" spans="6:6" x14ac:dyDescent="0.3">
      <c r="F53506" s="193"/>
    </row>
    <row r="53507" spans="6:6" x14ac:dyDescent="0.3">
      <c r="F53507" s="193"/>
    </row>
    <row r="53508" spans="6:6" x14ac:dyDescent="0.3">
      <c r="F53508" s="193"/>
    </row>
    <row r="53509" spans="6:6" x14ac:dyDescent="0.3">
      <c r="F53509" s="193"/>
    </row>
    <row r="53510" spans="6:6" x14ac:dyDescent="0.3">
      <c r="F53510" s="193"/>
    </row>
    <row r="53511" spans="6:6" x14ac:dyDescent="0.3">
      <c r="F53511" s="193"/>
    </row>
    <row r="53512" spans="6:6" x14ac:dyDescent="0.3">
      <c r="F53512" s="193"/>
    </row>
    <row r="53513" spans="6:6" x14ac:dyDescent="0.3">
      <c r="F53513" s="193"/>
    </row>
    <row r="53514" spans="6:6" x14ac:dyDescent="0.3">
      <c r="F53514" s="193"/>
    </row>
    <row r="53515" spans="6:6" x14ac:dyDescent="0.3">
      <c r="F53515" s="193"/>
    </row>
    <row r="53516" spans="6:6" x14ac:dyDescent="0.3">
      <c r="F53516" s="193"/>
    </row>
    <row r="53517" spans="6:6" x14ac:dyDescent="0.3">
      <c r="F53517" s="193"/>
    </row>
    <row r="53518" spans="6:6" x14ac:dyDescent="0.3">
      <c r="F53518" s="193"/>
    </row>
    <row r="53519" spans="6:6" x14ac:dyDescent="0.3">
      <c r="F53519" s="193"/>
    </row>
    <row r="53520" spans="6:6" x14ac:dyDescent="0.3">
      <c r="F53520" s="193"/>
    </row>
    <row r="53521" spans="6:6" x14ac:dyDescent="0.3">
      <c r="F53521" s="193"/>
    </row>
    <row r="53522" spans="6:6" x14ac:dyDescent="0.3">
      <c r="F53522" s="193"/>
    </row>
    <row r="53523" spans="6:6" x14ac:dyDescent="0.3">
      <c r="F53523" s="193"/>
    </row>
    <row r="53524" spans="6:6" x14ac:dyDescent="0.3">
      <c r="F53524" s="193"/>
    </row>
    <row r="53525" spans="6:6" x14ac:dyDescent="0.3">
      <c r="F53525" s="193"/>
    </row>
    <row r="53526" spans="6:6" x14ac:dyDescent="0.3">
      <c r="F53526" s="193"/>
    </row>
    <row r="53527" spans="6:6" x14ac:dyDescent="0.3">
      <c r="F53527" s="193"/>
    </row>
    <row r="53528" spans="6:6" x14ac:dyDescent="0.3">
      <c r="F53528" s="193"/>
    </row>
    <row r="53529" spans="6:6" x14ac:dyDescent="0.3">
      <c r="F53529" s="193"/>
    </row>
    <row r="53530" spans="6:6" x14ac:dyDescent="0.3">
      <c r="F53530" s="193"/>
    </row>
    <row r="53531" spans="6:6" x14ac:dyDescent="0.3">
      <c r="F53531" s="193"/>
    </row>
    <row r="53532" spans="6:6" x14ac:dyDescent="0.3">
      <c r="F53532" s="193"/>
    </row>
    <row r="53533" spans="6:6" x14ac:dyDescent="0.3">
      <c r="F53533" s="193"/>
    </row>
    <row r="53534" spans="6:6" x14ac:dyDescent="0.3">
      <c r="F53534" s="193"/>
    </row>
    <row r="53535" spans="6:6" x14ac:dyDescent="0.3">
      <c r="F53535" s="193"/>
    </row>
    <row r="53536" spans="6:6" x14ac:dyDescent="0.3">
      <c r="F53536" s="193"/>
    </row>
    <row r="53537" spans="6:6" x14ac:dyDescent="0.3">
      <c r="F53537" s="193"/>
    </row>
    <row r="53538" spans="6:6" x14ac:dyDescent="0.3">
      <c r="F53538" s="193"/>
    </row>
    <row r="53539" spans="6:6" x14ac:dyDescent="0.3">
      <c r="F53539" s="193"/>
    </row>
    <row r="53540" spans="6:6" x14ac:dyDescent="0.3">
      <c r="F53540" s="193"/>
    </row>
    <row r="53541" spans="6:6" x14ac:dyDescent="0.3">
      <c r="F53541" s="193"/>
    </row>
    <row r="53542" spans="6:6" x14ac:dyDescent="0.3">
      <c r="F53542" s="193"/>
    </row>
    <row r="53543" spans="6:6" x14ac:dyDescent="0.3">
      <c r="F53543" s="193"/>
    </row>
    <row r="53544" spans="6:6" x14ac:dyDescent="0.3">
      <c r="F53544" s="193"/>
    </row>
    <row r="53545" spans="6:6" x14ac:dyDescent="0.3">
      <c r="F53545" s="193"/>
    </row>
    <row r="53546" spans="6:6" x14ac:dyDescent="0.3">
      <c r="F53546" s="193"/>
    </row>
    <row r="53547" spans="6:6" x14ac:dyDescent="0.3">
      <c r="F53547" s="193"/>
    </row>
    <row r="53548" spans="6:6" x14ac:dyDescent="0.3">
      <c r="F53548" s="193"/>
    </row>
    <row r="53549" spans="6:6" x14ac:dyDescent="0.3">
      <c r="F53549" s="193"/>
    </row>
    <row r="53550" spans="6:6" x14ac:dyDescent="0.3">
      <c r="F53550" s="193"/>
    </row>
    <row r="53551" spans="6:6" x14ac:dyDescent="0.3">
      <c r="F53551" s="193"/>
    </row>
    <row r="53552" spans="6:6" x14ac:dyDescent="0.3">
      <c r="F53552" s="193"/>
    </row>
    <row r="53553" spans="6:6" x14ac:dyDescent="0.3">
      <c r="F53553" s="193"/>
    </row>
    <row r="53554" spans="6:6" x14ac:dyDescent="0.3">
      <c r="F53554" s="193"/>
    </row>
    <row r="53555" spans="6:6" x14ac:dyDescent="0.3">
      <c r="F53555" s="193"/>
    </row>
    <row r="53556" spans="6:6" x14ac:dyDescent="0.3">
      <c r="F53556" s="193"/>
    </row>
    <row r="53557" spans="6:6" x14ac:dyDescent="0.3">
      <c r="F53557" s="193"/>
    </row>
    <row r="53558" spans="6:6" x14ac:dyDescent="0.3">
      <c r="F53558" s="193"/>
    </row>
    <row r="53559" spans="6:6" x14ac:dyDescent="0.3">
      <c r="F53559" s="193"/>
    </row>
    <row r="53560" spans="6:6" x14ac:dyDescent="0.3">
      <c r="F53560" s="193"/>
    </row>
    <row r="53561" spans="6:6" x14ac:dyDescent="0.3">
      <c r="F53561" s="193"/>
    </row>
    <row r="53562" spans="6:6" x14ac:dyDescent="0.3">
      <c r="F53562" s="193"/>
    </row>
    <row r="53563" spans="6:6" x14ac:dyDescent="0.3">
      <c r="F53563" s="193"/>
    </row>
    <row r="53564" spans="6:6" x14ac:dyDescent="0.3">
      <c r="F53564" s="193"/>
    </row>
    <row r="53565" spans="6:6" x14ac:dyDescent="0.3">
      <c r="F53565" s="193"/>
    </row>
    <row r="53566" spans="6:6" x14ac:dyDescent="0.3">
      <c r="F53566" s="193"/>
    </row>
    <row r="53567" spans="6:6" x14ac:dyDescent="0.3">
      <c r="F53567" s="193"/>
    </row>
    <row r="53568" spans="6:6" x14ac:dyDescent="0.3">
      <c r="F53568" s="193"/>
    </row>
    <row r="53569" spans="6:6" x14ac:dyDescent="0.3">
      <c r="F53569" s="193"/>
    </row>
    <row r="53570" spans="6:6" x14ac:dyDescent="0.3">
      <c r="F53570" s="193"/>
    </row>
    <row r="53571" spans="6:6" x14ac:dyDescent="0.3">
      <c r="F53571" s="193"/>
    </row>
    <row r="53572" spans="6:6" x14ac:dyDescent="0.3">
      <c r="F53572" s="193"/>
    </row>
    <row r="53573" spans="6:6" x14ac:dyDescent="0.3">
      <c r="F53573" s="193"/>
    </row>
    <row r="53574" spans="6:6" x14ac:dyDescent="0.3">
      <c r="F53574" s="193"/>
    </row>
    <row r="53575" spans="6:6" x14ac:dyDescent="0.3">
      <c r="F53575" s="193"/>
    </row>
    <row r="53576" spans="6:6" x14ac:dyDescent="0.3">
      <c r="F53576" s="193"/>
    </row>
    <row r="53577" spans="6:6" x14ac:dyDescent="0.3">
      <c r="F53577" s="193"/>
    </row>
    <row r="53578" spans="6:6" x14ac:dyDescent="0.3">
      <c r="F53578" s="193"/>
    </row>
    <row r="53579" spans="6:6" x14ac:dyDescent="0.3">
      <c r="F53579" s="193"/>
    </row>
    <row r="53580" spans="6:6" x14ac:dyDescent="0.3">
      <c r="F53580" s="193"/>
    </row>
    <row r="53581" spans="6:6" x14ac:dyDescent="0.3">
      <c r="F53581" s="193"/>
    </row>
    <row r="53582" spans="6:6" x14ac:dyDescent="0.3">
      <c r="F53582" s="193"/>
    </row>
    <row r="53583" spans="6:6" x14ac:dyDescent="0.3">
      <c r="F53583" s="193"/>
    </row>
    <row r="53584" spans="6:6" x14ac:dyDescent="0.3">
      <c r="F53584" s="193"/>
    </row>
    <row r="53585" spans="6:6" x14ac:dyDescent="0.3">
      <c r="F53585" s="193"/>
    </row>
    <row r="53586" spans="6:6" x14ac:dyDescent="0.3">
      <c r="F53586" s="193"/>
    </row>
    <row r="53587" spans="6:6" x14ac:dyDescent="0.3">
      <c r="F53587" s="193"/>
    </row>
    <row r="53588" spans="6:6" x14ac:dyDescent="0.3">
      <c r="F53588" s="193"/>
    </row>
    <row r="53589" spans="6:6" x14ac:dyDescent="0.3">
      <c r="F53589" s="193"/>
    </row>
    <row r="53590" spans="6:6" x14ac:dyDescent="0.3">
      <c r="F53590" s="193"/>
    </row>
    <row r="53591" spans="6:6" x14ac:dyDescent="0.3">
      <c r="F53591" s="193"/>
    </row>
    <row r="53592" spans="6:6" x14ac:dyDescent="0.3">
      <c r="F53592" s="193"/>
    </row>
    <row r="53593" spans="6:6" x14ac:dyDescent="0.3">
      <c r="F53593" s="193"/>
    </row>
    <row r="53594" spans="6:6" x14ac:dyDescent="0.3">
      <c r="F53594" s="193"/>
    </row>
    <row r="53595" spans="6:6" x14ac:dyDescent="0.3">
      <c r="F53595" s="193"/>
    </row>
    <row r="53596" spans="6:6" x14ac:dyDescent="0.3">
      <c r="F53596" s="193"/>
    </row>
    <row r="53597" spans="6:6" x14ac:dyDescent="0.3">
      <c r="F53597" s="193"/>
    </row>
    <row r="53598" spans="6:6" x14ac:dyDescent="0.3">
      <c r="F53598" s="193"/>
    </row>
    <row r="53599" spans="6:6" x14ac:dyDescent="0.3">
      <c r="F53599" s="193"/>
    </row>
    <row r="53600" spans="6:6" x14ac:dyDescent="0.3">
      <c r="F53600" s="193"/>
    </row>
    <row r="53601" spans="6:6" x14ac:dyDescent="0.3">
      <c r="F53601" s="193"/>
    </row>
    <row r="53602" spans="6:6" x14ac:dyDescent="0.3">
      <c r="F53602" s="193"/>
    </row>
    <row r="53603" spans="6:6" x14ac:dyDescent="0.3">
      <c r="F53603" s="193"/>
    </row>
    <row r="53604" spans="6:6" x14ac:dyDescent="0.3">
      <c r="F53604" s="193"/>
    </row>
    <row r="53605" spans="6:6" x14ac:dyDescent="0.3">
      <c r="F53605" s="193"/>
    </row>
    <row r="53606" spans="6:6" x14ac:dyDescent="0.3">
      <c r="F53606" s="193"/>
    </row>
    <row r="53607" spans="6:6" x14ac:dyDescent="0.3">
      <c r="F53607" s="193"/>
    </row>
    <row r="53608" spans="6:6" x14ac:dyDescent="0.3">
      <c r="F53608" s="193"/>
    </row>
    <row r="53609" spans="6:6" x14ac:dyDescent="0.3">
      <c r="F53609" s="193"/>
    </row>
    <row r="53610" spans="6:6" x14ac:dyDescent="0.3">
      <c r="F53610" s="193"/>
    </row>
    <row r="53611" spans="6:6" x14ac:dyDescent="0.3">
      <c r="F53611" s="193"/>
    </row>
    <row r="53612" spans="6:6" x14ac:dyDescent="0.3">
      <c r="F53612" s="193"/>
    </row>
    <row r="53613" spans="6:6" x14ac:dyDescent="0.3">
      <c r="F53613" s="193"/>
    </row>
    <row r="53614" spans="6:6" x14ac:dyDescent="0.3">
      <c r="F53614" s="193"/>
    </row>
    <row r="53615" spans="6:6" x14ac:dyDescent="0.3">
      <c r="F53615" s="193"/>
    </row>
    <row r="53616" spans="6:6" x14ac:dyDescent="0.3">
      <c r="F53616" s="193"/>
    </row>
    <row r="53617" spans="6:6" x14ac:dyDescent="0.3">
      <c r="F53617" s="193"/>
    </row>
    <row r="53618" spans="6:6" x14ac:dyDescent="0.3">
      <c r="F53618" s="193"/>
    </row>
    <row r="53619" spans="6:6" x14ac:dyDescent="0.3">
      <c r="F53619" s="193"/>
    </row>
    <row r="53620" spans="6:6" x14ac:dyDescent="0.3">
      <c r="F53620" s="193"/>
    </row>
    <row r="53621" spans="6:6" x14ac:dyDescent="0.3">
      <c r="F53621" s="193"/>
    </row>
    <row r="53622" spans="6:6" x14ac:dyDescent="0.3">
      <c r="F53622" s="193"/>
    </row>
    <row r="53623" spans="6:6" x14ac:dyDescent="0.3">
      <c r="F53623" s="193"/>
    </row>
    <row r="53624" spans="6:6" x14ac:dyDescent="0.3">
      <c r="F53624" s="193"/>
    </row>
    <row r="53625" spans="6:6" x14ac:dyDescent="0.3">
      <c r="F53625" s="193"/>
    </row>
    <row r="53626" spans="6:6" x14ac:dyDescent="0.3">
      <c r="F53626" s="193"/>
    </row>
    <row r="53627" spans="6:6" x14ac:dyDescent="0.3">
      <c r="F53627" s="193"/>
    </row>
    <row r="53628" spans="6:6" x14ac:dyDescent="0.3">
      <c r="F53628" s="193"/>
    </row>
    <row r="53629" spans="6:6" x14ac:dyDescent="0.3">
      <c r="F53629" s="193"/>
    </row>
    <row r="53630" spans="6:6" x14ac:dyDescent="0.3">
      <c r="F53630" s="193"/>
    </row>
    <row r="53631" spans="6:6" x14ac:dyDescent="0.3">
      <c r="F53631" s="193"/>
    </row>
    <row r="53632" spans="6:6" x14ac:dyDescent="0.3">
      <c r="F53632" s="193"/>
    </row>
    <row r="53633" spans="6:6" x14ac:dyDescent="0.3">
      <c r="F53633" s="193"/>
    </row>
    <row r="53634" spans="6:6" x14ac:dyDescent="0.3">
      <c r="F53634" s="193"/>
    </row>
    <row r="53635" spans="6:6" x14ac:dyDescent="0.3">
      <c r="F53635" s="193"/>
    </row>
    <row r="53636" spans="6:6" x14ac:dyDescent="0.3">
      <c r="F53636" s="193"/>
    </row>
    <row r="53637" spans="6:6" x14ac:dyDescent="0.3">
      <c r="F53637" s="193"/>
    </row>
    <row r="53638" spans="6:6" x14ac:dyDescent="0.3">
      <c r="F53638" s="193"/>
    </row>
    <row r="53639" spans="6:6" x14ac:dyDescent="0.3">
      <c r="F53639" s="193"/>
    </row>
    <row r="53640" spans="6:6" x14ac:dyDescent="0.3">
      <c r="F53640" s="193"/>
    </row>
    <row r="53641" spans="6:6" x14ac:dyDescent="0.3">
      <c r="F53641" s="193"/>
    </row>
    <row r="53642" spans="6:6" x14ac:dyDescent="0.3">
      <c r="F53642" s="193"/>
    </row>
    <row r="53643" spans="6:6" x14ac:dyDescent="0.3">
      <c r="F53643" s="193"/>
    </row>
    <row r="53644" spans="6:6" x14ac:dyDescent="0.3">
      <c r="F53644" s="193"/>
    </row>
    <row r="53645" spans="6:6" x14ac:dyDescent="0.3">
      <c r="F53645" s="193"/>
    </row>
    <row r="53646" spans="6:6" x14ac:dyDescent="0.3">
      <c r="F53646" s="193"/>
    </row>
    <row r="53647" spans="6:6" x14ac:dyDescent="0.3">
      <c r="F53647" s="193"/>
    </row>
    <row r="53648" spans="6:6" x14ac:dyDescent="0.3">
      <c r="F53648" s="193"/>
    </row>
    <row r="53649" spans="6:6" x14ac:dyDescent="0.3">
      <c r="F53649" s="193"/>
    </row>
    <row r="53650" spans="6:6" x14ac:dyDescent="0.3">
      <c r="F53650" s="193"/>
    </row>
    <row r="53651" spans="6:6" x14ac:dyDescent="0.3">
      <c r="F53651" s="193"/>
    </row>
    <row r="53652" spans="6:6" x14ac:dyDescent="0.3">
      <c r="F53652" s="193"/>
    </row>
    <row r="53653" spans="6:6" x14ac:dyDescent="0.3">
      <c r="F53653" s="193"/>
    </row>
    <row r="53654" spans="6:6" x14ac:dyDescent="0.3">
      <c r="F53654" s="193"/>
    </row>
    <row r="53655" spans="6:6" x14ac:dyDescent="0.3">
      <c r="F53655" s="193"/>
    </row>
    <row r="53656" spans="6:6" x14ac:dyDescent="0.3">
      <c r="F53656" s="193"/>
    </row>
    <row r="53657" spans="6:6" x14ac:dyDescent="0.3">
      <c r="F53657" s="193"/>
    </row>
    <row r="53658" spans="6:6" x14ac:dyDescent="0.3">
      <c r="F53658" s="193"/>
    </row>
    <row r="53659" spans="6:6" x14ac:dyDescent="0.3">
      <c r="F53659" s="193"/>
    </row>
    <row r="53660" spans="6:6" x14ac:dyDescent="0.3">
      <c r="F53660" s="193"/>
    </row>
    <row r="53661" spans="6:6" x14ac:dyDescent="0.3">
      <c r="F53661" s="193"/>
    </row>
    <row r="53662" spans="6:6" x14ac:dyDescent="0.3">
      <c r="F53662" s="193"/>
    </row>
    <row r="53663" spans="6:6" x14ac:dyDescent="0.3">
      <c r="F53663" s="193"/>
    </row>
    <row r="53664" spans="6:6" x14ac:dyDescent="0.3">
      <c r="F53664" s="193"/>
    </row>
    <row r="53665" spans="6:6" x14ac:dyDescent="0.3">
      <c r="F53665" s="193"/>
    </row>
    <row r="53666" spans="6:6" x14ac:dyDescent="0.3">
      <c r="F53666" s="193"/>
    </row>
    <row r="53667" spans="6:6" x14ac:dyDescent="0.3">
      <c r="F53667" s="193"/>
    </row>
    <row r="53668" spans="6:6" x14ac:dyDescent="0.3">
      <c r="F53668" s="193"/>
    </row>
    <row r="53669" spans="6:6" x14ac:dyDescent="0.3">
      <c r="F53669" s="193"/>
    </row>
    <row r="53670" spans="6:6" x14ac:dyDescent="0.3">
      <c r="F53670" s="193"/>
    </row>
    <row r="53671" spans="6:6" x14ac:dyDescent="0.3">
      <c r="F53671" s="193"/>
    </row>
    <row r="53672" spans="6:6" x14ac:dyDescent="0.3">
      <c r="F53672" s="193"/>
    </row>
    <row r="53673" spans="6:6" x14ac:dyDescent="0.3">
      <c r="F53673" s="193"/>
    </row>
    <row r="53674" spans="6:6" x14ac:dyDescent="0.3">
      <c r="F53674" s="193"/>
    </row>
    <row r="53675" spans="6:6" x14ac:dyDescent="0.3">
      <c r="F53675" s="193"/>
    </row>
    <row r="53676" spans="6:6" x14ac:dyDescent="0.3">
      <c r="F53676" s="193"/>
    </row>
    <row r="53677" spans="6:6" x14ac:dyDescent="0.3">
      <c r="F53677" s="193"/>
    </row>
    <row r="53678" spans="6:6" x14ac:dyDescent="0.3">
      <c r="F53678" s="193"/>
    </row>
    <row r="53679" spans="6:6" x14ac:dyDescent="0.3">
      <c r="F53679" s="193"/>
    </row>
    <row r="53680" spans="6:6" x14ac:dyDescent="0.3">
      <c r="F53680" s="193"/>
    </row>
    <row r="53681" spans="6:6" x14ac:dyDescent="0.3">
      <c r="F53681" s="193"/>
    </row>
    <row r="53682" spans="6:6" x14ac:dyDescent="0.3">
      <c r="F53682" s="193"/>
    </row>
    <row r="53683" spans="6:6" x14ac:dyDescent="0.3">
      <c r="F53683" s="193"/>
    </row>
    <row r="53684" spans="6:6" x14ac:dyDescent="0.3">
      <c r="F53684" s="193"/>
    </row>
    <row r="53685" spans="6:6" x14ac:dyDescent="0.3">
      <c r="F53685" s="193"/>
    </row>
    <row r="53686" spans="6:6" x14ac:dyDescent="0.3">
      <c r="F53686" s="193"/>
    </row>
    <row r="53687" spans="6:6" x14ac:dyDescent="0.3">
      <c r="F53687" s="193"/>
    </row>
    <row r="53688" spans="6:6" x14ac:dyDescent="0.3">
      <c r="F53688" s="193"/>
    </row>
    <row r="53689" spans="6:6" x14ac:dyDescent="0.3">
      <c r="F53689" s="193"/>
    </row>
    <row r="53690" spans="6:6" x14ac:dyDescent="0.3">
      <c r="F53690" s="193"/>
    </row>
    <row r="53691" spans="6:6" x14ac:dyDescent="0.3">
      <c r="F53691" s="193"/>
    </row>
    <row r="53692" spans="6:6" x14ac:dyDescent="0.3">
      <c r="F53692" s="193"/>
    </row>
    <row r="53693" spans="6:6" x14ac:dyDescent="0.3">
      <c r="F53693" s="193"/>
    </row>
    <row r="53694" spans="6:6" x14ac:dyDescent="0.3">
      <c r="F53694" s="193"/>
    </row>
    <row r="53695" spans="6:6" x14ac:dyDescent="0.3">
      <c r="F53695" s="193"/>
    </row>
    <row r="53696" spans="6:6" x14ac:dyDescent="0.3">
      <c r="F53696" s="193"/>
    </row>
    <row r="53697" spans="6:6" x14ac:dyDescent="0.3">
      <c r="F53697" s="193"/>
    </row>
    <row r="53698" spans="6:6" x14ac:dyDescent="0.3">
      <c r="F53698" s="193"/>
    </row>
    <row r="53699" spans="6:6" x14ac:dyDescent="0.3">
      <c r="F53699" s="193"/>
    </row>
    <row r="53700" spans="6:6" x14ac:dyDescent="0.3">
      <c r="F53700" s="193"/>
    </row>
    <row r="53701" spans="6:6" x14ac:dyDescent="0.3">
      <c r="F53701" s="193"/>
    </row>
    <row r="53702" spans="6:6" x14ac:dyDescent="0.3">
      <c r="F53702" s="193"/>
    </row>
    <row r="53703" spans="6:6" x14ac:dyDescent="0.3">
      <c r="F53703" s="193"/>
    </row>
    <row r="53704" spans="6:6" x14ac:dyDescent="0.3">
      <c r="F53704" s="193"/>
    </row>
    <row r="53705" spans="6:6" x14ac:dyDescent="0.3">
      <c r="F53705" s="193"/>
    </row>
    <row r="53706" spans="6:6" x14ac:dyDescent="0.3">
      <c r="F53706" s="193"/>
    </row>
    <row r="53707" spans="6:6" x14ac:dyDescent="0.3">
      <c r="F53707" s="193"/>
    </row>
    <row r="53708" spans="6:6" x14ac:dyDescent="0.3">
      <c r="F53708" s="193"/>
    </row>
    <row r="53709" spans="6:6" x14ac:dyDescent="0.3">
      <c r="F53709" s="193"/>
    </row>
    <row r="53710" spans="6:6" x14ac:dyDescent="0.3">
      <c r="F53710" s="193"/>
    </row>
    <row r="53711" spans="6:6" x14ac:dyDescent="0.3">
      <c r="F53711" s="193"/>
    </row>
    <row r="53712" spans="6:6" x14ac:dyDescent="0.3">
      <c r="F53712" s="193"/>
    </row>
    <row r="53713" spans="6:6" x14ac:dyDescent="0.3">
      <c r="F53713" s="193"/>
    </row>
    <row r="53714" spans="6:6" x14ac:dyDescent="0.3">
      <c r="F53714" s="193"/>
    </row>
    <row r="53715" spans="6:6" x14ac:dyDescent="0.3">
      <c r="F53715" s="193"/>
    </row>
    <row r="53716" spans="6:6" x14ac:dyDescent="0.3">
      <c r="F53716" s="193"/>
    </row>
    <row r="53717" spans="6:6" x14ac:dyDescent="0.3">
      <c r="F53717" s="193"/>
    </row>
    <row r="53718" spans="6:6" x14ac:dyDescent="0.3">
      <c r="F53718" s="193"/>
    </row>
    <row r="53719" spans="6:6" x14ac:dyDescent="0.3">
      <c r="F53719" s="193"/>
    </row>
    <row r="53720" spans="6:6" x14ac:dyDescent="0.3">
      <c r="F53720" s="193"/>
    </row>
    <row r="53721" spans="6:6" x14ac:dyDescent="0.3">
      <c r="F53721" s="193"/>
    </row>
    <row r="53722" spans="6:6" x14ac:dyDescent="0.3">
      <c r="F53722" s="193"/>
    </row>
    <row r="53723" spans="6:6" x14ac:dyDescent="0.3">
      <c r="F53723" s="193"/>
    </row>
    <row r="53724" spans="6:6" x14ac:dyDescent="0.3">
      <c r="F53724" s="193"/>
    </row>
    <row r="53725" spans="6:6" x14ac:dyDescent="0.3">
      <c r="F53725" s="193"/>
    </row>
    <row r="53726" spans="6:6" x14ac:dyDescent="0.3">
      <c r="F53726" s="193"/>
    </row>
    <row r="53727" spans="6:6" x14ac:dyDescent="0.3">
      <c r="F53727" s="193"/>
    </row>
    <row r="53728" spans="6:6" x14ac:dyDescent="0.3">
      <c r="F53728" s="193"/>
    </row>
    <row r="53729" spans="6:6" x14ac:dyDescent="0.3">
      <c r="F53729" s="193"/>
    </row>
    <row r="53730" spans="6:6" x14ac:dyDescent="0.3">
      <c r="F53730" s="193"/>
    </row>
    <row r="53731" spans="6:6" x14ac:dyDescent="0.3">
      <c r="F53731" s="193"/>
    </row>
    <row r="53732" spans="6:6" x14ac:dyDescent="0.3">
      <c r="F53732" s="193"/>
    </row>
    <row r="53733" spans="6:6" x14ac:dyDescent="0.3">
      <c r="F53733" s="193"/>
    </row>
    <row r="53734" spans="6:6" x14ac:dyDescent="0.3">
      <c r="F53734" s="193"/>
    </row>
    <row r="53735" spans="6:6" x14ac:dyDescent="0.3">
      <c r="F53735" s="193"/>
    </row>
    <row r="53736" spans="6:6" x14ac:dyDescent="0.3">
      <c r="F53736" s="193"/>
    </row>
    <row r="53737" spans="6:6" x14ac:dyDescent="0.3">
      <c r="F53737" s="193"/>
    </row>
    <row r="53738" spans="6:6" x14ac:dyDescent="0.3">
      <c r="F53738" s="193"/>
    </row>
    <row r="53739" spans="6:6" x14ac:dyDescent="0.3">
      <c r="F53739" s="193"/>
    </row>
    <row r="53740" spans="6:6" x14ac:dyDescent="0.3">
      <c r="F53740" s="193"/>
    </row>
    <row r="53741" spans="6:6" x14ac:dyDescent="0.3">
      <c r="F53741" s="193"/>
    </row>
    <row r="53742" spans="6:6" x14ac:dyDescent="0.3">
      <c r="F53742" s="193"/>
    </row>
    <row r="53743" spans="6:6" x14ac:dyDescent="0.3">
      <c r="F53743" s="193"/>
    </row>
    <row r="53744" spans="6:6" x14ac:dyDescent="0.3">
      <c r="F53744" s="193"/>
    </row>
    <row r="53745" spans="6:6" x14ac:dyDescent="0.3">
      <c r="F53745" s="193"/>
    </row>
    <row r="53746" spans="6:6" x14ac:dyDescent="0.3">
      <c r="F53746" s="193"/>
    </row>
    <row r="53747" spans="6:6" x14ac:dyDescent="0.3">
      <c r="F53747" s="193"/>
    </row>
    <row r="53748" spans="6:6" x14ac:dyDescent="0.3">
      <c r="F53748" s="193"/>
    </row>
    <row r="53749" spans="6:6" x14ac:dyDescent="0.3">
      <c r="F53749" s="193"/>
    </row>
    <row r="53750" spans="6:6" x14ac:dyDescent="0.3">
      <c r="F53750" s="193"/>
    </row>
    <row r="53751" spans="6:6" x14ac:dyDescent="0.3">
      <c r="F53751" s="193"/>
    </row>
    <row r="53752" spans="6:6" x14ac:dyDescent="0.3">
      <c r="F53752" s="193"/>
    </row>
    <row r="53753" spans="6:6" x14ac:dyDescent="0.3">
      <c r="F53753" s="193"/>
    </row>
    <row r="53754" spans="6:6" x14ac:dyDescent="0.3">
      <c r="F53754" s="193"/>
    </row>
    <row r="53755" spans="6:6" x14ac:dyDescent="0.3">
      <c r="F53755" s="193"/>
    </row>
    <row r="53756" spans="6:6" x14ac:dyDescent="0.3">
      <c r="F53756" s="193"/>
    </row>
    <row r="53757" spans="6:6" x14ac:dyDescent="0.3">
      <c r="F53757" s="193"/>
    </row>
    <row r="53758" spans="6:6" x14ac:dyDescent="0.3">
      <c r="F53758" s="193"/>
    </row>
    <row r="53759" spans="6:6" x14ac:dyDescent="0.3">
      <c r="F53759" s="193"/>
    </row>
    <row r="53760" spans="6:6" x14ac:dyDescent="0.3">
      <c r="F53760" s="193"/>
    </row>
    <row r="53761" spans="6:6" x14ac:dyDescent="0.3">
      <c r="F53761" s="193"/>
    </row>
    <row r="53762" spans="6:6" x14ac:dyDescent="0.3">
      <c r="F53762" s="193"/>
    </row>
    <row r="53763" spans="6:6" x14ac:dyDescent="0.3">
      <c r="F53763" s="193"/>
    </row>
    <row r="53764" spans="6:6" x14ac:dyDescent="0.3">
      <c r="F53764" s="193"/>
    </row>
    <row r="53765" spans="6:6" x14ac:dyDescent="0.3">
      <c r="F53765" s="193"/>
    </row>
    <row r="53766" spans="6:6" x14ac:dyDescent="0.3">
      <c r="F53766" s="193"/>
    </row>
    <row r="53767" spans="6:6" x14ac:dyDescent="0.3">
      <c r="F53767" s="193"/>
    </row>
    <row r="53768" spans="6:6" x14ac:dyDescent="0.3">
      <c r="F53768" s="193"/>
    </row>
    <row r="53769" spans="6:6" x14ac:dyDescent="0.3">
      <c r="F53769" s="193"/>
    </row>
    <row r="53770" spans="6:6" x14ac:dyDescent="0.3">
      <c r="F53770" s="193"/>
    </row>
    <row r="53771" spans="6:6" x14ac:dyDescent="0.3">
      <c r="F53771" s="193"/>
    </row>
    <row r="53772" spans="6:6" x14ac:dyDescent="0.3">
      <c r="F53772" s="193"/>
    </row>
    <row r="53773" spans="6:6" x14ac:dyDescent="0.3">
      <c r="F53773" s="193"/>
    </row>
    <row r="53774" spans="6:6" x14ac:dyDescent="0.3">
      <c r="F53774" s="193"/>
    </row>
    <row r="53775" spans="6:6" x14ac:dyDescent="0.3">
      <c r="F53775" s="193"/>
    </row>
    <row r="53776" spans="6:6" x14ac:dyDescent="0.3">
      <c r="F53776" s="193"/>
    </row>
    <row r="53777" spans="6:6" x14ac:dyDescent="0.3">
      <c r="F53777" s="193"/>
    </row>
    <row r="53778" spans="6:6" x14ac:dyDescent="0.3">
      <c r="F53778" s="193"/>
    </row>
    <row r="53779" spans="6:6" x14ac:dyDescent="0.3">
      <c r="F53779" s="193"/>
    </row>
    <row r="53780" spans="6:6" x14ac:dyDescent="0.3">
      <c r="F53780" s="193"/>
    </row>
    <row r="53781" spans="6:6" x14ac:dyDescent="0.3">
      <c r="F53781" s="193"/>
    </row>
    <row r="53782" spans="6:6" x14ac:dyDescent="0.3">
      <c r="F53782" s="193"/>
    </row>
    <row r="53783" spans="6:6" x14ac:dyDescent="0.3">
      <c r="F53783" s="193"/>
    </row>
    <row r="53784" spans="6:6" x14ac:dyDescent="0.3">
      <c r="F53784" s="193"/>
    </row>
    <row r="53785" spans="6:6" x14ac:dyDescent="0.3">
      <c r="F53785" s="193"/>
    </row>
    <row r="53786" spans="6:6" x14ac:dyDescent="0.3">
      <c r="F53786" s="193"/>
    </row>
    <row r="53787" spans="6:6" x14ac:dyDescent="0.3">
      <c r="F53787" s="193"/>
    </row>
    <row r="53788" spans="6:6" x14ac:dyDescent="0.3">
      <c r="F53788" s="193"/>
    </row>
    <row r="53789" spans="6:6" x14ac:dyDescent="0.3">
      <c r="F53789" s="193"/>
    </row>
    <row r="53790" spans="6:6" x14ac:dyDescent="0.3">
      <c r="F53790" s="193"/>
    </row>
    <row r="53791" spans="6:6" x14ac:dyDescent="0.3">
      <c r="F53791" s="193"/>
    </row>
    <row r="53792" spans="6:6" x14ac:dyDescent="0.3">
      <c r="F53792" s="193"/>
    </row>
    <row r="53793" spans="6:6" x14ac:dyDescent="0.3">
      <c r="F53793" s="193"/>
    </row>
    <row r="53794" spans="6:6" x14ac:dyDescent="0.3">
      <c r="F53794" s="193"/>
    </row>
    <row r="53795" spans="6:6" x14ac:dyDescent="0.3">
      <c r="F53795" s="193"/>
    </row>
    <row r="53796" spans="6:6" x14ac:dyDescent="0.3">
      <c r="F53796" s="193"/>
    </row>
    <row r="53797" spans="6:6" x14ac:dyDescent="0.3">
      <c r="F53797" s="193"/>
    </row>
    <row r="53798" spans="6:6" x14ac:dyDescent="0.3">
      <c r="F53798" s="193"/>
    </row>
    <row r="53799" spans="6:6" x14ac:dyDescent="0.3">
      <c r="F53799" s="193"/>
    </row>
    <row r="53800" spans="6:6" x14ac:dyDescent="0.3">
      <c r="F53800" s="193"/>
    </row>
    <row r="53801" spans="6:6" x14ac:dyDescent="0.3">
      <c r="F53801" s="193"/>
    </row>
    <row r="53802" spans="6:6" x14ac:dyDescent="0.3">
      <c r="F53802" s="193"/>
    </row>
    <row r="53803" spans="6:6" x14ac:dyDescent="0.3">
      <c r="F53803" s="193"/>
    </row>
    <row r="53804" spans="6:6" x14ac:dyDescent="0.3">
      <c r="F53804" s="193"/>
    </row>
    <row r="53805" spans="6:6" x14ac:dyDescent="0.3">
      <c r="F53805" s="193"/>
    </row>
    <row r="53806" spans="6:6" x14ac:dyDescent="0.3">
      <c r="F53806" s="193"/>
    </row>
    <row r="53807" spans="6:6" x14ac:dyDescent="0.3">
      <c r="F53807" s="193"/>
    </row>
    <row r="53808" spans="6:6" x14ac:dyDescent="0.3">
      <c r="F53808" s="193"/>
    </row>
    <row r="53809" spans="6:6" x14ac:dyDescent="0.3">
      <c r="F53809" s="193"/>
    </row>
    <row r="53810" spans="6:6" x14ac:dyDescent="0.3">
      <c r="F53810" s="193"/>
    </row>
    <row r="53811" spans="6:6" x14ac:dyDescent="0.3">
      <c r="F53811" s="193"/>
    </row>
    <row r="53812" spans="6:6" x14ac:dyDescent="0.3">
      <c r="F53812" s="193"/>
    </row>
    <row r="53813" spans="6:6" x14ac:dyDescent="0.3">
      <c r="F53813" s="193"/>
    </row>
    <row r="53814" spans="6:6" x14ac:dyDescent="0.3">
      <c r="F53814" s="193"/>
    </row>
    <row r="53815" spans="6:6" x14ac:dyDescent="0.3">
      <c r="F53815" s="193"/>
    </row>
    <row r="53816" spans="6:6" x14ac:dyDescent="0.3">
      <c r="F53816" s="193"/>
    </row>
    <row r="53817" spans="6:6" x14ac:dyDescent="0.3">
      <c r="F53817" s="193"/>
    </row>
    <row r="53818" spans="6:6" x14ac:dyDescent="0.3">
      <c r="F53818" s="193"/>
    </row>
    <row r="53819" spans="6:6" x14ac:dyDescent="0.3">
      <c r="F53819" s="193"/>
    </row>
    <row r="53820" spans="6:6" x14ac:dyDescent="0.3">
      <c r="F53820" s="193"/>
    </row>
    <row r="53821" spans="6:6" x14ac:dyDescent="0.3">
      <c r="F53821" s="193"/>
    </row>
    <row r="53822" spans="6:6" x14ac:dyDescent="0.3">
      <c r="F53822" s="193"/>
    </row>
    <row r="53823" spans="6:6" x14ac:dyDescent="0.3">
      <c r="F53823" s="193"/>
    </row>
    <row r="53824" spans="6:6" x14ac:dyDescent="0.3">
      <c r="F53824" s="193"/>
    </row>
    <row r="53825" spans="6:6" x14ac:dyDescent="0.3">
      <c r="F53825" s="193"/>
    </row>
    <row r="53826" spans="6:6" x14ac:dyDescent="0.3">
      <c r="F53826" s="193"/>
    </row>
    <row r="53827" spans="6:6" x14ac:dyDescent="0.3">
      <c r="F53827" s="193"/>
    </row>
    <row r="53828" spans="6:6" x14ac:dyDescent="0.3">
      <c r="F53828" s="193"/>
    </row>
    <row r="53829" spans="6:6" x14ac:dyDescent="0.3">
      <c r="F53829" s="193"/>
    </row>
    <row r="53830" spans="6:6" x14ac:dyDescent="0.3">
      <c r="F53830" s="193"/>
    </row>
    <row r="53831" spans="6:6" x14ac:dyDescent="0.3">
      <c r="F53831" s="193"/>
    </row>
    <row r="53832" spans="6:6" x14ac:dyDescent="0.3">
      <c r="F53832" s="193"/>
    </row>
    <row r="53833" spans="6:6" x14ac:dyDescent="0.3">
      <c r="F53833" s="193"/>
    </row>
    <row r="53834" spans="6:6" x14ac:dyDescent="0.3">
      <c r="F53834" s="193"/>
    </row>
    <row r="53835" spans="6:6" x14ac:dyDescent="0.3">
      <c r="F53835" s="193"/>
    </row>
    <row r="53836" spans="6:6" x14ac:dyDescent="0.3">
      <c r="F53836" s="193"/>
    </row>
    <row r="53837" spans="6:6" x14ac:dyDescent="0.3">
      <c r="F53837" s="193"/>
    </row>
    <row r="53838" spans="6:6" x14ac:dyDescent="0.3">
      <c r="F53838" s="193"/>
    </row>
    <row r="53839" spans="6:6" x14ac:dyDescent="0.3">
      <c r="F53839" s="193"/>
    </row>
    <row r="53840" spans="6:6" x14ac:dyDescent="0.3">
      <c r="F53840" s="193"/>
    </row>
    <row r="53841" spans="6:6" x14ac:dyDescent="0.3">
      <c r="F53841" s="193"/>
    </row>
    <row r="53842" spans="6:6" x14ac:dyDescent="0.3">
      <c r="F53842" s="193"/>
    </row>
    <row r="53843" spans="6:6" x14ac:dyDescent="0.3">
      <c r="F53843" s="193"/>
    </row>
    <row r="53844" spans="6:6" x14ac:dyDescent="0.3">
      <c r="F53844" s="193"/>
    </row>
    <row r="53845" spans="6:6" x14ac:dyDescent="0.3">
      <c r="F53845" s="193"/>
    </row>
    <row r="53846" spans="6:6" x14ac:dyDescent="0.3">
      <c r="F53846" s="193"/>
    </row>
    <row r="53847" spans="6:6" x14ac:dyDescent="0.3">
      <c r="F53847" s="193"/>
    </row>
    <row r="53848" spans="6:6" x14ac:dyDescent="0.3">
      <c r="F53848" s="193"/>
    </row>
    <row r="53849" spans="6:6" x14ac:dyDescent="0.3">
      <c r="F53849" s="193"/>
    </row>
    <row r="53850" spans="6:6" x14ac:dyDescent="0.3">
      <c r="F53850" s="193"/>
    </row>
    <row r="53851" spans="6:6" x14ac:dyDescent="0.3">
      <c r="F53851" s="193"/>
    </row>
    <row r="53852" spans="6:6" x14ac:dyDescent="0.3">
      <c r="F53852" s="193"/>
    </row>
    <row r="53853" spans="6:6" x14ac:dyDescent="0.3">
      <c r="F53853" s="193"/>
    </row>
    <row r="53854" spans="6:6" x14ac:dyDescent="0.3">
      <c r="F53854" s="193"/>
    </row>
    <row r="53855" spans="6:6" x14ac:dyDescent="0.3">
      <c r="F53855" s="193"/>
    </row>
    <row r="53856" spans="6:6" x14ac:dyDescent="0.3">
      <c r="F53856" s="193"/>
    </row>
    <row r="53857" spans="6:6" x14ac:dyDescent="0.3">
      <c r="F53857" s="193"/>
    </row>
    <row r="53858" spans="6:6" x14ac:dyDescent="0.3">
      <c r="F53858" s="193"/>
    </row>
    <row r="53859" spans="6:6" x14ac:dyDescent="0.3">
      <c r="F53859" s="193"/>
    </row>
    <row r="53860" spans="6:6" x14ac:dyDescent="0.3">
      <c r="F53860" s="193"/>
    </row>
    <row r="53861" spans="6:6" x14ac:dyDescent="0.3">
      <c r="F53861" s="193"/>
    </row>
    <row r="53862" spans="6:6" x14ac:dyDescent="0.3">
      <c r="F53862" s="193"/>
    </row>
    <row r="53863" spans="6:6" x14ac:dyDescent="0.3">
      <c r="F53863" s="193"/>
    </row>
    <row r="53864" spans="6:6" x14ac:dyDescent="0.3">
      <c r="F53864" s="193"/>
    </row>
    <row r="53865" spans="6:6" x14ac:dyDescent="0.3">
      <c r="F53865" s="193"/>
    </row>
    <row r="53866" spans="6:6" x14ac:dyDescent="0.3">
      <c r="F53866" s="193"/>
    </row>
    <row r="53867" spans="6:6" x14ac:dyDescent="0.3">
      <c r="F53867" s="193"/>
    </row>
    <row r="53868" spans="6:6" x14ac:dyDescent="0.3">
      <c r="F53868" s="193"/>
    </row>
    <row r="53869" spans="6:6" x14ac:dyDescent="0.3">
      <c r="F53869" s="193"/>
    </row>
    <row r="53870" spans="6:6" x14ac:dyDescent="0.3">
      <c r="F53870" s="193"/>
    </row>
    <row r="53871" spans="6:6" x14ac:dyDescent="0.3">
      <c r="F53871" s="193"/>
    </row>
    <row r="53872" spans="6:6" x14ac:dyDescent="0.3">
      <c r="F53872" s="193"/>
    </row>
    <row r="53873" spans="6:6" x14ac:dyDescent="0.3">
      <c r="F53873" s="193"/>
    </row>
    <row r="53874" spans="6:6" x14ac:dyDescent="0.3">
      <c r="F53874" s="193"/>
    </row>
    <row r="53875" spans="6:6" x14ac:dyDescent="0.3">
      <c r="F53875" s="193"/>
    </row>
    <row r="53876" spans="6:6" x14ac:dyDescent="0.3">
      <c r="F53876" s="193"/>
    </row>
    <row r="53877" spans="6:6" x14ac:dyDescent="0.3">
      <c r="F53877" s="193"/>
    </row>
    <row r="53878" spans="6:6" x14ac:dyDescent="0.3">
      <c r="F53878" s="193"/>
    </row>
    <row r="53879" spans="6:6" x14ac:dyDescent="0.3">
      <c r="F53879" s="193"/>
    </row>
    <row r="53880" spans="6:6" x14ac:dyDescent="0.3">
      <c r="F53880" s="193"/>
    </row>
    <row r="53881" spans="6:6" x14ac:dyDescent="0.3">
      <c r="F53881" s="193"/>
    </row>
    <row r="53882" spans="6:6" x14ac:dyDescent="0.3">
      <c r="F53882" s="193"/>
    </row>
    <row r="53883" spans="6:6" x14ac:dyDescent="0.3">
      <c r="F53883" s="193"/>
    </row>
    <row r="53884" spans="6:6" x14ac:dyDescent="0.3">
      <c r="F53884" s="193"/>
    </row>
    <row r="53885" spans="6:6" x14ac:dyDescent="0.3">
      <c r="F53885" s="193"/>
    </row>
    <row r="53886" spans="6:6" x14ac:dyDescent="0.3">
      <c r="F53886" s="193"/>
    </row>
    <row r="53887" spans="6:6" x14ac:dyDescent="0.3">
      <c r="F53887" s="193"/>
    </row>
    <row r="53888" spans="6:6" x14ac:dyDescent="0.3">
      <c r="F53888" s="193"/>
    </row>
    <row r="53889" spans="6:6" x14ac:dyDescent="0.3">
      <c r="F53889" s="193"/>
    </row>
    <row r="53890" spans="6:6" x14ac:dyDescent="0.3">
      <c r="F53890" s="193"/>
    </row>
    <row r="53891" spans="6:6" x14ac:dyDescent="0.3">
      <c r="F53891" s="193"/>
    </row>
    <row r="53892" spans="6:6" x14ac:dyDescent="0.3">
      <c r="F53892" s="193"/>
    </row>
    <row r="53893" spans="6:6" x14ac:dyDescent="0.3">
      <c r="F53893" s="193"/>
    </row>
    <row r="53894" spans="6:6" x14ac:dyDescent="0.3">
      <c r="F53894" s="193"/>
    </row>
    <row r="53895" spans="6:6" x14ac:dyDescent="0.3">
      <c r="F53895" s="193"/>
    </row>
    <row r="53896" spans="6:6" x14ac:dyDescent="0.3">
      <c r="F53896" s="193"/>
    </row>
    <row r="53897" spans="6:6" x14ac:dyDescent="0.3">
      <c r="F53897" s="193"/>
    </row>
    <row r="53898" spans="6:6" x14ac:dyDescent="0.3">
      <c r="F53898" s="193"/>
    </row>
    <row r="53899" spans="6:6" x14ac:dyDescent="0.3">
      <c r="F53899" s="193"/>
    </row>
    <row r="53900" spans="6:6" x14ac:dyDescent="0.3">
      <c r="F53900" s="193"/>
    </row>
    <row r="53901" spans="6:6" x14ac:dyDescent="0.3">
      <c r="F53901" s="193"/>
    </row>
    <row r="53902" spans="6:6" x14ac:dyDescent="0.3">
      <c r="F53902" s="193"/>
    </row>
    <row r="53903" spans="6:6" x14ac:dyDescent="0.3">
      <c r="F53903" s="193"/>
    </row>
    <row r="53904" spans="6:6" x14ac:dyDescent="0.3">
      <c r="F53904" s="193"/>
    </row>
    <row r="53905" spans="6:6" x14ac:dyDescent="0.3">
      <c r="F53905" s="193"/>
    </row>
    <row r="53906" spans="6:6" x14ac:dyDescent="0.3">
      <c r="F53906" s="193"/>
    </row>
    <row r="53907" spans="6:6" x14ac:dyDescent="0.3">
      <c r="F53907" s="193"/>
    </row>
    <row r="53908" spans="6:6" x14ac:dyDescent="0.3">
      <c r="F53908" s="193"/>
    </row>
    <row r="53909" spans="6:6" x14ac:dyDescent="0.3">
      <c r="F53909" s="193"/>
    </row>
    <row r="53910" spans="6:6" x14ac:dyDescent="0.3">
      <c r="F53910" s="193"/>
    </row>
    <row r="53911" spans="6:6" x14ac:dyDescent="0.3">
      <c r="F53911" s="193"/>
    </row>
    <row r="53912" spans="6:6" x14ac:dyDescent="0.3">
      <c r="F53912" s="193"/>
    </row>
    <row r="53913" spans="6:6" x14ac:dyDescent="0.3">
      <c r="F53913" s="193"/>
    </row>
    <row r="53914" spans="6:6" x14ac:dyDescent="0.3">
      <c r="F53914" s="193"/>
    </row>
    <row r="53915" spans="6:6" x14ac:dyDescent="0.3">
      <c r="F53915" s="193"/>
    </row>
    <row r="53916" spans="6:6" x14ac:dyDescent="0.3">
      <c r="F53916" s="193"/>
    </row>
    <row r="53917" spans="6:6" x14ac:dyDescent="0.3">
      <c r="F53917" s="193"/>
    </row>
    <row r="53918" spans="6:6" x14ac:dyDescent="0.3">
      <c r="F53918" s="193"/>
    </row>
    <row r="53919" spans="6:6" x14ac:dyDescent="0.3">
      <c r="F53919" s="193"/>
    </row>
    <row r="53920" spans="6:6" x14ac:dyDescent="0.3">
      <c r="F53920" s="193"/>
    </row>
    <row r="53921" spans="6:6" x14ac:dyDescent="0.3">
      <c r="F53921" s="193"/>
    </row>
    <row r="53922" spans="6:6" x14ac:dyDescent="0.3">
      <c r="F53922" s="193"/>
    </row>
    <row r="53923" spans="6:6" x14ac:dyDescent="0.3">
      <c r="F53923" s="193"/>
    </row>
    <row r="53924" spans="6:6" x14ac:dyDescent="0.3">
      <c r="F53924" s="193"/>
    </row>
    <row r="53925" spans="6:6" x14ac:dyDescent="0.3">
      <c r="F53925" s="193"/>
    </row>
    <row r="53926" spans="6:6" x14ac:dyDescent="0.3">
      <c r="F53926" s="193"/>
    </row>
    <row r="53927" spans="6:6" x14ac:dyDescent="0.3">
      <c r="F53927" s="193"/>
    </row>
    <row r="53928" spans="6:6" x14ac:dyDescent="0.3">
      <c r="F53928" s="193"/>
    </row>
    <row r="53929" spans="6:6" x14ac:dyDescent="0.3">
      <c r="F53929" s="193"/>
    </row>
    <row r="53930" spans="6:6" x14ac:dyDescent="0.3">
      <c r="F53930" s="193"/>
    </row>
    <row r="53931" spans="6:6" x14ac:dyDescent="0.3">
      <c r="F53931" s="193"/>
    </row>
    <row r="53932" spans="6:6" x14ac:dyDescent="0.3">
      <c r="F53932" s="193"/>
    </row>
    <row r="53933" spans="6:6" x14ac:dyDescent="0.3">
      <c r="F53933" s="193"/>
    </row>
    <row r="53934" spans="6:6" x14ac:dyDescent="0.3">
      <c r="F53934" s="193"/>
    </row>
    <row r="53935" spans="6:6" x14ac:dyDescent="0.3">
      <c r="F53935" s="193"/>
    </row>
    <row r="53936" spans="6:6" x14ac:dyDescent="0.3">
      <c r="F53936" s="193"/>
    </row>
    <row r="53937" spans="6:6" x14ac:dyDescent="0.3">
      <c r="F53937" s="193"/>
    </row>
    <row r="53938" spans="6:6" x14ac:dyDescent="0.3">
      <c r="F53938" s="193"/>
    </row>
    <row r="53939" spans="6:6" x14ac:dyDescent="0.3">
      <c r="F53939" s="193"/>
    </row>
    <row r="53940" spans="6:6" x14ac:dyDescent="0.3">
      <c r="F53940" s="193"/>
    </row>
    <row r="53941" spans="6:6" x14ac:dyDescent="0.3">
      <c r="F53941" s="193"/>
    </row>
    <row r="53942" spans="6:6" x14ac:dyDescent="0.3">
      <c r="F53942" s="193"/>
    </row>
    <row r="53943" spans="6:6" x14ac:dyDescent="0.3">
      <c r="F53943" s="193"/>
    </row>
    <row r="53944" spans="6:6" x14ac:dyDescent="0.3">
      <c r="F53944" s="193"/>
    </row>
    <row r="53945" spans="6:6" x14ac:dyDescent="0.3">
      <c r="F53945" s="193"/>
    </row>
    <row r="53946" spans="6:6" x14ac:dyDescent="0.3">
      <c r="F53946" s="193"/>
    </row>
    <row r="53947" spans="6:6" x14ac:dyDescent="0.3">
      <c r="F53947" s="193"/>
    </row>
    <row r="53948" spans="6:6" x14ac:dyDescent="0.3">
      <c r="F53948" s="193"/>
    </row>
    <row r="53949" spans="6:6" x14ac:dyDescent="0.3">
      <c r="F53949" s="193"/>
    </row>
    <row r="53950" spans="6:6" x14ac:dyDescent="0.3">
      <c r="F53950" s="193"/>
    </row>
    <row r="53951" spans="6:6" x14ac:dyDescent="0.3">
      <c r="F53951" s="193"/>
    </row>
    <row r="53952" spans="6:6" x14ac:dyDescent="0.3">
      <c r="F53952" s="193"/>
    </row>
    <row r="53953" spans="6:6" x14ac:dyDescent="0.3">
      <c r="F53953" s="193"/>
    </row>
    <row r="53954" spans="6:6" x14ac:dyDescent="0.3">
      <c r="F53954" s="193"/>
    </row>
    <row r="53955" spans="6:6" x14ac:dyDescent="0.3">
      <c r="F53955" s="193"/>
    </row>
    <row r="53956" spans="6:6" x14ac:dyDescent="0.3">
      <c r="F53956" s="193"/>
    </row>
    <row r="53957" spans="6:6" x14ac:dyDescent="0.3">
      <c r="F53957" s="193"/>
    </row>
    <row r="53958" spans="6:6" x14ac:dyDescent="0.3">
      <c r="F53958" s="193"/>
    </row>
    <row r="53959" spans="6:6" x14ac:dyDescent="0.3">
      <c r="F53959" s="193"/>
    </row>
    <row r="53960" spans="6:6" x14ac:dyDescent="0.3">
      <c r="F53960" s="193"/>
    </row>
    <row r="53961" spans="6:6" x14ac:dyDescent="0.3">
      <c r="F53961" s="193"/>
    </row>
    <row r="53962" spans="6:6" x14ac:dyDescent="0.3">
      <c r="F53962" s="193"/>
    </row>
    <row r="53963" spans="6:6" x14ac:dyDescent="0.3">
      <c r="F53963" s="193"/>
    </row>
    <row r="53964" spans="6:6" x14ac:dyDescent="0.3">
      <c r="F53964" s="193"/>
    </row>
    <row r="53965" spans="6:6" x14ac:dyDescent="0.3">
      <c r="F53965" s="193"/>
    </row>
    <row r="53966" spans="6:6" x14ac:dyDescent="0.3">
      <c r="F53966" s="193"/>
    </row>
    <row r="53967" spans="6:6" x14ac:dyDescent="0.3">
      <c r="F53967" s="193"/>
    </row>
    <row r="53968" spans="6:6" x14ac:dyDescent="0.3">
      <c r="F53968" s="193"/>
    </row>
    <row r="53969" spans="6:6" x14ac:dyDescent="0.3">
      <c r="F53969" s="193"/>
    </row>
    <row r="53970" spans="6:6" x14ac:dyDescent="0.3">
      <c r="F53970" s="193"/>
    </row>
    <row r="53971" spans="6:6" x14ac:dyDescent="0.3">
      <c r="F53971" s="193"/>
    </row>
    <row r="53972" spans="6:6" x14ac:dyDescent="0.3">
      <c r="F53972" s="193"/>
    </row>
    <row r="53973" spans="6:6" x14ac:dyDescent="0.3">
      <c r="F53973" s="193"/>
    </row>
    <row r="53974" spans="6:6" x14ac:dyDescent="0.3">
      <c r="F53974" s="193"/>
    </row>
    <row r="53975" spans="6:6" x14ac:dyDescent="0.3">
      <c r="F53975" s="193"/>
    </row>
    <row r="53976" spans="6:6" x14ac:dyDescent="0.3">
      <c r="F53976" s="193"/>
    </row>
    <row r="53977" spans="6:6" x14ac:dyDescent="0.3">
      <c r="F53977" s="193"/>
    </row>
    <row r="53978" spans="6:6" x14ac:dyDescent="0.3">
      <c r="F53978" s="193"/>
    </row>
    <row r="53979" spans="6:6" x14ac:dyDescent="0.3">
      <c r="F53979" s="193"/>
    </row>
    <row r="53980" spans="6:6" x14ac:dyDescent="0.3">
      <c r="F53980" s="193"/>
    </row>
    <row r="53981" spans="6:6" x14ac:dyDescent="0.3">
      <c r="F53981" s="193"/>
    </row>
    <row r="53982" spans="6:6" x14ac:dyDescent="0.3">
      <c r="F53982" s="193"/>
    </row>
    <row r="53983" spans="6:6" x14ac:dyDescent="0.3">
      <c r="F53983" s="193"/>
    </row>
    <row r="53984" spans="6:6" x14ac:dyDescent="0.3">
      <c r="F53984" s="193"/>
    </row>
    <row r="53985" spans="6:6" x14ac:dyDescent="0.3">
      <c r="F53985" s="193"/>
    </row>
    <row r="53986" spans="6:6" x14ac:dyDescent="0.3">
      <c r="F53986" s="193"/>
    </row>
    <row r="53987" spans="6:6" x14ac:dyDescent="0.3">
      <c r="F53987" s="193"/>
    </row>
    <row r="53988" spans="6:6" x14ac:dyDescent="0.3">
      <c r="F53988" s="193"/>
    </row>
    <row r="53989" spans="6:6" x14ac:dyDescent="0.3">
      <c r="F53989" s="193"/>
    </row>
    <row r="53990" spans="6:6" x14ac:dyDescent="0.3">
      <c r="F53990" s="193"/>
    </row>
    <row r="53991" spans="6:6" x14ac:dyDescent="0.3">
      <c r="F53991" s="193"/>
    </row>
    <row r="53992" spans="6:6" x14ac:dyDescent="0.3">
      <c r="F53992" s="193"/>
    </row>
    <row r="53993" spans="6:6" x14ac:dyDescent="0.3">
      <c r="F53993" s="193"/>
    </row>
    <row r="53994" spans="6:6" x14ac:dyDescent="0.3">
      <c r="F53994" s="193"/>
    </row>
    <row r="53995" spans="6:6" x14ac:dyDescent="0.3">
      <c r="F53995" s="193"/>
    </row>
    <row r="53996" spans="6:6" x14ac:dyDescent="0.3">
      <c r="F53996" s="193"/>
    </row>
    <row r="53997" spans="6:6" x14ac:dyDescent="0.3">
      <c r="F53997" s="193"/>
    </row>
    <row r="53998" spans="6:6" x14ac:dyDescent="0.3">
      <c r="F53998" s="193"/>
    </row>
    <row r="53999" spans="6:6" x14ac:dyDescent="0.3">
      <c r="F53999" s="193"/>
    </row>
    <row r="54000" spans="6:6" x14ac:dyDescent="0.3">
      <c r="F54000" s="193"/>
    </row>
    <row r="54001" spans="6:6" x14ac:dyDescent="0.3">
      <c r="F54001" s="193"/>
    </row>
    <row r="54002" spans="6:6" x14ac:dyDescent="0.3">
      <c r="F54002" s="193"/>
    </row>
    <row r="54003" spans="6:6" x14ac:dyDescent="0.3">
      <c r="F54003" s="193"/>
    </row>
    <row r="54004" spans="6:6" x14ac:dyDescent="0.3">
      <c r="F54004" s="193"/>
    </row>
    <row r="54005" spans="6:6" x14ac:dyDescent="0.3">
      <c r="F54005" s="193"/>
    </row>
    <row r="54006" spans="6:6" x14ac:dyDescent="0.3">
      <c r="F54006" s="193"/>
    </row>
    <row r="54007" spans="6:6" x14ac:dyDescent="0.3">
      <c r="F54007" s="193"/>
    </row>
    <row r="54008" spans="6:6" x14ac:dyDescent="0.3">
      <c r="F54008" s="193"/>
    </row>
    <row r="54009" spans="6:6" x14ac:dyDescent="0.3">
      <c r="F54009" s="193"/>
    </row>
    <row r="54010" spans="6:6" x14ac:dyDescent="0.3">
      <c r="F54010" s="193"/>
    </row>
    <row r="54011" spans="6:6" x14ac:dyDescent="0.3">
      <c r="F54011" s="193"/>
    </row>
    <row r="54012" spans="6:6" x14ac:dyDescent="0.3">
      <c r="F54012" s="193"/>
    </row>
    <row r="54013" spans="6:6" x14ac:dyDescent="0.3">
      <c r="F54013" s="193"/>
    </row>
    <row r="54014" spans="6:6" x14ac:dyDescent="0.3">
      <c r="F54014" s="193"/>
    </row>
    <row r="54015" spans="6:6" x14ac:dyDescent="0.3">
      <c r="F54015" s="193"/>
    </row>
    <row r="54016" spans="6:6" x14ac:dyDescent="0.3">
      <c r="F54016" s="193"/>
    </row>
    <row r="54017" spans="6:6" x14ac:dyDescent="0.3">
      <c r="F54017" s="193"/>
    </row>
    <row r="54018" spans="6:6" x14ac:dyDescent="0.3">
      <c r="F54018" s="193"/>
    </row>
    <row r="54019" spans="6:6" x14ac:dyDescent="0.3">
      <c r="F54019" s="193"/>
    </row>
    <row r="54020" spans="6:6" x14ac:dyDescent="0.3">
      <c r="F54020" s="193"/>
    </row>
    <row r="54021" spans="6:6" x14ac:dyDescent="0.3">
      <c r="F54021" s="193"/>
    </row>
    <row r="54022" spans="6:6" x14ac:dyDescent="0.3">
      <c r="F54022" s="193"/>
    </row>
    <row r="54023" spans="6:6" x14ac:dyDescent="0.3">
      <c r="F54023" s="193"/>
    </row>
    <row r="54024" spans="6:6" x14ac:dyDescent="0.3">
      <c r="F54024" s="193"/>
    </row>
    <row r="54025" spans="6:6" x14ac:dyDescent="0.3">
      <c r="F54025" s="193"/>
    </row>
    <row r="54026" spans="6:6" x14ac:dyDescent="0.3">
      <c r="F54026" s="193"/>
    </row>
    <row r="54027" spans="6:6" x14ac:dyDescent="0.3">
      <c r="F54027" s="193"/>
    </row>
    <row r="54028" spans="6:6" x14ac:dyDescent="0.3">
      <c r="F54028" s="193"/>
    </row>
    <row r="54029" spans="6:6" x14ac:dyDescent="0.3">
      <c r="F54029" s="193"/>
    </row>
    <row r="54030" spans="6:6" x14ac:dyDescent="0.3">
      <c r="F54030" s="193"/>
    </row>
    <row r="54031" spans="6:6" x14ac:dyDescent="0.3">
      <c r="F54031" s="193"/>
    </row>
    <row r="54032" spans="6:6" x14ac:dyDescent="0.3">
      <c r="F54032" s="193"/>
    </row>
    <row r="54033" spans="6:6" x14ac:dyDescent="0.3">
      <c r="F54033" s="193"/>
    </row>
    <row r="54034" spans="6:6" x14ac:dyDescent="0.3">
      <c r="F54034" s="193"/>
    </row>
    <row r="54035" spans="6:6" x14ac:dyDescent="0.3">
      <c r="F54035" s="193"/>
    </row>
    <row r="54036" spans="6:6" x14ac:dyDescent="0.3">
      <c r="F54036" s="193"/>
    </row>
    <row r="54037" spans="6:6" x14ac:dyDescent="0.3">
      <c r="F54037" s="193"/>
    </row>
    <row r="54038" spans="6:6" x14ac:dyDescent="0.3">
      <c r="F54038" s="193"/>
    </row>
    <row r="54039" spans="6:6" x14ac:dyDescent="0.3">
      <c r="F54039" s="193"/>
    </row>
    <row r="54040" spans="6:6" x14ac:dyDescent="0.3">
      <c r="F54040" s="193"/>
    </row>
    <row r="54041" spans="6:6" x14ac:dyDescent="0.3">
      <c r="F54041" s="193"/>
    </row>
    <row r="54042" spans="6:6" x14ac:dyDescent="0.3">
      <c r="F54042" s="193"/>
    </row>
    <row r="54043" spans="6:6" x14ac:dyDescent="0.3">
      <c r="F54043" s="193"/>
    </row>
    <row r="54044" spans="6:6" x14ac:dyDescent="0.3">
      <c r="F54044" s="193"/>
    </row>
    <row r="54045" spans="6:6" x14ac:dyDescent="0.3">
      <c r="F54045" s="193"/>
    </row>
    <row r="54046" spans="6:6" x14ac:dyDescent="0.3">
      <c r="F54046" s="193"/>
    </row>
    <row r="54047" spans="6:6" x14ac:dyDescent="0.3">
      <c r="F54047" s="193"/>
    </row>
    <row r="54048" spans="6:6" x14ac:dyDescent="0.3">
      <c r="F54048" s="193"/>
    </row>
    <row r="54049" spans="6:6" x14ac:dyDescent="0.3">
      <c r="F54049" s="193"/>
    </row>
    <row r="54050" spans="6:6" x14ac:dyDescent="0.3">
      <c r="F54050" s="193"/>
    </row>
    <row r="54051" spans="6:6" x14ac:dyDescent="0.3">
      <c r="F54051" s="193"/>
    </row>
    <row r="54052" spans="6:6" x14ac:dyDescent="0.3">
      <c r="F54052" s="193"/>
    </row>
    <row r="54053" spans="6:6" x14ac:dyDescent="0.3">
      <c r="F54053" s="193"/>
    </row>
    <row r="54054" spans="6:6" x14ac:dyDescent="0.3">
      <c r="F54054" s="193"/>
    </row>
    <row r="54055" spans="6:6" x14ac:dyDescent="0.3">
      <c r="F54055" s="193"/>
    </row>
    <row r="54056" spans="6:6" x14ac:dyDescent="0.3">
      <c r="F54056" s="193"/>
    </row>
    <row r="54057" spans="6:6" x14ac:dyDescent="0.3">
      <c r="F54057" s="193"/>
    </row>
    <row r="54058" spans="6:6" x14ac:dyDescent="0.3">
      <c r="F54058" s="193"/>
    </row>
    <row r="54059" spans="6:6" x14ac:dyDescent="0.3">
      <c r="F54059" s="193"/>
    </row>
    <row r="54060" spans="6:6" x14ac:dyDescent="0.3">
      <c r="F54060" s="193"/>
    </row>
    <row r="54061" spans="6:6" x14ac:dyDescent="0.3">
      <c r="F54061" s="193"/>
    </row>
    <row r="54062" spans="6:6" x14ac:dyDescent="0.3">
      <c r="F54062" s="193"/>
    </row>
    <row r="54063" spans="6:6" x14ac:dyDescent="0.3">
      <c r="F54063" s="193"/>
    </row>
    <row r="54064" spans="6:6" x14ac:dyDescent="0.3">
      <c r="F54064" s="193"/>
    </row>
    <row r="54065" spans="6:6" x14ac:dyDescent="0.3">
      <c r="F54065" s="193"/>
    </row>
    <row r="54066" spans="6:6" x14ac:dyDescent="0.3">
      <c r="F54066" s="193"/>
    </row>
    <row r="54067" spans="6:6" x14ac:dyDescent="0.3">
      <c r="F54067" s="193"/>
    </row>
    <row r="54068" spans="6:6" x14ac:dyDescent="0.3">
      <c r="F54068" s="193"/>
    </row>
    <row r="54069" spans="6:6" x14ac:dyDescent="0.3">
      <c r="F54069" s="193"/>
    </row>
    <row r="54070" spans="6:6" x14ac:dyDescent="0.3">
      <c r="F54070" s="193"/>
    </row>
    <row r="54071" spans="6:6" x14ac:dyDescent="0.3">
      <c r="F54071" s="193"/>
    </row>
    <row r="54072" spans="6:6" x14ac:dyDescent="0.3">
      <c r="F54072" s="193"/>
    </row>
    <row r="54073" spans="6:6" x14ac:dyDescent="0.3">
      <c r="F54073" s="193"/>
    </row>
    <row r="54074" spans="6:6" x14ac:dyDescent="0.3">
      <c r="F54074" s="193"/>
    </row>
    <row r="54075" spans="6:6" x14ac:dyDescent="0.3">
      <c r="F54075" s="193"/>
    </row>
    <row r="54076" spans="6:6" x14ac:dyDescent="0.3">
      <c r="F54076" s="193"/>
    </row>
    <row r="54077" spans="6:6" x14ac:dyDescent="0.3">
      <c r="F54077" s="193"/>
    </row>
    <row r="54078" spans="6:6" x14ac:dyDescent="0.3">
      <c r="F54078" s="193"/>
    </row>
    <row r="54079" spans="6:6" x14ac:dyDescent="0.3">
      <c r="F54079" s="193"/>
    </row>
    <row r="54080" spans="6:6" x14ac:dyDescent="0.3">
      <c r="F54080" s="193"/>
    </row>
    <row r="54081" spans="6:6" x14ac:dyDescent="0.3">
      <c r="F54081" s="193"/>
    </row>
    <row r="54082" spans="6:6" x14ac:dyDescent="0.3">
      <c r="F54082" s="193"/>
    </row>
    <row r="54083" spans="6:6" x14ac:dyDescent="0.3">
      <c r="F54083" s="193"/>
    </row>
    <row r="54084" spans="6:6" x14ac:dyDescent="0.3">
      <c r="F54084" s="193"/>
    </row>
    <row r="54085" spans="6:6" x14ac:dyDescent="0.3">
      <c r="F54085" s="193"/>
    </row>
    <row r="54086" spans="6:6" x14ac:dyDescent="0.3">
      <c r="F54086" s="193"/>
    </row>
    <row r="54087" spans="6:6" x14ac:dyDescent="0.3">
      <c r="F54087" s="193"/>
    </row>
    <row r="54088" spans="6:6" x14ac:dyDescent="0.3">
      <c r="F54088" s="193"/>
    </row>
    <row r="54089" spans="6:6" x14ac:dyDescent="0.3">
      <c r="F54089" s="193"/>
    </row>
    <row r="54090" spans="6:6" x14ac:dyDescent="0.3">
      <c r="F54090" s="193"/>
    </row>
    <row r="54091" spans="6:6" x14ac:dyDescent="0.3">
      <c r="F54091" s="193"/>
    </row>
    <row r="54092" spans="6:6" x14ac:dyDescent="0.3">
      <c r="F54092" s="193"/>
    </row>
    <row r="54093" spans="6:6" x14ac:dyDescent="0.3">
      <c r="F54093" s="193"/>
    </row>
    <row r="54094" spans="6:6" x14ac:dyDescent="0.3">
      <c r="F54094" s="193"/>
    </row>
    <row r="54095" spans="6:6" x14ac:dyDescent="0.3">
      <c r="F54095" s="193"/>
    </row>
    <row r="54096" spans="6:6" x14ac:dyDescent="0.3">
      <c r="F54096" s="193"/>
    </row>
    <row r="54097" spans="6:6" x14ac:dyDescent="0.3">
      <c r="F54097" s="193"/>
    </row>
    <row r="54098" spans="6:6" x14ac:dyDescent="0.3">
      <c r="F54098" s="193"/>
    </row>
    <row r="54099" spans="6:6" x14ac:dyDescent="0.3">
      <c r="F54099" s="193"/>
    </row>
    <row r="54100" spans="6:6" x14ac:dyDescent="0.3">
      <c r="F54100" s="193"/>
    </row>
    <row r="54101" spans="6:6" x14ac:dyDescent="0.3">
      <c r="F54101" s="193"/>
    </row>
    <row r="54102" spans="6:6" x14ac:dyDescent="0.3">
      <c r="F54102" s="193"/>
    </row>
    <row r="54103" spans="6:6" x14ac:dyDescent="0.3">
      <c r="F54103" s="193"/>
    </row>
    <row r="54104" spans="6:6" x14ac:dyDescent="0.3">
      <c r="F54104" s="193"/>
    </row>
    <row r="54105" spans="6:6" x14ac:dyDescent="0.3">
      <c r="F54105" s="193"/>
    </row>
    <row r="54106" spans="6:6" x14ac:dyDescent="0.3">
      <c r="F54106" s="193"/>
    </row>
    <row r="54107" spans="6:6" x14ac:dyDescent="0.3">
      <c r="F54107" s="193"/>
    </row>
    <row r="54108" spans="6:6" x14ac:dyDescent="0.3">
      <c r="F54108" s="193"/>
    </row>
    <row r="54109" spans="6:6" x14ac:dyDescent="0.3">
      <c r="F54109" s="193"/>
    </row>
    <row r="54110" spans="6:6" x14ac:dyDescent="0.3">
      <c r="F54110" s="193"/>
    </row>
    <row r="54111" spans="6:6" x14ac:dyDescent="0.3">
      <c r="F54111" s="193"/>
    </row>
    <row r="54112" spans="6:6" x14ac:dyDescent="0.3">
      <c r="F54112" s="193"/>
    </row>
    <row r="54113" spans="6:6" x14ac:dyDescent="0.3">
      <c r="F54113" s="193"/>
    </row>
    <row r="54114" spans="6:6" x14ac:dyDescent="0.3">
      <c r="F54114" s="193"/>
    </row>
    <row r="54115" spans="6:6" x14ac:dyDescent="0.3">
      <c r="F54115" s="193"/>
    </row>
    <row r="54116" spans="6:6" x14ac:dyDescent="0.3">
      <c r="F54116" s="193"/>
    </row>
    <row r="54117" spans="6:6" x14ac:dyDescent="0.3">
      <c r="F54117" s="193"/>
    </row>
    <row r="54118" spans="6:6" x14ac:dyDescent="0.3">
      <c r="F54118" s="193"/>
    </row>
    <row r="54119" spans="6:6" x14ac:dyDescent="0.3">
      <c r="F54119" s="193"/>
    </row>
    <row r="54120" spans="6:6" x14ac:dyDescent="0.3">
      <c r="F54120" s="193"/>
    </row>
    <row r="54121" spans="6:6" x14ac:dyDescent="0.3">
      <c r="F54121" s="193"/>
    </row>
    <row r="54122" spans="6:6" x14ac:dyDescent="0.3">
      <c r="F54122" s="193"/>
    </row>
    <row r="54123" spans="6:6" x14ac:dyDescent="0.3">
      <c r="F54123" s="193"/>
    </row>
    <row r="54124" spans="6:6" x14ac:dyDescent="0.3">
      <c r="F54124" s="193"/>
    </row>
    <row r="54125" spans="6:6" x14ac:dyDescent="0.3">
      <c r="F54125" s="193"/>
    </row>
    <row r="54126" spans="6:6" x14ac:dyDescent="0.3">
      <c r="F54126" s="193"/>
    </row>
    <row r="54127" spans="6:6" x14ac:dyDescent="0.3">
      <c r="F54127" s="193"/>
    </row>
    <row r="54128" spans="6:6" x14ac:dyDescent="0.3">
      <c r="F54128" s="193"/>
    </row>
    <row r="54129" spans="6:6" x14ac:dyDescent="0.3">
      <c r="F54129" s="193"/>
    </row>
    <row r="54130" spans="6:6" x14ac:dyDescent="0.3">
      <c r="F54130" s="193"/>
    </row>
    <row r="54131" spans="6:6" x14ac:dyDescent="0.3">
      <c r="F54131" s="193"/>
    </row>
    <row r="54132" spans="6:6" x14ac:dyDescent="0.3">
      <c r="F54132" s="193"/>
    </row>
    <row r="54133" spans="6:6" x14ac:dyDescent="0.3">
      <c r="F54133" s="193"/>
    </row>
    <row r="54134" spans="6:6" x14ac:dyDescent="0.3">
      <c r="F54134" s="193"/>
    </row>
    <row r="54135" spans="6:6" x14ac:dyDescent="0.3">
      <c r="F54135" s="193"/>
    </row>
    <row r="54136" spans="6:6" x14ac:dyDescent="0.3">
      <c r="F54136" s="193"/>
    </row>
    <row r="54137" spans="6:6" x14ac:dyDescent="0.3">
      <c r="F54137" s="193"/>
    </row>
    <row r="54138" spans="6:6" x14ac:dyDescent="0.3">
      <c r="F54138" s="193"/>
    </row>
    <row r="54139" spans="6:6" x14ac:dyDescent="0.3">
      <c r="F54139" s="193"/>
    </row>
    <row r="54140" spans="6:6" x14ac:dyDescent="0.3">
      <c r="F54140" s="193"/>
    </row>
    <row r="54141" spans="6:6" x14ac:dyDescent="0.3">
      <c r="F54141" s="193"/>
    </row>
    <row r="54142" spans="6:6" x14ac:dyDescent="0.3">
      <c r="F54142" s="193"/>
    </row>
    <row r="54143" spans="6:6" x14ac:dyDescent="0.3">
      <c r="F54143" s="193"/>
    </row>
    <row r="54144" spans="6:6" x14ac:dyDescent="0.3">
      <c r="F54144" s="193"/>
    </row>
    <row r="54145" spans="6:6" x14ac:dyDescent="0.3">
      <c r="F54145" s="193"/>
    </row>
    <row r="54146" spans="6:6" x14ac:dyDescent="0.3">
      <c r="F54146" s="193"/>
    </row>
    <row r="54147" spans="6:6" x14ac:dyDescent="0.3">
      <c r="F54147" s="193"/>
    </row>
    <row r="54148" spans="6:6" x14ac:dyDescent="0.3">
      <c r="F54148" s="193"/>
    </row>
    <row r="54149" spans="6:6" x14ac:dyDescent="0.3">
      <c r="F54149" s="193"/>
    </row>
    <row r="54150" spans="6:6" x14ac:dyDescent="0.3">
      <c r="F54150" s="193"/>
    </row>
    <row r="54151" spans="6:6" x14ac:dyDescent="0.3">
      <c r="F54151" s="193"/>
    </row>
    <row r="54152" spans="6:6" x14ac:dyDescent="0.3">
      <c r="F54152" s="193"/>
    </row>
    <row r="54153" spans="6:6" x14ac:dyDescent="0.3">
      <c r="F54153" s="193"/>
    </row>
    <row r="54154" spans="6:6" x14ac:dyDescent="0.3">
      <c r="F54154" s="193"/>
    </row>
    <row r="54155" spans="6:6" x14ac:dyDescent="0.3">
      <c r="F54155" s="193"/>
    </row>
    <row r="54156" spans="6:6" x14ac:dyDescent="0.3">
      <c r="F54156" s="193"/>
    </row>
    <row r="54157" spans="6:6" x14ac:dyDescent="0.3">
      <c r="F54157" s="193"/>
    </row>
    <row r="54158" spans="6:6" x14ac:dyDescent="0.3">
      <c r="F54158" s="193"/>
    </row>
    <row r="54159" spans="6:6" x14ac:dyDescent="0.3">
      <c r="F54159" s="193"/>
    </row>
    <row r="54160" spans="6:6" x14ac:dyDescent="0.3">
      <c r="F54160" s="193"/>
    </row>
    <row r="54161" spans="6:6" x14ac:dyDescent="0.3">
      <c r="F54161" s="193"/>
    </row>
    <row r="54162" spans="6:6" x14ac:dyDescent="0.3">
      <c r="F54162" s="193"/>
    </row>
    <row r="54163" spans="6:6" x14ac:dyDescent="0.3">
      <c r="F54163" s="193"/>
    </row>
    <row r="54164" spans="6:6" x14ac:dyDescent="0.3">
      <c r="F54164" s="193"/>
    </row>
    <row r="54165" spans="6:6" x14ac:dyDescent="0.3">
      <c r="F54165" s="193"/>
    </row>
    <row r="54166" spans="6:6" x14ac:dyDescent="0.3">
      <c r="F54166" s="193"/>
    </row>
    <row r="54167" spans="6:6" x14ac:dyDescent="0.3">
      <c r="F54167" s="193"/>
    </row>
    <row r="54168" spans="6:6" x14ac:dyDescent="0.3">
      <c r="F54168" s="193"/>
    </row>
    <row r="54169" spans="6:6" x14ac:dyDescent="0.3">
      <c r="F54169" s="193"/>
    </row>
    <row r="54170" spans="6:6" x14ac:dyDescent="0.3">
      <c r="F54170" s="193"/>
    </row>
    <row r="54171" spans="6:6" x14ac:dyDescent="0.3">
      <c r="F54171" s="193"/>
    </row>
    <row r="54172" spans="6:6" x14ac:dyDescent="0.3">
      <c r="F54172" s="193"/>
    </row>
    <row r="54173" spans="6:6" x14ac:dyDescent="0.3">
      <c r="F54173" s="193"/>
    </row>
    <row r="54174" spans="6:6" x14ac:dyDescent="0.3">
      <c r="F54174" s="193"/>
    </row>
    <row r="54175" spans="6:6" x14ac:dyDescent="0.3">
      <c r="F54175" s="193"/>
    </row>
    <row r="54176" spans="6:6" x14ac:dyDescent="0.3">
      <c r="F54176" s="193"/>
    </row>
    <row r="54177" spans="6:6" x14ac:dyDescent="0.3">
      <c r="F54177" s="193"/>
    </row>
    <row r="54178" spans="6:6" x14ac:dyDescent="0.3">
      <c r="F54178" s="193"/>
    </row>
    <row r="54179" spans="6:6" x14ac:dyDescent="0.3">
      <c r="F54179" s="193"/>
    </row>
    <row r="54180" spans="6:6" x14ac:dyDescent="0.3">
      <c r="F54180" s="193"/>
    </row>
    <row r="54181" spans="6:6" x14ac:dyDescent="0.3">
      <c r="F54181" s="193"/>
    </row>
    <row r="54182" spans="6:6" x14ac:dyDescent="0.3">
      <c r="F54182" s="193"/>
    </row>
    <row r="54183" spans="6:6" x14ac:dyDescent="0.3">
      <c r="F54183" s="193"/>
    </row>
    <row r="54184" spans="6:6" x14ac:dyDescent="0.3">
      <c r="F54184" s="193"/>
    </row>
    <row r="54185" spans="6:6" x14ac:dyDescent="0.3">
      <c r="F54185" s="193"/>
    </row>
    <row r="54186" spans="6:6" x14ac:dyDescent="0.3">
      <c r="F54186" s="193"/>
    </row>
    <row r="54187" spans="6:6" x14ac:dyDescent="0.3">
      <c r="F54187" s="193"/>
    </row>
    <row r="54188" spans="6:6" x14ac:dyDescent="0.3">
      <c r="F54188" s="193"/>
    </row>
    <row r="54189" spans="6:6" x14ac:dyDescent="0.3">
      <c r="F54189" s="193"/>
    </row>
    <row r="54190" spans="6:6" x14ac:dyDescent="0.3">
      <c r="F54190" s="193"/>
    </row>
    <row r="54191" spans="6:6" x14ac:dyDescent="0.3">
      <c r="F54191" s="193"/>
    </row>
    <row r="54192" spans="6:6" x14ac:dyDescent="0.3">
      <c r="F54192" s="193"/>
    </row>
    <row r="54193" spans="6:6" x14ac:dyDescent="0.3">
      <c r="F54193" s="193"/>
    </row>
    <row r="54194" spans="6:6" x14ac:dyDescent="0.3">
      <c r="F54194" s="193"/>
    </row>
    <row r="54195" spans="6:6" x14ac:dyDescent="0.3">
      <c r="F54195" s="193"/>
    </row>
    <row r="54196" spans="6:6" x14ac:dyDescent="0.3">
      <c r="F54196" s="193"/>
    </row>
    <row r="54197" spans="6:6" x14ac:dyDescent="0.3">
      <c r="F54197" s="193"/>
    </row>
    <row r="54198" spans="6:6" x14ac:dyDescent="0.3">
      <c r="F54198" s="193"/>
    </row>
    <row r="54199" spans="6:6" x14ac:dyDescent="0.3">
      <c r="F54199" s="193"/>
    </row>
    <row r="54200" spans="6:6" x14ac:dyDescent="0.3">
      <c r="F54200" s="193"/>
    </row>
    <row r="54201" spans="6:6" x14ac:dyDescent="0.3">
      <c r="F54201" s="193"/>
    </row>
    <row r="54202" spans="6:6" x14ac:dyDescent="0.3">
      <c r="F54202" s="193"/>
    </row>
    <row r="54203" spans="6:6" x14ac:dyDescent="0.3">
      <c r="F54203" s="193"/>
    </row>
    <row r="54204" spans="6:6" x14ac:dyDescent="0.3">
      <c r="F54204" s="193"/>
    </row>
    <row r="54205" spans="6:6" x14ac:dyDescent="0.3">
      <c r="F54205" s="193"/>
    </row>
    <row r="54206" spans="6:6" x14ac:dyDescent="0.3">
      <c r="F54206" s="193"/>
    </row>
    <row r="54207" spans="6:6" x14ac:dyDescent="0.3">
      <c r="F54207" s="193"/>
    </row>
    <row r="54208" spans="6:6" x14ac:dyDescent="0.3">
      <c r="F54208" s="193"/>
    </row>
    <row r="54209" spans="6:6" x14ac:dyDescent="0.3">
      <c r="F54209" s="193"/>
    </row>
    <row r="54210" spans="6:6" x14ac:dyDescent="0.3">
      <c r="F54210" s="193"/>
    </row>
    <row r="54211" spans="6:6" x14ac:dyDescent="0.3">
      <c r="F54211" s="193"/>
    </row>
    <row r="54212" spans="6:6" x14ac:dyDescent="0.3">
      <c r="F54212" s="193"/>
    </row>
    <row r="54213" spans="6:6" x14ac:dyDescent="0.3">
      <c r="F54213" s="193"/>
    </row>
    <row r="54214" spans="6:6" x14ac:dyDescent="0.3">
      <c r="F54214" s="193"/>
    </row>
    <row r="54215" spans="6:6" x14ac:dyDescent="0.3">
      <c r="F54215" s="193"/>
    </row>
    <row r="54216" spans="6:6" x14ac:dyDescent="0.3">
      <c r="F54216" s="193"/>
    </row>
    <row r="54217" spans="6:6" x14ac:dyDescent="0.3">
      <c r="F54217" s="193"/>
    </row>
    <row r="54218" spans="6:6" x14ac:dyDescent="0.3">
      <c r="F54218" s="193"/>
    </row>
    <row r="54219" spans="6:6" x14ac:dyDescent="0.3">
      <c r="F54219" s="193"/>
    </row>
    <row r="54220" spans="6:6" x14ac:dyDescent="0.3">
      <c r="F54220" s="193"/>
    </row>
    <row r="54221" spans="6:6" x14ac:dyDescent="0.3">
      <c r="F54221" s="193"/>
    </row>
    <row r="54222" spans="6:6" x14ac:dyDescent="0.3">
      <c r="F54222" s="193"/>
    </row>
    <row r="54223" spans="6:6" x14ac:dyDescent="0.3">
      <c r="F54223" s="193"/>
    </row>
    <row r="54224" spans="6:6" x14ac:dyDescent="0.3">
      <c r="F54224" s="193"/>
    </row>
    <row r="54225" spans="6:6" x14ac:dyDescent="0.3">
      <c r="F54225" s="193"/>
    </row>
    <row r="54226" spans="6:6" x14ac:dyDescent="0.3">
      <c r="F54226" s="193"/>
    </row>
    <row r="54227" spans="6:6" x14ac:dyDescent="0.3">
      <c r="F54227" s="193"/>
    </row>
    <row r="54228" spans="6:6" x14ac:dyDescent="0.3">
      <c r="F54228" s="193"/>
    </row>
    <row r="54229" spans="6:6" x14ac:dyDescent="0.3">
      <c r="F54229" s="193"/>
    </row>
    <row r="54230" spans="6:6" x14ac:dyDescent="0.3">
      <c r="F54230" s="193"/>
    </row>
    <row r="54231" spans="6:6" x14ac:dyDescent="0.3">
      <c r="F54231" s="193"/>
    </row>
    <row r="54232" spans="6:6" x14ac:dyDescent="0.3">
      <c r="F54232" s="193"/>
    </row>
    <row r="54233" spans="6:6" x14ac:dyDescent="0.3">
      <c r="F54233" s="193"/>
    </row>
    <row r="54234" spans="6:6" x14ac:dyDescent="0.3">
      <c r="F54234" s="193"/>
    </row>
    <row r="54235" spans="6:6" x14ac:dyDescent="0.3">
      <c r="F54235" s="193"/>
    </row>
    <row r="54236" spans="6:6" x14ac:dyDescent="0.3">
      <c r="F54236" s="193"/>
    </row>
    <row r="54237" spans="6:6" x14ac:dyDescent="0.3">
      <c r="F54237" s="193"/>
    </row>
    <row r="54238" spans="6:6" x14ac:dyDescent="0.3">
      <c r="F54238" s="193"/>
    </row>
    <row r="54239" spans="6:6" x14ac:dyDescent="0.3">
      <c r="F54239" s="193"/>
    </row>
    <row r="54240" spans="6:6" x14ac:dyDescent="0.3">
      <c r="F54240" s="193"/>
    </row>
    <row r="54241" spans="6:6" x14ac:dyDescent="0.3">
      <c r="F54241" s="193"/>
    </row>
    <row r="54242" spans="6:6" x14ac:dyDescent="0.3">
      <c r="F54242" s="193"/>
    </row>
    <row r="54243" spans="6:6" x14ac:dyDescent="0.3">
      <c r="F54243" s="193"/>
    </row>
    <row r="54244" spans="6:6" x14ac:dyDescent="0.3">
      <c r="F54244" s="193"/>
    </row>
    <row r="54245" spans="6:6" x14ac:dyDescent="0.3">
      <c r="F54245" s="193"/>
    </row>
    <row r="54246" spans="6:6" x14ac:dyDescent="0.3">
      <c r="F54246" s="193"/>
    </row>
    <row r="54247" spans="6:6" x14ac:dyDescent="0.3">
      <c r="F54247" s="193"/>
    </row>
    <row r="54248" spans="6:6" x14ac:dyDescent="0.3">
      <c r="F54248" s="193"/>
    </row>
    <row r="54249" spans="6:6" x14ac:dyDescent="0.3">
      <c r="F54249" s="193"/>
    </row>
    <row r="54250" spans="6:6" x14ac:dyDescent="0.3">
      <c r="F54250" s="193"/>
    </row>
    <row r="54251" spans="6:6" x14ac:dyDescent="0.3">
      <c r="F54251" s="193"/>
    </row>
    <row r="54252" spans="6:6" x14ac:dyDescent="0.3">
      <c r="F54252" s="193"/>
    </row>
    <row r="54253" spans="6:6" x14ac:dyDescent="0.3">
      <c r="F54253" s="193"/>
    </row>
    <row r="54254" spans="6:6" x14ac:dyDescent="0.3">
      <c r="F54254" s="193"/>
    </row>
    <row r="54255" spans="6:6" x14ac:dyDescent="0.3">
      <c r="F54255" s="193"/>
    </row>
    <row r="54256" spans="6:6" x14ac:dyDescent="0.3">
      <c r="F54256" s="193"/>
    </row>
    <row r="54257" spans="6:6" x14ac:dyDescent="0.3">
      <c r="F54257" s="193"/>
    </row>
    <row r="54258" spans="6:6" x14ac:dyDescent="0.3">
      <c r="F54258" s="193"/>
    </row>
    <row r="54259" spans="6:6" x14ac:dyDescent="0.3">
      <c r="F54259" s="193"/>
    </row>
    <row r="54260" spans="6:6" x14ac:dyDescent="0.3">
      <c r="F54260" s="193"/>
    </row>
    <row r="54261" spans="6:6" x14ac:dyDescent="0.3">
      <c r="F54261" s="193"/>
    </row>
    <row r="54262" spans="6:6" x14ac:dyDescent="0.3">
      <c r="F54262" s="193"/>
    </row>
    <row r="54263" spans="6:6" x14ac:dyDescent="0.3">
      <c r="F54263" s="193"/>
    </row>
    <row r="54264" spans="6:6" x14ac:dyDescent="0.3">
      <c r="F54264" s="193"/>
    </row>
    <row r="54265" spans="6:6" x14ac:dyDescent="0.3">
      <c r="F54265" s="193"/>
    </row>
    <row r="54266" spans="6:6" x14ac:dyDescent="0.3">
      <c r="F54266" s="193"/>
    </row>
    <row r="54267" spans="6:6" x14ac:dyDescent="0.3">
      <c r="F54267" s="193"/>
    </row>
    <row r="54268" spans="6:6" x14ac:dyDescent="0.3">
      <c r="F54268" s="193"/>
    </row>
    <row r="54269" spans="6:6" x14ac:dyDescent="0.3">
      <c r="F54269" s="193"/>
    </row>
    <row r="54270" spans="6:6" x14ac:dyDescent="0.3">
      <c r="F54270" s="193"/>
    </row>
    <row r="54271" spans="6:6" x14ac:dyDescent="0.3">
      <c r="F54271" s="193"/>
    </row>
    <row r="54272" spans="6:6" x14ac:dyDescent="0.3">
      <c r="F54272" s="193"/>
    </row>
    <row r="54273" spans="6:6" x14ac:dyDescent="0.3">
      <c r="F54273" s="193"/>
    </row>
    <row r="54274" spans="6:6" x14ac:dyDescent="0.3">
      <c r="F54274" s="193"/>
    </row>
    <row r="54275" spans="6:6" x14ac:dyDescent="0.3">
      <c r="F54275" s="193"/>
    </row>
    <row r="54276" spans="6:6" x14ac:dyDescent="0.3">
      <c r="F54276" s="193"/>
    </row>
    <row r="54277" spans="6:6" x14ac:dyDescent="0.3">
      <c r="F54277" s="193"/>
    </row>
    <row r="54278" spans="6:6" x14ac:dyDescent="0.3">
      <c r="F54278" s="193"/>
    </row>
    <row r="54279" spans="6:6" x14ac:dyDescent="0.3">
      <c r="F54279" s="193"/>
    </row>
    <row r="54280" spans="6:6" x14ac:dyDescent="0.3">
      <c r="F54280" s="193"/>
    </row>
    <row r="54281" spans="6:6" x14ac:dyDescent="0.3">
      <c r="F54281" s="193"/>
    </row>
    <row r="54282" spans="6:6" x14ac:dyDescent="0.3">
      <c r="F54282" s="193"/>
    </row>
    <row r="54283" spans="6:6" x14ac:dyDescent="0.3">
      <c r="F54283" s="193"/>
    </row>
    <row r="54284" spans="6:6" x14ac:dyDescent="0.3">
      <c r="F54284" s="193"/>
    </row>
    <row r="54285" spans="6:6" x14ac:dyDescent="0.3">
      <c r="F54285" s="193"/>
    </row>
    <row r="54286" spans="6:6" x14ac:dyDescent="0.3">
      <c r="F54286" s="193"/>
    </row>
    <row r="54287" spans="6:6" x14ac:dyDescent="0.3">
      <c r="F54287" s="193"/>
    </row>
    <row r="54288" spans="6:6" x14ac:dyDescent="0.3">
      <c r="F54288" s="193"/>
    </row>
    <row r="54289" spans="6:6" x14ac:dyDescent="0.3">
      <c r="F54289" s="193"/>
    </row>
    <row r="54290" spans="6:6" x14ac:dyDescent="0.3">
      <c r="F54290" s="193"/>
    </row>
    <row r="54291" spans="6:6" x14ac:dyDescent="0.3">
      <c r="F54291" s="193"/>
    </row>
    <row r="54292" spans="6:6" x14ac:dyDescent="0.3">
      <c r="F54292" s="193"/>
    </row>
    <row r="54293" spans="6:6" x14ac:dyDescent="0.3">
      <c r="F54293" s="193"/>
    </row>
    <row r="54294" spans="6:6" x14ac:dyDescent="0.3">
      <c r="F54294" s="193"/>
    </row>
    <row r="54295" spans="6:6" x14ac:dyDescent="0.3">
      <c r="F54295" s="193"/>
    </row>
    <row r="54296" spans="6:6" x14ac:dyDescent="0.3">
      <c r="F54296" s="193"/>
    </row>
    <row r="54297" spans="6:6" x14ac:dyDescent="0.3">
      <c r="F54297" s="193"/>
    </row>
    <row r="54298" spans="6:6" x14ac:dyDescent="0.3">
      <c r="F54298" s="193"/>
    </row>
    <row r="54299" spans="6:6" x14ac:dyDescent="0.3">
      <c r="F54299" s="193"/>
    </row>
    <row r="54300" spans="6:6" x14ac:dyDescent="0.3">
      <c r="F54300" s="193"/>
    </row>
    <row r="54301" spans="6:6" x14ac:dyDescent="0.3">
      <c r="F54301" s="193"/>
    </row>
    <row r="54302" spans="6:6" x14ac:dyDescent="0.3">
      <c r="F54302" s="193"/>
    </row>
    <row r="54303" spans="6:6" x14ac:dyDescent="0.3">
      <c r="F54303" s="193"/>
    </row>
    <row r="54304" spans="6:6" x14ac:dyDescent="0.3">
      <c r="F54304" s="193"/>
    </row>
    <row r="54305" spans="6:6" x14ac:dyDescent="0.3">
      <c r="F54305" s="193"/>
    </row>
    <row r="54306" spans="6:6" x14ac:dyDescent="0.3">
      <c r="F54306" s="193"/>
    </row>
    <row r="54307" spans="6:6" x14ac:dyDescent="0.3">
      <c r="F54307" s="193"/>
    </row>
    <row r="54308" spans="6:6" x14ac:dyDescent="0.3">
      <c r="F54308" s="193"/>
    </row>
    <row r="54309" spans="6:6" x14ac:dyDescent="0.3">
      <c r="F54309" s="193"/>
    </row>
    <row r="54310" spans="6:6" x14ac:dyDescent="0.3">
      <c r="F54310" s="193"/>
    </row>
    <row r="54311" spans="6:6" x14ac:dyDescent="0.3">
      <c r="F54311" s="193"/>
    </row>
    <row r="54312" spans="6:6" x14ac:dyDescent="0.3">
      <c r="F54312" s="193"/>
    </row>
    <row r="54313" spans="6:6" x14ac:dyDescent="0.3">
      <c r="F54313" s="193"/>
    </row>
    <row r="54314" spans="6:6" x14ac:dyDescent="0.3">
      <c r="F54314" s="193"/>
    </row>
    <row r="54315" spans="6:6" x14ac:dyDescent="0.3">
      <c r="F54315" s="193"/>
    </row>
    <row r="54316" spans="6:6" x14ac:dyDescent="0.3">
      <c r="F54316" s="193"/>
    </row>
    <row r="54317" spans="6:6" x14ac:dyDescent="0.3">
      <c r="F54317" s="193"/>
    </row>
    <row r="54318" spans="6:6" x14ac:dyDescent="0.3">
      <c r="F54318" s="193"/>
    </row>
    <row r="54319" spans="6:6" x14ac:dyDescent="0.3">
      <c r="F54319" s="193"/>
    </row>
    <row r="54320" spans="6:6" x14ac:dyDescent="0.3">
      <c r="F54320" s="193"/>
    </row>
    <row r="54321" spans="6:6" x14ac:dyDescent="0.3">
      <c r="F54321" s="193"/>
    </row>
    <row r="54322" spans="6:6" x14ac:dyDescent="0.3">
      <c r="F54322" s="193"/>
    </row>
    <row r="54323" spans="6:6" x14ac:dyDescent="0.3">
      <c r="F54323" s="193"/>
    </row>
    <row r="54324" spans="6:6" x14ac:dyDescent="0.3">
      <c r="F54324" s="193"/>
    </row>
    <row r="54325" spans="6:6" x14ac:dyDescent="0.3">
      <c r="F54325" s="193"/>
    </row>
    <row r="54326" spans="6:6" x14ac:dyDescent="0.3">
      <c r="F54326" s="193"/>
    </row>
    <row r="54327" spans="6:6" x14ac:dyDescent="0.3">
      <c r="F54327" s="193"/>
    </row>
    <row r="54328" spans="6:6" x14ac:dyDescent="0.3">
      <c r="F54328" s="193"/>
    </row>
    <row r="54329" spans="6:6" x14ac:dyDescent="0.3">
      <c r="F54329" s="193"/>
    </row>
    <row r="54330" spans="6:6" x14ac:dyDescent="0.3">
      <c r="F54330" s="193"/>
    </row>
    <row r="54331" spans="6:6" x14ac:dyDescent="0.3">
      <c r="F54331" s="193"/>
    </row>
    <row r="54332" spans="6:6" x14ac:dyDescent="0.3">
      <c r="F54332" s="193"/>
    </row>
    <row r="54333" spans="6:6" x14ac:dyDescent="0.3">
      <c r="F54333" s="193"/>
    </row>
    <row r="54334" spans="6:6" x14ac:dyDescent="0.3">
      <c r="F54334" s="193"/>
    </row>
    <row r="54335" spans="6:6" x14ac:dyDescent="0.3">
      <c r="F54335" s="193"/>
    </row>
    <row r="54336" spans="6:6" x14ac:dyDescent="0.3">
      <c r="F54336" s="193"/>
    </row>
    <row r="54337" spans="6:6" x14ac:dyDescent="0.3">
      <c r="F54337" s="193"/>
    </row>
    <row r="54338" spans="6:6" x14ac:dyDescent="0.3">
      <c r="F54338" s="193"/>
    </row>
    <row r="54339" spans="6:6" x14ac:dyDescent="0.3">
      <c r="F54339" s="193"/>
    </row>
    <row r="54340" spans="6:6" x14ac:dyDescent="0.3">
      <c r="F54340" s="193"/>
    </row>
    <row r="54341" spans="6:6" x14ac:dyDescent="0.3">
      <c r="F54341" s="193"/>
    </row>
    <row r="54342" spans="6:6" x14ac:dyDescent="0.3">
      <c r="F54342" s="193"/>
    </row>
    <row r="54343" spans="6:6" x14ac:dyDescent="0.3">
      <c r="F54343" s="193"/>
    </row>
    <row r="54344" spans="6:6" x14ac:dyDescent="0.3">
      <c r="F54344" s="193"/>
    </row>
    <row r="54345" spans="6:6" x14ac:dyDescent="0.3">
      <c r="F54345" s="193"/>
    </row>
    <row r="54346" spans="6:6" x14ac:dyDescent="0.3">
      <c r="F54346" s="193"/>
    </row>
    <row r="54347" spans="6:6" x14ac:dyDescent="0.3">
      <c r="F54347" s="193"/>
    </row>
    <row r="54348" spans="6:6" x14ac:dyDescent="0.3">
      <c r="F54348" s="193"/>
    </row>
    <row r="54349" spans="6:6" x14ac:dyDescent="0.3">
      <c r="F54349" s="193"/>
    </row>
    <row r="54350" spans="6:6" x14ac:dyDescent="0.3">
      <c r="F54350" s="193"/>
    </row>
    <row r="54351" spans="6:6" x14ac:dyDescent="0.3">
      <c r="F54351" s="193"/>
    </row>
    <row r="54352" spans="6:6" x14ac:dyDescent="0.3">
      <c r="F54352" s="193"/>
    </row>
    <row r="54353" spans="6:6" x14ac:dyDescent="0.3">
      <c r="F54353" s="193"/>
    </row>
    <row r="54354" spans="6:6" x14ac:dyDescent="0.3">
      <c r="F54354" s="193"/>
    </row>
    <row r="54355" spans="6:6" x14ac:dyDescent="0.3">
      <c r="F54355" s="193"/>
    </row>
    <row r="54356" spans="6:6" x14ac:dyDescent="0.3">
      <c r="F54356" s="193"/>
    </row>
    <row r="54357" spans="6:6" x14ac:dyDescent="0.3">
      <c r="F54357" s="193"/>
    </row>
    <row r="54358" spans="6:6" x14ac:dyDescent="0.3">
      <c r="F54358" s="193"/>
    </row>
    <row r="54359" spans="6:6" x14ac:dyDescent="0.3">
      <c r="F54359" s="193"/>
    </row>
    <row r="54360" spans="6:6" x14ac:dyDescent="0.3">
      <c r="F54360" s="193"/>
    </row>
    <row r="54361" spans="6:6" x14ac:dyDescent="0.3">
      <c r="F54361" s="193"/>
    </row>
    <row r="54362" spans="6:6" x14ac:dyDescent="0.3">
      <c r="F54362" s="193"/>
    </row>
    <row r="54363" spans="6:6" x14ac:dyDescent="0.3">
      <c r="F54363" s="193"/>
    </row>
    <row r="54364" spans="6:6" x14ac:dyDescent="0.3">
      <c r="F54364" s="193"/>
    </row>
    <row r="54365" spans="6:6" x14ac:dyDescent="0.3">
      <c r="F54365" s="193"/>
    </row>
    <row r="54366" spans="6:6" x14ac:dyDescent="0.3">
      <c r="F54366" s="193"/>
    </row>
    <row r="54367" spans="6:6" x14ac:dyDescent="0.3">
      <c r="F54367" s="193"/>
    </row>
    <row r="54368" spans="6:6" x14ac:dyDescent="0.3">
      <c r="F54368" s="193"/>
    </row>
    <row r="54369" spans="6:6" x14ac:dyDescent="0.3">
      <c r="F54369" s="193"/>
    </row>
    <row r="54370" spans="6:6" x14ac:dyDescent="0.3">
      <c r="F54370" s="193"/>
    </row>
    <row r="54371" spans="6:6" x14ac:dyDescent="0.3">
      <c r="F54371" s="193"/>
    </row>
    <row r="54372" spans="6:6" x14ac:dyDescent="0.3">
      <c r="F54372" s="193"/>
    </row>
    <row r="54373" spans="6:6" x14ac:dyDescent="0.3">
      <c r="F54373" s="193"/>
    </row>
    <row r="54374" spans="6:6" x14ac:dyDescent="0.3">
      <c r="F54374" s="193"/>
    </row>
    <row r="54375" spans="6:6" x14ac:dyDescent="0.3">
      <c r="F54375" s="193"/>
    </row>
    <row r="54376" spans="6:6" x14ac:dyDescent="0.3">
      <c r="F54376" s="193"/>
    </row>
    <row r="54377" spans="6:6" x14ac:dyDescent="0.3">
      <c r="F54377" s="193"/>
    </row>
    <row r="54378" spans="6:6" x14ac:dyDescent="0.3">
      <c r="F54378" s="193"/>
    </row>
    <row r="54379" spans="6:6" x14ac:dyDescent="0.3">
      <c r="F54379" s="193"/>
    </row>
    <row r="54380" spans="6:6" x14ac:dyDescent="0.3">
      <c r="F54380" s="193"/>
    </row>
    <row r="54381" spans="6:6" x14ac:dyDescent="0.3">
      <c r="F54381" s="193"/>
    </row>
    <row r="54382" spans="6:6" x14ac:dyDescent="0.3">
      <c r="F54382" s="193"/>
    </row>
    <row r="54383" spans="6:6" x14ac:dyDescent="0.3">
      <c r="F54383" s="193"/>
    </row>
    <row r="54384" spans="6:6" x14ac:dyDescent="0.3">
      <c r="F54384" s="193"/>
    </row>
    <row r="54385" spans="6:6" x14ac:dyDescent="0.3">
      <c r="F54385" s="193"/>
    </row>
    <row r="54386" spans="6:6" x14ac:dyDescent="0.3">
      <c r="F54386" s="193"/>
    </row>
    <row r="54387" spans="6:6" x14ac:dyDescent="0.3">
      <c r="F54387" s="193"/>
    </row>
    <row r="54388" spans="6:6" x14ac:dyDescent="0.3">
      <c r="F54388" s="193"/>
    </row>
    <row r="54389" spans="6:6" x14ac:dyDescent="0.3">
      <c r="F54389" s="193"/>
    </row>
    <row r="54390" spans="6:6" x14ac:dyDescent="0.3">
      <c r="F54390" s="193"/>
    </row>
    <row r="54391" spans="6:6" x14ac:dyDescent="0.3">
      <c r="F54391" s="193"/>
    </row>
    <row r="54392" spans="6:6" x14ac:dyDescent="0.3">
      <c r="F54392" s="193"/>
    </row>
    <row r="54393" spans="6:6" x14ac:dyDescent="0.3">
      <c r="F54393" s="193"/>
    </row>
    <row r="54394" spans="6:6" x14ac:dyDescent="0.3">
      <c r="F54394" s="193"/>
    </row>
    <row r="54395" spans="6:6" x14ac:dyDescent="0.3">
      <c r="F54395" s="193"/>
    </row>
    <row r="54396" spans="6:6" x14ac:dyDescent="0.3">
      <c r="F54396" s="193"/>
    </row>
    <row r="54397" spans="6:6" x14ac:dyDescent="0.3">
      <c r="F54397" s="193"/>
    </row>
    <row r="54398" spans="6:6" x14ac:dyDescent="0.3">
      <c r="F54398" s="193"/>
    </row>
    <row r="54399" spans="6:6" x14ac:dyDescent="0.3">
      <c r="F54399" s="193"/>
    </row>
    <row r="54400" spans="6:6" x14ac:dyDescent="0.3">
      <c r="F54400" s="193"/>
    </row>
    <row r="54401" spans="6:6" x14ac:dyDescent="0.3">
      <c r="F54401" s="193"/>
    </row>
    <row r="54402" spans="6:6" x14ac:dyDescent="0.3">
      <c r="F54402" s="193"/>
    </row>
    <row r="54403" spans="6:6" x14ac:dyDescent="0.3">
      <c r="F54403" s="193"/>
    </row>
    <row r="54404" spans="6:6" x14ac:dyDescent="0.3">
      <c r="F54404" s="193"/>
    </row>
    <row r="54405" spans="6:6" x14ac:dyDescent="0.3">
      <c r="F54405" s="193"/>
    </row>
    <row r="54406" spans="6:6" x14ac:dyDescent="0.3">
      <c r="F54406" s="193"/>
    </row>
    <row r="54407" spans="6:6" x14ac:dyDescent="0.3">
      <c r="F54407" s="193"/>
    </row>
    <row r="54408" spans="6:6" x14ac:dyDescent="0.3">
      <c r="F54408" s="193"/>
    </row>
    <row r="54409" spans="6:6" x14ac:dyDescent="0.3">
      <c r="F54409" s="193"/>
    </row>
    <row r="54410" spans="6:6" x14ac:dyDescent="0.3">
      <c r="F54410" s="193"/>
    </row>
    <row r="54411" spans="6:6" x14ac:dyDescent="0.3">
      <c r="F54411" s="193"/>
    </row>
    <row r="54412" spans="6:6" x14ac:dyDescent="0.3">
      <c r="F54412" s="193"/>
    </row>
    <row r="54413" spans="6:6" x14ac:dyDescent="0.3">
      <c r="F54413" s="193"/>
    </row>
    <row r="54414" spans="6:6" x14ac:dyDescent="0.3">
      <c r="F54414" s="193"/>
    </row>
    <row r="54415" spans="6:6" x14ac:dyDescent="0.3">
      <c r="F54415" s="193"/>
    </row>
    <row r="54416" spans="6:6" x14ac:dyDescent="0.3">
      <c r="F54416" s="193"/>
    </row>
    <row r="54417" spans="6:6" x14ac:dyDescent="0.3">
      <c r="F54417" s="193"/>
    </row>
    <row r="54418" spans="6:6" x14ac:dyDescent="0.3">
      <c r="F54418" s="193"/>
    </row>
    <row r="54419" spans="6:6" x14ac:dyDescent="0.3">
      <c r="F54419" s="193"/>
    </row>
    <row r="54420" spans="6:6" x14ac:dyDescent="0.3">
      <c r="F54420" s="193"/>
    </row>
    <row r="54421" spans="6:6" x14ac:dyDescent="0.3">
      <c r="F54421" s="193"/>
    </row>
    <row r="54422" spans="6:6" x14ac:dyDescent="0.3">
      <c r="F54422" s="193"/>
    </row>
    <row r="54423" spans="6:6" x14ac:dyDescent="0.3">
      <c r="F54423" s="193"/>
    </row>
    <row r="54424" spans="6:6" x14ac:dyDescent="0.3">
      <c r="F54424" s="193"/>
    </row>
    <row r="54425" spans="6:6" x14ac:dyDescent="0.3">
      <c r="F54425" s="193"/>
    </row>
    <row r="54426" spans="6:6" x14ac:dyDescent="0.3">
      <c r="F54426" s="193"/>
    </row>
    <row r="54427" spans="6:6" x14ac:dyDescent="0.3">
      <c r="F54427" s="193"/>
    </row>
    <row r="54428" spans="6:6" x14ac:dyDescent="0.3">
      <c r="F54428" s="193"/>
    </row>
    <row r="54429" spans="6:6" x14ac:dyDescent="0.3">
      <c r="F54429" s="193"/>
    </row>
    <row r="54430" spans="6:6" x14ac:dyDescent="0.3">
      <c r="F54430" s="193"/>
    </row>
    <row r="54431" spans="6:6" x14ac:dyDescent="0.3">
      <c r="F54431" s="193"/>
    </row>
    <row r="54432" spans="6:6" x14ac:dyDescent="0.3">
      <c r="F54432" s="193"/>
    </row>
    <row r="54433" spans="6:6" x14ac:dyDescent="0.3">
      <c r="F54433" s="193"/>
    </row>
    <row r="54434" spans="6:6" x14ac:dyDescent="0.3">
      <c r="F54434" s="193"/>
    </row>
    <row r="54435" spans="6:6" x14ac:dyDescent="0.3">
      <c r="F54435" s="193"/>
    </row>
    <row r="54436" spans="6:6" x14ac:dyDescent="0.3">
      <c r="F54436" s="193"/>
    </row>
    <row r="54437" spans="6:6" x14ac:dyDescent="0.3">
      <c r="F54437" s="193"/>
    </row>
    <row r="54438" spans="6:6" x14ac:dyDescent="0.3">
      <c r="F54438" s="193"/>
    </row>
    <row r="54439" spans="6:6" x14ac:dyDescent="0.3">
      <c r="F54439" s="193"/>
    </row>
    <row r="54440" spans="6:6" x14ac:dyDescent="0.3">
      <c r="F54440" s="193"/>
    </row>
    <row r="54441" spans="6:6" x14ac:dyDescent="0.3">
      <c r="F54441" s="193"/>
    </row>
    <row r="54442" spans="6:6" x14ac:dyDescent="0.3">
      <c r="F54442" s="193"/>
    </row>
    <row r="54443" spans="6:6" x14ac:dyDescent="0.3">
      <c r="F54443" s="193"/>
    </row>
    <row r="54444" spans="6:6" x14ac:dyDescent="0.3">
      <c r="F54444" s="193"/>
    </row>
    <row r="54445" spans="6:6" x14ac:dyDescent="0.3">
      <c r="F54445" s="193"/>
    </row>
    <row r="54446" spans="6:6" x14ac:dyDescent="0.3">
      <c r="F54446" s="193"/>
    </row>
    <row r="54447" spans="6:6" x14ac:dyDescent="0.3">
      <c r="F54447" s="193"/>
    </row>
    <row r="54448" spans="6:6" x14ac:dyDescent="0.3">
      <c r="F54448" s="193"/>
    </row>
    <row r="54449" spans="6:6" x14ac:dyDescent="0.3">
      <c r="F54449" s="193"/>
    </row>
    <row r="54450" spans="6:6" x14ac:dyDescent="0.3">
      <c r="F54450" s="193"/>
    </row>
    <row r="54451" spans="6:6" x14ac:dyDescent="0.3">
      <c r="F54451" s="193"/>
    </row>
    <row r="54452" spans="6:6" x14ac:dyDescent="0.3">
      <c r="F54452" s="193"/>
    </row>
    <row r="54453" spans="6:6" x14ac:dyDescent="0.3">
      <c r="F54453" s="193"/>
    </row>
    <row r="54454" spans="6:6" x14ac:dyDescent="0.3">
      <c r="F54454" s="193"/>
    </row>
    <row r="54455" spans="6:6" x14ac:dyDescent="0.3">
      <c r="F54455" s="193"/>
    </row>
    <row r="54456" spans="6:6" x14ac:dyDescent="0.3">
      <c r="F54456" s="193"/>
    </row>
    <row r="54457" spans="6:6" x14ac:dyDescent="0.3">
      <c r="F54457" s="193"/>
    </row>
    <row r="54458" spans="6:6" x14ac:dyDescent="0.3">
      <c r="F54458" s="193"/>
    </row>
    <row r="54459" spans="6:6" x14ac:dyDescent="0.3">
      <c r="F54459" s="193"/>
    </row>
    <row r="54460" spans="6:6" x14ac:dyDescent="0.3">
      <c r="F54460" s="193"/>
    </row>
    <row r="54461" spans="6:6" x14ac:dyDescent="0.3">
      <c r="F54461" s="193"/>
    </row>
    <row r="54462" spans="6:6" x14ac:dyDescent="0.3">
      <c r="F54462" s="193"/>
    </row>
    <row r="54463" spans="6:6" x14ac:dyDescent="0.3">
      <c r="F54463" s="193"/>
    </row>
    <row r="54464" spans="6:6" x14ac:dyDescent="0.3">
      <c r="F54464" s="193"/>
    </row>
    <row r="54465" spans="6:6" x14ac:dyDescent="0.3">
      <c r="F54465" s="193"/>
    </row>
    <row r="54466" spans="6:6" x14ac:dyDescent="0.3">
      <c r="F54466" s="193"/>
    </row>
    <row r="54467" spans="6:6" x14ac:dyDescent="0.3">
      <c r="F54467" s="193"/>
    </row>
    <row r="54468" spans="6:6" x14ac:dyDescent="0.3">
      <c r="F54468" s="193"/>
    </row>
    <row r="54469" spans="6:6" x14ac:dyDescent="0.3">
      <c r="F54469" s="193"/>
    </row>
    <row r="54470" spans="6:6" x14ac:dyDescent="0.3">
      <c r="F54470" s="193"/>
    </row>
    <row r="54471" spans="6:6" x14ac:dyDescent="0.3">
      <c r="F54471" s="193"/>
    </row>
    <row r="54472" spans="6:6" x14ac:dyDescent="0.3">
      <c r="F54472" s="193"/>
    </row>
    <row r="54473" spans="6:6" x14ac:dyDescent="0.3">
      <c r="F54473" s="193"/>
    </row>
    <row r="54474" spans="6:6" x14ac:dyDescent="0.3">
      <c r="F54474" s="193"/>
    </row>
    <row r="54475" spans="6:6" x14ac:dyDescent="0.3">
      <c r="F54475" s="193"/>
    </row>
    <row r="54476" spans="6:6" x14ac:dyDescent="0.3">
      <c r="F54476" s="193"/>
    </row>
    <row r="54477" spans="6:6" x14ac:dyDescent="0.3">
      <c r="F54477" s="193"/>
    </row>
    <row r="54478" spans="6:6" x14ac:dyDescent="0.3">
      <c r="F54478" s="193"/>
    </row>
    <row r="54479" spans="6:6" x14ac:dyDescent="0.3">
      <c r="F54479" s="193"/>
    </row>
    <row r="54480" spans="6:6" x14ac:dyDescent="0.3">
      <c r="F54480" s="193"/>
    </row>
    <row r="54481" spans="6:6" x14ac:dyDescent="0.3">
      <c r="F54481" s="193"/>
    </row>
    <row r="54482" spans="6:6" x14ac:dyDescent="0.3">
      <c r="F54482" s="193"/>
    </row>
    <row r="54483" spans="6:6" x14ac:dyDescent="0.3">
      <c r="F54483" s="193"/>
    </row>
    <row r="54484" spans="6:6" x14ac:dyDescent="0.3">
      <c r="F54484" s="193"/>
    </row>
    <row r="54485" spans="6:6" x14ac:dyDescent="0.3">
      <c r="F54485" s="193"/>
    </row>
    <row r="54486" spans="6:6" x14ac:dyDescent="0.3">
      <c r="F54486" s="193"/>
    </row>
    <row r="54487" spans="6:6" x14ac:dyDescent="0.3">
      <c r="F54487" s="193"/>
    </row>
    <row r="54488" spans="6:6" x14ac:dyDescent="0.3">
      <c r="F54488" s="193"/>
    </row>
    <row r="54489" spans="6:6" x14ac:dyDescent="0.3">
      <c r="F54489" s="193"/>
    </row>
    <row r="54490" spans="6:6" x14ac:dyDescent="0.3">
      <c r="F54490" s="193"/>
    </row>
    <row r="54491" spans="6:6" x14ac:dyDescent="0.3">
      <c r="F54491" s="193"/>
    </row>
    <row r="54492" spans="6:6" x14ac:dyDescent="0.3">
      <c r="F54492" s="193"/>
    </row>
    <row r="54493" spans="6:6" x14ac:dyDescent="0.3">
      <c r="F54493" s="193"/>
    </row>
    <row r="54494" spans="6:6" x14ac:dyDescent="0.3">
      <c r="F54494" s="193"/>
    </row>
    <row r="54495" spans="6:6" x14ac:dyDescent="0.3">
      <c r="F54495" s="193"/>
    </row>
    <row r="54496" spans="6:6" x14ac:dyDescent="0.3">
      <c r="F54496" s="193"/>
    </row>
    <row r="54497" spans="6:6" x14ac:dyDescent="0.3">
      <c r="F54497" s="193"/>
    </row>
    <row r="54498" spans="6:6" x14ac:dyDescent="0.3">
      <c r="F54498" s="193"/>
    </row>
    <row r="54499" spans="6:6" x14ac:dyDescent="0.3">
      <c r="F54499" s="193"/>
    </row>
    <row r="54500" spans="6:6" x14ac:dyDescent="0.3">
      <c r="F54500" s="193"/>
    </row>
    <row r="54501" spans="6:6" x14ac:dyDescent="0.3">
      <c r="F54501" s="193"/>
    </row>
    <row r="54502" spans="6:6" x14ac:dyDescent="0.3">
      <c r="F54502" s="193"/>
    </row>
    <row r="54503" spans="6:6" x14ac:dyDescent="0.3">
      <c r="F54503" s="193"/>
    </row>
    <row r="54504" spans="6:6" x14ac:dyDescent="0.3">
      <c r="F54504" s="193"/>
    </row>
    <row r="54505" spans="6:6" x14ac:dyDescent="0.3">
      <c r="F54505" s="193"/>
    </row>
    <row r="54506" spans="6:6" x14ac:dyDescent="0.3">
      <c r="F54506" s="193"/>
    </row>
    <row r="54507" spans="6:6" x14ac:dyDescent="0.3">
      <c r="F54507" s="193"/>
    </row>
    <row r="54508" spans="6:6" x14ac:dyDescent="0.3">
      <c r="F54508" s="193"/>
    </row>
    <row r="54509" spans="6:6" x14ac:dyDescent="0.3">
      <c r="F54509" s="193"/>
    </row>
    <row r="54510" spans="6:6" x14ac:dyDescent="0.3">
      <c r="F54510" s="193"/>
    </row>
    <row r="54511" spans="6:6" x14ac:dyDescent="0.3">
      <c r="F54511" s="193"/>
    </row>
    <row r="54512" spans="6:6" x14ac:dyDescent="0.3">
      <c r="F54512" s="193"/>
    </row>
    <row r="54513" spans="6:6" x14ac:dyDescent="0.3">
      <c r="F54513" s="193"/>
    </row>
    <row r="54514" spans="6:6" x14ac:dyDescent="0.3">
      <c r="F54514" s="193"/>
    </row>
    <row r="54515" spans="6:6" x14ac:dyDescent="0.3">
      <c r="F54515" s="193"/>
    </row>
    <row r="54516" spans="6:6" x14ac:dyDescent="0.3">
      <c r="F54516" s="193"/>
    </row>
    <row r="54517" spans="6:6" x14ac:dyDescent="0.3">
      <c r="F54517" s="193"/>
    </row>
    <row r="54518" spans="6:6" x14ac:dyDescent="0.3">
      <c r="F54518" s="193"/>
    </row>
    <row r="54519" spans="6:6" x14ac:dyDescent="0.3">
      <c r="F54519" s="193"/>
    </row>
    <row r="54520" spans="6:6" x14ac:dyDescent="0.3">
      <c r="F54520" s="193"/>
    </row>
    <row r="54521" spans="6:6" x14ac:dyDescent="0.3">
      <c r="F54521" s="193"/>
    </row>
    <row r="54522" spans="6:6" x14ac:dyDescent="0.3">
      <c r="F54522" s="193"/>
    </row>
    <row r="54523" spans="6:6" x14ac:dyDescent="0.3">
      <c r="F54523" s="193"/>
    </row>
    <row r="54524" spans="6:6" x14ac:dyDescent="0.3">
      <c r="F54524" s="193"/>
    </row>
    <row r="54525" spans="6:6" x14ac:dyDescent="0.3">
      <c r="F54525" s="193"/>
    </row>
    <row r="54526" spans="6:6" x14ac:dyDescent="0.3">
      <c r="F54526" s="193"/>
    </row>
    <row r="54527" spans="6:6" x14ac:dyDescent="0.3">
      <c r="F54527" s="193"/>
    </row>
    <row r="54528" spans="6:6" x14ac:dyDescent="0.3">
      <c r="F54528" s="193"/>
    </row>
    <row r="54529" spans="6:6" x14ac:dyDescent="0.3">
      <c r="F54529" s="193"/>
    </row>
    <row r="54530" spans="6:6" x14ac:dyDescent="0.3">
      <c r="F54530" s="193"/>
    </row>
    <row r="54531" spans="6:6" x14ac:dyDescent="0.3">
      <c r="F54531" s="193"/>
    </row>
    <row r="54532" spans="6:6" x14ac:dyDescent="0.3">
      <c r="F54532" s="193"/>
    </row>
    <row r="54533" spans="6:6" x14ac:dyDescent="0.3">
      <c r="F54533" s="193"/>
    </row>
    <row r="54534" spans="6:6" x14ac:dyDescent="0.3">
      <c r="F54534" s="193"/>
    </row>
    <row r="54535" spans="6:6" x14ac:dyDescent="0.3">
      <c r="F54535" s="193"/>
    </row>
    <row r="54536" spans="6:6" x14ac:dyDescent="0.3">
      <c r="F54536" s="193"/>
    </row>
    <row r="54537" spans="6:6" x14ac:dyDescent="0.3">
      <c r="F54537" s="193"/>
    </row>
    <row r="54538" spans="6:6" x14ac:dyDescent="0.3">
      <c r="F54538" s="193"/>
    </row>
    <row r="54539" spans="6:6" x14ac:dyDescent="0.3">
      <c r="F54539" s="193"/>
    </row>
    <row r="54540" spans="6:6" x14ac:dyDescent="0.3">
      <c r="F54540" s="193"/>
    </row>
    <row r="54541" spans="6:6" x14ac:dyDescent="0.3">
      <c r="F54541" s="193"/>
    </row>
    <row r="54542" spans="6:6" x14ac:dyDescent="0.3">
      <c r="F54542" s="193"/>
    </row>
    <row r="54543" spans="6:6" x14ac:dyDescent="0.3">
      <c r="F54543" s="193"/>
    </row>
    <row r="54544" spans="6:6" x14ac:dyDescent="0.3">
      <c r="F54544" s="193"/>
    </row>
    <row r="54545" spans="6:6" x14ac:dyDescent="0.3">
      <c r="F54545" s="193"/>
    </row>
    <row r="54546" spans="6:6" x14ac:dyDescent="0.3">
      <c r="F54546" s="193"/>
    </row>
    <row r="54547" spans="6:6" x14ac:dyDescent="0.3">
      <c r="F54547" s="193"/>
    </row>
    <row r="54548" spans="6:6" x14ac:dyDescent="0.3">
      <c r="F54548" s="193"/>
    </row>
    <row r="54549" spans="6:6" x14ac:dyDescent="0.3">
      <c r="F54549" s="193"/>
    </row>
    <row r="54550" spans="6:6" x14ac:dyDescent="0.3">
      <c r="F54550" s="193"/>
    </row>
    <row r="54551" spans="6:6" x14ac:dyDescent="0.3">
      <c r="F54551" s="193"/>
    </row>
    <row r="54552" spans="6:6" x14ac:dyDescent="0.3">
      <c r="F54552" s="193"/>
    </row>
    <row r="54553" spans="6:6" x14ac:dyDescent="0.3">
      <c r="F54553" s="193"/>
    </row>
    <row r="54554" spans="6:6" x14ac:dyDescent="0.3">
      <c r="F54554" s="193"/>
    </row>
    <row r="54555" spans="6:6" x14ac:dyDescent="0.3">
      <c r="F54555" s="193"/>
    </row>
    <row r="54556" spans="6:6" x14ac:dyDescent="0.3">
      <c r="F54556" s="193"/>
    </row>
    <row r="54557" spans="6:6" x14ac:dyDescent="0.3">
      <c r="F54557" s="193"/>
    </row>
    <row r="54558" spans="6:6" x14ac:dyDescent="0.3">
      <c r="F54558" s="193"/>
    </row>
    <row r="54559" spans="6:6" x14ac:dyDescent="0.3">
      <c r="F54559" s="193"/>
    </row>
    <row r="54560" spans="6:6" x14ac:dyDescent="0.3">
      <c r="F54560" s="193"/>
    </row>
    <row r="54561" spans="6:6" x14ac:dyDescent="0.3">
      <c r="F54561" s="193"/>
    </row>
    <row r="54562" spans="6:6" x14ac:dyDescent="0.3">
      <c r="F54562" s="193"/>
    </row>
    <row r="54563" spans="6:6" x14ac:dyDescent="0.3">
      <c r="F54563" s="193"/>
    </row>
    <row r="54564" spans="6:6" x14ac:dyDescent="0.3">
      <c r="F54564" s="193"/>
    </row>
    <row r="54565" spans="6:6" x14ac:dyDescent="0.3">
      <c r="F54565" s="193"/>
    </row>
    <row r="54566" spans="6:6" x14ac:dyDescent="0.3">
      <c r="F54566" s="193"/>
    </row>
    <row r="54567" spans="6:6" x14ac:dyDescent="0.3">
      <c r="F54567" s="193"/>
    </row>
    <row r="54568" spans="6:6" x14ac:dyDescent="0.3">
      <c r="F54568" s="193"/>
    </row>
    <row r="54569" spans="6:6" x14ac:dyDescent="0.3">
      <c r="F54569" s="193"/>
    </row>
    <row r="54570" spans="6:6" x14ac:dyDescent="0.3">
      <c r="F54570" s="193"/>
    </row>
    <row r="54571" spans="6:6" x14ac:dyDescent="0.3">
      <c r="F54571" s="193"/>
    </row>
    <row r="54572" spans="6:6" x14ac:dyDescent="0.3">
      <c r="F54572" s="193"/>
    </row>
    <row r="54573" spans="6:6" x14ac:dyDescent="0.3">
      <c r="F54573" s="193"/>
    </row>
    <row r="54574" spans="6:6" x14ac:dyDescent="0.3">
      <c r="F54574" s="193"/>
    </row>
    <row r="54575" spans="6:6" x14ac:dyDescent="0.3">
      <c r="F54575" s="193"/>
    </row>
    <row r="54576" spans="6:6" x14ac:dyDescent="0.3">
      <c r="F54576" s="193"/>
    </row>
    <row r="54577" spans="6:6" x14ac:dyDescent="0.3">
      <c r="F54577" s="193"/>
    </row>
    <row r="54578" spans="6:6" x14ac:dyDescent="0.3">
      <c r="F54578" s="193"/>
    </row>
    <row r="54579" spans="6:6" x14ac:dyDescent="0.3">
      <c r="F54579" s="193"/>
    </row>
    <row r="54580" spans="6:6" x14ac:dyDescent="0.3">
      <c r="F54580" s="193"/>
    </row>
    <row r="54581" spans="6:6" x14ac:dyDescent="0.3">
      <c r="F54581" s="193"/>
    </row>
    <row r="54582" spans="6:6" x14ac:dyDescent="0.3">
      <c r="F54582" s="193"/>
    </row>
    <row r="54583" spans="6:6" x14ac:dyDescent="0.3">
      <c r="F54583" s="193"/>
    </row>
    <row r="54584" spans="6:6" x14ac:dyDescent="0.3">
      <c r="F54584" s="193"/>
    </row>
    <row r="54585" spans="6:6" x14ac:dyDescent="0.3">
      <c r="F54585" s="193"/>
    </row>
    <row r="54586" spans="6:6" x14ac:dyDescent="0.3">
      <c r="F54586" s="193"/>
    </row>
    <row r="54587" spans="6:6" x14ac:dyDescent="0.3">
      <c r="F54587" s="193"/>
    </row>
    <row r="54588" spans="6:6" x14ac:dyDescent="0.3">
      <c r="F54588" s="193"/>
    </row>
    <row r="54589" spans="6:6" x14ac:dyDescent="0.3">
      <c r="F54589" s="193"/>
    </row>
    <row r="54590" spans="6:6" x14ac:dyDescent="0.3">
      <c r="F54590" s="193"/>
    </row>
    <row r="54591" spans="6:6" x14ac:dyDescent="0.3">
      <c r="F54591" s="193"/>
    </row>
    <row r="54592" spans="6:6" x14ac:dyDescent="0.3">
      <c r="F54592" s="193"/>
    </row>
    <row r="54593" spans="6:6" x14ac:dyDescent="0.3">
      <c r="F54593" s="193"/>
    </row>
    <row r="54594" spans="6:6" x14ac:dyDescent="0.3">
      <c r="F54594" s="193"/>
    </row>
    <row r="54595" spans="6:6" x14ac:dyDescent="0.3">
      <c r="F54595" s="193"/>
    </row>
    <row r="54596" spans="6:6" x14ac:dyDescent="0.3">
      <c r="F54596" s="193"/>
    </row>
    <row r="54597" spans="6:6" x14ac:dyDescent="0.3">
      <c r="F54597" s="193"/>
    </row>
    <row r="54598" spans="6:6" x14ac:dyDescent="0.3">
      <c r="F54598" s="193"/>
    </row>
    <row r="54599" spans="6:6" x14ac:dyDescent="0.3">
      <c r="F54599" s="193"/>
    </row>
    <row r="54600" spans="6:6" x14ac:dyDescent="0.3">
      <c r="F54600" s="193"/>
    </row>
    <row r="54601" spans="6:6" x14ac:dyDescent="0.3">
      <c r="F54601" s="193"/>
    </row>
    <row r="54602" spans="6:6" x14ac:dyDescent="0.3">
      <c r="F54602" s="193"/>
    </row>
    <row r="54603" spans="6:6" x14ac:dyDescent="0.3">
      <c r="F54603" s="193"/>
    </row>
    <row r="54604" spans="6:6" x14ac:dyDescent="0.3">
      <c r="F54604" s="193"/>
    </row>
    <row r="54605" spans="6:6" x14ac:dyDescent="0.3">
      <c r="F54605" s="193"/>
    </row>
    <row r="54606" spans="6:6" x14ac:dyDescent="0.3">
      <c r="F54606" s="193"/>
    </row>
    <row r="54607" spans="6:6" x14ac:dyDescent="0.3">
      <c r="F54607" s="193"/>
    </row>
    <row r="54608" spans="6:6" x14ac:dyDescent="0.3">
      <c r="F54608" s="193"/>
    </row>
    <row r="54609" spans="6:6" x14ac:dyDescent="0.3">
      <c r="F54609" s="193"/>
    </row>
    <row r="54610" spans="6:6" x14ac:dyDescent="0.3">
      <c r="F54610" s="193"/>
    </row>
    <row r="54611" spans="6:6" x14ac:dyDescent="0.3">
      <c r="F54611" s="193"/>
    </row>
    <row r="54612" spans="6:6" x14ac:dyDescent="0.3">
      <c r="F54612" s="193"/>
    </row>
    <row r="54613" spans="6:6" x14ac:dyDescent="0.3">
      <c r="F54613" s="193"/>
    </row>
    <row r="54614" spans="6:6" x14ac:dyDescent="0.3">
      <c r="F54614" s="193"/>
    </row>
    <row r="54615" spans="6:6" x14ac:dyDescent="0.3">
      <c r="F54615" s="193"/>
    </row>
    <row r="54616" spans="6:6" x14ac:dyDescent="0.3">
      <c r="F54616" s="193"/>
    </row>
    <row r="54617" spans="6:6" x14ac:dyDescent="0.3">
      <c r="F54617" s="193"/>
    </row>
    <row r="54618" spans="6:6" x14ac:dyDescent="0.3">
      <c r="F54618" s="193"/>
    </row>
    <row r="54619" spans="6:6" x14ac:dyDescent="0.3">
      <c r="F54619" s="193"/>
    </row>
    <row r="54620" spans="6:6" x14ac:dyDescent="0.3">
      <c r="F54620" s="193"/>
    </row>
    <row r="54621" spans="6:6" x14ac:dyDescent="0.3">
      <c r="F54621" s="193"/>
    </row>
    <row r="54622" spans="6:6" x14ac:dyDescent="0.3">
      <c r="F54622" s="193"/>
    </row>
    <row r="54623" spans="6:6" x14ac:dyDescent="0.3">
      <c r="F54623" s="193"/>
    </row>
    <row r="54624" spans="6:6" x14ac:dyDescent="0.3">
      <c r="F54624" s="193"/>
    </row>
    <row r="54625" spans="6:6" x14ac:dyDescent="0.3">
      <c r="F54625" s="193"/>
    </row>
    <row r="54626" spans="6:6" x14ac:dyDescent="0.3">
      <c r="F54626" s="193"/>
    </row>
    <row r="54627" spans="6:6" x14ac:dyDescent="0.3">
      <c r="F54627" s="193"/>
    </row>
    <row r="54628" spans="6:6" x14ac:dyDescent="0.3">
      <c r="F54628" s="193"/>
    </row>
    <row r="54629" spans="6:6" x14ac:dyDescent="0.3">
      <c r="F54629" s="193"/>
    </row>
    <row r="54630" spans="6:6" x14ac:dyDescent="0.3">
      <c r="F54630" s="193"/>
    </row>
    <row r="54631" spans="6:6" x14ac:dyDescent="0.3">
      <c r="F54631" s="193"/>
    </row>
    <row r="54632" spans="6:6" x14ac:dyDescent="0.3">
      <c r="F54632" s="193"/>
    </row>
    <row r="54633" spans="6:6" x14ac:dyDescent="0.3">
      <c r="F54633" s="193"/>
    </row>
    <row r="54634" spans="6:6" x14ac:dyDescent="0.3">
      <c r="F54634" s="193"/>
    </row>
    <row r="54635" spans="6:6" x14ac:dyDescent="0.3">
      <c r="F54635" s="193"/>
    </row>
    <row r="54636" spans="6:6" x14ac:dyDescent="0.3">
      <c r="F54636" s="193"/>
    </row>
    <row r="54637" spans="6:6" x14ac:dyDescent="0.3">
      <c r="F54637" s="193"/>
    </row>
    <row r="54638" spans="6:6" x14ac:dyDescent="0.3">
      <c r="F54638" s="193"/>
    </row>
    <row r="54639" spans="6:6" x14ac:dyDescent="0.3">
      <c r="F54639" s="193"/>
    </row>
    <row r="54640" spans="6:6" x14ac:dyDescent="0.3">
      <c r="F54640" s="193"/>
    </row>
    <row r="54641" spans="6:6" x14ac:dyDescent="0.3">
      <c r="F54641" s="193"/>
    </row>
    <row r="54642" spans="6:6" x14ac:dyDescent="0.3">
      <c r="F54642" s="193"/>
    </row>
    <row r="54643" spans="6:6" x14ac:dyDescent="0.3">
      <c r="F54643" s="193"/>
    </row>
    <row r="54644" spans="6:6" x14ac:dyDescent="0.3">
      <c r="F54644" s="193"/>
    </row>
    <row r="54645" spans="6:6" x14ac:dyDescent="0.3">
      <c r="F54645" s="193"/>
    </row>
    <row r="54646" spans="6:6" x14ac:dyDescent="0.3">
      <c r="F54646" s="193"/>
    </row>
    <row r="54647" spans="6:6" x14ac:dyDescent="0.3">
      <c r="F54647" s="193"/>
    </row>
    <row r="54648" spans="6:6" x14ac:dyDescent="0.3">
      <c r="F54648" s="193"/>
    </row>
    <row r="54649" spans="6:6" x14ac:dyDescent="0.3">
      <c r="F54649" s="193"/>
    </row>
    <row r="54650" spans="6:6" x14ac:dyDescent="0.3">
      <c r="F54650" s="193"/>
    </row>
    <row r="54651" spans="6:6" x14ac:dyDescent="0.3">
      <c r="F54651" s="193"/>
    </row>
    <row r="54652" spans="6:6" x14ac:dyDescent="0.3">
      <c r="F54652" s="193"/>
    </row>
    <row r="54653" spans="6:6" x14ac:dyDescent="0.3">
      <c r="F54653" s="193"/>
    </row>
    <row r="54654" spans="6:6" x14ac:dyDescent="0.3">
      <c r="F54654" s="193"/>
    </row>
    <row r="54655" spans="6:6" x14ac:dyDescent="0.3">
      <c r="F54655" s="193"/>
    </row>
    <row r="54656" spans="6:6" x14ac:dyDescent="0.3">
      <c r="F54656" s="193"/>
    </row>
    <row r="54657" spans="6:6" x14ac:dyDescent="0.3">
      <c r="F54657" s="193"/>
    </row>
    <row r="54658" spans="6:6" x14ac:dyDescent="0.3">
      <c r="F54658" s="193"/>
    </row>
    <row r="54659" spans="6:6" x14ac:dyDescent="0.3">
      <c r="F54659" s="193"/>
    </row>
    <row r="54660" spans="6:6" x14ac:dyDescent="0.3">
      <c r="F54660" s="193"/>
    </row>
    <row r="54661" spans="6:6" x14ac:dyDescent="0.3">
      <c r="F54661" s="193"/>
    </row>
    <row r="54662" spans="6:6" x14ac:dyDescent="0.3">
      <c r="F54662" s="193"/>
    </row>
    <row r="54663" spans="6:6" x14ac:dyDescent="0.3">
      <c r="F54663" s="193"/>
    </row>
    <row r="54664" spans="6:6" x14ac:dyDescent="0.3">
      <c r="F54664" s="193"/>
    </row>
    <row r="54665" spans="6:6" x14ac:dyDescent="0.3">
      <c r="F54665" s="193"/>
    </row>
    <row r="54666" spans="6:6" x14ac:dyDescent="0.3">
      <c r="F54666" s="193"/>
    </row>
    <row r="54667" spans="6:6" x14ac:dyDescent="0.3">
      <c r="F54667" s="193"/>
    </row>
    <row r="54668" spans="6:6" x14ac:dyDescent="0.3">
      <c r="F54668" s="193"/>
    </row>
    <row r="54669" spans="6:6" x14ac:dyDescent="0.3">
      <c r="F54669" s="193"/>
    </row>
    <row r="54670" spans="6:6" x14ac:dyDescent="0.3">
      <c r="F54670" s="193"/>
    </row>
    <row r="54671" spans="6:6" x14ac:dyDescent="0.3">
      <c r="F54671" s="193"/>
    </row>
    <row r="54672" spans="6:6" x14ac:dyDescent="0.3">
      <c r="F54672" s="193"/>
    </row>
    <row r="54673" spans="6:6" x14ac:dyDescent="0.3">
      <c r="F54673" s="193"/>
    </row>
    <row r="54674" spans="6:6" x14ac:dyDescent="0.3">
      <c r="F54674" s="193"/>
    </row>
    <row r="54675" spans="6:6" x14ac:dyDescent="0.3">
      <c r="F54675" s="193"/>
    </row>
    <row r="54676" spans="6:6" x14ac:dyDescent="0.3">
      <c r="F54676" s="193"/>
    </row>
    <row r="54677" spans="6:6" x14ac:dyDescent="0.3">
      <c r="F54677" s="193"/>
    </row>
    <row r="54678" spans="6:6" x14ac:dyDescent="0.3">
      <c r="F54678" s="193"/>
    </row>
    <row r="54679" spans="6:6" x14ac:dyDescent="0.3">
      <c r="F54679" s="193"/>
    </row>
    <row r="54680" spans="6:6" x14ac:dyDescent="0.3">
      <c r="F54680" s="193"/>
    </row>
    <row r="54681" spans="6:6" x14ac:dyDescent="0.3">
      <c r="F54681" s="193"/>
    </row>
    <row r="54682" spans="6:6" x14ac:dyDescent="0.3">
      <c r="F54682" s="193"/>
    </row>
    <row r="54683" spans="6:6" x14ac:dyDescent="0.3">
      <c r="F54683" s="193"/>
    </row>
    <row r="54684" spans="6:6" x14ac:dyDescent="0.3">
      <c r="F54684" s="193"/>
    </row>
    <row r="54685" spans="6:6" x14ac:dyDescent="0.3">
      <c r="F54685" s="193"/>
    </row>
    <row r="54686" spans="6:6" x14ac:dyDescent="0.3">
      <c r="F54686" s="193"/>
    </row>
    <row r="54687" spans="6:6" x14ac:dyDescent="0.3">
      <c r="F54687" s="193"/>
    </row>
    <row r="54688" spans="6:6" x14ac:dyDescent="0.3">
      <c r="F54688" s="193"/>
    </row>
    <row r="54689" spans="6:6" x14ac:dyDescent="0.3">
      <c r="F54689" s="193"/>
    </row>
    <row r="54690" spans="6:6" x14ac:dyDescent="0.3">
      <c r="F54690" s="193"/>
    </row>
    <row r="54691" spans="6:6" x14ac:dyDescent="0.3">
      <c r="F54691" s="193"/>
    </row>
    <row r="54692" spans="6:6" x14ac:dyDescent="0.3">
      <c r="F54692" s="193"/>
    </row>
    <row r="54693" spans="6:6" x14ac:dyDescent="0.3">
      <c r="F54693" s="193"/>
    </row>
    <row r="54694" spans="6:6" x14ac:dyDescent="0.3">
      <c r="F54694" s="193"/>
    </row>
    <row r="54695" spans="6:6" x14ac:dyDescent="0.3">
      <c r="F54695" s="193"/>
    </row>
    <row r="54696" spans="6:6" x14ac:dyDescent="0.3">
      <c r="F54696" s="193"/>
    </row>
    <row r="54697" spans="6:6" x14ac:dyDescent="0.3">
      <c r="F54697" s="193"/>
    </row>
    <row r="54698" spans="6:6" x14ac:dyDescent="0.3">
      <c r="F54698" s="193"/>
    </row>
    <row r="54699" spans="6:6" x14ac:dyDescent="0.3">
      <c r="F54699" s="193"/>
    </row>
    <row r="54700" spans="6:6" x14ac:dyDescent="0.3">
      <c r="F54700" s="193"/>
    </row>
    <row r="54701" spans="6:6" x14ac:dyDescent="0.3">
      <c r="F54701" s="193"/>
    </row>
    <row r="54702" spans="6:6" x14ac:dyDescent="0.3">
      <c r="F54702" s="193"/>
    </row>
    <row r="54703" spans="6:6" x14ac:dyDescent="0.3">
      <c r="F54703" s="193"/>
    </row>
    <row r="54704" spans="6:6" x14ac:dyDescent="0.3">
      <c r="F54704" s="193"/>
    </row>
    <row r="54705" spans="6:6" x14ac:dyDescent="0.3">
      <c r="F54705" s="193"/>
    </row>
    <row r="54706" spans="6:6" x14ac:dyDescent="0.3">
      <c r="F54706" s="193"/>
    </row>
    <row r="54707" spans="6:6" x14ac:dyDescent="0.3">
      <c r="F54707" s="193"/>
    </row>
    <row r="54708" spans="6:6" x14ac:dyDescent="0.3">
      <c r="F54708" s="193"/>
    </row>
    <row r="54709" spans="6:6" x14ac:dyDescent="0.3">
      <c r="F54709" s="193"/>
    </row>
    <row r="54710" spans="6:6" x14ac:dyDescent="0.3">
      <c r="F54710" s="193"/>
    </row>
    <row r="54711" spans="6:6" x14ac:dyDescent="0.3">
      <c r="F54711" s="193"/>
    </row>
    <row r="54712" spans="6:6" x14ac:dyDescent="0.3">
      <c r="F54712" s="193"/>
    </row>
    <row r="54713" spans="6:6" x14ac:dyDescent="0.3">
      <c r="F54713" s="193"/>
    </row>
    <row r="54714" spans="6:6" x14ac:dyDescent="0.3">
      <c r="F54714" s="193"/>
    </row>
    <row r="54715" spans="6:6" x14ac:dyDescent="0.3">
      <c r="F54715" s="193"/>
    </row>
    <row r="54716" spans="6:6" x14ac:dyDescent="0.3">
      <c r="F54716" s="193"/>
    </row>
    <row r="54717" spans="6:6" x14ac:dyDescent="0.3">
      <c r="F54717" s="193"/>
    </row>
    <row r="54718" spans="6:6" x14ac:dyDescent="0.3">
      <c r="F54718" s="193"/>
    </row>
    <row r="54719" spans="6:6" x14ac:dyDescent="0.3">
      <c r="F54719" s="193"/>
    </row>
    <row r="54720" spans="6:6" x14ac:dyDescent="0.3">
      <c r="F54720" s="193"/>
    </row>
    <row r="54721" spans="6:6" x14ac:dyDescent="0.3">
      <c r="F54721" s="193"/>
    </row>
    <row r="54722" spans="6:6" x14ac:dyDescent="0.3">
      <c r="F54722" s="193"/>
    </row>
    <row r="54723" spans="6:6" x14ac:dyDescent="0.3">
      <c r="F54723" s="193"/>
    </row>
    <row r="54724" spans="6:6" x14ac:dyDescent="0.3">
      <c r="F54724" s="193"/>
    </row>
    <row r="54725" spans="6:6" x14ac:dyDescent="0.3">
      <c r="F54725" s="193"/>
    </row>
    <row r="54726" spans="6:6" x14ac:dyDescent="0.3">
      <c r="F54726" s="193"/>
    </row>
    <row r="54727" spans="6:6" x14ac:dyDescent="0.3">
      <c r="F54727" s="193"/>
    </row>
    <row r="54728" spans="6:6" x14ac:dyDescent="0.3">
      <c r="F54728" s="193"/>
    </row>
    <row r="54729" spans="6:6" x14ac:dyDescent="0.3">
      <c r="F54729" s="193"/>
    </row>
    <row r="54730" spans="6:6" x14ac:dyDescent="0.3">
      <c r="F54730" s="193"/>
    </row>
    <row r="54731" spans="6:6" x14ac:dyDescent="0.3">
      <c r="F54731" s="193"/>
    </row>
    <row r="54732" spans="6:6" x14ac:dyDescent="0.3">
      <c r="F54732" s="193"/>
    </row>
    <row r="54733" spans="6:6" x14ac:dyDescent="0.3">
      <c r="F54733" s="193"/>
    </row>
    <row r="54734" spans="6:6" x14ac:dyDescent="0.3">
      <c r="F54734" s="193"/>
    </row>
    <row r="54735" spans="6:6" x14ac:dyDescent="0.3">
      <c r="F54735" s="193"/>
    </row>
    <row r="54736" spans="6:6" x14ac:dyDescent="0.3">
      <c r="F54736" s="193"/>
    </row>
    <row r="54737" spans="6:6" x14ac:dyDescent="0.3">
      <c r="F54737" s="193"/>
    </row>
    <row r="54738" spans="6:6" x14ac:dyDescent="0.3">
      <c r="F54738" s="193"/>
    </row>
    <row r="54739" spans="6:6" x14ac:dyDescent="0.3">
      <c r="F54739" s="193"/>
    </row>
    <row r="54740" spans="6:6" x14ac:dyDescent="0.3">
      <c r="F54740" s="193"/>
    </row>
    <row r="54741" spans="6:6" x14ac:dyDescent="0.3">
      <c r="F54741" s="193"/>
    </row>
    <row r="54742" spans="6:6" x14ac:dyDescent="0.3">
      <c r="F54742" s="193"/>
    </row>
    <row r="54743" spans="6:6" x14ac:dyDescent="0.3">
      <c r="F54743" s="193"/>
    </row>
    <row r="54744" spans="6:6" x14ac:dyDescent="0.3">
      <c r="F54744" s="193"/>
    </row>
    <row r="54745" spans="6:6" x14ac:dyDescent="0.3">
      <c r="F54745" s="193"/>
    </row>
    <row r="54746" spans="6:6" x14ac:dyDescent="0.3">
      <c r="F54746" s="193"/>
    </row>
    <row r="54747" spans="6:6" x14ac:dyDescent="0.3">
      <c r="F54747" s="193"/>
    </row>
    <row r="54748" spans="6:6" x14ac:dyDescent="0.3">
      <c r="F54748" s="193"/>
    </row>
    <row r="54749" spans="6:6" x14ac:dyDescent="0.3">
      <c r="F54749" s="193"/>
    </row>
    <row r="54750" spans="6:6" x14ac:dyDescent="0.3">
      <c r="F54750" s="193"/>
    </row>
    <row r="54751" spans="6:6" x14ac:dyDescent="0.3">
      <c r="F54751" s="193"/>
    </row>
    <row r="54752" spans="6:6" x14ac:dyDescent="0.3">
      <c r="F54752" s="193"/>
    </row>
    <row r="54753" spans="6:6" x14ac:dyDescent="0.3">
      <c r="F54753" s="193"/>
    </row>
    <row r="54754" spans="6:6" x14ac:dyDescent="0.3">
      <c r="F54754" s="193"/>
    </row>
    <row r="54755" spans="6:6" x14ac:dyDescent="0.3">
      <c r="F54755" s="193"/>
    </row>
    <row r="54756" spans="6:6" x14ac:dyDescent="0.3">
      <c r="F54756" s="193"/>
    </row>
    <row r="54757" spans="6:6" x14ac:dyDescent="0.3">
      <c r="F54757" s="193"/>
    </row>
    <row r="54758" spans="6:6" x14ac:dyDescent="0.3">
      <c r="F54758" s="193"/>
    </row>
    <row r="54759" spans="6:6" x14ac:dyDescent="0.3">
      <c r="F54759" s="193"/>
    </row>
    <row r="54760" spans="6:6" x14ac:dyDescent="0.3">
      <c r="F54760" s="193"/>
    </row>
    <row r="54761" spans="6:6" x14ac:dyDescent="0.3">
      <c r="F54761" s="193"/>
    </row>
    <row r="54762" spans="6:6" x14ac:dyDescent="0.3">
      <c r="F54762" s="193"/>
    </row>
    <row r="54763" spans="6:6" x14ac:dyDescent="0.3">
      <c r="F54763" s="193"/>
    </row>
    <row r="54764" spans="6:6" x14ac:dyDescent="0.3">
      <c r="F54764" s="193"/>
    </row>
    <row r="54765" spans="6:6" x14ac:dyDescent="0.3">
      <c r="F54765" s="193"/>
    </row>
    <row r="54766" spans="6:6" x14ac:dyDescent="0.3">
      <c r="F54766" s="193"/>
    </row>
    <row r="54767" spans="6:6" x14ac:dyDescent="0.3">
      <c r="F54767" s="193"/>
    </row>
    <row r="54768" spans="6:6" x14ac:dyDescent="0.3">
      <c r="F54768" s="193"/>
    </row>
    <row r="54769" spans="6:6" x14ac:dyDescent="0.3">
      <c r="F54769" s="193"/>
    </row>
    <row r="54770" spans="6:6" x14ac:dyDescent="0.3">
      <c r="F54770" s="193"/>
    </row>
    <row r="54771" spans="6:6" x14ac:dyDescent="0.3">
      <c r="F54771" s="193"/>
    </row>
    <row r="54772" spans="6:6" x14ac:dyDescent="0.3">
      <c r="F54772" s="193"/>
    </row>
    <row r="54773" spans="6:6" x14ac:dyDescent="0.3">
      <c r="F54773" s="193"/>
    </row>
    <row r="54774" spans="6:6" x14ac:dyDescent="0.3">
      <c r="F54774" s="193"/>
    </row>
    <row r="54775" spans="6:6" x14ac:dyDescent="0.3">
      <c r="F54775" s="193"/>
    </row>
    <row r="54776" spans="6:6" x14ac:dyDescent="0.3">
      <c r="F54776" s="193"/>
    </row>
    <row r="54777" spans="6:6" x14ac:dyDescent="0.3">
      <c r="F54777" s="193"/>
    </row>
    <row r="54778" spans="6:6" x14ac:dyDescent="0.3">
      <c r="F54778" s="193"/>
    </row>
    <row r="54779" spans="6:6" x14ac:dyDescent="0.3">
      <c r="F54779" s="193"/>
    </row>
    <row r="54780" spans="6:6" x14ac:dyDescent="0.3">
      <c r="F54780" s="193"/>
    </row>
    <row r="54781" spans="6:6" x14ac:dyDescent="0.3">
      <c r="F54781" s="193"/>
    </row>
    <row r="54782" spans="6:6" x14ac:dyDescent="0.3">
      <c r="F54782" s="193"/>
    </row>
    <row r="54783" spans="6:6" x14ac:dyDescent="0.3">
      <c r="F54783" s="193"/>
    </row>
    <row r="54784" spans="6:6" x14ac:dyDescent="0.3">
      <c r="F54784" s="193"/>
    </row>
    <row r="54785" spans="6:6" x14ac:dyDescent="0.3">
      <c r="F54785" s="193"/>
    </row>
    <row r="54786" spans="6:6" x14ac:dyDescent="0.3">
      <c r="F54786" s="193"/>
    </row>
    <row r="54787" spans="6:6" x14ac:dyDescent="0.3">
      <c r="F54787" s="193"/>
    </row>
    <row r="54788" spans="6:6" x14ac:dyDescent="0.3">
      <c r="F54788" s="193"/>
    </row>
    <row r="54789" spans="6:6" x14ac:dyDescent="0.3">
      <c r="F54789" s="193"/>
    </row>
    <row r="54790" spans="6:6" x14ac:dyDescent="0.3">
      <c r="F54790" s="193"/>
    </row>
    <row r="54791" spans="6:6" x14ac:dyDescent="0.3">
      <c r="F54791" s="193"/>
    </row>
    <row r="54792" spans="6:6" x14ac:dyDescent="0.3">
      <c r="F54792" s="193"/>
    </row>
    <row r="54793" spans="6:6" x14ac:dyDescent="0.3">
      <c r="F54793" s="193"/>
    </row>
    <row r="54794" spans="6:6" x14ac:dyDescent="0.3">
      <c r="F54794" s="193"/>
    </row>
    <row r="54795" spans="6:6" x14ac:dyDescent="0.3">
      <c r="F54795" s="193"/>
    </row>
    <row r="54796" spans="6:6" x14ac:dyDescent="0.3">
      <c r="F54796" s="193"/>
    </row>
    <row r="54797" spans="6:6" x14ac:dyDescent="0.3">
      <c r="F54797" s="193"/>
    </row>
    <row r="54798" spans="6:6" x14ac:dyDescent="0.3">
      <c r="F54798" s="193"/>
    </row>
    <row r="54799" spans="6:6" x14ac:dyDescent="0.3">
      <c r="F54799" s="193"/>
    </row>
    <row r="54800" spans="6:6" x14ac:dyDescent="0.3">
      <c r="F54800" s="193"/>
    </row>
    <row r="54801" spans="6:6" x14ac:dyDescent="0.3">
      <c r="F54801" s="193"/>
    </row>
    <row r="54802" spans="6:6" x14ac:dyDescent="0.3">
      <c r="F54802" s="193"/>
    </row>
    <row r="54803" spans="6:6" x14ac:dyDescent="0.3">
      <c r="F54803" s="193"/>
    </row>
    <row r="54804" spans="6:6" x14ac:dyDescent="0.3">
      <c r="F54804" s="193"/>
    </row>
    <row r="54805" spans="6:6" x14ac:dyDescent="0.3">
      <c r="F54805" s="193"/>
    </row>
    <row r="54806" spans="6:6" x14ac:dyDescent="0.3">
      <c r="F54806" s="193"/>
    </row>
    <row r="54807" spans="6:6" x14ac:dyDescent="0.3">
      <c r="F54807" s="193"/>
    </row>
    <row r="54808" spans="6:6" x14ac:dyDescent="0.3">
      <c r="F54808" s="193"/>
    </row>
    <row r="54809" spans="6:6" x14ac:dyDescent="0.3">
      <c r="F54809" s="193"/>
    </row>
    <row r="54810" spans="6:6" x14ac:dyDescent="0.3">
      <c r="F54810" s="193"/>
    </row>
    <row r="54811" spans="6:6" x14ac:dyDescent="0.3">
      <c r="F54811" s="193"/>
    </row>
    <row r="54812" spans="6:6" x14ac:dyDescent="0.3">
      <c r="F54812" s="193"/>
    </row>
    <row r="54813" spans="6:6" x14ac:dyDescent="0.3">
      <c r="F54813" s="193"/>
    </row>
    <row r="54814" spans="6:6" x14ac:dyDescent="0.3">
      <c r="F54814" s="193"/>
    </row>
    <row r="54815" spans="6:6" x14ac:dyDescent="0.3">
      <c r="F54815" s="193"/>
    </row>
    <row r="54816" spans="6:6" x14ac:dyDescent="0.3">
      <c r="F54816" s="193"/>
    </row>
    <row r="54817" spans="6:6" x14ac:dyDescent="0.3">
      <c r="F54817" s="193"/>
    </row>
    <row r="54818" spans="6:6" x14ac:dyDescent="0.3">
      <c r="F54818" s="193"/>
    </row>
    <row r="54819" spans="6:6" x14ac:dyDescent="0.3">
      <c r="F54819" s="193"/>
    </row>
    <row r="54820" spans="6:6" x14ac:dyDescent="0.3">
      <c r="F54820" s="193"/>
    </row>
    <row r="54821" spans="6:6" x14ac:dyDescent="0.3">
      <c r="F54821" s="193"/>
    </row>
    <row r="54822" spans="6:6" x14ac:dyDescent="0.3">
      <c r="F54822" s="193"/>
    </row>
    <row r="54823" spans="6:6" x14ac:dyDescent="0.3">
      <c r="F54823" s="193"/>
    </row>
    <row r="54824" spans="6:6" x14ac:dyDescent="0.3">
      <c r="F54824" s="193"/>
    </row>
    <row r="54825" spans="6:6" x14ac:dyDescent="0.3">
      <c r="F54825" s="193"/>
    </row>
    <row r="54826" spans="6:6" x14ac:dyDescent="0.3">
      <c r="F54826" s="193"/>
    </row>
    <row r="54827" spans="6:6" x14ac:dyDescent="0.3">
      <c r="F54827" s="193"/>
    </row>
    <row r="54828" spans="6:6" x14ac:dyDescent="0.3">
      <c r="F54828" s="193"/>
    </row>
    <row r="54829" spans="6:6" x14ac:dyDescent="0.3">
      <c r="F54829" s="193"/>
    </row>
    <row r="54830" spans="6:6" x14ac:dyDescent="0.3">
      <c r="F54830" s="193"/>
    </row>
    <row r="54831" spans="6:6" x14ac:dyDescent="0.3">
      <c r="F54831" s="193"/>
    </row>
    <row r="54832" spans="6:6" x14ac:dyDescent="0.3">
      <c r="F54832" s="193"/>
    </row>
    <row r="54833" spans="6:6" x14ac:dyDescent="0.3">
      <c r="F54833" s="193"/>
    </row>
    <row r="54834" spans="6:6" x14ac:dyDescent="0.3">
      <c r="F54834" s="193"/>
    </row>
    <row r="54835" spans="6:6" x14ac:dyDescent="0.3">
      <c r="F54835" s="193"/>
    </row>
    <row r="54836" spans="6:6" x14ac:dyDescent="0.3">
      <c r="F54836" s="193"/>
    </row>
    <row r="54837" spans="6:6" x14ac:dyDescent="0.3">
      <c r="F54837" s="193"/>
    </row>
    <row r="54838" spans="6:6" x14ac:dyDescent="0.3">
      <c r="F54838" s="193"/>
    </row>
    <row r="54839" spans="6:6" x14ac:dyDescent="0.3">
      <c r="F54839" s="193"/>
    </row>
    <row r="54840" spans="6:6" x14ac:dyDescent="0.3">
      <c r="F54840" s="193"/>
    </row>
    <row r="54841" spans="6:6" x14ac:dyDescent="0.3">
      <c r="F54841" s="193"/>
    </row>
    <row r="54842" spans="6:6" x14ac:dyDescent="0.3">
      <c r="F54842" s="193"/>
    </row>
    <row r="54843" spans="6:6" x14ac:dyDescent="0.3">
      <c r="F54843" s="193"/>
    </row>
    <row r="54844" spans="6:6" x14ac:dyDescent="0.3">
      <c r="F54844" s="193"/>
    </row>
    <row r="54845" spans="6:6" x14ac:dyDescent="0.3">
      <c r="F54845" s="193"/>
    </row>
    <row r="54846" spans="6:6" x14ac:dyDescent="0.3">
      <c r="F54846" s="193"/>
    </row>
    <row r="54847" spans="6:6" x14ac:dyDescent="0.3">
      <c r="F54847" s="193"/>
    </row>
    <row r="54848" spans="6:6" x14ac:dyDescent="0.3">
      <c r="F54848" s="193"/>
    </row>
    <row r="54849" spans="6:6" x14ac:dyDescent="0.3">
      <c r="F54849" s="193"/>
    </row>
    <row r="54850" spans="6:6" x14ac:dyDescent="0.3">
      <c r="F54850" s="193"/>
    </row>
    <row r="54851" spans="6:6" x14ac:dyDescent="0.3">
      <c r="F54851" s="193"/>
    </row>
    <row r="54852" spans="6:6" x14ac:dyDescent="0.3">
      <c r="F54852" s="193"/>
    </row>
    <row r="54853" spans="6:6" x14ac:dyDescent="0.3">
      <c r="F54853" s="193"/>
    </row>
    <row r="54854" spans="6:6" x14ac:dyDescent="0.3">
      <c r="F54854" s="193"/>
    </row>
    <row r="54855" spans="6:6" x14ac:dyDescent="0.3">
      <c r="F54855" s="193"/>
    </row>
    <row r="54856" spans="6:6" x14ac:dyDescent="0.3">
      <c r="F54856" s="193"/>
    </row>
    <row r="54857" spans="6:6" x14ac:dyDescent="0.3">
      <c r="F54857" s="193"/>
    </row>
    <row r="54858" spans="6:6" x14ac:dyDescent="0.3">
      <c r="F54858" s="193"/>
    </row>
    <row r="54859" spans="6:6" x14ac:dyDescent="0.3">
      <c r="F54859" s="193"/>
    </row>
    <row r="54860" spans="6:6" x14ac:dyDescent="0.3">
      <c r="F54860" s="193"/>
    </row>
    <row r="54861" spans="6:6" x14ac:dyDescent="0.3">
      <c r="F54861" s="193"/>
    </row>
    <row r="54862" spans="6:6" x14ac:dyDescent="0.3">
      <c r="F54862" s="193"/>
    </row>
    <row r="54863" spans="6:6" x14ac:dyDescent="0.3">
      <c r="F54863" s="193"/>
    </row>
    <row r="54864" spans="6:6" x14ac:dyDescent="0.3">
      <c r="F54864" s="193"/>
    </row>
    <row r="54865" spans="6:6" x14ac:dyDescent="0.3">
      <c r="F54865" s="193"/>
    </row>
    <row r="54866" spans="6:6" x14ac:dyDescent="0.3">
      <c r="F54866" s="193"/>
    </row>
    <row r="54867" spans="6:6" x14ac:dyDescent="0.3">
      <c r="F54867" s="193"/>
    </row>
    <row r="54868" spans="6:6" x14ac:dyDescent="0.3">
      <c r="F54868" s="193"/>
    </row>
    <row r="54869" spans="6:6" x14ac:dyDescent="0.3">
      <c r="F54869" s="193"/>
    </row>
    <row r="54870" spans="6:6" x14ac:dyDescent="0.3">
      <c r="F54870" s="193"/>
    </row>
    <row r="54871" spans="6:6" x14ac:dyDescent="0.3">
      <c r="F54871" s="193"/>
    </row>
    <row r="54872" spans="6:6" x14ac:dyDescent="0.3">
      <c r="F54872" s="193"/>
    </row>
    <row r="54873" spans="6:6" x14ac:dyDescent="0.3">
      <c r="F54873" s="193"/>
    </row>
    <row r="54874" spans="6:6" x14ac:dyDescent="0.3">
      <c r="F54874" s="193"/>
    </row>
    <row r="54875" spans="6:6" x14ac:dyDescent="0.3">
      <c r="F54875" s="193"/>
    </row>
    <row r="54876" spans="6:6" x14ac:dyDescent="0.3">
      <c r="F54876" s="193"/>
    </row>
    <row r="54877" spans="6:6" x14ac:dyDescent="0.3">
      <c r="F54877" s="193"/>
    </row>
    <row r="54878" spans="6:6" x14ac:dyDescent="0.3">
      <c r="F54878" s="193"/>
    </row>
    <row r="54879" spans="6:6" x14ac:dyDescent="0.3">
      <c r="F54879" s="193"/>
    </row>
    <row r="54880" spans="6:6" x14ac:dyDescent="0.3">
      <c r="F54880" s="193"/>
    </row>
    <row r="54881" spans="6:6" x14ac:dyDescent="0.3">
      <c r="F54881" s="193"/>
    </row>
    <row r="54882" spans="6:6" x14ac:dyDescent="0.3">
      <c r="F54882" s="193"/>
    </row>
    <row r="54883" spans="6:6" x14ac:dyDescent="0.3">
      <c r="F54883" s="193"/>
    </row>
    <row r="54884" spans="6:6" x14ac:dyDescent="0.3">
      <c r="F54884" s="193"/>
    </row>
    <row r="54885" spans="6:6" x14ac:dyDescent="0.3">
      <c r="F54885" s="193"/>
    </row>
    <row r="54886" spans="6:6" x14ac:dyDescent="0.3">
      <c r="F54886" s="193"/>
    </row>
    <row r="54887" spans="6:6" x14ac:dyDescent="0.3">
      <c r="F54887" s="193"/>
    </row>
    <row r="54888" spans="6:6" x14ac:dyDescent="0.3">
      <c r="F54888" s="193"/>
    </row>
    <row r="54889" spans="6:6" x14ac:dyDescent="0.3">
      <c r="F54889" s="193"/>
    </row>
    <row r="54890" spans="6:6" x14ac:dyDescent="0.3">
      <c r="F54890" s="193"/>
    </row>
    <row r="54891" spans="6:6" x14ac:dyDescent="0.3">
      <c r="F54891" s="193"/>
    </row>
    <row r="54892" spans="6:6" x14ac:dyDescent="0.3">
      <c r="F54892" s="193"/>
    </row>
    <row r="54893" spans="6:6" x14ac:dyDescent="0.3">
      <c r="F54893" s="193"/>
    </row>
    <row r="54894" spans="6:6" x14ac:dyDescent="0.3">
      <c r="F54894" s="193"/>
    </row>
    <row r="54895" spans="6:6" x14ac:dyDescent="0.3">
      <c r="F54895" s="193"/>
    </row>
    <row r="54896" spans="6:6" x14ac:dyDescent="0.3">
      <c r="F54896" s="193"/>
    </row>
    <row r="54897" spans="6:6" x14ac:dyDescent="0.3">
      <c r="F54897" s="193"/>
    </row>
    <row r="54898" spans="6:6" x14ac:dyDescent="0.3">
      <c r="F54898" s="193"/>
    </row>
    <row r="54899" spans="6:6" x14ac:dyDescent="0.3">
      <c r="F54899" s="193"/>
    </row>
    <row r="54900" spans="6:6" x14ac:dyDescent="0.3">
      <c r="F54900" s="193"/>
    </row>
    <row r="54901" spans="6:6" x14ac:dyDescent="0.3">
      <c r="F54901" s="193"/>
    </row>
    <row r="54902" spans="6:6" x14ac:dyDescent="0.3">
      <c r="F54902" s="193"/>
    </row>
    <row r="54903" spans="6:6" x14ac:dyDescent="0.3">
      <c r="F54903" s="193"/>
    </row>
    <row r="54904" spans="6:6" x14ac:dyDescent="0.3">
      <c r="F54904" s="193"/>
    </row>
    <row r="54905" spans="6:6" x14ac:dyDescent="0.3">
      <c r="F54905" s="193"/>
    </row>
    <row r="54906" spans="6:6" x14ac:dyDescent="0.3">
      <c r="F54906" s="193"/>
    </row>
    <row r="54907" spans="6:6" x14ac:dyDescent="0.3">
      <c r="F54907" s="193"/>
    </row>
    <row r="54908" spans="6:6" x14ac:dyDescent="0.3">
      <c r="F54908" s="193"/>
    </row>
    <row r="54909" spans="6:6" x14ac:dyDescent="0.3">
      <c r="F54909" s="193"/>
    </row>
    <row r="54910" spans="6:6" x14ac:dyDescent="0.3">
      <c r="F54910" s="193"/>
    </row>
    <row r="54911" spans="6:6" x14ac:dyDescent="0.3">
      <c r="F54911" s="193"/>
    </row>
    <row r="54912" spans="6:6" x14ac:dyDescent="0.3">
      <c r="F54912" s="193"/>
    </row>
    <row r="54913" spans="6:6" x14ac:dyDescent="0.3">
      <c r="F54913" s="193"/>
    </row>
    <row r="54914" spans="6:6" x14ac:dyDescent="0.3">
      <c r="F54914" s="193"/>
    </row>
    <row r="54915" spans="6:6" x14ac:dyDescent="0.3">
      <c r="F54915" s="193"/>
    </row>
    <row r="54916" spans="6:6" x14ac:dyDescent="0.3">
      <c r="F54916" s="193"/>
    </row>
    <row r="54917" spans="6:6" x14ac:dyDescent="0.3">
      <c r="F54917" s="193"/>
    </row>
    <row r="54918" spans="6:6" x14ac:dyDescent="0.3">
      <c r="F54918" s="193"/>
    </row>
    <row r="54919" spans="6:6" x14ac:dyDescent="0.3">
      <c r="F54919" s="193"/>
    </row>
    <row r="54920" spans="6:6" x14ac:dyDescent="0.3">
      <c r="F54920" s="193"/>
    </row>
    <row r="54921" spans="6:6" x14ac:dyDescent="0.3">
      <c r="F54921" s="193"/>
    </row>
    <row r="54922" spans="6:6" x14ac:dyDescent="0.3">
      <c r="F54922" s="193"/>
    </row>
    <row r="54923" spans="6:6" x14ac:dyDescent="0.3">
      <c r="F54923" s="193"/>
    </row>
    <row r="54924" spans="6:6" x14ac:dyDescent="0.3">
      <c r="F54924" s="193"/>
    </row>
    <row r="54925" spans="6:6" x14ac:dyDescent="0.3">
      <c r="F54925" s="193"/>
    </row>
    <row r="54926" spans="6:6" x14ac:dyDescent="0.3">
      <c r="F54926" s="193"/>
    </row>
    <row r="54927" spans="6:6" x14ac:dyDescent="0.3">
      <c r="F54927" s="193"/>
    </row>
    <row r="54928" spans="6:6" x14ac:dyDescent="0.3">
      <c r="F54928" s="193"/>
    </row>
    <row r="54929" spans="6:6" x14ac:dyDescent="0.3">
      <c r="F54929" s="193"/>
    </row>
    <row r="54930" spans="6:6" x14ac:dyDescent="0.3">
      <c r="F54930" s="193"/>
    </row>
    <row r="54931" spans="6:6" x14ac:dyDescent="0.3">
      <c r="F54931" s="193"/>
    </row>
    <row r="54932" spans="6:6" x14ac:dyDescent="0.3">
      <c r="F54932" s="193"/>
    </row>
    <row r="54933" spans="6:6" x14ac:dyDescent="0.3">
      <c r="F54933" s="193"/>
    </row>
    <row r="54934" spans="6:6" x14ac:dyDescent="0.3">
      <c r="F54934" s="193"/>
    </row>
    <row r="54935" spans="6:6" x14ac:dyDescent="0.3">
      <c r="F54935" s="193"/>
    </row>
    <row r="54936" spans="6:6" x14ac:dyDescent="0.3">
      <c r="F54936" s="193"/>
    </row>
    <row r="54937" spans="6:6" x14ac:dyDescent="0.3">
      <c r="F54937" s="193"/>
    </row>
    <row r="54938" spans="6:6" x14ac:dyDescent="0.3">
      <c r="F54938" s="193"/>
    </row>
    <row r="54939" spans="6:6" x14ac:dyDescent="0.3">
      <c r="F54939" s="193"/>
    </row>
    <row r="54940" spans="6:6" x14ac:dyDescent="0.3">
      <c r="F54940" s="193"/>
    </row>
    <row r="54941" spans="6:6" x14ac:dyDescent="0.3">
      <c r="F54941" s="193"/>
    </row>
    <row r="54942" spans="6:6" x14ac:dyDescent="0.3">
      <c r="F54942" s="193"/>
    </row>
    <row r="54943" spans="6:6" x14ac:dyDescent="0.3">
      <c r="F54943" s="193"/>
    </row>
    <row r="54944" spans="6:6" x14ac:dyDescent="0.3">
      <c r="F54944" s="193"/>
    </row>
    <row r="54945" spans="6:6" x14ac:dyDescent="0.3">
      <c r="F54945" s="193"/>
    </row>
    <row r="54946" spans="6:6" x14ac:dyDescent="0.3">
      <c r="F54946" s="193"/>
    </row>
    <row r="54947" spans="6:6" x14ac:dyDescent="0.3">
      <c r="F54947" s="193"/>
    </row>
    <row r="54948" spans="6:6" x14ac:dyDescent="0.3">
      <c r="F54948" s="193"/>
    </row>
    <row r="54949" spans="6:6" x14ac:dyDescent="0.3">
      <c r="F54949" s="193"/>
    </row>
    <row r="54950" spans="6:6" x14ac:dyDescent="0.3">
      <c r="F54950" s="193"/>
    </row>
    <row r="54951" spans="6:6" x14ac:dyDescent="0.3">
      <c r="F54951" s="193"/>
    </row>
    <row r="54952" spans="6:6" x14ac:dyDescent="0.3">
      <c r="F54952" s="193"/>
    </row>
    <row r="54953" spans="6:6" x14ac:dyDescent="0.3">
      <c r="F54953" s="193"/>
    </row>
    <row r="54954" spans="6:6" x14ac:dyDescent="0.3">
      <c r="F54954" s="193"/>
    </row>
    <row r="54955" spans="6:6" x14ac:dyDescent="0.3">
      <c r="F54955" s="193"/>
    </row>
    <row r="54956" spans="6:6" x14ac:dyDescent="0.3">
      <c r="F54956" s="193"/>
    </row>
    <row r="54957" spans="6:6" x14ac:dyDescent="0.3">
      <c r="F54957" s="193"/>
    </row>
    <row r="54958" spans="6:6" x14ac:dyDescent="0.3">
      <c r="F54958" s="193"/>
    </row>
    <row r="54959" spans="6:6" x14ac:dyDescent="0.3">
      <c r="F54959" s="193"/>
    </row>
    <row r="54960" spans="6:6" x14ac:dyDescent="0.3">
      <c r="F54960" s="193"/>
    </row>
    <row r="54961" spans="6:6" x14ac:dyDescent="0.3">
      <c r="F54961" s="193"/>
    </row>
    <row r="54962" spans="6:6" x14ac:dyDescent="0.3">
      <c r="F54962" s="193"/>
    </row>
    <row r="54963" spans="6:6" x14ac:dyDescent="0.3">
      <c r="F54963" s="193"/>
    </row>
    <row r="54964" spans="6:6" x14ac:dyDescent="0.3">
      <c r="F54964" s="193"/>
    </row>
    <row r="54965" spans="6:6" x14ac:dyDescent="0.3">
      <c r="F54965" s="193"/>
    </row>
    <row r="54966" spans="6:6" x14ac:dyDescent="0.3">
      <c r="F54966" s="193"/>
    </row>
    <row r="54967" spans="6:6" x14ac:dyDescent="0.3">
      <c r="F54967" s="193"/>
    </row>
    <row r="54968" spans="6:6" x14ac:dyDescent="0.3">
      <c r="F54968" s="193"/>
    </row>
    <row r="54969" spans="6:6" x14ac:dyDescent="0.3">
      <c r="F54969" s="193"/>
    </row>
    <row r="54970" spans="6:6" x14ac:dyDescent="0.3">
      <c r="F54970" s="193"/>
    </row>
    <row r="54971" spans="6:6" x14ac:dyDescent="0.3">
      <c r="F54971" s="193"/>
    </row>
    <row r="54972" spans="6:6" x14ac:dyDescent="0.3">
      <c r="F54972" s="193"/>
    </row>
    <row r="54973" spans="6:6" x14ac:dyDescent="0.3">
      <c r="F54973" s="193"/>
    </row>
    <row r="54974" spans="6:6" x14ac:dyDescent="0.3">
      <c r="F54974" s="193"/>
    </row>
    <row r="54975" spans="6:6" x14ac:dyDescent="0.3">
      <c r="F54975" s="193"/>
    </row>
    <row r="54976" spans="6:6" x14ac:dyDescent="0.3">
      <c r="F54976" s="193"/>
    </row>
    <row r="54977" spans="6:6" x14ac:dyDescent="0.3">
      <c r="F54977" s="193"/>
    </row>
    <row r="54978" spans="6:6" x14ac:dyDescent="0.3">
      <c r="F54978" s="193"/>
    </row>
    <row r="54979" spans="6:6" x14ac:dyDescent="0.3">
      <c r="F54979" s="193"/>
    </row>
    <row r="54980" spans="6:6" x14ac:dyDescent="0.3">
      <c r="F54980" s="193"/>
    </row>
    <row r="54981" spans="6:6" x14ac:dyDescent="0.3">
      <c r="F54981" s="193"/>
    </row>
    <row r="54982" spans="6:6" x14ac:dyDescent="0.3">
      <c r="F54982" s="193"/>
    </row>
    <row r="54983" spans="6:6" x14ac:dyDescent="0.3">
      <c r="F54983" s="193"/>
    </row>
    <row r="54984" spans="6:6" x14ac:dyDescent="0.3">
      <c r="F54984" s="193"/>
    </row>
    <row r="54985" spans="6:6" x14ac:dyDescent="0.3">
      <c r="F54985" s="193"/>
    </row>
    <row r="54986" spans="6:6" x14ac:dyDescent="0.3">
      <c r="F54986" s="193"/>
    </row>
    <row r="54987" spans="6:6" x14ac:dyDescent="0.3">
      <c r="F54987" s="193"/>
    </row>
    <row r="54988" spans="6:6" x14ac:dyDescent="0.3">
      <c r="F54988" s="193"/>
    </row>
    <row r="54989" spans="6:6" x14ac:dyDescent="0.3">
      <c r="F54989" s="193"/>
    </row>
    <row r="54990" spans="6:6" x14ac:dyDescent="0.3">
      <c r="F54990" s="193"/>
    </row>
    <row r="54991" spans="6:6" x14ac:dyDescent="0.3">
      <c r="F54991" s="193"/>
    </row>
    <row r="54992" spans="6:6" x14ac:dyDescent="0.3">
      <c r="F54992" s="193"/>
    </row>
    <row r="54993" spans="6:6" x14ac:dyDescent="0.3">
      <c r="F54993" s="193"/>
    </row>
    <row r="54994" spans="6:6" x14ac:dyDescent="0.3">
      <c r="F54994" s="193"/>
    </row>
    <row r="54995" spans="6:6" x14ac:dyDescent="0.3">
      <c r="F54995" s="193"/>
    </row>
    <row r="54996" spans="6:6" x14ac:dyDescent="0.3">
      <c r="F54996" s="193"/>
    </row>
    <row r="54997" spans="6:6" x14ac:dyDescent="0.3">
      <c r="F54997" s="193"/>
    </row>
    <row r="54998" spans="6:6" x14ac:dyDescent="0.3">
      <c r="F54998" s="193"/>
    </row>
    <row r="54999" spans="6:6" x14ac:dyDescent="0.3">
      <c r="F54999" s="193"/>
    </row>
    <row r="55000" spans="6:6" x14ac:dyDescent="0.3">
      <c r="F55000" s="193"/>
    </row>
    <row r="55001" spans="6:6" x14ac:dyDescent="0.3">
      <c r="F55001" s="193"/>
    </row>
    <row r="55002" spans="6:6" x14ac:dyDescent="0.3">
      <c r="F55002" s="193"/>
    </row>
    <row r="55003" spans="6:6" x14ac:dyDescent="0.3">
      <c r="F55003" s="193"/>
    </row>
    <row r="55004" spans="6:6" x14ac:dyDescent="0.3">
      <c r="F55004" s="193"/>
    </row>
    <row r="55005" spans="6:6" x14ac:dyDescent="0.3">
      <c r="F55005" s="193"/>
    </row>
    <row r="55006" spans="6:6" x14ac:dyDescent="0.3">
      <c r="F55006" s="193"/>
    </row>
    <row r="55007" spans="6:6" x14ac:dyDescent="0.3">
      <c r="F55007" s="193"/>
    </row>
    <row r="55008" spans="6:6" x14ac:dyDescent="0.3">
      <c r="F55008" s="193"/>
    </row>
    <row r="55009" spans="6:6" x14ac:dyDescent="0.3">
      <c r="F55009" s="193"/>
    </row>
    <row r="55010" spans="6:6" x14ac:dyDescent="0.3">
      <c r="F55010" s="193"/>
    </row>
    <row r="55011" spans="6:6" x14ac:dyDescent="0.3">
      <c r="F55011" s="193"/>
    </row>
    <row r="55012" spans="6:6" x14ac:dyDescent="0.3">
      <c r="F55012" s="193"/>
    </row>
    <row r="55013" spans="6:6" x14ac:dyDescent="0.3">
      <c r="F55013" s="193"/>
    </row>
    <row r="55014" spans="6:6" x14ac:dyDescent="0.3">
      <c r="F55014" s="193"/>
    </row>
    <row r="55015" spans="6:6" x14ac:dyDescent="0.3">
      <c r="F55015" s="193"/>
    </row>
    <row r="55016" spans="6:6" x14ac:dyDescent="0.3">
      <c r="F55016" s="193"/>
    </row>
    <row r="55017" spans="6:6" x14ac:dyDescent="0.3">
      <c r="F55017" s="193"/>
    </row>
    <row r="55018" spans="6:6" x14ac:dyDescent="0.3">
      <c r="F55018" s="193"/>
    </row>
    <row r="55019" spans="6:6" x14ac:dyDescent="0.3">
      <c r="F55019" s="193"/>
    </row>
    <row r="55020" spans="6:6" x14ac:dyDescent="0.3">
      <c r="F55020" s="193"/>
    </row>
    <row r="55021" spans="6:6" x14ac:dyDescent="0.3">
      <c r="F55021" s="193"/>
    </row>
    <row r="55022" spans="6:6" x14ac:dyDescent="0.3">
      <c r="F55022" s="193"/>
    </row>
    <row r="55023" spans="6:6" x14ac:dyDescent="0.3">
      <c r="F55023" s="193"/>
    </row>
    <row r="55024" spans="6:6" x14ac:dyDescent="0.3">
      <c r="F55024" s="193"/>
    </row>
    <row r="55025" spans="6:6" x14ac:dyDescent="0.3">
      <c r="F55025" s="193"/>
    </row>
    <row r="55026" spans="6:6" x14ac:dyDescent="0.3">
      <c r="F55026" s="193"/>
    </row>
    <row r="55027" spans="6:6" x14ac:dyDescent="0.3">
      <c r="F55027" s="193"/>
    </row>
    <row r="55028" spans="6:6" x14ac:dyDescent="0.3">
      <c r="F55028" s="193"/>
    </row>
    <row r="55029" spans="6:6" x14ac:dyDescent="0.3">
      <c r="F55029" s="193"/>
    </row>
    <row r="55030" spans="6:6" x14ac:dyDescent="0.3">
      <c r="F55030" s="193"/>
    </row>
    <row r="55031" spans="6:6" x14ac:dyDescent="0.3">
      <c r="F55031" s="193"/>
    </row>
    <row r="55032" spans="6:6" x14ac:dyDescent="0.3">
      <c r="F55032" s="193"/>
    </row>
    <row r="55033" spans="6:6" x14ac:dyDescent="0.3">
      <c r="F55033" s="193"/>
    </row>
    <row r="55034" spans="6:6" x14ac:dyDescent="0.3">
      <c r="F55034" s="193"/>
    </row>
    <row r="55035" spans="6:6" x14ac:dyDescent="0.3">
      <c r="F55035" s="193"/>
    </row>
    <row r="55036" spans="6:6" x14ac:dyDescent="0.3">
      <c r="F55036" s="193"/>
    </row>
    <row r="55037" spans="6:6" x14ac:dyDescent="0.3">
      <c r="F55037" s="193"/>
    </row>
    <row r="55038" spans="6:6" x14ac:dyDescent="0.3">
      <c r="F55038" s="193"/>
    </row>
    <row r="55039" spans="6:6" x14ac:dyDescent="0.3">
      <c r="F55039" s="193"/>
    </row>
    <row r="55040" spans="6:6" x14ac:dyDescent="0.3">
      <c r="F55040" s="193"/>
    </row>
    <row r="55041" spans="6:6" x14ac:dyDescent="0.3">
      <c r="F55041" s="193"/>
    </row>
    <row r="55042" spans="6:6" x14ac:dyDescent="0.3">
      <c r="F55042" s="193"/>
    </row>
    <row r="55043" spans="6:6" x14ac:dyDescent="0.3">
      <c r="F55043" s="193"/>
    </row>
    <row r="55044" spans="6:6" x14ac:dyDescent="0.3">
      <c r="F55044" s="193"/>
    </row>
    <row r="55045" spans="6:6" x14ac:dyDescent="0.3">
      <c r="F55045" s="193"/>
    </row>
    <row r="55046" spans="6:6" x14ac:dyDescent="0.3">
      <c r="F55046" s="193"/>
    </row>
    <row r="55047" spans="6:6" x14ac:dyDescent="0.3">
      <c r="F55047" s="193"/>
    </row>
    <row r="55048" spans="6:6" x14ac:dyDescent="0.3">
      <c r="F55048" s="193"/>
    </row>
    <row r="55049" spans="6:6" x14ac:dyDescent="0.3">
      <c r="F55049" s="193"/>
    </row>
    <row r="55050" spans="6:6" x14ac:dyDescent="0.3">
      <c r="F55050" s="193"/>
    </row>
    <row r="55051" spans="6:6" x14ac:dyDescent="0.3">
      <c r="F55051" s="193"/>
    </row>
    <row r="55052" spans="6:6" x14ac:dyDescent="0.3">
      <c r="F55052" s="193"/>
    </row>
    <row r="55053" spans="6:6" x14ac:dyDescent="0.3">
      <c r="F55053" s="193"/>
    </row>
    <row r="55054" spans="6:6" x14ac:dyDescent="0.3">
      <c r="F55054" s="193"/>
    </row>
    <row r="55055" spans="6:6" x14ac:dyDescent="0.3">
      <c r="F55055" s="193"/>
    </row>
    <row r="55056" spans="6:6" x14ac:dyDescent="0.3">
      <c r="F55056" s="193"/>
    </row>
    <row r="55057" spans="6:6" x14ac:dyDescent="0.3">
      <c r="F55057" s="193"/>
    </row>
    <row r="55058" spans="6:6" x14ac:dyDescent="0.3">
      <c r="F55058" s="193"/>
    </row>
    <row r="55059" spans="6:6" x14ac:dyDescent="0.3">
      <c r="F55059" s="193"/>
    </row>
    <row r="55060" spans="6:6" x14ac:dyDescent="0.3">
      <c r="F55060" s="193"/>
    </row>
    <row r="55061" spans="6:6" x14ac:dyDescent="0.3">
      <c r="F55061" s="193"/>
    </row>
    <row r="55062" spans="6:6" x14ac:dyDescent="0.3">
      <c r="F55062" s="193"/>
    </row>
    <row r="55063" spans="6:6" x14ac:dyDescent="0.3">
      <c r="F55063" s="193"/>
    </row>
    <row r="55064" spans="6:6" x14ac:dyDescent="0.3">
      <c r="F55064" s="193"/>
    </row>
    <row r="55065" spans="6:6" x14ac:dyDescent="0.3">
      <c r="F55065" s="193"/>
    </row>
    <row r="55066" spans="6:6" x14ac:dyDescent="0.3">
      <c r="F55066" s="193"/>
    </row>
    <row r="55067" spans="6:6" x14ac:dyDescent="0.3">
      <c r="F55067" s="193"/>
    </row>
    <row r="55068" spans="6:6" x14ac:dyDescent="0.3">
      <c r="F55068" s="193"/>
    </row>
    <row r="55069" spans="6:6" x14ac:dyDescent="0.3">
      <c r="F55069" s="193"/>
    </row>
    <row r="55070" spans="6:6" x14ac:dyDescent="0.3">
      <c r="F55070" s="193"/>
    </row>
    <row r="55071" spans="6:6" x14ac:dyDescent="0.3">
      <c r="F55071" s="193"/>
    </row>
    <row r="55072" spans="6:6" x14ac:dyDescent="0.3">
      <c r="F55072" s="193"/>
    </row>
    <row r="55073" spans="6:6" x14ac:dyDescent="0.3">
      <c r="F55073" s="193"/>
    </row>
    <row r="55074" spans="6:6" x14ac:dyDescent="0.3">
      <c r="F55074" s="193"/>
    </row>
    <row r="55075" spans="6:6" x14ac:dyDescent="0.3">
      <c r="F55075" s="193"/>
    </row>
    <row r="55076" spans="6:6" x14ac:dyDescent="0.3">
      <c r="F55076" s="193"/>
    </row>
    <row r="55077" spans="6:6" x14ac:dyDescent="0.3">
      <c r="F55077" s="193"/>
    </row>
    <row r="55078" spans="6:6" x14ac:dyDescent="0.3">
      <c r="F55078" s="193"/>
    </row>
    <row r="55079" spans="6:6" x14ac:dyDescent="0.3">
      <c r="F55079" s="193"/>
    </row>
    <row r="55080" spans="6:6" x14ac:dyDescent="0.3">
      <c r="F55080" s="193"/>
    </row>
    <row r="55081" spans="6:6" x14ac:dyDescent="0.3">
      <c r="F55081" s="193"/>
    </row>
    <row r="55082" spans="6:6" x14ac:dyDescent="0.3">
      <c r="F55082" s="193"/>
    </row>
    <row r="55083" spans="6:6" x14ac:dyDescent="0.3">
      <c r="F55083" s="193"/>
    </row>
    <row r="55084" spans="6:6" x14ac:dyDescent="0.3">
      <c r="F55084" s="193"/>
    </row>
    <row r="55085" spans="6:6" x14ac:dyDescent="0.3">
      <c r="F55085" s="193"/>
    </row>
    <row r="55086" spans="6:6" x14ac:dyDescent="0.3">
      <c r="F55086" s="193"/>
    </row>
    <row r="55087" spans="6:6" x14ac:dyDescent="0.3">
      <c r="F55087" s="193"/>
    </row>
    <row r="55088" spans="6:6" x14ac:dyDescent="0.3">
      <c r="F55088" s="193"/>
    </row>
    <row r="55089" spans="6:6" x14ac:dyDescent="0.3">
      <c r="F55089" s="193"/>
    </row>
    <row r="55090" spans="6:6" x14ac:dyDescent="0.3">
      <c r="F55090" s="193"/>
    </row>
    <row r="55091" spans="6:6" x14ac:dyDescent="0.3">
      <c r="F55091" s="193"/>
    </row>
    <row r="55092" spans="6:6" x14ac:dyDescent="0.3">
      <c r="F55092" s="193"/>
    </row>
    <row r="55093" spans="6:6" x14ac:dyDescent="0.3">
      <c r="F55093" s="193"/>
    </row>
    <row r="55094" spans="6:6" x14ac:dyDescent="0.3">
      <c r="F55094" s="193"/>
    </row>
    <row r="55095" spans="6:6" x14ac:dyDescent="0.3">
      <c r="F55095" s="193"/>
    </row>
    <row r="55096" spans="6:6" x14ac:dyDescent="0.3">
      <c r="F55096" s="193"/>
    </row>
    <row r="55097" spans="6:6" x14ac:dyDescent="0.3">
      <c r="F55097" s="193"/>
    </row>
    <row r="55098" spans="6:6" x14ac:dyDescent="0.3">
      <c r="F55098" s="193"/>
    </row>
    <row r="55099" spans="6:6" x14ac:dyDescent="0.3">
      <c r="F55099" s="193"/>
    </row>
    <row r="55100" spans="6:6" x14ac:dyDescent="0.3">
      <c r="F55100" s="193"/>
    </row>
    <row r="55101" spans="6:6" x14ac:dyDescent="0.3">
      <c r="F55101" s="193"/>
    </row>
    <row r="55102" spans="6:6" x14ac:dyDescent="0.3">
      <c r="F55102" s="193"/>
    </row>
    <row r="55103" spans="6:6" x14ac:dyDescent="0.3">
      <c r="F55103" s="193"/>
    </row>
    <row r="55104" spans="6:6" x14ac:dyDescent="0.3">
      <c r="F55104" s="193"/>
    </row>
    <row r="55105" spans="6:6" x14ac:dyDescent="0.3">
      <c r="F55105" s="193"/>
    </row>
    <row r="55106" spans="6:6" x14ac:dyDescent="0.3">
      <c r="F55106" s="193"/>
    </row>
    <row r="55107" spans="6:6" x14ac:dyDescent="0.3">
      <c r="F55107" s="193"/>
    </row>
    <row r="55108" spans="6:6" x14ac:dyDescent="0.3">
      <c r="F55108" s="193"/>
    </row>
    <row r="55109" spans="6:6" x14ac:dyDescent="0.3">
      <c r="F55109" s="193"/>
    </row>
    <row r="55110" spans="6:6" x14ac:dyDescent="0.3">
      <c r="F55110" s="193"/>
    </row>
    <row r="55111" spans="6:6" x14ac:dyDescent="0.3">
      <c r="F55111" s="193"/>
    </row>
    <row r="55112" spans="6:6" x14ac:dyDescent="0.3">
      <c r="F55112" s="193"/>
    </row>
    <row r="55113" spans="6:6" x14ac:dyDescent="0.3">
      <c r="F55113" s="193"/>
    </row>
    <row r="55114" spans="6:6" x14ac:dyDescent="0.3">
      <c r="F55114" s="193"/>
    </row>
    <row r="55115" spans="6:6" x14ac:dyDescent="0.3">
      <c r="F55115" s="193"/>
    </row>
    <row r="55116" spans="6:6" x14ac:dyDescent="0.3">
      <c r="F55116" s="193"/>
    </row>
    <row r="55117" spans="6:6" x14ac:dyDescent="0.3">
      <c r="F55117" s="193"/>
    </row>
    <row r="55118" spans="6:6" x14ac:dyDescent="0.3">
      <c r="F55118" s="193"/>
    </row>
    <row r="55119" spans="6:6" x14ac:dyDescent="0.3">
      <c r="F55119" s="193"/>
    </row>
    <row r="55120" spans="6:6" x14ac:dyDescent="0.3">
      <c r="F55120" s="193"/>
    </row>
    <row r="55121" spans="6:6" x14ac:dyDescent="0.3">
      <c r="F55121" s="193"/>
    </row>
    <row r="55122" spans="6:6" x14ac:dyDescent="0.3">
      <c r="F55122" s="193"/>
    </row>
    <row r="55123" spans="6:6" x14ac:dyDescent="0.3">
      <c r="F55123" s="193"/>
    </row>
    <row r="55124" spans="6:6" x14ac:dyDescent="0.3">
      <c r="F55124" s="193"/>
    </row>
    <row r="55125" spans="6:6" x14ac:dyDescent="0.3">
      <c r="F55125" s="193"/>
    </row>
    <row r="55126" spans="6:6" x14ac:dyDescent="0.3">
      <c r="F55126" s="193"/>
    </row>
    <row r="55127" spans="6:6" x14ac:dyDescent="0.3">
      <c r="F55127" s="193"/>
    </row>
    <row r="55128" spans="6:6" x14ac:dyDescent="0.3">
      <c r="F55128" s="193"/>
    </row>
    <row r="55129" spans="6:6" x14ac:dyDescent="0.3">
      <c r="F55129" s="193"/>
    </row>
    <row r="55130" spans="6:6" x14ac:dyDescent="0.3">
      <c r="F55130" s="193"/>
    </row>
    <row r="55131" spans="6:6" x14ac:dyDescent="0.3">
      <c r="F55131" s="193"/>
    </row>
    <row r="55132" spans="6:6" x14ac:dyDescent="0.3">
      <c r="F55132" s="193"/>
    </row>
    <row r="55133" spans="6:6" x14ac:dyDescent="0.3">
      <c r="F55133" s="193"/>
    </row>
    <row r="55134" spans="6:6" x14ac:dyDescent="0.3">
      <c r="F55134" s="193"/>
    </row>
    <row r="55135" spans="6:6" x14ac:dyDescent="0.3">
      <c r="F55135" s="193"/>
    </row>
    <row r="55136" spans="6:6" x14ac:dyDescent="0.3">
      <c r="F55136" s="193"/>
    </row>
    <row r="55137" spans="6:6" x14ac:dyDescent="0.3">
      <c r="F55137" s="193"/>
    </row>
    <row r="55138" spans="6:6" x14ac:dyDescent="0.3">
      <c r="F55138" s="193"/>
    </row>
    <row r="55139" spans="6:6" x14ac:dyDescent="0.3">
      <c r="F55139" s="193"/>
    </row>
    <row r="55140" spans="6:6" x14ac:dyDescent="0.3">
      <c r="F55140" s="193"/>
    </row>
    <row r="55141" spans="6:6" x14ac:dyDescent="0.3">
      <c r="F55141" s="193"/>
    </row>
    <row r="55142" spans="6:6" x14ac:dyDescent="0.3">
      <c r="F55142" s="193"/>
    </row>
    <row r="55143" spans="6:6" x14ac:dyDescent="0.3">
      <c r="F55143" s="193"/>
    </row>
    <row r="55144" spans="6:6" x14ac:dyDescent="0.3">
      <c r="F55144" s="193"/>
    </row>
    <row r="55145" spans="6:6" x14ac:dyDescent="0.3">
      <c r="F55145" s="193"/>
    </row>
    <row r="55146" spans="6:6" x14ac:dyDescent="0.3">
      <c r="F55146" s="193"/>
    </row>
    <row r="55147" spans="6:6" x14ac:dyDescent="0.3">
      <c r="F55147" s="193"/>
    </row>
    <row r="55148" spans="6:6" x14ac:dyDescent="0.3">
      <c r="F55148" s="193"/>
    </row>
    <row r="55149" spans="6:6" x14ac:dyDescent="0.3">
      <c r="F55149" s="193"/>
    </row>
    <row r="55150" spans="6:6" x14ac:dyDescent="0.3">
      <c r="F55150" s="193"/>
    </row>
    <row r="55151" spans="6:6" x14ac:dyDescent="0.3">
      <c r="F55151" s="193"/>
    </row>
    <row r="55152" spans="6:6" x14ac:dyDescent="0.3">
      <c r="F55152" s="193"/>
    </row>
    <row r="55153" spans="6:6" x14ac:dyDescent="0.3">
      <c r="F55153" s="193"/>
    </row>
    <row r="55154" spans="6:6" x14ac:dyDescent="0.3">
      <c r="F55154" s="193"/>
    </row>
    <row r="55155" spans="6:6" x14ac:dyDescent="0.3">
      <c r="F55155" s="193"/>
    </row>
    <row r="55156" spans="6:6" x14ac:dyDescent="0.3">
      <c r="F55156" s="193"/>
    </row>
    <row r="55157" spans="6:6" x14ac:dyDescent="0.3">
      <c r="F55157" s="193"/>
    </row>
    <row r="55158" spans="6:6" x14ac:dyDescent="0.3">
      <c r="F55158" s="193"/>
    </row>
    <row r="55159" spans="6:6" x14ac:dyDescent="0.3">
      <c r="F55159" s="193"/>
    </row>
    <row r="55160" spans="6:6" x14ac:dyDescent="0.3">
      <c r="F55160" s="193"/>
    </row>
    <row r="55161" spans="6:6" x14ac:dyDescent="0.3">
      <c r="F55161" s="193"/>
    </row>
    <row r="55162" spans="6:6" x14ac:dyDescent="0.3">
      <c r="F55162" s="193"/>
    </row>
    <row r="55163" spans="6:6" x14ac:dyDescent="0.3">
      <c r="F55163" s="193"/>
    </row>
    <row r="55164" spans="6:6" x14ac:dyDescent="0.3">
      <c r="F55164" s="193"/>
    </row>
    <row r="55165" spans="6:6" x14ac:dyDescent="0.3">
      <c r="F55165" s="193"/>
    </row>
    <row r="55166" spans="6:6" x14ac:dyDescent="0.3">
      <c r="F55166" s="193"/>
    </row>
    <row r="55167" spans="6:6" x14ac:dyDescent="0.3">
      <c r="F55167" s="193"/>
    </row>
    <row r="55168" spans="6:6" x14ac:dyDescent="0.3">
      <c r="F55168" s="193"/>
    </row>
    <row r="55169" spans="6:6" x14ac:dyDescent="0.3">
      <c r="F55169" s="193"/>
    </row>
    <row r="55170" spans="6:6" x14ac:dyDescent="0.3">
      <c r="F55170" s="193"/>
    </row>
    <row r="55171" spans="6:6" x14ac:dyDescent="0.3">
      <c r="F55171" s="193"/>
    </row>
    <row r="55172" spans="6:6" x14ac:dyDescent="0.3">
      <c r="F55172" s="193"/>
    </row>
    <row r="55173" spans="6:6" x14ac:dyDescent="0.3">
      <c r="F55173" s="193"/>
    </row>
    <row r="55174" spans="6:6" x14ac:dyDescent="0.3">
      <c r="F55174" s="193"/>
    </row>
    <row r="55175" spans="6:6" x14ac:dyDescent="0.3">
      <c r="F55175" s="193"/>
    </row>
    <row r="55176" spans="6:6" x14ac:dyDescent="0.3">
      <c r="F55176" s="193"/>
    </row>
    <row r="55177" spans="6:6" x14ac:dyDescent="0.3">
      <c r="F55177" s="193"/>
    </row>
    <row r="55178" spans="6:6" x14ac:dyDescent="0.3">
      <c r="F55178" s="193"/>
    </row>
    <row r="55179" spans="6:6" x14ac:dyDescent="0.3">
      <c r="F55179" s="193"/>
    </row>
    <row r="55180" spans="6:6" x14ac:dyDescent="0.3">
      <c r="F55180" s="193"/>
    </row>
    <row r="55181" spans="6:6" x14ac:dyDescent="0.3">
      <c r="F55181" s="193"/>
    </row>
    <row r="55182" spans="6:6" x14ac:dyDescent="0.3">
      <c r="F55182" s="193"/>
    </row>
    <row r="55183" spans="6:6" x14ac:dyDescent="0.3">
      <c r="F55183" s="193"/>
    </row>
    <row r="55184" spans="6:6" x14ac:dyDescent="0.3">
      <c r="F55184" s="193"/>
    </row>
    <row r="55185" spans="6:6" x14ac:dyDescent="0.3">
      <c r="F55185" s="193"/>
    </row>
    <row r="55186" spans="6:6" x14ac:dyDescent="0.3">
      <c r="F55186" s="193"/>
    </row>
    <row r="55187" spans="6:6" x14ac:dyDescent="0.3">
      <c r="F55187" s="193"/>
    </row>
    <row r="55188" spans="6:6" x14ac:dyDescent="0.3">
      <c r="F55188" s="193"/>
    </row>
    <row r="55189" spans="6:6" x14ac:dyDescent="0.3">
      <c r="F55189" s="193"/>
    </row>
    <row r="55190" spans="6:6" x14ac:dyDescent="0.3">
      <c r="F55190" s="193"/>
    </row>
    <row r="55191" spans="6:6" x14ac:dyDescent="0.3">
      <c r="F55191" s="193"/>
    </row>
    <row r="55192" spans="6:6" x14ac:dyDescent="0.3">
      <c r="F55192" s="193"/>
    </row>
    <row r="55193" spans="6:6" x14ac:dyDescent="0.3">
      <c r="F55193" s="193"/>
    </row>
    <row r="55194" spans="6:6" x14ac:dyDescent="0.3">
      <c r="F55194" s="193"/>
    </row>
    <row r="55195" spans="6:6" x14ac:dyDescent="0.3">
      <c r="F55195" s="193"/>
    </row>
    <row r="55196" spans="6:6" x14ac:dyDescent="0.3">
      <c r="F55196" s="193"/>
    </row>
    <row r="55197" spans="6:6" x14ac:dyDescent="0.3">
      <c r="F55197" s="193"/>
    </row>
    <row r="55198" spans="6:6" x14ac:dyDescent="0.3">
      <c r="F55198" s="193"/>
    </row>
    <row r="55199" spans="6:6" x14ac:dyDescent="0.3">
      <c r="F55199" s="193"/>
    </row>
    <row r="55200" spans="6:6" x14ac:dyDescent="0.3">
      <c r="F55200" s="193"/>
    </row>
    <row r="55201" spans="6:6" x14ac:dyDescent="0.3">
      <c r="F55201" s="193"/>
    </row>
    <row r="55202" spans="6:6" x14ac:dyDescent="0.3">
      <c r="F55202" s="193"/>
    </row>
    <row r="55203" spans="6:6" x14ac:dyDescent="0.3">
      <c r="F55203" s="193"/>
    </row>
    <row r="55204" spans="6:6" x14ac:dyDescent="0.3">
      <c r="F55204" s="193"/>
    </row>
    <row r="55205" spans="6:6" x14ac:dyDescent="0.3">
      <c r="F55205" s="193"/>
    </row>
    <row r="55206" spans="6:6" x14ac:dyDescent="0.3">
      <c r="F55206" s="193"/>
    </row>
    <row r="55207" spans="6:6" x14ac:dyDescent="0.3">
      <c r="F55207" s="193"/>
    </row>
    <row r="55208" spans="6:6" x14ac:dyDescent="0.3">
      <c r="F55208" s="193"/>
    </row>
    <row r="55209" spans="6:6" x14ac:dyDescent="0.3">
      <c r="F55209" s="193"/>
    </row>
    <row r="55210" spans="6:6" x14ac:dyDescent="0.3">
      <c r="F55210" s="193"/>
    </row>
    <row r="55211" spans="6:6" x14ac:dyDescent="0.3">
      <c r="F55211" s="193"/>
    </row>
    <row r="55212" spans="6:6" x14ac:dyDescent="0.3">
      <c r="F55212" s="193"/>
    </row>
    <row r="55213" spans="6:6" x14ac:dyDescent="0.3">
      <c r="F55213" s="193"/>
    </row>
    <row r="55214" spans="6:6" x14ac:dyDescent="0.3">
      <c r="F55214" s="193"/>
    </row>
    <row r="55215" spans="6:6" x14ac:dyDescent="0.3">
      <c r="F55215" s="193"/>
    </row>
    <row r="55216" spans="6:6" x14ac:dyDescent="0.3">
      <c r="F55216" s="193"/>
    </row>
    <row r="55217" spans="6:6" x14ac:dyDescent="0.3">
      <c r="F55217" s="193"/>
    </row>
    <row r="55218" spans="6:6" x14ac:dyDescent="0.3">
      <c r="F55218" s="193"/>
    </row>
    <row r="55219" spans="6:6" x14ac:dyDescent="0.3">
      <c r="F55219" s="193"/>
    </row>
    <row r="55220" spans="6:6" x14ac:dyDescent="0.3">
      <c r="F55220" s="193"/>
    </row>
    <row r="55221" spans="6:6" x14ac:dyDescent="0.3">
      <c r="F55221" s="193"/>
    </row>
    <row r="55222" spans="6:6" x14ac:dyDescent="0.3">
      <c r="F55222" s="193"/>
    </row>
    <row r="55223" spans="6:6" x14ac:dyDescent="0.3">
      <c r="F55223" s="193"/>
    </row>
    <row r="55224" spans="6:6" x14ac:dyDescent="0.3">
      <c r="F55224" s="193"/>
    </row>
    <row r="55225" spans="6:6" x14ac:dyDescent="0.3">
      <c r="F55225" s="193"/>
    </row>
    <row r="55226" spans="6:6" x14ac:dyDescent="0.3">
      <c r="F55226" s="193"/>
    </row>
    <row r="55227" spans="6:6" x14ac:dyDescent="0.3">
      <c r="F55227" s="193"/>
    </row>
    <row r="55228" spans="6:6" x14ac:dyDescent="0.3">
      <c r="F55228" s="193"/>
    </row>
    <row r="55229" spans="6:6" x14ac:dyDescent="0.3">
      <c r="F55229" s="193"/>
    </row>
    <row r="55230" spans="6:6" x14ac:dyDescent="0.3">
      <c r="F55230" s="193"/>
    </row>
    <row r="55231" spans="6:6" x14ac:dyDescent="0.3">
      <c r="F55231" s="193"/>
    </row>
    <row r="55232" spans="6:6" x14ac:dyDescent="0.3">
      <c r="F55232" s="193"/>
    </row>
    <row r="55233" spans="6:6" x14ac:dyDescent="0.3">
      <c r="F55233" s="193"/>
    </row>
    <row r="55234" spans="6:6" x14ac:dyDescent="0.3">
      <c r="F55234" s="193"/>
    </row>
    <row r="55235" spans="6:6" x14ac:dyDescent="0.3">
      <c r="F55235" s="193"/>
    </row>
    <row r="55236" spans="6:6" x14ac:dyDescent="0.3">
      <c r="F55236" s="193"/>
    </row>
    <row r="55237" spans="6:6" x14ac:dyDescent="0.3">
      <c r="F55237" s="193"/>
    </row>
    <row r="55238" spans="6:6" x14ac:dyDescent="0.3">
      <c r="F55238" s="193"/>
    </row>
    <row r="55239" spans="6:6" x14ac:dyDescent="0.3">
      <c r="F55239" s="193"/>
    </row>
    <row r="55240" spans="6:6" x14ac:dyDescent="0.3">
      <c r="F55240" s="193"/>
    </row>
    <row r="55241" spans="6:6" x14ac:dyDescent="0.3">
      <c r="F55241" s="193"/>
    </row>
    <row r="55242" spans="6:6" x14ac:dyDescent="0.3">
      <c r="F55242" s="193"/>
    </row>
    <row r="55243" spans="6:6" x14ac:dyDescent="0.3">
      <c r="F55243" s="193"/>
    </row>
    <row r="55244" spans="6:6" x14ac:dyDescent="0.3">
      <c r="F55244" s="193"/>
    </row>
    <row r="55245" spans="6:6" x14ac:dyDescent="0.3">
      <c r="F55245" s="193"/>
    </row>
    <row r="55246" spans="6:6" x14ac:dyDescent="0.3">
      <c r="F55246" s="193"/>
    </row>
    <row r="55247" spans="6:6" x14ac:dyDescent="0.3">
      <c r="F55247" s="193"/>
    </row>
    <row r="55248" spans="6:6" x14ac:dyDescent="0.3">
      <c r="F55248" s="193"/>
    </row>
    <row r="55249" spans="6:6" x14ac:dyDescent="0.3">
      <c r="F55249" s="193"/>
    </row>
    <row r="55250" spans="6:6" x14ac:dyDescent="0.3">
      <c r="F55250" s="193"/>
    </row>
    <row r="55251" spans="6:6" x14ac:dyDescent="0.3">
      <c r="F55251" s="193"/>
    </row>
    <row r="55252" spans="6:6" x14ac:dyDescent="0.3">
      <c r="F55252" s="193"/>
    </row>
    <row r="55253" spans="6:6" x14ac:dyDescent="0.3">
      <c r="F55253" s="193"/>
    </row>
    <row r="55254" spans="6:6" x14ac:dyDescent="0.3">
      <c r="F55254" s="193"/>
    </row>
    <row r="55255" spans="6:6" x14ac:dyDescent="0.3">
      <c r="F55255" s="193"/>
    </row>
    <row r="55256" spans="6:6" x14ac:dyDescent="0.3">
      <c r="F55256" s="193"/>
    </row>
    <row r="55257" spans="6:6" x14ac:dyDescent="0.3">
      <c r="F55257" s="193"/>
    </row>
    <row r="55258" spans="6:6" x14ac:dyDescent="0.3">
      <c r="F55258" s="193"/>
    </row>
    <row r="55259" spans="6:6" x14ac:dyDescent="0.3">
      <c r="F55259" s="193"/>
    </row>
    <row r="55260" spans="6:6" x14ac:dyDescent="0.3">
      <c r="F55260" s="193"/>
    </row>
    <row r="55261" spans="6:6" x14ac:dyDescent="0.3">
      <c r="F55261" s="193"/>
    </row>
    <row r="55262" spans="6:6" x14ac:dyDescent="0.3">
      <c r="F55262" s="193"/>
    </row>
    <row r="55263" spans="6:6" x14ac:dyDescent="0.3">
      <c r="F55263" s="193"/>
    </row>
    <row r="55264" spans="6:6" x14ac:dyDescent="0.3">
      <c r="F55264" s="193"/>
    </row>
    <row r="55265" spans="6:6" x14ac:dyDescent="0.3">
      <c r="F55265" s="193"/>
    </row>
    <row r="55266" spans="6:6" x14ac:dyDescent="0.3">
      <c r="F55266" s="193"/>
    </row>
    <row r="55267" spans="6:6" x14ac:dyDescent="0.3">
      <c r="F55267" s="193"/>
    </row>
    <row r="55268" spans="6:6" x14ac:dyDescent="0.3">
      <c r="F55268" s="193"/>
    </row>
    <row r="55269" spans="6:6" x14ac:dyDescent="0.3">
      <c r="F55269" s="193"/>
    </row>
    <row r="55270" spans="6:6" x14ac:dyDescent="0.3">
      <c r="F55270" s="193"/>
    </row>
    <row r="55271" spans="6:6" x14ac:dyDescent="0.3">
      <c r="F55271" s="193"/>
    </row>
    <row r="55272" spans="6:6" x14ac:dyDescent="0.3">
      <c r="F55272" s="193"/>
    </row>
    <row r="55273" spans="6:6" x14ac:dyDescent="0.3">
      <c r="F55273" s="193"/>
    </row>
    <row r="55274" spans="6:6" x14ac:dyDescent="0.3">
      <c r="F55274" s="193"/>
    </row>
    <row r="55275" spans="6:6" x14ac:dyDescent="0.3">
      <c r="F55275" s="193"/>
    </row>
    <row r="55276" spans="6:6" x14ac:dyDescent="0.3">
      <c r="F55276" s="193"/>
    </row>
    <row r="55277" spans="6:6" x14ac:dyDescent="0.3">
      <c r="F55277" s="193"/>
    </row>
    <row r="55278" spans="6:6" x14ac:dyDescent="0.3">
      <c r="F55278" s="193"/>
    </row>
    <row r="55279" spans="6:6" x14ac:dyDescent="0.3">
      <c r="F55279" s="193"/>
    </row>
    <row r="55280" spans="6:6" x14ac:dyDescent="0.3">
      <c r="F55280" s="193"/>
    </row>
    <row r="55281" spans="6:6" x14ac:dyDescent="0.3">
      <c r="F55281" s="193"/>
    </row>
    <row r="55282" spans="6:6" x14ac:dyDescent="0.3">
      <c r="F55282" s="193"/>
    </row>
    <row r="55283" spans="6:6" x14ac:dyDescent="0.3">
      <c r="F55283" s="193"/>
    </row>
    <row r="55284" spans="6:6" x14ac:dyDescent="0.3">
      <c r="F55284" s="193"/>
    </row>
    <row r="55285" spans="6:6" x14ac:dyDescent="0.3">
      <c r="F55285" s="193"/>
    </row>
    <row r="55286" spans="6:6" x14ac:dyDescent="0.3">
      <c r="F55286" s="193"/>
    </row>
    <row r="55287" spans="6:6" x14ac:dyDescent="0.3">
      <c r="F55287" s="193"/>
    </row>
    <row r="55288" spans="6:6" x14ac:dyDescent="0.3">
      <c r="F55288" s="193"/>
    </row>
    <row r="55289" spans="6:6" x14ac:dyDescent="0.3">
      <c r="F55289" s="193"/>
    </row>
    <row r="55290" spans="6:6" x14ac:dyDescent="0.3">
      <c r="F55290" s="193"/>
    </row>
    <row r="55291" spans="6:6" x14ac:dyDescent="0.3">
      <c r="F55291" s="193"/>
    </row>
    <row r="55292" spans="6:6" x14ac:dyDescent="0.3">
      <c r="F55292" s="193"/>
    </row>
    <row r="55293" spans="6:6" x14ac:dyDescent="0.3">
      <c r="F55293" s="193"/>
    </row>
    <row r="55294" spans="6:6" x14ac:dyDescent="0.3">
      <c r="F55294" s="193"/>
    </row>
    <row r="55295" spans="6:6" x14ac:dyDescent="0.3">
      <c r="F55295" s="193"/>
    </row>
    <row r="55296" spans="6:6" x14ac:dyDescent="0.3">
      <c r="F55296" s="193"/>
    </row>
    <row r="55297" spans="6:6" x14ac:dyDescent="0.3">
      <c r="F55297" s="193"/>
    </row>
    <row r="55298" spans="6:6" x14ac:dyDescent="0.3">
      <c r="F55298" s="193"/>
    </row>
    <row r="55299" spans="6:6" x14ac:dyDescent="0.3">
      <c r="F55299" s="193"/>
    </row>
    <row r="55300" spans="6:6" x14ac:dyDescent="0.3">
      <c r="F55300" s="193"/>
    </row>
    <row r="55301" spans="6:6" x14ac:dyDescent="0.3">
      <c r="F55301" s="193"/>
    </row>
    <row r="55302" spans="6:6" x14ac:dyDescent="0.3">
      <c r="F55302" s="193"/>
    </row>
    <row r="55303" spans="6:6" x14ac:dyDescent="0.3">
      <c r="F55303" s="193"/>
    </row>
    <row r="55304" spans="6:6" x14ac:dyDescent="0.3">
      <c r="F55304" s="193"/>
    </row>
    <row r="55305" spans="6:6" x14ac:dyDescent="0.3">
      <c r="F55305" s="193"/>
    </row>
    <row r="55306" spans="6:6" x14ac:dyDescent="0.3">
      <c r="F55306" s="193"/>
    </row>
    <row r="55307" spans="6:6" x14ac:dyDescent="0.3">
      <c r="F55307" s="193"/>
    </row>
    <row r="55308" spans="6:6" x14ac:dyDescent="0.3">
      <c r="F55308" s="193"/>
    </row>
    <row r="55309" spans="6:6" x14ac:dyDescent="0.3">
      <c r="F55309" s="193"/>
    </row>
    <row r="55310" spans="6:6" x14ac:dyDescent="0.3">
      <c r="F55310" s="193"/>
    </row>
    <row r="55311" spans="6:6" x14ac:dyDescent="0.3">
      <c r="F55311" s="193"/>
    </row>
    <row r="55312" spans="6:6" x14ac:dyDescent="0.3">
      <c r="F55312" s="193"/>
    </row>
    <row r="55313" spans="6:6" x14ac:dyDescent="0.3">
      <c r="F55313" s="193"/>
    </row>
    <row r="55314" spans="6:6" x14ac:dyDescent="0.3">
      <c r="F55314" s="193"/>
    </row>
    <row r="55315" spans="6:6" x14ac:dyDescent="0.3">
      <c r="F55315" s="193"/>
    </row>
    <row r="55316" spans="6:6" x14ac:dyDescent="0.3">
      <c r="F55316" s="193"/>
    </row>
    <row r="55317" spans="6:6" x14ac:dyDescent="0.3">
      <c r="F55317" s="193"/>
    </row>
    <row r="55318" spans="6:6" x14ac:dyDescent="0.3">
      <c r="F55318" s="193"/>
    </row>
    <row r="55319" spans="6:6" x14ac:dyDescent="0.3">
      <c r="F55319" s="193"/>
    </row>
    <row r="55320" spans="6:6" x14ac:dyDescent="0.3">
      <c r="F55320" s="193"/>
    </row>
    <row r="55321" spans="6:6" x14ac:dyDescent="0.3">
      <c r="F55321" s="193"/>
    </row>
    <row r="55322" spans="6:6" x14ac:dyDescent="0.3">
      <c r="F55322" s="193"/>
    </row>
    <row r="55323" spans="6:6" x14ac:dyDescent="0.3">
      <c r="F55323" s="193"/>
    </row>
    <row r="55324" spans="6:6" x14ac:dyDescent="0.3">
      <c r="F55324" s="193"/>
    </row>
    <row r="55325" spans="6:6" x14ac:dyDescent="0.3">
      <c r="F55325" s="193"/>
    </row>
    <row r="55326" spans="6:6" x14ac:dyDescent="0.3">
      <c r="F55326" s="193"/>
    </row>
    <row r="55327" spans="6:6" x14ac:dyDescent="0.3">
      <c r="F55327" s="193"/>
    </row>
    <row r="55328" spans="6:6" x14ac:dyDescent="0.3">
      <c r="F55328" s="193"/>
    </row>
    <row r="55329" spans="6:6" x14ac:dyDescent="0.3">
      <c r="F55329" s="193"/>
    </row>
    <row r="55330" spans="6:6" x14ac:dyDescent="0.3">
      <c r="F55330" s="193"/>
    </row>
    <row r="55331" spans="6:6" x14ac:dyDescent="0.3">
      <c r="F55331" s="193"/>
    </row>
    <row r="55332" spans="6:6" x14ac:dyDescent="0.3">
      <c r="F55332" s="193"/>
    </row>
    <row r="55333" spans="6:6" x14ac:dyDescent="0.3">
      <c r="F55333" s="193"/>
    </row>
    <row r="55334" spans="6:6" x14ac:dyDescent="0.3">
      <c r="F55334" s="193"/>
    </row>
    <row r="55335" spans="6:6" x14ac:dyDescent="0.3">
      <c r="F55335" s="193"/>
    </row>
    <row r="55336" spans="6:6" x14ac:dyDescent="0.3">
      <c r="F55336" s="193"/>
    </row>
    <row r="55337" spans="6:6" x14ac:dyDescent="0.3">
      <c r="F55337" s="193"/>
    </row>
    <row r="55338" spans="6:6" x14ac:dyDescent="0.3">
      <c r="F55338" s="193"/>
    </row>
    <row r="55339" spans="6:6" x14ac:dyDescent="0.3">
      <c r="F55339" s="193"/>
    </row>
    <row r="55340" spans="6:6" x14ac:dyDescent="0.3">
      <c r="F55340" s="193"/>
    </row>
    <row r="55341" spans="6:6" x14ac:dyDescent="0.3">
      <c r="F55341" s="193"/>
    </row>
    <row r="55342" spans="6:6" x14ac:dyDescent="0.3">
      <c r="F55342" s="193"/>
    </row>
    <row r="55343" spans="6:6" x14ac:dyDescent="0.3">
      <c r="F55343" s="193"/>
    </row>
    <row r="55344" spans="6:6" x14ac:dyDescent="0.3">
      <c r="F55344" s="193"/>
    </row>
    <row r="55345" spans="6:6" x14ac:dyDescent="0.3">
      <c r="F55345" s="193"/>
    </row>
    <row r="55346" spans="6:6" x14ac:dyDescent="0.3">
      <c r="F55346" s="193"/>
    </row>
    <row r="55347" spans="6:6" x14ac:dyDescent="0.3">
      <c r="F55347" s="193"/>
    </row>
    <row r="55348" spans="6:6" x14ac:dyDescent="0.3">
      <c r="F55348" s="193"/>
    </row>
    <row r="55349" spans="6:6" x14ac:dyDescent="0.3">
      <c r="F55349" s="193"/>
    </row>
    <row r="55350" spans="6:6" x14ac:dyDescent="0.3">
      <c r="F55350" s="193"/>
    </row>
    <row r="55351" spans="6:6" x14ac:dyDescent="0.3">
      <c r="F55351" s="193"/>
    </row>
    <row r="55352" spans="6:6" x14ac:dyDescent="0.3">
      <c r="F55352" s="193"/>
    </row>
    <row r="55353" spans="6:6" x14ac:dyDescent="0.3">
      <c r="F55353" s="193"/>
    </row>
    <row r="55354" spans="6:6" x14ac:dyDescent="0.3">
      <c r="F55354" s="193"/>
    </row>
    <row r="55355" spans="6:6" x14ac:dyDescent="0.3">
      <c r="F55355" s="193"/>
    </row>
    <row r="55356" spans="6:6" x14ac:dyDescent="0.3">
      <c r="F55356" s="193"/>
    </row>
    <row r="55357" spans="6:6" x14ac:dyDescent="0.3">
      <c r="F55357" s="193"/>
    </row>
    <row r="55358" spans="6:6" x14ac:dyDescent="0.3">
      <c r="F55358" s="193"/>
    </row>
    <row r="55359" spans="6:6" x14ac:dyDescent="0.3">
      <c r="F55359" s="193"/>
    </row>
    <row r="55360" spans="6:6" x14ac:dyDescent="0.3">
      <c r="F55360" s="193"/>
    </row>
    <row r="55361" spans="6:6" x14ac:dyDescent="0.3">
      <c r="F55361" s="193"/>
    </row>
    <row r="55362" spans="6:6" x14ac:dyDescent="0.3">
      <c r="F55362" s="193"/>
    </row>
    <row r="55363" spans="6:6" x14ac:dyDescent="0.3">
      <c r="F55363" s="193"/>
    </row>
    <row r="55364" spans="6:6" x14ac:dyDescent="0.3">
      <c r="F55364" s="193"/>
    </row>
    <row r="55365" spans="6:6" x14ac:dyDescent="0.3">
      <c r="F55365" s="193"/>
    </row>
    <row r="55366" spans="6:6" x14ac:dyDescent="0.3">
      <c r="F55366" s="193"/>
    </row>
    <row r="55367" spans="6:6" x14ac:dyDescent="0.3">
      <c r="F55367" s="193"/>
    </row>
    <row r="55368" spans="6:6" x14ac:dyDescent="0.3">
      <c r="F55368" s="193"/>
    </row>
    <row r="55369" spans="6:6" x14ac:dyDescent="0.3">
      <c r="F55369" s="193"/>
    </row>
    <row r="55370" spans="6:6" x14ac:dyDescent="0.3">
      <c r="F55370" s="193"/>
    </row>
    <row r="55371" spans="6:6" x14ac:dyDescent="0.3">
      <c r="F55371" s="193"/>
    </row>
    <row r="55372" spans="6:6" x14ac:dyDescent="0.3">
      <c r="F55372" s="193"/>
    </row>
    <row r="55373" spans="6:6" x14ac:dyDescent="0.3">
      <c r="F55373" s="193"/>
    </row>
    <row r="55374" spans="6:6" x14ac:dyDescent="0.3">
      <c r="F55374" s="193"/>
    </row>
    <row r="55375" spans="6:6" x14ac:dyDescent="0.3">
      <c r="F55375" s="193"/>
    </row>
    <row r="55376" spans="6:6" x14ac:dyDescent="0.3">
      <c r="F55376" s="193"/>
    </row>
    <row r="55377" spans="6:6" x14ac:dyDescent="0.3">
      <c r="F55377" s="193"/>
    </row>
    <row r="55378" spans="6:6" x14ac:dyDescent="0.3">
      <c r="F55378" s="193"/>
    </row>
    <row r="55379" spans="6:6" x14ac:dyDescent="0.3">
      <c r="F55379" s="193"/>
    </row>
    <row r="55380" spans="6:6" x14ac:dyDescent="0.3">
      <c r="F55380" s="193"/>
    </row>
    <row r="55381" spans="6:6" x14ac:dyDescent="0.3">
      <c r="F55381" s="193"/>
    </row>
    <row r="55382" spans="6:6" x14ac:dyDescent="0.3">
      <c r="F55382" s="193"/>
    </row>
    <row r="55383" spans="6:6" x14ac:dyDescent="0.3">
      <c r="F55383" s="193"/>
    </row>
    <row r="55384" spans="6:6" x14ac:dyDescent="0.3">
      <c r="F55384" s="193"/>
    </row>
    <row r="55385" spans="6:6" x14ac:dyDescent="0.3">
      <c r="F55385" s="193"/>
    </row>
    <row r="55386" spans="6:6" x14ac:dyDescent="0.3">
      <c r="F55386" s="193"/>
    </row>
    <row r="55387" spans="6:6" x14ac:dyDescent="0.3">
      <c r="F55387" s="193"/>
    </row>
    <row r="55388" spans="6:6" x14ac:dyDescent="0.3">
      <c r="F55388" s="193"/>
    </row>
    <row r="55389" spans="6:6" x14ac:dyDescent="0.3">
      <c r="F55389" s="193"/>
    </row>
    <row r="55390" spans="6:6" x14ac:dyDescent="0.3">
      <c r="F55390" s="193"/>
    </row>
    <row r="55391" spans="6:6" x14ac:dyDescent="0.3">
      <c r="F55391" s="193"/>
    </row>
    <row r="55392" spans="6:6" x14ac:dyDescent="0.3">
      <c r="F55392" s="193"/>
    </row>
    <row r="55393" spans="6:6" x14ac:dyDescent="0.3">
      <c r="F55393" s="193"/>
    </row>
    <row r="55394" spans="6:6" x14ac:dyDescent="0.3">
      <c r="F55394" s="193"/>
    </row>
    <row r="55395" spans="6:6" x14ac:dyDescent="0.3">
      <c r="F55395" s="193"/>
    </row>
    <row r="55396" spans="6:6" x14ac:dyDescent="0.3">
      <c r="F55396" s="193"/>
    </row>
    <row r="55397" spans="6:6" x14ac:dyDescent="0.3">
      <c r="F55397" s="193"/>
    </row>
    <row r="55398" spans="6:6" x14ac:dyDescent="0.3">
      <c r="F55398" s="193"/>
    </row>
    <row r="55399" spans="6:6" x14ac:dyDescent="0.3">
      <c r="F55399" s="193"/>
    </row>
    <row r="55400" spans="6:6" x14ac:dyDescent="0.3">
      <c r="F55400" s="193"/>
    </row>
    <row r="55401" spans="6:6" x14ac:dyDescent="0.3">
      <c r="F55401" s="193"/>
    </row>
    <row r="55402" spans="6:6" x14ac:dyDescent="0.3">
      <c r="F55402" s="193"/>
    </row>
    <row r="55403" spans="6:6" x14ac:dyDescent="0.3">
      <c r="F55403" s="193"/>
    </row>
    <row r="55404" spans="6:6" x14ac:dyDescent="0.3">
      <c r="F55404" s="193"/>
    </row>
    <row r="55405" spans="6:6" x14ac:dyDescent="0.3">
      <c r="F55405" s="193"/>
    </row>
    <row r="55406" spans="6:6" x14ac:dyDescent="0.3">
      <c r="F55406" s="193"/>
    </row>
    <row r="55407" spans="6:6" x14ac:dyDescent="0.3">
      <c r="F55407" s="193"/>
    </row>
    <row r="55408" spans="6:6" x14ac:dyDescent="0.3">
      <c r="F55408" s="193"/>
    </row>
    <row r="55409" spans="6:6" x14ac:dyDescent="0.3">
      <c r="F55409" s="193"/>
    </row>
    <row r="55410" spans="6:6" x14ac:dyDescent="0.3">
      <c r="F55410" s="193"/>
    </row>
    <row r="55411" spans="6:6" x14ac:dyDescent="0.3">
      <c r="F55411" s="193"/>
    </row>
    <row r="55412" spans="6:6" x14ac:dyDescent="0.3">
      <c r="F55412" s="193"/>
    </row>
    <row r="55413" spans="6:6" x14ac:dyDescent="0.3">
      <c r="F55413" s="193"/>
    </row>
    <row r="55414" spans="6:6" x14ac:dyDescent="0.3">
      <c r="F55414" s="193"/>
    </row>
    <row r="55415" spans="6:6" x14ac:dyDescent="0.3">
      <c r="F55415" s="193"/>
    </row>
    <row r="55416" spans="6:6" x14ac:dyDescent="0.3">
      <c r="F55416" s="193"/>
    </row>
    <row r="55417" spans="6:6" x14ac:dyDescent="0.3">
      <c r="F55417" s="193"/>
    </row>
    <row r="55418" spans="6:6" x14ac:dyDescent="0.3">
      <c r="F55418" s="193"/>
    </row>
    <row r="55419" spans="6:6" x14ac:dyDescent="0.3">
      <c r="F55419" s="193"/>
    </row>
    <row r="55420" spans="6:6" x14ac:dyDescent="0.3">
      <c r="F55420" s="193"/>
    </row>
    <row r="55421" spans="6:6" x14ac:dyDescent="0.3">
      <c r="F55421" s="193"/>
    </row>
    <row r="55422" spans="6:6" x14ac:dyDescent="0.3">
      <c r="F55422" s="193"/>
    </row>
    <row r="55423" spans="6:6" x14ac:dyDescent="0.3">
      <c r="F55423" s="193"/>
    </row>
    <row r="55424" spans="6:6" x14ac:dyDescent="0.3">
      <c r="F55424" s="193"/>
    </row>
    <row r="55425" spans="6:6" x14ac:dyDescent="0.3">
      <c r="F55425" s="193"/>
    </row>
    <row r="55426" spans="6:6" x14ac:dyDescent="0.3">
      <c r="F55426" s="193"/>
    </row>
    <row r="55427" spans="6:6" x14ac:dyDescent="0.3">
      <c r="F55427" s="193"/>
    </row>
    <row r="55428" spans="6:6" x14ac:dyDescent="0.3">
      <c r="F55428" s="193"/>
    </row>
    <row r="55429" spans="6:6" x14ac:dyDescent="0.3">
      <c r="F55429" s="193"/>
    </row>
    <row r="55430" spans="6:6" x14ac:dyDescent="0.3">
      <c r="F55430" s="193"/>
    </row>
    <row r="55431" spans="6:6" x14ac:dyDescent="0.3">
      <c r="F55431" s="193"/>
    </row>
    <row r="55432" spans="6:6" x14ac:dyDescent="0.3">
      <c r="F55432" s="193"/>
    </row>
    <row r="55433" spans="6:6" x14ac:dyDescent="0.3">
      <c r="F55433" s="193"/>
    </row>
    <row r="55434" spans="6:6" x14ac:dyDescent="0.3">
      <c r="F55434" s="193"/>
    </row>
    <row r="55435" spans="6:6" x14ac:dyDescent="0.3">
      <c r="F55435" s="193"/>
    </row>
    <row r="55436" spans="6:6" x14ac:dyDescent="0.3">
      <c r="F55436" s="193"/>
    </row>
    <row r="55437" spans="6:6" x14ac:dyDescent="0.3">
      <c r="F55437" s="193"/>
    </row>
    <row r="55438" spans="6:6" x14ac:dyDescent="0.3">
      <c r="F55438" s="193"/>
    </row>
    <row r="55439" spans="6:6" x14ac:dyDescent="0.3">
      <c r="F55439" s="193"/>
    </row>
    <row r="55440" spans="6:6" x14ac:dyDescent="0.3">
      <c r="F55440" s="193"/>
    </row>
    <row r="55441" spans="6:6" x14ac:dyDescent="0.3">
      <c r="F55441" s="193"/>
    </row>
    <row r="55442" spans="6:6" x14ac:dyDescent="0.3">
      <c r="F55442" s="193"/>
    </row>
    <row r="55443" spans="6:6" x14ac:dyDescent="0.3">
      <c r="F55443" s="193"/>
    </row>
    <row r="55444" spans="6:6" x14ac:dyDescent="0.3">
      <c r="F55444" s="193"/>
    </row>
    <row r="55445" spans="6:6" x14ac:dyDescent="0.3">
      <c r="F55445" s="193"/>
    </row>
    <row r="55446" spans="6:6" x14ac:dyDescent="0.3">
      <c r="F55446" s="193"/>
    </row>
    <row r="55447" spans="6:6" x14ac:dyDescent="0.3">
      <c r="F55447" s="193"/>
    </row>
    <row r="55448" spans="6:6" x14ac:dyDescent="0.3">
      <c r="F55448" s="193"/>
    </row>
    <row r="55449" spans="6:6" x14ac:dyDescent="0.3">
      <c r="F55449" s="193"/>
    </row>
    <row r="55450" spans="6:6" x14ac:dyDescent="0.3">
      <c r="F55450" s="193"/>
    </row>
    <row r="55451" spans="6:6" x14ac:dyDescent="0.3">
      <c r="F55451" s="193"/>
    </row>
    <row r="55452" spans="6:6" x14ac:dyDescent="0.3">
      <c r="F55452" s="193"/>
    </row>
    <row r="55453" spans="6:6" x14ac:dyDescent="0.3">
      <c r="F55453" s="193"/>
    </row>
    <row r="55454" spans="6:6" x14ac:dyDescent="0.3">
      <c r="F55454" s="193"/>
    </row>
    <row r="55455" spans="6:6" x14ac:dyDescent="0.3">
      <c r="F55455" s="193"/>
    </row>
    <row r="55456" spans="6:6" x14ac:dyDescent="0.3">
      <c r="F55456" s="193"/>
    </row>
    <row r="55457" spans="6:6" x14ac:dyDescent="0.3">
      <c r="F55457" s="193"/>
    </row>
    <row r="55458" spans="6:6" x14ac:dyDescent="0.3">
      <c r="F55458" s="193"/>
    </row>
    <row r="55459" spans="6:6" x14ac:dyDescent="0.3">
      <c r="F55459" s="193"/>
    </row>
    <row r="55460" spans="6:6" x14ac:dyDescent="0.3">
      <c r="F55460" s="193"/>
    </row>
    <row r="55461" spans="6:6" x14ac:dyDescent="0.3">
      <c r="F55461" s="193"/>
    </row>
    <row r="55462" spans="6:6" x14ac:dyDescent="0.3">
      <c r="F55462" s="193"/>
    </row>
    <row r="55463" spans="6:6" x14ac:dyDescent="0.3">
      <c r="F55463" s="193"/>
    </row>
    <row r="55464" spans="6:6" x14ac:dyDescent="0.3">
      <c r="F55464" s="193"/>
    </row>
    <row r="55465" spans="6:6" x14ac:dyDescent="0.3">
      <c r="F55465" s="193"/>
    </row>
    <row r="55466" spans="6:6" x14ac:dyDescent="0.3">
      <c r="F55466" s="193"/>
    </row>
    <row r="55467" spans="6:6" x14ac:dyDescent="0.3">
      <c r="F55467" s="193"/>
    </row>
    <row r="55468" spans="6:6" x14ac:dyDescent="0.3">
      <c r="F55468" s="193"/>
    </row>
    <row r="55469" spans="6:6" x14ac:dyDescent="0.3">
      <c r="F55469" s="193"/>
    </row>
    <row r="55470" spans="6:6" x14ac:dyDescent="0.3">
      <c r="F55470" s="193"/>
    </row>
    <row r="55471" spans="6:6" x14ac:dyDescent="0.3">
      <c r="F55471" s="193"/>
    </row>
    <row r="55472" spans="6:6" x14ac:dyDescent="0.3">
      <c r="F55472" s="193"/>
    </row>
    <row r="55473" spans="6:6" x14ac:dyDescent="0.3">
      <c r="F55473" s="193"/>
    </row>
    <row r="55474" spans="6:6" x14ac:dyDescent="0.3">
      <c r="F55474" s="193"/>
    </row>
    <row r="55475" spans="6:6" x14ac:dyDescent="0.3">
      <c r="F55475" s="193"/>
    </row>
    <row r="55476" spans="6:6" x14ac:dyDescent="0.3">
      <c r="F55476" s="193"/>
    </row>
    <row r="55477" spans="6:6" x14ac:dyDescent="0.3">
      <c r="F55477" s="193"/>
    </row>
    <row r="55478" spans="6:6" x14ac:dyDescent="0.3">
      <c r="F55478" s="193"/>
    </row>
    <row r="55479" spans="6:6" x14ac:dyDescent="0.3">
      <c r="F55479" s="193"/>
    </row>
    <row r="55480" spans="6:6" x14ac:dyDescent="0.3">
      <c r="F55480" s="193"/>
    </row>
    <row r="55481" spans="6:6" x14ac:dyDescent="0.3">
      <c r="F55481" s="193"/>
    </row>
    <row r="55482" spans="6:6" x14ac:dyDescent="0.3">
      <c r="F55482" s="193"/>
    </row>
    <row r="55483" spans="6:6" x14ac:dyDescent="0.3">
      <c r="F55483" s="193"/>
    </row>
    <row r="55484" spans="6:6" x14ac:dyDescent="0.3">
      <c r="F55484" s="193"/>
    </row>
    <row r="55485" spans="6:6" x14ac:dyDescent="0.3">
      <c r="F55485" s="193"/>
    </row>
    <row r="55486" spans="6:6" x14ac:dyDescent="0.3">
      <c r="F55486" s="193"/>
    </row>
    <row r="55487" spans="6:6" x14ac:dyDescent="0.3">
      <c r="F55487" s="193"/>
    </row>
    <row r="55488" spans="6:6" x14ac:dyDescent="0.3">
      <c r="F55488" s="193"/>
    </row>
    <row r="55489" spans="6:6" x14ac:dyDescent="0.3">
      <c r="F55489" s="193"/>
    </row>
    <row r="55490" spans="6:6" x14ac:dyDescent="0.3">
      <c r="F55490" s="193"/>
    </row>
    <row r="55491" spans="6:6" x14ac:dyDescent="0.3">
      <c r="F55491" s="193"/>
    </row>
    <row r="55492" spans="6:6" x14ac:dyDescent="0.3">
      <c r="F55492" s="193"/>
    </row>
    <row r="55493" spans="6:6" x14ac:dyDescent="0.3">
      <c r="F55493" s="193"/>
    </row>
    <row r="55494" spans="6:6" x14ac:dyDescent="0.3">
      <c r="F55494" s="193"/>
    </row>
    <row r="55495" spans="6:6" x14ac:dyDescent="0.3">
      <c r="F55495" s="193"/>
    </row>
    <row r="55496" spans="6:6" x14ac:dyDescent="0.3">
      <c r="F55496" s="193"/>
    </row>
    <row r="55497" spans="6:6" x14ac:dyDescent="0.3">
      <c r="F55497" s="193"/>
    </row>
    <row r="55498" spans="6:6" x14ac:dyDescent="0.3">
      <c r="F55498" s="193"/>
    </row>
    <row r="55499" spans="6:6" x14ac:dyDescent="0.3">
      <c r="F55499" s="193"/>
    </row>
    <row r="55500" spans="6:6" x14ac:dyDescent="0.3">
      <c r="F55500" s="193"/>
    </row>
    <row r="55501" spans="6:6" x14ac:dyDescent="0.3">
      <c r="F55501" s="193"/>
    </row>
    <row r="55502" spans="6:6" x14ac:dyDescent="0.3">
      <c r="F55502" s="193"/>
    </row>
    <row r="55503" spans="6:6" x14ac:dyDescent="0.3">
      <c r="F55503" s="193"/>
    </row>
    <row r="55504" spans="6:6" x14ac:dyDescent="0.3">
      <c r="F55504" s="193"/>
    </row>
    <row r="55505" spans="6:6" x14ac:dyDescent="0.3">
      <c r="F55505" s="193"/>
    </row>
    <row r="55506" spans="6:6" x14ac:dyDescent="0.3">
      <c r="F55506" s="193"/>
    </row>
    <row r="55507" spans="6:6" x14ac:dyDescent="0.3">
      <c r="F55507" s="193"/>
    </row>
    <row r="55508" spans="6:6" x14ac:dyDescent="0.3">
      <c r="F55508" s="193"/>
    </row>
    <row r="55509" spans="6:6" x14ac:dyDescent="0.3">
      <c r="F55509" s="193"/>
    </row>
    <row r="55510" spans="6:6" x14ac:dyDescent="0.3">
      <c r="F55510" s="193"/>
    </row>
    <row r="55511" spans="6:6" x14ac:dyDescent="0.3">
      <c r="F55511" s="193"/>
    </row>
    <row r="55512" spans="6:6" x14ac:dyDescent="0.3">
      <c r="F55512" s="193"/>
    </row>
    <row r="55513" spans="6:6" x14ac:dyDescent="0.3">
      <c r="F55513" s="193"/>
    </row>
    <row r="55514" spans="6:6" x14ac:dyDescent="0.3">
      <c r="F55514" s="193"/>
    </row>
    <row r="55515" spans="6:6" x14ac:dyDescent="0.3">
      <c r="F55515" s="193"/>
    </row>
    <row r="55516" spans="6:6" x14ac:dyDescent="0.3">
      <c r="F55516" s="193"/>
    </row>
    <row r="55517" spans="6:6" x14ac:dyDescent="0.3">
      <c r="F55517" s="193"/>
    </row>
    <row r="55518" spans="6:6" x14ac:dyDescent="0.3">
      <c r="F55518" s="193"/>
    </row>
    <row r="55519" spans="6:6" x14ac:dyDescent="0.3">
      <c r="F55519" s="193"/>
    </row>
    <row r="55520" spans="6:6" x14ac:dyDescent="0.3">
      <c r="F55520" s="193"/>
    </row>
    <row r="55521" spans="6:6" x14ac:dyDescent="0.3">
      <c r="F55521" s="193"/>
    </row>
    <row r="55522" spans="6:6" x14ac:dyDescent="0.3">
      <c r="F55522" s="193"/>
    </row>
    <row r="55523" spans="6:6" x14ac:dyDescent="0.3">
      <c r="F55523" s="193"/>
    </row>
    <row r="55524" spans="6:6" x14ac:dyDescent="0.3">
      <c r="F55524" s="193"/>
    </row>
    <row r="55525" spans="6:6" x14ac:dyDescent="0.3">
      <c r="F55525" s="193"/>
    </row>
    <row r="55526" spans="6:6" x14ac:dyDescent="0.3">
      <c r="F55526" s="193"/>
    </row>
    <row r="55527" spans="6:6" x14ac:dyDescent="0.3">
      <c r="F55527" s="193"/>
    </row>
    <row r="55528" spans="6:6" x14ac:dyDescent="0.3">
      <c r="F55528" s="193"/>
    </row>
    <row r="55529" spans="6:6" x14ac:dyDescent="0.3">
      <c r="F55529" s="193"/>
    </row>
    <row r="55530" spans="6:6" x14ac:dyDescent="0.3">
      <c r="F55530" s="193"/>
    </row>
    <row r="55531" spans="6:6" x14ac:dyDescent="0.3">
      <c r="F55531" s="193"/>
    </row>
    <row r="55532" spans="6:6" x14ac:dyDescent="0.3">
      <c r="F55532" s="193"/>
    </row>
    <row r="55533" spans="6:6" x14ac:dyDescent="0.3">
      <c r="F55533" s="193"/>
    </row>
    <row r="55534" spans="6:6" x14ac:dyDescent="0.3">
      <c r="F55534" s="193"/>
    </row>
    <row r="55535" spans="6:6" x14ac:dyDescent="0.3">
      <c r="F55535" s="193"/>
    </row>
    <row r="55536" spans="6:6" x14ac:dyDescent="0.3">
      <c r="F55536" s="193"/>
    </row>
    <row r="55537" spans="6:6" x14ac:dyDescent="0.3">
      <c r="F55537" s="193"/>
    </row>
    <row r="55538" spans="6:6" x14ac:dyDescent="0.3">
      <c r="F55538" s="193"/>
    </row>
    <row r="55539" spans="6:6" x14ac:dyDescent="0.3">
      <c r="F55539" s="193"/>
    </row>
    <row r="55540" spans="6:6" x14ac:dyDescent="0.3">
      <c r="F55540" s="193"/>
    </row>
    <row r="55541" spans="6:6" x14ac:dyDescent="0.3">
      <c r="F55541" s="193"/>
    </row>
    <row r="55542" spans="6:6" x14ac:dyDescent="0.3">
      <c r="F55542" s="193"/>
    </row>
    <row r="55543" spans="6:6" x14ac:dyDescent="0.3">
      <c r="F55543" s="193"/>
    </row>
    <row r="55544" spans="6:6" x14ac:dyDescent="0.3">
      <c r="F55544" s="193"/>
    </row>
    <row r="55545" spans="6:6" x14ac:dyDescent="0.3">
      <c r="F55545" s="193"/>
    </row>
    <row r="55546" spans="6:6" x14ac:dyDescent="0.3">
      <c r="F55546" s="193"/>
    </row>
    <row r="55547" spans="6:6" x14ac:dyDescent="0.3">
      <c r="F55547" s="193"/>
    </row>
    <row r="55548" spans="6:6" x14ac:dyDescent="0.3">
      <c r="F55548" s="193"/>
    </row>
    <row r="55549" spans="6:6" x14ac:dyDescent="0.3">
      <c r="F55549" s="193"/>
    </row>
    <row r="55550" spans="6:6" x14ac:dyDescent="0.3">
      <c r="F55550" s="193"/>
    </row>
    <row r="55551" spans="6:6" x14ac:dyDescent="0.3">
      <c r="F55551" s="193"/>
    </row>
    <row r="55552" spans="6:6" x14ac:dyDescent="0.3">
      <c r="F55552" s="193"/>
    </row>
    <row r="55553" spans="6:6" x14ac:dyDescent="0.3">
      <c r="F55553" s="193"/>
    </row>
    <row r="55554" spans="6:6" x14ac:dyDescent="0.3">
      <c r="F55554" s="193"/>
    </row>
    <row r="55555" spans="6:6" x14ac:dyDescent="0.3">
      <c r="F55555" s="193"/>
    </row>
    <row r="55556" spans="6:6" x14ac:dyDescent="0.3">
      <c r="F55556" s="193"/>
    </row>
    <row r="55557" spans="6:6" x14ac:dyDescent="0.3">
      <c r="F55557" s="193"/>
    </row>
    <row r="55558" spans="6:6" x14ac:dyDescent="0.3">
      <c r="F55558" s="193"/>
    </row>
    <row r="55559" spans="6:6" x14ac:dyDescent="0.3">
      <c r="F55559" s="193"/>
    </row>
    <row r="55560" spans="6:6" x14ac:dyDescent="0.3">
      <c r="F55560" s="193"/>
    </row>
    <row r="55561" spans="6:6" x14ac:dyDescent="0.3">
      <c r="F55561" s="193"/>
    </row>
    <row r="55562" spans="6:6" x14ac:dyDescent="0.3">
      <c r="F55562" s="193"/>
    </row>
    <row r="55563" spans="6:6" x14ac:dyDescent="0.3">
      <c r="F55563" s="193"/>
    </row>
    <row r="55564" spans="6:6" x14ac:dyDescent="0.3">
      <c r="F55564" s="193"/>
    </row>
    <row r="55565" spans="6:6" x14ac:dyDescent="0.3">
      <c r="F55565" s="193"/>
    </row>
    <row r="55566" spans="6:6" x14ac:dyDescent="0.3">
      <c r="F55566" s="193"/>
    </row>
    <row r="55567" spans="6:6" x14ac:dyDescent="0.3">
      <c r="F55567" s="193"/>
    </row>
    <row r="55568" spans="6:6" x14ac:dyDescent="0.3">
      <c r="F55568" s="193"/>
    </row>
    <row r="55569" spans="6:6" x14ac:dyDescent="0.3">
      <c r="F55569" s="193"/>
    </row>
    <row r="55570" spans="6:6" x14ac:dyDescent="0.3">
      <c r="F55570" s="193"/>
    </row>
    <row r="55571" spans="6:6" x14ac:dyDescent="0.3">
      <c r="F55571" s="193"/>
    </row>
    <row r="55572" spans="6:6" x14ac:dyDescent="0.3">
      <c r="F55572" s="193"/>
    </row>
    <row r="55573" spans="6:6" x14ac:dyDescent="0.3">
      <c r="F55573" s="193"/>
    </row>
    <row r="55574" spans="6:6" x14ac:dyDescent="0.3">
      <c r="F55574" s="193"/>
    </row>
    <row r="55575" spans="6:6" x14ac:dyDescent="0.3">
      <c r="F55575" s="193"/>
    </row>
    <row r="55576" spans="6:6" x14ac:dyDescent="0.3">
      <c r="F55576" s="193"/>
    </row>
    <row r="55577" spans="6:6" x14ac:dyDescent="0.3">
      <c r="F55577" s="193"/>
    </row>
    <row r="55578" spans="6:6" x14ac:dyDescent="0.3">
      <c r="F55578" s="193"/>
    </row>
    <row r="55579" spans="6:6" x14ac:dyDescent="0.3">
      <c r="F55579" s="193"/>
    </row>
    <row r="55580" spans="6:6" x14ac:dyDescent="0.3">
      <c r="F55580" s="193"/>
    </row>
    <row r="55581" spans="6:6" x14ac:dyDescent="0.3">
      <c r="F55581" s="193"/>
    </row>
    <row r="55582" spans="6:6" x14ac:dyDescent="0.3">
      <c r="F55582" s="193"/>
    </row>
    <row r="55583" spans="6:6" x14ac:dyDescent="0.3">
      <c r="F55583" s="193"/>
    </row>
    <row r="55584" spans="6:6" x14ac:dyDescent="0.3">
      <c r="F55584" s="193"/>
    </row>
    <row r="55585" spans="6:6" x14ac:dyDescent="0.3">
      <c r="F55585" s="193"/>
    </row>
    <row r="55586" spans="6:6" x14ac:dyDescent="0.3">
      <c r="F55586" s="193"/>
    </row>
    <row r="55587" spans="6:6" x14ac:dyDescent="0.3">
      <c r="F55587" s="193"/>
    </row>
    <row r="55588" spans="6:6" x14ac:dyDescent="0.3">
      <c r="F55588" s="193"/>
    </row>
    <row r="55589" spans="6:6" x14ac:dyDescent="0.3">
      <c r="F55589" s="193"/>
    </row>
    <row r="55590" spans="6:6" x14ac:dyDescent="0.3">
      <c r="F55590" s="193"/>
    </row>
    <row r="55591" spans="6:6" x14ac:dyDescent="0.3">
      <c r="F55591" s="193"/>
    </row>
    <row r="55592" spans="6:6" x14ac:dyDescent="0.3">
      <c r="F55592" s="193"/>
    </row>
    <row r="55593" spans="6:6" x14ac:dyDescent="0.3">
      <c r="F55593" s="193"/>
    </row>
    <row r="55594" spans="6:6" x14ac:dyDescent="0.3">
      <c r="F55594" s="193"/>
    </row>
    <row r="55595" spans="6:6" x14ac:dyDescent="0.3">
      <c r="F55595" s="193"/>
    </row>
    <row r="55596" spans="6:6" x14ac:dyDescent="0.3">
      <c r="F55596" s="193"/>
    </row>
    <row r="55597" spans="6:6" x14ac:dyDescent="0.3">
      <c r="F55597" s="193"/>
    </row>
    <row r="55598" spans="6:6" x14ac:dyDescent="0.3">
      <c r="F55598" s="193"/>
    </row>
    <row r="55599" spans="6:6" x14ac:dyDescent="0.3">
      <c r="F55599" s="193"/>
    </row>
    <row r="55600" spans="6:6" x14ac:dyDescent="0.3">
      <c r="F55600" s="193"/>
    </row>
    <row r="55601" spans="6:6" x14ac:dyDescent="0.3">
      <c r="F55601" s="193"/>
    </row>
    <row r="55602" spans="6:6" x14ac:dyDescent="0.3">
      <c r="F55602" s="193"/>
    </row>
    <row r="55603" spans="6:6" x14ac:dyDescent="0.3">
      <c r="F55603" s="193"/>
    </row>
    <row r="55604" spans="6:6" x14ac:dyDescent="0.3">
      <c r="F55604" s="193"/>
    </row>
    <row r="55605" spans="6:6" x14ac:dyDescent="0.3">
      <c r="F55605" s="193"/>
    </row>
    <row r="55606" spans="6:6" x14ac:dyDescent="0.3">
      <c r="F55606" s="193"/>
    </row>
    <row r="55607" spans="6:6" x14ac:dyDescent="0.3">
      <c r="F55607" s="193"/>
    </row>
    <row r="55608" spans="6:6" x14ac:dyDescent="0.3">
      <c r="F55608" s="193"/>
    </row>
    <row r="55609" spans="6:6" x14ac:dyDescent="0.3">
      <c r="F55609" s="193"/>
    </row>
    <row r="55610" spans="6:6" x14ac:dyDescent="0.3">
      <c r="F55610" s="193"/>
    </row>
    <row r="55611" spans="6:6" x14ac:dyDescent="0.3">
      <c r="F55611" s="193"/>
    </row>
    <row r="55612" spans="6:6" x14ac:dyDescent="0.3">
      <c r="F55612" s="193"/>
    </row>
    <row r="55613" spans="6:6" x14ac:dyDescent="0.3">
      <c r="F55613" s="193"/>
    </row>
    <row r="55614" spans="6:6" x14ac:dyDescent="0.3">
      <c r="F55614" s="193"/>
    </row>
    <row r="55615" spans="6:6" x14ac:dyDescent="0.3">
      <c r="F55615" s="193"/>
    </row>
    <row r="55616" spans="6:6" x14ac:dyDescent="0.3">
      <c r="F55616" s="193"/>
    </row>
    <row r="55617" spans="6:6" x14ac:dyDescent="0.3">
      <c r="F55617" s="193"/>
    </row>
    <row r="55618" spans="6:6" x14ac:dyDescent="0.3">
      <c r="F55618" s="193"/>
    </row>
    <row r="55619" spans="6:6" x14ac:dyDescent="0.3">
      <c r="F55619" s="193"/>
    </row>
    <row r="55620" spans="6:6" x14ac:dyDescent="0.3">
      <c r="F55620" s="193"/>
    </row>
    <row r="55621" spans="6:6" x14ac:dyDescent="0.3">
      <c r="F55621" s="193"/>
    </row>
    <row r="55622" spans="6:6" x14ac:dyDescent="0.3">
      <c r="F55622" s="193"/>
    </row>
    <row r="55623" spans="6:6" x14ac:dyDescent="0.3">
      <c r="F55623" s="193"/>
    </row>
    <row r="55624" spans="6:6" x14ac:dyDescent="0.3">
      <c r="F55624" s="193"/>
    </row>
    <row r="55625" spans="6:6" x14ac:dyDescent="0.3">
      <c r="F55625" s="193"/>
    </row>
    <row r="55626" spans="6:6" x14ac:dyDescent="0.3">
      <c r="F55626" s="193"/>
    </row>
    <row r="55627" spans="6:6" x14ac:dyDescent="0.3">
      <c r="F55627" s="193"/>
    </row>
    <row r="55628" spans="6:6" x14ac:dyDescent="0.3">
      <c r="F55628" s="193"/>
    </row>
    <row r="55629" spans="6:6" x14ac:dyDescent="0.3">
      <c r="F55629" s="193"/>
    </row>
    <row r="55630" spans="6:6" x14ac:dyDescent="0.3">
      <c r="F55630" s="193"/>
    </row>
    <row r="55631" spans="6:6" x14ac:dyDescent="0.3">
      <c r="F55631" s="193"/>
    </row>
    <row r="55632" spans="6:6" x14ac:dyDescent="0.3">
      <c r="F55632" s="193"/>
    </row>
    <row r="55633" spans="6:6" x14ac:dyDescent="0.3">
      <c r="F55633" s="193"/>
    </row>
    <row r="55634" spans="6:6" x14ac:dyDescent="0.3">
      <c r="F55634" s="193"/>
    </row>
    <row r="55635" spans="6:6" x14ac:dyDescent="0.3">
      <c r="F55635" s="193"/>
    </row>
    <row r="55636" spans="6:6" x14ac:dyDescent="0.3">
      <c r="F55636" s="193"/>
    </row>
    <row r="55637" spans="6:6" x14ac:dyDescent="0.3">
      <c r="F55637" s="193"/>
    </row>
    <row r="55638" spans="6:6" x14ac:dyDescent="0.3">
      <c r="F55638" s="193"/>
    </row>
    <row r="55639" spans="6:6" x14ac:dyDescent="0.3">
      <c r="F55639" s="193"/>
    </row>
    <row r="55640" spans="6:6" x14ac:dyDescent="0.3">
      <c r="F55640" s="193"/>
    </row>
    <row r="55641" spans="6:6" x14ac:dyDescent="0.3">
      <c r="F55641" s="193"/>
    </row>
    <row r="55642" spans="6:6" x14ac:dyDescent="0.3">
      <c r="F55642" s="193"/>
    </row>
    <row r="55643" spans="6:6" x14ac:dyDescent="0.3">
      <c r="F55643" s="193"/>
    </row>
    <row r="55644" spans="6:6" x14ac:dyDescent="0.3">
      <c r="F55644" s="193"/>
    </row>
    <row r="55645" spans="6:6" x14ac:dyDescent="0.3">
      <c r="F55645" s="193"/>
    </row>
    <row r="55646" spans="6:6" x14ac:dyDescent="0.3">
      <c r="F55646" s="193"/>
    </row>
    <row r="55647" spans="6:6" x14ac:dyDescent="0.3">
      <c r="F55647" s="193"/>
    </row>
    <row r="55648" spans="6:6" x14ac:dyDescent="0.3">
      <c r="F55648" s="193"/>
    </row>
    <row r="55649" spans="6:6" x14ac:dyDescent="0.3">
      <c r="F55649" s="193"/>
    </row>
    <row r="55650" spans="6:6" x14ac:dyDescent="0.3">
      <c r="F55650" s="193"/>
    </row>
    <row r="55651" spans="6:6" x14ac:dyDescent="0.3">
      <c r="F55651" s="193"/>
    </row>
    <row r="55652" spans="6:6" x14ac:dyDescent="0.3">
      <c r="F55652" s="193"/>
    </row>
    <row r="55653" spans="6:6" x14ac:dyDescent="0.3">
      <c r="F55653" s="193"/>
    </row>
    <row r="55654" spans="6:6" x14ac:dyDescent="0.3">
      <c r="F55654" s="193"/>
    </row>
    <row r="55655" spans="6:6" x14ac:dyDescent="0.3">
      <c r="F55655" s="193"/>
    </row>
    <row r="55656" spans="6:6" x14ac:dyDescent="0.3">
      <c r="F55656" s="193"/>
    </row>
    <row r="55657" spans="6:6" x14ac:dyDescent="0.3">
      <c r="F55657" s="193"/>
    </row>
    <row r="55658" spans="6:6" x14ac:dyDescent="0.3">
      <c r="F55658" s="193"/>
    </row>
    <row r="55659" spans="6:6" x14ac:dyDescent="0.3">
      <c r="F55659" s="193"/>
    </row>
    <row r="55660" spans="6:6" x14ac:dyDescent="0.3">
      <c r="F55660" s="193"/>
    </row>
    <row r="55661" spans="6:6" x14ac:dyDescent="0.3">
      <c r="F55661" s="193"/>
    </row>
    <row r="55662" spans="6:6" x14ac:dyDescent="0.3">
      <c r="F55662" s="193"/>
    </row>
    <row r="55663" spans="6:6" x14ac:dyDescent="0.3">
      <c r="F55663" s="193"/>
    </row>
    <row r="55664" spans="6:6" x14ac:dyDescent="0.3">
      <c r="F55664" s="193"/>
    </row>
    <row r="55665" spans="6:6" x14ac:dyDescent="0.3">
      <c r="F55665" s="193"/>
    </row>
    <row r="55666" spans="6:6" x14ac:dyDescent="0.3">
      <c r="F55666" s="193"/>
    </row>
    <row r="55667" spans="6:6" x14ac:dyDescent="0.3">
      <c r="F55667" s="193"/>
    </row>
    <row r="55668" spans="6:6" x14ac:dyDescent="0.3">
      <c r="F55668" s="193"/>
    </row>
    <row r="55669" spans="6:6" x14ac:dyDescent="0.3">
      <c r="F55669" s="193"/>
    </row>
    <row r="55670" spans="6:6" x14ac:dyDescent="0.3">
      <c r="F55670" s="193"/>
    </row>
    <row r="55671" spans="6:6" x14ac:dyDescent="0.3">
      <c r="F55671" s="193"/>
    </row>
    <row r="55672" spans="6:6" x14ac:dyDescent="0.3">
      <c r="F55672" s="193"/>
    </row>
    <row r="55673" spans="6:6" x14ac:dyDescent="0.3">
      <c r="F55673" s="193"/>
    </row>
    <row r="55674" spans="6:6" x14ac:dyDescent="0.3">
      <c r="F55674" s="193"/>
    </row>
    <row r="55675" spans="6:6" x14ac:dyDescent="0.3">
      <c r="F55675" s="193"/>
    </row>
    <row r="55676" spans="6:6" x14ac:dyDescent="0.3">
      <c r="F55676" s="193"/>
    </row>
    <row r="55677" spans="6:6" x14ac:dyDescent="0.3">
      <c r="F55677" s="193"/>
    </row>
    <row r="55678" spans="6:6" x14ac:dyDescent="0.3">
      <c r="F55678" s="193"/>
    </row>
    <row r="55679" spans="6:6" x14ac:dyDescent="0.3">
      <c r="F55679" s="193"/>
    </row>
    <row r="55680" spans="6:6" x14ac:dyDescent="0.3">
      <c r="F55680" s="193"/>
    </row>
    <row r="55681" spans="6:6" x14ac:dyDescent="0.3">
      <c r="F55681" s="193"/>
    </row>
    <row r="55682" spans="6:6" x14ac:dyDescent="0.3">
      <c r="F55682" s="193"/>
    </row>
    <row r="55683" spans="6:6" x14ac:dyDescent="0.3">
      <c r="F55683" s="193"/>
    </row>
    <row r="55684" spans="6:6" x14ac:dyDescent="0.3">
      <c r="F55684" s="193"/>
    </row>
    <row r="55685" spans="6:6" x14ac:dyDescent="0.3">
      <c r="F55685" s="193"/>
    </row>
    <row r="55686" spans="6:6" x14ac:dyDescent="0.3">
      <c r="F55686" s="193"/>
    </row>
    <row r="55687" spans="6:6" x14ac:dyDescent="0.3">
      <c r="F55687" s="193"/>
    </row>
    <row r="55688" spans="6:6" x14ac:dyDescent="0.3">
      <c r="F55688" s="193"/>
    </row>
    <row r="55689" spans="6:6" x14ac:dyDescent="0.3">
      <c r="F55689" s="193"/>
    </row>
    <row r="55690" spans="6:6" x14ac:dyDescent="0.3">
      <c r="F55690" s="193"/>
    </row>
    <row r="55691" spans="6:6" x14ac:dyDescent="0.3">
      <c r="F55691" s="193"/>
    </row>
    <row r="55692" spans="6:6" x14ac:dyDescent="0.3">
      <c r="F55692" s="193"/>
    </row>
    <row r="55693" spans="6:6" x14ac:dyDescent="0.3">
      <c r="F55693" s="193"/>
    </row>
    <row r="55694" spans="6:6" x14ac:dyDescent="0.3">
      <c r="F55694" s="193"/>
    </row>
    <row r="55695" spans="6:6" x14ac:dyDescent="0.3">
      <c r="F55695" s="193"/>
    </row>
    <row r="55696" spans="6:6" x14ac:dyDescent="0.3">
      <c r="F55696" s="193"/>
    </row>
    <row r="55697" spans="6:6" x14ac:dyDescent="0.3">
      <c r="F55697" s="193"/>
    </row>
    <row r="55698" spans="6:6" x14ac:dyDescent="0.3">
      <c r="F55698" s="193"/>
    </row>
    <row r="55699" spans="6:6" x14ac:dyDescent="0.3">
      <c r="F55699" s="193"/>
    </row>
    <row r="55700" spans="6:6" x14ac:dyDescent="0.3">
      <c r="F55700" s="193"/>
    </row>
    <row r="55701" spans="6:6" x14ac:dyDescent="0.3">
      <c r="F55701" s="193"/>
    </row>
    <row r="55702" spans="6:6" x14ac:dyDescent="0.3">
      <c r="F55702" s="193"/>
    </row>
    <row r="55703" spans="6:6" x14ac:dyDescent="0.3">
      <c r="F55703" s="193"/>
    </row>
    <row r="55704" spans="6:6" x14ac:dyDescent="0.3">
      <c r="F55704" s="193"/>
    </row>
    <row r="55705" spans="6:6" x14ac:dyDescent="0.3">
      <c r="F55705" s="193"/>
    </row>
    <row r="55706" spans="6:6" x14ac:dyDescent="0.3">
      <c r="F55706" s="193"/>
    </row>
    <row r="55707" spans="6:6" x14ac:dyDescent="0.3">
      <c r="F55707" s="193"/>
    </row>
    <row r="55708" spans="6:6" x14ac:dyDescent="0.3">
      <c r="F55708" s="193"/>
    </row>
    <row r="55709" spans="6:6" x14ac:dyDescent="0.3">
      <c r="F55709" s="193"/>
    </row>
    <row r="55710" spans="6:6" x14ac:dyDescent="0.3">
      <c r="F55710" s="193"/>
    </row>
    <row r="55711" spans="6:6" x14ac:dyDescent="0.3">
      <c r="F55711" s="193"/>
    </row>
    <row r="55712" spans="6:6" x14ac:dyDescent="0.3">
      <c r="F55712" s="193"/>
    </row>
    <row r="55713" spans="6:6" x14ac:dyDescent="0.3">
      <c r="F55713" s="193"/>
    </row>
    <row r="55714" spans="6:6" x14ac:dyDescent="0.3">
      <c r="F55714" s="193"/>
    </row>
    <row r="55715" spans="6:6" x14ac:dyDescent="0.3">
      <c r="F55715" s="193"/>
    </row>
    <row r="55716" spans="6:6" x14ac:dyDescent="0.3">
      <c r="F55716" s="193"/>
    </row>
    <row r="55717" spans="6:6" x14ac:dyDescent="0.3">
      <c r="F55717" s="193"/>
    </row>
    <row r="55718" spans="6:6" x14ac:dyDescent="0.3">
      <c r="F55718" s="193"/>
    </row>
    <row r="55719" spans="6:6" x14ac:dyDescent="0.3">
      <c r="F55719" s="193"/>
    </row>
    <row r="55720" spans="6:6" x14ac:dyDescent="0.3">
      <c r="F55720" s="193"/>
    </row>
    <row r="55721" spans="6:6" x14ac:dyDescent="0.3">
      <c r="F55721" s="193"/>
    </row>
    <row r="55722" spans="6:6" x14ac:dyDescent="0.3">
      <c r="F55722" s="193"/>
    </row>
    <row r="55723" spans="6:6" x14ac:dyDescent="0.3">
      <c r="F55723" s="193"/>
    </row>
    <row r="55724" spans="6:6" x14ac:dyDescent="0.3">
      <c r="F55724" s="193"/>
    </row>
    <row r="55725" spans="6:6" x14ac:dyDescent="0.3">
      <c r="F55725" s="193"/>
    </row>
    <row r="55726" spans="6:6" x14ac:dyDescent="0.3">
      <c r="F55726" s="193"/>
    </row>
    <row r="55727" spans="6:6" x14ac:dyDescent="0.3">
      <c r="F55727" s="193"/>
    </row>
    <row r="55728" spans="6:6" x14ac:dyDescent="0.3">
      <c r="F55728" s="193"/>
    </row>
    <row r="55729" spans="6:6" x14ac:dyDescent="0.3">
      <c r="F55729" s="193"/>
    </row>
    <row r="55730" spans="6:6" x14ac:dyDescent="0.3">
      <c r="F55730" s="193"/>
    </row>
    <row r="55731" spans="6:6" x14ac:dyDescent="0.3">
      <c r="F55731" s="193"/>
    </row>
    <row r="55732" spans="6:6" x14ac:dyDescent="0.3">
      <c r="F55732" s="193"/>
    </row>
    <row r="55733" spans="6:6" x14ac:dyDescent="0.3">
      <c r="F55733" s="193"/>
    </row>
    <row r="55734" spans="6:6" x14ac:dyDescent="0.3">
      <c r="F55734" s="193"/>
    </row>
    <row r="55735" spans="6:6" x14ac:dyDescent="0.3">
      <c r="F55735" s="193"/>
    </row>
    <row r="55736" spans="6:6" x14ac:dyDescent="0.3">
      <c r="F55736" s="193"/>
    </row>
    <row r="55737" spans="6:6" x14ac:dyDescent="0.3">
      <c r="F55737" s="193"/>
    </row>
    <row r="55738" spans="6:6" x14ac:dyDescent="0.3">
      <c r="F55738" s="193"/>
    </row>
    <row r="55739" spans="6:6" x14ac:dyDescent="0.3">
      <c r="F55739" s="193"/>
    </row>
    <row r="55740" spans="6:6" x14ac:dyDescent="0.3">
      <c r="F55740" s="193"/>
    </row>
    <row r="55741" spans="6:6" x14ac:dyDescent="0.3">
      <c r="F55741" s="193"/>
    </row>
    <row r="55742" spans="6:6" x14ac:dyDescent="0.3">
      <c r="F55742" s="193"/>
    </row>
    <row r="55743" spans="6:6" x14ac:dyDescent="0.3">
      <c r="F55743" s="193"/>
    </row>
    <row r="55744" spans="6:6" x14ac:dyDescent="0.3">
      <c r="F55744" s="193"/>
    </row>
    <row r="55745" spans="6:6" x14ac:dyDescent="0.3">
      <c r="F55745" s="193"/>
    </row>
    <row r="55746" spans="6:6" x14ac:dyDescent="0.3">
      <c r="F55746" s="193"/>
    </row>
    <row r="55747" spans="6:6" x14ac:dyDescent="0.3">
      <c r="F55747" s="193"/>
    </row>
    <row r="55748" spans="6:6" x14ac:dyDescent="0.3">
      <c r="F55748" s="193"/>
    </row>
    <row r="55749" spans="6:6" x14ac:dyDescent="0.3">
      <c r="F55749" s="193"/>
    </row>
    <row r="55750" spans="6:6" x14ac:dyDescent="0.3">
      <c r="F55750" s="193"/>
    </row>
    <row r="55751" spans="6:6" x14ac:dyDescent="0.3">
      <c r="F55751" s="193"/>
    </row>
    <row r="55752" spans="6:6" x14ac:dyDescent="0.3">
      <c r="F55752" s="193"/>
    </row>
    <row r="55753" spans="6:6" x14ac:dyDescent="0.3">
      <c r="F55753" s="193"/>
    </row>
    <row r="55754" spans="6:6" x14ac:dyDescent="0.3">
      <c r="F55754" s="193"/>
    </row>
    <row r="55755" spans="6:6" x14ac:dyDescent="0.3">
      <c r="F55755" s="193"/>
    </row>
    <row r="55756" spans="6:6" x14ac:dyDescent="0.3">
      <c r="F55756" s="193"/>
    </row>
    <row r="55757" spans="6:6" x14ac:dyDescent="0.3">
      <c r="F55757" s="193"/>
    </row>
    <row r="55758" spans="6:6" x14ac:dyDescent="0.3">
      <c r="F55758" s="193"/>
    </row>
    <row r="55759" spans="6:6" x14ac:dyDescent="0.3">
      <c r="F55759" s="193"/>
    </row>
    <row r="55760" spans="6:6" x14ac:dyDescent="0.3">
      <c r="F55760" s="193"/>
    </row>
    <row r="55761" spans="6:6" x14ac:dyDescent="0.3">
      <c r="F55761" s="193"/>
    </row>
    <row r="55762" spans="6:6" x14ac:dyDescent="0.3">
      <c r="F55762" s="193"/>
    </row>
    <row r="55763" spans="6:6" x14ac:dyDescent="0.3">
      <c r="F55763" s="193"/>
    </row>
    <row r="55764" spans="6:6" x14ac:dyDescent="0.3">
      <c r="F55764" s="193"/>
    </row>
    <row r="55765" spans="6:6" x14ac:dyDescent="0.3">
      <c r="F55765" s="193"/>
    </row>
    <row r="55766" spans="6:6" x14ac:dyDescent="0.3">
      <c r="F55766" s="193"/>
    </row>
    <row r="55767" spans="6:6" x14ac:dyDescent="0.3">
      <c r="F55767" s="193"/>
    </row>
    <row r="55768" spans="6:6" x14ac:dyDescent="0.3">
      <c r="F55768" s="193"/>
    </row>
    <row r="55769" spans="6:6" x14ac:dyDescent="0.3">
      <c r="F55769" s="193"/>
    </row>
    <row r="55770" spans="6:6" x14ac:dyDescent="0.3">
      <c r="F55770" s="193"/>
    </row>
    <row r="55771" spans="6:6" x14ac:dyDescent="0.3">
      <c r="F55771" s="193"/>
    </row>
    <row r="55772" spans="6:6" x14ac:dyDescent="0.3">
      <c r="F55772" s="193"/>
    </row>
    <row r="55773" spans="6:6" x14ac:dyDescent="0.3">
      <c r="F55773" s="193"/>
    </row>
    <row r="55774" spans="6:6" x14ac:dyDescent="0.3">
      <c r="F55774" s="193"/>
    </row>
    <row r="55775" spans="6:6" x14ac:dyDescent="0.3">
      <c r="F55775" s="193"/>
    </row>
    <row r="55776" spans="6:6" x14ac:dyDescent="0.3">
      <c r="F55776" s="193"/>
    </row>
    <row r="55777" spans="6:6" x14ac:dyDescent="0.3">
      <c r="F55777" s="193"/>
    </row>
    <row r="55778" spans="6:6" x14ac:dyDescent="0.3">
      <c r="F55778" s="193"/>
    </row>
    <row r="55779" spans="6:6" x14ac:dyDescent="0.3">
      <c r="F55779" s="193"/>
    </row>
    <row r="55780" spans="6:6" x14ac:dyDescent="0.3">
      <c r="F55780" s="193"/>
    </row>
    <row r="55781" spans="6:6" x14ac:dyDescent="0.3">
      <c r="F55781" s="193"/>
    </row>
    <row r="55782" spans="6:6" x14ac:dyDescent="0.3">
      <c r="F55782" s="193"/>
    </row>
    <row r="55783" spans="6:6" x14ac:dyDescent="0.3">
      <c r="F55783" s="193"/>
    </row>
    <row r="55784" spans="6:6" x14ac:dyDescent="0.3">
      <c r="F55784" s="193"/>
    </row>
    <row r="55785" spans="6:6" x14ac:dyDescent="0.3">
      <c r="F55785" s="193"/>
    </row>
    <row r="55786" spans="6:6" x14ac:dyDescent="0.3">
      <c r="F55786" s="193"/>
    </row>
    <row r="55787" spans="6:6" x14ac:dyDescent="0.3">
      <c r="F55787" s="193"/>
    </row>
    <row r="55788" spans="6:6" x14ac:dyDescent="0.3">
      <c r="F55788" s="193"/>
    </row>
    <row r="55789" spans="6:6" x14ac:dyDescent="0.3">
      <c r="F55789" s="193"/>
    </row>
    <row r="55790" spans="6:6" x14ac:dyDescent="0.3">
      <c r="F55790" s="193"/>
    </row>
    <row r="55791" spans="6:6" x14ac:dyDescent="0.3">
      <c r="F55791" s="193"/>
    </row>
    <row r="55792" spans="6:6" x14ac:dyDescent="0.3">
      <c r="F55792" s="193"/>
    </row>
    <row r="55793" spans="6:6" x14ac:dyDescent="0.3">
      <c r="F55793" s="193"/>
    </row>
    <row r="55794" spans="6:6" x14ac:dyDescent="0.3">
      <c r="F55794" s="193"/>
    </row>
    <row r="55795" spans="6:6" x14ac:dyDescent="0.3">
      <c r="F55795" s="193"/>
    </row>
    <row r="55796" spans="6:6" x14ac:dyDescent="0.3">
      <c r="F55796" s="193"/>
    </row>
    <row r="55797" spans="6:6" x14ac:dyDescent="0.3">
      <c r="F55797" s="193"/>
    </row>
    <row r="55798" spans="6:6" x14ac:dyDescent="0.3">
      <c r="F55798" s="193"/>
    </row>
    <row r="55799" spans="6:6" x14ac:dyDescent="0.3">
      <c r="F55799" s="193"/>
    </row>
    <row r="55800" spans="6:6" x14ac:dyDescent="0.3">
      <c r="F55800" s="193"/>
    </row>
    <row r="55801" spans="6:6" x14ac:dyDescent="0.3">
      <c r="F55801" s="193"/>
    </row>
    <row r="55802" spans="6:6" x14ac:dyDescent="0.3">
      <c r="F55802" s="193"/>
    </row>
    <row r="55803" spans="6:6" x14ac:dyDescent="0.3">
      <c r="F55803" s="193"/>
    </row>
    <row r="55804" spans="6:6" x14ac:dyDescent="0.3">
      <c r="F55804" s="193"/>
    </row>
    <row r="55805" spans="6:6" x14ac:dyDescent="0.3">
      <c r="F55805" s="193"/>
    </row>
    <row r="55806" spans="6:6" x14ac:dyDescent="0.3">
      <c r="F55806" s="193"/>
    </row>
    <row r="55807" spans="6:6" x14ac:dyDescent="0.3">
      <c r="F55807" s="193"/>
    </row>
    <row r="55808" spans="6:6" x14ac:dyDescent="0.3">
      <c r="F55808" s="193"/>
    </row>
    <row r="55809" spans="6:6" x14ac:dyDescent="0.3">
      <c r="F55809" s="193"/>
    </row>
    <row r="55810" spans="6:6" x14ac:dyDescent="0.3">
      <c r="F55810" s="193"/>
    </row>
    <row r="55811" spans="6:6" x14ac:dyDescent="0.3">
      <c r="F55811" s="193"/>
    </row>
    <row r="55812" spans="6:6" x14ac:dyDescent="0.3">
      <c r="F55812" s="193"/>
    </row>
    <row r="55813" spans="6:6" x14ac:dyDescent="0.3">
      <c r="F55813" s="193"/>
    </row>
    <row r="55814" spans="6:6" x14ac:dyDescent="0.3">
      <c r="F55814" s="193"/>
    </row>
    <row r="55815" spans="6:6" x14ac:dyDescent="0.3">
      <c r="F55815" s="193"/>
    </row>
    <row r="55816" spans="6:6" x14ac:dyDescent="0.3">
      <c r="F55816" s="193"/>
    </row>
    <row r="55817" spans="6:6" x14ac:dyDescent="0.3">
      <c r="F55817" s="193"/>
    </row>
    <row r="55818" spans="6:6" x14ac:dyDescent="0.3">
      <c r="F55818" s="193"/>
    </row>
    <row r="55819" spans="6:6" x14ac:dyDescent="0.3">
      <c r="F55819" s="193"/>
    </row>
    <row r="55820" spans="6:6" x14ac:dyDescent="0.3">
      <c r="F55820" s="193"/>
    </row>
    <row r="55821" spans="6:6" x14ac:dyDescent="0.3">
      <c r="F55821" s="193"/>
    </row>
    <row r="55822" spans="6:6" x14ac:dyDescent="0.3">
      <c r="F55822" s="193"/>
    </row>
    <row r="55823" spans="6:6" x14ac:dyDescent="0.3">
      <c r="F55823" s="193"/>
    </row>
    <row r="55824" spans="6:6" x14ac:dyDescent="0.3">
      <c r="F55824" s="193"/>
    </row>
    <row r="55825" spans="6:6" x14ac:dyDescent="0.3">
      <c r="F55825" s="193"/>
    </row>
    <row r="55826" spans="6:6" x14ac:dyDescent="0.3">
      <c r="F55826" s="193"/>
    </row>
    <row r="55827" spans="6:6" x14ac:dyDescent="0.3">
      <c r="F55827" s="193"/>
    </row>
    <row r="55828" spans="6:6" x14ac:dyDescent="0.3">
      <c r="F55828" s="193"/>
    </row>
    <row r="55829" spans="6:6" x14ac:dyDescent="0.3">
      <c r="F55829" s="193"/>
    </row>
    <row r="55830" spans="6:6" x14ac:dyDescent="0.3">
      <c r="F55830" s="193"/>
    </row>
    <row r="55831" spans="6:6" x14ac:dyDescent="0.3">
      <c r="F55831" s="193"/>
    </row>
    <row r="55832" spans="6:6" x14ac:dyDescent="0.3">
      <c r="F55832" s="193"/>
    </row>
    <row r="55833" spans="6:6" x14ac:dyDescent="0.3">
      <c r="F55833" s="193"/>
    </row>
    <row r="55834" spans="6:6" x14ac:dyDescent="0.3">
      <c r="F55834" s="193"/>
    </row>
    <row r="55835" spans="6:6" x14ac:dyDescent="0.3">
      <c r="F55835" s="193"/>
    </row>
    <row r="55836" spans="6:6" x14ac:dyDescent="0.3">
      <c r="F55836" s="193"/>
    </row>
    <row r="55837" spans="6:6" x14ac:dyDescent="0.3">
      <c r="F55837" s="193"/>
    </row>
    <row r="55838" spans="6:6" x14ac:dyDescent="0.3">
      <c r="F55838" s="193"/>
    </row>
    <row r="55839" spans="6:6" x14ac:dyDescent="0.3">
      <c r="F55839" s="193"/>
    </row>
    <row r="55840" spans="6:6" x14ac:dyDescent="0.3">
      <c r="F55840" s="193"/>
    </row>
    <row r="55841" spans="6:6" x14ac:dyDescent="0.3">
      <c r="F55841" s="193"/>
    </row>
    <row r="55842" spans="6:6" x14ac:dyDescent="0.3">
      <c r="F55842" s="193"/>
    </row>
    <row r="55843" spans="6:6" x14ac:dyDescent="0.3">
      <c r="F55843" s="193"/>
    </row>
    <row r="55844" spans="6:6" x14ac:dyDescent="0.3">
      <c r="F55844" s="193"/>
    </row>
    <row r="55845" spans="6:6" x14ac:dyDescent="0.3">
      <c r="F55845" s="193"/>
    </row>
    <row r="55846" spans="6:6" x14ac:dyDescent="0.3">
      <c r="F55846" s="193"/>
    </row>
    <row r="55847" spans="6:6" x14ac:dyDescent="0.3">
      <c r="F55847" s="193"/>
    </row>
    <row r="55848" spans="6:6" x14ac:dyDescent="0.3">
      <c r="F55848" s="193"/>
    </row>
    <row r="55849" spans="6:6" x14ac:dyDescent="0.3">
      <c r="F55849" s="193"/>
    </row>
    <row r="55850" spans="6:6" x14ac:dyDescent="0.3">
      <c r="F55850" s="193"/>
    </row>
    <row r="55851" spans="6:6" x14ac:dyDescent="0.3">
      <c r="F55851" s="193"/>
    </row>
    <row r="55852" spans="6:6" x14ac:dyDescent="0.3">
      <c r="F55852" s="193"/>
    </row>
    <row r="55853" spans="6:6" x14ac:dyDescent="0.3">
      <c r="F55853" s="193"/>
    </row>
    <row r="55854" spans="6:6" x14ac:dyDescent="0.3">
      <c r="F55854" s="193"/>
    </row>
    <row r="55855" spans="6:6" x14ac:dyDescent="0.3">
      <c r="F55855" s="193"/>
    </row>
    <row r="55856" spans="6:6" x14ac:dyDescent="0.3">
      <c r="F55856" s="193"/>
    </row>
    <row r="55857" spans="6:6" x14ac:dyDescent="0.3">
      <c r="F55857" s="193"/>
    </row>
    <row r="55858" spans="6:6" x14ac:dyDescent="0.3">
      <c r="F55858" s="193"/>
    </row>
    <row r="55859" spans="6:6" x14ac:dyDescent="0.3">
      <c r="F55859" s="193"/>
    </row>
    <row r="55860" spans="6:6" x14ac:dyDescent="0.3">
      <c r="F55860" s="193"/>
    </row>
    <row r="55861" spans="6:6" x14ac:dyDescent="0.3">
      <c r="F55861" s="193"/>
    </row>
    <row r="55862" spans="6:6" x14ac:dyDescent="0.3">
      <c r="F55862" s="193"/>
    </row>
    <row r="55863" spans="6:6" x14ac:dyDescent="0.3">
      <c r="F55863" s="193"/>
    </row>
    <row r="55864" spans="6:6" x14ac:dyDescent="0.3">
      <c r="F55864" s="193"/>
    </row>
    <row r="55865" spans="6:6" x14ac:dyDescent="0.3">
      <c r="F55865" s="193"/>
    </row>
    <row r="55866" spans="6:6" x14ac:dyDescent="0.3">
      <c r="F55866" s="193"/>
    </row>
    <row r="55867" spans="6:6" x14ac:dyDescent="0.3">
      <c r="F55867" s="193"/>
    </row>
    <row r="55868" spans="6:6" x14ac:dyDescent="0.3">
      <c r="F55868" s="193"/>
    </row>
    <row r="55869" spans="6:6" x14ac:dyDescent="0.3">
      <c r="F55869" s="193"/>
    </row>
    <row r="55870" spans="6:6" x14ac:dyDescent="0.3">
      <c r="F55870" s="193"/>
    </row>
    <row r="55871" spans="6:6" x14ac:dyDescent="0.3">
      <c r="F55871" s="193"/>
    </row>
    <row r="55872" spans="6:6" x14ac:dyDescent="0.3">
      <c r="F55872" s="193"/>
    </row>
    <row r="55873" spans="6:6" x14ac:dyDescent="0.3">
      <c r="F55873" s="193"/>
    </row>
    <row r="55874" spans="6:6" x14ac:dyDescent="0.3">
      <c r="F55874" s="193"/>
    </row>
    <row r="55875" spans="6:6" x14ac:dyDescent="0.3">
      <c r="F55875" s="193"/>
    </row>
    <row r="55876" spans="6:6" x14ac:dyDescent="0.3">
      <c r="F55876" s="193"/>
    </row>
    <row r="55877" spans="6:6" x14ac:dyDescent="0.3">
      <c r="F55877" s="193"/>
    </row>
    <row r="55878" spans="6:6" x14ac:dyDescent="0.3">
      <c r="F55878" s="193"/>
    </row>
    <row r="55879" spans="6:6" x14ac:dyDescent="0.3">
      <c r="F55879" s="193"/>
    </row>
    <row r="55880" spans="6:6" x14ac:dyDescent="0.3">
      <c r="F55880" s="193"/>
    </row>
    <row r="55881" spans="6:6" x14ac:dyDescent="0.3">
      <c r="F55881" s="193"/>
    </row>
    <row r="55882" spans="6:6" x14ac:dyDescent="0.3">
      <c r="F55882" s="193"/>
    </row>
    <row r="55883" spans="6:6" x14ac:dyDescent="0.3">
      <c r="F55883" s="193"/>
    </row>
    <row r="55884" spans="6:6" x14ac:dyDescent="0.3">
      <c r="F55884" s="193"/>
    </row>
    <row r="55885" spans="6:6" x14ac:dyDescent="0.3">
      <c r="F55885" s="193"/>
    </row>
    <row r="55886" spans="6:6" x14ac:dyDescent="0.3">
      <c r="F55886" s="193"/>
    </row>
    <row r="55887" spans="6:6" x14ac:dyDescent="0.3">
      <c r="F55887" s="193"/>
    </row>
    <row r="55888" spans="6:6" x14ac:dyDescent="0.3">
      <c r="F55888" s="193"/>
    </row>
    <row r="55889" spans="6:6" x14ac:dyDescent="0.3">
      <c r="F55889" s="193"/>
    </row>
    <row r="55890" spans="6:6" x14ac:dyDescent="0.3">
      <c r="F55890" s="193"/>
    </row>
    <row r="55891" spans="6:6" x14ac:dyDescent="0.3">
      <c r="F55891" s="193"/>
    </row>
    <row r="55892" spans="6:6" x14ac:dyDescent="0.3">
      <c r="F55892" s="193"/>
    </row>
    <row r="55893" spans="6:6" x14ac:dyDescent="0.3">
      <c r="F55893" s="193"/>
    </row>
    <row r="55894" spans="6:6" x14ac:dyDescent="0.3">
      <c r="F55894" s="193"/>
    </row>
    <row r="55895" spans="6:6" x14ac:dyDescent="0.3">
      <c r="F55895" s="193"/>
    </row>
    <row r="55896" spans="6:6" x14ac:dyDescent="0.3">
      <c r="F55896" s="193"/>
    </row>
    <row r="55897" spans="6:6" x14ac:dyDescent="0.3">
      <c r="F55897" s="193"/>
    </row>
    <row r="55898" spans="6:6" x14ac:dyDescent="0.3">
      <c r="F55898" s="193"/>
    </row>
    <row r="55899" spans="6:6" x14ac:dyDescent="0.3">
      <c r="F55899" s="193"/>
    </row>
    <row r="55900" spans="6:6" x14ac:dyDescent="0.3">
      <c r="F55900" s="193"/>
    </row>
    <row r="55901" spans="6:6" x14ac:dyDescent="0.3">
      <c r="F55901" s="193"/>
    </row>
    <row r="55902" spans="6:6" x14ac:dyDescent="0.3">
      <c r="F55902" s="193"/>
    </row>
    <row r="55903" spans="6:6" x14ac:dyDescent="0.3">
      <c r="F55903" s="193"/>
    </row>
    <row r="55904" spans="6:6" x14ac:dyDescent="0.3">
      <c r="F55904" s="193"/>
    </row>
    <row r="55905" spans="6:6" x14ac:dyDescent="0.3">
      <c r="F55905" s="193"/>
    </row>
    <row r="55906" spans="6:6" x14ac:dyDescent="0.3">
      <c r="F55906" s="193"/>
    </row>
    <row r="55907" spans="6:6" x14ac:dyDescent="0.3">
      <c r="F55907" s="193"/>
    </row>
    <row r="55908" spans="6:6" x14ac:dyDescent="0.3">
      <c r="F55908" s="193"/>
    </row>
    <row r="55909" spans="6:6" x14ac:dyDescent="0.3">
      <c r="F55909" s="193"/>
    </row>
    <row r="55910" spans="6:6" x14ac:dyDescent="0.3">
      <c r="F55910" s="193"/>
    </row>
    <row r="55911" spans="6:6" x14ac:dyDescent="0.3">
      <c r="F55911" s="193"/>
    </row>
    <row r="55912" spans="6:6" x14ac:dyDescent="0.3">
      <c r="F55912" s="193"/>
    </row>
    <row r="55913" spans="6:6" x14ac:dyDescent="0.3">
      <c r="F55913" s="193"/>
    </row>
    <row r="55914" spans="6:6" x14ac:dyDescent="0.3">
      <c r="F55914" s="193"/>
    </row>
    <row r="55915" spans="6:6" x14ac:dyDescent="0.3">
      <c r="F55915" s="193"/>
    </row>
    <row r="55916" spans="6:6" x14ac:dyDescent="0.3">
      <c r="F55916" s="193"/>
    </row>
    <row r="55917" spans="6:6" x14ac:dyDescent="0.3">
      <c r="F55917" s="193"/>
    </row>
    <row r="55918" spans="6:6" x14ac:dyDescent="0.3">
      <c r="F55918" s="193"/>
    </row>
    <row r="55919" spans="6:6" x14ac:dyDescent="0.3">
      <c r="F55919" s="193"/>
    </row>
    <row r="55920" spans="6:6" x14ac:dyDescent="0.3">
      <c r="F55920" s="193"/>
    </row>
    <row r="55921" spans="6:6" x14ac:dyDescent="0.3">
      <c r="F55921" s="193"/>
    </row>
    <row r="55922" spans="6:6" x14ac:dyDescent="0.3">
      <c r="F55922" s="193"/>
    </row>
    <row r="55923" spans="6:6" x14ac:dyDescent="0.3">
      <c r="F55923" s="193"/>
    </row>
    <row r="55924" spans="6:6" x14ac:dyDescent="0.3">
      <c r="F55924" s="193"/>
    </row>
    <row r="55925" spans="6:6" x14ac:dyDescent="0.3">
      <c r="F55925" s="193"/>
    </row>
    <row r="55926" spans="6:6" x14ac:dyDescent="0.3">
      <c r="F55926" s="193"/>
    </row>
    <row r="55927" spans="6:6" x14ac:dyDescent="0.3">
      <c r="F55927" s="193"/>
    </row>
    <row r="55928" spans="6:6" x14ac:dyDescent="0.3">
      <c r="F55928" s="193"/>
    </row>
    <row r="55929" spans="6:6" x14ac:dyDescent="0.3">
      <c r="F55929" s="193"/>
    </row>
    <row r="55930" spans="6:6" x14ac:dyDescent="0.3">
      <c r="F55930" s="193"/>
    </row>
    <row r="55931" spans="6:6" x14ac:dyDescent="0.3">
      <c r="F55931" s="193"/>
    </row>
    <row r="55932" spans="6:6" x14ac:dyDescent="0.3">
      <c r="F55932" s="193"/>
    </row>
    <row r="55933" spans="6:6" x14ac:dyDescent="0.3">
      <c r="F55933" s="193"/>
    </row>
    <row r="55934" spans="6:6" x14ac:dyDescent="0.3">
      <c r="F55934" s="193"/>
    </row>
    <row r="55935" spans="6:6" x14ac:dyDescent="0.3">
      <c r="F55935" s="193"/>
    </row>
    <row r="55936" spans="6:6" x14ac:dyDescent="0.3">
      <c r="F55936" s="193"/>
    </row>
    <row r="55937" spans="6:6" x14ac:dyDescent="0.3">
      <c r="F55937" s="193"/>
    </row>
    <row r="55938" spans="6:6" x14ac:dyDescent="0.3">
      <c r="F55938" s="193"/>
    </row>
    <row r="55939" spans="6:6" x14ac:dyDescent="0.3">
      <c r="F55939" s="193"/>
    </row>
    <row r="55940" spans="6:6" x14ac:dyDescent="0.3">
      <c r="F55940" s="193"/>
    </row>
    <row r="55941" spans="6:6" x14ac:dyDescent="0.3">
      <c r="F55941" s="193"/>
    </row>
    <row r="55942" spans="6:6" x14ac:dyDescent="0.3">
      <c r="F55942" s="193"/>
    </row>
    <row r="55943" spans="6:6" x14ac:dyDescent="0.3">
      <c r="F55943" s="193"/>
    </row>
    <row r="55944" spans="6:6" x14ac:dyDescent="0.3">
      <c r="F55944" s="193"/>
    </row>
    <row r="55945" spans="6:6" x14ac:dyDescent="0.3">
      <c r="F55945" s="193"/>
    </row>
    <row r="55946" spans="6:6" x14ac:dyDescent="0.3">
      <c r="F55946" s="193"/>
    </row>
    <row r="55947" spans="6:6" x14ac:dyDescent="0.3">
      <c r="F55947" s="193"/>
    </row>
    <row r="55948" spans="6:6" x14ac:dyDescent="0.3">
      <c r="F55948" s="193"/>
    </row>
    <row r="55949" spans="6:6" x14ac:dyDescent="0.3">
      <c r="F55949" s="193"/>
    </row>
    <row r="55950" spans="6:6" x14ac:dyDescent="0.3">
      <c r="F55950" s="193"/>
    </row>
    <row r="55951" spans="6:6" x14ac:dyDescent="0.3">
      <c r="F55951" s="193"/>
    </row>
    <row r="55952" spans="6:6" x14ac:dyDescent="0.3">
      <c r="F55952" s="193"/>
    </row>
    <row r="55953" spans="6:6" x14ac:dyDescent="0.3">
      <c r="F55953" s="193"/>
    </row>
    <row r="55954" spans="6:6" x14ac:dyDescent="0.3">
      <c r="F55954" s="193"/>
    </row>
    <row r="55955" spans="6:6" x14ac:dyDescent="0.3">
      <c r="F55955" s="193"/>
    </row>
    <row r="55956" spans="6:6" x14ac:dyDescent="0.3">
      <c r="F55956" s="193"/>
    </row>
    <row r="55957" spans="6:6" x14ac:dyDescent="0.3">
      <c r="F55957" s="193"/>
    </row>
    <row r="55958" spans="6:6" x14ac:dyDescent="0.3">
      <c r="F55958" s="193"/>
    </row>
    <row r="55959" spans="6:6" x14ac:dyDescent="0.3">
      <c r="F55959" s="193"/>
    </row>
    <row r="55960" spans="6:6" x14ac:dyDescent="0.3">
      <c r="F55960" s="193"/>
    </row>
    <row r="55961" spans="6:6" x14ac:dyDescent="0.3">
      <c r="F55961" s="193"/>
    </row>
    <row r="55962" spans="6:6" x14ac:dyDescent="0.3">
      <c r="F55962" s="193"/>
    </row>
    <row r="55963" spans="6:6" x14ac:dyDescent="0.3">
      <c r="F55963" s="193"/>
    </row>
    <row r="55964" spans="6:6" x14ac:dyDescent="0.3">
      <c r="F55964" s="193"/>
    </row>
    <row r="55965" spans="6:6" x14ac:dyDescent="0.3">
      <c r="F55965" s="193"/>
    </row>
    <row r="55966" spans="6:6" x14ac:dyDescent="0.3">
      <c r="F55966" s="193"/>
    </row>
    <row r="55967" spans="6:6" x14ac:dyDescent="0.3">
      <c r="F55967" s="193"/>
    </row>
    <row r="55968" spans="6:6" x14ac:dyDescent="0.3">
      <c r="F55968" s="193"/>
    </row>
    <row r="55969" spans="6:6" x14ac:dyDescent="0.3">
      <c r="F55969" s="193"/>
    </row>
    <row r="55970" spans="6:6" x14ac:dyDescent="0.3">
      <c r="F55970" s="193"/>
    </row>
    <row r="55971" spans="6:6" x14ac:dyDescent="0.3">
      <c r="F55971" s="193"/>
    </row>
    <row r="55972" spans="6:6" x14ac:dyDescent="0.3">
      <c r="F55972" s="193"/>
    </row>
    <row r="55973" spans="6:6" x14ac:dyDescent="0.3">
      <c r="F55973" s="193"/>
    </row>
    <row r="55974" spans="6:6" x14ac:dyDescent="0.3">
      <c r="F55974" s="193"/>
    </row>
    <row r="55975" spans="6:6" x14ac:dyDescent="0.3">
      <c r="F55975" s="193"/>
    </row>
    <row r="55976" spans="6:6" x14ac:dyDescent="0.3">
      <c r="F55976" s="193"/>
    </row>
    <row r="55977" spans="6:6" x14ac:dyDescent="0.3">
      <c r="F55977" s="193"/>
    </row>
    <row r="55978" spans="6:6" x14ac:dyDescent="0.3">
      <c r="F55978" s="193"/>
    </row>
    <row r="55979" spans="6:6" x14ac:dyDescent="0.3">
      <c r="F55979" s="193"/>
    </row>
    <row r="55980" spans="6:6" x14ac:dyDescent="0.3">
      <c r="F55980" s="193"/>
    </row>
    <row r="55981" spans="6:6" x14ac:dyDescent="0.3">
      <c r="F55981" s="193"/>
    </row>
    <row r="55982" spans="6:6" x14ac:dyDescent="0.3">
      <c r="F55982" s="193"/>
    </row>
    <row r="55983" spans="6:6" x14ac:dyDescent="0.3">
      <c r="F55983" s="193"/>
    </row>
    <row r="55984" spans="6:6" x14ac:dyDescent="0.3">
      <c r="F55984" s="193"/>
    </row>
    <row r="55985" spans="6:6" x14ac:dyDescent="0.3">
      <c r="F55985" s="193"/>
    </row>
    <row r="55986" spans="6:6" x14ac:dyDescent="0.3">
      <c r="F55986" s="193"/>
    </row>
    <row r="55987" spans="6:6" x14ac:dyDescent="0.3">
      <c r="F55987" s="193"/>
    </row>
    <row r="55988" spans="6:6" x14ac:dyDescent="0.3">
      <c r="F55988" s="193"/>
    </row>
    <row r="55989" spans="6:6" x14ac:dyDescent="0.3">
      <c r="F55989" s="193"/>
    </row>
    <row r="55990" spans="6:6" x14ac:dyDescent="0.3">
      <c r="F55990" s="193"/>
    </row>
    <row r="55991" spans="6:6" x14ac:dyDescent="0.3">
      <c r="F55991" s="193"/>
    </row>
    <row r="55992" spans="6:6" x14ac:dyDescent="0.3">
      <c r="F55992" s="193"/>
    </row>
    <row r="55993" spans="6:6" x14ac:dyDescent="0.3">
      <c r="F55993" s="193"/>
    </row>
    <row r="55994" spans="6:6" x14ac:dyDescent="0.3">
      <c r="F55994" s="193"/>
    </row>
    <row r="55995" spans="6:6" x14ac:dyDescent="0.3">
      <c r="F55995" s="193"/>
    </row>
    <row r="55996" spans="6:6" x14ac:dyDescent="0.3">
      <c r="F55996" s="193"/>
    </row>
    <row r="55997" spans="6:6" x14ac:dyDescent="0.3">
      <c r="F55997" s="193"/>
    </row>
    <row r="55998" spans="6:6" x14ac:dyDescent="0.3">
      <c r="F55998" s="193"/>
    </row>
    <row r="55999" spans="6:6" x14ac:dyDescent="0.3">
      <c r="F55999" s="193"/>
    </row>
    <row r="56000" spans="6:6" x14ac:dyDescent="0.3">
      <c r="F56000" s="193"/>
    </row>
    <row r="56001" spans="6:6" x14ac:dyDescent="0.3">
      <c r="F56001" s="193"/>
    </row>
    <row r="56002" spans="6:6" x14ac:dyDescent="0.3">
      <c r="F56002" s="193"/>
    </row>
    <row r="56003" spans="6:6" x14ac:dyDescent="0.3">
      <c r="F56003" s="193"/>
    </row>
    <row r="56004" spans="6:6" x14ac:dyDescent="0.3">
      <c r="F56004" s="193"/>
    </row>
    <row r="56005" spans="6:6" x14ac:dyDescent="0.3">
      <c r="F56005" s="193"/>
    </row>
    <row r="56006" spans="6:6" x14ac:dyDescent="0.3">
      <c r="F56006" s="193"/>
    </row>
    <row r="56007" spans="6:6" x14ac:dyDescent="0.3">
      <c r="F56007" s="193"/>
    </row>
    <row r="56008" spans="6:6" x14ac:dyDescent="0.3">
      <c r="F56008" s="193"/>
    </row>
    <row r="56009" spans="6:6" x14ac:dyDescent="0.3">
      <c r="F56009" s="193"/>
    </row>
    <row r="56010" spans="6:6" x14ac:dyDescent="0.3">
      <c r="F56010" s="193"/>
    </row>
    <row r="56011" spans="6:6" x14ac:dyDescent="0.3">
      <c r="F56011" s="193"/>
    </row>
    <row r="56012" spans="6:6" x14ac:dyDescent="0.3">
      <c r="F56012" s="193"/>
    </row>
    <row r="56013" spans="6:6" x14ac:dyDescent="0.3">
      <c r="F56013" s="193"/>
    </row>
    <row r="56014" spans="6:6" x14ac:dyDescent="0.3">
      <c r="F56014" s="193"/>
    </row>
    <row r="56015" spans="6:6" x14ac:dyDescent="0.3">
      <c r="F56015" s="193"/>
    </row>
    <row r="56016" spans="6:6" x14ac:dyDescent="0.3">
      <c r="F56016" s="193"/>
    </row>
    <row r="56017" spans="6:6" x14ac:dyDescent="0.3">
      <c r="F56017" s="193"/>
    </row>
    <row r="56018" spans="6:6" x14ac:dyDescent="0.3">
      <c r="F56018" s="193"/>
    </row>
    <row r="56019" spans="6:6" x14ac:dyDescent="0.3">
      <c r="F56019" s="193"/>
    </row>
    <row r="56020" spans="6:6" x14ac:dyDescent="0.3">
      <c r="F56020" s="193"/>
    </row>
    <row r="56021" spans="6:6" x14ac:dyDescent="0.3">
      <c r="F56021" s="193"/>
    </row>
    <row r="56022" spans="6:6" x14ac:dyDescent="0.3">
      <c r="F56022" s="193"/>
    </row>
    <row r="56023" spans="6:6" x14ac:dyDescent="0.3">
      <c r="F56023" s="193"/>
    </row>
    <row r="56024" spans="6:6" x14ac:dyDescent="0.3">
      <c r="F56024" s="193"/>
    </row>
    <row r="56025" spans="6:6" x14ac:dyDescent="0.3">
      <c r="F56025" s="193"/>
    </row>
    <row r="56026" spans="6:6" x14ac:dyDescent="0.3">
      <c r="F56026" s="193"/>
    </row>
    <row r="56027" spans="6:6" x14ac:dyDescent="0.3">
      <c r="F56027" s="193"/>
    </row>
    <row r="56028" spans="6:6" x14ac:dyDescent="0.3">
      <c r="F56028" s="193"/>
    </row>
    <row r="56029" spans="6:6" x14ac:dyDescent="0.3">
      <c r="F56029" s="193"/>
    </row>
    <row r="56030" spans="6:6" x14ac:dyDescent="0.3">
      <c r="F56030" s="193"/>
    </row>
    <row r="56031" spans="6:6" x14ac:dyDescent="0.3">
      <c r="F56031" s="193"/>
    </row>
    <row r="56032" spans="6:6" x14ac:dyDescent="0.3">
      <c r="F56032" s="193"/>
    </row>
    <row r="56033" spans="6:6" x14ac:dyDescent="0.3">
      <c r="F56033" s="193"/>
    </row>
    <row r="56034" spans="6:6" x14ac:dyDescent="0.3">
      <c r="F56034" s="193"/>
    </row>
    <row r="56035" spans="6:6" x14ac:dyDescent="0.3">
      <c r="F56035" s="193"/>
    </row>
    <row r="56036" spans="6:6" x14ac:dyDescent="0.3">
      <c r="F56036" s="193"/>
    </row>
    <row r="56037" spans="6:6" x14ac:dyDescent="0.3">
      <c r="F56037" s="193"/>
    </row>
    <row r="56038" spans="6:6" x14ac:dyDescent="0.3">
      <c r="F56038" s="193"/>
    </row>
    <row r="56039" spans="6:6" x14ac:dyDescent="0.3">
      <c r="F56039" s="193"/>
    </row>
    <row r="56040" spans="6:6" x14ac:dyDescent="0.3">
      <c r="F56040" s="193"/>
    </row>
    <row r="56041" spans="6:6" x14ac:dyDescent="0.3">
      <c r="F56041" s="193"/>
    </row>
    <row r="56042" spans="6:6" x14ac:dyDescent="0.3">
      <c r="F56042" s="193"/>
    </row>
    <row r="56043" spans="6:6" x14ac:dyDescent="0.3">
      <c r="F56043" s="193"/>
    </row>
    <row r="56044" spans="6:6" x14ac:dyDescent="0.3">
      <c r="F56044" s="193"/>
    </row>
    <row r="56045" spans="6:6" x14ac:dyDescent="0.3">
      <c r="F56045" s="193"/>
    </row>
    <row r="56046" spans="6:6" x14ac:dyDescent="0.3">
      <c r="F56046" s="193"/>
    </row>
    <row r="56047" spans="6:6" x14ac:dyDescent="0.3">
      <c r="F56047" s="193"/>
    </row>
    <row r="56048" spans="6:6" x14ac:dyDescent="0.3">
      <c r="F56048" s="193"/>
    </row>
    <row r="56049" spans="6:6" x14ac:dyDescent="0.3">
      <c r="F56049" s="193"/>
    </row>
    <row r="56050" spans="6:6" x14ac:dyDescent="0.3">
      <c r="F56050" s="193"/>
    </row>
    <row r="56051" spans="6:6" x14ac:dyDescent="0.3">
      <c r="F56051" s="193"/>
    </row>
    <row r="56052" spans="6:6" x14ac:dyDescent="0.3">
      <c r="F56052" s="193"/>
    </row>
    <row r="56053" spans="6:6" x14ac:dyDescent="0.3">
      <c r="F56053" s="193"/>
    </row>
    <row r="56054" spans="6:6" x14ac:dyDescent="0.3">
      <c r="F56054" s="193"/>
    </row>
    <row r="56055" spans="6:6" x14ac:dyDescent="0.3">
      <c r="F56055" s="193"/>
    </row>
    <row r="56056" spans="6:6" x14ac:dyDescent="0.3">
      <c r="F56056" s="193"/>
    </row>
    <row r="56057" spans="6:6" x14ac:dyDescent="0.3">
      <c r="F56057" s="193"/>
    </row>
    <row r="56058" spans="6:6" x14ac:dyDescent="0.3">
      <c r="F56058" s="193"/>
    </row>
    <row r="56059" spans="6:6" x14ac:dyDescent="0.3">
      <c r="F56059" s="193"/>
    </row>
    <row r="56060" spans="6:6" x14ac:dyDescent="0.3">
      <c r="F56060" s="193"/>
    </row>
    <row r="56061" spans="6:6" x14ac:dyDescent="0.3">
      <c r="F56061" s="193"/>
    </row>
    <row r="56062" spans="6:6" x14ac:dyDescent="0.3">
      <c r="F56062" s="193"/>
    </row>
    <row r="56063" spans="6:6" x14ac:dyDescent="0.3">
      <c r="F56063" s="193"/>
    </row>
    <row r="56064" spans="6:6" x14ac:dyDescent="0.3">
      <c r="F56064" s="193"/>
    </row>
    <row r="56065" spans="6:6" x14ac:dyDescent="0.3">
      <c r="F56065" s="193"/>
    </row>
    <row r="56066" spans="6:6" x14ac:dyDescent="0.3">
      <c r="F56066" s="193"/>
    </row>
    <row r="56067" spans="6:6" x14ac:dyDescent="0.3">
      <c r="F56067" s="193"/>
    </row>
    <row r="56068" spans="6:6" x14ac:dyDescent="0.3">
      <c r="F56068" s="193"/>
    </row>
    <row r="56069" spans="6:6" x14ac:dyDescent="0.3">
      <c r="F56069" s="193"/>
    </row>
    <row r="56070" spans="6:6" x14ac:dyDescent="0.3">
      <c r="F56070" s="193"/>
    </row>
    <row r="56071" spans="6:6" x14ac:dyDescent="0.3">
      <c r="F56071" s="193"/>
    </row>
    <row r="56072" spans="6:6" x14ac:dyDescent="0.3">
      <c r="F56072" s="193"/>
    </row>
    <row r="56073" spans="6:6" x14ac:dyDescent="0.3">
      <c r="F56073" s="193"/>
    </row>
    <row r="56074" spans="6:6" x14ac:dyDescent="0.3">
      <c r="F56074" s="193"/>
    </row>
    <row r="56075" spans="6:6" x14ac:dyDescent="0.3">
      <c r="F56075" s="193"/>
    </row>
    <row r="56076" spans="6:6" x14ac:dyDescent="0.3">
      <c r="F56076" s="193"/>
    </row>
    <row r="56077" spans="6:6" x14ac:dyDescent="0.3">
      <c r="F56077" s="193"/>
    </row>
    <row r="56078" spans="6:6" x14ac:dyDescent="0.3">
      <c r="F56078" s="193"/>
    </row>
    <row r="56079" spans="6:6" x14ac:dyDescent="0.3">
      <c r="F56079" s="193"/>
    </row>
    <row r="56080" spans="6:6" x14ac:dyDescent="0.3">
      <c r="F56080" s="193"/>
    </row>
    <row r="56081" spans="6:6" x14ac:dyDescent="0.3">
      <c r="F56081" s="193"/>
    </row>
    <row r="56082" spans="6:6" x14ac:dyDescent="0.3">
      <c r="F56082" s="193"/>
    </row>
    <row r="56083" spans="6:6" x14ac:dyDescent="0.3">
      <c r="F56083" s="193"/>
    </row>
    <row r="56084" spans="6:6" x14ac:dyDescent="0.3">
      <c r="F56084" s="193"/>
    </row>
    <row r="56085" spans="6:6" x14ac:dyDescent="0.3">
      <c r="F56085" s="193"/>
    </row>
    <row r="56086" spans="6:6" x14ac:dyDescent="0.3">
      <c r="F56086" s="193"/>
    </row>
    <row r="56087" spans="6:6" x14ac:dyDescent="0.3">
      <c r="F56087" s="193"/>
    </row>
    <row r="56088" spans="6:6" x14ac:dyDescent="0.3">
      <c r="F56088" s="193"/>
    </row>
    <row r="56089" spans="6:6" x14ac:dyDescent="0.3">
      <c r="F56089" s="193"/>
    </row>
    <row r="56090" spans="6:6" x14ac:dyDescent="0.3">
      <c r="F56090" s="193"/>
    </row>
    <row r="56091" spans="6:6" x14ac:dyDescent="0.3">
      <c r="F56091" s="193"/>
    </row>
    <row r="56092" spans="6:6" x14ac:dyDescent="0.3">
      <c r="F56092" s="193"/>
    </row>
    <row r="56093" spans="6:6" x14ac:dyDescent="0.3">
      <c r="F56093" s="193"/>
    </row>
    <row r="56094" spans="6:6" x14ac:dyDescent="0.3">
      <c r="F56094" s="193"/>
    </row>
    <row r="56095" spans="6:6" x14ac:dyDescent="0.3">
      <c r="F56095" s="193"/>
    </row>
    <row r="56096" spans="6:6" x14ac:dyDescent="0.3">
      <c r="F56096" s="193"/>
    </row>
    <row r="56097" spans="6:6" x14ac:dyDescent="0.3">
      <c r="F56097" s="193"/>
    </row>
    <row r="56098" spans="6:6" x14ac:dyDescent="0.3">
      <c r="F56098" s="193"/>
    </row>
    <row r="56099" spans="6:6" x14ac:dyDescent="0.3">
      <c r="F56099" s="193"/>
    </row>
    <row r="56100" spans="6:6" x14ac:dyDescent="0.3">
      <c r="F56100" s="193"/>
    </row>
    <row r="56101" spans="6:6" x14ac:dyDescent="0.3">
      <c r="F56101" s="193"/>
    </row>
    <row r="56102" spans="6:6" x14ac:dyDescent="0.3">
      <c r="F56102" s="193"/>
    </row>
    <row r="56103" spans="6:6" x14ac:dyDescent="0.3">
      <c r="F56103" s="193"/>
    </row>
    <row r="56104" spans="6:6" x14ac:dyDescent="0.3">
      <c r="F56104" s="193"/>
    </row>
    <row r="56105" spans="6:6" x14ac:dyDescent="0.3">
      <c r="F56105" s="193"/>
    </row>
    <row r="56106" spans="6:6" x14ac:dyDescent="0.3">
      <c r="F56106" s="193"/>
    </row>
    <row r="56107" spans="6:6" x14ac:dyDescent="0.3">
      <c r="F56107" s="193"/>
    </row>
    <row r="56108" spans="6:6" x14ac:dyDescent="0.3">
      <c r="F56108" s="193"/>
    </row>
    <row r="56109" spans="6:6" x14ac:dyDescent="0.3">
      <c r="F56109" s="193"/>
    </row>
    <row r="56110" spans="6:6" x14ac:dyDescent="0.3">
      <c r="F56110" s="193"/>
    </row>
    <row r="56111" spans="6:6" x14ac:dyDescent="0.3">
      <c r="F56111" s="193"/>
    </row>
    <row r="56112" spans="6:6" x14ac:dyDescent="0.3">
      <c r="F56112" s="193"/>
    </row>
    <row r="56113" spans="6:6" x14ac:dyDescent="0.3">
      <c r="F56113" s="193"/>
    </row>
    <row r="56114" spans="6:6" x14ac:dyDescent="0.3">
      <c r="F56114" s="193"/>
    </row>
    <row r="56115" spans="6:6" x14ac:dyDescent="0.3">
      <c r="F56115" s="193"/>
    </row>
    <row r="56116" spans="6:6" x14ac:dyDescent="0.3">
      <c r="F56116" s="193"/>
    </row>
    <row r="56117" spans="6:6" x14ac:dyDescent="0.3">
      <c r="F56117" s="193"/>
    </row>
    <row r="56118" spans="6:6" x14ac:dyDescent="0.3">
      <c r="F56118" s="193"/>
    </row>
    <row r="56119" spans="6:6" x14ac:dyDescent="0.3">
      <c r="F56119" s="193"/>
    </row>
    <row r="56120" spans="6:6" x14ac:dyDescent="0.3">
      <c r="F56120" s="193"/>
    </row>
    <row r="56121" spans="6:6" x14ac:dyDescent="0.3">
      <c r="F56121" s="193"/>
    </row>
    <row r="56122" spans="6:6" x14ac:dyDescent="0.3">
      <c r="F56122" s="193"/>
    </row>
    <row r="56123" spans="6:6" x14ac:dyDescent="0.3">
      <c r="F56123" s="193"/>
    </row>
    <row r="56124" spans="6:6" x14ac:dyDescent="0.3">
      <c r="F56124" s="193"/>
    </row>
    <row r="56125" spans="6:6" x14ac:dyDescent="0.3">
      <c r="F56125" s="193"/>
    </row>
    <row r="56126" spans="6:6" x14ac:dyDescent="0.3">
      <c r="F56126" s="193"/>
    </row>
    <row r="56127" spans="6:6" x14ac:dyDescent="0.3">
      <c r="F56127" s="193"/>
    </row>
    <row r="56128" spans="6:6" x14ac:dyDescent="0.3">
      <c r="F56128" s="193"/>
    </row>
    <row r="56129" spans="6:6" x14ac:dyDescent="0.3">
      <c r="F56129" s="193"/>
    </row>
    <row r="56130" spans="6:6" x14ac:dyDescent="0.3">
      <c r="F56130" s="193"/>
    </row>
    <row r="56131" spans="6:6" x14ac:dyDescent="0.3">
      <c r="F56131" s="193"/>
    </row>
    <row r="56132" spans="6:6" x14ac:dyDescent="0.3">
      <c r="F56132" s="193"/>
    </row>
    <row r="56133" spans="6:6" x14ac:dyDescent="0.3">
      <c r="F56133" s="193"/>
    </row>
    <row r="56134" spans="6:6" x14ac:dyDescent="0.3">
      <c r="F56134" s="193"/>
    </row>
    <row r="56135" spans="6:6" x14ac:dyDescent="0.3">
      <c r="F56135" s="193"/>
    </row>
    <row r="56136" spans="6:6" x14ac:dyDescent="0.3">
      <c r="F56136" s="193"/>
    </row>
    <row r="56137" spans="6:6" x14ac:dyDescent="0.3">
      <c r="F56137" s="193"/>
    </row>
    <row r="56138" spans="6:6" x14ac:dyDescent="0.3">
      <c r="F56138" s="193"/>
    </row>
    <row r="56139" spans="6:6" x14ac:dyDescent="0.3">
      <c r="F56139" s="193"/>
    </row>
    <row r="56140" spans="6:6" x14ac:dyDescent="0.3">
      <c r="F56140" s="193"/>
    </row>
    <row r="56141" spans="6:6" x14ac:dyDescent="0.3">
      <c r="F56141" s="193"/>
    </row>
    <row r="56142" spans="6:6" x14ac:dyDescent="0.3">
      <c r="F56142" s="193"/>
    </row>
    <row r="56143" spans="6:6" x14ac:dyDescent="0.3">
      <c r="F56143" s="193"/>
    </row>
    <row r="56144" spans="6:6" x14ac:dyDescent="0.3">
      <c r="F56144" s="193"/>
    </row>
    <row r="56145" spans="6:6" x14ac:dyDescent="0.3">
      <c r="F56145" s="193"/>
    </row>
    <row r="56146" spans="6:6" x14ac:dyDescent="0.3">
      <c r="F56146" s="193"/>
    </row>
    <row r="56147" spans="6:6" x14ac:dyDescent="0.3">
      <c r="F56147" s="193"/>
    </row>
    <row r="56148" spans="6:6" x14ac:dyDescent="0.3">
      <c r="F56148" s="193"/>
    </row>
    <row r="56149" spans="6:6" x14ac:dyDescent="0.3">
      <c r="F56149" s="193"/>
    </row>
    <row r="56150" spans="6:6" x14ac:dyDescent="0.3">
      <c r="F56150" s="193"/>
    </row>
    <row r="56151" spans="6:6" x14ac:dyDescent="0.3">
      <c r="F56151" s="193"/>
    </row>
    <row r="56152" spans="6:6" x14ac:dyDescent="0.3">
      <c r="F56152" s="193"/>
    </row>
    <row r="56153" spans="6:6" x14ac:dyDescent="0.3">
      <c r="F56153" s="193"/>
    </row>
    <row r="56154" spans="6:6" x14ac:dyDescent="0.3">
      <c r="F56154" s="193"/>
    </row>
    <row r="56155" spans="6:6" x14ac:dyDescent="0.3">
      <c r="F56155" s="193"/>
    </row>
    <row r="56156" spans="6:6" x14ac:dyDescent="0.3">
      <c r="F56156" s="193"/>
    </row>
    <row r="56157" spans="6:6" x14ac:dyDescent="0.3">
      <c r="F56157" s="193"/>
    </row>
    <row r="56158" spans="6:6" x14ac:dyDescent="0.3">
      <c r="F56158" s="193"/>
    </row>
    <row r="56159" spans="6:6" x14ac:dyDescent="0.3">
      <c r="F56159" s="193"/>
    </row>
    <row r="56160" spans="6:6" x14ac:dyDescent="0.3">
      <c r="F56160" s="193"/>
    </row>
    <row r="56161" spans="6:6" x14ac:dyDescent="0.3">
      <c r="F56161" s="193"/>
    </row>
    <row r="56162" spans="6:6" x14ac:dyDescent="0.3">
      <c r="F56162" s="193"/>
    </row>
    <row r="56163" spans="6:6" x14ac:dyDescent="0.3">
      <c r="F56163" s="193"/>
    </row>
    <row r="56164" spans="6:6" x14ac:dyDescent="0.3">
      <c r="F56164" s="193"/>
    </row>
    <row r="56165" spans="6:6" x14ac:dyDescent="0.3">
      <c r="F56165" s="193"/>
    </row>
    <row r="56166" spans="6:6" x14ac:dyDescent="0.3">
      <c r="F56166" s="193"/>
    </row>
    <row r="56167" spans="6:6" x14ac:dyDescent="0.3">
      <c r="F56167" s="193"/>
    </row>
    <row r="56168" spans="6:6" x14ac:dyDescent="0.3">
      <c r="F56168" s="193"/>
    </row>
    <row r="56169" spans="6:6" x14ac:dyDescent="0.3">
      <c r="F56169" s="193"/>
    </row>
    <row r="56170" spans="6:6" x14ac:dyDescent="0.3">
      <c r="F56170" s="193"/>
    </row>
    <row r="56171" spans="6:6" x14ac:dyDescent="0.3">
      <c r="F56171" s="193"/>
    </row>
    <row r="56172" spans="6:6" x14ac:dyDescent="0.3">
      <c r="F56172" s="193"/>
    </row>
    <row r="56173" spans="6:6" x14ac:dyDescent="0.3">
      <c r="F56173" s="193"/>
    </row>
    <row r="56174" spans="6:6" x14ac:dyDescent="0.3">
      <c r="F56174" s="193"/>
    </row>
    <row r="56175" spans="6:6" x14ac:dyDescent="0.3">
      <c r="F56175" s="193"/>
    </row>
    <row r="56176" spans="6:6" x14ac:dyDescent="0.3">
      <c r="F56176" s="193"/>
    </row>
    <row r="56177" spans="6:6" x14ac:dyDescent="0.3">
      <c r="F56177" s="193"/>
    </row>
    <row r="56178" spans="6:6" x14ac:dyDescent="0.3">
      <c r="F56178" s="193"/>
    </row>
    <row r="56179" spans="6:6" x14ac:dyDescent="0.3">
      <c r="F56179" s="193"/>
    </row>
    <row r="56180" spans="6:6" x14ac:dyDescent="0.3">
      <c r="F56180" s="193"/>
    </row>
    <row r="56181" spans="6:6" x14ac:dyDescent="0.3">
      <c r="F56181" s="193"/>
    </row>
    <row r="56182" spans="6:6" x14ac:dyDescent="0.3">
      <c r="F56182" s="193"/>
    </row>
    <row r="56183" spans="6:6" x14ac:dyDescent="0.3">
      <c r="F56183" s="193"/>
    </row>
    <row r="56184" spans="6:6" x14ac:dyDescent="0.3">
      <c r="F56184" s="193"/>
    </row>
    <row r="56185" spans="6:6" x14ac:dyDescent="0.3">
      <c r="F56185" s="193"/>
    </row>
    <row r="56186" spans="6:6" x14ac:dyDescent="0.3">
      <c r="F56186" s="193"/>
    </row>
    <row r="56187" spans="6:6" x14ac:dyDescent="0.3">
      <c r="F56187" s="193"/>
    </row>
    <row r="56188" spans="6:6" x14ac:dyDescent="0.3">
      <c r="F56188" s="193"/>
    </row>
    <row r="56189" spans="6:6" x14ac:dyDescent="0.3">
      <c r="F56189" s="193"/>
    </row>
    <row r="56190" spans="6:6" x14ac:dyDescent="0.3">
      <c r="F56190" s="193"/>
    </row>
    <row r="56191" spans="6:6" x14ac:dyDescent="0.3">
      <c r="F56191" s="193"/>
    </row>
    <row r="56192" spans="6:6" x14ac:dyDescent="0.3">
      <c r="F56192" s="193"/>
    </row>
    <row r="56193" spans="6:6" x14ac:dyDescent="0.3">
      <c r="F56193" s="193"/>
    </row>
    <row r="56194" spans="6:6" x14ac:dyDescent="0.3">
      <c r="F56194" s="193"/>
    </row>
    <row r="56195" spans="6:6" x14ac:dyDescent="0.3">
      <c r="F56195" s="193"/>
    </row>
    <row r="56196" spans="6:6" x14ac:dyDescent="0.3">
      <c r="F56196" s="193"/>
    </row>
    <row r="56197" spans="6:6" x14ac:dyDescent="0.3">
      <c r="F56197" s="193"/>
    </row>
    <row r="56198" spans="6:6" x14ac:dyDescent="0.3">
      <c r="F56198" s="193"/>
    </row>
    <row r="56199" spans="6:6" x14ac:dyDescent="0.3">
      <c r="F56199" s="193"/>
    </row>
    <row r="56200" spans="6:6" x14ac:dyDescent="0.3">
      <c r="F56200" s="193"/>
    </row>
    <row r="56201" spans="6:6" x14ac:dyDescent="0.3">
      <c r="F56201" s="193"/>
    </row>
    <row r="56202" spans="6:6" x14ac:dyDescent="0.3">
      <c r="F56202" s="193"/>
    </row>
    <row r="56203" spans="6:6" x14ac:dyDescent="0.3">
      <c r="F56203" s="193"/>
    </row>
    <row r="56204" spans="6:6" x14ac:dyDescent="0.3">
      <c r="F56204" s="193"/>
    </row>
    <row r="56205" spans="6:6" x14ac:dyDescent="0.3">
      <c r="F56205" s="193"/>
    </row>
    <row r="56206" spans="6:6" x14ac:dyDescent="0.3">
      <c r="F56206" s="193"/>
    </row>
    <row r="56207" spans="6:6" x14ac:dyDescent="0.3">
      <c r="F56207" s="193"/>
    </row>
    <row r="56208" spans="6:6" x14ac:dyDescent="0.3">
      <c r="F56208" s="193"/>
    </row>
    <row r="56209" spans="6:6" x14ac:dyDescent="0.3">
      <c r="F56209" s="193"/>
    </row>
    <row r="56210" spans="6:6" x14ac:dyDescent="0.3">
      <c r="F56210" s="193"/>
    </row>
    <row r="56211" spans="6:6" x14ac:dyDescent="0.3">
      <c r="F56211" s="193"/>
    </row>
    <row r="56212" spans="6:6" x14ac:dyDescent="0.3">
      <c r="F56212" s="193"/>
    </row>
    <row r="56213" spans="6:6" x14ac:dyDescent="0.3">
      <c r="F56213" s="193"/>
    </row>
    <row r="56214" spans="6:6" x14ac:dyDescent="0.3">
      <c r="F56214" s="193"/>
    </row>
    <row r="56215" spans="6:6" x14ac:dyDescent="0.3">
      <c r="F56215" s="193"/>
    </row>
    <row r="56216" spans="6:6" x14ac:dyDescent="0.3">
      <c r="F56216" s="193"/>
    </row>
    <row r="56217" spans="6:6" x14ac:dyDescent="0.3">
      <c r="F56217" s="193"/>
    </row>
    <row r="56218" spans="6:6" x14ac:dyDescent="0.3">
      <c r="F56218" s="193"/>
    </row>
    <row r="56219" spans="6:6" x14ac:dyDescent="0.3">
      <c r="F56219" s="193"/>
    </row>
    <row r="56220" spans="6:6" x14ac:dyDescent="0.3">
      <c r="F56220" s="193"/>
    </row>
    <row r="56221" spans="6:6" x14ac:dyDescent="0.3">
      <c r="F56221" s="193"/>
    </row>
    <row r="56222" spans="6:6" x14ac:dyDescent="0.3">
      <c r="F56222" s="193"/>
    </row>
    <row r="56223" spans="6:6" x14ac:dyDescent="0.3">
      <c r="F56223" s="193"/>
    </row>
    <row r="56224" spans="6:6" x14ac:dyDescent="0.3">
      <c r="F56224" s="193"/>
    </row>
    <row r="56225" spans="6:6" x14ac:dyDescent="0.3">
      <c r="F56225" s="193"/>
    </row>
    <row r="56226" spans="6:6" x14ac:dyDescent="0.3">
      <c r="F56226" s="193"/>
    </row>
    <row r="56227" spans="6:6" x14ac:dyDescent="0.3">
      <c r="F56227" s="193"/>
    </row>
    <row r="56228" spans="6:6" x14ac:dyDescent="0.3">
      <c r="F56228" s="193"/>
    </row>
    <row r="56229" spans="6:6" x14ac:dyDescent="0.3">
      <c r="F56229" s="193"/>
    </row>
    <row r="56230" spans="6:6" x14ac:dyDescent="0.3">
      <c r="F56230" s="193"/>
    </row>
    <row r="56231" spans="6:6" x14ac:dyDescent="0.3">
      <c r="F56231" s="193"/>
    </row>
    <row r="56232" spans="6:6" x14ac:dyDescent="0.3">
      <c r="F56232" s="193"/>
    </row>
    <row r="56233" spans="6:6" x14ac:dyDescent="0.3">
      <c r="F56233" s="193"/>
    </row>
    <row r="56234" spans="6:6" x14ac:dyDescent="0.3">
      <c r="F56234" s="193"/>
    </row>
    <row r="56235" spans="6:6" x14ac:dyDescent="0.3">
      <c r="F56235" s="193"/>
    </row>
    <row r="56236" spans="6:6" x14ac:dyDescent="0.3">
      <c r="F56236" s="193"/>
    </row>
    <row r="56237" spans="6:6" x14ac:dyDescent="0.3">
      <c r="F56237" s="193"/>
    </row>
    <row r="56238" spans="6:6" x14ac:dyDescent="0.3">
      <c r="F56238" s="193"/>
    </row>
    <row r="56239" spans="6:6" x14ac:dyDescent="0.3">
      <c r="F56239" s="193"/>
    </row>
    <row r="56240" spans="6:6" x14ac:dyDescent="0.3">
      <c r="F56240" s="193"/>
    </row>
    <row r="56241" spans="6:6" x14ac:dyDescent="0.3">
      <c r="F56241" s="193"/>
    </row>
    <row r="56242" spans="6:6" x14ac:dyDescent="0.3">
      <c r="F56242" s="193"/>
    </row>
    <row r="56243" spans="6:6" x14ac:dyDescent="0.3">
      <c r="F56243" s="193"/>
    </row>
    <row r="56244" spans="6:6" x14ac:dyDescent="0.3">
      <c r="F56244" s="193"/>
    </row>
    <row r="56245" spans="6:6" x14ac:dyDescent="0.3">
      <c r="F56245" s="193"/>
    </row>
    <row r="56246" spans="6:6" x14ac:dyDescent="0.3">
      <c r="F56246" s="193"/>
    </row>
    <row r="56247" spans="6:6" x14ac:dyDescent="0.3">
      <c r="F56247" s="193"/>
    </row>
    <row r="56248" spans="6:6" x14ac:dyDescent="0.3">
      <c r="F56248" s="193"/>
    </row>
    <row r="56249" spans="6:6" x14ac:dyDescent="0.3">
      <c r="F56249" s="193"/>
    </row>
    <row r="56250" spans="6:6" x14ac:dyDescent="0.3">
      <c r="F56250" s="193"/>
    </row>
    <row r="56251" spans="6:6" x14ac:dyDescent="0.3">
      <c r="F56251" s="193"/>
    </row>
    <row r="56252" spans="6:6" x14ac:dyDescent="0.3">
      <c r="F56252" s="193"/>
    </row>
    <row r="56253" spans="6:6" x14ac:dyDescent="0.3">
      <c r="F56253" s="193"/>
    </row>
    <row r="56254" spans="6:6" x14ac:dyDescent="0.3">
      <c r="F56254" s="193"/>
    </row>
    <row r="56255" spans="6:6" x14ac:dyDescent="0.3">
      <c r="F56255" s="193"/>
    </row>
    <row r="56256" spans="6:6" x14ac:dyDescent="0.3">
      <c r="F56256" s="193"/>
    </row>
    <row r="56257" spans="6:6" x14ac:dyDescent="0.3">
      <c r="F56257" s="193"/>
    </row>
    <row r="56258" spans="6:6" x14ac:dyDescent="0.3">
      <c r="F56258" s="193"/>
    </row>
    <row r="56259" spans="6:6" x14ac:dyDescent="0.3">
      <c r="F56259" s="193"/>
    </row>
    <row r="56260" spans="6:6" x14ac:dyDescent="0.3">
      <c r="F56260" s="193"/>
    </row>
    <row r="56261" spans="6:6" x14ac:dyDescent="0.3">
      <c r="F56261" s="193"/>
    </row>
    <row r="56262" spans="6:6" x14ac:dyDescent="0.3">
      <c r="F56262" s="193"/>
    </row>
    <row r="56263" spans="6:6" x14ac:dyDescent="0.3">
      <c r="F56263" s="193"/>
    </row>
    <row r="56264" spans="6:6" x14ac:dyDescent="0.3">
      <c r="F56264" s="193"/>
    </row>
    <row r="56265" spans="6:6" x14ac:dyDescent="0.3">
      <c r="F56265" s="193"/>
    </row>
    <row r="56266" spans="6:6" x14ac:dyDescent="0.3">
      <c r="F56266" s="193"/>
    </row>
    <row r="56267" spans="6:6" x14ac:dyDescent="0.3">
      <c r="F56267" s="193"/>
    </row>
    <row r="56268" spans="6:6" x14ac:dyDescent="0.3">
      <c r="F56268" s="193"/>
    </row>
    <row r="56269" spans="6:6" x14ac:dyDescent="0.3">
      <c r="F56269" s="193"/>
    </row>
    <row r="56270" spans="6:6" x14ac:dyDescent="0.3">
      <c r="F56270" s="193"/>
    </row>
    <row r="56271" spans="6:6" x14ac:dyDescent="0.3">
      <c r="F56271" s="193"/>
    </row>
    <row r="56272" spans="6:6" x14ac:dyDescent="0.3">
      <c r="F56272" s="193"/>
    </row>
    <row r="56273" spans="6:6" x14ac:dyDescent="0.3">
      <c r="F56273" s="193"/>
    </row>
    <row r="56274" spans="6:6" x14ac:dyDescent="0.3">
      <c r="F56274" s="193"/>
    </row>
    <row r="56275" spans="6:6" x14ac:dyDescent="0.3">
      <c r="F56275" s="193"/>
    </row>
    <row r="56276" spans="6:6" x14ac:dyDescent="0.3">
      <c r="F56276" s="193"/>
    </row>
    <row r="56277" spans="6:6" x14ac:dyDescent="0.3">
      <c r="F56277" s="193"/>
    </row>
    <row r="56278" spans="6:6" x14ac:dyDescent="0.3">
      <c r="F56278" s="193"/>
    </row>
    <row r="56279" spans="6:6" x14ac:dyDescent="0.3">
      <c r="F56279" s="193"/>
    </row>
    <row r="56280" spans="6:6" x14ac:dyDescent="0.3">
      <c r="F56280" s="193"/>
    </row>
    <row r="56281" spans="6:6" x14ac:dyDescent="0.3">
      <c r="F56281" s="193"/>
    </row>
    <row r="56282" spans="6:6" x14ac:dyDescent="0.3">
      <c r="F56282" s="193"/>
    </row>
    <row r="56283" spans="6:6" x14ac:dyDescent="0.3">
      <c r="F56283" s="193"/>
    </row>
    <row r="56284" spans="6:6" x14ac:dyDescent="0.3">
      <c r="F56284" s="193"/>
    </row>
    <row r="56285" spans="6:6" x14ac:dyDescent="0.3">
      <c r="F56285" s="193"/>
    </row>
    <row r="56286" spans="6:6" x14ac:dyDescent="0.3">
      <c r="F56286" s="193"/>
    </row>
    <row r="56287" spans="6:6" x14ac:dyDescent="0.3">
      <c r="F56287" s="193"/>
    </row>
    <row r="56288" spans="6:6" x14ac:dyDescent="0.3">
      <c r="F56288" s="193"/>
    </row>
    <row r="56289" spans="6:6" x14ac:dyDescent="0.3">
      <c r="F56289" s="193"/>
    </row>
    <row r="56290" spans="6:6" x14ac:dyDescent="0.3">
      <c r="F56290" s="193"/>
    </row>
    <row r="56291" spans="6:6" x14ac:dyDescent="0.3">
      <c r="F56291" s="193"/>
    </row>
    <row r="56292" spans="6:6" x14ac:dyDescent="0.3">
      <c r="F56292" s="193"/>
    </row>
    <row r="56293" spans="6:6" x14ac:dyDescent="0.3">
      <c r="F56293" s="193"/>
    </row>
    <row r="56294" spans="6:6" x14ac:dyDescent="0.3">
      <c r="F56294" s="193"/>
    </row>
    <row r="56295" spans="6:6" x14ac:dyDescent="0.3">
      <c r="F56295" s="193"/>
    </row>
    <row r="56296" spans="6:6" x14ac:dyDescent="0.3">
      <c r="F56296" s="193"/>
    </row>
    <row r="56297" spans="6:6" x14ac:dyDescent="0.3">
      <c r="F56297" s="193"/>
    </row>
    <row r="56298" spans="6:6" x14ac:dyDescent="0.3">
      <c r="F56298" s="193"/>
    </row>
    <row r="56299" spans="6:6" x14ac:dyDescent="0.3">
      <c r="F56299" s="193"/>
    </row>
    <row r="56300" spans="6:6" x14ac:dyDescent="0.3">
      <c r="F56300" s="193"/>
    </row>
    <row r="56301" spans="6:6" x14ac:dyDescent="0.3">
      <c r="F56301" s="193"/>
    </row>
    <row r="56302" spans="6:6" x14ac:dyDescent="0.3">
      <c r="F56302" s="193"/>
    </row>
    <row r="56303" spans="6:6" x14ac:dyDescent="0.3">
      <c r="F56303" s="193"/>
    </row>
    <row r="56304" spans="6:6" x14ac:dyDescent="0.3">
      <c r="F56304" s="193"/>
    </row>
    <row r="56305" spans="6:6" x14ac:dyDescent="0.3">
      <c r="F56305" s="193"/>
    </row>
    <row r="56306" spans="6:6" x14ac:dyDescent="0.3">
      <c r="F56306" s="193"/>
    </row>
    <row r="56307" spans="6:6" x14ac:dyDescent="0.3">
      <c r="F56307" s="193"/>
    </row>
    <row r="56308" spans="6:6" x14ac:dyDescent="0.3">
      <c r="F56308" s="193"/>
    </row>
    <row r="56309" spans="6:6" x14ac:dyDescent="0.3">
      <c r="F56309" s="193"/>
    </row>
    <row r="56310" spans="6:6" x14ac:dyDescent="0.3">
      <c r="F56310" s="193"/>
    </row>
    <row r="56311" spans="6:6" x14ac:dyDescent="0.3">
      <c r="F56311" s="193"/>
    </row>
    <row r="56312" spans="6:6" x14ac:dyDescent="0.3">
      <c r="F56312" s="193"/>
    </row>
    <row r="56313" spans="6:6" x14ac:dyDescent="0.3">
      <c r="F56313" s="193"/>
    </row>
    <row r="56314" spans="6:6" x14ac:dyDescent="0.3">
      <c r="F56314" s="193"/>
    </row>
    <row r="56315" spans="6:6" x14ac:dyDescent="0.3">
      <c r="F56315" s="193"/>
    </row>
    <row r="56316" spans="6:6" x14ac:dyDescent="0.3">
      <c r="F56316" s="193"/>
    </row>
    <row r="56317" spans="6:6" x14ac:dyDescent="0.3">
      <c r="F56317" s="193"/>
    </row>
    <row r="56318" spans="6:6" x14ac:dyDescent="0.3">
      <c r="F56318" s="193"/>
    </row>
    <row r="56319" spans="6:6" x14ac:dyDescent="0.3">
      <c r="F56319" s="193"/>
    </row>
    <row r="56320" spans="6:6" x14ac:dyDescent="0.3">
      <c r="F56320" s="193"/>
    </row>
    <row r="56321" spans="6:6" x14ac:dyDescent="0.3">
      <c r="F56321" s="193"/>
    </row>
    <row r="56322" spans="6:6" x14ac:dyDescent="0.3">
      <c r="F56322" s="193"/>
    </row>
    <row r="56323" spans="6:6" x14ac:dyDescent="0.3">
      <c r="F56323" s="193"/>
    </row>
    <row r="56324" spans="6:6" x14ac:dyDescent="0.3">
      <c r="F56324" s="193"/>
    </row>
    <row r="56325" spans="6:6" x14ac:dyDescent="0.3">
      <c r="F56325" s="193"/>
    </row>
    <row r="56326" spans="6:6" x14ac:dyDescent="0.3">
      <c r="F56326" s="193"/>
    </row>
    <row r="56327" spans="6:6" x14ac:dyDescent="0.3">
      <c r="F56327" s="193"/>
    </row>
    <row r="56328" spans="6:6" x14ac:dyDescent="0.3">
      <c r="F56328" s="193"/>
    </row>
    <row r="56329" spans="6:6" x14ac:dyDescent="0.3">
      <c r="F56329" s="193"/>
    </row>
    <row r="56330" spans="6:6" x14ac:dyDescent="0.3">
      <c r="F56330" s="193"/>
    </row>
    <row r="56331" spans="6:6" x14ac:dyDescent="0.3">
      <c r="F56331" s="193"/>
    </row>
    <row r="56332" spans="6:6" x14ac:dyDescent="0.3">
      <c r="F56332" s="193"/>
    </row>
    <row r="56333" spans="6:6" x14ac:dyDescent="0.3">
      <c r="F56333" s="193"/>
    </row>
    <row r="56334" spans="6:6" x14ac:dyDescent="0.3">
      <c r="F56334" s="193"/>
    </row>
    <row r="56335" spans="6:6" x14ac:dyDescent="0.3">
      <c r="F56335" s="193"/>
    </row>
    <row r="56336" spans="6:6" x14ac:dyDescent="0.3">
      <c r="F56336" s="193"/>
    </row>
    <row r="56337" spans="6:6" x14ac:dyDescent="0.3">
      <c r="F56337" s="193"/>
    </row>
    <row r="56338" spans="6:6" x14ac:dyDescent="0.3">
      <c r="F56338" s="193"/>
    </row>
    <row r="56339" spans="6:6" x14ac:dyDescent="0.3">
      <c r="F56339" s="193"/>
    </row>
    <row r="56340" spans="6:6" x14ac:dyDescent="0.3">
      <c r="F56340" s="193"/>
    </row>
    <row r="56341" spans="6:6" x14ac:dyDescent="0.3">
      <c r="F56341" s="193"/>
    </row>
    <row r="56342" spans="6:6" x14ac:dyDescent="0.3">
      <c r="F56342" s="193"/>
    </row>
    <row r="56343" spans="6:6" x14ac:dyDescent="0.3">
      <c r="F56343" s="193"/>
    </row>
    <row r="56344" spans="6:6" x14ac:dyDescent="0.3">
      <c r="F56344" s="193"/>
    </row>
    <row r="56345" spans="6:6" x14ac:dyDescent="0.3">
      <c r="F56345" s="193"/>
    </row>
    <row r="56346" spans="6:6" x14ac:dyDescent="0.3">
      <c r="F56346" s="193"/>
    </row>
    <row r="56347" spans="6:6" x14ac:dyDescent="0.3">
      <c r="F56347" s="193"/>
    </row>
    <row r="56348" spans="6:6" x14ac:dyDescent="0.3">
      <c r="F56348" s="193"/>
    </row>
    <row r="56349" spans="6:6" x14ac:dyDescent="0.3">
      <c r="F56349" s="193"/>
    </row>
    <row r="56350" spans="6:6" x14ac:dyDescent="0.3">
      <c r="F56350" s="193"/>
    </row>
    <row r="56351" spans="6:6" x14ac:dyDescent="0.3">
      <c r="F56351" s="193"/>
    </row>
    <row r="56352" spans="6:6" x14ac:dyDescent="0.3">
      <c r="F56352" s="193"/>
    </row>
    <row r="56353" spans="6:6" x14ac:dyDescent="0.3">
      <c r="F56353" s="193"/>
    </row>
    <row r="56354" spans="6:6" x14ac:dyDescent="0.3">
      <c r="F56354" s="193"/>
    </row>
    <row r="56355" spans="6:6" x14ac:dyDescent="0.3">
      <c r="F56355" s="193"/>
    </row>
    <row r="56356" spans="6:6" x14ac:dyDescent="0.3">
      <c r="F56356" s="193"/>
    </row>
    <row r="56357" spans="6:6" x14ac:dyDescent="0.3">
      <c r="F56357" s="193"/>
    </row>
    <row r="56358" spans="6:6" x14ac:dyDescent="0.3">
      <c r="F56358" s="193"/>
    </row>
    <row r="56359" spans="6:6" x14ac:dyDescent="0.3">
      <c r="F56359" s="193"/>
    </row>
    <row r="56360" spans="6:6" x14ac:dyDescent="0.3">
      <c r="F56360" s="193"/>
    </row>
    <row r="56361" spans="6:6" x14ac:dyDescent="0.3">
      <c r="F56361" s="193"/>
    </row>
    <row r="56362" spans="6:6" x14ac:dyDescent="0.3">
      <c r="F56362" s="193"/>
    </row>
    <row r="56363" spans="6:6" x14ac:dyDescent="0.3">
      <c r="F56363" s="193"/>
    </row>
    <row r="56364" spans="6:6" x14ac:dyDescent="0.3">
      <c r="F56364" s="193"/>
    </row>
    <row r="56365" spans="6:6" x14ac:dyDescent="0.3">
      <c r="F56365" s="193"/>
    </row>
    <row r="56366" spans="6:6" x14ac:dyDescent="0.3">
      <c r="F56366" s="193"/>
    </row>
    <row r="56367" spans="6:6" x14ac:dyDescent="0.3">
      <c r="F56367" s="193"/>
    </row>
    <row r="56368" spans="6:6" x14ac:dyDescent="0.3">
      <c r="F56368" s="193"/>
    </row>
    <row r="56369" spans="6:6" x14ac:dyDescent="0.3">
      <c r="F56369" s="193"/>
    </row>
    <row r="56370" spans="6:6" x14ac:dyDescent="0.3">
      <c r="F56370" s="193"/>
    </row>
    <row r="56371" spans="6:6" x14ac:dyDescent="0.3">
      <c r="F56371" s="193"/>
    </row>
    <row r="56372" spans="6:6" x14ac:dyDescent="0.3">
      <c r="F56372" s="193"/>
    </row>
    <row r="56373" spans="6:6" x14ac:dyDescent="0.3">
      <c r="F56373" s="193"/>
    </row>
    <row r="56374" spans="6:6" x14ac:dyDescent="0.3">
      <c r="F56374" s="193"/>
    </row>
    <row r="56375" spans="6:6" x14ac:dyDescent="0.3">
      <c r="F56375" s="193"/>
    </row>
    <row r="56376" spans="6:6" x14ac:dyDescent="0.3">
      <c r="F56376" s="193"/>
    </row>
    <row r="56377" spans="6:6" x14ac:dyDescent="0.3">
      <c r="F56377" s="193"/>
    </row>
    <row r="56378" spans="6:6" x14ac:dyDescent="0.3">
      <c r="F56378" s="193"/>
    </row>
    <row r="56379" spans="6:6" x14ac:dyDescent="0.3">
      <c r="F56379" s="193"/>
    </row>
    <row r="56380" spans="6:6" x14ac:dyDescent="0.3">
      <c r="F56380" s="193"/>
    </row>
    <row r="56381" spans="6:6" x14ac:dyDescent="0.3">
      <c r="F56381" s="193"/>
    </row>
    <row r="56382" spans="6:6" x14ac:dyDescent="0.3">
      <c r="F56382" s="193"/>
    </row>
    <row r="56383" spans="6:6" x14ac:dyDescent="0.3">
      <c r="F56383" s="193"/>
    </row>
    <row r="56384" spans="6:6" x14ac:dyDescent="0.3">
      <c r="F56384" s="193"/>
    </row>
    <row r="56385" spans="6:6" x14ac:dyDescent="0.3">
      <c r="F56385" s="193"/>
    </row>
    <row r="56386" spans="6:6" x14ac:dyDescent="0.3">
      <c r="F56386" s="193"/>
    </row>
    <row r="56387" spans="6:6" x14ac:dyDescent="0.3">
      <c r="F56387" s="193"/>
    </row>
    <row r="56388" spans="6:6" x14ac:dyDescent="0.3">
      <c r="F56388" s="193"/>
    </row>
    <row r="56389" spans="6:6" x14ac:dyDescent="0.3">
      <c r="F56389" s="193"/>
    </row>
    <row r="56390" spans="6:6" x14ac:dyDescent="0.3">
      <c r="F56390" s="193"/>
    </row>
    <row r="56391" spans="6:6" x14ac:dyDescent="0.3">
      <c r="F56391" s="193"/>
    </row>
    <row r="56392" spans="6:6" x14ac:dyDescent="0.3">
      <c r="F56392" s="193"/>
    </row>
    <row r="56393" spans="6:6" x14ac:dyDescent="0.3">
      <c r="F56393" s="193"/>
    </row>
    <row r="56394" spans="6:6" x14ac:dyDescent="0.3">
      <c r="F56394" s="193"/>
    </row>
    <row r="56395" spans="6:6" x14ac:dyDescent="0.3">
      <c r="F56395" s="193"/>
    </row>
    <row r="56396" spans="6:6" x14ac:dyDescent="0.3">
      <c r="F56396" s="193"/>
    </row>
    <row r="56397" spans="6:6" x14ac:dyDescent="0.3">
      <c r="F56397" s="193"/>
    </row>
    <row r="56398" spans="6:6" x14ac:dyDescent="0.3">
      <c r="F56398" s="193"/>
    </row>
    <row r="56399" spans="6:6" x14ac:dyDescent="0.3">
      <c r="F56399" s="193"/>
    </row>
    <row r="56400" spans="6:6" x14ac:dyDescent="0.3">
      <c r="F56400" s="193"/>
    </row>
    <row r="56401" spans="6:6" x14ac:dyDescent="0.3">
      <c r="F56401" s="193"/>
    </row>
    <row r="56402" spans="6:6" x14ac:dyDescent="0.3">
      <c r="F56402" s="193"/>
    </row>
    <row r="56403" spans="6:6" x14ac:dyDescent="0.3">
      <c r="F56403" s="193"/>
    </row>
    <row r="56404" spans="6:6" x14ac:dyDescent="0.3">
      <c r="F56404" s="193"/>
    </row>
    <row r="56405" spans="6:6" x14ac:dyDescent="0.3">
      <c r="F56405" s="193"/>
    </row>
    <row r="56406" spans="6:6" x14ac:dyDescent="0.3">
      <c r="F56406" s="193"/>
    </row>
    <row r="56407" spans="6:6" x14ac:dyDescent="0.3">
      <c r="F56407" s="193"/>
    </row>
    <row r="56408" spans="6:6" x14ac:dyDescent="0.3">
      <c r="F56408" s="193"/>
    </row>
    <row r="56409" spans="6:6" x14ac:dyDescent="0.3">
      <c r="F56409" s="193"/>
    </row>
    <row r="56410" spans="6:6" x14ac:dyDescent="0.3">
      <c r="F56410" s="193"/>
    </row>
    <row r="56411" spans="6:6" x14ac:dyDescent="0.3">
      <c r="F56411" s="193"/>
    </row>
    <row r="56412" spans="6:6" x14ac:dyDescent="0.3">
      <c r="F56412" s="193"/>
    </row>
    <row r="56413" spans="6:6" x14ac:dyDescent="0.3">
      <c r="F56413" s="193"/>
    </row>
    <row r="56414" spans="6:6" x14ac:dyDescent="0.3">
      <c r="F56414" s="193"/>
    </row>
    <row r="56415" spans="6:6" x14ac:dyDescent="0.3">
      <c r="F56415" s="193"/>
    </row>
    <row r="56416" spans="6:6" x14ac:dyDescent="0.3">
      <c r="F56416" s="193"/>
    </row>
    <row r="56417" spans="6:6" x14ac:dyDescent="0.3">
      <c r="F56417" s="193"/>
    </row>
    <row r="56418" spans="6:6" x14ac:dyDescent="0.3">
      <c r="F56418" s="193"/>
    </row>
    <row r="56419" spans="6:6" x14ac:dyDescent="0.3">
      <c r="F56419" s="193"/>
    </row>
    <row r="56420" spans="6:6" x14ac:dyDescent="0.3">
      <c r="F56420" s="193"/>
    </row>
    <row r="56421" spans="6:6" x14ac:dyDescent="0.3">
      <c r="F56421" s="193"/>
    </row>
    <row r="56422" spans="6:6" x14ac:dyDescent="0.3">
      <c r="F56422" s="193"/>
    </row>
    <row r="56423" spans="6:6" x14ac:dyDescent="0.3">
      <c r="F56423" s="193"/>
    </row>
    <row r="56424" spans="6:6" x14ac:dyDescent="0.3">
      <c r="F56424" s="193"/>
    </row>
    <row r="56425" spans="6:6" x14ac:dyDescent="0.3">
      <c r="F56425" s="193"/>
    </row>
    <row r="56426" spans="6:6" x14ac:dyDescent="0.3">
      <c r="F56426" s="193"/>
    </row>
    <row r="56427" spans="6:6" x14ac:dyDescent="0.3">
      <c r="F56427" s="193"/>
    </row>
    <row r="56428" spans="6:6" x14ac:dyDescent="0.3">
      <c r="F56428" s="193"/>
    </row>
    <row r="56429" spans="6:6" x14ac:dyDescent="0.3">
      <c r="F56429" s="193"/>
    </row>
    <row r="56430" spans="6:6" x14ac:dyDescent="0.3">
      <c r="F56430" s="193"/>
    </row>
    <row r="56431" spans="6:6" x14ac:dyDescent="0.3">
      <c r="F56431" s="193"/>
    </row>
    <row r="56432" spans="6:6" x14ac:dyDescent="0.3">
      <c r="F56432" s="193"/>
    </row>
    <row r="56433" spans="6:6" x14ac:dyDescent="0.3">
      <c r="F56433" s="193"/>
    </row>
    <row r="56434" spans="6:6" x14ac:dyDescent="0.3">
      <c r="F56434" s="193"/>
    </row>
    <row r="56435" spans="6:6" x14ac:dyDescent="0.3">
      <c r="F56435" s="193"/>
    </row>
    <row r="56436" spans="6:6" x14ac:dyDescent="0.3">
      <c r="F56436" s="193"/>
    </row>
    <row r="56437" spans="6:6" x14ac:dyDescent="0.3">
      <c r="F56437" s="193"/>
    </row>
    <row r="56438" spans="6:6" x14ac:dyDescent="0.3">
      <c r="F56438" s="193"/>
    </row>
    <row r="56439" spans="6:6" x14ac:dyDescent="0.3">
      <c r="F56439" s="193"/>
    </row>
    <row r="56440" spans="6:6" x14ac:dyDescent="0.3">
      <c r="F56440" s="193"/>
    </row>
    <row r="56441" spans="6:6" x14ac:dyDescent="0.3">
      <c r="F56441" s="193"/>
    </row>
    <row r="56442" spans="6:6" x14ac:dyDescent="0.3">
      <c r="F56442" s="193"/>
    </row>
    <row r="56443" spans="6:6" x14ac:dyDescent="0.3">
      <c r="F56443" s="193"/>
    </row>
    <row r="56444" spans="6:6" x14ac:dyDescent="0.3">
      <c r="F56444" s="193"/>
    </row>
    <row r="56445" spans="6:6" x14ac:dyDescent="0.3">
      <c r="F56445" s="193"/>
    </row>
    <row r="56446" spans="6:6" x14ac:dyDescent="0.3">
      <c r="F56446" s="193"/>
    </row>
    <row r="56447" spans="6:6" x14ac:dyDescent="0.3">
      <c r="F56447" s="193"/>
    </row>
    <row r="56448" spans="6:6" x14ac:dyDescent="0.3">
      <c r="F56448" s="193"/>
    </row>
    <row r="56449" spans="6:6" x14ac:dyDescent="0.3">
      <c r="F56449" s="193"/>
    </row>
    <row r="56450" spans="6:6" x14ac:dyDescent="0.3">
      <c r="F56450" s="193"/>
    </row>
    <row r="56451" spans="6:6" x14ac:dyDescent="0.3">
      <c r="F56451" s="193"/>
    </row>
    <row r="56452" spans="6:6" x14ac:dyDescent="0.3">
      <c r="F56452" s="193"/>
    </row>
    <row r="56453" spans="6:6" x14ac:dyDescent="0.3">
      <c r="F56453" s="193"/>
    </row>
    <row r="56454" spans="6:6" x14ac:dyDescent="0.3">
      <c r="F56454" s="193"/>
    </row>
    <row r="56455" spans="6:6" x14ac:dyDescent="0.3">
      <c r="F56455" s="193"/>
    </row>
    <row r="56456" spans="6:6" x14ac:dyDescent="0.3">
      <c r="F56456" s="193"/>
    </row>
    <row r="56457" spans="6:6" x14ac:dyDescent="0.3">
      <c r="F56457" s="193"/>
    </row>
    <row r="56458" spans="6:6" x14ac:dyDescent="0.3">
      <c r="F56458" s="193"/>
    </row>
    <row r="56459" spans="6:6" x14ac:dyDescent="0.3">
      <c r="F56459" s="193"/>
    </row>
    <row r="56460" spans="6:6" x14ac:dyDescent="0.3">
      <c r="F56460" s="193"/>
    </row>
    <row r="56461" spans="6:6" x14ac:dyDescent="0.3">
      <c r="F56461" s="193"/>
    </row>
    <row r="56462" spans="6:6" x14ac:dyDescent="0.3">
      <c r="F56462" s="193"/>
    </row>
    <row r="56463" spans="6:6" x14ac:dyDescent="0.3">
      <c r="F56463" s="193"/>
    </row>
    <row r="56464" spans="6:6" x14ac:dyDescent="0.3">
      <c r="F56464" s="193"/>
    </row>
    <row r="56465" spans="6:6" x14ac:dyDescent="0.3">
      <c r="F56465" s="193"/>
    </row>
    <row r="56466" spans="6:6" x14ac:dyDescent="0.3">
      <c r="F56466" s="193"/>
    </row>
    <row r="56467" spans="6:6" x14ac:dyDescent="0.3">
      <c r="F56467" s="193"/>
    </row>
    <row r="56468" spans="6:6" x14ac:dyDescent="0.3">
      <c r="F56468" s="193"/>
    </row>
    <row r="56469" spans="6:6" x14ac:dyDescent="0.3">
      <c r="F56469" s="193"/>
    </row>
    <row r="56470" spans="6:6" x14ac:dyDescent="0.3">
      <c r="F56470" s="193"/>
    </row>
    <row r="56471" spans="6:6" x14ac:dyDescent="0.3">
      <c r="F56471" s="193"/>
    </row>
    <row r="56472" spans="6:6" x14ac:dyDescent="0.3">
      <c r="F56472" s="193"/>
    </row>
    <row r="56473" spans="6:6" x14ac:dyDescent="0.3">
      <c r="F56473" s="193"/>
    </row>
    <row r="56474" spans="6:6" x14ac:dyDescent="0.3">
      <c r="F56474" s="193"/>
    </row>
    <row r="56475" spans="6:6" x14ac:dyDescent="0.3">
      <c r="F56475" s="193"/>
    </row>
    <row r="56476" spans="6:6" x14ac:dyDescent="0.3">
      <c r="F56476" s="193"/>
    </row>
    <row r="56477" spans="6:6" x14ac:dyDescent="0.3">
      <c r="F56477" s="193"/>
    </row>
    <row r="56478" spans="6:6" x14ac:dyDescent="0.3">
      <c r="F56478" s="193"/>
    </row>
    <row r="56479" spans="6:6" x14ac:dyDescent="0.3">
      <c r="F56479" s="193"/>
    </row>
    <row r="56480" spans="6:6" x14ac:dyDescent="0.3">
      <c r="F56480" s="193"/>
    </row>
    <row r="56481" spans="6:6" x14ac:dyDescent="0.3">
      <c r="F56481" s="193"/>
    </row>
    <row r="56482" spans="6:6" x14ac:dyDescent="0.3">
      <c r="F56482" s="193"/>
    </row>
    <row r="56483" spans="6:6" x14ac:dyDescent="0.3">
      <c r="F56483" s="193"/>
    </row>
    <row r="56484" spans="6:6" x14ac:dyDescent="0.3">
      <c r="F56484" s="193"/>
    </row>
    <row r="56485" spans="6:6" x14ac:dyDescent="0.3">
      <c r="F56485" s="193"/>
    </row>
    <row r="56486" spans="6:6" x14ac:dyDescent="0.3">
      <c r="F56486" s="193"/>
    </row>
    <row r="56487" spans="6:6" x14ac:dyDescent="0.3">
      <c r="F56487" s="193"/>
    </row>
    <row r="56488" spans="6:6" x14ac:dyDescent="0.3">
      <c r="F56488" s="193"/>
    </row>
    <row r="56489" spans="6:6" x14ac:dyDescent="0.3">
      <c r="F56489" s="193"/>
    </row>
    <row r="56490" spans="6:6" x14ac:dyDescent="0.3">
      <c r="F56490" s="193"/>
    </row>
    <row r="56491" spans="6:6" x14ac:dyDescent="0.3">
      <c r="F56491" s="193"/>
    </row>
    <row r="56492" spans="6:6" x14ac:dyDescent="0.3">
      <c r="F56492" s="193"/>
    </row>
    <row r="56493" spans="6:6" x14ac:dyDescent="0.3">
      <c r="F56493" s="193"/>
    </row>
    <row r="56494" spans="6:6" x14ac:dyDescent="0.3">
      <c r="F56494" s="193"/>
    </row>
    <row r="56495" spans="6:6" x14ac:dyDescent="0.3">
      <c r="F56495" s="193"/>
    </row>
    <row r="56496" spans="6:6" x14ac:dyDescent="0.3">
      <c r="F56496" s="193"/>
    </row>
    <row r="56497" spans="6:6" x14ac:dyDescent="0.3">
      <c r="F56497" s="193"/>
    </row>
    <row r="56498" spans="6:6" x14ac:dyDescent="0.3">
      <c r="F56498" s="193"/>
    </row>
    <row r="56499" spans="6:6" x14ac:dyDescent="0.3">
      <c r="F56499" s="193"/>
    </row>
    <row r="56500" spans="6:6" x14ac:dyDescent="0.3">
      <c r="F56500" s="193"/>
    </row>
    <row r="56501" spans="6:6" x14ac:dyDescent="0.3">
      <c r="F56501" s="193"/>
    </row>
    <row r="56502" spans="6:6" x14ac:dyDescent="0.3">
      <c r="F56502" s="193"/>
    </row>
    <row r="56503" spans="6:6" x14ac:dyDescent="0.3">
      <c r="F56503" s="193"/>
    </row>
    <row r="56504" spans="6:6" x14ac:dyDescent="0.3">
      <c r="F56504" s="193"/>
    </row>
    <row r="56505" spans="6:6" x14ac:dyDescent="0.3">
      <c r="F56505" s="193"/>
    </row>
    <row r="56506" spans="6:6" x14ac:dyDescent="0.3">
      <c r="F56506" s="193"/>
    </row>
    <row r="56507" spans="6:6" x14ac:dyDescent="0.3">
      <c r="F56507" s="193"/>
    </row>
    <row r="56508" spans="6:6" x14ac:dyDescent="0.3">
      <c r="F56508" s="193"/>
    </row>
    <row r="56509" spans="6:6" x14ac:dyDescent="0.3">
      <c r="F56509" s="193"/>
    </row>
    <row r="56510" spans="6:6" x14ac:dyDescent="0.3">
      <c r="F56510" s="193"/>
    </row>
    <row r="56511" spans="6:6" x14ac:dyDescent="0.3">
      <c r="F56511" s="193"/>
    </row>
    <row r="56512" spans="6:6" x14ac:dyDescent="0.3">
      <c r="F56512" s="193"/>
    </row>
    <row r="56513" spans="6:6" x14ac:dyDescent="0.3">
      <c r="F56513" s="193"/>
    </row>
    <row r="56514" spans="6:6" x14ac:dyDescent="0.3">
      <c r="F56514" s="193"/>
    </row>
    <row r="56515" spans="6:6" x14ac:dyDescent="0.3">
      <c r="F56515" s="193"/>
    </row>
    <row r="56516" spans="6:6" x14ac:dyDescent="0.3">
      <c r="F56516" s="193"/>
    </row>
    <row r="56517" spans="6:6" x14ac:dyDescent="0.3">
      <c r="F56517" s="193"/>
    </row>
    <row r="56518" spans="6:6" x14ac:dyDescent="0.3">
      <c r="F56518" s="193"/>
    </row>
    <row r="56519" spans="6:6" x14ac:dyDescent="0.3">
      <c r="F56519" s="193"/>
    </row>
    <row r="56520" spans="6:6" x14ac:dyDescent="0.3">
      <c r="F56520" s="193"/>
    </row>
    <row r="56521" spans="6:6" x14ac:dyDescent="0.3">
      <c r="F56521" s="193"/>
    </row>
    <row r="56522" spans="6:6" x14ac:dyDescent="0.3">
      <c r="F56522" s="193"/>
    </row>
    <row r="56523" spans="6:6" x14ac:dyDescent="0.3">
      <c r="F56523" s="193"/>
    </row>
    <row r="56524" spans="6:6" x14ac:dyDescent="0.3">
      <c r="F56524" s="193"/>
    </row>
    <row r="56525" spans="6:6" x14ac:dyDescent="0.3">
      <c r="F56525" s="193"/>
    </row>
    <row r="56526" spans="6:6" x14ac:dyDescent="0.3">
      <c r="F56526" s="193"/>
    </row>
    <row r="56527" spans="6:6" x14ac:dyDescent="0.3">
      <c r="F56527" s="193"/>
    </row>
    <row r="56528" spans="6:6" x14ac:dyDescent="0.3">
      <c r="F56528" s="193"/>
    </row>
    <row r="56529" spans="6:6" x14ac:dyDescent="0.3">
      <c r="F56529" s="193"/>
    </row>
    <row r="56530" spans="6:6" x14ac:dyDescent="0.3">
      <c r="F56530" s="193"/>
    </row>
    <row r="56531" spans="6:6" x14ac:dyDescent="0.3">
      <c r="F56531" s="193"/>
    </row>
    <row r="56532" spans="6:6" x14ac:dyDescent="0.3">
      <c r="F56532" s="193"/>
    </row>
    <row r="56533" spans="6:6" x14ac:dyDescent="0.3">
      <c r="F56533" s="193"/>
    </row>
    <row r="56534" spans="6:6" x14ac:dyDescent="0.3">
      <c r="F56534" s="193"/>
    </row>
    <row r="56535" spans="6:6" x14ac:dyDescent="0.3">
      <c r="F56535" s="193"/>
    </row>
    <row r="56536" spans="6:6" x14ac:dyDescent="0.3">
      <c r="F56536" s="193"/>
    </row>
    <row r="56537" spans="6:6" x14ac:dyDescent="0.3">
      <c r="F56537" s="193"/>
    </row>
    <row r="56538" spans="6:6" x14ac:dyDescent="0.3">
      <c r="F56538" s="193"/>
    </row>
    <row r="56539" spans="6:6" x14ac:dyDescent="0.3">
      <c r="F56539" s="193"/>
    </row>
    <row r="56540" spans="6:6" x14ac:dyDescent="0.3">
      <c r="F56540" s="193"/>
    </row>
    <row r="56541" spans="6:6" x14ac:dyDescent="0.3">
      <c r="F56541" s="193"/>
    </row>
    <row r="56542" spans="6:6" x14ac:dyDescent="0.3">
      <c r="F56542" s="193"/>
    </row>
    <row r="56543" spans="6:6" x14ac:dyDescent="0.3">
      <c r="F56543" s="193"/>
    </row>
    <row r="56544" spans="6:6" x14ac:dyDescent="0.3">
      <c r="F56544" s="193"/>
    </row>
    <row r="56545" spans="6:6" x14ac:dyDescent="0.3">
      <c r="F56545" s="193"/>
    </row>
    <row r="56546" spans="6:6" x14ac:dyDescent="0.3">
      <c r="F56546" s="193"/>
    </row>
    <row r="56547" spans="6:6" x14ac:dyDescent="0.3">
      <c r="F56547" s="193"/>
    </row>
    <row r="56548" spans="6:6" x14ac:dyDescent="0.3">
      <c r="F56548" s="193"/>
    </row>
    <row r="56549" spans="6:6" x14ac:dyDescent="0.3">
      <c r="F56549" s="193"/>
    </row>
    <row r="56550" spans="6:6" x14ac:dyDescent="0.3">
      <c r="F56550" s="193"/>
    </row>
    <row r="56551" spans="6:6" x14ac:dyDescent="0.3">
      <c r="F56551" s="193"/>
    </row>
    <row r="56552" spans="6:6" x14ac:dyDescent="0.3">
      <c r="F56552" s="193"/>
    </row>
    <row r="56553" spans="6:6" x14ac:dyDescent="0.3">
      <c r="F56553" s="193"/>
    </row>
    <row r="56554" spans="6:6" x14ac:dyDescent="0.3">
      <c r="F56554" s="193"/>
    </row>
    <row r="56555" spans="6:6" x14ac:dyDescent="0.3">
      <c r="F56555" s="193"/>
    </row>
    <row r="56556" spans="6:6" x14ac:dyDescent="0.3">
      <c r="F56556" s="193"/>
    </row>
    <row r="56557" spans="6:6" x14ac:dyDescent="0.3">
      <c r="F56557" s="193"/>
    </row>
    <row r="56558" spans="6:6" x14ac:dyDescent="0.3">
      <c r="F56558" s="193"/>
    </row>
    <row r="56559" spans="6:6" x14ac:dyDescent="0.3">
      <c r="F56559" s="193"/>
    </row>
    <row r="56560" spans="6:6" x14ac:dyDescent="0.3">
      <c r="F56560" s="193"/>
    </row>
    <row r="56561" spans="6:6" x14ac:dyDescent="0.3">
      <c r="F56561" s="193"/>
    </row>
    <row r="56562" spans="6:6" x14ac:dyDescent="0.3">
      <c r="F56562" s="193"/>
    </row>
    <row r="56563" spans="6:6" x14ac:dyDescent="0.3">
      <c r="F56563" s="193"/>
    </row>
    <row r="56564" spans="6:6" x14ac:dyDescent="0.3">
      <c r="F56564" s="193"/>
    </row>
    <row r="56565" spans="6:6" x14ac:dyDescent="0.3">
      <c r="F56565" s="193"/>
    </row>
    <row r="56566" spans="6:6" x14ac:dyDescent="0.3">
      <c r="F56566" s="193"/>
    </row>
    <row r="56567" spans="6:6" x14ac:dyDescent="0.3">
      <c r="F56567" s="193"/>
    </row>
    <row r="56568" spans="6:6" x14ac:dyDescent="0.3">
      <c r="F56568" s="193"/>
    </row>
    <row r="56569" spans="6:6" x14ac:dyDescent="0.3">
      <c r="F56569" s="193"/>
    </row>
    <row r="56570" spans="6:6" x14ac:dyDescent="0.3">
      <c r="F56570" s="193"/>
    </row>
    <row r="56571" spans="6:6" x14ac:dyDescent="0.3">
      <c r="F56571" s="193"/>
    </row>
    <row r="56572" spans="6:6" x14ac:dyDescent="0.3">
      <c r="F56572" s="193"/>
    </row>
    <row r="56573" spans="6:6" x14ac:dyDescent="0.3">
      <c r="F56573" s="193"/>
    </row>
    <row r="56574" spans="6:6" x14ac:dyDescent="0.3">
      <c r="F56574" s="193"/>
    </row>
    <row r="56575" spans="6:6" x14ac:dyDescent="0.3">
      <c r="F56575" s="193"/>
    </row>
    <row r="56576" spans="6:6" x14ac:dyDescent="0.3">
      <c r="F56576" s="193"/>
    </row>
    <row r="56577" spans="6:6" x14ac:dyDescent="0.3">
      <c r="F56577" s="193"/>
    </row>
    <row r="56578" spans="6:6" x14ac:dyDescent="0.3">
      <c r="F56578" s="193"/>
    </row>
    <row r="56579" spans="6:6" x14ac:dyDescent="0.3">
      <c r="F56579" s="193"/>
    </row>
    <row r="56580" spans="6:6" x14ac:dyDescent="0.3">
      <c r="F56580" s="193"/>
    </row>
    <row r="56581" spans="6:6" x14ac:dyDescent="0.3">
      <c r="F56581" s="193"/>
    </row>
    <row r="56582" spans="6:6" x14ac:dyDescent="0.3">
      <c r="F56582" s="193"/>
    </row>
    <row r="56583" spans="6:6" x14ac:dyDescent="0.3">
      <c r="F56583" s="193"/>
    </row>
    <row r="56584" spans="6:6" x14ac:dyDescent="0.3">
      <c r="F56584" s="193"/>
    </row>
    <row r="56585" spans="6:6" x14ac:dyDescent="0.3">
      <c r="F56585" s="193"/>
    </row>
    <row r="56586" spans="6:6" x14ac:dyDescent="0.3">
      <c r="F56586" s="193"/>
    </row>
    <row r="56587" spans="6:6" x14ac:dyDescent="0.3">
      <c r="F56587" s="193"/>
    </row>
    <row r="56588" spans="6:6" x14ac:dyDescent="0.3">
      <c r="F56588" s="193"/>
    </row>
    <row r="56589" spans="6:6" x14ac:dyDescent="0.3">
      <c r="F56589" s="193"/>
    </row>
    <row r="56590" spans="6:6" x14ac:dyDescent="0.3">
      <c r="F56590" s="193"/>
    </row>
    <row r="56591" spans="6:6" x14ac:dyDescent="0.3">
      <c r="F56591" s="193"/>
    </row>
    <row r="56592" spans="6:6" x14ac:dyDescent="0.3">
      <c r="F56592" s="193"/>
    </row>
    <row r="56593" spans="6:6" x14ac:dyDescent="0.3">
      <c r="F56593" s="193"/>
    </row>
    <row r="56594" spans="6:6" x14ac:dyDescent="0.3">
      <c r="F56594" s="193"/>
    </row>
    <row r="56595" spans="6:6" x14ac:dyDescent="0.3">
      <c r="F56595" s="193"/>
    </row>
    <row r="56596" spans="6:6" x14ac:dyDescent="0.3">
      <c r="F56596" s="193"/>
    </row>
    <row r="56597" spans="6:6" x14ac:dyDescent="0.3">
      <c r="F56597" s="193"/>
    </row>
    <row r="56598" spans="6:6" x14ac:dyDescent="0.3">
      <c r="F56598" s="193"/>
    </row>
    <row r="56599" spans="6:6" x14ac:dyDescent="0.3">
      <c r="F56599" s="193"/>
    </row>
    <row r="56600" spans="6:6" x14ac:dyDescent="0.3">
      <c r="F56600" s="193"/>
    </row>
    <row r="56601" spans="6:6" x14ac:dyDescent="0.3">
      <c r="F56601" s="193"/>
    </row>
    <row r="56602" spans="6:6" x14ac:dyDescent="0.3">
      <c r="F56602" s="193"/>
    </row>
    <row r="56603" spans="6:6" x14ac:dyDescent="0.3">
      <c r="F56603" s="193"/>
    </row>
    <row r="56604" spans="6:6" x14ac:dyDescent="0.3">
      <c r="F56604" s="193"/>
    </row>
    <row r="56605" spans="6:6" x14ac:dyDescent="0.3">
      <c r="F56605" s="193"/>
    </row>
    <row r="56606" spans="6:6" x14ac:dyDescent="0.3">
      <c r="F56606" s="193"/>
    </row>
    <row r="56607" spans="6:6" x14ac:dyDescent="0.3">
      <c r="F56607" s="193"/>
    </row>
    <row r="56608" spans="6:6" x14ac:dyDescent="0.3">
      <c r="F56608" s="193"/>
    </row>
    <row r="56609" spans="6:6" x14ac:dyDescent="0.3">
      <c r="F56609" s="193"/>
    </row>
    <row r="56610" spans="6:6" x14ac:dyDescent="0.3">
      <c r="F56610" s="193"/>
    </row>
    <row r="56611" spans="6:6" x14ac:dyDescent="0.3">
      <c r="F56611" s="193"/>
    </row>
    <row r="56612" spans="6:6" x14ac:dyDescent="0.3">
      <c r="F56612" s="193"/>
    </row>
    <row r="56613" spans="6:6" x14ac:dyDescent="0.3">
      <c r="F56613" s="193"/>
    </row>
    <row r="56614" spans="6:6" x14ac:dyDescent="0.3">
      <c r="F56614" s="193"/>
    </row>
    <row r="56615" spans="6:6" x14ac:dyDescent="0.3">
      <c r="F56615" s="193"/>
    </row>
    <row r="56616" spans="6:6" x14ac:dyDescent="0.3">
      <c r="F56616" s="193"/>
    </row>
    <row r="56617" spans="6:6" x14ac:dyDescent="0.3">
      <c r="F56617" s="193"/>
    </row>
    <row r="56618" spans="6:6" x14ac:dyDescent="0.3">
      <c r="F56618" s="193"/>
    </row>
    <row r="56619" spans="6:6" x14ac:dyDescent="0.3">
      <c r="F56619" s="193"/>
    </row>
    <row r="56620" spans="6:6" x14ac:dyDescent="0.3">
      <c r="F56620" s="193"/>
    </row>
    <row r="56621" spans="6:6" x14ac:dyDescent="0.3">
      <c r="F56621" s="193"/>
    </row>
    <row r="56622" spans="6:6" x14ac:dyDescent="0.3">
      <c r="F56622" s="193"/>
    </row>
    <row r="56623" spans="6:6" x14ac:dyDescent="0.3">
      <c r="F56623" s="193"/>
    </row>
    <row r="56624" spans="6:6" x14ac:dyDescent="0.3">
      <c r="F56624" s="193"/>
    </row>
    <row r="56625" spans="6:6" x14ac:dyDescent="0.3">
      <c r="F56625" s="193"/>
    </row>
    <row r="56626" spans="6:6" x14ac:dyDescent="0.3">
      <c r="F56626" s="193"/>
    </row>
    <row r="56627" spans="6:6" x14ac:dyDescent="0.3">
      <c r="F56627" s="193"/>
    </row>
    <row r="56628" spans="6:6" x14ac:dyDescent="0.3">
      <c r="F56628" s="193"/>
    </row>
    <row r="56629" spans="6:6" x14ac:dyDescent="0.3">
      <c r="F56629" s="193"/>
    </row>
    <row r="56630" spans="6:6" x14ac:dyDescent="0.3">
      <c r="F56630" s="193"/>
    </row>
    <row r="56631" spans="6:6" x14ac:dyDescent="0.3">
      <c r="F56631" s="193"/>
    </row>
    <row r="56632" spans="6:6" x14ac:dyDescent="0.3">
      <c r="F56632" s="193"/>
    </row>
    <row r="56633" spans="6:6" x14ac:dyDescent="0.3">
      <c r="F56633" s="193"/>
    </row>
    <row r="56634" spans="6:6" x14ac:dyDescent="0.3">
      <c r="F56634" s="193"/>
    </row>
    <row r="56635" spans="6:6" x14ac:dyDescent="0.3">
      <c r="F56635" s="193"/>
    </row>
    <row r="56636" spans="6:6" x14ac:dyDescent="0.3">
      <c r="F56636" s="193"/>
    </row>
    <row r="56637" spans="6:6" x14ac:dyDescent="0.3">
      <c r="F56637" s="193"/>
    </row>
    <row r="56638" spans="6:6" x14ac:dyDescent="0.3">
      <c r="F56638" s="193"/>
    </row>
    <row r="56639" spans="6:6" x14ac:dyDescent="0.3">
      <c r="F56639" s="193"/>
    </row>
    <row r="56640" spans="6:6" x14ac:dyDescent="0.3">
      <c r="F56640" s="193"/>
    </row>
    <row r="56641" spans="6:6" x14ac:dyDescent="0.3">
      <c r="F56641" s="193"/>
    </row>
    <row r="56642" spans="6:6" x14ac:dyDescent="0.3">
      <c r="F56642" s="193"/>
    </row>
    <row r="56643" spans="6:6" x14ac:dyDescent="0.3">
      <c r="F56643" s="193"/>
    </row>
    <row r="56644" spans="6:6" x14ac:dyDescent="0.3">
      <c r="F56644" s="193"/>
    </row>
    <row r="56645" spans="6:6" x14ac:dyDescent="0.3">
      <c r="F56645" s="193"/>
    </row>
    <row r="56646" spans="6:6" x14ac:dyDescent="0.3">
      <c r="F56646" s="193"/>
    </row>
    <row r="56647" spans="6:6" x14ac:dyDescent="0.3">
      <c r="F56647" s="193"/>
    </row>
    <row r="56648" spans="6:6" x14ac:dyDescent="0.3">
      <c r="F56648" s="193"/>
    </row>
    <row r="56649" spans="6:6" x14ac:dyDescent="0.3">
      <c r="F56649" s="193"/>
    </row>
    <row r="56650" spans="6:6" x14ac:dyDescent="0.3">
      <c r="F56650" s="193"/>
    </row>
    <row r="56651" spans="6:6" x14ac:dyDescent="0.3">
      <c r="F56651" s="193"/>
    </row>
    <row r="56652" spans="6:6" x14ac:dyDescent="0.3">
      <c r="F56652" s="193"/>
    </row>
    <row r="56653" spans="6:6" x14ac:dyDescent="0.3">
      <c r="F56653" s="193"/>
    </row>
    <row r="56654" spans="6:6" x14ac:dyDescent="0.3">
      <c r="F56654" s="193"/>
    </row>
    <row r="56655" spans="6:6" x14ac:dyDescent="0.3">
      <c r="F56655" s="193"/>
    </row>
    <row r="56656" spans="6:6" x14ac:dyDescent="0.3">
      <c r="F56656" s="193"/>
    </row>
    <row r="56657" spans="6:6" x14ac:dyDescent="0.3">
      <c r="F56657" s="193"/>
    </row>
    <row r="56658" spans="6:6" x14ac:dyDescent="0.3">
      <c r="F56658" s="193"/>
    </row>
    <row r="56659" spans="6:6" x14ac:dyDescent="0.3">
      <c r="F56659" s="193"/>
    </row>
    <row r="56660" spans="6:6" x14ac:dyDescent="0.3">
      <c r="F56660" s="193"/>
    </row>
    <row r="56661" spans="6:6" x14ac:dyDescent="0.3">
      <c r="F56661" s="193"/>
    </row>
    <row r="56662" spans="6:6" x14ac:dyDescent="0.3">
      <c r="F56662" s="193"/>
    </row>
    <row r="56663" spans="6:6" x14ac:dyDescent="0.3">
      <c r="F56663" s="193"/>
    </row>
    <row r="56664" spans="6:6" x14ac:dyDescent="0.3">
      <c r="F56664" s="193"/>
    </row>
    <row r="56665" spans="6:6" x14ac:dyDescent="0.3">
      <c r="F56665" s="193"/>
    </row>
    <row r="56666" spans="6:6" x14ac:dyDescent="0.3">
      <c r="F56666" s="193"/>
    </row>
    <row r="56667" spans="6:6" x14ac:dyDescent="0.3">
      <c r="F56667" s="193"/>
    </row>
    <row r="56668" spans="6:6" x14ac:dyDescent="0.3">
      <c r="F56668" s="193"/>
    </row>
    <row r="56669" spans="6:6" x14ac:dyDescent="0.3">
      <c r="F56669" s="193"/>
    </row>
    <row r="56670" spans="6:6" x14ac:dyDescent="0.3">
      <c r="F56670" s="193"/>
    </row>
    <row r="56671" spans="6:6" x14ac:dyDescent="0.3">
      <c r="F56671" s="193"/>
    </row>
    <row r="56672" spans="6:6" x14ac:dyDescent="0.3">
      <c r="F56672" s="193"/>
    </row>
    <row r="56673" spans="6:6" x14ac:dyDescent="0.3">
      <c r="F56673" s="193"/>
    </row>
    <row r="56674" spans="6:6" x14ac:dyDescent="0.3">
      <c r="F56674" s="193"/>
    </row>
    <row r="56675" spans="6:6" x14ac:dyDescent="0.3">
      <c r="F56675" s="193"/>
    </row>
    <row r="56676" spans="6:6" x14ac:dyDescent="0.3">
      <c r="F56676" s="193"/>
    </row>
    <row r="56677" spans="6:6" x14ac:dyDescent="0.3">
      <c r="F56677" s="193"/>
    </row>
    <row r="56678" spans="6:6" x14ac:dyDescent="0.3">
      <c r="F56678" s="193"/>
    </row>
    <row r="56679" spans="6:6" x14ac:dyDescent="0.3">
      <c r="F56679" s="193"/>
    </row>
    <row r="56680" spans="6:6" x14ac:dyDescent="0.3">
      <c r="F56680" s="193"/>
    </row>
    <row r="56681" spans="6:6" x14ac:dyDescent="0.3">
      <c r="F56681" s="193"/>
    </row>
    <row r="56682" spans="6:6" x14ac:dyDescent="0.3">
      <c r="F56682" s="193"/>
    </row>
    <row r="56683" spans="6:6" x14ac:dyDescent="0.3">
      <c r="F56683" s="193"/>
    </row>
    <row r="56684" spans="6:6" x14ac:dyDescent="0.3">
      <c r="F56684" s="193"/>
    </row>
    <row r="56685" spans="6:6" x14ac:dyDescent="0.3">
      <c r="F56685" s="193"/>
    </row>
    <row r="56686" spans="6:6" x14ac:dyDescent="0.3">
      <c r="F56686" s="193"/>
    </row>
    <row r="56687" spans="6:6" x14ac:dyDescent="0.3">
      <c r="F56687" s="193"/>
    </row>
    <row r="56688" spans="6:6" x14ac:dyDescent="0.3">
      <c r="F56688" s="193"/>
    </row>
    <row r="56689" spans="6:6" x14ac:dyDescent="0.3">
      <c r="F56689" s="193"/>
    </row>
    <row r="56690" spans="6:6" x14ac:dyDescent="0.3">
      <c r="F56690" s="193"/>
    </row>
    <row r="56691" spans="6:6" x14ac:dyDescent="0.3">
      <c r="F56691" s="193"/>
    </row>
    <row r="56692" spans="6:6" x14ac:dyDescent="0.3">
      <c r="F56692" s="193"/>
    </row>
    <row r="56693" spans="6:6" x14ac:dyDescent="0.3">
      <c r="F56693" s="193"/>
    </row>
    <row r="56694" spans="6:6" x14ac:dyDescent="0.3">
      <c r="F56694" s="193"/>
    </row>
    <row r="56695" spans="6:6" x14ac:dyDescent="0.3">
      <c r="F56695" s="193"/>
    </row>
    <row r="56696" spans="6:6" x14ac:dyDescent="0.3">
      <c r="F56696" s="193"/>
    </row>
    <row r="56697" spans="6:6" x14ac:dyDescent="0.3">
      <c r="F56697" s="193"/>
    </row>
    <row r="56698" spans="6:6" x14ac:dyDescent="0.3">
      <c r="F56698" s="193"/>
    </row>
    <row r="56699" spans="6:6" x14ac:dyDescent="0.3">
      <c r="F56699" s="193"/>
    </row>
    <row r="56700" spans="6:6" x14ac:dyDescent="0.3">
      <c r="F56700" s="193"/>
    </row>
    <row r="56701" spans="6:6" x14ac:dyDescent="0.3">
      <c r="F56701" s="193"/>
    </row>
    <row r="56702" spans="6:6" x14ac:dyDescent="0.3">
      <c r="F56702" s="193"/>
    </row>
    <row r="56703" spans="6:6" x14ac:dyDescent="0.3">
      <c r="F56703" s="193"/>
    </row>
    <row r="56704" spans="6:6" x14ac:dyDescent="0.3">
      <c r="F56704" s="193"/>
    </row>
    <row r="56705" spans="6:6" x14ac:dyDescent="0.3">
      <c r="F56705" s="193"/>
    </row>
    <row r="56706" spans="6:6" x14ac:dyDescent="0.3">
      <c r="F56706" s="193"/>
    </row>
    <row r="56707" spans="6:6" x14ac:dyDescent="0.3">
      <c r="F56707" s="193"/>
    </row>
    <row r="56708" spans="6:6" x14ac:dyDescent="0.3">
      <c r="F56708" s="193"/>
    </row>
    <row r="56709" spans="6:6" x14ac:dyDescent="0.3">
      <c r="F56709" s="193"/>
    </row>
    <row r="56710" spans="6:6" x14ac:dyDescent="0.3">
      <c r="F56710" s="193"/>
    </row>
    <row r="56711" spans="6:6" x14ac:dyDescent="0.3">
      <c r="F56711" s="193"/>
    </row>
    <row r="56712" spans="6:6" x14ac:dyDescent="0.3">
      <c r="F56712" s="193"/>
    </row>
    <row r="56713" spans="6:6" x14ac:dyDescent="0.3">
      <c r="F56713" s="193"/>
    </row>
    <row r="56714" spans="6:6" x14ac:dyDescent="0.3">
      <c r="F56714" s="193"/>
    </row>
    <row r="56715" spans="6:6" x14ac:dyDescent="0.3">
      <c r="F56715" s="193"/>
    </row>
    <row r="56716" spans="6:6" x14ac:dyDescent="0.3">
      <c r="F56716" s="193"/>
    </row>
    <row r="56717" spans="6:6" x14ac:dyDescent="0.3">
      <c r="F56717" s="193"/>
    </row>
    <row r="56718" spans="6:6" x14ac:dyDescent="0.3">
      <c r="F56718" s="193"/>
    </row>
    <row r="56719" spans="6:6" x14ac:dyDescent="0.3">
      <c r="F56719" s="193"/>
    </row>
    <row r="56720" spans="6:6" x14ac:dyDescent="0.3">
      <c r="F56720" s="193"/>
    </row>
    <row r="56721" spans="6:6" x14ac:dyDescent="0.3">
      <c r="F56721" s="193"/>
    </row>
    <row r="56722" spans="6:6" x14ac:dyDescent="0.3">
      <c r="F56722" s="193"/>
    </row>
    <row r="56723" spans="6:6" x14ac:dyDescent="0.3">
      <c r="F56723" s="193"/>
    </row>
    <row r="56724" spans="6:6" x14ac:dyDescent="0.3">
      <c r="F56724" s="193"/>
    </row>
    <row r="56725" spans="6:6" x14ac:dyDescent="0.3">
      <c r="F56725" s="193"/>
    </row>
    <row r="56726" spans="6:6" x14ac:dyDescent="0.3">
      <c r="F56726" s="193"/>
    </row>
    <row r="56727" spans="6:6" x14ac:dyDescent="0.3">
      <c r="F56727" s="193"/>
    </row>
    <row r="56728" spans="6:6" x14ac:dyDescent="0.3">
      <c r="F56728" s="193"/>
    </row>
    <row r="56729" spans="6:6" x14ac:dyDescent="0.3">
      <c r="F56729" s="193"/>
    </row>
    <row r="56730" spans="6:6" x14ac:dyDescent="0.3">
      <c r="F56730" s="193"/>
    </row>
    <row r="56731" spans="6:6" x14ac:dyDescent="0.3">
      <c r="F56731" s="193"/>
    </row>
    <row r="56732" spans="6:6" x14ac:dyDescent="0.3">
      <c r="F56732" s="193"/>
    </row>
    <row r="56733" spans="6:6" x14ac:dyDescent="0.3">
      <c r="F56733" s="193"/>
    </row>
    <row r="56734" spans="6:6" x14ac:dyDescent="0.3">
      <c r="F56734" s="193"/>
    </row>
    <row r="56735" spans="6:6" x14ac:dyDescent="0.3">
      <c r="F56735" s="193"/>
    </row>
    <row r="56736" spans="6:6" x14ac:dyDescent="0.3">
      <c r="F56736" s="193"/>
    </row>
    <row r="56737" spans="6:6" x14ac:dyDescent="0.3">
      <c r="F56737" s="193"/>
    </row>
    <row r="56738" spans="6:6" x14ac:dyDescent="0.3">
      <c r="F56738" s="193"/>
    </row>
    <row r="56739" spans="6:6" x14ac:dyDescent="0.3">
      <c r="F56739" s="193"/>
    </row>
    <row r="56740" spans="6:6" x14ac:dyDescent="0.3">
      <c r="F56740" s="193"/>
    </row>
    <row r="56741" spans="6:6" x14ac:dyDescent="0.3">
      <c r="F56741" s="193"/>
    </row>
    <row r="56742" spans="6:6" x14ac:dyDescent="0.3">
      <c r="F56742" s="193"/>
    </row>
    <row r="56743" spans="6:6" x14ac:dyDescent="0.3">
      <c r="F56743" s="193"/>
    </row>
    <row r="56744" spans="6:6" x14ac:dyDescent="0.3">
      <c r="F56744" s="193"/>
    </row>
    <row r="56745" spans="6:6" x14ac:dyDescent="0.3">
      <c r="F56745" s="193"/>
    </row>
    <row r="56746" spans="6:6" x14ac:dyDescent="0.3">
      <c r="F56746" s="193"/>
    </row>
    <row r="56747" spans="6:6" x14ac:dyDescent="0.3">
      <c r="F56747" s="193"/>
    </row>
    <row r="56748" spans="6:6" x14ac:dyDescent="0.3">
      <c r="F56748" s="193"/>
    </row>
    <row r="56749" spans="6:6" x14ac:dyDescent="0.3">
      <c r="F56749" s="193"/>
    </row>
    <row r="56750" spans="6:6" x14ac:dyDescent="0.3">
      <c r="F56750" s="193"/>
    </row>
    <row r="56751" spans="6:6" x14ac:dyDescent="0.3">
      <c r="F56751" s="193"/>
    </row>
    <row r="56752" spans="6:6" x14ac:dyDescent="0.3">
      <c r="F56752" s="193"/>
    </row>
    <row r="56753" spans="6:6" x14ac:dyDescent="0.3">
      <c r="F56753" s="193"/>
    </row>
    <row r="56754" spans="6:6" x14ac:dyDescent="0.3">
      <c r="F56754" s="193"/>
    </row>
    <row r="56755" spans="6:6" x14ac:dyDescent="0.3">
      <c r="F56755" s="193"/>
    </row>
    <row r="56756" spans="6:6" x14ac:dyDescent="0.3">
      <c r="F56756" s="193"/>
    </row>
    <row r="56757" spans="6:6" x14ac:dyDescent="0.3">
      <c r="F56757" s="193"/>
    </row>
    <row r="56758" spans="6:6" x14ac:dyDescent="0.3">
      <c r="F56758" s="193"/>
    </row>
    <row r="56759" spans="6:6" x14ac:dyDescent="0.3">
      <c r="F56759" s="193"/>
    </row>
    <row r="56760" spans="6:6" x14ac:dyDescent="0.3">
      <c r="F56760" s="193"/>
    </row>
    <row r="56761" spans="6:6" x14ac:dyDescent="0.3">
      <c r="F56761" s="193"/>
    </row>
    <row r="56762" spans="6:6" x14ac:dyDescent="0.3">
      <c r="F56762" s="193"/>
    </row>
    <row r="56763" spans="6:6" x14ac:dyDescent="0.3">
      <c r="F56763" s="193"/>
    </row>
    <row r="56764" spans="6:6" x14ac:dyDescent="0.3">
      <c r="F56764" s="193"/>
    </row>
    <row r="56765" spans="6:6" x14ac:dyDescent="0.3">
      <c r="F56765" s="193"/>
    </row>
    <row r="56766" spans="6:6" x14ac:dyDescent="0.3">
      <c r="F56766" s="193"/>
    </row>
    <row r="56767" spans="6:6" x14ac:dyDescent="0.3">
      <c r="F56767" s="193"/>
    </row>
    <row r="56768" spans="6:6" x14ac:dyDescent="0.3">
      <c r="F56768" s="193"/>
    </row>
    <row r="56769" spans="6:6" x14ac:dyDescent="0.3">
      <c r="F56769" s="193"/>
    </row>
    <row r="56770" spans="6:6" x14ac:dyDescent="0.3">
      <c r="F56770" s="193"/>
    </row>
    <row r="56771" spans="6:6" x14ac:dyDescent="0.3">
      <c r="F56771" s="193"/>
    </row>
    <row r="56772" spans="6:6" x14ac:dyDescent="0.3">
      <c r="F56772" s="193"/>
    </row>
    <row r="56773" spans="6:6" x14ac:dyDescent="0.3">
      <c r="F56773" s="193"/>
    </row>
    <row r="56774" spans="6:6" x14ac:dyDescent="0.3">
      <c r="F56774" s="193"/>
    </row>
    <row r="56775" spans="6:6" x14ac:dyDescent="0.3">
      <c r="F56775" s="193"/>
    </row>
    <row r="56776" spans="6:6" x14ac:dyDescent="0.3">
      <c r="F56776" s="193"/>
    </row>
    <row r="56777" spans="6:6" x14ac:dyDescent="0.3">
      <c r="F56777" s="193"/>
    </row>
    <row r="56778" spans="6:6" x14ac:dyDescent="0.3">
      <c r="F56778" s="193"/>
    </row>
    <row r="56779" spans="6:6" x14ac:dyDescent="0.3">
      <c r="F56779" s="193"/>
    </row>
    <row r="56780" spans="6:6" x14ac:dyDescent="0.3">
      <c r="F56780" s="193"/>
    </row>
    <row r="56781" spans="6:6" x14ac:dyDescent="0.3">
      <c r="F56781" s="193"/>
    </row>
    <row r="56782" spans="6:6" x14ac:dyDescent="0.3">
      <c r="F56782" s="193"/>
    </row>
    <row r="56783" spans="6:6" x14ac:dyDescent="0.3">
      <c r="F56783" s="193"/>
    </row>
    <row r="56784" spans="6:6" x14ac:dyDescent="0.3">
      <c r="F56784" s="193"/>
    </row>
    <row r="56785" spans="6:6" x14ac:dyDescent="0.3">
      <c r="F56785" s="193"/>
    </row>
    <row r="56786" spans="6:6" x14ac:dyDescent="0.3">
      <c r="F56786" s="193"/>
    </row>
    <row r="56787" spans="6:6" x14ac:dyDescent="0.3">
      <c r="F56787" s="193"/>
    </row>
    <row r="56788" spans="6:6" x14ac:dyDescent="0.3">
      <c r="F56788" s="193"/>
    </row>
    <row r="56789" spans="6:6" x14ac:dyDescent="0.3">
      <c r="F56789" s="193"/>
    </row>
    <row r="56790" spans="6:6" x14ac:dyDescent="0.3">
      <c r="F56790" s="193"/>
    </row>
    <row r="56791" spans="6:6" x14ac:dyDescent="0.3">
      <c r="F56791" s="193"/>
    </row>
    <row r="56792" spans="6:6" x14ac:dyDescent="0.3">
      <c r="F56792" s="193"/>
    </row>
    <row r="56793" spans="6:6" x14ac:dyDescent="0.3">
      <c r="F56793" s="193"/>
    </row>
    <row r="56794" spans="6:6" x14ac:dyDescent="0.3">
      <c r="F56794" s="193"/>
    </row>
    <row r="56795" spans="6:6" x14ac:dyDescent="0.3">
      <c r="F56795" s="193"/>
    </row>
    <row r="56796" spans="6:6" x14ac:dyDescent="0.3">
      <c r="F56796" s="193"/>
    </row>
    <row r="56797" spans="6:6" x14ac:dyDescent="0.3">
      <c r="F56797" s="193"/>
    </row>
    <row r="56798" spans="6:6" x14ac:dyDescent="0.3">
      <c r="F56798" s="193"/>
    </row>
    <row r="56799" spans="6:6" x14ac:dyDescent="0.3">
      <c r="F56799" s="193"/>
    </row>
    <row r="56800" spans="6:6" x14ac:dyDescent="0.3">
      <c r="F56800" s="193"/>
    </row>
    <row r="56801" spans="6:6" x14ac:dyDescent="0.3">
      <c r="F56801" s="193"/>
    </row>
    <row r="56802" spans="6:6" x14ac:dyDescent="0.3">
      <c r="F56802" s="193"/>
    </row>
    <row r="56803" spans="6:6" x14ac:dyDescent="0.3">
      <c r="F56803" s="193"/>
    </row>
    <row r="56804" spans="6:6" x14ac:dyDescent="0.3">
      <c r="F56804" s="193"/>
    </row>
    <row r="56805" spans="6:6" x14ac:dyDescent="0.3">
      <c r="F56805" s="193"/>
    </row>
    <row r="56806" spans="6:6" x14ac:dyDescent="0.3">
      <c r="F56806" s="193"/>
    </row>
    <row r="56807" spans="6:6" x14ac:dyDescent="0.3">
      <c r="F56807" s="193"/>
    </row>
    <row r="56808" spans="6:6" x14ac:dyDescent="0.3">
      <c r="F56808" s="193"/>
    </row>
    <row r="56809" spans="6:6" x14ac:dyDescent="0.3">
      <c r="F56809" s="193"/>
    </row>
    <row r="56810" spans="6:6" x14ac:dyDescent="0.3">
      <c r="F56810" s="193"/>
    </row>
    <row r="56811" spans="6:6" x14ac:dyDescent="0.3">
      <c r="F56811" s="193"/>
    </row>
    <row r="56812" spans="6:6" x14ac:dyDescent="0.3">
      <c r="F56812" s="193"/>
    </row>
    <row r="56813" spans="6:6" x14ac:dyDescent="0.3">
      <c r="F56813" s="193"/>
    </row>
    <row r="56814" spans="6:6" x14ac:dyDescent="0.3">
      <c r="F56814" s="193"/>
    </row>
    <row r="56815" spans="6:6" x14ac:dyDescent="0.3">
      <c r="F56815" s="193"/>
    </row>
    <row r="56816" spans="6:6" x14ac:dyDescent="0.3">
      <c r="F56816" s="193"/>
    </row>
    <row r="56817" spans="6:6" x14ac:dyDescent="0.3">
      <c r="F56817" s="193"/>
    </row>
    <row r="56818" spans="6:6" x14ac:dyDescent="0.3">
      <c r="F56818" s="193"/>
    </row>
    <row r="56819" spans="6:6" x14ac:dyDescent="0.3">
      <c r="F56819" s="193"/>
    </row>
    <row r="56820" spans="6:6" x14ac:dyDescent="0.3">
      <c r="F56820" s="193"/>
    </row>
    <row r="56821" spans="6:6" x14ac:dyDescent="0.3">
      <c r="F56821" s="193"/>
    </row>
    <row r="56822" spans="6:6" x14ac:dyDescent="0.3">
      <c r="F56822" s="193"/>
    </row>
    <row r="56823" spans="6:6" x14ac:dyDescent="0.3">
      <c r="F56823" s="193"/>
    </row>
    <row r="56824" spans="6:6" x14ac:dyDescent="0.3">
      <c r="F56824" s="193"/>
    </row>
    <row r="56825" spans="6:6" x14ac:dyDescent="0.3">
      <c r="F56825" s="193"/>
    </row>
    <row r="56826" spans="6:6" x14ac:dyDescent="0.3">
      <c r="F56826" s="193"/>
    </row>
    <row r="56827" spans="6:6" x14ac:dyDescent="0.3">
      <c r="F56827" s="193"/>
    </row>
    <row r="56828" spans="6:6" x14ac:dyDescent="0.3">
      <c r="F56828" s="193"/>
    </row>
    <row r="56829" spans="6:6" x14ac:dyDescent="0.3">
      <c r="F56829" s="193"/>
    </row>
    <row r="56830" spans="6:6" x14ac:dyDescent="0.3">
      <c r="F56830" s="193"/>
    </row>
    <row r="56831" spans="6:6" x14ac:dyDescent="0.3">
      <c r="F56831" s="193"/>
    </row>
    <row r="56832" spans="6:6" x14ac:dyDescent="0.3">
      <c r="F56832" s="193"/>
    </row>
    <row r="56833" spans="6:6" x14ac:dyDescent="0.3">
      <c r="F56833" s="193"/>
    </row>
    <row r="56834" spans="6:6" x14ac:dyDescent="0.3">
      <c r="F56834" s="193"/>
    </row>
    <row r="56835" spans="6:6" x14ac:dyDescent="0.3">
      <c r="F56835" s="193"/>
    </row>
    <row r="56836" spans="6:6" x14ac:dyDescent="0.3">
      <c r="F56836" s="193"/>
    </row>
    <row r="56837" spans="6:6" x14ac:dyDescent="0.3">
      <c r="F56837" s="193"/>
    </row>
    <row r="56838" spans="6:6" x14ac:dyDescent="0.3">
      <c r="F56838" s="193"/>
    </row>
    <row r="56839" spans="6:6" x14ac:dyDescent="0.3">
      <c r="F56839" s="193"/>
    </row>
    <row r="56840" spans="6:6" x14ac:dyDescent="0.3">
      <c r="F56840" s="193"/>
    </row>
    <row r="56841" spans="6:6" x14ac:dyDescent="0.3">
      <c r="F56841" s="193"/>
    </row>
    <row r="56842" spans="6:6" x14ac:dyDescent="0.3">
      <c r="F56842" s="193"/>
    </row>
    <row r="56843" spans="6:6" x14ac:dyDescent="0.3">
      <c r="F56843" s="193"/>
    </row>
    <row r="56844" spans="6:6" x14ac:dyDescent="0.3">
      <c r="F56844" s="193"/>
    </row>
    <row r="56845" spans="6:6" x14ac:dyDescent="0.3">
      <c r="F56845" s="193"/>
    </row>
    <row r="56846" spans="6:6" x14ac:dyDescent="0.3">
      <c r="F56846" s="193"/>
    </row>
    <row r="56847" spans="6:6" x14ac:dyDescent="0.3">
      <c r="F56847" s="193"/>
    </row>
    <row r="56848" spans="6:6" x14ac:dyDescent="0.3">
      <c r="F56848" s="193"/>
    </row>
    <row r="56849" spans="6:6" x14ac:dyDescent="0.3">
      <c r="F56849" s="193"/>
    </row>
    <row r="56850" spans="6:6" x14ac:dyDescent="0.3">
      <c r="F56850" s="193"/>
    </row>
    <row r="56851" spans="6:6" x14ac:dyDescent="0.3">
      <c r="F56851" s="193"/>
    </row>
    <row r="56852" spans="6:6" x14ac:dyDescent="0.3">
      <c r="F56852" s="193"/>
    </row>
    <row r="56853" spans="6:6" x14ac:dyDescent="0.3">
      <c r="F56853" s="193"/>
    </row>
    <row r="56854" spans="6:6" x14ac:dyDescent="0.3">
      <c r="F56854" s="193"/>
    </row>
    <row r="56855" spans="6:6" x14ac:dyDescent="0.3">
      <c r="F56855" s="193"/>
    </row>
    <row r="56856" spans="6:6" x14ac:dyDescent="0.3">
      <c r="F56856" s="193"/>
    </row>
    <row r="56857" spans="6:6" x14ac:dyDescent="0.3">
      <c r="F56857" s="193"/>
    </row>
    <row r="56858" spans="6:6" x14ac:dyDescent="0.3">
      <c r="F56858" s="193"/>
    </row>
    <row r="56859" spans="6:6" x14ac:dyDescent="0.3">
      <c r="F56859" s="193"/>
    </row>
    <row r="56860" spans="6:6" x14ac:dyDescent="0.3">
      <c r="F56860" s="193"/>
    </row>
    <row r="56861" spans="6:6" x14ac:dyDescent="0.3">
      <c r="F56861" s="193"/>
    </row>
    <row r="56862" spans="6:6" x14ac:dyDescent="0.3">
      <c r="F56862" s="193"/>
    </row>
    <row r="56863" spans="6:6" x14ac:dyDescent="0.3">
      <c r="F56863" s="193"/>
    </row>
    <row r="56864" spans="6:6" x14ac:dyDescent="0.3">
      <c r="F56864" s="193"/>
    </row>
    <row r="56865" spans="6:6" x14ac:dyDescent="0.3">
      <c r="F56865" s="193"/>
    </row>
    <row r="56866" spans="6:6" x14ac:dyDescent="0.3">
      <c r="F56866" s="193"/>
    </row>
    <row r="56867" spans="6:6" x14ac:dyDescent="0.3">
      <c r="F56867" s="193"/>
    </row>
    <row r="56868" spans="6:6" x14ac:dyDescent="0.3">
      <c r="F56868" s="193"/>
    </row>
    <row r="56869" spans="6:6" x14ac:dyDescent="0.3">
      <c r="F56869" s="193"/>
    </row>
    <row r="56870" spans="6:6" x14ac:dyDescent="0.3">
      <c r="F56870" s="193"/>
    </row>
    <row r="56871" spans="6:6" x14ac:dyDescent="0.3">
      <c r="F56871" s="193"/>
    </row>
    <row r="56872" spans="6:6" x14ac:dyDescent="0.3">
      <c r="F56872" s="193"/>
    </row>
    <row r="56873" spans="6:6" x14ac:dyDescent="0.3">
      <c r="F56873" s="193"/>
    </row>
    <row r="56874" spans="6:6" x14ac:dyDescent="0.3">
      <c r="F56874" s="193"/>
    </row>
    <row r="56875" spans="6:6" x14ac:dyDescent="0.3">
      <c r="F56875" s="193"/>
    </row>
    <row r="56876" spans="6:6" x14ac:dyDescent="0.3">
      <c r="F56876" s="193"/>
    </row>
    <row r="56877" spans="6:6" x14ac:dyDescent="0.3">
      <c r="F56877" s="193"/>
    </row>
    <row r="56878" spans="6:6" x14ac:dyDescent="0.3">
      <c r="F56878" s="193"/>
    </row>
    <row r="56879" spans="6:6" x14ac:dyDescent="0.3">
      <c r="F56879" s="193"/>
    </row>
    <row r="56880" spans="6:6" x14ac:dyDescent="0.3">
      <c r="F56880" s="193"/>
    </row>
    <row r="56881" spans="6:6" x14ac:dyDescent="0.3">
      <c r="F56881" s="193"/>
    </row>
    <row r="56882" spans="6:6" x14ac:dyDescent="0.3">
      <c r="F56882" s="193"/>
    </row>
    <row r="56883" spans="6:6" x14ac:dyDescent="0.3">
      <c r="F56883" s="193"/>
    </row>
    <row r="56884" spans="6:6" x14ac:dyDescent="0.3">
      <c r="F56884" s="193"/>
    </row>
    <row r="56885" spans="6:6" x14ac:dyDescent="0.3">
      <c r="F56885" s="193"/>
    </row>
    <row r="56886" spans="6:6" x14ac:dyDescent="0.3">
      <c r="F56886" s="193"/>
    </row>
    <row r="56887" spans="6:6" x14ac:dyDescent="0.3">
      <c r="F56887" s="193"/>
    </row>
    <row r="56888" spans="6:6" x14ac:dyDescent="0.3">
      <c r="F56888" s="193"/>
    </row>
    <row r="56889" spans="6:6" x14ac:dyDescent="0.3">
      <c r="F56889" s="193"/>
    </row>
    <row r="56890" spans="6:6" x14ac:dyDescent="0.3">
      <c r="F56890" s="193"/>
    </row>
    <row r="56891" spans="6:6" x14ac:dyDescent="0.3">
      <c r="F56891" s="193"/>
    </row>
    <row r="56892" spans="6:6" x14ac:dyDescent="0.3">
      <c r="F56892" s="193"/>
    </row>
    <row r="56893" spans="6:6" x14ac:dyDescent="0.3">
      <c r="F56893" s="193"/>
    </row>
    <row r="56894" spans="6:6" x14ac:dyDescent="0.3">
      <c r="F56894" s="193"/>
    </row>
    <row r="56895" spans="6:6" x14ac:dyDescent="0.3">
      <c r="F56895" s="193"/>
    </row>
    <row r="56896" spans="6:6" x14ac:dyDescent="0.3">
      <c r="F56896" s="193"/>
    </row>
    <row r="56897" spans="6:6" x14ac:dyDescent="0.3">
      <c r="F56897" s="193"/>
    </row>
    <row r="56898" spans="6:6" x14ac:dyDescent="0.3">
      <c r="F56898" s="193"/>
    </row>
    <row r="56899" spans="6:6" x14ac:dyDescent="0.3">
      <c r="F56899" s="193"/>
    </row>
    <row r="56900" spans="6:6" x14ac:dyDescent="0.3">
      <c r="F56900" s="193"/>
    </row>
    <row r="56901" spans="6:6" x14ac:dyDescent="0.3">
      <c r="F56901" s="193"/>
    </row>
    <row r="56902" spans="6:6" x14ac:dyDescent="0.3">
      <c r="F56902" s="193"/>
    </row>
    <row r="56903" spans="6:6" x14ac:dyDescent="0.3">
      <c r="F56903" s="193"/>
    </row>
    <row r="56904" spans="6:6" x14ac:dyDescent="0.3">
      <c r="F56904" s="193"/>
    </row>
    <row r="56905" spans="6:6" x14ac:dyDescent="0.3">
      <c r="F56905" s="193"/>
    </row>
    <row r="56906" spans="6:6" x14ac:dyDescent="0.3">
      <c r="F56906" s="193"/>
    </row>
    <row r="56907" spans="6:6" x14ac:dyDescent="0.3">
      <c r="F56907" s="193"/>
    </row>
    <row r="56908" spans="6:6" x14ac:dyDescent="0.3">
      <c r="F56908" s="193"/>
    </row>
    <row r="56909" spans="6:6" x14ac:dyDescent="0.3">
      <c r="F56909" s="193"/>
    </row>
    <row r="56910" spans="6:6" x14ac:dyDescent="0.3">
      <c r="F56910" s="193"/>
    </row>
    <row r="56911" spans="6:6" x14ac:dyDescent="0.3">
      <c r="F56911" s="193"/>
    </row>
    <row r="56912" spans="6:6" x14ac:dyDescent="0.3">
      <c r="F56912" s="193"/>
    </row>
    <row r="56913" spans="6:6" x14ac:dyDescent="0.3">
      <c r="F56913" s="193"/>
    </row>
    <row r="56914" spans="6:6" x14ac:dyDescent="0.3">
      <c r="F56914" s="193"/>
    </row>
    <row r="56915" spans="6:6" x14ac:dyDescent="0.3">
      <c r="F56915" s="193"/>
    </row>
    <row r="56916" spans="6:6" x14ac:dyDescent="0.3">
      <c r="F56916" s="193"/>
    </row>
    <row r="56917" spans="6:6" x14ac:dyDescent="0.3">
      <c r="F56917" s="193"/>
    </row>
    <row r="56918" spans="6:6" x14ac:dyDescent="0.3">
      <c r="F56918" s="193"/>
    </row>
    <row r="56919" spans="6:6" x14ac:dyDescent="0.3">
      <c r="F56919" s="193"/>
    </row>
    <row r="56920" spans="6:6" x14ac:dyDescent="0.3">
      <c r="F56920" s="193"/>
    </row>
    <row r="56921" spans="6:6" x14ac:dyDescent="0.3">
      <c r="F56921" s="193"/>
    </row>
    <row r="56922" spans="6:6" x14ac:dyDescent="0.3">
      <c r="F56922" s="193"/>
    </row>
    <row r="56923" spans="6:6" x14ac:dyDescent="0.3">
      <c r="F56923" s="193"/>
    </row>
    <row r="56924" spans="6:6" x14ac:dyDescent="0.3">
      <c r="F56924" s="193"/>
    </row>
    <row r="56925" spans="6:6" x14ac:dyDescent="0.3">
      <c r="F56925" s="193"/>
    </row>
    <row r="56926" spans="6:6" x14ac:dyDescent="0.3">
      <c r="F56926" s="193"/>
    </row>
    <row r="56927" spans="6:6" x14ac:dyDescent="0.3">
      <c r="F56927" s="193"/>
    </row>
    <row r="56928" spans="6:6" x14ac:dyDescent="0.3">
      <c r="F56928" s="193"/>
    </row>
    <row r="56929" spans="6:6" x14ac:dyDescent="0.3">
      <c r="F56929" s="193"/>
    </row>
    <row r="56930" spans="6:6" x14ac:dyDescent="0.3">
      <c r="F56930" s="193"/>
    </row>
    <row r="56931" spans="6:6" x14ac:dyDescent="0.3">
      <c r="F56931" s="193"/>
    </row>
    <row r="56932" spans="6:6" x14ac:dyDescent="0.3">
      <c r="F56932" s="193"/>
    </row>
    <row r="56933" spans="6:6" x14ac:dyDescent="0.3">
      <c r="F56933" s="193"/>
    </row>
    <row r="56934" spans="6:6" x14ac:dyDescent="0.3">
      <c r="F56934" s="193"/>
    </row>
    <row r="56935" spans="6:6" x14ac:dyDescent="0.3">
      <c r="F56935" s="193"/>
    </row>
    <row r="56936" spans="6:6" x14ac:dyDescent="0.3">
      <c r="F56936" s="193"/>
    </row>
    <row r="56937" spans="6:6" x14ac:dyDescent="0.3">
      <c r="F56937" s="193"/>
    </row>
    <row r="56938" spans="6:6" x14ac:dyDescent="0.3">
      <c r="F56938" s="193"/>
    </row>
    <row r="56939" spans="6:6" x14ac:dyDescent="0.3">
      <c r="F56939" s="193"/>
    </row>
    <row r="56940" spans="6:6" x14ac:dyDescent="0.3">
      <c r="F56940" s="193"/>
    </row>
    <row r="56941" spans="6:6" x14ac:dyDescent="0.3">
      <c r="F56941" s="193"/>
    </row>
    <row r="56942" spans="6:6" x14ac:dyDescent="0.3">
      <c r="F56942" s="193"/>
    </row>
    <row r="56943" spans="6:6" x14ac:dyDescent="0.3">
      <c r="F56943" s="193"/>
    </row>
    <row r="56944" spans="6:6" x14ac:dyDescent="0.3">
      <c r="F56944" s="193"/>
    </row>
    <row r="56945" spans="6:6" x14ac:dyDescent="0.3">
      <c r="F56945" s="193"/>
    </row>
    <row r="56946" spans="6:6" x14ac:dyDescent="0.3">
      <c r="F56946" s="193"/>
    </row>
    <row r="56947" spans="6:6" x14ac:dyDescent="0.3">
      <c r="F56947" s="193"/>
    </row>
    <row r="56948" spans="6:6" x14ac:dyDescent="0.3">
      <c r="F56948" s="193"/>
    </row>
    <row r="56949" spans="6:6" x14ac:dyDescent="0.3">
      <c r="F56949" s="193"/>
    </row>
    <row r="56950" spans="6:6" x14ac:dyDescent="0.3">
      <c r="F56950" s="193"/>
    </row>
    <row r="56951" spans="6:6" x14ac:dyDescent="0.3">
      <c r="F56951" s="193"/>
    </row>
    <row r="56952" spans="6:6" x14ac:dyDescent="0.3">
      <c r="F56952" s="193"/>
    </row>
    <row r="56953" spans="6:6" x14ac:dyDescent="0.3">
      <c r="F56953" s="193"/>
    </row>
    <row r="56954" spans="6:6" x14ac:dyDescent="0.3">
      <c r="F56954" s="193"/>
    </row>
    <row r="56955" spans="6:6" x14ac:dyDescent="0.3">
      <c r="F56955" s="193"/>
    </row>
    <row r="56956" spans="6:6" x14ac:dyDescent="0.3">
      <c r="F56956" s="193"/>
    </row>
    <row r="56957" spans="6:6" x14ac:dyDescent="0.3">
      <c r="F56957" s="193"/>
    </row>
    <row r="56958" spans="6:6" x14ac:dyDescent="0.3">
      <c r="F56958" s="193"/>
    </row>
    <row r="56959" spans="6:6" x14ac:dyDescent="0.3">
      <c r="F56959" s="193"/>
    </row>
    <row r="56960" spans="6:6" x14ac:dyDescent="0.3">
      <c r="F56960" s="193"/>
    </row>
    <row r="56961" spans="6:6" x14ac:dyDescent="0.3">
      <c r="F56961" s="193"/>
    </row>
    <row r="56962" spans="6:6" x14ac:dyDescent="0.3">
      <c r="F56962" s="193"/>
    </row>
    <row r="56963" spans="6:6" x14ac:dyDescent="0.3">
      <c r="F56963" s="193"/>
    </row>
    <row r="56964" spans="6:6" x14ac:dyDescent="0.3">
      <c r="F56964" s="193"/>
    </row>
    <row r="56965" spans="6:6" x14ac:dyDescent="0.3">
      <c r="F56965" s="193"/>
    </row>
    <row r="56966" spans="6:6" x14ac:dyDescent="0.3">
      <c r="F56966" s="193"/>
    </row>
    <row r="56967" spans="6:6" x14ac:dyDescent="0.3">
      <c r="F56967" s="193"/>
    </row>
    <row r="56968" spans="6:6" x14ac:dyDescent="0.3">
      <c r="F56968" s="193"/>
    </row>
    <row r="56969" spans="6:6" x14ac:dyDescent="0.3">
      <c r="F56969" s="193"/>
    </row>
    <row r="56970" spans="6:6" x14ac:dyDescent="0.3">
      <c r="F56970" s="193"/>
    </row>
    <row r="56971" spans="6:6" x14ac:dyDescent="0.3">
      <c r="F56971" s="193"/>
    </row>
    <row r="56972" spans="6:6" x14ac:dyDescent="0.3">
      <c r="F56972" s="193"/>
    </row>
    <row r="56973" spans="6:6" x14ac:dyDescent="0.3">
      <c r="F56973" s="193"/>
    </row>
    <row r="56974" spans="6:6" x14ac:dyDescent="0.3">
      <c r="F56974" s="193"/>
    </row>
    <row r="56975" spans="6:6" x14ac:dyDescent="0.3">
      <c r="F56975" s="193"/>
    </row>
    <row r="56976" spans="6:6" x14ac:dyDescent="0.3">
      <c r="F56976" s="193"/>
    </row>
    <row r="56977" spans="6:6" x14ac:dyDescent="0.3">
      <c r="F56977" s="193"/>
    </row>
    <row r="56978" spans="6:6" x14ac:dyDescent="0.3">
      <c r="F56978" s="193"/>
    </row>
    <row r="56979" spans="6:6" x14ac:dyDescent="0.3">
      <c r="F56979" s="193"/>
    </row>
    <row r="56980" spans="6:6" x14ac:dyDescent="0.3">
      <c r="F56980" s="193"/>
    </row>
    <row r="56981" spans="6:6" x14ac:dyDescent="0.3">
      <c r="F56981" s="193"/>
    </row>
    <row r="56982" spans="6:6" x14ac:dyDescent="0.3">
      <c r="F56982" s="193"/>
    </row>
    <row r="56983" spans="6:6" x14ac:dyDescent="0.3">
      <c r="F56983" s="193"/>
    </row>
    <row r="56984" spans="6:6" x14ac:dyDescent="0.3">
      <c r="F56984" s="193"/>
    </row>
    <row r="56985" spans="6:6" x14ac:dyDescent="0.3">
      <c r="F56985" s="193"/>
    </row>
    <row r="56986" spans="6:6" x14ac:dyDescent="0.3">
      <c r="F56986" s="193"/>
    </row>
    <row r="56987" spans="6:6" x14ac:dyDescent="0.3">
      <c r="F56987" s="193"/>
    </row>
    <row r="56988" spans="6:6" x14ac:dyDescent="0.3">
      <c r="F56988" s="193"/>
    </row>
    <row r="56989" spans="6:6" x14ac:dyDescent="0.3">
      <c r="F56989" s="193"/>
    </row>
    <row r="56990" spans="6:6" x14ac:dyDescent="0.3">
      <c r="F56990" s="193"/>
    </row>
    <row r="56991" spans="6:6" x14ac:dyDescent="0.3">
      <c r="F56991" s="193"/>
    </row>
    <row r="56992" spans="6:6" x14ac:dyDescent="0.3">
      <c r="F56992" s="193"/>
    </row>
    <row r="56993" spans="6:6" x14ac:dyDescent="0.3">
      <c r="F56993" s="193"/>
    </row>
    <row r="56994" spans="6:6" x14ac:dyDescent="0.3">
      <c r="F56994" s="193"/>
    </row>
    <row r="56995" spans="6:6" x14ac:dyDescent="0.3">
      <c r="F56995" s="193"/>
    </row>
    <row r="56996" spans="6:6" x14ac:dyDescent="0.3">
      <c r="F56996" s="193"/>
    </row>
    <row r="56997" spans="6:6" x14ac:dyDescent="0.3">
      <c r="F56997" s="193"/>
    </row>
    <row r="56998" spans="6:6" x14ac:dyDescent="0.3">
      <c r="F56998" s="193"/>
    </row>
    <row r="56999" spans="6:6" x14ac:dyDescent="0.3">
      <c r="F56999" s="193"/>
    </row>
    <row r="57000" spans="6:6" x14ac:dyDescent="0.3">
      <c r="F57000" s="193"/>
    </row>
    <row r="57001" spans="6:6" x14ac:dyDescent="0.3">
      <c r="F57001" s="193"/>
    </row>
    <row r="57002" spans="6:6" x14ac:dyDescent="0.3">
      <c r="F57002" s="193"/>
    </row>
    <row r="57003" spans="6:6" x14ac:dyDescent="0.3">
      <c r="F57003" s="193"/>
    </row>
    <row r="57004" spans="6:6" x14ac:dyDescent="0.3">
      <c r="F57004" s="193"/>
    </row>
    <row r="57005" spans="6:6" x14ac:dyDescent="0.3">
      <c r="F57005" s="193"/>
    </row>
    <row r="57006" spans="6:6" x14ac:dyDescent="0.3">
      <c r="F57006" s="193"/>
    </row>
    <row r="57007" spans="6:6" x14ac:dyDescent="0.3">
      <c r="F57007" s="193"/>
    </row>
    <row r="57008" spans="6:6" x14ac:dyDescent="0.3">
      <c r="F57008" s="193"/>
    </row>
    <row r="57009" spans="6:6" x14ac:dyDescent="0.3">
      <c r="F57009" s="193"/>
    </row>
    <row r="57010" spans="6:6" x14ac:dyDescent="0.3">
      <c r="F57010" s="193"/>
    </row>
    <row r="57011" spans="6:6" x14ac:dyDescent="0.3">
      <c r="F57011" s="193"/>
    </row>
    <row r="57012" spans="6:6" x14ac:dyDescent="0.3">
      <c r="F57012" s="193"/>
    </row>
    <row r="57013" spans="6:6" x14ac:dyDescent="0.3">
      <c r="F57013" s="193"/>
    </row>
    <row r="57014" spans="6:6" x14ac:dyDescent="0.3">
      <c r="F57014" s="193"/>
    </row>
    <row r="57015" spans="6:6" x14ac:dyDescent="0.3">
      <c r="F57015" s="193"/>
    </row>
    <row r="57016" spans="6:6" x14ac:dyDescent="0.3">
      <c r="F57016" s="193"/>
    </row>
    <row r="57017" spans="6:6" x14ac:dyDescent="0.3">
      <c r="F57017" s="193"/>
    </row>
    <row r="57018" spans="6:6" x14ac:dyDescent="0.3">
      <c r="F57018" s="193"/>
    </row>
    <row r="57019" spans="6:6" x14ac:dyDescent="0.3">
      <c r="F57019" s="193"/>
    </row>
    <row r="57020" spans="6:6" x14ac:dyDescent="0.3">
      <c r="F57020" s="193"/>
    </row>
    <row r="57021" spans="6:6" x14ac:dyDescent="0.3">
      <c r="F57021" s="193"/>
    </row>
    <row r="57022" spans="6:6" x14ac:dyDescent="0.3">
      <c r="F57022" s="193"/>
    </row>
    <row r="57023" spans="6:6" x14ac:dyDescent="0.3">
      <c r="F57023" s="193"/>
    </row>
    <row r="57024" spans="6:6" x14ac:dyDescent="0.3">
      <c r="F57024" s="193"/>
    </row>
    <row r="57025" spans="6:6" x14ac:dyDescent="0.3">
      <c r="F57025" s="193"/>
    </row>
    <row r="57026" spans="6:6" x14ac:dyDescent="0.3">
      <c r="F57026" s="193"/>
    </row>
    <row r="57027" spans="6:6" x14ac:dyDescent="0.3">
      <c r="F57027" s="193"/>
    </row>
    <row r="57028" spans="6:6" x14ac:dyDescent="0.3">
      <c r="F57028" s="193"/>
    </row>
    <row r="57029" spans="6:6" x14ac:dyDescent="0.3">
      <c r="F57029" s="193"/>
    </row>
    <row r="57030" spans="6:6" x14ac:dyDescent="0.3">
      <c r="F57030" s="193"/>
    </row>
    <row r="57031" spans="6:6" x14ac:dyDescent="0.3">
      <c r="F57031" s="193"/>
    </row>
    <row r="57032" spans="6:6" x14ac:dyDescent="0.3">
      <c r="F57032" s="193"/>
    </row>
    <row r="57033" spans="6:6" x14ac:dyDescent="0.3">
      <c r="F57033" s="193"/>
    </row>
    <row r="57034" spans="6:6" x14ac:dyDescent="0.3">
      <c r="F57034" s="193"/>
    </row>
    <row r="57035" spans="6:6" x14ac:dyDescent="0.3">
      <c r="F57035" s="193"/>
    </row>
    <row r="57036" spans="6:6" x14ac:dyDescent="0.3">
      <c r="F57036" s="193"/>
    </row>
    <row r="57037" spans="6:6" x14ac:dyDescent="0.3">
      <c r="F57037" s="193"/>
    </row>
    <row r="57038" spans="6:6" x14ac:dyDescent="0.3">
      <c r="F57038" s="193"/>
    </row>
    <row r="57039" spans="6:6" x14ac:dyDescent="0.3">
      <c r="F57039" s="193"/>
    </row>
    <row r="57040" spans="6:6" x14ac:dyDescent="0.3">
      <c r="F57040" s="193"/>
    </row>
    <row r="57041" spans="6:6" x14ac:dyDescent="0.3">
      <c r="F57041" s="193"/>
    </row>
    <row r="57042" spans="6:6" x14ac:dyDescent="0.3">
      <c r="F57042" s="193"/>
    </row>
    <row r="57043" spans="6:6" x14ac:dyDescent="0.3">
      <c r="F57043" s="193"/>
    </row>
    <row r="57044" spans="6:6" x14ac:dyDescent="0.3">
      <c r="F57044" s="193"/>
    </row>
    <row r="57045" spans="6:6" x14ac:dyDescent="0.3">
      <c r="F57045" s="193"/>
    </row>
    <row r="57046" spans="6:6" x14ac:dyDescent="0.3">
      <c r="F57046" s="193"/>
    </row>
    <row r="57047" spans="6:6" x14ac:dyDescent="0.3">
      <c r="F57047" s="193"/>
    </row>
    <row r="57048" spans="6:6" x14ac:dyDescent="0.3">
      <c r="F57048" s="193"/>
    </row>
    <row r="57049" spans="6:6" x14ac:dyDescent="0.3">
      <c r="F57049" s="193"/>
    </row>
    <row r="57050" spans="6:6" x14ac:dyDescent="0.3">
      <c r="F57050" s="193"/>
    </row>
    <row r="57051" spans="6:6" x14ac:dyDescent="0.3">
      <c r="F57051" s="193"/>
    </row>
    <row r="57052" spans="6:6" x14ac:dyDescent="0.3">
      <c r="F57052" s="193"/>
    </row>
    <row r="57053" spans="6:6" x14ac:dyDescent="0.3">
      <c r="F57053" s="193"/>
    </row>
    <row r="57054" spans="6:6" x14ac:dyDescent="0.3">
      <c r="F57054" s="193"/>
    </row>
    <row r="57055" spans="6:6" x14ac:dyDescent="0.3">
      <c r="F57055" s="193"/>
    </row>
    <row r="57056" spans="6:6" x14ac:dyDescent="0.3">
      <c r="F57056" s="193"/>
    </row>
    <row r="57057" spans="6:6" x14ac:dyDescent="0.3">
      <c r="F57057" s="193"/>
    </row>
    <row r="57058" spans="6:6" x14ac:dyDescent="0.3">
      <c r="F57058" s="193"/>
    </row>
    <row r="57059" spans="6:6" x14ac:dyDescent="0.3">
      <c r="F57059" s="193"/>
    </row>
    <row r="57060" spans="6:6" x14ac:dyDescent="0.3">
      <c r="F57060" s="193"/>
    </row>
    <row r="57061" spans="6:6" x14ac:dyDescent="0.3">
      <c r="F57061" s="193"/>
    </row>
    <row r="57062" spans="6:6" x14ac:dyDescent="0.3">
      <c r="F57062" s="193"/>
    </row>
    <row r="57063" spans="6:6" x14ac:dyDescent="0.3">
      <c r="F57063" s="193"/>
    </row>
    <row r="57064" spans="6:6" x14ac:dyDescent="0.3">
      <c r="F57064" s="193"/>
    </row>
    <row r="57065" spans="6:6" x14ac:dyDescent="0.3">
      <c r="F57065" s="193"/>
    </row>
    <row r="57066" spans="6:6" x14ac:dyDescent="0.3">
      <c r="F57066" s="193"/>
    </row>
    <row r="57067" spans="6:6" x14ac:dyDescent="0.3">
      <c r="F57067" s="193"/>
    </row>
    <row r="57068" spans="6:6" x14ac:dyDescent="0.3">
      <c r="F57068" s="193"/>
    </row>
    <row r="57069" spans="6:6" x14ac:dyDescent="0.3">
      <c r="F57069" s="193"/>
    </row>
    <row r="57070" spans="6:6" x14ac:dyDescent="0.3">
      <c r="F57070" s="193"/>
    </row>
    <row r="57071" spans="6:6" x14ac:dyDescent="0.3">
      <c r="F57071" s="193"/>
    </row>
    <row r="57072" spans="6:6" x14ac:dyDescent="0.3">
      <c r="F57072" s="193"/>
    </row>
    <row r="57073" spans="6:6" x14ac:dyDescent="0.3">
      <c r="F57073" s="193"/>
    </row>
    <row r="57074" spans="6:6" x14ac:dyDescent="0.3">
      <c r="F57074" s="193"/>
    </row>
    <row r="57075" spans="6:6" x14ac:dyDescent="0.3">
      <c r="F57075" s="193"/>
    </row>
    <row r="57076" spans="6:6" x14ac:dyDescent="0.3">
      <c r="F57076" s="193"/>
    </row>
    <row r="57077" spans="6:6" x14ac:dyDescent="0.3">
      <c r="F57077" s="193"/>
    </row>
    <row r="57078" spans="6:6" x14ac:dyDescent="0.3">
      <c r="F57078" s="193"/>
    </row>
    <row r="57079" spans="6:6" x14ac:dyDescent="0.3">
      <c r="F57079" s="193"/>
    </row>
    <row r="57080" spans="6:6" x14ac:dyDescent="0.3">
      <c r="F57080" s="193"/>
    </row>
    <row r="57081" spans="6:6" x14ac:dyDescent="0.3">
      <c r="F57081" s="193"/>
    </row>
    <row r="57082" spans="6:6" x14ac:dyDescent="0.3">
      <c r="F57082" s="193"/>
    </row>
    <row r="57083" spans="6:6" x14ac:dyDescent="0.3">
      <c r="F57083" s="193"/>
    </row>
    <row r="57084" spans="6:6" x14ac:dyDescent="0.3">
      <c r="F57084" s="193"/>
    </row>
    <row r="57085" spans="6:6" x14ac:dyDescent="0.3">
      <c r="F57085" s="193"/>
    </row>
    <row r="57086" spans="6:6" x14ac:dyDescent="0.3">
      <c r="F57086" s="193"/>
    </row>
    <row r="57087" spans="6:6" x14ac:dyDescent="0.3">
      <c r="F57087" s="193"/>
    </row>
    <row r="57088" spans="6:6" x14ac:dyDescent="0.3">
      <c r="F57088" s="193"/>
    </row>
    <row r="57089" spans="6:6" x14ac:dyDescent="0.3">
      <c r="F57089" s="193"/>
    </row>
    <row r="57090" spans="6:6" x14ac:dyDescent="0.3">
      <c r="F57090" s="193"/>
    </row>
    <row r="57091" spans="6:6" x14ac:dyDescent="0.3">
      <c r="F57091" s="193"/>
    </row>
    <row r="57092" spans="6:6" x14ac:dyDescent="0.3">
      <c r="F57092" s="193"/>
    </row>
    <row r="57093" spans="6:6" x14ac:dyDescent="0.3">
      <c r="F57093" s="193"/>
    </row>
    <row r="57094" spans="6:6" x14ac:dyDescent="0.3">
      <c r="F57094" s="193"/>
    </row>
    <row r="57095" spans="6:6" x14ac:dyDescent="0.3">
      <c r="F57095" s="193"/>
    </row>
    <row r="57096" spans="6:6" x14ac:dyDescent="0.3">
      <c r="F57096" s="193"/>
    </row>
    <row r="57097" spans="6:6" x14ac:dyDescent="0.3">
      <c r="F57097" s="193"/>
    </row>
    <row r="57098" spans="6:6" x14ac:dyDescent="0.3">
      <c r="F57098" s="193"/>
    </row>
    <row r="57099" spans="6:6" x14ac:dyDescent="0.3">
      <c r="F57099" s="193"/>
    </row>
    <row r="57100" spans="6:6" x14ac:dyDescent="0.3">
      <c r="F57100" s="193"/>
    </row>
    <row r="57101" spans="6:6" x14ac:dyDescent="0.3">
      <c r="F57101" s="193"/>
    </row>
    <row r="57102" spans="6:6" x14ac:dyDescent="0.3">
      <c r="F57102" s="193"/>
    </row>
    <row r="57103" spans="6:6" x14ac:dyDescent="0.3">
      <c r="F57103" s="193"/>
    </row>
    <row r="57104" spans="6:6" x14ac:dyDescent="0.3">
      <c r="F57104" s="193"/>
    </row>
    <row r="57105" spans="6:6" x14ac:dyDescent="0.3">
      <c r="F57105" s="193"/>
    </row>
    <row r="57106" spans="6:6" x14ac:dyDescent="0.3">
      <c r="F57106" s="193"/>
    </row>
    <row r="57107" spans="6:6" x14ac:dyDescent="0.3">
      <c r="F57107" s="193"/>
    </row>
    <row r="57108" spans="6:6" x14ac:dyDescent="0.3">
      <c r="F57108" s="193"/>
    </row>
    <row r="57109" spans="6:6" x14ac:dyDescent="0.3">
      <c r="F57109" s="193"/>
    </row>
    <row r="57110" spans="6:6" x14ac:dyDescent="0.3">
      <c r="F57110" s="193"/>
    </row>
    <row r="57111" spans="6:6" x14ac:dyDescent="0.3">
      <c r="F57111" s="193"/>
    </row>
    <row r="57112" spans="6:6" x14ac:dyDescent="0.3">
      <c r="F57112" s="193"/>
    </row>
    <row r="57113" spans="6:6" x14ac:dyDescent="0.3">
      <c r="F57113" s="193"/>
    </row>
    <row r="57114" spans="6:6" x14ac:dyDescent="0.3">
      <c r="F57114" s="193"/>
    </row>
    <row r="57115" spans="6:6" x14ac:dyDescent="0.3">
      <c r="F57115" s="193"/>
    </row>
    <row r="57116" spans="6:6" x14ac:dyDescent="0.3">
      <c r="F57116" s="193"/>
    </row>
    <row r="57117" spans="6:6" x14ac:dyDescent="0.3">
      <c r="F57117" s="193"/>
    </row>
    <row r="57118" spans="6:6" x14ac:dyDescent="0.3">
      <c r="F57118" s="193"/>
    </row>
    <row r="57119" spans="6:6" x14ac:dyDescent="0.3">
      <c r="F57119" s="193"/>
    </row>
    <row r="57120" spans="6:6" x14ac:dyDescent="0.3">
      <c r="F57120" s="193"/>
    </row>
    <row r="57121" spans="6:6" x14ac:dyDescent="0.3">
      <c r="F57121" s="193"/>
    </row>
    <row r="57122" spans="6:6" x14ac:dyDescent="0.3">
      <c r="F57122" s="193"/>
    </row>
    <row r="57123" spans="6:6" x14ac:dyDescent="0.3">
      <c r="F57123" s="193"/>
    </row>
    <row r="57124" spans="6:6" x14ac:dyDescent="0.3">
      <c r="F57124" s="193"/>
    </row>
    <row r="57125" spans="6:6" x14ac:dyDescent="0.3">
      <c r="F57125" s="193"/>
    </row>
    <row r="57126" spans="6:6" x14ac:dyDescent="0.3">
      <c r="F57126" s="193"/>
    </row>
    <row r="57127" spans="6:6" x14ac:dyDescent="0.3">
      <c r="F57127" s="193"/>
    </row>
    <row r="57128" spans="6:6" x14ac:dyDescent="0.3">
      <c r="F57128" s="193"/>
    </row>
    <row r="57129" spans="6:6" x14ac:dyDescent="0.3">
      <c r="F57129" s="193"/>
    </row>
    <row r="57130" spans="6:6" x14ac:dyDescent="0.3">
      <c r="F57130" s="193"/>
    </row>
    <row r="57131" spans="6:6" x14ac:dyDescent="0.3">
      <c r="F57131" s="193"/>
    </row>
    <row r="57132" spans="6:6" x14ac:dyDescent="0.3">
      <c r="F57132" s="193"/>
    </row>
    <row r="57133" spans="6:6" x14ac:dyDescent="0.3">
      <c r="F57133" s="193"/>
    </row>
    <row r="57134" spans="6:6" x14ac:dyDescent="0.3">
      <c r="F57134" s="193"/>
    </row>
    <row r="57135" spans="6:6" x14ac:dyDescent="0.3">
      <c r="F57135" s="193"/>
    </row>
    <row r="57136" spans="6:6" x14ac:dyDescent="0.3">
      <c r="F57136" s="193"/>
    </row>
    <row r="57137" spans="6:6" x14ac:dyDescent="0.3">
      <c r="F57137" s="193"/>
    </row>
    <row r="57138" spans="6:6" x14ac:dyDescent="0.3">
      <c r="F57138" s="193"/>
    </row>
    <row r="57139" spans="6:6" x14ac:dyDescent="0.3">
      <c r="F57139" s="193"/>
    </row>
    <row r="57140" spans="6:6" x14ac:dyDescent="0.3">
      <c r="F57140" s="193"/>
    </row>
    <row r="57141" spans="6:6" x14ac:dyDescent="0.3">
      <c r="F57141" s="193"/>
    </row>
    <row r="57142" spans="6:6" x14ac:dyDescent="0.3">
      <c r="F57142" s="193"/>
    </row>
    <row r="57143" spans="6:6" x14ac:dyDescent="0.3">
      <c r="F57143" s="193"/>
    </row>
    <row r="57144" spans="6:6" x14ac:dyDescent="0.3">
      <c r="F57144" s="193"/>
    </row>
    <row r="57145" spans="6:6" x14ac:dyDescent="0.3">
      <c r="F57145" s="193"/>
    </row>
    <row r="57146" spans="6:6" x14ac:dyDescent="0.3">
      <c r="F57146" s="193"/>
    </row>
    <row r="57147" spans="6:6" x14ac:dyDescent="0.3">
      <c r="F57147" s="193"/>
    </row>
    <row r="57148" spans="6:6" x14ac:dyDescent="0.3">
      <c r="F57148" s="193"/>
    </row>
    <row r="57149" spans="6:6" x14ac:dyDescent="0.3">
      <c r="F57149" s="193"/>
    </row>
    <row r="57150" spans="6:6" x14ac:dyDescent="0.3">
      <c r="F57150" s="193"/>
    </row>
    <row r="57151" spans="6:6" x14ac:dyDescent="0.3">
      <c r="F57151" s="193"/>
    </row>
    <row r="57152" spans="6:6" x14ac:dyDescent="0.3">
      <c r="F57152" s="193"/>
    </row>
    <row r="57153" spans="6:6" x14ac:dyDescent="0.3">
      <c r="F57153" s="193"/>
    </row>
    <row r="57154" spans="6:6" x14ac:dyDescent="0.3">
      <c r="F57154" s="193"/>
    </row>
    <row r="57155" spans="6:6" x14ac:dyDescent="0.3">
      <c r="F57155" s="193"/>
    </row>
    <row r="57156" spans="6:6" x14ac:dyDescent="0.3">
      <c r="F57156" s="193"/>
    </row>
    <row r="57157" spans="6:6" x14ac:dyDescent="0.3">
      <c r="F57157" s="193"/>
    </row>
    <row r="57158" spans="6:6" x14ac:dyDescent="0.3">
      <c r="F57158" s="193"/>
    </row>
    <row r="57159" spans="6:6" x14ac:dyDescent="0.3">
      <c r="F57159" s="193"/>
    </row>
    <row r="57160" spans="6:6" x14ac:dyDescent="0.3">
      <c r="F57160" s="193"/>
    </row>
    <row r="57161" spans="6:6" x14ac:dyDescent="0.3">
      <c r="F57161" s="193"/>
    </row>
    <row r="57162" spans="6:6" x14ac:dyDescent="0.3">
      <c r="F57162" s="193"/>
    </row>
    <row r="57163" spans="6:6" x14ac:dyDescent="0.3">
      <c r="F57163" s="193"/>
    </row>
    <row r="57164" spans="6:6" x14ac:dyDescent="0.3">
      <c r="F57164" s="193"/>
    </row>
    <row r="57165" spans="6:6" x14ac:dyDescent="0.3">
      <c r="F57165" s="193"/>
    </row>
    <row r="57166" spans="6:6" x14ac:dyDescent="0.3">
      <c r="F57166" s="193"/>
    </row>
    <row r="57167" spans="6:6" x14ac:dyDescent="0.3">
      <c r="F57167" s="193"/>
    </row>
    <row r="57168" spans="6:6" x14ac:dyDescent="0.3">
      <c r="F57168" s="193"/>
    </row>
    <row r="57169" spans="6:6" x14ac:dyDescent="0.3">
      <c r="F57169" s="193"/>
    </row>
    <row r="57170" spans="6:6" x14ac:dyDescent="0.3">
      <c r="F57170" s="193"/>
    </row>
    <row r="57171" spans="6:6" x14ac:dyDescent="0.3">
      <c r="F57171" s="193"/>
    </row>
    <row r="57172" spans="6:6" x14ac:dyDescent="0.3">
      <c r="F57172" s="193"/>
    </row>
    <row r="57173" spans="6:6" x14ac:dyDescent="0.3">
      <c r="F57173" s="193"/>
    </row>
    <row r="57174" spans="6:6" x14ac:dyDescent="0.3">
      <c r="F57174" s="193"/>
    </row>
    <row r="57175" spans="6:6" x14ac:dyDescent="0.3">
      <c r="F57175" s="193"/>
    </row>
    <row r="57176" spans="6:6" x14ac:dyDescent="0.3">
      <c r="F57176" s="193"/>
    </row>
    <row r="57177" spans="6:6" x14ac:dyDescent="0.3">
      <c r="F57177" s="193"/>
    </row>
    <row r="57178" spans="6:6" x14ac:dyDescent="0.3">
      <c r="F57178" s="193"/>
    </row>
    <row r="57179" spans="6:6" x14ac:dyDescent="0.3">
      <c r="F57179" s="193"/>
    </row>
    <row r="57180" spans="6:6" x14ac:dyDescent="0.3">
      <c r="F57180" s="193"/>
    </row>
    <row r="57181" spans="6:6" x14ac:dyDescent="0.3">
      <c r="F57181" s="193"/>
    </row>
    <row r="57182" spans="6:6" x14ac:dyDescent="0.3">
      <c r="F57182" s="193"/>
    </row>
    <row r="57183" spans="6:6" x14ac:dyDescent="0.3">
      <c r="F57183" s="193"/>
    </row>
    <row r="57184" spans="6:6" x14ac:dyDescent="0.3">
      <c r="F57184" s="193"/>
    </row>
    <row r="57185" spans="6:6" x14ac:dyDescent="0.3">
      <c r="F57185" s="193"/>
    </row>
    <row r="57186" spans="6:6" x14ac:dyDescent="0.3">
      <c r="F57186" s="193"/>
    </row>
    <row r="57187" spans="6:6" x14ac:dyDescent="0.3">
      <c r="F57187" s="193"/>
    </row>
    <row r="57188" spans="6:6" x14ac:dyDescent="0.3">
      <c r="F57188" s="193"/>
    </row>
    <row r="57189" spans="6:6" x14ac:dyDescent="0.3">
      <c r="F57189" s="193"/>
    </row>
    <row r="57190" spans="6:6" x14ac:dyDescent="0.3">
      <c r="F57190" s="193"/>
    </row>
    <row r="57191" spans="6:6" x14ac:dyDescent="0.3">
      <c r="F57191" s="193"/>
    </row>
    <row r="57192" spans="6:6" x14ac:dyDescent="0.3">
      <c r="F57192" s="193"/>
    </row>
    <row r="57193" spans="6:6" x14ac:dyDescent="0.3">
      <c r="F57193" s="193"/>
    </row>
    <row r="57194" spans="6:6" x14ac:dyDescent="0.3">
      <c r="F57194" s="193"/>
    </row>
    <row r="57195" spans="6:6" x14ac:dyDescent="0.3">
      <c r="F57195" s="193"/>
    </row>
    <row r="57196" spans="6:6" x14ac:dyDescent="0.3">
      <c r="F57196" s="193"/>
    </row>
    <row r="57197" spans="6:6" x14ac:dyDescent="0.3">
      <c r="F57197" s="193"/>
    </row>
    <row r="57198" spans="6:6" x14ac:dyDescent="0.3">
      <c r="F57198" s="193"/>
    </row>
    <row r="57199" spans="6:6" x14ac:dyDescent="0.3">
      <c r="F57199" s="193"/>
    </row>
    <row r="57200" spans="6:6" x14ac:dyDescent="0.3">
      <c r="F57200" s="193"/>
    </row>
    <row r="57201" spans="6:6" x14ac:dyDescent="0.3">
      <c r="F57201" s="193"/>
    </row>
    <row r="57202" spans="6:6" x14ac:dyDescent="0.3">
      <c r="F57202" s="193"/>
    </row>
    <row r="57203" spans="6:6" x14ac:dyDescent="0.3">
      <c r="F57203" s="193"/>
    </row>
    <row r="57204" spans="6:6" x14ac:dyDescent="0.3">
      <c r="F57204" s="193"/>
    </row>
    <row r="57205" spans="6:6" x14ac:dyDescent="0.3">
      <c r="F57205" s="193"/>
    </row>
    <row r="57206" spans="6:6" x14ac:dyDescent="0.3">
      <c r="F57206" s="193"/>
    </row>
    <row r="57207" spans="6:6" x14ac:dyDescent="0.3">
      <c r="F57207" s="193"/>
    </row>
    <row r="57208" spans="6:6" x14ac:dyDescent="0.3">
      <c r="F57208" s="193"/>
    </row>
    <row r="57209" spans="6:6" x14ac:dyDescent="0.3">
      <c r="F57209" s="193"/>
    </row>
    <row r="57210" spans="6:6" x14ac:dyDescent="0.3">
      <c r="F57210" s="193"/>
    </row>
    <row r="57211" spans="6:6" x14ac:dyDescent="0.3">
      <c r="F57211" s="193"/>
    </row>
    <row r="57212" spans="6:6" x14ac:dyDescent="0.3">
      <c r="F57212" s="193"/>
    </row>
    <row r="57213" spans="6:6" x14ac:dyDescent="0.3">
      <c r="F57213" s="193"/>
    </row>
    <row r="57214" spans="6:6" x14ac:dyDescent="0.3">
      <c r="F57214" s="193"/>
    </row>
    <row r="57215" spans="6:6" x14ac:dyDescent="0.3">
      <c r="F57215" s="193"/>
    </row>
    <row r="57216" spans="6:6" x14ac:dyDescent="0.3">
      <c r="F57216" s="193"/>
    </row>
    <row r="57217" spans="6:6" x14ac:dyDescent="0.3">
      <c r="F57217" s="193"/>
    </row>
    <row r="57218" spans="6:6" x14ac:dyDescent="0.3">
      <c r="F57218" s="193"/>
    </row>
    <row r="57219" spans="6:6" x14ac:dyDescent="0.3">
      <c r="F57219" s="193"/>
    </row>
    <row r="57220" spans="6:6" x14ac:dyDescent="0.3">
      <c r="F57220" s="193"/>
    </row>
    <row r="57221" spans="6:6" x14ac:dyDescent="0.3">
      <c r="F57221" s="193"/>
    </row>
    <row r="57222" spans="6:6" x14ac:dyDescent="0.3">
      <c r="F57222" s="193"/>
    </row>
    <row r="57223" spans="6:6" x14ac:dyDescent="0.3">
      <c r="F57223" s="193"/>
    </row>
    <row r="57224" spans="6:6" x14ac:dyDescent="0.3">
      <c r="F57224" s="193"/>
    </row>
    <row r="57225" spans="6:6" x14ac:dyDescent="0.3">
      <c r="F57225" s="193"/>
    </row>
    <row r="57226" spans="6:6" x14ac:dyDescent="0.3">
      <c r="F57226" s="193"/>
    </row>
    <row r="57227" spans="6:6" x14ac:dyDescent="0.3">
      <c r="F57227" s="193"/>
    </row>
    <row r="57228" spans="6:6" x14ac:dyDescent="0.3">
      <c r="F57228" s="193"/>
    </row>
    <row r="57229" spans="6:6" x14ac:dyDescent="0.3">
      <c r="F57229" s="193"/>
    </row>
    <row r="57230" spans="6:6" x14ac:dyDescent="0.3">
      <c r="F57230" s="193"/>
    </row>
    <row r="57231" spans="6:6" x14ac:dyDescent="0.3">
      <c r="F57231" s="193"/>
    </row>
    <row r="57232" spans="6:6" x14ac:dyDescent="0.3">
      <c r="F57232" s="193"/>
    </row>
    <row r="57233" spans="6:6" x14ac:dyDescent="0.3">
      <c r="F57233" s="193"/>
    </row>
    <row r="57234" spans="6:6" x14ac:dyDescent="0.3">
      <c r="F57234" s="193"/>
    </row>
    <row r="57235" spans="6:6" x14ac:dyDescent="0.3">
      <c r="F57235" s="193"/>
    </row>
    <row r="57236" spans="6:6" x14ac:dyDescent="0.3">
      <c r="F57236" s="193"/>
    </row>
    <row r="57237" spans="6:6" x14ac:dyDescent="0.3">
      <c r="F57237" s="193"/>
    </row>
    <row r="57238" spans="6:6" x14ac:dyDescent="0.3">
      <c r="F57238" s="193"/>
    </row>
    <row r="57239" spans="6:6" x14ac:dyDescent="0.3">
      <c r="F57239" s="193"/>
    </row>
    <row r="57240" spans="6:6" x14ac:dyDescent="0.3">
      <c r="F57240" s="193"/>
    </row>
    <row r="57241" spans="6:6" x14ac:dyDescent="0.3">
      <c r="F57241" s="193"/>
    </row>
    <row r="57242" spans="6:6" x14ac:dyDescent="0.3">
      <c r="F57242" s="193"/>
    </row>
    <row r="57243" spans="6:6" x14ac:dyDescent="0.3">
      <c r="F57243" s="193"/>
    </row>
    <row r="57244" spans="6:6" x14ac:dyDescent="0.3">
      <c r="F57244" s="193"/>
    </row>
    <row r="57245" spans="6:6" x14ac:dyDescent="0.3">
      <c r="F57245" s="193"/>
    </row>
    <row r="57246" spans="6:6" x14ac:dyDescent="0.3">
      <c r="F57246" s="193"/>
    </row>
    <row r="57247" spans="6:6" x14ac:dyDescent="0.3">
      <c r="F57247" s="193"/>
    </row>
    <row r="57248" spans="6:6" x14ac:dyDescent="0.3">
      <c r="F57248" s="193"/>
    </row>
    <row r="57249" spans="6:6" x14ac:dyDescent="0.3">
      <c r="F57249" s="193"/>
    </row>
    <row r="57250" spans="6:6" x14ac:dyDescent="0.3">
      <c r="F57250" s="193"/>
    </row>
    <row r="57251" spans="6:6" x14ac:dyDescent="0.3">
      <c r="F57251" s="193"/>
    </row>
    <row r="57252" spans="6:6" x14ac:dyDescent="0.3">
      <c r="F57252" s="193"/>
    </row>
    <row r="57253" spans="6:6" x14ac:dyDescent="0.3">
      <c r="F57253" s="193"/>
    </row>
    <row r="57254" spans="6:6" x14ac:dyDescent="0.3">
      <c r="F57254" s="193"/>
    </row>
    <row r="57255" spans="6:6" x14ac:dyDescent="0.3">
      <c r="F57255" s="193"/>
    </row>
    <row r="57256" spans="6:6" x14ac:dyDescent="0.3">
      <c r="F57256" s="193"/>
    </row>
    <row r="57257" spans="6:6" x14ac:dyDescent="0.3">
      <c r="F57257" s="193"/>
    </row>
    <row r="57258" spans="6:6" x14ac:dyDescent="0.3">
      <c r="F57258" s="193"/>
    </row>
    <row r="57259" spans="6:6" x14ac:dyDescent="0.3">
      <c r="F57259" s="193"/>
    </row>
    <row r="57260" spans="6:6" x14ac:dyDescent="0.3">
      <c r="F57260" s="193"/>
    </row>
    <row r="57261" spans="6:6" x14ac:dyDescent="0.3">
      <c r="F57261" s="193"/>
    </row>
    <row r="57262" spans="6:6" x14ac:dyDescent="0.3">
      <c r="F57262" s="193"/>
    </row>
    <row r="57263" spans="6:6" x14ac:dyDescent="0.3">
      <c r="F57263" s="193"/>
    </row>
    <row r="57264" spans="6:6" x14ac:dyDescent="0.3">
      <c r="F57264" s="193"/>
    </row>
    <row r="57265" spans="6:6" x14ac:dyDescent="0.3">
      <c r="F57265" s="193"/>
    </row>
    <row r="57266" spans="6:6" x14ac:dyDescent="0.3">
      <c r="F57266" s="193"/>
    </row>
    <row r="57267" spans="6:6" x14ac:dyDescent="0.3">
      <c r="F57267" s="193"/>
    </row>
    <row r="57268" spans="6:6" x14ac:dyDescent="0.3">
      <c r="F57268" s="193"/>
    </row>
    <row r="57269" spans="6:6" x14ac:dyDescent="0.3">
      <c r="F57269" s="193"/>
    </row>
    <row r="57270" spans="6:6" x14ac:dyDescent="0.3">
      <c r="F57270" s="193"/>
    </row>
    <row r="57271" spans="6:6" x14ac:dyDescent="0.3">
      <c r="F57271" s="193"/>
    </row>
    <row r="57272" spans="6:6" x14ac:dyDescent="0.3">
      <c r="F57272" s="193"/>
    </row>
    <row r="57273" spans="6:6" x14ac:dyDescent="0.3">
      <c r="F57273" s="193"/>
    </row>
    <row r="57274" spans="6:6" x14ac:dyDescent="0.3">
      <c r="F57274" s="193"/>
    </row>
    <row r="57275" spans="6:6" x14ac:dyDescent="0.3">
      <c r="F57275" s="193"/>
    </row>
    <row r="57276" spans="6:6" x14ac:dyDescent="0.3">
      <c r="F57276" s="193"/>
    </row>
    <row r="57277" spans="6:6" x14ac:dyDescent="0.3">
      <c r="F57277" s="193"/>
    </row>
    <row r="57278" spans="6:6" x14ac:dyDescent="0.3">
      <c r="F57278" s="193"/>
    </row>
    <row r="57279" spans="6:6" x14ac:dyDescent="0.3">
      <c r="F57279" s="193"/>
    </row>
    <row r="57280" spans="6:6" x14ac:dyDescent="0.3">
      <c r="F57280" s="193"/>
    </row>
    <row r="57281" spans="6:6" x14ac:dyDescent="0.3">
      <c r="F57281" s="193"/>
    </row>
    <row r="57282" spans="6:6" x14ac:dyDescent="0.3">
      <c r="F57282" s="193"/>
    </row>
    <row r="57283" spans="6:6" x14ac:dyDescent="0.3">
      <c r="F57283" s="193"/>
    </row>
    <row r="57284" spans="6:6" x14ac:dyDescent="0.3">
      <c r="F57284" s="193"/>
    </row>
    <row r="57285" spans="6:6" x14ac:dyDescent="0.3">
      <c r="F57285" s="193"/>
    </row>
    <row r="57286" spans="6:6" x14ac:dyDescent="0.3">
      <c r="F57286" s="193"/>
    </row>
    <row r="57287" spans="6:6" x14ac:dyDescent="0.3">
      <c r="F57287" s="193"/>
    </row>
    <row r="57288" spans="6:6" x14ac:dyDescent="0.3">
      <c r="F57288" s="193"/>
    </row>
    <row r="57289" spans="6:6" x14ac:dyDescent="0.3">
      <c r="F57289" s="193"/>
    </row>
    <row r="57290" spans="6:6" x14ac:dyDescent="0.3">
      <c r="F57290" s="193"/>
    </row>
    <row r="57291" spans="6:6" x14ac:dyDescent="0.3">
      <c r="F57291" s="193"/>
    </row>
    <row r="57292" spans="6:6" x14ac:dyDescent="0.3">
      <c r="F57292" s="193"/>
    </row>
    <row r="57293" spans="6:6" x14ac:dyDescent="0.3">
      <c r="F57293" s="193"/>
    </row>
    <row r="57294" spans="6:6" x14ac:dyDescent="0.3">
      <c r="F57294" s="193"/>
    </row>
    <row r="57295" spans="6:6" x14ac:dyDescent="0.3">
      <c r="F57295" s="193"/>
    </row>
    <row r="57296" spans="6:6" x14ac:dyDescent="0.3">
      <c r="F57296" s="193"/>
    </row>
    <row r="57297" spans="6:6" x14ac:dyDescent="0.3">
      <c r="F57297" s="193"/>
    </row>
    <row r="57298" spans="6:6" x14ac:dyDescent="0.3">
      <c r="F57298" s="193"/>
    </row>
    <row r="57299" spans="6:6" x14ac:dyDescent="0.3">
      <c r="F57299" s="193"/>
    </row>
    <row r="57300" spans="6:6" x14ac:dyDescent="0.3">
      <c r="F57300" s="193"/>
    </row>
    <row r="57301" spans="6:6" x14ac:dyDescent="0.3">
      <c r="F57301" s="193"/>
    </row>
    <row r="57302" spans="6:6" x14ac:dyDescent="0.3">
      <c r="F57302" s="193"/>
    </row>
    <row r="57303" spans="6:6" x14ac:dyDescent="0.3">
      <c r="F57303" s="193"/>
    </row>
    <row r="57304" spans="6:6" x14ac:dyDescent="0.3">
      <c r="F57304" s="193"/>
    </row>
    <row r="57305" spans="6:6" x14ac:dyDescent="0.3">
      <c r="F57305" s="193"/>
    </row>
    <row r="57306" spans="6:6" x14ac:dyDescent="0.3">
      <c r="F57306" s="193"/>
    </row>
    <row r="57307" spans="6:6" x14ac:dyDescent="0.3">
      <c r="F57307" s="193"/>
    </row>
    <row r="57308" spans="6:6" x14ac:dyDescent="0.3">
      <c r="F57308" s="193"/>
    </row>
    <row r="57309" spans="6:6" x14ac:dyDescent="0.3">
      <c r="F57309" s="193"/>
    </row>
    <row r="57310" spans="6:6" x14ac:dyDescent="0.3">
      <c r="F57310" s="193"/>
    </row>
    <row r="57311" spans="6:6" x14ac:dyDescent="0.3">
      <c r="F57311" s="193"/>
    </row>
    <row r="57312" spans="6:6" x14ac:dyDescent="0.3">
      <c r="F57312" s="193"/>
    </row>
    <row r="57313" spans="6:6" x14ac:dyDescent="0.3">
      <c r="F57313" s="193"/>
    </row>
    <row r="57314" spans="6:6" x14ac:dyDescent="0.3">
      <c r="F57314" s="193"/>
    </row>
    <row r="57315" spans="6:6" x14ac:dyDescent="0.3">
      <c r="F57315" s="193"/>
    </row>
    <row r="57316" spans="6:6" x14ac:dyDescent="0.3">
      <c r="F57316" s="193"/>
    </row>
    <row r="57317" spans="6:6" x14ac:dyDescent="0.3">
      <c r="F57317" s="193"/>
    </row>
    <row r="57318" spans="6:6" x14ac:dyDescent="0.3">
      <c r="F57318" s="193"/>
    </row>
    <row r="57319" spans="6:6" x14ac:dyDescent="0.3">
      <c r="F57319" s="193"/>
    </row>
    <row r="57320" spans="6:6" x14ac:dyDescent="0.3">
      <c r="F57320" s="193"/>
    </row>
    <row r="57321" spans="6:6" x14ac:dyDescent="0.3">
      <c r="F57321" s="193"/>
    </row>
    <row r="57322" spans="6:6" x14ac:dyDescent="0.3">
      <c r="F57322" s="193"/>
    </row>
    <row r="57323" spans="6:6" x14ac:dyDescent="0.3">
      <c r="F57323" s="193"/>
    </row>
    <row r="57324" spans="6:6" x14ac:dyDescent="0.3">
      <c r="F57324" s="193"/>
    </row>
    <row r="57325" spans="6:6" x14ac:dyDescent="0.3">
      <c r="F57325" s="193"/>
    </row>
    <row r="57326" spans="6:6" x14ac:dyDescent="0.3">
      <c r="F57326" s="193"/>
    </row>
    <row r="57327" spans="6:6" x14ac:dyDescent="0.3">
      <c r="F57327" s="193"/>
    </row>
    <row r="57328" spans="6:6" x14ac:dyDescent="0.3">
      <c r="F57328" s="193"/>
    </row>
    <row r="57329" spans="6:6" x14ac:dyDescent="0.3">
      <c r="F57329" s="193"/>
    </row>
    <row r="57330" spans="6:6" x14ac:dyDescent="0.3">
      <c r="F57330" s="193"/>
    </row>
    <row r="57331" spans="6:6" x14ac:dyDescent="0.3">
      <c r="F57331" s="193"/>
    </row>
    <row r="57332" spans="6:6" x14ac:dyDescent="0.3">
      <c r="F57332" s="193"/>
    </row>
    <row r="57333" spans="6:6" x14ac:dyDescent="0.3">
      <c r="F57333" s="193"/>
    </row>
    <row r="57334" spans="6:6" x14ac:dyDescent="0.3">
      <c r="F57334" s="193"/>
    </row>
    <row r="57335" spans="6:6" x14ac:dyDescent="0.3">
      <c r="F57335" s="193"/>
    </row>
    <row r="57336" spans="6:6" x14ac:dyDescent="0.3">
      <c r="F57336" s="193"/>
    </row>
    <row r="57337" spans="6:6" x14ac:dyDescent="0.3">
      <c r="F57337" s="193"/>
    </row>
    <row r="57338" spans="6:6" x14ac:dyDescent="0.3">
      <c r="F57338" s="193"/>
    </row>
    <row r="57339" spans="6:6" x14ac:dyDescent="0.3">
      <c r="F57339" s="193"/>
    </row>
    <row r="57340" spans="6:6" x14ac:dyDescent="0.3">
      <c r="F57340" s="193"/>
    </row>
    <row r="57341" spans="6:6" x14ac:dyDescent="0.3">
      <c r="F57341" s="193"/>
    </row>
    <row r="57342" spans="6:6" x14ac:dyDescent="0.3">
      <c r="F57342" s="193"/>
    </row>
    <row r="57343" spans="6:6" x14ac:dyDescent="0.3">
      <c r="F57343" s="193"/>
    </row>
    <row r="57344" spans="6:6" x14ac:dyDescent="0.3">
      <c r="F57344" s="193"/>
    </row>
    <row r="57345" spans="6:6" x14ac:dyDescent="0.3">
      <c r="F57345" s="193"/>
    </row>
    <row r="57346" spans="6:6" x14ac:dyDescent="0.3">
      <c r="F57346" s="193"/>
    </row>
    <row r="57347" spans="6:6" x14ac:dyDescent="0.3">
      <c r="F57347" s="193"/>
    </row>
    <row r="57348" spans="6:6" x14ac:dyDescent="0.3">
      <c r="F57348" s="193"/>
    </row>
    <row r="57349" spans="6:6" x14ac:dyDescent="0.3">
      <c r="F57349" s="193"/>
    </row>
    <row r="57350" spans="6:6" x14ac:dyDescent="0.3">
      <c r="F57350" s="193"/>
    </row>
    <row r="57351" spans="6:6" x14ac:dyDescent="0.3">
      <c r="F57351" s="193"/>
    </row>
    <row r="57352" spans="6:6" x14ac:dyDescent="0.3">
      <c r="F57352" s="193"/>
    </row>
    <row r="57353" spans="6:6" x14ac:dyDescent="0.3">
      <c r="F57353" s="193"/>
    </row>
    <row r="57354" spans="6:6" x14ac:dyDescent="0.3">
      <c r="F57354" s="193"/>
    </row>
    <row r="57355" spans="6:6" x14ac:dyDescent="0.3">
      <c r="F57355" s="193"/>
    </row>
    <row r="57356" spans="6:6" x14ac:dyDescent="0.3">
      <c r="F57356" s="193"/>
    </row>
    <row r="57357" spans="6:6" x14ac:dyDescent="0.3">
      <c r="F57357" s="193"/>
    </row>
    <row r="57358" spans="6:6" x14ac:dyDescent="0.3">
      <c r="F57358" s="193"/>
    </row>
    <row r="57359" spans="6:6" x14ac:dyDescent="0.3">
      <c r="F57359" s="193"/>
    </row>
    <row r="57360" spans="6:6" x14ac:dyDescent="0.3">
      <c r="F57360" s="193"/>
    </row>
    <row r="57361" spans="6:6" x14ac:dyDescent="0.3">
      <c r="F57361" s="193"/>
    </row>
    <row r="57362" spans="6:6" x14ac:dyDescent="0.3">
      <c r="F57362" s="193"/>
    </row>
    <row r="57363" spans="6:6" x14ac:dyDescent="0.3">
      <c r="F57363" s="193"/>
    </row>
    <row r="57364" spans="6:6" x14ac:dyDescent="0.3">
      <c r="F57364" s="193"/>
    </row>
    <row r="57365" spans="6:6" x14ac:dyDescent="0.3">
      <c r="F57365" s="193"/>
    </row>
    <row r="57366" spans="6:6" x14ac:dyDescent="0.3">
      <c r="F57366" s="193"/>
    </row>
    <row r="57367" spans="6:6" x14ac:dyDescent="0.3">
      <c r="F57367" s="193"/>
    </row>
    <row r="57368" spans="6:6" x14ac:dyDescent="0.3">
      <c r="F57368" s="193"/>
    </row>
    <row r="57369" spans="6:6" x14ac:dyDescent="0.3">
      <c r="F57369" s="193"/>
    </row>
    <row r="57370" spans="6:6" x14ac:dyDescent="0.3">
      <c r="F57370" s="193"/>
    </row>
    <row r="57371" spans="6:6" x14ac:dyDescent="0.3">
      <c r="F57371" s="193"/>
    </row>
    <row r="57372" spans="6:6" x14ac:dyDescent="0.3">
      <c r="F57372" s="193"/>
    </row>
    <row r="57373" spans="6:6" x14ac:dyDescent="0.3">
      <c r="F57373" s="193"/>
    </row>
    <row r="57374" spans="6:6" x14ac:dyDescent="0.3">
      <c r="F57374" s="193"/>
    </row>
    <row r="57375" spans="6:6" x14ac:dyDescent="0.3">
      <c r="F57375" s="193"/>
    </row>
    <row r="57376" spans="6:6" x14ac:dyDescent="0.3">
      <c r="F57376" s="193"/>
    </row>
    <row r="57377" spans="6:6" x14ac:dyDescent="0.3">
      <c r="F57377" s="193"/>
    </row>
    <row r="57378" spans="6:6" x14ac:dyDescent="0.3">
      <c r="F57378" s="193"/>
    </row>
    <row r="57379" spans="6:6" x14ac:dyDescent="0.3">
      <c r="F57379" s="193"/>
    </row>
    <row r="57380" spans="6:6" x14ac:dyDescent="0.3">
      <c r="F57380" s="193"/>
    </row>
    <row r="57381" spans="6:6" x14ac:dyDescent="0.3">
      <c r="F57381" s="193"/>
    </row>
    <row r="57382" spans="6:6" x14ac:dyDescent="0.3">
      <c r="F57382" s="193"/>
    </row>
    <row r="57383" spans="6:6" x14ac:dyDescent="0.3">
      <c r="F57383" s="193"/>
    </row>
    <row r="57384" spans="6:6" x14ac:dyDescent="0.3">
      <c r="F57384" s="193"/>
    </row>
    <row r="57385" spans="6:6" x14ac:dyDescent="0.3">
      <c r="F57385" s="193"/>
    </row>
    <row r="57386" spans="6:6" x14ac:dyDescent="0.3">
      <c r="F57386" s="193"/>
    </row>
    <row r="57387" spans="6:6" x14ac:dyDescent="0.3">
      <c r="F57387" s="193"/>
    </row>
    <row r="57388" spans="6:6" x14ac:dyDescent="0.3">
      <c r="F57388" s="193"/>
    </row>
    <row r="57389" spans="6:6" x14ac:dyDescent="0.3">
      <c r="F57389" s="193"/>
    </row>
    <row r="57390" spans="6:6" x14ac:dyDescent="0.3">
      <c r="F57390" s="193"/>
    </row>
    <row r="57391" spans="6:6" x14ac:dyDescent="0.3">
      <c r="F57391" s="193"/>
    </row>
    <row r="57392" spans="6:6" x14ac:dyDescent="0.3">
      <c r="F57392" s="193"/>
    </row>
    <row r="57393" spans="6:6" x14ac:dyDescent="0.3">
      <c r="F57393" s="193"/>
    </row>
    <row r="57394" spans="6:6" x14ac:dyDescent="0.3">
      <c r="F57394" s="193"/>
    </row>
    <row r="57395" spans="6:6" x14ac:dyDescent="0.3">
      <c r="F57395" s="193"/>
    </row>
    <row r="57396" spans="6:6" x14ac:dyDescent="0.3">
      <c r="F57396" s="193"/>
    </row>
    <row r="57397" spans="6:6" x14ac:dyDescent="0.3">
      <c r="F57397" s="193"/>
    </row>
    <row r="57398" spans="6:6" x14ac:dyDescent="0.3">
      <c r="F57398" s="193"/>
    </row>
    <row r="57399" spans="6:6" x14ac:dyDescent="0.3">
      <c r="F57399" s="193"/>
    </row>
    <row r="57400" spans="6:6" x14ac:dyDescent="0.3">
      <c r="F57400" s="193"/>
    </row>
    <row r="57401" spans="6:6" x14ac:dyDescent="0.3">
      <c r="F57401" s="193"/>
    </row>
    <row r="57402" spans="6:6" x14ac:dyDescent="0.3">
      <c r="F57402" s="193"/>
    </row>
    <row r="57403" spans="6:6" x14ac:dyDescent="0.3">
      <c r="F57403" s="193"/>
    </row>
    <row r="57404" spans="6:6" x14ac:dyDescent="0.3">
      <c r="F57404" s="193"/>
    </row>
    <row r="57405" spans="6:6" x14ac:dyDescent="0.3">
      <c r="F57405" s="193"/>
    </row>
    <row r="57406" spans="6:6" x14ac:dyDescent="0.3">
      <c r="F57406" s="193"/>
    </row>
    <row r="57407" spans="6:6" x14ac:dyDescent="0.3">
      <c r="F57407" s="193"/>
    </row>
    <row r="57408" spans="6:6" x14ac:dyDescent="0.3">
      <c r="F57408" s="193"/>
    </row>
    <row r="57409" spans="6:6" x14ac:dyDescent="0.3">
      <c r="F57409" s="193"/>
    </row>
    <row r="57410" spans="6:6" x14ac:dyDescent="0.3">
      <c r="F57410" s="193"/>
    </row>
    <row r="57411" spans="6:6" x14ac:dyDescent="0.3">
      <c r="F57411" s="193"/>
    </row>
    <row r="57412" spans="6:6" x14ac:dyDescent="0.3">
      <c r="F57412" s="193"/>
    </row>
    <row r="57413" spans="6:6" x14ac:dyDescent="0.3">
      <c r="F57413" s="193"/>
    </row>
    <row r="57414" spans="6:6" x14ac:dyDescent="0.3">
      <c r="F57414" s="193"/>
    </row>
    <row r="57415" spans="6:6" x14ac:dyDescent="0.3">
      <c r="F57415" s="193"/>
    </row>
    <row r="57416" spans="6:6" x14ac:dyDescent="0.3">
      <c r="F57416" s="193"/>
    </row>
    <row r="57417" spans="6:6" x14ac:dyDescent="0.3">
      <c r="F57417" s="193"/>
    </row>
    <row r="57418" spans="6:6" x14ac:dyDescent="0.3">
      <c r="F57418" s="193"/>
    </row>
    <row r="57419" spans="6:6" x14ac:dyDescent="0.3">
      <c r="F57419" s="193"/>
    </row>
    <row r="57420" spans="6:6" x14ac:dyDescent="0.3">
      <c r="F57420" s="193"/>
    </row>
    <row r="57421" spans="6:6" x14ac:dyDescent="0.3">
      <c r="F57421" s="193"/>
    </row>
    <row r="57422" spans="6:6" x14ac:dyDescent="0.3">
      <c r="F57422" s="193"/>
    </row>
    <row r="57423" spans="6:6" x14ac:dyDescent="0.3">
      <c r="F57423" s="193"/>
    </row>
    <row r="57424" spans="6:6" x14ac:dyDescent="0.3">
      <c r="F57424" s="193"/>
    </row>
    <row r="57425" spans="6:6" x14ac:dyDescent="0.3">
      <c r="F57425" s="193"/>
    </row>
    <row r="57426" spans="6:6" x14ac:dyDescent="0.3">
      <c r="F57426" s="193"/>
    </row>
    <row r="57427" spans="6:6" x14ac:dyDescent="0.3">
      <c r="F57427" s="193"/>
    </row>
    <row r="57428" spans="6:6" x14ac:dyDescent="0.3">
      <c r="F57428" s="193"/>
    </row>
    <row r="57429" spans="6:6" x14ac:dyDescent="0.3">
      <c r="F57429" s="193"/>
    </row>
    <row r="57430" spans="6:6" x14ac:dyDescent="0.3">
      <c r="F57430" s="193"/>
    </row>
    <row r="57431" spans="6:6" x14ac:dyDescent="0.3">
      <c r="F57431" s="193"/>
    </row>
    <row r="57432" spans="6:6" x14ac:dyDescent="0.3">
      <c r="F57432" s="193"/>
    </row>
    <row r="57433" spans="6:6" x14ac:dyDescent="0.3">
      <c r="F57433" s="193"/>
    </row>
    <row r="57434" spans="6:6" x14ac:dyDescent="0.3">
      <c r="F57434" s="193"/>
    </row>
    <row r="57435" spans="6:6" x14ac:dyDescent="0.3">
      <c r="F57435" s="193"/>
    </row>
    <row r="57436" spans="6:6" x14ac:dyDescent="0.3">
      <c r="F57436" s="193"/>
    </row>
    <row r="57437" spans="6:6" x14ac:dyDescent="0.3">
      <c r="F57437" s="193"/>
    </row>
    <row r="57438" spans="6:6" x14ac:dyDescent="0.3">
      <c r="F57438" s="193"/>
    </row>
    <row r="57439" spans="6:6" x14ac:dyDescent="0.3">
      <c r="F57439" s="193"/>
    </row>
    <row r="57440" spans="6:6" x14ac:dyDescent="0.3">
      <c r="F57440" s="193"/>
    </row>
    <row r="57441" spans="6:6" x14ac:dyDescent="0.3">
      <c r="F57441" s="193"/>
    </row>
    <row r="57442" spans="6:6" x14ac:dyDescent="0.3">
      <c r="F57442" s="193"/>
    </row>
    <row r="57443" spans="6:6" x14ac:dyDescent="0.3">
      <c r="F57443" s="193"/>
    </row>
    <row r="57444" spans="6:6" x14ac:dyDescent="0.3">
      <c r="F57444" s="193"/>
    </row>
    <row r="57445" spans="6:6" x14ac:dyDescent="0.3">
      <c r="F57445" s="193"/>
    </row>
    <row r="57446" spans="6:6" x14ac:dyDescent="0.3">
      <c r="F57446" s="193"/>
    </row>
    <row r="57447" spans="6:6" x14ac:dyDescent="0.3">
      <c r="F57447" s="193"/>
    </row>
    <row r="57448" spans="6:6" x14ac:dyDescent="0.3">
      <c r="F57448" s="193"/>
    </row>
    <row r="57449" spans="6:6" x14ac:dyDescent="0.3">
      <c r="F57449" s="193"/>
    </row>
    <row r="57450" spans="6:6" x14ac:dyDescent="0.3">
      <c r="F57450" s="193"/>
    </row>
    <row r="57451" spans="6:6" x14ac:dyDescent="0.3">
      <c r="F57451" s="193"/>
    </row>
    <row r="57452" spans="6:6" x14ac:dyDescent="0.3">
      <c r="F57452" s="193"/>
    </row>
    <row r="57453" spans="6:6" x14ac:dyDescent="0.3">
      <c r="F57453" s="193"/>
    </row>
    <row r="57454" spans="6:6" x14ac:dyDescent="0.3">
      <c r="F57454" s="193"/>
    </row>
    <row r="57455" spans="6:6" x14ac:dyDescent="0.3">
      <c r="F57455" s="193"/>
    </row>
    <row r="57456" spans="6:6" x14ac:dyDescent="0.3">
      <c r="F57456" s="193"/>
    </row>
    <row r="57457" spans="6:6" x14ac:dyDescent="0.3">
      <c r="F57457" s="193"/>
    </row>
    <row r="57458" spans="6:6" x14ac:dyDescent="0.3">
      <c r="F57458" s="193"/>
    </row>
    <row r="57459" spans="6:6" x14ac:dyDescent="0.3">
      <c r="F57459" s="193"/>
    </row>
    <row r="57460" spans="6:6" x14ac:dyDescent="0.3">
      <c r="F57460" s="193"/>
    </row>
    <row r="57461" spans="6:6" x14ac:dyDescent="0.3">
      <c r="F57461" s="193"/>
    </row>
    <row r="57462" spans="6:6" x14ac:dyDescent="0.3">
      <c r="F57462" s="193"/>
    </row>
    <row r="57463" spans="6:6" x14ac:dyDescent="0.3">
      <c r="F57463" s="193"/>
    </row>
    <row r="57464" spans="6:6" x14ac:dyDescent="0.3">
      <c r="F57464" s="193"/>
    </row>
    <row r="57465" spans="6:6" x14ac:dyDescent="0.3">
      <c r="F57465" s="193"/>
    </row>
    <row r="57466" spans="6:6" x14ac:dyDescent="0.3">
      <c r="F57466" s="193"/>
    </row>
    <row r="57467" spans="6:6" x14ac:dyDescent="0.3">
      <c r="F57467" s="193"/>
    </row>
    <row r="57468" spans="6:6" x14ac:dyDescent="0.3">
      <c r="F57468" s="193"/>
    </row>
    <row r="57469" spans="6:6" x14ac:dyDescent="0.3">
      <c r="F57469" s="193"/>
    </row>
    <row r="57470" spans="6:6" x14ac:dyDescent="0.3">
      <c r="F57470" s="193"/>
    </row>
    <row r="57471" spans="6:6" x14ac:dyDescent="0.3">
      <c r="F57471" s="193"/>
    </row>
    <row r="57472" spans="6:6" x14ac:dyDescent="0.3">
      <c r="F57472" s="193"/>
    </row>
    <row r="57473" spans="6:6" x14ac:dyDescent="0.3">
      <c r="F57473" s="193"/>
    </row>
    <row r="57474" spans="6:6" x14ac:dyDescent="0.3">
      <c r="F57474" s="193"/>
    </row>
    <row r="57475" spans="6:6" x14ac:dyDescent="0.3">
      <c r="F57475" s="193"/>
    </row>
    <row r="57476" spans="6:6" x14ac:dyDescent="0.3">
      <c r="F57476" s="193"/>
    </row>
    <row r="57477" spans="6:6" x14ac:dyDescent="0.3">
      <c r="F57477" s="193"/>
    </row>
    <row r="57478" spans="6:6" x14ac:dyDescent="0.3">
      <c r="F57478" s="193"/>
    </row>
    <row r="57479" spans="6:6" x14ac:dyDescent="0.3">
      <c r="F57479" s="193"/>
    </row>
    <row r="57480" spans="6:6" x14ac:dyDescent="0.3">
      <c r="F57480" s="193"/>
    </row>
    <row r="57481" spans="6:6" x14ac:dyDescent="0.3">
      <c r="F57481" s="193"/>
    </row>
    <row r="57482" spans="6:6" x14ac:dyDescent="0.3">
      <c r="F57482" s="193"/>
    </row>
    <row r="57483" spans="6:6" x14ac:dyDescent="0.3">
      <c r="F57483" s="193"/>
    </row>
    <row r="57484" spans="6:6" x14ac:dyDescent="0.3">
      <c r="F57484" s="193"/>
    </row>
    <row r="57485" spans="6:6" x14ac:dyDescent="0.3">
      <c r="F57485" s="193"/>
    </row>
    <row r="57486" spans="6:6" x14ac:dyDescent="0.3">
      <c r="F57486" s="193"/>
    </row>
    <row r="57487" spans="6:6" x14ac:dyDescent="0.3">
      <c r="F57487" s="193"/>
    </row>
    <row r="57488" spans="6:6" x14ac:dyDescent="0.3">
      <c r="F57488" s="193"/>
    </row>
    <row r="57489" spans="6:6" x14ac:dyDescent="0.3">
      <c r="F57489" s="193"/>
    </row>
    <row r="57490" spans="6:6" x14ac:dyDescent="0.3">
      <c r="F57490" s="193"/>
    </row>
    <row r="57491" spans="6:6" x14ac:dyDescent="0.3">
      <c r="F57491" s="193"/>
    </row>
    <row r="57492" spans="6:6" x14ac:dyDescent="0.3">
      <c r="F57492" s="193"/>
    </row>
    <row r="57493" spans="6:6" x14ac:dyDescent="0.3">
      <c r="F57493" s="193"/>
    </row>
    <row r="57494" spans="6:6" x14ac:dyDescent="0.3">
      <c r="F57494" s="193"/>
    </row>
    <row r="57495" spans="6:6" x14ac:dyDescent="0.3">
      <c r="F57495" s="193"/>
    </row>
    <row r="57496" spans="6:6" x14ac:dyDescent="0.3">
      <c r="F57496" s="193"/>
    </row>
    <row r="57497" spans="6:6" x14ac:dyDescent="0.3">
      <c r="F57497" s="193"/>
    </row>
    <row r="57498" spans="6:6" x14ac:dyDescent="0.3">
      <c r="F57498" s="193"/>
    </row>
    <row r="57499" spans="6:6" x14ac:dyDescent="0.3">
      <c r="F57499" s="193"/>
    </row>
    <row r="57500" spans="6:6" x14ac:dyDescent="0.3">
      <c r="F57500" s="193"/>
    </row>
    <row r="57501" spans="6:6" x14ac:dyDescent="0.3">
      <c r="F57501" s="193"/>
    </row>
    <row r="57502" spans="6:6" x14ac:dyDescent="0.3">
      <c r="F57502" s="193"/>
    </row>
    <row r="57503" spans="6:6" x14ac:dyDescent="0.3">
      <c r="F57503" s="193"/>
    </row>
    <row r="57504" spans="6:6" x14ac:dyDescent="0.3">
      <c r="F57504" s="193"/>
    </row>
    <row r="57505" spans="6:6" x14ac:dyDescent="0.3">
      <c r="F57505" s="193"/>
    </row>
    <row r="57506" spans="6:6" x14ac:dyDescent="0.3">
      <c r="F57506" s="193"/>
    </row>
    <row r="57507" spans="6:6" x14ac:dyDescent="0.3">
      <c r="F57507" s="193"/>
    </row>
    <row r="57508" spans="6:6" x14ac:dyDescent="0.3">
      <c r="F57508" s="193"/>
    </row>
    <row r="57509" spans="6:6" x14ac:dyDescent="0.3">
      <c r="F57509" s="193"/>
    </row>
    <row r="57510" spans="6:6" x14ac:dyDescent="0.3">
      <c r="F57510" s="193"/>
    </row>
    <row r="57511" spans="6:6" x14ac:dyDescent="0.3">
      <c r="F57511" s="193"/>
    </row>
    <row r="57512" spans="6:6" x14ac:dyDescent="0.3">
      <c r="F57512" s="193"/>
    </row>
    <row r="57513" spans="6:6" x14ac:dyDescent="0.3">
      <c r="F57513" s="193"/>
    </row>
    <row r="57514" spans="6:6" x14ac:dyDescent="0.3">
      <c r="F57514" s="193"/>
    </row>
    <row r="57515" spans="6:6" x14ac:dyDescent="0.3">
      <c r="F57515" s="193"/>
    </row>
    <row r="57516" spans="6:6" x14ac:dyDescent="0.3">
      <c r="F57516" s="193"/>
    </row>
    <row r="57517" spans="6:6" x14ac:dyDescent="0.3">
      <c r="F57517" s="193"/>
    </row>
    <row r="57518" spans="6:6" x14ac:dyDescent="0.3">
      <c r="F57518" s="193"/>
    </row>
    <row r="57519" spans="6:6" x14ac:dyDescent="0.3">
      <c r="F57519" s="193"/>
    </row>
    <row r="57520" spans="6:6" x14ac:dyDescent="0.3">
      <c r="F57520" s="193"/>
    </row>
    <row r="57521" spans="6:6" x14ac:dyDescent="0.3">
      <c r="F57521" s="193"/>
    </row>
    <row r="57522" spans="6:6" x14ac:dyDescent="0.3">
      <c r="F57522" s="193"/>
    </row>
    <row r="57523" spans="6:6" x14ac:dyDescent="0.3">
      <c r="F57523" s="193"/>
    </row>
    <row r="57524" spans="6:6" x14ac:dyDescent="0.3">
      <c r="F57524" s="193"/>
    </row>
    <row r="57525" spans="6:6" x14ac:dyDescent="0.3">
      <c r="F57525" s="193"/>
    </row>
    <row r="57526" spans="6:6" x14ac:dyDescent="0.3">
      <c r="F57526" s="193"/>
    </row>
    <row r="57527" spans="6:6" x14ac:dyDescent="0.3">
      <c r="F57527" s="193"/>
    </row>
    <row r="57528" spans="6:6" x14ac:dyDescent="0.3">
      <c r="F57528" s="193"/>
    </row>
    <row r="57529" spans="6:6" x14ac:dyDescent="0.3">
      <c r="F57529" s="193"/>
    </row>
    <row r="57530" spans="6:6" x14ac:dyDescent="0.3">
      <c r="F57530" s="193"/>
    </row>
    <row r="57531" spans="6:6" x14ac:dyDescent="0.3">
      <c r="F57531" s="193"/>
    </row>
    <row r="57532" spans="6:6" x14ac:dyDescent="0.3">
      <c r="F57532" s="193"/>
    </row>
    <row r="57533" spans="6:6" x14ac:dyDescent="0.3">
      <c r="F57533" s="193"/>
    </row>
    <row r="57534" spans="6:6" x14ac:dyDescent="0.3">
      <c r="F57534" s="193"/>
    </row>
    <row r="57535" spans="6:6" x14ac:dyDescent="0.3">
      <c r="F57535" s="193"/>
    </row>
    <row r="57536" spans="6:6" x14ac:dyDescent="0.3">
      <c r="F57536" s="193"/>
    </row>
    <row r="57537" spans="6:6" x14ac:dyDescent="0.3">
      <c r="F57537" s="193"/>
    </row>
    <row r="57538" spans="6:6" x14ac:dyDescent="0.3">
      <c r="F57538" s="193"/>
    </row>
    <row r="57539" spans="6:6" x14ac:dyDescent="0.3">
      <c r="F57539" s="193"/>
    </row>
    <row r="57540" spans="6:6" x14ac:dyDescent="0.3">
      <c r="F57540" s="193"/>
    </row>
    <row r="57541" spans="6:6" x14ac:dyDescent="0.3">
      <c r="F57541" s="193"/>
    </row>
    <row r="57542" spans="6:6" x14ac:dyDescent="0.3">
      <c r="F57542" s="193"/>
    </row>
    <row r="57543" spans="6:6" x14ac:dyDescent="0.3">
      <c r="F57543" s="193"/>
    </row>
    <row r="57544" spans="6:6" x14ac:dyDescent="0.3">
      <c r="F57544" s="193"/>
    </row>
    <row r="57545" spans="6:6" x14ac:dyDescent="0.3">
      <c r="F57545" s="193"/>
    </row>
    <row r="57546" spans="6:6" x14ac:dyDescent="0.3">
      <c r="F57546" s="193"/>
    </row>
    <row r="57547" spans="6:6" x14ac:dyDescent="0.3">
      <c r="F57547" s="193"/>
    </row>
    <row r="57548" spans="6:6" x14ac:dyDescent="0.3">
      <c r="F57548" s="193"/>
    </row>
    <row r="57549" spans="6:6" x14ac:dyDescent="0.3">
      <c r="F57549" s="193"/>
    </row>
    <row r="57550" spans="6:6" x14ac:dyDescent="0.3">
      <c r="F57550" s="193"/>
    </row>
    <row r="57551" spans="6:6" x14ac:dyDescent="0.3">
      <c r="F57551" s="193"/>
    </row>
    <row r="57552" spans="6:6" x14ac:dyDescent="0.3">
      <c r="F57552" s="193"/>
    </row>
    <row r="57553" spans="6:6" x14ac:dyDescent="0.3">
      <c r="F57553" s="193"/>
    </row>
    <row r="57554" spans="6:6" x14ac:dyDescent="0.3">
      <c r="F57554" s="193"/>
    </row>
    <row r="57555" spans="6:6" x14ac:dyDescent="0.3">
      <c r="F57555" s="193"/>
    </row>
    <row r="57556" spans="6:6" x14ac:dyDescent="0.3">
      <c r="F57556" s="193"/>
    </row>
    <row r="57557" spans="6:6" x14ac:dyDescent="0.3">
      <c r="F57557" s="193"/>
    </row>
    <row r="57558" spans="6:6" x14ac:dyDescent="0.3">
      <c r="F57558" s="193"/>
    </row>
    <row r="57559" spans="6:6" x14ac:dyDescent="0.3">
      <c r="F57559" s="193"/>
    </row>
    <row r="57560" spans="6:6" x14ac:dyDescent="0.3">
      <c r="F57560" s="193"/>
    </row>
    <row r="57561" spans="6:6" x14ac:dyDescent="0.3">
      <c r="F57561" s="193"/>
    </row>
    <row r="57562" spans="6:6" x14ac:dyDescent="0.3">
      <c r="F57562" s="193"/>
    </row>
    <row r="57563" spans="6:6" x14ac:dyDescent="0.3">
      <c r="F57563" s="193"/>
    </row>
    <row r="57564" spans="6:6" x14ac:dyDescent="0.3">
      <c r="F57564" s="193"/>
    </row>
    <row r="57565" spans="6:6" x14ac:dyDescent="0.3">
      <c r="F57565" s="193"/>
    </row>
    <row r="57566" spans="6:6" x14ac:dyDescent="0.3">
      <c r="F57566" s="193"/>
    </row>
    <row r="57567" spans="6:6" x14ac:dyDescent="0.3">
      <c r="F57567" s="193"/>
    </row>
    <row r="57568" spans="6:6" x14ac:dyDescent="0.3">
      <c r="F57568" s="193"/>
    </row>
    <row r="57569" spans="6:6" x14ac:dyDescent="0.3">
      <c r="F57569" s="193"/>
    </row>
    <row r="57570" spans="6:6" x14ac:dyDescent="0.3">
      <c r="F57570" s="193"/>
    </row>
    <row r="57571" spans="6:6" x14ac:dyDescent="0.3">
      <c r="F57571" s="193"/>
    </row>
    <row r="57572" spans="6:6" x14ac:dyDescent="0.3">
      <c r="F57572" s="193"/>
    </row>
    <row r="57573" spans="6:6" x14ac:dyDescent="0.3">
      <c r="F57573" s="193"/>
    </row>
    <row r="57574" spans="6:6" x14ac:dyDescent="0.3">
      <c r="F57574" s="193"/>
    </row>
    <row r="57575" spans="6:6" x14ac:dyDescent="0.3">
      <c r="F57575" s="193"/>
    </row>
    <row r="57576" spans="6:6" x14ac:dyDescent="0.3">
      <c r="F57576" s="193"/>
    </row>
    <row r="57577" spans="6:6" x14ac:dyDescent="0.3">
      <c r="F57577" s="193"/>
    </row>
    <row r="57578" spans="6:6" x14ac:dyDescent="0.3">
      <c r="F57578" s="193"/>
    </row>
    <row r="57579" spans="6:6" x14ac:dyDescent="0.3">
      <c r="F57579" s="193"/>
    </row>
    <row r="57580" spans="6:6" x14ac:dyDescent="0.3">
      <c r="F57580" s="193"/>
    </row>
    <row r="57581" spans="6:6" x14ac:dyDescent="0.3">
      <c r="F57581" s="193"/>
    </row>
    <row r="57582" spans="6:6" x14ac:dyDescent="0.3">
      <c r="F57582" s="193"/>
    </row>
    <row r="57583" spans="6:6" x14ac:dyDescent="0.3">
      <c r="F57583" s="193"/>
    </row>
    <row r="57584" spans="6:6" x14ac:dyDescent="0.3">
      <c r="F57584" s="193"/>
    </row>
    <row r="57585" spans="6:6" x14ac:dyDescent="0.3">
      <c r="F57585" s="193"/>
    </row>
    <row r="57586" spans="6:6" x14ac:dyDescent="0.3">
      <c r="F57586" s="193"/>
    </row>
    <row r="57587" spans="6:6" x14ac:dyDescent="0.3">
      <c r="F57587" s="193"/>
    </row>
    <row r="57588" spans="6:6" x14ac:dyDescent="0.3">
      <c r="F57588" s="193"/>
    </row>
    <row r="57589" spans="6:6" x14ac:dyDescent="0.3">
      <c r="F57589" s="193"/>
    </row>
    <row r="57590" spans="6:6" x14ac:dyDescent="0.3">
      <c r="F57590" s="193"/>
    </row>
    <row r="57591" spans="6:6" x14ac:dyDescent="0.3">
      <c r="F57591" s="193"/>
    </row>
    <row r="57592" spans="6:6" x14ac:dyDescent="0.3">
      <c r="F57592" s="193"/>
    </row>
    <row r="57593" spans="6:6" x14ac:dyDescent="0.3">
      <c r="F57593" s="193"/>
    </row>
    <row r="57594" spans="6:6" x14ac:dyDescent="0.3">
      <c r="F57594" s="193"/>
    </row>
    <row r="57595" spans="6:6" x14ac:dyDescent="0.3">
      <c r="F57595" s="193"/>
    </row>
    <row r="57596" spans="6:6" x14ac:dyDescent="0.3">
      <c r="F57596" s="193"/>
    </row>
    <row r="57597" spans="6:6" x14ac:dyDescent="0.3">
      <c r="F57597" s="193"/>
    </row>
    <row r="57598" spans="6:6" x14ac:dyDescent="0.3">
      <c r="F57598" s="193"/>
    </row>
    <row r="57599" spans="6:6" x14ac:dyDescent="0.3">
      <c r="F57599" s="193"/>
    </row>
    <row r="57600" spans="6:6" x14ac:dyDescent="0.3">
      <c r="F57600" s="193"/>
    </row>
    <row r="57601" spans="6:6" x14ac:dyDescent="0.3">
      <c r="F57601" s="193"/>
    </row>
    <row r="57602" spans="6:6" x14ac:dyDescent="0.3">
      <c r="F57602" s="193"/>
    </row>
    <row r="57603" spans="6:6" x14ac:dyDescent="0.3">
      <c r="F57603" s="193"/>
    </row>
    <row r="57604" spans="6:6" x14ac:dyDescent="0.3">
      <c r="F57604" s="193"/>
    </row>
    <row r="57605" spans="6:6" x14ac:dyDescent="0.3">
      <c r="F57605" s="193"/>
    </row>
    <row r="57606" spans="6:6" x14ac:dyDescent="0.3">
      <c r="F57606" s="193"/>
    </row>
    <row r="57607" spans="6:6" x14ac:dyDescent="0.3">
      <c r="F57607" s="193"/>
    </row>
    <row r="57608" spans="6:6" x14ac:dyDescent="0.3">
      <c r="F57608" s="193"/>
    </row>
    <row r="57609" spans="6:6" x14ac:dyDescent="0.3">
      <c r="F57609" s="193"/>
    </row>
    <row r="57610" spans="6:6" x14ac:dyDescent="0.3">
      <c r="F57610" s="193"/>
    </row>
    <row r="57611" spans="6:6" x14ac:dyDescent="0.3">
      <c r="F57611" s="193"/>
    </row>
    <row r="57612" spans="6:6" x14ac:dyDescent="0.3">
      <c r="F57612" s="193"/>
    </row>
    <row r="57613" spans="6:6" x14ac:dyDescent="0.3">
      <c r="F57613" s="193"/>
    </row>
    <row r="57614" spans="6:6" x14ac:dyDescent="0.3">
      <c r="F57614" s="193"/>
    </row>
    <row r="57615" spans="6:6" x14ac:dyDescent="0.3">
      <c r="F57615" s="193"/>
    </row>
    <row r="57616" spans="6:6" x14ac:dyDescent="0.3">
      <c r="F57616" s="193"/>
    </row>
    <row r="57617" spans="6:6" x14ac:dyDescent="0.3">
      <c r="F57617" s="193"/>
    </row>
    <row r="57618" spans="6:6" x14ac:dyDescent="0.3">
      <c r="F57618" s="193"/>
    </row>
    <row r="57619" spans="6:6" x14ac:dyDescent="0.3">
      <c r="F57619" s="193"/>
    </row>
    <row r="57620" spans="6:6" x14ac:dyDescent="0.3">
      <c r="F57620" s="193"/>
    </row>
    <row r="57621" spans="6:6" x14ac:dyDescent="0.3">
      <c r="F57621" s="193"/>
    </row>
    <row r="57622" spans="6:6" x14ac:dyDescent="0.3">
      <c r="F57622" s="193"/>
    </row>
    <row r="57623" spans="6:6" x14ac:dyDescent="0.3">
      <c r="F57623" s="193"/>
    </row>
    <row r="57624" spans="6:6" x14ac:dyDescent="0.3">
      <c r="F57624" s="193"/>
    </row>
    <row r="57625" spans="6:6" x14ac:dyDescent="0.3">
      <c r="F57625" s="193"/>
    </row>
    <row r="57626" spans="6:6" x14ac:dyDescent="0.3">
      <c r="F57626" s="193"/>
    </row>
    <row r="57627" spans="6:6" x14ac:dyDescent="0.3">
      <c r="F57627" s="193"/>
    </row>
    <row r="57628" spans="6:6" x14ac:dyDescent="0.3">
      <c r="F57628" s="193"/>
    </row>
    <row r="57629" spans="6:6" x14ac:dyDescent="0.3">
      <c r="F57629" s="193"/>
    </row>
    <row r="57630" spans="6:6" x14ac:dyDescent="0.3">
      <c r="F57630" s="193"/>
    </row>
    <row r="57631" spans="6:6" x14ac:dyDescent="0.3">
      <c r="F57631" s="193"/>
    </row>
    <row r="57632" spans="6:6" x14ac:dyDescent="0.3">
      <c r="F57632" s="193"/>
    </row>
    <row r="57633" spans="6:6" x14ac:dyDescent="0.3">
      <c r="F57633" s="193"/>
    </row>
    <row r="57634" spans="6:6" x14ac:dyDescent="0.3">
      <c r="F57634" s="193"/>
    </row>
    <row r="57635" spans="6:6" x14ac:dyDescent="0.3">
      <c r="F57635" s="193"/>
    </row>
    <row r="57636" spans="6:6" x14ac:dyDescent="0.3">
      <c r="F57636" s="193"/>
    </row>
    <row r="57637" spans="6:6" x14ac:dyDescent="0.3">
      <c r="F57637" s="193"/>
    </row>
    <row r="57638" spans="6:6" x14ac:dyDescent="0.3">
      <c r="F57638" s="193"/>
    </row>
    <row r="57639" spans="6:6" x14ac:dyDescent="0.3">
      <c r="F57639" s="193"/>
    </row>
    <row r="57640" spans="6:6" x14ac:dyDescent="0.3">
      <c r="F57640" s="193"/>
    </row>
    <row r="57641" spans="6:6" x14ac:dyDescent="0.3">
      <c r="F57641" s="193"/>
    </row>
    <row r="57642" spans="6:6" x14ac:dyDescent="0.3">
      <c r="F57642" s="193"/>
    </row>
    <row r="57643" spans="6:6" x14ac:dyDescent="0.3">
      <c r="F57643" s="193"/>
    </row>
    <row r="57644" spans="6:6" x14ac:dyDescent="0.3">
      <c r="F57644" s="193"/>
    </row>
    <row r="57645" spans="6:6" x14ac:dyDescent="0.3">
      <c r="F57645" s="193"/>
    </row>
    <row r="57646" spans="6:6" x14ac:dyDescent="0.3">
      <c r="F57646" s="193"/>
    </row>
    <row r="57647" spans="6:6" x14ac:dyDescent="0.3">
      <c r="F57647" s="193"/>
    </row>
    <row r="57648" spans="6:6" x14ac:dyDescent="0.3">
      <c r="F57648" s="193"/>
    </row>
    <row r="57649" spans="6:6" x14ac:dyDescent="0.3">
      <c r="F57649" s="193"/>
    </row>
    <row r="57650" spans="6:6" x14ac:dyDescent="0.3">
      <c r="F57650" s="193"/>
    </row>
    <row r="57651" spans="6:6" x14ac:dyDescent="0.3">
      <c r="F57651" s="193"/>
    </row>
    <row r="57652" spans="6:6" x14ac:dyDescent="0.3">
      <c r="F57652" s="193"/>
    </row>
    <row r="57653" spans="6:6" x14ac:dyDescent="0.3">
      <c r="F57653" s="193"/>
    </row>
    <row r="57654" spans="6:6" x14ac:dyDescent="0.3">
      <c r="F57654" s="193"/>
    </row>
    <row r="57655" spans="6:6" x14ac:dyDescent="0.3">
      <c r="F57655" s="193"/>
    </row>
    <row r="57656" spans="6:6" x14ac:dyDescent="0.3">
      <c r="F57656" s="193"/>
    </row>
    <row r="57657" spans="6:6" x14ac:dyDescent="0.3">
      <c r="F57657" s="193"/>
    </row>
    <row r="57658" spans="6:6" x14ac:dyDescent="0.3">
      <c r="F57658" s="193"/>
    </row>
    <row r="57659" spans="6:6" x14ac:dyDescent="0.3">
      <c r="F57659" s="193"/>
    </row>
    <row r="57660" spans="6:6" x14ac:dyDescent="0.3">
      <c r="F57660" s="193"/>
    </row>
    <row r="57661" spans="6:6" x14ac:dyDescent="0.3">
      <c r="F57661" s="193"/>
    </row>
    <row r="57662" spans="6:6" x14ac:dyDescent="0.3">
      <c r="F57662" s="193"/>
    </row>
    <row r="57663" spans="6:6" x14ac:dyDescent="0.3">
      <c r="F57663" s="193"/>
    </row>
    <row r="57664" spans="6:6" x14ac:dyDescent="0.3">
      <c r="F57664" s="193"/>
    </row>
    <row r="57665" spans="6:6" x14ac:dyDescent="0.3">
      <c r="F57665" s="193"/>
    </row>
    <row r="57666" spans="6:6" x14ac:dyDescent="0.3">
      <c r="F57666" s="193"/>
    </row>
    <row r="57667" spans="6:6" x14ac:dyDescent="0.3">
      <c r="F57667" s="193"/>
    </row>
    <row r="57668" spans="6:6" x14ac:dyDescent="0.3">
      <c r="F57668" s="193"/>
    </row>
    <row r="57669" spans="6:6" x14ac:dyDescent="0.3">
      <c r="F57669" s="193"/>
    </row>
    <row r="57670" spans="6:6" x14ac:dyDescent="0.3">
      <c r="F57670" s="193"/>
    </row>
    <row r="57671" spans="6:6" x14ac:dyDescent="0.3">
      <c r="F57671" s="193"/>
    </row>
    <row r="57672" spans="6:6" x14ac:dyDescent="0.3">
      <c r="F57672" s="193"/>
    </row>
    <row r="57673" spans="6:6" x14ac:dyDescent="0.3">
      <c r="F57673" s="193"/>
    </row>
    <row r="57674" spans="6:6" x14ac:dyDescent="0.3">
      <c r="F57674" s="193"/>
    </row>
    <row r="57675" spans="6:6" x14ac:dyDescent="0.3">
      <c r="F57675" s="193"/>
    </row>
    <row r="57676" spans="6:6" x14ac:dyDescent="0.3">
      <c r="F57676" s="193"/>
    </row>
    <row r="57677" spans="6:6" x14ac:dyDescent="0.3">
      <c r="F57677" s="193"/>
    </row>
    <row r="57678" spans="6:6" x14ac:dyDescent="0.3">
      <c r="F57678" s="193"/>
    </row>
    <row r="57679" spans="6:6" x14ac:dyDescent="0.3">
      <c r="F57679" s="193"/>
    </row>
    <row r="57680" spans="6:6" x14ac:dyDescent="0.3">
      <c r="F57680" s="193"/>
    </row>
    <row r="57681" spans="6:6" x14ac:dyDescent="0.3">
      <c r="F57681" s="193"/>
    </row>
    <row r="57682" spans="6:6" x14ac:dyDescent="0.3">
      <c r="F57682" s="193"/>
    </row>
    <row r="57683" spans="6:6" x14ac:dyDescent="0.3">
      <c r="F57683" s="193"/>
    </row>
    <row r="57684" spans="6:6" x14ac:dyDescent="0.3">
      <c r="F57684" s="193"/>
    </row>
    <row r="57685" spans="6:6" x14ac:dyDescent="0.3">
      <c r="F57685" s="193"/>
    </row>
    <row r="57686" spans="6:6" x14ac:dyDescent="0.3">
      <c r="F57686" s="193"/>
    </row>
    <row r="57687" spans="6:6" x14ac:dyDescent="0.3">
      <c r="F57687" s="193"/>
    </row>
    <row r="57688" spans="6:6" x14ac:dyDescent="0.3">
      <c r="F57688" s="193"/>
    </row>
    <row r="57689" spans="6:6" x14ac:dyDescent="0.3">
      <c r="F57689" s="193"/>
    </row>
    <row r="57690" spans="6:6" x14ac:dyDescent="0.3">
      <c r="F57690" s="193"/>
    </row>
    <row r="57691" spans="6:6" x14ac:dyDescent="0.3">
      <c r="F57691" s="193"/>
    </row>
    <row r="57692" spans="6:6" x14ac:dyDescent="0.3">
      <c r="F57692" s="193"/>
    </row>
    <row r="57693" spans="6:6" x14ac:dyDescent="0.3">
      <c r="F57693" s="193"/>
    </row>
    <row r="57694" spans="6:6" x14ac:dyDescent="0.3">
      <c r="F57694" s="193"/>
    </row>
    <row r="57695" spans="6:6" x14ac:dyDescent="0.3">
      <c r="F57695" s="193"/>
    </row>
    <row r="57696" spans="6:6" x14ac:dyDescent="0.3">
      <c r="F57696" s="193"/>
    </row>
    <row r="57697" spans="6:6" x14ac:dyDescent="0.3">
      <c r="F57697" s="193"/>
    </row>
    <row r="57698" spans="6:6" x14ac:dyDescent="0.3">
      <c r="F57698" s="193"/>
    </row>
    <row r="57699" spans="6:6" x14ac:dyDescent="0.3">
      <c r="F57699" s="193"/>
    </row>
    <row r="57700" spans="6:6" x14ac:dyDescent="0.3">
      <c r="F57700" s="193"/>
    </row>
    <row r="57701" spans="6:6" x14ac:dyDescent="0.3">
      <c r="F57701" s="193"/>
    </row>
    <row r="57702" spans="6:6" x14ac:dyDescent="0.3">
      <c r="F57702" s="193"/>
    </row>
    <row r="57703" spans="6:6" x14ac:dyDescent="0.3">
      <c r="F57703" s="193"/>
    </row>
    <row r="57704" spans="6:6" x14ac:dyDescent="0.3">
      <c r="F57704" s="193"/>
    </row>
    <row r="57705" spans="6:6" x14ac:dyDescent="0.3">
      <c r="F57705" s="193"/>
    </row>
    <row r="57706" spans="6:6" x14ac:dyDescent="0.3">
      <c r="F57706" s="193"/>
    </row>
    <row r="57707" spans="6:6" x14ac:dyDescent="0.3">
      <c r="F57707" s="193"/>
    </row>
    <row r="57708" spans="6:6" x14ac:dyDescent="0.3">
      <c r="F57708" s="193"/>
    </row>
    <row r="57709" spans="6:6" x14ac:dyDescent="0.3">
      <c r="F57709" s="193"/>
    </row>
    <row r="57710" spans="6:6" x14ac:dyDescent="0.3">
      <c r="F57710" s="193"/>
    </row>
    <row r="57711" spans="6:6" x14ac:dyDescent="0.3">
      <c r="F57711" s="193"/>
    </row>
    <row r="57712" spans="6:6" x14ac:dyDescent="0.3">
      <c r="F57712" s="193"/>
    </row>
    <row r="57713" spans="6:6" x14ac:dyDescent="0.3">
      <c r="F57713" s="193"/>
    </row>
    <row r="57714" spans="6:6" x14ac:dyDescent="0.3">
      <c r="F57714" s="193"/>
    </row>
    <row r="57715" spans="6:6" x14ac:dyDescent="0.3">
      <c r="F57715" s="193"/>
    </row>
    <row r="57716" spans="6:6" x14ac:dyDescent="0.3">
      <c r="F57716" s="193"/>
    </row>
    <row r="57717" spans="6:6" x14ac:dyDescent="0.3">
      <c r="F57717" s="193"/>
    </row>
    <row r="57718" spans="6:6" x14ac:dyDescent="0.3">
      <c r="F57718" s="193"/>
    </row>
    <row r="57719" spans="6:6" x14ac:dyDescent="0.3">
      <c r="F57719" s="193"/>
    </row>
    <row r="57720" spans="6:6" x14ac:dyDescent="0.3">
      <c r="F57720" s="193"/>
    </row>
    <row r="57721" spans="6:6" x14ac:dyDescent="0.3">
      <c r="F57721" s="193"/>
    </row>
    <row r="57722" spans="6:6" x14ac:dyDescent="0.3">
      <c r="F57722" s="193"/>
    </row>
    <row r="57723" spans="6:6" x14ac:dyDescent="0.3">
      <c r="F57723" s="193"/>
    </row>
    <row r="57724" spans="6:6" x14ac:dyDescent="0.3">
      <c r="F57724" s="193"/>
    </row>
    <row r="57725" spans="6:6" x14ac:dyDescent="0.3">
      <c r="F57725" s="193"/>
    </row>
    <row r="57726" spans="6:6" x14ac:dyDescent="0.3">
      <c r="F57726" s="193"/>
    </row>
    <row r="57727" spans="6:6" x14ac:dyDescent="0.3">
      <c r="F57727" s="193"/>
    </row>
    <row r="57728" spans="6:6" x14ac:dyDescent="0.3">
      <c r="F57728" s="193"/>
    </row>
    <row r="57729" spans="6:6" x14ac:dyDescent="0.3">
      <c r="F57729" s="193"/>
    </row>
    <row r="57730" spans="6:6" x14ac:dyDescent="0.3">
      <c r="F57730" s="193"/>
    </row>
    <row r="57731" spans="6:6" x14ac:dyDescent="0.3">
      <c r="F57731" s="193"/>
    </row>
    <row r="57732" spans="6:6" x14ac:dyDescent="0.3">
      <c r="F57732" s="193"/>
    </row>
    <row r="57733" spans="6:6" x14ac:dyDescent="0.3">
      <c r="F57733" s="193"/>
    </row>
    <row r="57734" spans="6:6" x14ac:dyDescent="0.3">
      <c r="F57734" s="193"/>
    </row>
    <row r="57735" spans="6:6" x14ac:dyDescent="0.3">
      <c r="F57735" s="193"/>
    </row>
    <row r="57736" spans="6:6" x14ac:dyDescent="0.3">
      <c r="F57736" s="193"/>
    </row>
    <row r="57737" spans="6:6" x14ac:dyDescent="0.3">
      <c r="F57737" s="193"/>
    </row>
    <row r="57738" spans="6:6" x14ac:dyDescent="0.3">
      <c r="F57738" s="193"/>
    </row>
    <row r="57739" spans="6:6" x14ac:dyDescent="0.3">
      <c r="F57739" s="193"/>
    </row>
    <row r="57740" spans="6:6" x14ac:dyDescent="0.3">
      <c r="F57740" s="193"/>
    </row>
    <row r="57741" spans="6:6" x14ac:dyDescent="0.3">
      <c r="F57741" s="193"/>
    </row>
    <row r="57742" spans="6:6" x14ac:dyDescent="0.3">
      <c r="F57742" s="193"/>
    </row>
    <row r="57743" spans="6:6" x14ac:dyDescent="0.3">
      <c r="F57743" s="193"/>
    </row>
    <row r="57744" spans="6:6" x14ac:dyDescent="0.3">
      <c r="F57744" s="193"/>
    </row>
    <row r="57745" spans="6:6" x14ac:dyDescent="0.3">
      <c r="F57745" s="193"/>
    </row>
    <row r="57746" spans="6:6" x14ac:dyDescent="0.3">
      <c r="F57746" s="193"/>
    </row>
    <row r="57747" spans="6:6" x14ac:dyDescent="0.3">
      <c r="F57747" s="193"/>
    </row>
    <row r="57748" spans="6:6" x14ac:dyDescent="0.3">
      <c r="F57748" s="193"/>
    </row>
    <row r="57749" spans="6:6" x14ac:dyDescent="0.3">
      <c r="F57749" s="193"/>
    </row>
    <row r="57750" spans="6:6" x14ac:dyDescent="0.3">
      <c r="F57750" s="193"/>
    </row>
    <row r="57751" spans="6:6" x14ac:dyDescent="0.3">
      <c r="F57751" s="193"/>
    </row>
    <row r="57752" spans="6:6" x14ac:dyDescent="0.3">
      <c r="F57752" s="193"/>
    </row>
    <row r="57753" spans="6:6" x14ac:dyDescent="0.3">
      <c r="F57753" s="193"/>
    </row>
    <row r="57754" spans="6:6" x14ac:dyDescent="0.3">
      <c r="F57754" s="193"/>
    </row>
    <row r="57755" spans="6:6" x14ac:dyDescent="0.3">
      <c r="F57755" s="193"/>
    </row>
    <row r="57756" spans="6:6" x14ac:dyDescent="0.3">
      <c r="F57756" s="193"/>
    </row>
    <row r="57757" spans="6:6" x14ac:dyDescent="0.3">
      <c r="F57757" s="193"/>
    </row>
    <row r="57758" spans="6:6" x14ac:dyDescent="0.3">
      <c r="F57758" s="193"/>
    </row>
    <row r="57759" spans="6:6" x14ac:dyDescent="0.3">
      <c r="F57759" s="193"/>
    </row>
    <row r="57760" spans="6:6" x14ac:dyDescent="0.3">
      <c r="F57760" s="193"/>
    </row>
    <row r="57761" spans="6:6" x14ac:dyDescent="0.3">
      <c r="F57761" s="193"/>
    </row>
    <row r="57762" spans="6:6" x14ac:dyDescent="0.3">
      <c r="F57762" s="193"/>
    </row>
    <row r="57763" spans="6:6" x14ac:dyDescent="0.3">
      <c r="F57763" s="193"/>
    </row>
    <row r="57764" spans="6:6" x14ac:dyDescent="0.3">
      <c r="F57764" s="193"/>
    </row>
    <row r="57765" spans="6:6" x14ac:dyDescent="0.3">
      <c r="F57765" s="193"/>
    </row>
    <row r="57766" spans="6:6" x14ac:dyDescent="0.3">
      <c r="F57766" s="193"/>
    </row>
    <row r="57767" spans="6:6" x14ac:dyDescent="0.3">
      <c r="F57767" s="193"/>
    </row>
    <row r="57768" spans="6:6" x14ac:dyDescent="0.3">
      <c r="F57768" s="193"/>
    </row>
    <row r="57769" spans="6:6" x14ac:dyDescent="0.3">
      <c r="F57769" s="193"/>
    </row>
    <row r="57770" spans="6:6" x14ac:dyDescent="0.3">
      <c r="F57770" s="193"/>
    </row>
    <row r="57771" spans="6:6" x14ac:dyDescent="0.3">
      <c r="F57771" s="193"/>
    </row>
    <row r="57772" spans="6:6" x14ac:dyDescent="0.3">
      <c r="F57772" s="193"/>
    </row>
    <row r="57773" spans="6:6" x14ac:dyDescent="0.3">
      <c r="F57773" s="193"/>
    </row>
    <row r="57774" spans="6:6" x14ac:dyDescent="0.3">
      <c r="F57774" s="193"/>
    </row>
    <row r="57775" spans="6:6" x14ac:dyDescent="0.3">
      <c r="F57775" s="193"/>
    </row>
    <row r="57776" spans="6:6" x14ac:dyDescent="0.3">
      <c r="F57776" s="193"/>
    </row>
    <row r="57777" spans="6:6" x14ac:dyDescent="0.3">
      <c r="F57777" s="193"/>
    </row>
    <row r="57778" spans="6:6" x14ac:dyDescent="0.3">
      <c r="F57778" s="193"/>
    </row>
    <row r="57779" spans="6:6" x14ac:dyDescent="0.3">
      <c r="F57779" s="193"/>
    </row>
    <row r="57780" spans="6:6" x14ac:dyDescent="0.3">
      <c r="F57780" s="193"/>
    </row>
    <row r="57781" spans="6:6" x14ac:dyDescent="0.3">
      <c r="F57781" s="193"/>
    </row>
    <row r="57782" spans="6:6" x14ac:dyDescent="0.3">
      <c r="F57782" s="193"/>
    </row>
    <row r="57783" spans="6:6" x14ac:dyDescent="0.3">
      <c r="F57783" s="193"/>
    </row>
    <row r="57784" spans="6:6" x14ac:dyDescent="0.3">
      <c r="F57784" s="193"/>
    </row>
    <row r="57785" spans="6:6" x14ac:dyDescent="0.3">
      <c r="F57785" s="193"/>
    </row>
    <row r="57786" spans="6:6" x14ac:dyDescent="0.3">
      <c r="F57786" s="193"/>
    </row>
    <row r="57787" spans="6:6" x14ac:dyDescent="0.3">
      <c r="F57787" s="193"/>
    </row>
    <row r="57788" spans="6:6" x14ac:dyDescent="0.3">
      <c r="F57788" s="193"/>
    </row>
    <row r="57789" spans="6:6" x14ac:dyDescent="0.3">
      <c r="F57789" s="193"/>
    </row>
    <row r="57790" spans="6:6" x14ac:dyDescent="0.3">
      <c r="F57790" s="193"/>
    </row>
    <row r="57791" spans="6:6" x14ac:dyDescent="0.3">
      <c r="F57791" s="193"/>
    </row>
    <row r="57792" spans="6:6" x14ac:dyDescent="0.3">
      <c r="F57792" s="193"/>
    </row>
    <row r="57793" spans="6:6" x14ac:dyDescent="0.3">
      <c r="F57793" s="193"/>
    </row>
    <row r="57794" spans="6:6" x14ac:dyDescent="0.3">
      <c r="F57794" s="193"/>
    </row>
    <row r="57795" spans="6:6" x14ac:dyDescent="0.3">
      <c r="F57795" s="193"/>
    </row>
    <row r="57796" spans="6:6" x14ac:dyDescent="0.3">
      <c r="F57796" s="193"/>
    </row>
    <row r="57797" spans="6:6" x14ac:dyDescent="0.3">
      <c r="F57797" s="193"/>
    </row>
    <row r="57798" spans="6:6" x14ac:dyDescent="0.3">
      <c r="F57798" s="193"/>
    </row>
    <row r="57799" spans="6:6" x14ac:dyDescent="0.3">
      <c r="F57799" s="193"/>
    </row>
    <row r="57800" spans="6:6" x14ac:dyDescent="0.3">
      <c r="F57800" s="193"/>
    </row>
    <row r="57801" spans="6:6" x14ac:dyDescent="0.3">
      <c r="F57801" s="193"/>
    </row>
    <row r="57802" spans="6:6" x14ac:dyDescent="0.3">
      <c r="F57802" s="193"/>
    </row>
    <row r="57803" spans="6:6" x14ac:dyDescent="0.3">
      <c r="F57803" s="193"/>
    </row>
    <row r="57804" spans="6:6" x14ac:dyDescent="0.3">
      <c r="F57804" s="193"/>
    </row>
    <row r="57805" spans="6:6" x14ac:dyDescent="0.3">
      <c r="F57805" s="193"/>
    </row>
    <row r="57806" spans="6:6" x14ac:dyDescent="0.3">
      <c r="F57806" s="193"/>
    </row>
    <row r="57807" spans="6:6" x14ac:dyDescent="0.3">
      <c r="F57807" s="193"/>
    </row>
    <row r="57808" spans="6:6" x14ac:dyDescent="0.3">
      <c r="F57808" s="193"/>
    </row>
    <row r="57809" spans="6:6" x14ac:dyDescent="0.3">
      <c r="F57809" s="193"/>
    </row>
    <row r="57810" spans="6:6" x14ac:dyDescent="0.3">
      <c r="F57810" s="193"/>
    </row>
    <row r="57811" spans="6:6" x14ac:dyDescent="0.3">
      <c r="F57811" s="193"/>
    </row>
    <row r="57812" spans="6:6" x14ac:dyDescent="0.3">
      <c r="F57812" s="193"/>
    </row>
    <row r="57813" spans="6:6" x14ac:dyDescent="0.3">
      <c r="F57813" s="193"/>
    </row>
    <row r="57814" spans="6:6" x14ac:dyDescent="0.3">
      <c r="F57814" s="193"/>
    </row>
    <row r="57815" spans="6:6" x14ac:dyDescent="0.3">
      <c r="F57815" s="193"/>
    </row>
    <row r="57816" spans="6:6" x14ac:dyDescent="0.3">
      <c r="F57816" s="193"/>
    </row>
    <row r="57817" spans="6:6" x14ac:dyDescent="0.3">
      <c r="F57817" s="193"/>
    </row>
    <row r="57818" spans="6:6" x14ac:dyDescent="0.3">
      <c r="F57818" s="193"/>
    </row>
    <row r="57819" spans="6:6" x14ac:dyDescent="0.3">
      <c r="F57819" s="193"/>
    </row>
    <row r="57820" spans="6:6" x14ac:dyDescent="0.3">
      <c r="F57820" s="193"/>
    </row>
    <row r="57821" spans="6:6" x14ac:dyDescent="0.3">
      <c r="F57821" s="193"/>
    </row>
    <row r="57822" spans="6:6" x14ac:dyDescent="0.3">
      <c r="F57822" s="193"/>
    </row>
    <row r="57823" spans="6:6" x14ac:dyDescent="0.3">
      <c r="F57823" s="193"/>
    </row>
    <row r="57824" spans="6:6" x14ac:dyDescent="0.3">
      <c r="F57824" s="193"/>
    </row>
    <row r="57825" spans="6:6" x14ac:dyDescent="0.3">
      <c r="F57825" s="193"/>
    </row>
    <row r="57826" spans="6:6" x14ac:dyDescent="0.3">
      <c r="F57826" s="193"/>
    </row>
    <row r="57827" spans="6:6" x14ac:dyDescent="0.3">
      <c r="F57827" s="193"/>
    </row>
    <row r="57828" spans="6:6" x14ac:dyDescent="0.3">
      <c r="F57828" s="193"/>
    </row>
    <row r="57829" spans="6:6" x14ac:dyDescent="0.3">
      <c r="F57829" s="193"/>
    </row>
    <row r="57830" spans="6:6" x14ac:dyDescent="0.3">
      <c r="F57830" s="193"/>
    </row>
    <row r="57831" spans="6:6" x14ac:dyDescent="0.3">
      <c r="F57831" s="193"/>
    </row>
    <row r="57832" spans="6:6" x14ac:dyDescent="0.3">
      <c r="F57832" s="193"/>
    </row>
    <row r="57833" spans="6:6" x14ac:dyDescent="0.3">
      <c r="F57833" s="193"/>
    </row>
    <row r="57834" spans="6:6" x14ac:dyDescent="0.3">
      <c r="F57834" s="193"/>
    </row>
    <row r="57835" spans="6:6" x14ac:dyDescent="0.3">
      <c r="F57835" s="193"/>
    </row>
    <row r="57836" spans="6:6" x14ac:dyDescent="0.3">
      <c r="F57836" s="193"/>
    </row>
    <row r="57837" spans="6:6" x14ac:dyDescent="0.3">
      <c r="F57837" s="193"/>
    </row>
    <row r="57838" spans="6:6" x14ac:dyDescent="0.3">
      <c r="F57838" s="193"/>
    </row>
    <row r="57839" spans="6:6" x14ac:dyDescent="0.3">
      <c r="F57839" s="193"/>
    </row>
    <row r="57840" spans="6:6" x14ac:dyDescent="0.3">
      <c r="F57840" s="193"/>
    </row>
    <row r="57841" spans="6:6" x14ac:dyDescent="0.3">
      <c r="F57841" s="193"/>
    </row>
    <row r="57842" spans="6:6" x14ac:dyDescent="0.3">
      <c r="F57842" s="193"/>
    </row>
    <row r="57843" spans="6:6" x14ac:dyDescent="0.3">
      <c r="F57843" s="193"/>
    </row>
    <row r="57844" spans="6:6" x14ac:dyDescent="0.3">
      <c r="F57844" s="193"/>
    </row>
    <row r="57845" spans="6:6" x14ac:dyDescent="0.3">
      <c r="F57845" s="193"/>
    </row>
    <row r="57846" spans="6:6" x14ac:dyDescent="0.3">
      <c r="F57846" s="193"/>
    </row>
    <row r="57847" spans="6:6" x14ac:dyDescent="0.3">
      <c r="F57847" s="193"/>
    </row>
    <row r="57848" spans="6:6" x14ac:dyDescent="0.3">
      <c r="F57848" s="193"/>
    </row>
    <row r="57849" spans="6:6" x14ac:dyDescent="0.3">
      <c r="F57849" s="193"/>
    </row>
    <row r="57850" spans="6:6" x14ac:dyDescent="0.3">
      <c r="F57850" s="193"/>
    </row>
    <row r="57851" spans="6:6" x14ac:dyDescent="0.3">
      <c r="F57851" s="193"/>
    </row>
    <row r="57852" spans="6:6" x14ac:dyDescent="0.3">
      <c r="F57852" s="193"/>
    </row>
    <row r="57853" spans="6:6" x14ac:dyDescent="0.3">
      <c r="F57853" s="193"/>
    </row>
    <row r="57854" spans="6:6" x14ac:dyDescent="0.3">
      <c r="F57854" s="193"/>
    </row>
    <row r="57855" spans="6:6" x14ac:dyDescent="0.3">
      <c r="F57855" s="193"/>
    </row>
    <row r="57856" spans="6:6" x14ac:dyDescent="0.3">
      <c r="F57856" s="193"/>
    </row>
    <row r="57857" spans="6:6" x14ac:dyDescent="0.3">
      <c r="F57857" s="193"/>
    </row>
    <row r="57858" spans="6:6" x14ac:dyDescent="0.3">
      <c r="F57858" s="193"/>
    </row>
    <row r="57859" spans="6:6" x14ac:dyDescent="0.3">
      <c r="F57859" s="193"/>
    </row>
    <row r="57860" spans="6:6" x14ac:dyDescent="0.3">
      <c r="F57860" s="193"/>
    </row>
    <row r="57861" spans="6:6" x14ac:dyDescent="0.3">
      <c r="F57861" s="193"/>
    </row>
    <row r="57862" spans="6:6" x14ac:dyDescent="0.3">
      <c r="F57862" s="193"/>
    </row>
    <row r="57863" spans="6:6" x14ac:dyDescent="0.3">
      <c r="F57863" s="193"/>
    </row>
    <row r="57864" spans="6:6" x14ac:dyDescent="0.3">
      <c r="F57864" s="193"/>
    </row>
    <row r="57865" spans="6:6" x14ac:dyDescent="0.3">
      <c r="F57865" s="193"/>
    </row>
    <row r="57866" spans="6:6" x14ac:dyDescent="0.3">
      <c r="F57866" s="193"/>
    </row>
    <row r="57867" spans="6:6" x14ac:dyDescent="0.3">
      <c r="F57867" s="193"/>
    </row>
    <row r="57868" spans="6:6" x14ac:dyDescent="0.3">
      <c r="F57868" s="193"/>
    </row>
    <row r="57869" spans="6:6" x14ac:dyDescent="0.3">
      <c r="F57869" s="193"/>
    </row>
    <row r="57870" spans="6:6" x14ac:dyDescent="0.3">
      <c r="F57870" s="193"/>
    </row>
    <row r="57871" spans="6:6" x14ac:dyDescent="0.3">
      <c r="F57871" s="193"/>
    </row>
    <row r="57872" spans="6:6" x14ac:dyDescent="0.3">
      <c r="F57872" s="193"/>
    </row>
    <row r="57873" spans="6:6" x14ac:dyDescent="0.3">
      <c r="F57873" s="193"/>
    </row>
    <row r="57874" spans="6:6" x14ac:dyDescent="0.3">
      <c r="F57874" s="193"/>
    </row>
    <row r="57875" spans="6:6" x14ac:dyDescent="0.3">
      <c r="F57875" s="193"/>
    </row>
    <row r="57876" spans="6:6" x14ac:dyDescent="0.3">
      <c r="F57876" s="193"/>
    </row>
    <row r="57877" spans="6:6" x14ac:dyDescent="0.3">
      <c r="F57877" s="193"/>
    </row>
    <row r="57878" spans="6:6" x14ac:dyDescent="0.3">
      <c r="F57878" s="193"/>
    </row>
    <row r="57879" spans="6:6" x14ac:dyDescent="0.3">
      <c r="F57879" s="193"/>
    </row>
    <row r="57880" spans="6:6" x14ac:dyDescent="0.3">
      <c r="F57880" s="193"/>
    </row>
    <row r="57881" spans="6:6" x14ac:dyDescent="0.3">
      <c r="F57881" s="193"/>
    </row>
    <row r="57882" spans="6:6" x14ac:dyDescent="0.3">
      <c r="F57882" s="193"/>
    </row>
    <row r="57883" spans="6:6" x14ac:dyDescent="0.3">
      <c r="F57883" s="193"/>
    </row>
    <row r="57884" spans="6:6" x14ac:dyDescent="0.3">
      <c r="F57884" s="193"/>
    </row>
    <row r="57885" spans="6:6" x14ac:dyDescent="0.3">
      <c r="F57885" s="193"/>
    </row>
    <row r="57886" spans="6:6" x14ac:dyDescent="0.3">
      <c r="F57886" s="193"/>
    </row>
    <row r="57887" spans="6:6" x14ac:dyDescent="0.3">
      <c r="F57887" s="193"/>
    </row>
    <row r="57888" spans="6:6" x14ac:dyDescent="0.3">
      <c r="F57888" s="193"/>
    </row>
    <row r="57889" spans="6:6" x14ac:dyDescent="0.3">
      <c r="F57889" s="193"/>
    </row>
    <row r="57890" spans="6:6" x14ac:dyDescent="0.3">
      <c r="F57890" s="193"/>
    </row>
    <row r="57891" spans="6:6" x14ac:dyDescent="0.3">
      <c r="F57891" s="193"/>
    </row>
    <row r="57892" spans="6:6" x14ac:dyDescent="0.3">
      <c r="F57892" s="193"/>
    </row>
    <row r="57893" spans="6:6" x14ac:dyDescent="0.3">
      <c r="F57893" s="193"/>
    </row>
    <row r="57894" spans="6:6" x14ac:dyDescent="0.3">
      <c r="F57894" s="193"/>
    </row>
    <row r="57895" spans="6:6" x14ac:dyDescent="0.3">
      <c r="F57895" s="193"/>
    </row>
    <row r="57896" spans="6:6" x14ac:dyDescent="0.3">
      <c r="F57896" s="193"/>
    </row>
    <row r="57897" spans="6:6" x14ac:dyDescent="0.3">
      <c r="F57897" s="193"/>
    </row>
    <row r="57898" spans="6:6" x14ac:dyDescent="0.3">
      <c r="F57898" s="193"/>
    </row>
    <row r="57899" spans="6:6" x14ac:dyDescent="0.3">
      <c r="F57899" s="193"/>
    </row>
    <row r="57900" spans="6:6" x14ac:dyDescent="0.3">
      <c r="F57900" s="193"/>
    </row>
    <row r="57901" spans="6:6" x14ac:dyDescent="0.3">
      <c r="F57901" s="193"/>
    </row>
    <row r="57902" spans="6:6" x14ac:dyDescent="0.3">
      <c r="F57902" s="193"/>
    </row>
    <row r="57903" spans="6:6" x14ac:dyDescent="0.3">
      <c r="F57903" s="193"/>
    </row>
    <row r="57904" spans="6:6" x14ac:dyDescent="0.3">
      <c r="F57904" s="193"/>
    </row>
    <row r="57905" spans="6:6" x14ac:dyDescent="0.3">
      <c r="F57905" s="193"/>
    </row>
    <row r="57906" spans="6:6" x14ac:dyDescent="0.3">
      <c r="F57906" s="193"/>
    </row>
    <row r="57907" spans="6:6" x14ac:dyDescent="0.3">
      <c r="F57907" s="193"/>
    </row>
    <row r="57908" spans="6:6" x14ac:dyDescent="0.3">
      <c r="F57908" s="193"/>
    </row>
    <row r="57909" spans="6:6" x14ac:dyDescent="0.3">
      <c r="F57909" s="193"/>
    </row>
    <row r="57910" spans="6:6" x14ac:dyDescent="0.3">
      <c r="F57910" s="193"/>
    </row>
    <row r="57911" spans="6:6" x14ac:dyDescent="0.3">
      <c r="F57911" s="193"/>
    </row>
    <row r="57912" spans="6:6" x14ac:dyDescent="0.3">
      <c r="F57912" s="193"/>
    </row>
    <row r="57913" spans="6:6" x14ac:dyDescent="0.3">
      <c r="F57913" s="193"/>
    </row>
    <row r="57914" spans="6:6" x14ac:dyDescent="0.3">
      <c r="F57914" s="193"/>
    </row>
    <row r="57915" spans="6:6" x14ac:dyDescent="0.3">
      <c r="F57915" s="193"/>
    </row>
    <row r="57916" spans="6:6" x14ac:dyDescent="0.3">
      <c r="F57916" s="193"/>
    </row>
    <row r="57917" spans="6:6" x14ac:dyDescent="0.3">
      <c r="F57917" s="193"/>
    </row>
    <row r="57918" spans="6:6" x14ac:dyDescent="0.3">
      <c r="F57918" s="193"/>
    </row>
    <row r="57919" spans="6:6" x14ac:dyDescent="0.3">
      <c r="F57919" s="193"/>
    </row>
    <row r="57920" spans="6:6" x14ac:dyDescent="0.3">
      <c r="F57920" s="193"/>
    </row>
    <row r="57921" spans="6:6" x14ac:dyDescent="0.3">
      <c r="F57921" s="193"/>
    </row>
    <row r="57922" spans="6:6" x14ac:dyDescent="0.3">
      <c r="F57922" s="193"/>
    </row>
    <row r="57923" spans="6:6" x14ac:dyDescent="0.3">
      <c r="F57923" s="193"/>
    </row>
    <row r="57924" spans="6:6" x14ac:dyDescent="0.3">
      <c r="F57924" s="193"/>
    </row>
    <row r="57925" spans="6:6" x14ac:dyDescent="0.3">
      <c r="F57925" s="193"/>
    </row>
    <row r="57926" spans="6:6" x14ac:dyDescent="0.3">
      <c r="F57926" s="193"/>
    </row>
    <row r="57927" spans="6:6" x14ac:dyDescent="0.3">
      <c r="F57927" s="193"/>
    </row>
    <row r="57928" spans="6:6" x14ac:dyDescent="0.3">
      <c r="F57928" s="193"/>
    </row>
    <row r="57929" spans="6:6" x14ac:dyDescent="0.3">
      <c r="F57929" s="193"/>
    </row>
    <row r="57930" spans="6:6" x14ac:dyDescent="0.3">
      <c r="F57930" s="193"/>
    </row>
    <row r="57931" spans="6:6" x14ac:dyDescent="0.3">
      <c r="F57931" s="193"/>
    </row>
    <row r="57932" spans="6:6" x14ac:dyDescent="0.3">
      <c r="F57932" s="193"/>
    </row>
    <row r="57933" spans="6:6" x14ac:dyDescent="0.3">
      <c r="F57933" s="193"/>
    </row>
    <row r="57934" spans="6:6" x14ac:dyDescent="0.3">
      <c r="F57934" s="193"/>
    </row>
    <row r="57935" spans="6:6" x14ac:dyDescent="0.3">
      <c r="F57935" s="193"/>
    </row>
    <row r="57936" spans="6:6" x14ac:dyDescent="0.3">
      <c r="F57936" s="193"/>
    </row>
    <row r="57937" spans="6:6" x14ac:dyDescent="0.3">
      <c r="F57937" s="193"/>
    </row>
    <row r="57938" spans="6:6" x14ac:dyDescent="0.3">
      <c r="F57938" s="193"/>
    </row>
    <row r="57939" spans="6:6" x14ac:dyDescent="0.3">
      <c r="F57939" s="193"/>
    </row>
    <row r="57940" spans="6:6" x14ac:dyDescent="0.3">
      <c r="F57940" s="193"/>
    </row>
    <row r="57941" spans="6:6" x14ac:dyDescent="0.3">
      <c r="F57941" s="193"/>
    </row>
    <row r="57942" spans="6:6" x14ac:dyDescent="0.3">
      <c r="F57942" s="193"/>
    </row>
    <row r="57943" spans="6:6" x14ac:dyDescent="0.3">
      <c r="F57943" s="193"/>
    </row>
    <row r="57944" spans="6:6" x14ac:dyDescent="0.3">
      <c r="F57944" s="193"/>
    </row>
    <row r="57945" spans="6:6" x14ac:dyDescent="0.3">
      <c r="F57945" s="193"/>
    </row>
    <row r="57946" spans="6:6" x14ac:dyDescent="0.3">
      <c r="F57946" s="193"/>
    </row>
    <row r="57947" spans="6:6" x14ac:dyDescent="0.3">
      <c r="F57947" s="193"/>
    </row>
    <row r="57948" spans="6:6" x14ac:dyDescent="0.3">
      <c r="F57948" s="193"/>
    </row>
    <row r="57949" spans="6:6" x14ac:dyDescent="0.3">
      <c r="F57949" s="193"/>
    </row>
    <row r="57950" spans="6:6" x14ac:dyDescent="0.3">
      <c r="F57950" s="193"/>
    </row>
    <row r="57951" spans="6:6" x14ac:dyDescent="0.3">
      <c r="F57951" s="193"/>
    </row>
    <row r="57952" spans="6:6" x14ac:dyDescent="0.3">
      <c r="F57952" s="193"/>
    </row>
    <row r="57953" spans="6:6" x14ac:dyDescent="0.3">
      <c r="F57953" s="193"/>
    </row>
    <row r="57954" spans="6:6" x14ac:dyDescent="0.3">
      <c r="F57954" s="193"/>
    </row>
    <row r="57955" spans="6:6" x14ac:dyDescent="0.3">
      <c r="F57955" s="193"/>
    </row>
    <row r="57956" spans="6:6" x14ac:dyDescent="0.3">
      <c r="F57956" s="193"/>
    </row>
    <row r="57957" spans="6:6" x14ac:dyDescent="0.3">
      <c r="F57957" s="193"/>
    </row>
    <row r="57958" spans="6:6" x14ac:dyDescent="0.3">
      <c r="F57958" s="193"/>
    </row>
    <row r="57959" spans="6:6" x14ac:dyDescent="0.3">
      <c r="F57959" s="193"/>
    </row>
    <row r="57960" spans="6:6" x14ac:dyDescent="0.3">
      <c r="F57960" s="193"/>
    </row>
    <row r="57961" spans="6:6" x14ac:dyDescent="0.3">
      <c r="F57961" s="193"/>
    </row>
    <row r="57962" spans="6:6" x14ac:dyDescent="0.3">
      <c r="F57962" s="193"/>
    </row>
    <row r="57963" spans="6:6" x14ac:dyDescent="0.3">
      <c r="F57963" s="193"/>
    </row>
    <row r="57964" spans="6:6" x14ac:dyDescent="0.3">
      <c r="F57964" s="193"/>
    </row>
    <row r="57965" spans="6:6" x14ac:dyDescent="0.3">
      <c r="F57965" s="193"/>
    </row>
    <row r="57966" spans="6:6" x14ac:dyDescent="0.3">
      <c r="F57966" s="193"/>
    </row>
    <row r="57967" spans="6:6" x14ac:dyDescent="0.3">
      <c r="F57967" s="193"/>
    </row>
    <row r="57968" spans="6:6" x14ac:dyDescent="0.3">
      <c r="F57968" s="193"/>
    </row>
    <row r="57969" spans="6:6" x14ac:dyDescent="0.3">
      <c r="F57969" s="193"/>
    </row>
    <row r="57970" spans="6:6" x14ac:dyDescent="0.3">
      <c r="F57970" s="193"/>
    </row>
    <row r="57971" spans="6:6" x14ac:dyDescent="0.3">
      <c r="F57971" s="193"/>
    </row>
    <row r="57972" spans="6:6" x14ac:dyDescent="0.3">
      <c r="F57972" s="193"/>
    </row>
    <row r="57973" spans="6:6" x14ac:dyDescent="0.3">
      <c r="F57973" s="193"/>
    </row>
    <row r="57974" spans="6:6" x14ac:dyDescent="0.3">
      <c r="F57974" s="193"/>
    </row>
    <row r="57975" spans="6:6" x14ac:dyDescent="0.3">
      <c r="F57975" s="193"/>
    </row>
    <row r="57976" spans="6:6" x14ac:dyDescent="0.3">
      <c r="F57976" s="193"/>
    </row>
    <row r="57977" spans="6:6" x14ac:dyDescent="0.3">
      <c r="F57977" s="193"/>
    </row>
    <row r="57978" spans="6:6" x14ac:dyDescent="0.3">
      <c r="F57978" s="193"/>
    </row>
    <row r="57979" spans="6:6" x14ac:dyDescent="0.3">
      <c r="F57979" s="193"/>
    </row>
    <row r="57980" spans="6:6" x14ac:dyDescent="0.3">
      <c r="F57980" s="193"/>
    </row>
    <row r="57981" spans="6:6" x14ac:dyDescent="0.3">
      <c r="F57981" s="193"/>
    </row>
    <row r="57982" spans="6:6" x14ac:dyDescent="0.3">
      <c r="F57982" s="193"/>
    </row>
    <row r="57983" spans="6:6" x14ac:dyDescent="0.3">
      <c r="F57983" s="193"/>
    </row>
    <row r="57984" spans="6:6" x14ac:dyDescent="0.3">
      <c r="F57984" s="193"/>
    </row>
    <row r="57985" spans="6:6" x14ac:dyDescent="0.3">
      <c r="F57985" s="193"/>
    </row>
    <row r="57986" spans="6:6" x14ac:dyDescent="0.3">
      <c r="F57986" s="193"/>
    </row>
    <row r="57987" spans="6:6" x14ac:dyDescent="0.3">
      <c r="F57987" s="193"/>
    </row>
    <row r="57988" spans="6:6" x14ac:dyDescent="0.3">
      <c r="F57988" s="193"/>
    </row>
    <row r="57989" spans="6:6" x14ac:dyDescent="0.3">
      <c r="F57989" s="193"/>
    </row>
    <row r="57990" spans="6:6" x14ac:dyDescent="0.3">
      <c r="F57990" s="193"/>
    </row>
    <row r="57991" spans="6:6" x14ac:dyDescent="0.3">
      <c r="F57991" s="193"/>
    </row>
    <row r="57992" spans="6:6" x14ac:dyDescent="0.3">
      <c r="F57992" s="193"/>
    </row>
    <row r="57993" spans="6:6" x14ac:dyDescent="0.3">
      <c r="F57993" s="193"/>
    </row>
    <row r="57994" spans="6:6" x14ac:dyDescent="0.3">
      <c r="F57994" s="193"/>
    </row>
    <row r="57995" spans="6:6" x14ac:dyDescent="0.3">
      <c r="F57995" s="193"/>
    </row>
    <row r="57996" spans="6:6" x14ac:dyDescent="0.3">
      <c r="F57996" s="193"/>
    </row>
    <row r="57997" spans="6:6" x14ac:dyDescent="0.3">
      <c r="F57997" s="193"/>
    </row>
    <row r="57998" spans="6:6" x14ac:dyDescent="0.3">
      <c r="F57998" s="193"/>
    </row>
    <row r="57999" spans="6:6" x14ac:dyDescent="0.3">
      <c r="F57999" s="193"/>
    </row>
    <row r="58000" spans="6:6" x14ac:dyDescent="0.3">
      <c r="F58000" s="193"/>
    </row>
    <row r="58001" spans="6:6" x14ac:dyDescent="0.3">
      <c r="F58001" s="193"/>
    </row>
    <row r="58002" spans="6:6" x14ac:dyDescent="0.3">
      <c r="F58002" s="193"/>
    </row>
    <row r="58003" spans="6:6" x14ac:dyDescent="0.3">
      <c r="F58003" s="193"/>
    </row>
    <row r="58004" spans="6:6" x14ac:dyDescent="0.3">
      <c r="F58004" s="193"/>
    </row>
    <row r="58005" spans="6:6" x14ac:dyDescent="0.3">
      <c r="F58005" s="193"/>
    </row>
    <row r="58006" spans="6:6" x14ac:dyDescent="0.3">
      <c r="F58006" s="193"/>
    </row>
    <row r="58007" spans="6:6" x14ac:dyDescent="0.3">
      <c r="F58007" s="193"/>
    </row>
    <row r="58008" spans="6:6" x14ac:dyDescent="0.3">
      <c r="F58008" s="193"/>
    </row>
    <row r="58009" spans="6:6" x14ac:dyDescent="0.3">
      <c r="F58009" s="193"/>
    </row>
    <row r="58010" spans="6:6" x14ac:dyDescent="0.3">
      <c r="F58010" s="193"/>
    </row>
    <row r="58011" spans="6:6" x14ac:dyDescent="0.3">
      <c r="F58011" s="193"/>
    </row>
    <row r="58012" spans="6:6" x14ac:dyDescent="0.3">
      <c r="F58012" s="193"/>
    </row>
    <row r="58013" spans="6:6" x14ac:dyDescent="0.3">
      <c r="F58013" s="193"/>
    </row>
    <row r="58014" spans="6:6" x14ac:dyDescent="0.3">
      <c r="F58014" s="193"/>
    </row>
    <row r="58015" spans="6:6" x14ac:dyDescent="0.3">
      <c r="F58015" s="193"/>
    </row>
    <row r="58016" spans="6:6" x14ac:dyDescent="0.3">
      <c r="F58016" s="193"/>
    </row>
    <row r="58017" spans="6:6" x14ac:dyDescent="0.3">
      <c r="F58017" s="193"/>
    </row>
    <row r="58018" spans="6:6" x14ac:dyDescent="0.3">
      <c r="F58018" s="193"/>
    </row>
    <row r="58019" spans="6:6" x14ac:dyDescent="0.3">
      <c r="F58019" s="193"/>
    </row>
    <row r="58020" spans="6:6" x14ac:dyDescent="0.3">
      <c r="F58020" s="193"/>
    </row>
    <row r="58021" spans="6:6" x14ac:dyDescent="0.3">
      <c r="F58021" s="193"/>
    </row>
    <row r="58022" spans="6:6" x14ac:dyDescent="0.3">
      <c r="F58022" s="193"/>
    </row>
    <row r="58023" spans="6:6" x14ac:dyDescent="0.3">
      <c r="F58023" s="193"/>
    </row>
    <row r="58024" spans="6:6" x14ac:dyDescent="0.3">
      <c r="F58024" s="193"/>
    </row>
    <row r="58025" spans="6:6" x14ac:dyDescent="0.3">
      <c r="F58025" s="193"/>
    </row>
    <row r="58026" spans="6:6" x14ac:dyDescent="0.3">
      <c r="F58026" s="193"/>
    </row>
    <row r="58027" spans="6:6" x14ac:dyDescent="0.3">
      <c r="F58027" s="193"/>
    </row>
    <row r="58028" spans="6:6" x14ac:dyDescent="0.3">
      <c r="F58028" s="193"/>
    </row>
    <row r="58029" spans="6:6" x14ac:dyDescent="0.3">
      <c r="F58029" s="193"/>
    </row>
    <row r="58030" spans="6:6" x14ac:dyDescent="0.3">
      <c r="F58030" s="193"/>
    </row>
    <row r="58031" spans="6:6" x14ac:dyDescent="0.3">
      <c r="F58031" s="193"/>
    </row>
    <row r="58032" spans="6:6" x14ac:dyDescent="0.3">
      <c r="F58032" s="193"/>
    </row>
    <row r="58033" spans="6:6" x14ac:dyDescent="0.3">
      <c r="F58033" s="193"/>
    </row>
    <row r="58034" spans="6:6" x14ac:dyDescent="0.3">
      <c r="F58034" s="193"/>
    </row>
    <row r="58035" spans="6:6" x14ac:dyDescent="0.3">
      <c r="F58035" s="193"/>
    </row>
    <row r="58036" spans="6:6" x14ac:dyDescent="0.3">
      <c r="F58036" s="193"/>
    </row>
    <row r="58037" spans="6:6" x14ac:dyDescent="0.3">
      <c r="F58037" s="193"/>
    </row>
    <row r="58038" spans="6:6" x14ac:dyDescent="0.3">
      <c r="F58038" s="193"/>
    </row>
    <row r="58039" spans="6:6" x14ac:dyDescent="0.3">
      <c r="F58039" s="193"/>
    </row>
    <row r="58040" spans="6:6" x14ac:dyDescent="0.3">
      <c r="F58040" s="193"/>
    </row>
    <row r="58041" spans="6:6" x14ac:dyDescent="0.3">
      <c r="F58041" s="193"/>
    </row>
    <row r="58042" spans="6:6" x14ac:dyDescent="0.3">
      <c r="F58042" s="193"/>
    </row>
    <row r="58043" spans="6:6" x14ac:dyDescent="0.3">
      <c r="F58043" s="193"/>
    </row>
    <row r="58044" spans="6:6" x14ac:dyDescent="0.3">
      <c r="F58044" s="193"/>
    </row>
    <row r="58045" spans="6:6" x14ac:dyDescent="0.3">
      <c r="F58045" s="193"/>
    </row>
    <row r="58046" spans="6:6" x14ac:dyDescent="0.3">
      <c r="F58046" s="193"/>
    </row>
    <row r="58047" spans="6:6" x14ac:dyDescent="0.3">
      <c r="F58047" s="193"/>
    </row>
    <row r="58048" spans="6:6" x14ac:dyDescent="0.3">
      <c r="F58048" s="193"/>
    </row>
    <row r="58049" spans="6:6" x14ac:dyDescent="0.3">
      <c r="F58049" s="193"/>
    </row>
    <row r="58050" spans="6:6" x14ac:dyDescent="0.3">
      <c r="F58050" s="193"/>
    </row>
    <row r="58051" spans="6:6" x14ac:dyDescent="0.3">
      <c r="F58051" s="193"/>
    </row>
    <row r="58052" spans="6:6" x14ac:dyDescent="0.3">
      <c r="F58052" s="193"/>
    </row>
    <row r="58053" spans="6:6" x14ac:dyDescent="0.3">
      <c r="F58053" s="193"/>
    </row>
    <row r="58054" spans="6:6" x14ac:dyDescent="0.3">
      <c r="F58054" s="193"/>
    </row>
    <row r="58055" spans="6:6" x14ac:dyDescent="0.3">
      <c r="F58055" s="193"/>
    </row>
    <row r="58056" spans="6:6" x14ac:dyDescent="0.3">
      <c r="F58056" s="193"/>
    </row>
    <row r="58057" spans="6:6" x14ac:dyDescent="0.3">
      <c r="F58057" s="193"/>
    </row>
    <row r="58058" spans="6:6" x14ac:dyDescent="0.3">
      <c r="F58058" s="193"/>
    </row>
    <row r="58059" spans="6:6" x14ac:dyDescent="0.3">
      <c r="F58059" s="193"/>
    </row>
    <row r="58060" spans="6:6" x14ac:dyDescent="0.3">
      <c r="F58060" s="193"/>
    </row>
    <row r="58061" spans="6:6" x14ac:dyDescent="0.3">
      <c r="F58061" s="193"/>
    </row>
    <row r="58062" spans="6:6" x14ac:dyDescent="0.3">
      <c r="F58062" s="193"/>
    </row>
    <row r="58063" spans="6:6" x14ac:dyDescent="0.3">
      <c r="F58063" s="193"/>
    </row>
    <row r="58064" spans="6:6" x14ac:dyDescent="0.3">
      <c r="F58064" s="193"/>
    </row>
    <row r="58065" spans="6:6" x14ac:dyDescent="0.3">
      <c r="F58065" s="193"/>
    </row>
    <row r="58066" spans="6:6" x14ac:dyDescent="0.3">
      <c r="F58066" s="193"/>
    </row>
    <row r="58067" spans="6:6" x14ac:dyDescent="0.3">
      <c r="F58067" s="193"/>
    </row>
    <row r="58068" spans="6:6" x14ac:dyDescent="0.3">
      <c r="F58068" s="193"/>
    </row>
    <row r="58069" spans="6:6" x14ac:dyDescent="0.3">
      <c r="F58069" s="193"/>
    </row>
    <row r="58070" spans="6:6" x14ac:dyDescent="0.3">
      <c r="F58070" s="193"/>
    </row>
    <row r="58071" spans="6:6" x14ac:dyDescent="0.3">
      <c r="F58071" s="193"/>
    </row>
    <row r="58072" spans="6:6" x14ac:dyDescent="0.3">
      <c r="F58072" s="193"/>
    </row>
    <row r="58073" spans="6:6" x14ac:dyDescent="0.3">
      <c r="F58073" s="193"/>
    </row>
    <row r="58074" spans="6:6" x14ac:dyDescent="0.3">
      <c r="F58074" s="193"/>
    </row>
    <row r="58075" spans="6:6" x14ac:dyDescent="0.3">
      <c r="F58075" s="193"/>
    </row>
    <row r="58076" spans="6:6" x14ac:dyDescent="0.3">
      <c r="F58076" s="193"/>
    </row>
    <row r="58077" spans="6:6" x14ac:dyDescent="0.3">
      <c r="F58077" s="193"/>
    </row>
    <row r="58078" spans="6:6" x14ac:dyDescent="0.3">
      <c r="F58078" s="193"/>
    </row>
    <row r="58079" spans="6:6" x14ac:dyDescent="0.3">
      <c r="F58079" s="193"/>
    </row>
    <row r="58080" spans="6:6" x14ac:dyDescent="0.3">
      <c r="F58080" s="193"/>
    </row>
    <row r="58081" spans="6:6" x14ac:dyDescent="0.3">
      <c r="F58081" s="193"/>
    </row>
    <row r="58082" spans="6:6" x14ac:dyDescent="0.3">
      <c r="F58082" s="193"/>
    </row>
    <row r="58083" spans="6:6" x14ac:dyDescent="0.3">
      <c r="F58083" s="193"/>
    </row>
    <row r="58084" spans="6:6" x14ac:dyDescent="0.3">
      <c r="F58084" s="193"/>
    </row>
    <row r="58085" spans="6:6" x14ac:dyDescent="0.3">
      <c r="F58085" s="193"/>
    </row>
    <row r="58086" spans="6:6" x14ac:dyDescent="0.3">
      <c r="F58086" s="193"/>
    </row>
    <row r="58087" spans="6:6" x14ac:dyDescent="0.3">
      <c r="F58087" s="193"/>
    </row>
    <row r="58088" spans="6:6" x14ac:dyDescent="0.3">
      <c r="F58088" s="193"/>
    </row>
    <row r="58089" spans="6:6" x14ac:dyDescent="0.3">
      <c r="F58089" s="193"/>
    </row>
    <row r="58090" spans="6:6" x14ac:dyDescent="0.3">
      <c r="F58090" s="193"/>
    </row>
    <row r="58091" spans="6:6" x14ac:dyDescent="0.3">
      <c r="F58091" s="193"/>
    </row>
    <row r="58092" spans="6:6" x14ac:dyDescent="0.3">
      <c r="F58092" s="193"/>
    </row>
    <row r="58093" spans="6:6" x14ac:dyDescent="0.3">
      <c r="F58093" s="193"/>
    </row>
    <row r="58094" spans="6:6" x14ac:dyDescent="0.3">
      <c r="F58094" s="193"/>
    </row>
    <row r="58095" spans="6:6" x14ac:dyDescent="0.3">
      <c r="F58095" s="193"/>
    </row>
    <row r="58096" spans="6:6" x14ac:dyDescent="0.3">
      <c r="F58096" s="193"/>
    </row>
    <row r="58097" spans="6:6" x14ac:dyDescent="0.3">
      <c r="F58097" s="193"/>
    </row>
    <row r="58098" spans="6:6" x14ac:dyDescent="0.3">
      <c r="F58098" s="193"/>
    </row>
    <row r="58099" spans="6:6" x14ac:dyDescent="0.3">
      <c r="F58099" s="193"/>
    </row>
    <row r="58100" spans="6:6" x14ac:dyDescent="0.3">
      <c r="F58100" s="193"/>
    </row>
    <row r="58101" spans="6:6" x14ac:dyDescent="0.3">
      <c r="F58101" s="193"/>
    </row>
    <row r="58102" spans="6:6" x14ac:dyDescent="0.3">
      <c r="F58102" s="193"/>
    </row>
    <row r="58103" spans="6:6" x14ac:dyDescent="0.3">
      <c r="F58103" s="193"/>
    </row>
    <row r="58104" spans="6:6" x14ac:dyDescent="0.3">
      <c r="F58104" s="193"/>
    </row>
    <row r="58105" spans="6:6" x14ac:dyDescent="0.3">
      <c r="F58105" s="193"/>
    </row>
    <row r="58106" spans="6:6" x14ac:dyDescent="0.3">
      <c r="F58106" s="193"/>
    </row>
    <row r="58107" spans="6:6" x14ac:dyDescent="0.3">
      <c r="F58107" s="193"/>
    </row>
    <row r="58108" spans="6:6" x14ac:dyDescent="0.3">
      <c r="F58108" s="193"/>
    </row>
    <row r="58109" spans="6:6" x14ac:dyDescent="0.3">
      <c r="F58109" s="193"/>
    </row>
    <row r="58110" spans="6:6" x14ac:dyDescent="0.3">
      <c r="F58110" s="193"/>
    </row>
    <row r="58111" spans="6:6" x14ac:dyDescent="0.3">
      <c r="F58111" s="193"/>
    </row>
    <row r="58112" spans="6:6" x14ac:dyDescent="0.3">
      <c r="F58112" s="193"/>
    </row>
    <row r="58113" spans="6:6" x14ac:dyDescent="0.3">
      <c r="F58113" s="193"/>
    </row>
    <row r="58114" spans="6:6" x14ac:dyDescent="0.3">
      <c r="F58114" s="193"/>
    </row>
    <row r="58115" spans="6:6" x14ac:dyDescent="0.3">
      <c r="F58115" s="193"/>
    </row>
    <row r="58116" spans="6:6" x14ac:dyDescent="0.3">
      <c r="F58116" s="193"/>
    </row>
    <row r="58117" spans="6:6" x14ac:dyDescent="0.3">
      <c r="F58117" s="193"/>
    </row>
    <row r="58118" spans="6:6" x14ac:dyDescent="0.3">
      <c r="F58118" s="193"/>
    </row>
    <row r="58119" spans="6:6" x14ac:dyDescent="0.3">
      <c r="F58119" s="193"/>
    </row>
    <row r="58120" spans="6:6" x14ac:dyDescent="0.3">
      <c r="F58120" s="193"/>
    </row>
    <row r="58121" spans="6:6" x14ac:dyDescent="0.3">
      <c r="F58121" s="193"/>
    </row>
    <row r="58122" spans="6:6" x14ac:dyDescent="0.3">
      <c r="F58122" s="193"/>
    </row>
    <row r="58123" spans="6:6" x14ac:dyDescent="0.3">
      <c r="F58123" s="193"/>
    </row>
    <row r="58124" spans="6:6" x14ac:dyDescent="0.3">
      <c r="F58124" s="193"/>
    </row>
    <row r="58125" spans="6:6" x14ac:dyDescent="0.3">
      <c r="F58125" s="193"/>
    </row>
    <row r="58126" spans="6:6" x14ac:dyDescent="0.3">
      <c r="F58126" s="193"/>
    </row>
    <row r="58127" spans="6:6" x14ac:dyDescent="0.3">
      <c r="F58127" s="193"/>
    </row>
    <row r="58128" spans="6:6" x14ac:dyDescent="0.3">
      <c r="F58128" s="193"/>
    </row>
    <row r="58129" spans="6:6" x14ac:dyDescent="0.3">
      <c r="F58129" s="193"/>
    </row>
    <row r="58130" spans="6:6" x14ac:dyDescent="0.3">
      <c r="F58130" s="193"/>
    </row>
    <row r="58131" spans="6:6" x14ac:dyDescent="0.3">
      <c r="F58131" s="193"/>
    </row>
    <row r="58132" spans="6:6" x14ac:dyDescent="0.3">
      <c r="F58132" s="193"/>
    </row>
    <row r="58133" spans="6:6" x14ac:dyDescent="0.3">
      <c r="F58133" s="193"/>
    </row>
    <row r="58134" spans="6:6" x14ac:dyDescent="0.3">
      <c r="F58134" s="193"/>
    </row>
    <row r="58135" spans="6:6" x14ac:dyDescent="0.3">
      <c r="F58135" s="193"/>
    </row>
    <row r="58136" spans="6:6" x14ac:dyDescent="0.3">
      <c r="F58136" s="193"/>
    </row>
    <row r="58137" spans="6:6" x14ac:dyDescent="0.3">
      <c r="F58137" s="193"/>
    </row>
    <row r="58138" spans="6:6" x14ac:dyDescent="0.3">
      <c r="F58138" s="193"/>
    </row>
    <row r="58139" spans="6:6" x14ac:dyDescent="0.3">
      <c r="F58139" s="193"/>
    </row>
    <row r="58140" spans="6:6" x14ac:dyDescent="0.3">
      <c r="F58140" s="193"/>
    </row>
    <row r="58141" spans="6:6" x14ac:dyDescent="0.3">
      <c r="F58141" s="193"/>
    </row>
    <row r="58142" spans="6:6" x14ac:dyDescent="0.3">
      <c r="F58142" s="193"/>
    </row>
    <row r="58143" spans="6:6" x14ac:dyDescent="0.3">
      <c r="F58143" s="193"/>
    </row>
    <row r="58144" spans="6:6" x14ac:dyDescent="0.3">
      <c r="F58144" s="193"/>
    </row>
    <row r="58145" spans="6:6" x14ac:dyDescent="0.3">
      <c r="F58145" s="193"/>
    </row>
    <row r="58146" spans="6:6" x14ac:dyDescent="0.3">
      <c r="F58146" s="193"/>
    </row>
    <row r="58147" spans="6:6" x14ac:dyDescent="0.3">
      <c r="F58147" s="193"/>
    </row>
    <row r="58148" spans="6:6" x14ac:dyDescent="0.3">
      <c r="F58148" s="193"/>
    </row>
    <row r="58149" spans="6:6" x14ac:dyDescent="0.3">
      <c r="F58149" s="193"/>
    </row>
    <row r="58150" spans="6:6" x14ac:dyDescent="0.3">
      <c r="F58150" s="193"/>
    </row>
    <row r="58151" spans="6:6" x14ac:dyDescent="0.3">
      <c r="F58151" s="193"/>
    </row>
    <row r="58152" spans="6:6" x14ac:dyDescent="0.3">
      <c r="F58152" s="193"/>
    </row>
    <row r="58153" spans="6:6" x14ac:dyDescent="0.3">
      <c r="F58153" s="193"/>
    </row>
    <row r="58154" spans="6:6" x14ac:dyDescent="0.3">
      <c r="F58154" s="193"/>
    </row>
    <row r="58155" spans="6:6" x14ac:dyDescent="0.3">
      <c r="F58155" s="193"/>
    </row>
    <row r="58156" spans="6:6" x14ac:dyDescent="0.3">
      <c r="F58156" s="193"/>
    </row>
    <row r="58157" spans="6:6" x14ac:dyDescent="0.3">
      <c r="F58157" s="193"/>
    </row>
    <row r="58158" spans="6:6" x14ac:dyDescent="0.3">
      <c r="F58158" s="193"/>
    </row>
    <row r="58159" spans="6:6" x14ac:dyDescent="0.3">
      <c r="F58159" s="193"/>
    </row>
    <row r="58160" spans="6:6" x14ac:dyDescent="0.3">
      <c r="F58160" s="193"/>
    </row>
    <row r="58161" spans="6:6" x14ac:dyDescent="0.3">
      <c r="F58161" s="193"/>
    </row>
    <row r="58162" spans="6:6" x14ac:dyDescent="0.3">
      <c r="F58162" s="193"/>
    </row>
    <row r="58163" spans="6:6" x14ac:dyDescent="0.3">
      <c r="F58163" s="193"/>
    </row>
    <row r="58164" spans="6:6" x14ac:dyDescent="0.3">
      <c r="F58164" s="193"/>
    </row>
    <row r="58165" spans="6:6" x14ac:dyDescent="0.3">
      <c r="F58165" s="193"/>
    </row>
    <row r="58166" spans="6:6" x14ac:dyDescent="0.3">
      <c r="F58166" s="193"/>
    </row>
    <row r="58167" spans="6:6" x14ac:dyDescent="0.3">
      <c r="F58167" s="193"/>
    </row>
    <row r="58168" spans="6:6" x14ac:dyDescent="0.3">
      <c r="F58168" s="193"/>
    </row>
    <row r="58169" spans="6:6" x14ac:dyDescent="0.3">
      <c r="F58169" s="193"/>
    </row>
    <row r="58170" spans="6:6" x14ac:dyDescent="0.3">
      <c r="F58170" s="193"/>
    </row>
    <row r="58171" spans="6:6" x14ac:dyDescent="0.3">
      <c r="F58171" s="193"/>
    </row>
    <row r="58172" spans="6:6" x14ac:dyDescent="0.3">
      <c r="F58172" s="193"/>
    </row>
    <row r="58173" spans="6:6" x14ac:dyDescent="0.3">
      <c r="F58173" s="193"/>
    </row>
    <row r="58174" spans="6:6" x14ac:dyDescent="0.3">
      <c r="F58174" s="193"/>
    </row>
    <row r="58175" spans="6:6" x14ac:dyDescent="0.3">
      <c r="F58175" s="193"/>
    </row>
    <row r="58176" spans="6:6" x14ac:dyDescent="0.3">
      <c r="F58176" s="193"/>
    </row>
    <row r="58177" spans="6:6" x14ac:dyDescent="0.3">
      <c r="F58177" s="193"/>
    </row>
    <row r="58178" spans="6:6" x14ac:dyDescent="0.3">
      <c r="F58178" s="193"/>
    </row>
    <row r="58179" spans="6:6" x14ac:dyDescent="0.3">
      <c r="F58179" s="193"/>
    </row>
    <row r="58180" spans="6:6" x14ac:dyDescent="0.3">
      <c r="F58180" s="193"/>
    </row>
    <row r="58181" spans="6:6" x14ac:dyDescent="0.3">
      <c r="F58181" s="193"/>
    </row>
    <row r="58182" spans="6:6" x14ac:dyDescent="0.3">
      <c r="F58182" s="193"/>
    </row>
    <row r="58183" spans="6:6" x14ac:dyDescent="0.3">
      <c r="F58183" s="193"/>
    </row>
    <row r="58184" spans="6:6" x14ac:dyDescent="0.3">
      <c r="F58184" s="193"/>
    </row>
    <row r="58185" spans="6:6" x14ac:dyDescent="0.3">
      <c r="F58185" s="193"/>
    </row>
    <row r="58186" spans="6:6" x14ac:dyDescent="0.3">
      <c r="F58186" s="193"/>
    </row>
    <row r="58187" spans="6:6" x14ac:dyDescent="0.3">
      <c r="F58187" s="193"/>
    </row>
    <row r="58188" spans="6:6" x14ac:dyDescent="0.3">
      <c r="F58188" s="193"/>
    </row>
    <row r="58189" spans="6:6" x14ac:dyDescent="0.3">
      <c r="F58189" s="193"/>
    </row>
    <row r="58190" spans="6:6" x14ac:dyDescent="0.3">
      <c r="F58190" s="193"/>
    </row>
    <row r="58191" spans="6:6" x14ac:dyDescent="0.3">
      <c r="F58191" s="193"/>
    </row>
    <row r="58192" spans="6:6" x14ac:dyDescent="0.3">
      <c r="F58192" s="193"/>
    </row>
    <row r="58193" spans="6:6" x14ac:dyDescent="0.3">
      <c r="F58193" s="193"/>
    </row>
    <row r="58194" spans="6:6" x14ac:dyDescent="0.3">
      <c r="F58194" s="193"/>
    </row>
    <row r="58195" spans="6:6" x14ac:dyDescent="0.3">
      <c r="F58195" s="193"/>
    </row>
    <row r="58196" spans="6:6" x14ac:dyDescent="0.3">
      <c r="F58196" s="193"/>
    </row>
    <row r="58197" spans="6:6" x14ac:dyDescent="0.3">
      <c r="F58197" s="193"/>
    </row>
    <row r="58198" spans="6:6" x14ac:dyDescent="0.3">
      <c r="F58198" s="193"/>
    </row>
    <row r="58199" spans="6:6" x14ac:dyDescent="0.3">
      <c r="F58199" s="193"/>
    </row>
    <row r="58200" spans="6:6" x14ac:dyDescent="0.3">
      <c r="F58200" s="193"/>
    </row>
    <row r="58201" spans="6:6" x14ac:dyDescent="0.3">
      <c r="F58201" s="193"/>
    </row>
    <row r="58202" spans="6:6" x14ac:dyDescent="0.3">
      <c r="F58202" s="193"/>
    </row>
    <row r="58203" spans="6:6" x14ac:dyDescent="0.3">
      <c r="F58203" s="193"/>
    </row>
    <row r="58204" spans="6:6" x14ac:dyDescent="0.3">
      <c r="F58204" s="193"/>
    </row>
    <row r="58205" spans="6:6" x14ac:dyDescent="0.3">
      <c r="F58205" s="193"/>
    </row>
    <row r="58206" spans="6:6" x14ac:dyDescent="0.3">
      <c r="F58206" s="193"/>
    </row>
    <row r="58207" spans="6:6" x14ac:dyDescent="0.3">
      <c r="F58207" s="193"/>
    </row>
    <row r="58208" spans="6:6" x14ac:dyDescent="0.3">
      <c r="F58208" s="193"/>
    </row>
    <row r="58209" spans="6:6" x14ac:dyDescent="0.3">
      <c r="F58209" s="193"/>
    </row>
    <row r="58210" spans="6:6" x14ac:dyDescent="0.3">
      <c r="F58210" s="193"/>
    </row>
    <row r="58211" spans="6:6" x14ac:dyDescent="0.3">
      <c r="F58211" s="193"/>
    </row>
    <row r="58212" spans="6:6" x14ac:dyDescent="0.3">
      <c r="F58212" s="193"/>
    </row>
    <row r="58213" spans="6:6" x14ac:dyDescent="0.3">
      <c r="F58213" s="193"/>
    </row>
    <row r="58214" spans="6:6" x14ac:dyDescent="0.3">
      <c r="F58214" s="193"/>
    </row>
    <row r="58215" spans="6:6" x14ac:dyDescent="0.3">
      <c r="F58215" s="193"/>
    </row>
    <row r="58216" spans="6:6" x14ac:dyDescent="0.3">
      <c r="F58216" s="193"/>
    </row>
    <row r="58217" spans="6:6" x14ac:dyDescent="0.3">
      <c r="F58217" s="193"/>
    </row>
    <row r="58218" spans="6:6" x14ac:dyDescent="0.3">
      <c r="F58218" s="193"/>
    </row>
    <row r="58219" spans="6:6" x14ac:dyDescent="0.3">
      <c r="F58219" s="193"/>
    </row>
    <row r="58220" spans="6:6" x14ac:dyDescent="0.3">
      <c r="F58220" s="193"/>
    </row>
    <row r="58221" spans="6:6" x14ac:dyDescent="0.3">
      <c r="F58221" s="193"/>
    </row>
    <row r="58222" spans="6:6" x14ac:dyDescent="0.3">
      <c r="F58222" s="193"/>
    </row>
    <row r="58223" spans="6:6" x14ac:dyDescent="0.3">
      <c r="F58223" s="193"/>
    </row>
    <row r="58224" spans="6:6" x14ac:dyDescent="0.3">
      <c r="F58224" s="193"/>
    </row>
    <row r="58225" spans="6:6" x14ac:dyDescent="0.3">
      <c r="F58225" s="193"/>
    </row>
    <row r="58226" spans="6:6" x14ac:dyDescent="0.3">
      <c r="F58226" s="193"/>
    </row>
    <row r="58227" spans="6:6" x14ac:dyDescent="0.3">
      <c r="F58227" s="193"/>
    </row>
    <row r="58228" spans="6:6" x14ac:dyDescent="0.3">
      <c r="F58228" s="193"/>
    </row>
    <row r="58229" spans="6:6" x14ac:dyDescent="0.3">
      <c r="F58229" s="193"/>
    </row>
    <row r="58230" spans="6:6" x14ac:dyDescent="0.3">
      <c r="F58230" s="193"/>
    </row>
    <row r="58231" spans="6:6" x14ac:dyDescent="0.3">
      <c r="F58231" s="193"/>
    </row>
    <row r="58232" spans="6:6" x14ac:dyDescent="0.3">
      <c r="F58232" s="193"/>
    </row>
    <row r="58233" spans="6:6" x14ac:dyDescent="0.3">
      <c r="F58233" s="193"/>
    </row>
    <row r="58234" spans="6:6" x14ac:dyDescent="0.3">
      <c r="F58234" s="193"/>
    </row>
    <row r="58235" spans="6:6" x14ac:dyDescent="0.3">
      <c r="F58235" s="193"/>
    </row>
    <row r="58236" spans="6:6" x14ac:dyDescent="0.3">
      <c r="F58236" s="193"/>
    </row>
    <row r="58237" spans="6:6" x14ac:dyDescent="0.3">
      <c r="F58237" s="193"/>
    </row>
    <row r="58238" spans="6:6" x14ac:dyDescent="0.3">
      <c r="F58238" s="193"/>
    </row>
    <row r="58239" spans="6:6" x14ac:dyDescent="0.3">
      <c r="F58239" s="193"/>
    </row>
    <row r="58240" spans="6:6" x14ac:dyDescent="0.3">
      <c r="F58240" s="193"/>
    </row>
    <row r="58241" spans="6:6" x14ac:dyDescent="0.3">
      <c r="F58241" s="193"/>
    </row>
    <row r="58242" spans="6:6" x14ac:dyDescent="0.3">
      <c r="F58242" s="193"/>
    </row>
    <row r="58243" spans="6:6" x14ac:dyDescent="0.3">
      <c r="F58243" s="193"/>
    </row>
    <row r="58244" spans="6:6" x14ac:dyDescent="0.3">
      <c r="F58244" s="193"/>
    </row>
    <row r="58245" spans="6:6" x14ac:dyDescent="0.3">
      <c r="F58245" s="193"/>
    </row>
    <row r="58246" spans="6:6" x14ac:dyDescent="0.3">
      <c r="F58246" s="193"/>
    </row>
    <row r="58247" spans="6:6" x14ac:dyDescent="0.3">
      <c r="F58247" s="193"/>
    </row>
    <row r="58248" spans="6:6" x14ac:dyDescent="0.3">
      <c r="F58248" s="193"/>
    </row>
    <row r="58249" spans="6:6" x14ac:dyDescent="0.3">
      <c r="F58249" s="193"/>
    </row>
    <row r="58250" spans="6:6" x14ac:dyDescent="0.3">
      <c r="F58250" s="193"/>
    </row>
    <row r="58251" spans="6:6" x14ac:dyDescent="0.3">
      <c r="F58251" s="193"/>
    </row>
    <row r="58252" spans="6:6" x14ac:dyDescent="0.3">
      <c r="F58252" s="193"/>
    </row>
    <row r="58253" spans="6:6" x14ac:dyDescent="0.3">
      <c r="F58253" s="193"/>
    </row>
    <row r="58254" spans="6:6" x14ac:dyDescent="0.3">
      <c r="F58254" s="193"/>
    </row>
    <row r="58255" spans="6:6" x14ac:dyDescent="0.3">
      <c r="F58255" s="193"/>
    </row>
    <row r="58256" spans="6:6" x14ac:dyDescent="0.3">
      <c r="F58256" s="193"/>
    </row>
    <row r="58257" spans="6:6" x14ac:dyDescent="0.3">
      <c r="F58257" s="193"/>
    </row>
    <row r="58258" spans="6:6" x14ac:dyDescent="0.3">
      <c r="F58258" s="193"/>
    </row>
    <row r="58259" spans="6:6" x14ac:dyDescent="0.3">
      <c r="F58259" s="193"/>
    </row>
    <row r="58260" spans="6:6" x14ac:dyDescent="0.3">
      <c r="F58260" s="193"/>
    </row>
    <row r="58261" spans="6:6" x14ac:dyDescent="0.3">
      <c r="F58261" s="193"/>
    </row>
    <row r="58262" spans="6:6" x14ac:dyDescent="0.3">
      <c r="F58262" s="193"/>
    </row>
    <row r="58263" spans="6:6" x14ac:dyDescent="0.3">
      <c r="F58263" s="193"/>
    </row>
    <row r="58264" spans="6:6" x14ac:dyDescent="0.3">
      <c r="F58264" s="193"/>
    </row>
    <row r="58265" spans="6:6" x14ac:dyDescent="0.3">
      <c r="F58265" s="193"/>
    </row>
    <row r="58266" spans="6:6" x14ac:dyDescent="0.3">
      <c r="F58266" s="193"/>
    </row>
    <row r="58267" spans="6:6" x14ac:dyDescent="0.3">
      <c r="F58267" s="193"/>
    </row>
    <row r="58268" spans="6:6" x14ac:dyDescent="0.3">
      <c r="F58268" s="193"/>
    </row>
    <row r="58269" spans="6:6" x14ac:dyDescent="0.3">
      <c r="F58269" s="193"/>
    </row>
    <row r="58270" spans="6:6" x14ac:dyDescent="0.3">
      <c r="F58270" s="193"/>
    </row>
    <row r="58271" spans="6:6" x14ac:dyDescent="0.3">
      <c r="F58271" s="193"/>
    </row>
    <row r="58272" spans="6:6" x14ac:dyDescent="0.3">
      <c r="F58272" s="193"/>
    </row>
    <row r="58273" spans="6:6" x14ac:dyDescent="0.3">
      <c r="F58273" s="193"/>
    </row>
    <row r="58274" spans="6:6" x14ac:dyDescent="0.3">
      <c r="F58274" s="193"/>
    </row>
    <row r="58275" spans="6:6" x14ac:dyDescent="0.3">
      <c r="F58275" s="193"/>
    </row>
    <row r="58276" spans="6:6" x14ac:dyDescent="0.3">
      <c r="F58276" s="193"/>
    </row>
    <row r="58277" spans="6:6" x14ac:dyDescent="0.3">
      <c r="F58277" s="193"/>
    </row>
    <row r="58278" spans="6:6" x14ac:dyDescent="0.3">
      <c r="F58278" s="193"/>
    </row>
    <row r="58279" spans="6:6" x14ac:dyDescent="0.3">
      <c r="F58279" s="193"/>
    </row>
    <row r="58280" spans="6:6" x14ac:dyDescent="0.3">
      <c r="F58280" s="193"/>
    </row>
    <row r="58281" spans="6:6" x14ac:dyDescent="0.3">
      <c r="F58281" s="193"/>
    </row>
    <row r="58282" spans="6:6" x14ac:dyDescent="0.3">
      <c r="F58282" s="193"/>
    </row>
    <row r="58283" spans="6:6" x14ac:dyDescent="0.3">
      <c r="F58283" s="193"/>
    </row>
    <row r="58284" spans="6:6" x14ac:dyDescent="0.3">
      <c r="F58284" s="193"/>
    </row>
    <row r="58285" spans="6:6" x14ac:dyDescent="0.3">
      <c r="F58285" s="193"/>
    </row>
    <row r="58286" spans="6:6" x14ac:dyDescent="0.3">
      <c r="F58286" s="193"/>
    </row>
    <row r="58287" spans="6:6" x14ac:dyDescent="0.3">
      <c r="F58287" s="193"/>
    </row>
    <row r="58288" spans="6:6" x14ac:dyDescent="0.3">
      <c r="F58288" s="193"/>
    </row>
    <row r="58289" spans="6:6" x14ac:dyDescent="0.3">
      <c r="F58289" s="193"/>
    </row>
    <row r="58290" spans="6:6" x14ac:dyDescent="0.3">
      <c r="F58290" s="193"/>
    </row>
    <row r="58291" spans="6:6" x14ac:dyDescent="0.3">
      <c r="F58291" s="193"/>
    </row>
    <row r="58292" spans="6:6" x14ac:dyDescent="0.3">
      <c r="F58292" s="193"/>
    </row>
    <row r="58293" spans="6:6" x14ac:dyDescent="0.3">
      <c r="F58293" s="193"/>
    </row>
    <row r="58294" spans="6:6" x14ac:dyDescent="0.3">
      <c r="F58294" s="193"/>
    </row>
    <row r="58295" spans="6:6" x14ac:dyDescent="0.3">
      <c r="F58295" s="193"/>
    </row>
    <row r="58296" spans="6:6" x14ac:dyDescent="0.3">
      <c r="F58296" s="193"/>
    </row>
    <row r="58297" spans="6:6" x14ac:dyDescent="0.3">
      <c r="F58297" s="193"/>
    </row>
    <row r="58298" spans="6:6" x14ac:dyDescent="0.3">
      <c r="F58298" s="193"/>
    </row>
    <row r="58299" spans="6:6" x14ac:dyDescent="0.3">
      <c r="F58299" s="193"/>
    </row>
    <row r="58300" spans="6:6" x14ac:dyDescent="0.3">
      <c r="F58300" s="193"/>
    </row>
    <row r="58301" spans="6:6" x14ac:dyDescent="0.3">
      <c r="F58301" s="193"/>
    </row>
    <row r="58302" spans="6:6" x14ac:dyDescent="0.3">
      <c r="F58302" s="193"/>
    </row>
    <row r="58303" spans="6:6" x14ac:dyDescent="0.3">
      <c r="F58303" s="193"/>
    </row>
    <row r="58304" spans="6:6" x14ac:dyDescent="0.3">
      <c r="F58304" s="193"/>
    </row>
    <row r="58305" spans="6:6" x14ac:dyDescent="0.3">
      <c r="F58305" s="193"/>
    </row>
    <row r="58306" spans="6:6" x14ac:dyDescent="0.3">
      <c r="F58306" s="193"/>
    </row>
    <row r="58307" spans="6:6" x14ac:dyDescent="0.3">
      <c r="F58307" s="193"/>
    </row>
    <row r="58308" spans="6:6" x14ac:dyDescent="0.3">
      <c r="F58308" s="193"/>
    </row>
    <row r="58309" spans="6:6" x14ac:dyDescent="0.3">
      <c r="F58309" s="193"/>
    </row>
    <row r="58310" spans="6:6" x14ac:dyDescent="0.3">
      <c r="F58310" s="193"/>
    </row>
    <row r="58311" spans="6:6" x14ac:dyDescent="0.3">
      <c r="F58311" s="193"/>
    </row>
    <row r="58312" spans="6:6" x14ac:dyDescent="0.3">
      <c r="F58312" s="193"/>
    </row>
    <row r="58313" spans="6:6" x14ac:dyDescent="0.3">
      <c r="F58313" s="193"/>
    </row>
    <row r="58314" spans="6:6" x14ac:dyDescent="0.3">
      <c r="F58314" s="193"/>
    </row>
    <row r="58315" spans="6:6" x14ac:dyDescent="0.3">
      <c r="F58315" s="193"/>
    </row>
    <row r="58316" spans="6:6" x14ac:dyDescent="0.3">
      <c r="F58316" s="193"/>
    </row>
    <row r="58317" spans="6:6" x14ac:dyDescent="0.3">
      <c r="F58317" s="193"/>
    </row>
    <row r="58318" spans="6:6" x14ac:dyDescent="0.3">
      <c r="F58318" s="193"/>
    </row>
    <row r="58319" spans="6:6" x14ac:dyDescent="0.3">
      <c r="F58319" s="193"/>
    </row>
    <row r="58320" spans="6:6" x14ac:dyDescent="0.3">
      <c r="F58320" s="193"/>
    </row>
    <row r="58321" spans="6:6" x14ac:dyDescent="0.3">
      <c r="F58321" s="193"/>
    </row>
    <row r="58322" spans="6:6" x14ac:dyDescent="0.3">
      <c r="F58322" s="193"/>
    </row>
    <row r="58323" spans="6:6" x14ac:dyDescent="0.3">
      <c r="F58323" s="193"/>
    </row>
    <row r="58324" spans="6:6" x14ac:dyDescent="0.3">
      <c r="F58324" s="193"/>
    </row>
    <row r="58325" spans="6:6" x14ac:dyDescent="0.3">
      <c r="F58325" s="193"/>
    </row>
    <row r="58326" spans="6:6" x14ac:dyDescent="0.3">
      <c r="F58326" s="193"/>
    </row>
    <row r="58327" spans="6:6" x14ac:dyDescent="0.3">
      <c r="F58327" s="193"/>
    </row>
    <row r="58328" spans="6:6" x14ac:dyDescent="0.3">
      <c r="F58328" s="193"/>
    </row>
    <row r="58329" spans="6:6" x14ac:dyDescent="0.3">
      <c r="F58329" s="193"/>
    </row>
    <row r="58330" spans="6:6" x14ac:dyDescent="0.3">
      <c r="F58330" s="193"/>
    </row>
    <row r="58331" spans="6:6" x14ac:dyDescent="0.3">
      <c r="F58331" s="193"/>
    </row>
    <row r="58332" spans="6:6" x14ac:dyDescent="0.3">
      <c r="F58332" s="193"/>
    </row>
    <row r="58333" spans="6:6" x14ac:dyDescent="0.3">
      <c r="F58333" s="193"/>
    </row>
    <row r="58334" spans="6:6" x14ac:dyDescent="0.3">
      <c r="F58334" s="193"/>
    </row>
    <row r="58335" spans="6:6" x14ac:dyDescent="0.3">
      <c r="F58335" s="193"/>
    </row>
    <row r="58336" spans="6:6" x14ac:dyDescent="0.3">
      <c r="F58336" s="193"/>
    </row>
    <row r="58337" spans="6:6" x14ac:dyDescent="0.3">
      <c r="F58337" s="193"/>
    </row>
    <row r="58338" spans="6:6" x14ac:dyDescent="0.3">
      <c r="F58338" s="193"/>
    </row>
    <row r="58339" spans="6:6" x14ac:dyDescent="0.3">
      <c r="F58339" s="193"/>
    </row>
    <row r="58340" spans="6:6" x14ac:dyDescent="0.3">
      <c r="F58340" s="193"/>
    </row>
    <row r="58341" spans="6:6" x14ac:dyDescent="0.3">
      <c r="F58341" s="193"/>
    </row>
    <row r="58342" spans="6:6" x14ac:dyDescent="0.3">
      <c r="F58342" s="193"/>
    </row>
    <row r="58343" spans="6:6" x14ac:dyDescent="0.3">
      <c r="F58343" s="193"/>
    </row>
    <row r="58344" spans="6:6" x14ac:dyDescent="0.3">
      <c r="F58344" s="193"/>
    </row>
    <row r="58345" spans="6:6" x14ac:dyDescent="0.3">
      <c r="F58345" s="193"/>
    </row>
    <row r="58346" spans="6:6" x14ac:dyDescent="0.3">
      <c r="F58346" s="193"/>
    </row>
    <row r="58347" spans="6:6" x14ac:dyDescent="0.3">
      <c r="F58347" s="193"/>
    </row>
    <row r="58348" spans="6:6" x14ac:dyDescent="0.3">
      <c r="F58348" s="193"/>
    </row>
    <row r="58349" spans="6:6" x14ac:dyDescent="0.3">
      <c r="F58349" s="193"/>
    </row>
    <row r="58350" spans="6:6" x14ac:dyDescent="0.3">
      <c r="F58350" s="193"/>
    </row>
    <row r="58351" spans="6:6" x14ac:dyDescent="0.3">
      <c r="F58351" s="193"/>
    </row>
    <row r="58352" spans="6:6" x14ac:dyDescent="0.3">
      <c r="F58352" s="193"/>
    </row>
    <row r="58353" spans="6:6" x14ac:dyDescent="0.3">
      <c r="F58353" s="193"/>
    </row>
    <row r="58354" spans="6:6" x14ac:dyDescent="0.3">
      <c r="F58354" s="193"/>
    </row>
    <row r="58355" spans="6:6" x14ac:dyDescent="0.3">
      <c r="F58355" s="193"/>
    </row>
    <row r="58356" spans="6:6" x14ac:dyDescent="0.3">
      <c r="F58356" s="193"/>
    </row>
    <row r="58357" spans="6:6" x14ac:dyDescent="0.3">
      <c r="F58357" s="193"/>
    </row>
    <row r="58358" spans="6:6" x14ac:dyDescent="0.3">
      <c r="F58358" s="193"/>
    </row>
    <row r="58359" spans="6:6" x14ac:dyDescent="0.3">
      <c r="F58359" s="193"/>
    </row>
    <row r="58360" spans="6:6" x14ac:dyDescent="0.3">
      <c r="F58360" s="193"/>
    </row>
    <row r="58361" spans="6:6" x14ac:dyDescent="0.3">
      <c r="F58361" s="193"/>
    </row>
    <row r="58362" spans="6:6" x14ac:dyDescent="0.3">
      <c r="F58362" s="193"/>
    </row>
    <row r="58363" spans="6:6" x14ac:dyDescent="0.3">
      <c r="F58363" s="193"/>
    </row>
    <row r="58364" spans="6:6" x14ac:dyDescent="0.3">
      <c r="F58364" s="193"/>
    </row>
    <row r="58365" spans="6:6" x14ac:dyDescent="0.3">
      <c r="F58365" s="193"/>
    </row>
    <row r="58366" spans="6:6" x14ac:dyDescent="0.3">
      <c r="F58366" s="193"/>
    </row>
    <row r="58367" spans="6:6" x14ac:dyDescent="0.3">
      <c r="F58367" s="193"/>
    </row>
    <row r="58368" spans="6:6" x14ac:dyDescent="0.3">
      <c r="F58368" s="193"/>
    </row>
    <row r="58369" spans="6:6" x14ac:dyDescent="0.3">
      <c r="F58369" s="193"/>
    </row>
    <row r="58370" spans="6:6" x14ac:dyDescent="0.3">
      <c r="F58370" s="193"/>
    </row>
    <row r="58371" spans="6:6" x14ac:dyDescent="0.3">
      <c r="F58371" s="193"/>
    </row>
    <row r="58372" spans="6:6" x14ac:dyDescent="0.3">
      <c r="F58372" s="193"/>
    </row>
    <row r="58373" spans="6:6" x14ac:dyDescent="0.3">
      <c r="F58373" s="193"/>
    </row>
    <row r="58374" spans="6:6" x14ac:dyDescent="0.3">
      <c r="F58374" s="193"/>
    </row>
    <row r="58375" spans="6:6" x14ac:dyDescent="0.3">
      <c r="F58375" s="193"/>
    </row>
    <row r="58376" spans="6:6" x14ac:dyDescent="0.3">
      <c r="F58376" s="193"/>
    </row>
    <row r="58377" spans="6:6" x14ac:dyDescent="0.3">
      <c r="F58377" s="193"/>
    </row>
    <row r="58378" spans="6:6" x14ac:dyDescent="0.3">
      <c r="F58378" s="193"/>
    </row>
    <row r="58379" spans="6:6" x14ac:dyDescent="0.3">
      <c r="F58379" s="193"/>
    </row>
    <row r="58380" spans="6:6" x14ac:dyDescent="0.3">
      <c r="F58380" s="193"/>
    </row>
    <row r="58381" spans="6:6" x14ac:dyDescent="0.3">
      <c r="F58381" s="193"/>
    </row>
    <row r="58382" spans="6:6" x14ac:dyDescent="0.3">
      <c r="F58382" s="193"/>
    </row>
    <row r="58383" spans="6:6" x14ac:dyDescent="0.3">
      <c r="F58383" s="193"/>
    </row>
    <row r="58384" spans="6:6" x14ac:dyDescent="0.3">
      <c r="F58384" s="193"/>
    </row>
    <row r="58385" spans="6:6" x14ac:dyDescent="0.3">
      <c r="F58385" s="193"/>
    </row>
    <row r="58386" spans="6:6" x14ac:dyDescent="0.3">
      <c r="F58386" s="193"/>
    </row>
    <row r="58387" spans="6:6" x14ac:dyDescent="0.3">
      <c r="F58387" s="193"/>
    </row>
    <row r="58388" spans="6:6" x14ac:dyDescent="0.3">
      <c r="F58388" s="193"/>
    </row>
    <row r="58389" spans="6:6" x14ac:dyDescent="0.3">
      <c r="F58389" s="193"/>
    </row>
    <row r="58390" spans="6:6" x14ac:dyDescent="0.3">
      <c r="F58390" s="193"/>
    </row>
    <row r="58391" spans="6:6" x14ac:dyDescent="0.3">
      <c r="F58391" s="193"/>
    </row>
    <row r="58392" spans="6:6" x14ac:dyDescent="0.3">
      <c r="F58392" s="193"/>
    </row>
    <row r="58393" spans="6:6" x14ac:dyDescent="0.3">
      <c r="F58393" s="193"/>
    </row>
    <row r="58394" spans="6:6" x14ac:dyDescent="0.3">
      <c r="F58394" s="193"/>
    </row>
    <row r="58395" spans="6:6" x14ac:dyDescent="0.3">
      <c r="F58395" s="193"/>
    </row>
    <row r="58396" spans="6:6" x14ac:dyDescent="0.3">
      <c r="F58396" s="193"/>
    </row>
    <row r="58397" spans="6:6" x14ac:dyDescent="0.3">
      <c r="F58397" s="193"/>
    </row>
    <row r="58398" spans="6:6" x14ac:dyDescent="0.3">
      <c r="F58398" s="193"/>
    </row>
    <row r="58399" spans="6:6" x14ac:dyDescent="0.3">
      <c r="F58399" s="193"/>
    </row>
    <row r="58400" spans="6:6" x14ac:dyDescent="0.3">
      <c r="F58400" s="193"/>
    </row>
    <row r="58401" spans="6:6" x14ac:dyDescent="0.3">
      <c r="F58401" s="193"/>
    </row>
    <row r="58402" spans="6:6" x14ac:dyDescent="0.3">
      <c r="F58402" s="193"/>
    </row>
    <row r="58403" spans="6:6" x14ac:dyDescent="0.3">
      <c r="F58403" s="193"/>
    </row>
    <row r="58404" spans="6:6" x14ac:dyDescent="0.3">
      <c r="F58404" s="193"/>
    </row>
    <row r="58405" spans="6:6" x14ac:dyDescent="0.3">
      <c r="F58405" s="193"/>
    </row>
    <row r="58406" spans="6:6" x14ac:dyDescent="0.3">
      <c r="F58406" s="193"/>
    </row>
    <row r="58407" spans="6:6" x14ac:dyDescent="0.3">
      <c r="F58407" s="193"/>
    </row>
    <row r="58408" spans="6:6" x14ac:dyDescent="0.3">
      <c r="F58408" s="193"/>
    </row>
    <row r="58409" spans="6:6" x14ac:dyDescent="0.3">
      <c r="F58409" s="193"/>
    </row>
    <row r="58410" spans="6:6" x14ac:dyDescent="0.3">
      <c r="F58410" s="193"/>
    </row>
    <row r="58411" spans="6:6" x14ac:dyDescent="0.3">
      <c r="F58411" s="193"/>
    </row>
    <row r="58412" spans="6:6" x14ac:dyDescent="0.3">
      <c r="F58412" s="193"/>
    </row>
    <row r="58413" spans="6:6" x14ac:dyDescent="0.3">
      <c r="F58413" s="193"/>
    </row>
    <row r="58414" spans="6:6" x14ac:dyDescent="0.3">
      <c r="F58414" s="193"/>
    </row>
    <row r="58415" spans="6:6" x14ac:dyDescent="0.3">
      <c r="F58415" s="193"/>
    </row>
    <row r="58416" spans="6:6" x14ac:dyDescent="0.3">
      <c r="F58416" s="193"/>
    </row>
    <row r="58417" spans="6:6" x14ac:dyDescent="0.3">
      <c r="F58417" s="193"/>
    </row>
    <row r="58418" spans="6:6" x14ac:dyDescent="0.3">
      <c r="F58418" s="193"/>
    </row>
    <row r="58419" spans="6:6" x14ac:dyDescent="0.3">
      <c r="F58419" s="193"/>
    </row>
    <row r="58420" spans="6:6" x14ac:dyDescent="0.3">
      <c r="F58420" s="193"/>
    </row>
    <row r="58421" spans="6:6" x14ac:dyDescent="0.3">
      <c r="F58421" s="193"/>
    </row>
    <row r="58422" spans="6:6" x14ac:dyDescent="0.3">
      <c r="F58422" s="193"/>
    </row>
    <row r="58423" spans="6:6" x14ac:dyDescent="0.3">
      <c r="F58423" s="193"/>
    </row>
    <row r="58424" spans="6:6" x14ac:dyDescent="0.3">
      <c r="F58424" s="193"/>
    </row>
    <row r="58425" spans="6:6" x14ac:dyDescent="0.3">
      <c r="F58425" s="193"/>
    </row>
    <row r="58426" spans="6:6" x14ac:dyDescent="0.3">
      <c r="F58426" s="193"/>
    </row>
    <row r="58427" spans="6:6" x14ac:dyDescent="0.3">
      <c r="F58427" s="193"/>
    </row>
    <row r="58428" spans="6:6" x14ac:dyDescent="0.3">
      <c r="F58428" s="193"/>
    </row>
    <row r="58429" spans="6:6" x14ac:dyDescent="0.3">
      <c r="F58429" s="193"/>
    </row>
    <row r="58430" spans="6:6" x14ac:dyDescent="0.3">
      <c r="F58430" s="193"/>
    </row>
    <row r="58431" spans="6:6" x14ac:dyDescent="0.3">
      <c r="F58431" s="193"/>
    </row>
    <row r="58432" spans="6:6" x14ac:dyDescent="0.3">
      <c r="F58432" s="193"/>
    </row>
    <row r="58433" spans="6:6" x14ac:dyDescent="0.3">
      <c r="F58433" s="193"/>
    </row>
    <row r="58434" spans="6:6" x14ac:dyDescent="0.3">
      <c r="F58434" s="193"/>
    </row>
    <row r="58435" spans="6:6" x14ac:dyDescent="0.3">
      <c r="F58435" s="193"/>
    </row>
    <row r="58436" spans="6:6" x14ac:dyDescent="0.3">
      <c r="F58436" s="193"/>
    </row>
    <row r="58437" spans="6:6" x14ac:dyDescent="0.3">
      <c r="F58437" s="193"/>
    </row>
    <row r="58438" spans="6:6" x14ac:dyDescent="0.3">
      <c r="F58438" s="193"/>
    </row>
    <row r="58439" spans="6:6" x14ac:dyDescent="0.3">
      <c r="F58439" s="193"/>
    </row>
    <row r="58440" spans="6:6" x14ac:dyDescent="0.3">
      <c r="F58440" s="193"/>
    </row>
    <row r="58441" spans="6:6" x14ac:dyDescent="0.3">
      <c r="F58441" s="193"/>
    </row>
    <row r="58442" spans="6:6" x14ac:dyDescent="0.3">
      <c r="F58442" s="193"/>
    </row>
    <row r="58443" spans="6:6" x14ac:dyDescent="0.3">
      <c r="F58443" s="193"/>
    </row>
    <row r="58444" spans="6:6" x14ac:dyDescent="0.3">
      <c r="F58444" s="193"/>
    </row>
    <row r="58445" spans="6:6" x14ac:dyDescent="0.3">
      <c r="F58445" s="193"/>
    </row>
    <row r="58446" spans="6:6" x14ac:dyDescent="0.3">
      <c r="F58446" s="193"/>
    </row>
    <row r="58447" spans="6:6" x14ac:dyDescent="0.3">
      <c r="F58447" s="193"/>
    </row>
    <row r="58448" spans="6:6" x14ac:dyDescent="0.3">
      <c r="F58448" s="193"/>
    </row>
    <row r="58449" spans="6:6" x14ac:dyDescent="0.3">
      <c r="F58449" s="193"/>
    </row>
    <row r="58450" spans="6:6" x14ac:dyDescent="0.3">
      <c r="F58450" s="193"/>
    </row>
    <row r="58451" spans="6:6" x14ac:dyDescent="0.3">
      <c r="F58451" s="193"/>
    </row>
    <row r="58452" spans="6:6" x14ac:dyDescent="0.3">
      <c r="F58452" s="193"/>
    </row>
    <row r="58453" spans="6:6" x14ac:dyDescent="0.3">
      <c r="F58453" s="193"/>
    </row>
    <row r="58454" spans="6:6" x14ac:dyDescent="0.3">
      <c r="F58454" s="193"/>
    </row>
    <row r="58455" spans="6:6" x14ac:dyDescent="0.3">
      <c r="F58455" s="193"/>
    </row>
    <row r="58456" spans="6:6" x14ac:dyDescent="0.3">
      <c r="F58456" s="193"/>
    </row>
    <row r="58457" spans="6:6" x14ac:dyDescent="0.3">
      <c r="F58457" s="193"/>
    </row>
    <row r="58458" spans="6:6" x14ac:dyDescent="0.3">
      <c r="F58458" s="193"/>
    </row>
    <row r="58459" spans="6:6" x14ac:dyDescent="0.3">
      <c r="F58459" s="193"/>
    </row>
    <row r="58460" spans="6:6" x14ac:dyDescent="0.3">
      <c r="F58460" s="193"/>
    </row>
    <row r="58461" spans="6:6" x14ac:dyDescent="0.3">
      <c r="F58461" s="193"/>
    </row>
    <row r="58462" spans="6:6" x14ac:dyDescent="0.3">
      <c r="F58462" s="193"/>
    </row>
    <row r="58463" spans="6:6" x14ac:dyDescent="0.3">
      <c r="F58463" s="193"/>
    </row>
    <row r="58464" spans="6:6" x14ac:dyDescent="0.3">
      <c r="F58464" s="193"/>
    </row>
    <row r="58465" spans="6:6" x14ac:dyDescent="0.3">
      <c r="F58465" s="193"/>
    </row>
    <row r="58466" spans="6:6" x14ac:dyDescent="0.3">
      <c r="F58466" s="193"/>
    </row>
    <row r="58467" spans="6:6" x14ac:dyDescent="0.3">
      <c r="F58467" s="193"/>
    </row>
    <row r="58468" spans="6:6" x14ac:dyDescent="0.3">
      <c r="F58468" s="193"/>
    </row>
    <row r="58469" spans="6:6" x14ac:dyDescent="0.3">
      <c r="F58469" s="193"/>
    </row>
    <row r="58470" spans="6:6" x14ac:dyDescent="0.3">
      <c r="F58470" s="193"/>
    </row>
    <row r="58471" spans="6:6" x14ac:dyDescent="0.3">
      <c r="F58471" s="193"/>
    </row>
    <row r="58472" spans="6:6" x14ac:dyDescent="0.3">
      <c r="F58472" s="193"/>
    </row>
    <row r="58473" spans="6:6" x14ac:dyDescent="0.3">
      <c r="F58473" s="193"/>
    </row>
    <row r="58474" spans="6:6" x14ac:dyDescent="0.3">
      <c r="F58474" s="193"/>
    </row>
    <row r="58475" spans="6:6" x14ac:dyDescent="0.3">
      <c r="F58475" s="193"/>
    </row>
    <row r="58476" spans="6:6" x14ac:dyDescent="0.3">
      <c r="F58476" s="193"/>
    </row>
    <row r="58477" spans="6:6" x14ac:dyDescent="0.3">
      <c r="F58477" s="193"/>
    </row>
    <row r="58478" spans="6:6" x14ac:dyDescent="0.3">
      <c r="F58478" s="193"/>
    </row>
    <row r="58479" spans="6:6" x14ac:dyDescent="0.3">
      <c r="F58479" s="193"/>
    </row>
    <row r="58480" spans="6:6" x14ac:dyDescent="0.3">
      <c r="F58480" s="193"/>
    </row>
    <row r="58481" spans="6:6" x14ac:dyDescent="0.3">
      <c r="F58481" s="193"/>
    </row>
    <row r="58482" spans="6:6" x14ac:dyDescent="0.3">
      <c r="F58482" s="193"/>
    </row>
    <row r="58483" spans="6:6" x14ac:dyDescent="0.3">
      <c r="F58483" s="193"/>
    </row>
    <row r="58484" spans="6:6" x14ac:dyDescent="0.3">
      <c r="F58484" s="193"/>
    </row>
    <row r="58485" spans="6:6" x14ac:dyDescent="0.3">
      <c r="F58485" s="193"/>
    </row>
    <row r="58486" spans="6:6" x14ac:dyDescent="0.3">
      <c r="F58486" s="193"/>
    </row>
    <row r="58487" spans="6:6" x14ac:dyDescent="0.3">
      <c r="F58487" s="193"/>
    </row>
    <row r="58488" spans="6:6" x14ac:dyDescent="0.3">
      <c r="F58488" s="193"/>
    </row>
    <row r="58489" spans="6:6" x14ac:dyDescent="0.3">
      <c r="F58489" s="193"/>
    </row>
    <row r="58490" spans="6:6" x14ac:dyDescent="0.3">
      <c r="F58490" s="193"/>
    </row>
    <row r="58491" spans="6:6" x14ac:dyDescent="0.3">
      <c r="F58491" s="193"/>
    </row>
    <row r="58492" spans="6:6" x14ac:dyDescent="0.3">
      <c r="F58492" s="193"/>
    </row>
    <row r="58493" spans="6:6" x14ac:dyDescent="0.3">
      <c r="F58493" s="193"/>
    </row>
    <row r="58494" spans="6:6" x14ac:dyDescent="0.3">
      <c r="F58494" s="193"/>
    </row>
    <row r="58495" spans="6:6" x14ac:dyDescent="0.3">
      <c r="F58495" s="193"/>
    </row>
    <row r="58496" spans="6:6" x14ac:dyDescent="0.3">
      <c r="F58496" s="193"/>
    </row>
    <row r="58497" spans="6:6" x14ac:dyDescent="0.3">
      <c r="F58497" s="193"/>
    </row>
    <row r="58498" spans="6:6" x14ac:dyDescent="0.3">
      <c r="F58498" s="193"/>
    </row>
    <row r="58499" spans="6:6" x14ac:dyDescent="0.3">
      <c r="F58499" s="193"/>
    </row>
    <row r="58500" spans="6:6" x14ac:dyDescent="0.3">
      <c r="F58500" s="193"/>
    </row>
    <row r="58501" spans="6:6" x14ac:dyDescent="0.3">
      <c r="F58501" s="193"/>
    </row>
    <row r="58502" spans="6:6" x14ac:dyDescent="0.3">
      <c r="F58502" s="193"/>
    </row>
    <row r="58503" spans="6:6" x14ac:dyDescent="0.3">
      <c r="F58503" s="193"/>
    </row>
    <row r="58504" spans="6:6" x14ac:dyDescent="0.3">
      <c r="F58504" s="193"/>
    </row>
    <row r="58505" spans="6:6" x14ac:dyDescent="0.3">
      <c r="F58505" s="193"/>
    </row>
    <row r="58506" spans="6:6" x14ac:dyDescent="0.3">
      <c r="F58506" s="193"/>
    </row>
    <row r="58507" spans="6:6" x14ac:dyDescent="0.3">
      <c r="F58507" s="193"/>
    </row>
    <row r="58508" spans="6:6" x14ac:dyDescent="0.3">
      <c r="F58508" s="193"/>
    </row>
    <row r="58509" spans="6:6" x14ac:dyDescent="0.3">
      <c r="F58509" s="193"/>
    </row>
    <row r="58510" spans="6:6" x14ac:dyDescent="0.3">
      <c r="F58510" s="193"/>
    </row>
    <row r="58511" spans="6:6" x14ac:dyDescent="0.3">
      <c r="F58511" s="193"/>
    </row>
    <row r="58512" spans="6:6" x14ac:dyDescent="0.3">
      <c r="F58512" s="193"/>
    </row>
    <row r="58513" spans="6:6" x14ac:dyDescent="0.3">
      <c r="F58513" s="193"/>
    </row>
    <row r="58514" spans="6:6" x14ac:dyDescent="0.3">
      <c r="F58514" s="193"/>
    </row>
    <row r="58515" spans="6:6" x14ac:dyDescent="0.3">
      <c r="F58515" s="193"/>
    </row>
    <row r="58516" spans="6:6" x14ac:dyDescent="0.3">
      <c r="F58516" s="193"/>
    </row>
    <row r="58517" spans="6:6" x14ac:dyDescent="0.3">
      <c r="F58517" s="193"/>
    </row>
    <row r="58518" spans="6:6" x14ac:dyDescent="0.3">
      <c r="F58518" s="193"/>
    </row>
    <row r="58519" spans="6:6" x14ac:dyDescent="0.3">
      <c r="F58519" s="193"/>
    </row>
    <row r="58520" spans="6:6" x14ac:dyDescent="0.3">
      <c r="F58520" s="193"/>
    </row>
    <row r="58521" spans="6:6" x14ac:dyDescent="0.3">
      <c r="F58521" s="193"/>
    </row>
    <row r="58522" spans="6:6" x14ac:dyDescent="0.3">
      <c r="F58522" s="193"/>
    </row>
    <row r="58523" spans="6:6" x14ac:dyDescent="0.3">
      <c r="F58523" s="193"/>
    </row>
    <row r="58524" spans="6:6" x14ac:dyDescent="0.3">
      <c r="F58524" s="193"/>
    </row>
    <row r="58525" spans="6:6" x14ac:dyDescent="0.3">
      <c r="F58525" s="193"/>
    </row>
    <row r="58526" spans="6:6" x14ac:dyDescent="0.3">
      <c r="F58526" s="193"/>
    </row>
    <row r="58527" spans="6:6" x14ac:dyDescent="0.3">
      <c r="F58527" s="193"/>
    </row>
    <row r="58528" spans="6:6" x14ac:dyDescent="0.3">
      <c r="F58528" s="193"/>
    </row>
    <row r="58529" spans="6:6" x14ac:dyDescent="0.3">
      <c r="F58529" s="193"/>
    </row>
    <row r="58530" spans="6:6" x14ac:dyDescent="0.3">
      <c r="F58530" s="193"/>
    </row>
    <row r="58531" spans="6:6" x14ac:dyDescent="0.3">
      <c r="F58531" s="193"/>
    </row>
    <row r="58532" spans="6:6" x14ac:dyDescent="0.3">
      <c r="F58532" s="193"/>
    </row>
    <row r="58533" spans="6:6" x14ac:dyDescent="0.3">
      <c r="F58533" s="193"/>
    </row>
    <row r="58534" spans="6:6" x14ac:dyDescent="0.3">
      <c r="F58534" s="193"/>
    </row>
    <row r="58535" spans="6:6" x14ac:dyDescent="0.3">
      <c r="F58535" s="193"/>
    </row>
    <row r="58536" spans="6:6" x14ac:dyDescent="0.3">
      <c r="F58536" s="193"/>
    </row>
    <row r="58537" spans="6:6" x14ac:dyDescent="0.3">
      <c r="F58537" s="193"/>
    </row>
    <row r="58538" spans="6:6" x14ac:dyDescent="0.3">
      <c r="F58538" s="193"/>
    </row>
    <row r="58539" spans="6:6" x14ac:dyDescent="0.3">
      <c r="F58539" s="193"/>
    </row>
    <row r="58540" spans="6:6" x14ac:dyDescent="0.3">
      <c r="F58540" s="193"/>
    </row>
    <row r="58541" spans="6:6" x14ac:dyDescent="0.3">
      <c r="F58541" s="193"/>
    </row>
    <row r="58542" spans="6:6" x14ac:dyDescent="0.3">
      <c r="F58542" s="193"/>
    </row>
    <row r="58543" spans="6:6" x14ac:dyDescent="0.3">
      <c r="F58543" s="193"/>
    </row>
    <row r="58544" spans="6:6" x14ac:dyDescent="0.3">
      <c r="F58544" s="193"/>
    </row>
    <row r="58545" spans="6:6" x14ac:dyDescent="0.3">
      <c r="F58545" s="193"/>
    </row>
    <row r="58546" spans="6:6" x14ac:dyDescent="0.3">
      <c r="F58546" s="193"/>
    </row>
    <row r="58547" spans="6:6" x14ac:dyDescent="0.3">
      <c r="F58547" s="193"/>
    </row>
    <row r="58548" spans="6:6" x14ac:dyDescent="0.3">
      <c r="F58548" s="193"/>
    </row>
    <row r="58549" spans="6:6" x14ac:dyDescent="0.3">
      <c r="F58549" s="193"/>
    </row>
    <row r="58550" spans="6:6" x14ac:dyDescent="0.3">
      <c r="F58550" s="193"/>
    </row>
    <row r="58551" spans="6:6" x14ac:dyDescent="0.3">
      <c r="F58551" s="193"/>
    </row>
    <row r="58552" spans="6:6" x14ac:dyDescent="0.3">
      <c r="F58552" s="193"/>
    </row>
    <row r="58553" spans="6:6" x14ac:dyDescent="0.3">
      <c r="F58553" s="193"/>
    </row>
    <row r="58554" spans="6:6" x14ac:dyDescent="0.3">
      <c r="F58554" s="193"/>
    </row>
    <row r="58555" spans="6:6" x14ac:dyDescent="0.3">
      <c r="F58555" s="193"/>
    </row>
    <row r="58556" spans="6:6" x14ac:dyDescent="0.3">
      <c r="F58556" s="193"/>
    </row>
    <row r="58557" spans="6:6" x14ac:dyDescent="0.3">
      <c r="F58557" s="193"/>
    </row>
    <row r="58558" spans="6:6" x14ac:dyDescent="0.3">
      <c r="F58558" s="193"/>
    </row>
    <row r="58559" spans="6:6" x14ac:dyDescent="0.3">
      <c r="F58559" s="193"/>
    </row>
    <row r="58560" spans="6:6" x14ac:dyDescent="0.3">
      <c r="F58560" s="193"/>
    </row>
    <row r="58561" spans="6:6" x14ac:dyDescent="0.3">
      <c r="F58561" s="193"/>
    </row>
    <row r="58562" spans="6:6" x14ac:dyDescent="0.3">
      <c r="F58562" s="193"/>
    </row>
    <row r="58563" spans="6:6" x14ac:dyDescent="0.3">
      <c r="F58563" s="193"/>
    </row>
    <row r="58564" spans="6:6" x14ac:dyDescent="0.3">
      <c r="F58564" s="193"/>
    </row>
    <row r="58565" spans="6:6" x14ac:dyDescent="0.3">
      <c r="F58565" s="193"/>
    </row>
    <row r="58566" spans="6:6" x14ac:dyDescent="0.3">
      <c r="F58566" s="193"/>
    </row>
    <row r="58567" spans="6:6" x14ac:dyDescent="0.3">
      <c r="F58567" s="193"/>
    </row>
    <row r="58568" spans="6:6" x14ac:dyDescent="0.3">
      <c r="F58568" s="193"/>
    </row>
    <row r="58569" spans="6:6" x14ac:dyDescent="0.3">
      <c r="F58569" s="193"/>
    </row>
    <row r="58570" spans="6:6" x14ac:dyDescent="0.3">
      <c r="F58570" s="193"/>
    </row>
    <row r="58571" spans="6:6" x14ac:dyDescent="0.3">
      <c r="F58571" s="193"/>
    </row>
    <row r="58572" spans="6:6" x14ac:dyDescent="0.3">
      <c r="F58572" s="193"/>
    </row>
    <row r="58573" spans="6:6" x14ac:dyDescent="0.3">
      <c r="F58573" s="193"/>
    </row>
    <row r="58574" spans="6:6" x14ac:dyDescent="0.3">
      <c r="F58574" s="193"/>
    </row>
    <row r="58575" spans="6:6" x14ac:dyDescent="0.3">
      <c r="F58575" s="193"/>
    </row>
    <row r="58576" spans="6:6" x14ac:dyDescent="0.3">
      <c r="F58576" s="193"/>
    </row>
    <row r="58577" spans="6:6" x14ac:dyDescent="0.3">
      <c r="F58577" s="193"/>
    </row>
    <row r="58578" spans="6:6" x14ac:dyDescent="0.3">
      <c r="F58578" s="193"/>
    </row>
    <row r="58579" spans="6:6" x14ac:dyDescent="0.3">
      <c r="F58579" s="193"/>
    </row>
    <row r="58580" spans="6:6" x14ac:dyDescent="0.3">
      <c r="F58580" s="193"/>
    </row>
    <row r="58581" spans="6:6" x14ac:dyDescent="0.3">
      <c r="F58581" s="193"/>
    </row>
    <row r="58582" spans="6:6" x14ac:dyDescent="0.3">
      <c r="F58582" s="193"/>
    </row>
    <row r="58583" spans="6:6" x14ac:dyDescent="0.3">
      <c r="F58583" s="193"/>
    </row>
    <row r="58584" spans="6:6" x14ac:dyDescent="0.3">
      <c r="F58584" s="193"/>
    </row>
    <row r="58585" spans="6:6" x14ac:dyDescent="0.3">
      <c r="F58585" s="193"/>
    </row>
    <row r="58586" spans="6:6" x14ac:dyDescent="0.3">
      <c r="F58586" s="193"/>
    </row>
    <row r="58587" spans="6:6" x14ac:dyDescent="0.3">
      <c r="F58587" s="193"/>
    </row>
    <row r="58588" spans="6:6" x14ac:dyDescent="0.3">
      <c r="F58588" s="193"/>
    </row>
    <row r="58589" spans="6:6" x14ac:dyDescent="0.3">
      <c r="F58589" s="193"/>
    </row>
    <row r="58590" spans="6:6" x14ac:dyDescent="0.3">
      <c r="F58590" s="193"/>
    </row>
    <row r="58591" spans="6:6" x14ac:dyDescent="0.3">
      <c r="F58591" s="193"/>
    </row>
    <row r="58592" spans="6:6" x14ac:dyDescent="0.3">
      <c r="F58592" s="193"/>
    </row>
    <row r="58593" spans="6:6" x14ac:dyDescent="0.3">
      <c r="F58593" s="193"/>
    </row>
    <row r="58594" spans="6:6" x14ac:dyDescent="0.3">
      <c r="F58594" s="193"/>
    </row>
    <row r="58595" spans="6:6" x14ac:dyDescent="0.3">
      <c r="F58595" s="193"/>
    </row>
    <row r="58596" spans="6:6" x14ac:dyDescent="0.3">
      <c r="F58596" s="193"/>
    </row>
    <row r="58597" spans="6:6" x14ac:dyDescent="0.3">
      <c r="F58597" s="193"/>
    </row>
    <row r="58598" spans="6:6" x14ac:dyDescent="0.3">
      <c r="F58598" s="193"/>
    </row>
    <row r="58599" spans="6:6" x14ac:dyDescent="0.3">
      <c r="F58599" s="193"/>
    </row>
    <row r="58600" spans="6:6" x14ac:dyDescent="0.3">
      <c r="F58600" s="193"/>
    </row>
    <row r="58601" spans="6:6" x14ac:dyDescent="0.3">
      <c r="F58601" s="193"/>
    </row>
    <row r="58602" spans="6:6" x14ac:dyDescent="0.3">
      <c r="F58602" s="193"/>
    </row>
    <row r="58603" spans="6:6" x14ac:dyDescent="0.3">
      <c r="F58603" s="193"/>
    </row>
    <row r="58604" spans="6:6" x14ac:dyDescent="0.3">
      <c r="F58604" s="193"/>
    </row>
    <row r="58605" spans="6:6" x14ac:dyDescent="0.3">
      <c r="F58605" s="193"/>
    </row>
    <row r="58606" spans="6:6" x14ac:dyDescent="0.3">
      <c r="F58606" s="193"/>
    </row>
    <row r="58607" spans="6:6" x14ac:dyDescent="0.3">
      <c r="F58607" s="193"/>
    </row>
    <row r="58608" spans="6:6" x14ac:dyDescent="0.3">
      <c r="F58608" s="193"/>
    </row>
    <row r="58609" spans="6:6" x14ac:dyDescent="0.3">
      <c r="F58609" s="193"/>
    </row>
    <row r="58610" spans="6:6" x14ac:dyDescent="0.3">
      <c r="F58610" s="193"/>
    </row>
    <row r="58611" spans="6:6" x14ac:dyDescent="0.3">
      <c r="F58611" s="193"/>
    </row>
    <row r="58612" spans="6:6" x14ac:dyDescent="0.3">
      <c r="F58612" s="193"/>
    </row>
    <row r="58613" spans="6:6" x14ac:dyDescent="0.3">
      <c r="F58613" s="193"/>
    </row>
    <row r="58614" spans="6:6" x14ac:dyDescent="0.3">
      <c r="F58614" s="193"/>
    </row>
    <row r="58615" spans="6:6" x14ac:dyDescent="0.3">
      <c r="F58615" s="193"/>
    </row>
    <row r="58616" spans="6:6" x14ac:dyDescent="0.3">
      <c r="F58616" s="193"/>
    </row>
    <row r="58617" spans="6:6" x14ac:dyDescent="0.3">
      <c r="F58617" s="193"/>
    </row>
    <row r="58618" spans="6:6" x14ac:dyDescent="0.3">
      <c r="F58618" s="193"/>
    </row>
    <row r="58619" spans="6:6" x14ac:dyDescent="0.3">
      <c r="F58619" s="193"/>
    </row>
    <row r="58620" spans="6:6" x14ac:dyDescent="0.3">
      <c r="F58620" s="193"/>
    </row>
    <row r="58621" spans="6:6" x14ac:dyDescent="0.3">
      <c r="F58621" s="193"/>
    </row>
    <row r="58622" spans="6:6" x14ac:dyDescent="0.3">
      <c r="F58622" s="193"/>
    </row>
    <row r="58623" spans="6:6" x14ac:dyDescent="0.3">
      <c r="F58623" s="193"/>
    </row>
    <row r="58624" spans="6:6" x14ac:dyDescent="0.3">
      <c r="F58624" s="193"/>
    </row>
    <row r="58625" spans="6:6" x14ac:dyDescent="0.3">
      <c r="F58625" s="193"/>
    </row>
    <row r="58626" spans="6:6" x14ac:dyDescent="0.3">
      <c r="F58626" s="193"/>
    </row>
    <row r="58627" spans="6:6" x14ac:dyDescent="0.3">
      <c r="F58627" s="193"/>
    </row>
    <row r="58628" spans="6:6" x14ac:dyDescent="0.3">
      <c r="F58628" s="193"/>
    </row>
    <row r="58629" spans="6:6" x14ac:dyDescent="0.3">
      <c r="F58629" s="193"/>
    </row>
    <row r="58630" spans="6:6" x14ac:dyDescent="0.3">
      <c r="F58630" s="193"/>
    </row>
    <row r="58631" spans="6:6" x14ac:dyDescent="0.3">
      <c r="F58631" s="193"/>
    </row>
    <row r="58632" spans="6:6" x14ac:dyDescent="0.3">
      <c r="F58632" s="193"/>
    </row>
    <row r="58633" spans="6:6" x14ac:dyDescent="0.3">
      <c r="F58633" s="193"/>
    </row>
    <row r="58634" spans="6:6" x14ac:dyDescent="0.3">
      <c r="F58634" s="193"/>
    </row>
    <row r="58635" spans="6:6" x14ac:dyDescent="0.3">
      <c r="F58635" s="193"/>
    </row>
    <row r="58636" spans="6:6" x14ac:dyDescent="0.3">
      <c r="F58636" s="193"/>
    </row>
    <row r="58637" spans="6:6" x14ac:dyDescent="0.3">
      <c r="F58637" s="193"/>
    </row>
    <row r="58638" spans="6:6" x14ac:dyDescent="0.3">
      <c r="F58638" s="193"/>
    </row>
    <row r="58639" spans="6:6" x14ac:dyDescent="0.3">
      <c r="F58639" s="193"/>
    </row>
    <row r="58640" spans="6:6" x14ac:dyDescent="0.3">
      <c r="F58640" s="193"/>
    </row>
    <row r="58641" spans="6:6" x14ac:dyDescent="0.3">
      <c r="F58641" s="193"/>
    </row>
    <row r="58642" spans="6:6" x14ac:dyDescent="0.3">
      <c r="F58642" s="193"/>
    </row>
    <row r="58643" spans="6:6" x14ac:dyDescent="0.3">
      <c r="F58643" s="193"/>
    </row>
    <row r="58644" spans="6:6" x14ac:dyDescent="0.3">
      <c r="F58644" s="193"/>
    </row>
    <row r="58645" spans="6:6" x14ac:dyDescent="0.3">
      <c r="F58645" s="193"/>
    </row>
    <row r="58646" spans="6:6" x14ac:dyDescent="0.3">
      <c r="F58646" s="193"/>
    </row>
    <row r="58647" spans="6:6" x14ac:dyDescent="0.3">
      <c r="F58647" s="193"/>
    </row>
    <row r="58648" spans="6:6" x14ac:dyDescent="0.3">
      <c r="F58648" s="193"/>
    </row>
    <row r="58649" spans="6:6" x14ac:dyDescent="0.3">
      <c r="F58649" s="193"/>
    </row>
    <row r="58650" spans="6:6" x14ac:dyDescent="0.3">
      <c r="F58650" s="193"/>
    </row>
    <row r="58651" spans="6:6" x14ac:dyDescent="0.3">
      <c r="F58651" s="193"/>
    </row>
    <row r="58652" spans="6:6" x14ac:dyDescent="0.3">
      <c r="F58652" s="193"/>
    </row>
    <row r="58653" spans="6:6" x14ac:dyDescent="0.3">
      <c r="F58653" s="193"/>
    </row>
    <row r="58654" spans="6:6" x14ac:dyDescent="0.3">
      <c r="F58654" s="193"/>
    </row>
    <row r="58655" spans="6:6" x14ac:dyDescent="0.3">
      <c r="F58655" s="193"/>
    </row>
    <row r="58656" spans="6:6" x14ac:dyDescent="0.3">
      <c r="F58656" s="193"/>
    </row>
    <row r="58657" spans="6:6" x14ac:dyDescent="0.3">
      <c r="F58657" s="193"/>
    </row>
    <row r="58658" spans="6:6" x14ac:dyDescent="0.3">
      <c r="F58658" s="193"/>
    </row>
    <row r="58659" spans="6:6" x14ac:dyDescent="0.3">
      <c r="F58659" s="193"/>
    </row>
    <row r="58660" spans="6:6" x14ac:dyDescent="0.3">
      <c r="F58660" s="193"/>
    </row>
    <row r="58661" spans="6:6" x14ac:dyDescent="0.3">
      <c r="F58661" s="193"/>
    </row>
    <row r="58662" spans="6:6" x14ac:dyDescent="0.3">
      <c r="F58662" s="193"/>
    </row>
    <row r="58663" spans="6:6" x14ac:dyDescent="0.3">
      <c r="F58663" s="193"/>
    </row>
    <row r="58664" spans="6:6" x14ac:dyDescent="0.3">
      <c r="F58664" s="193"/>
    </row>
    <row r="58665" spans="6:6" x14ac:dyDescent="0.3">
      <c r="F58665" s="193"/>
    </row>
    <row r="58666" spans="6:6" x14ac:dyDescent="0.3">
      <c r="F58666" s="193"/>
    </row>
    <row r="58667" spans="6:6" x14ac:dyDescent="0.3">
      <c r="F58667" s="193"/>
    </row>
    <row r="58668" spans="6:6" x14ac:dyDescent="0.3">
      <c r="F58668" s="193"/>
    </row>
    <row r="58669" spans="6:6" x14ac:dyDescent="0.3">
      <c r="F58669" s="193"/>
    </row>
    <row r="58670" spans="6:6" x14ac:dyDescent="0.3">
      <c r="F58670" s="193"/>
    </row>
    <row r="58671" spans="6:6" x14ac:dyDescent="0.3">
      <c r="F58671" s="193"/>
    </row>
    <row r="58672" spans="6:6" x14ac:dyDescent="0.3">
      <c r="F58672" s="193"/>
    </row>
    <row r="58673" spans="6:6" x14ac:dyDescent="0.3">
      <c r="F58673" s="193"/>
    </row>
    <row r="58674" spans="6:6" x14ac:dyDescent="0.3">
      <c r="F58674" s="193"/>
    </row>
    <row r="58675" spans="6:6" x14ac:dyDescent="0.3">
      <c r="F58675" s="193"/>
    </row>
    <row r="58676" spans="6:6" x14ac:dyDescent="0.3">
      <c r="F58676" s="193"/>
    </row>
    <row r="58677" spans="6:6" x14ac:dyDescent="0.3">
      <c r="F58677" s="193"/>
    </row>
    <row r="58678" spans="6:6" x14ac:dyDescent="0.3">
      <c r="F58678" s="193"/>
    </row>
    <row r="58679" spans="6:6" x14ac:dyDescent="0.3">
      <c r="F58679" s="193"/>
    </row>
    <row r="58680" spans="6:6" x14ac:dyDescent="0.3">
      <c r="F58680" s="193"/>
    </row>
    <row r="58681" spans="6:6" x14ac:dyDescent="0.3">
      <c r="F58681" s="193"/>
    </row>
    <row r="58682" spans="6:6" x14ac:dyDescent="0.3">
      <c r="F58682" s="193"/>
    </row>
    <row r="58683" spans="6:6" x14ac:dyDescent="0.3">
      <c r="F58683" s="193"/>
    </row>
    <row r="58684" spans="6:6" x14ac:dyDescent="0.3">
      <c r="F58684" s="193"/>
    </row>
    <row r="58685" spans="6:6" x14ac:dyDescent="0.3">
      <c r="F58685" s="193"/>
    </row>
    <row r="58686" spans="6:6" x14ac:dyDescent="0.3">
      <c r="F58686" s="193"/>
    </row>
    <row r="58687" spans="6:6" x14ac:dyDescent="0.3">
      <c r="F58687" s="193"/>
    </row>
    <row r="58688" spans="6:6" x14ac:dyDescent="0.3">
      <c r="F58688" s="193"/>
    </row>
    <row r="58689" spans="6:6" x14ac:dyDescent="0.3">
      <c r="F58689" s="193"/>
    </row>
    <row r="58690" spans="6:6" x14ac:dyDescent="0.3">
      <c r="F58690" s="193"/>
    </row>
    <row r="58691" spans="6:6" x14ac:dyDescent="0.3">
      <c r="F58691" s="193"/>
    </row>
    <row r="58692" spans="6:6" x14ac:dyDescent="0.3">
      <c r="F58692" s="193"/>
    </row>
    <row r="58693" spans="6:6" x14ac:dyDescent="0.3">
      <c r="F58693" s="193"/>
    </row>
    <row r="58694" spans="6:6" x14ac:dyDescent="0.3">
      <c r="F58694" s="193"/>
    </row>
    <row r="58695" spans="6:6" x14ac:dyDescent="0.3">
      <c r="F58695" s="193"/>
    </row>
    <row r="58696" spans="6:6" x14ac:dyDescent="0.3">
      <c r="F58696" s="193"/>
    </row>
    <row r="58697" spans="6:6" x14ac:dyDescent="0.3">
      <c r="F58697" s="193"/>
    </row>
    <row r="58698" spans="6:6" x14ac:dyDescent="0.3">
      <c r="F58698" s="193"/>
    </row>
    <row r="58699" spans="6:6" x14ac:dyDescent="0.3">
      <c r="F58699" s="193"/>
    </row>
    <row r="58700" spans="6:6" x14ac:dyDescent="0.3">
      <c r="F58700" s="193"/>
    </row>
    <row r="58701" spans="6:6" x14ac:dyDescent="0.3">
      <c r="F58701" s="193"/>
    </row>
    <row r="58702" spans="6:6" x14ac:dyDescent="0.3">
      <c r="F58702" s="193"/>
    </row>
    <row r="58703" spans="6:6" x14ac:dyDescent="0.3">
      <c r="F58703" s="193"/>
    </row>
    <row r="58704" spans="6:6" x14ac:dyDescent="0.3">
      <c r="F58704" s="193"/>
    </row>
    <row r="58705" spans="6:6" x14ac:dyDescent="0.3">
      <c r="F58705" s="193"/>
    </row>
    <row r="58706" spans="6:6" x14ac:dyDescent="0.3">
      <c r="F58706" s="193"/>
    </row>
    <row r="58707" spans="6:6" x14ac:dyDescent="0.3">
      <c r="F58707" s="193"/>
    </row>
    <row r="58708" spans="6:6" x14ac:dyDescent="0.3">
      <c r="F58708" s="193"/>
    </row>
    <row r="58709" spans="6:6" x14ac:dyDescent="0.3">
      <c r="F58709" s="193"/>
    </row>
    <row r="58710" spans="6:6" x14ac:dyDescent="0.3">
      <c r="F58710" s="193"/>
    </row>
    <row r="58711" spans="6:6" x14ac:dyDescent="0.3">
      <c r="F58711" s="193"/>
    </row>
    <row r="58712" spans="6:6" x14ac:dyDescent="0.3">
      <c r="F58712" s="193"/>
    </row>
    <row r="58713" spans="6:6" x14ac:dyDescent="0.3">
      <c r="F58713" s="193"/>
    </row>
    <row r="58714" spans="6:6" x14ac:dyDescent="0.3">
      <c r="F58714" s="193"/>
    </row>
    <row r="58715" spans="6:6" x14ac:dyDescent="0.3">
      <c r="F58715" s="193"/>
    </row>
    <row r="58716" spans="6:6" x14ac:dyDescent="0.3">
      <c r="F58716" s="193"/>
    </row>
    <row r="58717" spans="6:6" x14ac:dyDescent="0.3">
      <c r="F58717" s="193"/>
    </row>
    <row r="58718" spans="6:6" x14ac:dyDescent="0.3">
      <c r="F58718" s="193"/>
    </row>
    <row r="58719" spans="6:6" x14ac:dyDescent="0.3">
      <c r="F58719" s="193"/>
    </row>
    <row r="58720" spans="6:6" x14ac:dyDescent="0.3">
      <c r="F58720" s="193"/>
    </row>
    <row r="58721" spans="6:6" x14ac:dyDescent="0.3">
      <c r="F58721" s="193"/>
    </row>
    <row r="58722" spans="6:6" x14ac:dyDescent="0.3">
      <c r="F58722" s="193"/>
    </row>
    <row r="58723" spans="6:6" x14ac:dyDescent="0.3">
      <c r="F58723" s="193"/>
    </row>
    <row r="58724" spans="6:6" x14ac:dyDescent="0.3">
      <c r="F58724" s="193"/>
    </row>
    <row r="58725" spans="6:6" x14ac:dyDescent="0.3">
      <c r="F58725" s="193"/>
    </row>
    <row r="58726" spans="6:6" x14ac:dyDescent="0.3">
      <c r="F58726" s="193"/>
    </row>
    <row r="58727" spans="6:6" x14ac:dyDescent="0.3">
      <c r="F58727" s="193"/>
    </row>
    <row r="58728" spans="6:6" x14ac:dyDescent="0.3">
      <c r="F58728" s="193"/>
    </row>
    <row r="58729" spans="6:6" x14ac:dyDescent="0.3">
      <c r="F58729" s="193"/>
    </row>
    <row r="58730" spans="6:6" x14ac:dyDescent="0.3">
      <c r="F58730" s="193"/>
    </row>
    <row r="58731" spans="6:6" x14ac:dyDescent="0.3">
      <c r="F58731" s="193"/>
    </row>
    <row r="58732" spans="6:6" x14ac:dyDescent="0.3">
      <c r="F58732" s="193"/>
    </row>
    <row r="58733" spans="6:6" x14ac:dyDescent="0.3">
      <c r="F58733" s="193"/>
    </row>
    <row r="58734" spans="6:6" x14ac:dyDescent="0.3">
      <c r="F58734" s="193"/>
    </row>
    <row r="58735" spans="6:6" x14ac:dyDescent="0.3">
      <c r="F58735" s="193"/>
    </row>
    <row r="58736" spans="6:6" x14ac:dyDescent="0.3">
      <c r="F58736" s="193"/>
    </row>
    <row r="58737" spans="6:6" x14ac:dyDescent="0.3">
      <c r="F58737" s="193"/>
    </row>
    <row r="58738" spans="6:6" x14ac:dyDescent="0.3">
      <c r="F58738" s="193"/>
    </row>
    <row r="58739" spans="6:6" x14ac:dyDescent="0.3">
      <c r="F58739" s="193"/>
    </row>
    <row r="58740" spans="6:6" x14ac:dyDescent="0.3">
      <c r="F58740" s="193"/>
    </row>
    <row r="58741" spans="6:6" x14ac:dyDescent="0.3">
      <c r="F58741" s="193"/>
    </row>
    <row r="58742" spans="6:6" x14ac:dyDescent="0.3">
      <c r="F58742" s="193"/>
    </row>
    <row r="58743" spans="6:6" x14ac:dyDescent="0.3">
      <c r="F58743" s="193"/>
    </row>
    <row r="58744" spans="6:6" x14ac:dyDescent="0.3">
      <c r="F58744" s="193"/>
    </row>
    <row r="58745" spans="6:6" x14ac:dyDescent="0.3">
      <c r="F58745" s="193"/>
    </row>
    <row r="58746" spans="6:6" x14ac:dyDescent="0.3">
      <c r="F58746" s="193"/>
    </row>
    <row r="58747" spans="6:6" x14ac:dyDescent="0.3">
      <c r="F58747" s="193"/>
    </row>
    <row r="58748" spans="6:6" x14ac:dyDescent="0.3">
      <c r="F58748" s="193"/>
    </row>
    <row r="58749" spans="6:6" x14ac:dyDescent="0.3">
      <c r="F58749" s="193"/>
    </row>
    <row r="58750" spans="6:6" x14ac:dyDescent="0.3">
      <c r="F58750" s="193"/>
    </row>
    <row r="58751" spans="6:6" x14ac:dyDescent="0.3">
      <c r="F58751" s="193"/>
    </row>
    <row r="58752" spans="6:6" x14ac:dyDescent="0.3">
      <c r="F58752" s="193"/>
    </row>
    <row r="58753" spans="6:6" x14ac:dyDescent="0.3">
      <c r="F58753" s="193"/>
    </row>
    <row r="58754" spans="6:6" x14ac:dyDescent="0.3">
      <c r="F58754" s="193"/>
    </row>
    <row r="58755" spans="6:6" x14ac:dyDescent="0.3">
      <c r="F58755" s="193"/>
    </row>
    <row r="58756" spans="6:6" x14ac:dyDescent="0.3">
      <c r="F58756" s="193"/>
    </row>
    <row r="58757" spans="6:6" x14ac:dyDescent="0.3">
      <c r="F58757" s="193"/>
    </row>
    <row r="58758" spans="6:6" x14ac:dyDescent="0.3">
      <c r="F58758" s="193"/>
    </row>
    <row r="58759" spans="6:6" x14ac:dyDescent="0.3">
      <c r="F58759" s="193"/>
    </row>
    <row r="58760" spans="6:6" x14ac:dyDescent="0.3">
      <c r="F58760" s="193"/>
    </row>
    <row r="58761" spans="6:6" x14ac:dyDescent="0.3">
      <c r="F58761" s="193"/>
    </row>
    <row r="58762" spans="6:6" x14ac:dyDescent="0.3">
      <c r="F58762" s="193"/>
    </row>
    <row r="58763" spans="6:6" x14ac:dyDescent="0.3">
      <c r="F58763" s="193"/>
    </row>
    <row r="58764" spans="6:6" x14ac:dyDescent="0.3">
      <c r="F58764" s="193"/>
    </row>
    <row r="58765" spans="6:6" x14ac:dyDescent="0.3">
      <c r="F58765" s="193"/>
    </row>
    <row r="58766" spans="6:6" x14ac:dyDescent="0.3">
      <c r="F58766" s="193"/>
    </row>
    <row r="58767" spans="6:6" x14ac:dyDescent="0.3">
      <c r="F58767" s="193"/>
    </row>
    <row r="58768" spans="6:6" x14ac:dyDescent="0.3">
      <c r="F58768" s="193"/>
    </row>
    <row r="58769" spans="6:6" x14ac:dyDescent="0.3">
      <c r="F58769" s="193"/>
    </row>
    <row r="58770" spans="6:6" x14ac:dyDescent="0.3">
      <c r="F58770" s="193"/>
    </row>
    <row r="58771" spans="6:6" x14ac:dyDescent="0.3">
      <c r="F58771" s="193"/>
    </row>
    <row r="58772" spans="6:6" x14ac:dyDescent="0.3">
      <c r="F58772" s="193"/>
    </row>
    <row r="58773" spans="6:6" x14ac:dyDescent="0.3">
      <c r="F58773" s="193"/>
    </row>
    <row r="58774" spans="6:6" x14ac:dyDescent="0.3">
      <c r="F58774" s="193"/>
    </row>
    <row r="58775" spans="6:6" x14ac:dyDescent="0.3">
      <c r="F58775" s="193"/>
    </row>
    <row r="58776" spans="6:6" x14ac:dyDescent="0.3">
      <c r="F58776" s="193"/>
    </row>
    <row r="58777" spans="6:6" x14ac:dyDescent="0.3">
      <c r="F58777" s="193"/>
    </row>
    <row r="58778" spans="6:6" x14ac:dyDescent="0.3">
      <c r="F58778" s="193"/>
    </row>
    <row r="58779" spans="6:6" x14ac:dyDescent="0.3">
      <c r="F58779" s="193"/>
    </row>
    <row r="58780" spans="6:6" x14ac:dyDescent="0.3">
      <c r="F58780" s="193"/>
    </row>
    <row r="58781" spans="6:6" x14ac:dyDescent="0.3">
      <c r="F58781" s="193"/>
    </row>
    <row r="58782" spans="6:6" x14ac:dyDescent="0.3">
      <c r="F58782" s="193"/>
    </row>
    <row r="58783" spans="6:6" x14ac:dyDescent="0.3">
      <c r="F58783" s="193"/>
    </row>
    <row r="58784" spans="6:6" x14ac:dyDescent="0.3">
      <c r="F58784" s="193"/>
    </row>
    <row r="58785" spans="6:6" x14ac:dyDescent="0.3">
      <c r="F58785" s="193"/>
    </row>
    <row r="58786" spans="6:6" x14ac:dyDescent="0.3">
      <c r="F58786" s="193"/>
    </row>
    <row r="58787" spans="6:6" x14ac:dyDescent="0.3">
      <c r="F58787" s="193"/>
    </row>
    <row r="58788" spans="6:6" x14ac:dyDescent="0.3">
      <c r="F58788" s="193"/>
    </row>
    <row r="58789" spans="6:6" x14ac:dyDescent="0.3">
      <c r="F58789" s="193"/>
    </row>
    <row r="58790" spans="6:6" x14ac:dyDescent="0.3">
      <c r="F58790" s="193"/>
    </row>
    <row r="58791" spans="6:6" x14ac:dyDescent="0.3">
      <c r="F58791" s="193"/>
    </row>
    <row r="58792" spans="6:6" x14ac:dyDescent="0.3">
      <c r="F58792" s="193"/>
    </row>
    <row r="58793" spans="6:6" x14ac:dyDescent="0.3">
      <c r="F58793" s="193"/>
    </row>
    <row r="58794" spans="6:6" x14ac:dyDescent="0.3">
      <c r="F58794" s="193"/>
    </row>
    <row r="58795" spans="6:6" x14ac:dyDescent="0.3">
      <c r="F58795" s="193"/>
    </row>
    <row r="58796" spans="6:6" x14ac:dyDescent="0.3">
      <c r="F58796" s="193"/>
    </row>
    <row r="58797" spans="6:6" x14ac:dyDescent="0.3">
      <c r="F58797" s="193"/>
    </row>
    <row r="58798" spans="6:6" x14ac:dyDescent="0.3">
      <c r="F58798" s="193"/>
    </row>
    <row r="58799" spans="6:6" x14ac:dyDescent="0.3">
      <c r="F58799" s="193"/>
    </row>
    <row r="58800" spans="6:6" x14ac:dyDescent="0.3">
      <c r="F58800" s="193"/>
    </row>
    <row r="58801" spans="6:6" x14ac:dyDescent="0.3">
      <c r="F58801" s="193"/>
    </row>
    <row r="58802" spans="6:6" x14ac:dyDescent="0.3">
      <c r="F58802" s="193"/>
    </row>
    <row r="58803" spans="6:6" x14ac:dyDescent="0.3">
      <c r="F58803" s="193"/>
    </row>
    <row r="58804" spans="6:6" x14ac:dyDescent="0.3">
      <c r="F58804" s="193"/>
    </row>
    <row r="58805" spans="6:6" x14ac:dyDescent="0.3">
      <c r="F58805" s="193"/>
    </row>
    <row r="58806" spans="6:6" x14ac:dyDescent="0.3">
      <c r="F58806" s="193"/>
    </row>
    <row r="58807" spans="6:6" x14ac:dyDescent="0.3">
      <c r="F58807" s="193"/>
    </row>
    <row r="58808" spans="6:6" x14ac:dyDescent="0.3">
      <c r="F58808" s="193"/>
    </row>
    <row r="58809" spans="6:6" x14ac:dyDescent="0.3">
      <c r="F58809" s="193"/>
    </row>
    <row r="58810" spans="6:6" x14ac:dyDescent="0.3">
      <c r="F58810" s="193"/>
    </row>
    <row r="58811" spans="6:6" x14ac:dyDescent="0.3">
      <c r="F58811" s="193"/>
    </row>
    <row r="58812" spans="6:6" x14ac:dyDescent="0.3">
      <c r="F58812" s="193"/>
    </row>
    <row r="58813" spans="6:6" x14ac:dyDescent="0.3">
      <c r="F58813" s="193"/>
    </row>
    <row r="58814" spans="6:6" x14ac:dyDescent="0.3">
      <c r="F58814" s="193"/>
    </row>
    <row r="58815" spans="6:6" x14ac:dyDescent="0.3">
      <c r="F58815" s="193"/>
    </row>
    <row r="58816" spans="6:6" x14ac:dyDescent="0.3">
      <c r="F58816" s="193"/>
    </row>
    <row r="58817" spans="6:6" x14ac:dyDescent="0.3">
      <c r="F58817" s="193"/>
    </row>
    <row r="58818" spans="6:6" x14ac:dyDescent="0.3">
      <c r="F58818" s="193"/>
    </row>
    <row r="58819" spans="6:6" x14ac:dyDescent="0.3">
      <c r="F58819" s="193"/>
    </row>
    <row r="58820" spans="6:6" x14ac:dyDescent="0.3">
      <c r="F58820" s="193"/>
    </row>
    <row r="58821" spans="6:6" x14ac:dyDescent="0.3">
      <c r="F58821" s="193"/>
    </row>
    <row r="58822" spans="6:6" x14ac:dyDescent="0.3">
      <c r="F58822" s="193"/>
    </row>
    <row r="58823" spans="6:6" x14ac:dyDescent="0.3">
      <c r="F58823" s="193"/>
    </row>
    <row r="58824" spans="6:6" x14ac:dyDescent="0.3">
      <c r="F58824" s="193"/>
    </row>
    <row r="58825" spans="6:6" x14ac:dyDescent="0.3">
      <c r="F58825" s="193"/>
    </row>
    <row r="58826" spans="6:6" x14ac:dyDescent="0.3">
      <c r="F58826" s="193"/>
    </row>
    <row r="58827" spans="6:6" x14ac:dyDescent="0.3">
      <c r="F58827" s="193"/>
    </row>
    <row r="58828" spans="6:6" x14ac:dyDescent="0.3">
      <c r="F58828" s="193"/>
    </row>
    <row r="58829" spans="6:6" x14ac:dyDescent="0.3">
      <c r="F58829" s="193"/>
    </row>
    <row r="58830" spans="6:6" x14ac:dyDescent="0.3">
      <c r="F58830" s="193"/>
    </row>
    <row r="58831" spans="6:6" x14ac:dyDescent="0.3">
      <c r="F58831" s="193"/>
    </row>
    <row r="58832" spans="6:6" x14ac:dyDescent="0.3">
      <c r="F58832" s="193"/>
    </row>
    <row r="58833" spans="6:6" x14ac:dyDescent="0.3">
      <c r="F58833" s="193"/>
    </row>
    <row r="58834" spans="6:6" x14ac:dyDescent="0.3">
      <c r="F58834" s="193"/>
    </row>
    <row r="58835" spans="6:6" x14ac:dyDescent="0.3">
      <c r="F58835" s="193"/>
    </row>
    <row r="58836" spans="6:6" x14ac:dyDescent="0.3">
      <c r="F58836" s="193"/>
    </row>
    <row r="58837" spans="6:6" x14ac:dyDescent="0.3">
      <c r="F58837" s="193"/>
    </row>
    <row r="58838" spans="6:6" x14ac:dyDescent="0.3">
      <c r="F58838" s="193"/>
    </row>
    <row r="58839" spans="6:6" x14ac:dyDescent="0.3">
      <c r="F58839" s="193"/>
    </row>
    <row r="58840" spans="6:6" x14ac:dyDescent="0.3">
      <c r="F58840" s="193"/>
    </row>
    <row r="58841" spans="6:6" x14ac:dyDescent="0.3">
      <c r="F58841" s="193"/>
    </row>
    <row r="58842" spans="6:6" x14ac:dyDescent="0.3">
      <c r="F58842" s="193"/>
    </row>
    <row r="58843" spans="6:6" x14ac:dyDescent="0.3">
      <c r="F58843" s="193"/>
    </row>
    <row r="58844" spans="6:6" x14ac:dyDescent="0.3">
      <c r="F58844" s="193"/>
    </row>
    <row r="58845" spans="6:6" x14ac:dyDescent="0.3">
      <c r="F58845" s="193"/>
    </row>
    <row r="58846" spans="6:6" x14ac:dyDescent="0.3">
      <c r="F58846" s="193"/>
    </row>
    <row r="58847" spans="6:6" x14ac:dyDescent="0.3">
      <c r="F58847" s="193"/>
    </row>
    <row r="58848" spans="6:6" x14ac:dyDescent="0.3">
      <c r="F58848" s="193"/>
    </row>
    <row r="58849" spans="6:6" x14ac:dyDescent="0.3">
      <c r="F58849" s="193"/>
    </row>
    <row r="58850" spans="6:6" x14ac:dyDescent="0.3">
      <c r="F58850" s="193"/>
    </row>
    <row r="58851" spans="6:6" x14ac:dyDescent="0.3">
      <c r="F58851" s="193"/>
    </row>
    <row r="58852" spans="6:6" x14ac:dyDescent="0.3">
      <c r="F58852" s="193"/>
    </row>
    <row r="58853" spans="6:6" x14ac:dyDescent="0.3">
      <c r="F58853" s="193"/>
    </row>
    <row r="58854" spans="6:6" x14ac:dyDescent="0.3">
      <c r="F58854" s="193"/>
    </row>
    <row r="58855" spans="6:6" x14ac:dyDescent="0.3">
      <c r="F58855" s="193"/>
    </row>
    <row r="58856" spans="6:6" x14ac:dyDescent="0.3">
      <c r="F58856" s="193"/>
    </row>
    <row r="58857" spans="6:6" x14ac:dyDescent="0.3">
      <c r="F58857" s="193"/>
    </row>
    <row r="58858" spans="6:6" x14ac:dyDescent="0.3">
      <c r="F58858" s="193"/>
    </row>
    <row r="58859" spans="6:6" x14ac:dyDescent="0.3">
      <c r="F58859" s="193"/>
    </row>
    <row r="58860" spans="6:6" x14ac:dyDescent="0.3">
      <c r="F58860" s="193"/>
    </row>
    <row r="58861" spans="6:6" x14ac:dyDescent="0.3">
      <c r="F58861" s="193"/>
    </row>
    <row r="58862" spans="6:6" x14ac:dyDescent="0.3">
      <c r="F58862" s="193"/>
    </row>
    <row r="58863" spans="6:6" x14ac:dyDescent="0.3">
      <c r="F58863" s="193"/>
    </row>
    <row r="58864" spans="6:6" x14ac:dyDescent="0.3">
      <c r="F58864" s="193"/>
    </row>
    <row r="58865" spans="6:6" x14ac:dyDescent="0.3">
      <c r="F58865" s="193"/>
    </row>
    <row r="58866" spans="6:6" x14ac:dyDescent="0.3">
      <c r="F58866" s="193"/>
    </row>
    <row r="58867" spans="6:6" x14ac:dyDescent="0.3">
      <c r="F58867" s="193"/>
    </row>
    <row r="58868" spans="6:6" x14ac:dyDescent="0.3">
      <c r="F58868" s="193"/>
    </row>
    <row r="58869" spans="6:6" x14ac:dyDescent="0.3">
      <c r="F58869" s="193"/>
    </row>
    <row r="58870" spans="6:6" x14ac:dyDescent="0.3">
      <c r="F58870" s="193"/>
    </row>
    <row r="58871" spans="6:6" x14ac:dyDescent="0.3">
      <c r="F58871" s="193"/>
    </row>
    <row r="58872" spans="6:6" x14ac:dyDescent="0.3">
      <c r="F58872" s="193"/>
    </row>
    <row r="58873" spans="6:6" x14ac:dyDescent="0.3">
      <c r="F58873" s="193"/>
    </row>
    <row r="58874" spans="6:6" x14ac:dyDescent="0.3">
      <c r="F58874" s="193"/>
    </row>
    <row r="58875" spans="6:6" x14ac:dyDescent="0.3">
      <c r="F58875" s="193"/>
    </row>
    <row r="58876" spans="6:6" x14ac:dyDescent="0.3">
      <c r="F58876" s="193"/>
    </row>
    <row r="58877" spans="6:6" x14ac:dyDescent="0.3">
      <c r="F58877" s="193"/>
    </row>
    <row r="58878" spans="6:6" x14ac:dyDescent="0.3">
      <c r="F58878" s="193"/>
    </row>
    <row r="58879" spans="6:6" x14ac:dyDescent="0.3">
      <c r="F58879" s="193"/>
    </row>
    <row r="58880" spans="6:6" x14ac:dyDescent="0.3">
      <c r="F58880" s="193"/>
    </row>
    <row r="58881" spans="6:6" x14ac:dyDescent="0.3">
      <c r="F58881" s="193"/>
    </row>
    <row r="58882" spans="6:6" x14ac:dyDescent="0.3">
      <c r="F58882" s="193"/>
    </row>
    <row r="58883" spans="6:6" x14ac:dyDescent="0.3">
      <c r="F58883" s="193"/>
    </row>
    <row r="58884" spans="6:6" x14ac:dyDescent="0.3">
      <c r="F58884" s="193"/>
    </row>
    <row r="58885" spans="6:6" x14ac:dyDescent="0.3">
      <c r="F58885" s="193"/>
    </row>
    <row r="58886" spans="6:6" x14ac:dyDescent="0.3">
      <c r="F58886" s="193"/>
    </row>
    <row r="58887" spans="6:6" x14ac:dyDescent="0.3">
      <c r="F58887" s="193"/>
    </row>
    <row r="58888" spans="6:6" x14ac:dyDescent="0.3">
      <c r="F58888" s="193"/>
    </row>
    <row r="58889" spans="6:6" x14ac:dyDescent="0.3">
      <c r="F58889" s="193"/>
    </row>
    <row r="58890" spans="6:6" x14ac:dyDescent="0.3">
      <c r="F58890" s="193"/>
    </row>
    <row r="58891" spans="6:6" x14ac:dyDescent="0.3">
      <c r="F58891" s="193"/>
    </row>
    <row r="58892" spans="6:6" x14ac:dyDescent="0.3">
      <c r="F58892" s="193"/>
    </row>
    <row r="58893" spans="6:6" x14ac:dyDescent="0.3">
      <c r="F58893" s="193"/>
    </row>
    <row r="58894" spans="6:6" x14ac:dyDescent="0.3">
      <c r="F58894" s="193"/>
    </row>
    <row r="58895" spans="6:6" x14ac:dyDescent="0.3">
      <c r="F58895" s="193"/>
    </row>
    <row r="58896" spans="6:6" x14ac:dyDescent="0.3">
      <c r="F58896" s="193"/>
    </row>
    <row r="58897" spans="6:6" x14ac:dyDescent="0.3">
      <c r="F58897" s="193"/>
    </row>
    <row r="58898" spans="6:6" x14ac:dyDescent="0.3">
      <c r="F58898" s="193"/>
    </row>
    <row r="58899" spans="6:6" x14ac:dyDescent="0.3">
      <c r="F58899" s="193"/>
    </row>
    <row r="58900" spans="6:6" x14ac:dyDescent="0.3">
      <c r="F58900" s="193"/>
    </row>
    <row r="58901" spans="6:6" x14ac:dyDescent="0.3">
      <c r="F58901" s="193"/>
    </row>
    <row r="58902" spans="6:6" x14ac:dyDescent="0.3">
      <c r="F58902" s="193"/>
    </row>
    <row r="58903" spans="6:6" x14ac:dyDescent="0.3">
      <c r="F58903" s="193"/>
    </row>
    <row r="58904" spans="6:6" x14ac:dyDescent="0.3">
      <c r="F58904" s="193"/>
    </row>
    <row r="58905" spans="6:6" x14ac:dyDescent="0.3">
      <c r="F58905" s="193"/>
    </row>
    <row r="58906" spans="6:6" x14ac:dyDescent="0.3">
      <c r="F58906" s="193"/>
    </row>
    <row r="58907" spans="6:6" x14ac:dyDescent="0.3">
      <c r="F58907" s="193"/>
    </row>
    <row r="58908" spans="6:6" x14ac:dyDescent="0.3">
      <c r="F58908" s="193"/>
    </row>
    <row r="58909" spans="6:6" x14ac:dyDescent="0.3">
      <c r="F58909" s="193"/>
    </row>
    <row r="58910" spans="6:6" x14ac:dyDescent="0.3">
      <c r="F58910" s="193"/>
    </row>
    <row r="58911" spans="6:6" x14ac:dyDescent="0.3">
      <c r="F58911" s="193"/>
    </row>
    <row r="58912" spans="6:6" x14ac:dyDescent="0.3">
      <c r="F58912" s="193"/>
    </row>
    <row r="58913" spans="6:6" x14ac:dyDescent="0.3">
      <c r="F58913" s="193"/>
    </row>
    <row r="58914" spans="6:6" x14ac:dyDescent="0.3">
      <c r="F58914" s="193"/>
    </row>
    <row r="58915" spans="6:6" x14ac:dyDescent="0.3">
      <c r="F58915" s="193"/>
    </row>
    <row r="58916" spans="6:6" x14ac:dyDescent="0.3">
      <c r="F58916" s="193"/>
    </row>
    <row r="58917" spans="6:6" x14ac:dyDescent="0.3">
      <c r="F58917" s="193"/>
    </row>
    <row r="58918" spans="6:6" x14ac:dyDescent="0.3">
      <c r="F58918" s="193"/>
    </row>
    <row r="58919" spans="6:6" x14ac:dyDescent="0.3">
      <c r="F58919" s="193"/>
    </row>
    <row r="58920" spans="6:6" x14ac:dyDescent="0.3">
      <c r="F58920" s="193"/>
    </row>
    <row r="58921" spans="6:6" x14ac:dyDescent="0.3">
      <c r="F58921" s="193"/>
    </row>
    <row r="58922" spans="6:6" x14ac:dyDescent="0.3">
      <c r="F58922" s="193"/>
    </row>
    <row r="58923" spans="6:6" x14ac:dyDescent="0.3">
      <c r="F58923" s="193"/>
    </row>
    <row r="58924" spans="6:6" x14ac:dyDescent="0.3">
      <c r="F58924" s="193"/>
    </row>
    <row r="58925" spans="6:6" x14ac:dyDescent="0.3">
      <c r="F58925" s="193"/>
    </row>
    <row r="58926" spans="6:6" x14ac:dyDescent="0.3">
      <c r="F58926" s="193"/>
    </row>
    <row r="58927" spans="6:6" x14ac:dyDescent="0.3">
      <c r="F58927" s="193"/>
    </row>
    <row r="58928" spans="6:6" x14ac:dyDescent="0.3">
      <c r="F58928" s="193"/>
    </row>
    <row r="58929" spans="6:6" x14ac:dyDescent="0.3">
      <c r="F58929" s="193"/>
    </row>
    <row r="58930" spans="6:6" x14ac:dyDescent="0.3">
      <c r="F58930" s="193"/>
    </row>
    <row r="58931" spans="6:6" x14ac:dyDescent="0.3">
      <c r="F58931" s="193"/>
    </row>
    <row r="58932" spans="6:6" x14ac:dyDescent="0.3">
      <c r="F58932" s="193"/>
    </row>
    <row r="58933" spans="6:6" x14ac:dyDescent="0.3">
      <c r="F58933" s="193"/>
    </row>
    <row r="58934" spans="6:6" x14ac:dyDescent="0.3">
      <c r="F58934" s="193"/>
    </row>
    <row r="58935" spans="6:6" x14ac:dyDescent="0.3">
      <c r="F58935" s="193"/>
    </row>
    <row r="58936" spans="6:6" x14ac:dyDescent="0.3">
      <c r="F58936" s="193"/>
    </row>
    <row r="58937" spans="6:6" x14ac:dyDescent="0.3">
      <c r="F58937" s="193"/>
    </row>
    <row r="58938" spans="6:6" x14ac:dyDescent="0.3">
      <c r="F58938" s="193"/>
    </row>
    <row r="58939" spans="6:6" x14ac:dyDescent="0.3">
      <c r="F58939" s="193"/>
    </row>
    <row r="58940" spans="6:6" x14ac:dyDescent="0.3">
      <c r="F58940" s="193"/>
    </row>
    <row r="58941" spans="6:6" x14ac:dyDescent="0.3">
      <c r="F58941" s="193"/>
    </row>
    <row r="58942" spans="6:6" x14ac:dyDescent="0.3">
      <c r="F58942" s="193"/>
    </row>
    <row r="58943" spans="6:6" x14ac:dyDescent="0.3">
      <c r="F58943" s="193"/>
    </row>
    <row r="58944" spans="6:6" x14ac:dyDescent="0.3">
      <c r="F58944" s="193"/>
    </row>
    <row r="58945" spans="6:6" x14ac:dyDescent="0.3">
      <c r="F58945" s="193"/>
    </row>
    <row r="58946" spans="6:6" x14ac:dyDescent="0.3">
      <c r="F58946" s="193"/>
    </row>
    <row r="58947" spans="6:6" x14ac:dyDescent="0.3">
      <c r="F58947" s="193"/>
    </row>
    <row r="58948" spans="6:6" x14ac:dyDescent="0.3">
      <c r="F58948" s="193"/>
    </row>
    <row r="58949" spans="6:6" x14ac:dyDescent="0.3">
      <c r="F58949" s="193"/>
    </row>
    <row r="58950" spans="6:6" x14ac:dyDescent="0.3">
      <c r="F58950" s="193"/>
    </row>
    <row r="58951" spans="6:6" x14ac:dyDescent="0.3">
      <c r="F58951" s="193"/>
    </row>
    <row r="58952" spans="6:6" x14ac:dyDescent="0.3">
      <c r="F58952" s="193"/>
    </row>
    <row r="58953" spans="6:6" x14ac:dyDescent="0.3">
      <c r="F58953" s="193"/>
    </row>
    <row r="58954" spans="6:6" x14ac:dyDescent="0.3">
      <c r="F58954" s="193"/>
    </row>
    <row r="58955" spans="6:6" x14ac:dyDescent="0.3">
      <c r="F58955" s="193"/>
    </row>
    <row r="58956" spans="6:6" x14ac:dyDescent="0.3">
      <c r="F58956" s="193"/>
    </row>
    <row r="58957" spans="6:6" x14ac:dyDescent="0.3">
      <c r="F58957" s="193"/>
    </row>
    <row r="58958" spans="6:6" x14ac:dyDescent="0.3">
      <c r="F58958" s="193"/>
    </row>
    <row r="58959" spans="6:6" x14ac:dyDescent="0.3">
      <c r="F58959" s="193"/>
    </row>
    <row r="58960" spans="6:6" x14ac:dyDescent="0.3">
      <c r="F58960" s="193"/>
    </row>
    <row r="58961" spans="6:6" x14ac:dyDescent="0.3">
      <c r="F58961" s="193"/>
    </row>
    <row r="58962" spans="6:6" x14ac:dyDescent="0.3">
      <c r="F58962" s="193"/>
    </row>
    <row r="58963" spans="6:6" x14ac:dyDescent="0.3">
      <c r="F58963" s="193"/>
    </row>
    <row r="58964" spans="6:6" x14ac:dyDescent="0.3">
      <c r="F58964" s="193"/>
    </row>
    <row r="58965" spans="6:6" x14ac:dyDescent="0.3">
      <c r="F58965" s="193"/>
    </row>
    <row r="58966" spans="6:6" x14ac:dyDescent="0.3">
      <c r="F58966" s="193"/>
    </row>
    <row r="58967" spans="6:6" x14ac:dyDescent="0.3">
      <c r="F58967" s="193"/>
    </row>
    <row r="58968" spans="6:6" x14ac:dyDescent="0.3">
      <c r="F58968" s="193"/>
    </row>
    <row r="58969" spans="6:6" x14ac:dyDescent="0.3">
      <c r="F58969" s="193"/>
    </row>
    <row r="58970" spans="6:6" x14ac:dyDescent="0.3">
      <c r="F58970" s="193"/>
    </row>
    <row r="58971" spans="6:6" x14ac:dyDescent="0.3">
      <c r="F58971" s="193"/>
    </row>
    <row r="58972" spans="6:6" x14ac:dyDescent="0.3">
      <c r="F58972" s="193"/>
    </row>
    <row r="58973" spans="6:6" x14ac:dyDescent="0.3">
      <c r="F58973" s="193"/>
    </row>
    <row r="58974" spans="6:6" x14ac:dyDescent="0.3">
      <c r="F58974" s="193"/>
    </row>
    <row r="58975" spans="6:6" x14ac:dyDescent="0.3">
      <c r="F58975" s="193"/>
    </row>
    <row r="58976" spans="6:6" x14ac:dyDescent="0.3">
      <c r="F58976" s="193"/>
    </row>
    <row r="58977" spans="6:6" x14ac:dyDescent="0.3">
      <c r="F58977" s="193"/>
    </row>
    <row r="58978" spans="6:6" x14ac:dyDescent="0.3">
      <c r="F58978" s="193"/>
    </row>
    <row r="58979" spans="6:6" x14ac:dyDescent="0.3">
      <c r="F58979" s="193"/>
    </row>
    <row r="58980" spans="6:6" x14ac:dyDescent="0.3">
      <c r="F58980" s="193"/>
    </row>
    <row r="58981" spans="6:6" x14ac:dyDescent="0.3">
      <c r="F58981" s="193"/>
    </row>
    <row r="58982" spans="6:6" x14ac:dyDescent="0.3">
      <c r="F58982" s="193"/>
    </row>
    <row r="58983" spans="6:6" x14ac:dyDescent="0.3">
      <c r="F58983" s="193"/>
    </row>
    <row r="58984" spans="6:6" x14ac:dyDescent="0.3">
      <c r="F58984" s="193"/>
    </row>
    <row r="58985" spans="6:6" x14ac:dyDescent="0.3">
      <c r="F58985" s="193"/>
    </row>
    <row r="58986" spans="6:6" x14ac:dyDescent="0.3">
      <c r="F58986" s="193"/>
    </row>
    <row r="58987" spans="6:6" x14ac:dyDescent="0.3">
      <c r="F58987" s="193"/>
    </row>
    <row r="58988" spans="6:6" x14ac:dyDescent="0.3">
      <c r="F58988" s="193"/>
    </row>
    <row r="58989" spans="6:6" x14ac:dyDescent="0.3">
      <c r="F58989" s="193"/>
    </row>
    <row r="58990" spans="6:6" x14ac:dyDescent="0.3">
      <c r="F58990" s="193"/>
    </row>
    <row r="58991" spans="6:6" x14ac:dyDescent="0.3">
      <c r="F58991" s="193"/>
    </row>
    <row r="58992" spans="6:6" x14ac:dyDescent="0.3">
      <c r="F58992" s="193"/>
    </row>
    <row r="58993" spans="6:6" x14ac:dyDescent="0.3">
      <c r="F58993" s="193"/>
    </row>
    <row r="58994" spans="6:6" x14ac:dyDescent="0.3">
      <c r="F58994" s="193"/>
    </row>
    <row r="58995" spans="6:6" x14ac:dyDescent="0.3">
      <c r="F58995" s="193"/>
    </row>
    <row r="58996" spans="6:6" x14ac:dyDescent="0.3">
      <c r="F58996" s="193"/>
    </row>
    <row r="58997" spans="6:6" x14ac:dyDescent="0.3">
      <c r="F58997" s="193"/>
    </row>
    <row r="58998" spans="6:6" x14ac:dyDescent="0.3">
      <c r="F58998" s="193"/>
    </row>
    <row r="58999" spans="6:6" x14ac:dyDescent="0.3">
      <c r="F58999" s="193"/>
    </row>
    <row r="59000" spans="6:6" x14ac:dyDescent="0.3">
      <c r="F59000" s="193"/>
    </row>
    <row r="59001" spans="6:6" x14ac:dyDescent="0.3">
      <c r="F59001" s="193"/>
    </row>
    <row r="59002" spans="6:6" x14ac:dyDescent="0.3">
      <c r="F59002" s="193"/>
    </row>
    <row r="59003" spans="6:6" x14ac:dyDescent="0.3">
      <c r="F59003" s="193"/>
    </row>
    <row r="59004" spans="6:6" x14ac:dyDescent="0.3">
      <c r="F59004" s="193"/>
    </row>
    <row r="59005" spans="6:6" x14ac:dyDescent="0.3">
      <c r="F59005" s="193"/>
    </row>
    <row r="59006" spans="6:6" x14ac:dyDescent="0.3">
      <c r="F59006" s="193"/>
    </row>
    <row r="59007" spans="6:6" x14ac:dyDescent="0.3">
      <c r="F59007" s="193"/>
    </row>
    <row r="59008" spans="6:6" x14ac:dyDescent="0.3">
      <c r="F59008" s="193"/>
    </row>
    <row r="59009" spans="6:6" x14ac:dyDescent="0.3">
      <c r="F59009" s="193"/>
    </row>
    <row r="59010" spans="6:6" x14ac:dyDescent="0.3">
      <c r="F59010" s="193"/>
    </row>
    <row r="59011" spans="6:6" x14ac:dyDescent="0.3">
      <c r="F59011" s="193"/>
    </row>
    <row r="59012" spans="6:6" x14ac:dyDescent="0.3">
      <c r="F59012" s="193"/>
    </row>
    <row r="59013" spans="6:6" x14ac:dyDescent="0.3">
      <c r="F59013" s="193"/>
    </row>
    <row r="59014" spans="6:6" x14ac:dyDescent="0.3">
      <c r="F59014" s="193"/>
    </row>
    <row r="59015" spans="6:6" x14ac:dyDescent="0.3">
      <c r="F59015" s="193"/>
    </row>
    <row r="59016" spans="6:6" x14ac:dyDescent="0.3">
      <c r="F59016" s="193"/>
    </row>
    <row r="59017" spans="6:6" x14ac:dyDescent="0.3">
      <c r="F59017" s="193"/>
    </row>
    <row r="59018" spans="6:6" x14ac:dyDescent="0.3">
      <c r="F59018" s="193"/>
    </row>
    <row r="59019" spans="6:6" x14ac:dyDescent="0.3">
      <c r="F59019" s="193"/>
    </row>
    <row r="59020" spans="6:6" x14ac:dyDescent="0.3">
      <c r="F59020" s="193"/>
    </row>
    <row r="59021" spans="6:6" x14ac:dyDescent="0.3">
      <c r="F59021" s="193"/>
    </row>
    <row r="59022" spans="6:6" x14ac:dyDescent="0.3">
      <c r="F59022" s="193"/>
    </row>
    <row r="59023" spans="6:6" x14ac:dyDescent="0.3">
      <c r="F59023" s="193"/>
    </row>
    <row r="59024" spans="6:6" x14ac:dyDescent="0.3">
      <c r="F59024" s="193"/>
    </row>
    <row r="59025" spans="6:6" x14ac:dyDescent="0.3">
      <c r="F59025" s="193"/>
    </row>
    <row r="59026" spans="6:6" x14ac:dyDescent="0.3">
      <c r="F59026" s="193"/>
    </row>
    <row r="59027" spans="6:6" x14ac:dyDescent="0.3">
      <c r="F59027" s="193"/>
    </row>
    <row r="59028" spans="6:6" x14ac:dyDescent="0.3">
      <c r="F59028" s="193"/>
    </row>
    <row r="59029" spans="6:6" x14ac:dyDescent="0.3">
      <c r="F59029" s="193"/>
    </row>
    <row r="59030" spans="6:6" x14ac:dyDescent="0.3">
      <c r="F59030" s="193"/>
    </row>
    <row r="59031" spans="6:6" x14ac:dyDescent="0.3">
      <c r="F59031" s="193"/>
    </row>
    <row r="59032" spans="6:6" x14ac:dyDescent="0.3">
      <c r="F59032" s="193"/>
    </row>
    <row r="59033" spans="6:6" x14ac:dyDescent="0.3">
      <c r="F59033" s="193"/>
    </row>
    <row r="59034" spans="6:6" x14ac:dyDescent="0.3">
      <c r="F59034" s="193"/>
    </row>
    <row r="59035" spans="6:6" x14ac:dyDescent="0.3">
      <c r="F59035" s="193"/>
    </row>
    <row r="59036" spans="6:6" x14ac:dyDescent="0.3">
      <c r="F59036" s="193"/>
    </row>
    <row r="59037" spans="6:6" x14ac:dyDescent="0.3">
      <c r="F59037" s="193"/>
    </row>
    <row r="59038" spans="6:6" x14ac:dyDescent="0.3">
      <c r="F59038" s="193"/>
    </row>
    <row r="59039" spans="6:6" x14ac:dyDescent="0.3">
      <c r="F59039" s="193"/>
    </row>
    <row r="59040" spans="6:6" x14ac:dyDescent="0.3">
      <c r="F59040" s="193"/>
    </row>
    <row r="59041" spans="6:6" x14ac:dyDescent="0.3">
      <c r="F59041" s="193"/>
    </row>
    <row r="59042" spans="6:6" x14ac:dyDescent="0.3">
      <c r="F59042" s="193"/>
    </row>
    <row r="59043" spans="6:6" x14ac:dyDescent="0.3">
      <c r="F59043" s="193"/>
    </row>
    <row r="59044" spans="6:6" x14ac:dyDescent="0.3">
      <c r="F59044" s="193"/>
    </row>
    <row r="59045" spans="6:6" x14ac:dyDescent="0.3">
      <c r="F59045" s="193"/>
    </row>
    <row r="59046" spans="6:6" x14ac:dyDescent="0.3">
      <c r="F59046" s="193"/>
    </row>
    <row r="59047" spans="6:6" x14ac:dyDescent="0.3">
      <c r="F59047" s="193"/>
    </row>
    <row r="59048" spans="6:6" x14ac:dyDescent="0.3">
      <c r="F59048" s="193"/>
    </row>
    <row r="59049" spans="6:6" x14ac:dyDescent="0.3">
      <c r="F59049" s="193"/>
    </row>
    <row r="59050" spans="6:6" x14ac:dyDescent="0.3">
      <c r="F59050" s="193"/>
    </row>
    <row r="59051" spans="6:6" x14ac:dyDescent="0.3">
      <c r="F59051" s="193"/>
    </row>
    <row r="59052" spans="6:6" x14ac:dyDescent="0.3">
      <c r="F59052" s="193"/>
    </row>
    <row r="59053" spans="6:6" x14ac:dyDescent="0.3">
      <c r="F59053" s="193"/>
    </row>
    <row r="59054" spans="6:6" x14ac:dyDescent="0.3">
      <c r="F59054" s="193"/>
    </row>
    <row r="59055" spans="6:6" x14ac:dyDescent="0.3">
      <c r="F59055" s="193"/>
    </row>
    <row r="59056" spans="6:6" x14ac:dyDescent="0.3">
      <c r="F59056" s="193"/>
    </row>
    <row r="59057" spans="6:6" x14ac:dyDescent="0.3">
      <c r="F59057" s="193"/>
    </row>
    <row r="59058" spans="6:6" x14ac:dyDescent="0.3">
      <c r="F59058" s="193"/>
    </row>
    <row r="59059" spans="6:6" x14ac:dyDescent="0.3">
      <c r="F59059" s="193"/>
    </row>
    <row r="59060" spans="6:6" x14ac:dyDescent="0.3">
      <c r="F59060" s="193"/>
    </row>
    <row r="59061" spans="6:6" x14ac:dyDescent="0.3">
      <c r="F59061" s="193"/>
    </row>
    <row r="59062" spans="6:6" x14ac:dyDescent="0.3">
      <c r="F59062" s="193"/>
    </row>
    <row r="59063" spans="6:6" x14ac:dyDescent="0.3">
      <c r="F59063" s="193"/>
    </row>
    <row r="59064" spans="6:6" x14ac:dyDescent="0.3">
      <c r="F59064" s="193"/>
    </row>
    <row r="59065" spans="6:6" x14ac:dyDescent="0.3">
      <c r="F59065" s="193"/>
    </row>
    <row r="59066" spans="6:6" x14ac:dyDescent="0.3">
      <c r="F59066" s="193"/>
    </row>
    <row r="59067" spans="6:6" x14ac:dyDescent="0.3">
      <c r="F59067" s="193"/>
    </row>
    <row r="59068" spans="6:6" x14ac:dyDescent="0.3">
      <c r="F59068" s="193"/>
    </row>
    <row r="59069" spans="6:6" x14ac:dyDescent="0.3">
      <c r="F59069" s="193"/>
    </row>
    <row r="59070" spans="6:6" x14ac:dyDescent="0.3">
      <c r="F59070" s="193"/>
    </row>
    <row r="59071" spans="6:6" x14ac:dyDescent="0.3">
      <c r="F59071" s="193"/>
    </row>
    <row r="59072" spans="6:6" x14ac:dyDescent="0.3">
      <c r="F59072" s="193"/>
    </row>
    <row r="59073" spans="6:6" x14ac:dyDescent="0.3">
      <c r="F59073" s="193"/>
    </row>
    <row r="59074" spans="6:6" x14ac:dyDescent="0.3">
      <c r="F59074" s="193"/>
    </row>
    <row r="59075" spans="6:6" x14ac:dyDescent="0.3">
      <c r="F59075" s="193"/>
    </row>
    <row r="59076" spans="6:6" x14ac:dyDescent="0.3">
      <c r="F59076" s="193"/>
    </row>
    <row r="59077" spans="6:6" x14ac:dyDescent="0.3">
      <c r="F59077" s="193"/>
    </row>
    <row r="59078" spans="6:6" x14ac:dyDescent="0.3">
      <c r="F59078" s="193"/>
    </row>
    <row r="59079" spans="6:6" x14ac:dyDescent="0.3">
      <c r="F59079" s="193"/>
    </row>
    <row r="59080" spans="6:6" x14ac:dyDescent="0.3">
      <c r="F59080" s="193"/>
    </row>
    <row r="59081" spans="6:6" x14ac:dyDescent="0.3">
      <c r="F59081" s="193"/>
    </row>
    <row r="59082" spans="6:6" x14ac:dyDescent="0.3">
      <c r="F59082" s="193"/>
    </row>
    <row r="59083" spans="6:6" x14ac:dyDescent="0.3">
      <c r="F59083" s="193"/>
    </row>
    <row r="59084" spans="6:6" x14ac:dyDescent="0.3">
      <c r="F59084" s="193"/>
    </row>
    <row r="59085" spans="6:6" x14ac:dyDescent="0.3">
      <c r="F59085" s="193"/>
    </row>
    <row r="59086" spans="6:6" x14ac:dyDescent="0.3">
      <c r="F59086" s="193"/>
    </row>
    <row r="59087" spans="6:6" x14ac:dyDescent="0.3">
      <c r="F59087" s="193"/>
    </row>
    <row r="59088" spans="6:6" x14ac:dyDescent="0.3">
      <c r="F59088" s="193"/>
    </row>
    <row r="59089" spans="6:6" x14ac:dyDescent="0.3">
      <c r="F59089" s="193"/>
    </row>
    <row r="59090" spans="6:6" x14ac:dyDescent="0.3">
      <c r="F59090" s="193"/>
    </row>
    <row r="59091" spans="6:6" x14ac:dyDescent="0.3">
      <c r="F59091" s="193"/>
    </row>
    <row r="59092" spans="6:6" x14ac:dyDescent="0.3">
      <c r="F59092" s="193"/>
    </row>
    <row r="59093" spans="6:6" x14ac:dyDescent="0.3">
      <c r="F59093" s="193"/>
    </row>
    <row r="59094" spans="6:6" x14ac:dyDescent="0.3">
      <c r="F59094" s="193"/>
    </row>
    <row r="59095" spans="6:6" x14ac:dyDescent="0.3">
      <c r="F59095" s="193"/>
    </row>
    <row r="59096" spans="6:6" x14ac:dyDescent="0.3">
      <c r="F59096" s="193"/>
    </row>
    <row r="59097" spans="6:6" x14ac:dyDescent="0.3">
      <c r="F59097" s="193"/>
    </row>
    <row r="59098" spans="6:6" x14ac:dyDescent="0.3">
      <c r="F59098" s="193"/>
    </row>
    <row r="59099" spans="6:6" x14ac:dyDescent="0.3">
      <c r="F59099" s="193"/>
    </row>
    <row r="59100" spans="6:6" x14ac:dyDescent="0.3">
      <c r="F59100" s="193"/>
    </row>
    <row r="59101" spans="6:6" x14ac:dyDescent="0.3">
      <c r="F59101" s="193"/>
    </row>
    <row r="59102" spans="6:6" x14ac:dyDescent="0.3">
      <c r="F59102" s="193"/>
    </row>
    <row r="59103" spans="6:6" x14ac:dyDescent="0.3">
      <c r="F59103" s="193"/>
    </row>
    <row r="59104" spans="6:6" x14ac:dyDescent="0.3">
      <c r="F59104" s="193"/>
    </row>
    <row r="59105" spans="6:6" x14ac:dyDescent="0.3">
      <c r="F59105" s="193"/>
    </row>
    <row r="59106" spans="6:6" x14ac:dyDescent="0.3">
      <c r="F59106" s="193"/>
    </row>
    <row r="59107" spans="6:6" x14ac:dyDescent="0.3">
      <c r="F59107" s="193"/>
    </row>
    <row r="59108" spans="6:6" x14ac:dyDescent="0.3">
      <c r="F59108" s="193"/>
    </row>
    <row r="59109" spans="6:6" x14ac:dyDescent="0.3">
      <c r="F59109" s="193"/>
    </row>
    <row r="59110" spans="6:6" x14ac:dyDescent="0.3">
      <c r="F59110" s="193"/>
    </row>
    <row r="59111" spans="6:6" x14ac:dyDescent="0.3">
      <c r="F59111" s="193"/>
    </row>
    <row r="59112" spans="6:6" x14ac:dyDescent="0.3">
      <c r="F59112" s="193"/>
    </row>
    <row r="59113" spans="6:6" x14ac:dyDescent="0.3">
      <c r="F59113" s="193"/>
    </row>
    <row r="59114" spans="6:6" x14ac:dyDescent="0.3">
      <c r="F59114" s="193"/>
    </row>
    <row r="59115" spans="6:6" x14ac:dyDescent="0.3">
      <c r="F59115" s="193"/>
    </row>
    <row r="59116" spans="6:6" x14ac:dyDescent="0.3">
      <c r="F59116" s="193"/>
    </row>
    <row r="59117" spans="6:6" x14ac:dyDescent="0.3">
      <c r="F59117" s="193"/>
    </row>
    <row r="59118" spans="6:6" x14ac:dyDescent="0.3">
      <c r="F59118" s="193"/>
    </row>
    <row r="59119" spans="6:6" x14ac:dyDescent="0.3">
      <c r="F59119" s="193"/>
    </row>
    <row r="59120" spans="6:6" x14ac:dyDescent="0.3">
      <c r="F59120" s="193"/>
    </row>
    <row r="59121" spans="6:6" x14ac:dyDescent="0.3">
      <c r="F59121" s="193"/>
    </row>
    <row r="59122" spans="6:6" x14ac:dyDescent="0.3">
      <c r="F59122" s="193"/>
    </row>
    <row r="59123" spans="6:6" x14ac:dyDescent="0.3">
      <c r="F59123" s="193"/>
    </row>
    <row r="59124" spans="6:6" x14ac:dyDescent="0.3">
      <c r="F59124" s="193"/>
    </row>
    <row r="59125" spans="6:6" x14ac:dyDescent="0.3">
      <c r="F59125" s="193"/>
    </row>
    <row r="59126" spans="6:6" x14ac:dyDescent="0.3">
      <c r="F59126" s="193"/>
    </row>
    <row r="59127" spans="6:6" x14ac:dyDescent="0.3">
      <c r="F59127" s="193"/>
    </row>
    <row r="59128" spans="6:6" x14ac:dyDescent="0.3">
      <c r="F59128" s="193"/>
    </row>
    <row r="59129" spans="6:6" x14ac:dyDescent="0.3">
      <c r="F59129" s="193"/>
    </row>
    <row r="59130" spans="6:6" x14ac:dyDescent="0.3">
      <c r="F59130" s="193"/>
    </row>
    <row r="59131" spans="6:6" x14ac:dyDescent="0.3">
      <c r="F59131" s="193"/>
    </row>
    <row r="59132" spans="6:6" x14ac:dyDescent="0.3">
      <c r="F59132" s="193"/>
    </row>
    <row r="59133" spans="6:6" x14ac:dyDescent="0.3">
      <c r="F59133" s="193"/>
    </row>
    <row r="59134" spans="6:6" x14ac:dyDescent="0.3">
      <c r="F59134" s="193"/>
    </row>
    <row r="59135" spans="6:6" x14ac:dyDescent="0.3">
      <c r="F59135" s="193"/>
    </row>
    <row r="59136" spans="6:6" x14ac:dyDescent="0.3">
      <c r="F59136" s="193"/>
    </row>
    <row r="59137" spans="6:6" x14ac:dyDescent="0.3">
      <c r="F59137" s="193"/>
    </row>
    <row r="59138" spans="6:6" x14ac:dyDescent="0.3">
      <c r="F59138" s="193"/>
    </row>
    <row r="59139" spans="6:6" x14ac:dyDescent="0.3">
      <c r="F59139" s="193"/>
    </row>
    <row r="59140" spans="6:6" x14ac:dyDescent="0.3">
      <c r="F59140" s="193"/>
    </row>
    <row r="59141" spans="6:6" x14ac:dyDescent="0.3">
      <c r="F59141" s="193"/>
    </row>
    <row r="59142" spans="6:6" x14ac:dyDescent="0.3">
      <c r="F59142" s="193"/>
    </row>
    <row r="59143" spans="6:6" x14ac:dyDescent="0.3">
      <c r="F59143" s="193"/>
    </row>
    <row r="59144" spans="6:6" x14ac:dyDescent="0.3">
      <c r="F59144" s="193"/>
    </row>
    <row r="59145" spans="6:6" x14ac:dyDescent="0.3">
      <c r="F59145" s="193"/>
    </row>
    <row r="59146" spans="6:6" x14ac:dyDescent="0.3">
      <c r="F59146" s="193"/>
    </row>
    <row r="59147" spans="6:6" x14ac:dyDescent="0.3">
      <c r="F59147" s="193"/>
    </row>
    <row r="59148" spans="6:6" x14ac:dyDescent="0.3">
      <c r="F59148" s="193"/>
    </row>
    <row r="59149" spans="6:6" x14ac:dyDescent="0.3">
      <c r="F59149" s="193"/>
    </row>
    <row r="59150" spans="6:6" x14ac:dyDescent="0.3">
      <c r="F59150" s="193"/>
    </row>
    <row r="59151" spans="6:6" x14ac:dyDescent="0.3">
      <c r="F59151" s="193"/>
    </row>
    <row r="59152" spans="6:6" x14ac:dyDescent="0.3">
      <c r="F59152" s="193"/>
    </row>
    <row r="59153" spans="6:6" x14ac:dyDescent="0.3">
      <c r="F59153" s="193"/>
    </row>
    <row r="59154" spans="6:6" x14ac:dyDescent="0.3">
      <c r="F59154" s="193"/>
    </row>
    <row r="59155" spans="6:6" x14ac:dyDescent="0.3">
      <c r="F59155" s="193"/>
    </row>
    <row r="59156" spans="6:6" x14ac:dyDescent="0.3">
      <c r="F59156" s="193"/>
    </row>
    <row r="59157" spans="6:6" x14ac:dyDescent="0.3">
      <c r="F59157" s="193"/>
    </row>
    <row r="59158" spans="6:6" x14ac:dyDescent="0.3">
      <c r="F59158" s="193"/>
    </row>
    <row r="59159" spans="6:6" x14ac:dyDescent="0.3">
      <c r="F59159" s="193"/>
    </row>
    <row r="59160" spans="6:6" x14ac:dyDescent="0.3">
      <c r="F59160" s="193"/>
    </row>
    <row r="59161" spans="6:6" x14ac:dyDescent="0.3">
      <c r="F59161" s="193"/>
    </row>
    <row r="59162" spans="6:6" x14ac:dyDescent="0.3">
      <c r="F59162" s="193"/>
    </row>
    <row r="59163" spans="6:6" x14ac:dyDescent="0.3">
      <c r="F59163" s="193"/>
    </row>
    <row r="59164" spans="6:6" x14ac:dyDescent="0.3">
      <c r="F59164" s="193"/>
    </row>
    <row r="59165" spans="6:6" x14ac:dyDescent="0.3">
      <c r="F59165" s="193"/>
    </row>
    <row r="59166" spans="6:6" x14ac:dyDescent="0.3">
      <c r="F59166" s="193"/>
    </row>
    <row r="59167" spans="6:6" x14ac:dyDescent="0.3">
      <c r="F59167" s="193"/>
    </row>
    <row r="59168" spans="6:6" x14ac:dyDescent="0.3">
      <c r="F59168" s="193"/>
    </row>
    <row r="59169" spans="6:6" x14ac:dyDescent="0.3">
      <c r="F59169" s="193"/>
    </row>
    <row r="59170" spans="6:6" x14ac:dyDescent="0.3">
      <c r="F59170" s="193"/>
    </row>
    <row r="59171" spans="6:6" x14ac:dyDescent="0.3">
      <c r="F59171" s="193"/>
    </row>
    <row r="59172" spans="6:6" x14ac:dyDescent="0.3">
      <c r="F59172" s="193"/>
    </row>
    <row r="59173" spans="6:6" x14ac:dyDescent="0.3">
      <c r="F59173" s="193"/>
    </row>
    <row r="59174" spans="6:6" x14ac:dyDescent="0.3">
      <c r="F59174" s="193"/>
    </row>
    <row r="59175" spans="6:6" x14ac:dyDescent="0.3">
      <c r="F59175" s="193"/>
    </row>
    <row r="59176" spans="6:6" x14ac:dyDescent="0.3">
      <c r="F59176" s="193"/>
    </row>
    <row r="59177" spans="6:6" x14ac:dyDescent="0.3">
      <c r="F59177" s="193"/>
    </row>
    <row r="59178" spans="6:6" x14ac:dyDescent="0.3">
      <c r="F59178" s="193"/>
    </row>
    <row r="59179" spans="6:6" x14ac:dyDescent="0.3">
      <c r="F59179" s="193"/>
    </row>
    <row r="59180" spans="6:6" x14ac:dyDescent="0.3">
      <c r="F59180" s="193"/>
    </row>
    <row r="59181" spans="6:6" x14ac:dyDescent="0.3">
      <c r="F59181" s="193"/>
    </row>
    <row r="59182" spans="6:6" x14ac:dyDescent="0.3">
      <c r="F59182" s="193"/>
    </row>
    <row r="59183" spans="6:6" x14ac:dyDescent="0.3">
      <c r="F59183" s="193"/>
    </row>
    <row r="59184" spans="6:6" x14ac:dyDescent="0.3">
      <c r="F59184" s="193"/>
    </row>
    <row r="59185" spans="6:6" x14ac:dyDescent="0.3">
      <c r="F59185" s="193"/>
    </row>
    <row r="59186" spans="6:6" x14ac:dyDescent="0.3">
      <c r="F59186" s="193"/>
    </row>
    <row r="59187" spans="6:6" x14ac:dyDescent="0.3">
      <c r="F59187" s="193"/>
    </row>
    <row r="59188" spans="6:6" x14ac:dyDescent="0.3">
      <c r="F59188" s="193"/>
    </row>
    <row r="59189" spans="6:6" x14ac:dyDescent="0.3">
      <c r="F59189" s="193"/>
    </row>
    <row r="59190" spans="6:6" x14ac:dyDescent="0.3">
      <c r="F59190" s="193"/>
    </row>
    <row r="59191" spans="6:6" x14ac:dyDescent="0.3">
      <c r="F59191" s="193"/>
    </row>
    <row r="59192" spans="6:6" x14ac:dyDescent="0.3">
      <c r="F59192" s="193"/>
    </row>
    <row r="59193" spans="6:6" x14ac:dyDescent="0.3">
      <c r="F59193" s="193"/>
    </row>
    <row r="59194" spans="6:6" x14ac:dyDescent="0.3">
      <c r="F59194" s="193"/>
    </row>
    <row r="59195" spans="6:6" x14ac:dyDescent="0.3">
      <c r="F59195" s="193"/>
    </row>
    <row r="59196" spans="6:6" x14ac:dyDescent="0.3">
      <c r="F59196" s="193"/>
    </row>
    <row r="59197" spans="6:6" x14ac:dyDescent="0.3">
      <c r="F59197" s="193"/>
    </row>
    <row r="59198" spans="6:6" x14ac:dyDescent="0.3">
      <c r="F59198" s="193"/>
    </row>
    <row r="59199" spans="6:6" x14ac:dyDescent="0.3">
      <c r="F59199" s="193"/>
    </row>
    <row r="59200" spans="6:6" x14ac:dyDescent="0.3">
      <c r="F59200" s="193"/>
    </row>
    <row r="59201" spans="6:6" x14ac:dyDescent="0.3">
      <c r="F59201" s="193"/>
    </row>
    <row r="59202" spans="6:6" x14ac:dyDescent="0.3">
      <c r="F59202" s="193"/>
    </row>
    <row r="59203" spans="6:6" x14ac:dyDescent="0.3">
      <c r="F59203" s="193"/>
    </row>
    <row r="59204" spans="6:6" x14ac:dyDescent="0.3">
      <c r="F59204" s="193"/>
    </row>
    <row r="59205" spans="6:6" x14ac:dyDescent="0.3">
      <c r="F59205" s="193"/>
    </row>
    <row r="59206" spans="6:6" x14ac:dyDescent="0.3">
      <c r="F59206" s="193"/>
    </row>
    <row r="59207" spans="6:6" x14ac:dyDescent="0.3">
      <c r="F59207" s="193"/>
    </row>
    <row r="59208" spans="6:6" x14ac:dyDescent="0.3">
      <c r="F59208" s="193"/>
    </row>
    <row r="59209" spans="6:6" x14ac:dyDescent="0.3">
      <c r="F59209" s="193"/>
    </row>
    <row r="59210" spans="6:6" x14ac:dyDescent="0.3">
      <c r="F59210" s="193"/>
    </row>
    <row r="59211" spans="6:6" x14ac:dyDescent="0.3">
      <c r="F59211" s="193"/>
    </row>
    <row r="59212" spans="6:6" x14ac:dyDescent="0.3">
      <c r="F59212" s="193"/>
    </row>
    <row r="59213" spans="6:6" x14ac:dyDescent="0.3">
      <c r="F59213" s="193"/>
    </row>
    <row r="59214" spans="6:6" x14ac:dyDescent="0.3">
      <c r="F59214" s="193"/>
    </row>
    <row r="59215" spans="6:6" x14ac:dyDescent="0.3">
      <c r="F59215" s="193"/>
    </row>
    <row r="59216" spans="6:6" x14ac:dyDescent="0.3">
      <c r="F59216" s="193"/>
    </row>
    <row r="59217" spans="6:6" x14ac:dyDescent="0.3">
      <c r="F59217" s="193"/>
    </row>
    <row r="59218" spans="6:6" x14ac:dyDescent="0.3">
      <c r="F59218" s="193"/>
    </row>
    <row r="59219" spans="6:6" x14ac:dyDescent="0.3">
      <c r="F59219" s="193"/>
    </row>
    <row r="59220" spans="6:6" x14ac:dyDescent="0.3">
      <c r="F59220" s="193"/>
    </row>
    <row r="59221" spans="6:6" x14ac:dyDescent="0.3">
      <c r="F59221" s="193"/>
    </row>
    <row r="59222" spans="6:6" x14ac:dyDescent="0.3">
      <c r="F59222" s="193"/>
    </row>
    <row r="59223" spans="6:6" x14ac:dyDescent="0.3">
      <c r="F59223" s="193"/>
    </row>
    <row r="59224" spans="6:6" x14ac:dyDescent="0.3">
      <c r="F59224" s="193"/>
    </row>
    <row r="59225" spans="6:6" x14ac:dyDescent="0.3">
      <c r="F59225" s="193"/>
    </row>
    <row r="59226" spans="6:6" x14ac:dyDescent="0.3">
      <c r="F59226" s="193"/>
    </row>
    <row r="59227" spans="6:6" x14ac:dyDescent="0.3">
      <c r="F59227" s="193"/>
    </row>
    <row r="59228" spans="6:6" x14ac:dyDescent="0.3">
      <c r="F59228" s="193"/>
    </row>
    <row r="59229" spans="6:6" x14ac:dyDescent="0.3">
      <c r="F59229" s="193"/>
    </row>
    <row r="59230" spans="6:6" x14ac:dyDescent="0.3">
      <c r="F59230" s="193"/>
    </row>
    <row r="59231" spans="6:6" x14ac:dyDescent="0.3">
      <c r="F59231" s="193"/>
    </row>
    <row r="59232" spans="6:6" x14ac:dyDescent="0.3">
      <c r="F59232" s="193"/>
    </row>
    <row r="59233" spans="6:6" x14ac:dyDescent="0.3">
      <c r="F59233" s="193"/>
    </row>
    <row r="59234" spans="6:6" x14ac:dyDescent="0.3">
      <c r="F59234" s="193"/>
    </row>
    <row r="59235" spans="6:6" x14ac:dyDescent="0.3">
      <c r="F59235" s="193"/>
    </row>
    <row r="59236" spans="6:6" x14ac:dyDescent="0.3">
      <c r="F59236" s="193"/>
    </row>
    <row r="59237" spans="6:6" x14ac:dyDescent="0.3">
      <c r="F59237" s="193"/>
    </row>
    <row r="59238" spans="6:6" x14ac:dyDescent="0.3">
      <c r="F59238" s="193"/>
    </row>
    <row r="59239" spans="6:6" x14ac:dyDescent="0.3">
      <c r="F59239" s="193"/>
    </row>
    <row r="59240" spans="6:6" x14ac:dyDescent="0.3">
      <c r="F59240" s="193"/>
    </row>
    <row r="59241" spans="6:6" x14ac:dyDescent="0.3">
      <c r="F59241" s="193"/>
    </row>
    <row r="59242" spans="6:6" x14ac:dyDescent="0.3">
      <c r="F59242" s="193"/>
    </row>
    <row r="59243" spans="6:6" x14ac:dyDescent="0.3">
      <c r="F59243" s="193"/>
    </row>
    <row r="59244" spans="6:6" x14ac:dyDescent="0.3">
      <c r="F59244" s="193"/>
    </row>
    <row r="59245" spans="6:6" x14ac:dyDescent="0.3">
      <c r="F59245" s="193"/>
    </row>
    <row r="59246" spans="6:6" x14ac:dyDescent="0.3">
      <c r="F59246" s="193"/>
    </row>
    <row r="59247" spans="6:6" x14ac:dyDescent="0.3">
      <c r="F59247" s="193"/>
    </row>
    <row r="59248" spans="6:6" x14ac:dyDescent="0.3">
      <c r="F59248" s="193"/>
    </row>
    <row r="59249" spans="6:6" x14ac:dyDescent="0.3">
      <c r="F59249" s="193"/>
    </row>
    <row r="59250" spans="6:6" x14ac:dyDescent="0.3">
      <c r="F59250" s="193"/>
    </row>
    <row r="59251" spans="6:6" x14ac:dyDescent="0.3">
      <c r="F59251" s="193"/>
    </row>
    <row r="59252" spans="6:6" x14ac:dyDescent="0.3">
      <c r="F59252" s="193"/>
    </row>
    <row r="59253" spans="6:6" x14ac:dyDescent="0.3">
      <c r="F59253" s="193"/>
    </row>
    <row r="59254" spans="6:6" x14ac:dyDescent="0.3">
      <c r="F59254" s="193"/>
    </row>
    <row r="59255" spans="6:6" x14ac:dyDescent="0.3">
      <c r="F59255" s="193"/>
    </row>
    <row r="59256" spans="6:6" x14ac:dyDescent="0.3">
      <c r="F59256" s="193"/>
    </row>
    <row r="59257" spans="6:6" x14ac:dyDescent="0.3">
      <c r="F59257" s="193"/>
    </row>
    <row r="59258" spans="6:6" x14ac:dyDescent="0.3">
      <c r="F59258" s="193"/>
    </row>
    <row r="59259" spans="6:6" x14ac:dyDescent="0.3">
      <c r="F59259" s="193"/>
    </row>
    <row r="59260" spans="6:6" x14ac:dyDescent="0.3">
      <c r="F59260" s="193"/>
    </row>
    <row r="59261" spans="6:6" x14ac:dyDescent="0.3">
      <c r="F59261" s="193"/>
    </row>
    <row r="59262" spans="6:6" x14ac:dyDescent="0.3">
      <c r="F59262" s="193"/>
    </row>
    <row r="59263" spans="6:6" x14ac:dyDescent="0.3">
      <c r="F59263" s="193"/>
    </row>
    <row r="59264" spans="6:6" x14ac:dyDescent="0.3">
      <c r="F59264" s="193"/>
    </row>
    <row r="59265" spans="6:6" x14ac:dyDescent="0.3">
      <c r="F59265" s="193"/>
    </row>
    <row r="59266" spans="6:6" x14ac:dyDescent="0.3">
      <c r="F59266" s="193"/>
    </row>
    <row r="59267" spans="6:6" x14ac:dyDescent="0.3">
      <c r="F59267" s="193"/>
    </row>
    <row r="59268" spans="6:6" x14ac:dyDescent="0.3">
      <c r="F59268" s="193"/>
    </row>
    <row r="59269" spans="6:6" x14ac:dyDescent="0.3">
      <c r="F59269" s="193"/>
    </row>
    <row r="59270" spans="6:6" x14ac:dyDescent="0.3">
      <c r="F59270" s="193"/>
    </row>
    <row r="59271" spans="6:6" x14ac:dyDescent="0.3">
      <c r="F59271" s="193"/>
    </row>
    <row r="59272" spans="6:6" x14ac:dyDescent="0.3">
      <c r="F59272" s="193"/>
    </row>
    <row r="59273" spans="6:6" x14ac:dyDescent="0.3">
      <c r="F59273" s="193"/>
    </row>
    <row r="59274" spans="6:6" x14ac:dyDescent="0.3">
      <c r="F59274" s="193"/>
    </row>
    <row r="59275" spans="6:6" x14ac:dyDescent="0.3">
      <c r="F59275" s="193"/>
    </row>
    <row r="59276" spans="6:6" x14ac:dyDescent="0.3">
      <c r="F59276" s="193"/>
    </row>
    <row r="59277" spans="6:6" x14ac:dyDescent="0.3">
      <c r="F59277" s="193"/>
    </row>
    <row r="59278" spans="6:6" x14ac:dyDescent="0.3">
      <c r="F59278" s="193"/>
    </row>
    <row r="59279" spans="6:6" x14ac:dyDescent="0.3">
      <c r="F59279" s="193"/>
    </row>
    <row r="59280" spans="6:6" x14ac:dyDescent="0.3">
      <c r="F59280" s="193"/>
    </row>
    <row r="59281" spans="6:6" x14ac:dyDescent="0.3">
      <c r="F59281" s="193"/>
    </row>
    <row r="59282" spans="6:6" x14ac:dyDescent="0.3">
      <c r="F59282" s="193"/>
    </row>
    <row r="59283" spans="6:6" x14ac:dyDescent="0.3">
      <c r="F59283" s="193"/>
    </row>
    <row r="59284" spans="6:6" x14ac:dyDescent="0.3">
      <c r="F59284" s="193"/>
    </row>
    <row r="59285" spans="6:6" x14ac:dyDescent="0.3">
      <c r="F59285" s="193"/>
    </row>
    <row r="59286" spans="6:6" x14ac:dyDescent="0.3">
      <c r="F59286" s="193"/>
    </row>
    <row r="59287" spans="6:6" x14ac:dyDescent="0.3">
      <c r="F59287" s="193"/>
    </row>
    <row r="59288" spans="6:6" x14ac:dyDescent="0.3">
      <c r="F59288" s="193"/>
    </row>
    <row r="59289" spans="6:6" x14ac:dyDescent="0.3">
      <c r="F59289" s="193"/>
    </row>
    <row r="59290" spans="6:6" x14ac:dyDescent="0.3">
      <c r="F59290" s="193"/>
    </row>
    <row r="59291" spans="6:6" x14ac:dyDescent="0.3">
      <c r="F59291" s="193"/>
    </row>
    <row r="59292" spans="6:6" x14ac:dyDescent="0.3">
      <c r="F59292" s="193"/>
    </row>
    <row r="59293" spans="6:6" x14ac:dyDescent="0.3">
      <c r="F59293" s="193"/>
    </row>
    <row r="59294" spans="6:6" x14ac:dyDescent="0.3">
      <c r="F59294" s="193"/>
    </row>
    <row r="59295" spans="6:6" x14ac:dyDescent="0.3">
      <c r="F59295" s="193"/>
    </row>
    <row r="59296" spans="6:6" x14ac:dyDescent="0.3">
      <c r="F59296" s="193"/>
    </row>
    <row r="59297" spans="6:6" x14ac:dyDescent="0.3">
      <c r="F59297" s="193"/>
    </row>
    <row r="59298" spans="6:6" x14ac:dyDescent="0.3">
      <c r="F59298" s="193"/>
    </row>
    <row r="59299" spans="6:6" x14ac:dyDescent="0.3">
      <c r="F59299" s="193"/>
    </row>
    <row r="59300" spans="6:6" x14ac:dyDescent="0.3">
      <c r="F59300" s="193"/>
    </row>
    <row r="59301" spans="6:6" x14ac:dyDescent="0.3">
      <c r="F59301" s="193"/>
    </row>
    <row r="59302" spans="6:6" x14ac:dyDescent="0.3">
      <c r="F59302" s="193"/>
    </row>
    <row r="59303" spans="6:6" x14ac:dyDescent="0.3">
      <c r="F59303" s="193"/>
    </row>
    <row r="59304" spans="6:6" x14ac:dyDescent="0.3">
      <c r="F59304" s="193"/>
    </row>
    <row r="59305" spans="6:6" x14ac:dyDescent="0.3">
      <c r="F59305" s="193"/>
    </row>
    <row r="59306" spans="6:6" x14ac:dyDescent="0.3">
      <c r="F59306" s="193"/>
    </row>
    <row r="59307" spans="6:6" x14ac:dyDescent="0.3">
      <c r="F59307" s="193"/>
    </row>
    <row r="59308" spans="6:6" x14ac:dyDescent="0.3">
      <c r="F59308" s="193"/>
    </row>
    <row r="59309" spans="6:6" x14ac:dyDescent="0.3">
      <c r="F59309" s="193"/>
    </row>
    <row r="59310" spans="6:6" x14ac:dyDescent="0.3">
      <c r="F59310" s="193"/>
    </row>
    <row r="59311" spans="6:6" x14ac:dyDescent="0.3">
      <c r="F59311" s="193"/>
    </row>
    <row r="59312" spans="6:6" x14ac:dyDescent="0.3">
      <c r="F59312" s="193"/>
    </row>
    <row r="59313" spans="6:6" x14ac:dyDescent="0.3">
      <c r="F59313" s="193"/>
    </row>
    <row r="59314" spans="6:6" x14ac:dyDescent="0.3">
      <c r="F59314" s="193"/>
    </row>
    <row r="59315" spans="6:6" x14ac:dyDescent="0.3">
      <c r="F59315" s="193"/>
    </row>
    <row r="59316" spans="6:6" x14ac:dyDescent="0.3">
      <c r="F59316" s="193"/>
    </row>
    <row r="59317" spans="6:6" x14ac:dyDescent="0.3">
      <c r="F59317" s="193"/>
    </row>
    <row r="59318" spans="6:6" x14ac:dyDescent="0.3">
      <c r="F59318" s="193"/>
    </row>
    <row r="59319" spans="6:6" x14ac:dyDescent="0.3">
      <c r="F59319" s="193"/>
    </row>
    <row r="59320" spans="6:6" x14ac:dyDescent="0.3">
      <c r="F59320" s="193"/>
    </row>
    <row r="59321" spans="6:6" x14ac:dyDescent="0.3">
      <c r="F59321" s="193"/>
    </row>
    <row r="59322" spans="6:6" x14ac:dyDescent="0.3">
      <c r="F59322" s="193"/>
    </row>
    <row r="59323" spans="6:6" x14ac:dyDescent="0.3">
      <c r="F59323" s="193"/>
    </row>
    <row r="59324" spans="6:6" x14ac:dyDescent="0.3">
      <c r="F59324" s="193"/>
    </row>
    <row r="59325" spans="6:6" x14ac:dyDescent="0.3">
      <c r="F59325" s="193"/>
    </row>
    <row r="59326" spans="6:6" x14ac:dyDescent="0.3">
      <c r="F59326" s="193"/>
    </row>
    <row r="59327" spans="6:6" x14ac:dyDescent="0.3">
      <c r="F59327" s="193"/>
    </row>
    <row r="59328" spans="6:6" x14ac:dyDescent="0.3">
      <c r="F59328" s="193"/>
    </row>
    <row r="59329" spans="6:6" x14ac:dyDescent="0.3">
      <c r="F59329" s="193"/>
    </row>
    <row r="59330" spans="6:6" x14ac:dyDescent="0.3">
      <c r="F59330" s="193"/>
    </row>
    <row r="59331" spans="6:6" x14ac:dyDescent="0.3">
      <c r="F59331" s="193"/>
    </row>
    <row r="59332" spans="6:6" x14ac:dyDescent="0.3">
      <c r="F59332" s="193"/>
    </row>
    <row r="59333" spans="6:6" x14ac:dyDescent="0.3">
      <c r="F59333" s="193"/>
    </row>
    <row r="59334" spans="6:6" x14ac:dyDescent="0.3">
      <c r="F59334" s="193"/>
    </row>
    <row r="59335" spans="6:6" x14ac:dyDescent="0.3">
      <c r="F59335" s="193"/>
    </row>
    <row r="59336" spans="6:6" x14ac:dyDescent="0.3">
      <c r="F59336" s="193"/>
    </row>
    <row r="59337" spans="6:6" x14ac:dyDescent="0.3">
      <c r="F59337" s="193"/>
    </row>
    <row r="59338" spans="6:6" x14ac:dyDescent="0.3">
      <c r="F59338" s="193"/>
    </row>
    <row r="59339" spans="6:6" x14ac:dyDescent="0.3">
      <c r="F59339" s="193"/>
    </row>
    <row r="59340" spans="6:6" x14ac:dyDescent="0.3">
      <c r="F59340" s="193"/>
    </row>
    <row r="59341" spans="6:6" x14ac:dyDescent="0.3">
      <c r="F59341" s="193"/>
    </row>
    <row r="59342" spans="6:6" x14ac:dyDescent="0.3">
      <c r="F59342" s="193"/>
    </row>
    <row r="59343" spans="6:6" x14ac:dyDescent="0.3">
      <c r="F59343" s="193"/>
    </row>
    <row r="59344" spans="6:6" x14ac:dyDescent="0.3">
      <c r="F59344" s="193"/>
    </row>
    <row r="59345" spans="6:6" x14ac:dyDescent="0.3">
      <c r="F59345" s="193"/>
    </row>
    <row r="59346" spans="6:6" x14ac:dyDescent="0.3">
      <c r="F59346" s="193"/>
    </row>
    <row r="59347" spans="6:6" x14ac:dyDescent="0.3">
      <c r="F59347" s="193"/>
    </row>
    <row r="59348" spans="6:6" x14ac:dyDescent="0.3">
      <c r="F59348" s="193"/>
    </row>
    <row r="59349" spans="6:6" x14ac:dyDescent="0.3">
      <c r="F59349" s="193"/>
    </row>
    <row r="59350" spans="6:6" x14ac:dyDescent="0.3">
      <c r="F59350" s="193"/>
    </row>
    <row r="59351" spans="6:6" x14ac:dyDescent="0.3">
      <c r="F59351" s="193"/>
    </row>
    <row r="59352" spans="6:6" x14ac:dyDescent="0.3">
      <c r="F59352" s="193"/>
    </row>
    <row r="59353" spans="6:6" x14ac:dyDescent="0.3">
      <c r="F59353" s="193"/>
    </row>
    <row r="59354" spans="6:6" x14ac:dyDescent="0.3">
      <c r="F59354" s="193"/>
    </row>
    <row r="59355" spans="6:6" x14ac:dyDescent="0.3">
      <c r="F59355" s="193"/>
    </row>
    <row r="59356" spans="6:6" x14ac:dyDescent="0.3">
      <c r="F59356" s="193"/>
    </row>
    <row r="59357" spans="6:6" x14ac:dyDescent="0.3">
      <c r="F59357" s="193"/>
    </row>
    <row r="59358" spans="6:6" x14ac:dyDescent="0.3">
      <c r="F59358" s="193"/>
    </row>
    <row r="59359" spans="6:6" x14ac:dyDescent="0.3">
      <c r="F59359" s="193"/>
    </row>
    <row r="59360" spans="6:6" x14ac:dyDescent="0.3">
      <c r="F59360" s="193"/>
    </row>
    <row r="59361" spans="6:6" x14ac:dyDescent="0.3">
      <c r="F59361" s="193"/>
    </row>
    <row r="59362" spans="6:6" x14ac:dyDescent="0.3">
      <c r="F59362" s="193"/>
    </row>
    <row r="59363" spans="6:6" x14ac:dyDescent="0.3">
      <c r="F59363" s="193"/>
    </row>
    <row r="59364" spans="6:6" x14ac:dyDescent="0.3">
      <c r="F59364" s="193"/>
    </row>
    <row r="59365" spans="6:6" x14ac:dyDescent="0.3">
      <c r="F59365" s="193"/>
    </row>
    <row r="59366" spans="6:6" x14ac:dyDescent="0.3">
      <c r="F59366" s="193"/>
    </row>
    <row r="59367" spans="6:6" x14ac:dyDescent="0.3">
      <c r="F59367" s="193"/>
    </row>
    <row r="59368" spans="6:6" x14ac:dyDescent="0.3">
      <c r="F59368" s="193"/>
    </row>
    <row r="59369" spans="6:6" x14ac:dyDescent="0.3">
      <c r="F59369" s="193"/>
    </row>
    <row r="59370" spans="6:6" x14ac:dyDescent="0.3">
      <c r="F59370" s="193"/>
    </row>
    <row r="59371" spans="6:6" x14ac:dyDescent="0.3">
      <c r="F59371" s="193"/>
    </row>
    <row r="59372" spans="6:6" x14ac:dyDescent="0.3">
      <c r="F59372" s="193"/>
    </row>
    <row r="59373" spans="6:6" x14ac:dyDescent="0.3">
      <c r="F59373" s="193"/>
    </row>
    <row r="59374" spans="6:6" x14ac:dyDescent="0.3">
      <c r="F59374" s="193"/>
    </row>
    <row r="59375" spans="6:6" x14ac:dyDescent="0.3">
      <c r="F59375" s="193"/>
    </row>
    <row r="59376" spans="6:6" x14ac:dyDescent="0.3">
      <c r="F59376" s="193"/>
    </row>
    <row r="59377" spans="6:6" x14ac:dyDescent="0.3">
      <c r="F59377" s="193"/>
    </row>
    <row r="59378" spans="6:6" x14ac:dyDescent="0.3">
      <c r="F59378" s="193"/>
    </row>
    <row r="59379" spans="6:6" x14ac:dyDescent="0.3">
      <c r="F59379" s="193"/>
    </row>
    <row r="59380" spans="6:6" x14ac:dyDescent="0.3">
      <c r="F59380" s="193"/>
    </row>
    <row r="59381" spans="6:6" x14ac:dyDescent="0.3">
      <c r="F59381" s="193"/>
    </row>
    <row r="59382" spans="6:6" x14ac:dyDescent="0.3">
      <c r="F59382" s="193"/>
    </row>
    <row r="59383" spans="6:6" x14ac:dyDescent="0.3">
      <c r="F59383" s="193"/>
    </row>
    <row r="59384" spans="6:6" x14ac:dyDescent="0.3">
      <c r="F59384" s="193"/>
    </row>
    <row r="59385" spans="6:6" x14ac:dyDescent="0.3">
      <c r="F59385" s="193"/>
    </row>
    <row r="59386" spans="6:6" x14ac:dyDescent="0.3">
      <c r="F59386" s="193"/>
    </row>
    <row r="59387" spans="6:6" x14ac:dyDescent="0.3">
      <c r="F59387" s="193"/>
    </row>
    <row r="59388" spans="6:6" x14ac:dyDescent="0.3">
      <c r="F59388" s="193"/>
    </row>
    <row r="59389" spans="6:6" x14ac:dyDescent="0.3">
      <c r="F59389" s="193"/>
    </row>
    <row r="59390" spans="6:6" x14ac:dyDescent="0.3">
      <c r="F59390" s="193"/>
    </row>
    <row r="59391" spans="6:6" x14ac:dyDescent="0.3">
      <c r="F59391" s="193"/>
    </row>
    <row r="59392" spans="6:6" x14ac:dyDescent="0.3">
      <c r="F59392" s="193"/>
    </row>
    <row r="59393" spans="6:6" x14ac:dyDescent="0.3">
      <c r="F59393" s="193"/>
    </row>
    <row r="59394" spans="6:6" x14ac:dyDescent="0.3">
      <c r="F59394" s="193"/>
    </row>
    <row r="59395" spans="6:6" x14ac:dyDescent="0.3">
      <c r="F59395" s="193"/>
    </row>
    <row r="59396" spans="6:6" x14ac:dyDescent="0.3">
      <c r="F59396" s="193"/>
    </row>
    <row r="59397" spans="6:6" x14ac:dyDescent="0.3">
      <c r="F59397" s="193"/>
    </row>
    <row r="59398" spans="6:6" x14ac:dyDescent="0.3">
      <c r="F59398" s="193"/>
    </row>
    <row r="59399" spans="6:6" x14ac:dyDescent="0.3">
      <c r="F59399" s="193"/>
    </row>
    <row r="59400" spans="6:6" x14ac:dyDescent="0.3">
      <c r="F59400" s="193"/>
    </row>
    <row r="59401" spans="6:6" x14ac:dyDescent="0.3">
      <c r="F59401" s="193"/>
    </row>
    <row r="59402" spans="6:6" x14ac:dyDescent="0.3">
      <c r="F59402" s="193"/>
    </row>
    <row r="59403" spans="6:6" x14ac:dyDescent="0.3">
      <c r="F59403" s="193"/>
    </row>
    <row r="59404" spans="6:6" x14ac:dyDescent="0.3">
      <c r="F59404" s="193"/>
    </row>
    <row r="59405" spans="6:6" x14ac:dyDescent="0.3">
      <c r="F59405" s="193"/>
    </row>
    <row r="59406" spans="6:6" x14ac:dyDescent="0.3">
      <c r="F59406" s="193"/>
    </row>
    <row r="59407" spans="6:6" x14ac:dyDescent="0.3">
      <c r="F59407" s="193"/>
    </row>
    <row r="59408" spans="6:6" x14ac:dyDescent="0.3">
      <c r="F59408" s="193"/>
    </row>
    <row r="59409" spans="6:6" x14ac:dyDescent="0.3">
      <c r="F59409" s="193"/>
    </row>
    <row r="59410" spans="6:6" x14ac:dyDescent="0.3">
      <c r="F59410" s="193"/>
    </row>
    <row r="59411" spans="6:6" x14ac:dyDescent="0.3">
      <c r="F59411" s="193"/>
    </row>
    <row r="59412" spans="6:6" x14ac:dyDescent="0.3">
      <c r="F59412" s="193"/>
    </row>
    <row r="59413" spans="6:6" x14ac:dyDescent="0.3">
      <c r="F59413" s="193"/>
    </row>
    <row r="59414" spans="6:6" x14ac:dyDescent="0.3">
      <c r="F59414" s="193"/>
    </row>
    <row r="59415" spans="6:6" x14ac:dyDescent="0.3">
      <c r="F59415" s="193"/>
    </row>
    <row r="59416" spans="6:6" x14ac:dyDescent="0.3">
      <c r="F59416" s="193"/>
    </row>
    <row r="59417" spans="6:6" x14ac:dyDescent="0.3">
      <c r="F59417" s="193"/>
    </row>
    <row r="59418" spans="6:6" x14ac:dyDescent="0.3">
      <c r="F59418" s="193"/>
    </row>
    <row r="59419" spans="6:6" x14ac:dyDescent="0.3">
      <c r="F59419" s="193"/>
    </row>
    <row r="59420" spans="6:6" x14ac:dyDescent="0.3">
      <c r="F59420" s="193"/>
    </row>
    <row r="59421" spans="6:6" x14ac:dyDescent="0.3">
      <c r="F59421" s="193"/>
    </row>
    <row r="59422" spans="6:6" x14ac:dyDescent="0.3">
      <c r="F59422" s="193"/>
    </row>
    <row r="59423" spans="6:6" x14ac:dyDescent="0.3">
      <c r="F59423" s="193"/>
    </row>
    <row r="59424" spans="6:6" x14ac:dyDescent="0.3">
      <c r="F59424" s="193"/>
    </row>
    <row r="59425" spans="6:6" x14ac:dyDescent="0.3">
      <c r="F59425" s="193"/>
    </row>
    <row r="59426" spans="6:6" x14ac:dyDescent="0.3">
      <c r="F59426" s="193"/>
    </row>
    <row r="59427" spans="6:6" x14ac:dyDescent="0.3">
      <c r="F59427" s="193"/>
    </row>
    <row r="59428" spans="6:6" x14ac:dyDescent="0.3">
      <c r="F59428" s="193"/>
    </row>
    <row r="59429" spans="6:6" x14ac:dyDescent="0.3">
      <c r="F59429" s="193"/>
    </row>
    <row r="59430" spans="6:6" x14ac:dyDescent="0.3">
      <c r="F59430" s="193"/>
    </row>
    <row r="59431" spans="6:6" x14ac:dyDescent="0.3">
      <c r="F59431" s="193"/>
    </row>
    <row r="59432" spans="6:6" x14ac:dyDescent="0.3">
      <c r="F59432" s="193"/>
    </row>
    <row r="59433" spans="6:6" x14ac:dyDescent="0.3">
      <c r="F59433" s="193"/>
    </row>
    <row r="59434" spans="6:6" x14ac:dyDescent="0.3">
      <c r="F59434" s="193"/>
    </row>
    <row r="59435" spans="6:6" x14ac:dyDescent="0.3">
      <c r="F59435" s="193"/>
    </row>
    <row r="59436" spans="6:6" x14ac:dyDescent="0.3">
      <c r="F59436" s="193"/>
    </row>
    <row r="59437" spans="6:6" x14ac:dyDescent="0.3">
      <c r="F59437" s="193"/>
    </row>
    <row r="59438" spans="6:6" x14ac:dyDescent="0.3">
      <c r="F59438" s="193"/>
    </row>
    <row r="59439" spans="6:6" x14ac:dyDescent="0.3">
      <c r="F59439" s="193"/>
    </row>
    <row r="59440" spans="6:6" x14ac:dyDescent="0.3">
      <c r="F59440" s="193"/>
    </row>
    <row r="59441" spans="6:6" x14ac:dyDescent="0.3">
      <c r="F59441" s="193"/>
    </row>
    <row r="59442" spans="6:6" x14ac:dyDescent="0.3">
      <c r="F59442" s="193"/>
    </row>
    <row r="59443" spans="6:6" x14ac:dyDescent="0.3">
      <c r="F59443" s="193"/>
    </row>
    <row r="59444" spans="6:6" x14ac:dyDescent="0.3">
      <c r="F59444" s="193"/>
    </row>
    <row r="59445" spans="6:6" x14ac:dyDescent="0.3">
      <c r="F59445" s="193"/>
    </row>
    <row r="59446" spans="6:6" x14ac:dyDescent="0.3">
      <c r="F59446" s="193"/>
    </row>
    <row r="59447" spans="6:6" x14ac:dyDescent="0.3">
      <c r="F59447" s="193"/>
    </row>
    <row r="59448" spans="6:6" x14ac:dyDescent="0.3">
      <c r="F59448" s="193"/>
    </row>
    <row r="59449" spans="6:6" x14ac:dyDescent="0.3">
      <c r="F59449" s="193"/>
    </row>
    <row r="59450" spans="6:6" x14ac:dyDescent="0.3">
      <c r="F59450" s="193"/>
    </row>
    <row r="59451" spans="6:6" x14ac:dyDescent="0.3">
      <c r="F59451" s="193"/>
    </row>
    <row r="59452" spans="6:6" x14ac:dyDescent="0.3">
      <c r="F59452" s="193"/>
    </row>
    <row r="59453" spans="6:6" x14ac:dyDescent="0.3">
      <c r="F59453" s="193"/>
    </row>
    <row r="59454" spans="6:6" x14ac:dyDescent="0.3">
      <c r="F59454" s="193"/>
    </row>
    <row r="59455" spans="6:6" x14ac:dyDescent="0.3">
      <c r="F59455" s="193"/>
    </row>
    <row r="59456" spans="6:6" x14ac:dyDescent="0.3">
      <c r="F59456" s="193"/>
    </row>
    <row r="59457" spans="6:6" x14ac:dyDescent="0.3">
      <c r="F59457" s="193"/>
    </row>
    <row r="59458" spans="6:6" x14ac:dyDescent="0.3">
      <c r="F59458" s="193"/>
    </row>
    <row r="59459" spans="6:6" x14ac:dyDescent="0.3">
      <c r="F59459" s="193"/>
    </row>
    <row r="59460" spans="6:6" x14ac:dyDescent="0.3">
      <c r="F59460" s="193"/>
    </row>
    <row r="59461" spans="6:6" x14ac:dyDescent="0.3">
      <c r="F59461" s="193"/>
    </row>
    <row r="59462" spans="6:6" x14ac:dyDescent="0.3">
      <c r="F59462" s="193"/>
    </row>
    <row r="59463" spans="6:6" x14ac:dyDescent="0.3">
      <c r="F59463" s="193"/>
    </row>
    <row r="59464" spans="6:6" x14ac:dyDescent="0.3">
      <c r="F59464" s="193"/>
    </row>
    <row r="59465" spans="6:6" x14ac:dyDescent="0.3">
      <c r="F59465" s="193"/>
    </row>
    <row r="59466" spans="6:6" x14ac:dyDescent="0.3">
      <c r="F59466" s="193"/>
    </row>
    <row r="59467" spans="6:6" x14ac:dyDescent="0.3">
      <c r="F59467" s="193"/>
    </row>
    <row r="59468" spans="6:6" x14ac:dyDescent="0.3">
      <c r="F59468" s="193"/>
    </row>
    <row r="59469" spans="6:6" x14ac:dyDescent="0.3">
      <c r="F59469" s="193"/>
    </row>
    <row r="59470" spans="6:6" x14ac:dyDescent="0.3">
      <c r="F59470" s="193"/>
    </row>
    <row r="59471" spans="6:6" x14ac:dyDescent="0.3">
      <c r="F59471" s="193"/>
    </row>
    <row r="59472" spans="6:6" x14ac:dyDescent="0.3">
      <c r="F59472" s="193"/>
    </row>
    <row r="59473" spans="6:6" x14ac:dyDescent="0.3">
      <c r="F59473" s="193"/>
    </row>
    <row r="59474" spans="6:6" x14ac:dyDescent="0.3">
      <c r="F59474" s="193"/>
    </row>
    <row r="59475" spans="6:6" x14ac:dyDescent="0.3">
      <c r="F59475" s="193"/>
    </row>
    <row r="59476" spans="6:6" x14ac:dyDescent="0.3">
      <c r="F59476" s="193"/>
    </row>
    <row r="59477" spans="6:6" x14ac:dyDescent="0.3">
      <c r="F59477" s="193"/>
    </row>
    <row r="59478" spans="6:6" x14ac:dyDescent="0.3">
      <c r="F59478" s="193"/>
    </row>
    <row r="59479" spans="6:6" x14ac:dyDescent="0.3">
      <c r="F59479" s="193"/>
    </row>
    <row r="59480" spans="6:6" x14ac:dyDescent="0.3">
      <c r="F59480" s="193"/>
    </row>
    <row r="59481" spans="6:6" x14ac:dyDescent="0.3">
      <c r="F59481" s="193"/>
    </row>
    <row r="59482" spans="6:6" x14ac:dyDescent="0.3">
      <c r="F59482" s="193"/>
    </row>
    <row r="59483" spans="6:6" x14ac:dyDescent="0.3">
      <c r="F59483" s="193"/>
    </row>
    <row r="59484" spans="6:6" x14ac:dyDescent="0.3">
      <c r="F59484" s="193"/>
    </row>
    <row r="59485" spans="6:6" x14ac:dyDescent="0.3">
      <c r="F59485" s="193"/>
    </row>
    <row r="59486" spans="6:6" x14ac:dyDescent="0.3">
      <c r="F59486" s="193"/>
    </row>
    <row r="59487" spans="6:6" x14ac:dyDescent="0.3">
      <c r="F59487" s="193"/>
    </row>
    <row r="59488" spans="6:6" x14ac:dyDescent="0.3">
      <c r="F59488" s="193"/>
    </row>
    <row r="59489" spans="6:6" x14ac:dyDescent="0.3">
      <c r="F59489" s="193"/>
    </row>
    <row r="59490" spans="6:6" x14ac:dyDescent="0.3">
      <c r="F59490" s="193"/>
    </row>
    <row r="59491" spans="6:6" x14ac:dyDescent="0.3">
      <c r="F59491" s="193"/>
    </row>
    <row r="59492" spans="6:6" x14ac:dyDescent="0.3">
      <c r="F59492" s="193"/>
    </row>
    <row r="59493" spans="6:6" x14ac:dyDescent="0.3">
      <c r="F59493" s="193"/>
    </row>
    <row r="59494" spans="6:6" x14ac:dyDescent="0.3">
      <c r="F59494" s="193"/>
    </row>
    <row r="59495" spans="6:6" x14ac:dyDescent="0.3">
      <c r="F59495" s="193"/>
    </row>
    <row r="59496" spans="6:6" x14ac:dyDescent="0.3">
      <c r="F59496" s="193"/>
    </row>
    <row r="59497" spans="6:6" x14ac:dyDescent="0.3">
      <c r="F59497" s="193"/>
    </row>
    <row r="59498" spans="6:6" x14ac:dyDescent="0.3">
      <c r="F59498" s="193"/>
    </row>
    <row r="59499" spans="6:6" x14ac:dyDescent="0.3">
      <c r="F59499" s="193"/>
    </row>
    <row r="59500" spans="6:6" x14ac:dyDescent="0.3">
      <c r="F59500" s="193"/>
    </row>
    <row r="59501" spans="6:6" x14ac:dyDescent="0.3">
      <c r="F59501" s="193"/>
    </row>
    <row r="59502" spans="6:6" x14ac:dyDescent="0.3">
      <c r="F59502" s="193"/>
    </row>
    <row r="59503" spans="6:6" x14ac:dyDescent="0.3">
      <c r="F59503" s="193"/>
    </row>
    <row r="59504" spans="6:6" x14ac:dyDescent="0.3">
      <c r="F59504" s="193"/>
    </row>
    <row r="59505" spans="6:6" x14ac:dyDescent="0.3">
      <c r="F59505" s="193"/>
    </row>
    <row r="59506" spans="6:6" x14ac:dyDescent="0.3">
      <c r="F59506" s="193"/>
    </row>
    <row r="59507" spans="6:6" x14ac:dyDescent="0.3">
      <c r="F59507" s="193"/>
    </row>
    <row r="59508" spans="6:6" x14ac:dyDescent="0.3">
      <c r="F59508" s="193"/>
    </row>
    <row r="59509" spans="6:6" x14ac:dyDescent="0.3">
      <c r="F59509" s="193"/>
    </row>
    <row r="59510" spans="6:6" x14ac:dyDescent="0.3">
      <c r="F59510" s="193"/>
    </row>
    <row r="59511" spans="6:6" x14ac:dyDescent="0.3">
      <c r="F59511" s="193"/>
    </row>
    <row r="59512" spans="6:6" x14ac:dyDescent="0.3">
      <c r="F59512" s="193"/>
    </row>
    <row r="59513" spans="6:6" x14ac:dyDescent="0.3">
      <c r="F59513" s="193"/>
    </row>
    <row r="59514" spans="6:6" x14ac:dyDescent="0.3">
      <c r="F59514" s="193"/>
    </row>
    <row r="59515" spans="6:6" x14ac:dyDescent="0.3">
      <c r="F59515" s="193"/>
    </row>
    <row r="59516" spans="6:6" x14ac:dyDescent="0.3">
      <c r="F59516" s="193"/>
    </row>
    <row r="59517" spans="6:6" x14ac:dyDescent="0.3">
      <c r="F59517" s="193"/>
    </row>
    <row r="59518" spans="6:6" x14ac:dyDescent="0.3">
      <c r="F59518" s="193"/>
    </row>
    <row r="59519" spans="6:6" x14ac:dyDescent="0.3">
      <c r="F59519" s="193"/>
    </row>
    <row r="59520" spans="6:6" x14ac:dyDescent="0.3">
      <c r="F59520" s="193"/>
    </row>
    <row r="59521" spans="6:6" x14ac:dyDescent="0.3">
      <c r="F59521" s="193"/>
    </row>
    <row r="59522" spans="6:6" x14ac:dyDescent="0.3">
      <c r="F59522" s="193"/>
    </row>
    <row r="59523" spans="6:6" x14ac:dyDescent="0.3">
      <c r="F59523" s="193"/>
    </row>
    <row r="59524" spans="6:6" x14ac:dyDescent="0.3">
      <c r="F59524" s="193"/>
    </row>
    <row r="59525" spans="6:6" x14ac:dyDescent="0.3">
      <c r="F59525" s="193"/>
    </row>
    <row r="59526" spans="6:6" x14ac:dyDescent="0.3">
      <c r="F59526" s="193"/>
    </row>
    <row r="59527" spans="6:6" x14ac:dyDescent="0.3">
      <c r="F59527" s="193"/>
    </row>
    <row r="59528" spans="6:6" x14ac:dyDescent="0.3">
      <c r="F59528" s="193"/>
    </row>
    <row r="59529" spans="6:6" x14ac:dyDescent="0.3">
      <c r="F59529" s="193"/>
    </row>
    <row r="59530" spans="6:6" x14ac:dyDescent="0.3">
      <c r="F59530" s="193"/>
    </row>
    <row r="59531" spans="6:6" x14ac:dyDescent="0.3">
      <c r="F59531" s="193"/>
    </row>
    <row r="59532" spans="6:6" x14ac:dyDescent="0.3">
      <c r="F59532" s="193"/>
    </row>
    <row r="59533" spans="6:6" x14ac:dyDescent="0.3">
      <c r="F59533" s="193"/>
    </row>
    <row r="59534" spans="6:6" x14ac:dyDescent="0.3">
      <c r="F59534" s="193"/>
    </row>
    <row r="59535" spans="6:6" x14ac:dyDescent="0.3">
      <c r="F59535" s="193"/>
    </row>
    <row r="59536" spans="6:6" x14ac:dyDescent="0.3">
      <c r="F59536" s="193"/>
    </row>
    <row r="59537" spans="6:6" x14ac:dyDescent="0.3">
      <c r="F59537" s="193"/>
    </row>
    <row r="59538" spans="6:6" x14ac:dyDescent="0.3">
      <c r="F59538" s="193"/>
    </row>
    <row r="59539" spans="6:6" x14ac:dyDescent="0.3">
      <c r="F59539" s="193"/>
    </row>
    <row r="59540" spans="6:6" x14ac:dyDescent="0.3">
      <c r="F59540" s="193"/>
    </row>
    <row r="59541" spans="6:6" x14ac:dyDescent="0.3">
      <c r="F59541" s="193"/>
    </row>
    <row r="59542" spans="6:6" x14ac:dyDescent="0.3">
      <c r="F59542" s="193"/>
    </row>
    <row r="59543" spans="6:6" x14ac:dyDescent="0.3">
      <c r="F59543" s="193"/>
    </row>
    <row r="59544" spans="6:6" x14ac:dyDescent="0.3">
      <c r="F59544" s="193"/>
    </row>
    <row r="59545" spans="6:6" x14ac:dyDescent="0.3">
      <c r="F59545" s="193"/>
    </row>
    <row r="59546" spans="6:6" x14ac:dyDescent="0.3">
      <c r="F59546" s="193"/>
    </row>
    <row r="59547" spans="6:6" x14ac:dyDescent="0.3">
      <c r="F59547" s="193"/>
    </row>
    <row r="59548" spans="6:6" x14ac:dyDescent="0.3">
      <c r="F59548" s="193"/>
    </row>
    <row r="59549" spans="6:6" x14ac:dyDescent="0.3">
      <c r="F59549" s="193"/>
    </row>
    <row r="59550" spans="6:6" x14ac:dyDescent="0.3">
      <c r="F59550" s="193"/>
    </row>
    <row r="59551" spans="6:6" x14ac:dyDescent="0.3">
      <c r="F59551" s="193"/>
    </row>
    <row r="59552" spans="6:6" x14ac:dyDescent="0.3">
      <c r="F59552" s="193"/>
    </row>
    <row r="59553" spans="6:6" x14ac:dyDescent="0.3">
      <c r="F59553" s="193"/>
    </row>
    <row r="59554" spans="6:6" x14ac:dyDescent="0.3">
      <c r="F59554" s="193"/>
    </row>
    <row r="59555" spans="6:6" x14ac:dyDescent="0.3">
      <c r="F59555" s="193"/>
    </row>
    <row r="59556" spans="6:6" x14ac:dyDescent="0.3">
      <c r="F59556" s="193"/>
    </row>
    <row r="59557" spans="6:6" x14ac:dyDescent="0.3">
      <c r="F59557" s="193"/>
    </row>
    <row r="59558" spans="6:6" x14ac:dyDescent="0.3">
      <c r="F59558" s="193"/>
    </row>
    <row r="59559" spans="6:6" x14ac:dyDescent="0.3">
      <c r="F59559" s="193"/>
    </row>
    <row r="59560" spans="6:6" x14ac:dyDescent="0.3">
      <c r="F59560" s="193"/>
    </row>
    <row r="59561" spans="6:6" x14ac:dyDescent="0.3">
      <c r="F59561" s="193"/>
    </row>
    <row r="59562" spans="6:6" x14ac:dyDescent="0.3">
      <c r="F59562" s="193"/>
    </row>
    <row r="59563" spans="6:6" x14ac:dyDescent="0.3">
      <c r="F59563" s="193"/>
    </row>
    <row r="59564" spans="6:6" x14ac:dyDescent="0.3">
      <c r="F59564" s="193"/>
    </row>
    <row r="59565" spans="6:6" x14ac:dyDescent="0.3">
      <c r="F59565" s="193"/>
    </row>
    <row r="59566" spans="6:6" x14ac:dyDescent="0.3">
      <c r="F59566" s="193"/>
    </row>
    <row r="59567" spans="6:6" x14ac:dyDescent="0.3">
      <c r="F59567" s="193"/>
    </row>
    <row r="59568" spans="6:6" x14ac:dyDescent="0.3">
      <c r="F59568" s="193"/>
    </row>
    <row r="59569" spans="6:6" x14ac:dyDescent="0.3">
      <c r="F59569" s="193"/>
    </row>
    <row r="59570" spans="6:6" x14ac:dyDescent="0.3">
      <c r="F59570" s="193"/>
    </row>
    <row r="59571" spans="6:6" x14ac:dyDescent="0.3">
      <c r="F59571" s="193"/>
    </row>
    <row r="59572" spans="6:6" x14ac:dyDescent="0.3">
      <c r="F59572" s="193"/>
    </row>
    <row r="59573" spans="6:6" x14ac:dyDescent="0.3">
      <c r="F59573" s="193"/>
    </row>
    <row r="59574" spans="6:6" x14ac:dyDescent="0.3">
      <c r="F59574" s="193"/>
    </row>
    <row r="59575" spans="6:6" x14ac:dyDescent="0.3">
      <c r="F59575" s="193"/>
    </row>
    <row r="59576" spans="6:6" x14ac:dyDescent="0.3">
      <c r="F59576" s="193"/>
    </row>
    <row r="59577" spans="6:6" x14ac:dyDescent="0.3">
      <c r="F59577" s="193"/>
    </row>
    <row r="59578" spans="6:6" x14ac:dyDescent="0.3">
      <c r="F59578" s="193"/>
    </row>
    <row r="59579" spans="6:6" x14ac:dyDescent="0.3">
      <c r="F59579" s="193"/>
    </row>
    <row r="59580" spans="6:6" x14ac:dyDescent="0.3">
      <c r="F59580" s="193"/>
    </row>
    <row r="59581" spans="6:6" x14ac:dyDescent="0.3">
      <c r="F59581" s="193"/>
    </row>
    <row r="59582" spans="6:6" x14ac:dyDescent="0.3">
      <c r="F59582" s="193"/>
    </row>
    <row r="59583" spans="6:6" x14ac:dyDescent="0.3">
      <c r="F59583" s="193"/>
    </row>
    <row r="59584" spans="6:6" x14ac:dyDescent="0.3">
      <c r="F59584" s="193"/>
    </row>
    <row r="59585" spans="6:6" x14ac:dyDescent="0.3">
      <c r="F59585" s="193"/>
    </row>
    <row r="59586" spans="6:6" x14ac:dyDescent="0.3">
      <c r="F59586" s="193"/>
    </row>
    <row r="59587" spans="6:6" x14ac:dyDescent="0.3">
      <c r="F59587" s="193"/>
    </row>
    <row r="59588" spans="6:6" x14ac:dyDescent="0.3">
      <c r="F59588" s="193"/>
    </row>
    <row r="59589" spans="6:6" x14ac:dyDescent="0.3">
      <c r="F59589" s="193"/>
    </row>
    <row r="59590" spans="6:6" x14ac:dyDescent="0.3">
      <c r="F59590" s="193"/>
    </row>
    <row r="59591" spans="6:6" x14ac:dyDescent="0.3">
      <c r="F59591" s="193"/>
    </row>
    <row r="59592" spans="6:6" x14ac:dyDescent="0.3">
      <c r="F59592" s="193"/>
    </row>
    <row r="59593" spans="6:6" x14ac:dyDescent="0.3">
      <c r="F59593" s="193"/>
    </row>
    <row r="59594" spans="6:6" x14ac:dyDescent="0.3">
      <c r="F59594" s="193"/>
    </row>
    <row r="59595" spans="6:6" x14ac:dyDescent="0.3">
      <c r="F59595" s="193"/>
    </row>
    <row r="59596" spans="6:6" x14ac:dyDescent="0.3">
      <c r="F59596" s="193"/>
    </row>
    <row r="59597" spans="6:6" x14ac:dyDescent="0.3">
      <c r="F59597" s="193"/>
    </row>
    <row r="59598" spans="6:6" x14ac:dyDescent="0.3">
      <c r="F59598" s="193"/>
    </row>
    <row r="59599" spans="6:6" x14ac:dyDescent="0.3">
      <c r="F59599" s="193"/>
    </row>
    <row r="59600" spans="6:6" x14ac:dyDescent="0.3">
      <c r="F59600" s="193"/>
    </row>
    <row r="59601" spans="6:6" x14ac:dyDescent="0.3">
      <c r="F59601" s="193"/>
    </row>
    <row r="59602" spans="6:6" x14ac:dyDescent="0.3">
      <c r="F59602" s="193"/>
    </row>
    <row r="59603" spans="6:6" x14ac:dyDescent="0.3">
      <c r="F59603" s="193"/>
    </row>
    <row r="59604" spans="6:6" x14ac:dyDescent="0.3">
      <c r="F59604" s="193"/>
    </row>
    <row r="59605" spans="6:6" x14ac:dyDescent="0.3">
      <c r="F59605" s="193"/>
    </row>
    <row r="59606" spans="6:6" x14ac:dyDescent="0.3">
      <c r="F59606" s="193"/>
    </row>
    <row r="59607" spans="6:6" x14ac:dyDescent="0.3">
      <c r="F59607" s="193"/>
    </row>
    <row r="59608" spans="6:6" x14ac:dyDescent="0.3">
      <c r="F59608" s="193"/>
    </row>
    <row r="59609" spans="6:6" x14ac:dyDescent="0.3">
      <c r="F59609" s="193"/>
    </row>
    <row r="59610" spans="6:6" x14ac:dyDescent="0.3">
      <c r="F59610" s="193"/>
    </row>
    <row r="59611" spans="6:6" x14ac:dyDescent="0.3">
      <c r="F59611" s="193"/>
    </row>
    <row r="59612" spans="6:6" x14ac:dyDescent="0.3">
      <c r="F59612" s="193"/>
    </row>
    <row r="59613" spans="6:6" x14ac:dyDescent="0.3">
      <c r="F59613" s="193"/>
    </row>
    <row r="59614" spans="6:6" x14ac:dyDescent="0.3">
      <c r="F59614" s="193"/>
    </row>
    <row r="59615" spans="6:6" x14ac:dyDescent="0.3">
      <c r="F59615" s="193"/>
    </row>
    <row r="59616" spans="6:6" x14ac:dyDescent="0.3">
      <c r="F59616" s="193"/>
    </row>
    <row r="59617" spans="6:6" x14ac:dyDescent="0.3">
      <c r="F59617" s="193"/>
    </row>
    <row r="59618" spans="6:6" x14ac:dyDescent="0.3">
      <c r="F59618" s="193"/>
    </row>
    <row r="59619" spans="6:6" x14ac:dyDescent="0.3">
      <c r="F59619" s="193"/>
    </row>
    <row r="59620" spans="6:6" x14ac:dyDescent="0.3">
      <c r="F59620" s="193"/>
    </row>
    <row r="59621" spans="6:6" x14ac:dyDescent="0.3">
      <c r="F59621" s="193"/>
    </row>
    <row r="59622" spans="6:6" x14ac:dyDescent="0.3">
      <c r="F59622" s="193"/>
    </row>
    <row r="59623" spans="6:6" x14ac:dyDescent="0.3">
      <c r="F59623" s="193"/>
    </row>
    <row r="59624" spans="6:6" x14ac:dyDescent="0.3">
      <c r="F59624" s="193"/>
    </row>
    <row r="59625" spans="6:6" x14ac:dyDescent="0.3">
      <c r="F59625" s="193"/>
    </row>
    <row r="59626" spans="6:6" x14ac:dyDescent="0.3">
      <c r="F59626" s="193"/>
    </row>
    <row r="59627" spans="6:6" x14ac:dyDescent="0.3">
      <c r="F59627" s="193"/>
    </row>
    <row r="59628" spans="6:6" x14ac:dyDescent="0.3">
      <c r="F59628" s="193"/>
    </row>
    <row r="59629" spans="6:6" x14ac:dyDescent="0.3">
      <c r="F59629" s="193"/>
    </row>
    <row r="59630" spans="6:6" x14ac:dyDescent="0.3">
      <c r="F59630" s="193"/>
    </row>
    <row r="59631" spans="6:6" x14ac:dyDescent="0.3">
      <c r="F59631" s="193"/>
    </row>
    <row r="59632" spans="6:6" x14ac:dyDescent="0.3">
      <c r="F59632" s="193"/>
    </row>
    <row r="59633" spans="6:6" x14ac:dyDescent="0.3">
      <c r="F59633" s="193"/>
    </row>
    <row r="59634" spans="6:6" x14ac:dyDescent="0.3">
      <c r="F59634" s="193"/>
    </row>
    <row r="59635" spans="6:6" x14ac:dyDescent="0.3">
      <c r="F59635" s="193"/>
    </row>
    <row r="59636" spans="6:6" x14ac:dyDescent="0.3">
      <c r="F59636" s="193"/>
    </row>
    <row r="59637" spans="6:6" x14ac:dyDescent="0.3">
      <c r="F59637" s="193"/>
    </row>
    <row r="59638" spans="6:6" x14ac:dyDescent="0.3">
      <c r="F59638" s="193"/>
    </row>
    <row r="59639" spans="6:6" x14ac:dyDescent="0.3">
      <c r="F59639" s="193"/>
    </row>
    <row r="59640" spans="6:6" x14ac:dyDescent="0.3">
      <c r="F59640" s="193"/>
    </row>
    <row r="59641" spans="6:6" x14ac:dyDescent="0.3">
      <c r="F59641" s="193"/>
    </row>
    <row r="59642" spans="6:6" x14ac:dyDescent="0.3">
      <c r="F59642" s="193"/>
    </row>
    <row r="59643" spans="6:6" x14ac:dyDescent="0.3">
      <c r="F59643" s="193"/>
    </row>
    <row r="59644" spans="6:6" x14ac:dyDescent="0.3">
      <c r="F59644" s="193"/>
    </row>
    <row r="59645" spans="6:6" x14ac:dyDescent="0.3">
      <c r="F59645" s="193"/>
    </row>
    <row r="59646" spans="6:6" x14ac:dyDescent="0.3">
      <c r="F59646" s="193"/>
    </row>
    <row r="59647" spans="6:6" x14ac:dyDescent="0.3">
      <c r="F59647" s="193"/>
    </row>
    <row r="59648" spans="6:6" x14ac:dyDescent="0.3">
      <c r="F59648" s="193"/>
    </row>
    <row r="59649" spans="6:6" x14ac:dyDescent="0.3">
      <c r="F59649" s="193"/>
    </row>
    <row r="59650" spans="6:6" x14ac:dyDescent="0.3">
      <c r="F59650" s="193"/>
    </row>
    <row r="59651" spans="6:6" x14ac:dyDescent="0.3">
      <c r="F59651" s="193"/>
    </row>
    <row r="59652" spans="6:6" x14ac:dyDescent="0.3">
      <c r="F59652" s="193"/>
    </row>
    <row r="59653" spans="6:6" x14ac:dyDescent="0.3">
      <c r="F59653" s="193"/>
    </row>
    <row r="59654" spans="6:6" x14ac:dyDescent="0.3">
      <c r="F59654" s="193"/>
    </row>
    <row r="59655" spans="6:6" x14ac:dyDescent="0.3">
      <c r="F59655" s="193"/>
    </row>
    <row r="59656" spans="6:6" x14ac:dyDescent="0.3">
      <c r="F59656" s="193"/>
    </row>
    <row r="59657" spans="6:6" x14ac:dyDescent="0.3">
      <c r="F59657" s="193"/>
    </row>
    <row r="59658" spans="6:6" x14ac:dyDescent="0.3">
      <c r="F59658" s="193"/>
    </row>
    <row r="59659" spans="6:6" x14ac:dyDescent="0.3">
      <c r="F59659" s="193"/>
    </row>
    <row r="59660" spans="6:6" x14ac:dyDescent="0.3">
      <c r="F59660" s="193"/>
    </row>
    <row r="59661" spans="6:6" x14ac:dyDescent="0.3">
      <c r="F59661" s="193"/>
    </row>
    <row r="59662" spans="6:6" x14ac:dyDescent="0.3">
      <c r="F59662" s="193"/>
    </row>
    <row r="59663" spans="6:6" x14ac:dyDescent="0.3">
      <c r="F59663" s="193"/>
    </row>
    <row r="59664" spans="6:6" x14ac:dyDescent="0.3">
      <c r="F59664" s="193"/>
    </row>
    <row r="59665" spans="6:6" x14ac:dyDescent="0.3">
      <c r="F59665" s="193"/>
    </row>
    <row r="59666" spans="6:6" x14ac:dyDescent="0.3">
      <c r="F59666" s="193"/>
    </row>
    <row r="59667" spans="6:6" x14ac:dyDescent="0.3">
      <c r="F59667" s="193"/>
    </row>
    <row r="59668" spans="6:6" x14ac:dyDescent="0.3">
      <c r="F59668" s="193"/>
    </row>
    <row r="59669" spans="6:6" x14ac:dyDescent="0.3">
      <c r="F59669" s="193"/>
    </row>
    <row r="59670" spans="6:6" x14ac:dyDescent="0.3">
      <c r="F59670" s="193"/>
    </row>
    <row r="59671" spans="6:6" x14ac:dyDescent="0.3">
      <c r="F59671" s="193"/>
    </row>
    <row r="59672" spans="6:6" x14ac:dyDescent="0.3">
      <c r="F59672" s="193"/>
    </row>
    <row r="59673" spans="6:6" x14ac:dyDescent="0.3">
      <c r="F59673" s="193"/>
    </row>
    <row r="59674" spans="6:6" x14ac:dyDescent="0.3">
      <c r="F59674" s="193"/>
    </row>
    <row r="59675" spans="6:6" x14ac:dyDescent="0.3">
      <c r="F59675" s="193"/>
    </row>
    <row r="59676" spans="6:6" x14ac:dyDescent="0.3">
      <c r="F59676" s="193"/>
    </row>
    <row r="59677" spans="6:6" x14ac:dyDescent="0.3">
      <c r="F59677" s="193"/>
    </row>
    <row r="59678" spans="6:6" x14ac:dyDescent="0.3">
      <c r="F59678" s="193"/>
    </row>
    <row r="59679" spans="6:6" x14ac:dyDescent="0.3">
      <c r="F59679" s="193"/>
    </row>
    <row r="59680" spans="6:6" x14ac:dyDescent="0.3">
      <c r="F59680" s="193"/>
    </row>
    <row r="59681" spans="6:6" x14ac:dyDescent="0.3">
      <c r="F59681" s="193"/>
    </row>
    <row r="59682" spans="6:6" x14ac:dyDescent="0.3">
      <c r="F59682" s="193"/>
    </row>
    <row r="59683" spans="6:6" x14ac:dyDescent="0.3">
      <c r="F59683" s="193"/>
    </row>
    <row r="59684" spans="6:6" x14ac:dyDescent="0.3">
      <c r="F59684" s="193"/>
    </row>
    <row r="59685" spans="6:6" x14ac:dyDescent="0.3">
      <c r="F59685" s="193"/>
    </row>
    <row r="59686" spans="6:6" x14ac:dyDescent="0.3">
      <c r="F59686" s="193"/>
    </row>
    <row r="59687" spans="6:6" x14ac:dyDescent="0.3">
      <c r="F59687" s="193"/>
    </row>
    <row r="59688" spans="6:6" x14ac:dyDescent="0.3">
      <c r="F59688" s="193"/>
    </row>
    <row r="59689" spans="6:6" x14ac:dyDescent="0.3">
      <c r="F59689" s="193"/>
    </row>
    <row r="59690" spans="6:6" x14ac:dyDescent="0.3">
      <c r="F59690" s="193"/>
    </row>
    <row r="59691" spans="6:6" x14ac:dyDescent="0.3">
      <c r="F59691" s="193"/>
    </row>
    <row r="59692" spans="6:6" x14ac:dyDescent="0.3">
      <c r="F59692" s="193"/>
    </row>
    <row r="59693" spans="6:6" x14ac:dyDescent="0.3">
      <c r="F59693" s="193"/>
    </row>
    <row r="59694" spans="6:6" x14ac:dyDescent="0.3">
      <c r="F59694" s="193"/>
    </row>
    <row r="59695" spans="6:6" x14ac:dyDescent="0.3">
      <c r="F59695" s="193"/>
    </row>
    <row r="59696" spans="6:6" x14ac:dyDescent="0.3">
      <c r="F59696" s="193"/>
    </row>
    <row r="59697" spans="6:6" x14ac:dyDescent="0.3">
      <c r="F59697" s="193"/>
    </row>
    <row r="59698" spans="6:6" x14ac:dyDescent="0.3">
      <c r="F59698" s="193"/>
    </row>
    <row r="59699" spans="6:6" x14ac:dyDescent="0.3">
      <c r="F59699" s="193"/>
    </row>
    <row r="59700" spans="6:6" x14ac:dyDescent="0.3">
      <c r="F59700" s="193"/>
    </row>
    <row r="59701" spans="6:6" x14ac:dyDescent="0.3">
      <c r="F59701" s="193"/>
    </row>
    <row r="59702" spans="6:6" x14ac:dyDescent="0.3">
      <c r="F59702" s="193"/>
    </row>
    <row r="59703" spans="6:6" x14ac:dyDescent="0.3">
      <c r="F59703" s="193"/>
    </row>
    <row r="59704" spans="6:6" x14ac:dyDescent="0.3">
      <c r="F59704" s="193"/>
    </row>
    <row r="59705" spans="6:6" x14ac:dyDescent="0.3">
      <c r="F59705" s="193"/>
    </row>
    <row r="59706" spans="6:6" x14ac:dyDescent="0.3">
      <c r="F59706" s="193"/>
    </row>
    <row r="59707" spans="6:6" x14ac:dyDescent="0.3">
      <c r="F59707" s="193"/>
    </row>
    <row r="59708" spans="6:6" x14ac:dyDescent="0.3">
      <c r="F59708" s="193"/>
    </row>
    <row r="59709" spans="6:6" x14ac:dyDescent="0.3">
      <c r="F59709" s="193"/>
    </row>
    <row r="59710" spans="6:6" x14ac:dyDescent="0.3">
      <c r="F59710" s="193"/>
    </row>
    <row r="59711" spans="6:6" x14ac:dyDescent="0.3">
      <c r="F59711" s="193"/>
    </row>
    <row r="59712" spans="6:6" x14ac:dyDescent="0.3">
      <c r="F59712" s="193"/>
    </row>
    <row r="59713" spans="6:6" x14ac:dyDescent="0.3">
      <c r="F59713" s="193"/>
    </row>
    <row r="59714" spans="6:6" x14ac:dyDescent="0.3">
      <c r="F59714" s="193"/>
    </row>
    <row r="59715" spans="6:6" x14ac:dyDescent="0.3">
      <c r="F59715" s="193"/>
    </row>
    <row r="59716" spans="6:6" x14ac:dyDescent="0.3">
      <c r="F59716" s="193"/>
    </row>
    <row r="59717" spans="6:6" x14ac:dyDescent="0.3">
      <c r="F59717" s="193"/>
    </row>
    <row r="59718" spans="6:6" x14ac:dyDescent="0.3">
      <c r="F59718" s="193"/>
    </row>
    <row r="59719" spans="6:6" x14ac:dyDescent="0.3">
      <c r="F59719" s="193"/>
    </row>
    <row r="59720" spans="6:6" x14ac:dyDescent="0.3">
      <c r="F59720" s="193"/>
    </row>
    <row r="59721" spans="6:6" x14ac:dyDescent="0.3">
      <c r="F59721" s="193"/>
    </row>
    <row r="59722" spans="6:6" x14ac:dyDescent="0.3">
      <c r="F59722" s="193"/>
    </row>
    <row r="59723" spans="6:6" x14ac:dyDescent="0.3">
      <c r="F59723" s="193"/>
    </row>
    <row r="59724" spans="6:6" x14ac:dyDescent="0.3">
      <c r="F59724" s="193"/>
    </row>
    <row r="59725" spans="6:6" x14ac:dyDescent="0.3">
      <c r="F59725" s="193"/>
    </row>
    <row r="59726" spans="6:6" x14ac:dyDescent="0.3">
      <c r="F59726" s="193"/>
    </row>
    <row r="59727" spans="6:6" x14ac:dyDescent="0.3">
      <c r="F59727" s="193"/>
    </row>
    <row r="59728" spans="6:6" x14ac:dyDescent="0.3">
      <c r="F59728" s="193"/>
    </row>
    <row r="59729" spans="6:6" x14ac:dyDescent="0.3">
      <c r="F59729" s="193"/>
    </row>
    <row r="59730" spans="6:6" x14ac:dyDescent="0.3">
      <c r="F59730" s="193"/>
    </row>
    <row r="59731" spans="6:6" x14ac:dyDescent="0.3">
      <c r="F59731" s="193"/>
    </row>
    <row r="59732" spans="6:6" x14ac:dyDescent="0.3">
      <c r="F59732" s="193"/>
    </row>
    <row r="59733" spans="6:6" x14ac:dyDescent="0.3">
      <c r="F59733" s="193"/>
    </row>
    <row r="59734" spans="6:6" x14ac:dyDescent="0.3">
      <c r="F59734" s="193"/>
    </row>
    <row r="59735" spans="6:6" x14ac:dyDescent="0.3">
      <c r="F59735" s="193"/>
    </row>
    <row r="59736" spans="6:6" x14ac:dyDescent="0.3">
      <c r="F59736" s="193"/>
    </row>
    <row r="59737" spans="6:6" x14ac:dyDescent="0.3">
      <c r="F59737" s="193"/>
    </row>
    <row r="59738" spans="6:6" x14ac:dyDescent="0.3">
      <c r="F59738" s="193"/>
    </row>
    <row r="59739" spans="6:6" x14ac:dyDescent="0.3">
      <c r="F59739" s="193"/>
    </row>
    <row r="59740" spans="6:6" x14ac:dyDescent="0.3">
      <c r="F59740" s="193"/>
    </row>
    <row r="59741" spans="6:6" x14ac:dyDescent="0.3">
      <c r="F59741" s="193"/>
    </row>
    <row r="59742" spans="6:6" x14ac:dyDescent="0.3">
      <c r="F59742" s="193"/>
    </row>
    <row r="59743" spans="6:6" x14ac:dyDescent="0.3">
      <c r="F59743" s="193"/>
    </row>
    <row r="59744" spans="6:6" x14ac:dyDescent="0.3">
      <c r="F59744" s="193"/>
    </row>
    <row r="59745" spans="6:6" x14ac:dyDescent="0.3">
      <c r="F59745" s="193"/>
    </row>
    <row r="59746" spans="6:6" x14ac:dyDescent="0.3">
      <c r="F59746" s="193"/>
    </row>
    <row r="59747" spans="6:6" x14ac:dyDescent="0.3">
      <c r="F59747" s="193"/>
    </row>
    <row r="59748" spans="6:6" x14ac:dyDescent="0.3">
      <c r="F59748" s="193"/>
    </row>
    <row r="59749" spans="6:6" x14ac:dyDescent="0.3">
      <c r="F59749" s="193"/>
    </row>
    <row r="59750" spans="6:6" x14ac:dyDescent="0.3">
      <c r="F59750" s="193"/>
    </row>
    <row r="59751" spans="6:6" x14ac:dyDescent="0.3">
      <c r="F59751" s="193"/>
    </row>
    <row r="59752" spans="6:6" x14ac:dyDescent="0.3">
      <c r="F59752" s="193"/>
    </row>
    <row r="59753" spans="6:6" x14ac:dyDescent="0.3">
      <c r="F59753" s="193"/>
    </row>
    <row r="59754" spans="6:6" x14ac:dyDescent="0.3">
      <c r="F59754" s="193"/>
    </row>
    <row r="59755" spans="6:6" x14ac:dyDescent="0.3">
      <c r="F59755" s="193"/>
    </row>
    <row r="59756" spans="6:6" x14ac:dyDescent="0.3">
      <c r="F59756" s="193"/>
    </row>
    <row r="59757" spans="6:6" x14ac:dyDescent="0.3">
      <c r="F59757" s="193"/>
    </row>
    <row r="59758" spans="6:6" x14ac:dyDescent="0.3">
      <c r="F59758" s="193"/>
    </row>
    <row r="59759" spans="6:6" x14ac:dyDescent="0.3">
      <c r="F59759" s="193"/>
    </row>
    <row r="59760" spans="6:6" x14ac:dyDescent="0.3">
      <c r="F59760" s="193"/>
    </row>
    <row r="59761" spans="6:6" x14ac:dyDescent="0.3">
      <c r="F59761" s="193"/>
    </row>
    <row r="59762" spans="6:6" x14ac:dyDescent="0.3">
      <c r="F59762" s="193"/>
    </row>
    <row r="59763" spans="6:6" x14ac:dyDescent="0.3">
      <c r="F59763" s="193"/>
    </row>
    <row r="59764" spans="6:6" x14ac:dyDescent="0.3">
      <c r="F59764" s="193"/>
    </row>
    <row r="59765" spans="6:6" x14ac:dyDescent="0.3">
      <c r="F59765" s="193"/>
    </row>
    <row r="59766" spans="6:6" x14ac:dyDescent="0.3">
      <c r="F59766" s="193"/>
    </row>
    <row r="59767" spans="6:6" x14ac:dyDescent="0.3">
      <c r="F59767" s="193"/>
    </row>
    <row r="59768" spans="6:6" x14ac:dyDescent="0.3">
      <c r="F59768" s="193"/>
    </row>
    <row r="59769" spans="6:6" x14ac:dyDescent="0.3">
      <c r="F59769" s="193"/>
    </row>
    <row r="59770" spans="6:6" x14ac:dyDescent="0.3">
      <c r="F59770" s="193"/>
    </row>
    <row r="59771" spans="6:6" x14ac:dyDescent="0.3">
      <c r="F59771" s="193"/>
    </row>
    <row r="59772" spans="6:6" x14ac:dyDescent="0.3">
      <c r="F59772" s="193"/>
    </row>
    <row r="59773" spans="6:6" x14ac:dyDescent="0.3">
      <c r="F59773" s="193"/>
    </row>
    <row r="59774" spans="6:6" x14ac:dyDescent="0.3">
      <c r="F59774" s="193"/>
    </row>
    <row r="59775" spans="6:6" x14ac:dyDescent="0.3">
      <c r="F59775" s="193"/>
    </row>
    <row r="59776" spans="6:6" x14ac:dyDescent="0.3">
      <c r="F59776" s="193"/>
    </row>
    <row r="59777" spans="6:6" x14ac:dyDescent="0.3">
      <c r="F59777" s="193"/>
    </row>
    <row r="59778" spans="6:6" x14ac:dyDescent="0.3">
      <c r="F59778" s="193"/>
    </row>
    <row r="59779" spans="6:6" x14ac:dyDescent="0.3">
      <c r="F59779" s="193"/>
    </row>
    <row r="59780" spans="6:6" x14ac:dyDescent="0.3">
      <c r="F59780" s="193"/>
    </row>
    <row r="59781" spans="6:6" x14ac:dyDescent="0.3">
      <c r="F59781" s="193"/>
    </row>
    <row r="59782" spans="6:6" x14ac:dyDescent="0.3">
      <c r="F59782" s="193"/>
    </row>
    <row r="59783" spans="6:6" x14ac:dyDescent="0.3">
      <c r="F59783" s="193"/>
    </row>
    <row r="59784" spans="6:6" x14ac:dyDescent="0.3">
      <c r="F59784" s="193"/>
    </row>
    <row r="59785" spans="6:6" x14ac:dyDescent="0.3">
      <c r="F59785" s="193"/>
    </row>
    <row r="59786" spans="6:6" x14ac:dyDescent="0.3">
      <c r="F59786" s="193"/>
    </row>
    <row r="59787" spans="6:6" x14ac:dyDescent="0.3">
      <c r="F59787" s="193"/>
    </row>
    <row r="59788" spans="6:6" x14ac:dyDescent="0.3">
      <c r="F59788" s="193"/>
    </row>
    <row r="59789" spans="6:6" x14ac:dyDescent="0.3">
      <c r="F59789" s="193"/>
    </row>
    <row r="59790" spans="6:6" x14ac:dyDescent="0.3">
      <c r="F59790" s="193"/>
    </row>
    <row r="59791" spans="6:6" x14ac:dyDescent="0.3">
      <c r="F59791" s="193"/>
    </row>
    <row r="59792" spans="6:6" x14ac:dyDescent="0.3">
      <c r="F59792" s="193"/>
    </row>
    <row r="59793" spans="6:6" x14ac:dyDescent="0.3">
      <c r="F59793" s="193"/>
    </row>
    <row r="59794" spans="6:6" x14ac:dyDescent="0.3">
      <c r="F59794" s="193"/>
    </row>
    <row r="59795" spans="6:6" x14ac:dyDescent="0.3">
      <c r="F59795" s="193"/>
    </row>
    <row r="59796" spans="6:6" x14ac:dyDescent="0.3">
      <c r="F59796" s="193"/>
    </row>
    <row r="59797" spans="6:6" x14ac:dyDescent="0.3">
      <c r="F59797" s="193"/>
    </row>
    <row r="59798" spans="6:6" x14ac:dyDescent="0.3">
      <c r="F59798" s="193"/>
    </row>
    <row r="59799" spans="6:6" x14ac:dyDescent="0.3">
      <c r="F59799" s="193"/>
    </row>
    <row r="59800" spans="6:6" x14ac:dyDescent="0.3">
      <c r="F59800" s="193"/>
    </row>
    <row r="59801" spans="6:6" x14ac:dyDescent="0.3">
      <c r="F59801" s="193"/>
    </row>
    <row r="59802" spans="6:6" x14ac:dyDescent="0.3">
      <c r="F59802" s="193"/>
    </row>
    <row r="59803" spans="6:6" x14ac:dyDescent="0.3">
      <c r="F59803" s="193"/>
    </row>
    <row r="59804" spans="6:6" x14ac:dyDescent="0.3">
      <c r="F59804" s="193"/>
    </row>
    <row r="59805" spans="6:6" x14ac:dyDescent="0.3">
      <c r="F59805" s="193"/>
    </row>
    <row r="59806" spans="6:6" x14ac:dyDescent="0.3">
      <c r="F59806" s="193"/>
    </row>
    <row r="59807" spans="6:6" x14ac:dyDescent="0.3">
      <c r="F59807" s="193"/>
    </row>
    <row r="59808" spans="6:6" x14ac:dyDescent="0.3">
      <c r="F59808" s="193"/>
    </row>
    <row r="59809" spans="6:6" x14ac:dyDescent="0.3">
      <c r="F59809" s="193"/>
    </row>
    <row r="59810" spans="6:6" x14ac:dyDescent="0.3">
      <c r="F59810" s="193"/>
    </row>
    <row r="59811" spans="6:6" x14ac:dyDescent="0.3">
      <c r="F59811" s="193"/>
    </row>
    <row r="59812" spans="6:6" x14ac:dyDescent="0.3">
      <c r="F59812" s="193"/>
    </row>
    <row r="59813" spans="6:6" x14ac:dyDescent="0.3">
      <c r="F59813" s="193"/>
    </row>
    <row r="59814" spans="6:6" x14ac:dyDescent="0.3">
      <c r="F59814" s="193"/>
    </row>
    <row r="59815" spans="6:6" x14ac:dyDescent="0.3">
      <c r="F59815" s="193"/>
    </row>
    <row r="59816" spans="6:6" x14ac:dyDescent="0.3">
      <c r="F59816" s="193"/>
    </row>
    <row r="59817" spans="6:6" x14ac:dyDescent="0.3">
      <c r="F59817" s="193"/>
    </row>
    <row r="59818" spans="6:6" x14ac:dyDescent="0.3">
      <c r="F59818" s="193"/>
    </row>
    <row r="59819" spans="6:6" x14ac:dyDescent="0.3">
      <c r="F59819" s="193"/>
    </row>
    <row r="59820" spans="6:6" x14ac:dyDescent="0.3">
      <c r="F59820" s="193"/>
    </row>
    <row r="59821" spans="6:6" x14ac:dyDescent="0.3">
      <c r="F59821" s="193"/>
    </row>
    <row r="59822" spans="6:6" x14ac:dyDescent="0.3">
      <c r="F59822" s="193"/>
    </row>
    <row r="59823" spans="6:6" x14ac:dyDescent="0.3">
      <c r="F59823" s="193"/>
    </row>
    <row r="59824" spans="6:6" x14ac:dyDescent="0.3">
      <c r="F59824" s="193"/>
    </row>
    <row r="59825" spans="6:6" x14ac:dyDescent="0.3">
      <c r="F59825" s="193"/>
    </row>
    <row r="59826" spans="6:6" x14ac:dyDescent="0.3">
      <c r="F59826" s="193"/>
    </row>
    <row r="59827" spans="6:6" x14ac:dyDescent="0.3">
      <c r="F59827" s="193"/>
    </row>
    <row r="59828" spans="6:6" x14ac:dyDescent="0.3">
      <c r="F59828" s="193"/>
    </row>
    <row r="59829" spans="6:6" x14ac:dyDescent="0.3">
      <c r="F59829" s="193"/>
    </row>
    <row r="59830" spans="6:6" x14ac:dyDescent="0.3">
      <c r="F59830" s="193"/>
    </row>
    <row r="59831" spans="6:6" x14ac:dyDescent="0.3">
      <c r="F59831" s="193"/>
    </row>
    <row r="59832" spans="6:6" x14ac:dyDescent="0.3">
      <c r="F59832" s="193"/>
    </row>
    <row r="59833" spans="6:6" x14ac:dyDescent="0.3">
      <c r="F59833" s="193"/>
    </row>
    <row r="59834" spans="6:6" x14ac:dyDescent="0.3">
      <c r="F59834" s="193"/>
    </row>
    <row r="59835" spans="6:6" x14ac:dyDescent="0.3">
      <c r="F59835" s="193"/>
    </row>
    <row r="59836" spans="6:6" x14ac:dyDescent="0.3">
      <c r="F59836" s="193"/>
    </row>
    <row r="59837" spans="6:6" x14ac:dyDescent="0.3">
      <c r="F59837" s="193"/>
    </row>
    <row r="59838" spans="6:6" x14ac:dyDescent="0.3">
      <c r="F59838" s="193"/>
    </row>
    <row r="59839" spans="6:6" x14ac:dyDescent="0.3">
      <c r="F59839" s="193"/>
    </row>
    <row r="59840" spans="6:6" x14ac:dyDescent="0.3">
      <c r="F59840" s="193"/>
    </row>
    <row r="59841" spans="6:6" x14ac:dyDescent="0.3">
      <c r="F59841" s="193"/>
    </row>
    <row r="59842" spans="6:6" x14ac:dyDescent="0.3">
      <c r="F59842" s="193"/>
    </row>
    <row r="59843" spans="6:6" x14ac:dyDescent="0.3">
      <c r="F59843" s="193"/>
    </row>
    <row r="59844" spans="6:6" x14ac:dyDescent="0.3">
      <c r="F59844" s="193"/>
    </row>
    <row r="59845" spans="6:6" x14ac:dyDescent="0.3">
      <c r="F59845" s="193"/>
    </row>
    <row r="59846" spans="6:6" x14ac:dyDescent="0.3">
      <c r="F59846" s="193"/>
    </row>
    <row r="59847" spans="6:6" x14ac:dyDescent="0.3">
      <c r="F59847" s="193"/>
    </row>
    <row r="59848" spans="6:6" x14ac:dyDescent="0.3">
      <c r="F59848" s="193"/>
    </row>
    <row r="59849" spans="6:6" x14ac:dyDescent="0.3">
      <c r="F59849" s="193"/>
    </row>
    <row r="59850" spans="6:6" x14ac:dyDescent="0.3">
      <c r="F59850" s="193"/>
    </row>
    <row r="59851" spans="6:6" x14ac:dyDescent="0.3">
      <c r="F59851" s="193"/>
    </row>
    <row r="59852" spans="6:6" x14ac:dyDescent="0.3">
      <c r="F59852" s="193"/>
    </row>
    <row r="59853" spans="6:6" x14ac:dyDescent="0.3">
      <c r="F59853" s="193"/>
    </row>
    <row r="59854" spans="6:6" x14ac:dyDescent="0.3">
      <c r="F59854" s="193"/>
    </row>
    <row r="59855" spans="6:6" x14ac:dyDescent="0.3">
      <c r="F59855" s="193"/>
    </row>
    <row r="59856" spans="6:6" x14ac:dyDescent="0.3">
      <c r="F59856" s="193"/>
    </row>
    <row r="59857" spans="6:6" x14ac:dyDescent="0.3">
      <c r="F59857" s="193"/>
    </row>
    <row r="59858" spans="6:6" x14ac:dyDescent="0.3">
      <c r="F59858" s="193"/>
    </row>
    <row r="59859" spans="6:6" x14ac:dyDescent="0.3">
      <c r="F59859" s="193"/>
    </row>
    <row r="59860" spans="6:6" x14ac:dyDescent="0.3">
      <c r="F59860" s="193"/>
    </row>
    <row r="59861" spans="6:6" x14ac:dyDescent="0.3">
      <c r="F59861" s="193"/>
    </row>
    <row r="59862" spans="6:6" x14ac:dyDescent="0.3">
      <c r="F59862" s="193"/>
    </row>
    <row r="59863" spans="6:6" x14ac:dyDescent="0.3">
      <c r="F59863" s="193"/>
    </row>
    <row r="59864" spans="6:6" x14ac:dyDescent="0.3">
      <c r="F59864" s="193"/>
    </row>
    <row r="59865" spans="6:6" x14ac:dyDescent="0.3">
      <c r="F59865" s="193"/>
    </row>
    <row r="59866" spans="6:6" x14ac:dyDescent="0.3">
      <c r="F59866" s="193"/>
    </row>
    <row r="59867" spans="6:6" x14ac:dyDescent="0.3">
      <c r="F59867" s="193"/>
    </row>
    <row r="59868" spans="6:6" x14ac:dyDescent="0.3">
      <c r="F59868" s="193"/>
    </row>
    <row r="59869" spans="6:6" x14ac:dyDescent="0.3">
      <c r="F59869" s="193"/>
    </row>
    <row r="59870" spans="6:6" x14ac:dyDescent="0.3">
      <c r="F59870" s="193"/>
    </row>
    <row r="59871" spans="6:6" x14ac:dyDescent="0.3">
      <c r="F59871" s="193"/>
    </row>
    <row r="59872" spans="6:6" x14ac:dyDescent="0.3">
      <c r="F59872" s="193"/>
    </row>
    <row r="59873" spans="6:6" x14ac:dyDescent="0.3">
      <c r="F59873" s="193"/>
    </row>
    <row r="59874" spans="6:6" x14ac:dyDescent="0.3">
      <c r="F59874" s="193"/>
    </row>
    <row r="59875" spans="6:6" x14ac:dyDescent="0.3">
      <c r="F59875" s="193"/>
    </row>
    <row r="59876" spans="6:6" x14ac:dyDescent="0.3">
      <c r="F59876" s="193"/>
    </row>
    <row r="59877" spans="6:6" x14ac:dyDescent="0.3">
      <c r="F59877" s="193"/>
    </row>
    <row r="59878" spans="6:6" x14ac:dyDescent="0.3">
      <c r="F59878" s="193"/>
    </row>
    <row r="59879" spans="6:6" x14ac:dyDescent="0.3">
      <c r="F59879" s="193"/>
    </row>
    <row r="59880" spans="6:6" x14ac:dyDescent="0.3">
      <c r="F59880" s="193"/>
    </row>
    <row r="59881" spans="6:6" x14ac:dyDescent="0.3">
      <c r="F59881" s="193"/>
    </row>
    <row r="59882" spans="6:6" x14ac:dyDescent="0.3">
      <c r="F59882" s="193"/>
    </row>
    <row r="59883" spans="6:6" x14ac:dyDescent="0.3">
      <c r="F59883" s="193"/>
    </row>
    <row r="59884" spans="6:6" x14ac:dyDescent="0.3">
      <c r="F59884" s="193"/>
    </row>
    <row r="59885" spans="6:6" x14ac:dyDescent="0.3">
      <c r="F59885" s="193"/>
    </row>
    <row r="59886" spans="6:6" x14ac:dyDescent="0.3">
      <c r="F59886" s="193"/>
    </row>
    <row r="59887" spans="6:6" x14ac:dyDescent="0.3">
      <c r="F59887" s="193"/>
    </row>
    <row r="59888" spans="6:6" x14ac:dyDescent="0.3">
      <c r="F59888" s="193"/>
    </row>
    <row r="59889" spans="6:6" x14ac:dyDescent="0.3">
      <c r="F59889" s="193"/>
    </row>
    <row r="59890" spans="6:6" x14ac:dyDescent="0.3">
      <c r="F59890" s="193"/>
    </row>
    <row r="59891" spans="6:6" x14ac:dyDescent="0.3">
      <c r="F59891" s="193"/>
    </row>
    <row r="59892" spans="6:6" x14ac:dyDescent="0.3">
      <c r="F59892" s="193"/>
    </row>
    <row r="59893" spans="6:6" x14ac:dyDescent="0.3">
      <c r="F59893" s="193"/>
    </row>
    <row r="59894" spans="6:6" x14ac:dyDescent="0.3">
      <c r="F59894" s="193"/>
    </row>
    <row r="59895" spans="6:6" x14ac:dyDescent="0.3">
      <c r="F59895" s="193"/>
    </row>
    <row r="59896" spans="6:6" x14ac:dyDescent="0.3">
      <c r="F59896" s="193"/>
    </row>
    <row r="59897" spans="6:6" x14ac:dyDescent="0.3">
      <c r="F59897" s="193"/>
    </row>
    <row r="59898" spans="6:6" x14ac:dyDescent="0.3">
      <c r="F59898" s="193"/>
    </row>
    <row r="59899" spans="6:6" x14ac:dyDescent="0.3">
      <c r="F59899" s="193"/>
    </row>
    <row r="59900" spans="6:6" x14ac:dyDescent="0.3">
      <c r="F59900" s="193"/>
    </row>
    <row r="59901" spans="6:6" x14ac:dyDescent="0.3">
      <c r="F59901" s="193"/>
    </row>
    <row r="59902" spans="6:6" x14ac:dyDescent="0.3">
      <c r="F59902" s="193"/>
    </row>
    <row r="59903" spans="6:6" x14ac:dyDescent="0.3">
      <c r="F59903" s="193"/>
    </row>
    <row r="59904" spans="6:6" x14ac:dyDescent="0.3">
      <c r="F59904" s="193"/>
    </row>
    <row r="59905" spans="6:6" x14ac:dyDescent="0.3">
      <c r="F59905" s="193"/>
    </row>
    <row r="59906" spans="6:6" x14ac:dyDescent="0.3">
      <c r="F59906" s="193"/>
    </row>
    <row r="59907" spans="6:6" x14ac:dyDescent="0.3">
      <c r="F59907" s="193"/>
    </row>
    <row r="59908" spans="6:6" x14ac:dyDescent="0.3">
      <c r="F59908" s="193"/>
    </row>
    <row r="59909" spans="6:6" x14ac:dyDescent="0.3">
      <c r="F59909" s="193"/>
    </row>
    <row r="59910" spans="6:6" x14ac:dyDescent="0.3">
      <c r="F59910" s="193"/>
    </row>
    <row r="59911" spans="6:6" x14ac:dyDescent="0.3">
      <c r="F59911" s="193"/>
    </row>
    <row r="59912" spans="6:6" x14ac:dyDescent="0.3">
      <c r="F59912" s="193"/>
    </row>
    <row r="59913" spans="6:6" x14ac:dyDescent="0.3">
      <c r="F59913" s="193"/>
    </row>
    <row r="59914" spans="6:6" x14ac:dyDescent="0.3">
      <c r="F59914" s="193"/>
    </row>
    <row r="59915" spans="6:6" x14ac:dyDescent="0.3">
      <c r="F59915" s="193"/>
    </row>
    <row r="59916" spans="6:6" x14ac:dyDescent="0.3">
      <c r="F59916" s="193"/>
    </row>
    <row r="59917" spans="6:6" x14ac:dyDescent="0.3">
      <c r="F59917" s="193"/>
    </row>
    <row r="59918" spans="6:6" x14ac:dyDescent="0.3">
      <c r="F59918" s="193"/>
    </row>
    <row r="59919" spans="6:6" x14ac:dyDescent="0.3">
      <c r="F59919" s="193"/>
    </row>
    <row r="59920" spans="6:6" x14ac:dyDescent="0.3">
      <c r="F59920" s="193"/>
    </row>
    <row r="59921" spans="6:6" x14ac:dyDescent="0.3">
      <c r="F59921" s="193"/>
    </row>
    <row r="59922" spans="6:6" x14ac:dyDescent="0.3">
      <c r="F59922" s="193"/>
    </row>
    <row r="59923" spans="6:6" x14ac:dyDescent="0.3">
      <c r="F59923" s="193"/>
    </row>
    <row r="59924" spans="6:6" x14ac:dyDescent="0.3">
      <c r="F59924" s="193"/>
    </row>
    <row r="59925" spans="6:6" x14ac:dyDescent="0.3">
      <c r="F59925" s="193"/>
    </row>
    <row r="59926" spans="6:6" x14ac:dyDescent="0.3">
      <c r="F59926" s="193"/>
    </row>
    <row r="59927" spans="6:6" x14ac:dyDescent="0.3">
      <c r="F59927" s="193"/>
    </row>
    <row r="59928" spans="6:6" x14ac:dyDescent="0.3">
      <c r="F59928" s="193"/>
    </row>
    <row r="59929" spans="6:6" x14ac:dyDescent="0.3">
      <c r="F59929" s="193"/>
    </row>
    <row r="59930" spans="6:6" x14ac:dyDescent="0.3">
      <c r="F59930" s="193"/>
    </row>
    <row r="59931" spans="6:6" x14ac:dyDescent="0.3">
      <c r="F59931" s="193"/>
    </row>
    <row r="59932" spans="6:6" x14ac:dyDescent="0.3">
      <c r="F59932" s="193"/>
    </row>
    <row r="59933" spans="6:6" x14ac:dyDescent="0.3">
      <c r="F59933" s="193"/>
    </row>
    <row r="59934" spans="6:6" x14ac:dyDescent="0.3">
      <c r="F59934" s="193"/>
    </row>
    <row r="59935" spans="6:6" x14ac:dyDescent="0.3">
      <c r="F59935" s="193"/>
    </row>
    <row r="59936" spans="6:6" x14ac:dyDescent="0.3">
      <c r="F59936" s="193"/>
    </row>
    <row r="59937" spans="6:6" x14ac:dyDescent="0.3">
      <c r="F59937" s="193"/>
    </row>
    <row r="59938" spans="6:6" x14ac:dyDescent="0.3">
      <c r="F59938" s="193"/>
    </row>
    <row r="59939" spans="6:6" x14ac:dyDescent="0.3">
      <c r="F59939" s="193"/>
    </row>
    <row r="59940" spans="6:6" x14ac:dyDescent="0.3">
      <c r="F59940" s="193"/>
    </row>
    <row r="59941" spans="6:6" x14ac:dyDescent="0.3">
      <c r="F59941" s="193"/>
    </row>
    <row r="59942" spans="6:6" x14ac:dyDescent="0.3">
      <c r="F59942" s="193"/>
    </row>
    <row r="59943" spans="6:6" x14ac:dyDescent="0.3">
      <c r="F59943" s="193"/>
    </row>
    <row r="59944" spans="6:6" x14ac:dyDescent="0.3">
      <c r="F59944" s="193"/>
    </row>
    <row r="59945" spans="6:6" x14ac:dyDescent="0.3">
      <c r="F59945" s="193"/>
    </row>
    <row r="59946" spans="6:6" x14ac:dyDescent="0.3">
      <c r="F59946" s="193"/>
    </row>
    <row r="59947" spans="6:6" x14ac:dyDescent="0.3">
      <c r="F59947" s="193"/>
    </row>
    <row r="59948" spans="6:6" x14ac:dyDescent="0.3">
      <c r="F59948" s="193"/>
    </row>
    <row r="59949" spans="6:6" x14ac:dyDescent="0.3">
      <c r="F59949" s="193"/>
    </row>
    <row r="59950" spans="6:6" x14ac:dyDescent="0.3">
      <c r="F59950" s="193"/>
    </row>
    <row r="59951" spans="6:6" x14ac:dyDescent="0.3">
      <c r="F59951" s="193"/>
    </row>
    <row r="59952" spans="6:6" x14ac:dyDescent="0.3">
      <c r="F59952" s="193"/>
    </row>
    <row r="59953" spans="6:6" x14ac:dyDescent="0.3">
      <c r="F59953" s="193"/>
    </row>
    <row r="59954" spans="6:6" x14ac:dyDescent="0.3">
      <c r="F59954" s="193"/>
    </row>
    <row r="59955" spans="6:6" x14ac:dyDescent="0.3">
      <c r="F59955" s="193"/>
    </row>
    <row r="59956" spans="6:6" x14ac:dyDescent="0.3">
      <c r="F59956" s="193"/>
    </row>
    <row r="59957" spans="6:6" x14ac:dyDescent="0.3">
      <c r="F59957" s="193"/>
    </row>
    <row r="59958" spans="6:6" x14ac:dyDescent="0.3">
      <c r="F59958" s="193"/>
    </row>
    <row r="59959" spans="6:6" x14ac:dyDescent="0.3">
      <c r="F59959" s="193"/>
    </row>
    <row r="59960" spans="6:6" x14ac:dyDescent="0.3">
      <c r="F59960" s="193"/>
    </row>
    <row r="59961" spans="6:6" x14ac:dyDescent="0.3">
      <c r="F59961" s="193"/>
    </row>
    <row r="59962" spans="6:6" x14ac:dyDescent="0.3">
      <c r="F59962" s="193"/>
    </row>
    <row r="59963" spans="6:6" x14ac:dyDescent="0.3">
      <c r="F59963" s="193"/>
    </row>
    <row r="59964" spans="6:6" x14ac:dyDescent="0.3">
      <c r="F59964" s="193"/>
    </row>
    <row r="59965" spans="6:6" x14ac:dyDescent="0.3">
      <c r="F59965" s="193"/>
    </row>
    <row r="59966" spans="6:6" x14ac:dyDescent="0.3">
      <c r="F59966" s="193"/>
    </row>
    <row r="59967" spans="6:6" x14ac:dyDescent="0.3">
      <c r="F59967" s="193"/>
    </row>
    <row r="59968" spans="6:6" x14ac:dyDescent="0.3">
      <c r="F59968" s="193"/>
    </row>
    <row r="59969" spans="6:6" x14ac:dyDescent="0.3">
      <c r="F59969" s="193"/>
    </row>
    <row r="59970" spans="6:6" x14ac:dyDescent="0.3">
      <c r="F59970" s="193"/>
    </row>
    <row r="59971" spans="6:6" x14ac:dyDescent="0.3">
      <c r="F59971" s="193"/>
    </row>
    <row r="59972" spans="6:6" x14ac:dyDescent="0.3">
      <c r="F59972" s="193"/>
    </row>
    <row r="59973" spans="6:6" x14ac:dyDescent="0.3">
      <c r="F59973" s="193"/>
    </row>
    <row r="59974" spans="6:6" x14ac:dyDescent="0.3">
      <c r="F59974" s="193"/>
    </row>
    <row r="59975" spans="6:6" x14ac:dyDescent="0.3">
      <c r="F59975" s="193"/>
    </row>
    <row r="59976" spans="6:6" x14ac:dyDescent="0.3">
      <c r="F59976" s="193"/>
    </row>
    <row r="59977" spans="6:6" x14ac:dyDescent="0.3">
      <c r="F59977" s="193"/>
    </row>
    <row r="59978" spans="6:6" x14ac:dyDescent="0.3">
      <c r="F59978" s="193"/>
    </row>
    <row r="59979" spans="6:6" x14ac:dyDescent="0.3">
      <c r="F59979" s="193"/>
    </row>
    <row r="59980" spans="6:6" x14ac:dyDescent="0.3">
      <c r="F59980" s="193"/>
    </row>
    <row r="59981" spans="6:6" x14ac:dyDescent="0.3">
      <c r="F59981" s="193"/>
    </row>
    <row r="59982" spans="6:6" x14ac:dyDescent="0.3">
      <c r="F59982" s="193"/>
    </row>
    <row r="59983" spans="6:6" x14ac:dyDescent="0.3">
      <c r="F59983" s="193"/>
    </row>
    <row r="59984" spans="6:6" x14ac:dyDescent="0.3">
      <c r="F59984" s="193"/>
    </row>
    <row r="59985" spans="6:6" x14ac:dyDescent="0.3">
      <c r="F59985" s="193"/>
    </row>
    <row r="59986" spans="6:6" x14ac:dyDescent="0.3">
      <c r="F59986" s="193"/>
    </row>
    <row r="59987" spans="6:6" x14ac:dyDescent="0.3">
      <c r="F59987" s="193"/>
    </row>
    <row r="59988" spans="6:6" x14ac:dyDescent="0.3">
      <c r="F59988" s="193"/>
    </row>
    <row r="59989" spans="6:6" x14ac:dyDescent="0.3">
      <c r="F59989" s="193"/>
    </row>
    <row r="59990" spans="6:6" x14ac:dyDescent="0.3">
      <c r="F59990" s="193"/>
    </row>
    <row r="59991" spans="6:6" x14ac:dyDescent="0.3">
      <c r="F59991" s="193"/>
    </row>
    <row r="59992" spans="6:6" x14ac:dyDescent="0.3">
      <c r="F59992" s="193"/>
    </row>
    <row r="59993" spans="6:6" x14ac:dyDescent="0.3">
      <c r="F59993" s="193"/>
    </row>
    <row r="59994" spans="6:6" x14ac:dyDescent="0.3">
      <c r="F59994" s="193"/>
    </row>
    <row r="59995" spans="6:6" x14ac:dyDescent="0.3">
      <c r="F59995" s="193"/>
    </row>
    <row r="59996" spans="6:6" x14ac:dyDescent="0.3">
      <c r="F59996" s="193"/>
    </row>
    <row r="59997" spans="6:6" x14ac:dyDescent="0.3">
      <c r="F59997" s="193"/>
    </row>
    <row r="59998" spans="6:6" x14ac:dyDescent="0.3">
      <c r="F59998" s="193"/>
    </row>
    <row r="59999" spans="6:6" x14ac:dyDescent="0.3">
      <c r="F59999" s="193"/>
    </row>
    <row r="60000" spans="6:6" x14ac:dyDescent="0.3">
      <c r="F60000" s="193"/>
    </row>
    <row r="60001" spans="6:6" x14ac:dyDescent="0.3">
      <c r="F60001" s="193"/>
    </row>
    <row r="60002" spans="6:6" x14ac:dyDescent="0.3">
      <c r="F60002" s="193"/>
    </row>
    <row r="60003" spans="6:6" x14ac:dyDescent="0.3">
      <c r="F60003" s="193"/>
    </row>
    <row r="60004" spans="6:6" x14ac:dyDescent="0.3">
      <c r="F60004" s="193"/>
    </row>
    <row r="60005" spans="6:6" x14ac:dyDescent="0.3">
      <c r="F60005" s="193"/>
    </row>
    <row r="60006" spans="6:6" x14ac:dyDescent="0.3">
      <c r="F60006" s="193"/>
    </row>
    <row r="60007" spans="6:6" x14ac:dyDescent="0.3">
      <c r="F60007" s="193"/>
    </row>
    <row r="60008" spans="6:6" x14ac:dyDescent="0.3">
      <c r="F60008" s="193"/>
    </row>
    <row r="60009" spans="6:6" x14ac:dyDescent="0.3">
      <c r="F60009" s="193"/>
    </row>
    <row r="60010" spans="6:6" x14ac:dyDescent="0.3">
      <c r="F60010" s="193"/>
    </row>
    <row r="60011" spans="6:6" x14ac:dyDescent="0.3">
      <c r="F60011" s="193"/>
    </row>
    <row r="60012" spans="6:6" x14ac:dyDescent="0.3">
      <c r="F60012" s="193"/>
    </row>
    <row r="60013" spans="6:6" x14ac:dyDescent="0.3">
      <c r="F60013" s="193"/>
    </row>
    <row r="60014" spans="6:6" x14ac:dyDescent="0.3">
      <c r="F60014" s="193"/>
    </row>
    <row r="60015" spans="6:6" x14ac:dyDescent="0.3">
      <c r="F60015" s="193"/>
    </row>
    <row r="60016" spans="6:6" x14ac:dyDescent="0.3">
      <c r="F60016" s="193"/>
    </row>
    <row r="60017" spans="6:6" x14ac:dyDescent="0.3">
      <c r="F60017" s="193"/>
    </row>
    <row r="60018" spans="6:6" x14ac:dyDescent="0.3">
      <c r="F60018" s="193"/>
    </row>
    <row r="60019" spans="6:6" x14ac:dyDescent="0.3">
      <c r="F60019" s="193"/>
    </row>
    <row r="60020" spans="6:6" x14ac:dyDescent="0.3">
      <c r="F60020" s="193"/>
    </row>
    <row r="60021" spans="6:6" x14ac:dyDescent="0.3">
      <c r="F60021" s="193"/>
    </row>
    <row r="60022" spans="6:6" x14ac:dyDescent="0.3">
      <c r="F60022" s="193"/>
    </row>
    <row r="60023" spans="6:6" x14ac:dyDescent="0.3">
      <c r="F60023" s="193"/>
    </row>
    <row r="60024" spans="6:6" x14ac:dyDescent="0.3">
      <c r="F60024" s="193"/>
    </row>
    <row r="60025" spans="6:6" x14ac:dyDescent="0.3">
      <c r="F60025" s="193"/>
    </row>
    <row r="60026" spans="6:6" x14ac:dyDescent="0.3">
      <c r="F60026" s="193"/>
    </row>
    <row r="60027" spans="6:6" x14ac:dyDescent="0.3">
      <c r="F60027" s="193"/>
    </row>
    <row r="60028" spans="6:6" x14ac:dyDescent="0.3">
      <c r="F60028" s="193"/>
    </row>
    <row r="60029" spans="6:6" x14ac:dyDescent="0.3">
      <c r="F60029" s="193"/>
    </row>
    <row r="60030" spans="6:6" x14ac:dyDescent="0.3">
      <c r="F60030" s="193"/>
    </row>
    <row r="60031" spans="6:6" x14ac:dyDescent="0.3">
      <c r="F60031" s="193"/>
    </row>
    <row r="60032" spans="6:6" x14ac:dyDescent="0.3">
      <c r="F60032" s="193"/>
    </row>
    <row r="60033" spans="6:6" x14ac:dyDescent="0.3">
      <c r="F60033" s="193"/>
    </row>
    <row r="60034" spans="6:6" x14ac:dyDescent="0.3">
      <c r="F60034" s="193"/>
    </row>
    <row r="60035" spans="6:6" x14ac:dyDescent="0.3">
      <c r="F60035" s="193"/>
    </row>
    <row r="60036" spans="6:6" x14ac:dyDescent="0.3">
      <c r="F60036" s="193"/>
    </row>
    <row r="60037" spans="6:6" x14ac:dyDescent="0.3">
      <c r="F60037" s="193"/>
    </row>
    <row r="60038" spans="6:6" x14ac:dyDescent="0.3">
      <c r="F60038" s="193"/>
    </row>
    <row r="60039" spans="6:6" x14ac:dyDescent="0.3">
      <c r="F60039" s="193"/>
    </row>
    <row r="60040" spans="6:6" x14ac:dyDescent="0.3">
      <c r="F60040" s="193"/>
    </row>
    <row r="60041" spans="6:6" x14ac:dyDescent="0.3">
      <c r="F60041" s="193"/>
    </row>
    <row r="60042" spans="6:6" x14ac:dyDescent="0.3">
      <c r="F60042" s="193"/>
    </row>
    <row r="60043" spans="6:6" x14ac:dyDescent="0.3">
      <c r="F60043" s="193"/>
    </row>
    <row r="60044" spans="6:6" x14ac:dyDescent="0.3">
      <c r="F60044" s="193"/>
    </row>
    <row r="60045" spans="6:6" x14ac:dyDescent="0.3">
      <c r="F60045" s="193"/>
    </row>
    <row r="60046" spans="6:6" x14ac:dyDescent="0.3">
      <c r="F60046" s="193"/>
    </row>
    <row r="60047" spans="6:6" x14ac:dyDescent="0.3">
      <c r="F60047" s="193"/>
    </row>
    <row r="60048" spans="6:6" x14ac:dyDescent="0.3">
      <c r="F60048" s="193"/>
    </row>
    <row r="60049" spans="6:6" x14ac:dyDescent="0.3">
      <c r="F60049" s="193"/>
    </row>
    <row r="60050" spans="6:6" x14ac:dyDescent="0.3">
      <c r="F60050" s="193"/>
    </row>
    <row r="60051" spans="6:6" x14ac:dyDescent="0.3">
      <c r="F60051" s="193"/>
    </row>
    <row r="60052" spans="6:6" x14ac:dyDescent="0.3">
      <c r="F60052" s="193"/>
    </row>
    <row r="60053" spans="6:6" x14ac:dyDescent="0.3">
      <c r="F60053" s="193"/>
    </row>
    <row r="60054" spans="6:6" x14ac:dyDescent="0.3">
      <c r="F60054" s="193"/>
    </row>
    <row r="60055" spans="6:6" x14ac:dyDescent="0.3">
      <c r="F60055" s="193"/>
    </row>
    <row r="60056" spans="6:6" x14ac:dyDescent="0.3">
      <c r="F60056" s="193"/>
    </row>
    <row r="60057" spans="6:6" x14ac:dyDescent="0.3">
      <c r="F60057" s="193"/>
    </row>
    <row r="60058" spans="6:6" x14ac:dyDescent="0.3">
      <c r="F60058" s="193"/>
    </row>
    <row r="60059" spans="6:6" x14ac:dyDescent="0.3">
      <c r="F60059" s="193"/>
    </row>
    <row r="60060" spans="6:6" x14ac:dyDescent="0.3">
      <c r="F60060" s="193"/>
    </row>
    <row r="60061" spans="6:6" x14ac:dyDescent="0.3">
      <c r="F60061" s="193"/>
    </row>
    <row r="60062" spans="6:6" x14ac:dyDescent="0.3">
      <c r="F60062" s="193"/>
    </row>
    <row r="60063" spans="6:6" x14ac:dyDescent="0.3">
      <c r="F60063" s="193"/>
    </row>
    <row r="60064" spans="6:6" x14ac:dyDescent="0.3">
      <c r="F60064" s="193"/>
    </row>
    <row r="60065" spans="6:6" x14ac:dyDescent="0.3">
      <c r="F60065" s="193"/>
    </row>
    <row r="60066" spans="6:6" x14ac:dyDescent="0.3">
      <c r="F60066" s="193"/>
    </row>
    <row r="60067" spans="6:6" x14ac:dyDescent="0.3">
      <c r="F60067" s="193"/>
    </row>
    <row r="60068" spans="6:6" x14ac:dyDescent="0.3">
      <c r="F60068" s="193"/>
    </row>
    <row r="60069" spans="6:6" x14ac:dyDescent="0.3">
      <c r="F60069" s="193"/>
    </row>
    <row r="60070" spans="6:6" x14ac:dyDescent="0.3">
      <c r="F60070" s="193"/>
    </row>
    <row r="60071" spans="6:6" x14ac:dyDescent="0.3">
      <c r="F60071" s="193"/>
    </row>
    <row r="60072" spans="6:6" x14ac:dyDescent="0.3">
      <c r="F60072" s="193"/>
    </row>
    <row r="60073" spans="6:6" x14ac:dyDescent="0.3">
      <c r="F60073" s="193"/>
    </row>
    <row r="60074" spans="6:6" x14ac:dyDescent="0.3">
      <c r="F60074" s="193"/>
    </row>
    <row r="60075" spans="6:6" x14ac:dyDescent="0.3">
      <c r="F60075" s="193"/>
    </row>
    <row r="60076" spans="6:6" x14ac:dyDescent="0.3">
      <c r="F60076" s="193"/>
    </row>
    <row r="60077" spans="6:6" x14ac:dyDescent="0.3">
      <c r="F60077" s="193"/>
    </row>
    <row r="60078" spans="6:6" x14ac:dyDescent="0.3">
      <c r="F60078" s="193"/>
    </row>
    <row r="60079" spans="6:6" x14ac:dyDescent="0.3">
      <c r="F60079" s="193"/>
    </row>
    <row r="60080" spans="6:6" x14ac:dyDescent="0.3">
      <c r="F60080" s="193"/>
    </row>
    <row r="60081" spans="6:6" x14ac:dyDescent="0.3">
      <c r="F60081" s="193"/>
    </row>
    <row r="60082" spans="6:6" x14ac:dyDescent="0.3">
      <c r="F60082" s="193"/>
    </row>
    <row r="60083" spans="6:6" x14ac:dyDescent="0.3">
      <c r="F60083" s="193"/>
    </row>
    <row r="60084" spans="6:6" x14ac:dyDescent="0.3">
      <c r="F60084" s="193"/>
    </row>
    <row r="60085" spans="6:6" x14ac:dyDescent="0.3">
      <c r="F60085" s="193"/>
    </row>
    <row r="60086" spans="6:6" x14ac:dyDescent="0.3">
      <c r="F60086" s="193"/>
    </row>
    <row r="60087" spans="6:6" x14ac:dyDescent="0.3">
      <c r="F60087" s="193"/>
    </row>
    <row r="60088" spans="6:6" x14ac:dyDescent="0.3">
      <c r="F60088" s="193"/>
    </row>
    <row r="60089" spans="6:6" x14ac:dyDescent="0.3">
      <c r="F60089" s="193"/>
    </row>
    <row r="60090" spans="6:6" x14ac:dyDescent="0.3">
      <c r="F60090" s="193"/>
    </row>
    <row r="60091" spans="6:6" x14ac:dyDescent="0.3">
      <c r="F60091" s="193"/>
    </row>
    <row r="60092" spans="6:6" x14ac:dyDescent="0.3">
      <c r="F60092" s="193"/>
    </row>
    <row r="60093" spans="6:6" x14ac:dyDescent="0.3">
      <c r="F60093" s="193"/>
    </row>
    <row r="60094" spans="6:6" x14ac:dyDescent="0.3">
      <c r="F60094" s="193"/>
    </row>
    <row r="60095" spans="6:6" x14ac:dyDescent="0.3">
      <c r="F60095" s="193"/>
    </row>
    <row r="60096" spans="6:6" x14ac:dyDescent="0.3">
      <c r="F60096" s="193"/>
    </row>
    <row r="60097" spans="6:6" x14ac:dyDescent="0.3">
      <c r="F60097" s="193"/>
    </row>
    <row r="60098" spans="6:6" x14ac:dyDescent="0.3">
      <c r="F60098" s="193"/>
    </row>
    <row r="60099" spans="6:6" x14ac:dyDescent="0.3">
      <c r="F60099" s="193"/>
    </row>
    <row r="60100" spans="6:6" x14ac:dyDescent="0.3">
      <c r="F60100" s="193"/>
    </row>
    <row r="60101" spans="6:6" x14ac:dyDescent="0.3">
      <c r="F60101" s="193"/>
    </row>
    <row r="60102" spans="6:6" x14ac:dyDescent="0.3">
      <c r="F60102" s="193"/>
    </row>
    <row r="60103" spans="6:6" x14ac:dyDescent="0.3">
      <c r="F60103" s="193"/>
    </row>
    <row r="60104" spans="6:6" x14ac:dyDescent="0.3">
      <c r="F60104" s="193"/>
    </row>
    <row r="60105" spans="6:6" x14ac:dyDescent="0.3">
      <c r="F60105" s="193"/>
    </row>
    <row r="60106" spans="6:6" x14ac:dyDescent="0.3">
      <c r="F60106" s="193"/>
    </row>
    <row r="60107" spans="6:6" x14ac:dyDescent="0.3">
      <c r="F60107" s="193"/>
    </row>
    <row r="60108" spans="6:6" x14ac:dyDescent="0.3">
      <c r="F60108" s="193"/>
    </row>
    <row r="60109" spans="6:6" x14ac:dyDescent="0.3">
      <c r="F60109" s="193"/>
    </row>
    <row r="60110" spans="6:6" x14ac:dyDescent="0.3">
      <c r="F60110" s="193"/>
    </row>
    <row r="60111" spans="6:6" x14ac:dyDescent="0.3">
      <c r="F60111" s="193"/>
    </row>
    <row r="60112" spans="6:6" x14ac:dyDescent="0.3">
      <c r="F60112" s="193"/>
    </row>
    <row r="60113" spans="6:6" x14ac:dyDescent="0.3">
      <c r="F60113" s="193"/>
    </row>
    <row r="60114" spans="6:6" x14ac:dyDescent="0.3">
      <c r="F60114" s="193"/>
    </row>
    <row r="60115" spans="6:6" x14ac:dyDescent="0.3">
      <c r="F60115" s="193"/>
    </row>
    <row r="60116" spans="6:6" x14ac:dyDescent="0.3">
      <c r="F60116" s="193"/>
    </row>
    <row r="60117" spans="6:6" x14ac:dyDescent="0.3">
      <c r="F60117" s="193"/>
    </row>
    <row r="60118" spans="6:6" x14ac:dyDescent="0.3">
      <c r="F60118" s="193"/>
    </row>
    <row r="60119" spans="6:6" x14ac:dyDescent="0.3">
      <c r="F60119" s="193"/>
    </row>
    <row r="60120" spans="6:6" x14ac:dyDescent="0.3">
      <c r="F60120" s="193"/>
    </row>
    <row r="60121" spans="6:6" x14ac:dyDescent="0.3">
      <c r="F60121" s="193"/>
    </row>
    <row r="60122" spans="6:6" x14ac:dyDescent="0.3">
      <c r="F60122" s="193"/>
    </row>
    <row r="60123" spans="6:6" x14ac:dyDescent="0.3">
      <c r="F60123" s="193"/>
    </row>
    <row r="60124" spans="6:6" x14ac:dyDescent="0.3">
      <c r="F60124" s="193"/>
    </row>
    <row r="60125" spans="6:6" x14ac:dyDescent="0.3">
      <c r="F60125" s="193"/>
    </row>
    <row r="60126" spans="6:6" x14ac:dyDescent="0.3">
      <c r="F60126" s="193"/>
    </row>
    <row r="60127" spans="6:6" x14ac:dyDescent="0.3">
      <c r="F60127" s="193"/>
    </row>
    <row r="60128" spans="6:6" x14ac:dyDescent="0.3">
      <c r="F60128" s="193"/>
    </row>
    <row r="60129" spans="6:6" x14ac:dyDescent="0.3">
      <c r="F60129" s="193"/>
    </row>
    <row r="60130" spans="6:6" x14ac:dyDescent="0.3">
      <c r="F60130" s="193"/>
    </row>
    <row r="60131" spans="6:6" x14ac:dyDescent="0.3">
      <c r="F60131" s="193"/>
    </row>
    <row r="60132" spans="6:6" x14ac:dyDescent="0.3">
      <c r="F60132" s="193"/>
    </row>
    <row r="60133" spans="6:6" x14ac:dyDescent="0.3">
      <c r="F60133" s="193"/>
    </row>
    <row r="60134" spans="6:6" x14ac:dyDescent="0.3">
      <c r="F60134" s="193"/>
    </row>
    <row r="60135" spans="6:6" x14ac:dyDescent="0.3">
      <c r="F60135" s="193"/>
    </row>
    <row r="60136" spans="6:6" x14ac:dyDescent="0.3">
      <c r="F60136" s="193"/>
    </row>
    <row r="60137" spans="6:6" x14ac:dyDescent="0.3">
      <c r="F60137" s="193"/>
    </row>
    <row r="60138" spans="6:6" x14ac:dyDescent="0.3">
      <c r="F60138" s="193"/>
    </row>
    <row r="60139" spans="6:6" x14ac:dyDescent="0.3">
      <c r="F60139" s="193"/>
    </row>
    <row r="60140" spans="6:6" x14ac:dyDescent="0.3">
      <c r="F60140" s="193"/>
    </row>
    <row r="60141" spans="6:6" x14ac:dyDescent="0.3">
      <c r="F60141" s="193"/>
    </row>
    <row r="60142" spans="6:6" x14ac:dyDescent="0.3">
      <c r="F60142" s="193"/>
    </row>
    <row r="60143" spans="6:6" x14ac:dyDescent="0.3">
      <c r="F60143" s="193"/>
    </row>
    <row r="60144" spans="6:6" x14ac:dyDescent="0.3">
      <c r="F60144" s="193"/>
    </row>
    <row r="60145" spans="6:6" x14ac:dyDescent="0.3">
      <c r="F60145" s="193"/>
    </row>
    <row r="60146" spans="6:6" x14ac:dyDescent="0.3">
      <c r="F60146" s="193"/>
    </row>
    <row r="60147" spans="6:6" x14ac:dyDescent="0.3">
      <c r="F60147" s="193"/>
    </row>
    <row r="60148" spans="6:6" x14ac:dyDescent="0.3">
      <c r="F60148" s="193"/>
    </row>
    <row r="60149" spans="6:6" x14ac:dyDescent="0.3">
      <c r="F60149" s="193"/>
    </row>
    <row r="60150" spans="6:6" x14ac:dyDescent="0.3">
      <c r="F60150" s="193"/>
    </row>
    <row r="60151" spans="6:6" x14ac:dyDescent="0.3">
      <c r="F60151" s="193"/>
    </row>
    <row r="60152" spans="6:6" x14ac:dyDescent="0.3">
      <c r="F60152" s="193"/>
    </row>
    <row r="60153" spans="6:6" x14ac:dyDescent="0.3">
      <c r="F60153" s="193"/>
    </row>
    <row r="60154" spans="6:6" x14ac:dyDescent="0.3">
      <c r="F60154" s="193"/>
    </row>
    <row r="60155" spans="6:6" x14ac:dyDescent="0.3">
      <c r="F60155" s="193"/>
    </row>
    <row r="60156" spans="6:6" x14ac:dyDescent="0.3">
      <c r="F60156" s="193"/>
    </row>
    <row r="60157" spans="6:6" x14ac:dyDescent="0.3">
      <c r="F60157" s="193"/>
    </row>
    <row r="60158" spans="6:6" x14ac:dyDescent="0.3">
      <c r="F60158" s="193"/>
    </row>
    <row r="60159" spans="6:6" x14ac:dyDescent="0.3">
      <c r="F60159" s="193"/>
    </row>
    <row r="60160" spans="6:6" x14ac:dyDescent="0.3">
      <c r="F60160" s="193"/>
    </row>
    <row r="60161" spans="6:6" x14ac:dyDescent="0.3">
      <c r="F60161" s="193"/>
    </row>
    <row r="60162" spans="6:6" x14ac:dyDescent="0.3">
      <c r="F60162" s="193"/>
    </row>
    <row r="60163" spans="6:6" x14ac:dyDescent="0.3">
      <c r="F60163" s="193"/>
    </row>
    <row r="60164" spans="6:6" x14ac:dyDescent="0.3">
      <c r="F60164" s="193"/>
    </row>
    <row r="60165" spans="6:6" x14ac:dyDescent="0.3">
      <c r="F60165" s="193"/>
    </row>
    <row r="60166" spans="6:6" x14ac:dyDescent="0.3">
      <c r="F60166" s="193"/>
    </row>
    <row r="60167" spans="6:6" x14ac:dyDescent="0.3">
      <c r="F60167" s="193"/>
    </row>
    <row r="60168" spans="6:6" x14ac:dyDescent="0.3">
      <c r="F60168" s="193"/>
    </row>
    <row r="60169" spans="6:6" x14ac:dyDescent="0.3">
      <c r="F60169" s="193"/>
    </row>
    <row r="60170" spans="6:6" x14ac:dyDescent="0.3">
      <c r="F60170" s="193"/>
    </row>
    <row r="60171" spans="6:6" x14ac:dyDescent="0.3">
      <c r="F60171" s="193"/>
    </row>
    <row r="60172" spans="6:6" x14ac:dyDescent="0.3">
      <c r="F60172" s="193"/>
    </row>
    <row r="60173" spans="6:6" x14ac:dyDescent="0.3">
      <c r="F60173" s="193"/>
    </row>
    <row r="60174" spans="6:6" x14ac:dyDescent="0.3">
      <c r="F60174" s="193"/>
    </row>
    <row r="60175" spans="6:6" x14ac:dyDescent="0.3">
      <c r="F60175" s="193"/>
    </row>
    <row r="60176" spans="6:6" x14ac:dyDescent="0.3">
      <c r="F60176" s="193"/>
    </row>
    <row r="60177" spans="6:6" x14ac:dyDescent="0.3">
      <c r="F60177" s="193"/>
    </row>
    <row r="60178" spans="6:6" x14ac:dyDescent="0.3">
      <c r="F60178" s="193"/>
    </row>
    <row r="60179" spans="6:6" x14ac:dyDescent="0.3">
      <c r="F60179" s="193"/>
    </row>
    <row r="60180" spans="6:6" x14ac:dyDescent="0.3">
      <c r="F60180" s="193"/>
    </row>
    <row r="60181" spans="6:6" x14ac:dyDescent="0.3">
      <c r="F60181" s="193"/>
    </row>
    <row r="60182" spans="6:6" x14ac:dyDescent="0.3">
      <c r="F60182" s="193"/>
    </row>
    <row r="60183" spans="6:6" x14ac:dyDescent="0.3">
      <c r="F60183" s="193"/>
    </row>
    <row r="60184" spans="6:6" x14ac:dyDescent="0.3">
      <c r="F60184" s="193"/>
    </row>
    <row r="60185" spans="6:6" x14ac:dyDescent="0.3">
      <c r="F60185" s="193"/>
    </row>
    <row r="60186" spans="6:6" x14ac:dyDescent="0.3">
      <c r="F60186" s="193"/>
    </row>
    <row r="60187" spans="6:6" x14ac:dyDescent="0.3">
      <c r="F60187" s="193"/>
    </row>
    <row r="60188" spans="6:6" x14ac:dyDescent="0.3">
      <c r="F60188" s="193"/>
    </row>
    <row r="60189" spans="6:6" x14ac:dyDescent="0.3">
      <c r="F60189" s="193"/>
    </row>
    <row r="60190" spans="6:6" x14ac:dyDescent="0.3">
      <c r="F60190" s="193"/>
    </row>
    <row r="60191" spans="6:6" x14ac:dyDescent="0.3">
      <c r="F60191" s="193"/>
    </row>
    <row r="60192" spans="6:6" x14ac:dyDescent="0.3">
      <c r="F60192" s="193"/>
    </row>
    <row r="60193" spans="6:6" x14ac:dyDescent="0.3">
      <c r="F60193" s="193"/>
    </row>
    <row r="60194" spans="6:6" x14ac:dyDescent="0.3">
      <c r="F60194" s="193"/>
    </row>
    <row r="60195" spans="6:6" x14ac:dyDescent="0.3">
      <c r="F60195" s="193"/>
    </row>
    <row r="60196" spans="6:6" x14ac:dyDescent="0.3">
      <c r="F60196" s="193"/>
    </row>
    <row r="60197" spans="6:6" x14ac:dyDescent="0.3">
      <c r="F60197" s="193"/>
    </row>
    <row r="60198" spans="6:6" x14ac:dyDescent="0.3">
      <c r="F60198" s="193"/>
    </row>
    <row r="60199" spans="6:6" x14ac:dyDescent="0.3">
      <c r="F60199" s="193"/>
    </row>
    <row r="60200" spans="6:6" x14ac:dyDescent="0.3">
      <c r="F60200" s="193"/>
    </row>
    <row r="60201" spans="6:6" x14ac:dyDescent="0.3">
      <c r="F60201" s="193"/>
    </row>
    <row r="60202" spans="6:6" x14ac:dyDescent="0.3">
      <c r="F60202" s="193"/>
    </row>
    <row r="60203" spans="6:6" x14ac:dyDescent="0.3">
      <c r="F60203" s="193"/>
    </row>
    <row r="60204" spans="6:6" x14ac:dyDescent="0.3">
      <c r="F60204" s="193"/>
    </row>
    <row r="60205" spans="6:6" x14ac:dyDescent="0.3">
      <c r="F60205" s="193"/>
    </row>
    <row r="60206" spans="6:6" x14ac:dyDescent="0.3">
      <c r="F60206" s="193"/>
    </row>
    <row r="60207" spans="6:6" x14ac:dyDescent="0.3">
      <c r="F60207" s="193"/>
    </row>
    <row r="60208" spans="6:6" x14ac:dyDescent="0.3">
      <c r="F60208" s="193"/>
    </row>
    <row r="60209" spans="6:6" x14ac:dyDescent="0.3">
      <c r="F60209" s="193"/>
    </row>
    <row r="60210" spans="6:6" x14ac:dyDescent="0.3">
      <c r="F60210" s="193"/>
    </row>
    <row r="60211" spans="6:6" x14ac:dyDescent="0.3">
      <c r="F60211" s="193"/>
    </row>
    <row r="60212" spans="6:6" x14ac:dyDescent="0.3">
      <c r="F60212" s="193"/>
    </row>
    <row r="60213" spans="6:6" x14ac:dyDescent="0.3">
      <c r="F60213" s="193"/>
    </row>
    <row r="60214" spans="6:6" x14ac:dyDescent="0.3">
      <c r="F60214" s="193"/>
    </row>
    <row r="60215" spans="6:6" x14ac:dyDescent="0.3">
      <c r="F60215" s="193"/>
    </row>
    <row r="60216" spans="6:6" x14ac:dyDescent="0.3">
      <c r="F60216" s="193"/>
    </row>
    <row r="60217" spans="6:6" x14ac:dyDescent="0.3">
      <c r="F60217" s="193"/>
    </row>
    <row r="60218" spans="6:6" x14ac:dyDescent="0.3">
      <c r="F60218" s="193"/>
    </row>
    <row r="60219" spans="6:6" x14ac:dyDescent="0.3">
      <c r="F60219" s="193"/>
    </row>
    <row r="60220" spans="6:6" x14ac:dyDescent="0.3">
      <c r="F60220" s="193"/>
    </row>
    <row r="60221" spans="6:6" x14ac:dyDescent="0.3">
      <c r="F60221" s="193"/>
    </row>
    <row r="60222" spans="6:6" x14ac:dyDescent="0.3">
      <c r="F60222" s="193"/>
    </row>
    <row r="60223" spans="6:6" x14ac:dyDescent="0.3">
      <c r="F60223" s="193"/>
    </row>
    <row r="60224" spans="6:6" x14ac:dyDescent="0.3">
      <c r="F60224" s="193"/>
    </row>
    <row r="60225" spans="6:6" x14ac:dyDescent="0.3">
      <c r="F60225" s="193"/>
    </row>
    <row r="60226" spans="6:6" x14ac:dyDescent="0.3">
      <c r="F60226" s="193"/>
    </row>
    <row r="60227" spans="6:6" x14ac:dyDescent="0.3">
      <c r="F60227" s="193"/>
    </row>
    <row r="60228" spans="6:6" x14ac:dyDescent="0.3">
      <c r="F60228" s="193"/>
    </row>
    <row r="60229" spans="6:6" x14ac:dyDescent="0.3">
      <c r="F60229" s="193"/>
    </row>
    <row r="60230" spans="6:6" x14ac:dyDescent="0.3">
      <c r="F60230" s="193"/>
    </row>
    <row r="60231" spans="6:6" x14ac:dyDescent="0.3">
      <c r="F60231" s="193"/>
    </row>
    <row r="60232" spans="6:6" x14ac:dyDescent="0.3">
      <c r="F60232" s="193"/>
    </row>
    <row r="60233" spans="6:6" x14ac:dyDescent="0.3">
      <c r="F60233" s="193"/>
    </row>
    <row r="60234" spans="6:6" x14ac:dyDescent="0.3">
      <c r="F60234" s="193"/>
    </row>
    <row r="60235" spans="6:6" x14ac:dyDescent="0.3">
      <c r="F60235" s="193"/>
    </row>
    <row r="60236" spans="6:6" x14ac:dyDescent="0.3">
      <c r="F60236" s="193"/>
    </row>
    <row r="60237" spans="6:6" x14ac:dyDescent="0.3">
      <c r="F60237" s="193"/>
    </row>
    <row r="60238" spans="6:6" x14ac:dyDescent="0.3">
      <c r="F60238" s="193"/>
    </row>
    <row r="60239" spans="6:6" x14ac:dyDescent="0.3">
      <c r="F60239" s="193"/>
    </row>
    <row r="60240" spans="6:6" x14ac:dyDescent="0.3">
      <c r="F60240" s="193"/>
    </row>
    <row r="60241" spans="6:6" x14ac:dyDescent="0.3">
      <c r="F60241" s="193"/>
    </row>
    <row r="60242" spans="6:6" x14ac:dyDescent="0.3">
      <c r="F60242" s="193"/>
    </row>
    <row r="60243" spans="6:6" x14ac:dyDescent="0.3">
      <c r="F60243" s="193"/>
    </row>
    <row r="60244" spans="6:6" x14ac:dyDescent="0.3">
      <c r="F60244" s="193"/>
    </row>
    <row r="60245" spans="6:6" x14ac:dyDescent="0.3">
      <c r="F60245" s="193"/>
    </row>
    <row r="60246" spans="6:6" x14ac:dyDescent="0.3">
      <c r="F60246" s="193"/>
    </row>
    <row r="60247" spans="6:6" x14ac:dyDescent="0.3">
      <c r="F60247" s="193"/>
    </row>
    <row r="60248" spans="6:6" x14ac:dyDescent="0.3">
      <c r="F60248" s="193"/>
    </row>
    <row r="60249" spans="6:6" x14ac:dyDescent="0.3">
      <c r="F60249" s="193"/>
    </row>
    <row r="60250" spans="6:6" x14ac:dyDescent="0.3">
      <c r="F60250" s="193"/>
    </row>
    <row r="60251" spans="6:6" x14ac:dyDescent="0.3">
      <c r="F60251" s="193"/>
    </row>
    <row r="60252" spans="6:6" x14ac:dyDescent="0.3">
      <c r="F60252" s="193"/>
    </row>
    <row r="60253" spans="6:6" x14ac:dyDescent="0.3">
      <c r="F60253" s="193"/>
    </row>
    <row r="60254" spans="6:6" x14ac:dyDescent="0.3">
      <c r="F60254" s="193"/>
    </row>
    <row r="60255" spans="6:6" x14ac:dyDescent="0.3">
      <c r="F60255" s="193"/>
    </row>
    <row r="60256" spans="6:6" x14ac:dyDescent="0.3">
      <c r="F60256" s="193"/>
    </row>
    <row r="60257" spans="6:6" x14ac:dyDescent="0.3">
      <c r="F60257" s="193"/>
    </row>
    <row r="60258" spans="6:6" x14ac:dyDescent="0.3">
      <c r="F60258" s="193"/>
    </row>
    <row r="60259" spans="6:6" x14ac:dyDescent="0.3">
      <c r="F60259" s="193"/>
    </row>
    <row r="60260" spans="6:6" x14ac:dyDescent="0.3">
      <c r="F60260" s="193"/>
    </row>
    <row r="60261" spans="6:6" x14ac:dyDescent="0.3">
      <c r="F60261" s="193"/>
    </row>
    <row r="60262" spans="6:6" x14ac:dyDescent="0.3">
      <c r="F60262" s="193"/>
    </row>
    <row r="60263" spans="6:6" x14ac:dyDescent="0.3">
      <c r="F60263" s="193"/>
    </row>
    <row r="60264" spans="6:6" x14ac:dyDescent="0.3">
      <c r="F60264" s="193"/>
    </row>
    <row r="60265" spans="6:6" x14ac:dyDescent="0.3">
      <c r="F60265" s="193"/>
    </row>
    <row r="60266" spans="6:6" x14ac:dyDescent="0.3">
      <c r="F60266" s="193"/>
    </row>
    <row r="60267" spans="6:6" x14ac:dyDescent="0.3">
      <c r="F60267" s="193"/>
    </row>
    <row r="60268" spans="6:6" x14ac:dyDescent="0.3">
      <c r="F60268" s="193"/>
    </row>
    <row r="60269" spans="6:6" x14ac:dyDescent="0.3">
      <c r="F60269" s="193"/>
    </row>
    <row r="60270" spans="6:6" x14ac:dyDescent="0.3">
      <c r="F60270" s="193"/>
    </row>
    <row r="60271" spans="6:6" x14ac:dyDescent="0.3">
      <c r="F60271" s="193"/>
    </row>
    <row r="60272" spans="6:6" x14ac:dyDescent="0.3">
      <c r="F60272" s="193"/>
    </row>
    <row r="60273" spans="6:6" x14ac:dyDescent="0.3">
      <c r="F60273" s="193"/>
    </row>
    <row r="60274" spans="6:6" x14ac:dyDescent="0.3">
      <c r="F60274" s="193"/>
    </row>
    <row r="60275" spans="6:6" x14ac:dyDescent="0.3">
      <c r="F60275" s="193"/>
    </row>
    <row r="60276" spans="6:6" x14ac:dyDescent="0.3">
      <c r="F60276" s="193"/>
    </row>
    <row r="60277" spans="6:6" x14ac:dyDescent="0.3">
      <c r="F60277" s="193"/>
    </row>
    <row r="60278" spans="6:6" x14ac:dyDescent="0.3">
      <c r="F60278" s="193"/>
    </row>
    <row r="60279" spans="6:6" x14ac:dyDescent="0.3">
      <c r="F60279" s="193"/>
    </row>
    <row r="60280" spans="6:6" x14ac:dyDescent="0.3">
      <c r="F60280" s="193"/>
    </row>
    <row r="60281" spans="6:6" x14ac:dyDescent="0.3">
      <c r="F60281" s="193"/>
    </row>
    <row r="60282" spans="6:6" x14ac:dyDescent="0.3">
      <c r="F60282" s="193"/>
    </row>
    <row r="60283" spans="6:6" x14ac:dyDescent="0.3">
      <c r="F60283" s="193"/>
    </row>
    <row r="60284" spans="6:6" x14ac:dyDescent="0.3">
      <c r="F60284" s="193"/>
    </row>
    <row r="60285" spans="6:6" x14ac:dyDescent="0.3">
      <c r="F60285" s="193"/>
    </row>
    <row r="60286" spans="6:6" x14ac:dyDescent="0.3">
      <c r="F60286" s="193"/>
    </row>
    <row r="60287" spans="6:6" x14ac:dyDescent="0.3">
      <c r="F60287" s="193"/>
    </row>
    <row r="60288" spans="6:6" x14ac:dyDescent="0.3">
      <c r="F60288" s="193"/>
    </row>
    <row r="60289" spans="6:6" x14ac:dyDescent="0.3">
      <c r="F60289" s="193"/>
    </row>
    <row r="60290" spans="6:6" x14ac:dyDescent="0.3">
      <c r="F60290" s="193"/>
    </row>
    <row r="60291" spans="6:6" x14ac:dyDescent="0.3">
      <c r="F60291" s="193"/>
    </row>
    <row r="60292" spans="6:6" x14ac:dyDescent="0.3">
      <c r="F60292" s="193"/>
    </row>
    <row r="60293" spans="6:6" x14ac:dyDescent="0.3">
      <c r="F60293" s="193"/>
    </row>
    <row r="60294" spans="6:6" x14ac:dyDescent="0.3">
      <c r="F60294" s="193"/>
    </row>
    <row r="60295" spans="6:6" x14ac:dyDescent="0.3">
      <c r="F60295" s="193"/>
    </row>
    <row r="60296" spans="6:6" x14ac:dyDescent="0.3">
      <c r="F60296" s="193"/>
    </row>
    <row r="60297" spans="6:6" x14ac:dyDescent="0.3">
      <c r="F60297" s="193"/>
    </row>
    <row r="60298" spans="6:6" x14ac:dyDescent="0.3">
      <c r="F60298" s="193"/>
    </row>
    <row r="60299" spans="6:6" x14ac:dyDescent="0.3">
      <c r="F60299" s="193"/>
    </row>
    <row r="60300" spans="6:6" x14ac:dyDescent="0.3">
      <c r="F60300" s="193"/>
    </row>
    <row r="60301" spans="6:6" x14ac:dyDescent="0.3">
      <c r="F60301" s="193"/>
    </row>
    <row r="60302" spans="6:6" x14ac:dyDescent="0.3">
      <c r="F60302" s="193"/>
    </row>
    <row r="60303" spans="6:6" x14ac:dyDescent="0.3">
      <c r="F60303" s="193"/>
    </row>
    <row r="60304" spans="6:6" x14ac:dyDescent="0.3">
      <c r="F60304" s="193"/>
    </row>
    <row r="60305" spans="6:6" x14ac:dyDescent="0.3">
      <c r="F60305" s="193"/>
    </row>
    <row r="60306" spans="6:6" x14ac:dyDescent="0.3">
      <c r="F60306" s="193"/>
    </row>
    <row r="60307" spans="6:6" x14ac:dyDescent="0.3">
      <c r="F60307" s="193"/>
    </row>
    <row r="60308" spans="6:6" x14ac:dyDescent="0.3">
      <c r="F60308" s="193"/>
    </row>
    <row r="60309" spans="6:6" x14ac:dyDescent="0.3">
      <c r="F60309" s="193"/>
    </row>
    <row r="60310" spans="6:6" x14ac:dyDescent="0.3">
      <c r="F60310" s="193"/>
    </row>
    <row r="60311" spans="6:6" x14ac:dyDescent="0.3">
      <c r="F60311" s="193"/>
    </row>
    <row r="60312" spans="6:6" x14ac:dyDescent="0.3">
      <c r="F60312" s="193"/>
    </row>
    <row r="60313" spans="6:6" x14ac:dyDescent="0.3">
      <c r="F60313" s="193"/>
    </row>
    <row r="60314" spans="6:6" x14ac:dyDescent="0.3">
      <c r="F60314" s="193"/>
    </row>
    <row r="60315" spans="6:6" x14ac:dyDescent="0.3">
      <c r="F60315" s="193"/>
    </row>
    <row r="60316" spans="6:6" x14ac:dyDescent="0.3">
      <c r="F60316" s="193"/>
    </row>
    <row r="60317" spans="6:6" x14ac:dyDescent="0.3">
      <c r="F60317" s="193"/>
    </row>
    <row r="60318" spans="6:6" x14ac:dyDescent="0.3">
      <c r="F60318" s="193"/>
    </row>
    <row r="60319" spans="6:6" x14ac:dyDescent="0.3">
      <c r="F60319" s="193"/>
    </row>
    <row r="60320" spans="6:6" x14ac:dyDescent="0.3">
      <c r="F60320" s="193"/>
    </row>
    <row r="60321" spans="6:6" x14ac:dyDescent="0.3">
      <c r="F60321" s="193"/>
    </row>
    <row r="60322" spans="6:6" x14ac:dyDescent="0.3">
      <c r="F60322" s="193"/>
    </row>
    <row r="60323" spans="6:6" x14ac:dyDescent="0.3">
      <c r="F60323" s="193"/>
    </row>
    <row r="60324" spans="6:6" x14ac:dyDescent="0.3">
      <c r="F60324" s="193"/>
    </row>
    <row r="60325" spans="6:6" x14ac:dyDescent="0.3">
      <c r="F60325" s="193"/>
    </row>
    <row r="60326" spans="6:6" x14ac:dyDescent="0.3">
      <c r="F60326" s="193"/>
    </row>
    <row r="60327" spans="6:6" x14ac:dyDescent="0.3">
      <c r="F60327" s="193"/>
    </row>
    <row r="60328" spans="6:6" x14ac:dyDescent="0.3">
      <c r="F60328" s="193"/>
    </row>
    <row r="60329" spans="6:6" x14ac:dyDescent="0.3">
      <c r="F60329" s="193"/>
    </row>
    <row r="60330" spans="6:6" x14ac:dyDescent="0.3">
      <c r="F60330" s="193"/>
    </row>
    <row r="60331" spans="6:6" x14ac:dyDescent="0.3">
      <c r="F60331" s="193"/>
    </row>
    <row r="60332" spans="6:6" x14ac:dyDescent="0.3">
      <c r="F60332" s="193"/>
    </row>
    <row r="60333" spans="6:6" x14ac:dyDescent="0.3">
      <c r="F60333" s="193"/>
    </row>
    <row r="60334" spans="6:6" x14ac:dyDescent="0.3">
      <c r="F60334" s="193"/>
    </row>
    <row r="60335" spans="6:6" x14ac:dyDescent="0.3">
      <c r="F60335" s="193"/>
    </row>
    <row r="60336" spans="6:6" x14ac:dyDescent="0.3">
      <c r="F60336" s="193"/>
    </row>
    <row r="60337" spans="6:6" x14ac:dyDescent="0.3">
      <c r="F60337" s="193"/>
    </row>
    <row r="60338" spans="6:6" x14ac:dyDescent="0.3">
      <c r="F60338" s="193"/>
    </row>
    <row r="60339" spans="6:6" x14ac:dyDescent="0.3">
      <c r="F60339" s="193"/>
    </row>
    <row r="60340" spans="6:6" x14ac:dyDescent="0.3">
      <c r="F60340" s="193"/>
    </row>
    <row r="60341" spans="6:6" x14ac:dyDescent="0.3">
      <c r="F60341" s="193"/>
    </row>
    <row r="60342" spans="6:6" x14ac:dyDescent="0.3">
      <c r="F60342" s="193"/>
    </row>
    <row r="60343" spans="6:6" x14ac:dyDescent="0.3">
      <c r="F60343" s="193"/>
    </row>
    <row r="60344" spans="6:6" x14ac:dyDescent="0.3">
      <c r="F60344" s="193"/>
    </row>
    <row r="60345" spans="6:6" x14ac:dyDescent="0.3">
      <c r="F60345" s="193"/>
    </row>
    <row r="60346" spans="6:6" x14ac:dyDescent="0.3">
      <c r="F60346" s="193"/>
    </row>
    <row r="60347" spans="6:6" x14ac:dyDescent="0.3">
      <c r="F60347" s="193"/>
    </row>
    <row r="60348" spans="6:6" x14ac:dyDescent="0.3">
      <c r="F60348" s="193"/>
    </row>
    <row r="60349" spans="6:6" x14ac:dyDescent="0.3">
      <c r="F60349" s="193"/>
    </row>
    <row r="60350" spans="6:6" x14ac:dyDescent="0.3">
      <c r="F60350" s="193"/>
    </row>
    <row r="60351" spans="6:6" x14ac:dyDescent="0.3">
      <c r="F60351" s="193"/>
    </row>
    <row r="60352" spans="6:6" x14ac:dyDescent="0.3">
      <c r="F60352" s="193"/>
    </row>
    <row r="60353" spans="6:6" x14ac:dyDescent="0.3">
      <c r="F60353" s="193"/>
    </row>
    <row r="60354" spans="6:6" x14ac:dyDescent="0.3">
      <c r="F60354" s="193"/>
    </row>
    <row r="60355" spans="6:6" x14ac:dyDescent="0.3">
      <c r="F60355" s="193"/>
    </row>
    <row r="60356" spans="6:6" x14ac:dyDescent="0.3">
      <c r="F60356" s="193"/>
    </row>
    <row r="60357" spans="6:6" x14ac:dyDescent="0.3">
      <c r="F60357" s="193"/>
    </row>
    <row r="60358" spans="6:6" x14ac:dyDescent="0.3">
      <c r="F60358" s="193"/>
    </row>
    <row r="60359" spans="6:6" x14ac:dyDescent="0.3">
      <c r="F60359" s="193"/>
    </row>
    <row r="60360" spans="6:6" x14ac:dyDescent="0.3">
      <c r="F60360" s="193"/>
    </row>
    <row r="60361" spans="6:6" x14ac:dyDescent="0.3">
      <c r="F60361" s="193"/>
    </row>
    <row r="60362" spans="6:6" x14ac:dyDescent="0.3">
      <c r="F60362" s="193"/>
    </row>
    <row r="60363" spans="6:6" x14ac:dyDescent="0.3">
      <c r="F60363" s="193"/>
    </row>
    <row r="60364" spans="6:6" x14ac:dyDescent="0.3">
      <c r="F60364" s="193"/>
    </row>
    <row r="60365" spans="6:6" x14ac:dyDescent="0.3">
      <c r="F60365" s="193"/>
    </row>
    <row r="60366" spans="6:6" x14ac:dyDescent="0.3">
      <c r="F60366" s="193"/>
    </row>
    <row r="60367" spans="6:6" x14ac:dyDescent="0.3">
      <c r="F60367" s="193"/>
    </row>
    <row r="60368" spans="6:6" x14ac:dyDescent="0.3">
      <c r="F60368" s="193"/>
    </row>
    <row r="60369" spans="6:6" x14ac:dyDescent="0.3">
      <c r="F60369" s="193"/>
    </row>
    <row r="60370" spans="6:6" x14ac:dyDescent="0.3">
      <c r="F60370" s="193"/>
    </row>
    <row r="60371" spans="6:6" x14ac:dyDescent="0.3">
      <c r="F60371" s="193"/>
    </row>
    <row r="60372" spans="6:6" x14ac:dyDescent="0.3">
      <c r="F60372" s="193"/>
    </row>
    <row r="60373" spans="6:6" x14ac:dyDescent="0.3">
      <c r="F60373" s="193"/>
    </row>
    <row r="60374" spans="6:6" x14ac:dyDescent="0.3">
      <c r="F60374" s="193"/>
    </row>
    <row r="60375" spans="6:6" x14ac:dyDescent="0.3">
      <c r="F60375" s="193"/>
    </row>
    <row r="60376" spans="6:6" x14ac:dyDescent="0.3">
      <c r="F60376" s="193"/>
    </row>
    <row r="60377" spans="6:6" x14ac:dyDescent="0.3">
      <c r="F60377" s="193"/>
    </row>
    <row r="60378" spans="6:6" x14ac:dyDescent="0.3">
      <c r="F60378" s="193"/>
    </row>
    <row r="60379" spans="6:6" x14ac:dyDescent="0.3">
      <c r="F60379" s="193"/>
    </row>
    <row r="60380" spans="6:6" x14ac:dyDescent="0.3">
      <c r="F60380" s="193"/>
    </row>
    <row r="60381" spans="6:6" x14ac:dyDescent="0.3">
      <c r="F60381" s="193"/>
    </row>
    <row r="60382" spans="6:6" x14ac:dyDescent="0.3">
      <c r="F60382" s="193"/>
    </row>
    <row r="60383" spans="6:6" x14ac:dyDescent="0.3">
      <c r="F60383" s="193"/>
    </row>
    <row r="60384" spans="6:6" x14ac:dyDescent="0.3">
      <c r="F60384" s="193"/>
    </row>
    <row r="60385" spans="6:6" x14ac:dyDescent="0.3">
      <c r="F60385" s="193"/>
    </row>
    <row r="60386" spans="6:6" x14ac:dyDescent="0.3">
      <c r="F60386" s="193"/>
    </row>
    <row r="60387" spans="6:6" x14ac:dyDescent="0.3">
      <c r="F60387" s="193"/>
    </row>
    <row r="60388" spans="6:6" x14ac:dyDescent="0.3">
      <c r="F60388" s="193"/>
    </row>
    <row r="60389" spans="6:6" x14ac:dyDescent="0.3">
      <c r="F60389" s="193"/>
    </row>
    <row r="60390" spans="6:6" x14ac:dyDescent="0.3">
      <c r="F60390" s="193"/>
    </row>
    <row r="60391" spans="6:6" x14ac:dyDescent="0.3">
      <c r="F60391" s="193"/>
    </row>
    <row r="60392" spans="6:6" x14ac:dyDescent="0.3">
      <c r="F60392" s="193"/>
    </row>
    <row r="60393" spans="6:6" x14ac:dyDescent="0.3">
      <c r="F60393" s="193"/>
    </row>
    <row r="60394" spans="6:6" x14ac:dyDescent="0.3">
      <c r="F60394" s="193"/>
    </row>
    <row r="60395" spans="6:6" x14ac:dyDescent="0.3">
      <c r="F60395" s="193"/>
    </row>
    <row r="60396" spans="6:6" x14ac:dyDescent="0.3">
      <c r="F60396" s="193"/>
    </row>
    <row r="60397" spans="6:6" x14ac:dyDescent="0.3">
      <c r="F60397" s="193"/>
    </row>
    <row r="60398" spans="6:6" x14ac:dyDescent="0.3">
      <c r="F60398" s="193"/>
    </row>
    <row r="60399" spans="6:6" x14ac:dyDescent="0.3">
      <c r="F60399" s="193"/>
    </row>
    <row r="60400" spans="6:6" x14ac:dyDescent="0.3">
      <c r="F60400" s="193"/>
    </row>
    <row r="60401" spans="6:6" x14ac:dyDescent="0.3">
      <c r="F60401" s="193"/>
    </row>
    <row r="60402" spans="6:6" x14ac:dyDescent="0.3">
      <c r="F60402" s="193"/>
    </row>
    <row r="60403" spans="6:6" x14ac:dyDescent="0.3">
      <c r="F60403" s="193"/>
    </row>
    <row r="60404" spans="6:6" x14ac:dyDescent="0.3">
      <c r="F60404" s="193"/>
    </row>
    <row r="60405" spans="6:6" x14ac:dyDescent="0.3">
      <c r="F60405" s="193"/>
    </row>
    <row r="60406" spans="6:6" x14ac:dyDescent="0.3">
      <c r="F60406" s="193"/>
    </row>
    <row r="60407" spans="6:6" x14ac:dyDescent="0.3">
      <c r="F60407" s="193"/>
    </row>
    <row r="60408" spans="6:6" x14ac:dyDescent="0.3">
      <c r="F60408" s="193"/>
    </row>
    <row r="60409" spans="6:6" x14ac:dyDescent="0.3">
      <c r="F60409" s="193"/>
    </row>
    <row r="60410" spans="6:6" x14ac:dyDescent="0.3">
      <c r="F60410" s="193"/>
    </row>
    <row r="60411" spans="6:6" x14ac:dyDescent="0.3">
      <c r="F60411" s="193"/>
    </row>
    <row r="60412" spans="6:6" x14ac:dyDescent="0.3">
      <c r="F60412" s="193"/>
    </row>
    <row r="60413" spans="6:6" x14ac:dyDescent="0.3">
      <c r="F60413" s="193"/>
    </row>
    <row r="60414" spans="6:6" x14ac:dyDescent="0.3">
      <c r="F60414" s="193"/>
    </row>
    <row r="60415" spans="6:6" x14ac:dyDescent="0.3">
      <c r="F60415" s="193"/>
    </row>
    <row r="60416" spans="6:6" x14ac:dyDescent="0.3">
      <c r="F60416" s="193"/>
    </row>
    <row r="60417" spans="6:6" x14ac:dyDescent="0.3">
      <c r="F60417" s="193"/>
    </row>
    <row r="60418" spans="6:6" x14ac:dyDescent="0.3">
      <c r="F60418" s="193"/>
    </row>
    <row r="60419" spans="6:6" x14ac:dyDescent="0.3">
      <c r="F60419" s="193"/>
    </row>
    <row r="60420" spans="6:6" x14ac:dyDescent="0.3">
      <c r="F60420" s="193"/>
    </row>
    <row r="60421" spans="6:6" x14ac:dyDescent="0.3">
      <c r="F60421" s="193"/>
    </row>
    <row r="60422" spans="6:6" x14ac:dyDescent="0.3">
      <c r="F60422" s="193"/>
    </row>
    <row r="60423" spans="6:6" x14ac:dyDescent="0.3">
      <c r="F60423" s="193"/>
    </row>
    <row r="60424" spans="6:6" x14ac:dyDescent="0.3">
      <c r="F60424" s="193"/>
    </row>
    <row r="60425" spans="6:6" x14ac:dyDescent="0.3">
      <c r="F60425" s="193"/>
    </row>
    <row r="60426" spans="6:6" x14ac:dyDescent="0.3">
      <c r="F60426" s="193"/>
    </row>
    <row r="60427" spans="6:6" x14ac:dyDescent="0.3">
      <c r="F60427" s="193"/>
    </row>
    <row r="60428" spans="6:6" x14ac:dyDescent="0.3">
      <c r="F60428" s="193"/>
    </row>
    <row r="60429" spans="6:6" x14ac:dyDescent="0.3">
      <c r="F60429" s="193"/>
    </row>
    <row r="60430" spans="6:6" x14ac:dyDescent="0.3">
      <c r="F60430" s="193"/>
    </row>
    <row r="60431" spans="6:6" x14ac:dyDescent="0.3">
      <c r="F60431" s="193"/>
    </row>
    <row r="60432" spans="6:6" x14ac:dyDescent="0.3">
      <c r="F60432" s="193"/>
    </row>
    <row r="60433" spans="6:6" x14ac:dyDescent="0.3">
      <c r="F60433" s="193"/>
    </row>
    <row r="60434" spans="6:6" x14ac:dyDescent="0.3">
      <c r="F60434" s="193"/>
    </row>
    <row r="60435" spans="6:6" x14ac:dyDescent="0.3">
      <c r="F60435" s="193"/>
    </row>
    <row r="60436" spans="6:6" x14ac:dyDescent="0.3">
      <c r="F60436" s="193"/>
    </row>
    <row r="60437" spans="6:6" x14ac:dyDescent="0.3">
      <c r="F60437" s="193"/>
    </row>
    <row r="60438" spans="6:6" x14ac:dyDescent="0.3">
      <c r="F60438" s="193"/>
    </row>
    <row r="60439" spans="6:6" x14ac:dyDescent="0.3">
      <c r="F60439" s="193"/>
    </row>
    <row r="60440" spans="6:6" x14ac:dyDescent="0.3">
      <c r="F60440" s="193"/>
    </row>
    <row r="60441" spans="6:6" x14ac:dyDescent="0.3">
      <c r="F60441" s="193"/>
    </row>
    <row r="60442" spans="6:6" x14ac:dyDescent="0.3">
      <c r="F60442" s="193"/>
    </row>
    <row r="60443" spans="6:6" x14ac:dyDescent="0.3">
      <c r="F60443" s="193"/>
    </row>
    <row r="60444" spans="6:6" x14ac:dyDescent="0.3">
      <c r="F60444" s="193"/>
    </row>
    <row r="60445" spans="6:6" x14ac:dyDescent="0.3">
      <c r="F60445" s="193"/>
    </row>
    <row r="60446" spans="6:6" x14ac:dyDescent="0.3">
      <c r="F60446" s="193"/>
    </row>
    <row r="60447" spans="6:6" x14ac:dyDescent="0.3">
      <c r="F60447" s="193"/>
    </row>
    <row r="60448" spans="6:6" x14ac:dyDescent="0.3">
      <c r="F60448" s="193"/>
    </row>
    <row r="60449" spans="6:6" x14ac:dyDescent="0.3">
      <c r="F60449" s="193"/>
    </row>
    <row r="60450" spans="6:6" x14ac:dyDescent="0.3">
      <c r="F60450" s="193"/>
    </row>
    <row r="60451" spans="6:6" x14ac:dyDescent="0.3">
      <c r="F60451" s="193"/>
    </row>
    <row r="60452" spans="6:6" x14ac:dyDescent="0.3">
      <c r="F60452" s="193"/>
    </row>
    <row r="60453" spans="6:6" x14ac:dyDescent="0.3">
      <c r="F60453" s="193"/>
    </row>
    <row r="60454" spans="6:6" x14ac:dyDescent="0.3">
      <c r="F60454" s="193"/>
    </row>
    <row r="60455" spans="6:6" x14ac:dyDescent="0.3">
      <c r="F60455" s="193"/>
    </row>
    <row r="60456" spans="6:6" x14ac:dyDescent="0.3">
      <c r="F60456" s="193"/>
    </row>
    <row r="60457" spans="6:6" x14ac:dyDescent="0.3">
      <c r="F60457" s="193"/>
    </row>
    <row r="60458" spans="6:6" x14ac:dyDescent="0.3">
      <c r="F60458" s="193"/>
    </row>
    <row r="60459" spans="6:6" x14ac:dyDescent="0.3">
      <c r="F60459" s="193"/>
    </row>
    <row r="60460" spans="6:6" x14ac:dyDescent="0.3">
      <c r="F60460" s="193"/>
    </row>
    <row r="60461" spans="6:6" x14ac:dyDescent="0.3">
      <c r="F60461" s="193"/>
    </row>
    <row r="60462" spans="6:6" x14ac:dyDescent="0.3">
      <c r="F60462" s="193"/>
    </row>
    <row r="60463" spans="6:6" x14ac:dyDescent="0.3">
      <c r="F60463" s="193"/>
    </row>
    <row r="60464" spans="6:6" x14ac:dyDescent="0.3">
      <c r="F60464" s="193"/>
    </row>
    <row r="60465" spans="6:6" x14ac:dyDescent="0.3">
      <c r="F60465" s="193"/>
    </row>
    <row r="60466" spans="6:6" x14ac:dyDescent="0.3">
      <c r="F60466" s="193"/>
    </row>
    <row r="60467" spans="6:6" x14ac:dyDescent="0.3">
      <c r="F60467" s="193"/>
    </row>
    <row r="60468" spans="6:6" x14ac:dyDescent="0.3">
      <c r="F60468" s="193"/>
    </row>
    <row r="60469" spans="6:6" x14ac:dyDescent="0.3">
      <c r="F60469" s="193"/>
    </row>
    <row r="60470" spans="6:6" x14ac:dyDescent="0.3">
      <c r="F60470" s="193"/>
    </row>
    <row r="60471" spans="6:6" x14ac:dyDescent="0.3">
      <c r="F60471" s="193"/>
    </row>
    <row r="60472" spans="6:6" x14ac:dyDescent="0.3">
      <c r="F60472" s="193"/>
    </row>
    <row r="60473" spans="6:6" x14ac:dyDescent="0.3">
      <c r="F60473" s="193"/>
    </row>
    <row r="60474" spans="6:6" x14ac:dyDescent="0.3">
      <c r="F60474" s="193"/>
    </row>
    <row r="60475" spans="6:6" x14ac:dyDescent="0.3">
      <c r="F60475" s="193"/>
    </row>
    <row r="60476" spans="6:6" x14ac:dyDescent="0.3">
      <c r="F60476" s="193"/>
    </row>
    <row r="60477" spans="6:6" x14ac:dyDescent="0.3">
      <c r="F60477" s="193"/>
    </row>
    <row r="60478" spans="6:6" x14ac:dyDescent="0.3">
      <c r="F60478" s="193"/>
    </row>
    <row r="60479" spans="6:6" x14ac:dyDescent="0.3">
      <c r="F60479" s="193"/>
    </row>
    <row r="60480" spans="6:6" x14ac:dyDescent="0.3">
      <c r="F60480" s="193"/>
    </row>
    <row r="60481" spans="6:6" x14ac:dyDescent="0.3">
      <c r="F60481" s="193"/>
    </row>
    <row r="60482" spans="6:6" x14ac:dyDescent="0.3">
      <c r="F60482" s="193"/>
    </row>
    <row r="60483" spans="6:6" x14ac:dyDescent="0.3">
      <c r="F60483" s="193"/>
    </row>
    <row r="60484" spans="6:6" x14ac:dyDescent="0.3">
      <c r="F60484" s="193"/>
    </row>
    <row r="60485" spans="6:6" x14ac:dyDescent="0.3">
      <c r="F60485" s="193"/>
    </row>
    <row r="60486" spans="6:6" x14ac:dyDescent="0.3">
      <c r="F60486" s="193"/>
    </row>
    <row r="60487" spans="6:6" x14ac:dyDescent="0.3">
      <c r="F60487" s="193"/>
    </row>
    <row r="60488" spans="6:6" x14ac:dyDescent="0.3">
      <c r="F60488" s="193"/>
    </row>
    <row r="60489" spans="6:6" x14ac:dyDescent="0.3">
      <c r="F60489" s="193"/>
    </row>
    <row r="60490" spans="6:6" x14ac:dyDescent="0.3">
      <c r="F60490" s="193"/>
    </row>
    <row r="60491" spans="6:6" x14ac:dyDescent="0.3">
      <c r="F60491" s="193"/>
    </row>
    <row r="60492" spans="6:6" x14ac:dyDescent="0.3">
      <c r="F60492" s="193"/>
    </row>
    <row r="60493" spans="6:6" x14ac:dyDescent="0.3">
      <c r="F60493" s="193"/>
    </row>
    <row r="60494" spans="6:6" x14ac:dyDescent="0.3">
      <c r="F60494" s="193"/>
    </row>
    <row r="60495" spans="6:6" x14ac:dyDescent="0.3">
      <c r="F60495" s="193"/>
    </row>
    <row r="60496" spans="6:6" x14ac:dyDescent="0.3">
      <c r="F60496" s="193"/>
    </row>
    <row r="60497" spans="6:6" x14ac:dyDescent="0.3">
      <c r="F60497" s="193"/>
    </row>
    <row r="60498" spans="6:6" x14ac:dyDescent="0.3">
      <c r="F60498" s="193"/>
    </row>
    <row r="60499" spans="6:6" x14ac:dyDescent="0.3">
      <c r="F60499" s="193"/>
    </row>
    <row r="60500" spans="6:6" x14ac:dyDescent="0.3">
      <c r="F60500" s="193"/>
    </row>
    <row r="60501" spans="6:6" x14ac:dyDescent="0.3">
      <c r="F60501" s="193"/>
    </row>
    <row r="60502" spans="6:6" x14ac:dyDescent="0.3">
      <c r="F60502" s="193"/>
    </row>
    <row r="60503" spans="6:6" x14ac:dyDescent="0.3">
      <c r="F60503" s="193"/>
    </row>
    <row r="60504" spans="6:6" x14ac:dyDescent="0.3">
      <c r="F60504" s="193"/>
    </row>
    <row r="60505" spans="6:6" x14ac:dyDescent="0.3">
      <c r="F60505" s="193"/>
    </row>
    <row r="60506" spans="6:6" x14ac:dyDescent="0.3">
      <c r="F60506" s="193"/>
    </row>
    <row r="60507" spans="6:6" x14ac:dyDescent="0.3">
      <c r="F60507" s="193"/>
    </row>
    <row r="60508" spans="6:6" x14ac:dyDescent="0.3">
      <c r="F60508" s="193"/>
    </row>
    <row r="60509" spans="6:6" x14ac:dyDescent="0.3">
      <c r="F60509" s="193"/>
    </row>
    <row r="60510" spans="6:6" x14ac:dyDescent="0.3">
      <c r="F60510" s="193"/>
    </row>
    <row r="60511" spans="6:6" x14ac:dyDescent="0.3">
      <c r="F60511" s="193"/>
    </row>
    <row r="60512" spans="6:6" x14ac:dyDescent="0.3">
      <c r="F60512" s="193"/>
    </row>
    <row r="60513" spans="6:6" x14ac:dyDescent="0.3">
      <c r="F60513" s="193"/>
    </row>
    <row r="60514" spans="6:6" x14ac:dyDescent="0.3">
      <c r="F60514" s="193"/>
    </row>
    <row r="60515" spans="6:6" x14ac:dyDescent="0.3">
      <c r="F60515" s="193"/>
    </row>
    <row r="60516" spans="6:6" x14ac:dyDescent="0.3">
      <c r="F60516" s="193"/>
    </row>
    <row r="60517" spans="6:6" x14ac:dyDescent="0.3">
      <c r="F60517" s="193"/>
    </row>
    <row r="60518" spans="6:6" x14ac:dyDescent="0.3">
      <c r="F60518" s="193"/>
    </row>
    <row r="60519" spans="6:6" x14ac:dyDescent="0.3">
      <c r="F60519" s="193"/>
    </row>
    <row r="60520" spans="6:6" x14ac:dyDescent="0.3">
      <c r="F60520" s="193"/>
    </row>
    <row r="60521" spans="6:6" x14ac:dyDescent="0.3">
      <c r="F60521" s="193"/>
    </row>
    <row r="60522" spans="6:6" x14ac:dyDescent="0.3">
      <c r="F60522" s="193"/>
    </row>
    <row r="60523" spans="6:6" x14ac:dyDescent="0.3">
      <c r="F60523" s="193"/>
    </row>
    <row r="60524" spans="6:6" x14ac:dyDescent="0.3">
      <c r="F60524" s="193"/>
    </row>
    <row r="60525" spans="6:6" x14ac:dyDescent="0.3">
      <c r="F60525" s="193"/>
    </row>
    <row r="60526" spans="6:6" x14ac:dyDescent="0.3">
      <c r="F60526" s="193"/>
    </row>
    <row r="60527" spans="6:6" x14ac:dyDescent="0.3">
      <c r="F60527" s="193"/>
    </row>
    <row r="60528" spans="6:6" x14ac:dyDescent="0.3">
      <c r="F60528" s="193"/>
    </row>
    <row r="60529" spans="6:6" x14ac:dyDescent="0.3">
      <c r="F60529" s="193"/>
    </row>
    <row r="60530" spans="6:6" x14ac:dyDescent="0.3">
      <c r="F60530" s="193"/>
    </row>
    <row r="60531" spans="6:6" x14ac:dyDescent="0.3">
      <c r="F60531" s="193"/>
    </row>
    <row r="60532" spans="6:6" x14ac:dyDescent="0.3">
      <c r="F60532" s="193"/>
    </row>
    <row r="60533" spans="6:6" x14ac:dyDescent="0.3">
      <c r="F60533" s="193"/>
    </row>
    <row r="60534" spans="6:6" x14ac:dyDescent="0.3">
      <c r="F60534" s="193"/>
    </row>
    <row r="60535" spans="6:6" x14ac:dyDescent="0.3">
      <c r="F60535" s="193"/>
    </row>
    <row r="60536" spans="6:6" x14ac:dyDescent="0.3">
      <c r="F60536" s="193"/>
    </row>
    <row r="60537" spans="6:6" x14ac:dyDescent="0.3">
      <c r="F60537" s="193"/>
    </row>
    <row r="60538" spans="6:6" x14ac:dyDescent="0.3">
      <c r="F60538" s="193"/>
    </row>
    <row r="60539" spans="6:6" x14ac:dyDescent="0.3">
      <c r="F60539" s="193"/>
    </row>
    <row r="60540" spans="6:6" x14ac:dyDescent="0.3">
      <c r="F60540" s="193"/>
    </row>
    <row r="60541" spans="6:6" x14ac:dyDescent="0.3">
      <c r="F60541" s="193"/>
    </row>
    <row r="60542" spans="6:6" x14ac:dyDescent="0.3">
      <c r="F60542" s="193"/>
    </row>
    <row r="60543" spans="6:6" x14ac:dyDescent="0.3">
      <c r="F60543" s="193"/>
    </row>
    <row r="60544" spans="6:6" x14ac:dyDescent="0.3">
      <c r="F60544" s="193"/>
    </row>
    <row r="60545" spans="6:6" x14ac:dyDescent="0.3">
      <c r="F60545" s="193"/>
    </row>
    <row r="60546" spans="6:6" x14ac:dyDescent="0.3">
      <c r="F60546" s="193"/>
    </row>
    <row r="60547" spans="6:6" x14ac:dyDescent="0.3">
      <c r="F60547" s="193"/>
    </row>
    <row r="60548" spans="6:6" x14ac:dyDescent="0.3">
      <c r="F60548" s="193"/>
    </row>
    <row r="60549" spans="6:6" x14ac:dyDescent="0.3">
      <c r="F60549" s="193"/>
    </row>
    <row r="60550" spans="6:6" x14ac:dyDescent="0.3">
      <c r="F60550" s="193"/>
    </row>
    <row r="60551" spans="6:6" x14ac:dyDescent="0.3">
      <c r="F60551" s="193"/>
    </row>
    <row r="60552" spans="6:6" x14ac:dyDescent="0.3">
      <c r="F60552" s="193"/>
    </row>
    <row r="60553" spans="6:6" x14ac:dyDescent="0.3">
      <c r="F60553" s="193"/>
    </row>
    <row r="60554" spans="6:6" x14ac:dyDescent="0.3">
      <c r="F60554" s="193"/>
    </row>
    <row r="60555" spans="6:6" x14ac:dyDescent="0.3">
      <c r="F60555" s="193"/>
    </row>
    <row r="60556" spans="6:6" x14ac:dyDescent="0.3">
      <c r="F60556" s="193"/>
    </row>
    <row r="60557" spans="6:6" x14ac:dyDescent="0.3">
      <c r="F60557" s="193"/>
    </row>
    <row r="60558" spans="6:6" x14ac:dyDescent="0.3">
      <c r="F60558" s="193"/>
    </row>
    <row r="60559" spans="6:6" x14ac:dyDescent="0.3">
      <c r="F60559" s="193"/>
    </row>
    <row r="60560" spans="6:6" x14ac:dyDescent="0.3">
      <c r="F60560" s="193"/>
    </row>
    <row r="60561" spans="6:6" x14ac:dyDescent="0.3">
      <c r="F60561" s="193"/>
    </row>
    <row r="60562" spans="6:6" x14ac:dyDescent="0.3">
      <c r="F60562" s="193"/>
    </row>
    <row r="60563" spans="6:6" x14ac:dyDescent="0.3">
      <c r="F60563" s="193"/>
    </row>
    <row r="60564" spans="6:6" x14ac:dyDescent="0.3">
      <c r="F60564" s="193"/>
    </row>
    <row r="60565" spans="6:6" x14ac:dyDescent="0.3">
      <c r="F60565" s="193"/>
    </row>
    <row r="60566" spans="6:6" x14ac:dyDescent="0.3">
      <c r="F60566" s="193"/>
    </row>
    <row r="60567" spans="6:6" x14ac:dyDescent="0.3">
      <c r="F60567" s="193"/>
    </row>
    <row r="60568" spans="6:6" x14ac:dyDescent="0.3">
      <c r="F60568" s="193"/>
    </row>
    <row r="60569" spans="6:6" x14ac:dyDescent="0.3">
      <c r="F60569" s="193"/>
    </row>
    <row r="60570" spans="6:6" x14ac:dyDescent="0.3">
      <c r="F60570" s="193"/>
    </row>
    <row r="60571" spans="6:6" x14ac:dyDescent="0.3">
      <c r="F60571" s="193"/>
    </row>
    <row r="60572" spans="6:6" x14ac:dyDescent="0.3">
      <c r="F60572" s="193"/>
    </row>
    <row r="60573" spans="6:6" x14ac:dyDescent="0.3">
      <c r="F60573" s="193"/>
    </row>
    <row r="60574" spans="6:6" x14ac:dyDescent="0.3">
      <c r="F60574" s="193"/>
    </row>
    <row r="60575" spans="6:6" x14ac:dyDescent="0.3">
      <c r="F60575" s="193"/>
    </row>
    <row r="60576" spans="6:6" x14ac:dyDescent="0.3">
      <c r="F60576" s="193"/>
    </row>
    <row r="60577" spans="6:6" x14ac:dyDescent="0.3">
      <c r="F60577" s="193"/>
    </row>
    <row r="60578" spans="6:6" x14ac:dyDescent="0.3">
      <c r="F60578" s="193"/>
    </row>
    <row r="60579" spans="6:6" x14ac:dyDescent="0.3">
      <c r="F60579" s="193"/>
    </row>
    <row r="60580" spans="6:6" x14ac:dyDescent="0.3">
      <c r="F60580" s="193"/>
    </row>
    <row r="60581" spans="6:6" x14ac:dyDescent="0.3">
      <c r="F60581" s="193"/>
    </row>
    <row r="60582" spans="6:6" x14ac:dyDescent="0.3">
      <c r="F60582" s="193"/>
    </row>
    <row r="60583" spans="6:6" x14ac:dyDescent="0.3">
      <c r="F60583" s="193"/>
    </row>
    <row r="60584" spans="6:6" x14ac:dyDescent="0.3">
      <c r="F60584" s="193"/>
    </row>
    <row r="60585" spans="6:6" x14ac:dyDescent="0.3">
      <c r="F60585" s="193"/>
    </row>
    <row r="60586" spans="6:6" x14ac:dyDescent="0.3">
      <c r="F60586" s="193"/>
    </row>
    <row r="60587" spans="6:6" x14ac:dyDescent="0.3">
      <c r="F60587" s="193"/>
    </row>
    <row r="60588" spans="6:6" x14ac:dyDescent="0.3">
      <c r="F60588" s="193"/>
    </row>
    <row r="60589" spans="6:6" x14ac:dyDescent="0.3">
      <c r="F60589" s="193"/>
    </row>
    <row r="60590" spans="6:6" x14ac:dyDescent="0.3">
      <c r="F60590" s="193"/>
    </row>
    <row r="60591" spans="6:6" x14ac:dyDescent="0.3">
      <c r="F60591" s="193"/>
    </row>
    <row r="60592" spans="6:6" x14ac:dyDescent="0.3">
      <c r="F60592" s="193"/>
    </row>
    <row r="60593" spans="6:6" x14ac:dyDescent="0.3">
      <c r="F60593" s="193"/>
    </row>
    <row r="60594" spans="6:6" x14ac:dyDescent="0.3">
      <c r="F60594" s="193"/>
    </row>
    <row r="60595" spans="6:6" x14ac:dyDescent="0.3">
      <c r="F60595" s="193"/>
    </row>
    <row r="60596" spans="6:6" x14ac:dyDescent="0.3">
      <c r="F60596" s="193"/>
    </row>
    <row r="60597" spans="6:6" x14ac:dyDescent="0.3">
      <c r="F60597" s="193"/>
    </row>
    <row r="60598" spans="6:6" x14ac:dyDescent="0.3">
      <c r="F60598" s="193"/>
    </row>
    <row r="60599" spans="6:6" x14ac:dyDescent="0.3">
      <c r="F60599" s="193"/>
    </row>
    <row r="60600" spans="6:6" x14ac:dyDescent="0.3">
      <c r="F60600" s="193"/>
    </row>
    <row r="60601" spans="6:6" x14ac:dyDescent="0.3">
      <c r="F60601" s="193"/>
    </row>
    <row r="60602" spans="6:6" x14ac:dyDescent="0.3">
      <c r="F60602" s="193"/>
    </row>
    <row r="60603" spans="6:6" x14ac:dyDescent="0.3">
      <c r="F60603" s="193"/>
    </row>
    <row r="60604" spans="6:6" x14ac:dyDescent="0.3">
      <c r="F60604" s="193"/>
    </row>
    <row r="60605" spans="6:6" x14ac:dyDescent="0.3">
      <c r="F60605" s="193"/>
    </row>
    <row r="60606" spans="6:6" x14ac:dyDescent="0.3">
      <c r="F60606" s="193"/>
    </row>
    <row r="60607" spans="6:6" x14ac:dyDescent="0.3">
      <c r="F60607" s="193"/>
    </row>
    <row r="60608" spans="6:6" x14ac:dyDescent="0.3">
      <c r="F60608" s="193"/>
    </row>
    <row r="60609" spans="6:6" x14ac:dyDescent="0.3">
      <c r="F60609" s="193"/>
    </row>
    <row r="60610" spans="6:6" x14ac:dyDescent="0.3">
      <c r="F60610" s="193"/>
    </row>
    <row r="60611" spans="6:6" x14ac:dyDescent="0.3">
      <c r="F60611" s="193"/>
    </row>
    <row r="60612" spans="6:6" x14ac:dyDescent="0.3">
      <c r="F60612" s="193"/>
    </row>
    <row r="60613" spans="6:6" x14ac:dyDescent="0.3">
      <c r="F60613" s="193"/>
    </row>
    <row r="60614" spans="6:6" x14ac:dyDescent="0.3">
      <c r="F60614" s="193"/>
    </row>
    <row r="60615" spans="6:6" x14ac:dyDescent="0.3">
      <c r="F60615" s="193"/>
    </row>
    <row r="60616" spans="6:6" x14ac:dyDescent="0.3">
      <c r="F60616" s="193"/>
    </row>
    <row r="60617" spans="6:6" x14ac:dyDescent="0.3">
      <c r="F60617" s="193"/>
    </row>
    <row r="60618" spans="6:6" x14ac:dyDescent="0.3">
      <c r="F60618" s="193"/>
    </row>
    <row r="60619" spans="6:6" x14ac:dyDescent="0.3">
      <c r="F60619" s="193"/>
    </row>
    <row r="60620" spans="6:6" x14ac:dyDescent="0.3">
      <c r="F60620" s="193"/>
    </row>
    <row r="60621" spans="6:6" x14ac:dyDescent="0.3">
      <c r="F60621" s="193"/>
    </row>
    <row r="60622" spans="6:6" x14ac:dyDescent="0.3">
      <c r="F60622" s="193"/>
    </row>
    <row r="60623" spans="6:6" x14ac:dyDescent="0.3">
      <c r="F60623" s="193"/>
    </row>
    <row r="60624" spans="6:6" x14ac:dyDescent="0.3">
      <c r="F60624" s="193"/>
    </row>
    <row r="60625" spans="6:6" x14ac:dyDescent="0.3">
      <c r="F60625" s="193"/>
    </row>
    <row r="60626" spans="6:6" x14ac:dyDescent="0.3">
      <c r="F60626" s="193"/>
    </row>
    <row r="60627" spans="6:6" x14ac:dyDescent="0.3">
      <c r="F60627" s="193"/>
    </row>
    <row r="60628" spans="6:6" x14ac:dyDescent="0.3">
      <c r="F60628" s="193"/>
    </row>
    <row r="60629" spans="6:6" x14ac:dyDescent="0.3">
      <c r="F60629" s="193"/>
    </row>
    <row r="60630" spans="6:6" x14ac:dyDescent="0.3">
      <c r="F60630" s="193"/>
    </row>
    <row r="60631" spans="6:6" x14ac:dyDescent="0.3">
      <c r="F60631" s="193"/>
    </row>
    <row r="60632" spans="6:6" x14ac:dyDescent="0.3">
      <c r="F60632" s="193"/>
    </row>
    <row r="60633" spans="6:6" x14ac:dyDescent="0.3">
      <c r="F60633" s="193"/>
    </row>
    <row r="60634" spans="6:6" x14ac:dyDescent="0.3">
      <c r="F60634" s="193"/>
    </row>
    <row r="60635" spans="6:6" x14ac:dyDescent="0.3">
      <c r="F60635" s="193"/>
    </row>
    <row r="60636" spans="6:6" x14ac:dyDescent="0.3">
      <c r="F60636" s="193"/>
    </row>
    <row r="60637" spans="6:6" x14ac:dyDescent="0.3">
      <c r="F60637" s="193"/>
    </row>
    <row r="60638" spans="6:6" x14ac:dyDescent="0.3">
      <c r="F60638" s="193"/>
    </row>
    <row r="60639" spans="6:6" x14ac:dyDescent="0.3">
      <c r="F60639" s="193"/>
    </row>
    <row r="60640" spans="6:6" x14ac:dyDescent="0.3">
      <c r="F60640" s="193"/>
    </row>
    <row r="60641" spans="6:6" x14ac:dyDescent="0.3">
      <c r="F60641" s="193"/>
    </row>
    <row r="60642" spans="6:6" x14ac:dyDescent="0.3">
      <c r="F60642" s="193"/>
    </row>
    <row r="60643" spans="6:6" x14ac:dyDescent="0.3">
      <c r="F60643" s="193"/>
    </row>
    <row r="60644" spans="6:6" x14ac:dyDescent="0.3">
      <c r="F60644" s="193"/>
    </row>
    <row r="60645" spans="6:6" x14ac:dyDescent="0.3">
      <c r="F60645" s="193"/>
    </row>
    <row r="60646" spans="6:6" x14ac:dyDescent="0.3">
      <c r="F60646" s="193"/>
    </row>
    <row r="60647" spans="6:6" x14ac:dyDescent="0.3">
      <c r="F60647" s="193"/>
    </row>
    <row r="60648" spans="6:6" x14ac:dyDescent="0.3">
      <c r="F60648" s="193"/>
    </row>
    <row r="60649" spans="6:6" x14ac:dyDescent="0.3">
      <c r="F60649" s="193"/>
    </row>
    <row r="60650" spans="6:6" x14ac:dyDescent="0.3">
      <c r="F60650" s="193"/>
    </row>
    <row r="60651" spans="6:6" x14ac:dyDescent="0.3">
      <c r="F60651" s="193"/>
    </row>
    <row r="60652" spans="6:6" x14ac:dyDescent="0.3">
      <c r="F60652" s="193"/>
    </row>
    <row r="60653" spans="6:6" x14ac:dyDescent="0.3">
      <c r="F60653" s="193"/>
    </row>
    <row r="60654" spans="6:6" x14ac:dyDescent="0.3">
      <c r="F60654" s="193"/>
    </row>
    <row r="60655" spans="6:6" x14ac:dyDescent="0.3">
      <c r="F60655" s="193"/>
    </row>
    <row r="60656" spans="6:6" x14ac:dyDescent="0.3">
      <c r="F60656" s="193"/>
    </row>
    <row r="60657" spans="6:6" x14ac:dyDescent="0.3">
      <c r="F60657" s="193"/>
    </row>
    <row r="60658" spans="6:6" x14ac:dyDescent="0.3">
      <c r="F60658" s="193"/>
    </row>
    <row r="60659" spans="6:6" x14ac:dyDescent="0.3">
      <c r="F60659" s="193"/>
    </row>
    <row r="60660" spans="6:6" x14ac:dyDescent="0.3">
      <c r="F60660" s="193"/>
    </row>
    <row r="60661" spans="6:6" x14ac:dyDescent="0.3">
      <c r="F60661" s="193"/>
    </row>
    <row r="60662" spans="6:6" x14ac:dyDescent="0.3">
      <c r="F60662" s="193"/>
    </row>
    <row r="60663" spans="6:6" x14ac:dyDescent="0.3">
      <c r="F60663" s="193"/>
    </row>
    <row r="60664" spans="6:6" x14ac:dyDescent="0.3">
      <c r="F60664" s="193"/>
    </row>
    <row r="60665" spans="6:6" x14ac:dyDescent="0.3">
      <c r="F60665" s="193"/>
    </row>
    <row r="60666" spans="6:6" x14ac:dyDescent="0.3">
      <c r="F60666" s="193"/>
    </row>
    <row r="60667" spans="6:6" x14ac:dyDescent="0.3">
      <c r="F60667" s="193"/>
    </row>
    <row r="60668" spans="6:6" x14ac:dyDescent="0.3">
      <c r="F60668" s="193"/>
    </row>
    <row r="60669" spans="6:6" x14ac:dyDescent="0.3">
      <c r="F60669" s="193"/>
    </row>
    <row r="60670" spans="6:6" x14ac:dyDescent="0.3">
      <c r="F60670" s="193"/>
    </row>
    <row r="60671" spans="6:6" x14ac:dyDescent="0.3">
      <c r="F60671" s="193"/>
    </row>
    <row r="60672" spans="6:6" x14ac:dyDescent="0.3">
      <c r="F60672" s="193"/>
    </row>
    <row r="60673" spans="6:6" x14ac:dyDescent="0.3">
      <c r="F60673" s="193"/>
    </row>
    <row r="60674" spans="6:6" x14ac:dyDescent="0.3">
      <c r="F60674" s="193"/>
    </row>
    <row r="60675" spans="6:6" x14ac:dyDescent="0.3">
      <c r="F60675" s="193"/>
    </row>
    <row r="60676" spans="6:6" x14ac:dyDescent="0.3">
      <c r="F60676" s="193"/>
    </row>
    <row r="60677" spans="6:6" x14ac:dyDescent="0.3">
      <c r="F60677" s="193"/>
    </row>
    <row r="60678" spans="6:6" x14ac:dyDescent="0.3">
      <c r="F60678" s="193"/>
    </row>
    <row r="60679" spans="6:6" x14ac:dyDescent="0.3">
      <c r="F60679" s="193"/>
    </row>
    <row r="60680" spans="6:6" x14ac:dyDescent="0.3">
      <c r="F60680" s="193"/>
    </row>
    <row r="60681" spans="6:6" x14ac:dyDescent="0.3">
      <c r="F60681" s="193"/>
    </row>
    <row r="60682" spans="6:6" x14ac:dyDescent="0.3">
      <c r="F60682" s="193"/>
    </row>
    <row r="60683" spans="6:6" x14ac:dyDescent="0.3">
      <c r="F60683" s="193"/>
    </row>
    <row r="60684" spans="6:6" x14ac:dyDescent="0.3">
      <c r="F60684" s="193"/>
    </row>
    <row r="60685" spans="6:6" x14ac:dyDescent="0.3">
      <c r="F60685" s="193"/>
    </row>
    <row r="60686" spans="6:6" x14ac:dyDescent="0.3">
      <c r="F60686" s="193"/>
    </row>
    <row r="60687" spans="6:6" x14ac:dyDescent="0.3">
      <c r="F60687" s="193"/>
    </row>
    <row r="60688" spans="6:6" x14ac:dyDescent="0.3">
      <c r="F60688" s="193"/>
    </row>
    <row r="60689" spans="6:6" x14ac:dyDescent="0.3">
      <c r="F60689" s="193"/>
    </row>
    <row r="60690" spans="6:6" x14ac:dyDescent="0.3">
      <c r="F60690" s="193"/>
    </row>
    <row r="60691" spans="6:6" x14ac:dyDescent="0.3">
      <c r="F60691" s="193"/>
    </row>
    <row r="60692" spans="6:6" x14ac:dyDescent="0.3">
      <c r="F60692" s="193"/>
    </row>
    <row r="60693" spans="6:6" x14ac:dyDescent="0.3">
      <c r="F60693" s="193"/>
    </row>
    <row r="60694" spans="6:6" x14ac:dyDescent="0.3">
      <c r="F60694" s="193"/>
    </row>
    <row r="60695" spans="6:6" x14ac:dyDescent="0.3">
      <c r="F60695" s="193"/>
    </row>
    <row r="60696" spans="6:6" x14ac:dyDescent="0.3">
      <c r="F60696" s="193"/>
    </row>
    <row r="60697" spans="6:6" x14ac:dyDescent="0.3">
      <c r="F60697" s="193"/>
    </row>
    <row r="60698" spans="6:6" x14ac:dyDescent="0.3">
      <c r="F60698" s="193"/>
    </row>
    <row r="60699" spans="6:6" x14ac:dyDescent="0.3">
      <c r="F60699" s="193"/>
    </row>
    <row r="60700" spans="6:6" x14ac:dyDescent="0.3">
      <c r="F60700" s="193"/>
    </row>
    <row r="60701" spans="6:6" x14ac:dyDescent="0.3">
      <c r="F60701" s="193"/>
    </row>
    <row r="60702" spans="6:6" x14ac:dyDescent="0.3">
      <c r="F60702" s="193"/>
    </row>
    <row r="60703" spans="6:6" x14ac:dyDescent="0.3">
      <c r="F60703" s="193"/>
    </row>
    <row r="60704" spans="6:6" x14ac:dyDescent="0.3">
      <c r="F60704" s="193"/>
    </row>
    <row r="60705" spans="6:6" x14ac:dyDescent="0.3">
      <c r="F60705" s="193"/>
    </row>
    <row r="60706" spans="6:6" x14ac:dyDescent="0.3">
      <c r="F60706" s="193"/>
    </row>
    <row r="60707" spans="6:6" x14ac:dyDescent="0.3">
      <c r="F60707" s="193"/>
    </row>
    <row r="60708" spans="6:6" x14ac:dyDescent="0.3">
      <c r="F60708" s="193"/>
    </row>
    <row r="60709" spans="6:6" x14ac:dyDescent="0.3">
      <c r="F60709" s="193"/>
    </row>
    <row r="60710" spans="6:6" x14ac:dyDescent="0.3">
      <c r="F60710" s="193"/>
    </row>
    <row r="60711" spans="6:6" x14ac:dyDescent="0.3">
      <c r="F60711" s="193"/>
    </row>
    <row r="60712" spans="6:6" x14ac:dyDescent="0.3">
      <c r="F60712" s="193"/>
    </row>
    <row r="60713" spans="6:6" x14ac:dyDescent="0.3">
      <c r="F60713" s="193"/>
    </row>
    <row r="60714" spans="6:6" x14ac:dyDescent="0.3">
      <c r="F60714" s="193"/>
    </row>
    <row r="60715" spans="6:6" x14ac:dyDescent="0.3">
      <c r="F60715" s="193"/>
    </row>
    <row r="60716" spans="6:6" x14ac:dyDescent="0.3">
      <c r="F60716" s="193"/>
    </row>
    <row r="60717" spans="6:6" x14ac:dyDescent="0.3">
      <c r="F60717" s="193"/>
    </row>
    <row r="60718" spans="6:6" x14ac:dyDescent="0.3">
      <c r="F60718" s="193"/>
    </row>
    <row r="60719" spans="6:6" x14ac:dyDescent="0.3">
      <c r="F60719" s="193"/>
    </row>
    <row r="60720" spans="6:6" x14ac:dyDescent="0.3">
      <c r="F60720" s="193"/>
    </row>
    <row r="60721" spans="6:6" x14ac:dyDescent="0.3">
      <c r="F60721" s="193"/>
    </row>
    <row r="60722" spans="6:6" x14ac:dyDescent="0.3">
      <c r="F60722" s="193"/>
    </row>
    <row r="60723" spans="6:6" x14ac:dyDescent="0.3">
      <c r="F60723" s="193"/>
    </row>
    <row r="60724" spans="6:6" x14ac:dyDescent="0.3">
      <c r="F60724" s="193"/>
    </row>
    <row r="60725" spans="6:6" x14ac:dyDescent="0.3">
      <c r="F60725" s="193"/>
    </row>
    <row r="60726" spans="6:6" x14ac:dyDescent="0.3">
      <c r="F60726" s="193"/>
    </row>
    <row r="60727" spans="6:6" x14ac:dyDescent="0.3">
      <c r="F60727" s="193"/>
    </row>
    <row r="60728" spans="6:6" x14ac:dyDescent="0.3">
      <c r="F60728" s="193"/>
    </row>
    <row r="60729" spans="6:6" x14ac:dyDescent="0.3">
      <c r="F60729" s="193"/>
    </row>
    <row r="60730" spans="6:6" x14ac:dyDescent="0.3">
      <c r="F60730" s="193"/>
    </row>
    <row r="60731" spans="6:6" x14ac:dyDescent="0.3">
      <c r="F60731" s="193"/>
    </row>
    <row r="60732" spans="6:6" x14ac:dyDescent="0.3">
      <c r="F60732" s="193"/>
    </row>
    <row r="60733" spans="6:6" x14ac:dyDescent="0.3">
      <c r="F60733" s="193"/>
    </row>
    <row r="60734" spans="6:6" x14ac:dyDescent="0.3">
      <c r="F60734" s="193"/>
    </row>
    <row r="60735" spans="6:6" x14ac:dyDescent="0.3">
      <c r="F60735" s="193"/>
    </row>
    <row r="60736" spans="6:6" x14ac:dyDescent="0.3">
      <c r="F60736" s="193"/>
    </row>
    <row r="60737" spans="6:6" x14ac:dyDescent="0.3">
      <c r="F60737" s="193"/>
    </row>
    <row r="60738" spans="6:6" x14ac:dyDescent="0.3">
      <c r="F60738" s="193"/>
    </row>
    <row r="60739" spans="6:6" x14ac:dyDescent="0.3">
      <c r="F60739" s="193"/>
    </row>
    <row r="60740" spans="6:6" x14ac:dyDescent="0.3">
      <c r="F60740" s="193"/>
    </row>
    <row r="60741" spans="6:6" x14ac:dyDescent="0.3">
      <c r="F60741" s="193"/>
    </row>
    <row r="60742" spans="6:6" x14ac:dyDescent="0.3">
      <c r="F60742" s="193"/>
    </row>
    <row r="60743" spans="6:6" x14ac:dyDescent="0.3">
      <c r="F60743" s="193"/>
    </row>
    <row r="60744" spans="6:6" x14ac:dyDescent="0.3">
      <c r="F60744" s="193"/>
    </row>
    <row r="60745" spans="6:6" x14ac:dyDescent="0.3">
      <c r="F60745" s="193"/>
    </row>
    <row r="60746" spans="6:6" x14ac:dyDescent="0.3">
      <c r="F60746" s="193"/>
    </row>
    <row r="60747" spans="6:6" x14ac:dyDescent="0.3">
      <c r="F60747" s="193"/>
    </row>
    <row r="60748" spans="6:6" x14ac:dyDescent="0.3">
      <c r="F60748" s="193"/>
    </row>
    <row r="60749" spans="6:6" x14ac:dyDescent="0.3">
      <c r="F60749" s="193"/>
    </row>
    <row r="60750" spans="6:6" x14ac:dyDescent="0.3">
      <c r="F60750" s="193"/>
    </row>
    <row r="60751" spans="6:6" x14ac:dyDescent="0.3">
      <c r="F60751" s="193"/>
    </row>
    <row r="60752" spans="6:6" x14ac:dyDescent="0.3">
      <c r="F60752" s="193"/>
    </row>
    <row r="60753" spans="6:6" x14ac:dyDescent="0.3">
      <c r="F60753" s="193"/>
    </row>
    <row r="60754" spans="6:6" x14ac:dyDescent="0.3">
      <c r="F60754" s="193"/>
    </row>
    <row r="60755" spans="6:6" x14ac:dyDescent="0.3">
      <c r="F60755" s="193"/>
    </row>
    <row r="60756" spans="6:6" x14ac:dyDescent="0.3">
      <c r="F60756" s="193"/>
    </row>
    <row r="60757" spans="6:6" x14ac:dyDescent="0.3">
      <c r="F60757" s="193"/>
    </row>
    <row r="60758" spans="6:6" x14ac:dyDescent="0.3">
      <c r="F60758" s="193"/>
    </row>
    <row r="60759" spans="6:6" x14ac:dyDescent="0.3">
      <c r="F60759" s="193"/>
    </row>
    <row r="60760" spans="6:6" x14ac:dyDescent="0.3">
      <c r="F60760" s="193"/>
    </row>
    <row r="60761" spans="6:6" x14ac:dyDescent="0.3">
      <c r="F60761" s="193"/>
    </row>
    <row r="60762" spans="6:6" x14ac:dyDescent="0.3">
      <c r="F60762" s="193"/>
    </row>
    <row r="60763" spans="6:6" x14ac:dyDescent="0.3">
      <c r="F60763" s="193"/>
    </row>
    <row r="60764" spans="6:6" x14ac:dyDescent="0.3">
      <c r="F60764" s="193"/>
    </row>
    <row r="60765" spans="6:6" x14ac:dyDescent="0.3">
      <c r="F60765" s="193"/>
    </row>
    <row r="60766" spans="6:6" x14ac:dyDescent="0.3">
      <c r="F60766" s="193"/>
    </row>
    <row r="60767" spans="6:6" x14ac:dyDescent="0.3">
      <c r="F60767" s="193"/>
    </row>
    <row r="60768" spans="6:6" x14ac:dyDescent="0.3">
      <c r="F60768" s="193"/>
    </row>
    <row r="60769" spans="6:6" x14ac:dyDescent="0.3">
      <c r="F60769" s="193"/>
    </row>
    <row r="60770" spans="6:6" x14ac:dyDescent="0.3">
      <c r="F60770" s="193"/>
    </row>
    <row r="60771" spans="6:6" x14ac:dyDescent="0.3">
      <c r="F60771" s="193"/>
    </row>
    <row r="60772" spans="6:6" x14ac:dyDescent="0.3">
      <c r="F60772" s="193"/>
    </row>
    <row r="60773" spans="6:6" x14ac:dyDescent="0.3">
      <c r="F60773" s="193"/>
    </row>
    <row r="60774" spans="6:6" x14ac:dyDescent="0.3">
      <c r="F60774" s="193"/>
    </row>
    <row r="60775" spans="6:6" x14ac:dyDescent="0.3">
      <c r="F60775" s="193"/>
    </row>
    <row r="60776" spans="6:6" x14ac:dyDescent="0.3">
      <c r="F60776" s="193"/>
    </row>
    <row r="60777" spans="6:6" x14ac:dyDescent="0.3">
      <c r="F60777" s="193"/>
    </row>
    <row r="60778" spans="6:6" x14ac:dyDescent="0.3">
      <c r="F60778" s="193"/>
    </row>
    <row r="60779" spans="6:6" x14ac:dyDescent="0.3">
      <c r="F60779" s="193"/>
    </row>
    <row r="60780" spans="6:6" x14ac:dyDescent="0.3">
      <c r="F60780" s="193"/>
    </row>
    <row r="60781" spans="6:6" x14ac:dyDescent="0.3">
      <c r="F60781" s="193"/>
    </row>
    <row r="60782" spans="6:6" x14ac:dyDescent="0.3">
      <c r="F60782" s="193"/>
    </row>
    <row r="60783" spans="6:6" x14ac:dyDescent="0.3">
      <c r="F60783" s="193"/>
    </row>
    <row r="60784" spans="6:6" x14ac:dyDescent="0.3">
      <c r="F60784" s="193"/>
    </row>
    <row r="60785" spans="6:6" x14ac:dyDescent="0.3">
      <c r="F60785" s="193"/>
    </row>
    <row r="60786" spans="6:6" x14ac:dyDescent="0.3">
      <c r="F60786" s="193"/>
    </row>
    <row r="60787" spans="6:6" x14ac:dyDescent="0.3">
      <c r="F60787" s="193"/>
    </row>
    <row r="60788" spans="6:6" x14ac:dyDescent="0.3">
      <c r="F60788" s="193"/>
    </row>
    <row r="60789" spans="6:6" x14ac:dyDescent="0.3">
      <c r="F60789" s="193"/>
    </row>
    <row r="60790" spans="6:6" x14ac:dyDescent="0.3">
      <c r="F60790" s="193"/>
    </row>
    <row r="60791" spans="6:6" x14ac:dyDescent="0.3">
      <c r="F60791" s="193"/>
    </row>
    <row r="60792" spans="6:6" x14ac:dyDescent="0.3">
      <c r="F60792" s="193"/>
    </row>
    <row r="60793" spans="6:6" x14ac:dyDescent="0.3">
      <c r="F60793" s="193"/>
    </row>
    <row r="60794" spans="6:6" x14ac:dyDescent="0.3">
      <c r="F60794" s="193"/>
    </row>
    <row r="60795" spans="6:6" x14ac:dyDescent="0.3">
      <c r="F60795" s="193"/>
    </row>
    <row r="60796" spans="6:6" x14ac:dyDescent="0.3">
      <c r="F60796" s="193"/>
    </row>
    <row r="60797" spans="6:6" x14ac:dyDescent="0.3">
      <c r="F60797" s="193"/>
    </row>
    <row r="60798" spans="6:6" x14ac:dyDescent="0.3">
      <c r="F60798" s="193"/>
    </row>
    <row r="60799" spans="6:6" x14ac:dyDescent="0.3">
      <c r="F60799" s="193"/>
    </row>
    <row r="60800" spans="6:6" x14ac:dyDescent="0.3">
      <c r="F60800" s="193"/>
    </row>
    <row r="60801" spans="6:6" x14ac:dyDescent="0.3">
      <c r="F60801" s="193"/>
    </row>
    <row r="60802" spans="6:6" x14ac:dyDescent="0.3">
      <c r="F60802" s="193"/>
    </row>
    <row r="60803" spans="6:6" x14ac:dyDescent="0.3">
      <c r="F60803" s="193"/>
    </row>
    <row r="60804" spans="6:6" x14ac:dyDescent="0.3">
      <c r="F60804" s="193"/>
    </row>
    <row r="60805" spans="6:6" x14ac:dyDescent="0.3">
      <c r="F60805" s="193"/>
    </row>
    <row r="60806" spans="6:6" x14ac:dyDescent="0.3">
      <c r="F60806" s="193"/>
    </row>
    <row r="60807" spans="6:6" x14ac:dyDescent="0.3">
      <c r="F60807" s="193"/>
    </row>
    <row r="60808" spans="6:6" x14ac:dyDescent="0.3">
      <c r="F60808" s="193"/>
    </row>
    <row r="60809" spans="6:6" x14ac:dyDescent="0.3">
      <c r="F60809" s="193"/>
    </row>
    <row r="60810" spans="6:6" x14ac:dyDescent="0.3">
      <c r="F60810" s="193"/>
    </row>
    <row r="60811" spans="6:6" x14ac:dyDescent="0.3">
      <c r="F60811" s="193"/>
    </row>
    <row r="60812" spans="6:6" x14ac:dyDescent="0.3">
      <c r="F60812" s="193"/>
    </row>
    <row r="60813" spans="6:6" x14ac:dyDescent="0.3">
      <c r="F60813" s="193"/>
    </row>
    <row r="60814" spans="6:6" x14ac:dyDescent="0.3">
      <c r="F60814" s="193"/>
    </row>
    <row r="60815" spans="6:6" x14ac:dyDescent="0.3">
      <c r="F60815" s="193"/>
    </row>
    <row r="60816" spans="6:6" x14ac:dyDescent="0.3">
      <c r="F60816" s="193"/>
    </row>
    <row r="60817" spans="6:6" x14ac:dyDescent="0.3">
      <c r="F60817" s="193"/>
    </row>
    <row r="60818" spans="6:6" x14ac:dyDescent="0.3">
      <c r="F60818" s="193"/>
    </row>
    <row r="60819" spans="6:6" x14ac:dyDescent="0.3">
      <c r="F60819" s="193"/>
    </row>
    <row r="60820" spans="6:6" x14ac:dyDescent="0.3">
      <c r="F60820" s="193"/>
    </row>
    <row r="60821" spans="6:6" x14ac:dyDescent="0.3">
      <c r="F60821" s="193"/>
    </row>
    <row r="60822" spans="6:6" x14ac:dyDescent="0.3">
      <c r="F60822" s="193"/>
    </row>
    <row r="60823" spans="6:6" x14ac:dyDescent="0.3">
      <c r="F60823" s="193"/>
    </row>
    <row r="60824" spans="6:6" x14ac:dyDescent="0.3">
      <c r="F60824" s="193"/>
    </row>
    <row r="60825" spans="6:6" x14ac:dyDescent="0.3">
      <c r="F60825" s="193"/>
    </row>
    <row r="60826" spans="6:6" x14ac:dyDescent="0.3">
      <c r="F60826" s="193"/>
    </row>
    <row r="60827" spans="6:6" x14ac:dyDescent="0.3">
      <c r="F60827" s="193"/>
    </row>
    <row r="60828" spans="6:6" x14ac:dyDescent="0.3">
      <c r="F60828" s="193"/>
    </row>
    <row r="60829" spans="6:6" x14ac:dyDescent="0.3">
      <c r="F60829" s="193"/>
    </row>
    <row r="60830" spans="6:6" x14ac:dyDescent="0.3">
      <c r="F60830" s="193"/>
    </row>
    <row r="60831" spans="6:6" x14ac:dyDescent="0.3">
      <c r="F60831" s="193"/>
    </row>
    <row r="60832" spans="6:6" x14ac:dyDescent="0.3">
      <c r="F60832" s="193"/>
    </row>
    <row r="60833" spans="6:6" x14ac:dyDescent="0.3">
      <c r="F60833" s="193"/>
    </row>
    <row r="60834" spans="6:6" x14ac:dyDescent="0.3">
      <c r="F60834" s="193"/>
    </row>
    <row r="60835" spans="6:6" x14ac:dyDescent="0.3">
      <c r="F60835" s="193"/>
    </row>
    <row r="60836" spans="6:6" x14ac:dyDescent="0.3">
      <c r="F60836" s="193"/>
    </row>
    <row r="60837" spans="6:6" x14ac:dyDescent="0.3">
      <c r="F60837" s="193"/>
    </row>
    <row r="60838" spans="6:6" x14ac:dyDescent="0.3">
      <c r="F60838" s="193"/>
    </row>
    <row r="60839" spans="6:6" x14ac:dyDescent="0.3">
      <c r="F60839" s="193"/>
    </row>
    <row r="60840" spans="6:6" x14ac:dyDescent="0.3">
      <c r="F60840" s="193"/>
    </row>
    <row r="60841" spans="6:6" x14ac:dyDescent="0.3">
      <c r="F60841" s="193"/>
    </row>
    <row r="60842" spans="6:6" x14ac:dyDescent="0.3">
      <c r="F60842" s="193"/>
    </row>
    <row r="60843" spans="6:6" x14ac:dyDescent="0.3">
      <c r="F60843" s="193"/>
    </row>
    <row r="60844" spans="6:6" x14ac:dyDescent="0.3">
      <c r="F60844" s="193"/>
    </row>
    <row r="60845" spans="6:6" x14ac:dyDescent="0.3">
      <c r="F60845" s="193"/>
    </row>
    <row r="60846" spans="6:6" x14ac:dyDescent="0.3">
      <c r="F60846" s="193"/>
    </row>
    <row r="60847" spans="6:6" x14ac:dyDescent="0.3">
      <c r="F60847" s="193"/>
    </row>
    <row r="60848" spans="6:6" x14ac:dyDescent="0.3">
      <c r="F60848" s="193"/>
    </row>
    <row r="60849" spans="6:6" x14ac:dyDescent="0.3">
      <c r="F60849" s="193"/>
    </row>
    <row r="60850" spans="6:6" x14ac:dyDescent="0.3">
      <c r="F60850" s="193"/>
    </row>
    <row r="60851" spans="6:6" x14ac:dyDescent="0.3">
      <c r="F60851" s="193"/>
    </row>
    <row r="60852" spans="6:6" x14ac:dyDescent="0.3">
      <c r="F60852" s="193"/>
    </row>
    <row r="60853" spans="6:6" x14ac:dyDescent="0.3">
      <c r="F60853" s="193"/>
    </row>
    <row r="60854" spans="6:6" x14ac:dyDescent="0.3">
      <c r="F60854" s="193"/>
    </row>
    <row r="60855" spans="6:6" x14ac:dyDescent="0.3">
      <c r="F60855" s="193"/>
    </row>
    <row r="60856" spans="6:6" x14ac:dyDescent="0.3">
      <c r="F60856" s="193"/>
    </row>
    <row r="60857" spans="6:6" x14ac:dyDescent="0.3">
      <c r="F60857" s="193"/>
    </row>
    <row r="60858" spans="6:6" x14ac:dyDescent="0.3">
      <c r="F60858" s="193"/>
    </row>
    <row r="60859" spans="6:6" x14ac:dyDescent="0.3">
      <c r="F60859" s="193"/>
    </row>
    <row r="60860" spans="6:6" x14ac:dyDescent="0.3">
      <c r="F60860" s="193"/>
    </row>
    <row r="60861" spans="6:6" x14ac:dyDescent="0.3">
      <c r="F60861" s="193"/>
    </row>
    <row r="60862" spans="6:6" x14ac:dyDescent="0.3">
      <c r="F60862" s="193"/>
    </row>
    <row r="60863" spans="6:6" x14ac:dyDescent="0.3">
      <c r="F60863" s="193"/>
    </row>
    <row r="60864" spans="6:6" x14ac:dyDescent="0.3">
      <c r="F60864" s="193"/>
    </row>
    <row r="60865" spans="6:6" x14ac:dyDescent="0.3">
      <c r="F60865" s="193"/>
    </row>
    <row r="60866" spans="6:6" x14ac:dyDescent="0.3">
      <c r="F60866" s="193"/>
    </row>
    <row r="60867" spans="6:6" x14ac:dyDescent="0.3">
      <c r="F60867" s="193"/>
    </row>
    <row r="60868" spans="6:6" x14ac:dyDescent="0.3">
      <c r="F60868" s="193"/>
    </row>
    <row r="60869" spans="6:6" x14ac:dyDescent="0.3">
      <c r="F60869" s="193"/>
    </row>
    <row r="60870" spans="6:6" x14ac:dyDescent="0.3">
      <c r="F60870" s="193"/>
    </row>
    <row r="60871" spans="6:6" x14ac:dyDescent="0.3">
      <c r="F60871" s="193"/>
    </row>
    <row r="60872" spans="6:6" x14ac:dyDescent="0.3">
      <c r="F60872" s="193"/>
    </row>
    <row r="60873" spans="6:6" x14ac:dyDescent="0.3">
      <c r="F60873" s="193"/>
    </row>
    <row r="60874" spans="6:6" x14ac:dyDescent="0.3">
      <c r="F60874" s="193"/>
    </row>
    <row r="60875" spans="6:6" x14ac:dyDescent="0.3">
      <c r="F60875" s="193"/>
    </row>
    <row r="60876" spans="6:6" x14ac:dyDescent="0.3">
      <c r="F60876" s="193"/>
    </row>
    <row r="60877" spans="6:6" x14ac:dyDescent="0.3">
      <c r="F60877" s="193"/>
    </row>
    <row r="60878" spans="6:6" x14ac:dyDescent="0.3">
      <c r="F60878" s="193"/>
    </row>
    <row r="60879" spans="6:6" x14ac:dyDescent="0.3">
      <c r="F60879" s="193"/>
    </row>
    <row r="60880" spans="6:6" x14ac:dyDescent="0.3">
      <c r="F60880" s="193"/>
    </row>
    <row r="60881" spans="6:6" x14ac:dyDescent="0.3">
      <c r="F60881" s="193"/>
    </row>
    <row r="60882" spans="6:6" x14ac:dyDescent="0.3">
      <c r="F60882" s="193"/>
    </row>
    <row r="60883" spans="6:6" x14ac:dyDescent="0.3">
      <c r="F60883" s="193"/>
    </row>
    <row r="60884" spans="6:6" x14ac:dyDescent="0.3">
      <c r="F60884" s="193"/>
    </row>
    <row r="60885" spans="6:6" x14ac:dyDescent="0.3">
      <c r="F60885" s="193"/>
    </row>
    <row r="60886" spans="6:6" x14ac:dyDescent="0.3">
      <c r="F60886" s="193"/>
    </row>
    <row r="60887" spans="6:6" x14ac:dyDescent="0.3">
      <c r="F60887" s="193"/>
    </row>
    <row r="60888" spans="6:6" x14ac:dyDescent="0.3">
      <c r="F60888" s="193"/>
    </row>
    <row r="60889" spans="6:6" x14ac:dyDescent="0.3">
      <c r="F60889" s="193"/>
    </row>
    <row r="60890" spans="6:6" x14ac:dyDescent="0.3">
      <c r="F60890" s="193"/>
    </row>
    <row r="60891" spans="6:6" x14ac:dyDescent="0.3">
      <c r="F60891" s="193"/>
    </row>
    <row r="60892" spans="6:6" x14ac:dyDescent="0.3">
      <c r="F60892" s="193"/>
    </row>
    <row r="60893" spans="6:6" x14ac:dyDescent="0.3">
      <c r="F60893" s="193"/>
    </row>
    <row r="60894" spans="6:6" x14ac:dyDescent="0.3">
      <c r="F60894" s="193"/>
    </row>
    <row r="60895" spans="6:6" x14ac:dyDescent="0.3">
      <c r="F60895" s="193"/>
    </row>
    <row r="60896" spans="6:6" x14ac:dyDescent="0.3">
      <c r="F60896" s="193"/>
    </row>
    <row r="60897" spans="6:6" x14ac:dyDescent="0.3">
      <c r="F60897" s="193"/>
    </row>
    <row r="60898" spans="6:6" x14ac:dyDescent="0.3">
      <c r="F60898" s="193"/>
    </row>
    <row r="60899" spans="6:6" x14ac:dyDescent="0.3">
      <c r="F60899" s="193"/>
    </row>
    <row r="60900" spans="6:6" x14ac:dyDescent="0.3">
      <c r="F60900" s="193"/>
    </row>
    <row r="60901" spans="6:6" x14ac:dyDescent="0.3">
      <c r="F60901" s="193"/>
    </row>
    <row r="60902" spans="6:6" x14ac:dyDescent="0.3">
      <c r="F60902" s="193"/>
    </row>
    <row r="60903" spans="6:6" x14ac:dyDescent="0.3">
      <c r="F60903" s="193"/>
    </row>
    <row r="60904" spans="6:6" x14ac:dyDescent="0.3">
      <c r="F60904" s="193"/>
    </row>
    <row r="60905" spans="6:6" x14ac:dyDescent="0.3">
      <c r="F60905" s="193"/>
    </row>
    <row r="60906" spans="6:6" x14ac:dyDescent="0.3">
      <c r="F60906" s="193"/>
    </row>
    <row r="60907" spans="6:6" x14ac:dyDescent="0.3">
      <c r="F60907" s="193"/>
    </row>
    <row r="60908" spans="6:6" x14ac:dyDescent="0.3">
      <c r="F60908" s="193"/>
    </row>
    <row r="60909" spans="6:6" x14ac:dyDescent="0.3">
      <c r="F60909" s="193"/>
    </row>
    <row r="60910" spans="6:6" x14ac:dyDescent="0.3">
      <c r="F60910" s="193"/>
    </row>
    <row r="60911" spans="6:6" x14ac:dyDescent="0.3">
      <c r="F60911" s="193"/>
    </row>
    <row r="60912" spans="6:6" x14ac:dyDescent="0.3">
      <c r="F60912" s="193"/>
    </row>
    <row r="60913" spans="6:6" x14ac:dyDescent="0.3">
      <c r="F60913" s="193"/>
    </row>
    <row r="60914" spans="6:6" x14ac:dyDescent="0.3">
      <c r="F60914" s="193"/>
    </row>
    <row r="60915" spans="6:6" x14ac:dyDescent="0.3">
      <c r="F60915" s="193"/>
    </row>
    <row r="60916" spans="6:6" x14ac:dyDescent="0.3">
      <c r="F60916" s="193"/>
    </row>
    <row r="60917" spans="6:6" x14ac:dyDescent="0.3">
      <c r="F60917" s="193"/>
    </row>
    <row r="60918" spans="6:6" x14ac:dyDescent="0.3">
      <c r="F60918" s="193"/>
    </row>
    <row r="60919" spans="6:6" x14ac:dyDescent="0.3">
      <c r="F60919" s="193"/>
    </row>
    <row r="60920" spans="6:6" x14ac:dyDescent="0.3">
      <c r="F60920" s="193"/>
    </row>
    <row r="60921" spans="6:6" x14ac:dyDescent="0.3">
      <c r="F60921" s="193"/>
    </row>
    <row r="60922" spans="6:6" x14ac:dyDescent="0.3">
      <c r="F60922" s="193"/>
    </row>
    <row r="60923" spans="6:6" x14ac:dyDescent="0.3">
      <c r="F60923" s="193"/>
    </row>
    <row r="60924" spans="6:6" x14ac:dyDescent="0.3">
      <c r="F60924" s="193"/>
    </row>
    <row r="60925" spans="6:6" x14ac:dyDescent="0.3">
      <c r="F60925" s="193"/>
    </row>
    <row r="60926" spans="6:6" x14ac:dyDescent="0.3">
      <c r="F60926" s="193"/>
    </row>
    <row r="60927" spans="6:6" x14ac:dyDescent="0.3">
      <c r="F60927" s="193"/>
    </row>
    <row r="60928" spans="6:6" x14ac:dyDescent="0.3">
      <c r="F60928" s="193"/>
    </row>
    <row r="60929" spans="6:6" x14ac:dyDescent="0.3">
      <c r="F60929" s="193"/>
    </row>
    <row r="60930" spans="6:6" x14ac:dyDescent="0.3">
      <c r="F60930" s="193"/>
    </row>
    <row r="60931" spans="6:6" x14ac:dyDescent="0.3">
      <c r="F60931" s="193"/>
    </row>
    <row r="60932" spans="6:6" x14ac:dyDescent="0.3">
      <c r="F60932" s="193"/>
    </row>
    <row r="60933" spans="6:6" x14ac:dyDescent="0.3">
      <c r="F60933" s="193"/>
    </row>
    <row r="60934" spans="6:6" x14ac:dyDescent="0.3">
      <c r="F60934" s="193"/>
    </row>
    <row r="60935" spans="6:6" x14ac:dyDescent="0.3">
      <c r="F60935" s="193"/>
    </row>
    <row r="60936" spans="6:6" x14ac:dyDescent="0.3">
      <c r="F60936" s="193"/>
    </row>
    <row r="60937" spans="6:6" x14ac:dyDescent="0.3">
      <c r="F60937" s="193"/>
    </row>
    <row r="60938" spans="6:6" x14ac:dyDescent="0.3">
      <c r="F60938" s="193"/>
    </row>
    <row r="60939" spans="6:6" x14ac:dyDescent="0.3">
      <c r="F60939" s="193"/>
    </row>
    <row r="60940" spans="6:6" x14ac:dyDescent="0.3">
      <c r="F60940" s="193"/>
    </row>
    <row r="60941" spans="6:6" x14ac:dyDescent="0.3">
      <c r="F60941" s="193"/>
    </row>
    <row r="60942" spans="6:6" x14ac:dyDescent="0.3">
      <c r="F60942" s="193"/>
    </row>
    <row r="60943" spans="6:6" x14ac:dyDescent="0.3">
      <c r="F60943" s="193"/>
    </row>
    <row r="60944" spans="6:6" x14ac:dyDescent="0.3">
      <c r="F60944" s="193"/>
    </row>
    <row r="60945" spans="6:6" x14ac:dyDescent="0.3">
      <c r="F60945" s="193"/>
    </row>
    <row r="60946" spans="6:6" x14ac:dyDescent="0.3">
      <c r="F60946" s="193"/>
    </row>
    <row r="60947" spans="6:6" x14ac:dyDescent="0.3">
      <c r="F60947" s="193"/>
    </row>
    <row r="60948" spans="6:6" x14ac:dyDescent="0.3">
      <c r="F60948" s="193"/>
    </row>
    <row r="60949" spans="6:6" x14ac:dyDescent="0.3">
      <c r="F60949" s="193"/>
    </row>
    <row r="60950" spans="6:6" x14ac:dyDescent="0.3">
      <c r="F60950" s="193"/>
    </row>
    <row r="60951" spans="6:6" x14ac:dyDescent="0.3">
      <c r="F60951" s="193"/>
    </row>
    <row r="60952" spans="6:6" x14ac:dyDescent="0.3">
      <c r="F60952" s="193"/>
    </row>
    <row r="60953" spans="6:6" x14ac:dyDescent="0.3">
      <c r="F60953" s="193"/>
    </row>
    <row r="60954" spans="6:6" x14ac:dyDescent="0.3">
      <c r="F60954" s="193"/>
    </row>
    <row r="60955" spans="6:6" x14ac:dyDescent="0.3">
      <c r="F60955" s="193"/>
    </row>
    <row r="60956" spans="6:6" x14ac:dyDescent="0.3">
      <c r="F60956" s="193"/>
    </row>
    <row r="60957" spans="6:6" x14ac:dyDescent="0.3">
      <c r="F60957" s="193"/>
    </row>
    <row r="60958" spans="6:6" x14ac:dyDescent="0.3">
      <c r="F60958" s="193"/>
    </row>
    <row r="60959" spans="6:6" x14ac:dyDescent="0.3">
      <c r="F60959" s="193"/>
    </row>
    <row r="60960" spans="6:6" x14ac:dyDescent="0.3">
      <c r="F60960" s="193"/>
    </row>
    <row r="60961" spans="6:6" x14ac:dyDescent="0.3">
      <c r="F60961" s="193"/>
    </row>
    <row r="60962" spans="6:6" x14ac:dyDescent="0.3">
      <c r="F60962" s="193"/>
    </row>
    <row r="60963" spans="6:6" x14ac:dyDescent="0.3">
      <c r="F60963" s="193"/>
    </row>
    <row r="60964" spans="6:6" x14ac:dyDescent="0.3">
      <c r="F60964" s="193"/>
    </row>
    <row r="60965" spans="6:6" x14ac:dyDescent="0.3">
      <c r="F60965" s="193"/>
    </row>
    <row r="60966" spans="6:6" x14ac:dyDescent="0.3">
      <c r="F60966" s="193"/>
    </row>
    <row r="60967" spans="6:6" x14ac:dyDescent="0.3">
      <c r="F60967" s="193"/>
    </row>
    <row r="60968" spans="6:6" x14ac:dyDescent="0.3">
      <c r="F60968" s="193"/>
    </row>
    <row r="60969" spans="6:6" x14ac:dyDescent="0.3">
      <c r="F60969" s="193"/>
    </row>
    <row r="60970" spans="6:6" x14ac:dyDescent="0.3">
      <c r="F60970" s="193"/>
    </row>
    <row r="60971" spans="6:6" x14ac:dyDescent="0.3">
      <c r="F60971" s="193"/>
    </row>
    <row r="60972" spans="6:6" x14ac:dyDescent="0.3">
      <c r="F60972" s="193"/>
    </row>
    <row r="60973" spans="6:6" x14ac:dyDescent="0.3">
      <c r="F60973" s="193"/>
    </row>
    <row r="60974" spans="6:6" x14ac:dyDescent="0.3">
      <c r="F60974" s="193"/>
    </row>
    <row r="60975" spans="6:6" x14ac:dyDescent="0.3">
      <c r="F60975" s="193"/>
    </row>
    <row r="60976" spans="6:6" x14ac:dyDescent="0.3">
      <c r="F60976" s="193"/>
    </row>
    <row r="60977" spans="6:6" x14ac:dyDescent="0.3">
      <c r="F60977" s="193"/>
    </row>
    <row r="60978" spans="6:6" x14ac:dyDescent="0.3">
      <c r="F60978" s="193"/>
    </row>
    <row r="60979" spans="6:6" x14ac:dyDescent="0.3">
      <c r="F60979" s="193"/>
    </row>
    <row r="60980" spans="6:6" x14ac:dyDescent="0.3">
      <c r="F60980" s="193"/>
    </row>
    <row r="60981" spans="6:6" x14ac:dyDescent="0.3">
      <c r="F60981" s="193"/>
    </row>
    <row r="60982" spans="6:6" x14ac:dyDescent="0.3">
      <c r="F60982" s="193"/>
    </row>
    <row r="60983" spans="6:6" x14ac:dyDescent="0.3">
      <c r="F60983" s="193"/>
    </row>
    <row r="60984" spans="6:6" x14ac:dyDescent="0.3">
      <c r="F60984" s="193"/>
    </row>
    <row r="60985" spans="6:6" x14ac:dyDescent="0.3">
      <c r="F60985" s="193"/>
    </row>
    <row r="60986" spans="6:6" x14ac:dyDescent="0.3">
      <c r="F60986" s="193"/>
    </row>
    <row r="60987" spans="6:6" x14ac:dyDescent="0.3">
      <c r="F60987" s="193"/>
    </row>
    <row r="60988" spans="6:6" x14ac:dyDescent="0.3">
      <c r="F60988" s="193"/>
    </row>
    <row r="60989" spans="6:6" x14ac:dyDescent="0.3">
      <c r="F60989" s="193"/>
    </row>
    <row r="60990" spans="6:6" x14ac:dyDescent="0.3">
      <c r="F60990" s="193"/>
    </row>
    <row r="60991" spans="6:6" x14ac:dyDescent="0.3">
      <c r="F60991" s="193"/>
    </row>
    <row r="60992" spans="6:6" x14ac:dyDescent="0.3">
      <c r="F60992" s="193"/>
    </row>
    <row r="60993" spans="6:6" x14ac:dyDescent="0.3">
      <c r="F60993" s="193"/>
    </row>
    <row r="60994" spans="6:6" x14ac:dyDescent="0.3">
      <c r="F60994" s="193"/>
    </row>
    <row r="60995" spans="6:6" x14ac:dyDescent="0.3">
      <c r="F60995" s="193"/>
    </row>
    <row r="60996" spans="6:6" x14ac:dyDescent="0.3">
      <c r="F60996" s="193"/>
    </row>
    <row r="60997" spans="6:6" x14ac:dyDescent="0.3">
      <c r="F60997" s="193"/>
    </row>
    <row r="60998" spans="6:6" x14ac:dyDescent="0.3">
      <c r="F60998" s="193"/>
    </row>
    <row r="60999" spans="6:6" x14ac:dyDescent="0.3">
      <c r="F60999" s="193"/>
    </row>
    <row r="61000" spans="6:6" x14ac:dyDescent="0.3">
      <c r="F61000" s="193"/>
    </row>
    <row r="61001" spans="6:6" x14ac:dyDescent="0.3">
      <c r="F61001" s="193"/>
    </row>
    <row r="61002" spans="6:6" x14ac:dyDescent="0.3">
      <c r="F61002" s="193"/>
    </row>
    <row r="61003" spans="6:6" x14ac:dyDescent="0.3">
      <c r="F61003" s="193"/>
    </row>
    <row r="61004" spans="6:6" x14ac:dyDescent="0.3">
      <c r="F61004" s="193"/>
    </row>
    <row r="61005" spans="6:6" x14ac:dyDescent="0.3">
      <c r="F61005" s="193"/>
    </row>
    <row r="61006" spans="6:6" x14ac:dyDescent="0.3">
      <c r="F61006" s="193"/>
    </row>
    <row r="61007" spans="6:6" x14ac:dyDescent="0.3">
      <c r="F61007" s="193"/>
    </row>
    <row r="61008" spans="6:6" x14ac:dyDescent="0.3">
      <c r="F61008" s="193"/>
    </row>
    <row r="61009" spans="6:6" x14ac:dyDescent="0.3">
      <c r="F61009" s="193"/>
    </row>
    <row r="61010" spans="6:6" x14ac:dyDescent="0.3">
      <c r="F61010" s="193"/>
    </row>
    <row r="61011" spans="6:6" x14ac:dyDescent="0.3">
      <c r="F61011" s="193"/>
    </row>
    <row r="61012" spans="6:6" x14ac:dyDescent="0.3">
      <c r="F61012" s="193"/>
    </row>
    <row r="61013" spans="6:6" x14ac:dyDescent="0.3">
      <c r="F61013" s="193"/>
    </row>
    <row r="61014" spans="6:6" x14ac:dyDescent="0.3">
      <c r="F61014" s="193"/>
    </row>
    <row r="61015" spans="6:6" x14ac:dyDescent="0.3">
      <c r="F61015" s="193"/>
    </row>
    <row r="61016" spans="6:6" x14ac:dyDescent="0.3">
      <c r="F61016" s="193"/>
    </row>
    <row r="61017" spans="6:6" x14ac:dyDescent="0.3">
      <c r="F61017" s="193"/>
    </row>
    <row r="61018" spans="6:6" x14ac:dyDescent="0.3">
      <c r="F61018" s="193"/>
    </row>
    <row r="61019" spans="6:6" x14ac:dyDescent="0.3">
      <c r="F61019" s="193"/>
    </row>
    <row r="61020" spans="6:6" x14ac:dyDescent="0.3">
      <c r="F61020" s="193"/>
    </row>
    <row r="61021" spans="6:6" x14ac:dyDescent="0.3">
      <c r="F61021" s="193"/>
    </row>
    <row r="61022" spans="6:6" x14ac:dyDescent="0.3">
      <c r="F61022" s="193"/>
    </row>
    <row r="61023" spans="6:6" x14ac:dyDescent="0.3">
      <c r="F61023" s="193"/>
    </row>
    <row r="61024" spans="6:6" x14ac:dyDescent="0.3">
      <c r="F61024" s="193"/>
    </row>
    <row r="61025" spans="6:6" x14ac:dyDescent="0.3">
      <c r="F61025" s="193"/>
    </row>
    <row r="61026" spans="6:6" x14ac:dyDescent="0.3">
      <c r="F61026" s="193"/>
    </row>
    <row r="61027" spans="6:6" x14ac:dyDescent="0.3">
      <c r="F61027" s="193"/>
    </row>
    <row r="61028" spans="6:6" x14ac:dyDescent="0.3">
      <c r="F61028" s="193"/>
    </row>
    <row r="61029" spans="6:6" x14ac:dyDescent="0.3">
      <c r="F61029" s="193"/>
    </row>
    <row r="61030" spans="6:6" x14ac:dyDescent="0.3">
      <c r="F61030" s="193"/>
    </row>
    <row r="61031" spans="6:6" x14ac:dyDescent="0.3">
      <c r="F61031" s="193"/>
    </row>
    <row r="61032" spans="6:6" x14ac:dyDescent="0.3">
      <c r="F61032" s="193"/>
    </row>
    <row r="61033" spans="6:6" x14ac:dyDescent="0.3">
      <c r="F61033" s="193"/>
    </row>
    <row r="61034" spans="6:6" x14ac:dyDescent="0.3">
      <c r="F61034" s="193"/>
    </row>
    <row r="61035" spans="6:6" x14ac:dyDescent="0.3">
      <c r="F61035" s="193"/>
    </row>
    <row r="61036" spans="6:6" x14ac:dyDescent="0.3">
      <c r="F61036" s="193"/>
    </row>
    <row r="61037" spans="6:6" x14ac:dyDescent="0.3">
      <c r="F61037" s="193"/>
    </row>
    <row r="61038" spans="6:6" x14ac:dyDescent="0.3">
      <c r="F61038" s="193"/>
    </row>
    <row r="61039" spans="6:6" x14ac:dyDescent="0.3">
      <c r="F61039" s="193"/>
    </row>
    <row r="61040" spans="6:6" x14ac:dyDescent="0.3">
      <c r="F61040" s="193"/>
    </row>
    <row r="61041" spans="6:6" x14ac:dyDescent="0.3">
      <c r="F61041" s="193"/>
    </row>
    <row r="61042" spans="6:6" x14ac:dyDescent="0.3">
      <c r="F61042" s="193"/>
    </row>
    <row r="61043" spans="6:6" x14ac:dyDescent="0.3">
      <c r="F61043" s="193"/>
    </row>
    <row r="61044" spans="6:6" x14ac:dyDescent="0.3">
      <c r="F61044" s="193"/>
    </row>
    <row r="61045" spans="6:6" x14ac:dyDescent="0.3">
      <c r="F61045" s="193"/>
    </row>
    <row r="61046" spans="6:6" x14ac:dyDescent="0.3">
      <c r="F61046" s="193"/>
    </row>
    <row r="61047" spans="6:6" x14ac:dyDescent="0.3">
      <c r="F61047" s="193"/>
    </row>
    <row r="61048" spans="6:6" x14ac:dyDescent="0.3">
      <c r="F61048" s="193"/>
    </row>
    <row r="61049" spans="6:6" x14ac:dyDescent="0.3">
      <c r="F61049" s="193"/>
    </row>
    <row r="61050" spans="6:6" x14ac:dyDescent="0.3">
      <c r="F61050" s="193"/>
    </row>
    <row r="61051" spans="6:6" x14ac:dyDescent="0.3">
      <c r="F61051" s="193"/>
    </row>
    <row r="61052" spans="6:6" x14ac:dyDescent="0.3">
      <c r="F61052" s="193"/>
    </row>
    <row r="61053" spans="6:6" x14ac:dyDescent="0.3">
      <c r="F61053" s="193"/>
    </row>
    <row r="61054" spans="6:6" x14ac:dyDescent="0.3">
      <c r="F61054" s="193"/>
    </row>
    <row r="61055" spans="6:6" x14ac:dyDescent="0.3">
      <c r="F61055" s="193"/>
    </row>
    <row r="61056" spans="6:6" x14ac:dyDescent="0.3">
      <c r="F61056" s="193"/>
    </row>
    <row r="61057" spans="6:6" x14ac:dyDescent="0.3">
      <c r="F61057" s="193"/>
    </row>
    <row r="61058" spans="6:6" x14ac:dyDescent="0.3">
      <c r="F61058" s="193"/>
    </row>
    <row r="61059" spans="6:6" x14ac:dyDescent="0.3">
      <c r="F61059" s="193"/>
    </row>
    <row r="61060" spans="6:6" x14ac:dyDescent="0.3">
      <c r="F61060" s="193"/>
    </row>
    <row r="61061" spans="6:6" x14ac:dyDescent="0.3">
      <c r="F61061" s="193"/>
    </row>
    <row r="61062" spans="6:6" x14ac:dyDescent="0.3">
      <c r="F61062" s="193"/>
    </row>
    <row r="61063" spans="6:6" x14ac:dyDescent="0.3">
      <c r="F61063" s="193"/>
    </row>
    <row r="61064" spans="6:6" x14ac:dyDescent="0.3">
      <c r="F61064" s="193"/>
    </row>
    <row r="61065" spans="6:6" x14ac:dyDescent="0.3">
      <c r="F61065" s="193"/>
    </row>
    <row r="61066" spans="6:6" x14ac:dyDescent="0.3">
      <c r="F61066" s="193"/>
    </row>
    <row r="61067" spans="6:6" x14ac:dyDescent="0.3">
      <c r="F61067" s="193"/>
    </row>
    <row r="61068" spans="6:6" x14ac:dyDescent="0.3">
      <c r="F61068" s="193"/>
    </row>
    <row r="61069" spans="6:6" x14ac:dyDescent="0.3">
      <c r="F61069" s="193"/>
    </row>
    <row r="61070" spans="6:6" x14ac:dyDescent="0.3">
      <c r="F61070" s="193"/>
    </row>
    <row r="61071" spans="6:6" x14ac:dyDescent="0.3">
      <c r="F61071" s="193"/>
    </row>
    <row r="61072" spans="6:6" x14ac:dyDescent="0.3">
      <c r="F61072" s="193"/>
    </row>
    <row r="61073" spans="6:6" x14ac:dyDescent="0.3">
      <c r="F61073" s="193"/>
    </row>
    <row r="61074" spans="6:6" x14ac:dyDescent="0.3">
      <c r="F61074" s="193"/>
    </row>
    <row r="61075" spans="6:6" x14ac:dyDescent="0.3">
      <c r="F61075" s="193"/>
    </row>
    <row r="61076" spans="6:6" x14ac:dyDescent="0.3">
      <c r="F61076" s="193"/>
    </row>
    <row r="61077" spans="6:6" x14ac:dyDescent="0.3">
      <c r="F61077" s="193"/>
    </row>
    <row r="61078" spans="6:6" x14ac:dyDescent="0.3">
      <c r="F61078" s="193"/>
    </row>
    <row r="61079" spans="6:6" x14ac:dyDescent="0.3">
      <c r="F61079" s="193"/>
    </row>
    <row r="61080" spans="6:6" x14ac:dyDescent="0.3">
      <c r="F61080" s="193"/>
    </row>
    <row r="61081" spans="6:6" x14ac:dyDescent="0.3">
      <c r="F61081" s="193"/>
    </row>
    <row r="61082" spans="6:6" x14ac:dyDescent="0.3">
      <c r="F61082" s="193"/>
    </row>
    <row r="61083" spans="6:6" x14ac:dyDescent="0.3">
      <c r="F61083" s="193"/>
    </row>
    <row r="61084" spans="6:6" x14ac:dyDescent="0.3">
      <c r="F61084" s="193"/>
    </row>
    <row r="61085" spans="6:6" x14ac:dyDescent="0.3">
      <c r="F61085" s="193"/>
    </row>
    <row r="61086" spans="6:6" x14ac:dyDescent="0.3">
      <c r="F61086" s="193"/>
    </row>
    <row r="61087" spans="6:6" x14ac:dyDescent="0.3">
      <c r="F61087" s="193"/>
    </row>
    <row r="61088" spans="6:6" x14ac:dyDescent="0.3">
      <c r="F61088" s="193"/>
    </row>
    <row r="61089" spans="6:6" x14ac:dyDescent="0.3">
      <c r="F61089" s="193"/>
    </row>
    <row r="61090" spans="6:6" x14ac:dyDescent="0.3">
      <c r="F61090" s="193"/>
    </row>
    <row r="61091" spans="6:6" x14ac:dyDescent="0.3">
      <c r="F61091" s="193"/>
    </row>
    <row r="61092" spans="6:6" x14ac:dyDescent="0.3">
      <c r="F61092" s="193"/>
    </row>
    <row r="61093" spans="6:6" x14ac:dyDescent="0.3">
      <c r="F61093" s="193"/>
    </row>
    <row r="61094" spans="6:6" x14ac:dyDescent="0.3">
      <c r="F61094" s="193"/>
    </row>
    <row r="61095" spans="6:6" x14ac:dyDescent="0.3">
      <c r="F61095" s="193"/>
    </row>
    <row r="61096" spans="6:6" x14ac:dyDescent="0.3">
      <c r="F61096" s="193"/>
    </row>
    <row r="61097" spans="6:6" x14ac:dyDescent="0.3">
      <c r="F61097" s="193"/>
    </row>
    <row r="61098" spans="6:6" x14ac:dyDescent="0.3">
      <c r="F61098" s="193"/>
    </row>
    <row r="61099" spans="6:6" x14ac:dyDescent="0.3">
      <c r="F61099" s="193"/>
    </row>
    <row r="61100" spans="6:6" x14ac:dyDescent="0.3">
      <c r="F61100" s="193"/>
    </row>
    <row r="61101" spans="6:6" x14ac:dyDescent="0.3">
      <c r="F61101" s="193"/>
    </row>
    <row r="61102" spans="6:6" x14ac:dyDescent="0.3">
      <c r="F61102" s="193"/>
    </row>
    <row r="61103" spans="6:6" x14ac:dyDescent="0.3">
      <c r="F61103" s="193"/>
    </row>
    <row r="61104" spans="6:6" x14ac:dyDescent="0.3">
      <c r="F61104" s="193"/>
    </row>
    <row r="61105" spans="6:6" x14ac:dyDescent="0.3">
      <c r="F61105" s="193"/>
    </row>
    <row r="61106" spans="6:6" x14ac:dyDescent="0.3">
      <c r="F61106" s="193"/>
    </row>
    <row r="61107" spans="6:6" x14ac:dyDescent="0.3">
      <c r="F61107" s="193"/>
    </row>
    <row r="61108" spans="6:6" x14ac:dyDescent="0.3">
      <c r="F61108" s="193"/>
    </row>
    <row r="61109" spans="6:6" x14ac:dyDescent="0.3">
      <c r="F61109" s="193"/>
    </row>
    <row r="61110" spans="6:6" x14ac:dyDescent="0.3">
      <c r="F61110" s="193"/>
    </row>
    <row r="61111" spans="6:6" x14ac:dyDescent="0.3">
      <c r="F61111" s="193"/>
    </row>
    <row r="61112" spans="6:6" x14ac:dyDescent="0.3">
      <c r="F61112" s="193"/>
    </row>
    <row r="61113" spans="6:6" x14ac:dyDescent="0.3">
      <c r="F61113" s="193"/>
    </row>
    <row r="61114" spans="6:6" x14ac:dyDescent="0.3">
      <c r="F61114" s="193"/>
    </row>
    <row r="61115" spans="6:6" x14ac:dyDescent="0.3">
      <c r="F61115" s="193"/>
    </row>
    <row r="61116" spans="6:6" x14ac:dyDescent="0.3">
      <c r="F61116" s="193"/>
    </row>
    <row r="61117" spans="6:6" x14ac:dyDescent="0.3">
      <c r="F61117" s="193"/>
    </row>
    <row r="61118" spans="6:6" x14ac:dyDescent="0.3">
      <c r="F61118" s="193"/>
    </row>
    <row r="61119" spans="6:6" x14ac:dyDescent="0.3">
      <c r="F61119" s="193"/>
    </row>
    <row r="61120" spans="6:6" x14ac:dyDescent="0.3">
      <c r="F61120" s="193"/>
    </row>
    <row r="61121" spans="6:6" x14ac:dyDescent="0.3">
      <c r="F61121" s="193"/>
    </row>
    <row r="61122" spans="6:6" x14ac:dyDescent="0.3">
      <c r="F61122" s="193"/>
    </row>
    <row r="61123" spans="6:6" x14ac:dyDescent="0.3">
      <c r="F61123" s="193"/>
    </row>
    <row r="61124" spans="6:6" x14ac:dyDescent="0.3">
      <c r="F61124" s="193"/>
    </row>
    <row r="61125" spans="6:6" x14ac:dyDescent="0.3">
      <c r="F61125" s="193"/>
    </row>
    <row r="61126" spans="6:6" x14ac:dyDescent="0.3">
      <c r="F61126" s="193"/>
    </row>
    <row r="61127" spans="6:6" x14ac:dyDescent="0.3">
      <c r="F61127" s="193"/>
    </row>
    <row r="61128" spans="6:6" x14ac:dyDescent="0.3">
      <c r="F61128" s="193"/>
    </row>
    <row r="61129" spans="6:6" x14ac:dyDescent="0.3">
      <c r="F61129" s="193"/>
    </row>
    <row r="61130" spans="6:6" x14ac:dyDescent="0.3">
      <c r="F61130" s="193"/>
    </row>
    <row r="61131" spans="6:6" x14ac:dyDescent="0.3">
      <c r="F61131" s="193"/>
    </row>
    <row r="61132" spans="6:6" x14ac:dyDescent="0.3">
      <c r="F61132" s="193"/>
    </row>
    <row r="61133" spans="6:6" x14ac:dyDescent="0.3">
      <c r="F61133" s="193"/>
    </row>
    <row r="61134" spans="6:6" x14ac:dyDescent="0.3">
      <c r="F61134" s="193"/>
    </row>
    <row r="61135" spans="6:6" x14ac:dyDescent="0.3">
      <c r="F61135" s="193"/>
    </row>
    <row r="61136" spans="6:6" x14ac:dyDescent="0.3">
      <c r="F61136" s="193"/>
    </row>
    <row r="61137" spans="6:6" x14ac:dyDescent="0.3">
      <c r="F61137" s="193"/>
    </row>
    <row r="61138" spans="6:6" x14ac:dyDescent="0.3">
      <c r="F61138" s="193"/>
    </row>
    <row r="61139" spans="6:6" x14ac:dyDescent="0.3">
      <c r="F61139" s="193"/>
    </row>
    <row r="61140" spans="6:6" x14ac:dyDescent="0.3">
      <c r="F61140" s="193"/>
    </row>
    <row r="61141" spans="6:6" x14ac:dyDescent="0.3">
      <c r="F61141" s="193"/>
    </row>
    <row r="61142" spans="6:6" x14ac:dyDescent="0.3">
      <c r="F61142" s="193"/>
    </row>
    <row r="61143" spans="6:6" x14ac:dyDescent="0.3">
      <c r="F61143" s="193"/>
    </row>
    <row r="61144" spans="6:6" x14ac:dyDescent="0.3">
      <c r="F61144" s="193"/>
    </row>
    <row r="61145" spans="6:6" x14ac:dyDescent="0.3">
      <c r="F61145" s="193"/>
    </row>
    <row r="61146" spans="6:6" x14ac:dyDescent="0.3">
      <c r="F61146" s="193"/>
    </row>
    <row r="61147" spans="6:6" x14ac:dyDescent="0.3">
      <c r="F61147" s="193"/>
    </row>
    <row r="61148" spans="6:6" x14ac:dyDescent="0.3">
      <c r="F61148" s="193"/>
    </row>
    <row r="61149" spans="6:6" x14ac:dyDescent="0.3">
      <c r="F61149" s="193"/>
    </row>
    <row r="61150" spans="6:6" x14ac:dyDescent="0.3">
      <c r="F61150" s="193"/>
    </row>
    <row r="61151" spans="6:6" x14ac:dyDescent="0.3">
      <c r="F61151" s="193"/>
    </row>
    <row r="61152" spans="6:6" x14ac:dyDescent="0.3">
      <c r="F61152" s="193"/>
    </row>
    <row r="61153" spans="6:6" x14ac:dyDescent="0.3">
      <c r="F61153" s="193"/>
    </row>
    <row r="61154" spans="6:6" x14ac:dyDescent="0.3">
      <c r="F61154" s="193"/>
    </row>
    <row r="61155" spans="6:6" x14ac:dyDescent="0.3">
      <c r="F61155" s="193"/>
    </row>
    <row r="61156" spans="6:6" x14ac:dyDescent="0.3">
      <c r="F61156" s="193"/>
    </row>
    <row r="61157" spans="6:6" x14ac:dyDescent="0.3">
      <c r="F61157" s="193"/>
    </row>
    <row r="61158" spans="6:6" x14ac:dyDescent="0.3">
      <c r="F61158" s="193"/>
    </row>
    <row r="61159" spans="6:6" x14ac:dyDescent="0.3">
      <c r="F61159" s="193"/>
    </row>
    <row r="61160" spans="6:6" x14ac:dyDescent="0.3">
      <c r="F61160" s="193"/>
    </row>
    <row r="61161" spans="6:6" x14ac:dyDescent="0.3">
      <c r="F61161" s="193"/>
    </row>
    <row r="61162" spans="6:6" x14ac:dyDescent="0.3">
      <c r="F61162" s="193"/>
    </row>
    <row r="61163" spans="6:6" x14ac:dyDescent="0.3">
      <c r="F61163" s="193"/>
    </row>
    <row r="61164" spans="6:6" x14ac:dyDescent="0.3">
      <c r="F61164" s="193"/>
    </row>
    <row r="61165" spans="6:6" x14ac:dyDescent="0.3">
      <c r="F61165" s="193"/>
    </row>
    <row r="61166" spans="6:6" x14ac:dyDescent="0.3">
      <c r="F61166" s="193"/>
    </row>
    <row r="61167" spans="6:6" x14ac:dyDescent="0.3">
      <c r="F61167" s="193"/>
    </row>
    <row r="61168" spans="6:6" x14ac:dyDescent="0.3">
      <c r="F61168" s="193"/>
    </row>
    <row r="61169" spans="6:6" x14ac:dyDescent="0.3">
      <c r="F61169" s="193"/>
    </row>
    <row r="61170" spans="6:6" x14ac:dyDescent="0.3">
      <c r="F61170" s="193"/>
    </row>
    <row r="61171" spans="6:6" x14ac:dyDescent="0.3">
      <c r="F61171" s="193"/>
    </row>
    <row r="61172" spans="6:6" x14ac:dyDescent="0.3">
      <c r="F61172" s="193"/>
    </row>
    <row r="61173" spans="6:6" x14ac:dyDescent="0.3">
      <c r="F61173" s="193"/>
    </row>
    <row r="61174" spans="6:6" x14ac:dyDescent="0.3">
      <c r="F61174" s="193"/>
    </row>
    <row r="61175" spans="6:6" x14ac:dyDescent="0.3">
      <c r="F61175" s="193"/>
    </row>
    <row r="61176" spans="6:6" x14ac:dyDescent="0.3">
      <c r="F61176" s="193"/>
    </row>
    <row r="61177" spans="6:6" x14ac:dyDescent="0.3">
      <c r="F61177" s="193"/>
    </row>
    <row r="61178" spans="6:6" x14ac:dyDescent="0.3">
      <c r="F61178" s="193"/>
    </row>
    <row r="61179" spans="6:6" x14ac:dyDescent="0.3">
      <c r="F61179" s="193"/>
    </row>
    <row r="61180" spans="6:6" x14ac:dyDescent="0.3">
      <c r="F61180" s="193"/>
    </row>
    <row r="61181" spans="6:6" x14ac:dyDescent="0.3">
      <c r="F61181" s="193"/>
    </row>
    <row r="61182" spans="6:6" x14ac:dyDescent="0.3">
      <c r="F61182" s="193"/>
    </row>
    <row r="61183" spans="6:6" x14ac:dyDescent="0.3">
      <c r="F61183" s="193"/>
    </row>
    <row r="61184" spans="6:6" x14ac:dyDescent="0.3">
      <c r="F61184" s="193"/>
    </row>
    <row r="61185" spans="6:6" x14ac:dyDescent="0.3">
      <c r="F61185" s="193"/>
    </row>
    <row r="61186" spans="6:6" x14ac:dyDescent="0.3">
      <c r="F61186" s="193"/>
    </row>
    <row r="61187" spans="6:6" x14ac:dyDescent="0.3">
      <c r="F61187" s="193"/>
    </row>
    <row r="61188" spans="6:6" x14ac:dyDescent="0.3">
      <c r="F61188" s="193"/>
    </row>
    <row r="61189" spans="6:6" x14ac:dyDescent="0.3">
      <c r="F61189" s="193"/>
    </row>
    <row r="61190" spans="6:6" x14ac:dyDescent="0.3">
      <c r="F61190" s="193"/>
    </row>
    <row r="61191" spans="6:6" x14ac:dyDescent="0.3">
      <c r="F61191" s="193"/>
    </row>
    <row r="61192" spans="6:6" x14ac:dyDescent="0.3">
      <c r="F61192" s="193"/>
    </row>
    <row r="61193" spans="6:6" x14ac:dyDescent="0.3">
      <c r="F61193" s="193"/>
    </row>
    <row r="61194" spans="6:6" x14ac:dyDescent="0.3">
      <c r="F61194" s="193"/>
    </row>
    <row r="61195" spans="6:6" x14ac:dyDescent="0.3">
      <c r="F61195" s="193"/>
    </row>
    <row r="61196" spans="6:6" x14ac:dyDescent="0.3">
      <c r="F61196" s="193"/>
    </row>
    <row r="61197" spans="6:6" x14ac:dyDescent="0.3">
      <c r="F61197" s="193"/>
    </row>
    <row r="61198" spans="6:6" x14ac:dyDescent="0.3">
      <c r="F61198" s="193"/>
    </row>
    <row r="61199" spans="6:6" x14ac:dyDescent="0.3">
      <c r="F61199" s="193"/>
    </row>
    <row r="61200" spans="6:6" x14ac:dyDescent="0.3">
      <c r="F61200" s="193"/>
    </row>
    <row r="61201" spans="6:6" x14ac:dyDescent="0.3">
      <c r="F61201" s="193"/>
    </row>
    <row r="61202" spans="6:6" x14ac:dyDescent="0.3">
      <c r="F61202" s="193"/>
    </row>
    <row r="61203" spans="6:6" x14ac:dyDescent="0.3">
      <c r="F61203" s="193"/>
    </row>
    <row r="61204" spans="6:6" x14ac:dyDescent="0.3">
      <c r="F61204" s="193"/>
    </row>
    <row r="61205" spans="6:6" x14ac:dyDescent="0.3">
      <c r="F61205" s="193"/>
    </row>
    <row r="61206" spans="6:6" x14ac:dyDescent="0.3">
      <c r="F61206" s="193"/>
    </row>
    <row r="61207" spans="6:6" x14ac:dyDescent="0.3">
      <c r="F61207" s="193"/>
    </row>
    <row r="61208" spans="6:6" x14ac:dyDescent="0.3">
      <c r="F61208" s="193"/>
    </row>
    <row r="61209" spans="6:6" x14ac:dyDescent="0.3">
      <c r="F61209" s="193"/>
    </row>
    <row r="61210" spans="6:6" x14ac:dyDescent="0.3">
      <c r="F61210" s="193"/>
    </row>
    <row r="61211" spans="6:6" x14ac:dyDescent="0.3">
      <c r="F61211" s="193"/>
    </row>
    <row r="61212" spans="6:6" x14ac:dyDescent="0.3">
      <c r="F61212" s="193"/>
    </row>
    <row r="61213" spans="6:6" x14ac:dyDescent="0.3">
      <c r="F61213" s="193"/>
    </row>
    <row r="61214" spans="6:6" x14ac:dyDescent="0.3">
      <c r="F61214" s="193"/>
    </row>
    <row r="61215" spans="6:6" x14ac:dyDescent="0.3">
      <c r="F61215" s="193"/>
    </row>
    <row r="61216" spans="6:6" x14ac:dyDescent="0.3">
      <c r="F61216" s="193"/>
    </row>
    <row r="61217" spans="6:6" x14ac:dyDescent="0.3">
      <c r="F61217" s="193"/>
    </row>
    <row r="61218" spans="6:6" x14ac:dyDescent="0.3">
      <c r="F61218" s="193"/>
    </row>
    <row r="61219" spans="6:6" x14ac:dyDescent="0.3">
      <c r="F61219" s="193"/>
    </row>
    <row r="61220" spans="6:6" x14ac:dyDescent="0.3">
      <c r="F61220" s="193"/>
    </row>
    <row r="61221" spans="6:6" x14ac:dyDescent="0.3">
      <c r="F61221" s="193"/>
    </row>
    <row r="61222" spans="6:6" x14ac:dyDescent="0.3">
      <c r="F61222" s="193"/>
    </row>
    <row r="61223" spans="6:6" x14ac:dyDescent="0.3">
      <c r="F61223" s="193"/>
    </row>
    <row r="61224" spans="6:6" x14ac:dyDescent="0.3">
      <c r="F61224" s="193"/>
    </row>
    <row r="61225" spans="6:6" x14ac:dyDescent="0.3">
      <c r="F61225" s="193"/>
    </row>
    <row r="61226" spans="6:6" x14ac:dyDescent="0.3">
      <c r="F61226" s="193"/>
    </row>
    <row r="61227" spans="6:6" x14ac:dyDescent="0.3">
      <c r="F61227" s="193"/>
    </row>
    <row r="61228" spans="6:6" x14ac:dyDescent="0.3">
      <c r="F61228" s="193"/>
    </row>
    <row r="61229" spans="6:6" x14ac:dyDescent="0.3">
      <c r="F61229" s="193"/>
    </row>
    <row r="61230" spans="6:6" x14ac:dyDescent="0.3">
      <c r="F61230" s="193"/>
    </row>
    <row r="61231" spans="6:6" x14ac:dyDescent="0.3">
      <c r="F61231" s="193"/>
    </row>
    <row r="61232" spans="6:6" x14ac:dyDescent="0.3">
      <c r="F61232" s="193"/>
    </row>
    <row r="61233" spans="6:6" x14ac:dyDescent="0.3">
      <c r="F61233" s="193"/>
    </row>
    <row r="61234" spans="6:6" x14ac:dyDescent="0.3">
      <c r="F61234" s="193"/>
    </row>
    <row r="61235" spans="6:6" x14ac:dyDescent="0.3">
      <c r="F61235" s="193"/>
    </row>
    <row r="61236" spans="6:6" x14ac:dyDescent="0.3">
      <c r="F61236" s="193"/>
    </row>
    <row r="61237" spans="6:6" x14ac:dyDescent="0.3">
      <c r="F61237" s="193"/>
    </row>
    <row r="61238" spans="6:6" x14ac:dyDescent="0.3">
      <c r="F61238" s="193"/>
    </row>
    <row r="61239" spans="6:6" x14ac:dyDescent="0.3">
      <c r="F61239" s="193"/>
    </row>
    <row r="61240" spans="6:6" x14ac:dyDescent="0.3">
      <c r="F61240" s="193"/>
    </row>
    <row r="61241" spans="6:6" x14ac:dyDescent="0.3">
      <c r="F61241" s="193"/>
    </row>
    <row r="61242" spans="6:6" x14ac:dyDescent="0.3">
      <c r="F61242" s="193"/>
    </row>
    <row r="61243" spans="6:6" x14ac:dyDescent="0.3">
      <c r="F61243" s="193"/>
    </row>
    <row r="61244" spans="6:6" x14ac:dyDescent="0.3">
      <c r="F61244" s="193"/>
    </row>
    <row r="61245" spans="6:6" x14ac:dyDescent="0.3">
      <c r="F61245" s="193"/>
    </row>
    <row r="61246" spans="6:6" x14ac:dyDescent="0.3">
      <c r="F61246" s="193"/>
    </row>
    <row r="61247" spans="6:6" x14ac:dyDescent="0.3">
      <c r="F61247" s="193"/>
    </row>
    <row r="61248" spans="6:6" x14ac:dyDescent="0.3">
      <c r="F61248" s="193"/>
    </row>
    <row r="61249" spans="6:6" x14ac:dyDescent="0.3">
      <c r="F61249" s="193"/>
    </row>
    <row r="61250" spans="6:6" x14ac:dyDescent="0.3">
      <c r="F61250" s="193"/>
    </row>
    <row r="61251" spans="6:6" x14ac:dyDescent="0.3">
      <c r="F61251" s="193"/>
    </row>
    <row r="61252" spans="6:6" x14ac:dyDescent="0.3">
      <c r="F61252" s="193"/>
    </row>
    <row r="61253" spans="6:6" x14ac:dyDescent="0.3">
      <c r="F61253" s="193"/>
    </row>
    <row r="61254" spans="6:6" x14ac:dyDescent="0.3">
      <c r="F61254" s="193"/>
    </row>
    <row r="61255" spans="6:6" x14ac:dyDescent="0.3">
      <c r="F61255" s="193"/>
    </row>
    <row r="61256" spans="6:6" x14ac:dyDescent="0.3">
      <c r="F61256" s="193"/>
    </row>
    <row r="61257" spans="6:6" x14ac:dyDescent="0.3">
      <c r="F61257" s="193"/>
    </row>
    <row r="61258" spans="6:6" x14ac:dyDescent="0.3">
      <c r="F61258" s="193"/>
    </row>
    <row r="61259" spans="6:6" x14ac:dyDescent="0.3">
      <c r="F61259" s="193"/>
    </row>
    <row r="61260" spans="6:6" x14ac:dyDescent="0.3">
      <c r="F61260" s="193"/>
    </row>
    <row r="61261" spans="6:6" x14ac:dyDescent="0.3">
      <c r="F61261" s="193"/>
    </row>
    <row r="61262" spans="6:6" x14ac:dyDescent="0.3">
      <c r="F61262" s="193"/>
    </row>
    <row r="61263" spans="6:6" x14ac:dyDescent="0.3">
      <c r="F61263" s="193"/>
    </row>
    <row r="61264" spans="6:6" x14ac:dyDescent="0.3">
      <c r="F61264" s="193"/>
    </row>
    <row r="61265" spans="6:6" x14ac:dyDescent="0.3">
      <c r="F61265" s="193"/>
    </row>
    <row r="61266" spans="6:6" x14ac:dyDescent="0.3">
      <c r="F61266" s="193"/>
    </row>
    <row r="61267" spans="6:6" x14ac:dyDescent="0.3">
      <c r="F61267" s="193"/>
    </row>
    <row r="61268" spans="6:6" x14ac:dyDescent="0.3">
      <c r="F61268" s="193"/>
    </row>
    <row r="61269" spans="6:6" x14ac:dyDescent="0.3">
      <c r="F61269" s="193"/>
    </row>
    <row r="61270" spans="6:6" x14ac:dyDescent="0.3">
      <c r="F61270" s="193"/>
    </row>
    <row r="61271" spans="6:6" x14ac:dyDescent="0.3">
      <c r="F61271" s="193"/>
    </row>
    <row r="61272" spans="6:6" x14ac:dyDescent="0.3">
      <c r="F61272" s="193"/>
    </row>
    <row r="61273" spans="6:6" x14ac:dyDescent="0.3">
      <c r="F61273" s="193"/>
    </row>
    <row r="61274" spans="6:6" x14ac:dyDescent="0.3">
      <c r="F61274" s="193"/>
    </row>
    <row r="61275" spans="6:6" x14ac:dyDescent="0.3">
      <c r="F61275" s="193"/>
    </row>
    <row r="61276" spans="6:6" x14ac:dyDescent="0.3">
      <c r="F61276" s="193"/>
    </row>
    <row r="61277" spans="6:6" x14ac:dyDescent="0.3">
      <c r="F61277" s="193"/>
    </row>
    <row r="61278" spans="6:6" x14ac:dyDescent="0.3">
      <c r="F61278" s="193"/>
    </row>
    <row r="61279" spans="6:6" x14ac:dyDescent="0.3">
      <c r="F61279" s="193"/>
    </row>
    <row r="61280" spans="6:6" x14ac:dyDescent="0.3">
      <c r="F61280" s="193"/>
    </row>
    <row r="61281" spans="6:6" x14ac:dyDescent="0.3">
      <c r="F61281" s="193"/>
    </row>
    <row r="61282" spans="6:6" x14ac:dyDescent="0.3">
      <c r="F61282" s="193"/>
    </row>
    <row r="61283" spans="6:6" x14ac:dyDescent="0.3">
      <c r="F61283" s="193"/>
    </row>
    <row r="61284" spans="6:6" x14ac:dyDescent="0.3">
      <c r="F61284" s="193"/>
    </row>
    <row r="61285" spans="6:6" x14ac:dyDescent="0.3">
      <c r="F61285" s="193"/>
    </row>
    <row r="61286" spans="6:6" x14ac:dyDescent="0.3">
      <c r="F61286" s="193"/>
    </row>
    <row r="61287" spans="6:6" x14ac:dyDescent="0.3">
      <c r="F61287" s="193"/>
    </row>
    <row r="61288" spans="6:6" x14ac:dyDescent="0.3">
      <c r="F61288" s="193"/>
    </row>
    <row r="61289" spans="6:6" x14ac:dyDescent="0.3">
      <c r="F61289" s="193"/>
    </row>
    <row r="61290" spans="6:6" x14ac:dyDescent="0.3">
      <c r="F61290" s="193"/>
    </row>
    <row r="61291" spans="6:6" x14ac:dyDescent="0.3">
      <c r="F61291" s="193"/>
    </row>
    <row r="61292" spans="6:6" x14ac:dyDescent="0.3">
      <c r="F61292" s="193"/>
    </row>
    <row r="61293" spans="6:6" x14ac:dyDescent="0.3">
      <c r="F61293" s="193"/>
    </row>
    <row r="61294" spans="6:6" x14ac:dyDescent="0.3">
      <c r="F61294" s="193"/>
    </row>
    <row r="61295" spans="6:6" x14ac:dyDescent="0.3">
      <c r="F61295" s="193"/>
    </row>
    <row r="61296" spans="6:6" x14ac:dyDescent="0.3">
      <c r="F61296" s="193"/>
    </row>
    <row r="61297" spans="6:6" x14ac:dyDescent="0.3">
      <c r="F61297" s="193"/>
    </row>
    <row r="61298" spans="6:6" x14ac:dyDescent="0.3">
      <c r="F61298" s="193"/>
    </row>
    <row r="61299" spans="6:6" x14ac:dyDescent="0.3">
      <c r="F61299" s="193"/>
    </row>
    <row r="61300" spans="6:6" x14ac:dyDescent="0.3">
      <c r="F61300" s="193"/>
    </row>
    <row r="61301" spans="6:6" x14ac:dyDescent="0.3">
      <c r="F61301" s="193"/>
    </row>
    <row r="61302" spans="6:6" x14ac:dyDescent="0.3">
      <c r="F61302" s="193"/>
    </row>
    <row r="61303" spans="6:6" x14ac:dyDescent="0.3">
      <c r="F61303" s="193"/>
    </row>
    <row r="61304" spans="6:6" x14ac:dyDescent="0.3">
      <c r="F61304" s="193"/>
    </row>
    <row r="61305" spans="6:6" x14ac:dyDescent="0.3">
      <c r="F61305" s="193"/>
    </row>
    <row r="61306" spans="6:6" x14ac:dyDescent="0.3">
      <c r="F61306" s="193"/>
    </row>
    <row r="61307" spans="6:6" x14ac:dyDescent="0.3">
      <c r="F61307" s="193"/>
    </row>
    <row r="61308" spans="6:6" x14ac:dyDescent="0.3">
      <c r="F61308" s="193"/>
    </row>
    <row r="61309" spans="6:6" x14ac:dyDescent="0.3">
      <c r="F61309" s="193"/>
    </row>
    <row r="61310" spans="6:6" x14ac:dyDescent="0.3">
      <c r="F61310" s="193"/>
    </row>
    <row r="61311" spans="6:6" x14ac:dyDescent="0.3">
      <c r="F61311" s="193"/>
    </row>
    <row r="61312" spans="6:6" x14ac:dyDescent="0.3">
      <c r="F61312" s="193"/>
    </row>
    <row r="61313" spans="6:6" x14ac:dyDescent="0.3">
      <c r="F61313" s="193"/>
    </row>
    <row r="61314" spans="6:6" x14ac:dyDescent="0.3">
      <c r="F61314" s="193"/>
    </row>
    <row r="61315" spans="6:6" x14ac:dyDescent="0.3">
      <c r="F61315" s="193"/>
    </row>
    <row r="61316" spans="6:6" x14ac:dyDescent="0.3">
      <c r="F61316" s="193"/>
    </row>
    <row r="61317" spans="6:6" x14ac:dyDescent="0.3">
      <c r="F61317" s="193"/>
    </row>
    <row r="61318" spans="6:6" x14ac:dyDescent="0.3">
      <c r="F61318" s="193"/>
    </row>
    <row r="61319" spans="6:6" x14ac:dyDescent="0.3">
      <c r="F61319" s="193"/>
    </row>
    <row r="61320" spans="6:6" x14ac:dyDescent="0.3">
      <c r="F61320" s="193"/>
    </row>
    <row r="61321" spans="6:6" x14ac:dyDescent="0.3">
      <c r="F61321" s="193"/>
    </row>
    <row r="61322" spans="6:6" x14ac:dyDescent="0.3">
      <c r="F61322" s="193"/>
    </row>
    <row r="61323" spans="6:6" x14ac:dyDescent="0.3">
      <c r="F61323" s="193"/>
    </row>
    <row r="61324" spans="6:6" x14ac:dyDescent="0.3">
      <c r="F61324" s="193"/>
    </row>
    <row r="61325" spans="6:6" x14ac:dyDescent="0.3">
      <c r="F61325" s="193"/>
    </row>
    <row r="61326" spans="6:6" x14ac:dyDescent="0.3">
      <c r="F61326" s="193"/>
    </row>
    <row r="61327" spans="6:6" x14ac:dyDescent="0.3">
      <c r="F61327" s="193"/>
    </row>
    <row r="61328" spans="6:6" x14ac:dyDescent="0.3">
      <c r="F61328" s="193"/>
    </row>
    <row r="61329" spans="6:6" x14ac:dyDescent="0.3">
      <c r="F61329" s="193"/>
    </row>
    <row r="61330" spans="6:6" x14ac:dyDescent="0.3">
      <c r="F61330" s="193"/>
    </row>
    <row r="61331" spans="6:6" x14ac:dyDescent="0.3">
      <c r="F61331" s="193"/>
    </row>
    <row r="61332" spans="6:6" x14ac:dyDescent="0.3">
      <c r="F61332" s="193"/>
    </row>
    <row r="61333" spans="6:6" x14ac:dyDescent="0.3">
      <c r="F61333" s="193"/>
    </row>
    <row r="61334" spans="6:6" x14ac:dyDescent="0.3">
      <c r="F61334" s="193"/>
    </row>
    <row r="61335" spans="6:6" x14ac:dyDescent="0.3">
      <c r="F61335" s="193"/>
    </row>
    <row r="61336" spans="6:6" x14ac:dyDescent="0.3">
      <c r="F61336" s="193"/>
    </row>
    <row r="61337" spans="6:6" x14ac:dyDescent="0.3">
      <c r="F61337" s="193"/>
    </row>
    <row r="61338" spans="6:6" x14ac:dyDescent="0.3">
      <c r="F61338" s="193"/>
    </row>
    <row r="61339" spans="6:6" x14ac:dyDescent="0.3">
      <c r="F61339" s="193"/>
    </row>
    <row r="61340" spans="6:6" x14ac:dyDescent="0.3">
      <c r="F61340" s="193"/>
    </row>
    <row r="61341" spans="6:6" x14ac:dyDescent="0.3">
      <c r="F61341" s="193"/>
    </row>
    <row r="61342" spans="6:6" x14ac:dyDescent="0.3">
      <c r="F61342" s="193"/>
    </row>
    <row r="61343" spans="6:6" x14ac:dyDescent="0.3">
      <c r="F61343" s="193"/>
    </row>
    <row r="61344" spans="6:6" x14ac:dyDescent="0.3">
      <c r="F61344" s="193"/>
    </row>
    <row r="61345" spans="6:6" x14ac:dyDescent="0.3">
      <c r="F61345" s="193"/>
    </row>
    <row r="61346" spans="6:6" x14ac:dyDescent="0.3">
      <c r="F61346" s="193"/>
    </row>
    <row r="61347" spans="6:6" x14ac:dyDescent="0.3">
      <c r="F61347" s="193"/>
    </row>
    <row r="61348" spans="6:6" x14ac:dyDescent="0.3">
      <c r="F61348" s="193"/>
    </row>
    <row r="61349" spans="6:6" x14ac:dyDescent="0.3">
      <c r="F61349" s="193"/>
    </row>
    <row r="61350" spans="6:6" x14ac:dyDescent="0.3">
      <c r="F61350" s="193"/>
    </row>
    <row r="61351" spans="6:6" x14ac:dyDescent="0.3">
      <c r="F61351" s="193"/>
    </row>
    <row r="61352" spans="6:6" x14ac:dyDescent="0.3">
      <c r="F61352" s="193"/>
    </row>
    <row r="61353" spans="6:6" x14ac:dyDescent="0.3">
      <c r="F61353" s="193"/>
    </row>
    <row r="61354" spans="6:6" x14ac:dyDescent="0.3">
      <c r="F61354" s="193"/>
    </row>
    <row r="61355" spans="6:6" x14ac:dyDescent="0.3">
      <c r="F61355" s="193"/>
    </row>
    <row r="61356" spans="6:6" x14ac:dyDescent="0.3">
      <c r="F61356" s="193"/>
    </row>
    <row r="61357" spans="6:6" x14ac:dyDescent="0.3">
      <c r="F61357" s="193"/>
    </row>
    <row r="61358" spans="6:6" x14ac:dyDescent="0.3">
      <c r="F61358" s="193"/>
    </row>
    <row r="61359" spans="6:6" x14ac:dyDescent="0.3">
      <c r="F61359" s="193"/>
    </row>
    <row r="61360" spans="6:6" x14ac:dyDescent="0.3">
      <c r="F61360" s="193"/>
    </row>
    <row r="61361" spans="6:6" x14ac:dyDescent="0.3">
      <c r="F61361" s="193"/>
    </row>
    <row r="61362" spans="6:6" x14ac:dyDescent="0.3">
      <c r="F61362" s="193"/>
    </row>
    <row r="61363" spans="6:6" x14ac:dyDescent="0.3">
      <c r="F61363" s="193"/>
    </row>
    <row r="61364" spans="6:6" x14ac:dyDescent="0.3">
      <c r="F61364" s="193"/>
    </row>
    <row r="61365" spans="6:6" x14ac:dyDescent="0.3">
      <c r="F61365" s="193"/>
    </row>
    <row r="61366" spans="6:6" x14ac:dyDescent="0.3">
      <c r="F61366" s="193"/>
    </row>
    <row r="61367" spans="6:6" x14ac:dyDescent="0.3">
      <c r="F61367" s="193"/>
    </row>
    <row r="61368" spans="6:6" x14ac:dyDescent="0.3">
      <c r="F61368" s="193"/>
    </row>
    <row r="61369" spans="6:6" x14ac:dyDescent="0.3">
      <c r="F61369" s="193"/>
    </row>
    <row r="61370" spans="6:6" x14ac:dyDescent="0.3">
      <c r="F61370" s="193"/>
    </row>
    <row r="61371" spans="6:6" x14ac:dyDescent="0.3">
      <c r="F61371" s="193"/>
    </row>
    <row r="61372" spans="6:6" x14ac:dyDescent="0.3">
      <c r="F61372" s="193"/>
    </row>
    <row r="61373" spans="6:6" x14ac:dyDescent="0.3">
      <c r="F61373" s="193"/>
    </row>
    <row r="61374" spans="6:6" x14ac:dyDescent="0.3">
      <c r="F61374" s="193"/>
    </row>
    <row r="61375" spans="6:6" x14ac:dyDescent="0.3">
      <c r="F61375" s="193"/>
    </row>
    <row r="61376" spans="6:6" x14ac:dyDescent="0.3">
      <c r="F61376" s="193"/>
    </row>
    <row r="61377" spans="6:6" x14ac:dyDescent="0.3">
      <c r="F61377" s="193"/>
    </row>
    <row r="61378" spans="6:6" x14ac:dyDescent="0.3">
      <c r="F61378" s="193"/>
    </row>
    <row r="61379" spans="6:6" x14ac:dyDescent="0.3">
      <c r="F61379" s="193"/>
    </row>
    <row r="61380" spans="6:6" x14ac:dyDescent="0.3">
      <c r="F61380" s="193"/>
    </row>
    <row r="61381" spans="6:6" x14ac:dyDescent="0.3">
      <c r="F61381" s="193"/>
    </row>
    <row r="61382" spans="6:6" x14ac:dyDescent="0.3">
      <c r="F61382" s="193"/>
    </row>
    <row r="61383" spans="6:6" x14ac:dyDescent="0.3">
      <c r="F61383" s="193"/>
    </row>
    <row r="61384" spans="6:6" x14ac:dyDescent="0.3">
      <c r="F61384" s="193"/>
    </row>
    <row r="61385" spans="6:6" x14ac:dyDescent="0.3">
      <c r="F61385" s="193"/>
    </row>
    <row r="61386" spans="6:6" x14ac:dyDescent="0.3">
      <c r="F61386" s="193"/>
    </row>
    <row r="61387" spans="6:6" x14ac:dyDescent="0.3">
      <c r="F61387" s="193"/>
    </row>
    <row r="61388" spans="6:6" x14ac:dyDescent="0.3">
      <c r="F61388" s="193"/>
    </row>
    <row r="61389" spans="6:6" x14ac:dyDescent="0.3">
      <c r="F61389" s="193"/>
    </row>
    <row r="61390" spans="6:6" x14ac:dyDescent="0.3">
      <c r="F61390" s="193"/>
    </row>
    <row r="61391" spans="6:6" x14ac:dyDescent="0.3">
      <c r="F61391" s="193"/>
    </row>
    <row r="61392" spans="6:6" x14ac:dyDescent="0.3">
      <c r="F61392" s="193"/>
    </row>
    <row r="61393" spans="6:6" x14ac:dyDescent="0.3">
      <c r="F61393" s="193"/>
    </row>
    <row r="61394" spans="6:6" x14ac:dyDescent="0.3">
      <c r="F61394" s="193"/>
    </row>
    <row r="61395" spans="6:6" x14ac:dyDescent="0.3">
      <c r="F61395" s="193"/>
    </row>
    <row r="61396" spans="6:6" x14ac:dyDescent="0.3">
      <c r="F61396" s="193"/>
    </row>
    <row r="61397" spans="6:6" x14ac:dyDescent="0.3">
      <c r="F61397" s="193"/>
    </row>
    <row r="61398" spans="6:6" x14ac:dyDescent="0.3">
      <c r="F61398" s="193"/>
    </row>
    <row r="61399" spans="6:6" x14ac:dyDescent="0.3">
      <c r="F61399" s="193"/>
    </row>
    <row r="61400" spans="6:6" x14ac:dyDescent="0.3">
      <c r="F61400" s="193"/>
    </row>
    <row r="61401" spans="6:6" x14ac:dyDescent="0.3">
      <c r="F61401" s="193"/>
    </row>
    <row r="61402" spans="6:6" x14ac:dyDescent="0.3">
      <c r="F61402" s="193"/>
    </row>
    <row r="61403" spans="6:6" x14ac:dyDescent="0.3">
      <c r="F61403" s="193"/>
    </row>
    <row r="61404" spans="6:6" x14ac:dyDescent="0.3">
      <c r="F61404" s="193"/>
    </row>
    <row r="61405" spans="6:6" x14ac:dyDescent="0.3">
      <c r="F61405" s="193"/>
    </row>
    <row r="61406" spans="6:6" x14ac:dyDescent="0.3">
      <c r="F61406" s="193"/>
    </row>
    <row r="61407" spans="6:6" x14ac:dyDescent="0.3">
      <c r="F61407" s="193"/>
    </row>
    <row r="61408" spans="6:6" x14ac:dyDescent="0.3">
      <c r="F61408" s="193"/>
    </row>
    <row r="61409" spans="6:6" x14ac:dyDescent="0.3">
      <c r="F61409" s="193"/>
    </row>
    <row r="61410" spans="6:6" x14ac:dyDescent="0.3">
      <c r="F61410" s="193"/>
    </row>
    <row r="61411" spans="6:6" x14ac:dyDescent="0.3">
      <c r="F61411" s="193"/>
    </row>
    <row r="61412" spans="6:6" x14ac:dyDescent="0.3">
      <c r="F61412" s="193"/>
    </row>
    <row r="61413" spans="6:6" x14ac:dyDescent="0.3">
      <c r="F61413" s="193"/>
    </row>
    <row r="61414" spans="6:6" x14ac:dyDescent="0.3">
      <c r="F61414" s="193"/>
    </row>
    <row r="61415" spans="6:6" x14ac:dyDescent="0.3">
      <c r="F61415" s="193"/>
    </row>
    <row r="61416" spans="6:6" x14ac:dyDescent="0.3">
      <c r="F61416" s="193"/>
    </row>
    <row r="61417" spans="6:6" x14ac:dyDescent="0.3">
      <c r="F61417" s="193"/>
    </row>
    <row r="61418" spans="6:6" x14ac:dyDescent="0.3">
      <c r="F61418" s="193"/>
    </row>
    <row r="61419" spans="6:6" x14ac:dyDescent="0.3">
      <c r="F61419" s="193"/>
    </row>
    <row r="61420" spans="6:6" x14ac:dyDescent="0.3">
      <c r="F61420" s="193"/>
    </row>
    <row r="61421" spans="6:6" x14ac:dyDescent="0.3">
      <c r="F61421" s="193"/>
    </row>
    <row r="61422" spans="6:6" x14ac:dyDescent="0.3">
      <c r="F61422" s="193"/>
    </row>
    <row r="61423" spans="6:6" x14ac:dyDescent="0.3">
      <c r="F61423" s="193"/>
    </row>
    <row r="61424" spans="6:6" x14ac:dyDescent="0.3">
      <c r="F61424" s="193"/>
    </row>
    <row r="61425" spans="6:6" x14ac:dyDescent="0.3">
      <c r="F61425" s="193"/>
    </row>
    <row r="61426" spans="6:6" x14ac:dyDescent="0.3">
      <c r="F61426" s="193"/>
    </row>
    <row r="61427" spans="6:6" x14ac:dyDescent="0.3">
      <c r="F61427" s="193"/>
    </row>
    <row r="61428" spans="6:6" x14ac:dyDescent="0.3">
      <c r="F61428" s="193"/>
    </row>
    <row r="61429" spans="6:6" x14ac:dyDescent="0.3">
      <c r="F61429" s="193"/>
    </row>
    <row r="61430" spans="6:6" x14ac:dyDescent="0.3">
      <c r="F61430" s="193"/>
    </row>
    <row r="61431" spans="6:6" x14ac:dyDescent="0.3">
      <c r="F61431" s="193"/>
    </row>
    <row r="61432" spans="6:6" x14ac:dyDescent="0.3">
      <c r="F61432" s="193"/>
    </row>
    <row r="61433" spans="6:6" x14ac:dyDescent="0.3">
      <c r="F61433" s="193"/>
    </row>
    <row r="61434" spans="6:6" x14ac:dyDescent="0.3">
      <c r="F61434" s="193"/>
    </row>
    <row r="61435" spans="6:6" x14ac:dyDescent="0.3">
      <c r="F61435" s="193"/>
    </row>
    <row r="61436" spans="6:6" x14ac:dyDescent="0.3">
      <c r="F61436" s="193"/>
    </row>
    <row r="61437" spans="6:6" x14ac:dyDescent="0.3">
      <c r="F61437" s="193"/>
    </row>
    <row r="61438" spans="6:6" x14ac:dyDescent="0.3">
      <c r="F61438" s="193"/>
    </row>
    <row r="61439" spans="6:6" x14ac:dyDescent="0.3">
      <c r="F61439" s="193"/>
    </row>
    <row r="61440" spans="6:6" x14ac:dyDescent="0.3">
      <c r="F61440" s="193"/>
    </row>
    <row r="61441" spans="6:6" x14ac:dyDescent="0.3">
      <c r="F61441" s="193"/>
    </row>
    <row r="61442" spans="6:6" x14ac:dyDescent="0.3">
      <c r="F61442" s="193"/>
    </row>
    <row r="61443" spans="6:6" x14ac:dyDescent="0.3">
      <c r="F61443" s="193"/>
    </row>
    <row r="61444" spans="6:6" x14ac:dyDescent="0.3">
      <c r="F61444" s="193"/>
    </row>
    <row r="61445" spans="6:6" x14ac:dyDescent="0.3">
      <c r="F61445" s="193"/>
    </row>
    <row r="61446" spans="6:6" x14ac:dyDescent="0.3">
      <c r="F61446" s="193"/>
    </row>
    <row r="61447" spans="6:6" x14ac:dyDescent="0.3">
      <c r="F61447" s="193"/>
    </row>
    <row r="61448" spans="6:6" x14ac:dyDescent="0.3">
      <c r="F61448" s="193"/>
    </row>
    <row r="61449" spans="6:6" x14ac:dyDescent="0.3">
      <c r="F61449" s="193"/>
    </row>
    <row r="61450" spans="6:6" x14ac:dyDescent="0.3">
      <c r="F61450" s="193"/>
    </row>
    <row r="61451" spans="6:6" x14ac:dyDescent="0.3">
      <c r="F61451" s="193"/>
    </row>
    <row r="61452" spans="6:6" x14ac:dyDescent="0.3">
      <c r="F61452" s="193"/>
    </row>
    <row r="61453" spans="6:6" x14ac:dyDescent="0.3">
      <c r="F61453" s="193"/>
    </row>
    <row r="61454" spans="6:6" x14ac:dyDescent="0.3">
      <c r="F61454" s="193"/>
    </row>
    <row r="61455" spans="6:6" x14ac:dyDescent="0.3">
      <c r="F61455" s="193"/>
    </row>
    <row r="61456" spans="6:6" x14ac:dyDescent="0.3">
      <c r="F61456" s="193"/>
    </row>
    <row r="61457" spans="6:6" x14ac:dyDescent="0.3">
      <c r="F61457" s="193"/>
    </row>
    <row r="61458" spans="6:6" x14ac:dyDescent="0.3">
      <c r="F61458" s="193"/>
    </row>
    <row r="61459" spans="6:6" x14ac:dyDescent="0.3">
      <c r="F61459" s="193"/>
    </row>
    <row r="61460" spans="6:6" x14ac:dyDescent="0.3">
      <c r="F61460" s="193"/>
    </row>
    <row r="61461" spans="6:6" x14ac:dyDescent="0.3">
      <c r="F61461" s="193"/>
    </row>
    <row r="61462" spans="6:6" x14ac:dyDescent="0.3">
      <c r="F61462" s="193"/>
    </row>
    <row r="61463" spans="6:6" x14ac:dyDescent="0.3">
      <c r="F61463" s="193"/>
    </row>
    <row r="61464" spans="6:6" x14ac:dyDescent="0.3">
      <c r="F61464" s="193"/>
    </row>
    <row r="61465" spans="6:6" x14ac:dyDescent="0.3">
      <c r="F61465" s="193"/>
    </row>
    <row r="61466" spans="6:6" x14ac:dyDescent="0.3">
      <c r="F61466" s="193"/>
    </row>
    <row r="61467" spans="6:6" x14ac:dyDescent="0.3">
      <c r="F61467" s="193"/>
    </row>
    <row r="61468" spans="6:6" x14ac:dyDescent="0.3">
      <c r="F61468" s="193"/>
    </row>
    <row r="61469" spans="6:6" x14ac:dyDescent="0.3">
      <c r="F61469" s="193"/>
    </row>
    <row r="61470" spans="6:6" x14ac:dyDescent="0.3">
      <c r="F61470" s="193"/>
    </row>
    <row r="61471" spans="6:6" x14ac:dyDescent="0.3">
      <c r="F61471" s="193"/>
    </row>
    <row r="61472" spans="6:6" x14ac:dyDescent="0.3">
      <c r="F61472" s="193"/>
    </row>
    <row r="61473" spans="6:6" x14ac:dyDescent="0.3">
      <c r="F61473" s="193"/>
    </row>
    <row r="61474" spans="6:6" x14ac:dyDescent="0.3">
      <c r="F61474" s="193"/>
    </row>
    <row r="61475" spans="6:6" x14ac:dyDescent="0.3">
      <c r="F61475" s="193"/>
    </row>
    <row r="61476" spans="6:6" x14ac:dyDescent="0.3">
      <c r="F61476" s="193"/>
    </row>
    <row r="61477" spans="6:6" x14ac:dyDescent="0.3">
      <c r="F61477" s="193"/>
    </row>
    <row r="61478" spans="6:6" x14ac:dyDescent="0.3">
      <c r="F61478" s="193"/>
    </row>
    <row r="61479" spans="6:6" x14ac:dyDescent="0.3">
      <c r="F61479" s="193"/>
    </row>
    <row r="61480" spans="6:6" x14ac:dyDescent="0.3">
      <c r="F61480" s="193"/>
    </row>
    <row r="61481" spans="6:6" x14ac:dyDescent="0.3">
      <c r="F61481" s="193"/>
    </row>
    <row r="61482" spans="6:6" x14ac:dyDescent="0.3">
      <c r="F61482" s="193"/>
    </row>
    <row r="61483" spans="6:6" x14ac:dyDescent="0.3">
      <c r="F61483" s="193"/>
    </row>
    <row r="61484" spans="6:6" x14ac:dyDescent="0.3">
      <c r="F61484" s="193"/>
    </row>
    <row r="61485" spans="6:6" x14ac:dyDescent="0.3">
      <c r="F61485" s="193"/>
    </row>
    <row r="61486" spans="6:6" x14ac:dyDescent="0.3">
      <c r="F61486" s="193"/>
    </row>
    <row r="61487" spans="6:6" x14ac:dyDescent="0.3">
      <c r="F61487" s="193"/>
    </row>
    <row r="61488" spans="6:6" x14ac:dyDescent="0.3">
      <c r="F61488" s="193"/>
    </row>
    <row r="61489" spans="6:6" x14ac:dyDescent="0.3">
      <c r="F61489" s="193"/>
    </row>
    <row r="61490" spans="6:6" x14ac:dyDescent="0.3">
      <c r="F61490" s="193"/>
    </row>
    <row r="61491" spans="6:6" x14ac:dyDescent="0.3">
      <c r="F61491" s="193"/>
    </row>
    <row r="61492" spans="6:6" x14ac:dyDescent="0.3">
      <c r="F61492" s="193"/>
    </row>
    <row r="61493" spans="6:6" x14ac:dyDescent="0.3">
      <c r="F61493" s="193"/>
    </row>
    <row r="61494" spans="6:6" x14ac:dyDescent="0.3">
      <c r="F61494" s="193"/>
    </row>
    <row r="61495" spans="6:6" x14ac:dyDescent="0.3">
      <c r="F61495" s="193"/>
    </row>
    <row r="61496" spans="6:6" x14ac:dyDescent="0.3">
      <c r="F61496" s="193"/>
    </row>
    <row r="61497" spans="6:6" x14ac:dyDescent="0.3">
      <c r="F61497" s="193"/>
    </row>
    <row r="61498" spans="6:6" x14ac:dyDescent="0.3">
      <c r="F61498" s="193"/>
    </row>
    <row r="61499" spans="6:6" x14ac:dyDescent="0.3">
      <c r="F61499" s="193"/>
    </row>
    <row r="61500" spans="6:6" x14ac:dyDescent="0.3">
      <c r="F61500" s="193"/>
    </row>
    <row r="61501" spans="6:6" x14ac:dyDescent="0.3">
      <c r="F61501" s="193"/>
    </row>
    <row r="61502" spans="6:6" x14ac:dyDescent="0.3">
      <c r="F61502" s="193"/>
    </row>
    <row r="61503" spans="6:6" x14ac:dyDescent="0.3">
      <c r="F61503" s="193"/>
    </row>
    <row r="61504" spans="6:6" x14ac:dyDescent="0.3">
      <c r="F61504" s="193"/>
    </row>
    <row r="61505" spans="6:6" x14ac:dyDescent="0.3">
      <c r="F61505" s="193"/>
    </row>
    <row r="61506" spans="6:6" x14ac:dyDescent="0.3">
      <c r="F61506" s="193"/>
    </row>
    <row r="61507" spans="6:6" x14ac:dyDescent="0.3">
      <c r="F61507" s="193"/>
    </row>
    <row r="61508" spans="6:6" x14ac:dyDescent="0.3">
      <c r="F61508" s="193"/>
    </row>
    <row r="61509" spans="6:6" x14ac:dyDescent="0.3">
      <c r="F61509" s="193"/>
    </row>
    <row r="61510" spans="6:6" x14ac:dyDescent="0.3">
      <c r="F61510" s="193"/>
    </row>
    <row r="61511" spans="6:6" x14ac:dyDescent="0.3">
      <c r="F61511" s="193"/>
    </row>
    <row r="61512" spans="6:6" x14ac:dyDescent="0.3">
      <c r="F61512" s="193"/>
    </row>
    <row r="61513" spans="6:6" x14ac:dyDescent="0.3">
      <c r="F61513" s="193"/>
    </row>
    <row r="61514" spans="6:6" x14ac:dyDescent="0.3">
      <c r="F61514" s="193"/>
    </row>
    <row r="61515" spans="6:6" x14ac:dyDescent="0.3">
      <c r="F61515" s="193"/>
    </row>
    <row r="61516" spans="6:6" x14ac:dyDescent="0.3">
      <c r="F61516" s="193"/>
    </row>
    <row r="61517" spans="6:6" x14ac:dyDescent="0.3">
      <c r="F61517" s="193"/>
    </row>
    <row r="61518" spans="6:6" x14ac:dyDescent="0.3">
      <c r="F61518" s="193"/>
    </row>
    <row r="61519" spans="6:6" x14ac:dyDescent="0.3">
      <c r="F61519" s="193"/>
    </row>
    <row r="61520" spans="6:6" x14ac:dyDescent="0.3">
      <c r="F61520" s="193"/>
    </row>
    <row r="61521" spans="6:6" x14ac:dyDescent="0.3">
      <c r="F61521" s="193"/>
    </row>
    <row r="61522" spans="6:6" x14ac:dyDescent="0.3">
      <c r="F61522" s="193"/>
    </row>
    <row r="61523" spans="6:6" x14ac:dyDescent="0.3">
      <c r="F61523" s="193"/>
    </row>
    <row r="61524" spans="6:6" x14ac:dyDescent="0.3">
      <c r="F61524" s="193"/>
    </row>
    <row r="61525" spans="6:6" x14ac:dyDescent="0.3">
      <c r="F61525" s="193"/>
    </row>
    <row r="61526" spans="6:6" x14ac:dyDescent="0.3">
      <c r="F61526" s="193"/>
    </row>
    <row r="61527" spans="6:6" x14ac:dyDescent="0.3">
      <c r="F61527" s="193"/>
    </row>
    <row r="61528" spans="6:6" x14ac:dyDescent="0.3">
      <c r="F61528" s="193"/>
    </row>
    <row r="61529" spans="6:6" x14ac:dyDescent="0.3">
      <c r="F61529" s="193"/>
    </row>
    <row r="61530" spans="6:6" x14ac:dyDescent="0.3">
      <c r="F61530" s="193"/>
    </row>
    <row r="61531" spans="6:6" x14ac:dyDescent="0.3">
      <c r="F61531" s="193"/>
    </row>
    <row r="61532" spans="6:6" x14ac:dyDescent="0.3">
      <c r="F61532" s="193"/>
    </row>
    <row r="61533" spans="6:6" x14ac:dyDescent="0.3">
      <c r="F61533" s="193"/>
    </row>
    <row r="61534" spans="6:6" x14ac:dyDescent="0.3">
      <c r="F61534" s="193"/>
    </row>
    <row r="61535" spans="6:6" x14ac:dyDescent="0.3">
      <c r="F61535" s="193"/>
    </row>
    <row r="61536" spans="6:6" x14ac:dyDescent="0.3">
      <c r="F61536" s="193"/>
    </row>
    <row r="61537" spans="6:6" x14ac:dyDescent="0.3">
      <c r="F61537" s="193"/>
    </row>
    <row r="61538" spans="6:6" x14ac:dyDescent="0.3">
      <c r="F61538" s="193"/>
    </row>
    <row r="61539" spans="6:6" x14ac:dyDescent="0.3">
      <c r="F61539" s="193"/>
    </row>
    <row r="61540" spans="6:6" x14ac:dyDescent="0.3">
      <c r="F61540" s="193"/>
    </row>
    <row r="61541" spans="6:6" x14ac:dyDescent="0.3">
      <c r="F61541" s="193"/>
    </row>
    <row r="61542" spans="6:6" x14ac:dyDescent="0.3">
      <c r="F61542" s="193"/>
    </row>
    <row r="61543" spans="6:6" x14ac:dyDescent="0.3">
      <c r="F61543" s="193"/>
    </row>
    <row r="61544" spans="6:6" x14ac:dyDescent="0.3">
      <c r="F61544" s="193"/>
    </row>
    <row r="61545" spans="6:6" x14ac:dyDescent="0.3">
      <c r="F61545" s="193"/>
    </row>
    <row r="61546" spans="6:6" x14ac:dyDescent="0.3">
      <c r="F61546" s="193"/>
    </row>
    <row r="61547" spans="6:6" x14ac:dyDescent="0.3">
      <c r="F61547" s="193"/>
    </row>
    <row r="61548" spans="6:6" x14ac:dyDescent="0.3">
      <c r="F61548" s="193"/>
    </row>
    <row r="61549" spans="6:6" x14ac:dyDescent="0.3">
      <c r="F61549" s="193"/>
    </row>
    <row r="61550" spans="6:6" x14ac:dyDescent="0.3">
      <c r="F61550" s="193"/>
    </row>
    <row r="61551" spans="6:6" x14ac:dyDescent="0.3">
      <c r="F61551" s="193"/>
    </row>
    <row r="61552" spans="6:6" x14ac:dyDescent="0.3">
      <c r="F61552" s="193"/>
    </row>
    <row r="61553" spans="6:6" x14ac:dyDescent="0.3">
      <c r="F61553" s="193"/>
    </row>
    <row r="61554" spans="6:6" x14ac:dyDescent="0.3">
      <c r="F61554" s="193"/>
    </row>
    <row r="61555" spans="6:6" x14ac:dyDescent="0.3">
      <c r="F61555" s="193"/>
    </row>
    <row r="61556" spans="6:6" x14ac:dyDescent="0.3">
      <c r="F61556" s="193"/>
    </row>
    <row r="61557" spans="6:6" x14ac:dyDescent="0.3">
      <c r="F61557" s="193"/>
    </row>
    <row r="61558" spans="6:6" x14ac:dyDescent="0.3">
      <c r="F61558" s="193"/>
    </row>
    <row r="61559" spans="6:6" x14ac:dyDescent="0.3">
      <c r="F61559" s="193"/>
    </row>
    <row r="61560" spans="6:6" x14ac:dyDescent="0.3">
      <c r="F61560" s="193"/>
    </row>
    <row r="61561" spans="6:6" x14ac:dyDescent="0.3">
      <c r="F61561" s="193"/>
    </row>
    <row r="61562" spans="6:6" x14ac:dyDescent="0.3">
      <c r="F61562" s="193"/>
    </row>
    <row r="61563" spans="6:6" x14ac:dyDescent="0.3">
      <c r="F61563" s="193"/>
    </row>
    <row r="61564" spans="6:6" x14ac:dyDescent="0.3">
      <c r="F61564" s="193"/>
    </row>
    <row r="61565" spans="6:6" x14ac:dyDescent="0.3">
      <c r="F61565" s="193"/>
    </row>
    <row r="61566" spans="6:6" x14ac:dyDescent="0.3">
      <c r="F61566" s="193"/>
    </row>
    <row r="61567" spans="6:6" x14ac:dyDescent="0.3">
      <c r="F61567" s="193"/>
    </row>
    <row r="61568" spans="6:6" x14ac:dyDescent="0.3">
      <c r="F61568" s="193"/>
    </row>
    <row r="61569" spans="6:6" x14ac:dyDescent="0.3">
      <c r="F61569" s="193"/>
    </row>
    <row r="61570" spans="6:6" x14ac:dyDescent="0.3">
      <c r="F61570" s="193"/>
    </row>
    <row r="61571" spans="6:6" x14ac:dyDescent="0.3">
      <c r="F61571" s="193"/>
    </row>
    <row r="61572" spans="6:6" x14ac:dyDescent="0.3">
      <c r="F61572" s="193"/>
    </row>
    <row r="61573" spans="6:6" x14ac:dyDescent="0.3">
      <c r="F61573" s="193"/>
    </row>
    <row r="61574" spans="6:6" x14ac:dyDescent="0.3">
      <c r="F61574" s="193"/>
    </row>
    <row r="61575" spans="6:6" x14ac:dyDescent="0.3">
      <c r="F61575" s="193"/>
    </row>
    <row r="61576" spans="6:6" x14ac:dyDescent="0.3">
      <c r="F61576" s="193"/>
    </row>
    <row r="61577" spans="6:6" x14ac:dyDescent="0.3">
      <c r="F61577" s="193"/>
    </row>
    <row r="61578" spans="6:6" x14ac:dyDescent="0.3">
      <c r="F61578" s="193"/>
    </row>
    <row r="61579" spans="6:6" x14ac:dyDescent="0.3">
      <c r="F61579" s="193"/>
    </row>
    <row r="61580" spans="6:6" x14ac:dyDescent="0.3">
      <c r="F61580" s="193"/>
    </row>
    <row r="61581" spans="6:6" x14ac:dyDescent="0.3">
      <c r="F61581" s="193"/>
    </row>
    <row r="61582" spans="6:6" x14ac:dyDescent="0.3">
      <c r="F61582" s="193"/>
    </row>
    <row r="61583" spans="6:6" x14ac:dyDescent="0.3">
      <c r="F61583" s="193"/>
    </row>
    <row r="61584" spans="6:6" x14ac:dyDescent="0.3">
      <c r="F61584" s="193"/>
    </row>
    <row r="61585" spans="6:6" x14ac:dyDescent="0.3">
      <c r="F61585" s="193"/>
    </row>
    <row r="61586" spans="6:6" x14ac:dyDescent="0.3">
      <c r="F61586" s="193"/>
    </row>
    <row r="61587" spans="6:6" x14ac:dyDescent="0.3">
      <c r="F61587" s="193"/>
    </row>
    <row r="61588" spans="6:6" x14ac:dyDescent="0.3">
      <c r="F61588" s="193"/>
    </row>
    <row r="61589" spans="6:6" x14ac:dyDescent="0.3">
      <c r="F61589" s="193"/>
    </row>
    <row r="61590" spans="6:6" x14ac:dyDescent="0.3">
      <c r="F61590" s="193"/>
    </row>
    <row r="61591" spans="6:6" x14ac:dyDescent="0.3">
      <c r="F61591" s="193"/>
    </row>
    <row r="61592" spans="6:6" x14ac:dyDescent="0.3">
      <c r="F61592" s="193"/>
    </row>
    <row r="61593" spans="6:6" x14ac:dyDescent="0.3">
      <c r="F61593" s="193"/>
    </row>
    <row r="61594" spans="6:6" x14ac:dyDescent="0.3">
      <c r="F61594" s="193"/>
    </row>
    <row r="61595" spans="6:6" x14ac:dyDescent="0.3">
      <c r="F61595" s="193"/>
    </row>
    <row r="61596" spans="6:6" x14ac:dyDescent="0.3">
      <c r="F61596" s="193"/>
    </row>
    <row r="61597" spans="6:6" x14ac:dyDescent="0.3">
      <c r="F61597" s="193"/>
    </row>
    <row r="61598" spans="6:6" x14ac:dyDescent="0.3">
      <c r="F61598" s="193"/>
    </row>
    <row r="61599" spans="6:6" x14ac:dyDescent="0.3">
      <c r="F61599" s="193"/>
    </row>
    <row r="61600" spans="6:6" x14ac:dyDescent="0.3">
      <c r="F61600" s="193"/>
    </row>
    <row r="61601" spans="6:6" x14ac:dyDescent="0.3">
      <c r="F61601" s="193"/>
    </row>
    <row r="61602" spans="6:6" x14ac:dyDescent="0.3">
      <c r="F61602" s="193"/>
    </row>
    <row r="61603" spans="6:6" x14ac:dyDescent="0.3">
      <c r="F61603" s="193"/>
    </row>
    <row r="61604" spans="6:6" x14ac:dyDescent="0.3">
      <c r="F61604" s="193"/>
    </row>
    <row r="61605" spans="6:6" x14ac:dyDescent="0.3">
      <c r="F61605" s="193"/>
    </row>
    <row r="61606" spans="6:6" x14ac:dyDescent="0.3">
      <c r="F61606" s="193"/>
    </row>
    <row r="61607" spans="6:6" x14ac:dyDescent="0.3">
      <c r="F61607" s="193"/>
    </row>
    <row r="61608" spans="6:6" x14ac:dyDescent="0.3">
      <c r="F61608" s="193"/>
    </row>
    <row r="61609" spans="6:6" x14ac:dyDescent="0.3">
      <c r="F61609" s="193"/>
    </row>
    <row r="61610" spans="6:6" x14ac:dyDescent="0.3">
      <c r="F61610" s="193"/>
    </row>
    <row r="61611" spans="6:6" x14ac:dyDescent="0.3">
      <c r="F61611" s="193"/>
    </row>
    <row r="61612" spans="6:6" x14ac:dyDescent="0.3">
      <c r="F61612" s="193"/>
    </row>
    <row r="61613" spans="6:6" x14ac:dyDescent="0.3">
      <c r="F61613" s="193"/>
    </row>
    <row r="61614" spans="6:6" x14ac:dyDescent="0.3">
      <c r="F61614" s="193"/>
    </row>
    <row r="61615" spans="6:6" x14ac:dyDescent="0.3">
      <c r="F61615" s="193"/>
    </row>
    <row r="61616" spans="6:6" x14ac:dyDescent="0.3">
      <c r="F61616" s="193"/>
    </row>
    <row r="61617" spans="6:6" x14ac:dyDescent="0.3">
      <c r="F61617" s="193"/>
    </row>
    <row r="61618" spans="6:6" x14ac:dyDescent="0.3">
      <c r="F61618" s="193"/>
    </row>
    <row r="61619" spans="6:6" x14ac:dyDescent="0.3">
      <c r="F61619" s="193"/>
    </row>
    <row r="61620" spans="6:6" x14ac:dyDescent="0.3">
      <c r="F61620" s="193"/>
    </row>
    <row r="61621" spans="6:6" x14ac:dyDescent="0.3">
      <c r="F61621" s="193"/>
    </row>
    <row r="61622" spans="6:6" x14ac:dyDescent="0.3">
      <c r="F61622" s="193"/>
    </row>
    <row r="61623" spans="6:6" x14ac:dyDescent="0.3">
      <c r="F61623" s="193"/>
    </row>
    <row r="61624" spans="6:6" x14ac:dyDescent="0.3">
      <c r="F61624" s="193"/>
    </row>
    <row r="61625" spans="6:6" x14ac:dyDescent="0.3">
      <c r="F61625" s="193"/>
    </row>
    <row r="61626" spans="6:6" x14ac:dyDescent="0.3">
      <c r="F61626" s="193"/>
    </row>
    <row r="61627" spans="6:6" x14ac:dyDescent="0.3">
      <c r="F61627" s="193"/>
    </row>
    <row r="61628" spans="6:6" x14ac:dyDescent="0.3">
      <c r="F61628" s="193"/>
    </row>
    <row r="61629" spans="6:6" x14ac:dyDescent="0.3">
      <c r="F61629" s="193"/>
    </row>
    <row r="61630" spans="6:6" x14ac:dyDescent="0.3">
      <c r="F61630" s="193"/>
    </row>
    <row r="61631" spans="6:6" x14ac:dyDescent="0.3">
      <c r="F61631" s="193"/>
    </row>
    <row r="61632" spans="6:6" x14ac:dyDescent="0.3">
      <c r="F61632" s="193"/>
    </row>
    <row r="61633" spans="6:6" x14ac:dyDescent="0.3">
      <c r="F61633" s="193"/>
    </row>
    <row r="61634" spans="6:6" x14ac:dyDescent="0.3">
      <c r="F61634" s="193"/>
    </row>
    <row r="61635" spans="6:6" x14ac:dyDescent="0.3">
      <c r="F61635" s="193"/>
    </row>
    <row r="61636" spans="6:6" x14ac:dyDescent="0.3">
      <c r="F61636" s="193"/>
    </row>
    <row r="61637" spans="6:6" x14ac:dyDescent="0.3">
      <c r="F61637" s="193"/>
    </row>
    <row r="61638" spans="6:6" x14ac:dyDescent="0.3">
      <c r="F61638" s="193"/>
    </row>
    <row r="61639" spans="6:6" x14ac:dyDescent="0.3">
      <c r="F61639" s="193"/>
    </row>
    <row r="61640" spans="6:6" x14ac:dyDescent="0.3">
      <c r="F61640" s="193"/>
    </row>
    <row r="61641" spans="6:6" x14ac:dyDescent="0.3">
      <c r="F61641" s="193"/>
    </row>
    <row r="61642" spans="6:6" x14ac:dyDescent="0.3">
      <c r="F61642" s="193"/>
    </row>
    <row r="61643" spans="6:6" x14ac:dyDescent="0.3">
      <c r="F61643" s="193"/>
    </row>
    <row r="61644" spans="6:6" x14ac:dyDescent="0.3">
      <c r="F61644" s="193"/>
    </row>
    <row r="61645" spans="6:6" x14ac:dyDescent="0.3">
      <c r="F61645" s="193"/>
    </row>
    <row r="61646" spans="6:6" x14ac:dyDescent="0.3">
      <c r="F61646" s="193"/>
    </row>
    <row r="61647" spans="6:6" x14ac:dyDescent="0.3">
      <c r="F61647" s="193"/>
    </row>
    <row r="61648" spans="6:6" x14ac:dyDescent="0.3">
      <c r="F61648" s="193"/>
    </row>
    <row r="61649" spans="6:6" x14ac:dyDescent="0.3">
      <c r="F61649" s="193"/>
    </row>
    <row r="61650" spans="6:6" x14ac:dyDescent="0.3">
      <c r="F61650" s="193"/>
    </row>
    <row r="61651" spans="6:6" x14ac:dyDescent="0.3">
      <c r="F61651" s="193"/>
    </row>
    <row r="61652" spans="6:6" x14ac:dyDescent="0.3">
      <c r="F61652" s="193"/>
    </row>
    <row r="61653" spans="6:6" x14ac:dyDescent="0.3">
      <c r="F61653" s="193"/>
    </row>
    <row r="61654" spans="6:6" x14ac:dyDescent="0.3">
      <c r="F61654" s="193"/>
    </row>
    <row r="61655" spans="6:6" x14ac:dyDescent="0.3">
      <c r="F61655" s="193"/>
    </row>
    <row r="61656" spans="6:6" x14ac:dyDescent="0.3">
      <c r="F61656" s="193"/>
    </row>
    <row r="61657" spans="6:6" x14ac:dyDescent="0.3">
      <c r="F61657" s="193"/>
    </row>
    <row r="61658" spans="6:6" x14ac:dyDescent="0.3">
      <c r="F61658" s="193"/>
    </row>
    <row r="61659" spans="6:6" x14ac:dyDescent="0.3">
      <c r="F61659" s="193"/>
    </row>
    <row r="61660" spans="6:6" x14ac:dyDescent="0.3">
      <c r="F61660" s="193"/>
    </row>
    <row r="61661" spans="6:6" x14ac:dyDescent="0.3">
      <c r="F61661" s="193"/>
    </row>
    <row r="61662" spans="6:6" x14ac:dyDescent="0.3">
      <c r="F61662" s="193"/>
    </row>
    <row r="61663" spans="6:6" x14ac:dyDescent="0.3">
      <c r="F61663" s="193"/>
    </row>
    <row r="61664" spans="6:6" x14ac:dyDescent="0.3">
      <c r="F61664" s="193"/>
    </row>
    <row r="61665" spans="6:6" x14ac:dyDescent="0.3">
      <c r="F61665" s="193"/>
    </row>
    <row r="61666" spans="6:6" x14ac:dyDescent="0.3">
      <c r="F61666" s="193"/>
    </row>
    <row r="61667" spans="6:6" x14ac:dyDescent="0.3">
      <c r="F61667" s="193"/>
    </row>
    <row r="61668" spans="6:6" x14ac:dyDescent="0.3">
      <c r="F61668" s="193"/>
    </row>
    <row r="61669" spans="6:6" x14ac:dyDescent="0.3">
      <c r="F61669" s="193"/>
    </row>
    <row r="61670" spans="6:6" x14ac:dyDescent="0.3">
      <c r="F61670" s="193"/>
    </row>
    <row r="61671" spans="6:6" x14ac:dyDescent="0.3">
      <c r="F61671" s="193"/>
    </row>
    <row r="61672" spans="6:6" x14ac:dyDescent="0.3">
      <c r="F61672" s="193"/>
    </row>
    <row r="61673" spans="6:6" x14ac:dyDescent="0.3">
      <c r="F61673" s="193"/>
    </row>
    <row r="61674" spans="6:6" x14ac:dyDescent="0.3">
      <c r="F61674" s="193"/>
    </row>
    <row r="61675" spans="6:6" x14ac:dyDescent="0.3">
      <c r="F61675" s="193"/>
    </row>
    <row r="61676" spans="6:6" x14ac:dyDescent="0.3">
      <c r="F61676" s="193"/>
    </row>
    <row r="61677" spans="6:6" x14ac:dyDescent="0.3">
      <c r="F61677" s="193"/>
    </row>
    <row r="61678" spans="6:6" x14ac:dyDescent="0.3">
      <c r="F61678" s="193"/>
    </row>
    <row r="61679" spans="6:6" x14ac:dyDescent="0.3">
      <c r="F61679" s="193"/>
    </row>
    <row r="61680" spans="6:6" x14ac:dyDescent="0.3">
      <c r="F61680" s="193"/>
    </row>
    <row r="61681" spans="6:6" x14ac:dyDescent="0.3">
      <c r="F61681" s="193"/>
    </row>
    <row r="61682" spans="6:6" x14ac:dyDescent="0.3">
      <c r="F61682" s="193"/>
    </row>
    <row r="61683" spans="6:6" x14ac:dyDescent="0.3">
      <c r="F61683" s="193"/>
    </row>
    <row r="61684" spans="6:6" x14ac:dyDescent="0.3">
      <c r="F61684" s="193"/>
    </row>
    <row r="61685" spans="6:6" x14ac:dyDescent="0.3">
      <c r="F61685" s="193"/>
    </row>
    <row r="61686" spans="6:6" x14ac:dyDescent="0.3">
      <c r="F61686" s="193"/>
    </row>
    <row r="61687" spans="6:6" x14ac:dyDescent="0.3">
      <c r="F61687" s="193"/>
    </row>
    <row r="61688" spans="6:6" x14ac:dyDescent="0.3">
      <c r="F61688" s="193"/>
    </row>
    <row r="61689" spans="6:6" x14ac:dyDescent="0.3">
      <c r="F61689" s="193"/>
    </row>
    <row r="61690" spans="6:6" x14ac:dyDescent="0.3">
      <c r="F61690" s="193"/>
    </row>
    <row r="61691" spans="6:6" x14ac:dyDescent="0.3">
      <c r="F61691" s="193"/>
    </row>
    <row r="61692" spans="6:6" x14ac:dyDescent="0.3">
      <c r="F61692" s="193"/>
    </row>
    <row r="61693" spans="6:6" x14ac:dyDescent="0.3">
      <c r="F61693" s="193"/>
    </row>
    <row r="61694" spans="6:6" x14ac:dyDescent="0.3">
      <c r="F61694" s="193"/>
    </row>
    <row r="61695" spans="6:6" x14ac:dyDescent="0.3">
      <c r="F61695" s="193"/>
    </row>
    <row r="61696" spans="6:6" x14ac:dyDescent="0.3">
      <c r="F61696" s="193"/>
    </row>
    <row r="61697" spans="6:6" x14ac:dyDescent="0.3">
      <c r="F61697" s="193"/>
    </row>
    <row r="61698" spans="6:6" x14ac:dyDescent="0.3">
      <c r="F61698" s="193"/>
    </row>
    <row r="61699" spans="6:6" x14ac:dyDescent="0.3">
      <c r="F61699" s="193"/>
    </row>
    <row r="61700" spans="6:6" x14ac:dyDescent="0.3">
      <c r="F61700" s="193"/>
    </row>
    <row r="61701" spans="6:6" x14ac:dyDescent="0.3">
      <c r="F61701" s="193"/>
    </row>
    <row r="61702" spans="6:6" x14ac:dyDescent="0.3">
      <c r="F61702" s="193"/>
    </row>
    <row r="61703" spans="6:6" x14ac:dyDescent="0.3">
      <c r="F61703" s="193"/>
    </row>
    <row r="61704" spans="6:6" x14ac:dyDescent="0.3">
      <c r="F61704" s="193"/>
    </row>
    <row r="61705" spans="6:6" x14ac:dyDescent="0.3">
      <c r="F61705" s="193"/>
    </row>
    <row r="61706" spans="6:6" x14ac:dyDescent="0.3">
      <c r="F61706" s="193"/>
    </row>
    <row r="61707" spans="6:6" x14ac:dyDescent="0.3">
      <c r="F61707" s="193"/>
    </row>
    <row r="61708" spans="6:6" x14ac:dyDescent="0.3">
      <c r="F61708" s="193"/>
    </row>
    <row r="61709" spans="6:6" x14ac:dyDescent="0.3">
      <c r="F61709" s="193"/>
    </row>
    <row r="61710" spans="6:6" x14ac:dyDescent="0.3">
      <c r="F61710" s="193"/>
    </row>
    <row r="61711" spans="6:6" x14ac:dyDescent="0.3">
      <c r="F61711" s="193"/>
    </row>
    <row r="61712" spans="6:6" x14ac:dyDescent="0.3">
      <c r="F61712" s="193"/>
    </row>
    <row r="61713" spans="6:6" x14ac:dyDescent="0.3">
      <c r="F61713" s="193"/>
    </row>
    <row r="61714" spans="6:6" x14ac:dyDescent="0.3">
      <c r="F61714" s="193"/>
    </row>
    <row r="61715" spans="6:6" x14ac:dyDescent="0.3">
      <c r="F61715" s="193"/>
    </row>
    <row r="61716" spans="6:6" x14ac:dyDescent="0.3">
      <c r="F61716" s="193"/>
    </row>
    <row r="61717" spans="6:6" x14ac:dyDescent="0.3">
      <c r="F61717" s="193"/>
    </row>
    <row r="61718" spans="6:6" x14ac:dyDescent="0.3">
      <c r="F61718" s="193"/>
    </row>
    <row r="61719" spans="6:6" x14ac:dyDescent="0.3">
      <c r="F61719" s="193"/>
    </row>
    <row r="61720" spans="6:6" x14ac:dyDescent="0.3">
      <c r="F61720" s="193"/>
    </row>
    <row r="61721" spans="6:6" x14ac:dyDescent="0.3">
      <c r="F61721" s="193"/>
    </row>
    <row r="61722" spans="6:6" x14ac:dyDescent="0.3">
      <c r="F61722" s="193"/>
    </row>
    <row r="61723" spans="6:6" x14ac:dyDescent="0.3">
      <c r="F61723" s="193"/>
    </row>
    <row r="61724" spans="6:6" x14ac:dyDescent="0.3">
      <c r="F61724" s="193"/>
    </row>
    <row r="61725" spans="6:6" x14ac:dyDescent="0.3">
      <c r="F61725" s="193"/>
    </row>
    <row r="61726" spans="6:6" x14ac:dyDescent="0.3">
      <c r="F61726" s="193"/>
    </row>
    <row r="61727" spans="6:6" x14ac:dyDescent="0.3">
      <c r="F61727" s="193"/>
    </row>
    <row r="61728" spans="6:6" x14ac:dyDescent="0.3">
      <c r="F61728" s="193"/>
    </row>
    <row r="61729" spans="6:6" x14ac:dyDescent="0.3">
      <c r="F61729" s="193"/>
    </row>
    <row r="61730" spans="6:6" x14ac:dyDescent="0.3">
      <c r="F61730" s="193"/>
    </row>
    <row r="61731" spans="6:6" x14ac:dyDescent="0.3">
      <c r="F61731" s="193"/>
    </row>
    <row r="61732" spans="6:6" x14ac:dyDescent="0.3">
      <c r="F61732" s="193"/>
    </row>
    <row r="61733" spans="6:6" x14ac:dyDescent="0.3">
      <c r="F61733" s="193"/>
    </row>
    <row r="61734" spans="6:6" x14ac:dyDescent="0.3">
      <c r="F61734" s="193"/>
    </row>
    <row r="61735" spans="6:6" x14ac:dyDescent="0.3">
      <c r="F61735" s="193"/>
    </row>
    <row r="61736" spans="6:6" x14ac:dyDescent="0.3">
      <c r="F61736" s="193"/>
    </row>
    <row r="61737" spans="6:6" x14ac:dyDescent="0.3">
      <c r="F61737" s="193"/>
    </row>
    <row r="61738" spans="6:6" x14ac:dyDescent="0.3">
      <c r="F61738" s="193"/>
    </row>
    <row r="61739" spans="6:6" x14ac:dyDescent="0.3">
      <c r="F61739" s="193"/>
    </row>
    <row r="61740" spans="6:6" x14ac:dyDescent="0.3">
      <c r="F61740" s="193"/>
    </row>
    <row r="61741" spans="6:6" x14ac:dyDescent="0.3">
      <c r="F61741" s="193"/>
    </row>
    <row r="61742" spans="6:6" x14ac:dyDescent="0.3">
      <c r="F61742" s="193"/>
    </row>
    <row r="61743" spans="6:6" x14ac:dyDescent="0.3">
      <c r="F61743" s="193"/>
    </row>
    <row r="61744" spans="6:6" x14ac:dyDescent="0.3">
      <c r="F61744" s="193"/>
    </row>
    <row r="61745" spans="6:6" x14ac:dyDescent="0.3">
      <c r="F61745" s="193"/>
    </row>
    <row r="61746" spans="6:6" x14ac:dyDescent="0.3">
      <c r="F61746" s="193"/>
    </row>
    <row r="61747" spans="6:6" x14ac:dyDescent="0.3">
      <c r="F61747" s="193"/>
    </row>
    <row r="61748" spans="6:6" x14ac:dyDescent="0.3">
      <c r="F61748" s="193"/>
    </row>
    <row r="61749" spans="6:6" x14ac:dyDescent="0.3">
      <c r="F61749" s="193"/>
    </row>
    <row r="61750" spans="6:6" x14ac:dyDescent="0.3">
      <c r="F61750" s="193"/>
    </row>
    <row r="61751" spans="6:6" x14ac:dyDescent="0.3">
      <c r="F61751" s="193"/>
    </row>
    <row r="61752" spans="6:6" x14ac:dyDescent="0.3">
      <c r="F61752" s="193"/>
    </row>
    <row r="61753" spans="6:6" x14ac:dyDescent="0.3">
      <c r="F61753" s="193"/>
    </row>
    <row r="61754" spans="6:6" x14ac:dyDescent="0.3">
      <c r="F61754" s="193"/>
    </row>
    <row r="61755" spans="6:6" x14ac:dyDescent="0.3">
      <c r="F61755" s="193"/>
    </row>
    <row r="61756" spans="6:6" x14ac:dyDescent="0.3">
      <c r="F61756" s="193"/>
    </row>
    <row r="61757" spans="6:6" x14ac:dyDescent="0.3">
      <c r="F61757" s="193"/>
    </row>
    <row r="61758" spans="6:6" x14ac:dyDescent="0.3">
      <c r="F61758" s="193"/>
    </row>
    <row r="61759" spans="6:6" x14ac:dyDescent="0.3">
      <c r="F61759" s="193"/>
    </row>
    <row r="61760" spans="6:6" x14ac:dyDescent="0.3">
      <c r="F61760" s="193"/>
    </row>
    <row r="61761" spans="6:6" x14ac:dyDescent="0.3">
      <c r="F61761" s="193"/>
    </row>
    <row r="61762" spans="6:6" x14ac:dyDescent="0.3">
      <c r="F61762" s="193"/>
    </row>
    <row r="61763" spans="6:6" x14ac:dyDescent="0.3">
      <c r="F61763" s="193"/>
    </row>
    <row r="61764" spans="6:6" x14ac:dyDescent="0.3">
      <c r="F61764" s="193"/>
    </row>
    <row r="61765" spans="6:6" x14ac:dyDescent="0.3">
      <c r="F61765" s="193"/>
    </row>
    <row r="61766" spans="6:6" x14ac:dyDescent="0.3">
      <c r="F61766" s="193"/>
    </row>
    <row r="61767" spans="6:6" x14ac:dyDescent="0.3">
      <c r="F61767" s="193"/>
    </row>
    <row r="61768" spans="6:6" x14ac:dyDescent="0.3">
      <c r="F61768" s="193"/>
    </row>
    <row r="61769" spans="6:6" x14ac:dyDescent="0.3">
      <c r="F61769" s="193"/>
    </row>
    <row r="61770" spans="6:6" x14ac:dyDescent="0.3">
      <c r="F61770" s="193"/>
    </row>
    <row r="61771" spans="6:6" x14ac:dyDescent="0.3">
      <c r="F61771" s="193"/>
    </row>
    <row r="61772" spans="6:6" x14ac:dyDescent="0.3">
      <c r="F61772" s="193"/>
    </row>
    <row r="61773" spans="6:6" x14ac:dyDescent="0.3">
      <c r="F61773" s="193"/>
    </row>
    <row r="61774" spans="6:6" x14ac:dyDescent="0.3">
      <c r="F61774" s="193"/>
    </row>
    <row r="61775" spans="6:6" x14ac:dyDescent="0.3">
      <c r="F61775" s="193"/>
    </row>
    <row r="61776" spans="6:6" x14ac:dyDescent="0.3">
      <c r="F61776" s="193"/>
    </row>
    <row r="61777" spans="6:6" x14ac:dyDescent="0.3">
      <c r="F61777" s="193"/>
    </row>
    <row r="61778" spans="6:6" x14ac:dyDescent="0.3">
      <c r="F61778" s="193"/>
    </row>
    <row r="61779" spans="6:6" x14ac:dyDescent="0.3">
      <c r="F61779" s="193"/>
    </row>
    <row r="61780" spans="6:6" x14ac:dyDescent="0.3">
      <c r="F61780" s="193"/>
    </row>
    <row r="61781" spans="6:6" x14ac:dyDescent="0.3">
      <c r="F61781" s="193"/>
    </row>
    <row r="61782" spans="6:6" x14ac:dyDescent="0.3">
      <c r="F61782" s="193"/>
    </row>
    <row r="61783" spans="6:6" x14ac:dyDescent="0.3">
      <c r="F61783" s="193"/>
    </row>
    <row r="61784" spans="6:6" x14ac:dyDescent="0.3">
      <c r="F61784" s="193"/>
    </row>
    <row r="61785" spans="6:6" x14ac:dyDescent="0.3">
      <c r="F61785" s="193"/>
    </row>
    <row r="61786" spans="6:6" x14ac:dyDescent="0.3">
      <c r="F61786" s="193"/>
    </row>
    <row r="61787" spans="6:6" x14ac:dyDescent="0.3">
      <c r="F61787" s="193"/>
    </row>
    <row r="61788" spans="6:6" x14ac:dyDescent="0.3">
      <c r="F61788" s="193"/>
    </row>
    <row r="61789" spans="6:6" x14ac:dyDescent="0.3">
      <c r="F61789" s="193"/>
    </row>
    <row r="61790" spans="6:6" x14ac:dyDescent="0.3">
      <c r="F61790" s="193"/>
    </row>
    <row r="61791" spans="6:6" x14ac:dyDescent="0.3">
      <c r="F61791" s="193"/>
    </row>
    <row r="61792" spans="6:6" x14ac:dyDescent="0.3">
      <c r="F61792" s="193"/>
    </row>
    <row r="61793" spans="6:6" x14ac:dyDescent="0.3">
      <c r="F61793" s="193"/>
    </row>
    <row r="61794" spans="6:6" x14ac:dyDescent="0.3">
      <c r="F61794" s="193"/>
    </row>
    <row r="61795" spans="6:6" x14ac:dyDescent="0.3">
      <c r="F61795" s="193"/>
    </row>
    <row r="61796" spans="6:6" x14ac:dyDescent="0.3">
      <c r="F61796" s="193"/>
    </row>
    <row r="61797" spans="6:6" x14ac:dyDescent="0.3">
      <c r="F61797" s="193"/>
    </row>
    <row r="61798" spans="6:6" x14ac:dyDescent="0.3">
      <c r="F61798" s="193"/>
    </row>
    <row r="61799" spans="6:6" x14ac:dyDescent="0.3">
      <c r="F61799" s="193"/>
    </row>
    <row r="61800" spans="6:6" x14ac:dyDescent="0.3">
      <c r="F61800" s="193"/>
    </row>
    <row r="61801" spans="6:6" x14ac:dyDescent="0.3">
      <c r="F61801" s="193"/>
    </row>
    <row r="61802" spans="6:6" x14ac:dyDescent="0.3">
      <c r="F61802" s="193"/>
    </row>
    <row r="61803" spans="6:6" x14ac:dyDescent="0.3">
      <c r="F61803" s="193"/>
    </row>
    <row r="61804" spans="6:6" x14ac:dyDescent="0.3">
      <c r="F61804" s="193"/>
    </row>
    <row r="61805" spans="6:6" x14ac:dyDescent="0.3">
      <c r="F61805" s="193"/>
    </row>
    <row r="61806" spans="6:6" x14ac:dyDescent="0.3">
      <c r="F61806" s="193"/>
    </row>
    <row r="61807" spans="6:6" x14ac:dyDescent="0.3">
      <c r="F61807" s="193"/>
    </row>
    <row r="61808" spans="6:6" x14ac:dyDescent="0.3">
      <c r="F61808" s="193"/>
    </row>
    <row r="61809" spans="6:6" x14ac:dyDescent="0.3">
      <c r="F61809" s="193"/>
    </row>
    <row r="61810" spans="6:6" x14ac:dyDescent="0.3">
      <c r="F61810" s="193"/>
    </row>
    <row r="61811" spans="6:6" x14ac:dyDescent="0.3">
      <c r="F61811" s="193"/>
    </row>
    <row r="61812" spans="6:6" x14ac:dyDescent="0.3">
      <c r="F61812" s="193"/>
    </row>
    <row r="61813" spans="6:6" x14ac:dyDescent="0.3">
      <c r="F61813" s="193"/>
    </row>
    <row r="61814" spans="6:6" x14ac:dyDescent="0.3">
      <c r="F61814" s="193"/>
    </row>
    <row r="61815" spans="6:6" x14ac:dyDescent="0.3">
      <c r="F61815" s="193"/>
    </row>
    <row r="61816" spans="6:6" x14ac:dyDescent="0.3">
      <c r="F61816" s="193"/>
    </row>
    <row r="61817" spans="6:6" x14ac:dyDescent="0.3">
      <c r="F61817" s="193"/>
    </row>
    <row r="61818" spans="6:6" x14ac:dyDescent="0.3">
      <c r="F61818" s="193"/>
    </row>
    <row r="61819" spans="6:6" x14ac:dyDescent="0.3">
      <c r="F61819" s="193"/>
    </row>
    <row r="61820" spans="6:6" x14ac:dyDescent="0.3">
      <c r="F61820" s="193"/>
    </row>
    <row r="61821" spans="6:6" x14ac:dyDescent="0.3">
      <c r="F61821" s="193"/>
    </row>
    <row r="61822" spans="6:6" x14ac:dyDescent="0.3">
      <c r="F61822" s="193"/>
    </row>
    <row r="61823" spans="6:6" x14ac:dyDescent="0.3">
      <c r="F61823" s="193"/>
    </row>
    <row r="61824" spans="6:6" x14ac:dyDescent="0.3">
      <c r="F61824" s="193"/>
    </row>
    <row r="61825" spans="6:6" x14ac:dyDescent="0.3">
      <c r="F61825" s="193"/>
    </row>
    <row r="61826" spans="6:6" x14ac:dyDescent="0.3">
      <c r="F61826" s="193"/>
    </row>
    <row r="61827" spans="6:6" x14ac:dyDescent="0.3">
      <c r="F61827" s="193"/>
    </row>
    <row r="61828" spans="6:6" x14ac:dyDescent="0.3">
      <c r="F61828" s="193"/>
    </row>
    <row r="61829" spans="6:6" x14ac:dyDescent="0.3">
      <c r="F61829" s="193"/>
    </row>
    <row r="61830" spans="6:6" x14ac:dyDescent="0.3">
      <c r="F61830" s="193"/>
    </row>
    <row r="61831" spans="6:6" x14ac:dyDescent="0.3">
      <c r="F61831" s="193"/>
    </row>
    <row r="61832" spans="6:6" x14ac:dyDescent="0.3">
      <c r="F61832" s="193"/>
    </row>
    <row r="61833" spans="6:6" x14ac:dyDescent="0.3">
      <c r="F61833" s="193"/>
    </row>
    <row r="61834" spans="6:6" x14ac:dyDescent="0.3">
      <c r="F61834" s="193"/>
    </row>
    <row r="61835" spans="6:6" x14ac:dyDescent="0.3">
      <c r="F61835" s="193"/>
    </row>
    <row r="61836" spans="6:6" x14ac:dyDescent="0.3">
      <c r="F61836" s="193"/>
    </row>
    <row r="61837" spans="6:6" x14ac:dyDescent="0.3">
      <c r="F61837" s="193"/>
    </row>
    <row r="61838" spans="6:6" x14ac:dyDescent="0.3">
      <c r="F61838" s="193"/>
    </row>
    <row r="61839" spans="6:6" x14ac:dyDescent="0.3">
      <c r="F61839" s="193"/>
    </row>
    <row r="61840" spans="6:6" x14ac:dyDescent="0.3">
      <c r="F61840" s="193"/>
    </row>
    <row r="61841" spans="6:6" x14ac:dyDescent="0.3">
      <c r="F61841" s="193"/>
    </row>
    <row r="61842" spans="6:6" x14ac:dyDescent="0.3">
      <c r="F61842" s="193"/>
    </row>
    <row r="61843" spans="6:6" x14ac:dyDescent="0.3">
      <c r="F61843" s="193"/>
    </row>
    <row r="61844" spans="6:6" x14ac:dyDescent="0.3">
      <c r="F61844" s="193"/>
    </row>
    <row r="61845" spans="6:6" x14ac:dyDescent="0.3">
      <c r="F61845" s="193"/>
    </row>
    <row r="61846" spans="6:6" x14ac:dyDescent="0.3">
      <c r="F61846" s="193"/>
    </row>
    <row r="61847" spans="6:6" x14ac:dyDescent="0.3">
      <c r="F61847" s="193"/>
    </row>
    <row r="61848" spans="6:6" x14ac:dyDescent="0.3">
      <c r="F61848" s="193"/>
    </row>
    <row r="61849" spans="6:6" x14ac:dyDescent="0.3">
      <c r="F61849" s="193"/>
    </row>
    <row r="61850" spans="6:6" x14ac:dyDescent="0.3">
      <c r="F61850" s="193"/>
    </row>
    <row r="61851" spans="6:6" x14ac:dyDescent="0.3">
      <c r="F61851" s="193"/>
    </row>
    <row r="61852" spans="6:6" x14ac:dyDescent="0.3">
      <c r="F61852" s="193"/>
    </row>
    <row r="61853" spans="6:6" x14ac:dyDescent="0.3">
      <c r="F61853" s="193"/>
    </row>
    <row r="61854" spans="6:6" x14ac:dyDescent="0.3">
      <c r="F61854" s="193"/>
    </row>
    <row r="61855" spans="6:6" x14ac:dyDescent="0.3">
      <c r="F61855" s="193"/>
    </row>
    <row r="61856" spans="6:6" x14ac:dyDescent="0.3">
      <c r="F61856" s="193"/>
    </row>
    <row r="61857" spans="6:6" x14ac:dyDescent="0.3">
      <c r="F61857" s="193"/>
    </row>
    <row r="61858" spans="6:6" x14ac:dyDescent="0.3">
      <c r="F61858" s="193"/>
    </row>
    <row r="61859" spans="6:6" x14ac:dyDescent="0.3">
      <c r="F61859" s="193"/>
    </row>
    <row r="61860" spans="6:6" x14ac:dyDescent="0.3">
      <c r="F61860" s="193"/>
    </row>
    <row r="61861" spans="6:6" x14ac:dyDescent="0.3">
      <c r="F61861" s="193"/>
    </row>
    <row r="61862" spans="6:6" x14ac:dyDescent="0.3">
      <c r="F61862" s="193"/>
    </row>
    <row r="61863" spans="6:6" x14ac:dyDescent="0.3">
      <c r="F61863" s="193"/>
    </row>
    <row r="61864" spans="6:6" x14ac:dyDescent="0.3">
      <c r="F61864" s="193"/>
    </row>
    <row r="61865" spans="6:6" x14ac:dyDescent="0.3">
      <c r="F61865" s="193"/>
    </row>
    <row r="61866" spans="6:6" x14ac:dyDescent="0.3">
      <c r="F61866" s="193"/>
    </row>
    <row r="61867" spans="6:6" x14ac:dyDescent="0.3">
      <c r="F61867" s="193"/>
    </row>
    <row r="61868" spans="6:6" x14ac:dyDescent="0.3">
      <c r="F61868" s="193"/>
    </row>
    <row r="61869" spans="6:6" x14ac:dyDescent="0.3">
      <c r="F61869" s="193"/>
    </row>
    <row r="61870" spans="6:6" x14ac:dyDescent="0.3">
      <c r="F61870" s="193"/>
    </row>
    <row r="61871" spans="6:6" x14ac:dyDescent="0.3">
      <c r="F61871" s="193"/>
    </row>
    <row r="61872" spans="6:6" x14ac:dyDescent="0.3">
      <c r="F61872" s="193"/>
    </row>
    <row r="61873" spans="6:6" x14ac:dyDescent="0.3">
      <c r="F61873" s="193"/>
    </row>
    <row r="61874" spans="6:6" x14ac:dyDescent="0.3">
      <c r="F61874" s="193"/>
    </row>
    <row r="61875" spans="6:6" x14ac:dyDescent="0.3">
      <c r="F61875" s="193"/>
    </row>
    <row r="61876" spans="6:6" x14ac:dyDescent="0.3">
      <c r="F61876" s="193"/>
    </row>
    <row r="61877" spans="6:6" x14ac:dyDescent="0.3">
      <c r="F61877" s="193"/>
    </row>
    <row r="61878" spans="6:6" x14ac:dyDescent="0.3">
      <c r="F61878" s="193"/>
    </row>
    <row r="61879" spans="6:6" x14ac:dyDescent="0.3">
      <c r="F61879" s="193"/>
    </row>
    <row r="61880" spans="6:6" x14ac:dyDescent="0.3">
      <c r="F61880" s="193"/>
    </row>
    <row r="61881" spans="6:6" x14ac:dyDescent="0.3">
      <c r="F61881" s="193"/>
    </row>
    <row r="61882" spans="6:6" x14ac:dyDescent="0.3">
      <c r="F61882" s="193"/>
    </row>
    <row r="61883" spans="6:6" x14ac:dyDescent="0.3">
      <c r="F61883" s="193"/>
    </row>
    <row r="61884" spans="6:6" x14ac:dyDescent="0.3">
      <c r="F61884" s="193"/>
    </row>
    <row r="61885" spans="6:6" x14ac:dyDescent="0.3">
      <c r="F61885" s="193"/>
    </row>
    <row r="61886" spans="6:6" x14ac:dyDescent="0.3">
      <c r="F61886" s="193"/>
    </row>
    <row r="61887" spans="6:6" x14ac:dyDescent="0.3">
      <c r="F61887" s="193"/>
    </row>
    <row r="61888" spans="6:6" x14ac:dyDescent="0.3">
      <c r="F61888" s="193"/>
    </row>
    <row r="61889" spans="6:6" x14ac:dyDescent="0.3">
      <c r="F61889" s="193"/>
    </row>
    <row r="61890" spans="6:6" x14ac:dyDescent="0.3">
      <c r="F61890" s="193"/>
    </row>
    <row r="61891" spans="6:6" x14ac:dyDescent="0.3">
      <c r="F61891" s="193"/>
    </row>
    <row r="61892" spans="6:6" x14ac:dyDescent="0.3">
      <c r="F61892" s="193"/>
    </row>
    <row r="61893" spans="6:6" x14ac:dyDescent="0.3">
      <c r="F61893" s="193"/>
    </row>
    <row r="61894" spans="6:6" x14ac:dyDescent="0.3">
      <c r="F61894" s="193"/>
    </row>
    <row r="61895" spans="6:6" x14ac:dyDescent="0.3">
      <c r="F61895" s="193"/>
    </row>
    <row r="61896" spans="6:6" x14ac:dyDescent="0.3">
      <c r="F61896" s="193"/>
    </row>
    <row r="61897" spans="6:6" x14ac:dyDescent="0.3">
      <c r="F61897" s="193"/>
    </row>
    <row r="61898" spans="6:6" x14ac:dyDescent="0.3">
      <c r="F61898" s="193"/>
    </row>
    <row r="61899" spans="6:6" x14ac:dyDescent="0.3">
      <c r="F61899" s="193"/>
    </row>
    <row r="61900" spans="6:6" x14ac:dyDescent="0.3">
      <c r="F61900" s="193"/>
    </row>
    <row r="61901" spans="6:6" x14ac:dyDescent="0.3">
      <c r="F61901" s="193"/>
    </row>
    <row r="61902" spans="6:6" x14ac:dyDescent="0.3">
      <c r="F61902" s="193"/>
    </row>
    <row r="61903" spans="6:6" x14ac:dyDescent="0.3">
      <c r="F61903" s="193"/>
    </row>
    <row r="61904" spans="6:6" x14ac:dyDescent="0.3">
      <c r="F61904" s="193"/>
    </row>
    <row r="61905" spans="6:6" x14ac:dyDescent="0.3">
      <c r="F61905" s="193"/>
    </row>
    <row r="61906" spans="6:6" x14ac:dyDescent="0.3">
      <c r="F61906" s="193"/>
    </row>
    <row r="61907" spans="6:6" x14ac:dyDescent="0.3">
      <c r="F61907" s="193"/>
    </row>
    <row r="61908" spans="6:6" x14ac:dyDescent="0.3">
      <c r="F61908" s="193"/>
    </row>
    <row r="61909" spans="6:6" x14ac:dyDescent="0.3">
      <c r="F61909" s="193"/>
    </row>
    <row r="61910" spans="6:6" x14ac:dyDescent="0.3">
      <c r="F61910" s="193"/>
    </row>
    <row r="61911" spans="6:6" x14ac:dyDescent="0.3">
      <c r="F61911" s="193"/>
    </row>
    <row r="61912" spans="6:6" x14ac:dyDescent="0.3">
      <c r="F61912" s="193"/>
    </row>
    <row r="61913" spans="6:6" x14ac:dyDescent="0.3">
      <c r="F61913" s="193"/>
    </row>
    <row r="61914" spans="6:6" x14ac:dyDescent="0.3">
      <c r="F61914" s="193"/>
    </row>
    <row r="61915" spans="6:6" x14ac:dyDescent="0.3">
      <c r="F61915" s="193"/>
    </row>
    <row r="61916" spans="6:6" x14ac:dyDescent="0.3">
      <c r="F61916" s="193"/>
    </row>
    <row r="61917" spans="6:6" x14ac:dyDescent="0.3">
      <c r="F61917" s="193"/>
    </row>
    <row r="61918" spans="6:6" x14ac:dyDescent="0.3">
      <c r="F61918" s="193"/>
    </row>
    <row r="61919" spans="6:6" x14ac:dyDescent="0.3">
      <c r="F61919" s="193"/>
    </row>
    <row r="61920" spans="6:6" x14ac:dyDescent="0.3">
      <c r="F61920" s="193"/>
    </row>
    <row r="61921" spans="6:6" x14ac:dyDescent="0.3">
      <c r="F61921" s="193"/>
    </row>
    <row r="61922" spans="6:6" x14ac:dyDescent="0.3">
      <c r="F61922" s="193"/>
    </row>
    <row r="61923" spans="6:6" x14ac:dyDescent="0.3">
      <c r="F61923" s="193"/>
    </row>
    <row r="61924" spans="6:6" x14ac:dyDescent="0.3">
      <c r="F61924" s="193"/>
    </row>
    <row r="61925" spans="6:6" x14ac:dyDescent="0.3">
      <c r="F61925" s="193"/>
    </row>
    <row r="61926" spans="6:6" x14ac:dyDescent="0.3">
      <c r="F61926" s="193"/>
    </row>
    <row r="61927" spans="6:6" x14ac:dyDescent="0.3">
      <c r="F61927" s="193"/>
    </row>
    <row r="61928" spans="6:6" x14ac:dyDescent="0.3">
      <c r="F61928" s="193"/>
    </row>
    <row r="61929" spans="6:6" x14ac:dyDescent="0.3">
      <c r="F61929" s="193"/>
    </row>
    <row r="61930" spans="6:6" x14ac:dyDescent="0.3">
      <c r="F61930" s="193"/>
    </row>
    <row r="61931" spans="6:6" x14ac:dyDescent="0.3">
      <c r="F61931" s="193"/>
    </row>
    <row r="61932" spans="6:6" x14ac:dyDescent="0.3">
      <c r="F61932" s="193"/>
    </row>
    <row r="61933" spans="6:6" x14ac:dyDescent="0.3">
      <c r="F61933" s="193"/>
    </row>
    <row r="61934" spans="6:6" x14ac:dyDescent="0.3">
      <c r="F61934" s="193"/>
    </row>
    <row r="61935" spans="6:6" x14ac:dyDescent="0.3">
      <c r="F61935" s="193"/>
    </row>
    <row r="61936" spans="6:6" x14ac:dyDescent="0.3">
      <c r="F61936" s="193"/>
    </row>
    <row r="61937" spans="6:6" x14ac:dyDescent="0.3">
      <c r="F61937" s="193"/>
    </row>
    <row r="61938" spans="6:6" x14ac:dyDescent="0.3">
      <c r="F61938" s="193"/>
    </row>
    <row r="61939" spans="6:6" x14ac:dyDescent="0.3">
      <c r="F61939" s="193"/>
    </row>
    <row r="61940" spans="6:6" x14ac:dyDescent="0.3">
      <c r="F61940" s="193"/>
    </row>
    <row r="61941" spans="6:6" x14ac:dyDescent="0.3">
      <c r="F61941" s="193"/>
    </row>
    <row r="61942" spans="6:6" x14ac:dyDescent="0.3">
      <c r="F61942" s="193"/>
    </row>
    <row r="61943" spans="6:6" x14ac:dyDescent="0.3">
      <c r="F61943" s="193"/>
    </row>
    <row r="61944" spans="6:6" x14ac:dyDescent="0.3">
      <c r="F61944" s="193"/>
    </row>
    <row r="61945" spans="6:6" x14ac:dyDescent="0.3">
      <c r="F61945" s="193"/>
    </row>
    <row r="61946" spans="6:6" x14ac:dyDescent="0.3">
      <c r="F61946" s="193"/>
    </row>
    <row r="61947" spans="6:6" x14ac:dyDescent="0.3">
      <c r="F61947" s="193"/>
    </row>
    <row r="61948" spans="6:6" x14ac:dyDescent="0.3">
      <c r="F61948" s="193"/>
    </row>
    <row r="61949" spans="6:6" x14ac:dyDescent="0.3">
      <c r="F61949" s="193"/>
    </row>
    <row r="61950" spans="6:6" x14ac:dyDescent="0.3">
      <c r="F61950" s="193"/>
    </row>
    <row r="61951" spans="6:6" x14ac:dyDescent="0.3">
      <c r="F61951" s="193"/>
    </row>
    <row r="61952" spans="6:6" x14ac:dyDescent="0.3">
      <c r="F61952" s="193"/>
    </row>
    <row r="61953" spans="6:6" x14ac:dyDescent="0.3">
      <c r="F61953" s="193"/>
    </row>
    <row r="61954" spans="6:6" x14ac:dyDescent="0.3">
      <c r="F61954" s="193"/>
    </row>
    <row r="61955" spans="6:6" x14ac:dyDescent="0.3">
      <c r="F61955" s="193"/>
    </row>
    <row r="61956" spans="6:6" x14ac:dyDescent="0.3">
      <c r="F61956" s="193"/>
    </row>
    <row r="61957" spans="6:6" x14ac:dyDescent="0.3">
      <c r="F61957" s="193"/>
    </row>
    <row r="61958" spans="6:6" x14ac:dyDescent="0.3">
      <c r="F61958" s="193"/>
    </row>
    <row r="61959" spans="6:6" x14ac:dyDescent="0.3">
      <c r="F61959" s="193"/>
    </row>
    <row r="61960" spans="6:6" x14ac:dyDescent="0.3">
      <c r="F61960" s="193"/>
    </row>
    <row r="61961" spans="6:6" x14ac:dyDescent="0.3">
      <c r="F61961" s="193"/>
    </row>
    <row r="61962" spans="6:6" x14ac:dyDescent="0.3">
      <c r="F61962" s="193"/>
    </row>
    <row r="61963" spans="6:6" x14ac:dyDescent="0.3">
      <c r="F61963" s="193"/>
    </row>
    <row r="61964" spans="6:6" x14ac:dyDescent="0.3">
      <c r="F61964" s="193"/>
    </row>
    <row r="61965" spans="6:6" x14ac:dyDescent="0.3">
      <c r="F61965" s="193"/>
    </row>
    <row r="61966" spans="6:6" x14ac:dyDescent="0.3">
      <c r="F61966" s="193"/>
    </row>
    <row r="61967" spans="6:6" x14ac:dyDescent="0.3">
      <c r="F61967" s="193"/>
    </row>
    <row r="61968" spans="6:6" x14ac:dyDescent="0.3">
      <c r="F61968" s="193"/>
    </row>
    <row r="61969" spans="6:6" x14ac:dyDescent="0.3">
      <c r="F61969" s="193"/>
    </row>
    <row r="61970" spans="6:6" x14ac:dyDescent="0.3">
      <c r="F61970" s="193"/>
    </row>
    <row r="61971" spans="6:6" x14ac:dyDescent="0.3">
      <c r="F61971" s="193"/>
    </row>
    <row r="61972" spans="6:6" x14ac:dyDescent="0.3">
      <c r="F61972" s="193"/>
    </row>
    <row r="61973" spans="6:6" x14ac:dyDescent="0.3">
      <c r="F61973" s="193"/>
    </row>
    <row r="61974" spans="6:6" x14ac:dyDescent="0.3">
      <c r="F61974" s="193"/>
    </row>
    <row r="61975" spans="6:6" x14ac:dyDescent="0.3">
      <c r="F61975" s="193"/>
    </row>
    <row r="61976" spans="6:6" x14ac:dyDescent="0.3">
      <c r="F61976" s="193"/>
    </row>
    <row r="61977" spans="6:6" x14ac:dyDescent="0.3">
      <c r="F61977" s="193"/>
    </row>
    <row r="61978" spans="6:6" x14ac:dyDescent="0.3">
      <c r="F61978" s="193"/>
    </row>
    <row r="61979" spans="6:6" x14ac:dyDescent="0.3">
      <c r="F61979" s="193"/>
    </row>
    <row r="61980" spans="6:6" x14ac:dyDescent="0.3">
      <c r="F61980" s="193"/>
    </row>
    <row r="61981" spans="6:6" x14ac:dyDescent="0.3">
      <c r="F61981" s="193"/>
    </row>
    <row r="61982" spans="6:6" x14ac:dyDescent="0.3">
      <c r="F61982" s="193"/>
    </row>
    <row r="61983" spans="6:6" x14ac:dyDescent="0.3">
      <c r="F61983" s="193"/>
    </row>
    <row r="61984" spans="6:6" x14ac:dyDescent="0.3">
      <c r="F61984" s="193"/>
    </row>
    <row r="61985" spans="6:6" x14ac:dyDescent="0.3">
      <c r="F61985" s="193"/>
    </row>
    <row r="61986" spans="6:6" x14ac:dyDescent="0.3">
      <c r="F61986" s="193"/>
    </row>
    <row r="61987" spans="6:6" x14ac:dyDescent="0.3">
      <c r="F61987" s="193"/>
    </row>
    <row r="61988" spans="6:6" x14ac:dyDescent="0.3">
      <c r="F61988" s="193"/>
    </row>
    <row r="61989" spans="6:6" x14ac:dyDescent="0.3">
      <c r="F61989" s="193"/>
    </row>
    <row r="61990" spans="6:6" x14ac:dyDescent="0.3">
      <c r="F61990" s="193"/>
    </row>
    <row r="61991" spans="6:6" x14ac:dyDescent="0.3">
      <c r="F61991" s="193"/>
    </row>
    <row r="61992" spans="6:6" x14ac:dyDescent="0.3">
      <c r="F61992" s="193"/>
    </row>
    <row r="61993" spans="6:6" x14ac:dyDescent="0.3">
      <c r="F61993" s="193"/>
    </row>
    <row r="61994" spans="6:6" x14ac:dyDescent="0.3">
      <c r="F61994" s="193"/>
    </row>
    <row r="61995" spans="6:6" x14ac:dyDescent="0.3">
      <c r="F61995" s="193"/>
    </row>
    <row r="61996" spans="6:6" x14ac:dyDescent="0.3">
      <c r="F61996" s="193"/>
    </row>
    <row r="61997" spans="6:6" x14ac:dyDescent="0.3">
      <c r="F61997" s="193"/>
    </row>
    <row r="61998" spans="6:6" x14ac:dyDescent="0.3">
      <c r="F61998" s="193"/>
    </row>
    <row r="61999" spans="6:6" x14ac:dyDescent="0.3">
      <c r="F61999" s="193"/>
    </row>
    <row r="62000" spans="6:6" x14ac:dyDescent="0.3">
      <c r="F62000" s="193"/>
    </row>
    <row r="62001" spans="6:6" x14ac:dyDescent="0.3">
      <c r="F62001" s="193"/>
    </row>
    <row r="62002" spans="6:6" x14ac:dyDescent="0.3">
      <c r="F62002" s="193"/>
    </row>
    <row r="62003" spans="6:6" x14ac:dyDescent="0.3">
      <c r="F62003" s="193"/>
    </row>
    <row r="62004" spans="6:6" x14ac:dyDescent="0.3">
      <c r="F62004" s="193"/>
    </row>
    <row r="62005" spans="6:6" x14ac:dyDescent="0.3">
      <c r="F62005" s="193"/>
    </row>
    <row r="62006" spans="6:6" x14ac:dyDescent="0.3">
      <c r="F62006" s="193"/>
    </row>
    <row r="62007" spans="6:6" x14ac:dyDescent="0.3">
      <c r="F62007" s="193"/>
    </row>
    <row r="62008" spans="6:6" x14ac:dyDescent="0.3">
      <c r="F62008" s="193"/>
    </row>
    <row r="62009" spans="6:6" x14ac:dyDescent="0.3">
      <c r="F62009" s="193"/>
    </row>
    <row r="62010" spans="6:6" x14ac:dyDescent="0.3">
      <c r="F62010" s="193"/>
    </row>
    <row r="62011" spans="6:6" x14ac:dyDescent="0.3">
      <c r="F62011" s="193"/>
    </row>
    <row r="62012" spans="6:6" x14ac:dyDescent="0.3">
      <c r="F62012" s="193"/>
    </row>
    <row r="62013" spans="6:6" x14ac:dyDescent="0.3">
      <c r="F62013" s="193"/>
    </row>
    <row r="62014" spans="6:6" x14ac:dyDescent="0.3">
      <c r="F62014" s="193"/>
    </row>
    <row r="62015" spans="6:6" x14ac:dyDescent="0.3">
      <c r="F62015" s="193"/>
    </row>
    <row r="62016" spans="6:6" x14ac:dyDescent="0.3">
      <c r="F62016" s="193"/>
    </row>
    <row r="62017" spans="6:6" x14ac:dyDescent="0.3">
      <c r="F62017" s="193"/>
    </row>
    <row r="62018" spans="6:6" x14ac:dyDescent="0.3">
      <c r="F62018" s="193"/>
    </row>
    <row r="62019" spans="6:6" x14ac:dyDescent="0.3">
      <c r="F62019" s="193"/>
    </row>
    <row r="62020" spans="6:6" x14ac:dyDescent="0.3">
      <c r="F62020" s="193"/>
    </row>
    <row r="62021" spans="6:6" x14ac:dyDescent="0.3">
      <c r="F62021" s="193"/>
    </row>
    <row r="62022" spans="6:6" x14ac:dyDescent="0.3">
      <c r="F62022" s="193"/>
    </row>
    <row r="62023" spans="6:6" x14ac:dyDescent="0.3">
      <c r="F62023" s="193"/>
    </row>
    <row r="62024" spans="6:6" x14ac:dyDescent="0.3">
      <c r="F62024" s="193"/>
    </row>
    <row r="62025" spans="6:6" x14ac:dyDescent="0.3">
      <c r="F62025" s="193"/>
    </row>
    <row r="62026" spans="6:6" x14ac:dyDescent="0.3">
      <c r="F62026" s="193"/>
    </row>
    <row r="62027" spans="6:6" x14ac:dyDescent="0.3">
      <c r="F62027" s="193"/>
    </row>
    <row r="62028" spans="6:6" x14ac:dyDescent="0.3">
      <c r="F62028" s="193"/>
    </row>
    <row r="62029" spans="6:6" x14ac:dyDescent="0.3">
      <c r="F62029" s="193"/>
    </row>
    <row r="62030" spans="6:6" x14ac:dyDescent="0.3">
      <c r="F62030" s="193"/>
    </row>
    <row r="62031" spans="6:6" x14ac:dyDescent="0.3">
      <c r="F62031" s="193"/>
    </row>
    <row r="62032" spans="6:6" x14ac:dyDescent="0.3">
      <c r="F62032" s="193"/>
    </row>
    <row r="62033" spans="6:6" x14ac:dyDescent="0.3">
      <c r="F62033" s="193"/>
    </row>
    <row r="62034" spans="6:6" x14ac:dyDescent="0.3">
      <c r="F62034" s="193"/>
    </row>
    <row r="62035" spans="6:6" x14ac:dyDescent="0.3">
      <c r="F62035" s="193"/>
    </row>
    <row r="62036" spans="6:6" x14ac:dyDescent="0.3">
      <c r="F62036" s="193"/>
    </row>
    <row r="62037" spans="6:6" x14ac:dyDescent="0.3">
      <c r="F62037" s="193"/>
    </row>
    <row r="62038" spans="6:6" x14ac:dyDescent="0.3">
      <c r="F62038" s="193"/>
    </row>
    <row r="62039" spans="6:6" x14ac:dyDescent="0.3">
      <c r="F62039" s="193"/>
    </row>
    <row r="62040" spans="6:6" x14ac:dyDescent="0.3">
      <c r="F62040" s="193"/>
    </row>
    <row r="62041" spans="6:6" x14ac:dyDescent="0.3">
      <c r="F62041" s="193"/>
    </row>
    <row r="62042" spans="6:6" x14ac:dyDescent="0.3">
      <c r="F62042" s="193"/>
    </row>
    <row r="62043" spans="6:6" x14ac:dyDescent="0.3">
      <c r="F62043" s="193"/>
    </row>
    <row r="62044" spans="6:6" x14ac:dyDescent="0.3">
      <c r="F62044" s="193"/>
    </row>
    <row r="62045" spans="6:6" x14ac:dyDescent="0.3">
      <c r="F62045" s="193"/>
    </row>
    <row r="62046" spans="6:6" x14ac:dyDescent="0.3">
      <c r="F62046" s="193"/>
    </row>
    <row r="62047" spans="6:6" x14ac:dyDescent="0.3">
      <c r="F62047" s="193"/>
    </row>
    <row r="62048" spans="6:6" x14ac:dyDescent="0.3">
      <c r="F62048" s="193"/>
    </row>
    <row r="62049" spans="6:6" x14ac:dyDescent="0.3">
      <c r="F62049" s="193"/>
    </row>
    <row r="62050" spans="6:6" x14ac:dyDescent="0.3">
      <c r="F62050" s="193"/>
    </row>
    <row r="62051" spans="6:6" x14ac:dyDescent="0.3">
      <c r="F62051" s="193"/>
    </row>
    <row r="62052" spans="6:6" x14ac:dyDescent="0.3">
      <c r="F62052" s="193"/>
    </row>
    <row r="62053" spans="6:6" x14ac:dyDescent="0.3">
      <c r="F62053" s="193"/>
    </row>
    <row r="62054" spans="6:6" x14ac:dyDescent="0.3">
      <c r="F62054" s="193"/>
    </row>
    <row r="62055" spans="6:6" x14ac:dyDescent="0.3">
      <c r="F62055" s="193"/>
    </row>
    <row r="62056" spans="6:6" x14ac:dyDescent="0.3">
      <c r="F62056" s="193"/>
    </row>
    <row r="62057" spans="6:6" x14ac:dyDescent="0.3">
      <c r="F62057" s="193"/>
    </row>
    <row r="62058" spans="6:6" x14ac:dyDescent="0.3">
      <c r="F62058" s="193"/>
    </row>
    <row r="62059" spans="6:6" x14ac:dyDescent="0.3">
      <c r="F62059" s="193"/>
    </row>
    <row r="62060" spans="6:6" x14ac:dyDescent="0.3">
      <c r="F62060" s="193"/>
    </row>
    <row r="62061" spans="6:6" x14ac:dyDescent="0.3">
      <c r="F62061" s="193"/>
    </row>
    <row r="62062" spans="6:6" x14ac:dyDescent="0.3">
      <c r="F62062" s="193"/>
    </row>
    <row r="62063" spans="6:6" x14ac:dyDescent="0.3">
      <c r="F62063" s="193"/>
    </row>
    <row r="62064" spans="6:6" x14ac:dyDescent="0.3">
      <c r="F62064" s="193"/>
    </row>
    <row r="62065" spans="6:6" x14ac:dyDescent="0.3">
      <c r="F62065" s="193"/>
    </row>
    <row r="62066" spans="6:6" x14ac:dyDescent="0.3">
      <c r="F62066" s="193"/>
    </row>
    <row r="62067" spans="6:6" x14ac:dyDescent="0.3">
      <c r="F62067" s="193"/>
    </row>
    <row r="62068" spans="6:6" x14ac:dyDescent="0.3">
      <c r="F62068" s="193"/>
    </row>
    <row r="62069" spans="6:6" x14ac:dyDescent="0.3">
      <c r="F62069" s="193"/>
    </row>
    <row r="62070" spans="6:6" x14ac:dyDescent="0.3">
      <c r="F62070" s="193"/>
    </row>
    <row r="62071" spans="6:6" x14ac:dyDescent="0.3">
      <c r="F62071" s="193"/>
    </row>
    <row r="62072" spans="6:6" x14ac:dyDescent="0.3">
      <c r="F62072" s="193"/>
    </row>
    <row r="62073" spans="6:6" x14ac:dyDescent="0.3">
      <c r="F62073" s="193"/>
    </row>
    <row r="62074" spans="6:6" x14ac:dyDescent="0.3">
      <c r="F62074" s="193"/>
    </row>
    <row r="62075" spans="6:6" x14ac:dyDescent="0.3">
      <c r="F62075" s="193"/>
    </row>
    <row r="62076" spans="6:6" x14ac:dyDescent="0.3">
      <c r="F62076" s="193"/>
    </row>
    <row r="62077" spans="6:6" x14ac:dyDescent="0.3">
      <c r="F62077" s="193"/>
    </row>
    <row r="62078" spans="6:6" x14ac:dyDescent="0.3">
      <c r="F62078" s="193"/>
    </row>
    <row r="62079" spans="6:6" x14ac:dyDescent="0.3">
      <c r="F62079" s="193"/>
    </row>
    <row r="62080" spans="6:6" x14ac:dyDescent="0.3">
      <c r="F62080" s="193"/>
    </row>
    <row r="62081" spans="6:6" x14ac:dyDescent="0.3">
      <c r="F62081" s="193"/>
    </row>
    <row r="62082" spans="6:6" x14ac:dyDescent="0.3">
      <c r="F62082" s="193"/>
    </row>
    <row r="62083" spans="6:6" x14ac:dyDescent="0.3">
      <c r="F62083" s="193"/>
    </row>
    <row r="62084" spans="6:6" x14ac:dyDescent="0.3">
      <c r="F62084" s="193"/>
    </row>
    <row r="62085" spans="6:6" x14ac:dyDescent="0.3">
      <c r="F62085" s="193"/>
    </row>
    <row r="62086" spans="6:6" x14ac:dyDescent="0.3">
      <c r="F62086" s="193"/>
    </row>
    <row r="62087" spans="6:6" x14ac:dyDescent="0.3">
      <c r="F62087" s="193"/>
    </row>
    <row r="62088" spans="6:6" x14ac:dyDescent="0.3">
      <c r="F62088" s="193"/>
    </row>
    <row r="62089" spans="6:6" x14ac:dyDescent="0.3">
      <c r="F62089" s="193"/>
    </row>
    <row r="62090" spans="6:6" x14ac:dyDescent="0.3">
      <c r="F62090" s="193"/>
    </row>
    <row r="62091" spans="6:6" x14ac:dyDescent="0.3">
      <c r="F62091" s="193"/>
    </row>
    <row r="62092" spans="6:6" x14ac:dyDescent="0.3">
      <c r="F62092" s="193"/>
    </row>
    <row r="62093" spans="6:6" x14ac:dyDescent="0.3">
      <c r="F62093" s="193"/>
    </row>
    <row r="62094" spans="6:6" x14ac:dyDescent="0.3">
      <c r="F62094" s="193"/>
    </row>
    <row r="62095" spans="6:6" x14ac:dyDescent="0.3">
      <c r="F62095" s="193"/>
    </row>
    <row r="62096" spans="6:6" x14ac:dyDescent="0.3">
      <c r="F62096" s="193"/>
    </row>
    <row r="62097" spans="6:6" x14ac:dyDescent="0.3">
      <c r="F62097" s="193"/>
    </row>
    <row r="62098" spans="6:6" x14ac:dyDescent="0.3">
      <c r="F62098" s="193"/>
    </row>
    <row r="62099" spans="6:6" x14ac:dyDescent="0.3">
      <c r="F62099" s="193"/>
    </row>
    <row r="62100" spans="6:6" x14ac:dyDescent="0.3">
      <c r="F62100" s="193"/>
    </row>
    <row r="62101" spans="6:6" x14ac:dyDescent="0.3">
      <c r="F62101" s="193"/>
    </row>
    <row r="62102" spans="6:6" x14ac:dyDescent="0.3">
      <c r="F62102" s="193"/>
    </row>
    <row r="62103" spans="6:6" x14ac:dyDescent="0.3">
      <c r="F62103" s="193"/>
    </row>
    <row r="62104" spans="6:6" x14ac:dyDescent="0.3">
      <c r="F62104" s="193"/>
    </row>
    <row r="62105" spans="6:6" x14ac:dyDescent="0.3">
      <c r="F62105" s="193"/>
    </row>
    <row r="62106" spans="6:6" x14ac:dyDescent="0.3">
      <c r="F62106" s="193"/>
    </row>
    <row r="62107" spans="6:6" x14ac:dyDescent="0.3">
      <c r="F62107" s="193"/>
    </row>
    <row r="62108" spans="6:6" x14ac:dyDescent="0.3">
      <c r="F62108" s="193"/>
    </row>
    <row r="62109" spans="6:6" x14ac:dyDescent="0.3">
      <c r="F62109" s="193"/>
    </row>
    <row r="62110" spans="6:6" x14ac:dyDescent="0.3">
      <c r="F62110" s="193"/>
    </row>
    <row r="62111" spans="6:6" x14ac:dyDescent="0.3">
      <c r="F62111" s="193"/>
    </row>
    <row r="62112" spans="6:6" x14ac:dyDescent="0.3">
      <c r="F62112" s="193"/>
    </row>
    <row r="62113" spans="6:6" x14ac:dyDescent="0.3">
      <c r="F62113" s="193"/>
    </row>
    <row r="62114" spans="6:6" x14ac:dyDescent="0.3">
      <c r="F62114" s="193"/>
    </row>
    <row r="62115" spans="6:6" x14ac:dyDescent="0.3">
      <c r="F62115" s="193"/>
    </row>
    <row r="62116" spans="6:6" x14ac:dyDescent="0.3">
      <c r="F62116" s="193"/>
    </row>
    <row r="62117" spans="6:6" x14ac:dyDescent="0.3">
      <c r="F62117" s="193"/>
    </row>
    <row r="62118" spans="6:6" x14ac:dyDescent="0.3">
      <c r="F62118" s="193"/>
    </row>
    <row r="62119" spans="6:6" x14ac:dyDescent="0.3">
      <c r="F62119" s="193"/>
    </row>
    <row r="62120" spans="6:6" x14ac:dyDescent="0.3">
      <c r="F62120" s="193"/>
    </row>
    <row r="62121" spans="6:6" x14ac:dyDescent="0.3">
      <c r="F62121" s="193"/>
    </row>
    <row r="62122" spans="6:6" x14ac:dyDescent="0.3">
      <c r="F62122" s="193"/>
    </row>
    <row r="62123" spans="6:6" x14ac:dyDescent="0.3">
      <c r="F62123" s="193"/>
    </row>
    <row r="62124" spans="6:6" x14ac:dyDescent="0.3">
      <c r="F62124" s="193"/>
    </row>
    <row r="62125" spans="6:6" x14ac:dyDescent="0.3">
      <c r="F62125" s="193"/>
    </row>
    <row r="62126" spans="6:6" x14ac:dyDescent="0.3">
      <c r="F62126" s="193"/>
    </row>
    <row r="62127" spans="6:6" x14ac:dyDescent="0.3">
      <c r="F62127" s="193"/>
    </row>
    <row r="62128" spans="6:6" x14ac:dyDescent="0.3">
      <c r="F62128" s="193"/>
    </row>
    <row r="62129" spans="6:6" x14ac:dyDescent="0.3">
      <c r="F62129" s="193"/>
    </row>
    <row r="62130" spans="6:6" x14ac:dyDescent="0.3">
      <c r="F62130" s="193"/>
    </row>
    <row r="62131" spans="6:6" x14ac:dyDescent="0.3">
      <c r="F62131" s="193"/>
    </row>
    <row r="62132" spans="6:6" x14ac:dyDescent="0.3">
      <c r="F62132" s="193"/>
    </row>
    <row r="62133" spans="6:6" x14ac:dyDescent="0.3">
      <c r="F62133" s="193"/>
    </row>
    <row r="62134" spans="6:6" x14ac:dyDescent="0.3">
      <c r="F62134" s="193"/>
    </row>
    <row r="62135" spans="6:6" x14ac:dyDescent="0.3">
      <c r="F62135" s="193"/>
    </row>
    <row r="62136" spans="6:6" x14ac:dyDescent="0.3">
      <c r="F62136" s="193"/>
    </row>
    <row r="62137" spans="6:6" x14ac:dyDescent="0.3">
      <c r="F62137" s="193"/>
    </row>
    <row r="62138" spans="6:6" x14ac:dyDescent="0.3">
      <c r="F62138" s="193"/>
    </row>
    <row r="62139" spans="6:6" x14ac:dyDescent="0.3">
      <c r="F62139" s="193"/>
    </row>
    <row r="62140" spans="6:6" x14ac:dyDescent="0.3">
      <c r="F62140" s="193"/>
    </row>
    <row r="62141" spans="6:6" x14ac:dyDescent="0.3">
      <c r="F62141" s="193"/>
    </row>
    <row r="62142" spans="6:6" x14ac:dyDescent="0.3">
      <c r="F62142" s="193"/>
    </row>
    <row r="62143" spans="6:6" x14ac:dyDescent="0.3">
      <c r="F62143" s="193"/>
    </row>
    <row r="62144" spans="6:6" x14ac:dyDescent="0.3">
      <c r="F62144" s="193"/>
    </row>
    <row r="62145" spans="6:6" x14ac:dyDescent="0.3">
      <c r="F62145" s="193"/>
    </row>
    <row r="62146" spans="6:6" x14ac:dyDescent="0.3">
      <c r="F62146" s="193"/>
    </row>
    <row r="62147" spans="6:6" x14ac:dyDescent="0.3">
      <c r="F62147" s="193"/>
    </row>
    <row r="62148" spans="6:6" x14ac:dyDescent="0.3">
      <c r="F62148" s="193"/>
    </row>
    <row r="62149" spans="6:6" x14ac:dyDescent="0.3">
      <c r="F62149" s="193"/>
    </row>
    <row r="62150" spans="6:6" x14ac:dyDescent="0.3">
      <c r="F62150" s="193"/>
    </row>
    <row r="62151" spans="6:6" x14ac:dyDescent="0.3">
      <c r="F62151" s="193"/>
    </row>
    <row r="62152" spans="6:6" x14ac:dyDescent="0.3">
      <c r="F62152" s="193"/>
    </row>
    <row r="62153" spans="6:6" x14ac:dyDescent="0.3">
      <c r="F62153" s="193"/>
    </row>
    <row r="62154" spans="6:6" x14ac:dyDescent="0.3">
      <c r="F62154" s="193"/>
    </row>
    <row r="62155" spans="6:6" x14ac:dyDescent="0.3">
      <c r="F62155" s="193"/>
    </row>
    <row r="62156" spans="6:6" x14ac:dyDescent="0.3">
      <c r="F62156" s="193"/>
    </row>
    <row r="62157" spans="6:6" x14ac:dyDescent="0.3">
      <c r="F62157" s="193"/>
    </row>
    <row r="62158" spans="6:6" x14ac:dyDescent="0.3">
      <c r="F62158" s="193"/>
    </row>
    <row r="62159" spans="6:6" x14ac:dyDescent="0.3">
      <c r="F62159" s="193"/>
    </row>
    <row r="62160" spans="6:6" x14ac:dyDescent="0.3">
      <c r="F62160" s="193"/>
    </row>
    <row r="62161" spans="6:6" x14ac:dyDescent="0.3">
      <c r="F62161" s="193"/>
    </row>
    <row r="62162" spans="6:6" x14ac:dyDescent="0.3">
      <c r="F62162" s="193"/>
    </row>
    <row r="62163" spans="6:6" x14ac:dyDescent="0.3">
      <c r="F62163" s="193"/>
    </row>
    <row r="62164" spans="6:6" x14ac:dyDescent="0.3">
      <c r="F62164" s="193"/>
    </row>
    <row r="62165" spans="6:6" x14ac:dyDescent="0.3">
      <c r="F62165" s="193"/>
    </row>
    <row r="62166" spans="6:6" x14ac:dyDescent="0.3">
      <c r="F62166" s="193"/>
    </row>
    <row r="62167" spans="6:6" x14ac:dyDescent="0.3">
      <c r="F62167" s="193"/>
    </row>
    <row r="62168" spans="6:6" x14ac:dyDescent="0.3">
      <c r="F62168" s="193"/>
    </row>
    <row r="62169" spans="6:6" x14ac:dyDescent="0.3">
      <c r="F62169" s="193"/>
    </row>
    <row r="62170" spans="6:6" x14ac:dyDescent="0.3">
      <c r="F62170" s="193"/>
    </row>
    <row r="62171" spans="6:6" x14ac:dyDescent="0.3">
      <c r="F62171" s="193"/>
    </row>
    <row r="62172" spans="6:6" x14ac:dyDescent="0.3">
      <c r="F62172" s="193"/>
    </row>
    <row r="62173" spans="6:6" x14ac:dyDescent="0.3">
      <c r="F62173" s="193"/>
    </row>
    <row r="62174" spans="6:6" x14ac:dyDescent="0.3">
      <c r="F62174" s="193"/>
    </row>
    <row r="62175" spans="6:6" x14ac:dyDescent="0.3">
      <c r="F62175" s="193"/>
    </row>
    <row r="62176" spans="6:6" x14ac:dyDescent="0.3">
      <c r="F62176" s="193"/>
    </row>
    <row r="62177" spans="6:6" x14ac:dyDescent="0.3">
      <c r="F62177" s="193"/>
    </row>
    <row r="62178" spans="6:6" x14ac:dyDescent="0.3">
      <c r="F62178" s="193"/>
    </row>
    <row r="62179" spans="6:6" x14ac:dyDescent="0.3">
      <c r="F62179" s="193"/>
    </row>
    <row r="62180" spans="6:6" x14ac:dyDescent="0.3">
      <c r="F62180" s="193"/>
    </row>
    <row r="62181" spans="6:6" x14ac:dyDescent="0.3">
      <c r="F62181" s="193"/>
    </row>
    <row r="62182" spans="6:6" x14ac:dyDescent="0.3">
      <c r="F62182" s="193"/>
    </row>
    <row r="62183" spans="6:6" x14ac:dyDescent="0.3">
      <c r="F62183" s="193"/>
    </row>
    <row r="62184" spans="6:6" x14ac:dyDescent="0.3">
      <c r="F62184" s="193"/>
    </row>
    <row r="62185" spans="6:6" x14ac:dyDescent="0.3">
      <c r="F62185" s="193"/>
    </row>
    <row r="62186" spans="6:6" x14ac:dyDescent="0.3">
      <c r="F62186" s="193"/>
    </row>
    <row r="62187" spans="6:6" x14ac:dyDescent="0.3">
      <c r="F62187" s="193"/>
    </row>
    <row r="62188" spans="6:6" x14ac:dyDescent="0.3">
      <c r="F62188" s="193"/>
    </row>
    <row r="62189" spans="6:6" x14ac:dyDescent="0.3">
      <c r="F62189" s="193"/>
    </row>
    <row r="62190" spans="6:6" x14ac:dyDescent="0.3">
      <c r="F62190" s="193"/>
    </row>
    <row r="62191" spans="6:6" x14ac:dyDescent="0.3">
      <c r="F62191" s="193"/>
    </row>
    <row r="62192" spans="6:6" x14ac:dyDescent="0.3">
      <c r="F62192" s="193"/>
    </row>
    <row r="62193" spans="6:6" x14ac:dyDescent="0.3">
      <c r="F62193" s="193"/>
    </row>
    <row r="62194" spans="6:6" x14ac:dyDescent="0.3">
      <c r="F62194" s="193"/>
    </row>
    <row r="62195" spans="6:6" x14ac:dyDescent="0.3">
      <c r="F62195" s="193"/>
    </row>
    <row r="62196" spans="6:6" x14ac:dyDescent="0.3">
      <c r="F62196" s="193"/>
    </row>
    <row r="62197" spans="6:6" x14ac:dyDescent="0.3">
      <c r="F62197" s="193"/>
    </row>
    <row r="62198" spans="6:6" x14ac:dyDescent="0.3">
      <c r="F62198" s="193"/>
    </row>
    <row r="62199" spans="6:6" x14ac:dyDescent="0.3">
      <c r="F62199" s="193"/>
    </row>
    <row r="62200" spans="6:6" x14ac:dyDescent="0.3">
      <c r="F62200" s="193"/>
    </row>
    <row r="62201" spans="6:6" x14ac:dyDescent="0.3">
      <c r="F62201" s="193"/>
    </row>
    <row r="62202" spans="6:6" x14ac:dyDescent="0.3">
      <c r="F62202" s="193"/>
    </row>
    <row r="62203" spans="6:6" x14ac:dyDescent="0.3">
      <c r="F62203" s="193"/>
    </row>
    <row r="62204" spans="6:6" x14ac:dyDescent="0.3">
      <c r="F62204" s="193"/>
    </row>
    <row r="62205" spans="6:6" x14ac:dyDescent="0.3">
      <c r="F62205" s="193"/>
    </row>
    <row r="62206" spans="6:6" x14ac:dyDescent="0.3">
      <c r="F62206" s="193"/>
    </row>
    <row r="62207" spans="6:6" x14ac:dyDescent="0.3">
      <c r="F62207" s="193"/>
    </row>
    <row r="62208" spans="6:6" x14ac:dyDescent="0.3">
      <c r="F62208" s="193"/>
    </row>
    <row r="62209" spans="6:6" x14ac:dyDescent="0.3">
      <c r="F62209" s="193"/>
    </row>
    <row r="62210" spans="6:6" x14ac:dyDescent="0.3">
      <c r="F62210" s="193"/>
    </row>
    <row r="62211" spans="6:6" x14ac:dyDescent="0.3">
      <c r="F62211" s="193"/>
    </row>
    <row r="62212" spans="6:6" x14ac:dyDescent="0.3">
      <c r="F62212" s="193"/>
    </row>
    <row r="62213" spans="6:6" x14ac:dyDescent="0.3">
      <c r="F62213" s="193"/>
    </row>
    <row r="62214" spans="6:6" x14ac:dyDescent="0.3">
      <c r="F62214" s="193"/>
    </row>
    <row r="62215" spans="6:6" x14ac:dyDescent="0.3">
      <c r="F62215" s="193"/>
    </row>
    <row r="62216" spans="6:6" x14ac:dyDescent="0.3">
      <c r="F62216" s="193"/>
    </row>
    <row r="62217" spans="6:6" x14ac:dyDescent="0.3">
      <c r="F62217" s="193"/>
    </row>
    <row r="62218" spans="6:6" x14ac:dyDescent="0.3">
      <c r="F62218" s="193"/>
    </row>
    <row r="62219" spans="6:6" x14ac:dyDescent="0.3">
      <c r="F62219" s="193"/>
    </row>
    <row r="62220" spans="6:6" x14ac:dyDescent="0.3">
      <c r="F62220" s="193"/>
    </row>
    <row r="62221" spans="6:6" x14ac:dyDescent="0.3">
      <c r="F62221" s="193"/>
    </row>
    <row r="62222" spans="6:6" x14ac:dyDescent="0.3">
      <c r="F62222" s="193"/>
    </row>
    <row r="62223" spans="6:6" x14ac:dyDescent="0.3">
      <c r="F62223" s="193"/>
    </row>
    <row r="62224" spans="6:6" x14ac:dyDescent="0.3">
      <c r="F62224" s="193"/>
    </row>
    <row r="62225" spans="6:6" x14ac:dyDescent="0.3">
      <c r="F62225" s="193"/>
    </row>
    <row r="62226" spans="6:6" x14ac:dyDescent="0.3">
      <c r="F62226" s="193"/>
    </row>
    <row r="62227" spans="6:6" x14ac:dyDescent="0.3">
      <c r="F62227" s="193"/>
    </row>
    <row r="62228" spans="6:6" x14ac:dyDescent="0.3">
      <c r="F62228" s="193"/>
    </row>
    <row r="62229" spans="6:6" x14ac:dyDescent="0.3">
      <c r="F62229" s="193"/>
    </row>
    <row r="62230" spans="6:6" x14ac:dyDescent="0.3">
      <c r="F62230" s="193"/>
    </row>
    <row r="62231" spans="6:6" x14ac:dyDescent="0.3">
      <c r="F62231" s="193"/>
    </row>
    <row r="62232" spans="6:6" x14ac:dyDescent="0.3">
      <c r="F62232" s="193"/>
    </row>
    <row r="62233" spans="6:6" x14ac:dyDescent="0.3">
      <c r="F62233" s="193"/>
    </row>
    <row r="62234" spans="6:6" x14ac:dyDescent="0.3">
      <c r="F62234" s="193"/>
    </row>
    <row r="62235" spans="6:6" x14ac:dyDescent="0.3">
      <c r="F62235" s="193"/>
    </row>
    <row r="62236" spans="6:6" x14ac:dyDescent="0.3">
      <c r="F62236" s="193"/>
    </row>
    <row r="62237" spans="6:6" x14ac:dyDescent="0.3">
      <c r="F62237" s="193"/>
    </row>
    <row r="62238" spans="6:6" x14ac:dyDescent="0.3">
      <c r="F62238" s="193"/>
    </row>
    <row r="62239" spans="6:6" x14ac:dyDescent="0.3">
      <c r="F62239" s="193"/>
    </row>
    <row r="62240" spans="6:6" x14ac:dyDescent="0.3">
      <c r="F62240" s="193"/>
    </row>
    <row r="62241" spans="6:6" x14ac:dyDescent="0.3">
      <c r="F62241" s="193"/>
    </row>
    <row r="62242" spans="6:6" x14ac:dyDescent="0.3">
      <c r="F62242" s="193"/>
    </row>
    <row r="62243" spans="6:6" x14ac:dyDescent="0.3">
      <c r="F62243" s="193"/>
    </row>
    <row r="62244" spans="6:6" x14ac:dyDescent="0.3">
      <c r="F62244" s="193"/>
    </row>
    <row r="62245" spans="6:6" x14ac:dyDescent="0.3">
      <c r="F62245" s="193"/>
    </row>
    <row r="62246" spans="6:6" x14ac:dyDescent="0.3">
      <c r="F62246" s="193"/>
    </row>
    <row r="62247" spans="6:6" x14ac:dyDescent="0.3">
      <c r="F62247" s="193"/>
    </row>
    <row r="62248" spans="6:6" x14ac:dyDescent="0.3">
      <c r="F62248" s="193"/>
    </row>
    <row r="62249" spans="6:6" x14ac:dyDescent="0.3">
      <c r="F62249" s="193"/>
    </row>
    <row r="62250" spans="6:6" x14ac:dyDescent="0.3">
      <c r="F62250" s="193"/>
    </row>
    <row r="62251" spans="6:6" x14ac:dyDescent="0.3">
      <c r="F62251" s="193"/>
    </row>
    <row r="62252" spans="6:6" x14ac:dyDescent="0.3">
      <c r="F62252" s="193"/>
    </row>
    <row r="62253" spans="6:6" x14ac:dyDescent="0.3">
      <c r="F62253" s="193"/>
    </row>
    <row r="62254" spans="6:6" x14ac:dyDescent="0.3">
      <c r="F62254" s="193"/>
    </row>
    <row r="62255" spans="6:6" x14ac:dyDescent="0.3">
      <c r="F62255" s="193"/>
    </row>
    <row r="62256" spans="6:6" x14ac:dyDescent="0.3">
      <c r="F62256" s="193"/>
    </row>
    <row r="62257" spans="6:6" x14ac:dyDescent="0.3">
      <c r="F62257" s="193"/>
    </row>
    <row r="62258" spans="6:6" x14ac:dyDescent="0.3">
      <c r="F62258" s="193"/>
    </row>
    <row r="62259" spans="6:6" x14ac:dyDescent="0.3">
      <c r="F62259" s="193"/>
    </row>
    <row r="62260" spans="6:6" x14ac:dyDescent="0.3">
      <c r="F62260" s="193"/>
    </row>
    <row r="62261" spans="6:6" x14ac:dyDescent="0.3">
      <c r="F62261" s="193"/>
    </row>
    <row r="62262" spans="6:6" x14ac:dyDescent="0.3">
      <c r="F62262" s="193"/>
    </row>
    <row r="62263" spans="6:6" x14ac:dyDescent="0.3">
      <c r="F62263" s="193"/>
    </row>
    <row r="62264" spans="6:6" x14ac:dyDescent="0.3">
      <c r="F62264" s="193"/>
    </row>
    <row r="62265" spans="6:6" x14ac:dyDescent="0.3">
      <c r="F62265" s="193"/>
    </row>
    <row r="62266" spans="6:6" x14ac:dyDescent="0.3">
      <c r="F62266" s="193"/>
    </row>
    <row r="62267" spans="6:6" x14ac:dyDescent="0.3">
      <c r="F62267" s="193"/>
    </row>
    <row r="62268" spans="6:6" x14ac:dyDescent="0.3">
      <c r="F62268" s="193"/>
    </row>
    <row r="62269" spans="6:6" x14ac:dyDescent="0.3">
      <c r="F62269" s="193"/>
    </row>
    <row r="62270" spans="6:6" x14ac:dyDescent="0.3">
      <c r="F62270" s="193"/>
    </row>
    <row r="62271" spans="6:6" x14ac:dyDescent="0.3">
      <c r="F62271" s="193"/>
    </row>
    <row r="62272" spans="6:6" x14ac:dyDescent="0.3">
      <c r="F62272" s="193"/>
    </row>
    <row r="62273" spans="6:6" x14ac:dyDescent="0.3">
      <c r="F62273" s="193"/>
    </row>
    <row r="62274" spans="6:6" x14ac:dyDescent="0.3">
      <c r="F62274" s="193"/>
    </row>
    <row r="62275" spans="6:6" x14ac:dyDescent="0.3">
      <c r="F62275" s="193"/>
    </row>
    <row r="62276" spans="6:6" x14ac:dyDescent="0.3">
      <c r="F62276" s="193"/>
    </row>
    <row r="62277" spans="6:6" x14ac:dyDescent="0.3">
      <c r="F62277" s="193"/>
    </row>
    <row r="62278" spans="6:6" x14ac:dyDescent="0.3">
      <c r="F62278" s="193"/>
    </row>
    <row r="62279" spans="6:6" x14ac:dyDescent="0.3">
      <c r="F62279" s="193"/>
    </row>
    <row r="62280" spans="6:6" x14ac:dyDescent="0.3">
      <c r="F62280" s="193"/>
    </row>
    <row r="62281" spans="6:6" x14ac:dyDescent="0.3">
      <c r="F62281" s="193"/>
    </row>
    <row r="62282" spans="6:6" x14ac:dyDescent="0.3">
      <c r="F62282" s="193"/>
    </row>
    <row r="62283" spans="6:6" x14ac:dyDescent="0.3">
      <c r="F62283" s="193"/>
    </row>
    <row r="62284" spans="6:6" x14ac:dyDescent="0.3">
      <c r="F62284" s="193"/>
    </row>
    <row r="62285" spans="6:6" x14ac:dyDescent="0.3">
      <c r="F62285" s="193"/>
    </row>
    <row r="62286" spans="6:6" x14ac:dyDescent="0.3">
      <c r="F62286" s="193"/>
    </row>
    <row r="62287" spans="6:6" x14ac:dyDescent="0.3">
      <c r="F62287" s="193"/>
    </row>
    <row r="62288" spans="6:6" x14ac:dyDescent="0.3">
      <c r="F62288" s="193"/>
    </row>
    <row r="62289" spans="6:6" x14ac:dyDescent="0.3">
      <c r="F62289" s="193"/>
    </row>
    <row r="62290" spans="6:6" x14ac:dyDescent="0.3">
      <c r="F62290" s="193"/>
    </row>
    <row r="62291" spans="6:6" x14ac:dyDescent="0.3">
      <c r="F62291" s="193"/>
    </row>
    <row r="62292" spans="6:6" x14ac:dyDescent="0.3">
      <c r="F62292" s="193"/>
    </row>
    <row r="62293" spans="6:6" x14ac:dyDescent="0.3">
      <c r="F62293" s="193"/>
    </row>
    <row r="62294" spans="6:6" x14ac:dyDescent="0.3">
      <c r="F62294" s="193"/>
    </row>
    <row r="62295" spans="6:6" x14ac:dyDescent="0.3">
      <c r="F62295" s="193"/>
    </row>
    <row r="62296" spans="6:6" x14ac:dyDescent="0.3">
      <c r="F62296" s="193"/>
    </row>
    <row r="62297" spans="6:6" x14ac:dyDescent="0.3">
      <c r="F62297" s="193"/>
    </row>
    <row r="62298" spans="6:6" x14ac:dyDescent="0.3">
      <c r="F62298" s="193"/>
    </row>
    <row r="62299" spans="6:6" x14ac:dyDescent="0.3">
      <c r="F62299" s="193"/>
    </row>
    <row r="62300" spans="6:6" x14ac:dyDescent="0.3">
      <c r="F62300" s="193"/>
    </row>
    <row r="62301" spans="6:6" x14ac:dyDescent="0.3">
      <c r="F62301" s="193"/>
    </row>
    <row r="62302" spans="6:6" x14ac:dyDescent="0.3">
      <c r="F62302" s="193"/>
    </row>
    <row r="62303" spans="6:6" x14ac:dyDescent="0.3">
      <c r="F62303" s="193"/>
    </row>
    <row r="62304" spans="6:6" x14ac:dyDescent="0.3">
      <c r="F62304" s="193"/>
    </row>
    <row r="62305" spans="6:6" x14ac:dyDescent="0.3">
      <c r="F62305" s="193"/>
    </row>
    <row r="62306" spans="6:6" x14ac:dyDescent="0.3">
      <c r="F62306" s="193"/>
    </row>
    <row r="62307" spans="6:6" x14ac:dyDescent="0.3">
      <c r="F62307" s="193"/>
    </row>
    <row r="62308" spans="6:6" x14ac:dyDescent="0.3">
      <c r="F62308" s="193"/>
    </row>
    <row r="62309" spans="6:6" x14ac:dyDescent="0.3">
      <c r="F62309" s="193"/>
    </row>
    <row r="62310" spans="6:6" x14ac:dyDescent="0.3">
      <c r="F62310" s="193"/>
    </row>
    <row r="62311" spans="6:6" x14ac:dyDescent="0.3">
      <c r="F62311" s="193"/>
    </row>
    <row r="62312" spans="6:6" x14ac:dyDescent="0.3">
      <c r="F62312" s="193"/>
    </row>
    <row r="62313" spans="6:6" x14ac:dyDescent="0.3">
      <c r="F62313" s="193"/>
    </row>
    <row r="62314" spans="6:6" x14ac:dyDescent="0.3">
      <c r="F62314" s="193"/>
    </row>
    <row r="62315" spans="6:6" x14ac:dyDescent="0.3">
      <c r="F62315" s="193"/>
    </row>
    <row r="62316" spans="6:6" x14ac:dyDescent="0.3">
      <c r="F62316" s="193"/>
    </row>
    <row r="62317" spans="6:6" x14ac:dyDescent="0.3">
      <c r="F62317" s="193"/>
    </row>
    <row r="62318" spans="6:6" x14ac:dyDescent="0.3">
      <c r="F62318" s="193"/>
    </row>
    <row r="62319" spans="6:6" x14ac:dyDescent="0.3">
      <c r="F62319" s="193"/>
    </row>
    <row r="62320" spans="6:6" x14ac:dyDescent="0.3">
      <c r="F62320" s="193"/>
    </row>
    <row r="62321" spans="6:6" x14ac:dyDescent="0.3">
      <c r="F62321" s="193"/>
    </row>
    <row r="62322" spans="6:6" x14ac:dyDescent="0.3">
      <c r="F62322" s="193"/>
    </row>
    <row r="62323" spans="6:6" x14ac:dyDescent="0.3">
      <c r="F62323" s="193"/>
    </row>
    <row r="62324" spans="6:6" x14ac:dyDescent="0.3">
      <c r="F62324" s="193"/>
    </row>
    <row r="62325" spans="6:6" x14ac:dyDescent="0.3">
      <c r="F62325" s="193"/>
    </row>
    <row r="62326" spans="6:6" x14ac:dyDescent="0.3">
      <c r="F62326" s="193"/>
    </row>
    <row r="62327" spans="6:6" x14ac:dyDescent="0.3">
      <c r="F62327" s="193"/>
    </row>
    <row r="62328" spans="6:6" x14ac:dyDescent="0.3">
      <c r="F62328" s="193"/>
    </row>
    <row r="62329" spans="6:6" x14ac:dyDescent="0.3">
      <c r="F62329" s="193"/>
    </row>
    <row r="62330" spans="6:6" x14ac:dyDescent="0.3">
      <c r="F62330" s="193"/>
    </row>
    <row r="62331" spans="6:6" x14ac:dyDescent="0.3">
      <c r="F62331" s="193"/>
    </row>
    <row r="62332" spans="6:6" x14ac:dyDescent="0.3">
      <c r="F62332" s="193"/>
    </row>
    <row r="62333" spans="6:6" x14ac:dyDescent="0.3">
      <c r="F62333" s="193"/>
    </row>
    <row r="62334" spans="6:6" x14ac:dyDescent="0.3">
      <c r="F62334" s="193"/>
    </row>
    <row r="62335" spans="6:6" x14ac:dyDescent="0.3">
      <c r="F62335" s="193"/>
    </row>
    <row r="62336" spans="6:6" x14ac:dyDescent="0.3">
      <c r="F62336" s="193"/>
    </row>
    <row r="62337" spans="6:6" x14ac:dyDescent="0.3">
      <c r="F62337" s="193"/>
    </row>
    <row r="62338" spans="6:6" x14ac:dyDescent="0.3">
      <c r="F62338" s="193"/>
    </row>
    <row r="62339" spans="6:6" x14ac:dyDescent="0.3">
      <c r="F62339" s="193"/>
    </row>
    <row r="62340" spans="6:6" x14ac:dyDescent="0.3">
      <c r="F62340" s="193"/>
    </row>
    <row r="62341" spans="6:6" x14ac:dyDescent="0.3">
      <c r="F62341" s="193"/>
    </row>
    <row r="62342" spans="6:6" x14ac:dyDescent="0.3">
      <c r="F62342" s="193"/>
    </row>
    <row r="62343" spans="6:6" x14ac:dyDescent="0.3">
      <c r="F62343" s="193"/>
    </row>
    <row r="62344" spans="6:6" x14ac:dyDescent="0.3">
      <c r="F62344" s="193"/>
    </row>
    <row r="62345" spans="6:6" x14ac:dyDescent="0.3">
      <c r="F62345" s="193"/>
    </row>
    <row r="62346" spans="6:6" x14ac:dyDescent="0.3">
      <c r="F62346" s="193"/>
    </row>
    <row r="62347" spans="6:6" x14ac:dyDescent="0.3">
      <c r="F62347" s="193"/>
    </row>
    <row r="62348" spans="6:6" x14ac:dyDescent="0.3">
      <c r="F62348" s="193"/>
    </row>
    <row r="62349" spans="6:6" x14ac:dyDescent="0.3">
      <c r="F62349" s="193"/>
    </row>
    <row r="62350" spans="6:6" x14ac:dyDescent="0.3">
      <c r="F62350" s="193"/>
    </row>
    <row r="62351" spans="6:6" x14ac:dyDescent="0.3">
      <c r="F62351" s="193"/>
    </row>
    <row r="62352" spans="6:6" x14ac:dyDescent="0.3">
      <c r="F62352" s="193"/>
    </row>
    <row r="62353" spans="6:6" x14ac:dyDescent="0.3">
      <c r="F62353" s="193"/>
    </row>
    <row r="62354" spans="6:6" x14ac:dyDescent="0.3">
      <c r="F62354" s="193"/>
    </row>
    <row r="62355" spans="6:6" x14ac:dyDescent="0.3">
      <c r="F62355" s="193"/>
    </row>
    <row r="62356" spans="6:6" x14ac:dyDescent="0.3">
      <c r="F62356" s="193"/>
    </row>
    <row r="62357" spans="6:6" x14ac:dyDescent="0.3">
      <c r="F62357" s="193"/>
    </row>
    <row r="62358" spans="6:6" x14ac:dyDescent="0.3">
      <c r="F62358" s="193"/>
    </row>
    <row r="62359" spans="6:6" x14ac:dyDescent="0.3">
      <c r="F62359" s="193"/>
    </row>
    <row r="62360" spans="6:6" x14ac:dyDescent="0.3">
      <c r="F62360" s="193"/>
    </row>
    <row r="62361" spans="6:6" x14ac:dyDescent="0.3">
      <c r="F62361" s="193"/>
    </row>
    <row r="62362" spans="6:6" x14ac:dyDescent="0.3">
      <c r="F62362" s="193"/>
    </row>
    <row r="62363" spans="6:6" x14ac:dyDescent="0.3">
      <c r="F62363" s="193"/>
    </row>
    <row r="62364" spans="6:6" x14ac:dyDescent="0.3">
      <c r="F62364" s="193"/>
    </row>
    <row r="62365" spans="6:6" x14ac:dyDescent="0.3">
      <c r="F62365" s="193"/>
    </row>
    <row r="62366" spans="6:6" x14ac:dyDescent="0.3">
      <c r="F62366" s="193"/>
    </row>
    <row r="62367" spans="6:6" x14ac:dyDescent="0.3">
      <c r="F62367" s="193"/>
    </row>
    <row r="62368" spans="6:6" x14ac:dyDescent="0.3">
      <c r="F62368" s="193"/>
    </row>
    <row r="62369" spans="6:6" x14ac:dyDescent="0.3">
      <c r="F62369" s="193"/>
    </row>
    <row r="62370" spans="6:6" x14ac:dyDescent="0.3">
      <c r="F62370" s="193"/>
    </row>
    <row r="62371" spans="6:6" x14ac:dyDescent="0.3">
      <c r="F62371" s="193"/>
    </row>
    <row r="62372" spans="6:6" x14ac:dyDescent="0.3">
      <c r="F62372" s="193"/>
    </row>
    <row r="62373" spans="6:6" x14ac:dyDescent="0.3">
      <c r="F62373" s="193"/>
    </row>
    <row r="62374" spans="6:6" x14ac:dyDescent="0.3">
      <c r="F62374" s="193"/>
    </row>
    <row r="62375" spans="6:6" x14ac:dyDescent="0.3">
      <c r="F62375" s="193"/>
    </row>
    <row r="62376" spans="6:6" x14ac:dyDescent="0.3">
      <c r="F62376" s="193"/>
    </row>
    <row r="62377" spans="6:6" x14ac:dyDescent="0.3">
      <c r="F62377" s="193"/>
    </row>
    <row r="62378" spans="6:6" x14ac:dyDescent="0.3">
      <c r="F62378" s="193"/>
    </row>
    <row r="62379" spans="6:6" x14ac:dyDescent="0.3">
      <c r="F62379" s="193"/>
    </row>
    <row r="62380" spans="6:6" x14ac:dyDescent="0.3">
      <c r="F62380" s="193"/>
    </row>
    <row r="62381" spans="6:6" x14ac:dyDescent="0.3">
      <c r="F62381" s="193"/>
    </row>
    <row r="62382" spans="6:6" x14ac:dyDescent="0.3">
      <c r="F62382" s="193"/>
    </row>
    <row r="62383" spans="6:6" x14ac:dyDescent="0.3">
      <c r="F62383" s="193"/>
    </row>
    <row r="62384" spans="6:6" x14ac:dyDescent="0.3">
      <c r="F62384" s="193"/>
    </row>
    <row r="62385" spans="6:6" x14ac:dyDescent="0.3">
      <c r="F62385" s="193"/>
    </row>
    <row r="62386" spans="6:6" x14ac:dyDescent="0.3">
      <c r="F62386" s="193"/>
    </row>
    <row r="62387" spans="6:6" x14ac:dyDescent="0.3">
      <c r="F62387" s="193"/>
    </row>
    <row r="62388" spans="6:6" x14ac:dyDescent="0.3">
      <c r="F62388" s="193"/>
    </row>
    <row r="62389" spans="6:6" x14ac:dyDescent="0.3">
      <c r="F62389" s="193"/>
    </row>
    <row r="62390" spans="6:6" x14ac:dyDescent="0.3">
      <c r="F62390" s="193"/>
    </row>
    <row r="62391" spans="6:6" x14ac:dyDescent="0.3">
      <c r="F62391" s="193"/>
    </row>
    <row r="62392" spans="6:6" x14ac:dyDescent="0.3">
      <c r="F62392" s="193"/>
    </row>
    <row r="62393" spans="6:6" x14ac:dyDescent="0.3">
      <c r="F62393" s="193"/>
    </row>
    <row r="62394" spans="6:6" x14ac:dyDescent="0.3">
      <c r="F62394" s="193"/>
    </row>
    <row r="62395" spans="6:6" x14ac:dyDescent="0.3">
      <c r="F62395" s="193"/>
    </row>
    <row r="62396" spans="6:6" x14ac:dyDescent="0.3">
      <c r="F62396" s="193"/>
    </row>
    <row r="62397" spans="6:6" x14ac:dyDescent="0.3">
      <c r="F62397" s="193"/>
    </row>
    <row r="62398" spans="6:6" x14ac:dyDescent="0.3">
      <c r="F62398" s="193"/>
    </row>
    <row r="62399" spans="6:6" x14ac:dyDescent="0.3">
      <c r="F62399" s="193"/>
    </row>
    <row r="62400" spans="6:6" x14ac:dyDescent="0.3">
      <c r="F62400" s="193"/>
    </row>
    <row r="62401" spans="6:6" x14ac:dyDescent="0.3">
      <c r="F62401" s="193"/>
    </row>
    <row r="62402" spans="6:6" x14ac:dyDescent="0.3">
      <c r="F62402" s="193"/>
    </row>
    <row r="62403" spans="6:6" x14ac:dyDescent="0.3">
      <c r="F62403" s="193"/>
    </row>
    <row r="62404" spans="6:6" x14ac:dyDescent="0.3">
      <c r="F62404" s="193"/>
    </row>
    <row r="62405" spans="6:6" x14ac:dyDescent="0.3">
      <c r="F62405" s="193"/>
    </row>
    <row r="62406" spans="6:6" x14ac:dyDescent="0.3">
      <c r="F62406" s="193"/>
    </row>
    <row r="62407" spans="6:6" x14ac:dyDescent="0.3">
      <c r="F62407" s="193"/>
    </row>
    <row r="62408" spans="6:6" x14ac:dyDescent="0.3">
      <c r="F62408" s="193"/>
    </row>
    <row r="62409" spans="6:6" x14ac:dyDescent="0.3">
      <c r="F62409" s="193"/>
    </row>
    <row r="62410" spans="6:6" x14ac:dyDescent="0.3">
      <c r="F62410" s="193"/>
    </row>
    <row r="62411" spans="6:6" x14ac:dyDescent="0.3">
      <c r="F62411" s="193"/>
    </row>
    <row r="62412" spans="6:6" x14ac:dyDescent="0.3">
      <c r="F62412" s="193"/>
    </row>
    <row r="62413" spans="6:6" x14ac:dyDescent="0.3">
      <c r="F62413" s="193"/>
    </row>
    <row r="62414" spans="6:6" x14ac:dyDescent="0.3">
      <c r="F62414" s="193"/>
    </row>
    <row r="62415" spans="6:6" x14ac:dyDescent="0.3">
      <c r="F62415" s="193"/>
    </row>
    <row r="62416" spans="6:6" x14ac:dyDescent="0.3">
      <c r="F62416" s="193"/>
    </row>
    <row r="62417" spans="6:6" x14ac:dyDescent="0.3">
      <c r="F62417" s="193"/>
    </row>
    <row r="62418" spans="6:6" x14ac:dyDescent="0.3">
      <c r="F62418" s="193"/>
    </row>
    <row r="62419" spans="6:6" x14ac:dyDescent="0.3">
      <c r="F62419" s="193"/>
    </row>
    <row r="62420" spans="6:6" x14ac:dyDescent="0.3">
      <c r="F62420" s="193"/>
    </row>
    <row r="62421" spans="6:6" x14ac:dyDescent="0.3">
      <c r="F62421" s="193"/>
    </row>
    <row r="62422" spans="6:6" x14ac:dyDescent="0.3">
      <c r="F62422" s="193"/>
    </row>
    <row r="62423" spans="6:6" x14ac:dyDescent="0.3">
      <c r="F62423" s="193"/>
    </row>
    <row r="62424" spans="6:6" x14ac:dyDescent="0.3">
      <c r="F62424" s="193"/>
    </row>
    <row r="62425" spans="6:6" x14ac:dyDescent="0.3">
      <c r="F62425" s="193"/>
    </row>
    <row r="62426" spans="6:6" x14ac:dyDescent="0.3">
      <c r="F62426" s="193"/>
    </row>
    <row r="62427" spans="6:6" x14ac:dyDescent="0.3">
      <c r="F62427" s="193"/>
    </row>
    <row r="62428" spans="6:6" x14ac:dyDescent="0.3">
      <c r="F62428" s="193"/>
    </row>
    <row r="62429" spans="6:6" x14ac:dyDescent="0.3">
      <c r="F62429" s="193"/>
    </row>
    <row r="62430" spans="6:6" x14ac:dyDescent="0.3">
      <c r="F62430" s="193"/>
    </row>
    <row r="62431" spans="6:6" x14ac:dyDescent="0.3">
      <c r="F62431" s="193"/>
    </row>
    <row r="62432" spans="6:6" x14ac:dyDescent="0.3">
      <c r="F62432" s="193"/>
    </row>
    <row r="62433" spans="6:6" x14ac:dyDescent="0.3">
      <c r="F62433" s="193"/>
    </row>
    <row r="62434" spans="6:6" x14ac:dyDescent="0.3">
      <c r="F62434" s="193"/>
    </row>
    <row r="62435" spans="6:6" x14ac:dyDescent="0.3">
      <c r="F62435" s="193"/>
    </row>
    <row r="62436" spans="6:6" x14ac:dyDescent="0.3">
      <c r="F62436" s="193"/>
    </row>
    <row r="62437" spans="6:6" x14ac:dyDescent="0.3">
      <c r="F62437" s="193"/>
    </row>
    <row r="62438" spans="6:6" x14ac:dyDescent="0.3">
      <c r="F62438" s="193"/>
    </row>
    <row r="62439" spans="6:6" x14ac:dyDescent="0.3">
      <c r="F62439" s="193"/>
    </row>
    <row r="62440" spans="6:6" x14ac:dyDescent="0.3">
      <c r="F62440" s="193"/>
    </row>
    <row r="62441" spans="6:6" x14ac:dyDescent="0.3">
      <c r="F62441" s="193"/>
    </row>
    <row r="62442" spans="6:6" x14ac:dyDescent="0.3">
      <c r="F62442" s="193"/>
    </row>
    <row r="62443" spans="6:6" x14ac:dyDescent="0.3">
      <c r="F62443" s="193"/>
    </row>
    <row r="62444" spans="6:6" x14ac:dyDescent="0.3">
      <c r="F62444" s="193"/>
    </row>
    <row r="62445" spans="6:6" x14ac:dyDescent="0.3">
      <c r="F62445" s="193"/>
    </row>
    <row r="62446" spans="6:6" x14ac:dyDescent="0.3">
      <c r="F62446" s="193"/>
    </row>
    <row r="62447" spans="6:6" x14ac:dyDescent="0.3">
      <c r="F62447" s="193"/>
    </row>
    <row r="62448" spans="6:6" x14ac:dyDescent="0.3">
      <c r="F62448" s="193"/>
    </row>
    <row r="62449" spans="6:6" x14ac:dyDescent="0.3">
      <c r="F62449" s="193"/>
    </row>
    <row r="62450" spans="6:6" x14ac:dyDescent="0.3">
      <c r="F62450" s="193"/>
    </row>
    <row r="62451" spans="6:6" x14ac:dyDescent="0.3">
      <c r="F62451" s="193"/>
    </row>
    <row r="62452" spans="6:6" x14ac:dyDescent="0.3">
      <c r="F62452" s="193"/>
    </row>
    <row r="62453" spans="6:6" x14ac:dyDescent="0.3">
      <c r="F62453" s="193"/>
    </row>
    <row r="62454" spans="6:6" x14ac:dyDescent="0.3">
      <c r="F62454" s="193"/>
    </row>
    <row r="62455" spans="6:6" x14ac:dyDescent="0.3">
      <c r="F62455" s="193"/>
    </row>
    <row r="62456" spans="6:6" x14ac:dyDescent="0.3">
      <c r="F62456" s="193"/>
    </row>
    <row r="62457" spans="6:6" x14ac:dyDescent="0.3">
      <c r="F62457" s="193"/>
    </row>
    <row r="62458" spans="6:6" x14ac:dyDescent="0.3">
      <c r="F62458" s="193"/>
    </row>
    <row r="62459" spans="6:6" x14ac:dyDescent="0.3">
      <c r="F62459" s="193"/>
    </row>
    <row r="62460" spans="6:6" x14ac:dyDescent="0.3">
      <c r="F62460" s="193"/>
    </row>
    <row r="62461" spans="6:6" x14ac:dyDescent="0.3">
      <c r="F62461" s="193"/>
    </row>
    <row r="62462" spans="6:6" x14ac:dyDescent="0.3">
      <c r="F62462" s="193"/>
    </row>
    <row r="62463" spans="6:6" x14ac:dyDescent="0.3">
      <c r="F62463" s="193"/>
    </row>
    <row r="62464" spans="6:6" x14ac:dyDescent="0.3">
      <c r="F62464" s="193"/>
    </row>
    <row r="62465" spans="6:6" x14ac:dyDescent="0.3">
      <c r="F62465" s="193"/>
    </row>
    <row r="62466" spans="6:6" x14ac:dyDescent="0.3">
      <c r="F62466" s="193"/>
    </row>
    <row r="62467" spans="6:6" x14ac:dyDescent="0.3">
      <c r="F62467" s="193"/>
    </row>
    <row r="62468" spans="6:6" x14ac:dyDescent="0.3">
      <c r="F62468" s="193"/>
    </row>
    <row r="62469" spans="6:6" x14ac:dyDescent="0.3">
      <c r="F62469" s="193"/>
    </row>
    <row r="62470" spans="6:6" x14ac:dyDescent="0.3">
      <c r="F62470" s="193"/>
    </row>
    <row r="62471" spans="6:6" x14ac:dyDescent="0.3">
      <c r="F62471" s="193"/>
    </row>
    <row r="62472" spans="6:6" x14ac:dyDescent="0.3">
      <c r="F62472" s="193"/>
    </row>
    <row r="62473" spans="6:6" x14ac:dyDescent="0.3">
      <c r="F62473" s="193"/>
    </row>
    <row r="62474" spans="6:6" x14ac:dyDescent="0.3">
      <c r="F62474" s="193"/>
    </row>
    <row r="62475" spans="6:6" x14ac:dyDescent="0.3">
      <c r="F62475" s="193"/>
    </row>
    <row r="62476" spans="6:6" x14ac:dyDescent="0.3">
      <c r="F62476" s="193"/>
    </row>
    <row r="62477" spans="6:6" x14ac:dyDescent="0.3">
      <c r="F62477" s="193"/>
    </row>
    <row r="62478" spans="6:6" x14ac:dyDescent="0.3">
      <c r="F62478" s="193"/>
    </row>
    <row r="62479" spans="6:6" x14ac:dyDescent="0.3">
      <c r="F62479" s="193"/>
    </row>
    <row r="62480" spans="6:6" x14ac:dyDescent="0.3">
      <c r="F62480" s="193"/>
    </row>
    <row r="62481" spans="6:6" x14ac:dyDescent="0.3">
      <c r="F62481" s="193"/>
    </row>
    <row r="62482" spans="6:6" x14ac:dyDescent="0.3">
      <c r="F62482" s="193"/>
    </row>
    <row r="62483" spans="6:6" x14ac:dyDescent="0.3">
      <c r="F62483" s="193"/>
    </row>
    <row r="62484" spans="6:6" x14ac:dyDescent="0.3">
      <c r="F62484" s="193"/>
    </row>
    <row r="62485" spans="6:6" x14ac:dyDescent="0.3">
      <c r="F62485" s="193"/>
    </row>
    <row r="62486" spans="6:6" x14ac:dyDescent="0.3">
      <c r="F62486" s="193"/>
    </row>
    <row r="62487" spans="6:6" x14ac:dyDescent="0.3">
      <c r="F62487" s="193"/>
    </row>
    <row r="62488" spans="6:6" x14ac:dyDescent="0.3">
      <c r="F62488" s="193"/>
    </row>
    <row r="62489" spans="6:6" x14ac:dyDescent="0.3">
      <c r="F62489" s="193"/>
    </row>
    <row r="62490" spans="6:6" x14ac:dyDescent="0.3">
      <c r="F62490" s="193"/>
    </row>
    <row r="62491" spans="6:6" x14ac:dyDescent="0.3">
      <c r="F62491" s="193"/>
    </row>
    <row r="62492" spans="6:6" x14ac:dyDescent="0.3">
      <c r="F62492" s="193"/>
    </row>
    <row r="62493" spans="6:6" x14ac:dyDescent="0.3">
      <c r="F62493" s="193"/>
    </row>
    <row r="62494" spans="6:6" x14ac:dyDescent="0.3">
      <c r="F62494" s="193"/>
    </row>
    <row r="62495" spans="6:6" x14ac:dyDescent="0.3">
      <c r="F62495" s="193"/>
    </row>
    <row r="62496" spans="6:6" x14ac:dyDescent="0.3">
      <c r="F62496" s="193"/>
    </row>
    <row r="62497" spans="6:6" x14ac:dyDescent="0.3">
      <c r="F62497" s="193"/>
    </row>
    <row r="62498" spans="6:6" x14ac:dyDescent="0.3">
      <c r="F62498" s="193"/>
    </row>
    <row r="62499" spans="6:6" x14ac:dyDescent="0.3">
      <c r="F62499" s="193"/>
    </row>
    <row r="62500" spans="6:6" x14ac:dyDescent="0.3">
      <c r="F62500" s="193"/>
    </row>
    <row r="62501" spans="6:6" x14ac:dyDescent="0.3">
      <c r="F62501" s="193"/>
    </row>
    <row r="62502" spans="6:6" x14ac:dyDescent="0.3">
      <c r="F62502" s="193"/>
    </row>
    <row r="62503" spans="6:6" x14ac:dyDescent="0.3">
      <c r="F62503" s="193"/>
    </row>
    <row r="62504" spans="6:6" x14ac:dyDescent="0.3">
      <c r="F62504" s="193"/>
    </row>
    <row r="62505" spans="6:6" x14ac:dyDescent="0.3">
      <c r="F62505" s="193"/>
    </row>
    <row r="62506" spans="6:6" x14ac:dyDescent="0.3">
      <c r="F62506" s="193"/>
    </row>
    <row r="62507" spans="6:6" x14ac:dyDescent="0.3">
      <c r="F62507" s="193"/>
    </row>
    <row r="62508" spans="6:6" x14ac:dyDescent="0.3">
      <c r="F62508" s="193"/>
    </row>
    <row r="62509" spans="6:6" x14ac:dyDescent="0.3">
      <c r="F62509" s="193"/>
    </row>
    <row r="62510" spans="6:6" x14ac:dyDescent="0.3">
      <c r="F62510" s="193"/>
    </row>
    <row r="62511" spans="6:6" x14ac:dyDescent="0.3">
      <c r="F62511" s="193"/>
    </row>
    <row r="62512" spans="6:6" x14ac:dyDescent="0.3">
      <c r="F62512" s="193"/>
    </row>
    <row r="62513" spans="6:6" x14ac:dyDescent="0.3">
      <c r="F62513" s="193"/>
    </row>
    <row r="62514" spans="6:6" x14ac:dyDescent="0.3">
      <c r="F62514" s="193"/>
    </row>
    <row r="62515" spans="6:6" x14ac:dyDescent="0.3">
      <c r="F62515" s="193"/>
    </row>
    <row r="62516" spans="6:6" x14ac:dyDescent="0.3">
      <c r="F62516" s="193"/>
    </row>
    <row r="62517" spans="6:6" x14ac:dyDescent="0.3">
      <c r="F62517" s="193"/>
    </row>
    <row r="62518" spans="6:6" x14ac:dyDescent="0.3">
      <c r="F62518" s="193"/>
    </row>
    <row r="62519" spans="6:6" x14ac:dyDescent="0.3">
      <c r="F62519" s="193"/>
    </row>
    <row r="62520" spans="6:6" x14ac:dyDescent="0.3">
      <c r="F62520" s="193"/>
    </row>
    <row r="62521" spans="6:6" x14ac:dyDescent="0.3">
      <c r="F62521" s="193"/>
    </row>
    <row r="62522" spans="6:6" x14ac:dyDescent="0.3">
      <c r="F62522" s="193"/>
    </row>
    <row r="62523" spans="6:6" x14ac:dyDescent="0.3">
      <c r="F62523" s="193"/>
    </row>
    <row r="62524" spans="6:6" x14ac:dyDescent="0.3">
      <c r="F62524" s="193"/>
    </row>
    <row r="62525" spans="6:6" x14ac:dyDescent="0.3">
      <c r="F62525" s="193"/>
    </row>
    <row r="62526" spans="6:6" x14ac:dyDescent="0.3">
      <c r="F62526" s="193"/>
    </row>
    <row r="62527" spans="6:6" x14ac:dyDescent="0.3">
      <c r="F62527" s="193"/>
    </row>
    <row r="62528" spans="6:6" x14ac:dyDescent="0.3">
      <c r="F62528" s="193"/>
    </row>
    <row r="62529" spans="6:6" x14ac:dyDescent="0.3">
      <c r="F62529" s="193"/>
    </row>
    <row r="62530" spans="6:6" x14ac:dyDescent="0.3">
      <c r="F62530" s="193"/>
    </row>
    <row r="62531" spans="6:6" x14ac:dyDescent="0.3">
      <c r="F62531" s="193"/>
    </row>
    <row r="62532" spans="6:6" x14ac:dyDescent="0.3">
      <c r="F62532" s="193"/>
    </row>
    <row r="62533" spans="6:6" x14ac:dyDescent="0.3">
      <c r="F62533" s="193"/>
    </row>
    <row r="62534" spans="6:6" x14ac:dyDescent="0.3">
      <c r="F62534" s="193"/>
    </row>
    <row r="62535" spans="6:6" x14ac:dyDescent="0.3">
      <c r="F62535" s="193"/>
    </row>
    <row r="62536" spans="6:6" x14ac:dyDescent="0.3">
      <c r="F62536" s="193"/>
    </row>
    <row r="62537" spans="6:6" x14ac:dyDescent="0.3">
      <c r="F62537" s="193"/>
    </row>
    <row r="62538" spans="6:6" x14ac:dyDescent="0.3">
      <c r="F62538" s="193"/>
    </row>
    <row r="62539" spans="6:6" x14ac:dyDescent="0.3">
      <c r="F62539" s="193"/>
    </row>
    <row r="62540" spans="6:6" x14ac:dyDescent="0.3">
      <c r="F62540" s="193"/>
    </row>
    <row r="62541" spans="6:6" x14ac:dyDescent="0.3">
      <c r="F62541" s="193"/>
    </row>
    <row r="62542" spans="6:6" x14ac:dyDescent="0.3">
      <c r="F62542" s="193"/>
    </row>
    <row r="62543" spans="6:6" x14ac:dyDescent="0.3">
      <c r="F62543" s="193"/>
    </row>
    <row r="62544" spans="6:6" x14ac:dyDescent="0.3">
      <c r="F62544" s="193"/>
    </row>
    <row r="62545" spans="6:6" x14ac:dyDescent="0.3">
      <c r="F62545" s="193"/>
    </row>
    <row r="62546" spans="6:6" x14ac:dyDescent="0.3">
      <c r="F62546" s="193"/>
    </row>
    <row r="62547" spans="6:6" x14ac:dyDescent="0.3">
      <c r="F62547" s="193"/>
    </row>
    <row r="62548" spans="6:6" x14ac:dyDescent="0.3">
      <c r="F62548" s="193"/>
    </row>
    <row r="62549" spans="6:6" x14ac:dyDescent="0.3">
      <c r="F62549" s="193"/>
    </row>
    <row r="62550" spans="6:6" x14ac:dyDescent="0.3">
      <c r="F62550" s="193"/>
    </row>
    <row r="62551" spans="6:6" x14ac:dyDescent="0.3">
      <c r="F62551" s="193"/>
    </row>
    <row r="62552" spans="6:6" x14ac:dyDescent="0.3">
      <c r="F62552" s="193"/>
    </row>
    <row r="62553" spans="6:6" x14ac:dyDescent="0.3">
      <c r="F62553" s="193"/>
    </row>
    <row r="62554" spans="6:6" x14ac:dyDescent="0.3">
      <c r="F62554" s="193"/>
    </row>
    <row r="62555" spans="6:6" x14ac:dyDescent="0.3">
      <c r="F62555" s="193"/>
    </row>
    <row r="62556" spans="6:6" x14ac:dyDescent="0.3">
      <c r="F62556" s="193"/>
    </row>
    <row r="62557" spans="6:6" x14ac:dyDescent="0.3">
      <c r="F62557" s="193"/>
    </row>
    <row r="62558" spans="6:6" x14ac:dyDescent="0.3">
      <c r="F62558" s="193"/>
    </row>
    <row r="62559" spans="6:6" x14ac:dyDescent="0.3">
      <c r="F62559" s="193"/>
    </row>
    <row r="62560" spans="6:6" x14ac:dyDescent="0.3">
      <c r="F62560" s="193"/>
    </row>
    <row r="62561" spans="6:6" x14ac:dyDescent="0.3">
      <c r="F62561" s="193"/>
    </row>
    <row r="62562" spans="6:6" x14ac:dyDescent="0.3">
      <c r="F62562" s="193"/>
    </row>
    <row r="62563" spans="6:6" x14ac:dyDescent="0.3">
      <c r="F62563" s="193"/>
    </row>
    <row r="62564" spans="6:6" x14ac:dyDescent="0.3">
      <c r="F62564" s="193"/>
    </row>
    <row r="62565" spans="6:6" x14ac:dyDescent="0.3">
      <c r="F62565" s="193"/>
    </row>
    <row r="62566" spans="6:6" x14ac:dyDescent="0.3">
      <c r="F62566" s="193"/>
    </row>
    <row r="62567" spans="6:6" x14ac:dyDescent="0.3">
      <c r="F62567" s="193"/>
    </row>
    <row r="62568" spans="6:6" x14ac:dyDescent="0.3">
      <c r="F62568" s="193"/>
    </row>
    <row r="62569" spans="6:6" x14ac:dyDescent="0.3">
      <c r="F62569" s="193"/>
    </row>
    <row r="62570" spans="6:6" x14ac:dyDescent="0.3">
      <c r="F62570" s="193"/>
    </row>
    <row r="62571" spans="6:6" x14ac:dyDescent="0.3">
      <c r="F62571" s="193"/>
    </row>
    <row r="62572" spans="6:6" x14ac:dyDescent="0.3">
      <c r="F62572" s="193"/>
    </row>
    <row r="62573" spans="6:6" x14ac:dyDescent="0.3">
      <c r="F62573" s="193"/>
    </row>
    <row r="62574" spans="6:6" x14ac:dyDescent="0.3">
      <c r="F62574" s="193"/>
    </row>
    <row r="62575" spans="6:6" x14ac:dyDescent="0.3">
      <c r="F62575" s="193"/>
    </row>
    <row r="62576" spans="6:6" x14ac:dyDescent="0.3">
      <c r="F62576" s="193"/>
    </row>
    <row r="62577" spans="6:6" x14ac:dyDescent="0.3">
      <c r="F62577" s="193"/>
    </row>
    <row r="62578" spans="6:6" x14ac:dyDescent="0.3">
      <c r="F62578" s="193"/>
    </row>
    <row r="62579" spans="6:6" x14ac:dyDescent="0.3">
      <c r="F62579" s="193"/>
    </row>
    <row r="62580" spans="6:6" x14ac:dyDescent="0.3">
      <c r="F62580" s="193"/>
    </row>
    <row r="62581" spans="6:6" x14ac:dyDescent="0.3">
      <c r="F62581" s="193"/>
    </row>
    <row r="62582" spans="6:6" x14ac:dyDescent="0.3">
      <c r="F62582" s="193"/>
    </row>
    <row r="62583" spans="6:6" x14ac:dyDescent="0.3">
      <c r="F62583" s="193"/>
    </row>
    <row r="62584" spans="6:6" x14ac:dyDescent="0.3">
      <c r="F62584" s="193"/>
    </row>
    <row r="62585" spans="6:6" x14ac:dyDescent="0.3">
      <c r="F62585" s="193"/>
    </row>
    <row r="62586" spans="6:6" x14ac:dyDescent="0.3">
      <c r="F62586" s="193"/>
    </row>
    <row r="62587" spans="6:6" x14ac:dyDescent="0.3">
      <c r="F62587" s="193"/>
    </row>
    <row r="62588" spans="6:6" x14ac:dyDescent="0.3">
      <c r="F62588" s="193"/>
    </row>
    <row r="62589" spans="6:6" x14ac:dyDescent="0.3">
      <c r="F62589" s="193"/>
    </row>
    <row r="62590" spans="6:6" x14ac:dyDescent="0.3">
      <c r="F62590" s="193"/>
    </row>
    <row r="62591" spans="6:6" x14ac:dyDescent="0.3">
      <c r="F62591" s="193"/>
    </row>
    <row r="62592" spans="6:6" x14ac:dyDescent="0.3">
      <c r="F62592" s="193"/>
    </row>
    <row r="62593" spans="6:6" x14ac:dyDescent="0.3">
      <c r="F62593" s="193"/>
    </row>
    <row r="62594" spans="6:6" x14ac:dyDescent="0.3">
      <c r="F62594" s="193"/>
    </row>
    <row r="62595" spans="6:6" x14ac:dyDescent="0.3">
      <c r="F62595" s="193"/>
    </row>
    <row r="62596" spans="6:6" x14ac:dyDescent="0.3">
      <c r="F62596" s="193"/>
    </row>
    <row r="62597" spans="6:6" x14ac:dyDescent="0.3">
      <c r="F62597" s="193"/>
    </row>
    <row r="62598" spans="6:6" x14ac:dyDescent="0.3">
      <c r="F62598" s="193"/>
    </row>
    <row r="62599" spans="6:6" x14ac:dyDescent="0.3">
      <c r="F62599" s="193"/>
    </row>
    <row r="62600" spans="6:6" x14ac:dyDescent="0.3">
      <c r="F62600" s="193"/>
    </row>
    <row r="62601" spans="6:6" x14ac:dyDescent="0.3">
      <c r="F62601" s="193"/>
    </row>
    <row r="62602" spans="6:6" x14ac:dyDescent="0.3">
      <c r="F62602" s="193"/>
    </row>
    <row r="62603" spans="6:6" x14ac:dyDescent="0.3">
      <c r="F62603" s="193"/>
    </row>
    <row r="62604" spans="6:6" x14ac:dyDescent="0.3">
      <c r="F62604" s="193"/>
    </row>
    <row r="62605" spans="6:6" x14ac:dyDescent="0.3">
      <c r="F62605" s="193"/>
    </row>
    <row r="62606" spans="6:6" x14ac:dyDescent="0.3">
      <c r="F62606" s="193"/>
    </row>
    <row r="62607" spans="6:6" x14ac:dyDescent="0.3">
      <c r="F62607" s="193"/>
    </row>
    <row r="62608" spans="6:6" x14ac:dyDescent="0.3">
      <c r="F62608" s="193"/>
    </row>
    <row r="62609" spans="6:6" x14ac:dyDescent="0.3">
      <c r="F62609" s="193"/>
    </row>
    <row r="62610" spans="6:6" x14ac:dyDescent="0.3">
      <c r="F62610" s="193"/>
    </row>
    <row r="62611" spans="6:6" x14ac:dyDescent="0.3">
      <c r="F62611" s="193"/>
    </row>
    <row r="62612" spans="6:6" x14ac:dyDescent="0.3">
      <c r="F62612" s="193"/>
    </row>
    <row r="62613" spans="6:6" x14ac:dyDescent="0.3">
      <c r="F62613" s="193"/>
    </row>
    <row r="62614" spans="6:6" x14ac:dyDescent="0.3">
      <c r="F62614" s="193"/>
    </row>
    <row r="62615" spans="6:6" x14ac:dyDescent="0.3">
      <c r="F62615" s="193"/>
    </row>
    <row r="62616" spans="6:6" x14ac:dyDescent="0.3">
      <c r="F62616" s="193"/>
    </row>
    <row r="62617" spans="6:6" x14ac:dyDescent="0.3">
      <c r="F62617" s="193"/>
    </row>
    <row r="62618" spans="6:6" x14ac:dyDescent="0.3">
      <c r="F62618" s="193"/>
    </row>
    <row r="62619" spans="6:6" x14ac:dyDescent="0.3">
      <c r="F62619" s="193"/>
    </row>
    <row r="62620" spans="6:6" x14ac:dyDescent="0.3">
      <c r="F62620" s="193"/>
    </row>
    <row r="62621" spans="6:6" x14ac:dyDescent="0.3">
      <c r="F62621" s="193"/>
    </row>
    <row r="62622" spans="6:6" x14ac:dyDescent="0.3">
      <c r="F62622" s="193"/>
    </row>
    <row r="62623" spans="6:6" x14ac:dyDescent="0.3">
      <c r="F62623" s="193"/>
    </row>
    <row r="62624" spans="6:6" x14ac:dyDescent="0.3">
      <c r="F62624" s="193"/>
    </row>
    <row r="62625" spans="6:6" x14ac:dyDescent="0.3">
      <c r="F62625" s="193"/>
    </row>
    <row r="62626" spans="6:6" x14ac:dyDescent="0.3">
      <c r="F62626" s="193"/>
    </row>
    <row r="62627" spans="6:6" x14ac:dyDescent="0.3">
      <c r="F62627" s="193"/>
    </row>
    <row r="62628" spans="6:6" x14ac:dyDescent="0.3">
      <c r="F62628" s="193"/>
    </row>
    <row r="62629" spans="6:6" x14ac:dyDescent="0.3">
      <c r="F62629" s="193"/>
    </row>
    <row r="62630" spans="6:6" x14ac:dyDescent="0.3">
      <c r="F62630" s="193"/>
    </row>
    <row r="62631" spans="6:6" x14ac:dyDescent="0.3">
      <c r="F62631" s="193"/>
    </row>
    <row r="62632" spans="6:6" x14ac:dyDescent="0.3">
      <c r="F62632" s="193"/>
    </row>
    <row r="62633" spans="6:6" x14ac:dyDescent="0.3">
      <c r="F62633" s="193"/>
    </row>
    <row r="62634" spans="6:6" x14ac:dyDescent="0.3">
      <c r="F62634" s="193"/>
    </row>
    <row r="62635" spans="6:6" x14ac:dyDescent="0.3">
      <c r="F62635" s="193"/>
    </row>
    <row r="62636" spans="6:6" x14ac:dyDescent="0.3">
      <c r="F62636" s="193"/>
    </row>
    <row r="62637" spans="6:6" x14ac:dyDescent="0.3">
      <c r="F62637" s="193"/>
    </row>
    <row r="62638" spans="6:6" x14ac:dyDescent="0.3">
      <c r="F62638" s="193"/>
    </row>
    <row r="62639" spans="6:6" x14ac:dyDescent="0.3">
      <c r="F62639" s="193"/>
    </row>
    <row r="62640" spans="6:6" x14ac:dyDescent="0.3">
      <c r="F62640" s="193"/>
    </row>
    <row r="62641" spans="6:6" x14ac:dyDescent="0.3">
      <c r="F62641" s="193"/>
    </row>
    <row r="62642" spans="6:6" x14ac:dyDescent="0.3">
      <c r="F62642" s="193"/>
    </row>
    <row r="62643" spans="6:6" x14ac:dyDescent="0.3">
      <c r="F62643" s="193"/>
    </row>
    <row r="62644" spans="6:6" x14ac:dyDescent="0.3">
      <c r="F62644" s="193"/>
    </row>
    <row r="62645" spans="6:6" x14ac:dyDescent="0.3">
      <c r="F62645" s="193"/>
    </row>
    <row r="62646" spans="6:6" x14ac:dyDescent="0.3">
      <c r="F62646" s="193"/>
    </row>
    <row r="62647" spans="6:6" x14ac:dyDescent="0.3">
      <c r="F62647" s="193"/>
    </row>
    <row r="62648" spans="6:6" x14ac:dyDescent="0.3">
      <c r="F62648" s="193"/>
    </row>
    <row r="62649" spans="6:6" x14ac:dyDescent="0.3">
      <c r="F62649" s="193"/>
    </row>
    <row r="62650" spans="6:6" x14ac:dyDescent="0.3">
      <c r="F62650" s="193"/>
    </row>
    <row r="62651" spans="6:6" x14ac:dyDescent="0.3">
      <c r="F62651" s="193"/>
    </row>
    <row r="62652" spans="6:6" x14ac:dyDescent="0.3">
      <c r="F62652" s="193"/>
    </row>
    <row r="62653" spans="6:6" x14ac:dyDescent="0.3">
      <c r="F62653" s="193"/>
    </row>
    <row r="62654" spans="6:6" x14ac:dyDescent="0.3">
      <c r="F62654" s="193"/>
    </row>
    <row r="62655" spans="6:6" x14ac:dyDescent="0.3">
      <c r="F62655" s="193"/>
    </row>
    <row r="62656" spans="6:6" x14ac:dyDescent="0.3">
      <c r="F62656" s="193"/>
    </row>
    <row r="62657" spans="6:6" x14ac:dyDescent="0.3">
      <c r="F62657" s="193"/>
    </row>
    <row r="62658" spans="6:6" x14ac:dyDescent="0.3">
      <c r="F62658" s="193"/>
    </row>
    <row r="62659" spans="6:6" x14ac:dyDescent="0.3">
      <c r="F62659" s="193"/>
    </row>
    <row r="62660" spans="6:6" x14ac:dyDescent="0.3">
      <c r="F62660" s="193"/>
    </row>
    <row r="62661" spans="6:6" x14ac:dyDescent="0.3">
      <c r="F62661" s="193"/>
    </row>
    <row r="62662" spans="6:6" x14ac:dyDescent="0.3">
      <c r="F62662" s="193"/>
    </row>
    <row r="62663" spans="6:6" x14ac:dyDescent="0.3">
      <c r="F62663" s="193"/>
    </row>
    <row r="62664" spans="6:6" x14ac:dyDescent="0.3">
      <c r="F62664" s="193"/>
    </row>
    <row r="62665" spans="6:6" x14ac:dyDescent="0.3">
      <c r="F62665" s="193"/>
    </row>
    <row r="62666" spans="6:6" x14ac:dyDescent="0.3">
      <c r="F62666" s="193"/>
    </row>
    <row r="62667" spans="6:6" x14ac:dyDescent="0.3">
      <c r="F62667" s="193"/>
    </row>
    <row r="62668" spans="6:6" x14ac:dyDescent="0.3">
      <c r="F62668" s="193"/>
    </row>
    <row r="62669" spans="6:6" x14ac:dyDescent="0.3">
      <c r="F62669" s="193"/>
    </row>
    <row r="62670" spans="6:6" x14ac:dyDescent="0.3">
      <c r="F62670" s="193"/>
    </row>
    <row r="62671" spans="6:6" x14ac:dyDescent="0.3">
      <c r="F62671" s="193"/>
    </row>
    <row r="62672" spans="6:6" x14ac:dyDescent="0.3">
      <c r="F62672" s="193"/>
    </row>
    <row r="62673" spans="6:6" x14ac:dyDescent="0.3">
      <c r="F62673" s="193"/>
    </row>
    <row r="62674" spans="6:6" x14ac:dyDescent="0.3">
      <c r="F62674" s="193"/>
    </row>
    <row r="62675" spans="6:6" x14ac:dyDescent="0.3">
      <c r="F62675" s="193"/>
    </row>
    <row r="62676" spans="6:6" x14ac:dyDescent="0.3">
      <c r="F62676" s="193"/>
    </row>
    <row r="62677" spans="6:6" x14ac:dyDescent="0.3">
      <c r="F62677" s="193"/>
    </row>
    <row r="62678" spans="6:6" x14ac:dyDescent="0.3">
      <c r="F62678" s="193"/>
    </row>
    <row r="62679" spans="6:6" x14ac:dyDescent="0.3">
      <c r="F62679" s="193"/>
    </row>
    <row r="62680" spans="6:6" x14ac:dyDescent="0.3">
      <c r="F62680" s="193"/>
    </row>
    <row r="62681" spans="6:6" x14ac:dyDescent="0.3">
      <c r="F62681" s="193"/>
    </row>
    <row r="62682" spans="6:6" x14ac:dyDescent="0.3">
      <c r="F62682" s="193"/>
    </row>
    <row r="62683" spans="6:6" x14ac:dyDescent="0.3">
      <c r="F62683" s="193"/>
    </row>
    <row r="62684" spans="6:6" x14ac:dyDescent="0.3">
      <c r="F62684" s="193"/>
    </row>
    <row r="62685" spans="6:6" x14ac:dyDescent="0.3">
      <c r="F62685" s="193"/>
    </row>
    <row r="62686" spans="6:6" x14ac:dyDescent="0.3">
      <c r="F62686" s="193"/>
    </row>
    <row r="62687" spans="6:6" x14ac:dyDescent="0.3">
      <c r="F62687" s="193"/>
    </row>
    <row r="62688" spans="6:6" x14ac:dyDescent="0.3">
      <c r="F62688" s="193"/>
    </row>
    <row r="62689" spans="6:6" x14ac:dyDescent="0.3">
      <c r="F62689" s="193"/>
    </row>
    <row r="62690" spans="6:6" x14ac:dyDescent="0.3">
      <c r="F62690" s="193"/>
    </row>
    <row r="62691" spans="6:6" x14ac:dyDescent="0.3">
      <c r="F62691" s="193"/>
    </row>
    <row r="62692" spans="6:6" x14ac:dyDescent="0.3">
      <c r="F62692" s="193"/>
    </row>
    <row r="62693" spans="6:6" x14ac:dyDescent="0.3">
      <c r="F62693" s="193"/>
    </row>
    <row r="62694" spans="6:6" x14ac:dyDescent="0.3">
      <c r="F62694" s="193"/>
    </row>
    <row r="62695" spans="6:6" x14ac:dyDescent="0.3">
      <c r="F62695" s="193"/>
    </row>
    <row r="62696" spans="6:6" x14ac:dyDescent="0.3">
      <c r="F62696" s="193"/>
    </row>
    <row r="62697" spans="6:6" x14ac:dyDescent="0.3">
      <c r="F62697" s="193"/>
    </row>
    <row r="62698" spans="6:6" x14ac:dyDescent="0.3">
      <c r="F62698" s="193"/>
    </row>
    <row r="62699" spans="6:6" x14ac:dyDescent="0.3">
      <c r="F62699" s="193"/>
    </row>
    <row r="62700" spans="6:6" x14ac:dyDescent="0.3">
      <c r="F62700" s="193"/>
    </row>
    <row r="62701" spans="6:6" x14ac:dyDescent="0.3">
      <c r="F62701" s="193"/>
    </row>
    <row r="62702" spans="6:6" x14ac:dyDescent="0.3">
      <c r="F62702" s="193"/>
    </row>
    <row r="62703" spans="6:6" x14ac:dyDescent="0.3">
      <c r="F62703" s="193"/>
    </row>
    <row r="62704" spans="6:6" x14ac:dyDescent="0.3">
      <c r="F62704" s="193"/>
    </row>
    <row r="62705" spans="6:6" x14ac:dyDescent="0.3">
      <c r="F62705" s="193"/>
    </row>
    <row r="62706" spans="6:6" x14ac:dyDescent="0.3">
      <c r="F62706" s="193"/>
    </row>
    <row r="62707" spans="6:6" x14ac:dyDescent="0.3">
      <c r="F62707" s="193"/>
    </row>
    <row r="62708" spans="6:6" x14ac:dyDescent="0.3">
      <c r="F62708" s="193"/>
    </row>
    <row r="62709" spans="6:6" x14ac:dyDescent="0.3">
      <c r="F62709" s="193"/>
    </row>
    <row r="62710" spans="6:6" x14ac:dyDescent="0.3">
      <c r="F62710" s="193"/>
    </row>
    <row r="62711" spans="6:6" x14ac:dyDescent="0.3">
      <c r="F62711" s="193"/>
    </row>
    <row r="62712" spans="6:6" x14ac:dyDescent="0.3">
      <c r="F62712" s="193"/>
    </row>
    <row r="62713" spans="6:6" x14ac:dyDescent="0.3">
      <c r="F62713" s="193"/>
    </row>
    <row r="62714" spans="6:6" x14ac:dyDescent="0.3">
      <c r="F62714" s="193"/>
    </row>
    <row r="62715" spans="6:6" x14ac:dyDescent="0.3">
      <c r="F62715" s="193"/>
    </row>
    <row r="62716" spans="6:6" x14ac:dyDescent="0.3">
      <c r="F62716" s="193"/>
    </row>
    <row r="62717" spans="6:6" x14ac:dyDescent="0.3">
      <c r="F62717" s="193"/>
    </row>
    <row r="62718" spans="6:6" x14ac:dyDescent="0.3">
      <c r="F62718" s="193"/>
    </row>
    <row r="62719" spans="6:6" x14ac:dyDescent="0.3">
      <c r="F62719" s="193"/>
    </row>
    <row r="62720" spans="6:6" x14ac:dyDescent="0.3">
      <c r="F62720" s="193"/>
    </row>
    <row r="62721" spans="6:6" x14ac:dyDescent="0.3">
      <c r="F62721" s="193"/>
    </row>
    <row r="62722" spans="6:6" x14ac:dyDescent="0.3">
      <c r="F62722" s="193"/>
    </row>
    <row r="62723" spans="6:6" x14ac:dyDescent="0.3">
      <c r="F62723" s="193"/>
    </row>
    <row r="62724" spans="6:6" x14ac:dyDescent="0.3">
      <c r="F62724" s="193"/>
    </row>
    <row r="62725" spans="6:6" x14ac:dyDescent="0.3">
      <c r="F62725" s="193"/>
    </row>
    <row r="62726" spans="6:6" x14ac:dyDescent="0.3">
      <c r="F62726" s="193"/>
    </row>
    <row r="62727" spans="6:6" x14ac:dyDescent="0.3">
      <c r="F62727" s="193"/>
    </row>
    <row r="62728" spans="6:6" x14ac:dyDescent="0.3">
      <c r="F62728" s="193"/>
    </row>
    <row r="62729" spans="6:6" x14ac:dyDescent="0.3">
      <c r="F62729" s="193"/>
    </row>
    <row r="62730" spans="6:6" x14ac:dyDescent="0.3">
      <c r="F62730" s="193"/>
    </row>
    <row r="62731" spans="6:6" x14ac:dyDescent="0.3">
      <c r="F62731" s="193"/>
    </row>
    <row r="62732" spans="6:6" x14ac:dyDescent="0.3">
      <c r="F62732" s="193"/>
    </row>
    <row r="62733" spans="6:6" x14ac:dyDescent="0.3">
      <c r="F62733" s="193"/>
    </row>
    <row r="62734" spans="6:6" x14ac:dyDescent="0.3">
      <c r="F62734" s="193"/>
    </row>
    <row r="62735" spans="6:6" x14ac:dyDescent="0.3">
      <c r="F62735" s="193"/>
    </row>
    <row r="62736" spans="6:6" x14ac:dyDescent="0.3">
      <c r="F62736" s="193"/>
    </row>
    <row r="62737" spans="6:6" x14ac:dyDescent="0.3">
      <c r="F62737" s="193"/>
    </row>
    <row r="62738" spans="6:6" x14ac:dyDescent="0.3">
      <c r="F62738" s="193"/>
    </row>
    <row r="62739" spans="6:6" x14ac:dyDescent="0.3">
      <c r="F62739" s="193"/>
    </row>
    <row r="62740" spans="6:6" x14ac:dyDescent="0.3">
      <c r="F62740" s="193"/>
    </row>
    <row r="62741" spans="6:6" x14ac:dyDescent="0.3">
      <c r="F62741" s="193"/>
    </row>
    <row r="62742" spans="6:6" x14ac:dyDescent="0.3">
      <c r="F62742" s="193"/>
    </row>
    <row r="62743" spans="6:6" x14ac:dyDescent="0.3">
      <c r="F62743" s="193"/>
    </row>
    <row r="62744" spans="6:6" x14ac:dyDescent="0.3">
      <c r="F62744" s="193"/>
    </row>
    <row r="62745" spans="6:6" x14ac:dyDescent="0.3">
      <c r="F62745" s="193"/>
    </row>
    <row r="62746" spans="6:6" x14ac:dyDescent="0.3">
      <c r="F62746" s="193"/>
    </row>
    <row r="62747" spans="6:6" x14ac:dyDescent="0.3">
      <c r="F62747" s="193"/>
    </row>
    <row r="62748" spans="6:6" x14ac:dyDescent="0.3">
      <c r="F62748" s="193"/>
    </row>
    <row r="62749" spans="6:6" x14ac:dyDescent="0.3">
      <c r="F62749" s="193"/>
    </row>
    <row r="62750" spans="6:6" x14ac:dyDescent="0.3">
      <c r="F62750" s="193"/>
    </row>
    <row r="62751" spans="6:6" x14ac:dyDescent="0.3">
      <c r="F62751" s="193"/>
    </row>
    <row r="62752" spans="6:6" x14ac:dyDescent="0.3">
      <c r="F62752" s="193"/>
    </row>
    <row r="62753" spans="6:6" x14ac:dyDescent="0.3">
      <c r="F62753" s="193"/>
    </row>
    <row r="62754" spans="6:6" x14ac:dyDescent="0.3">
      <c r="F62754" s="193"/>
    </row>
    <row r="62755" spans="6:6" x14ac:dyDescent="0.3">
      <c r="F62755" s="193"/>
    </row>
    <row r="62756" spans="6:6" x14ac:dyDescent="0.3">
      <c r="F62756" s="193"/>
    </row>
    <row r="62757" spans="6:6" x14ac:dyDescent="0.3">
      <c r="F62757" s="193"/>
    </row>
    <row r="62758" spans="6:6" x14ac:dyDescent="0.3">
      <c r="F62758" s="193"/>
    </row>
    <row r="62759" spans="6:6" x14ac:dyDescent="0.3">
      <c r="F62759" s="193"/>
    </row>
    <row r="62760" spans="6:6" x14ac:dyDescent="0.3">
      <c r="F62760" s="193"/>
    </row>
    <row r="62761" spans="6:6" x14ac:dyDescent="0.3">
      <c r="F62761" s="193"/>
    </row>
    <row r="62762" spans="6:6" x14ac:dyDescent="0.3">
      <c r="F62762" s="193"/>
    </row>
    <row r="62763" spans="6:6" x14ac:dyDescent="0.3">
      <c r="F62763" s="193"/>
    </row>
    <row r="62764" spans="6:6" x14ac:dyDescent="0.3">
      <c r="F62764" s="193"/>
    </row>
    <row r="62765" spans="6:6" x14ac:dyDescent="0.3">
      <c r="F62765" s="193"/>
    </row>
    <row r="62766" spans="6:6" x14ac:dyDescent="0.3">
      <c r="F62766" s="193"/>
    </row>
    <row r="62767" spans="6:6" x14ac:dyDescent="0.3">
      <c r="F62767" s="193"/>
    </row>
    <row r="62768" spans="6:6" x14ac:dyDescent="0.3">
      <c r="F62768" s="193"/>
    </row>
    <row r="62769" spans="6:6" x14ac:dyDescent="0.3">
      <c r="F62769" s="193"/>
    </row>
    <row r="62770" spans="6:6" x14ac:dyDescent="0.3">
      <c r="F62770" s="193"/>
    </row>
    <row r="62771" spans="6:6" x14ac:dyDescent="0.3">
      <c r="F62771" s="193"/>
    </row>
    <row r="62772" spans="6:6" x14ac:dyDescent="0.3">
      <c r="F62772" s="193"/>
    </row>
    <row r="62773" spans="6:6" x14ac:dyDescent="0.3">
      <c r="F62773" s="193"/>
    </row>
    <row r="62774" spans="6:6" x14ac:dyDescent="0.3">
      <c r="F62774" s="193"/>
    </row>
    <row r="62775" spans="6:6" x14ac:dyDescent="0.3">
      <c r="F62775" s="193"/>
    </row>
    <row r="62776" spans="6:6" x14ac:dyDescent="0.3">
      <c r="F62776" s="193"/>
    </row>
    <row r="62777" spans="6:6" x14ac:dyDescent="0.3">
      <c r="F62777" s="193"/>
    </row>
    <row r="62778" spans="6:6" x14ac:dyDescent="0.3">
      <c r="F62778" s="193"/>
    </row>
    <row r="62779" spans="6:6" x14ac:dyDescent="0.3">
      <c r="F62779" s="193"/>
    </row>
    <row r="62780" spans="6:6" x14ac:dyDescent="0.3">
      <c r="F62780" s="193"/>
    </row>
    <row r="62781" spans="6:6" x14ac:dyDescent="0.3">
      <c r="F62781" s="193"/>
    </row>
    <row r="62782" spans="6:6" x14ac:dyDescent="0.3">
      <c r="F62782" s="193"/>
    </row>
    <row r="62783" spans="6:6" x14ac:dyDescent="0.3">
      <c r="F62783" s="193"/>
    </row>
    <row r="62784" spans="6:6" x14ac:dyDescent="0.3">
      <c r="F62784" s="193"/>
    </row>
    <row r="62785" spans="6:6" x14ac:dyDescent="0.3">
      <c r="F62785" s="193"/>
    </row>
    <row r="62786" spans="6:6" x14ac:dyDescent="0.3">
      <c r="F62786" s="193"/>
    </row>
    <row r="62787" spans="6:6" x14ac:dyDescent="0.3">
      <c r="F62787" s="193"/>
    </row>
    <row r="62788" spans="6:6" x14ac:dyDescent="0.3">
      <c r="F62788" s="193"/>
    </row>
    <row r="62789" spans="6:6" x14ac:dyDescent="0.3">
      <c r="F62789" s="193"/>
    </row>
    <row r="62790" spans="6:6" x14ac:dyDescent="0.3">
      <c r="F62790" s="193"/>
    </row>
    <row r="62791" spans="6:6" x14ac:dyDescent="0.3">
      <c r="F62791" s="193"/>
    </row>
    <row r="62792" spans="6:6" x14ac:dyDescent="0.3">
      <c r="F62792" s="193"/>
    </row>
    <row r="62793" spans="6:6" x14ac:dyDescent="0.3">
      <c r="F62793" s="193"/>
    </row>
    <row r="62794" spans="6:6" x14ac:dyDescent="0.3">
      <c r="F62794" s="193"/>
    </row>
    <row r="62795" spans="6:6" x14ac:dyDescent="0.3">
      <c r="F62795" s="193"/>
    </row>
    <row r="62796" spans="6:6" x14ac:dyDescent="0.3">
      <c r="F62796" s="193"/>
    </row>
    <row r="62797" spans="6:6" x14ac:dyDescent="0.3">
      <c r="F62797" s="193"/>
    </row>
    <row r="62798" spans="6:6" x14ac:dyDescent="0.3">
      <c r="F62798" s="193"/>
    </row>
    <row r="62799" spans="6:6" x14ac:dyDescent="0.3">
      <c r="F62799" s="193"/>
    </row>
    <row r="62800" spans="6:6" x14ac:dyDescent="0.3">
      <c r="F62800" s="193"/>
    </row>
    <row r="62801" spans="6:6" x14ac:dyDescent="0.3">
      <c r="F62801" s="193"/>
    </row>
    <row r="62802" spans="6:6" x14ac:dyDescent="0.3">
      <c r="F62802" s="193"/>
    </row>
    <row r="62803" spans="6:6" x14ac:dyDescent="0.3">
      <c r="F62803" s="193"/>
    </row>
    <row r="62804" spans="6:6" x14ac:dyDescent="0.3">
      <c r="F62804" s="193"/>
    </row>
    <row r="62805" spans="6:6" x14ac:dyDescent="0.3">
      <c r="F62805" s="193"/>
    </row>
    <row r="62806" spans="6:6" x14ac:dyDescent="0.3">
      <c r="F62806" s="193"/>
    </row>
    <row r="62807" spans="6:6" x14ac:dyDescent="0.3">
      <c r="F62807" s="193"/>
    </row>
    <row r="62808" spans="6:6" x14ac:dyDescent="0.3">
      <c r="F62808" s="193"/>
    </row>
    <row r="62809" spans="6:6" x14ac:dyDescent="0.3">
      <c r="F62809" s="193"/>
    </row>
    <row r="62810" spans="6:6" x14ac:dyDescent="0.3">
      <c r="F62810" s="193"/>
    </row>
    <row r="62811" spans="6:6" x14ac:dyDescent="0.3">
      <c r="F62811" s="193"/>
    </row>
    <row r="62812" spans="6:6" x14ac:dyDescent="0.3">
      <c r="F62812" s="193"/>
    </row>
    <row r="62813" spans="6:6" x14ac:dyDescent="0.3">
      <c r="F62813" s="193"/>
    </row>
    <row r="62814" spans="6:6" x14ac:dyDescent="0.3">
      <c r="F62814" s="193"/>
    </row>
    <row r="62815" spans="6:6" x14ac:dyDescent="0.3">
      <c r="F62815" s="193"/>
    </row>
    <row r="62816" spans="6:6" x14ac:dyDescent="0.3">
      <c r="F62816" s="193"/>
    </row>
    <row r="62817" spans="6:6" x14ac:dyDescent="0.3">
      <c r="F62817" s="193"/>
    </row>
    <row r="62818" spans="6:6" x14ac:dyDescent="0.3">
      <c r="F62818" s="193"/>
    </row>
    <row r="62819" spans="6:6" x14ac:dyDescent="0.3">
      <c r="F62819" s="193"/>
    </row>
    <row r="62820" spans="6:6" x14ac:dyDescent="0.3">
      <c r="F62820" s="193"/>
    </row>
    <row r="62821" spans="6:6" x14ac:dyDescent="0.3">
      <c r="F62821" s="193"/>
    </row>
    <row r="62822" spans="6:6" x14ac:dyDescent="0.3">
      <c r="F62822" s="193"/>
    </row>
    <row r="62823" spans="6:6" x14ac:dyDescent="0.3">
      <c r="F62823" s="193"/>
    </row>
    <row r="62824" spans="6:6" x14ac:dyDescent="0.3">
      <c r="F62824" s="193"/>
    </row>
    <row r="62825" spans="6:6" x14ac:dyDescent="0.3">
      <c r="F62825" s="193"/>
    </row>
    <row r="62826" spans="6:6" x14ac:dyDescent="0.3">
      <c r="F62826" s="193"/>
    </row>
    <row r="62827" spans="6:6" x14ac:dyDescent="0.3">
      <c r="F62827" s="193"/>
    </row>
    <row r="62828" spans="6:6" x14ac:dyDescent="0.3">
      <c r="F62828" s="193"/>
    </row>
    <row r="62829" spans="6:6" x14ac:dyDescent="0.3">
      <c r="F62829" s="193"/>
    </row>
    <row r="62830" spans="6:6" x14ac:dyDescent="0.3">
      <c r="F62830" s="193"/>
    </row>
    <row r="62831" spans="6:6" x14ac:dyDescent="0.3">
      <c r="F62831" s="193"/>
    </row>
    <row r="62832" spans="6:6" x14ac:dyDescent="0.3">
      <c r="F62832" s="193"/>
    </row>
    <row r="62833" spans="6:6" x14ac:dyDescent="0.3">
      <c r="F62833" s="193"/>
    </row>
    <row r="62834" spans="6:6" x14ac:dyDescent="0.3">
      <c r="F62834" s="193"/>
    </row>
    <row r="62835" spans="6:6" x14ac:dyDescent="0.3">
      <c r="F62835" s="193"/>
    </row>
    <row r="62836" spans="6:6" x14ac:dyDescent="0.3">
      <c r="F62836" s="193"/>
    </row>
    <row r="62837" spans="6:6" x14ac:dyDescent="0.3">
      <c r="F62837" s="193"/>
    </row>
    <row r="62838" spans="6:6" x14ac:dyDescent="0.3">
      <c r="F62838" s="193"/>
    </row>
    <row r="62839" spans="6:6" x14ac:dyDescent="0.3">
      <c r="F62839" s="193"/>
    </row>
    <row r="62840" spans="6:6" x14ac:dyDescent="0.3">
      <c r="F62840" s="193"/>
    </row>
    <row r="62841" spans="6:6" x14ac:dyDescent="0.3">
      <c r="F62841" s="193"/>
    </row>
    <row r="62842" spans="6:6" x14ac:dyDescent="0.3">
      <c r="F62842" s="193"/>
    </row>
    <row r="62843" spans="6:6" x14ac:dyDescent="0.3">
      <c r="F62843" s="193"/>
    </row>
    <row r="62844" spans="6:6" x14ac:dyDescent="0.3">
      <c r="F62844" s="193"/>
    </row>
    <row r="62845" spans="6:6" x14ac:dyDescent="0.3">
      <c r="F62845" s="193"/>
    </row>
    <row r="62846" spans="6:6" x14ac:dyDescent="0.3">
      <c r="F62846" s="193"/>
    </row>
    <row r="62847" spans="6:6" x14ac:dyDescent="0.3">
      <c r="F62847" s="193"/>
    </row>
    <row r="62848" spans="6:6" x14ac:dyDescent="0.3">
      <c r="F62848" s="193"/>
    </row>
    <row r="62849" spans="6:6" x14ac:dyDescent="0.3">
      <c r="F62849" s="193"/>
    </row>
    <row r="62850" spans="6:6" x14ac:dyDescent="0.3">
      <c r="F62850" s="193"/>
    </row>
    <row r="62851" spans="6:6" x14ac:dyDescent="0.3">
      <c r="F62851" s="193"/>
    </row>
    <row r="62852" spans="6:6" x14ac:dyDescent="0.3">
      <c r="F62852" s="193"/>
    </row>
    <row r="62853" spans="6:6" x14ac:dyDescent="0.3">
      <c r="F62853" s="193"/>
    </row>
    <row r="62854" spans="6:6" x14ac:dyDescent="0.3">
      <c r="F62854" s="193"/>
    </row>
    <row r="62855" spans="6:6" x14ac:dyDescent="0.3">
      <c r="F62855" s="193"/>
    </row>
    <row r="62856" spans="6:6" x14ac:dyDescent="0.3">
      <c r="F62856" s="193"/>
    </row>
    <row r="62857" spans="6:6" x14ac:dyDescent="0.3">
      <c r="F62857" s="193"/>
    </row>
    <row r="62858" spans="6:6" x14ac:dyDescent="0.3">
      <c r="F62858" s="193"/>
    </row>
    <row r="62859" spans="6:6" x14ac:dyDescent="0.3">
      <c r="F62859" s="193"/>
    </row>
    <row r="62860" spans="6:6" x14ac:dyDescent="0.3">
      <c r="F62860" s="193"/>
    </row>
    <row r="62861" spans="6:6" x14ac:dyDescent="0.3">
      <c r="F62861" s="193"/>
    </row>
    <row r="62862" spans="6:6" x14ac:dyDescent="0.3">
      <c r="F62862" s="193"/>
    </row>
    <row r="62863" spans="6:6" x14ac:dyDescent="0.3">
      <c r="F62863" s="193"/>
    </row>
    <row r="62864" spans="6:6" x14ac:dyDescent="0.3">
      <c r="F62864" s="193"/>
    </row>
    <row r="62865" spans="6:6" x14ac:dyDescent="0.3">
      <c r="F62865" s="193"/>
    </row>
    <row r="62866" spans="6:6" x14ac:dyDescent="0.3">
      <c r="F62866" s="193"/>
    </row>
    <row r="62867" spans="6:6" x14ac:dyDescent="0.3">
      <c r="F62867" s="193"/>
    </row>
    <row r="62868" spans="6:6" x14ac:dyDescent="0.3">
      <c r="F62868" s="193"/>
    </row>
    <row r="62869" spans="6:6" x14ac:dyDescent="0.3">
      <c r="F62869" s="193"/>
    </row>
    <row r="62870" spans="6:6" x14ac:dyDescent="0.3">
      <c r="F62870" s="193"/>
    </row>
    <row r="62871" spans="6:6" x14ac:dyDescent="0.3">
      <c r="F62871" s="193"/>
    </row>
    <row r="62872" spans="6:6" x14ac:dyDescent="0.3">
      <c r="F62872" s="193"/>
    </row>
    <row r="62873" spans="6:6" x14ac:dyDescent="0.3">
      <c r="F62873" s="193"/>
    </row>
    <row r="62874" spans="6:6" x14ac:dyDescent="0.3">
      <c r="F62874" s="193"/>
    </row>
    <row r="62875" spans="6:6" x14ac:dyDescent="0.3">
      <c r="F62875" s="193"/>
    </row>
    <row r="62876" spans="6:6" x14ac:dyDescent="0.3">
      <c r="F62876" s="193"/>
    </row>
    <row r="62877" spans="6:6" x14ac:dyDescent="0.3">
      <c r="F62877" s="193"/>
    </row>
    <row r="62878" spans="6:6" x14ac:dyDescent="0.3">
      <c r="F62878" s="193"/>
    </row>
    <row r="62879" spans="6:6" x14ac:dyDescent="0.3">
      <c r="F62879" s="193"/>
    </row>
    <row r="62880" spans="6:6" x14ac:dyDescent="0.3">
      <c r="F62880" s="193"/>
    </row>
    <row r="62881" spans="6:6" x14ac:dyDescent="0.3">
      <c r="F62881" s="193"/>
    </row>
    <row r="62882" spans="6:6" x14ac:dyDescent="0.3">
      <c r="F62882" s="193"/>
    </row>
    <row r="62883" spans="6:6" x14ac:dyDescent="0.3">
      <c r="F62883" s="193"/>
    </row>
    <row r="62884" spans="6:6" x14ac:dyDescent="0.3">
      <c r="F62884" s="193"/>
    </row>
    <row r="62885" spans="6:6" x14ac:dyDescent="0.3">
      <c r="F62885" s="193"/>
    </row>
    <row r="62886" spans="6:6" x14ac:dyDescent="0.3">
      <c r="F62886" s="193"/>
    </row>
    <row r="62887" spans="6:6" x14ac:dyDescent="0.3">
      <c r="F62887" s="193"/>
    </row>
    <row r="62888" spans="6:6" x14ac:dyDescent="0.3">
      <c r="F62888" s="193"/>
    </row>
    <row r="62889" spans="6:6" x14ac:dyDescent="0.3">
      <c r="F62889" s="193"/>
    </row>
    <row r="62890" spans="6:6" x14ac:dyDescent="0.3">
      <c r="F62890" s="193"/>
    </row>
    <row r="62891" spans="6:6" x14ac:dyDescent="0.3">
      <c r="F62891" s="193"/>
    </row>
    <row r="62892" spans="6:6" x14ac:dyDescent="0.3">
      <c r="F62892" s="193"/>
    </row>
    <row r="62893" spans="6:6" x14ac:dyDescent="0.3">
      <c r="F62893" s="193"/>
    </row>
    <row r="62894" spans="6:6" x14ac:dyDescent="0.3">
      <c r="F62894" s="193"/>
    </row>
    <row r="62895" spans="6:6" x14ac:dyDescent="0.3">
      <c r="F62895" s="193"/>
    </row>
    <row r="62896" spans="6:6" x14ac:dyDescent="0.3">
      <c r="F62896" s="193"/>
    </row>
    <row r="62897" spans="6:6" x14ac:dyDescent="0.3">
      <c r="F62897" s="193"/>
    </row>
    <row r="62898" spans="6:6" x14ac:dyDescent="0.3">
      <c r="F62898" s="193"/>
    </row>
    <row r="62899" spans="6:6" x14ac:dyDescent="0.3">
      <c r="F62899" s="193"/>
    </row>
    <row r="62900" spans="6:6" x14ac:dyDescent="0.3">
      <c r="F62900" s="193"/>
    </row>
    <row r="62901" spans="6:6" x14ac:dyDescent="0.3">
      <c r="F62901" s="193"/>
    </row>
    <row r="62902" spans="6:6" x14ac:dyDescent="0.3">
      <c r="F62902" s="193"/>
    </row>
    <row r="62903" spans="6:6" x14ac:dyDescent="0.3">
      <c r="F62903" s="193"/>
    </row>
    <row r="62904" spans="6:6" x14ac:dyDescent="0.3">
      <c r="F62904" s="193"/>
    </row>
    <row r="62905" spans="6:6" x14ac:dyDescent="0.3">
      <c r="F62905" s="193"/>
    </row>
    <row r="62906" spans="6:6" x14ac:dyDescent="0.3">
      <c r="F62906" s="193"/>
    </row>
    <row r="62907" spans="6:6" x14ac:dyDescent="0.3">
      <c r="F62907" s="193"/>
    </row>
    <row r="62908" spans="6:6" x14ac:dyDescent="0.3">
      <c r="F62908" s="193"/>
    </row>
    <row r="62909" spans="6:6" x14ac:dyDescent="0.3">
      <c r="F62909" s="193"/>
    </row>
    <row r="62910" spans="6:6" x14ac:dyDescent="0.3">
      <c r="F62910" s="193"/>
    </row>
    <row r="62911" spans="6:6" x14ac:dyDescent="0.3">
      <c r="F62911" s="193"/>
    </row>
    <row r="62912" spans="6:6" x14ac:dyDescent="0.3">
      <c r="F62912" s="193"/>
    </row>
    <row r="62913" spans="6:6" x14ac:dyDescent="0.3">
      <c r="F62913" s="193"/>
    </row>
    <row r="62914" spans="6:6" x14ac:dyDescent="0.3">
      <c r="F62914" s="193"/>
    </row>
    <row r="62915" spans="6:6" x14ac:dyDescent="0.3">
      <c r="F62915" s="193"/>
    </row>
    <row r="62916" spans="6:6" x14ac:dyDescent="0.3">
      <c r="F62916" s="193"/>
    </row>
    <row r="62917" spans="6:6" x14ac:dyDescent="0.3">
      <c r="F62917" s="193"/>
    </row>
    <row r="62918" spans="6:6" x14ac:dyDescent="0.3">
      <c r="F62918" s="193"/>
    </row>
    <row r="62919" spans="6:6" x14ac:dyDescent="0.3">
      <c r="F62919" s="193"/>
    </row>
    <row r="62920" spans="6:6" x14ac:dyDescent="0.3">
      <c r="F62920" s="193"/>
    </row>
    <row r="62921" spans="6:6" x14ac:dyDescent="0.3">
      <c r="F62921" s="193"/>
    </row>
    <row r="62922" spans="6:6" x14ac:dyDescent="0.3">
      <c r="F62922" s="193"/>
    </row>
    <row r="62923" spans="6:6" x14ac:dyDescent="0.3">
      <c r="F62923" s="193"/>
    </row>
    <row r="62924" spans="6:6" x14ac:dyDescent="0.3">
      <c r="F62924" s="193"/>
    </row>
    <row r="62925" spans="6:6" x14ac:dyDescent="0.3">
      <c r="F62925" s="193"/>
    </row>
    <row r="62926" spans="6:6" x14ac:dyDescent="0.3">
      <c r="F62926" s="193"/>
    </row>
    <row r="62927" spans="6:6" x14ac:dyDescent="0.3">
      <c r="F62927" s="193"/>
    </row>
    <row r="62928" spans="6:6" x14ac:dyDescent="0.3">
      <c r="F62928" s="193"/>
    </row>
    <row r="62929" spans="6:6" x14ac:dyDescent="0.3">
      <c r="F62929" s="193"/>
    </row>
    <row r="62930" spans="6:6" x14ac:dyDescent="0.3">
      <c r="F62930" s="193"/>
    </row>
    <row r="62931" spans="6:6" x14ac:dyDescent="0.3">
      <c r="F62931" s="193"/>
    </row>
    <row r="62932" spans="6:6" x14ac:dyDescent="0.3">
      <c r="F62932" s="193"/>
    </row>
    <row r="62933" spans="6:6" x14ac:dyDescent="0.3">
      <c r="F62933" s="193"/>
    </row>
    <row r="62934" spans="6:6" x14ac:dyDescent="0.3">
      <c r="F62934" s="193"/>
    </row>
    <row r="62935" spans="6:6" x14ac:dyDescent="0.3">
      <c r="F62935" s="193"/>
    </row>
    <row r="62936" spans="6:6" x14ac:dyDescent="0.3">
      <c r="F62936" s="193"/>
    </row>
    <row r="62937" spans="6:6" x14ac:dyDescent="0.3">
      <c r="F62937" s="193"/>
    </row>
    <row r="62938" spans="6:6" x14ac:dyDescent="0.3">
      <c r="F62938" s="193"/>
    </row>
    <row r="62939" spans="6:6" x14ac:dyDescent="0.3">
      <c r="F62939" s="193"/>
    </row>
    <row r="62940" spans="6:6" x14ac:dyDescent="0.3">
      <c r="F62940" s="193"/>
    </row>
    <row r="62941" spans="6:6" x14ac:dyDescent="0.3">
      <c r="F62941" s="193"/>
    </row>
    <row r="62942" spans="6:6" x14ac:dyDescent="0.3">
      <c r="F62942" s="193"/>
    </row>
    <row r="62943" spans="6:6" x14ac:dyDescent="0.3">
      <c r="F62943" s="193"/>
    </row>
    <row r="62944" spans="6:6" x14ac:dyDescent="0.3">
      <c r="F62944" s="193"/>
    </row>
    <row r="62945" spans="6:6" x14ac:dyDescent="0.3">
      <c r="F62945" s="193"/>
    </row>
    <row r="62946" spans="6:6" x14ac:dyDescent="0.3">
      <c r="F62946" s="193"/>
    </row>
    <row r="62947" spans="6:6" x14ac:dyDescent="0.3">
      <c r="F62947" s="193"/>
    </row>
    <row r="62948" spans="6:6" x14ac:dyDescent="0.3">
      <c r="F62948" s="193"/>
    </row>
    <row r="62949" spans="6:6" x14ac:dyDescent="0.3">
      <c r="F62949" s="193"/>
    </row>
    <row r="62950" spans="6:6" x14ac:dyDescent="0.3">
      <c r="F62950" s="193"/>
    </row>
    <row r="62951" spans="6:6" x14ac:dyDescent="0.3">
      <c r="F62951" s="193"/>
    </row>
    <row r="62952" spans="6:6" x14ac:dyDescent="0.3">
      <c r="F62952" s="193"/>
    </row>
    <row r="62953" spans="6:6" x14ac:dyDescent="0.3">
      <c r="F62953" s="193"/>
    </row>
    <row r="62954" spans="6:6" x14ac:dyDescent="0.3">
      <c r="F62954" s="193"/>
    </row>
    <row r="62955" spans="6:6" x14ac:dyDescent="0.3">
      <c r="F62955" s="193"/>
    </row>
    <row r="62956" spans="6:6" x14ac:dyDescent="0.3">
      <c r="F62956" s="193"/>
    </row>
    <row r="62957" spans="6:6" x14ac:dyDescent="0.3">
      <c r="F62957" s="193"/>
    </row>
    <row r="62958" spans="6:6" x14ac:dyDescent="0.3">
      <c r="F62958" s="193"/>
    </row>
    <row r="62959" spans="6:6" x14ac:dyDescent="0.3">
      <c r="F62959" s="193"/>
    </row>
    <row r="62960" spans="6:6" x14ac:dyDescent="0.3">
      <c r="F62960" s="193"/>
    </row>
    <row r="62961" spans="6:6" x14ac:dyDescent="0.3">
      <c r="F62961" s="193"/>
    </row>
    <row r="62962" spans="6:6" x14ac:dyDescent="0.3">
      <c r="F62962" s="193"/>
    </row>
    <row r="62963" spans="6:6" x14ac:dyDescent="0.3">
      <c r="F62963" s="193"/>
    </row>
    <row r="62964" spans="6:6" x14ac:dyDescent="0.3">
      <c r="F62964" s="193"/>
    </row>
    <row r="62965" spans="6:6" x14ac:dyDescent="0.3">
      <c r="F62965" s="193"/>
    </row>
    <row r="62966" spans="6:6" x14ac:dyDescent="0.3">
      <c r="F62966" s="193"/>
    </row>
    <row r="62967" spans="6:6" x14ac:dyDescent="0.3">
      <c r="F62967" s="193"/>
    </row>
    <row r="62968" spans="6:6" x14ac:dyDescent="0.3">
      <c r="F62968" s="193"/>
    </row>
    <row r="62969" spans="6:6" x14ac:dyDescent="0.3">
      <c r="F62969" s="193"/>
    </row>
    <row r="62970" spans="6:6" x14ac:dyDescent="0.3">
      <c r="F62970" s="193"/>
    </row>
    <row r="62971" spans="6:6" x14ac:dyDescent="0.3">
      <c r="F62971" s="193"/>
    </row>
    <row r="62972" spans="6:6" x14ac:dyDescent="0.3">
      <c r="F62972" s="193"/>
    </row>
    <row r="62973" spans="6:6" x14ac:dyDescent="0.3">
      <c r="F62973" s="193"/>
    </row>
    <row r="62974" spans="6:6" x14ac:dyDescent="0.3">
      <c r="F62974" s="193"/>
    </row>
    <row r="62975" spans="6:6" x14ac:dyDescent="0.3">
      <c r="F62975" s="193"/>
    </row>
    <row r="62976" spans="6:6" x14ac:dyDescent="0.3">
      <c r="F62976" s="193"/>
    </row>
    <row r="62977" spans="6:6" x14ac:dyDescent="0.3">
      <c r="F62977" s="193"/>
    </row>
    <row r="62978" spans="6:6" x14ac:dyDescent="0.3">
      <c r="F62978" s="193"/>
    </row>
    <row r="62979" spans="6:6" x14ac:dyDescent="0.3">
      <c r="F62979" s="193"/>
    </row>
    <row r="62980" spans="6:6" x14ac:dyDescent="0.3">
      <c r="F62980" s="193"/>
    </row>
    <row r="62981" spans="6:6" x14ac:dyDescent="0.3">
      <c r="F62981" s="193"/>
    </row>
    <row r="62982" spans="6:6" x14ac:dyDescent="0.3">
      <c r="F62982" s="193"/>
    </row>
    <row r="62983" spans="6:6" x14ac:dyDescent="0.3">
      <c r="F62983" s="193"/>
    </row>
    <row r="62984" spans="6:6" x14ac:dyDescent="0.3">
      <c r="F62984" s="193"/>
    </row>
    <row r="62985" spans="6:6" x14ac:dyDescent="0.3">
      <c r="F62985" s="193"/>
    </row>
    <row r="62986" spans="6:6" x14ac:dyDescent="0.3">
      <c r="F62986" s="193"/>
    </row>
    <row r="62987" spans="6:6" x14ac:dyDescent="0.3">
      <c r="F62987" s="193"/>
    </row>
    <row r="62988" spans="6:6" x14ac:dyDescent="0.3">
      <c r="F62988" s="193"/>
    </row>
    <row r="62989" spans="6:6" x14ac:dyDescent="0.3">
      <c r="F62989" s="193"/>
    </row>
    <row r="62990" spans="6:6" x14ac:dyDescent="0.3">
      <c r="F62990" s="193"/>
    </row>
    <row r="62991" spans="6:6" x14ac:dyDescent="0.3">
      <c r="F62991" s="193"/>
    </row>
    <row r="62992" spans="6:6" x14ac:dyDescent="0.3">
      <c r="F62992" s="193"/>
    </row>
    <row r="62993" spans="6:6" x14ac:dyDescent="0.3">
      <c r="F62993" s="193"/>
    </row>
    <row r="62994" spans="6:6" x14ac:dyDescent="0.3">
      <c r="F62994" s="193"/>
    </row>
    <row r="62995" spans="6:6" x14ac:dyDescent="0.3">
      <c r="F62995" s="193"/>
    </row>
    <row r="62996" spans="6:6" x14ac:dyDescent="0.3">
      <c r="F62996" s="193"/>
    </row>
    <row r="62997" spans="6:6" x14ac:dyDescent="0.3">
      <c r="F62997" s="193"/>
    </row>
    <row r="62998" spans="6:6" x14ac:dyDescent="0.3">
      <c r="F62998" s="193"/>
    </row>
    <row r="62999" spans="6:6" x14ac:dyDescent="0.3">
      <c r="F62999" s="193"/>
    </row>
    <row r="63000" spans="6:6" x14ac:dyDescent="0.3">
      <c r="F63000" s="193"/>
    </row>
    <row r="63001" spans="6:6" x14ac:dyDescent="0.3">
      <c r="F63001" s="193"/>
    </row>
    <row r="63002" spans="6:6" x14ac:dyDescent="0.3">
      <c r="F63002" s="193"/>
    </row>
    <row r="63003" spans="6:6" x14ac:dyDescent="0.3">
      <c r="F63003" s="193"/>
    </row>
    <row r="63004" spans="6:6" x14ac:dyDescent="0.3">
      <c r="F63004" s="193"/>
    </row>
    <row r="63005" spans="6:6" x14ac:dyDescent="0.3">
      <c r="F63005" s="193"/>
    </row>
    <row r="63006" spans="6:6" x14ac:dyDescent="0.3">
      <c r="F63006" s="193"/>
    </row>
    <row r="63007" spans="6:6" x14ac:dyDescent="0.3">
      <c r="F63007" s="193"/>
    </row>
    <row r="63008" spans="6:6" x14ac:dyDescent="0.3">
      <c r="F63008" s="193"/>
    </row>
    <row r="63009" spans="6:6" x14ac:dyDescent="0.3">
      <c r="F63009" s="193"/>
    </row>
    <row r="63010" spans="6:6" x14ac:dyDescent="0.3">
      <c r="F63010" s="193"/>
    </row>
    <row r="63011" spans="6:6" x14ac:dyDescent="0.3">
      <c r="F63011" s="193"/>
    </row>
    <row r="63012" spans="6:6" x14ac:dyDescent="0.3">
      <c r="F63012" s="193"/>
    </row>
    <row r="63013" spans="6:6" x14ac:dyDescent="0.3">
      <c r="F63013" s="193"/>
    </row>
    <row r="63014" spans="6:6" x14ac:dyDescent="0.3">
      <c r="F63014" s="193"/>
    </row>
    <row r="63015" spans="6:6" x14ac:dyDescent="0.3">
      <c r="F63015" s="193"/>
    </row>
    <row r="63016" spans="6:6" x14ac:dyDescent="0.3">
      <c r="F63016" s="193"/>
    </row>
    <row r="63017" spans="6:6" x14ac:dyDescent="0.3">
      <c r="F63017" s="193"/>
    </row>
    <row r="63018" spans="6:6" x14ac:dyDescent="0.3">
      <c r="F63018" s="193"/>
    </row>
    <row r="63019" spans="6:6" x14ac:dyDescent="0.3">
      <c r="F63019" s="193"/>
    </row>
    <row r="63020" spans="6:6" x14ac:dyDescent="0.3">
      <c r="F63020" s="193"/>
    </row>
    <row r="63021" spans="6:6" x14ac:dyDescent="0.3">
      <c r="F63021" s="193"/>
    </row>
    <row r="63022" spans="6:6" x14ac:dyDescent="0.3">
      <c r="F63022" s="193"/>
    </row>
    <row r="63023" spans="6:6" x14ac:dyDescent="0.3">
      <c r="F63023" s="193"/>
    </row>
    <row r="63024" spans="6:6" x14ac:dyDescent="0.3">
      <c r="F63024" s="193"/>
    </row>
    <row r="63025" spans="6:6" x14ac:dyDescent="0.3">
      <c r="F63025" s="193"/>
    </row>
    <row r="63026" spans="6:6" x14ac:dyDescent="0.3">
      <c r="F63026" s="193"/>
    </row>
    <row r="63027" spans="6:6" x14ac:dyDescent="0.3">
      <c r="F63027" s="193"/>
    </row>
    <row r="63028" spans="6:6" x14ac:dyDescent="0.3">
      <c r="F63028" s="193"/>
    </row>
    <row r="63029" spans="6:6" x14ac:dyDescent="0.3">
      <c r="F63029" s="193"/>
    </row>
    <row r="63030" spans="6:6" x14ac:dyDescent="0.3">
      <c r="F63030" s="193"/>
    </row>
    <row r="63031" spans="6:6" x14ac:dyDescent="0.3">
      <c r="F63031" s="193"/>
    </row>
    <row r="63032" spans="6:6" x14ac:dyDescent="0.3">
      <c r="F63032" s="193"/>
    </row>
    <row r="63033" spans="6:6" x14ac:dyDescent="0.3">
      <c r="F63033" s="193"/>
    </row>
    <row r="63034" spans="6:6" x14ac:dyDescent="0.3">
      <c r="F63034" s="193"/>
    </row>
    <row r="63035" spans="6:6" x14ac:dyDescent="0.3">
      <c r="F63035" s="193"/>
    </row>
    <row r="63036" spans="6:6" x14ac:dyDescent="0.3">
      <c r="F63036" s="193"/>
    </row>
    <row r="63037" spans="6:6" x14ac:dyDescent="0.3">
      <c r="F63037" s="193"/>
    </row>
    <row r="63038" spans="6:6" x14ac:dyDescent="0.3">
      <c r="F63038" s="193"/>
    </row>
    <row r="63039" spans="6:6" x14ac:dyDescent="0.3">
      <c r="F63039" s="193"/>
    </row>
    <row r="63040" spans="6:6" x14ac:dyDescent="0.3">
      <c r="F63040" s="193"/>
    </row>
    <row r="63041" spans="6:6" x14ac:dyDescent="0.3">
      <c r="F63041" s="193"/>
    </row>
    <row r="63042" spans="6:6" x14ac:dyDescent="0.3">
      <c r="F63042" s="193"/>
    </row>
    <row r="63043" spans="6:6" x14ac:dyDescent="0.3">
      <c r="F63043" s="193"/>
    </row>
    <row r="63044" spans="6:6" x14ac:dyDescent="0.3">
      <c r="F63044" s="193"/>
    </row>
    <row r="63045" spans="6:6" x14ac:dyDescent="0.3">
      <c r="F63045" s="193"/>
    </row>
    <row r="63046" spans="6:6" x14ac:dyDescent="0.3">
      <c r="F63046" s="193"/>
    </row>
    <row r="63047" spans="6:6" x14ac:dyDescent="0.3">
      <c r="F63047" s="193"/>
    </row>
    <row r="63048" spans="6:6" x14ac:dyDescent="0.3">
      <c r="F63048" s="193"/>
    </row>
    <row r="63049" spans="6:6" x14ac:dyDescent="0.3">
      <c r="F63049" s="193"/>
    </row>
    <row r="63050" spans="6:6" x14ac:dyDescent="0.3">
      <c r="F63050" s="193"/>
    </row>
    <row r="63051" spans="6:6" x14ac:dyDescent="0.3">
      <c r="F63051" s="193"/>
    </row>
    <row r="63052" spans="6:6" x14ac:dyDescent="0.3">
      <c r="F63052" s="193"/>
    </row>
    <row r="63053" spans="6:6" x14ac:dyDescent="0.3">
      <c r="F63053" s="193"/>
    </row>
    <row r="63054" spans="6:6" x14ac:dyDescent="0.3">
      <c r="F63054" s="193"/>
    </row>
    <row r="63055" spans="6:6" x14ac:dyDescent="0.3">
      <c r="F63055" s="193"/>
    </row>
    <row r="63056" spans="6:6" x14ac:dyDescent="0.3">
      <c r="F63056" s="193"/>
    </row>
    <row r="63057" spans="6:6" x14ac:dyDescent="0.3">
      <c r="F63057" s="193"/>
    </row>
    <row r="63058" spans="6:6" x14ac:dyDescent="0.3">
      <c r="F63058" s="193"/>
    </row>
    <row r="63059" spans="6:6" x14ac:dyDescent="0.3">
      <c r="F63059" s="193"/>
    </row>
    <row r="63060" spans="6:6" x14ac:dyDescent="0.3">
      <c r="F63060" s="193"/>
    </row>
    <row r="63061" spans="6:6" x14ac:dyDescent="0.3">
      <c r="F63061" s="193"/>
    </row>
    <row r="63062" spans="6:6" x14ac:dyDescent="0.3">
      <c r="F63062" s="193"/>
    </row>
    <row r="63063" spans="6:6" x14ac:dyDescent="0.3">
      <c r="F63063" s="193"/>
    </row>
    <row r="63064" spans="6:6" x14ac:dyDescent="0.3">
      <c r="F63064" s="193"/>
    </row>
    <row r="63065" spans="6:6" x14ac:dyDescent="0.3">
      <c r="F63065" s="193"/>
    </row>
    <row r="63066" spans="6:6" x14ac:dyDescent="0.3">
      <c r="F63066" s="193"/>
    </row>
    <row r="63067" spans="6:6" x14ac:dyDescent="0.3">
      <c r="F63067" s="193"/>
    </row>
    <row r="63068" spans="6:6" x14ac:dyDescent="0.3">
      <c r="F63068" s="193"/>
    </row>
    <row r="63069" spans="6:6" x14ac:dyDescent="0.3">
      <c r="F63069" s="193"/>
    </row>
    <row r="63070" spans="6:6" x14ac:dyDescent="0.3">
      <c r="F63070" s="193"/>
    </row>
    <row r="63071" spans="6:6" x14ac:dyDescent="0.3">
      <c r="F63071" s="193"/>
    </row>
    <row r="63072" spans="6:6" x14ac:dyDescent="0.3">
      <c r="F63072" s="193"/>
    </row>
    <row r="63073" spans="6:6" x14ac:dyDescent="0.3">
      <c r="F63073" s="193"/>
    </row>
    <row r="63074" spans="6:6" x14ac:dyDescent="0.3">
      <c r="F63074" s="193"/>
    </row>
    <row r="63075" spans="6:6" x14ac:dyDescent="0.3">
      <c r="F63075" s="193"/>
    </row>
    <row r="63076" spans="6:6" x14ac:dyDescent="0.3">
      <c r="F63076" s="193"/>
    </row>
    <row r="63077" spans="6:6" x14ac:dyDescent="0.3">
      <c r="F63077" s="193"/>
    </row>
    <row r="63078" spans="6:6" x14ac:dyDescent="0.3">
      <c r="F63078" s="193"/>
    </row>
    <row r="63079" spans="6:6" x14ac:dyDescent="0.3">
      <c r="F63079" s="193"/>
    </row>
    <row r="63080" spans="6:6" x14ac:dyDescent="0.3">
      <c r="F63080" s="193"/>
    </row>
    <row r="63081" spans="6:6" x14ac:dyDescent="0.3">
      <c r="F63081" s="193"/>
    </row>
    <row r="63082" spans="6:6" x14ac:dyDescent="0.3">
      <c r="F63082" s="193"/>
    </row>
    <row r="63083" spans="6:6" x14ac:dyDescent="0.3">
      <c r="F63083" s="193"/>
    </row>
    <row r="63084" spans="6:6" x14ac:dyDescent="0.3">
      <c r="F63084" s="193"/>
    </row>
    <row r="63085" spans="6:6" x14ac:dyDescent="0.3">
      <c r="F63085" s="193"/>
    </row>
    <row r="63086" spans="6:6" x14ac:dyDescent="0.3">
      <c r="F63086" s="193"/>
    </row>
    <row r="63087" spans="6:6" x14ac:dyDescent="0.3">
      <c r="F63087" s="193"/>
    </row>
    <row r="63088" spans="6:6" x14ac:dyDescent="0.3">
      <c r="F63088" s="193"/>
    </row>
    <row r="63089" spans="6:6" x14ac:dyDescent="0.3">
      <c r="F63089" s="193"/>
    </row>
    <row r="63090" spans="6:6" x14ac:dyDescent="0.3">
      <c r="F63090" s="193"/>
    </row>
    <row r="63091" spans="6:6" x14ac:dyDescent="0.3">
      <c r="F63091" s="193"/>
    </row>
    <row r="63092" spans="6:6" x14ac:dyDescent="0.3">
      <c r="F63092" s="193"/>
    </row>
    <row r="63093" spans="6:6" x14ac:dyDescent="0.3">
      <c r="F63093" s="193"/>
    </row>
    <row r="63094" spans="6:6" x14ac:dyDescent="0.3">
      <c r="F63094" s="193"/>
    </row>
    <row r="63095" spans="6:6" x14ac:dyDescent="0.3">
      <c r="F63095" s="193"/>
    </row>
    <row r="63096" spans="6:6" x14ac:dyDescent="0.3">
      <c r="F63096" s="193"/>
    </row>
    <row r="63097" spans="6:6" x14ac:dyDescent="0.3">
      <c r="F63097" s="193"/>
    </row>
    <row r="63098" spans="6:6" x14ac:dyDescent="0.3">
      <c r="F63098" s="193"/>
    </row>
    <row r="63099" spans="6:6" x14ac:dyDescent="0.3">
      <c r="F63099" s="193"/>
    </row>
    <row r="63100" spans="6:6" x14ac:dyDescent="0.3">
      <c r="F63100" s="193"/>
    </row>
    <row r="63101" spans="6:6" x14ac:dyDescent="0.3">
      <c r="F63101" s="193"/>
    </row>
    <row r="63102" spans="6:6" x14ac:dyDescent="0.3">
      <c r="F63102" s="193"/>
    </row>
    <row r="63103" spans="6:6" x14ac:dyDescent="0.3">
      <c r="F63103" s="193"/>
    </row>
    <row r="63104" spans="6:6" x14ac:dyDescent="0.3">
      <c r="F63104" s="193"/>
    </row>
    <row r="63105" spans="6:6" x14ac:dyDescent="0.3">
      <c r="F63105" s="193"/>
    </row>
    <row r="63106" spans="6:6" x14ac:dyDescent="0.3">
      <c r="F63106" s="193"/>
    </row>
    <row r="63107" spans="6:6" x14ac:dyDescent="0.3">
      <c r="F63107" s="193"/>
    </row>
    <row r="63108" spans="6:6" x14ac:dyDescent="0.3">
      <c r="F63108" s="193"/>
    </row>
    <row r="63109" spans="6:6" x14ac:dyDescent="0.3">
      <c r="F63109" s="193"/>
    </row>
    <row r="63110" spans="6:6" x14ac:dyDescent="0.3">
      <c r="F63110" s="193"/>
    </row>
    <row r="63111" spans="6:6" x14ac:dyDescent="0.3">
      <c r="F63111" s="193"/>
    </row>
    <row r="63112" spans="6:6" x14ac:dyDescent="0.3">
      <c r="F63112" s="193"/>
    </row>
    <row r="63113" spans="6:6" x14ac:dyDescent="0.3">
      <c r="F63113" s="193"/>
    </row>
    <row r="63114" spans="6:6" x14ac:dyDescent="0.3">
      <c r="F63114" s="193"/>
    </row>
    <row r="63115" spans="6:6" x14ac:dyDescent="0.3">
      <c r="F63115" s="193"/>
    </row>
    <row r="63116" spans="6:6" x14ac:dyDescent="0.3">
      <c r="F63116" s="193"/>
    </row>
    <row r="63117" spans="6:6" x14ac:dyDescent="0.3">
      <c r="F63117" s="193"/>
    </row>
    <row r="63118" spans="6:6" x14ac:dyDescent="0.3">
      <c r="F63118" s="193"/>
    </row>
    <row r="63119" spans="6:6" x14ac:dyDescent="0.3">
      <c r="F63119" s="193"/>
    </row>
    <row r="63120" spans="6:6" x14ac:dyDescent="0.3">
      <c r="F63120" s="193"/>
    </row>
    <row r="63121" spans="6:6" x14ac:dyDescent="0.3">
      <c r="F63121" s="193"/>
    </row>
    <row r="63122" spans="6:6" x14ac:dyDescent="0.3">
      <c r="F63122" s="193"/>
    </row>
    <row r="63123" spans="6:6" x14ac:dyDescent="0.3">
      <c r="F63123" s="193"/>
    </row>
    <row r="63124" spans="6:6" x14ac:dyDescent="0.3">
      <c r="F63124" s="193"/>
    </row>
    <row r="63125" spans="6:6" x14ac:dyDescent="0.3">
      <c r="F63125" s="193"/>
    </row>
    <row r="63126" spans="6:6" x14ac:dyDescent="0.3">
      <c r="F63126" s="193"/>
    </row>
    <row r="63127" spans="6:6" x14ac:dyDescent="0.3">
      <c r="F63127" s="193"/>
    </row>
    <row r="63128" spans="6:6" x14ac:dyDescent="0.3">
      <c r="F63128" s="193"/>
    </row>
    <row r="63129" spans="6:6" x14ac:dyDescent="0.3">
      <c r="F63129" s="193"/>
    </row>
    <row r="63130" spans="6:6" x14ac:dyDescent="0.3">
      <c r="F63130" s="193"/>
    </row>
    <row r="63131" spans="6:6" x14ac:dyDescent="0.3">
      <c r="F63131" s="193"/>
    </row>
    <row r="63132" spans="6:6" x14ac:dyDescent="0.3">
      <c r="F63132" s="193"/>
    </row>
    <row r="63133" spans="6:6" x14ac:dyDescent="0.3">
      <c r="F63133" s="193"/>
    </row>
    <row r="63134" spans="6:6" x14ac:dyDescent="0.3">
      <c r="F63134" s="193"/>
    </row>
    <row r="63135" spans="6:6" x14ac:dyDescent="0.3">
      <c r="F63135" s="193"/>
    </row>
    <row r="63136" spans="6:6" x14ac:dyDescent="0.3">
      <c r="F63136" s="193"/>
    </row>
    <row r="63137" spans="6:6" x14ac:dyDescent="0.3">
      <c r="F63137" s="193"/>
    </row>
    <row r="63138" spans="6:6" x14ac:dyDescent="0.3">
      <c r="F63138" s="193"/>
    </row>
    <row r="63139" spans="6:6" x14ac:dyDescent="0.3">
      <c r="F63139" s="193"/>
    </row>
    <row r="63140" spans="6:6" x14ac:dyDescent="0.3">
      <c r="F63140" s="193"/>
    </row>
    <row r="63141" spans="6:6" x14ac:dyDescent="0.3">
      <c r="F63141" s="193"/>
    </row>
    <row r="63142" spans="6:6" x14ac:dyDescent="0.3">
      <c r="F63142" s="193"/>
    </row>
    <row r="63143" spans="6:6" x14ac:dyDescent="0.3">
      <c r="F63143" s="193"/>
    </row>
    <row r="63144" spans="6:6" x14ac:dyDescent="0.3">
      <c r="F63144" s="193"/>
    </row>
    <row r="63145" spans="6:6" x14ac:dyDescent="0.3">
      <c r="F63145" s="193"/>
    </row>
    <row r="63146" spans="6:6" x14ac:dyDescent="0.3">
      <c r="F63146" s="193"/>
    </row>
    <row r="63147" spans="6:6" x14ac:dyDescent="0.3">
      <c r="F63147" s="193"/>
    </row>
    <row r="63148" spans="6:6" x14ac:dyDescent="0.3">
      <c r="F63148" s="193"/>
    </row>
    <row r="63149" spans="6:6" x14ac:dyDescent="0.3">
      <c r="F63149" s="193"/>
    </row>
    <row r="63150" spans="6:6" x14ac:dyDescent="0.3">
      <c r="F63150" s="193"/>
    </row>
    <row r="63151" spans="6:6" x14ac:dyDescent="0.3">
      <c r="F63151" s="193"/>
    </row>
    <row r="63152" spans="6:6" x14ac:dyDescent="0.3">
      <c r="F63152" s="193"/>
    </row>
    <row r="63153" spans="6:6" x14ac:dyDescent="0.3">
      <c r="F63153" s="193"/>
    </row>
    <row r="63154" spans="6:6" x14ac:dyDescent="0.3">
      <c r="F63154" s="193"/>
    </row>
    <row r="63155" spans="6:6" x14ac:dyDescent="0.3">
      <c r="F63155" s="193"/>
    </row>
    <row r="63156" spans="6:6" x14ac:dyDescent="0.3">
      <c r="F63156" s="193"/>
    </row>
    <row r="63157" spans="6:6" x14ac:dyDescent="0.3">
      <c r="F63157" s="193"/>
    </row>
    <row r="63158" spans="6:6" x14ac:dyDescent="0.3">
      <c r="F63158" s="193"/>
    </row>
    <row r="63159" spans="6:6" x14ac:dyDescent="0.3">
      <c r="F63159" s="193"/>
    </row>
    <row r="63160" spans="6:6" x14ac:dyDescent="0.3">
      <c r="F63160" s="193"/>
    </row>
    <row r="63161" spans="6:6" x14ac:dyDescent="0.3">
      <c r="F63161" s="193"/>
    </row>
    <row r="63162" spans="6:6" x14ac:dyDescent="0.3">
      <c r="F63162" s="193"/>
    </row>
    <row r="63163" spans="6:6" x14ac:dyDescent="0.3">
      <c r="F63163" s="193"/>
    </row>
    <row r="63164" spans="6:6" x14ac:dyDescent="0.3">
      <c r="F63164" s="193"/>
    </row>
    <row r="63165" spans="6:6" x14ac:dyDescent="0.3">
      <c r="F63165" s="193"/>
    </row>
    <row r="63166" spans="6:6" x14ac:dyDescent="0.3">
      <c r="F63166" s="193"/>
    </row>
    <row r="63167" spans="6:6" x14ac:dyDescent="0.3">
      <c r="F63167" s="193"/>
    </row>
    <row r="63168" spans="6:6" x14ac:dyDescent="0.3">
      <c r="F63168" s="193"/>
    </row>
    <row r="63169" spans="6:6" x14ac:dyDescent="0.3">
      <c r="F63169" s="193"/>
    </row>
    <row r="63170" spans="6:6" x14ac:dyDescent="0.3">
      <c r="F63170" s="193"/>
    </row>
    <row r="63171" spans="6:6" x14ac:dyDescent="0.3">
      <c r="F63171" s="193"/>
    </row>
    <row r="63172" spans="6:6" x14ac:dyDescent="0.3">
      <c r="F63172" s="193"/>
    </row>
    <row r="63173" spans="6:6" x14ac:dyDescent="0.3">
      <c r="F63173" s="193"/>
    </row>
    <row r="63174" spans="6:6" x14ac:dyDescent="0.3">
      <c r="F63174" s="193"/>
    </row>
    <row r="63175" spans="6:6" x14ac:dyDescent="0.3">
      <c r="F63175" s="193"/>
    </row>
    <row r="63176" spans="6:6" x14ac:dyDescent="0.3">
      <c r="F63176" s="193"/>
    </row>
    <row r="63177" spans="6:6" x14ac:dyDescent="0.3">
      <c r="F63177" s="193"/>
    </row>
    <row r="63178" spans="6:6" x14ac:dyDescent="0.3">
      <c r="F63178" s="193"/>
    </row>
    <row r="63179" spans="6:6" x14ac:dyDescent="0.3">
      <c r="F63179" s="193"/>
    </row>
    <row r="63180" spans="6:6" x14ac:dyDescent="0.3">
      <c r="F63180" s="193"/>
    </row>
    <row r="63181" spans="6:6" x14ac:dyDescent="0.3">
      <c r="F63181" s="193"/>
    </row>
    <row r="63182" spans="6:6" x14ac:dyDescent="0.3">
      <c r="F63182" s="193"/>
    </row>
    <row r="63183" spans="6:6" x14ac:dyDescent="0.3">
      <c r="F63183" s="193"/>
    </row>
    <row r="63184" spans="6:6" x14ac:dyDescent="0.3">
      <c r="F63184" s="193"/>
    </row>
    <row r="63185" spans="6:6" x14ac:dyDescent="0.3">
      <c r="F63185" s="193"/>
    </row>
    <row r="63186" spans="6:6" x14ac:dyDescent="0.3">
      <c r="F63186" s="193"/>
    </row>
    <row r="63187" spans="6:6" x14ac:dyDescent="0.3">
      <c r="F63187" s="193"/>
    </row>
    <row r="63188" spans="6:6" x14ac:dyDescent="0.3">
      <c r="F63188" s="193"/>
    </row>
    <row r="63189" spans="6:6" x14ac:dyDescent="0.3">
      <c r="F63189" s="193"/>
    </row>
    <row r="63190" spans="6:6" x14ac:dyDescent="0.3">
      <c r="F63190" s="193"/>
    </row>
    <row r="63191" spans="6:6" x14ac:dyDescent="0.3">
      <c r="F63191" s="193"/>
    </row>
    <row r="63192" spans="6:6" x14ac:dyDescent="0.3">
      <c r="F63192" s="193"/>
    </row>
    <row r="63193" spans="6:6" x14ac:dyDescent="0.3">
      <c r="F63193" s="193"/>
    </row>
    <row r="63194" spans="6:6" x14ac:dyDescent="0.3">
      <c r="F63194" s="193"/>
    </row>
    <row r="63195" spans="6:6" x14ac:dyDescent="0.3">
      <c r="F63195" s="193"/>
    </row>
    <row r="63196" spans="6:6" x14ac:dyDescent="0.3">
      <c r="F63196" s="193"/>
    </row>
    <row r="63197" spans="6:6" x14ac:dyDescent="0.3">
      <c r="F63197" s="193"/>
    </row>
    <row r="63198" spans="6:6" x14ac:dyDescent="0.3">
      <c r="F63198" s="193"/>
    </row>
    <row r="63199" spans="6:6" x14ac:dyDescent="0.3">
      <c r="F63199" s="193"/>
    </row>
    <row r="63200" spans="6:6" x14ac:dyDescent="0.3">
      <c r="F63200" s="193"/>
    </row>
    <row r="63201" spans="6:6" x14ac:dyDescent="0.3">
      <c r="F63201" s="193"/>
    </row>
    <row r="63202" spans="6:6" x14ac:dyDescent="0.3">
      <c r="F63202" s="193"/>
    </row>
    <row r="63203" spans="6:6" x14ac:dyDescent="0.3">
      <c r="F63203" s="193"/>
    </row>
    <row r="63204" spans="6:6" x14ac:dyDescent="0.3">
      <c r="F63204" s="193"/>
    </row>
    <row r="63205" spans="6:6" x14ac:dyDescent="0.3">
      <c r="F63205" s="193"/>
    </row>
    <row r="63206" spans="6:6" x14ac:dyDescent="0.3">
      <c r="F63206" s="193"/>
    </row>
    <row r="63207" spans="6:6" x14ac:dyDescent="0.3">
      <c r="F63207" s="193"/>
    </row>
    <row r="63208" spans="6:6" x14ac:dyDescent="0.3">
      <c r="F63208" s="193"/>
    </row>
    <row r="63209" spans="6:6" x14ac:dyDescent="0.3">
      <c r="F63209" s="193"/>
    </row>
    <row r="63210" spans="6:6" x14ac:dyDescent="0.3">
      <c r="F63210" s="193"/>
    </row>
    <row r="63211" spans="6:6" x14ac:dyDescent="0.3">
      <c r="F63211" s="193"/>
    </row>
    <row r="63212" spans="6:6" x14ac:dyDescent="0.3">
      <c r="F63212" s="193"/>
    </row>
    <row r="63213" spans="6:6" x14ac:dyDescent="0.3">
      <c r="F63213" s="193"/>
    </row>
    <row r="63214" spans="6:6" x14ac:dyDescent="0.3">
      <c r="F63214" s="193"/>
    </row>
    <row r="63215" spans="6:6" x14ac:dyDescent="0.3">
      <c r="F63215" s="193"/>
    </row>
    <row r="63216" spans="6:6" x14ac:dyDescent="0.3">
      <c r="F63216" s="193"/>
    </row>
    <row r="63217" spans="6:6" x14ac:dyDescent="0.3">
      <c r="F63217" s="193"/>
    </row>
    <row r="63218" spans="6:6" x14ac:dyDescent="0.3">
      <c r="F63218" s="193"/>
    </row>
    <row r="63219" spans="6:6" x14ac:dyDescent="0.3">
      <c r="F63219" s="193"/>
    </row>
    <row r="63220" spans="6:6" x14ac:dyDescent="0.3">
      <c r="F63220" s="193"/>
    </row>
    <row r="63221" spans="6:6" x14ac:dyDescent="0.3">
      <c r="F63221" s="193"/>
    </row>
    <row r="63222" spans="6:6" x14ac:dyDescent="0.3">
      <c r="F63222" s="193"/>
    </row>
    <row r="63223" spans="6:6" x14ac:dyDescent="0.3">
      <c r="F63223" s="193"/>
    </row>
    <row r="63224" spans="6:6" x14ac:dyDescent="0.3">
      <c r="F63224" s="193"/>
    </row>
    <row r="63225" spans="6:6" x14ac:dyDescent="0.3">
      <c r="F63225" s="193"/>
    </row>
    <row r="63226" spans="6:6" x14ac:dyDescent="0.3">
      <c r="F63226" s="193"/>
    </row>
    <row r="63227" spans="6:6" x14ac:dyDescent="0.3">
      <c r="F63227" s="193"/>
    </row>
    <row r="63228" spans="6:6" x14ac:dyDescent="0.3">
      <c r="F63228" s="193"/>
    </row>
    <row r="63229" spans="6:6" x14ac:dyDescent="0.3">
      <c r="F63229" s="193"/>
    </row>
    <row r="63230" spans="6:6" x14ac:dyDescent="0.3">
      <c r="F63230" s="193"/>
    </row>
    <row r="63231" spans="6:6" x14ac:dyDescent="0.3">
      <c r="F63231" s="193"/>
    </row>
    <row r="63232" spans="6:6" x14ac:dyDescent="0.3">
      <c r="F63232" s="193"/>
    </row>
    <row r="63233" spans="6:6" x14ac:dyDescent="0.3">
      <c r="F63233" s="193"/>
    </row>
    <row r="63234" spans="6:6" x14ac:dyDescent="0.3">
      <c r="F63234" s="193"/>
    </row>
    <row r="63235" spans="6:6" x14ac:dyDescent="0.3">
      <c r="F63235" s="193"/>
    </row>
    <row r="63236" spans="6:6" x14ac:dyDescent="0.3">
      <c r="F63236" s="193"/>
    </row>
    <row r="63237" spans="6:6" x14ac:dyDescent="0.3">
      <c r="F63237" s="193"/>
    </row>
    <row r="63238" spans="6:6" x14ac:dyDescent="0.3">
      <c r="F63238" s="193"/>
    </row>
    <row r="63239" spans="6:6" x14ac:dyDescent="0.3">
      <c r="F63239" s="193"/>
    </row>
    <row r="63240" spans="6:6" x14ac:dyDescent="0.3">
      <c r="F63240" s="193"/>
    </row>
    <row r="63241" spans="6:6" x14ac:dyDescent="0.3">
      <c r="F63241" s="193"/>
    </row>
    <row r="63242" spans="6:6" x14ac:dyDescent="0.3">
      <c r="F63242" s="193"/>
    </row>
    <row r="63243" spans="6:6" x14ac:dyDescent="0.3">
      <c r="F63243" s="193"/>
    </row>
    <row r="63244" spans="6:6" x14ac:dyDescent="0.3">
      <c r="F63244" s="193"/>
    </row>
    <row r="63245" spans="6:6" x14ac:dyDescent="0.3">
      <c r="F63245" s="193"/>
    </row>
    <row r="63246" spans="6:6" x14ac:dyDescent="0.3">
      <c r="F63246" s="193"/>
    </row>
    <row r="63247" spans="6:6" x14ac:dyDescent="0.3">
      <c r="F63247" s="193"/>
    </row>
    <row r="63248" spans="6:6" x14ac:dyDescent="0.3">
      <c r="F63248" s="193"/>
    </row>
    <row r="63249" spans="6:6" x14ac:dyDescent="0.3">
      <c r="F63249" s="193"/>
    </row>
    <row r="63250" spans="6:6" x14ac:dyDescent="0.3">
      <c r="F63250" s="193"/>
    </row>
    <row r="63251" spans="6:6" x14ac:dyDescent="0.3">
      <c r="F63251" s="193"/>
    </row>
    <row r="63252" spans="6:6" x14ac:dyDescent="0.3">
      <c r="F63252" s="193"/>
    </row>
    <row r="63253" spans="6:6" x14ac:dyDescent="0.3">
      <c r="F63253" s="193"/>
    </row>
    <row r="63254" spans="6:6" x14ac:dyDescent="0.3">
      <c r="F63254" s="193"/>
    </row>
    <row r="63255" spans="6:6" x14ac:dyDescent="0.3">
      <c r="F63255" s="193"/>
    </row>
    <row r="63256" spans="6:6" x14ac:dyDescent="0.3">
      <c r="F63256" s="193"/>
    </row>
    <row r="63257" spans="6:6" x14ac:dyDescent="0.3">
      <c r="F63257" s="193"/>
    </row>
    <row r="63258" spans="6:6" x14ac:dyDescent="0.3">
      <c r="F63258" s="193"/>
    </row>
    <row r="63259" spans="6:6" x14ac:dyDescent="0.3">
      <c r="F63259" s="193"/>
    </row>
    <row r="63260" spans="6:6" x14ac:dyDescent="0.3">
      <c r="F63260" s="193"/>
    </row>
    <row r="63261" spans="6:6" x14ac:dyDescent="0.3">
      <c r="F63261" s="193"/>
    </row>
    <row r="63262" spans="6:6" x14ac:dyDescent="0.3">
      <c r="F63262" s="193"/>
    </row>
    <row r="63263" spans="6:6" x14ac:dyDescent="0.3">
      <c r="F63263" s="193"/>
    </row>
    <row r="63264" spans="6:6" x14ac:dyDescent="0.3">
      <c r="F63264" s="193"/>
    </row>
    <row r="63265" spans="6:6" x14ac:dyDescent="0.3">
      <c r="F63265" s="193"/>
    </row>
    <row r="63266" spans="6:6" x14ac:dyDescent="0.3">
      <c r="F63266" s="193"/>
    </row>
    <row r="63267" spans="6:6" x14ac:dyDescent="0.3">
      <c r="F63267" s="193"/>
    </row>
    <row r="63268" spans="6:6" x14ac:dyDescent="0.3">
      <c r="F63268" s="193"/>
    </row>
    <row r="63269" spans="6:6" x14ac:dyDescent="0.3">
      <c r="F63269" s="193"/>
    </row>
    <row r="63270" spans="6:6" x14ac:dyDescent="0.3">
      <c r="F63270" s="193"/>
    </row>
    <row r="63271" spans="6:6" x14ac:dyDescent="0.3">
      <c r="F63271" s="193"/>
    </row>
    <row r="63272" spans="6:6" x14ac:dyDescent="0.3">
      <c r="F63272" s="193"/>
    </row>
    <row r="63273" spans="6:6" x14ac:dyDescent="0.3">
      <c r="F63273" s="193"/>
    </row>
    <row r="63274" spans="6:6" x14ac:dyDescent="0.3">
      <c r="F63274" s="193"/>
    </row>
    <row r="63275" spans="6:6" x14ac:dyDescent="0.3">
      <c r="F63275" s="193"/>
    </row>
    <row r="63276" spans="6:6" x14ac:dyDescent="0.3">
      <c r="F63276" s="193"/>
    </row>
    <row r="63277" spans="6:6" x14ac:dyDescent="0.3">
      <c r="F63277" s="193"/>
    </row>
    <row r="63278" spans="6:6" x14ac:dyDescent="0.3">
      <c r="F63278" s="193"/>
    </row>
    <row r="63279" spans="6:6" x14ac:dyDescent="0.3">
      <c r="F63279" s="193"/>
    </row>
    <row r="63280" spans="6:6" x14ac:dyDescent="0.3">
      <c r="F63280" s="193"/>
    </row>
    <row r="63281" spans="6:6" x14ac:dyDescent="0.3">
      <c r="F63281" s="193"/>
    </row>
    <row r="63282" spans="6:6" x14ac:dyDescent="0.3">
      <c r="F63282" s="193"/>
    </row>
    <row r="63283" spans="6:6" x14ac:dyDescent="0.3">
      <c r="F63283" s="193"/>
    </row>
    <row r="63284" spans="6:6" x14ac:dyDescent="0.3">
      <c r="F63284" s="193"/>
    </row>
    <row r="63285" spans="6:6" x14ac:dyDescent="0.3">
      <c r="F63285" s="193"/>
    </row>
    <row r="63286" spans="6:6" x14ac:dyDescent="0.3">
      <c r="F63286" s="193"/>
    </row>
    <row r="63287" spans="6:6" x14ac:dyDescent="0.3">
      <c r="F63287" s="193"/>
    </row>
    <row r="63288" spans="6:6" x14ac:dyDescent="0.3">
      <c r="F63288" s="193"/>
    </row>
    <row r="63289" spans="6:6" x14ac:dyDescent="0.3">
      <c r="F63289" s="193"/>
    </row>
    <row r="63290" spans="6:6" x14ac:dyDescent="0.3">
      <c r="F63290" s="193"/>
    </row>
    <row r="63291" spans="6:6" x14ac:dyDescent="0.3">
      <c r="F63291" s="193"/>
    </row>
    <row r="63292" spans="6:6" x14ac:dyDescent="0.3">
      <c r="F63292" s="193"/>
    </row>
    <row r="63293" spans="6:6" x14ac:dyDescent="0.3">
      <c r="F63293" s="193"/>
    </row>
    <row r="63294" spans="6:6" x14ac:dyDescent="0.3">
      <c r="F63294" s="193"/>
    </row>
    <row r="63295" spans="6:6" x14ac:dyDescent="0.3">
      <c r="F63295" s="193"/>
    </row>
    <row r="63296" spans="6:6" x14ac:dyDescent="0.3">
      <c r="F63296" s="193"/>
    </row>
    <row r="63297" spans="6:6" x14ac:dyDescent="0.3">
      <c r="F63297" s="193"/>
    </row>
    <row r="63298" spans="6:6" x14ac:dyDescent="0.3">
      <c r="F63298" s="193"/>
    </row>
    <row r="63299" spans="6:6" x14ac:dyDescent="0.3">
      <c r="F63299" s="193"/>
    </row>
    <row r="63300" spans="6:6" x14ac:dyDescent="0.3">
      <c r="F63300" s="193"/>
    </row>
    <row r="63301" spans="6:6" x14ac:dyDescent="0.3">
      <c r="F63301" s="193"/>
    </row>
    <row r="63302" spans="6:6" x14ac:dyDescent="0.3">
      <c r="F63302" s="193"/>
    </row>
    <row r="63303" spans="6:6" x14ac:dyDescent="0.3">
      <c r="F63303" s="193"/>
    </row>
    <row r="63304" spans="6:6" x14ac:dyDescent="0.3">
      <c r="F63304" s="193"/>
    </row>
    <row r="63305" spans="6:6" x14ac:dyDescent="0.3">
      <c r="F63305" s="193"/>
    </row>
    <row r="63306" spans="6:6" x14ac:dyDescent="0.3">
      <c r="F63306" s="193"/>
    </row>
    <row r="63307" spans="6:6" x14ac:dyDescent="0.3">
      <c r="F63307" s="193"/>
    </row>
    <row r="63308" spans="6:6" x14ac:dyDescent="0.3">
      <c r="F63308" s="193"/>
    </row>
    <row r="63309" spans="6:6" x14ac:dyDescent="0.3">
      <c r="F63309" s="193"/>
    </row>
    <row r="63310" spans="6:6" x14ac:dyDescent="0.3">
      <c r="F63310" s="193"/>
    </row>
    <row r="63311" spans="6:6" x14ac:dyDescent="0.3">
      <c r="F63311" s="193"/>
    </row>
    <row r="63312" spans="6:6" x14ac:dyDescent="0.3">
      <c r="F63312" s="193"/>
    </row>
    <row r="63313" spans="6:6" x14ac:dyDescent="0.3">
      <c r="F63313" s="193"/>
    </row>
    <row r="63314" spans="6:6" x14ac:dyDescent="0.3">
      <c r="F63314" s="193"/>
    </row>
    <row r="63315" spans="6:6" x14ac:dyDescent="0.3">
      <c r="F63315" s="193"/>
    </row>
    <row r="63316" spans="6:6" x14ac:dyDescent="0.3">
      <c r="F63316" s="193"/>
    </row>
    <row r="63317" spans="6:6" x14ac:dyDescent="0.3">
      <c r="F63317" s="193"/>
    </row>
    <row r="63318" spans="6:6" x14ac:dyDescent="0.3">
      <c r="F63318" s="193"/>
    </row>
    <row r="63319" spans="6:6" x14ac:dyDescent="0.3">
      <c r="F63319" s="193"/>
    </row>
    <row r="63320" spans="6:6" x14ac:dyDescent="0.3">
      <c r="F63320" s="193"/>
    </row>
    <row r="63321" spans="6:6" x14ac:dyDescent="0.3">
      <c r="F63321" s="193"/>
    </row>
    <row r="63322" spans="6:6" x14ac:dyDescent="0.3">
      <c r="F63322" s="193"/>
    </row>
    <row r="63323" spans="6:6" x14ac:dyDescent="0.3">
      <c r="F63323" s="193"/>
    </row>
    <row r="63324" spans="6:6" x14ac:dyDescent="0.3">
      <c r="F63324" s="193"/>
    </row>
    <row r="63325" spans="6:6" x14ac:dyDescent="0.3">
      <c r="F63325" s="193"/>
    </row>
    <row r="63326" spans="6:6" x14ac:dyDescent="0.3">
      <c r="F63326" s="193"/>
    </row>
    <row r="63327" spans="6:6" x14ac:dyDescent="0.3">
      <c r="F63327" s="193"/>
    </row>
    <row r="63328" spans="6:6" x14ac:dyDescent="0.3">
      <c r="F63328" s="193"/>
    </row>
    <row r="63329" spans="6:6" x14ac:dyDescent="0.3">
      <c r="F63329" s="193"/>
    </row>
    <row r="63330" spans="6:6" x14ac:dyDescent="0.3">
      <c r="F63330" s="193"/>
    </row>
    <row r="63331" spans="6:6" x14ac:dyDescent="0.3">
      <c r="F63331" s="193"/>
    </row>
    <row r="63332" spans="6:6" x14ac:dyDescent="0.3">
      <c r="F63332" s="193"/>
    </row>
    <row r="63333" spans="6:6" x14ac:dyDescent="0.3">
      <c r="F63333" s="193"/>
    </row>
    <row r="63334" spans="6:6" x14ac:dyDescent="0.3">
      <c r="F63334" s="193"/>
    </row>
    <row r="63335" spans="6:6" x14ac:dyDescent="0.3">
      <c r="F63335" s="193"/>
    </row>
    <row r="63336" spans="6:6" x14ac:dyDescent="0.3">
      <c r="F63336" s="193"/>
    </row>
    <row r="63337" spans="6:6" x14ac:dyDescent="0.3">
      <c r="F63337" s="193"/>
    </row>
    <row r="63338" spans="6:6" x14ac:dyDescent="0.3">
      <c r="F63338" s="193"/>
    </row>
    <row r="63339" spans="6:6" x14ac:dyDescent="0.3">
      <c r="F63339" s="193"/>
    </row>
    <row r="63340" spans="6:6" x14ac:dyDescent="0.3">
      <c r="F63340" s="193"/>
    </row>
    <row r="63341" spans="6:6" x14ac:dyDescent="0.3">
      <c r="F63341" s="193"/>
    </row>
    <row r="63342" spans="6:6" x14ac:dyDescent="0.3">
      <c r="F63342" s="193"/>
    </row>
    <row r="63343" spans="6:6" x14ac:dyDescent="0.3">
      <c r="F63343" s="193"/>
    </row>
    <row r="63344" spans="6:6" x14ac:dyDescent="0.3">
      <c r="F63344" s="193"/>
    </row>
    <row r="63345" spans="6:6" x14ac:dyDescent="0.3">
      <c r="F63345" s="193"/>
    </row>
    <row r="63346" spans="6:6" x14ac:dyDescent="0.3">
      <c r="F63346" s="193"/>
    </row>
    <row r="63347" spans="6:6" x14ac:dyDescent="0.3">
      <c r="F63347" s="193"/>
    </row>
    <row r="63348" spans="6:6" x14ac:dyDescent="0.3">
      <c r="F63348" s="193"/>
    </row>
    <row r="63349" spans="6:6" x14ac:dyDescent="0.3">
      <c r="F63349" s="193"/>
    </row>
    <row r="63350" spans="6:6" x14ac:dyDescent="0.3">
      <c r="F63350" s="193"/>
    </row>
    <row r="63351" spans="6:6" x14ac:dyDescent="0.3">
      <c r="F63351" s="193"/>
    </row>
    <row r="63352" spans="6:6" x14ac:dyDescent="0.3">
      <c r="F63352" s="193"/>
    </row>
    <row r="63353" spans="6:6" x14ac:dyDescent="0.3">
      <c r="F63353" s="193"/>
    </row>
    <row r="63354" spans="6:6" x14ac:dyDescent="0.3">
      <c r="F63354" s="193"/>
    </row>
    <row r="63355" spans="6:6" x14ac:dyDescent="0.3">
      <c r="F63355" s="193"/>
    </row>
    <row r="63356" spans="6:6" x14ac:dyDescent="0.3">
      <c r="F63356" s="193"/>
    </row>
    <row r="63357" spans="6:6" x14ac:dyDescent="0.3">
      <c r="F63357" s="193"/>
    </row>
    <row r="63358" spans="6:6" x14ac:dyDescent="0.3">
      <c r="F63358" s="193"/>
    </row>
    <row r="63359" spans="6:6" x14ac:dyDescent="0.3">
      <c r="F63359" s="193"/>
    </row>
    <row r="63360" spans="6:6" x14ac:dyDescent="0.3">
      <c r="F63360" s="193"/>
    </row>
    <row r="63361" spans="6:6" x14ac:dyDescent="0.3">
      <c r="F63361" s="193"/>
    </row>
    <row r="63362" spans="6:6" x14ac:dyDescent="0.3">
      <c r="F63362" s="193"/>
    </row>
    <row r="63363" spans="6:6" x14ac:dyDescent="0.3">
      <c r="F63363" s="193"/>
    </row>
    <row r="63364" spans="6:6" x14ac:dyDescent="0.3">
      <c r="F63364" s="193"/>
    </row>
    <row r="63365" spans="6:6" x14ac:dyDescent="0.3">
      <c r="F63365" s="193"/>
    </row>
    <row r="63366" spans="6:6" x14ac:dyDescent="0.3">
      <c r="F63366" s="193"/>
    </row>
    <row r="63367" spans="6:6" x14ac:dyDescent="0.3">
      <c r="F63367" s="193"/>
    </row>
    <row r="63368" spans="6:6" x14ac:dyDescent="0.3">
      <c r="F63368" s="193"/>
    </row>
    <row r="63369" spans="6:6" x14ac:dyDescent="0.3">
      <c r="F63369" s="193"/>
    </row>
    <row r="63370" spans="6:6" x14ac:dyDescent="0.3">
      <c r="F63370" s="193"/>
    </row>
    <row r="63371" spans="6:6" x14ac:dyDescent="0.3">
      <c r="F63371" s="193"/>
    </row>
    <row r="63372" spans="6:6" x14ac:dyDescent="0.3">
      <c r="F63372" s="193"/>
    </row>
    <row r="63373" spans="6:6" x14ac:dyDescent="0.3">
      <c r="F63373" s="193"/>
    </row>
    <row r="63374" spans="6:6" x14ac:dyDescent="0.3">
      <c r="F63374" s="193"/>
    </row>
    <row r="63375" spans="6:6" x14ac:dyDescent="0.3">
      <c r="F63375" s="193"/>
    </row>
    <row r="63376" spans="6:6" x14ac:dyDescent="0.3">
      <c r="F63376" s="193"/>
    </row>
    <row r="63377" spans="6:6" x14ac:dyDescent="0.3">
      <c r="F63377" s="193"/>
    </row>
    <row r="63378" spans="6:6" x14ac:dyDescent="0.3">
      <c r="F63378" s="193"/>
    </row>
    <row r="63379" spans="6:6" x14ac:dyDescent="0.3">
      <c r="F63379" s="193"/>
    </row>
    <row r="63380" spans="6:6" x14ac:dyDescent="0.3">
      <c r="F63380" s="193"/>
    </row>
    <row r="63381" spans="6:6" x14ac:dyDescent="0.3">
      <c r="F63381" s="193"/>
    </row>
    <row r="63382" spans="6:6" x14ac:dyDescent="0.3">
      <c r="F63382" s="193"/>
    </row>
    <row r="63383" spans="6:6" x14ac:dyDescent="0.3">
      <c r="F63383" s="193"/>
    </row>
    <row r="63384" spans="6:6" x14ac:dyDescent="0.3">
      <c r="F63384" s="193"/>
    </row>
    <row r="63385" spans="6:6" x14ac:dyDescent="0.3">
      <c r="F63385" s="193"/>
    </row>
    <row r="63386" spans="6:6" x14ac:dyDescent="0.3">
      <c r="F63386" s="193"/>
    </row>
    <row r="63387" spans="6:6" x14ac:dyDescent="0.3">
      <c r="F63387" s="193"/>
    </row>
    <row r="63388" spans="6:6" x14ac:dyDescent="0.3">
      <c r="F63388" s="193"/>
    </row>
    <row r="63389" spans="6:6" x14ac:dyDescent="0.3">
      <c r="F63389" s="193"/>
    </row>
    <row r="63390" spans="6:6" x14ac:dyDescent="0.3">
      <c r="F63390" s="193"/>
    </row>
    <row r="63391" spans="6:6" x14ac:dyDescent="0.3">
      <c r="F63391" s="193"/>
    </row>
    <row r="63392" spans="6:6" x14ac:dyDescent="0.3">
      <c r="F63392" s="193"/>
    </row>
    <row r="63393" spans="6:6" x14ac:dyDescent="0.3">
      <c r="F63393" s="193"/>
    </row>
    <row r="63394" spans="6:6" x14ac:dyDescent="0.3">
      <c r="F63394" s="193"/>
    </row>
    <row r="63395" spans="6:6" x14ac:dyDescent="0.3">
      <c r="F63395" s="193"/>
    </row>
    <row r="63396" spans="6:6" x14ac:dyDescent="0.3">
      <c r="F63396" s="193"/>
    </row>
    <row r="63397" spans="6:6" x14ac:dyDescent="0.3">
      <c r="F63397" s="193"/>
    </row>
    <row r="63398" spans="6:6" x14ac:dyDescent="0.3">
      <c r="F63398" s="193"/>
    </row>
    <row r="63399" spans="6:6" x14ac:dyDescent="0.3">
      <c r="F63399" s="193"/>
    </row>
    <row r="63400" spans="6:6" x14ac:dyDescent="0.3">
      <c r="F63400" s="193"/>
    </row>
    <row r="63401" spans="6:6" x14ac:dyDescent="0.3">
      <c r="F63401" s="193"/>
    </row>
    <row r="63402" spans="6:6" x14ac:dyDescent="0.3">
      <c r="F63402" s="193"/>
    </row>
    <row r="63403" spans="6:6" x14ac:dyDescent="0.3">
      <c r="F63403" s="193"/>
    </row>
    <row r="63404" spans="6:6" x14ac:dyDescent="0.3">
      <c r="F63404" s="193"/>
    </row>
    <row r="63405" spans="6:6" x14ac:dyDescent="0.3">
      <c r="F63405" s="193"/>
    </row>
    <row r="63406" spans="6:6" x14ac:dyDescent="0.3">
      <c r="F63406" s="193"/>
    </row>
    <row r="63407" spans="6:6" x14ac:dyDescent="0.3">
      <c r="F63407" s="193"/>
    </row>
    <row r="63408" spans="6:6" x14ac:dyDescent="0.3">
      <c r="F63408" s="193"/>
    </row>
    <row r="63409" spans="6:6" x14ac:dyDescent="0.3">
      <c r="F63409" s="193"/>
    </row>
    <row r="63410" spans="6:6" x14ac:dyDescent="0.3">
      <c r="F63410" s="193"/>
    </row>
    <row r="63411" spans="6:6" x14ac:dyDescent="0.3">
      <c r="F63411" s="193"/>
    </row>
    <row r="63412" spans="6:6" x14ac:dyDescent="0.3">
      <c r="F63412" s="193"/>
    </row>
    <row r="63413" spans="6:6" x14ac:dyDescent="0.3">
      <c r="F63413" s="193"/>
    </row>
    <row r="63414" spans="6:6" x14ac:dyDescent="0.3">
      <c r="F63414" s="193"/>
    </row>
    <row r="63415" spans="6:6" x14ac:dyDescent="0.3">
      <c r="F63415" s="193"/>
    </row>
    <row r="63416" spans="6:6" x14ac:dyDescent="0.3">
      <c r="F63416" s="193"/>
    </row>
    <row r="63417" spans="6:6" x14ac:dyDescent="0.3">
      <c r="F63417" s="193"/>
    </row>
    <row r="63418" spans="6:6" x14ac:dyDescent="0.3">
      <c r="F63418" s="193"/>
    </row>
    <row r="63419" spans="6:6" x14ac:dyDescent="0.3">
      <c r="F63419" s="193"/>
    </row>
    <row r="63420" spans="6:6" x14ac:dyDescent="0.3">
      <c r="F63420" s="193"/>
    </row>
    <row r="63421" spans="6:6" x14ac:dyDescent="0.3">
      <c r="F63421" s="193"/>
    </row>
    <row r="63422" spans="6:6" x14ac:dyDescent="0.3">
      <c r="F63422" s="193"/>
    </row>
    <row r="63423" spans="6:6" x14ac:dyDescent="0.3">
      <c r="F63423" s="193"/>
    </row>
    <row r="63424" spans="6:6" x14ac:dyDescent="0.3">
      <c r="F63424" s="193"/>
    </row>
    <row r="63425" spans="6:6" x14ac:dyDescent="0.3">
      <c r="F63425" s="193"/>
    </row>
    <row r="63426" spans="6:6" x14ac:dyDescent="0.3">
      <c r="F63426" s="193"/>
    </row>
    <row r="63427" spans="6:6" x14ac:dyDescent="0.3">
      <c r="F63427" s="193"/>
    </row>
    <row r="63428" spans="6:6" x14ac:dyDescent="0.3">
      <c r="F63428" s="193"/>
    </row>
    <row r="63429" spans="6:6" x14ac:dyDescent="0.3">
      <c r="F63429" s="193"/>
    </row>
    <row r="63430" spans="6:6" x14ac:dyDescent="0.3">
      <c r="F63430" s="193"/>
    </row>
    <row r="63431" spans="6:6" x14ac:dyDescent="0.3">
      <c r="F63431" s="193"/>
    </row>
    <row r="63432" spans="6:6" x14ac:dyDescent="0.3">
      <c r="F63432" s="193"/>
    </row>
    <row r="63433" spans="6:6" x14ac:dyDescent="0.3">
      <c r="F63433" s="193"/>
    </row>
    <row r="63434" spans="6:6" x14ac:dyDescent="0.3">
      <c r="F63434" s="193"/>
    </row>
    <row r="63435" spans="6:6" x14ac:dyDescent="0.3">
      <c r="F63435" s="193"/>
    </row>
    <row r="63436" spans="6:6" x14ac:dyDescent="0.3">
      <c r="F63436" s="193"/>
    </row>
    <row r="63437" spans="6:6" x14ac:dyDescent="0.3">
      <c r="F63437" s="193"/>
    </row>
    <row r="63438" spans="6:6" x14ac:dyDescent="0.3">
      <c r="F63438" s="193"/>
    </row>
    <row r="63439" spans="6:6" x14ac:dyDescent="0.3">
      <c r="F63439" s="193"/>
    </row>
    <row r="63440" spans="6:6" x14ac:dyDescent="0.3">
      <c r="F63440" s="193"/>
    </row>
    <row r="63441" spans="6:6" x14ac:dyDescent="0.3">
      <c r="F63441" s="193"/>
    </row>
    <row r="63442" spans="6:6" x14ac:dyDescent="0.3">
      <c r="F63442" s="193"/>
    </row>
    <row r="63443" spans="6:6" x14ac:dyDescent="0.3">
      <c r="F63443" s="193"/>
    </row>
    <row r="63444" spans="6:6" x14ac:dyDescent="0.3">
      <c r="F63444" s="193"/>
    </row>
    <row r="63445" spans="6:6" x14ac:dyDescent="0.3">
      <c r="F63445" s="193"/>
    </row>
    <row r="63446" spans="6:6" x14ac:dyDescent="0.3">
      <c r="F63446" s="193"/>
    </row>
    <row r="63447" spans="6:6" x14ac:dyDescent="0.3">
      <c r="F63447" s="193"/>
    </row>
    <row r="63448" spans="6:6" x14ac:dyDescent="0.3">
      <c r="F63448" s="193"/>
    </row>
    <row r="63449" spans="6:6" x14ac:dyDescent="0.3">
      <c r="F63449" s="193"/>
    </row>
    <row r="63450" spans="6:6" x14ac:dyDescent="0.3">
      <c r="F63450" s="193"/>
    </row>
    <row r="63451" spans="6:6" x14ac:dyDescent="0.3">
      <c r="F63451" s="193"/>
    </row>
    <row r="63452" spans="6:6" x14ac:dyDescent="0.3">
      <c r="F63452" s="193"/>
    </row>
    <row r="63453" spans="6:6" x14ac:dyDescent="0.3">
      <c r="F63453" s="193"/>
    </row>
    <row r="63454" spans="6:6" x14ac:dyDescent="0.3">
      <c r="F63454" s="193"/>
    </row>
    <row r="63455" spans="6:6" x14ac:dyDescent="0.3">
      <c r="F63455" s="193"/>
    </row>
    <row r="63456" spans="6:6" x14ac:dyDescent="0.3">
      <c r="F63456" s="193"/>
    </row>
    <row r="63457" spans="6:6" x14ac:dyDescent="0.3">
      <c r="F63457" s="193"/>
    </row>
    <row r="63458" spans="6:6" x14ac:dyDescent="0.3">
      <c r="F63458" s="193"/>
    </row>
    <row r="63459" spans="6:6" x14ac:dyDescent="0.3">
      <c r="F63459" s="193"/>
    </row>
    <row r="63460" spans="6:6" x14ac:dyDescent="0.3">
      <c r="F63460" s="193"/>
    </row>
    <row r="63461" spans="6:6" x14ac:dyDescent="0.3">
      <c r="F63461" s="193"/>
    </row>
    <row r="63462" spans="6:6" x14ac:dyDescent="0.3">
      <c r="F63462" s="193"/>
    </row>
    <row r="63463" spans="6:6" x14ac:dyDescent="0.3">
      <c r="F63463" s="193"/>
    </row>
    <row r="63464" spans="6:6" x14ac:dyDescent="0.3">
      <c r="F63464" s="193"/>
    </row>
    <row r="63465" spans="6:6" x14ac:dyDescent="0.3">
      <c r="F63465" s="193"/>
    </row>
    <row r="63466" spans="6:6" x14ac:dyDescent="0.3">
      <c r="F63466" s="193"/>
    </row>
    <row r="63467" spans="6:6" x14ac:dyDescent="0.3">
      <c r="F63467" s="193"/>
    </row>
    <row r="63468" spans="6:6" x14ac:dyDescent="0.3">
      <c r="F63468" s="193"/>
    </row>
    <row r="63469" spans="6:6" x14ac:dyDescent="0.3">
      <c r="F63469" s="193"/>
    </row>
    <row r="63470" spans="6:6" x14ac:dyDescent="0.3">
      <c r="F63470" s="193"/>
    </row>
    <row r="63471" spans="6:6" x14ac:dyDescent="0.3">
      <c r="F63471" s="193"/>
    </row>
    <row r="63472" spans="6:6" x14ac:dyDescent="0.3">
      <c r="F63472" s="193"/>
    </row>
    <row r="63473" spans="6:6" x14ac:dyDescent="0.3">
      <c r="F63473" s="193"/>
    </row>
    <row r="63474" spans="6:6" x14ac:dyDescent="0.3">
      <c r="F63474" s="193"/>
    </row>
    <row r="63475" spans="6:6" x14ac:dyDescent="0.3">
      <c r="F63475" s="193"/>
    </row>
    <row r="63476" spans="6:6" x14ac:dyDescent="0.3">
      <c r="F63476" s="193"/>
    </row>
    <row r="63477" spans="6:6" x14ac:dyDescent="0.3">
      <c r="F63477" s="193"/>
    </row>
    <row r="63478" spans="6:6" x14ac:dyDescent="0.3">
      <c r="F63478" s="193"/>
    </row>
    <row r="63479" spans="6:6" x14ac:dyDescent="0.3">
      <c r="F63479" s="193"/>
    </row>
    <row r="63480" spans="6:6" x14ac:dyDescent="0.3">
      <c r="F63480" s="193"/>
    </row>
    <row r="63481" spans="6:6" x14ac:dyDescent="0.3">
      <c r="F63481" s="193"/>
    </row>
    <row r="63482" spans="6:6" x14ac:dyDescent="0.3">
      <c r="F63482" s="193"/>
    </row>
    <row r="63483" spans="6:6" x14ac:dyDescent="0.3">
      <c r="F63483" s="193"/>
    </row>
    <row r="63484" spans="6:6" x14ac:dyDescent="0.3">
      <c r="F63484" s="193"/>
    </row>
    <row r="63485" spans="6:6" x14ac:dyDescent="0.3">
      <c r="F63485" s="193"/>
    </row>
    <row r="63486" spans="6:6" x14ac:dyDescent="0.3">
      <c r="F63486" s="193"/>
    </row>
    <row r="63487" spans="6:6" x14ac:dyDescent="0.3">
      <c r="F63487" s="193"/>
    </row>
    <row r="63488" spans="6:6" x14ac:dyDescent="0.3">
      <c r="F63488" s="193"/>
    </row>
    <row r="63489" spans="6:6" x14ac:dyDescent="0.3">
      <c r="F63489" s="193"/>
    </row>
    <row r="63490" spans="6:6" x14ac:dyDescent="0.3">
      <c r="F63490" s="193"/>
    </row>
    <row r="63491" spans="6:6" x14ac:dyDescent="0.3">
      <c r="F63491" s="193"/>
    </row>
    <row r="63492" spans="6:6" x14ac:dyDescent="0.3">
      <c r="F63492" s="193"/>
    </row>
    <row r="63493" spans="6:6" x14ac:dyDescent="0.3">
      <c r="F63493" s="193"/>
    </row>
    <row r="63494" spans="6:6" x14ac:dyDescent="0.3">
      <c r="F63494" s="193"/>
    </row>
    <row r="63495" spans="6:6" x14ac:dyDescent="0.3">
      <c r="F63495" s="193"/>
    </row>
    <row r="63496" spans="6:6" x14ac:dyDescent="0.3">
      <c r="F63496" s="193"/>
    </row>
    <row r="63497" spans="6:6" x14ac:dyDescent="0.3">
      <c r="F63497" s="193"/>
    </row>
    <row r="63498" spans="6:6" x14ac:dyDescent="0.3">
      <c r="F63498" s="193"/>
    </row>
    <row r="63499" spans="6:6" x14ac:dyDescent="0.3">
      <c r="F63499" s="193"/>
    </row>
    <row r="63500" spans="6:6" x14ac:dyDescent="0.3">
      <c r="F63500" s="193"/>
    </row>
    <row r="63501" spans="6:6" x14ac:dyDescent="0.3">
      <c r="F63501" s="193"/>
    </row>
    <row r="63502" spans="6:6" x14ac:dyDescent="0.3">
      <c r="F63502" s="193"/>
    </row>
    <row r="63503" spans="6:6" x14ac:dyDescent="0.3">
      <c r="F63503" s="193"/>
    </row>
    <row r="63504" spans="6:6" x14ac:dyDescent="0.3">
      <c r="F63504" s="193"/>
    </row>
    <row r="63505" spans="6:6" x14ac:dyDescent="0.3">
      <c r="F63505" s="193"/>
    </row>
    <row r="63506" spans="6:6" x14ac:dyDescent="0.3">
      <c r="F63506" s="193"/>
    </row>
    <row r="63507" spans="6:6" x14ac:dyDescent="0.3">
      <c r="F63507" s="193"/>
    </row>
    <row r="63508" spans="6:6" x14ac:dyDescent="0.3">
      <c r="F63508" s="193"/>
    </row>
    <row r="63509" spans="6:6" x14ac:dyDescent="0.3">
      <c r="F63509" s="193"/>
    </row>
    <row r="63510" spans="6:6" x14ac:dyDescent="0.3">
      <c r="F63510" s="193"/>
    </row>
    <row r="63511" spans="6:6" x14ac:dyDescent="0.3">
      <c r="F63511" s="193"/>
    </row>
    <row r="63512" spans="6:6" x14ac:dyDescent="0.3">
      <c r="F63512" s="193"/>
    </row>
    <row r="63513" spans="6:6" x14ac:dyDescent="0.3">
      <c r="F63513" s="193"/>
    </row>
    <row r="63514" spans="6:6" x14ac:dyDescent="0.3">
      <c r="F63514" s="193"/>
    </row>
    <row r="63515" spans="6:6" x14ac:dyDescent="0.3">
      <c r="F63515" s="193"/>
    </row>
    <row r="63516" spans="6:6" x14ac:dyDescent="0.3">
      <c r="F63516" s="193"/>
    </row>
    <row r="63517" spans="6:6" x14ac:dyDescent="0.3">
      <c r="F63517" s="193"/>
    </row>
    <row r="63518" spans="6:6" x14ac:dyDescent="0.3">
      <c r="F63518" s="193"/>
    </row>
    <row r="63519" spans="6:6" x14ac:dyDescent="0.3">
      <c r="F63519" s="193"/>
    </row>
    <row r="63520" spans="6:6" x14ac:dyDescent="0.3">
      <c r="F63520" s="193"/>
    </row>
    <row r="63521" spans="6:6" x14ac:dyDescent="0.3">
      <c r="F63521" s="193"/>
    </row>
    <row r="63522" spans="6:6" x14ac:dyDescent="0.3">
      <c r="F63522" s="193"/>
    </row>
    <row r="63523" spans="6:6" x14ac:dyDescent="0.3">
      <c r="F63523" s="193"/>
    </row>
    <row r="63524" spans="6:6" x14ac:dyDescent="0.3">
      <c r="F63524" s="193"/>
    </row>
    <row r="63525" spans="6:6" x14ac:dyDescent="0.3">
      <c r="F63525" s="193"/>
    </row>
    <row r="63526" spans="6:6" x14ac:dyDescent="0.3">
      <c r="F63526" s="193"/>
    </row>
    <row r="63527" spans="6:6" x14ac:dyDescent="0.3">
      <c r="F63527" s="193"/>
    </row>
    <row r="63528" spans="6:6" x14ac:dyDescent="0.3">
      <c r="F63528" s="193"/>
    </row>
    <row r="63529" spans="6:6" x14ac:dyDescent="0.3">
      <c r="F63529" s="193"/>
    </row>
    <row r="63530" spans="6:6" x14ac:dyDescent="0.3">
      <c r="F63530" s="193"/>
    </row>
    <row r="63531" spans="6:6" x14ac:dyDescent="0.3">
      <c r="F63531" s="193"/>
    </row>
    <row r="63532" spans="6:6" x14ac:dyDescent="0.3">
      <c r="F63532" s="193"/>
    </row>
    <row r="63533" spans="6:6" x14ac:dyDescent="0.3">
      <c r="F63533" s="193"/>
    </row>
    <row r="63534" spans="6:6" x14ac:dyDescent="0.3">
      <c r="F63534" s="193"/>
    </row>
    <row r="63535" spans="6:6" x14ac:dyDescent="0.3">
      <c r="F63535" s="193"/>
    </row>
    <row r="63536" spans="6:6" x14ac:dyDescent="0.3">
      <c r="F63536" s="193"/>
    </row>
    <row r="63537" spans="6:6" x14ac:dyDescent="0.3">
      <c r="F63537" s="193"/>
    </row>
    <row r="63538" spans="6:6" x14ac:dyDescent="0.3">
      <c r="F63538" s="193"/>
    </row>
    <row r="63539" spans="6:6" x14ac:dyDescent="0.3">
      <c r="F63539" s="193"/>
    </row>
    <row r="63540" spans="6:6" x14ac:dyDescent="0.3">
      <c r="F63540" s="193"/>
    </row>
    <row r="63541" spans="6:6" x14ac:dyDescent="0.3">
      <c r="F63541" s="193"/>
    </row>
    <row r="63542" spans="6:6" x14ac:dyDescent="0.3">
      <c r="F63542" s="193"/>
    </row>
    <row r="63543" spans="6:6" x14ac:dyDescent="0.3">
      <c r="F63543" s="193"/>
    </row>
    <row r="63544" spans="6:6" x14ac:dyDescent="0.3">
      <c r="F63544" s="193"/>
    </row>
    <row r="63545" spans="6:6" x14ac:dyDescent="0.3">
      <c r="F63545" s="193"/>
    </row>
    <row r="63546" spans="6:6" x14ac:dyDescent="0.3">
      <c r="F63546" s="193"/>
    </row>
    <row r="63547" spans="6:6" x14ac:dyDescent="0.3">
      <c r="F63547" s="193"/>
    </row>
    <row r="63548" spans="6:6" x14ac:dyDescent="0.3">
      <c r="F63548" s="193"/>
    </row>
    <row r="63549" spans="6:6" x14ac:dyDescent="0.3">
      <c r="F63549" s="193"/>
    </row>
    <row r="63550" spans="6:6" x14ac:dyDescent="0.3">
      <c r="F63550" s="193"/>
    </row>
    <row r="63551" spans="6:6" x14ac:dyDescent="0.3">
      <c r="F63551" s="193"/>
    </row>
    <row r="63552" spans="6:6" x14ac:dyDescent="0.3">
      <c r="F63552" s="193"/>
    </row>
    <row r="63553" spans="6:6" x14ac:dyDescent="0.3">
      <c r="F63553" s="193"/>
    </row>
    <row r="63554" spans="6:6" x14ac:dyDescent="0.3">
      <c r="F63554" s="193"/>
    </row>
    <row r="63555" spans="6:6" x14ac:dyDescent="0.3">
      <c r="F63555" s="193"/>
    </row>
    <row r="63556" spans="6:6" x14ac:dyDescent="0.3">
      <c r="F63556" s="193"/>
    </row>
    <row r="63557" spans="6:6" x14ac:dyDescent="0.3">
      <c r="F63557" s="193"/>
    </row>
    <row r="63558" spans="6:6" x14ac:dyDescent="0.3">
      <c r="F63558" s="193"/>
    </row>
    <row r="63559" spans="6:6" x14ac:dyDescent="0.3">
      <c r="F63559" s="193"/>
    </row>
    <row r="63560" spans="6:6" x14ac:dyDescent="0.3">
      <c r="F63560" s="193"/>
    </row>
    <row r="63561" spans="6:6" x14ac:dyDescent="0.3">
      <c r="F63561" s="193"/>
    </row>
    <row r="63562" spans="6:6" x14ac:dyDescent="0.3">
      <c r="F63562" s="193"/>
    </row>
    <row r="63563" spans="6:6" x14ac:dyDescent="0.3">
      <c r="F63563" s="193"/>
    </row>
    <row r="63564" spans="6:6" x14ac:dyDescent="0.3">
      <c r="F63564" s="193"/>
    </row>
    <row r="63565" spans="6:6" x14ac:dyDescent="0.3">
      <c r="F63565" s="193"/>
    </row>
    <row r="63566" spans="6:6" x14ac:dyDescent="0.3">
      <c r="F63566" s="193"/>
    </row>
    <row r="63567" spans="6:6" x14ac:dyDescent="0.3">
      <c r="F63567" s="193"/>
    </row>
    <row r="63568" spans="6:6" x14ac:dyDescent="0.3">
      <c r="F63568" s="193"/>
    </row>
    <row r="63569" spans="6:6" x14ac:dyDescent="0.3">
      <c r="F63569" s="193"/>
    </row>
    <row r="63570" spans="6:6" x14ac:dyDescent="0.3">
      <c r="F63570" s="193"/>
    </row>
    <row r="63571" spans="6:6" x14ac:dyDescent="0.3">
      <c r="F63571" s="193"/>
    </row>
    <row r="63572" spans="6:6" x14ac:dyDescent="0.3">
      <c r="F63572" s="193"/>
    </row>
    <row r="63573" spans="6:6" x14ac:dyDescent="0.3">
      <c r="F63573" s="193"/>
    </row>
    <row r="63574" spans="6:6" x14ac:dyDescent="0.3">
      <c r="F63574" s="193"/>
    </row>
    <row r="63575" spans="6:6" x14ac:dyDescent="0.3">
      <c r="F63575" s="193"/>
    </row>
    <row r="63576" spans="6:6" x14ac:dyDescent="0.3">
      <c r="F63576" s="193"/>
    </row>
    <row r="63577" spans="6:6" x14ac:dyDescent="0.3">
      <c r="F63577" s="193"/>
    </row>
    <row r="63578" spans="6:6" x14ac:dyDescent="0.3">
      <c r="F63578" s="193"/>
    </row>
    <row r="63579" spans="6:6" x14ac:dyDescent="0.3">
      <c r="F63579" s="193"/>
    </row>
    <row r="63580" spans="6:6" x14ac:dyDescent="0.3">
      <c r="F63580" s="193"/>
    </row>
    <row r="63581" spans="6:6" x14ac:dyDescent="0.3">
      <c r="F63581" s="193"/>
    </row>
    <row r="63582" spans="6:6" x14ac:dyDescent="0.3">
      <c r="F63582" s="193"/>
    </row>
    <row r="63583" spans="6:6" x14ac:dyDescent="0.3">
      <c r="F63583" s="193"/>
    </row>
    <row r="63584" spans="6:6" x14ac:dyDescent="0.3">
      <c r="F63584" s="193"/>
    </row>
    <row r="63585" spans="6:6" x14ac:dyDescent="0.3">
      <c r="F63585" s="193"/>
    </row>
    <row r="63586" spans="6:6" x14ac:dyDescent="0.3">
      <c r="F63586" s="193"/>
    </row>
    <row r="63587" spans="6:6" x14ac:dyDescent="0.3">
      <c r="F63587" s="193"/>
    </row>
    <row r="63588" spans="6:6" x14ac:dyDescent="0.3">
      <c r="F63588" s="193"/>
    </row>
    <row r="63589" spans="6:6" x14ac:dyDescent="0.3">
      <c r="F63589" s="193"/>
    </row>
    <row r="63590" spans="6:6" x14ac:dyDescent="0.3">
      <c r="F63590" s="193"/>
    </row>
    <row r="63591" spans="6:6" x14ac:dyDescent="0.3">
      <c r="F63591" s="193"/>
    </row>
    <row r="63592" spans="6:6" x14ac:dyDescent="0.3">
      <c r="F63592" s="193"/>
    </row>
    <row r="63593" spans="6:6" x14ac:dyDescent="0.3">
      <c r="F63593" s="193"/>
    </row>
    <row r="63594" spans="6:6" x14ac:dyDescent="0.3">
      <c r="F63594" s="193"/>
    </row>
    <row r="63595" spans="6:6" x14ac:dyDescent="0.3">
      <c r="F63595" s="193"/>
    </row>
    <row r="63596" spans="6:6" x14ac:dyDescent="0.3">
      <c r="F63596" s="193"/>
    </row>
    <row r="63597" spans="6:6" x14ac:dyDescent="0.3">
      <c r="F63597" s="193"/>
    </row>
    <row r="63598" spans="6:6" x14ac:dyDescent="0.3">
      <c r="F63598" s="193"/>
    </row>
    <row r="63599" spans="6:6" x14ac:dyDescent="0.3">
      <c r="F63599" s="193"/>
    </row>
    <row r="63600" spans="6:6" x14ac:dyDescent="0.3">
      <c r="F63600" s="193"/>
    </row>
    <row r="63601" spans="6:6" x14ac:dyDescent="0.3">
      <c r="F63601" s="193"/>
    </row>
    <row r="63602" spans="6:6" x14ac:dyDescent="0.3">
      <c r="F63602" s="193"/>
    </row>
    <row r="63603" spans="6:6" x14ac:dyDescent="0.3">
      <c r="F63603" s="193"/>
    </row>
    <row r="63604" spans="6:6" x14ac:dyDescent="0.3">
      <c r="F63604" s="193"/>
    </row>
    <row r="63605" spans="6:6" x14ac:dyDescent="0.3">
      <c r="F63605" s="193"/>
    </row>
    <row r="63606" spans="6:6" x14ac:dyDescent="0.3">
      <c r="F63606" s="193"/>
    </row>
    <row r="63607" spans="6:6" x14ac:dyDescent="0.3">
      <c r="F63607" s="193"/>
    </row>
    <row r="63608" spans="6:6" x14ac:dyDescent="0.3">
      <c r="F63608" s="193"/>
    </row>
    <row r="63609" spans="6:6" x14ac:dyDescent="0.3">
      <c r="F63609" s="193"/>
    </row>
    <row r="63610" spans="6:6" x14ac:dyDescent="0.3">
      <c r="F63610" s="193"/>
    </row>
    <row r="63611" spans="6:6" x14ac:dyDescent="0.3">
      <c r="F63611" s="193"/>
    </row>
    <row r="63612" spans="6:6" x14ac:dyDescent="0.3">
      <c r="F63612" s="193"/>
    </row>
    <row r="63613" spans="6:6" x14ac:dyDescent="0.3">
      <c r="F63613" s="193"/>
    </row>
    <row r="63614" spans="6:6" x14ac:dyDescent="0.3">
      <c r="F63614" s="193"/>
    </row>
    <row r="63615" spans="6:6" x14ac:dyDescent="0.3">
      <c r="F63615" s="193"/>
    </row>
    <row r="63616" spans="6:6" x14ac:dyDescent="0.3">
      <c r="F63616" s="193"/>
    </row>
    <row r="63617" spans="6:6" x14ac:dyDescent="0.3">
      <c r="F63617" s="193"/>
    </row>
    <row r="63618" spans="6:6" x14ac:dyDescent="0.3">
      <c r="F63618" s="193"/>
    </row>
    <row r="63619" spans="6:6" x14ac:dyDescent="0.3">
      <c r="F63619" s="193"/>
    </row>
    <row r="63620" spans="6:6" x14ac:dyDescent="0.3">
      <c r="F63620" s="193"/>
    </row>
    <row r="63621" spans="6:6" x14ac:dyDescent="0.3">
      <c r="F63621" s="193"/>
    </row>
    <row r="63622" spans="6:6" x14ac:dyDescent="0.3">
      <c r="F63622" s="193"/>
    </row>
    <row r="63623" spans="6:6" x14ac:dyDescent="0.3">
      <c r="F63623" s="193"/>
    </row>
    <row r="63624" spans="6:6" x14ac:dyDescent="0.3">
      <c r="F63624" s="193"/>
    </row>
    <row r="63625" spans="6:6" x14ac:dyDescent="0.3">
      <c r="F63625" s="193"/>
    </row>
    <row r="63626" spans="6:6" x14ac:dyDescent="0.3">
      <c r="F63626" s="193"/>
    </row>
    <row r="63627" spans="6:6" x14ac:dyDescent="0.3">
      <c r="F63627" s="193"/>
    </row>
    <row r="63628" spans="6:6" x14ac:dyDescent="0.3">
      <c r="F63628" s="193"/>
    </row>
    <row r="63629" spans="6:6" x14ac:dyDescent="0.3">
      <c r="F63629" s="193"/>
    </row>
    <row r="63630" spans="6:6" x14ac:dyDescent="0.3">
      <c r="F63630" s="193"/>
    </row>
    <row r="63631" spans="6:6" x14ac:dyDescent="0.3">
      <c r="F63631" s="193"/>
    </row>
    <row r="63632" spans="6:6" x14ac:dyDescent="0.3">
      <c r="F63632" s="193"/>
    </row>
    <row r="63633" spans="6:6" x14ac:dyDescent="0.3">
      <c r="F63633" s="193"/>
    </row>
    <row r="63634" spans="6:6" x14ac:dyDescent="0.3">
      <c r="F63634" s="193"/>
    </row>
    <row r="63635" spans="6:6" x14ac:dyDescent="0.3">
      <c r="F63635" s="193"/>
    </row>
    <row r="63636" spans="6:6" x14ac:dyDescent="0.3">
      <c r="F63636" s="193"/>
    </row>
    <row r="63637" spans="6:6" x14ac:dyDescent="0.3">
      <c r="F63637" s="193"/>
    </row>
    <row r="63638" spans="6:6" x14ac:dyDescent="0.3">
      <c r="F63638" s="193"/>
    </row>
    <row r="63639" spans="6:6" x14ac:dyDescent="0.3">
      <c r="F63639" s="193"/>
    </row>
    <row r="63640" spans="6:6" x14ac:dyDescent="0.3">
      <c r="F63640" s="193"/>
    </row>
    <row r="63641" spans="6:6" x14ac:dyDescent="0.3">
      <c r="F63641" s="193"/>
    </row>
    <row r="63642" spans="6:6" x14ac:dyDescent="0.3">
      <c r="F63642" s="193"/>
    </row>
    <row r="63643" spans="6:6" x14ac:dyDescent="0.3">
      <c r="F63643" s="193"/>
    </row>
    <row r="63644" spans="6:6" x14ac:dyDescent="0.3">
      <c r="F63644" s="193"/>
    </row>
    <row r="63645" spans="6:6" x14ac:dyDescent="0.3">
      <c r="F63645" s="193"/>
    </row>
    <row r="63646" spans="6:6" x14ac:dyDescent="0.3">
      <c r="F63646" s="193"/>
    </row>
    <row r="63647" spans="6:6" x14ac:dyDescent="0.3">
      <c r="F63647" s="193"/>
    </row>
    <row r="63648" spans="6:6" x14ac:dyDescent="0.3">
      <c r="F63648" s="193"/>
    </row>
    <row r="63649" spans="6:6" x14ac:dyDescent="0.3">
      <c r="F63649" s="193"/>
    </row>
    <row r="63650" spans="6:6" x14ac:dyDescent="0.3">
      <c r="F63650" s="193"/>
    </row>
    <row r="63651" spans="6:6" x14ac:dyDescent="0.3">
      <c r="F63651" s="193"/>
    </row>
    <row r="63652" spans="6:6" x14ac:dyDescent="0.3">
      <c r="F63652" s="193"/>
    </row>
    <row r="63653" spans="6:6" x14ac:dyDescent="0.3">
      <c r="F63653" s="193"/>
    </row>
    <row r="63654" spans="6:6" x14ac:dyDescent="0.3">
      <c r="F63654" s="193"/>
    </row>
    <row r="63655" spans="6:6" x14ac:dyDescent="0.3">
      <c r="F63655" s="193"/>
    </row>
    <row r="63656" spans="6:6" x14ac:dyDescent="0.3">
      <c r="F63656" s="193"/>
    </row>
    <row r="63657" spans="6:6" x14ac:dyDescent="0.3">
      <c r="F63657" s="193"/>
    </row>
    <row r="63658" spans="6:6" x14ac:dyDescent="0.3">
      <c r="F63658" s="193"/>
    </row>
    <row r="63659" spans="6:6" x14ac:dyDescent="0.3">
      <c r="F63659" s="193"/>
    </row>
    <row r="63660" spans="6:6" x14ac:dyDescent="0.3">
      <c r="F63660" s="193"/>
    </row>
    <row r="63661" spans="6:6" x14ac:dyDescent="0.3">
      <c r="F63661" s="193"/>
    </row>
    <row r="63662" spans="6:6" x14ac:dyDescent="0.3">
      <c r="F63662" s="193"/>
    </row>
    <row r="63663" spans="6:6" x14ac:dyDescent="0.3">
      <c r="F63663" s="193"/>
    </row>
    <row r="63664" spans="6:6" x14ac:dyDescent="0.3">
      <c r="F63664" s="193"/>
    </row>
    <row r="63665" spans="6:6" x14ac:dyDescent="0.3">
      <c r="F63665" s="193"/>
    </row>
    <row r="63666" spans="6:6" x14ac:dyDescent="0.3">
      <c r="F63666" s="193"/>
    </row>
    <row r="63667" spans="6:6" x14ac:dyDescent="0.3">
      <c r="F63667" s="193"/>
    </row>
    <row r="63668" spans="6:6" x14ac:dyDescent="0.3">
      <c r="F63668" s="193"/>
    </row>
    <row r="63669" spans="6:6" x14ac:dyDescent="0.3">
      <c r="F63669" s="193"/>
    </row>
    <row r="63670" spans="6:6" x14ac:dyDescent="0.3">
      <c r="F63670" s="193"/>
    </row>
    <row r="63671" spans="6:6" x14ac:dyDescent="0.3">
      <c r="F63671" s="193"/>
    </row>
    <row r="63672" spans="6:6" x14ac:dyDescent="0.3">
      <c r="F63672" s="193"/>
    </row>
    <row r="63673" spans="6:6" x14ac:dyDescent="0.3">
      <c r="F63673" s="193"/>
    </row>
    <row r="63674" spans="6:6" x14ac:dyDescent="0.3">
      <c r="F63674" s="193"/>
    </row>
    <row r="63675" spans="6:6" x14ac:dyDescent="0.3">
      <c r="F63675" s="193"/>
    </row>
    <row r="63676" spans="6:6" x14ac:dyDescent="0.3">
      <c r="F63676" s="193"/>
    </row>
    <row r="63677" spans="6:6" x14ac:dyDescent="0.3">
      <c r="F63677" s="193"/>
    </row>
    <row r="63678" spans="6:6" x14ac:dyDescent="0.3">
      <c r="F63678" s="193"/>
    </row>
    <row r="63679" spans="6:6" x14ac:dyDescent="0.3">
      <c r="F63679" s="193"/>
    </row>
    <row r="63680" spans="6:6" x14ac:dyDescent="0.3">
      <c r="F63680" s="193"/>
    </row>
    <row r="63681" spans="6:6" x14ac:dyDescent="0.3">
      <c r="F63681" s="193"/>
    </row>
    <row r="63682" spans="6:6" x14ac:dyDescent="0.3">
      <c r="F63682" s="193"/>
    </row>
    <row r="63683" spans="6:6" x14ac:dyDescent="0.3">
      <c r="F63683" s="193"/>
    </row>
    <row r="63684" spans="6:6" x14ac:dyDescent="0.3">
      <c r="F63684" s="193"/>
    </row>
    <row r="63685" spans="6:6" x14ac:dyDescent="0.3">
      <c r="F63685" s="193"/>
    </row>
    <row r="63686" spans="6:6" x14ac:dyDescent="0.3">
      <c r="F63686" s="193"/>
    </row>
    <row r="63687" spans="6:6" x14ac:dyDescent="0.3">
      <c r="F63687" s="193"/>
    </row>
    <row r="63688" spans="6:6" x14ac:dyDescent="0.3">
      <c r="F63688" s="193"/>
    </row>
    <row r="63689" spans="6:6" x14ac:dyDescent="0.3">
      <c r="F63689" s="193"/>
    </row>
    <row r="63690" spans="6:6" x14ac:dyDescent="0.3">
      <c r="F63690" s="193"/>
    </row>
    <row r="63691" spans="6:6" x14ac:dyDescent="0.3">
      <c r="F63691" s="193"/>
    </row>
    <row r="63692" spans="6:6" x14ac:dyDescent="0.3">
      <c r="F63692" s="193"/>
    </row>
    <row r="63693" spans="6:6" x14ac:dyDescent="0.3">
      <c r="F63693" s="193"/>
    </row>
    <row r="63694" spans="6:6" x14ac:dyDescent="0.3">
      <c r="F63694" s="193"/>
    </row>
    <row r="63695" spans="6:6" x14ac:dyDescent="0.3">
      <c r="F63695" s="193"/>
    </row>
    <row r="63696" spans="6:6" x14ac:dyDescent="0.3">
      <c r="F63696" s="193"/>
    </row>
    <row r="63697" spans="6:6" x14ac:dyDescent="0.3">
      <c r="F63697" s="193"/>
    </row>
    <row r="63698" spans="6:6" x14ac:dyDescent="0.3">
      <c r="F63698" s="193"/>
    </row>
    <row r="63699" spans="6:6" x14ac:dyDescent="0.3">
      <c r="F63699" s="193"/>
    </row>
    <row r="63700" spans="6:6" x14ac:dyDescent="0.3">
      <c r="F63700" s="193"/>
    </row>
    <row r="63701" spans="6:6" x14ac:dyDescent="0.3">
      <c r="F63701" s="193"/>
    </row>
    <row r="63702" spans="6:6" x14ac:dyDescent="0.3">
      <c r="F63702" s="193"/>
    </row>
    <row r="63703" spans="6:6" x14ac:dyDescent="0.3">
      <c r="F63703" s="193"/>
    </row>
    <row r="63704" spans="6:6" x14ac:dyDescent="0.3">
      <c r="F63704" s="193"/>
    </row>
    <row r="63705" spans="6:6" x14ac:dyDescent="0.3">
      <c r="F63705" s="193"/>
    </row>
    <row r="63706" spans="6:6" x14ac:dyDescent="0.3">
      <c r="F63706" s="193"/>
    </row>
    <row r="63707" spans="6:6" x14ac:dyDescent="0.3">
      <c r="F63707" s="193"/>
    </row>
    <row r="63708" spans="6:6" x14ac:dyDescent="0.3">
      <c r="F63708" s="193"/>
    </row>
    <row r="63709" spans="6:6" x14ac:dyDescent="0.3">
      <c r="F63709" s="193"/>
    </row>
    <row r="63710" spans="6:6" x14ac:dyDescent="0.3">
      <c r="F63710" s="193"/>
    </row>
    <row r="63711" spans="6:6" x14ac:dyDescent="0.3">
      <c r="F63711" s="193"/>
    </row>
    <row r="63712" spans="6:6" x14ac:dyDescent="0.3">
      <c r="F63712" s="193"/>
    </row>
    <row r="63713" spans="6:6" x14ac:dyDescent="0.3">
      <c r="F63713" s="193"/>
    </row>
    <row r="63714" spans="6:6" x14ac:dyDescent="0.3">
      <c r="F63714" s="193"/>
    </row>
    <row r="63715" spans="6:6" x14ac:dyDescent="0.3">
      <c r="F63715" s="193"/>
    </row>
    <row r="63716" spans="6:6" x14ac:dyDescent="0.3">
      <c r="F63716" s="193"/>
    </row>
    <row r="63717" spans="6:6" x14ac:dyDescent="0.3">
      <c r="F63717" s="193"/>
    </row>
    <row r="63718" spans="6:6" x14ac:dyDescent="0.3">
      <c r="F63718" s="193"/>
    </row>
    <row r="63719" spans="6:6" x14ac:dyDescent="0.3">
      <c r="F63719" s="193"/>
    </row>
    <row r="63720" spans="6:6" x14ac:dyDescent="0.3">
      <c r="F63720" s="193"/>
    </row>
    <row r="63721" spans="6:6" x14ac:dyDescent="0.3">
      <c r="F63721" s="193"/>
    </row>
    <row r="63722" spans="6:6" x14ac:dyDescent="0.3">
      <c r="F63722" s="193"/>
    </row>
    <row r="63723" spans="6:6" x14ac:dyDescent="0.3">
      <c r="F63723" s="193"/>
    </row>
    <row r="63724" spans="6:6" x14ac:dyDescent="0.3">
      <c r="F63724" s="193"/>
    </row>
    <row r="63725" spans="6:6" x14ac:dyDescent="0.3">
      <c r="F63725" s="193"/>
    </row>
    <row r="63726" spans="6:6" x14ac:dyDescent="0.3">
      <c r="F63726" s="193"/>
    </row>
    <row r="63727" spans="6:6" x14ac:dyDescent="0.3">
      <c r="F63727" s="193"/>
    </row>
    <row r="63728" spans="6:6" x14ac:dyDescent="0.3">
      <c r="F63728" s="193"/>
    </row>
    <row r="63729" spans="6:6" x14ac:dyDescent="0.3">
      <c r="F63729" s="193"/>
    </row>
    <row r="63730" spans="6:6" x14ac:dyDescent="0.3">
      <c r="F63730" s="193"/>
    </row>
    <row r="63731" spans="6:6" x14ac:dyDescent="0.3">
      <c r="F63731" s="193"/>
    </row>
    <row r="63732" spans="6:6" x14ac:dyDescent="0.3">
      <c r="F63732" s="193"/>
    </row>
    <row r="63733" spans="6:6" x14ac:dyDescent="0.3">
      <c r="F63733" s="193"/>
    </row>
    <row r="63734" spans="6:6" x14ac:dyDescent="0.3">
      <c r="F63734" s="193"/>
    </row>
    <row r="63735" spans="6:6" x14ac:dyDescent="0.3">
      <c r="F63735" s="193"/>
    </row>
    <row r="63736" spans="6:6" x14ac:dyDescent="0.3">
      <c r="F63736" s="193"/>
    </row>
    <row r="63737" spans="6:6" x14ac:dyDescent="0.3">
      <c r="F63737" s="193"/>
    </row>
    <row r="63738" spans="6:6" x14ac:dyDescent="0.3">
      <c r="F63738" s="193"/>
    </row>
    <row r="63739" spans="6:6" x14ac:dyDescent="0.3">
      <c r="F63739" s="193"/>
    </row>
    <row r="63740" spans="6:6" x14ac:dyDescent="0.3">
      <c r="F63740" s="193"/>
    </row>
    <row r="63741" spans="6:6" x14ac:dyDescent="0.3">
      <c r="F63741" s="193"/>
    </row>
    <row r="63742" spans="6:6" x14ac:dyDescent="0.3">
      <c r="F63742" s="193"/>
    </row>
    <row r="63743" spans="6:6" x14ac:dyDescent="0.3">
      <c r="F63743" s="193"/>
    </row>
    <row r="63744" spans="6:6" x14ac:dyDescent="0.3">
      <c r="F63744" s="193"/>
    </row>
    <row r="63745" spans="6:6" x14ac:dyDescent="0.3">
      <c r="F63745" s="193"/>
    </row>
    <row r="63746" spans="6:6" x14ac:dyDescent="0.3">
      <c r="F63746" s="193"/>
    </row>
    <row r="63747" spans="6:6" x14ac:dyDescent="0.3">
      <c r="F63747" s="193"/>
    </row>
    <row r="63748" spans="6:6" x14ac:dyDescent="0.3">
      <c r="F63748" s="193"/>
    </row>
    <row r="63749" spans="6:6" x14ac:dyDescent="0.3">
      <c r="F63749" s="193"/>
    </row>
    <row r="63750" spans="6:6" x14ac:dyDescent="0.3">
      <c r="F63750" s="193"/>
    </row>
    <row r="63751" spans="6:6" x14ac:dyDescent="0.3">
      <c r="F63751" s="193"/>
    </row>
    <row r="63752" spans="6:6" x14ac:dyDescent="0.3">
      <c r="F63752" s="193"/>
    </row>
    <row r="63753" spans="6:6" x14ac:dyDescent="0.3">
      <c r="F63753" s="193"/>
    </row>
    <row r="63754" spans="6:6" x14ac:dyDescent="0.3">
      <c r="F63754" s="193"/>
    </row>
    <row r="63755" spans="6:6" x14ac:dyDescent="0.3">
      <c r="F63755" s="193"/>
    </row>
    <row r="63756" spans="6:6" x14ac:dyDescent="0.3">
      <c r="F63756" s="193"/>
    </row>
    <row r="63757" spans="6:6" x14ac:dyDescent="0.3">
      <c r="F63757" s="193"/>
    </row>
    <row r="63758" spans="6:6" x14ac:dyDescent="0.3">
      <c r="F63758" s="193"/>
    </row>
    <row r="63759" spans="6:6" x14ac:dyDescent="0.3">
      <c r="F63759" s="193"/>
    </row>
    <row r="63760" spans="6:6" x14ac:dyDescent="0.3">
      <c r="F63760" s="193"/>
    </row>
    <row r="63761" spans="6:6" x14ac:dyDescent="0.3">
      <c r="F63761" s="193"/>
    </row>
    <row r="63762" spans="6:6" x14ac:dyDescent="0.3">
      <c r="F63762" s="193"/>
    </row>
    <row r="63763" spans="6:6" x14ac:dyDescent="0.3">
      <c r="F63763" s="193"/>
    </row>
    <row r="63764" spans="6:6" x14ac:dyDescent="0.3">
      <c r="F63764" s="193"/>
    </row>
    <row r="63765" spans="6:6" x14ac:dyDescent="0.3">
      <c r="F63765" s="193"/>
    </row>
    <row r="63766" spans="6:6" x14ac:dyDescent="0.3">
      <c r="F63766" s="193"/>
    </row>
    <row r="63767" spans="6:6" x14ac:dyDescent="0.3">
      <c r="F63767" s="193"/>
    </row>
    <row r="63768" spans="6:6" x14ac:dyDescent="0.3">
      <c r="F63768" s="193"/>
    </row>
    <row r="63769" spans="6:6" x14ac:dyDescent="0.3">
      <c r="F63769" s="193"/>
    </row>
    <row r="63770" spans="6:6" x14ac:dyDescent="0.3">
      <c r="F63770" s="193"/>
    </row>
    <row r="63771" spans="6:6" x14ac:dyDescent="0.3">
      <c r="F63771" s="193"/>
    </row>
    <row r="63772" spans="6:6" x14ac:dyDescent="0.3">
      <c r="F63772" s="193"/>
    </row>
    <row r="63773" spans="6:6" x14ac:dyDescent="0.3">
      <c r="F63773" s="193"/>
    </row>
    <row r="63774" spans="6:6" x14ac:dyDescent="0.3">
      <c r="F63774" s="193"/>
    </row>
    <row r="63775" spans="6:6" x14ac:dyDescent="0.3">
      <c r="F63775" s="193"/>
    </row>
    <row r="63776" spans="6:6" x14ac:dyDescent="0.3">
      <c r="F63776" s="193"/>
    </row>
    <row r="63777" spans="6:6" x14ac:dyDescent="0.3">
      <c r="F63777" s="193"/>
    </row>
    <row r="63778" spans="6:6" x14ac:dyDescent="0.3">
      <c r="F63778" s="193"/>
    </row>
    <row r="63779" spans="6:6" x14ac:dyDescent="0.3">
      <c r="F63779" s="193"/>
    </row>
    <row r="63780" spans="6:6" x14ac:dyDescent="0.3">
      <c r="F63780" s="193"/>
    </row>
    <row r="63781" spans="6:6" x14ac:dyDescent="0.3">
      <c r="F63781" s="193"/>
    </row>
    <row r="63782" spans="6:6" x14ac:dyDescent="0.3">
      <c r="F63782" s="193"/>
    </row>
    <row r="63783" spans="6:6" x14ac:dyDescent="0.3">
      <c r="F63783" s="193"/>
    </row>
    <row r="63784" spans="6:6" x14ac:dyDescent="0.3">
      <c r="F63784" s="193"/>
    </row>
    <row r="63785" spans="6:6" x14ac:dyDescent="0.3">
      <c r="F63785" s="193"/>
    </row>
    <row r="63786" spans="6:6" x14ac:dyDescent="0.3">
      <c r="F63786" s="193"/>
    </row>
    <row r="63787" spans="6:6" x14ac:dyDescent="0.3">
      <c r="F63787" s="193"/>
    </row>
    <row r="63788" spans="6:6" x14ac:dyDescent="0.3">
      <c r="F63788" s="193"/>
    </row>
    <row r="63789" spans="6:6" x14ac:dyDescent="0.3">
      <c r="F63789" s="193"/>
    </row>
    <row r="63790" spans="6:6" x14ac:dyDescent="0.3">
      <c r="F63790" s="193"/>
    </row>
    <row r="63791" spans="6:6" x14ac:dyDescent="0.3">
      <c r="F63791" s="193"/>
    </row>
    <row r="63792" spans="6:6" x14ac:dyDescent="0.3">
      <c r="F63792" s="193"/>
    </row>
    <row r="63793" spans="6:6" x14ac:dyDescent="0.3">
      <c r="F63793" s="193"/>
    </row>
    <row r="63794" spans="6:6" x14ac:dyDescent="0.3">
      <c r="F63794" s="193"/>
    </row>
    <row r="63795" spans="6:6" x14ac:dyDescent="0.3">
      <c r="F63795" s="193"/>
    </row>
    <row r="63796" spans="6:6" x14ac:dyDescent="0.3">
      <c r="F63796" s="193"/>
    </row>
    <row r="63797" spans="6:6" x14ac:dyDescent="0.3">
      <c r="F63797" s="193"/>
    </row>
    <row r="63798" spans="6:6" x14ac:dyDescent="0.3">
      <c r="F63798" s="193"/>
    </row>
    <row r="63799" spans="6:6" x14ac:dyDescent="0.3">
      <c r="F63799" s="193"/>
    </row>
    <row r="63800" spans="6:6" x14ac:dyDescent="0.3">
      <c r="F63800" s="193"/>
    </row>
    <row r="63801" spans="6:6" x14ac:dyDescent="0.3">
      <c r="F63801" s="193"/>
    </row>
    <row r="63802" spans="6:6" x14ac:dyDescent="0.3">
      <c r="F63802" s="193"/>
    </row>
    <row r="63803" spans="6:6" x14ac:dyDescent="0.3">
      <c r="F63803" s="193"/>
    </row>
    <row r="63804" spans="6:6" x14ac:dyDescent="0.3">
      <c r="F63804" s="193"/>
    </row>
    <row r="63805" spans="6:6" x14ac:dyDescent="0.3">
      <c r="F63805" s="193"/>
    </row>
    <row r="63806" spans="6:6" x14ac:dyDescent="0.3">
      <c r="F63806" s="193"/>
    </row>
    <row r="63807" spans="6:6" x14ac:dyDescent="0.3">
      <c r="F63807" s="193"/>
    </row>
    <row r="63808" spans="6:6" x14ac:dyDescent="0.3">
      <c r="F63808" s="193"/>
    </row>
    <row r="63809" spans="6:6" x14ac:dyDescent="0.3">
      <c r="F63809" s="193"/>
    </row>
    <row r="63810" spans="6:6" x14ac:dyDescent="0.3">
      <c r="F63810" s="193"/>
    </row>
    <row r="63811" spans="6:6" x14ac:dyDescent="0.3">
      <c r="F63811" s="193"/>
    </row>
    <row r="63812" spans="6:6" x14ac:dyDescent="0.3">
      <c r="F63812" s="193"/>
    </row>
    <row r="63813" spans="6:6" x14ac:dyDescent="0.3">
      <c r="F63813" s="193"/>
    </row>
    <row r="63814" spans="6:6" x14ac:dyDescent="0.3">
      <c r="F63814" s="193"/>
    </row>
    <row r="63815" spans="6:6" x14ac:dyDescent="0.3">
      <c r="F63815" s="193"/>
    </row>
    <row r="63816" spans="6:6" x14ac:dyDescent="0.3">
      <c r="F63816" s="193"/>
    </row>
    <row r="63817" spans="6:6" x14ac:dyDescent="0.3">
      <c r="F63817" s="193"/>
    </row>
    <row r="63818" spans="6:6" x14ac:dyDescent="0.3">
      <c r="F63818" s="193"/>
    </row>
    <row r="63819" spans="6:6" x14ac:dyDescent="0.3">
      <c r="F63819" s="193"/>
    </row>
    <row r="63820" spans="6:6" x14ac:dyDescent="0.3">
      <c r="F63820" s="193"/>
    </row>
    <row r="63821" spans="6:6" x14ac:dyDescent="0.3">
      <c r="F63821" s="193"/>
    </row>
    <row r="63822" spans="6:6" x14ac:dyDescent="0.3">
      <c r="F63822" s="193"/>
    </row>
    <row r="63823" spans="6:6" x14ac:dyDescent="0.3">
      <c r="F63823" s="193"/>
    </row>
    <row r="63824" spans="6:6" x14ac:dyDescent="0.3">
      <c r="F63824" s="193"/>
    </row>
    <row r="63825" spans="6:6" x14ac:dyDescent="0.3">
      <c r="F63825" s="193"/>
    </row>
    <row r="63826" spans="6:6" x14ac:dyDescent="0.3">
      <c r="F63826" s="193"/>
    </row>
    <row r="63827" spans="6:6" x14ac:dyDescent="0.3">
      <c r="F63827" s="193"/>
    </row>
    <row r="63828" spans="6:6" x14ac:dyDescent="0.3">
      <c r="F63828" s="193"/>
    </row>
    <row r="63829" spans="6:6" x14ac:dyDescent="0.3">
      <c r="F63829" s="193"/>
    </row>
    <row r="63830" spans="6:6" x14ac:dyDescent="0.3">
      <c r="F63830" s="193"/>
    </row>
    <row r="63831" spans="6:6" x14ac:dyDescent="0.3">
      <c r="F63831" s="193"/>
    </row>
    <row r="63832" spans="6:6" x14ac:dyDescent="0.3">
      <c r="F63832" s="193"/>
    </row>
    <row r="63833" spans="6:6" x14ac:dyDescent="0.3">
      <c r="F63833" s="193"/>
    </row>
    <row r="63834" spans="6:6" x14ac:dyDescent="0.3">
      <c r="F63834" s="193"/>
    </row>
    <row r="63835" spans="6:6" x14ac:dyDescent="0.3">
      <c r="F63835" s="193"/>
    </row>
    <row r="63836" spans="6:6" x14ac:dyDescent="0.3">
      <c r="F63836" s="193"/>
    </row>
    <row r="63837" spans="6:6" x14ac:dyDescent="0.3">
      <c r="F63837" s="193"/>
    </row>
    <row r="63838" spans="6:6" x14ac:dyDescent="0.3">
      <c r="F63838" s="193"/>
    </row>
    <row r="63839" spans="6:6" x14ac:dyDescent="0.3">
      <c r="F63839" s="193"/>
    </row>
    <row r="63840" spans="6:6" x14ac:dyDescent="0.3">
      <c r="F63840" s="193"/>
    </row>
    <row r="63841" spans="6:6" x14ac:dyDescent="0.3">
      <c r="F63841" s="193"/>
    </row>
    <row r="63842" spans="6:6" x14ac:dyDescent="0.3">
      <c r="F63842" s="193"/>
    </row>
    <row r="63843" spans="6:6" x14ac:dyDescent="0.3">
      <c r="F63843" s="193"/>
    </row>
    <row r="63844" spans="6:6" x14ac:dyDescent="0.3">
      <c r="F63844" s="193"/>
    </row>
    <row r="63845" spans="6:6" x14ac:dyDescent="0.3">
      <c r="F63845" s="193"/>
    </row>
    <row r="63846" spans="6:6" x14ac:dyDescent="0.3">
      <c r="F63846" s="193"/>
    </row>
    <row r="63847" spans="6:6" x14ac:dyDescent="0.3">
      <c r="F63847" s="193"/>
    </row>
    <row r="63848" spans="6:6" x14ac:dyDescent="0.3">
      <c r="F63848" s="193"/>
    </row>
    <row r="63849" spans="6:6" x14ac:dyDescent="0.3">
      <c r="F63849" s="193"/>
    </row>
    <row r="63850" spans="6:6" x14ac:dyDescent="0.3">
      <c r="F63850" s="193"/>
    </row>
    <row r="63851" spans="6:6" x14ac:dyDescent="0.3">
      <c r="F63851" s="193"/>
    </row>
    <row r="63852" spans="6:6" x14ac:dyDescent="0.3">
      <c r="F63852" s="193"/>
    </row>
    <row r="63853" spans="6:6" x14ac:dyDescent="0.3">
      <c r="F63853" s="193"/>
    </row>
    <row r="63854" spans="6:6" x14ac:dyDescent="0.3">
      <c r="F63854" s="193"/>
    </row>
    <row r="63855" spans="6:6" x14ac:dyDescent="0.3">
      <c r="F63855" s="193"/>
    </row>
    <row r="63856" spans="6:6" x14ac:dyDescent="0.3">
      <c r="F63856" s="193"/>
    </row>
    <row r="63857" spans="6:6" x14ac:dyDescent="0.3">
      <c r="F63857" s="193"/>
    </row>
    <row r="63858" spans="6:6" x14ac:dyDescent="0.3">
      <c r="F63858" s="193"/>
    </row>
    <row r="63859" spans="6:6" x14ac:dyDescent="0.3">
      <c r="F63859" s="193"/>
    </row>
    <row r="63860" spans="6:6" x14ac:dyDescent="0.3">
      <c r="F63860" s="193"/>
    </row>
    <row r="63861" spans="6:6" x14ac:dyDescent="0.3">
      <c r="F63861" s="193"/>
    </row>
    <row r="63862" spans="6:6" x14ac:dyDescent="0.3">
      <c r="F63862" s="193"/>
    </row>
    <row r="63863" spans="6:6" x14ac:dyDescent="0.3">
      <c r="F63863" s="193"/>
    </row>
    <row r="63864" spans="6:6" x14ac:dyDescent="0.3">
      <c r="F63864" s="193"/>
    </row>
    <row r="63865" spans="6:6" x14ac:dyDescent="0.3">
      <c r="F63865" s="193"/>
    </row>
    <row r="63866" spans="6:6" x14ac:dyDescent="0.3">
      <c r="F63866" s="193"/>
    </row>
    <row r="63867" spans="6:6" x14ac:dyDescent="0.3">
      <c r="F63867" s="193"/>
    </row>
    <row r="63868" spans="6:6" x14ac:dyDescent="0.3">
      <c r="F63868" s="193"/>
    </row>
    <row r="63869" spans="6:6" x14ac:dyDescent="0.3">
      <c r="F63869" s="193"/>
    </row>
    <row r="63870" spans="6:6" x14ac:dyDescent="0.3">
      <c r="F63870" s="193"/>
    </row>
    <row r="63871" spans="6:6" x14ac:dyDescent="0.3">
      <c r="F63871" s="193"/>
    </row>
    <row r="63872" spans="6:6" x14ac:dyDescent="0.3">
      <c r="F63872" s="193"/>
    </row>
    <row r="63873" spans="6:6" x14ac:dyDescent="0.3">
      <c r="F63873" s="193"/>
    </row>
    <row r="63874" spans="6:6" x14ac:dyDescent="0.3">
      <c r="F63874" s="193"/>
    </row>
    <row r="63875" spans="6:6" x14ac:dyDescent="0.3">
      <c r="F63875" s="193"/>
    </row>
    <row r="63876" spans="6:6" x14ac:dyDescent="0.3">
      <c r="F63876" s="193"/>
    </row>
    <row r="63877" spans="6:6" x14ac:dyDescent="0.3">
      <c r="F63877" s="193"/>
    </row>
    <row r="63878" spans="6:6" x14ac:dyDescent="0.3">
      <c r="F63878" s="193"/>
    </row>
    <row r="63879" spans="6:6" x14ac:dyDescent="0.3">
      <c r="F63879" s="193"/>
    </row>
    <row r="63880" spans="6:6" x14ac:dyDescent="0.3">
      <c r="F63880" s="193"/>
    </row>
    <row r="63881" spans="6:6" x14ac:dyDescent="0.3">
      <c r="F63881" s="193"/>
    </row>
    <row r="63882" spans="6:6" x14ac:dyDescent="0.3">
      <c r="F63882" s="193"/>
    </row>
    <row r="63883" spans="6:6" x14ac:dyDescent="0.3">
      <c r="F63883" s="193"/>
    </row>
    <row r="63884" spans="6:6" x14ac:dyDescent="0.3">
      <c r="F63884" s="193"/>
    </row>
    <row r="63885" spans="6:6" x14ac:dyDescent="0.3">
      <c r="F63885" s="193"/>
    </row>
    <row r="63886" spans="6:6" x14ac:dyDescent="0.3">
      <c r="F63886" s="193"/>
    </row>
    <row r="63887" spans="6:6" x14ac:dyDescent="0.3">
      <c r="F63887" s="193"/>
    </row>
    <row r="63888" spans="6:6" x14ac:dyDescent="0.3">
      <c r="F63888" s="193"/>
    </row>
    <row r="63889" spans="6:6" x14ac:dyDescent="0.3">
      <c r="F63889" s="193"/>
    </row>
    <row r="63890" spans="6:6" x14ac:dyDescent="0.3">
      <c r="F63890" s="193"/>
    </row>
    <row r="63891" spans="6:6" x14ac:dyDescent="0.3">
      <c r="F63891" s="193"/>
    </row>
    <row r="63892" spans="6:6" x14ac:dyDescent="0.3">
      <c r="F63892" s="193"/>
    </row>
    <row r="63893" spans="6:6" x14ac:dyDescent="0.3">
      <c r="F63893" s="193"/>
    </row>
    <row r="63894" spans="6:6" x14ac:dyDescent="0.3">
      <c r="F63894" s="193"/>
    </row>
    <row r="63895" spans="6:6" x14ac:dyDescent="0.3">
      <c r="F63895" s="193"/>
    </row>
    <row r="63896" spans="6:6" x14ac:dyDescent="0.3">
      <c r="F63896" s="193"/>
    </row>
    <row r="63897" spans="6:6" x14ac:dyDescent="0.3">
      <c r="F63897" s="193"/>
    </row>
    <row r="63898" spans="6:6" x14ac:dyDescent="0.3">
      <c r="F63898" s="193"/>
    </row>
    <row r="63899" spans="6:6" x14ac:dyDescent="0.3">
      <c r="F63899" s="193"/>
    </row>
    <row r="63900" spans="6:6" x14ac:dyDescent="0.3">
      <c r="F63900" s="193"/>
    </row>
    <row r="63901" spans="6:6" x14ac:dyDescent="0.3">
      <c r="F63901" s="193"/>
    </row>
    <row r="63902" spans="6:6" x14ac:dyDescent="0.3">
      <c r="F63902" s="193"/>
    </row>
    <row r="63903" spans="6:6" x14ac:dyDescent="0.3">
      <c r="F63903" s="193"/>
    </row>
    <row r="63904" spans="6:6" x14ac:dyDescent="0.3">
      <c r="F63904" s="193"/>
    </row>
    <row r="63905" spans="6:6" x14ac:dyDescent="0.3">
      <c r="F63905" s="193"/>
    </row>
    <row r="63906" spans="6:6" x14ac:dyDescent="0.3">
      <c r="F63906" s="193"/>
    </row>
    <row r="63907" spans="6:6" x14ac:dyDescent="0.3">
      <c r="F63907" s="193"/>
    </row>
    <row r="63908" spans="6:6" x14ac:dyDescent="0.3">
      <c r="F63908" s="193"/>
    </row>
    <row r="63909" spans="6:6" x14ac:dyDescent="0.3">
      <c r="F63909" s="193"/>
    </row>
    <row r="63910" spans="6:6" x14ac:dyDescent="0.3">
      <c r="F63910" s="193"/>
    </row>
    <row r="63911" spans="6:6" x14ac:dyDescent="0.3">
      <c r="F63911" s="193"/>
    </row>
    <row r="63912" spans="6:6" x14ac:dyDescent="0.3">
      <c r="F63912" s="193"/>
    </row>
    <row r="63913" spans="6:6" x14ac:dyDescent="0.3">
      <c r="F63913" s="193"/>
    </row>
    <row r="63914" spans="6:6" x14ac:dyDescent="0.3">
      <c r="F63914" s="193"/>
    </row>
    <row r="63915" spans="6:6" x14ac:dyDescent="0.3">
      <c r="F63915" s="193"/>
    </row>
    <row r="63916" spans="6:6" x14ac:dyDescent="0.3">
      <c r="F63916" s="193"/>
    </row>
    <row r="63917" spans="6:6" x14ac:dyDescent="0.3">
      <c r="F63917" s="193"/>
    </row>
    <row r="63918" spans="6:6" x14ac:dyDescent="0.3">
      <c r="F63918" s="193"/>
    </row>
    <row r="63919" spans="6:6" x14ac:dyDescent="0.3">
      <c r="F63919" s="193"/>
    </row>
    <row r="63920" spans="6:6" x14ac:dyDescent="0.3">
      <c r="F63920" s="193"/>
    </row>
    <row r="63921" spans="6:6" x14ac:dyDescent="0.3">
      <c r="F63921" s="193"/>
    </row>
    <row r="63922" spans="6:6" x14ac:dyDescent="0.3">
      <c r="F63922" s="193"/>
    </row>
    <row r="63923" spans="6:6" x14ac:dyDescent="0.3">
      <c r="F63923" s="193"/>
    </row>
    <row r="63924" spans="6:6" x14ac:dyDescent="0.3">
      <c r="F63924" s="193"/>
    </row>
    <row r="63925" spans="6:6" x14ac:dyDescent="0.3">
      <c r="F63925" s="193"/>
    </row>
    <row r="63926" spans="6:6" x14ac:dyDescent="0.3">
      <c r="F63926" s="193"/>
    </row>
    <row r="63927" spans="6:6" x14ac:dyDescent="0.3">
      <c r="F63927" s="193"/>
    </row>
    <row r="63928" spans="6:6" x14ac:dyDescent="0.3">
      <c r="F63928" s="193"/>
    </row>
    <row r="63929" spans="6:6" x14ac:dyDescent="0.3">
      <c r="F63929" s="193"/>
    </row>
    <row r="63930" spans="6:6" x14ac:dyDescent="0.3">
      <c r="F63930" s="193"/>
    </row>
    <row r="63931" spans="6:6" x14ac:dyDescent="0.3">
      <c r="F63931" s="193"/>
    </row>
    <row r="63932" spans="6:6" x14ac:dyDescent="0.3">
      <c r="F63932" s="193"/>
    </row>
    <row r="63933" spans="6:6" x14ac:dyDescent="0.3">
      <c r="F63933" s="193"/>
    </row>
    <row r="63934" spans="6:6" x14ac:dyDescent="0.3">
      <c r="F63934" s="193"/>
    </row>
    <row r="63935" spans="6:6" x14ac:dyDescent="0.3">
      <c r="F63935" s="193"/>
    </row>
    <row r="63936" spans="6:6" x14ac:dyDescent="0.3">
      <c r="F63936" s="193"/>
    </row>
    <row r="63937" spans="6:6" x14ac:dyDescent="0.3">
      <c r="F63937" s="193"/>
    </row>
    <row r="63938" spans="6:6" x14ac:dyDescent="0.3">
      <c r="F63938" s="193"/>
    </row>
    <row r="63939" spans="6:6" x14ac:dyDescent="0.3">
      <c r="F63939" s="193"/>
    </row>
    <row r="63940" spans="6:6" x14ac:dyDescent="0.3">
      <c r="F63940" s="193"/>
    </row>
    <row r="63941" spans="6:6" x14ac:dyDescent="0.3">
      <c r="F63941" s="193"/>
    </row>
    <row r="63942" spans="6:6" x14ac:dyDescent="0.3">
      <c r="F63942" s="193"/>
    </row>
    <row r="63943" spans="6:6" x14ac:dyDescent="0.3">
      <c r="F63943" s="193"/>
    </row>
    <row r="63944" spans="6:6" x14ac:dyDescent="0.3">
      <c r="F63944" s="193"/>
    </row>
    <row r="63945" spans="6:6" x14ac:dyDescent="0.3">
      <c r="F63945" s="193"/>
    </row>
    <row r="63946" spans="6:6" x14ac:dyDescent="0.3">
      <c r="F63946" s="193"/>
    </row>
    <row r="63947" spans="6:6" x14ac:dyDescent="0.3">
      <c r="F63947" s="193"/>
    </row>
    <row r="63948" spans="6:6" x14ac:dyDescent="0.3">
      <c r="F63948" s="193"/>
    </row>
    <row r="63949" spans="6:6" x14ac:dyDescent="0.3">
      <c r="F63949" s="193"/>
    </row>
    <row r="63950" spans="6:6" x14ac:dyDescent="0.3">
      <c r="F63950" s="193"/>
    </row>
    <row r="63951" spans="6:6" x14ac:dyDescent="0.3">
      <c r="F63951" s="193"/>
    </row>
    <row r="63952" spans="6:6" x14ac:dyDescent="0.3">
      <c r="F63952" s="193"/>
    </row>
    <row r="63953" spans="6:6" x14ac:dyDescent="0.3">
      <c r="F63953" s="193"/>
    </row>
    <row r="63954" spans="6:6" x14ac:dyDescent="0.3">
      <c r="F63954" s="193"/>
    </row>
    <row r="63955" spans="6:6" x14ac:dyDescent="0.3">
      <c r="F63955" s="193"/>
    </row>
    <row r="63956" spans="6:6" x14ac:dyDescent="0.3">
      <c r="F63956" s="193"/>
    </row>
    <row r="63957" spans="6:6" x14ac:dyDescent="0.3">
      <c r="F63957" s="193"/>
    </row>
    <row r="63958" spans="6:6" x14ac:dyDescent="0.3">
      <c r="F63958" s="193"/>
    </row>
    <row r="63959" spans="6:6" x14ac:dyDescent="0.3">
      <c r="F63959" s="193"/>
    </row>
    <row r="63960" spans="6:6" x14ac:dyDescent="0.3">
      <c r="F63960" s="193"/>
    </row>
    <row r="63961" spans="6:6" x14ac:dyDescent="0.3">
      <c r="F63961" s="193"/>
    </row>
    <row r="63962" spans="6:6" x14ac:dyDescent="0.3">
      <c r="F63962" s="193"/>
    </row>
    <row r="63963" spans="6:6" x14ac:dyDescent="0.3">
      <c r="F63963" s="193"/>
    </row>
    <row r="63964" spans="6:6" x14ac:dyDescent="0.3">
      <c r="F63964" s="193"/>
    </row>
    <row r="63965" spans="6:6" x14ac:dyDescent="0.3">
      <c r="F63965" s="193"/>
    </row>
    <row r="63966" spans="6:6" x14ac:dyDescent="0.3">
      <c r="F63966" s="193"/>
    </row>
    <row r="63967" spans="6:6" x14ac:dyDescent="0.3">
      <c r="F63967" s="193"/>
    </row>
    <row r="63968" spans="6:6" x14ac:dyDescent="0.3">
      <c r="F63968" s="193"/>
    </row>
    <row r="63969" spans="6:6" x14ac:dyDescent="0.3">
      <c r="F63969" s="193"/>
    </row>
    <row r="63970" spans="6:6" x14ac:dyDescent="0.3">
      <c r="F63970" s="193"/>
    </row>
    <row r="63971" spans="6:6" x14ac:dyDescent="0.3">
      <c r="F63971" s="193"/>
    </row>
    <row r="63972" spans="6:6" x14ac:dyDescent="0.3">
      <c r="F63972" s="193"/>
    </row>
    <row r="63973" spans="6:6" x14ac:dyDescent="0.3">
      <c r="F63973" s="193"/>
    </row>
    <row r="63974" spans="6:6" x14ac:dyDescent="0.3">
      <c r="F63974" s="193"/>
    </row>
    <row r="63975" spans="6:6" x14ac:dyDescent="0.3">
      <c r="F63975" s="193"/>
    </row>
    <row r="63976" spans="6:6" x14ac:dyDescent="0.3">
      <c r="F63976" s="193"/>
    </row>
    <row r="63977" spans="6:6" x14ac:dyDescent="0.3">
      <c r="F63977" s="193"/>
    </row>
    <row r="63978" spans="6:6" x14ac:dyDescent="0.3">
      <c r="F63978" s="193"/>
    </row>
    <row r="63979" spans="6:6" x14ac:dyDescent="0.3">
      <c r="F63979" s="193"/>
    </row>
    <row r="63980" spans="6:6" x14ac:dyDescent="0.3">
      <c r="F63980" s="193"/>
    </row>
    <row r="63981" spans="6:6" x14ac:dyDescent="0.3">
      <c r="F63981" s="193"/>
    </row>
    <row r="63982" spans="6:6" x14ac:dyDescent="0.3">
      <c r="F63982" s="193"/>
    </row>
    <row r="63983" spans="6:6" x14ac:dyDescent="0.3">
      <c r="F63983" s="193"/>
    </row>
    <row r="63984" spans="6:6" x14ac:dyDescent="0.3">
      <c r="F63984" s="193"/>
    </row>
    <row r="63985" spans="6:6" x14ac:dyDescent="0.3">
      <c r="F63985" s="193"/>
    </row>
    <row r="63986" spans="6:6" x14ac:dyDescent="0.3">
      <c r="F63986" s="193"/>
    </row>
    <row r="63987" spans="6:6" x14ac:dyDescent="0.3">
      <c r="F63987" s="193"/>
    </row>
    <row r="63988" spans="6:6" x14ac:dyDescent="0.3">
      <c r="F63988" s="193"/>
    </row>
    <row r="63989" spans="6:6" x14ac:dyDescent="0.3">
      <c r="F63989" s="193"/>
    </row>
    <row r="63990" spans="6:6" x14ac:dyDescent="0.3">
      <c r="F63990" s="193"/>
    </row>
    <row r="63991" spans="6:6" x14ac:dyDescent="0.3">
      <c r="F63991" s="193"/>
    </row>
    <row r="63992" spans="6:6" x14ac:dyDescent="0.3">
      <c r="F63992" s="193"/>
    </row>
    <row r="63993" spans="6:6" x14ac:dyDescent="0.3">
      <c r="F63993" s="193"/>
    </row>
    <row r="63994" spans="6:6" x14ac:dyDescent="0.3">
      <c r="F63994" s="193"/>
    </row>
    <row r="63995" spans="6:6" x14ac:dyDescent="0.3">
      <c r="F63995" s="193"/>
    </row>
    <row r="63996" spans="6:6" x14ac:dyDescent="0.3">
      <c r="F63996" s="193"/>
    </row>
    <row r="63997" spans="6:6" x14ac:dyDescent="0.3">
      <c r="F63997" s="193"/>
    </row>
    <row r="63998" spans="6:6" x14ac:dyDescent="0.3">
      <c r="F63998" s="193"/>
    </row>
    <row r="63999" spans="6:6" x14ac:dyDescent="0.3">
      <c r="F63999" s="193"/>
    </row>
    <row r="64000" spans="6:6" x14ac:dyDescent="0.3">
      <c r="F64000" s="193"/>
    </row>
    <row r="64001" spans="6:6" x14ac:dyDescent="0.3">
      <c r="F64001" s="193"/>
    </row>
    <row r="64002" spans="6:6" x14ac:dyDescent="0.3">
      <c r="F64002" s="193"/>
    </row>
    <row r="64003" spans="6:6" x14ac:dyDescent="0.3">
      <c r="F64003" s="193"/>
    </row>
    <row r="64004" spans="6:6" x14ac:dyDescent="0.3">
      <c r="F64004" s="193"/>
    </row>
    <row r="64005" spans="6:6" x14ac:dyDescent="0.3">
      <c r="F64005" s="193"/>
    </row>
    <row r="64006" spans="6:6" x14ac:dyDescent="0.3">
      <c r="F64006" s="193"/>
    </row>
    <row r="64007" spans="6:6" x14ac:dyDescent="0.3">
      <c r="F64007" s="193"/>
    </row>
    <row r="64008" spans="6:6" x14ac:dyDescent="0.3">
      <c r="F64008" s="193"/>
    </row>
    <row r="64009" spans="6:6" x14ac:dyDescent="0.3">
      <c r="F64009" s="193"/>
    </row>
    <row r="64010" spans="6:6" x14ac:dyDescent="0.3">
      <c r="F64010" s="193"/>
    </row>
    <row r="64011" spans="6:6" x14ac:dyDescent="0.3">
      <c r="F64011" s="193"/>
    </row>
    <row r="64012" spans="6:6" x14ac:dyDescent="0.3">
      <c r="F64012" s="193"/>
    </row>
    <row r="64013" spans="6:6" x14ac:dyDescent="0.3">
      <c r="F64013" s="193"/>
    </row>
    <row r="64014" spans="6:6" x14ac:dyDescent="0.3">
      <c r="F64014" s="193"/>
    </row>
    <row r="64015" spans="6:6" x14ac:dyDescent="0.3">
      <c r="F64015" s="193"/>
    </row>
    <row r="64016" spans="6:6" x14ac:dyDescent="0.3">
      <c r="F64016" s="193"/>
    </row>
    <row r="64017" spans="6:6" x14ac:dyDescent="0.3">
      <c r="F64017" s="193"/>
    </row>
    <row r="64018" spans="6:6" x14ac:dyDescent="0.3">
      <c r="F64018" s="193"/>
    </row>
    <row r="64019" spans="6:6" x14ac:dyDescent="0.3">
      <c r="F64019" s="193"/>
    </row>
    <row r="64020" spans="6:6" x14ac:dyDescent="0.3">
      <c r="F64020" s="193"/>
    </row>
    <row r="64021" spans="6:6" x14ac:dyDescent="0.3">
      <c r="F64021" s="193"/>
    </row>
    <row r="64022" spans="6:6" x14ac:dyDescent="0.3">
      <c r="F64022" s="193"/>
    </row>
    <row r="64023" spans="6:6" x14ac:dyDescent="0.3">
      <c r="F64023" s="193"/>
    </row>
    <row r="64024" spans="6:6" x14ac:dyDescent="0.3">
      <c r="F64024" s="193"/>
    </row>
    <row r="64025" spans="6:6" x14ac:dyDescent="0.3">
      <c r="F64025" s="193"/>
    </row>
    <row r="64026" spans="6:6" x14ac:dyDescent="0.3">
      <c r="F64026" s="193"/>
    </row>
    <row r="64027" spans="6:6" x14ac:dyDescent="0.3">
      <c r="F64027" s="193"/>
    </row>
    <row r="64028" spans="6:6" x14ac:dyDescent="0.3">
      <c r="F64028" s="193"/>
    </row>
    <row r="64029" spans="6:6" x14ac:dyDescent="0.3">
      <c r="F64029" s="193"/>
    </row>
    <row r="64030" spans="6:6" x14ac:dyDescent="0.3">
      <c r="F64030" s="193"/>
    </row>
    <row r="64031" spans="6:6" x14ac:dyDescent="0.3">
      <c r="F64031" s="193"/>
    </row>
    <row r="64032" spans="6:6" x14ac:dyDescent="0.3">
      <c r="F64032" s="193"/>
    </row>
    <row r="64033" spans="6:6" x14ac:dyDescent="0.3">
      <c r="F64033" s="193"/>
    </row>
    <row r="64034" spans="6:6" x14ac:dyDescent="0.3">
      <c r="F64034" s="193"/>
    </row>
    <row r="64035" spans="6:6" x14ac:dyDescent="0.3">
      <c r="F64035" s="193"/>
    </row>
    <row r="64036" spans="6:6" x14ac:dyDescent="0.3">
      <c r="F64036" s="193"/>
    </row>
    <row r="64037" spans="6:6" x14ac:dyDescent="0.3">
      <c r="F64037" s="193"/>
    </row>
    <row r="64038" spans="6:6" x14ac:dyDescent="0.3">
      <c r="F64038" s="193"/>
    </row>
    <row r="64039" spans="6:6" x14ac:dyDescent="0.3">
      <c r="F64039" s="193"/>
    </row>
    <row r="64040" spans="6:6" x14ac:dyDescent="0.3">
      <c r="F64040" s="193"/>
    </row>
    <row r="64041" spans="6:6" x14ac:dyDescent="0.3">
      <c r="F64041" s="193"/>
    </row>
    <row r="64042" spans="6:6" x14ac:dyDescent="0.3">
      <c r="F64042" s="193"/>
    </row>
    <row r="64043" spans="6:6" x14ac:dyDescent="0.3">
      <c r="F64043" s="193"/>
    </row>
    <row r="64044" spans="6:6" x14ac:dyDescent="0.3">
      <c r="F64044" s="193"/>
    </row>
    <row r="64045" spans="6:6" x14ac:dyDescent="0.3">
      <c r="F64045" s="193"/>
    </row>
    <row r="64046" spans="6:6" x14ac:dyDescent="0.3">
      <c r="F64046" s="193"/>
    </row>
    <row r="64047" spans="6:6" x14ac:dyDescent="0.3">
      <c r="F64047" s="193"/>
    </row>
    <row r="64048" spans="6:6" x14ac:dyDescent="0.3">
      <c r="F64048" s="193"/>
    </row>
    <row r="64049" spans="6:6" x14ac:dyDescent="0.3">
      <c r="F64049" s="193"/>
    </row>
    <row r="64050" spans="6:6" x14ac:dyDescent="0.3">
      <c r="F64050" s="193"/>
    </row>
    <row r="64051" spans="6:6" x14ac:dyDescent="0.3">
      <c r="F64051" s="193"/>
    </row>
    <row r="64052" spans="6:6" x14ac:dyDescent="0.3">
      <c r="F64052" s="193"/>
    </row>
    <row r="64053" spans="6:6" x14ac:dyDescent="0.3">
      <c r="F64053" s="193"/>
    </row>
    <row r="64054" spans="6:6" x14ac:dyDescent="0.3">
      <c r="F64054" s="193"/>
    </row>
    <row r="64055" spans="6:6" x14ac:dyDescent="0.3">
      <c r="F64055" s="193"/>
    </row>
    <row r="64056" spans="6:6" x14ac:dyDescent="0.3">
      <c r="F64056" s="193"/>
    </row>
    <row r="64057" spans="6:6" x14ac:dyDescent="0.3">
      <c r="F64057" s="193"/>
    </row>
    <row r="64058" spans="6:6" x14ac:dyDescent="0.3">
      <c r="F64058" s="193"/>
    </row>
    <row r="64059" spans="6:6" x14ac:dyDescent="0.3">
      <c r="F64059" s="193"/>
    </row>
    <row r="64060" spans="6:6" x14ac:dyDescent="0.3">
      <c r="F64060" s="193"/>
    </row>
    <row r="64061" spans="6:6" x14ac:dyDescent="0.3">
      <c r="F64061" s="193"/>
    </row>
    <row r="64062" spans="6:6" x14ac:dyDescent="0.3">
      <c r="F64062" s="193"/>
    </row>
    <row r="64063" spans="6:6" x14ac:dyDescent="0.3">
      <c r="F64063" s="193"/>
    </row>
    <row r="64064" spans="6:6" x14ac:dyDescent="0.3">
      <c r="F64064" s="193"/>
    </row>
    <row r="64065" spans="6:6" x14ac:dyDescent="0.3">
      <c r="F64065" s="193"/>
    </row>
    <row r="64066" spans="6:6" x14ac:dyDescent="0.3">
      <c r="F64066" s="193"/>
    </row>
    <row r="64067" spans="6:6" x14ac:dyDescent="0.3">
      <c r="F64067" s="193"/>
    </row>
    <row r="64068" spans="6:6" x14ac:dyDescent="0.3">
      <c r="F64068" s="193"/>
    </row>
    <row r="64069" spans="6:6" x14ac:dyDescent="0.3">
      <c r="F64069" s="193"/>
    </row>
    <row r="64070" spans="6:6" x14ac:dyDescent="0.3">
      <c r="F64070" s="193"/>
    </row>
    <row r="64071" spans="6:6" x14ac:dyDescent="0.3">
      <c r="F64071" s="193"/>
    </row>
    <row r="64072" spans="6:6" x14ac:dyDescent="0.3">
      <c r="F64072" s="193"/>
    </row>
    <row r="64073" spans="6:6" x14ac:dyDescent="0.3">
      <c r="F64073" s="193"/>
    </row>
    <row r="64074" spans="6:6" x14ac:dyDescent="0.3">
      <c r="F64074" s="193"/>
    </row>
    <row r="64075" spans="6:6" x14ac:dyDescent="0.3">
      <c r="F64075" s="193"/>
    </row>
    <row r="64076" spans="6:6" x14ac:dyDescent="0.3">
      <c r="F64076" s="193"/>
    </row>
    <row r="64077" spans="6:6" x14ac:dyDescent="0.3">
      <c r="F64077" s="193"/>
    </row>
    <row r="64078" spans="6:6" x14ac:dyDescent="0.3">
      <c r="F64078" s="193"/>
    </row>
    <row r="64079" spans="6:6" x14ac:dyDescent="0.3">
      <c r="F64079" s="193"/>
    </row>
    <row r="64080" spans="6:6" x14ac:dyDescent="0.3">
      <c r="F64080" s="193"/>
    </row>
    <row r="64081" spans="6:6" x14ac:dyDescent="0.3">
      <c r="F64081" s="193"/>
    </row>
    <row r="64082" spans="6:6" x14ac:dyDescent="0.3">
      <c r="F64082" s="193"/>
    </row>
    <row r="64083" spans="6:6" x14ac:dyDescent="0.3">
      <c r="F64083" s="193"/>
    </row>
    <row r="64084" spans="6:6" x14ac:dyDescent="0.3">
      <c r="F64084" s="193"/>
    </row>
    <row r="64085" spans="6:6" x14ac:dyDescent="0.3">
      <c r="F64085" s="193"/>
    </row>
    <row r="64086" spans="6:6" x14ac:dyDescent="0.3">
      <c r="F64086" s="193"/>
    </row>
    <row r="64087" spans="6:6" x14ac:dyDescent="0.3">
      <c r="F64087" s="193"/>
    </row>
    <row r="64088" spans="6:6" x14ac:dyDescent="0.3">
      <c r="F64088" s="193"/>
    </row>
    <row r="64089" spans="6:6" x14ac:dyDescent="0.3">
      <c r="F64089" s="193"/>
    </row>
    <row r="64090" spans="6:6" x14ac:dyDescent="0.3">
      <c r="F64090" s="193"/>
    </row>
    <row r="64091" spans="6:6" x14ac:dyDescent="0.3">
      <c r="F64091" s="193"/>
    </row>
    <row r="64092" spans="6:6" x14ac:dyDescent="0.3">
      <c r="F64092" s="193"/>
    </row>
    <row r="64093" spans="6:6" x14ac:dyDescent="0.3">
      <c r="F64093" s="193"/>
    </row>
    <row r="64094" spans="6:6" x14ac:dyDescent="0.3">
      <c r="F64094" s="193"/>
    </row>
    <row r="64095" spans="6:6" x14ac:dyDescent="0.3">
      <c r="F64095" s="193"/>
    </row>
    <row r="64096" spans="6:6" x14ac:dyDescent="0.3">
      <c r="F64096" s="193"/>
    </row>
    <row r="64097" spans="6:6" x14ac:dyDescent="0.3">
      <c r="F64097" s="193"/>
    </row>
    <row r="64098" spans="6:6" x14ac:dyDescent="0.3">
      <c r="F64098" s="193"/>
    </row>
    <row r="64099" spans="6:6" x14ac:dyDescent="0.3">
      <c r="F64099" s="193"/>
    </row>
    <row r="64100" spans="6:6" x14ac:dyDescent="0.3">
      <c r="F64100" s="193"/>
    </row>
    <row r="64101" spans="6:6" x14ac:dyDescent="0.3">
      <c r="F64101" s="193"/>
    </row>
    <row r="64102" spans="6:6" x14ac:dyDescent="0.3">
      <c r="F64102" s="193"/>
    </row>
    <row r="64103" spans="6:6" x14ac:dyDescent="0.3">
      <c r="F64103" s="193"/>
    </row>
    <row r="64104" spans="6:6" x14ac:dyDescent="0.3">
      <c r="F64104" s="193"/>
    </row>
    <row r="64105" spans="6:6" x14ac:dyDescent="0.3">
      <c r="F64105" s="193"/>
    </row>
    <row r="64106" spans="6:6" x14ac:dyDescent="0.3">
      <c r="F64106" s="193"/>
    </row>
    <row r="64107" spans="6:6" x14ac:dyDescent="0.3">
      <c r="F64107" s="193"/>
    </row>
    <row r="64108" spans="6:6" x14ac:dyDescent="0.3">
      <c r="F64108" s="193"/>
    </row>
    <row r="64109" spans="6:6" x14ac:dyDescent="0.3">
      <c r="F64109" s="193"/>
    </row>
    <row r="64110" spans="6:6" x14ac:dyDescent="0.3">
      <c r="F64110" s="193"/>
    </row>
    <row r="64111" spans="6:6" x14ac:dyDescent="0.3">
      <c r="F64111" s="193"/>
    </row>
    <row r="64112" spans="6:6" x14ac:dyDescent="0.3">
      <c r="F64112" s="193"/>
    </row>
    <row r="64113" spans="6:6" x14ac:dyDescent="0.3">
      <c r="F64113" s="193"/>
    </row>
    <row r="64114" spans="6:6" x14ac:dyDescent="0.3">
      <c r="F64114" s="193"/>
    </row>
    <row r="64115" spans="6:6" x14ac:dyDescent="0.3">
      <c r="F64115" s="193"/>
    </row>
    <row r="64116" spans="6:6" x14ac:dyDescent="0.3">
      <c r="F64116" s="193"/>
    </row>
    <row r="64117" spans="6:6" x14ac:dyDescent="0.3">
      <c r="F64117" s="193"/>
    </row>
    <row r="64118" spans="6:6" x14ac:dyDescent="0.3">
      <c r="F64118" s="193"/>
    </row>
    <row r="64119" spans="6:6" x14ac:dyDescent="0.3">
      <c r="F64119" s="193"/>
    </row>
    <row r="64120" spans="6:6" x14ac:dyDescent="0.3">
      <c r="F64120" s="193"/>
    </row>
    <row r="64121" spans="6:6" x14ac:dyDescent="0.3">
      <c r="F64121" s="193"/>
    </row>
    <row r="64122" spans="6:6" x14ac:dyDescent="0.3">
      <c r="F64122" s="193"/>
    </row>
    <row r="64123" spans="6:6" x14ac:dyDescent="0.3">
      <c r="F64123" s="193"/>
    </row>
    <row r="64124" spans="6:6" x14ac:dyDescent="0.3">
      <c r="F64124" s="193"/>
    </row>
    <row r="64125" spans="6:6" x14ac:dyDescent="0.3">
      <c r="F64125" s="193"/>
    </row>
    <row r="64126" spans="6:6" x14ac:dyDescent="0.3">
      <c r="F64126" s="193"/>
    </row>
    <row r="64127" spans="6:6" x14ac:dyDescent="0.3">
      <c r="F64127" s="193"/>
    </row>
    <row r="64128" spans="6:6" x14ac:dyDescent="0.3">
      <c r="F64128" s="193"/>
    </row>
    <row r="64129" spans="6:6" x14ac:dyDescent="0.3">
      <c r="F64129" s="193"/>
    </row>
    <row r="64130" spans="6:6" x14ac:dyDescent="0.3">
      <c r="F64130" s="193"/>
    </row>
    <row r="64131" spans="6:6" x14ac:dyDescent="0.3">
      <c r="F64131" s="193"/>
    </row>
    <row r="64132" spans="6:6" x14ac:dyDescent="0.3">
      <c r="F64132" s="193"/>
    </row>
    <row r="64133" spans="6:6" x14ac:dyDescent="0.3">
      <c r="F64133" s="193"/>
    </row>
    <row r="64134" spans="6:6" x14ac:dyDescent="0.3">
      <c r="F64134" s="193"/>
    </row>
    <row r="64135" spans="6:6" x14ac:dyDescent="0.3">
      <c r="F64135" s="193"/>
    </row>
    <row r="64136" spans="6:6" x14ac:dyDescent="0.3">
      <c r="F64136" s="193"/>
    </row>
    <row r="64137" spans="6:6" x14ac:dyDescent="0.3">
      <c r="F64137" s="193"/>
    </row>
    <row r="64138" spans="6:6" x14ac:dyDescent="0.3">
      <c r="F64138" s="193"/>
    </row>
    <row r="64139" spans="6:6" x14ac:dyDescent="0.3">
      <c r="F64139" s="193"/>
    </row>
    <row r="64140" spans="6:6" x14ac:dyDescent="0.3">
      <c r="F64140" s="193"/>
    </row>
    <row r="64141" spans="6:6" x14ac:dyDescent="0.3">
      <c r="F64141" s="193"/>
    </row>
    <row r="64142" spans="6:6" x14ac:dyDescent="0.3">
      <c r="F64142" s="193"/>
    </row>
    <row r="64143" spans="6:6" x14ac:dyDescent="0.3">
      <c r="F64143" s="193"/>
    </row>
    <row r="64144" spans="6:6" x14ac:dyDescent="0.3">
      <c r="F64144" s="193"/>
    </row>
    <row r="64145" spans="6:6" x14ac:dyDescent="0.3">
      <c r="F64145" s="193"/>
    </row>
    <row r="64146" spans="6:6" x14ac:dyDescent="0.3">
      <c r="F64146" s="193"/>
    </row>
    <row r="64147" spans="6:6" x14ac:dyDescent="0.3">
      <c r="F64147" s="193"/>
    </row>
    <row r="64148" spans="6:6" x14ac:dyDescent="0.3">
      <c r="F64148" s="193"/>
    </row>
    <row r="64149" spans="6:6" x14ac:dyDescent="0.3">
      <c r="F64149" s="193"/>
    </row>
    <row r="64150" spans="6:6" x14ac:dyDescent="0.3">
      <c r="F64150" s="193"/>
    </row>
    <row r="64151" spans="6:6" x14ac:dyDescent="0.3">
      <c r="F64151" s="193"/>
    </row>
    <row r="64152" spans="6:6" x14ac:dyDescent="0.3">
      <c r="F64152" s="193"/>
    </row>
    <row r="64153" spans="6:6" x14ac:dyDescent="0.3">
      <c r="F64153" s="193"/>
    </row>
    <row r="64154" spans="6:6" x14ac:dyDescent="0.3">
      <c r="F64154" s="193"/>
    </row>
    <row r="64155" spans="6:6" x14ac:dyDescent="0.3">
      <c r="F64155" s="193"/>
    </row>
    <row r="64156" spans="6:6" x14ac:dyDescent="0.3">
      <c r="F64156" s="193"/>
    </row>
    <row r="64157" spans="6:6" x14ac:dyDescent="0.3">
      <c r="F64157" s="193"/>
    </row>
    <row r="64158" spans="6:6" x14ac:dyDescent="0.3">
      <c r="F64158" s="193"/>
    </row>
    <row r="64159" spans="6:6" x14ac:dyDescent="0.3">
      <c r="F64159" s="193"/>
    </row>
    <row r="64160" spans="6:6" x14ac:dyDescent="0.3">
      <c r="F64160" s="193"/>
    </row>
    <row r="64161" spans="6:6" x14ac:dyDescent="0.3">
      <c r="F64161" s="193"/>
    </row>
    <row r="64162" spans="6:6" x14ac:dyDescent="0.3">
      <c r="F64162" s="193"/>
    </row>
    <row r="64163" spans="6:6" x14ac:dyDescent="0.3">
      <c r="F64163" s="193"/>
    </row>
    <row r="64164" spans="6:6" x14ac:dyDescent="0.3">
      <c r="F64164" s="193"/>
    </row>
    <row r="64165" spans="6:6" x14ac:dyDescent="0.3">
      <c r="F64165" s="193"/>
    </row>
    <row r="64166" spans="6:6" x14ac:dyDescent="0.3">
      <c r="F64166" s="193"/>
    </row>
    <row r="64167" spans="6:6" x14ac:dyDescent="0.3">
      <c r="F64167" s="193"/>
    </row>
    <row r="64168" spans="6:6" x14ac:dyDescent="0.3">
      <c r="F64168" s="193"/>
    </row>
    <row r="64169" spans="6:6" x14ac:dyDescent="0.3">
      <c r="F64169" s="193"/>
    </row>
    <row r="64170" spans="6:6" x14ac:dyDescent="0.3">
      <c r="F64170" s="193"/>
    </row>
    <row r="64171" spans="6:6" x14ac:dyDescent="0.3">
      <c r="F64171" s="193"/>
    </row>
    <row r="64172" spans="6:6" x14ac:dyDescent="0.3">
      <c r="F64172" s="193"/>
    </row>
    <row r="64173" spans="6:6" x14ac:dyDescent="0.3">
      <c r="F64173" s="193"/>
    </row>
    <row r="64174" spans="6:6" x14ac:dyDescent="0.3">
      <c r="F64174" s="193"/>
    </row>
    <row r="64175" spans="6:6" x14ac:dyDescent="0.3">
      <c r="F64175" s="193"/>
    </row>
    <row r="64176" spans="6:6" x14ac:dyDescent="0.3">
      <c r="F64176" s="193"/>
    </row>
    <row r="64177" spans="6:6" x14ac:dyDescent="0.3">
      <c r="F64177" s="193"/>
    </row>
    <row r="64178" spans="6:6" x14ac:dyDescent="0.3">
      <c r="F64178" s="193"/>
    </row>
    <row r="64179" spans="6:6" x14ac:dyDescent="0.3">
      <c r="F64179" s="193"/>
    </row>
    <row r="64180" spans="6:6" x14ac:dyDescent="0.3">
      <c r="F64180" s="193"/>
    </row>
    <row r="64181" spans="6:6" x14ac:dyDescent="0.3">
      <c r="F64181" s="193"/>
    </row>
    <row r="64182" spans="6:6" x14ac:dyDescent="0.3">
      <c r="F64182" s="193"/>
    </row>
    <row r="64183" spans="6:6" x14ac:dyDescent="0.3">
      <c r="F64183" s="193"/>
    </row>
    <row r="64184" spans="6:6" x14ac:dyDescent="0.3">
      <c r="F64184" s="193"/>
    </row>
    <row r="64185" spans="6:6" x14ac:dyDescent="0.3">
      <c r="F64185" s="193"/>
    </row>
    <row r="64186" spans="6:6" x14ac:dyDescent="0.3">
      <c r="F64186" s="193"/>
    </row>
    <row r="64187" spans="6:6" x14ac:dyDescent="0.3">
      <c r="F64187" s="193"/>
    </row>
    <row r="64188" spans="6:6" x14ac:dyDescent="0.3">
      <c r="F64188" s="193"/>
    </row>
    <row r="64189" spans="6:6" x14ac:dyDescent="0.3">
      <c r="F64189" s="193"/>
    </row>
    <row r="64190" spans="6:6" x14ac:dyDescent="0.3">
      <c r="F64190" s="193"/>
    </row>
    <row r="64191" spans="6:6" x14ac:dyDescent="0.3">
      <c r="F64191" s="193"/>
    </row>
    <row r="64192" spans="6:6" x14ac:dyDescent="0.3">
      <c r="F64192" s="193"/>
    </row>
    <row r="64193" spans="6:6" x14ac:dyDescent="0.3">
      <c r="F64193" s="193"/>
    </row>
    <row r="64194" spans="6:6" x14ac:dyDescent="0.3">
      <c r="F64194" s="193"/>
    </row>
    <row r="64195" spans="6:6" x14ac:dyDescent="0.3">
      <c r="F64195" s="193"/>
    </row>
    <row r="64196" spans="6:6" x14ac:dyDescent="0.3">
      <c r="F64196" s="193"/>
    </row>
    <row r="64197" spans="6:6" x14ac:dyDescent="0.3">
      <c r="F64197" s="193"/>
    </row>
    <row r="64198" spans="6:6" x14ac:dyDescent="0.3">
      <c r="F64198" s="193"/>
    </row>
    <row r="64199" spans="6:6" x14ac:dyDescent="0.3">
      <c r="F64199" s="193"/>
    </row>
    <row r="64200" spans="6:6" x14ac:dyDescent="0.3">
      <c r="F64200" s="193"/>
    </row>
    <row r="64201" spans="6:6" x14ac:dyDescent="0.3">
      <c r="F64201" s="193"/>
    </row>
    <row r="64202" spans="6:6" x14ac:dyDescent="0.3">
      <c r="F64202" s="193"/>
    </row>
    <row r="64203" spans="6:6" x14ac:dyDescent="0.3">
      <c r="F64203" s="193"/>
    </row>
    <row r="64204" spans="6:6" x14ac:dyDescent="0.3">
      <c r="F64204" s="193"/>
    </row>
    <row r="64205" spans="6:6" x14ac:dyDescent="0.3">
      <c r="F64205" s="193"/>
    </row>
    <row r="64206" spans="6:6" x14ac:dyDescent="0.3">
      <c r="F64206" s="193"/>
    </row>
    <row r="64207" spans="6:6" x14ac:dyDescent="0.3">
      <c r="F64207" s="193"/>
    </row>
    <row r="64208" spans="6:6" x14ac:dyDescent="0.3">
      <c r="F64208" s="193"/>
    </row>
    <row r="64209" spans="6:6" x14ac:dyDescent="0.3">
      <c r="F64209" s="193"/>
    </row>
    <row r="64210" spans="6:6" x14ac:dyDescent="0.3">
      <c r="F64210" s="193"/>
    </row>
    <row r="64211" spans="6:6" x14ac:dyDescent="0.3">
      <c r="F64211" s="193"/>
    </row>
    <row r="64212" spans="6:6" x14ac:dyDescent="0.3">
      <c r="F64212" s="193"/>
    </row>
    <row r="64213" spans="6:6" x14ac:dyDescent="0.3">
      <c r="F64213" s="193"/>
    </row>
    <row r="64214" spans="6:6" x14ac:dyDescent="0.3">
      <c r="F64214" s="193"/>
    </row>
    <row r="64215" spans="6:6" x14ac:dyDescent="0.3">
      <c r="F64215" s="193"/>
    </row>
    <row r="64216" spans="6:6" x14ac:dyDescent="0.3">
      <c r="F64216" s="193"/>
    </row>
    <row r="64217" spans="6:6" x14ac:dyDescent="0.3">
      <c r="F64217" s="193"/>
    </row>
    <row r="64218" spans="6:6" x14ac:dyDescent="0.3">
      <c r="F64218" s="193"/>
    </row>
    <row r="64219" spans="6:6" x14ac:dyDescent="0.3">
      <c r="F64219" s="193"/>
    </row>
    <row r="64220" spans="6:6" x14ac:dyDescent="0.3">
      <c r="F64220" s="193"/>
    </row>
    <row r="64221" spans="6:6" x14ac:dyDescent="0.3">
      <c r="F64221" s="193"/>
    </row>
    <row r="64222" spans="6:6" x14ac:dyDescent="0.3">
      <c r="F64222" s="193"/>
    </row>
    <row r="64223" spans="6:6" x14ac:dyDescent="0.3">
      <c r="F64223" s="193"/>
    </row>
    <row r="64224" spans="6:6" x14ac:dyDescent="0.3">
      <c r="F64224" s="193"/>
    </row>
    <row r="64225" spans="6:6" x14ac:dyDescent="0.3">
      <c r="F64225" s="193"/>
    </row>
    <row r="64226" spans="6:6" x14ac:dyDescent="0.3">
      <c r="F64226" s="193"/>
    </row>
    <row r="64227" spans="6:6" x14ac:dyDescent="0.3">
      <c r="F64227" s="193"/>
    </row>
    <row r="64228" spans="6:6" x14ac:dyDescent="0.3">
      <c r="F64228" s="193"/>
    </row>
    <row r="64229" spans="6:6" x14ac:dyDescent="0.3">
      <c r="F64229" s="193"/>
    </row>
    <row r="64230" spans="6:6" x14ac:dyDescent="0.3">
      <c r="F64230" s="193"/>
    </row>
    <row r="64231" spans="6:6" x14ac:dyDescent="0.3">
      <c r="F64231" s="193"/>
    </row>
    <row r="64232" spans="6:6" x14ac:dyDescent="0.3">
      <c r="F64232" s="193"/>
    </row>
    <row r="64233" spans="6:6" x14ac:dyDescent="0.3">
      <c r="F64233" s="193"/>
    </row>
    <row r="64234" spans="6:6" x14ac:dyDescent="0.3">
      <c r="F64234" s="193"/>
    </row>
    <row r="64235" spans="6:6" x14ac:dyDescent="0.3">
      <c r="F64235" s="193"/>
    </row>
    <row r="64236" spans="6:6" x14ac:dyDescent="0.3">
      <c r="F64236" s="193"/>
    </row>
    <row r="64237" spans="6:6" x14ac:dyDescent="0.3">
      <c r="F64237" s="193"/>
    </row>
    <row r="64238" spans="6:6" x14ac:dyDescent="0.3">
      <c r="F64238" s="193"/>
    </row>
    <row r="64239" spans="6:6" x14ac:dyDescent="0.3">
      <c r="F64239" s="193"/>
    </row>
    <row r="64240" spans="6:6" x14ac:dyDescent="0.3">
      <c r="F64240" s="193"/>
    </row>
    <row r="64241" spans="6:6" x14ac:dyDescent="0.3">
      <c r="F64241" s="193"/>
    </row>
    <row r="64242" spans="6:6" x14ac:dyDescent="0.3">
      <c r="F64242" s="193"/>
    </row>
    <row r="64243" spans="6:6" x14ac:dyDescent="0.3">
      <c r="F64243" s="193"/>
    </row>
    <row r="64244" spans="6:6" x14ac:dyDescent="0.3">
      <c r="F64244" s="193"/>
    </row>
    <row r="64245" spans="6:6" x14ac:dyDescent="0.3">
      <c r="F64245" s="193"/>
    </row>
    <row r="64246" spans="6:6" x14ac:dyDescent="0.3">
      <c r="F64246" s="193"/>
    </row>
    <row r="64247" spans="6:6" x14ac:dyDescent="0.3">
      <c r="F64247" s="193"/>
    </row>
    <row r="64248" spans="6:6" x14ac:dyDescent="0.3">
      <c r="F64248" s="193"/>
    </row>
    <row r="64249" spans="6:6" x14ac:dyDescent="0.3">
      <c r="F64249" s="193"/>
    </row>
    <row r="64250" spans="6:6" x14ac:dyDescent="0.3">
      <c r="F64250" s="193"/>
    </row>
    <row r="64251" spans="6:6" x14ac:dyDescent="0.3">
      <c r="F64251" s="193"/>
    </row>
    <row r="64252" spans="6:6" x14ac:dyDescent="0.3">
      <c r="F64252" s="193"/>
    </row>
    <row r="64253" spans="6:6" x14ac:dyDescent="0.3">
      <c r="F64253" s="193"/>
    </row>
    <row r="64254" spans="6:6" x14ac:dyDescent="0.3">
      <c r="F64254" s="193"/>
    </row>
    <row r="64255" spans="6:6" x14ac:dyDescent="0.3">
      <c r="F64255" s="193"/>
    </row>
    <row r="64256" spans="6:6" x14ac:dyDescent="0.3">
      <c r="F64256" s="193"/>
    </row>
    <row r="64257" spans="6:6" x14ac:dyDescent="0.3">
      <c r="F64257" s="193"/>
    </row>
    <row r="64258" spans="6:6" x14ac:dyDescent="0.3">
      <c r="F64258" s="193"/>
    </row>
    <row r="64259" spans="6:6" x14ac:dyDescent="0.3">
      <c r="F64259" s="193"/>
    </row>
    <row r="64260" spans="6:6" x14ac:dyDescent="0.3">
      <c r="F64260" s="193"/>
    </row>
    <row r="64261" spans="6:6" x14ac:dyDescent="0.3">
      <c r="F64261" s="193"/>
    </row>
    <row r="64262" spans="6:6" x14ac:dyDescent="0.3">
      <c r="F64262" s="193"/>
    </row>
    <row r="64263" spans="6:6" x14ac:dyDescent="0.3">
      <c r="F64263" s="193"/>
    </row>
    <row r="64264" spans="6:6" x14ac:dyDescent="0.3">
      <c r="F64264" s="193"/>
    </row>
    <row r="64265" spans="6:6" x14ac:dyDescent="0.3">
      <c r="F64265" s="193"/>
    </row>
    <row r="64266" spans="6:6" x14ac:dyDescent="0.3">
      <c r="F64266" s="193"/>
    </row>
    <row r="64267" spans="6:6" x14ac:dyDescent="0.3">
      <c r="F64267" s="193"/>
    </row>
    <row r="64268" spans="6:6" x14ac:dyDescent="0.3">
      <c r="F64268" s="193"/>
    </row>
    <row r="64269" spans="6:6" x14ac:dyDescent="0.3">
      <c r="F64269" s="193"/>
    </row>
    <row r="64270" spans="6:6" x14ac:dyDescent="0.3">
      <c r="F64270" s="193"/>
    </row>
    <row r="64271" spans="6:6" x14ac:dyDescent="0.3">
      <c r="F64271" s="193"/>
    </row>
    <row r="64272" spans="6:6" x14ac:dyDescent="0.3">
      <c r="F64272" s="193"/>
    </row>
    <row r="64273" spans="6:6" x14ac:dyDescent="0.3">
      <c r="F64273" s="193"/>
    </row>
    <row r="64274" spans="6:6" x14ac:dyDescent="0.3">
      <c r="F64274" s="193"/>
    </row>
    <row r="64275" spans="6:6" x14ac:dyDescent="0.3">
      <c r="F64275" s="193"/>
    </row>
    <row r="64276" spans="6:6" x14ac:dyDescent="0.3">
      <c r="F64276" s="193"/>
    </row>
    <row r="64277" spans="6:6" x14ac:dyDescent="0.3">
      <c r="F64277" s="193"/>
    </row>
    <row r="64278" spans="6:6" x14ac:dyDescent="0.3">
      <c r="F64278" s="193"/>
    </row>
    <row r="64279" spans="6:6" x14ac:dyDescent="0.3">
      <c r="F64279" s="193"/>
    </row>
    <row r="64280" spans="6:6" x14ac:dyDescent="0.3">
      <c r="F64280" s="193"/>
    </row>
    <row r="64281" spans="6:6" x14ac:dyDescent="0.3">
      <c r="F64281" s="193"/>
    </row>
    <row r="64282" spans="6:6" x14ac:dyDescent="0.3">
      <c r="F64282" s="193"/>
    </row>
    <row r="64283" spans="6:6" x14ac:dyDescent="0.3">
      <c r="F64283" s="193"/>
    </row>
    <row r="64284" spans="6:6" x14ac:dyDescent="0.3">
      <c r="F64284" s="193"/>
    </row>
    <row r="64285" spans="6:6" x14ac:dyDescent="0.3">
      <c r="F64285" s="193"/>
    </row>
    <row r="64286" spans="6:6" x14ac:dyDescent="0.3">
      <c r="F64286" s="193"/>
    </row>
    <row r="64287" spans="6:6" x14ac:dyDescent="0.3">
      <c r="F64287" s="193"/>
    </row>
    <row r="64288" spans="6:6" x14ac:dyDescent="0.3">
      <c r="F64288" s="193"/>
    </row>
    <row r="64289" spans="6:6" x14ac:dyDescent="0.3">
      <c r="F64289" s="193"/>
    </row>
    <row r="64290" spans="6:6" x14ac:dyDescent="0.3">
      <c r="F64290" s="193"/>
    </row>
    <row r="64291" spans="6:6" x14ac:dyDescent="0.3">
      <c r="F64291" s="193"/>
    </row>
    <row r="64292" spans="6:6" x14ac:dyDescent="0.3">
      <c r="F64292" s="193"/>
    </row>
    <row r="64293" spans="6:6" x14ac:dyDescent="0.3">
      <c r="F64293" s="193"/>
    </row>
    <row r="64294" spans="6:6" x14ac:dyDescent="0.3">
      <c r="F64294" s="193"/>
    </row>
    <row r="64295" spans="6:6" x14ac:dyDescent="0.3">
      <c r="F64295" s="193"/>
    </row>
    <row r="64296" spans="6:6" x14ac:dyDescent="0.3">
      <c r="F64296" s="193"/>
    </row>
    <row r="64297" spans="6:6" x14ac:dyDescent="0.3">
      <c r="F64297" s="193"/>
    </row>
    <row r="64298" spans="6:6" x14ac:dyDescent="0.3">
      <c r="F64298" s="193"/>
    </row>
    <row r="64299" spans="6:6" x14ac:dyDescent="0.3">
      <c r="F64299" s="193"/>
    </row>
    <row r="64300" spans="6:6" x14ac:dyDescent="0.3">
      <c r="F64300" s="193"/>
    </row>
    <row r="64301" spans="6:6" x14ac:dyDescent="0.3">
      <c r="F64301" s="193"/>
    </row>
    <row r="64302" spans="6:6" x14ac:dyDescent="0.3">
      <c r="F64302" s="193"/>
    </row>
    <row r="64303" spans="6:6" x14ac:dyDescent="0.3">
      <c r="F64303" s="193"/>
    </row>
    <row r="64304" spans="6:6" x14ac:dyDescent="0.3">
      <c r="F64304" s="193"/>
    </row>
    <row r="64305" spans="6:6" x14ac:dyDescent="0.3">
      <c r="F64305" s="193"/>
    </row>
    <row r="64306" spans="6:6" x14ac:dyDescent="0.3">
      <c r="F64306" s="193"/>
    </row>
    <row r="64307" spans="6:6" x14ac:dyDescent="0.3">
      <c r="F64307" s="193"/>
    </row>
    <row r="64308" spans="6:6" x14ac:dyDescent="0.3">
      <c r="F64308" s="193"/>
    </row>
    <row r="64309" spans="6:6" x14ac:dyDescent="0.3">
      <c r="F64309" s="193"/>
    </row>
    <row r="64310" spans="6:6" x14ac:dyDescent="0.3">
      <c r="F64310" s="193"/>
    </row>
    <row r="64311" spans="6:6" x14ac:dyDescent="0.3">
      <c r="F64311" s="193"/>
    </row>
    <row r="64312" spans="6:6" x14ac:dyDescent="0.3">
      <c r="F64312" s="193"/>
    </row>
    <row r="64313" spans="6:6" x14ac:dyDescent="0.3">
      <c r="F64313" s="193"/>
    </row>
    <row r="64314" spans="6:6" x14ac:dyDescent="0.3">
      <c r="F64314" s="193"/>
    </row>
    <row r="64315" spans="6:6" x14ac:dyDescent="0.3">
      <c r="F64315" s="193"/>
    </row>
    <row r="64316" spans="6:6" x14ac:dyDescent="0.3">
      <c r="F64316" s="193"/>
    </row>
    <row r="64317" spans="6:6" x14ac:dyDescent="0.3">
      <c r="F64317" s="193"/>
    </row>
    <row r="64318" spans="6:6" x14ac:dyDescent="0.3">
      <c r="F64318" s="193"/>
    </row>
    <row r="64319" spans="6:6" x14ac:dyDescent="0.3">
      <c r="F64319" s="193"/>
    </row>
    <row r="64320" spans="6:6" x14ac:dyDescent="0.3">
      <c r="F64320" s="193"/>
    </row>
    <row r="64321" spans="6:6" x14ac:dyDescent="0.3">
      <c r="F64321" s="193"/>
    </row>
    <row r="64322" spans="6:6" x14ac:dyDescent="0.3">
      <c r="F64322" s="193"/>
    </row>
    <row r="64323" spans="6:6" x14ac:dyDescent="0.3">
      <c r="F64323" s="193"/>
    </row>
    <row r="64324" spans="6:6" x14ac:dyDescent="0.3">
      <c r="F64324" s="193"/>
    </row>
    <row r="64325" spans="6:6" x14ac:dyDescent="0.3">
      <c r="F64325" s="193"/>
    </row>
    <row r="64326" spans="6:6" x14ac:dyDescent="0.3">
      <c r="F64326" s="193"/>
    </row>
    <row r="64327" spans="6:6" x14ac:dyDescent="0.3">
      <c r="F64327" s="193"/>
    </row>
    <row r="64328" spans="6:6" x14ac:dyDescent="0.3">
      <c r="F64328" s="193"/>
    </row>
    <row r="64329" spans="6:6" x14ac:dyDescent="0.3">
      <c r="F64329" s="193"/>
    </row>
    <row r="64330" spans="6:6" x14ac:dyDescent="0.3">
      <c r="F64330" s="193"/>
    </row>
    <row r="64331" spans="6:6" x14ac:dyDescent="0.3">
      <c r="F64331" s="193"/>
    </row>
    <row r="64332" spans="6:6" x14ac:dyDescent="0.3">
      <c r="F64332" s="193"/>
    </row>
    <row r="64333" spans="6:6" x14ac:dyDescent="0.3">
      <c r="F64333" s="193"/>
    </row>
    <row r="64334" spans="6:6" x14ac:dyDescent="0.3">
      <c r="F64334" s="193"/>
    </row>
    <row r="64335" spans="6:6" x14ac:dyDescent="0.3">
      <c r="F64335" s="193"/>
    </row>
    <row r="64336" spans="6:6" x14ac:dyDescent="0.3">
      <c r="F64336" s="193"/>
    </row>
    <row r="64337" spans="6:6" x14ac:dyDescent="0.3">
      <c r="F64337" s="193"/>
    </row>
    <row r="64338" spans="6:6" x14ac:dyDescent="0.3">
      <c r="F64338" s="193"/>
    </row>
    <row r="64339" spans="6:6" x14ac:dyDescent="0.3">
      <c r="F64339" s="193"/>
    </row>
    <row r="64340" spans="6:6" x14ac:dyDescent="0.3">
      <c r="F64340" s="193"/>
    </row>
    <row r="64341" spans="6:6" x14ac:dyDescent="0.3">
      <c r="F64341" s="193"/>
    </row>
    <row r="64342" spans="6:6" x14ac:dyDescent="0.3">
      <c r="F64342" s="193"/>
    </row>
    <row r="64343" spans="6:6" x14ac:dyDescent="0.3">
      <c r="F64343" s="193"/>
    </row>
    <row r="64344" spans="6:6" x14ac:dyDescent="0.3">
      <c r="F64344" s="193"/>
    </row>
    <row r="64345" spans="6:6" x14ac:dyDescent="0.3">
      <c r="F64345" s="193"/>
    </row>
    <row r="64346" spans="6:6" x14ac:dyDescent="0.3">
      <c r="F64346" s="193"/>
    </row>
    <row r="64347" spans="6:6" x14ac:dyDescent="0.3">
      <c r="F64347" s="193"/>
    </row>
    <row r="64348" spans="6:6" x14ac:dyDescent="0.3">
      <c r="F64348" s="193"/>
    </row>
    <row r="64349" spans="6:6" x14ac:dyDescent="0.3">
      <c r="F64349" s="193"/>
    </row>
    <row r="64350" spans="6:6" x14ac:dyDescent="0.3">
      <c r="F64350" s="193"/>
    </row>
    <row r="64351" spans="6:6" x14ac:dyDescent="0.3">
      <c r="F64351" s="193"/>
    </row>
    <row r="64352" spans="6:6" x14ac:dyDescent="0.3">
      <c r="F64352" s="193"/>
    </row>
    <row r="64353" spans="6:6" x14ac:dyDescent="0.3">
      <c r="F64353" s="193"/>
    </row>
    <row r="64354" spans="6:6" x14ac:dyDescent="0.3">
      <c r="F64354" s="193"/>
    </row>
    <row r="64355" spans="6:6" x14ac:dyDescent="0.3">
      <c r="F64355" s="193"/>
    </row>
    <row r="64356" spans="6:6" x14ac:dyDescent="0.3">
      <c r="F64356" s="193"/>
    </row>
    <row r="64357" spans="6:6" x14ac:dyDescent="0.3">
      <c r="F64357" s="193"/>
    </row>
    <row r="64358" spans="6:6" x14ac:dyDescent="0.3">
      <c r="F64358" s="193"/>
    </row>
    <row r="64359" spans="6:6" x14ac:dyDescent="0.3">
      <c r="F64359" s="193"/>
    </row>
    <row r="64360" spans="6:6" x14ac:dyDescent="0.3">
      <c r="F64360" s="193"/>
    </row>
    <row r="64361" spans="6:6" x14ac:dyDescent="0.3">
      <c r="F64361" s="193"/>
    </row>
    <row r="64362" spans="6:6" x14ac:dyDescent="0.3">
      <c r="F64362" s="193"/>
    </row>
    <row r="64363" spans="6:6" x14ac:dyDescent="0.3">
      <c r="F64363" s="193"/>
    </row>
    <row r="64364" spans="6:6" x14ac:dyDescent="0.3">
      <c r="F64364" s="193"/>
    </row>
    <row r="64365" spans="6:6" x14ac:dyDescent="0.3">
      <c r="F64365" s="193"/>
    </row>
    <row r="64366" spans="6:6" x14ac:dyDescent="0.3">
      <c r="F64366" s="193"/>
    </row>
    <row r="64367" spans="6:6" x14ac:dyDescent="0.3">
      <c r="F64367" s="193"/>
    </row>
    <row r="64368" spans="6:6" x14ac:dyDescent="0.3">
      <c r="F64368" s="193"/>
    </row>
    <row r="64369" spans="6:6" x14ac:dyDescent="0.3">
      <c r="F64369" s="193"/>
    </row>
    <row r="64370" spans="6:6" x14ac:dyDescent="0.3">
      <c r="F64370" s="193"/>
    </row>
    <row r="64371" spans="6:6" x14ac:dyDescent="0.3">
      <c r="F64371" s="193"/>
    </row>
    <row r="64372" spans="6:6" x14ac:dyDescent="0.3">
      <c r="F64372" s="193"/>
    </row>
    <row r="64373" spans="6:6" x14ac:dyDescent="0.3">
      <c r="F64373" s="193"/>
    </row>
    <row r="64374" spans="6:6" x14ac:dyDescent="0.3">
      <c r="F64374" s="193"/>
    </row>
    <row r="64375" spans="6:6" x14ac:dyDescent="0.3">
      <c r="F64375" s="193"/>
    </row>
    <row r="64376" spans="6:6" x14ac:dyDescent="0.3">
      <c r="F64376" s="193"/>
    </row>
    <row r="64377" spans="6:6" x14ac:dyDescent="0.3">
      <c r="F64377" s="193"/>
    </row>
    <row r="64378" spans="6:6" x14ac:dyDescent="0.3">
      <c r="F64378" s="193"/>
    </row>
    <row r="64379" spans="6:6" x14ac:dyDescent="0.3">
      <c r="F64379" s="193"/>
    </row>
    <row r="64380" spans="6:6" x14ac:dyDescent="0.3">
      <c r="F64380" s="193"/>
    </row>
    <row r="64381" spans="6:6" x14ac:dyDescent="0.3">
      <c r="F64381" s="193"/>
    </row>
    <row r="64382" spans="6:6" x14ac:dyDescent="0.3">
      <c r="F64382" s="193"/>
    </row>
    <row r="64383" spans="6:6" x14ac:dyDescent="0.3">
      <c r="F64383" s="193"/>
    </row>
    <row r="64384" spans="6:6" x14ac:dyDescent="0.3">
      <c r="F64384" s="193"/>
    </row>
    <row r="64385" spans="6:6" x14ac:dyDescent="0.3">
      <c r="F64385" s="193"/>
    </row>
    <row r="64386" spans="6:6" x14ac:dyDescent="0.3">
      <c r="F64386" s="193"/>
    </row>
    <row r="64387" spans="6:6" x14ac:dyDescent="0.3">
      <c r="F64387" s="193"/>
    </row>
    <row r="64388" spans="6:6" x14ac:dyDescent="0.3">
      <c r="F64388" s="193"/>
    </row>
    <row r="64389" spans="6:6" x14ac:dyDescent="0.3">
      <c r="F64389" s="193"/>
    </row>
    <row r="64390" spans="6:6" x14ac:dyDescent="0.3">
      <c r="F64390" s="193"/>
    </row>
    <row r="64391" spans="6:6" x14ac:dyDescent="0.3">
      <c r="F64391" s="193"/>
    </row>
    <row r="64392" spans="6:6" x14ac:dyDescent="0.3">
      <c r="F64392" s="193"/>
    </row>
    <row r="64393" spans="6:6" x14ac:dyDescent="0.3">
      <c r="F64393" s="193"/>
    </row>
    <row r="64394" spans="6:6" x14ac:dyDescent="0.3">
      <c r="F64394" s="193"/>
    </row>
    <row r="64395" spans="6:6" x14ac:dyDescent="0.3">
      <c r="F64395" s="193"/>
    </row>
    <row r="64396" spans="6:6" x14ac:dyDescent="0.3">
      <c r="F64396" s="193"/>
    </row>
    <row r="64397" spans="6:6" x14ac:dyDescent="0.3">
      <c r="F64397" s="193"/>
    </row>
    <row r="64398" spans="6:6" x14ac:dyDescent="0.3">
      <c r="F64398" s="193"/>
    </row>
    <row r="64399" spans="6:6" x14ac:dyDescent="0.3">
      <c r="F64399" s="193"/>
    </row>
    <row r="64400" spans="6:6" x14ac:dyDescent="0.3">
      <c r="F64400" s="193"/>
    </row>
    <row r="64401" spans="6:6" x14ac:dyDescent="0.3">
      <c r="F64401" s="193"/>
    </row>
    <row r="64402" spans="6:6" x14ac:dyDescent="0.3">
      <c r="F64402" s="193"/>
    </row>
    <row r="64403" spans="6:6" x14ac:dyDescent="0.3">
      <c r="F64403" s="193"/>
    </row>
    <row r="64404" spans="6:6" x14ac:dyDescent="0.3">
      <c r="F64404" s="193"/>
    </row>
    <row r="64405" spans="6:6" x14ac:dyDescent="0.3">
      <c r="F64405" s="193"/>
    </row>
    <row r="64406" spans="6:6" x14ac:dyDescent="0.3">
      <c r="F64406" s="193"/>
    </row>
    <row r="64407" spans="6:6" x14ac:dyDescent="0.3">
      <c r="F64407" s="193"/>
    </row>
    <row r="64408" spans="6:6" x14ac:dyDescent="0.3">
      <c r="F64408" s="193"/>
    </row>
    <row r="64409" spans="6:6" x14ac:dyDescent="0.3">
      <c r="F64409" s="193"/>
    </row>
    <row r="64410" spans="6:6" x14ac:dyDescent="0.3">
      <c r="F64410" s="193"/>
    </row>
    <row r="64411" spans="6:6" x14ac:dyDescent="0.3">
      <c r="F64411" s="193"/>
    </row>
    <row r="64412" spans="6:6" x14ac:dyDescent="0.3">
      <c r="F64412" s="193"/>
    </row>
    <row r="64413" spans="6:6" x14ac:dyDescent="0.3">
      <c r="F64413" s="193"/>
    </row>
    <row r="64414" spans="6:6" x14ac:dyDescent="0.3">
      <c r="F64414" s="193"/>
    </row>
    <row r="64415" spans="6:6" x14ac:dyDescent="0.3">
      <c r="F64415" s="193"/>
    </row>
    <row r="64416" spans="6:6" x14ac:dyDescent="0.3">
      <c r="F64416" s="193"/>
    </row>
    <row r="64417" spans="6:6" x14ac:dyDescent="0.3">
      <c r="F64417" s="193"/>
    </row>
    <row r="64418" spans="6:6" x14ac:dyDescent="0.3">
      <c r="F64418" s="193"/>
    </row>
    <row r="64419" spans="6:6" x14ac:dyDescent="0.3">
      <c r="F64419" s="193"/>
    </row>
    <row r="64420" spans="6:6" x14ac:dyDescent="0.3">
      <c r="F64420" s="193"/>
    </row>
    <row r="64421" spans="6:6" x14ac:dyDescent="0.3">
      <c r="F64421" s="193"/>
    </row>
    <row r="64422" spans="6:6" x14ac:dyDescent="0.3">
      <c r="F64422" s="193"/>
    </row>
    <row r="64423" spans="6:6" x14ac:dyDescent="0.3">
      <c r="F64423" s="193"/>
    </row>
    <row r="64424" spans="6:6" x14ac:dyDescent="0.3">
      <c r="F64424" s="193"/>
    </row>
    <row r="64425" spans="6:6" x14ac:dyDescent="0.3">
      <c r="F64425" s="193"/>
    </row>
    <row r="64426" spans="6:6" x14ac:dyDescent="0.3">
      <c r="F64426" s="193"/>
    </row>
    <row r="64427" spans="6:6" x14ac:dyDescent="0.3">
      <c r="F64427" s="193"/>
    </row>
    <row r="64428" spans="6:6" x14ac:dyDescent="0.3">
      <c r="F64428" s="193"/>
    </row>
    <row r="64429" spans="6:6" x14ac:dyDescent="0.3">
      <c r="F64429" s="193"/>
    </row>
    <row r="64430" spans="6:6" x14ac:dyDescent="0.3">
      <c r="F64430" s="193"/>
    </row>
    <row r="64431" spans="6:6" x14ac:dyDescent="0.3">
      <c r="F64431" s="193"/>
    </row>
    <row r="64432" spans="6:6" x14ac:dyDescent="0.3">
      <c r="F64432" s="193"/>
    </row>
    <row r="64433" spans="6:6" x14ac:dyDescent="0.3">
      <c r="F64433" s="193"/>
    </row>
    <row r="64434" spans="6:6" x14ac:dyDescent="0.3">
      <c r="F64434" s="193"/>
    </row>
    <row r="64435" spans="6:6" x14ac:dyDescent="0.3">
      <c r="F64435" s="193"/>
    </row>
    <row r="64436" spans="6:6" x14ac:dyDescent="0.3">
      <c r="F64436" s="193"/>
    </row>
    <row r="64437" spans="6:6" x14ac:dyDescent="0.3">
      <c r="F64437" s="193"/>
    </row>
    <row r="64438" spans="6:6" x14ac:dyDescent="0.3">
      <c r="F64438" s="193"/>
    </row>
    <row r="64439" spans="6:6" x14ac:dyDescent="0.3">
      <c r="F64439" s="193"/>
    </row>
    <row r="64440" spans="6:6" x14ac:dyDescent="0.3">
      <c r="F64440" s="193"/>
    </row>
    <row r="64441" spans="6:6" x14ac:dyDescent="0.3">
      <c r="F64441" s="193"/>
    </row>
    <row r="64442" spans="6:6" x14ac:dyDescent="0.3">
      <c r="F64442" s="193"/>
    </row>
    <row r="64443" spans="6:6" x14ac:dyDescent="0.3">
      <c r="F64443" s="193"/>
    </row>
    <row r="64444" spans="6:6" x14ac:dyDescent="0.3">
      <c r="F64444" s="193"/>
    </row>
    <row r="64445" spans="6:6" x14ac:dyDescent="0.3">
      <c r="F64445" s="193"/>
    </row>
    <row r="64446" spans="6:6" x14ac:dyDescent="0.3">
      <c r="F64446" s="193"/>
    </row>
    <row r="64447" spans="6:6" x14ac:dyDescent="0.3">
      <c r="F64447" s="193"/>
    </row>
    <row r="64448" spans="6:6" x14ac:dyDescent="0.3">
      <c r="F64448" s="193"/>
    </row>
    <row r="64449" spans="6:6" x14ac:dyDescent="0.3">
      <c r="F64449" s="193"/>
    </row>
    <row r="64450" spans="6:6" x14ac:dyDescent="0.3">
      <c r="F64450" s="193"/>
    </row>
    <row r="64451" spans="6:6" x14ac:dyDescent="0.3">
      <c r="F64451" s="193"/>
    </row>
    <row r="64452" spans="6:6" x14ac:dyDescent="0.3">
      <c r="F64452" s="193"/>
    </row>
    <row r="64453" spans="6:6" x14ac:dyDescent="0.3">
      <c r="F64453" s="193"/>
    </row>
    <row r="64454" spans="6:6" x14ac:dyDescent="0.3">
      <c r="F64454" s="193"/>
    </row>
    <row r="64455" spans="6:6" x14ac:dyDescent="0.3">
      <c r="F64455" s="193"/>
    </row>
    <row r="64456" spans="6:6" x14ac:dyDescent="0.3">
      <c r="F64456" s="193"/>
    </row>
    <row r="64457" spans="6:6" x14ac:dyDescent="0.3">
      <c r="F64457" s="193"/>
    </row>
    <row r="64458" spans="6:6" x14ac:dyDescent="0.3">
      <c r="F64458" s="193"/>
    </row>
    <row r="64459" spans="6:6" x14ac:dyDescent="0.3">
      <c r="F64459" s="193"/>
    </row>
    <row r="64460" spans="6:6" x14ac:dyDescent="0.3">
      <c r="F64460" s="193"/>
    </row>
    <row r="64461" spans="6:6" x14ac:dyDescent="0.3">
      <c r="F64461" s="193"/>
    </row>
    <row r="64462" spans="6:6" x14ac:dyDescent="0.3">
      <c r="F64462" s="193"/>
    </row>
    <row r="64463" spans="6:6" x14ac:dyDescent="0.3">
      <c r="F64463" s="193"/>
    </row>
    <row r="64464" spans="6:6" x14ac:dyDescent="0.3">
      <c r="F64464" s="193"/>
    </row>
    <row r="64465" spans="6:6" x14ac:dyDescent="0.3">
      <c r="F64465" s="193"/>
    </row>
    <row r="64466" spans="6:6" x14ac:dyDescent="0.3">
      <c r="F64466" s="193"/>
    </row>
    <row r="64467" spans="6:6" x14ac:dyDescent="0.3">
      <c r="F64467" s="193"/>
    </row>
    <row r="64468" spans="6:6" x14ac:dyDescent="0.3">
      <c r="F64468" s="193"/>
    </row>
    <row r="64469" spans="6:6" x14ac:dyDescent="0.3">
      <c r="F64469" s="193"/>
    </row>
    <row r="64470" spans="6:6" x14ac:dyDescent="0.3">
      <c r="F64470" s="193"/>
    </row>
    <row r="64471" spans="6:6" x14ac:dyDescent="0.3">
      <c r="F64471" s="193"/>
    </row>
    <row r="64472" spans="6:6" x14ac:dyDescent="0.3">
      <c r="F64472" s="193"/>
    </row>
    <row r="64473" spans="6:6" x14ac:dyDescent="0.3">
      <c r="F64473" s="193"/>
    </row>
    <row r="64474" spans="6:6" x14ac:dyDescent="0.3">
      <c r="F64474" s="193"/>
    </row>
    <row r="64475" spans="6:6" x14ac:dyDescent="0.3">
      <c r="F64475" s="193"/>
    </row>
    <row r="64476" spans="6:6" x14ac:dyDescent="0.3">
      <c r="F64476" s="193"/>
    </row>
    <row r="64477" spans="6:6" x14ac:dyDescent="0.3">
      <c r="F64477" s="193"/>
    </row>
    <row r="64478" spans="6:6" x14ac:dyDescent="0.3">
      <c r="F64478" s="193"/>
    </row>
    <row r="64479" spans="6:6" x14ac:dyDescent="0.3">
      <c r="F64479" s="193"/>
    </row>
    <row r="64480" spans="6:6" x14ac:dyDescent="0.3">
      <c r="F64480" s="193"/>
    </row>
    <row r="64481" spans="6:6" x14ac:dyDescent="0.3">
      <c r="F64481" s="193"/>
    </row>
    <row r="64482" spans="6:6" x14ac:dyDescent="0.3">
      <c r="F64482" s="193"/>
    </row>
    <row r="64483" spans="6:6" x14ac:dyDescent="0.3">
      <c r="F64483" s="193"/>
    </row>
    <row r="64484" spans="6:6" x14ac:dyDescent="0.3">
      <c r="F64484" s="193"/>
    </row>
    <row r="64485" spans="6:6" x14ac:dyDescent="0.3">
      <c r="F64485" s="193"/>
    </row>
    <row r="64486" spans="6:6" x14ac:dyDescent="0.3">
      <c r="F64486" s="193"/>
    </row>
    <row r="64487" spans="6:6" x14ac:dyDescent="0.3">
      <c r="F64487" s="193"/>
    </row>
    <row r="64488" spans="6:6" x14ac:dyDescent="0.3">
      <c r="F64488" s="193"/>
    </row>
    <row r="64489" spans="6:6" x14ac:dyDescent="0.3">
      <c r="F64489" s="193"/>
    </row>
    <row r="64490" spans="6:6" x14ac:dyDescent="0.3">
      <c r="F64490" s="193"/>
    </row>
    <row r="64491" spans="6:6" x14ac:dyDescent="0.3">
      <c r="F64491" s="193"/>
    </row>
    <row r="64492" spans="6:6" x14ac:dyDescent="0.3">
      <c r="F64492" s="193"/>
    </row>
    <row r="64493" spans="6:6" x14ac:dyDescent="0.3">
      <c r="F64493" s="193"/>
    </row>
    <row r="64494" spans="6:6" x14ac:dyDescent="0.3">
      <c r="F64494" s="193"/>
    </row>
    <row r="64495" spans="6:6" x14ac:dyDescent="0.3">
      <c r="F64495" s="193"/>
    </row>
    <row r="64496" spans="6:6" x14ac:dyDescent="0.3">
      <c r="F64496" s="193"/>
    </row>
    <row r="64497" spans="6:6" x14ac:dyDescent="0.3">
      <c r="F64497" s="193"/>
    </row>
    <row r="64498" spans="6:6" x14ac:dyDescent="0.3">
      <c r="F64498" s="193"/>
    </row>
    <row r="64499" spans="6:6" x14ac:dyDescent="0.3">
      <c r="F64499" s="193"/>
    </row>
    <row r="64500" spans="6:6" x14ac:dyDescent="0.3">
      <c r="F64500" s="193"/>
    </row>
    <row r="64501" spans="6:6" x14ac:dyDescent="0.3">
      <c r="F64501" s="193"/>
    </row>
    <row r="64502" spans="6:6" x14ac:dyDescent="0.3">
      <c r="F64502" s="193"/>
    </row>
    <row r="64503" spans="6:6" x14ac:dyDescent="0.3">
      <c r="F64503" s="193"/>
    </row>
    <row r="64504" spans="6:6" x14ac:dyDescent="0.3">
      <c r="F64504" s="193"/>
    </row>
    <row r="64505" spans="6:6" x14ac:dyDescent="0.3">
      <c r="F64505" s="193"/>
    </row>
    <row r="64506" spans="6:6" x14ac:dyDescent="0.3">
      <c r="F64506" s="193"/>
    </row>
    <row r="64507" spans="6:6" x14ac:dyDescent="0.3">
      <c r="F64507" s="193"/>
    </row>
    <row r="64508" spans="6:6" x14ac:dyDescent="0.3">
      <c r="F64508" s="193"/>
    </row>
    <row r="64509" spans="6:6" x14ac:dyDescent="0.3">
      <c r="F64509" s="193"/>
    </row>
    <row r="64510" spans="6:6" x14ac:dyDescent="0.3">
      <c r="F64510" s="193"/>
    </row>
    <row r="64511" spans="6:6" x14ac:dyDescent="0.3">
      <c r="F64511" s="193"/>
    </row>
    <row r="64512" spans="6:6" x14ac:dyDescent="0.3">
      <c r="F64512" s="193"/>
    </row>
    <row r="64513" spans="6:6" x14ac:dyDescent="0.3">
      <c r="F64513" s="193"/>
    </row>
    <row r="64514" spans="6:6" x14ac:dyDescent="0.3">
      <c r="F64514" s="193"/>
    </row>
    <row r="64515" spans="6:6" x14ac:dyDescent="0.3">
      <c r="F64515" s="193"/>
    </row>
    <row r="64516" spans="6:6" x14ac:dyDescent="0.3">
      <c r="F64516" s="193"/>
    </row>
    <row r="64517" spans="6:6" x14ac:dyDescent="0.3">
      <c r="F64517" s="193"/>
    </row>
    <row r="64518" spans="6:6" x14ac:dyDescent="0.3">
      <c r="F64518" s="193"/>
    </row>
    <row r="64519" spans="6:6" x14ac:dyDescent="0.3">
      <c r="F64519" s="193"/>
    </row>
    <row r="64520" spans="6:6" x14ac:dyDescent="0.3">
      <c r="F64520" s="193"/>
    </row>
    <row r="64521" spans="6:6" x14ac:dyDescent="0.3">
      <c r="F64521" s="193"/>
    </row>
    <row r="64522" spans="6:6" x14ac:dyDescent="0.3">
      <c r="F64522" s="193"/>
    </row>
    <row r="64523" spans="6:6" x14ac:dyDescent="0.3">
      <c r="F64523" s="193"/>
    </row>
    <row r="64524" spans="6:6" x14ac:dyDescent="0.3">
      <c r="F64524" s="193"/>
    </row>
    <row r="64525" spans="6:6" x14ac:dyDescent="0.3">
      <c r="F64525" s="193"/>
    </row>
    <row r="64526" spans="6:6" x14ac:dyDescent="0.3">
      <c r="F64526" s="193"/>
    </row>
    <row r="64527" spans="6:6" x14ac:dyDescent="0.3">
      <c r="F64527" s="193"/>
    </row>
    <row r="64528" spans="6:6" x14ac:dyDescent="0.3">
      <c r="F64528" s="193"/>
    </row>
    <row r="64529" spans="6:6" x14ac:dyDescent="0.3">
      <c r="F64529" s="193"/>
    </row>
    <row r="64530" spans="6:6" x14ac:dyDescent="0.3">
      <c r="F64530" s="193"/>
    </row>
    <row r="64531" spans="6:6" x14ac:dyDescent="0.3">
      <c r="F64531" s="193"/>
    </row>
    <row r="64532" spans="6:6" x14ac:dyDescent="0.3">
      <c r="F64532" s="193"/>
    </row>
    <row r="64533" spans="6:6" x14ac:dyDescent="0.3">
      <c r="F64533" s="193"/>
    </row>
    <row r="64534" spans="6:6" x14ac:dyDescent="0.3">
      <c r="F64534" s="193"/>
    </row>
    <row r="64535" spans="6:6" x14ac:dyDescent="0.3">
      <c r="F64535" s="193"/>
    </row>
    <row r="64536" spans="6:6" x14ac:dyDescent="0.3">
      <c r="F64536" s="193"/>
    </row>
    <row r="64537" spans="6:6" x14ac:dyDescent="0.3">
      <c r="F64537" s="193"/>
    </row>
    <row r="64538" spans="6:6" x14ac:dyDescent="0.3">
      <c r="F64538" s="193"/>
    </row>
    <row r="64539" spans="6:6" x14ac:dyDescent="0.3">
      <c r="F64539" s="193"/>
    </row>
    <row r="64540" spans="6:6" x14ac:dyDescent="0.3">
      <c r="F64540" s="193"/>
    </row>
    <row r="64541" spans="6:6" x14ac:dyDescent="0.3">
      <c r="F64541" s="193"/>
    </row>
    <row r="64542" spans="6:6" x14ac:dyDescent="0.3">
      <c r="F64542" s="193"/>
    </row>
    <row r="64543" spans="6:6" x14ac:dyDescent="0.3">
      <c r="F64543" s="193"/>
    </row>
    <row r="64544" spans="6:6" x14ac:dyDescent="0.3">
      <c r="F64544" s="193"/>
    </row>
    <row r="64545" spans="6:6" x14ac:dyDescent="0.3">
      <c r="F64545" s="193"/>
    </row>
    <row r="64546" spans="6:6" x14ac:dyDescent="0.3">
      <c r="F64546" s="193"/>
    </row>
    <row r="64547" spans="6:6" x14ac:dyDescent="0.3">
      <c r="F64547" s="193"/>
    </row>
    <row r="64548" spans="6:6" x14ac:dyDescent="0.3">
      <c r="F64548" s="193"/>
    </row>
    <row r="64549" spans="6:6" x14ac:dyDescent="0.3">
      <c r="F64549" s="193"/>
    </row>
    <row r="64550" spans="6:6" x14ac:dyDescent="0.3">
      <c r="F64550" s="193"/>
    </row>
    <row r="64551" spans="6:6" x14ac:dyDescent="0.3">
      <c r="F64551" s="193"/>
    </row>
    <row r="64552" spans="6:6" x14ac:dyDescent="0.3">
      <c r="F64552" s="193"/>
    </row>
    <row r="64553" spans="6:6" x14ac:dyDescent="0.3">
      <c r="F64553" s="193"/>
    </row>
    <row r="64554" spans="6:6" x14ac:dyDescent="0.3">
      <c r="F64554" s="193"/>
    </row>
    <row r="64555" spans="6:6" x14ac:dyDescent="0.3">
      <c r="F64555" s="193"/>
    </row>
    <row r="64556" spans="6:6" x14ac:dyDescent="0.3">
      <c r="F64556" s="193"/>
    </row>
    <row r="64557" spans="6:6" x14ac:dyDescent="0.3">
      <c r="F64557" s="193"/>
    </row>
    <row r="64558" spans="6:6" x14ac:dyDescent="0.3">
      <c r="F64558" s="193"/>
    </row>
    <row r="64559" spans="6:6" x14ac:dyDescent="0.3">
      <c r="F64559" s="193"/>
    </row>
    <row r="64560" spans="6:6" x14ac:dyDescent="0.3">
      <c r="F64560" s="193"/>
    </row>
    <row r="64561" spans="6:6" x14ac:dyDescent="0.3">
      <c r="F64561" s="193"/>
    </row>
    <row r="64562" spans="6:6" x14ac:dyDescent="0.3">
      <c r="F64562" s="193"/>
    </row>
    <row r="64563" spans="6:6" x14ac:dyDescent="0.3">
      <c r="F64563" s="193"/>
    </row>
    <row r="64564" spans="6:6" x14ac:dyDescent="0.3">
      <c r="F64564" s="193"/>
    </row>
    <row r="64565" spans="6:6" x14ac:dyDescent="0.3">
      <c r="F64565" s="193"/>
    </row>
    <row r="64566" spans="6:6" x14ac:dyDescent="0.3">
      <c r="F64566" s="193"/>
    </row>
    <row r="64567" spans="6:6" x14ac:dyDescent="0.3">
      <c r="F64567" s="193"/>
    </row>
    <row r="64568" spans="6:6" x14ac:dyDescent="0.3">
      <c r="F64568" s="193"/>
    </row>
    <row r="64569" spans="6:6" x14ac:dyDescent="0.3">
      <c r="F64569" s="193"/>
    </row>
    <row r="64570" spans="6:6" x14ac:dyDescent="0.3">
      <c r="F64570" s="193"/>
    </row>
    <row r="64571" spans="6:6" x14ac:dyDescent="0.3">
      <c r="F64571" s="193"/>
    </row>
    <row r="64572" spans="6:6" x14ac:dyDescent="0.3">
      <c r="F64572" s="193"/>
    </row>
    <row r="64573" spans="6:6" x14ac:dyDescent="0.3">
      <c r="F64573" s="193"/>
    </row>
    <row r="64574" spans="6:6" x14ac:dyDescent="0.3">
      <c r="F64574" s="193"/>
    </row>
    <row r="64575" spans="6:6" x14ac:dyDescent="0.3">
      <c r="F64575" s="193"/>
    </row>
    <row r="64576" spans="6:6" x14ac:dyDescent="0.3">
      <c r="F64576" s="193"/>
    </row>
    <row r="64577" spans="6:6" x14ac:dyDescent="0.3">
      <c r="F64577" s="193"/>
    </row>
    <row r="64578" spans="6:6" x14ac:dyDescent="0.3">
      <c r="F64578" s="193"/>
    </row>
    <row r="64579" spans="6:6" x14ac:dyDescent="0.3">
      <c r="F64579" s="193"/>
    </row>
    <row r="64580" spans="6:6" x14ac:dyDescent="0.3">
      <c r="F64580" s="193"/>
    </row>
    <row r="64581" spans="6:6" x14ac:dyDescent="0.3">
      <c r="F64581" s="193"/>
    </row>
    <row r="64582" spans="6:6" x14ac:dyDescent="0.3">
      <c r="F64582" s="193"/>
    </row>
    <row r="64583" spans="6:6" x14ac:dyDescent="0.3">
      <c r="F64583" s="193"/>
    </row>
    <row r="64584" spans="6:6" x14ac:dyDescent="0.3">
      <c r="F64584" s="193"/>
    </row>
    <row r="64585" spans="6:6" x14ac:dyDescent="0.3">
      <c r="F64585" s="193"/>
    </row>
    <row r="64586" spans="6:6" x14ac:dyDescent="0.3">
      <c r="F64586" s="193"/>
    </row>
    <row r="64587" spans="6:6" x14ac:dyDescent="0.3">
      <c r="F64587" s="193"/>
    </row>
    <row r="64588" spans="6:6" x14ac:dyDescent="0.3">
      <c r="F64588" s="193"/>
    </row>
    <row r="64589" spans="6:6" x14ac:dyDescent="0.3">
      <c r="F64589" s="193"/>
    </row>
    <row r="64590" spans="6:6" x14ac:dyDescent="0.3">
      <c r="F64590" s="193"/>
    </row>
    <row r="64591" spans="6:6" x14ac:dyDescent="0.3">
      <c r="F64591" s="193"/>
    </row>
    <row r="64592" spans="6:6" x14ac:dyDescent="0.3">
      <c r="F64592" s="193"/>
    </row>
    <row r="64593" spans="6:6" x14ac:dyDescent="0.3">
      <c r="F64593" s="193"/>
    </row>
    <row r="64594" spans="6:6" x14ac:dyDescent="0.3">
      <c r="F64594" s="193"/>
    </row>
    <row r="64595" spans="6:6" x14ac:dyDescent="0.3">
      <c r="F64595" s="193"/>
    </row>
    <row r="64596" spans="6:6" x14ac:dyDescent="0.3">
      <c r="F64596" s="193"/>
    </row>
    <row r="64597" spans="6:6" x14ac:dyDescent="0.3">
      <c r="F64597" s="193"/>
    </row>
    <row r="64598" spans="6:6" x14ac:dyDescent="0.3">
      <c r="F64598" s="193"/>
    </row>
    <row r="64599" spans="6:6" x14ac:dyDescent="0.3">
      <c r="F64599" s="193"/>
    </row>
    <row r="64600" spans="6:6" x14ac:dyDescent="0.3">
      <c r="F64600" s="193"/>
    </row>
    <row r="64601" spans="6:6" x14ac:dyDescent="0.3">
      <c r="F64601" s="193"/>
    </row>
    <row r="64602" spans="6:6" x14ac:dyDescent="0.3">
      <c r="F64602" s="193"/>
    </row>
    <row r="64603" spans="6:6" x14ac:dyDescent="0.3">
      <c r="F64603" s="193"/>
    </row>
    <row r="64604" spans="6:6" x14ac:dyDescent="0.3">
      <c r="F64604" s="193"/>
    </row>
    <row r="64605" spans="6:6" x14ac:dyDescent="0.3">
      <c r="F64605" s="193"/>
    </row>
    <row r="64606" spans="6:6" x14ac:dyDescent="0.3">
      <c r="F64606" s="193"/>
    </row>
    <row r="64607" spans="6:6" x14ac:dyDescent="0.3">
      <c r="F64607" s="193"/>
    </row>
    <row r="64608" spans="6:6" x14ac:dyDescent="0.3">
      <c r="F64608" s="193"/>
    </row>
    <row r="64609" spans="6:6" x14ac:dyDescent="0.3">
      <c r="F64609" s="193"/>
    </row>
    <row r="64610" spans="6:6" x14ac:dyDescent="0.3">
      <c r="F64610" s="193"/>
    </row>
    <row r="64611" spans="6:6" x14ac:dyDescent="0.3">
      <c r="F64611" s="193"/>
    </row>
    <row r="64612" spans="6:6" x14ac:dyDescent="0.3">
      <c r="F64612" s="193"/>
    </row>
    <row r="64613" spans="6:6" x14ac:dyDescent="0.3">
      <c r="F64613" s="193"/>
    </row>
    <row r="64614" spans="6:6" x14ac:dyDescent="0.3">
      <c r="F64614" s="193"/>
    </row>
    <row r="64615" spans="6:6" x14ac:dyDescent="0.3">
      <c r="F64615" s="193"/>
    </row>
    <row r="64616" spans="6:6" x14ac:dyDescent="0.3">
      <c r="F64616" s="193"/>
    </row>
    <row r="64617" spans="6:6" x14ac:dyDescent="0.3">
      <c r="F64617" s="193"/>
    </row>
    <row r="64618" spans="6:6" x14ac:dyDescent="0.3">
      <c r="F64618" s="193"/>
    </row>
    <row r="64619" spans="6:6" x14ac:dyDescent="0.3">
      <c r="F64619" s="193"/>
    </row>
    <row r="64620" spans="6:6" x14ac:dyDescent="0.3">
      <c r="F64620" s="193"/>
    </row>
    <row r="64621" spans="6:6" x14ac:dyDescent="0.3">
      <c r="F64621" s="193"/>
    </row>
    <row r="64622" spans="6:6" x14ac:dyDescent="0.3">
      <c r="F64622" s="193"/>
    </row>
    <row r="64623" spans="6:6" x14ac:dyDescent="0.3">
      <c r="F64623" s="193"/>
    </row>
    <row r="64624" spans="6:6" x14ac:dyDescent="0.3">
      <c r="F64624" s="193"/>
    </row>
    <row r="64625" spans="6:6" x14ac:dyDescent="0.3">
      <c r="F64625" s="193"/>
    </row>
    <row r="64626" spans="6:6" x14ac:dyDescent="0.3">
      <c r="F64626" s="193"/>
    </row>
    <row r="64627" spans="6:6" x14ac:dyDescent="0.3">
      <c r="F64627" s="193"/>
    </row>
    <row r="64628" spans="6:6" x14ac:dyDescent="0.3">
      <c r="F64628" s="193"/>
    </row>
    <row r="64629" spans="6:6" x14ac:dyDescent="0.3">
      <c r="F64629" s="193"/>
    </row>
    <row r="64630" spans="6:6" x14ac:dyDescent="0.3">
      <c r="F64630" s="193"/>
    </row>
    <row r="64631" spans="6:6" x14ac:dyDescent="0.3">
      <c r="F64631" s="193"/>
    </row>
    <row r="64632" spans="6:6" x14ac:dyDescent="0.3">
      <c r="F64632" s="193"/>
    </row>
    <row r="64633" spans="6:6" x14ac:dyDescent="0.3">
      <c r="F64633" s="193"/>
    </row>
    <row r="64634" spans="6:6" x14ac:dyDescent="0.3">
      <c r="F64634" s="193"/>
    </row>
    <row r="64635" spans="6:6" x14ac:dyDescent="0.3">
      <c r="F64635" s="193"/>
    </row>
    <row r="64636" spans="6:6" x14ac:dyDescent="0.3">
      <c r="F64636" s="193"/>
    </row>
    <row r="64637" spans="6:6" x14ac:dyDescent="0.3">
      <c r="F64637" s="193"/>
    </row>
    <row r="64638" spans="6:6" x14ac:dyDescent="0.3">
      <c r="F64638" s="193"/>
    </row>
    <row r="64639" spans="6:6" x14ac:dyDescent="0.3">
      <c r="F64639" s="193"/>
    </row>
    <row r="64640" spans="6:6" x14ac:dyDescent="0.3">
      <c r="F64640" s="193"/>
    </row>
    <row r="64641" spans="6:6" x14ac:dyDescent="0.3">
      <c r="F64641" s="193"/>
    </row>
    <row r="64642" spans="6:6" x14ac:dyDescent="0.3">
      <c r="F64642" s="193"/>
    </row>
    <row r="64643" spans="6:6" x14ac:dyDescent="0.3">
      <c r="F64643" s="193"/>
    </row>
    <row r="64644" spans="6:6" x14ac:dyDescent="0.3">
      <c r="F64644" s="193"/>
    </row>
    <row r="64645" spans="6:6" x14ac:dyDescent="0.3">
      <c r="F64645" s="193"/>
    </row>
    <row r="64646" spans="6:6" x14ac:dyDescent="0.3">
      <c r="F64646" s="193"/>
    </row>
    <row r="64647" spans="6:6" x14ac:dyDescent="0.3">
      <c r="F64647" s="193"/>
    </row>
    <row r="64648" spans="6:6" x14ac:dyDescent="0.3">
      <c r="F64648" s="193"/>
    </row>
    <row r="64649" spans="6:6" x14ac:dyDescent="0.3">
      <c r="F64649" s="193"/>
    </row>
    <row r="64650" spans="6:6" x14ac:dyDescent="0.3">
      <c r="F64650" s="193"/>
    </row>
    <row r="64651" spans="6:6" x14ac:dyDescent="0.3">
      <c r="F64651" s="193"/>
    </row>
    <row r="64652" spans="6:6" x14ac:dyDescent="0.3">
      <c r="F64652" s="193"/>
    </row>
    <row r="64653" spans="6:6" x14ac:dyDescent="0.3">
      <c r="F64653" s="193"/>
    </row>
    <row r="64654" spans="6:6" x14ac:dyDescent="0.3">
      <c r="F64654" s="193"/>
    </row>
    <row r="64655" spans="6:6" x14ac:dyDescent="0.3">
      <c r="F64655" s="193"/>
    </row>
    <row r="64656" spans="6:6" x14ac:dyDescent="0.3">
      <c r="F64656" s="193"/>
    </row>
    <row r="64657" spans="6:6" x14ac:dyDescent="0.3">
      <c r="F64657" s="193"/>
    </row>
    <row r="64658" spans="6:6" x14ac:dyDescent="0.3">
      <c r="F64658" s="193"/>
    </row>
    <row r="64659" spans="6:6" x14ac:dyDescent="0.3">
      <c r="F64659" s="193"/>
    </row>
    <row r="64660" spans="6:6" x14ac:dyDescent="0.3">
      <c r="F64660" s="193"/>
    </row>
    <row r="64661" spans="6:6" x14ac:dyDescent="0.3">
      <c r="F64661" s="193"/>
    </row>
    <row r="64662" spans="6:6" x14ac:dyDescent="0.3">
      <c r="F64662" s="193"/>
    </row>
    <row r="64663" spans="6:6" x14ac:dyDescent="0.3">
      <c r="F64663" s="193"/>
    </row>
    <row r="64664" spans="6:6" x14ac:dyDescent="0.3">
      <c r="F64664" s="193"/>
    </row>
    <row r="64665" spans="6:6" x14ac:dyDescent="0.3">
      <c r="F64665" s="193"/>
    </row>
    <row r="64666" spans="6:6" x14ac:dyDescent="0.3">
      <c r="F64666" s="193"/>
    </row>
    <row r="64667" spans="6:6" x14ac:dyDescent="0.3">
      <c r="F64667" s="193"/>
    </row>
    <row r="64668" spans="6:6" x14ac:dyDescent="0.3">
      <c r="F64668" s="193"/>
    </row>
    <row r="64669" spans="6:6" x14ac:dyDescent="0.3">
      <c r="F64669" s="193"/>
    </row>
    <row r="64670" spans="6:6" x14ac:dyDescent="0.3">
      <c r="F64670" s="193"/>
    </row>
    <row r="64671" spans="6:6" x14ac:dyDescent="0.3">
      <c r="F64671" s="193"/>
    </row>
    <row r="64672" spans="6:6" x14ac:dyDescent="0.3">
      <c r="F64672" s="193"/>
    </row>
    <row r="64673" spans="6:6" x14ac:dyDescent="0.3">
      <c r="F64673" s="193"/>
    </row>
    <row r="64674" spans="6:6" x14ac:dyDescent="0.3">
      <c r="F64674" s="193"/>
    </row>
    <row r="64675" spans="6:6" x14ac:dyDescent="0.3">
      <c r="F64675" s="193"/>
    </row>
    <row r="64676" spans="6:6" x14ac:dyDescent="0.3">
      <c r="F64676" s="193"/>
    </row>
    <row r="64677" spans="6:6" x14ac:dyDescent="0.3">
      <c r="F64677" s="193"/>
    </row>
    <row r="64678" spans="6:6" x14ac:dyDescent="0.3">
      <c r="F64678" s="193"/>
    </row>
    <row r="64679" spans="6:6" x14ac:dyDescent="0.3">
      <c r="F64679" s="193"/>
    </row>
    <row r="64680" spans="6:6" x14ac:dyDescent="0.3">
      <c r="F64680" s="193"/>
    </row>
    <row r="64681" spans="6:6" x14ac:dyDescent="0.3">
      <c r="F64681" s="193"/>
    </row>
    <row r="64682" spans="6:6" x14ac:dyDescent="0.3">
      <c r="F64682" s="193"/>
    </row>
    <row r="64683" spans="6:6" x14ac:dyDescent="0.3">
      <c r="F64683" s="193"/>
    </row>
    <row r="64684" spans="6:6" x14ac:dyDescent="0.3">
      <c r="F64684" s="193"/>
    </row>
    <row r="64685" spans="6:6" x14ac:dyDescent="0.3">
      <c r="F64685" s="193"/>
    </row>
    <row r="64686" spans="6:6" x14ac:dyDescent="0.3">
      <c r="F64686" s="193"/>
    </row>
    <row r="64687" spans="6:6" x14ac:dyDescent="0.3">
      <c r="F64687" s="193"/>
    </row>
    <row r="64688" spans="6:6" x14ac:dyDescent="0.3">
      <c r="F64688" s="193"/>
    </row>
    <row r="64689" spans="6:6" x14ac:dyDescent="0.3">
      <c r="F64689" s="193"/>
    </row>
    <row r="64690" spans="6:6" x14ac:dyDescent="0.3">
      <c r="F64690" s="193"/>
    </row>
    <row r="64691" spans="6:6" x14ac:dyDescent="0.3">
      <c r="F64691" s="193"/>
    </row>
    <row r="64692" spans="6:6" x14ac:dyDescent="0.3">
      <c r="F64692" s="193"/>
    </row>
    <row r="64693" spans="6:6" x14ac:dyDescent="0.3">
      <c r="F64693" s="193"/>
    </row>
    <row r="64694" spans="6:6" x14ac:dyDescent="0.3">
      <c r="F64694" s="193"/>
    </row>
    <row r="64695" spans="6:6" x14ac:dyDescent="0.3">
      <c r="F64695" s="193"/>
    </row>
    <row r="64696" spans="6:6" x14ac:dyDescent="0.3">
      <c r="F64696" s="193"/>
    </row>
    <row r="64697" spans="6:6" x14ac:dyDescent="0.3">
      <c r="F64697" s="193"/>
    </row>
    <row r="64698" spans="6:6" x14ac:dyDescent="0.3">
      <c r="F64698" s="193"/>
    </row>
    <row r="64699" spans="6:6" x14ac:dyDescent="0.3">
      <c r="F64699" s="193"/>
    </row>
    <row r="64700" spans="6:6" x14ac:dyDescent="0.3">
      <c r="F64700" s="193"/>
    </row>
    <row r="64701" spans="6:6" x14ac:dyDescent="0.3">
      <c r="F64701" s="193"/>
    </row>
    <row r="64702" spans="6:6" x14ac:dyDescent="0.3">
      <c r="F64702" s="193"/>
    </row>
    <row r="64703" spans="6:6" x14ac:dyDescent="0.3">
      <c r="F64703" s="193"/>
    </row>
    <row r="64704" spans="6:6" x14ac:dyDescent="0.3">
      <c r="F64704" s="193"/>
    </row>
    <row r="64705" spans="6:6" x14ac:dyDescent="0.3">
      <c r="F64705" s="193"/>
    </row>
    <row r="64706" spans="6:6" x14ac:dyDescent="0.3">
      <c r="F64706" s="193"/>
    </row>
    <row r="64707" spans="6:6" x14ac:dyDescent="0.3">
      <c r="F64707" s="193"/>
    </row>
    <row r="64708" spans="6:6" x14ac:dyDescent="0.3">
      <c r="F64708" s="193"/>
    </row>
    <row r="64709" spans="6:6" x14ac:dyDescent="0.3">
      <c r="F64709" s="193"/>
    </row>
    <row r="64710" spans="6:6" x14ac:dyDescent="0.3">
      <c r="F64710" s="193"/>
    </row>
    <row r="64711" spans="6:6" x14ac:dyDescent="0.3">
      <c r="F64711" s="193"/>
    </row>
    <row r="64712" spans="6:6" x14ac:dyDescent="0.3">
      <c r="F64712" s="193"/>
    </row>
    <row r="64713" spans="6:6" x14ac:dyDescent="0.3">
      <c r="F64713" s="193"/>
    </row>
    <row r="64714" spans="6:6" x14ac:dyDescent="0.3">
      <c r="F64714" s="193"/>
    </row>
    <row r="64715" spans="6:6" x14ac:dyDescent="0.3">
      <c r="F64715" s="193"/>
    </row>
    <row r="64716" spans="6:6" x14ac:dyDescent="0.3">
      <c r="F64716" s="193"/>
    </row>
    <row r="64717" spans="6:6" x14ac:dyDescent="0.3">
      <c r="F64717" s="193"/>
    </row>
    <row r="64718" spans="6:6" x14ac:dyDescent="0.3">
      <c r="F64718" s="193"/>
    </row>
    <row r="64719" spans="6:6" x14ac:dyDescent="0.3">
      <c r="F64719" s="193"/>
    </row>
    <row r="64720" spans="6:6" x14ac:dyDescent="0.3">
      <c r="F64720" s="193"/>
    </row>
    <row r="64721" spans="6:6" x14ac:dyDescent="0.3">
      <c r="F64721" s="193"/>
    </row>
    <row r="64722" spans="6:6" x14ac:dyDescent="0.3">
      <c r="F64722" s="193"/>
    </row>
    <row r="64723" spans="6:6" x14ac:dyDescent="0.3">
      <c r="F64723" s="193"/>
    </row>
    <row r="64724" spans="6:6" x14ac:dyDescent="0.3">
      <c r="F64724" s="193"/>
    </row>
    <row r="64725" spans="6:6" x14ac:dyDescent="0.3">
      <c r="F64725" s="193"/>
    </row>
    <row r="64726" spans="6:6" x14ac:dyDescent="0.3">
      <c r="F64726" s="193"/>
    </row>
    <row r="64727" spans="6:6" x14ac:dyDescent="0.3">
      <c r="F64727" s="193"/>
    </row>
    <row r="64728" spans="6:6" x14ac:dyDescent="0.3">
      <c r="F64728" s="193"/>
    </row>
    <row r="64729" spans="6:6" x14ac:dyDescent="0.3">
      <c r="F64729" s="193"/>
    </row>
    <row r="64730" spans="6:6" x14ac:dyDescent="0.3">
      <c r="F64730" s="193"/>
    </row>
    <row r="64731" spans="6:6" x14ac:dyDescent="0.3">
      <c r="F64731" s="193"/>
    </row>
    <row r="64732" spans="6:6" x14ac:dyDescent="0.3">
      <c r="F64732" s="193"/>
    </row>
    <row r="64733" spans="6:6" x14ac:dyDescent="0.3">
      <c r="F64733" s="193"/>
    </row>
    <row r="64734" spans="6:6" x14ac:dyDescent="0.3">
      <c r="F64734" s="193"/>
    </row>
    <row r="64735" spans="6:6" x14ac:dyDescent="0.3">
      <c r="F64735" s="193"/>
    </row>
    <row r="64736" spans="6:6" x14ac:dyDescent="0.3">
      <c r="F64736" s="193"/>
    </row>
    <row r="64737" spans="6:6" x14ac:dyDescent="0.3">
      <c r="F64737" s="193"/>
    </row>
    <row r="64738" spans="6:6" x14ac:dyDescent="0.3">
      <c r="F64738" s="193"/>
    </row>
    <row r="64739" spans="6:6" x14ac:dyDescent="0.3">
      <c r="F64739" s="193"/>
    </row>
    <row r="64740" spans="6:6" x14ac:dyDescent="0.3">
      <c r="F64740" s="193"/>
    </row>
    <row r="64741" spans="6:6" x14ac:dyDescent="0.3">
      <c r="F64741" s="193"/>
    </row>
    <row r="64742" spans="6:6" x14ac:dyDescent="0.3">
      <c r="F64742" s="193"/>
    </row>
    <row r="64743" spans="6:6" x14ac:dyDescent="0.3">
      <c r="F64743" s="193"/>
    </row>
    <row r="64744" spans="6:6" x14ac:dyDescent="0.3">
      <c r="F64744" s="193"/>
    </row>
    <row r="64745" spans="6:6" x14ac:dyDescent="0.3">
      <c r="F64745" s="193"/>
    </row>
    <row r="64746" spans="6:6" x14ac:dyDescent="0.3">
      <c r="F64746" s="193"/>
    </row>
    <row r="64747" spans="6:6" x14ac:dyDescent="0.3">
      <c r="F64747" s="193"/>
    </row>
    <row r="64748" spans="6:6" x14ac:dyDescent="0.3">
      <c r="F64748" s="193"/>
    </row>
    <row r="64749" spans="6:6" x14ac:dyDescent="0.3">
      <c r="F64749" s="193"/>
    </row>
    <row r="64750" spans="6:6" x14ac:dyDescent="0.3">
      <c r="F64750" s="193"/>
    </row>
    <row r="64751" spans="6:6" x14ac:dyDescent="0.3">
      <c r="F64751" s="193"/>
    </row>
    <row r="64752" spans="6:6" x14ac:dyDescent="0.3">
      <c r="F64752" s="193"/>
    </row>
    <row r="64753" spans="6:6" x14ac:dyDescent="0.3">
      <c r="F64753" s="193"/>
    </row>
    <row r="64754" spans="6:6" x14ac:dyDescent="0.3">
      <c r="F64754" s="193"/>
    </row>
    <row r="64755" spans="6:6" x14ac:dyDescent="0.3">
      <c r="F64755" s="193"/>
    </row>
    <row r="64756" spans="6:6" x14ac:dyDescent="0.3">
      <c r="F64756" s="193"/>
    </row>
    <row r="64757" spans="6:6" x14ac:dyDescent="0.3">
      <c r="F64757" s="193"/>
    </row>
    <row r="64758" spans="6:6" x14ac:dyDescent="0.3">
      <c r="F64758" s="193"/>
    </row>
    <row r="64759" spans="6:6" x14ac:dyDescent="0.3">
      <c r="F64759" s="193"/>
    </row>
    <row r="64760" spans="6:6" x14ac:dyDescent="0.3">
      <c r="F64760" s="193"/>
    </row>
    <row r="64761" spans="6:6" x14ac:dyDescent="0.3">
      <c r="F64761" s="193"/>
    </row>
    <row r="64762" spans="6:6" x14ac:dyDescent="0.3">
      <c r="F64762" s="193"/>
    </row>
    <row r="64763" spans="6:6" x14ac:dyDescent="0.3">
      <c r="F64763" s="193"/>
    </row>
    <row r="64764" spans="6:6" x14ac:dyDescent="0.3">
      <c r="F64764" s="193"/>
    </row>
    <row r="64765" spans="6:6" x14ac:dyDescent="0.3">
      <c r="F64765" s="193"/>
    </row>
    <row r="64766" spans="6:6" x14ac:dyDescent="0.3">
      <c r="F64766" s="193"/>
    </row>
    <row r="64767" spans="6:6" x14ac:dyDescent="0.3">
      <c r="F64767" s="193"/>
    </row>
    <row r="64768" spans="6:6" x14ac:dyDescent="0.3">
      <c r="F64768" s="193"/>
    </row>
    <row r="64769" spans="6:6" x14ac:dyDescent="0.3">
      <c r="F64769" s="193"/>
    </row>
    <row r="64770" spans="6:6" x14ac:dyDescent="0.3">
      <c r="F64770" s="193"/>
    </row>
    <row r="64771" spans="6:6" x14ac:dyDescent="0.3">
      <c r="F64771" s="193"/>
    </row>
    <row r="64772" spans="6:6" x14ac:dyDescent="0.3">
      <c r="F64772" s="193"/>
    </row>
    <row r="64773" spans="6:6" x14ac:dyDescent="0.3">
      <c r="F64773" s="193"/>
    </row>
    <row r="64774" spans="6:6" x14ac:dyDescent="0.3">
      <c r="F64774" s="193"/>
    </row>
    <row r="64775" spans="6:6" x14ac:dyDescent="0.3">
      <c r="F64775" s="193"/>
    </row>
    <row r="64776" spans="6:6" x14ac:dyDescent="0.3">
      <c r="F64776" s="193"/>
    </row>
    <row r="64777" spans="6:6" x14ac:dyDescent="0.3">
      <c r="F64777" s="193"/>
    </row>
    <row r="64778" spans="6:6" x14ac:dyDescent="0.3">
      <c r="F64778" s="193"/>
    </row>
    <row r="64779" spans="6:6" x14ac:dyDescent="0.3">
      <c r="F64779" s="193"/>
    </row>
    <row r="64780" spans="6:6" x14ac:dyDescent="0.3">
      <c r="F64780" s="193"/>
    </row>
    <row r="64781" spans="6:6" x14ac:dyDescent="0.3">
      <c r="F64781" s="193"/>
    </row>
    <row r="64782" spans="6:6" x14ac:dyDescent="0.3">
      <c r="F64782" s="193"/>
    </row>
    <row r="64783" spans="6:6" x14ac:dyDescent="0.3">
      <c r="F64783" s="193"/>
    </row>
    <row r="64784" spans="6:6" x14ac:dyDescent="0.3">
      <c r="F64784" s="193"/>
    </row>
    <row r="64785" spans="6:6" x14ac:dyDescent="0.3">
      <c r="F64785" s="193"/>
    </row>
    <row r="64786" spans="6:6" x14ac:dyDescent="0.3">
      <c r="F64786" s="193"/>
    </row>
    <row r="64787" spans="6:6" x14ac:dyDescent="0.3">
      <c r="F64787" s="193"/>
    </row>
    <row r="64788" spans="6:6" x14ac:dyDescent="0.3">
      <c r="F64788" s="193"/>
    </row>
    <row r="64789" spans="6:6" x14ac:dyDescent="0.3">
      <c r="F64789" s="193"/>
    </row>
    <row r="64790" spans="6:6" x14ac:dyDescent="0.3">
      <c r="F64790" s="193"/>
    </row>
    <row r="64791" spans="6:6" x14ac:dyDescent="0.3">
      <c r="F64791" s="193"/>
    </row>
    <row r="64792" spans="6:6" x14ac:dyDescent="0.3">
      <c r="F64792" s="193"/>
    </row>
    <row r="64793" spans="6:6" x14ac:dyDescent="0.3">
      <c r="F64793" s="193"/>
    </row>
    <row r="64794" spans="6:6" x14ac:dyDescent="0.3">
      <c r="F64794" s="193"/>
    </row>
    <row r="64795" spans="6:6" x14ac:dyDescent="0.3">
      <c r="F64795" s="193"/>
    </row>
    <row r="64796" spans="6:6" x14ac:dyDescent="0.3">
      <c r="F64796" s="193"/>
    </row>
    <row r="64797" spans="6:6" x14ac:dyDescent="0.3">
      <c r="F64797" s="193"/>
    </row>
    <row r="64798" spans="6:6" x14ac:dyDescent="0.3">
      <c r="F64798" s="193"/>
    </row>
    <row r="64799" spans="6:6" x14ac:dyDescent="0.3">
      <c r="F64799" s="193"/>
    </row>
    <row r="64800" spans="6:6" x14ac:dyDescent="0.3">
      <c r="F64800" s="193"/>
    </row>
    <row r="64801" spans="6:6" x14ac:dyDescent="0.3">
      <c r="F64801" s="193"/>
    </row>
    <row r="64802" spans="6:6" x14ac:dyDescent="0.3">
      <c r="F64802" s="193"/>
    </row>
    <row r="64803" spans="6:6" x14ac:dyDescent="0.3">
      <c r="F64803" s="193"/>
    </row>
    <row r="64804" spans="6:6" x14ac:dyDescent="0.3">
      <c r="F64804" s="193"/>
    </row>
    <row r="64805" spans="6:6" x14ac:dyDescent="0.3">
      <c r="F64805" s="193"/>
    </row>
    <row r="64806" spans="6:6" x14ac:dyDescent="0.3">
      <c r="F64806" s="193"/>
    </row>
    <row r="64807" spans="6:6" x14ac:dyDescent="0.3">
      <c r="F64807" s="193"/>
    </row>
    <row r="64808" spans="6:6" x14ac:dyDescent="0.3">
      <c r="F64808" s="193"/>
    </row>
    <row r="64809" spans="6:6" x14ac:dyDescent="0.3">
      <c r="F64809" s="193"/>
    </row>
    <row r="64810" spans="6:6" x14ac:dyDescent="0.3">
      <c r="F64810" s="193"/>
    </row>
    <row r="64811" spans="6:6" x14ac:dyDescent="0.3">
      <c r="F64811" s="193"/>
    </row>
    <row r="64812" spans="6:6" x14ac:dyDescent="0.3">
      <c r="F64812" s="193"/>
    </row>
    <row r="64813" spans="6:6" x14ac:dyDescent="0.3">
      <c r="F64813" s="193"/>
    </row>
    <row r="64814" spans="6:6" x14ac:dyDescent="0.3">
      <c r="F64814" s="193"/>
    </row>
    <row r="64815" spans="6:6" x14ac:dyDescent="0.3">
      <c r="F64815" s="193"/>
    </row>
    <row r="64816" spans="6:6" x14ac:dyDescent="0.3">
      <c r="F64816" s="193"/>
    </row>
    <row r="64817" spans="6:6" x14ac:dyDescent="0.3">
      <c r="F64817" s="193"/>
    </row>
    <row r="64818" spans="6:6" x14ac:dyDescent="0.3">
      <c r="F64818" s="193"/>
    </row>
    <row r="64819" spans="6:6" x14ac:dyDescent="0.3">
      <c r="F64819" s="193"/>
    </row>
    <row r="64820" spans="6:6" x14ac:dyDescent="0.3">
      <c r="F64820" s="193"/>
    </row>
    <row r="64821" spans="6:6" x14ac:dyDescent="0.3">
      <c r="F64821" s="193"/>
    </row>
    <row r="64822" spans="6:6" x14ac:dyDescent="0.3">
      <c r="F64822" s="193"/>
    </row>
    <row r="64823" spans="6:6" x14ac:dyDescent="0.3">
      <c r="F64823" s="193"/>
    </row>
    <row r="64824" spans="6:6" x14ac:dyDescent="0.3">
      <c r="F64824" s="193"/>
    </row>
    <row r="64825" spans="6:6" x14ac:dyDescent="0.3">
      <c r="F64825" s="193"/>
    </row>
    <row r="64826" spans="6:6" x14ac:dyDescent="0.3">
      <c r="F64826" s="193"/>
    </row>
    <row r="64827" spans="6:6" x14ac:dyDescent="0.3">
      <c r="F64827" s="193"/>
    </row>
    <row r="64828" spans="6:6" x14ac:dyDescent="0.3">
      <c r="F64828" s="193"/>
    </row>
    <row r="64829" spans="6:6" x14ac:dyDescent="0.3">
      <c r="F64829" s="193"/>
    </row>
    <row r="64830" spans="6:6" x14ac:dyDescent="0.3">
      <c r="F64830" s="193"/>
    </row>
    <row r="64831" spans="6:6" x14ac:dyDescent="0.3">
      <c r="F64831" s="193"/>
    </row>
    <row r="64832" spans="6:6" x14ac:dyDescent="0.3">
      <c r="F64832" s="193"/>
    </row>
    <row r="64833" spans="6:6" x14ac:dyDescent="0.3">
      <c r="F64833" s="193"/>
    </row>
    <row r="64834" spans="6:6" x14ac:dyDescent="0.3">
      <c r="F64834" s="193"/>
    </row>
    <row r="64835" spans="6:6" x14ac:dyDescent="0.3">
      <c r="F64835" s="193"/>
    </row>
    <row r="64836" spans="6:6" x14ac:dyDescent="0.3">
      <c r="F64836" s="193"/>
    </row>
    <row r="64837" spans="6:6" x14ac:dyDescent="0.3">
      <c r="F64837" s="193"/>
    </row>
    <row r="64838" spans="6:6" x14ac:dyDescent="0.3">
      <c r="F64838" s="193"/>
    </row>
    <row r="64839" spans="6:6" x14ac:dyDescent="0.3">
      <c r="F64839" s="193"/>
    </row>
    <row r="64840" spans="6:6" x14ac:dyDescent="0.3">
      <c r="F64840" s="193"/>
    </row>
    <row r="64841" spans="6:6" x14ac:dyDescent="0.3">
      <c r="F64841" s="193"/>
    </row>
    <row r="64842" spans="6:6" x14ac:dyDescent="0.3">
      <c r="F64842" s="193"/>
    </row>
    <row r="64843" spans="6:6" x14ac:dyDescent="0.3">
      <c r="F64843" s="193"/>
    </row>
    <row r="64844" spans="6:6" x14ac:dyDescent="0.3">
      <c r="F64844" s="193"/>
    </row>
    <row r="64845" spans="6:6" x14ac:dyDescent="0.3">
      <c r="F64845" s="193"/>
    </row>
    <row r="64846" spans="6:6" x14ac:dyDescent="0.3">
      <c r="F64846" s="193"/>
    </row>
    <row r="64847" spans="6:6" x14ac:dyDescent="0.3">
      <c r="F64847" s="193"/>
    </row>
    <row r="64848" spans="6:6" x14ac:dyDescent="0.3">
      <c r="F64848" s="193"/>
    </row>
    <row r="64849" spans="6:6" x14ac:dyDescent="0.3">
      <c r="F64849" s="193"/>
    </row>
    <row r="64850" spans="6:6" x14ac:dyDescent="0.3">
      <c r="F64850" s="193"/>
    </row>
    <row r="64851" spans="6:6" x14ac:dyDescent="0.3">
      <c r="F64851" s="193"/>
    </row>
    <row r="64852" spans="6:6" x14ac:dyDescent="0.3">
      <c r="F64852" s="193"/>
    </row>
    <row r="64853" spans="6:6" x14ac:dyDescent="0.3">
      <c r="F64853" s="193"/>
    </row>
    <row r="64854" spans="6:6" x14ac:dyDescent="0.3">
      <c r="F64854" s="193"/>
    </row>
    <row r="64855" spans="6:6" x14ac:dyDescent="0.3">
      <c r="F64855" s="193"/>
    </row>
    <row r="64856" spans="6:6" x14ac:dyDescent="0.3">
      <c r="F64856" s="193"/>
    </row>
    <row r="64857" spans="6:6" x14ac:dyDescent="0.3">
      <c r="F64857" s="193"/>
    </row>
    <row r="64858" spans="6:6" x14ac:dyDescent="0.3">
      <c r="F64858" s="193"/>
    </row>
    <row r="64859" spans="6:6" x14ac:dyDescent="0.3">
      <c r="F64859" s="193"/>
    </row>
    <row r="64860" spans="6:6" x14ac:dyDescent="0.3">
      <c r="F64860" s="193"/>
    </row>
    <row r="64861" spans="6:6" x14ac:dyDescent="0.3">
      <c r="F64861" s="193"/>
    </row>
    <row r="64862" spans="6:6" x14ac:dyDescent="0.3">
      <c r="F64862" s="193"/>
    </row>
    <row r="64863" spans="6:6" x14ac:dyDescent="0.3">
      <c r="F64863" s="193"/>
    </row>
    <row r="64864" spans="6:6" x14ac:dyDescent="0.3">
      <c r="F64864" s="193"/>
    </row>
    <row r="64865" spans="6:6" x14ac:dyDescent="0.3">
      <c r="F64865" s="193"/>
    </row>
    <row r="64866" spans="6:6" x14ac:dyDescent="0.3">
      <c r="F64866" s="193"/>
    </row>
    <row r="64867" spans="6:6" x14ac:dyDescent="0.3">
      <c r="F64867" s="193"/>
    </row>
    <row r="64868" spans="6:6" x14ac:dyDescent="0.3">
      <c r="F64868" s="193"/>
    </row>
    <row r="64869" spans="6:6" x14ac:dyDescent="0.3">
      <c r="F64869" s="193"/>
    </row>
    <row r="64870" spans="6:6" x14ac:dyDescent="0.3">
      <c r="F64870" s="193"/>
    </row>
    <row r="64871" spans="6:6" x14ac:dyDescent="0.3">
      <c r="F64871" s="193"/>
    </row>
    <row r="64872" spans="6:6" x14ac:dyDescent="0.3">
      <c r="F64872" s="193"/>
    </row>
    <row r="64873" spans="6:6" x14ac:dyDescent="0.3">
      <c r="F64873" s="193"/>
    </row>
    <row r="64874" spans="6:6" x14ac:dyDescent="0.3">
      <c r="F64874" s="193"/>
    </row>
    <row r="64875" spans="6:6" x14ac:dyDescent="0.3">
      <c r="F64875" s="193"/>
    </row>
    <row r="64876" spans="6:6" x14ac:dyDescent="0.3">
      <c r="F64876" s="193"/>
    </row>
    <row r="64877" spans="6:6" x14ac:dyDescent="0.3">
      <c r="F64877" s="193"/>
    </row>
    <row r="64878" spans="6:6" x14ac:dyDescent="0.3">
      <c r="F64878" s="193"/>
    </row>
    <row r="64879" spans="6:6" x14ac:dyDescent="0.3">
      <c r="F64879" s="193"/>
    </row>
    <row r="64880" spans="6:6" x14ac:dyDescent="0.3">
      <c r="F64880" s="193"/>
    </row>
    <row r="64881" spans="6:6" x14ac:dyDescent="0.3">
      <c r="F64881" s="193"/>
    </row>
    <row r="64882" spans="6:6" x14ac:dyDescent="0.3">
      <c r="F64882" s="193"/>
    </row>
    <row r="64883" spans="6:6" x14ac:dyDescent="0.3">
      <c r="F64883" s="193"/>
    </row>
    <row r="64884" spans="6:6" x14ac:dyDescent="0.3">
      <c r="F64884" s="193"/>
    </row>
    <row r="64885" spans="6:6" x14ac:dyDescent="0.3">
      <c r="F64885" s="193"/>
    </row>
    <row r="64886" spans="6:6" x14ac:dyDescent="0.3">
      <c r="F64886" s="193"/>
    </row>
    <row r="64887" spans="6:6" x14ac:dyDescent="0.3">
      <c r="F64887" s="193"/>
    </row>
    <row r="64888" spans="6:6" x14ac:dyDescent="0.3">
      <c r="F64888" s="193"/>
    </row>
    <row r="64889" spans="6:6" x14ac:dyDescent="0.3">
      <c r="F64889" s="193"/>
    </row>
    <row r="64890" spans="6:6" x14ac:dyDescent="0.3">
      <c r="F64890" s="193"/>
    </row>
    <row r="64891" spans="6:6" x14ac:dyDescent="0.3">
      <c r="F64891" s="193"/>
    </row>
    <row r="64892" spans="6:6" x14ac:dyDescent="0.3">
      <c r="F64892" s="193"/>
    </row>
    <row r="64893" spans="6:6" x14ac:dyDescent="0.3">
      <c r="F64893" s="193"/>
    </row>
    <row r="64894" spans="6:6" x14ac:dyDescent="0.3">
      <c r="F64894" s="193"/>
    </row>
    <row r="64895" spans="6:6" x14ac:dyDescent="0.3">
      <c r="F64895" s="193"/>
    </row>
    <row r="64896" spans="6:6" x14ac:dyDescent="0.3">
      <c r="F64896" s="193"/>
    </row>
    <row r="64897" spans="6:6" x14ac:dyDescent="0.3">
      <c r="F64897" s="193"/>
    </row>
    <row r="64898" spans="6:6" x14ac:dyDescent="0.3">
      <c r="F64898" s="193"/>
    </row>
    <row r="64899" spans="6:6" x14ac:dyDescent="0.3">
      <c r="F64899" s="193"/>
    </row>
    <row r="64900" spans="6:6" x14ac:dyDescent="0.3">
      <c r="F64900" s="193"/>
    </row>
    <row r="64901" spans="6:6" x14ac:dyDescent="0.3">
      <c r="F64901" s="193"/>
    </row>
    <row r="64902" spans="6:6" x14ac:dyDescent="0.3">
      <c r="F64902" s="193"/>
    </row>
    <row r="64903" spans="6:6" x14ac:dyDescent="0.3">
      <c r="F64903" s="193"/>
    </row>
    <row r="64904" spans="6:6" x14ac:dyDescent="0.3">
      <c r="F64904" s="193"/>
    </row>
    <row r="64905" spans="6:6" x14ac:dyDescent="0.3">
      <c r="F64905" s="193"/>
    </row>
    <row r="64906" spans="6:6" x14ac:dyDescent="0.3">
      <c r="F64906" s="193"/>
    </row>
    <row r="64907" spans="6:6" x14ac:dyDescent="0.3">
      <c r="F64907" s="193"/>
    </row>
    <row r="64908" spans="6:6" x14ac:dyDescent="0.3">
      <c r="F64908" s="193"/>
    </row>
    <row r="64909" spans="6:6" x14ac:dyDescent="0.3">
      <c r="F64909" s="193"/>
    </row>
    <row r="64910" spans="6:6" x14ac:dyDescent="0.3">
      <c r="F64910" s="193"/>
    </row>
    <row r="64911" spans="6:6" x14ac:dyDescent="0.3">
      <c r="F64911" s="193"/>
    </row>
    <row r="64912" spans="6:6" x14ac:dyDescent="0.3">
      <c r="F64912" s="193"/>
    </row>
    <row r="64913" spans="6:6" x14ac:dyDescent="0.3">
      <c r="F64913" s="193"/>
    </row>
    <row r="64914" spans="6:6" x14ac:dyDescent="0.3">
      <c r="F64914" s="193"/>
    </row>
    <row r="64915" spans="6:6" x14ac:dyDescent="0.3">
      <c r="F64915" s="193"/>
    </row>
    <row r="64916" spans="6:6" x14ac:dyDescent="0.3">
      <c r="F64916" s="193"/>
    </row>
    <row r="64917" spans="6:6" x14ac:dyDescent="0.3">
      <c r="F64917" s="193"/>
    </row>
    <row r="64918" spans="6:6" x14ac:dyDescent="0.3">
      <c r="F64918" s="193"/>
    </row>
    <row r="64919" spans="6:6" x14ac:dyDescent="0.3">
      <c r="F64919" s="193"/>
    </row>
    <row r="64920" spans="6:6" x14ac:dyDescent="0.3">
      <c r="F64920" s="193"/>
    </row>
    <row r="64921" spans="6:6" x14ac:dyDescent="0.3">
      <c r="F64921" s="193"/>
    </row>
    <row r="64922" spans="6:6" x14ac:dyDescent="0.3">
      <c r="F64922" s="193"/>
    </row>
    <row r="64923" spans="6:6" x14ac:dyDescent="0.3">
      <c r="F64923" s="193"/>
    </row>
    <row r="64924" spans="6:6" x14ac:dyDescent="0.3">
      <c r="F64924" s="193"/>
    </row>
    <row r="64925" spans="6:6" x14ac:dyDescent="0.3">
      <c r="F64925" s="193"/>
    </row>
    <row r="64926" spans="6:6" x14ac:dyDescent="0.3">
      <c r="F64926" s="193"/>
    </row>
    <row r="64927" spans="6:6" x14ac:dyDescent="0.3">
      <c r="F64927" s="193"/>
    </row>
    <row r="64928" spans="6:6" x14ac:dyDescent="0.3">
      <c r="F64928" s="193"/>
    </row>
    <row r="64929" spans="6:6" x14ac:dyDescent="0.3">
      <c r="F64929" s="193"/>
    </row>
    <row r="64930" spans="6:6" x14ac:dyDescent="0.3">
      <c r="F64930" s="193"/>
    </row>
    <row r="64931" spans="6:6" x14ac:dyDescent="0.3">
      <c r="F64931" s="193"/>
    </row>
    <row r="64932" spans="6:6" x14ac:dyDescent="0.3">
      <c r="F64932" s="193"/>
    </row>
    <row r="64933" spans="6:6" x14ac:dyDescent="0.3">
      <c r="F64933" s="193"/>
    </row>
    <row r="64934" spans="6:6" x14ac:dyDescent="0.3">
      <c r="F64934" s="193"/>
    </row>
    <row r="64935" spans="6:6" x14ac:dyDescent="0.3">
      <c r="F64935" s="193"/>
    </row>
    <row r="64936" spans="6:6" x14ac:dyDescent="0.3">
      <c r="F64936" s="193"/>
    </row>
    <row r="64937" spans="6:6" x14ac:dyDescent="0.3">
      <c r="F64937" s="193"/>
    </row>
    <row r="64938" spans="6:6" x14ac:dyDescent="0.3">
      <c r="F64938" s="193"/>
    </row>
    <row r="64939" spans="6:6" x14ac:dyDescent="0.3">
      <c r="F64939" s="193"/>
    </row>
    <row r="64940" spans="6:6" x14ac:dyDescent="0.3">
      <c r="F64940" s="193"/>
    </row>
    <row r="64941" spans="6:6" x14ac:dyDescent="0.3">
      <c r="F64941" s="193"/>
    </row>
    <row r="64942" spans="6:6" x14ac:dyDescent="0.3">
      <c r="F64942" s="193"/>
    </row>
    <row r="64943" spans="6:6" x14ac:dyDescent="0.3">
      <c r="F64943" s="193"/>
    </row>
    <row r="64944" spans="6:6" x14ac:dyDescent="0.3">
      <c r="F64944" s="193"/>
    </row>
    <row r="64945" spans="6:6" x14ac:dyDescent="0.3">
      <c r="F64945" s="193"/>
    </row>
    <row r="64946" spans="6:6" x14ac:dyDescent="0.3">
      <c r="F64946" s="193"/>
    </row>
    <row r="64947" spans="6:6" x14ac:dyDescent="0.3">
      <c r="F64947" s="193"/>
    </row>
    <row r="64948" spans="6:6" x14ac:dyDescent="0.3">
      <c r="F64948" s="193"/>
    </row>
    <row r="64949" spans="6:6" x14ac:dyDescent="0.3">
      <c r="F64949" s="193"/>
    </row>
    <row r="64950" spans="6:6" x14ac:dyDescent="0.3">
      <c r="F64950" s="193"/>
    </row>
    <row r="64951" spans="6:6" x14ac:dyDescent="0.3">
      <c r="F64951" s="193"/>
    </row>
    <row r="64952" spans="6:6" x14ac:dyDescent="0.3">
      <c r="F64952" s="193"/>
    </row>
    <row r="64953" spans="6:6" x14ac:dyDescent="0.3">
      <c r="F64953" s="193"/>
    </row>
    <row r="64954" spans="6:6" x14ac:dyDescent="0.3">
      <c r="F64954" s="193"/>
    </row>
    <row r="64955" spans="6:6" x14ac:dyDescent="0.3">
      <c r="F64955" s="193"/>
    </row>
    <row r="64956" spans="6:6" x14ac:dyDescent="0.3">
      <c r="F64956" s="193"/>
    </row>
    <row r="64957" spans="6:6" x14ac:dyDescent="0.3">
      <c r="F64957" s="193"/>
    </row>
    <row r="64958" spans="6:6" x14ac:dyDescent="0.3">
      <c r="F64958" s="193"/>
    </row>
    <row r="64959" spans="6:6" x14ac:dyDescent="0.3">
      <c r="F64959" s="193"/>
    </row>
    <row r="64960" spans="6:6" x14ac:dyDescent="0.3">
      <c r="F64960" s="193"/>
    </row>
    <row r="64961" spans="6:6" x14ac:dyDescent="0.3">
      <c r="F64961" s="193"/>
    </row>
    <row r="64962" spans="6:6" x14ac:dyDescent="0.3">
      <c r="F64962" s="193"/>
    </row>
    <row r="64963" spans="6:6" x14ac:dyDescent="0.3">
      <c r="F64963" s="193"/>
    </row>
    <row r="64964" spans="6:6" x14ac:dyDescent="0.3">
      <c r="F64964" s="193"/>
    </row>
    <row r="64965" spans="6:6" x14ac:dyDescent="0.3">
      <c r="F64965" s="193"/>
    </row>
    <row r="64966" spans="6:6" x14ac:dyDescent="0.3">
      <c r="F64966" s="193"/>
    </row>
    <row r="64967" spans="6:6" x14ac:dyDescent="0.3">
      <c r="F64967" s="193"/>
    </row>
    <row r="64968" spans="6:6" x14ac:dyDescent="0.3">
      <c r="F64968" s="193"/>
    </row>
    <row r="64969" spans="6:6" x14ac:dyDescent="0.3">
      <c r="F64969" s="193"/>
    </row>
    <row r="64970" spans="6:6" x14ac:dyDescent="0.3">
      <c r="F64970" s="193"/>
    </row>
    <row r="64971" spans="6:6" x14ac:dyDescent="0.3">
      <c r="F64971" s="193"/>
    </row>
    <row r="64972" spans="6:6" x14ac:dyDescent="0.3">
      <c r="F64972" s="193"/>
    </row>
    <row r="64973" spans="6:6" x14ac:dyDescent="0.3">
      <c r="F64973" s="193"/>
    </row>
    <row r="64974" spans="6:6" x14ac:dyDescent="0.3">
      <c r="F64974" s="193"/>
    </row>
    <row r="64975" spans="6:6" x14ac:dyDescent="0.3">
      <c r="F64975" s="193"/>
    </row>
    <row r="64976" spans="6:6" x14ac:dyDescent="0.3">
      <c r="F64976" s="193"/>
    </row>
    <row r="64977" spans="6:6" x14ac:dyDescent="0.3">
      <c r="F64977" s="193"/>
    </row>
    <row r="64978" spans="6:6" x14ac:dyDescent="0.3">
      <c r="F64978" s="193"/>
    </row>
    <row r="64979" spans="6:6" x14ac:dyDescent="0.3">
      <c r="F64979" s="193"/>
    </row>
    <row r="64980" spans="6:6" x14ac:dyDescent="0.3">
      <c r="F64980" s="193"/>
    </row>
    <row r="64981" spans="6:6" x14ac:dyDescent="0.3">
      <c r="F64981" s="193"/>
    </row>
    <row r="64982" spans="6:6" x14ac:dyDescent="0.3">
      <c r="F64982" s="193"/>
    </row>
    <row r="64983" spans="6:6" x14ac:dyDescent="0.3">
      <c r="F64983" s="193"/>
    </row>
    <row r="64984" spans="6:6" x14ac:dyDescent="0.3">
      <c r="F64984" s="193"/>
    </row>
    <row r="64985" spans="6:6" x14ac:dyDescent="0.3">
      <c r="F64985" s="193"/>
    </row>
    <row r="64986" spans="6:6" x14ac:dyDescent="0.3">
      <c r="F64986" s="193"/>
    </row>
    <row r="64987" spans="6:6" x14ac:dyDescent="0.3">
      <c r="F64987" s="193"/>
    </row>
    <row r="64988" spans="6:6" x14ac:dyDescent="0.3">
      <c r="F64988" s="193"/>
    </row>
    <row r="64989" spans="6:6" x14ac:dyDescent="0.3">
      <c r="F64989" s="193"/>
    </row>
    <row r="64990" spans="6:6" x14ac:dyDescent="0.3">
      <c r="F64990" s="193"/>
    </row>
    <row r="64991" spans="6:6" x14ac:dyDescent="0.3">
      <c r="F64991" s="193"/>
    </row>
    <row r="64992" spans="6:6" x14ac:dyDescent="0.3">
      <c r="F64992" s="193"/>
    </row>
    <row r="64993" spans="6:6" x14ac:dyDescent="0.3">
      <c r="F64993" s="193"/>
    </row>
    <row r="64994" spans="6:6" x14ac:dyDescent="0.3">
      <c r="F64994" s="193"/>
    </row>
    <row r="64995" spans="6:6" x14ac:dyDescent="0.3">
      <c r="F64995" s="193"/>
    </row>
    <row r="64996" spans="6:6" x14ac:dyDescent="0.3">
      <c r="F64996" s="193"/>
    </row>
    <row r="64997" spans="6:6" x14ac:dyDescent="0.3">
      <c r="F64997" s="193"/>
    </row>
    <row r="64998" spans="6:6" x14ac:dyDescent="0.3">
      <c r="F64998" s="193"/>
    </row>
    <row r="64999" spans="6:6" x14ac:dyDescent="0.3">
      <c r="F64999" s="193"/>
    </row>
    <row r="65000" spans="6:6" x14ac:dyDescent="0.3">
      <c r="F65000" s="193"/>
    </row>
    <row r="65001" spans="6:6" x14ac:dyDescent="0.3">
      <c r="F65001" s="193"/>
    </row>
    <row r="65002" spans="6:6" x14ac:dyDescent="0.3">
      <c r="F65002" s="193"/>
    </row>
    <row r="65003" spans="6:6" x14ac:dyDescent="0.3">
      <c r="F65003" s="193"/>
    </row>
    <row r="65004" spans="6:6" x14ac:dyDescent="0.3">
      <c r="F65004" s="193"/>
    </row>
    <row r="65005" spans="6:6" x14ac:dyDescent="0.3">
      <c r="F65005" s="193"/>
    </row>
    <row r="65006" spans="6:6" x14ac:dyDescent="0.3">
      <c r="F65006" s="193"/>
    </row>
    <row r="65007" spans="6:6" x14ac:dyDescent="0.3">
      <c r="F65007" s="193"/>
    </row>
    <row r="65008" spans="6:6" x14ac:dyDescent="0.3">
      <c r="F65008" s="193"/>
    </row>
    <row r="65009" spans="6:6" x14ac:dyDescent="0.3">
      <c r="F65009" s="193"/>
    </row>
    <row r="65010" spans="6:6" x14ac:dyDescent="0.3">
      <c r="F65010" s="193"/>
    </row>
    <row r="65011" spans="6:6" x14ac:dyDescent="0.3">
      <c r="F65011" s="193"/>
    </row>
    <row r="65012" spans="6:6" x14ac:dyDescent="0.3">
      <c r="F65012" s="193"/>
    </row>
    <row r="65013" spans="6:6" x14ac:dyDescent="0.3">
      <c r="F65013" s="193"/>
    </row>
    <row r="65014" spans="6:6" x14ac:dyDescent="0.3">
      <c r="F65014" s="193"/>
    </row>
    <row r="65015" spans="6:6" x14ac:dyDescent="0.3">
      <c r="F65015" s="193"/>
    </row>
    <row r="65016" spans="6:6" x14ac:dyDescent="0.3">
      <c r="F65016" s="193"/>
    </row>
    <row r="65017" spans="6:6" x14ac:dyDescent="0.3">
      <c r="F65017" s="193"/>
    </row>
    <row r="65018" spans="6:6" x14ac:dyDescent="0.3">
      <c r="F65018" s="193"/>
    </row>
    <row r="65019" spans="6:6" x14ac:dyDescent="0.3">
      <c r="F65019" s="193"/>
    </row>
    <row r="65020" spans="6:6" x14ac:dyDescent="0.3">
      <c r="F65020" s="193"/>
    </row>
    <row r="65021" spans="6:6" x14ac:dyDescent="0.3">
      <c r="F65021" s="193"/>
    </row>
    <row r="65022" spans="6:6" x14ac:dyDescent="0.3">
      <c r="F65022" s="193"/>
    </row>
    <row r="65023" spans="6:6" x14ac:dyDescent="0.3">
      <c r="F65023" s="193"/>
    </row>
    <row r="65024" spans="6:6" x14ac:dyDescent="0.3">
      <c r="F65024" s="193"/>
    </row>
    <row r="65025" spans="6:6" x14ac:dyDescent="0.3">
      <c r="F65025" s="193"/>
    </row>
    <row r="65026" spans="6:6" x14ac:dyDescent="0.3">
      <c r="F65026" s="193"/>
    </row>
    <row r="65027" spans="6:6" x14ac:dyDescent="0.3">
      <c r="F65027" s="193"/>
    </row>
    <row r="65028" spans="6:6" x14ac:dyDescent="0.3">
      <c r="F65028" s="193"/>
    </row>
    <row r="65029" spans="6:6" x14ac:dyDescent="0.3">
      <c r="F65029" s="193"/>
    </row>
    <row r="65030" spans="6:6" x14ac:dyDescent="0.3">
      <c r="F65030" s="193"/>
    </row>
    <row r="65031" spans="6:6" x14ac:dyDescent="0.3">
      <c r="F65031" s="193"/>
    </row>
    <row r="65032" spans="6:6" x14ac:dyDescent="0.3">
      <c r="F65032" s="193"/>
    </row>
    <row r="65033" spans="6:6" x14ac:dyDescent="0.3">
      <c r="F65033" s="193"/>
    </row>
    <row r="65034" spans="6:6" x14ac:dyDescent="0.3">
      <c r="F65034" s="193"/>
    </row>
    <row r="65035" spans="6:6" x14ac:dyDescent="0.3">
      <c r="F65035" s="193"/>
    </row>
    <row r="65036" spans="6:6" x14ac:dyDescent="0.3">
      <c r="F65036" s="193"/>
    </row>
    <row r="65037" spans="6:6" x14ac:dyDescent="0.3">
      <c r="F65037" s="193"/>
    </row>
    <row r="65038" spans="6:6" x14ac:dyDescent="0.3">
      <c r="F65038" s="193"/>
    </row>
    <row r="65039" spans="6:6" x14ac:dyDescent="0.3">
      <c r="F65039" s="193"/>
    </row>
    <row r="65040" spans="6:6" x14ac:dyDescent="0.3">
      <c r="F65040" s="193"/>
    </row>
    <row r="65041" spans="6:6" x14ac:dyDescent="0.3">
      <c r="F65041" s="193"/>
    </row>
    <row r="65042" spans="6:6" x14ac:dyDescent="0.3">
      <c r="F65042" s="193"/>
    </row>
    <row r="65043" spans="6:6" x14ac:dyDescent="0.3">
      <c r="F65043" s="193"/>
    </row>
    <row r="65044" spans="6:6" x14ac:dyDescent="0.3">
      <c r="F65044" s="193"/>
    </row>
    <row r="65045" spans="6:6" x14ac:dyDescent="0.3">
      <c r="F65045" s="193"/>
    </row>
    <row r="65046" spans="6:6" x14ac:dyDescent="0.3">
      <c r="F65046" s="193"/>
    </row>
    <row r="65047" spans="6:6" x14ac:dyDescent="0.3">
      <c r="F65047" s="193"/>
    </row>
    <row r="65048" spans="6:6" x14ac:dyDescent="0.3">
      <c r="F65048" s="193"/>
    </row>
    <row r="65049" spans="6:6" x14ac:dyDescent="0.3">
      <c r="F65049" s="193"/>
    </row>
    <row r="65050" spans="6:6" x14ac:dyDescent="0.3">
      <c r="F65050" s="193"/>
    </row>
    <row r="65051" spans="6:6" x14ac:dyDescent="0.3">
      <c r="F65051" s="193"/>
    </row>
    <row r="65052" spans="6:6" x14ac:dyDescent="0.3">
      <c r="F65052" s="193"/>
    </row>
    <row r="65053" spans="6:6" x14ac:dyDescent="0.3">
      <c r="F65053" s="193"/>
    </row>
    <row r="65054" spans="6:6" x14ac:dyDescent="0.3">
      <c r="F65054" s="193"/>
    </row>
    <row r="65055" spans="6:6" x14ac:dyDescent="0.3">
      <c r="F65055" s="193"/>
    </row>
    <row r="65056" spans="6:6" x14ac:dyDescent="0.3">
      <c r="F65056" s="193"/>
    </row>
    <row r="65057" spans="6:6" x14ac:dyDescent="0.3">
      <c r="F65057" s="193"/>
    </row>
    <row r="65058" spans="6:6" x14ac:dyDescent="0.3">
      <c r="F65058" s="193"/>
    </row>
    <row r="65059" spans="6:6" x14ac:dyDescent="0.3">
      <c r="F65059" s="193"/>
    </row>
    <row r="65060" spans="6:6" x14ac:dyDescent="0.3">
      <c r="F65060" s="193"/>
    </row>
    <row r="65061" spans="6:6" x14ac:dyDescent="0.3">
      <c r="F65061" s="193"/>
    </row>
    <row r="65062" spans="6:6" x14ac:dyDescent="0.3">
      <c r="F65062" s="193"/>
    </row>
    <row r="65063" spans="6:6" x14ac:dyDescent="0.3">
      <c r="F65063" s="193"/>
    </row>
    <row r="65064" spans="6:6" x14ac:dyDescent="0.3">
      <c r="F65064" s="193"/>
    </row>
    <row r="65065" spans="6:6" x14ac:dyDescent="0.3">
      <c r="F65065" s="193"/>
    </row>
    <row r="65066" spans="6:6" x14ac:dyDescent="0.3">
      <c r="F65066" s="193"/>
    </row>
    <row r="65067" spans="6:6" x14ac:dyDescent="0.3">
      <c r="F65067" s="193"/>
    </row>
    <row r="65068" spans="6:6" x14ac:dyDescent="0.3">
      <c r="F65068" s="193"/>
    </row>
    <row r="65069" spans="6:6" x14ac:dyDescent="0.3">
      <c r="F65069" s="193"/>
    </row>
    <row r="65070" spans="6:6" x14ac:dyDescent="0.3">
      <c r="F65070" s="193"/>
    </row>
    <row r="65071" spans="6:6" x14ac:dyDescent="0.3">
      <c r="F65071" s="193"/>
    </row>
    <row r="65072" spans="6:6" x14ac:dyDescent="0.3">
      <c r="F65072" s="193"/>
    </row>
    <row r="65073" spans="6:6" x14ac:dyDescent="0.3">
      <c r="F65073" s="193"/>
    </row>
    <row r="65074" spans="6:6" x14ac:dyDescent="0.3">
      <c r="F65074" s="193"/>
    </row>
    <row r="65075" spans="6:6" x14ac:dyDescent="0.3">
      <c r="F65075" s="193"/>
    </row>
    <row r="65076" spans="6:6" x14ac:dyDescent="0.3">
      <c r="F65076" s="193"/>
    </row>
    <row r="65077" spans="6:6" x14ac:dyDescent="0.3">
      <c r="F65077" s="193"/>
    </row>
    <row r="65078" spans="6:6" x14ac:dyDescent="0.3">
      <c r="F65078" s="193"/>
    </row>
    <row r="65079" spans="6:6" x14ac:dyDescent="0.3">
      <c r="F65079" s="193"/>
    </row>
    <row r="65080" spans="6:6" x14ac:dyDescent="0.3">
      <c r="F65080" s="193"/>
    </row>
    <row r="65081" spans="6:6" x14ac:dyDescent="0.3">
      <c r="F65081" s="193"/>
    </row>
    <row r="65082" spans="6:6" x14ac:dyDescent="0.3">
      <c r="F65082" s="193"/>
    </row>
    <row r="65083" spans="6:6" x14ac:dyDescent="0.3">
      <c r="F65083" s="193"/>
    </row>
    <row r="65084" spans="6:6" x14ac:dyDescent="0.3">
      <c r="F65084" s="193"/>
    </row>
    <row r="65085" spans="6:6" x14ac:dyDescent="0.3">
      <c r="F65085" s="193"/>
    </row>
    <row r="65086" spans="6:6" x14ac:dyDescent="0.3">
      <c r="F65086" s="193"/>
    </row>
    <row r="65087" spans="6:6" x14ac:dyDescent="0.3">
      <c r="F65087" s="193"/>
    </row>
    <row r="65088" spans="6:6" x14ac:dyDescent="0.3">
      <c r="F65088" s="193"/>
    </row>
    <row r="65089" spans="6:6" x14ac:dyDescent="0.3">
      <c r="F65089" s="193"/>
    </row>
    <row r="65090" spans="6:6" x14ac:dyDescent="0.3">
      <c r="F65090" s="193"/>
    </row>
    <row r="65091" spans="6:6" x14ac:dyDescent="0.3">
      <c r="F65091" s="193"/>
    </row>
    <row r="65092" spans="6:6" x14ac:dyDescent="0.3">
      <c r="F65092" s="193"/>
    </row>
    <row r="65093" spans="6:6" x14ac:dyDescent="0.3">
      <c r="F65093" s="193"/>
    </row>
    <row r="65094" spans="6:6" x14ac:dyDescent="0.3">
      <c r="F65094" s="193"/>
    </row>
    <row r="65095" spans="6:6" x14ac:dyDescent="0.3">
      <c r="F65095" s="193"/>
    </row>
    <row r="65096" spans="6:6" x14ac:dyDescent="0.3">
      <c r="F65096" s="193"/>
    </row>
    <row r="65097" spans="6:6" x14ac:dyDescent="0.3">
      <c r="F65097" s="193"/>
    </row>
    <row r="65098" spans="6:6" x14ac:dyDescent="0.3">
      <c r="F65098" s="193"/>
    </row>
    <row r="65099" spans="6:6" x14ac:dyDescent="0.3">
      <c r="F65099" s="193"/>
    </row>
    <row r="65100" spans="6:6" x14ac:dyDescent="0.3">
      <c r="F65100" s="193"/>
    </row>
    <row r="65101" spans="6:6" x14ac:dyDescent="0.3">
      <c r="F65101" s="193"/>
    </row>
    <row r="65102" spans="6:6" x14ac:dyDescent="0.3">
      <c r="F65102" s="193"/>
    </row>
    <row r="65103" spans="6:6" x14ac:dyDescent="0.3">
      <c r="F65103" s="193"/>
    </row>
    <row r="65104" spans="6:6" x14ac:dyDescent="0.3">
      <c r="F65104" s="193"/>
    </row>
    <row r="65105" spans="6:6" x14ac:dyDescent="0.3">
      <c r="F65105" s="193"/>
    </row>
    <row r="65106" spans="6:6" x14ac:dyDescent="0.3">
      <c r="F65106" s="193"/>
    </row>
    <row r="65107" spans="6:6" x14ac:dyDescent="0.3">
      <c r="F65107" s="193"/>
    </row>
    <row r="65108" spans="6:6" x14ac:dyDescent="0.3">
      <c r="F65108" s="193"/>
    </row>
    <row r="65109" spans="6:6" x14ac:dyDescent="0.3">
      <c r="F65109" s="193"/>
    </row>
    <row r="65110" spans="6:6" x14ac:dyDescent="0.3">
      <c r="F65110" s="193"/>
    </row>
    <row r="65111" spans="6:6" x14ac:dyDescent="0.3">
      <c r="F65111" s="193"/>
    </row>
    <row r="65112" spans="6:6" x14ac:dyDescent="0.3">
      <c r="F65112" s="193"/>
    </row>
    <row r="65113" spans="6:6" x14ac:dyDescent="0.3">
      <c r="F65113" s="193"/>
    </row>
    <row r="65114" spans="6:6" x14ac:dyDescent="0.3">
      <c r="F65114" s="193"/>
    </row>
    <row r="65115" spans="6:6" x14ac:dyDescent="0.3">
      <c r="F65115" s="193"/>
    </row>
    <row r="65116" spans="6:6" x14ac:dyDescent="0.3">
      <c r="F65116" s="193"/>
    </row>
    <row r="65117" spans="6:6" x14ac:dyDescent="0.3">
      <c r="F65117" s="193"/>
    </row>
    <row r="65118" spans="6:6" x14ac:dyDescent="0.3">
      <c r="F65118" s="193"/>
    </row>
    <row r="65119" spans="6:6" x14ac:dyDescent="0.3">
      <c r="F65119" s="193"/>
    </row>
    <row r="65120" spans="6:6" x14ac:dyDescent="0.3">
      <c r="F65120" s="193"/>
    </row>
    <row r="65121" spans="6:6" x14ac:dyDescent="0.3">
      <c r="F65121" s="193"/>
    </row>
    <row r="65122" spans="6:6" x14ac:dyDescent="0.3">
      <c r="F65122" s="193"/>
    </row>
    <row r="65123" spans="6:6" x14ac:dyDescent="0.3">
      <c r="F65123" s="193"/>
    </row>
    <row r="65124" spans="6:6" x14ac:dyDescent="0.3">
      <c r="F65124" s="193"/>
    </row>
    <row r="65125" spans="6:6" x14ac:dyDescent="0.3">
      <c r="F65125" s="193"/>
    </row>
    <row r="65126" spans="6:6" x14ac:dyDescent="0.3">
      <c r="F65126" s="193"/>
    </row>
    <row r="65127" spans="6:6" x14ac:dyDescent="0.3">
      <c r="F65127" s="193"/>
    </row>
    <row r="65128" spans="6:6" x14ac:dyDescent="0.3">
      <c r="F65128" s="193"/>
    </row>
    <row r="65129" spans="6:6" x14ac:dyDescent="0.3">
      <c r="F65129" s="193"/>
    </row>
    <row r="65130" spans="6:6" x14ac:dyDescent="0.3">
      <c r="F65130" s="193"/>
    </row>
    <row r="65131" spans="6:6" x14ac:dyDescent="0.3">
      <c r="F65131" s="193"/>
    </row>
    <row r="65132" spans="6:6" x14ac:dyDescent="0.3">
      <c r="F65132" s="193"/>
    </row>
    <row r="65133" spans="6:6" x14ac:dyDescent="0.3">
      <c r="F65133" s="193"/>
    </row>
    <row r="65134" spans="6:6" x14ac:dyDescent="0.3">
      <c r="F65134" s="193"/>
    </row>
    <row r="65135" spans="6:6" x14ac:dyDescent="0.3">
      <c r="F65135" s="193"/>
    </row>
    <row r="65136" spans="6:6" x14ac:dyDescent="0.3">
      <c r="F65136" s="193"/>
    </row>
    <row r="65137" spans="6:6" x14ac:dyDescent="0.3">
      <c r="F65137" s="193"/>
    </row>
    <row r="65138" spans="6:6" x14ac:dyDescent="0.3">
      <c r="F65138" s="193"/>
    </row>
    <row r="65139" spans="6:6" x14ac:dyDescent="0.3">
      <c r="F65139" s="193"/>
    </row>
    <row r="65140" spans="6:6" x14ac:dyDescent="0.3">
      <c r="F65140" s="193"/>
    </row>
    <row r="65141" spans="6:6" x14ac:dyDescent="0.3">
      <c r="F65141" s="193"/>
    </row>
    <row r="65142" spans="6:6" x14ac:dyDescent="0.3">
      <c r="F65142" s="193"/>
    </row>
    <row r="65143" spans="6:6" x14ac:dyDescent="0.3">
      <c r="F65143" s="193"/>
    </row>
    <row r="65144" spans="6:6" x14ac:dyDescent="0.3">
      <c r="F65144" s="193"/>
    </row>
    <row r="65145" spans="6:6" x14ac:dyDescent="0.3">
      <c r="F65145" s="193"/>
    </row>
    <row r="65146" spans="6:6" x14ac:dyDescent="0.3">
      <c r="F65146" s="193"/>
    </row>
    <row r="65147" spans="6:6" x14ac:dyDescent="0.3">
      <c r="F65147" s="193"/>
    </row>
    <row r="65148" spans="6:6" x14ac:dyDescent="0.3">
      <c r="F65148" s="193"/>
    </row>
    <row r="65149" spans="6:6" x14ac:dyDescent="0.3">
      <c r="F65149" s="193"/>
    </row>
    <row r="65150" spans="6:6" x14ac:dyDescent="0.3">
      <c r="F65150" s="193"/>
    </row>
    <row r="65151" spans="6:6" x14ac:dyDescent="0.3">
      <c r="F65151" s="193"/>
    </row>
    <row r="65152" spans="6:6" x14ac:dyDescent="0.3">
      <c r="F65152" s="193"/>
    </row>
    <row r="65153" spans="6:6" x14ac:dyDescent="0.3">
      <c r="F65153" s="193"/>
    </row>
    <row r="65154" spans="6:6" x14ac:dyDescent="0.3">
      <c r="F65154" s="193"/>
    </row>
    <row r="65155" spans="6:6" x14ac:dyDescent="0.3">
      <c r="F65155" s="193"/>
    </row>
    <row r="65156" spans="6:6" x14ac:dyDescent="0.3">
      <c r="F65156" s="193"/>
    </row>
    <row r="65157" spans="6:6" x14ac:dyDescent="0.3">
      <c r="F65157" s="193"/>
    </row>
    <row r="65158" spans="6:6" x14ac:dyDescent="0.3">
      <c r="F65158" s="193"/>
    </row>
    <row r="65159" spans="6:6" x14ac:dyDescent="0.3">
      <c r="F65159" s="193"/>
    </row>
    <row r="65160" spans="6:6" x14ac:dyDescent="0.3">
      <c r="F65160" s="193"/>
    </row>
    <row r="65161" spans="6:6" x14ac:dyDescent="0.3">
      <c r="F65161" s="193"/>
    </row>
    <row r="65162" spans="6:6" x14ac:dyDescent="0.3">
      <c r="F65162" s="193"/>
    </row>
    <row r="65163" spans="6:6" x14ac:dyDescent="0.3">
      <c r="F65163" s="193"/>
    </row>
    <row r="65164" spans="6:6" x14ac:dyDescent="0.3">
      <c r="F65164" s="193"/>
    </row>
    <row r="65165" spans="6:6" x14ac:dyDescent="0.3">
      <c r="F65165" s="193"/>
    </row>
    <row r="65166" spans="6:6" x14ac:dyDescent="0.3">
      <c r="F65166" s="193"/>
    </row>
    <row r="65167" spans="6:6" x14ac:dyDescent="0.3">
      <c r="F65167" s="193"/>
    </row>
    <row r="65168" spans="6:6" x14ac:dyDescent="0.3">
      <c r="F65168" s="193"/>
    </row>
    <row r="65169" spans="6:6" x14ac:dyDescent="0.3">
      <c r="F65169" s="193"/>
    </row>
    <row r="65170" spans="6:6" x14ac:dyDescent="0.3">
      <c r="F65170" s="193"/>
    </row>
    <row r="65171" spans="6:6" x14ac:dyDescent="0.3">
      <c r="F65171" s="193"/>
    </row>
    <row r="65172" spans="6:6" x14ac:dyDescent="0.3">
      <c r="F65172" s="193"/>
    </row>
    <row r="65173" spans="6:6" x14ac:dyDescent="0.3">
      <c r="F65173" s="193"/>
    </row>
    <row r="65174" spans="6:6" x14ac:dyDescent="0.3">
      <c r="F65174" s="193"/>
    </row>
    <row r="65175" spans="6:6" x14ac:dyDescent="0.3">
      <c r="F65175" s="193"/>
    </row>
    <row r="65176" spans="6:6" x14ac:dyDescent="0.3">
      <c r="F65176" s="193"/>
    </row>
    <row r="65177" spans="6:6" x14ac:dyDescent="0.3">
      <c r="F65177" s="193"/>
    </row>
    <row r="65178" spans="6:6" x14ac:dyDescent="0.3">
      <c r="F65178" s="193"/>
    </row>
    <row r="65179" spans="6:6" x14ac:dyDescent="0.3">
      <c r="F65179" s="193"/>
    </row>
    <row r="65180" spans="6:6" x14ac:dyDescent="0.3">
      <c r="F65180" s="193"/>
    </row>
    <row r="65181" spans="6:6" x14ac:dyDescent="0.3">
      <c r="F65181" s="193"/>
    </row>
    <row r="65182" spans="6:6" x14ac:dyDescent="0.3">
      <c r="F65182" s="193"/>
    </row>
    <row r="65183" spans="6:6" x14ac:dyDescent="0.3">
      <c r="F65183" s="193"/>
    </row>
    <row r="65184" spans="6:6" x14ac:dyDescent="0.3">
      <c r="F65184" s="193"/>
    </row>
    <row r="65185" spans="6:6" x14ac:dyDescent="0.3">
      <c r="F65185" s="193"/>
    </row>
    <row r="65186" spans="6:6" x14ac:dyDescent="0.3">
      <c r="F65186" s="193"/>
    </row>
    <row r="65187" spans="6:6" x14ac:dyDescent="0.3">
      <c r="F65187" s="193"/>
    </row>
    <row r="65188" spans="6:6" x14ac:dyDescent="0.3">
      <c r="F65188" s="193"/>
    </row>
    <row r="65189" spans="6:6" x14ac:dyDescent="0.3">
      <c r="F65189" s="193"/>
    </row>
    <row r="65190" spans="6:6" x14ac:dyDescent="0.3">
      <c r="F65190" s="193"/>
    </row>
    <row r="65191" spans="6:6" x14ac:dyDescent="0.3">
      <c r="F65191" s="193"/>
    </row>
    <row r="65192" spans="6:6" x14ac:dyDescent="0.3">
      <c r="F65192" s="193"/>
    </row>
    <row r="65193" spans="6:6" x14ac:dyDescent="0.3">
      <c r="F65193" s="193"/>
    </row>
    <row r="65194" spans="6:6" x14ac:dyDescent="0.3">
      <c r="F65194" s="193"/>
    </row>
    <row r="65195" spans="6:6" x14ac:dyDescent="0.3">
      <c r="F65195" s="193"/>
    </row>
    <row r="65196" spans="6:6" x14ac:dyDescent="0.3">
      <c r="F65196" s="193"/>
    </row>
    <row r="65197" spans="6:6" x14ac:dyDescent="0.3">
      <c r="F65197" s="193"/>
    </row>
    <row r="65198" spans="6:6" x14ac:dyDescent="0.3">
      <c r="F65198" s="193"/>
    </row>
    <row r="65199" spans="6:6" x14ac:dyDescent="0.3">
      <c r="F65199" s="193"/>
    </row>
    <row r="65200" spans="6:6" x14ac:dyDescent="0.3">
      <c r="F65200" s="193"/>
    </row>
    <row r="65201" spans="6:6" x14ac:dyDescent="0.3">
      <c r="F65201" s="193"/>
    </row>
    <row r="65202" spans="6:6" x14ac:dyDescent="0.3">
      <c r="F65202" s="193"/>
    </row>
    <row r="65203" spans="6:6" x14ac:dyDescent="0.3">
      <c r="F65203" s="193"/>
    </row>
    <row r="65204" spans="6:6" x14ac:dyDescent="0.3">
      <c r="F65204" s="193"/>
    </row>
    <row r="65205" spans="6:6" x14ac:dyDescent="0.3">
      <c r="F65205" s="193"/>
    </row>
    <row r="65206" spans="6:6" x14ac:dyDescent="0.3">
      <c r="F65206" s="193"/>
    </row>
    <row r="65207" spans="6:6" x14ac:dyDescent="0.3">
      <c r="F65207" s="193"/>
    </row>
    <row r="65208" spans="6:6" x14ac:dyDescent="0.3">
      <c r="F65208" s="193"/>
    </row>
    <row r="65209" spans="6:6" x14ac:dyDescent="0.3">
      <c r="F65209" s="193"/>
    </row>
    <row r="65210" spans="6:6" x14ac:dyDescent="0.3">
      <c r="F65210" s="193"/>
    </row>
    <row r="65211" spans="6:6" x14ac:dyDescent="0.3">
      <c r="F65211" s="193"/>
    </row>
    <row r="65212" spans="6:6" x14ac:dyDescent="0.3">
      <c r="F65212" s="193"/>
    </row>
    <row r="65213" spans="6:6" x14ac:dyDescent="0.3">
      <c r="F65213" s="193"/>
    </row>
    <row r="65214" spans="6:6" x14ac:dyDescent="0.3">
      <c r="F65214" s="193"/>
    </row>
    <row r="65215" spans="6:6" x14ac:dyDescent="0.3">
      <c r="F65215" s="193"/>
    </row>
    <row r="65216" spans="6:6" x14ac:dyDescent="0.3">
      <c r="F65216" s="193"/>
    </row>
    <row r="65217" spans="6:6" x14ac:dyDescent="0.3">
      <c r="F65217" s="193"/>
    </row>
    <row r="65218" spans="6:6" x14ac:dyDescent="0.3">
      <c r="F65218" s="193"/>
    </row>
    <row r="65219" spans="6:6" x14ac:dyDescent="0.3">
      <c r="F65219" s="193"/>
    </row>
    <row r="65220" spans="6:6" x14ac:dyDescent="0.3">
      <c r="F65220" s="193"/>
    </row>
    <row r="65221" spans="6:6" x14ac:dyDescent="0.3">
      <c r="F65221" s="193"/>
    </row>
    <row r="65222" spans="6:6" x14ac:dyDescent="0.3">
      <c r="F65222" s="193"/>
    </row>
    <row r="65223" spans="6:6" x14ac:dyDescent="0.3">
      <c r="F65223" s="193"/>
    </row>
    <row r="65224" spans="6:6" x14ac:dyDescent="0.3">
      <c r="F65224" s="193"/>
    </row>
    <row r="65225" spans="6:6" x14ac:dyDescent="0.3">
      <c r="F65225" s="193"/>
    </row>
    <row r="65226" spans="6:6" x14ac:dyDescent="0.3">
      <c r="F65226" s="193"/>
    </row>
    <row r="65227" spans="6:6" x14ac:dyDescent="0.3">
      <c r="F65227" s="193"/>
    </row>
    <row r="65228" spans="6:6" x14ac:dyDescent="0.3">
      <c r="F65228" s="193"/>
    </row>
    <row r="65229" spans="6:6" x14ac:dyDescent="0.3">
      <c r="F65229" s="193"/>
    </row>
    <row r="65230" spans="6:6" x14ac:dyDescent="0.3">
      <c r="F65230" s="193"/>
    </row>
    <row r="65231" spans="6:6" x14ac:dyDescent="0.3">
      <c r="F65231" s="193"/>
    </row>
    <row r="65232" spans="6:6" x14ac:dyDescent="0.3">
      <c r="F65232" s="193"/>
    </row>
    <row r="65233" spans="6:6" x14ac:dyDescent="0.3">
      <c r="F65233" s="193"/>
    </row>
    <row r="65234" spans="6:6" x14ac:dyDescent="0.3">
      <c r="F65234" s="193"/>
    </row>
    <row r="65235" spans="6:6" x14ac:dyDescent="0.3">
      <c r="F65235" s="193"/>
    </row>
    <row r="65236" spans="6:6" x14ac:dyDescent="0.3">
      <c r="F65236" s="193"/>
    </row>
    <row r="65237" spans="6:6" x14ac:dyDescent="0.3">
      <c r="F65237" s="193"/>
    </row>
    <row r="65238" spans="6:6" x14ac:dyDescent="0.3">
      <c r="F65238" s="193"/>
    </row>
    <row r="65239" spans="6:6" x14ac:dyDescent="0.3">
      <c r="F65239" s="193"/>
    </row>
    <row r="65240" spans="6:6" x14ac:dyDescent="0.3">
      <c r="F65240" s="193"/>
    </row>
    <row r="65241" spans="6:6" x14ac:dyDescent="0.3">
      <c r="F65241" s="193"/>
    </row>
    <row r="65242" spans="6:6" x14ac:dyDescent="0.3">
      <c r="F65242" s="193"/>
    </row>
    <row r="65243" spans="6:6" x14ac:dyDescent="0.3">
      <c r="F65243" s="193"/>
    </row>
    <row r="65244" spans="6:6" x14ac:dyDescent="0.3">
      <c r="F65244" s="193"/>
    </row>
    <row r="65245" spans="6:6" x14ac:dyDescent="0.3">
      <c r="F65245" s="193"/>
    </row>
    <row r="65246" spans="6:6" x14ac:dyDescent="0.3">
      <c r="F65246" s="193"/>
    </row>
    <row r="65247" spans="6:6" x14ac:dyDescent="0.3">
      <c r="F65247" s="193"/>
    </row>
    <row r="65248" spans="6:6" x14ac:dyDescent="0.3">
      <c r="F65248" s="193"/>
    </row>
    <row r="65249" spans="6:6" x14ac:dyDescent="0.3">
      <c r="F65249" s="193"/>
    </row>
    <row r="65250" spans="6:6" x14ac:dyDescent="0.3">
      <c r="F65250" s="193"/>
    </row>
    <row r="65251" spans="6:6" x14ac:dyDescent="0.3">
      <c r="F65251" s="193"/>
    </row>
    <row r="65252" spans="6:6" x14ac:dyDescent="0.3">
      <c r="F65252" s="193"/>
    </row>
    <row r="65253" spans="6:6" x14ac:dyDescent="0.3">
      <c r="F65253" s="193"/>
    </row>
    <row r="65254" spans="6:6" x14ac:dyDescent="0.3">
      <c r="F65254" s="193"/>
    </row>
    <row r="65255" spans="6:6" x14ac:dyDescent="0.3">
      <c r="F65255" s="193"/>
    </row>
    <row r="65256" spans="6:6" x14ac:dyDescent="0.3">
      <c r="F65256" s="193"/>
    </row>
    <row r="65257" spans="6:6" x14ac:dyDescent="0.3">
      <c r="F65257" s="193"/>
    </row>
    <row r="65258" spans="6:6" x14ac:dyDescent="0.3">
      <c r="F65258" s="193"/>
    </row>
    <row r="65259" spans="6:6" x14ac:dyDescent="0.3">
      <c r="F65259" s="193"/>
    </row>
    <row r="65260" spans="6:6" x14ac:dyDescent="0.3">
      <c r="F65260" s="193"/>
    </row>
    <row r="65261" spans="6:6" x14ac:dyDescent="0.3">
      <c r="F65261" s="193"/>
    </row>
    <row r="65262" spans="6:6" x14ac:dyDescent="0.3">
      <c r="F65262" s="193"/>
    </row>
    <row r="65263" spans="6:6" x14ac:dyDescent="0.3">
      <c r="F65263" s="193"/>
    </row>
    <row r="65264" spans="6:6" x14ac:dyDescent="0.3">
      <c r="F65264" s="193"/>
    </row>
    <row r="65265" spans="6:6" x14ac:dyDescent="0.3">
      <c r="F65265" s="193"/>
    </row>
    <row r="65266" spans="6:6" x14ac:dyDescent="0.3">
      <c r="F65266" s="193"/>
    </row>
    <row r="65267" spans="6:6" x14ac:dyDescent="0.3">
      <c r="F65267" s="193"/>
    </row>
    <row r="65268" spans="6:6" x14ac:dyDescent="0.3">
      <c r="F65268" s="193"/>
    </row>
    <row r="65269" spans="6:6" x14ac:dyDescent="0.3">
      <c r="F65269" s="193"/>
    </row>
    <row r="65270" spans="6:6" x14ac:dyDescent="0.3">
      <c r="F65270" s="193"/>
    </row>
    <row r="65271" spans="6:6" x14ac:dyDescent="0.3">
      <c r="F65271" s="193"/>
    </row>
    <row r="65272" spans="6:6" x14ac:dyDescent="0.3">
      <c r="F65272" s="193"/>
    </row>
    <row r="65273" spans="6:6" x14ac:dyDescent="0.3">
      <c r="F65273" s="193"/>
    </row>
    <row r="65274" spans="6:6" x14ac:dyDescent="0.3">
      <c r="F65274" s="193"/>
    </row>
    <row r="65275" spans="6:6" x14ac:dyDescent="0.3">
      <c r="F65275" s="193"/>
    </row>
    <row r="65276" spans="6:6" x14ac:dyDescent="0.3">
      <c r="F65276" s="193"/>
    </row>
    <row r="65277" spans="6:6" x14ac:dyDescent="0.3">
      <c r="F65277" s="193"/>
    </row>
    <row r="65278" spans="6:6" x14ac:dyDescent="0.3">
      <c r="F65278" s="193"/>
    </row>
    <row r="65279" spans="6:6" x14ac:dyDescent="0.3">
      <c r="F65279" s="193"/>
    </row>
    <row r="65280" spans="6:6" x14ac:dyDescent="0.3">
      <c r="F65280" s="193"/>
    </row>
    <row r="65281" spans="6:6" x14ac:dyDescent="0.3">
      <c r="F65281" s="193"/>
    </row>
    <row r="65282" spans="6:6" x14ac:dyDescent="0.3">
      <c r="F65282" s="193"/>
    </row>
    <row r="65283" spans="6:6" x14ac:dyDescent="0.3">
      <c r="F65283" s="193"/>
    </row>
    <row r="65284" spans="6:6" x14ac:dyDescent="0.3">
      <c r="F65284" s="193"/>
    </row>
    <row r="65285" spans="6:6" x14ac:dyDescent="0.3">
      <c r="F65285" s="193"/>
    </row>
    <row r="65286" spans="6:6" x14ac:dyDescent="0.3">
      <c r="F65286" s="193"/>
    </row>
    <row r="65287" spans="6:6" x14ac:dyDescent="0.3">
      <c r="F65287" s="193"/>
    </row>
    <row r="65288" spans="6:6" x14ac:dyDescent="0.3">
      <c r="F65288" s="193"/>
    </row>
    <row r="65289" spans="6:6" x14ac:dyDescent="0.3">
      <c r="F65289" s="193"/>
    </row>
    <row r="65290" spans="6:6" x14ac:dyDescent="0.3">
      <c r="F65290" s="193"/>
    </row>
    <row r="65291" spans="6:6" x14ac:dyDescent="0.3">
      <c r="F65291" s="193"/>
    </row>
    <row r="65292" spans="6:6" x14ac:dyDescent="0.3">
      <c r="F65292" s="193"/>
    </row>
    <row r="65293" spans="6:6" x14ac:dyDescent="0.3">
      <c r="F65293" s="193"/>
    </row>
    <row r="65294" spans="6:6" x14ac:dyDescent="0.3">
      <c r="F65294" s="193"/>
    </row>
    <row r="65295" spans="6:6" x14ac:dyDescent="0.3">
      <c r="F65295" s="193"/>
    </row>
    <row r="65296" spans="6:6" x14ac:dyDescent="0.3">
      <c r="F65296" s="193"/>
    </row>
    <row r="65297" spans="6:6" x14ac:dyDescent="0.3">
      <c r="F65297" s="193"/>
    </row>
    <row r="65298" spans="6:6" x14ac:dyDescent="0.3">
      <c r="F65298" s="193"/>
    </row>
    <row r="65299" spans="6:6" x14ac:dyDescent="0.3">
      <c r="F65299" s="193"/>
    </row>
    <row r="65300" spans="6:6" x14ac:dyDescent="0.3">
      <c r="F65300" s="193"/>
    </row>
    <row r="65301" spans="6:6" x14ac:dyDescent="0.3">
      <c r="F65301" s="193"/>
    </row>
    <row r="65302" spans="6:6" x14ac:dyDescent="0.3">
      <c r="F65302" s="193"/>
    </row>
    <row r="65303" spans="6:6" x14ac:dyDescent="0.3">
      <c r="F65303" s="193"/>
    </row>
    <row r="65304" spans="6:6" x14ac:dyDescent="0.3">
      <c r="F65304" s="193"/>
    </row>
    <row r="65305" spans="6:6" x14ac:dyDescent="0.3">
      <c r="F65305" s="193"/>
    </row>
    <row r="65306" spans="6:6" x14ac:dyDescent="0.3">
      <c r="F65306" s="193"/>
    </row>
    <row r="65307" spans="6:6" x14ac:dyDescent="0.3">
      <c r="F65307" s="193"/>
    </row>
    <row r="65308" spans="6:6" x14ac:dyDescent="0.3">
      <c r="F65308" s="193"/>
    </row>
    <row r="65309" spans="6:6" x14ac:dyDescent="0.3">
      <c r="F65309" s="193"/>
    </row>
    <row r="65310" spans="6:6" x14ac:dyDescent="0.3">
      <c r="F65310" s="193"/>
    </row>
    <row r="65311" spans="6:6" x14ac:dyDescent="0.3">
      <c r="F65311" s="193"/>
    </row>
    <row r="65312" spans="6:6" x14ac:dyDescent="0.3">
      <c r="F65312" s="193"/>
    </row>
    <row r="65313" spans="6:6" x14ac:dyDescent="0.3">
      <c r="F65313" s="193"/>
    </row>
    <row r="65314" spans="6:6" x14ac:dyDescent="0.3">
      <c r="F65314" s="193"/>
    </row>
    <row r="65315" spans="6:6" x14ac:dyDescent="0.3">
      <c r="F65315" s="193"/>
    </row>
    <row r="65316" spans="6:6" x14ac:dyDescent="0.3">
      <c r="F65316" s="193"/>
    </row>
    <row r="65317" spans="6:6" x14ac:dyDescent="0.3">
      <c r="F65317" s="193"/>
    </row>
    <row r="65318" spans="6:6" x14ac:dyDescent="0.3">
      <c r="F65318" s="193"/>
    </row>
    <row r="65319" spans="6:6" x14ac:dyDescent="0.3">
      <c r="F65319" s="193"/>
    </row>
    <row r="65320" spans="6:6" x14ac:dyDescent="0.3">
      <c r="F65320" s="193"/>
    </row>
    <row r="65321" spans="6:6" x14ac:dyDescent="0.3">
      <c r="F65321" s="193"/>
    </row>
    <row r="65322" spans="6:6" x14ac:dyDescent="0.3">
      <c r="F65322" s="193"/>
    </row>
    <row r="65323" spans="6:6" x14ac:dyDescent="0.3">
      <c r="F65323" s="193"/>
    </row>
    <row r="65324" spans="6:6" x14ac:dyDescent="0.3">
      <c r="F65324" s="193"/>
    </row>
    <row r="65325" spans="6:6" x14ac:dyDescent="0.3">
      <c r="F65325" s="193"/>
    </row>
    <row r="65326" spans="6:6" x14ac:dyDescent="0.3">
      <c r="F65326" s="193"/>
    </row>
    <row r="65327" spans="6:6" x14ac:dyDescent="0.3">
      <c r="F65327" s="193"/>
    </row>
    <row r="65328" spans="6:6" x14ac:dyDescent="0.3">
      <c r="F65328" s="193"/>
    </row>
    <row r="65329" spans="6:6" x14ac:dyDescent="0.3">
      <c r="F65329" s="193"/>
    </row>
    <row r="65330" spans="6:6" x14ac:dyDescent="0.3">
      <c r="F65330" s="193"/>
    </row>
    <row r="65331" spans="6:6" x14ac:dyDescent="0.3">
      <c r="F65331" s="193"/>
    </row>
    <row r="65332" spans="6:6" x14ac:dyDescent="0.3">
      <c r="F65332" s="193"/>
    </row>
    <row r="65333" spans="6:6" x14ac:dyDescent="0.3">
      <c r="F65333" s="193"/>
    </row>
    <row r="65334" spans="6:6" x14ac:dyDescent="0.3">
      <c r="F65334" s="193"/>
    </row>
    <row r="65335" spans="6:6" x14ac:dyDescent="0.3">
      <c r="F65335" s="193"/>
    </row>
    <row r="65336" spans="6:6" x14ac:dyDescent="0.3">
      <c r="F65336" s="193"/>
    </row>
    <row r="65337" spans="6:6" x14ac:dyDescent="0.3">
      <c r="F65337" s="193"/>
    </row>
    <row r="65338" spans="6:6" x14ac:dyDescent="0.3">
      <c r="F65338" s="193"/>
    </row>
    <row r="65339" spans="6:6" x14ac:dyDescent="0.3">
      <c r="F65339" s="193"/>
    </row>
    <row r="65340" spans="6:6" x14ac:dyDescent="0.3">
      <c r="F65340" s="193"/>
    </row>
    <row r="65341" spans="6:6" x14ac:dyDescent="0.3">
      <c r="F65341" s="193"/>
    </row>
    <row r="65342" spans="6:6" x14ac:dyDescent="0.3">
      <c r="F65342" s="193"/>
    </row>
    <row r="65343" spans="6:6" x14ac:dyDescent="0.3">
      <c r="F65343" s="193"/>
    </row>
    <row r="65344" spans="6:6" x14ac:dyDescent="0.3">
      <c r="F65344" s="193"/>
    </row>
    <row r="65345" spans="6:6" x14ac:dyDescent="0.3">
      <c r="F65345" s="193"/>
    </row>
    <row r="65346" spans="6:6" x14ac:dyDescent="0.3">
      <c r="F65346" s="193"/>
    </row>
    <row r="65347" spans="6:6" x14ac:dyDescent="0.3">
      <c r="F65347" s="193"/>
    </row>
    <row r="65348" spans="6:6" x14ac:dyDescent="0.3">
      <c r="F65348" s="193"/>
    </row>
    <row r="65349" spans="6:6" x14ac:dyDescent="0.3">
      <c r="F65349" s="193"/>
    </row>
    <row r="65350" spans="6:6" x14ac:dyDescent="0.3">
      <c r="F65350" s="193"/>
    </row>
    <row r="65351" spans="6:6" x14ac:dyDescent="0.3">
      <c r="F65351" s="193"/>
    </row>
    <row r="65352" spans="6:6" x14ac:dyDescent="0.3">
      <c r="F65352" s="193"/>
    </row>
    <row r="65353" spans="6:6" x14ac:dyDescent="0.3">
      <c r="F65353" s="193"/>
    </row>
    <row r="65354" spans="6:6" x14ac:dyDescent="0.3">
      <c r="F65354" s="193"/>
    </row>
    <row r="65355" spans="6:6" x14ac:dyDescent="0.3">
      <c r="F65355" s="193"/>
    </row>
    <row r="65356" spans="6:6" x14ac:dyDescent="0.3">
      <c r="F65356" s="193"/>
    </row>
    <row r="65357" spans="6:6" x14ac:dyDescent="0.3">
      <c r="F65357" s="193"/>
    </row>
    <row r="65358" spans="6:6" x14ac:dyDescent="0.3">
      <c r="F65358" s="193"/>
    </row>
    <row r="65359" spans="6:6" x14ac:dyDescent="0.3">
      <c r="F65359" s="193"/>
    </row>
    <row r="65360" spans="6:6" x14ac:dyDescent="0.3">
      <c r="F65360" s="193"/>
    </row>
    <row r="65361" spans="6:6" x14ac:dyDescent="0.3">
      <c r="F65361" s="193"/>
    </row>
    <row r="65362" spans="6:6" x14ac:dyDescent="0.3">
      <c r="F65362" s="193"/>
    </row>
    <row r="65363" spans="6:6" x14ac:dyDescent="0.3">
      <c r="F65363" s="193"/>
    </row>
    <row r="65364" spans="6:6" x14ac:dyDescent="0.3">
      <c r="F65364" s="193"/>
    </row>
    <row r="65365" spans="6:6" x14ac:dyDescent="0.3">
      <c r="F65365" s="193"/>
    </row>
    <row r="65366" spans="6:6" x14ac:dyDescent="0.3">
      <c r="F65366" s="193"/>
    </row>
    <row r="65367" spans="6:6" x14ac:dyDescent="0.3">
      <c r="F65367" s="193"/>
    </row>
    <row r="65368" spans="6:6" x14ac:dyDescent="0.3">
      <c r="F65368" s="193"/>
    </row>
    <row r="65369" spans="6:6" x14ac:dyDescent="0.3">
      <c r="F65369" s="193"/>
    </row>
    <row r="65370" spans="6:6" x14ac:dyDescent="0.3">
      <c r="F65370" s="193"/>
    </row>
    <row r="65371" spans="6:6" x14ac:dyDescent="0.3">
      <c r="F65371" s="193"/>
    </row>
    <row r="65372" spans="6:6" x14ac:dyDescent="0.3">
      <c r="F65372" s="193"/>
    </row>
    <row r="65373" spans="6:6" x14ac:dyDescent="0.3">
      <c r="F65373" s="193"/>
    </row>
    <row r="65374" spans="6:6" x14ac:dyDescent="0.3">
      <c r="F65374" s="193"/>
    </row>
    <row r="65375" spans="6:6" x14ac:dyDescent="0.3">
      <c r="F65375" s="193"/>
    </row>
    <row r="65376" spans="6:6" x14ac:dyDescent="0.3">
      <c r="F65376" s="193"/>
    </row>
    <row r="65377" spans="6:6" x14ac:dyDescent="0.3">
      <c r="F65377" s="193"/>
    </row>
    <row r="65378" spans="6:6" x14ac:dyDescent="0.3">
      <c r="F65378" s="193"/>
    </row>
    <row r="65379" spans="6:6" x14ac:dyDescent="0.3">
      <c r="F65379" s="193"/>
    </row>
    <row r="65380" spans="6:6" x14ac:dyDescent="0.3">
      <c r="F65380" s="193"/>
    </row>
    <row r="65381" spans="6:6" x14ac:dyDescent="0.3">
      <c r="F65381" s="193"/>
    </row>
    <row r="65382" spans="6:6" x14ac:dyDescent="0.3">
      <c r="F65382" s="193"/>
    </row>
    <row r="65383" spans="6:6" x14ac:dyDescent="0.3">
      <c r="F65383" s="193"/>
    </row>
    <row r="65384" spans="6:6" x14ac:dyDescent="0.3">
      <c r="F65384" s="193"/>
    </row>
    <row r="65385" spans="6:6" x14ac:dyDescent="0.3">
      <c r="F65385" s="193"/>
    </row>
    <row r="65386" spans="6:6" x14ac:dyDescent="0.3">
      <c r="F65386" s="193"/>
    </row>
    <row r="65387" spans="6:6" x14ac:dyDescent="0.3">
      <c r="F65387" s="193"/>
    </row>
    <row r="65388" spans="6:6" x14ac:dyDescent="0.3">
      <c r="F65388" s="193"/>
    </row>
    <row r="65389" spans="6:6" x14ac:dyDescent="0.3">
      <c r="F65389" s="193"/>
    </row>
    <row r="65390" spans="6:6" x14ac:dyDescent="0.3">
      <c r="F65390" s="193"/>
    </row>
    <row r="65391" spans="6:6" x14ac:dyDescent="0.3">
      <c r="F65391" s="193"/>
    </row>
    <row r="65392" spans="6:6" x14ac:dyDescent="0.3">
      <c r="F65392" s="193"/>
    </row>
    <row r="65393" spans="6:6" x14ac:dyDescent="0.3">
      <c r="F65393" s="193"/>
    </row>
    <row r="65394" spans="6:6" x14ac:dyDescent="0.3">
      <c r="F65394" s="193"/>
    </row>
    <row r="65395" spans="6:6" x14ac:dyDescent="0.3">
      <c r="F65395" s="193"/>
    </row>
    <row r="65396" spans="6:6" x14ac:dyDescent="0.3">
      <c r="F65396" s="193"/>
    </row>
    <row r="65397" spans="6:6" x14ac:dyDescent="0.3">
      <c r="F65397" s="193"/>
    </row>
    <row r="65398" spans="6:6" x14ac:dyDescent="0.3">
      <c r="F65398" s="193"/>
    </row>
    <row r="65399" spans="6:6" x14ac:dyDescent="0.3">
      <c r="F65399" s="193"/>
    </row>
    <row r="65400" spans="6:6" x14ac:dyDescent="0.3">
      <c r="F65400" s="193"/>
    </row>
    <row r="65401" spans="6:6" x14ac:dyDescent="0.3">
      <c r="F65401" s="193"/>
    </row>
    <row r="65402" spans="6:6" x14ac:dyDescent="0.3">
      <c r="F65402" s="193"/>
    </row>
    <row r="65403" spans="6:6" x14ac:dyDescent="0.3">
      <c r="F65403" s="193"/>
    </row>
    <row r="65404" spans="6:6" x14ac:dyDescent="0.3">
      <c r="F65404" s="193"/>
    </row>
    <row r="65405" spans="6:6" x14ac:dyDescent="0.3">
      <c r="F65405" s="193"/>
    </row>
    <row r="65406" spans="6:6" x14ac:dyDescent="0.3">
      <c r="F65406" s="193"/>
    </row>
    <row r="65407" spans="6:6" x14ac:dyDescent="0.3">
      <c r="F65407" s="193"/>
    </row>
    <row r="65408" spans="6:6" x14ac:dyDescent="0.3">
      <c r="F65408" s="193"/>
    </row>
    <row r="65409" spans="6:6" x14ac:dyDescent="0.3">
      <c r="F65409" s="193"/>
    </row>
    <row r="65410" spans="6:6" x14ac:dyDescent="0.3">
      <c r="F65410" s="193"/>
    </row>
    <row r="65411" spans="6:6" x14ac:dyDescent="0.3">
      <c r="F65411" s="193"/>
    </row>
    <row r="65412" spans="6:6" x14ac:dyDescent="0.3">
      <c r="F65412" s="193"/>
    </row>
    <row r="65413" spans="6:6" x14ac:dyDescent="0.3">
      <c r="F65413" s="193"/>
    </row>
    <row r="65414" spans="6:6" x14ac:dyDescent="0.3">
      <c r="F65414" s="193"/>
    </row>
    <row r="65415" spans="6:6" x14ac:dyDescent="0.3">
      <c r="F65415" s="193"/>
    </row>
    <row r="65416" spans="6:6" x14ac:dyDescent="0.3">
      <c r="F65416" s="193"/>
    </row>
    <row r="65417" spans="6:6" x14ac:dyDescent="0.3">
      <c r="F65417" s="193"/>
    </row>
    <row r="65418" spans="6:6" x14ac:dyDescent="0.3">
      <c r="F65418" s="193"/>
    </row>
    <row r="65419" spans="6:6" x14ac:dyDescent="0.3">
      <c r="F65419" s="193"/>
    </row>
    <row r="65420" spans="6:6" x14ac:dyDescent="0.3">
      <c r="F65420" s="193"/>
    </row>
    <row r="65421" spans="6:6" x14ac:dyDescent="0.3">
      <c r="F65421" s="193"/>
    </row>
    <row r="65422" spans="6:6" x14ac:dyDescent="0.3">
      <c r="F65422" s="193"/>
    </row>
    <row r="65423" spans="6:6" x14ac:dyDescent="0.3">
      <c r="F65423" s="193"/>
    </row>
    <row r="65424" spans="6:6" x14ac:dyDescent="0.3">
      <c r="F65424" s="193"/>
    </row>
    <row r="65425" spans="6:6" x14ac:dyDescent="0.3">
      <c r="F65425" s="193"/>
    </row>
    <row r="65426" spans="6:6" x14ac:dyDescent="0.3">
      <c r="F65426" s="193"/>
    </row>
    <row r="65427" spans="6:6" x14ac:dyDescent="0.3">
      <c r="F65427" s="193"/>
    </row>
    <row r="65428" spans="6:6" x14ac:dyDescent="0.3">
      <c r="F65428" s="193"/>
    </row>
    <row r="65429" spans="6:6" x14ac:dyDescent="0.3">
      <c r="F65429" s="193"/>
    </row>
    <row r="65430" spans="6:6" x14ac:dyDescent="0.3">
      <c r="F65430" s="193"/>
    </row>
    <row r="65431" spans="6:6" x14ac:dyDescent="0.3">
      <c r="F65431" s="193"/>
    </row>
    <row r="65432" spans="6:6" x14ac:dyDescent="0.3">
      <c r="F65432" s="193"/>
    </row>
    <row r="65433" spans="6:6" x14ac:dyDescent="0.3">
      <c r="F65433" s="193"/>
    </row>
    <row r="65434" spans="6:6" x14ac:dyDescent="0.3">
      <c r="F65434" s="193"/>
    </row>
    <row r="65435" spans="6:6" x14ac:dyDescent="0.3">
      <c r="F65435" s="193"/>
    </row>
    <row r="65436" spans="6:6" x14ac:dyDescent="0.3">
      <c r="F65436" s="193"/>
    </row>
    <row r="65437" spans="6:6" x14ac:dyDescent="0.3">
      <c r="F65437" s="193"/>
    </row>
    <row r="65438" spans="6:6" x14ac:dyDescent="0.3">
      <c r="F65438" s="193"/>
    </row>
    <row r="65439" spans="6:6" x14ac:dyDescent="0.3">
      <c r="F65439" s="193"/>
    </row>
    <row r="65440" spans="6:6" x14ac:dyDescent="0.3">
      <c r="F65440" s="193"/>
    </row>
    <row r="65441" spans="6:6" x14ac:dyDescent="0.3">
      <c r="F65441" s="193"/>
    </row>
    <row r="65442" spans="6:6" x14ac:dyDescent="0.3">
      <c r="F65442" s="193"/>
    </row>
    <row r="65443" spans="6:6" x14ac:dyDescent="0.3">
      <c r="F65443" s="193"/>
    </row>
    <row r="65444" spans="6:6" x14ac:dyDescent="0.3">
      <c r="F65444" s="193"/>
    </row>
    <row r="65445" spans="6:6" x14ac:dyDescent="0.3">
      <c r="F65445" s="193"/>
    </row>
    <row r="65446" spans="6:6" x14ac:dyDescent="0.3">
      <c r="F65446" s="193"/>
    </row>
    <row r="65447" spans="6:6" x14ac:dyDescent="0.3">
      <c r="F65447" s="193"/>
    </row>
    <row r="65448" spans="6:6" x14ac:dyDescent="0.3">
      <c r="F65448" s="193"/>
    </row>
    <row r="65449" spans="6:6" x14ac:dyDescent="0.3">
      <c r="F65449" s="193"/>
    </row>
    <row r="65450" spans="6:6" x14ac:dyDescent="0.3">
      <c r="F65450" s="193"/>
    </row>
    <row r="65451" spans="6:6" x14ac:dyDescent="0.3">
      <c r="F65451" s="193"/>
    </row>
    <row r="65452" spans="6:6" x14ac:dyDescent="0.3">
      <c r="F65452" s="193"/>
    </row>
    <row r="65453" spans="6:6" x14ac:dyDescent="0.3">
      <c r="F65453" s="193"/>
    </row>
    <row r="65454" spans="6:6" x14ac:dyDescent="0.3">
      <c r="F65454" s="193"/>
    </row>
    <row r="65455" spans="6:6" x14ac:dyDescent="0.3">
      <c r="F65455" s="193"/>
    </row>
    <row r="65456" spans="6:6" x14ac:dyDescent="0.3">
      <c r="F65456" s="193"/>
    </row>
    <row r="65457" spans="6:6" x14ac:dyDescent="0.3">
      <c r="F65457" s="193"/>
    </row>
    <row r="65458" spans="6:6" x14ac:dyDescent="0.3">
      <c r="F65458" s="193"/>
    </row>
    <row r="65459" spans="6:6" x14ac:dyDescent="0.3">
      <c r="F65459" s="193"/>
    </row>
    <row r="65460" spans="6:6" x14ac:dyDescent="0.3">
      <c r="F65460" s="193"/>
    </row>
    <row r="65461" spans="6:6" x14ac:dyDescent="0.3">
      <c r="F65461" s="193"/>
    </row>
    <row r="65462" spans="6:6" x14ac:dyDescent="0.3">
      <c r="F65462" s="193"/>
    </row>
    <row r="65463" spans="6:6" x14ac:dyDescent="0.3">
      <c r="F65463" s="193"/>
    </row>
    <row r="65464" spans="6:6" x14ac:dyDescent="0.3">
      <c r="F65464" s="193"/>
    </row>
    <row r="65465" spans="6:6" x14ac:dyDescent="0.3">
      <c r="F65465" s="193"/>
    </row>
    <row r="65466" spans="6:6" x14ac:dyDescent="0.3">
      <c r="F65466" s="193"/>
    </row>
    <row r="65467" spans="6:6" x14ac:dyDescent="0.3">
      <c r="F65467" s="193"/>
    </row>
    <row r="65468" spans="6:6" x14ac:dyDescent="0.3">
      <c r="F65468" s="193"/>
    </row>
    <row r="65469" spans="6:6" x14ac:dyDescent="0.3">
      <c r="F65469" s="193"/>
    </row>
    <row r="65470" spans="6:6" x14ac:dyDescent="0.3">
      <c r="F65470" s="193"/>
    </row>
    <row r="65471" spans="6:6" x14ac:dyDescent="0.3">
      <c r="F65471" s="193"/>
    </row>
    <row r="65472" spans="6:6" x14ac:dyDescent="0.3">
      <c r="F65472" s="193"/>
    </row>
    <row r="65473" spans="6:6" x14ac:dyDescent="0.3">
      <c r="F65473" s="193"/>
    </row>
    <row r="65474" spans="6:6" x14ac:dyDescent="0.3">
      <c r="F65474" s="193"/>
    </row>
    <row r="65475" spans="6:6" x14ac:dyDescent="0.3">
      <c r="F65475" s="193"/>
    </row>
    <row r="65476" spans="6:6" x14ac:dyDescent="0.3">
      <c r="F65476" s="193"/>
    </row>
    <row r="65477" spans="6:6" x14ac:dyDescent="0.3">
      <c r="F65477" s="193"/>
    </row>
    <row r="65478" spans="6:6" x14ac:dyDescent="0.3">
      <c r="F65478" s="193"/>
    </row>
    <row r="65479" spans="6:6" x14ac:dyDescent="0.3">
      <c r="F65479" s="193"/>
    </row>
    <row r="65480" spans="6:6" x14ac:dyDescent="0.3">
      <c r="F65480" s="193"/>
    </row>
    <row r="65481" spans="6:6" x14ac:dyDescent="0.3">
      <c r="F65481" s="193"/>
    </row>
    <row r="65482" spans="6:6" x14ac:dyDescent="0.3">
      <c r="F65482" s="193"/>
    </row>
    <row r="65483" spans="6:6" x14ac:dyDescent="0.3">
      <c r="F65483" s="193"/>
    </row>
    <row r="65484" spans="6:6" x14ac:dyDescent="0.3">
      <c r="F65484" s="193"/>
    </row>
    <row r="65485" spans="6:6" x14ac:dyDescent="0.3">
      <c r="F65485" s="193"/>
    </row>
    <row r="65486" spans="6:6" x14ac:dyDescent="0.3">
      <c r="F65486" s="193"/>
    </row>
    <row r="65487" spans="6:6" x14ac:dyDescent="0.3">
      <c r="F65487" s="193"/>
    </row>
    <row r="65488" spans="6:6" x14ac:dyDescent="0.3">
      <c r="F65488" s="193"/>
    </row>
    <row r="65489" spans="6:6" x14ac:dyDescent="0.3">
      <c r="F65489" s="193"/>
    </row>
    <row r="65490" spans="6:6" x14ac:dyDescent="0.3">
      <c r="F65490" s="193"/>
    </row>
    <row r="65491" spans="6:6" x14ac:dyDescent="0.3">
      <c r="F65491" s="193"/>
    </row>
    <row r="65492" spans="6:6" x14ac:dyDescent="0.3">
      <c r="F65492" s="193"/>
    </row>
    <row r="65493" spans="6:6" x14ac:dyDescent="0.3">
      <c r="F65493" s="193"/>
    </row>
    <row r="65494" spans="6:6" x14ac:dyDescent="0.3">
      <c r="F65494" s="193"/>
    </row>
    <row r="65495" spans="6:6" x14ac:dyDescent="0.3">
      <c r="F65495" s="193"/>
    </row>
    <row r="65496" spans="6:6" x14ac:dyDescent="0.3">
      <c r="F65496" s="193"/>
    </row>
    <row r="65497" spans="6:6" x14ac:dyDescent="0.3">
      <c r="F65497" s="193"/>
    </row>
    <row r="65498" spans="6:6" x14ac:dyDescent="0.3">
      <c r="F65498" s="193"/>
    </row>
    <row r="65499" spans="6:6" x14ac:dyDescent="0.3">
      <c r="F65499" s="193"/>
    </row>
    <row r="65500" spans="6:6" x14ac:dyDescent="0.3">
      <c r="F65500" s="193"/>
    </row>
    <row r="65501" spans="6:6" x14ac:dyDescent="0.3">
      <c r="F65501" s="193"/>
    </row>
    <row r="65502" spans="6:6" x14ac:dyDescent="0.3">
      <c r="F65502" s="193"/>
    </row>
    <row r="65503" spans="6:6" x14ac:dyDescent="0.3">
      <c r="F65503" s="193"/>
    </row>
    <row r="65504" spans="6:6" x14ac:dyDescent="0.3">
      <c r="F65504" s="193"/>
    </row>
    <row r="65505" spans="6:6" x14ac:dyDescent="0.3">
      <c r="F65505" s="193"/>
    </row>
    <row r="65506" spans="6:6" x14ac:dyDescent="0.3">
      <c r="F65506" s="193"/>
    </row>
    <row r="65507" spans="6:6" x14ac:dyDescent="0.3">
      <c r="F65507" s="193"/>
    </row>
    <row r="65508" spans="6:6" x14ac:dyDescent="0.3">
      <c r="F65508" s="193"/>
    </row>
    <row r="65509" spans="6:6" x14ac:dyDescent="0.3">
      <c r="F65509" s="193"/>
    </row>
    <row r="65510" spans="6:6" x14ac:dyDescent="0.3">
      <c r="F65510" s="193"/>
    </row>
    <row r="65511" spans="6:6" x14ac:dyDescent="0.3">
      <c r="F65511" s="193"/>
    </row>
    <row r="65512" spans="6:6" x14ac:dyDescent="0.3">
      <c r="F65512" s="193"/>
    </row>
    <row r="65513" spans="6:6" x14ac:dyDescent="0.3">
      <c r="F65513" s="193"/>
    </row>
    <row r="65514" spans="6:6" x14ac:dyDescent="0.3">
      <c r="F65514" s="193"/>
    </row>
    <row r="65515" spans="6:6" x14ac:dyDescent="0.3">
      <c r="F65515" s="193"/>
    </row>
    <row r="65516" spans="6:6" x14ac:dyDescent="0.3">
      <c r="F65516" s="193"/>
    </row>
    <row r="65517" spans="6:6" x14ac:dyDescent="0.3">
      <c r="F65517" s="193"/>
    </row>
    <row r="65518" spans="6:6" x14ac:dyDescent="0.3">
      <c r="F65518" s="193"/>
    </row>
    <row r="65519" spans="6:6" x14ac:dyDescent="0.3">
      <c r="F65519" s="193"/>
    </row>
    <row r="65520" spans="6:6" x14ac:dyDescent="0.3">
      <c r="F65520" s="193"/>
    </row>
    <row r="65521" spans="6:6" x14ac:dyDescent="0.3">
      <c r="F65521" s="193"/>
    </row>
    <row r="65522" spans="6:6" x14ac:dyDescent="0.3">
      <c r="F65522" s="193"/>
    </row>
    <row r="65523" spans="6:6" x14ac:dyDescent="0.3">
      <c r="F65523" s="193"/>
    </row>
    <row r="65524" spans="6:6" x14ac:dyDescent="0.3">
      <c r="F65524" s="193"/>
    </row>
    <row r="65525" spans="6:6" x14ac:dyDescent="0.3">
      <c r="F65525" s="193"/>
    </row>
    <row r="65526" spans="6:6" x14ac:dyDescent="0.3">
      <c r="F65526" s="193"/>
    </row>
    <row r="65527" spans="6:6" x14ac:dyDescent="0.3">
      <c r="F65527" s="193"/>
    </row>
    <row r="65528" spans="6:6" x14ac:dyDescent="0.3">
      <c r="F65528" s="193"/>
    </row>
    <row r="65529" spans="6:6" x14ac:dyDescent="0.3">
      <c r="F65529" s="193"/>
    </row>
    <row r="65530" spans="6:6" x14ac:dyDescent="0.3">
      <c r="F65530" s="193"/>
    </row>
    <row r="65531" spans="6:6" x14ac:dyDescent="0.3">
      <c r="F65531" s="193"/>
    </row>
    <row r="65532" spans="6:6" x14ac:dyDescent="0.3">
      <c r="F65532" s="193"/>
    </row>
    <row r="65533" spans="6:6" x14ac:dyDescent="0.3">
      <c r="F65533" s="193"/>
    </row>
    <row r="65534" spans="6:6" x14ac:dyDescent="0.3">
      <c r="F65534" s="193"/>
    </row>
    <row r="65535" spans="6:6" x14ac:dyDescent="0.3">
      <c r="F65535" s="193"/>
    </row>
    <row r="65536" spans="6:6" x14ac:dyDescent="0.3">
      <c r="F65536" s="193"/>
    </row>
    <row r="65537" spans="6:6" x14ac:dyDescent="0.3">
      <c r="F65537" s="193"/>
    </row>
    <row r="65538" spans="6:6" x14ac:dyDescent="0.3">
      <c r="F65538" s="193"/>
    </row>
    <row r="65539" spans="6:6" x14ac:dyDescent="0.3">
      <c r="F65539" s="193"/>
    </row>
    <row r="65540" spans="6:6" x14ac:dyDescent="0.3">
      <c r="F65540" s="193"/>
    </row>
    <row r="65541" spans="6:6" x14ac:dyDescent="0.3">
      <c r="F65541" s="193"/>
    </row>
    <row r="65542" spans="6:6" x14ac:dyDescent="0.3">
      <c r="F65542" s="193"/>
    </row>
    <row r="65543" spans="6:6" x14ac:dyDescent="0.3">
      <c r="F65543" s="193"/>
    </row>
    <row r="65544" spans="6:6" x14ac:dyDescent="0.3">
      <c r="F65544" s="193"/>
    </row>
    <row r="65545" spans="6:6" x14ac:dyDescent="0.3">
      <c r="F65545" s="193"/>
    </row>
    <row r="65546" spans="6:6" x14ac:dyDescent="0.3">
      <c r="F65546" s="193"/>
    </row>
    <row r="65547" spans="6:6" x14ac:dyDescent="0.3">
      <c r="F65547" s="193"/>
    </row>
    <row r="65548" spans="6:6" x14ac:dyDescent="0.3">
      <c r="F65548" s="193"/>
    </row>
    <row r="65549" spans="6:6" x14ac:dyDescent="0.3">
      <c r="F65549" s="193"/>
    </row>
    <row r="65550" spans="6:6" x14ac:dyDescent="0.3">
      <c r="F65550" s="193"/>
    </row>
    <row r="65551" spans="6:6" x14ac:dyDescent="0.3">
      <c r="F65551" s="193"/>
    </row>
    <row r="65552" spans="6:6" x14ac:dyDescent="0.3">
      <c r="F65552" s="193"/>
    </row>
    <row r="65553" spans="6:6" x14ac:dyDescent="0.3">
      <c r="F65553" s="193"/>
    </row>
    <row r="65554" spans="6:6" x14ac:dyDescent="0.3">
      <c r="F65554" s="193"/>
    </row>
    <row r="65555" spans="6:6" x14ac:dyDescent="0.3">
      <c r="F65555" s="193"/>
    </row>
    <row r="65556" spans="6:6" x14ac:dyDescent="0.3">
      <c r="F65556" s="193"/>
    </row>
    <row r="65557" spans="6:6" x14ac:dyDescent="0.3">
      <c r="F65557" s="193"/>
    </row>
    <row r="65558" spans="6:6" x14ac:dyDescent="0.3">
      <c r="F65558" s="193"/>
    </row>
    <row r="65559" spans="6:6" x14ac:dyDescent="0.3">
      <c r="F65559" s="193"/>
    </row>
    <row r="65560" spans="6:6" x14ac:dyDescent="0.3">
      <c r="F65560" s="193"/>
    </row>
    <row r="65561" spans="6:6" x14ac:dyDescent="0.3">
      <c r="F65561" s="193"/>
    </row>
    <row r="65562" spans="6:6" x14ac:dyDescent="0.3">
      <c r="F65562" s="193"/>
    </row>
    <row r="65563" spans="6:6" x14ac:dyDescent="0.3">
      <c r="F65563" s="193"/>
    </row>
    <row r="65564" spans="6:6" x14ac:dyDescent="0.3">
      <c r="F65564" s="193"/>
    </row>
    <row r="65565" spans="6:6" x14ac:dyDescent="0.3">
      <c r="F65565" s="193"/>
    </row>
    <row r="65566" spans="6:6" x14ac:dyDescent="0.3">
      <c r="F65566" s="193"/>
    </row>
    <row r="65567" spans="6:6" x14ac:dyDescent="0.3">
      <c r="F65567" s="193"/>
    </row>
    <row r="65568" spans="6:6" x14ac:dyDescent="0.3">
      <c r="F65568" s="193"/>
    </row>
    <row r="65569" spans="6:6" x14ac:dyDescent="0.3">
      <c r="F65569" s="193"/>
    </row>
    <row r="65570" spans="6:6" x14ac:dyDescent="0.3">
      <c r="F65570" s="193"/>
    </row>
    <row r="65571" spans="6:6" x14ac:dyDescent="0.3">
      <c r="F65571" s="193"/>
    </row>
    <row r="65572" spans="6:6" x14ac:dyDescent="0.3">
      <c r="F65572" s="193"/>
    </row>
    <row r="65573" spans="6:6" x14ac:dyDescent="0.3">
      <c r="F65573" s="193"/>
    </row>
    <row r="65574" spans="6:6" x14ac:dyDescent="0.3">
      <c r="F65574" s="193"/>
    </row>
    <row r="65575" spans="6:6" x14ac:dyDescent="0.3">
      <c r="F65575" s="193"/>
    </row>
    <row r="65576" spans="6:6" x14ac:dyDescent="0.3">
      <c r="F65576" s="193"/>
    </row>
    <row r="65577" spans="6:6" x14ac:dyDescent="0.3">
      <c r="F65577" s="193"/>
    </row>
    <row r="65578" spans="6:6" x14ac:dyDescent="0.3">
      <c r="F65578" s="193"/>
    </row>
    <row r="65579" spans="6:6" x14ac:dyDescent="0.3">
      <c r="F65579" s="193"/>
    </row>
    <row r="65580" spans="6:6" x14ac:dyDescent="0.3">
      <c r="F65580" s="193"/>
    </row>
    <row r="65581" spans="6:6" x14ac:dyDescent="0.3">
      <c r="F65581" s="193"/>
    </row>
    <row r="65582" spans="6:6" x14ac:dyDescent="0.3">
      <c r="F65582" s="193"/>
    </row>
    <row r="65583" spans="6:6" x14ac:dyDescent="0.3">
      <c r="F65583" s="193"/>
    </row>
    <row r="65584" spans="6:6" x14ac:dyDescent="0.3">
      <c r="F65584" s="193"/>
    </row>
    <row r="65585" spans="6:6" x14ac:dyDescent="0.3">
      <c r="F65585" s="193"/>
    </row>
    <row r="65586" spans="6:6" x14ac:dyDescent="0.3">
      <c r="F65586" s="193"/>
    </row>
    <row r="65587" spans="6:6" x14ac:dyDescent="0.3">
      <c r="F65587" s="193"/>
    </row>
    <row r="65588" spans="6:6" x14ac:dyDescent="0.3">
      <c r="F65588" s="193"/>
    </row>
    <row r="65589" spans="6:6" x14ac:dyDescent="0.3">
      <c r="F65589" s="193"/>
    </row>
    <row r="65590" spans="6:6" x14ac:dyDescent="0.3">
      <c r="F65590" s="193"/>
    </row>
    <row r="65591" spans="6:6" x14ac:dyDescent="0.3">
      <c r="F65591" s="193"/>
    </row>
    <row r="65592" spans="6:6" x14ac:dyDescent="0.3">
      <c r="F65592" s="193"/>
    </row>
    <row r="65593" spans="6:6" x14ac:dyDescent="0.3">
      <c r="F65593" s="193"/>
    </row>
    <row r="65594" spans="6:6" x14ac:dyDescent="0.3">
      <c r="F65594" s="193"/>
    </row>
    <row r="65595" spans="6:6" x14ac:dyDescent="0.3">
      <c r="F65595" s="193"/>
    </row>
    <row r="65596" spans="6:6" x14ac:dyDescent="0.3">
      <c r="F65596" s="193"/>
    </row>
    <row r="65597" spans="6:6" x14ac:dyDescent="0.3">
      <c r="F65597" s="193"/>
    </row>
    <row r="65598" spans="6:6" x14ac:dyDescent="0.3">
      <c r="F65598" s="193"/>
    </row>
    <row r="65599" spans="6:6" x14ac:dyDescent="0.3">
      <c r="F65599" s="193"/>
    </row>
    <row r="65600" spans="6:6" x14ac:dyDescent="0.3">
      <c r="F65600" s="193"/>
    </row>
    <row r="65601" spans="6:6" x14ac:dyDescent="0.3">
      <c r="F65601" s="193"/>
    </row>
    <row r="65602" spans="6:6" x14ac:dyDescent="0.3">
      <c r="F65602" s="193"/>
    </row>
    <row r="65603" spans="6:6" x14ac:dyDescent="0.3">
      <c r="F65603" s="193"/>
    </row>
    <row r="65604" spans="6:6" x14ac:dyDescent="0.3">
      <c r="F65604" s="193"/>
    </row>
    <row r="65605" spans="6:6" x14ac:dyDescent="0.3">
      <c r="F65605" s="193"/>
    </row>
    <row r="65606" spans="6:6" x14ac:dyDescent="0.3">
      <c r="F65606" s="193"/>
    </row>
    <row r="65607" spans="6:6" x14ac:dyDescent="0.3">
      <c r="F65607" s="193"/>
    </row>
    <row r="65608" spans="6:6" x14ac:dyDescent="0.3">
      <c r="F65608" s="193"/>
    </row>
    <row r="65609" spans="6:6" x14ac:dyDescent="0.3">
      <c r="F65609" s="193"/>
    </row>
    <row r="65610" spans="6:6" x14ac:dyDescent="0.3">
      <c r="F65610" s="193"/>
    </row>
    <row r="65611" spans="6:6" x14ac:dyDescent="0.3">
      <c r="F65611" s="193"/>
    </row>
    <row r="65612" spans="6:6" x14ac:dyDescent="0.3">
      <c r="F65612" s="193"/>
    </row>
    <row r="65613" spans="6:6" x14ac:dyDescent="0.3">
      <c r="F65613" s="193"/>
    </row>
    <row r="65614" spans="6:6" x14ac:dyDescent="0.3">
      <c r="F65614" s="193"/>
    </row>
    <row r="65615" spans="6:6" x14ac:dyDescent="0.3">
      <c r="F65615" s="193"/>
    </row>
    <row r="65616" spans="6:6" x14ac:dyDescent="0.3">
      <c r="F65616" s="193"/>
    </row>
    <row r="65617" spans="6:6" x14ac:dyDescent="0.3">
      <c r="F65617" s="193"/>
    </row>
    <row r="65618" spans="6:6" x14ac:dyDescent="0.3">
      <c r="F65618" s="193"/>
    </row>
    <row r="65619" spans="6:6" x14ac:dyDescent="0.3">
      <c r="F65619" s="193"/>
    </row>
    <row r="65620" spans="6:6" x14ac:dyDescent="0.3">
      <c r="F65620" s="193"/>
    </row>
    <row r="65621" spans="6:6" x14ac:dyDescent="0.3">
      <c r="F65621" s="193"/>
    </row>
    <row r="65622" spans="6:6" x14ac:dyDescent="0.3">
      <c r="F65622" s="193"/>
    </row>
    <row r="65623" spans="6:6" x14ac:dyDescent="0.3">
      <c r="F65623" s="193"/>
    </row>
    <row r="65624" spans="6:6" x14ac:dyDescent="0.3">
      <c r="F65624" s="193"/>
    </row>
    <row r="65625" spans="6:6" x14ac:dyDescent="0.3">
      <c r="F65625" s="193"/>
    </row>
    <row r="65626" spans="6:6" x14ac:dyDescent="0.3">
      <c r="F65626" s="193"/>
    </row>
    <row r="65627" spans="6:6" x14ac:dyDescent="0.3">
      <c r="F65627" s="193"/>
    </row>
    <row r="65628" spans="6:6" x14ac:dyDescent="0.3">
      <c r="F65628" s="193"/>
    </row>
    <row r="65629" spans="6:6" x14ac:dyDescent="0.3">
      <c r="F65629" s="193"/>
    </row>
    <row r="65630" spans="6:6" x14ac:dyDescent="0.3">
      <c r="F65630" s="193"/>
    </row>
    <row r="65631" spans="6:6" x14ac:dyDescent="0.3">
      <c r="F65631" s="193"/>
    </row>
    <row r="65632" spans="6:6" x14ac:dyDescent="0.3">
      <c r="F65632" s="193"/>
    </row>
    <row r="65633" spans="6:6" x14ac:dyDescent="0.3">
      <c r="F65633" s="193"/>
    </row>
    <row r="65634" spans="6:6" x14ac:dyDescent="0.3">
      <c r="F65634" s="193"/>
    </row>
    <row r="65635" spans="6:6" x14ac:dyDescent="0.3">
      <c r="F65635" s="193"/>
    </row>
    <row r="65636" spans="6:6" x14ac:dyDescent="0.3">
      <c r="F65636" s="193"/>
    </row>
    <row r="65637" spans="6:6" x14ac:dyDescent="0.3">
      <c r="F65637" s="193"/>
    </row>
    <row r="65638" spans="6:6" x14ac:dyDescent="0.3">
      <c r="F65638" s="193"/>
    </row>
    <row r="65639" spans="6:6" x14ac:dyDescent="0.3">
      <c r="F65639" s="193"/>
    </row>
    <row r="65640" spans="6:6" x14ac:dyDescent="0.3">
      <c r="F65640" s="193"/>
    </row>
    <row r="65641" spans="6:6" x14ac:dyDescent="0.3">
      <c r="F65641" s="193"/>
    </row>
    <row r="65642" spans="6:6" x14ac:dyDescent="0.3">
      <c r="F65642" s="193"/>
    </row>
    <row r="65643" spans="6:6" x14ac:dyDescent="0.3">
      <c r="F65643" s="193"/>
    </row>
    <row r="65644" spans="6:6" x14ac:dyDescent="0.3">
      <c r="F65644" s="193"/>
    </row>
    <row r="65645" spans="6:6" x14ac:dyDescent="0.3">
      <c r="F65645" s="193"/>
    </row>
    <row r="65646" spans="6:6" x14ac:dyDescent="0.3">
      <c r="F65646" s="193"/>
    </row>
    <row r="65647" spans="6:6" x14ac:dyDescent="0.3">
      <c r="F65647" s="193"/>
    </row>
    <row r="65648" spans="6:6" x14ac:dyDescent="0.3">
      <c r="F65648" s="193"/>
    </row>
    <row r="65649" spans="6:6" x14ac:dyDescent="0.3">
      <c r="F65649" s="193"/>
    </row>
    <row r="65650" spans="6:6" x14ac:dyDescent="0.3">
      <c r="F65650" s="193"/>
    </row>
    <row r="65651" spans="6:6" x14ac:dyDescent="0.3">
      <c r="F65651" s="193"/>
    </row>
    <row r="65652" spans="6:6" x14ac:dyDescent="0.3">
      <c r="F65652" s="193"/>
    </row>
    <row r="65653" spans="6:6" x14ac:dyDescent="0.3">
      <c r="F65653" s="193"/>
    </row>
    <row r="65654" spans="6:6" x14ac:dyDescent="0.3">
      <c r="F65654" s="193"/>
    </row>
    <row r="65655" spans="6:6" x14ac:dyDescent="0.3">
      <c r="F65655" s="193"/>
    </row>
    <row r="65656" spans="6:6" x14ac:dyDescent="0.3">
      <c r="F65656" s="193"/>
    </row>
    <row r="65657" spans="6:6" x14ac:dyDescent="0.3">
      <c r="F65657" s="193"/>
    </row>
    <row r="65658" spans="6:6" x14ac:dyDescent="0.3">
      <c r="F65658" s="193"/>
    </row>
    <row r="65659" spans="6:6" x14ac:dyDescent="0.3">
      <c r="F65659" s="193"/>
    </row>
    <row r="65660" spans="6:6" x14ac:dyDescent="0.3">
      <c r="F65660" s="193"/>
    </row>
    <row r="65661" spans="6:6" x14ac:dyDescent="0.3">
      <c r="F65661" s="193"/>
    </row>
    <row r="65662" spans="6:6" x14ac:dyDescent="0.3">
      <c r="F65662" s="193"/>
    </row>
    <row r="65663" spans="6:6" x14ac:dyDescent="0.3">
      <c r="F65663" s="193"/>
    </row>
    <row r="65664" spans="6:6" x14ac:dyDescent="0.3">
      <c r="F65664" s="193"/>
    </row>
    <row r="65665" spans="6:6" x14ac:dyDescent="0.3">
      <c r="F65665" s="193"/>
    </row>
    <row r="65666" spans="6:6" x14ac:dyDescent="0.3">
      <c r="F65666" s="193"/>
    </row>
    <row r="65667" spans="6:6" x14ac:dyDescent="0.3">
      <c r="F65667" s="193"/>
    </row>
    <row r="65668" spans="6:6" x14ac:dyDescent="0.3">
      <c r="F65668" s="193"/>
    </row>
    <row r="65669" spans="6:6" x14ac:dyDescent="0.3">
      <c r="F65669" s="193"/>
    </row>
    <row r="65670" spans="6:6" x14ac:dyDescent="0.3">
      <c r="F65670" s="193"/>
    </row>
    <row r="65671" spans="6:6" x14ac:dyDescent="0.3">
      <c r="F65671" s="193"/>
    </row>
    <row r="65672" spans="6:6" x14ac:dyDescent="0.3">
      <c r="F65672" s="193"/>
    </row>
    <row r="65673" spans="6:6" x14ac:dyDescent="0.3">
      <c r="F65673" s="193"/>
    </row>
    <row r="65674" spans="6:6" x14ac:dyDescent="0.3">
      <c r="F65674" s="193"/>
    </row>
    <row r="65675" spans="6:6" x14ac:dyDescent="0.3">
      <c r="F65675" s="193"/>
    </row>
    <row r="65676" spans="6:6" x14ac:dyDescent="0.3">
      <c r="F65676" s="193"/>
    </row>
    <row r="65677" spans="6:6" x14ac:dyDescent="0.3">
      <c r="F65677" s="193"/>
    </row>
    <row r="65678" spans="6:6" x14ac:dyDescent="0.3">
      <c r="F65678" s="193"/>
    </row>
    <row r="65679" spans="6:6" x14ac:dyDescent="0.3">
      <c r="F65679" s="193"/>
    </row>
    <row r="65680" spans="6:6" x14ac:dyDescent="0.3">
      <c r="F65680" s="193"/>
    </row>
    <row r="65681" spans="6:6" x14ac:dyDescent="0.3">
      <c r="F65681" s="193"/>
    </row>
    <row r="65682" spans="6:6" x14ac:dyDescent="0.3">
      <c r="F65682" s="193"/>
    </row>
    <row r="65683" spans="6:6" x14ac:dyDescent="0.3">
      <c r="F65683" s="193"/>
    </row>
    <row r="65684" spans="6:6" x14ac:dyDescent="0.3">
      <c r="F65684" s="193"/>
    </row>
    <row r="65685" spans="6:6" x14ac:dyDescent="0.3">
      <c r="F65685" s="193"/>
    </row>
    <row r="65686" spans="6:6" x14ac:dyDescent="0.3">
      <c r="F65686" s="193"/>
    </row>
    <row r="65687" spans="6:6" x14ac:dyDescent="0.3">
      <c r="F65687" s="193"/>
    </row>
    <row r="65688" spans="6:6" x14ac:dyDescent="0.3">
      <c r="F65688" s="193"/>
    </row>
    <row r="65689" spans="6:6" x14ac:dyDescent="0.3">
      <c r="F65689" s="193"/>
    </row>
    <row r="65690" spans="6:6" x14ac:dyDescent="0.3">
      <c r="F65690" s="193"/>
    </row>
    <row r="65691" spans="6:6" x14ac:dyDescent="0.3">
      <c r="F65691" s="193"/>
    </row>
    <row r="65692" spans="6:6" x14ac:dyDescent="0.3">
      <c r="F65692" s="193"/>
    </row>
    <row r="65693" spans="6:6" x14ac:dyDescent="0.3">
      <c r="F65693" s="193"/>
    </row>
    <row r="65694" spans="6:6" x14ac:dyDescent="0.3">
      <c r="F65694" s="193"/>
    </row>
    <row r="65695" spans="6:6" x14ac:dyDescent="0.3">
      <c r="F65695" s="193"/>
    </row>
    <row r="65696" spans="6:6" x14ac:dyDescent="0.3">
      <c r="F65696" s="193"/>
    </row>
    <row r="65697" spans="6:6" x14ac:dyDescent="0.3">
      <c r="F65697" s="193"/>
    </row>
    <row r="65698" spans="6:6" x14ac:dyDescent="0.3">
      <c r="F65698" s="193"/>
    </row>
    <row r="65699" spans="6:6" x14ac:dyDescent="0.3">
      <c r="F65699" s="193"/>
    </row>
    <row r="65700" spans="6:6" x14ac:dyDescent="0.3">
      <c r="F65700" s="193"/>
    </row>
    <row r="65701" spans="6:6" x14ac:dyDescent="0.3">
      <c r="F65701" s="193"/>
    </row>
    <row r="65702" spans="6:6" x14ac:dyDescent="0.3">
      <c r="F65702" s="193"/>
    </row>
    <row r="65703" spans="6:6" x14ac:dyDescent="0.3">
      <c r="F65703" s="193"/>
    </row>
    <row r="65704" spans="6:6" x14ac:dyDescent="0.3">
      <c r="F65704" s="193"/>
    </row>
    <row r="65705" spans="6:6" x14ac:dyDescent="0.3">
      <c r="F65705" s="193"/>
    </row>
    <row r="65706" spans="6:6" x14ac:dyDescent="0.3">
      <c r="F65706" s="193"/>
    </row>
    <row r="65707" spans="6:6" x14ac:dyDescent="0.3">
      <c r="F65707" s="193"/>
    </row>
    <row r="65708" spans="6:6" x14ac:dyDescent="0.3">
      <c r="F65708" s="193"/>
    </row>
    <row r="65709" spans="6:6" x14ac:dyDescent="0.3">
      <c r="F65709" s="193"/>
    </row>
    <row r="65710" spans="6:6" x14ac:dyDescent="0.3">
      <c r="F65710" s="193"/>
    </row>
    <row r="65711" spans="6:6" x14ac:dyDescent="0.3">
      <c r="F65711" s="193"/>
    </row>
    <row r="65712" spans="6:6" x14ac:dyDescent="0.3">
      <c r="F65712" s="193"/>
    </row>
    <row r="65713" spans="6:6" x14ac:dyDescent="0.3">
      <c r="F65713" s="193"/>
    </row>
    <row r="65714" spans="6:6" x14ac:dyDescent="0.3">
      <c r="F65714" s="193"/>
    </row>
    <row r="65715" spans="6:6" x14ac:dyDescent="0.3">
      <c r="F65715" s="193"/>
    </row>
    <row r="65716" spans="6:6" x14ac:dyDescent="0.3">
      <c r="F65716" s="193"/>
    </row>
    <row r="65717" spans="6:6" x14ac:dyDescent="0.3">
      <c r="F65717" s="193"/>
    </row>
    <row r="65718" spans="6:6" x14ac:dyDescent="0.3">
      <c r="F65718" s="193"/>
    </row>
    <row r="65719" spans="6:6" x14ac:dyDescent="0.3">
      <c r="F65719" s="193"/>
    </row>
    <row r="65720" spans="6:6" x14ac:dyDescent="0.3">
      <c r="F65720" s="193"/>
    </row>
    <row r="65721" spans="6:6" x14ac:dyDescent="0.3">
      <c r="F65721" s="193"/>
    </row>
    <row r="65722" spans="6:6" x14ac:dyDescent="0.3">
      <c r="F65722" s="193"/>
    </row>
    <row r="65723" spans="6:6" x14ac:dyDescent="0.3">
      <c r="F65723" s="193"/>
    </row>
    <row r="65724" spans="6:6" x14ac:dyDescent="0.3">
      <c r="F65724" s="193"/>
    </row>
    <row r="65725" spans="6:6" x14ac:dyDescent="0.3">
      <c r="F65725" s="193"/>
    </row>
    <row r="65726" spans="6:6" x14ac:dyDescent="0.3">
      <c r="F65726" s="193"/>
    </row>
    <row r="65727" spans="6:6" x14ac:dyDescent="0.3">
      <c r="F65727" s="193"/>
    </row>
    <row r="65728" spans="6:6" x14ac:dyDescent="0.3">
      <c r="F65728" s="193"/>
    </row>
    <row r="65729" spans="6:6" x14ac:dyDescent="0.3">
      <c r="F65729" s="193"/>
    </row>
    <row r="65730" spans="6:6" x14ac:dyDescent="0.3">
      <c r="F65730" s="193"/>
    </row>
    <row r="65731" spans="6:6" x14ac:dyDescent="0.3">
      <c r="F65731" s="193"/>
    </row>
    <row r="65732" spans="6:6" x14ac:dyDescent="0.3">
      <c r="F65732" s="193"/>
    </row>
    <row r="65733" spans="6:6" x14ac:dyDescent="0.3">
      <c r="F65733" s="193"/>
    </row>
    <row r="65734" spans="6:6" x14ac:dyDescent="0.3">
      <c r="F65734" s="193"/>
    </row>
    <row r="65735" spans="6:6" x14ac:dyDescent="0.3">
      <c r="F65735" s="193"/>
    </row>
    <row r="65736" spans="6:6" x14ac:dyDescent="0.3">
      <c r="F65736" s="193"/>
    </row>
    <row r="65737" spans="6:6" x14ac:dyDescent="0.3">
      <c r="F65737" s="193"/>
    </row>
    <row r="65738" spans="6:6" x14ac:dyDescent="0.3">
      <c r="F65738" s="193"/>
    </row>
    <row r="65739" spans="6:6" x14ac:dyDescent="0.3">
      <c r="F65739" s="193"/>
    </row>
    <row r="65740" spans="6:6" x14ac:dyDescent="0.3">
      <c r="F65740" s="193"/>
    </row>
    <row r="65741" spans="6:6" x14ac:dyDescent="0.3">
      <c r="F65741" s="193"/>
    </row>
    <row r="65742" spans="6:6" x14ac:dyDescent="0.3">
      <c r="F65742" s="193"/>
    </row>
    <row r="65743" spans="6:6" x14ac:dyDescent="0.3">
      <c r="F65743" s="193"/>
    </row>
    <row r="65744" spans="6:6" x14ac:dyDescent="0.3">
      <c r="F65744" s="193"/>
    </row>
    <row r="65745" spans="6:6" x14ac:dyDescent="0.3">
      <c r="F65745" s="193"/>
    </row>
    <row r="65746" spans="6:6" x14ac:dyDescent="0.3">
      <c r="F65746" s="193"/>
    </row>
    <row r="65747" spans="6:6" x14ac:dyDescent="0.3">
      <c r="F65747" s="193"/>
    </row>
    <row r="65748" spans="6:6" x14ac:dyDescent="0.3">
      <c r="F65748" s="193"/>
    </row>
    <row r="65749" spans="6:6" x14ac:dyDescent="0.3">
      <c r="F65749" s="193"/>
    </row>
    <row r="65750" spans="6:6" x14ac:dyDescent="0.3">
      <c r="F65750" s="193"/>
    </row>
    <row r="65751" spans="6:6" x14ac:dyDescent="0.3">
      <c r="F65751" s="193"/>
    </row>
    <row r="65752" spans="6:6" x14ac:dyDescent="0.3">
      <c r="F65752" s="193"/>
    </row>
    <row r="65753" spans="6:6" x14ac:dyDescent="0.3">
      <c r="F65753" s="193"/>
    </row>
    <row r="65754" spans="6:6" x14ac:dyDescent="0.3">
      <c r="F65754" s="193"/>
    </row>
    <row r="65755" spans="6:6" x14ac:dyDescent="0.3">
      <c r="F65755" s="193"/>
    </row>
    <row r="65756" spans="6:6" x14ac:dyDescent="0.3">
      <c r="F65756" s="193"/>
    </row>
    <row r="65757" spans="6:6" x14ac:dyDescent="0.3">
      <c r="F65757" s="193"/>
    </row>
    <row r="65758" spans="6:6" x14ac:dyDescent="0.3">
      <c r="F65758" s="193"/>
    </row>
    <row r="65759" spans="6:6" x14ac:dyDescent="0.3">
      <c r="F65759" s="193"/>
    </row>
    <row r="65760" spans="6:6" x14ac:dyDescent="0.3">
      <c r="F65760" s="193"/>
    </row>
    <row r="65761" spans="6:6" x14ac:dyDescent="0.3">
      <c r="F65761" s="193"/>
    </row>
    <row r="65762" spans="6:6" x14ac:dyDescent="0.3">
      <c r="F65762" s="193"/>
    </row>
    <row r="65763" spans="6:6" x14ac:dyDescent="0.3">
      <c r="F65763" s="193"/>
    </row>
    <row r="65764" spans="6:6" x14ac:dyDescent="0.3">
      <c r="F65764" s="193"/>
    </row>
    <row r="65765" spans="6:6" x14ac:dyDescent="0.3">
      <c r="F65765" s="193"/>
    </row>
    <row r="65766" spans="6:6" x14ac:dyDescent="0.3">
      <c r="F65766" s="193"/>
    </row>
    <row r="65767" spans="6:6" x14ac:dyDescent="0.3">
      <c r="F65767" s="193"/>
    </row>
    <row r="65768" spans="6:6" x14ac:dyDescent="0.3">
      <c r="F65768" s="193"/>
    </row>
    <row r="65769" spans="6:6" x14ac:dyDescent="0.3">
      <c r="F65769" s="193"/>
    </row>
    <row r="65770" spans="6:6" x14ac:dyDescent="0.3">
      <c r="F65770" s="193"/>
    </row>
    <row r="65771" spans="6:6" x14ac:dyDescent="0.3">
      <c r="F65771" s="193"/>
    </row>
    <row r="65772" spans="6:6" x14ac:dyDescent="0.3">
      <c r="F65772" s="193"/>
    </row>
    <row r="65773" spans="6:6" x14ac:dyDescent="0.3">
      <c r="F65773" s="193"/>
    </row>
    <row r="65774" spans="6:6" x14ac:dyDescent="0.3">
      <c r="F65774" s="193"/>
    </row>
    <row r="65775" spans="6:6" x14ac:dyDescent="0.3">
      <c r="F65775" s="193"/>
    </row>
    <row r="65776" spans="6:6" x14ac:dyDescent="0.3">
      <c r="F65776" s="193"/>
    </row>
    <row r="65777" spans="6:6" x14ac:dyDescent="0.3">
      <c r="F65777" s="193"/>
    </row>
    <row r="65778" spans="6:6" x14ac:dyDescent="0.3">
      <c r="F65778" s="193"/>
    </row>
    <row r="65779" spans="6:6" x14ac:dyDescent="0.3">
      <c r="F65779" s="193"/>
    </row>
    <row r="65780" spans="6:6" x14ac:dyDescent="0.3">
      <c r="F65780" s="193"/>
    </row>
    <row r="65781" spans="6:6" x14ac:dyDescent="0.3">
      <c r="F65781" s="193"/>
    </row>
    <row r="65782" spans="6:6" x14ac:dyDescent="0.3">
      <c r="F65782" s="193"/>
    </row>
    <row r="65783" spans="6:6" x14ac:dyDescent="0.3">
      <c r="F65783" s="193"/>
    </row>
    <row r="65784" spans="6:6" x14ac:dyDescent="0.3">
      <c r="F65784" s="193"/>
    </row>
    <row r="65785" spans="6:6" x14ac:dyDescent="0.3">
      <c r="F65785" s="193"/>
    </row>
    <row r="65786" spans="6:6" x14ac:dyDescent="0.3">
      <c r="F65786" s="193"/>
    </row>
    <row r="65787" spans="6:6" x14ac:dyDescent="0.3">
      <c r="F65787" s="193"/>
    </row>
    <row r="65788" spans="6:6" x14ac:dyDescent="0.3">
      <c r="F65788" s="193"/>
    </row>
    <row r="65789" spans="6:6" x14ac:dyDescent="0.3">
      <c r="F65789" s="193"/>
    </row>
    <row r="65790" spans="6:6" x14ac:dyDescent="0.3">
      <c r="F65790" s="193"/>
    </row>
    <row r="65791" spans="6:6" x14ac:dyDescent="0.3">
      <c r="F65791" s="193"/>
    </row>
    <row r="65792" spans="6:6" x14ac:dyDescent="0.3">
      <c r="F65792" s="193"/>
    </row>
    <row r="65793" spans="6:6" x14ac:dyDescent="0.3">
      <c r="F65793" s="193"/>
    </row>
    <row r="65794" spans="6:6" x14ac:dyDescent="0.3">
      <c r="F65794" s="193"/>
    </row>
    <row r="65795" spans="6:6" x14ac:dyDescent="0.3">
      <c r="F65795" s="193"/>
    </row>
    <row r="65796" spans="6:6" x14ac:dyDescent="0.3">
      <c r="F65796" s="193"/>
    </row>
    <row r="65797" spans="6:6" x14ac:dyDescent="0.3">
      <c r="F65797" s="193"/>
    </row>
    <row r="65798" spans="6:6" x14ac:dyDescent="0.3">
      <c r="F65798" s="193"/>
    </row>
    <row r="65799" spans="6:6" x14ac:dyDescent="0.3">
      <c r="F65799" s="193"/>
    </row>
    <row r="65800" spans="6:6" x14ac:dyDescent="0.3">
      <c r="F65800" s="193"/>
    </row>
    <row r="65801" spans="6:6" x14ac:dyDescent="0.3">
      <c r="F65801" s="193"/>
    </row>
    <row r="65802" spans="6:6" x14ac:dyDescent="0.3">
      <c r="F65802" s="193"/>
    </row>
    <row r="65803" spans="6:6" x14ac:dyDescent="0.3">
      <c r="F65803" s="193"/>
    </row>
    <row r="65804" spans="6:6" x14ac:dyDescent="0.3">
      <c r="F65804" s="193"/>
    </row>
    <row r="65805" spans="6:6" x14ac:dyDescent="0.3">
      <c r="F65805" s="193"/>
    </row>
    <row r="65806" spans="6:6" x14ac:dyDescent="0.3">
      <c r="F65806" s="193"/>
    </row>
    <row r="65807" spans="6:6" x14ac:dyDescent="0.3">
      <c r="F65807" s="193"/>
    </row>
    <row r="65808" spans="6:6" x14ac:dyDescent="0.3">
      <c r="F65808" s="193"/>
    </row>
    <row r="65809" spans="6:6" x14ac:dyDescent="0.3">
      <c r="F65809" s="193"/>
    </row>
    <row r="65810" spans="6:6" x14ac:dyDescent="0.3">
      <c r="F65810" s="193"/>
    </row>
    <row r="65811" spans="6:6" x14ac:dyDescent="0.3">
      <c r="F65811" s="193"/>
    </row>
    <row r="65812" spans="6:6" x14ac:dyDescent="0.3">
      <c r="F65812" s="193"/>
    </row>
    <row r="65813" spans="6:6" x14ac:dyDescent="0.3">
      <c r="F65813" s="193"/>
    </row>
    <row r="65814" spans="6:6" x14ac:dyDescent="0.3">
      <c r="F65814" s="193"/>
    </row>
    <row r="65815" spans="6:6" x14ac:dyDescent="0.3">
      <c r="F65815" s="193"/>
    </row>
    <row r="65816" spans="6:6" x14ac:dyDescent="0.3">
      <c r="F65816" s="193"/>
    </row>
    <row r="65817" spans="6:6" x14ac:dyDescent="0.3">
      <c r="F65817" s="193"/>
    </row>
    <row r="65818" spans="6:6" x14ac:dyDescent="0.3">
      <c r="F65818" s="193"/>
    </row>
    <row r="65819" spans="6:6" x14ac:dyDescent="0.3">
      <c r="F65819" s="193"/>
    </row>
    <row r="65820" spans="6:6" x14ac:dyDescent="0.3">
      <c r="F65820" s="193"/>
    </row>
    <row r="65821" spans="6:6" x14ac:dyDescent="0.3">
      <c r="F65821" s="193"/>
    </row>
    <row r="65822" spans="6:6" x14ac:dyDescent="0.3">
      <c r="F65822" s="193"/>
    </row>
    <row r="65823" spans="6:6" x14ac:dyDescent="0.3">
      <c r="F65823" s="193"/>
    </row>
    <row r="65824" spans="6:6" x14ac:dyDescent="0.3">
      <c r="F65824" s="193"/>
    </row>
    <row r="65825" spans="6:6" x14ac:dyDescent="0.3">
      <c r="F65825" s="193"/>
    </row>
    <row r="65826" spans="6:6" x14ac:dyDescent="0.3">
      <c r="F65826" s="193"/>
    </row>
    <row r="65827" spans="6:6" x14ac:dyDescent="0.3">
      <c r="F65827" s="193"/>
    </row>
    <row r="65828" spans="6:6" x14ac:dyDescent="0.3">
      <c r="F65828" s="193"/>
    </row>
    <row r="65829" spans="6:6" x14ac:dyDescent="0.3">
      <c r="F65829" s="193"/>
    </row>
    <row r="65830" spans="6:6" x14ac:dyDescent="0.3">
      <c r="F65830" s="193"/>
    </row>
    <row r="65831" spans="6:6" x14ac:dyDescent="0.3">
      <c r="F65831" s="193"/>
    </row>
    <row r="65832" spans="6:6" x14ac:dyDescent="0.3">
      <c r="F65832" s="193"/>
    </row>
    <row r="65833" spans="6:6" x14ac:dyDescent="0.3">
      <c r="F65833" s="193"/>
    </row>
    <row r="65834" spans="6:6" x14ac:dyDescent="0.3">
      <c r="F65834" s="193"/>
    </row>
    <row r="65835" spans="6:6" x14ac:dyDescent="0.3">
      <c r="F65835" s="193"/>
    </row>
    <row r="65836" spans="6:6" x14ac:dyDescent="0.3">
      <c r="F65836" s="193"/>
    </row>
    <row r="65837" spans="6:6" x14ac:dyDescent="0.3">
      <c r="F65837" s="193"/>
    </row>
    <row r="65838" spans="6:6" x14ac:dyDescent="0.3">
      <c r="F65838" s="193"/>
    </row>
    <row r="65839" spans="6:6" x14ac:dyDescent="0.3">
      <c r="F65839" s="193"/>
    </row>
    <row r="65840" spans="6:6" x14ac:dyDescent="0.3">
      <c r="F65840" s="193"/>
    </row>
    <row r="65841" spans="6:6" x14ac:dyDescent="0.3">
      <c r="F65841" s="193"/>
    </row>
    <row r="65842" spans="6:6" x14ac:dyDescent="0.3">
      <c r="F65842" s="193"/>
    </row>
    <row r="65843" spans="6:6" x14ac:dyDescent="0.3">
      <c r="F65843" s="193"/>
    </row>
    <row r="65844" spans="6:6" x14ac:dyDescent="0.3">
      <c r="F65844" s="193"/>
    </row>
    <row r="65845" spans="6:6" x14ac:dyDescent="0.3">
      <c r="F65845" s="193"/>
    </row>
    <row r="65846" spans="6:6" x14ac:dyDescent="0.3">
      <c r="F65846" s="193"/>
    </row>
    <row r="65847" spans="6:6" x14ac:dyDescent="0.3">
      <c r="F65847" s="193"/>
    </row>
    <row r="65848" spans="6:6" x14ac:dyDescent="0.3">
      <c r="F65848" s="193"/>
    </row>
    <row r="65849" spans="6:6" x14ac:dyDescent="0.3">
      <c r="F65849" s="193"/>
    </row>
    <row r="65850" spans="6:6" x14ac:dyDescent="0.3">
      <c r="F65850" s="193"/>
    </row>
    <row r="65851" spans="6:6" x14ac:dyDescent="0.3">
      <c r="F65851" s="193"/>
    </row>
    <row r="65852" spans="6:6" x14ac:dyDescent="0.3">
      <c r="F65852" s="193"/>
    </row>
    <row r="65853" spans="6:6" x14ac:dyDescent="0.3">
      <c r="F65853" s="193"/>
    </row>
    <row r="65854" spans="6:6" x14ac:dyDescent="0.3">
      <c r="F65854" s="193"/>
    </row>
    <row r="65855" spans="6:6" x14ac:dyDescent="0.3">
      <c r="F65855" s="193"/>
    </row>
    <row r="65856" spans="6:6" x14ac:dyDescent="0.3">
      <c r="F65856" s="193"/>
    </row>
    <row r="65857" spans="6:6" x14ac:dyDescent="0.3">
      <c r="F65857" s="193"/>
    </row>
    <row r="65858" spans="6:6" x14ac:dyDescent="0.3">
      <c r="F65858" s="193"/>
    </row>
    <row r="65859" spans="6:6" x14ac:dyDescent="0.3">
      <c r="F65859" s="193"/>
    </row>
    <row r="65860" spans="6:6" x14ac:dyDescent="0.3">
      <c r="F65860" s="193"/>
    </row>
    <row r="65861" spans="6:6" x14ac:dyDescent="0.3">
      <c r="F65861" s="193"/>
    </row>
    <row r="65862" spans="6:6" x14ac:dyDescent="0.3">
      <c r="F65862" s="193"/>
    </row>
    <row r="65863" spans="6:6" x14ac:dyDescent="0.3">
      <c r="F65863" s="193"/>
    </row>
    <row r="65864" spans="6:6" x14ac:dyDescent="0.3">
      <c r="F65864" s="193"/>
    </row>
    <row r="65865" spans="6:6" x14ac:dyDescent="0.3">
      <c r="F65865" s="193"/>
    </row>
    <row r="65866" spans="6:6" x14ac:dyDescent="0.3">
      <c r="F65866" s="193"/>
    </row>
    <row r="65867" spans="6:6" x14ac:dyDescent="0.3">
      <c r="F65867" s="193"/>
    </row>
    <row r="65868" spans="6:6" x14ac:dyDescent="0.3">
      <c r="F65868" s="193"/>
    </row>
    <row r="65869" spans="6:6" x14ac:dyDescent="0.3">
      <c r="F65869" s="193"/>
    </row>
    <row r="65870" spans="6:6" x14ac:dyDescent="0.3">
      <c r="F65870" s="193"/>
    </row>
    <row r="65871" spans="6:6" x14ac:dyDescent="0.3">
      <c r="F65871" s="193"/>
    </row>
    <row r="65872" spans="6:6" x14ac:dyDescent="0.3">
      <c r="F65872" s="193"/>
    </row>
    <row r="65873" spans="6:6" x14ac:dyDescent="0.3">
      <c r="F65873" s="193"/>
    </row>
    <row r="65874" spans="6:6" x14ac:dyDescent="0.3">
      <c r="F65874" s="193"/>
    </row>
    <row r="65875" spans="6:6" x14ac:dyDescent="0.3">
      <c r="F65875" s="193"/>
    </row>
    <row r="65876" spans="6:6" x14ac:dyDescent="0.3">
      <c r="F65876" s="193"/>
    </row>
    <row r="65877" spans="6:6" x14ac:dyDescent="0.3">
      <c r="F65877" s="193"/>
    </row>
    <row r="65878" spans="6:6" x14ac:dyDescent="0.3">
      <c r="F65878" s="193"/>
    </row>
    <row r="65879" spans="6:6" x14ac:dyDescent="0.3">
      <c r="F65879" s="193"/>
    </row>
    <row r="65880" spans="6:6" x14ac:dyDescent="0.3">
      <c r="F65880" s="193"/>
    </row>
    <row r="65881" spans="6:6" x14ac:dyDescent="0.3">
      <c r="F65881" s="193"/>
    </row>
    <row r="65882" spans="6:6" x14ac:dyDescent="0.3">
      <c r="F65882" s="193"/>
    </row>
    <row r="65883" spans="6:6" x14ac:dyDescent="0.3">
      <c r="F65883" s="193"/>
    </row>
    <row r="65884" spans="6:6" x14ac:dyDescent="0.3">
      <c r="F65884" s="193"/>
    </row>
    <row r="65885" spans="6:6" x14ac:dyDescent="0.3">
      <c r="F65885" s="193"/>
    </row>
    <row r="65886" spans="6:6" x14ac:dyDescent="0.3">
      <c r="F65886" s="193"/>
    </row>
    <row r="65887" spans="6:6" x14ac:dyDescent="0.3">
      <c r="F65887" s="193"/>
    </row>
    <row r="65888" spans="6:6" x14ac:dyDescent="0.3">
      <c r="F65888" s="193"/>
    </row>
    <row r="65889" spans="6:6" x14ac:dyDescent="0.3">
      <c r="F65889" s="193"/>
    </row>
    <row r="65890" spans="6:6" x14ac:dyDescent="0.3">
      <c r="F65890" s="193"/>
    </row>
    <row r="65891" spans="6:6" x14ac:dyDescent="0.3">
      <c r="F65891" s="193"/>
    </row>
    <row r="65892" spans="6:6" x14ac:dyDescent="0.3">
      <c r="F65892" s="193"/>
    </row>
    <row r="65893" spans="6:6" x14ac:dyDescent="0.3">
      <c r="F65893" s="193"/>
    </row>
    <row r="65894" spans="6:6" x14ac:dyDescent="0.3">
      <c r="F65894" s="193"/>
    </row>
    <row r="65895" spans="6:6" x14ac:dyDescent="0.3">
      <c r="F65895" s="193"/>
    </row>
    <row r="65896" spans="6:6" x14ac:dyDescent="0.3">
      <c r="F65896" s="193"/>
    </row>
    <row r="65897" spans="6:6" x14ac:dyDescent="0.3">
      <c r="F65897" s="193"/>
    </row>
    <row r="65898" spans="6:6" x14ac:dyDescent="0.3">
      <c r="F65898" s="193"/>
    </row>
    <row r="65899" spans="6:6" x14ac:dyDescent="0.3">
      <c r="F65899" s="193"/>
    </row>
    <row r="65900" spans="6:6" x14ac:dyDescent="0.3">
      <c r="F65900" s="193"/>
    </row>
    <row r="65901" spans="6:6" x14ac:dyDescent="0.3">
      <c r="F65901" s="193"/>
    </row>
    <row r="65902" spans="6:6" x14ac:dyDescent="0.3">
      <c r="F65902" s="193"/>
    </row>
    <row r="65903" spans="6:6" x14ac:dyDescent="0.3">
      <c r="F65903" s="193"/>
    </row>
    <row r="65904" spans="6:6" x14ac:dyDescent="0.3">
      <c r="F65904" s="193"/>
    </row>
    <row r="65905" spans="6:6" x14ac:dyDescent="0.3">
      <c r="F65905" s="193"/>
    </row>
    <row r="65906" spans="6:6" x14ac:dyDescent="0.3">
      <c r="F65906" s="193"/>
    </row>
    <row r="65907" spans="6:6" x14ac:dyDescent="0.3">
      <c r="F65907" s="193"/>
    </row>
    <row r="65908" spans="6:6" x14ac:dyDescent="0.3">
      <c r="F65908" s="193"/>
    </row>
    <row r="65909" spans="6:6" x14ac:dyDescent="0.3">
      <c r="F65909" s="193"/>
    </row>
    <row r="65910" spans="6:6" x14ac:dyDescent="0.3">
      <c r="F65910" s="193"/>
    </row>
    <row r="65911" spans="6:6" x14ac:dyDescent="0.3">
      <c r="F65911" s="193"/>
    </row>
    <row r="65912" spans="6:6" x14ac:dyDescent="0.3">
      <c r="F65912" s="193"/>
    </row>
    <row r="65913" spans="6:6" x14ac:dyDescent="0.3">
      <c r="F65913" s="193"/>
    </row>
    <row r="65914" spans="6:6" x14ac:dyDescent="0.3">
      <c r="F65914" s="193"/>
    </row>
    <row r="65915" spans="6:6" x14ac:dyDescent="0.3">
      <c r="F65915" s="193"/>
    </row>
    <row r="65916" spans="6:6" x14ac:dyDescent="0.3">
      <c r="F65916" s="193"/>
    </row>
    <row r="65917" spans="6:6" x14ac:dyDescent="0.3">
      <c r="F65917" s="193"/>
    </row>
    <row r="65918" spans="6:6" x14ac:dyDescent="0.3">
      <c r="F65918" s="193"/>
    </row>
    <row r="65919" spans="6:6" x14ac:dyDescent="0.3">
      <c r="F65919" s="193"/>
    </row>
    <row r="65920" spans="6:6" x14ac:dyDescent="0.3">
      <c r="F65920" s="193"/>
    </row>
    <row r="65921" spans="6:6" x14ac:dyDescent="0.3">
      <c r="F65921" s="193"/>
    </row>
    <row r="65922" spans="6:6" x14ac:dyDescent="0.3">
      <c r="F65922" s="193"/>
    </row>
    <row r="65923" spans="6:6" x14ac:dyDescent="0.3">
      <c r="F65923" s="193"/>
    </row>
    <row r="65924" spans="6:6" x14ac:dyDescent="0.3">
      <c r="F65924" s="193"/>
    </row>
    <row r="65925" spans="6:6" x14ac:dyDescent="0.3">
      <c r="F65925" s="193"/>
    </row>
    <row r="65926" spans="6:6" x14ac:dyDescent="0.3">
      <c r="F65926" s="193"/>
    </row>
    <row r="65927" spans="6:6" x14ac:dyDescent="0.3">
      <c r="F65927" s="193"/>
    </row>
    <row r="65928" spans="6:6" x14ac:dyDescent="0.3">
      <c r="F65928" s="193"/>
    </row>
    <row r="65929" spans="6:6" x14ac:dyDescent="0.3">
      <c r="F65929" s="193"/>
    </row>
    <row r="65930" spans="6:6" x14ac:dyDescent="0.3">
      <c r="F65930" s="193"/>
    </row>
    <row r="65931" spans="6:6" x14ac:dyDescent="0.3">
      <c r="F65931" s="193"/>
    </row>
    <row r="65932" spans="6:6" x14ac:dyDescent="0.3">
      <c r="F65932" s="193"/>
    </row>
    <row r="65933" spans="6:6" x14ac:dyDescent="0.3">
      <c r="F65933" s="193"/>
    </row>
    <row r="65934" spans="6:6" x14ac:dyDescent="0.3">
      <c r="F65934" s="193"/>
    </row>
    <row r="65935" spans="6:6" x14ac:dyDescent="0.3">
      <c r="F65935" s="193"/>
    </row>
    <row r="65936" spans="6:6" x14ac:dyDescent="0.3">
      <c r="F65936" s="193"/>
    </row>
    <row r="65937" spans="6:6" x14ac:dyDescent="0.3">
      <c r="F65937" s="193"/>
    </row>
    <row r="65938" spans="6:6" x14ac:dyDescent="0.3">
      <c r="F65938" s="193"/>
    </row>
    <row r="65939" spans="6:6" x14ac:dyDescent="0.3">
      <c r="F65939" s="193"/>
    </row>
    <row r="65940" spans="6:6" x14ac:dyDescent="0.3">
      <c r="F65940" s="193"/>
    </row>
    <row r="65941" spans="6:6" x14ac:dyDescent="0.3">
      <c r="F65941" s="193"/>
    </row>
    <row r="65942" spans="6:6" x14ac:dyDescent="0.3">
      <c r="F65942" s="193"/>
    </row>
    <row r="65943" spans="6:6" x14ac:dyDescent="0.3">
      <c r="F65943" s="193"/>
    </row>
    <row r="65944" spans="6:6" x14ac:dyDescent="0.3">
      <c r="F65944" s="193"/>
    </row>
    <row r="65945" spans="6:6" x14ac:dyDescent="0.3">
      <c r="F65945" s="193"/>
    </row>
    <row r="65946" spans="6:6" x14ac:dyDescent="0.3">
      <c r="F65946" s="193"/>
    </row>
    <row r="65947" spans="6:6" x14ac:dyDescent="0.3">
      <c r="F65947" s="193"/>
    </row>
    <row r="65948" spans="6:6" x14ac:dyDescent="0.3">
      <c r="F65948" s="193"/>
    </row>
    <row r="65949" spans="6:6" x14ac:dyDescent="0.3">
      <c r="F65949" s="193"/>
    </row>
    <row r="65950" spans="6:6" x14ac:dyDescent="0.3">
      <c r="F65950" s="193"/>
    </row>
    <row r="65951" spans="6:6" x14ac:dyDescent="0.3">
      <c r="F65951" s="193"/>
    </row>
    <row r="65952" spans="6:6" x14ac:dyDescent="0.3">
      <c r="F65952" s="193"/>
    </row>
    <row r="65953" spans="6:6" x14ac:dyDescent="0.3">
      <c r="F65953" s="193"/>
    </row>
    <row r="65954" spans="6:6" x14ac:dyDescent="0.3">
      <c r="F65954" s="193"/>
    </row>
    <row r="65955" spans="6:6" x14ac:dyDescent="0.3">
      <c r="F65955" s="193"/>
    </row>
    <row r="65956" spans="6:6" x14ac:dyDescent="0.3">
      <c r="F65956" s="193"/>
    </row>
    <row r="65957" spans="6:6" x14ac:dyDescent="0.3">
      <c r="F65957" s="193"/>
    </row>
    <row r="65958" spans="6:6" x14ac:dyDescent="0.3">
      <c r="F65958" s="193"/>
    </row>
    <row r="65959" spans="6:6" x14ac:dyDescent="0.3">
      <c r="F65959" s="193"/>
    </row>
    <row r="65960" spans="6:6" x14ac:dyDescent="0.3">
      <c r="F65960" s="193"/>
    </row>
    <row r="65961" spans="6:6" x14ac:dyDescent="0.3">
      <c r="F65961" s="193"/>
    </row>
    <row r="65962" spans="6:6" x14ac:dyDescent="0.3">
      <c r="F65962" s="193"/>
    </row>
    <row r="65963" spans="6:6" x14ac:dyDescent="0.3">
      <c r="F65963" s="193"/>
    </row>
    <row r="65964" spans="6:6" x14ac:dyDescent="0.3">
      <c r="F65964" s="193"/>
    </row>
    <row r="65965" spans="6:6" x14ac:dyDescent="0.3">
      <c r="F65965" s="193"/>
    </row>
    <row r="65966" spans="6:6" x14ac:dyDescent="0.3">
      <c r="F65966" s="193"/>
    </row>
    <row r="65967" spans="6:6" x14ac:dyDescent="0.3">
      <c r="F65967" s="193"/>
    </row>
    <row r="65968" spans="6:6" x14ac:dyDescent="0.3">
      <c r="F65968" s="193"/>
    </row>
    <row r="65969" spans="6:6" x14ac:dyDescent="0.3">
      <c r="F65969" s="193"/>
    </row>
    <row r="65970" spans="6:6" x14ac:dyDescent="0.3">
      <c r="F65970" s="193"/>
    </row>
    <row r="65971" spans="6:6" x14ac:dyDescent="0.3">
      <c r="F65971" s="193"/>
    </row>
    <row r="65972" spans="6:6" x14ac:dyDescent="0.3">
      <c r="F65972" s="193"/>
    </row>
    <row r="65973" spans="6:6" x14ac:dyDescent="0.3">
      <c r="F65973" s="193"/>
    </row>
    <row r="65974" spans="6:6" x14ac:dyDescent="0.3">
      <c r="F65974" s="193"/>
    </row>
    <row r="65975" spans="6:6" x14ac:dyDescent="0.3">
      <c r="F65975" s="193"/>
    </row>
    <row r="65976" spans="6:6" x14ac:dyDescent="0.3">
      <c r="F65976" s="193"/>
    </row>
    <row r="65977" spans="6:6" x14ac:dyDescent="0.3">
      <c r="F65977" s="193"/>
    </row>
    <row r="65978" spans="6:6" x14ac:dyDescent="0.3">
      <c r="F65978" s="193"/>
    </row>
    <row r="65979" spans="6:6" x14ac:dyDescent="0.3">
      <c r="F65979" s="193"/>
    </row>
    <row r="65980" spans="6:6" x14ac:dyDescent="0.3">
      <c r="F65980" s="193"/>
    </row>
    <row r="65981" spans="6:6" x14ac:dyDescent="0.3">
      <c r="F65981" s="193"/>
    </row>
    <row r="65982" spans="6:6" x14ac:dyDescent="0.3">
      <c r="F65982" s="193"/>
    </row>
    <row r="65983" spans="6:6" x14ac:dyDescent="0.3">
      <c r="F65983" s="193"/>
    </row>
    <row r="65984" spans="6:6" x14ac:dyDescent="0.3">
      <c r="F65984" s="193"/>
    </row>
    <row r="65985" spans="6:6" x14ac:dyDescent="0.3">
      <c r="F65985" s="193"/>
    </row>
    <row r="65986" spans="6:6" x14ac:dyDescent="0.3">
      <c r="F65986" s="193"/>
    </row>
    <row r="65987" spans="6:6" x14ac:dyDescent="0.3">
      <c r="F65987" s="193"/>
    </row>
    <row r="65988" spans="6:6" x14ac:dyDescent="0.3">
      <c r="F65988" s="193"/>
    </row>
    <row r="65989" spans="6:6" x14ac:dyDescent="0.3">
      <c r="F65989" s="193"/>
    </row>
    <row r="65990" spans="6:6" x14ac:dyDescent="0.3">
      <c r="F65990" s="193"/>
    </row>
    <row r="65991" spans="6:6" x14ac:dyDescent="0.3">
      <c r="F65991" s="193"/>
    </row>
    <row r="65992" spans="6:6" x14ac:dyDescent="0.3">
      <c r="F65992" s="193"/>
    </row>
    <row r="65993" spans="6:6" x14ac:dyDescent="0.3">
      <c r="F65993" s="193"/>
    </row>
    <row r="65994" spans="6:6" x14ac:dyDescent="0.3">
      <c r="F65994" s="193"/>
    </row>
    <row r="65995" spans="6:6" x14ac:dyDescent="0.3">
      <c r="F65995" s="193"/>
    </row>
    <row r="65996" spans="6:6" x14ac:dyDescent="0.3">
      <c r="F65996" s="193"/>
    </row>
    <row r="65997" spans="6:6" x14ac:dyDescent="0.3">
      <c r="F65997" s="193"/>
    </row>
    <row r="65998" spans="6:6" x14ac:dyDescent="0.3">
      <c r="F65998" s="193"/>
    </row>
    <row r="65999" spans="6:6" x14ac:dyDescent="0.3">
      <c r="F65999" s="193"/>
    </row>
    <row r="66000" spans="6:6" x14ac:dyDescent="0.3">
      <c r="F66000" s="193"/>
    </row>
    <row r="66001" spans="6:6" x14ac:dyDescent="0.3">
      <c r="F66001" s="193"/>
    </row>
    <row r="66002" spans="6:6" x14ac:dyDescent="0.3">
      <c r="F66002" s="193"/>
    </row>
    <row r="66003" spans="6:6" x14ac:dyDescent="0.3">
      <c r="F66003" s="193"/>
    </row>
    <row r="66004" spans="6:6" x14ac:dyDescent="0.3">
      <c r="F66004" s="193"/>
    </row>
    <row r="66005" spans="6:6" x14ac:dyDescent="0.3">
      <c r="F66005" s="193"/>
    </row>
    <row r="66006" spans="6:6" x14ac:dyDescent="0.3">
      <c r="F66006" s="193"/>
    </row>
    <row r="66007" spans="6:6" x14ac:dyDescent="0.3">
      <c r="F66007" s="193"/>
    </row>
    <row r="66008" spans="6:6" x14ac:dyDescent="0.3">
      <c r="F66008" s="193"/>
    </row>
    <row r="66009" spans="6:6" x14ac:dyDescent="0.3">
      <c r="F66009" s="193"/>
    </row>
    <row r="66010" spans="6:6" x14ac:dyDescent="0.3">
      <c r="F66010" s="193"/>
    </row>
    <row r="66011" spans="6:6" x14ac:dyDescent="0.3">
      <c r="F66011" s="193"/>
    </row>
    <row r="66012" spans="6:6" x14ac:dyDescent="0.3">
      <c r="F66012" s="193"/>
    </row>
    <row r="66013" spans="6:6" x14ac:dyDescent="0.3">
      <c r="F66013" s="193"/>
    </row>
    <row r="66014" spans="6:6" x14ac:dyDescent="0.3">
      <c r="F66014" s="193"/>
    </row>
    <row r="66015" spans="6:6" x14ac:dyDescent="0.3">
      <c r="F66015" s="193"/>
    </row>
    <row r="66016" spans="6:6" x14ac:dyDescent="0.3">
      <c r="F66016" s="193"/>
    </row>
    <row r="66017" spans="6:6" x14ac:dyDescent="0.3">
      <c r="F66017" s="193"/>
    </row>
    <row r="66018" spans="6:6" x14ac:dyDescent="0.3">
      <c r="F66018" s="193"/>
    </row>
    <row r="66019" spans="6:6" x14ac:dyDescent="0.3">
      <c r="F66019" s="193"/>
    </row>
    <row r="66020" spans="6:6" x14ac:dyDescent="0.3">
      <c r="F66020" s="193"/>
    </row>
    <row r="66021" spans="6:6" x14ac:dyDescent="0.3">
      <c r="F66021" s="193"/>
    </row>
    <row r="66022" spans="6:6" x14ac:dyDescent="0.3">
      <c r="F66022" s="193"/>
    </row>
    <row r="66023" spans="6:6" x14ac:dyDescent="0.3">
      <c r="F66023" s="193"/>
    </row>
    <row r="66024" spans="6:6" x14ac:dyDescent="0.3">
      <c r="F66024" s="193"/>
    </row>
    <row r="66025" spans="6:6" x14ac:dyDescent="0.3">
      <c r="F66025" s="193"/>
    </row>
    <row r="66026" spans="6:6" x14ac:dyDescent="0.3">
      <c r="F66026" s="193"/>
    </row>
    <row r="66027" spans="6:6" x14ac:dyDescent="0.3">
      <c r="F66027" s="193"/>
    </row>
    <row r="66028" spans="6:6" x14ac:dyDescent="0.3">
      <c r="F66028" s="193"/>
    </row>
    <row r="66029" spans="6:6" x14ac:dyDescent="0.3">
      <c r="F66029" s="193"/>
    </row>
    <row r="66030" spans="6:6" x14ac:dyDescent="0.3">
      <c r="F66030" s="193"/>
    </row>
    <row r="66031" spans="6:6" x14ac:dyDescent="0.3">
      <c r="F66031" s="193"/>
    </row>
    <row r="66032" spans="6:6" x14ac:dyDescent="0.3">
      <c r="F66032" s="193"/>
    </row>
    <row r="66033" spans="6:6" x14ac:dyDescent="0.3">
      <c r="F66033" s="193"/>
    </row>
    <row r="66034" spans="6:6" x14ac:dyDescent="0.3">
      <c r="F66034" s="193"/>
    </row>
    <row r="66035" spans="6:6" x14ac:dyDescent="0.3">
      <c r="F66035" s="193"/>
    </row>
    <row r="66036" spans="6:6" x14ac:dyDescent="0.3">
      <c r="F66036" s="193"/>
    </row>
    <row r="66037" spans="6:6" x14ac:dyDescent="0.3">
      <c r="F66037" s="193"/>
    </row>
    <row r="66038" spans="6:6" x14ac:dyDescent="0.3">
      <c r="F66038" s="193"/>
    </row>
    <row r="66039" spans="6:6" x14ac:dyDescent="0.3">
      <c r="F66039" s="193"/>
    </row>
    <row r="66040" spans="6:6" x14ac:dyDescent="0.3">
      <c r="F66040" s="193"/>
    </row>
    <row r="66041" spans="6:6" x14ac:dyDescent="0.3">
      <c r="F66041" s="193"/>
    </row>
    <row r="66042" spans="6:6" x14ac:dyDescent="0.3">
      <c r="F66042" s="193"/>
    </row>
    <row r="66043" spans="6:6" x14ac:dyDescent="0.3">
      <c r="F66043" s="193"/>
    </row>
    <row r="66044" spans="6:6" x14ac:dyDescent="0.3">
      <c r="F66044" s="193"/>
    </row>
    <row r="66045" spans="6:6" x14ac:dyDescent="0.3">
      <c r="F66045" s="193"/>
    </row>
    <row r="66046" spans="6:6" x14ac:dyDescent="0.3">
      <c r="F66046" s="193"/>
    </row>
    <row r="66047" spans="6:6" x14ac:dyDescent="0.3">
      <c r="F66047" s="193"/>
    </row>
    <row r="66048" spans="6:6" x14ac:dyDescent="0.3">
      <c r="F66048" s="193"/>
    </row>
    <row r="66049" spans="6:6" x14ac:dyDescent="0.3">
      <c r="F66049" s="193"/>
    </row>
    <row r="66050" spans="6:6" x14ac:dyDescent="0.3">
      <c r="F66050" s="193"/>
    </row>
    <row r="66051" spans="6:6" x14ac:dyDescent="0.3">
      <c r="F66051" s="193"/>
    </row>
    <row r="66052" spans="6:6" x14ac:dyDescent="0.3">
      <c r="F66052" s="193"/>
    </row>
    <row r="66053" spans="6:6" x14ac:dyDescent="0.3">
      <c r="F66053" s="193"/>
    </row>
    <row r="66054" spans="6:6" x14ac:dyDescent="0.3">
      <c r="F66054" s="193"/>
    </row>
    <row r="66055" spans="6:6" x14ac:dyDescent="0.3">
      <c r="F66055" s="193"/>
    </row>
    <row r="66056" spans="6:6" x14ac:dyDescent="0.3">
      <c r="F66056" s="193"/>
    </row>
    <row r="66057" spans="6:6" x14ac:dyDescent="0.3">
      <c r="F66057" s="193"/>
    </row>
    <row r="66058" spans="6:6" x14ac:dyDescent="0.3">
      <c r="F66058" s="193"/>
    </row>
    <row r="66059" spans="6:6" x14ac:dyDescent="0.3">
      <c r="F66059" s="193"/>
    </row>
    <row r="66060" spans="6:6" x14ac:dyDescent="0.3">
      <c r="F66060" s="193"/>
    </row>
    <row r="66061" spans="6:6" x14ac:dyDescent="0.3">
      <c r="F66061" s="193"/>
    </row>
    <row r="66062" spans="6:6" x14ac:dyDescent="0.3">
      <c r="F66062" s="193"/>
    </row>
    <row r="66063" spans="6:6" x14ac:dyDescent="0.3">
      <c r="F66063" s="193"/>
    </row>
    <row r="66064" spans="6:6" x14ac:dyDescent="0.3">
      <c r="F66064" s="193"/>
    </row>
    <row r="66065" spans="6:6" x14ac:dyDescent="0.3">
      <c r="F66065" s="193"/>
    </row>
    <row r="66066" spans="6:6" x14ac:dyDescent="0.3">
      <c r="F66066" s="193"/>
    </row>
    <row r="66067" spans="6:6" x14ac:dyDescent="0.3">
      <c r="F66067" s="193"/>
    </row>
    <row r="66068" spans="6:6" x14ac:dyDescent="0.3">
      <c r="F66068" s="193"/>
    </row>
    <row r="66069" spans="6:6" x14ac:dyDescent="0.3">
      <c r="F66069" s="193"/>
    </row>
    <row r="66070" spans="6:6" x14ac:dyDescent="0.3">
      <c r="F66070" s="193"/>
    </row>
    <row r="66071" spans="6:6" x14ac:dyDescent="0.3">
      <c r="F66071" s="193"/>
    </row>
    <row r="66072" spans="6:6" x14ac:dyDescent="0.3">
      <c r="F66072" s="193"/>
    </row>
    <row r="66073" spans="6:6" x14ac:dyDescent="0.3">
      <c r="F66073" s="193"/>
    </row>
    <row r="66074" spans="6:6" x14ac:dyDescent="0.3">
      <c r="F66074" s="193"/>
    </row>
    <row r="66075" spans="6:6" x14ac:dyDescent="0.3">
      <c r="F66075" s="193"/>
    </row>
    <row r="66076" spans="6:6" x14ac:dyDescent="0.3">
      <c r="F66076" s="193"/>
    </row>
    <row r="66077" spans="6:6" x14ac:dyDescent="0.3">
      <c r="F66077" s="193"/>
    </row>
    <row r="66078" spans="6:6" x14ac:dyDescent="0.3">
      <c r="F66078" s="193"/>
    </row>
    <row r="66079" spans="6:6" x14ac:dyDescent="0.3">
      <c r="F66079" s="193"/>
    </row>
    <row r="66080" spans="6:6" x14ac:dyDescent="0.3">
      <c r="F66080" s="193"/>
    </row>
    <row r="66081" spans="6:6" x14ac:dyDescent="0.3">
      <c r="F66081" s="193"/>
    </row>
    <row r="66082" spans="6:6" x14ac:dyDescent="0.3">
      <c r="F66082" s="193"/>
    </row>
    <row r="66083" spans="6:6" x14ac:dyDescent="0.3">
      <c r="F66083" s="193"/>
    </row>
    <row r="66084" spans="6:6" x14ac:dyDescent="0.3">
      <c r="F66084" s="193"/>
    </row>
    <row r="66085" spans="6:6" x14ac:dyDescent="0.3">
      <c r="F66085" s="193"/>
    </row>
    <row r="66086" spans="6:6" x14ac:dyDescent="0.3">
      <c r="F66086" s="193"/>
    </row>
    <row r="66087" spans="6:6" x14ac:dyDescent="0.3">
      <c r="F66087" s="193"/>
    </row>
    <row r="66088" spans="6:6" x14ac:dyDescent="0.3">
      <c r="F66088" s="193"/>
    </row>
    <row r="66089" spans="6:6" x14ac:dyDescent="0.3">
      <c r="F66089" s="193"/>
    </row>
    <row r="66090" spans="6:6" x14ac:dyDescent="0.3">
      <c r="F66090" s="193"/>
    </row>
    <row r="66091" spans="6:6" x14ac:dyDescent="0.3">
      <c r="F66091" s="193"/>
    </row>
    <row r="66092" spans="6:6" x14ac:dyDescent="0.3">
      <c r="F66092" s="193"/>
    </row>
    <row r="66093" spans="6:6" x14ac:dyDescent="0.3">
      <c r="F66093" s="193"/>
    </row>
    <row r="66094" spans="6:6" x14ac:dyDescent="0.3">
      <c r="F66094" s="193"/>
    </row>
    <row r="66095" spans="6:6" x14ac:dyDescent="0.3">
      <c r="F66095" s="193"/>
    </row>
    <row r="66096" spans="6:6" x14ac:dyDescent="0.3">
      <c r="F66096" s="193"/>
    </row>
    <row r="66097" spans="6:6" x14ac:dyDescent="0.3">
      <c r="F66097" s="193"/>
    </row>
    <row r="66098" spans="6:6" x14ac:dyDescent="0.3">
      <c r="F66098" s="193"/>
    </row>
    <row r="66099" spans="6:6" x14ac:dyDescent="0.3">
      <c r="F66099" s="193"/>
    </row>
    <row r="66100" spans="6:6" x14ac:dyDescent="0.3">
      <c r="F66100" s="193"/>
    </row>
    <row r="66101" spans="6:6" x14ac:dyDescent="0.3">
      <c r="F66101" s="193"/>
    </row>
    <row r="66102" spans="6:6" x14ac:dyDescent="0.3">
      <c r="F66102" s="193"/>
    </row>
    <row r="66103" spans="6:6" x14ac:dyDescent="0.3">
      <c r="F66103" s="193"/>
    </row>
    <row r="66104" spans="6:6" x14ac:dyDescent="0.3">
      <c r="F66104" s="193"/>
    </row>
    <row r="66105" spans="6:6" x14ac:dyDescent="0.3">
      <c r="F66105" s="193"/>
    </row>
    <row r="66106" spans="6:6" x14ac:dyDescent="0.3">
      <c r="F66106" s="193"/>
    </row>
    <row r="66107" spans="6:6" x14ac:dyDescent="0.3">
      <c r="F66107" s="193"/>
    </row>
    <row r="66108" spans="6:6" x14ac:dyDescent="0.3">
      <c r="F66108" s="193"/>
    </row>
    <row r="66109" spans="6:6" x14ac:dyDescent="0.3">
      <c r="F66109" s="193"/>
    </row>
    <row r="66110" spans="6:6" x14ac:dyDescent="0.3">
      <c r="F66110" s="193"/>
    </row>
    <row r="66111" spans="6:6" x14ac:dyDescent="0.3">
      <c r="F66111" s="193"/>
    </row>
    <row r="66112" spans="6:6" x14ac:dyDescent="0.3">
      <c r="F66112" s="193"/>
    </row>
    <row r="66113" spans="6:6" x14ac:dyDescent="0.3">
      <c r="F66113" s="193"/>
    </row>
    <row r="66114" spans="6:6" x14ac:dyDescent="0.3">
      <c r="F66114" s="193"/>
    </row>
    <row r="66115" spans="6:6" x14ac:dyDescent="0.3">
      <c r="F66115" s="193"/>
    </row>
    <row r="66116" spans="6:6" x14ac:dyDescent="0.3">
      <c r="F66116" s="193"/>
    </row>
    <row r="66117" spans="6:6" x14ac:dyDescent="0.3">
      <c r="F66117" s="193"/>
    </row>
    <row r="66118" spans="6:6" x14ac:dyDescent="0.3">
      <c r="F66118" s="193"/>
    </row>
    <row r="66119" spans="6:6" x14ac:dyDescent="0.3">
      <c r="F66119" s="193"/>
    </row>
    <row r="66120" spans="6:6" x14ac:dyDescent="0.3">
      <c r="F66120" s="193"/>
    </row>
    <row r="66121" spans="6:6" x14ac:dyDescent="0.3">
      <c r="F66121" s="193"/>
    </row>
    <row r="66122" spans="6:6" x14ac:dyDescent="0.3">
      <c r="F66122" s="193"/>
    </row>
    <row r="66123" spans="6:6" x14ac:dyDescent="0.3">
      <c r="F66123" s="193"/>
    </row>
    <row r="66124" spans="6:6" x14ac:dyDescent="0.3">
      <c r="F66124" s="193"/>
    </row>
    <row r="66125" spans="6:6" x14ac:dyDescent="0.3">
      <c r="F66125" s="193"/>
    </row>
    <row r="66126" spans="6:6" x14ac:dyDescent="0.3">
      <c r="F66126" s="193"/>
    </row>
    <row r="66127" spans="6:6" x14ac:dyDescent="0.3">
      <c r="F66127" s="193"/>
    </row>
    <row r="66128" spans="6:6" x14ac:dyDescent="0.3">
      <c r="F66128" s="193"/>
    </row>
    <row r="66129" spans="6:6" x14ac:dyDescent="0.3">
      <c r="F66129" s="193"/>
    </row>
    <row r="66130" spans="6:6" x14ac:dyDescent="0.3">
      <c r="F66130" s="193"/>
    </row>
    <row r="66131" spans="6:6" x14ac:dyDescent="0.3">
      <c r="F66131" s="193"/>
    </row>
    <row r="66132" spans="6:6" x14ac:dyDescent="0.3">
      <c r="F66132" s="193"/>
    </row>
    <row r="66133" spans="6:6" x14ac:dyDescent="0.3">
      <c r="F66133" s="193"/>
    </row>
    <row r="66134" spans="6:6" x14ac:dyDescent="0.3">
      <c r="F66134" s="193"/>
    </row>
    <row r="66135" spans="6:6" x14ac:dyDescent="0.3">
      <c r="F66135" s="193"/>
    </row>
    <row r="66136" spans="6:6" x14ac:dyDescent="0.3">
      <c r="F66136" s="193"/>
    </row>
    <row r="66137" spans="6:6" x14ac:dyDescent="0.3">
      <c r="F66137" s="193"/>
    </row>
    <row r="66138" spans="6:6" x14ac:dyDescent="0.3">
      <c r="F66138" s="193"/>
    </row>
    <row r="66139" spans="6:6" x14ac:dyDescent="0.3">
      <c r="F66139" s="193"/>
    </row>
    <row r="66140" spans="6:6" x14ac:dyDescent="0.3">
      <c r="F66140" s="193"/>
    </row>
    <row r="66141" spans="6:6" x14ac:dyDescent="0.3">
      <c r="F66141" s="193"/>
    </row>
    <row r="66142" spans="6:6" x14ac:dyDescent="0.3">
      <c r="F66142" s="193"/>
    </row>
    <row r="66143" spans="6:6" x14ac:dyDescent="0.3">
      <c r="F66143" s="193"/>
    </row>
    <row r="66144" spans="6:6" x14ac:dyDescent="0.3">
      <c r="F66144" s="193"/>
    </row>
    <row r="66145" spans="6:6" x14ac:dyDescent="0.3">
      <c r="F66145" s="193"/>
    </row>
    <row r="66146" spans="6:6" x14ac:dyDescent="0.3">
      <c r="F66146" s="193"/>
    </row>
    <row r="66147" spans="6:6" x14ac:dyDescent="0.3">
      <c r="F66147" s="193"/>
    </row>
    <row r="66148" spans="6:6" x14ac:dyDescent="0.3">
      <c r="F66148" s="193"/>
    </row>
    <row r="66149" spans="6:6" x14ac:dyDescent="0.3">
      <c r="F66149" s="193"/>
    </row>
    <row r="66150" spans="6:6" x14ac:dyDescent="0.3">
      <c r="F66150" s="193"/>
    </row>
    <row r="66151" spans="6:6" x14ac:dyDescent="0.3">
      <c r="F66151" s="193"/>
    </row>
    <row r="66152" spans="6:6" x14ac:dyDescent="0.3">
      <c r="F66152" s="193"/>
    </row>
    <row r="66153" spans="6:6" x14ac:dyDescent="0.3">
      <c r="F66153" s="193"/>
    </row>
    <row r="66154" spans="6:6" x14ac:dyDescent="0.3">
      <c r="F66154" s="193"/>
    </row>
    <row r="66155" spans="6:6" x14ac:dyDescent="0.3">
      <c r="F66155" s="193"/>
    </row>
    <row r="66156" spans="6:6" x14ac:dyDescent="0.3">
      <c r="F66156" s="193"/>
    </row>
    <row r="66157" spans="6:6" x14ac:dyDescent="0.3">
      <c r="F66157" s="193"/>
    </row>
    <row r="66158" spans="6:6" x14ac:dyDescent="0.3">
      <c r="F66158" s="193"/>
    </row>
    <row r="66159" spans="6:6" x14ac:dyDescent="0.3">
      <c r="F66159" s="193"/>
    </row>
    <row r="66160" spans="6:6" x14ac:dyDescent="0.3">
      <c r="F66160" s="193"/>
    </row>
    <row r="66161" spans="6:6" x14ac:dyDescent="0.3">
      <c r="F66161" s="193"/>
    </row>
    <row r="66162" spans="6:6" x14ac:dyDescent="0.3">
      <c r="F66162" s="193"/>
    </row>
    <row r="66163" spans="6:6" x14ac:dyDescent="0.3">
      <c r="F66163" s="193"/>
    </row>
    <row r="66164" spans="6:6" x14ac:dyDescent="0.3">
      <c r="F66164" s="193"/>
    </row>
    <row r="66165" spans="6:6" x14ac:dyDescent="0.3">
      <c r="F66165" s="193"/>
    </row>
    <row r="66166" spans="6:6" x14ac:dyDescent="0.3">
      <c r="F66166" s="193"/>
    </row>
    <row r="66167" spans="6:6" x14ac:dyDescent="0.3">
      <c r="F66167" s="193"/>
    </row>
    <row r="66168" spans="6:6" x14ac:dyDescent="0.3">
      <c r="F66168" s="193"/>
    </row>
    <row r="66169" spans="6:6" x14ac:dyDescent="0.3">
      <c r="F66169" s="193"/>
    </row>
    <row r="66170" spans="6:6" x14ac:dyDescent="0.3">
      <c r="F66170" s="193"/>
    </row>
    <row r="66171" spans="6:6" x14ac:dyDescent="0.3">
      <c r="F66171" s="193"/>
    </row>
    <row r="66172" spans="6:6" x14ac:dyDescent="0.3">
      <c r="F66172" s="193"/>
    </row>
    <row r="66173" spans="6:6" x14ac:dyDescent="0.3">
      <c r="F66173" s="193"/>
    </row>
    <row r="66174" spans="6:6" x14ac:dyDescent="0.3">
      <c r="F66174" s="193"/>
    </row>
    <row r="66175" spans="6:6" x14ac:dyDescent="0.3">
      <c r="F66175" s="193"/>
    </row>
    <row r="66176" spans="6:6" x14ac:dyDescent="0.3">
      <c r="F66176" s="193"/>
    </row>
    <row r="66177" spans="6:6" x14ac:dyDescent="0.3">
      <c r="F66177" s="193"/>
    </row>
    <row r="66178" spans="6:6" x14ac:dyDescent="0.3">
      <c r="F66178" s="193"/>
    </row>
    <row r="66179" spans="6:6" x14ac:dyDescent="0.3">
      <c r="F66179" s="193"/>
    </row>
    <row r="66180" spans="6:6" x14ac:dyDescent="0.3">
      <c r="F66180" s="193"/>
    </row>
    <row r="66181" spans="6:6" x14ac:dyDescent="0.3">
      <c r="F66181" s="193"/>
    </row>
    <row r="66182" spans="6:6" x14ac:dyDescent="0.3">
      <c r="F66182" s="193"/>
    </row>
    <row r="66183" spans="6:6" x14ac:dyDescent="0.3">
      <c r="F66183" s="193"/>
    </row>
    <row r="66184" spans="6:6" x14ac:dyDescent="0.3">
      <c r="F66184" s="193"/>
    </row>
    <row r="66185" spans="6:6" x14ac:dyDescent="0.3">
      <c r="F66185" s="193"/>
    </row>
    <row r="66186" spans="6:6" x14ac:dyDescent="0.3">
      <c r="F66186" s="193"/>
    </row>
    <row r="66187" spans="6:6" x14ac:dyDescent="0.3">
      <c r="F66187" s="193"/>
    </row>
    <row r="66188" spans="6:6" x14ac:dyDescent="0.3">
      <c r="F66188" s="193"/>
    </row>
    <row r="66189" spans="6:6" x14ac:dyDescent="0.3">
      <c r="F66189" s="193"/>
    </row>
    <row r="66190" spans="6:6" x14ac:dyDescent="0.3">
      <c r="F66190" s="193"/>
    </row>
    <row r="66191" spans="6:6" x14ac:dyDescent="0.3">
      <c r="F66191" s="193"/>
    </row>
    <row r="66192" spans="6:6" x14ac:dyDescent="0.3">
      <c r="F66192" s="193"/>
    </row>
    <row r="66193" spans="6:6" x14ac:dyDescent="0.3">
      <c r="F66193" s="193"/>
    </row>
    <row r="66194" spans="6:6" x14ac:dyDescent="0.3">
      <c r="F66194" s="193"/>
    </row>
    <row r="66195" spans="6:6" x14ac:dyDescent="0.3">
      <c r="F66195" s="193"/>
    </row>
    <row r="66196" spans="6:6" x14ac:dyDescent="0.3">
      <c r="F66196" s="193"/>
    </row>
    <row r="66197" spans="6:6" x14ac:dyDescent="0.3">
      <c r="F66197" s="193"/>
    </row>
    <row r="66198" spans="6:6" x14ac:dyDescent="0.3">
      <c r="F66198" s="193"/>
    </row>
    <row r="66199" spans="6:6" x14ac:dyDescent="0.3">
      <c r="F66199" s="193"/>
    </row>
    <row r="66200" spans="6:6" x14ac:dyDescent="0.3">
      <c r="F66200" s="193"/>
    </row>
    <row r="66201" spans="6:6" x14ac:dyDescent="0.3">
      <c r="F66201" s="193"/>
    </row>
    <row r="66202" spans="6:6" x14ac:dyDescent="0.3">
      <c r="F66202" s="193"/>
    </row>
    <row r="66203" spans="6:6" x14ac:dyDescent="0.3">
      <c r="F66203" s="193"/>
    </row>
    <row r="66204" spans="6:6" x14ac:dyDescent="0.3">
      <c r="F66204" s="193"/>
    </row>
    <row r="66205" spans="6:6" x14ac:dyDescent="0.3">
      <c r="F66205" s="193"/>
    </row>
    <row r="66206" spans="6:6" x14ac:dyDescent="0.3">
      <c r="F66206" s="193"/>
    </row>
    <row r="66207" spans="6:6" x14ac:dyDescent="0.3">
      <c r="F66207" s="193"/>
    </row>
    <row r="66208" spans="6:6" x14ac:dyDescent="0.3">
      <c r="F66208" s="193"/>
    </row>
    <row r="66209" spans="6:6" x14ac:dyDescent="0.3">
      <c r="F66209" s="193"/>
    </row>
    <row r="66210" spans="6:6" x14ac:dyDescent="0.3">
      <c r="F66210" s="193"/>
    </row>
    <row r="66211" spans="6:6" x14ac:dyDescent="0.3">
      <c r="F66211" s="193"/>
    </row>
    <row r="66212" spans="6:6" x14ac:dyDescent="0.3">
      <c r="F66212" s="193"/>
    </row>
    <row r="66213" spans="6:6" x14ac:dyDescent="0.3">
      <c r="F66213" s="193"/>
    </row>
    <row r="66214" spans="6:6" x14ac:dyDescent="0.3">
      <c r="F66214" s="193"/>
    </row>
    <row r="66215" spans="6:6" x14ac:dyDescent="0.3">
      <c r="F66215" s="193"/>
    </row>
    <row r="66216" spans="6:6" x14ac:dyDescent="0.3">
      <c r="F66216" s="193"/>
    </row>
    <row r="66217" spans="6:6" x14ac:dyDescent="0.3">
      <c r="F66217" s="193"/>
    </row>
    <row r="66218" spans="6:6" x14ac:dyDescent="0.3">
      <c r="F66218" s="193"/>
    </row>
    <row r="66219" spans="6:6" x14ac:dyDescent="0.3">
      <c r="F66219" s="193"/>
    </row>
    <row r="66220" spans="6:6" x14ac:dyDescent="0.3">
      <c r="F66220" s="193"/>
    </row>
    <row r="66221" spans="6:6" x14ac:dyDescent="0.3">
      <c r="F66221" s="193"/>
    </row>
    <row r="66222" spans="6:6" x14ac:dyDescent="0.3">
      <c r="F66222" s="193"/>
    </row>
    <row r="66223" spans="6:6" x14ac:dyDescent="0.3">
      <c r="F66223" s="193"/>
    </row>
    <row r="66224" spans="6:6" x14ac:dyDescent="0.3">
      <c r="F66224" s="193"/>
    </row>
    <row r="66225" spans="6:6" x14ac:dyDescent="0.3">
      <c r="F66225" s="193"/>
    </row>
    <row r="66226" spans="6:6" x14ac:dyDescent="0.3">
      <c r="F66226" s="193"/>
    </row>
    <row r="66227" spans="6:6" x14ac:dyDescent="0.3">
      <c r="F66227" s="193"/>
    </row>
    <row r="66228" spans="6:6" x14ac:dyDescent="0.3">
      <c r="F66228" s="193"/>
    </row>
    <row r="66229" spans="6:6" x14ac:dyDescent="0.3">
      <c r="F66229" s="193"/>
    </row>
    <row r="66230" spans="6:6" x14ac:dyDescent="0.3">
      <c r="F66230" s="193"/>
    </row>
    <row r="66231" spans="6:6" x14ac:dyDescent="0.3">
      <c r="F66231" s="193"/>
    </row>
    <row r="66232" spans="6:6" x14ac:dyDescent="0.3">
      <c r="F66232" s="193"/>
    </row>
    <row r="66233" spans="6:6" x14ac:dyDescent="0.3">
      <c r="F66233" s="193"/>
    </row>
    <row r="66234" spans="6:6" x14ac:dyDescent="0.3">
      <c r="F66234" s="193"/>
    </row>
    <row r="66235" spans="6:6" x14ac:dyDescent="0.3">
      <c r="F66235" s="193"/>
    </row>
    <row r="66236" spans="6:6" x14ac:dyDescent="0.3">
      <c r="F66236" s="193"/>
    </row>
    <row r="66237" spans="6:6" x14ac:dyDescent="0.3">
      <c r="F66237" s="193"/>
    </row>
    <row r="66238" spans="6:6" x14ac:dyDescent="0.3">
      <c r="F66238" s="193"/>
    </row>
    <row r="66239" spans="6:6" x14ac:dyDescent="0.3">
      <c r="F66239" s="193"/>
    </row>
    <row r="66240" spans="6:6" x14ac:dyDescent="0.3">
      <c r="F66240" s="193"/>
    </row>
    <row r="66241" spans="6:6" x14ac:dyDescent="0.3">
      <c r="F66241" s="193"/>
    </row>
    <row r="66242" spans="6:6" x14ac:dyDescent="0.3">
      <c r="F66242" s="193"/>
    </row>
    <row r="66243" spans="6:6" x14ac:dyDescent="0.3">
      <c r="F66243" s="193"/>
    </row>
    <row r="66244" spans="6:6" x14ac:dyDescent="0.3">
      <c r="F66244" s="193"/>
    </row>
    <row r="66245" spans="6:6" x14ac:dyDescent="0.3">
      <c r="F66245" s="193"/>
    </row>
    <row r="66246" spans="6:6" x14ac:dyDescent="0.3">
      <c r="F66246" s="193"/>
    </row>
    <row r="66247" spans="6:6" x14ac:dyDescent="0.3">
      <c r="F66247" s="193"/>
    </row>
    <row r="66248" spans="6:6" x14ac:dyDescent="0.3">
      <c r="F66248" s="193"/>
    </row>
    <row r="66249" spans="6:6" x14ac:dyDescent="0.3">
      <c r="F66249" s="193"/>
    </row>
    <row r="66250" spans="6:6" x14ac:dyDescent="0.3">
      <c r="F66250" s="193"/>
    </row>
    <row r="66251" spans="6:6" x14ac:dyDescent="0.3">
      <c r="F66251" s="193"/>
    </row>
    <row r="66252" spans="6:6" x14ac:dyDescent="0.3">
      <c r="F66252" s="193"/>
    </row>
    <row r="66253" spans="6:6" x14ac:dyDescent="0.3">
      <c r="F66253" s="193"/>
    </row>
    <row r="66254" spans="6:6" x14ac:dyDescent="0.3">
      <c r="F66254" s="193"/>
    </row>
    <row r="66255" spans="6:6" x14ac:dyDescent="0.3">
      <c r="F66255" s="193"/>
    </row>
    <row r="66256" spans="6:6" x14ac:dyDescent="0.3">
      <c r="F66256" s="193"/>
    </row>
    <row r="66257" spans="6:6" x14ac:dyDescent="0.3">
      <c r="F66257" s="193"/>
    </row>
    <row r="66258" spans="6:6" x14ac:dyDescent="0.3">
      <c r="F66258" s="193"/>
    </row>
    <row r="66259" spans="6:6" x14ac:dyDescent="0.3">
      <c r="F66259" s="193"/>
    </row>
    <row r="66260" spans="6:6" x14ac:dyDescent="0.3">
      <c r="F66260" s="193"/>
    </row>
    <row r="66261" spans="6:6" x14ac:dyDescent="0.3">
      <c r="F66261" s="193"/>
    </row>
    <row r="66262" spans="6:6" x14ac:dyDescent="0.3">
      <c r="F66262" s="193"/>
    </row>
    <row r="66263" spans="6:6" x14ac:dyDescent="0.3">
      <c r="F66263" s="193"/>
    </row>
    <row r="66264" spans="6:6" x14ac:dyDescent="0.3">
      <c r="F66264" s="193"/>
    </row>
    <row r="66265" spans="6:6" x14ac:dyDescent="0.3">
      <c r="F66265" s="193"/>
    </row>
    <row r="66266" spans="6:6" x14ac:dyDescent="0.3">
      <c r="F66266" s="193"/>
    </row>
    <row r="66267" spans="6:6" x14ac:dyDescent="0.3">
      <c r="F66267" s="193"/>
    </row>
    <row r="66268" spans="6:6" x14ac:dyDescent="0.3">
      <c r="F66268" s="193"/>
    </row>
    <row r="66269" spans="6:6" x14ac:dyDescent="0.3">
      <c r="F66269" s="193"/>
    </row>
    <row r="66270" spans="6:6" x14ac:dyDescent="0.3">
      <c r="F66270" s="193"/>
    </row>
    <row r="66271" spans="6:6" x14ac:dyDescent="0.3">
      <c r="F66271" s="193"/>
    </row>
    <row r="66272" spans="6:6" x14ac:dyDescent="0.3">
      <c r="F66272" s="193"/>
    </row>
    <row r="66273" spans="6:6" x14ac:dyDescent="0.3">
      <c r="F66273" s="193"/>
    </row>
    <row r="66274" spans="6:6" x14ac:dyDescent="0.3">
      <c r="F66274" s="193"/>
    </row>
    <row r="66275" spans="6:6" x14ac:dyDescent="0.3">
      <c r="F66275" s="193"/>
    </row>
    <row r="66276" spans="6:6" x14ac:dyDescent="0.3">
      <c r="F66276" s="193"/>
    </row>
    <row r="66277" spans="6:6" x14ac:dyDescent="0.3">
      <c r="F66277" s="193"/>
    </row>
    <row r="66278" spans="6:6" x14ac:dyDescent="0.3">
      <c r="F66278" s="193"/>
    </row>
    <row r="66279" spans="6:6" x14ac:dyDescent="0.3">
      <c r="F66279" s="193"/>
    </row>
    <row r="66280" spans="6:6" x14ac:dyDescent="0.3">
      <c r="F66280" s="193"/>
    </row>
    <row r="66281" spans="6:6" x14ac:dyDescent="0.3">
      <c r="F66281" s="193"/>
    </row>
    <row r="66282" spans="6:6" x14ac:dyDescent="0.3">
      <c r="F66282" s="193"/>
    </row>
    <row r="66283" spans="6:6" x14ac:dyDescent="0.3">
      <c r="F66283" s="193"/>
    </row>
    <row r="66284" spans="6:6" x14ac:dyDescent="0.3">
      <c r="F66284" s="193"/>
    </row>
    <row r="66285" spans="6:6" x14ac:dyDescent="0.3">
      <c r="F66285" s="193"/>
    </row>
    <row r="66286" spans="6:6" x14ac:dyDescent="0.3">
      <c r="F66286" s="193"/>
    </row>
    <row r="66287" spans="6:6" x14ac:dyDescent="0.3">
      <c r="F66287" s="193"/>
    </row>
    <row r="66288" spans="6:6" x14ac:dyDescent="0.3">
      <c r="F66288" s="193"/>
    </row>
    <row r="66289" spans="6:6" x14ac:dyDescent="0.3">
      <c r="F66289" s="193"/>
    </row>
    <row r="66290" spans="6:6" x14ac:dyDescent="0.3">
      <c r="F66290" s="193"/>
    </row>
    <row r="66291" spans="6:6" x14ac:dyDescent="0.3">
      <c r="F66291" s="193"/>
    </row>
    <row r="66292" spans="6:6" x14ac:dyDescent="0.3">
      <c r="F66292" s="193"/>
    </row>
    <row r="66293" spans="6:6" x14ac:dyDescent="0.3">
      <c r="F66293" s="193"/>
    </row>
    <row r="66294" spans="6:6" x14ac:dyDescent="0.3">
      <c r="F66294" s="193"/>
    </row>
    <row r="66295" spans="6:6" x14ac:dyDescent="0.3">
      <c r="F66295" s="193"/>
    </row>
    <row r="66296" spans="6:6" x14ac:dyDescent="0.3">
      <c r="F66296" s="193"/>
    </row>
    <row r="66297" spans="6:6" x14ac:dyDescent="0.3">
      <c r="F66297" s="193"/>
    </row>
    <row r="66298" spans="6:6" x14ac:dyDescent="0.3">
      <c r="F66298" s="193"/>
    </row>
    <row r="66299" spans="6:6" x14ac:dyDescent="0.3">
      <c r="F66299" s="193"/>
    </row>
    <row r="66300" spans="6:6" x14ac:dyDescent="0.3">
      <c r="F66300" s="193"/>
    </row>
    <row r="66301" spans="6:6" x14ac:dyDescent="0.3">
      <c r="F66301" s="193"/>
    </row>
    <row r="66302" spans="6:6" x14ac:dyDescent="0.3">
      <c r="F66302" s="193"/>
    </row>
    <row r="66303" spans="6:6" x14ac:dyDescent="0.3">
      <c r="F66303" s="193"/>
    </row>
    <row r="66304" spans="6:6" x14ac:dyDescent="0.3">
      <c r="F66304" s="193"/>
    </row>
    <row r="66305" spans="6:6" x14ac:dyDescent="0.3">
      <c r="F66305" s="193"/>
    </row>
    <row r="66306" spans="6:6" x14ac:dyDescent="0.3">
      <c r="F66306" s="193"/>
    </row>
    <row r="66307" spans="6:6" x14ac:dyDescent="0.3">
      <c r="F66307" s="193"/>
    </row>
    <row r="66308" spans="6:6" x14ac:dyDescent="0.3">
      <c r="F66308" s="193"/>
    </row>
    <row r="66309" spans="6:6" x14ac:dyDescent="0.3">
      <c r="F66309" s="193"/>
    </row>
    <row r="66310" spans="6:6" x14ac:dyDescent="0.3">
      <c r="F66310" s="193"/>
    </row>
    <row r="66311" spans="6:6" x14ac:dyDescent="0.3">
      <c r="F66311" s="193"/>
    </row>
    <row r="66312" spans="6:6" x14ac:dyDescent="0.3">
      <c r="F66312" s="193"/>
    </row>
    <row r="66313" spans="6:6" x14ac:dyDescent="0.3">
      <c r="F66313" s="193"/>
    </row>
    <row r="66314" spans="6:6" x14ac:dyDescent="0.3">
      <c r="F66314" s="193"/>
    </row>
    <row r="66315" spans="6:6" x14ac:dyDescent="0.3">
      <c r="F66315" s="193"/>
    </row>
    <row r="66316" spans="6:6" x14ac:dyDescent="0.3">
      <c r="F66316" s="193"/>
    </row>
    <row r="66317" spans="6:6" x14ac:dyDescent="0.3">
      <c r="F66317" s="193"/>
    </row>
    <row r="66318" spans="6:6" x14ac:dyDescent="0.3">
      <c r="F66318" s="193"/>
    </row>
    <row r="66319" spans="6:6" x14ac:dyDescent="0.3">
      <c r="F66319" s="193"/>
    </row>
    <row r="66320" spans="6:6" x14ac:dyDescent="0.3">
      <c r="F66320" s="193"/>
    </row>
    <row r="66321" spans="6:6" x14ac:dyDescent="0.3">
      <c r="F66321" s="193"/>
    </row>
    <row r="66322" spans="6:6" x14ac:dyDescent="0.3">
      <c r="F66322" s="193"/>
    </row>
    <row r="66323" spans="6:6" x14ac:dyDescent="0.3">
      <c r="F66323" s="193"/>
    </row>
    <row r="66324" spans="6:6" x14ac:dyDescent="0.3">
      <c r="F66324" s="193"/>
    </row>
    <row r="66325" spans="6:6" x14ac:dyDescent="0.3">
      <c r="F66325" s="193"/>
    </row>
    <row r="66326" spans="6:6" x14ac:dyDescent="0.3">
      <c r="F66326" s="193"/>
    </row>
    <row r="66327" spans="6:6" x14ac:dyDescent="0.3">
      <c r="F66327" s="193"/>
    </row>
    <row r="66328" spans="6:6" x14ac:dyDescent="0.3">
      <c r="F66328" s="193"/>
    </row>
    <row r="66329" spans="6:6" x14ac:dyDescent="0.3">
      <c r="F66329" s="193"/>
    </row>
    <row r="66330" spans="6:6" x14ac:dyDescent="0.3">
      <c r="F66330" s="193"/>
    </row>
    <row r="66331" spans="6:6" x14ac:dyDescent="0.3">
      <c r="F66331" s="193"/>
    </row>
    <row r="66332" spans="6:6" x14ac:dyDescent="0.3">
      <c r="F66332" s="193"/>
    </row>
    <row r="66333" spans="6:6" x14ac:dyDescent="0.3">
      <c r="F66333" s="193"/>
    </row>
    <row r="66334" spans="6:6" x14ac:dyDescent="0.3">
      <c r="F66334" s="193"/>
    </row>
    <row r="66335" spans="6:6" x14ac:dyDescent="0.3">
      <c r="F66335" s="193"/>
    </row>
    <row r="66336" spans="6:6" x14ac:dyDescent="0.3">
      <c r="F66336" s="193"/>
    </row>
    <row r="66337" spans="6:6" x14ac:dyDescent="0.3">
      <c r="F66337" s="193"/>
    </row>
    <row r="66338" spans="6:6" x14ac:dyDescent="0.3">
      <c r="F66338" s="193"/>
    </row>
    <row r="66339" spans="6:6" x14ac:dyDescent="0.3">
      <c r="F66339" s="193"/>
    </row>
    <row r="66340" spans="6:6" x14ac:dyDescent="0.3">
      <c r="F66340" s="193"/>
    </row>
    <row r="66341" spans="6:6" x14ac:dyDescent="0.3">
      <c r="F66341" s="193"/>
    </row>
    <row r="66342" spans="6:6" x14ac:dyDescent="0.3">
      <c r="F66342" s="193"/>
    </row>
    <row r="66343" spans="6:6" x14ac:dyDescent="0.3">
      <c r="F66343" s="193"/>
    </row>
    <row r="66344" spans="6:6" x14ac:dyDescent="0.3">
      <c r="F66344" s="193"/>
    </row>
    <row r="66345" spans="6:6" x14ac:dyDescent="0.3">
      <c r="F66345" s="193"/>
    </row>
    <row r="66346" spans="6:6" x14ac:dyDescent="0.3">
      <c r="F66346" s="193"/>
    </row>
    <row r="66347" spans="6:6" x14ac:dyDescent="0.3">
      <c r="F66347" s="193"/>
    </row>
    <row r="66348" spans="6:6" x14ac:dyDescent="0.3">
      <c r="F66348" s="193"/>
    </row>
    <row r="66349" spans="6:6" x14ac:dyDescent="0.3">
      <c r="F66349" s="193"/>
    </row>
    <row r="66350" spans="6:6" x14ac:dyDescent="0.3">
      <c r="F66350" s="193"/>
    </row>
    <row r="66351" spans="6:6" x14ac:dyDescent="0.3">
      <c r="F66351" s="193"/>
    </row>
    <row r="66352" spans="6:6" x14ac:dyDescent="0.3">
      <c r="F66352" s="193"/>
    </row>
    <row r="66353" spans="6:6" x14ac:dyDescent="0.3">
      <c r="F66353" s="193"/>
    </row>
    <row r="66354" spans="6:6" x14ac:dyDescent="0.3">
      <c r="F66354" s="193"/>
    </row>
    <row r="66355" spans="6:6" x14ac:dyDescent="0.3">
      <c r="F66355" s="193"/>
    </row>
    <row r="66356" spans="6:6" x14ac:dyDescent="0.3">
      <c r="F66356" s="193"/>
    </row>
    <row r="66357" spans="6:6" x14ac:dyDescent="0.3">
      <c r="F66357" s="193"/>
    </row>
    <row r="66358" spans="6:6" x14ac:dyDescent="0.3">
      <c r="F66358" s="193"/>
    </row>
    <row r="66359" spans="6:6" x14ac:dyDescent="0.3">
      <c r="F66359" s="193"/>
    </row>
    <row r="66360" spans="6:6" x14ac:dyDescent="0.3">
      <c r="F66360" s="193"/>
    </row>
    <row r="66361" spans="6:6" x14ac:dyDescent="0.3">
      <c r="F66361" s="193"/>
    </row>
    <row r="66362" spans="6:6" x14ac:dyDescent="0.3">
      <c r="F66362" s="193"/>
    </row>
    <row r="66363" spans="6:6" x14ac:dyDescent="0.3">
      <c r="F66363" s="193"/>
    </row>
    <row r="66364" spans="6:6" x14ac:dyDescent="0.3">
      <c r="F66364" s="193"/>
    </row>
    <row r="66365" spans="6:6" x14ac:dyDescent="0.3">
      <c r="F66365" s="193"/>
    </row>
    <row r="66366" spans="6:6" x14ac:dyDescent="0.3">
      <c r="F66366" s="193"/>
    </row>
    <row r="66367" spans="6:6" x14ac:dyDescent="0.3">
      <c r="F66367" s="193"/>
    </row>
    <row r="66368" spans="6:6" x14ac:dyDescent="0.3">
      <c r="F66368" s="193"/>
    </row>
    <row r="66369" spans="6:6" x14ac:dyDescent="0.3">
      <c r="F66369" s="193"/>
    </row>
    <row r="66370" spans="6:6" x14ac:dyDescent="0.3">
      <c r="F66370" s="193"/>
    </row>
    <row r="66371" spans="6:6" x14ac:dyDescent="0.3">
      <c r="F66371" s="193"/>
    </row>
    <row r="66372" spans="6:6" x14ac:dyDescent="0.3">
      <c r="F66372" s="193"/>
    </row>
    <row r="66373" spans="6:6" x14ac:dyDescent="0.3">
      <c r="F66373" s="193"/>
    </row>
    <row r="66374" spans="6:6" x14ac:dyDescent="0.3">
      <c r="F66374" s="193"/>
    </row>
    <row r="66375" spans="6:6" x14ac:dyDescent="0.3">
      <c r="F66375" s="193"/>
    </row>
    <row r="66376" spans="6:6" x14ac:dyDescent="0.3">
      <c r="F66376" s="193"/>
    </row>
    <row r="66377" spans="6:6" x14ac:dyDescent="0.3">
      <c r="F66377" s="193"/>
    </row>
    <row r="66378" spans="6:6" x14ac:dyDescent="0.3">
      <c r="F66378" s="193"/>
    </row>
    <row r="66379" spans="6:6" x14ac:dyDescent="0.3">
      <c r="F66379" s="193"/>
    </row>
    <row r="66380" spans="6:6" x14ac:dyDescent="0.3">
      <c r="F66380" s="193"/>
    </row>
    <row r="66381" spans="6:6" x14ac:dyDescent="0.3">
      <c r="F66381" s="193"/>
    </row>
    <row r="66382" spans="6:6" x14ac:dyDescent="0.3">
      <c r="F66382" s="193"/>
    </row>
    <row r="66383" spans="6:6" x14ac:dyDescent="0.3">
      <c r="F66383" s="193"/>
    </row>
    <row r="66384" spans="6:6" x14ac:dyDescent="0.3">
      <c r="F66384" s="193"/>
    </row>
    <row r="66385" spans="6:6" x14ac:dyDescent="0.3">
      <c r="F66385" s="193"/>
    </row>
    <row r="66386" spans="6:6" x14ac:dyDescent="0.3">
      <c r="F66386" s="193"/>
    </row>
    <row r="66387" spans="6:6" x14ac:dyDescent="0.3">
      <c r="F66387" s="193"/>
    </row>
    <row r="66388" spans="6:6" x14ac:dyDescent="0.3">
      <c r="F66388" s="193"/>
    </row>
    <row r="66389" spans="6:6" x14ac:dyDescent="0.3">
      <c r="F66389" s="193"/>
    </row>
    <row r="66390" spans="6:6" x14ac:dyDescent="0.3">
      <c r="F66390" s="193"/>
    </row>
    <row r="66391" spans="6:6" x14ac:dyDescent="0.3">
      <c r="F66391" s="193"/>
    </row>
    <row r="66392" spans="6:6" x14ac:dyDescent="0.3">
      <c r="F66392" s="193"/>
    </row>
    <row r="66393" spans="6:6" x14ac:dyDescent="0.3">
      <c r="F66393" s="193"/>
    </row>
    <row r="66394" spans="6:6" x14ac:dyDescent="0.3">
      <c r="F66394" s="193"/>
    </row>
    <row r="66395" spans="6:6" x14ac:dyDescent="0.3">
      <c r="F66395" s="193"/>
    </row>
    <row r="66396" spans="6:6" x14ac:dyDescent="0.3">
      <c r="F66396" s="193"/>
    </row>
    <row r="66397" spans="6:6" x14ac:dyDescent="0.3">
      <c r="F66397" s="193"/>
    </row>
    <row r="66398" spans="6:6" x14ac:dyDescent="0.3">
      <c r="F66398" s="193"/>
    </row>
    <row r="66399" spans="6:6" x14ac:dyDescent="0.3">
      <c r="F66399" s="193"/>
    </row>
    <row r="66400" spans="6:6" x14ac:dyDescent="0.3">
      <c r="F66400" s="193"/>
    </row>
    <row r="66401" spans="6:6" x14ac:dyDescent="0.3">
      <c r="F66401" s="193"/>
    </row>
    <row r="66402" spans="6:6" x14ac:dyDescent="0.3">
      <c r="F66402" s="193"/>
    </row>
    <row r="66403" spans="6:6" x14ac:dyDescent="0.3">
      <c r="F66403" s="193"/>
    </row>
    <row r="66404" spans="6:6" x14ac:dyDescent="0.3">
      <c r="F66404" s="193"/>
    </row>
    <row r="66405" spans="6:6" x14ac:dyDescent="0.3">
      <c r="F66405" s="193"/>
    </row>
    <row r="66406" spans="6:6" x14ac:dyDescent="0.3">
      <c r="F66406" s="193"/>
    </row>
    <row r="66407" spans="6:6" x14ac:dyDescent="0.3">
      <c r="F66407" s="193"/>
    </row>
    <row r="66408" spans="6:6" x14ac:dyDescent="0.3">
      <c r="F66408" s="193"/>
    </row>
    <row r="66409" spans="6:6" x14ac:dyDescent="0.3">
      <c r="F66409" s="193"/>
    </row>
    <row r="66410" spans="6:6" x14ac:dyDescent="0.3">
      <c r="F66410" s="193"/>
    </row>
    <row r="66411" spans="6:6" x14ac:dyDescent="0.3">
      <c r="F66411" s="193"/>
    </row>
    <row r="66412" spans="6:6" x14ac:dyDescent="0.3">
      <c r="F66412" s="193"/>
    </row>
    <row r="66413" spans="6:6" x14ac:dyDescent="0.3">
      <c r="F66413" s="193"/>
    </row>
    <row r="66414" spans="6:6" x14ac:dyDescent="0.3">
      <c r="F66414" s="193"/>
    </row>
    <row r="66415" spans="6:6" x14ac:dyDescent="0.3">
      <c r="F66415" s="193"/>
    </row>
    <row r="66416" spans="6:6" x14ac:dyDescent="0.3">
      <c r="F66416" s="193"/>
    </row>
    <row r="66417" spans="6:6" x14ac:dyDescent="0.3">
      <c r="F66417" s="193"/>
    </row>
    <row r="66418" spans="6:6" x14ac:dyDescent="0.3">
      <c r="F66418" s="193"/>
    </row>
    <row r="66419" spans="6:6" x14ac:dyDescent="0.3">
      <c r="F66419" s="193"/>
    </row>
    <row r="66420" spans="6:6" x14ac:dyDescent="0.3">
      <c r="F66420" s="193"/>
    </row>
    <row r="66421" spans="6:6" x14ac:dyDescent="0.3">
      <c r="F66421" s="193"/>
    </row>
    <row r="66422" spans="6:6" x14ac:dyDescent="0.3">
      <c r="F66422" s="193"/>
    </row>
    <row r="66423" spans="6:6" x14ac:dyDescent="0.3">
      <c r="F66423" s="193"/>
    </row>
    <row r="66424" spans="6:6" x14ac:dyDescent="0.3">
      <c r="F66424" s="193"/>
    </row>
    <row r="66425" spans="6:6" x14ac:dyDescent="0.3">
      <c r="F66425" s="193"/>
    </row>
    <row r="66426" spans="6:6" x14ac:dyDescent="0.3">
      <c r="F66426" s="193"/>
    </row>
    <row r="66427" spans="6:6" x14ac:dyDescent="0.3">
      <c r="F66427" s="193"/>
    </row>
    <row r="66428" spans="6:6" x14ac:dyDescent="0.3">
      <c r="F66428" s="193"/>
    </row>
    <row r="66429" spans="6:6" x14ac:dyDescent="0.3">
      <c r="F66429" s="193"/>
    </row>
    <row r="66430" spans="6:6" x14ac:dyDescent="0.3">
      <c r="F66430" s="193"/>
    </row>
    <row r="66431" spans="6:6" x14ac:dyDescent="0.3">
      <c r="F66431" s="193"/>
    </row>
    <row r="66432" spans="6:6" x14ac:dyDescent="0.3">
      <c r="F66432" s="193"/>
    </row>
    <row r="66433" spans="6:6" x14ac:dyDescent="0.3">
      <c r="F66433" s="193"/>
    </row>
    <row r="66434" spans="6:6" x14ac:dyDescent="0.3">
      <c r="F66434" s="193"/>
    </row>
    <row r="66435" spans="6:6" x14ac:dyDescent="0.3">
      <c r="F66435" s="193"/>
    </row>
    <row r="66436" spans="6:6" x14ac:dyDescent="0.3">
      <c r="F66436" s="193"/>
    </row>
    <row r="66437" spans="6:6" x14ac:dyDescent="0.3">
      <c r="F66437" s="193"/>
    </row>
    <row r="66438" spans="6:6" x14ac:dyDescent="0.3">
      <c r="F66438" s="193"/>
    </row>
    <row r="66439" spans="6:6" x14ac:dyDescent="0.3">
      <c r="F66439" s="193"/>
    </row>
    <row r="66440" spans="6:6" x14ac:dyDescent="0.3">
      <c r="F66440" s="193"/>
    </row>
    <row r="66441" spans="6:6" x14ac:dyDescent="0.3">
      <c r="F66441" s="193"/>
    </row>
    <row r="66442" spans="6:6" x14ac:dyDescent="0.3">
      <c r="F66442" s="193"/>
    </row>
    <row r="66443" spans="6:6" x14ac:dyDescent="0.3">
      <c r="F66443" s="193"/>
    </row>
    <row r="66444" spans="6:6" x14ac:dyDescent="0.3">
      <c r="F66444" s="193"/>
    </row>
    <row r="66445" spans="6:6" x14ac:dyDescent="0.3">
      <c r="F66445" s="193"/>
    </row>
    <row r="66446" spans="6:6" x14ac:dyDescent="0.3">
      <c r="F66446" s="193"/>
    </row>
    <row r="66447" spans="6:6" x14ac:dyDescent="0.3">
      <c r="F66447" s="193"/>
    </row>
    <row r="66448" spans="6:6" x14ac:dyDescent="0.3">
      <c r="F66448" s="193"/>
    </row>
    <row r="66449" spans="6:6" x14ac:dyDescent="0.3">
      <c r="F66449" s="193"/>
    </row>
    <row r="66450" spans="6:6" x14ac:dyDescent="0.3">
      <c r="F66450" s="193"/>
    </row>
    <row r="66451" spans="6:6" x14ac:dyDescent="0.3">
      <c r="F66451" s="193"/>
    </row>
    <row r="66452" spans="6:6" x14ac:dyDescent="0.3">
      <c r="F66452" s="193"/>
    </row>
    <row r="66453" spans="6:6" x14ac:dyDescent="0.3">
      <c r="F66453" s="193"/>
    </row>
    <row r="66454" spans="6:6" x14ac:dyDescent="0.3">
      <c r="F66454" s="193"/>
    </row>
    <row r="66455" spans="6:6" x14ac:dyDescent="0.3">
      <c r="F66455" s="193"/>
    </row>
    <row r="66456" spans="6:6" x14ac:dyDescent="0.3">
      <c r="F66456" s="193"/>
    </row>
    <row r="66457" spans="6:6" x14ac:dyDescent="0.3">
      <c r="F66457" s="193"/>
    </row>
    <row r="66458" spans="6:6" x14ac:dyDescent="0.3">
      <c r="F66458" s="193"/>
    </row>
    <row r="66459" spans="6:6" x14ac:dyDescent="0.3">
      <c r="F66459" s="193"/>
    </row>
    <row r="66460" spans="6:6" x14ac:dyDescent="0.3">
      <c r="F66460" s="193"/>
    </row>
    <row r="66461" spans="6:6" x14ac:dyDescent="0.3">
      <c r="F66461" s="193"/>
    </row>
    <row r="66462" spans="6:6" x14ac:dyDescent="0.3">
      <c r="F66462" s="193"/>
    </row>
    <row r="66463" spans="6:6" x14ac:dyDescent="0.3">
      <c r="F66463" s="193"/>
    </row>
    <row r="66464" spans="6:6" x14ac:dyDescent="0.3">
      <c r="F66464" s="193"/>
    </row>
    <row r="66465" spans="6:6" x14ac:dyDescent="0.3">
      <c r="F66465" s="193"/>
    </row>
    <row r="66466" spans="6:6" x14ac:dyDescent="0.3">
      <c r="F66466" s="193"/>
    </row>
    <row r="66467" spans="6:6" x14ac:dyDescent="0.3">
      <c r="F66467" s="193"/>
    </row>
    <row r="66468" spans="6:6" x14ac:dyDescent="0.3">
      <c r="F66468" s="193"/>
    </row>
    <row r="66469" spans="6:6" x14ac:dyDescent="0.3">
      <c r="F66469" s="193"/>
    </row>
    <row r="66470" spans="6:6" x14ac:dyDescent="0.3">
      <c r="F66470" s="193"/>
    </row>
    <row r="66471" spans="6:6" x14ac:dyDescent="0.3">
      <c r="F66471" s="193"/>
    </row>
    <row r="66472" spans="6:6" x14ac:dyDescent="0.3">
      <c r="F66472" s="193"/>
    </row>
    <row r="66473" spans="6:6" x14ac:dyDescent="0.3">
      <c r="F66473" s="193"/>
    </row>
    <row r="66474" spans="6:6" x14ac:dyDescent="0.3">
      <c r="F66474" s="193"/>
    </row>
    <row r="66475" spans="6:6" x14ac:dyDescent="0.3">
      <c r="F66475" s="193"/>
    </row>
    <row r="66476" spans="6:6" x14ac:dyDescent="0.3">
      <c r="F66476" s="193"/>
    </row>
    <row r="66477" spans="6:6" x14ac:dyDescent="0.3">
      <c r="F66477" s="193"/>
    </row>
    <row r="66478" spans="6:6" x14ac:dyDescent="0.3">
      <c r="F66478" s="193"/>
    </row>
    <row r="66479" spans="6:6" x14ac:dyDescent="0.3">
      <c r="F66479" s="193"/>
    </row>
    <row r="66480" spans="6:6" x14ac:dyDescent="0.3">
      <c r="F66480" s="193"/>
    </row>
    <row r="66481" spans="6:6" x14ac:dyDescent="0.3">
      <c r="F66481" s="193"/>
    </row>
    <row r="66482" spans="6:6" x14ac:dyDescent="0.3">
      <c r="F66482" s="193"/>
    </row>
    <row r="66483" spans="6:6" x14ac:dyDescent="0.3">
      <c r="F66483" s="193"/>
    </row>
    <row r="66484" spans="6:6" x14ac:dyDescent="0.3">
      <c r="F66484" s="193"/>
    </row>
    <row r="66485" spans="6:6" x14ac:dyDescent="0.3">
      <c r="F66485" s="193"/>
    </row>
    <row r="66486" spans="6:6" x14ac:dyDescent="0.3">
      <c r="F66486" s="193"/>
    </row>
    <row r="66487" spans="6:6" x14ac:dyDescent="0.3">
      <c r="F66487" s="193"/>
    </row>
    <row r="66488" spans="6:6" x14ac:dyDescent="0.3">
      <c r="F66488" s="193"/>
    </row>
    <row r="66489" spans="6:6" x14ac:dyDescent="0.3">
      <c r="F66489" s="193"/>
    </row>
    <row r="66490" spans="6:6" x14ac:dyDescent="0.3">
      <c r="F66490" s="193"/>
    </row>
    <row r="66491" spans="6:6" x14ac:dyDescent="0.3">
      <c r="F66491" s="193"/>
    </row>
    <row r="66492" spans="6:6" x14ac:dyDescent="0.3">
      <c r="F66492" s="193"/>
    </row>
    <row r="66493" spans="6:6" x14ac:dyDescent="0.3">
      <c r="F66493" s="193"/>
    </row>
    <row r="66494" spans="6:6" x14ac:dyDescent="0.3">
      <c r="F66494" s="193"/>
    </row>
    <row r="66495" spans="6:6" x14ac:dyDescent="0.3">
      <c r="F66495" s="193"/>
    </row>
    <row r="66496" spans="6:6" x14ac:dyDescent="0.3">
      <c r="F66496" s="193"/>
    </row>
    <row r="66497" spans="6:6" x14ac:dyDescent="0.3">
      <c r="F66497" s="193"/>
    </row>
    <row r="66498" spans="6:6" x14ac:dyDescent="0.3">
      <c r="F66498" s="193"/>
    </row>
    <row r="66499" spans="6:6" x14ac:dyDescent="0.3">
      <c r="F66499" s="193"/>
    </row>
    <row r="66500" spans="6:6" x14ac:dyDescent="0.3">
      <c r="F66500" s="193"/>
    </row>
    <row r="66501" spans="6:6" x14ac:dyDescent="0.3">
      <c r="F66501" s="193"/>
    </row>
    <row r="66502" spans="6:6" x14ac:dyDescent="0.3">
      <c r="F66502" s="193"/>
    </row>
    <row r="66503" spans="6:6" x14ac:dyDescent="0.3">
      <c r="F66503" s="193"/>
    </row>
    <row r="66504" spans="6:6" x14ac:dyDescent="0.3">
      <c r="F66504" s="193"/>
    </row>
    <row r="66505" spans="6:6" x14ac:dyDescent="0.3">
      <c r="F66505" s="193"/>
    </row>
    <row r="66506" spans="6:6" x14ac:dyDescent="0.3">
      <c r="F66506" s="193"/>
    </row>
    <row r="66507" spans="6:6" x14ac:dyDescent="0.3">
      <c r="F66507" s="193"/>
    </row>
    <row r="66508" spans="6:6" x14ac:dyDescent="0.3">
      <c r="F66508" s="193"/>
    </row>
    <row r="66509" spans="6:6" x14ac:dyDescent="0.3">
      <c r="F66509" s="193"/>
    </row>
    <row r="66510" spans="6:6" x14ac:dyDescent="0.3">
      <c r="F66510" s="193"/>
    </row>
    <row r="66511" spans="6:6" x14ac:dyDescent="0.3">
      <c r="F66511" s="193"/>
    </row>
    <row r="66512" spans="6:6" x14ac:dyDescent="0.3">
      <c r="F66512" s="193"/>
    </row>
    <row r="66513" spans="6:6" x14ac:dyDescent="0.3">
      <c r="F66513" s="193"/>
    </row>
    <row r="66514" spans="6:6" x14ac:dyDescent="0.3">
      <c r="F66514" s="193"/>
    </row>
    <row r="66515" spans="6:6" x14ac:dyDescent="0.3">
      <c r="F66515" s="193"/>
    </row>
    <row r="66516" spans="6:6" x14ac:dyDescent="0.3">
      <c r="F66516" s="193"/>
    </row>
    <row r="66517" spans="6:6" x14ac:dyDescent="0.3">
      <c r="F66517" s="193"/>
    </row>
    <row r="66518" spans="6:6" x14ac:dyDescent="0.3">
      <c r="F66518" s="193"/>
    </row>
    <row r="66519" spans="6:6" x14ac:dyDescent="0.3">
      <c r="F66519" s="193"/>
    </row>
    <row r="66520" spans="6:6" x14ac:dyDescent="0.3">
      <c r="F66520" s="193"/>
    </row>
    <row r="66521" spans="6:6" x14ac:dyDescent="0.3">
      <c r="F66521" s="193"/>
    </row>
    <row r="66522" spans="6:6" x14ac:dyDescent="0.3">
      <c r="F66522" s="193"/>
    </row>
    <row r="66523" spans="6:6" x14ac:dyDescent="0.3">
      <c r="F66523" s="193"/>
    </row>
    <row r="66524" spans="6:6" x14ac:dyDescent="0.3">
      <c r="F66524" s="193"/>
    </row>
    <row r="66525" spans="6:6" x14ac:dyDescent="0.3">
      <c r="F66525" s="193"/>
    </row>
    <row r="66526" spans="6:6" x14ac:dyDescent="0.3">
      <c r="F66526" s="193"/>
    </row>
    <row r="66527" spans="6:6" x14ac:dyDescent="0.3">
      <c r="F66527" s="193"/>
    </row>
    <row r="66528" spans="6:6" x14ac:dyDescent="0.3">
      <c r="F66528" s="193"/>
    </row>
    <row r="66529" spans="6:6" x14ac:dyDescent="0.3">
      <c r="F66529" s="193"/>
    </row>
    <row r="66530" spans="6:6" x14ac:dyDescent="0.3">
      <c r="F66530" s="193"/>
    </row>
    <row r="66531" spans="6:6" x14ac:dyDescent="0.3">
      <c r="F66531" s="193"/>
    </row>
    <row r="66532" spans="6:6" x14ac:dyDescent="0.3">
      <c r="F66532" s="193"/>
    </row>
    <row r="66533" spans="6:6" x14ac:dyDescent="0.3">
      <c r="F66533" s="193"/>
    </row>
    <row r="66534" spans="6:6" x14ac:dyDescent="0.3">
      <c r="F66534" s="193"/>
    </row>
    <row r="66535" spans="6:6" x14ac:dyDescent="0.3">
      <c r="F66535" s="193"/>
    </row>
    <row r="66536" spans="6:6" x14ac:dyDescent="0.3">
      <c r="F66536" s="193"/>
    </row>
    <row r="66537" spans="6:6" x14ac:dyDescent="0.3">
      <c r="F66537" s="193"/>
    </row>
    <row r="66538" spans="6:6" x14ac:dyDescent="0.3">
      <c r="F66538" s="193"/>
    </row>
    <row r="66539" spans="6:6" x14ac:dyDescent="0.3">
      <c r="F66539" s="193"/>
    </row>
    <row r="66540" spans="6:6" x14ac:dyDescent="0.3">
      <c r="F66540" s="193"/>
    </row>
    <row r="66541" spans="6:6" x14ac:dyDescent="0.3">
      <c r="F66541" s="193"/>
    </row>
    <row r="66542" spans="6:6" x14ac:dyDescent="0.3">
      <c r="F66542" s="193"/>
    </row>
    <row r="66543" spans="6:6" x14ac:dyDescent="0.3">
      <c r="F66543" s="193"/>
    </row>
    <row r="66544" spans="6:6" x14ac:dyDescent="0.3">
      <c r="F66544" s="193"/>
    </row>
    <row r="66545" spans="6:6" x14ac:dyDescent="0.3">
      <c r="F66545" s="193"/>
    </row>
    <row r="66546" spans="6:6" x14ac:dyDescent="0.3">
      <c r="F66546" s="193"/>
    </row>
    <row r="66547" spans="6:6" x14ac:dyDescent="0.3">
      <c r="F66547" s="193"/>
    </row>
    <row r="66548" spans="6:6" x14ac:dyDescent="0.3">
      <c r="F66548" s="193"/>
    </row>
    <row r="66549" spans="6:6" x14ac:dyDescent="0.3">
      <c r="F66549" s="193"/>
    </row>
    <row r="66550" spans="6:6" x14ac:dyDescent="0.3">
      <c r="F66550" s="193"/>
    </row>
    <row r="66551" spans="6:6" x14ac:dyDescent="0.3">
      <c r="F66551" s="193"/>
    </row>
    <row r="66552" spans="6:6" x14ac:dyDescent="0.3">
      <c r="F66552" s="193"/>
    </row>
    <row r="66553" spans="6:6" x14ac:dyDescent="0.3">
      <c r="F66553" s="193"/>
    </row>
    <row r="66554" spans="6:6" x14ac:dyDescent="0.3">
      <c r="F66554" s="193"/>
    </row>
    <row r="66555" spans="6:6" x14ac:dyDescent="0.3">
      <c r="F66555" s="193"/>
    </row>
    <row r="66556" spans="6:6" x14ac:dyDescent="0.3">
      <c r="F66556" s="193"/>
    </row>
    <row r="66557" spans="6:6" x14ac:dyDescent="0.3">
      <c r="F66557" s="193"/>
    </row>
    <row r="66558" spans="6:6" x14ac:dyDescent="0.3">
      <c r="F66558" s="193"/>
    </row>
    <row r="66559" spans="6:6" x14ac:dyDescent="0.3">
      <c r="F66559" s="193"/>
    </row>
    <row r="66560" spans="6:6" x14ac:dyDescent="0.3">
      <c r="F66560" s="193"/>
    </row>
    <row r="66561" spans="6:6" x14ac:dyDescent="0.3">
      <c r="F66561" s="193"/>
    </row>
    <row r="66562" spans="6:6" x14ac:dyDescent="0.3">
      <c r="F66562" s="193"/>
    </row>
    <row r="66563" spans="6:6" x14ac:dyDescent="0.3">
      <c r="F66563" s="193"/>
    </row>
    <row r="66564" spans="6:6" x14ac:dyDescent="0.3">
      <c r="F66564" s="193"/>
    </row>
    <row r="66565" spans="6:6" x14ac:dyDescent="0.3">
      <c r="F66565" s="193"/>
    </row>
    <row r="66566" spans="6:6" x14ac:dyDescent="0.3">
      <c r="F66566" s="193"/>
    </row>
    <row r="66567" spans="6:6" x14ac:dyDescent="0.3">
      <c r="F66567" s="193"/>
    </row>
    <row r="66568" spans="6:6" x14ac:dyDescent="0.3">
      <c r="F66568" s="193"/>
    </row>
    <row r="66569" spans="6:6" x14ac:dyDescent="0.3">
      <c r="F66569" s="193"/>
    </row>
    <row r="66570" spans="6:6" x14ac:dyDescent="0.3">
      <c r="F66570" s="193"/>
    </row>
    <row r="66571" spans="6:6" x14ac:dyDescent="0.3">
      <c r="F66571" s="193"/>
    </row>
    <row r="66572" spans="6:6" x14ac:dyDescent="0.3">
      <c r="F66572" s="193"/>
    </row>
    <row r="66573" spans="6:6" x14ac:dyDescent="0.3">
      <c r="F66573" s="193"/>
    </row>
    <row r="66574" spans="6:6" x14ac:dyDescent="0.3">
      <c r="F66574" s="193"/>
    </row>
    <row r="66575" spans="6:6" x14ac:dyDescent="0.3">
      <c r="F66575" s="193"/>
    </row>
    <row r="66576" spans="6:6" x14ac:dyDescent="0.3">
      <c r="F66576" s="193"/>
    </row>
    <row r="66577" spans="6:6" x14ac:dyDescent="0.3">
      <c r="F66577" s="193"/>
    </row>
    <row r="66578" spans="6:6" x14ac:dyDescent="0.3">
      <c r="F66578" s="193"/>
    </row>
    <row r="66579" spans="6:6" x14ac:dyDescent="0.3">
      <c r="F66579" s="193"/>
    </row>
    <row r="66580" spans="6:6" x14ac:dyDescent="0.3">
      <c r="F66580" s="193"/>
    </row>
    <row r="66581" spans="6:6" x14ac:dyDescent="0.3">
      <c r="F66581" s="193"/>
    </row>
    <row r="66582" spans="6:6" x14ac:dyDescent="0.3">
      <c r="F66582" s="193"/>
    </row>
    <row r="66583" spans="6:6" x14ac:dyDescent="0.3">
      <c r="F66583" s="193"/>
    </row>
    <row r="66584" spans="6:6" x14ac:dyDescent="0.3">
      <c r="F66584" s="193"/>
    </row>
    <row r="66585" spans="6:6" x14ac:dyDescent="0.3">
      <c r="F66585" s="193"/>
    </row>
    <row r="66586" spans="6:6" x14ac:dyDescent="0.3">
      <c r="F66586" s="193"/>
    </row>
    <row r="66587" spans="6:6" x14ac:dyDescent="0.3">
      <c r="F66587" s="193"/>
    </row>
    <row r="66588" spans="6:6" x14ac:dyDescent="0.3">
      <c r="F66588" s="193"/>
    </row>
    <row r="66589" spans="6:6" x14ac:dyDescent="0.3">
      <c r="F66589" s="193"/>
    </row>
    <row r="66590" spans="6:6" x14ac:dyDescent="0.3">
      <c r="F66590" s="193"/>
    </row>
    <row r="66591" spans="6:6" x14ac:dyDescent="0.3">
      <c r="F66591" s="193"/>
    </row>
    <row r="66592" spans="6:6" x14ac:dyDescent="0.3">
      <c r="F66592" s="193"/>
    </row>
    <row r="66593" spans="6:6" x14ac:dyDescent="0.3">
      <c r="F66593" s="193"/>
    </row>
    <row r="66594" spans="6:6" x14ac:dyDescent="0.3">
      <c r="F66594" s="193"/>
    </row>
    <row r="66595" spans="6:6" x14ac:dyDescent="0.3">
      <c r="F66595" s="193"/>
    </row>
    <row r="66596" spans="6:6" x14ac:dyDescent="0.3">
      <c r="F66596" s="193"/>
    </row>
    <row r="66597" spans="6:6" x14ac:dyDescent="0.3">
      <c r="F66597" s="193"/>
    </row>
    <row r="66598" spans="6:6" x14ac:dyDescent="0.3">
      <c r="F66598" s="193"/>
    </row>
    <row r="66599" spans="6:6" x14ac:dyDescent="0.3">
      <c r="F66599" s="193"/>
    </row>
    <row r="66600" spans="6:6" x14ac:dyDescent="0.3">
      <c r="F66600" s="193"/>
    </row>
    <row r="66601" spans="6:6" x14ac:dyDescent="0.3">
      <c r="F66601" s="193"/>
    </row>
    <row r="66602" spans="6:6" x14ac:dyDescent="0.3">
      <c r="F66602" s="193"/>
    </row>
    <row r="66603" spans="6:6" x14ac:dyDescent="0.3">
      <c r="F66603" s="193"/>
    </row>
    <row r="66604" spans="6:6" x14ac:dyDescent="0.3">
      <c r="F66604" s="193"/>
    </row>
    <row r="66605" spans="6:6" x14ac:dyDescent="0.3">
      <c r="F66605" s="193"/>
    </row>
    <row r="66606" spans="6:6" x14ac:dyDescent="0.3">
      <c r="F66606" s="193"/>
    </row>
    <row r="66607" spans="6:6" x14ac:dyDescent="0.3">
      <c r="F66607" s="193"/>
    </row>
    <row r="66608" spans="6:6" x14ac:dyDescent="0.3">
      <c r="F66608" s="193"/>
    </row>
    <row r="66609" spans="6:6" x14ac:dyDescent="0.3">
      <c r="F66609" s="193"/>
    </row>
    <row r="66610" spans="6:6" x14ac:dyDescent="0.3">
      <c r="F66610" s="193"/>
    </row>
    <row r="66611" spans="6:6" x14ac:dyDescent="0.3">
      <c r="F66611" s="193"/>
    </row>
    <row r="66612" spans="6:6" x14ac:dyDescent="0.3">
      <c r="F66612" s="193"/>
    </row>
    <row r="66613" spans="6:6" x14ac:dyDescent="0.3">
      <c r="F66613" s="193"/>
    </row>
    <row r="66614" spans="6:6" x14ac:dyDescent="0.3">
      <c r="F66614" s="193"/>
    </row>
    <row r="66615" spans="6:6" x14ac:dyDescent="0.3">
      <c r="F66615" s="193"/>
    </row>
    <row r="66616" spans="6:6" x14ac:dyDescent="0.3">
      <c r="F66616" s="193"/>
    </row>
    <row r="66617" spans="6:6" x14ac:dyDescent="0.3">
      <c r="F66617" s="193"/>
    </row>
    <row r="66618" spans="6:6" x14ac:dyDescent="0.3">
      <c r="F66618" s="193"/>
    </row>
    <row r="66619" spans="6:6" x14ac:dyDescent="0.3">
      <c r="F66619" s="193"/>
    </row>
    <row r="66620" spans="6:6" x14ac:dyDescent="0.3">
      <c r="F66620" s="193"/>
    </row>
    <row r="66621" spans="6:6" x14ac:dyDescent="0.3">
      <c r="F66621" s="193"/>
    </row>
    <row r="66622" spans="6:6" x14ac:dyDescent="0.3">
      <c r="F66622" s="193"/>
    </row>
    <row r="66623" spans="6:6" x14ac:dyDescent="0.3">
      <c r="F66623" s="193"/>
    </row>
    <row r="66624" spans="6:6" x14ac:dyDescent="0.3">
      <c r="F66624" s="193"/>
    </row>
    <row r="66625" spans="6:6" x14ac:dyDescent="0.3">
      <c r="F66625" s="193"/>
    </row>
    <row r="66626" spans="6:6" x14ac:dyDescent="0.3">
      <c r="F66626" s="193"/>
    </row>
    <row r="66627" spans="6:6" x14ac:dyDescent="0.3">
      <c r="F66627" s="193"/>
    </row>
    <row r="66628" spans="6:6" x14ac:dyDescent="0.3">
      <c r="F66628" s="193"/>
    </row>
    <row r="66629" spans="6:6" x14ac:dyDescent="0.3">
      <c r="F66629" s="193"/>
    </row>
    <row r="66630" spans="6:6" x14ac:dyDescent="0.3">
      <c r="F66630" s="193"/>
    </row>
    <row r="66631" spans="6:6" x14ac:dyDescent="0.3">
      <c r="F66631" s="193"/>
    </row>
    <row r="66632" spans="6:6" x14ac:dyDescent="0.3">
      <c r="F66632" s="193"/>
    </row>
    <row r="66633" spans="6:6" x14ac:dyDescent="0.3">
      <c r="F66633" s="193"/>
    </row>
    <row r="66634" spans="6:6" x14ac:dyDescent="0.3">
      <c r="F66634" s="193"/>
    </row>
    <row r="66635" spans="6:6" x14ac:dyDescent="0.3">
      <c r="F66635" s="193"/>
    </row>
    <row r="66636" spans="6:6" x14ac:dyDescent="0.3">
      <c r="F66636" s="193"/>
    </row>
    <row r="66637" spans="6:6" x14ac:dyDescent="0.3">
      <c r="F66637" s="193"/>
    </row>
    <row r="66638" spans="6:6" x14ac:dyDescent="0.3">
      <c r="F66638" s="193"/>
    </row>
    <row r="66639" spans="6:6" x14ac:dyDescent="0.3">
      <c r="F66639" s="193"/>
    </row>
    <row r="66640" spans="6:6" x14ac:dyDescent="0.3">
      <c r="F66640" s="193"/>
    </row>
    <row r="66641" spans="6:6" x14ac:dyDescent="0.3">
      <c r="F66641" s="193"/>
    </row>
    <row r="66642" spans="6:6" x14ac:dyDescent="0.3">
      <c r="F66642" s="193"/>
    </row>
    <row r="66643" spans="6:6" x14ac:dyDescent="0.3">
      <c r="F66643" s="193"/>
    </row>
    <row r="66644" spans="6:6" x14ac:dyDescent="0.3">
      <c r="F66644" s="193"/>
    </row>
    <row r="66645" spans="6:6" x14ac:dyDescent="0.3">
      <c r="F66645" s="193"/>
    </row>
    <row r="66646" spans="6:6" x14ac:dyDescent="0.3">
      <c r="F66646" s="193"/>
    </row>
    <row r="66647" spans="6:6" x14ac:dyDescent="0.3">
      <c r="F66647" s="193"/>
    </row>
    <row r="66648" spans="6:6" x14ac:dyDescent="0.3">
      <c r="F66648" s="193"/>
    </row>
    <row r="66649" spans="6:6" x14ac:dyDescent="0.3">
      <c r="F66649" s="193"/>
    </row>
    <row r="66650" spans="6:6" x14ac:dyDescent="0.3">
      <c r="F66650" s="193"/>
    </row>
    <row r="66651" spans="6:6" x14ac:dyDescent="0.3">
      <c r="F66651" s="193"/>
    </row>
    <row r="66652" spans="6:6" x14ac:dyDescent="0.3">
      <c r="F66652" s="193"/>
    </row>
    <row r="66653" spans="6:6" x14ac:dyDescent="0.3">
      <c r="F66653" s="193"/>
    </row>
    <row r="66654" spans="6:6" x14ac:dyDescent="0.3">
      <c r="F66654" s="193"/>
    </row>
    <row r="66655" spans="6:6" x14ac:dyDescent="0.3">
      <c r="F66655" s="193"/>
    </row>
    <row r="66656" spans="6:6" x14ac:dyDescent="0.3">
      <c r="F66656" s="193"/>
    </row>
    <row r="66657" spans="6:6" x14ac:dyDescent="0.3">
      <c r="F66657" s="193"/>
    </row>
    <row r="66658" spans="6:6" x14ac:dyDescent="0.3">
      <c r="F66658" s="193"/>
    </row>
    <row r="66659" spans="6:6" x14ac:dyDescent="0.3">
      <c r="F66659" s="193"/>
    </row>
    <row r="66660" spans="6:6" x14ac:dyDescent="0.3">
      <c r="F66660" s="193"/>
    </row>
    <row r="66661" spans="6:6" x14ac:dyDescent="0.3">
      <c r="F66661" s="193"/>
    </row>
    <row r="66662" spans="6:6" x14ac:dyDescent="0.3">
      <c r="F66662" s="193"/>
    </row>
    <row r="66663" spans="6:6" x14ac:dyDescent="0.3">
      <c r="F66663" s="193"/>
    </row>
    <row r="66664" spans="6:6" x14ac:dyDescent="0.3">
      <c r="F66664" s="193"/>
    </row>
    <row r="66665" spans="6:6" x14ac:dyDescent="0.3">
      <c r="F66665" s="193"/>
    </row>
    <row r="66666" spans="6:6" x14ac:dyDescent="0.3">
      <c r="F66666" s="193"/>
    </row>
    <row r="66667" spans="6:6" x14ac:dyDescent="0.3">
      <c r="F66667" s="193"/>
    </row>
    <row r="66668" spans="6:6" x14ac:dyDescent="0.3">
      <c r="F66668" s="193"/>
    </row>
    <row r="66669" spans="6:6" x14ac:dyDescent="0.3">
      <c r="F66669" s="193"/>
    </row>
    <row r="66670" spans="6:6" x14ac:dyDescent="0.3">
      <c r="F66670" s="193"/>
    </row>
    <row r="66671" spans="6:6" x14ac:dyDescent="0.3">
      <c r="F66671" s="193"/>
    </row>
    <row r="66672" spans="6:6" x14ac:dyDescent="0.3">
      <c r="F66672" s="193"/>
    </row>
    <row r="66673" spans="6:6" x14ac:dyDescent="0.3">
      <c r="F66673" s="193"/>
    </row>
    <row r="66674" spans="6:6" x14ac:dyDescent="0.3">
      <c r="F66674" s="193"/>
    </row>
    <row r="66675" spans="6:6" x14ac:dyDescent="0.3">
      <c r="F66675" s="193"/>
    </row>
    <row r="66676" spans="6:6" x14ac:dyDescent="0.3">
      <c r="F66676" s="193"/>
    </row>
    <row r="66677" spans="6:6" x14ac:dyDescent="0.3">
      <c r="F66677" s="193"/>
    </row>
    <row r="66678" spans="6:6" x14ac:dyDescent="0.3">
      <c r="F66678" s="193"/>
    </row>
    <row r="66679" spans="6:6" x14ac:dyDescent="0.3">
      <c r="F66679" s="193"/>
    </row>
    <row r="66680" spans="6:6" x14ac:dyDescent="0.3">
      <c r="F66680" s="193"/>
    </row>
    <row r="66681" spans="6:6" x14ac:dyDescent="0.3">
      <c r="F66681" s="193"/>
    </row>
    <row r="66682" spans="6:6" x14ac:dyDescent="0.3">
      <c r="F66682" s="193"/>
    </row>
    <row r="66683" spans="6:6" x14ac:dyDescent="0.3">
      <c r="F66683" s="193"/>
    </row>
    <row r="66684" spans="6:6" x14ac:dyDescent="0.3">
      <c r="F66684" s="193"/>
    </row>
    <row r="66685" spans="6:6" x14ac:dyDescent="0.3">
      <c r="F66685" s="193"/>
    </row>
    <row r="66686" spans="6:6" x14ac:dyDescent="0.3">
      <c r="F66686" s="193"/>
    </row>
    <row r="66687" spans="6:6" x14ac:dyDescent="0.3">
      <c r="F66687" s="193"/>
    </row>
    <row r="66688" spans="6:6" x14ac:dyDescent="0.3">
      <c r="F66688" s="193"/>
    </row>
    <row r="66689" spans="6:6" x14ac:dyDescent="0.3">
      <c r="F66689" s="193"/>
    </row>
    <row r="66690" spans="6:6" x14ac:dyDescent="0.3">
      <c r="F66690" s="193"/>
    </row>
    <row r="66691" spans="6:6" x14ac:dyDescent="0.3">
      <c r="F66691" s="193"/>
    </row>
    <row r="66692" spans="6:6" x14ac:dyDescent="0.3">
      <c r="F66692" s="193"/>
    </row>
    <row r="66693" spans="6:6" x14ac:dyDescent="0.3">
      <c r="F66693" s="193"/>
    </row>
    <row r="66694" spans="6:6" x14ac:dyDescent="0.3">
      <c r="F66694" s="193"/>
    </row>
    <row r="66695" spans="6:6" x14ac:dyDescent="0.3">
      <c r="F66695" s="193"/>
    </row>
    <row r="66696" spans="6:6" x14ac:dyDescent="0.3">
      <c r="F66696" s="193"/>
    </row>
    <row r="66697" spans="6:6" x14ac:dyDescent="0.3">
      <c r="F66697" s="193"/>
    </row>
    <row r="66698" spans="6:6" x14ac:dyDescent="0.3">
      <c r="F66698" s="193"/>
    </row>
    <row r="66699" spans="6:6" x14ac:dyDescent="0.3">
      <c r="F66699" s="193"/>
    </row>
    <row r="66700" spans="6:6" x14ac:dyDescent="0.3">
      <c r="F66700" s="193"/>
    </row>
    <row r="66701" spans="6:6" x14ac:dyDescent="0.3">
      <c r="F66701" s="193"/>
    </row>
    <row r="66702" spans="6:6" x14ac:dyDescent="0.3">
      <c r="F66702" s="193"/>
    </row>
    <row r="66703" spans="6:6" x14ac:dyDescent="0.3">
      <c r="F66703" s="193"/>
    </row>
    <row r="66704" spans="6:6" x14ac:dyDescent="0.3">
      <c r="F66704" s="193"/>
    </row>
    <row r="66705" spans="6:6" x14ac:dyDescent="0.3">
      <c r="F66705" s="193"/>
    </row>
    <row r="66706" spans="6:6" x14ac:dyDescent="0.3">
      <c r="F66706" s="193"/>
    </row>
    <row r="66707" spans="6:6" x14ac:dyDescent="0.3">
      <c r="F66707" s="193"/>
    </row>
    <row r="66708" spans="6:6" x14ac:dyDescent="0.3">
      <c r="F66708" s="193"/>
    </row>
    <row r="66709" spans="6:6" x14ac:dyDescent="0.3">
      <c r="F66709" s="193"/>
    </row>
    <row r="66710" spans="6:6" x14ac:dyDescent="0.3">
      <c r="F66710" s="193"/>
    </row>
    <row r="66711" spans="6:6" x14ac:dyDescent="0.3">
      <c r="F66711" s="193"/>
    </row>
    <row r="66712" spans="6:6" x14ac:dyDescent="0.3">
      <c r="F66712" s="193"/>
    </row>
    <row r="66713" spans="6:6" x14ac:dyDescent="0.3">
      <c r="F66713" s="193"/>
    </row>
    <row r="66714" spans="6:6" x14ac:dyDescent="0.3">
      <c r="F66714" s="193"/>
    </row>
    <row r="66715" spans="6:6" x14ac:dyDescent="0.3">
      <c r="F66715" s="193"/>
    </row>
    <row r="66716" spans="6:6" x14ac:dyDescent="0.3">
      <c r="F66716" s="193"/>
    </row>
    <row r="66717" spans="6:6" x14ac:dyDescent="0.3">
      <c r="F66717" s="193"/>
    </row>
    <row r="66718" spans="6:6" x14ac:dyDescent="0.3">
      <c r="F66718" s="193"/>
    </row>
    <row r="66719" spans="6:6" x14ac:dyDescent="0.3">
      <c r="F66719" s="193"/>
    </row>
    <row r="66720" spans="6:6" x14ac:dyDescent="0.3">
      <c r="F66720" s="193"/>
    </row>
    <row r="66721" spans="6:6" x14ac:dyDescent="0.3">
      <c r="F66721" s="193"/>
    </row>
    <row r="66722" spans="6:6" x14ac:dyDescent="0.3">
      <c r="F66722" s="193"/>
    </row>
    <row r="66723" spans="6:6" x14ac:dyDescent="0.3">
      <c r="F66723" s="193"/>
    </row>
    <row r="66724" spans="6:6" x14ac:dyDescent="0.3">
      <c r="F66724" s="193"/>
    </row>
    <row r="66725" spans="6:6" x14ac:dyDescent="0.3">
      <c r="F66725" s="193"/>
    </row>
    <row r="66726" spans="6:6" x14ac:dyDescent="0.3">
      <c r="F66726" s="193"/>
    </row>
    <row r="66727" spans="6:6" x14ac:dyDescent="0.3">
      <c r="F66727" s="193"/>
    </row>
    <row r="66728" spans="6:6" x14ac:dyDescent="0.3">
      <c r="F66728" s="193"/>
    </row>
    <row r="66729" spans="6:6" x14ac:dyDescent="0.3">
      <c r="F66729" s="193"/>
    </row>
    <row r="66730" spans="6:6" x14ac:dyDescent="0.3">
      <c r="F66730" s="193"/>
    </row>
    <row r="66731" spans="6:6" x14ac:dyDescent="0.3">
      <c r="F66731" s="193"/>
    </row>
    <row r="66732" spans="6:6" x14ac:dyDescent="0.3">
      <c r="F66732" s="193"/>
    </row>
    <row r="66733" spans="6:6" x14ac:dyDescent="0.3">
      <c r="F66733" s="193"/>
    </row>
    <row r="66734" spans="6:6" x14ac:dyDescent="0.3">
      <c r="F66734" s="193"/>
    </row>
    <row r="66735" spans="6:6" x14ac:dyDescent="0.3">
      <c r="F66735" s="193"/>
    </row>
    <row r="66736" spans="6:6" x14ac:dyDescent="0.3">
      <c r="F66736" s="193"/>
    </row>
    <row r="66737" spans="6:6" x14ac:dyDescent="0.3">
      <c r="F66737" s="193"/>
    </row>
    <row r="66738" spans="6:6" x14ac:dyDescent="0.3">
      <c r="F66738" s="193"/>
    </row>
    <row r="66739" spans="6:6" x14ac:dyDescent="0.3">
      <c r="F66739" s="193"/>
    </row>
    <row r="66740" spans="6:6" x14ac:dyDescent="0.3">
      <c r="F66740" s="193"/>
    </row>
    <row r="66741" spans="6:6" x14ac:dyDescent="0.3">
      <c r="F66741" s="193"/>
    </row>
    <row r="66742" spans="6:6" x14ac:dyDescent="0.3">
      <c r="F66742" s="193"/>
    </row>
    <row r="66743" spans="6:6" x14ac:dyDescent="0.3">
      <c r="F66743" s="193"/>
    </row>
    <row r="66744" spans="6:6" x14ac:dyDescent="0.3">
      <c r="F66744" s="193"/>
    </row>
    <row r="66745" spans="6:6" x14ac:dyDescent="0.3">
      <c r="F66745" s="193"/>
    </row>
    <row r="66746" spans="6:6" x14ac:dyDescent="0.3">
      <c r="F66746" s="193"/>
    </row>
    <row r="66747" spans="6:6" x14ac:dyDescent="0.3">
      <c r="F66747" s="193"/>
    </row>
    <row r="66748" spans="6:6" x14ac:dyDescent="0.3">
      <c r="F66748" s="193"/>
    </row>
    <row r="66749" spans="6:6" x14ac:dyDescent="0.3">
      <c r="F66749" s="193"/>
    </row>
    <row r="66750" spans="6:6" x14ac:dyDescent="0.3">
      <c r="F66750" s="193"/>
    </row>
    <row r="66751" spans="6:6" x14ac:dyDescent="0.3">
      <c r="F66751" s="193"/>
    </row>
    <row r="66752" spans="6:6" x14ac:dyDescent="0.3">
      <c r="F66752" s="193"/>
    </row>
    <row r="66753" spans="6:6" x14ac:dyDescent="0.3">
      <c r="F66753" s="193"/>
    </row>
    <row r="66754" spans="6:6" x14ac:dyDescent="0.3">
      <c r="F66754" s="193"/>
    </row>
    <row r="66755" spans="6:6" x14ac:dyDescent="0.3">
      <c r="F66755" s="193"/>
    </row>
    <row r="66756" spans="6:6" x14ac:dyDescent="0.3">
      <c r="F66756" s="193"/>
    </row>
    <row r="66757" spans="6:6" x14ac:dyDescent="0.3">
      <c r="F66757" s="193"/>
    </row>
    <row r="66758" spans="6:6" x14ac:dyDescent="0.3">
      <c r="F66758" s="193"/>
    </row>
    <row r="66759" spans="6:6" x14ac:dyDescent="0.3">
      <c r="F66759" s="193"/>
    </row>
    <row r="66760" spans="6:6" x14ac:dyDescent="0.3">
      <c r="F66760" s="193"/>
    </row>
    <row r="66761" spans="6:6" x14ac:dyDescent="0.3">
      <c r="F66761" s="193"/>
    </row>
    <row r="66762" spans="6:6" x14ac:dyDescent="0.3">
      <c r="F66762" s="193"/>
    </row>
    <row r="66763" spans="6:6" x14ac:dyDescent="0.3">
      <c r="F66763" s="193"/>
    </row>
    <row r="66764" spans="6:6" x14ac:dyDescent="0.3">
      <c r="F66764" s="193"/>
    </row>
    <row r="66765" spans="6:6" x14ac:dyDescent="0.3">
      <c r="F66765" s="193"/>
    </row>
    <row r="66766" spans="6:6" x14ac:dyDescent="0.3">
      <c r="F66766" s="193"/>
    </row>
    <row r="66767" spans="6:6" x14ac:dyDescent="0.3">
      <c r="F66767" s="193"/>
    </row>
    <row r="66768" spans="6:6" x14ac:dyDescent="0.3">
      <c r="F66768" s="193"/>
    </row>
    <row r="66769" spans="6:6" x14ac:dyDescent="0.3">
      <c r="F66769" s="193"/>
    </row>
    <row r="66770" spans="6:6" x14ac:dyDescent="0.3">
      <c r="F66770" s="193"/>
    </row>
    <row r="66771" spans="6:6" x14ac:dyDescent="0.3">
      <c r="F66771" s="193"/>
    </row>
    <row r="66772" spans="6:6" x14ac:dyDescent="0.3">
      <c r="F66772" s="193"/>
    </row>
    <row r="66773" spans="6:6" x14ac:dyDescent="0.3">
      <c r="F66773" s="193"/>
    </row>
    <row r="66774" spans="6:6" x14ac:dyDescent="0.3">
      <c r="F66774" s="193"/>
    </row>
    <row r="66775" spans="6:6" x14ac:dyDescent="0.3">
      <c r="F66775" s="193"/>
    </row>
    <row r="66776" spans="6:6" x14ac:dyDescent="0.3">
      <c r="F66776" s="193"/>
    </row>
    <row r="66777" spans="6:6" x14ac:dyDescent="0.3">
      <c r="F66777" s="193"/>
    </row>
    <row r="66778" spans="6:6" x14ac:dyDescent="0.3">
      <c r="F66778" s="193"/>
    </row>
    <row r="66779" spans="6:6" x14ac:dyDescent="0.3">
      <c r="F66779" s="193"/>
    </row>
    <row r="66780" spans="6:6" x14ac:dyDescent="0.3">
      <c r="F66780" s="193"/>
    </row>
    <row r="66781" spans="6:6" x14ac:dyDescent="0.3">
      <c r="F66781" s="193"/>
    </row>
    <row r="66782" spans="6:6" x14ac:dyDescent="0.3">
      <c r="F66782" s="193"/>
    </row>
    <row r="66783" spans="6:6" x14ac:dyDescent="0.3">
      <c r="F66783" s="193"/>
    </row>
    <row r="66784" spans="6:6" x14ac:dyDescent="0.3">
      <c r="F66784" s="193"/>
    </row>
    <row r="66785" spans="6:6" x14ac:dyDescent="0.3">
      <c r="F66785" s="193"/>
    </row>
    <row r="66786" spans="6:6" x14ac:dyDescent="0.3">
      <c r="F66786" s="193"/>
    </row>
    <row r="66787" spans="6:6" x14ac:dyDescent="0.3">
      <c r="F66787" s="193"/>
    </row>
    <row r="66788" spans="6:6" x14ac:dyDescent="0.3">
      <c r="F66788" s="193"/>
    </row>
    <row r="66789" spans="6:6" x14ac:dyDescent="0.3">
      <c r="F66789" s="193"/>
    </row>
    <row r="66790" spans="6:6" x14ac:dyDescent="0.3">
      <c r="F66790" s="193"/>
    </row>
    <row r="66791" spans="6:6" x14ac:dyDescent="0.3">
      <c r="F66791" s="193"/>
    </row>
    <row r="66792" spans="6:6" x14ac:dyDescent="0.3">
      <c r="F66792" s="193"/>
    </row>
    <row r="66793" spans="6:6" x14ac:dyDescent="0.3">
      <c r="F66793" s="193"/>
    </row>
    <row r="66794" spans="6:6" x14ac:dyDescent="0.3">
      <c r="F66794" s="193"/>
    </row>
    <row r="66795" spans="6:6" x14ac:dyDescent="0.3">
      <c r="F66795" s="193"/>
    </row>
    <row r="66796" spans="6:6" x14ac:dyDescent="0.3">
      <c r="F66796" s="193"/>
    </row>
    <row r="66797" spans="6:6" x14ac:dyDescent="0.3">
      <c r="F66797" s="193"/>
    </row>
    <row r="66798" spans="6:6" x14ac:dyDescent="0.3">
      <c r="F66798" s="193"/>
    </row>
    <row r="66799" spans="6:6" x14ac:dyDescent="0.3">
      <c r="F66799" s="193"/>
    </row>
    <row r="66800" spans="6:6" x14ac:dyDescent="0.3">
      <c r="F66800" s="193"/>
    </row>
    <row r="66801" spans="6:6" x14ac:dyDescent="0.3">
      <c r="F66801" s="193"/>
    </row>
    <row r="66802" spans="6:6" x14ac:dyDescent="0.3">
      <c r="F66802" s="193"/>
    </row>
    <row r="66803" spans="6:6" x14ac:dyDescent="0.3">
      <c r="F66803" s="193"/>
    </row>
    <row r="66804" spans="6:6" x14ac:dyDescent="0.3">
      <c r="F66804" s="193"/>
    </row>
    <row r="66805" spans="6:6" x14ac:dyDescent="0.3">
      <c r="F66805" s="193"/>
    </row>
    <row r="66806" spans="6:6" x14ac:dyDescent="0.3">
      <c r="F66806" s="193"/>
    </row>
    <row r="66807" spans="6:6" x14ac:dyDescent="0.3">
      <c r="F66807" s="193"/>
    </row>
    <row r="66808" spans="6:6" x14ac:dyDescent="0.3">
      <c r="F66808" s="193"/>
    </row>
    <row r="66809" spans="6:6" x14ac:dyDescent="0.3">
      <c r="F66809" s="193"/>
    </row>
    <row r="66810" spans="6:6" x14ac:dyDescent="0.3">
      <c r="F66810" s="193"/>
    </row>
    <row r="66811" spans="6:6" x14ac:dyDescent="0.3">
      <c r="F66811" s="193"/>
    </row>
    <row r="66812" spans="6:6" x14ac:dyDescent="0.3">
      <c r="F66812" s="193"/>
    </row>
    <row r="66813" spans="6:6" x14ac:dyDescent="0.3">
      <c r="F66813" s="193"/>
    </row>
    <row r="66814" spans="6:6" x14ac:dyDescent="0.3">
      <c r="F66814" s="193"/>
    </row>
    <row r="66815" spans="6:6" x14ac:dyDescent="0.3">
      <c r="F66815" s="193"/>
    </row>
    <row r="66816" spans="6:6" x14ac:dyDescent="0.3">
      <c r="F66816" s="193"/>
    </row>
    <row r="66817" spans="6:6" x14ac:dyDescent="0.3">
      <c r="F66817" s="193"/>
    </row>
    <row r="66818" spans="6:6" x14ac:dyDescent="0.3">
      <c r="F66818" s="193"/>
    </row>
    <row r="66819" spans="6:6" x14ac:dyDescent="0.3">
      <c r="F66819" s="193"/>
    </row>
    <row r="66820" spans="6:6" x14ac:dyDescent="0.3">
      <c r="F66820" s="193"/>
    </row>
    <row r="66821" spans="6:6" x14ac:dyDescent="0.3">
      <c r="F66821" s="193"/>
    </row>
    <row r="66822" spans="6:6" x14ac:dyDescent="0.3">
      <c r="F66822" s="193"/>
    </row>
    <row r="66823" spans="6:6" x14ac:dyDescent="0.3">
      <c r="F66823" s="193"/>
    </row>
    <row r="66824" spans="6:6" x14ac:dyDescent="0.3">
      <c r="F66824" s="193"/>
    </row>
    <row r="66825" spans="6:6" x14ac:dyDescent="0.3">
      <c r="F66825" s="193"/>
    </row>
    <row r="66826" spans="6:6" x14ac:dyDescent="0.3">
      <c r="F66826" s="193"/>
    </row>
    <row r="66827" spans="6:6" x14ac:dyDescent="0.3">
      <c r="F66827" s="193"/>
    </row>
    <row r="66828" spans="6:6" x14ac:dyDescent="0.3">
      <c r="F66828" s="193"/>
    </row>
    <row r="66829" spans="6:6" x14ac:dyDescent="0.3">
      <c r="F66829" s="193"/>
    </row>
    <row r="66830" spans="6:6" x14ac:dyDescent="0.3">
      <c r="F66830" s="193"/>
    </row>
    <row r="66831" spans="6:6" x14ac:dyDescent="0.3">
      <c r="F66831" s="193"/>
    </row>
    <row r="66832" spans="6:6" x14ac:dyDescent="0.3">
      <c r="F66832" s="193"/>
    </row>
    <row r="66833" spans="6:6" x14ac:dyDescent="0.3">
      <c r="F66833" s="193"/>
    </row>
    <row r="66834" spans="6:6" x14ac:dyDescent="0.3">
      <c r="F66834" s="193"/>
    </row>
    <row r="66835" spans="6:6" x14ac:dyDescent="0.3">
      <c r="F66835" s="193"/>
    </row>
    <row r="66836" spans="6:6" x14ac:dyDescent="0.3">
      <c r="F66836" s="193"/>
    </row>
    <row r="66837" spans="6:6" x14ac:dyDescent="0.3">
      <c r="F66837" s="193"/>
    </row>
    <row r="66838" spans="6:6" x14ac:dyDescent="0.3">
      <c r="F66838" s="193"/>
    </row>
    <row r="66839" spans="6:6" x14ac:dyDescent="0.3">
      <c r="F66839" s="193"/>
    </row>
    <row r="66840" spans="6:6" x14ac:dyDescent="0.3">
      <c r="F66840" s="193"/>
    </row>
    <row r="66841" spans="6:6" x14ac:dyDescent="0.3">
      <c r="F66841" s="193"/>
    </row>
    <row r="66842" spans="6:6" x14ac:dyDescent="0.3">
      <c r="F66842" s="193"/>
    </row>
    <row r="66843" spans="6:6" x14ac:dyDescent="0.3">
      <c r="F66843" s="193"/>
    </row>
    <row r="66844" spans="6:6" x14ac:dyDescent="0.3">
      <c r="F66844" s="193"/>
    </row>
    <row r="66845" spans="6:6" x14ac:dyDescent="0.3">
      <c r="F66845" s="193"/>
    </row>
    <row r="66846" spans="6:6" x14ac:dyDescent="0.3">
      <c r="F66846" s="193"/>
    </row>
    <row r="66847" spans="6:6" x14ac:dyDescent="0.3">
      <c r="F66847" s="193"/>
    </row>
    <row r="66848" spans="6:6" x14ac:dyDescent="0.3">
      <c r="F66848" s="193"/>
    </row>
    <row r="66849" spans="6:6" x14ac:dyDescent="0.3">
      <c r="F66849" s="193"/>
    </row>
    <row r="66850" spans="6:6" x14ac:dyDescent="0.3">
      <c r="F66850" s="193"/>
    </row>
    <row r="66851" spans="6:6" x14ac:dyDescent="0.3">
      <c r="F66851" s="193"/>
    </row>
    <row r="66852" spans="6:6" x14ac:dyDescent="0.3">
      <c r="F66852" s="193"/>
    </row>
    <row r="66853" spans="6:6" x14ac:dyDescent="0.3">
      <c r="F66853" s="193"/>
    </row>
    <row r="66854" spans="6:6" x14ac:dyDescent="0.3">
      <c r="F66854" s="193"/>
    </row>
    <row r="66855" spans="6:6" x14ac:dyDescent="0.3">
      <c r="F66855" s="193"/>
    </row>
    <row r="66856" spans="6:6" x14ac:dyDescent="0.3">
      <c r="F66856" s="193"/>
    </row>
    <row r="66857" spans="6:6" x14ac:dyDescent="0.3">
      <c r="F66857" s="193"/>
    </row>
    <row r="66858" spans="6:6" x14ac:dyDescent="0.3">
      <c r="F66858" s="193"/>
    </row>
    <row r="66859" spans="6:6" x14ac:dyDescent="0.3">
      <c r="F66859" s="193"/>
    </row>
    <row r="66860" spans="6:6" x14ac:dyDescent="0.3">
      <c r="F66860" s="193"/>
    </row>
    <row r="66861" spans="6:6" x14ac:dyDescent="0.3">
      <c r="F66861" s="193"/>
    </row>
    <row r="66862" spans="6:6" x14ac:dyDescent="0.3">
      <c r="F66862" s="193"/>
    </row>
    <row r="66863" spans="6:6" x14ac:dyDescent="0.3">
      <c r="F66863" s="193"/>
    </row>
    <row r="66864" spans="6:6" x14ac:dyDescent="0.3">
      <c r="F66864" s="193"/>
    </row>
    <row r="66865" spans="6:6" x14ac:dyDescent="0.3">
      <c r="F66865" s="193"/>
    </row>
    <row r="66866" spans="6:6" x14ac:dyDescent="0.3">
      <c r="F66866" s="193"/>
    </row>
    <row r="66867" spans="6:6" x14ac:dyDescent="0.3">
      <c r="F66867" s="193"/>
    </row>
    <row r="66868" spans="6:6" x14ac:dyDescent="0.3">
      <c r="F66868" s="193"/>
    </row>
    <row r="66869" spans="6:6" x14ac:dyDescent="0.3">
      <c r="F66869" s="193"/>
    </row>
    <row r="66870" spans="6:6" x14ac:dyDescent="0.3">
      <c r="F66870" s="193"/>
    </row>
    <row r="66871" spans="6:6" x14ac:dyDescent="0.3">
      <c r="F66871" s="193"/>
    </row>
    <row r="66872" spans="6:6" x14ac:dyDescent="0.3">
      <c r="F66872" s="193"/>
    </row>
    <row r="66873" spans="6:6" x14ac:dyDescent="0.3">
      <c r="F66873" s="193"/>
    </row>
    <row r="66874" spans="6:6" x14ac:dyDescent="0.3">
      <c r="F66874" s="193"/>
    </row>
    <row r="66875" spans="6:6" x14ac:dyDescent="0.3">
      <c r="F66875" s="193"/>
    </row>
    <row r="66876" spans="6:6" x14ac:dyDescent="0.3">
      <c r="F66876" s="193"/>
    </row>
    <row r="66877" spans="6:6" x14ac:dyDescent="0.3">
      <c r="F66877" s="193"/>
    </row>
    <row r="66878" spans="6:6" x14ac:dyDescent="0.3">
      <c r="F66878" s="193"/>
    </row>
    <row r="66879" spans="6:6" x14ac:dyDescent="0.3">
      <c r="F66879" s="193"/>
    </row>
    <row r="66880" spans="6:6" x14ac:dyDescent="0.3">
      <c r="F66880" s="193"/>
    </row>
    <row r="66881" spans="6:6" x14ac:dyDescent="0.3">
      <c r="F66881" s="193"/>
    </row>
    <row r="66882" spans="6:6" x14ac:dyDescent="0.3">
      <c r="F66882" s="193"/>
    </row>
    <row r="66883" spans="6:6" x14ac:dyDescent="0.3">
      <c r="F66883" s="193"/>
    </row>
    <row r="66884" spans="6:6" x14ac:dyDescent="0.3">
      <c r="F66884" s="193"/>
    </row>
    <row r="66885" spans="6:6" x14ac:dyDescent="0.3">
      <c r="F66885" s="193"/>
    </row>
    <row r="66886" spans="6:6" x14ac:dyDescent="0.3">
      <c r="F66886" s="193"/>
    </row>
    <row r="66887" spans="6:6" x14ac:dyDescent="0.3">
      <c r="F66887" s="193"/>
    </row>
    <row r="66888" spans="6:6" x14ac:dyDescent="0.3">
      <c r="F66888" s="193"/>
    </row>
    <row r="66889" spans="6:6" x14ac:dyDescent="0.3">
      <c r="F66889" s="193"/>
    </row>
    <row r="66890" spans="6:6" x14ac:dyDescent="0.3">
      <c r="F66890" s="193"/>
    </row>
    <row r="66891" spans="6:6" x14ac:dyDescent="0.3">
      <c r="F66891" s="193"/>
    </row>
    <row r="66892" spans="6:6" x14ac:dyDescent="0.3">
      <c r="F66892" s="193"/>
    </row>
    <row r="66893" spans="6:6" x14ac:dyDescent="0.3">
      <c r="F66893" s="193"/>
    </row>
    <row r="66894" spans="6:6" x14ac:dyDescent="0.3">
      <c r="F66894" s="193"/>
    </row>
    <row r="66895" spans="6:6" x14ac:dyDescent="0.3">
      <c r="F66895" s="193"/>
    </row>
    <row r="66896" spans="6:6" x14ac:dyDescent="0.3">
      <c r="F66896" s="193"/>
    </row>
    <row r="66897" spans="6:6" x14ac:dyDescent="0.3">
      <c r="F66897" s="193"/>
    </row>
    <row r="66898" spans="6:6" x14ac:dyDescent="0.3">
      <c r="F66898" s="193"/>
    </row>
    <row r="66899" spans="6:6" x14ac:dyDescent="0.3">
      <c r="F66899" s="193"/>
    </row>
    <row r="66900" spans="6:6" x14ac:dyDescent="0.3">
      <c r="F66900" s="193"/>
    </row>
    <row r="66901" spans="6:6" x14ac:dyDescent="0.3">
      <c r="F66901" s="193"/>
    </row>
    <row r="66902" spans="6:6" x14ac:dyDescent="0.3">
      <c r="F66902" s="193"/>
    </row>
    <row r="66903" spans="6:6" x14ac:dyDescent="0.3">
      <c r="F66903" s="193"/>
    </row>
    <row r="66904" spans="6:6" x14ac:dyDescent="0.3">
      <c r="F66904" s="193"/>
    </row>
    <row r="66905" spans="6:6" x14ac:dyDescent="0.3">
      <c r="F66905" s="193"/>
    </row>
    <row r="66906" spans="6:6" x14ac:dyDescent="0.3">
      <c r="F66906" s="193"/>
    </row>
    <row r="66907" spans="6:6" x14ac:dyDescent="0.3">
      <c r="F66907" s="193"/>
    </row>
    <row r="66908" spans="6:6" x14ac:dyDescent="0.3">
      <c r="F66908" s="193"/>
    </row>
    <row r="66909" spans="6:6" x14ac:dyDescent="0.3">
      <c r="F66909" s="193"/>
    </row>
    <row r="66910" spans="6:6" x14ac:dyDescent="0.3">
      <c r="F66910" s="193"/>
    </row>
    <row r="66911" spans="6:6" x14ac:dyDescent="0.3">
      <c r="F66911" s="193"/>
    </row>
    <row r="66912" spans="6:6" x14ac:dyDescent="0.3">
      <c r="F66912" s="193"/>
    </row>
    <row r="66913" spans="6:6" x14ac:dyDescent="0.3">
      <c r="F66913" s="193"/>
    </row>
    <row r="66914" spans="6:6" x14ac:dyDescent="0.3">
      <c r="F66914" s="193"/>
    </row>
    <row r="66915" spans="6:6" x14ac:dyDescent="0.3">
      <c r="F66915" s="193"/>
    </row>
    <row r="66916" spans="6:6" x14ac:dyDescent="0.3">
      <c r="F66916" s="193"/>
    </row>
    <row r="66917" spans="6:6" x14ac:dyDescent="0.3">
      <c r="F66917" s="193"/>
    </row>
    <row r="66918" spans="6:6" x14ac:dyDescent="0.3">
      <c r="F66918" s="193"/>
    </row>
    <row r="66919" spans="6:6" x14ac:dyDescent="0.3">
      <c r="F66919" s="193"/>
    </row>
    <row r="66920" spans="6:6" x14ac:dyDescent="0.3">
      <c r="F66920" s="193"/>
    </row>
    <row r="66921" spans="6:6" x14ac:dyDescent="0.3">
      <c r="F66921" s="193"/>
    </row>
    <row r="66922" spans="6:6" x14ac:dyDescent="0.3">
      <c r="F66922" s="193"/>
    </row>
    <row r="66923" spans="6:6" x14ac:dyDescent="0.3">
      <c r="F66923" s="193"/>
    </row>
    <row r="66924" spans="6:6" x14ac:dyDescent="0.3">
      <c r="F66924" s="193"/>
    </row>
    <row r="66925" spans="6:6" x14ac:dyDescent="0.3">
      <c r="F66925" s="193"/>
    </row>
    <row r="66926" spans="6:6" x14ac:dyDescent="0.3">
      <c r="F66926" s="193"/>
    </row>
    <row r="66927" spans="6:6" x14ac:dyDescent="0.3">
      <c r="F66927" s="193"/>
    </row>
    <row r="66928" spans="6:6" x14ac:dyDescent="0.3">
      <c r="F66928" s="193"/>
    </row>
    <row r="66929" spans="6:6" x14ac:dyDescent="0.3">
      <c r="F66929" s="193"/>
    </row>
    <row r="66930" spans="6:6" x14ac:dyDescent="0.3">
      <c r="F66930" s="193"/>
    </row>
    <row r="66931" spans="6:6" x14ac:dyDescent="0.3">
      <c r="F66931" s="193"/>
    </row>
    <row r="66932" spans="6:6" x14ac:dyDescent="0.3">
      <c r="F66932" s="193"/>
    </row>
    <row r="66933" spans="6:6" x14ac:dyDescent="0.3">
      <c r="F66933" s="193"/>
    </row>
    <row r="66934" spans="6:6" x14ac:dyDescent="0.3">
      <c r="F66934" s="193"/>
    </row>
    <row r="66935" spans="6:6" x14ac:dyDescent="0.3">
      <c r="F66935" s="193"/>
    </row>
    <row r="66936" spans="6:6" x14ac:dyDescent="0.3">
      <c r="F66936" s="193"/>
    </row>
    <row r="66937" spans="6:6" x14ac:dyDescent="0.3">
      <c r="F66937" s="193"/>
    </row>
    <row r="66938" spans="6:6" x14ac:dyDescent="0.3">
      <c r="F66938" s="193"/>
    </row>
    <row r="66939" spans="6:6" x14ac:dyDescent="0.3">
      <c r="F66939" s="193"/>
    </row>
    <row r="66940" spans="6:6" x14ac:dyDescent="0.3">
      <c r="F66940" s="193"/>
    </row>
    <row r="66941" spans="6:6" x14ac:dyDescent="0.3">
      <c r="F66941" s="193"/>
    </row>
    <row r="66942" spans="6:6" x14ac:dyDescent="0.3">
      <c r="F66942" s="193"/>
    </row>
    <row r="66943" spans="6:6" x14ac:dyDescent="0.3">
      <c r="F66943" s="193"/>
    </row>
    <row r="66944" spans="6:6" x14ac:dyDescent="0.3">
      <c r="F66944" s="193"/>
    </row>
    <row r="66945" spans="6:6" x14ac:dyDescent="0.3">
      <c r="F66945" s="193"/>
    </row>
    <row r="66946" spans="6:6" x14ac:dyDescent="0.3">
      <c r="F66946" s="193"/>
    </row>
    <row r="66947" spans="6:6" x14ac:dyDescent="0.3">
      <c r="F66947" s="193"/>
    </row>
    <row r="66948" spans="6:6" x14ac:dyDescent="0.3">
      <c r="F66948" s="193"/>
    </row>
    <row r="66949" spans="6:6" x14ac:dyDescent="0.3">
      <c r="F66949" s="193"/>
    </row>
    <row r="66950" spans="6:6" x14ac:dyDescent="0.3">
      <c r="F66950" s="193"/>
    </row>
    <row r="66951" spans="6:6" x14ac:dyDescent="0.3">
      <c r="F66951" s="193"/>
    </row>
    <row r="66952" spans="6:6" x14ac:dyDescent="0.3">
      <c r="F66952" s="193"/>
    </row>
    <row r="66953" spans="6:6" x14ac:dyDescent="0.3">
      <c r="F66953" s="193"/>
    </row>
    <row r="66954" spans="6:6" x14ac:dyDescent="0.3">
      <c r="F66954" s="193"/>
    </row>
    <row r="66955" spans="6:6" x14ac:dyDescent="0.3">
      <c r="F66955" s="193"/>
    </row>
    <row r="66956" spans="6:6" x14ac:dyDescent="0.3">
      <c r="F66956" s="193"/>
    </row>
    <row r="66957" spans="6:6" x14ac:dyDescent="0.3">
      <c r="F66957" s="193"/>
    </row>
    <row r="66958" spans="6:6" x14ac:dyDescent="0.3">
      <c r="F66958" s="193"/>
    </row>
    <row r="66959" spans="6:6" x14ac:dyDescent="0.3">
      <c r="F66959" s="193"/>
    </row>
    <row r="66960" spans="6:6" x14ac:dyDescent="0.3">
      <c r="F66960" s="193"/>
    </row>
    <row r="66961" spans="6:6" x14ac:dyDescent="0.3">
      <c r="F66961" s="193"/>
    </row>
    <row r="66962" spans="6:6" x14ac:dyDescent="0.3">
      <c r="F66962" s="193"/>
    </row>
    <row r="66963" spans="6:6" x14ac:dyDescent="0.3">
      <c r="F66963" s="193"/>
    </row>
    <row r="66964" spans="6:6" x14ac:dyDescent="0.3">
      <c r="F66964" s="193"/>
    </row>
    <row r="66965" spans="6:6" x14ac:dyDescent="0.3">
      <c r="F66965" s="193"/>
    </row>
    <row r="66966" spans="6:6" x14ac:dyDescent="0.3">
      <c r="F66966" s="193"/>
    </row>
    <row r="66967" spans="6:6" x14ac:dyDescent="0.3">
      <c r="F66967" s="193"/>
    </row>
    <row r="66968" spans="6:6" x14ac:dyDescent="0.3">
      <c r="F66968" s="193"/>
    </row>
    <row r="66969" spans="6:6" x14ac:dyDescent="0.3">
      <c r="F66969" s="193"/>
    </row>
    <row r="66970" spans="6:6" x14ac:dyDescent="0.3">
      <c r="F66970" s="193"/>
    </row>
    <row r="66971" spans="6:6" x14ac:dyDescent="0.3">
      <c r="F66971" s="193"/>
    </row>
    <row r="66972" spans="6:6" x14ac:dyDescent="0.3">
      <c r="F66972" s="193"/>
    </row>
    <row r="66973" spans="6:6" x14ac:dyDescent="0.3">
      <c r="F66973" s="193"/>
    </row>
    <row r="66974" spans="6:6" x14ac:dyDescent="0.3">
      <c r="F66974" s="193"/>
    </row>
    <row r="66975" spans="6:6" x14ac:dyDescent="0.3">
      <c r="F66975" s="193"/>
    </row>
    <row r="66976" spans="6:6" x14ac:dyDescent="0.3">
      <c r="F66976" s="193"/>
    </row>
    <row r="66977" spans="6:6" x14ac:dyDescent="0.3">
      <c r="F66977" s="193"/>
    </row>
    <row r="66978" spans="6:6" x14ac:dyDescent="0.3">
      <c r="F66978" s="193"/>
    </row>
    <row r="66979" spans="6:6" x14ac:dyDescent="0.3">
      <c r="F66979" s="193"/>
    </row>
    <row r="66980" spans="6:6" x14ac:dyDescent="0.3">
      <c r="F66980" s="193"/>
    </row>
    <row r="66981" spans="6:6" x14ac:dyDescent="0.3">
      <c r="F66981" s="193"/>
    </row>
    <row r="66982" spans="6:6" x14ac:dyDescent="0.3">
      <c r="F66982" s="193"/>
    </row>
    <row r="66983" spans="6:6" x14ac:dyDescent="0.3">
      <c r="F66983" s="193"/>
    </row>
    <row r="66984" spans="6:6" x14ac:dyDescent="0.3">
      <c r="F66984" s="193"/>
    </row>
    <row r="66985" spans="6:6" x14ac:dyDescent="0.3">
      <c r="F66985" s="193"/>
    </row>
    <row r="66986" spans="6:6" x14ac:dyDescent="0.3">
      <c r="F66986" s="193"/>
    </row>
    <row r="66987" spans="6:6" x14ac:dyDescent="0.3">
      <c r="F66987" s="193"/>
    </row>
    <row r="66988" spans="6:6" x14ac:dyDescent="0.3">
      <c r="F66988" s="193"/>
    </row>
    <row r="66989" spans="6:6" x14ac:dyDescent="0.3">
      <c r="F66989" s="193"/>
    </row>
    <row r="66990" spans="6:6" x14ac:dyDescent="0.3">
      <c r="F66990" s="193"/>
    </row>
    <row r="66991" spans="6:6" x14ac:dyDescent="0.3">
      <c r="F66991" s="193"/>
    </row>
    <row r="66992" spans="6:6" x14ac:dyDescent="0.3">
      <c r="F66992" s="193"/>
    </row>
    <row r="66993" spans="6:6" x14ac:dyDescent="0.3">
      <c r="F66993" s="193"/>
    </row>
    <row r="66994" spans="6:6" x14ac:dyDescent="0.3">
      <c r="F66994" s="193"/>
    </row>
    <row r="66995" spans="6:6" x14ac:dyDescent="0.3">
      <c r="F66995" s="193"/>
    </row>
    <row r="66996" spans="6:6" x14ac:dyDescent="0.3">
      <c r="F66996" s="193"/>
    </row>
    <row r="66997" spans="6:6" x14ac:dyDescent="0.3">
      <c r="F66997" s="193"/>
    </row>
    <row r="66998" spans="6:6" x14ac:dyDescent="0.3">
      <c r="F66998" s="193"/>
    </row>
    <row r="66999" spans="6:6" x14ac:dyDescent="0.3">
      <c r="F66999" s="193"/>
    </row>
    <row r="67000" spans="6:6" x14ac:dyDescent="0.3">
      <c r="F67000" s="193"/>
    </row>
    <row r="67001" spans="6:6" x14ac:dyDescent="0.3">
      <c r="F67001" s="193"/>
    </row>
    <row r="67002" spans="6:6" x14ac:dyDescent="0.3">
      <c r="F67002" s="193"/>
    </row>
    <row r="67003" spans="6:6" x14ac:dyDescent="0.3">
      <c r="F67003" s="193"/>
    </row>
    <row r="67004" spans="6:6" x14ac:dyDescent="0.3">
      <c r="F67004" s="193"/>
    </row>
    <row r="67005" spans="6:6" x14ac:dyDescent="0.3">
      <c r="F67005" s="193"/>
    </row>
    <row r="67006" spans="6:6" x14ac:dyDescent="0.3">
      <c r="F67006" s="193"/>
    </row>
    <row r="67007" spans="6:6" x14ac:dyDescent="0.3">
      <c r="F67007" s="193"/>
    </row>
    <row r="67008" spans="6:6" x14ac:dyDescent="0.3">
      <c r="F67008" s="193"/>
    </row>
    <row r="67009" spans="6:6" x14ac:dyDescent="0.3">
      <c r="F67009" s="193"/>
    </row>
    <row r="67010" spans="6:6" x14ac:dyDescent="0.3">
      <c r="F67010" s="193"/>
    </row>
    <row r="67011" spans="6:6" x14ac:dyDescent="0.3">
      <c r="F67011" s="193"/>
    </row>
    <row r="67012" spans="6:6" x14ac:dyDescent="0.3">
      <c r="F67012" s="193"/>
    </row>
    <row r="67013" spans="6:6" x14ac:dyDescent="0.3">
      <c r="F67013" s="193"/>
    </row>
    <row r="67014" spans="6:6" x14ac:dyDescent="0.3">
      <c r="F67014" s="193"/>
    </row>
    <row r="67015" spans="6:6" x14ac:dyDescent="0.3">
      <c r="F67015" s="193"/>
    </row>
    <row r="67016" spans="6:6" x14ac:dyDescent="0.3">
      <c r="F67016" s="193"/>
    </row>
    <row r="67017" spans="6:6" x14ac:dyDescent="0.3">
      <c r="F67017" s="193"/>
    </row>
    <row r="67018" spans="6:6" x14ac:dyDescent="0.3">
      <c r="F67018" s="193"/>
    </row>
    <row r="67019" spans="6:6" x14ac:dyDescent="0.3">
      <c r="F67019" s="193"/>
    </row>
    <row r="67020" spans="6:6" x14ac:dyDescent="0.3">
      <c r="F67020" s="193"/>
    </row>
    <row r="67021" spans="6:6" x14ac:dyDescent="0.3">
      <c r="F67021" s="193"/>
    </row>
    <row r="67022" spans="6:6" x14ac:dyDescent="0.3">
      <c r="F67022" s="193"/>
    </row>
    <row r="67023" spans="6:6" x14ac:dyDescent="0.3">
      <c r="F67023" s="193"/>
    </row>
    <row r="67024" spans="6:6" x14ac:dyDescent="0.3">
      <c r="F67024" s="193"/>
    </row>
    <row r="67025" spans="6:6" x14ac:dyDescent="0.3">
      <c r="F67025" s="193"/>
    </row>
    <row r="67026" spans="6:6" x14ac:dyDescent="0.3">
      <c r="F67026" s="193"/>
    </row>
    <row r="67027" spans="6:6" x14ac:dyDescent="0.3">
      <c r="F67027" s="193"/>
    </row>
    <row r="67028" spans="6:6" x14ac:dyDescent="0.3">
      <c r="F67028" s="193"/>
    </row>
    <row r="67029" spans="6:6" x14ac:dyDescent="0.3">
      <c r="F67029" s="193"/>
    </row>
    <row r="67030" spans="6:6" x14ac:dyDescent="0.3">
      <c r="F67030" s="193"/>
    </row>
    <row r="67031" spans="6:6" x14ac:dyDescent="0.3">
      <c r="F67031" s="193"/>
    </row>
    <row r="67032" spans="6:6" x14ac:dyDescent="0.3">
      <c r="F67032" s="193"/>
    </row>
    <row r="67033" spans="6:6" x14ac:dyDescent="0.3">
      <c r="F67033" s="193"/>
    </row>
    <row r="67034" spans="6:6" x14ac:dyDescent="0.3">
      <c r="F67034" s="193"/>
    </row>
    <row r="67035" spans="6:6" x14ac:dyDescent="0.3">
      <c r="F67035" s="193"/>
    </row>
    <row r="67036" spans="6:6" x14ac:dyDescent="0.3">
      <c r="F67036" s="193"/>
    </row>
    <row r="67037" spans="6:6" x14ac:dyDescent="0.3">
      <c r="F67037" s="193"/>
    </row>
    <row r="67038" spans="6:6" x14ac:dyDescent="0.3">
      <c r="F67038" s="193"/>
    </row>
    <row r="67039" spans="6:6" x14ac:dyDescent="0.3">
      <c r="F67039" s="193"/>
    </row>
    <row r="67040" spans="6:6" x14ac:dyDescent="0.3">
      <c r="F67040" s="193"/>
    </row>
    <row r="67041" spans="6:6" x14ac:dyDescent="0.3">
      <c r="F67041" s="193"/>
    </row>
    <row r="67042" spans="6:6" x14ac:dyDescent="0.3">
      <c r="F67042" s="193"/>
    </row>
    <row r="67043" spans="6:6" x14ac:dyDescent="0.3">
      <c r="F67043" s="193"/>
    </row>
    <row r="67044" spans="6:6" x14ac:dyDescent="0.3">
      <c r="F67044" s="193"/>
    </row>
    <row r="67045" spans="6:6" x14ac:dyDescent="0.3">
      <c r="F67045" s="193"/>
    </row>
    <row r="67046" spans="6:6" x14ac:dyDescent="0.3">
      <c r="F67046" s="193"/>
    </row>
    <row r="67047" spans="6:6" x14ac:dyDescent="0.3">
      <c r="F67047" s="193"/>
    </row>
    <row r="67048" spans="6:6" x14ac:dyDescent="0.3">
      <c r="F67048" s="193"/>
    </row>
    <row r="67049" spans="6:6" x14ac:dyDescent="0.3">
      <c r="F67049" s="193"/>
    </row>
    <row r="67050" spans="6:6" x14ac:dyDescent="0.3">
      <c r="F67050" s="193"/>
    </row>
    <row r="67051" spans="6:6" x14ac:dyDescent="0.3">
      <c r="F67051" s="193"/>
    </row>
    <row r="67052" spans="6:6" x14ac:dyDescent="0.3">
      <c r="F67052" s="193"/>
    </row>
    <row r="67053" spans="6:6" x14ac:dyDescent="0.3">
      <c r="F67053" s="193"/>
    </row>
    <row r="67054" spans="6:6" x14ac:dyDescent="0.3">
      <c r="F67054" s="193"/>
    </row>
    <row r="67055" spans="6:6" x14ac:dyDescent="0.3">
      <c r="F67055" s="193"/>
    </row>
    <row r="67056" spans="6:6" x14ac:dyDescent="0.3">
      <c r="F67056" s="193"/>
    </row>
    <row r="67057" spans="6:6" x14ac:dyDescent="0.3">
      <c r="F67057" s="193"/>
    </row>
    <row r="67058" spans="6:6" x14ac:dyDescent="0.3">
      <c r="F67058" s="193"/>
    </row>
    <row r="67059" spans="6:6" x14ac:dyDescent="0.3">
      <c r="F67059" s="193"/>
    </row>
    <row r="67060" spans="6:6" x14ac:dyDescent="0.3">
      <c r="F67060" s="193"/>
    </row>
    <row r="67061" spans="6:6" x14ac:dyDescent="0.3">
      <c r="F67061" s="193"/>
    </row>
    <row r="67062" spans="6:6" x14ac:dyDescent="0.3">
      <c r="F67062" s="193"/>
    </row>
    <row r="67063" spans="6:6" x14ac:dyDescent="0.3">
      <c r="F67063" s="193"/>
    </row>
    <row r="67064" spans="6:6" x14ac:dyDescent="0.3">
      <c r="F67064" s="193"/>
    </row>
    <row r="67065" spans="6:6" x14ac:dyDescent="0.3">
      <c r="F67065" s="193"/>
    </row>
    <row r="67066" spans="6:6" x14ac:dyDescent="0.3">
      <c r="F67066" s="193"/>
    </row>
    <row r="67067" spans="6:6" x14ac:dyDescent="0.3">
      <c r="F67067" s="193"/>
    </row>
    <row r="67068" spans="6:6" x14ac:dyDescent="0.3">
      <c r="F67068" s="193"/>
    </row>
    <row r="67069" spans="6:6" x14ac:dyDescent="0.3">
      <c r="F67069" s="193"/>
    </row>
    <row r="67070" spans="6:6" x14ac:dyDescent="0.3">
      <c r="F67070" s="193"/>
    </row>
    <row r="67071" spans="6:6" x14ac:dyDescent="0.3">
      <c r="F67071" s="193"/>
    </row>
    <row r="67072" spans="6:6" x14ac:dyDescent="0.3">
      <c r="F67072" s="193"/>
    </row>
    <row r="67073" spans="6:6" x14ac:dyDescent="0.3">
      <c r="F67073" s="193"/>
    </row>
    <row r="67074" spans="6:6" x14ac:dyDescent="0.3">
      <c r="F67074" s="193"/>
    </row>
    <row r="67075" spans="6:6" x14ac:dyDescent="0.3">
      <c r="F67075" s="193"/>
    </row>
    <row r="67076" spans="6:6" x14ac:dyDescent="0.3">
      <c r="F67076" s="193"/>
    </row>
    <row r="67077" spans="6:6" x14ac:dyDescent="0.3">
      <c r="F67077" s="193"/>
    </row>
    <row r="67078" spans="6:6" x14ac:dyDescent="0.3">
      <c r="F67078" s="193"/>
    </row>
    <row r="67079" spans="6:6" x14ac:dyDescent="0.3">
      <c r="F67079" s="193"/>
    </row>
    <row r="67080" spans="6:6" x14ac:dyDescent="0.3">
      <c r="F67080" s="193"/>
    </row>
    <row r="67081" spans="6:6" x14ac:dyDescent="0.3">
      <c r="F67081" s="193"/>
    </row>
    <row r="67082" spans="6:6" x14ac:dyDescent="0.3">
      <c r="F67082" s="193"/>
    </row>
    <row r="67083" spans="6:6" x14ac:dyDescent="0.3">
      <c r="F67083" s="193"/>
    </row>
    <row r="67084" spans="6:6" x14ac:dyDescent="0.3">
      <c r="F67084" s="193"/>
    </row>
    <row r="67085" spans="6:6" x14ac:dyDescent="0.3">
      <c r="F67085" s="193"/>
    </row>
    <row r="67086" spans="6:6" x14ac:dyDescent="0.3">
      <c r="F67086" s="193"/>
    </row>
    <row r="67087" spans="6:6" x14ac:dyDescent="0.3">
      <c r="F67087" s="193"/>
    </row>
    <row r="67088" spans="6:6" x14ac:dyDescent="0.3">
      <c r="F67088" s="193"/>
    </row>
    <row r="67089" spans="6:6" x14ac:dyDescent="0.3">
      <c r="F67089" s="193"/>
    </row>
    <row r="67090" spans="6:6" x14ac:dyDescent="0.3">
      <c r="F67090" s="193"/>
    </row>
    <row r="67091" spans="6:6" x14ac:dyDescent="0.3">
      <c r="F67091" s="193"/>
    </row>
    <row r="67092" spans="6:6" x14ac:dyDescent="0.3">
      <c r="F67092" s="193"/>
    </row>
    <row r="67093" spans="6:6" x14ac:dyDescent="0.3">
      <c r="F67093" s="193"/>
    </row>
    <row r="67094" spans="6:6" x14ac:dyDescent="0.3">
      <c r="F67094" s="193"/>
    </row>
    <row r="67095" spans="6:6" x14ac:dyDescent="0.3">
      <c r="F67095" s="193"/>
    </row>
    <row r="67096" spans="6:6" x14ac:dyDescent="0.3">
      <c r="F67096" s="193"/>
    </row>
    <row r="67097" spans="6:6" x14ac:dyDescent="0.3">
      <c r="F67097" s="193"/>
    </row>
    <row r="67098" spans="6:6" x14ac:dyDescent="0.3">
      <c r="F67098" s="193"/>
    </row>
    <row r="67099" spans="6:6" x14ac:dyDescent="0.3">
      <c r="F67099" s="193"/>
    </row>
    <row r="67100" spans="6:6" x14ac:dyDescent="0.3">
      <c r="F67100" s="193"/>
    </row>
    <row r="67101" spans="6:6" x14ac:dyDescent="0.3">
      <c r="F67101" s="193"/>
    </row>
    <row r="67102" spans="6:6" x14ac:dyDescent="0.3">
      <c r="F67102" s="193"/>
    </row>
    <row r="67103" spans="6:6" x14ac:dyDescent="0.3">
      <c r="F67103" s="193"/>
    </row>
    <row r="67104" spans="6:6" x14ac:dyDescent="0.3">
      <c r="F67104" s="193"/>
    </row>
    <row r="67105" spans="6:6" x14ac:dyDescent="0.3">
      <c r="F67105" s="193"/>
    </row>
    <row r="67106" spans="6:6" x14ac:dyDescent="0.3">
      <c r="F67106" s="193"/>
    </row>
    <row r="67107" spans="6:6" x14ac:dyDescent="0.3">
      <c r="F67107" s="193"/>
    </row>
    <row r="67108" spans="6:6" x14ac:dyDescent="0.3">
      <c r="F67108" s="193"/>
    </row>
    <row r="67109" spans="6:6" x14ac:dyDescent="0.3">
      <c r="F67109" s="193"/>
    </row>
    <row r="67110" spans="6:6" x14ac:dyDescent="0.3">
      <c r="F67110" s="193"/>
    </row>
    <row r="67111" spans="6:6" x14ac:dyDescent="0.3">
      <c r="F67111" s="193"/>
    </row>
    <row r="67112" spans="6:6" x14ac:dyDescent="0.3">
      <c r="F67112" s="193"/>
    </row>
    <row r="67113" spans="6:6" x14ac:dyDescent="0.3">
      <c r="F67113" s="193"/>
    </row>
    <row r="67114" spans="6:6" x14ac:dyDescent="0.3">
      <c r="F67114" s="193"/>
    </row>
    <row r="67115" spans="6:6" x14ac:dyDescent="0.3">
      <c r="F67115" s="193"/>
    </row>
    <row r="67116" spans="6:6" x14ac:dyDescent="0.3">
      <c r="F67116" s="193"/>
    </row>
    <row r="67117" spans="6:6" x14ac:dyDescent="0.3">
      <c r="F67117" s="193"/>
    </row>
    <row r="67118" spans="6:6" x14ac:dyDescent="0.3">
      <c r="F67118" s="193"/>
    </row>
    <row r="67119" spans="6:6" x14ac:dyDescent="0.3">
      <c r="F67119" s="193"/>
    </row>
    <row r="67120" spans="6:6" x14ac:dyDescent="0.3">
      <c r="F67120" s="193"/>
    </row>
    <row r="67121" spans="6:6" x14ac:dyDescent="0.3">
      <c r="F67121" s="193"/>
    </row>
    <row r="67122" spans="6:6" x14ac:dyDescent="0.3">
      <c r="F67122" s="193"/>
    </row>
    <row r="67123" spans="6:6" x14ac:dyDescent="0.3">
      <c r="F67123" s="193"/>
    </row>
    <row r="67124" spans="6:6" x14ac:dyDescent="0.3">
      <c r="F67124" s="193"/>
    </row>
    <row r="67125" spans="6:6" x14ac:dyDescent="0.3">
      <c r="F67125" s="193"/>
    </row>
    <row r="67126" spans="6:6" x14ac:dyDescent="0.3">
      <c r="F67126" s="193"/>
    </row>
    <row r="67127" spans="6:6" x14ac:dyDescent="0.3">
      <c r="F67127" s="193"/>
    </row>
    <row r="67128" spans="6:6" x14ac:dyDescent="0.3">
      <c r="F67128" s="193"/>
    </row>
    <row r="67129" spans="6:6" x14ac:dyDescent="0.3">
      <c r="F67129" s="193"/>
    </row>
    <row r="67130" spans="6:6" x14ac:dyDescent="0.3">
      <c r="F67130" s="193"/>
    </row>
    <row r="67131" spans="6:6" x14ac:dyDescent="0.3">
      <c r="F67131" s="193"/>
    </row>
    <row r="67132" spans="6:6" x14ac:dyDescent="0.3">
      <c r="F67132" s="193"/>
    </row>
    <row r="67133" spans="6:6" x14ac:dyDescent="0.3">
      <c r="F67133" s="193"/>
    </row>
    <row r="67134" spans="6:6" x14ac:dyDescent="0.3">
      <c r="F67134" s="193"/>
    </row>
    <row r="67135" spans="6:6" x14ac:dyDescent="0.3">
      <c r="F67135" s="193"/>
    </row>
    <row r="67136" spans="6:6" x14ac:dyDescent="0.3">
      <c r="F67136" s="193"/>
    </row>
    <row r="67137" spans="6:6" x14ac:dyDescent="0.3">
      <c r="F67137" s="193"/>
    </row>
    <row r="67138" spans="6:6" x14ac:dyDescent="0.3">
      <c r="F67138" s="193"/>
    </row>
    <row r="67139" spans="6:6" x14ac:dyDescent="0.3">
      <c r="F67139" s="193"/>
    </row>
    <row r="67140" spans="6:6" x14ac:dyDescent="0.3">
      <c r="F67140" s="193"/>
    </row>
    <row r="67141" spans="6:6" x14ac:dyDescent="0.3">
      <c r="F67141" s="193"/>
    </row>
    <row r="67142" spans="6:6" x14ac:dyDescent="0.3">
      <c r="F67142" s="193"/>
    </row>
    <row r="67143" spans="6:6" x14ac:dyDescent="0.3">
      <c r="F67143" s="193"/>
    </row>
    <row r="67144" spans="6:6" x14ac:dyDescent="0.3">
      <c r="F67144" s="193"/>
    </row>
    <row r="67145" spans="6:6" x14ac:dyDescent="0.3">
      <c r="F67145" s="193"/>
    </row>
    <row r="67146" spans="6:6" x14ac:dyDescent="0.3">
      <c r="F67146" s="193"/>
    </row>
    <row r="67147" spans="6:6" x14ac:dyDescent="0.3">
      <c r="F67147" s="193"/>
    </row>
    <row r="67148" spans="6:6" x14ac:dyDescent="0.3">
      <c r="F67148" s="193"/>
    </row>
    <row r="67149" spans="6:6" x14ac:dyDescent="0.3">
      <c r="F67149" s="193"/>
    </row>
    <row r="67150" spans="6:6" x14ac:dyDescent="0.3">
      <c r="F67150" s="193"/>
    </row>
    <row r="67151" spans="6:6" x14ac:dyDescent="0.3">
      <c r="F67151" s="193"/>
    </row>
    <row r="67152" spans="6:6" x14ac:dyDescent="0.3">
      <c r="F67152" s="193"/>
    </row>
    <row r="67153" spans="6:6" x14ac:dyDescent="0.3">
      <c r="F67153" s="193"/>
    </row>
    <row r="67154" spans="6:6" x14ac:dyDescent="0.3">
      <c r="F67154" s="193"/>
    </row>
    <row r="67155" spans="6:6" x14ac:dyDescent="0.3">
      <c r="F67155" s="193"/>
    </row>
    <row r="67156" spans="6:6" x14ac:dyDescent="0.3">
      <c r="F67156" s="193"/>
    </row>
    <row r="67157" spans="6:6" x14ac:dyDescent="0.3">
      <c r="F67157" s="193"/>
    </row>
    <row r="67158" spans="6:6" x14ac:dyDescent="0.3">
      <c r="F67158" s="193"/>
    </row>
    <row r="67159" spans="6:6" x14ac:dyDescent="0.3">
      <c r="F67159" s="193"/>
    </row>
    <row r="67160" spans="6:6" x14ac:dyDescent="0.3">
      <c r="F67160" s="193"/>
    </row>
    <row r="67161" spans="6:6" x14ac:dyDescent="0.3">
      <c r="F67161" s="193"/>
    </row>
    <row r="67162" spans="6:6" x14ac:dyDescent="0.3">
      <c r="F67162" s="193"/>
    </row>
    <row r="67163" spans="6:6" x14ac:dyDescent="0.3">
      <c r="F67163" s="193"/>
    </row>
    <row r="67164" spans="6:6" x14ac:dyDescent="0.3">
      <c r="F67164" s="193"/>
    </row>
    <row r="67165" spans="6:6" x14ac:dyDescent="0.3">
      <c r="F67165" s="193"/>
    </row>
    <row r="67166" spans="6:6" x14ac:dyDescent="0.3">
      <c r="F67166" s="193"/>
    </row>
    <row r="67167" spans="6:6" x14ac:dyDescent="0.3">
      <c r="F67167" s="193"/>
    </row>
    <row r="67168" spans="6:6" x14ac:dyDescent="0.3">
      <c r="F67168" s="193"/>
    </row>
    <row r="67169" spans="6:6" x14ac:dyDescent="0.3">
      <c r="F67169" s="193"/>
    </row>
    <row r="67170" spans="6:6" x14ac:dyDescent="0.3">
      <c r="F67170" s="193"/>
    </row>
    <row r="67171" spans="6:6" x14ac:dyDescent="0.3">
      <c r="F67171" s="193"/>
    </row>
    <row r="67172" spans="6:6" x14ac:dyDescent="0.3">
      <c r="F67172" s="193"/>
    </row>
    <row r="67173" spans="6:6" x14ac:dyDescent="0.3">
      <c r="F67173" s="193"/>
    </row>
    <row r="67174" spans="6:6" x14ac:dyDescent="0.3">
      <c r="F67174" s="193"/>
    </row>
    <row r="67175" spans="6:6" x14ac:dyDescent="0.3">
      <c r="F67175" s="193"/>
    </row>
    <row r="67176" spans="6:6" x14ac:dyDescent="0.3">
      <c r="F67176" s="193"/>
    </row>
    <row r="67177" spans="6:6" x14ac:dyDescent="0.3">
      <c r="F67177" s="193"/>
    </row>
    <row r="67178" spans="6:6" x14ac:dyDescent="0.3">
      <c r="F67178" s="193"/>
    </row>
    <row r="67179" spans="6:6" x14ac:dyDescent="0.3">
      <c r="F67179" s="193"/>
    </row>
    <row r="67180" spans="6:6" x14ac:dyDescent="0.3">
      <c r="F67180" s="193"/>
    </row>
    <row r="67181" spans="6:6" x14ac:dyDescent="0.3">
      <c r="F67181" s="193"/>
    </row>
    <row r="67182" spans="6:6" x14ac:dyDescent="0.3">
      <c r="F67182" s="193"/>
    </row>
    <row r="67183" spans="6:6" x14ac:dyDescent="0.3">
      <c r="F67183" s="193"/>
    </row>
    <row r="67184" spans="6:6" x14ac:dyDescent="0.3">
      <c r="F67184" s="193"/>
    </row>
    <row r="67185" spans="6:6" x14ac:dyDescent="0.3">
      <c r="F67185" s="193"/>
    </row>
    <row r="67186" spans="6:6" x14ac:dyDescent="0.3">
      <c r="F67186" s="193"/>
    </row>
    <row r="67187" spans="6:6" x14ac:dyDescent="0.3">
      <c r="F67187" s="193"/>
    </row>
    <row r="67188" spans="6:6" x14ac:dyDescent="0.3">
      <c r="F67188" s="193"/>
    </row>
    <row r="67189" spans="6:6" x14ac:dyDescent="0.3">
      <c r="F67189" s="193"/>
    </row>
    <row r="67190" spans="6:6" x14ac:dyDescent="0.3">
      <c r="F67190" s="193"/>
    </row>
    <row r="67191" spans="6:6" x14ac:dyDescent="0.3">
      <c r="F67191" s="193"/>
    </row>
    <row r="67192" spans="6:6" x14ac:dyDescent="0.3">
      <c r="F67192" s="193"/>
    </row>
    <row r="67193" spans="6:6" x14ac:dyDescent="0.3">
      <c r="F67193" s="193"/>
    </row>
    <row r="67194" spans="6:6" x14ac:dyDescent="0.3">
      <c r="F67194" s="193"/>
    </row>
    <row r="67195" spans="6:6" x14ac:dyDescent="0.3">
      <c r="F67195" s="193"/>
    </row>
    <row r="67196" spans="6:6" x14ac:dyDescent="0.3">
      <c r="F67196" s="193"/>
    </row>
    <row r="67197" spans="6:6" x14ac:dyDescent="0.3">
      <c r="F67197" s="193"/>
    </row>
    <row r="67198" spans="6:6" x14ac:dyDescent="0.3">
      <c r="F67198" s="193"/>
    </row>
    <row r="67199" spans="6:6" x14ac:dyDescent="0.3">
      <c r="F67199" s="193"/>
    </row>
    <row r="67200" spans="6:6" x14ac:dyDescent="0.3">
      <c r="F67200" s="193"/>
    </row>
    <row r="67201" spans="6:6" x14ac:dyDescent="0.3">
      <c r="F67201" s="193"/>
    </row>
    <row r="67202" spans="6:6" x14ac:dyDescent="0.3">
      <c r="F67202" s="193"/>
    </row>
    <row r="67203" spans="6:6" x14ac:dyDescent="0.3">
      <c r="F67203" s="193"/>
    </row>
    <row r="67204" spans="6:6" x14ac:dyDescent="0.3">
      <c r="F67204" s="193"/>
    </row>
    <row r="67205" spans="6:6" x14ac:dyDescent="0.3">
      <c r="F67205" s="193"/>
    </row>
    <row r="67206" spans="6:6" x14ac:dyDescent="0.3">
      <c r="F67206" s="193"/>
    </row>
    <row r="67207" spans="6:6" x14ac:dyDescent="0.3">
      <c r="F67207" s="193"/>
    </row>
    <row r="67208" spans="6:6" x14ac:dyDescent="0.3">
      <c r="F67208" s="193"/>
    </row>
    <row r="67209" spans="6:6" x14ac:dyDescent="0.3">
      <c r="F67209" s="193"/>
    </row>
    <row r="67210" spans="6:6" x14ac:dyDescent="0.3">
      <c r="F67210" s="193"/>
    </row>
    <row r="67211" spans="6:6" x14ac:dyDescent="0.3">
      <c r="F67211" s="193"/>
    </row>
    <row r="67212" spans="6:6" x14ac:dyDescent="0.3">
      <c r="F67212" s="193"/>
    </row>
    <row r="67213" spans="6:6" x14ac:dyDescent="0.3">
      <c r="F67213" s="193"/>
    </row>
    <row r="67214" spans="6:6" x14ac:dyDescent="0.3">
      <c r="F67214" s="193"/>
    </row>
    <row r="67215" spans="6:6" x14ac:dyDescent="0.3">
      <c r="F67215" s="193"/>
    </row>
    <row r="67216" spans="6:6" x14ac:dyDescent="0.3">
      <c r="F67216" s="193"/>
    </row>
    <row r="67217" spans="6:6" x14ac:dyDescent="0.3">
      <c r="F67217" s="193"/>
    </row>
    <row r="67218" spans="6:6" x14ac:dyDescent="0.3">
      <c r="F67218" s="193"/>
    </row>
    <row r="67219" spans="6:6" x14ac:dyDescent="0.3">
      <c r="F67219" s="193"/>
    </row>
    <row r="67220" spans="6:6" x14ac:dyDescent="0.3">
      <c r="F67220" s="193"/>
    </row>
    <row r="67221" spans="6:6" x14ac:dyDescent="0.3">
      <c r="F67221" s="193"/>
    </row>
    <row r="67222" spans="6:6" x14ac:dyDescent="0.3">
      <c r="F67222" s="193"/>
    </row>
    <row r="67223" spans="6:6" x14ac:dyDescent="0.3">
      <c r="F67223" s="193"/>
    </row>
    <row r="67224" spans="6:6" x14ac:dyDescent="0.3">
      <c r="F67224" s="193"/>
    </row>
    <row r="67225" spans="6:6" x14ac:dyDescent="0.3">
      <c r="F67225" s="193"/>
    </row>
    <row r="67226" spans="6:6" x14ac:dyDescent="0.3">
      <c r="F67226" s="193"/>
    </row>
    <row r="67227" spans="6:6" x14ac:dyDescent="0.3">
      <c r="F67227" s="193"/>
    </row>
    <row r="67228" spans="6:6" x14ac:dyDescent="0.3">
      <c r="F67228" s="193"/>
    </row>
    <row r="67229" spans="6:6" x14ac:dyDescent="0.3">
      <c r="F67229" s="193"/>
    </row>
    <row r="67230" spans="6:6" x14ac:dyDescent="0.3">
      <c r="F67230" s="193"/>
    </row>
    <row r="67231" spans="6:6" x14ac:dyDescent="0.3">
      <c r="F67231" s="193"/>
    </row>
    <row r="67232" spans="6:6" x14ac:dyDescent="0.3">
      <c r="F67232" s="193"/>
    </row>
    <row r="67233" spans="6:6" x14ac:dyDescent="0.3">
      <c r="F67233" s="193"/>
    </row>
    <row r="67234" spans="6:6" x14ac:dyDescent="0.3">
      <c r="F67234" s="193"/>
    </row>
    <row r="67235" spans="6:6" x14ac:dyDescent="0.3">
      <c r="F67235" s="193"/>
    </row>
    <row r="67236" spans="6:6" x14ac:dyDescent="0.3">
      <c r="F67236" s="193"/>
    </row>
    <row r="67237" spans="6:6" x14ac:dyDescent="0.3">
      <c r="F67237" s="193"/>
    </row>
    <row r="67238" spans="6:6" x14ac:dyDescent="0.3">
      <c r="F67238" s="193"/>
    </row>
    <row r="67239" spans="6:6" x14ac:dyDescent="0.3">
      <c r="F67239" s="193"/>
    </row>
    <row r="67240" spans="6:6" x14ac:dyDescent="0.3">
      <c r="F67240" s="193"/>
    </row>
    <row r="67241" spans="6:6" x14ac:dyDescent="0.3">
      <c r="F67241" s="193"/>
    </row>
    <row r="67242" spans="6:6" x14ac:dyDescent="0.3">
      <c r="F67242" s="193"/>
    </row>
    <row r="67243" spans="6:6" x14ac:dyDescent="0.3">
      <c r="F67243" s="193"/>
    </row>
    <row r="67244" spans="6:6" x14ac:dyDescent="0.3">
      <c r="F67244" s="193"/>
    </row>
    <row r="67245" spans="6:6" x14ac:dyDescent="0.3">
      <c r="F67245" s="193"/>
    </row>
    <row r="67246" spans="6:6" x14ac:dyDescent="0.3">
      <c r="F67246" s="193"/>
    </row>
    <row r="67247" spans="6:6" x14ac:dyDescent="0.3">
      <c r="F67247" s="193"/>
    </row>
    <row r="67248" spans="6:6" x14ac:dyDescent="0.3">
      <c r="F67248" s="193"/>
    </row>
    <row r="67249" spans="6:6" x14ac:dyDescent="0.3">
      <c r="F67249" s="193"/>
    </row>
    <row r="67250" spans="6:6" x14ac:dyDescent="0.3">
      <c r="F67250" s="193"/>
    </row>
    <row r="67251" spans="6:6" x14ac:dyDescent="0.3">
      <c r="F67251" s="193"/>
    </row>
    <row r="67252" spans="6:6" x14ac:dyDescent="0.3">
      <c r="F67252" s="193"/>
    </row>
    <row r="67253" spans="6:6" x14ac:dyDescent="0.3">
      <c r="F67253" s="193"/>
    </row>
    <row r="67254" spans="6:6" x14ac:dyDescent="0.3">
      <c r="F67254" s="193"/>
    </row>
    <row r="67255" spans="6:6" x14ac:dyDescent="0.3">
      <c r="F67255" s="193"/>
    </row>
    <row r="67256" spans="6:6" x14ac:dyDescent="0.3">
      <c r="F67256" s="193"/>
    </row>
    <row r="67257" spans="6:6" x14ac:dyDescent="0.3">
      <c r="F67257" s="193"/>
    </row>
    <row r="67258" spans="6:6" x14ac:dyDescent="0.3">
      <c r="F67258" s="193"/>
    </row>
    <row r="67259" spans="6:6" x14ac:dyDescent="0.3">
      <c r="F67259" s="193"/>
    </row>
    <row r="67260" spans="6:6" x14ac:dyDescent="0.3">
      <c r="F67260" s="193"/>
    </row>
    <row r="67261" spans="6:6" x14ac:dyDescent="0.3">
      <c r="F67261" s="193"/>
    </row>
    <row r="67262" spans="6:6" x14ac:dyDescent="0.3">
      <c r="F67262" s="193"/>
    </row>
    <row r="67263" spans="6:6" x14ac:dyDescent="0.3">
      <c r="F67263" s="193"/>
    </row>
    <row r="67264" spans="6:6" x14ac:dyDescent="0.3">
      <c r="F67264" s="193"/>
    </row>
    <row r="67265" spans="6:6" x14ac:dyDescent="0.3">
      <c r="F67265" s="193"/>
    </row>
    <row r="67266" spans="6:6" x14ac:dyDescent="0.3">
      <c r="F67266" s="193"/>
    </row>
    <row r="67267" spans="6:6" x14ac:dyDescent="0.3">
      <c r="F67267" s="193"/>
    </row>
    <row r="67268" spans="6:6" x14ac:dyDescent="0.3">
      <c r="F67268" s="193"/>
    </row>
    <row r="67269" spans="6:6" x14ac:dyDescent="0.3">
      <c r="F67269" s="193"/>
    </row>
    <row r="67270" spans="6:6" x14ac:dyDescent="0.3">
      <c r="F67270" s="193"/>
    </row>
    <row r="67271" spans="6:6" x14ac:dyDescent="0.3">
      <c r="F67271" s="193"/>
    </row>
    <row r="67272" spans="6:6" x14ac:dyDescent="0.3">
      <c r="F67272" s="193"/>
    </row>
    <row r="67273" spans="6:6" x14ac:dyDescent="0.3">
      <c r="F67273" s="193"/>
    </row>
    <row r="67274" spans="6:6" x14ac:dyDescent="0.3">
      <c r="F67274" s="193"/>
    </row>
    <row r="67275" spans="6:6" x14ac:dyDescent="0.3">
      <c r="F67275" s="193"/>
    </row>
    <row r="67276" spans="6:6" x14ac:dyDescent="0.3">
      <c r="F67276" s="193"/>
    </row>
    <row r="67277" spans="6:6" x14ac:dyDescent="0.3">
      <c r="F67277" s="193"/>
    </row>
    <row r="67278" spans="6:6" x14ac:dyDescent="0.3">
      <c r="F67278" s="193"/>
    </row>
    <row r="67279" spans="6:6" x14ac:dyDescent="0.3">
      <c r="F67279" s="193"/>
    </row>
    <row r="67280" spans="6:6" x14ac:dyDescent="0.3">
      <c r="F67280" s="193"/>
    </row>
    <row r="67281" spans="6:6" x14ac:dyDescent="0.3">
      <c r="F67281" s="193"/>
    </row>
    <row r="67282" spans="6:6" x14ac:dyDescent="0.3">
      <c r="F67282" s="193"/>
    </row>
    <row r="67283" spans="6:6" x14ac:dyDescent="0.3">
      <c r="F67283" s="193"/>
    </row>
    <row r="67284" spans="6:6" x14ac:dyDescent="0.3">
      <c r="F67284" s="193"/>
    </row>
    <row r="67285" spans="6:6" x14ac:dyDescent="0.3">
      <c r="F67285" s="193"/>
    </row>
    <row r="67286" spans="6:6" x14ac:dyDescent="0.3">
      <c r="F67286" s="193"/>
    </row>
    <row r="67287" spans="6:6" x14ac:dyDescent="0.3">
      <c r="F67287" s="193"/>
    </row>
    <row r="67288" spans="6:6" x14ac:dyDescent="0.3">
      <c r="F67288" s="193"/>
    </row>
    <row r="67289" spans="6:6" x14ac:dyDescent="0.3">
      <c r="F67289" s="193"/>
    </row>
    <row r="67290" spans="6:6" x14ac:dyDescent="0.3">
      <c r="F67290" s="193"/>
    </row>
    <row r="67291" spans="6:6" x14ac:dyDescent="0.3">
      <c r="F67291" s="193"/>
    </row>
    <row r="67292" spans="6:6" x14ac:dyDescent="0.3">
      <c r="F67292" s="193"/>
    </row>
    <row r="67293" spans="6:6" x14ac:dyDescent="0.3">
      <c r="F67293" s="193"/>
    </row>
    <row r="67294" spans="6:6" x14ac:dyDescent="0.3">
      <c r="F67294" s="193"/>
    </row>
    <row r="67295" spans="6:6" x14ac:dyDescent="0.3">
      <c r="F67295" s="193"/>
    </row>
    <row r="67296" spans="6:6" x14ac:dyDescent="0.3">
      <c r="F67296" s="193"/>
    </row>
    <row r="67297" spans="6:6" x14ac:dyDescent="0.3">
      <c r="F67297" s="193"/>
    </row>
    <row r="67298" spans="6:6" x14ac:dyDescent="0.3">
      <c r="F67298" s="193"/>
    </row>
    <row r="67299" spans="6:6" x14ac:dyDescent="0.3">
      <c r="F67299" s="193"/>
    </row>
    <row r="67300" spans="6:6" x14ac:dyDescent="0.3">
      <c r="F67300" s="193"/>
    </row>
    <row r="67301" spans="6:6" x14ac:dyDescent="0.3">
      <c r="F67301" s="193"/>
    </row>
    <row r="67302" spans="6:6" x14ac:dyDescent="0.3">
      <c r="F67302" s="193"/>
    </row>
    <row r="67303" spans="6:6" x14ac:dyDescent="0.3">
      <c r="F67303" s="193"/>
    </row>
    <row r="67304" spans="6:6" x14ac:dyDescent="0.3">
      <c r="F67304" s="193"/>
    </row>
    <row r="67305" spans="6:6" x14ac:dyDescent="0.3">
      <c r="F67305" s="193"/>
    </row>
    <row r="67306" spans="6:6" x14ac:dyDescent="0.3">
      <c r="F67306" s="193"/>
    </row>
    <row r="67307" spans="6:6" x14ac:dyDescent="0.3">
      <c r="F67307" s="193"/>
    </row>
    <row r="67308" spans="6:6" x14ac:dyDescent="0.3">
      <c r="F67308" s="193"/>
    </row>
    <row r="67309" spans="6:6" x14ac:dyDescent="0.3">
      <c r="F67309" s="193"/>
    </row>
    <row r="67310" spans="6:6" x14ac:dyDescent="0.3">
      <c r="F67310" s="193"/>
    </row>
    <row r="67311" spans="6:6" x14ac:dyDescent="0.3">
      <c r="F67311" s="193"/>
    </row>
    <row r="67312" spans="6:6" x14ac:dyDescent="0.3">
      <c r="F67312" s="193"/>
    </row>
    <row r="67313" spans="6:6" x14ac:dyDescent="0.3">
      <c r="F67313" s="193"/>
    </row>
    <row r="67314" spans="6:6" x14ac:dyDescent="0.3">
      <c r="F67314" s="193"/>
    </row>
    <row r="67315" spans="6:6" x14ac:dyDescent="0.3">
      <c r="F67315" s="193"/>
    </row>
    <row r="67316" spans="6:6" x14ac:dyDescent="0.3">
      <c r="F67316" s="193"/>
    </row>
    <row r="67317" spans="6:6" x14ac:dyDescent="0.3">
      <c r="F67317" s="193"/>
    </row>
    <row r="67318" spans="6:6" x14ac:dyDescent="0.3">
      <c r="F67318" s="193"/>
    </row>
    <row r="67319" spans="6:6" x14ac:dyDescent="0.3">
      <c r="F67319" s="193"/>
    </row>
    <row r="67320" spans="6:6" x14ac:dyDescent="0.3">
      <c r="F67320" s="193"/>
    </row>
    <row r="67321" spans="6:6" x14ac:dyDescent="0.3">
      <c r="F67321" s="193"/>
    </row>
    <row r="67322" spans="6:6" x14ac:dyDescent="0.3">
      <c r="F67322" s="193"/>
    </row>
    <row r="67323" spans="6:6" x14ac:dyDescent="0.3">
      <c r="F67323" s="193"/>
    </row>
    <row r="67324" spans="6:6" x14ac:dyDescent="0.3">
      <c r="F67324" s="193"/>
    </row>
    <row r="67325" spans="6:6" x14ac:dyDescent="0.3">
      <c r="F67325" s="193"/>
    </row>
    <row r="67326" spans="6:6" x14ac:dyDescent="0.3">
      <c r="F67326" s="193"/>
    </row>
    <row r="67327" spans="6:6" x14ac:dyDescent="0.3">
      <c r="F67327" s="193"/>
    </row>
    <row r="67328" spans="6:6" x14ac:dyDescent="0.3">
      <c r="F67328" s="193"/>
    </row>
    <row r="67329" spans="6:6" x14ac:dyDescent="0.3">
      <c r="F67329" s="193"/>
    </row>
    <row r="67330" spans="6:6" x14ac:dyDescent="0.3">
      <c r="F67330" s="193"/>
    </row>
    <row r="67331" spans="6:6" x14ac:dyDescent="0.3">
      <c r="F67331" s="193"/>
    </row>
    <row r="67332" spans="6:6" x14ac:dyDescent="0.3">
      <c r="F67332" s="193"/>
    </row>
    <row r="67333" spans="6:6" x14ac:dyDescent="0.3">
      <c r="F67333" s="193"/>
    </row>
    <row r="67334" spans="6:6" x14ac:dyDescent="0.3">
      <c r="F67334" s="193"/>
    </row>
    <row r="67335" spans="6:6" x14ac:dyDescent="0.3">
      <c r="F67335" s="193"/>
    </row>
    <row r="67336" spans="6:6" x14ac:dyDescent="0.3">
      <c r="F67336" s="193"/>
    </row>
    <row r="67337" spans="6:6" x14ac:dyDescent="0.3">
      <c r="F67337" s="193"/>
    </row>
    <row r="67338" spans="6:6" x14ac:dyDescent="0.3">
      <c r="F67338" s="193"/>
    </row>
    <row r="67339" spans="6:6" x14ac:dyDescent="0.3">
      <c r="F67339" s="193"/>
    </row>
    <row r="67340" spans="6:6" x14ac:dyDescent="0.3">
      <c r="F67340" s="193"/>
    </row>
    <row r="67341" spans="6:6" x14ac:dyDescent="0.3">
      <c r="F67341" s="193"/>
    </row>
    <row r="67342" spans="6:6" x14ac:dyDescent="0.3">
      <c r="F67342" s="193"/>
    </row>
    <row r="67343" spans="6:6" x14ac:dyDescent="0.3">
      <c r="F67343" s="193"/>
    </row>
    <row r="67344" spans="6:6" x14ac:dyDescent="0.3">
      <c r="F67344" s="193"/>
    </row>
    <row r="67345" spans="6:6" x14ac:dyDescent="0.3">
      <c r="F67345" s="193"/>
    </row>
    <row r="67346" spans="6:6" x14ac:dyDescent="0.3">
      <c r="F67346" s="193"/>
    </row>
    <row r="67347" spans="6:6" x14ac:dyDescent="0.3">
      <c r="F67347" s="193"/>
    </row>
    <row r="67348" spans="6:6" x14ac:dyDescent="0.3">
      <c r="F67348" s="193"/>
    </row>
    <row r="67349" spans="6:6" x14ac:dyDescent="0.3">
      <c r="F67349" s="193"/>
    </row>
    <row r="67350" spans="6:6" x14ac:dyDescent="0.3">
      <c r="F67350" s="193"/>
    </row>
    <row r="67351" spans="6:6" x14ac:dyDescent="0.3">
      <c r="F67351" s="193"/>
    </row>
    <row r="67352" spans="6:6" x14ac:dyDescent="0.3">
      <c r="F67352" s="193"/>
    </row>
    <row r="67353" spans="6:6" x14ac:dyDescent="0.3">
      <c r="F67353" s="193"/>
    </row>
    <row r="67354" spans="6:6" x14ac:dyDescent="0.3">
      <c r="F67354" s="193"/>
    </row>
    <row r="67355" spans="6:6" x14ac:dyDescent="0.3">
      <c r="F67355" s="193"/>
    </row>
    <row r="67356" spans="6:6" x14ac:dyDescent="0.3">
      <c r="F67356" s="193"/>
    </row>
    <row r="67357" spans="6:6" x14ac:dyDescent="0.3">
      <c r="F67357" s="193"/>
    </row>
    <row r="67358" spans="6:6" x14ac:dyDescent="0.3">
      <c r="F67358" s="193"/>
    </row>
    <row r="67359" spans="6:6" x14ac:dyDescent="0.3">
      <c r="F67359" s="193"/>
    </row>
    <row r="67360" spans="6:6" x14ac:dyDescent="0.3">
      <c r="F67360" s="193"/>
    </row>
    <row r="67361" spans="6:6" x14ac:dyDescent="0.3">
      <c r="F67361" s="193"/>
    </row>
    <row r="67362" spans="6:6" x14ac:dyDescent="0.3">
      <c r="F67362" s="193"/>
    </row>
    <row r="67363" spans="6:6" x14ac:dyDescent="0.3">
      <c r="F67363" s="193"/>
    </row>
    <row r="67364" spans="6:6" x14ac:dyDescent="0.3">
      <c r="F67364" s="193"/>
    </row>
    <row r="67365" spans="6:6" x14ac:dyDescent="0.3">
      <c r="F67365" s="193"/>
    </row>
    <row r="67366" spans="6:6" x14ac:dyDescent="0.3">
      <c r="F67366" s="193"/>
    </row>
    <row r="67367" spans="6:6" x14ac:dyDescent="0.3">
      <c r="F67367" s="193"/>
    </row>
    <row r="67368" spans="6:6" x14ac:dyDescent="0.3">
      <c r="F67368" s="193"/>
    </row>
    <row r="67369" spans="6:6" x14ac:dyDescent="0.3">
      <c r="F67369" s="193"/>
    </row>
    <row r="67370" spans="6:6" x14ac:dyDescent="0.3">
      <c r="F67370" s="193"/>
    </row>
    <row r="67371" spans="6:6" x14ac:dyDescent="0.3">
      <c r="F67371" s="193"/>
    </row>
    <row r="67372" spans="6:6" x14ac:dyDescent="0.3">
      <c r="F67372" s="193"/>
    </row>
    <row r="67373" spans="6:6" x14ac:dyDescent="0.3">
      <c r="F67373" s="193"/>
    </row>
    <row r="67374" spans="6:6" x14ac:dyDescent="0.3">
      <c r="F67374" s="193"/>
    </row>
    <row r="67375" spans="6:6" x14ac:dyDescent="0.3">
      <c r="F67375" s="193"/>
    </row>
    <row r="67376" spans="6:6" x14ac:dyDescent="0.3">
      <c r="F67376" s="193"/>
    </row>
    <row r="67377" spans="6:6" x14ac:dyDescent="0.3">
      <c r="F67377" s="193"/>
    </row>
    <row r="67378" spans="6:6" x14ac:dyDescent="0.3">
      <c r="F67378" s="193"/>
    </row>
    <row r="67379" spans="6:6" x14ac:dyDescent="0.3">
      <c r="F67379" s="193"/>
    </row>
    <row r="67380" spans="6:6" x14ac:dyDescent="0.3">
      <c r="F67380" s="193"/>
    </row>
    <row r="67381" spans="6:6" x14ac:dyDescent="0.3">
      <c r="F67381" s="193"/>
    </row>
    <row r="67382" spans="6:6" x14ac:dyDescent="0.3">
      <c r="F67382" s="193"/>
    </row>
    <row r="67383" spans="6:6" x14ac:dyDescent="0.3">
      <c r="F67383" s="193"/>
    </row>
    <row r="67384" spans="6:6" x14ac:dyDescent="0.3">
      <c r="F67384" s="193"/>
    </row>
    <row r="67385" spans="6:6" x14ac:dyDescent="0.3">
      <c r="F67385" s="193"/>
    </row>
    <row r="67386" spans="6:6" x14ac:dyDescent="0.3">
      <c r="F67386" s="193"/>
    </row>
    <row r="67387" spans="6:6" x14ac:dyDescent="0.3">
      <c r="F67387" s="193"/>
    </row>
    <row r="67388" spans="6:6" x14ac:dyDescent="0.3">
      <c r="F67388" s="193"/>
    </row>
    <row r="67389" spans="6:6" x14ac:dyDescent="0.3">
      <c r="F67389" s="193"/>
    </row>
    <row r="67390" spans="6:6" x14ac:dyDescent="0.3">
      <c r="F67390" s="193"/>
    </row>
    <row r="67391" spans="6:6" x14ac:dyDescent="0.3">
      <c r="F67391" s="193"/>
    </row>
    <row r="67392" spans="6:6" x14ac:dyDescent="0.3">
      <c r="F67392" s="193"/>
    </row>
    <row r="67393" spans="6:6" x14ac:dyDescent="0.3">
      <c r="F67393" s="193"/>
    </row>
    <row r="67394" spans="6:6" x14ac:dyDescent="0.3">
      <c r="F67394" s="193"/>
    </row>
    <row r="67395" spans="6:6" x14ac:dyDescent="0.3">
      <c r="F67395" s="193"/>
    </row>
    <row r="67396" spans="6:6" x14ac:dyDescent="0.3">
      <c r="F67396" s="193"/>
    </row>
    <row r="67397" spans="6:6" x14ac:dyDescent="0.3">
      <c r="F67397" s="193"/>
    </row>
    <row r="67398" spans="6:6" x14ac:dyDescent="0.3">
      <c r="F67398" s="193"/>
    </row>
    <row r="67399" spans="6:6" x14ac:dyDescent="0.3">
      <c r="F67399" s="193"/>
    </row>
    <row r="67400" spans="6:6" x14ac:dyDescent="0.3">
      <c r="F67400" s="193"/>
    </row>
    <row r="67401" spans="6:6" x14ac:dyDescent="0.3">
      <c r="F67401" s="193"/>
    </row>
    <row r="67402" spans="6:6" x14ac:dyDescent="0.3">
      <c r="F67402" s="193"/>
    </row>
    <row r="67403" spans="6:6" x14ac:dyDescent="0.3">
      <c r="F67403" s="193"/>
    </row>
    <row r="67404" spans="6:6" x14ac:dyDescent="0.3">
      <c r="F67404" s="193"/>
    </row>
    <row r="67405" spans="6:6" x14ac:dyDescent="0.3">
      <c r="F67405" s="193"/>
    </row>
    <row r="67406" spans="6:6" x14ac:dyDescent="0.3">
      <c r="F67406" s="193"/>
    </row>
    <row r="67407" spans="6:6" x14ac:dyDescent="0.3">
      <c r="F67407" s="193"/>
    </row>
    <row r="67408" spans="6:6" x14ac:dyDescent="0.3">
      <c r="F67408" s="193"/>
    </row>
    <row r="67409" spans="6:6" x14ac:dyDescent="0.3">
      <c r="F67409" s="193"/>
    </row>
    <row r="67410" spans="6:6" x14ac:dyDescent="0.3">
      <c r="F67410" s="193"/>
    </row>
    <row r="67411" spans="6:6" x14ac:dyDescent="0.3">
      <c r="F67411" s="193"/>
    </row>
    <row r="67412" spans="6:6" x14ac:dyDescent="0.3">
      <c r="F67412" s="193"/>
    </row>
    <row r="67413" spans="6:6" x14ac:dyDescent="0.3">
      <c r="F67413" s="193"/>
    </row>
    <row r="67414" spans="6:6" x14ac:dyDescent="0.3">
      <c r="F67414" s="193"/>
    </row>
    <row r="67415" spans="6:6" x14ac:dyDescent="0.3">
      <c r="F67415" s="193"/>
    </row>
    <row r="67416" spans="6:6" x14ac:dyDescent="0.3">
      <c r="F67416" s="193"/>
    </row>
    <row r="67417" spans="6:6" x14ac:dyDescent="0.3">
      <c r="F67417" s="193"/>
    </row>
    <row r="67418" spans="6:6" x14ac:dyDescent="0.3">
      <c r="F67418" s="193"/>
    </row>
    <row r="67419" spans="6:6" x14ac:dyDescent="0.3">
      <c r="F67419" s="193"/>
    </row>
    <row r="67420" spans="6:6" x14ac:dyDescent="0.3">
      <c r="F67420" s="193"/>
    </row>
    <row r="67421" spans="6:6" x14ac:dyDescent="0.3">
      <c r="F67421" s="193"/>
    </row>
    <row r="67422" spans="6:6" x14ac:dyDescent="0.3">
      <c r="F67422" s="193"/>
    </row>
    <row r="67423" spans="6:6" x14ac:dyDescent="0.3">
      <c r="F67423" s="193"/>
    </row>
    <row r="67424" spans="6:6" x14ac:dyDescent="0.3">
      <c r="F67424" s="193"/>
    </row>
    <row r="67425" spans="6:6" x14ac:dyDescent="0.3">
      <c r="F67425" s="193"/>
    </row>
    <row r="67426" spans="6:6" x14ac:dyDescent="0.3">
      <c r="F67426" s="193"/>
    </row>
    <row r="67427" spans="6:6" x14ac:dyDescent="0.3">
      <c r="F67427" s="193"/>
    </row>
    <row r="67428" spans="6:6" x14ac:dyDescent="0.3">
      <c r="F67428" s="193"/>
    </row>
    <row r="67429" spans="6:6" x14ac:dyDescent="0.3">
      <c r="F67429" s="193"/>
    </row>
    <row r="67430" spans="6:6" x14ac:dyDescent="0.3">
      <c r="F67430" s="193"/>
    </row>
    <row r="67431" spans="6:6" x14ac:dyDescent="0.3">
      <c r="F67431" s="193"/>
    </row>
    <row r="67432" spans="6:6" x14ac:dyDescent="0.3">
      <c r="F67432" s="193"/>
    </row>
    <row r="67433" spans="6:6" x14ac:dyDescent="0.3">
      <c r="F67433" s="193"/>
    </row>
    <row r="67434" spans="6:6" x14ac:dyDescent="0.3">
      <c r="F67434" s="193"/>
    </row>
    <row r="67435" spans="6:6" x14ac:dyDescent="0.3">
      <c r="F67435" s="193"/>
    </row>
    <row r="67436" spans="6:6" x14ac:dyDescent="0.3">
      <c r="F67436" s="193"/>
    </row>
    <row r="67437" spans="6:6" x14ac:dyDescent="0.3">
      <c r="F67437" s="193"/>
    </row>
    <row r="67438" spans="6:6" x14ac:dyDescent="0.3">
      <c r="F67438" s="193"/>
    </row>
    <row r="67439" spans="6:6" x14ac:dyDescent="0.3">
      <c r="F67439" s="193"/>
    </row>
    <row r="67440" spans="6:6" x14ac:dyDescent="0.3">
      <c r="F67440" s="193"/>
    </row>
    <row r="67441" spans="6:6" x14ac:dyDescent="0.3">
      <c r="F67441" s="193"/>
    </row>
    <row r="67442" spans="6:6" x14ac:dyDescent="0.3">
      <c r="F67442" s="193"/>
    </row>
    <row r="67443" spans="6:6" x14ac:dyDescent="0.3">
      <c r="F67443" s="193"/>
    </row>
    <row r="67444" spans="6:6" x14ac:dyDescent="0.3">
      <c r="F67444" s="193"/>
    </row>
    <row r="67445" spans="6:6" x14ac:dyDescent="0.3">
      <c r="F67445" s="193"/>
    </row>
    <row r="67446" spans="6:6" x14ac:dyDescent="0.3">
      <c r="F67446" s="193"/>
    </row>
    <row r="67447" spans="6:6" x14ac:dyDescent="0.3">
      <c r="F67447" s="193"/>
    </row>
    <row r="67448" spans="6:6" x14ac:dyDescent="0.3">
      <c r="F67448" s="193"/>
    </row>
    <row r="67449" spans="6:6" x14ac:dyDescent="0.3">
      <c r="F67449" s="193"/>
    </row>
    <row r="67450" spans="6:6" x14ac:dyDescent="0.3">
      <c r="F67450" s="193"/>
    </row>
    <row r="67451" spans="6:6" x14ac:dyDescent="0.3">
      <c r="F67451" s="193"/>
    </row>
    <row r="67452" spans="6:6" x14ac:dyDescent="0.3">
      <c r="F67452" s="193"/>
    </row>
    <row r="67453" spans="6:6" x14ac:dyDescent="0.3">
      <c r="F67453" s="193"/>
    </row>
    <row r="67454" spans="6:6" x14ac:dyDescent="0.3">
      <c r="F67454" s="193"/>
    </row>
    <row r="67455" spans="6:6" x14ac:dyDescent="0.3">
      <c r="F67455" s="193"/>
    </row>
    <row r="67456" spans="6:6" x14ac:dyDescent="0.3">
      <c r="F67456" s="193"/>
    </row>
    <row r="67457" spans="6:6" x14ac:dyDescent="0.3">
      <c r="F67457" s="193"/>
    </row>
    <row r="67458" spans="6:6" x14ac:dyDescent="0.3">
      <c r="F67458" s="193"/>
    </row>
    <row r="67459" spans="6:6" x14ac:dyDescent="0.3">
      <c r="F67459" s="193"/>
    </row>
    <row r="67460" spans="6:6" x14ac:dyDescent="0.3">
      <c r="F67460" s="193"/>
    </row>
    <row r="67461" spans="6:6" x14ac:dyDescent="0.3">
      <c r="F67461" s="193"/>
    </row>
    <row r="67462" spans="6:6" x14ac:dyDescent="0.3">
      <c r="F67462" s="193"/>
    </row>
    <row r="67463" spans="6:6" x14ac:dyDescent="0.3">
      <c r="F67463" s="193"/>
    </row>
    <row r="67464" spans="6:6" x14ac:dyDescent="0.3">
      <c r="F67464" s="193"/>
    </row>
    <row r="67465" spans="6:6" x14ac:dyDescent="0.3">
      <c r="F67465" s="193"/>
    </row>
    <row r="67466" spans="6:6" x14ac:dyDescent="0.3">
      <c r="F67466" s="193"/>
    </row>
    <row r="67467" spans="6:6" x14ac:dyDescent="0.3">
      <c r="F67467" s="193"/>
    </row>
    <row r="67468" spans="6:6" x14ac:dyDescent="0.3">
      <c r="F67468" s="193"/>
    </row>
    <row r="67469" spans="6:6" x14ac:dyDescent="0.3">
      <c r="F67469" s="193"/>
    </row>
    <row r="67470" spans="6:6" x14ac:dyDescent="0.3">
      <c r="F67470" s="193"/>
    </row>
    <row r="67471" spans="6:6" x14ac:dyDescent="0.3">
      <c r="F67471" s="193"/>
    </row>
    <row r="67472" spans="6:6" x14ac:dyDescent="0.3">
      <c r="F67472" s="193"/>
    </row>
    <row r="67473" spans="6:6" x14ac:dyDescent="0.3">
      <c r="F67473" s="193"/>
    </row>
    <row r="67474" spans="6:6" x14ac:dyDescent="0.3">
      <c r="F67474" s="193"/>
    </row>
    <row r="67475" spans="6:6" x14ac:dyDescent="0.3">
      <c r="F67475" s="193"/>
    </row>
    <row r="67476" spans="6:6" x14ac:dyDescent="0.3">
      <c r="F67476" s="193"/>
    </row>
    <row r="67477" spans="6:6" x14ac:dyDescent="0.3">
      <c r="F67477" s="193"/>
    </row>
    <row r="67478" spans="6:6" x14ac:dyDescent="0.3">
      <c r="F67478" s="193"/>
    </row>
    <row r="67479" spans="6:6" x14ac:dyDescent="0.3">
      <c r="F67479" s="193"/>
    </row>
    <row r="67480" spans="6:6" x14ac:dyDescent="0.3">
      <c r="F67480" s="193"/>
    </row>
    <row r="67481" spans="6:6" x14ac:dyDescent="0.3">
      <c r="F67481" s="193"/>
    </row>
    <row r="67482" spans="6:6" x14ac:dyDescent="0.3">
      <c r="F67482" s="193"/>
    </row>
    <row r="67483" spans="6:6" x14ac:dyDescent="0.3">
      <c r="F67483" s="193"/>
    </row>
    <row r="67484" spans="6:6" x14ac:dyDescent="0.3">
      <c r="F67484" s="193"/>
    </row>
    <row r="67485" spans="6:6" x14ac:dyDescent="0.3">
      <c r="F67485" s="193"/>
    </row>
    <row r="67486" spans="6:6" x14ac:dyDescent="0.3">
      <c r="F67486" s="193"/>
    </row>
    <row r="67487" spans="6:6" x14ac:dyDescent="0.3">
      <c r="F67487" s="193"/>
    </row>
    <row r="67488" spans="6:6" x14ac:dyDescent="0.3">
      <c r="F67488" s="193"/>
    </row>
    <row r="67489" spans="6:6" x14ac:dyDescent="0.3">
      <c r="F67489" s="193"/>
    </row>
    <row r="67490" spans="6:6" x14ac:dyDescent="0.3">
      <c r="F67490" s="193"/>
    </row>
    <row r="67491" spans="6:6" x14ac:dyDescent="0.3">
      <c r="F67491" s="193"/>
    </row>
    <row r="67492" spans="6:6" x14ac:dyDescent="0.3">
      <c r="F67492" s="193"/>
    </row>
    <row r="67493" spans="6:6" x14ac:dyDescent="0.3">
      <c r="F67493" s="193"/>
    </row>
    <row r="67494" spans="6:6" x14ac:dyDescent="0.3">
      <c r="F67494" s="193"/>
    </row>
    <row r="67495" spans="6:6" x14ac:dyDescent="0.3">
      <c r="F67495" s="193"/>
    </row>
    <row r="67496" spans="6:6" x14ac:dyDescent="0.3">
      <c r="F67496" s="193"/>
    </row>
    <row r="67497" spans="6:6" x14ac:dyDescent="0.3">
      <c r="F67497" s="193"/>
    </row>
    <row r="67498" spans="6:6" x14ac:dyDescent="0.3">
      <c r="F67498" s="193"/>
    </row>
    <row r="67499" spans="6:6" x14ac:dyDescent="0.3">
      <c r="F67499" s="193"/>
    </row>
    <row r="67500" spans="6:6" x14ac:dyDescent="0.3">
      <c r="F67500" s="193"/>
    </row>
    <row r="67501" spans="6:6" x14ac:dyDescent="0.3">
      <c r="F67501" s="193"/>
    </row>
    <row r="67502" spans="6:6" x14ac:dyDescent="0.3">
      <c r="F67502" s="193"/>
    </row>
    <row r="67503" spans="6:6" x14ac:dyDescent="0.3">
      <c r="F67503" s="193"/>
    </row>
    <row r="67504" spans="6:6" x14ac:dyDescent="0.3">
      <c r="F67504" s="193"/>
    </row>
    <row r="67505" spans="6:6" x14ac:dyDescent="0.3">
      <c r="F67505" s="193"/>
    </row>
    <row r="67506" spans="6:6" x14ac:dyDescent="0.3">
      <c r="F67506" s="193"/>
    </row>
    <row r="67507" spans="6:6" x14ac:dyDescent="0.3">
      <c r="F67507" s="193"/>
    </row>
    <row r="67508" spans="6:6" x14ac:dyDescent="0.3">
      <c r="F67508" s="193"/>
    </row>
    <row r="67509" spans="6:6" x14ac:dyDescent="0.3">
      <c r="F67509" s="193"/>
    </row>
    <row r="67510" spans="6:6" x14ac:dyDescent="0.3">
      <c r="F67510" s="193"/>
    </row>
    <row r="67511" spans="6:6" x14ac:dyDescent="0.3">
      <c r="F67511" s="193"/>
    </row>
    <row r="67512" spans="6:6" x14ac:dyDescent="0.3">
      <c r="F67512" s="193"/>
    </row>
    <row r="67513" spans="6:6" x14ac:dyDescent="0.3">
      <c r="F67513" s="193"/>
    </row>
    <row r="67514" spans="6:6" x14ac:dyDescent="0.3">
      <c r="F67514" s="193"/>
    </row>
    <row r="67515" spans="6:6" x14ac:dyDescent="0.3">
      <c r="F67515" s="193"/>
    </row>
    <row r="67516" spans="6:6" x14ac:dyDescent="0.3">
      <c r="F67516" s="193"/>
    </row>
    <row r="67517" spans="6:6" x14ac:dyDescent="0.3">
      <c r="F67517" s="193"/>
    </row>
    <row r="67518" spans="6:6" x14ac:dyDescent="0.3">
      <c r="F67518" s="193"/>
    </row>
    <row r="67519" spans="6:6" x14ac:dyDescent="0.3">
      <c r="F67519" s="193"/>
    </row>
    <row r="67520" spans="6:6" x14ac:dyDescent="0.3">
      <c r="F67520" s="193"/>
    </row>
    <row r="67521" spans="6:6" x14ac:dyDescent="0.3">
      <c r="F67521" s="193"/>
    </row>
    <row r="67522" spans="6:6" x14ac:dyDescent="0.3">
      <c r="F67522" s="193"/>
    </row>
    <row r="67523" spans="6:6" x14ac:dyDescent="0.3">
      <c r="F67523" s="193"/>
    </row>
    <row r="67524" spans="6:6" x14ac:dyDescent="0.3">
      <c r="F67524" s="193"/>
    </row>
    <row r="67525" spans="6:6" x14ac:dyDescent="0.3">
      <c r="F67525" s="193"/>
    </row>
    <row r="67526" spans="6:6" x14ac:dyDescent="0.3">
      <c r="F67526" s="193"/>
    </row>
    <row r="67527" spans="6:6" x14ac:dyDescent="0.3">
      <c r="F67527" s="193"/>
    </row>
    <row r="67528" spans="6:6" x14ac:dyDescent="0.3">
      <c r="F67528" s="193"/>
    </row>
    <row r="67529" spans="6:6" x14ac:dyDescent="0.3">
      <c r="F67529" s="193"/>
    </row>
    <row r="67530" spans="6:6" x14ac:dyDescent="0.3">
      <c r="F67530" s="193"/>
    </row>
    <row r="67531" spans="6:6" x14ac:dyDescent="0.3">
      <c r="F67531" s="193"/>
    </row>
    <row r="67532" spans="6:6" x14ac:dyDescent="0.3">
      <c r="F67532" s="193"/>
    </row>
    <row r="67533" spans="6:6" x14ac:dyDescent="0.3">
      <c r="F67533" s="193"/>
    </row>
    <row r="67534" spans="6:6" x14ac:dyDescent="0.3">
      <c r="F67534" s="193"/>
    </row>
    <row r="67535" spans="6:6" x14ac:dyDescent="0.3">
      <c r="F67535" s="193"/>
    </row>
    <row r="67536" spans="6:6" x14ac:dyDescent="0.3">
      <c r="F67536" s="193"/>
    </row>
    <row r="67537" spans="6:6" x14ac:dyDescent="0.3">
      <c r="F67537" s="193"/>
    </row>
    <row r="67538" spans="6:6" x14ac:dyDescent="0.3">
      <c r="F67538" s="193"/>
    </row>
    <row r="67539" spans="6:6" x14ac:dyDescent="0.3">
      <c r="F67539" s="193"/>
    </row>
    <row r="67540" spans="6:6" x14ac:dyDescent="0.3">
      <c r="F67540" s="193"/>
    </row>
    <row r="67541" spans="6:6" x14ac:dyDescent="0.3">
      <c r="F67541" s="193"/>
    </row>
    <row r="67542" spans="6:6" x14ac:dyDescent="0.3">
      <c r="F67542" s="193"/>
    </row>
    <row r="67543" spans="6:6" x14ac:dyDescent="0.3">
      <c r="F67543" s="193"/>
    </row>
    <row r="67544" spans="6:6" x14ac:dyDescent="0.3">
      <c r="F67544" s="193"/>
    </row>
    <row r="67545" spans="6:6" x14ac:dyDescent="0.3">
      <c r="F67545" s="193"/>
    </row>
    <row r="67546" spans="6:6" x14ac:dyDescent="0.3">
      <c r="F67546" s="193"/>
    </row>
    <row r="67547" spans="6:6" x14ac:dyDescent="0.3">
      <c r="F67547" s="193"/>
    </row>
    <row r="67548" spans="6:6" x14ac:dyDescent="0.3">
      <c r="F67548" s="193"/>
    </row>
    <row r="67549" spans="6:6" x14ac:dyDescent="0.3">
      <c r="F67549" s="193"/>
    </row>
    <row r="67550" spans="6:6" x14ac:dyDescent="0.3">
      <c r="F67550" s="193"/>
    </row>
    <row r="67551" spans="6:6" x14ac:dyDescent="0.3">
      <c r="F67551" s="193"/>
    </row>
    <row r="67552" spans="6:6" x14ac:dyDescent="0.3">
      <c r="F67552" s="193"/>
    </row>
    <row r="67553" spans="6:6" x14ac:dyDescent="0.3">
      <c r="F67553" s="193"/>
    </row>
    <row r="67554" spans="6:6" x14ac:dyDescent="0.3">
      <c r="F67554" s="193"/>
    </row>
    <row r="67555" spans="6:6" x14ac:dyDescent="0.3">
      <c r="F67555" s="193"/>
    </row>
    <row r="67556" spans="6:6" x14ac:dyDescent="0.3">
      <c r="F67556" s="193"/>
    </row>
    <row r="67557" spans="6:6" x14ac:dyDescent="0.3">
      <c r="F67557" s="193"/>
    </row>
    <row r="67558" spans="6:6" x14ac:dyDescent="0.3">
      <c r="F67558" s="193"/>
    </row>
    <row r="67559" spans="6:6" x14ac:dyDescent="0.3">
      <c r="F67559" s="193"/>
    </row>
    <row r="67560" spans="6:6" x14ac:dyDescent="0.3">
      <c r="F67560" s="193"/>
    </row>
    <row r="67561" spans="6:6" x14ac:dyDescent="0.3">
      <c r="F67561" s="193"/>
    </row>
    <row r="67562" spans="6:6" x14ac:dyDescent="0.3">
      <c r="F67562" s="193"/>
    </row>
    <row r="67563" spans="6:6" x14ac:dyDescent="0.3">
      <c r="F67563" s="193"/>
    </row>
    <row r="67564" spans="6:6" x14ac:dyDescent="0.3">
      <c r="F67564" s="193"/>
    </row>
    <row r="67565" spans="6:6" x14ac:dyDescent="0.3">
      <c r="F67565" s="193"/>
    </row>
    <row r="67566" spans="6:6" x14ac:dyDescent="0.3">
      <c r="F67566" s="193"/>
    </row>
    <row r="67567" spans="6:6" x14ac:dyDescent="0.3">
      <c r="F67567" s="193"/>
    </row>
    <row r="67568" spans="6:6" x14ac:dyDescent="0.3">
      <c r="F67568" s="193"/>
    </row>
    <row r="67569" spans="6:6" x14ac:dyDescent="0.3">
      <c r="F67569" s="193"/>
    </row>
    <row r="67570" spans="6:6" x14ac:dyDescent="0.3">
      <c r="F67570" s="193"/>
    </row>
    <row r="67571" spans="6:6" x14ac:dyDescent="0.3">
      <c r="F67571" s="193"/>
    </row>
    <row r="67572" spans="6:6" x14ac:dyDescent="0.3">
      <c r="F67572" s="193"/>
    </row>
    <row r="67573" spans="6:6" x14ac:dyDescent="0.3">
      <c r="F67573" s="193"/>
    </row>
    <row r="67574" spans="6:6" x14ac:dyDescent="0.3">
      <c r="F67574" s="193"/>
    </row>
    <row r="67575" spans="6:6" x14ac:dyDescent="0.3">
      <c r="F67575" s="193"/>
    </row>
    <row r="67576" spans="6:6" x14ac:dyDescent="0.3">
      <c r="F67576" s="193"/>
    </row>
    <row r="67577" spans="6:6" x14ac:dyDescent="0.3">
      <c r="F67577" s="193"/>
    </row>
    <row r="67578" spans="6:6" x14ac:dyDescent="0.3">
      <c r="F67578" s="193"/>
    </row>
    <row r="67579" spans="6:6" x14ac:dyDescent="0.3">
      <c r="F67579" s="193"/>
    </row>
    <row r="67580" spans="6:6" x14ac:dyDescent="0.3">
      <c r="F67580" s="193"/>
    </row>
    <row r="67581" spans="6:6" x14ac:dyDescent="0.3">
      <c r="F67581" s="193"/>
    </row>
    <row r="67582" spans="6:6" x14ac:dyDescent="0.3">
      <c r="F67582" s="193"/>
    </row>
    <row r="67583" spans="6:6" x14ac:dyDescent="0.3">
      <c r="F67583" s="193"/>
    </row>
    <row r="67584" spans="6:6" x14ac:dyDescent="0.3">
      <c r="F67584" s="193"/>
    </row>
    <row r="67585" spans="6:6" x14ac:dyDescent="0.3">
      <c r="F67585" s="193"/>
    </row>
    <row r="67586" spans="6:6" x14ac:dyDescent="0.3">
      <c r="F67586" s="193"/>
    </row>
    <row r="67587" spans="6:6" x14ac:dyDescent="0.3">
      <c r="F67587" s="193"/>
    </row>
    <row r="67588" spans="6:6" x14ac:dyDescent="0.3">
      <c r="F67588" s="193"/>
    </row>
    <row r="67589" spans="6:6" x14ac:dyDescent="0.3">
      <c r="F67589" s="193"/>
    </row>
    <row r="67590" spans="6:6" x14ac:dyDescent="0.3">
      <c r="F67590" s="193"/>
    </row>
    <row r="67591" spans="6:6" x14ac:dyDescent="0.3">
      <c r="F67591" s="193"/>
    </row>
    <row r="67592" spans="6:6" x14ac:dyDescent="0.3">
      <c r="F67592" s="193"/>
    </row>
    <row r="67593" spans="6:6" x14ac:dyDescent="0.3">
      <c r="F67593" s="193"/>
    </row>
    <row r="67594" spans="6:6" x14ac:dyDescent="0.3">
      <c r="F67594" s="193"/>
    </row>
    <row r="67595" spans="6:6" x14ac:dyDescent="0.3">
      <c r="F67595" s="193"/>
    </row>
    <row r="67596" spans="6:6" x14ac:dyDescent="0.3">
      <c r="F67596" s="193"/>
    </row>
    <row r="67597" spans="6:6" x14ac:dyDescent="0.3">
      <c r="F67597" s="193"/>
    </row>
    <row r="67598" spans="6:6" x14ac:dyDescent="0.3">
      <c r="F67598" s="193"/>
    </row>
    <row r="67599" spans="6:6" x14ac:dyDescent="0.3">
      <c r="F67599" s="193"/>
    </row>
    <row r="67600" spans="6:6" x14ac:dyDescent="0.3">
      <c r="F67600" s="193"/>
    </row>
    <row r="67601" spans="6:6" x14ac:dyDescent="0.3">
      <c r="F67601" s="193"/>
    </row>
    <row r="67602" spans="6:6" x14ac:dyDescent="0.3">
      <c r="F67602" s="193"/>
    </row>
    <row r="67603" spans="6:6" x14ac:dyDescent="0.3">
      <c r="F67603" s="193"/>
    </row>
    <row r="67604" spans="6:6" x14ac:dyDescent="0.3">
      <c r="F67604" s="193"/>
    </row>
    <row r="67605" spans="6:6" x14ac:dyDescent="0.3">
      <c r="F67605" s="193"/>
    </row>
    <row r="67606" spans="6:6" x14ac:dyDescent="0.3">
      <c r="F67606" s="193"/>
    </row>
    <row r="67607" spans="6:6" x14ac:dyDescent="0.3">
      <c r="F67607" s="193"/>
    </row>
    <row r="67608" spans="6:6" x14ac:dyDescent="0.3">
      <c r="F67608" s="193"/>
    </row>
    <row r="67609" spans="6:6" x14ac:dyDescent="0.3">
      <c r="F67609" s="193"/>
    </row>
    <row r="67610" spans="6:6" x14ac:dyDescent="0.3">
      <c r="F67610" s="193"/>
    </row>
    <row r="67611" spans="6:6" x14ac:dyDescent="0.3">
      <c r="F67611" s="193"/>
    </row>
    <row r="67612" spans="6:6" x14ac:dyDescent="0.3">
      <c r="F67612" s="193"/>
    </row>
    <row r="67613" spans="6:6" x14ac:dyDescent="0.3">
      <c r="F67613" s="193"/>
    </row>
    <row r="67614" spans="6:6" x14ac:dyDescent="0.3">
      <c r="F67614" s="193"/>
    </row>
    <row r="67615" spans="6:6" x14ac:dyDescent="0.3">
      <c r="F67615" s="193"/>
    </row>
    <row r="67616" spans="6:6" x14ac:dyDescent="0.3">
      <c r="F67616" s="193"/>
    </row>
    <row r="67617" spans="6:6" x14ac:dyDescent="0.3">
      <c r="F67617" s="193"/>
    </row>
    <row r="67618" spans="6:6" x14ac:dyDescent="0.3">
      <c r="F67618" s="193"/>
    </row>
    <row r="67619" spans="6:6" x14ac:dyDescent="0.3">
      <c r="F67619" s="193"/>
    </row>
    <row r="67620" spans="6:6" x14ac:dyDescent="0.3">
      <c r="F67620" s="193"/>
    </row>
    <row r="67621" spans="6:6" x14ac:dyDescent="0.3">
      <c r="F67621" s="193"/>
    </row>
    <row r="67622" spans="6:6" x14ac:dyDescent="0.3">
      <c r="F67622" s="193"/>
    </row>
    <row r="67623" spans="6:6" x14ac:dyDescent="0.3">
      <c r="F67623" s="193"/>
    </row>
    <row r="67624" spans="6:6" x14ac:dyDescent="0.3">
      <c r="F67624" s="193"/>
    </row>
    <row r="67625" spans="6:6" x14ac:dyDescent="0.3">
      <c r="F67625" s="193"/>
    </row>
    <row r="67626" spans="6:6" x14ac:dyDescent="0.3">
      <c r="F67626" s="193"/>
    </row>
    <row r="67627" spans="6:6" x14ac:dyDescent="0.3">
      <c r="F67627" s="193"/>
    </row>
    <row r="67628" spans="6:6" x14ac:dyDescent="0.3">
      <c r="F67628" s="193"/>
    </row>
    <row r="67629" spans="6:6" x14ac:dyDescent="0.3">
      <c r="F67629" s="193"/>
    </row>
    <row r="67630" spans="6:6" x14ac:dyDescent="0.3">
      <c r="F67630" s="193"/>
    </row>
    <row r="67631" spans="6:6" x14ac:dyDescent="0.3">
      <c r="F67631" s="193"/>
    </row>
    <row r="67632" spans="6:6" x14ac:dyDescent="0.3">
      <c r="F67632" s="193"/>
    </row>
    <row r="67633" spans="6:6" x14ac:dyDescent="0.3">
      <c r="F67633" s="193"/>
    </row>
    <row r="67634" spans="6:6" x14ac:dyDescent="0.3">
      <c r="F67634" s="193"/>
    </row>
    <row r="67635" spans="6:6" x14ac:dyDescent="0.3">
      <c r="F67635" s="193"/>
    </row>
    <row r="67636" spans="6:6" x14ac:dyDescent="0.3">
      <c r="F67636" s="193"/>
    </row>
    <row r="67637" spans="6:6" x14ac:dyDescent="0.3">
      <c r="F67637" s="193"/>
    </row>
    <row r="67638" spans="6:6" x14ac:dyDescent="0.3">
      <c r="F67638" s="193"/>
    </row>
    <row r="67639" spans="6:6" x14ac:dyDescent="0.3">
      <c r="F67639" s="193"/>
    </row>
    <row r="67640" spans="6:6" x14ac:dyDescent="0.3">
      <c r="F67640" s="193"/>
    </row>
    <row r="67641" spans="6:6" x14ac:dyDescent="0.3">
      <c r="F67641" s="193"/>
    </row>
    <row r="67642" spans="6:6" x14ac:dyDescent="0.3">
      <c r="F67642" s="193"/>
    </row>
    <row r="67643" spans="6:6" x14ac:dyDescent="0.3">
      <c r="F67643" s="193"/>
    </row>
    <row r="67644" spans="6:6" x14ac:dyDescent="0.3">
      <c r="F67644" s="193"/>
    </row>
    <row r="67645" spans="6:6" x14ac:dyDescent="0.3">
      <c r="F67645" s="193"/>
    </row>
    <row r="67646" spans="6:6" x14ac:dyDescent="0.3">
      <c r="F67646" s="193"/>
    </row>
    <row r="67647" spans="6:6" x14ac:dyDescent="0.3">
      <c r="F67647" s="193"/>
    </row>
    <row r="67648" spans="6:6" x14ac:dyDescent="0.3">
      <c r="F67648" s="193"/>
    </row>
    <row r="67649" spans="6:6" x14ac:dyDescent="0.3">
      <c r="F67649" s="193"/>
    </row>
    <row r="67650" spans="6:6" x14ac:dyDescent="0.3">
      <c r="F67650" s="193"/>
    </row>
    <row r="67651" spans="6:6" x14ac:dyDescent="0.3">
      <c r="F67651" s="193"/>
    </row>
    <row r="67652" spans="6:6" x14ac:dyDescent="0.3">
      <c r="F67652" s="193"/>
    </row>
    <row r="67653" spans="6:6" x14ac:dyDescent="0.3">
      <c r="F67653" s="193"/>
    </row>
    <row r="67654" spans="6:6" x14ac:dyDescent="0.3">
      <c r="F67654" s="193"/>
    </row>
    <row r="67655" spans="6:6" x14ac:dyDescent="0.3">
      <c r="F67655" s="193"/>
    </row>
    <row r="67656" spans="6:6" x14ac:dyDescent="0.3">
      <c r="F67656" s="193"/>
    </row>
    <row r="67657" spans="6:6" x14ac:dyDescent="0.3">
      <c r="F67657" s="193"/>
    </row>
    <row r="67658" spans="6:6" x14ac:dyDescent="0.3">
      <c r="F67658" s="193"/>
    </row>
    <row r="67659" spans="6:6" x14ac:dyDescent="0.3">
      <c r="F67659" s="193"/>
    </row>
    <row r="67660" spans="6:6" x14ac:dyDescent="0.3">
      <c r="F67660" s="193"/>
    </row>
    <row r="67661" spans="6:6" x14ac:dyDescent="0.3">
      <c r="F67661" s="193"/>
    </row>
    <row r="67662" spans="6:6" x14ac:dyDescent="0.3">
      <c r="F67662" s="193"/>
    </row>
    <row r="67663" spans="6:6" x14ac:dyDescent="0.3">
      <c r="F67663" s="193"/>
    </row>
    <row r="67664" spans="6:6" x14ac:dyDescent="0.3">
      <c r="F67664" s="193"/>
    </row>
    <row r="67665" spans="6:6" x14ac:dyDescent="0.3">
      <c r="F67665" s="193"/>
    </row>
    <row r="67666" spans="6:6" x14ac:dyDescent="0.3">
      <c r="F67666" s="193"/>
    </row>
    <row r="67667" spans="6:6" x14ac:dyDescent="0.3">
      <c r="F67667" s="193"/>
    </row>
    <row r="67668" spans="6:6" x14ac:dyDescent="0.3">
      <c r="F67668" s="193"/>
    </row>
    <row r="67669" spans="6:6" x14ac:dyDescent="0.3">
      <c r="F67669" s="193"/>
    </row>
    <row r="67670" spans="6:6" x14ac:dyDescent="0.3">
      <c r="F67670" s="193"/>
    </row>
    <row r="67671" spans="6:6" x14ac:dyDescent="0.3">
      <c r="F67671" s="193"/>
    </row>
    <row r="67672" spans="6:6" x14ac:dyDescent="0.3">
      <c r="F67672" s="193"/>
    </row>
    <row r="67673" spans="6:6" x14ac:dyDescent="0.3">
      <c r="F67673" s="193"/>
    </row>
    <row r="67674" spans="6:6" x14ac:dyDescent="0.3">
      <c r="F67674" s="193"/>
    </row>
    <row r="67675" spans="6:6" x14ac:dyDescent="0.3">
      <c r="F67675" s="193"/>
    </row>
    <row r="67676" spans="6:6" x14ac:dyDescent="0.3">
      <c r="F67676" s="193"/>
    </row>
    <row r="67677" spans="6:6" x14ac:dyDescent="0.3">
      <c r="F67677" s="193"/>
    </row>
    <row r="67678" spans="6:6" x14ac:dyDescent="0.3">
      <c r="F67678" s="193"/>
    </row>
    <row r="67679" spans="6:6" x14ac:dyDescent="0.3">
      <c r="F67679" s="193"/>
    </row>
    <row r="67680" spans="6:6" x14ac:dyDescent="0.3">
      <c r="F67680" s="193"/>
    </row>
    <row r="67681" spans="6:6" x14ac:dyDescent="0.3">
      <c r="F67681" s="193"/>
    </row>
    <row r="67682" spans="6:6" x14ac:dyDescent="0.3">
      <c r="F67682" s="193"/>
    </row>
    <row r="67683" spans="6:6" x14ac:dyDescent="0.3">
      <c r="F67683" s="193"/>
    </row>
    <row r="67684" spans="6:6" x14ac:dyDescent="0.3">
      <c r="F67684" s="193"/>
    </row>
    <row r="67685" spans="6:6" x14ac:dyDescent="0.3">
      <c r="F67685" s="193"/>
    </row>
    <row r="67686" spans="6:6" x14ac:dyDescent="0.3">
      <c r="F67686" s="193"/>
    </row>
    <row r="67687" spans="6:6" x14ac:dyDescent="0.3">
      <c r="F67687" s="193"/>
    </row>
    <row r="67688" spans="6:6" x14ac:dyDescent="0.3">
      <c r="F67688" s="193"/>
    </row>
    <row r="67689" spans="6:6" x14ac:dyDescent="0.3">
      <c r="F67689" s="193"/>
    </row>
    <row r="67690" spans="6:6" x14ac:dyDescent="0.3">
      <c r="F67690" s="193"/>
    </row>
    <row r="67691" spans="6:6" x14ac:dyDescent="0.3">
      <c r="F67691" s="193"/>
    </row>
    <row r="67692" spans="6:6" x14ac:dyDescent="0.3">
      <c r="F67692" s="193"/>
    </row>
    <row r="67693" spans="6:6" x14ac:dyDescent="0.3">
      <c r="F67693" s="193"/>
    </row>
    <row r="67694" spans="6:6" x14ac:dyDescent="0.3">
      <c r="F67694" s="193"/>
    </row>
    <row r="67695" spans="6:6" x14ac:dyDescent="0.3">
      <c r="F67695" s="193"/>
    </row>
    <row r="67696" spans="6:6" x14ac:dyDescent="0.3">
      <c r="F67696" s="193"/>
    </row>
    <row r="67697" spans="6:6" x14ac:dyDescent="0.3">
      <c r="F67697" s="193"/>
    </row>
    <row r="67698" spans="6:6" x14ac:dyDescent="0.3">
      <c r="F67698" s="193"/>
    </row>
    <row r="67699" spans="6:6" x14ac:dyDescent="0.3">
      <c r="F67699" s="193"/>
    </row>
    <row r="67700" spans="6:6" x14ac:dyDescent="0.3">
      <c r="F67700" s="193"/>
    </row>
    <row r="67701" spans="6:6" x14ac:dyDescent="0.3">
      <c r="F67701" s="193"/>
    </row>
    <row r="67702" spans="6:6" x14ac:dyDescent="0.3">
      <c r="F67702" s="193"/>
    </row>
    <row r="67703" spans="6:6" x14ac:dyDescent="0.3">
      <c r="F67703" s="193"/>
    </row>
    <row r="67704" spans="6:6" x14ac:dyDescent="0.3">
      <c r="F67704" s="193"/>
    </row>
    <row r="67705" spans="6:6" x14ac:dyDescent="0.3">
      <c r="F67705" s="193"/>
    </row>
    <row r="67706" spans="6:6" x14ac:dyDescent="0.3">
      <c r="F67706" s="193"/>
    </row>
    <row r="67707" spans="6:6" x14ac:dyDescent="0.3">
      <c r="F67707" s="193"/>
    </row>
    <row r="67708" spans="6:6" x14ac:dyDescent="0.3">
      <c r="F67708" s="193"/>
    </row>
    <row r="67709" spans="6:6" x14ac:dyDescent="0.3">
      <c r="F67709" s="193"/>
    </row>
    <row r="67710" spans="6:6" x14ac:dyDescent="0.3">
      <c r="F67710" s="193"/>
    </row>
    <row r="67711" spans="6:6" x14ac:dyDescent="0.3">
      <c r="F67711" s="193"/>
    </row>
    <row r="67712" spans="6:6" x14ac:dyDescent="0.3">
      <c r="F67712" s="193"/>
    </row>
    <row r="67713" spans="6:6" x14ac:dyDescent="0.3">
      <c r="F67713" s="193"/>
    </row>
    <row r="67714" spans="6:6" x14ac:dyDescent="0.3">
      <c r="F67714" s="193"/>
    </row>
    <row r="67715" spans="6:6" x14ac:dyDescent="0.3">
      <c r="F67715" s="193"/>
    </row>
    <row r="67716" spans="6:6" x14ac:dyDescent="0.3">
      <c r="F67716" s="193"/>
    </row>
    <row r="67717" spans="6:6" x14ac:dyDescent="0.3">
      <c r="F67717" s="193"/>
    </row>
    <row r="67718" spans="6:6" x14ac:dyDescent="0.3">
      <c r="F67718" s="193"/>
    </row>
    <row r="67719" spans="6:6" x14ac:dyDescent="0.3">
      <c r="F67719" s="193"/>
    </row>
    <row r="67720" spans="6:6" x14ac:dyDescent="0.3">
      <c r="F67720" s="193"/>
    </row>
    <row r="67721" spans="6:6" x14ac:dyDescent="0.3">
      <c r="F67721" s="193"/>
    </row>
    <row r="67722" spans="6:6" x14ac:dyDescent="0.3">
      <c r="F67722" s="193"/>
    </row>
    <row r="67723" spans="6:6" x14ac:dyDescent="0.3">
      <c r="F67723" s="193"/>
    </row>
    <row r="67724" spans="6:6" x14ac:dyDescent="0.3">
      <c r="F67724" s="193"/>
    </row>
    <row r="67725" spans="6:6" x14ac:dyDescent="0.3">
      <c r="F67725" s="193"/>
    </row>
    <row r="67726" spans="6:6" x14ac:dyDescent="0.3">
      <c r="F67726" s="193"/>
    </row>
    <row r="67727" spans="6:6" x14ac:dyDescent="0.3">
      <c r="F67727" s="193"/>
    </row>
    <row r="67728" spans="6:6" x14ac:dyDescent="0.3">
      <c r="F67728" s="193"/>
    </row>
    <row r="67729" spans="6:6" x14ac:dyDescent="0.3">
      <c r="F67729" s="193"/>
    </row>
    <row r="67730" spans="6:6" x14ac:dyDescent="0.3">
      <c r="F67730" s="193"/>
    </row>
    <row r="67731" spans="6:6" x14ac:dyDescent="0.3">
      <c r="F67731" s="193"/>
    </row>
    <row r="67732" spans="6:6" x14ac:dyDescent="0.3">
      <c r="F67732" s="193"/>
    </row>
    <row r="67733" spans="6:6" x14ac:dyDescent="0.3">
      <c r="F67733" s="193"/>
    </row>
    <row r="67734" spans="6:6" x14ac:dyDescent="0.3">
      <c r="F67734" s="193"/>
    </row>
    <row r="67735" spans="6:6" x14ac:dyDescent="0.3">
      <c r="F67735" s="193"/>
    </row>
    <row r="67736" spans="6:6" x14ac:dyDescent="0.3">
      <c r="F67736" s="193"/>
    </row>
    <row r="67737" spans="6:6" x14ac:dyDescent="0.3">
      <c r="F67737" s="193"/>
    </row>
    <row r="67738" spans="6:6" x14ac:dyDescent="0.3">
      <c r="F67738" s="193"/>
    </row>
    <row r="67739" spans="6:6" x14ac:dyDescent="0.3">
      <c r="F67739" s="193"/>
    </row>
    <row r="67740" spans="6:6" x14ac:dyDescent="0.3">
      <c r="F67740" s="193"/>
    </row>
    <row r="67741" spans="6:6" x14ac:dyDescent="0.3">
      <c r="F67741" s="193"/>
    </row>
    <row r="67742" spans="6:6" x14ac:dyDescent="0.3">
      <c r="F67742" s="193"/>
    </row>
    <row r="67743" spans="6:6" x14ac:dyDescent="0.3">
      <c r="F67743" s="193"/>
    </row>
    <row r="67744" spans="6:6" x14ac:dyDescent="0.3">
      <c r="F67744" s="193"/>
    </row>
    <row r="67745" spans="6:6" x14ac:dyDescent="0.3">
      <c r="F67745" s="193"/>
    </row>
    <row r="67746" spans="6:6" x14ac:dyDescent="0.3">
      <c r="F67746" s="193"/>
    </row>
    <row r="67747" spans="6:6" x14ac:dyDescent="0.3">
      <c r="F67747" s="193"/>
    </row>
    <row r="67748" spans="6:6" x14ac:dyDescent="0.3">
      <c r="F67748" s="193"/>
    </row>
    <row r="67749" spans="6:6" x14ac:dyDescent="0.3">
      <c r="F67749" s="193"/>
    </row>
    <row r="67750" spans="6:6" x14ac:dyDescent="0.3">
      <c r="F67750" s="193"/>
    </row>
    <row r="67751" spans="6:6" x14ac:dyDescent="0.3">
      <c r="F67751" s="193"/>
    </row>
    <row r="67752" spans="6:6" x14ac:dyDescent="0.3">
      <c r="F67752" s="193"/>
    </row>
    <row r="67753" spans="6:6" x14ac:dyDescent="0.3">
      <c r="F67753" s="193"/>
    </row>
    <row r="67754" spans="6:6" x14ac:dyDescent="0.3">
      <c r="F67754" s="193"/>
    </row>
    <row r="67755" spans="6:6" x14ac:dyDescent="0.3">
      <c r="F67755" s="193"/>
    </row>
    <row r="67756" spans="6:6" x14ac:dyDescent="0.3">
      <c r="F67756" s="193"/>
    </row>
    <row r="67757" spans="6:6" x14ac:dyDescent="0.3">
      <c r="F67757" s="193"/>
    </row>
    <row r="67758" spans="6:6" x14ac:dyDescent="0.3">
      <c r="F67758" s="193"/>
    </row>
    <row r="67759" spans="6:6" x14ac:dyDescent="0.3">
      <c r="F67759" s="193"/>
    </row>
    <row r="67760" spans="6:6" x14ac:dyDescent="0.3">
      <c r="F67760" s="193"/>
    </row>
    <row r="67761" spans="6:6" x14ac:dyDescent="0.3">
      <c r="F67761" s="193"/>
    </row>
    <row r="67762" spans="6:6" x14ac:dyDescent="0.3">
      <c r="F67762" s="193"/>
    </row>
    <row r="67763" spans="6:6" x14ac:dyDescent="0.3">
      <c r="F67763" s="193"/>
    </row>
    <row r="67764" spans="6:6" x14ac:dyDescent="0.3">
      <c r="F67764" s="193"/>
    </row>
    <row r="67765" spans="6:6" x14ac:dyDescent="0.3">
      <c r="F67765" s="193"/>
    </row>
    <row r="67766" spans="6:6" x14ac:dyDescent="0.3">
      <c r="F67766" s="193"/>
    </row>
    <row r="67767" spans="6:6" x14ac:dyDescent="0.3">
      <c r="F67767" s="193"/>
    </row>
    <row r="67768" spans="6:6" x14ac:dyDescent="0.3">
      <c r="F67768" s="193"/>
    </row>
    <row r="67769" spans="6:6" x14ac:dyDescent="0.3">
      <c r="F67769" s="193"/>
    </row>
    <row r="67770" spans="6:6" x14ac:dyDescent="0.3">
      <c r="F67770" s="193"/>
    </row>
    <row r="67771" spans="6:6" x14ac:dyDescent="0.3">
      <c r="F67771" s="193"/>
    </row>
    <row r="67772" spans="6:6" x14ac:dyDescent="0.3">
      <c r="F67772" s="193"/>
    </row>
    <row r="67773" spans="6:6" x14ac:dyDescent="0.3">
      <c r="F67773" s="193"/>
    </row>
    <row r="67774" spans="6:6" x14ac:dyDescent="0.3">
      <c r="F67774" s="193"/>
    </row>
    <row r="67775" spans="6:6" x14ac:dyDescent="0.3">
      <c r="F67775" s="193"/>
    </row>
    <row r="67776" spans="6:6" x14ac:dyDescent="0.3">
      <c r="F67776" s="193"/>
    </row>
    <row r="67777" spans="6:6" x14ac:dyDescent="0.3">
      <c r="F67777" s="193"/>
    </row>
    <row r="67778" spans="6:6" x14ac:dyDescent="0.3">
      <c r="F67778" s="193"/>
    </row>
    <row r="67779" spans="6:6" x14ac:dyDescent="0.3">
      <c r="F67779" s="193"/>
    </row>
    <row r="67780" spans="6:6" x14ac:dyDescent="0.3">
      <c r="F67780" s="193"/>
    </row>
    <row r="67781" spans="6:6" x14ac:dyDescent="0.3">
      <c r="F67781" s="193"/>
    </row>
    <row r="67782" spans="6:6" x14ac:dyDescent="0.3">
      <c r="F67782" s="193"/>
    </row>
    <row r="67783" spans="6:6" x14ac:dyDescent="0.3">
      <c r="F67783" s="193"/>
    </row>
    <row r="67784" spans="6:6" x14ac:dyDescent="0.3">
      <c r="F67784" s="193"/>
    </row>
    <row r="67785" spans="6:6" x14ac:dyDescent="0.3">
      <c r="F67785" s="193"/>
    </row>
    <row r="67786" spans="6:6" x14ac:dyDescent="0.3">
      <c r="F67786" s="193"/>
    </row>
    <row r="67787" spans="6:6" x14ac:dyDescent="0.3">
      <c r="F67787" s="193"/>
    </row>
    <row r="67788" spans="6:6" x14ac:dyDescent="0.3">
      <c r="F67788" s="193"/>
    </row>
    <row r="67789" spans="6:6" x14ac:dyDescent="0.3">
      <c r="F67789" s="193"/>
    </row>
    <row r="67790" spans="6:6" x14ac:dyDescent="0.3">
      <c r="F67790" s="193"/>
    </row>
    <row r="67791" spans="6:6" x14ac:dyDescent="0.3">
      <c r="F67791" s="193"/>
    </row>
    <row r="67792" spans="6:6" x14ac:dyDescent="0.3">
      <c r="F67792" s="193"/>
    </row>
    <row r="67793" spans="6:6" x14ac:dyDescent="0.3">
      <c r="F67793" s="193"/>
    </row>
    <row r="67794" spans="6:6" x14ac:dyDescent="0.3">
      <c r="F67794" s="193"/>
    </row>
    <row r="67795" spans="6:6" x14ac:dyDescent="0.3">
      <c r="F67795" s="193"/>
    </row>
    <row r="67796" spans="6:6" x14ac:dyDescent="0.3">
      <c r="F67796" s="193"/>
    </row>
    <row r="67797" spans="6:6" x14ac:dyDescent="0.3">
      <c r="F67797" s="193"/>
    </row>
    <row r="67798" spans="6:6" x14ac:dyDescent="0.3">
      <c r="F67798" s="193"/>
    </row>
    <row r="67799" spans="6:6" x14ac:dyDescent="0.3">
      <c r="F67799" s="193"/>
    </row>
    <row r="67800" spans="6:6" x14ac:dyDescent="0.3">
      <c r="F67800" s="193"/>
    </row>
    <row r="67801" spans="6:6" x14ac:dyDescent="0.3">
      <c r="F67801" s="193"/>
    </row>
    <row r="67802" spans="6:6" x14ac:dyDescent="0.3">
      <c r="F67802" s="193"/>
    </row>
    <row r="67803" spans="6:6" x14ac:dyDescent="0.3">
      <c r="F67803" s="193"/>
    </row>
    <row r="67804" spans="6:6" x14ac:dyDescent="0.3">
      <c r="F67804" s="193"/>
    </row>
    <row r="67805" spans="6:6" x14ac:dyDescent="0.3">
      <c r="F67805" s="193"/>
    </row>
    <row r="67806" spans="6:6" x14ac:dyDescent="0.3">
      <c r="F67806" s="193"/>
    </row>
    <row r="67807" spans="6:6" x14ac:dyDescent="0.3">
      <c r="F67807" s="193"/>
    </row>
    <row r="67808" spans="6:6" x14ac:dyDescent="0.3">
      <c r="F67808" s="193"/>
    </row>
    <row r="67809" spans="6:6" x14ac:dyDescent="0.3">
      <c r="F67809" s="193"/>
    </row>
    <row r="67810" spans="6:6" x14ac:dyDescent="0.3">
      <c r="F67810" s="193"/>
    </row>
    <row r="67811" spans="6:6" x14ac:dyDescent="0.3">
      <c r="F67811" s="193"/>
    </row>
    <row r="67812" spans="6:6" x14ac:dyDescent="0.3">
      <c r="F67812" s="193"/>
    </row>
    <row r="67813" spans="6:6" x14ac:dyDescent="0.3">
      <c r="F67813" s="193"/>
    </row>
    <row r="67814" spans="6:6" x14ac:dyDescent="0.3">
      <c r="F67814" s="193"/>
    </row>
    <row r="67815" spans="6:6" x14ac:dyDescent="0.3">
      <c r="F67815" s="193"/>
    </row>
    <row r="67816" spans="6:6" x14ac:dyDescent="0.3">
      <c r="F67816" s="193"/>
    </row>
    <row r="67817" spans="6:6" x14ac:dyDescent="0.3">
      <c r="F67817" s="193"/>
    </row>
    <row r="67818" spans="6:6" x14ac:dyDescent="0.3">
      <c r="F67818" s="193"/>
    </row>
    <row r="67819" spans="6:6" x14ac:dyDescent="0.3">
      <c r="F67819" s="193"/>
    </row>
    <row r="67820" spans="6:6" x14ac:dyDescent="0.3">
      <c r="F67820" s="193"/>
    </row>
    <row r="67821" spans="6:6" x14ac:dyDescent="0.3">
      <c r="F67821" s="193"/>
    </row>
    <row r="67822" spans="6:6" x14ac:dyDescent="0.3">
      <c r="F67822" s="193"/>
    </row>
    <row r="67823" spans="6:6" x14ac:dyDescent="0.3">
      <c r="F67823" s="193"/>
    </row>
    <row r="67824" spans="6:6" x14ac:dyDescent="0.3">
      <c r="F67824" s="193"/>
    </row>
    <row r="67825" spans="6:6" x14ac:dyDescent="0.3">
      <c r="F67825" s="193"/>
    </row>
    <row r="67826" spans="6:6" x14ac:dyDescent="0.3">
      <c r="F67826" s="193"/>
    </row>
    <row r="67827" spans="6:6" x14ac:dyDescent="0.3">
      <c r="F67827" s="193"/>
    </row>
    <row r="67828" spans="6:6" x14ac:dyDescent="0.3">
      <c r="F67828" s="193"/>
    </row>
    <row r="67829" spans="6:6" x14ac:dyDescent="0.3">
      <c r="F67829" s="193"/>
    </row>
    <row r="67830" spans="6:6" x14ac:dyDescent="0.3">
      <c r="F67830" s="193"/>
    </row>
    <row r="67831" spans="6:6" x14ac:dyDescent="0.3">
      <c r="F67831" s="193"/>
    </row>
    <row r="67832" spans="6:6" x14ac:dyDescent="0.3">
      <c r="F67832" s="193"/>
    </row>
    <row r="67833" spans="6:6" x14ac:dyDescent="0.3">
      <c r="F67833" s="193"/>
    </row>
    <row r="67834" spans="6:6" x14ac:dyDescent="0.3">
      <c r="F67834" s="193"/>
    </row>
    <row r="67835" spans="6:6" x14ac:dyDescent="0.3">
      <c r="F67835" s="193"/>
    </row>
    <row r="67836" spans="6:6" x14ac:dyDescent="0.3">
      <c r="F67836" s="193"/>
    </row>
    <row r="67837" spans="6:6" x14ac:dyDescent="0.3">
      <c r="F67837" s="193"/>
    </row>
    <row r="67838" spans="6:6" x14ac:dyDescent="0.3">
      <c r="F67838" s="193"/>
    </row>
    <row r="67839" spans="6:6" x14ac:dyDescent="0.3">
      <c r="F67839" s="193"/>
    </row>
    <row r="67840" spans="6:6" x14ac:dyDescent="0.3">
      <c r="F67840" s="193"/>
    </row>
    <row r="67841" spans="6:6" x14ac:dyDescent="0.3">
      <c r="F67841" s="193"/>
    </row>
    <row r="67842" spans="6:6" x14ac:dyDescent="0.3">
      <c r="F67842" s="193"/>
    </row>
    <row r="67843" spans="6:6" x14ac:dyDescent="0.3">
      <c r="F67843" s="193"/>
    </row>
    <row r="67844" spans="6:6" x14ac:dyDescent="0.3">
      <c r="F67844" s="193"/>
    </row>
    <row r="67845" spans="6:6" x14ac:dyDescent="0.3">
      <c r="F67845" s="193"/>
    </row>
    <row r="67846" spans="6:6" x14ac:dyDescent="0.3">
      <c r="F67846" s="193"/>
    </row>
    <row r="67847" spans="6:6" x14ac:dyDescent="0.3">
      <c r="F67847" s="193"/>
    </row>
    <row r="67848" spans="6:6" x14ac:dyDescent="0.3">
      <c r="F67848" s="193"/>
    </row>
    <row r="67849" spans="6:6" x14ac:dyDescent="0.3">
      <c r="F67849" s="193"/>
    </row>
    <row r="67850" spans="6:6" x14ac:dyDescent="0.3">
      <c r="F67850" s="193"/>
    </row>
    <row r="67851" spans="6:6" x14ac:dyDescent="0.3">
      <c r="F67851" s="193"/>
    </row>
    <row r="67852" spans="6:6" x14ac:dyDescent="0.3">
      <c r="F67852" s="193"/>
    </row>
    <row r="67853" spans="6:6" x14ac:dyDescent="0.3">
      <c r="F67853" s="193"/>
    </row>
    <row r="67854" spans="6:6" x14ac:dyDescent="0.3">
      <c r="F67854" s="193"/>
    </row>
    <row r="67855" spans="6:6" x14ac:dyDescent="0.3">
      <c r="F67855" s="193"/>
    </row>
    <row r="67856" spans="6:6" x14ac:dyDescent="0.3">
      <c r="F67856" s="193"/>
    </row>
    <row r="67857" spans="6:6" x14ac:dyDescent="0.3">
      <c r="F67857" s="193"/>
    </row>
    <row r="67858" spans="6:6" x14ac:dyDescent="0.3">
      <c r="F67858" s="193"/>
    </row>
    <row r="67859" spans="6:6" x14ac:dyDescent="0.3">
      <c r="F67859" s="193"/>
    </row>
    <row r="67860" spans="6:6" x14ac:dyDescent="0.3">
      <c r="F67860" s="193"/>
    </row>
    <row r="67861" spans="6:6" x14ac:dyDescent="0.3">
      <c r="F67861" s="193"/>
    </row>
    <row r="67862" spans="6:6" x14ac:dyDescent="0.3">
      <c r="F67862" s="193"/>
    </row>
    <row r="67863" spans="6:6" x14ac:dyDescent="0.3">
      <c r="F67863" s="193"/>
    </row>
    <row r="67864" spans="6:6" x14ac:dyDescent="0.3">
      <c r="F67864" s="193"/>
    </row>
    <row r="67865" spans="6:6" x14ac:dyDescent="0.3">
      <c r="F67865" s="193"/>
    </row>
    <row r="67866" spans="6:6" x14ac:dyDescent="0.3">
      <c r="F67866" s="193"/>
    </row>
    <row r="67867" spans="6:6" x14ac:dyDescent="0.3">
      <c r="F67867" s="193"/>
    </row>
    <row r="67868" spans="6:6" x14ac:dyDescent="0.3">
      <c r="F67868" s="193"/>
    </row>
    <row r="67869" spans="6:6" x14ac:dyDescent="0.3">
      <c r="F67869" s="193"/>
    </row>
    <row r="67870" spans="6:6" x14ac:dyDescent="0.3">
      <c r="F67870" s="193"/>
    </row>
    <row r="67871" spans="6:6" x14ac:dyDescent="0.3">
      <c r="F67871" s="193"/>
    </row>
    <row r="67872" spans="6:6" x14ac:dyDescent="0.3">
      <c r="F67872" s="193"/>
    </row>
    <row r="67873" spans="6:6" x14ac:dyDescent="0.3">
      <c r="F67873" s="193"/>
    </row>
    <row r="67874" spans="6:6" x14ac:dyDescent="0.3">
      <c r="F67874" s="193"/>
    </row>
    <row r="67875" spans="6:6" x14ac:dyDescent="0.3">
      <c r="F67875" s="193"/>
    </row>
    <row r="67876" spans="6:6" x14ac:dyDescent="0.3">
      <c r="F67876" s="193"/>
    </row>
    <row r="67877" spans="6:6" x14ac:dyDescent="0.3">
      <c r="F67877" s="193"/>
    </row>
    <row r="67878" spans="6:6" x14ac:dyDescent="0.3">
      <c r="F67878" s="193"/>
    </row>
    <row r="67879" spans="6:6" x14ac:dyDescent="0.3">
      <c r="F67879" s="193"/>
    </row>
    <row r="67880" spans="6:6" x14ac:dyDescent="0.3">
      <c r="F67880" s="193"/>
    </row>
    <row r="67881" spans="6:6" x14ac:dyDescent="0.3">
      <c r="F67881" s="193"/>
    </row>
    <row r="67882" spans="6:6" x14ac:dyDescent="0.3">
      <c r="F67882" s="193"/>
    </row>
    <row r="67883" spans="6:6" x14ac:dyDescent="0.3">
      <c r="F67883" s="193"/>
    </row>
    <row r="67884" spans="6:6" x14ac:dyDescent="0.3">
      <c r="F67884" s="193"/>
    </row>
    <row r="67885" spans="6:6" x14ac:dyDescent="0.3">
      <c r="F67885" s="193"/>
    </row>
    <row r="67886" spans="6:6" x14ac:dyDescent="0.3">
      <c r="F67886" s="193"/>
    </row>
    <row r="67887" spans="6:6" x14ac:dyDescent="0.3">
      <c r="F67887" s="193"/>
    </row>
    <row r="67888" spans="6:6" x14ac:dyDescent="0.3">
      <c r="F67888" s="193"/>
    </row>
    <row r="67889" spans="6:6" x14ac:dyDescent="0.3">
      <c r="F67889" s="193"/>
    </row>
    <row r="67890" spans="6:6" x14ac:dyDescent="0.3">
      <c r="F67890" s="193"/>
    </row>
    <row r="67891" spans="6:6" x14ac:dyDescent="0.3">
      <c r="F67891" s="193"/>
    </row>
    <row r="67892" spans="6:6" x14ac:dyDescent="0.3">
      <c r="F67892" s="193"/>
    </row>
    <row r="67893" spans="6:6" x14ac:dyDescent="0.3">
      <c r="F67893" s="193"/>
    </row>
    <row r="67894" spans="6:6" x14ac:dyDescent="0.3">
      <c r="F67894" s="193"/>
    </row>
    <row r="67895" spans="6:6" x14ac:dyDescent="0.3">
      <c r="F67895" s="193"/>
    </row>
    <row r="67896" spans="6:6" x14ac:dyDescent="0.3">
      <c r="F67896" s="193"/>
    </row>
    <row r="67897" spans="6:6" x14ac:dyDescent="0.3">
      <c r="F67897" s="193"/>
    </row>
    <row r="67898" spans="6:6" x14ac:dyDescent="0.3">
      <c r="F67898" s="193"/>
    </row>
    <row r="67899" spans="6:6" x14ac:dyDescent="0.3">
      <c r="F67899" s="193"/>
    </row>
    <row r="67900" spans="6:6" x14ac:dyDescent="0.3">
      <c r="F67900" s="193"/>
    </row>
    <row r="67901" spans="6:6" x14ac:dyDescent="0.3">
      <c r="F67901" s="193"/>
    </row>
    <row r="67902" spans="6:6" x14ac:dyDescent="0.3">
      <c r="F67902" s="193"/>
    </row>
    <row r="67903" spans="6:6" x14ac:dyDescent="0.3">
      <c r="F67903" s="193"/>
    </row>
    <row r="67904" spans="6:6" x14ac:dyDescent="0.3">
      <c r="F67904" s="193"/>
    </row>
    <row r="67905" spans="6:6" x14ac:dyDescent="0.3">
      <c r="F67905" s="193"/>
    </row>
    <row r="67906" spans="6:6" x14ac:dyDescent="0.3">
      <c r="F67906" s="193"/>
    </row>
    <row r="67907" spans="6:6" x14ac:dyDescent="0.3">
      <c r="F67907" s="193"/>
    </row>
    <row r="67908" spans="6:6" x14ac:dyDescent="0.3">
      <c r="F67908" s="193"/>
    </row>
    <row r="67909" spans="6:6" x14ac:dyDescent="0.3">
      <c r="F67909" s="193"/>
    </row>
    <row r="67910" spans="6:6" x14ac:dyDescent="0.3">
      <c r="F67910" s="193"/>
    </row>
    <row r="67911" spans="6:6" x14ac:dyDescent="0.3">
      <c r="F67911" s="193"/>
    </row>
    <row r="67912" spans="6:6" x14ac:dyDescent="0.3">
      <c r="F67912" s="193"/>
    </row>
    <row r="67913" spans="6:6" x14ac:dyDescent="0.3">
      <c r="F67913" s="193"/>
    </row>
    <row r="67914" spans="6:6" x14ac:dyDescent="0.3">
      <c r="F67914" s="193"/>
    </row>
    <row r="67915" spans="6:6" x14ac:dyDescent="0.3">
      <c r="F67915" s="193"/>
    </row>
    <row r="67916" spans="6:6" x14ac:dyDescent="0.3">
      <c r="F67916" s="193"/>
    </row>
    <row r="67917" spans="6:6" x14ac:dyDescent="0.3">
      <c r="F67917" s="193"/>
    </row>
    <row r="67918" spans="6:6" x14ac:dyDescent="0.3">
      <c r="F67918" s="193"/>
    </row>
    <row r="67919" spans="6:6" x14ac:dyDescent="0.3">
      <c r="F67919" s="193"/>
    </row>
    <row r="67920" spans="6:6" x14ac:dyDescent="0.3">
      <c r="F67920" s="193"/>
    </row>
    <row r="67921" spans="6:6" x14ac:dyDescent="0.3">
      <c r="F67921" s="193"/>
    </row>
    <row r="67922" spans="6:6" x14ac:dyDescent="0.3">
      <c r="F67922" s="193"/>
    </row>
    <row r="67923" spans="6:6" x14ac:dyDescent="0.3">
      <c r="F67923" s="193"/>
    </row>
    <row r="67924" spans="6:6" x14ac:dyDescent="0.3">
      <c r="F67924" s="193"/>
    </row>
    <row r="67925" spans="6:6" x14ac:dyDescent="0.3">
      <c r="F67925" s="193"/>
    </row>
    <row r="67926" spans="6:6" x14ac:dyDescent="0.3">
      <c r="F67926" s="193"/>
    </row>
    <row r="67927" spans="6:6" x14ac:dyDescent="0.3">
      <c r="F67927" s="193"/>
    </row>
    <row r="67928" spans="6:6" x14ac:dyDescent="0.3">
      <c r="F67928" s="193"/>
    </row>
    <row r="67929" spans="6:6" x14ac:dyDescent="0.3">
      <c r="F67929" s="193"/>
    </row>
    <row r="67930" spans="6:6" x14ac:dyDescent="0.3">
      <c r="F67930" s="193"/>
    </row>
    <row r="67931" spans="6:6" x14ac:dyDescent="0.3">
      <c r="F67931" s="193"/>
    </row>
    <row r="67932" spans="6:6" x14ac:dyDescent="0.3">
      <c r="F67932" s="193"/>
    </row>
    <row r="67933" spans="6:6" x14ac:dyDescent="0.3">
      <c r="F67933" s="193"/>
    </row>
    <row r="67934" spans="6:6" x14ac:dyDescent="0.3">
      <c r="F67934" s="193"/>
    </row>
    <row r="67935" spans="6:6" x14ac:dyDescent="0.3">
      <c r="F67935" s="193"/>
    </row>
    <row r="67936" spans="6:6" x14ac:dyDescent="0.3">
      <c r="F67936" s="193"/>
    </row>
    <row r="67937" spans="6:6" x14ac:dyDescent="0.3">
      <c r="F67937" s="193"/>
    </row>
    <row r="67938" spans="6:6" x14ac:dyDescent="0.3">
      <c r="F67938" s="193"/>
    </row>
    <row r="67939" spans="6:6" x14ac:dyDescent="0.3">
      <c r="F67939" s="193"/>
    </row>
    <row r="67940" spans="6:6" x14ac:dyDescent="0.3">
      <c r="F67940" s="193"/>
    </row>
    <row r="67941" spans="6:6" x14ac:dyDescent="0.3">
      <c r="F67941" s="193"/>
    </row>
    <row r="67942" spans="6:6" x14ac:dyDescent="0.3">
      <c r="F67942" s="193"/>
    </row>
    <row r="67943" spans="6:6" x14ac:dyDescent="0.3">
      <c r="F67943" s="193"/>
    </row>
    <row r="67944" spans="6:6" x14ac:dyDescent="0.3">
      <c r="F67944" s="193"/>
    </row>
    <row r="67945" spans="6:6" x14ac:dyDescent="0.3">
      <c r="F67945" s="193"/>
    </row>
    <row r="67946" spans="6:6" x14ac:dyDescent="0.3">
      <c r="F67946" s="193"/>
    </row>
    <row r="67947" spans="6:6" x14ac:dyDescent="0.3">
      <c r="F67947" s="193"/>
    </row>
    <row r="67948" spans="6:6" x14ac:dyDescent="0.3">
      <c r="F67948" s="193"/>
    </row>
    <row r="67949" spans="6:6" x14ac:dyDescent="0.3">
      <c r="F67949" s="193"/>
    </row>
    <row r="67950" spans="6:6" x14ac:dyDescent="0.3">
      <c r="F67950" s="193"/>
    </row>
    <row r="67951" spans="6:6" x14ac:dyDescent="0.3">
      <c r="F67951" s="193"/>
    </row>
    <row r="67952" spans="6:6" x14ac:dyDescent="0.3">
      <c r="F67952" s="193"/>
    </row>
    <row r="67953" spans="6:6" x14ac:dyDescent="0.3">
      <c r="F67953" s="193"/>
    </row>
    <row r="67954" spans="6:6" x14ac:dyDescent="0.3">
      <c r="F67954" s="193"/>
    </row>
    <row r="67955" spans="6:6" x14ac:dyDescent="0.3">
      <c r="F67955" s="193"/>
    </row>
    <row r="67956" spans="6:6" x14ac:dyDescent="0.3">
      <c r="F67956" s="193"/>
    </row>
    <row r="67957" spans="6:6" x14ac:dyDescent="0.3">
      <c r="F67957" s="193"/>
    </row>
    <row r="67958" spans="6:6" x14ac:dyDescent="0.3">
      <c r="F67958" s="193"/>
    </row>
    <row r="67959" spans="6:6" x14ac:dyDescent="0.3">
      <c r="F67959" s="193"/>
    </row>
    <row r="67960" spans="6:6" x14ac:dyDescent="0.3">
      <c r="F67960" s="193"/>
    </row>
    <row r="67961" spans="6:6" x14ac:dyDescent="0.3">
      <c r="F67961" s="193"/>
    </row>
    <row r="67962" spans="6:6" x14ac:dyDescent="0.3">
      <c r="F67962" s="193"/>
    </row>
    <row r="67963" spans="6:6" x14ac:dyDescent="0.3">
      <c r="F67963" s="193"/>
    </row>
    <row r="67964" spans="6:6" x14ac:dyDescent="0.3">
      <c r="F67964" s="193"/>
    </row>
    <row r="67965" spans="6:6" x14ac:dyDescent="0.3">
      <c r="F67965" s="193"/>
    </row>
    <row r="67966" spans="6:6" x14ac:dyDescent="0.3">
      <c r="F67966" s="193"/>
    </row>
    <row r="67967" spans="6:6" x14ac:dyDescent="0.3">
      <c r="F67967" s="193"/>
    </row>
    <row r="67968" spans="6:6" x14ac:dyDescent="0.3">
      <c r="F67968" s="193"/>
    </row>
    <row r="67969" spans="6:6" x14ac:dyDescent="0.3">
      <c r="F67969" s="193"/>
    </row>
    <row r="67970" spans="6:6" x14ac:dyDescent="0.3">
      <c r="F67970" s="193"/>
    </row>
    <row r="67971" spans="6:6" x14ac:dyDescent="0.3">
      <c r="F67971" s="193"/>
    </row>
    <row r="67972" spans="6:6" x14ac:dyDescent="0.3">
      <c r="F67972" s="193"/>
    </row>
    <row r="67973" spans="6:6" x14ac:dyDescent="0.3">
      <c r="F67973" s="193"/>
    </row>
    <row r="67974" spans="6:6" x14ac:dyDescent="0.3">
      <c r="F67974" s="193"/>
    </row>
    <row r="67975" spans="6:6" x14ac:dyDescent="0.3">
      <c r="F67975" s="193"/>
    </row>
    <row r="67976" spans="6:6" x14ac:dyDescent="0.3">
      <c r="F67976" s="193"/>
    </row>
    <row r="67977" spans="6:6" x14ac:dyDescent="0.3">
      <c r="F67977" s="193"/>
    </row>
    <row r="67978" spans="6:6" x14ac:dyDescent="0.3">
      <c r="F67978" s="193"/>
    </row>
    <row r="67979" spans="6:6" x14ac:dyDescent="0.3">
      <c r="F67979" s="193"/>
    </row>
    <row r="67980" spans="6:6" x14ac:dyDescent="0.3">
      <c r="F67980" s="193"/>
    </row>
    <row r="67981" spans="6:6" x14ac:dyDescent="0.3">
      <c r="F67981" s="193"/>
    </row>
    <row r="67982" spans="6:6" x14ac:dyDescent="0.3">
      <c r="F67982" s="193"/>
    </row>
    <row r="67983" spans="6:6" x14ac:dyDescent="0.3">
      <c r="F67983" s="193"/>
    </row>
    <row r="67984" spans="6:6" x14ac:dyDescent="0.3">
      <c r="F67984" s="193"/>
    </row>
    <row r="67985" spans="6:6" x14ac:dyDescent="0.3">
      <c r="F67985" s="193"/>
    </row>
    <row r="67986" spans="6:6" x14ac:dyDescent="0.3">
      <c r="F67986" s="193"/>
    </row>
    <row r="67987" spans="6:6" x14ac:dyDescent="0.3">
      <c r="F67987" s="193"/>
    </row>
    <row r="67988" spans="6:6" x14ac:dyDescent="0.3">
      <c r="F67988" s="193"/>
    </row>
    <row r="67989" spans="6:6" x14ac:dyDescent="0.3">
      <c r="F67989" s="193"/>
    </row>
    <row r="67990" spans="6:6" x14ac:dyDescent="0.3">
      <c r="F67990" s="193"/>
    </row>
    <row r="67991" spans="6:6" x14ac:dyDescent="0.3">
      <c r="F67991" s="193"/>
    </row>
    <row r="67992" spans="6:6" x14ac:dyDescent="0.3">
      <c r="F67992" s="193"/>
    </row>
    <row r="67993" spans="6:6" x14ac:dyDescent="0.3">
      <c r="F67993" s="193"/>
    </row>
    <row r="67994" spans="6:6" x14ac:dyDescent="0.3">
      <c r="F67994" s="193"/>
    </row>
    <row r="67995" spans="6:6" x14ac:dyDescent="0.3">
      <c r="F67995" s="193"/>
    </row>
    <row r="67996" spans="6:6" x14ac:dyDescent="0.3">
      <c r="F67996" s="193"/>
    </row>
    <row r="67997" spans="6:6" x14ac:dyDescent="0.3">
      <c r="F67997" s="193"/>
    </row>
    <row r="67998" spans="6:6" x14ac:dyDescent="0.3">
      <c r="F67998" s="193"/>
    </row>
    <row r="67999" spans="6:6" x14ac:dyDescent="0.3">
      <c r="F67999" s="193"/>
    </row>
    <row r="68000" spans="6:6" x14ac:dyDescent="0.3">
      <c r="F68000" s="193"/>
    </row>
    <row r="68001" spans="6:6" x14ac:dyDescent="0.3">
      <c r="F68001" s="193"/>
    </row>
    <row r="68002" spans="6:6" x14ac:dyDescent="0.3">
      <c r="F68002" s="193"/>
    </row>
    <row r="68003" spans="6:6" x14ac:dyDescent="0.3">
      <c r="F68003" s="193"/>
    </row>
    <row r="68004" spans="6:6" x14ac:dyDescent="0.3">
      <c r="F68004" s="193"/>
    </row>
    <row r="68005" spans="6:6" x14ac:dyDescent="0.3">
      <c r="F68005" s="193"/>
    </row>
    <row r="68006" spans="6:6" x14ac:dyDescent="0.3">
      <c r="F68006" s="193"/>
    </row>
    <row r="68007" spans="6:6" x14ac:dyDescent="0.3">
      <c r="F68007" s="193"/>
    </row>
    <row r="68008" spans="6:6" x14ac:dyDescent="0.3">
      <c r="F68008" s="193"/>
    </row>
    <row r="68009" spans="6:6" x14ac:dyDescent="0.3">
      <c r="F68009" s="193"/>
    </row>
    <row r="68010" spans="6:6" x14ac:dyDescent="0.3">
      <c r="F68010" s="193"/>
    </row>
    <row r="68011" spans="6:6" x14ac:dyDescent="0.3">
      <c r="F68011" s="193"/>
    </row>
    <row r="68012" spans="6:6" x14ac:dyDescent="0.3">
      <c r="F68012" s="193"/>
    </row>
    <row r="68013" spans="6:6" x14ac:dyDescent="0.3">
      <c r="F68013" s="193"/>
    </row>
    <row r="68014" spans="6:6" x14ac:dyDescent="0.3">
      <c r="F68014" s="193"/>
    </row>
    <row r="68015" spans="6:6" x14ac:dyDescent="0.3">
      <c r="F68015" s="193"/>
    </row>
    <row r="68016" spans="6:6" x14ac:dyDescent="0.3">
      <c r="F68016" s="193"/>
    </row>
    <row r="68017" spans="6:6" x14ac:dyDescent="0.3">
      <c r="F68017" s="193"/>
    </row>
    <row r="68018" spans="6:6" x14ac:dyDescent="0.3">
      <c r="F68018" s="193"/>
    </row>
    <row r="68019" spans="6:6" x14ac:dyDescent="0.3">
      <c r="F68019" s="193"/>
    </row>
    <row r="68020" spans="6:6" x14ac:dyDescent="0.3">
      <c r="F68020" s="193"/>
    </row>
    <row r="68021" spans="6:6" x14ac:dyDescent="0.3">
      <c r="F68021" s="193"/>
    </row>
    <row r="68022" spans="6:6" x14ac:dyDescent="0.3">
      <c r="F68022" s="193"/>
    </row>
    <row r="68023" spans="6:6" x14ac:dyDescent="0.3">
      <c r="F68023" s="193"/>
    </row>
    <row r="68024" spans="6:6" x14ac:dyDescent="0.3">
      <c r="F68024" s="193"/>
    </row>
    <row r="68025" spans="6:6" x14ac:dyDescent="0.3">
      <c r="F68025" s="193"/>
    </row>
    <row r="68026" spans="6:6" x14ac:dyDescent="0.3">
      <c r="F68026" s="193"/>
    </row>
    <row r="68027" spans="6:6" x14ac:dyDescent="0.3">
      <c r="F68027" s="193"/>
    </row>
    <row r="68028" spans="6:6" x14ac:dyDescent="0.3">
      <c r="F68028" s="193"/>
    </row>
    <row r="68029" spans="6:6" x14ac:dyDescent="0.3">
      <c r="F68029" s="193"/>
    </row>
    <row r="68030" spans="6:6" x14ac:dyDescent="0.3">
      <c r="F68030" s="193"/>
    </row>
    <row r="68031" spans="6:6" x14ac:dyDescent="0.3">
      <c r="F68031" s="193"/>
    </row>
    <row r="68032" spans="6:6" x14ac:dyDescent="0.3">
      <c r="F68032" s="193"/>
    </row>
    <row r="68033" spans="6:6" x14ac:dyDescent="0.3">
      <c r="F68033" s="193"/>
    </row>
    <row r="68034" spans="6:6" x14ac:dyDescent="0.3">
      <c r="F68034" s="193"/>
    </row>
    <row r="68035" spans="6:6" x14ac:dyDescent="0.3">
      <c r="F68035" s="193"/>
    </row>
    <row r="68036" spans="6:6" x14ac:dyDescent="0.3">
      <c r="F68036" s="193"/>
    </row>
    <row r="68037" spans="6:6" x14ac:dyDescent="0.3">
      <c r="F68037" s="193"/>
    </row>
    <row r="68038" spans="6:6" x14ac:dyDescent="0.3">
      <c r="F68038" s="193"/>
    </row>
    <row r="68039" spans="6:6" x14ac:dyDescent="0.3">
      <c r="F68039" s="193"/>
    </row>
    <row r="68040" spans="6:6" x14ac:dyDescent="0.3">
      <c r="F68040" s="193"/>
    </row>
    <row r="68041" spans="6:6" x14ac:dyDescent="0.3">
      <c r="F68041" s="193"/>
    </row>
    <row r="68042" spans="6:6" x14ac:dyDescent="0.3">
      <c r="F68042" s="193"/>
    </row>
    <row r="68043" spans="6:6" x14ac:dyDescent="0.3">
      <c r="F68043" s="193"/>
    </row>
    <row r="68044" spans="6:6" x14ac:dyDescent="0.3">
      <c r="F68044" s="193"/>
    </row>
    <row r="68045" spans="6:6" x14ac:dyDescent="0.3">
      <c r="F68045" s="193"/>
    </row>
    <row r="68046" spans="6:6" x14ac:dyDescent="0.3">
      <c r="F68046" s="193"/>
    </row>
    <row r="68047" spans="6:6" x14ac:dyDescent="0.3">
      <c r="F68047" s="193"/>
    </row>
    <row r="68048" spans="6:6" x14ac:dyDescent="0.3">
      <c r="F68048" s="193"/>
    </row>
    <row r="68049" spans="6:6" x14ac:dyDescent="0.3">
      <c r="F68049" s="193"/>
    </row>
    <row r="68050" spans="6:6" x14ac:dyDescent="0.3">
      <c r="F68050" s="193"/>
    </row>
    <row r="68051" spans="6:6" x14ac:dyDescent="0.3">
      <c r="F68051" s="193"/>
    </row>
    <row r="68052" spans="6:6" x14ac:dyDescent="0.3">
      <c r="F68052" s="193"/>
    </row>
    <row r="68053" spans="6:6" x14ac:dyDescent="0.3">
      <c r="F68053" s="193"/>
    </row>
    <row r="68054" spans="6:6" x14ac:dyDescent="0.3">
      <c r="F68054" s="193"/>
    </row>
    <row r="68055" spans="6:6" x14ac:dyDescent="0.3">
      <c r="F68055" s="193"/>
    </row>
    <row r="68056" spans="6:6" x14ac:dyDescent="0.3">
      <c r="F68056" s="193"/>
    </row>
    <row r="68057" spans="6:6" x14ac:dyDescent="0.3">
      <c r="F68057" s="193"/>
    </row>
    <row r="68058" spans="6:6" x14ac:dyDescent="0.3">
      <c r="F68058" s="193"/>
    </row>
    <row r="68059" spans="6:6" x14ac:dyDescent="0.3">
      <c r="F68059" s="193"/>
    </row>
    <row r="68060" spans="6:6" x14ac:dyDescent="0.3">
      <c r="F68060" s="193"/>
    </row>
    <row r="68061" spans="6:6" x14ac:dyDescent="0.3">
      <c r="F68061" s="193"/>
    </row>
    <row r="68062" spans="6:6" x14ac:dyDescent="0.3">
      <c r="F68062" s="193"/>
    </row>
    <row r="68063" spans="6:6" x14ac:dyDescent="0.3">
      <c r="F68063" s="193"/>
    </row>
    <row r="68064" spans="6:6" x14ac:dyDescent="0.3">
      <c r="F68064" s="193"/>
    </row>
    <row r="68065" spans="6:6" x14ac:dyDescent="0.3">
      <c r="F68065" s="193"/>
    </row>
    <row r="68066" spans="6:6" x14ac:dyDescent="0.3">
      <c r="F68066" s="193"/>
    </row>
    <row r="68067" spans="6:6" x14ac:dyDescent="0.3">
      <c r="F68067" s="193"/>
    </row>
    <row r="68068" spans="6:6" x14ac:dyDescent="0.3">
      <c r="F68068" s="193"/>
    </row>
    <row r="68069" spans="6:6" x14ac:dyDescent="0.3">
      <c r="F68069" s="193"/>
    </row>
    <row r="68070" spans="6:6" x14ac:dyDescent="0.3">
      <c r="F68070" s="193"/>
    </row>
    <row r="68071" spans="6:6" x14ac:dyDescent="0.3">
      <c r="F68071" s="193"/>
    </row>
    <row r="68072" spans="6:6" x14ac:dyDescent="0.3">
      <c r="F68072" s="193"/>
    </row>
    <row r="68073" spans="6:6" x14ac:dyDescent="0.3">
      <c r="F68073" s="193"/>
    </row>
    <row r="68074" spans="6:6" x14ac:dyDescent="0.3">
      <c r="F68074" s="193"/>
    </row>
    <row r="68075" spans="6:6" x14ac:dyDescent="0.3">
      <c r="F68075" s="193"/>
    </row>
    <row r="68076" spans="6:6" x14ac:dyDescent="0.3">
      <c r="F68076" s="193"/>
    </row>
    <row r="68077" spans="6:6" x14ac:dyDescent="0.3">
      <c r="F68077" s="193"/>
    </row>
    <row r="68078" spans="6:6" x14ac:dyDescent="0.3">
      <c r="F68078" s="193"/>
    </row>
    <row r="68079" spans="6:6" x14ac:dyDescent="0.3">
      <c r="F68079" s="193"/>
    </row>
    <row r="68080" spans="6:6" x14ac:dyDescent="0.3">
      <c r="F68080" s="193"/>
    </row>
    <row r="68081" spans="6:6" x14ac:dyDescent="0.3">
      <c r="F68081" s="193"/>
    </row>
    <row r="68082" spans="6:6" x14ac:dyDescent="0.3">
      <c r="F68082" s="193"/>
    </row>
    <row r="68083" spans="6:6" x14ac:dyDescent="0.3">
      <c r="F68083" s="193"/>
    </row>
    <row r="68084" spans="6:6" x14ac:dyDescent="0.3">
      <c r="F68084" s="193"/>
    </row>
    <row r="68085" spans="6:6" x14ac:dyDescent="0.3">
      <c r="F68085" s="193"/>
    </row>
    <row r="68086" spans="6:6" x14ac:dyDescent="0.3">
      <c r="F68086" s="193"/>
    </row>
    <row r="68087" spans="6:6" x14ac:dyDescent="0.3">
      <c r="F68087" s="193"/>
    </row>
    <row r="68088" spans="6:6" x14ac:dyDescent="0.3">
      <c r="F68088" s="193"/>
    </row>
    <row r="68089" spans="6:6" x14ac:dyDescent="0.3">
      <c r="F68089" s="193"/>
    </row>
    <row r="68090" spans="6:6" x14ac:dyDescent="0.3">
      <c r="F68090" s="193"/>
    </row>
    <row r="68091" spans="6:6" x14ac:dyDescent="0.3">
      <c r="F68091" s="193"/>
    </row>
    <row r="68092" spans="6:6" x14ac:dyDescent="0.3">
      <c r="F68092" s="193"/>
    </row>
    <row r="68093" spans="6:6" x14ac:dyDescent="0.3">
      <c r="F68093" s="193"/>
    </row>
    <row r="68094" spans="6:6" x14ac:dyDescent="0.3">
      <c r="F68094" s="193"/>
    </row>
    <row r="68095" spans="6:6" x14ac:dyDescent="0.3">
      <c r="F68095" s="193"/>
    </row>
    <row r="68096" spans="6:6" x14ac:dyDescent="0.3">
      <c r="F68096" s="193"/>
    </row>
    <row r="68097" spans="6:6" x14ac:dyDescent="0.3">
      <c r="F68097" s="193"/>
    </row>
    <row r="68098" spans="6:6" x14ac:dyDescent="0.3">
      <c r="F68098" s="193"/>
    </row>
    <row r="68099" spans="6:6" x14ac:dyDescent="0.3">
      <c r="F68099" s="193"/>
    </row>
    <row r="68100" spans="6:6" x14ac:dyDescent="0.3">
      <c r="F68100" s="193"/>
    </row>
    <row r="68101" spans="6:6" x14ac:dyDescent="0.3">
      <c r="F68101" s="193"/>
    </row>
    <row r="68102" spans="6:6" x14ac:dyDescent="0.3">
      <c r="F68102" s="193"/>
    </row>
    <row r="68103" spans="6:6" x14ac:dyDescent="0.3">
      <c r="F68103" s="193"/>
    </row>
    <row r="68104" spans="6:6" x14ac:dyDescent="0.3">
      <c r="F68104" s="193"/>
    </row>
    <row r="68105" spans="6:6" x14ac:dyDescent="0.3">
      <c r="F68105" s="193"/>
    </row>
    <row r="68106" spans="6:6" x14ac:dyDescent="0.3">
      <c r="F68106" s="193"/>
    </row>
    <row r="68107" spans="6:6" x14ac:dyDescent="0.3">
      <c r="F68107" s="193"/>
    </row>
    <row r="68108" spans="6:6" x14ac:dyDescent="0.3">
      <c r="F68108" s="193"/>
    </row>
    <row r="68109" spans="6:6" x14ac:dyDescent="0.3">
      <c r="F68109" s="193"/>
    </row>
    <row r="68110" spans="6:6" x14ac:dyDescent="0.3">
      <c r="F68110" s="193"/>
    </row>
    <row r="68111" spans="6:6" x14ac:dyDescent="0.3">
      <c r="F68111" s="193"/>
    </row>
    <row r="68112" spans="6:6" x14ac:dyDescent="0.3">
      <c r="F68112" s="193"/>
    </row>
    <row r="68113" spans="6:6" x14ac:dyDescent="0.3">
      <c r="F68113" s="193"/>
    </row>
    <row r="68114" spans="6:6" x14ac:dyDescent="0.3">
      <c r="F68114" s="193"/>
    </row>
    <row r="68115" spans="6:6" x14ac:dyDescent="0.3">
      <c r="F68115" s="193"/>
    </row>
    <row r="68116" spans="6:6" x14ac:dyDescent="0.3">
      <c r="F68116" s="193"/>
    </row>
    <row r="68117" spans="6:6" x14ac:dyDescent="0.3">
      <c r="F68117" s="193"/>
    </row>
    <row r="68118" spans="6:6" x14ac:dyDescent="0.3">
      <c r="F68118" s="193"/>
    </row>
    <row r="68119" spans="6:6" x14ac:dyDescent="0.3">
      <c r="F68119" s="193"/>
    </row>
    <row r="68120" spans="6:6" x14ac:dyDescent="0.3">
      <c r="F68120" s="193"/>
    </row>
    <row r="68121" spans="6:6" x14ac:dyDescent="0.3">
      <c r="F68121" s="193"/>
    </row>
    <row r="68122" spans="6:6" x14ac:dyDescent="0.3">
      <c r="F68122" s="193"/>
    </row>
    <row r="68123" spans="6:6" x14ac:dyDescent="0.3">
      <c r="F68123" s="193"/>
    </row>
    <row r="68124" spans="6:6" x14ac:dyDescent="0.3">
      <c r="F68124" s="193"/>
    </row>
    <row r="68125" spans="6:6" x14ac:dyDescent="0.3">
      <c r="F68125" s="193"/>
    </row>
    <row r="68126" spans="6:6" x14ac:dyDescent="0.3">
      <c r="F68126" s="193"/>
    </row>
    <row r="68127" spans="6:6" x14ac:dyDescent="0.3">
      <c r="F68127" s="193"/>
    </row>
    <row r="68128" spans="6:6" x14ac:dyDescent="0.3">
      <c r="F68128" s="193"/>
    </row>
    <row r="68129" spans="6:6" x14ac:dyDescent="0.3">
      <c r="F68129" s="193"/>
    </row>
    <row r="68130" spans="6:6" x14ac:dyDescent="0.3">
      <c r="F68130" s="193"/>
    </row>
    <row r="68131" spans="6:6" x14ac:dyDescent="0.3">
      <c r="F68131" s="193"/>
    </row>
    <row r="68132" spans="6:6" x14ac:dyDescent="0.3">
      <c r="F68132" s="193"/>
    </row>
    <row r="68133" spans="6:6" x14ac:dyDescent="0.3">
      <c r="F68133" s="193"/>
    </row>
    <row r="68134" spans="6:6" x14ac:dyDescent="0.3">
      <c r="F68134" s="193"/>
    </row>
    <row r="68135" spans="6:6" x14ac:dyDescent="0.3">
      <c r="F68135" s="193"/>
    </row>
    <row r="68136" spans="6:6" x14ac:dyDescent="0.3">
      <c r="F68136" s="193"/>
    </row>
    <row r="68137" spans="6:6" x14ac:dyDescent="0.3">
      <c r="F68137" s="193"/>
    </row>
    <row r="68138" spans="6:6" x14ac:dyDescent="0.3">
      <c r="F68138" s="193"/>
    </row>
    <row r="68139" spans="6:6" x14ac:dyDescent="0.3">
      <c r="F68139" s="193"/>
    </row>
    <row r="68140" spans="6:6" x14ac:dyDescent="0.3">
      <c r="F68140" s="193"/>
    </row>
    <row r="68141" spans="6:6" x14ac:dyDescent="0.3">
      <c r="F68141" s="193"/>
    </row>
    <row r="68142" spans="6:6" x14ac:dyDescent="0.3">
      <c r="F68142" s="193"/>
    </row>
    <row r="68143" spans="6:6" x14ac:dyDescent="0.3">
      <c r="F68143" s="193"/>
    </row>
    <row r="68144" spans="6:6" x14ac:dyDescent="0.3">
      <c r="F68144" s="193"/>
    </row>
    <row r="68145" spans="6:6" x14ac:dyDescent="0.3">
      <c r="F68145" s="193"/>
    </row>
    <row r="68146" spans="6:6" x14ac:dyDescent="0.3">
      <c r="F68146" s="193"/>
    </row>
    <row r="68147" spans="6:6" x14ac:dyDescent="0.3">
      <c r="F68147" s="193"/>
    </row>
    <row r="68148" spans="6:6" x14ac:dyDescent="0.3">
      <c r="F68148" s="193"/>
    </row>
    <row r="68149" spans="6:6" x14ac:dyDescent="0.3">
      <c r="F68149" s="193"/>
    </row>
    <row r="68150" spans="6:6" x14ac:dyDescent="0.3">
      <c r="F68150" s="193"/>
    </row>
    <row r="68151" spans="6:6" x14ac:dyDescent="0.3">
      <c r="F68151" s="193"/>
    </row>
    <row r="68152" spans="6:6" x14ac:dyDescent="0.3">
      <c r="F68152" s="193"/>
    </row>
    <row r="68153" spans="6:6" x14ac:dyDescent="0.3">
      <c r="F68153" s="193"/>
    </row>
    <row r="68154" spans="6:6" x14ac:dyDescent="0.3">
      <c r="F68154" s="193"/>
    </row>
    <row r="68155" spans="6:6" x14ac:dyDescent="0.3">
      <c r="F68155" s="193"/>
    </row>
    <row r="68156" spans="6:6" x14ac:dyDescent="0.3">
      <c r="F68156" s="193"/>
    </row>
    <row r="68157" spans="6:6" x14ac:dyDescent="0.3">
      <c r="F68157" s="193"/>
    </row>
    <row r="68158" spans="6:6" x14ac:dyDescent="0.3">
      <c r="F68158" s="193"/>
    </row>
    <row r="68159" spans="6:6" x14ac:dyDescent="0.3">
      <c r="F68159" s="193"/>
    </row>
    <row r="68160" spans="6:6" x14ac:dyDescent="0.3">
      <c r="F68160" s="193"/>
    </row>
    <row r="68161" spans="6:6" x14ac:dyDescent="0.3">
      <c r="F68161" s="193"/>
    </row>
    <row r="68162" spans="6:6" x14ac:dyDescent="0.3">
      <c r="F68162" s="193"/>
    </row>
    <row r="68163" spans="6:6" x14ac:dyDescent="0.3">
      <c r="F68163" s="193"/>
    </row>
    <row r="68164" spans="6:6" x14ac:dyDescent="0.3">
      <c r="F68164" s="193"/>
    </row>
    <row r="68165" spans="6:6" x14ac:dyDescent="0.3">
      <c r="F68165" s="193"/>
    </row>
    <row r="68166" spans="6:6" x14ac:dyDescent="0.3">
      <c r="F68166" s="193"/>
    </row>
    <row r="68167" spans="6:6" x14ac:dyDescent="0.3">
      <c r="F68167" s="193"/>
    </row>
    <row r="68168" spans="6:6" x14ac:dyDescent="0.3">
      <c r="F68168" s="193"/>
    </row>
    <row r="68169" spans="6:6" x14ac:dyDescent="0.3">
      <c r="F68169" s="193"/>
    </row>
    <row r="68170" spans="6:6" x14ac:dyDescent="0.3">
      <c r="F68170" s="193"/>
    </row>
    <row r="68171" spans="6:6" x14ac:dyDescent="0.3">
      <c r="F68171" s="193"/>
    </row>
    <row r="68172" spans="6:6" x14ac:dyDescent="0.3">
      <c r="F68172" s="193"/>
    </row>
    <row r="68173" spans="6:6" x14ac:dyDescent="0.3">
      <c r="F68173" s="193"/>
    </row>
    <row r="68174" spans="6:6" x14ac:dyDescent="0.3">
      <c r="F68174" s="193"/>
    </row>
    <row r="68175" spans="6:6" x14ac:dyDescent="0.3">
      <c r="F68175" s="193"/>
    </row>
    <row r="68176" spans="6:6" x14ac:dyDescent="0.3">
      <c r="F68176" s="193"/>
    </row>
    <row r="68177" spans="6:6" x14ac:dyDescent="0.3">
      <c r="F68177" s="193"/>
    </row>
    <row r="68178" spans="6:6" x14ac:dyDescent="0.3">
      <c r="F68178" s="193"/>
    </row>
    <row r="68179" spans="6:6" x14ac:dyDescent="0.3">
      <c r="F68179" s="193"/>
    </row>
    <row r="68180" spans="6:6" x14ac:dyDescent="0.3">
      <c r="F68180" s="193"/>
    </row>
    <row r="68181" spans="6:6" x14ac:dyDescent="0.3">
      <c r="F68181" s="193"/>
    </row>
    <row r="68182" spans="6:6" x14ac:dyDescent="0.3">
      <c r="F68182" s="193"/>
    </row>
    <row r="68183" spans="6:6" x14ac:dyDescent="0.3">
      <c r="F68183" s="193"/>
    </row>
    <row r="68184" spans="6:6" x14ac:dyDescent="0.3">
      <c r="F68184" s="193"/>
    </row>
    <row r="68185" spans="6:6" x14ac:dyDescent="0.3">
      <c r="F68185" s="193"/>
    </row>
    <row r="68186" spans="6:6" x14ac:dyDescent="0.3">
      <c r="F68186" s="193"/>
    </row>
    <row r="68187" spans="6:6" x14ac:dyDescent="0.3">
      <c r="F68187" s="193"/>
    </row>
    <row r="68188" spans="6:6" x14ac:dyDescent="0.3">
      <c r="F68188" s="193"/>
    </row>
    <row r="68189" spans="6:6" x14ac:dyDescent="0.3">
      <c r="F68189" s="193"/>
    </row>
    <row r="68190" spans="6:6" x14ac:dyDescent="0.3">
      <c r="F68190" s="193"/>
    </row>
    <row r="68191" spans="6:6" x14ac:dyDescent="0.3">
      <c r="F68191" s="193"/>
    </row>
    <row r="68192" spans="6:6" x14ac:dyDescent="0.3">
      <c r="F68192" s="193"/>
    </row>
    <row r="68193" spans="6:6" x14ac:dyDescent="0.3">
      <c r="F68193" s="193"/>
    </row>
    <row r="68194" spans="6:6" x14ac:dyDescent="0.3">
      <c r="F68194" s="193"/>
    </row>
    <row r="68195" spans="6:6" x14ac:dyDescent="0.3">
      <c r="F68195" s="193"/>
    </row>
    <row r="68196" spans="6:6" x14ac:dyDescent="0.3">
      <c r="F68196" s="193"/>
    </row>
    <row r="68197" spans="6:6" x14ac:dyDescent="0.3">
      <c r="F68197" s="193"/>
    </row>
    <row r="68198" spans="6:6" x14ac:dyDescent="0.3">
      <c r="F68198" s="193"/>
    </row>
    <row r="68199" spans="6:6" x14ac:dyDescent="0.3">
      <c r="F68199" s="193"/>
    </row>
    <row r="68200" spans="6:6" x14ac:dyDescent="0.3">
      <c r="F68200" s="193"/>
    </row>
    <row r="68201" spans="6:6" x14ac:dyDescent="0.3">
      <c r="F68201" s="193"/>
    </row>
    <row r="68202" spans="6:6" x14ac:dyDescent="0.3">
      <c r="F68202" s="193"/>
    </row>
    <row r="68203" spans="6:6" x14ac:dyDescent="0.3">
      <c r="F68203" s="193"/>
    </row>
    <row r="68204" spans="6:6" x14ac:dyDescent="0.3">
      <c r="F68204" s="193"/>
    </row>
    <row r="68205" spans="6:6" x14ac:dyDescent="0.3">
      <c r="F68205" s="193"/>
    </row>
    <row r="68206" spans="6:6" x14ac:dyDescent="0.3">
      <c r="F68206" s="193"/>
    </row>
    <row r="68207" spans="6:6" x14ac:dyDescent="0.3">
      <c r="F68207" s="193"/>
    </row>
    <row r="68208" spans="6:6" x14ac:dyDescent="0.3">
      <c r="F68208" s="193"/>
    </row>
    <row r="68209" spans="6:6" x14ac:dyDescent="0.3">
      <c r="F68209" s="193"/>
    </row>
    <row r="68210" spans="6:6" x14ac:dyDescent="0.3">
      <c r="F68210" s="193"/>
    </row>
    <row r="68211" spans="6:6" x14ac:dyDescent="0.3">
      <c r="F68211" s="193"/>
    </row>
    <row r="68212" spans="6:6" x14ac:dyDescent="0.3">
      <c r="F68212" s="193"/>
    </row>
    <row r="68213" spans="6:6" x14ac:dyDescent="0.3">
      <c r="F68213" s="193"/>
    </row>
    <row r="68214" spans="6:6" x14ac:dyDescent="0.3">
      <c r="F68214" s="193"/>
    </row>
    <row r="68215" spans="6:6" x14ac:dyDescent="0.3">
      <c r="F68215" s="193"/>
    </row>
    <row r="68216" spans="6:6" x14ac:dyDescent="0.3">
      <c r="F68216" s="193"/>
    </row>
    <row r="68217" spans="6:6" x14ac:dyDescent="0.3">
      <c r="F68217" s="193"/>
    </row>
    <row r="68218" spans="6:6" x14ac:dyDescent="0.3">
      <c r="F68218" s="193"/>
    </row>
    <row r="68219" spans="6:6" x14ac:dyDescent="0.3">
      <c r="F68219" s="193"/>
    </row>
    <row r="68220" spans="6:6" x14ac:dyDescent="0.3">
      <c r="F68220" s="193"/>
    </row>
    <row r="68221" spans="6:6" x14ac:dyDescent="0.3">
      <c r="F68221" s="193"/>
    </row>
    <row r="68222" spans="6:6" x14ac:dyDescent="0.3">
      <c r="F68222" s="193"/>
    </row>
    <row r="68223" spans="6:6" x14ac:dyDescent="0.3">
      <c r="F68223" s="193"/>
    </row>
    <row r="68224" spans="6:6" x14ac:dyDescent="0.3">
      <c r="F68224" s="193"/>
    </row>
    <row r="68225" spans="6:6" x14ac:dyDescent="0.3">
      <c r="F68225" s="193"/>
    </row>
    <row r="68226" spans="6:6" x14ac:dyDescent="0.3">
      <c r="F68226" s="193"/>
    </row>
    <row r="68227" spans="6:6" x14ac:dyDescent="0.3">
      <c r="F68227" s="193"/>
    </row>
    <row r="68228" spans="6:6" x14ac:dyDescent="0.3">
      <c r="F68228" s="193"/>
    </row>
    <row r="68229" spans="6:6" x14ac:dyDescent="0.3">
      <c r="F68229" s="193"/>
    </row>
    <row r="68230" spans="6:6" x14ac:dyDescent="0.3">
      <c r="F68230" s="193"/>
    </row>
    <row r="68231" spans="6:6" x14ac:dyDescent="0.3">
      <c r="F68231" s="193"/>
    </row>
    <row r="68232" spans="6:6" x14ac:dyDescent="0.3">
      <c r="F68232" s="193"/>
    </row>
    <row r="68233" spans="6:6" x14ac:dyDescent="0.3">
      <c r="F68233" s="193"/>
    </row>
    <row r="68234" spans="6:6" x14ac:dyDescent="0.3">
      <c r="F68234" s="193"/>
    </row>
    <row r="68235" spans="6:6" x14ac:dyDescent="0.3">
      <c r="F68235" s="193"/>
    </row>
    <row r="68236" spans="6:6" x14ac:dyDescent="0.3">
      <c r="F68236" s="193"/>
    </row>
    <row r="68237" spans="6:6" x14ac:dyDescent="0.3">
      <c r="F68237" s="193"/>
    </row>
    <row r="68238" spans="6:6" x14ac:dyDescent="0.3">
      <c r="F68238" s="193"/>
    </row>
    <row r="68239" spans="6:6" x14ac:dyDescent="0.3">
      <c r="F68239" s="193"/>
    </row>
    <row r="68240" spans="6:6" x14ac:dyDescent="0.3">
      <c r="F68240" s="193"/>
    </row>
    <row r="68241" spans="6:6" x14ac:dyDescent="0.3">
      <c r="F68241" s="193"/>
    </row>
    <row r="68242" spans="6:6" x14ac:dyDescent="0.3">
      <c r="F68242" s="193"/>
    </row>
    <row r="68243" spans="6:6" x14ac:dyDescent="0.3">
      <c r="F68243" s="193"/>
    </row>
    <row r="68244" spans="6:6" x14ac:dyDescent="0.3">
      <c r="F68244" s="193"/>
    </row>
    <row r="68245" spans="6:6" x14ac:dyDescent="0.3">
      <c r="F68245" s="193"/>
    </row>
    <row r="68246" spans="6:6" x14ac:dyDescent="0.3">
      <c r="F68246" s="193"/>
    </row>
    <row r="68247" spans="6:6" x14ac:dyDescent="0.3">
      <c r="F68247" s="193"/>
    </row>
    <row r="68248" spans="6:6" x14ac:dyDescent="0.3">
      <c r="F68248" s="193"/>
    </row>
    <row r="68249" spans="6:6" x14ac:dyDescent="0.3">
      <c r="F68249" s="193"/>
    </row>
    <row r="68250" spans="6:6" x14ac:dyDescent="0.3">
      <c r="F68250" s="193"/>
    </row>
    <row r="68251" spans="6:6" x14ac:dyDescent="0.3">
      <c r="F68251" s="193"/>
    </row>
    <row r="68252" spans="6:6" x14ac:dyDescent="0.3">
      <c r="F68252" s="193"/>
    </row>
    <row r="68253" spans="6:6" x14ac:dyDescent="0.3">
      <c r="F68253" s="193"/>
    </row>
    <row r="68254" spans="6:6" x14ac:dyDescent="0.3">
      <c r="F68254" s="193"/>
    </row>
    <row r="68255" spans="6:6" x14ac:dyDescent="0.3">
      <c r="F68255" s="193"/>
    </row>
    <row r="68256" spans="6:6" x14ac:dyDescent="0.3">
      <c r="F68256" s="193"/>
    </row>
    <row r="68257" spans="6:6" x14ac:dyDescent="0.3">
      <c r="F68257" s="193"/>
    </row>
    <row r="68258" spans="6:6" x14ac:dyDescent="0.3">
      <c r="F68258" s="193"/>
    </row>
    <row r="68259" spans="6:6" x14ac:dyDescent="0.3">
      <c r="F68259" s="193"/>
    </row>
    <row r="68260" spans="6:6" x14ac:dyDescent="0.3">
      <c r="F68260" s="193"/>
    </row>
    <row r="68261" spans="6:6" x14ac:dyDescent="0.3">
      <c r="F68261" s="193"/>
    </row>
    <row r="68262" spans="6:6" x14ac:dyDescent="0.3">
      <c r="F68262" s="193"/>
    </row>
    <row r="68263" spans="6:6" x14ac:dyDescent="0.3">
      <c r="F68263" s="193"/>
    </row>
    <row r="68264" spans="6:6" x14ac:dyDescent="0.3">
      <c r="F68264" s="193"/>
    </row>
    <row r="68265" spans="6:6" x14ac:dyDescent="0.3">
      <c r="F68265" s="193"/>
    </row>
    <row r="68266" spans="6:6" x14ac:dyDescent="0.3">
      <c r="F68266" s="193"/>
    </row>
    <row r="68267" spans="6:6" x14ac:dyDescent="0.3">
      <c r="F68267" s="193"/>
    </row>
    <row r="68268" spans="6:6" x14ac:dyDescent="0.3">
      <c r="F68268" s="193"/>
    </row>
    <row r="68269" spans="6:6" x14ac:dyDescent="0.3">
      <c r="F68269" s="193"/>
    </row>
    <row r="68270" spans="6:6" x14ac:dyDescent="0.3">
      <c r="F68270" s="193"/>
    </row>
    <row r="68271" spans="6:6" x14ac:dyDescent="0.3">
      <c r="F68271" s="193"/>
    </row>
    <row r="68272" spans="6:6" x14ac:dyDescent="0.3">
      <c r="F68272" s="193"/>
    </row>
    <row r="68273" spans="6:6" x14ac:dyDescent="0.3">
      <c r="F68273" s="193"/>
    </row>
    <row r="68274" spans="6:6" x14ac:dyDescent="0.3">
      <c r="F68274" s="193"/>
    </row>
    <row r="68275" spans="6:6" x14ac:dyDescent="0.3">
      <c r="F68275" s="193"/>
    </row>
    <row r="68276" spans="6:6" x14ac:dyDescent="0.3">
      <c r="F68276" s="193"/>
    </row>
    <row r="68277" spans="6:6" x14ac:dyDescent="0.3">
      <c r="F68277" s="193"/>
    </row>
    <row r="68278" spans="6:6" x14ac:dyDescent="0.3">
      <c r="F68278" s="193"/>
    </row>
    <row r="68279" spans="6:6" x14ac:dyDescent="0.3">
      <c r="F68279" s="193"/>
    </row>
    <row r="68280" spans="6:6" x14ac:dyDescent="0.3">
      <c r="F68280" s="193"/>
    </row>
    <row r="68281" spans="6:6" x14ac:dyDescent="0.3">
      <c r="F68281" s="193"/>
    </row>
    <row r="68282" spans="6:6" x14ac:dyDescent="0.3">
      <c r="F68282" s="193"/>
    </row>
    <row r="68283" spans="6:6" x14ac:dyDescent="0.3">
      <c r="F68283" s="193"/>
    </row>
    <row r="68284" spans="6:6" x14ac:dyDescent="0.3">
      <c r="F68284" s="193"/>
    </row>
    <row r="68285" spans="6:6" x14ac:dyDescent="0.3">
      <c r="F68285" s="193"/>
    </row>
    <row r="68286" spans="6:6" x14ac:dyDescent="0.3">
      <c r="F68286" s="193"/>
    </row>
    <row r="68287" spans="6:6" x14ac:dyDescent="0.3">
      <c r="F68287" s="193"/>
    </row>
    <row r="68288" spans="6:6" x14ac:dyDescent="0.3">
      <c r="F68288" s="193"/>
    </row>
    <row r="68289" spans="6:6" x14ac:dyDescent="0.3">
      <c r="F68289" s="193"/>
    </row>
    <row r="68290" spans="6:6" x14ac:dyDescent="0.3">
      <c r="F68290" s="193"/>
    </row>
    <row r="68291" spans="6:6" x14ac:dyDescent="0.3">
      <c r="F68291" s="193"/>
    </row>
    <row r="68292" spans="6:6" x14ac:dyDescent="0.3">
      <c r="F68292" s="193"/>
    </row>
    <row r="68293" spans="6:6" x14ac:dyDescent="0.3">
      <c r="F68293" s="193"/>
    </row>
    <row r="68294" spans="6:6" x14ac:dyDescent="0.3">
      <c r="F68294" s="193"/>
    </row>
    <row r="68295" spans="6:6" x14ac:dyDescent="0.3">
      <c r="F68295" s="193"/>
    </row>
    <row r="68296" spans="6:6" x14ac:dyDescent="0.3">
      <c r="F68296" s="193"/>
    </row>
    <row r="68297" spans="6:6" x14ac:dyDescent="0.3">
      <c r="F68297" s="193"/>
    </row>
    <row r="68298" spans="6:6" x14ac:dyDescent="0.3">
      <c r="F68298" s="193"/>
    </row>
    <row r="68299" spans="6:6" x14ac:dyDescent="0.3">
      <c r="F68299" s="193"/>
    </row>
    <row r="68300" spans="6:6" x14ac:dyDescent="0.3">
      <c r="F68300" s="193"/>
    </row>
    <row r="68301" spans="6:6" x14ac:dyDescent="0.3">
      <c r="F68301" s="193"/>
    </row>
    <row r="68302" spans="6:6" x14ac:dyDescent="0.3">
      <c r="F68302" s="193"/>
    </row>
    <row r="68303" spans="6:6" x14ac:dyDescent="0.3">
      <c r="F68303" s="193"/>
    </row>
    <row r="68304" spans="6:6" x14ac:dyDescent="0.3">
      <c r="F68304" s="193"/>
    </row>
    <row r="68305" spans="6:6" x14ac:dyDescent="0.3">
      <c r="F68305" s="193"/>
    </row>
    <row r="68306" spans="6:6" x14ac:dyDescent="0.3">
      <c r="F68306" s="193"/>
    </row>
    <row r="68307" spans="6:6" x14ac:dyDescent="0.3">
      <c r="F68307" s="193"/>
    </row>
    <row r="68308" spans="6:6" x14ac:dyDescent="0.3">
      <c r="F68308" s="193"/>
    </row>
    <row r="68309" spans="6:6" x14ac:dyDescent="0.3">
      <c r="F68309" s="193"/>
    </row>
    <row r="68310" spans="6:6" x14ac:dyDescent="0.3">
      <c r="F68310" s="193"/>
    </row>
    <row r="68311" spans="6:6" x14ac:dyDescent="0.3">
      <c r="F68311" s="193"/>
    </row>
    <row r="68312" spans="6:6" x14ac:dyDescent="0.3">
      <c r="F68312" s="193"/>
    </row>
    <row r="68313" spans="6:6" x14ac:dyDescent="0.3">
      <c r="F68313" s="193"/>
    </row>
    <row r="68314" spans="6:6" x14ac:dyDescent="0.3">
      <c r="F68314" s="193"/>
    </row>
    <row r="68315" spans="6:6" x14ac:dyDescent="0.3">
      <c r="F68315" s="193"/>
    </row>
    <row r="68316" spans="6:6" x14ac:dyDescent="0.3">
      <c r="F68316" s="193"/>
    </row>
    <row r="68317" spans="6:6" x14ac:dyDescent="0.3">
      <c r="F68317" s="193"/>
    </row>
    <row r="68318" spans="6:6" x14ac:dyDescent="0.3">
      <c r="F68318" s="193"/>
    </row>
    <row r="68319" spans="6:6" x14ac:dyDescent="0.3">
      <c r="F68319" s="193"/>
    </row>
    <row r="68320" spans="6:6" x14ac:dyDescent="0.3">
      <c r="F68320" s="193"/>
    </row>
    <row r="68321" spans="6:6" x14ac:dyDescent="0.3">
      <c r="F68321" s="193"/>
    </row>
    <row r="68322" spans="6:6" x14ac:dyDescent="0.3">
      <c r="F68322" s="193"/>
    </row>
    <row r="68323" spans="6:6" x14ac:dyDescent="0.3">
      <c r="F68323" s="193"/>
    </row>
    <row r="68324" spans="6:6" x14ac:dyDescent="0.3">
      <c r="F68324" s="193"/>
    </row>
    <row r="68325" spans="6:6" x14ac:dyDescent="0.3">
      <c r="F68325" s="193"/>
    </row>
    <row r="68326" spans="6:6" x14ac:dyDescent="0.3">
      <c r="F68326" s="193"/>
    </row>
    <row r="68327" spans="6:6" x14ac:dyDescent="0.3">
      <c r="F68327" s="193"/>
    </row>
    <row r="68328" spans="6:6" x14ac:dyDescent="0.3">
      <c r="F68328" s="193"/>
    </row>
    <row r="68329" spans="6:6" x14ac:dyDescent="0.3">
      <c r="F68329" s="193"/>
    </row>
    <row r="68330" spans="6:6" x14ac:dyDescent="0.3">
      <c r="F68330" s="193"/>
    </row>
    <row r="68331" spans="6:6" x14ac:dyDescent="0.3">
      <c r="F68331" s="193"/>
    </row>
    <row r="68332" spans="6:6" x14ac:dyDescent="0.3">
      <c r="F68332" s="193"/>
    </row>
    <row r="68333" spans="6:6" x14ac:dyDescent="0.3">
      <c r="F68333" s="193"/>
    </row>
    <row r="68334" spans="6:6" x14ac:dyDescent="0.3">
      <c r="F68334" s="193"/>
    </row>
    <row r="68335" spans="6:6" x14ac:dyDescent="0.3">
      <c r="F68335" s="193"/>
    </row>
    <row r="68336" spans="6:6" x14ac:dyDescent="0.3">
      <c r="F68336" s="193"/>
    </row>
    <row r="68337" spans="6:6" x14ac:dyDescent="0.3">
      <c r="F68337" s="193"/>
    </row>
    <row r="68338" spans="6:6" x14ac:dyDescent="0.3">
      <c r="F68338" s="193"/>
    </row>
    <row r="68339" spans="6:6" x14ac:dyDescent="0.3">
      <c r="F68339" s="193"/>
    </row>
    <row r="68340" spans="6:6" x14ac:dyDescent="0.3">
      <c r="F68340" s="193"/>
    </row>
    <row r="68341" spans="6:6" x14ac:dyDescent="0.3">
      <c r="F68341" s="193"/>
    </row>
    <row r="68342" spans="6:6" x14ac:dyDescent="0.3">
      <c r="F68342" s="193"/>
    </row>
    <row r="68343" spans="6:6" x14ac:dyDescent="0.3">
      <c r="F68343" s="193"/>
    </row>
    <row r="68344" spans="6:6" x14ac:dyDescent="0.3">
      <c r="F68344" s="193"/>
    </row>
    <row r="68345" spans="6:6" x14ac:dyDescent="0.3">
      <c r="F68345" s="193"/>
    </row>
    <row r="68346" spans="6:6" x14ac:dyDescent="0.3">
      <c r="F68346" s="193"/>
    </row>
    <row r="68347" spans="6:6" x14ac:dyDescent="0.3">
      <c r="F68347" s="193"/>
    </row>
    <row r="68348" spans="6:6" x14ac:dyDescent="0.3">
      <c r="F68348" s="193"/>
    </row>
    <row r="68349" spans="6:6" x14ac:dyDescent="0.3">
      <c r="F68349" s="193"/>
    </row>
    <row r="68350" spans="6:6" x14ac:dyDescent="0.3">
      <c r="F68350" s="193"/>
    </row>
    <row r="68351" spans="6:6" x14ac:dyDescent="0.3">
      <c r="F68351" s="193"/>
    </row>
    <row r="68352" spans="6:6" x14ac:dyDescent="0.3">
      <c r="F68352" s="193"/>
    </row>
    <row r="68353" spans="6:6" x14ac:dyDescent="0.3">
      <c r="F68353" s="193"/>
    </row>
    <row r="68354" spans="6:6" x14ac:dyDescent="0.3">
      <c r="F68354" s="193"/>
    </row>
    <row r="68355" spans="6:6" x14ac:dyDescent="0.3">
      <c r="F68355" s="193"/>
    </row>
    <row r="68356" spans="6:6" x14ac:dyDescent="0.3">
      <c r="F68356" s="193"/>
    </row>
    <row r="68357" spans="6:6" x14ac:dyDescent="0.3">
      <c r="F68357" s="193"/>
    </row>
    <row r="68358" spans="6:6" x14ac:dyDescent="0.3">
      <c r="F68358" s="193"/>
    </row>
    <row r="68359" spans="6:6" x14ac:dyDescent="0.3">
      <c r="F68359" s="193"/>
    </row>
    <row r="68360" spans="6:6" x14ac:dyDescent="0.3">
      <c r="F68360" s="193"/>
    </row>
    <row r="68361" spans="6:6" x14ac:dyDescent="0.3">
      <c r="F68361" s="193"/>
    </row>
    <row r="68362" spans="6:6" x14ac:dyDescent="0.3">
      <c r="F68362" s="193"/>
    </row>
    <row r="68363" spans="6:6" x14ac:dyDescent="0.3">
      <c r="F68363" s="193"/>
    </row>
    <row r="68364" spans="6:6" x14ac:dyDescent="0.3">
      <c r="F68364" s="193"/>
    </row>
    <row r="68365" spans="6:6" x14ac:dyDescent="0.3">
      <c r="F68365" s="193"/>
    </row>
    <row r="68366" spans="6:6" x14ac:dyDescent="0.3">
      <c r="F68366" s="193"/>
    </row>
    <row r="68367" spans="6:6" x14ac:dyDescent="0.3">
      <c r="F68367" s="193"/>
    </row>
    <row r="68368" spans="6:6" x14ac:dyDescent="0.3">
      <c r="F68368" s="193"/>
    </row>
    <row r="68369" spans="6:6" x14ac:dyDescent="0.3">
      <c r="F68369" s="193"/>
    </row>
    <row r="68370" spans="6:6" x14ac:dyDescent="0.3">
      <c r="F68370" s="193"/>
    </row>
    <row r="68371" spans="6:6" x14ac:dyDescent="0.3">
      <c r="F68371" s="193"/>
    </row>
    <row r="68372" spans="6:6" x14ac:dyDescent="0.3">
      <c r="F68372" s="193"/>
    </row>
    <row r="68373" spans="6:6" x14ac:dyDescent="0.3">
      <c r="F68373" s="193"/>
    </row>
    <row r="68374" spans="6:6" x14ac:dyDescent="0.3">
      <c r="F68374" s="193"/>
    </row>
    <row r="68375" spans="6:6" x14ac:dyDescent="0.3">
      <c r="F68375" s="193"/>
    </row>
    <row r="68376" spans="6:6" x14ac:dyDescent="0.3">
      <c r="F68376" s="193"/>
    </row>
    <row r="68377" spans="6:6" x14ac:dyDescent="0.3">
      <c r="F68377" s="193"/>
    </row>
    <row r="68378" spans="6:6" x14ac:dyDescent="0.3">
      <c r="F68378" s="193"/>
    </row>
    <row r="68379" spans="6:6" x14ac:dyDescent="0.3">
      <c r="F68379" s="193"/>
    </row>
    <row r="68380" spans="6:6" x14ac:dyDescent="0.3">
      <c r="F68380" s="193"/>
    </row>
    <row r="68381" spans="6:6" x14ac:dyDescent="0.3">
      <c r="F68381" s="193"/>
    </row>
    <row r="68382" spans="6:6" x14ac:dyDescent="0.3">
      <c r="F68382" s="193"/>
    </row>
    <row r="68383" spans="6:6" x14ac:dyDescent="0.3">
      <c r="F68383" s="193"/>
    </row>
    <row r="68384" spans="6:6" x14ac:dyDescent="0.3">
      <c r="F68384" s="193"/>
    </row>
    <row r="68385" spans="6:6" x14ac:dyDescent="0.3">
      <c r="F68385" s="193"/>
    </row>
    <row r="68386" spans="6:6" x14ac:dyDescent="0.3">
      <c r="F68386" s="193"/>
    </row>
    <row r="68387" spans="6:6" x14ac:dyDescent="0.3">
      <c r="F68387" s="193"/>
    </row>
    <row r="68388" spans="6:6" x14ac:dyDescent="0.3">
      <c r="F68388" s="193"/>
    </row>
    <row r="68389" spans="6:6" x14ac:dyDescent="0.3">
      <c r="F68389" s="193"/>
    </row>
    <row r="68390" spans="6:6" x14ac:dyDescent="0.3">
      <c r="F68390" s="193"/>
    </row>
    <row r="68391" spans="6:6" x14ac:dyDescent="0.3">
      <c r="F68391" s="193"/>
    </row>
    <row r="68392" spans="6:6" x14ac:dyDescent="0.3">
      <c r="F68392" s="193"/>
    </row>
    <row r="68393" spans="6:6" x14ac:dyDescent="0.3">
      <c r="F68393" s="193"/>
    </row>
    <row r="68394" spans="6:6" x14ac:dyDescent="0.3">
      <c r="F68394" s="193"/>
    </row>
    <row r="68395" spans="6:6" x14ac:dyDescent="0.3">
      <c r="F68395" s="193"/>
    </row>
    <row r="68396" spans="6:6" x14ac:dyDescent="0.3">
      <c r="F68396" s="193"/>
    </row>
    <row r="68397" spans="6:6" x14ac:dyDescent="0.3">
      <c r="F68397" s="193"/>
    </row>
    <row r="68398" spans="6:6" x14ac:dyDescent="0.3">
      <c r="F68398" s="193"/>
    </row>
    <row r="68399" spans="6:6" x14ac:dyDescent="0.3">
      <c r="F68399" s="193"/>
    </row>
    <row r="68400" spans="6:6" x14ac:dyDescent="0.3">
      <c r="F68400" s="193"/>
    </row>
    <row r="68401" spans="6:6" x14ac:dyDescent="0.3">
      <c r="F68401" s="193"/>
    </row>
    <row r="68402" spans="6:6" x14ac:dyDescent="0.3">
      <c r="F68402" s="193"/>
    </row>
    <row r="68403" spans="6:6" x14ac:dyDescent="0.3">
      <c r="F68403" s="193"/>
    </row>
    <row r="68404" spans="6:6" x14ac:dyDescent="0.3">
      <c r="F68404" s="193"/>
    </row>
    <row r="68405" spans="6:6" x14ac:dyDescent="0.3">
      <c r="F68405" s="193"/>
    </row>
    <row r="68406" spans="6:6" x14ac:dyDescent="0.3">
      <c r="F68406" s="193"/>
    </row>
    <row r="68407" spans="6:6" x14ac:dyDescent="0.3">
      <c r="F68407" s="193"/>
    </row>
    <row r="68408" spans="6:6" x14ac:dyDescent="0.3">
      <c r="F68408" s="193"/>
    </row>
    <row r="68409" spans="6:6" x14ac:dyDescent="0.3">
      <c r="F68409" s="193"/>
    </row>
    <row r="68410" spans="6:6" x14ac:dyDescent="0.3">
      <c r="F68410" s="193"/>
    </row>
    <row r="68411" spans="6:6" x14ac:dyDescent="0.3">
      <c r="F68411" s="193"/>
    </row>
    <row r="68412" spans="6:6" x14ac:dyDescent="0.3">
      <c r="F68412" s="193"/>
    </row>
    <row r="68413" spans="6:6" x14ac:dyDescent="0.3">
      <c r="F68413" s="193"/>
    </row>
    <row r="68414" spans="6:6" x14ac:dyDescent="0.3">
      <c r="F68414" s="193"/>
    </row>
    <row r="68415" spans="6:6" x14ac:dyDescent="0.3">
      <c r="F68415" s="193"/>
    </row>
    <row r="68416" spans="6:6" x14ac:dyDescent="0.3">
      <c r="F68416" s="193"/>
    </row>
    <row r="68417" spans="6:6" x14ac:dyDescent="0.3">
      <c r="F68417" s="193"/>
    </row>
    <row r="68418" spans="6:6" x14ac:dyDescent="0.3">
      <c r="F68418" s="193"/>
    </row>
    <row r="68419" spans="6:6" x14ac:dyDescent="0.3">
      <c r="F68419" s="193"/>
    </row>
    <row r="68420" spans="6:6" x14ac:dyDescent="0.3">
      <c r="F68420" s="193"/>
    </row>
    <row r="68421" spans="6:6" x14ac:dyDescent="0.3">
      <c r="F68421" s="193"/>
    </row>
    <row r="68422" spans="6:6" x14ac:dyDescent="0.3">
      <c r="F68422" s="193"/>
    </row>
    <row r="68423" spans="6:6" x14ac:dyDescent="0.3">
      <c r="F68423" s="193"/>
    </row>
    <row r="68424" spans="6:6" x14ac:dyDescent="0.3">
      <c r="F68424" s="193"/>
    </row>
    <row r="68425" spans="6:6" x14ac:dyDescent="0.3">
      <c r="F68425" s="193"/>
    </row>
    <row r="68426" spans="6:6" x14ac:dyDescent="0.3">
      <c r="F68426" s="193"/>
    </row>
    <row r="68427" spans="6:6" x14ac:dyDescent="0.3">
      <c r="F68427" s="193"/>
    </row>
    <row r="68428" spans="6:6" x14ac:dyDescent="0.3">
      <c r="F68428" s="193"/>
    </row>
    <row r="68429" spans="6:6" x14ac:dyDescent="0.3">
      <c r="F68429" s="193"/>
    </row>
    <row r="68430" spans="6:6" x14ac:dyDescent="0.3">
      <c r="F68430" s="193"/>
    </row>
    <row r="68431" spans="6:6" x14ac:dyDescent="0.3">
      <c r="F68431" s="193"/>
    </row>
    <row r="68432" spans="6:6" x14ac:dyDescent="0.3">
      <c r="F68432" s="193"/>
    </row>
    <row r="68433" spans="6:6" x14ac:dyDescent="0.3">
      <c r="F68433" s="193"/>
    </row>
    <row r="68434" spans="6:6" x14ac:dyDescent="0.3">
      <c r="F68434" s="193"/>
    </row>
    <row r="68435" spans="6:6" x14ac:dyDescent="0.3">
      <c r="F68435" s="193"/>
    </row>
    <row r="68436" spans="6:6" x14ac:dyDescent="0.3">
      <c r="F68436" s="193"/>
    </row>
    <row r="68437" spans="6:6" x14ac:dyDescent="0.3">
      <c r="F68437" s="193"/>
    </row>
    <row r="68438" spans="6:6" x14ac:dyDescent="0.3">
      <c r="F68438" s="193"/>
    </row>
    <row r="68439" spans="6:6" x14ac:dyDescent="0.3">
      <c r="F68439" s="193"/>
    </row>
    <row r="68440" spans="6:6" x14ac:dyDescent="0.3">
      <c r="F68440" s="193"/>
    </row>
    <row r="68441" spans="6:6" x14ac:dyDescent="0.3">
      <c r="F68441" s="193"/>
    </row>
    <row r="68442" spans="6:6" x14ac:dyDescent="0.3">
      <c r="F68442" s="193"/>
    </row>
    <row r="68443" spans="6:6" x14ac:dyDescent="0.3">
      <c r="F68443" s="193"/>
    </row>
    <row r="68444" spans="6:6" x14ac:dyDescent="0.3">
      <c r="F68444" s="193"/>
    </row>
    <row r="68445" spans="6:6" x14ac:dyDescent="0.3">
      <c r="F68445" s="193"/>
    </row>
    <row r="68446" spans="6:6" x14ac:dyDescent="0.3">
      <c r="F68446" s="193"/>
    </row>
    <row r="68447" spans="6:6" x14ac:dyDescent="0.3">
      <c r="F68447" s="193"/>
    </row>
    <row r="68448" spans="6:6" x14ac:dyDescent="0.3">
      <c r="F68448" s="193"/>
    </row>
    <row r="68449" spans="6:6" x14ac:dyDescent="0.3">
      <c r="F68449" s="193"/>
    </row>
    <row r="68450" spans="6:6" x14ac:dyDescent="0.3">
      <c r="F68450" s="193"/>
    </row>
    <row r="68451" spans="6:6" x14ac:dyDescent="0.3">
      <c r="F68451" s="193"/>
    </row>
    <row r="68452" spans="6:6" x14ac:dyDescent="0.3">
      <c r="F68452" s="193"/>
    </row>
    <row r="68453" spans="6:6" x14ac:dyDescent="0.3">
      <c r="F68453" s="193"/>
    </row>
    <row r="68454" spans="6:6" x14ac:dyDescent="0.3">
      <c r="F68454" s="193"/>
    </row>
    <row r="68455" spans="6:6" x14ac:dyDescent="0.3">
      <c r="F68455" s="193"/>
    </row>
    <row r="68456" spans="6:6" x14ac:dyDescent="0.3">
      <c r="F68456" s="193"/>
    </row>
    <row r="68457" spans="6:6" x14ac:dyDescent="0.3">
      <c r="F68457" s="193"/>
    </row>
    <row r="68458" spans="6:6" x14ac:dyDescent="0.3">
      <c r="F68458" s="193"/>
    </row>
    <row r="68459" spans="6:6" x14ac:dyDescent="0.3">
      <c r="F68459" s="193"/>
    </row>
    <row r="68460" spans="6:6" x14ac:dyDescent="0.3">
      <c r="F68460" s="193"/>
    </row>
    <row r="68461" spans="6:6" x14ac:dyDescent="0.3">
      <c r="F68461" s="193"/>
    </row>
    <row r="68462" spans="6:6" x14ac:dyDescent="0.3">
      <c r="F68462" s="193"/>
    </row>
    <row r="68463" spans="6:6" x14ac:dyDescent="0.3">
      <c r="F68463" s="193"/>
    </row>
    <row r="68464" spans="6:6" x14ac:dyDescent="0.3">
      <c r="F68464" s="193"/>
    </row>
    <row r="68465" spans="6:6" x14ac:dyDescent="0.3">
      <c r="F68465" s="193"/>
    </row>
    <row r="68466" spans="6:6" x14ac:dyDescent="0.3">
      <c r="F68466" s="193"/>
    </row>
    <row r="68467" spans="6:6" x14ac:dyDescent="0.3">
      <c r="F68467" s="193"/>
    </row>
    <row r="68468" spans="6:6" x14ac:dyDescent="0.3">
      <c r="F68468" s="193"/>
    </row>
    <row r="68469" spans="6:6" x14ac:dyDescent="0.3">
      <c r="F68469" s="193"/>
    </row>
    <row r="68470" spans="6:6" x14ac:dyDescent="0.3">
      <c r="F68470" s="193"/>
    </row>
    <row r="68471" spans="6:6" x14ac:dyDescent="0.3">
      <c r="F68471" s="193"/>
    </row>
    <row r="68472" spans="6:6" x14ac:dyDescent="0.3">
      <c r="F68472" s="193"/>
    </row>
    <row r="68473" spans="6:6" x14ac:dyDescent="0.3">
      <c r="F68473" s="193"/>
    </row>
    <row r="68474" spans="6:6" x14ac:dyDescent="0.3">
      <c r="F68474" s="193"/>
    </row>
    <row r="68475" spans="6:6" x14ac:dyDescent="0.3">
      <c r="F68475" s="193"/>
    </row>
    <row r="68476" spans="6:6" x14ac:dyDescent="0.3">
      <c r="F68476" s="193"/>
    </row>
    <row r="68477" spans="6:6" x14ac:dyDescent="0.3">
      <c r="F68477" s="193"/>
    </row>
    <row r="68478" spans="6:6" x14ac:dyDescent="0.3">
      <c r="F68478" s="193"/>
    </row>
    <row r="68479" spans="6:6" x14ac:dyDescent="0.3">
      <c r="F68479" s="193"/>
    </row>
    <row r="68480" spans="6:6" x14ac:dyDescent="0.3">
      <c r="F68480" s="193"/>
    </row>
    <row r="68481" spans="6:6" x14ac:dyDescent="0.3">
      <c r="F68481" s="193"/>
    </row>
    <row r="68482" spans="6:6" x14ac:dyDescent="0.3">
      <c r="F68482" s="193"/>
    </row>
    <row r="68483" spans="6:6" x14ac:dyDescent="0.3">
      <c r="F68483" s="193"/>
    </row>
    <row r="68484" spans="6:6" x14ac:dyDescent="0.3">
      <c r="F68484" s="193"/>
    </row>
    <row r="68485" spans="6:6" x14ac:dyDescent="0.3">
      <c r="F68485" s="193"/>
    </row>
    <row r="68486" spans="6:6" x14ac:dyDescent="0.3">
      <c r="F68486" s="193"/>
    </row>
    <row r="68487" spans="6:6" x14ac:dyDescent="0.3">
      <c r="F68487" s="193"/>
    </row>
    <row r="68488" spans="6:6" x14ac:dyDescent="0.3">
      <c r="F68488" s="193"/>
    </row>
    <row r="68489" spans="6:6" x14ac:dyDescent="0.3">
      <c r="F68489" s="193"/>
    </row>
    <row r="68490" spans="6:6" x14ac:dyDescent="0.3">
      <c r="F68490" s="193"/>
    </row>
    <row r="68491" spans="6:6" x14ac:dyDescent="0.3">
      <c r="F68491" s="193"/>
    </row>
    <row r="68492" spans="6:6" x14ac:dyDescent="0.3">
      <c r="F68492" s="193"/>
    </row>
    <row r="68493" spans="6:6" x14ac:dyDescent="0.3">
      <c r="F68493" s="193"/>
    </row>
    <row r="68494" spans="6:6" x14ac:dyDescent="0.3">
      <c r="F68494" s="193"/>
    </row>
    <row r="68495" spans="6:6" x14ac:dyDescent="0.3">
      <c r="F68495" s="193"/>
    </row>
    <row r="68496" spans="6:6" x14ac:dyDescent="0.3">
      <c r="F68496" s="193"/>
    </row>
    <row r="68497" spans="6:6" x14ac:dyDescent="0.3">
      <c r="F68497" s="193"/>
    </row>
    <row r="68498" spans="6:6" x14ac:dyDescent="0.3">
      <c r="F68498" s="193"/>
    </row>
    <row r="68499" spans="6:6" x14ac:dyDescent="0.3">
      <c r="F68499" s="193"/>
    </row>
    <row r="68500" spans="6:6" x14ac:dyDescent="0.3">
      <c r="F68500" s="193"/>
    </row>
    <row r="68501" spans="6:6" x14ac:dyDescent="0.3">
      <c r="F68501" s="193"/>
    </row>
    <row r="68502" spans="6:6" x14ac:dyDescent="0.3">
      <c r="F68502" s="193"/>
    </row>
    <row r="68503" spans="6:6" x14ac:dyDescent="0.3">
      <c r="F68503" s="193"/>
    </row>
    <row r="68504" spans="6:6" x14ac:dyDescent="0.3">
      <c r="F68504" s="193"/>
    </row>
    <row r="68505" spans="6:6" x14ac:dyDescent="0.3">
      <c r="F68505" s="193"/>
    </row>
    <row r="68506" spans="6:6" x14ac:dyDescent="0.3">
      <c r="F68506" s="193"/>
    </row>
    <row r="68507" spans="6:6" x14ac:dyDescent="0.3">
      <c r="F68507" s="193"/>
    </row>
    <row r="68508" spans="6:6" x14ac:dyDescent="0.3">
      <c r="F68508" s="193"/>
    </row>
    <row r="68509" spans="6:6" x14ac:dyDescent="0.3">
      <c r="F68509" s="193"/>
    </row>
    <row r="68510" spans="6:6" x14ac:dyDescent="0.3">
      <c r="F68510" s="193"/>
    </row>
    <row r="68511" spans="6:6" x14ac:dyDescent="0.3">
      <c r="F68511" s="193"/>
    </row>
    <row r="68512" spans="6:6" x14ac:dyDescent="0.3">
      <c r="F68512" s="193"/>
    </row>
    <row r="68513" spans="6:6" x14ac:dyDescent="0.3">
      <c r="F68513" s="193"/>
    </row>
    <row r="68514" spans="6:6" x14ac:dyDescent="0.3">
      <c r="F68514" s="193"/>
    </row>
    <row r="68515" spans="6:6" x14ac:dyDescent="0.3">
      <c r="F68515" s="193"/>
    </row>
    <row r="68516" spans="6:6" x14ac:dyDescent="0.3">
      <c r="F68516" s="193"/>
    </row>
    <row r="68517" spans="6:6" x14ac:dyDescent="0.3">
      <c r="F68517" s="193"/>
    </row>
    <row r="68518" spans="6:6" x14ac:dyDescent="0.3">
      <c r="F68518" s="193"/>
    </row>
    <row r="68519" spans="6:6" x14ac:dyDescent="0.3">
      <c r="F68519" s="193"/>
    </row>
    <row r="68520" spans="6:6" x14ac:dyDescent="0.3">
      <c r="F68520" s="193"/>
    </row>
    <row r="68521" spans="6:6" x14ac:dyDescent="0.3">
      <c r="F68521" s="193"/>
    </row>
    <row r="68522" spans="6:6" x14ac:dyDescent="0.3">
      <c r="F68522" s="193"/>
    </row>
    <row r="68523" spans="6:6" x14ac:dyDescent="0.3">
      <c r="F68523" s="193"/>
    </row>
    <row r="68524" spans="6:6" x14ac:dyDescent="0.3">
      <c r="F68524" s="193"/>
    </row>
    <row r="68525" spans="6:6" x14ac:dyDescent="0.3">
      <c r="F68525" s="193"/>
    </row>
    <row r="68526" spans="6:6" x14ac:dyDescent="0.3">
      <c r="F68526" s="193"/>
    </row>
    <row r="68527" spans="6:6" x14ac:dyDescent="0.3">
      <c r="F68527" s="193"/>
    </row>
    <row r="68528" spans="6:6" x14ac:dyDescent="0.3">
      <c r="F68528" s="193"/>
    </row>
    <row r="68529" spans="6:6" x14ac:dyDescent="0.3">
      <c r="F68529" s="193"/>
    </row>
    <row r="68530" spans="6:6" x14ac:dyDescent="0.3">
      <c r="F68530" s="193"/>
    </row>
    <row r="68531" spans="6:6" x14ac:dyDescent="0.3">
      <c r="F68531" s="193"/>
    </row>
    <row r="68532" spans="6:6" x14ac:dyDescent="0.3">
      <c r="F68532" s="193"/>
    </row>
    <row r="68533" spans="6:6" x14ac:dyDescent="0.3">
      <c r="F68533" s="193"/>
    </row>
    <row r="68534" spans="6:6" x14ac:dyDescent="0.3">
      <c r="F68534" s="193"/>
    </row>
    <row r="68535" spans="6:6" x14ac:dyDescent="0.3">
      <c r="F68535" s="193"/>
    </row>
    <row r="68536" spans="6:6" x14ac:dyDescent="0.3">
      <c r="F68536" s="193"/>
    </row>
    <row r="68537" spans="6:6" x14ac:dyDescent="0.3">
      <c r="F68537" s="193"/>
    </row>
    <row r="68538" spans="6:6" x14ac:dyDescent="0.3">
      <c r="F68538" s="193"/>
    </row>
    <row r="68539" spans="6:6" x14ac:dyDescent="0.3">
      <c r="F68539" s="193"/>
    </row>
    <row r="68540" spans="6:6" x14ac:dyDescent="0.3">
      <c r="F68540" s="193"/>
    </row>
    <row r="68541" spans="6:6" x14ac:dyDescent="0.3">
      <c r="F68541" s="193"/>
    </row>
    <row r="68542" spans="6:6" x14ac:dyDescent="0.3">
      <c r="F68542" s="193"/>
    </row>
    <row r="68543" spans="6:6" x14ac:dyDescent="0.3">
      <c r="F68543" s="193"/>
    </row>
    <row r="68544" spans="6:6" x14ac:dyDescent="0.3">
      <c r="F68544" s="193"/>
    </row>
    <row r="68545" spans="6:6" x14ac:dyDescent="0.3">
      <c r="F68545" s="193"/>
    </row>
    <row r="68546" spans="6:6" x14ac:dyDescent="0.3">
      <c r="F68546" s="193"/>
    </row>
    <row r="68547" spans="6:6" x14ac:dyDescent="0.3">
      <c r="F68547" s="193"/>
    </row>
    <row r="68548" spans="6:6" x14ac:dyDescent="0.3">
      <c r="F68548" s="193"/>
    </row>
    <row r="68549" spans="6:6" x14ac:dyDescent="0.3">
      <c r="F68549" s="193"/>
    </row>
    <row r="68550" spans="6:6" x14ac:dyDescent="0.3">
      <c r="F68550" s="193"/>
    </row>
    <row r="68551" spans="6:6" x14ac:dyDescent="0.3">
      <c r="F68551" s="193"/>
    </row>
    <row r="68552" spans="6:6" x14ac:dyDescent="0.3">
      <c r="F68552" s="193"/>
    </row>
    <row r="68553" spans="6:6" x14ac:dyDescent="0.3">
      <c r="F68553" s="193"/>
    </row>
    <row r="68554" spans="6:6" x14ac:dyDescent="0.3">
      <c r="F68554" s="193"/>
    </row>
    <row r="68555" spans="6:6" x14ac:dyDescent="0.3">
      <c r="F68555" s="193"/>
    </row>
    <row r="68556" spans="6:6" x14ac:dyDescent="0.3">
      <c r="F68556" s="193"/>
    </row>
    <row r="68557" spans="6:6" x14ac:dyDescent="0.3">
      <c r="F68557" s="193"/>
    </row>
    <row r="68558" spans="6:6" x14ac:dyDescent="0.3">
      <c r="F68558" s="193"/>
    </row>
    <row r="68559" spans="6:6" x14ac:dyDescent="0.3">
      <c r="F68559" s="193"/>
    </row>
    <row r="68560" spans="6:6" x14ac:dyDescent="0.3">
      <c r="F68560" s="193"/>
    </row>
    <row r="68561" spans="6:6" x14ac:dyDescent="0.3">
      <c r="F68561" s="193"/>
    </row>
    <row r="68562" spans="6:6" x14ac:dyDescent="0.3">
      <c r="F68562" s="193"/>
    </row>
    <row r="68563" spans="6:6" x14ac:dyDescent="0.3">
      <c r="F68563" s="193"/>
    </row>
    <row r="68564" spans="6:6" x14ac:dyDescent="0.3">
      <c r="F68564" s="193"/>
    </row>
    <row r="68565" spans="6:6" x14ac:dyDescent="0.3">
      <c r="F68565" s="193"/>
    </row>
    <row r="68566" spans="6:6" x14ac:dyDescent="0.3">
      <c r="F68566" s="193"/>
    </row>
    <row r="68567" spans="6:6" x14ac:dyDescent="0.3">
      <c r="F68567" s="193"/>
    </row>
    <row r="68568" spans="6:6" x14ac:dyDescent="0.3">
      <c r="F68568" s="193"/>
    </row>
    <row r="68569" spans="6:6" x14ac:dyDescent="0.3">
      <c r="F68569" s="193"/>
    </row>
    <row r="68570" spans="6:6" x14ac:dyDescent="0.3">
      <c r="F68570" s="193"/>
    </row>
    <row r="68571" spans="6:6" x14ac:dyDescent="0.3">
      <c r="F68571" s="193"/>
    </row>
    <row r="68572" spans="6:6" x14ac:dyDescent="0.3">
      <c r="F68572" s="193"/>
    </row>
    <row r="68573" spans="6:6" x14ac:dyDescent="0.3">
      <c r="F68573" s="193"/>
    </row>
    <row r="68574" spans="6:6" x14ac:dyDescent="0.3">
      <c r="F68574" s="193"/>
    </row>
    <row r="68575" spans="6:6" x14ac:dyDescent="0.3">
      <c r="F68575" s="193"/>
    </row>
    <row r="68576" spans="6:6" x14ac:dyDescent="0.3">
      <c r="F68576" s="193"/>
    </row>
    <row r="68577" spans="6:6" x14ac:dyDescent="0.3">
      <c r="F68577" s="193"/>
    </row>
    <row r="68578" spans="6:6" x14ac:dyDescent="0.3">
      <c r="F68578" s="193"/>
    </row>
    <row r="68579" spans="6:6" x14ac:dyDescent="0.3">
      <c r="F68579" s="193"/>
    </row>
    <row r="68580" spans="6:6" x14ac:dyDescent="0.3">
      <c r="F68580" s="193"/>
    </row>
    <row r="68581" spans="6:6" x14ac:dyDescent="0.3">
      <c r="F68581" s="193"/>
    </row>
    <row r="68582" spans="6:6" x14ac:dyDescent="0.3">
      <c r="F68582" s="193"/>
    </row>
    <row r="68583" spans="6:6" x14ac:dyDescent="0.3">
      <c r="F68583" s="193"/>
    </row>
    <row r="68584" spans="6:6" x14ac:dyDescent="0.3">
      <c r="F68584" s="193"/>
    </row>
    <row r="68585" spans="6:6" x14ac:dyDescent="0.3">
      <c r="F68585" s="193"/>
    </row>
    <row r="68586" spans="6:6" x14ac:dyDescent="0.3">
      <c r="F68586" s="193"/>
    </row>
    <row r="68587" spans="6:6" x14ac:dyDescent="0.3">
      <c r="F68587" s="193"/>
    </row>
    <row r="68588" spans="6:6" x14ac:dyDescent="0.3">
      <c r="F68588" s="193"/>
    </row>
    <row r="68589" spans="6:6" x14ac:dyDescent="0.3">
      <c r="F68589" s="193"/>
    </row>
    <row r="68590" spans="6:6" x14ac:dyDescent="0.3">
      <c r="F68590" s="193"/>
    </row>
    <row r="68591" spans="6:6" x14ac:dyDescent="0.3">
      <c r="F68591" s="193"/>
    </row>
    <row r="68592" spans="6:6" x14ac:dyDescent="0.3">
      <c r="F68592" s="193"/>
    </row>
    <row r="68593" spans="6:6" x14ac:dyDescent="0.3">
      <c r="F68593" s="193"/>
    </row>
    <row r="68594" spans="6:6" x14ac:dyDescent="0.3">
      <c r="F68594" s="193"/>
    </row>
    <row r="68595" spans="6:6" x14ac:dyDescent="0.3">
      <c r="F68595" s="193"/>
    </row>
    <row r="68596" spans="6:6" x14ac:dyDescent="0.3">
      <c r="F68596" s="193"/>
    </row>
    <row r="68597" spans="6:6" x14ac:dyDescent="0.3">
      <c r="F68597" s="193"/>
    </row>
    <row r="68598" spans="6:6" x14ac:dyDescent="0.3">
      <c r="F68598" s="193"/>
    </row>
    <row r="68599" spans="6:6" x14ac:dyDescent="0.3">
      <c r="F68599" s="193"/>
    </row>
    <row r="68600" spans="6:6" x14ac:dyDescent="0.3">
      <c r="F68600" s="193"/>
    </row>
    <row r="68601" spans="6:6" x14ac:dyDescent="0.3">
      <c r="F68601" s="193"/>
    </row>
    <row r="68602" spans="6:6" x14ac:dyDescent="0.3">
      <c r="F68602" s="193"/>
    </row>
    <row r="68603" spans="6:6" x14ac:dyDescent="0.3">
      <c r="F68603" s="193"/>
    </row>
    <row r="68604" spans="6:6" x14ac:dyDescent="0.3">
      <c r="F68604" s="193"/>
    </row>
    <row r="68605" spans="6:6" x14ac:dyDescent="0.3">
      <c r="F68605" s="193"/>
    </row>
    <row r="68606" spans="6:6" x14ac:dyDescent="0.3">
      <c r="F68606" s="193"/>
    </row>
    <row r="68607" spans="6:6" x14ac:dyDescent="0.3">
      <c r="F68607" s="193"/>
    </row>
    <row r="68608" spans="6:6" x14ac:dyDescent="0.3">
      <c r="F68608" s="193"/>
    </row>
    <row r="68609" spans="6:6" x14ac:dyDescent="0.3">
      <c r="F68609" s="193"/>
    </row>
    <row r="68610" spans="6:6" x14ac:dyDescent="0.3">
      <c r="F68610" s="193"/>
    </row>
    <row r="68611" spans="6:6" x14ac:dyDescent="0.3">
      <c r="F68611" s="193"/>
    </row>
    <row r="68612" spans="6:6" x14ac:dyDescent="0.3">
      <c r="F68612" s="193"/>
    </row>
    <row r="68613" spans="6:6" x14ac:dyDescent="0.3">
      <c r="F68613" s="193"/>
    </row>
    <row r="68614" spans="6:6" x14ac:dyDescent="0.3">
      <c r="F68614" s="193"/>
    </row>
    <row r="68615" spans="6:6" x14ac:dyDescent="0.3">
      <c r="F68615" s="193"/>
    </row>
    <row r="68616" spans="6:6" x14ac:dyDescent="0.3">
      <c r="F68616" s="193"/>
    </row>
    <row r="68617" spans="6:6" x14ac:dyDescent="0.3">
      <c r="F68617" s="193"/>
    </row>
    <row r="68618" spans="6:6" x14ac:dyDescent="0.3">
      <c r="F68618" s="193"/>
    </row>
    <row r="68619" spans="6:6" x14ac:dyDescent="0.3">
      <c r="F68619" s="193"/>
    </row>
    <row r="68620" spans="6:6" x14ac:dyDescent="0.3">
      <c r="F68620" s="193"/>
    </row>
    <row r="68621" spans="6:6" x14ac:dyDescent="0.3">
      <c r="F68621" s="193"/>
    </row>
    <row r="68622" spans="6:6" x14ac:dyDescent="0.3">
      <c r="F68622" s="193"/>
    </row>
    <row r="68623" spans="6:6" x14ac:dyDescent="0.3">
      <c r="F68623" s="193"/>
    </row>
    <row r="68624" spans="6:6" x14ac:dyDescent="0.3">
      <c r="F68624" s="193"/>
    </row>
    <row r="68625" spans="6:6" x14ac:dyDescent="0.3">
      <c r="F68625" s="193"/>
    </row>
    <row r="68626" spans="6:6" x14ac:dyDescent="0.3">
      <c r="F68626" s="193"/>
    </row>
    <row r="68627" spans="6:6" x14ac:dyDescent="0.3">
      <c r="F68627" s="193"/>
    </row>
    <row r="68628" spans="6:6" x14ac:dyDescent="0.3">
      <c r="F68628" s="193"/>
    </row>
    <row r="68629" spans="6:6" x14ac:dyDescent="0.3">
      <c r="F68629" s="193"/>
    </row>
    <row r="68630" spans="6:6" x14ac:dyDescent="0.3">
      <c r="F68630" s="193"/>
    </row>
    <row r="68631" spans="6:6" x14ac:dyDescent="0.3">
      <c r="F68631" s="193"/>
    </row>
    <row r="68632" spans="6:6" x14ac:dyDescent="0.3">
      <c r="F68632" s="193"/>
    </row>
    <row r="68633" spans="6:6" x14ac:dyDescent="0.3">
      <c r="F68633" s="193"/>
    </row>
    <row r="68634" spans="6:6" x14ac:dyDescent="0.3">
      <c r="F68634" s="193"/>
    </row>
    <row r="68635" spans="6:6" x14ac:dyDescent="0.3">
      <c r="F68635" s="193"/>
    </row>
    <row r="68636" spans="6:6" x14ac:dyDescent="0.3">
      <c r="F68636" s="193"/>
    </row>
    <row r="68637" spans="6:6" x14ac:dyDescent="0.3">
      <c r="F68637" s="193"/>
    </row>
    <row r="68638" spans="6:6" x14ac:dyDescent="0.3">
      <c r="F68638" s="193"/>
    </row>
    <row r="68639" spans="6:6" x14ac:dyDescent="0.3">
      <c r="F68639" s="193"/>
    </row>
    <row r="68640" spans="6:6" x14ac:dyDescent="0.3">
      <c r="F68640" s="193"/>
    </row>
    <row r="68641" spans="6:6" x14ac:dyDescent="0.3">
      <c r="F68641" s="193"/>
    </row>
    <row r="68642" spans="6:6" x14ac:dyDescent="0.3">
      <c r="F68642" s="193"/>
    </row>
    <row r="68643" spans="6:6" x14ac:dyDescent="0.3">
      <c r="F68643" s="193"/>
    </row>
    <row r="68644" spans="6:6" x14ac:dyDescent="0.3">
      <c r="F68644" s="193"/>
    </row>
    <row r="68645" spans="6:6" x14ac:dyDescent="0.3">
      <c r="F68645" s="193"/>
    </row>
    <row r="68646" spans="6:6" x14ac:dyDescent="0.3">
      <c r="F68646" s="193"/>
    </row>
    <row r="68647" spans="6:6" x14ac:dyDescent="0.3">
      <c r="F68647" s="193"/>
    </row>
    <row r="68648" spans="6:6" x14ac:dyDescent="0.3">
      <c r="F68648" s="193"/>
    </row>
    <row r="68649" spans="6:6" x14ac:dyDescent="0.3">
      <c r="F68649" s="193"/>
    </row>
    <row r="68650" spans="6:6" x14ac:dyDescent="0.3">
      <c r="F68650" s="193"/>
    </row>
    <row r="68651" spans="6:6" x14ac:dyDescent="0.3">
      <c r="F68651" s="193"/>
    </row>
    <row r="68652" spans="6:6" x14ac:dyDescent="0.3">
      <c r="F68652" s="193"/>
    </row>
    <row r="68653" spans="6:6" x14ac:dyDescent="0.3">
      <c r="F68653" s="193"/>
    </row>
    <row r="68654" spans="6:6" x14ac:dyDescent="0.3">
      <c r="F68654" s="193"/>
    </row>
    <row r="68655" spans="6:6" x14ac:dyDescent="0.3">
      <c r="F68655" s="193"/>
    </row>
    <row r="68656" spans="6:6" x14ac:dyDescent="0.3">
      <c r="F68656" s="193"/>
    </row>
    <row r="68657" spans="6:6" x14ac:dyDescent="0.3">
      <c r="F68657" s="193"/>
    </row>
    <row r="68658" spans="6:6" x14ac:dyDescent="0.3">
      <c r="F68658" s="193"/>
    </row>
    <row r="68659" spans="6:6" x14ac:dyDescent="0.3">
      <c r="F68659" s="193"/>
    </row>
    <row r="68660" spans="6:6" x14ac:dyDescent="0.3">
      <c r="F68660" s="193"/>
    </row>
    <row r="68661" spans="6:6" x14ac:dyDescent="0.3">
      <c r="F68661" s="193"/>
    </row>
    <row r="68662" spans="6:6" x14ac:dyDescent="0.3">
      <c r="F68662" s="193"/>
    </row>
    <row r="68663" spans="6:6" x14ac:dyDescent="0.3">
      <c r="F68663" s="193"/>
    </row>
    <row r="68664" spans="6:6" x14ac:dyDescent="0.3">
      <c r="F68664" s="193"/>
    </row>
    <row r="68665" spans="6:6" x14ac:dyDescent="0.3">
      <c r="F68665" s="193"/>
    </row>
    <row r="68666" spans="6:6" x14ac:dyDescent="0.3">
      <c r="F68666" s="193"/>
    </row>
    <row r="68667" spans="6:6" x14ac:dyDescent="0.3">
      <c r="F68667" s="193"/>
    </row>
    <row r="68668" spans="6:6" x14ac:dyDescent="0.3">
      <c r="F68668" s="193"/>
    </row>
    <row r="68669" spans="6:6" x14ac:dyDescent="0.3">
      <c r="F68669" s="193"/>
    </row>
    <row r="68670" spans="6:6" x14ac:dyDescent="0.3">
      <c r="F68670" s="193"/>
    </row>
    <row r="68671" spans="6:6" x14ac:dyDescent="0.3">
      <c r="F68671" s="193"/>
    </row>
    <row r="68672" spans="6:6" x14ac:dyDescent="0.3">
      <c r="F68672" s="193"/>
    </row>
    <row r="68673" spans="6:6" x14ac:dyDescent="0.3">
      <c r="F68673" s="193"/>
    </row>
    <row r="68674" spans="6:6" x14ac:dyDescent="0.3">
      <c r="F68674" s="193"/>
    </row>
    <row r="68675" spans="6:6" x14ac:dyDescent="0.3">
      <c r="F68675" s="193"/>
    </row>
    <row r="68676" spans="6:6" x14ac:dyDescent="0.3">
      <c r="F68676" s="193"/>
    </row>
    <row r="68677" spans="6:6" x14ac:dyDescent="0.3">
      <c r="F68677" s="193"/>
    </row>
    <row r="68678" spans="6:6" x14ac:dyDescent="0.3">
      <c r="F68678" s="193"/>
    </row>
    <row r="68679" spans="6:6" x14ac:dyDescent="0.3">
      <c r="F68679" s="193"/>
    </row>
    <row r="68680" spans="6:6" x14ac:dyDescent="0.3">
      <c r="F68680" s="193"/>
    </row>
    <row r="68681" spans="6:6" x14ac:dyDescent="0.3">
      <c r="F68681" s="193"/>
    </row>
    <row r="68682" spans="6:6" x14ac:dyDescent="0.3">
      <c r="F68682" s="193"/>
    </row>
    <row r="68683" spans="6:6" x14ac:dyDescent="0.3">
      <c r="F68683" s="193"/>
    </row>
    <row r="68684" spans="6:6" x14ac:dyDescent="0.3">
      <c r="F68684" s="193"/>
    </row>
    <row r="68685" spans="6:6" x14ac:dyDescent="0.3">
      <c r="F68685" s="193"/>
    </row>
    <row r="68686" spans="6:6" x14ac:dyDescent="0.3">
      <c r="F68686" s="193"/>
    </row>
    <row r="68687" spans="6:6" x14ac:dyDescent="0.3">
      <c r="F68687" s="193"/>
    </row>
    <row r="68688" spans="6:6" x14ac:dyDescent="0.3">
      <c r="F68688" s="193"/>
    </row>
    <row r="68689" spans="6:6" x14ac:dyDescent="0.3">
      <c r="F68689" s="193"/>
    </row>
    <row r="68690" spans="6:6" x14ac:dyDescent="0.3">
      <c r="F68690" s="193"/>
    </row>
    <row r="68691" spans="6:6" x14ac:dyDescent="0.3">
      <c r="F68691" s="193"/>
    </row>
    <row r="68692" spans="6:6" x14ac:dyDescent="0.3">
      <c r="F68692" s="193"/>
    </row>
    <row r="68693" spans="6:6" x14ac:dyDescent="0.3">
      <c r="F68693" s="193"/>
    </row>
    <row r="68694" spans="6:6" x14ac:dyDescent="0.3">
      <c r="F68694" s="193"/>
    </row>
    <row r="68695" spans="6:6" x14ac:dyDescent="0.3">
      <c r="F68695" s="193"/>
    </row>
    <row r="68696" spans="6:6" x14ac:dyDescent="0.3">
      <c r="F68696" s="193"/>
    </row>
    <row r="68697" spans="6:6" x14ac:dyDescent="0.3">
      <c r="F68697" s="193"/>
    </row>
    <row r="68698" spans="6:6" x14ac:dyDescent="0.3">
      <c r="F68698" s="193"/>
    </row>
    <row r="68699" spans="6:6" x14ac:dyDescent="0.3">
      <c r="F68699" s="193"/>
    </row>
    <row r="68700" spans="6:6" x14ac:dyDescent="0.3">
      <c r="F68700" s="193"/>
    </row>
    <row r="68701" spans="6:6" x14ac:dyDescent="0.3">
      <c r="F68701" s="193"/>
    </row>
    <row r="68702" spans="6:6" x14ac:dyDescent="0.3">
      <c r="F68702" s="193"/>
    </row>
    <row r="68703" spans="6:6" x14ac:dyDescent="0.3">
      <c r="F68703" s="193"/>
    </row>
    <row r="68704" spans="6:6" x14ac:dyDescent="0.3">
      <c r="F68704" s="193"/>
    </row>
    <row r="68705" spans="6:6" x14ac:dyDescent="0.3">
      <c r="F68705" s="193"/>
    </row>
    <row r="68706" spans="6:6" x14ac:dyDescent="0.3">
      <c r="F68706" s="193"/>
    </row>
    <row r="68707" spans="6:6" x14ac:dyDescent="0.3">
      <c r="F68707" s="193"/>
    </row>
    <row r="68708" spans="6:6" x14ac:dyDescent="0.3">
      <c r="F68708" s="193"/>
    </row>
    <row r="68709" spans="6:6" x14ac:dyDescent="0.3">
      <c r="F68709" s="193"/>
    </row>
    <row r="68710" spans="6:6" x14ac:dyDescent="0.3">
      <c r="F68710" s="193"/>
    </row>
    <row r="68711" spans="6:6" x14ac:dyDescent="0.3">
      <c r="F68711" s="193"/>
    </row>
    <row r="68712" spans="6:6" x14ac:dyDescent="0.3">
      <c r="F68712" s="193"/>
    </row>
    <row r="68713" spans="6:6" x14ac:dyDescent="0.3">
      <c r="F68713" s="193"/>
    </row>
    <row r="68714" spans="6:6" x14ac:dyDescent="0.3">
      <c r="F68714" s="193"/>
    </row>
    <row r="68715" spans="6:6" x14ac:dyDescent="0.3">
      <c r="F68715" s="193"/>
    </row>
    <row r="68716" spans="6:6" x14ac:dyDescent="0.3">
      <c r="F68716" s="193"/>
    </row>
    <row r="68717" spans="6:6" x14ac:dyDescent="0.3">
      <c r="F68717" s="193"/>
    </row>
    <row r="68718" spans="6:6" x14ac:dyDescent="0.3">
      <c r="F68718" s="193"/>
    </row>
    <row r="68719" spans="6:6" x14ac:dyDescent="0.3">
      <c r="F68719" s="193"/>
    </row>
    <row r="68720" spans="6:6" x14ac:dyDescent="0.3">
      <c r="F68720" s="193"/>
    </row>
    <row r="68721" spans="6:6" x14ac:dyDescent="0.3">
      <c r="F68721" s="193"/>
    </row>
    <row r="68722" spans="6:6" x14ac:dyDescent="0.3">
      <c r="F68722" s="193"/>
    </row>
    <row r="68723" spans="6:6" x14ac:dyDescent="0.3">
      <c r="F68723" s="193"/>
    </row>
    <row r="68724" spans="6:6" x14ac:dyDescent="0.3">
      <c r="F68724" s="193"/>
    </row>
    <row r="68725" spans="6:6" x14ac:dyDescent="0.3">
      <c r="F68725" s="193"/>
    </row>
    <row r="68726" spans="6:6" x14ac:dyDescent="0.3">
      <c r="F68726" s="193"/>
    </row>
    <row r="68727" spans="6:6" x14ac:dyDescent="0.3">
      <c r="F68727" s="193"/>
    </row>
    <row r="68728" spans="6:6" x14ac:dyDescent="0.3">
      <c r="F68728" s="193"/>
    </row>
    <row r="68729" spans="6:6" x14ac:dyDescent="0.3">
      <c r="F68729" s="193"/>
    </row>
    <row r="68730" spans="6:6" x14ac:dyDescent="0.3">
      <c r="F68730" s="193"/>
    </row>
    <row r="68731" spans="6:6" x14ac:dyDescent="0.3">
      <c r="F68731" s="193"/>
    </row>
    <row r="68732" spans="6:6" x14ac:dyDescent="0.3">
      <c r="F68732" s="193"/>
    </row>
    <row r="68733" spans="6:6" x14ac:dyDescent="0.3">
      <c r="F68733" s="193"/>
    </row>
    <row r="68734" spans="6:6" x14ac:dyDescent="0.3">
      <c r="F68734" s="193"/>
    </row>
    <row r="68735" spans="6:6" x14ac:dyDescent="0.3">
      <c r="F68735" s="193"/>
    </row>
    <row r="68736" spans="6:6" x14ac:dyDescent="0.3">
      <c r="F68736" s="193"/>
    </row>
    <row r="68737" spans="6:6" x14ac:dyDescent="0.3">
      <c r="F68737" s="193"/>
    </row>
    <row r="68738" spans="6:6" x14ac:dyDescent="0.3">
      <c r="F68738" s="193"/>
    </row>
    <row r="68739" spans="6:6" x14ac:dyDescent="0.3">
      <c r="F68739" s="193"/>
    </row>
    <row r="68740" spans="6:6" x14ac:dyDescent="0.3">
      <c r="F68740" s="193"/>
    </row>
    <row r="68741" spans="6:6" x14ac:dyDescent="0.3">
      <c r="F68741" s="193"/>
    </row>
    <row r="68742" spans="6:6" x14ac:dyDescent="0.3">
      <c r="F68742" s="193"/>
    </row>
    <row r="68743" spans="6:6" x14ac:dyDescent="0.3">
      <c r="F68743" s="193"/>
    </row>
    <row r="68744" spans="6:6" x14ac:dyDescent="0.3">
      <c r="F68744" s="193"/>
    </row>
    <row r="68745" spans="6:6" x14ac:dyDescent="0.3">
      <c r="F68745" s="193"/>
    </row>
    <row r="68746" spans="6:6" x14ac:dyDescent="0.3">
      <c r="F68746" s="193"/>
    </row>
    <row r="68747" spans="6:6" x14ac:dyDescent="0.3">
      <c r="F68747" s="193"/>
    </row>
    <row r="68748" spans="6:6" x14ac:dyDescent="0.3">
      <c r="F68748" s="193"/>
    </row>
    <row r="68749" spans="6:6" x14ac:dyDescent="0.3">
      <c r="F68749" s="193"/>
    </row>
    <row r="68750" spans="6:6" x14ac:dyDescent="0.3">
      <c r="F68750" s="193"/>
    </row>
    <row r="68751" spans="6:6" x14ac:dyDescent="0.3">
      <c r="F68751" s="193"/>
    </row>
    <row r="68752" spans="6:6" x14ac:dyDescent="0.3">
      <c r="F68752" s="193"/>
    </row>
    <row r="68753" spans="6:6" x14ac:dyDescent="0.3">
      <c r="F68753" s="193"/>
    </row>
    <row r="68754" spans="6:6" x14ac:dyDescent="0.3">
      <c r="F68754" s="193"/>
    </row>
    <row r="68755" spans="6:6" x14ac:dyDescent="0.3">
      <c r="F68755" s="193"/>
    </row>
    <row r="68756" spans="6:6" x14ac:dyDescent="0.3">
      <c r="F68756" s="193"/>
    </row>
    <row r="68757" spans="6:6" x14ac:dyDescent="0.3">
      <c r="F68757" s="193"/>
    </row>
    <row r="68758" spans="6:6" x14ac:dyDescent="0.3">
      <c r="F68758" s="193"/>
    </row>
    <row r="68759" spans="6:6" x14ac:dyDescent="0.3">
      <c r="F68759" s="193"/>
    </row>
    <row r="68760" spans="6:6" x14ac:dyDescent="0.3">
      <c r="F68760" s="193"/>
    </row>
    <row r="68761" spans="6:6" x14ac:dyDescent="0.3">
      <c r="F68761" s="193"/>
    </row>
    <row r="68762" spans="6:6" x14ac:dyDescent="0.3">
      <c r="F68762" s="193"/>
    </row>
    <row r="68763" spans="6:6" x14ac:dyDescent="0.3">
      <c r="F68763" s="193"/>
    </row>
    <row r="68764" spans="6:6" x14ac:dyDescent="0.3">
      <c r="F68764" s="193"/>
    </row>
    <row r="68765" spans="6:6" x14ac:dyDescent="0.3">
      <c r="F68765" s="193"/>
    </row>
    <row r="68766" spans="6:6" x14ac:dyDescent="0.3">
      <c r="F68766" s="193"/>
    </row>
    <row r="68767" spans="6:6" x14ac:dyDescent="0.3">
      <c r="F68767" s="193"/>
    </row>
    <row r="68768" spans="6:6" x14ac:dyDescent="0.3">
      <c r="F68768" s="193"/>
    </row>
    <row r="68769" spans="6:6" x14ac:dyDescent="0.3">
      <c r="F68769" s="193"/>
    </row>
    <row r="68770" spans="6:6" x14ac:dyDescent="0.3">
      <c r="F68770" s="193"/>
    </row>
    <row r="68771" spans="6:6" x14ac:dyDescent="0.3">
      <c r="F68771" s="193"/>
    </row>
    <row r="68772" spans="6:6" x14ac:dyDescent="0.3">
      <c r="F68772" s="193"/>
    </row>
    <row r="68773" spans="6:6" x14ac:dyDescent="0.3">
      <c r="F68773" s="193"/>
    </row>
    <row r="68774" spans="6:6" x14ac:dyDescent="0.3">
      <c r="F68774" s="193"/>
    </row>
    <row r="68775" spans="6:6" x14ac:dyDescent="0.3">
      <c r="F68775" s="193"/>
    </row>
    <row r="68776" spans="6:6" x14ac:dyDescent="0.3">
      <c r="F68776" s="193"/>
    </row>
    <row r="68777" spans="6:6" x14ac:dyDescent="0.3">
      <c r="F68777" s="193"/>
    </row>
    <row r="68778" spans="6:6" x14ac:dyDescent="0.3">
      <c r="F68778" s="193"/>
    </row>
    <row r="68779" spans="6:6" x14ac:dyDescent="0.3">
      <c r="F68779" s="193"/>
    </row>
    <row r="68780" spans="6:6" x14ac:dyDescent="0.3">
      <c r="F68780" s="193"/>
    </row>
    <row r="68781" spans="6:6" x14ac:dyDescent="0.3">
      <c r="F68781" s="193"/>
    </row>
    <row r="68782" spans="6:6" x14ac:dyDescent="0.3">
      <c r="F68782" s="193"/>
    </row>
    <row r="68783" spans="6:6" x14ac:dyDescent="0.3">
      <c r="F68783" s="193"/>
    </row>
    <row r="68784" spans="6:6" x14ac:dyDescent="0.3">
      <c r="F68784" s="193"/>
    </row>
    <row r="68785" spans="6:6" x14ac:dyDescent="0.3">
      <c r="F68785" s="193"/>
    </row>
    <row r="68786" spans="6:6" x14ac:dyDescent="0.3">
      <c r="F68786" s="193"/>
    </row>
    <row r="68787" spans="6:6" x14ac:dyDescent="0.3">
      <c r="F68787" s="193"/>
    </row>
    <row r="68788" spans="6:6" x14ac:dyDescent="0.3">
      <c r="F68788" s="193"/>
    </row>
    <row r="68789" spans="6:6" x14ac:dyDescent="0.3">
      <c r="F68789" s="193"/>
    </row>
    <row r="68790" spans="6:6" x14ac:dyDescent="0.3">
      <c r="F68790" s="193"/>
    </row>
    <row r="68791" spans="6:6" x14ac:dyDescent="0.3">
      <c r="F68791" s="193"/>
    </row>
    <row r="68792" spans="6:6" x14ac:dyDescent="0.3">
      <c r="F68792" s="193"/>
    </row>
    <row r="68793" spans="6:6" x14ac:dyDescent="0.3">
      <c r="F68793" s="193"/>
    </row>
    <row r="68794" spans="6:6" x14ac:dyDescent="0.3">
      <c r="F68794" s="193"/>
    </row>
    <row r="68795" spans="6:6" x14ac:dyDescent="0.3">
      <c r="F68795" s="193"/>
    </row>
    <row r="68796" spans="6:6" x14ac:dyDescent="0.3">
      <c r="F68796" s="193"/>
    </row>
    <row r="68797" spans="6:6" x14ac:dyDescent="0.3">
      <c r="F68797" s="193"/>
    </row>
    <row r="68798" spans="6:6" x14ac:dyDescent="0.3">
      <c r="F68798" s="193"/>
    </row>
    <row r="68799" spans="6:6" x14ac:dyDescent="0.3">
      <c r="F68799" s="193"/>
    </row>
    <row r="68800" spans="6:6" x14ac:dyDescent="0.3">
      <c r="F68800" s="193"/>
    </row>
    <row r="68801" spans="6:6" x14ac:dyDescent="0.3">
      <c r="F68801" s="193"/>
    </row>
    <row r="68802" spans="6:6" x14ac:dyDescent="0.3">
      <c r="F68802" s="193"/>
    </row>
    <row r="68803" spans="6:6" x14ac:dyDescent="0.3">
      <c r="F68803" s="193"/>
    </row>
    <row r="68804" spans="6:6" x14ac:dyDescent="0.3">
      <c r="F68804" s="193"/>
    </row>
    <row r="68805" spans="6:6" x14ac:dyDescent="0.3">
      <c r="F68805" s="193"/>
    </row>
    <row r="68806" spans="6:6" x14ac:dyDescent="0.3">
      <c r="F68806" s="193"/>
    </row>
    <row r="68807" spans="6:6" x14ac:dyDescent="0.3">
      <c r="F68807" s="193"/>
    </row>
    <row r="68808" spans="6:6" x14ac:dyDescent="0.3">
      <c r="F68808" s="193"/>
    </row>
    <row r="68809" spans="6:6" x14ac:dyDescent="0.3">
      <c r="F68809" s="193"/>
    </row>
    <row r="68810" spans="6:6" x14ac:dyDescent="0.3">
      <c r="F68810" s="193"/>
    </row>
    <row r="68811" spans="6:6" x14ac:dyDescent="0.3">
      <c r="F68811" s="193"/>
    </row>
    <row r="68812" spans="6:6" x14ac:dyDescent="0.3">
      <c r="F68812" s="193"/>
    </row>
    <row r="68813" spans="6:6" x14ac:dyDescent="0.3">
      <c r="F68813" s="193"/>
    </row>
    <row r="68814" spans="6:6" x14ac:dyDescent="0.3">
      <c r="F68814" s="193"/>
    </row>
    <row r="68815" spans="6:6" x14ac:dyDescent="0.3">
      <c r="F68815" s="193"/>
    </row>
    <row r="68816" spans="6:6" x14ac:dyDescent="0.3">
      <c r="F68816" s="193"/>
    </row>
    <row r="68817" spans="6:6" x14ac:dyDescent="0.3">
      <c r="F68817" s="193"/>
    </row>
    <row r="68818" spans="6:6" x14ac:dyDescent="0.3">
      <c r="F68818" s="193"/>
    </row>
    <row r="68819" spans="6:6" x14ac:dyDescent="0.3">
      <c r="F68819" s="193"/>
    </row>
    <row r="68820" spans="6:6" x14ac:dyDescent="0.3">
      <c r="F68820" s="193"/>
    </row>
    <row r="68821" spans="6:6" x14ac:dyDescent="0.3">
      <c r="F68821" s="193"/>
    </row>
    <row r="68822" spans="6:6" x14ac:dyDescent="0.3">
      <c r="F68822" s="193"/>
    </row>
    <row r="68823" spans="6:6" x14ac:dyDescent="0.3">
      <c r="F68823" s="193"/>
    </row>
    <row r="68824" spans="6:6" x14ac:dyDescent="0.3">
      <c r="F68824" s="193"/>
    </row>
    <row r="68825" spans="6:6" x14ac:dyDescent="0.3">
      <c r="F68825" s="193"/>
    </row>
    <row r="68826" spans="6:6" x14ac:dyDescent="0.3">
      <c r="F68826" s="193"/>
    </row>
    <row r="68827" spans="6:6" x14ac:dyDescent="0.3">
      <c r="F68827" s="193"/>
    </row>
    <row r="68828" spans="6:6" x14ac:dyDescent="0.3">
      <c r="F68828" s="193"/>
    </row>
    <row r="68829" spans="6:6" x14ac:dyDescent="0.3">
      <c r="F68829" s="193"/>
    </row>
    <row r="68830" spans="6:6" x14ac:dyDescent="0.3">
      <c r="F68830" s="193"/>
    </row>
    <row r="68831" spans="6:6" x14ac:dyDescent="0.3">
      <c r="F68831" s="193"/>
    </row>
    <row r="68832" spans="6:6" x14ac:dyDescent="0.3">
      <c r="F68832" s="193"/>
    </row>
    <row r="68833" spans="6:6" x14ac:dyDescent="0.3">
      <c r="F68833" s="193"/>
    </row>
    <row r="68834" spans="6:6" x14ac:dyDescent="0.3">
      <c r="F68834" s="193"/>
    </row>
    <row r="68835" spans="6:6" x14ac:dyDescent="0.3">
      <c r="F68835" s="193"/>
    </row>
    <row r="68836" spans="6:6" x14ac:dyDescent="0.3">
      <c r="F68836" s="193"/>
    </row>
    <row r="68837" spans="6:6" x14ac:dyDescent="0.3">
      <c r="F68837" s="193"/>
    </row>
    <row r="68838" spans="6:6" x14ac:dyDescent="0.3">
      <c r="F68838" s="193"/>
    </row>
    <row r="68839" spans="6:6" x14ac:dyDescent="0.3">
      <c r="F68839" s="193"/>
    </row>
    <row r="68840" spans="6:6" x14ac:dyDescent="0.3">
      <c r="F68840" s="193"/>
    </row>
    <row r="68841" spans="6:6" x14ac:dyDescent="0.3">
      <c r="F68841" s="193"/>
    </row>
    <row r="68842" spans="6:6" x14ac:dyDescent="0.3">
      <c r="F68842" s="193"/>
    </row>
    <row r="68843" spans="6:6" x14ac:dyDescent="0.3">
      <c r="F68843" s="193"/>
    </row>
    <row r="68844" spans="6:6" x14ac:dyDescent="0.3">
      <c r="F68844" s="193"/>
    </row>
    <row r="68845" spans="6:6" x14ac:dyDescent="0.3">
      <c r="F68845" s="193"/>
    </row>
    <row r="68846" spans="6:6" x14ac:dyDescent="0.3">
      <c r="F68846" s="193"/>
    </row>
    <row r="68847" spans="6:6" x14ac:dyDescent="0.3">
      <c r="F68847" s="193"/>
    </row>
    <row r="68848" spans="6:6" x14ac:dyDescent="0.3">
      <c r="F68848" s="193"/>
    </row>
    <row r="68849" spans="6:6" x14ac:dyDescent="0.3">
      <c r="F68849" s="193"/>
    </row>
    <row r="68850" spans="6:6" x14ac:dyDescent="0.3">
      <c r="F68850" s="193"/>
    </row>
    <row r="68851" spans="6:6" x14ac:dyDescent="0.3">
      <c r="F68851" s="193"/>
    </row>
    <row r="68852" spans="6:6" x14ac:dyDescent="0.3">
      <c r="F68852" s="193"/>
    </row>
    <row r="68853" spans="6:6" x14ac:dyDescent="0.3">
      <c r="F68853" s="193"/>
    </row>
    <row r="68854" spans="6:6" x14ac:dyDescent="0.3">
      <c r="F68854" s="193"/>
    </row>
    <row r="68855" spans="6:6" x14ac:dyDescent="0.3">
      <c r="F68855" s="193"/>
    </row>
    <row r="68856" spans="6:6" x14ac:dyDescent="0.3">
      <c r="F68856" s="193"/>
    </row>
    <row r="68857" spans="6:6" x14ac:dyDescent="0.3">
      <c r="F68857" s="193"/>
    </row>
    <row r="68858" spans="6:6" x14ac:dyDescent="0.3">
      <c r="F68858" s="193"/>
    </row>
    <row r="68859" spans="6:6" x14ac:dyDescent="0.3">
      <c r="F68859" s="193"/>
    </row>
    <row r="68860" spans="6:6" x14ac:dyDescent="0.3">
      <c r="F68860" s="193"/>
    </row>
    <row r="68861" spans="6:6" x14ac:dyDescent="0.3">
      <c r="F68861" s="193"/>
    </row>
    <row r="68862" spans="6:6" x14ac:dyDescent="0.3">
      <c r="F68862" s="193"/>
    </row>
    <row r="68863" spans="6:6" x14ac:dyDescent="0.3">
      <c r="F68863" s="193"/>
    </row>
    <row r="68864" spans="6:6" x14ac:dyDescent="0.3">
      <c r="F68864" s="193"/>
    </row>
    <row r="68865" spans="6:6" x14ac:dyDescent="0.3">
      <c r="F68865" s="193"/>
    </row>
    <row r="68866" spans="6:6" x14ac:dyDescent="0.3">
      <c r="F68866" s="193"/>
    </row>
    <row r="68867" spans="6:6" x14ac:dyDescent="0.3">
      <c r="F68867" s="193"/>
    </row>
    <row r="68868" spans="6:6" x14ac:dyDescent="0.3">
      <c r="F68868" s="193"/>
    </row>
    <row r="68869" spans="6:6" x14ac:dyDescent="0.3">
      <c r="F68869" s="193"/>
    </row>
    <row r="68870" spans="6:6" x14ac:dyDescent="0.3">
      <c r="F68870" s="193"/>
    </row>
    <row r="68871" spans="6:6" x14ac:dyDescent="0.3">
      <c r="F68871" s="193"/>
    </row>
    <row r="68872" spans="6:6" x14ac:dyDescent="0.3">
      <c r="F68872" s="193"/>
    </row>
    <row r="68873" spans="6:6" x14ac:dyDescent="0.3">
      <c r="F68873" s="193"/>
    </row>
    <row r="68874" spans="6:6" x14ac:dyDescent="0.3">
      <c r="F68874" s="193"/>
    </row>
    <row r="68875" spans="6:6" x14ac:dyDescent="0.3">
      <c r="F68875" s="193"/>
    </row>
    <row r="68876" spans="6:6" x14ac:dyDescent="0.3">
      <c r="F68876" s="193"/>
    </row>
    <row r="68877" spans="6:6" x14ac:dyDescent="0.3">
      <c r="F68877" s="193"/>
    </row>
    <row r="68878" spans="6:6" x14ac:dyDescent="0.3">
      <c r="F68878" s="193"/>
    </row>
    <row r="68879" spans="6:6" x14ac:dyDescent="0.3">
      <c r="F68879" s="193"/>
    </row>
    <row r="68880" spans="6:6" x14ac:dyDescent="0.3">
      <c r="F68880" s="193"/>
    </row>
    <row r="68881" spans="6:6" x14ac:dyDescent="0.3">
      <c r="F68881" s="193"/>
    </row>
    <row r="68882" spans="6:6" x14ac:dyDescent="0.3">
      <c r="F68882" s="193"/>
    </row>
    <row r="68883" spans="6:6" x14ac:dyDescent="0.3">
      <c r="F68883" s="193"/>
    </row>
    <row r="68884" spans="6:6" x14ac:dyDescent="0.3">
      <c r="F68884" s="193"/>
    </row>
    <row r="68885" spans="6:6" x14ac:dyDescent="0.3">
      <c r="F68885" s="193"/>
    </row>
    <row r="68886" spans="6:6" x14ac:dyDescent="0.3">
      <c r="F68886" s="193"/>
    </row>
    <row r="68887" spans="6:6" x14ac:dyDescent="0.3">
      <c r="F68887" s="193"/>
    </row>
    <row r="68888" spans="6:6" x14ac:dyDescent="0.3">
      <c r="F68888" s="193"/>
    </row>
    <row r="68889" spans="6:6" x14ac:dyDescent="0.3">
      <c r="F68889" s="193"/>
    </row>
    <row r="68890" spans="6:6" x14ac:dyDescent="0.3">
      <c r="F68890" s="193"/>
    </row>
    <row r="68891" spans="6:6" x14ac:dyDescent="0.3">
      <c r="F68891" s="193"/>
    </row>
    <row r="68892" spans="6:6" x14ac:dyDescent="0.3">
      <c r="F68892" s="193"/>
    </row>
    <row r="68893" spans="6:6" x14ac:dyDescent="0.3">
      <c r="F68893" s="193"/>
    </row>
    <row r="68894" spans="6:6" x14ac:dyDescent="0.3">
      <c r="F68894" s="193"/>
    </row>
    <row r="68895" spans="6:6" x14ac:dyDescent="0.3">
      <c r="F68895" s="193"/>
    </row>
    <row r="68896" spans="6:6" x14ac:dyDescent="0.3">
      <c r="F68896" s="193"/>
    </row>
    <row r="68897" spans="6:6" x14ac:dyDescent="0.3">
      <c r="F68897" s="193"/>
    </row>
    <row r="68898" spans="6:6" x14ac:dyDescent="0.3">
      <c r="F68898" s="193"/>
    </row>
    <row r="68899" spans="6:6" x14ac:dyDescent="0.3">
      <c r="F68899" s="193"/>
    </row>
    <row r="68900" spans="6:6" x14ac:dyDescent="0.3">
      <c r="F68900" s="193"/>
    </row>
    <row r="68901" spans="6:6" x14ac:dyDescent="0.3">
      <c r="F68901" s="193"/>
    </row>
    <row r="68902" spans="6:6" x14ac:dyDescent="0.3">
      <c r="F68902" s="193"/>
    </row>
    <row r="68903" spans="6:6" x14ac:dyDescent="0.3">
      <c r="F68903" s="193"/>
    </row>
    <row r="68904" spans="6:6" x14ac:dyDescent="0.3">
      <c r="F68904" s="193"/>
    </row>
    <row r="68905" spans="6:6" x14ac:dyDescent="0.3">
      <c r="F68905" s="193"/>
    </row>
    <row r="68906" spans="6:6" x14ac:dyDescent="0.3">
      <c r="F68906" s="193"/>
    </row>
    <row r="68907" spans="6:6" x14ac:dyDescent="0.3">
      <c r="F68907" s="193"/>
    </row>
    <row r="68908" spans="6:6" x14ac:dyDescent="0.3">
      <c r="F68908" s="193"/>
    </row>
    <row r="68909" spans="6:6" x14ac:dyDescent="0.3">
      <c r="F68909" s="193"/>
    </row>
    <row r="68910" spans="6:6" x14ac:dyDescent="0.3">
      <c r="F68910" s="193"/>
    </row>
    <row r="68911" spans="6:6" x14ac:dyDescent="0.3">
      <c r="F68911" s="193"/>
    </row>
    <row r="68912" spans="6:6" x14ac:dyDescent="0.3">
      <c r="F68912" s="193"/>
    </row>
    <row r="68913" spans="6:6" x14ac:dyDescent="0.3">
      <c r="F68913" s="193"/>
    </row>
    <row r="68914" spans="6:6" x14ac:dyDescent="0.3">
      <c r="F68914" s="193"/>
    </row>
    <row r="68915" spans="6:6" x14ac:dyDescent="0.3">
      <c r="F68915" s="193"/>
    </row>
    <row r="68916" spans="6:6" x14ac:dyDescent="0.3">
      <c r="F68916" s="193"/>
    </row>
    <row r="68917" spans="6:6" x14ac:dyDescent="0.3">
      <c r="F68917" s="193"/>
    </row>
    <row r="68918" spans="6:6" x14ac:dyDescent="0.3">
      <c r="F68918" s="193"/>
    </row>
    <row r="68919" spans="6:6" x14ac:dyDescent="0.3">
      <c r="F68919" s="193"/>
    </row>
    <row r="68920" spans="6:6" x14ac:dyDescent="0.3">
      <c r="F68920" s="193"/>
    </row>
    <row r="68921" spans="6:6" x14ac:dyDescent="0.3">
      <c r="F68921" s="193"/>
    </row>
    <row r="68922" spans="6:6" x14ac:dyDescent="0.3">
      <c r="F68922" s="193"/>
    </row>
    <row r="68923" spans="6:6" x14ac:dyDescent="0.3">
      <c r="F68923" s="193"/>
    </row>
    <row r="68924" spans="6:6" x14ac:dyDescent="0.3">
      <c r="F68924" s="193"/>
    </row>
    <row r="68925" spans="6:6" x14ac:dyDescent="0.3">
      <c r="F68925" s="193"/>
    </row>
    <row r="68926" spans="6:6" x14ac:dyDescent="0.3">
      <c r="F68926" s="193"/>
    </row>
    <row r="68927" spans="6:6" x14ac:dyDescent="0.3">
      <c r="F68927" s="193"/>
    </row>
    <row r="68928" spans="6:6" x14ac:dyDescent="0.3">
      <c r="F68928" s="193"/>
    </row>
    <row r="68929" spans="6:6" x14ac:dyDescent="0.3">
      <c r="F68929" s="193"/>
    </row>
    <row r="68930" spans="6:6" x14ac:dyDescent="0.3">
      <c r="F68930" s="193"/>
    </row>
    <row r="68931" spans="6:6" x14ac:dyDescent="0.3">
      <c r="F68931" s="193"/>
    </row>
    <row r="68932" spans="6:6" x14ac:dyDescent="0.3">
      <c r="F68932" s="193"/>
    </row>
    <row r="68933" spans="6:6" x14ac:dyDescent="0.3">
      <c r="F68933" s="193"/>
    </row>
    <row r="68934" spans="6:6" x14ac:dyDescent="0.3">
      <c r="F68934" s="193"/>
    </row>
    <row r="68935" spans="6:6" x14ac:dyDescent="0.3">
      <c r="F68935" s="193"/>
    </row>
    <row r="68936" spans="6:6" x14ac:dyDescent="0.3">
      <c r="F68936" s="193"/>
    </row>
    <row r="68937" spans="6:6" x14ac:dyDescent="0.3">
      <c r="F68937" s="193"/>
    </row>
    <row r="68938" spans="6:6" x14ac:dyDescent="0.3">
      <c r="F68938" s="193"/>
    </row>
    <row r="68939" spans="6:6" x14ac:dyDescent="0.3">
      <c r="F68939" s="193"/>
    </row>
    <row r="68940" spans="6:6" x14ac:dyDescent="0.3">
      <c r="F68940" s="193"/>
    </row>
    <row r="68941" spans="6:6" x14ac:dyDescent="0.3">
      <c r="F68941" s="193"/>
    </row>
    <row r="68942" spans="6:6" x14ac:dyDescent="0.3">
      <c r="F68942" s="193"/>
    </row>
    <row r="68943" spans="6:6" x14ac:dyDescent="0.3">
      <c r="F68943" s="193"/>
    </row>
    <row r="68944" spans="6:6" x14ac:dyDescent="0.3">
      <c r="F68944" s="193"/>
    </row>
    <row r="68945" spans="6:6" x14ac:dyDescent="0.3">
      <c r="F68945" s="193"/>
    </row>
    <row r="68946" spans="6:6" x14ac:dyDescent="0.3">
      <c r="F68946" s="193"/>
    </row>
    <row r="68947" spans="6:6" x14ac:dyDescent="0.3">
      <c r="F68947" s="193"/>
    </row>
    <row r="68948" spans="6:6" x14ac:dyDescent="0.3">
      <c r="F68948" s="193"/>
    </row>
    <row r="68949" spans="6:6" x14ac:dyDescent="0.3">
      <c r="F68949" s="193"/>
    </row>
    <row r="68950" spans="6:6" x14ac:dyDescent="0.3">
      <c r="F68950" s="193"/>
    </row>
    <row r="68951" spans="6:6" x14ac:dyDescent="0.3">
      <c r="F68951" s="193"/>
    </row>
    <row r="68952" spans="6:6" x14ac:dyDescent="0.3">
      <c r="F68952" s="193"/>
    </row>
    <row r="68953" spans="6:6" x14ac:dyDescent="0.3">
      <c r="F68953" s="193"/>
    </row>
    <row r="68954" spans="6:6" x14ac:dyDescent="0.3">
      <c r="F68954" s="193"/>
    </row>
    <row r="68955" spans="6:6" x14ac:dyDescent="0.3">
      <c r="F68955" s="193"/>
    </row>
    <row r="68956" spans="6:6" x14ac:dyDescent="0.3">
      <c r="F68956" s="193"/>
    </row>
    <row r="68957" spans="6:6" x14ac:dyDescent="0.3">
      <c r="F68957" s="193"/>
    </row>
    <row r="68958" spans="6:6" x14ac:dyDescent="0.3">
      <c r="F68958" s="193"/>
    </row>
    <row r="68959" spans="6:6" x14ac:dyDescent="0.3">
      <c r="F68959" s="193"/>
    </row>
    <row r="68960" spans="6:6" x14ac:dyDescent="0.3">
      <c r="F68960" s="193"/>
    </row>
    <row r="68961" spans="6:6" x14ac:dyDescent="0.3">
      <c r="F68961" s="193"/>
    </row>
    <row r="68962" spans="6:6" x14ac:dyDescent="0.3">
      <c r="F68962" s="193"/>
    </row>
    <row r="68963" spans="6:6" x14ac:dyDescent="0.3">
      <c r="F68963" s="193"/>
    </row>
    <row r="68964" spans="6:6" x14ac:dyDescent="0.3">
      <c r="F68964" s="193"/>
    </row>
    <row r="68965" spans="6:6" x14ac:dyDescent="0.3">
      <c r="F68965" s="193"/>
    </row>
    <row r="68966" spans="6:6" x14ac:dyDescent="0.3">
      <c r="F68966" s="193"/>
    </row>
    <row r="68967" spans="6:6" x14ac:dyDescent="0.3">
      <c r="F68967" s="193"/>
    </row>
    <row r="68968" spans="6:6" x14ac:dyDescent="0.3">
      <c r="F68968" s="193"/>
    </row>
    <row r="68969" spans="6:6" x14ac:dyDescent="0.3">
      <c r="F68969" s="193"/>
    </row>
    <row r="68970" spans="6:6" x14ac:dyDescent="0.3">
      <c r="F68970" s="193"/>
    </row>
    <row r="68971" spans="6:6" x14ac:dyDescent="0.3">
      <c r="F68971" s="193"/>
    </row>
    <row r="68972" spans="6:6" x14ac:dyDescent="0.3">
      <c r="F68972" s="193"/>
    </row>
    <row r="68973" spans="6:6" x14ac:dyDescent="0.3">
      <c r="F68973" s="193"/>
    </row>
    <row r="68974" spans="6:6" x14ac:dyDescent="0.3">
      <c r="F68974" s="193"/>
    </row>
    <row r="68975" spans="6:6" x14ac:dyDescent="0.3">
      <c r="F68975" s="193"/>
    </row>
    <row r="68976" spans="6:6" x14ac:dyDescent="0.3">
      <c r="F68976" s="193"/>
    </row>
    <row r="68977" spans="6:6" x14ac:dyDescent="0.3">
      <c r="F68977" s="193"/>
    </row>
    <row r="68978" spans="6:6" x14ac:dyDescent="0.3">
      <c r="F68978" s="193"/>
    </row>
    <row r="68979" spans="6:6" x14ac:dyDescent="0.3">
      <c r="F68979" s="193"/>
    </row>
    <row r="68980" spans="6:6" x14ac:dyDescent="0.3">
      <c r="F68980" s="193"/>
    </row>
    <row r="68981" spans="6:6" x14ac:dyDescent="0.3">
      <c r="F68981" s="193"/>
    </row>
    <row r="68982" spans="6:6" x14ac:dyDescent="0.3">
      <c r="F68982" s="193"/>
    </row>
    <row r="68983" spans="6:6" x14ac:dyDescent="0.3">
      <c r="F68983" s="193"/>
    </row>
    <row r="68984" spans="6:6" x14ac:dyDescent="0.3">
      <c r="F68984" s="193"/>
    </row>
    <row r="68985" spans="6:6" x14ac:dyDescent="0.3">
      <c r="F68985" s="193"/>
    </row>
    <row r="68986" spans="6:6" x14ac:dyDescent="0.3">
      <c r="F68986" s="193"/>
    </row>
    <row r="68987" spans="6:6" x14ac:dyDescent="0.3">
      <c r="F68987" s="193"/>
    </row>
    <row r="68988" spans="6:6" x14ac:dyDescent="0.3">
      <c r="F68988" s="193"/>
    </row>
    <row r="68989" spans="6:6" x14ac:dyDescent="0.3">
      <c r="F68989" s="193"/>
    </row>
    <row r="68990" spans="6:6" x14ac:dyDescent="0.3">
      <c r="F68990" s="193"/>
    </row>
    <row r="68991" spans="6:6" x14ac:dyDescent="0.3">
      <c r="F68991" s="193"/>
    </row>
    <row r="68992" spans="6:6" x14ac:dyDescent="0.3">
      <c r="F68992" s="193"/>
    </row>
    <row r="68993" spans="6:6" x14ac:dyDescent="0.3">
      <c r="F68993" s="193"/>
    </row>
    <row r="68994" spans="6:6" x14ac:dyDescent="0.3">
      <c r="F68994" s="193"/>
    </row>
    <row r="68995" spans="6:6" x14ac:dyDescent="0.3">
      <c r="F68995" s="193"/>
    </row>
    <row r="68996" spans="6:6" x14ac:dyDescent="0.3">
      <c r="F68996" s="193"/>
    </row>
    <row r="68997" spans="6:6" x14ac:dyDescent="0.3">
      <c r="F68997" s="193"/>
    </row>
    <row r="68998" spans="6:6" x14ac:dyDescent="0.3">
      <c r="F68998" s="193"/>
    </row>
    <row r="68999" spans="6:6" x14ac:dyDescent="0.3">
      <c r="F68999" s="193"/>
    </row>
    <row r="69000" spans="6:6" x14ac:dyDescent="0.3">
      <c r="F69000" s="193"/>
    </row>
    <row r="69001" spans="6:6" x14ac:dyDescent="0.3">
      <c r="F69001" s="193"/>
    </row>
    <row r="69002" spans="6:6" x14ac:dyDescent="0.3">
      <c r="F69002" s="193"/>
    </row>
    <row r="69003" spans="6:6" x14ac:dyDescent="0.3">
      <c r="F69003" s="193"/>
    </row>
    <row r="69004" spans="6:6" x14ac:dyDescent="0.3">
      <c r="F69004" s="193"/>
    </row>
    <row r="69005" spans="6:6" x14ac:dyDescent="0.3">
      <c r="F69005" s="193"/>
    </row>
    <row r="69006" spans="6:6" x14ac:dyDescent="0.3">
      <c r="F69006" s="193"/>
    </row>
    <row r="69007" spans="6:6" x14ac:dyDescent="0.3">
      <c r="F69007" s="193"/>
    </row>
    <row r="69008" spans="6:6" x14ac:dyDescent="0.3">
      <c r="F69008" s="193"/>
    </row>
    <row r="69009" spans="6:6" x14ac:dyDescent="0.3">
      <c r="F69009" s="193"/>
    </row>
    <row r="69010" spans="6:6" x14ac:dyDescent="0.3">
      <c r="F69010" s="193"/>
    </row>
    <row r="69011" spans="6:6" x14ac:dyDescent="0.3">
      <c r="F69011" s="193"/>
    </row>
    <row r="69012" spans="6:6" x14ac:dyDescent="0.3">
      <c r="F69012" s="193"/>
    </row>
    <row r="69013" spans="6:6" x14ac:dyDescent="0.3">
      <c r="F69013" s="193"/>
    </row>
    <row r="69014" spans="6:6" x14ac:dyDescent="0.3">
      <c r="F69014" s="193"/>
    </row>
    <row r="69015" spans="6:6" x14ac:dyDescent="0.3">
      <c r="F69015" s="193"/>
    </row>
    <row r="69016" spans="6:6" x14ac:dyDescent="0.3">
      <c r="F69016" s="193"/>
    </row>
    <row r="69017" spans="6:6" x14ac:dyDescent="0.3">
      <c r="F69017" s="193"/>
    </row>
    <row r="69018" spans="6:6" x14ac:dyDescent="0.3">
      <c r="F69018" s="193"/>
    </row>
    <row r="69019" spans="6:6" x14ac:dyDescent="0.3">
      <c r="F69019" s="193"/>
    </row>
    <row r="69020" spans="6:6" x14ac:dyDescent="0.3">
      <c r="F69020" s="193"/>
    </row>
    <row r="69021" spans="6:6" x14ac:dyDescent="0.3">
      <c r="F69021" s="193"/>
    </row>
    <row r="69022" spans="6:6" x14ac:dyDescent="0.3">
      <c r="F69022" s="193"/>
    </row>
    <row r="69023" spans="6:6" x14ac:dyDescent="0.3">
      <c r="F69023" s="193"/>
    </row>
    <row r="69024" spans="6:6" x14ac:dyDescent="0.3">
      <c r="F69024" s="193"/>
    </row>
    <row r="69025" spans="6:6" x14ac:dyDescent="0.3">
      <c r="F69025" s="193"/>
    </row>
    <row r="69026" spans="6:6" x14ac:dyDescent="0.3">
      <c r="F69026" s="193"/>
    </row>
    <row r="69027" spans="6:6" x14ac:dyDescent="0.3">
      <c r="F69027" s="193"/>
    </row>
    <row r="69028" spans="6:6" x14ac:dyDescent="0.3">
      <c r="F69028" s="193"/>
    </row>
    <row r="69029" spans="6:6" x14ac:dyDescent="0.3">
      <c r="F69029" s="193"/>
    </row>
    <row r="69030" spans="6:6" x14ac:dyDescent="0.3">
      <c r="F69030" s="193"/>
    </row>
    <row r="69031" spans="6:6" x14ac:dyDescent="0.3">
      <c r="F69031" s="193"/>
    </row>
    <row r="69032" spans="6:6" x14ac:dyDescent="0.3">
      <c r="F69032" s="193"/>
    </row>
    <row r="69033" spans="6:6" x14ac:dyDescent="0.3">
      <c r="F69033" s="193"/>
    </row>
    <row r="69034" spans="6:6" x14ac:dyDescent="0.3">
      <c r="F69034" s="193"/>
    </row>
    <row r="69035" spans="6:6" x14ac:dyDescent="0.3">
      <c r="F69035" s="193"/>
    </row>
    <row r="69036" spans="6:6" x14ac:dyDescent="0.3">
      <c r="F69036" s="193"/>
    </row>
    <row r="69037" spans="6:6" x14ac:dyDescent="0.3">
      <c r="F69037" s="193"/>
    </row>
    <row r="69038" spans="6:6" x14ac:dyDescent="0.3">
      <c r="F69038" s="193"/>
    </row>
    <row r="69039" spans="6:6" x14ac:dyDescent="0.3">
      <c r="F69039" s="193"/>
    </row>
    <row r="69040" spans="6:6" x14ac:dyDescent="0.3">
      <c r="F69040" s="193"/>
    </row>
    <row r="69041" spans="6:6" x14ac:dyDescent="0.3">
      <c r="F69041" s="193"/>
    </row>
    <row r="69042" spans="6:6" x14ac:dyDescent="0.3">
      <c r="F69042" s="193"/>
    </row>
    <row r="69043" spans="6:6" x14ac:dyDescent="0.3">
      <c r="F69043" s="193"/>
    </row>
    <row r="69044" spans="6:6" x14ac:dyDescent="0.3">
      <c r="F69044" s="193"/>
    </row>
    <row r="69045" spans="6:6" x14ac:dyDescent="0.3">
      <c r="F69045" s="193"/>
    </row>
    <row r="69046" spans="6:6" x14ac:dyDescent="0.3">
      <c r="F69046" s="193"/>
    </row>
    <row r="69047" spans="6:6" x14ac:dyDescent="0.3">
      <c r="F69047" s="193"/>
    </row>
    <row r="69048" spans="6:6" x14ac:dyDescent="0.3">
      <c r="F69048" s="193"/>
    </row>
    <row r="69049" spans="6:6" x14ac:dyDescent="0.3">
      <c r="F69049" s="193"/>
    </row>
    <row r="69050" spans="6:6" x14ac:dyDescent="0.3">
      <c r="F69050" s="193"/>
    </row>
    <row r="69051" spans="6:6" x14ac:dyDescent="0.3">
      <c r="F69051" s="193"/>
    </row>
    <row r="69052" spans="6:6" x14ac:dyDescent="0.3">
      <c r="F69052" s="193"/>
    </row>
    <row r="69053" spans="6:6" x14ac:dyDescent="0.3">
      <c r="F69053" s="193"/>
    </row>
    <row r="69054" spans="6:6" x14ac:dyDescent="0.3">
      <c r="F69054" s="193"/>
    </row>
    <row r="69055" spans="6:6" x14ac:dyDescent="0.3">
      <c r="F69055" s="193"/>
    </row>
    <row r="69056" spans="6:6" x14ac:dyDescent="0.3">
      <c r="F69056" s="193"/>
    </row>
    <row r="69057" spans="6:6" x14ac:dyDescent="0.3">
      <c r="F69057" s="193"/>
    </row>
    <row r="69058" spans="6:6" x14ac:dyDescent="0.3">
      <c r="F69058" s="193"/>
    </row>
    <row r="69059" spans="6:6" x14ac:dyDescent="0.3">
      <c r="F69059" s="193"/>
    </row>
    <row r="69060" spans="6:6" x14ac:dyDescent="0.3">
      <c r="F69060" s="193"/>
    </row>
    <row r="69061" spans="6:6" x14ac:dyDescent="0.3">
      <c r="F69061" s="193"/>
    </row>
    <row r="69062" spans="6:6" x14ac:dyDescent="0.3">
      <c r="F69062" s="193"/>
    </row>
    <row r="69063" spans="6:6" x14ac:dyDescent="0.3">
      <c r="F69063" s="193"/>
    </row>
    <row r="69064" spans="6:6" x14ac:dyDescent="0.3">
      <c r="F69064" s="193"/>
    </row>
    <row r="69065" spans="6:6" x14ac:dyDescent="0.3">
      <c r="F69065" s="193"/>
    </row>
    <row r="69066" spans="6:6" x14ac:dyDescent="0.3">
      <c r="F69066" s="193"/>
    </row>
    <row r="69067" spans="6:6" x14ac:dyDescent="0.3">
      <c r="F69067" s="193"/>
    </row>
    <row r="69068" spans="6:6" x14ac:dyDescent="0.3">
      <c r="F69068" s="193"/>
    </row>
    <row r="69069" spans="6:6" x14ac:dyDescent="0.3">
      <c r="F69069" s="193"/>
    </row>
    <row r="69070" spans="6:6" x14ac:dyDescent="0.3">
      <c r="F69070" s="193"/>
    </row>
    <row r="69071" spans="6:6" x14ac:dyDescent="0.3">
      <c r="F69071" s="193"/>
    </row>
    <row r="69072" spans="6:6" x14ac:dyDescent="0.3">
      <c r="F69072" s="193"/>
    </row>
    <row r="69073" spans="6:6" x14ac:dyDescent="0.3">
      <c r="F69073" s="193"/>
    </row>
    <row r="69074" spans="6:6" x14ac:dyDescent="0.3">
      <c r="F69074" s="193"/>
    </row>
    <row r="69075" spans="6:6" x14ac:dyDescent="0.3">
      <c r="F69075" s="193"/>
    </row>
    <row r="69076" spans="6:6" x14ac:dyDescent="0.3">
      <c r="F69076" s="193"/>
    </row>
    <row r="69077" spans="6:6" x14ac:dyDescent="0.3">
      <c r="F69077" s="193"/>
    </row>
    <row r="69078" spans="6:6" x14ac:dyDescent="0.3">
      <c r="F69078" s="193"/>
    </row>
    <row r="69079" spans="6:6" x14ac:dyDescent="0.3">
      <c r="F69079" s="193"/>
    </row>
    <row r="69080" spans="6:6" x14ac:dyDescent="0.3">
      <c r="F69080" s="193"/>
    </row>
    <row r="69081" spans="6:6" x14ac:dyDescent="0.3">
      <c r="F69081" s="193"/>
    </row>
    <row r="69082" spans="6:6" x14ac:dyDescent="0.3">
      <c r="F69082" s="193"/>
    </row>
    <row r="69083" spans="6:6" x14ac:dyDescent="0.3">
      <c r="F69083" s="193"/>
    </row>
    <row r="69084" spans="6:6" x14ac:dyDescent="0.3">
      <c r="F69084" s="193"/>
    </row>
    <row r="69085" spans="6:6" x14ac:dyDescent="0.3">
      <c r="F69085" s="193"/>
    </row>
    <row r="69086" spans="6:6" x14ac:dyDescent="0.3">
      <c r="F69086" s="193"/>
    </row>
    <row r="69087" spans="6:6" x14ac:dyDescent="0.3">
      <c r="F69087" s="193"/>
    </row>
    <row r="69088" spans="6:6" x14ac:dyDescent="0.3">
      <c r="F69088" s="193"/>
    </row>
    <row r="69089" spans="6:6" x14ac:dyDescent="0.3">
      <c r="F69089" s="193"/>
    </row>
    <row r="69090" spans="6:6" x14ac:dyDescent="0.3">
      <c r="F69090" s="193"/>
    </row>
    <row r="69091" spans="6:6" x14ac:dyDescent="0.3">
      <c r="F69091" s="193"/>
    </row>
    <row r="69092" spans="6:6" x14ac:dyDescent="0.3">
      <c r="F69092" s="193"/>
    </row>
    <row r="69093" spans="6:6" x14ac:dyDescent="0.3">
      <c r="F69093" s="193"/>
    </row>
    <row r="69094" spans="6:6" x14ac:dyDescent="0.3">
      <c r="F69094" s="193"/>
    </row>
    <row r="69095" spans="6:6" x14ac:dyDescent="0.3">
      <c r="F69095" s="193"/>
    </row>
    <row r="69096" spans="6:6" x14ac:dyDescent="0.3">
      <c r="F69096" s="193"/>
    </row>
    <row r="69097" spans="6:6" x14ac:dyDescent="0.3">
      <c r="F69097" s="193"/>
    </row>
    <row r="69098" spans="6:6" x14ac:dyDescent="0.3">
      <c r="F69098" s="193"/>
    </row>
    <row r="69099" spans="6:6" x14ac:dyDescent="0.3">
      <c r="F69099" s="193"/>
    </row>
    <row r="69100" spans="6:6" x14ac:dyDescent="0.3">
      <c r="F69100" s="193"/>
    </row>
    <row r="69101" spans="6:6" x14ac:dyDescent="0.3">
      <c r="F69101" s="193"/>
    </row>
    <row r="69102" spans="6:6" x14ac:dyDescent="0.3">
      <c r="F69102" s="193"/>
    </row>
    <row r="69103" spans="6:6" x14ac:dyDescent="0.3">
      <c r="F69103" s="193"/>
    </row>
    <row r="69104" spans="6:6" x14ac:dyDescent="0.3">
      <c r="F69104" s="193"/>
    </row>
    <row r="69105" spans="6:6" x14ac:dyDescent="0.3">
      <c r="F69105" s="193"/>
    </row>
    <row r="69106" spans="6:6" x14ac:dyDescent="0.3">
      <c r="F69106" s="193"/>
    </row>
    <row r="69107" spans="6:6" x14ac:dyDescent="0.3">
      <c r="F69107" s="193"/>
    </row>
    <row r="69108" spans="6:6" x14ac:dyDescent="0.3">
      <c r="F69108" s="193"/>
    </row>
    <row r="69109" spans="6:6" x14ac:dyDescent="0.3">
      <c r="F69109" s="193"/>
    </row>
    <row r="69110" spans="6:6" x14ac:dyDescent="0.3">
      <c r="F69110" s="193"/>
    </row>
    <row r="69111" spans="6:6" x14ac:dyDescent="0.3">
      <c r="F69111" s="193"/>
    </row>
    <row r="69112" spans="6:6" x14ac:dyDescent="0.3">
      <c r="F69112" s="193"/>
    </row>
    <row r="69113" spans="6:6" x14ac:dyDescent="0.3">
      <c r="F69113" s="193"/>
    </row>
    <row r="69114" spans="6:6" x14ac:dyDescent="0.3">
      <c r="F69114" s="193"/>
    </row>
    <row r="69115" spans="6:6" x14ac:dyDescent="0.3">
      <c r="F69115" s="193"/>
    </row>
    <row r="69116" spans="6:6" x14ac:dyDescent="0.3">
      <c r="F69116" s="193"/>
    </row>
    <row r="69117" spans="6:6" x14ac:dyDescent="0.3">
      <c r="F69117" s="193"/>
    </row>
    <row r="69118" spans="6:6" x14ac:dyDescent="0.3">
      <c r="F69118" s="193"/>
    </row>
    <row r="69119" spans="6:6" x14ac:dyDescent="0.3">
      <c r="F69119" s="193"/>
    </row>
    <row r="69120" spans="6:6" x14ac:dyDescent="0.3">
      <c r="F69120" s="193"/>
    </row>
    <row r="69121" spans="6:6" x14ac:dyDescent="0.3">
      <c r="F69121" s="193"/>
    </row>
    <row r="69122" spans="6:6" x14ac:dyDescent="0.3">
      <c r="F69122" s="193"/>
    </row>
    <row r="69123" spans="6:6" x14ac:dyDescent="0.3">
      <c r="F69123" s="193"/>
    </row>
    <row r="69124" spans="6:6" x14ac:dyDescent="0.3">
      <c r="F69124" s="193"/>
    </row>
    <row r="69125" spans="6:6" x14ac:dyDescent="0.3">
      <c r="F69125" s="193"/>
    </row>
    <row r="69126" spans="6:6" x14ac:dyDescent="0.3">
      <c r="F69126" s="193"/>
    </row>
    <row r="69127" spans="6:6" x14ac:dyDescent="0.3">
      <c r="F69127" s="193"/>
    </row>
    <row r="69128" spans="6:6" x14ac:dyDescent="0.3">
      <c r="F69128" s="193"/>
    </row>
    <row r="69129" spans="6:6" x14ac:dyDescent="0.3">
      <c r="F69129" s="193"/>
    </row>
    <row r="69130" spans="6:6" x14ac:dyDescent="0.3">
      <c r="F69130" s="193"/>
    </row>
    <row r="69131" spans="6:6" x14ac:dyDescent="0.3">
      <c r="F69131" s="193"/>
    </row>
    <row r="69132" spans="6:6" x14ac:dyDescent="0.3">
      <c r="F69132" s="193"/>
    </row>
    <row r="69133" spans="6:6" x14ac:dyDescent="0.3">
      <c r="F69133" s="193"/>
    </row>
    <row r="69134" spans="6:6" x14ac:dyDescent="0.3">
      <c r="F69134" s="193"/>
    </row>
    <row r="69135" spans="6:6" x14ac:dyDescent="0.3">
      <c r="F69135" s="193"/>
    </row>
    <row r="69136" spans="6:6" x14ac:dyDescent="0.3">
      <c r="F69136" s="193"/>
    </row>
    <row r="69137" spans="6:6" x14ac:dyDescent="0.3">
      <c r="F69137" s="193"/>
    </row>
    <row r="69138" spans="6:6" x14ac:dyDescent="0.3">
      <c r="F69138" s="193"/>
    </row>
    <row r="69139" spans="6:6" x14ac:dyDescent="0.3">
      <c r="F69139" s="193"/>
    </row>
    <row r="69140" spans="6:6" x14ac:dyDescent="0.3">
      <c r="F69140" s="193"/>
    </row>
    <row r="69141" spans="6:6" x14ac:dyDescent="0.3">
      <c r="F69141" s="193"/>
    </row>
    <row r="69142" spans="6:6" x14ac:dyDescent="0.3">
      <c r="F69142" s="193"/>
    </row>
    <row r="69143" spans="6:6" x14ac:dyDescent="0.3">
      <c r="F69143" s="193"/>
    </row>
    <row r="69144" spans="6:6" x14ac:dyDescent="0.3">
      <c r="F69144" s="193"/>
    </row>
    <row r="69145" spans="6:6" x14ac:dyDescent="0.3">
      <c r="F69145" s="193"/>
    </row>
    <row r="69146" spans="6:6" x14ac:dyDescent="0.3">
      <c r="F69146" s="193"/>
    </row>
    <row r="69147" spans="6:6" x14ac:dyDescent="0.3">
      <c r="F69147" s="193"/>
    </row>
    <row r="69148" spans="6:6" x14ac:dyDescent="0.3">
      <c r="F69148" s="193"/>
    </row>
    <row r="69149" spans="6:6" x14ac:dyDescent="0.3">
      <c r="F69149" s="193"/>
    </row>
    <row r="69150" spans="6:6" x14ac:dyDescent="0.3">
      <c r="F69150" s="193"/>
    </row>
    <row r="69151" spans="6:6" x14ac:dyDescent="0.3">
      <c r="F69151" s="193"/>
    </row>
    <row r="69152" spans="6:6" x14ac:dyDescent="0.3">
      <c r="F69152" s="193"/>
    </row>
    <row r="69153" spans="6:6" x14ac:dyDescent="0.3">
      <c r="F69153" s="193"/>
    </row>
    <row r="69154" spans="6:6" x14ac:dyDescent="0.3">
      <c r="F69154" s="193"/>
    </row>
    <row r="69155" spans="6:6" x14ac:dyDescent="0.3">
      <c r="F69155" s="193"/>
    </row>
    <row r="69156" spans="6:6" x14ac:dyDescent="0.3">
      <c r="F69156" s="193"/>
    </row>
    <row r="69157" spans="6:6" x14ac:dyDescent="0.3">
      <c r="F69157" s="193"/>
    </row>
    <row r="69158" spans="6:6" x14ac:dyDescent="0.3">
      <c r="F69158" s="193"/>
    </row>
    <row r="69159" spans="6:6" x14ac:dyDescent="0.3">
      <c r="F69159" s="193"/>
    </row>
    <row r="69160" spans="6:6" x14ac:dyDescent="0.3">
      <c r="F69160" s="193"/>
    </row>
    <row r="69161" spans="6:6" x14ac:dyDescent="0.3">
      <c r="F69161" s="193"/>
    </row>
    <row r="69162" spans="6:6" x14ac:dyDescent="0.3">
      <c r="F69162" s="193"/>
    </row>
    <row r="69163" spans="6:6" x14ac:dyDescent="0.3">
      <c r="F69163" s="193"/>
    </row>
    <row r="69164" spans="6:6" x14ac:dyDescent="0.3">
      <c r="F69164" s="193"/>
    </row>
    <row r="69165" spans="6:6" x14ac:dyDescent="0.3">
      <c r="F69165" s="193"/>
    </row>
    <row r="69166" spans="6:6" x14ac:dyDescent="0.3">
      <c r="F69166" s="193"/>
    </row>
    <row r="69167" spans="6:6" x14ac:dyDescent="0.3">
      <c r="F69167" s="193"/>
    </row>
    <row r="69168" spans="6:6" x14ac:dyDescent="0.3">
      <c r="F69168" s="193"/>
    </row>
    <row r="69169" spans="6:6" x14ac:dyDescent="0.3">
      <c r="F69169" s="193"/>
    </row>
    <row r="69170" spans="6:6" x14ac:dyDescent="0.3">
      <c r="F69170" s="193"/>
    </row>
    <row r="69171" spans="6:6" x14ac:dyDescent="0.3">
      <c r="F69171" s="193"/>
    </row>
    <row r="69172" spans="6:6" x14ac:dyDescent="0.3">
      <c r="F69172" s="193"/>
    </row>
    <row r="69173" spans="6:6" x14ac:dyDescent="0.3">
      <c r="F69173" s="193"/>
    </row>
    <row r="69174" spans="6:6" x14ac:dyDescent="0.3">
      <c r="F69174" s="193"/>
    </row>
    <row r="69175" spans="6:6" x14ac:dyDescent="0.3">
      <c r="F69175" s="193"/>
    </row>
    <row r="69176" spans="6:6" x14ac:dyDescent="0.3">
      <c r="F69176" s="193"/>
    </row>
    <row r="69177" spans="6:6" x14ac:dyDescent="0.3">
      <c r="F69177" s="193"/>
    </row>
    <row r="69178" spans="6:6" x14ac:dyDescent="0.3">
      <c r="F69178" s="193"/>
    </row>
    <row r="69179" spans="6:6" x14ac:dyDescent="0.3">
      <c r="F69179" s="193"/>
    </row>
    <row r="69180" spans="6:6" x14ac:dyDescent="0.3">
      <c r="F69180" s="193"/>
    </row>
    <row r="69181" spans="6:6" x14ac:dyDescent="0.3">
      <c r="F69181" s="193"/>
    </row>
    <row r="69182" spans="6:6" x14ac:dyDescent="0.3">
      <c r="F69182" s="193"/>
    </row>
    <row r="69183" spans="6:6" x14ac:dyDescent="0.3">
      <c r="F69183" s="193"/>
    </row>
    <row r="69184" spans="6:6" x14ac:dyDescent="0.3">
      <c r="F69184" s="193"/>
    </row>
    <row r="69185" spans="6:6" x14ac:dyDescent="0.3">
      <c r="F69185" s="193"/>
    </row>
    <row r="69186" spans="6:6" x14ac:dyDescent="0.3">
      <c r="F69186" s="193"/>
    </row>
    <row r="69187" spans="6:6" x14ac:dyDescent="0.3">
      <c r="F69187" s="193"/>
    </row>
    <row r="69188" spans="6:6" x14ac:dyDescent="0.3">
      <c r="F69188" s="193"/>
    </row>
    <row r="69189" spans="6:6" x14ac:dyDescent="0.3">
      <c r="F69189" s="193"/>
    </row>
    <row r="69190" spans="6:6" x14ac:dyDescent="0.3">
      <c r="F69190" s="193"/>
    </row>
    <row r="69191" spans="6:6" x14ac:dyDescent="0.3">
      <c r="F69191" s="193"/>
    </row>
    <row r="69192" spans="6:6" x14ac:dyDescent="0.3">
      <c r="F69192" s="193"/>
    </row>
    <row r="69193" spans="6:6" x14ac:dyDescent="0.3">
      <c r="F69193" s="193"/>
    </row>
    <row r="69194" spans="6:6" x14ac:dyDescent="0.3">
      <c r="F69194" s="193"/>
    </row>
    <row r="69195" spans="6:6" x14ac:dyDescent="0.3">
      <c r="F69195" s="193"/>
    </row>
    <row r="69196" spans="6:6" x14ac:dyDescent="0.3">
      <c r="F69196" s="193"/>
    </row>
    <row r="69197" spans="6:6" x14ac:dyDescent="0.3">
      <c r="F69197" s="193"/>
    </row>
    <row r="69198" spans="6:6" x14ac:dyDescent="0.3">
      <c r="F69198" s="193"/>
    </row>
    <row r="69199" spans="6:6" x14ac:dyDescent="0.3">
      <c r="F69199" s="193"/>
    </row>
    <row r="69200" spans="6:6" x14ac:dyDescent="0.3">
      <c r="F69200" s="193"/>
    </row>
    <row r="69201" spans="6:6" x14ac:dyDescent="0.3">
      <c r="F69201" s="193"/>
    </row>
    <row r="69202" spans="6:6" x14ac:dyDescent="0.3">
      <c r="F69202" s="193"/>
    </row>
    <row r="69203" spans="6:6" x14ac:dyDescent="0.3">
      <c r="F69203" s="193"/>
    </row>
    <row r="69204" spans="6:6" x14ac:dyDescent="0.3">
      <c r="F69204" s="193"/>
    </row>
    <row r="69205" spans="6:6" x14ac:dyDescent="0.3">
      <c r="F69205" s="193"/>
    </row>
    <row r="69206" spans="6:6" x14ac:dyDescent="0.3">
      <c r="F69206" s="193"/>
    </row>
    <row r="69207" spans="6:6" x14ac:dyDescent="0.3">
      <c r="F69207" s="193"/>
    </row>
    <row r="69208" spans="6:6" x14ac:dyDescent="0.3">
      <c r="F69208" s="193"/>
    </row>
    <row r="69209" spans="6:6" x14ac:dyDescent="0.3">
      <c r="F69209" s="193"/>
    </row>
    <row r="69210" spans="6:6" x14ac:dyDescent="0.3">
      <c r="F69210" s="193"/>
    </row>
    <row r="69211" spans="6:6" x14ac:dyDescent="0.3">
      <c r="F69211" s="193"/>
    </row>
    <row r="69212" spans="6:6" x14ac:dyDescent="0.3">
      <c r="F69212" s="193"/>
    </row>
    <row r="69213" spans="6:6" x14ac:dyDescent="0.3">
      <c r="F69213" s="193"/>
    </row>
    <row r="69214" spans="6:6" x14ac:dyDescent="0.3">
      <c r="F69214" s="193"/>
    </row>
    <row r="69215" spans="6:6" x14ac:dyDescent="0.3">
      <c r="F69215" s="193"/>
    </row>
    <row r="69216" spans="6:6" x14ac:dyDescent="0.3">
      <c r="F69216" s="193"/>
    </row>
    <row r="69217" spans="6:6" x14ac:dyDescent="0.3">
      <c r="F69217" s="193"/>
    </row>
    <row r="69218" spans="6:6" x14ac:dyDescent="0.3">
      <c r="F69218" s="193"/>
    </row>
    <row r="69219" spans="6:6" x14ac:dyDescent="0.3">
      <c r="F69219" s="193"/>
    </row>
    <row r="69220" spans="6:6" x14ac:dyDescent="0.3">
      <c r="F69220" s="193"/>
    </row>
    <row r="69221" spans="6:6" x14ac:dyDescent="0.3">
      <c r="F69221" s="193"/>
    </row>
    <row r="69222" spans="6:6" x14ac:dyDescent="0.3">
      <c r="F69222" s="193"/>
    </row>
    <row r="69223" spans="6:6" x14ac:dyDescent="0.3">
      <c r="F69223" s="193"/>
    </row>
    <row r="69224" spans="6:6" x14ac:dyDescent="0.3">
      <c r="F69224" s="193"/>
    </row>
    <row r="69225" spans="6:6" x14ac:dyDescent="0.3">
      <c r="F69225" s="193"/>
    </row>
    <row r="69226" spans="6:6" x14ac:dyDescent="0.3">
      <c r="F69226" s="193"/>
    </row>
    <row r="69227" spans="6:6" x14ac:dyDescent="0.3">
      <c r="F69227" s="193"/>
    </row>
    <row r="69228" spans="6:6" x14ac:dyDescent="0.3">
      <c r="F69228" s="193"/>
    </row>
    <row r="69229" spans="6:6" x14ac:dyDescent="0.3">
      <c r="F69229" s="193"/>
    </row>
    <row r="69230" spans="6:6" x14ac:dyDescent="0.3">
      <c r="F69230" s="193"/>
    </row>
    <row r="69231" spans="6:6" x14ac:dyDescent="0.3">
      <c r="F69231" s="193"/>
    </row>
    <row r="69232" spans="6:6" x14ac:dyDescent="0.3">
      <c r="F69232" s="193"/>
    </row>
    <row r="69233" spans="6:6" x14ac:dyDescent="0.3">
      <c r="F69233" s="193"/>
    </row>
    <row r="69234" spans="6:6" x14ac:dyDescent="0.3">
      <c r="F69234" s="193"/>
    </row>
    <row r="69235" spans="6:6" x14ac:dyDescent="0.3">
      <c r="F69235" s="193"/>
    </row>
    <row r="69236" spans="6:6" x14ac:dyDescent="0.3">
      <c r="F69236" s="193"/>
    </row>
    <row r="69237" spans="6:6" x14ac:dyDescent="0.3">
      <c r="F69237" s="193"/>
    </row>
    <row r="69238" spans="6:6" x14ac:dyDescent="0.3">
      <c r="F69238" s="193"/>
    </row>
    <row r="69239" spans="6:6" x14ac:dyDescent="0.3">
      <c r="F69239" s="193"/>
    </row>
    <row r="69240" spans="6:6" x14ac:dyDescent="0.3">
      <c r="F69240" s="193"/>
    </row>
    <row r="69241" spans="6:6" x14ac:dyDescent="0.3">
      <c r="F69241" s="193"/>
    </row>
    <row r="69242" spans="6:6" x14ac:dyDescent="0.3">
      <c r="F69242" s="193"/>
    </row>
    <row r="69243" spans="6:6" x14ac:dyDescent="0.3">
      <c r="F69243" s="193"/>
    </row>
    <row r="69244" spans="6:6" x14ac:dyDescent="0.3">
      <c r="F69244" s="193"/>
    </row>
    <row r="69245" spans="6:6" x14ac:dyDescent="0.3">
      <c r="F69245" s="193"/>
    </row>
    <row r="69246" spans="6:6" x14ac:dyDescent="0.3">
      <c r="F69246" s="193"/>
    </row>
    <row r="69247" spans="6:6" x14ac:dyDescent="0.3">
      <c r="F69247" s="193"/>
    </row>
    <row r="69248" spans="6:6" x14ac:dyDescent="0.3">
      <c r="F69248" s="193"/>
    </row>
    <row r="69249" spans="6:6" x14ac:dyDescent="0.3">
      <c r="F69249" s="193"/>
    </row>
    <row r="69250" spans="6:6" x14ac:dyDescent="0.3">
      <c r="F69250" s="193"/>
    </row>
    <row r="69251" spans="6:6" x14ac:dyDescent="0.3">
      <c r="F69251" s="193"/>
    </row>
    <row r="69252" spans="6:6" x14ac:dyDescent="0.3">
      <c r="F69252" s="193"/>
    </row>
    <row r="69253" spans="6:6" x14ac:dyDescent="0.3">
      <c r="F69253" s="193"/>
    </row>
    <row r="69254" spans="6:6" x14ac:dyDescent="0.3">
      <c r="F69254" s="193"/>
    </row>
    <row r="69255" spans="6:6" x14ac:dyDescent="0.3">
      <c r="F69255" s="193"/>
    </row>
    <row r="69256" spans="6:6" x14ac:dyDescent="0.3">
      <c r="F69256" s="193"/>
    </row>
    <row r="69257" spans="6:6" x14ac:dyDescent="0.3">
      <c r="F69257" s="193"/>
    </row>
    <row r="69258" spans="6:6" x14ac:dyDescent="0.3">
      <c r="F69258" s="193"/>
    </row>
    <row r="69259" spans="6:6" x14ac:dyDescent="0.3">
      <c r="F69259" s="193"/>
    </row>
    <row r="69260" spans="6:6" x14ac:dyDescent="0.3">
      <c r="F69260" s="193"/>
    </row>
    <row r="69261" spans="6:6" x14ac:dyDescent="0.3">
      <c r="F69261" s="193"/>
    </row>
    <row r="69262" spans="6:6" x14ac:dyDescent="0.3">
      <c r="F69262" s="193"/>
    </row>
    <row r="69263" spans="6:6" x14ac:dyDescent="0.3">
      <c r="F69263" s="193"/>
    </row>
    <row r="69264" spans="6:6" x14ac:dyDescent="0.3">
      <c r="F69264" s="193"/>
    </row>
    <row r="69265" spans="6:6" x14ac:dyDescent="0.3">
      <c r="F69265" s="193"/>
    </row>
    <row r="69266" spans="6:6" x14ac:dyDescent="0.3">
      <c r="F69266" s="193"/>
    </row>
    <row r="69267" spans="6:6" x14ac:dyDescent="0.3">
      <c r="F69267" s="193"/>
    </row>
    <row r="69268" spans="6:6" x14ac:dyDescent="0.3">
      <c r="F69268" s="193"/>
    </row>
    <row r="69269" spans="6:6" x14ac:dyDescent="0.3">
      <c r="F69269" s="193"/>
    </row>
    <row r="69270" spans="6:6" x14ac:dyDescent="0.3">
      <c r="F69270" s="193"/>
    </row>
    <row r="69271" spans="6:6" x14ac:dyDescent="0.3">
      <c r="F69271" s="193"/>
    </row>
    <row r="69272" spans="6:6" x14ac:dyDescent="0.3">
      <c r="F69272" s="193"/>
    </row>
    <row r="69273" spans="6:6" x14ac:dyDescent="0.3">
      <c r="F69273" s="193"/>
    </row>
    <row r="69274" spans="6:6" x14ac:dyDescent="0.3">
      <c r="F69274" s="193"/>
    </row>
    <row r="69275" spans="6:6" x14ac:dyDescent="0.3">
      <c r="F69275" s="193"/>
    </row>
    <row r="69276" spans="6:6" x14ac:dyDescent="0.3">
      <c r="F69276" s="193"/>
    </row>
    <row r="69277" spans="6:6" x14ac:dyDescent="0.3">
      <c r="F69277" s="193"/>
    </row>
    <row r="69278" spans="6:6" x14ac:dyDescent="0.3">
      <c r="F69278" s="193"/>
    </row>
    <row r="69279" spans="6:6" x14ac:dyDescent="0.3">
      <c r="F69279" s="193"/>
    </row>
    <row r="69280" spans="6:6" x14ac:dyDescent="0.3">
      <c r="F69280" s="193"/>
    </row>
    <row r="69281" spans="6:6" x14ac:dyDescent="0.3">
      <c r="F69281" s="193"/>
    </row>
    <row r="69282" spans="6:6" x14ac:dyDescent="0.3">
      <c r="F69282" s="193"/>
    </row>
    <row r="69283" spans="6:6" x14ac:dyDescent="0.3">
      <c r="F69283" s="193"/>
    </row>
    <row r="69284" spans="6:6" x14ac:dyDescent="0.3">
      <c r="F69284" s="193"/>
    </row>
    <row r="69285" spans="6:6" x14ac:dyDescent="0.3">
      <c r="F69285" s="193"/>
    </row>
    <row r="69286" spans="6:6" x14ac:dyDescent="0.3">
      <c r="F69286" s="193"/>
    </row>
    <row r="69287" spans="6:6" x14ac:dyDescent="0.3">
      <c r="F69287" s="193"/>
    </row>
    <row r="69288" spans="6:6" x14ac:dyDescent="0.3">
      <c r="F69288" s="193"/>
    </row>
    <row r="69289" spans="6:6" x14ac:dyDescent="0.3">
      <c r="F69289" s="193"/>
    </row>
    <row r="69290" spans="6:6" x14ac:dyDescent="0.3">
      <c r="F69290" s="193"/>
    </row>
    <row r="69291" spans="6:6" x14ac:dyDescent="0.3">
      <c r="F69291" s="193"/>
    </row>
    <row r="69292" spans="6:6" x14ac:dyDescent="0.3">
      <c r="F69292" s="193"/>
    </row>
    <row r="69293" spans="6:6" x14ac:dyDescent="0.3">
      <c r="F69293" s="193"/>
    </row>
    <row r="69294" spans="6:6" x14ac:dyDescent="0.3">
      <c r="F69294" s="193"/>
    </row>
    <row r="69295" spans="6:6" x14ac:dyDescent="0.3">
      <c r="F69295" s="193"/>
    </row>
    <row r="69296" spans="6:6" x14ac:dyDescent="0.3">
      <c r="F69296" s="193"/>
    </row>
    <row r="69297" spans="6:6" x14ac:dyDescent="0.3">
      <c r="F69297" s="193"/>
    </row>
    <row r="69298" spans="6:6" x14ac:dyDescent="0.3">
      <c r="F69298" s="193"/>
    </row>
    <row r="69299" spans="6:6" x14ac:dyDescent="0.3">
      <c r="F69299" s="193"/>
    </row>
    <row r="69300" spans="6:6" x14ac:dyDescent="0.3">
      <c r="F69300" s="193"/>
    </row>
    <row r="69301" spans="6:6" x14ac:dyDescent="0.3">
      <c r="F69301" s="193"/>
    </row>
    <row r="69302" spans="6:6" x14ac:dyDescent="0.3">
      <c r="F69302" s="193"/>
    </row>
    <row r="69303" spans="6:6" x14ac:dyDescent="0.3">
      <c r="F69303" s="193"/>
    </row>
    <row r="69304" spans="6:6" x14ac:dyDescent="0.3">
      <c r="F69304" s="193"/>
    </row>
    <row r="69305" spans="6:6" x14ac:dyDescent="0.3">
      <c r="F69305" s="193"/>
    </row>
    <row r="69306" spans="6:6" x14ac:dyDescent="0.3">
      <c r="F69306" s="193"/>
    </row>
    <row r="69307" spans="6:6" x14ac:dyDescent="0.3">
      <c r="F69307" s="193"/>
    </row>
    <row r="69308" spans="6:6" x14ac:dyDescent="0.3">
      <c r="F69308" s="193"/>
    </row>
    <row r="69309" spans="6:6" x14ac:dyDescent="0.3">
      <c r="F69309" s="193"/>
    </row>
    <row r="69310" spans="6:6" x14ac:dyDescent="0.3">
      <c r="F69310" s="193"/>
    </row>
    <row r="69311" spans="6:6" x14ac:dyDescent="0.3">
      <c r="F69311" s="193"/>
    </row>
    <row r="69312" spans="6:6" x14ac:dyDescent="0.3">
      <c r="F69312" s="193"/>
    </row>
    <row r="69313" spans="6:6" x14ac:dyDescent="0.3">
      <c r="F69313" s="193"/>
    </row>
    <row r="69314" spans="6:6" x14ac:dyDescent="0.3">
      <c r="F69314" s="193"/>
    </row>
    <row r="69315" spans="6:6" x14ac:dyDescent="0.3">
      <c r="F69315" s="193"/>
    </row>
    <row r="69316" spans="6:6" x14ac:dyDescent="0.3">
      <c r="F69316" s="193"/>
    </row>
    <row r="69317" spans="6:6" x14ac:dyDescent="0.3">
      <c r="F69317" s="193"/>
    </row>
    <row r="69318" spans="6:6" x14ac:dyDescent="0.3">
      <c r="F69318" s="193"/>
    </row>
    <row r="69319" spans="6:6" x14ac:dyDescent="0.3">
      <c r="F69319" s="193"/>
    </row>
    <row r="69320" spans="6:6" x14ac:dyDescent="0.3">
      <c r="F69320" s="193"/>
    </row>
    <row r="69321" spans="6:6" x14ac:dyDescent="0.3">
      <c r="F69321" s="193"/>
    </row>
    <row r="69322" spans="6:6" x14ac:dyDescent="0.3">
      <c r="F69322" s="193"/>
    </row>
    <row r="69323" spans="6:6" x14ac:dyDescent="0.3">
      <c r="F69323" s="193"/>
    </row>
    <row r="69324" spans="6:6" x14ac:dyDescent="0.3">
      <c r="F69324" s="193"/>
    </row>
    <row r="69325" spans="6:6" x14ac:dyDescent="0.3">
      <c r="F69325" s="193"/>
    </row>
    <row r="69326" spans="6:6" x14ac:dyDescent="0.3">
      <c r="F69326" s="193"/>
    </row>
    <row r="69327" spans="6:6" x14ac:dyDescent="0.3">
      <c r="F69327" s="193"/>
    </row>
    <row r="69328" spans="6:6" x14ac:dyDescent="0.3">
      <c r="F69328" s="193"/>
    </row>
    <row r="69329" spans="6:6" x14ac:dyDescent="0.3">
      <c r="F69329" s="193"/>
    </row>
    <row r="69330" spans="6:6" x14ac:dyDescent="0.3">
      <c r="F69330" s="193"/>
    </row>
    <row r="69331" spans="6:6" x14ac:dyDescent="0.3">
      <c r="F69331" s="193"/>
    </row>
    <row r="69332" spans="6:6" x14ac:dyDescent="0.3">
      <c r="F69332" s="193"/>
    </row>
    <row r="69333" spans="6:6" x14ac:dyDescent="0.3">
      <c r="F69333" s="193"/>
    </row>
    <row r="69334" spans="6:6" x14ac:dyDescent="0.3">
      <c r="F69334" s="193"/>
    </row>
    <row r="69335" spans="6:6" x14ac:dyDescent="0.3">
      <c r="F69335" s="193"/>
    </row>
    <row r="69336" spans="6:6" x14ac:dyDescent="0.3">
      <c r="F69336" s="193"/>
    </row>
    <row r="69337" spans="6:6" x14ac:dyDescent="0.3">
      <c r="F69337" s="193"/>
    </row>
    <row r="69338" spans="6:6" x14ac:dyDescent="0.3">
      <c r="F69338" s="193"/>
    </row>
    <row r="69339" spans="6:6" x14ac:dyDescent="0.3">
      <c r="F69339" s="193"/>
    </row>
    <row r="69340" spans="6:6" x14ac:dyDescent="0.3">
      <c r="F69340" s="193"/>
    </row>
    <row r="69341" spans="6:6" x14ac:dyDescent="0.3">
      <c r="F69341" s="193"/>
    </row>
    <row r="69342" spans="6:6" x14ac:dyDescent="0.3">
      <c r="F69342" s="193"/>
    </row>
    <row r="69343" spans="6:6" x14ac:dyDescent="0.3">
      <c r="F69343" s="193"/>
    </row>
    <row r="69344" spans="6:6" x14ac:dyDescent="0.3">
      <c r="F69344" s="193"/>
    </row>
    <row r="69345" spans="6:6" x14ac:dyDescent="0.3">
      <c r="F69345" s="193"/>
    </row>
    <row r="69346" spans="6:6" x14ac:dyDescent="0.3">
      <c r="F69346" s="193"/>
    </row>
    <row r="69347" spans="6:6" x14ac:dyDescent="0.3">
      <c r="F69347" s="193"/>
    </row>
    <row r="69348" spans="6:6" x14ac:dyDescent="0.3">
      <c r="F69348" s="193"/>
    </row>
    <row r="69349" spans="6:6" x14ac:dyDescent="0.3">
      <c r="F69349" s="193"/>
    </row>
    <row r="69350" spans="6:6" x14ac:dyDescent="0.3">
      <c r="F69350" s="193"/>
    </row>
    <row r="69351" spans="6:6" x14ac:dyDescent="0.3">
      <c r="F69351" s="193"/>
    </row>
    <row r="69352" spans="6:6" x14ac:dyDescent="0.3">
      <c r="F69352" s="193"/>
    </row>
    <row r="69353" spans="6:6" x14ac:dyDescent="0.3">
      <c r="F69353" s="193"/>
    </row>
    <row r="69354" spans="6:6" x14ac:dyDescent="0.3">
      <c r="F69354" s="193"/>
    </row>
    <row r="69355" spans="6:6" x14ac:dyDescent="0.3">
      <c r="F69355" s="193"/>
    </row>
    <row r="69356" spans="6:6" x14ac:dyDescent="0.3">
      <c r="F69356" s="193"/>
    </row>
    <row r="69357" spans="6:6" x14ac:dyDescent="0.3">
      <c r="F69357" s="193"/>
    </row>
    <row r="69358" spans="6:6" x14ac:dyDescent="0.3">
      <c r="F69358" s="193"/>
    </row>
    <row r="69359" spans="6:6" x14ac:dyDescent="0.3">
      <c r="F69359" s="193"/>
    </row>
    <row r="69360" spans="6:6" x14ac:dyDescent="0.3">
      <c r="F69360" s="193"/>
    </row>
    <row r="69361" spans="6:6" x14ac:dyDescent="0.3">
      <c r="F69361" s="193"/>
    </row>
    <row r="69362" spans="6:6" x14ac:dyDescent="0.3">
      <c r="F69362" s="193"/>
    </row>
    <row r="69363" spans="6:6" x14ac:dyDescent="0.3">
      <c r="F69363" s="193"/>
    </row>
    <row r="69364" spans="6:6" x14ac:dyDescent="0.3">
      <c r="F69364" s="193"/>
    </row>
    <row r="69365" spans="6:6" x14ac:dyDescent="0.3">
      <c r="F69365" s="193"/>
    </row>
    <row r="69366" spans="6:6" x14ac:dyDescent="0.3">
      <c r="F69366" s="193"/>
    </row>
    <row r="69367" spans="6:6" x14ac:dyDescent="0.3">
      <c r="F69367" s="193"/>
    </row>
    <row r="69368" spans="6:6" x14ac:dyDescent="0.3">
      <c r="F69368" s="193"/>
    </row>
    <row r="69369" spans="6:6" x14ac:dyDescent="0.3">
      <c r="F69369" s="193"/>
    </row>
    <row r="69370" spans="6:6" x14ac:dyDescent="0.3">
      <c r="F69370" s="193"/>
    </row>
    <row r="69371" spans="6:6" x14ac:dyDescent="0.3">
      <c r="F69371" s="193"/>
    </row>
    <row r="69372" spans="6:6" x14ac:dyDescent="0.3">
      <c r="F69372" s="193"/>
    </row>
    <row r="69373" spans="6:6" x14ac:dyDescent="0.3">
      <c r="F69373" s="193"/>
    </row>
    <row r="69374" spans="6:6" x14ac:dyDescent="0.3">
      <c r="F69374" s="193"/>
    </row>
    <row r="69375" spans="6:6" x14ac:dyDescent="0.3">
      <c r="F69375" s="193"/>
    </row>
    <row r="69376" spans="6:6" x14ac:dyDescent="0.3">
      <c r="F69376" s="193"/>
    </row>
    <row r="69377" spans="6:6" x14ac:dyDescent="0.3">
      <c r="F69377" s="193"/>
    </row>
    <row r="69378" spans="6:6" x14ac:dyDescent="0.3">
      <c r="F69378" s="193"/>
    </row>
    <row r="69379" spans="6:6" x14ac:dyDescent="0.3">
      <c r="F69379" s="193"/>
    </row>
    <row r="69380" spans="6:6" x14ac:dyDescent="0.3">
      <c r="F69380" s="193"/>
    </row>
    <row r="69381" spans="6:6" x14ac:dyDescent="0.3">
      <c r="F69381" s="193"/>
    </row>
    <row r="69382" spans="6:6" x14ac:dyDescent="0.3">
      <c r="F69382" s="193"/>
    </row>
    <row r="69383" spans="6:6" x14ac:dyDescent="0.3">
      <c r="F69383" s="193"/>
    </row>
    <row r="69384" spans="6:6" x14ac:dyDescent="0.3">
      <c r="F69384" s="193"/>
    </row>
    <row r="69385" spans="6:6" x14ac:dyDescent="0.3">
      <c r="F69385" s="193"/>
    </row>
    <row r="69386" spans="6:6" x14ac:dyDescent="0.3">
      <c r="F69386" s="193"/>
    </row>
    <row r="69387" spans="6:6" x14ac:dyDescent="0.3">
      <c r="F69387" s="193"/>
    </row>
    <row r="69388" spans="6:6" x14ac:dyDescent="0.3">
      <c r="F69388" s="193"/>
    </row>
    <row r="69389" spans="6:6" x14ac:dyDescent="0.3">
      <c r="F69389" s="193"/>
    </row>
    <row r="69390" spans="6:6" x14ac:dyDescent="0.3">
      <c r="F69390" s="193"/>
    </row>
    <row r="69391" spans="6:6" x14ac:dyDescent="0.3">
      <c r="F69391" s="193"/>
    </row>
    <row r="69392" spans="6:6" x14ac:dyDescent="0.3">
      <c r="F69392" s="193"/>
    </row>
    <row r="69393" spans="6:6" x14ac:dyDescent="0.3">
      <c r="F69393" s="193"/>
    </row>
    <row r="69394" spans="6:6" x14ac:dyDescent="0.3">
      <c r="F69394" s="193"/>
    </row>
    <row r="69395" spans="6:6" x14ac:dyDescent="0.3">
      <c r="F69395" s="193"/>
    </row>
    <row r="69396" spans="6:6" x14ac:dyDescent="0.3">
      <c r="F69396" s="193"/>
    </row>
    <row r="69397" spans="6:6" x14ac:dyDescent="0.3">
      <c r="F69397" s="193"/>
    </row>
    <row r="69398" spans="6:6" x14ac:dyDescent="0.3">
      <c r="F69398" s="193"/>
    </row>
    <row r="69399" spans="6:6" x14ac:dyDescent="0.3">
      <c r="F69399" s="193"/>
    </row>
    <row r="69400" spans="6:6" x14ac:dyDescent="0.3">
      <c r="F69400" s="193"/>
    </row>
    <row r="69401" spans="6:6" x14ac:dyDescent="0.3">
      <c r="F69401" s="193"/>
    </row>
    <row r="69402" spans="6:6" x14ac:dyDescent="0.3">
      <c r="F69402" s="193"/>
    </row>
    <row r="69403" spans="6:6" x14ac:dyDescent="0.3">
      <c r="F69403" s="193"/>
    </row>
    <row r="69404" spans="6:6" x14ac:dyDescent="0.3">
      <c r="F69404" s="193"/>
    </row>
    <row r="69405" spans="6:6" x14ac:dyDescent="0.3">
      <c r="F69405" s="193"/>
    </row>
    <row r="69406" spans="6:6" x14ac:dyDescent="0.3">
      <c r="F69406" s="193"/>
    </row>
    <row r="69407" spans="6:6" x14ac:dyDescent="0.3">
      <c r="F69407" s="193"/>
    </row>
    <row r="69408" spans="6:6" x14ac:dyDescent="0.3">
      <c r="F69408" s="193"/>
    </row>
    <row r="69409" spans="6:6" x14ac:dyDescent="0.3">
      <c r="F69409" s="193"/>
    </row>
    <row r="69410" spans="6:6" x14ac:dyDescent="0.3">
      <c r="F69410" s="193"/>
    </row>
    <row r="69411" spans="6:6" x14ac:dyDescent="0.3">
      <c r="F69411" s="193"/>
    </row>
    <row r="69412" spans="6:6" x14ac:dyDescent="0.3">
      <c r="F69412" s="193"/>
    </row>
    <row r="69413" spans="6:6" x14ac:dyDescent="0.3">
      <c r="F69413" s="193"/>
    </row>
    <row r="69414" spans="6:6" x14ac:dyDescent="0.3">
      <c r="F69414" s="193"/>
    </row>
    <row r="69415" spans="6:6" x14ac:dyDescent="0.3">
      <c r="F69415" s="193"/>
    </row>
    <row r="69416" spans="6:6" x14ac:dyDescent="0.3">
      <c r="F69416" s="193"/>
    </row>
    <row r="69417" spans="6:6" x14ac:dyDescent="0.3">
      <c r="F69417" s="193"/>
    </row>
    <row r="69418" spans="6:6" x14ac:dyDescent="0.3">
      <c r="F69418" s="193"/>
    </row>
    <row r="69419" spans="6:6" x14ac:dyDescent="0.3">
      <c r="F69419" s="193"/>
    </row>
    <row r="69420" spans="6:6" x14ac:dyDescent="0.3">
      <c r="F69420" s="193"/>
    </row>
    <row r="69421" spans="6:6" x14ac:dyDescent="0.3">
      <c r="F69421" s="193"/>
    </row>
    <row r="69422" spans="6:6" x14ac:dyDescent="0.3">
      <c r="F69422" s="193"/>
    </row>
    <row r="69423" spans="6:6" x14ac:dyDescent="0.3">
      <c r="F69423" s="193"/>
    </row>
    <row r="69424" spans="6:6" x14ac:dyDescent="0.3">
      <c r="F69424" s="193"/>
    </row>
    <row r="69425" spans="6:6" x14ac:dyDescent="0.3">
      <c r="F69425" s="193"/>
    </row>
    <row r="69426" spans="6:6" x14ac:dyDescent="0.3">
      <c r="F69426" s="193"/>
    </row>
    <row r="69427" spans="6:6" x14ac:dyDescent="0.3">
      <c r="F69427" s="193"/>
    </row>
    <row r="69428" spans="6:6" x14ac:dyDescent="0.3">
      <c r="F69428" s="193"/>
    </row>
    <row r="69429" spans="6:6" x14ac:dyDescent="0.3">
      <c r="F69429" s="193"/>
    </row>
    <row r="69430" spans="6:6" x14ac:dyDescent="0.3">
      <c r="F69430" s="193"/>
    </row>
    <row r="69431" spans="6:6" x14ac:dyDescent="0.3">
      <c r="F69431" s="193"/>
    </row>
    <row r="69432" spans="6:6" x14ac:dyDescent="0.3">
      <c r="F69432" s="193"/>
    </row>
    <row r="69433" spans="6:6" x14ac:dyDescent="0.3">
      <c r="F69433" s="193"/>
    </row>
    <row r="69434" spans="6:6" x14ac:dyDescent="0.3">
      <c r="F69434" s="193"/>
    </row>
    <row r="69435" spans="6:6" x14ac:dyDescent="0.3">
      <c r="F69435" s="193"/>
    </row>
    <row r="69436" spans="6:6" x14ac:dyDescent="0.3">
      <c r="F69436" s="193"/>
    </row>
    <row r="69437" spans="6:6" x14ac:dyDescent="0.3">
      <c r="F69437" s="193"/>
    </row>
    <row r="69438" spans="6:6" x14ac:dyDescent="0.3">
      <c r="F69438" s="193"/>
    </row>
    <row r="69439" spans="6:6" x14ac:dyDescent="0.3">
      <c r="F69439" s="193"/>
    </row>
    <row r="69440" spans="6:6" x14ac:dyDescent="0.3">
      <c r="F69440" s="193"/>
    </row>
    <row r="69441" spans="6:6" x14ac:dyDescent="0.3">
      <c r="F69441" s="193"/>
    </row>
    <row r="69442" spans="6:6" x14ac:dyDescent="0.3">
      <c r="F69442" s="193"/>
    </row>
    <row r="69443" spans="6:6" x14ac:dyDescent="0.3">
      <c r="F69443" s="193"/>
    </row>
    <row r="69444" spans="6:6" x14ac:dyDescent="0.3">
      <c r="F69444" s="193"/>
    </row>
    <row r="69445" spans="6:6" x14ac:dyDescent="0.3">
      <c r="F69445" s="193"/>
    </row>
    <row r="69446" spans="6:6" x14ac:dyDescent="0.3">
      <c r="F69446" s="193"/>
    </row>
    <row r="69447" spans="6:6" x14ac:dyDescent="0.3">
      <c r="F69447" s="193"/>
    </row>
    <row r="69448" spans="6:6" x14ac:dyDescent="0.3">
      <c r="F69448" s="193"/>
    </row>
    <row r="69449" spans="6:6" x14ac:dyDescent="0.3">
      <c r="F69449" s="193"/>
    </row>
    <row r="69450" spans="6:6" x14ac:dyDescent="0.3">
      <c r="F69450" s="193"/>
    </row>
    <row r="69451" spans="6:6" x14ac:dyDescent="0.3">
      <c r="F69451" s="193"/>
    </row>
    <row r="69452" spans="6:6" x14ac:dyDescent="0.3">
      <c r="F69452" s="193"/>
    </row>
    <row r="69453" spans="6:6" x14ac:dyDescent="0.3">
      <c r="F69453" s="193"/>
    </row>
    <row r="69454" spans="6:6" x14ac:dyDescent="0.3">
      <c r="F69454" s="193"/>
    </row>
    <row r="69455" spans="6:6" x14ac:dyDescent="0.3">
      <c r="F69455" s="193"/>
    </row>
    <row r="69456" spans="6:6" x14ac:dyDescent="0.3">
      <c r="F69456" s="193"/>
    </row>
    <row r="69457" spans="6:6" x14ac:dyDescent="0.3">
      <c r="F69457" s="193"/>
    </row>
    <row r="69458" spans="6:6" x14ac:dyDescent="0.3">
      <c r="F69458" s="193"/>
    </row>
    <row r="69459" spans="6:6" x14ac:dyDescent="0.3">
      <c r="F69459" s="193"/>
    </row>
    <row r="69460" spans="6:6" x14ac:dyDescent="0.3">
      <c r="F69460" s="193"/>
    </row>
    <row r="69461" spans="6:6" x14ac:dyDescent="0.3">
      <c r="F69461" s="193"/>
    </row>
    <row r="69462" spans="6:6" x14ac:dyDescent="0.3">
      <c r="F69462" s="193"/>
    </row>
    <row r="69463" spans="6:6" x14ac:dyDescent="0.3">
      <c r="F69463" s="193"/>
    </row>
    <row r="69464" spans="6:6" x14ac:dyDescent="0.3">
      <c r="F69464" s="193"/>
    </row>
    <row r="69465" spans="6:6" x14ac:dyDescent="0.3">
      <c r="F69465" s="193"/>
    </row>
    <row r="69466" spans="6:6" x14ac:dyDescent="0.3">
      <c r="F69466" s="193"/>
    </row>
    <row r="69467" spans="6:6" x14ac:dyDescent="0.3">
      <c r="F69467" s="193"/>
    </row>
    <row r="69468" spans="6:6" x14ac:dyDescent="0.3">
      <c r="F69468" s="193"/>
    </row>
    <row r="69469" spans="6:6" x14ac:dyDescent="0.3">
      <c r="F69469" s="193"/>
    </row>
    <row r="69470" spans="6:6" x14ac:dyDescent="0.3">
      <c r="F69470" s="193"/>
    </row>
    <row r="69471" spans="6:6" x14ac:dyDescent="0.3">
      <c r="F69471" s="193"/>
    </row>
    <row r="69472" spans="6:6" x14ac:dyDescent="0.3">
      <c r="F69472" s="193"/>
    </row>
    <row r="69473" spans="6:6" x14ac:dyDescent="0.3">
      <c r="F69473" s="193"/>
    </row>
    <row r="69474" spans="6:6" x14ac:dyDescent="0.3">
      <c r="F69474" s="193"/>
    </row>
    <row r="69475" spans="6:6" x14ac:dyDescent="0.3">
      <c r="F69475" s="193"/>
    </row>
    <row r="69476" spans="6:6" x14ac:dyDescent="0.3">
      <c r="F69476" s="193"/>
    </row>
    <row r="69477" spans="6:6" x14ac:dyDescent="0.3">
      <c r="F69477" s="193"/>
    </row>
    <row r="69478" spans="6:6" x14ac:dyDescent="0.3">
      <c r="F69478" s="193"/>
    </row>
    <row r="69479" spans="6:6" x14ac:dyDescent="0.3">
      <c r="F69479" s="193"/>
    </row>
    <row r="69480" spans="6:6" x14ac:dyDescent="0.3">
      <c r="F69480" s="193"/>
    </row>
    <row r="69481" spans="6:6" x14ac:dyDescent="0.3">
      <c r="F69481" s="193"/>
    </row>
    <row r="69482" spans="6:6" x14ac:dyDescent="0.3">
      <c r="F69482" s="193"/>
    </row>
    <row r="69483" spans="6:6" x14ac:dyDescent="0.3">
      <c r="F69483" s="193"/>
    </row>
    <row r="69484" spans="6:6" x14ac:dyDescent="0.3">
      <c r="F69484" s="193"/>
    </row>
    <row r="69485" spans="6:6" x14ac:dyDescent="0.3">
      <c r="F69485" s="193"/>
    </row>
    <row r="69486" spans="6:6" x14ac:dyDescent="0.3">
      <c r="F69486" s="193"/>
    </row>
    <row r="69487" spans="6:6" x14ac:dyDescent="0.3">
      <c r="F69487" s="193"/>
    </row>
    <row r="69488" spans="6:6" x14ac:dyDescent="0.3">
      <c r="F69488" s="193"/>
    </row>
    <row r="69489" spans="6:6" x14ac:dyDescent="0.3">
      <c r="F69489" s="193"/>
    </row>
    <row r="69490" spans="6:6" x14ac:dyDescent="0.3">
      <c r="F69490" s="193"/>
    </row>
    <row r="69491" spans="6:6" x14ac:dyDescent="0.3">
      <c r="F69491" s="193"/>
    </row>
    <row r="69492" spans="6:6" x14ac:dyDescent="0.3">
      <c r="F69492" s="193"/>
    </row>
    <row r="69493" spans="6:6" x14ac:dyDescent="0.3">
      <c r="F69493" s="193"/>
    </row>
    <row r="69494" spans="6:6" x14ac:dyDescent="0.3">
      <c r="F69494" s="193"/>
    </row>
    <row r="69495" spans="6:6" x14ac:dyDescent="0.3">
      <c r="F69495" s="193"/>
    </row>
    <row r="69496" spans="6:6" x14ac:dyDescent="0.3">
      <c r="F69496" s="193"/>
    </row>
    <row r="69497" spans="6:6" x14ac:dyDescent="0.3">
      <c r="F69497" s="193"/>
    </row>
    <row r="69498" spans="6:6" x14ac:dyDescent="0.3">
      <c r="F69498" s="193"/>
    </row>
    <row r="69499" spans="6:6" x14ac:dyDescent="0.3">
      <c r="F69499" s="193"/>
    </row>
    <row r="69500" spans="6:6" x14ac:dyDescent="0.3">
      <c r="F69500" s="193"/>
    </row>
    <row r="69501" spans="6:6" x14ac:dyDescent="0.3">
      <c r="F69501" s="193"/>
    </row>
    <row r="69502" spans="6:6" x14ac:dyDescent="0.3">
      <c r="F69502" s="193"/>
    </row>
    <row r="69503" spans="6:6" x14ac:dyDescent="0.3">
      <c r="F69503" s="193"/>
    </row>
    <row r="69504" spans="6:6" x14ac:dyDescent="0.3">
      <c r="F69504" s="193"/>
    </row>
    <row r="69505" spans="6:6" x14ac:dyDescent="0.3">
      <c r="F69505" s="193"/>
    </row>
    <row r="69506" spans="6:6" x14ac:dyDescent="0.3">
      <c r="F69506" s="193"/>
    </row>
    <row r="69507" spans="6:6" x14ac:dyDescent="0.3">
      <c r="F69507" s="193"/>
    </row>
    <row r="69508" spans="6:6" x14ac:dyDescent="0.3">
      <c r="F69508" s="193"/>
    </row>
    <row r="69509" spans="6:6" x14ac:dyDescent="0.3">
      <c r="F69509" s="193"/>
    </row>
    <row r="69510" spans="6:6" x14ac:dyDescent="0.3">
      <c r="F69510" s="193"/>
    </row>
    <row r="69511" spans="6:6" x14ac:dyDescent="0.3">
      <c r="F69511" s="193"/>
    </row>
    <row r="69512" spans="6:6" x14ac:dyDescent="0.3">
      <c r="F69512" s="193"/>
    </row>
    <row r="69513" spans="6:6" x14ac:dyDescent="0.3">
      <c r="F69513" s="193"/>
    </row>
    <row r="69514" spans="6:6" x14ac:dyDescent="0.3">
      <c r="F69514" s="193"/>
    </row>
    <row r="69515" spans="6:6" x14ac:dyDescent="0.3">
      <c r="F69515" s="193"/>
    </row>
    <row r="69516" spans="6:6" x14ac:dyDescent="0.3">
      <c r="F69516" s="193"/>
    </row>
    <row r="69517" spans="6:6" x14ac:dyDescent="0.3">
      <c r="F69517" s="193"/>
    </row>
    <row r="69518" spans="6:6" x14ac:dyDescent="0.3">
      <c r="F69518" s="193"/>
    </row>
    <row r="69519" spans="6:6" x14ac:dyDescent="0.3">
      <c r="F69519" s="193"/>
    </row>
    <row r="69520" spans="6:6" x14ac:dyDescent="0.3">
      <c r="F69520" s="193"/>
    </row>
    <row r="69521" spans="6:6" x14ac:dyDescent="0.3">
      <c r="F69521" s="193"/>
    </row>
    <row r="69522" spans="6:6" x14ac:dyDescent="0.3">
      <c r="F69522" s="193"/>
    </row>
    <row r="69523" spans="6:6" x14ac:dyDescent="0.3">
      <c r="F69523" s="193"/>
    </row>
    <row r="69524" spans="6:6" x14ac:dyDescent="0.3">
      <c r="F69524" s="193"/>
    </row>
    <row r="69525" spans="6:6" x14ac:dyDescent="0.3">
      <c r="F69525" s="193"/>
    </row>
    <row r="69526" spans="6:6" x14ac:dyDescent="0.3">
      <c r="F69526" s="193"/>
    </row>
    <row r="69527" spans="6:6" x14ac:dyDescent="0.3">
      <c r="F69527" s="193"/>
    </row>
    <row r="69528" spans="6:6" x14ac:dyDescent="0.3">
      <c r="F69528" s="193"/>
    </row>
    <row r="69529" spans="6:6" x14ac:dyDescent="0.3">
      <c r="F69529" s="193"/>
    </row>
    <row r="69530" spans="6:6" x14ac:dyDescent="0.3">
      <c r="F69530" s="193"/>
    </row>
    <row r="69531" spans="6:6" x14ac:dyDescent="0.3">
      <c r="F69531" s="193"/>
    </row>
    <row r="69532" spans="6:6" x14ac:dyDescent="0.3">
      <c r="F69532" s="193"/>
    </row>
    <row r="69533" spans="6:6" x14ac:dyDescent="0.3">
      <c r="F69533" s="193"/>
    </row>
    <row r="69534" spans="6:6" x14ac:dyDescent="0.3">
      <c r="F69534" s="193"/>
    </row>
    <row r="69535" spans="6:6" x14ac:dyDescent="0.3">
      <c r="F69535" s="193"/>
    </row>
    <row r="69536" spans="6:6" x14ac:dyDescent="0.3">
      <c r="F69536" s="193"/>
    </row>
    <row r="69537" spans="6:6" x14ac:dyDescent="0.3">
      <c r="F69537" s="193"/>
    </row>
    <row r="69538" spans="6:6" x14ac:dyDescent="0.3">
      <c r="F69538" s="193"/>
    </row>
    <row r="69539" spans="6:6" x14ac:dyDescent="0.3">
      <c r="F69539" s="193"/>
    </row>
    <row r="69540" spans="6:6" x14ac:dyDescent="0.3">
      <c r="F69540" s="193"/>
    </row>
    <row r="69541" spans="6:6" x14ac:dyDescent="0.3">
      <c r="F69541" s="193"/>
    </row>
    <row r="69542" spans="6:6" x14ac:dyDescent="0.3">
      <c r="F69542" s="193"/>
    </row>
    <row r="69543" spans="6:6" x14ac:dyDescent="0.3">
      <c r="F69543" s="193"/>
    </row>
    <row r="69544" spans="6:6" x14ac:dyDescent="0.3">
      <c r="F69544" s="193"/>
    </row>
    <row r="69545" spans="6:6" x14ac:dyDescent="0.3">
      <c r="F69545" s="193"/>
    </row>
    <row r="69546" spans="6:6" x14ac:dyDescent="0.3">
      <c r="F69546" s="193"/>
    </row>
    <row r="69547" spans="6:6" x14ac:dyDescent="0.3">
      <c r="F69547" s="193"/>
    </row>
    <row r="69548" spans="6:6" x14ac:dyDescent="0.3">
      <c r="F69548" s="193"/>
    </row>
    <row r="69549" spans="6:6" x14ac:dyDescent="0.3">
      <c r="F69549" s="193"/>
    </row>
    <row r="69550" spans="6:6" x14ac:dyDescent="0.3">
      <c r="F69550" s="193"/>
    </row>
    <row r="69551" spans="6:6" x14ac:dyDescent="0.3">
      <c r="F69551" s="193"/>
    </row>
    <row r="69552" spans="6:6" x14ac:dyDescent="0.3">
      <c r="F69552" s="193"/>
    </row>
    <row r="69553" spans="6:6" x14ac:dyDescent="0.3">
      <c r="F69553" s="193"/>
    </row>
    <row r="69554" spans="6:6" x14ac:dyDescent="0.3">
      <c r="F69554" s="193"/>
    </row>
    <row r="69555" spans="6:6" x14ac:dyDescent="0.3">
      <c r="F69555" s="193"/>
    </row>
    <row r="69556" spans="6:6" x14ac:dyDescent="0.3">
      <c r="F69556" s="193"/>
    </row>
    <row r="69557" spans="6:6" x14ac:dyDescent="0.3">
      <c r="F69557" s="193"/>
    </row>
    <row r="69558" spans="6:6" x14ac:dyDescent="0.3">
      <c r="F69558" s="193"/>
    </row>
    <row r="69559" spans="6:6" x14ac:dyDescent="0.3">
      <c r="F69559" s="193"/>
    </row>
    <row r="69560" spans="6:6" x14ac:dyDescent="0.3">
      <c r="F69560" s="193"/>
    </row>
    <row r="69561" spans="6:6" x14ac:dyDescent="0.3">
      <c r="F69561" s="193"/>
    </row>
    <row r="69562" spans="6:6" x14ac:dyDescent="0.3">
      <c r="F69562" s="193"/>
    </row>
    <row r="69563" spans="6:6" x14ac:dyDescent="0.3">
      <c r="F69563" s="193"/>
    </row>
    <row r="69564" spans="6:6" x14ac:dyDescent="0.3">
      <c r="F69564" s="193"/>
    </row>
    <row r="69565" spans="6:6" x14ac:dyDescent="0.3">
      <c r="F69565" s="193"/>
    </row>
    <row r="69566" spans="6:6" x14ac:dyDescent="0.3">
      <c r="F69566" s="193"/>
    </row>
    <row r="69567" spans="6:6" x14ac:dyDescent="0.3">
      <c r="F69567" s="193"/>
    </row>
    <row r="69568" spans="6:6" x14ac:dyDescent="0.3">
      <c r="F69568" s="193"/>
    </row>
    <row r="69569" spans="6:6" x14ac:dyDescent="0.3">
      <c r="F69569" s="193"/>
    </row>
    <row r="69570" spans="6:6" x14ac:dyDescent="0.3">
      <c r="F69570" s="193"/>
    </row>
    <row r="69571" spans="6:6" x14ac:dyDescent="0.3">
      <c r="F69571" s="193"/>
    </row>
    <row r="69572" spans="6:6" x14ac:dyDescent="0.3">
      <c r="F69572" s="193"/>
    </row>
    <row r="69573" spans="6:6" x14ac:dyDescent="0.3">
      <c r="F69573" s="193"/>
    </row>
    <row r="69574" spans="6:6" x14ac:dyDescent="0.3">
      <c r="F69574" s="193"/>
    </row>
    <row r="69575" spans="6:6" x14ac:dyDescent="0.3">
      <c r="F69575" s="193"/>
    </row>
    <row r="69576" spans="6:6" x14ac:dyDescent="0.3">
      <c r="F69576" s="193"/>
    </row>
    <row r="69577" spans="6:6" x14ac:dyDescent="0.3">
      <c r="F69577" s="193"/>
    </row>
    <row r="69578" spans="6:6" x14ac:dyDescent="0.3">
      <c r="F69578" s="193"/>
    </row>
    <row r="69579" spans="6:6" x14ac:dyDescent="0.3">
      <c r="F69579" s="193"/>
    </row>
    <row r="69580" spans="6:6" x14ac:dyDescent="0.3">
      <c r="F69580" s="193"/>
    </row>
    <row r="69581" spans="6:6" x14ac:dyDescent="0.3">
      <c r="F69581" s="193"/>
    </row>
    <row r="69582" spans="6:6" x14ac:dyDescent="0.3">
      <c r="F69582" s="193"/>
    </row>
    <row r="69583" spans="6:6" x14ac:dyDescent="0.3">
      <c r="F69583" s="193"/>
    </row>
    <row r="69584" spans="6:6" x14ac:dyDescent="0.3">
      <c r="F69584" s="193"/>
    </row>
    <row r="69585" spans="6:6" x14ac:dyDescent="0.3">
      <c r="F69585" s="193"/>
    </row>
    <row r="69586" spans="6:6" x14ac:dyDescent="0.3">
      <c r="F69586" s="193"/>
    </row>
    <row r="69587" spans="6:6" x14ac:dyDescent="0.3">
      <c r="F69587" s="193"/>
    </row>
    <row r="69588" spans="6:6" x14ac:dyDescent="0.3">
      <c r="F69588" s="193"/>
    </row>
    <row r="69589" spans="6:6" x14ac:dyDescent="0.3">
      <c r="F69589" s="193"/>
    </row>
    <row r="69590" spans="6:6" x14ac:dyDescent="0.3">
      <c r="F69590" s="193"/>
    </row>
    <row r="69591" spans="6:6" x14ac:dyDescent="0.3">
      <c r="F69591" s="193"/>
    </row>
    <row r="69592" spans="6:6" x14ac:dyDescent="0.3">
      <c r="F69592" s="193"/>
    </row>
    <row r="69593" spans="6:6" x14ac:dyDescent="0.3">
      <c r="F69593" s="193"/>
    </row>
    <row r="69594" spans="6:6" x14ac:dyDescent="0.3">
      <c r="F69594" s="193"/>
    </row>
    <row r="69595" spans="6:6" x14ac:dyDescent="0.3">
      <c r="F69595" s="193"/>
    </row>
    <row r="69596" spans="6:6" x14ac:dyDescent="0.3">
      <c r="F69596" s="193"/>
    </row>
    <row r="69597" spans="6:6" x14ac:dyDescent="0.3">
      <c r="F69597" s="193"/>
    </row>
    <row r="69598" spans="6:6" x14ac:dyDescent="0.3">
      <c r="F69598" s="193"/>
    </row>
    <row r="69599" spans="6:6" x14ac:dyDescent="0.3">
      <c r="F69599" s="193"/>
    </row>
    <row r="69600" spans="6:6" x14ac:dyDescent="0.3">
      <c r="F69600" s="193"/>
    </row>
    <row r="69601" spans="6:6" x14ac:dyDescent="0.3">
      <c r="F69601" s="193"/>
    </row>
    <row r="69602" spans="6:6" x14ac:dyDescent="0.3">
      <c r="F69602" s="193"/>
    </row>
    <row r="69603" spans="6:6" x14ac:dyDescent="0.3">
      <c r="F69603" s="193"/>
    </row>
    <row r="69604" spans="6:6" x14ac:dyDescent="0.3">
      <c r="F69604" s="193"/>
    </row>
    <row r="69605" spans="6:6" x14ac:dyDescent="0.3">
      <c r="F69605" s="193"/>
    </row>
    <row r="69606" spans="6:6" x14ac:dyDescent="0.3">
      <c r="F69606" s="193"/>
    </row>
    <row r="69607" spans="6:6" x14ac:dyDescent="0.3">
      <c r="F69607" s="193"/>
    </row>
    <row r="69608" spans="6:6" x14ac:dyDescent="0.3">
      <c r="F69608" s="193"/>
    </row>
    <row r="69609" spans="6:6" x14ac:dyDescent="0.3">
      <c r="F69609" s="193"/>
    </row>
    <row r="69610" spans="6:6" x14ac:dyDescent="0.3">
      <c r="F69610" s="193"/>
    </row>
    <row r="69611" spans="6:6" x14ac:dyDescent="0.3">
      <c r="F69611" s="193"/>
    </row>
    <row r="69612" spans="6:6" x14ac:dyDescent="0.3">
      <c r="F69612" s="193"/>
    </row>
    <row r="69613" spans="6:6" x14ac:dyDescent="0.3">
      <c r="F69613" s="193"/>
    </row>
    <row r="69614" spans="6:6" x14ac:dyDescent="0.3">
      <c r="F69614" s="193"/>
    </row>
    <row r="69615" spans="6:6" x14ac:dyDescent="0.3">
      <c r="F69615" s="193"/>
    </row>
    <row r="69616" spans="6:6" x14ac:dyDescent="0.3">
      <c r="F69616" s="193"/>
    </row>
    <row r="69617" spans="6:6" x14ac:dyDescent="0.3">
      <c r="F69617" s="193"/>
    </row>
    <row r="69618" spans="6:6" x14ac:dyDescent="0.3">
      <c r="F69618" s="193"/>
    </row>
    <row r="69619" spans="6:6" x14ac:dyDescent="0.3">
      <c r="F69619" s="193"/>
    </row>
    <row r="69620" spans="6:6" x14ac:dyDescent="0.3">
      <c r="F69620" s="193"/>
    </row>
    <row r="69621" spans="6:6" x14ac:dyDescent="0.3">
      <c r="F69621" s="193"/>
    </row>
    <row r="69622" spans="6:6" x14ac:dyDescent="0.3">
      <c r="F69622" s="193"/>
    </row>
    <row r="69623" spans="6:6" x14ac:dyDescent="0.3">
      <c r="F69623" s="193"/>
    </row>
    <row r="69624" spans="6:6" x14ac:dyDescent="0.3">
      <c r="F69624" s="193"/>
    </row>
    <row r="69625" spans="6:6" x14ac:dyDescent="0.3">
      <c r="F69625" s="193"/>
    </row>
    <row r="69626" spans="6:6" x14ac:dyDescent="0.3">
      <c r="F69626" s="193"/>
    </row>
    <row r="69627" spans="6:6" x14ac:dyDescent="0.3">
      <c r="F69627" s="193"/>
    </row>
    <row r="69628" spans="6:6" x14ac:dyDescent="0.3">
      <c r="F69628" s="193"/>
    </row>
    <row r="69629" spans="6:6" x14ac:dyDescent="0.3">
      <c r="F69629" s="193"/>
    </row>
    <row r="69630" spans="6:6" x14ac:dyDescent="0.3">
      <c r="F69630" s="193"/>
    </row>
    <row r="69631" spans="6:6" x14ac:dyDescent="0.3">
      <c r="F69631" s="193"/>
    </row>
    <row r="69632" spans="6:6" x14ac:dyDescent="0.3">
      <c r="F69632" s="193"/>
    </row>
    <row r="69633" spans="6:6" x14ac:dyDescent="0.3">
      <c r="F69633" s="193"/>
    </row>
    <row r="69634" spans="6:6" x14ac:dyDescent="0.3">
      <c r="F69634" s="193"/>
    </row>
    <row r="69635" spans="6:6" x14ac:dyDescent="0.3">
      <c r="F69635" s="193"/>
    </row>
    <row r="69636" spans="6:6" x14ac:dyDescent="0.3">
      <c r="F69636" s="193"/>
    </row>
    <row r="69637" spans="6:6" x14ac:dyDescent="0.3">
      <c r="F69637" s="193"/>
    </row>
    <row r="69638" spans="6:6" x14ac:dyDescent="0.3">
      <c r="F69638" s="193"/>
    </row>
    <row r="69639" spans="6:6" x14ac:dyDescent="0.3">
      <c r="F69639" s="193"/>
    </row>
    <row r="69640" spans="6:6" x14ac:dyDescent="0.3">
      <c r="F69640" s="193"/>
    </row>
    <row r="69641" spans="6:6" x14ac:dyDescent="0.3">
      <c r="F69641" s="193"/>
    </row>
    <row r="69642" spans="6:6" x14ac:dyDescent="0.3">
      <c r="F69642" s="193"/>
    </row>
    <row r="69643" spans="6:6" x14ac:dyDescent="0.3">
      <c r="F69643" s="193"/>
    </row>
    <row r="69644" spans="6:6" x14ac:dyDescent="0.3">
      <c r="F69644" s="193"/>
    </row>
    <row r="69645" spans="6:6" x14ac:dyDescent="0.3">
      <c r="F69645" s="193"/>
    </row>
    <row r="69646" spans="6:6" x14ac:dyDescent="0.3">
      <c r="F69646" s="193"/>
    </row>
    <row r="69647" spans="6:6" x14ac:dyDescent="0.3">
      <c r="F69647" s="193"/>
    </row>
    <row r="69648" spans="6:6" x14ac:dyDescent="0.3">
      <c r="F69648" s="193"/>
    </row>
    <row r="69649" spans="6:6" x14ac:dyDescent="0.3">
      <c r="F69649" s="193"/>
    </row>
    <row r="69650" spans="6:6" x14ac:dyDescent="0.3">
      <c r="F69650" s="193"/>
    </row>
    <row r="69651" spans="6:6" x14ac:dyDescent="0.3">
      <c r="F69651" s="193"/>
    </row>
    <row r="69652" spans="6:6" x14ac:dyDescent="0.3">
      <c r="F69652" s="193"/>
    </row>
    <row r="69653" spans="6:6" x14ac:dyDescent="0.3">
      <c r="F69653" s="193"/>
    </row>
    <row r="69654" spans="6:6" x14ac:dyDescent="0.3">
      <c r="F69654" s="193"/>
    </row>
    <row r="69655" spans="6:6" x14ac:dyDescent="0.3">
      <c r="F69655" s="193"/>
    </row>
    <row r="69656" spans="6:6" x14ac:dyDescent="0.3">
      <c r="F69656" s="193"/>
    </row>
    <row r="69657" spans="6:6" x14ac:dyDescent="0.3">
      <c r="F69657" s="193"/>
    </row>
    <row r="69658" spans="6:6" x14ac:dyDescent="0.3">
      <c r="F69658" s="193"/>
    </row>
    <row r="69659" spans="6:6" x14ac:dyDescent="0.3">
      <c r="F69659" s="193"/>
    </row>
    <row r="69660" spans="6:6" x14ac:dyDescent="0.3">
      <c r="F69660" s="193"/>
    </row>
    <row r="69661" spans="6:6" x14ac:dyDescent="0.3">
      <c r="F69661" s="193"/>
    </row>
    <row r="69662" spans="6:6" x14ac:dyDescent="0.3">
      <c r="F69662" s="193"/>
    </row>
    <row r="69663" spans="6:6" x14ac:dyDescent="0.3">
      <c r="F69663" s="193"/>
    </row>
    <row r="69664" spans="6:6" x14ac:dyDescent="0.3">
      <c r="F69664" s="193"/>
    </row>
    <row r="69665" spans="6:6" x14ac:dyDescent="0.3">
      <c r="F69665" s="193"/>
    </row>
    <row r="69666" spans="6:6" x14ac:dyDescent="0.3">
      <c r="F69666" s="193"/>
    </row>
    <row r="69667" spans="6:6" x14ac:dyDescent="0.3">
      <c r="F69667" s="193"/>
    </row>
    <row r="69668" spans="6:6" x14ac:dyDescent="0.3">
      <c r="F69668" s="193"/>
    </row>
    <row r="69669" spans="6:6" x14ac:dyDescent="0.3">
      <c r="F69669" s="193"/>
    </row>
    <row r="69670" spans="6:6" x14ac:dyDescent="0.3">
      <c r="F69670" s="193"/>
    </row>
    <row r="69671" spans="6:6" x14ac:dyDescent="0.3">
      <c r="F69671" s="193"/>
    </row>
    <row r="69672" spans="6:6" x14ac:dyDescent="0.3">
      <c r="F69672" s="193"/>
    </row>
    <row r="69673" spans="6:6" x14ac:dyDescent="0.3">
      <c r="F69673" s="193"/>
    </row>
    <row r="69674" spans="6:6" x14ac:dyDescent="0.3">
      <c r="F69674" s="193"/>
    </row>
    <row r="69675" spans="6:6" x14ac:dyDescent="0.3">
      <c r="F69675" s="193"/>
    </row>
    <row r="69676" spans="6:6" x14ac:dyDescent="0.3">
      <c r="F69676" s="193"/>
    </row>
    <row r="69677" spans="6:6" x14ac:dyDescent="0.3">
      <c r="F69677" s="193"/>
    </row>
    <row r="69678" spans="6:6" x14ac:dyDescent="0.3">
      <c r="F69678" s="193"/>
    </row>
    <row r="69679" spans="6:6" x14ac:dyDescent="0.3">
      <c r="F69679" s="193"/>
    </row>
    <row r="69680" spans="6:6" x14ac:dyDescent="0.3">
      <c r="F69680" s="193"/>
    </row>
    <row r="69681" spans="6:6" x14ac:dyDescent="0.3">
      <c r="F69681" s="193"/>
    </row>
    <row r="69682" spans="6:6" x14ac:dyDescent="0.3">
      <c r="F69682" s="193"/>
    </row>
    <row r="69683" spans="6:6" x14ac:dyDescent="0.3">
      <c r="F69683" s="193"/>
    </row>
    <row r="69684" spans="6:6" x14ac:dyDescent="0.3">
      <c r="F69684" s="193"/>
    </row>
    <row r="69685" spans="6:6" x14ac:dyDescent="0.3">
      <c r="F69685" s="193"/>
    </row>
    <row r="69686" spans="6:6" x14ac:dyDescent="0.3">
      <c r="F69686" s="193"/>
    </row>
    <row r="69687" spans="6:6" x14ac:dyDescent="0.3">
      <c r="F69687" s="193"/>
    </row>
    <row r="69688" spans="6:6" x14ac:dyDescent="0.3">
      <c r="F69688" s="193"/>
    </row>
    <row r="69689" spans="6:6" x14ac:dyDescent="0.3">
      <c r="F69689" s="193"/>
    </row>
    <row r="69690" spans="6:6" x14ac:dyDescent="0.3">
      <c r="F69690" s="193"/>
    </row>
    <row r="69691" spans="6:6" x14ac:dyDescent="0.3">
      <c r="F69691" s="193"/>
    </row>
    <row r="69692" spans="6:6" x14ac:dyDescent="0.3">
      <c r="F69692" s="193"/>
    </row>
    <row r="69693" spans="6:6" x14ac:dyDescent="0.3">
      <c r="F69693" s="193"/>
    </row>
    <row r="69694" spans="6:6" x14ac:dyDescent="0.3">
      <c r="F69694" s="193"/>
    </row>
    <row r="69695" spans="6:6" x14ac:dyDescent="0.3">
      <c r="F69695" s="193"/>
    </row>
    <row r="69696" spans="6:6" x14ac:dyDescent="0.3">
      <c r="F69696" s="193"/>
    </row>
    <row r="69697" spans="6:6" x14ac:dyDescent="0.3">
      <c r="F69697" s="193"/>
    </row>
    <row r="69698" spans="6:6" x14ac:dyDescent="0.3">
      <c r="F69698" s="193"/>
    </row>
    <row r="69699" spans="6:6" x14ac:dyDescent="0.3">
      <c r="F69699" s="193"/>
    </row>
    <row r="69700" spans="6:6" x14ac:dyDescent="0.3">
      <c r="F69700" s="193"/>
    </row>
    <row r="69701" spans="6:6" x14ac:dyDescent="0.3">
      <c r="F69701" s="193"/>
    </row>
    <row r="69702" spans="6:6" x14ac:dyDescent="0.3">
      <c r="F69702" s="193"/>
    </row>
    <row r="69703" spans="6:6" x14ac:dyDescent="0.3">
      <c r="F69703" s="193"/>
    </row>
    <row r="69704" spans="6:6" x14ac:dyDescent="0.3">
      <c r="F69704" s="193"/>
    </row>
    <row r="69705" spans="6:6" x14ac:dyDescent="0.3">
      <c r="F69705" s="193"/>
    </row>
    <row r="69706" spans="6:6" x14ac:dyDescent="0.3">
      <c r="F69706" s="193"/>
    </row>
    <row r="69707" spans="6:6" x14ac:dyDescent="0.3">
      <c r="F69707" s="193"/>
    </row>
    <row r="69708" spans="6:6" x14ac:dyDescent="0.3">
      <c r="F69708" s="193"/>
    </row>
    <row r="69709" spans="6:6" x14ac:dyDescent="0.3">
      <c r="F69709" s="193"/>
    </row>
    <row r="69710" spans="6:6" x14ac:dyDescent="0.3">
      <c r="F69710" s="193"/>
    </row>
    <row r="69711" spans="6:6" x14ac:dyDescent="0.3">
      <c r="F69711" s="193"/>
    </row>
    <row r="69712" spans="6:6" x14ac:dyDescent="0.3">
      <c r="F69712" s="193"/>
    </row>
    <row r="69713" spans="6:6" x14ac:dyDescent="0.3">
      <c r="F69713" s="193"/>
    </row>
    <row r="69714" spans="6:6" x14ac:dyDescent="0.3">
      <c r="F69714" s="193"/>
    </row>
    <row r="69715" spans="6:6" x14ac:dyDescent="0.3">
      <c r="F69715" s="193"/>
    </row>
    <row r="69716" spans="6:6" x14ac:dyDescent="0.3">
      <c r="F69716" s="193"/>
    </row>
    <row r="69717" spans="6:6" x14ac:dyDescent="0.3">
      <c r="F69717" s="193"/>
    </row>
    <row r="69718" spans="6:6" x14ac:dyDescent="0.3">
      <c r="F69718" s="193"/>
    </row>
    <row r="69719" spans="6:6" x14ac:dyDescent="0.3">
      <c r="F69719" s="193"/>
    </row>
    <row r="69720" spans="6:6" x14ac:dyDescent="0.3">
      <c r="F69720" s="193"/>
    </row>
    <row r="69721" spans="6:6" x14ac:dyDescent="0.3">
      <c r="F69721" s="193"/>
    </row>
    <row r="69722" spans="6:6" x14ac:dyDescent="0.3">
      <c r="F69722" s="193"/>
    </row>
    <row r="69723" spans="6:6" x14ac:dyDescent="0.3">
      <c r="F69723" s="193"/>
    </row>
    <row r="69724" spans="6:6" x14ac:dyDescent="0.3">
      <c r="F69724" s="193"/>
    </row>
    <row r="69725" spans="6:6" x14ac:dyDescent="0.3">
      <c r="F69725" s="193"/>
    </row>
    <row r="69726" spans="6:6" x14ac:dyDescent="0.3">
      <c r="F69726" s="193"/>
    </row>
    <row r="69727" spans="6:6" x14ac:dyDescent="0.3">
      <c r="F69727" s="193"/>
    </row>
    <row r="69728" spans="6:6" x14ac:dyDescent="0.3">
      <c r="F69728" s="193"/>
    </row>
    <row r="69729" spans="6:6" x14ac:dyDescent="0.3">
      <c r="F69729" s="193"/>
    </row>
    <row r="69730" spans="6:6" x14ac:dyDescent="0.3">
      <c r="F69730" s="193"/>
    </row>
    <row r="69731" spans="6:6" x14ac:dyDescent="0.3">
      <c r="F69731" s="193"/>
    </row>
    <row r="69732" spans="6:6" x14ac:dyDescent="0.3">
      <c r="F69732" s="193"/>
    </row>
    <row r="69733" spans="6:6" x14ac:dyDescent="0.3">
      <c r="F69733" s="193"/>
    </row>
    <row r="69734" spans="6:6" x14ac:dyDescent="0.3">
      <c r="F69734" s="193"/>
    </row>
    <row r="69735" spans="6:6" x14ac:dyDescent="0.3">
      <c r="F69735" s="193"/>
    </row>
    <row r="69736" spans="6:6" x14ac:dyDescent="0.3">
      <c r="F69736" s="193"/>
    </row>
    <row r="69737" spans="6:6" x14ac:dyDescent="0.3">
      <c r="F69737" s="193"/>
    </row>
    <row r="69738" spans="6:6" x14ac:dyDescent="0.3">
      <c r="F69738" s="193"/>
    </row>
    <row r="69739" spans="6:6" x14ac:dyDescent="0.3">
      <c r="F69739" s="193"/>
    </row>
    <row r="69740" spans="6:6" x14ac:dyDescent="0.3">
      <c r="F69740" s="193"/>
    </row>
    <row r="69741" spans="6:6" x14ac:dyDescent="0.3">
      <c r="F69741" s="193"/>
    </row>
    <row r="69742" spans="6:6" x14ac:dyDescent="0.3">
      <c r="F69742" s="193"/>
    </row>
    <row r="69743" spans="6:6" x14ac:dyDescent="0.3">
      <c r="F69743" s="193"/>
    </row>
    <row r="69744" spans="6:6" x14ac:dyDescent="0.3">
      <c r="F69744" s="193"/>
    </row>
    <row r="69745" spans="6:6" x14ac:dyDescent="0.3">
      <c r="F69745" s="193"/>
    </row>
    <row r="69746" spans="6:6" x14ac:dyDescent="0.3">
      <c r="F69746" s="193"/>
    </row>
    <row r="69747" spans="6:6" x14ac:dyDescent="0.3">
      <c r="F69747" s="193"/>
    </row>
    <row r="69748" spans="6:6" x14ac:dyDescent="0.3">
      <c r="F69748" s="193"/>
    </row>
    <row r="69749" spans="6:6" x14ac:dyDescent="0.3">
      <c r="F69749" s="193"/>
    </row>
    <row r="69750" spans="6:6" x14ac:dyDescent="0.3">
      <c r="F69750" s="193"/>
    </row>
    <row r="69751" spans="6:6" x14ac:dyDescent="0.3">
      <c r="F69751" s="193"/>
    </row>
    <row r="69752" spans="6:6" x14ac:dyDescent="0.3">
      <c r="F69752" s="193"/>
    </row>
    <row r="69753" spans="6:6" x14ac:dyDescent="0.3">
      <c r="F69753" s="193"/>
    </row>
    <row r="69754" spans="6:6" x14ac:dyDescent="0.3">
      <c r="F69754" s="193"/>
    </row>
    <row r="69755" spans="6:6" x14ac:dyDescent="0.3">
      <c r="F69755" s="193"/>
    </row>
    <row r="69756" spans="6:6" x14ac:dyDescent="0.3">
      <c r="F69756" s="193"/>
    </row>
    <row r="69757" spans="6:6" x14ac:dyDescent="0.3">
      <c r="F69757" s="193"/>
    </row>
    <row r="69758" spans="6:6" x14ac:dyDescent="0.3">
      <c r="F69758" s="193"/>
    </row>
    <row r="69759" spans="6:6" x14ac:dyDescent="0.3">
      <c r="F69759" s="193"/>
    </row>
    <row r="69760" spans="6:6" x14ac:dyDescent="0.3">
      <c r="F69760" s="193"/>
    </row>
    <row r="69761" spans="6:6" x14ac:dyDescent="0.3">
      <c r="F69761" s="193"/>
    </row>
    <row r="69762" spans="6:6" x14ac:dyDescent="0.3">
      <c r="F69762" s="193"/>
    </row>
    <row r="69763" spans="6:6" x14ac:dyDescent="0.3">
      <c r="F69763" s="193"/>
    </row>
    <row r="69764" spans="6:6" x14ac:dyDescent="0.3">
      <c r="F69764" s="193"/>
    </row>
    <row r="69765" spans="6:6" x14ac:dyDescent="0.3">
      <c r="F69765" s="193"/>
    </row>
    <row r="69766" spans="6:6" x14ac:dyDescent="0.3">
      <c r="F69766" s="193"/>
    </row>
    <row r="69767" spans="6:6" x14ac:dyDescent="0.3">
      <c r="F69767" s="193"/>
    </row>
    <row r="69768" spans="6:6" x14ac:dyDescent="0.3">
      <c r="F69768" s="193"/>
    </row>
    <row r="69769" spans="6:6" x14ac:dyDescent="0.3">
      <c r="F69769" s="193"/>
    </row>
    <row r="69770" spans="6:6" x14ac:dyDescent="0.3">
      <c r="F69770" s="193"/>
    </row>
    <row r="69771" spans="6:6" x14ac:dyDescent="0.3">
      <c r="F69771" s="193"/>
    </row>
    <row r="69772" spans="6:6" x14ac:dyDescent="0.3">
      <c r="F69772" s="193"/>
    </row>
    <row r="69773" spans="6:6" x14ac:dyDescent="0.3">
      <c r="F69773" s="193"/>
    </row>
    <row r="69774" spans="6:6" x14ac:dyDescent="0.3">
      <c r="F69774" s="193"/>
    </row>
    <row r="69775" spans="6:6" x14ac:dyDescent="0.3">
      <c r="F69775" s="193"/>
    </row>
    <row r="69776" spans="6:6" x14ac:dyDescent="0.3">
      <c r="F69776" s="193"/>
    </row>
    <row r="69777" spans="6:6" x14ac:dyDescent="0.3">
      <c r="F69777" s="193"/>
    </row>
    <row r="69778" spans="6:6" x14ac:dyDescent="0.3">
      <c r="F69778" s="193"/>
    </row>
    <row r="69779" spans="6:6" x14ac:dyDescent="0.3">
      <c r="F69779" s="193"/>
    </row>
    <row r="69780" spans="6:6" x14ac:dyDescent="0.3">
      <c r="F69780" s="193"/>
    </row>
    <row r="69781" spans="6:6" x14ac:dyDescent="0.3">
      <c r="F69781" s="193"/>
    </row>
    <row r="69782" spans="6:6" x14ac:dyDescent="0.3">
      <c r="F69782" s="193"/>
    </row>
    <row r="69783" spans="6:6" x14ac:dyDescent="0.3">
      <c r="F69783" s="193"/>
    </row>
    <row r="69784" spans="6:6" x14ac:dyDescent="0.3">
      <c r="F69784" s="193"/>
    </row>
    <row r="69785" spans="6:6" x14ac:dyDescent="0.3">
      <c r="F69785" s="193"/>
    </row>
    <row r="69786" spans="6:6" x14ac:dyDescent="0.3">
      <c r="F69786" s="193"/>
    </row>
    <row r="69787" spans="6:6" x14ac:dyDescent="0.3">
      <c r="F69787" s="193"/>
    </row>
    <row r="69788" spans="6:6" x14ac:dyDescent="0.3">
      <c r="F69788" s="193"/>
    </row>
    <row r="69789" spans="6:6" x14ac:dyDescent="0.3">
      <c r="F69789" s="193"/>
    </row>
    <row r="69790" spans="6:6" x14ac:dyDescent="0.3">
      <c r="F69790" s="193"/>
    </row>
    <row r="69791" spans="6:6" x14ac:dyDescent="0.3">
      <c r="F69791" s="193"/>
    </row>
    <row r="69792" spans="6:6" x14ac:dyDescent="0.3">
      <c r="F69792" s="193"/>
    </row>
    <row r="69793" spans="6:6" x14ac:dyDescent="0.3">
      <c r="F69793" s="193"/>
    </row>
    <row r="69794" spans="6:6" x14ac:dyDescent="0.3">
      <c r="F69794" s="193"/>
    </row>
    <row r="69795" spans="6:6" x14ac:dyDescent="0.3">
      <c r="F69795" s="193"/>
    </row>
    <row r="69796" spans="6:6" x14ac:dyDescent="0.3">
      <c r="F69796" s="193"/>
    </row>
    <row r="69797" spans="6:6" x14ac:dyDescent="0.3">
      <c r="F69797" s="193"/>
    </row>
    <row r="69798" spans="6:6" x14ac:dyDescent="0.3">
      <c r="F69798" s="193"/>
    </row>
    <row r="69799" spans="6:6" x14ac:dyDescent="0.3">
      <c r="F69799" s="193"/>
    </row>
    <row r="69800" spans="6:6" x14ac:dyDescent="0.3">
      <c r="F69800" s="193"/>
    </row>
    <row r="69801" spans="6:6" x14ac:dyDescent="0.3">
      <c r="F69801" s="193"/>
    </row>
    <row r="69802" spans="6:6" x14ac:dyDescent="0.3">
      <c r="F69802" s="193"/>
    </row>
    <row r="69803" spans="6:6" x14ac:dyDescent="0.3">
      <c r="F69803" s="193"/>
    </row>
    <row r="69804" spans="6:6" x14ac:dyDescent="0.3">
      <c r="F69804" s="193"/>
    </row>
    <row r="69805" spans="6:6" x14ac:dyDescent="0.3">
      <c r="F69805" s="193"/>
    </row>
    <row r="69806" spans="6:6" x14ac:dyDescent="0.3">
      <c r="F69806" s="193"/>
    </row>
    <row r="69807" spans="6:6" x14ac:dyDescent="0.3">
      <c r="F69807" s="193"/>
    </row>
    <row r="69808" spans="6:6" x14ac:dyDescent="0.3">
      <c r="F69808" s="193"/>
    </row>
    <row r="69809" spans="6:6" x14ac:dyDescent="0.3">
      <c r="F69809" s="193"/>
    </row>
    <row r="69810" spans="6:6" x14ac:dyDescent="0.3">
      <c r="F69810" s="193"/>
    </row>
    <row r="69811" spans="6:6" x14ac:dyDescent="0.3">
      <c r="F69811" s="193"/>
    </row>
    <row r="69812" spans="6:6" x14ac:dyDescent="0.3">
      <c r="F69812" s="193"/>
    </row>
    <row r="69813" spans="6:6" x14ac:dyDescent="0.3">
      <c r="F69813" s="193"/>
    </row>
    <row r="69814" spans="6:6" x14ac:dyDescent="0.3">
      <c r="F69814" s="193"/>
    </row>
    <row r="69815" spans="6:6" x14ac:dyDescent="0.3">
      <c r="F69815" s="193"/>
    </row>
    <row r="69816" spans="6:6" x14ac:dyDescent="0.3">
      <c r="F69816" s="193"/>
    </row>
    <row r="69817" spans="6:6" x14ac:dyDescent="0.3">
      <c r="F69817" s="193"/>
    </row>
    <row r="69818" spans="6:6" x14ac:dyDescent="0.3">
      <c r="F69818" s="193"/>
    </row>
    <row r="69819" spans="6:6" x14ac:dyDescent="0.3">
      <c r="F69819" s="193"/>
    </row>
    <row r="69820" spans="6:6" x14ac:dyDescent="0.3">
      <c r="F69820" s="193"/>
    </row>
    <row r="69821" spans="6:6" x14ac:dyDescent="0.3">
      <c r="F69821" s="193"/>
    </row>
    <row r="69822" spans="6:6" x14ac:dyDescent="0.3">
      <c r="F69822" s="193"/>
    </row>
    <row r="69823" spans="6:6" x14ac:dyDescent="0.3">
      <c r="F69823" s="193"/>
    </row>
    <row r="69824" spans="6:6" x14ac:dyDescent="0.3">
      <c r="F69824" s="193"/>
    </row>
    <row r="69825" spans="6:6" x14ac:dyDescent="0.3">
      <c r="F69825" s="193"/>
    </row>
    <row r="69826" spans="6:6" x14ac:dyDescent="0.3">
      <c r="F69826" s="193"/>
    </row>
    <row r="69827" spans="6:6" x14ac:dyDescent="0.3">
      <c r="F69827" s="193"/>
    </row>
    <row r="69828" spans="6:6" x14ac:dyDescent="0.3">
      <c r="F69828" s="193"/>
    </row>
    <row r="69829" spans="6:6" x14ac:dyDescent="0.3">
      <c r="F69829" s="193"/>
    </row>
    <row r="69830" spans="6:6" x14ac:dyDescent="0.3">
      <c r="F69830" s="193"/>
    </row>
    <row r="69831" spans="6:6" x14ac:dyDescent="0.3">
      <c r="F69831" s="193"/>
    </row>
    <row r="69832" spans="6:6" x14ac:dyDescent="0.3">
      <c r="F69832" s="193"/>
    </row>
    <row r="69833" spans="6:6" x14ac:dyDescent="0.3">
      <c r="F69833" s="193"/>
    </row>
    <row r="69834" spans="6:6" x14ac:dyDescent="0.3">
      <c r="F69834" s="193"/>
    </row>
    <row r="69835" spans="6:6" x14ac:dyDescent="0.3">
      <c r="F69835" s="193"/>
    </row>
    <row r="69836" spans="6:6" x14ac:dyDescent="0.3">
      <c r="F69836" s="193"/>
    </row>
    <row r="69837" spans="6:6" x14ac:dyDescent="0.3">
      <c r="F69837" s="193"/>
    </row>
    <row r="69838" spans="6:6" x14ac:dyDescent="0.3">
      <c r="F69838" s="193"/>
    </row>
    <row r="69839" spans="6:6" x14ac:dyDescent="0.3">
      <c r="F69839" s="193"/>
    </row>
    <row r="69840" spans="6:6" x14ac:dyDescent="0.3">
      <c r="F69840" s="193"/>
    </row>
    <row r="69841" spans="6:6" x14ac:dyDescent="0.3">
      <c r="F69841" s="193"/>
    </row>
    <row r="69842" spans="6:6" x14ac:dyDescent="0.3">
      <c r="F69842" s="193"/>
    </row>
    <row r="69843" spans="6:6" x14ac:dyDescent="0.3">
      <c r="F69843" s="193"/>
    </row>
    <row r="69844" spans="6:6" x14ac:dyDescent="0.3">
      <c r="F69844" s="193"/>
    </row>
    <row r="69845" spans="6:6" x14ac:dyDescent="0.3">
      <c r="F69845" s="193"/>
    </row>
    <row r="69846" spans="6:6" x14ac:dyDescent="0.3">
      <c r="F69846" s="193"/>
    </row>
    <row r="69847" spans="6:6" x14ac:dyDescent="0.3">
      <c r="F69847" s="193"/>
    </row>
    <row r="69848" spans="6:6" x14ac:dyDescent="0.3">
      <c r="F69848" s="193"/>
    </row>
    <row r="69849" spans="6:6" x14ac:dyDescent="0.3">
      <c r="F69849" s="193"/>
    </row>
    <row r="69850" spans="6:6" x14ac:dyDescent="0.3">
      <c r="F69850" s="193"/>
    </row>
    <row r="69851" spans="6:6" x14ac:dyDescent="0.3">
      <c r="F69851" s="193"/>
    </row>
    <row r="69852" spans="6:6" x14ac:dyDescent="0.3">
      <c r="F69852" s="193"/>
    </row>
    <row r="69853" spans="6:6" x14ac:dyDescent="0.3">
      <c r="F69853" s="193"/>
    </row>
    <row r="69854" spans="6:6" x14ac:dyDescent="0.3">
      <c r="F69854" s="193"/>
    </row>
    <row r="69855" spans="6:6" x14ac:dyDescent="0.3">
      <c r="F69855" s="193"/>
    </row>
    <row r="69856" spans="6:6" x14ac:dyDescent="0.3">
      <c r="F69856" s="193"/>
    </row>
    <row r="69857" spans="6:6" x14ac:dyDescent="0.3">
      <c r="F69857" s="193"/>
    </row>
    <row r="69858" spans="6:6" x14ac:dyDescent="0.3">
      <c r="F69858" s="193"/>
    </row>
    <row r="69859" spans="6:6" x14ac:dyDescent="0.3">
      <c r="F69859" s="193"/>
    </row>
    <row r="69860" spans="6:6" x14ac:dyDescent="0.3">
      <c r="F69860" s="193"/>
    </row>
    <row r="69861" spans="6:6" x14ac:dyDescent="0.3">
      <c r="F69861" s="193"/>
    </row>
    <row r="69862" spans="6:6" x14ac:dyDescent="0.3">
      <c r="F69862" s="193"/>
    </row>
    <row r="69863" spans="6:6" x14ac:dyDescent="0.3">
      <c r="F69863" s="193"/>
    </row>
    <row r="69864" spans="6:6" x14ac:dyDescent="0.3">
      <c r="F69864" s="193"/>
    </row>
    <row r="69865" spans="6:6" x14ac:dyDescent="0.3">
      <c r="F69865" s="193"/>
    </row>
    <row r="69866" spans="6:6" x14ac:dyDescent="0.3">
      <c r="F69866" s="193"/>
    </row>
    <row r="69867" spans="6:6" x14ac:dyDescent="0.3">
      <c r="F69867" s="193"/>
    </row>
    <row r="69868" spans="6:6" x14ac:dyDescent="0.3">
      <c r="F69868" s="193"/>
    </row>
    <row r="69869" spans="6:6" x14ac:dyDescent="0.3">
      <c r="F69869" s="193"/>
    </row>
    <row r="69870" spans="6:6" x14ac:dyDescent="0.3">
      <c r="F69870" s="193"/>
    </row>
    <row r="69871" spans="6:6" x14ac:dyDescent="0.3">
      <c r="F69871" s="193"/>
    </row>
    <row r="69872" spans="6:6" x14ac:dyDescent="0.3">
      <c r="F69872" s="193"/>
    </row>
    <row r="69873" spans="6:6" x14ac:dyDescent="0.3">
      <c r="F69873" s="193"/>
    </row>
    <row r="69874" spans="6:6" x14ac:dyDescent="0.3">
      <c r="F69874" s="193"/>
    </row>
    <row r="69875" spans="6:6" x14ac:dyDescent="0.3">
      <c r="F69875" s="193"/>
    </row>
    <row r="69876" spans="6:6" x14ac:dyDescent="0.3">
      <c r="F69876" s="193"/>
    </row>
    <row r="69877" spans="6:6" x14ac:dyDescent="0.3">
      <c r="F69877" s="193"/>
    </row>
    <row r="69878" spans="6:6" x14ac:dyDescent="0.3">
      <c r="F69878" s="193"/>
    </row>
    <row r="69879" spans="6:6" x14ac:dyDescent="0.3">
      <c r="F69879" s="193"/>
    </row>
    <row r="69880" spans="6:6" x14ac:dyDescent="0.3">
      <c r="F69880" s="193"/>
    </row>
    <row r="69881" spans="6:6" x14ac:dyDescent="0.3">
      <c r="F69881" s="193"/>
    </row>
    <row r="69882" spans="6:6" x14ac:dyDescent="0.3">
      <c r="F69882" s="193"/>
    </row>
    <row r="69883" spans="6:6" x14ac:dyDescent="0.3">
      <c r="F69883" s="193"/>
    </row>
    <row r="69884" spans="6:6" x14ac:dyDescent="0.3">
      <c r="F69884" s="193"/>
    </row>
    <row r="69885" spans="6:6" x14ac:dyDescent="0.3">
      <c r="F69885" s="193"/>
    </row>
    <row r="69886" spans="6:6" x14ac:dyDescent="0.3">
      <c r="F69886" s="193"/>
    </row>
    <row r="69887" spans="6:6" x14ac:dyDescent="0.3">
      <c r="F69887" s="193"/>
    </row>
    <row r="69888" spans="6:6" x14ac:dyDescent="0.3">
      <c r="F69888" s="193"/>
    </row>
    <row r="69889" spans="6:6" x14ac:dyDescent="0.3">
      <c r="F69889" s="193"/>
    </row>
    <row r="69890" spans="6:6" x14ac:dyDescent="0.3">
      <c r="F69890" s="193"/>
    </row>
    <row r="69891" spans="6:6" x14ac:dyDescent="0.3">
      <c r="F69891" s="193"/>
    </row>
    <row r="69892" spans="6:6" x14ac:dyDescent="0.3">
      <c r="F69892" s="193"/>
    </row>
    <row r="69893" spans="6:6" x14ac:dyDescent="0.3">
      <c r="F69893" s="193"/>
    </row>
    <row r="69894" spans="6:6" x14ac:dyDescent="0.3">
      <c r="F69894" s="193"/>
    </row>
    <row r="69895" spans="6:6" x14ac:dyDescent="0.3">
      <c r="F69895" s="193"/>
    </row>
    <row r="69896" spans="6:6" x14ac:dyDescent="0.3">
      <c r="F69896" s="193"/>
    </row>
    <row r="69897" spans="6:6" x14ac:dyDescent="0.3">
      <c r="F69897" s="193"/>
    </row>
    <row r="69898" spans="6:6" x14ac:dyDescent="0.3">
      <c r="F69898" s="193"/>
    </row>
    <row r="69899" spans="6:6" x14ac:dyDescent="0.3">
      <c r="F69899" s="193"/>
    </row>
    <row r="69900" spans="6:6" x14ac:dyDescent="0.3">
      <c r="F69900" s="193"/>
    </row>
    <row r="69901" spans="6:6" x14ac:dyDescent="0.3">
      <c r="F69901" s="193"/>
    </row>
    <row r="69902" spans="6:6" x14ac:dyDescent="0.3">
      <c r="F69902" s="193"/>
    </row>
    <row r="69903" spans="6:6" x14ac:dyDescent="0.3">
      <c r="F69903" s="193"/>
    </row>
    <row r="69904" spans="6:6" x14ac:dyDescent="0.3">
      <c r="F69904" s="193"/>
    </row>
    <row r="69905" spans="6:6" x14ac:dyDescent="0.3">
      <c r="F69905" s="193"/>
    </row>
    <row r="69906" spans="6:6" x14ac:dyDescent="0.3">
      <c r="F69906" s="193"/>
    </row>
    <row r="69907" spans="6:6" x14ac:dyDescent="0.3">
      <c r="F69907" s="193"/>
    </row>
    <row r="69908" spans="6:6" x14ac:dyDescent="0.3">
      <c r="F69908" s="193"/>
    </row>
    <row r="69909" spans="6:6" x14ac:dyDescent="0.3">
      <c r="F69909" s="193"/>
    </row>
    <row r="69910" spans="6:6" x14ac:dyDescent="0.3">
      <c r="F69910" s="193"/>
    </row>
    <row r="69911" spans="6:6" x14ac:dyDescent="0.3">
      <c r="F69911" s="193"/>
    </row>
    <row r="69912" spans="6:6" x14ac:dyDescent="0.3">
      <c r="F69912" s="193"/>
    </row>
    <row r="69913" spans="6:6" x14ac:dyDescent="0.3">
      <c r="F69913" s="193"/>
    </row>
    <row r="69914" spans="6:6" x14ac:dyDescent="0.3">
      <c r="F69914" s="193"/>
    </row>
    <row r="69915" spans="6:6" x14ac:dyDescent="0.3">
      <c r="F69915" s="193"/>
    </row>
    <row r="69916" spans="6:6" x14ac:dyDescent="0.3">
      <c r="F69916" s="193"/>
    </row>
    <row r="69917" spans="6:6" x14ac:dyDescent="0.3">
      <c r="F69917" s="193"/>
    </row>
    <row r="69918" spans="6:6" x14ac:dyDescent="0.3">
      <c r="F69918" s="193"/>
    </row>
    <row r="69919" spans="6:6" x14ac:dyDescent="0.3">
      <c r="F69919" s="193"/>
    </row>
    <row r="69920" spans="6:6" x14ac:dyDescent="0.3">
      <c r="F69920" s="193"/>
    </row>
    <row r="69921" spans="6:6" x14ac:dyDescent="0.3">
      <c r="F69921" s="193"/>
    </row>
    <row r="69922" spans="6:6" x14ac:dyDescent="0.3">
      <c r="F69922" s="193"/>
    </row>
    <row r="69923" spans="6:6" x14ac:dyDescent="0.3">
      <c r="F69923" s="193"/>
    </row>
    <row r="69924" spans="6:6" x14ac:dyDescent="0.3">
      <c r="F69924" s="193"/>
    </row>
    <row r="69925" spans="6:6" x14ac:dyDescent="0.3">
      <c r="F69925" s="193"/>
    </row>
    <row r="69926" spans="6:6" x14ac:dyDescent="0.3">
      <c r="F69926" s="193"/>
    </row>
    <row r="69927" spans="6:6" x14ac:dyDescent="0.3">
      <c r="F69927" s="193"/>
    </row>
    <row r="69928" spans="6:6" x14ac:dyDescent="0.3">
      <c r="F69928" s="193"/>
    </row>
    <row r="69929" spans="6:6" x14ac:dyDescent="0.3">
      <c r="F69929" s="193"/>
    </row>
    <row r="69930" spans="6:6" x14ac:dyDescent="0.3">
      <c r="F69930" s="193"/>
    </row>
    <row r="69931" spans="6:6" x14ac:dyDescent="0.3">
      <c r="F69931" s="193"/>
    </row>
    <row r="69932" spans="6:6" x14ac:dyDescent="0.3">
      <c r="F69932" s="193"/>
    </row>
    <row r="69933" spans="6:6" x14ac:dyDescent="0.3">
      <c r="F69933" s="193"/>
    </row>
    <row r="69934" spans="6:6" x14ac:dyDescent="0.3">
      <c r="F69934" s="193"/>
    </row>
    <row r="69935" spans="6:6" x14ac:dyDescent="0.3">
      <c r="F69935" s="193"/>
    </row>
    <row r="69936" spans="6:6" x14ac:dyDescent="0.3">
      <c r="F69936" s="193"/>
    </row>
    <row r="69937" spans="6:6" x14ac:dyDescent="0.3">
      <c r="F69937" s="193"/>
    </row>
    <row r="69938" spans="6:6" x14ac:dyDescent="0.3">
      <c r="F69938" s="193"/>
    </row>
    <row r="69939" spans="6:6" x14ac:dyDescent="0.3">
      <c r="F69939" s="193"/>
    </row>
    <row r="69940" spans="6:6" x14ac:dyDescent="0.3">
      <c r="F69940" s="193"/>
    </row>
    <row r="69941" spans="6:6" x14ac:dyDescent="0.3">
      <c r="F69941" s="193"/>
    </row>
    <row r="69942" spans="6:6" x14ac:dyDescent="0.3">
      <c r="F69942" s="193"/>
    </row>
    <row r="69943" spans="6:6" x14ac:dyDescent="0.3">
      <c r="F69943" s="193"/>
    </row>
    <row r="69944" spans="6:6" x14ac:dyDescent="0.3">
      <c r="F69944" s="193"/>
    </row>
    <row r="69945" spans="6:6" x14ac:dyDescent="0.3">
      <c r="F69945" s="193"/>
    </row>
    <row r="69946" spans="6:6" x14ac:dyDescent="0.3">
      <c r="F69946" s="193"/>
    </row>
    <row r="69947" spans="6:6" x14ac:dyDescent="0.3">
      <c r="F69947" s="193"/>
    </row>
    <row r="69948" spans="6:6" x14ac:dyDescent="0.3">
      <c r="F69948" s="193"/>
    </row>
    <row r="69949" spans="6:6" x14ac:dyDescent="0.3">
      <c r="F69949" s="193"/>
    </row>
    <row r="69950" spans="6:6" x14ac:dyDescent="0.3">
      <c r="F69950" s="193"/>
    </row>
    <row r="69951" spans="6:6" x14ac:dyDescent="0.3">
      <c r="F69951" s="193"/>
    </row>
    <row r="69952" spans="6:6" x14ac:dyDescent="0.3">
      <c r="F69952" s="193"/>
    </row>
    <row r="69953" spans="6:6" x14ac:dyDescent="0.3">
      <c r="F69953" s="193"/>
    </row>
    <row r="69954" spans="6:6" x14ac:dyDescent="0.3">
      <c r="F69954" s="193"/>
    </row>
    <row r="69955" spans="6:6" x14ac:dyDescent="0.3">
      <c r="F69955" s="193"/>
    </row>
    <row r="69956" spans="6:6" x14ac:dyDescent="0.3">
      <c r="F69956" s="193"/>
    </row>
    <row r="69957" spans="6:6" x14ac:dyDescent="0.3">
      <c r="F69957" s="193"/>
    </row>
    <row r="69958" spans="6:6" x14ac:dyDescent="0.3">
      <c r="F69958" s="193"/>
    </row>
    <row r="69959" spans="6:6" x14ac:dyDescent="0.3">
      <c r="F69959" s="193"/>
    </row>
    <row r="69960" spans="6:6" x14ac:dyDescent="0.3">
      <c r="F69960" s="193"/>
    </row>
    <row r="69961" spans="6:6" x14ac:dyDescent="0.3">
      <c r="F69961" s="193"/>
    </row>
    <row r="69962" spans="6:6" x14ac:dyDescent="0.3">
      <c r="F69962" s="193"/>
    </row>
    <row r="69963" spans="6:6" x14ac:dyDescent="0.3">
      <c r="F69963" s="193"/>
    </row>
    <row r="69964" spans="6:6" x14ac:dyDescent="0.3">
      <c r="F69964" s="193"/>
    </row>
    <row r="69965" spans="6:6" x14ac:dyDescent="0.3">
      <c r="F69965" s="193"/>
    </row>
    <row r="69966" spans="6:6" x14ac:dyDescent="0.3">
      <c r="F69966" s="193"/>
    </row>
    <row r="69967" spans="6:6" x14ac:dyDescent="0.3">
      <c r="F69967" s="193"/>
    </row>
    <row r="69968" spans="6:6" x14ac:dyDescent="0.3">
      <c r="F69968" s="193"/>
    </row>
    <row r="69969" spans="6:6" x14ac:dyDescent="0.3">
      <c r="F69969" s="193"/>
    </row>
    <row r="69970" spans="6:6" x14ac:dyDescent="0.3">
      <c r="F69970" s="193"/>
    </row>
    <row r="69971" spans="6:6" x14ac:dyDescent="0.3">
      <c r="F69971" s="193"/>
    </row>
    <row r="69972" spans="6:6" x14ac:dyDescent="0.3">
      <c r="F69972" s="193"/>
    </row>
    <row r="69973" spans="6:6" x14ac:dyDescent="0.3">
      <c r="F69973" s="193"/>
    </row>
    <row r="69974" spans="6:6" x14ac:dyDescent="0.3">
      <c r="F69974" s="193"/>
    </row>
    <row r="69975" spans="6:6" x14ac:dyDescent="0.3">
      <c r="F69975" s="193"/>
    </row>
    <row r="69976" spans="6:6" x14ac:dyDescent="0.3">
      <c r="F69976" s="193"/>
    </row>
    <row r="69977" spans="6:6" x14ac:dyDescent="0.3">
      <c r="F69977" s="193"/>
    </row>
    <row r="69978" spans="6:6" x14ac:dyDescent="0.3">
      <c r="F69978" s="193"/>
    </row>
    <row r="69979" spans="6:6" x14ac:dyDescent="0.3">
      <c r="F69979" s="193"/>
    </row>
    <row r="69980" spans="6:6" x14ac:dyDescent="0.3">
      <c r="F69980" s="193"/>
    </row>
    <row r="69981" spans="6:6" x14ac:dyDescent="0.3">
      <c r="F69981" s="193"/>
    </row>
    <row r="69982" spans="6:6" x14ac:dyDescent="0.3">
      <c r="F69982" s="193"/>
    </row>
    <row r="69983" spans="6:6" x14ac:dyDescent="0.3">
      <c r="F69983" s="193"/>
    </row>
    <row r="69984" spans="6:6" x14ac:dyDescent="0.3">
      <c r="F69984" s="193"/>
    </row>
    <row r="69985" spans="6:6" x14ac:dyDescent="0.3">
      <c r="F69985" s="193"/>
    </row>
    <row r="69986" spans="6:6" x14ac:dyDescent="0.3">
      <c r="F69986" s="193"/>
    </row>
    <row r="69987" spans="6:6" x14ac:dyDescent="0.3">
      <c r="F69987" s="193"/>
    </row>
    <row r="69988" spans="6:6" x14ac:dyDescent="0.3">
      <c r="F69988" s="193"/>
    </row>
    <row r="69989" spans="6:6" x14ac:dyDescent="0.3">
      <c r="F69989" s="193"/>
    </row>
    <row r="69990" spans="6:6" x14ac:dyDescent="0.3">
      <c r="F69990" s="193"/>
    </row>
    <row r="69991" spans="6:6" x14ac:dyDescent="0.3">
      <c r="F69991" s="193"/>
    </row>
    <row r="69992" spans="6:6" x14ac:dyDescent="0.3">
      <c r="F69992" s="193"/>
    </row>
    <row r="69993" spans="6:6" x14ac:dyDescent="0.3">
      <c r="F69993" s="193"/>
    </row>
    <row r="69994" spans="6:6" x14ac:dyDescent="0.3">
      <c r="F69994" s="193"/>
    </row>
    <row r="69995" spans="6:6" x14ac:dyDescent="0.3">
      <c r="F69995" s="193"/>
    </row>
    <row r="69996" spans="6:6" x14ac:dyDescent="0.3">
      <c r="F69996" s="193"/>
    </row>
    <row r="69997" spans="6:6" x14ac:dyDescent="0.3">
      <c r="F69997" s="193"/>
    </row>
    <row r="69998" spans="6:6" x14ac:dyDescent="0.3">
      <c r="F69998" s="193"/>
    </row>
    <row r="69999" spans="6:6" x14ac:dyDescent="0.3">
      <c r="F69999" s="193"/>
    </row>
    <row r="70000" spans="6:6" x14ac:dyDescent="0.3">
      <c r="F70000" s="193"/>
    </row>
    <row r="70001" spans="6:6" x14ac:dyDescent="0.3">
      <c r="F70001" s="193"/>
    </row>
    <row r="70002" spans="6:6" x14ac:dyDescent="0.3">
      <c r="F70002" s="193"/>
    </row>
    <row r="70003" spans="6:6" x14ac:dyDescent="0.3">
      <c r="F70003" s="193"/>
    </row>
    <row r="70004" spans="6:6" x14ac:dyDescent="0.3">
      <c r="F70004" s="193"/>
    </row>
    <row r="70005" spans="6:6" x14ac:dyDescent="0.3">
      <c r="F70005" s="193"/>
    </row>
    <row r="70006" spans="6:6" x14ac:dyDescent="0.3">
      <c r="F70006" s="193"/>
    </row>
    <row r="70007" spans="6:6" x14ac:dyDescent="0.3">
      <c r="F70007" s="193"/>
    </row>
    <row r="70008" spans="6:6" x14ac:dyDescent="0.3">
      <c r="F70008" s="193"/>
    </row>
    <row r="70009" spans="6:6" x14ac:dyDescent="0.3">
      <c r="F70009" s="193"/>
    </row>
    <row r="70010" spans="6:6" x14ac:dyDescent="0.3">
      <c r="F70010" s="193"/>
    </row>
    <row r="70011" spans="6:6" x14ac:dyDescent="0.3">
      <c r="F70011" s="193"/>
    </row>
    <row r="70012" spans="6:6" x14ac:dyDescent="0.3">
      <c r="F70012" s="193"/>
    </row>
    <row r="70013" spans="6:6" x14ac:dyDescent="0.3">
      <c r="F70013" s="193"/>
    </row>
    <row r="70014" spans="6:6" x14ac:dyDescent="0.3">
      <c r="F70014" s="193"/>
    </row>
    <row r="70015" spans="6:6" x14ac:dyDescent="0.3">
      <c r="F70015" s="193"/>
    </row>
    <row r="70016" spans="6:6" x14ac:dyDescent="0.3">
      <c r="F70016" s="193"/>
    </row>
    <row r="70017" spans="6:6" x14ac:dyDescent="0.3">
      <c r="F70017" s="193"/>
    </row>
    <row r="70018" spans="6:6" x14ac:dyDescent="0.3">
      <c r="F70018" s="193"/>
    </row>
    <row r="70019" spans="6:6" x14ac:dyDescent="0.3">
      <c r="F70019" s="193"/>
    </row>
    <row r="70020" spans="6:6" x14ac:dyDescent="0.3">
      <c r="F70020" s="193"/>
    </row>
    <row r="70021" spans="6:6" x14ac:dyDescent="0.3">
      <c r="F70021" s="193"/>
    </row>
    <row r="70022" spans="6:6" x14ac:dyDescent="0.3">
      <c r="F70022" s="193"/>
    </row>
    <row r="70023" spans="6:6" x14ac:dyDescent="0.3">
      <c r="F70023" s="193"/>
    </row>
    <row r="70024" spans="6:6" x14ac:dyDescent="0.3">
      <c r="F70024" s="193"/>
    </row>
    <row r="70025" spans="6:6" x14ac:dyDescent="0.3">
      <c r="F70025" s="193"/>
    </row>
    <row r="70026" spans="6:6" x14ac:dyDescent="0.3">
      <c r="F70026" s="193"/>
    </row>
    <row r="70027" spans="6:6" x14ac:dyDescent="0.3">
      <c r="F70027" s="193"/>
    </row>
    <row r="70028" spans="6:6" x14ac:dyDescent="0.3">
      <c r="F70028" s="193"/>
    </row>
    <row r="70029" spans="6:6" x14ac:dyDescent="0.3">
      <c r="F70029" s="193"/>
    </row>
    <row r="70030" spans="6:6" x14ac:dyDescent="0.3">
      <c r="F70030" s="193"/>
    </row>
    <row r="70031" spans="6:6" x14ac:dyDescent="0.3">
      <c r="F70031" s="193"/>
    </row>
    <row r="70032" spans="6:6" x14ac:dyDescent="0.3">
      <c r="F70032" s="193"/>
    </row>
    <row r="70033" spans="6:6" x14ac:dyDescent="0.3">
      <c r="F70033" s="193"/>
    </row>
    <row r="70034" spans="6:6" x14ac:dyDescent="0.3">
      <c r="F70034" s="193"/>
    </row>
    <row r="70035" spans="6:6" x14ac:dyDescent="0.3">
      <c r="F70035" s="193"/>
    </row>
    <row r="70036" spans="6:6" x14ac:dyDescent="0.3">
      <c r="F70036" s="193"/>
    </row>
    <row r="70037" spans="6:6" x14ac:dyDescent="0.3">
      <c r="F70037" s="193"/>
    </row>
    <row r="70038" spans="6:6" x14ac:dyDescent="0.3">
      <c r="F70038" s="193"/>
    </row>
    <row r="70039" spans="6:6" x14ac:dyDescent="0.3">
      <c r="F70039" s="193"/>
    </row>
    <row r="70040" spans="6:6" x14ac:dyDescent="0.3">
      <c r="F70040" s="193"/>
    </row>
    <row r="70041" spans="6:6" x14ac:dyDescent="0.3">
      <c r="F70041" s="193"/>
    </row>
    <row r="70042" spans="6:6" x14ac:dyDescent="0.3">
      <c r="F70042" s="193"/>
    </row>
    <row r="70043" spans="6:6" x14ac:dyDescent="0.3">
      <c r="F70043" s="193"/>
    </row>
    <row r="70044" spans="6:6" x14ac:dyDescent="0.3">
      <c r="F70044" s="193"/>
    </row>
    <row r="70045" spans="6:6" x14ac:dyDescent="0.3">
      <c r="F70045" s="193"/>
    </row>
    <row r="70046" spans="6:6" x14ac:dyDescent="0.3">
      <c r="F70046" s="193"/>
    </row>
    <row r="70047" spans="6:6" x14ac:dyDescent="0.3">
      <c r="F70047" s="193"/>
    </row>
    <row r="70048" spans="6:6" x14ac:dyDescent="0.3">
      <c r="F70048" s="193"/>
    </row>
    <row r="70049" spans="6:6" x14ac:dyDescent="0.3">
      <c r="F70049" s="193"/>
    </row>
    <row r="70050" spans="6:6" x14ac:dyDescent="0.3">
      <c r="F70050" s="193"/>
    </row>
    <row r="70051" spans="6:6" x14ac:dyDescent="0.3">
      <c r="F70051" s="193"/>
    </row>
    <row r="70052" spans="6:6" x14ac:dyDescent="0.3">
      <c r="F70052" s="193"/>
    </row>
    <row r="70053" spans="6:6" x14ac:dyDescent="0.3">
      <c r="F70053" s="193"/>
    </row>
    <row r="70054" spans="6:6" x14ac:dyDescent="0.3">
      <c r="F70054" s="193"/>
    </row>
    <row r="70055" spans="6:6" x14ac:dyDescent="0.3">
      <c r="F70055" s="193"/>
    </row>
    <row r="70056" spans="6:6" x14ac:dyDescent="0.3">
      <c r="F70056" s="193"/>
    </row>
    <row r="70057" spans="6:6" x14ac:dyDescent="0.3">
      <c r="F70057" s="193"/>
    </row>
    <row r="70058" spans="6:6" x14ac:dyDescent="0.3">
      <c r="F70058" s="193"/>
    </row>
    <row r="70059" spans="6:6" x14ac:dyDescent="0.3">
      <c r="F70059" s="193"/>
    </row>
    <row r="70060" spans="6:6" x14ac:dyDescent="0.3">
      <c r="F70060" s="193"/>
    </row>
    <row r="70061" spans="6:6" x14ac:dyDescent="0.3">
      <c r="F70061" s="193"/>
    </row>
    <row r="70062" spans="6:6" x14ac:dyDescent="0.3">
      <c r="F70062" s="193"/>
    </row>
    <row r="70063" spans="6:6" x14ac:dyDescent="0.3">
      <c r="F70063" s="193"/>
    </row>
    <row r="70064" spans="6:6" x14ac:dyDescent="0.3">
      <c r="F70064" s="193"/>
    </row>
    <row r="70065" spans="6:6" x14ac:dyDescent="0.3">
      <c r="F70065" s="193"/>
    </row>
    <row r="70066" spans="6:6" x14ac:dyDescent="0.3">
      <c r="F70066" s="193"/>
    </row>
    <row r="70067" spans="6:6" x14ac:dyDescent="0.3">
      <c r="F70067" s="193"/>
    </row>
    <row r="70068" spans="6:6" x14ac:dyDescent="0.3">
      <c r="F70068" s="193"/>
    </row>
    <row r="70069" spans="6:6" x14ac:dyDescent="0.3">
      <c r="F70069" s="193"/>
    </row>
    <row r="70070" spans="6:6" x14ac:dyDescent="0.3">
      <c r="F70070" s="193"/>
    </row>
    <row r="70071" spans="6:6" x14ac:dyDescent="0.3">
      <c r="F70071" s="193"/>
    </row>
    <row r="70072" spans="6:6" x14ac:dyDescent="0.3">
      <c r="F70072" s="193"/>
    </row>
    <row r="70073" spans="6:6" x14ac:dyDescent="0.3">
      <c r="F70073" s="193"/>
    </row>
    <row r="70074" spans="6:6" x14ac:dyDescent="0.3">
      <c r="F70074" s="193"/>
    </row>
    <row r="70075" spans="6:6" x14ac:dyDescent="0.3">
      <c r="F70075" s="193"/>
    </row>
    <row r="70076" spans="6:6" x14ac:dyDescent="0.3">
      <c r="F70076" s="193"/>
    </row>
    <row r="70077" spans="6:6" x14ac:dyDescent="0.3">
      <c r="F70077" s="193"/>
    </row>
    <row r="70078" spans="6:6" x14ac:dyDescent="0.3">
      <c r="F70078" s="193"/>
    </row>
    <row r="70079" spans="6:6" x14ac:dyDescent="0.3">
      <c r="F70079" s="193"/>
    </row>
    <row r="70080" spans="6:6" x14ac:dyDescent="0.3">
      <c r="F70080" s="193"/>
    </row>
    <row r="70081" spans="6:6" x14ac:dyDescent="0.3">
      <c r="F70081" s="193"/>
    </row>
    <row r="70082" spans="6:6" x14ac:dyDescent="0.3">
      <c r="F70082" s="193"/>
    </row>
    <row r="70083" spans="6:6" x14ac:dyDescent="0.3">
      <c r="F70083" s="193"/>
    </row>
    <row r="70084" spans="6:6" x14ac:dyDescent="0.3">
      <c r="F70084" s="193"/>
    </row>
    <row r="70085" spans="6:6" x14ac:dyDescent="0.3">
      <c r="F70085" s="193"/>
    </row>
    <row r="70086" spans="6:6" x14ac:dyDescent="0.3">
      <c r="F70086" s="193"/>
    </row>
    <row r="70087" spans="6:6" x14ac:dyDescent="0.3">
      <c r="F70087" s="193"/>
    </row>
    <row r="70088" spans="6:6" x14ac:dyDescent="0.3">
      <c r="F70088" s="193"/>
    </row>
    <row r="70089" spans="6:6" x14ac:dyDescent="0.3">
      <c r="F70089" s="193"/>
    </row>
    <row r="70090" spans="6:6" x14ac:dyDescent="0.3">
      <c r="F70090" s="193"/>
    </row>
    <row r="70091" spans="6:6" x14ac:dyDescent="0.3">
      <c r="F70091" s="193"/>
    </row>
    <row r="70092" spans="6:6" x14ac:dyDescent="0.3">
      <c r="F70092" s="193"/>
    </row>
    <row r="70093" spans="6:6" x14ac:dyDescent="0.3">
      <c r="F70093" s="193"/>
    </row>
    <row r="70094" spans="6:6" x14ac:dyDescent="0.3">
      <c r="F70094" s="193"/>
    </row>
    <row r="70095" spans="6:6" x14ac:dyDescent="0.3">
      <c r="F70095" s="193"/>
    </row>
    <row r="70096" spans="6:6" x14ac:dyDescent="0.3">
      <c r="F70096" s="193"/>
    </row>
    <row r="70097" spans="6:6" x14ac:dyDescent="0.3">
      <c r="F70097" s="193"/>
    </row>
    <row r="70098" spans="6:6" x14ac:dyDescent="0.3">
      <c r="F70098" s="193"/>
    </row>
    <row r="70099" spans="6:6" x14ac:dyDescent="0.3">
      <c r="F70099" s="193"/>
    </row>
    <row r="70100" spans="6:6" x14ac:dyDescent="0.3">
      <c r="F70100" s="193"/>
    </row>
    <row r="70101" spans="6:6" x14ac:dyDescent="0.3">
      <c r="F70101" s="193"/>
    </row>
    <row r="70102" spans="6:6" x14ac:dyDescent="0.3">
      <c r="F70102" s="193"/>
    </row>
    <row r="70103" spans="6:6" x14ac:dyDescent="0.3">
      <c r="F70103" s="193"/>
    </row>
    <row r="70104" spans="6:6" x14ac:dyDescent="0.3">
      <c r="F70104" s="193"/>
    </row>
    <row r="70105" spans="6:6" x14ac:dyDescent="0.3">
      <c r="F70105" s="193"/>
    </row>
    <row r="70106" spans="6:6" x14ac:dyDescent="0.3">
      <c r="F70106" s="193"/>
    </row>
    <row r="70107" spans="6:6" x14ac:dyDescent="0.3">
      <c r="F70107" s="193"/>
    </row>
    <row r="70108" spans="6:6" x14ac:dyDescent="0.3">
      <c r="F70108" s="193"/>
    </row>
    <row r="70109" spans="6:6" x14ac:dyDescent="0.3">
      <c r="F70109" s="193"/>
    </row>
    <row r="70110" spans="6:6" x14ac:dyDescent="0.3">
      <c r="F70110" s="193"/>
    </row>
    <row r="70111" spans="6:6" x14ac:dyDescent="0.3">
      <c r="F70111" s="193"/>
    </row>
    <row r="70112" spans="6:6" x14ac:dyDescent="0.3">
      <c r="F70112" s="193"/>
    </row>
    <row r="70113" spans="6:6" x14ac:dyDescent="0.3">
      <c r="F70113" s="193"/>
    </row>
    <row r="70114" spans="6:6" x14ac:dyDescent="0.3">
      <c r="F70114" s="193"/>
    </row>
    <row r="70115" spans="6:6" x14ac:dyDescent="0.3">
      <c r="F70115" s="193"/>
    </row>
    <row r="70116" spans="6:6" x14ac:dyDescent="0.3">
      <c r="F70116" s="193"/>
    </row>
    <row r="70117" spans="6:6" x14ac:dyDescent="0.3">
      <c r="F70117" s="193"/>
    </row>
    <row r="70118" spans="6:6" x14ac:dyDescent="0.3">
      <c r="F70118" s="193"/>
    </row>
    <row r="70119" spans="6:6" x14ac:dyDescent="0.3">
      <c r="F70119" s="193"/>
    </row>
    <row r="70120" spans="6:6" x14ac:dyDescent="0.3">
      <c r="F70120" s="193"/>
    </row>
    <row r="70121" spans="6:6" x14ac:dyDescent="0.3">
      <c r="F70121" s="193"/>
    </row>
    <row r="70122" spans="6:6" x14ac:dyDescent="0.3">
      <c r="F70122" s="193"/>
    </row>
    <row r="70123" spans="6:6" x14ac:dyDescent="0.3">
      <c r="F70123" s="193"/>
    </row>
    <row r="70124" spans="6:6" x14ac:dyDescent="0.3">
      <c r="F70124" s="193"/>
    </row>
    <row r="70125" spans="6:6" x14ac:dyDescent="0.3">
      <c r="F70125" s="193"/>
    </row>
    <row r="70126" spans="6:6" x14ac:dyDescent="0.3">
      <c r="F70126" s="193"/>
    </row>
    <row r="70127" spans="6:6" x14ac:dyDescent="0.3">
      <c r="F70127" s="193"/>
    </row>
    <row r="70128" spans="6:6" x14ac:dyDescent="0.3">
      <c r="F70128" s="193"/>
    </row>
    <row r="70129" spans="6:6" x14ac:dyDescent="0.3">
      <c r="F70129" s="193"/>
    </row>
    <row r="70130" spans="6:6" x14ac:dyDescent="0.3">
      <c r="F70130" s="193"/>
    </row>
    <row r="70131" spans="6:6" x14ac:dyDescent="0.3">
      <c r="F70131" s="193"/>
    </row>
    <row r="70132" spans="6:6" x14ac:dyDescent="0.3">
      <c r="F70132" s="193"/>
    </row>
    <row r="70133" spans="6:6" x14ac:dyDescent="0.3">
      <c r="F70133" s="193"/>
    </row>
    <row r="70134" spans="6:6" x14ac:dyDescent="0.3">
      <c r="F70134" s="193"/>
    </row>
    <row r="70135" spans="6:6" x14ac:dyDescent="0.3">
      <c r="F70135" s="193"/>
    </row>
    <row r="70136" spans="6:6" x14ac:dyDescent="0.3">
      <c r="F70136" s="193"/>
    </row>
    <row r="70137" spans="6:6" x14ac:dyDescent="0.3">
      <c r="F70137" s="193"/>
    </row>
    <row r="70138" spans="6:6" x14ac:dyDescent="0.3">
      <c r="F70138" s="193"/>
    </row>
    <row r="70139" spans="6:6" x14ac:dyDescent="0.3">
      <c r="F70139" s="193"/>
    </row>
    <row r="70140" spans="6:6" x14ac:dyDescent="0.3">
      <c r="F70140" s="193"/>
    </row>
    <row r="70141" spans="6:6" x14ac:dyDescent="0.3">
      <c r="F70141" s="193"/>
    </row>
    <row r="70142" spans="6:6" x14ac:dyDescent="0.3">
      <c r="F70142" s="193"/>
    </row>
    <row r="70143" spans="6:6" x14ac:dyDescent="0.3">
      <c r="F70143" s="193"/>
    </row>
    <row r="70144" spans="6:6" x14ac:dyDescent="0.3">
      <c r="F70144" s="193"/>
    </row>
    <row r="70145" spans="6:6" x14ac:dyDescent="0.3">
      <c r="F70145" s="193"/>
    </row>
    <row r="70146" spans="6:6" x14ac:dyDescent="0.3">
      <c r="F70146" s="193"/>
    </row>
    <row r="70147" spans="6:6" x14ac:dyDescent="0.3">
      <c r="F70147" s="193"/>
    </row>
    <row r="70148" spans="6:6" x14ac:dyDescent="0.3">
      <c r="F70148" s="193"/>
    </row>
    <row r="70149" spans="6:6" x14ac:dyDescent="0.3">
      <c r="F70149" s="193"/>
    </row>
    <row r="70150" spans="6:6" x14ac:dyDescent="0.3">
      <c r="F70150" s="193"/>
    </row>
    <row r="70151" spans="6:6" x14ac:dyDescent="0.3">
      <c r="F70151" s="193"/>
    </row>
    <row r="70152" spans="6:6" x14ac:dyDescent="0.3">
      <c r="F70152" s="193"/>
    </row>
    <row r="70153" spans="6:6" x14ac:dyDescent="0.3">
      <c r="F70153" s="193"/>
    </row>
    <row r="70154" spans="6:6" x14ac:dyDescent="0.3">
      <c r="F70154" s="193"/>
    </row>
    <row r="70155" spans="6:6" x14ac:dyDescent="0.3">
      <c r="F70155" s="193"/>
    </row>
    <row r="70156" spans="6:6" x14ac:dyDescent="0.3">
      <c r="F70156" s="193"/>
    </row>
    <row r="70157" spans="6:6" x14ac:dyDescent="0.3">
      <c r="F70157" s="193"/>
    </row>
    <row r="70158" spans="6:6" x14ac:dyDescent="0.3">
      <c r="F70158" s="193"/>
    </row>
    <row r="70159" spans="6:6" x14ac:dyDescent="0.3">
      <c r="F70159" s="193"/>
    </row>
    <row r="70160" spans="6:6" x14ac:dyDescent="0.3">
      <c r="F70160" s="193"/>
    </row>
    <row r="70161" spans="6:6" x14ac:dyDescent="0.3">
      <c r="F70161" s="193"/>
    </row>
    <row r="70162" spans="6:6" x14ac:dyDescent="0.3">
      <c r="F70162" s="193"/>
    </row>
    <row r="70163" spans="6:6" x14ac:dyDescent="0.3">
      <c r="F70163" s="193"/>
    </row>
    <row r="70164" spans="6:6" x14ac:dyDescent="0.3">
      <c r="F70164" s="193"/>
    </row>
    <row r="70165" spans="6:6" x14ac:dyDescent="0.3">
      <c r="F70165" s="193"/>
    </row>
    <row r="70166" spans="6:6" x14ac:dyDescent="0.3">
      <c r="F70166" s="193"/>
    </row>
    <row r="70167" spans="6:6" x14ac:dyDescent="0.3">
      <c r="F70167" s="193"/>
    </row>
    <row r="70168" spans="6:6" x14ac:dyDescent="0.3">
      <c r="F70168" s="193"/>
    </row>
    <row r="70169" spans="6:6" x14ac:dyDescent="0.3">
      <c r="F70169" s="193"/>
    </row>
    <row r="70170" spans="6:6" x14ac:dyDescent="0.3">
      <c r="F70170" s="193"/>
    </row>
    <row r="70171" spans="6:6" x14ac:dyDescent="0.3">
      <c r="F70171" s="193"/>
    </row>
    <row r="70172" spans="6:6" x14ac:dyDescent="0.3">
      <c r="F70172" s="193"/>
    </row>
    <row r="70173" spans="6:6" x14ac:dyDescent="0.3">
      <c r="F70173" s="193"/>
    </row>
    <row r="70174" spans="6:6" x14ac:dyDescent="0.3">
      <c r="F70174" s="193"/>
    </row>
    <row r="70175" spans="6:6" x14ac:dyDescent="0.3">
      <c r="F70175" s="193"/>
    </row>
    <row r="70176" spans="6:6" x14ac:dyDescent="0.3">
      <c r="F70176" s="193"/>
    </row>
    <row r="70177" spans="6:6" x14ac:dyDescent="0.3">
      <c r="F70177" s="193"/>
    </row>
    <row r="70178" spans="6:6" x14ac:dyDescent="0.3">
      <c r="F70178" s="193"/>
    </row>
    <row r="70179" spans="6:6" x14ac:dyDescent="0.3">
      <c r="F70179" s="193"/>
    </row>
    <row r="70180" spans="6:6" x14ac:dyDescent="0.3">
      <c r="F70180" s="193"/>
    </row>
    <row r="70181" spans="6:6" x14ac:dyDescent="0.3">
      <c r="F70181" s="193"/>
    </row>
    <row r="70182" spans="6:6" x14ac:dyDescent="0.3">
      <c r="F70182" s="193"/>
    </row>
    <row r="70183" spans="6:6" x14ac:dyDescent="0.3">
      <c r="F70183" s="193"/>
    </row>
    <row r="70184" spans="6:6" x14ac:dyDescent="0.3">
      <c r="F70184" s="193"/>
    </row>
    <row r="70185" spans="6:6" x14ac:dyDescent="0.3">
      <c r="F70185" s="193"/>
    </row>
    <row r="70186" spans="6:6" x14ac:dyDescent="0.3">
      <c r="F70186" s="193"/>
    </row>
    <row r="70187" spans="6:6" x14ac:dyDescent="0.3">
      <c r="F70187" s="193"/>
    </row>
    <row r="70188" spans="6:6" x14ac:dyDescent="0.3">
      <c r="F70188" s="193"/>
    </row>
    <row r="70189" spans="6:6" x14ac:dyDescent="0.3">
      <c r="F70189" s="193"/>
    </row>
    <row r="70190" spans="6:6" x14ac:dyDescent="0.3">
      <c r="F70190" s="193"/>
    </row>
    <row r="70191" spans="6:6" x14ac:dyDescent="0.3">
      <c r="F70191" s="193"/>
    </row>
    <row r="70192" spans="6:6" x14ac:dyDescent="0.3">
      <c r="F70192" s="193"/>
    </row>
    <row r="70193" spans="6:6" x14ac:dyDescent="0.3">
      <c r="F70193" s="193"/>
    </row>
    <row r="70194" spans="6:6" x14ac:dyDescent="0.3">
      <c r="F70194" s="193"/>
    </row>
    <row r="70195" spans="6:6" x14ac:dyDescent="0.3">
      <c r="F70195" s="193"/>
    </row>
    <row r="70196" spans="6:6" x14ac:dyDescent="0.3">
      <c r="F70196" s="193"/>
    </row>
    <row r="70197" spans="6:6" x14ac:dyDescent="0.3">
      <c r="F70197" s="193"/>
    </row>
    <row r="70198" spans="6:6" x14ac:dyDescent="0.3">
      <c r="F70198" s="193"/>
    </row>
    <row r="70199" spans="6:6" x14ac:dyDescent="0.3">
      <c r="F70199" s="193"/>
    </row>
    <row r="70200" spans="6:6" x14ac:dyDescent="0.3">
      <c r="F70200" s="193"/>
    </row>
    <row r="70201" spans="6:6" x14ac:dyDescent="0.3">
      <c r="F70201" s="193"/>
    </row>
    <row r="70202" spans="6:6" x14ac:dyDescent="0.3">
      <c r="F70202" s="193"/>
    </row>
    <row r="70203" spans="6:6" x14ac:dyDescent="0.3">
      <c r="F70203" s="193"/>
    </row>
    <row r="70204" spans="6:6" x14ac:dyDescent="0.3">
      <c r="F70204" s="193"/>
    </row>
    <row r="70205" spans="6:6" x14ac:dyDescent="0.3">
      <c r="F70205" s="193"/>
    </row>
    <row r="70206" spans="6:6" x14ac:dyDescent="0.3">
      <c r="F70206" s="193"/>
    </row>
    <row r="70207" spans="6:6" x14ac:dyDescent="0.3">
      <c r="F70207" s="193"/>
    </row>
    <row r="70208" spans="6:6" x14ac:dyDescent="0.3">
      <c r="F70208" s="193"/>
    </row>
    <row r="70209" spans="6:6" x14ac:dyDescent="0.3">
      <c r="F70209" s="193"/>
    </row>
    <row r="70210" spans="6:6" x14ac:dyDescent="0.3">
      <c r="F70210" s="193"/>
    </row>
    <row r="70211" spans="6:6" x14ac:dyDescent="0.3">
      <c r="F70211" s="193"/>
    </row>
    <row r="70212" spans="6:6" x14ac:dyDescent="0.3">
      <c r="F70212" s="193"/>
    </row>
    <row r="70213" spans="6:6" x14ac:dyDescent="0.3">
      <c r="F70213" s="193"/>
    </row>
    <row r="70214" spans="6:6" x14ac:dyDescent="0.3">
      <c r="F70214" s="193"/>
    </row>
    <row r="70215" spans="6:6" x14ac:dyDescent="0.3">
      <c r="F70215" s="193"/>
    </row>
    <row r="70216" spans="6:6" x14ac:dyDescent="0.3">
      <c r="F70216" s="193"/>
    </row>
    <row r="70217" spans="6:6" x14ac:dyDescent="0.3">
      <c r="F70217" s="193"/>
    </row>
    <row r="70218" spans="6:6" x14ac:dyDescent="0.3">
      <c r="F70218" s="193"/>
    </row>
    <row r="70219" spans="6:6" x14ac:dyDescent="0.3">
      <c r="F70219" s="193"/>
    </row>
    <row r="70220" spans="6:6" x14ac:dyDescent="0.3">
      <c r="F70220" s="193"/>
    </row>
    <row r="70221" spans="6:6" x14ac:dyDescent="0.3">
      <c r="F70221" s="193"/>
    </row>
    <row r="70222" spans="6:6" x14ac:dyDescent="0.3">
      <c r="F70222" s="193"/>
    </row>
    <row r="70223" spans="6:6" x14ac:dyDescent="0.3">
      <c r="F70223" s="193"/>
    </row>
    <row r="70224" spans="6:6" x14ac:dyDescent="0.3">
      <c r="F70224" s="193"/>
    </row>
    <row r="70225" spans="6:6" x14ac:dyDescent="0.3">
      <c r="F70225" s="193"/>
    </row>
    <row r="70226" spans="6:6" x14ac:dyDescent="0.3">
      <c r="F70226" s="193"/>
    </row>
    <row r="70227" spans="6:6" x14ac:dyDescent="0.3">
      <c r="F70227" s="193"/>
    </row>
    <row r="70228" spans="6:6" x14ac:dyDescent="0.3">
      <c r="F70228" s="193"/>
    </row>
    <row r="70229" spans="6:6" x14ac:dyDescent="0.3">
      <c r="F70229" s="193"/>
    </row>
    <row r="70230" spans="6:6" x14ac:dyDescent="0.3">
      <c r="F70230" s="193"/>
    </row>
    <row r="70231" spans="6:6" x14ac:dyDescent="0.3">
      <c r="F70231" s="193"/>
    </row>
    <row r="70232" spans="6:6" x14ac:dyDescent="0.3">
      <c r="F70232" s="193"/>
    </row>
    <row r="70233" spans="6:6" x14ac:dyDescent="0.3">
      <c r="F70233" s="193"/>
    </row>
    <row r="70234" spans="6:6" x14ac:dyDescent="0.3">
      <c r="F70234" s="193"/>
    </row>
    <row r="70235" spans="6:6" x14ac:dyDescent="0.3">
      <c r="F70235" s="193"/>
    </row>
    <row r="70236" spans="6:6" x14ac:dyDescent="0.3">
      <c r="F70236" s="193"/>
    </row>
    <row r="70237" spans="6:6" x14ac:dyDescent="0.3">
      <c r="F70237" s="193"/>
    </row>
    <row r="70238" spans="6:6" x14ac:dyDescent="0.3">
      <c r="F70238" s="193"/>
    </row>
    <row r="70239" spans="6:6" x14ac:dyDescent="0.3">
      <c r="F70239" s="193"/>
    </row>
    <row r="70240" spans="6:6" x14ac:dyDescent="0.3">
      <c r="F70240" s="193"/>
    </row>
    <row r="70241" spans="6:6" x14ac:dyDescent="0.3">
      <c r="F70241" s="193"/>
    </row>
    <row r="70242" spans="6:6" x14ac:dyDescent="0.3">
      <c r="F70242" s="193"/>
    </row>
    <row r="70243" spans="6:6" x14ac:dyDescent="0.3">
      <c r="F70243" s="193"/>
    </row>
    <row r="70244" spans="6:6" x14ac:dyDescent="0.3">
      <c r="F70244" s="193"/>
    </row>
    <row r="70245" spans="6:6" x14ac:dyDescent="0.3">
      <c r="F70245" s="193"/>
    </row>
    <row r="70246" spans="6:6" x14ac:dyDescent="0.3">
      <c r="F70246" s="193"/>
    </row>
    <row r="70247" spans="6:6" x14ac:dyDescent="0.3">
      <c r="F70247" s="193"/>
    </row>
    <row r="70248" spans="6:6" x14ac:dyDescent="0.3">
      <c r="F70248" s="193"/>
    </row>
    <row r="70249" spans="6:6" x14ac:dyDescent="0.3">
      <c r="F70249" s="193"/>
    </row>
    <row r="70250" spans="6:6" x14ac:dyDescent="0.3">
      <c r="F70250" s="193"/>
    </row>
    <row r="70251" spans="6:6" x14ac:dyDescent="0.3">
      <c r="F70251" s="193"/>
    </row>
    <row r="70252" spans="6:6" x14ac:dyDescent="0.3">
      <c r="F70252" s="193"/>
    </row>
    <row r="70253" spans="6:6" x14ac:dyDescent="0.3">
      <c r="F70253" s="193"/>
    </row>
    <row r="70254" spans="6:6" x14ac:dyDescent="0.3">
      <c r="F70254" s="193"/>
    </row>
    <row r="70255" spans="6:6" x14ac:dyDescent="0.3">
      <c r="F70255" s="193"/>
    </row>
    <row r="70256" spans="6:6" x14ac:dyDescent="0.3">
      <c r="F70256" s="193"/>
    </row>
    <row r="70257" spans="6:6" x14ac:dyDescent="0.3">
      <c r="F70257" s="193"/>
    </row>
    <row r="70258" spans="6:6" x14ac:dyDescent="0.3">
      <c r="F70258" s="193"/>
    </row>
    <row r="70259" spans="6:6" x14ac:dyDescent="0.3">
      <c r="F70259" s="193"/>
    </row>
    <row r="70260" spans="6:6" x14ac:dyDescent="0.3">
      <c r="F70260" s="193"/>
    </row>
    <row r="70261" spans="6:6" x14ac:dyDescent="0.3">
      <c r="F70261" s="193"/>
    </row>
    <row r="70262" spans="6:6" x14ac:dyDescent="0.3">
      <c r="F70262" s="193"/>
    </row>
    <row r="70263" spans="6:6" x14ac:dyDescent="0.3">
      <c r="F70263" s="193"/>
    </row>
    <row r="70264" spans="6:6" x14ac:dyDescent="0.3">
      <c r="F70264" s="193"/>
    </row>
    <row r="70265" spans="6:6" x14ac:dyDescent="0.3">
      <c r="F70265" s="193"/>
    </row>
    <row r="70266" spans="6:6" x14ac:dyDescent="0.3">
      <c r="F70266" s="193"/>
    </row>
    <row r="70267" spans="6:6" x14ac:dyDescent="0.3">
      <c r="F70267" s="193"/>
    </row>
    <row r="70268" spans="6:6" x14ac:dyDescent="0.3">
      <c r="F70268" s="193"/>
    </row>
    <row r="70269" spans="6:6" x14ac:dyDescent="0.3">
      <c r="F70269" s="193"/>
    </row>
    <row r="70270" spans="6:6" x14ac:dyDescent="0.3">
      <c r="F70270" s="193"/>
    </row>
    <row r="70271" spans="6:6" x14ac:dyDescent="0.3">
      <c r="F70271" s="193"/>
    </row>
    <row r="70272" spans="6:6" x14ac:dyDescent="0.3">
      <c r="F70272" s="193"/>
    </row>
    <row r="70273" spans="6:6" x14ac:dyDescent="0.3">
      <c r="F70273" s="193"/>
    </row>
    <row r="70274" spans="6:6" x14ac:dyDescent="0.3">
      <c r="F70274" s="193"/>
    </row>
    <row r="70275" spans="6:6" x14ac:dyDescent="0.3">
      <c r="F70275" s="193"/>
    </row>
    <row r="70276" spans="6:6" x14ac:dyDescent="0.3">
      <c r="F70276" s="193"/>
    </row>
    <row r="70277" spans="6:6" x14ac:dyDescent="0.3">
      <c r="F70277" s="193"/>
    </row>
    <row r="70278" spans="6:6" x14ac:dyDescent="0.3">
      <c r="F70278" s="193"/>
    </row>
    <row r="70279" spans="6:6" x14ac:dyDescent="0.3">
      <c r="F70279" s="193"/>
    </row>
    <row r="70280" spans="6:6" x14ac:dyDescent="0.3">
      <c r="F70280" s="193"/>
    </row>
    <row r="70281" spans="6:6" x14ac:dyDescent="0.3">
      <c r="F70281" s="193"/>
    </row>
    <row r="70282" spans="6:6" x14ac:dyDescent="0.3">
      <c r="F70282" s="193"/>
    </row>
    <row r="70283" spans="6:6" x14ac:dyDescent="0.3">
      <c r="F70283" s="193"/>
    </row>
    <row r="70284" spans="6:6" x14ac:dyDescent="0.3">
      <c r="F70284" s="193"/>
    </row>
    <row r="70285" spans="6:6" x14ac:dyDescent="0.3">
      <c r="F70285" s="193"/>
    </row>
    <row r="70286" spans="6:6" x14ac:dyDescent="0.3">
      <c r="F70286" s="193"/>
    </row>
    <row r="70287" spans="6:6" x14ac:dyDescent="0.3">
      <c r="F70287" s="193"/>
    </row>
    <row r="70288" spans="6:6" x14ac:dyDescent="0.3">
      <c r="F70288" s="193"/>
    </row>
    <row r="70289" spans="6:6" x14ac:dyDescent="0.3">
      <c r="F70289" s="193"/>
    </row>
    <row r="70290" spans="6:6" x14ac:dyDescent="0.3">
      <c r="F70290" s="193"/>
    </row>
    <row r="70291" spans="6:6" x14ac:dyDescent="0.3">
      <c r="F70291" s="193"/>
    </row>
    <row r="70292" spans="6:6" x14ac:dyDescent="0.3">
      <c r="F70292" s="193"/>
    </row>
    <row r="70293" spans="6:6" x14ac:dyDescent="0.3">
      <c r="F70293" s="193"/>
    </row>
    <row r="70294" spans="6:6" x14ac:dyDescent="0.3">
      <c r="F70294" s="193"/>
    </row>
    <row r="70295" spans="6:6" x14ac:dyDescent="0.3">
      <c r="F70295" s="193"/>
    </row>
    <row r="70296" spans="6:6" x14ac:dyDescent="0.3">
      <c r="F70296" s="193"/>
    </row>
    <row r="70297" spans="6:6" x14ac:dyDescent="0.3">
      <c r="F70297" s="193"/>
    </row>
    <row r="70298" spans="6:6" x14ac:dyDescent="0.3">
      <c r="F70298" s="193"/>
    </row>
    <row r="70299" spans="6:6" x14ac:dyDescent="0.3">
      <c r="F70299" s="193"/>
    </row>
    <row r="70300" spans="6:6" x14ac:dyDescent="0.3">
      <c r="F70300" s="193"/>
    </row>
    <row r="70301" spans="6:6" x14ac:dyDescent="0.3">
      <c r="F70301" s="193"/>
    </row>
    <row r="70302" spans="6:6" x14ac:dyDescent="0.3">
      <c r="F70302" s="193"/>
    </row>
    <row r="70303" spans="6:6" x14ac:dyDescent="0.3">
      <c r="F70303" s="193"/>
    </row>
    <row r="70304" spans="6:6" x14ac:dyDescent="0.3">
      <c r="F70304" s="193"/>
    </row>
    <row r="70305" spans="6:6" x14ac:dyDescent="0.3">
      <c r="F70305" s="193"/>
    </row>
    <row r="70306" spans="6:6" x14ac:dyDescent="0.3">
      <c r="F70306" s="193"/>
    </row>
    <row r="70307" spans="6:6" x14ac:dyDescent="0.3">
      <c r="F70307" s="193"/>
    </row>
    <row r="70308" spans="6:6" x14ac:dyDescent="0.3">
      <c r="F70308" s="193"/>
    </row>
    <row r="70309" spans="6:6" x14ac:dyDescent="0.3">
      <c r="F70309" s="193"/>
    </row>
    <row r="70310" spans="6:6" x14ac:dyDescent="0.3">
      <c r="F70310" s="193"/>
    </row>
    <row r="70311" spans="6:6" x14ac:dyDescent="0.3">
      <c r="F70311" s="193"/>
    </row>
    <row r="70312" spans="6:6" x14ac:dyDescent="0.3">
      <c r="F70312" s="193"/>
    </row>
    <row r="70313" spans="6:6" x14ac:dyDescent="0.3">
      <c r="F70313" s="193"/>
    </row>
    <row r="70314" spans="6:6" x14ac:dyDescent="0.3">
      <c r="F70314" s="193"/>
    </row>
    <row r="70315" spans="6:6" x14ac:dyDescent="0.3">
      <c r="F70315" s="193"/>
    </row>
    <row r="70316" spans="6:6" x14ac:dyDescent="0.3">
      <c r="F70316" s="193"/>
    </row>
    <row r="70317" spans="6:6" x14ac:dyDescent="0.3">
      <c r="F70317" s="193"/>
    </row>
    <row r="70318" spans="6:6" x14ac:dyDescent="0.3">
      <c r="F70318" s="193"/>
    </row>
    <row r="70319" spans="6:6" x14ac:dyDescent="0.3">
      <c r="F70319" s="193"/>
    </row>
    <row r="70320" spans="6:6" x14ac:dyDescent="0.3">
      <c r="F70320" s="193"/>
    </row>
    <row r="70321" spans="6:6" x14ac:dyDescent="0.3">
      <c r="F70321" s="193"/>
    </row>
    <row r="70322" spans="6:6" x14ac:dyDescent="0.3">
      <c r="F70322" s="193"/>
    </row>
    <row r="70323" spans="6:6" x14ac:dyDescent="0.3">
      <c r="F70323" s="193"/>
    </row>
    <row r="70324" spans="6:6" x14ac:dyDescent="0.3">
      <c r="F70324" s="193"/>
    </row>
    <row r="70325" spans="6:6" x14ac:dyDescent="0.3">
      <c r="F70325" s="193"/>
    </row>
    <row r="70326" spans="6:6" x14ac:dyDescent="0.3">
      <c r="F70326" s="193"/>
    </row>
    <row r="70327" spans="6:6" x14ac:dyDescent="0.3">
      <c r="F70327" s="193"/>
    </row>
    <row r="70328" spans="6:6" x14ac:dyDescent="0.3">
      <c r="F70328" s="193"/>
    </row>
    <row r="70329" spans="6:6" x14ac:dyDescent="0.3">
      <c r="F70329" s="193"/>
    </row>
    <row r="70330" spans="6:6" x14ac:dyDescent="0.3">
      <c r="F70330" s="193"/>
    </row>
    <row r="70331" spans="6:6" x14ac:dyDescent="0.3">
      <c r="F70331" s="193"/>
    </row>
    <row r="70332" spans="6:6" x14ac:dyDescent="0.3">
      <c r="F70332" s="193"/>
    </row>
    <row r="70333" spans="6:6" x14ac:dyDescent="0.3">
      <c r="F70333" s="193"/>
    </row>
    <row r="70334" spans="6:6" x14ac:dyDescent="0.3">
      <c r="F70334" s="193"/>
    </row>
    <row r="70335" spans="6:6" x14ac:dyDescent="0.3">
      <c r="F70335" s="193"/>
    </row>
    <row r="70336" spans="6:6" x14ac:dyDescent="0.3">
      <c r="F70336" s="193"/>
    </row>
    <row r="70337" spans="6:6" x14ac:dyDescent="0.3">
      <c r="F70337" s="193"/>
    </row>
    <row r="70338" spans="6:6" x14ac:dyDescent="0.3">
      <c r="F70338" s="193"/>
    </row>
    <row r="70339" spans="6:6" x14ac:dyDescent="0.3">
      <c r="F70339" s="193"/>
    </row>
    <row r="70340" spans="6:6" x14ac:dyDescent="0.3">
      <c r="F70340" s="193"/>
    </row>
    <row r="70341" spans="6:6" x14ac:dyDescent="0.3">
      <c r="F70341" s="193"/>
    </row>
    <row r="70342" spans="6:6" x14ac:dyDescent="0.3">
      <c r="F70342" s="193"/>
    </row>
    <row r="70343" spans="6:6" x14ac:dyDescent="0.3">
      <c r="F70343" s="193"/>
    </row>
    <row r="70344" spans="6:6" x14ac:dyDescent="0.3">
      <c r="F70344" s="193"/>
    </row>
    <row r="70345" spans="6:6" x14ac:dyDescent="0.3">
      <c r="F70345" s="193"/>
    </row>
    <row r="70346" spans="6:6" x14ac:dyDescent="0.3">
      <c r="F70346" s="193"/>
    </row>
    <row r="70347" spans="6:6" x14ac:dyDescent="0.3">
      <c r="F70347" s="193"/>
    </row>
    <row r="70348" spans="6:6" x14ac:dyDescent="0.3">
      <c r="F70348" s="193"/>
    </row>
    <row r="70349" spans="6:6" x14ac:dyDescent="0.3">
      <c r="F70349" s="193"/>
    </row>
    <row r="70350" spans="6:6" x14ac:dyDescent="0.3">
      <c r="F70350" s="193"/>
    </row>
    <row r="70351" spans="6:6" x14ac:dyDescent="0.3">
      <c r="F70351" s="193"/>
    </row>
    <row r="70352" spans="6:6" x14ac:dyDescent="0.3">
      <c r="F70352" s="193"/>
    </row>
    <row r="70353" spans="6:6" x14ac:dyDescent="0.3">
      <c r="F70353" s="193"/>
    </row>
    <row r="70354" spans="6:6" x14ac:dyDescent="0.3">
      <c r="F70354" s="193"/>
    </row>
    <row r="70355" spans="6:6" x14ac:dyDescent="0.3">
      <c r="F70355" s="193"/>
    </row>
    <row r="70356" spans="6:6" x14ac:dyDescent="0.3">
      <c r="F70356" s="193"/>
    </row>
    <row r="70357" spans="6:6" x14ac:dyDescent="0.3">
      <c r="F70357" s="193"/>
    </row>
    <row r="70358" spans="6:6" x14ac:dyDescent="0.3">
      <c r="F70358" s="193"/>
    </row>
    <row r="70359" spans="6:6" x14ac:dyDescent="0.3">
      <c r="F70359" s="193"/>
    </row>
    <row r="70360" spans="6:6" x14ac:dyDescent="0.3">
      <c r="F70360" s="193"/>
    </row>
    <row r="70361" spans="6:6" x14ac:dyDescent="0.3">
      <c r="F70361" s="193"/>
    </row>
    <row r="70362" spans="6:6" x14ac:dyDescent="0.3">
      <c r="F70362" s="193"/>
    </row>
    <row r="70363" spans="6:6" x14ac:dyDescent="0.3">
      <c r="F70363" s="193"/>
    </row>
    <row r="70364" spans="6:6" x14ac:dyDescent="0.3">
      <c r="F70364" s="193"/>
    </row>
    <row r="70365" spans="6:6" x14ac:dyDescent="0.3">
      <c r="F70365" s="193"/>
    </row>
    <row r="70366" spans="6:6" x14ac:dyDescent="0.3">
      <c r="F70366" s="193"/>
    </row>
    <row r="70367" spans="6:6" x14ac:dyDescent="0.3">
      <c r="F70367" s="193"/>
    </row>
    <row r="70368" spans="6:6" x14ac:dyDescent="0.3">
      <c r="F70368" s="193"/>
    </row>
    <row r="70369" spans="6:6" x14ac:dyDescent="0.3">
      <c r="F70369" s="193"/>
    </row>
    <row r="70370" spans="6:6" x14ac:dyDescent="0.3">
      <c r="F70370" s="193"/>
    </row>
    <row r="70371" spans="6:6" x14ac:dyDescent="0.3">
      <c r="F70371" s="193"/>
    </row>
    <row r="70372" spans="6:6" x14ac:dyDescent="0.3">
      <c r="F70372" s="193"/>
    </row>
    <row r="70373" spans="6:6" x14ac:dyDescent="0.3">
      <c r="F70373" s="193"/>
    </row>
    <row r="70374" spans="6:6" x14ac:dyDescent="0.3">
      <c r="F70374" s="193"/>
    </row>
    <row r="70375" spans="6:6" x14ac:dyDescent="0.3">
      <c r="F70375" s="193"/>
    </row>
    <row r="70376" spans="6:6" x14ac:dyDescent="0.3">
      <c r="F70376" s="193"/>
    </row>
    <row r="70377" spans="6:6" x14ac:dyDescent="0.3">
      <c r="F70377" s="193"/>
    </row>
    <row r="70378" spans="6:6" x14ac:dyDescent="0.3">
      <c r="F70378" s="193"/>
    </row>
    <row r="70379" spans="6:6" x14ac:dyDescent="0.3">
      <c r="F70379" s="193"/>
    </row>
    <row r="70380" spans="6:6" x14ac:dyDescent="0.3">
      <c r="F70380" s="193"/>
    </row>
    <row r="70381" spans="6:6" x14ac:dyDescent="0.3">
      <c r="F70381" s="193"/>
    </row>
    <row r="70382" spans="6:6" x14ac:dyDescent="0.3">
      <c r="F70382" s="193"/>
    </row>
    <row r="70383" spans="6:6" x14ac:dyDescent="0.3">
      <c r="F70383" s="193"/>
    </row>
    <row r="70384" spans="6:6" x14ac:dyDescent="0.3">
      <c r="F70384" s="193"/>
    </row>
    <row r="70385" spans="6:6" x14ac:dyDescent="0.3">
      <c r="F70385" s="193"/>
    </row>
    <row r="70386" spans="6:6" x14ac:dyDescent="0.3">
      <c r="F70386" s="193"/>
    </row>
    <row r="70387" spans="6:6" x14ac:dyDescent="0.3">
      <c r="F70387" s="193"/>
    </row>
    <row r="70388" spans="6:6" x14ac:dyDescent="0.3">
      <c r="F70388" s="193"/>
    </row>
    <row r="70389" spans="6:6" x14ac:dyDescent="0.3">
      <c r="F70389" s="193"/>
    </row>
    <row r="70390" spans="6:6" x14ac:dyDescent="0.3">
      <c r="F70390" s="193"/>
    </row>
    <row r="70391" spans="6:6" x14ac:dyDescent="0.3">
      <c r="F70391" s="193"/>
    </row>
    <row r="70392" spans="6:6" x14ac:dyDescent="0.3">
      <c r="F70392" s="193"/>
    </row>
    <row r="70393" spans="6:6" x14ac:dyDescent="0.3">
      <c r="F70393" s="193"/>
    </row>
    <row r="70394" spans="6:6" x14ac:dyDescent="0.3">
      <c r="F70394" s="193"/>
    </row>
    <row r="70395" spans="6:6" x14ac:dyDescent="0.3">
      <c r="F70395" s="193"/>
    </row>
    <row r="70396" spans="6:6" x14ac:dyDescent="0.3">
      <c r="F70396" s="193"/>
    </row>
    <row r="70397" spans="6:6" x14ac:dyDescent="0.3">
      <c r="F70397" s="193"/>
    </row>
    <row r="70398" spans="6:6" x14ac:dyDescent="0.3">
      <c r="F70398" s="193"/>
    </row>
    <row r="70399" spans="6:6" x14ac:dyDescent="0.3">
      <c r="F70399" s="193"/>
    </row>
    <row r="70400" spans="6:6" x14ac:dyDescent="0.3">
      <c r="F70400" s="193"/>
    </row>
    <row r="70401" spans="6:6" x14ac:dyDescent="0.3">
      <c r="F70401" s="193"/>
    </row>
    <row r="70402" spans="6:6" x14ac:dyDescent="0.3">
      <c r="F70402" s="193"/>
    </row>
    <row r="70403" spans="6:6" x14ac:dyDescent="0.3">
      <c r="F70403" s="193"/>
    </row>
    <row r="70404" spans="6:6" x14ac:dyDescent="0.3">
      <c r="F70404" s="193"/>
    </row>
    <row r="70405" spans="6:6" x14ac:dyDescent="0.3">
      <c r="F70405" s="193"/>
    </row>
    <row r="70406" spans="6:6" x14ac:dyDescent="0.3">
      <c r="F70406" s="193"/>
    </row>
    <row r="70407" spans="6:6" x14ac:dyDescent="0.3">
      <c r="F70407" s="193"/>
    </row>
    <row r="70408" spans="6:6" x14ac:dyDescent="0.3">
      <c r="F70408" s="193"/>
    </row>
    <row r="70409" spans="6:6" x14ac:dyDescent="0.3">
      <c r="F70409" s="193"/>
    </row>
    <row r="70410" spans="6:6" x14ac:dyDescent="0.3">
      <c r="F70410" s="193"/>
    </row>
    <row r="70411" spans="6:6" x14ac:dyDescent="0.3">
      <c r="F70411" s="193"/>
    </row>
    <row r="70412" spans="6:6" x14ac:dyDescent="0.3">
      <c r="F70412" s="193"/>
    </row>
    <row r="70413" spans="6:6" x14ac:dyDescent="0.3">
      <c r="F70413" s="193"/>
    </row>
    <row r="70414" spans="6:6" x14ac:dyDescent="0.3">
      <c r="F70414" s="193"/>
    </row>
    <row r="70415" spans="6:6" x14ac:dyDescent="0.3">
      <c r="F70415" s="193"/>
    </row>
    <row r="70416" spans="6:6" x14ac:dyDescent="0.3">
      <c r="F70416" s="193"/>
    </row>
    <row r="70417" spans="6:6" x14ac:dyDescent="0.3">
      <c r="F70417" s="193"/>
    </row>
    <row r="70418" spans="6:6" x14ac:dyDescent="0.3">
      <c r="F70418" s="193"/>
    </row>
    <row r="70419" spans="6:6" x14ac:dyDescent="0.3">
      <c r="F70419" s="193"/>
    </row>
    <row r="70420" spans="6:6" x14ac:dyDescent="0.3">
      <c r="F70420" s="193"/>
    </row>
    <row r="70421" spans="6:6" x14ac:dyDescent="0.3">
      <c r="F70421" s="193"/>
    </row>
    <row r="70422" spans="6:6" x14ac:dyDescent="0.3">
      <c r="F70422" s="193"/>
    </row>
    <row r="70423" spans="6:6" x14ac:dyDescent="0.3">
      <c r="F70423" s="193"/>
    </row>
    <row r="70424" spans="6:6" x14ac:dyDescent="0.3">
      <c r="F70424" s="193"/>
    </row>
    <row r="70425" spans="6:6" x14ac:dyDescent="0.3">
      <c r="F70425" s="193"/>
    </row>
    <row r="70426" spans="6:6" x14ac:dyDescent="0.3">
      <c r="F70426" s="193"/>
    </row>
    <row r="70427" spans="6:6" x14ac:dyDescent="0.3">
      <c r="F70427" s="193"/>
    </row>
    <row r="70428" spans="6:6" x14ac:dyDescent="0.3">
      <c r="F70428" s="193"/>
    </row>
    <row r="70429" spans="6:6" x14ac:dyDescent="0.3">
      <c r="F70429" s="193"/>
    </row>
    <row r="70430" spans="6:6" x14ac:dyDescent="0.3">
      <c r="F70430" s="193"/>
    </row>
    <row r="70431" spans="6:6" x14ac:dyDescent="0.3">
      <c r="F70431" s="193"/>
    </row>
    <row r="70432" spans="6:6" x14ac:dyDescent="0.3">
      <c r="F70432" s="193"/>
    </row>
    <row r="70433" spans="6:6" x14ac:dyDescent="0.3">
      <c r="F70433" s="193"/>
    </row>
    <row r="70434" spans="6:6" x14ac:dyDescent="0.3">
      <c r="F70434" s="193"/>
    </row>
    <row r="70435" spans="6:6" x14ac:dyDescent="0.3">
      <c r="F70435" s="193"/>
    </row>
    <row r="70436" spans="6:6" x14ac:dyDescent="0.3">
      <c r="F70436" s="193"/>
    </row>
    <row r="70437" spans="6:6" x14ac:dyDescent="0.3">
      <c r="F70437" s="193"/>
    </row>
    <row r="70438" spans="6:6" x14ac:dyDescent="0.3">
      <c r="F70438" s="193"/>
    </row>
    <row r="70439" spans="6:6" x14ac:dyDescent="0.3">
      <c r="F70439" s="193"/>
    </row>
    <row r="70440" spans="6:6" x14ac:dyDescent="0.3">
      <c r="F70440" s="193"/>
    </row>
    <row r="70441" spans="6:6" x14ac:dyDescent="0.3">
      <c r="F70441" s="193"/>
    </row>
    <row r="70442" spans="6:6" x14ac:dyDescent="0.3">
      <c r="F70442" s="193"/>
    </row>
    <row r="70443" spans="6:6" x14ac:dyDescent="0.3">
      <c r="F70443" s="193"/>
    </row>
    <row r="70444" spans="6:6" x14ac:dyDescent="0.3">
      <c r="F70444" s="193"/>
    </row>
    <row r="70445" spans="6:6" x14ac:dyDescent="0.3">
      <c r="F70445" s="193"/>
    </row>
    <row r="70446" spans="6:6" x14ac:dyDescent="0.3">
      <c r="F70446" s="193"/>
    </row>
    <row r="70447" spans="6:6" x14ac:dyDescent="0.3">
      <c r="F70447" s="193"/>
    </row>
    <row r="70448" spans="6:6" x14ac:dyDescent="0.3">
      <c r="F70448" s="193"/>
    </row>
    <row r="70449" spans="6:6" x14ac:dyDescent="0.3">
      <c r="F70449" s="193"/>
    </row>
    <row r="70450" spans="6:6" x14ac:dyDescent="0.3">
      <c r="F70450" s="193"/>
    </row>
    <row r="70451" spans="6:6" x14ac:dyDescent="0.3">
      <c r="F70451" s="193"/>
    </row>
    <row r="70452" spans="6:6" x14ac:dyDescent="0.3">
      <c r="F70452" s="193"/>
    </row>
    <row r="70453" spans="6:6" x14ac:dyDescent="0.3">
      <c r="F70453" s="193"/>
    </row>
    <row r="70454" spans="6:6" x14ac:dyDescent="0.3">
      <c r="F70454" s="193"/>
    </row>
    <row r="70455" spans="6:6" x14ac:dyDescent="0.3">
      <c r="F70455" s="193"/>
    </row>
    <row r="70456" spans="6:6" x14ac:dyDescent="0.3">
      <c r="F70456" s="193"/>
    </row>
    <row r="70457" spans="6:6" x14ac:dyDescent="0.3">
      <c r="F70457" s="193"/>
    </row>
    <row r="70458" spans="6:6" x14ac:dyDescent="0.3">
      <c r="F70458" s="193"/>
    </row>
    <row r="70459" spans="6:6" x14ac:dyDescent="0.3">
      <c r="F70459" s="193"/>
    </row>
    <row r="70460" spans="6:6" x14ac:dyDescent="0.3">
      <c r="F70460" s="193"/>
    </row>
    <row r="70461" spans="6:6" x14ac:dyDescent="0.3">
      <c r="F70461" s="193"/>
    </row>
    <row r="70462" spans="6:6" x14ac:dyDescent="0.3">
      <c r="F70462" s="193"/>
    </row>
    <row r="70463" spans="6:6" x14ac:dyDescent="0.3">
      <c r="F70463" s="193"/>
    </row>
    <row r="70464" spans="6:6" x14ac:dyDescent="0.3">
      <c r="F70464" s="193"/>
    </row>
    <row r="70465" spans="6:6" x14ac:dyDescent="0.3">
      <c r="F70465" s="193"/>
    </row>
    <row r="70466" spans="6:6" x14ac:dyDescent="0.3">
      <c r="F70466" s="193"/>
    </row>
    <row r="70467" spans="6:6" x14ac:dyDescent="0.3">
      <c r="F70467" s="193"/>
    </row>
    <row r="70468" spans="6:6" x14ac:dyDescent="0.3">
      <c r="F70468" s="193"/>
    </row>
    <row r="70469" spans="6:6" x14ac:dyDescent="0.3">
      <c r="F70469" s="193"/>
    </row>
    <row r="70470" spans="6:6" x14ac:dyDescent="0.3">
      <c r="F70470" s="193"/>
    </row>
    <row r="70471" spans="6:6" x14ac:dyDescent="0.3">
      <c r="F70471" s="193"/>
    </row>
    <row r="70472" spans="6:6" x14ac:dyDescent="0.3">
      <c r="F70472" s="193"/>
    </row>
    <row r="70473" spans="6:6" x14ac:dyDescent="0.3">
      <c r="F70473" s="193"/>
    </row>
    <row r="70474" spans="6:6" x14ac:dyDescent="0.3">
      <c r="F70474" s="193"/>
    </row>
    <row r="70475" spans="6:6" x14ac:dyDescent="0.3">
      <c r="F70475" s="193"/>
    </row>
    <row r="70476" spans="6:6" x14ac:dyDescent="0.3">
      <c r="F70476" s="193"/>
    </row>
    <row r="70477" spans="6:6" x14ac:dyDescent="0.3">
      <c r="F70477" s="193"/>
    </row>
    <row r="70478" spans="6:6" x14ac:dyDescent="0.3">
      <c r="F70478" s="193"/>
    </row>
    <row r="70479" spans="6:6" x14ac:dyDescent="0.3">
      <c r="F70479" s="193"/>
    </row>
    <row r="70480" spans="6:6" x14ac:dyDescent="0.3">
      <c r="F70480" s="193"/>
    </row>
    <row r="70481" spans="6:6" x14ac:dyDescent="0.3">
      <c r="F70481" s="193"/>
    </row>
    <row r="70482" spans="6:6" x14ac:dyDescent="0.3">
      <c r="F70482" s="193"/>
    </row>
    <row r="70483" spans="6:6" x14ac:dyDescent="0.3">
      <c r="F70483" s="193"/>
    </row>
    <row r="70484" spans="6:6" x14ac:dyDescent="0.3">
      <c r="F70484" s="193"/>
    </row>
    <row r="70485" spans="6:6" x14ac:dyDescent="0.3">
      <c r="F70485" s="193"/>
    </row>
    <row r="70486" spans="6:6" x14ac:dyDescent="0.3">
      <c r="F70486" s="193"/>
    </row>
    <row r="70487" spans="6:6" x14ac:dyDescent="0.3">
      <c r="F70487" s="193"/>
    </row>
    <row r="70488" spans="6:6" x14ac:dyDescent="0.3">
      <c r="F70488" s="193"/>
    </row>
    <row r="70489" spans="6:6" x14ac:dyDescent="0.3">
      <c r="F70489" s="193"/>
    </row>
    <row r="70490" spans="6:6" x14ac:dyDescent="0.3">
      <c r="F70490" s="193"/>
    </row>
    <row r="70491" spans="6:6" x14ac:dyDescent="0.3">
      <c r="F70491" s="193"/>
    </row>
    <row r="70492" spans="6:6" x14ac:dyDescent="0.3">
      <c r="F70492" s="193"/>
    </row>
    <row r="70493" spans="6:6" x14ac:dyDescent="0.3">
      <c r="F70493" s="193"/>
    </row>
    <row r="70494" spans="6:6" x14ac:dyDescent="0.3">
      <c r="F70494" s="193"/>
    </row>
    <row r="70495" spans="6:6" x14ac:dyDescent="0.3">
      <c r="F70495" s="193"/>
    </row>
    <row r="70496" spans="6:6" x14ac:dyDescent="0.3">
      <c r="F70496" s="193"/>
    </row>
    <row r="70497" spans="6:6" x14ac:dyDescent="0.3">
      <c r="F70497" s="193"/>
    </row>
    <row r="70498" spans="6:6" x14ac:dyDescent="0.3">
      <c r="F70498" s="193"/>
    </row>
    <row r="70499" spans="6:6" x14ac:dyDescent="0.3">
      <c r="F70499" s="193"/>
    </row>
    <row r="70500" spans="6:6" x14ac:dyDescent="0.3">
      <c r="F70500" s="193"/>
    </row>
    <row r="70501" spans="6:6" x14ac:dyDescent="0.3">
      <c r="F70501" s="193"/>
    </row>
    <row r="70502" spans="6:6" x14ac:dyDescent="0.3">
      <c r="F70502" s="193"/>
    </row>
    <row r="70503" spans="6:6" x14ac:dyDescent="0.3">
      <c r="F70503" s="193"/>
    </row>
    <row r="70504" spans="6:6" x14ac:dyDescent="0.3">
      <c r="F70504" s="193"/>
    </row>
    <row r="70505" spans="6:6" x14ac:dyDescent="0.3">
      <c r="F70505" s="193"/>
    </row>
    <row r="70506" spans="6:6" x14ac:dyDescent="0.3">
      <c r="F70506" s="193"/>
    </row>
    <row r="70507" spans="6:6" x14ac:dyDescent="0.3">
      <c r="F70507" s="193"/>
    </row>
    <row r="70508" spans="6:6" x14ac:dyDescent="0.3">
      <c r="F70508" s="193"/>
    </row>
    <row r="70509" spans="6:6" x14ac:dyDescent="0.3">
      <c r="F70509" s="193"/>
    </row>
    <row r="70510" spans="6:6" x14ac:dyDescent="0.3">
      <c r="F70510" s="193"/>
    </row>
    <row r="70511" spans="6:6" x14ac:dyDescent="0.3">
      <c r="F70511" s="193"/>
    </row>
    <row r="70512" spans="6:6" x14ac:dyDescent="0.3">
      <c r="F70512" s="193"/>
    </row>
    <row r="70513" spans="6:6" x14ac:dyDescent="0.3">
      <c r="F70513" s="193"/>
    </row>
    <row r="70514" spans="6:6" x14ac:dyDescent="0.3">
      <c r="F70514" s="193"/>
    </row>
    <row r="70515" spans="6:6" x14ac:dyDescent="0.3">
      <c r="F70515" s="193"/>
    </row>
    <row r="70516" spans="6:6" x14ac:dyDescent="0.3">
      <c r="F70516" s="193"/>
    </row>
    <row r="70517" spans="6:6" x14ac:dyDescent="0.3">
      <c r="F70517" s="193"/>
    </row>
    <row r="70518" spans="6:6" x14ac:dyDescent="0.3">
      <c r="F70518" s="193"/>
    </row>
    <row r="70519" spans="6:6" x14ac:dyDescent="0.3">
      <c r="F70519" s="193"/>
    </row>
    <row r="70520" spans="6:6" x14ac:dyDescent="0.3">
      <c r="F70520" s="193"/>
    </row>
    <row r="70521" spans="6:6" x14ac:dyDescent="0.3">
      <c r="F70521" s="193"/>
    </row>
    <row r="70522" spans="6:6" x14ac:dyDescent="0.3">
      <c r="F70522" s="193"/>
    </row>
    <row r="70523" spans="6:6" x14ac:dyDescent="0.3">
      <c r="F70523" s="193"/>
    </row>
    <row r="70524" spans="6:6" x14ac:dyDescent="0.3">
      <c r="F70524" s="193"/>
    </row>
    <row r="70525" spans="6:6" x14ac:dyDescent="0.3">
      <c r="F70525" s="193"/>
    </row>
    <row r="70526" spans="6:6" x14ac:dyDescent="0.3">
      <c r="F70526" s="193"/>
    </row>
    <row r="70527" spans="6:6" x14ac:dyDescent="0.3">
      <c r="F70527" s="193"/>
    </row>
    <row r="70528" spans="6:6" x14ac:dyDescent="0.3">
      <c r="F70528" s="193"/>
    </row>
    <row r="70529" spans="6:6" x14ac:dyDescent="0.3">
      <c r="F70529" s="193"/>
    </row>
    <row r="70530" spans="6:6" x14ac:dyDescent="0.3">
      <c r="F70530" s="193"/>
    </row>
    <row r="70531" spans="6:6" x14ac:dyDescent="0.3">
      <c r="F70531" s="193"/>
    </row>
    <row r="70532" spans="6:6" x14ac:dyDescent="0.3">
      <c r="F70532" s="193"/>
    </row>
    <row r="70533" spans="6:6" x14ac:dyDescent="0.3">
      <c r="F70533" s="193"/>
    </row>
    <row r="70534" spans="6:6" x14ac:dyDescent="0.3">
      <c r="F70534" s="193"/>
    </row>
    <row r="70535" spans="6:6" x14ac:dyDescent="0.3">
      <c r="F70535" s="193"/>
    </row>
    <row r="70536" spans="6:6" x14ac:dyDescent="0.3">
      <c r="F70536" s="193"/>
    </row>
    <row r="70537" spans="6:6" x14ac:dyDescent="0.3">
      <c r="F70537" s="193"/>
    </row>
    <row r="70538" spans="6:6" x14ac:dyDescent="0.3">
      <c r="F70538" s="193"/>
    </row>
    <row r="70539" spans="6:6" x14ac:dyDescent="0.3">
      <c r="F70539" s="193"/>
    </row>
    <row r="70540" spans="6:6" x14ac:dyDescent="0.3">
      <c r="F70540" s="193"/>
    </row>
    <row r="70541" spans="6:6" x14ac:dyDescent="0.3">
      <c r="F70541" s="193"/>
    </row>
    <row r="70542" spans="6:6" x14ac:dyDescent="0.3">
      <c r="F70542" s="193"/>
    </row>
    <row r="70543" spans="6:6" x14ac:dyDescent="0.3">
      <c r="F70543" s="193"/>
    </row>
    <row r="70544" spans="6:6" x14ac:dyDescent="0.3">
      <c r="F70544" s="193"/>
    </row>
    <row r="70545" spans="6:6" x14ac:dyDescent="0.3">
      <c r="F70545" s="193"/>
    </row>
    <row r="70546" spans="6:6" x14ac:dyDescent="0.3">
      <c r="F70546" s="193"/>
    </row>
    <row r="70547" spans="6:6" x14ac:dyDescent="0.3">
      <c r="F70547" s="193"/>
    </row>
    <row r="70548" spans="6:6" x14ac:dyDescent="0.3">
      <c r="F70548" s="193"/>
    </row>
    <row r="70549" spans="6:6" x14ac:dyDescent="0.3">
      <c r="F70549" s="193"/>
    </row>
    <row r="70550" spans="6:6" x14ac:dyDescent="0.3">
      <c r="F70550" s="193"/>
    </row>
    <row r="70551" spans="6:6" x14ac:dyDescent="0.3">
      <c r="F70551" s="193"/>
    </row>
    <row r="70552" spans="6:6" x14ac:dyDescent="0.3">
      <c r="F70552" s="193"/>
    </row>
    <row r="70553" spans="6:6" x14ac:dyDescent="0.3">
      <c r="F70553" s="193"/>
    </row>
    <row r="70554" spans="6:6" x14ac:dyDescent="0.3">
      <c r="F70554" s="193"/>
    </row>
    <row r="70555" spans="6:6" x14ac:dyDescent="0.3">
      <c r="F70555" s="193"/>
    </row>
    <row r="70556" spans="6:6" x14ac:dyDescent="0.3">
      <c r="F70556" s="193"/>
    </row>
    <row r="70557" spans="6:6" x14ac:dyDescent="0.3">
      <c r="F70557" s="193"/>
    </row>
    <row r="70558" spans="6:6" x14ac:dyDescent="0.3">
      <c r="F70558" s="193"/>
    </row>
    <row r="70559" spans="6:6" x14ac:dyDescent="0.3">
      <c r="F70559" s="193"/>
    </row>
    <row r="70560" spans="6:6" x14ac:dyDescent="0.3">
      <c r="F70560" s="193"/>
    </row>
    <row r="70561" spans="6:6" x14ac:dyDescent="0.3">
      <c r="F70561" s="193"/>
    </row>
    <row r="70562" spans="6:6" x14ac:dyDescent="0.3">
      <c r="F70562" s="193"/>
    </row>
    <row r="70563" spans="6:6" x14ac:dyDescent="0.3">
      <c r="F70563" s="193"/>
    </row>
    <row r="70564" spans="6:6" x14ac:dyDescent="0.3">
      <c r="F70564" s="193"/>
    </row>
    <row r="70565" spans="6:6" x14ac:dyDescent="0.3">
      <c r="F70565" s="193"/>
    </row>
    <row r="70566" spans="6:6" x14ac:dyDescent="0.3">
      <c r="F70566" s="193"/>
    </row>
    <row r="70567" spans="6:6" x14ac:dyDescent="0.3">
      <c r="F70567" s="193"/>
    </row>
    <row r="70568" spans="6:6" x14ac:dyDescent="0.3">
      <c r="F70568" s="193"/>
    </row>
    <row r="70569" spans="6:6" x14ac:dyDescent="0.3">
      <c r="F70569" s="193"/>
    </row>
    <row r="70570" spans="6:6" x14ac:dyDescent="0.3">
      <c r="F70570" s="193"/>
    </row>
    <row r="70571" spans="6:6" x14ac:dyDescent="0.3">
      <c r="F70571" s="193"/>
    </row>
    <row r="70572" spans="6:6" x14ac:dyDescent="0.3">
      <c r="F70572" s="193"/>
    </row>
    <row r="70573" spans="6:6" x14ac:dyDescent="0.3">
      <c r="F70573" s="193"/>
    </row>
    <row r="70574" spans="6:6" x14ac:dyDescent="0.3">
      <c r="F70574" s="193"/>
    </row>
    <row r="70575" spans="6:6" x14ac:dyDescent="0.3">
      <c r="F70575" s="193"/>
    </row>
    <row r="70576" spans="6:6" x14ac:dyDescent="0.3">
      <c r="F70576" s="193"/>
    </row>
    <row r="70577" spans="6:6" x14ac:dyDescent="0.3">
      <c r="F70577" s="193"/>
    </row>
    <row r="70578" spans="6:6" x14ac:dyDescent="0.3">
      <c r="F70578" s="193"/>
    </row>
    <row r="70579" spans="6:6" x14ac:dyDescent="0.3">
      <c r="F70579" s="193"/>
    </row>
    <row r="70580" spans="6:6" x14ac:dyDescent="0.3">
      <c r="F70580" s="193"/>
    </row>
    <row r="70581" spans="6:6" x14ac:dyDescent="0.3">
      <c r="F70581" s="193"/>
    </row>
    <row r="70582" spans="6:6" x14ac:dyDescent="0.3">
      <c r="F70582" s="193"/>
    </row>
    <row r="70583" spans="6:6" x14ac:dyDescent="0.3">
      <c r="F70583" s="193"/>
    </row>
    <row r="70584" spans="6:6" x14ac:dyDescent="0.3">
      <c r="F70584" s="193"/>
    </row>
    <row r="70585" spans="6:6" x14ac:dyDescent="0.3">
      <c r="F70585" s="193"/>
    </row>
    <row r="70586" spans="6:6" x14ac:dyDescent="0.3">
      <c r="F70586" s="193"/>
    </row>
    <row r="70587" spans="6:6" x14ac:dyDescent="0.3">
      <c r="F70587" s="193"/>
    </row>
    <row r="70588" spans="6:6" x14ac:dyDescent="0.3">
      <c r="F70588" s="193"/>
    </row>
    <row r="70589" spans="6:6" x14ac:dyDescent="0.3">
      <c r="F70589" s="193"/>
    </row>
    <row r="70590" spans="6:6" x14ac:dyDescent="0.3">
      <c r="F70590" s="193"/>
    </row>
    <row r="70591" spans="6:6" x14ac:dyDescent="0.3">
      <c r="F70591" s="193"/>
    </row>
    <row r="70592" spans="6:6" x14ac:dyDescent="0.3">
      <c r="F70592" s="193"/>
    </row>
    <row r="70593" spans="6:6" x14ac:dyDescent="0.3">
      <c r="F70593" s="193"/>
    </row>
    <row r="70594" spans="6:6" x14ac:dyDescent="0.3">
      <c r="F70594" s="193"/>
    </row>
    <row r="70595" spans="6:6" x14ac:dyDescent="0.3">
      <c r="F70595" s="193"/>
    </row>
    <row r="70596" spans="6:6" x14ac:dyDescent="0.3">
      <c r="F70596" s="193"/>
    </row>
    <row r="70597" spans="6:6" x14ac:dyDescent="0.3">
      <c r="F70597" s="193"/>
    </row>
    <row r="70598" spans="6:6" x14ac:dyDescent="0.3">
      <c r="F70598" s="193"/>
    </row>
    <row r="70599" spans="6:6" x14ac:dyDescent="0.3">
      <c r="F70599" s="193"/>
    </row>
    <row r="70600" spans="6:6" x14ac:dyDescent="0.3">
      <c r="F70600" s="193"/>
    </row>
    <row r="70601" spans="6:6" x14ac:dyDescent="0.3">
      <c r="F70601" s="193"/>
    </row>
    <row r="70602" spans="6:6" x14ac:dyDescent="0.3">
      <c r="F70602" s="193"/>
    </row>
    <row r="70603" spans="6:6" x14ac:dyDescent="0.3">
      <c r="F70603" s="193"/>
    </row>
    <row r="70604" spans="6:6" x14ac:dyDescent="0.3">
      <c r="F70604" s="193"/>
    </row>
    <row r="70605" spans="6:6" x14ac:dyDescent="0.3">
      <c r="F70605" s="193"/>
    </row>
    <row r="70606" spans="6:6" x14ac:dyDescent="0.3">
      <c r="F70606" s="193"/>
    </row>
    <row r="70607" spans="6:6" x14ac:dyDescent="0.3">
      <c r="F70607" s="193"/>
    </row>
    <row r="70608" spans="6:6" x14ac:dyDescent="0.3">
      <c r="F70608" s="193"/>
    </row>
    <row r="70609" spans="6:6" x14ac:dyDescent="0.3">
      <c r="F70609" s="193"/>
    </row>
    <row r="70610" spans="6:6" x14ac:dyDescent="0.3">
      <c r="F70610" s="193"/>
    </row>
    <row r="70611" spans="6:6" x14ac:dyDescent="0.3">
      <c r="F70611" s="193"/>
    </row>
    <row r="70612" spans="6:6" x14ac:dyDescent="0.3">
      <c r="F70612" s="193"/>
    </row>
    <row r="70613" spans="6:6" x14ac:dyDescent="0.3">
      <c r="F70613" s="193"/>
    </row>
    <row r="70614" spans="6:6" x14ac:dyDescent="0.3">
      <c r="F70614" s="193"/>
    </row>
    <row r="70615" spans="6:6" x14ac:dyDescent="0.3">
      <c r="F70615" s="193"/>
    </row>
    <row r="70616" spans="6:6" x14ac:dyDescent="0.3">
      <c r="F70616" s="193"/>
    </row>
    <row r="70617" spans="6:6" x14ac:dyDescent="0.3">
      <c r="F70617" s="193"/>
    </row>
    <row r="70618" spans="6:6" x14ac:dyDescent="0.3">
      <c r="F70618" s="193"/>
    </row>
    <row r="70619" spans="6:6" x14ac:dyDescent="0.3">
      <c r="F70619" s="193"/>
    </row>
    <row r="70620" spans="6:6" x14ac:dyDescent="0.3">
      <c r="F70620" s="193"/>
    </row>
    <row r="70621" spans="6:6" x14ac:dyDescent="0.3">
      <c r="F70621" s="193"/>
    </row>
    <row r="70622" spans="6:6" x14ac:dyDescent="0.3">
      <c r="F70622" s="193"/>
    </row>
    <row r="70623" spans="6:6" x14ac:dyDescent="0.3">
      <c r="F70623" s="193"/>
    </row>
    <row r="70624" spans="6:6" x14ac:dyDescent="0.3">
      <c r="F70624" s="193"/>
    </row>
    <row r="70625" spans="6:6" x14ac:dyDescent="0.3">
      <c r="F70625" s="193"/>
    </row>
    <row r="70626" spans="6:6" x14ac:dyDescent="0.3">
      <c r="F70626" s="193"/>
    </row>
    <row r="70627" spans="6:6" x14ac:dyDescent="0.3">
      <c r="F70627" s="193"/>
    </row>
    <row r="70628" spans="6:6" x14ac:dyDescent="0.3">
      <c r="F70628" s="193"/>
    </row>
    <row r="70629" spans="6:6" x14ac:dyDescent="0.3">
      <c r="F70629" s="193"/>
    </row>
    <row r="70630" spans="6:6" x14ac:dyDescent="0.3">
      <c r="F70630" s="193"/>
    </row>
    <row r="70631" spans="6:6" x14ac:dyDescent="0.3">
      <c r="F70631" s="193"/>
    </row>
    <row r="70632" spans="6:6" x14ac:dyDescent="0.3">
      <c r="F70632" s="193"/>
    </row>
    <row r="70633" spans="6:6" x14ac:dyDescent="0.3">
      <c r="F70633" s="193"/>
    </row>
    <row r="70634" spans="6:6" x14ac:dyDescent="0.3">
      <c r="F70634" s="193"/>
    </row>
    <row r="70635" spans="6:6" x14ac:dyDescent="0.3">
      <c r="F70635" s="193"/>
    </row>
    <row r="70636" spans="6:6" x14ac:dyDescent="0.3">
      <c r="F70636" s="193"/>
    </row>
    <row r="70637" spans="6:6" x14ac:dyDescent="0.3">
      <c r="F70637" s="193"/>
    </row>
    <row r="70638" spans="6:6" x14ac:dyDescent="0.3">
      <c r="F70638" s="193"/>
    </row>
    <row r="70639" spans="6:6" x14ac:dyDescent="0.3">
      <c r="F70639" s="193"/>
    </row>
    <row r="70640" spans="6:6" x14ac:dyDescent="0.3">
      <c r="F70640" s="193"/>
    </row>
    <row r="70641" spans="6:6" x14ac:dyDescent="0.3">
      <c r="F70641" s="193"/>
    </row>
    <row r="70642" spans="6:6" x14ac:dyDescent="0.3">
      <c r="F70642" s="193"/>
    </row>
    <row r="70643" spans="6:6" x14ac:dyDescent="0.3">
      <c r="F70643" s="193"/>
    </row>
    <row r="70644" spans="6:6" x14ac:dyDescent="0.3">
      <c r="F70644" s="193"/>
    </row>
    <row r="70645" spans="6:6" x14ac:dyDescent="0.3">
      <c r="F70645" s="193"/>
    </row>
    <row r="70646" spans="6:6" x14ac:dyDescent="0.3">
      <c r="F70646" s="193"/>
    </row>
    <row r="70647" spans="6:6" x14ac:dyDescent="0.3">
      <c r="F70647" s="193"/>
    </row>
    <row r="70648" spans="6:6" x14ac:dyDescent="0.3">
      <c r="F70648" s="193"/>
    </row>
    <row r="70649" spans="6:6" x14ac:dyDescent="0.3">
      <c r="F70649" s="193"/>
    </row>
    <row r="70650" spans="6:6" x14ac:dyDescent="0.3">
      <c r="F70650" s="193"/>
    </row>
    <row r="70651" spans="6:6" x14ac:dyDescent="0.3">
      <c r="F70651" s="193"/>
    </row>
    <row r="70652" spans="6:6" x14ac:dyDescent="0.3">
      <c r="F70652" s="193"/>
    </row>
    <row r="70653" spans="6:6" x14ac:dyDescent="0.3">
      <c r="F70653" s="193"/>
    </row>
    <row r="70654" spans="6:6" x14ac:dyDescent="0.3">
      <c r="F70654" s="193"/>
    </row>
    <row r="70655" spans="6:6" x14ac:dyDescent="0.3">
      <c r="F70655" s="193"/>
    </row>
    <row r="70656" spans="6:6" x14ac:dyDescent="0.3">
      <c r="F70656" s="193"/>
    </row>
    <row r="70657" spans="6:6" x14ac:dyDescent="0.3">
      <c r="F70657" s="193"/>
    </row>
    <row r="70658" spans="6:6" x14ac:dyDescent="0.3">
      <c r="F70658" s="193"/>
    </row>
    <row r="70659" spans="6:6" x14ac:dyDescent="0.3">
      <c r="F70659" s="193"/>
    </row>
    <row r="70660" spans="6:6" x14ac:dyDescent="0.3">
      <c r="F70660" s="193"/>
    </row>
    <row r="70661" spans="6:6" x14ac:dyDescent="0.3">
      <c r="F70661" s="193"/>
    </row>
    <row r="70662" spans="6:6" x14ac:dyDescent="0.3">
      <c r="F70662" s="193"/>
    </row>
    <row r="70663" spans="6:6" x14ac:dyDescent="0.3">
      <c r="F70663" s="193"/>
    </row>
    <row r="70664" spans="6:6" x14ac:dyDescent="0.3">
      <c r="F70664" s="193"/>
    </row>
    <row r="70665" spans="6:6" x14ac:dyDescent="0.3">
      <c r="F70665" s="193"/>
    </row>
    <row r="70666" spans="6:6" x14ac:dyDescent="0.3">
      <c r="F70666" s="193"/>
    </row>
    <row r="70667" spans="6:6" x14ac:dyDescent="0.3">
      <c r="F70667" s="193"/>
    </row>
    <row r="70668" spans="6:6" x14ac:dyDescent="0.3">
      <c r="F70668" s="193"/>
    </row>
    <row r="70669" spans="6:6" x14ac:dyDescent="0.3">
      <c r="F70669" s="193"/>
    </row>
    <row r="70670" spans="6:6" x14ac:dyDescent="0.3">
      <c r="F70670" s="193"/>
    </row>
    <row r="70671" spans="6:6" x14ac:dyDescent="0.3">
      <c r="F70671" s="193"/>
    </row>
    <row r="70672" spans="6:6" x14ac:dyDescent="0.3">
      <c r="F70672" s="193"/>
    </row>
    <row r="70673" spans="6:6" x14ac:dyDescent="0.3">
      <c r="F70673" s="193"/>
    </row>
    <row r="70674" spans="6:6" x14ac:dyDescent="0.3">
      <c r="F70674" s="193"/>
    </row>
    <row r="70675" spans="6:6" x14ac:dyDescent="0.3">
      <c r="F70675" s="193"/>
    </row>
    <row r="70676" spans="6:6" x14ac:dyDescent="0.3">
      <c r="F70676" s="193"/>
    </row>
    <row r="70677" spans="6:6" x14ac:dyDescent="0.3">
      <c r="F70677" s="193"/>
    </row>
    <row r="70678" spans="6:6" x14ac:dyDescent="0.3">
      <c r="F70678" s="193"/>
    </row>
    <row r="70679" spans="6:6" x14ac:dyDescent="0.3">
      <c r="F70679" s="193"/>
    </row>
    <row r="70680" spans="6:6" x14ac:dyDescent="0.3">
      <c r="F70680" s="193"/>
    </row>
    <row r="70681" spans="6:6" x14ac:dyDescent="0.3">
      <c r="F70681" s="193"/>
    </row>
    <row r="70682" spans="6:6" x14ac:dyDescent="0.3">
      <c r="F70682" s="193"/>
    </row>
    <row r="70683" spans="6:6" x14ac:dyDescent="0.3">
      <c r="F70683" s="193"/>
    </row>
    <row r="70684" spans="6:6" x14ac:dyDescent="0.3">
      <c r="F70684" s="193"/>
    </row>
    <row r="70685" spans="6:6" x14ac:dyDescent="0.3">
      <c r="F70685" s="193"/>
    </row>
    <row r="70686" spans="6:6" x14ac:dyDescent="0.3">
      <c r="F70686" s="193"/>
    </row>
    <row r="70687" spans="6:6" x14ac:dyDescent="0.3">
      <c r="F70687" s="193"/>
    </row>
    <row r="70688" spans="6:6" x14ac:dyDescent="0.3">
      <c r="F70688" s="193"/>
    </row>
    <row r="70689" spans="6:6" x14ac:dyDescent="0.3">
      <c r="F70689" s="193"/>
    </row>
    <row r="70690" spans="6:6" x14ac:dyDescent="0.3">
      <c r="F70690" s="193"/>
    </row>
    <row r="70691" spans="6:6" x14ac:dyDescent="0.3">
      <c r="F70691" s="193"/>
    </row>
    <row r="70692" spans="6:6" x14ac:dyDescent="0.3">
      <c r="F70692" s="193"/>
    </row>
    <row r="70693" spans="6:6" x14ac:dyDescent="0.3">
      <c r="F70693" s="193"/>
    </row>
    <row r="70694" spans="6:6" x14ac:dyDescent="0.3">
      <c r="F70694" s="193"/>
    </row>
    <row r="70695" spans="6:6" x14ac:dyDescent="0.3">
      <c r="F70695" s="193"/>
    </row>
    <row r="70696" spans="6:6" x14ac:dyDescent="0.3">
      <c r="F70696" s="193"/>
    </row>
    <row r="70697" spans="6:6" x14ac:dyDescent="0.3">
      <c r="F70697" s="193"/>
    </row>
    <row r="70698" spans="6:6" x14ac:dyDescent="0.3">
      <c r="F70698" s="193"/>
    </row>
    <row r="70699" spans="6:6" x14ac:dyDescent="0.3">
      <c r="F70699" s="193"/>
    </row>
    <row r="70700" spans="6:6" x14ac:dyDescent="0.3">
      <c r="F70700" s="193"/>
    </row>
    <row r="70701" spans="6:6" x14ac:dyDescent="0.3">
      <c r="F70701" s="193"/>
    </row>
    <row r="70702" spans="6:6" x14ac:dyDescent="0.3">
      <c r="F70702" s="193"/>
    </row>
    <row r="70703" spans="6:6" x14ac:dyDescent="0.3">
      <c r="F70703" s="193"/>
    </row>
    <row r="70704" spans="6:6" x14ac:dyDescent="0.3">
      <c r="F70704" s="193"/>
    </row>
    <row r="70705" spans="6:6" x14ac:dyDescent="0.3">
      <c r="F70705" s="193"/>
    </row>
    <row r="70706" spans="6:6" x14ac:dyDescent="0.3">
      <c r="F70706" s="193"/>
    </row>
    <row r="70707" spans="6:6" x14ac:dyDescent="0.3">
      <c r="F70707" s="193"/>
    </row>
    <row r="70708" spans="6:6" x14ac:dyDescent="0.3">
      <c r="F70708" s="193"/>
    </row>
    <row r="70709" spans="6:6" x14ac:dyDescent="0.3">
      <c r="F70709" s="193"/>
    </row>
    <row r="70710" spans="6:6" x14ac:dyDescent="0.3">
      <c r="F70710" s="193"/>
    </row>
    <row r="70711" spans="6:6" x14ac:dyDescent="0.3">
      <c r="F70711" s="193"/>
    </row>
    <row r="70712" spans="6:6" x14ac:dyDescent="0.3">
      <c r="F70712" s="193"/>
    </row>
    <row r="70713" spans="6:6" x14ac:dyDescent="0.3">
      <c r="F70713" s="193"/>
    </row>
    <row r="70714" spans="6:6" x14ac:dyDescent="0.3">
      <c r="F70714" s="193"/>
    </row>
    <row r="70715" spans="6:6" x14ac:dyDescent="0.3">
      <c r="F70715" s="193"/>
    </row>
    <row r="70716" spans="6:6" x14ac:dyDescent="0.3">
      <c r="F70716" s="193"/>
    </row>
    <row r="70717" spans="6:6" x14ac:dyDescent="0.3">
      <c r="F70717" s="193"/>
    </row>
    <row r="70718" spans="6:6" x14ac:dyDescent="0.3">
      <c r="F70718" s="193"/>
    </row>
    <row r="70719" spans="6:6" x14ac:dyDescent="0.3">
      <c r="F70719" s="193"/>
    </row>
    <row r="70720" spans="6:6" x14ac:dyDescent="0.3">
      <c r="F70720" s="193"/>
    </row>
    <row r="70721" spans="6:6" x14ac:dyDescent="0.3">
      <c r="F70721" s="193"/>
    </row>
    <row r="70722" spans="6:6" x14ac:dyDescent="0.3">
      <c r="F70722" s="193"/>
    </row>
    <row r="70723" spans="6:6" x14ac:dyDescent="0.3">
      <c r="F70723" s="193"/>
    </row>
    <row r="70724" spans="6:6" x14ac:dyDescent="0.3">
      <c r="F70724" s="193"/>
    </row>
    <row r="70725" spans="6:6" x14ac:dyDescent="0.3">
      <c r="F70725" s="193"/>
    </row>
    <row r="70726" spans="6:6" x14ac:dyDescent="0.3">
      <c r="F70726" s="193"/>
    </row>
    <row r="70727" spans="6:6" x14ac:dyDescent="0.3">
      <c r="F70727" s="193"/>
    </row>
    <row r="70728" spans="6:6" x14ac:dyDescent="0.3">
      <c r="F70728" s="193"/>
    </row>
    <row r="70729" spans="6:6" x14ac:dyDescent="0.3">
      <c r="F70729" s="193"/>
    </row>
    <row r="70730" spans="6:6" x14ac:dyDescent="0.3">
      <c r="F70730" s="193"/>
    </row>
    <row r="70731" spans="6:6" x14ac:dyDescent="0.3">
      <c r="F70731" s="193"/>
    </row>
    <row r="70732" spans="6:6" x14ac:dyDescent="0.3">
      <c r="F70732" s="193"/>
    </row>
    <row r="70733" spans="6:6" x14ac:dyDescent="0.3">
      <c r="F70733" s="193"/>
    </row>
    <row r="70734" spans="6:6" x14ac:dyDescent="0.3">
      <c r="F70734" s="193"/>
    </row>
    <row r="70735" spans="6:6" x14ac:dyDescent="0.3">
      <c r="F70735" s="193"/>
    </row>
    <row r="70736" spans="6:6" x14ac:dyDescent="0.3">
      <c r="F70736" s="193"/>
    </row>
    <row r="70737" spans="6:6" x14ac:dyDescent="0.3">
      <c r="F70737" s="193"/>
    </row>
    <row r="70738" spans="6:6" x14ac:dyDescent="0.3">
      <c r="F70738" s="193"/>
    </row>
    <row r="70739" spans="6:6" x14ac:dyDescent="0.3">
      <c r="F70739" s="193"/>
    </row>
    <row r="70740" spans="6:6" x14ac:dyDescent="0.3">
      <c r="F70740" s="193"/>
    </row>
    <row r="70741" spans="6:6" x14ac:dyDescent="0.3">
      <c r="F70741" s="193"/>
    </row>
    <row r="70742" spans="6:6" x14ac:dyDescent="0.3">
      <c r="F70742" s="193"/>
    </row>
    <row r="70743" spans="6:6" x14ac:dyDescent="0.3">
      <c r="F70743" s="193"/>
    </row>
    <row r="70744" spans="6:6" x14ac:dyDescent="0.3">
      <c r="F70744" s="193"/>
    </row>
    <row r="70745" spans="6:6" x14ac:dyDescent="0.3">
      <c r="F70745" s="193"/>
    </row>
    <row r="70746" spans="6:6" x14ac:dyDescent="0.3">
      <c r="F70746" s="193"/>
    </row>
    <row r="70747" spans="6:6" x14ac:dyDescent="0.3">
      <c r="F70747" s="193"/>
    </row>
    <row r="70748" spans="6:6" x14ac:dyDescent="0.3">
      <c r="F70748" s="193"/>
    </row>
    <row r="70749" spans="6:6" x14ac:dyDescent="0.3">
      <c r="F70749" s="193"/>
    </row>
    <row r="70750" spans="6:6" x14ac:dyDescent="0.3">
      <c r="F70750" s="193"/>
    </row>
    <row r="70751" spans="6:6" x14ac:dyDescent="0.3">
      <c r="F70751" s="193"/>
    </row>
    <row r="70752" spans="6:6" x14ac:dyDescent="0.3">
      <c r="F70752" s="193"/>
    </row>
    <row r="70753" spans="6:6" x14ac:dyDescent="0.3">
      <c r="F70753" s="193"/>
    </row>
    <row r="70754" spans="6:6" x14ac:dyDescent="0.3">
      <c r="F70754" s="193"/>
    </row>
    <row r="70755" spans="6:6" x14ac:dyDescent="0.3">
      <c r="F70755" s="193"/>
    </row>
    <row r="70756" spans="6:6" x14ac:dyDescent="0.3">
      <c r="F70756" s="193"/>
    </row>
    <row r="70757" spans="6:6" x14ac:dyDescent="0.3">
      <c r="F70757" s="193"/>
    </row>
    <row r="70758" spans="6:6" x14ac:dyDescent="0.3">
      <c r="F70758" s="193"/>
    </row>
    <row r="70759" spans="6:6" x14ac:dyDescent="0.3">
      <c r="F70759" s="193"/>
    </row>
    <row r="70760" spans="6:6" x14ac:dyDescent="0.3">
      <c r="F70760" s="193"/>
    </row>
    <row r="70761" spans="6:6" x14ac:dyDescent="0.3">
      <c r="F70761" s="193"/>
    </row>
    <row r="70762" spans="6:6" x14ac:dyDescent="0.3">
      <c r="F70762" s="193"/>
    </row>
    <row r="70763" spans="6:6" x14ac:dyDescent="0.3">
      <c r="F70763" s="193"/>
    </row>
    <row r="70764" spans="6:6" x14ac:dyDescent="0.3">
      <c r="F70764" s="193"/>
    </row>
    <row r="70765" spans="6:6" x14ac:dyDescent="0.3">
      <c r="F70765" s="193"/>
    </row>
    <row r="70766" spans="6:6" x14ac:dyDescent="0.3">
      <c r="F70766" s="193"/>
    </row>
    <row r="70767" spans="6:6" x14ac:dyDescent="0.3">
      <c r="F70767" s="193"/>
    </row>
    <row r="70768" spans="6:6" x14ac:dyDescent="0.3">
      <c r="F70768" s="193"/>
    </row>
    <row r="70769" spans="6:6" x14ac:dyDescent="0.3">
      <c r="F70769" s="193"/>
    </row>
    <row r="70770" spans="6:6" x14ac:dyDescent="0.3">
      <c r="F70770" s="193"/>
    </row>
    <row r="70771" spans="6:6" x14ac:dyDescent="0.3">
      <c r="F70771" s="193"/>
    </row>
    <row r="70772" spans="6:6" x14ac:dyDescent="0.3">
      <c r="F70772" s="193"/>
    </row>
    <row r="70773" spans="6:6" x14ac:dyDescent="0.3">
      <c r="F70773" s="193"/>
    </row>
    <row r="70774" spans="6:6" x14ac:dyDescent="0.3">
      <c r="F70774" s="193"/>
    </row>
    <row r="70775" spans="6:6" x14ac:dyDescent="0.3">
      <c r="F70775" s="193"/>
    </row>
    <row r="70776" spans="6:6" x14ac:dyDescent="0.3">
      <c r="F70776" s="193"/>
    </row>
    <row r="70777" spans="6:6" x14ac:dyDescent="0.3">
      <c r="F70777" s="193"/>
    </row>
    <row r="70778" spans="6:6" x14ac:dyDescent="0.3">
      <c r="F70778" s="193"/>
    </row>
    <row r="70779" spans="6:6" x14ac:dyDescent="0.3">
      <c r="F70779" s="193"/>
    </row>
    <row r="70780" spans="6:6" x14ac:dyDescent="0.3">
      <c r="F70780" s="193"/>
    </row>
    <row r="70781" spans="6:6" x14ac:dyDescent="0.3">
      <c r="F70781" s="193"/>
    </row>
    <row r="70782" spans="6:6" x14ac:dyDescent="0.3">
      <c r="F70782" s="193"/>
    </row>
    <row r="70783" spans="6:6" x14ac:dyDescent="0.3">
      <c r="F70783" s="193"/>
    </row>
    <row r="70784" spans="6:6" x14ac:dyDescent="0.3">
      <c r="F70784" s="193"/>
    </row>
    <row r="70785" spans="6:6" x14ac:dyDescent="0.3">
      <c r="F70785" s="193"/>
    </row>
    <row r="70786" spans="6:6" x14ac:dyDescent="0.3">
      <c r="F70786" s="193"/>
    </row>
    <row r="70787" spans="6:6" x14ac:dyDescent="0.3">
      <c r="F70787" s="193"/>
    </row>
    <row r="70788" spans="6:6" x14ac:dyDescent="0.3">
      <c r="F70788" s="193"/>
    </row>
    <row r="70789" spans="6:6" x14ac:dyDescent="0.3">
      <c r="F70789" s="193"/>
    </row>
    <row r="70790" spans="6:6" x14ac:dyDescent="0.3">
      <c r="F70790" s="193"/>
    </row>
    <row r="70791" spans="6:6" x14ac:dyDescent="0.3">
      <c r="F70791" s="193"/>
    </row>
    <row r="70792" spans="6:6" x14ac:dyDescent="0.3">
      <c r="F70792" s="193"/>
    </row>
    <row r="70793" spans="6:6" x14ac:dyDescent="0.3">
      <c r="F70793" s="193"/>
    </row>
    <row r="70794" spans="6:6" x14ac:dyDescent="0.3">
      <c r="F70794" s="193"/>
    </row>
    <row r="70795" spans="6:6" x14ac:dyDescent="0.3">
      <c r="F70795" s="193"/>
    </row>
    <row r="70796" spans="6:6" x14ac:dyDescent="0.3">
      <c r="F70796" s="193"/>
    </row>
    <row r="70797" spans="6:6" x14ac:dyDescent="0.3">
      <c r="F70797" s="193"/>
    </row>
    <row r="70798" spans="6:6" x14ac:dyDescent="0.3">
      <c r="F70798" s="193"/>
    </row>
    <row r="70799" spans="6:6" x14ac:dyDescent="0.3">
      <c r="F70799" s="193"/>
    </row>
    <row r="70800" spans="6:6" x14ac:dyDescent="0.3">
      <c r="F70800" s="193"/>
    </row>
    <row r="70801" spans="6:6" x14ac:dyDescent="0.3">
      <c r="F70801" s="193"/>
    </row>
    <row r="70802" spans="6:6" x14ac:dyDescent="0.3">
      <c r="F70802" s="193"/>
    </row>
    <row r="70803" spans="6:6" x14ac:dyDescent="0.3">
      <c r="F70803" s="193"/>
    </row>
    <row r="70804" spans="6:6" x14ac:dyDescent="0.3">
      <c r="F70804" s="193"/>
    </row>
    <row r="70805" spans="6:6" x14ac:dyDescent="0.3">
      <c r="F70805" s="193"/>
    </row>
    <row r="70806" spans="6:6" x14ac:dyDescent="0.3">
      <c r="F70806" s="193"/>
    </row>
    <row r="70807" spans="6:6" x14ac:dyDescent="0.3">
      <c r="F70807" s="193"/>
    </row>
    <row r="70808" spans="6:6" x14ac:dyDescent="0.3">
      <c r="F70808" s="193"/>
    </row>
    <row r="70809" spans="6:6" x14ac:dyDescent="0.3">
      <c r="F70809" s="193"/>
    </row>
    <row r="70810" spans="6:6" x14ac:dyDescent="0.3">
      <c r="F70810" s="193"/>
    </row>
    <row r="70811" spans="6:6" x14ac:dyDescent="0.3">
      <c r="F70811" s="193"/>
    </row>
    <row r="70812" spans="6:6" x14ac:dyDescent="0.3">
      <c r="F70812" s="193"/>
    </row>
    <row r="70813" spans="6:6" x14ac:dyDescent="0.3">
      <c r="F70813" s="193"/>
    </row>
    <row r="70814" spans="6:6" x14ac:dyDescent="0.3">
      <c r="F70814" s="193"/>
    </row>
    <row r="70815" spans="6:6" x14ac:dyDescent="0.3">
      <c r="F70815" s="193"/>
    </row>
    <row r="70816" spans="6:6" x14ac:dyDescent="0.3">
      <c r="F70816" s="193"/>
    </row>
    <row r="70817" spans="6:6" x14ac:dyDescent="0.3">
      <c r="F70817" s="193"/>
    </row>
    <row r="70818" spans="6:6" x14ac:dyDescent="0.3">
      <c r="F70818" s="193"/>
    </row>
    <row r="70819" spans="6:6" x14ac:dyDescent="0.3">
      <c r="F70819" s="193"/>
    </row>
    <row r="70820" spans="6:6" x14ac:dyDescent="0.3">
      <c r="F70820" s="193"/>
    </row>
    <row r="70821" spans="6:6" x14ac:dyDescent="0.3">
      <c r="F70821" s="193"/>
    </row>
    <row r="70822" spans="6:6" x14ac:dyDescent="0.3">
      <c r="F70822" s="193"/>
    </row>
    <row r="70823" spans="6:6" x14ac:dyDescent="0.3">
      <c r="F70823" s="193"/>
    </row>
    <row r="70824" spans="6:6" x14ac:dyDescent="0.3">
      <c r="F70824" s="193"/>
    </row>
    <row r="70825" spans="6:6" x14ac:dyDescent="0.3">
      <c r="F70825" s="193"/>
    </row>
    <row r="70826" spans="6:6" x14ac:dyDescent="0.3">
      <c r="F70826" s="193"/>
    </row>
    <row r="70827" spans="6:6" x14ac:dyDescent="0.3">
      <c r="F70827" s="193"/>
    </row>
    <row r="70828" spans="6:6" x14ac:dyDescent="0.3">
      <c r="F70828" s="193"/>
    </row>
    <row r="70829" spans="6:6" x14ac:dyDescent="0.3">
      <c r="F70829" s="193"/>
    </row>
    <row r="70830" spans="6:6" x14ac:dyDescent="0.3">
      <c r="F70830" s="193"/>
    </row>
    <row r="70831" spans="6:6" x14ac:dyDescent="0.3">
      <c r="F70831" s="193"/>
    </row>
    <row r="70832" spans="6:6" x14ac:dyDescent="0.3">
      <c r="F70832" s="193"/>
    </row>
    <row r="70833" spans="6:6" x14ac:dyDescent="0.3">
      <c r="F70833" s="193"/>
    </row>
    <row r="70834" spans="6:6" x14ac:dyDescent="0.3">
      <c r="F70834" s="193"/>
    </row>
    <row r="70835" spans="6:6" x14ac:dyDescent="0.3">
      <c r="F70835" s="193"/>
    </row>
    <row r="70836" spans="6:6" x14ac:dyDescent="0.3">
      <c r="F70836" s="193"/>
    </row>
    <row r="70837" spans="6:6" x14ac:dyDescent="0.3">
      <c r="F70837" s="193"/>
    </row>
    <row r="70838" spans="6:6" x14ac:dyDescent="0.3">
      <c r="F70838" s="193"/>
    </row>
    <row r="70839" spans="6:6" x14ac:dyDescent="0.3">
      <c r="F70839" s="193"/>
    </row>
    <row r="70840" spans="6:6" x14ac:dyDescent="0.3">
      <c r="F70840" s="193"/>
    </row>
    <row r="70841" spans="6:6" x14ac:dyDescent="0.3">
      <c r="F70841" s="193"/>
    </row>
    <row r="70842" spans="6:6" x14ac:dyDescent="0.3">
      <c r="F70842" s="193"/>
    </row>
    <row r="70843" spans="6:6" x14ac:dyDescent="0.3">
      <c r="F70843" s="193"/>
    </row>
    <row r="70844" spans="6:6" x14ac:dyDescent="0.3">
      <c r="F70844" s="193"/>
    </row>
    <row r="70845" spans="6:6" x14ac:dyDescent="0.3">
      <c r="F70845" s="193"/>
    </row>
    <row r="70846" spans="6:6" x14ac:dyDescent="0.3">
      <c r="F70846" s="193"/>
    </row>
    <row r="70847" spans="6:6" x14ac:dyDescent="0.3">
      <c r="F70847" s="193"/>
    </row>
    <row r="70848" spans="6:6" x14ac:dyDescent="0.3">
      <c r="F70848" s="193"/>
    </row>
    <row r="70849" spans="6:6" x14ac:dyDescent="0.3">
      <c r="F70849" s="193"/>
    </row>
    <row r="70850" spans="6:6" x14ac:dyDescent="0.3">
      <c r="F70850" s="193"/>
    </row>
    <row r="70851" spans="6:6" x14ac:dyDescent="0.3">
      <c r="F70851" s="193"/>
    </row>
    <row r="70852" spans="6:6" x14ac:dyDescent="0.3">
      <c r="F70852" s="193"/>
    </row>
    <row r="70853" spans="6:6" x14ac:dyDescent="0.3">
      <c r="F70853" s="193"/>
    </row>
    <row r="70854" spans="6:6" x14ac:dyDescent="0.3">
      <c r="F70854" s="193"/>
    </row>
    <row r="70855" spans="6:6" x14ac:dyDescent="0.3">
      <c r="F70855" s="193"/>
    </row>
    <row r="70856" spans="6:6" x14ac:dyDescent="0.3">
      <c r="F70856" s="193"/>
    </row>
    <row r="70857" spans="6:6" x14ac:dyDescent="0.3">
      <c r="F70857" s="193"/>
    </row>
    <row r="70858" spans="6:6" x14ac:dyDescent="0.3">
      <c r="F70858" s="193"/>
    </row>
    <row r="70859" spans="6:6" x14ac:dyDescent="0.3">
      <c r="F70859" s="193"/>
    </row>
    <row r="70860" spans="6:6" x14ac:dyDescent="0.3">
      <c r="F70860" s="193"/>
    </row>
    <row r="70861" spans="6:6" x14ac:dyDescent="0.3">
      <c r="F70861" s="193"/>
    </row>
    <row r="70862" spans="6:6" x14ac:dyDescent="0.3">
      <c r="F70862" s="193"/>
    </row>
    <row r="70863" spans="6:6" x14ac:dyDescent="0.3">
      <c r="F70863" s="193"/>
    </row>
    <row r="70864" spans="6:6" x14ac:dyDescent="0.3">
      <c r="F70864" s="193"/>
    </row>
    <row r="70865" spans="6:6" x14ac:dyDescent="0.3">
      <c r="F70865" s="193"/>
    </row>
    <row r="70866" spans="6:6" x14ac:dyDescent="0.3">
      <c r="F70866" s="193"/>
    </row>
    <row r="70867" spans="6:6" x14ac:dyDescent="0.3">
      <c r="F70867" s="193"/>
    </row>
    <row r="70868" spans="6:6" x14ac:dyDescent="0.3">
      <c r="F70868" s="193"/>
    </row>
    <row r="70869" spans="6:6" x14ac:dyDescent="0.3">
      <c r="F70869" s="193"/>
    </row>
    <row r="70870" spans="6:6" x14ac:dyDescent="0.3">
      <c r="F70870" s="193"/>
    </row>
    <row r="70871" spans="6:6" x14ac:dyDescent="0.3">
      <c r="F70871" s="193"/>
    </row>
    <row r="70872" spans="6:6" x14ac:dyDescent="0.3">
      <c r="F70872" s="193"/>
    </row>
    <row r="70873" spans="6:6" x14ac:dyDescent="0.3">
      <c r="F70873" s="193"/>
    </row>
    <row r="70874" spans="6:6" x14ac:dyDescent="0.3">
      <c r="F70874" s="193"/>
    </row>
    <row r="70875" spans="6:6" x14ac:dyDescent="0.3">
      <c r="F70875" s="193"/>
    </row>
    <row r="70876" spans="6:6" x14ac:dyDescent="0.3">
      <c r="F70876" s="193"/>
    </row>
    <row r="70877" spans="6:6" x14ac:dyDescent="0.3">
      <c r="F70877" s="193"/>
    </row>
    <row r="70878" spans="6:6" x14ac:dyDescent="0.3">
      <c r="F70878" s="193"/>
    </row>
    <row r="70879" spans="6:6" x14ac:dyDescent="0.3">
      <c r="F70879" s="193"/>
    </row>
    <row r="70880" spans="6:6" x14ac:dyDescent="0.3">
      <c r="F70880" s="193"/>
    </row>
    <row r="70881" spans="6:6" x14ac:dyDescent="0.3">
      <c r="F70881" s="193"/>
    </row>
    <row r="70882" spans="6:6" x14ac:dyDescent="0.3">
      <c r="F70882" s="193"/>
    </row>
    <row r="70883" spans="6:6" x14ac:dyDescent="0.3">
      <c r="F70883" s="193"/>
    </row>
    <row r="70884" spans="6:6" x14ac:dyDescent="0.3">
      <c r="F70884" s="193"/>
    </row>
    <row r="70885" spans="6:6" x14ac:dyDescent="0.3">
      <c r="F70885" s="193"/>
    </row>
    <row r="70886" spans="6:6" x14ac:dyDescent="0.3">
      <c r="F70886" s="193"/>
    </row>
    <row r="70887" spans="6:6" x14ac:dyDescent="0.3">
      <c r="F70887" s="193"/>
    </row>
    <row r="70888" spans="6:6" x14ac:dyDescent="0.3">
      <c r="F70888" s="193"/>
    </row>
    <row r="70889" spans="6:6" x14ac:dyDescent="0.3">
      <c r="F70889" s="193"/>
    </row>
    <row r="70890" spans="6:6" x14ac:dyDescent="0.3">
      <c r="F70890" s="193"/>
    </row>
    <row r="70891" spans="6:6" x14ac:dyDescent="0.3">
      <c r="F70891" s="193"/>
    </row>
    <row r="70892" spans="6:6" x14ac:dyDescent="0.3">
      <c r="F70892" s="193"/>
    </row>
    <row r="70893" spans="6:6" x14ac:dyDescent="0.3">
      <c r="F70893" s="193"/>
    </row>
    <row r="70894" spans="6:6" x14ac:dyDescent="0.3">
      <c r="F70894" s="193"/>
    </row>
    <row r="70895" spans="6:6" x14ac:dyDescent="0.3">
      <c r="F70895" s="193"/>
    </row>
    <row r="70896" spans="6:6" x14ac:dyDescent="0.3">
      <c r="F70896" s="193"/>
    </row>
    <row r="70897" spans="6:6" x14ac:dyDescent="0.3">
      <c r="F70897" s="193"/>
    </row>
    <row r="70898" spans="6:6" x14ac:dyDescent="0.3">
      <c r="F70898" s="193"/>
    </row>
    <row r="70899" spans="6:6" x14ac:dyDescent="0.3">
      <c r="F70899" s="193"/>
    </row>
    <row r="70900" spans="6:6" x14ac:dyDescent="0.3">
      <c r="F70900" s="193"/>
    </row>
    <row r="70901" spans="6:6" x14ac:dyDescent="0.3">
      <c r="F70901" s="193"/>
    </row>
    <row r="70902" spans="6:6" x14ac:dyDescent="0.3">
      <c r="F70902" s="193"/>
    </row>
    <row r="70903" spans="6:6" x14ac:dyDescent="0.3">
      <c r="F70903" s="193"/>
    </row>
    <row r="70904" spans="6:6" x14ac:dyDescent="0.3">
      <c r="F70904" s="193"/>
    </row>
    <row r="70905" spans="6:6" x14ac:dyDescent="0.3">
      <c r="F70905" s="193"/>
    </row>
    <row r="70906" spans="6:6" x14ac:dyDescent="0.3">
      <c r="F70906" s="193"/>
    </row>
    <row r="70907" spans="6:6" x14ac:dyDescent="0.3">
      <c r="F70907" s="193"/>
    </row>
    <row r="70908" spans="6:6" x14ac:dyDescent="0.3">
      <c r="F70908" s="193"/>
    </row>
    <row r="70909" spans="6:6" x14ac:dyDescent="0.3">
      <c r="F70909" s="193"/>
    </row>
    <row r="70910" spans="6:6" x14ac:dyDescent="0.3">
      <c r="F70910" s="193"/>
    </row>
    <row r="70911" spans="6:6" x14ac:dyDescent="0.3">
      <c r="F70911" s="193"/>
    </row>
    <row r="70912" spans="6:6" x14ac:dyDescent="0.3">
      <c r="F70912" s="193"/>
    </row>
    <row r="70913" spans="6:6" x14ac:dyDescent="0.3">
      <c r="F70913" s="193"/>
    </row>
    <row r="70914" spans="6:6" x14ac:dyDescent="0.3">
      <c r="F70914" s="193"/>
    </row>
    <row r="70915" spans="6:6" x14ac:dyDescent="0.3">
      <c r="F70915" s="193"/>
    </row>
    <row r="70916" spans="6:6" x14ac:dyDescent="0.3">
      <c r="F70916" s="193"/>
    </row>
    <row r="70917" spans="6:6" x14ac:dyDescent="0.3">
      <c r="F70917" s="193"/>
    </row>
    <row r="70918" spans="6:6" x14ac:dyDescent="0.3">
      <c r="F70918" s="193"/>
    </row>
    <row r="70919" spans="6:6" x14ac:dyDescent="0.3">
      <c r="F70919" s="193"/>
    </row>
    <row r="70920" spans="6:6" x14ac:dyDescent="0.3">
      <c r="F70920" s="193"/>
    </row>
    <row r="70921" spans="6:6" x14ac:dyDescent="0.3">
      <c r="F70921" s="193"/>
    </row>
    <row r="70922" spans="6:6" x14ac:dyDescent="0.3">
      <c r="F70922" s="193"/>
    </row>
    <row r="70923" spans="6:6" x14ac:dyDescent="0.3">
      <c r="F70923" s="193"/>
    </row>
    <row r="70924" spans="6:6" x14ac:dyDescent="0.3">
      <c r="F70924" s="193"/>
    </row>
    <row r="70925" spans="6:6" x14ac:dyDescent="0.3">
      <c r="F70925" s="193"/>
    </row>
    <row r="70926" spans="6:6" x14ac:dyDescent="0.3">
      <c r="F70926" s="193"/>
    </row>
    <row r="70927" spans="6:6" x14ac:dyDescent="0.3">
      <c r="F70927" s="193"/>
    </row>
    <row r="70928" spans="6:6" x14ac:dyDescent="0.3">
      <c r="F70928" s="193"/>
    </row>
    <row r="70929" spans="6:6" x14ac:dyDescent="0.3">
      <c r="F70929" s="193"/>
    </row>
    <row r="70930" spans="6:6" x14ac:dyDescent="0.3">
      <c r="F70930" s="193"/>
    </row>
    <row r="70931" spans="6:6" x14ac:dyDescent="0.3">
      <c r="F70931" s="193"/>
    </row>
    <row r="70932" spans="6:6" x14ac:dyDescent="0.3">
      <c r="F70932" s="193"/>
    </row>
    <row r="70933" spans="6:6" x14ac:dyDescent="0.3">
      <c r="F70933" s="193"/>
    </row>
    <row r="70934" spans="6:6" x14ac:dyDescent="0.3">
      <c r="F70934" s="193"/>
    </row>
    <row r="70935" spans="6:6" x14ac:dyDescent="0.3">
      <c r="F70935" s="193"/>
    </row>
    <row r="70936" spans="6:6" x14ac:dyDescent="0.3">
      <c r="F70936" s="193"/>
    </row>
    <row r="70937" spans="6:6" x14ac:dyDescent="0.3">
      <c r="F70937" s="193"/>
    </row>
    <row r="70938" spans="6:6" x14ac:dyDescent="0.3">
      <c r="F70938" s="193"/>
    </row>
    <row r="70939" spans="6:6" x14ac:dyDescent="0.3">
      <c r="F70939" s="193"/>
    </row>
    <row r="70940" spans="6:6" x14ac:dyDescent="0.3">
      <c r="F70940" s="193"/>
    </row>
    <row r="70941" spans="6:6" x14ac:dyDescent="0.3">
      <c r="F70941" s="193"/>
    </row>
    <row r="70942" spans="6:6" x14ac:dyDescent="0.3">
      <c r="F70942" s="193"/>
    </row>
    <row r="70943" spans="6:6" x14ac:dyDescent="0.3">
      <c r="F70943" s="193"/>
    </row>
    <row r="70944" spans="6:6" x14ac:dyDescent="0.3">
      <c r="F70944" s="193"/>
    </row>
    <row r="70945" spans="6:6" x14ac:dyDescent="0.3">
      <c r="F70945" s="193"/>
    </row>
    <row r="70946" spans="6:6" x14ac:dyDescent="0.3">
      <c r="F70946" s="193"/>
    </row>
    <row r="70947" spans="6:6" x14ac:dyDescent="0.3">
      <c r="F70947" s="193"/>
    </row>
    <row r="70948" spans="6:6" x14ac:dyDescent="0.3">
      <c r="F70948" s="193"/>
    </row>
    <row r="70949" spans="6:6" x14ac:dyDescent="0.3">
      <c r="F70949" s="193"/>
    </row>
    <row r="70950" spans="6:6" x14ac:dyDescent="0.3">
      <c r="F70950" s="193"/>
    </row>
    <row r="70951" spans="6:6" x14ac:dyDescent="0.3">
      <c r="F70951" s="193"/>
    </row>
    <row r="70952" spans="6:6" x14ac:dyDescent="0.3">
      <c r="F70952" s="193"/>
    </row>
    <row r="70953" spans="6:6" x14ac:dyDescent="0.3">
      <c r="F70953" s="193"/>
    </row>
    <row r="70954" spans="6:6" x14ac:dyDescent="0.3">
      <c r="F70954" s="193"/>
    </row>
    <row r="70955" spans="6:6" x14ac:dyDescent="0.3">
      <c r="F70955" s="193"/>
    </row>
    <row r="70956" spans="6:6" x14ac:dyDescent="0.3">
      <c r="F70956" s="193"/>
    </row>
    <row r="70957" spans="6:6" x14ac:dyDescent="0.3">
      <c r="F70957" s="193"/>
    </row>
    <row r="70958" spans="6:6" x14ac:dyDescent="0.3">
      <c r="F70958" s="193"/>
    </row>
    <row r="70959" spans="6:6" x14ac:dyDescent="0.3">
      <c r="F70959" s="193"/>
    </row>
    <row r="70960" spans="6:6" x14ac:dyDescent="0.3">
      <c r="F70960" s="193"/>
    </row>
    <row r="70961" spans="6:6" x14ac:dyDescent="0.3">
      <c r="F70961" s="193"/>
    </row>
    <row r="70962" spans="6:6" x14ac:dyDescent="0.3">
      <c r="F70962" s="193"/>
    </row>
    <row r="70963" spans="6:6" x14ac:dyDescent="0.3">
      <c r="F70963" s="193"/>
    </row>
    <row r="70964" spans="6:6" x14ac:dyDescent="0.3">
      <c r="F70964" s="193"/>
    </row>
    <row r="70965" spans="6:6" x14ac:dyDescent="0.3">
      <c r="F70965" s="193"/>
    </row>
    <row r="70966" spans="6:6" x14ac:dyDescent="0.3">
      <c r="F70966" s="193"/>
    </row>
    <row r="70967" spans="6:6" x14ac:dyDescent="0.3">
      <c r="F70967" s="193"/>
    </row>
    <row r="70968" spans="6:6" x14ac:dyDescent="0.3">
      <c r="F70968" s="193"/>
    </row>
    <row r="70969" spans="6:6" x14ac:dyDescent="0.3">
      <c r="F70969" s="193"/>
    </row>
    <row r="70970" spans="6:6" x14ac:dyDescent="0.3">
      <c r="F70970" s="193"/>
    </row>
    <row r="70971" spans="6:6" x14ac:dyDescent="0.3">
      <c r="F70971" s="193"/>
    </row>
    <row r="70972" spans="6:6" x14ac:dyDescent="0.3">
      <c r="F70972" s="193"/>
    </row>
    <row r="70973" spans="6:6" x14ac:dyDescent="0.3">
      <c r="F70973" s="193"/>
    </row>
    <row r="70974" spans="6:6" x14ac:dyDescent="0.3">
      <c r="F70974" s="193"/>
    </row>
    <row r="70975" spans="6:6" x14ac:dyDescent="0.3">
      <c r="F70975" s="193"/>
    </row>
    <row r="70976" spans="6:6" x14ac:dyDescent="0.3">
      <c r="F70976" s="193"/>
    </row>
    <row r="70977" spans="6:6" x14ac:dyDescent="0.3">
      <c r="F70977" s="193"/>
    </row>
    <row r="70978" spans="6:6" x14ac:dyDescent="0.3">
      <c r="F70978" s="193"/>
    </row>
    <row r="70979" spans="6:6" x14ac:dyDescent="0.3">
      <c r="F70979" s="193"/>
    </row>
    <row r="70980" spans="6:6" x14ac:dyDescent="0.3">
      <c r="F70980" s="193"/>
    </row>
    <row r="70981" spans="6:6" x14ac:dyDescent="0.3">
      <c r="F70981" s="193"/>
    </row>
    <row r="70982" spans="6:6" x14ac:dyDescent="0.3">
      <c r="F70982" s="193"/>
    </row>
    <row r="70983" spans="6:6" x14ac:dyDescent="0.3">
      <c r="F70983" s="193"/>
    </row>
    <row r="70984" spans="6:6" x14ac:dyDescent="0.3">
      <c r="F70984" s="193"/>
    </row>
    <row r="70985" spans="6:6" x14ac:dyDescent="0.3">
      <c r="F70985" s="193"/>
    </row>
    <row r="70986" spans="6:6" x14ac:dyDescent="0.3">
      <c r="F70986" s="193"/>
    </row>
    <row r="70987" spans="6:6" x14ac:dyDescent="0.3">
      <c r="F70987" s="193"/>
    </row>
    <row r="70988" spans="6:6" x14ac:dyDescent="0.3">
      <c r="F70988" s="193"/>
    </row>
    <row r="70989" spans="6:6" x14ac:dyDescent="0.3">
      <c r="F70989" s="193"/>
    </row>
    <row r="70990" spans="6:6" x14ac:dyDescent="0.3">
      <c r="F70990" s="193"/>
    </row>
    <row r="70991" spans="6:6" x14ac:dyDescent="0.3">
      <c r="F70991" s="193"/>
    </row>
    <row r="70992" spans="6:6" x14ac:dyDescent="0.3">
      <c r="F70992" s="193"/>
    </row>
    <row r="70993" spans="6:6" x14ac:dyDescent="0.3">
      <c r="F70993" s="193"/>
    </row>
    <row r="70994" spans="6:6" x14ac:dyDescent="0.3">
      <c r="F70994" s="193"/>
    </row>
    <row r="70995" spans="6:6" x14ac:dyDescent="0.3">
      <c r="F70995" s="193"/>
    </row>
    <row r="70996" spans="6:6" x14ac:dyDescent="0.3">
      <c r="F70996" s="193"/>
    </row>
    <row r="70997" spans="6:6" x14ac:dyDescent="0.3">
      <c r="F70997" s="193"/>
    </row>
    <row r="70998" spans="6:6" x14ac:dyDescent="0.3">
      <c r="F70998" s="193"/>
    </row>
    <row r="70999" spans="6:6" x14ac:dyDescent="0.3">
      <c r="F70999" s="193"/>
    </row>
    <row r="71000" spans="6:6" x14ac:dyDescent="0.3">
      <c r="F71000" s="193"/>
    </row>
    <row r="71001" spans="6:6" x14ac:dyDescent="0.3">
      <c r="F71001" s="193"/>
    </row>
    <row r="71002" spans="6:6" x14ac:dyDescent="0.3">
      <c r="F71002" s="193"/>
    </row>
    <row r="71003" spans="6:6" x14ac:dyDescent="0.3">
      <c r="F71003" s="193"/>
    </row>
    <row r="71004" spans="6:6" x14ac:dyDescent="0.3">
      <c r="F71004" s="193"/>
    </row>
    <row r="71005" spans="6:6" x14ac:dyDescent="0.3">
      <c r="F71005" s="193"/>
    </row>
    <row r="71006" spans="6:6" x14ac:dyDescent="0.3">
      <c r="F71006" s="193"/>
    </row>
    <row r="71007" spans="6:6" x14ac:dyDescent="0.3">
      <c r="F71007" s="193"/>
    </row>
    <row r="71008" spans="6:6" x14ac:dyDescent="0.3">
      <c r="F71008" s="193"/>
    </row>
    <row r="71009" spans="6:6" x14ac:dyDescent="0.3">
      <c r="F71009" s="193"/>
    </row>
    <row r="71010" spans="6:6" x14ac:dyDescent="0.3">
      <c r="F71010" s="193"/>
    </row>
    <row r="71011" spans="6:6" x14ac:dyDescent="0.3">
      <c r="F71011" s="193"/>
    </row>
    <row r="71012" spans="6:6" x14ac:dyDescent="0.3">
      <c r="F71012" s="193"/>
    </row>
    <row r="71013" spans="6:6" x14ac:dyDescent="0.3">
      <c r="F71013" s="193"/>
    </row>
    <row r="71014" spans="6:6" x14ac:dyDescent="0.3">
      <c r="F71014" s="193"/>
    </row>
    <row r="71015" spans="6:6" x14ac:dyDescent="0.3">
      <c r="F71015" s="193"/>
    </row>
    <row r="71016" spans="6:6" x14ac:dyDescent="0.3">
      <c r="F71016" s="193"/>
    </row>
    <row r="71017" spans="6:6" x14ac:dyDescent="0.3">
      <c r="F71017" s="193"/>
    </row>
    <row r="71018" spans="6:6" x14ac:dyDescent="0.3">
      <c r="F71018" s="193"/>
    </row>
    <row r="71019" spans="6:6" x14ac:dyDescent="0.3">
      <c r="F71019" s="193"/>
    </row>
    <row r="71020" spans="6:6" x14ac:dyDescent="0.3">
      <c r="F71020" s="193"/>
    </row>
    <row r="71021" spans="6:6" x14ac:dyDescent="0.3">
      <c r="F71021" s="193"/>
    </row>
    <row r="71022" spans="6:6" x14ac:dyDescent="0.3">
      <c r="F71022" s="193"/>
    </row>
    <row r="71023" spans="6:6" x14ac:dyDescent="0.3">
      <c r="F71023" s="193"/>
    </row>
    <row r="71024" spans="6:6" x14ac:dyDescent="0.3">
      <c r="F71024" s="193"/>
    </row>
    <row r="71025" spans="6:6" x14ac:dyDescent="0.3">
      <c r="F71025" s="193"/>
    </row>
    <row r="71026" spans="6:6" x14ac:dyDescent="0.3">
      <c r="F71026" s="193"/>
    </row>
    <row r="71027" spans="6:6" x14ac:dyDescent="0.3">
      <c r="F71027" s="193"/>
    </row>
    <row r="71028" spans="6:6" x14ac:dyDescent="0.3">
      <c r="F71028" s="193"/>
    </row>
    <row r="71029" spans="6:6" x14ac:dyDescent="0.3">
      <c r="F71029" s="193"/>
    </row>
    <row r="71030" spans="6:6" x14ac:dyDescent="0.3">
      <c r="F71030" s="193"/>
    </row>
    <row r="71031" spans="6:6" x14ac:dyDescent="0.3">
      <c r="F71031" s="193"/>
    </row>
    <row r="71032" spans="6:6" x14ac:dyDescent="0.3">
      <c r="F71032" s="193"/>
    </row>
    <row r="71033" spans="6:6" x14ac:dyDescent="0.3">
      <c r="F71033" s="193"/>
    </row>
    <row r="71034" spans="6:6" x14ac:dyDescent="0.3">
      <c r="F71034" s="193"/>
    </row>
    <row r="71035" spans="6:6" x14ac:dyDescent="0.3">
      <c r="F71035" s="193"/>
    </row>
    <row r="71036" spans="6:6" x14ac:dyDescent="0.3">
      <c r="F71036" s="193"/>
    </row>
    <row r="71037" spans="6:6" x14ac:dyDescent="0.3">
      <c r="F71037" s="193"/>
    </row>
    <row r="71038" spans="6:6" x14ac:dyDescent="0.3">
      <c r="F71038" s="193"/>
    </row>
    <row r="71039" spans="6:6" x14ac:dyDescent="0.3">
      <c r="F71039" s="193"/>
    </row>
    <row r="71040" spans="6:6" x14ac:dyDescent="0.3">
      <c r="F71040" s="193"/>
    </row>
    <row r="71041" spans="6:6" x14ac:dyDescent="0.3">
      <c r="F71041" s="193"/>
    </row>
    <row r="71042" spans="6:6" x14ac:dyDescent="0.3">
      <c r="F71042" s="193"/>
    </row>
    <row r="71043" spans="6:6" x14ac:dyDescent="0.3">
      <c r="F71043" s="193"/>
    </row>
    <row r="71044" spans="6:6" x14ac:dyDescent="0.3">
      <c r="F71044" s="193"/>
    </row>
    <row r="71045" spans="6:6" x14ac:dyDescent="0.3">
      <c r="F71045" s="193"/>
    </row>
    <row r="71046" spans="6:6" x14ac:dyDescent="0.3">
      <c r="F71046" s="193"/>
    </row>
    <row r="71047" spans="6:6" x14ac:dyDescent="0.3">
      <c r="F71047" s="193"/>
    </row>
    <row r="71048" spans="6:6" x14ac:dyDescent="0.3">
      <c r="F71048" s="193"/>
    </row>
    <row r="71049" spans="6:6" x14ac:dyDescent="0.3">
      <c r="F71049" s="193"/>
    </row>
    <row r="71050" spans="6:6" x14ac:dyDescent="0.3">
      <c r="F71050" s="193"/>
    </row>
    <row r="71051" spans="6:6" x14ac:dyDescent="0.3">
      <c r="F71051" s="193"/>
    </row>
    <row r="71052" spans="6:6" x14ac:dyDescent="0.3">
      <c r="F71052" s="193"/>
    </row>
    <row r="71053" spans="6:6" x14ac:dyDescent="0.3">
      <c r="F71053" s="193"/>
    </row>
    <row r="71054" spans="6:6" x14ac:dyDescent="0.3">
      <c r="F71054" s="193"/>
    </row>
    <row r="71055" spans="6:6" x14ac:dyDescent="0.3">
      <c r="F71055" s="193"/>
    </row>
    <row r="71056" spans="6:6" x14ac:dyDescent="0.3">
      <c r="F71056" s="193"/>
    </row>
    <row r="71057" spans="6:6" x14ac:dyDescent="0.3">
      <c r="F71057" s="193"/>
    </row>
    <row r="71058" spans="6:6" x14ac:dyDescent="0.3">
      <c r="F71058" s="193"/>
    </row>
    <row r="71059" spans="6:6" x14ac:dyDescent="0.3">
      <c r="F71059" s="193"/>
    </row>
    <row r="71060" spans="6:6" x14ac:dyDescent="0.3">
      <c r="F71060" s="193"/>
    </row>
    <row r="71061" spans="6:6" x14ac:dyDescent="0.3">
      <c r="F71061" s="193"/>
    </row>
    <row r="71062" spans="6:6" x14ac:dyDescent="0.3">
      <c r="F71062" s="193"/>
    </row>
    <row r="71063" spans="6:6" x14ac:dyDescent="0.3">
      <c r="F71063" s="193"/>
    </row>
    <row r="71064" spans="6:6" x14ac:dyDescent="0.3">
      <c r="F71064" s="193"/>
    </row>
    <row r="71065" spans="6:6" x14ac:dyDescent="0.3">
      <c r="F71065" s="193"/>
    </row>
    <row r="71066" spans="6:6" x14ac:dyDescent="0.3">
      <c r="F71066" s="193"/>
    </row>
    <row r="71067" spans="6:6" x14ac:dyDescent="0.3">
      <c r="F71067" s="193"/>
    </row>
    <row r="71068" spans="6:6" x14ac:dyDescent="0.3">
      <c r="F71068" s="193"/>
    </row>
    <row r="71069" spans="6:6" x14ac:dyDescent="0.3">
      <c r="F71069" s="193"/>
    </row>
    <row r="71070" spans="6:6" x14ac:dyDescent="0.3">
      <c r="F71070" s="193"/>
    </row>
    <row r="71071" spans="6:6" x14ac:dyDescent="0.3">
      <c r="F71071" s="193"/>
    </row>
    <row r="71072" spans="6:6" x14ac:dyDescent="0.3">
      <c r="F71072" s="193"/>
    </row>
    <row r="71073" spans="6:6" x14ac:dyDescent="0.3">
      <c r="F71073" s="193"/>
    </row>
    <row r="71074" spans="6:6" x14ac:dyDescent="0.3">
      <c r="F71074" s="193"/>
    </row>
    <row r="71075" spans="6:6" x14ac:dyDescent="0.3">
      <c r="F71075" s="193"/>
    </row>
    <row r="71076" spans="6:6" x14ac:dyDescent="0.3">
      <c r="F71076" s="193"/>
    </row>
    <row r="71077" spans="6:6" x14ac:dyDescent="0.3">
      <c r="F71077" s="193"/>
    </row>
    <row r="71078" spans="6:6" x14ac:dyDescent="0.3">
      <c r="F71078" s="193"/>
    </row>
    <row r="71079" spans="6:6" x14ac:dyDescent="0.3">
      <c r="F71079" s="193"/>
    </row>
    <row r="71080" spans="6:6" x14ac:dyDescent="0.3">
      <c r="F71080" s="193"/>
    </row>
    <row r="71081" spans="6:6" x14ac:dyDescent="0.3">
      <c r="F71081" s="193"/>
    </row>
    <row r="71082" spans="6:6" x14ac:dyDescent="0.3">
      <c r="F71082" s="193"/>
    </row>
    <row r="71083" spans="6:6" x14ac:dyDescent="0.3">
      <c r="F71083" s="193"/>
    </row>
    <row r="71084" spans="6:6" x14ac:dyDescent="0.3">
      <c r="F71084" s="193"/>
    </row>
    <row r="71085" spans="6:6" x14ac:dyDescent="0.3">
      <c r="F71085" s="193"/>
    </row>
    <row r="71086" spans="6:6" x14ac:dyDescent="0.3">
      <c r="F71086" s="193"/>
    </row>
    <row r="71087" spans="6:6" x14ac:dyDescent="0.3">
      <c r="F71087" s="193"/>
    </row>
    <row r="71088" spans="6:6" x14ac:dyDescent="0.3">
      <c r="F71088" s="193"/>
    </row>
    <row r="71089" spans="6:6" x14ac:dyDescent="0.3">
      <c r="F71089" s="193"/>
    </row>
    <row r="71090" spans="6:6" x14ac:dyDescent="0.3">
      <c r="F71090" s="193"/>
    </row>
    <row r="71091" spans="6:6" x14ac:dyDescent="0.3">
      <c r="F71091" s="193"/>
    </row>
    <row r="71092" spans="6:6" x14ac:dyDescent="0.3">
      <c r="F71092" s="193"/>
    </row>
    <row r="71093" spans="6:6" x14ac:dyDescent="0.3">
      <c r="F71093" s="193"/>
    </row>
    <row r="71094" spans="6:6" x14ac:dyDescent="0.3">
      <c r="F71094" s="193"/>
    </row>
    <row r="71095" spans="6:6" x14ac:dyDescent="0.3">
      <c r="F71095" s="193"/>
    </row>
    <row r="71096" spans="6:6" x14ac:dyDescent="0.3">
      <c r="F71096" s="193"/>
    </row>
    <row r="71097" spans="6:6" x14ac:dyDescent="0.3">
      <c r="F71097" s="193"/>
    </row>
    <row r="71098" spans="6:6" x14ac:dyDescent="0.3">
      <c r="F71098" s="193"/>
    </row>
    <row r="71099" spans="6:6" x14ac:dyDescent="0.3">
      <c r="F71099" s="193"/>
    </row>
    <row r="71100" spans="6:6" x14ac:dyDescent="0.3">
      <c r="F71100" s="193"/>
    </row>
    <row r="71101" spans="6:6" x14ac:dyDescent="0.3">
      <c r="F71101" s="193"/>
    </row>
    <row r="71102" spans="6:6" x14ac:dyDescent="0.3">
      <c r="F71102" s="193"/>
    </row>
    <row r="71103" spans="6:6" x14ac:dyDescent="0.3">
      <c r="F71103" s="193"/>
    </row>
    <row r="71104" spans="6:6" x14ac:dyDescent="0.3">
      <c r="F71104" s="193"/>
    </row>
    <row r="71105" spans="6:6" x14ac:dyDescent="0.3">
      <c r="F71105" s="193"/>
    </row>
    <row r="71106" spans="6:6" x14ac:dyDescent="0.3">
      <c r="F71106" s="193"/>
    </row>
    <row r="71107" spans="6:6" x14ac:dyDescent="0.3">
      <c r="F71107" s="193"/>
    </row>
    <row r="71108" spans="6:6" x14ac:dyDescent="0.3">
      <c r="F71108" s="193"/>
    </row>
    <row r="71109" spans="6:6" x14ac:dyDescent="0.3">
      <c r="F71109" s="193"/>
    </row>
    <row r="71110" spans="6:6" x14ac:dyDescent="0.3">
      <c r="F71110" s="193"/>
    </row>
    <row r="71111" spans="6:6" x14ac:dyDescent="0.3">
      <c r="F71111" s="193"/>
    </row>
    <row r="71112" spans="6:6" x14ac:dyDescent="0.3">
      <c r="F71112" s="193"/>
    </row>
    <row r="71113" spans="6:6" x14ac:dyDescent="0.3">
      <c r="F71113" s="193"/>
    </row>
    <row r="71114" spans="6:6" x14ac:dyDescent="0.3">
      <c r="F71114" s="193"/>
    </row>
    <row r="71115" spans="6:6" x14ac:dyDescent="0.3">
      <c r="F71115" s="193"/>
    </row>
    <row r="71116" spans="6:6" x14ac:dyDescent="0.3">
      <c r="F71116" s="193"/>
    </row>
    <row r="71117" spans="6:6" x14ac:dyDescent="0.3">
      <c r="F71117" s="193"/>
    </row>
    <row r="71118" spans="6:6" x14ac:dyDescent="0.3">
      <c r="F71118" s="193"/>
    </row>
    <row r="71119" spans="6:6" x14ac:dyDescent="0.3">
      <c r="F71119" s="193"/>
    </row>
    <row r="71120" spans="6:6" x14ac:dyDescent="0.3">
      <c r="F71120" s="193"/>
    </row>
    <row r="71121" spans="6:6" x14ac:dyDescent="0.3">
      <c r="F71121" s="193"/>
    </row>
    <row r="71122" spans="6:6" x14ac:dyDescent="0.3">
      <c r="F71122" s="193"/>
    </row>
    <row r="71123" spans="6:6" x14ac:dyDescent="0.3">
      <c r="F71123" s="193"/>
    </row>
    <row r="71124" spans="6:6" x14ac:dyDescent="0.3">
      <c r="F71124" s="193"/>
    </row>
    <row r="71125" spans="6:6" x14ac:dyDescent="0.3">
      <c r="F71125" s="193"/>
    </row>
    <row r="71126" spans="6:6" x14ac:dyDescent="0.3">
      <c r="F71126" s="193"/>
    </row>
    <row r="71127" spans="6:6" x14ac:dyDescent="0.3">
      <c r="F71127" s="193"/>
    </row>
    <row r="71128" spans="6:6" x14ac:dyDescent="0.3">
      <c r="F71128" s="193"/>
    </row>
    <row r="71129" spans="6:6" x14ac:dyDescent="0.3">
      <c r="F71129" s="193"/>
    </row>
    <row r="71130" spans="6:6" x14ac:dyDescent="0.3">
      <c r="F71130" s="193"/>
    </row>
    <row r="71131" spans="6:6" x14ac:dyDescent="0.3">
      <c r="F71131" s="193"/>
    </row>
    <row r="71132" spans="6:6" x14ac:dyDescent="0.3">
      <c r="F71132" s="193"/>
    </row>
    <row r="71133" spans="6:6" x14ac:dyDescent="0.3">
      <c r="F71133" s="193"/>
    </row>
    <row r="71134" spans="6:6" x14ac:dyDescent="0.3">
      <c r="F71134" s="193"/>
    </row>
    <row r="71135" spans="6:6" x14ac:dyDescent="0.3">
      <c r="F71135" s="193"/>
    </row>
    <row r="71136" spans="6:6" x14ac:dyDescent="0.3">
      <c r="F71136" s="193"/>
    </row>
    <row r="71137" spans="6:6" x14ac:dyDescent="0.3">
      <c r="F71137" s="193"/>
    </row>
    <row r="71138" spans="6:6" x14ac:dyDescent="0.3">
      <c r="F71138" s="193"/>
    </row>
    <row r="71139" spans="6:6" x14ac:dyDescent="0.3">
      <c r="F71139" s="193"/>
    </row>
    <row r="71140" spans="6:6" x14ac:dyDescent="0.3">
      <c r="F71140" s="193"/>
    </row>
    <row r="71141" spans="6:6" x14ac:dyDescent="0.3">
      <c r="F71141" s="193"/>
    </row>
    <row r="71142" spans="6:6" x14ac:dyDescent="0.3">
      <c r="F71142" s="193"/>
    </row>
    <row r="71143" spans="6:6" x14ac:dyDescent="0.3">
      <c r="F71143" s="193"/>
    </row>
    <row r="71144" spans="6:6" x14ac:dyDescent="0.3">
      <c r="F71144" s="193"/>
    </row>
    <row r="71145" spans="6:6" x14ac:dyDescent="0.3">
      <c r="F71145" s="193"/>
    </row>
    <row r="71146" spans="6:6" x14ac:dyDescent="0.3">
      <c r="F71146" s="193"/>
    </row>
    <row r="71147" spans="6:6" x14ac:dyDescent="0.3">
      <c r="F71147" s="193"/>
    </row>
    <row r="71148" spans="6:6" x14ac:dyDescent="0.3">
      <c r="F71148" s="193"/>
    </row>
    <row r="71149" spans="6:6" x14ac:dyDescent="0.3">
      <c r="F71149" s="193"/>
    </row>
    <row r="71150" spans="6:6" x14ac:dyDescent="0.3">
      <c r="F71150" s="193"/>
    </row>
    <row r="71151" spans="6:6" x14ac:dyDescent="0.3">
      <c r="F71151" s="193"/>
    </row>
    <row r="71152" spans="6:6" x14ac:dyDescent="0.3">
      <c r="F71152" s="193"/>
    </row>
    <row r="71153" spans="6:6" x14ac:dyDescent="0.3">
      <c r="F71153" s="193"/>
    </row>
    <row r="71154" spans="6:6" x14ac:dyDescent="0.3">
      <c r="F71154" s="193"/>
    </row>
    <row r="71155" spans="6:6" x14ac:dyDescent="0.3">
      <c r="F71155" s="193"/>
    </row>
    <row r="71156" spans="6:6" x14ac:dyDescent="0.3">
      <c r="F71156" s="193"/>
    </row>
    <row r="71157" spans="6:6" x14ac:dyDescent="0.3">
      <c r="F71157" s="193"/>
    </row>
    <row r="71158" spans="6:6" x14ac:dyDescent="0.3">
      <c r="F71158" s="193"/>
    </row>
    <row r="71159" spans="6:6" x14ac:dyDescent="0.3">
      <c r="F71159" s="193"/>
    </row>
    <row r="71160" spans="6:6" x14ac:dyDescent="0.3">
      <c r="F71160" s="193"/>
    </row>
    <row r="71161" spans="6:6" x14ac:dyDescent="0.3">
      <c r="F71161" s="193"/>
    </row>
    <row r="71162" spans="6:6" x14ac:dyDescent="0.3">
      <c r="F71162" s="193"/>
    </row>
    <row r="71163" spans="6:6" x14ac:dyDescent="0.3">
      <c r="F71163" s="193"/>
    </row>
    <row r="71164" spans="6:6" x14ac:dyDescent="0.3">
      <c r="F71164" s="193"/>
    </row>
    <row r="71165" spans="6:6" x14ac:dyDescent="0.3">
      <c r="F71165" s="193"/>
    </row>
    <row r="71166" spans="6:6" x14ac:dyDescent="0.3">
      <c r="F71166" s="193"/>
    </row>
    <row r="71167" spans="6:6" x14ac:dyDescent="0.3">
      <c r="F71167" s="193"/>
    </row>
    <row r="71168" spans="6:6" x14ac:dyDescent="0.3">
      <c r="F71168" s="193"/>
    </row>
    <row r="71169" spans="6:6" x14ac:dyDescent="0.3">
      <c r="F71169" s="193"/>
    </row>
    <row r="71170" spans="6:6" x14ac:dyDescent="0.3">
      <c r="F71170" s="193"/>
    </row>
    <row r="71171" spans="6:6" x14ac:dyDescent="0.3">
      <c r="F71171" s="193"/>
    </row>
    <row r="71172" spans="6:6" x14ac:dyDescent="0.3">
      <c r="F71172" s="193"/>
    </row>
    <row r="71173" spans="6:6" x14ac:dyDescent="0.3">
      <c r="F71173" s="193"/>
    </row>
    <row r="71174" spans="6:6" x14ac:dyDescent="0.3">
      <c r="F71174" s="193"/>
    </row>
    <row r="71175" spans="6:6" x14ac:dyDescent="0.3">
      <c r="F71175" s="193"/>
    </row>
    <row r="71176" spans="6:6" x14ac:dyDescent="0.3">
      <c r="F71176" s="193"/>
    </row>
    <row r="71177" spans="6:6" x14ac:dyDescent="0.3">
      <c r="F71177" s="193"/>
    </row>
    <row r="71178" spans="6:6" x14ac:dyDescent="0.3">
      <c r="F71178" s="193"/>
    </row>
    <row r="71179" spans="6:6" x14ac:dyDescent="0.3">
      <c r="F71179" s="193"/>
    </row>
    <row r="71180" spans="6:6" x14ac:dyDescent="0.3">
      <c r="F71180" s="193"/>
    </row>
    <row r="71181" spans="6:6" x14ac:dyDescent="0.3">
      <c r="F71181" s="193"/>
    </row>
    <row r="71182" spans="6:6" x14ac:dyDescent="0.3">
      <c r="F71182" s="193"/>
    </row>
    <row r="71183" spans="6:6" x14ac:dyDescent="0.3">
      <c r="F71183" s="193"/>
    </row>
    <row r="71184" spans="6:6" x14ac:dyDescent="0.3">
      <c r="F71184" s="193"/>
    </row>
    <row r="71185" spans="6:6" x14ac:dyDescent="0.3">
      <c r="F71185" s="193"/>
    </row>
    <row r="71186" spans="6:6" x14ac:dyDescent="0.3">
      <c r="F71186" s="193"/>
    </row>
    <row r="71187" spans="6:6" x14ac:dyDescent="0.3">
      <c r="F71187" s="193"/>
    </row>
    <row r="71188" spans="6:6" x14ac:dyDescent="0.3">
      <c r="F71188" s="193"/>
    </row>
    <row r="71189" spans="6:6" x14ac:dyDescent="0.3">
      <c r="F71189" s="193"/>
    </row>
    <row r="71190" spans="6:6" x14ac:dyDescent="0.3">
      <c r="F71190" s="193"/>
    </row>
    <row r="71191" spans="6:6" x14ac:dyDescent="0.3">
      <c r="F71191" s="193"/>
    </row>
    <row r="71192" spans="6:6" x14ac:dyDescent="0.3">
      <c r="F71192" s="193"/>
    </row>
    <row r="71193" spans="6:6" x14ac:dyDescent="0.3">
      <c r="F71193" s="193"/>
    </row>
    <row r="71194" spans="6:6" x14ac:dyDescent="0.3">
      <c r="F71194" s="193"/>
    </row>
    <row r="71195" spans="6:6" x14ac:dyDescent="0.3">
      <c r="F71195" s="193"/>
    </row>
    <row r="71196" spans="6:6" x14ac:dyDescent="0.3">
      <c r="F71196" s="193"/>
    </row>
    <row r="71197" spans="6:6" x14ac:dyDescent="0.3">
      <c r="F71197" s="193"/>
    </row>
    <row r="71198" spans="6:6" x14ac:dyDescent="0.3">
      <c r="F71198" s="193"/>
    </row>
    <row r="71199" spans="6:6" x14ac:dyDescent="0.3">
      <c r="F71199" s="193"/>
    </row>
    <row r="71200" spans="6:6" x14ac:dyDescent="0.3">
      <c r="F71200" s="193"/>
    </row>
    <row r="71201" spans="6:6" x14ac:dyDescent="0.3">
      <c r="F71201" s="193"/>
    </row>
    <row r="71202" spans="6:6" x14ac:dyDescent="0.3">
      <c r="F71202" s="193"/>
    </row>
    <row r="71203" spans="6:6" x14ac:dyDescent="0.3">
      <c r="F71203" s="193"/>
    </row>
    <row r="71204" spans="6:6" x14ac:dyDescent="0.3">
      <c r="F71204" s="193"/>
    </row>
    <row r="71205" spans="6:6" x14ac:dyDescent="0.3">
      <c r="F71205" s="193"/>
    </row>
    <row r="71206" spans="6:6" x14ac:dyDescent="0.3">
      <c r="F71206" s="193"/>
    </row>
    <row r="71207" spans="6:6" x14ac:dyDescent="0.3">
      <c r="F71207" s="193"/>
    </row>
    <row r="71208" spans="6:6" x14ac:dyDescent="0.3">
      <c r="F71208" s="193"/>
    </row>
    <row r="71209" spans="6:6" x14ac:dyDescent="0.3">
      <c r="F71209" s="193"/>
    </row>
    <row r="71210" spans="6:6" x14ac:dyDescent="0.3">
      <c r="F71210" s="193"/>
    </row>
    <row r="71211" spans="6:6" x14ac:dyDescent="0.3">
      <c r="F71211" s="193"/>
    </row>
    <row r="71212" spans="6:6" x14ac:dyDescent="0.3">
      <c r="F71212" s="193"/>
    </row>
    <row r="71213" spans="6:6" x14ac:dyDescent="0.3">
      <c r="F71213" s="193"/>
    </row>
    <row r="71214" spans="6:6" x14ac:dyDescent="0.3">
      <c r="F71214" s="193"/>
    </row>
    <row r="71215" spans="6:6" x14ac:dyDescent="0.3">
      <c r="F71215" s="193"/>
    </row>
    <row r="71216" spans="6:6" x14ac:dyDescent="0.3">
      <c r="F71216" s="193"/>
    </row>
    <row r="71217" spans="6:6" x14ac:dyDescent="0.3">
      <c r="F71217" s="193"/>
    </row>
    <row r="71218" spans="6:6" x14ac:dyDescent="0.3">
      <c r="F71218" s="193"/>
    </row>
    <row r="71219" spans="6:6" x14ac:dyDescent="0.3">
      <c r="F71219" s="193"/>
    </row>
    <row r="71220" spans="6:6" x14ac:dyDescent="0.3">
      <c r="F71220" s="193"/>
    </row>
    <row r="71221" spans="6:6" x14ac:dyDescent="0.3">
      <c r="F71221" s="193"/>
    </row>
    <row r="71222" spans="6:6" x14ac:dyDescent="0.3">
      <c r="F71222" s="193"/>
    </row>
    <row r="71223" spans="6:6" x14ac:dyDescent="0.3">
      <c r="F71223" s="193"/>
    </row>
    <row r="71224" spans="6:6" x14ac:dyDescent="0.3">
      <c r="F71224" s="193"/>
    </row>
    <row r="71225" spans="6:6" x14ac:dyDescent="0.3">
      <c r="F71225" s="193"/>
    </row>
    <row r="71226" spans="6:6" x14ac:dyDescent="0.3">
      <c r="F71226" s="193"/>
    </row>
    <row r="71227" spans="6:6" x14ac:dyDescent="0.3">
      <c r="F71227" s="193"/>
    </row>
    <row r="71228" spans="6:6" x14ac:dyDescent="0.3">
      <c r="F71228" s="193"/>
    </row>
    <row r="71229" spans="6:6" x14ac:dyDescent="0.3">
      <c r="F71229" s="193"/>
    </row>
    <row r="71230" spans="6:6" x14ac:dyDescent="0.3">
      <c r="F71230" s="193"/>
    </row>
    <row r="71231" spans="6:6" x14ac:dyDescent="0.3">
      <c r="F71231" s="193"/>
    </row>
    <row r="71232" spans="6:6" x14ac:dyDescent="0.3">
      <c r="F71232" s="193"/>
    </row>
    <row r="71233" spans="6:6" x14ac:dyDescent="0.3">
      <c r="F71233" s="193"/>
    </row>
    <row r="71234" spans="6:6" x14ac:dyDescent="0.3">
      <c r="F71234" s="193"/>
    </row>
    <row r="71235" spans="6:6" x14ac:dyDescent="0.3">
      <c r="F71235" s="193"/>
    </row>
    <row r="71236" spans="6:6" x14ac:dyDescent="0.3">
      <c r="F71236" s="193"/>
    </row>
    <row r="71237" spans="6:6" x14ac:dyDescent="0.3">
      <c r="F71237" s="193"/>
    </row>
    <row r="71238" spans="6:6" x14ac:dyDescent="0.3">
      <c r="F71238" s="193"/>
    </row>
    <row r="71239" spans="6:6" x14ac:dyDescent="0.3">
      <c r="F71239" s="193"/>
    </row>
    <row r="71240" spans="6:6" x14ac:dyDescent="0.3">
      <c r="F71240" s="193"/>
    </row>
    <row r="71241" spans="6:6" x14ac:dyDescent="0.3">
      <c r="F71241" s="193"/>
    </row>
    <row r="71242" spans="6:6" x14ac:dyDescent="0.3">
      <c r="F71242" s="193"/>
    </row>
    <row r="71243" spans="6:6" x14ac:dyDescent="0.3">
      <c r="F71243" s="193"/>
    </row>
    <row r="71244" spans="6:6" x14ac:dyDescent="0.3">
      <c r="F71244" s="193"/>
    </row>
    <row r="71245" spans="6:6" x14ac:dyDescent="0.3">
      <c r="F71245" s="193"/>
    </row>
    <row r="71246" spans="6:6" x14ac:dyDescent="0.3">
      <c r="F71246" s="193"/>
    </row>
    <row r="71247" spans="6:6" x14ac:dyDescent="0.3">
      <c r="F71247" s="193"/>
    </row>
    <row r="71248" spans="6:6" x14ac:dyDescent="0.3">
      <c r="F71248" s="193"/>
    </row>
    <row r="71249" spans="6:6" x14ac:dyDescent="0.3">
      <c r="F71249" s="193"/>
    </row>
    <row r="71250" spans="6:6" x14ac:dyDescent="0.3">
      <c r="F71250" s="193"/>
    </row>
    <row r="71251" spans="6:6" x14ac:dyDescent="0.3">
      <c r="F71251" s="193"/>
    </row>
    <row r="71252" spans="6:6" x14ac:dyDescent="0.3">
      <c r="F71252" s="193"/>
    </row>
    <row r="71253" spans="6:6" x14ac:dyDescent="0.3">
      <c r="F71253" s="193"/>
    </row>
    <row r="71254" spans="6:6" x14ac:dyDescent="0.3">
      <c r="F71254" s="193"/>
    </row>
    <row r="71255" spans="6:6" x14ac:dyDescent="0.3">
      <c r="F71255" s="193"/>
    </row>
    <row r="71256" spans="6:6" x14ac:dyDescent="0.3">
      <c r="F71256" s="193"/>
    </row>
    <row r="71257" spans="6:6" x14ac:dyDescent="0.3">
      <c r="F71257" s="193"/>
    </row>
    <row r="71258" spans="6:6" x14ac:dyDescent="0.3">
      <c r="F71258" s="193"/>
    </row>
    <row r="71259" spans="6:6" x14ac:dyDescent="0.3">
      <c r="F71259" s="193"/>
    </row>
    <row r="71260" spans="6:6" x14ac:dyDescent="0.3">
      <c r="F71260" s="193"/>
    </row>
    <row r="71261" spans="6:6" x14ac:dyDescent="0.3">
      <c r="F71261" s="193"/>
    </row>
    <row r="71262" spans="6:6" x14ac:dyDescent="0.3">
      <c r="F71262" s="193"/>
    </row>
    <row r="71263" spans="6:6" x14ac:dyDescent="0.3">
      <c r="F71263" s="193"/>
    </row>
    <row r="71264" spans="6:6" x14ac:dyDescent="0.3">
      <c r="F71264" s="193"/>
    </row>
    <row r="71265" spans="6:6" x14ac:dyDescent="0.3">
      <c r="F71265" s="193"/>
    </row>
    <row r="71266" spans="6:6" x14ac:dyDescent="0.3">
      <c r="F71266" s="193"/>
    </row>
    <row r="71267" spans="6:6" x14ac:dyDescent="0.3">
      <c r="F71267" s="193"/>
    </row>
    <row r="71268" spans="6:6" x14ac:dyDescent="0.3">
      <c r="F71268" s="193"/>
    </row>
    <row r="71269" spans="6:6" x14ac:dyDescent="0.3">
      <c r="F71269" s="193"/>
    </row>
    <row r="71270" spans="6:6" x14ac:dyDescent="0.3">
      <c r="F71270" s="193"/>
    </row>
    <row r="71271" spans="6:6" x14ac:dyDescent="0.3">
      <c r="F71271" s="193"/>
    </row>
    <row r="71272" spans="6:6" x14ac:dyDescent="0.3">
      <c r="F71272" s="193"/>
    </row>
    <row r="71273" spans="6:6" x14ac:dyDescent="0.3">
      <c r="F71273" s="193"/>
    </row>
    <row r="71274" spans="6:6" x14ac:dyDescent="0.3">
      <c r="F71274" s="193"/>
    </row>
    <row r="71275" spans="6:6" x14ac:dyDescent="0.3">
      <c r="F71275" s="193"/>
    </row>
    <row r="71276" spans="6:6" x14ac:dyDescent="0.3">
      <c r="F71276" s="193"/>
    </row>
    <row r="71277" spans="6:6" x14ac:dyDescent="0.3">
      <c r="F71277" s="193"/>
    </row>
    <row r="71278" spans="6:6" x14ac:dyDescent="0.3">
      <c r="F71278" s="193"/>
    </row>
    <row r="71279" spans="6:6" x14ac:dyDescent="0.3">
      <c r="F71279" s="193"/>
    </row>
    <row r="71280" spans="6:6" x14ac:dyDescent="0.3">
      <c r="F71280" s="193"/>
    </row>
    <row r="71281" spans="6:6" x14ac:dyDescent="0.3">
      <c r="F71281" s="193"/>
    </row>
    <row r="71282" spans="6:6" x14ac:dyDescent="0.3">
      <c r="F71282" s="193"/>
    </row>
    <row r="71283" spans="6:6" x14ac:dyDescent="0.3">
      <c r="F71283" s="193"/>
    </row>
    <row r="71284" spans="6:6" x14ac:dyDescent="0.3">
      <c r="F71284" s="193"/>
    </row>
    <row r="71285" spans="6:6" x14ac:dyDescent="0.3">
      <c r="F71285" s="193"/>
    </row>
    <row r="71286" spans="6:6" x14ac:dyDescent="0.3">
      <c r="F71286" s="193"/>
    </row>
    <row r="71287" spans="6:6" x14ac:dyDescent="0.3">
      <c r="F71287" s="193"/>
    </row>
    <row r="71288" spans="6:6" x14ac:dyDescent="0.3">
      <c r="F71288" s="193"/>
    </row>
    <row r="71289" spans="6:6" x14ac:dyDescent="0.3">
      <c r="F71289" s="193"/>
    </row>
    <row r="71290" spans="6:6" x14ac:dyDescent="0.3">
      <c r="F71290" s="193"/>
    </row>
    <row r="71291" spans="6:6" x14ac:dyDescent="0.3">
      <c r="F71291" s="193"/>
    </row>
    <row r="71292" spans="6:6" x14ac:dyDescent="0.3">
      <c r="F71292" s="193"/>
    </row>
    <row r="71293" spans="6:6" x14ac:dyDescent="0.3">
      <c r="F71293" s="193"/>
    </row>
    <row r="71294" spans="6:6" x14ac:dyDescent="0.3">
      <c r="F71294" s="193"/>
    </row>
    <row r="71295" spans="6:6" x14ac:dyDescent="0.3">
      <c r="F71295" s="193"/>
    </row>
    <row r="71296" spans="6:6" x14ac:dyDescent="0.3">
      <c r="F71296" s="193"/>
    </row>
    <row r="71297" spans="6:6" x14ac:dyDescent="0.3">
      <c r="F71297" s="193"/>
    </row>
    <row r="71298" spans="6:6" x14ac:dyDescent="0.3">
      <c r="F71298" s="193"/>
    </row>
    <row r="71299" spans="6:6" x14ac:dyDescent="0.3">
      <c r="F71299" s="193"/>
    </row>
    <row r="71300" spans="6:6" x14ac:dyDescent="0.3">
      <c r="F71300" s="193"/>
    </row>
    <row r="71301" spans="6:6" x14ac:dyDescent="0.3">
      <c r="F71301" s="193"/>
    </row>
    <row r="71302" spans="6:6" x14ac:dyDescent="0.3">
      <c r="F71302" s="193"/>
    </row>
    <row r="71303" spans="6:6" x14ac:dyDescent="0.3">
      <c r="F71303" s="193"/>
    </row>
    <row r="71304" spans="6:6" x14ac:dyDescent="0.3">
      <c r="F71304" s="193"/>
    </row>
    <row r="71305" spans="6:6" x14ac:dyDescent="0.3">
      <c r="F71305" s="193"/>
    </row>
    <row r="71306" spans="6:6" x14ac:dyDescent="0.3">
      <c r="F71306" s="193"/>
    </row>
    <row r="71307" spans="6:6" x14ac:dyDescent="0.3">
      <c r="F71307" s="193"/>
    </row>
    <row r="71308" spans="6:6" x14ac:dyDescent="0.3">
      <c r="F71308" s="193"/>
    </row>
    <row r="71309" spans="6:6" x14ac:dyDescent="0.3">
      <c r="F71309" s="193"/>
    </row>
    <row r="71310" spans="6:6" x14ac:dyDescent="0.3">
      <c r="F71310" s="193"/>
    </row>
    <row r="71311" spans="6:6" x14ac:dyDescent="0.3">
      <c r="F71311" s="193"/>
    </row>
    <row r="71312" spans="6:6" x14ac:dyDescent="0.3">
      <c r="F71312" s="193"/>
    </row>
    <row r="71313" spans="6:6" x14ac:dyDescent="0.3">
      <c r="F71313" s="193"/>
    </row>
    <row r="71314" spans="6:6" x14ac:dyDescent="0.3">
      <c r="F71314" s="193"/>
    </row>
    <row r="71315" spans="6:6" x14ac:dyDescent="0.3">
      <c r="F71315" s="193"/>
    </row>
    <row r="71316" spans="6:6" x14ac:dyDescent="0.3">
      <c r="F71316" s="193"/>
    </row>
    <row r="71317" spans="6:6" x14ac:dyDescent="0.3">
      <c r="F71317" s="193"/>
    </row>
    <row r="71318" spans="6:6" x14ac:dyDescent="0.3">
      <c r="F71318" s="193"/>
    </row>
    <row r="71319" spans="6:6" x14ac:dyDescent="0.3">
      <c r="F71319" s="193"/>
    </row>
    <row r="71320" spans="6:6" x14ac:dyDescent="0.3">
      <c r="F71320" s="193"/>
    </row>
    <row r="71321" spans="6:6" x14ac:dyDescent="0.3">
      <c r="F71321" s="193"/>
    </row>
    <row r="71322" spans="6:6" x14ac:dyDescent="0.3">
      <c r="F71322" s="193"/>
    </row>
    <row r="71323" spans="6:6" x14ac:dyDescent="0.3">
      <c r="F71323" s="193"/>
    </row>
    <row r="71324" spans="6:6" x14ac:dyDescent="0.3">
      <c r="F71324" s="193"/>
    </row>
    <row r="71325" spans="6:6" x14ac:dyDescent="0.3">
      <c r="F71325" s="193"/>
    </row>
    <row r="71326" spans="6:6" x14ac:dyDescent="0.3">
      <c r="F71326" s="193"/>
    </row>
    <row r="71327" spans="6:6" x14ac:dyDescent="0.3">
      <c r="F71327" s="193"/>
    </row>
    <row r="71328" spans="6:6" x14ac:dyDescent="0.3">
      <c r="F71328" s="193"/>
    </row>
    <row r="71329" spans="6:6" x14ac:dyDescent="0.3">
      <c r="F71329" s="193"/>
    </row>
    <row r="71330" spans="6:6" x14ac:dyDescent="0.3">
      <c r="F71330" s="193"/>
    </row>
    <row r="71331" spans="6:6" x14ac:dyDescent="0.3">
      <c r="F71331" s="193"/>
    </row>
    <row r="71332" spans="6:6" x14ac:dyDescent="0.3">
      <c r="F71332" s="193"/>
    </row>
    <row r="71333" spans="6:6" x14ac:dyDescent="0.3">
      <c r="F71333" s="193"/>
    </row>
    <row r="71334" spans="6:6" x14ac:dyDescent="0.3">
      <c r="F71334" s="193"/>
    </row>
    <row r="71335" spans="6:6" x14ac:dyDescent="0.3">
      <c r="F71335" s="193"/>
    </row>
    <row r="71336" spans="6:6" x14ac:dyDescent="0.3">
      <c r="F71336" s="193"/>
    </row>
    <row r="71337" spans="6:6" x14ac:dyDescent="0.3">
      <c r="F71337" s="193"/>
    </row>
    <row r="71338" spans="6:6" x14ac:dyDescent="0.3">
      <c r="F71338" s="193"/>
    </row>
    <row r="71339" spans="6:6" x14ac:dyDescent="0.3">
      <c r="F71339" s="193"/>
    </row>
    <row r="71340" spans="6:6" x14ac:dyDescent="0.3">
      <c r="F71340" s="193"/>
    </row>
    <row r="71341" spans="6:6" x14ac:dyDescent="0.3">
      <c r="F71341" s="193"/>
    </row>
    <row r="71342" spans="6:6" x14ac:dyDescent="0.3">
      <c r="F71342" s="193"/>
    </row>
    <row r="71343" spans="6:6" x14ac:dyDescent="0.3">
      <c r="F71343" s="193"/>
    </row>
    <row r="71344" spans="6:6" x14ac:dyDescent="0.3">
      <c r="F71344" s="193"/>
    </row>
    <row r="71345" spans="6:6" x14ac:dyDescent="0.3">
      <c r="F71345" s="193"/>
    </row>
    <row r="71346" spans="6:6" x14ac:dyDescent="0.3">
      <c r="F71346" s="193"/>
    </row>
    <row r="71347" spans="6:6" x14ac:dyDescent="0.3">
      <c r="F71347" s="193"/>
    </row>
    <row r="71348" spans="6:6" x14ac:dyDescent="0.3">
      <c r="F71348" s="193"/>
    </row>
    <row r="71349" spans="6:6" x14ac:dyDescent="0.3">
      <c r="F71349" s="193"/>
    </row>
    <row r="71350" spans="6:6" x14ac:dyDescent="0.3">
      <c r="F71350" s="193"/>
    </row>
    <row r="71351" spans="6:6" x14ac:dyDescent="0.3">
      <c r="F71351" s="193"/>
    </row>
    <row r="71352" spans="6:6" x14ac:dyDescent="0.3">
      <c r="F71352" s="193"/>
    </row>
    <row r="71353" spans="6:6" x14ac:dyDescent="0.3">
      <c r="F71353" s="193"/>
    </row>
    <row r="71354" spans="6:6" x14ac:dyDescent="0.3">
      <c r="F71354" s="193"/>
    </row>
    <row r="71355" spans="6:6" x14ac:dyDescent="0.3">
      <c r="F71355" s="193"/>
    </row>
    <row r="71356" spans="6:6" x14ac:dyDescent="0.3">
      <c r="F71356" s="193"/>
    </row>
    <row r="71357" spans="6:6" x14ac:dyDescent="0.3">
      <c r="F71357" s="193"/>
    </row>
    <row r="71358" spans="6:6" x14ac:dyDescent="0.3">
      <c r="F71358" s="193"/>
    </row>
    <row r="71359" spans="6:6" x14ac:dyDescent="0.3">
      <c r="F71359" s="193"/>
    </row>
    <row r="71360" spans="6:6" x14ac:dyDescent="0.3">
      <c r="F71360" s="193"/>
    </row>
    <row r="71361" spans="6:6" x14ac:dyDescent="0.3">
      <c r="F71361" s="193"/>
    </row>
    <row r="71362" spans="6:6" x14ac:dyDescent="0.3">
      <c r="F71362" s="193"/>
    </row>
    <row r="71363" spans="6:6" x14ac:dyDescent="0.3">
      <c r="F71363" s="193"/>
    </row>
    <row r="71364" spans="6:6" x14ac:dyDescent="0.3">
      <c r="F71364" s="193"/>
    </row>
    <row r="71365" spans="6:6" x14ac:dyDescent="0.3">
      <c r="F71365" s="193"/>
    </row>
    <row r="71366" spans="6:6" x14ac:dyDescent="0.3">
      <c r="F71366" s="193"/>
    </row>
    <row r="71367" spans="6:6" x14ac:dyDescent="0.3">
      <c r="F71367" s="193"/>
    </row>
    <row r="71368" spans="6:6" x14ac:dyDescent="0.3">
      <c r="F71368" s="193"/>
    </row>
    <row r="71369" spans="6:6" x14ac:dyDescent="0.3">
      <c r="F71369" s="193"/>
    </row>
    <row r="71370" spans="6:6" x14ac:dyDescent="0.3">
      <c r="F71370" s="193"/>
    </row>
    <row r="71371" spans="6:6" x14ac:dyDescent="0.3">
      <c r="F71371" s="193"/>
    </row>
    <row r="71372" spans="6:6" x14ac:dyDescent="0.3">
      <c r="F71372" s="193"/>
    </row>
    <row r="71373" spans="6:6" x14ac:dyDescent="0.3">
      <c r="F71373" s="193"/>
    </row>
    <row r="71374" spans="6:6" x14ac:dyDescent="0.3">
      <c r="F71374" s="193"/>
    </row>
    <row r="71375" spans="6:6" x14ac:dyDescent="0.3">
      <c r="F71375" s="193"/>
    </row>
    <row r="71376" spans="6:6" x14ac:dyDescent="0.3">
      <c r="F71376" s="193"/>
    </row>
    <row r="71377" spans="6:6" x14ac:dyDescent="0.3">
      <c r="F71377" s="193"/>
    </row>
    <row r="71378" spans="6:6" x14ac:dyDescent="0.3">
      <c r="F71378" s="193"/>
    </row>
    <row r="71379" spans="6:6" x14ac:dyDescent="0.3">
      <c r="F71379" s="193"/>
    </row>
    <row r="71380" spans="6:6" x14ac:dyDescent="0.3">
      <c r="F71380" s="193"/>
    </row>
    <row r="71381" spans="6:6" x14ac:dyDescent="0.3">
      <c r="F71381" s="193"/>
    </row>
    <row r="71382" spans="6:6" x14ac:dyDescent="0.3">
      <c r="F71382" s="193"/>
    </row>
    <row r="71383" spans="6:6" x14ac:dyDescent="0.3">
      <c r="F71383" s="193"/>
    </row>
    <row r="71384" spans="6:6" x14ac:dyDescent="0.3">
      <c r="F71384" s="193"/>
    </row>
    <row r="71385" spans="6:6" x14ac:dyDescent="0.3">
      <c r="F71385" s="193"/>
    </row>
    <row r="71386" spans="6:6" x14ac:dyDescent="0.3">
      <c r="F71386" s="193"/>
    </row>
    <row r="71387" spans="6:6" x14ac:dyDescent="0.3">
      <c r="F71387" s="193"/>
    </row>
    <row r="71388" spans="6:6" x14ac:dyDescent="0.3">
      <c r="F71388" s="193"/>
    </row>
    <row r="71389" spans="6:6" x14ac:dyDescent="0.3">
      <c r="F71389" s="193"/>
    </row>
    <row r="71390" spans="6:6" x14ac:dyDescent="0.3">
      <c r="F71390" s="193"/>
    </row>
    <row r="71391" spans="6:6" x14ac:dyDescent="0.3">
      <c r="F71391" s="193"/>
    </row>
    <row r="71392" spans="6:6" x14ac:dyDescent="0.3">
      <c r="F71392" s="193"/>
    </row>
    <row r="71393" spans="6:6" x14ac:dyDescent="0.3">
      <c r="F71393" s="193"/>
    </row>
    <row r="71394" spans="6:6" x14ac:dyDescent="0.3">
      <c r="F71394" s="193"/>
    </row>
    <row r="71395" spans="6:6" x14ac:dyDescent="0.3">
      <c r="F71395" s="193"/>
    </row>
    <row r="71396" spans="6:6" x14ac:dyDescent="0.3">
      <c r="F71396" s="193"/>
    </row>
    <row r="71397" spans="6:6" x14ac:dyDescent="0.3">
      <c r="F71397" s="193"/>
    </row>
    <row r="71398" spans="6:6" x14ac:dyDescent="0.3">
      <c r="F71398" s="193"/>
    </row>
    <row r="71399" spans="6:6" x14ac:dyDescent="0.3">
      <c r="F71399" s="193"/>
    </row>
    <row r="71400" spans="6:6" x14ac:dyDescent="0.3">
      <c r="F71400" s="193"/>
    </row>
    <row r="71401" spans="6:6" x14ac:dyDescent="0.3">
      <c r="F71401" s="193"/>
    </row>
    <row r="71402" spans="6:6" x14ac:dyDescent="0.3">
      <c r="F71402" s="193"/>
    </row>
    <row r="71403" spans="6:6" x14ac:dyDescent="0.3">
      <c r="F71403" s="193"/>
    </row>
    <row r="71404" spans="6:6" x14ac:dyDescent="0.3">
      <c r="F71404" s="193"/>
    </row>
    <row r="71405" spans="6:6" x14ac:dyDescent="0.3">
      <c r="F71405" s="193"/>
    </row>
    <row r="71406" spans="6:6" x14ac:dyDescent="0.3">
      <c r="F71406" s="193"/>
    </row>
    <row r="71407" spans="6:6" x14ac:dyDescent="0.3">
      <c r="F71407" s="193"/>
    </row>
    <row r="71408" spans="6:6" x14ac:dyDescent="0.3">
      <c r="F71408" s="193"/>
    </row>
    <row r="71409" spans="6:6" x14ac:dyDescent="0.3">
      <c r="F71409" s="193"/>
    </row>
    <row r="71410" spans="6:6" x14ac:dyDescent="0.3">
      <c r="F71410" s="193"/>
    </row>
    <row r="71411" spans="6:6" x14ac:dyDescent="0.3">
      <c r="F71411" s="193"/>
    </row>
    <row r="71412" spans="6:6" x14ac:dyDescent="0.3">
      <c r="F71412" s="193"/>
    </row>
    <row r="71413" spans="6:6" x14ac:dyDescent="0.3">
      <c r="F71413" s="193"/>
    </row>
    <row r="71414" spans="6:6" x14ac:dyDescent="0.3">
      <c r="F71414" s="193"/>
    </row>
    <row r="71415" spans="6:6" x14ac:dyDescent="0.3">
      <c r="F71415" s="193"/>
    </row>
    <row r="71416" spans="6:6" x14ac:dyDescent="0.3">
      <c r="F71416" s="193"/>
    </row>
    <row r="71417" spans="6:6" x14ac:dyDescent="0.3">
      <c r="F71417" s="193"/>
    </row>
    <row r="71418" spans="6:6" x14ac:dyDescent="0.3">
      <c r="F71418" s="193"/>
    </row>
    <row r="71419" spans="6:6" x14ac:dyDescent="0.3">
      <c r="F71419" s="193"/>
    </row>
    <row r="71420" spans="6:6" x14ac:dyDescent="0.3">
      <c r="F71420" s="193"/>
    </row>
    <row r="71421" spans="6:6" x14ac:dyDescent="0.3">
      <c r="F71421" s="193"/>
    </row>
    <row r="71422" spans="6:6" x14ac:dyDescent="0.3">
      <c r="F71422" s="193"/>
    </row>
    <row r="71423" spans="6:6" x14ac:dyDescent="0.3">
      <c r="F71423" s="193"/>
    </row>
    <row r="71424" spans="6:6" x14ac:dyDescent="0.3">
      <c r="F71424" s="193"/>
    </row>
    <row r="71425" spans="6:6" x14ac:dyDescent="0.3">
      <c r="F71425" s="193"/>
    </row>
    <row r="71426" spans="6:6" x14ac:dyDescent="0.3">
      <c r="F71426" s="193"/>
    </row>
    <row r="71427" spans="6:6" x14ac:dyDescent="0.3">
      <c r="F71427" s="193"/>
    </row>
    <row r="71428" spans="6:6" x14ac:dyDescent="0.3">
      <c r="F71428" s="193"/>
    </row>
    <row r="71429" spans="6:6" x14ac:dyDescent="0.3">
      <c r="F71429" s="193"/>
    </row>
    <row r="71430" spans="6:6" x14ac:dyDescent="0.3">
      <c r="F71430" s="193"/>
    </row>
    <row r="71431" spans="6:6" x14ac:dyDescent="0.3">
      <c r="F71431" s="193"/>
    </row>
    <row r="71432" spans="6:6" x14ac:dyDescent="0.3">
      <c r="F71432" s="193"/>
    </row>
    <row r="71433" spans="6:6" x14ac:dyDescent="0.3">
      <c r="F71433" s="193"/>
    </row>
    <row r="71434" spans="6:6" x14ac:dyDescent="0.3">
      <c r="F71434" s="193"/>
    </row>
    <row r="71435" spans="6:6" x14ac:dyDescent="0.3">
      <c r="F71435" s="193"/>
    </row>
    <row r="71436" spans="6:6" x14ac:dyDescent="0.3">
      <c r="F71436" s="193"/>
    </row>
    <row r="71437" spans="6:6" x14ac:dyDescent="0.3">
      <c r="F71437" s="193"/>
    </row>
    <row r="71438" spans="6:6" x14ac:dyDescent="0.3">
      <c r="F71438" s="193"/>
    </row>
    <row r="71439" spans="6:6" x14ac:dyDescent="0.3">
      <c r="F71439" s="193"/>
    </row>
    <row r="71440" spans="6:6" x14ac:dyDescent="0.3">
      <c r="F71440" s="193"/>
    </row>
    <row r="71441" spans="6:6" x14ac:dyDescent="0.3">
      <c r="F71441" s="193"/>
    </row>
    <row r="71442" spans="6:6" x14ac:dyDescent="0.3">
      <c r="F71442" s="193"/>
    </row>
    <row r="71443" spans="6:6" x14ac:dyDescent="0.3">
      <c r="F71443" s="193"/>
    </row>
    <row r="71444" spans="6:6" x14ac:dyDescent="0.3">
      <c r="F71444" s="193"/>
    </row>
    <row r="71445" spans="6:6" x14ac:dyDescent="0.3">
      <c r="F71445" s="193"/>
    </row>
    <row r="71446" spans="6:6" x14ac:dyDescent="0.3">
      <c r="F71446" s="193"/>
    </row>
    <row r="71447" spans="6:6" x14ac:dyDescent="0.3">
      <c r="F71447" s="193"/>
    </row>
    <row r="71448" spans="6:6" x14ac:dyDescent="0.3">
      <c r="F71448" s="193"/>
    </row>
    <row r="71449" spans="6:6" x14ac:dyDescent="0.3">
      <c r="F71449" s="193"/>
    </row>
    <row r="71450" spans="6:6" x14ac:dyDescent="0.3">
      <c r="F71450" s="193"/>
    </row>
    <row r="71451" spans="6:6" x14ac:dyDescent="0.3">
      <c r="F71451" s="193"/>
    </row>
    <row r="71452" spans="6:6" x14ac:dyDescent="0.3">
      <c r="F71452" s="193"/>
    </row>
    <row r="71453" spans="6:6" x14ac:dyDescent="0.3">
      <c r="F71453" s="193"/>
    </row>
    <row r="71454" spans="6:6" x14ac:dyDescent="0.3">
      <c r="F71454" s="193"/>
    </row>
    <row r="71455" spans="6:6" x14ac:dyDescent="0.3">
      <c r="F71455" s="193"/>
    </row>
    <row r="71456" spans="6:6" x14ac:dyDescent="0.3">
      <c r="F71456" s="193"/>
    </row>
    <row r="71457" spans="6:6" x14ac:dyDescent="0.3">
      <c r="F71457" s="193"/>
    </row>
    <row r="71458" spans="6:6" x14ac:dyDescent="0.3">
      <c r="F71458" s="193"/>
    </row>
    <row r="71459" spans="6:6" x14ac:dyDescent="0.3">
      <c r="F71459" s="193"/>
    </row>
    <row r="71460" spans="6:6" x14ac:dyDescent="0.3">
      <c r="F71460" s="193"/>
    </row>
    <row r="71461" spans="6:6" x14ac:dyDescent="0.3">
      <c r="F71461" s="193"/>
    </row>
    <row r="71462" spans="6:6" x14ac:dyDescent="0.3">
      <c r="F71462" s="193"/>
    </row>
    <row r="71463" spans="6:6" x14ac:dyDescent="0.3">
      <c r="F71463" s="193"/>
    </row>
    <row r="71464" spans="6:6" x14ac:dyDescent="0.3">
      <c r="F71464" s="193"/>
    </row>
    <row r="71465" spans="6:6" x14ac:dyDescent="0.3">
      <c r="F71465" s="193"/>
    </row>
    <row r="71466" spans="6:6" x14ac:dyDescent="0.3">
      <c r="F71466" s="193"/>
    </row>
    <row r="71467" spans="6:6" x14ac:dyDescent="0.3">
      <c r="F71467" s="193"/>
    </row>
    <row r="71468" spans="6:6" x14ac:dyDescent="0.3">
      <c r="F71468" s="193"/>
    </row>
    <row r="71469" spans="6:6" x14ac:dyDescent="0.3">
      <c r="F71469" s="193"/>
    </row>
    <row r="71470" spans="6:6" x14ac:dyDescent="0.3">
      <c r="F71470" s="193"/>
    </row>
    <row r="71471" spans="6:6" x14ac:dyDescent="0.3">
      <c r="F71471" s="193"/>
    </row>
    <row r="71472" spans="6:6" x14ac:dyDescent="0.3">
      <c r="F71472" s="193"/>
    </row>
    <row r="71473" spans="6:6" x14ac:dyDescent="0.3">
      <c r="F71473" s="193"/>
    </row>
    <row r="71474" spans="6:6" x14ac:dyDescent="0.3">
      <c r="F71474" s="193"/>
    </row>
    <row r="71475" spans="6:6" x14ac:dyDescent="0.3">
      <c r="F71475" s="193"/>
    </row>
    <row r="71476" spans="6:6" x14ac:dyDescent="0.3">
      <c r="F71476" s="193"/>
    </row>
    <row r="71477" spans="6:6" x14ac:dyDescent="0.3">
      <c r="F71477" s="193"/>
    </row>
    <row r="71478" spans="6:6" x14ac:dyDescent="0.3">
      <c r="F71478" s="193"/>
    </row>
    <row r="71479" spans="6:6" x14ac:dyDescent="0.3">
      <c r="F71479" s="193"/>
    </row>
    <row r="71480" spans="6:6" x14ac:dyDescent="0.3">
      <c r="F71480" s="193"/>
    </row>
    <row r="71481" spans="6:6" x14ac:dyDescent="0.3">
      <c r="F71481" s="193"/>
    </row>
    <row r="71482" spans="6:6" x14ac:dyDescent="0.3">
      <c r="F71482" s="193"/>
    </row>
    <row r="71483" spans="6:6" x14ac:dyDescent="0.3">
      <c r="F71483" s="193"/>
    </row>
    <row r="71484" spans="6:6" x14ac:dyDescent="0.3">
      <c r="F71484" s="193"/>
    </row>
    <row r="71485" spans="6:6" x14ac:dyDescent="0.3">
      <c r="F71485" s="193"/>
    </row>
    <row r="71486" spans="6:6" x14ac:dyDescent="0.3">
      <c r="F71486" s="193"/>
    </row>
    <row r="71487" spans="6:6" x14ac:dyDescent="0.3">
      <c r="F71487" s="193"/>
    </row>
    <row r="71488" spans="6:6" x14ac:dyDescent="0.3">
      <c r="F71488" s="193"/>
    </row>
    <row r="71489" spans="6:6" x14ac:dyDescent="0.3">
      <c r="F71489" s="193"/>
    </row>
    <row r="71490" spans="6:6" x14ac:dyDescent="0.3">
      <c r="F71490" s="193"/>
    </row>
    <row r="71491" spans="6:6" x14ac:dyDescent="0.3">
      <c r="F71491" s="193"/>
    </row>
    <row r="71492" spans="6:6" x14ac:dyDescent="0.3">
      <c r="F71492" s="193"/>
    </row>
    <row r="71493" spans="6:6" x14ac:dyDescent="0.3">
      <c r="F71493" s="193"/>
    </row>
    <row r="71494" spans="6:6" x14ac:dyDescent="0.3">
      <c r="F71494" s="193"/>
    </row>
    <row r="71495" spans="6:6" x14ac:dyDescent="0.3">
      <c r="F71495" s="193"/>
    </row>
    <row r="71496" spans="6:6" x14ac:dyDescent="0.3">
      <c r="F71496" s="193"/>
    </row>
    <row r="71497" spans="6:6" x14ac:dyDescent="0.3">
      <c r="F71497" s="193"/>
    </row>
    <row r="71498" spans="6:6" x14ac:dyDescent="0.3">
      <c r="F71498" s="193"/>
    </row>
    <row r="71499" spans="6:6" x14ac:dyDescent="0.3">
      <c r="F71499" s="193"/>
    </row>
    <row r="71500" spans="6:6" x14ac:dyDescent="0.3">
      <c r="F71500" s="193"/>
    </row>
    <row r="71501" spans="6:6" x14ac:dyDescent="0.3">
      <c r="F71501" s="193"/>
    </row>
    <row r="71502" spans="6:6" x14ac:dyDescent="0.3">
      <c r="F71502" s="193"/>
    </row>
    <row r="71503" spans="6:6" x14ac:dyDescent="0.3">
      <c r="F71503" s="193"/>
    </row>
    <row r="71504" spans="6:6" x14ac:dyDescent="0.3">
      <c r="F71504" s="193"/>
    </row>
    <row r="71505" spans="6:6" x14ac:dyDescent="0.3">
      <c r="F71505" s="193"/>
    </row>
    <row r="71506" spans="6:6" x14ac:dyDescent="0.3">
      <c r="F71506" s="193"/>
    </row>
    <row r="71507" spans="6:6" x14ac:dyDescent="0.3">
      <c r="F71507" s="193"/>
    </row>
    <row r="71508" spans="6:6" x14ac:dyDescent="0.3">
      <c r="F71508" s="193"/>
    </row>
    <row r="71509" spans="6:6" x14ac:dyDescent="0.3">
      <c r="F71509" s="193"/>
    </row>
    <row r="71510" spans="6:6" x14ac:dyDescent="0.3">
      <c r="F71510" s="193"/>
    </row>
    <row r="71511" spans="6:6" x14ac:dyDescent="0.3">
      <c r="F71511" s="193"/>
    </row>
    <row r="71512" spans="6:6" x14ac:dyDescent="0.3">
      <c r="F71512" s="193"/>
    </row>
    <row r="71513" spans="6:6" x14ac:dyDescent="0.3">
      <c r="F71513" s="193"/>
    </row>
    <row r="71514" spans="6:6" x14ac:dyDescent="0.3">
      <c r="F71514" s="193"/>
    </row>
    <row r="71515" spans="6:6" x14ac:dyDescent="0.3">
      <c r="F71515" s="193"/>
    </row>
    <row r="71516" spans="6:6" x14ac:dyDescent="0.3">
      <c r="F71516" s="193"/>
    </row>
    <row r="71517" spans="6:6" x14ac:dyDescent="0.3">
      <c r="F71517" s="193"/>
    </row>
    <row r="71518" spans="6:6" x14ac:dyDescent="0.3">
      <c r="F71518" s="193"/>
    </row>
    <row r="71519" spans="6:6" x14ac:dyDescent="0.3">
      <c r="F71519" s="193"/>
    </row>
    <row r="71520" spans="6:6" x14ac:dyDescent="0.3">
      <c r="F71520" s="193"/>
    </row>
    <row r="71521" spans="6:6" x14ac:dyDescent="0.3">
      <c r="F71521" s="193"/>
    </row>
    <row r="71522" spans="6:6" x14ac:dyDescent="0.3">
      <c r="F71522" s="193"/>
    </row>
    <row r="71523" spans="6:6" x14ac:dyDescent="0.3">
      <c r="F71523" s="193"/>
    </row>
    <row r="71524" spans="6:6" x14ac:dyDescent="0.3">
      <c r="F71524" s="193"/>
    </row>
    <row r="71525" spans="6:6" x14ac:dyDescent="0.3">
      <c r="F71525" s="193"/>
    </row>
    <row r="71526" spans="6:6" x14ac:dyDescent="0.3">
      <c r="F71526" s="193"/>
    </row>
    <row r="71527" spans="6:6" x14ac:dyDescent="0.3">
      <c r="F71527" s="193"/>
    </row>
    <row r="71528" spans="6:6" x14ac:dyDescent="0.3">
      <c r="F71528" s="193"/>
    </row>
    <row r="71529" spans="6:6" x14ac:dyDescent="0.3">
      <c r="F71529" s="193"/>
    </row>
    <row r="71530" spans="6:6" x14ac:dyDescent="0.3">
      <c r="F71530" s="193"/>
    </row>
    <row r="71531" spans="6:6" x14ac:dyDescent="0.3">
      <c r="F71531" s="193"/>
    </row>
    <row r="71532" spans="6:6" x14ac:dyDescent="0.3">
      <c r="F71532" s="193"/>
    </row>
    <row r="71533" spans="6:6" x14ac:dyDescent="0.3">
      <c r="F71533" s="193"/>
    </row>
    <row r="71534" spans="6:6" x14ac:dyDescent="0.3">
      <c r="F71534" s="193"/>
    </row>
    <row r="71535" spans="6:6" x14ac:dyDescent="0.3">
      <c r="F71535" s="193"/>
    </row>
    <row r="71536" spans="6:6" x14ac:dyDescent="0.3">
      <c r="F71536" s="193"/>
    </row>
    <row r="71537" spans="6:6" x14ac:dyDescent="0.3">
      <c r="F71537" s="193"/>
    </row>
    <row r="71538" spans="6:6" x14ac:dyDescent="0.3">
      <c r="F71538" s="193"/>
    </row>
    <row r="71539" spans="6:6" x14ac:dyDescent="0.3">
      <c r="F71539" s="193"/>
    </row>
    <row r="71540" spans="6:6" x14ac:dyDescent="0.3">
      <c r="F71540" s="193"/>
    </row>
    <row r="71541" spans="6:6" x14ac:dyDescent="0.3">
      <c r="F71541" s="193"/>
    </row>
    <row r="71542" spans="6:6" x14ac:dyDescent="0.3">
      <c r="F71542" s="193"/>
    </row>
    <row r="71543" spans="6:6" x14ac:dyDescent="0.3">
      <c r="F71543" s="193"/>
    </row>
    <row r="71544" spans="6:6" x14ac:dyDescent="0.3">
      <c r="F71544" s="193"/>
    </row>
    <row r="71545" spans="6:6" x14ac:dyDescent="0.3">
      <c r="F71545" s="193"/>
    </row>
    <row r="71546" spans="6:6" x14ac:dyDescent="0.3">
      <c r="F71546" s="193"/>
    </row>
    <row r="71547" spans="6:6" x14ac:dyDescent="0.3">
      <c r="F71547" s="193"/>
    </row>
    <row r="71548" spans="6:6" x14ac:dyDescent="0.3">
      <c r="F71548" s="193"/>
    </row>
    <row r="71549" spans="6:6" x14ac:dyDescent="0.3">
      <c r="F71549" s="193"/>
    </row>
    <row r="71550" spans="6:6" x14ac:dyDescent="0.3">
      <c r="F71550" s="193"/>
    </row>
    <row r="71551" spans="6:6" x14ac:dyDescent="0.3">
      <c r="F71551" s="193"/>
    </row>
    <row r="71552" spans="6:6" x14ac:dyDescent="0.3">
      <c r="F71552" s="193"/>
    </row>
    <row r="71553" spans="6:6" x14ac:dyDescent="0.3">
      <c r="F71553" s="193"/>
    </row>
    <row r="71554" spans="6:6" x14ac:dyDescent="0.3">
      <c r="F71554" s="193"/>
    </row>
    <row r="71555" spans="6:6" x14ac:dyDescent="0.3">
      <c r="F71555" s="193"/>
    </row>
    <row r="71556" spans="6:6" x14ac:dyDescent="0.3">
      <c r="F71556" s="193"/>
    </row>
    <row r="71557" spans="6:6" x14ac:dyDescent="0.3">
      <c r="F71557" s="193"/>
    </row>
    <row r="71558" spans="6:6" x14ac:dyDescent="0.3">
      <c r="F71558" s="193"/>
    </row>
    <row r="71559" spans="6:6" x14ac:dyDescent="0.3">
      <c r="F71559" s="193"/>
    </row>
    <row r="71560" spans="6:6" x14ac:dyDescent="0.3">
      <c r="F71560" s="193"/>
    </row>
    <row r="71561" spans="6:6" x14ac:dyDescent="0.3">
      <c r="F71561" s="193"/>
    </row>
    <row r="71562" spans="6:6" x14ac:dyDescent="0.3">
      <c r="F71562" s="193"/>
    </row>
    <row r="71563" spans="6:6" x14ac:dyDescent="0.3">
      <c r="F71563" s="193"/>
    </row>
    <row r="71564" spans="6:6" x14ac:dyDescent="0.3">
      <c r="F71564" s="193"/>
    </row>
    <row r="71565" spans="6:6" x14ac:dyDescent="0.3">
      <c r="F71565" s="193"/>
    </row>
    <row r="71566" spans="6:6" x14ac:dyDescent="0.3">
      <c r="F71566" s="193"/>
    </row>
    <row r="71567" spans="6:6" x14ac:dyDescent="0.3">
      <c r="F71567" s="193"/>
    </row>
    <row r="71568" spans="6:6" x14ac:dyDescent="0.3">
      <c r="F71568" s="193"/>
    </row>
    <row r="71569" spans="6:6" x14ac:dyDescent="0.3">
      <c r="F71569" s="193"/>
    </row>
    <row r="71570" spans="6:6" x14ac:dyDescent="0.3">
      <c r="F71570" s="193"/>
    </row>
    <row r="71571" spans="6:6" x14ac:dyDescent="0.3">
      <c r="F71571" s="193"/>
    </row>
    <row r="71572" spans="6:6" x14ac:dyDescent="0.3">
      <c r="F71572" s="193"/>
    </row>
    <row r="71573" spans="6:6" x14ac:dyDescent="0.3">
      <c r="F71573" s="193"/>
    </row>
    <row r="71574" spans="6:6" x14ac:dyDescent="0.3">
      <c r="F71574" s="193"/>
    </row>
    <row r="71575" spans="6:6" x14ac:dyDescent="0.3">
      <c r="F71575" s="193"/>
    </row>
    <row r="71576" spans="6:6" x14ac:dyDescent="0.3">
      <c r="F71576" s="193"/>
    </row>
    <row r="71577" spans="6:6" x14ac:dyDescent="0.3">
      <c r="F71577" s="193"/>
    </row>
    <row r="71578" spans="6:6" x14ac:dyDescent="0.3">
      <c r="F71578" s="193"/>
    </row>
    <row r="71579" spans="6:6" x14ac:dyDescent="0.3">
      <c r="F71579" s="193"/>
    </row>
    <row r="71580" spans="6:6" x14ac:dyDescent="0.3">
      <c r="F71580" s="193"/>
    </row>
    <row r="71581" spans="6:6" x14ac:dyDescent="0.3">
      <c r="F71581" s="193"/>
    </row>
    <row r="71582" spans="6:6" x14ac:dyDescent="0.3">
      <c r="F71582" s="193"/>
    </row>
    <row r="71583" spans="6:6" x14ac:dyDescent="0.3">
      <c r="F71583" s="193"/>
    </row>
    <row r="71584" spans="6:6" x14ac:dyDescent="0.3">
      <c r="F71584" s="193"/>
    </row>
    <row r="71585" spans="6:6" x14ac:dyDescent="0.3">
      <c r="F71585" s="193"/>
    </row>
    <row r="71586" spans="6:6" x14ac:dyDescent="0.3">
      <c r="F71586" s="193"/>
    </row>
    <row r="71587" spans="6:6" x14ac:dyDescent="0.3">
      <c r="F71587" s="193"/>
    </row>
    <row r="71588" spans="6:6" x14ac:dyDescent="0.3">
      <c r="F71588" s="193"/>
    </row>
    <row r="71589" spans="6:6" x14ac:dyDescent="0.3">
      <c r="F71589" s="193"/>
    </row>
    <row r="71590" spans="6:6" x14ac:dyDescent="0.3">
      <c r="F71590" s="193"/>
    </row>
    <row r="71591" spans="6:6" x14ac:dyDescent="0.3">
      <c r="F71591" s="193"/>
    </row>
    <row r="71592" spans="6:6" x14ac:dyDescent="0.3">
      <c r="F71592" s="193"/>
    </row>
    <row r="71593" spans="6:6" x14ac:dyDescent="0.3">
      <c r="F71593" s="193"/>
    </row>
    <row r="71594" spans="6:6" x14ac:dyDescent="0.3">
      <c r="F71594" s="193"/>
    </row>
    <row r="71595" spans="6:6" x14ac:dyDescent="0.3">
      <c r="F71595" s="193"/>
    </row>
    <row r="71596" spans="6:6" x14ac:dyDescent="0.3">
      <c r="F71596" s="193"/>
    </row>
    <row r="71597" spans="6:6" x14ac:dyDescent="0.3">
      <c r="F71597" s="193"/>
    </row>
    <row r="71598" spans="6:6" x14ac:dyDescent="0.3">
      <c r="F71598" s="193"/>
    </row>
    <row r="71599" spans="6:6" x14ac:dyDescent="0.3">
      <c r="F71599" s="193"/>
    </row>
    <row r="71600" spans="6:6" x14ac:dyDescent="0.3">
      <c r="F71600" s="193"/>
    </row>
    <row r="71601" spans="6:6" x14ac:dyDescent="0.3">
      <c r="F71601" s="193"/>
    </row>
    <row r="71602" spans="6:6" x14ac:dyDescent="0.3">
      <c r="F71602" s="193"/>
    </row>
    <row r="71603" spans="6:6" x14ac:dyDescent="0.3">
      <c r="F71603" s="193"/>
    </row>
    <row r="71604" spans="6:6" x14ac:dyDescent="0.3">
      <c r="F71604" s="193"/>
    </row>
    <row r="71605" spans="6:6" x14ac:dyDescent="0.3">
      <c r="F71605" s="193"/>
    </row>
    <row r="71606" spans="6:6" x14ac:dyDescent="0.3">
      <c r="F71606" s="193"/>
    </row>
    <row r="71607" spans="6:6" x14ac:dyDescent="0.3">
      <c r="F71607" s="193"/>
    </row>
    <row r="71608" spans="6:6" x14ac:dyDescent="0.3">
      <c r="F71608" s="193"/>
    </row>
    <row r="71609" spans="6:6" x14ac:dyDescent="0.3">
      <c r="F71609" s="193"/>
    </row>
    <row r="71610" spans="6:6" x14ac:dyDescent="0.3">
      <c r="F71610" s="193"/>
    </row>
    <row r="71611" spans="6:6" x14ac:dyDescent="0.3">
      <c r="F71611" s="193"/>
    </row>
    <row r="71612" spans="6:6" x14ac:dyDescent="0.3">
      <c r="F71612" s="193"/>
    </row>
    <row r="71613" spans="6:6" x14ac:dyDescent="0.3">
      <c r="F71613" s="193"/>
    </row>
    <row r="71614" spans="6:6" x14ac:dyDescent="0.3">
      <c r="F71614" s="193"/>
    </row>
    <row r="71615" spans="6:6" x14ac:dyDescent="0.3">
      <c r="F71615" s="193"/>
    </row>
    <row r="71616" spans="6:6" x14ac:dyDescent="0.3">
      <c r="F71616" s="193"/>
    </row>
    <row r="71617" spans="6:6" x14ac:dyDescent="0.3">
      <c r="F71617" s="193"/>
    </row>
    <row r="71618" spans="6:6" x14ac:dyDescent="0.3">
      <c r="F71618" s="193"/>
    </row>
    <row r="71619" spans="6:6" x14ac:dyDescent="0.3">
      <c r="F71619" s="193"/>
    </row>
    <row r="71620" spans="6:6" x14ac:dyDescent="0.3">
      <c r="F71620" s="193"/>
    </row>
    <row r="71621" spans="6:6" x14ac:dyDescent="0.3">
      <c r="F71621" s="193"/>
    </row>
    <row r="71622" spans="6:6" x14ac:dyDescent="0.3">
      <c r="F71622" s="193"/>
    </row>
    <row r="71623" spans="6:6" x14ac:dyDescent="0.3">
      <c r="F71623" s="193"/>
    </row>
    <row r="71624" spans="6:6" x14ac:dyDescent="0.3">
      <c r="F71624" s="193"/>
    </row>
    <row r="71625" spans="6:6" x14ac:dyDescent="0.3">
      <c r="F71625" s="193"/>
    </row>
    <row r="71626" spans="6:6" x14ac:dyDescent="0.3">
      <c r="F71626" s="193"/>
    </row>
    <row r="71627" spans="6:6" x14ac:dyDescent="0.3">
      <c r="F71627" s="193"/>
    </row>
    <row r="71628" spans="6:6" x14ac:dyDescent="0.3">
      <c r="F71628" s="193"/>
    </row>
    <row r="71629" spans="6:6" x14ac:dyDescent="0.3">
      <c r="F71629" s="193"/>
    </row>
    <row r="71630" spans="6:6" x14ac:dyDescent="0.3">
      <c r="F71630" s="193"/>
    </row>
    <row r="71631" spans="6:6" x14ac:dyDescent="0.3">
      <c r="F71631" s="193"/>
    </row>
    <row r="71632" spans="6:6" x14ac:dyDescent="0.3">
      <c r="F71632" s="193"/>
    </row>
    <row r="71633" spans="6:6" x14ac:dyDescent="0.3">
      <c r="F71633" s="193"/>
    </row>
    <row r="71634" spans="6:6" x14ac:dyDescent="0.3">
      <c r="F71634" s="193"/>
    </row>
    <row r="71635" spans="6:6" x14ac:dyDescent="0.3">
      <c r="F71635" s="193"/>
    </row>
    <row r="71636" spans="6:6" x14ac:dyDescent="0.3">
      <c r="F71636" s="193"/>
    </row>
    <row r="71637" spans="6:6" x14ac:dyDescent="0.3">
      <c r="F71637" s="193"/>
    </row>
    <row r="71638" spans="6:6" x14ac:dyDescent="0.3">
      <c r="F71638" s="193"/>
    </row>
    <row r="71639" spans="6:6" x14ac:dyDescent="0.3">
      <c r="F71639" s="193"/>
    </row>
    <row r="71640" spans="6:6" x14ac:dyDescent="0.3">
      <c r="F71640" s="193"/>
    </row>
    <row r="71641" spans="6:6" x14ac:dyDescent="0.3">
      <c r="F71641" s="193"/>
    </row>
    <row r="71642" spans="6:6" x14ac:dyDescent="0.3">
      <c r="F71642" s="193"/>
    </row>
    <row r="71643" spans="6:6" x14ac:dyDescent="0.3">
      <c r="F71643" s="193"/>
    </row>
    <row r="71644" spans="6:6" x14ac:dyDescent="0.3">
      <c r="F71644" s="193"/>
    </row>
    <row r="71645" spans="6:6" x14ac:dyDescent="0.3">
      <c r="F71645" s="193"/>
    </row>
    <row r="71646" spans="6:6" x14ac:dyDescent="0.3">
      <c r="F71646" s="193"/>
    </row>
    <row r="71647" spans="6:6" x14ac:dyDescent="0.3">
      <c r="F71647" s="193"/>
    </row>
    <row r="71648" spans="6:6" x14ac:dyDescent="0.3">
      <c r="F71648" s="193"/>
    </row>
    <row r="71649" spans="6:6" x14ac:dyDescent="0.3">
      <c r="F71649" s="193"/>
    </row>
    <row r="71650" spans="6:6" x14ac:dyDescent="0.3">
      <c r="F71650" s="193"/>
    </row>
    <row r="71651" spans="6:6" x14ac:dyDescent="0.3">
      <c r="F71651" s="193"/>
    </row>
    <row r="71652" spans="6:6" x14ac:dyDescent="0.3">
      <c r="F71652" s="193"/>
    </row>
    <row r="71653" spans="6:6" x14ac:dyDescent="0.3">
      <c r="F71653" s="193"/>
    </row>
    <row r="71654" spans="6:6" x14ac:dyDescent="0.3">
      <c r="F71654" s="193"/>
    </row>
    <row r="71655" spans="6:6" x14ac:dyDescent="0.3">
      <c r="F71655" s="193"/>
    </row>
    <row r="71656" spans="6:6" x14ac:dyDescent="0.3">
      <c r="F71656" s="193"/>
    </row>
    <row r="71657" spans="6:6" x14ac:dyDescent="0.3">
      <c r="F71657" s="193"/>
    </row>
    <row r="71658" spans="6:6" x14ac:dyDescent="0.3">
      <c r="F71658" s="193"/>
    </row>
    <row r="71659" spans="6:6" x14ac:dyDescent="0.3">
      <c r="F71659" s="193"/>
    </row>
    <row r="71660" spans="6:6" x14ac:dyDescent="0.3">
      <c r="F71660" s="193"/>
    </row>
    <row r="71661" spans="6:6" x14ac:dyDescent="0.3">
      <c r="F71661" s="193"/>
    </row>
    <row r="71662" spans="6:6" x14ac:dyDescent="0.3">
      <c r="F71662" s="193"/>
    </row>
    <row r="71663" spans="6:6" x14ac:dyDescent="0.3">
      <c r="F71663" s="193"/>
    </row>
    <row r="71664" spans="6:6" x14ac:dyDescent="0.3">
      <c r="F71664" s="193"/>
    </row>
    <row r="71665" spans="6:6" x14ac:dyDescent="0.3">
      <c r="F71665" s="193"/>
    </row>
    <row r="71666" spans="6:6" x14ac:dyDescent="0.3">
      <c r="F71666" s="193"/>
    </row>
    <row r="71667" spans="6:6" x14ac:dyDescent="0.3">
      <c r="F71667" s="193"/>
    </row>
    <row r="71668" spans="6:6" x14ac:dyDescent="0.3">
      <c r="F71668" s="193"/>
    </row>
    <row r="71669" spans="6:6" x14ac:dyDescent="0.3">
      <c r="F71669" s="193"/>
    </row>
    <row r="71670" spans="6:6" x14ac:dyDescent="0.3">
      <c r="F71670" s="193"/>
    </row>
    <row r="71671" spans="6:6" x14ac:dyDescent="0.3">
      <c r="F71671" s="193"/>
    </row>
    <row r="71672" spans="6:6" x14ac:dyDescent="0.3">
      <c r="F71672" s="193"/>
    </row>
    <row r="71673" spans="6:6" x14ac:dyDescent="0.3">
      <c r="F71673" s="193"/>
    </row>
    <row r="71674" spans="6:6" x14ac:dyDescent="0.3">
      <c r="F71674" s="193"/>
    </row>
    <row r="71675" spans="6:6" x14ac:dyDescent="0.3">
      <c r="F71675" s="193"/>
    </row>
    <row r="71676" spans="6:6" x14ac:dyDescent="0.3">
      <c r="F71676" s="193"/>
    </row>
    <row r="71677" spans="6:6" x14ac:dyDescent="0.3">
      <c r="F71677" s="193"/>
    </row>
    <row r="71678" spans="6:6" x14ac:dyDescent="0.3">
      <c r="F71678" s="193"/>
    </row>
    <row r="71679" spans="6:6" x14ac:dyDescent="0.3">
      <c r="F71679" s="193"/>
    </row>
    <row r="71680" spans="6:6" x14ac:dyDescent="0.3">
      <c r="F71680" s="193"/>
    </row>
    <row r="71681" spans="6:6" x14ac:dyDescent="0.3">
      <c r="F71681" s="193"/>
    </row>
    <row r="71682" spans="6:6" x14ac:dyDescent="0.3">
      <c r="F71682" s="193"/>
    </row>
    <row r="71683" spans="6:6" x14ac:dyDescent="0.3">
      <c r="F71683" s="193"/>
    </row>
    <row r="71684" spans="6:6" x14ac:dyDescent="0.3">
      <c r="F71684" s="193"/>
    </row>
    <row r="71685" spans="6:6" x14ac:dyDescent="0.3">
      <c r="F71685" s="193"/>
    </row>
    <row r="71686" spans="6:6" x14ac:dyDescent="0.3">
      <c r="F71686" s="193"/>
    </row>
    <row r="71687" spans="6:6" x14ac:dyDescent="0.3">
      <c r="F71687" s="193"/>
    </row>
    <row r="71688" spans="6:6" x14ac:dyDescent="0.3">
      <c r="F71688" s="193"/>
    </row>
    <row r="71689" spans="6:6" x14ac:dyDescent="0.3">
      <c r="F71689" s="193"/>
    </row>
    <row r="71690" spans="6:6" x14ac:dyDescent="0.3">
      <c r="F71690" s="193"/>
    </row>
    <row r="71691" spans="6:6" x14ac:dyDescent="0.3">
      <c r="F71691" s="193"/>
    </row>
    <row r="71692" spans="6:6" x14ac:dyDescent="0.3">
      <c r="F71692" s="193"/>
    </row>
    <row r="71693" spans="6:6" x14ac:dyDescent="0.3">
      <c r="F71693" s="193"/>
    </row>
    <row r="71694" spans="6:6" x14ac:dyDescent="0.3">
      <c r="F71694" s="193"/>
    </row>
    <row r="71695" spans="6:6" x14ac:dyDescent="0.3">
      <c r="F71695" s="193"/>
    </row>
    <row r="71696" spans="6:6" x14ac:dyDescent="0.3">
      <c r="F71696" s="193"/>
    </row>
    <row r="71697" spans="6:6" x14ac:dyDescent="0.3">
      <c r="F71697" s="193"/>
    </row>
    <row r="71698" spans="6:6" x14ac:dyDescent="0.3">
      <c r="F71698" s="193"/>
    </row>
    <row r="71699" spans="6:6" x14ac:dyDescent="0.3">
      <c r="F71699" s="193"/>
    </row>
    <row r="71700" spans="6:6" x14ac:dyDescent="0.3">
      <c r="F71700" s="193"/>
    </row>
    <row r="71701" spans="6:6" x14ac:dyDescent="0.3">
      <c r="F71701" s="193"/>
    </row>
    <row r="71702" spans="6:6" x14ac:dyDescent="0.3">
      <c r="F71702" s="193"/>
    </row>
    <row r="71703" spans="6:6" x14ac:dyDescent="0.3">
      <c r="F71703" s="193"/>
    </row>
    <row r="71704" spans="6:6" x14ac:dyDescent="0.3">
      <c r="F71704" s="193"/>
    </row>
    <row r="71705" spans="6:6" x14ac:dyDescent="0.3">
      <c r="F71705" s="193"/>
    </row>
    <row r="71706" spans="6:6" x14ac:dyDescent="0.3">
      <c r="F71706" s="193"/>
    </row>
    <row r="71707" spans="6:6" x14ac:dyDescent="0.3">
      <c r="F71707" s="193"/>
    </row>
    <row r="71708" spans="6:6" x14ac:dyDescent="0.3">
      <c r="F71708" s="193"/>
    </row>
    <row r="71709" spans="6:6" x14ac:dyDescent="0.3">
      <c r="F71709" s="193"/>
    </row>
    <row r="71710" spans="6:6" x14ac:dyDescent="0.3">
      <c r="F71710" s="193"/>
    </row>
    <row r="71711" spans="6:6" x14ac:dyDescent="0.3">
      <c r="F71711" s="193"/>
    </row>
    <row r="71712" spans="6:6" x14ac:dyDescent="0.3">
      <c r="F71712" s="193"/>
    </row>
    <row r="71713" spans="6:6" x14ac:dyDescent="0.3">
      <c r="F71713" s="193"/>
    </row>
    <row r="71714" spans="6:6" x14ac:dyDescent="0.3">
      <c r="F71714" s="193"/>
    </row>
    <row r="71715" spans="6:6" x14ac:dyDescent="0.3">
      <c r="F71715" s="193"/>
    </row>
    <row r="71716" spans="6:6" x14ac:dyDescent="0.3">
      <c r="F71716" s="193"/>
    </row>
    <row r="71717" spans="6:6" x14ac:dyDescent="0.3">
      <c r="F71717" s="193"/>
    </row>
    <row r="71718" spans="6:6" x14ac:dyDescent="0.3">
      <c r="F71718" s="193"/>
    </row>
    <row r="71719" spans="6:6" x14ac:dyDescent="0.3">
      <c r="F71719" s="193"/>
    </row>
    <row r="71720" spans="6:6" x14ac:dyDescent="0.3">
      <c r="F71720" s="193"/>
    </row>
    <row r="71721" spans="6:6" x14ac:dyDescent="0.3">
      <c r="F71721" s="193"/>
    </row>
    <row r="71722" spans="6:6" x14ac:dyDescent="0.3">
      <c r="F71722" s="193"/>
    </row>
    <row r="71723" spans="6:6" x14ac:dyDescent="0.3">
      <c r="F71723" s="193"/>
    </row>
    <row r="71724" spans="6:6" x14ac:dyDescent="0.3">
      <c r="F71724" s="193"/>
    </row>
    <row r="71725" spans="6:6" x14ac:dyDescent="0.3">
      <c r="F71725" s="193"/>
    </row>
    <row r="71726" spans="6:6" x14ac:dyDescent="0.3">
      <c r="F71726" s="193"/>
    </row>
    <row r="71727" spans="6:6" x14ac:dyDescent="0.3">
      <c r="F71727" s="193"/>
    </row>
    <row r="71728" spans="6:6" x14ac:dyDescent="0.3">
      <c r="F71728" s="193"/>
    </row>
    <row r="71729" spans="6:6" x14ac:dyDescent="0.3">
      <c r="F71729" s="193"/>
    </row>
    <row r="71730" spans="6:6" x14ac:dyDescent="0.3">
      <c r="F71730" s="193"/>
    </row>
    <row r="71731" spans="6:6" x14ac:dyDescent="0.3">
      <c r="F71731" s="193"/>
    </row>
    <row r="71732" spans="6:6" x14ac:dyDescent="0.3">
      <c r="F71732" s="193"/>
    </row>
    <row r="71733" spans="6:6" x14ac:dyDescent="0.3">
      <c r="F71733" s="193"/>
    </row>
    <row r="71734" spans="6:6" x14ac:dyDescent="0.3">
      <c r="F71734" s="193"/>
    </row>
    <row r="71735" spans="6:6" x14ac:dyDescent="0.3">
      <c r="F71735" s="193"/>
    </row>
    <row r="71736" spans="6:6" x14ac:dyDescent="0.3">
      <c r="F71736" s="193"/>
    </row>
    <row r="71737" spans="6:6" x14ac:dyDescent="0.3">
      <c r="F71737" s="193"/>
    </row>
    <row r="71738" spans="6:6" x14ac:dyDescent="0.3">
      <c r="F71738" s="193"/>
    </row>
    <row r="71739" spans="6:6" x14ac:dyDescent="0.3">
      <c r="F71739" s="193"/>
    </row>
    <row r="71740" spans="6:6" x14ac:dyDescent="0.3">
      <c r="F71740" s="193"/>
    </row>
    <row r="71741" spans="6:6" x14ac:dyDescent="0.3">
      <c r="F71741" s="193"/>
    </row>
    <row r="71742" spans="6:6" x14ac:dyDescent="0.3">
      <c r="F71742" s="193"/>
    </row>
    <row r="71743" spans="6:6" x14ac:dyDescent="0.3">
      <c r="F71743" s="193"/>
    </row>
    <row r="71744" spans="6:6" x14ac:dyDescent="0.3">
      <c r="F71744" s="193"/>
    </row>
    <row r="71745" spans="6:6" x14ac:dyDescent="0.3">
      <c r="F71745" s="193"/>
    </row>
    <row r="71746" spans="6:6" x14ac:dyDescent="0.3">
      <c r="F71746" s="193"/>
    </row>
    <row r="71747" spans="6:6" x14ac:dyDescent="0.3">
      <c r="F71747" s="193"/>
    </row>
    <row r="71748" spans="6:6" x14ac:dyDescent="0.3">
      <c r="F71748" s="193"/>
    </row>
    <row r="71749" spans="6:6" x14ac:dyDescent="0.3">
      <c r="F71749" s="193"/>
    </row>
    <row r="71750" spans="6:6" x14ac:dyDescent="0.3">
      <c r="F71750" s="193"/>
    </row>
    <row r="71751" spans="6:6" x14ac:dyDescent="0.3">
      <c r="F71751" s="193"/>
    </row>
    <row r="71752" spans="6:6" x14ac:dyDescent="0.3">
      <c r="F71752" s="193"/>
    </row>
    <row r="71753" spans="6:6" x14ac:dyDescent="0.3">
      <c r="F71753" s="193"/>
    </row>
    <row r="71754" spans="6:6" x14ac:dyDescent="0.3">
      <c r="F71754" s="193"/>
    </row>
    <row r="71755" spans="6:6" x14ac:dyDescent="0.3">
      <c r="F71755" s="193"/>
    </row>
    <row r="71756" spans="6:6" x14ac:dyDescent="0.3">
      <c r="F71756" s="193"/>
    </row>
    <row r="71757" spans="6:6" x14ac:dyDescent="0.3">
      <c r="F71757" s="193"/>
    </row>
    <row r="71758" spans="6:6" x14ac:dyDescent="0.3">
      <c r="F71758" s="193"/>
    </row>
    <row r="71759" spans="6:6" x14ac:dyDescent="0.3">
      <c r="F71759" s="193"/>
    </row>
    <row r="71760" spans="6:6" x14ac:dyDescent="0.3">
      <c r="F71760" s="193"/>
    </row>
    <row r="71761" spans="6:6" x14ac:dyDescent="0.3">
      <c r="F71761" s="193"/>
    </row>
    <row r="71762" spans="6:6" x14ac:dyDescent="0.3">
      <c r="F71762" s="193"/>
    </row>
    <row r="71763" spans="6:6" x14ac:dyDescent="0.3">
      <c r="F71763" s="193"/>
    </row>
    <row r="71764" spans="6:6" x14ac:dyDescent="0.3">
      <c r="F71764" s="193"/>
    </row>
    <row r="71765" spans="6:6" x14ac:dyDescent="0.3">
      <c r="F71765" s="193"/>
    </row>
    <row r="71766" spans="6:6" x14ac:dyDescent="0.3">
      <c r="F71766" s="193"/>
    </row>
    <row r="71767" spans="6:6" x14ac:dyDescent="0.3">
      <c r="F71767" s="193"/>
    </row>
    <row r="71768" spans="6:6" x14ac:dyDescent="0.3">
      <c r="F71768" s="193"/>
    </row>
    <row r="71769" spans="6:6" x14ac:dyDescent="0.3">
      <c r="F71769" s="193"/>
    </row>
    <row r="71770" spans="6:6" x14ac:dyDescent="0.3">
      <c r="F71770" s="193"/>
    </row>
    <row r="71771" spans="6:6" x14ac:dyDescent="0.3">
      <c r="F71771" s="193"/>
    </row>
    <row r="71772" spans="6:6" x14ac:dyDescent="0.3">
      <c r="F71772" s="193"/>
    </row>
    <row r="71773" spans="6:6" x14ac:dyDescent="0.3">
      <c r="F71773" s="193"/>
    </row>
    <row r="71774" spans="6:6" x14ac:dyDescent="0.3">
      <c r="F71774" s="193"/>
    </row>
    <row r="71775" spans="6:6" x14ac:dyDescent="0.3">
      <c r="F71775" s="193"/>
    </row>
    <row r="71776" spans="6:6" x14ac:dyDescent="0.3">
      <c r="F71776" s="193"/>
    </row>
    <row r="71777" spans="6:6" x14ac:dyDescent="0.3">
      <c r="F71777" s="193"/>
    </row>
    <row r="71778" spans="6:6" x14ac:dyDescent="0.3">
      <c r="F71778" s="193"/>
    </row>
    <row r="71779" spans="6:6" x14ac:dyDescent="0.3">
      <c r="F71779" s="193"/>
    </row>
    <row r="71780" spans="6:6" x14ac:dyDescent="0.3">
      <c r="F71780" s="193"/>
    </row>
    <row r="71781" spans="6:6" x14ac:dyDescent="0.3">
      <c r="F71781" s="193"/>
    </row>
    <row r="71782" spans="6:6" x14ac:dyDescent="0.3">
      <c r="F71782" s="193"/>
    </row>
    <row r="71783" spans="6:6" x14ac:dyDescent="0.3">
      <c r="F71783" s="193"/>
    </row>
    <row r="71784" spans="6:6" x14ac:dyDescent="0.3">
      <c r="F71784" s="193"/>
    </row>
    <row r="71785" spans="6:6" x14ac:dyDescent="0.3">
      <c r="F71785" s="193"/>
    </row>
    <row r="71786" spans="6:6" x14ac:dyDescent="0.3">
      <c r="F71786" s="193"/>
    </row>
    <row r="71787" spans="6:6" x14ac:dyDescent="0.3">
      <c r="F71787" s="193"/>
    </row>
    <row r="71788" spans="6:6" x14ac:dyDescent="0.3">
      <c r="F71788" s="193"/>
    </row>
    <row r="71789" spans="6:6" x14ac:dyDescent="0.3">
      <c r="F71789" s="193"/>
    </row>
    <row r="71790" spans="6:6" x14ac:dyDescent="0.3">
      <c r="F71790" s="193"/>
    </row>
    <row r="71791" spans="6:6" x14ac:dyDescent="0.3">
      <c r="F71791" s="193"/>
    </row>
    <row r="71792" spans="6:6" x14ac:dyDescent="0.3">
      <c r="F71792" s="193"/>
    </row>
    <row r="71793" spans="6:6" x14ac:dyDescent="0.3">
      <c r="F71793" s="193"/>
    </row>
    <row r="71794" spans="6:6" x14ac:dyDescent="0.3">
      <c r="F71794" s="193"/>
    </row>
    <row r="71795" spans="6:6" x14ac:dyDescent="0.3">
      <c r="F71795" s="193"/>
    </row>
    <row r="71796" spans="6:6" x14ac:dyDescent="0.3">
      <c r="F71796" s="193"/>
    </row>
    <row r="71797" spans="6:6" x14ac:dyDescent="0.3">
      <c r="F71797" s="193"/>
    </row>
    <row r="71798" spans="6:6" x14ac:dyDescent="0.3">
      <c r="F71798" s="193"/>
    </row>
    <row r="71799" spans="6:6" x14ac:dyDescent="0.3">
      <c r="F71799" s="193"/>
    </row>
    <row r="71800" spans="6:6" x14ac:dyDescent="0.3">
      <c r="F71800" s="193"/>
    </row>
    <row r="71801" spans="6:6" x14ac:dyDescent="0.3">
      <c r="F71801" s="193"/>
    </row>
    <row r="71802" spans="6:6" x14ac:dyDescent="0.3">
      <c r="F71802" s="193"/>
    </row>
    <row r="71803" spans="6:6" x14ac:dyDescent="0.3">
      <c r="F71803" s="193"/>
    </row>
    <row r="71804" spans="6:6" x14ac:dyDescent="0.3">
      <c r="F71804" s="193"/>
    </row>
    <row r="71805" spans="6:6" x14ac:dyDescent="0.3">
      <c r="F71805" s="193"/>
    </row>
    <row r="71806" spans="6:6" x14ac:dyDescent="0.3">
      <c r="F71806" s="193"/>
    </row>
    <row r="71807" spans="6:6" x14ac:dyDescent="0.3">
      <c r="F71807" s="193"/>
    </row>
    <row r="71808" spans="6:6" x14ac:dyDescent="0.3">
      <c r="F71808" s="193"/>
    </row>
    <row r="71809" spans="6:6" x14ac:dyDescent="0.3">
      <c r="F71809" s="193"/>
    </row>
    <row r="71810" spans="6:6" x14ac:dyDescent="0.3">
      <c r="F71810" s="193"/>
    </row>
    <row r="71811" spans="6:6" x14ac:dyDescent="0.3">
      <c r="F71811" s="193"/>
    </row>
    <row r="71812" spans="6:6" x14ac:dyDescent="0.3">
      <c r="F71812" s="193"/>
    </row>
    <row r="71813" spans="6:6" x14ac:dyDescent="0.3">
      <c r="F71813" s="193"/>
    </row>
    <row r="71814" spans="6:6" x14ac:dyDescent="0.3">
      <c r="F71814" s="193"/>
    </row>
    <row r="71815" spans="6:6" x14ac:dyDescent="0.3">
      <c r="F71815" s="193"/>
    </row>
    <row r="71816" spans="6:6" x14ac:dyDescent="0.3">
      <c r="F71816" s="193"/>
    </row>
    <row r="71817" spans="6:6" x14ac:dyDescent="0.3">
      <c r="F71817" s="193"/>
    </row>
    <row r="71818" spans="6:6" x14ac:dyDescent="0.3">
      <c r="F71818" s="193"/>
    </row>
    <row r="71819" spans="6:6" x14ac:dyDescent="0.3">
      <c r="F71819" s="193"/>
    </row>
    <row r="71820" spans="6:6" x14ac:dyDescent="0.3">
      <c r="F71820" s="193"/>
    </row>
    <row r="71821" spans="6:6" x14ac:dyDescent="0.3">
      <c r="F71821" s="193"/>
    </row>
    <row r="71822" spans="6:6" x14ac:dyDescent="0.3">
      <c r="F71822" s="193"/>
    </row>
    <row r="71823" spans="6:6" x14ac:dyDescent="0.3">
      <c r="F71823" s="193"/>
    </row>
    <row r="71824" spans="6:6" x14ac:dyDescent="0.3">
      <c r="F71824" s="193"/>
    </row>
    <row r="71825" spans="6:6" x14ac:dyDescent="0.3">
      <c r="F71825" s="193"/>
    </row>
    <row r="71826" spans="6:6" x14ac:dyDescent="0.3">
      <c r="F71826" s="193"/>
    </row>
    <row r="71827" spans="6:6" x14ac:dyDescent="0.3">
      <c r="F71827" s="193"/>
    </row>
    <row r="71828" spans="6:6" x14ac:dyDescent="0.3">
      <c r="F71828" s="193"/>
    </row>
    <row r="71829" spans="6:6" x14ac:dyDescent="0.3">
      <c r="F71829" s="193"/>
    </row>
    <row r="71830" spans="6:6" x14ac:dyDescent="0.3">
      <c r="F71830" s="193"/>
    </row>
    <row r="71831" spans="6:6" x14ac:dyDescent="0.3">
      <c r="F71831" s="193"/>
    </row>
    <row r="71832" spans="6:6" x14ac:dyDescent="0.3">
      <c r="F71832" s="193"/>
    </row>
    <row r="71833" spans="6:6" x14ac:dyDescent="0.3">
      <c r="F71833" s="193"/>
    </row>
    <row r="71834" spans="6:6" x14ac:dyDescent="0.3">
      <c r="F71834" s="193"/>
    </row>
    <row r="71835" spans="6:6" x14ac:dyDescent="0.3">
      <c r="F71835" s="193"/>
    </row>
    <row r="71836" spans="6:6" x14ac:dyDescent="0.3">
      <c r="F71836" s="193"/>
    </row>
    <row r="71837" spans="6:6" x14ac:dyDescent="0.3">
      <c r="F71837" s="193"/>
    </row>
    <row r="71838" spans="6:6" x14ac:dyDescent="0.3">
      <c r="F71838" s="193"/>
    </row>
    <row r="71839" spans="6:6" x14ac:dyDescent="0.3">
      <c r="F71839" s="193"/>
    </row>
    <row r="71840" spans="6:6" x14ac:dyDescent="0.3">
      <c r="F71840" s="193"/>
    </row>
    <row r="71841" spans="6:6" x14ac:dyDescent="0.3">
      <c r="F71841" s="193"/>
    </row>
    <row r="71842" spans="6:6" x14ac:dyDescent="0.3">
      <c r="F71842" s="193"/>
    </row>
    <row r="71843" spans="6:6" x14ac:dyDescent="0.3">
      <c r="F71843" s="193"/>
    </row>
    <row r="71844" spans="6:6" x14ac:dyDescent="0.3">
      <c r="F71844" s="193"/>
    </row>
    <row r="71845" spans="6:6" x14ac:dyDescent="0.3">
      <c r="F71845" s="193"/>
    </row>
    <row r="71846" spans="6:6" x14ac:dyDescent="0.3">
      <c r="F71846" s="193"/>
    </row>
    <row r="71847" spans="6:6" x14ac:dyDescent="0.3">
      <c r="F71847" s="193"/>
    </row>
    <row r="71848" spans="6:6" x14ac:dyDescent="0.3">
      <c r="F71848" s="193"/>
    </row>
    <row r="71849" spans="6:6" x14ac:dyDescent="0.3">
      <c r="F71849" s="193"/>
    </row>
    <row r="71850" spans="6:6" x14ac:dyDescent="0.3">
      <c r="F71850" s="193"/>
    </row>
    <row r="71851" spans="6:6" x14ac:dyDescent="0.3">
      <c r="F71851" s="193"/>
    </row>
    <row r="71852" spans="6:6" x14ac:dyDescent="0.3">
      <c r="F71852" s="193"/>
    </row>
    <row r="71853" spans="6:6" x14ac:dyDescent="0.3">
      <c r="F71853" s="193"/>
    </row>
    <row r="71854" spans="6:6" x14ac:dyDescent="0.3">
      <c r="F71854" s="193"/>
    </row>
    <row r="71855" spans="6:6" x14ac:dyDescent="0.3">
      <c r="F71855" s="193"/>
    </row>
    <row r="71856" spans="6:6" x14ac:dyDescent="0.3">
      <c r="F71856" s="193"/>
    </row>
    <row r="71857" spans="6:6" x14ac:dyDescent="0.3">
      <c r="F71857" s="193"/>
    </row>
    <row r="71858" spans="6:6" x14ac:dyDescent="0.3">
      <c r="F71858" s="193"/>
    </row>
    <row r="71859" spans="6:6" x14ac:dyDescent="0.3">
      <c r="F71859" s="193"/>
    </row>
    <row r="71860" spans="6:6" x14ac:dyDescent="0.3">
      <c r="F71860" s="193"/>
    </row>
    <row r="71861" spans="6:6" x14ac:dyDescent="0.3">
      <c r="F71861" s="193"/>
    </row>
    <row r="71862" spans="6:6" x14ac:dyDescent="0.3">
      <c r="F71862" s="193"/>
    </row>
    <row r="71863" spans="6:6" x14ac:dyDescent="0.3">
      <c r="F71863" s="193"/>
    </row>
    <row r="71864" spans="6:6" x14ac:dyDescent="0.3">
      <c r="F71864" s="193"/>
    </row>
    <row r="71865" spans="6:6" x14ac:dyDescent="0.3">
      <c r="F71865" s="193"/>
    </row>
    <row r="71866" spans="6:6" x14ac:dyDescent="0.3">
      <c r="F71866" s="193"/>
    </row>
    <row r="71867" spans="6:6" x14ac:dyDescent="0.3">
      <c r="F71867" s="193"/>
    </row>
    <row r="71868" spans="6:6" x14ac:dyDescent="0.3">
      <c r="F71868" s="193"/>
    </row>
    <row r="71869" spans="6:6" x14ac:dyDescent="0.3">
      <c r="F71869" s="193"/>
    </row>
    <row r="71870" spans="6:6" x14ac:dyDescent="0.3">
      <c r="F71870" s="193"/>
    </row>
    <row r="71871" spans="6:6" x14ac:dyDescent="0.3">
      <c r="F71871" s="193"/>
    </row>
    <row r="71872" spans="6:6" x14ac:dyDescent="0.3">
      <c r="F71872" s="193"/>
    </row>
    <row r="71873" spans="6:6" x14ac:dyDescent="0.3">
      <c r="F71873" s="193"/>
    </row>
    <row r="71874" spans="6:6" x14ac:dyDescent="0.3">
      <c r="F71874" s="193"/>
    </row>
    <row r="71875" spans="6:6" x14ac:dyDescent="0.3">
      <c r="F71875" s="193"/>
    </row>
    <row r="71876" spans="6:6" x14ac:dyDescent="0.3">
      <c r="F71876" s="193"/>
    </row>
    <row r="71877" spans="6:6" x14ac:dyDescent="0.3">
      <c r="F71877" s="193"/>
    </row>
    <row r="71878" spans="6:6" x14ac:dyDescent="0.3">
      <c r="F71878" s="193"/>
    </row>
    <row r="71879" spans="6:6" x14ac:dyDescent="0.3">
      <c r="F71879" s="193"/>
    </row>
    <row r="71880" spans="6:6" x14ac:dyDescent="0.3">
      <c r="F71880" s="193"/>
    </row>
    <row r="71881" spans="6:6" x14ac:dyDescent="0.3">
      <c r="F71881" s="193"/>
    </row>
    <row r="71882" spans="6:6" x14ac:dyDescent="0.3">
      <c r="F71882" s="193"/>
    </row>
    <row r="71883" spans="6:6" x14ac:dyDescent="0.3">
      <c r="F71883" s="193"/>
    </row>
    <row r="71884" spans="6:6" x14ac:dyDescent="0.3">
      <c r="F71884" s="193"/>
    </row>
    <row r="71885" spans="6:6" x14ac:dyDescent="0.3">
      <c r="F71885" s="193"/>
    </row>
    <row r="71886" spans="6:6" x14ac:dyDescent="0.3">
      <c r="F71886" s="193"/>
    </row>
    <row r="71887" spans="6:6" x14ac:dyDescent="0.3">
      <c r="F71887" s="193"/>
    </row>
    <row r="71888" spans="6:6" x14ac:dyDescent="0.3">
      <c r="F71888" s="193"/>
    </row>
    <row r="71889" spans="6:6" x14ac:dyDescent="0.3">
      <c r="F71889" s="193"/>
    </row>
    <row r="71890" spans="6:6" x14ac:dyDescent="0.3">
      <c r="F71890" s="193"/>
    </row>
    <row r="71891" spans="6:6" x14ac:dyDescent="0.3">
      <c r="F71891" s="193"/>
    </row>
    <row r="71892" spans="6:6" x14ac:dyDescent="0.3">
      <c r="F71892" s="193"/>
    </row>
    <row r="71893" spans="6:6" x14ac:dyDescent="0.3">
      <c r="F71893" s="193"/>
    </row>
    <row r="71894" spans="6:6" x14ac:dyDescent="0.3">
      <c r="F71894" s="193"/>
    </row>
    <row r="71895" spans="6:6" x14ac:dyDescent="0.3">
      <c r="F71895" s="193"/>
    </row>
    <row r="71896" spans="6:6" x14ac:dyDescent="0.3">
      <c r="F71896" s="193"/>
    </row>
    <row r="71897" spans="6:6" x14ac:dyDescent="0.3">
      <c r="F71897" s="193"/>
    </row>
    <row r="71898" spans="6:6" x14ac:dyDescent="0.3">
      <c r="F71898" s="193"/>
    </row>
    <row r="71899" spans="6:6" x14ac:dyDescent="0.3">
      <c r="F71899" s="193"/>
    </row>
    <row r="71900" spans="6:6" x14ac:dyDescent="0.3">
      <c r="F71900" s="193"/>
    </row>
    <row r="71901" spans="6:6" x14ac:dyDescent="0.3">
      <c r="F71901" s="193"/>
    </row>
    <row r="71902" spans="6:6" x14ac:dyDescent="0.3">
      <c r="F71902" s="193"/>
    </row>
    <row r="71903" spans="6:6" x14ac:dyDescent="0.3">
      <c r="F71903" s="193"/>
    </row>
    <row r="71904" spans="6:6" x14ac:dyDescent="0.3">
      <c r="F71904" s="193"/>
    </row>
    <row r="71905" spans="6:6" x14ac:dyDescent="0.3">
      <c r="F71905" s="193"/>
    </row>
    <row r="71906" spans="6:6" x14ac:dyDescent="0.3">
      <c r="F71906" s="193"/>
    </row>
    <row r="71907" spans="6:6" x14ac:dyDescent="0.3">
      <c r="F71907" s="193"/>
    </row>
    <row r="71908" spans="6:6" x14ac:dyDescent="0.3">
      <c r="F71908" s="193"/>
    </row>
    <row r="71909" spans="6:6" x14ac:dyDescent="0.3">
      <c r="F71909" s="193"/>
    </row>
    <row r="71910" spans="6:6" x14ac:dyDescent="0.3">
      <c r="F71910" s="193"/>
    </row>
    <row r="71911" spans="6:6" x14ac:dyDescent="0.3">
      <c r="F71911" s="193"/>
    </row>
    <row r="71912" spans="6:6" x14ac:dyDescent="0.3">
      <c r="F71912" s="193"/>
    </row>
    <row r="71913" spans="6:6" x14ac:dyDescent="0.3">
      <c r="F71913" s="193"/>
    </row>
    <row r="71914" spans="6:6" x14ac:dyDescent="0.3">
      <c r="F71914" s="193"/>
    </row>
    <row r="71915" spans="6:6" x14ac:dyDescent="0.3">
      <c r="F71915" s="193"/>
    </row>
    <row r="71916" spans="6:6" x14ac:dyDescent="0.3">
      <c r="F71916" s="193"/>
    </row>
    <row r="71917" spans="6:6" x14ac:dyDescent="0.3">
      <c r="F71917" s="193"/>
    </row>
    <row r="71918" spans="6:6" x14ac:dyDescent="0.3">
      <c r="F71918" s="193"/>
    </row>
    <row r="71919" spans="6:6" x14ac:dyDescent="0.3">
      <c r="F71919" s="193"/>
    </row>
    <row r="71920" spans="6:6" x14ac:dyDescent="0.3">
      <c r="F71920" s="193"/>
    </row>
    <row r="71921" spans="6:6" x14ac:dyDescent="0.3">
      <c r="F71921" s="193"/>
    </row>
    <row r="71922" spans="6:6" x14ac:dyDescent="0.3">
      <c r="F71922" s="193"/>
    </row>
    <row r="71923" spans="6:6" x14ac:dyDescent="0.3">
      <c r="F71923" s="193"/>
    </row>
    <row r="71924" spans="6:6" x14ac:dyDescent="0.3">
      <c r="F71924" s="193"/>
    </row>
    <row r="71925" spans="6:6" x14ac:dyDescent="0.3">
      <c r="F71925" s="193"/>
    </row>
    <row r="71926" spans="6:6" x14ac:dyDescent="0.3">
      <c r="F71926" s="193"/>
    </row>
    <row r="71927" spans="6:6" x14ac:dyDescent="0.3">
      <c r="F71927" s="193"/>
    </row>
    <row r="71928" spans="6:6" x14ac:dyDescent="0.3">
      <c r="F71928" s="193"/>
    </row>
    <row r="71929" spans="6:6" x14ac:dyDescent="0.3">
      <c r="F71929" s="193"/>
    </row>
    <row r="71930" spans="6:6" x14ac:dyDescent="0.3">
      <c r="F71930" s="193"/>
    </row>
    <row r="71931" spans="6:6" x14ac:dyDescent="0.3">
      <c r="F71931" s="193"/>
    </row>
    <row r="71932" spans="6:6" x14ac:dyDescent="0.3">
      <c r="F71932" s="193"/>
    </row>
    <row r="71933" spans="6:6" x14ac:dyDescent="0.3">
      <c r="F71933" s="193"/>
    </row>
    <row r="71934" spans="6:6" x14ac:dyDescent="0.3">
      <c r="F71934" s="193"/>
    </row>
    <row r="71935" spans="6:6" x14ac:dyDescent="0.3">
      <c r="F71935" s="193"/>
    </row>
    <row r="71936" spans="6:6" x14ac:dyDescent="0.3">
      <c r="F71936" s="193"/>
    </row>
    <row r="71937" spans="6:6" x14ac:dyDescent="0.3">
      <c r="F71937" s="193"/>
    </row>
    <row r="71938" spans="6:6" x14ac:dyDescent="0.3">
      <c r="F71938" s="193"/>
    </row>
    <row r="71939" spans="6:6" x14ac:dyDescent="0.3">
      <c r="F71939" s="193"/>
    </row>
    <row r="71940" spans="6:6" x14ac:dyDescent="0.3">
      <c r="F71940" s="193"/>
    </row>
    <row r="71941" spans="6:6" x14ac:dyDescent="0.3">
      <c r="F71941" s="193"/>
    </row>
    <row r="71942" spans="6:6" x14ac:dyDescent="0.3">
      <c r="F71942" s="193"/>
    </row>
    <row r="71943" spans="6:6" x14ac:dyDescent="0.3">
      <c r="F71943" s="193"/>
    </row>
    <row r="71944" spans="6:6" x14ac:dyDescent="0.3">
      <c r="F71944" s="193"/>
    </row>
    <row r="71945" spans="6:6" x14ac:dyDescent="0.3">
      <c r="F71945" s="193"/>
    </row>
    <row r="71946" spans="6:6" x14ac:dyDescent="0.3">
      <c r="F71946" s="193"/>
    </row>
    <row r="71947" spans="6:6" x14ac:dyDescent="0.3">
      <c r="F71947" s="193"/>
    </row>
    <row r="71948" spans="6:6" x14ac:dyDescent="0.3">
      <c r="F71948" s="193"/>
    </row>
    <row r="71949" spans="6:6" x14ac:dyDescent="0.3">
      <c r="F71949" s="193"/>
    </row>
    <row r="71950" spans="6:6" x14ac:dyDescent="0.3">
      <c r="F71950" s="193"/>
    </row>
    <row r="71951" spans="6:6" x14ac:dyDescent="0.3">
      <c r="F71951" s="193"/>
    </row>
    <row r="71952" spans="6:6" x14ac:dyDescent="0.3">
      <c r="F71952" s="193"/>
    </row>
    <row r="71953" spans="6:6" x14ac:dyDescent="0.3">
      <c r="F71953" s="193"/>
    </row>
    <row r="71954" spans="6:6" x14ac:dyDescent="0.3">
      <c r="F71954" s="193"/>
    </row>
    <row r="71955" spans="6:6" x14ac:dyDescent="0.3">
      <c r="F71955" s="193"/>
    </row>
    <row r="71956" spans="6:6" x14ac:dyDescent="0.3">
      <c r="F71956" s="193"/>
    </row>
    <row r="71957" spans="6:6" x14ac:dyDescent="0.3">
      <c r="F71957" s="193"/>
    </row>
    <row r="71958" spans="6:6" x14ac:dyDescent="0.3">
      <c r="F71958" s="193"/>
    </row>
    <row r="71959" spans="6:6" x14ac:dyDescent="0.3">
      <c r="F71959" s="193"/>
    </row>
    <row r="71960" spans="6:6" x14ac:dyDescent="0.3">
      <c r="F71960" s="193"/>
    </row>
    <row r="71961" spans="6:6" x14ac:dyDescent="0.3">
      <c r="F71961" s="193"/>
    </row>
    <row r="71962" spans="6:6" x14ac:dyDescent="0.3">
      <c r="F71962" s="193"/>
    </row>
    <row r="71963" spans="6:6" x14ac:dyDescent="0.3">
      <c r="F71963" s="193"/>
    </row>
    <row r="71964" spans="6:6" x14ac:dyDescent="0.3">
      <c r="F71964" s="193"/>
    </row>
    <row r="71965" spans="6:6" x14ac:dyDescent="0.3">
      <c r="F71965" s="193"/>
    </row>
    <row r="71966" spans="6:6" x14ac:dyDescent="0.3">
      <c r="F71966" s="193"/>
    </row>
    <row r="71967" spans="6:6" x14ac:dyDescent="0.3">
      <c r="F71967" s="193"/>
    </row>
    <row r="71968" spans="6:6" x14ac:dyDescent="0.3">
      <c r="F71968" s="193"/>
    </row>
    <row r="71969" spans="6:6" x14ac:dyDescent="0.3">
      <c r="F71969" s="193"/>
    </row>
    <row r="71970" spans="6:6" x14ac:dyDescent="0.3">
      <c r="F71970" s="193"/>
    </row>
    <row r="71971" spans="6:6" x14ac:dyDescent="0.3">
      <c r="F71971" s="193"/>
    </row>
    <row r="71972" spans="6:6" x14ac:dyDescent="0.3">
      <c r="F71972" s="193"/>
    </row>
    <row r="71973" spans="6:6" x14ac:dyDescent="0.3">
      <c r="F71973" s="193"/>
    </row>
    <row r="71974" spans="6:6" x14ac:dyDescent="0.3">
      <c r="F71974" s="193"/>
    </row>
    <row r="71975" spans="6:6" x14ac:dyDescent="0.3">
      <c r="F71975" s="193"/>
    </row>
    <row r="71976" spans="6:6" x14ac:dyDescent="0.3">
      <c r="F71976" s="193"/>
    </row>
    <row r="71977" spans="6:6" x14ac:dyDescent="0.3">
      <c r="F71977" s="193"/>
    </row>
    <row r="71978" spans="6:6" x14ac:dyDescent="0.3">
      <c r="F71978" s="193"/>
    </row>
    <row r="71979" spans="6:6" x14ac:dyDescent="0.3">
      <c r="F71979" s="193"/>
    </row>
    <row r="71980" spans="6:6" x14ac:dyDescent="0.3">
      <c r="F71980" s="193"/>
    </row>
    <row r="71981" spans="6:6" x14ac:dyDescent="0.3">
      <c r="F71981" s="193"/>
    </row>
    <row r="71982" spans="6:6" x14ac:dyDescent="0.3">
      <c r="F71982" s="193"/>
    </row>
    <row r="71983" spans="6:6" x14ac:dyDescent="0.3">
      <c r="F71983" s="193"/>
    </row>
    <row r="71984" spans="6:6" x14ac:dyDescent="0.3">
      <c r="F71984" s="193"/>
    </row>
    <row r="71985" spans="6:6" x14ac:dyDescent="0.3">
      <c r="F71985" s="193"/>
    </row>
    <row r="71986" spans="6:6" x14ac:dyDescent="0.3">
      <c r="F71986" s="193"/>
    </row>
    <row r="71987" spans="6:6" x14ac:dyDescent="0.3">
      <c r="F71987" s="193"/>
    </row>
    <row r="71988" spans="6:6" x14ac:dyDescent="0.3">
      <c r="F71988" s="193"/>
    </row>
    <row r="71989" spans="6:6" x14ac:dyDescent="0.3">
      <c r="F71989" s="193"/>
    </row>
    <row r="71990" spans="6:6" x14ac:dyDescent="0.3">
      <c r="F71990" s="193"/>
    </row>
    <row r="71991" spans="6:6" x14ac:dyDescent="0.3">
      <c r="F71991" s="193"/>
    </row>
    <row r="71992" spans="6:6" x14ac:dyDescent="0.3">
      <c r="F71992" s="193"/>
    </row>
    <row r="71993" spans="6:6" x14ac:dyDescent="0.3">
      <c r="F71993" s="193"/>
    </row>
    <row r="71994" spans="6:6" x14ac:dyDescent="0.3">
      <c r="F71994" s="193"/>
    </row>
    <row r="71995" spans="6:6" x14ac:dyDescent="0.3">
      <c r="F71995" s="193"/>
    </row>
    <row r="71996" spans="6:6" x14ac:dyDescent="0.3">
      <c r="F71996" s="193"/>
    </row>
    <row r="71997" spans="6:6" x14ac:dyDescent="0.3">
      <c r="F71997" s="193"/>
    </row>
    <row r="71998" spans="6:6" x14ac:dyDescent="0.3">
      <c r="F71998" s="193"/>
    </row>
    <row r="71999" spans="6:6" x14ac:dyDescent="0.3">
      <c r="F71999" s="193"/>
    </row>
    <row r="72000" spans="6:6" x14ac:dyDescent="0.3">
      <c r="F72000" s="193"/>
    </row>
    <row r="72001" spans="6:6" x14ac:dyDescent="0.3">
      <c r="F72001" s="193"/>
    </row>
    <row r="72002" spans="6:6" x14ac:dyDescent="0.3">
      <c r="F72002" s="193"/>
    </row>
    <row r="72003" spans="6:6" x14ac:dyDescent="0.3">
      <c r="F72003" s="193"/>
    </row>
    <row r="72004" spans="6:6" x14ac:dyDescent="0.3">
      <c r="F72004" s="193"/>
    </row>
    <row r="72005" spans="6:6" x14ac:dyDescent="0.3">
      <c r="F72005" s="193"/>
    </row>
    <row r="72006" spans="6:6" x14ac:dyDescent="0.3">
      <c r="F72006" s="193"/>
    </row>
    <row r="72007" spans="6:6" x14ac:dyDescent="0.3">
      <c r="F72007" s="193"/>
    </row>
    <row r="72008" spans="6:6" x14ac:dyDescent="0.3">
      <c r="F72008" s="193"/>
    </row>
    <row r="72009" spans="6:6" x14ac:dyDescent="0.3">
      <c r="F72009" s="193"/>
    </row>
    <row r="72010" spans="6:6" x14ac:dyDescent="0.3">
      <c r="F72010" s="193"/>
    </row>
    <row r="72011" spans="6:6" x14ac:dyDescent="0.3">
      <c r="F72011" s="193"/>
    </row>
    <row r="72012" spans="6:6" x14ac:dyDescent="0.3">
      <c r="F72012" s="193"/>
    </row>
    <row r="72013" spans="6:6" x14ac:dyDescent="0.3">
      <c r="F72013" s="193"/>
    </row>
    <row r="72014" spans="6:6" x14ac:dyDescent="0.3">
      <c r="F72014" s="193"/>
    </row>
    <row r="72015" spans="6:6" x14ac:dyDescent="0.3">
      <c r="F72015" s="193"/>
    </row>
    <row r="72016" spans="6:6" x14ac:dyDescent="0.3">
      <c r="F72016" s="193"/>
    </row>
    <row r="72017" spans="6:6" x14ac:dyDescent="0.3">
      <c r="F72017" s="193"/>
    </row>
    <row r="72018" spans="6:6" x14ac:dyDescent="0.3">
      <c r="F72018" s="193"/>
    </row>
    <row r="72019" spans="6:6" x14ac:dyDescent="0.3">
      <c r="F72019" s="193"/>
    </row>
    <row r="72020" spans="6:6" x14ac:dyDescent="0.3">
      <c r="F72020" s="193"/>
    </row>
    <row r="72021" spans="6:6" x14ac:dyDescent="0.3">
      <c r="F72021" s="193"/>
    </row>
    <row r="72022" spans="6:6" x14ac:dyDescent="0.3">
      <c r="F72022" s="193"/>
    </row>
    <row r="72023" spans="6:6" x14ac:dyDescent="0.3">
      <c r="F72023" s="193"/>
    </row>
    <row r="72024" spans="6:6" x14ac:dyDescent="0.3">
      <c r="F72024" s="193"/>
    </row>
    <row r="72025" spans="6:6" x14ac:dyDescent="0.3">
      <c r="F72025" s="193"/>
    </row>
    <row r="72026" spans="6:6" x14ac:dyDescent="0.3">
      <c r="F72026" s="193"/>
    </row>
    <row r="72027" spans="6:6" x14ac:dyDescent="0.3">
      <c r="F72027" s="193"/>
    </row>
    <row r="72028" spans="6:6" x14ac:dyDescent="0.3">
      <c r="F72028" s="193"/>
    </row>
    <row r="72029" spans="6:6" x14ac:dyDescent="0.3">
      <c r="F72029" s="193"/>
    </row>
    <row r="72030" spans="6:6" x14ac:dyDescent="0.3">
      <c r="F72030" s="193"/>
    </row>
    <row r="72031" spans="6:6" x14ac:dyDescent="0.3">
      <c r="F72031" s="193"/>
    </row>
    <row r="72032" spans="6:6" x14ac:dyDescent="0.3">
      <c r="F72032" s="193"/>
    </row>
    <row r="72033" spans="6:6" x14ac:dyDescent="0.3">
      <c r="F72033" s="193"/>
    </row>
    <row r="72034" spans="6:6" x14ac:dyDescent="0.3">
      <c r="F72034" s="193"/>
    </row>
    <row r="72035" spans="6:6" x14ac:dyDescent="0.3">
      <c r="F72035" s="193"/>
    </row>
    <row r="72036" spans="6:6" x14ac:dyDescent="0.3">
      <c r="F72036" s="193"/>
    </row>
    <row r="72037" spans="6:6" x14ac:dyDescent="0.3">
      <c r="F72037" s="193"/>
    </row>
    <row r="72038" spans="6:6" x14ac:dyDescent="0.3">
      <c r="F72038" s="193"/>
    </row>
    <row r="72039" spans="6:6" x14ac:dyDescent="0.3">
      <c r="F72039" s="193"/>
    </row>
    <row r="72040" spans="6:6" x14ac:dyDescent="0.3">
      <c r="F72040" s="193"/>
    </row>
    <row r="72041" spans="6:6" x14ac:dyDescent="0.3">
      <c r="F72041" s="193"/>
    </row>
    <row r="72042" spans="6:6" x14ac:dyDescent="0.3">
      <c r="F72042" s="193"/>
    </row>
    <row r="72043" spans="6:6" x14ac:dyDescent="0.3">
      <c r="F72043" s="193"/>
    </row>
    <row r="72044" spans="6:6" x14ac:dyDescent="0.3">
      <c r="F72044" s="193"/>
    </row>
    <row r="72045" spans="6:6" x14ac:dyDescent="0.3">
      <c r="F72045" s="193"/>
    </row>
    <row r="72046" spans="6:6" x14ac:dyDescent="0.3">
      <c r="F72046" s="193"/>
    </row>
    <row r="72047" spans="6:6" x14ac:dyDescent="0.3">
      <c r="F72047" s="193"/>
    </row>
    <row r="72048" spans="6:6" x14ac:dyDescent="0.3">
      <c r="F72048" s="193"/>
    </row>
    <row r="72049" spans="6:6" x14ac:dyDescent="0.3">
      <c r="F72049" s="193"/>
    </row>
    <row r="72050" spans="6:6" x14ac:dyDescent="0.3">
      <c r="F72050" s="193"/>
    </row>
    <row r="72051" spans="6:6" x14ac:dyDescent="0.3">
      <c r="F72051" s="193"/>
    </row>
    <row r="72052" spans="6:6" x14ac:dyDescent="0.3">
      <c r="F72052" s="193"/>
    </row>
    <row r="72053" spans="6:6" x14ac:dyDescent="0.3">
      <c r="F72053" s="193"/>
    </row>
    <row r="72054" spans="6:6" x14ac:dyDescent="0.3">
      <c r="F72054" s="193"/>
    </row>
    <row r="72055" spans="6:6" x14ac:dyDescent="0.3">
      <c r="F72055" s="193"/>
    </row>
    <row r="72056" spans="6:6" x14ac:dyDescent="0.3">
      <c r="F72056" s="193"/>
    </row>
    <row r="72057" spans="6:6" x14ac:dyDescent="0.3">
      <c r="F72057" s="193"/>
    </row>
    <row r="72058" spans="6:6" x14ac:dyDescent="0.3">
      <c r="F72058" s="193"/>
    </row>
    <row r="72059" spans="6:6" x14ac:dyDescent="0.3">
      <c r="F72059" s="193"/>
    </row>
    <row r="72060" spans="6:6" x14ac:dyDescent="0.3">
      <c r="F72060" s="193"/>
    </row>
    <row r="72061" spans="6:6" x14ac:dyDescent="0.3">
      <c r="F72061" s="193"/>
    </row>
    <row r="72062" spans="6:6" x14ac:dyDescent="0.3">
      <c r="F72062" s="193"/>
    </row>
    <row r="72063" spans="6:6" x14ac:dyDescent="0.3">
      <c r="F72063" s="193"/>
    </row>
    <row r="72064" spans="6:6" x14ac:dyDescent="0.3">
      <c r="F72064" s="193"/>
    </row>
    <row r="72065" spans="6:6" x14ac:dyDescent="0.3">
      <c r="F72065" s="193"/>
    </row>
    <row r="72066" spans="6:6" x14ac:dyDescent="0.3">
      <c r="F72066" s="193"/>
    </row>
    <row r="72067" spans="6:6" x14ac:dyDescent="0.3">
      <c r="F72067" s="193"/>
    </row>
    <row r="72068" spans="6:6" x14ac:dyDescent="0.3">
      <c r="F72068" s="193"/>
    </row>
    <row r="72069" spans="6:6" x14ac:dyDescent="0.3">
      <c r="F72069" s="193"/>
    </row>
    <row r="72070" spans="6:6" x14ac:dyDescent="0.3">
      <c r="F72070" s="193"/>
    </row>
    <row r="72071" spans="6:6" x14ac:dyDescent="0.3">
      <c r="F72071" s="193"/>
    </row>
    <row r="72072" spans="6:6" x14ac:dyDescent="0.3">
      <c r="F72072" s="193"/>
    </row>
    <row r="72073" spans="6:6" x14ac:dyDescent="0.3">
      <c r="F72073" s="193"/>
    </row>
    <row r="72074" spans="6:6" x14ac:dyDescent="0.3">
      <c r="F72074" s="193"/>
    </row>
    <row r="72075" spans="6:6" x14ac:dyDescent="0.3">
      <c r="F72075" s="193"/>
    </row>
    <row r="72076" spans="6:6" x14ac:dyDescent="0.3">
      <c r="F72076" s="193"/>
    </row>
    <row r="72077" spans="6:6" x14ac:dyDescent="0.3">
      <c r="F72077" s="193"/>
    </row>
    <row r="72078" spans="6:6" x14ac:dyDescent="0.3">
      <c r="F72078" s="193"/>
    </row>
    <row r="72079" spans="6:6" x14ac:dyDescent="0.3">
      <c r="F72079" s="193"/>
    </row>
    <row r="72080" spans="6:6" x14ac:dyDescent="0.3">
      <c r="F72080" s="193"/>
    </row>
    <row r="72081" spans="6:6" x14ac:dyDescent="0.3">
      <c r="F72081" s="193"/>
    </row>
    <row r="72082" spans="6:6" x14ac:dyDescent="0.3">
      <c r="F72082" s="193"/>
    </row>
    <row r="72083" spans="6:6" x14ac:dyDescent="0.3">
      <c r="F72083" s="193"/>
    </row>
    <row r="72084" spans="6:6" x14ac:dyDescent="0.3">
      <c r="F72084" s="193"/>
    </row>
    <row r="72085" spans="6:6" x14ac:dyDescent="0.3">
      <c r="F72085" s="193"/>
    </row>
    <row r="72086" spans="6:6" x14ac:dyDescent="0.3">
      <c r="F72086" s="193"/>
    </row>
    <row r="72087" spans="6:6" x14ac:dyDescent="0.3">
      <c r="F72087" s="193"/>
    </row>
    <row r="72088" spans="6:6" x14ac:dyDescent="0.3">
      <c r="F72088" s="193"/>
    </row>
    <row r="72089" spans="6:6" x14ac:dyDescent="0.3">
      <c r="F72089" s="193"/>
    </row>
    <row r="72090" spans="6:6" x14ac:dyDescent="0.3">
      <c r="F72090" s="193"/>
    </row>
    <row r="72091" spans="6:6" x14ac:dyDescent="0.3">
      <c r="F72091" s="193"/>
    </row>
    <row r="72092" spans="6:6" x14ac:dyDescent="0.3">
      <c r="F72092" s="193"/>
    </row>
    <row r="72093" spans="6:6" x14ac:dyDescent="0.3">
      <c r="F72093" s="193"/>
    </row>
    <row r="72094" spans="6:6" x14ac:dyDescent="0.3">
      <c r="F72094" s="193"/>
    </row>
    <row r="72095" spans="6:6" x14ac:dyDescent="0.3">
      <c r="F72095" s="193"/>
    </row>
    <row r="72096" spans="6:6" x14ac:dyDescent="0.3">
      <c r="F72096" s="193"/>
    </row>
    <row r="72097" spans="6:6" x14ac:dyDescent="0.3">
      <c r="F72097" s="193"/>
    </row>
    <row r="72098" spans="6:6" x14ac:dyDescent="0.3">
      <c r="F72098" s="193"/>
    </row>
    <row r="72099" spans="6:6" x14ac:dyDescent="0.3">
      <c r="F72099" s="193"/>
    </row>
    <row r="72100" spans="6:6" x14ac:dyDescent="0.3">
      <c r="F72100" s="193"/>
    </row>
    <row r="72101" spans="6:6" x14ac:dyDescent="0.3">
      <c r="F72101" s="193"/>
    </row>
    <row r="72102" spans="6:6" x14ac:dyDescent="0.3">
      <c r="F72102" s="193"/>
    </row>
    <row r="72103" spans="6:6" x14ac:dyDescent="0.3">
      <c r="F72103" s="193"/>
    </row>
    <row r="72104" spans="6:6" x14ac:dyDescent="0.3">
      <c r="F72104" s="193"/>
    </row>
    <row r="72105" spans="6:6" x14ac:dyDescent="0.3">
      <c r="F72105" s="193"/>
    </row>
    <row r="72106" spans="6:6" x14ac:dyDescent="0.3">
      <c r="F72106" s="193"/>
    </row>
    <row r="72107" spans="6:6" x14ac:dyDescent="0.3">
      <c r="F72107" s="193"/>
    </row>
    <row r="72108" spans="6:6" x14ac:dyDescent="0.3">
      <c r="F72108" s="193"/>
    </row>
    <row r="72109" spans="6:6" x14ac:dyDescent="0.3">
      <c r="F72109" s="193"/>
    </row>
    <row r="72110" spans="6:6" x14ac:dyDescent="0.3">
      <c r="F72110" s="193"/>
    </row>
    <row r="72111" spans="6:6" x14ac:dyDescent="0.3">
      <c r="F72111" s="193"/>
    </row>
    <row r="72112" spans="6:6" x14ac:dyDescent="0.3">
      <c r="F72112" s="193"/>
    </row>
    <row r="72113" spans="6:6" x14ac:dyDescent="0.3">
      <c r="F72113" s="193"/>
    </row>
    <row r="72114" spans="6:6" x14ac:dyDescent="0.3">
      <c r="F72114" s="193"/>
    </row>
    <row r="72115" spans="6:6" x14ac:dyDescent="0.3">
      <c r="F72115" s="193"/>
    </row>
    <row r="72116" spans="6:6" x14ac:dyDescent="0.3">
      <c r="F72116" s="193"/>
    </row>
    <row r="72117" spans="6:6" x14ac:dyDescent="0.3">
      <c r="F72117" s="193"/>
    </row>
    <row r="72118" spans="6:6" x14ac:dyDescent="0.3">
      <c r="F72118" s="193"/>
    </row>
    <row r="72119" spans="6:6" x14ac:dyDescent="0.3">
      <c r="F72119" s="193"/>
    </row>
    <row r="72120" spans="6:6" x14ac:dyDescent="0.3">
      <c r="F72120" s="193"/>
    </row>
    <row r="72121" spans="6:6" x14ac:dyDescent="0.3">
      <c r="F72121" s="193"/>
    </row>
    <row r="72122" spans="6:6" x14ac:dyDescent="0.3">
      <c r="F72122" s="193"/>
    </row>
    <row r="72123" spans="6:6" x14ac:dyDescent="0.3">
      <c r="F72123" s="193"/>
    </row>
    <row r="72124" spans="6:6" x14ac:dyDescent="0.3">
      <c r="F72124" s="193"/>
    </row>
    <row r="72125" spans="6:6" x14ac:dyDescent="0.3">
      <c r="F72125" s="193"/>
    </row>
    <row r="72126" spans="6:6" x14ac:dyDescent="0.3">
      <c r="F72126" s="193"/>
    </row>
    <row r="72127" spans="6:6" x14ac:dyDescent="0.3">
      <c r="F72127" s="193"/>
    </row>
    <row r="72128" spans="6:6" x14ac:dyDescent="0.3">
      <c r="F72128" s="193"/>
    </row>
    <row r="72129" spans="6:6" x14ac:dyDescent="0.3">
      <c r="F72129" s="193"/>
    </row>
    <row r="72130" spans="6:6" x14ac:dyDescent="0.3">
      <c r="F72130" s="193"/>
    </row>
    <row r="72131" spans="6:6" x14ac:dyDescent="0.3">
      <c r="F72131" s="193"/>
    </row>
    <row r="72132" spans="6:6" x14ac:dyDescent="0.3">
      <c r="F72132" s="193"/>
    </row>
    <row r="72133" spans="6:6" x14ac:dyDescent="0.3">
      <c r="F72133" s="193"/>
    </row>
    <row r="72134" spans="6:6" x14ac:dyDescent="0.3">
      <c r="F72134" s="193"/>
    </row>
    <row r="72135" spans="6:6" x14ac:dyDescent="0.3">
      <c r="F72135" s="193"/>
    </row>
    <row r="72136" spans="6:6" x14ac:dyDescent="0.3">
      <c r="F72136" s="193"/>
    </row>
    <row r="72137" spans="6:6" x14ac:dyDescent="0.3">
      <c r="F72137" s="193"/>
    </row>
    <row r="72138" spans="6:6" x14ac:dyDescent="0.3">
      <c r="F72138" s="193"/>
    </row>
    <row r="72139" spans="6:6" x14ac:dyDescent="0.3">
      <c r="F72139" s="193"/>
    </row>
    <row r="72140" spans="6:6" x14ac:dyDescent="0.3">
      <c r="F72140" s="193"/>
    </row>
    <row r="72141" spans="6:6" x14ac:dyDescent="0.3">
      <c r="F72141" s="193"/>
    </row>
    <row r="72142" spans="6:6" x14ac:dyDescent="0.3">
      <c r="F72142" s="193"/>
    </row>
    <row r="72143" spans="6:6" x14ac:dyDescent="0.3">
      <c r="F72143" s="193"/>
    </row>
    <row r="72144" spans="6:6" x14ac:dyDescent="0.3">
      <c r="F72144" s="193"/>
    </row>
    <row r="72145" spans="6:6" x14ac:dyDescent="0.3">
      <c r="F72145" s="193"/>
    </row>
    <row r="72146" spans="6:6" x14ac:dyDescent="0.3">
      <c r="F72146" s="193"/>
    </row>
    <row r="72147" spans="6:6" x14ac:dyDescent="0.3">
      <c r="F72147" s="193"/>
    </row>
    <row r="72148" spans="6:6" x14ac:dyDescent="0.3">
      <c r="F72148" s="193"/>
    </row>
    <row r="72149" spans="6:6" x14ac:dyDescent="0.3">
      <c r="F72149" s="193"/>
    </row>
    <row r="72150" spans="6:6" x14ac:dyDescent="0.3">
      <c r="F72150" s="193"/>
    </row>
    <row r="72151" spans="6:6" x14ac:dyDescent="0.3">
      <c r="F72151" s="193"/>
    </row>
    <row r="72152" spans="6:6" x14ac:dyDescent="0.3">
      <c r="F72152" s="193"/>
    </row>
    <row r="72153" spans="6:6" x14ac:dyDescent="0.3">
      <c r="F72153" s="193"/>
    </row>
    <row r="72154" spans="6:6" x14ac:dyDescent="0.3">
      <c r="F72154" s="193"/>
    </row>
    <row r="72155" spans="6:6" x14ac:dyDescent="0.3">
      <c r="F72155" s="193"/>
    </row>
    <row r="72156" spans="6:6" x14ac:dyDescent="0.3">
      <c r="F72156" s="193"/>
    </row>
    <row r="72157" spans="6:6" x14ac:dyDescent="0.3">
      <c r="F72157" s="193"/>
    </row>
    <row r="72158" spans="6:6" x14ac:dyDescent="0.3">
      <c r="F72158" s="193"/>
    </row>
    <row r="72159" spans="6:6" x14ac:dyDescent="0.3">
      <c r="F72159" s="193"/>
    </row>
    <row r="72160" spans="6:6" x14ac:dyDescent="0.3">
      <c r="F72160" s="193"/>
    </row>
    <row r="72161" spans="6:6" x14ac:dyDescent="0.3">
      <c r="F72161" s="193"/>
    </row>
    <row r="72162" spans="6:6" x14ac:dyDescent="0.3">
      <c r="F72162" s="193"/>
    </row>
    <row r="72163" spans="6:6" x14ac:dyDescent="0.3">
      <c r="F72163" s="193"/>
    </row>
    <row r="72164" spans="6:6" x14ac:dyDescent="0.3">
      <c r="F72164" s="193"/>
    </row>
    <row r="72165" spans="6:6" x14ac:dyDescent="0.3">
      <c r="F72165" s="193"/>
    </row>
    <row r="72166" spans="6:6" x14ac:dyDescent="0.3">
      <c r="F72166" s="193"/>
    </row>
    <row r="72167" spans="6:6" x14ac:dyDescent="0.3">
      <c r="F72167" s="193"/>
    </row>
    <row r="72168" spans="6:6" x14ac:dyDescent="0.3">
      <c r="F72168" s="193"/>
    </row>
    <row r="72169" spans="6:6" x14ac:dyDescent="0.3">
      <c r="F72169" s="193"/>
    </row>
    <row r="72170" spans="6:6" x14ac:dyDescent="0.3">
      <c r="F72170" s="193"/>
    </row>
    <row r="72171" spans="6:6" x14ac:dyDescent="0.3">
      <c r="F72171" s="193"/>
    </row>
    <row r="72172" spans="6:6" x14ac:dyDescent="0.3">
      <c r="F72172" s="193"/>
    </row>
    <row r="72173" spans="6:6" x14ac:dyDescent="0.3">
      <c r="F72173" s="193"/>
    </row>
    <row r="72174" spans="6:6" x14ac:dyDescent="0.3">
      <c r="F72174" s="193"/>
    </row>
    <row r="72175" spans="6:6" x14ac:dyDescent="0.3">
      <c r="F72175" s="193"/>
    </row>
    <row r="72176" spans="6:6" x14ac:dyDescent="0.3">
      <c r="F72176" s="193"/>
    </row>
    <row r="72177" spans="6:6" x14ac:dyDescent="0.3">
      <c r="F72177" s="193"/>
    </row>
    <row r="72178" spans="6:6" x14ac:dyDescent="0.3">
      <c r="F72178" s="193"/>
    </row>
    <row r="72179" spans="6:6" x14ac:dyDescent="0.3">
      <c r="F72179" s="193"/>
    </row>
    <row r="72180" spans="6:6" x14ac:dyDescent="0.3">
      <c r="F72180" s="193"/>
    </row>
    <row r="72181" spans="6:6" x14ac:dyDescent="0.3">
      <c r="F72181" s="193"/>
    </row>
    <row r="72182" spans="6:6" x14ac:dyDescent="0.3">
      <c r="F72182" s="193"/>
    </row>
    <row r="72183" spans="6:6" x14ac:dyDescent="0.3">
      <c r="F72183" s="193"/>
    </row>
    <row r="72184" spans="6:6" x14ac:dyDescent="0.3">
      <c r="F72184" s="193"/>
    </row>
    <row r="72185" spans="6:6" x14ac:dyDescent="0.3">
      <c r="F72185" s="193"/>
    </row>
    <row r="72186" spans="6:6" x14ac:dyDescent="0.3">
      <c r="F72186" s="193"/>
    </row>
    <row r="72187" spans="6:6" x14ac:dyDescent="0.3">
      <c r="F72187" s="193"/>
    </row>
    <row r="72188" spans="6:6" x14ac:dyDescent="0.3">
      <c r="F72188" s="193"/>
    </row>
    <row r="72189" spans="6:6" x14ac:dyDescent="0.3">
      <c r="F72189" s="193"/>
    </row>
    <row r="72190" spans="6:6" x14ac:dyDescent="0.3">
      <c r="F72190" s="193"/>
    </row>
    <row r="72191" spans="6:6" x14ac:dyDescent="0.3">
      <c r="F72191" s="193"/>
    </row>
    <row r="72192" spans="6:6" x14ac:dyDescent="0.3">
      <c r="F72192" s="193"/>
    </row>
    <row r="72193" spans="6:6" x14ac:dyDescent="0.3">
      <c r="F72193" s="193"/>
    </row>
    <row r="72194" spans="6:6" x14ac:dyDescent="0.3">
      <c r="F72194" s="193"/>
    </row>
    <row r="72195" spans="6:6" x14ac:dyDescent="0.3">
      <c r="F72195" s="193"/>
    </row>
    <row r="72196" spans="6:6" x14ac:dyDescent="0.3">
      <c r="F72196" s="193"/>
    </row>
    <row r="72197" spans="6:6" x14ac:dyDescent="0.3">
      <c r="F72197" s="193"/>
    </row>
    <row r="72198" spans="6:6" x14ac:dyDescent="0.3">
      <c r="F72198" s="193"/>
    </row>
    <row r="72199" spans="6:6" x14ac:dyDescent="0.3">
      <c r="F72199" s="193"/>
    </row>
    <row r="72200" spans="6:6" x14ac:dyDescent="0.3">
      <c r="F72200" s="193"/>
    </row>
    <row r="72201" spans="6:6" x14ac:dyDescent="0.3">
      <c r="F72201" s="193"/>
    </row>
    <row r="72202" spans="6:6" x14ac:dyDescent="0.3">
      <c r="F72202" s="193"/>
    </row>
    <row r="72203" spans="6:6" x14ac:dyDescent="0.3">
      <c r="F72203" s="193"/>
    </row>
    <row r="72204" spans="6:6" x14ac:dyDescent="0.3">
      <c r="F72204" s="193"/>
    </row>
    <row r="72205" spans="6:6" x14ac:dyDescent="0.3">
      <c r="F72205" s="193"/>
    </row>
    <row r="72206" spans="6:6" x14ac:dyDescent="0.3">
      <c r="F72206" s="193"/>
    </row>
    <row r="72207" spans="6:6" x14ac:dyDescent="0.3">
      <c r="F72207" s="193"/>
    </row>
    <row r="72208" spans="6:6" x14ac:dyDescent="0.3">
      <c r="F72208" s="193"/>
    </row>
    <row r="72209" spans="6:6" x14ac:dyDescent="0.3">
      <c r="F72209" s="193"/>
    </row>
    <row r="72210" spans="6:6" x14ac:dyDescent="0.3">
      <c r="F72210" s="193"/>
    </row>
    <row r="72211" spans="6:6" x14ac:dyDescent="0.3">
      <c r="F72211" s="193"/>
    </row>
    <row r="72212" spans="6:6" x14ac:dyDescent="0.3">
      <c r="F72212" s="193"/>
    </row>
    <row r="72213" spans="6:6" x14ac:dyDescent="0.3">
      <c r="F72213" s="193"/>
    </row>
    <row r="72214" spans="6:6" x14ac:dyDescent="0.3">
      <c r="F72214" s="193"/>
    </row>
    <row r="72215" spans="6:6" x14ac:dyDescent="0.3">
      <c r="F72215" s="193"/>
    </row>
    <row r="72216" spans="6:6" x14ac:dyDescent="0.3">
      <c r="F72216" s="193"/>
    </row>
    <row r="72217" spans="6:6" x14ac:dyDescent="0.3">
      <c r="F72217" s="193"/>
    </row>
    <row r="72218" spans="6:6" x14ac:dyDescent="0.3">
      <c r="F72218" s="193"/>
    </row>
    <row r="72219" spans="6:6" x14ac:dyDescent="0.3">
      <c r="F72219" s="193"/>
    </row>
    <row r="72220" spans="6:6" x14ac:dyDescent="0.3">
      <c r="F72220" s="193"/>
    </row>
    <row r="72221" spans="6:6" x14ac:dyDescent="0.3">
      <c r="F72221" s="193"/>
    </row>
    <row r="72222" spans="6:6" x14ac:dyDescent="0.3">
      <c r="F72222" s="193"/>
    </row>
    <row r="72223" spans="6:6" x14ac:dyDescent="0.3">
      <c r="F72223" s="193"/>
    </row>
    <row r="72224" spans="6:6" x14ac:dyDescent="0.3">
      <c r="F72224" s="193"/>
    </row>
    <row r="72225" spans="6:6" x14ac:dyDescent="0.3">
      <c r="F72225" s="193"/>
    </row>
    <row r="72226" spans="6:6" x14ac:dyDescent="0.3">
      <c r="F72226" s="193"/>
    </row>
    <row r="72227" spans="6:6" x14ac:dyDescent="0.3">
      <c r="F72227" s="193"/>
    </row>
    <row r="72228" spans="6:6" x14ac:dyDescent="0.3">
      <c r="F72228" s="193"/>
    </row>
    <row r="72229" spans="6:6" x14ac:dyDescent="0.3">
      <c r="F72229" s="193"/>
    </row>
    <row r="72230" spans="6:6" x14ac:dyDescent="0.3">
      <c r="F72230" s="193"/>
    </row>
    <row r="72231" spans="6:6" x14ac:dyDescent="0.3">
      <c r="F72231" s="193"/>
    </row>
    <row r="72232" spans="6:6" x14ac:dyDescent="0.3">
      <c r="F72232" s="193"/>
    </row>
    <row r="72233" spans="6:6" x14ac:dyDescent="0.3">
      <c r="F72233" s="193"/>
    </row>
    <row r="72234" spans="6:6" x14ac:dyDescent="0.3">
      <c r="F72234" s="193"/>
    </row>
    <row r="72235" spans="6:6" x14ac:dyDescent="0.3">
      <c r="F72235" s="193"/>
    </row>
    <row r="72236" spans="6:6" x14ac:dyDescent="0.3">
      <c r="F72236" s="193"/>
    </row>
    <row r="72237" spans="6:6" x14ac:dyDescent="0.3">
      <c r="F72237" s="193"/>
    </row>
    <row r="72238" spans="6:6" x14ac:dyDescent="0.3">
      <c r="F72238" s="193"/>
    </row>
    <row r="72239" spans="6:6" x14ac:dyDescent="0.3">
      <c r="F72239" s="193"/>
    </row>
    <row r="72240" spans="6:6" x14ac:dyDescent="0.3">
      <c r="F72240" s="193"/>
    </row>
    <row r="72241" spans="6:6" x14ac:dyDescent="0.3">
      <c r="F72241" s="193"/>
    </row>
    <row r="72242" spans="6:6" x14ac:dyDescent="0.3">
      <c r="F72242" s="193"/>
    </row>
    <row r="72243" spans="6:6" x14ac:dyDescent="0.3">
      <c r="F72243" s="193"/>
    </row>
    <row r="72244" spans="6:6" x14ac:dyDescent="0.3">
      <c r="F72244" s="193"/>
    </row>
    <row r="72245" spans="6:6" x14ac:dyDescent="0.3">
      <c r="F72245" s="193"/>
    </row>
    <row r="72246" spans="6:6" x14ac:dyDescent="0.3">
      <c r="F72246" s="193"/>
    </row>
    <row r="72247" spans="6:6" x14ac:dyDescent="0.3">
      <c r="F72247" s="193"/>
    </row>
    <row r="72248" spans="6:6" x14ac:dyDescent="0.3">
      <c r="F72248" s="193"/>
    </row>
    <row r="72249" spans="6:6" x14ac:dyDescent="0.3">
      <c r="F72249" s="193"/>
    </row>
    <row r="72250" spans="6:6" x14ac:dyDescent="0.3">
      <c r="F72250" s="193"/>
    </row>
    <row r="72251" spans="6:6" x14ac:dyDescent="0.3">
      <c r="F72251" s="193"/>
    </row>
    <row r="72252" spans="6:6" x14ac:dyDescent="0.3">
      <c r="F72252" s="193"/>
    </row>
    <row r="72253" spans="6:6" x14ac:dyDescent="0.3">
      <c r="F72253" s="193"/>
    </row>
    <row r="72254" spans="6:6" x14ac:dyDescent="0.3">
      <c r="F72254" s="193"/>
    </row>
    <row r="72255" spans="6:6" x14ac:dyDescent="0.3">
      <c r="F72255" s="193"/>
    </row>
    <row r="72256" spans="6:6" x14ac:dyDescent="0.3">
      <c r="F72256" s="193"/>
    </row>
    <row r="72257" spans="6:6" x14ac:dyDescent="0.3">
      <c r="F72257" s="193"/>
    </row>
    <row r="72258" spans="6:6" x14ac:dyDescent="0.3">
      <c r="F72258" s="193"/>
    </row>
    <row r="72259" spans="6:6" x14ac:dyDescent="0.3">
      <c r="F72259" s="193"/>
    </row>
    <row r="72260" spans="6:6" x14ac:dyDescent="0.3">
      <c r="F72260" s="193"/>
    </row>
    <row r="72261" spans="6:6" x14ac:dyDescent="0.3">
      <c r="F72261" s="193"/>
    </row>
    <row r="72262" spans="6:6" x14ac:dyDescent="0.3">
      <c r="F72262" s="193"/>
    </row>
    <row r="72263" spans="6:6" x14ac:dyDescent="0.3">
      <c r="F72263" s="193"/>
    </row>
    <row r="72264" spans="6:6" x14ac:dyDescent="0.3">
      <c r="F72264" s="193"/>
    </row>
    <row r="72265" spans="6:6" x14ac:dyDescent="0.3">
      <c r="F72265" s="193"/>
    </row>
    <row r="72266" spans="6:6" x14ac:dyDescent="0.3">
      <c r="F72266" s="193"/>
    </row>
    <row r="72267" spans="6:6" x14ac:dyDescent="0.3">
      <c r="F72267" s="193"/>
    </row>
    <row r="72268" spans="6:6" x14ac:dyDescent="0.3">
      <c r="F72268" s="193"/>
    </row>
    <row r="72269" spans="6:6" x14ac:dyDescent="0.3">
      <c r="F72269" s="193"/>
    </row>
    <row r="72270" spans="6:6" x14ac:dyDescent="0.3">
      <c r="F72270" s="193"/>
    </row>
    <row r="72271" spans="6:6" x14ac:dyDescent="0.3">
      <c r="F72271" s="193"/>
    </row>
    <row r="72272" spans="6:6" x14ac:dyDescent="0.3">
      <c r="F72272" s="193"/>
    </row>
    <row r="72273" spans="6:6" x14ac:dyDescent="0.3">
      <c r="F72273" s="193"/>
    </row>
    <row r="72274" spans="6:6" x14ac:dyDescent="0.3">
      <c r="F72274" s="193"/>
    </row>
    <row r="72275" spans="6:6" x14ac:dyDescent="0.3">
      <c r="F72275" s="193"/>
    </row>
    <row r="72276" spans="6:6" x14ac:dyDescent="0.3">
      <c r="F72276" s="193"/>
    </row>
    <row r="72277" spans="6:6" x14ac:dyDescent="0.3">
      <c r="F72277" s="193"/>
    </row>
    <row r="72278" spans="6:6" x14ac:dyDescent="0.3">
      <c r="F72278" s="193"/>
    </row>
    <row r="72279" spans="6:6" x14ac:dyDescent="0.3">
      <c r="F72279" s="193"/>
    </row>
    <row r="72280" spans="6:6" x14ac:dyDescent="0.3">
      <c r="F72280" s="193"/>
    </row>
    <row r="72281" spans="6:6" x14ac:dyDescent="0.3">
      <c r="F72281" s="193"/>
    </row>
    <row r="72282" spans="6:6" x14ac:dyDescent="0.3">
      <c r="F72282" s="193"/>
    </row>
    <row r="72283" spans="6:6" x14ac:dyDescent="0.3">
      <c r="F72283" s="193"/>
    </row>
    <row r="72284" spans="6:6" x14ac:dyDescent="0.3">
      <c r="F72284" s="193"/>
    </row>
    <row r="72285" spans="6:6" x14ac:dyDescent="0.3">
      <c r="F72285" s="193"/>
    </row>
    <row r="72286" spans="6:6" x14ac:dyDescent="0.3">
      <c r="F72286" s="193"/>
    </row>
    <row r="72287" spans="6:6" x14ac:dyDescent="0.3">
      <c r="F72287" s="193"/>
    </row>
    <row r="72288" spans="6:6" x14ac:dyDescent="0.3">
      <c r="F72288" s="193"/>
    </row>
    <row r="72289" spans="6:6" x14ac:dyDescent="0.3">
      <c r="F72289" s="193"/>
    </row>
    <row r="72290" spans="6:6" x14ac:dyDescent="0.3">
      <c r="F72290" s="193"/>
    </row>
    <row r="72291" spans="6:6" x14ac:dyDescent="0.3">
      <c r="F72291" s="193"/>
    </row>
    <row r="72292" spans="6:6" x14ac:dyDescent="0.3">
      <c r="F72292" s="193"/>
    </row>
    <row r="72293" spans="6:6" x14ac:dyDescent="0.3">
      <c r="F72293" s="193"/>
    </row>
    <row r="72294" spans="6:6" x14ac:dyDescent="0.3">
      <c r="F72294" s="193"/>
    </row>
    <row r="72295" spans="6:6" x14ac:dyDescent="0.3">
      <c r="F72295" s="193"/>
    </row>
    <row r="72296" spans="6:6" x14ac:dyDescent="0.3">
      <c r="F72296" s="193"/>
    </row>
    <row r="72297" spans="6:6" x14ac:dyDescent="0.3">
      <c r="F72297" s="193"/>
    </row>
    <row r="72298" spans="6:6" x14ac:dyDescent="0.3">
      <c r="F72298" s="193"/>
    </row>
    <row r="72299" spans="6:6" x14ac:dyDescent="0.3">
      <c r="F72299" s="193"/>
    </row>
    <row r="72300" spans="6:6" x14ac:dyDescent="0.3">
      <c r="F72300" s="193"/>
    </row>
    <row r="72301" spans="6:6" x14ac:dyDescent="0.3">
      <c r="F72301" s="193"/>
    </row>
    <row r="72302" spans="6:6" x14ac:dyDescent="0.3">
      <c r="F72302" s="193"/>
    </row>
    <row r="72303" spans="6:6" x14ac:dyDescent="0.3">
      <c r="F72303" s="193"/>
    </row>
    <row r="72304" spans="6:6" x14ac:dyDescent="0.3">
      <c r="F72304" s="193"/>
    </row>
    <row r="72305" spans="6:6" x14ac:dyDescent="0.3">
      <c r="F72305" s="193"/>
    </row>
    <row r="72306" spans="6:6" x14ac:dyDescent="0.3">
      <c r="F72306" s="193"/>
    </row>
    <row r="72307" spans="6:6" x14ac:dyDescent="0.3">
      <c r="F72307" s="193"/>
    </row>
    <row r="72308" spans="6:6" x14ac:dyDescent="0.3">
      <c r="F72308" s="193"/>
    </row>
    <row r="72309" spans="6:6" x14ac:dyDescent="0.3">
      <c r="F72309" s="193"/>
    </row>
    <row r="72310" spans="6:6" x14ac:dyDescent="0.3">
      <c r="F72310" s="193"/>
    </row>
    <row r="72311" spans="6:6" x14ac:dyDescent="0.3">
      <c r="F72311" s="193"/>
    </row>
    <row r="72312" spans="6:6" x14ac:dyDescent="0.3">
      <c r="F72312" s="193"/>
    </row>
    <row r="72313" spans="6:6" x14ac:dyDescent="0.3">
      <c r="F72313" s="193"/>
    </row>
    <row r="72314" spans="6:6" x14ac:dyDescent="0.3">
      <c r="F72314" s="193"/>
    </row>
    <row r="72315" spans="6:6" x14ac:dyDescent="0.3">
      <c r="F72315" s="193"/>
    </row>
    <row r="72316" spans="6:6" x14ac:dyDescent="0.3">
      <c r="F72316" s="193"/>
    </row>
    <row r="72317" spans="6:6" x14ac:dyDescent="0.3">
      <c r="F72317" s="193"/>
    </row>
    <row r="72318" spans="6:6" x14ac:dyDescent="0.3">
      <c r="F72318" s="193"/>
    </row>
    <row r="72319" spans="6:6" x14ac:dyDescent="0.3">
      <c r="F72319" s="193"/>
    </row>
    <row r="72320" spans="6:6" x14ac:dyDescent="0.3">
      <c r="F72320" s="193"/>
    </row>
    <row r="72321" spans="6:6" x14ac:dyDescent="0.3">
      <c r="F72321" s="193"/>
    </row>
    <row r="72322" spans="6:6" x14ac:dyDescent="0.3">
      <c r="F72322" s="193"/>
    </row>
    <row r="72323" spans="6:6" x14ac:dyDescent="0.3">
      <c r="F72323" s="193"/>
    </row>
    <row r="72324" spans="6:6" x14ac:dyDescent="0.3">
      <c r="F72324" s="193"/>
    </row>
    <row r="72325" spans="6:6" x14ac:dyDescent="0.3">
      <c r="F72325" s="193"/>
    </row>
    <row r="72326" spans="6:6" x14ac:dyDescent="0.3">
      <c r="F72326" s="193"/>
    </row>
    <row r="72327" spans="6:6" x14ac:dyDescent="0.3">
      <c r="F72327" s="193"/>
    </row>
    <row r="72328" spans="6:6" x14ac:dyDescent="0.3">
      <c r="F72328" s="193"/>
    </row>
    <row r="72329" spans="6:6" x14ac:dyDescent="0.3">
      <c r="F72329" s="193"/>
    </row>
    <row r="72330" spans="6:6" x14ac:dyDescent="0.3">
      <c r="F72330" s="193"/>
    </row>
    <row r="72331" spans="6:6" x14ac:dyDescent="0.3">
      <c r="F72331" s="193"/>
    </row>
    <row r="72332" spans="6:6" x14ac:dyDescent="0.3">
      <c r="F72332" s="193"/>
    </row>
    <row r="72333" spans="6:6" x14ac:dyDescent="0.3">
      <c r="F72333" s="193"/>
    </row>
    <row r="72334" spans="6:6" x14ac:dyDescent="0.3">
      <c r="F72334" s="193"/>
    </row>
    <row r="72335" spans="6:6" x14ac:dyDescent="0.3">
      <c r="F72335" s="193"/>
    </row>
    <row r="72336" spans="6:6" x14ac:dyDescent="0.3">
      <c r="F72336" s="193"/>
    </row>
    <row r="72337" spans="6:6" x14ac:dyDescent="0.3">
      <c r="F72337" s="193"/>
    </row>
    <row r="72338" spans="6:6" x14ac:dyDescent="0.3">
      <c r="F72338" s="193"/>
    </row>
    <row r="72339" spans="6:6" x14ac:dyDescent="0.3">
      <c r="F72339" s="193"/>
    </row>
    <row r="72340" spans="6:6" x14ac:dyDescent="0.3">
      <c r="F72340" s="193"/>
    </row>
    <row r="72341" spans="6:6" x14ac:dyDescent="0.3">
      <c r="F72341" s="193"/>
    </row>
    <row r="72342" spans="6:6" x14ac:dyDescent="0.3">
      <c r="F72342" s="193"/>
    </row>
    <row r="72343" spans="6:6" x14ac:dyDescent="0.3">
      <c r="F72343" s="193"/>
    </row>
    <row r="72344" spans="6:6" x14ac:dyDescent="0.3">
      <c r="F72344" s="193"/>
    </row>
    <row r="72345" spans="6:6" x14ac:dyDescent="0.3">
      <c r="F72345" s="193"/>
    </row>
    <row r="72346" spans="6:6" x14ac:dyDescent="0.3">
      <c r="F72346" s="193"/>
    </row>
    <row r="72347" spans="6:6" x14ac:dyDescent="0.3">
      <c r="F72347" s="193"/>
    </row>
    <row r="72348" spans="6:6" x14ac:dyDescent="0.3">
      <c r="F72348" s="193"/>
    </row>
    <row r="72349" spans="6:6" x14ac:dyDescent="0.3">
      <c r="F72349" s="193"/>
    </row>
    <row r="72350" spans="6:6" x14ac:dyDescent="0.3">
      <c r="F72350" s="193"/>
    </row>
    <row r="72351" spans="6:6" x14ac:dyDescent="0.3">
      <c r="F72351" s="193"/>
    </row>
    <row r="72352" spans="6:6" x14ac:dyDescent="0.3">
      <c r="F72352" s="193"/>
    </row>
    <row r="72353" spans="6:6" x14ac:dyDescent="0.3">
      <c r="F72353" s="193"/>
    </row>
    <row r="72354" spans="6:6" x14ac:dyDescent="0.3">
      <c r="F72354" s="193"/>
    </row>
    <row r="72355" spans="6:6" x14ac:dyDescent="0.3">
      <c r="F72355" s="193"/>
    </row>
    <row r="72356" spans="6:6" x14ac:dyDescent="0.3">
      <c r="F72356" s="193"/>
    </row>
    <row r="72357" spans="6:6" x14ac:dyDescent="0.3">
      <c r="F72357" s="193"/>
    </row>
    <row r="72358" spans="6:6" x14ac:dyDescent="0.3">
      <c r="F72358" s="193"/>
    </row>
    <row r="72359" spans="6:6" x14ac:dyDescent="0.3">
      <c r="F72359" s="193"/>
    </row>
    <row r="72360" spans="6:6" x14ac:dyDescent="0.3">
      <c r="F72360" s="193"/>
    </row>
    <row r="72361" spans="6:6" x14ac:dyDescent="0.3">
      <c r="F72361" s="193"/>
    </row>
    <row r="72362" spans="6:6" x14ac:dyDescent="0.3">
      <c r="F72362" s="193"/>
    </row>
    <row r="72363" spans="6:6" x14ac:dyDescent="0.3">
      <c r="F72363" s="193"/>
    </row>
    <row r="72364" spans="6:6" x14ac:dyDescent="0.3">
      <c r="F72364" s="193"/>
    </row>
    <row r="72365" spans="6:6" x14ac:dyDescent="0.3">
      <c r="F72365" s="193"/>
    </row>
    <row r="72366" spans="6:6" x14ac:dyDescent="0.3">
      <c r="F72366" s="193"/>
    </row>
    <row r="72367" spans="6:6" x14ac:dyDescent="0.3">
      <c r="F72367" s="193"/>
    </row>
    <row r="72368" spans="6:6" x14ac:dyDescent="0.3">
      <c r="F72368" s="193"/>
    </row>
    <row r="72369" spans="6:6" x14ac:dyDescent="0.3">
      <c r="F72369" s="193"/>
    </row>
    <row r="72370" spans="6:6" x14ac:dyDescent="0.3">
      <c r="F72370" s="193"/>
    </row>
    <row r="72371" spans="6:6" x14ac:dyDescent="0.3">
      <c r="F72371" s="193"/>
    </row>
    <row r="72372" spans="6:6" x14ac:dyDescent="0.3">
      <c r="F72372" s="193"/>
    </row>
    <row r="72373" spans="6:6" x14ac:dyDescent="0.3">
      <c r="F72373" s="193"/>
    </row>
    <row r="72374" spans="6:6" x14ac:dyDescent="0.3">
      <c r="F72374" s="193"/>
    </row>
    <row r="72375" spans="6:6" x14ac:dyDescent="0.3">
      <c r="F72375" s="193"/>
    </row>
    <row r="72376" spans="6:6" x14ac:dyDescent="0.3">
      <c r="F72376" s="193"/>
    </row>
    <row r="72377" spans="6:6" x14ac:dyDescent="0.3">
      <c r="F72377" s="193"/>
    </row>
    <row r="72378" spans="6:6" x14ac:dyDescent="0.3">
      <c r="F72378" s="193"/>
    </row>
    <row r="72379" spans="6:6" x14ac:dyDescent="0.3">
      <c r="F72379" s="193"/>
    </row>
    <row r="72380" spans="6:6" x14ac:dyDescent="0.3">
      <c r="F72380" s="193"/>
    </row>
    <row r="72381" spans="6:6" x14ac:dyDescent="0.3">
      <c r="F72381" s="193"/>
    </row>
    <row r="72382" spans="6:6" x14ac:dyDescent="0.3">
      <c r="F72382" s="193"/>
    </row>
    <row r="72383" spans="6:6" x14ac:dyDescent="0.3">
      <c r="F72383" s="193"/>
    </row>
    <row r="72384" spans="6:6" x14ac:dyDescent="0.3">
      <c r="F72384" s="193"/>
    </row>
    <row r="72385" spans="6:6" x14ac:dyDescent="0.3">
      <c r="F72385" s="193"/>
    </row>
    <row r="72386" spans="6:6" x14ac:dyDescent="0.3">
      <c r="F72386" s="193"/>
    </row>
    <row r="72387" spans="6:6" x14ac:dyDescent="0.3">
      <c r="F72387" s="193"/>
    </row>
    <row r="72388" spans="6:6" x14ac:dyDescent="0.3">
      <c r="F72388" s="193"/>
    </row>
    <row r="72389" spans="6:6" x14ac:dyDescent="0.3">
      <c r="F72389" s="193"/>
    </row>
    <row r="72390" spans="6:6" x14ac:dyDescent="0.3">
      <c r="F72390" s="193"/>
    </row>
    <row r="72391" spans="6:6" x14ac:dyDescent="0.3">
      <c r="F72391" s="193"/>
    </row>
    <row r="72392" spans="6:6" x14ac:dyDescent="0.3">
      <c r="F72392" s="193"/>
    </row>
    <row r="72393" spans="6:6" x14ac:dyDescent="0.3">
      <c r="F72393" s="193"/>
    </row>
    <row r="72394" spans="6:6" x14ac:dyDescent="0.3">
      <c r="F72394" s="193"/>
    </row>
    <row r="72395" spans="6:6" x14ac:dyDescent="0.3">
      <c r="F72395" s="193"/>
    </row>
    <row r="72396" spans="6:6" x14ac:dyDescent="0.3">
      <c r="F72396" s="193"/>
    </row>
    <row r="72397" spans="6:6" x14ac:dyDescent="0.3">
      <c r="F72397" s="193"/>
    </row>
    <row r="72398" spans="6:6" x14ac:dyDescent="0.3">
      <c r="F72398" s="193"/>
    </row>
    <row r="72399" spans="6:6" x14ac:dyDescent="0.3">
      <c r="F72399" s="193"/>
    </row>
    <row r="72400" spans="6:6" x14ac:dyDescent="0.3">
      <c r="F72400" s="193"/>
    </row>
    <row r="72401" spans="6:6" x14ac:dyDescent="0.3">
      <c r="F72401" s="193"/>
    </row>
    <row r="72402" spans="6:6" x14ac:dyDescent="0.3">
      <c r="F72402" s="193"/>
    </row>
    <row r="72403" spans="6:6" x14ac:dyDescent="0.3">
      <c r="F72403" s="193"/>
    </row>
    <row r="72404" spans="6:6" x14ac:dyDescent="0.3">
      <c r="F72404" s="193"/>
    </row>
    <row r="72405" spans="6:6" x14ac:dyDescent="0.3">
      <c r="F72405" s="193"/>
    </row>
    <row r="72406" spans="6:6" x14ac:dyDescent="0.3">
      <c r="F72406" s="193"/>
    </row>
    <row r="72407" spans="6:6" x14ac:dyDescent="0.3">
      <c r="F72407" s="193"/>
    </row>
    <row r="72408" spans="6:6" x14ac:dyDescent="0.3">
      <c r="F72408" s="193"/>
    </row>
    <row r="72409" spans="6:6" x14ac:dyDescent="0.3">
      <c r="F72409" s="193"/>
    </row>
    <row r="72410" spans="6:6" x14ac:dyDescent="0.3">
      <c r="F72410" s="193"/>
    </row>
    <row r="72411" spans="6:6" x14ac:dyDescent="0.3">
      <c r="F72411" s="193"/>
    </row>
    <row r="72412" spans="6:6" x14ac:dyDescent="0.3">
      <c r="F72412" s="193"/>
    </row>
    <row r="72413" spans="6:6" x14ac:dyDescent="0.3">
      <c r="F72413" s="193"/>
    </row>
    <row r="72414" spans="6:6" x14ac:dyDescent="0.3">
      <c r="F72414" s="193"/>
    </row>
    <row r="72415" spans="6:6" x14ac:dyDescent="0.3">
      <c r="F72415" s="193"/>
    </row>
    <row r="72416" spans="6:6" x14ac:dyDescent="0.3">
      <c r="F72416" s="193"/>
    </row>
    <row r="72417" spans="6:6" x14ac:dyDescent="0.3">
      <c r="F72417" s="193"/>
    </row>
    <row r="72418" spans="6:6" x14ac:dyDescent="0.3">
      <c r="F72418" s="193"/>
    </row>
    <row r="72419" spans="6:6" x14ac:dyDescent="0.3">
      <c r="F72419" s="193"/>
    </row>
    <row r="72420" spans="6:6" x14ac:dyDescent="0.3">
      <c r="F72420" s="193"/>
    </row>
    <row r="72421" spans="6:6" x14ac:dyDescent="0.3">
      <c r="F72421" s="193"/>
    </row>
    <row r="72422" spans="6:6" x14ac:dyDescent="0.3">
      <c r="F72422" s="193"/>
    </row>
    <row r="72423" spans="6:6" x14ac:dyDescent="0.3">
      <c r="F72423" s="193"/>
    </row>
    <row r="72424" spans="6:6" x14ac:dyDescent="0.3">
      <c r="F72424" s="193"/>
    </row>
    <row r="72425" spans="6:6" x14ac:dyDescent="0.3">
      <c r="F72425" s="193"/>
    </row>
    <row r="72426" spans="6:6" x14ac:dyDescent="0.3">
      <c r="F72426" s="193"/>
    </row>
    <row r="72427" spans="6:6" x14ac:dyDescent="0.3">
      <c r="F72427" s="193"/>
    </row>
    <row r="72428" spans="6:6" x14ac:dyDescent="0.3">
      <c r="F72428" s="193"/>
    </row>
    <row r="72429" spans="6:6" x14ac:dyDescent="0.3">
      <c r="F72429" s="193"/>
    </row>
    <row r="72430" spans="6:6" x14ac:dyDescent="0.3">
      <c r="F72430" s="193"/>
    </row>
    <row r="72431" spans="6:6" x14ac:dyDescent="0.3">
      <c r="F72431" s="193"/>
    </row>
    <row r="72432" spans="6:6" x14ac:dyDescent="0.3">
      <c r="F72432" s="193"/>
    </row>
    <row r="72433" spans="6:6" x14ac:dyDescent="0.3">
      <c r="F72433" s="193"/>
    </row>
    <row r="72434" spans="6:6" x14ac:dyDescent="0.3">
      <c r="F72434" s="193"/>
    </row>
    <row r="72435" spans="6:6" x14ac:dyDescent="0.3">
      <c r="F72435" s="193"/>
    </row>
    <row r="72436" spans="6:6" x14ac:dyDescent="0.3">
      <c r="F72436" s="193"/>
    </row>
    <row r="72437" spans="6:6" x14ac:dyDescent="0.3">
      <c r="F72437" s="193"/>
    </row>
    <row r="72438" spans="6:6" x14ac:dyDescent="0.3">
      <c r="F72438" s="193"/>
    </row>
    <row r="72439" spans="6:6" x14ac:dyDescent="0.3">
      <c r="F72439" s="193"/>
    </row>
    <row r="72440" spans="6:6" x14ac:dyDescent="0.3">
      <c r="F72440" s="193"/>
    </row>
    <row r="72441" spans="6:6" x14ac:dyDescent="0.3">
      <c r="F72441" s="193"/>
    </row>
    <row r="72442" spans="6:6" x14ac:dyDescent="0.3">
      <c r="F72442" s="193"/>
    </row>
    <row r="72443" spans="6:6" x14ac:dyDescent="0.3">
      <c r="F72443" s="193"/>
    </row>
    <row r="72444" spans="6:6" x14ac:dyDescent="0.3">
      <c r="F72444" s="193"/>
    </row>
    <row r="72445" spans="6:6" x14ac:dyDescent="0.3">
      <c r="F72445" s="193"/>
    </row>
    <row r="72446" spans="6:6" x14ac:dyDescent="0.3">
      <c r="F72446" s="193"/>
    </row>
    <row r="72447" spans="6:6" x14ac:dyDescent="0.3">
      <c r="F72447" s="193"/>
    </row>
    <row r="72448" spans="6:6" x14ac:dyDescent="0.3">
      <c r="F72448" s="193"/>
    </row>
    <row r="72449" spans="6:6" x14ac:dyDescent="0.3">
      <c r="F72449" s="193"/>
    </row>
    <row r="72450" spans="6:6" x14ac:dyDescent="0.3">
      <c r="F72450" s="193"/>
    </row>
    <row r="72451" spans="6:6" x14ac:dyDescent="0.3">
      <c r="F72451" s="193"/>
    </row>
    <row r="72452" spans="6:6" x14ac:dyDescent="0.3">
      <c r="F72452" s="193"/>
    </row>
    <row r="72453" spans="6:6" x14ac:dyDescent="0.3">
      <c r="F72453" s="193"/>
    </row>
    <row r="72454" spans="6:6" x14ac:dyDescent="0.3">
      <c r="F72454" s="193"/>
    </row>
    <row r="72455" spans="6:6" x14ac:dyDescent="0.3">
      <c r="F72455" s="193"/>
    </row>
    <row r="72456" spans="6:6" x14ac:dyDescent="0.3">
      <c r="F72456" s="193"/>
    </row>
    <row r="72457" spans="6:6" x14ac:dyDescent="0.3">
      <c r="F72457" s="193"/>
    </row>
    <row r="72458" spans="6:6" x14ac:dyDescent="0.3">
      <c r="F72458" s="193"/>
    </row>
    <row r="72459" spans="6:6" x14ac:dyDescent="0.3">
      <c r="F72459" s="193"/>
    </row>
    <row r="72460" spans="6:6" x14ac:dyDescent="0.3">
      <c r="F72460" s="193"/>
    </row>
    <row r="72461" spans="6:6" x14ac:dyDescent="0.3">
      <c r="F72461" s="193"/>
    </row>
    <row r="72462" spans="6:6" x14ac:dyDescent="0.3">
      <c r="F72462" s="193"/>
    </row>
    <row r="72463" spans="6:6" x14ac:dyDescent="0.3">
      <c r="F72463" s="193"/>
    </row>
    <row r="72464" spans="6:6" x14ac:dyDescent="0.3">
      <c r="F72464" s="193"/>
    </row>
    <row r="72465" spans="6:6" x14ac:dyDescent="0.3">
      <c r="F72465" s="193"/>
    </row>
    <row r="72466" spans="6:6" x14ac:dyDescent="0.3">
      <c r="F72466" s="193"/>
    </row>
    <row r="72467" spans="6:6" x14ac:dyDescent="0.3">
      <c r="F72467" s="193"/>
    </row>
    <row r="72468" spans="6:6" x14ac:dyDescent="0.3">
      <c r="F72468" s="193"/>
    </row>
    <row r="72469" spans="6:6" x14ac:dyDescent="0.3">
      <c r="F72469" s="193"/>
    </row>
    <row r="72470" spans="6:6" x14ac:dyDescent="0.3">
      <c r="F72470" s="193"/>
    </row>
    <row r="72471" spans="6:6" x14ac:dyDescent="0.3">
      <c r="F72471" s="193"/>
    </row>
    <row r="72472" spans="6:6" x14ac:dyDescent="0.3">
      <c r="F72472" s="193"/>
    </row>
    <row r="72473" spans="6:6" x14ac:dyDescent="0.3">
      <c r="F72473" s="193"/>
    </row>
    <row r="72474" spans="6:6" x14ac:dyDescent="0.3">
      <c r="F72474" s="193"/>
    </row>
    <row r="72475" spans="6:6" x14ac:dyDescent="0.3">
      <c r="F72475" s="193"/>
    </row>
    <row r="72476" spans="6:6" x14ac:dyDescent="0.3">
      <c r="F72476" s="193"/>
    </row>
    <row r="72477" spans="6:6" x14ac:dyDescent="0.3">
      <c r="F72477" s="193"/>
    </row>
    <row r="72478" spans="6:6" x14ac:dyDescent="0.3">
      <c r="F72478" s="193"/>
    </row>
    <row r="72479" spans="6:6" x14ac:dyDescent="0.3">
      <c r="F72479" s="193"/>
    </row>
    <row r="72480" spans="6:6" x14ac:dyDescent="0.3">
      <c r="F72480" s="193"/>
    </row>
    <row r="72481" spans="6:6" x14ac:dyDescent="0.3">
      <c r="F72481" s="193"/>
    </row>
    <row r="72482" spans="6:6" x14ac:dyDescent="0.3">
      <c r="F72482" s="193"/>
    </row>
    <row r="72483" spans="6:6" x14ac:dyDescent="0.3">
      <c r="F72483" s="193"/>
    </row>
    <row r="72484" spans="6:6" x14ac:dyDescent="0.3">
      <c r="F72484" s="193"/>
    </row>
    <row r="72485" spans="6:6" x14ac:dyDescent="0.3">
      <c r="F72485" s="193"/>
    </row>
    <row r="72486" spans="6:6" x14ac:dyDescent="0.3">
      <c r="F72486" s="193"/>
    </row>
    <row r="72487" spans="6:6" x14ac:dyDescent="0.3">
      <c r="F72487" s="193"/>
    </row>
    <row r="72488" spans="6:6" x14ac:dyDescent="0.3">
      <c r="F72488" s="193"/>
    </row>
    <row r="72489" spans="6:6" x14ac:dyDescent="0.3">
      <c r="F72489" s="193"/>
    </row>
    <row r="72490" spans="6:6" x14ac:dyDescent="0.3">
      <c r="F72490" s="193"/>
    </row>
    <row r="72491" spans="6:6" x14ac:dyDescent="0.3">
      <c r="F72491" s="193"/>
    </row>
    <row r="72492" spans="6:6" x14ac:dyDescent="0.3">
      <c r="F72492" s="193"/>
    </row>
    <row r="72493" spans="6:6" x14ac:dyDescent="0.3">
      <c r="F72493" s="193"/>
    </row>
    <row r="72494" spans="6:6" x14ac:dyDescent="0.3">
      <c r="F72494" s="193"/>
    </row>
    <row r="72495" spans="6:6" x14ac:dyDescent="0.3">
      <c r="F72495" s="193"/>
    </row>
    <row r="72496" spans="6:6" x14ac:dyDescent="0.3">
      <c r="F72496" s="193"/>
    </row>
    <row r="72497" spans="6:6" x14ac:dyDescent="0.3">
      <c r="F72497" s="193"/>
    </row>
    <row r="72498" spans="6:6" x14ac:dyDescent="0.3">
      <c r="F72498" s="193"/>
    </row>
    <row r="72499" spans="6:6" x14ac:dyDescent="0.3">
      <c r="F72499" s="193"/>
    </row>
    <row r="72500" spans="6:6" x14ac:dyDescent="0.3">
      <c r="F72500" s="193"/>
    </row>
    <row r="72501" spans="6:6" x14ac:dyDescent="0.3">
      <c r="F72501" s="193"/>
    </row>
    <row r="72502" spans="6:6" x14ac:dyDescent="0.3">
      <c r="F72502" s="193"/>
    </row>
    <row r="72503" spans="6:6" x14ac:dyDescent="0.3">
      <c r="F72503" s="193"/>
    </row>
    <row r="72504" spans="6:6" x14ac:dyDescent="0.3">
      <c r="F72504" s="193"/>
    </row>
    <row r="72505" spans="6:6" x14ac:dyDescent="0.3">
      <c r="F72505" s="193"/>
    </row>
    <row r="72506" spans="6:6" x14ac:dyDescent="0.3">
      <c r="F72506" s="193"/>
    </row>
    <row r="72507" spans="6:6" x14ac:dyDescent="0.3">
      <c r="F72507" s="193"/>
    </row>
    <row r="72508" spans="6:6" x14ac:dyDescent="0.3">
      <c r="F72508" s="193"/>
    </row>
    <row r="72509" spans="6:6" x14ac:dyDescent="0.3">
      <c r="F72509" s="193"/>
    </row>
    <row r="72510" spans="6:6" x14ac:dyDescent="0.3">
      <c r="F72510" s="193"/>
    </row>
    <row r="72511" spans="6:6" x14ac:dyDescent="0.3">
      <c r="F72511" s="193"/>
    </row>
    <row r="72512" spans="6:6" x14ac:dyDescent="0.3">
      <c r="F72512" s="193"/>
    </row>
    <row r="72513" spans="6:6" x14ac:dyDescent="0.3">
      <c r="F72513" s="193"/>
    </row>
    <row r="72514" spans="6:6" x14ac:dyDescent="0.3">
      <c r="F72514" s="193"/>
    </row>
    <row r="72515" spans="6:6" x14ac:dyDescent="0.3">
      <c r="F72515" s="193"/>
    </row>
    <row r="72516" spans="6:6" x14ac:dyDescent="0.3">
      <c r="F72516" s="193"/>
    </row>
    <row r="72517" spans="6:6" x14ac:dyDescent="0.3">
      <c r="F72517" s="193"/>
    </row>
    <row r="72518" spans="6:6" x14ac:dyDescent="0.3">
      <c r="F72518" s="193"/>
    </row>
    <row r="72519" spans="6:6" x14ac:dyDescent="0.3">
      <c r="F72519" s="193"/>
    </row>
    <row r="72520" spans="6:6" x14ac:dyDescent="0.3">
      <c r="F72520" s="193"/>
    </row>
    <row r="72521" spans="6:6" x14ac:dyDescent="0.3">
      <c r="F72521" s="193"/>
    </row>
    <row r="72522" spans="6:6" x14ac:dyDescent="0.3">
      <c r="F72522" s="193"/>
    </row>
    <row r="72523" spans="6:6" x14ac:dyDescent="0.3">
      <c r="F72523" s="193"/>
    </row>
    <row r="72524" spans="6:6" x14ac:dyDescent="0.3">
      <c r="F72524" s="193"/>
    </row>
    <row r="72525" spans="6:6" x14ac:dyDescent="0.3">
      <c r="F72525" s="193"/>
    </row>
    <row r="72526" spans="6:6" x14ac:dyDescent="0.3">
      <c r="F72526" s="193"/>
    </row>
    <row r="72527" spans="6:6" x14ac:dyDescent="0.3">
      <c r="F72527" s="193"/>
    </row>
    <row r="72528" spans="6:6" x14ac:dyDescent="0.3">
      <c r="F72528" s="193"/>
    </row>
    <row r="72529" spans="6:6" x14ac:dyDescent="0.3">
      <c r="F72529" s="193"/>
    </row>
    <row r="72530" spans="6:6" x14ac:dyDescent="0.3">
      <c r="F72530" s="193"/>
    </row>
    <row r="72531" spans="6:6" x14ac:dyDescent="0.3">
      <c r="F72531" s="193"/>
    </row>
    <row r="72532" spans="6:6" x14ac:dyDescent="0.3">
      <c r="F72532" s="193"/>
    </row>
    <row r="72533" spans="6:6" x14ac:dyDescent="0.3">
      <c r="F72533" s="193"/>
    </row>
    <row r="72534" spans="6:6" x14ac:dyDescent="0.3">
      <c r="F72534" s="193"/>
    </row>
    <row r="72535" spans="6:6" x14ac:dyDescent="0.3">
      <c r="F72535" s="193"/>
    </row>
    <row r="72536" spans="6:6" x14ac:dyDescent="0.3">
      <c r="F72536" s="193"/>
    </row>
    <row r="72537" spans="6:6" x14ac:dyDescent="0.3">
      <c r="F72537" s="193"/>
    </row>
    <row r="72538" spans="6:6" x14ac:dyDescent="0.3">
      <c r="F72538" s="193"/>
    </row>
    <row r="72539" spans="6:6" x14ac:dyDescent="0.3">
      <c r="F72539" s="193"/>
    </row>
    <row r="72540" spans="6:6" x14ac:dyDescent="0.3">
      <c r="F72540" s="193"/>
    </row>
    <row r="72541" spans="6:6" x14ac:dyDescent="0.3">
      <c r="F72541" s="193"/>
    </row>
    <row r="72542" spans="6:6" x14ac:dyDescent="0.3">
      <c r="F72542" s="193"/>
    </row>
    <row r="72543" spans="6:6" x14ac:dyDescent="0.3">
      <c r="F72543" s="193"/>
    </row>
    <row r="72544" spans="6:6" x14ac:dyDescent="0.3">
      <c r="F72544" s="193"/>
    </row>
    <row r="72545" spans="6:6" x14ac:dyDescent="0.3">
      <c r="F72545" s="193"/>
    </row>
    <row r="72546" spans="6:6" x14ac:dyDescent="0.3">
      <c r="F72546" s="193"/>
    </row>
    <row r="72547" spans="6:6" x14ac:dyDescent="0.3">
      <c r="F72547" s="193"/>
    </row>
    <row r="72548" spans="6:6" x14ac:dyDescent="0.3">
      <c r="F72548" s="193"/>
    </row>
    <row r="72549" spans="6:6" x14ac:dyDescent="0.3">
      <c r="F72549" s="193"/>
    </row>
    <row r="72550" spans="6:6" x14ac:dyDescent="0.3">
      <c r="F72550" s="193"/>
    </row>
    <row r="72551" spans="6:6" x14ac:dyDescent="0.3">
      <c r="F72551" s="193"/>
    </row>
    <row r="72552" spans="6:6" x14ac:dyDescent="0.3">
      <c r="F72552" s="193"/>
    </row>
    <row r="72553" spans="6:6" x14ac:dyDescent="0.3">
      <c r="F72553" s="193"/>
    </row>
    <row r="72554" spans="6:6" x14ac:dyDescent="0.3">
      <c r="F72554" s="193"/>
    </row>
    <row r="72555" spans="6:6" x14ac:dyDescent="0.3">
      <c r="F72555" s="193"/>
    </row>
    <row r="72556" spans="6:6" x14ac:dyDescent="0.3">
      <c r="F72556" s="193"/>
    </row>
    <row r="72557" spans="6:6" x14ac:dyDescent="0.3">
      <c r="F72557" s="193"/>
    </row>
    <row r="72558" spans="6:6" x14ac:dyDescent="0.3">
      <c r="F72558" s="193"/>
    </row>
    <row r="72559" spans="6:6" x14ac:dyDescent="0.3">
      <c r="F72559" s="193"/>
    </row>
    <row r="72560" spans="6:6" x14ac:dyDescent="0.3">
      <c r="F72560" s="193"/>
    </row>
    <row r="72561" spans="6:6" x14ac:dyDescent="0.3">
      <c r="F72561" s="193"/>
    </row>
    <row r="72562" spans="6:6" x14ac:dyDescent="0.3">
      <c r="F72562" s="193"/>
    </row>
    <row r="72563" spans="6:6" x14ac:dyDescent="0.3">
      <c r="F72563" s="193"/>
    </row>
    <row r="72564" spans="6:6" x14ac:dyDescent="0.3">
      <c r="F72564" s="193"/>
    </row>
    <row r="72565" spans="6:6" x14ac:dyDescent="0.3">
      <c r="F72565" s="193"/>
    </row>
    <row r="72566" spans="6:6" x14ac:dyDescent="0.3">
      <c r="F72566" s="193"/>
    </row>
    <row r="72567" spans="6:6" x14ac:dyDescent="0.3">
      <c r="F72567" s="193"/>
    </row>
    <row r="72568" spans="6:6" x14ac:dyDescent="0.3">
      <c r="F72568" s="193"/>
    </row>
    <row r="72569" spans="6:6" x14ac:dyDescent="0.3">
      <c r="F72569" s="193"/>
    </row>
    <row r="72570" spans="6:6" x14ac:dyDescent="0.3">
      <c r="F72570" s="193"/>
    </row>
    <row r="72571" spans="6:6" x14ac:dyDescent="0.3">
      <c r="F72571" s="193"/>
    </row>
    <row r="72572" spans="6:6" x14ac:dyDescent="0.3">
      <c r="F72572" s="193"/>
    </row>
    <row r="72573" spans="6:6" x14ac:dyDescent="0.3">
      <c r="F72573" s="193"/>
    </row>
    <row r="72574" spans="6:6" x14ac:dyDescent="0.3">
      <c r="F72574" s="193"/>
    </row>
    <row r="72575" spans="6:6" x14ac:dyDescent="0.3">
      <c r="F72575" s="193"/>
    </row>
    <row r="72576" spans="6:6" x14ac:dyDescent="0.3">
      <c r="F72576" s="193"/>
    </row>
    <row r="72577" spans="6:6" x14ac:dyDescent="0.3">
      <c r="F72577" s="193"/>
    </row>
    <row r="72578" spans="6:6" x14ac:dyDescent="0.3">
      <c r="F72578" s="193"/>
    </row>
    <row r="72579" spans="6:6" x14ac:dyDescent="0.3">
      <c r="F72579" s="193"/>
    </row>
    <row r="72580" spans="6:6" x14ac:dyDescent="0.3">
      <c r="F72580" s="193"/>
    </row>
    <row r="72581" spans="6:6" x14ac:dyDescent="0.3">
      <c r="F72581" s="193"/>
    </row>
    <row r="72582" spans="6:6" x14ac:dyDescent="0.3">
      <c r="F72582" s="193"/>
    </row>
    <row r="72583" spans="6:6" x14ac:dyDescent="0.3">
      <c r="F72583" s="193"/>
    </row>
    <row r="72584" spans="6:6" x14ac:dyDescent="0.3">
      <c r="F72584" s="193"/>
    </row>
    <row r="72585" spans="6:6" x14ac:dyDescent="0.3">
      <c r="F72585" s="193"/>
    </row>
    <row r="72586" spans="6:6" x14ac:dyDescent="0.3">
      <c r="F72586" s="193"/>
    </row>
    <row r="72587" spans="6:6" x14ac:dyDescent="0.3">
      <c r="F72587" s="193"/>
    </row>
    <row r="72588" spans="6:6" x14ac:dyDescent="0.3">
      <c r="F72588" s="193"/>
    </row>
    <row r="72589" spans="6:6" x14ac:dyDescent="0.3">
      <c r="F72589" s="193"/>
    </row>
    <row r="72590" spans="6:6" x14ac:dyDescent="0.3">
      <c r="F72590" s="193"/>
    </row>
    <row r="72591" spans="6:6" x14ac:dyDescent="0.3">
      <c r="F72591" s="193"/>
    </row>
    <row r="72592" spans="6:6" x14ac:dyDescent="0.3">
      <c r="F72592" s="193"/>
    </row>
    <row r="72593" spans="6:6" x14ac:dyDescent="0.3">
      <c r="F72593" s="193"/>
    </row>
    <row r="72594" spans="6:6" x14ac:dyDescent="0.3">
      <c r="F72594" s="193"/>
    </row>
    <row r="72595" spans="6:6" x14ac:dyDescent="0.3">
      <c r="F72595" s="193"/>
    </row>
    <row r="72596" spans="6:6" x14ac:dyDescent="0.3">
      <c r="F72596" s="193"/>
    </row>
    <row r="72597" spans="6:6" x14ac:dyDescent="0.3">
      <c r="F72597" s="193"/>
    </row>
    <row r="72598" spans="6:6" x14ac:dyDescent="0.3">
      <c r="F72598" s="193"/>
    </row>
    <row r="72599" spans="6:6" x14ac:dyDescent="0.3">
      <c r="F72599" s="193"/>
    </row>
    <row r="72600" spans="6:6" x14ac:dyDescent="0.3">
      <c r="F72600" s="193"/>
    </row>
    <row r="72601" spans="6:6" x14ac:dyDescent="0.3">
      <c r="F72601" s="193"/>
    </row>
    <row r="72602" spans="6:6" x14ac:dyDescent="0.3">
      <c r="F72602" s="193"/>
    </row>
    <row r="72603" spans="6:6" x14ac:dyDescent="0.3">
      <c r="F72603" s="193"/>
    </row>
    <row r="72604" spans="6:6" x14ac:dyDescent="0.3">
      <c r="F72604" s="193"/>
    </row>
    <row r="72605" spans="6:6" x14ac:dyDescent="0.3">
      <c r="F72605" s="193"/>
    </row>
    <row r="72606" spans="6:6" x14ac:dyDescent="0.3">
      <c r="F72606" s="193"/>
    </row>
    <row r="72607" spans="6:6" x14ac:dyDescent="0.3">
      <c r="F72607" s="193"/>
    </row>
    <row r="72608" spans="6:6" x14ac:dyDescent="0.3">
      <c r="F72608" s="193"/>
    </row>
    <row r="72609" spans="6:6" x14ac:dyDescent="0.3">
      <c r="F72609" s="193"/>
    </row>
    <row r="72610" spans="6:6" x14ac:dyDescent="0.3">
      <c r="F72610" s="193"/>
    </row>
    <row r="72611" spans="6:6" x14ac:dyDescent="0.3">
      <c r="F72611" s="193"/>
    </row>
    <row r="72612" spans="6:6" x14ac:dyDescent="0.3">
      <c r="F72612" s="193"/>
    </row>
    <row r="72613" spans="6:6" x14ac:dyDescent="0.3">
      <c r="F72613" s="193"/>
    </row>
    <row r="72614" spans="6:6" x14ac:dyDescent="0.3">
      <c r="F72614" s="193"/>
    </row>
    <row r="72615" spans="6:6" x14ac:dyDescent="0.3">
      <c r="F72615" s="193"/>
    </row>
    <row r="72616" spans="6:6" x14ac:dyDescent="0.3">
      <c r="F72616" s="193"/>
    </row>
    <row r="72617" spans="6:6" x14ac:dyDescent="0.3">
      <c r="F72617" s="193"/>
    </row>
    <row r="72618" spans="6:6" x14ac:dyDescent="0.3">
      <c r="F72618" s="193"/>
    </row>
    <row r="72619" spans="6:6" x14ac:dyDescent="0.3">
      <c r="F72619" s="193"/>
    </row>
    <row r="72620" spans="6:6" x14ac:dyDescent="0.3">
      <c r="F72620" s="193"/>
    </row>
    <row r="72621" spans="6:6" x14ac:dyDescent="0.3">
      <c r="F72621" s="193"/>
    </row>
    <row r="72622" spans="6:6" x14ac:dyDescent="0.3">
      <c r="F72622" s="193"/>
    </row>
    <row r="72623" spans="6:6" x14ac:dyDescent="0.3">
      <c r="F72623" s="193"/>
    </row>
    <row r="72624" spans="6:6" x14ac:dyDescent="0.3">
      <c r="F72624" s="193"/>
    </row>
    <row r="72625" spans="6:6" x14ac:dyDescent="0.3">
      <c r="F72625" s="193"/>
    </row>
    <row r="72626" spans="6:6" x14ac:dyDescent="0.3">
      <c r="F72626" s="193"/>
    </row>
    <row r="72627" spans="6:6" x14ac:dyDescent="0.3">
      <c r="F72627" s="193"/>
    </row>
    <row r="72628" spans="6:6" x14ac:dyDescent="0.3">
      <c r="F72628" s="193"/>
    </row>
    <row r="72629" spans="6:6" x14ac:dyDescent="0.3">
      <c r="F72629" s="193"/>
    </row>
    <row r="72630" spans="6:6" x14ac:dyDescent="0.3">
      <c r="F72630" s="193"/>
    </row>
    <row r="72631" spans="6:6" x14ac:dyDescent="0.3">
      <c r="F72631" s="193"/>
    </row>
    <row r="72632" spans="6:6" x14ac:dyDescent="0.3">
      <c r="F72632" s="193"/>
    </row>
    <row r="72633" spans="6:6" x14ac:dyDescent="0.3">
      <c r="F72633" s="193"/>
    </row>
    <row r="72634" spans="6:6" x14ac:dyDescent="0.3">
      <c r="F72634" s="193"/>
    </row>
    <row r="72635" spans="6:6" x14ac:dyDescent="0.3">
      <c r="F72635" s="193"/>
    </row>
    <row r="72636" spans="6:6" x14ac:dyDescent="0.3">
      <c r="F72636" s="193"/>
    </row>
    <row r="72637" spans="6:6" x14ac:dyDescent="0.3">
      <c r="F72637" s="193"/>
    </row>
    <row r="72638" spans="6:6" x14ac:dyDescent="0.3">
      <c r="F72638" s="193"/>
    </row>
    <row r="72639" spans="6:6" x14ac:dyDescent="0.3">
      <c r="F72639" s="193"/>
    </row>
    <row r="72640" spans="6:6" x14ac:dyDescent="0.3">
      <c r="F72640" s="193"/>
    </row>
    <row r="72641" spans="6:6" x14ac:dyDescent="0.3">
      <c r="F72641" s="193"/>
    </row>
    <row r="72642" spans="6:6" x14ac:dyDescent="0.3">
      <c r="F72642" s="193"/>
    </row>
    <row r="72643" spans="6:6" x14ac:dyDescent="0.3">
      <c r="F72643" s="193"/>
    </row>
    <row r="72644" spans="6:6" x14ac:dyDescent="0.3">
      <c r="F72644" s="193"/>
    </row>
    <row r="72645" spans="6:6" x14ac:dyDescent="0.3">
      <c r="F72645" s="193"/>
    </row>
    <row r="72646" spans="6:6" x14ac:dyDescent="0.3">
      <c r="F72646" s="193"/>
    </row>
    <row r="72647" spans="6:6" x14ac:dyDescent="0.3">
      <c r="F72647" s="193"/>
    </row>
    <row r="72648" spans="6:6" x14ac:dyDescent="0.3">
      <c r="F72648" s="193"/>
    </row>
    <row r="72649" spans="6:6" x14ac:dyDescent="0.3">
      <c r="F72649" s="193"/>
    </row>
    <row r="72650" spans="6:6" x14ac:dyDescent="0.3">
      <c r="F72650" s="193"/>
    </row>
    <row r="72651" spans="6:6" x14ac:dyDescent="0.3">
      <c r="F72651" s="193"/>
    </row>
    <row r="72652" spans="6:6" x14ac:dyDescent="0.3">
      <c r="F72652" s="193"/>
    </row>
    <row r="72653" spans="6:6" x14ac:dyDescent="0.3">
      <c r="F72653" s="193"/>
    </row>
    <row r="72654" spans="6:6" x14ac:dyDescent="0.3">
      <c r="F72654" s="193"/>
    </row>
    <row r="72655" spans="6:6" x14ac:dyDescent="0.3">
      <c r="F72655" s="193"/>
    </row>
    <row r="72656" spans="6:6" x14ac:dyDescent="0.3">
      <c r="F72656" s="193"/>
    </row>
    <row r="72657" spans="6:6" x14ac:dyDescent="0.3">
      <c r="F72657" s="193"/>
    </row>
    <row r="72658" spans="6:6" x14ac:dyDescent="0.3">
      <c r="F72658" s="193"/>
    </row>
    <row r="72659" spans="6:6" x14ac:dyDescent="0.3">
      <c r="F72659" s="193"/>
    </row>
    <row r="72660" spans="6:6" x14ac:dyDescent="0.3">
      <c r="F72660" s="193"/>
    </row>
    <row r="72661" spans="6:6" x14ac:dyDescent="0.3">
      <c r="F72661" s="193"/>
    </row>
    <row r="72662" spans="6:6" x14ac:dyDescent="0.3">
      <c r="F72662" s="193"/>
    </row>
    <row r="72663" spans="6:6" x14ac:dyDescent="0.3">
      <c r="F72663" s="193"/>
    </row>
    <row r="72664" spans="6:6" x14ac:dyDescent="0.3">
      <c r="F72664" s="193"/>
    </row>
    <row r="72665" spans="6:6" x14ac:dyDescent="0.3">
      <c r="F72665" s="193"/>
    </row>
    <row r="72666" spans="6:6" x14ac:dyDescent="0.3">
      <c r="F72666" s="193"/>
    </row>
    <row r="72667" spans="6:6" x14ac:dyDescent="0.3">
      <c r="F72667" s="193"/>
    </row>
    <row r="72668" spans="6:6" x14ac:dyDescent="0.3">
      <c r="F72668" s="193"/>
    </row>
    <row r="72669" spans="6:6" x14ac:dyDescent="0.3">
      <c r="F72669" s="193"/>
    </row>
    <row r="72670" spans="6:6" x14ac:dyDescent="0.3">
      <c r="F72670" s="193"/>
    </row>
    <row r="72671" spans="6:6" x14ac:dyDescent="0.3">
      <c r="F72671" s="193"/>
    </row>
    <row r="72672" spans="6:6" x14ac:dyDescent="0.3">
      <c r="F72672" s="193"/>
    </row>
    <row r="72673" spans="6:6" x14ac:dyDescent="0.3">
      <c r="F72673" s="193"/>
    </row>
    <row r="72674" spans="6:6" x14ac:dyDescent="0.3">
      <c r="F72674" s="193"/>
    </row>
    <row r="72675" spans="6:6" x14ac:dyDescent="0.3">
      <c r="F72675" s="193"/>
    </row>
    <row r="72676" spans="6:6" x14ac:dyDescent="0.3">
      <c r="F72676" s="193"/>
    </row>
    <row r="72677" spans="6:6" x14ac:dyDescent="0.3">
      <c r="F72677" s="193"/>
    </row>
    <row r="72678" spans="6:6" x14ac:dyDescent="0.3">
      <c r="F72678" s="193"/>
    </row>
    <row r="72679" spans="6:6" x14ac:dyDescent="0.3">
      <c r="F72679" s="193"/>
    </row>
    <row r="72680" spans="6:6" x14ac:dyDescent="0.3">
      <c r="F72680" s="193"/>
    </row>
    <row r="72681" spans="6:6" x14ac:dyDescent="0.3">
      <c r="F72681" s="193"/>
    </row>
    <row r="72682" spans="6:6" x14ac:dyDescent="0.3">
      <c r="F72682" s="193"/>
    </row>
    <row r="72683" spans="6:6" x14ac:dyDescent="0.3">
      <c r="F72683" s="193"/>
    </row>
    <row r="72684" spans="6:6" x14ac:dyDescent="0.3">
      <c r="F72684" s="193"/>
    </row>
    <row r="72685" spans="6:6" x14ac:dyDescent="0.3">
      <c r="F72685" s="193"/>
    </row>
    <row r="72686" spans="6:6" x14ac:dyDescent="0.3">
      <c r="F72686" s="193"/>
    </row>
    <row r="72687" spans="6:6" x14ac:dyDescent="0.3">
      <c r="F72687" s="193"/>
    </row>
    <row r="72688" spans="6:6" x14ac:dyDescent="0.3">
      <c r="F72688" s="193"/>
    </row>
    <row r="72689" spans="6:6" x14ac:dyDescent="0.3">
      <c r="F72689" s="193"/>
    </row>
    <row r="72690" spans="6:6" x14ac:dyDescent="0.3">
      <c r="F72690" s="193"/>
    </row>
    <row r="72691" spans="6:6" x14ac:dyDescent="0.3">
      <c r="F72691" s="193"/>
    </row>
    <row r="72692" spans="6:6" x14ac:dyDescent="0.3">
      <c r="F72692" s="193"/>
    </row>
    <row r="72693" spans="6:6" x14ac:dyDescent="0.3">
      <c r="F72693" s="193"/>
    </row>
    <row r="72694" spans="6:6" x14ac:dyDescent="0.3">
      <c r="F72694" s="193"/>
    </row>
    <row r="72695" spans="6:6" x14ac:dyDescent="0.3">
      <c r="F72695" s="193"/>
    </row>
    <row r="72696" spans="6:6" x14ac:dyDescent="0.3">
      <c r="F72696" s="193"/>
    </row>
    <row r="72697" spans="6:6" x14ac:dyDescent="0.3">
      <c r="F72697" s="193"/>
    </row>
    <row r="72698" spans="6:6" x14ac:dyDescent="0.3">
      <c r="F72698" s="193"/>
    </row>
    <row r="72699" spans="6:6" x14ac:dyDescent="0.3">
      <c r="F72699" s="193"/>
    </row>
    <row r="72700" spans="6:6" x14ac:dyDescent="0.3">
      <c r="F72700" s="193"/>
    </row>
    <row r="72701" spans="6:6" x14ac:dyDescent="0.3">
      <c r="F72701" s="193"/>
    </row>
    <row r="72702" spans="6:6" x14ac:dyDescent="0.3">
      <c r="F72702" s="193"/>
    </row>
    <row r="72703" spans="6:6" x14ac:dyDescent="0.3">
      <c r="F72703" s="193"/>
    </row>
    <row r="72704" spans="6:6" x14ac:dyDescent="0.3">
      <c r="F72704" s="193"/>
    </row>
    <row r="72705" spans="6:6" x14ac:dyDescent="0.3">
      <c r="F72705" s="193"/>
    </row>
    <row r="72706" spans="6:6" x14ac:dyDescent="0.3">
      <c r="F72706" s="193"/>
    </row>
    <row r="72707" spans="6:6" x14ac:dyDescent="0.3">
      <c r="F72707" s="193"/>
    </row>
    <row r="72708" spans="6:6" x14ac:dyDescent="0.3">
      <c r="F72708" s="193"/>
    </row>
    <row r="72709" spans="6:6" x14ac:dyDescent="0.3">
      <c r="F72709" s="193"/>
    </row>
    <row r="72710" spans="6:6" x14ac:dyDescent="0.3">
      <c r="F72710" s="193"/>
    </row>
    <row r="72711" spans="6:6" x14ac:dyDescent="0.3">
      <c r="F72711" s="193"/>
    </row>
    <row r="72712" spans="6:6" x14ac:dyDescent="0.3">
      <c r="F72712" s="193"/>
    </row>
    <row r="72713" spans="6:6" x14ac:dyDescent="0.3">
      <c r="F72713" s="193"/>
    </row>
    <row r="72714" spans="6:6" x14ac:dyDescent="0.3">
      <c r="F72714" s="193"/>
    </row>
    <row r="72715" spans="6:6" x14ac:dyDescent="0.3">
      <c r="F72715" s="193"/>
    </row>
    <row r="72716" spans="6:6" x14ac:dyDescent="0.3">
      <c r="F72716" s="193"/>
    </row>
    <row r="72717" spans="6:6" x14ac:dyDescent="0.3">
      <c r="F72717" s="193"/>
    </row>
    <row r="72718" spans="6:6" x14ac:dyDescent="0.3">
      <c r="F72718" s="193"/>
    </row>
    <row r="72719" spans="6:6" x14ac:dyDescent="0.3">
      <c r="F72719" s="193"/>
    </row>
    <row r="72720" spans="6:6" x14ac:dyDescent="0.3">
      <c r="F72720" s="193"/>
    </row>
    <row r="72721" spans="6:6" x14ac:dyDescent="0.3">
      <c r="F72721" s="193"/>
    </row>
    <row r="72722" spans="6:6" x14ac:dyDescent="0.3">
      <c r="F72722" s="193"/>
    </row>
    <row r="72723" spans="6:6" x14ac:dyDescent="0.3">
      <c r="F72723" s="193"/>
    </row>
    <row r="72724" spans="6:6" x14ac:dyDescent="0.3">
      <c r="F72724" s="193"/>
    </row>
    <row r="72725" spans="6:6" x14ac:dyDescent="0.3">
      <c r="F72725" s="193"/>
    </row>
    <row r="72726" spans="6:6" x14ac:dyDescent="0.3">
      <c r="F72726" s="193"/>
    </row>
    <row r="72727" spans="6:6" x14ac:dyDescent="0.3">
      <c r="F72727" s="193"/>
    </row>
    <row r="72728" spans="6:6" x14ac:dyDescent="0.3">
      <c r="F72728" s="193"/>
    </row>
    <row r="72729" spans="6:6" x14ac:dyDescent="0.3">
      <c r="F72729" s="193"/>
    </row>
    <row r="72730" spans="6:6" x14ac:dyDescent="0.3">
      <c r="F72730" s="193"/>
    </row>
    <row r="72731" spans="6:6" x14ac:dyDescent="0.3">
      <c r="F72731" s="193"/>
    </row>
    <row r="72732" spans="6:6" x14ac:dyDescent="0.3">
      <c r="F72732" s="193"/>
    </row>
    <row r="72733" spans="6:6" x14ac:dyDescent="0.3">
      <c r="F72733" s="193"/>
    </row>
    <row r="72734" spans="6:6" x14ac:dyDescent="0.3">
      <c r="F72734" s="193"/>
    </row>
    <row r="72735" spans="6:6" x14ac:dyDescent="0.3">
      <c r="F72735" s="193"/>
    </row>
    <row r="72736" spans="6:6" x14ac:dyDescent="0.3">
      <c r="F72736" s="193"/>
    </row>
    <row r="72737" spans="6:6" x14ac:dyDescent="0.3">
      <c r="F72737" s="193"/>
    </row>
    <row r="72738" spans="6:6" x14ac:dyDescent="0.3">
      <c r="F72738" s="193"/>
    </row>
    <row r="72739" spans="6:6" x14ac:dyDescent="0.3">
      <c r="F72739" s="193"/>
    </row>
    <row r="72740" spans="6:6" x14ac:dyDescent="0.3">
      <c r="F72740" s="193"/>
    </row>
    <row r="72741" spans="6:6" x14ac:dyDescent="0.3">
      <c r="F72741" s="193"/>
    </row>
    <row r="72742" spans="6:6" x14ac:dyDescent="0.3">
      <c r="F72742" s="193"/>
    </row>
    <row r="72743" spans="6:6" x14ac:dyDescent="0.3">
      <c r="F72743" s="193"/>
    </row>
    <row r="72744" spans="6:6" x14ac:dyDescent="0.3">
      <c r="F72744" s="193"/>
    </row>
    <row r="72745" spans="6:6" x14ac:dyDescent="0.3">
      <c r="F72745" s="193"/>
    </row>
    <row r="72746" spans="6:6" x14ac:dyDescent="0.3">
      <c r="F72746" s="193"/>
    </row>
    <row r="72747" spans="6:6" x14ac:dyDescent="0.3">
      <c r="F72747" s="193"/>
    </row>
    <row r="72748" spans="6:6" x14ac:dyDescent="0.3">
      <c r="F72748" s="193"/>
    </row>
    <row r="72749" spans="6:6" x14ac:dyDescent="0.3">
      <c r="F72749" s="193"/>
    </row>
    <row r="72750" spans="6:6" x14ac:dyDescent="0.3">
      <c r="F72750" s="193"/>
    </row>
    <row r="72751" spans="6:6" x14ac:dyDescent="0.3">
      <c r="F72751" s="193"/>
    </row>
    <row r="72752" spans="6:6" x14ac:dyDescent="0.3">
      <c r="F72752" s="193"/>
    </row>
    <row r="72753" spans="6:6" x14ac:dyDescent="0.3">
      <c r="F72753" s="193"/>
    </row>
    <row r="72754" spans="6:6" x14ac:dyDescent="0.3">
      <c r="F72754" s="193"/>
    </row>
    <row r="72755" spans="6:6" x14ac:dyDescent="0.3">
      <c r="F72755" s="193"/>
    </row>
    <row r="72756" spans="6:6" x14ac:dyDescent="0.3">
      <c r="F72756" s="193"/>
    </row>
    <row r="72757" spans="6:6" x14ac:dyDescent="0.3">
      <c r="F72757" s="193"/>
    </row>
    <row r="72758" spans="6:6" x14ac:dyDescent="0.3">
      <c r="F72758" s="193"/>
    </row>
    <row r="72759" spans="6:6" x14ac:dyDescent="0.3">
      <c r="F72759" s="193"/>
    </row>
    <row r="72760" spans="6:6" x14ac:dyDescent="0.3">
      <c r="F72760" s="193"/>
    </row>
    <row r="72761" spans="6:6" x14ac:dyDescent="0.3">
      <c r="F72761" s="193"/>
    </row>
    <row r="72762" spans="6:6" x14ac:dyDescent="0.3">
      <c r="F72762" s="193"/>
    </row>
    <row r="72763" spans="6:6" x14ac:dyDescent="0.3">
      <c r="F72763" s="193"/>
    </row>
    <row r="72764" spans="6:6" x14ac:dyDescent="0.3">
      <c r="F72764" s="193"/>
    </row>
    <row r="72765" spans="6:6" x14ac:dyDescent="0.3">
      <c r="F72765" s="193"/>
    </row>
    <row r="72766" spans="6:6" x14ac:dyDescent="0.3">
      <c r="F72766" s="193"/>
    </row>
    <row r="72767" spans="6:6" x14ac:dyDescent="0.3">
      <c r="F72767" s="193"/>
    </row>
    <row r="72768" spans="6:6" x14ac:dyDescent="0.3">
      <c r="F72768" s="193"/>
    </row>
    <row r="72769" spans="6:6" x14ac:dyDescent="0.3">
      <c r="F72769" s="193"/>
    </row>
    <row r="72770" spans="6:6" x14ac:dyDescent="0.3">
      <c r="F72770" s="193"/>
    </row>
    <row r="72771" spans="6:6" x14ac:dyDescent="0.3">
      <c r="F72771" s="193"/>
    </row>
    <row r="72772" spans="6:6" x14ac:dyDescent="0.3">
      <c r="F72772" s="193"/>
    </row>
    <row r="72773" spans="6:6" x14ac:dyDescent="0.3">
      <c r="F72773" s="193"/>
    </row>
    <row r="72774" spans="6:6" x14ac:dyDescent="0.3">
      <c r="F72774" s="193"/>
    </row>
    <row r="72775" spans="6:6" x14ac:dyDescent="0.3">
      <c r="F72775" s="193"/>
    </row>
    <row r="72776" spans="6:6" x14ac:dyDescent="0.3">
      <c r="F72776" s="193"/>
    </row>
    <row r="72777" spans="6:6" x14ac:dyDescent="0.3">
      <c r="F72777" s="193"/>
    </row>
    <row r="72778" spans="6:6" x14ac:dyDescent="0.3">
      <c r="F72778" s="193"/>
    </row>
    <row r="72779" spans="6:6" x14ac:dyDescent="0.3">
      <c r="F72779" s="193"/>
    </row>
    <row r="72780" spans="6:6" x14ac:dyDescent="0.3">
      <c r="F72780" s="193"/>
    </row>
    <row r="72781" spans="6:6" x14ac:dyDescent="0.3">
      <c r="F72781" s="193"/>
    </row>
    <row r="72782" spans="6:6" x14ac:dyDescent="0.3">
      <c r="F72782" s="193"/>
    </row>
    <row r="72783" spans="6:6" x14ac:dyDescent="0.3">
      <c r="F72783" s="193"/>
    </row>
    <row r="72784" spans="6:6" x14ac:dyDescent="0.3">
      <c r="F72784" s="193"/>
    </row>
    <row r="72785" spans="6:6" x14ac:dyDescent="0.3">
      <c r="F72785" s="193"/>
    </row>
    <row r="72786" spans="6:6" x14ac:dyDescent="0.3">
      <c r="F72786" s="193"/>
    </row>
    <row r="72787" spans="6:6" x14ac:dyDescent="0.3">
      <c r="F72787" s="193"/>
    </row>
    <row r="72788" spans="6:6" x14ac:dyDescent="0.3">
      <c r="F72788" s="193"/>
    </row>
    <row r="72789" spans="6:6" x14ac:dyDescent="0.3">
      <c r="F72789" s="193"/>
    </row>
    <row r="72790" spans="6:6" x14ac:dyDescent="0.3">
      <c r="F72790" s="193"/>
    </row>
    <row r="72791" spans="6:6" x14ac:dyDescent="0.3">
      <c r="F72791" s="193"/>
    </row>
    <row r="72792" spans="6:6" x14ac:dyDescent="0.3">
      <c r="F72792" s="193"/>
    </row>
    <row r="72793" spans="6:6" x14ac:dyDescent="0.3">
      <c r="F72793" s="193"/>
    </row>
    <row r="72794" spans="6:6" x14ac:dyDescent="0.3">
      <c r="F72794" s="193"/>
    </row>
    <row r="72795" spans="6:6" x14ac:dyDescent="0.3">
      <c r="F72795" s="193"/>
    </row>
    <row r="72796" spans="6:6" x14ac:dyDescent="0.3">
      <c r="F72796" s="193"/>
    </row>
    <row r="72797" spans="6:6" x14ac:dyDescent="0.3">
      <c r="F72797" s="193"/>
    </row>
    <row r="72798" spans="6:6" x14ac:dyDescent="0.3">
      <c r="F72798" s="193"/>
    </row>
    <row r="72799" spans="6:6" x14ac:dyDescent="0.3">
      <c r="F72799" s="193"/>
    </row>
    <row r="72800" spans="6:6" x14ac:dyDescent="0.3">
      <c r="F72800" s="193"/>
    </row>
    <row r="72801" spans="6:6" x14ac:dyDescent="0.3">
      <c r="F72801" s="193"/>
    </row>
    <row r="72802" spans="6:6" x14ac:dyDescent="0.3">
      <c r="F72802" s="193"/>
    </row>
    <row r="72803" spans="6:6" x14ac:dyDescent="0.3">
      <c r="F72803" s="193"/>
    </row>
    <row r="72804" spans="6:6" x14ac:dyDescent="0.3">
      <c r="F72804" s="193"/>
    </row>
    <row r="72805" spans="6:6" x14ac:dyDescent="0.3">
      <c r="F72805" s="193"/>
    </row>
    <row r="72806" spans="6:6" x14ac:dyDescent="0.3">
      <c r="F72806" s="193"/>
    </row>
    <row r="72807" spans="6:6" x14ac:dyDescent="0.3">
      <c r="F72807" s="193"/>
    </row>
    <row r="72808" spans="6:6" x14ac:dyDescent="0.3">
      <c r="F72808" s="193"/>
    </row>
    <row r="72809" spans="6:6" x14ac:dyDescent="0.3">
      <c r="F72809" s="193"/>
    </row>
    <row r="72810" spans="6:6" x14ac:dyDescent="0.3">
      <c r="F72810" s="193"/>
    </row>
    <row r="72811" spans="6:6" x14ac:dyDescent="0.3">
      <c r="F72811" s="193"/>
    </row>
    <row r="72812" spans="6:6" x14ac:dyDescent="0.3">
      <c r="F72812" s="193"/>
    </row>
    <row r="72813" spans="6:6" x14ac:dyDescent="0.3">
      <c r="F72813" s="193"/>
    </row>
    <row r="72814" spans="6:6" x14ac:dyDescent="0.3">
      <c r="F72814" s="193"/>
    </row>
    <row r="72815" spans="6:6" x14ac:dyDescent="0.3">
      <c r="F72815" s="193"/>
    </row>
    <row r="72816" spans="6:6" x14ac:dyDescent="0.3">
      <c r="F72816" s="193"/>
    </row>
    <row r="72817" spans="6:6" x14ac:dyDescent="0.3">
      <c r="F72817" s="193"/>
    </row>
    <row r="72818" spans="6:6" x14ac:dyDescent="0.3">
      <c r="F72818" s="193"/>
    </row>
    <row r="72819" spans="6:6" x14ac:dyDescent="0.3">
      <c r="F72819" s="193"/>
    </row>
    <row r="72820" spans="6:6" x14ac:dyDescent="0.3">
      <c r="F72820" s="193"/>
    </row>
    <row r="72821" spans="6:6" x14ac:dyDescent="0.3">
      <c r="F72821" s="193"/>
    </row>
    <row r="72822" spans="6:6" x14ac:dyDescent="0.3">
      <c r="F72822" s="193"/>
    </row>
    <row r="72823" spans="6:6" x14ac:dyDescent="0.3">
      <c r="F72823" s="193"/>
    </row>
    <row r="72824" spans="6:6" x14ac:dyDescent="0.3">
      <c r="F72824" s="193"/>
    </row>
    <row r="72825" spans="6:6" x14ac:dyDescent="0.3">
      <c r="F72825" s="193"/>
    </row>
    <row r="72826" spans="6:6" x14ac:dyDescent="0.3">
      <c r="F72826" s="193"/>
    </row>
    <row r="72827" spans="6:6" x14ac:dyDescent="0.3">
      <c r="F72827" s="193"/>
    </row>
    <row r="72828" spans="6:6" x14ac:dyDescent="0.3">
      <c r="F72828" s="193"/>
    </row>
    <row r="72829" spans="6:6" x14ac:dyDescent="0.3">
      <c r="F72829" s="193"/>
    </row>
    <row r="72830" spans="6:6" x14ac:dyDescent="0.3">
      <c r="F72830" s="193"/>
    </row>
    <row r="72831" spans="6:6" x14ac:dyDescent="0.3">
      <c r="F72831" s="193"/>
    </row>
    <row r="72832" spans="6:6" x14ac:dyDescent="0.3">
      <c r="F72832" s="193"/>
    </row>
    <row r="72833" spans="6:6" x14ac:dyDescent="0.3">
      <c r="F72833" s="193"/>
    </row>
    <row r="72834" spans="6:6" x14ac:dyDescent="0.3">
      <c r="F72834" s="193"/>
    </row>
    <row r="72835" spans="6:6" x14ac:dyDescent="0.3">
      <c r="F72835" s="193"/>
    </row>
    <row r="72836" spans="6:6" x14ac:dyDescent="0.3">
      <c r="F72836" s="193"/>
    </row>
    <row r="72837" spans="6:6" x14ac:dyDescent="0.3">
      <c r="F72837" s="193"/>
    </row>
    <row r="72838" spans="6:6" x14ac:dyDescent="0.3">
      <c r="F72838" s="193"/>
    </row>
    <row r="72839" spans="6:6" x14ac:dyDescent="0.3">
      <c r="F72839" s="193"/>
    </row>
    <row r="72840" spans="6:6" x14ac:dyDescent="0.3">
      <c r="F72840" s="193"/>
    </row>
    <row r="72841" spans="6:6" x14ac:dyDescent="0.3">
      <c r="F72841" s="193"/>
    </row>
    <row r="72842" spans="6:6" x14ac:dyDescent="0.3">
      <c r="F72842" s="193"/>
    </row>
    <row r="72843" spans="6:6" x14ac:dyDescent="0.3">
      <c r="F72843" s="193"/>
    </row>
    <row r="72844" spans="6:6" x14ac:dyDescent="0.3">
      <c r="F72844" s="193"/>
    </row>
    <row r="72845" spans="6:6" x14ac:dyDescent="0.3">
      <c r="F72845" s="193"/>
    </row>
    <row r="72846" spans="6:6" x14ac:dyDescent="0.3">
      <c r="F72846" s="193"/>
    </row>
    <row r="72847" spans="6:6" x14ac:dyDescent="0.3">
      <c r="F72847" s="193"/>
    </row>
    <row r="72848" spans="6:6" x14ac:dyDescent="0.3">
      <c r="F72848" s="193"/>
    </row>
    <row r="72849" spans="6:6" x14ac:dyDescent="0.3">
      <c r="F72849" s="193"/>
    </row>
    <row r="72850" spans="6:6" x14ac:dyDescent="0.3">
      <c r="F72850" s="193"/>
    </row>
    <row r="72851" spans="6:6" x14ac:dyDescent="0.3">
      <c r="F72851" s="193"/>
    </row>
    <row r="72852" spans="6:6" x14ac:dyDescent="0.3">
      <c r="F72852" s="193"/>
    </row>
    <row r="72853" spans="6:6" x14ac:dyDescent="0.3">
      <c r="F72853" s="193"/>
    </row>
    <row r="72854" spans="6:6" x14ac:dyDescent="0.3">
      <c r="F72854" s="193"/>
    </row>
    <row r="72855" spans="6:6" x14ac:dyDescent="0.3">
      <c r="F72855" s="193"/>
    </row>
    <row r="72856" spans="6:6" x14ac:dyDescent="0.3">
      <c r="F72856" s="193"/>
    </row>
    <row r="72857" spans="6:6" x14ac:dyDescent="0.3">
      <c r="F72857" s="193"/>
    </row>
    <row r="72858" spans="6:6" x14ac:dyDescent="0.3">
      <c r="F72858" s="193"/>
    </row>
    <row r="72859" spans="6:6" x14ac:dyDescent="0.3">
      <c r="F72859" s="193"/>
    </row>
    <row r="72860" spans="6:6" x14ac:dyDescent="0.3">
      <c r="F72860" s="193"/>
    </row>
    <row r="72861" spans="6:6" x14ac:dyDescent="0.3">
      <c r="F72861" s="193"/>
    </row>
    <row r="72862" spans="6:6" x14ac:dyDescent="0.3">
      <c r="F72862" s="193"/>
    </row>
    <row r="72863" spans="6:6" x14ac:dyDescent="0.3">
      <c r="F72863" s="193"/>
    </row>
    <row r="72864" spans="6:6" x14ac:dyDescent="0.3">
      <c r="F72864" s="193"/>
    </row>
    <row r="72865" spans="6:6" x14ac:dyDescent="0.3">
      <c r="F72865" s="193"/>
    </row>
    <row r="72866" spans="6:6" x14ac:dyDescent="0.3">
      <c r="F72866" s="193"/>
    </row>
    <row r="72867" spans="6:6" x14ac:dyDescent="0.3">
      <c r="F72867" s="193"/>
    </row>
    <row r="72868" spans="6:6" x14ac:dyDescent="0.3">
      <c r="F72868" s="193"/>
    </row>
    <row r="72869" spans="6:6" x14ac:dyDescent="0.3">
      <c r="F72869" s="193"/>
    </row>
    <row r="72870" spans="6:6" x14ac:dyDescent="0.3">
      <c r="F72870" s="193"/>
    </row>
    <row r="72871" spans="6:6" x14ac:dyDescent="0.3">
      <c r="F72871" s="193"/>
    </row>
    <row r="72872" spans="6:6" x14ac:dyDescent="0.3">
      <c r="F72872" s="193"/>
    </row>
    <row r="72873" spans="6:6" x14ac:dyDescent="0.3">
      <c r="F72873" s="193"/>
    </row>
    <row r="72874" spans="6:6" x14ac:dyDescent="0.3">
      <c r="F72874" s="193"/>
    </row>
    <row r="72875" spans="6:6" x14ac:dyDescent="0.3">
      <c r="F72875" s="193"/>
    </row>
    <row r="72876" spans="6:6" x14ac:dyDescent="0.3">
      <c r="F72876" s="193"/>
    </row>
    <row r="72877" spans="6:6" x14ac:dyDescent="0.3">
      <c r="F72877" s="193"/>
    </row>
    <row r="72878" spans="6:6" x14ac:dyDescent="0.3">
      <c r="F72878" s="193"/>
    </row>
    <row r="72879" spans="6:6" x14ac:dyDescent="0.3">
      <c r="F72879" s="193"/>
    </row>
    <row r="72880" spans="6:6" x14ac:dyDescent="0.3">
      <c r="F72880" s="193"/>
    </row>
    <row r="72881" spans="6:6" x14ac:dyDescent="0.3">
      <c r="F72881" s="193"/>
    </row>
    <row r="72882" spans="6:6" x14ac:dyDescent="0.3">
      <c r="F72882" s="193"/>
    </row>
    <row r="72883" spans="6:6" x14ac:dyDescent="0.3">
      <c r="F72883" s="193"/>
    </row>
    <row r="72884" spans="6:6" x14ac:dyDescent="0.3">
      <c r="F72884" s="193"/>
    </row>
    <row r="72885" spans="6:6" x14ac:dyDescent="0.3">
      <c r="F72885" s="193"/>
    </row>
    <row r="72886" spans="6:6" x14ac:dyDescent="0.3">
      <c r="F72886" s="193"/>
    </row>
    <row r="72887" spans="6:6" x14ac:dyDescent="0.3">
      <c r="F72887" s="193"/>
    </row>
    <row r="72888" spans="6:6" x14ac:dyDescent="0.3">
      <c r="F72888" s="193"/>
    </row>
    <row r="72889" spans="6:6" x14ac:dyDescent="0.3">
      <c r="F72889" s="193"/>
    </row>
    <row r="72890" spans="6:6" x14ac:dyDescent="0.3">
      <c r="F72890" s="193"/>
    </row>
    <row r="72891" spans="6:6" x14ac:dyDescent="0.3">
      <c r="F72891" s="193"/>
    </row>
    <row r="72892" spans="6:6" x14ac:dyDescent="0.3">
      <c r="F72892" s="193"/>
    </row>
    <row r="72893" spans="6:6" x14ac:dyDescent="0.3">
      <c r="F72893" s="193"/>
    </row>
    <row r="72894" spans="6:6" x14ac:dyDescent="0.3">
      <c r="F72894" s="193"/>
    </row>
    <row r="72895" spans="6:6" x14ac:dyDescent="0.3">
      <c r="F72895" s="193"/>
    </row>
    <row r="72896" spans="6:6" x14ac:dyDescent="0.3">
      <c r="F72896" s="193"/>
    </row>
    <row r="72897" spans="6:6" x14ac:dyDescent="0.3">
      <c r="F72897" s="193"/>
    </row>
    <row r="72898" spans="6:6" x14ac:dyDescent="0.3">
      <c r="F72898" s="193"/>
    </row>
    <row r="72899" spans="6:6" x14ac:dyDescent="0.3">
      <c r="F72899" s="193"/>
    </row>
    <row r="72900" spans="6:6" x14ac:dyDescent="0.3">
      <c r="F72900" s="193"/>
    </row>
    <row r="72901" spans="6:6" x14ac:dyDescent="0.3">
      <c r="F72901" s="193"/>
    </row>
    <row r="72902" spans="6:6" x14ac:dyDescent="0.3">
      <c r="F72902" s="193"/>
    </row>
    <row r="72903" spans="6:6" x14ac:dyDescent="0.3">
      <c r="F72903" s="193"/>
    </row>
    <row r="72904" spans="6:6" x14ac:dyDescent="0.3">
      <c r="F72904" s="193"/>
    </row>
    <row r="72905" spans="6:6" x14ac:dyDescent="0.3">
      <c r="F72905" s="193"/>
    </row>
    <row r="72906" spans="6:6" x14ac:dyDescent="0.3">
      <c r="F72906" s="193"/>
    </row>
    <row r="72907" spans="6:6" x14ac:dyDescent="0.3">
      <c r="F72907" s="193"/>
    </row>
    <row r="72908" spans="6:6" x14ac:dyDescent="0.3">
      <c r="F72908" s="193"/>
    </row>
    <row r="72909" spans="6:6" x14ac:dyDescent="0.3">
      <c r="F72909" s="193"/>
    </row>
    <row r="72910" spans="6:6" x14ac:dyDescent="0.3">
      <c r="F72910" s="193"/>
    </row>
    <row r="72911" spans="6:6" x14ac:dyDescent="0.3">
      <c r="F72911" s="193"/>
    </row>
    <row r="72912" spans="6:6" x14ac:dyDescent="0.3">
      <c r="F72912" s="193"/>
    </row>
    <row r="72913" spans="6:6" x14ac:dyDescent="0.3">
      <c r="F72913" s="193"/>
    </row>
    <row r="72914" spans="6:6" x14ac:dyDescent="0.3">
      <c r="F72914" s="193"/>
    </row>
    <row r="72915" spans="6:6" x14ac:dyDescent="0.3">
      <c r="F72915" s="193"/>
    </row>
    <row r="72916" spans="6:6" x14ac:dyDescent="0.3">
      <c r="F72916" s="193"/>
    </row>
    <row r="72917" spans="6:6" x14ac:dyDescent="0.3">
      <c r="F72917" s="193"/>
    </row>
    <row r="72918" spans="6:6" x14ac:dyDescent="0.3">
      <c r="F72918" s="193"/>
    </row>
    <row r="72919" spans="6:6" x14ac:dyDescent="0.3">
      <c r="F72919" s="193"/>
    </row>
    <row r="72920" spans="6:6" x14ac:dyDescent="0.3">
      <c r="F72920" s="193"/>
    </row>
    <row r="72921" spans="6:6" x14ac:dyDescent="0.3">
      <c r="F72921" s="193"/>
    </row>
    <row r="72922" spans="6:6" x14ac:dyDescent="0.3">
      <c r="F72922" s="193"/>
    </row>
    <row r="72923" spans="6:6" x14ac:dyDescent="0.3">
      <c r="F72923" s="193"/>
    </row>
    <row r="72924" spans="6:6" x14ac:dyDescent="0.3">
      <c r="F72924" s="193"/>
    </row>
    <row r="72925" spans="6:6" x14ac:dyDescent="0.3">
      <c r="F72925" s="193"/>
    </row>
    <row r="72926" spans="6:6" x14ac:dyDescent="0.3">
      <c r="F72926" s="193"/>
    </row>
    <row r="72927" spans="6:6" x14ac:dyDescent="0.3">
      <c r="F72927" s="193"/>
    </row>
    <row r="72928" spans="6:6" x14ac:dyDescent="0.3">
      <c r="F72928" s="193"/>
    </row>
    <row r="72929" spans="6:6" x14ac:dyDescent="0.3">
      <c r="F72929" s="193"/>
    </row>
    <row r="72930" spans="6:6" x14ac:dyDescent="0.3">
      <c r="F72930" s="193"/>
    </row>
    <row r="72931" spans="6:6" x14ac:dyDescent="0.3">
      <c r="F72931" s="193"/>
    </row>
    <row r="72932" spans="6:6" x14ac:dyDescent="0.3">
      <c r="F72932" s="193"/>
    </row>
    <row r="72933" spans="6:6" x14ac:dyDescent="0.3">
      <c r="F72933" s="193"/>
    </row>
    <row r="72934" spans="6:6" x14ac:dyDescent="0.3">
      <c r="F72934" s="193"/>
    </row>
    <row r="72935" spans="6:6" x14ac:dyDescent="0.3">
      <c r="F72935" s="193"/>
    </row>
    <row r="72936" spans="6:6" x14ac:dyDescent="0.3">
      <c r="F72936" s="193"/>
    </row>
    <row r="72937" spans="6:6" x14ac:dyDescent="0.3">
      <c r="F72937" s="193"/>
    </row>
    <row r="72938" spans="6:6" x14ac:dyDescent="0.3">
      <c r="F72938" s="193"/>
    </row>
    <row r="72939" spans="6:6" x14ac:dyDescent="0.3">
      <c r="F72939" s="193"/>
    </row>
    <row r="72940" spans="6:6" x14ac:dyDescent="0.3">
      <c r="F72940" s="193"/>
    </row>
    <row r="72941" spans="6:6" x14ac:dyDescent="0.3">
      <c r="F72941" s="193"/>
    </row>
    <row r="72942" spans="6:6" x14ac:dyDescent="0.3">
      <c r="F72942" s="193"/>
    </row>
    <row r="72943" spans="6:6" x14ac:dyDescent="0.3">
      <c r="F72943" s="193"/>
    </row>
    <row r="72944" spans="6:6" x14ac:dyDescent="0.3">
      <c r="F72944" s="193"/>
    </row>
    <row r="72945" spans="6:6" x14ac:dyDescent="0.3">
      <c r="F72945" s="193"/>
    </row>
    <row r="72946" spans="6:6" x14ac:dyDescent="0.3">
      <c r="F72946" s="193"/>
    </row>
    <row r="72947" spans="6:6" x14ac:dyDescent="0.3">
      <c r="F72947" s="193"/>
    </row>
    <row r="72948" spans="6:6" x14ac:dyDescent="0.3">
      <c r="F72948" s="193"/>
    </row>
    <row r="72949" spans="6:6" x14ac:dyDescent="0.3">
      <c r="F72949" s="193"/>
    </row>
    <row r="72950" spans="6:6" x14ac:dyDescent="0.3">
      <c r="F72950" s="193"/>
    </row>
    <row r="72951" spans="6:6" x14ac:dyDescent="0.3">
      <c r="F72951" s="193"/>
    </row>
    <row r="72952" spans="6:6" x14ac:dyDescent="0.3">
      <c r="F72952" s="193"/>
    </row>
    <row r="72953" spans="6:6" x14ac:dyDescent="0.3">
      <c r="F72953" s="193"/>
    </row>
    <row r="72954" spans="6:6" x14ac:dyDescent="0.3">
      <c r="F72954" s="193"/>
    </row>
    <row r="72955" spans="6:6" x14ac:dyDescent="0.3">
      <c r="F72955" s="193"/>
    </row>
    <row r="72956" spans="6:6" x14ac:dyDescent="0.3">
      <c r="F72956" s="193"/>
    </row>
    <row r="72957" spans="6:6" x14ac:dyDescent="0.3">
      <c r="F72957" s="193"/>
    </row>
    <row r="72958" spans="6:6" x14ac:dyDescent="0.3">
      <c r="F72958" s="193"/>
    </row>
    <row r="72959" spans="6:6" x14ac:dyDescent="0.3">
      <c r="F72959" s="193"/>
    </row>
    <row r="72960" spans="6:6" x14ac:dyDescent="0.3">
      <c r="F72960" s="193"/>
    </row>
    <row r="72961" spans="6:6" x14ac:dyDescent="0.3">
      <c r="F72961" s="193"/>
    </row>
    <row r="72962" spans="6:6" x14ac:dyDescent="0.3">
      <c r="F72962" s="193"/>
    </row>
    <row r="72963" spans="6:6" x14ac:dyDescent="0.3">
      <c r="F72963" s="193"/>
    </row>
    <row r="72964" spans="6:6" x14ac:dyDescent="0.3">
      <c r="F72964" s="193"/>
    </row>
    <row r="72965" spans="6:6" x14ac:dyDescent="0.3">
      <c r="F72965" s="193"/>
    </row>
    <row r="72966" spans="6:6" x14ac:dyDescent="0.3">
      <c r="F72966" s="193"/>
    </row>
    <row r="72967" spans="6:6" x14ac:dyDescent="0.3">
      <c r="F72967" s="193"/>
    </row>
    <row r="72968" spans="6:6" x14ac:dyDescent="0.3">
      <c r="F72968" s="193"/>
    </row>
    <row r="72969" spans="6:6" x14ac:dyDescent="0.3">
      <c r="F72969" s="193"/>
    </row>
    <row r="72970" spans="6:6" x14ac:dyDescent="0.3">
      <c r="F72970" s="193"/>
    </row>
    <row r="72971" spans="6:6" x14ac:dyDescent="0.3">
      <c r="F72971" s="193"/>
    </row>
    <row r="72972" spans="6:6" x14ac:dyDescent="0.3">
      <c r="F72972" s="193"/>
    </row>
    <row r="72973" spans="6:6" x14ac:dyDescent="0.3">
      <c r="F72973" s="193"/>
    </row>
    <row r="72974" spans="6:6" x14ac:dyDescent="0.3">
      <c r="F72974" s="193"/>
    </row>
    <row r="72975" spans="6:6" x14ac:dyDescent="0.3">
      <c r="F72975" s="193"/>
    </row>
    <row r="72976" spans="6:6" x14ac:dyDescent="0.3">
      <c r="F72976" s="193"/>
    </row>
    <row r="72977" spans="6:6" x14ac:dyDescent="0.3">
      <c r="F72977" s="193"/>
    </row>
    <row r="72978" spans="6:6" x14ac:dyDescent="0.3">
      <c r="F72978" s="193"/>
    </row>
    <row r="72979" spans="6:6" x14ac:dyDescent="0.3">
      <c r="F72979" s="193"/>
    </row>
    <row r="72980" spans="6:6" x14ac:dyDescent="0.3">
      <c r="F72980" s="193"/>
    </row>
    <row r="72981" spans="6:6" x14ac:dyDescent="0.3">
      <c r="F72981" s="193"/>
    </row>
    <row r="72982" spans="6:6" x14ac:dyDescent="0.3">
      <c r="F72982" s="193"/>
    </row>
    <row r="72983" spans="6:6" x14ac:dyDescent="0.3">
      <c r="F72983" s="193"/>
    </row>
    <row r="72984" spans="6:6" x14ac:dyDescent="0.3">
      <c r="F72984" s="193"/>
    </row>
    <row r="72985" spans="6:6" x14ac:dyDescent="0.3">
      <c r="F72985" s="193"/>
    </row>
    <row r="72986" spans="6:6" x14ac:dyDescent="0.3">
      <c r="F72986" s="193"/>
    </row>
    <row r="72987" spans="6:6" x14ac:dyDescent="0.3">
      <c r="F72987" s="193"/>
    </row>
    <row r="72988" spans="6:6" x14ac:dyDescent="0.3">
      <c r="F72988" s="193"/>
    </row>
    <row r="72989" spans="6:6" x14ac:dyDescent="0.3">
      <c r="F72989" s="193"/>
    </row>
    <row r="72990" spans="6:6" x14ac:dyDescent="0.3">
      <c r="F72990" s="193"/>
    </row>
    <row r="72991" spans="6:6" x14ac:dyDescent="0.3">
      <c r="F72991" s="193"/>
    </row>
    <row r="72992" spans="6:6" x14ac:dyDescent="0.3">
      <c r="F72992" s="193"/>
    </row>
    <row r="72993" spans="6:6" x14ac:dyDescent="0.3">
      <c r="F72993" s="193"/>
    </row>
    <row r="72994" spans="6:6" x14ac:dyDescent="0.3">
      <c r="F72994" s="193"/>
    </row>
    <row r="72995" spans="6:6" x14ac:dyDescent="0.3">
      <c r="F72995" s="193"/>
    </row>
    <row r="72996" spans="6:6" x14ac:dyDescent="0.3">
      <c r="F72996" s="193"/>
    </row>
    <row r="72997" spans="6:6" x14ac:dyDescent="0.3">
      <c r="F72997" s="193"/>
    </row>
    <row r="72998" spans="6:6" x14ac:dyDescent="0.3">
      <c r="F72998" s="193"/>
    </row>
    <row r="72999" spans="6:6" x14ac:dyDescent="0.3">
      <c r="F72999" s="193"/>
    </row>
    <row r="73000" spans="6:6" x14ac:dyDescent="0.3">
      <c r="F73000" s="193"/>
    </row>
    <row r="73001" spans="6:6" x14ac:dyDescent="0.3">
      <c r="F73001" s="193"/>
    </row>
    <row r="73002" spans="6:6" x14ac:dyDescent="0.3">
      <c r="F73002" s="193"/>
    </row>
    <row r="73003" spans="6:6" x14ac:dyDescent="0.3">
      <c r="F73003" s="193"/>
    </row>
    <row r="73004" spans="6:6" x14ac:dyDescent="0.3">
      <c r="F73004" s="193"/>
    </row>
    <row r="73005" spans="6:6" x14ac:dyDescent="0.3">
      <c r="F73005" s="193"/>
    </row>
    <row r="73006" spans="6:6" x14ac:dyDescent="0.3">
      <c r="F73006" s="193"/>
    </row>
    <row r="73007" spans="6:6" x14ac:dyDescent="0.3">
      <c r="F73007" s="193"/>
    </row>
    <row r="73008" spans="6:6" x14ac:dyDescent="0.3">
      <c r="F73008" s="193"/>
    </row>
    <row r="73009" spans="6:6" x14ac:dyDescent="0.3">
      <c r="F73009" s="193"/>
    </row>
    <row r="73010" spans="6:6" x14ac:dyDescent="0.3">
      <c r="F73010" s="193"/>
    </row>
    <row r="73011" spans="6:6" x14ac:dyDescent="0.3">
      <c r="F73011" s="193"/>
    </row>
    <row r="73012" spans="6:6" x14ac:dyDescent="0.3">
      <c r="F73012" s="193"/>
    </row>
    <row r="73013" spans="6:6" x14ac:dyDescent="0.3">
      <c r="F73013" s="193"/>
    </row>
    <row r="73014" spans="6:6" x14ac:dyDescent="0.3">
      <c r="F73014" s="193"/>
    </row>
    <row r="73015" spans="6:6" x14ac:dyDescent="0.3">
      <c r="F73015" s="193"/>
    </row>
    <row r="73016" spans="6:6" x14ac:dyDescent="0.3">
      <c r="F73016" s="193"/>
    </row>
    <row r="73017" spans="6:6" x14ac:dyDescent="0.3">
      <c r="F73017" s="193"/>
    </row>
    <row r="73018" spans="6:6" x14ac:dyDescent="0.3">
      <c r="F73018" s="193"/>
    </row>
    <row r="73019" spans="6:6" x14ac:dyDescent="0.3">
      <c r="F73019" s="193"/>
    </row>
    <row r="73020" spans="6:6" x14ac:dyDescent="0.3">
      <c r="F73020" s="193"/>
    </row>
    <row r="73021" spans="6:6" x14ac:dyDescent="0.3">
      <c r="F73021" s="193"/>
    </row>
    <row r="73022" spans="6:6" x14ac:dyDescent="0.3">
      <c r="F73022" s="193"/>
    </row>
    <row r="73023" spans="6:6" x14ac:dyDescent="0.3">
      <c r="F73023" s="193"/>
    </row>
    <row r="73024" spans="6:6" x14ac:dyDescent="0.3">
      <c r="F73024" s="193"/>
    </row>
    <row r="73025" spans="6:6" x14ac:dyDescent="0.3">
      <c r="F73025" s="193"/>
    </row>
    <row r="73026" spans="6:6" x14ac:dyDescent="0.3">
      <c r="F73026" s="193"/>
    </row>
    <row r="73027" spans="6:6" x14ac:dyDescent="0.3">
      <c r="F73027" s="193"/>
    </row>
    <row r="73028" spans="6:6" x14ac:dyDescent="0.3">
      <c r="F73028" s="193"/>
    </row>
    <row r="73029" spans="6:6" x14ac:dyDescent="0.3">
      <c r="F73029" s="193"/>
    </row>
    <row r="73030" spans="6:6" x14ac:dyDescent="0.3">
      <c r="F73030" s="193"/>
    </row>
    <row r="73031" spans="6:6" x14ac:dyDescent="0.3">
      <c r="F73031" s="193"/>
    </row>
    <row r="73032" spans="6:6" x14ac:dyDescent="0.3">
      <c r="F73032" s="193"/>
    </row>
    <row r="73033" spans="6:6" x14ac:dyDescent="0.3">
      <c r="F73033" s="193"/>
    </row>
    <row r="73034" spans="6:6" x14ac:dyDescent="0.3">
      <c r="F73034" s="193"/>
    </row>
    <row r="73035" spans="6:6" x14ac:dyDescent="0.3">
      <c r="F73035" s="193"/>
    </row>
    <row r="73036" spans="6:6" x14ac:dyDescent="0.3">
      <c r="F73036" s="193"/>
    </row>
    <row r="73037" spans="6:6" x14ac:dyDescent="0.3">
      <c r="F73037" s="193"/>
    </row>
    <row r="73038" spans="6:6" x14ac:dyDescent="0.3">
      <c r="F73038" s="193"/>
    </row>
    <row r="73039" spans="6:6" x14ac:dyDescent="0.3">
      <c r="F73039" s="193"/>
    </row>
    <row r="73040" spans="6:6" x14ac:dyDescent="0.3">
      <c r="F73040" s="193"/>
    </row>
    <row r="73041" spans="6:6" x14ac:dyDescent="0.3">
      <c r="F73041" s="193"/>
    </row>
    <row r="73042" spans="6:6" x14ac:dyDescent="0.3">
      <c r="F73042" s="193"/>
    </row>
    <row r="73043" spans="6:6" x14ac:dyDescent="0.3">
      <c r="F73043" s="193"/>
    </row>
    <row r="73044" spans="6:6" x14ac:dyDescent="0.3">
      <c r="F73044" s="193"/>
    </row>
    <row r="73045" spans="6:6" x14ac:dyDescent="0.3">
      <c r="F73045" s="193"/>
    </row>
    <row r="73046" spans="6:6" x14ac:dyDescent="0.3">
      <c r="F73046" s="193"/>
    </row>
    <row r="73047" spans="6:6" x14ac:dyDescent="0.3">
      <c r="F73047" s="193"/>
    </row>
    <row r="73048" spans="6:6" x14ac:dyDescent="0.3">
      <c r="F73048" s="193"/>
    </row>
    <row r="73049" spans="6:6" x14ac:dyDescent="0.3">
      <c r="F73049" s="193"/>
    </row>
    <row r="73050" spans="6:6" x14ac:dyDescent="0.3">
      <c r="F73050" s="193"/>
    </row>
    <row r="73051" spans="6:6" x14ac:dyDescent="0.3">
      <c r="F73051" s="193"/>
    </row>
    <row r="73052" spans="6:6" x14ac:dyDescent="0.3">
      <c r="F73052" s="193"/>
    </row>
    <row r="73053" spans="6:6" x14ac:dyDescent="0.3">
      <c r="F73053" s="193"/>
    </row>
    <row r="73054" spans="6:6" x14ac:dyDescent="0.3">
      <c r="F73054" s="193"/>
    </row>
    <row r="73055" spans="6:6" x14ac:dyDescent="0.3">
      <c r="F73055" s="193"/>
    </row>
    <row r="73056" spans="6:6" x14ac:dyDescent="0.3">
      <c r="F73056" s="193"/>
    </row>
    <row r="73057" spans="6:6" x14ac:dyDescent="0.3">
      <c r="F73057" s="193"/>
    </row>
    <row r="73058" spans="6:6" x14ac:dyDescent="0.3">
      <c r="F73058" s="193"/>
    </row>
    <row r="73059" spans="6:6" x14ac:dyDescent="0.3">
      <c r="F73059" s="193"/>
    </row>
    <row r="73060" spans="6:6" x14ac:dyDescent="0.3">
      <c r="F73060" s="193"/>
    </row>
    <row r="73061" spans="6:6" x14ac:dyDescent="0.3">
      <c r="F73061" s="193"/>
    </row>
    <row r="73062" spans="6:6" x14ac:dyDescent="0.3">
      <c r="F73062" s="193"/>
    </row>
    <row r="73063" spans="6:6" x14ac:dyDescent="0.3">
      <c r="F73063" s="193"/>
    </row>
    <row r="73064" spans="6:6" x14ac:dyDescent="0.3">
      <c r="F73064" s="193"/>
    </row>
    <row r="73065" spans="6:6" x14ac:dyDescent="0.3">
      <c r="F73065" s="193"/>
    </row>
    <row r="73066" spans="6:6" x14ac:dyDescent="0.3">
      <c r="F73066" s="193"/>
    </row>
    <row r="73067" spans="6:6" x14ac:dyDescent="0.3">
      <c r="F73067" s="193"/>
    </row>
    <row r="73068" spans="6:6" x14ac:dyDescent="0.3">
      <c r="F73068" s="193"/>
    </row>
    <row r="73069" spans="6:6" x14ac:dyDescent="0.3">
      <c r="F73069" s="193"/>
    </row>
    <row r="73070" spans="6:6" x14ac:dyDescent="0.3">
      <c r="F73070" s="193"/>
    </row>
    <row r="73071" spans="6:6" x14ac:dyDescent="0.3">
      <c r="F73071" s="193"/>
    </row>
    <row r="73072" spans="6:6" x14ac:dyDescent="0.3">
      <c r="F73072" s="193"/>
    </row>
    <row r="73073" spans="6:6" x14ac:dyDescent="0.3">
      <c r="F73073" s="193"/>
    </row>
    <row r="73074" spans="6:6" x14ac:dyDescent="0.3">
      <c r="F73074" s="193"/>
    </row>
    <row r="73075" spans="6:6" x14ac:dyDescent="0.3">
      <c r="F73075" s="193"/>
    </row>
    <row r="73076" spans="6:6" x14ac:dyDescent="0.3">
      <c r="F73076" s="193"/>
    </row>
    <row r="73077" spans="6:6" x14ac:dyDescent="0.3">
      <c r="F73077" s="193"/>
    </row>
    <row r="73078" spans="6:6" x14ac:dyDescent="0.3">
      <c r="F73078" s="193"/>
    </row>
    <row r="73079" spans="6:6" x14ac:dyDescent="0.3">
      <c r="F73079" s="193"/>
    </row>
    <row r="73080" spans="6:6" x14ac:dyDescent="0.3">
      <c r="F73080" s="193"/>
    </row>
    <row r="73081" spans="6:6" x14ac:dyDescent="0.3">
      <c r="F73081" s="193"/>
    </row>
    <row r="73082" spans="6:6" x14ac:dyDescent="0.3">
      <c r="F73082" s="193"/>
    </row>
    <row r="73083" spans="6:6" x14ac:dyDescent="0.3">
      <c r="F73083" s="193"/>
    </row>
    <row r="73084" spans="6:6" x14ac:dyDescent="0.3">
      <c r="F73084" s="193"/>
    </row>
    <row r="73085" spans="6:6" x14ac:dyDescent="0.3">
      <c r="F73085" s="193"/>
    </row>
    <row r="73086" spans="6:6" x14ac:dyDescent="0.3">
      <c r="F73086" s="193"/>
    </row>
    <row r="73087" spans="6:6" x14ac:dyDescent="0.3">
      <c r="F73087" s="193"/>
    </row>
    <row r="73088" spans="6:6" x14ac:dyDescent="0.3">
      <c r="F73088" s="193"/>
    </row>
    <row r="73089" spans="6:6" x14ac:dyDescent="0.3">
      <c r="F73089" s="193"/>
    </row>
    <row r="73090" spans="6:6" x14ac:dyDescent="0.3">
      <c r="F73090" s="193"/>
    </row>
    <row r="73091" spans="6:6" x14ac:dyDescent="0.3">
      <c r="F73091" s="193"/>
    </row>
    <row r="73092" spans="6:6" x14ac:dyDescent="0.3">
      <c r="F73092" s="193"/>
    </row>
    <row r="73093" spans="6:6" x14ac:dyDescent="0.3">
      <c r="F73093" s="193"/>
    </row>
    <row r="73094" spans="6:6" x14ac:dyDescent="0.3">
      <c r="F73094" s="193"/>
    </row>
    <row r="73095" spans="6:6" x14ac:dyDescent="0.3">
      <c r="F73095" s="193"/>
    </row>
    <row r="73096" spans="6:6" x14ac:dyDescent="0.3">
      <c r="F73096" s="193"/>
    </row>
    <row r="73097" spans="6:6" x14ac:dyDescent="0.3">
      <c r="F73097" s="193"/>
    </row>
    <row r="73098" spans="6:6" x14ac:dyDescent="0.3">
      <c r="F73098" s="193"/>
    </row>
    <row r="73099" spans="6:6" x14ac:dyDescent="0.3">
      <c r="F73099" s="193"/>
    </row>
    <row r="73100" spans="6:6" x14ac:dyDescent="0.3">
      <c r="F73100" s="193"/>
    </row>
    <row r="73101" spans="6:6" x14ac:dyDescent="0.3">
      <c r="F73101" s="193"/>
    </row>
    <row r="73102" spans="6:6" x14ac:dyDescent="0.3">
      <c r="F73102" s="193"/>
    </row>
    <row r="73103" spans="6:6" x14ac:dyDescent="0.3">
      <c r="F73103" s="193"/>
    </row>
    <row r="73104" spans="6:6" x14ac:dyDescent="0.3">
      <c r="F73104" s="193"/>
    </row>
    <row r="73105" spans="6:6" x14ac:dyDescent="0.3">
      <c r="F73105" s="193"/>
    </row>
    <row r="73106" spans="6:6" x14ac:dyDescent="0.3">
      <c r="F73106" s="193"/>
    </row>
    <row r="73107" spans="6:6" x14ac:dyDescent="0.3">
      <c r="F73107" s="193"/>
    </row>
    <row r="73108" spans="6:6" x14ac:dyDescent="0.3">
      <c r="F73108" s="193"/>
    </row>
    <row r="73109" spans="6:6" x14ac:dyDescent="0.3">
      <c r="F73109" s="193"/>
    </row>
    <row r="73110" spans="6:6" x14ac:dyDescent="0.3">
      <c r="F73110" s="193"/>
    </row>
    <row r="73111" spans="6:6" x14ac:dyDescent="0.3">
      <c r="F73111" s="193"/>
    </row>
    <row r="73112" spans="6:6" x14ac:dyDescent="0.3">
      <c r="F73112" s="193"/>
    </row>
    <row r="73113" spans="6:6" x14ac:dyDescent="0.3">
      <c r="F73113" s="193"/>
    </row>
    <row r="73114" spans="6:6" x14ac:dyDescent="0.3">
      <c r="F73114" s="193"/>
    </row>
    <row r="73115" spans="6:6" x14ac:dyDescent="0.3">
      <c r="F73115" s="193"/>
    </row>
    <row r="73116" spans="6:6" x14ac:dyDescent="0.3">
      <c r="F73116" s="193"/>
    </row>
    <row r="73117" spans="6:6" x14ac:dyDescent="0.3">
      <c r="F73117" s="193"/>
    </row>
    <row r="73118" spans="6:6" x14ac:dyDescent="0.3">
      <c r="F73118" s="193"/>
    </row>
    <row r="73119" spans="6:6" x14ac:dyDescent="0.3">
      <c r="F73119" s="193"/>
    </row>
    <row r="73120" spans="6:6" x14ac:dyDescent="0.3">
      <c r="F73120" s="193"/>
    </row>
    <row r="73121" spans="6:6" x14ac:dyDescent="0.3">
      <c r="F73121" s="193"/>
    </row>
    <row r="73122" spans="6:6" x14ac:dyDescent="0.3">
      <c r="F73122" s="193"/>
    </row>
    <row r="73123" spans="6:6" x14ac:dyDescent="0.3">
      <c r="F73123" s="193"/>
    </row>
    <row r="73124" spans="6:6" x14ac:dyDescent="0.3">
      <c r="F73124" s="193"/>
    </row>
    <row r="73125" spans="6:6" x14ac:dyDescent="0.3">
      <c r="F73125" s="193"/>
    </row>
    <row r="73126" spans="6:6" x14ac:dyDescent="0.3">
      <c r="F73126" s="193"/>
    </row>
    <row r="73127" spans="6:6" x14ac:dyDescent="0.3">
      <c r="F73127" s="193"/>
    </row>
    <row r="73128" spans="6:6" x14ac:dyDescent="0.3">
      <c r="F73128" s="193"/>
    </row>
    <row r="73129" spans="6:6" x14ac:dyDescent="0.3">
      <c r="F73129" s="193"/>
    </row>
    <row r="73130" spans="6:6" x14ac:dyDescent="0.3">
      <c r="F73130" s="193"/>
    </row>
    <row r="73131" spans="6:6" x14ac:dyDescent="0.3">
      <c r="F73131" s="193"/>
    </row>
    <row r="73132" spans="6:6" x14ac:dyDescent="0.3">
      <c r="F73132" s="193"/>
    </row>
    <row r="73133" spans="6:6" x14ac:dyDescent="0.3">
      <c r="F73133" s="193"/>
    </row>
    <row r="73134" spans="6:6" x14ac:dyDescent="0.3">
      <c r="F73134" s="193"/>
    </row>
    <row r="73135" spans="6:6" x14ac:dyDescent="0.3">
      <c r="F73135" s="193"/>
    </row>
    <row r="73136" spans="6:6" x14ac:dyDescent="0.3">
      <c r="F73136" s="193"/>
    </row>
    <row r="73137" spans="6:6" x14ac:dyDescent="0.3">
      <c r="F73137" s="193"/>
    </row>
    <row r="73138" spans="6:6" x14ac:dyDescent="0.3">
      <c r="F73138" s="193"/>
    </row>
    <row r="73139" spans="6:6" x14ac:dyDescent="0.3">
      <c r="F73139" s="193"/>
    </row>
    <row r="73140" spans="6:6" x14ac:dyDescent="0.3">
      <c r="F73140" s="193"/>
    </row>
    <row r="73141" spans="6:6" x14ac:dyDescent="0.3">
      <c r="F73141" s="193"/>
    </row>
    <row r="73142" spans="6:6" x14ac:dyDescent="0.3">
      <c r="F73142" s="193"/>
    </row>
    <row r="73143" spans="6:6" x14ac:dyDescent="0.3">
      <c r="F73143" s="193"/>
    </row>
    <row r="73144" spans="6:6" x14ac:dyDescent="0.3">
      <c r="F73144" s="193"/>
    </row>
    <row r="73145" spans="6:6" x14ac:dyDescent="0.3">
      <c r="F73145" s="193"/>
    </row>
    <row r="73146" spans="6:6" x14ac:dyDescent="0.3">
      <c r="F73146" s="193"/>
    </row>
    <row r="73147" spans="6:6" x14ac:dyDescent="0.3">
      <c r="F73147" s="193"/>
    </row>
    <row r="73148" spans="6:6" x14ac:dyDescent="0.3">
      <c r="F73148" s="193"/>
    </row>
    <row r="73149" spans="6:6" x14ac:dyDescent="0.3">
      <c r="F73149" s="193"/>
    </row>
    <row r="73150" spans="6:6" x14ac:dyDescent="0.3">
      <c r="F73150" s="193"/>
    </row>
    <row r="73151" spans="6:6" x14ac:dyDescent="0.3">
      <c r="F73151" s="193"/>
    </row>
    <row r="73152" spans="6:6" x14ac:dyDescent="0.3">
      <c r="F73152" s="193"/>
    </row>
    <row r="73153" spans="6:6" x14ac:dyDescent="0.3">
      <c r="F73153" s="193"/>
    </row>
    <row r="73154" spans="6:6" x14ac:dyDescent="0.3">
      <c r="F73154" s="193"/>
    </row>
    <row r="73155" spans="6:6" x14ac:dyDescent="0.3">
      <c r="F73155" s="193"/>
    </row>
    <row r="73156" spans="6:6" x14ac:dyDescent="0.3">
      <c r="F73156" s="193"/>
    </row>
    <row r="73157" spans="6:6" x14ac:dyDescent="0.3">
      <c r="F73157" s="193"/>
    </row>
    <row r="73158" spans="6:6" x14ac:dyDescent="0.3">
      <c r="F73158" s="193"/>
    </row>
    <row r="73159" spans="6:6" x14ac:dyDescent="0.3">
      <c r="F73159" s="193"/>
    </row>
    <row r="73160" spans="6:6" x14ac:dyDescent="0.3">
      <c r="F73160" s="193"/>
    </row>
    <row r="73161" spans="6:6" x14ac:dyDescent="0.3">
      <c r="F73161" s="193"/>
    </row>
    <row r="73162" spans="6:6" x14ac:dyDescent="0.3">
      <c r="F73162" s="193"/>
    </row>
    <row r="73163" spans="6:6" x14ac:dyDescent="0.3">
      <c r="F73163" s="193"/>
    </row>
    <row r="73164" spans="6:6" x14ac:dyDescent="0.3">
      <c r="F73164" s="193"/>
    </row>
    <row r="73165" spans="6:6" x14ac:dyDescent="0.3">
      <c r="F73165" s="193"/>
    </row>
    <row r="73166" spans="6:6" x14ac:dyDescent="0.3">
      <c r="F73166" s="193"/>
    </row>
    <row r="73167" spans="6:6" x14ac:dyDescent="0.3">
      <c r="F73167" s="193"/>
    </row>
    <row r="73168" spans="6:6" x14ac:dyDescent="0.3">
      <c r="F73168" s="193"/>
    </row>
    <row r="73169" spans="6:6" x14ac:dyDescent="0.3">
      <c r="F73169" s="193"/>
    </row>
    <row r="73170" spans="6:6" x14ac:dyDescent="0.3">
      <c r="F73170" s="193"/>
    </row>
    <row r="73171" spans="6:6" x14ac:dyDescent="0.3">
      <c r="F73171" s="193"/>
    </row>
    <row r="73172" spans="6:6" x14ac:dyDescent="0.3">
      <c r="F73172" s="193"/>
    </row>
    <row r="73173" spans="6:6" x14ac:dyDescent="0.3">
      <c r="F73173" s="193"/>
    </row>
    <row r="73174" spans="6:6" x14ac:dyDescent="0.3">
      <c r="F73174" s="193"/>
    </row>
    <row r="73175" spans="6:6" x14ac:dyDescent="0.3">
      <c r="F73175" s="193"/>
    </row>
    <row r="73176" spans="6:6" x14ac:dyDescent="0.3">
      <c r="F73176" s="193"/>
    </row>
    <row r="73177" spans="6:6" x14ac:dyDescent="0.3">
      <c r="F73177" s="193"/>
    </row>
    <row r="73178" spans="6:6" x14ac:dyDescent="0.3">
      <c r="F73178" s="193"/>
    </row>
    <row r="73179" spans="6:6" x14ac:dyDescent="0.3">
      <c r="F73179" s="193"/>
    </row>
    <row r="73180" spans="6:6" x14ac:dyDescent="0.3">
      <c r="F73180" s="193"/>
    </row>
    <row r="73181" spans="6:6" x14ac:dyDescent="0.3">
      <c r="F73181" s="193"/>
    </row>
    <row r="73182" spans="6:6" x14ac:dyDescent="0.3">
      <c r="F73182" s="193"/>
    </row>
    <row r="73183" spans="6:6" x14ac:dyDescent="0.3">
      <c r="F73183" s="193"/>
    </row>
    <row r="73184" spans="6:6" x14ac:dyDescent="0.3">
      <c r="F73184" s="193"/>
    </row>
    <row r="73185" spans="6:6" x14ac:dyDescent="0.3">
      <c r="F73185" s="193"/>
    </row>
    <row r="73186" spans="6:6" x14ac:dyDescent="0.3">
      <c r="F73186" s="193"/>
    </row>
    <row r="73187" spans="6:6" x14ac:dyDescent="0.3">
      <c r="F73187" s="193"/>
    </row>
    <row r="73188" spans="6:6" x14ac:dyDescent="0.3">
      <c r="F73188" s="193"/>
    </row>
    <row r="73189" spans="6:6" x14ac:dyDescent="0.3">
      <c r="F73189" s="193"/>
    </row>
    <row r="73190" spans="6:6" x14ac:dyDescent="0.3">
      <c r="F73190" s="193"/>
    </row>
    <row r="73191" spans="6:6" x14ac:dyDescent="0.3">
      <c r="F73191" s="193"/>
    </row>
    <row r="73192" spans="6:6" x14ac:dyDescent="0.3">
      <c r="F73192" s="193"/>
    </row>
    <row r="73193" spans="6:6" x14ac:dyDescent="0.3">
      <c r="F73193" s="193"/>
    </row>
    <row r="73194" spans="6:6" x14ac:dyDescent="0.3">
      <c r="F73194" s="193"/>
    </row>
    <row r="73195" spans="6:6" x14ac:dyDescent="0.3">
      <c r="F73195" s="193"/>
    </row>
    <row r="73196" spans="6:6" x14ac:dyDescent="0.3">
      <c r="F73196" s="193"/>
    </row>
    <row r="73197" spans="6:6" x14ac:dyDescent="0.3">
      <c r="F73197" s="193"/>
    </row>
    <row r="73198" spans="6:6" x14ac:dyDescent="0.3">
      <c r="F73198" s="193"/>
    </row>
    <row r="73199" spans="6:6" x14ac:dyDescent="0.3">
      <c r="F73199" s="193"/>
    </row>
    <row r="73200" spans="6:6" x14ac:dyDescent="0.3">
      <c r="F73200" s="193"/>
    </row>
    <row r="73201" spans="6:6" x14ac:dyDescent="0.3">
      <c r="F73201" s="193"/>
    </row>
    <row r="73202" spans="6:6" x14ac:dyDescent="0.3">
      <c r="F73202" s="193"/>
    </row>
    <row r="73203" spans="6:6" x14ac:dyDescent="0.3">
      <c r="F73203" s="193"/>
    </row>
    <row r="73204" spans="6:6" x14ac:dyDescent="0.3">
      <c r="F73204" s="193"/>
    </row>
    <row r="73205" spans="6:6" x14ac:dyDescent="0.3">
      <c r="F73205" s="193"/>
    </row>
    <row r="73206" spans="6:6" x14ac:dyDescent="0.3">
      <c r="F73206" s="193"/>
    </row>
    <row r="73207" spans="6:6" x14ac:dyDescent="0.3">
      <c r="F73207" s="193"/>
    </row>
    <row r="73208" spans="6:6" x14ac:dyDescent="0.3">
      <c r="F73208" s="193"/>
    </row>
    <row r="73209" spans="6:6" x14ac:dyDescent="0.3">
      <c r="F73209" s="193"/>
    </row>
    <row r="73210" spans="6:6" x14ac:dyDescent="0.3">
      <c r="F73210" s="193"/>
    </row>
    <row r="73211" spans="6:6" x14ac:dyDescent="0.3">
      <c r="F73211" s="193"/>
    </row>
    <row r="73212" spans="6:6" x14ac:dyDescent="0.3">
      <c r="F73212" s="193"/>
    </row>
    <row r="73213" spans="6:6" x14ac:dyDescent="0.3">
      <c r="F73213" s="193"/>
    </row>
    <row r="73214" spans="6:6" x14ac:dyDescent="0.3">
      <c r="F73214" s="193"/>
    </row>
    <row r="73215" spans="6:6" x14ac:dyDescent="0.3">
      <c r="F73215" s="193"/>
    </row>
    <row r="73216" spans="6:6" x14ac:dyDescent="0.3">
      <c r="F73216" s="193"/>
    </row>
    <row r="73217" spans="6:6" x14ac:dyDescent="0.3">
      <c r="F73217" s="193"/>
    </row>
    <row r="73218" spans="6:6" x14ac:dyDescent="0.3">
      <c r="F73218" s="193"/>
    </row>
    <row r="73219" spans="6:6" x14ac:dyDescent="0.3">
      <c r="F73219" s="193"/>
    </row>
    <row r="73220" spans="6:6" x14ac:dyDescent="0.3">
      <c r="F73220" s="193"/>
    </row>
    <row r="73221" spans="6:6" x14ac:dyDescent="0.3">
      <c r="F73221" s="193"/>
    </row>
    <row r="73222" spans="6:6" x14ac:dyDescent="0.3">
      <c r="F73222" s="193"/>
    </row>
    <row r="73223" spans="6:6" x14ac:dyDescent="0.3">
      <c r="F73223" s="193"/>
    </row>
    <row r="73224" spans="6:6" x14ac:dyDescent="0.3">
      <c r="F73224" s="193"/>
    </row>
    <row r="73225" spans="6:6" x14ac:dyDescent="0.3">
      <c r="F73225" s="193"/>
    </row>
    <row r="73226" spans="6:6" x14ac:dyDescent="0.3">
      <c r="F73226" s="193"/>
    </row>
    <row r="73227" spans="6:6" x14ac:dyDescent="0.3">
      <c r="F73227" s="193"/>
    </row>
    <row r="73228" spans="6:6" x14ac:dyDescent="0.3">
      <c r="F73228" s="193"/>
    </row>
    <row r="73229" spans="6:6" x14ac:dyDescent="0.3">
      <c r="F73229" s="193"/>
    </row>
    <row r="73230" spans="6:6" x14ac:dyDescent="0.3">
      <c r="F73230" s="193"/>
    </row>
    <row r="73231" spans="6:6" x14ac:dyDescent="0.3">
      <c r="F73231" s="193"/>
    </row>
    <row r="73232" spans="6:6" x14ac:dyDescent="0.3">
      <c r="F73232" s="193"/>
    </row>
    <row r="73233" spans="6:6" x14ac:dyDescent="0.3">
      <c r="F73233" s="193"/>
    </row>
    <row r="73234" spans="6:6" x14ac:dyDescent="0.3">
      <c r="F73234" s="193"/>
    </row>
    <row r="73235" spans="6:6" x14ac:dyDescent="0.3">
      <c r="F73235" s="193"/>
    </row>
    <row r="73236" spans="6:6" x14ac:dyDescent="0.3">
      <c r="F73236" s="193"/>
    </row>
    <row r="73237" spans="6:6" x14ac:dyDescent="0.3">
      <c r="F73237" s="193"/>
    </row>
    <row r="73238" spans="6:6" x14ac:dyDescent="0.3">
      <c r="F73238" s="193"/>
    </row>
    <row r="73239" spans="6:6" x14ac:dyDescent="0.3">
      <c r="F73239" s="193"/>
    </row>
    <row r="73240" spans="6:6" x14ac:dyDescent="0.3">
      <c r="F73240" s="193"/>
    </row>
    <row r="73241" spans="6:6" x14ac:dyDescent="0.3">
      <c r="F73241" s="193"/>
    </row>
    <row r="73242" spans="6:6" x14ac:dyDescent="0.3">
      <c r="F73242" s="193"/>
    </row>
    <row r="73243" spans="6:6" x14ac:dyDescent="0.3">
      <c r="F73243" s="193"/>
    </row>
    <row r="73244" spans="6:6" x14ac:dyDescent="0.3">
      <c r="F73244" s="193"/>
    </row>
    <row r="73245" spans="6:6" x14ac:dyDescent="0.3">
      <c r="F73245" s="193"/>
    </row>
    <row r="73246" spans="6:6" x14ac:dyDescent="0.3">
      <c r="F73246" s="193"/>
    </row>
    <row r="73247" spans="6:6" x14ac:dyDescent="0.3">
      <c r="F73247" s="193"/>
    </row>
    <row r="73248" spans="6:6" x14ac:dyDescent="0.3">
      <c r="F73248" s="193"/>
    </row>
    <row r="73249" spans="6:6" x14ac:dyDescent="0.3">
      <c r="F73249" s="193"/>
    </row>
    <row r="73250" spans="6:6" x14ac:dyDescent="0.3">
      <c r="F73250" s="193"/>
    </row>
    <row r="73251" spans="6:6" x14ac:dyDescent="0.3">
      <c r="F73251" s="193"/>
    </row>
    <row r="73252" spans="6:6" x14ac:dyDescent="0.3">
      <c r="F73252" s="193"/>
    </row>
    <row r="73253" spans="6:6" x14ac:dyDescent="0.3">
      <c r="F73253" s="193"/>
    </row>
    <row r="73254" spans="6:6" x14ac:dyDescent="0.3">
      <c r="F73254" s="193"/>
    </row>
    <row r="73255" spans="6:6" x14ac:dyDescent="0.3">
      <c r="F73255" s="193"/>
    </row>
    <row r="73256" spans="6:6" x14ac:dyDescent="0.3">
      <c r="F73256" s="193"/>
    </row>
    <row r="73257" spans="6:6" x14ac:dyDescent="0.3">
      <c r="F73257" s="193"/>
    </row>
    <row r="73258" spans="6:6" x14ac:dyDescent="0.3">
      <c r="F73258" s="193"/>
    </row>
    <row r="73259" spans="6:6" x14ac:dyDescent="0.3">
      <c r="F73259" s="193"/>
    </row>
    <row r="73260" spans="6:6" x14ac:dyDescent="0.3">
      <c r="F73260" s="193"/>
    </row>
    <row r="73261" spans="6:6" x14ac:dyDescent="0.3">
      <c r="F73261" s="193"/>
    </row>
    <row r="73262" spans="6:6" x14ac:dyDescent="0.3">
      <c r="F73262" s="193"/>
    </row>
    <row r="73263" spans="6:6" x14ac:dyDescent="0.3">
      <c r="F73263" s="193"/>
    </row>
    <row r="73264" spans="6:6" x14ac:dyDescent="0.3">
      <c r="F73264" s="193"/>
    </row>
    <row r="73265" spans="6:6" x14ac:dyDescent="0.3">
      <c r="F73265" s="193"/>
    </row>
    <row r="73266" spans="6:6" x14ac:dyDescent="0.3">
      <c r="F73266" s="193"/>
    </row>
    <row r="73267" spans="6:6" x14ac:dyDescent="0.3">
      <c r="F73267" s="193"/>
    </row>
    <row r="73268" spans="6:6" x14ac:dyDescent="0.3">
      <c r="F73268" s="193"/>
    </row>
    <row r="73269" spans="6:6" x14ac:dyDescent="0.3">
      <c r="F73269" s="193"/>
    </row>
    <row r="73270" spans="6:6" x14ac:dyDescent="0.3">
      <c r="F73270" s="193"/>
    </row>
    <row r="73271" spans="6:6" x14ac:dyDescent="0.3">
      <c r="F73271" s="193"/>
    </row>
    <row r="73272" spans="6:6" x14ac:dyDescent="0.3">
      <c r="F73272" s="193"/>
    </row>
    <row r="73273" spans="6:6" x14ac:dyDescent="0.3">
      <c r="F73273" s="193"/>
    </row>
    <row r="73274" spans="6:6" x14ac:dyDescent="0.3">
      <c r="F73274" s="193"/>
    </row>
    <row r="73275" spans="6:6" x14ac:dyDescent="0.3">
      <c r="F73275" s="193"/>
    </row>
    <row r="73276" spans="6:6" x14ac:dyDescent="0.3">
      <c r="F73276" s="193"/>
    </row>
    <row r="73277" spans="6:6" x14ac:dyDescent="0.3">
      <c r="F73277" s="193"/>
    </row>
    <row r="73278" spans="6:6" x14ac:dyDescent="0.3">
      <c r="F73278" s="193"/>
    </row>
    <row r="73279" spans="6:6" x14ac:dyDescent="0.3">
      <c r="F73279" s="193"/>
    </row>
    <row r="73280" spans="6:6" x14ac:dyDescent="0.3">
      <c r="F73280" s="193"/>
    </row>
    <row r="73281" spans="6:6" x14ac:dyDescent="0.3">
      <c r="F73281" s="193"/>
    </row>
    <row r="73282" spans="6:6" x14ac:dyDescent="0.3">
      <c r="F73282" s="193"/>
    </row>
    <row r="73283" spans="6:6" x14ac:dyDescent="0.3">
      <c r="F73283" s="193"/>
    </row>
    <row r="73284" spans="6:6" x14ac:dyDescent="0.3">
      <c r="F73284" s="193"/>
    </row>
    <row r="73285" spans="6:6" x14ac:dyDescent="0.3">
      <c r="F73285" s="193"/>
    </row>
    <row r="73286" spans="6:6" x14ac:dyDescent="0.3">
      <c r="F73286" s="193"/>
    </row>
    <row r="73287" spans="6:6" x14ac:dyDescent="0.3">
      <c r="F73287" s="193"/>
    </row>
    <row r="73288" spans="6:6" x14ac:dyDescent="0.3">
      <c r="F73288" s="193"/>
    </row>
    <row r="73289" spans="6:6" x14ac:dyDescent="0.3">
      <c r="F73289" s="193"/>
    </row>
    <row r="73290" spans="6:6" x14ac:dyDescent="0.3">
      <c r="F73290" s="193"/>
    </row>
    <row r="73291" spans="6:6" x14ac:dyDescent="0.3">
      <c r="F73291" s="193"/>
    </row>
    <row r="73292" spans="6:6" x14ac:dyDescent="0.3">
      <c r="F73292" s="193"/>
    </row>
    <row r="73293" spans="6:6" x14ac:dyDescent="0.3">
      <c r="F73293" s="193"/>
    </row>
    <row r="73294" spans="6:6" x14ac:dyDescent="0.3">
      <c r="F73294" s="193"/>
    </row>
    <row r="73295" spans="6:6" x14ac:dyDescent="0.3">
      <c r="F73295" s="193"/>
    </row>
    <row r="73296" spans="6:6" x14ac:dyDescent="0.3">
      <c r="F73296" s="193"/>
    </row>
    <row r="73297" spans="6:6" x14ac:dyDescent="0.3">
      <c r="F73297" s="193"/>
    </row>
    <row r="73298" spans="6:6" x14ac:dyDescent="0.3">
      <c r="F73298" s="193"/>
    </row>
    <row r="73299" spans="6:6" x14ac:dyDescent="0.3">
      <c r="F73299" s="193"/>
    </row>
    <row r="73300" spans="6:6" x14ac:dyDescent="0.3">
      <c r="F73300" s="193"/>
    </row>
    <row r="73301" spans="6:6" x14ac:dyDescent="0.3">
      <c r="F73301" s="193"/>
    </row>
    <row r="73302" spans="6:6" x14ac:dyDescent="0.3">
      <c r="F73302" s="193"/>
    </row>
    <row r="73303" spans="6:6" x14ac:dyDescent="0.3">
      <c r="F73303" s="193"/>
    </row>
    <row r="73304" spans="6:6" x14ac:dyDescent="0.3">
      <c r="F73304" s="193"/>
    </row>
    <row r="73305" spans="6:6" x14ac:dyDescent="0.3">
      <c r="F73305" s="193"/>
    </row>
    <row r="73306" spans="6:6" x14ac:dyDescent="0.3">
      <c r="F73306" s="193"/>
    </row>
    <row r="73307" spans="6:6" x14ac:dyDescent="0.3">
      <c r="F73307" s="193"/>
    </row>
    <row r="73308" spans="6:6" x14ac:dyDescent="0.3">
      <c r="F73308" s="193"/>
    </row>
    <row r="73309" spans="6:6" x14ac:dyDescent="0.3">
      <c r="F73309" s="193"/>
    </row>
    <row r="73310" spans="6:6" x14ac:dyDescent="0.3">
      <c r="F73310" s="193"/>
    </row>
    <row r="73311" spans="6:6" x14ac:dyDescent="0.3">
      <c r="F73311" s="193"/>
    </row>
    <row r="73312" spans="6:6" x14ac:dyDescent="0.3">
      <c r="F73312" s="193"/>
    </row>
    <row r="73313" spans="6:6" x14ac:dyDescent="0.3">
      <c r="F73313" s="193"/>
    </row>
    <row r="73314" spans="6:6" x14ac:dyDescent="0.3">
      <c r="F73314" s="193"/>
    </row>
    <row r="73315" spans="6:6" x14ac:dyDescent="0.3">
      <c r="F73315" s="193"/>
    </row>
    <row r="73316" spans="6:6" x14ac:dyDescent="0.3">
      <c r="F73316" s="193"/>
    </row>
    <row r="73317" spans="6:6" x14ac:dyDescent="0.3">
      <c r="F73317" s="193"/>
    </row>
    <row r="73318" spans="6:6" x14ac:dyDescent="0.3">
      <c r="F73318" s="193"/>
    </row>
    <row r="73319" spans="6:6" x14ac:dyDescent="0.3">
      <c r="F73319" s="193"/>
    </row>
    <row r="73320" spans="6:6" x14ac:dyDescent="0.3">
      <c r="F73320" s="193"/>
    </row>
    <row r="73321" spans="6:6" x14ac:dyDescent="0.3">
      <c r="F73321" s="193"/>
    </row>
    <row r="73322" spans="6:6" x14ac:dyDescent="0.3">
      <c r="F73322" s="193"/>
    </row>
    <row r="73323" spans="6:6" x14ac:dyDescent="0.3">
      <c r="F73323" s="193"/>
    </row>
    <row r="73324" spans="6:6" x14ac:dyDescent="0.3">
      <c r="F73324" s="193"/>
    </row>
    <row r="73325" spans="6:6" x14ac:dyDescent="0.3">
      <c r="F73325" s="193"/>
    </row>
    <row r="73326" spans="6:6" x14ac:dyDescent="0.3">
      <c r="F73326" s="193"/>
    </row>
    <row r="73327" spans="6:6" x14ac:dyDescent="0.3">
      <c r="F73327" s="193"/>
    </row>
    <row r="73328" spans="6:6" x14ac:dyDescent="0.3">
      <c r="F73328" s="193"/>
    </row>
    <row r="73329" spans="6:6" x14ac:dyDescent="0.3">
      <c r="F73329" s="193"/>
    </row>
    <row r="73330" spans="6:6" x14ac:dyDescent="0.3">
      <c r="F73330" s="193"/>
    </row>
    <row r="73331" spans="6:6" x14ac:dyDescent="0.3">
      <c r="F73331" s="193"/>
    </row>
    <row r="73332" spans="6:6" x14ac:dyDescent="0.3">
      <c r="F73332" s="193"/>
    </row>
    <row r="73333" spans="6:6" x14ac:dyDescent="0.3">
      <c r="F73333" s="193"/>
    </row>
    <row r="73334" spans="6:6" x14ac:dyDescent="0.3">
      <c r="F73334" s="193"/>
    </row>
    <row r="73335" spans="6:6" x14ac:dyDescent="0.3">
      <c r="F73335" s="193"/>
    </row>
    <row r="73336" spans="6:6" x14ac:dyDescent="0.3">
      <c r="F73336" s="193"/>
    </row>
    <row r="73337" spans="6:6" x14ac:dyDescent="0.3">
      <c r="F73337" s="193"/>
    </row>
    <row r="73338" spans="6:6" x14ac:dyDescent="0.3">
      <c r="F73338" s="193"/>
    </row>
    <row r="73339" spans="6:6" x14ac:dyDescent="0.3">
      <c r="F73339" s="193"/>
    </row>
    <row r="73340" spans="6:6" x14ac:dyDescent="0.3">
      <c r="F73340" s="193"/>
    </row>
    <row r="73341" spans="6:6" x14ac:dyDescent="0.3">
      <c r="F73341" s="193"/>
    </row>
    <row r="73342" spans="6:6" x14ac:dyDescent="0.3">
      <c r="F73342" s="193"/>
    </row>
    <row r="73343" spans="6:6" x14ac:dyDescent="0.3">
      <c r="F73343" s="193"/>
    </row>
    <row r="73344" spans="6:6" x14ac:dyDescent="0.3">
      <c r="F73344" s="193"/>
    </row>
    <row r="73345" spans="6:6" x14ac:dyDescent="0.3">
      <c r="F73345" s="193"/>
    </row>
    <row r="73346" spans="6:6" x14ac:dyDescent="0.3">
      <c r="F73346" s="193"/>
    </row>
    <row r="73347" spans="6:6" x14ac:dyDescent="0.3">
      <c r="F73347" s="193"/>
    </row>
    <row r="73348" spans="6:6" x14ac:dyDescent="0.3">
      <c r="F73348" s="193"/>
    </row>
    <row r="73349" spans="6:6" x14ac:dyDescent="0.3">
      <c r="F73349" s="193"/>
    </row>
    <row r="73350" spans="6:6" x14ac:dyDescent="0.3">
      <c r="F73350" s="193"/>
    </row>
    <row r="73351" spans="6:6" x14ac:dyDescent="0.3">
      <c r="F73351" s="193"/>
    </row>
    <row r="73352" spans="6:6" x14ac:dyDescent="0.3">
      <c r="F73352" s="193"/>
    </row>
    <row r="73353" spans="6:6" x14ac:dyDescent="0.3">
      <c r="F73353" s="193"/>
    </row>
    <row r="73354" spans="6:6" x14ac:dyDescent="0.3">
      <c r="F73354" s="193"/>
    </row>
    <row r="73355" spans="6:6" x14ac:dyDescent="0.3">
      <c r="F73355" s="193"/>
    </row>
    <row r="73356" spans="6:6" x14ac:dyDescent="0.3">
      <c r="F73356" s="193"/>
    </row>
    <row r="73357" spans="6:6" x14ac:dyDescent="0.3">
      <c r="F73357" s="193"/>
    </row>
    <row r="73358" spans="6:6" x14ac:dyDescent="0.3">
      <c r="F73358" s="193"/>
    </row>
    <row r="73359" spans="6:6" x14ac:dyDescent="0.3">
      <c r="F73359" s="193"/>
    </row>
    <row r="73360" spans="6:6" x14ac:dyDescent="0.3">
      <c r="F73360" s="193"/>
    </row>
    <row r="73361" spans="6:6" x14ac:dyDescent="0.3">
      <c r="F73361" s="193"/>
    </row>
    <row r="73362" spans="6:6" x14ac:dyDescent="0.3">
      <c r="F73362" s="193"/>
    </row>
    <row r="73363" spans="6:6" x14ac:dyDescent="0.3">
      <c r="F73363" s="193"/>
    </row>
    <row r="73364" spans="6:6" x14ac:dyDescent="0.3">
      <c r="F73364" s="193"/>
    </row>
    <row r="73365" spans="6:6" x14ac:dyDescent="0.3">
      <c r="F73365" s="193"/>
    </row>
    <row r="73366" spans="6:6" x14ac:dyDescent="0.3">
      <c r="F73366" s="193"/>
    </row>
    <row r="73367" spans="6:6" x14ac:dyDescent="0.3">
      <c r="F73367" s="193"/>
    </row>
    <row r="73368" spans="6:6" x14ac:dyDescent="0.3">
      <c r="F73368" s="193"/>
    </row>
    <row r="73369" spans="6:6" x14ac:dyDescent="0.3">
      <c r="F73369" s="193"/>
    </row>
    <row r="73370" spans="6:6" x14ac:dyDescent="0.3">
      <c r="F73370" s="193"/>
    </row>
    <row r="73371" spans="6:6" x14ac:dyDescent="0.3">
      <c r="F73371" s="193"/>
    </row>
    <row r="73372" spans="6:6" x14ac:dyDescent="0.3">
      <c r="F73372" s="193"/>
    </row>
    <row r="73373" spans="6:6" x14ac:dyDescent="0.3">
      <c r="F73373" s="193"/>
    </row>
    <row r="73374" spans="6:6" x14ac:dyDescent="0.3">
      <c r="F73374" s="193"/>
    </row>
    <row r="73375" spans="6:6" x14ac:dyDescent="0.3">
      <c r="F73375" s="193"/>
    </row>
    <row r="73376" spans="6:6" x14ac:dyDescent="0.3">
      <c r="F73376" s="193"/>
    </row>
    <row r="73377" spans="6:6" x14ac:dyDescent="0.3">
      <c r="F73377" s="193"/>
    </row>
    <row r="73378" spans="6:6" x14ac:dyDescent="0.3">
      <c r="F73378" s="193"/>
    </row>
    <row r="73379" spans="6:6" x14ac:dyDescent="0.3">
      <c r="F73379" s="193"/>
    </row>
    <row r="73380" spans="6:6" x14ac:dyDescent="0.3">
      <c r="F73380" s="193"/>
    </row>
    <row r="73381" spans="6:6" x14ac:dyDescent="0.3">
      <c r="F73381" s="193"/>
    </row>
    <row r="73382" spans="6:6" x14ac:dyDescent="0.3">
      <c r="F73382" s="193"/>
    </row>
    <row r="73383" spans="6:6" x14ac:dyDescent="0.3">
      <c r="F73383" s="193"/>
    </row>
    <row r="73384" spans="6:6" x14ac:dyDescent="0.3">
      <c r="F73384" s="193"/>
    </row>
    <row r="73385" spans="6:6" x14ac:dyDescent="0.3">
      <c r="F73385" s="193"/>
    </row>
    <row r="73386" spans="6:6" x14ac:dyDescent="0.3">
      <c r="F73386" s="193"/>
    </row>
    <row r="73387" spans="6:6" x14ac:dyDescent="0.3">
      <c r="F73387" s="193"/>
    </row>
    <row r="73388" spans="6:6" x14ac:dyDescent="0.3">
      <c r="F73388" s="193"/>
    </row>
    <row r="73389" spans="6:6" x14ac:dyDescent="0.3">
      <c r="F73389" s="193"/>
    </row>
    <row r="73390" spans="6:6" x14ac:dyDescent="0.3">
      <c r="F73390" s="193"/>
    </row>
    <row r="73391" spans="6:6" x14ac:dyDescent="0.3">
      <c r="F73391" s="193"/>
    </row>
    <row r="73392" spans="6:6" x14ac:dyDescent="0.3">
      <c r="F73392" s="193"/>
    </row>
    <row r="73393" spans="6:6" x14ac:dyDescent="0.3">
      <c r="F73393" s="193"/>
    </row>
    <row r="73394" spans="6:6" x14ac:dyDescent="0.3">
      <c r="F73394" s="193"/>
    </row>
    <row r="73395" spans="6:6" x14ac:dyDescent="0.3">
      <c r="F73395" s="193"/>
    </row>
    <row r="73396" spans="6:6" x14ac:dyDescent="0.3">
      <c r="F73396" s="193"/>
    </row>
    <row r="73397" spans="6:6" x14ac:dyDescent="0.3">
      <c r="F73397" s="193"/>
    </row>
    <row r="73398" spans="6:6" x14ac:dyDescent="0.3">
      <c r="F73398" s="193"/>
    </row>
    <row r="73399" spans="6:6" x14ac:dyDescent="0.3">
      <c r="F73399" s="193"/>
    </row>
    <row r="73400" spans="6:6" x14ac:dyDescent="0.3">
      <c r="F73400" s="193"/>
    </row>
    <row r="73401" spans="6:6" x14ac:dyDescent="0.3">
      <c r="F73401" s="193"/>
    </row>
    <row r="73402" spans="6:6" x14ac:dyDescent="0.3">
      <c r="F73402" s="193"/>
    </row>
    <row r="73403" spans="6:6" x14ac:dyDescent="0.3">
      <c r="F73403" s="193"/>
    </row>
    <row r="73404" spans="6:6" x14ac:dyDescent="0.3">
      <c r="F73404" s="193"/>
    </row>
    <row r="73405" spans="6:6" x14ac:dyDescent="0.3">
      <c r="F73405" s="193"/>
    </row>
    <row r="73406" spans="6:6" x14ac:dyDescent="0.3">
      <c r="F73406" s="193"/>
    </row>
    <row r="73407" spans="6:6" x14ac:dyDescent="0.3">
      <c r="F73407" s="193"/>
    </row>
    <row r="73408" spans="6:6" x14ac:dyDescent="0.3">
      <c r="F73408" s="193"/>
    </row>
    <row r="73409" spans="6:6" x14ac:dyDescent="0.3">
      <c r="F73409" s="193"/>
    </row>
    <row r="73410" spans="6:6" x14ac:dyDescent="0.3">
      <c r="F73410" s="193"/>
    </row>
    <row r="73411" spans="6:6" x14ac:dyDescent="0.3">
      <c r="F73411" s="193"/>
    </row>
    <row r="73412" spans="6:6" x14ac:dyDescent="0.3">
      <c r="F73412" s="193"/>
    </row>
    <row r="73413" spans="6:6" x14ac:dyDescent="0.3">
      <c r="F73413" s="193"/>
    </row>
    <row r="73414" spans="6:6" x14ac:dyDescent="0.3">
      <c r="F73414" s="193"/>
    </row>
    <row r="73415" spans="6:6" x14ac:dyDescent="0.3">
      <c r="F73415" s="193"/>
    </row>
    <row r="73416" spans="6:6" x14ac:dyDescent="0.3">
      <c r="F73416" s="193"/>
    </row>
    <row r="73417" spans="6:6" x14ac:dyDescent="0.3">
      <c r="F73417" s="193"/>
    </row>
    <row r="73418" spans="6:6" x14ac:dyDescent="0.3">
      <c r="F73418" s="193"/>
    </row>
    <row r="73419" spans="6:6" x14ac:dyDescent="0.3">
      <c r="F73419" s="193"/>
    </row>
    <row r="73420" spans="6:6" x14ac:dyDescent="0.3">
      <c r="F73420" s="193"/>
    </row>
    <row r="73421" spans="6:6" x14ac:dyDescent="0.3">
      <c r="F73421" s="193"/>
    </row>
    <row r="73422" spans="6:6" x14ac:dyDescent="0.3">
      <c r="F73422" s="193"/>
    </row>
    <row r="73423" spans="6:6" x14ac:dyDescent="0.3">
      <c r="F73423" s="193"/>
    </row>
    <row r="73424" spans="6:6" x14ac:dyDescent="0.3">
      <c r="F73424" s="193"/>
    </row>
    <row r="73425" spans="6:6" x14ac:dyDescent="0.3">
      <c r="F73425" s="193"/>
    </row>
    <row r="73426" spans="6:6" x14ac:dyDescent="0.3">
      <c r="F73426" s="193"/>
    </row>
    <row r="73427" spans="6:6" x14ac:dyDescent="0.3">
      <c r="F73427" s="193"/>
    </row>
    <row r="73428" spans="6:6" x14ac:dyDescent="0.3">
      <c r="F73428" s="193"/>
    </row>
    <row r="73429" spans="6:6" x14ac:dyDescent="0.3">
      <c r="F73429" s="193"/>
    </row>
    <row r="73430" spans="6:6" x14ac:dyDescent="0.3">
      <c r="F73430" s="193"/>
    </row>
    <row r="73431" spans="6:6" x14ac:dyDescent="0.3">
      <c r="F73431" s="193"/>
    </row>
    <row r="73432" spans="6:6" x14ac:dyDescent="0.3">
      <c r="F73432" s="193"/>
    </row>
    <row r="73433" spans="6:6" x14ac:dyDescent="0.3">
      <c r="F73433" s="193"/>
    </row>
    <row r="73434" spans="6:6" x14ac:dyDescent="0.3">
      <c r="F73434" s="193"/>
    </row>
    <row r="73435" spans="6:6" x14ac:dyDescent="0.3">
      <c r="F73435" s="193"/>
    </row>
    <row r="73436" spans="6:6" x14ac:dyDescent="0.3">
      <c r="F73436" s="193"/>
    </row>
    <row r="73437" spans="6:6" x14ac:dyDescent="0.3">
      <c r="F73437" s="193"/>
    </row>
    <row r="73438" spans="6:6" x14ac:dyDescent="0.3">
      <c r="F73438" s="193"/>
    </row>
    <row r="73439" spans="6:6" x14ac:dyDescent="0.3">
      <c r="F73439" s="193"/>
    </row>
    <row r="73440" spans="6:6" x14ac:dyDescent="0.3">
      <c r="F73440" s="193"/>
    </row>
    <row r="73441" spans="6:6" x14ac:dyDescent="0.3">
      <c r="F73441" s="193"/>
    </row>
    <row r="73442" spans="6:6" x14ac:dyDescent="0.3">
      <c r="F73442" s="193"/>
    </row>
    <row r="73443" spans="6:6" x14ac:dyDescent="0.3">
      <c r="F73443" s="193"/>
    </row>
    <row r="73444" spans="6:6" x14ac:dyDescent="0.3">
      <c r="F73444" s="193"/>
    </row>
    <row r="73445" spans="6:6" x14ac:dyDescent="0.3">
      <c r="F73445" s="193"/>
    </row>
    <row r="73446" spans="6:6" x14ac:dyDescent="0.3">
      <c r="F73446" s="193"/>
    </row>
    <row r="73447" spans="6:6" x14ac:dyDescent="0.3">
      <c r="F73447" s="193"/>
    </row>
    <row r="73448" spans="6:6" x14ac:dyDescent="0.3">
      <c r="F73448" s="193"/>
    </row>
    <row r="73449" spans="6:6" x14ac:dyDescent="0.3">
      <c r="F73449" s="193"/>
    </row>
    <row r="73450" spans="6:6" x14ac:dyDescent="0.3">
      <c r="F73450" s="193"/>
    </row>
    <row r="73451" spans="6:6" x14ac:dyDescent="0.3">
      <c r="F73451" s="193"/>
    </row>
    <row r="73452" spans="6:6" x14ac:dyDescent="0.3">
      <c r="F73452" s="193"/>
    </row>
    <row r="73453" spans="6:6" x14ac:dyDescent="0.3">
      <c r="F73453" s="193"/>
    </row>
    <row r="73454" spans="6:6" x14ac:dyDescent="0.3">
      <c r="F73454" s="193"/>
    </row>
    <row r="73455" spans="6:6" x14ac:dyDescent="0.3">
      <c r="F73455" s="193"/>
    </row>
    <row r="73456" spans="6:6" x14ac:dyDescent="0.3">
      <c r="F73456" s="193"/>
    </row>
    <row r="73457" spans="6:6" x14ac:dyDescent="0.3">
      <c r="F73457" s="193"/>
    </row>
    <row r="73458" spans="6:6" x14ac:dyDescent="0.3">
      <c r="F73458" s="193"/>
    </row>
    <row r="73459" spans="6:6" x14ac:dyDescent="0.3">
      <c r="F73459" s="193"/>
    </row>
    <row r="73460" spans="6:6" x14ac:dyDescent="0.3">
      <c r="F73460" s="193"/>
    </row>
    <row r="73461" spans="6:6" x14ac:dyDescent="0.3">
      <c r="F73461" s="193"/>
    </row>
    <row r="73462" spans="6:6" x14ac:dyDescent="0.3">
      <c r="F73462" s="193"/>
    </row>
    <row r="73463" spans="6:6" x14ac:dyDescent="0.3">
      <c r="F73463" s="193"/>
    </row>
    <row r="73464" spans="6:6" x14ac:dyDescent="0.3">
      <c r="F73464" s="193"/>
    </row>
    <row r="73465" spans="6:6" x14ac:dyDescent="0.3">
      <c r="F73465" s="193"/>
    </row>
    <row r="73466" spans="6:6" x14ac:dyDescent="0.3">
      <c r="F73466" s="193"/>
    </row>
    <row r="73467" spans="6:6" x14ac:dyDescent="0.3">
      <c r="F73467" s="193"/>
    </row>
    <row r="73468" spans="6:6" x14ac:dyDescent="0.3">
      <c r="F73468" s="193"/>
    </row>
    <row r="73469" spans="6:6" x14ac:dyDescent="0.3">
      <c r="F73469" s="193"/>
    </row>
    <row r="73470" spans="6:6" x14ac:dyDescent="0.3">
      <c r="F73470" s="193"/>
    </row>
    <row r="73471" spans="6:6" x14ac:dyDescent="0.3">
      <c r="F73471" s="193"/>
    </row>
    <row r="73472" spans="6:6" x14ac:dyDescent="0.3">
      <c r="F73472" s="193"/>
    </row>
    <row r="73473" spans="6:6" x14ac:dyDescent="0.3">
      <c r="F73473" s="193"/>
    </row>
    <row r="73474" spans="6:6" x14ac:dyDescent="0.3">
      <c r="F73474" s="193"/>
    </row>
    <row r="73475" spans="6:6" x14ac:dyDescent="0.3">
      <c r="F73475" s="193"/>
    </row>
    <row r="73476" spans="6:6" x14ac:dyDescent="0.3">
      <c r="F73476" s="193"/>
    </row>
    <row r="73477" spans="6:6" x14ac:dyDescent="0.3">
      <c r="F73477" s="193"/>
    </row>
    <row r="73478" spans="6:6" x14ac:dyDescent="0.3">
      <c r="F73478" s="193"/>
    </row>
    <row r="73479" spans="6:6" x14ac:dyDescent="0.3">
      <c r="F73479" s="193"/>
    </row>
    <row r="73480" spans="6:6" x14ac:dyDescent="0.3">
      <c r="F73480" s="193"/>
    </row>
    <row r="73481" spans="6:6" x14ac:dyDescent="0.3">
      <c r="F73481" s="193"/>
    </row>
    <row r="73482" spans="6:6" x14ac:dyDescent="0.3">
      <c r="F73482" s="193"/>
    </row>
    <row r="73483" spans="6:6" x14ac:dyDescent="0.3">
      <c r="F73483" s="193"/>
    </row>
    <row r="73484" spans="6:6" x14ac:dyDescent="0.3">
      <c r="F73484" s="193"/>
    </row>
    <row r="73485" spans="6:6" x14ac:dyDescent="0.3">
      <c r="F73485" s="193"/>
    </row>
    <row r="73486" spans="6:6" x14ac:dyDescent="0.3">
      <c r="F73486" s="193"/>
    </row>
    <row r="73487" spans="6:6" x14ac:dyDescent="0.3">
      <c r="F73487" s="193"/>
    </row>
    <row r="73488" spans="6:6" x14ac:dyDescent="0.3">
      <c r="F73488" s="193"/>
    </row>
    <row r="73489" spans="6:6" x14ac:dyDescent="0.3">
      <c r="F73489" s="193"/>
    </row>
    <row r="73490" spans="6:6" x14ac:dyDescent="0.3">
      <c r="F73490" s="193"/>
    </row>
    <row r="73491" spans="6:6" x14ac:dyDescent="0.3">
      <c r="F73491" s="193"/>
    </row>
    <row r="73492" spans="6:6" x14ac:dyDescent="0.3">
      <c r="F73492" s="193"/>
    </row>
    <row r="73493" spans="6:6" x14ac:dyDescent="0.3">
      <c r="F73493" s="193"/>
    </row>
    <row r="73494" spans="6:6" x14ac:dyDescent="0.3">
      <c r="F73494" s="193"/>
    </row>
    <row r="73495" spans="6:6" x14ac:dyDescent="0.3">
      <c r="F73495" s="193"/>
    </row>
    <row r="73496" spans="6:6" x14ac:dyDescent="0.3">
      <c r="F73496" s="193"/>
    </row>
    <row r="73497" spans="6:6" x14ac:dyDescent="0.3">
      <c r="F73497" s="193"/>
    </row>
    <row r="73498" spans="6:6" x14ac:dyDescent="0.3">
      <c r="F73498" s="193"/>
    </row>
    <row r="73499" spans="6:6" x14ac:dyDescent="0.3">
      <c r="F73499" s="193"/>
    </row>
    <row r="73500" spans="6:6" x14ac:dyDescent="0.3">
      <c r="F73500" s="193"/>
    </row>
    <row r="73501" spans="6:6" x14ac:dyDescent="0.3">
      <c r="F73501" s="193"/>
    </row>
    <row r="73502" spans="6:6" x14ac:dyDescent="0.3">
      <c r="F73502" s="193"/>
    </row>
    <row r="73503" spans="6:6" x14ac:dyDescent="0.3">
      <c r="F73503" s="193"/>
    </row>
    <row r="73504" spans="6:6" x14ac:dyDescent="0.3">
      <c r="F73504" s="193"/>
    </row>
    <row r="73505" spans="6:6" x14ac:dyDescent="0.3">
      <c r="F73505" s="193"/>
    </row>
    <row r="73506" spans="6:6" x14ac:dyDescent="0.3">
      <c r="F73506" s="193"/>
    </row>
    <row r="73507" spans="6:6" x14ac:dyDescent="0.3">
      <c r="F73507" s="193"/>
    </row>
    <row r="73508" spans="6:6" x14ac:dyDescent="0.3">
      <c r="F73508" s="193"/>
    </row>
    <row r="73509" spans="6:6" x14ac:dyDescent="0.3">
      <c r="F73509" s="193"/>
    </row>
    <row r="73510" spans="6:6" x14ac:dyDescent="0.3">
      <c r="F73510" s="193"/>
    </row>
    <row r="73511" spans="6:6" x14ac:dyDescent="0.3">
      <c r="F73511" s="193"/>
    </row>
    <row r="73512" spans="6:6" x14ac:dyDescent="0.3">
      <c r="F73512" s="193"/>
    </row>
    <row r="73513" spans="6:6" x14ac:dyDescent="0.3">
      <c r="F73513" s="193"/>
    </row>
    <row r="73514" spans="6:6" x14ac:dyDescent="0.3">
      <c r="F73514" s="193"/>
    </row>
    <row r="73515" spans="6:6" x14ac:dyDescent="0.3">
      <c r="F73515" s="193"/>
    </row>
    <row r="73516" spans="6:6" x14ac:dyDescent="0.3">
      <c r="F73516" s="193"/>
    </row>
    <row r="73517" spans="6:6" x14ac:dyDescent="0.3">
      <c r="F73517" s="193"/>
    </row>
    <row r="73518" spans="6:6" x14ac:dyDescent="0.3">
      <c r="F73518" s="193"/>
    </row>
    <row r="73519" spans="6:6" x14ac:dyDescent="0.3">
      <c r="F73519" s="193"/>
    </row>
    <row r="73520" spans="6:6" x14ac:dyDescent="0.3">
      <c r="F73520" s="193"/>
    </row>
    <row r="73521" spans="6:6" x14ac:dyDescent="0.3">
      <c r="F73521" s="193"/>
    </row>
    <row r="73522" spans="6:6" x14ac:dyDescent="0.3">
      <c r="F73522" s="193"/>
    </row>
    <row r="73523" spans="6:6" x14ac:dyDescent="0.3">
      <c r="F73523" s="193"/>
    </row>
    <row r="73524" spans="6:6" x14ac:dyDescent="0.3">
      <c r="F73524" s="193"/>
    </row>
    <row r="73525" spans="6:6" x14ac:dyDescent="0.3">
      <c r="F73525" s="193"/>
    </row>
    <row r="73526" spans="6:6" x14ac:dyDescent="0.3">
      <c r="F73526" s="193"/>
    </row>
    <row r="73527" spans="6:6" x14ac:dyDescent="0.3">
      <c r="F73527" s="193"/>
    </row>
    <row r="73528" spans="6:6" x14ac:dyDescent="0.3">
      <c r="F73528" s="193"/>
    </row>
    <row r="73529" spans="6:6" x14ac:dyDescent="0.3">
      <c r="F73529" s="193"/>
    </row>
    <row r="73530" spans="6:6" x14ac:dyDescent="0.3">
      <c r="F73530" s="193"/>
    </row>
    <row r="73531" spans="6:6" x14ac:dyDescent="0.3">
      <c r="F73531" s="193"/>
    </row>
    <row r="73532" spans="6:6" x14ac:dyDescent="0.3">
      <c r="F73532" s="193"/>
    </row>
    <row r="73533" spans="6:6" x14ac:dyDescent="0.3">
      <c r="F73533" s="193"/>
    </row>
    <row r="73534" spans="6:6" x14ac:dyDescent="0.3">
      <c r="F73534" s="193"/>
    </row>
    <row r="73535" spans="6:6" x14ac:dyDescent="0.3">
      <c r="F73535" s="193"/>
    </row>
    <row r="73536" spans="6:6" x14ac:dyDescent="0.3">
      <c r="F73536" s="193"/>
    </row>
    <row r="73537" spans="6:6" x14ac:dyDescent="0.3">
      <c r="F73537" s="193"/>
    </row>
    <row r="73538" spans="6:6" x14ac:dyDescent="0.3">
      <c r="F73538" s="193"/>
    </row>
    <row r="73539" spans="6:6" x14ac:dyDescent="0.3">
      <c r="F73539" s="193"/>
    </row>
    <row r="73540" spans="6:6" x14ac:dyDescent="0.3">
      <c r="F73540" s="193"/>
    </row>
    <row r="73541" spans="6:6" x14ac:dyDescent="0.3">
      <c r="F73541" s="193"/>
    </row>
    <row r="73542" spans="6:6" x14ac:dyDescent="0.3">
      <c r="F73542" s="193"/>
    </row>
    <row r="73543" spans="6:6" x14ac:dyDescent="0.3">
      <c r="F73543" s="193"/>
    </row>
    <row r="73544" spans="6:6" x14ac:dyDescent="0.3">
      <c r="F73544" s="193"/>
    </row>
    <row r="73545" spans="6:6" x14ac:dyDescent="0.3">
      <c r="F73545" s="193"/>
    </row>
    <row r="73546" spans="6:6" x14ac:dyDescent="0.3">
      <c r="F73546" s="193"/>
    </row>
    <row r="73547" spans="6:6" x14ac:dyDescent="0.3">
      <c r="F73547" s="193"/>
    </row>
    <row r="73548" spans="6:6" x14ac:dyDescent="0.3">
      <c r="F73548" s="193"/>
    </row>
    <row r="73549" spans="6:6" x14ac:dyDescent="0.3">
      <c r="F73549" s="193"/>
    </row>
    <row r="73550" spans="6:6" x14ac:dyDescent="0.3">
      <c r="F73550" s="193"/>
    </row>
    <row r="73551" spans="6:6" x14ac:dyDescent="0.3">
      <c r="F73551" s="193"/>
    </row>
    <row r="73552" spans="6:6" x14ac:dyDescent="0.3">
      <c r="F73552" s="193"/>
    </row>
    <row r="73553" spans="6:6" x14ac:dyDescent="0.3">
      <c r="F73553" s="193"/>
    </row>
    <row r="73554" spans="6:6" x14ac:dyDescent="0.3">
      <c r="F73554" s="193"/>
    </row>
    <row r="73555" spans="6:6" x14ac:dyDescent="0.3">
      <c r="F73555" s="193"/>
    </row>
    <row r="73556" spans="6:6" x14ac:dyDescent="0.3">
      <c r="F73556" s="193"/>
    </row>
    <row r="73557" spans="6:6" x14ac:dyDescent="0.3">
      <c r="F73557" s="193"/>
    </row>
    <row r="73558" spans="6:6" x14ac:dyDescent="0.3">
      <c r="F73558" s="193"/>
    </row>
    <row r="73559" spans="6:6" x14ac:dyDescent="0.3">
      <c r="F73559" s="193"/>
    </row>
    <row r="73560" spans="6:6" x14ac:dyDescent="0.3">
      <c r="F73560" s="193"/>
    </row>
    <row r="73561" spans="6:6" x14ac:dyDescent="0.3">
      <c r="F73561" s="193"/>
    </row>
    <row r="73562" spans="6:6" x14ac:dyDescent="0.3">
      <c r="F73562" s="193"/>
    </row>
    <row r="73563" spans="6:6" x14ac:dyDescent="0.3">
      <c r="F73563" s="193"/>
    </row>
    <row r="73564" spans="6:6" x14ac:dyDescent="0.3">
      <c r="F73564" s="193"/>
    </row>
    <row r="73565" spans="6:6" x14ac:dyDescent="0.3">
      <c r="F73565" s="193"/>
    </row>
    <row r="73566" spans="6:6" x14ac:dyDescent="0.3">
      <c r="F73566" s="193"/>
    </row>
    <row r="73567" spans="6:6" x14ac:dyDescent="0.3">
      <c r="F73567" s="193"/>
    </row>
    <row r="73568" spans="6:6" x14ac:dyDescent="0.3">
      <c r="F73568" s="193"/>
    </row>
    <row r="73569" spans="6:6" x14ac:dyDescent="0.3">
      <c r="F73569" s="193"/>
    </row>
    <row r="73570" spans="6:6" x14ac:dyDescent="0.3">
      <c r="F73570" s="193"/>
    </row>
    <row r="73571" spans="6:6" x14ac:dyDescent="0.3">
      <c r="F73571" s="193"/>
    </row>
    <row r="73572" spans="6:6" x14ac:dyDescent="0.3">
      <c r="F73572" s="193"/>
    </row>
    <row r="73573" spans="6:6" x14ac:dyDescent="0.3">
      <c r="F73573" s="193"/>
    </row>
    <row r="73574" spans="6:6" x14ac:dyDescent="0.3">
      <c r="F73574" s="193"/>
    </row>
    <row r="73575" spans="6:6" x14ac:dyDescent="0.3">
      <c r="F73575" s="193"/>
    </row>
    <row r="73576" spans="6:6" x14ac:dyDescent="0.3">
      <c r="F73576" s="193"/>
    </row>
    <row r="73577" spans="6:6" x14ac:dyDescent="0.3">
      <c r="F73577" s="193"/>
    </row>
    <row r="73578" spans="6:6" x14ac:dyDescent="0.3">
      <c r="F73578" s="193"/>
    </row>
    <row r="73579" spans="6:6" x14ac:dyDescent="0.3">
      <c r="F73579" s="193"/>
    </row>
    <row r="73580" spans="6:6" x14ac:dyDescent="0.3">
      <c r="F73580" s="193"/>
    </row>
    <row r="73581" spans="6:6" x14ac:dyDescent="0.3">
      <c r="F73581" s="193"/>
    </row>
    <row r="73582" spans="6:6" x14ac:dyDescent="0.3">
      <c r="F73582" s="193"/>
    </row>
    <row r="73583" spans="6:6" x14ac:dyDescent="0.3">
      <c r="F73583" s="193"/>
    </row>
    <row r="73584" spans="6:6" x14ac:dyDescent="0.3">
      <c r="F73584" s="193"/>
    </row>
    <row r="73585" spans="6:6" x14ac:dyDescent="0.3">
      <c r="F73585" s="193"/>
    </row>
    <row r="73586" spans="6:6" x14ac:dyDescent="0.3">
      <c r="F73586" s="193"/>
    </row>
    <row r="73587" spans="6:6" x14ac:dyDescent="0.3">
      <c r="F73587" s="193"/>
    </row>
    <row r="73588" spans="6:6" x14ac:dyDescent="0.3">
      <c r="F73588" s="193"/>
    </row>
    <row r="73589" spans="6:6" x14ac:dyDescent="0.3">
      <c r="F73589" s="193"/>
    </row>
    <row r="73590" spans="6:6" x14ac:dyDescent="0.3">
      <c r="F73590" s="193"/>
    </row>
    <row r="73591" spans="6:6" x14ac:dyDescent="0.3">
      <c r="F73591" s="193"/>
    </row>
    <row r="73592" spans="6:6" x14ac:dyDescent="0.3">
      <c r="F73592" s="193"/>
    </row>
    <row r="73593" spans="6:6" x14ac:dyDescent="0.3">
      <c r="F73593" s="193"/>
    </row>
    <row r="73594" spans="6:6" x14ac:dyDescent="0.3">
      <c r="F73594" s="193"/>
    </row>
    <row r="73595" spans="6:6" x14ac:dyDescent="0.3">
      <c r="F73595" s="193"/>
    </row>
    <row r="73596" spans="6:6" x14ac:dyDescent="0.3">
      <c r="F73596" s="193"/>
    </row>
    <row r="73597" spans="6:6" x14ac:dyDescent="0.3">
      <c r="F73597" s="193"/>
    </row>
    <row r="73598" spans="6:6" x14ac:dyDescent="0.3">
      <c r="F73598" s="193"/>
    </row>
    <row r="73599" spans="6:6" x14ac:dyDescent="0.3">
      <c r="F73599" s="193"/>
    </row>
    <row r="73600" spans="6:6" x14ac:dyDescent="0.3">
      <c r="F73600" s="193"/>
    </row>
    <row r="73601" spans="6:6" x14ac:dyDescent="0.3">
      <c r="F73601" s="193"/>
    </row>
    <row r="73602" spans="6:6" x14ac:dyDescent="0.3">
      <c r="F73602" s="193"/>
    </row>
    <row r="73603" spans="6:6" x14ac:dyDescent="0.3">
      <c r="F73603" s="193"/>
    </row>
    <row r="73604" spans="6:6" x14ac:dyDescent="0.3">
      <c r="F73604" s="193"/>
    </row>
    <row r="73605" spans="6:6" x14ac:dyDescent="0.3">
      <c r="F73605" s="193"/>
    </row>
    <row r="73606" spans="6:6" x14ac:dyDescent="0.3">
      <c r="F73606" s="193"/>
    </row>
    <row r="73607" spans="6:6" x14ac:dyDescent="0.3">
      <c r="F73607" s="193"/>
    </row>
    <row r="73608" spans="6:6" x14ac:dyDescent="0.3">
      <c r="F73608" s="193"/>
    </row>
    <row r="73609" spans="6:6" x14ac:dyDescent="0.3">
      <c r="F73609" s="193"/>
    </row>
    <row r="73610" spans="6:6" x14ac:dyDescent="0.3">
      <c r="F73610" s="193"/>
    </row>
    <row r="73611" spans="6:6" x14ac:dyDescent="0.3">
      <c r="F73611" s="193"/>
    </row>
    <row r="73612" spans="6:6" x14ac:dyDescent="0.3">
      <c r="F73612" s="193"/>
    </row>
    <row r="73613" spans="6:6" x14ac:dyDescent="0.3">
      <c r="F73613" s="193"/>
    </row>
    <row r="73614" spans="6:6" x14ac:dyDescent="0.3">
      <c r="F73614" s="193"/>
    </row>
    <row r="73615" spans="6:6" x14ac:dyDescent="0.3">
      <c r="F73615" s="193"/>
    </row>
    <row r="73616" spans="6:6" x14ac:dyDescent="0.3">
      <c r="F73616" s="193"/>
    </row>
    <row r="73617" spans="6:6" x14ac:dyDescent="0.3">
      <c r="F73617" s="193"/>
    </row>
    <row r="73618" spans="6:6" x14ac:dyDescent="0.3">
      <c r="F73618" s="193"/>
    </row>
    <row r="73619" spans="6:6" x14ac:dyDescent="0.3">
      <c r="F73619" s="193"/>
    </row>
    <row r="73620" spans="6:6" x14ac:dyDescent="0.3">
      <c r="F73620" s="193"/>
    </row>
    <row r="73621" spans="6:6" x14ac:dyDescent="0.3">
      <c r="F73621" s="193"/>
    </row>
    <row r="73622" spans="6:6" x14ac:dyDescent="0.3">
      <c r="F73622" s="193"/>
    </row>
    <row r="73623" spans="6:6" x14ac:dyDescent="0.3">
      <c r="F73623" s="193"/>
    </row>
    <row r="73624" spans="6:6" x14ac:dyDescent="0.3">
      <c r="F73624" s="193"/>
    </row>
    <row r="73625" spans="6:6" x14ac:dyDescent="0.3">
      <c r="F73625" s="193"/>
    </row>
    <row r="73626" spans="6:6" x14ac:dyDescent="0.3">
      <c r="F73626" s="193"/>
    </row>
    <row r="73627" spans="6:6" x14ac:dyDescent="0.3">
      <c r="F73627" s="193"/>
    </row>
    <row r="73628" spans="6:6" x14ac:dyDescent="0.3">
      <c r="F73628" s="193"/>
    </row>
    <row r="73629" spans="6:6" x14ac:dyDescent="0.3">
      <c r="F73629" s="193"/>
    </row>
    <row r="73630" spans="6:6" x14ac:dyDescent="0.3">
      <c r="F73630" s="193"/>
    </row>
    <row r="73631" spans="6:6" x14ac:dyDescent="0.3">
      <c r="F73631" s="193"/>
    </row>
    <row r="73632" spans="6:6" x14ac:dyDescent="0.3">
      <c r="F73632" s="193"/>
    </row>
    <row r="73633" spans="6:6" x14ac:dyDescent="0.3">
      <c r="F73633" s="193"/>
    </row>
    <row r="73634" spans="6:6" x14ac:dyDescent="0.3">
      <c r="F73634" s="193"/>
    </row>
    <row r="73635" spans="6:6" x14ac:dyDescent="0.3">
      <c r="F73635" s="193"/>
    </row>
    <row r="73636" spans="6:6" x14ac:dyDescent="0.3">
      <c r="F73636" s="193"/>
    </row>
    <row r="73637" spans="6:6" x14ac:dyDescent="0.3">
      <c r="F73637" s="193"/>
    </row>
    <row r="73638" spans="6:6" x14ac:dyDescent="0.3">
      <c r="F73638" s="193"/>
    </row>
    <row r="73639" spans="6:6" x14ac:dyDescent="0.3">
      <c r="F73639" s="193"/>
    </row>
    <row r="73640" spans="6:6" x14ac:dyDescent="0.3">
      <c r="F73640" s="193"/>
    </row>
    <row r="73641" spans="6:6" x14ac:dyDescent="0.3">
      <c r="F73641" s="193"/>
    </row>
    <row r="73642" spans="6:6" x14ac:dyDescent="0.3">
      <c r="F73642" s="193"/>
    </row>
    <row r="73643" spans="6:6" x14ac:dyDescent="0.3">
      <c r="F73643" s="193"/>
    </row>
    <row r="73644" spans="6:6" x14ac:dyDescent="0.3">
      <c r="F73644" s="193"/>
    </row>
    <row r="73645" spans="6:6" x14ac:dyDescent="0.3">
      <c r="F73645" s="193"/>
    </row>
    <row r="73646" spans="6:6" x14ac:dyDescent="0.3">
      <c r="F73646" s="193"/>
    </row>
    <row r="73647" spans="6:6" x14ac:dyDescent="0.3">
      <c r="F73647" s="193"/>
    </row>
    <row r="73648" spans="6:6" x14ac:dyDescent="0.3">
      <c r="F73648" s="193"/>
    </row>
    <row r="73649" spans="6:6" x14ac:dyDescent="0.3">
      <c r="F73649" s="193"/>
    </row>
    <row r="73650" spans="6:6" x14ac:dyDescent="0.3">
      <c r="F73650" s="193"/>
    </row>
    <row r="73651" spans="6:6" x14ac:dyDescent="0.3">
      <c r="F73651" s="193"/>
    </row>
    <row r="73652" spans="6:6" x14ac:dyDescent="0.3">
      <c r="F73652" s="193"/>
    </row>
    <row r="73653" spans="6:6" x14ac:dyDescent="0.3">
      <c r="F73653" s="193"/>
    </row>
    <row r="73654" spans="6:6" x14ac:dyDescent="0.3">
      <c r="F73654" s="193"/>
    </row>
    <row r="73655" spans="6:6" x14ac:dyDescent="0.3">
      <c r="F73655" s="193"/>
    </row>
    <row r="73656" spans="6:6" x14ac:dyDescent="0.3">
      <c r="F73656" s="193"/>
    </row>
    <row r="73657" spans="6:6" x14ac:dyDescent="0.3">
      <c r="F73657" s="193"/>
    </row>
    <row r="73658" spans="6:6" x14ac:dyDescent="0.3">
      <c r="F73658" s="193"/>
    </row>
    <row r="73659" spans="6:6" x14ac:dyDescent="0.3">
      <c r="F73659" s="193"/>
    </row>
    <row r="73660" spans="6:6" x14ac:dyDescent="0.3">
      <c r="F73660" s="193"/>
    </row>
    <row r="73661" spans="6:6" x14ac:dyDescent="0.3">
      <c r="F73661" s="193"/>
    </row>
    <row r="73662" spans="6:6" x14ac:dyDescent="0.3">
      <c r="F73662" s="193"/>
    </row>
    <row r="73663" spans="6:6" x14ac:dyDescent="0.3">
      <c r="F73663" s="193"/>
    </row>
    <row r="73664" spans="6:6" x14ac:dyDescent="0.3">
      <c r="F73664" s="193"/>
    </row>
    <row r="73665" spans="6:6" x14ac:dyDescent="0.3">
      <c r="F73665" s="193"/>
    </row>
    <row r="73666" spans="6:6" x14ac:dyDescent="0.3">
      <c r="F73666" s="193"/>
    </row>
    <row r="73667" spans="6:6" x14ac:dyDescent="0.3">
      <c r="F73667" s="193"/>
    </row>
    <row r="73668" spans="6:6" x14ac:dyDescent="0.3">
      <c r="F73668" s="193"/>
    </row>
    <row r="73669" spans="6:6" x14ac:dyDescent="0.3">
      <c r="F73669" s="193"/>
    </row>
    <row r="73670" spans="6:6" x14ac:dyDescent="0.3">
      <c r="F73670" s="193"/>
    </row>
    <row r="73671" spans="6:6" x14ac:dyDescent="0.3">
      <c r="F73671" s="193"/>
    </row>
    <row r="73672" spans="6:6" x14ac:dyDescent="0.3">
      <c r="F73672" s="193"/>
    </row>
    <row r="73673" spans="6:6" x14ac:dyDescent="0.3">
      <c r="F73673" s="193"/>
    </row>
    <row r="73674" spans="6:6" x14ac:dyDescent="0.3">
      <c r="F73674" s="193"/>
    </row>
    <row r="73675" spans="6:6" x14ac:dyDescent="0.3">
      <c r="F73675" s="193"/>
    </row>
    <row r="73676" spans="6:6" x14ac:dyDescent="0.3">
      <c r="F73676" s="193"/>
    </row>
    <row r="73677" spans="6:6" x14ac:dyDescent="0.3">
      <c r="F73677" s="193"/>
    </row>
    <row r="73678" spans="6:6" x14ac:dyDescent="0.3">
      <c r="F73678" s="193"/>
    </row>
    <row r="73679" spans="6:6" x14ac:dyDescent="0.3">
      <c r="F73679" s="193"/>
    </row>
    <row r="73680" spans="6:6" x14ac:dyDescent="0.3">
      <c r="F73680" s="193"/>
    </row>
    <row r="73681" spans="6:6" x14ac:dyDescent="0.3">
      <c r="F73681" s="193"/>
    </row>
    <row r="73682" spans="6:6" x14ac:dyDescent="0.3">
      <c r="F73682" s="193"/>
    </row>
    <row r="73683" spans="6:6" x14ac:dyDescent="0.3">
      <c r="F73683" s="193"/>
    </row>
    <row r="73684" spans="6:6" x14ac:dyDescent="0.3">
      <c r="F73684" s="193"/>
    </row>
    <row r="73685" spans="6:6" x14ac:dyDescent="0.3">
      <c r="F73685" s="193"/>
    </row>
    <row r="73686" spans="6:6" x14ac:dyDescent="0.3">
      <c r="F73686" s="193"/>
    </row>
    <row r="73687" spans="6:6" x14ac:dyDescent="0.3">
      <c r="F73687" s="193"/>
    </row>
    <row r="73688" spans="6:6" x14ac:dyDescent="0.3">
      <c r="F73688" s="193"/>
    </row>
    <row r="73689" spans="6:6" x14ac:dyDescent="0.3">
      <c r="F73689" s="193"/>
    </row>
    <row r="73690" spans="6:6" x14ac:dyDescent="0.3">
      <c r="F73690" s="193"/>
    </row>
    <row r="73691" spans="6:6" x14ac:dyDescent="0.3">
      <c r="F73691" s="193"/>
    </row>
    <row r="73692" spans="6:6" x14ac:dyDescent="0.3">
      <c r="F73692" s="193"/>
    </row>
    <row r="73693" spans="6:6" x14ac:dyDescent="0.3">
      <c r="F73693" s="193"/>
    </row>
    <row r="73694" spans="6:6" x14ac:dyDescent="0.3">
      <c r="F73694" s="193"/>
    </row>
    <row r="73695" spans="6:6" x14ac:dyDescent="0.3">
      <c r="F73695" s="193"/>
    </row>
    <row r="73696" spans="6:6" x14ac:dyDescent="0.3">
      <c r="F73696" s="193"/>
    </row>
    <row r="73697" spans="6:6" x14ac:dyDescent="0.3">
      <c r="F73697" s="193"/>
    </row>
    <row r="73698" spans="6:6" x14ac:dyDescent="0.3">
      <c r="F73698" s="193"/>
    </row>
    <row r="73699" spans="6:6" x14ac:dyDescent="0.3">
      <c r="F73699" s="193"/>
    </row>
    <row r="73700" spans="6:6" x14ac:dyDescent="0.3">
      <c r="F73700" s="193"/>
    </row>
    <row r="73701" spans="6:6" x14ac:dyDescent="0.3">
      <c r="F73701" s="193"/>
    </row>
    <row r="73702" spans="6:6" x14ac:dyDescent="0.3">
      <c r="F73702" s="193"/>
    </row>
    <row r="73703" spans="6:6" x14ac:dyDescent="0.3">
      <c r="F73703" s="193"/>
    </row>
    <row r="73704" spans="6:6" x14ac:dyDescent="0.3">
      <c r="F73704" s="193"/>
    </row>
    <row r="73705" spans="6:6" x14ac:dyDescent="0.3">
      <c r="F73705" s="193"/>
    </row>
    <row r="73706" spans="6:6" x14ac:dyDescent="0.3">
      <c r="F73706" s="193"/>
    </row>
    <row r="73707" spans="6:6" x14ac:dyDescent="0.3">
      <c r="F73707" s="193"/>
    </row>
    <row r="73708" spans="6:6" x14ac:dyDescent="0.3">
      <c r="F73708" s="193"/>
    </row>
    <row r="73709" spans="6:6" x14ac:dyDescent="0.3">
      <c r="F73709" s="193"/>
    </row>
    <row r="73710" spans="6:6" x14ac:dyDescent="0.3">
      <c r="F73710" s="193"/>
    </row>
    <row r="73711" spans="6:6" x14ac:dyDescent="0.3">
      <c r="F73711" s="193"/>
    </row>
    <row r="73712" spans="6:6" x14ac:dyDescent="0.3">
      <c r="F73712" s="193"/>
    </row>
    <row r="73713" spans="6:6" x14ac:dyDescent="0.3">
      <c r="F73713" s="193"/>
    </row>
    <row r="73714" spans="6:6" x14ac:dyDescent="0.3">
      <c r="F73714" s="193"/>
    </row>
    <row r="73715" spans="6:6" x14ac:dyDescent="0.3">
      <c r="F73715" s="193"/>
    </row>
    <row r="73716" spans="6:6" x14ac:dyDescent="0.3">
      <c r="F73716" s="193"/>
    </row>
    <row r="73717" spans="6:6" x14ac:dyDescent="0.3">
      <c r="F73717" s="193"/>
    </row>
    <row r="73718" spans="6:6" x14ac:dyDescent="0.3">
      <c r="F73718" s="193"/>
    </row>
    <row r="73719" spans="6:6" x14ac:dyDescent="0.3">
      <c r="F73719" s="193"/>
    </row>
    <row r="73720" spans="6:6" x14ac:dyDescent="0.3">
      <c r="F73720" s="193"/>
    </row>
    <row r="73721" spans="6:6" x14ac:dyDescent="0.3">
      <c r="F73721" s="193"/>
    </row>
    <row r="73722" spans="6:6" x14ac:dyDescent="0.3">
      <c r="F73722" s="193"/>
    </row>
    <row r="73723" spans="6:6" x14ac:dyDescent="0.3">
      <c r="F73723" s="193"/>
    </row>
    <row r="73724" spans="6:6" x14ac:dyDescent="0.3">
      <c r="F73724" s="193"/>
    </row>
    <row r="73725" spans="6:6" x14ac:dyDescent="0.3">
      <c r="F73725" s="193"/>
    </row>
    <row r="73726" spans="6:6" x14ac:dyDescent="0.3">
      <c r="F73726" s="193"/>
    </row>
    <row r="73727" spans="6:6" x14ac:dyDescent="0.3">
      <c r="F73727" s="193"/>
    </row>
    <row r="73728" spans="6:6" x14ac:dyDescent="0.3">
      <c r="F73728" s="193"/>
    </row>
    <row r="73729" spans="6:6" x14ac:dyDescent="0.3">
      <c r="F73729" s="193"/>
    </row>
    <row r="73730" spans="6:6" x14ac:dyDescent="0.3">
      <c r="F73730" s="193"/>
    </row>
    <row r="73731" spans="6:6" x14ac:dyDescent="0.3">
      <c r="F73731" s="193"/>
    </row>
    <row r="73732" spans="6:6" x14ac:dyDescent="0.3">
      <c r="F73732" s="193"/>
    </row>
    <row r="73733" spans="6:6" x14ac:dyDescent="0.3">
      <c r="F73733" s="193"/>
    </row>
    <row r="73734" spans="6:6" x14ac:dyDescent="0.3">
      <c r="F73734" s="193"/>
    </row>
    <row r="73735" spans="6:6" x14ac:dyDescent="0.3">
      <c r="F73735" s="193"/>
    </row>
    <row r="73736" spans="6:6" x14ac:dyDescent="0.3">
      <c r="F73736" s="193"/>
    </row>
    <row r="73737" spans="6:6" x14ac:dyDescent="0.3">
      <c r="F73737" s="193"/>
    </row>
    <row r="73738" spans="6:6" x14ac:dyDescent="0.3">
      <c r="F73738" s="193"/>
    </row>
    <row r="73739" spans="6:6" x14ac:dyDescent="0.3">
      <c r="F73739" s="193"/>
    </row>
    <row r="73740" spans="6:6" x14ac:dyDescent="0.3">
      <c r="F73740" s="193"/>
    </row>
    <row r="73741" spans="6:6" x14ac:dyDescent="0.3">
      <c r="F73741" s="193"/>
    </row>
    <row r="73742" spans="6:6" x14ac:dyDescent="0.3">
      <c r="F73742" s="193"/>
    </row>
    <row r="73743" spans="6:6" x14ac:dyDescent="0.3">
      <c r="F73743" s="193"/>
    </row>
    <row r="73744" spans="6:6" x14ac:dyDescent="0.3">
      <c r="F73744" s="193"/>
    </row>
    <row r="73745" spans="6:6" x14ac:dyDescent="0.3">
      <c r="F73745" s="193"/>
    </row>
    <row r="73746" spans="6:6" x14ac:dyDescent="0.3">
      <c r="F73746" s="193"/>
    </row>
    <row r="73747" spans="6:6" x14ac:dyDescent="0.3">
      <c r="F73747" s="193"/>
    </row>
    <row r="73748" spans="6:6" x14ac:dyDescent="0.3">
      <c r="F73748" s="193"/>
    </row>
    <row r="73749" spans="6:6" x14ac:dyDescent="0.3">
      <c r="F73749" s="193"/>
    </row>
    <row r="73750" spans="6:6" x14ac:dyDescent="0.3">
      <c r="F73750" s="193"/>
    </row>
    <row r="73751" spans="6:6" x14ac:dyDescent="0.3">
      <c r="F73751" s="193"/>
    </row>
    <row r="73752" spans="6:6" x14ac:dyDescent="0.3">
      <c r="F73752" s="193"/>
    </row>
    <row r="73753" spans="6:6" x14ac:dyDescent="0.3">
      <c r="F73753" s="193"/>
    </row>
    <row r="73754" spans="6:6" x14ac:dyDescent="0.3">
      <c r="F73754" s="193"/>
    </row>
    <row r="73755" spans="6:6" x14ac:dyDescent="0.3">
      <c r="F73755" s="193"/>
    </row>
    <row r="73756" spans="6:6" x14ac:dyDescent="0.3">
      <c r="F73756" s="193"/>
    </row>
    <row r="73757" spans="6:6" x14ac:dyDescent="0.3">
      <c r="F73757" s="193"/>
    </row>
    <row r="73758" spans="6:6" x14ac:dyDescent="0.3">
      <c r="F73758" s="193"/>
    </row>
    <row r="73759" spans="6:6" x14ac:dyDescent="0.3">
      <c r="F73759" s="193"/>
    </row>
    <row r="73760" spans="6:6" x14ac:dyDescent="0.3">
      <c r="F73760" s="193"/>
    </row>
    <row r="73761" spans="6:6" x14ac:dyDescent="0.3">
      <c r="F73761" s="193"/>
    </row>
    <row r="73762" spans="6:6" x14ac:dyDescent="0.3">
      <c r="F73762" s="193"/>
    </row>
    <row r="73763" spans="6:6" x14ac:dyDescent="0.3">
      <c r="F73763" s="193"/>
    </row>
    <row r="73764" spans="6:6" x14ac:dyDescent="0.3">
      <c r="F73764" s="193"/>
    </row>
    <row r="73765" spans="6:6" x14ac:dyDescent="0.3">
      <c r="F73765" s="193"/>
    </row>
    <row r="73766" spans="6:6" x14ac:dyDescent="0.3">
      <c r="F73766" s="193"/>
    </row>
    <row r="73767" spans="6:6" x14ac:dyDescent="0.3">
      <c r="F73767" s="193"/>
    </row>
    <row r="73768" spans="6:6" x14ac:dyDescent="0.3">
      <c r="F73768" s="193"/>
    </row>
    <row r="73769" spans="6:6" x14ac:dyDescent="0.3">
      <c r="F73769" s="193"/>
    </row>
    <row r="73770" spans="6:6" x14ac:dyDescent="0.3">
      <c r="F73770" s="193"/>
    </row>
    <row r="73771" spans="6:6" x14ac:dyDescent="0.3">
      <c r="F73771" s="193"/>
    </row>
    <row r="73772" spans="6:6" x14ac:dyDescent="0.3">
      <c r="F73772" s="193"/>
    </row>
    <row r="73773" spans="6:6" x14ac:dyDescent="0.3">
      <c r="F73773" s="193"/>
    </row>
    <row r="73774" spans="6:6" x14ac:dyDescent="0.3">
      <c r="F73774" s="193"/>
    </row>
    <row r="73775" spans="6:6" x14ac:dyDescent="0.3">
      <c r="F73775" s="193"/>
    </row>
    <row r="73776" spans="6:6" x14ac:dyDescent="0.3">
      <c r="F73776" s="193"/>
    </row>
    <row r="73777" spans="6:6" x14ac:dyDescent="0.3">
      <c r="F73777" s="193"/>
    </row>
    <row r="73778" spans="6:6" x14ac:dyDescent="0.3">
      <c r="F73778" s="193"/>
    </row>
    <row r="73779" spans="6:6" x14ac:dyDescent="0.3">
      <c r="F73779" s="193"/>
    </row>
    <row r="73780" spans="6:6" x14ac:dyDescent="0.3">
      <c r="F73780" s="193"/>
    </row>
    <row r="73781" spans="6:6" x14ac:dyDescent="0.3">
      <c r="F73781" s="193"/>
    </row>
    <row r="73782" spans="6:6" x14ac:dyDescent="0.3">
      <c r="F73782" s="193"/>
    </row>
    <row r="73783" spans="6:6" x14ac:dyDescent="0.3">
      <c r="F73783" s="193"/>
    </row>
    <row r="73784" spans="6:6" x14ac:dyDescent="0.3">
      <c r="F73784" s="193"/>
    </row>
    <row r="73785" spans="6:6" x14ac:dyDescent="0.3">
      <c r="F73785" s="193"/>
    </row>
    <row r="73786" spans="6:6" x14ac:dyDescent="0.3">
      <c r="F73786" s="193"/>
    </row>
    <row r="73787" spans="6:6" x14ac:dyDescent="0.3">
      <c r="F73787" s="193"/>
    </row>
    <row r="73788" spans="6:6" x14ac:dyDescent="0.3">
      <c r="F73788" s="193"/>
    </row>
    <row r="73789" spans="6:6" x14ac:dyDescent="0.3">
      <c r="F73789" s="193"/>
    </row>
    <row r="73790" spans="6:6" x14ac:dyDescent="0.3">
      <c r="F73790" s="193"/>
    </row>
    <row r="73791" spans="6:6" x14ac:dyDescent="0.3">
      <c r="F73791" s="193"/>
    </row>
    <row r="73792" spans="6:6" x14ac:dyDescent="0.3">
      <c r="F73792" s="193"/>
    </row>
    <row r="73793" spans="6:6" x14ac:dyDescent="0.3">
      <c r="F73793" s="193"/>
    </row>
    <row r="73794" spans="6:6" x14ac:dyDescent="0.3">
      <c r="F73794" s="193"/>
    </row>
    <row r="73795" spans="6:6" x14ac:dyDescent="0.3">
      <c r="F73795" s="193"/>
    </row>
    <row r="73796" spans="6:6" x14ac:dyDescent="0.3">
      <c r="F73796" s="193"/>
    </row>
    <row r="73797" spans="6:6" x14ac:dyDescent="0.3">
      <c r="F73797" s="193"/>
    </row>
    <row r="73798" spans="6:6" x14ac:dyDescent="0.3">
      <c r="F73798" s="193"/>
    </row>
    <row r="73799" spans="6:6" x14ac:dyDescent="0.3">
      <c r="F73799" s="193"/>
    </row>
    <row r="73800" spans="6:6" x14ac:dyDescent="0.3">
      <c r="F73800" s="193"/>
    </row>
    <row r="73801" spans="6:6" x14ac:dyDescent="0.3">
      <c r="F73801" s="193"/>
    </row>
    <row r="73802" spans="6:6" x14ac:dyDescent="0.3">
      <c r="F73802" s="193"/>
    </row>
    <row r="73803" spans="6:6" x14ac:dyDescent="0.3">
      <c r="F73803" s="193"/>
    </row>
    <row r="73804" spans="6:6" x14ac:dyDescent="0.3">
      <c r="F73804" s="193"/>
    </row>
    <row r="73805" spans="6:6" x14ac:dyDescent="0.3">
      <c r="F73805" s="193"/>
    </row>
    <row r="73806" spans="6:6" x14ac:dyDescent="0.3">
      <c r="F73806" s="193"/>
    </row>
    <row r="73807" spans="6:6" x14ac:dyDescent="0.3">
      <c r="F73807" s="193"/>
    </row>
    <row r="73808" spans="6:6" x14ac:dyDescent="0.3">
      <c r="F73808" s="193"/>
    </row>
    <row r="73809" spans="6:6" x14ac:dyDescent="0.3">
      <c r="F73809" s="193"/>
    </row>
    <row r="73810" spans="6:6" x14ac:dyDescent="0.3">
      <c r="F73810" s="193"/>
    </row>
    <row r="73811" spans="6:6" x14ac:dyDescent="0.3">
      <c r="F73811" s="193"/>
    </row>
    <row r="73812" spans="6:6" x14ac:dyDescent="0.3">
      <c r="F73812" s="193"/>
    </row>
    <row r="73813" spans="6:6" x14ac:dyDescent="0.3">
      <c r="F73813" s="193"/>
    </row>
    <row r="73814" spans="6:6" x14ac:dyDescent="0.3">
      <c r="F73814" s="193"/>
    </row>
    <row r="73815" spans="6:6" x14ac:dyDescent="0.3">
      <c r="F73815" s="193"/>
    </row>
    <row r="73816" spans="6:6" x14ac:dyDescent="0.3">
      <c r="F73816" s="193"/>
    </row>
    <row r="73817" spans="6:6" x14ac:dyDescent="0.3">
      <c r="F73817" s="193"/>
    </row>
    <row r="73818" spans="6:6" x14ac:dyDescent="0.3">
      <c r="F73818" s="193"/>
    </row>
    <row r="73819" spans="6:6" x14ac:dyDescent="0.3">
      <c r="F73819" s="193"/>
    </row>
    <row r="73820" spans="6:6" x14ac:dyDescent="0.3">
      <c r="F73820" s="193"/>
    </row>
    <row r="73821" spans="6:6" x14ac:dyDescent="0.3">
      <c r="F73821" s="193"/>
    </row>
    <row r="73822" spans="6:6" x14ac:dyDescent="0.3">
      <c r="F73822" s="193"/>
    </row>
    <row r="73823" spans="6:6" x14ac:dyDescent="0.3">
      <c r="F73823" s="193"/>
    </row>
    <row r="73824" spans="6:6" x14ac:dyDescent="0.3">
      <c r="F73824" s="193"/>
    </row>
    <row r="73825" spans="6:6" x14ac:dyDescent="0.3">
      <c r="F73825" s="193"/>
    </row>
    <row r="73826" spans="6:6" x14ac:dyDescent="0.3">
      <c r="F73826" s="193"/>
    </row>
    <row r="73827" spans="6:6" x14ac:dyDescent="0.3">
      <c r="F73827" s="193"/>
    </row>
    <row r="73828" spans="6:6" x14ac:dyDescent="0.3">
      <c r="F73828" s="193"/>
    </row>
    <row r="73829" spans="6:6" x14ac:dyDescent="0.3">
      <c r="F73829" s="193"/>
    </row>
    <row r="73830" spans="6:6" x14ac:dyDescent="0.3">
      <c r="F73830" s="193"/>
    </row>
    <row r="73831" spans="6:6" x14ac:dyDescent="0.3">
      <c r="F73831" s="193"/>
    </row>
    <row r="73832" spans="6:6" x14ac:dyDescent="0.3">
      <c r="F73832" s="193"/>
    </row>
    <row r="73833" spans="6:6" x14ac:dyDescent="0.3">
      <c r="F73833" s="193"/>
    </row>
    <row r="73834" spans="6:6" x14ac:dyDescent="0.3">
      <c r="F73834" s="193"/>
    </row>
    <row r="73835" spans="6:6" x14ac:dyDescent="0.3">
      <c r="F73835" s="193"/>
    </row>
    <row r="73836" spans="6:6" x14ac:dyDescent="0.3">
      <c r="F73836" s="193"/>
    </row>
    <row r="73837" spans="6:6" x14ac:dyDescent="0.3">
      <c r="F73837" s="193"/>
    </row>
    <row r="73838" spans="6:6" x14ac:dyDescent="0.3">
      <c r="F73838" s="193"/>
    </row>
    <row r="73839" spans="6:6" x14ac:dyDescent="0.3">
      <c r="F73839" s="193"/>
    </row>
    <row r="73840" spans="6:6" x14ac:dyDescent="0.3">
      <c r="F73840" s="193"/>
    </row>
    <row r="73841" spans="6:6" x14ac:dyDescent="0.3">
      <c r="F73841" s="193"/>
    </row>
    <row r="73842" spans="6:6" x14ac:dyDescent="0.3">
      <c r="F73842" s="193"/>
    </row>
    <row r="73843" spans="6:6" x14ac:dyDescent="0.3">
      <c r="F73843" s="193"/>
    </row>
    <row r="73844" spans="6:6" x14ac:dyDescent="0.3">
      <c r="F73844" s="193"/>
    </row>
    <row r="73845" spans="6:6" x14ac:dyDescent="0.3">
      <c r="F73845" s="193"/>
    </row>
    <row r="73846" spans="6:6" x14ac:dyDescent="0.3">
      <c r="F73846" s="193"/>
    </row>
    <row r="73847" spans="6:6" x14ac:dyDescent="0.3">
      <c r="F73847" s="193"/>
    </row>
    <row r="73848" spans="6:6" x14ac:dyDescent="0.3">
      <c r="F73848" s="193"/>
    </row>
    <row r="73849" spans="6:6" x14ac:dyDescent="0.3">
      <c r="F73849" s="193"/>
    </row>
    <row r="73850" spans="6:6" x14ac:dyDescent="0.3">
      <c r="F73850" s="193"/>
    </row>
    <row r="73851" spans="6:6" x14ac:dyDescent="0.3">
      <c r="F73851" s="193"/>
    </row>
    <row r="73852" spans="6:6" x14ac:dyDescent="0.3">
      <c r="F73852" s="193"/>
    </row>
    <row r="73853" spans="6:6" x14ac:dyDescent="0.3">
      <c r="F73853" s="193"/>
    </row>
    <row r="73854" spans="6:6" x14ac:dyDescent="0.3">
      <c r="F73854" s="193"/>
    </row>
    <row r="73855" spans="6:6" x14ac:dyDescent="0.3">
      <c r="F73855" s="193"/>
    </row>
    <row r="73856" spans="6:6" x14ac:dyDescent="0.3">
      <c r="F73856" s="193"/>
    </row>
    <row r="73857" spans="6:6" x14ac:dyDescent="0.3">
      <c r="F73857" s="193"/>
    </row>
    <row r="73858" spans="6:6" x14ac:dyDescent="0.3">
      <c r="F73858" s="193"/>
    </row>
    <row r="73859" spans="6:6" x14ac:dyDescent="0.3">
      <c r="F73859" s="193"/>
    </row>
    <row r="73860" spans="6:6" x14ac:dyDescent="0.3">
      <c r="F73860" s="193"/>
    </row>
    <row r="73861" spans="6:6" x14ac:dyDescent="0.3">
      <c r="F73861" s="193"/>
    </row>
    <row r="73862" spans="6:6" x14ac:dyDescent="0.3">
      <c r="F73862" s="193"/>
    </row>
    <row r="73863" spans="6:6" x14ac:dyDescent="0.3">
      <c r="F73863" s="193"/>
    </row>
    <row r="73864" spans="6:6" x14ac:dyDescent="0.3">
      <c r="F73864" s="193"/>
    </row>
    <row r="73865" spans="6:6" x14ac:dyDescent="0.3">
      <c r="F73865" s="193"/>
    </row>
    <row r="73866" spans="6:6" x14ac:dyDescent="0.3">
      <c r="F73866" s="193"/>
    </row>
    <row r="73867" spans="6:6" x14ac:dyDescent="0.3">
      <c r="F73867" s="193"/>
    </row>
    <row r="73868" spans="6:6" x14ac:dyDescent="0.3">
      <c r="F73868" s="193"/>
    </row>
    <row r="73869" spans="6:6" x14ac:dyDescent="0.3">
      <c r="F73869" s="193"/>
    </row>
    <row r="73870" spans="6:6" x14ac:dyDescent="0.3">
      <c r="F73870" s="193"/>
    </row>
    <row r="73871" spans="6:6" x14ac:dyDescent="0.3">
      <c r="F73871" s="193"/>
    </row>
    <row r="73872" spans="6:6" x14ac:dyDescent="0.3">
      <c r="F73872" s="193"/>
    </row>
    <row r="73873" spans="6:6" x14ac:dyDescent="0.3">
      <c r="F73873" s="193"/>
    </row>
    <row r="73874" spans="6:6" x14ac:dyDescent="0.3">
      <c r="F73874" s="193"/>
    </row>
    <row r="73875" spans="6:6" x14ac:dyDescent="0.3">
      <c r="F73875" s="193"/>
    </row>
    <row r="73876" spans="6:6" x14ac:dyDescent="0.3">
      <c r="F73876" s="193"/>
    </row>
    <row r="73877" spans="6:6" x14ac:dyDescent="0.3">
      <c r="F73877" s="193"/>
    </row>
    <row r="73878" spans="6:6" x14ac:dyDescent="0.3">
      <c r="F73878" s="193"/>
    </row>
    <row r="73879" spans="6:6" x14ac:dyDescent="0.3">
      <c r="F73879" s="193"/>
    </row>
    <row r="73880" spans="6:6" x14ac:dyDescent="0.3">
      <c r="F73880" s="193"/>
    </row>
    <row r="73881" spans="6:6" x14ac:dyDescent="0.3">
      <c r="F73881" s="193"/>
    </row>
    <row r="73882" spans="6:6" x14ac:dyDescent="0.3">
      <c r="F73882" s="193"/>
    </row>
    <row r="73883" spans="6:6" x14ac:dyDescent="0.3">
      <c r="F73883" s="193"/>
    </row>
    <row r="73884" spans="6:6" x14ac:dyDescent="0.3">
      <c r="F73884" s="193"/>
    </row>
    <row r="73885" spans="6:6" x14ac:dyDescent="0.3">
      <c r="F73885" s="193"/>
    </row>
    <row r="73886" spans="6:6" x14ac:dyDescent="0.3">
      <c r="F73886" s="193"/>
    </row>
    <row r="73887" spans="6:6" x14ac:dyDescent="0.3">
      <c r="F73887" s="193"/>
    </row>
    <row r="73888" spans="6:6" x14ac:dyDescent="0.3">
      <c r="F73888" s="193"/>
    </row>
    <row r="73889" spans="6:6" x14ac:dyDescent="0.3">
      <c r="F73889" s="193"/>
    </row>
    <row r="73890" spans="6:6" x14ac:dyDescent="0.3">
      <c r="F73890" s="193"/>
    </row>
    <row r="73891" spans="6:6" x14ac:dyDescent="0.3">
      <c r="F73891" s="193"/>
    </row>
    <row r="73892" spans="6:6" x14ac:dyDescent="0.3">
      <c r="F73892" s="193"/>
    </row>
    <row r="73893" spans="6:6" x14ac:dyDescent="0.3">
      <c r="F73893" s="193"/>
    </row>
    <row r="73894" spans="6:6" x14ac:dyDescent="0.3">
      <c r="F73894" s="193"/>
    </row>
    <row r="73895" spans="6:6" x14ac:dyDescent="0.3">
      <c r="F73895" s="193"/>
    </row>
    <row r="73896" spans="6:6" x14ac:dyDescent="0.3">
      <c r="F73896" s="193"/>
    </row>
    <row r="73897" spans="6:6" x14ac:dyDescent="0.3">
      <c r="F73897" s="193"/>
    </row>
    <row r="73898" spans="6:6" x14ac:dyDescent="0.3">
      <c r="F73898" s="193"/>
    </row>
    <row r="73899" spans="6:6" x14ac:dyDescent="0.3">
      <c r="F73899" s="193"/>
    </row>
    <row r="73900" spans="6:6" x14ac:dyDescent="0.3">
      <c r="F73900" s="193"/>
    </row>
    <row r="73901" spans="6:6" x14ac:dyDescent="0.3">
      <c r="F73901" s="193"/>
    </row>
    <row r="73902" spans="6:6" x14ac:dyDescent="0.3">
      <c r="F73902" s="193"/>
    </row>
    <row r="73903" spans="6:6" x14ac:dyDescent="0.3">
      <c r="F73903" s="193"/>
    </row>
    <row r="73904" spans="6:6" x14ac:dyDescent="0.3">
      <c r="F73904" s="193"/>
    </row>
    <row r="73905" spans="6:6" x14ac:dyDescent="0.3">
      <c r="F73905" s="193"/>
    </row>
    <row r="73906" spans="6:6" x14ac:dyDescent="0.3">
      <c r="F73906" s="193"/>
    </row>
    <row r="73907" spans="6:6" x14ac:dyDescent="0.3">
      <c r="F73907" s="193"/>
    </row>
    <row r="73908" spans="6:6" x14ac:dyDescent="0.3">
      <c r="F73908" s="193"/>
    </row>
    <row r="73909" spans="6:6" x14ac:dyDescent="0.3">
      <c r="F73909" s="193"/>
    </row>
    <row r="73910" spans="6:6" x14ac:dyDescent="0.3">
      <c r="F73910" s="193"/>
    </row>
    <row r="73911" spans="6:6" x14ac:dyDescent="0.3">
      <c r="F73911" s="193"/>
    </row>
    <row r="73912" spans="6:6" x14ac:dyDescent="0.3">
      <c r="F73912" s="193"/>
    </row>
    <row r="73913" spans="6:6" x14ac:dyDescent="0.3">
      <c r="F73913" s="193"/>
    </row>
    <row r="73914" spans="6:6" x14ac:dyDescent="0.3">
      <c r="F73914" s="193"/>
    </row>
    <row r="73915" spans="6:6" x14ac:dyDescent="0.3">
      <c r="F73915" s="193"/>
    </row>
    <row r="73916" spans="6:6" x14ac:dyDescent="0.3">
      <c r="F73916" s="193"/>
    </row>
    <row r="73917" spans="6:6" x14ac:dyDescent="0.3">
      <c r="F73917" s="193"/>
    </row>
    <row r="73918" spans="6:6" x14ac:dyDescent="0.3">
      <c r="F73918" s="193"/>
    </row>
    <row r="73919" spans="6:6" x14ac:dyDescent="0.3">
      <c r="F73919" s="193"/>
    </row>
    <row r="73920" spans="6:6" x14ac:dyDescent="0.3">
      <c r="F73920" s="193"/>
    </row>
    <row r="73921" spans="6:6" x14ac:dyDescent="0.3">
      <c r="F73921" s="193"/>
    </row>
    <row r="73922" spans="6:6" x14ac:dyDescent="0.3">
      <c r="F73922" s="193"/>
    </row>
    <row r="73923" spans="6:6" x14ac:dyDescent="0.3">
      <c r="F73923" s="193"/>
    </row>
    <row r="73924" spans="6:6" x14ac:dyDescent="0.3">
      <c r="F73924" s="193"/>
    </row>
    <row r="73925" spans="6:6" x14ac:dyDescent="0.3">
      <c r="F73925" s="193"/>
    </row>
    <row r="73926" spans="6:6" x14ac:dyDescent="0.3">
      <c r="F73926" s="193"/>
    </row>
    <row r="73927" spans="6:6" x14ac:dyDescent="0.3">
      <c r="F73927" s="193"/>
    </row>
    <row r="73928" spans="6:6" x14ac:dyDescent="0.3">
      <c r="F73928" s="193"/>
    </row>
    <row r="73929" spans="6:6" x14ac:dyDescent="0.3">
      <c r="F73929" s="193"/>
    </row>
    <row r="73930" spans="6:6" x14ac:dyDescent="0.3">
      <c r="F73930" s="193"/>
    </row>
    <row r="73931" spans="6:6" x14ac:dyDescent="0.3">
      <c r="F73931" s="193"/>
    </row>
    <row r="73932" spans="6:6" x14ac:dyDescent="0.3">
      <c r="F73932" s="193"/>
    </row>
    <row r="73933" spans="6:6" x14ac:dyDescent="0.3">
      <c r="F73933" s="193"/>
    </row>
    <row r="73934" spans="6:6" x14ac:dyDescent="0.3">
      <c r="F73934" s="193"/>
    </row>
    <row r="73935" spans="6:6" x14ac:dyDescent="0.3">
      <c r="F73935" s="193"/>
    </row>
    <row r="73936" spans="6:6" x14ac:dyDescent="0.3">
      <c r="F73936" s="193"/>
    </row>
    <row r="73937" spans="6:6" x14ac:dyDescent="0.3">
      <c r="F73937" s="193"/>
    </row>
    <row r="73938" spans="6:6" x14ac:dyDescent="0.3">
      <c r="F73938" s="193"/>
    </row>
    <row r="73939" spans="6:6" x14ac:dyDescent="0.3">
      <c r="F73939" s="193"/>
    </row>
    <row r="73940" spans="6:6" x14ac:dyDescent="0.3">
      <c r="F73940" s="193"/>
    </row>
    <row r="73941" spans="6:6" x14ac:dyDescent="0.3">
      <c r="F73941" s="193"/>
    </row>
    <row r="73942" spans="6:6" x14ac:dyDescent="0.3">
      <c r="F73942" s="193"/>
    </row>
    <row r="73943" spans="6:6" x14ac:dyDescent="0.3">
      <c r="F73943" s="193"/>
    </row>
    <row r="73944" spans="6:6" x14ac:dyDescent="0.3">
      <c r="F73944" s="193"/>
    </row>
    <row r="73945" spans="6:6" x14ac:dyDescent="0.3">
      <c r="F73945" s="193"/>
    </row>
    <row r="73946" spans="6:6" x14ac:dyDescent="0.3">
      <c r="F73946" s="193"/>
    </row>
    <row r="73947" spans="6:6" x14ac:dyDescent="0.3">
      <c r="F73947" s="193"/>
    </row>
    <row r="73948" spans="6:6" x14ac:dyDescent="0.3">
      <c r="F73948" s="193"/>
    </row>
    <row r="73949" spans="6:6" x14ac:dyDescent="0.3">
      <c r="F73949" s="193"/>
    </row>
    <row r="73950" spans="6:6" x14ac:dyDescent="0.3">
      <c r="F73950" s="193"/>
    </row>
    <row r="73951" spans="6:6" x14ac:dyDescent="0.3">
      <c r="F73951" s="193"/>
    </row>
    <row r="73952" spans="6:6" x14ac:dyDescent="0.3">
      <c r="F73952" s="193"/>
    </row>
    <row r="73953" spans="6:6" x14ac:dyDescent="0.3">
      <c r="F73953" s="193"/>
    </row>
    <row r="73954" spans="6:6" x14ac:dyDescent="0.3">
      <c r="F73954" s="193"/>
    </row>
    <row r="73955" spans="6:6" x14ac:dyDescent="0.3">
      <c r="F73955" s="193"/>
    </row>
    <row r="73956" spans="6:6" x14ac:dyDescent="0.3">
      <c r="F73956" s="193"/>
    </row>
    <row r="73957" spans="6:6" x14ac:dyDescent="0.3">
      <c r="F73957" s="193"/>
    </row>
    <row r="73958" spans="6:6" x14ac:dyDescent="0.3">
      <c r="F73958" s="193"/>
    </row>
    <row r="73959" spans="6:6" x14ac:dyDescent="0.3">
      <c r="F73959" s="193"/>
    </row>
    <row r="73960" spans="6:6" x14ac:dyDescent="0.3">
      <c r="F73960" s="193"/>
    </row>
    <row r="73961" spans="6:6" x14ac:dyDescent="0.3">
      <c r="F73961" s="193"/>
    </row>
    <row r="73962" spans="6:6" x14ac:dyDescent="0.3">
      <c r="F73962" s="193"/>
    </row>
    <row r="73963" spans="6:6" x14ac:dyDescent="0.3">
      <c r="F73963" s="193"/>
    </row>
    <row r="73964" spans="6:6" x14ac:dyDescent="0.3">
      <c r="F73964" s="193"/>
    </row>
    <row r="73965" spans="6:6" x14ac:dyDescent="0.3">
      <c r="F73965" s="193"/>
    </row>
    <row r="73966" spans="6:6" x14ac:dyDescent="0.3">
      <c r="F73966" s="193"/>
    </row>
    <row r="73967" spans="6:6" x14ac:dyDescent="0.3">
      <c r="F73967" s="193"/>
    </row>
    <row r="73968" spans="6:6" x14ac:dyDescent="0.3">
      <c r="F73968" s="193"/>
    </row>
    <row r="73969" spans="6:6" x14ac:dyDescent="0.3">
      <c r="F73969" s="193"/>
    </row>
    <row r="73970" spans="6:6" x14ac:dyDescent="0.3">
      <c r="F73970" s="193"/>
    </row>
    <row r="73971" spans="6:6" x14ac:dyDescent="0.3">
      <c r="F73971" s="193"/>
    </row>
    <row r="73972" spans="6:6" x14ac:dyDescent="0.3">
      <c r="F73972" s="193"/>
    </row>
    <row r="73973" spans="6:6" x14ac:dyDescent="0.3">
      <c r="F73973" s="193"/>
    </row>
    <row r="73974" spans="6:6" x14ac:dyDescent="0.3">
      <c r="F73974" s="193"/>
    </row>
    <row r="73975" spans="6:6" x14ac:dyDescent="0.3">
      <c r="F73975" s="193"/>
    </row>
    <row r="73976" spans="6:6" x14ac:dyDescent="0.3">
      <c r="F73976" s="193"/>
    </row>
    <row r="73977" spans="6:6" x14ac:dyDescent="0.3">
      <c r="F73977" s="193"/>
    </row>
    <row r="73978" spans="6:6" x14ac:dyDescent="0.3">
      <c r="F73978" s="193"/>
    </row>
    <row r="73979" spans="6:6" x14ac:dyDescent="0.3">
      <c r="F73979" s="193"/>
    </row>
    <row r="73980" spans="6:6" x14ac:dyDescent="0.3">
      <c r="F73980" s="193"/>
    </row>
    <row r="73981" spans="6:6" x14ac:dyDescent="0.3">
      <c r="F73981" s="193"/>
    </row>
    <row r="73982" spans="6:6" x14ac:dyDescent="0.3">
      <c r="F73982" s="193"/>
    </row>
    <row r="73983" spans="6:6" x14ac:dyDescent="0.3">
      <c r="F73983" s="193"/>
    </row>
    <row r="73984" spans="6:6" x14ac:dyDescent="0.3">
      <c r="F73984" s="193"/>
    </row>
    <row r="73985" spans="6:6" x14ac:dyDescent="0.3">
      <c r="F73985" s="193"/>
    </row>
    <row r="73986" spans="6:6" x14ac:dyDescent="0.3">
      <c r="F73986" s="193"/>
    </row>
    <row r="73987" spans="6:6" x14ac:dyDescent="0.3">
      <c r="F73987" s="193"/>
    </row>
    <row r="73988" spans="6:6" x14ac:dyDescent="0.3">
      <c r="F73988" s="193"/>
    </row>
    <row r="73989" spans="6:6" x14ac:dyDescent="0.3">
      <c r="F73989" s="193"/>
    </row>
    <row r="73990" spans="6:6" x14ac:dyDescent="0.3">
      <c r="F73990" s="193"/>
    </row>
    <row r="73991" spans="6:6" x14ac:dyDescent="0.3">
      <c r="F73991" s="193"/>
    </row>
    <row r="73992" spans="6:6" x14ac:dyDescent="0.3">
      <c r="F73992" s="193"/>
    </row>
    <row r="73993" spans="6:6" x14ac:dyDescent="0.3">
      <c r="F73993" s="193"/>
    </row>
    <row r="73994" spans="6:6" x14ac:dyDescent="0.3">
      <c r="F73994" s="193"/>
    </row>
    <row r="73995" spans="6:6" x14ac:dyDescent="0.3">
      <c r="F73995" s="193"/>
    </row>
    <row r="73996" spans="6:6" x14ac:dyDescent="0.3">
      <c r="F73996" s="193"/>
    </row>
    <row r="73997" spans="6:6" x14ac:dyDescent="0.3">
      <c r="F73997" s="193"/>
    </row>
    <row r="73998" spans="6:6" x14ac:dyDescent="0.3">
      <c r="F73998" s="193"/>
    </row>
    <row r="73999" spans="6:6" x14ac:dyDescent="0.3">
      <c r="F73999" s="193"/>
    </row>
    <row r="74000" spans="6:6" x14ac:dyDescent="0.3">
      <c r="F74000" s="193"/>
    </row>
    <row r="74001" spans="6:6" x14ac:dyDescent="0.3">
      <c r="F74001" s="193"/>
    </row>
    <row r="74002" spans="6:6" x14ac:dyDescent="0.3">
      <c r="F74002" s="193"/>
    </row>
    <row r="74003" spans="6:6" x14ac:dyDescent="0.3">
      <c r="F74003" s="193"/>
    </row>
    <row r="74004" spans="6:6" x14ac:dyDescent="0.3">
      <c r="F74004" s="193"/>
    </row>
    <row r="74005" spans="6:6" x14ac:dyDescent="0.3">
      <c r="F74005" s="193"/>
    </row>
    <row r="74006" spans="6:6" x14ac:dyDescent="0.3">
      <c r="F74006" s="193"/>
    </row>
    <row r="74007" spans="6:6" x14ac:dyDescent="0.3">
      <c r="F74007" s="193"/>
    </row>
    <row r="74008" spans="6:6" x14ac:dyDescent="0.3">
      <c r="F74008" s="193"/>
    </row>
    <row r="74009" spans="6:6" x14ac:dyDescent="0.3">
      <c r="F74009" s="193"/>
    </row>
    <row r="74010" spans="6:6" x14ac:dyDescent="0.3">
      <c r="F74010" s="193"/>
    </row>
    <row r="74011" spans="6:6" x14ac:dyDescent="0.3">
      <c r="F74011" s="193"/>
    </row>
    <row r="74012" spans="6:6" x14ac:dyDescent="0.3">
      <c r="F74012" s="193"/>
    </row>
    <row r="74013" spans="6:6" x14ac:dyDescent="0.3">
      <c r="F74013" s="193"/>
    </row>
    <row r="74014" spans="6:6" x14ac:dyDescent="0.3">
      <c r="F74014" s="193"/>
    </row>
    <row r="74015" spans="6:6" x14ac:dyDescent="0.3">
      <c r="F74015" s="193"/>
    </row>
    <row r="74016" spans="6:6" x14ac:dyDescent="0.3">
      <c r="F74016" s="193"/>
    </row>
    <row r="74017" spans="6:6" x14ac:dyDescent="0.3">
      <c r="F74017" s="193"/>
    </row>
    <row r="74018" spans="6:6" x14ac:dyDescent="0.3">
      <c r="F74018" s="193"/>
    </row>
    <row r="74019" spans="6:6" x14ac:dyDescent="0.3">
      <c r="F74019" s="193"/>
    </row>
    <row r="74020" spans="6:6" x14ac:dyDescent="0.3">
      <c r="F74020" s="193"/>
    </row>
    <row r="74021" spans="6:6" x14ac:dyDescent="0.3">
      <c r="F74021" s="193"/>
    </row>
    <row r="74022" spans="6:6" x14ac:dyDescent="0.3">
      <c r="F74022" s="193"/>
    </row>
    <row r="74023" spans="6:6" x14ac:dyDescent="0.3">
      <c r="F74023" s="193"/>
    </row>
    <row r="74024" spans="6:6" x14ac:dyDescent="0.3">
      <c r="F74024" s="193"/>
    </row>
    <row r="74025" spans="6:6" x14ac:dyDescent="0.3">
      <c r="F74025" s="193"/>
    </row>
    <row r="74026" spans="6:6" x14ac:dyDescent="0.3">
      <c r="F74026" s="193"/>
    </row>
    <row r="74027" spans="6:6" x14ac:dyDescent="0.3">
      <c r="F74027" s="193"/>
    </row>
    <row r="74028" spans="6:6" x14ac:dyDescent="0.3">
      <c r="F74028" s="193"/>
    </row>
    <row r="74029" spans="6:6" x14ac:dyDescent="0.3">
      <c r="F74029" s="193"/>
    </row>
    <row r="74030" spans="6:6" x14ac:dyDescent="0.3">
      <c r="F74030" s="193"/>
    </row>
    <row r="74031" spans="6:6" x14ac:dyDescent="0.3">
      <c r="F74031" s="193"/>
    </row>
    <row r="74032" spans="6:6" x14ac:dyDescent="0.3">
      <c r="F74032" s="193"/>
    </row>
    <row r="74033" spans="6:6" x14ac:dyDescent="0.3">
      <c r="F74033" s="193"/>
    </row>
    <row r="74034" spans="6:6" x14ac:dyDescent="0.3">
      <c r="F74034" s="193"/>
    </row>
    <row r="74035" spans="6:6" x14ac:dyDescent="0.3">
      <c r="F74035" s="193"/>
    </row>
    <row r="74036" spans="6:6" x14ac:dyDescent="0.3">
      <c r="F74036" s="193"/>
    </row>
    <row r="74037" spans="6:6" x14ac:dyDescent="0.3">
      <c r="F74037" s="193"/>
    </row>
    <row r="74038" spans="6:6" x14ac:dyDescent="0.3">
      <c r="F74038" s="193"/>
    </row>
    <row r="74039" spans="6:6" x14ac:dyDescent="0.3">
      <c r="F74039" s="193"/>
    </row>
    <row r="74040" spans="6:6" x14ac:dyDescent="0.3">
      <c r="F74040" s="193"/>
    </row>
    <row r="74041" spans="6:6" x14ac:dyDescent="0.3">
      <c r="F74041" s="193"/>
    </row>
    <row r="74042" spans="6:6" x14ac:dyDescent="0.3">
      <c r="F74042" s="193"/>
    </row>
    <row r="74043" spans="6:6" x14ac:dyDescent="0.3">
      <c r="F74043" s="193"/>
    </row>
    <row r="74044" spans="6:6" x14ac:dyDescent="0.3">
      <c r="F74044" s="193"/>
    </row>
    <row r="74045" spans="6:6" x14ac:dyDescent="0.3">
      <c r="F74045" s="193"/>
    </row>
    <row r="74046" spans="6:6" x14ac:dyDescent="0.3">
      <c r="F74046" s="193"/>
    </row>
    <row r="74047" spans="6:6" x14ac:dyDescent="0.3">
      <c r="F74047" s="193"/>
    </row>
    <row r="74048" spans="6:6" x14ac:dyDescent="0.3">
      <c r="F74048" s="193"/>
    </row>
    <row r="74049" spans="6:6" x14ac:dyDescent="0.3">
      <c r="F74049" s="193"/>
    </row>
    <row r="74050" spans="6:6" x14ac:dyDescent="0.3">
      <c r="F74050" s="193"/>
    </row>
    <row r="74051" spans="6:6" x14ac:dyDescent="0.3">
      <c r="F74051" s="193"/>
    </row>
    <row r="74052" spans="6:6" x14ac:dyDescent="0.3">
      <c r="F74052" s="193"/>
    </row>
    <row r="74053" spans="6:6" x14ac:dyDescent="0.3">
      <c r="F74053" s="193"/>
    </row>
    <row r="74054" spans="6:6" x14ac:dyDescent="0.3">
      <c r="F74054" s="193"/>
    </row>
    <row r="74055" spans="6:6" x14ac:dyDescent="0.3">
      <c r="F74055" s="193"/>
    </row>
    <row r="74056" spans="6:6" x14ac:dyDescent="0.3">
      <c r="F74056" s="193"/>
    </row>
    <row r="74057" spans="6:6" x14ac:dyDescent="0.3">
      <c r="F74057" s="193"/>
    </row>
    <row r="74058" spans="6:6" x14ac:dyDescent="0.3">
      <c r="F74058" s="193"/>
    </row>
    <row r="74059" spans="6:6" x14ac:dyDescent="0.3">
      <c r="F74059" s="193"/>
    </row>
    <row r="74060" spans="6:6" x14ac:dyDescent="0.3">
      <c r="F74060" s="193"/>
    </row>
    <row r="74061" spans="6:6" x14ac:dyDescent="0.3">
      <c r="F74061" s="193"/>
    </row>
    <row r="74062" spans="6:6" x14ac:dyDescent="0.3">
      <c r="F74062" s="193"/>
    </row>
    <row r="74063" spans="6:6" x14ac:dyDescent="0.3">
      <c r="F74063" s="193"/>
    </row>
    <row r="74064" spans="6:6" x14ac:dyDescent="0.3">
      <c r="F74064" s="193"/>
    </row>
    <row r="74065" spans="6:6" x14ac:dyDescent="0.3">
      <c r="F74065" s="193"/>
    </row>
    <row r="74066" spans="6:6" x14ac:dyDescent="0.3">
      <c r="F74066" s="193"/>
    </row>
    <row r="74067" spans="6:6" x14ac:dyDescent="0.3">
      <c r="F74067" s="193"/>
    </row>
    <row r="74068" spans="6:6" x14ac:dyDescent="0.3">
      <c r="F74068" s="193"/>
    </row>
    <row r="74069" spans="6:6" x14ac:dyDescent="0.3">
      <c r="F74069" s="193"/>
    </row>
    <row r="74070" spans="6:6" x14ac:dyDescent="0.3">
      <c r="F74070" s="193"/>
    </row>
    <row r="74071" spans="6:6" x14ac:dyDescent="0.3">
      <c r="F74071" s="193"/>
    </row>
    <row r="74072" spans="6:6" x14ac:dyDescent="0.3">
      <c r="F74072" s="193"/>
    </row>
    <row r="74073" spans="6:6" x14ac:dyDescent="0.3">
      <c r="F74073" s="193"/>
    </row>
    <row r="74074" spans="6:6" x14ac:dyDescent="0.3">
      <c r="F74074" s="193"/>
    </row>
    <row r="74075" spans="6:6" x14ac:dyDescent="0.3">
      <c r="F74075" s="193"/>
    </row>
    <row r="74076" spans="6:6" x14ac:dyDescent="0.3">
      <c r="F74076" s="193"/>
    </row>
    <row r="74077" spans="6:6" x14ac:dyDescent="0.3">
      <c r="F74077" s="193"/>
    </row>
    <row r="74078" spans="6:6" x14ac:dyDescent="0.3">
      <c r="F74078" s="193"/>
    </row>
    <row r="74079" spans="6:6" x14ac:dyDescent="0.3">
      <c r="F74079" s="193"/>
    </row>
    <row r="74080" spans="6:6" x14ac:dyDescent="0.3">
      <c r="F74080" s="193"/>
    </row>
    <row r="74081" spans="6:6" x14ac:dyDescent="0.3">
      <c r="F74081" s="193"/>
    </row>
    <row r="74082" spans="6:6" x14ac:dyDescent="0.3">
      <c r="F74082" s="193"/>
    </row>
    <row r="74083" spans="6:6" x14ac:dyDescent="0.3">
      <c r="F74083" s="193"/>
    </row>
    <row r="74084" spans="6:6" x14ac:dyDescent="0.3">
      <c r="F74084" s="193"/>
    </row>
    <row r="74085" spans="6:6" x14ac:dyDescent="0.3">
      <c r="F74085" s="193"/>
    </row>
    <row r="74086" spans="6:6" x14ac:dyDescent="0.3">
      <c r="F74086" s="193"/>
    </row>
    <row r="74087" spans="6:6" x14ac:dyDescent="0.3">
      <c r="F74087" s="193"/>
    </row>
    <row r="74088" spans="6:6" x14ac:dyDescent="0.3">
      <c r="F74088" s="193"/>
    </row>
    <row r="74089" spans="6:6" x14ac:dyDescent="0.3">
      <c r="F74089" s="193"/>
    </row>
    <row r="74090" spans="6:6" x14ac:dyDescent="0.3">
      <c r="F74090" s="193"/>
    </row>
    <row r="74091" spans="6:6" x14ac:dyDescent="0.3">
      <c r="F74091" s="193"/>
    </row>
    <row r="74092" spans="6:6" x14ac:dyDescent="0.3">
      <c r="F74092" s="193"/>
    </row>
    <row r="74093" spans="6:6" x14ac:dyDescent="0.3">
      <c r="F74093" s="193"/>
    </row>
    <row r="74094" spans="6:6" x14ac:dyDescent="0.3">
      <c r="F74094" s="193"/>
    </row>
    <row r="74095" spans="6:6" x14ac:dyDescent="0.3">
      <c r="F74095" s="193"/>
    </row>
    <row r="74096" spans="6:6" x14ac:dyDescent="0.3">
      <c r="F74096" s="193"/>
    </row>
    <row r="74097" spans="6:6" x14ac:dyDescent="0.3">
      <c r="F74097" s="193"/>
    </row>
    <row r="74098" spans="6:6" x14ac:dyDescent="0.3">
      <c r="F74098" s="193"/>
    </row>
    <row r="74099" spans="6:6" x14ac:dyDescent="0.3">
      <c r="F74099" s="193"/>
    </row>
    <row r="74100" spans="6:6" x14ac:dyDescent="0.3">
      <c r="F74100" s="193"/>
    </row>
    <row r="74101" spans="6:6" x14ac:dyDescent="0.3">
      <c r="F74101" s="193"/>
    </row>
    <row r="74102" spans="6:6" x14ac:dyDescent="0.3">
      <c r="F74102" s="193"/>
    </row>
    <row r="74103" spans="6:6" x14ac:dyDescent="0.3">
      <c r="F74103" s="193"/>
    </row>
    <row r="74104" spans="6:6" x14ac:dyDescent="0.3">
      <c r="F74104" s="193"/>
    </row>
    <row r="74105" spans="6:6" x14ac:dyDescent="0.3">
      <c r="F74105" s="193"/>
    </row>
    <row r="74106" spans="6:6" x14ac:dyDescent="0.3">
      <c r="F74106" s="193"/>
    </row>
    <row r="74107" spans="6:6" x14ac:dyDescent="0.3">
      <c r="F74107" s="193"/>
    </row>
    <row r="74108" spans="6:6" x14ac:dyDescent="0.3">
      <c r="F74108" s="193"/>
    </row>
    <row r="74109" spans="6:6" x14ac:dyDescent="0.3">
      <c r="F74109" s="193"/>
    </row>
    <row r="74110" spans="6:6" x14ac:dyDescent="0.3">
      <c r="F74110" s="193"/>
    </row>
    <row r="74111" spans="6:6" x14ac:dyDescent="0.3">
      <c r="F74111" s="193"/>
    </row>
    <row r="74112" spans="6:6" x14ac:dyDescent="0.3">
      <c r="F74112" s="193"/>
    </row>
    <row r="74113" spans="6:6" x14ac:dyDescent="0.3">
      <c r="F74113" s="193"/>
    </row>
    <row r="74114" spans="6:6" x14ac:dyDescent="0.3">
      <c r="F74114" s="193"/>
    </row>
    <row r="74115" spans="6:6" x14ac:dyDescent="0.3">
      <c r="F74115" s="193"/>
    </row>
    <row r="74116" spans="6:6" x14ac:dyDescent="0.3">
      <c r="F74116" s="193"/>
    </row>
    <row r="74117" spans="6:6" x14ac:dyDescent="0.3">
      <c r="F74117" s="193"/>
    </row>
    <row r="74118" spans="6:6" x14ac:dyDescent="0.3">
      <c r="F74118" s="193"/>
    </row>
    <row r="74119" spans="6:6" x14ac:dyDescent="0.3">
      <c r="F74119" s="193"/>
    </row>
    <row r="74120" spans="6:6" x14ac:dyDescent="0.3">
      <c r="F74120" s="193"/>
    </row>
    <row r="74121" spans="6:6" x14ac:dyDescent="0.3">
      <c r="F74121" s="193"/>
    </row>
    <row r="74122" spans="6:6" x14ac:dyDescent="0.3">
      <c r="F74122" s="193"/>
    </row>
    <row r="74123" spans="6:6" x14ac:dyDescent="0.3">
      <c r="F74123" s="193"/>
    </row>
    <row r="74124" spans="6:6" x14ac:dyDescent="0.3">
      <c r="F74124" s="193"/>
    </row>
    <row r="74125" spans="6:6" x14ac:dyDescent="0.3">
      <c r="F74125" s="193"/>
    </row>
    <row r="74126" spans="6:6" x14ac:dyDescent="0.3">
      <c r="F74126" s="193"/>
    </row>
    <row r="74127" spans="6:6" x14ac:dyDescent="0.3">
      <c r="F74127" s="193"/>
    </row>
    <row r="74128" spans="6:6" x14ac:dyDescent="0.3">
      <c r="F74128" s="193"/>
    </row>
    <row r="74129" spans="6:6" x14ac:dyDescent="0.3">
      <c r="F74129" s="193"/>
    </row>
    <row r="74130" spans="6:6" x14ac:dyDescent="0.3">
      <c r="F74130" s="193"/>
    </row>
    <row r="74131" spans="6:6" x14ac:dyDescent="0.3">
      <c r="F74131" s="193"/>
    </row>
    <row r="74132" spans="6:6" x14ac:dyDescent="0.3">
      <c r="F74132" s="193"/>
    </row>
    <row r="74133" spans="6:6" x14ac:dyDescent="0.3">
      <c r="F74133" s="193"/>
    </row>
    <row r="74134" spans="6:6" x14ac:dyDescent="0.3">
      <c r="F74134" s="193"/>
    </row>
    <row r="74135" spans="6:6" x14ac:dyDescent="0.3">
      <c r="F74135" s="193"/>
    </row>
    <row r="74136" spans="6:6" x14ac:dyDescent="0.3">
      <c r="F74136" s="193"/>
    </row>
    <row r="74137" spans="6:6" x14ac:dyDescent="0.3">
      <c r="F74137" s="193"/>
    </row>
    <row r="74138" spans="6:6" x14ac:dyDescent="0.3">
      <c r="F74138" s="193"/>
    </row>
    <row r="74139" spans="6:6" x14ac:dyDescent="0.3">
      <c r="F74139" s="193"/>
    </row>
    <row r="74140" spans="6:6" x14ac:dyDescent="0.3">
      <c r="F74140" s="193"/>
    </row>
    <row r="74141" spans="6:6" x14ac:dyDescent="0.3">
      <c r="F74141" s="193"/>
    </row>
    <row r="74142" spans="6:6" x14ac:dyDescent="0.3">
      <c r="F74142" s="193"/>
    </row>
    <row r="74143" spans="6:6" x14ac:dyDescent="0.3">
      <c r="F74143" s="193"/>
    </row>
    <row r="74144" spans="6:6" x14ac:dyDescent="0.3">
      <c r="F74144" s="193"/>
    </row>
    <row r="74145" spans="6:6" x14ac:dyDescent="0.3">
      <c r="F74145" s="193"/>
    </row>
    <row r="74146" spans="6:6" x14ac:dyDescent="0.3">
      <c r="F74146" s="193"/>
    </row>
    <row r="74147" spans="6:6" x14ac:dyDescent="0.3">
      <c r="F74147" s="193"/>
    </row>
    <row r="74148" spans="6:6" x14ac:dyDescent="0.3">
      <c r="F74148" s="193"/>
    </row>
    <row r="74149" spans="6:6" x14ac:dyDescent="0.3">
      <c r="F74149" s="193"/>
    </row>
    <row r="74150" spans="6:6" x14ac:dyDescent="0.3">
      <c r="F74150" s="193"/>
    </row>
    <row r="74151" spans="6:6" x14ac:dyDescent="0.3">
      <c r="F74151" s="193"/>
    </row>
    <row r="74152" spans="6:6" x14ac:dyDescent="0.3">
      <c r="F74152" s="193"/>
    </row>
    <row r="74153" spans="6:6" x14ac:dyDescent="0.3">
      <c r="F74153" s="193"/>
    </row>
    <row r="74154" spans="6:6" x14ac:dyDescent="0.3">
      <c r="F74154" s="193"/>
    </row>
    <row r="74155" spans="6:6" x14ac:dyDescent="0.3">
      <c r="F74155" s="193"/>
    </row>
    <row r="74156" spans="6:6" x14ac:dyDescent="0.3">
      <c r="F74156" s="193"/>
    </row>
    <row r="74157" spans="6:6" x14ac:dyDescent="0.3">
      <c r="F74157" s="193"/>
    </row>
    <row r="74158" spans="6:6" x14ac:dyDescent="0.3">
      <c r="F74158" s="193"/>
    </row>
    <row r="74159" spans="6:6" x14ac:dyDescent="0.3">
      <c r="F74159" s="193"/>
    </row>
    <row r="74160" spans="6:6" x14ac:dyDescent="0.3">
      <c r="F74160" s="193"/>
    </row>
    <row r="74161" spans="6:6" x14ac:dyDescent="0.3">
      <c r="F74161" s="193"/>
    </row>
    <row r="74162" spans="6:6" x14ac:dyDescent="0.3">
      <c r="F74162" s="193"/>
    </row>
    <row r="74163" spans="6:6" x14ac:dyDescent="0.3">
      <c r="F74163" s="193"/>
    </row>
    <row r="74164" spans="6:6" x14ac:dyDescent="0.3">
      <c r="F74164" s="193"/>
    </row>
    <row r="74165" spans="6:6" x14ac:dyDescent="0.3">
      <c r="F74165" s="193"/>
    </row>
    <row r="74166" spans="6:6" x14ac:dyDescent="0.3">
      <c r="F74166" s="193"/>
    </row>
    <row r="74167" spans="6:6" x14ac:dyDescent="0.3">
      <c r="F74167" s="193"/>
    </row>
    <row r="74168" spans="6:6" x14ac:dyDescent="0.3">
      <c r="F74168" s="193"/>
    </row>
    <row r="74169" spans="6:6" x14ac:dyDescent="0.3">
      <c r="F74169" s="193"/>
    </row>
    <row r="74170" spans="6:6" x14ac:dyDescent="0.3">
      <c r="F74170" s="193"/>
    </row>
    <row r="74171" spans="6:6" x14ac:dyDescent="0.3">
      <c r="F74171" s="193"/>
    </row>
    <row r="74172" spans="6:6" x14ac:dyDescent="0.3">
      <c r="F74172" s="193"/>
    </row>
    <row r="74173" spans="6:6" x14ac:dyDescent="0.3">
      <c r="F74173" s="193"/>
    </row>
    <row r="74174" spans="6:6" x14ac:dyDescent="0.3">
      <c r="F74174" s="193"/>
    </row>
    <row r="74175" spans="6:6" x14ac:dyDescent="0.3">
      <c r="F74175" s="193"/>
    </row>
    <row r="74176" spans="6:6" x14ac:dyDescent="0.3">
      <c r="F74176" s="193"/>
    </row>
    <row r="74177" spans="6:6" x14ac:dyDescent="0.3">
      <c r="F74177" s="193"/>
    </row>
    <row r="74178" spans="6:6" x14ac:dyDescent="0.3">
      <c r="F74178" s="193"/>
    </row>
    <row r="74179" spans="6:6" x14ac:dyDescent="0.3">
      <c r="F74179" s="193"/>
    </row>
    <row r="74180" spans="6:6" x14ac:dyDescent="0.3">
      <c r="F74180" s="193"/>
    </row>
    <row r="74181" spans="6:6" x14ac:dyDescent="0.3">
      <c r="F74181" s="193"/>
    </row>
    <row r="74182" spans="6:6" x14ac:dyDescent="0.3">
      <c r="F74182" s="193"/>
    </row>
    <row r="74183" spans="6:6" x14ac:dyDescent="0.3">
      <c r="F74183" s="193"/>
    </row>
    <row r="74184" spans="6:6" x14ac:dyDescent="0.3">
      <c r="F74184" s="193"/>
    </row>
    <row r="74185" spans="6:6" x14ac:dyDescent="0.3">
      <c r="F74185" s="193"/>
    </row>
    <row r="74186" spans="6:6" x14ac:dyDescent="0.3">
      <c r="F74186" s="193"/>
    </row>
    <row r="74187" spans="6:6" x14ac:dyDescent="0.3">
      <c r="F74187" s="193"/>
    </row>
    <row r="74188" spans="6:6" x14ac:dyDescent="0.3">
      <c r="F74188" s="193"/>
    </row>
    <row r="74189" spans="6:6" x14ac:dyDescent="0.3">
      <c r="F74189" s="193"/>
    </row>
    <row r="74190" spans="6:6" x14ac:dyDescent="0.3">
      <c r="F74190" s="193"/>
    </row>
    <row r="74191" spans="6:6" x14ac:dyDescent="0.3">
      <c r="F74191" s="193"/>
    </row>
    <row r="74192" spans="6:6" x14ac:dyDescent="0.3">
      <c r="F74192" s="193"/>
    </row>
    <row r="74193" spans="6:6" x14ac:dyDescent="0.3">
      <c r="F74193" s="193"/>
    </row>
    <row r="74194" spans="6:6" x14ac:dyDescent="0.3">
      <c r="F74194" s="193"/>
    </row>
    <row r="74195" spans="6:6" x14ac:dyDescent="0.3">
      <c r="F74195" s="193"/>
    </row>
    <row r="74196" spans="6:6" x14ac:dyDescent="0.3">
      <c r="F74196" s="193"/>
    </row>
    <row r="74197" spans="6:6" x14ac:dyDescent="0.3">
      <c r="F74197" s="193"/>
    </row>
    <row r="74198" spans="6:6" x14ac:dyDescent="0.3">
      <c r="F74198" s="193"/>
    </row>
    <row r="74199" spans="6:6" x14ac:dyDescent="0.3">
      <c r="F74199" s="193"/>
    </row>
    <row r="74200" spans="6:6" x14ac:dyDescent="0.3">
      <c r="F74200" s="193"/>
    </row>
    <row r="74201" spans="6:6" x14ac:dyDescent="0.3">
      <c r="F74201" s="193"/>
    </row>
    <row r="74202" spans="6:6" x14ac:dyDescent="0.3">
      <c r="F74202" s="193"/>
    </row>
    <row r="74203" spans="6:6" x14ac:dyDescent="0.3">
      <c r="F74203" s="193"/>
    </row>
    <row r="74204" spans="6:6" x14ac:dyDescent="0.3">
      <c r="F74204" s="193"/>
    </row>
    <row r="74205" spans="6:6" x14ac:dyDescent="0.3">
      <c r="F74205" s="193"/>
    </row>
    <row r="74206" spans="6:6" x14ac:dyDescent="0.3">
      <c r="F74206" s="193"/>
    </row>
    <row r="74207" spans="6:6" x14ac:dyDescent="0.3">
      <c r="F74207" s="193"/>
    </row>
    <row r="74208" spans="6:6" x14ac:dyDescent="0.3">
      <c r="F74208" s="193"/>
    </row>
    <row r="74209" spans="6:6" x14ac:dyDescent="0.3">
      <c r="F74209" s="193"/>
    </row>
    <row r="74210" spans="6:6" x14ac:dyDescent="0.3">
      <c r="F74210" s="193"/>
    </row>
    <row r="74211" spans="6:6" x14ac:dyDescent="0.3">
      <c r="F74211" s="193"/>
    </row>
    <row r="74212" spans="6:6" x14ac:dyDescent="0.3">
      <c r="F74212" s="193"/>
    </row>
    <row r="74213" spans="6:6" x14ac:dyDescent="0.3">
      <c r="F74213" s="193"/>
    </row>
    <row r="74214" spans="6:6" x14ac:dyDescent="0.3">
      <c r="F74214" s="193"/>
    </row>
    <row r="74215" spans="6:6" x14ac:dyDescent="0.3">
      <c r="F74215" s="193"/>
    </row>
    <row r="74216" spans="6:6" x14ac:dyDescent="0.3">
      <c r="F74216" s="193"/>
    </row>
    <row r="74217" spans="6:6" x14ac:dyDescent="0.3">
      <c r="F74217" s="193"/>
    </row>
    <row r="74218" spans="6:6" x14ac:dyDescent="0.3">
      <c r="F74218" s="193"/>
    </row>
    <row r="74219" spans="6:6" x14ac:dyDescent="0.3">
      <c r="F74219" s="193"/>
    </row>
    <row r="74220" spans="6:6" x14ac:dyDescent="0.3">
      <c r="F74220" s="193"/>
    </row>
    <row r="74221" spans="6:6" x14ac:dyDescent="0.3">
      <c r="F74221" s="193"/>
    </row>
    <row r="74222" spans="6:6" x14ac:dyDescent="0.3">
      <c r="F74222" s="193"/>
    </row>
    <row r="74223" spans="6:6" x14ac:dyDescent="0.3">
      <c r="F74223" s="193"/>
    </row>
    <row r="74224" spans="6:6" x14ac:dyDescent="0.3">
      <c r="F74224" s="193"/>
    </row>
    <row r="74225" spans="6:6" x14ac:dyDescent="0.3">
      <c r="F74225" s="193"/>
    </row>
    <row r="74226" spans="6:6" x14ac:dyDescent="0.3">
      <c r="F74226" s="193"/>
    </row>
    <row r="74227" spans="6:6" x14ac:dyDescent="0.3">
      <c r="F74227" s="193"/>
    </row>
    <row r="74228" spans="6:6" x14ac:dyDescent="0.3">
      <c r="F74228" s="193"/>
    </row>
    <row r="74229" spans="6:6" x14ac:dyDescent="0.3">
      <c r="F74229" s="193"/>
    </row>
    <row r="74230" spans="6:6" x14ac:dyDescent="0.3">
      <c r="F74230" s="193"/>
    </row>
    <row r="74231" spans="6:6" x14ac:dyDescent="0.3">
      <c r="F74231" s="193"/>
    </row>
    <row r="74232" spans="6:6" x14ac:dyDescent="0.3">
      <c r="F74232" s="193"/>
    </row>
    <row r="74233" spans="6:6" x14ac:dyDescent="0.3">
      <c r="F74233" s="193"/>
    </row>
    <row r="74234" spans="6:6" x14ac:dyDescent="0.3">
      <c r="F74234" s="193"/>
    </row>
    <row r="74235" spans="6:6" x14ac:dyDescent="0.3">
      <c r="F74235" s="193"/>
    </row>
    <row r="74236" spans="6:6" x14ac:dyDescent="0.3">
      <c r="F74236" s="193"/>
    </row>
    <row r="74237" spans="6:6" x14ac:dyDescent="0.3">
      <c r="F74237" s="193"/>
    </row>
    <row r="74238" spans="6:6" x14ac:dyDescent="0.3">
      <c r="F74238" s="193"/>
    </row>
    <row r="74239" spans="6:6" x14ac:dyDescent="0.3">
      <c r="F74239" s="193"/>
    </row>
    <row r="74240" spans="6:6" x14ac:dyDescent="0.3">
      <c r="F74240" s="193"/>
    </row>
    <row r="74241" spans="6:6" x14ac:dyDescent="0.3">
      <c r="F74241" s="193"/>
    </row>
    <row r="74242" spans="6:6" x14ac:dyDescent="0.3">
      <c r="F74242" s="193"/>
    </row>
    <row r="74243" spans="6:6" x14ac:dyDescent="0.3">
      <c r="F74243" s="193"/>
    </row>
    <row r="74244" spans="6:6" x14ac:dyDescent="0.3">
      <c r="F74244" s="193"/>
    </row>
    <row r="74245" spans="6:6" x14ac:dyDescent="0.3">
      <c r="F74245" s="193"/>
    </row>
    <row r="74246" spans="6:6" x14ac:dyDescent="0.3">
      <c r="F74246" s="193"/>
    </row>
    <row r="74247" spans="6:6" x14ac:dyDescent="0.3">
      <c r="F74247" s="193"/>
    </row>
    <row r="74248" spans="6:6" x14ac:dyDescent="0.3">
      <c r="F74248" s="193"/>
    </row>
    <row r="74249" spans="6:6" x14ac:dyDescent="0.3">
      <c r="F74249" s="193"/>
    </row>
    <row r="74250" spans="6:6" x14ac:dyDescent="0.3">
      <c r="F74250" s="193"/>
    </row>
    <row r="74251" spans="6:6" x14ac:dyDescent="0.3">
      <c r="F74251" s="193"/>
    </row>
    <row r="74252" spans="6:6" x14ac:dyDescent="0.3">
      <c r="F74252" s="193"/>
    </row>
    <row r="74253" spans="6:6" x14ac:dyDescent="0.3">
      <c r="F74253" s="193"/>
    </row>
    <row r="74254" spans="6:6" x14ac:dyDescent="0.3">
      <c r="F74254" s="193"/>
    </row>
    <row r="74255" spans="6:6" x14ac:dyDescent="0.3">
      <c r="F74255" s="193"/>
    </row>
    <row r="74256" spans="6:6" x14ac:dyDescent="0.3">
      <c r="F74256" s="193"/>
    </row>
    <row r="74257" spans="6:6" x14ac:dyDescent="0.3">
      <c r="F74257" s="193"/>
    </row>
    <row r="74258" spans="6:6" x14ac:dyDescent="0.3">
      <c r="F74258" s="193"/>
    </row>
    <row r="74259" spans="6:6" x14ac:dyDescent="0.3">
      <c r="F74259" s="193"/>
    </row>
    <row r="74260" spans="6:6" x14ac:dyDescent="0.3">
      <c r="F74260" s="193"/>
    </row>
    <row r="74261" spans="6:6" x14ac:dyDescent="0.3">
      <c r="F74261" s="193"/>
    </row>
    <row r="74262" spans="6:6" x14ac:dyDescent="0.3">
      <c r="F74262" s="193"/>
    </row>
    <row r="74263" spans="6:6" x14ac:dyDescent="0.3">
      <c r="F74263" s="193"/>
    </row>
    <row r="74264" spans="6:6" x14ac:dyDescent="0.3">
      <c r="F74264" s="193"/>
    </row>
    <row r="74265" spans="6:6" x14ac:dyDescent="0.3">
      <c r="F74265" s="193"/>
    </row>
    <row r="74266" spans="6:6" x14ac:dyDescent="0.3">
      <c r="F74266" s="193"/>
    </row>
    <row r="74267" spans="6:6" x14ac:dyDescent="0.3">
      <c r="F74267" s="193"/>
    </row>
    <row r="74268" spans="6:6" x14ac:dyDescent="0.3">
      <c r="F74268" s="193"/>
    </row>
    <row r="74269" spans="6:6" x14ac:dyDescent="0.3">
      <c r="F74269" s="193"/>
    </row>
    <row r="74270" spans="6:6" x14ac:dyDescent="0.3">
      <c r="F74270" s="193"/>
    </row>
    <row r="74271" spans="6:6" x14ac:dyDescent="0.3">
      <c r="F74271" s="193"/>
    </row>
    <row r="74272" spans="6:6" x14ac:dyDescent="0.3">
      <c r="F74272" s="193"/>
    </row>
    <row r="74273" spans="6:6" x14ac:dyDescent="0.3">
      <c r="F74273" s="193"/>
    </row>
    <row r="74274" spans="6:6" x14ac:dyDescent="0.3">
      <c r="F74274" s="193"/>
    </row>
    <row r="74275" spans="6:6" x14ac:dyDescent="0.3">
      <c r="F74275" s="193"/>
    </row>
    <row r="74276" spans="6:6" x14ac:dyDescent="0.3">
      <c r="F74276" s="193"/>
    </row>
    <row r="74277" spans="6:6" x14ac:dyDescent="0.3">
      <c r="F74277" s="193"/>
    </row>
    <row r="74278" spans="6:6" x14ac:dyDescent="0.3">
      <c r="F74278" s="193"/>
    </row>
    <row r="74279" spans="6:6" x14ac:dyDescent="0.3">
      <c r="F74279" s="193"/>
    </row>
    <row r="74280" spans="6:6" x14ac:dyDescent="0.3">
      <c r="F74280" s="193"/>
    </row>
    <row r="74281" spans="6:6" x14ac:dyDescent="0.3">
      <c r="F74281" s="193"/>
    </row>
    <row r="74282" spans="6:6" x14ac:dyDescent="0.3">
      <c r="F74282" s="193"/>
    </row>
    <row r="74283" spans="6:6" x14ac:dyDescent="0.3">
      <c r="F74283" s="193"/>
    </row>
    <row r="74284" spans="6:6" x14ac:dyDescent="0.3">
      <c r="F74284" s="193"/>
    </row>
    <row r="74285" spans="6:6" x14ac:dyDescent="0.3">
      <c r="F74285" s="193"/>
    </row>
    <row r="74286" spans="6:6" x14ac:dyDescent="0.3">
      <c r="F74286" s="193"/>
    </row>
    <row r="74287" spans="6:6" x14ac:dyDescent="0.3">
      <c r="F74287" s="193"/>
    </row>
    <row r="74288" spans="6:6" x14ac:dyDescent="0.3">
      <c r="F74288" s="193"/>
    </row>
    <row r="74289" spans="6:6" x14ac:dyDescent="0.3">
      <c r="F74289" s="193"/>
    </row>
    <row r="74290" spans="6:6" x14ac:dyDescent="0.3">
      <c r="F74290" s="193"/>
    </row>
    <row r="74291" spans="6:6" x14ac:dyDescent="0.3">
      <c r="F74291" s="193"/>
    </row>
    <row r="74292" spans="6:6" x14ac:dyDescent="0.3">
      <c r="F74292" s="193"/>
    </row>
    <row r="74293" spans="6:6" x14ac:dyDescent="0.3">
      <c r="F74293" s="193"/>
    </row>
    <row r="74294" spans="6:6" x14ac:dyDescent="0.3">
      <c r="F74294" s="193"/>
    </row>
    <row r="74295" spans="6:6" x14ac:dyDescent="0.3">
      <c r="F74295" s="193"/>
    </row>
    <row r="74296" spans="6:6" x14ac:dyDescent="0.3">
      <c r="F74296" s="193"/>
    </row>
    <row r="74297" spans="6:6" x14ac:dyDescent="0.3">
      <c r="F74297" s="193"/>
    </row>
    <row r="74298" spans="6:6" x14ac:dyDescent="0.3">
      <c r="F74298" s="193"/>
    </row>
    <row r="74299" spans="6:6" x14ac:dyDescent="0.3">
      <c r="F74299" s="193"/>
    </row>
    <row r="74300" spans="6:6" x14ac:dyDescent="0.3">
      <c r="F74300" s="193"/>
    </row>
    <row r="74301" spans="6:6" x14ac:dyDescent="0.3">
      <c r="F74301" s="193"/>
    </row>
    <row r="74302" spans="6:6" x14ac:dyDescent="0.3">
      <c r="F74302" s="193"/>
    </row>
    <row r="74303" spans="6:6" x14ac:dyDescent="0.3">
      <c r="F74303" s="193"/>
    </row>
    <row r="74304" spans="6:6" x14ac:dyDescent="0.3">
      <c r="F74304" s="193"/>
    </row>
    <row r="74305" spans="6:6" x14ac:dyDescent="0.3">
      <c r="F74305" s="193"/>
    </row>
    <row r="74306" spans="6:6" x14ac:dyDescent="0.3">
      <c r="F74306" s="193"/>
    </row>
    <row r="74307" spans="6:6" x14ac:dyDescent="0.3">
      <c r="F74307" s="193"/>
    </row>
    <row r="74308" spans="6:6" x14ac:dyDescent="0.3">
      <c r="F74308" s="193"/>
    </row>
    <row r="74309" spans="6:6" x14ac:dyDescent="0.3">
      <c r="F74309" s="193"/>
    </row>
    <row r="74310" spans="6:6" x14ac:dyDescent="0.3">
      <c r="F74310" s="193"/>
    </row>
    <row r="74311" spans="6:6" x14ac:dyDescent="0.3">
      <c r="F74311" s="193"/>
    </row>
    <row r="74312" spans="6:6" x14ac:dyDescent="0.3">
      <c r="F74312" s="193"/>
    </row>
    <row r="74313" spans="6:6" x14ac:dyDescent="0.3">
      <c r="F74313" s="193"/>
    </row>
    <row r="74314" spans="6:6" x14ac:dyDescent="0.3">
      <c r="F74314" s="193"/>
    </row>
    <row r="74315" spans="6:6" x14ac:dyDescent="0.3">
      <c r="F74315" s="193"/>
    </row>
    <row r="74316" spans="6:6" x14ac:dyDescent="0.3">
      <c r="F74316" s="193"/>
    </row>
    <row r="74317" spans="6:6" x14ac:dyDescent="0.3">
      <c r="F74317" s="193"/>
    </row>
    <row r="74318" spans="6:6" x14ac:dyDescent="0.3">
      <c r="F74318" s="193"/>
    </row>
    <row r="74319" spans="6:6" x14ac:dyDescent="0.3">
      <c r="F74319" s="193"/>
    </row>
    <row r="74320" spans="6:6" x14ac:dyDescent="0.3">
      <c r="F74320" s="193"/>
    </row>
    <row r="74321" spans="6:6" x14ac:dyDescent="0.3">
      <c r="F74321" s="193"/>
    </row>
    <row r="74322" spans="6:6" x14ac:dyDescent="0.3">
      <c r="F74322" s="193"/>
    </row>
    <row r="74323" spans="6:6" x14ac:dyDescent="0.3">
      <c r="F74323" s="193"/>
    </row>
    <row r="74324" spans="6:6" x14ac:dyDescent="0.3">
      <c r="F74324" s="193"/>
    </row>
    <row r="74325" spans="6:6" x14ac:dyDescent="0.3">
      <c r="F74325" s="193"/>
    </row>
    <row r="74326" spans="6:6" x14ac:dyDescent="0.3">
      <c r="F74326" s="193"/>
    </row>
    <row r="74327" spans="6:6" x14ac:dyDescent="0.3">
      <c r="F74327" s="193"/>
    </row>
    <row r="74328" spans="6:6" x14ac:dyDescent="0.3">
      <c r="F74328" s="193"/>
    </row>
    <row r="74329" spans="6:6" x14ac:dyDescent="0.3">
      <c r="F74329" s="193"/>
    </row>
    <row r="74330" spans="6:6" x14ac:dyDescent="0.3">
      <c r="F74330" s="193"/>
    </row>
    <row r="74331" spans="6:6" x14ac:dyDescent="0.3">
      <c r="F74331" s="193"/>
    </row>
    <row r="74332" spans="6:6" x14ac:dyDescent="0.3">
      <c r="F74332" s="193"/>
    </row>
    <row r="74333" spans="6:6" x14ac:dyDescent="0.3">
      <c r="F74333" s="193"/>
    </row>
    <row r="74334" spans="6:6" x14ac:dyDescent="0.3">
      <c r="F74334" s="193"/>
    </row>
    <row r="74335" spans="6:6" x14ac:dyDescent="0.3">
      <c r="F74335" s="193"/>
    </row>
    <row r="74336" spans="6:6" x14ac:dyDescent="0.3">
      <c r="F74336" s="193"/>
    </row>
    <row r="74337" spans="6:6" x14ac:dyDescent="0.3">
      <c r="F74337" s="193"/>
    </row>
    <row r="74338" spans="6:6" x14ac:dyDescent="0.3">
      <c r="F74338" s="193"/>
    </row>
    <row r="74339" spans="6:6" x14ac:dyDescent="0.3">
      <c r="F74339" s="193"/>
    </row>
    <row r="74340" spans="6:6" x14ac:dyDescent="0.3">
      <c r="F74340" s="193"/>
    </row>
    <row r="74341" spans="6:6" x14ac:dyDescent="0.3">
      <c r="F74341" s="193"/>
    </row>
    <row r="74342" spans="6:6" x14ac:dyDescent="0.3">
      <c r="F74342" s="193"/>
    </row>
    <row r="74343" spans="6:6" x14ac:dyDescent="0.3">
      <c r="F74343" s="193"/>
    </row>
    <row r="74344" spans="6:6" x14ac:dyDescent="0.3">
      <c r="F74344" s="193"/>
    </row>
    <row r="74345" spans="6:6" x14ac:dyDescent="0.3">
      <c r="F74345" s="193"/>
    </row>
    <row r="74346" spans="6:6" x14ac:dyDescent="0.3">
      <c r="F74346" s="193"/>
    </row>
    <row r="74347" spans="6:6" x14ac:dyDescent="0.3">
      <c r="F74347" s="193"/>
    </row>
    <row r="74348" spans="6:6" x14ac:dyDescent="0.3">
      <c r="F74348" s="193"/>
    </row>
    <row r="74349" spans="6:6" x14ac:dyDescent="0.3">
      <c r="F74349" s="193"/>
    </row>
    <row r="74350" spans="6:6" x14ac:dyDescent="0.3">
      <c r="F74350" s="193"/>
    </row>
    <row r="74351" spans="6:6" x14ac:dyDescent="0.3">
      <c r="F74351" s="193"/>
    </row>
    <row r="74352" spans="6:6" x14ac:dyDescent="0.3">
      <c r="F74352" s="193"/>
    </row>
    <row r="74353" spans="6:6" x14ac:dyDescent="0.3">
      <c r="F74353" s="193"/>
    </row>
    <row r="74354" spans="6:6" x14ac:dyDescent="0.3">
      <c r="F74354" s="193"/>
    </row>
    <row r="74355" spans="6:6" x14ac:dyDescent="0.3">
      <c r="F74355" s="193"/>
    </row>
    <row r="74356" spans="6:6" x14ac:dyDescent="0.3">
      <c r="F74356" s="193"/>
    </row>
    <row r="74357" spans="6:6" x14ac:dyDescent="0.3">
      <c r="F74357" s="193"/>
    </row>
    <row r="74358" spans="6:6" x14ac:dyDescent="0.3">
      <c r="F74358" s="193"/>
    </row>
    <row r="74359" spans="6:6" x14ac:dyDescent="0.3">
      <c r="F74359" s="193"/>
    </row>
    <row r="74360" spans="6:6" x14ac:dyDescent="0.3">
      <c r="F74360" s="193"/>
    </row>
    <row r="74361" spans="6:6" x14ac:dyDescent="0.3">
      <c r="F74361" s="193"/>
    </row>
    <row r="74362" spans="6:6" x14ac:dyDescent="0.3">
      <c r="F74362" s="193"/>
    </row>
    <row r="74363" spans="6:6" x14ac:dyDescent="0.3">
      <c r="F74363" s="193"/>
    </row>
    <row r="74364" spans="6:6" x14ac:dyDescent="0.3">
      <c r="F74364" s="193"/>
    </row>
    <row r="74365" spans="6:6" x14ac:dyDescent="0.3">
      <c r="F74365" s="193"/>
    </row>
    <row r="74366" spans="6:6" x14ac:dyDescent="0.3">
      <c r="F74366" s="193"/>
    </row>
    <row r="74367" spans="6:6" x14ac:dyDescent="0.3">
      <c r="F74367" s="193"/>
    </row>
    <row r="74368" spans="6:6" x14ac:dyDescent="0.3">
      <c r="F74368" s="193"/>
    </row>
    <row r="74369" spans="6:6" x14ac:dyDescent="0.3">
      <c r="F74369" s="193"/>
    </row>
    <row r="74370" spans="6:6" x14ac:dyDescent="0.3">
      <c r="F74370" s="193"/>
    </row>
    <row r="74371" spans="6:6" x14ac:dyDescent="0.3">
      <c r="F74371" s="193"/>
    </row>
    <row r="74372" spans="6:6" x14ac:dyDescent="0.3">
      <c r="F74372" s="193"/>
    </row>
    <row r="74373" spans="6:6" x14ac:dyDescent="0.3">
      <c r="F74373" s="193"/>
    </row>
    <row r="74374" spans="6:6" x14ac:dyDescent="0.3">
      <c r="F74374" s="193"/>
    </row>
    <row r="74375" spans="6:6" x14ac:dyDescent="0.3">
      <c r="F74375" s="193"/>
    </row>
    <row r="74376" spans="6:6" x14ac:dyDescent="0.3">
      <c r="F74376" s="193"/>
    </row>
    <row r="74377" spans="6:6" x14ac:dyDescent="0.3">
      <c r="F74377" s="193"/>
    </row>
    <row r="74378" spans="6:6" x14ac:dyDescent="0.3">
      <c r="F74378" s="193"/>
    </row>
    <row r="74379" spans="6:6" x14ac:dyDescent="0.3">
      <c r="F74379" s="193"/>
    </row>
    <row r="74380" spans="6:6" x14ac:dyDescent="0.3">
      <c r="F74380" s="193"/>
    </row>
    <row r="74381" spans="6:6" x14ac:dyDescent="0.3">
      <c r="F74381" s="193"/>
    </row>
    <row r="74382" spans="6:6" x14ac:dyDescent="0.3">
      <c r="F74382" s="193"/>
    </row>
    <row r="74383" spans="6:6" x14ac:dyDescent="0.3">
      <c r="F74383" s="193"/>
    </row>
    <row r="74384" spans="6:6" x14ac:dyDescent="0.3">
      <c r="F74384" s="193"/>
    </row>
    <row r="74385" spans="6:6" x14ac:dyDescent="0.3">
      <c r="F74385" s="193"/>
    </row>
    <row r="74386" spans="6:6" x14ac:dyDescent="0.3">
      <c r="F74386" s="193"/>
    </row>
    <row r="74387" spans="6:6" x14ac:dyDescent="0.3">
      <c r="F74387" s="193"/>
    </row>
    <row r="74388" spans="6:6" x14ac:dyDescent="0.3">
      <c r="F74388" s="193"/>
    </row>
    <row r="74389" spans="6:6" x14ac:dyDescent="0.3">
      <c r="F74389" s="193"/>
    </row>
    <row r="74390" spans="6:6" x14ac:dyDescent="0.3">
      <c r="F74390" s="193"/>
    </row>
    <row r="74391" spans="6:6" x14ac:dyDescent="0.3">
      <c r="F74391" s="193"/>
    </row>
    <row r="74392" spans="6:6" x14ac:dyDescent="0.3">
      <c r="F74392" s="193"/>
    </row>
    <row r="74393" spans="6:6" x14ac:dyDescent="0.3">
      <c r="F74393" s="193"/>
    </row>
    <row r="74394" spans="6:6" x14ac:dyDescent="0.3">
      <c r="F74394" s="193"/>
    </row>
    <row r="74395" spans="6:6" x14ac:dyDescent="0.3">
      <c r="F74395" s="193"/>
    </row>
    <row r="74396" spans="6:6" x14ac:dyDescent="0.3">
      <c r="F74396" s="193"/>
    </row>
    <row r="74397" spans="6:6" x14ac:dyDescent="0.3">
      <c r="F74397" s="193"/>
    </row>
    <row r="74398" spans="6:6" x14ac:dyDescent="0.3">
      <c r="F74398" s="193"/>
    </row>
    <row r="74399" spans="6:6" x14ac:dyDescent="0.3">
      <c r="F74399" s="193"/>
    </row>
    <row r="74400" spans="6:6" x14ac:dyDescent="0.3">
      <c r="F74400" s="193"/>
    </row>
    <row r="74401" spans="6:6" x14ac:dyDescent="0.3">
      <c r="F74401" s="193"/>
    </row>
    <row r="74402" spans="6:6" x14ac:dyDescent="0.3">
      <c r="F74402" s="193"/>
    </row>
    <row r="74403" spans="6:6" x14ac:dyDescent="0.3">
      <c r="F74403" s="193"/>
    </row>
    <row r="74404" spans="6:6" x14ac:dyDescent="0.3">
      <c r="F74404" s="193"/>
    </row>
    <row r="74405" spans="6:6" x14ac:dyDescent="0.3">
      <c r="F74405" s="193"/>
    </row>
    <row r="74406" spans="6:6" x14ac:dyDescent="0.3">
      <c r="F74406" s="193"/>
    </row>
    <row r="74407" spans="6:6" x14ac:dyDescent="0.3">
      <c r="F74407" s="193"/>
    </row>
    <row r="74408" spans="6:6" x14ac:dyDescent="0.3">
      <c r="F74408" s="193"/>
    </row>
    <row r="74409" spans="6:6" x14ac:dyDescent="0.3">
      <c r="F74409" s="193"/>
    </row>
    <row r="74410" spans="6:6" x14ac:dyDescent="0.3">
      <c r="F74410" s="193"/>
    </row>
    <row r="74411" spans="6:6" x14ac:dyDescent="0.3">
      <c r="F74411" s="193"/>
    </row>
    <row r="74412" spans="6:6" x14ac:dyDescent="0.3">
      <c r="F74412" s="193"/>
    </row>
    <row r="74413" spans="6:6" x14ac:dyDescent="0.3">
      <c r="F74413" s="193"/>
    </row>
    <row r="74414" spans="6:6" x14ac:dyDescent="0.3">
      <c r="F74414" s="193"/>
    </row>
    <row r="74415" spans="6:6" x14ac:dyDescent="0.3">
      <c r="F74415" s="193"/>
    </row>
    <row r="74416" spans="6:6" x14ac:dyDescent="0.3">
      <c r="F74416" s="193"/>
    </row>
    <row r="74417" spans="6:6" x14ac:dyDescent="0.3">
      <c r="F74417" s="193"/>
    </row>
    <row r="74418" spans="6:6" x14ac:dyDescent="0.3">
      <c r="F74418" s="193"/>
    </row>
    <row r="74419" spans="6:6" x14ac:dyDescent="0.3">
      <c r="F74419" s="193"/>
    </row>
    <row r="74420" spans="6:6" x14ac:dyDescent="0.3">
      <c r="F74420" s="193"/>
    </row>
    <row r="74421" spans="6:6" x14ac:dyDescent="0.3">
      <c r="F74421" s="193"/>
    </row>
    <row r="74422" spans="6:6" x14ac:dyDescent="0.3">
      <c r="F74422" s="193"/>
    </row>
    <row r="74423" spans="6:6" x14ac:dyDescent="0.3">
      <c r="F74423" s="193"/>
    </row>
    <row r="74424" spans="6:6" x14ac:dyDescent="0.3">
      <c r="F74424" s="193"/>
    </row>
    <row r="74425" spans="6:6" x14ac:dyDescent="0.3">
      <c r="F74425" s="193"/>
    </row>
    <row r="74426" spans="6:6" x14ac:dyDescent="0.3">
      <c r="F74426" s="193"/>
    </row>
    <row r="74427" spans="6:6" x14ac:dyDescent="0.3">
      <c r="F74427" s="193"/>
    </row>
    <row r="74428" spans="6:6" x14ac:dyDescent="0.3">
      <c r="F74428" s="193"/>
    </row>
    <row r="74429" spans="6:6" x14ac:dyDescent="0.3">
      <c r="F74429" s="193"/>
    </row>
    <row r="74430" spans="6:6" x14ac:dyDescent="0.3">
      <c r="F74430" s="193"/>
    </row>
    <row r="74431" spans="6:6" x14ac:dyDescent="0.3">
      <c r="F74431" s="193"/>
    </row>
    <row r="74432" spans="6:6" x14ac:dyDescent="0.3">
      <c r="F74432" s="193"/>
    </row>
    <row r="74433" spans="6:6" x14ac:dyDescent="0.3">
      <c r="F74433" s="193"/>
    </row>
    <row r="74434" spans="6:6" x14ac:dyDescent="0.3">
      <c r="F74434" s="193"/>
    </row>
    <row r="74435" spans="6:6" x14ac:dyDescent="0.3">
      <c r="F74435" s="193"/>
    </row>
    <row r="74436" spans="6:6" x14ac:dyDescent="0.3">
      <c r="F74436" s="193"/>
    </row>
    <row r="74437" spans="6:6" x14ac:dyDescent="0.3">
      <c r="F74437" s="193"/>
    </row>
    <row r="74438" spans="6:6" x14ac:dyDescent="0.3">
      <c r="F74438" s="193"/>
    </row>
    <row r="74439" spans="6:6" x14ac:dyDescent="0.3">
      <c r="F74439" s="193"/>
    </row>
    <row r="74440" spans="6:6" x14ac:dyDescent="0.3">
      <c r="F74440" s="193"/>
    </row>
    <row r="74441" spans="6:6" x14ac:dyDescent="0.3">
      <c r="F74441" s="193"/>
    </row>
    <row r="74442" spans="6:6" x14ac:dyDescent="0.3">
      <c r="F74442" s="193"/>
    </row>
    <row r="74443" spans="6:6" x14ac:dyDescent="0.3">
      <c r="F74443" s="193"/>
    </row>
    <row r="74444" spans="6:6" x14ac:dyDescent="0.3">
      <c r="F74444" s="193"/>
    </row>
    <row r="74445" spans="6:6" x14ac:dyDescent="0.3">
      <c r="F74445" s="193"/>
    </row>
    <row r="74446" spans="6:6" x14ac:dyDescent="0.3">
      <c r="F74446" s="193"/>
    </row>
    <row r="74447" spans="6:6" x14ac:dyDescent="0.3">
      <c r="F74447" s="193"/>
    </row>
    <row r="74448" spans="6:6" x14ac:dyDescent="0.3">
      <c r="F74448" s="193"/>
    </row>
    <row r="74449" spans="6:6" x14ac:dyDescent="0.3">
      <c r="F74449" s="193"/>
    </row>
    <row r="74450" spans="6:6" x14ac:dyDescent="0.3">
      <c r="F74450" s="193"/>
    </row>
    <row r="74451" spans="6:6" x14ac:dyDescent="0.3">
      <c r="F74451" s="193"/>
    </row>
    <row r="74452" spans="6:6" x14ac:dyDescent="0.3">
      <c r="F74452" s="193"/>
    </row>
    <row r="74453" spans="6:6" x14ac:dyDescent="0.3">
      <c r="F74453" s="193"/>
    </row>
    <row r="74454" spans="6:6" x14ac:dyDescent="0.3">
      <c r="F74454" s="193"/>
    </row>
    <row r="74455" spans="6:6" x14ac:dyDescent="0.3">
      <c r="F74455" s="193"/>
    </row>
    <row r="74456" spans="6:6" x14ac:dyDescent="0.3">
      <c r="F74456" s="193"/>
    </row>
    <row r="74457" spans="6:6" x14ac:dyDescent="0.3">
      <c r="F74457" s="193"/>
    </row>
    <row r="74458" spans="6:6" x14ac:dyDescent="0.3">
      <c r="F74458" s="193"/>
    </row>
    <row r="74459" spans="6:6" x14ac:dyDescent="0.3">
      <c r="F74459" s="193"/>
    </row>
    <row r="74460" spans="6:6" x14ac:dyDescent="0.3">
      <c r="F74460" s="193"/>
    </row>
    <row r="74461" spans="6:6" x14ac:dyDescent="0.3">
      <c r="F74461" s="193"/>
    </row>
    <row r="74462" spans="6:6" x14ac:dyDescent="0.3">
      <c r="F74462" s="193"/>
    </row>
    <row r="74463" spans="6:6" x14ac:dyDescent="0.3">
      <c r="F74463" s="193"/>
    </row>
    <row r="74464" spans="6:6" x14ac:dyDescent="0.3">
      <c r="F74464" s="193"/>
    </row>
    <row r="74465" spans="6:6" x14ac:dyDescent="0.3">
      <c r="F74465" s="193"/>
    </row>
    <row r="74466" spans="6:6" x14ac:dyDescent="0.3">
      <c r="F74466" s="193"/>
    </row>
    <row r="74467" spans="6:6" x14ac:dyDescent="0.3">
      <c r="F74467" s="193"/>
    </row>
    <row r="74468" spans="6:6" x14ac:dyDescent="0.3">
      <c r="F74468" s="193"/>
    </row>
    <row r="74469" spans="6:6" x14ac:dyDescent="0.3">
      <c r="F74469" s="193"/>
    </row>
    <row r="74470" spans="6:6" x14ac:dyDescent="0.3">
      <c r="F74470" s="193"/>
    </row>
    <row r="74471" spans="6:6" x14ac:dyDescent="0.3">
      <c r="F74471" s="193"/>
    </row>
    <row r="74472" spans="6:6" x14ac:dyDescent="0.3">
      <c r="F74472" s="193"/>
    </row>
    <row r="74473" spans="6:6" x14ac:dyDescent="0.3">
      <c r="F74473" s="193"/>
    </row>
    <row r="74474" spans="6:6" x14ac:dyDescent="0.3">
      <c r="F74474" s="193"/>
    </row>
    <row r="74475" spans="6:6" x14ac:dyDescent="0.3">
      <c r="F74475" s="193"/>
    </row>
    <row r="74476" spans="6:6" x14ac:dyDescent="0.3">
      <c r="F74476" s="193"/>
    </row>
    <row r="74477" spans="6:6" x14ac:dyDescent="0.3">
      <c r="F74477" s="193"/>
    </row>
    <row r="74478" spans="6:6" x14ac:dyDescent="0.3">
      <c r="F74478" s="193"/>
    </row>
    <row r="74479" spans="6:6" x14ac:dyDescent="0.3">
      <c r="F74479" s="193"/>
    </row>
    <row r="74480" spans="6:6" x14ac:dyDescent="0.3">
      <c r="F74480" s="193"/>
    </row>
    <row r="74481" spans="6:6" x14ac:dyDescent="0.3">
      <c r="F74481" s="193"/>
    </row>
    <row r="74482" spans="6:6" x14ac:dyDescent="0.3">
      <c r="F74482" s="193"/>
    </row>
    <row r="74483" spans="6:6" x14ac:dyDescent="0.3">
      <c r="F74483" s="193"/>
    </row>
    <row r="74484" spans="6:6" x14ac:dyDescent="0.3">
      <c r="F74484" s="193"/>
    </row>
    <row r="74485" spans="6:6" x14ac:dyDescent="0.3">
      <c r="F74485" s="193"/>
    </row>
    <row r="74486" spans="6:6" x14ac:dyDescent="0.3">
      <c r="F74486" s="193"/>
    </row>
    <row r="74487" spans="6:6" x14ac:dyDescent="0.3">
      <c r="F74487" s="193"/>
    </row>
    <row r="74488" spans="6:6" x14ac:dyDescent="0.3">
      <c r="F74488" s="193"/>
    </row>
    <row r="74489" spans="6:6" x14ac:dyDescent="0.3">
      <c r="F74489" s="193"/>
    </row>
    <row r="74490" spans="6:6" x14ac:dyDescent="0.3">
      <c r="F74490" s="193"/>
    </row>
    <row r="74491" spans="6:6" x14ac:dyDescent="0.3">
      <c r="F74491" s="193"/>
    </row>
    <row r="74492" spans="6:6" x14ac:dyDescent="0.3">
      <c r="F74492" s="193"/>
    </row>
    <row r="74493" spans="6:6" x14ac:dyDescent="0.3">
      <c r="F74493" s="193"/>
    </row>
    <row r="74494" spans="6:6" x14ac:dyDescent="0.3">
      <c r="F74494" s="193"/>
    </row>
    <row r="74495" spans="6:6" x14ac:dyDescent="0.3">
      <c r="F74495" s="193"/>
    </row>
    <row r="74496" spans="6:6" x14ac:dyDescent="0.3">
      <c r="F74496" s="193"/>
    </row>
    <row r="74497" spans="6:6" x14ac:dyDescent="0.3">
      <c r="F74497" s="193"/>
    </row>
    <row r="74498" spans="6:6" x14ac:dyDescent="0.3">
      <c r="F74498" s="193"/>
    </row>
    <row r="74499" spans="6:6" x14ac:dyDescent="0.3">
      <c r="F74499" s="193"/>
    </row>
    <row r="74500" spans="6:6" x14ac:dyDescent="0.3">
      <c r="F74500" s="193"/>
    </row>
    <row r="74501" spans="6:6" x14ac:dyDescent="0.3">
      <c r="F74501" s="193"/>
    </row>
    <row r="74502" spans="6:6" x14ac:dyDescent="0.3">
      <c r="F74502" s="193"/>
    </row>
    <row r="74503" spans="6:6" x14ac:dyDescent="0.3">
      <c r="F74503" s="193"/>
    </row>
    <row r="74504" spans="6:6" x14ac:dyDescent="0.3">
      <c r="F74504" s="193"/>
    </row>
    <row r="74505" spans="6:6" x14ac:dyDescent="0.3">
      <c r="F74505" s="193"/>
    </row>
    <row r="74506" spans="6:6" x14ac:dyDescent="0.3">
      <c r="F74506" s="193"/>
    </row>
    <row r="74507" spans="6:6" x14ac:dyDescent="0.3">
      <c r="F74507" s="193"/>
    </row>
    <row r="74508" spans="6:6" x14ac:dyDescent="0.3">
      <c r="F74508" s="193"/>
    </row>
    <row r="74509" spans="6:6" x14ac:dyDescent="0.3">
      <c r="F74509" s="193"/>
    </row>
    <row r="74510" spans="6:6" x14ac:dyDescent="0.3">
      <c r="F74510" s="193"/>
    </row>
    <row r="74511" spans="6:6" x14ac:dyDescent="0.3">
      <c r="F74511" s="193"/>
    </row>
    <row r="74512" spans="6:6" x14ac:dyDescent="0.3">
      <c r="F74512" s="193"/>
    </row>
    <row r="74513" spans="6:6" x14ac:dyDescent="0.3">
      <c r="F74513" s="193"/>
    </row>
    <row r="74514" spans="6:6" x14ac:dyDescent="0.3">
      <c r="F74514" s="193"/>
    </row>
    <row r="74515" spans="6:6" x14ac:dyDescent="0.3">
      <c r="F74515" s="193"/>
    </row>
    <row r="74516" spans="6:6" x14ac:dyDescent="0.3">
      <c r="F74516" s="193"/>
    </row>
    <row r="74517" spans="6:6" x14ac:dyDescent="0.3">
      <c r="F74517" s="193"/>
    </row>
    <row r="74518" spans="6:6" x14ac:dyDescent="0.3">
      <c r="F74518" s="193"/>
    </row>
    <row r="74519" spans="6:6" x14ac:dyDescent="0.3">
      <c r="F74519" s="193"/>
    </row>
    <row r="74520" spans="6:6" x14ac:dyDescent="0.3">
      <c r="F74520" s="193"/>
    </row>
    <row r="74521" spans="6:6" x14ac:dyDescent="0.3">
      <c r="F74521" s="193"/>
    </row>
    <row r="74522" spans="6:6" x14ac:dyDescent="0.3">
      <c r="F74522" s="193"/>
    </row>
    <row r="74523" spans="6:6" x14ac:dyDescent="0.3">
      <c r="F74523" s="193"/>
    </row>
    <row r="74524" spans="6:6" x14ac:dyDescent="0.3">
      <c r="F74524" s="193"/>
    </row>
    <row r="74525" spans="6:6" x14ac:dyDescent="0.3">
      <c r="F74525" s="193"/>
    </row>
    <row r="74526" spans="6:6" x14ac:dyDescent="0.3">
      <c r="F74526" s="193"/>
    </row>
    <row r="74527" spans="6:6" x14ac:dyDescent="0.3">
      <c r="F74527" s="193"/>
    </row>
    <row r="74528" spans="6:6" x14ac:dyDescent="0.3">
      <c r="F74528" s="193"/>
    </row>
    <row r="74529" spans="6:6" x14ac:dyDescent="0.3">
      <c r="F74529" s="193"/>
    </row>
    <row r="74530" spans="6:6" x14ac:dyDescent="0.3">
      <c r="F74530" s="193"/>
    </row>
    <row r="74531" spans="6:6" x14ac:dyDescent="0.3">
      <c r="F74531" s="193"/>
    </row>
    <row r="74532" spans="6:6" x14ac:dyDescent="0.3">
      <c r="F74532" s="193"/>
    </row>
    <row r="74533" spans="6:6" x14ac:dyDescent="0.3">
      <c r="F74533" s="193"/>
    </row>
    <row r="74534" spans="6:6" x14ac:dyDescent="0.3">
      <c r="F74534" s="193"/>
    </row>
    <row r="74535" spans="6:6" x14ac:dyDescent="0.3">
      <c r="F74535" s="193"/>
    </row>
    <row r="74536" spans="6:6" x14ac:dyDescent="0.3">
      <c r="F74536" s="193"/>
    </row>
    <row r="74537" spans="6:6" x14ac:dyDescent="0.3">
      <c r="F74537" s="193"/>
    </row>
    <row r="74538" spans="6:6" x14ac:dyDescent="0.3">
      <c r="F74538" s="193"/>
    </row>
    <row r="74539" spans="6:6" x14ac:dyDescent="0.3">
      <c r="F74539" s="193"/>
    </row>
    <row r="74540" spans="6:6" x14ac:dyDescent="0.3">
      <c r="F74540" s="193"/>
    </row>
    <row r="74541" spans="6:6" x14ac:dyDescent="0.3">
      <c r="F74541" s="193"/>
    </row>
    <row r="74542" spans="6:6" x14ac:dyDescent="0.3">
      <c r="F74542" s="193"/>
    </row>
    <row r="74543" spans="6:6" x14ac:dyDescent="0.3">
      <c r="F74543" s="193"/>
    </row>
    <row r="74544" spans="6:6" x14ac:dyDescent="0.3">
      <c r="F74544" s="193"/>
    </row>
    <row r="74545" spans="6:6" x14ac:dyDescent="0.3">
      <c r="F74545" s="193"/>
    </row>
    <row r="74546" spans="6:6" x14ac:dyDescent="0.3">
      <c r="F74546" s="193"/>
    </row>
    <row r="74547" spans="6:6" x14ac:dyDescent="0.3">
      <c r="F74547" s="193"/>
    </row>
    <row r="74548" spans="6:6" x14ac:dyDescent="0.3">
      <c r="F74548" s="193"/>
    </row>
    <row r="74549" spans="6:6" x14ac:dyDescent="0.3">
      <c r="F74549" s="193"/>
    </row>
    <row r="74550" spans="6:6" x14ac:dyDescent="0.3">
      <c r="F74550" s="193"/>
    </row>
    <row r="74551" spans="6:6" x14ac:dyDescent="0.3">
      <c r="F74551" s="193"/>
    </row>
    <row r="74552" spans="6:6" x14ac:dyDescent="0.3">
      <c r="F74552" s="193"/>
    </row>
    <row r="74553" spans="6:6" x14ac:dyDescent="0.3">
      <c r="F74553" s="193"/>
    </row>
    <row r="74554" spans="6:6" x14ac:dyDescent="0.3">
      <c r="F74554" s="193"/>
    </row>
    <row r="74555" spans="6:6" x14ac:dyDescent="0.3">
      <c r="F74555" s="193"/>
    </row>
    <row r="74556" spans="6:6" x14ac:dyDescent="0.3">
      <c r="F74556" s="193"/>
    </row>
    <row r="74557" spans="6:6" x14ac:dyDescent="0.3">
      <c r="F74557" s="193"/>
    </row>
    <row r="74558" spans="6:6" x14ac:dyDescent="0.3">
      <c r="F74558" s="193"/>
    </row>
    <row r="74559" spans="6:6" x14ac:dyDescent="0.3">
      <c r="F74559" s="193"/>
    </row>
    <row r="74560" spans="6:6" x14ac:dyDescent="0.3">
      <c r="F74560" s="193"/>
    </row>
    <row r="74561" spans="6:6" x14ac:dyDescent="0.3">
      <c r="F74561" s="193"/>
    </row>
    <row r="74562" spans="6:6" x14ac:dyDescent="0.3">
      <c r="F74562" s="193"/>
    </row>
    <row r="74563" spans="6:6" x14ac:dyDescent="0.3">
      <c r="F74563" s="193"/>
    </row>
    <row r="74564" spans="6:6" x14ac:dyDescent="0.3">
      <c r="F74564" s="193"/>
    </row>
    <row r="74565" spans="6:6" x14ac:dyDescent="0.3">
      <c r="F74565" s="193"/>
    </row>
    <row r="74566" spans="6:6" x14ac:dyDescent="0.3">
      <c r="F74566" s="193"/>
    </row>
    <row r="74567" spans="6:6" x14ac:dyDescent="0.3">
      <c r="F74567" s="193"/>
    </row>
    <row r="74568" spans="6:6" x14ac:dyDescent="0.3">
      <c r="F74568" s="193"/>
    </row>
    <row r="74569" spans="6:6" x14ac:dyDescent="0.3">
      <c r="F74569" s="193"/>
    </row>
    <row r="74570" spans="6:6" x14ac:dyDescent="0.3">
      <c r="F74570" s="193"/>
    </row>
    <row r="74571" spans="6:6" x14ac:dyDescent="0.3">
      <c r="F74571" s="193"/>
    </row>
    <row r="74572" spans="6:6" x14ac:dyDescent="0.3">
      <c r="F74572" s="193"/>
    </row>
    <row r="74573" spans="6:6" x14ac:dyDescent="0.3">
      <c r="F74573" s="193"/>
    </row>
    <row r="74574" spans="6:6" x14ac:dyDescent="0.3">
      <c r="F74574" s="193"/>
    </row>
    <row r="74575" spans="6:6" x14ac:dyDescent="0.3">
      <c r="F74575" s="193"/>
    </row>
    <row r="74576" spans="6:6" x14ac:dyDescent="0.3">
      <c r="F74576" s="193"/>
    </row>
    <row r="74577" spans="6:6" x14ac:dyDescent="0.3">
      <c r="F74577" s="193"/>
    </row>
    <row r="74578" spans="6:6" x14ac:dyDescent="0.3">
      <c r="F74578" s="193"/>
    </row>
    <row r="74579" spans="6:6" x14ac:dyDescent="0.3">
      <c r="F74579" s="193"/>
    </row>
    <row r="74580" spans="6:6" x14ac:dyDescent="0.3">
      <c r="F74580" s="193"/>
    </row>
    <row r="74581" spans="6:6" x14ac:dyDescent="0.3">
      <c r="F74581" s="193"/>
    </row>
    <row r="74582" spans="6:6" x14ac:dyDescent="0.3">
      <c r="F74582" s="193"/>
    </row>
    <row r="74583" spans="6:6" x14ac:dyDescent="0.3">
      <c r="F74583" s="193"/>
    </row>
    <row r="74584" spans="6:6" x14ac:dyDescent="0.3">
      <c r="F74584" s="193"/>
    </row>
    <row r="74585" spans="6:6" x14ac:dyDescent="0.3">
      <c r="F74585" s="193"/>
    </row>
    <row r="74586" spans="6:6" x14ac:dyDescent="0.3">
      <c r="F74586" s="193"/>
    </row>
    <row r="74587" spans="6:6" x14ac:dyDescent="0.3">
      <c r="F74587" s="193"/>
    </row>
    <row r="74588" spans="6:6" x14ac:dyDescent="0.3">
      <c r="F74588" s="193"/>
    </row>
    <row r="74589" spans="6:6" x14ac:dyDescent="0.3">
      <c r="F74589" s="193"/>
    </row>
    <row r="74590" spans="6:6" x14ac:dyDescent="0.3">
      <c r="F74590" s="193"/>
    </row>
    <row r="74591" spans="6:6" x14ac:dyDescent="0.3">
      <c r="F74591" s="193"/>
    </row>
    <row r="74592" spans="6:6" x14ac:dyDescent="0.3">
      <c r="F74592" s="193"/>
    </row>
    <row r="74593" spans="6:6" x14ac:dyDescent="0.3">
      <c r="F74593" s="193"/>
    </row>
    <row r="74594" spans="6:6" x14ac:dyDescent="0.3">
      <c r="F74594" s="193"/>
    </row>
    <row r="74595" spans="6:6" x14ac:dyDescent="0.3">
      <c r="F74595" s="193"/>
    </row>
    <row r="74596" spans="6:6" x14ac:dyDescent="0.3">
      <c r="F74596" s="193"/>
    </row>
    <row r="74597" spans="6:6" x14ac:dyDescent="0.3">
      <c r="F74597" s="193"/>
    </row>
    <row r="74598" spans="6:6" x14ac:dyDescent="0.3">
      <c r="F74598" s="193"/>
    </row>
    <row r="74599" spans="6:6" x14ac:dyDescent="0.3">
      <c r="F74599" s="193"/>
    </row>
    <row r="74600" spans="6:6" x14ac:dyDescent="0.3">
      <c r="F74600" s="193"/>
    </row>
    <row r="74601" spans="6:6" x14ac:dyDescent="0.3">
      <c r="F74601" s="193"/>
    </row>
    <row r="74602" spans="6:6" x14ac:dyDescent="0.3">
      <c r="F74602" s="193"/>
    </row>
    <row r="74603" spans="6:6" x14ac:dyDescent="0.3">
      <c r="F74603" s="193"/>
    </row>
    <row r="74604" spans="6:6" x14ac:dyDescent="0.3">
      <c r="F74604" s="193"/>
    </row>
    <row r="74605" spans="6:6" x14ac:dyDescent="0.3">
      <c r="F74605" s="193"/>
    </row>
    <row r="74606" spans="6:6" x14ac:dyDescent="0.3">
      <c r="F74606" s="193"/>
    </row>
    <row r="74607" spans="6:6" x14ac:dyDescent="0.3">
      <c r="F74607" s="193"/>
    </row>
    <row r="74608" spans="6:6" x14ac:dyDescent="0.3">
      <c r="F74608" s="193"/>
    </row>
    <row r="74609" spans="6:6" x14ac:dyDescent="0.3">
      <c r="F74609" s="193"/>
    </row>
    <row r="74610" spans="6:6" x14ac:dyDescent="0.3">
      <c r="F74610" s="193"/>
    </row>
    <row r="74611" spans="6:6" x14ac:dyDescent="0.3">
      <c r="F74611" s="193"/>
    </row>
    <row r="74612" spans="6:6" x14ac:dyDescent="0.3">
      <c r="F74612" s="193"/>
    </row>
    <row r="74613" spans="6:6" x14ac:dyDescent="0.3">
      <c r="F74613" s="193"/>
    </row>
    <row r="74614" spans="6:6" x14ac:dyDescent="0.3">
      <c r="F74614" s="193"/>
    </row>
    <row r="74615" spans="6:6" x14ac:dyDescent="0.3">
      <c r="F74615" s="193"/>
    </row>
    <row r="74616" spans="6:6" x14ac:dyDescent="0.3">
      <c r="F74616" s="193"/>
    </row>
    <row r="74617" spans="6:6" x14ac:dyDescent="0.3">
      <c r="F74617" s="193"/>
    </row>
    <row r="74618" spans="6:6" x14ac:dyDescent="0.3">
      <c r="F74618" s="193"/>
    </row>
    <row r="74619" spans="6:6" x14ac:dyDescent="0.3">
      <c r="F74619" s="193"/>
    </row>
    <row r="74620" spans="6:6" x14ac:dyDescent="0.3">
      <c r="F74620" s="193"/>
    </row>
    <row r="74621" spans="6:6" x14ac:dyDescent="0.3">
      <c r="F74621" s="193"/>
    </row>
    <row r="74622" spans="6:6" x14ac:dyDescent="0.3">
      <c r="F74622" s="193"/>
    </row>
    <row r="74623" spans="6:6" x14ac:dyDescent="0.3">
      <c r="F74623" s="193"/>
    </row>
    <row r="74624" spans="6:6" x14ac:dyDescent="0.3">
      <c r="F74624" s="193"/>
    </row>
    <row r="74625" spans="6:6" x14ac:dyDescent="0.3">
      <c r="F74625" s="193"/>
    </row>
    <row r="74626" spans="6:6" x14ac:dyDescent="0.3">
      <c r="F74626" s="193"/>
    </row>
    <row r="74627" spans="6:6" x14ac:dyDescent="0.3">
      <c r="F74627" s="193"/>
    </row>
    <row r="74628" spans="6:6" x14ac:dyDescent="0.3">
      <c r="F74628" s="193"/>
    </row>
    <row r="74629" spans="6:6" x14ac:dyDescent="0.3">
      <c r="F74629" s="193"/>
    </row>
    <row r="74630" spans="6:6" x14ac:dyDescent="0.3">
      <c r="F74630" s="193"/>
    </row>
    <row r="74631" spans="6:6" x14ac:dyDescent="0.3">
      <c r="F74631" s="193"/>
    </row>
    <row r="74632" spans="6:6" x14ac:dyDescent="0.3">
      <c r="F74632" s="193"/>
    </row>
    <row r="74633" spans="6:6" x14ac:dyDescent="0.3">
      <c r="F74633" s="193"/>
    </row>
    <row r="74634" spans="6:6" x14ac:dyDescent="0.3">
      <c r="F74634" s="193"/>
    </row>
    <row r="74635" spans="6:6" x14ac:dyDescent="0.3">
      <c r="F74635" s="193"/>
    </row>
    <row r="74636" spans="6:6" x14ac:dyDescent="0.3">
      <c r="F74636" s="193"/>
    </row>
    <row r="74637" spans="6:6" x14ac:dyDescent="0.3">
      <c r="F74637" s="193"/>
    </row>
    <row r="74638" spans="6:6" x14ac:dyDescent="0.3">
      <c r="F74638" s="193"/>
    </row>
    <row r="74639" spans="6:6" x14ac:dyDescent="0.3">
      <c r="F74639" s="193"/>
    </row>
    <row r="74640" spans="6:6" x14ac:dyDescent="0.3">
      <c r="F74640" s="193"/>
    </row>
    <row r="74641" spans="6:6" x14ac:dyDescent="0.3">
      <c r="F74641" s="193"/>
    </row>
    <row r="74642" spans="6:6" x14ac:dyDescent="0.3">
      <c r="F74642" s="193"/>
    </row>
    <row r="74643" spans="6:6" x14ac:dyDescent="0.3">
      <c r="F74643" s="193"/>
    </row>
    <row r="74644" spans="6:6" x14ac:dyDescent="0.3">
      <c r="F74644" s="193"/>
    </row>
    <row r="74645" spans="6:6" x14ac:dyDescent="0.3">
      <c r="F74645" s="193"/>
    </row>
    <row r="74646" spans="6:6" x14ac:dyDescent="0.3">
      <c r="F74646" s="193"/>
    </row>
    <row r="74647" spans="6:6" x14ac:dyDescent="0.3">
      <c r="F74647" s="193"/>
    </row>
    <row r="74648" spans="6:6" x14ac:dyDescent="0.3">
      <c r="F74648" s="193"/>
    </row>
    <row r="74649" spans="6:6" x14ac:dyDescent="0.3">
      <c r="F74649" s="193"/>
    </row>
    <row r="74650" spans="6:6" x14ac:dyDescent="0.3">
      <c r="F74650" s="193"/>
    </row>
    <row r="74651" spans="6:6" x14ac:dyDescent="0.3">
      <c r="F74651" s="193"/>
    </row>
    <row r="74652" spans="6:6" x14ac:dyDescent="0.3">
      <c r="F74652" s="193"/>
    </row>
    <row r="74653" spans="6:6" x14ac:dyDescent="0.3">
      <c r="F74653" s="193"/>
    </row>
    <row r="74654" spans="6:6" x14ac:dyDescent="0.3">
      <c r="F74654" s="193"/>
    </row>
    <row r="74655" spans="6:6" x14ac:dyDescent="0.3">
      <c r="F74655" s="193"/>
    </row>
    <row r="74656" spans="6:6" x14ac:dyDescent="0.3">
      <c r="F74656" s="193"/>
    </row>
    <row r="74657" spans="6:6" x14ac:dyDescent="0.3">
      <c r="F74657" s="193"/>
    </row>
    <row r="74658" spans="6:6" x14ac:dyDescent="0.3">
      <c r="F74658" s="193"/>
    </row>
    <row r="74659" spans="6:6" x14ac:dyDescent="0.3">
      <c r="F74659" s="193"/>
    </row>
    <row r="74660" spans="6:6" x14ac:dyDescent="0.3">
      <c r="F74660" s="193"/>
    </row>
    <row r="74661" spans="6:6" x14ac:dyDescent="0.3">
      <c r="F74661" s="193"/>
    </row>
    <row r="74662" spans="6:6" x14ac:dyDescent="0.3">
      <c r="F74662" s="193"/>
    </row>
    <row r="74663" spans="6:6" x14ac:dyDescent="0.3">
      <c r="F74663" s="193"/>
    </row>
    <row r="74664" spans="6:6" x14ac:dyDescent="0.3">
      <c r="F74664" s="193"/>
    </row>
    <row r="74665" spans="6:6" x14ac:dyDescent="0.3">
      <c r="F74665" s="193"/>
    </row>
    <row r="74666" spans="6:6" x14ac:dyDescent="0.3">
      <c r="F74666" s="193"/>
    </row>
    <row r="74667" spans="6:6" x14ac:dyDescent="0.3">
      <c r="F74667" s="193"/>
    </row>
    <row r="74668" spans="6:6" x14ac:dyDescent="0.3">
      <c r="F74668" s="193"/>
    </row>
    <row r="74669" spans="6:6" x14ac:dyDescent="0.3">
      <c r="F74669" s="193"/>
    </row>
    <row r="74670" spans="6:6" x14ac:dyDescent="0.3">
      <c r="F74670" s="193"/>
    </row>
    <row r="74671" spans="6:6" x14ac:dyDescent="0.3">
      <c r="F74671" s="193"/>
    </row>
    <row r="74672" spans="6:6" x14ac:dyDescent="0.3">
      <c r="F74672" s="193"/>
    </row>
    <row r="74673" spans="6:6" x14ac:dyDescent="0.3">
      <c r="F74673" s="193"/>
    </row>
    <row r="74674" spans="6:6" x14ac:dyDescent="0.3">
      <c r="F74674" s="193"/>
    </row>
    <row r="74675" spans="6:6" x14ac:dyDescent="0.3">
      <c r="F74675" s="193"/>
    </row>
    <row r="74676" spans="6:6" x14ac:dyDescent="0.3">
      <c r="F74676" s="193"/>
    </row>
    <row r="74677" spans="6:6" x14ac:dyDescent="0.3">
      <c r="F74677" s="193"/>
    </row>
    <row r="74678" spans="6:6" x14ac:dyDescent="0.3">
      <c r="F74678" s="193"/>
    </row>
    <row r="74679" spans="6:6" x14ac:dyDescent="0.3">
      <c r="F74679" s="193"/>
    </row>
    <row r="74680" spans="6:6" x14ac:dyDescent="0.3">
      <c r="F74680" s="193"/>
    </row>
    <row r="74681" spans="6:6" x14ac:dyDescent="0.3">
      <c r="F74681" s="193"/>
    </row>
    <row r="74682" spans="6:6" x14ac:dyDescent="0.3">
      <c r="F74682" s="193"/>
    </row>
    <row r="74683" spans="6:6" x14ac:dyDescent="0.3">
      <c r="F74683" s="193"/>
    </row>
    <row r="74684" spans="6:6" x14ac:dyDescent="0.3">
      <c r="F74684" s="193"/>
    </row>
    <row r="74685" spans="6:6" x14ac:dyDescent="0.3">
      <c r="F74685" s="193"/>
    </row>
    <row r="74686" spans="6:6" x14ac:dyDescent="0.3">
      <c r="F74686" s="193"/>
    </row>
    <row r="74687" spans="6:6" x14ac:dyDescent="0.3">
      <c r="F74687" s="193"/>
    </row>
    <row r="74688" spans="6:6" x14ac:dyDescent="0.3">
      <c r="F74688" s="193"/>
    </row>
    <row r="74689" spans="6:6" x14ac:dyDescent="0.3">
      <c r="F74689" s="193"/>
    </row>
    <row r="74690" spans="6:6" x14ac:dyDescent="0.3">
      <c r="F74690" s="193"/>
    </row>
    <row r="74691" spans="6:6" x14ac:dyDescent="0.3">
      <c r="F74691" s="193"/>
    </row>
    <row r="74692" spans="6:6" x14ac:dyDescent="0.3">
      <c r="F74692" s="193"/>
    </row>
    <row r="74693" spans="6:6" x14ac:dyDescent="0.3">
      <c r="F74693" s="193"/>
    </row>
    <row r="74694" spans="6:6" x14ac:dyDescent="0.3">
      <c r="F74694" s="193"/>
    </row>
    <row r="74695" spans="6:6" x14ac:dyDescent="0.3">
      <c r="F74695" s="193"/>
    </row>
    <row r="74696" spans="6:6" x14ac:dyDescent="0.3">
      <c r="F74696" s="193"/>
    </row>
    <row r="74697" spans="6:6" x14ac:dyDescent="0.3">
      <c r="F74697" s="193"/>
    </row>
    <row r="74698" spans="6:6" x14ac:dyDescent="0.3">
      <c r="F74698" s="193"/>
    </row>
    <row r="74699" spans="6:6" x14ac:dyDescent="0.3">
      <c r="F74699" s="193"/>
    </row>
    <row r="74700" spans="6:6" x14ac:dyDescent="0.3">
      <c r="F74700" s="193"/>
    </row>
    <row r="74701" spans="6:6" x14ac:dyDescent="0.3">
      <c r="F74701" s="193"/>
    </row>
    <row r="74702" spans="6:6" x14ac:dyDescent="0.3">
      <c r="F74702" s="193"/>
    </row>
    <row r="74703" spans="6:6" x14ac:dyDescent="0.3">
      <c r="F74703" s="193"/>
    </row>
    <row r="74704" spans="6:6" x14ac:dyDescent="0.3">
      <c r="F74704" s="193"/>
    </row>
    <row r="74705" spans="6:6" x14ac:dyDescent="0.3">
      <c r="F74705" s="193"/>
    </row>
    <row r="74706" spans="6:6" x14ac:dyDescent="0.3">
      <c r="F74706" s="193"/>
    </row>
    <row r="74707" spans="6:6" x14ac:dyDescent="0.3">
      <c r="F74707" s="193"/>
    </row>
    <row r="74708" spans="6:6" x14ac:dyDescent="0.3">
      <c r="F74708" s="193"/>
    </row>
    <row r="74709" spans="6:6" x14ac:dyDescent="0.3">
      <c r="F74709" s="193"/>
    </row>
    <row r="74710" spans="6:6" x14ac:dyDescent="0.3">
      <c r="F74710" s="193"/>
    </row>
    <row r="74711" spans="6:6" x14ac:dyDescent="0.3">
      <c r="F74711" s="193"/>
    </row>
    <row r="74712" spans="6:6" x14ac:dyDescent="0.3">
      <c r="F74712" s="193"/>
    </row>
    <row r="74713" spans="6:6" x14ac:dyDescent="0.3">
      <c r="F74713" s="193"/>
    </row>
    <row r="74714" spans="6:6" x14ac:dyDescent="0.3">
      <c r="F74714" s="193"/>
    </row>
    <row r="74715" spans="6:6" x14ac:dyDescent="0.3">
      <c r="F74715" s="193"/>
    </row>
    <row r="74716" spans="6:6" x14ac:dyDescent="0.3">
      <c r="F74716" s="193"/>
    </row>
    <row r="74717" spans="6:6" x14ac:dyDescent="0.3">
      <c r="F74717" s="193"/>
    </row>
    <row r="74718" spans="6:6" x14ac:dyDescent="0.3">
      <c r="F74718" s="193"/>
    </row>
    <row r="74719" spans="6:6" x14ac:dyDescent="0.3">
      <c r="F74719" s="193"/>
    </row>
    <row r="74720" spans="6:6" x14ac:dyDescent="0.3">
      <c r="F74720" s="193"/>
    </row>
    <row r="74721" spans="6:6" x14ac:dyDescent="0.3">
      <c r="F74721" s="193"/>
    </row>
    <row r="74722" spans="6:6" x14ac:dyDescent="0.3">
      <c r="F74722" s="193"/>
    </row>
    <row r="74723" spans="6:6" x14ac:dyDescent="0.3">
      <c r="F74723" s="193"/>
    </row>
    <row r="74724" spans="6:6" x14ac:dyDescent="0.3">
      <c r="F74724" s="193"/>
    </row>
    <row r="74725" spans="6:6" x14ac:dyDescent="0.3">
      <c r="F74725" s="193"/>
    </row>
    <row r="74726" spans="6:6" x14ac:dyDescent="0.3">
      <c r="F74726" s="193"/>
    </row>
    <row r="74727" spans="6:6" x14ac:dyDescent="0.3">
      <c r="F74727" s="193"/>
    </row>
    <row r="74728" spans="6:6" x14ac:dyDescent="0.3">
      <c r="F74728" s="193"/>
    </row>
    <row r="74729" spans="6:6" x14ac:dyDescent="0.3">
      <c r="F74729" s="193"/>
    </row>
    <row r="74730" spans="6:6" x14ac:dyDescent="0.3">
      <c r="F74730" s="193"/>
    </row>
    <row r="74731" spans="6:6" x14ac:dyDescent="0.3">
      <c r="F74731" s="193"/>
    </row>
    <row r="74732" spans="6:6" x14ac:dyDescent="0.3">
      <c r="F74732" s="193"/>
    </row>
    <row r="74733" spans="6:6" x14ac:dyDescent="0.3">
      <c r="F74733" s="193"/>
    </row>
    <row r="74734" spans="6:6" x14ac:dyDescent="0.3">
      <c r="F74734" s="193"/>
    </row>
    <row r="74735" spans="6:6" x14ac:dyDescent="0.3">
      <c r="F74735" s="193"/>
    </row>
    <row r="74736" spans="6:6" x14ac:dyDescent="0.3">
      <c r="F74736" s="193"/>
    </row>
    <row r="74737" spans="6:6" x14ac:dyDescent="0.3">
      <c r="F74737" s="193"/>
    </row>
    <row r="74738" spans="6:6" x14ac:dyDescent="0.3">
      <c r="F74738" s="193"/>
    </row>
    <row r="74739" spans="6:6" x14ac:dyDescent="0.3">
      <c r="F74739" s="193"/>
    </row>
    <row r="74740" spans="6:6" x14ac:dyDescent="0.3">
      <c r="F74740" s="193"/>
    </row>
    <row r="74741" spans="6:6" x14ac:dyDescent="0.3">
      <c r="F74741" s="193"/>
    </row>
    <row r="74742" spans="6:6" x14ac:dyDescent="0.3">
      <c r="F74742" s="193"/>
    </row>
    <row r="74743" spans="6:6" x14ac:dyDescent="0.3">
      <c r="F74743" s="193"/>
    </row>
    <row r="74744" spans="6:6" x14ac:dyDescent="0.3">
      <c r="F74744" s="193"/>
    </row>
    <row r="74745" spans="6:6" x14ac:dyDescent="0.3">
      <c r="F74745" s="193"/>
    </row>
    <row r="74746" spans="6:6" x14ac:dyDescent="0.3">
      <c r="F74746" s="193"/>
    </row>
    <row r="74747" spans="6:6" x14ac:dyDescent="0.3">
      <c r="F74747" s="193"/>
    </row>
    <row r="74748" spans="6:6" x14ac:dyDescent="0.3">
      <c r="F74748" s="193"/>
    </row>
    <row r="74749" spans="6:6" x14ac:dyDescent="0.3">
      <c r="F74749" s="193"/>
    </row>
    <row r="74750" spans="6:6" x14ac:dyDescent="0.3">
      <c r="F74750" s="193"/>
    </row>
    <row r="74751" spans="6:6" x14ac:dyDescent="0.3">
      <c r="F74751" s="193"/>
    </row>
    <row r="74752" spans="6:6" x14ac:dyDescent="0.3">
      <c r="F74752" s="193"/>
    </row>
    <row r="74753" spans="6:6" x14ac:dyDescent="0.3">
      <c r="F74753" s="193"/>
    </row>
    <row r="74754" spans="6:6" x14ac:dyDescent="0.3">
      <c r="F74754" s="193"/>
    </row>
    <row r="74755" spans="6:6" x14ac:dyDescent="0.3">
      <c r="F74755" s="193"/>
    </row>
    <row r="74756" spans="6:6" x14ac:dyDescent="0.3">
      <c r="F74756" s="193"/>
    </row>
    <row r="74757" spans="6:6" x14ac:dyDescent="0.3">
      <c r="F74757" s="193"/>
    </row>
    <row r="74758" spans="6:6" x14ac:dyDescent="0.3">
      <c r="F74758" s="193"/>
    </row>
    <row r="74759" spans="6:6" x14ac:dyDescent="0.3">
      <c r="F74759" s="193"/>
    </row>
    <row r="74760" spans="6:6" x14ac:dyDescent="0.3">
      <c r="F74760" s="193"/>
    </row>
    <row r="74761" spans="6:6" x14ac:dyDescent="0.3">
      <c r="F74761" s="193"/>
    </row>
    <row r="74762" spans="6:6" x14ac:dyDescent="0.3">
      <c r="F74762" s="193"/>
    </row>
    <row r="74763" spans="6:6" x14ac:dyDescent="0.3">
      <c r="F74763" s="193"/>
    </row>
    <row r="74764" spans="6:6" x14ac:dyDescent="0.3">
      <c r="F74764" s="193"/>
    </row>
    <row r="74765" spans="6:6" x14ac:dyDescent="0.3">
      <c r="F74765" s="193"/>
    </row>
    <row r="74766" spans="6:6" x14ac:dyDescent="0.3">
      <c r="F74766" s="193"/>
    </row>
    <row r="74767" spans="6:6" x14ac:dyDescent="0.3">
      <c r="F74767" s="193"/>
    </row>
    <row r="74768" spans="6:6" x14ac:dyDescent="0.3">
      <c r="F74768" s="193"/>
    </row>
    <row r="74769" spans="6:6" x14ac:dyDescent="0.3">
      <c r="F74769" s="193"/>
    </row>
    <row r="74770" spans="6:6" x14ac:dyDescent="0.3">
      <c r="F74770" s="193"/>
    </row>
    <row r="74771" spans="6:6" x14ac:dyDescent="0.3">
      <c r="F74771" s="193"/>
    </row>
    <row r="74772" spans="6:6" x14ac:dyDescent="0.3">
      <c r="F74772" s="193"/>
    </row>
    <row r="74773" spans="6:6" x14ac:dyDescent="0.3">
      <c r="F74773" s="193"/>
    </row>
    <row r="74774" spans="6:6" x14ac:dyDescent="0.3">
      <c r="F74774" s="193"/>
    </row>
    <row r="74775" spans="6:6" x14ac:dyDescent="0.3">
      <c r="F74775" s="193"/>
    </row>
    <row r="74776" spans="6:6" x14ac:dyDescent="0.3">
      <c r="F74776" s="193"/>
    </row>
    <row r="74777" spans="6:6" x14ac:dyDescent="0.3">
      <c r="F74777" s="193"/>
    </row>
    <row r="74778" spans="6:6" x14ac:dyDescent="0.3">
      <c r="F74778" s="193"/>
    </row>
    <row r="74779" spans="6:6" x14ac:dyDescent="0.3">
      <c r="F74779" s="193"/>
    </row>
    <row r="74780" spans="6:6" x14ac:dyDescent="0.3">
      <c r="F74780" s="193"/>
    </row>
    <row r="74781" spans="6:6" x14ac:dyDescent="0.3">
      <c r="F74781" s="193"/>
    </row>
    <row r="74782" spans="6:6" x14ac:dyDescent="0.3">
      <c r="F74782" s="193"/>
    </row>
    <row r="74783" spans="6:6" x14ac:dyDescent="0.3">
      <c r="F74783" s="193"/>
    </row>
    <row r="74784" spans="6:6" x14ac:dyDescent="0.3">
      <c r="F74784" s="193"/>
    </row>
    <row r="74785" spans="6:6" x14ac:dyDescent="0.3">
      <c r="F74785" s="193"/>
    </row>
    <row r="74786" spans="6:6" x14ac:dyDescent="0.3">
      <c r="F74786" s="193"/>
    </row>
    <row r="74787" spans="6:6" x14ac:dyDescent="0.3">
      <c r="F74787" s="193"/>
    </row>
    <row r="74788" spans="6:6" x14ac:dyDescent="0.3">
      <c r="F74788" s="193"/>
    </row>
    <row r="74789" spans="6:6" x14ac:dyDescent="0.3">
      <c r="F74789" s="193"/>
    </row>
    <row r="74790" spans="6:6" x14ac:dyDescent="0.3">
      <c r="F74790" s="193"/>
    </row>
    <row r="74791" spans="6:6" x14ac:dyDescent="0.3">
      <c r="F74791" s="193"/>
    </row>
    <row r="74792" spans="6:6" x14ac:dyDescent="0.3">
      <c r="F74792" s="193"/>
    </row>
    <row r="74793" spans="6:6" x14ac:dyDescent="0.3">
      <c r="F74793" s="193"/>
    </row>
    <row r="74794" spans="6:6" x14ac:dyDescent="0.3">
      <c r="F74794" s="193"/>
    </row>
    <row r="74795" spans="6:6" x14ac:dyDescent="0.3">
      <c r="F74795" s="193"/>
    </row>
    <row r="74796" spans="6:6" x14ac:dyDescent="0.3">
      <c r="F74796" s="193"/>
    </row>
    <row r="74797" spans="6:6" x14ac:dyDescent="0.3">
      <c r="F74797" s="193"/>
    </row>
    <row r="74798" spans="6:6" x14ac:dyDescent="0.3">
      <c r="F74798" s="193"/>
    </row>
    <row r="74799" spans="6:6" x14ac:dyDescent="0.3">
      <c r="F74799" s="193"/>
    </row>
    <row r="74800" spans="6:6" x14ac:dyDescent="0.3">
      <c r="F74800" s="193"/>
    </row>
    <row r="74801" spans="6:6" x14ac:dyDescent="0.3">
      <c r="F74801" s="193"/>
    </row>
    <row r="74802" spans="6:6" x14ac:dyDescent="0.3">
      <c r="F74802" s="193"/>
    </row>
    <row r="74803" spans="6:6" x14ac:dyDescent="0.3">
      <c r="F74803" s="193"/>
    </row>
    <row r="74804" spans="6:6" x14ac:dyDescent="0.3">
      <c r="F74804" s="193"/>
    </row>
    <row r="74805" spans="6:6" x14ac:dyDescent="0.3">
      <c r="F74805" s="193"/>
    </row>
    <row r="74806" spans="6:6" x14ac:dyDescent="0.3">
      <c r="F74806" s="193"/>
    </row>
    <row r="74807" spans="6:6" x14ac:dyDescent="0.3">
      <c r="F74807" s="193"/>
    </row>
    <row r="74808" spans="6:6" x14ac:dyDescent="0.3">
      <c r="F74808" s="193"/>
    </row>
    <row r="74809" spans="6:6" x14ac:dyDescent="0.3">
      <c r="F74809" s="193"/>
    </row>
    <row r="74810" spans="6:6" x14ac:dyDescent="0.3">
      <c r="F74810" s="193"/>
    </row>
    <row r="74811" spans="6:6" x14ac:dyDescent="0.3">
      <c r="F74811" s="193"/>
    </row>
    <row r="74812" spans="6:6" x14ac:dyDescent="0.3">
      <c r="F74812" s="193"/>
    </row>
    <row r="74813" spans="6:6" x14ac:dyDescent="0.3">
      <c r="F74813" s="193"/>
    </row>
    <row r="74814" spans="6:6" x14ac:dyDescent="0.3">
      <c r="F74814" s="193"/>
    </row>
    <row r="74815" spans="6:6" x14ac:dyDescent="0.3">
      <c r="F74815" s="193"/>
    </row>
    <row r="74816" spans="6:6" x14ac:dyDescent="0.3">
      <c r="F74816" s="193"/>
    </row>
    <row r="74817" spans="6:6" x14ac:dyDescent="0.3">
      <c r="F74817" s="193"/>
    </row>
    <row r="74818" spans="6:6" x14ac:dyDescent="0.3">
      <c r="F74818" s="193"/>
    </row>
    <row r="74819" spans="6:6" x14ac:dyDescent="0.3">
      <c r="F74819" s="193"/>
    </row>
    <row r="74820" spans="6:6" x14ac:dyDescent="0.3">
      <c r="F74820" s="193"/>
    </row>
    <row r="74821" spans="6:6" x14ac:dyDescent="0.3">
      <c r="F74821" s="193"/>
    </row>
    <row r="74822" spans="6:6" x14ac:dyDescent="0.3">
      <c r="F74822" s="193"/>
    </row>
    <row r="74823" spans="6:6" x14ac:dyDescent="0.3">
      <c r="F74823" s="193"/>
    </row>
    <row r="74824" spans="6:6" x14ac:dyDescent="0.3">
      <c r="F74824" s="193"/>
    </row>
    <row r="74825" spans="6:6" x14ac:dyDescent="0.3">
      <c r="F74825" s="193"/>
    </row>
    <row r="74826" spans="6:6" x14ac:dyDescent="0.3">
      <c r="F74826" s="193"/>
    </row>
    <row r="74827" spans="6:6" x14ac:dyDescent="0.3">
      <c r="F74827" s="193"/>
    </row>
    <row r="74828" spans="6:6" x14ac:dyDescent="0.3">
      <c r="F74828" s="193"/>
    </row>
    <row r="74829" spans="6:6" x14ac:dyDescent="0.3">
      <c r="F74829" s="193"/>
    </row>
    <row r="74830" spans="6:6" x14ac:dyDescent="0.3">
      <c r="F74830" s="193"/>
    </row>
    <row r="74831" spans="6:6" x14ac:dyDescent="0.3">
      <c r="F74831" s="193"/>
    </row>
    <row r="74832" spans="6:6" x14ac:dyDescent="0.3">
      <c r="F74832" s="193"/>
    </row>
    <row r="74833" spans="6:6" x14ac:dyDescent="0.3">
      <c r="F74833" s="193"/>
    </row>
    <row r="74834" spans="6:6" x14ac:dyDescent="0.3">
      <c r="F74834" s="193"/>
    </row>
    <row r="74835" spans="6:6" x14ac:dyDescent="0.3">
      <c r="F74835" s="193"/>
    </row>
    <row r="74836" spans="6:6" x14ac:dyDescent="0.3">
      <c r="F74836" s="193"/>
    </row>
    <row r="74837" spans="6:6" x14ac:dyDescent="0.3">
      <c r="F74837" s="193"/>
    </row>
    <row r="74838" spans="6:6" x14ac:dyDescent="0.3">
      <c r="F74838" s="193"/>
    </row>
    <row r="74839" spans="6:6" x14ac:dyDescent="0.3">
      <c r="F74839" s="193"/>
    </row>
    <row r="74840" spans="6:6" x14ac:dyDescent="0.3">
      <c r="F74840" s="193"/>
    </row>
    <row r="74841" spans="6:6" x14ac:dyDescent="0.3">
      <c r="F74841" s="193"/>
    </row>
    <row r="74842" spans="6:6" x14ac:dyDescent="0.3">
      <c r="F74842" s="193"/>
    </row>
    <row r="74843" spans="6:6" x14ac:dyDescent="0.3">
      <c r="F74843" s="193"/>
    </row>
    <row r="74844" spans="6:6" x14ac:dyDescent="0.3">
      <c r="F74844" s="193"/>
    </row>
    <row r="74845" spans="6:6" x14ac:dyDescent="0.3">
      <c r="F74845" s="193"/>
    </row>
    <row r="74846" spans="6:6" x14ac:dyDescent="0.3">
      <c r="F74846" s="193"/>
    </row>
    <row r="74847" spans="6:6" x14ac:dyDescent="0.3">
      <c r="F74847" s="193"/>
    </row>
    <row r="74848" spans="6:6" x14ac:dyDescent="0.3">
      <c r="F74848" s="193"/>
    </row>
    <row r="74849" spans="6:6" x14ac:dyDescent="0.3">
      <c r="F74849" s="193"/>
    </row>
    <row r="74850" spans="6:6" x14ac:dyDescent="0.3">
      <c r="F74850" s="193"/>
    </row>
    <row r="74851" spans="6:6" x14ac:dyDescent="0.3">
      <c r="F74851" s="193"/>
    </row>
    <row r="74852" spans="6:6" x14ac:dyDescent="0.3">
      <c r="F74852" s="193"/>
    </row>
    <row r="74853" spans="6:6" x14ac:dyDescent="0.3">
      <c r="F74853" s="193"/>
    </row>
    <row r="74854" spans="6:6" x14ac:dyDescent="0.3">
      <c r="F74854" s="193"/>
    </row>
    <row r="74855" spans="6:6" x14ac:dyDescent="0.3">
      <c r="F74855" s="193"/>
    </row>
    <row r="74856" spans="6:6" x14ac:dyDescent="0.3">
      <c r="F74856" s="193"/>
    </row>
    <row r="74857" spans="6:6" x14ac:dyDescent="0.3">
      <c r="F74857" s="193"/>
    </row>
    <row r="74858" spans="6:6" x14ac:dyDescent="0.3">
      <c r="F74858" s="193"/>
    </row>
    <row r="74859" spans="6:6" x14ac:dyDescent="0.3">
      <c r="F74859" s="193"/>
    </row>
    <row r="74860" spans="6:6" x14ac:dyDescent="0.3">
      <c r="F74860" s="193"/>
    </row>
    <row r="74861" spans="6:6" x14ac:dyDescent="0.3">
      <c r="F74861" s="193"/>
    </row>
    <row r="74862" spans="6:6" x14ac:dyDescent="0.3">
      <c r="F74862" s="193"/>
    </row>
    <row r="74863" spans="6:6" x14ac:dyDescent="0.3">
      <c r="F74863" s="193"/>
    </row>
    <row r="74864" spans="6:6" x14ac:dyDescent="0.3">
      <c r="F74864" s="193"/>
    </row>
    <row r="74865" spans="6:6" x14ac:dyDescent="0.3">
      <c r="F74865" s="193"/>
    </row>
    <row r="74866" spans="6:6" x14ac:dyDescent="0.3">
      <c r="F74866" s="193"/>
    </row>
    <row r="74867" spans="6:6" x14ac:dyDescent="0.3">
      <c r="F74867" s="193"/>
    </row>
    <row r="74868" spans="6:6" x14ac:dyDescent="0.3">
      <c r="F74868" s="193"/>
    </row>
    <row r="74869" spans="6:6" x14ac:dyDescent="0.3">
      <c r="F74869" s="193"/>
    </row>
    <row r="74870" spans="6:6" x14ac:dyDescent="0.3">
      <c r="F74870" s="193"/>
    </row>
    <row r="74871" spans="6:6" x14ac:dyDescent="0.3">
      <c r="F74871" s="193"/>
    </row>
    <row r="74872" spans="6:6" x14ac:dyDescent="0.3">
      <c r="F74872" s="193"/>
    </row>
    <row r="74873" spans="6:6" x14ac:dyDescent="0.3">
      <c r="F74873" s="193"/>
    </row>
    <row r="74874" spans="6:6" x14ac:dyDescent="0.3">
      <c r="F74874" s="193"/>
    </row>
    <row r="74875" spans="6:6" x14ac:dyDescent="0.3">
      <c r="F74875" s="193"/>
    </row>
    <row r="74876" spans="6:6" x14ac:dyDescent="0.3">
      <c r="F74876" s="193"/>
    </row>
    <row r="74877" spans="6:6" x14ac:dyDescent="0.3">
      <c r="F74877" s="193"/>
    </row>
    <row r="74878" spans="6:6" x14ac:dyDescent="0.3">
      <c r="F74878" s="193"/>
    </row>
    <row r="74879" spans="6:6" x14ac:dyDescent="0.3">
      <c r="F74879" s="193"/>
    </row>
    <row r="74880" spans="6:6" x14ac:dyDescent="0.3">
      <c r="F74880" s="193"/>
    </row>
    <row r="74881" spans="6:6" x14ac:dyDescent="0.3">
      <c r="F74881" s="193"/>
    </row>
    <row r="74882" spans="6:6" x14ac:dyDescent="0.3">
      <c r="F74882" s="193"/>
    </row>
    <row r="74883" spans="6:6" x14ac:dyDescent="0.3">
      <c r="F74883" s="193"/>
    </row>
    <row r="74884" spans="6:6" x14ac:dyDescent="0.3">
      <c r="F74884" s="193"/>
    </row>
    <row r="74885" spans="6:6" x14ac:dyDescent="0.3">
      <c r="F74885" s="193"/>
    </row>
    <row r="74886" spans="6:6" x14ac:dyDescent="0.3">
      <c r="F74886" s="193"/>
    </row>
    <row r="74887" spans="6:6" x14ac:dyDescent="0.3">
      <c r="F74887" s="193"/>
    </row>
    <row r="74888" spans="6:6" x14ac:dyDescent="0.3">
      <c r="F74888" s="193"/>
    </row>
    <row r="74889" spans="6:6" x14ac:dyDescent="0.3">
      <c r="F74889" s="193"/>
    </row>
    <row r="74890" spans="6:6" x14ac:dyDescent="0.3">
      <c r="F74890" s="193"/>
    </row>
    <row r="74891" spans="6:6" x14ac:dyDescent="0.3">
      <c r="F74891" s="193"/>
    </row>
    <row r="74892" spans="6:6" x14ac:dyDescent="0.3">
      <c r="F74892" s="193"/>
    </row>
    <row r="74893" spans="6:6" x14ac:dyDescent="0.3">
      <c r="F74893" s="193"/>
    </row>
    <row r="74894" spans="6:6" x14ac:dyDescent="0.3">
      <c r="F74894" s="193"/>
    </row>
    <row r="74895" spans="6:6" x14ac:dyDescent="0.3">
      <c r="F74895" s="193"/>
    </row>
    <row r="74896" spans="6:6" x14ac:dyDescent="0.3">
      <c r="F74896" s="193"/>
    </row>
    <row r="74897" spans="6:6" x14ac:dyDescent="0.3">
      <c r="F74897" s="193"/>
    </row>
    <row r="74898" spans="6:6" x14ac:dyDescent="0.3">
      <c r="F74898" s="193"/>
    </row>
    <row r="74899" spans="6:6" x14ac:dyDescent="0.3">
      <c r="F74899" s="193"/>
    </row>
    <row r="74900" spans="6:6" x14ac:dyDescent="0.3">
      <c r="F74900" s="193"/>
    </row>
    <row r="74901" spans="6:6" x14ac:dyDescent="0.3">
      <c r="F74901" s="193"/>
    </row>
    <row r="74902" spans="6:6" x14ac:dyDescent="0.3">
      <c r="F74902" s="193"/>
    </row>
    <row r="74903" spans="6:6" x14ac:dyDescent="0.3">
      <c r="F74903" s="193"/>
    </row>
    <row r="74904" spans="6:6" x14ac:dyDescent="0.3">
      <c r="F74904" s="193"/>
    </row>
    <row r="74905" spans="6:6" x14ac:dyDescent="0.3">
      <c r="F74905" s="193"/>
    </row>
    <row r="74906" spans="6:6" x14ac:dyDescent="0.3">
      <c r="F74906" s="193"/>
    </row>
    <row r="74907" spans="6:6" x14ac:dyDescent="0.3">
      <c r="F74907" s="193"/>
    </row>
    <row r="74908" spans="6:6" x14ac:dyDescent="0.3">
      <c r="F74908" s="193"/>
    </row>
    <row r="74909" spans="6:6" x14ac:dyDescent="0.3">
      <c r="F74909" s="193"/>
    </row>
    <row r="74910" spans="6:6" x14ac:dyDescent="0.3">
      <c r="F74910" s="193"/>
    </row>
    <row r="74911" spans="6:6" x14ac:dyDescent="0.3">
      <c r="F74911" s="193"/>
    </row>
    <row r="74912" spans="6:6" x14ac:dyDescent="0.3">
      <c r="F74912" s="193"/>
    </row>
    <row r="74913" spans="6:6" x14ac:dyDescent="0.3">
      <c r="F74913" s="193"/>
    </row>
    <row r="74914" spans="6:6" x14ac:dyDescent="0.3">
      <c r="F74914" s="193"/>
    </row>
    <row r="74915" spans="6:6" x14ac:dyDescent="0.3">
      <c r="F74915" s="193"/>
    </row>
    <row r="74916" spans="6:6" x14ac:dyDescent="0.3">
      <c r="F74916" s="193"/>
    </row>
    <row r="74917" spans="6:6" x14ac:dyDescent="0.3">
      <c r="F74917" s="193"/>
    </row>
    <row r="74918" spans="6:6" x14ac:dyDescent="0.3">
      <c r="F74918" s="193"/>
    </row>
    <row r="74919" spans="6:6" x14ac:dyDescent="0.3">
      <c r="F74919" s="193"/>
    </row>
    <row r="74920" spans="6:6" x14ac:dyDescent="0.3">
      <c r="F74920" s="193"/>
    </row>
    <row r="74921" spans="6:6" x14ac:dyDescent="0.3">
      <c r="F74921" s="193"/>
    </row>
    <row r="74922" spans="6:6" x14ac:dyDescent="0.3">
      <c r="F74922" s="193"/>
    </row>
    <row r="74923" spans="6:6" x14ac:dyDescent="0.3">
      <c r="F74923" s="193"/>
    </row>
    <row r="74924" spans="6:6" x14ac:dyDescent="0.3">
      <c r="F74924" s="193"/>
    </row>
    <row r="74925" spans="6:6" x14ac:dyDescent="0.3">
      <c r="F74925" s="193"/>
    </row>
    <row r="74926" spans="6:6" x14ac:dyDescent="0.3">
      <c r="F74926" s="193"/>
    </row>
    <row r="74927" spans="6:6" x14ac:dyDescent="0.3">
      <c r="F74927" s="193"/>
    </row>
    <row r="74928" spans="6:6" x14ac:dyDescent="0.3">
      <c r="F74928" s="193"/>
    </row>
    <row r="74929" spans="6:6" x14ac:dyDescent="0.3">
      <c r="F74929" s="193"/>
    </row>
    <row r="74930" spans="6:6" x14ac:dyDescent="0.3">
      <c r="F74930" s="193"/>
    </row>
    <row r="74931" spans="6:6" x14ac:dyDescent="0.3">
      <c r="F74931" s="193"/>
    </row>
    <row r="74932" spans="6:6" x14ac:dyDescent="0.3">
      <c r="F74932" s="193"/>
    </row>
    <row r="74933" spans="6:6" x14ac:dyDescent="0.3">
      <c r="F74933" s="193"/>
    </row>
    <row r="74934" spans="6:6" x14ac:dyDescent="0.3">
      <c r="F74934" s="193"/>
    </row>
    <row r="74935" spans="6:6" x14ac:dyDescent="0.3">
      <c r="F74935" s="193"/>
    </row>
    <row r="74936" spans="6:6" x14ac:dyDescent="0.3">
      <c r="F74936" s="193"/>
    </row>
    <row r="74937" spans="6:6" x14ac:dyDescent="0.3">
      <c r="F74937" s="193"/>
    </row>
    <row r="74938" spans="6:6" x14ac:dyDescent="0.3">
      <c r="F74938" s="193"/>
    </row>
    <row r="74939" spans="6:6" x14ac:dyDescent="0.3">
      <c r="F74939" s="193"/>
    </row>
    <row r="74940" spans="6:6" x14ac:dyDescent="0.3">
      <c r="F74940" s="193"/>
    </row>
    <row r="74941" spans="6:6" x14ac:dyDescent="0.3">
      <c r="F74941" s="193"/>
    </row>
    <row r="74942" spans="6:6" x14ac:dyDescent="0.3">
      <c r="F74942" s="193"/>
    </row>
    <row r="74943" spans="6:6" x14ac:dyDescent="0.3">
      <c r="F74943" s="193"/>
    </row>
    <row r="74944" spans="6:6" x14ac:dyDescent="0.3">
      <c r="F74944" s="193"/>
    </row>
    <row r="74945" spans="6:6" x14ac:dyDescent="0.3">
      <c r="F74945" s="193"/>
    </row>
    <row r="74946" spans="6:6" x14ac:dyDescent="0.3">
      <c r="F74946" s="193"/>
    </row>
    <row r="74947" spans="6:6" x14ac:dyDescent="0.3">
      <c r="F74947" s="193"/>
    </row>
    <row r="74948" spans="6:6" x14ac:dyDescent="0.3">
      <c r="F74948" s="193"/>
    </row>
    <row r="74949" spans="6:6" x14ac:dyDescent="0.3">
      <c r="F74949" s="193"/>
    </row>
    <row r="74950" spans="6:6" x14ac:dyDescent="0.3">
      <c r="F74950" s="193"/>
    </row>
    <row r="74951" spans="6:6" x14ac:dyDescent="0.3">
      <c r="F74951" s="193"/>
    </row>
    <row r="74952" spans="6:6" x14ac:dyDescent="0.3">
      <c r="F74952" s="193"/>
    </row>
    <row r="74953" spans="6:6" x14ac:dyDescent="0.3">
      <c r="F74953" s="193"/>
    </row>
    <row r="74954" spans="6:6" x14ac:dyDescent="0.3">
      <c r="F74954" s="193"/>
    </row>
    <row r="74955" spans="6:6" x14ac:dyDescent="0.3">
      <c r="F74955" s="193"/>
    </row>
    <row r="74956" spans="6:6" x14ac:dyDescent="0.3">
      <c r="F74956" s="193"/>
    </row>
    <row r="74957" spans="6:6" x14ac:dyDescent="0.3">
      <c r="F74957" s="193"/>
    </row>
    <row r="74958" spans="6:6" x14ac:dyDescent="0.3">
      <c r="F74958" s="193"/>
    </row>
    <row r="74959" spans="6:6" x14ac:dyDescent="0.3">
      <c r="F74959" s="193"/>
    </row>
    <row r="74960" spans="6:6" x14ac:dyDescent="0.3">
      <c r="F74960" s="193"/>
    </row>
    <row r="74961" spans="6:6" x14ac:dyDescent="0.3">
      <c r="F74961" s="193"/>
    </row>
    <row r="74962" spans="6:6" x14ac:dyDescent="0.3">
      <c r="F74962" s="193"/>
    </row>
    <row r="74963" spans="6:6" x14ac:dyDescent="0.3">
      <c r="F74963" s="193"/>
    </row>
    <row r="74964" spans="6:6" x14ac:dyDescent="0.3">
      <c r="F74964" s="193"/>
    </row>
    <row r="74965" spans="6:6" x14ac:dyDescent="0.3">
      <c r="F74965" s="193"/>
    </row>
    <row r="74966" spans="6:6" x14ac:dyDescent="0.3">
      <c r="F74966" s="193"/>
    </row>
    <row r="74967" spans="6:6" x14ac:dyDescent="0.3">
      <c r="F74967" s="193"/>
    </row>
    <row r="74968" spans="6:6" x14ac:dyDescent="0.3">
      <c r="F74968" s="193"/>
    </row>
    <row r="74969" spans="6:6" x14ac:dyDescent="0.3">
      <c r="F74969" s="193"/>
    </row>
    <row r="74970" spans="6:6" x14ac:dyDescent="0.3">
      <c r="F74970" s="193"/>
    </row>
    <row r="74971" spans="6:6" x14ac:dyDescent="0.3">
      <c r="F74971" s="193"/>
    </row>
    <row r="74972" spans="6:6" x14ac:dyDescent="0.3">
      <c r="F74972" s="193"/>
    </row>
    <row r="74973" spans="6:6" x14ac:dyDescent="0.3">
      <c r="F74973" s="193"/>
    </row>
    <row r="74974" spans="6:6" x14ac:dyDescent="0.3">
      <c r="F74974" s="193"/>
    </row>
    <row r="74975" spans="6:6" x14ac:dyDescent="0.3">
      <c r="F74975" s="193"/>
    </row>
    <row r="74976" spans="6:6" x14ac:dyDescent="0.3">
      <c r="F74976" s="193"/>
    </row>
    <row r="74977" spans="6:6" x14ac:dyDescent="0.3">
      <c r="F74977" s="193"/>
    </row>
    <row r="74978" spans="6:6" x14ac:dyDescent="0.3">
      <c r="F74978" s="193"/>
    </row>
    <row r="74979" spans="6:6" x14ac:dyDescent="0.3">
      <c r="F74979" s="193"/>
    </row>
    <row r="74980" spans="6:6" x14ac:dyDescent="0.3">
      <c r="F74980" s="193"/>
    </row>
    <row r="74981" spans="6:6" x14ac:dyDescent="0.3">
      <c r="F74981" s="193"/>
    </row>
    <row r="74982" spans="6:6" x14ac:dyDescent="0.3">
      <c r="F74982" s="193"/>
    </row>
    <row r="74983" spans="6:6" x14ac:dyDescent="0.3">
      <c r="F74983" s="193"/>
    </row>
    <row r="74984" spans="6:6" x14ac:dyDescent="0.3">
      <c r="F74984" s="193"/>
    </row>
    <row r="74985" spans="6:6" x14ac:dyDescent="0.3">
      <c r="F74985" s="193"/>
    </row>
    <row r="74986" spans="6:6" x14ac:dyDescent="0.3">
      <c r="F74986" s="193"/>
    </row>
    <row r="74987" spans="6:6" x14ac:dyDescent="0.3">
      <c r="F74987" s="193"/>
    </row>
    <row r="74988" spans="6:6" x14ac:dyDescent="0.3">
      <c r="F74988" s="193"/>
    </row>
    <row r="74989" spans="6:6" x14ac:dyDescent="0.3">
      <c r="F74989" s="193"/>
    </row>
    <row r="74990" spans="6:6" x14ac:dyDescent="0.3">
      <c r="F74990" s="193"/>
    </row>
    <row r="74991" spans="6:6" x14ac:dyDescent="0.3">
      <c r="F74991" s="193"/>
    </row>
    <row r="74992" spans="6:6" x14ac:dyDescent="0.3">
      <c r="F74992" s="193"/>
    </row>
    <row r="74993" spans="6:6" x14ac:dyDescent="0.3">
      <c r="F74993" s="193"/>
    </row>
    <row r="74994" spans="6:6" x14ac:dyDescent="0.3">
      <c r="F74994" s="193"/>
    </row>
    <row r="74995" spans="6:6" x14ac:dyDescent="0.3">
      <c r="F74995" s="193"/>
    </row>
    <row r="74996" spans="6:6" x14ac:dyDescent="0.3">
      <c r="F74996" s="193"/>
    </row>
    <row r="74997" spans="6:6" x14ac:dyDescent="0.3">
      <c r="F74997" s="193"/>
    </row>
    <row r="74998" spans="6:6" x14ac:dyDescent="0.3">
      <c r="F74998" s="193"/>
    </row>
    <row r="74999" spans="6:6" x14ac:dyDescent="0.3">
      <c r="F74999" s="193"/>
    </row>
    <row r="75000" spans="6:6" x14ac:dyDescent="0.3">
      <c r="F75000" s="193"/>
    </row>
    <row r="75001" spans="6:6" x14ac:dyDescent="0.3">
      <c r="F75001" s="193"/>
    </row>
    <row r="75002" spans="6:6" x14ac:dyDescent="0.3">
      <c r="F75002" s="193"/>
    </row>
    <row r="75003" spans="6:6" x14ac:dyDescent="0.3">
      <c r="F75003" s="193"/>
    </row>
    <row r="75004" spans="6:6" x14ac:dyDescent="0.3">
      <c r="F75004" s="193"/>
    </row>
    <row r="75005" spans="6:6" x14ac:dyDescent="0.3">
      <c r="F75005" s="193"/>
    </row>
    <row r="75006" spans="6:6" x14ac:dyDescent="0.3">
      <c r="F75006" s="193"/>
    </row>
    <row r="75007" spans="6:6" x14ac:dyDescent="0.3">
      <c r="F75007" s="193"/>
    </row>
    <row r="75008" spans="6:6" x14ac:dyDescent="0.3">
      <c r="F75008" s="193"/>
    </row>
    <row r="75009" spans="6:6" x14ac:dyDescent="0.3">
      <c r="F75009" s="193"/>
    </row>
    <row r="75010" spans="6:6" x14ac:dyDescent="0.3">
      <c r="F75010" s="193"/>
    </row>
    <row r="75011" spans="6:6" x14ac:dyDescent="0.3">
      <c r="F75011" s="193"/>
    </row>
    <row r="75012" spans="6:6" x14ac:dyDescent="0.3">
      <c r="F75012" s="193"/>
    </row>
    <row r="75013" spans="6:6" x14ac:dyDescent="0.3">
      <c r="F75013" s="193"/>
    </row>
    <row r="75014" spans="6:6" x14ac:dyDescent="0.3">
      <c r="F75014" s="193"/>
    </row>
    <row r="75015" spans="6:6" x14ac:dyDescent="0.3">
      <c r="F75015" s="193"/>
    </row>
    <row r="75016" spans="6:6" x14ac:dyDescent="0.3">
      <c r="F75016" s="193"/>
    </row>
    <row r="75017" spans="6:6" x14ac:dyDescent="0.3">
      <c r="F75017" s="193"/>
    </row>
    <row r="75018" spans="6:6" x14ac:dyDescent="0.3">
      <c r="F75018" s="193"/>
    </row>
    <row r="75019" spans="6:6" x14ac:dyDescent="0.3">
      <c r="F75019" s="193"/>
    </row>
    <row r="75020" spans="6:6" x14ac:dyDescent="0.3">
      <c r="F75020" s="193"/>
    </row>
    <row r="75021" spans="6:6" x14ac:dyDescent="0.3">
      <c r="F75021" s="193"/>
    </row>
    <row r="75022" spans="6:6" x14ac:dyDescent="0.3">
      <c r="F75022" s="193"/>
    </row>
    <row r="75023" spans="6:6" x14ac:dyDescent="0.3">
      <c r="F75023" s="193"/>
    </row>
    <row r="75024" spans="6:6" x14ac:dyDescent="0.3">
      <c r="F75024" s="193"/>
    </row>
    <row r="75025" spans="6:6" x14ac:dyDescent="0.3">
      <c r="F75025" s="193"/>
    </row>
    <row r="75026" spans="6:6" x14ac:dyDescent="0.3">
      <c r="F75026" s="193"/>
    </row>
    <row r="75027" spans="6:6" x14ac:dyDescent="0.3">
      <c r="F75027" s="193"/>
    </row>
    <row r="75028" spans="6:6" x14ac:dyDescent="0.3">
      <c r="F75028" s="193"/>
    </row>
    <row r="75029" spans="6:6" x14ac:dyDescent="0.3">
      <c r="F75029" s="193"/>
    </row>
    <row r="75030" spans="6:6" x14ac:dyDescent="0.3">
      <c r="F75030" s="193"/>
    </row>
    <row r="75031" spans="6:6" x14ac:dyDescent="0.3">
      <c r="F75031" s="193"/>
    </row>
    <row r="75032" spans="6:6" x14ac:dyDescent="0.3">
      <c r="F75032" s="193"/>
    </row>
    <row r="75033" spans="6:6" x14ac:dyDescent="0.3">
      <c r="F75033" s="193"/>
    </row>
    <row r="75034" spans="6:6" x14ac:dyDescent="0.3">
      <c r="F75034" s="193"/>
    </row>
    <row r="75035" spans="6:6" x14ac:dyDescent="0.3">
      <c r="F75035" s="193"/>
    </row>
    <row r="75036" spans="6:6" x14ac:dyDescent="0.3">
      <c r="F75036" s="193"/>
    </row>
    <row r="75037" spans="6:6" x14ac:dyDescent="0.3">
      <c r="F75037" s="193"/>
    </row>
    <row r="75038" spans="6:6" x14ac:dyDescent="0.3">
      <c r="F75038" s="193"/>
    </row>
    <row r="75039" spans="6:6" x14ac:dyDescent="0.3">
      <c r="F75039" s="193"/>
    </row>
    <row r="75040" spans="6:6" x14ac:dyDescent="0.3">
      <c r="F75040" s="193"/>
    </row>
    <row r="75041" spans="6:6" x14ac:dyDescent="0.3">
      <c r="F75041" s="193"/>
    </row>
    <row r="75042" spans="6:6" x14ac:dyDescent="0.3">
      <c r="F75042" s="193"/>
    </row>
    <row r="75043" spans="6:6" x14ac:dyDescent="0.3">
      <c r="F75043" s="193"/>
    </row>
    <row r="75044" spans="6:6" x14ac:dyDescent="0.3">
      <c r="F75044" s="193"/>
    </row>
    <row r="75045" spans="6:6" x14ac:dyDescent="0.3">
      <c r="F75045" s="193"/>
    </row>
    <row r="75046" spans="6:6" x14ac:dyDescent="0.3">
      <c r="F75046" s="193"/>
    </row>
    <row r="75047" spans="6:6" x14ac:dyDescent="0.3">
      <c r="F75047" s="193"/>
    </row>
    <row r="75048" spans="6:6" x14ac:dyDescent="0.3">
      <c r="F75048" s="193"/>
    </row>
    <row r="75049" spans="6:6" x14ac:dyDescent="0.3">
      <c r="F75049" s="193"/>
    </row>
    <row r="75050" spans="6:6" x14ac:dyDescent="0.3">
      <c r="F75050" s="193"/>
    </row>
    <row r="75051" spans="6:6" x14ac:dyDescent="0.3">
      <c r="F75051" s="193"/>
    </row>
    <row r="75052" spans="6:6" x14ac:dyDescent="0.3">
      <c r="F75052" s="193"/>
    </row>
    <row r="75053" spans="6:6" x14ac:dyDescent="0.3">
      <c r="F75053" s="193"/>
    </row>
    <row r="75054" spans="6:6" x14ac:dyDescent="0.3">
      <c r="F75054" s="193"/>
    </row>
    <row r="75055" spans="6:6" x14ac:dyDescent="0.3">
      <c r="F75055" s="193"/>
    </row>
    <row r="75056" spans="6:6" x14ac:dyDescent="0.3">
      <c r="F75056" s="193"/>
    </row>
    <row r="75057" spans="6:6" x14ac:dyDescent="0.3">
      <c r="F75057" s="193"/>
    </row>
    <row r="75058" spans="6:6" x14ac:dyDescent="0.3">
      <c r="F75058" s="193"/>
    </row>
    <row r="75059" spans="6:6" x14ac:dyDescent="0.3">
      <c r="F75059" s="193"/>
    </row>
    <row r="75060" spans="6:6" x14ac:dyDescent="0.3">
      <c r="F75060" s="193"/>
    </row>
    <row r="75061" spans="6:6" x14ac:dyDescent="0.3">
      <c r="F75061" s="193"/>
    </row>
    <row r="75062" spans="6:6" x14ac:dyDescent="0.3">
      <c r="F75062" s="193"/>
    </row>
    <row r="75063" spans="6:6" x14ac:dyDescent="0.3">
      <c r="F75063" s="193"/>
    </row>
    <row r="75064" spans="6:6" x14ac:dyDescent="0.3">
      <c r="F75064" s="193"/>
    </row>
    <row r="75065" spans="6:6" x14ac:dyDescent="0.3">
      <c r="F75065" s="193"/>
    </row>
    <row r="75066" spans="6:6" x14ac:dyDescent="0.3">
      <c r="F75066" s="193"/>
    </row>
    <row r="75067" spans="6:6" x14ac:dyDescent="0.3">
      <c r="F75067" s="193"/>
    </row>
    <row r="75068" spans="6:6" x14ac:dyDescent="0.3">
      <c r="F75068" s="193"/>
    </row>
    <row r="75069" spans="6:6" x14ac:dyDescent="0.3">
      <c r="F75069" s="193"/>
    </row>
    <row r="75070" spans="6:6" x14ac:dyDescent="0.3">
      <c r="F75070" s="193"/>
    </row>
    <row r="75071" spans="6:6" x14ac:dyDescent="0.3">
      <c r="F75071" s="193"/>
    </row>
    <row r="75072" spans="6:6" x14ac:dyDescent="0.3">
      <c r="F75072" s="193"/>
    </row>
    <row r="75073" spans="6:6" x14ac:dyDescent="0.3">
      <c r="F75073" s="193"/>
    </row>
    <row r="75074" spans="6:6" x14ac:dyDescent="0.3">
      <c r="F75074" s="193"/>
    </row>
    <row r="75075" spans="6:6" x14ac:dyDescent="0.3">
      <c r="F75075" s="193"/>
    </row>
    <row r="75076" spans="6:6" x14ac:dyDescent="0.3">
      <c r="F75076" s="193"/>
    </row>
    <row r="75077" spans="6:6" x14ac:dyDescent="0.3">
      <c r="F75077" s="193"/>
    </row>
    <row r="75078" spans="6:6" x14ac:dyDescent="0.3">
      <c r="F75078" s="193"/>
    </row>
    <row r="75079" spans="6:6" x14ac:dyDescent="0.3">
      <c r="F75079" s="193"/>
    </row>
    <row r="75080" spans="6:6" x14ac:dyDescent="0.3">
      <c r="F75080" s="193"/>
    </row>
    <row r="75081" spans="6:6" x14ac:dyDescent="0.3">
      <c r="F75081" s="193"/>
    </row>
    <row r="75082" spans="6:6" x14ac:dyDescent="0.3">
      <c r="F75082" s="193"/>
    </row>
    <row r="75083" spans="6:6" x14ac:dyDescent="0.3">
      <c r="F75083" s="193"/>
    </row>
    <row r="75084" spans="6:6" x14ac:dyDescent="0.3">
      <c r="F75084" s="193"/>
    </row>
    <row r="75085" spans="6:6" x14ac:dyDescent="0.3">
      <c r="F75085" s="193"/>
    </row>
    <row r="75086" spans="6:6" x14ac:dyDescent="0.3">
      <c r="F75086" s="193"/>
    </row>
    <row r="75087" spans="6:6" x14ac:dyDescent="0.3">
      <c r="F75087" s="193"/>
    </row>
    <row r="75088" spans="6:6" x14ac:dyDescent="0.3">
      <c r="F75088" s="193"/>
    </row>
    <row r="75089" spans="6:6" x14ac:dyDescent="0.3">
      <c r="F75089" s="193"/>
    </row>
    <row r="75090" spans="6:6" x14ac:dyDescent="0.3">
      <c r="F75090" s="193"/>
    </row>
    <row r="75091" spans="6:6" x14ac:dyDescent="0.3">
      <c r="F75091" s="193"/>
    </row>
    <row r="75092" spans="6:6" x14ac:dyDescent="0.3">
      <c r="F75092" s="193"/>
    </row>
    <row r="75093" spans="6:6" x14ac:dyDescent="0.3">
      <c r="F75093" s="193"/>
    </row>
    <row r="75094" spans="6:6" x14ac:dyDescent="0.3">
      <c r="F75094" s="193"/>
    </row>
    <row r="75095" spans="6:6" x14ac:dyDescent="0.3">
      <c r="F75095" s="193"/>
    </row>
    <row r="75096" spans="6:6" x14ac:dyDescent="0.3">
      <c r="F75096" s="193"/>
    </row>
    <row r="75097" spans="6:6" x14ac:dyDescent="0.3">
      <c r="F75097" s="193"/>
    </row>
    <row r="75098" spans="6:6" x14ac:dyDescent="0.3">
      <c r="F75098" s="193"/>
    </row>
    <row r="75099" spans="6:6" x14ac:dyDescent="0.3">
      <c r="F75099" s="193"/>
    </row>
    <row r="75100" spans="6:6" x14ac:dyDescent="0.3">
      <c r="F75100" s="193"/>
    </row>
    <row r="75101" spans="6:6" x14ac:dyDescent="0.3">
      <c r="F75101" s="193"/>
    </row>
    <row r="75102" spans="6:6" x14ac:dyDescent="0.3">
      <c r="F75102" s="193"/>
    </row>
    <row r="75103" spans="6:6" x14ac:dyDescent="0.3">
      <c r="F75103" s="193"/>
    </row>
    <row r="75104" spans="6:6" x14ac:dyDescent="0.3">
      <c r="F75104" s="193"/>
    </row>
    <row r="75105" spans="6:6" x14ac:dyDescent="0.3">
      <c r="F75105" s="193"/>
    </row>
    <row r="75106" spans="6:6" x14ac:dyDescent="0.3">
      <c r="F75106" s="193"/>
    </row>
    <row r="75107" spans="6:6" x14ac:dyDescent="0.3">
      <c r="F75107" s="193"/>
    </row>
    <row r="75108" spans="6:6" x14ac:dyDescent="0.3">
      <c r="F75108" s="193"/>
    </row>
    <row r="75109" spans="6:6" x14ac:dyDescent="0.3">
      <c r="F75109" s="193"/>
    </row>
    <row r="75110" spans="6:6" x14ac:dyDescent="0.3">
      <c r="F75110" s="193"/>
    </row>
    <row r="75111" spans="6:6" x14ac:dyDescent="0.3">
      <c r="F75111" s="193"/>
    </row>
    <row r="75112" spans="6:6" x14ac:dyDescent="0.3">
      <c r="F75112" s="193"/>
    </row>
    <row r="75113" spans="6:6" x14ac:dyDescent="0.3">
      <c r="F75113" s="193"/>
    </row>
    <row r="75114" spans="6:6" x14ac:dyDescent="0.3">
      <c r="F75114" s="193"/>
    </row>
    <row r="75115" spans="6:6" x14ac:dyDescent="0.3">
      <c r="F75115" s="193"/>
    </row>
    <row r="75116" spans="6:6" x14ac:dyDescent="0.3">
      <c r="F75116" s="193"/>
    </row>
    <row r="75117" spans="6:6" x14ac:dyDescent="0.3">
      <c r="F75117" s="193"/>
    </row>
    <row r="75118" spans="6:6" x14ac:dyDescent="0.3">
      <c r="F75118" s="193"/>
    </row>
    <row r="75119" spans="6:6" x14ac:dyDescent="0.3">
      <c r="F75119" s="193"/>
    </row>
    <row r="75120" spans="6:6" x14ac:dyDescent="0.3">
      <c r="F75120" s="193"/>
    </row>
    <row r="75121" spans="6:6" x14ac:dyDescent="0.3">
      <c r="F75121" s="193"/>
    </row>
    <row r="75122" spans="6:6" x14ac:dyDescent="0.3">
      <c r="F75122" s="193"/>
    </row>
    <row r="75123" spans="6:6" x14ac:dyDescent="0.3">
      <c r="F75123" s="193"/>
    </row>
    <row r="75124" spans="6:6" x14ac:dyDescent="0.3">
      <c r="F75124" s="193"/>
    </row>
    <row r="75125" spans="6:6" x14ac:dyDescent="0.3">
      <c r="F75125" s="193"/>
    </row>
    <row r="75126" spans="6:6" x14ac:dyDescent="0.3">
      <c r="F75126" s="193"/>
    </row>
    <row r="75127" spans="6:6" x14ac:dyDescent="0.3">
      <c r="F75127" s="193"/>
    </row>
    <row r="75128" spans="6:6" x14ac:dyDescent="0.3">
      <c r="F75128" s="193"/>
    </row>
    <row r="75129" spans="6:6" x14ac:dyDescent="0.3">
      <c r="F75129" s="193"/>
    </row>
    <row r="75130" spans="6:6" x14ac:dyDescent="0.3">
      <c r="F75130" s="193"/>
    </row>
    <row r="75131" spans="6:6" x14ac:dyDescent="0.3">
      <c r="F75131" s="193"/>
    </row>
    <row r="75132" spans="6:6" x14ac:dyDescent="0.3">
      <c r="F75132" s="193"/>
    </row>
    <row r="75133" spans="6:6" x14ac:dyDescent="0.3">
      <c r="F75133" s="193"/>
    </row>
    <row r="75134" spans="6:6" x14ac:dyDescent="0.3">
      <c r="F75134" s="193"/>
    </row>
    <row r="75135" spans="6:6" x14ac:dyDescent="0.3">
      <c r="F75135" s="193"/>
    </row>
    <row r="75136" spans="6:6" x14ac:dyDescent="0.3">
      <c r="F75136" s="193"/>
    </row>
    <row r="75137" spans="6:6" x14ac:dyDescent="0.3">
      <c r="F75137" s="193"/>
    </row>
    <row r="75138" spans="6:6" x14ac:dyDescent="0.3">
      <c r="F75138" s="193"/>
    </row>
    <row r="75139" spans="6:6" x14ac:dyDescent="0.3">
      <c r="F75139" s="193"/>
    </row>
    <row r="75140" spans="6:6" x14ac:dyDescent="0.3">
      <c r="F75140" s="193"/>
    </row>
    <row r="75141" spans="6:6" x14ac:dyDescent="0.3">
      <c r="F75141" s="193"/>
    </row>
    <row r="75142" spans="6:6" x14ac:dyDescent="0.3">
      <c r="F75142" s="193"/>
    </row>
    <row r="75143" spans="6:6" x14ac:dyDescent="0.3">
      <c r="F75143" s="193"/>
    </row>
    <row r="75144" spans="6:6" x14ac:dyDescent="0.3">
      <c r="F75144" s="193"/>
    </row>
    <row r="75145" spans="6:6" x14ac:dyDescent="0.3">
      <c r="F75145" s="193"/>
    </row>
    <row r="75146" spans="6:6" x14ac:dyDescent="0.3">
      <c r="F75146" s="193"/>
    </row>
    <row r="75147" spans="6:6" x14ac:dyDescent="0.3">
      <c r="F75147" s="193"/>
    </row>
    <row r="75148" spans="6:6" x14ac:dyDescent="0.3">
      <c r="F75148" s="193"/>
    </row>
    <row r="75149" spans="6:6" x14ac:dyDescent="0.3">
      <c r="F75149" s="193"/>
    </row>
    <row r="75150" spans="6:6" x14ac:dyDescent="0.3">
      <c r="F75150" s="193"/>
    </row>
    <row r="75151" spans="6:6" x14ac:dyDescent="0.3">
      <c r="F75151" s="193"/>
    </row>
    <row r="75152" spans="6:6" x14ac:dyDescent="0.3">
      <c r="F75152" s="193"/>
    </row>
    <row r="75153" spans="6:6" x14ac:dyDescent="0.3">
      <c r="F75153" s="193"/>
    </row>
    <row r="75154" spans="6:6" x14ac:dyDescent="0.3">
      <c r="F75154" s="193"/>
    </row>
    <row r="75155" spans="6:6" x14ac:dyDescent="0.3">
      <c r="F75155" s="193"/>
    </row>
    <row r="75156" spans="6:6" x14ac:dyDescent="0.3">
      <c r="F75156" s="193"/>
    </row>
    <row r="75157" spans="6:6" x14ac:dyDescent="0.3">
      <c r="F75157" s="193"/>
    </row>
    <row r="75158" spans="6:6" x14ac:dyDescent="0.3">
      <c r="F75158" s="193"/>
    </row>
    <row r="75159" spans="6:6" x14ac:dyDescent="0.3">
      <c r="F75159" s="193"/>
    </row>
    <row r="75160" spans="6:6" x14ac:dyDescent="0.3">
      <c r="F75160" s="193"/>
    </row>
    <row r="75161" spans="6:6" x14ac:dyDescent="0.3">
      <c r="F75161" s="193"/>
    </row>
    <row r="75162" spans="6:6" x14ac:dyDescent="0.3">
      <c r="F75162" s="193"/>
    </row>
    <row r="75163" spans="6:6" x14ac:dyDescent="0.3">
      <c r="F75163" s="193"/>
    </row>
    <row r="75164" spans="6:6" x14ac:dyDescent="0.3">
      <c r="F75164" s="193"/>
    </row>
    <row r="75165" spans="6:6" x14ac:dyDescent="0.3">
      <c r="F75165" s="193"/>
    </row>
    <row r="75166" spans="6:6" x14ac:dyDescent="0.3">
      <c r="F75166" s="193"/>
    </row>
    <row r="75167" spans="6:6" x14ac:dyDescent="0.3">
      <c r="F75167" s="193"/>
    </row>
    <row r="75168" spans="6:6" x14ac:dyDescent="0.3">
      <c r="F75168" s="193"/>
    </row>
    <row r="75169" spans="6:6" x14ac:dyDescent="0.3">
      <c r="F75169" s="193"/>
    </row>
    <row r="75170" spans="6:6" x14ac:dyDescent="0.3">
      <c r="F75170" s="193"/>
    </row>
    <row r="75171" spans="6:6" x14ac:dyDescent="0.3">
      <c r="F75171" s="193"/>
    </row>
    <row r="75172" spans="6:6" x14ac:dyDescent="0.3">
      <c r="F75172" s="193"/>
    </row>
    <row r="75173" spans="6:6" x14ac:dyDescent="0.3">
      <c r="F75173" s="193"/>
    </row>
    <row r="75174" spans="6:6" x14ac:dyDescent="0.3">
      <c r="F75174" s="193"/>
    </row>
    <row r="75175" spans="6:6" x14ac:dyDescent="0.3">
      <c r="F75175" s="193"/>
    </row>
    <row r="75176" spans="6:6" x14ac:dyDescent="0.3">
      <c r="F75176" s="193"/>
    </row>
    <row r="75177" spans="6:6" x14ac:dyDescent="0.3">
      <c r="F75177" s="193"/>
    </row>
    <row r="75178" spans="6:6" x14ac:dyDescent="0.3">
      <c r="F75178" s="193"/>
    </row>
    <row r="75179" spans="6:6" x14ac:dyDescent="0.3">
      <c r="F75179" s="193"/>
    </row>
    <row r="75180" spans="6:6" x14ac:dyDescent="0.3">
      <c r="F75180" s="193"/>
    </row>
    <row r="75181" spans="6:6" x14ac:dyDescent="0.3">
      <c r="F75181" s="193"/>
    </row>
    <row r="75182" spans="6:6" x14ac:dyDescent="0.3">
      <c r="F75182" s="193"/>
    </row>
    <row r="75183" spans="6:6" x14ac:dyDescent="0.3">
      <c r="F75183" s="193"/>
    </row>
    <row r="75184" spans="6:6" x14ac:dyDescent="0.3">
      <c r="F75184" s="193"/>
    </row>
    <row r="75185" spans="6:6" x14ac:dyDescent="0.3">
      <c r="F75185" s="193"/>
    </row>
    <row r="75186" spans="6:6" x14ac:dyDescent="0.3">
      <c r="F75186" s="193"/>
    </row>
    <row r="75187" spans="6:6" x14ac:dyDescent="0.3">
      <c r="F75187" s="193"/>
    </row>
    <row r="75188" spans="6:6" x14ac:dyDescent="0.3">
      <c r="F75188" s="193"/>
    </row>
    <row r="75189" spans="6:6" x14ac:dyDescent="0.3">
      <c r="F75189" s="193"/>
    </row>
    <row r="75190" spans="6:6" x14ac:dyDescent="0.3">
      <c r="F75190" s="193"/>
    </row>
    <row r="75191" spans="6:6" x14ac:dyDescent="0.3">
      <c r="F75191" s="193"/>
    </row>
    <row r="75192" spans="6:6" x14ac:dyDescent="0.3">
      <c r="F75192" s="193"/>
    </row>
    <row r="75193" spans="6:6" x14ac:dyDescent="0.3">
      <c r="F75193" s="193"/>
    </row>
    <row r="75194" spans="6:6" x14ac:dyDescent="0.3">
      <c r="F75194" s="193"/>
    </row>
    <row r="75195" spans="6:6" x14ac:dyDescent="0.3">
      <c r="F75195" s="193"/>
    </row>
    <row r="75196" spans="6:6" x14ac:dyDescent="0.3">
      <c r="F75196" s="193"/>
    </row>
    <row r="75197" spans="6:6" x14ac:dyDescent="0.3">
      <c r="F75197" s="193"/>
    </row>
    <row r="75198" spans="6:6" x14ac:dyDescent="0.3">
      <c r="F75198" s="193"/>
    </row>
    <row r="75199" spans="6:6" x14ac:dyDescent="0.3">
      <c r="F75199" s="193"/>
    </row>
    <row r="75200" spans="6:6" x14ac:dyDescent="0.3">
      <c r="F75200" s="193"/>
    </row>
    <row r="75201" spans="6:6" x14ac:dyDescent="0.3">
      <c r="F75201" s="193"/>
    </row>
    <row r="75202" spans="6:6" x14ac:dyDescent="0.3">
      <c r="F75202" s="193"/>
    </row>
    <row r="75203" spans="6:6" x14ac:dyDescent="0.3">
      <c r="F75203" s="193"/>
    </row>
    <row r="75204" spans="6:6" x14ac:dyDescent="0.3">
      <c r="F75204" s="193"/>
    </row>
    <row r="75205" spans="6:6" x14ac:dyDescent="0.3">
      <c r="F75205" s="193"/>
    </row>
    <row r="75206" spans="6:6" x14ac:dyDescent="0.3">
      <c r="F75206" s="193"/>
    </row>
    <row r="75207" spans="6:6" x14ac:dyDescent="0.3">
      <c r="F75207" s="193"/>
    </row>
    <row r="75208" spans="6:6" x14ac:dyDescent="0.3">
      <c r="F75208" s="193"/>
    </row>
    <row r="75209" spans="6:6" x14ac:dyDescent="0.3">
      <c r="F75209" s="193"/>
    </row>
    <row r="75210" spans="6:6" x14ac:dyDescent="0.3">
      <c r="F75210" s="193"/>
    </row>
    <row r="75211" spans="6:6" x14ac:dyDescent="0.3">
      <c r="F75211" s="193"/>
    </row>
    <row r="75212" spans="6:6" x14ac:dyDescent="0.3">
      <c r="F75212" s="193"/>
    </row>
    <row r="75213" spans="6:6" x14ac:dyDescent="0.3">
      <c r="F75213" s="193"/>
    </row>
    <row r="75214" spans="6:6" x14ac:dyDescent="0.3">
      <c r="F75214" s="193"/>
    </row>
    <row r="75215" spans="6:6" x14ac:dyDescent="0.3">
      <c r="F75215" s="193"/>
    </row>
    <row r="75216" spans="6:6" x14ac:dyDescent="0.3">
      <c r="F75216" s="193"/>
    </row>
    <row r="75217" spans="6:6" x14ac:dyDescent="0.3">
      <c r="F75217" s="193"/>
    </row>
    <row r="75218" spans="6:6" x14ac:dyDescent="0.3">
      <c r="F75218" s="193"/>
    </row>
    <row r="75219" spans="6:6" x14ac:dyDescent="0.3">
      <c r="F75219" s="193"/>
    </row>
    <row r="75220" spans="6:6" x14ac:dyDescent="0.3">
      <c r="F75220" s="193"/>
    </row>
    <row r="75221" spans="6:6" x14ac:dyDescent="0.3">
      <c r="F75221" s="193"/>
    </row>
    <row r="75222" spans="6:6" x14ac:dyDescent="0.3">
      <c r="F75222" s="193"/>
    </row>
    <row r="75223" spans="6:6" x14ac:dyDescent="0.3">
      <c r="F75223" s="193"/>
    </row>
    <row r="75224" spans="6:6" x14ac:dyDescent="0.3">
      <c r="F75224" s="193"/>
    </row>
    <row r="75225" spans="6:6" x14ac:dyDescent="0.3">
      <c r="F75225" s="193"/>
    </row>
    <row r="75226" spans="6:6" x14ac:dyDescent="0.3">
      <c r="F75226" s="193"/>
    </row>
    <row r="75227" spans="6:6" x14ac:dyDescent="0.3">
      <c r="F75227" s="193"/>
    </row>
    <row r="75228" spans="6:6" x14ac:dyDescent="0.3">
      <c r="F75228" s="193"/>
    </row>
    <row r="75229" spans="6:6" x14ac:dyDescent="0.3">
      <c r="F75229" s="193"/>
    </row>
    <row r="75230" spans="6:6" x14ac:dyDescent="0.3">
      <c r="F75230" s="193"/>
    </row>
    <row r="75231" spans="6:6" x14ac:dyDescent="0.3">
      <c r="F75231" s="193"/>
    </row>
    <row r="75232" spans="6:6" x14ac:dyDescent="0.3">
      <c r="F75232" s="193"/>
    </row>
    <row r="75233" spans="6:6" x14ac:dyDescent="0.3">
      <c r="F75233" s="193"/>
    </row>
    <row r="75234" spans="6:6" x14ac:dyDescent="0.3">
      <c r="F75234" s="193"/>
    </row>
    <row r="75235" spans="6:6" x14ac:dyDescent="0.3">
      <c r="F75235" s="193"/>
    </row>
    <row r="75236" spans="6:6" x14ac:dyDescent="0.3">
      <c r="F75236" s="193"/>
    </row>
    <row r="75237" spans="6:6" x14ac:dyDescent="0.3">
      <c r="F75237" s="193"/>
    </row>
    <row r="75238" spans="6:6" x14ac:dyDescent="0.3">
      <c r="F75238" s="193"/>
    </row>
    <row r="75239" spans="6:6" x14ac:dyDescent="0.3">
      <c r="F75239" s="193"/>
    </row>
    <row r="75240" spans="6:6" x14ac:dyDescent="0.3">
      <c r="F75240" s="193"/>
    </row>
    <row r="75241" spans="6:6" x14ac:dyDescent="0.3">
      <c r="F75241" s="193"/>
    </row>
    <row r="75242" spans="6:6" x14ac:dyDescent="0.3">
      <c r="F75242" s="193"/>
    </row>
    <row r="75243" spans="6:6" x14ac:dyDescent="0.3">
      <c r="F75243" s="193"/>
    </row>
    <row r="75244" spans="6:6" x14ac:dyDescent="0.3">
      <c r="F75244" s="193"/>
    </row>
    <row r="75245" spans="6:6" x14ac:dyDescent="0.3">
      <c r="F75245" s="193"/>
    </row>
    <row r="75246" spans="6:6" x14ac:dyDescent="0.3">
      <c r="F75246" s="193"/>
    </row>
    <row r="75247" spans="6:6" x14ac:dyDescent="0.3">
      <c r="F75247" s="193"/>
    </row>
    <row r="75248" spans="6:6" x14ac:dyDescent="0.3">
      <c r="F75248" s="193"/>
    </row>
    <row r="75249" spans="6:6" x14ac:dyDescent="0.3">
      <c r="F75249" s="193"/>
    </row>
    <row r="75250" spans="6:6" x14ac:dyDescent="0.3">
      <c r="F75250" s="193"/>
    </row>
    <row r="75251" spans="6:6" x14ac:dyDescent="0.3">
      <c r="F75251" s="193"/>
    </row>
    <row r="75252" spans="6:6" x14ac:dyDescent="0.3">
      <c r="F75252" s="193"/>
    </row>
    <row r="75253" spans="6:6" x14ac:dyDescent="0.3">
      <c r="F75253" s="193"/>
    </row>
    <row r="75254" spans="6:6" x14ac:dyDescent="0.3">
      <c r="F75254" s="193"/>
    </row>
    <row r="75255" spans="6:6" x14ac:dyDescent="0.3">
      <c r="F75255" s="193"/>
    </row>
    <row r="75256" spans="6:6" x14ac:dyDescent="0.3">
      <c r="F75256" s="193"/>
    </row>
    <row r="75257" spans="6:6" x14ac:dyDescent="0.3">
      <c r="F75257" s="193"/>
    </row>
    <row r="75258" spans="6:6" x14ac:dyDescent="0.3">
      <c r="F75258" s="193"/>
    </row>
    <row r="75259" spans="6:6" x14ac:dyDescent="0.3">
      <c r="F75259" s="193"/>
    </row>
    <row r="75260" spans="6:6" x14ac:dyDescent="0.3">
      <c r="F75260" s="193"/>
    </row>
    <row r="75261" spans="6:6" x14ac:dyDescent="0.3">
      <c r="F75261" s="193"/>
    </row>
    <row r="75262" spans="6:6" x14ac:dyDescent="0.3">
      <c r="F75262" s="193"/>
    </row>
    <row r="75263" spans="6:6" x14ac:dyDescent="0.3">
      <c r="F75263" s="193"/>
    </row>
    <row r="75264" spans="6:6" x14ac:dyDescent="0.3">
      <c r="F75264" s="193"/>
    </row>
    <row r="75265" spans="6:6" x14ac:dyDescent="0.3">
      <c r="F75265" s="193"/>
    </row>
    <row r="75266" spans="6:6" x14ac:dyDescent="0.3">
      <c r="F75266" s="193"/>
    </row>
    <row r="75267" spans="6:6" x14ac:dyDescent="0.3">
      <c r="F75267" s="193"/>
    </row>
    <row r="75268" spans="6:6" x14ac:dyDescent="0.3">
      <c r="F75268" s="193"/>
    </row>
    <row r="75269" spans="6:6" x14ac:dyDescent="0.3">
      <c r="F75269" s="193"/>
    </row>
    <row r="75270" spans="6:6" x14ac:dyDescent="0.3">
      <c r="F75270" s="193"/>
    </row>
    <row r="75271" spans="6:6" x14ac:dyDescent="0.3">
      <c r="F75271" s="193"/>
    </row>
    <row r="75272" spans="6:6" x14ac:dyDescent="0.3">
      <c r="F75272" s="193"/>
    </row>
    <row r="75273" spans="6:6" x14ac:dyDescent="0.3">
      <c r="F75273" s="193"/>
    </row>
    <row r="75274" spans="6:6" x14ac:dyDescent="0.3">
      <c r="F75274" s="193"/>
    </row>
    <row r="75275" spans="6:6" x14ac:dyDescent="0.3">
      <c r="F75275" s="193"/>
    </row>
    <row r="75276" spans="6:6" x14ac:dyDescent="0.3">
      <c r="F75276" s="193"/>
    </row>
    <row r="75277" spans="6:6" x14ac:dyDescent="0.3">
      <c r="F75277" s="193"/>
    </row>
    <row r="75278" spans="6:6" x14ac:dyDescent="0.3">
      <c r="F75278" s="193"/>
    </row>
    <row r="75279" spans="6:6" x14ac:dyDescent="0.3">
      <c r="F75279" s="193"/>
    </row>
    <row r="75280" spans="6:6" x14ac:dyDescent="0.3">
      <c r="F75280" s="193"/>
    </row>
    <row r="75281" spans="6:6" x14ac:dyDescent="0.3">
      <c r="F75281" s="193"/>
    </row>
    <row r="75282" spans="6:6" x14ac:dyDescent="0.3">
      <c r="F75282" s="193"/>
    </row>
    <row r="75283" spans="6:6" x14ac:dyDescent="0.3">
      <c r="F75283" s="193"/>
    </row>
    <row r="75284" spans="6:6" x14ac:dyDescent="0.3">
      <c r="F75284" s="193"/>
    </row>
    <row r="75285" spans="6:6" x14ac:dyDescent="0.3">
      <c r="F75285" s="193"/>
    </row>
    <row r="75286" spans="6:6" x14ac:dyDescent="0.3">
      <c r="F75286" s="193"/>
    </row>
    <row r="75287" spans="6:6" x14ac:dyDescent="0.3">
      <c r="F75287" s="193"/>
    </row>
    <row r="75288" spans="6:6" x14ac:dyDescent="0.3">
      <c r="F75288" s="193"/>
    </row>
    <row r="75289" spans="6:6" x14ac:dyDescent="0.3">
      <c r="F75289" s="193"/>
    </row>
    <row r="75290" spans="6:6" x14ac:dyDescent="0.3">
      <c r="F75290" s="193"/>
    </row>
    <row r="75291" spans="6:6" x14ac:dyDescent="0.3">
      <c r="F75291" s="193"/>
    </row>
    <row r="75292" spans="6:6" x14ac:dyDescent="0.3">
      <c r="F75292" s="193"/>
    </row>
    <row r="75293" spans="6:6" x14ac:dyDescent="0.3">
      <c r="F75293" s="193"/>
    </row>
    <row r="75294" spans="6:6" x14ac:dyDescent="0.3">
      <c r="F75294" s="193"/>
    </row>
    <row r="75295" spans="6:6" x14ac:dyDescent="0.3">
      <c r="F75295" s="193"/>
    </row>
    <row r="75296" spans="6:6" x14ac:dyDescent="0.3">
      <c r="F75296" s="193"/>
    </row>
    <row r="75297" spans="6:6" x14ac:dyDescent="0.3">
      <c r="F75297" s="193"/>
    </row>
    <row r="75298" spans="6:6" x14ac:dyDescent="0.3">
      <c r="F75298" s="193"/>
    </row>
    <row r="75299" spans="6:6" x14ac:dyDescent="0.3">
      <c r="F75299" s="193"/>
    </row>
    <row r="75300" spans="6:6" x14ac:dyDescent="0.3">
      <c r="F75300" s="193"/>
    </row>
    <row r="75301" spans="6:6" x14ac:dyDescent="0.3">
      <c r="F75301" s="193"/>
    </row>
    <row r="75302" spans="6:6" x14ac:dyDescent="0.3">
      <c r="F75302" s="193"/>
    </row>
    <row r="75303" spans="6:6" x14ac:dyDescent="0.3">
      <c r="F75303" s="193"/>
    </row>
    <row r="75304" spans="6:6" x14ac:dyDescent="0.3">
      <c r="F75304" s="193"/>
    </row>
    <row r="75305" spans="6:6" x14ac:dyDescent="0.3">
      <c r="F75305" s="193"/>
    </row>
    <row r="75306" spans="6:6" x14ac:dyDescent="0.3">
      <c r="F75306" s="193"/>
    </row>
    <row r="75307" spans="6:6" x14ac:dyDescent="0.3">
      <c r="F75307" s="193"/>
    </row>
    <row r="75308" spans="6:6" x14ac:dyDescent="0.3">
      <c r="F75308" s="193"/>
    </row>
    <row r="75309" spans="6:6" x14ac:dyDescent="0.3">
      <c r="F75309" s="193"/>
    </row>
    <row r="75310" spans="6:6" x14ac:dyDescent="0.3">
      <c r="F75310" s="193"/>
    </row>
    <row r="75311" spans="6:6" x14ac:dyDescent="0.3">
      <c r="F75311" s="193"/>
    </row>
    <row r="75312" spans="6:6" x14ac:dyDescent="0.3">
      <c r="F75312" s="193"/>
    </row>
    <row r="75313" spans="6:6" x14ac:dyDescent="0.3">
      <c r="F75313" s="193"/>
    </row>
    <row r="75314" spans="6:6" x14ac:dyDescent="0.3">
      <c r="F75314" s="193"/>
    </row>
    <row r="75315" spans="6:6" x14ac:dyDescent="0.3">
      <c r="F75315" s="193"/>
    </row>
    <row r="75316" spans="6:6" x14ac:dyDescent="0.3">
      <c r="F75316" s="193"/>
    </row>
    <row r="75317" spans="6:6" x14ac:dyDescent="0.3">
      <c r="F75317" s="193"/>
    </row>
    <row r="75318" spans="6:6" x14ac:dyDescent="0.3">
      <c r="F75318" s="193"/>
    </row>
    <row r="75319" spans="6:6" x14ac:dyDescent="0.3">
      <c r="F75319" s="193"/>
    </row>
    <row r="75320" spans="6:6" x14ac:dyDescent="0.3">
      <c r="F75320" s="193"/>
    </row>
    <row r="75321" spans="6:6" x14ac:dyDescent="0.3">
      <c r="F75321" s="193"/>
    </row>
    <row r="75322" spans="6:6" x14ac:dyDescent="0.3">
      <c r="F75322" s="193"/>
    </row>
    <row r="75323" spans="6:6" x14ac:dyDescent="0.3">
      <c r="F75323" s="193"/>
    </row>
    <row r="75324" spans="6:6" x14ac:dyDescent="0.3">
      <c r="F75324" s="193"/>
    </row>
    <row r="75325" spans="6:6" x14ac:dyDescent="0.3">
      <c r="F75325" s="193"/>
    </row>
    <row r="75326" spans="6:6" x14ac:dyDescent="0.3">
      <c r="F75326" s="193"/>
    </row>
    <row r="75327" spans="6:6" x14ac:dyDescent="0.3">
      <c r="F75327" s="193"/>
    </row>
    <row r="75328" spans="6:6" x14ac:dyDescent="0.3">
      <c r="F75328" s="193"/>
    </row>
    <row r="75329" spans="6:6" x14ac:dyDescent="0.3">
      <c r="F75329" s="193"/>
    </row>
    <row r="75330" spans="6:6" x14ac:dyDescent="0.3">
      <c r="F75330" s="193"/>
    </row>
    <row r="75331" spans="6:6" x14ac:dyDescent="0.3">
      <c r="F75331" s="193"/>
    </row>
    <row r="75332" spans="6:6" x14ac:dyDescent="0.3">
      <c r="F75332" s="193"/>
    </row>
    <row r="75333" spans="6:6" x14ac:dyDescent="0.3">
      <c r="F75333" s="193"/>
    </row>
    <row r="75334" spans="6:6" x14ac:dyDescent="0.3">
      <c r="F75334" s="193"/>
    </row>
    <row r="75335" spans="6:6" x14ac:dyDescent="0.3">
      <c r="F75335" s="193"/>
    </row>
    <row r="75336" spans="6:6" x14ac:dyDescent="0.3">
      <c r="F75336" s="193"/>
    </row>
    <row r="75337" spans="6:6" x14ac:dyDescent="0.3">
      <c r="F75337" s="193"/>
    </row>
    <row r="75338" spans="6:6" x14ac:dyDescent="0.3">
      <c r="F75338" s="193"/>
    </row>
    <row r="75339" spans="6:6" x14ac:dyDescent="0.3">
      <c r="F75339" s="193"/>
    </row>
    <row r="75340" spans="6:6" x14ac:dyDescent="0.3">
      <c r="F75340" s="193"/>
    </row>
    <row r="75341" spans="6:6" x14ac:dyDescent="0.3">
      <c r="F75341" s="193"/>
    </row>
    <row r="75342" spans="6:6" x14ac:dyDescent="0.3">
      <c r="F75342" s="193"/>
    </row>
    <row r="75343" spans="6:6" x14ac:dyDescent="0.3">
      <c r="F75343" s="193"/>
    </row>
    <row r="75344" spans="6:6" x14ac:dyDescent="0.3">
      <c r="F75344" s="193"/>
    </row>
    <row r="75345" spans="6:6" x14ac:dyDescent="0.3">
      <c r="F75345" s="193"/>
    </row>
    <row r="75346" spans="6:6" x14ac:dyDescent="0.3">
      <c r="F75346" s="193"/>
    </row>
    <row r="75347" spans="6:6" x14ac:dyDescent="0.3">
      <c r="F75347" s="193"/>
    </row>
    <row r="75348" spans="6:6" x14ac:dyDescent="0.3">
      <c r="F75348" s="193"/>
    </row>
    <row r="75349" spans="6:6" x14ac:dyDescent="0.3">
      <c r="F75349" s="193"/>
    </row>
    <row r="75350" spans="6:6" x14ac:dyDescent="0.3">
      <c r="F75350" s="193"/>
    </row>
    <row r="75351" spans="6:6" x14ac:dyDescent="0.3">
      <c r="F75351" s="193"/>
    </row>
    <row r="75352" spans="6:6" x14ac:dyDescent="0.3">
      <c r="F75352" s="193"/>
    </row>
    <row r="75353" spans="6:6" x14ac:dyDescent="0.3">
      <c r="F75353" s="193"/>
    </row>
    <row r="75354" spans="6:6" x14ac:dyDescent="0.3">
      <c r="F75354" s="193"/>
    </row>
    <row r="75355" spans="6:6" x14ac:dyDescent="0.3">
      <c r="F75355" s="193"/>
    </row>
    <row r="75356" spans="6:6" x14ac:dyDescent="0.3">
      <c r="F75356" s="193"/>
    </row>
    <row r="75357" spans="6:6" x14ac:dyDescent="0.3">
      <c r="F75357" s="193"/>
    </row>
    <row r="75358" spans="6:6" x14ac:dyDescent="0.3">
      <c r="F75358" s="193"/>
    </row>
    <row r="75359" spans="6:6" x14ac:dyDescent="0.3">
      <c r="F75359" s="193"/>
    </row>
    <row r="75360" spans="6:6" x14ac:dyDescent="0.3">
      <c r="F75360" s="193"/>
    </row>
    <row r="75361" spans="6:6" x14ac:dyDescent="0.3">
      <c r="F75361" s="193"/>
    </row>
    <row r="75362" spans="6:6" x14ac:dyDescent="0.3">
      <c r="F75362" s="193"/>
    </row>
    <row r="75363" spans="6:6" x14ac:dyDescent="0.3">
      <c r="F75363" s="193"/>
    </row>
    <row r="75364" spans="6:6" x14ac:dyDescent="0.3">
      <c r="F75364" s="193"/>
    </row>
    <row r="75365" spans="6:6" x14ac:dyDescent="0.3">
      <c r="F75365" s="193"/>
    </row>
    <row r="75366" spans="6:6" x14ac:dyDescent="0.3">
      <c r="F75366" s="193"/>
    </row>
    <row r="75367" spans="6:6" x14ac:dyDescent="0.3">
      <c r="F75367" s="193"/>
    </row>
    <row r="75368" spans="6:6" x14ac:dyDescent="0.3">
      <c r="F75368" s="193"/>
    </row>
    <row r="75369" spans="6:6" x14ac:dyDescent="0.3">
      <c r="F75369" s="193"/>
    </row>
    <row r="75370" spans="6:6" x14ac:dyDescent="0.3">
      <c r="F75370" s="193"/>
    </row>
    <row r="75371" spans="6:6" x14ac:dyDescent="0.3">
      <c r="F75371" s="193"/>
    </row>
    <row r="75372" spans="6:6" x14ac:dyDescent="0.3">
      <c r="F75372" s="193"/>
    </row>
    <row r="75373" spans="6:6" x14ac:dyDescent="0.3">
      <c r="F75373" s="193"/>
    </row>
    <row r="75374" spans="6:6" x14ac:dyDescent="0.3">
      <c r="F75374" s="193"/>
    </row>
    <row r="75375" spans="6:6" x14ac:dyDescent="0.3">
      <c r="F75375" s="193"/>
    </row>
    <row r="75376" spans="6:6" x14ac:dyDescent="0.3">
      <c r="F75376" s="193"/>
    </row>
    <row r="75377" spans="6:6" x14ac:dyDescent="0.3">
      <c r="F75377" s="193"/>
    </row>
    <row r="75378" spans="6:6" x14ac:dyDescent="0.3">
      <c r="F75378" s="193"/>
    </row>
    <row r="75379" spans="6:6" x14ac:dyDescent="0.3">
      <c r="F75379" s="193"/>
    </row>
    <row r="75380" spans="6:6" x14ac:dyDescent="0.3">
      <c r="F75380" s="193"/>
    </row>
    <row r="75381" spans="6:6" x14ac:dyDescent="0.3">
      <c r="F75381" s="193"/>
    </row>
    <row r="75382" spans="6:6" x14ac:dyDescent="0.3">
      <c r="F75382" s="193"/>
    </row>
    <row r="75383" spans="6:6" x14ac:dyDescent="0.3">
      <c r="F75383" s="193"/>
    </row>
    <row r="75384" spans="6:6" x14ac:dyDescent="0.3">
      <c r="F75384" s="193"/>
    </row>
    <row r="75385" spans="6:6" x14ac:dyDescent="0.3">
      <c r="F75385" s="193"/>
    </row>
    <row r="75386" spans="6:6" x14ac:dyDescent="0.3">
      <c r="F75386" s="193"/>
    </row>
    <row r="75387" spans="6:6" x14ac:dyDescent="0.3">
      <c r="F75387" s="193"/>
    </row>
    <row r="75388" spans="6:6" x14ac:dyDescent="0.3">
      <c r="F75388" s="193"/>
    </row>
    <row r="75389" spans="6:6" x14ac:dyDescent="0.3">
      <c r="F75389" s="193"/>
    </row>
    <row r="75390" spans="6:6" x14ac:dyDescent="0.3">
      <c r="F75390" s="193"/>
    </row>
    <row r="75391" spans="6:6" x14ac:dyDescent="0.3">
      <c r="F75391" s="193"/>
    </row>
    <row r="75392" spans="6:6" x14ac:dyDescent="0.3">
      <c r="F75392" s="193"/>
    </row>
    <row r="75393" spans="6:6" x14ac:dyDescent="0.3">
      <c r="F75393" s="193"/>
    </row>
    <row r="75394" spans="6:6" x14ac:dyDescent="0.3">
      <c r="F75394" s="193"/>
    </row>
    <row r="75395" spans="6:6" x14ac:dyDescent="0.3">
      <c r="F75395" s="193"/>
    </row>
    <row r="75396" spans="6:6" x14ac:dyDescent="0.3">
      <c r="F75396" s="193"/>
    </row>
    <row r="75397" spans="6:6" x14ac:dyDescent="0.3">
      <c r="F75397" s="193"/>
    </row>
    <row r="75398" spans="6:6" x14ac:dyDescent="0.3">
      <c r="F75398" s="193"/>
    </row>
    <row r="75399" spans="6:6" x14ac:dyDescent="0.3">
      <c r="F75399" s="193"/>
    </row>
    <row r="75400" spans="6:6" x14ac:dyDescent="0.3">
      <c r="F75400" s="193"/>
    </row>
    <row r="75401" spans="6:6" x14ac:dyDescent="0.3">
      <c r="F75401" s="193"/>
    </row>
    <row r="75402" spans="6:6" x14ac:dyDescent="0.3">
      <c r="F75402" s="193"/>
    </row>
    <row r="75403" spans="6:6" x14ac:dyDescent="0.3">
      <c r="F75403" s="193"/>
    </row>
    <row r="75404" spans="6:6" x14ac:dyDescent="0.3">
      <c r="F75404" s="193"/>
    </row>
    <row r="75405" spans="6:6" x14ac:dyDescent="0.3">
      <c r="F75405" s="193"/>
    </row>
    <row r="75406" spans="6:6" x14ac:dyDescent="0.3">
      <c r="F75406" s="193"/>
    </row>
    <row r="75407" spans="6:6" x14ac:dyDescent="0.3">
      <c r="F75407" s="193"/>
    </row>
    <row r="75408" spans="6:6" x14ac:dyDescent="0.3">
      <c r="F75408" s="193"/>
    </row>
    <row r="75409" spans="6:6" x14ac:dyDescent="0.3">
      <c r="F75409" s="193"/>
    </row>
    <row r="75410" spans="6:6" x14ac:dyDescent="0.3">
      <c r="F75410" s="193"/>
    </row>
    <row r="75411" spans="6:6" x14ac:dyDescent="0.3">
      <c r="F75411" s="193"/>
    </row>
    <row r="75412" spans="6:6" x14ac:dyDescent="0.3">
      <c r="F75412" s="193"/>
    </row>
    <row r="75413" spans="6:6" x14ac:dyDescent="0.3">
      <c r="F75413" s="193"/>
    </row>
    <row r="75414" spans="6:6" x14ac:dyDescent="0.3">
      <c r="F75414" s="193"/>
    </row>
    <row r="75415" spans="6:6" x14ac:dyDescent="0.3">
      <c r="F75415" s="193"/>
    </row>
    <row r="75416" spans="6:6" x14ac:dyDescent="0.3">
      <c r="F75416" s="193"/>
    </row>
    <row r="75417" spans="6:6" x14ac:dyDescent="0.3">
      <c r="F75417" s="193"/>
    </row>
    <row r="75418" spans="6:6" x14ac:dyDescent="0.3">
      <c r="F75418" s="193"/>
    </row>
    <row r="75419" spans="6:6" x14ac:dyDescent="0.3">
      <c r="F75419" s="193"/>
    </row>
    <row r="75420" spans="6:6" x14ac:dyDescent="0.3">
      <c r="F75420" s="193"/>
    </row>
    <row r="75421" spans="6:6" x14ac:dyDescent="0.3">
      <c r="F75421" s="193"/>
    </row>
    <row r="75422" spans="6:6" x14ac:dyDescent="0.3">
      <c r="F75422" s="193"/>
    </row>
    <row r="75423" spans="6:6" x14ac:dyDescent="0.3">
      <c r="F75423" s="193"/>
    </row>
    <row r="75424" spans="6:6" x14ac:dyDescent="0.3">
      <c r="F75424" s="193"/>
    </row>
    <row r="75425" spans="6:6" x14ac:dyDescent="0.3">
      <c r="F75425" s="193"/>
    </row>
    <row r="75426" spans="6:6" x14ac:dyDescent="0.3">
      <c r="F75426" s="193"/>
    </row>
    <row r="75427" spans="6:6" x14ac:dyDescent="0.3">
      <c r="F75427" s="193"/>
    </row>
    <row r="75428" spans="6:6" x14ac:dyDescent="0.3">
      <c r="F75428" s="193"/>
    </row>
    <row r="75429" spans="6:6" x14ac:dyDescent="0.3">
      <c r="F75429" s="193"/>
    </row>
    <row r="75430" spans="6:6" x14ac:dyDescent="0.3">
      <c r="F75430" s="193"/>
    </row>
    <row r="75431" spans="6:6" x14ac:dyDescent="0.3">
      <c r="F75431" s="193"/>
    </row>
    <row r="75432" spans="6:6" x14ac:dyDescent="0.3">
      <c r="F75432" s="193"/>
    </row>
    <row r="75433" spans="6:6" x14ac:dyDescent="0.3">
      <c r="F75433" s="193"/>
    </row>
    <row r="75434" spans="6:6" x14ac:dyDescent="0.3">
      <c r="F75434" s="193"/>
    </row>
    <row r="75435" spans="6:6" x14ac:dyDescent="0.3">
      <c r="F75435" s="193"/>
    </row>
    <row r="75436" spans="6:6" x14ac:dyDescent="0.3">
      <c r="F75436" s="193"/>
    </row>
    <row r="75437" spans="6:6" x14ac:dyDescent="0.3">
      <c r="F75437" s="193"/>
    </row>
    <row r="75438" spans="6:6" x14ac:dyDescent="0.3">
      <c r="F75438" s="193"/>
    </row>
    <row r="75439" spans="6:6" x14ac:dyDescent="0.3">
      <c r="F75439" s="193"/>
    </row>
    <row r="75440" spans="6:6" x14ac:dyDescent="0.3">
      <c r="F75440" s="193"/>
    </row>
    <row r="75441" spans="6:6" x14ac:dyDescent="0.3">
      <c r="F75441" s="193"/>
    </row>
    <row r="75442" spans="6:6" x14ac:dyDescent="0.3">
      <c r="F75442" s="193"/>
    </row>
    <row r="75443" spans="6:6" x14ac:dyDescent="0.3">
      <c r="F75443" s="193"/>
    </row>
    <row r="75444" spans="6:6" x14ac:dyDescent="0.3">
      <c r="F75444" s="193"/>
    </row>
    <row r="75445" spans="6:6" x14ac:dyDescent="0.3">
      <c r="F75445" s="193"/>
    </row>
    <row r="75446" spans="6:6" x14ac:dyDescent="0.3">
      <c r="F75446" s="193"/>
    </row>
    <row r="75447" spans="6:6" x14ac:dyDescent="0.3">
      <c r="F75447" s="193"/>
    </row>
    <row r="75448" spans="6:6" x14ac:dyDescent="0.3">
      <c r="F75448" s="193"/>
    </row>
    <row r="75449" spans="6:6" x14ac:dyDescent="0.3">
      <c r="F75449" s="193"/>
    </row>
    <row r="75450" spans="6:6" x14ac:dyDescent="0.3">
      <c r="F75450" s="193"/>
    </row>
    <row r="75451" spans="6:6" x14ac:dyDescent="0.3">
      <c r="F75451" s="193"/>
    </row>
    <row r="75452" spans="6:6" x14ac:dyDescent="0.3">
      <c r="F75452" s="193"/>
    </row>
    <row r="75453" spans="6:6" x14ac:dyDescent="0.3">
      <c r="F75453" s="193"/>
    </row>
    <row r="75454" spans="6:6" x14ac:dyDescent="0.3">
      <c r="F75454" s="193"/>
    </row>
    <row r="75455" spans="6:6" x14ac:dyDescent="0.3">
      <c r="F75455" s="193"/>
    </row>
    <row r="75456" spans="6:6" x14ac:dyDescent="0.3">
      <c r="F75456" s="193"/>
    </row>
    <row r="75457" spans="6:6" x14ac:dyDescent="0.3">
      <c r="F75457" s="193"/>
    </row>
    <row r="75458" spans="6:6" x14ac:dyDescent="0.3">
      <c r="F75458" s="193"/>
    </row>
    <row r="75459" spans="6:6" x14ac:dyDescent="0.3">
      <c r="F75459" s="193"/>
    </row>
    <row r="75460" spans="6:6" x14ac:dyDescent="0.3">
      <c r="F75460" s="193"/>
    </row>
    <row r="75461" spans="6:6" x14ac:dyDescent="0.3">
      <c r="F75461" s="193"/>
    </row>
    <row r="75462" spans="6:6" x14ac:dyDescent="0.3">
      <c r="F75462" s="193"/>
    </row>
    <row r="75463" spans="6:6" x14ac:dyDescent="0.3">
      <c r="F75463" s="193"/>
    </row>
    <row r="75464" spans="6:6" x14ac:dyDescent="0.3">
      <c r="F75464" s="193"/>
    </row>
    <row r="75465" spans="6:6" x14ac:dyDescent="0.3">
      <c r="F75465" s="193"/>
    </row>
    <row r="75466" spans="6:6" x14ac:dyDescent="0.3">
      <c r="F75466" s="193"/>
    </row>
    <row r="75467" spans="6:6" x14ac:dyDescent="0.3">
      <c r="F75467" s="193"/>
    </row>
    <row r="75468" spans="6:6" x14ac:dyDescent="0.3">
      <c r="F75468" s="193"/>
    </row>
    <row r="75469" spans="6:6" x14ac:dyDescent="0.3">
      <c r="F75469" s="193"/>
    </row>
    <row r="75470" spans="6:6" x14ac:dyDescent="0.3">
      <c r="F75470" s="193"/>
    </row>
    <row r="75471" spans="6:6" x14ac:dyDescent="0.3">
      <c r="F75471" s="193"/>
    </row>
    <row r="75472" spans="6:6" x14ac:dyDescent="0.3">
      <c r="F75472" s="193"/>
    </row>
    <row r="75473" spans="6:6" x14ac:dyDescent="0.3">
      <c r="F75473" s="193"/>
    </row>
    <row r="75474" spans="6:6" x14ac:dyDescent="0.3">
      <c r="F75474" s="193"/>
    </row>
    <row r="75475" spans="6:6" x14ac:dyDescent="0.3">
      <c r="F75475" s="193"/>
    </row>
    <row r="75476" spans="6:6" x14ac:dyDescent="0.3">
      <c r="F75476" s="193"/>
    </row>
    <row r="75477" spans="6:6" x14ac:dyDescent="0.3">
      <c r="F75477" s="193"/>
    </row>
    <row r="75478" spans="6:6" x14ac:dyDescent="0.3">
      <c r="F75478" s="193"/>
    </row>
    <row r="75479" spans="6:6" x14ac:dyDescent="0.3">
      <c r="F75479" s="193"/>
    </row>
    <row r="75480" spans="6:6" x14ac:dyDescent="0.3">
      <c r="F75480" s="193"/>
    </row>
    <row r="75481" spans="6:6" x14ac:dyDescent="0.3">
      <c r="F75481" s="193"/>
    </row>
    <row r="75482" spans="6:6" x14ac:dyDescent="0.3">
      <c r="F75482" s="193"/>
    </row>
    <row r="75483" spans="6:6" x14ac:dyDescent="0.3">
      <c r="F75483" s="193"/>
    </row>
    <row r="75484" spans="6:6" x14ac:dyDescent="0.3">
      <c r="F75484" s="193"/>
    </row>
    <row r="75485" spans="6:6" x14ac:dyDescent="0.3">
      <c r="F75485" s="193"/>
    </row>
    <row r="75486" spans="6:6" x14ac:dyDescent="0.3">
      <c r="F75486" s="193"/>
    </row>
    <row r="75487" spans="6:6" x14ac:dyDescent="0.3">
      <c r="F75487" s="193"/>
    </row>
    <row r="75488" spans="6:6" x14ac:dyDescent="0.3">
      <c r="F75488" s="193"/>
    </row>
    <row r="75489" spans="6:6" x14ac:dyDescent="0.3">
      <c r="F75489" s="193"/>
    </row>
    <row r="75490" spans="6:6" x14ac:dyDescent="0.3">
      <c r="F75490" s="193"/>
    </row>
    <row r="75491" spans="6:6" x14ac:dyDescent="0.3">
      <c r="F75491" s="193"/>
    </row>
    <row r="75492" spans="6:6" x14ac:dyDescent="0.3">
      <c r="F75492" s="193"/>
    </row>
    <row r="75493" spans="6:6" x14ac:dyDescent="0.3">
      <c r="F75493" s="193"/>
    </row>
    <row r="75494" spans="6:6" x14ac:dyDescent="0.3">
      <c r="F75494" s="193"/>
    </row>
    <row r="75495" spans="6:6" x14ac:dyDescent="0.3">
      <c r="F75495" s="193"/>
    </row>
    <row r="75496" spans="6:6" x14ac:dyDescent="0.3">
      <c r="F75496" s="193"/>
    </row>
    <row r="75497" spans="6:6" x14ac:dyDescent="0.3">
      <c r="F75497" s="193"/>
    </row>
    <row r="75498" spans="6:6" x14ac:dyDescent="0.3">
      <c r="F75498" s="193"/>
    </row>
    <row r="75499" spans="6:6" x14ac:dyDescent="0.3">
      <c r="F75499" s="193"/>
    </row>
    <row r="75500" spans="6:6" x14ac:dyDescent="0.3">
      <c r="F75500" s="193"/>
    </row>
    <row r="75501" spans="6:6" x14ac:dyDescent="0.3">
      <c r="F75501" s="193"/>
    </row>
    <row r="75502" spans="6:6" x14ac:dyDescent="0.3">
      <c r="F75502" s="193"/>
    </row>
    <row r="75503" spans="6:6" x14ac:dyDescent="0.3">
      <c r="F75503" s="193"/>
    </row>
    <row r="75504" spans="6:6" x14ac:dyDescent="0.3">
      <c r="F75504" s="193"/>
    </row>
    <row r="75505" spans="6:6" x14ac:dyDescent="0.3">
      <c r="F75505" s="193"/>
    </row>
    <row r="75506" spans="6:6" x14ac:dyDescent="0.3">
      <c r="F75506" s="193"/>
    </row>
    <row r="75507" spans="6:6" x14ac:dyDescent="0.3">
      <c r="F75507" s="193"/>
    </row>
    <row r="75508" spans="6:6" x14ac:dyDescent="0.3">
      <c r="F75508" s="193"/>
    </row>
    <row r="75509" spans="6:6" x14ac:dyDescent="0.3">
      <c r="F75509" s="193"/>
    </row>
    <row r="75510" spans="6:6" x14ac:dyDescent="0.3">
      <c r="F75510" s="193"/>
    </row>
    <row r="75511" spans="6:6" x14ac:dyDescent="0.3">
      <c r="F75511" s="193"/>
    </row>
    <row r="75512" spans="6:6" x14ac:dyDescent="0.3">
      <c r="F75512" s="193"/>
    </row>
    <row r="75513" spans="6:6" x14ac:dyDescent="0.3">
      <c r="F75513" s="193"/>
    </row>
    <row r="75514" spans="6:6" x14ac:dyDescent="0.3">
      <c r="F75514" s="193"/>
    </row>
    <row r="75515" spans="6:6" x14ac:dyDescent="0.3">
      <c r="F75515" s="193"/>
    </row>
    <row r="75516" spans="6:6" x14ac:dyDescent="0.3">
      <c r="F75516" s="193"/>
    </row>
    <row r="75517" spans="6:6" x14ac:dyDescent="0.3">
      <c r="F75517" s="193"/>
    </row>
    <row r="75518" spans="6:6" x14ac:dyDescent="0.3">
      <c r="F75518" s="193"/>
    </row>
    <row r="75519" spans="6:6" x14ac:dyDescent="0.3">
      <c r="F75519" s="193"/>
    </row>
    <row r="75520" spans="6:6" x14ac:dyDescent="0.3">
      <c r="F75520" s="193"/>
    </row>
    <row r="75521" spans="6:6" x14ac:dyDescent="0.3">
      <c r="F75521" s="193"/>
    </row>
    <row r="75522" spans="6:6" x14ac:dyDescent="0.3">
      <c r="F75522" s="193"/>
    </row>
    <row r="75523" spans="6:6" x14ac:dyDescent="0.3">
      <c r="F75523" s="193"/>
    </row>
    <row r="75524" spans="6:6" x14ac:dyDescent="0.3">
      <c r="F75524" s="193"/>
    </row>
    <row r="75525" spans="6:6" x14ac:dyDescent="0.3">
      <c r="F75525" s="193"/>
    </row>
    <row r="75526" spans="6:6" x14ac:dyDescent="0.3">
      <c r="F75526" s="193"/>
    </row>
    <row r="75527" spans="6:6" x14ac:dyDescent="0.3">
      <c r="F75527" s="193"/>
    </row>
    <row r="75528" spans="6:6" x14ac:dyDescent="0.3">
      <c r="F75528" s="193"/>
    </row>
    <row r="75529" spans="6:6" x14ac:dyDescent="0.3">
      <c r="F75529" s="193"/>
    </row>
    <row r="75530" spans="6:6" x14ac:dyDescent="0.3">
      <c r="F75530" s="193"/>
    </row>
    <row r="75531" spans="6:6" x14ac:dyDescent="0.3">
      <c r="F75531" s="193"/>
    </row>
    <row r="75532" spans="6:6" x14ac:dyDescent="0.3">
      <c r="F75532" s="193"/>
    </row>
    <row r="75533" spans="6:6" x14ac:dyDescent="0.3">
      <c r="F75533" s="193"/>
    </row>
    <row r="75534" spans="6:6" x14ac:dyDescent="0.3">
      <c r="F75534" s="193"/>
    </row>
    <row r="75535" spans="6:6" x14ac:dyDescent="0.3">
      <c r="F75535" s="193"/>
    </row>
    <row r="75536" spans="6:6" x14ac:dyDescent="0.3">
      <c r="F75536" s="193"/>
    </row>
    <row r="75537" spans="6:6" x14ac:dyDescent="0.3">
      <c r="F75537" s="193"/>
    </row>
    <row r="75538" spans="6:6" x14ac:dyDescent="0.3">
      <c r="F75538" s="193"/>
    </row>
    <row r="75539" spans="6:6" x14ac:dyDescent="0.3">
      <c r="F75539" s="193"/>
    </row>
    <row r="75540" spans="6:6" x14ac:dyDescent="0.3">
      <c r="F75540" s="193"/>
    </row>
    <row r="75541" spans="6:6" x14ac:dyDescent="0.3">
      <c r="F75541" s="193"/>
    </row>
    <row r="75542" spans="6:6" x14ac:dyDescent="0.3">
      <c r="F75542" s="193"/>
    </row>
    <row r="75543" spans="6:6" x14ac:dyDescent="0.3">
      <c r="F75543" s="193"/>
    </row>
    <row r="75544" spans="6:6" x14ac:dyDescent="0.3">
      <c r="F75544" s="193"/>
    </row>
    <row r="75545" spans="6:6" x14ac:dyDescent="0.3">
      <c r="F75545" s="193"/>
    </row>
    <row r="75546" spans="6:6" x14ac:dyDescent="0.3">
      <c r="F75546" s="193"/>
    </row>
    <row r="75547" spans="6:6" x14ac:dyDescent="0.3">
      <c r="F75547" s="193"/>
    </row>
    <row r="75548" spans="6:6" x14ac:dyDescent="0.3">
      <c r="F75548" s="193"/>
    </row>
    <row r="75549" spans="6:6" x14ac:dyDescent="0.3">
      <c r="F75549" s="193"/>
    </row>
    <row r="75550" spans="6:6" x14ac:dyDescent="0.3">
      <c r="F75550" s="193"/>
    </row>
    <row r="75551" spans="6:6" x14ac:dyDescent="0.3">
      <c r="F75551" s="193"/>
    </row>
    <row r="75552" spans="6:6" x14ac:dyDescent="0.3">
      <c r="F75552" s="193"/>
    </row>
    <row r="75553" spans="6:6" x14ac:dyDescent="0.3">
      <c r="F75553" s="193"/>
    </row>
    <row r="75554" spans="6:6" x14ac:dyDescent="0.3">
      <c r="F75554" s="193"/>
    </row>
    <row r="75555" spans="6:6" x14ac:dyDescent="0.3">
      <c r="F75555" s="193"/>
    </row>
    <row r="75556" spans="6:6" x14ac:dyDescent="0.3">
      <c r="F75556" s="193"/>
    </row>
    <row r="75557" spans="6:6" x14ac:dyDescent="0.3">
      <c r="F75557" s="193"/>
    </row>
    <row r="75558" spans="6:6" x14ac:dyDescent="0.3">
      <c r="F75558" s="193"/>
    </row>
    <row r="75559" spans="6:6" x14ac:dyDescent="0.3">
      <c r="F75559" s="193"/>
    </row>
    <row r="75560" spans="6:6" x14ac:dyDescent="0.3">
      <c r="F75560" s="193"/>
    </row>
    <row r="75561" spans="6:6" x14ac:dyDescent="0.3">
      <c r="F75561" s="193"/>
    </row>
    <row r="75562" spans="6:6" x14ac:dyDescent="0.3">
      <c r="F75562" s="193"/>
    </row>
    <row r="75563" spans="6:6" x14ac:dyDescent="0.3">
      <c r="F75563" s="193"/>
    </row>
    <row r="75564" spans="6:6" x14ac:dyDescent="0.3">
      <c r="F75564" s="193"/>
    </row>
    <row r="75565" spans="6:6" x14ac:dyDescent="0.3">
      <c r="F75565" s="193"/>
    </row>
    <row r="75566" spans="6:6" x14ac:dyDescent="0.3">
      <c r="F75566" s="193"/>
    </row>
    <row r="75567" spans="6:6" x14ac:dyDescent="0.3">
      <c r="F75567" s="193"/>
    </row>
    <row r="75568" spans="6:6" x14ac:dyDescent="0.3">
      <c r="F75568" s="193"/>
    </row>
    <row r="75569" spans="6:6" x14ac:dyDescent="0.3">
      <c r="F75569" s="193"/>
    </row>
    <row r="75570" spans="6:6" x14ac:dyDescent="0.3">
      <c r="F75570" s="193"/>
    </row>
    <row r="75571" spans="6:6" x14ac:dyDescent="0.3">
      <c r="F75571" s="193"/>
    </row>
    <row r="75572" spans="6:6" x14ac:dyDescent="0.3">
      <c r="F75572" s="193"/>
    </row>
    <row r="75573" spans="6:6" x14ac:dyDescent="0.3">
      <c r="F75573" s="193"/>
    </row>
    <row r="75574" spans="6:6" x14ac:dyDescent="0.3">
      <c r="F75574" s="193"/>
    </row>
    <row r="75575" spans="6:6" x14ac:dyDescent="0.3">
      <c r="F75575" s="193"/>
    </row>
    <row r="75576" spans="6:6" x14ac:dyDescent="0.3">
      <c r="F75576" s="193"/>
    </row>
    <row r="75577" spans="6:6" x14ac:dyDescent="0.3">
      <c r="F75577" s="193"/>
    </row>
    <row r="75578" spans="6:6" x14ac:dyDescent="0.3">
      <c r="F75578" s="193"/>
    </row>
    <row r="75579" spans="6:6" x14ac:dyDescent="0.3">
      <c r="F75579" s="193"/>
    </row>
    <row r="75580" spans="6:6" x14ac:dyDescent="0.3">
      <c r="F75580" s="193"/>
    </row>
    <row r="75581" spans="6:6" x14ac:dyDescent="0.3">
      <c r="F75581" s="193"/>
    </row>
    <row r="75582" spans="6:6" x14ac:dyDescent="0.3">
      <c r="F75582" s="193"/>
    </row>
    <row r="75583" spans="6:6" x14ac:dyDescent="0.3">
      <c r="F75583" s="193"/>
    </row>
    <row r="75584" spans="6:6" x14ac:dyDescent="0.3">
      <c r="F75584" s="193"/>
    </row>
    <row r="75585" spans="6:6" x14ac:dyDescent="0.3">
      <c r="F75585" s="193"/>
    </row>
    <row r="75586" spans="6:6" x14ac:dyDescent="0.3">
      <c r="F75586" s="193"/>
    </row>
    <row r="75587" spans="6:6" x14ac:dyDescent="0.3">
      <c r="F75587" s="193"/>
    </row>
    <row r="75588" spans="6:6" x14ac:dyDescent="0.3">
      <c r="F75588" s="193"/>
    </row>
    <row r="75589" spans="6:6" x14ac:dyDescent="0.3">
      <c r="F75589" s="193"/>
    </row>
    <row r="75590" spans="6:6" x14ac:dyDescent="0.3">
      <c r="F75590" s="193"/>
    </row>
    <row r="75591" spans="6:6" x14ac:dyDescent="0.3">
      <c r="F75591" s="193"/>
    </row>
    <row r="75592" spans="6:6" x14ac:dyDescent="0.3">
      <c r="F75592" s="193"/>
    </row>
    <row r="75593" spans="6:6" x14ac:dyDescent="0.3">
      <c r="F75593" s="193"/>
    </row>
    <row r="75594" spans="6:6" x14ac:dyDescent="0.3">
      <c r="F75594" s="193"/>
    </row>
    <row r="75595" spans="6:6" x14ac:dyDescent="0.3">
      <c r="F75595" s="193"/>
    </row>
    <row r="75596" spans="6:6" x14ac:dyDescent="0.3">
      <c r="F75596" s="193"/>
    </row>
    <row r="75597" spans="6:6" x14ac:dyDescent="0.3">
      <c r="F75597" s="193"/>
    </row>
    <row r="75598" spans="6:6" x14ac:dyDescent="0.3">
      <c r="F75598" s="193"/>
    </row>
    <row r="75599" spans="6:6" x14ac:dyDescent="0.3">
      <c r="F75599" s="193"/>
    </row>
    <row r="75600" spans="6:6" x14ac:dyDescent="0.3">
      <c r="F75600" s="193"/>
    </row>
    <row r="75601" spans="6:6" x14ac:dyDescent="0.3">
      <c r="F75601" s="193"/>
    </row>
    <row r="75602" spans="6:6" x14ac:dyDescent="0.3">
      <c r="F75602" s="193"/>
    </row>
    <row r="75603" spans="6:6" x14ac:dyDescent="0.3">
      <c r="F75603" s="193"/>
    </row>
    <row r="75604" spans="6:6" x14ac:dyDescent="0.3">
      <c r="F75604" s="193"/>
    </row>
    <row r="75605" spans="6:6" x14ac:dyDescent="0.3">
      <c r="F75605" s="193"/>
    </row>
    <row r="75606" spans="6:6" x14ac:dyDescent="0.3">
      <c r="F75606" s="193"/>
    </row>
    <row r="75607" spans="6:6" x14ac:dyDescent="0.3">
      <c r="F75607" s="193"/>
    </row>
    <row r="75608" spans="6:6" x14ac:dyDescent="0.3">
      <c r="F75608" s="193"/>
    </row>
    <row r="75609" spans="6:6" x14ac:dyDescent="0.3">
      <c r="F75609" s="193"/>
    </row>
    <row r="75610" spans="6:6" x14ac:dyDescent="0.3">
      <c r="F75610" s="193"/>
    </row>
    <row r="75611" spans="6:6" x14ac:dyDescent="0.3">
      <c r="F75611" s="193"/>
    </row>
    <row r="75612" spans="6:6" x14ac:dyDescent="0.3">
      <c r="F75612" s="193"/>
    </row>
    <row r="75613" spans="6:6" x14ac:dyDescent="0.3">
      <c r="F75613" s="193"/>
    </row>
    <row r="75614" spans="6:6" x14ac:dyDescent="0.3">
      <c r="F75614" s="193"/>
    </row>
    <row r="75615" spans="6:6" x14ac:dyDescent="0.3">
      <c r="F75615" s="193"/>
    </row>
    <row r="75616" spans="6:6" x14ac:dyDescent="0.3">
      <c r="F75616" s="193"/>
    </row>
    <row r="75617" spans="6:6" x14ac:dyDescent="0.3">
      <c r="F75617" s="193"/>
    </row>
    <row r="75618" spans="6:6" x14ac:dyDescent="0.3">
      <c r="F75618" s="193"/>
    </row>
    <row r="75619" spans="6:6" x14ac:dyDescent="0.3">
      <c r="F75619" s="193"/>
    </row>
    <row r="75620" spans="6:6" x14ac:dyDescent="0.3">
      <c r="F75620" s="193"/>
    </row>
    <row r="75621" spans="6:6" x14ac:dyDescent="0.3">
      <c r="F75621" s="193"/>
    </row>
    <row r="75622" spans="6:6" x14ac:dyDescent="0.3">
      <c r="F75622" s="193"/>
    </row>
    <row r="75623" spans="6:6" x14ac:dyDescent="0.3">
      <c r="F75623" s="193"/>
    </row>
    <row r="75624" spans="6:6" x14ac:dyDescent="0.3">
      <c r="F75624" s="193"/>
    </row>
    <row r="75625" spans="6:6" x14ac:dyDescent="0.3">
      <c r="F75625" s="193"/>
    </row>
    <row r="75626" spans="6:6" x14ac:dyDescent="0.3">
      <c r="F75626" s="193"/>
    </row>
    <row r="75627" spans="6:6" x14ac:dyDescent="0.3">
      <c r="F75627" s="193"/>
    </row>
    <row r="75628" spans="6:6" x14ac:dyDescent="0.3">
      <c r="F75628" s="193"/>
    </row>
    <row r="75629" spans="6:6" x14ac:dyDescent="0.3">
      <c r="F75629" s="193"/>
    </row>
    <row r="75630" spans="6:6" x14ac:dyDescent="0.3">
      <c r="F75630" s="193"/>
    </row>
    <row r="75631" spans="6:6" x14ac:dyDescent="0.3">
      <c r="F75631" s="193"/>
    </row>
    <row r="75632" spans="6:6" x14ac:dyDescent="0.3">
      <c r="F75632" s="193"/>
    </row>
    <row r="75633" spans="6:6" x14ac:dyDescent="0.3">
      <c r="F75633" s="193"/>
    </row>
    <row r="75634" spans="6:6" x14ac:dyDescent="0.3">
      <c r="F75634" s="193"/>
    </row>
    <row r="75635" spans="6:6" x14ac:dyDescent="0.3">
      <c r="F75635" s="193"/>
    </row>
    <row r="75636" spans="6:6" x14ac:dyDescent="0.3">
      <c r="F75636" s="193"/>
    </row>
    <row r="75637" spans="6:6" x14ac:dyDescent="0.3">
      <c r="F75637" s="193"/>
    </row>
    <row r="75638" spans="6:6" x14ac:dyDescent="0.3">
      <c r="F75638" s="193"/>
    </row>
    <row r="75639" spans="6:6" x14ac:dyDescent="0.3">
      <c r="F75639" s="193"/>
    </row>
    <row r="75640" spans="6:6" x14ac:dyDescent="0.3">
      <c r="F75640" s="193"/>
    </row>
    <row r="75641" spans="6:6" x14ac:dyDescent="0.3">
      <c r="F75641" s="193"/>
    </row>
    <row r="75642" spans="6:6" x14ac:dyDescent="0.3">
      <c r="F75642" s="193"/>
    </row>
    <row r="75643" spans="6:6" x14ac:dyDescent="0.3">
      <c r="F75643" s="193"/>
    </row>
    <row r="75644" spans="6:6" x14ac:dyDescent="0.3">
      <c r="F75644" s="193"/>
    </row>
    <row r="75645" spans="6:6" x14ac:dyDescent="0.3">
      <c r="F75645" s="193"/>
    </row>
    <row r="75646" spans="6:6" x14ac:dyDescent="0.3">
      <c r="F75646" s="193"/>
    </row>
    <row r="75647" spans="6:6" x14ac:dyDescent="0.3">
      <c r="F75647" s="193"/>
    </row>
    <row r="75648" spans="6:6" x14ac:dyDescent="0.3">
      <c r="F75648" s="193"/>
    </row>
    <row r="75649" spans="6:6" x14ac:dyDescent="0.3">
      <c r="F75649" s="193"/>
    </row>
    <row r="75650" spans="6:6" x14ac:dyDescent="0.3">
      <c r="F75650" s="193"/>
    </row>
    <row r="75651" spans="6:6" x14ac:dyDescent="0.3">
      <c r="F75651" s="193"/>
    </row>
    <row r="75652" spans="6:6" x14ac:dyDescent="0.3">
      <c r="F75652" s="193"/>
    </row>
    <row r="75653" spans="6:6" x14ac:dyDescent="0.3">
      <c r="F75653" s="193"/>
    </row>
    <row r="75654" spans="6:6" x14ac:dyDescent="0.3">
      <c r="F75654" s="193"/>
    </row>
    <row r="75655" spans="6:6" x14ac:dyDescent="0.3">
      <c r="F75655" s="193"/>
    </row>
    <row r="75656" spans="6:6" x14ac:dyDescent="0.3">
      <c r="F75656" s="193"/>
    </row>
    <row r="75657" spans="6:6" x14ac:dyDescent="0.3">
      <c r="F75657" s="193"/>
    </row>
    <row r="75658" spans="6:6" x14ac:dyDescent="0.3">
      <c r="F75658" s="193"/>
    </row>
    <row r="75659" spans="6:6" x14ac:dyDescent="0.3">
      <c r="F75659" s="193"/>
    </row>
    <row r="75660" spans="6:6" x14ac:dyDescent="0.3">
      <c r="F75660" s="193"/>
    </row>
    <row r="75661" spans="6:6" x14ac:dyDescent="0.3">
      <c r="F75661" s="193"/>
    </row>
    <row r="75662" spans="6:6" x14ac:dyDescent="0.3">
      <c r="F75662" s="193"/>
    </row>
    <row r="75663" spans="6:6" x14ac:dyDescent="0.3">
      <c r="F75663" s="193"/>
    </row>
    <row r="75664" spans="6:6" x14ac:dyDescent="0.3">
      <c r="F75664" s="193"/>
    </row>
    <row r="75665" spans="6:6" x14ac:dyDescent="0.3">
      <c r="F75665" s="193"/>
    </row>
    <row r="75666" spans="6:6" x14ac:dyDescent="0.3">
      <c r="F75666" s="193"/>
    </row>
    <row r="75667" spans="6:6" x14ac:dyDescent="0.3">
      <c r="F75667" s="193"/>
    </row>
    <row r="75668" spans="6:6" x14ac:dyDescent="0.3">
      <c r="F75668" s="193"/>
    </row>
    <row r="75669" spans="6:6" x14ac:dyDescent="0.3">
      <c r="F75669" s="193"/>
    </row>
    <row r="75670" spans="6:6" x14ac:dyDescent="0.3">
      <c r="F75670" s="193"/>
    </row>
    <row r="75671" spans="6:6" x14ac:dyDescent="0.3">
      <c r="F75671" s="193"/>
    </row>
    <row r="75672" spans="6:6" x14ac:dyDescent="0.3">
      <c r="F75672" s="193"/>
    </row>
    <row r="75673" spans="6:6" x14ac:dyDescent="0.3">
      <c r="F75673" s="193"/>
    </row>
    <row r="75674" spans="6:6" x14ac:dyDescent="0.3">
      <c r="F75674" s="193"/>
    </row>
    <row r="75675" spans="6:6" x14ac:dyDescent="0.3">
      <c r="F75675" s="193"/>
    </row>
    <row r="75676" spans="6:6" x14ac:dyDescent="0.3">
      <c r="F75676" s="193"/>
    </row>
    <row r="75677" spans="6:6" x14ac:dyDescent="0.3">
      <c r="F75677" s="193"/>
    </row>
    <row r="75678" spans="6:6" x14ac:dyDescent="0.3">
      <c r="F75678" s="193"/>
    </row>
    <row r="75679" spans="6:6" x14ac:dyDescent="0.3">
      <c r="F75679" s="193"/>
    </row>
    <row r="75680" spans="6:6" x14ac:dyDescent="0.3">
      <c r="F75680" s="193"/>
    </row>
    <row r="75681" spans="6:6" x14ac:dyDescent="0.3">
      <c r="F75681" s="193"/>
    </row>
    <row r="75682" spans="6:6" x14ac:dyDescent="0.3">
      <c r="F75682" s="193"/>
    </row>
    <row r="75683" spans="6:6" x14ac:dyDescent="0.3">
      <c r="F75683" s="193"/>
    </row>
    <row r="75684" spans="6:6" x14ac:dyDescent="0.3">
      <c r="F75684" s="193"/>
    </row>
    <row r="75685" spans="6:6" x14ac:dyDescent="0.3">
      <c r="F75685" s="193"/>
    </row>
    <row r="75686" spans="6:6" x14ac:dyDescent="0.3">
      <c r="F75686" s="193"/>
    </row>
    <row r="75687" spans="6:6" x14ac:dyDescent="0.3">
      <c r="F75687" s="193"/>
    </row>
    <row r="75688" spans="6:6" x14ac:dyDescent="0.3">
      <c r="F75688" s="193"/>
    </row>
    <row r="75689" spans="6:6" x14ac:dyDescent="0.3">
      <c r="F75689" s="193"/>
    </row>
    <row r="75690" spans="6:6" x14ac:dyDescent="0.3">
      <c r="F75690" s="193"/>
    </row>
    <row r="75691" spans="6:6" x14ac:dyDescent="0.3">
      <c r="F75691" s="193"/>
    </row>
    <row r="75692" spans="6:6" x14ac:dyDescent="0.3">
      <c r="F75692" s="193"/>
    </row>
    <row r="75693" spans="6:6" x14ac:dyDescent="0.3">
      <c r="F75693" s="193"/>
    </row>
    <row r="75694" spans="6:6" x14ac:dyDescent="0.3">
      <c r="F75694" s="193"/>
    </row>
    <row r="75695" spans="6:6" x14ac:dyDescent="0.3">
      <c r="F75695" s="193"/>
    </row>
    <row r="75696" spans="6:6" x14ac:dyDescent="0.3">
      <c r="F75696" s="193"/>
    </row>
    <row r="75697" spans="6:6" x14ac:dyDescent="0.3">
      <c r="F75697" s="193"/>
    </row>
    <row r="75698" spans="6:6" x14ac:dyDescent="0.3">
      <c r="F75698" s="193"/>
    </row>
    <row r="75699" spans="6:6" x14ac:dyDescent="0.3">
      <c r="F75699" s="193"/>
    </row>
    <row r="75700" spans="6:6" x14ac:dyDescent="0.3">
      <c r="F75700" s="193"/>
    </row>
    <row r="75701" spans="6:6" x14ac:dyDescent="0.3">
      <c r="F75701" s="193"/>
    </row>
    <row r="75702" spans="6:6" x14ac:dyDescent="0.3">
      <c r="F75702" s="193"/>
    </row>
    <row r="75703" spans="6:6" x14ac:dyDescent="0.3">
      <c r="F75703" s="193"/>
    </row>
    <row r="75704" spans="6:6" x14ac:dyDescent="0.3">
      <c r="F75704" s="193"/>
    </row>
    <row r="75705" spans="6:6" x14ac:dyDescent="0.3">
      <c r="F75705" s="193"/>
    </row>
    <row r="75706" spans="6:6" x14ac:dyDescent="0.3">
      <c r="F75706" s="193"/>
    </row>
    <row r="75707" spans="6:6" x14ac:dyDescent="0.3">
      <c r="F75707" s="193"/>
    </row>
    <row r="75708" spans="6:6" x14ac:dyDescent="0.3">
      <c r="F75708" s="193"/>
    </row>
    <row r="75709" spans="6:6" x14ac:dyDescent="0.3">
      <c r="F75709" s="193"/>
    </row>
    <row r="75710" spans="6:6" x14ac:dyDescent="0.3">
      <c r="F75710" s="193"/>
    </row>
    <row r="75711" spans="6:6" x14ac:dyDescent="0.3">
      <c r="F75711" s="193"/>
    </row>
    <row r="75712" spans="6:6" x14ac:dyDescent="0.3">
      <c r="F75712" s="193"/>
    </row>
    <row r="75713" spans="6:6" x14ac:dyDescent="0.3">
      <c r="F75713" s="193"/>
    </row>
    <row r="75714" spans="6:6" x14ac:dyDescent="0.3">
      <c r="F75714" s="193"/>
    </row>
    <row r="75715" spans="6:6" x14ac:dyDescent="0.3">
      <c r="F75715" s="193"/>
    </row>
    <row r="75716" spans="6:6" x14ac:dyDescent="0.3">
      <c r="F75716" s="193"/>
    </row>
    <row r="75717" spans="6:6" x14ac:dyDescent="0.3">
      <c r="F75717" s="193"/>
    </row>
    <row r="75718" spans="6:6" x14ac:dyDescent="0.3">
      <c r="F75718" s="193"/>
    </row>
    <row r="75719" spans="6:6" x14ac:dyDescent="0.3">
      <c r="F75719" s="193"/>
    </row>
    <row r="75720" spans="6:6" x14ac:dyDescent="0.3">
      <c r="F75720" s="193"/>
    </row>
    <row r="75721" spans="6:6" x14ac:dyDescent="0.3">
      <c r="F75721" s="193"/>
    </row>
    <row r="75722" spans="6:6" x14ac:dyDescent="0.3">
      <c r="F75722" s="193"/>
    </row>
    <row r="75723" spans="6:6" x14ac:dyDescent="0.3">
      <c r="F75723" s="193"/>
    </row>
    <row r="75724" spans="6:6" x14ac:dyDescent="0.3">
      <c r="F75724" s="193"/>
    </row>
    <row r="75725" spans="6:6" x14ac:dyDescent="0.3">
      <c r="F75725" s="193"/>
    </row>
    <row r="75726" spans="6:6" x14ac:dyDescent="0.3">
      <c r="F75726" s="193"/>
    </row>
    <row r="75727" spans="6:6" x14ac:dyDescent="0.3">
      <c r="F75727" s="193"/>
    </row>
    <row r="75728" spans="6:6" x14ac:dyDescent="0.3">
      <c r="F75728" s="193"/>
    </row>
    <row r="75729" spans="6:6" x14ac:dyDescent="0.3">
      <c r="F75729" s="193"/>
    </row>
    <row r="75730" spans="6:6" x14ac:dyDescent="0.3">
      <c r="F75730" s="193"/>
    </row>
    <row r="75731" spans="6:6" x14ac:dyDescent="0.3">
      <c r="F75731" s="193"/>
    </row>
    <row r="75732" spans="6:6" x14ac:dyDescent="0.3">
      <c r="F75732" s="193"/>
    </row>
    <row r="75733" spans="6:6" x14ac:dyDescent="0.3">
      <c r="F75733" s="193"/>
    </row>
    <row r="75734" spans="6:6" x14ac:dyDescent="0.3">
      <c r="F75734" s="193"/>
    </row>
    <row r="75735" spans="6:6" x14ac:dyDescent="0.3">
      <c r="F75735" s="193"/>
    </row>
    <row r="75736" spans="6:6" x14ac:dyDescent="0.3">
      <c r="F75736" s="193"/>
    </row>
    <row r="75737" spans="6:6" x14ac:dyDescent="0.3">
      <c r="F75737" s="193"/>
    </row>
    <row r="75738" spans="6:6" x14ac:dyDescent="0.3">
      <c r="F75738" s="193"/>
    </row>
    <row r="75739" spans="6:6" x14ac:dyDescent="0.3">
      <c r="F75739" s="193"/>
    </row>
    <row r="75740" spans="6:6" x14ac:dyDescent="0.3">
      <c r="F75740" s="193"/>
    </row>
    <row r="75741" spans="6:6" x14ac:dyDescent="0.3">
      <c r="F75741" s="193"/>
    </row>
    <row r="75742" spans="6:6" x14ac:dyDescent="0.3">
      <c r="F75742" s="193"/>
    </row>
    <row r="75743" spans="6:6" x14ac:dyDescent="0.3">
      <c r="F75743" s="193"/>
    </row>
    <row r="75744" spans="6:6" x14ac:dyDescent="0.3">
      <c r="F75744" s="193"/>
    </row>
    <row r="75745" spans="6:6" x14ac:dyDescent="0.3">
      <c r="F75745" s="193"/>
    </row>
    <row r="75746" spans="6:6" x14ac:dyDescent="0.3">
      <c r="F75746" s="193"/>
    </row>
    <row r="75747" spans="6:6" x14ac:dyDescent="0.3">
      <c r="F75747" s="193"/>
    </row>
    <row r="75748" spans="6:6" x14ac:dyDescent="0.3">
      <c r="F75748" s="193"/>
    </row>
    <row r="75749" spans="6:6" x14ac:dyDescent="0.3">
      <c r="F75749" s="193"/>
    </row>
    <row r="75750" spans="6:6" x14ac:dyDescent="0.3">
      <c r="F75750" s="193"/>
    </row>
    <row r="75751" spans="6:6" x14ac:dyDescent="0.3">
      <c r="F75751" s="193"/>
    </row>
    <row r="75752" spans="6:6" x14ac:dyDescent="0.3">
      <c r="F75752" s="193"/>
    </row>
    <row r="75753" spans="6:6" x14ac:dyDescent="0.3">
      <c r="F75753" s="193"/>
    </row>
    <row r="75754" spans="6:6" x14ac:dyDescent="0.3">
      <c r="F75754" s="193"/>
    </row>
    <row r="75755" spans="6:6" x14ac:dyDescent="0.3">
      <c r="F75755" s="193"/>
    </row>
    <row r="75756" spans="6:6" x14ac:dyDescent="0.3">
      <c r="F75756" s="193"/>
    </row>
    <row r="75757" spans="6:6" x14ac:dyDescent="0.3">
      <c r="F75757" s="193"/>
    </row>
    <row r="75758" spans="6:6" x14ac:dyDescent="0.3">
      <c r="F75758" s="193"/>
    </row>
    <row r="75759" spans="6:6" x14ac:dyDescent="0.3">
      <c r="F75759" s="193"/>
    </row>
    <row r="75760" spans="6:6" x14ac:dyDescent="0.3">
      <c r="F75760" s="193"/>
    </row>
    <row r="75761" spans="6:6" x14ac:dyDescent="0.3">
      <c r="F75761" s="193"/>
    </row>
    <row r="75762" spans="6:6" x14ac:dyDescent="0.3">
      <c r="F75762" s="193"/>
    </row>
    <row r="75763" spans="6:6" x14ac:dyDescent="0.3">
      <c r="F75763" s="193"/>
    </row>
    <row r="75764" spans="6:6" x14ac:dyDescent="0.3">
      <c r="F75764" s="193"/>
    </row>
    <row r="75765" spans="6:6" x14ac:dyDescent="0.3">
      <c r="F75765" s="193"/>
    </row>
    <row r="75766" spans="6:6" x14ac:dyDescent="0.3">
      <c r="F75766" s="193"/>
    </row>
    <row r="75767" spans="6:6" x14ac:dyDescent="0.3">
      <c r="F75767" s="193"/>
    </row>
    <row r="75768" spans="6:6" x14ac:dyDescent="0.3">
      <c r="F75768" s="193"/>
    </row>
    <row r="75769" spans="6:6" x14ac:dyDescent="0.3">
      <c r="F75769" s="193"/>
    </row>
    <row r="75770" spans="6:6" x14ac:dyDescent="0.3">
      <c r="F75770" s="193"/>
    </row>
    <row r="75771" spans="6:6" x14ac:dyDescent="0.3">
      <c r="F75771" s="193"/>
    </row>
    <row r="75772" spans="6:6" x14ac:dyDescent="0.3">
      <c r="F75772" s="193"/>
    </row>
    <row r="75773" spans="6:6" x14ac:dyDescent="0.3">
      <c r="F75773" s="193"/>
    </row>
    <row r="75774" spans="6:6" x14ac:dyDescent="0.3">
      <c r="F75774" s="193"/>
    </row>
    <row r="75775" spans="6:6" x14ac:dyDescent="0.3">
      <c r="F75775" s="193"/>
    </row>
    <row r="75776" spans="6:6" x14ac:dyDescent="0.3">
      <c r="F75776" s="193"/>
    </row>
    <row r="75777" spans="6:6" x14ac:dyDescent="0.3">
      <c r="F75777" s="193"/>
    </row>
    <row r="75778" spans="6:6" x14ac:dyDescent="0.3">
      <c r="F75778" s="193"/>
    </row>
    <row r="75779" spans="6:6" x14ac:dyDescent="0.3">
      <c r="F75779" s="193"/>
    </row>
    <row r="75780" spans="6:6" x14ac:dyDescent="0.3">
      <c r="F75780" s="193"/>
    </row>
    <row r="75781" spans="6:6" x14ac:dyDescent="0.3">
      <c r="F75781" s="193"/>
    </row>
    <row r="75782" spans="6:6" x14ac:dyDescent="0.3">
      <c r="F75782" s="193"/>
    </row>
    <row r="75783" spans="6:6" x14ac:dyDescent="0.3">
      <c r="F75783" s="193"/>
    </row>
    <row r="75784" spans="6:6" x14ac:dyDescent="0.3">
      <c r="F75784" s="193"/>
    </row>
    <row r="75785" spans="6:6" x14ac:dyDescent="0.3">
      <c r="F75785" s="193"/>
    </row>
    <row r="75786" spans="6:6" x14ac:dyDescent="0.3">
      <c r="F75786" s="193"/>
    </row>
    <row r="75787" spans="6:6" x14ac:dyDescent="0.3">
      <c r="F75787" s="193"/>
    </row>
    <row r="75788" spans="6:6" x14ac:dyDescent="0.3">
      <c r="F75788" s="193"/>
    </row>
    <row r="75789" spans="6:6" x14ac:dyDescent="0.3">
      <c r="F75789" s="193"/>
    </row>
    <row r="75790" spans="6:6" x14ac:dyDescent="0.3">
      <c r="F75790" s="193"/>
    </row>
    <row r="75791" spans="6:6" x14ac:dyDescent="0.3">
      <c r="F75791" s="193"/>
    </row>
    <row r="75792" spans="6:6" x14ac:dyDescent="0.3">
      <c r="F75792" s="193"/>
    </row>
    <row r="75793" spans="6:6" x14ac:dyDescent="0.3">
      <c r="F75793" s="193"/>
    </row>
    <row r="75794" spans="6:6" x14ac:dyDescent="0.3">
      <c r="F75794" s="193"/>
    </row>
    <row r="75795" spans="6:6" x14ac:dyDescent="0.3">
      <c r="F75795" s="193"/>
    </row>
    <row r="75796" spans="6:6" x14ac:dyDescent="0.3">
      <c r="F75796" s="193"/>
    </row>
    <row r="75797" spans="6:6" x14ac:dyDescent="0.3">
      <c r="F75797" s="193"/>
    </row>
    <row r="75798" spans="6:6" x14ac:dyDescent="0.3">
      <c r="F75798" s="193"/>
    </row>
    <row r="75799" spans="6:6" x14ac:dyDescent="0.3">
      <c r="F75799" s="193"/>
    </row>
    <row r="75800" spans="6:6" x14ac:dyDescent="0.3">
      <c r="F75800" s="193"/>
    </row>
    <row r="75801" spans="6:6" x14ac:dyDescent="0.3">
      <c r="F75801" s="193"/>
    </row>
    <row r="75802" spans="6:6" x14ac:dyDescent="0.3">
      <c r="F75802" s="193"/>
    </row>
    <row r="75803" spans="6:6" x14ac:dyDescent="0.3">
      <c r="F75803" s="193"/>
    </row>
    <row r="75804" spans="6:6" x14ac:dyDescent="0.3">
      <c r="F75804" s="193"/>
    </row>
    <row r="75805" spans="6:6" x14ac:dyDescent="0.3">
      <c r="F75805" s="193"/>
    </row>
    <row r="75806" spans="6:6" x14ac:dyDescent="0.3">
      <c r="F75806" s="193"/>
    </row>
    <row r="75807" spans="6:6" x14ac:dyDescent="0.3">
      <c r="F75807" s="193"/>
    </row>
    <row r="75808" spans="6:6" x14ac:dyDescent="0.3">
      <c r="F75808" s="193"/>
    </row>
    <row r="75809" spans="6:6" x14ac:dyDescent="0.3">
      <c r="F75809" s="193"/>
    </row>
    <row r="75810" spans="6:6" x14ac:dyDescent="0.3">
      <c r="F75810" s="193"/>
    </row>
    <row r="75811" spans="6:6" x14ac:dyDescent="0.3">
      <c r="F75811" s="193"/>
    </row>
    <row r="75812" spans="6:6" x14ac:dyDescent="0.3">
      <c r="F75812" s="193"/>
    </row>
    <row r="75813" spans="6:6" x14ac:dyDescent="0.3">
      <c r="F75813" s="193"/>
    </row>
    <row r="75814" spans="6:6" x14ac:dyDescent="0.3">
      <c r="F75814" s="193"/>
    </row>
    <row r="75815" spans="6:6" x14ac:dyDescent="0.3">
      <c r="F75815" s="193"/>
    </row>
    <row r="75816" spans="6:6" x14ac:dyDescent="0.3">
      <c r="F75816" s="193"/>
    </row>
    <row r="75817" spans="6:6" x14ac:dyDescent="0.3">
      <c r="F75817" s="193"/>
    </row>
    <row r="75818" spans="6:6" x14ac:dyDescent="0.3">
      <c r="F75818" s="193"/>
    </row>
    <row r="75819" spans="6:6" x14ac:dyDescent="0.3">
      <c r="F75819" s="193"/>
    </row>
    <row r="75820" spans="6:6" x14ac:dyDescent="0.3">
      <c r="F75820" s="193"/>
    </row>
    <row r="75821" spans="6:6" x14ac:dyDescent="0.3">
      <c r="F75821" s="193"/>
    </row>
    <row r="75822" spans="6:6" x14ac:dyDescent="0.3">
      <c r="F75822" s="193"/>
    </row>
    <row r="75823" spans="6:6" x14ac:dyDescent="0.3">
      <c r="F75823" s="193"/>
    </row>
    <row r="75824" spans="6:6" x14ac:dyDescent="0.3">
      <c r="F75824" s="193"/>
    </row>
    <row r="75825" spans="6:6" x14ac:dyDescent="0.3">
      <c r="F75825" s="193"/>
    </row>
    <row r="75826" spans="6:6" x14ac:dyDescent="0.3">
      <c r="F75826" s="193"/>
    </row>
    <row r="75827" spans="6:6" x14ac:dyDescent="0.3">
      <c r="F75827" s="193"/>
    </row>
    <row r="75828" spans="6:6" x14ac:dyDescent="0.3">
      <c r="F75828" s="193"/>
    </row>
    <row r="75829" spans="6:6" x14ac:dyDescent="0.3">
      <c r="F75829" s="193"/>
    </row>
    <row r="75830" spans="6:6" x14ac:dyDescent="0.3">
      <c r="F75830" s="193"/>
    </row>
    <row r="75831" spans="6:6" x14ac:dyDescent="0.3">
      <c r="F75831" s="193"/>
    </row>
    <row r="75832" spans="6:6" x14ac:dyDescent="0.3">
      <c r="F75832" s="193"/>
    </row>
    <row r="75833" spans="6:6" x14ac:dyDescent="0.3">
      <c r="F75833" s="193"/>
    </row>
    <row r="75834" spans="6:6" x14ac:dyDescent="0.3">
      <c r="F75834" s="193"/>
    </row>
    <row r="75835" spans="6:6" x14ac:dyDescent="0.3">
      <c r="F75835" s="193"/>
    </row>
    <row r="75836" spans="6:6" x14ac:dyDescent="0.3">
      <c r="F75836" s="193"/>
    </row>
    <row r="75837" spans="6:6" x14ac:dyDescent="0.3">
      <c r="F75837" s="193"/>
    </row>
    <row r="75838" spans="6:6" x14ac:dyDescent="0.3">
      <c r="F75838" s="193"/>
    </row>
    <row r="75839" spans="6:6" x14ac:dyDescent="0.3">
      <c r="F75839" s="193"/>
    </row>
    <row r="75840" spans="6:6" x14ac:dyDescent="0.3">
      <c r="F75840" s="193"/>
    </row>
    <row r="75841" spans="6:6" x14ac:dyDescent="0.3">
      <c r="F75841" s="193"/>
    </row>
    <row r="75842" spans="6:6" x14ac:dyDescent="0.3">
      <c r="F75842" s="193"/>
    </row>
    <row r="75843" spans="6:6" x14ac:dyDescent="0.3">
      <c r="F75843" s="193"/>
    </row>
    <row r="75844" spans="6:6" x14ac:dyDescent="0.3">
      <c r="F75844" s="193"/>
    </row>
    <row r="75845" spans="6:6" x14ac:dyDescent="0.3">
      <c r="F75845" s="193"/>
    </row>
    <row r="75846" spans="6:6" x14ac:dyDescent="0.3">
      <c r="F75846" s="193"/>
    </row>
    <row r="75847" spans="6:6" x14ac:dyDescent="0.3">
      <c r="F75847" s="193"/>
    </row>
    <row r="75848" spans="6:6" x14ac:dyDescent="0.3">
      <c r="F75848" s="193"/>
    </row>
    <row r="75849" spans="6:6" x14ac:dyDescent="0.3">
      <c r="F75849" s="193"/>
    </row>
    <row r="75850" spans="6:6" x14ac:dyDescent="0.3">
      <c r="F75850" s="193"/>
    </row>
    <row r="75851" spans="6:6" x14ac:dyDescent="0.3">
      <c r="F75851" s="193"/>
    </row>
    <row r="75852" spans="6:6" x14ac:dyDescent="0.3">
      <c r="F75852" s="193"/>
    </row>
    <row r="75853" spans="6:6" x14ac:dyDescent="0.3">
      <c r="F75853" s="193"/>
    </row>
    <row r="75854" spans="6:6" x14ac:dyDescent="0.3">
      <c r="F75854" s="193"/>
    </row>
    <row r="75855" spans="6:6" x14ac:dyDescent="0.3">
      <c r="F75855" s="193"/>
    </row>
    <row r="75856" spans="6:6" x14ac:dyDescent="0.3">
      <c r="F75856" s="193"/>
    </row>
    <row r="75857" spans="6:6" x14ac:dyDescent="0.3">
      <c r="F75857" s="193"/>
    </row>
    <row r="75858" spans="6:6" x14ac:dyDescent="0.3">
      <c r="F75858" s="193"/>
    </row>
    <row r="75859" spans="6:6" x14ac:dyDescent="0.3">
      <c r="F75859" s="193"/>
    </row>
    <row r="75860" spans="6:6" x14ac:dyDescent="0.3">
      <c r="F75860" s="193"/>
    </row>
    <row r="75861" spans="6:6" x14ac:dyDescent="0.3">
      <c r="F75861" s="193"/>
    </row>
    <row r="75862" spans="6:6" x14ac:dyDescent="0.3">
      <c r="F75862" s="193"/>
    </row>
    <row r="75863" spans="6:6" x14ac:dyDescent="0.3">
      <c r="F75863" s="193"/>
    </row>
    <row r="75864" spans="6:6" x14ac:dyDescent="0.3">
      <c r="F75864" s="193"/>
    </row>
    <row r="75865" spans="6:6" x14ac:dyDescent="0.3">
      <c r="F75865" s="193"/>
    </row>
    <row r="75866" spans="6:6" x14ac:dyDescent="0.3">
      <c r="F75866" s="193"/>
    </row>
    <row r="75867" spans="6:6" x14ac:dyDescent="0.3">
      <c r="F75867" s="193"/>
    </row>
    <row r="75868" spans="6:6" x14ac:dyDescent="0.3">
      <c r="F75868" s="193"/>
    </row>
    <row r="75869" spans="6:6" x14ac:dyDescent="0.3">
      <c r="F75869" s="193"/>
    </row>
    <row r="75870" spans="6:6" x14ac:dyDescent="0.3">
      <c r="F75870" s="193"/>
    </row>
    <row r="75871" spans="6:6" x14ac:dyDescent="0.3">
      <c r="F75871" s="193"/>
    </row>
    <row r="75872" spans="6:6" x14ac:dyDescent="0.3">
      <c r="F75872" s="193"/>
    </row>
    <row r="75873" spans="6:6" x14ac:dyDescent="0.3">
      <c r="F75873" s="193"/>
    </row>
    <row r="75874" spans="6:6" x14ac:dyDescent="0.3">
      <c r="F75874" s="193"/>
    </row>
    <row r="75875" spans="6:6" x14ac:dyDescent="0.3">
      <c r="F75875" s="193"/>
    </row>
    <row r="75876" spans="6:6" x14ac:dyDescent="0.3">
      <c r="F75876" s="193"/>
    </row>
    <row r="75877" spans="6:6" x14ac:dyDescent="0.3">
      <c r="F75877" s="193"/>
    </row>
    <row r="75878" spans="6:6" x14ac:dyDescent="0.3">
      <c r="F75878" s="193"/>
    </row>
    <row r="75879" spans="6:6" x14ac:dyDescent="0.3">
      <c r="F75879" s="193"/>
    </row>
    <row r="75880" spans="6:6" x14ac:dyDescent="0.3">
      <c r="F75880" s="193"/>
    </row>
    <row r="75881" spans="6:6" x14ac:dyDescent="0.3">
      <c r="F75881" s="193"/>
    </row>
    <row r="75882" spans="6:6" x14ac:dyDescent="0.3">
      <c r="F75882" s="193"/>
    </row>
    <row r="75883" spans="6:6" x14ac:dyDescent="0.3">
      <c r="F75883" s="193"/>
    </row>
    <row r="75884" spans="6:6" x14ac:dyDescent="0.3">
      <c r="F75884" s="193"/>
    </row>
    <row r="75885" spans="6:6" x14ac:dyDescent="0.3">
      <c r="F75885" s="193"/>
    </row>
    <row r="75886" spans="6:6" x14ac:dyDescent="0.3">
      <c r="F75886" s="193"/>
    </row>
    <row r="75887" spans="6:6" x14ac:dyDescent="0.3">
      <c r="F75887" s="193"/>
    </row>
    <row r="75888" spans="6:6" x14ac:dyDescent="0.3">
      <c r="F75888" s="193"/>
    </row>
    <row r="75889" spans="6:6" x14ac:dyDescent="0.3">
      <c r="F75889" s="193"/>
    </row>
    <row r="75890" spans="6:6" x14ac:dyDescent="0.3">
      <c r="F75890" s="193"/>
    </row>
    <row r="75891" spans="6:6" x14ac:dyDescent="0.3">
      <c r="F75891" s="193"/>
    </row>
    <row r="75892" spans="6:6" x14ac:dyDescent="0.3">
      <c r="F75892" s="193"/>
    </row>
    <row r="75893" spans="6:6" x14ac:dyDescent="0.3">
      <c r="F75893" s="193"/>
    </row>
    <row r="75894" spans="6:6" x14ac:dyDescent="0.3">
      <c r="F75894" s="193"/>
    </row>
    <row r="75895" spans="6:6" x14ac:dyDescent="0.3">
      <c r="F75895" s="193"/>
    </row>
    <row r="75896" spans="6:6" x14ac:dyDescent="0.3">
      <c r="F75896" s="193"/>
    </row>
    <row r="75897" spans="6:6" x14ac:dyDescent="0.3">
      <c r="F75897" s="193"/>
    </row>
    <row r="75898" spans="6:6" x14ac:dyDescent="0.3">
      <c r="F75898" s="193"/>
    </row>
    <row r="75899" spans="6:6" x14ac:dyDescent="0.3">
      <c r="F75899" s="193"/>
    </row>
    <row r="75900" spans="6:6" x14ac:dyDescent="0.3">
      <c r="F75900" s="193"/>
    </row>
    <row r="75901" spans="6:6" x14ac:dyDescent="0.3">
      <c r="F75901" s="193"/>
    </row>
    <row r="75902" spans="6:6" x14ac:dyDescent="0.3">
      <c r="F75902" s="193"/>
    </row>
    <row r="75903" spans="6:6" x14ac:dyDescent="0.3">
      <c r="F75903" s="193"/>
    </row>
    <row r="75904" spans="6:6" x14ac:dyDescent="0.3">
      <c r="F75904" s="193"/>
    </row>
    <row r="75905" spans="6:6" x14ac:dyDescent="0.3">
      <c r="F75905" s="193"/>
    </row>
    <row r="75906" spans="6:6" x14ac:dyDescent="0.3">
      <c r="F75906" s="193"/>
    </row>
    <row r="75907" spans="6:6" x14ac:dyDescent="0.3">
      <c r="F75907" s="193"/>
    </row>
    <row r="75908" spans="6:6" x14ac:dyDescent="0.3">
      <c r="F75908" s="193"/>
    </row>
    <row r="75909" spans="6:6" x14ac:dyDescent="0.3">
      <c r="F75909" s="193"/>
    </row>
    <row r="75910" spans="6:6" x14ac:dyDescent="0.3">
      <c r="F75910" s="193"/>
    </row>
    <row r="75911" spans="6:6" x14ac:dyDescent="0.3">
      <c r="F75911" s="193"/>
    </row>
    <row r="75912" spans="6:6" x14ac:dyDescent="0.3">
      <c r="F75912" s="193"/>
    </row>
    <row r="75913" spans="6:6" x14ac:dyDescent="0.3">
      <c r="F75913" s="193"/>
    </row>
    <row r="75914" spans="6:6" x14ac:dyDescent="0.3">
      <c r="F75914" s="193"/>
    </row>
    <row r="75915" spans="6:6" x14ac:dyDescent="0.3">
      <c r="F75915" s="193"/>
    </row>
    <row r="75916" spans="6:6" x14ac:dyDescent="0.3">
      <c r="F75916" s="193"/>
    </row>
    <row r="75917" spans="6:6" x14ac:dyDescent="0.3">
      <c r="F75917" s="193"/>
    </row>
    <row r="75918" spans="6:6" x14ac:dyDescent="0.3">
      <c r="F75918" s="193"/>
    </row>
    <row r="75919" spans="6:6" x14ac:dyDescent="0.3">
      <c r="F75919" s="193"/>
    </row>
    <row r="75920" spans="6:6" x14ac:dyDescent="0.3">
      <c r="F75920" s="193"/>
    </row>
    <row r="75921" spans="6:6" x14ac:dyDescent="0.3">
      <c r="F75921" s="193"/>
    </row>
    <row r="75922" spans="6:6" x14ac:dyDescent="0.3">
      <c r="F75922" s="193"/>
    </row>
    <row r="75923" spans="6:6" x14ac:dyDescent="0.3">
      <c r="F75923" s="193"/>
    </row>
    <row r="75924" spans="6:6" x14ac:dyDescent="0.3">
      <c r="F75924" s="193"/>
    </row>
    <row r="75925" spans="6:6" x14ac:dyDescent="0.3">
      <c r="F75925" s="193"/>
    </row>
    <row r="75926" spans="6:6" x14ac:dyDescent="0.3">
      <c r="F75926" s="193"/>
    </row>
    <row r="75927" spans="6:6" x14ac:dyDescent="0.3">
      <c r="F75927" s="193"/>
    </row>
    <row r="75928" spans="6:6" x14ac:dyDescent="0.3">
      <c r="F75928" s="193"/>
    </row>
    <row r="75929" spans="6:6" x14ac:dyDescent="0.3">
      <c r="F75929" s="193"/>
    </row>
    <row r="75930" spans="6:6" x14ac:dyDescent="0.3">
      <c r="F75930" s="193"/>
    </row>
    <row r="75931" spans="6:6" x14ac:dyDescent="0.3">
      <c r="F75931" s="193"/>
    </row>
    <row r="75932" spans="6:6" x14ac:dyDescent="0.3">
      <c r="F75932" s="193"/>
    </row>
    <row r="75933" spans="6:6" x14ac:dyDescent="0.3">
      <c r="F75933" s="193"/>
    </row>
    <row r="75934" spans="6:6" x14ac:dyDescent="0.3">
      <c r="F75934" s="193"/>
    </row>
    <row r="75935" spans="6:6" x14ac:dyDescent="0.3">
      <c r="F75935" s="193"/>
    </row>
    <row r="75936" spans="6:6" x14ac:dyDescent="0.3">
      <c r="F75936" s="193"/>
    </row>
    <row r="75937" spans="6:6" x14ac:dyDescent="0.3">
      <c r="F75937" s="193"/>
    </row>
    <row r="75938" spans="6:6" x14ac:dyDescent="0.3">
      <c r="F75938" s="193"/>
    </row>
    <row r="75939" spans="6:6" x14ac:dyDescent="0.3">
      <c r="F75939" s="193"/>
    </row>
    <row r="75940" spans="6:6" x14ac:dyDescent="0.3">
      <c r="F75940" s="193"/>
    </row>
    <row r="75941" spans="6:6" x14ac:dyDescent="0.3">
      <c r="F75941" s="193"/>
    </row>
    <row r="75942" spans="6:6" x14ac:dyDescent="0.3">
      <c r="F75942" s="193"/>
    </row>
    <row r="75943" spans="6:6" x14ac:dyDescent="0.3">
      <c r="F75943" s="193"/>
    </row>
    <row r="75944" spans="6:6" x14ac:dyDescent="0.3">
      <c r="F75944" s="193"/>
    </row>
    <row r="75945" spans="6:6" x14ac:dyDescent="0.3">
      <c r="F75945" s="193"/>
    </row>
    <row r="75946" spans="6:6" x14ac:dyDescent="0.3">
      <c r="F75946" s="193"/>
    </row>
    <row r="75947" spans="6:6" x14ac:dyDescent="0.3">
      <c r="F75947" s="193"/>
    </row>
    <row r="75948" spans="6:6" x14ac:dyDescent="0.3">
      <c r="F75948" s="193"/>
    </row>
    <row r="75949" spans="6:6" x14ac:dyDescent="0.3">
      <c r="F75949" s="193"/>
    </row>
    <row r="75950" spans="6:6" x14ac:dyDescent="0.3">
      <c r="F75950" s="193"/>
    </row>
    <row r="75951" spans="6:6" x14ac:dyDescent="0.3">
      <c r="F75951" s="193"/>
    </row>
    <row r="75952" spans="6:6" x14ac:dyDescent="0.3">
      <c r="F75952" s="193"/>
    </row>
    <row r="75953" spans="6:6" x14ac:dyDescent="0.3">
      <c r="F75953" s="193"/>
    </row>
    <row r="75954" spans="6:6" x14ac:dyDescent="0.3">
      <c r="F75954" s="193"/>
    </row>
    <row r="75955" spans="6:6" x14ac:dyDescent="0.3">
      <c r="F75955" s="193"/>
    </row>
    <row r="75956" spans="6:6" x14ac:dyDescent="0.3">
      <c r="F75956" s="193"/>
    </row>
    <row r="75957" spans="6:6" x14ac:dyDescent="0.3">
      <c r="F75957" s="193"/>
    </row>
    <row r="75958" spans="6:6" x14ac:dyDescent="0.3">
      <c r="F75958" s="193"/>
    </row>
    <row r="75959" spans="6:6" x14ac:dyDescent="0.3">
      <c r="F75959" s="193"/>
    </row>
    <row r="75960" spans="6:6" x14ac:dyDescent="0.3">
      <c r="F75960" s="193"/>
    </row>
    <row r="75961" spans="6:6" x14ac:dyDescent="0.3">
      <c r="F75961" s="193"/>
    </row>
    <row r="75962" spans="6:6" x14ac:dyDescent="0.3">
      <c r="F75962" s="193"/>
    </row>
    <row r="75963" spans="6:6" x14ac:dyDescent="0.3">
      <c r="F75963" s="193"/>
    </row>
    <row r="75964" spans="6:6" x14ac:dyDescent="0.3">
      <c r="F75964" s="193"/>
    </row>
    <row r="75965" spans="6:6" x14ac:dyDescent="0.3">
      <c r="F75965" s="193"/>
    </row>
    <row r="75966" spans="6:6" x14ac:dyDescent="0.3">
      <c r="F75966" s="193"/>
    </row>
    <row r="75967" spans="6:6" x14ac:dyDescent="0.3">
      <c r="F75967" s="193"/>
    </row>
    <row r="75968" spans="6:6" x14ac:dyDescent="0.3">
      <c r="F75968" s="193"/>
    </row>
    <row r="75969" spans="6:6" x14ac:dyDescent="0.3">
      <c r="F75969" s="193"/>
    </row>
    <row r="75970" spans="6:6" x14ac:dyDescent="0.3">
      <c r="F75970" s="193"/>
    </row>
    <row r="75971" spans="6:6" x14ac:dyDescent="0.3">
      <c r="F75971" s="193"/>
    </row>
    <row r="75972" spans="6:6" x14ac:dyDescent="0.3">
      <c r="F75972" s="193"/>
    </row>
    <row r="75973" spans="6:6" x14ac:dyDescent="0.3">
      <c r="F75973" s="193"/>
    </row>
    <row r="75974" spans="6:6" x14ac:dyDescent="0.3">
      <c r="F75974" s="193"/>
    </row>
    <row r="75975" spans="6:6" x14ac:dyDescent="0.3">
      <c r="F75975" s="193"/>
    </row>
    <row r="75976" spans="6:6" x14ac:dyDescent="0.3">
      <c r="F75976" s="193"/>
    </row>
    <row r="75977" spans="6:6" x14ac:dyDescent="0.3">
      <c r="F75977" s="193"/>
    </row>
    <row r="75978" spans="6:6" x14ac:dyDescent="0.3">
      <c r="F75978" s="193"/>
    </row>
    <row r="75979" spans="6:6" x14ac:dyDescent="0.3">
      <c r="F75979" s="193"/>
    </row>
    <row r="75980" spans="6:6" x14ac:dyDescent="0.3">
      <c r="F75980" s="193"/>
    </row>
    <row r="75981" spans="6:6" x14ac:dyDescent="0.3">
      <c r="F75981" s="193"/>
    </row>
    <row r="75982" spans="6:6" x14ac:dyDescent="0.3">
      <c r="F75982" s="193"/>
    </row>
    <row r="75983" spans="6:6" x14ac:dyDescent="0.3">
      <c r="F75983" s="193"/>
    </row>
    <row r="75984" spans="6:6" x14ac:dyDescent="0.3">
      <c r="F75984" s="193"/>
    </row>
    <row r="75985" spans="6:6" x14ac:dyDescent="0.3">
      <c r="F75985" s="193"/>
    </row>
    <row r="75986" spans="6:6" x14ac:dyDescent="0.3">
      <c r="F75986" s="193"/>
    </row>
    <row r="75987" spans="6:6" x14ac:dyDescent="0.3">
      <c r="F75987" s="193"/>
    </row>
    <row r="75988" spans="6:6" x14ac:dyDescent="0.3">
      <c r="F75988" s="193"/>
    </row>
    <row r="75989" spans="6:6" x14ac:dyDescent="0.3">
      <c r="F75989" s="193"/>
    </row>
    <row r="75990" spans="6:6" x14ac:dyDescent="0.3">
      <c r="F75990" s="193"/>
    </row>
    <row r="75991" spans="6:6" x14ac:dyDescent="0.3">
      <c r="F75991" s="193"/>
    </row>
    <row r="75992" spans="6:6" x14ac:dyDescent="0.3">
      <c r="F75992" s="193"/>
    </row>
    <row r="75993" spans="6:6" x14ac:dyDescent="0.3">
      <c r="F75993" s="193"/>
    </row>
    <row r="75994" spans="6:6" x14ac:dyDescent="0.3">
      <c r="F75994" s="193"/>
    </row>
    <row r="75995" spans="6:6" x14ac:dyDescent="0.3">
      <c r="F75995" s="193"/>
    </row>
    <row r="75996" spans="6:6" x14ac:dyDescent="0.3">
      <c r="F75996" s="193"/>
    </row>
    <row r="75997" spans="6:6" x14ac:dyDescent="0.3">
      <c r="F75997" s="193"/>
    </row>
    <row r="75998" spans="6:6" x14ac:dyDescent="0.3">
      <c r="F75998" s="193"/>
    </row>
    <row r="75999" spans="6:6" x14ac:dyDescent="0.3">
      <c r="F75999" s="193"/>
    </row>
    <row r="76000" spans="6:6" x14ac:dyDescent="0.3">
      <c r="F76000" s="193"/>
    </row>
    <row r="76001" spans="6:6" x14ac:dyDescent="0.3">
      <c r="F76001" s="193"/>
    </row>
    <row r="76002" spans="6:6" x14ac:dyDescent="0.3">
      <c r="F76002" s="193"/>
    </row>
    <row r="76003" spans="6:6" x14ac:dyDescent="0.3">
      <c r="F76003" s="193"/>
    </row>
    <row r="76004" spans="6:6" x14ac:dyDescent="0.3">
      <c r="F76004" s="193"/>
    </row>
    <row r="76005" spans="6:6" x14ac:dyDescent="0.3">
      <c r="F76005" s="193"/>
    </row>
    <row r="76006" spans="6:6" x14ac:dyDescent="0.3">
      <c r="F76006" s="193"/>
    </row>
    <row r="76007" spans="6:6" x14ac:dyDescent="0.3">
      <c r="F76007" s="193"/>
    </row>
    <row r="76008" spans="6:6" x14ac:dyDescent="0.3">
      <c r="F76008" s="193"/>
    </row>
    <row r="76009" spans="6:6" x14ac:dyDescent="0.3">
      <c r="F76009" s="193"/>
    </row>
    <row r="76010" spans="6:6" x14ac:dyDescent="0.3">
      <c r="F76010" s="193"/>
    </row>
    <row r="76011" spans="6:6" x14ac:dyDescent="0.3">
      <c r="F76011" s="193"/>
    </row>
    <row r="76012" spans="6:6" x14ac:dyDescent="0.3">
      <c r="F76012" s="193"/>
    </row>
    <row r="76013" spans="6:6" x14ac:dyDescent="0.3">
      <c r="F76013" s="193"/>
    </row>
    <row r="76014" spans="6:6" x14ac:dyDescent="0.3">
      <c r="F76014" s="193"/>
    </row>
    <row r="76015" spans="6:6" x14ac:dyDescent="0.3">
      <c r="F76015" s="193"/>
    </row>
    <row r="76016" spans="6:6" x14ac:dyDescent="0.3">
      <c r="F76016" s="193"/>
    </row>
    <row r="76017" spans="6:6" x14ac:dyDescent="0.3">
      <c r="F76017" s="193"/>
    </row>
    <row r="76018" spans="6:6" x14ac:dyDescent="0.3">
      <c r="F76018" s="193"/>
    </row>
    <row r="76019" spans="6:6" x14ac:dyDescent="0.3">
      <c r="F76019" s="193"/>
    </row>
    <row r="76020" spans="6:6" x14ac:dyDescent="0.3">
      <c r="F76020" s="193"/>
    </row>
    <row r="76021" spans="6:6" x14ac:dyDescent="0.3">
      <c r="F76021" s="193"/>
    </row>
    <row r="76022" spans="6:6" x14ac:dyDescent="0.3">
      <c r="F76022" s="193"/>
    </row>
    <row r="76023" spans="6:6" x14ac:dyDescent="0.3">
      <c r="F76023" s="193"/>
    </row>
    <row r="76024" spans="6:6" x14ac:dyDescent="0.3">
      <c r="F76024" s="193"/>
    </row>
    <row r="76025" spans="6:6" x14ac:dyDescent="0.3">
      <c r="F76025" s="193"/>
    </row>
    <row r="76026" spans="6:6" x14ac:dyDescent="0.3">
      <c r="F76026" s="193"/>
    </row>
    <row r="76027" spans="6:6" x14ac:dyDescent="0.3">
      <c r="F76027" s="193"/>
    </row>
    <row r="76028" spans="6:6" x14ac:dyDescent="0.3">
      <c r="F76028" s="193"/>
    </row>
    <row r="76029" spans="6:6" x14ac:dyDescent="0.3">
      <c r="F76029" s="193"/>
    </row>
    <row r="76030" spans="6:6" x14ac:dyDescent="0.3">
      <c r="F76030" s="193"/>
    </row>
    <row r="76031" spans="6:6" x14ac:dyDescent="0.3">
      <c r="F76031" s="193"/>
    </row>
    <row r="76032" spans="6:6" x14ac:dyDescent="0.3">
      <c r="F76032" s="193"/>
    </row>
    <row r="76033" spans="6:6" x14ac:dyDescent="0.3">
      <c r="F76033" s="193"/>
    </row>
    <row r="76034" spans="6:6" x14ac:dyDescent="0.3">
      <c r="F76034" s="193"/>
    </row>
    <row r="76035" spans="6:6" x14ac:dyDescent="0.3">
      <c r="F76035" s="193"/>
    </row>
    <row r="76036" spans="6:6" x14ac:dyDescent="0.3">
      <c r="F76036" s="193"/>
    </row>
    <row r="76037" spans="6:6" x14ac:dyDescent="0.3">
      <c r="F76037" s="193"/>
    </row>
    <row r="76038" spans="6:6" x14ac:dyDescent="0.3">
      <c r="F76038" s="193"/>
    </row>
    <row r="76039" spans="6:6" x14ac:dyDescent="0.3">
      <c r="F76039" s="193"/>
    </row>
    <row r="76040" spans="6:6" x14ac:dyDescent="0.3">
      <c r="F76040" s="193"/>
    </row>
    <row r="76041" spans="6:6" x14ac:dyDescent="0.3">
      <c r="F76041" s="193"/>
    </row>
    <row r="76042" spans="6:6" x14ac:dyDescent="0.3">
      <c r="F76042" s="193"/>
    </row>
    <row r="76043" spans="6:6" x14ac:dyDescent="0.3">
      <c r="F76043" s="193"/>
    </row>
    <row r="76044" spans="6:6" x14ac:dyDescent="0.3">
      <c r="F76044" s="193"/>
    </row>
    <row r="76045" spans="6:6" x14ac:dyDescent="0.3">
      <c r="F76045" s="193"/>
    </row>
    <row r="76046" spans="6:6" x14ac:dyDescent="0.3">
      <c r="F76046" s="193"/>
    </row>
    <row r="76047" spans="6:6" x14ac:dyDescent="0.3">
      <c r="F76047" s="193"/>
    </row>
    <row r="76048" spans="6:6" x14ac:dyDescent="0.3">
      <c r="F76048" s="193"/>
    </row>
    <row r="76049" spans="6:6" x14ac:dyDescent="0.3">
      <c r="F76049" s="193"/>
    </row>
    <row r="76050" spans="6:6" x14ac:dyDescent="0.3">
      <c r="F76050" s="193"/>
    </row>
    <row r="76051" spans="6:6" x14ac:dyDescent="0.3">
      <c r="F76051" s="193"/>
    </row>
    <row r="76052" spans="6:6" x14ac:dyDescent="0.3">
      <c r="F76052" s="193"/>
    </row>
    <row r="76053" spans="6:6" x14ac:dyDescent="0.3">
      <c r="F76053" s="193"/>
    </row>
    <row r="76054" spans="6:6" x14ac:dyDescent="0.3">
      <c r="F76054" s="193"/>
    </row>
    <row r="76055" spans="6:6" x14ac:dyDescent="0.3">
      <c r="F76055" s="193"/>
    </row>
    <row r="76056" spans="6:6" x14ac:dyDescent="0.3">
      <c r="F76056" s="193"/>
    </row>
    <row r="76057" spans="6:6" x14ac:dyDescent="0.3">
      <c r="F76057" s="193"/>
    </row>
    <row r="76058" spans="6:6" x14ac:dyDescent="0.3">
      <c r="F76058" s="193"/>
    </row>
    <row r="76059" spans="6:6" x14ac:dyDescent="0.3">
      <c r="F76059" s="193"/>
    </row>
    <row r="76060" spans="6:6" x14ac:dyDescent="0.3">
      <c r="F76060" s="193"/>
    </row>
    <row r="76061" spans="6:6" x14ac:dyDescent="0.3">
      <c r="F76061" s="193"/>
    </row>
    <row r="76062" spans="6:6" x14ac:dyDescent="0.3">
      <c r="F76062" s="193"/>
    </row>
    <row r="76063" spans="6:6" x14ac:dyDescent="0.3">
      <c r="F76063" s="193"/>
    </row>
    <row r="76064" spans="6:6" x14ac:dyDescent="0.3">
      <c r="F76064" s="193"/>
    </row>
    <row r="76065" spans="6:6" x14ac:dyDescent="0.3">
      <c r="F76065" s="193"/>
    </row>
    <row r="76066" spans="6:6" x14ac:dyDescent="0.3">
      <c r="F76066" s="193"/>
    </row>
    <row r="76067" spans="6:6" x14ac:dyDescent="0.3">
      <c r="F76067" s="193"/>
    </row>
    <row r="76068" spans="6:6" x14ac:dyDescent="0.3">
      <c r="F76068" s="193"/>
    </row>
    <row r="76069" spans="6:6" x14ac:dyDescent="0.3">
      <c r="F76069" s="193"/>
    </row>
    <row r="76070" spans="6:6" x14ac:dyDescent="0.3">
      <c r="F76070" s="193"/>
    </row>
    <row r="76071" spans="6:6" x14ac:dyDescent="0.3">
      <c r="F76071" s="193"/>
    </row>
    <row r="76072" spans="6:6" x14ac:dyDescent="0.3">
      <c r="F76072" s="193"/>
    </row>
    <row r="76073" spans="6:6" x14ac:dyDescent="0.3">
      <c r="F76073" s="193"/>
    </row>
    <row r="76074" spans="6:6" x14ac:dyDescent="0.3">
      <c r="F76074" s="193"/>
    </row>
    <row r="76075" spans="6:6" x14ac:dyDescent="0.3">
      <c r="F76075" s="193"/>
    </row>
    <row r="76076" spans="6:6" x14ac:dyDescent="0.3">
      <c r="F76076" s="193"/>
    </row>
    <row r="76077" spans="6:6" x14ac:dyDescent="0.3">
      <c r="F76077" s="193"/>
    </row>
    <row r="76078" spans="6:6" x14ac:dyDescent="0.3">
      <c r="F76078" s="193"/>
    </row>
    <row r="76079" spans="6:6" x14ac:dyDescent="0.3">
      <c r="F76079" s="193"/>
    </row>
    <row r="76080" spans="6:6" x14ac:dyDescent="0.3">
      <c r="F76080" s="193"/>
    </row>
    <row r="76081" spans="6:6" x14ac:dyDescent="0.3">
      <c r="F76081" s="193"/>
    </row>
    <row r="76082" spans="6:6" x14ac:dyDescent="0.3">
      <c r="F76082" s="193"/>
    </row>
    <row r="76083" spans="6:6" x14ac:dyDescent="0.3">
      <c r="F76083" s="193"/>
    </row>
    <row r="76084" spans="6:6" x14ac:dyDescent="0.3">
      <c r="F76084" s="193"/>
    </row>
    <row r="76085" spans="6:6" x14ac:dyDescent="0.3">
      <c r="F76085" s="193"/>
    </row>
    <row r="76086" spans="6:6" x14ac:dyDescent="0.3">
      <c r="F76086" s="193"/>
    </row>
    <row r="76087" spans="6:6" x14ac:dyDescent="0.3">
      <c r="F76087" s="193"/>
    </row>
    <row r="76088" spans="6:6" x14ac:dyDescent="0.3">
      <c r="F76088" s="193"/>
    </row>
    <row r="76089" spans="6:6" x14ac:dyDescent="0.3">
      <c r="F76089" s="193"/>
    </row>
    <row r="76090" spans="6:6" x14ac:dyDescent="0.3">
      <c r="F76090" s="193"/>
    </row>
    <row r="76091" spans="6:6" x14ac:dyDescent="0.3">
      <c r="F76091" s="193"/>
    </row>
    <row r="76092" spans="6:6" x14ac:dyDescent="0.3">
      <c r="F76092" s="193"/>
    </row>
    <row r="76093" spans="6:6" x14ac:dyDescent="0.3">
      <c r="F76093" s="193"/>
    </row>
    <row r="76094" spans="6:6" x14ac:dyDescent="0.3">
      <c r="F76094" s="193"/>
    </row>
    <row r="76095" spans="6:6" x14ac:dyDescent="0.3">
      <c r="F76095" s="193"/>
    </row>
    <row r="76096" spans="6:6" x14ac:dyDescent="0.3">
      <c r="F76096" s="193"/>
    </row>
    <row r="76097" spans="6:6" x14ac:dyDescent="0.3">
      <c r="F76097" s="193"/>
    </row>
    <row r="76098" spans="6:6" x14ac:dyDescent="0.3">
      <c r="F76098" s="193"/>
    </row>
    <row r="76099" spans="6:6" x14ac:dyDescent="0.3">
      <c r="F76099" s="193"/>
    </row>
    <row r="76100" spans="6:6" x14ac:dyDescent="0.3">
      <c r="F76100" s="193"/>
    </row>
    <row r="76101" spans="6:6" x14ac:dyDescent="0.3">
      <c r="F76101" s="193"/>
    </row>
    <row r="76102" spans="6:6" x14ac:dyDescent="0.3">
      <c r="F76102" s="193"/>
    </row>
    <row r="76103" spans="6:6" x14ac:dyDescent="0.3">
      <c r="F76103" s="193"/>
    </row>
    <row r="76104" spans="6:6" x14ac:dyDescent="0.3">
      <c r="F76104" s="193"/>
    </row>
    <row r="76105" spans="6:6" x14ac:dyDescent="0.3">
      <c r="F76105" s="193"/>
    </row>
    <row r="76106" spans="6:6" x14ac:dyDescent="0.3">
      <c r="F76106" s="193"/>
    </row>
    <row r="76107" spans="6:6" x14ac:dyDescent="0.3">
      <c r="F76107" s="193"/>
    </row>
    <row r="76108" spans="6:6" x14ac:dyDescent="0.3">
      <c r="F76108" s="193"/>
    </row>
    <row r="76109" spans="6:6" x14ac:dyDescent="0.3">
      <c r="F76109" s="193"/>
    </row>
    <row r="76110" spans="6:6" x14ac:dyDescent="0.3">
      <c r="F76110" s="193"/>
    </row>
    <row r="76111" spans="6:6" x14ac:dyDescent="0.3">
      <c r="F76111" s="193"/>
    </row>
    <row r="76112" spans="6:6" x14ac:dyDescent="0.3">
      <c r="F76112" s="193"/>
    </row>
    <row r="76113" spans="6:6" x14ac:dyDescent="0.3">
      <c r="F76113" s="193"/>
    </row>
    <row r="76114" spans="6:6" x14ac:dyDescent="0.3">
      <c r="F76114" s="193"/>
    </row>
    <row r="76115" spans="6:6" x14ac:dyDescent="0.3">
      <c r="F76115" s="193"/>
    </row>
    <row r="76116" spans="6:6" x14ac:dyDescent="0.3">
      <c r="F76116" s="193"/>
    </row>
    <row r="76117" spans="6:6" x14ac:dyDescent="0.3">
      <c r="F76117" s="193"/>
    </row>
    <row r="76118" spans="6:6" x14ac:dyDescent="0.3">
      <c r="F76118" s="193"/>
    </row>
    <row r="76119" spans="6:6" x14ac:dyDescent="0.3">
      <c r="F76119" s="193"/>
    </row>
    <row r="76120" spans="6:6" x14ac:dyDescent="0.3">
      <c r="F76120" s="193"/>
    </row>
    <row r="76121" spans="6:6" x14ac:dyDescent="0.3">
      <c r="F76121" s="193"/>
    </row>
    <row r="76122" spans="6:6" x14ac:dyDescent="0.3">
      <c r="F76122" s="193"/>
    </row>
    <row r="76123" spans="6:6" x14ac:dyDescent="0.3">
      <c r="F76123" s="193"/>
    </row>
    <row r="76124" spans="6:6" x14ac:dyDescent="0.3">
      <c r="F76124" s="193"/>
    </row>
    <row r="76125" spans="6:6" x14ac:dyDescent="0.3">
      <c r="F76125" s="193"/>
    </row>
    <row r="76126" spans="6:6" x14ac:dyDescent="0.3">
      <c r="F76126" s="193"/>
    </row>
    <row r="76127" spans="6:6" x14ac:dyDescent="0.3">
      <c r="F76127" s="193"/>
    </row>
    <row r="76128" spans="6:6" x14ac:dyDescent="0.3">
      <c r="F76128" s="193"/>
    </row>
    <row r="76129" spans="6:6" x14ac:dyDescent="0.3">
      <c r="F76129" s="193"/>
    </row>
    <row r="76130" spans="6:6" x14ac:dyDescent="0.3">
      <c r="F76130" s="193"/>
    </row>
    <row r="76131" spans="6:6" x14ac:dyDescent="0.3">
      <c r="F76131" s="193"/>
    </row>
    <row r="76132" spans="6:6" x14ac:dyDescent="0.3">
      <c r="F76132" s="193"/>
    </row>
    <row r="76133" spans="6:6" x14ac:dyDescent="0.3">
      <c r="F76133" s="193"/>
    </row>
    <row r="76134" spans="6:6" x14ac:dyDescent="0.3">
      <c r="F76134" s="193"/>
    </row>
    <row r="76135" spans="6:6" x14ac:dyDescent="0.3">
      <c r="F76135" s="193"/>
    </row>
    <row r="76136" spans="6:6" x14ac:dyDescent="0.3">
      <c r="F76136" s="193"/>
    </row>
    <row r="76137" spans="6:6" x14ac:dyDescent="0.3">
      <c r="F76137" s="193"/>
    </row>
    <row r="76138" spans="6:6" x14ac:dyDescent="0.3">
      <c r="F76138" s="193"/>
    </row>
    <row r="76139" spans="6:6" x14ac:dyDescent="0.3">
      <c r="F76139" s="193"/>
    </row>
    <row r="76140" spans="6:6" x14ac:dyDescent="0.3">
      <c r="F76140" s="193"/>
    </row>
    <row r="76141" spans="6:6" x14ac:dyDescent="0.3">
      <c r="F76141" s="193"/>
    </row>
    <row r="76142" spans="6:6" x14ac:dyDescent="0.3">
      <c r="F76142" s="193"/>
    </row>
    <row r="76143" spans="6:6" x14ac:dyDescent="0.3">
      <c r="F76143" s="193"/>
    </row>
    <row r="76144" spans="6:6" x14ac:dyDescent="0.3">
      <c r="F76144" s="193"/>
    </row>
    <row r="76145" spans="6:6" x14ac:dyDescent="0.3">
      <c r="F76145" s="193"/>
    </row>
    <row r="76146" spans="6:6" x14ac:dyDescent="0.3">
      <c r="F76146" s="193"/>
    </row>
    <row r="76147" spans="6:6" x14ac:dyDescent="0.3">
      <c r="F76147" s="193"/>
    </row>
    <row r="76148" spans="6:6" x14ac:dyDescent="0.3">
      <c r="F76148" s="193"/>
    </row>
    <row r="76149" spans="6:6" x14ac:dyDescent="0.3">
      <c r="F76149" s="193"/>
    </row>
    <row r="76150" spans="6:6" x14ac:dyDescent="0.3">
      <c r="F76150" s="193"/>
    </row>
    <row r="76151" spans="6:6" x14ac:dyDescent="0.3">
      <c r="F76151" s="193"/>
    </row>
    <row r="76152" spans="6:6" x14ac:dyDescent="0.3">
      <c r="F76152" s="193"/>
    </row>
    <row r="76153" spans="6:6" x14ac:dyDescent="0.3">
      <c r="F76153" s="193"/>
    </row>
    <row r="76154" spans="6:6" x14ac:dyDescent="0.3">
      <c r="F76154" s="193"/>
    </row>
    <row r="76155" spans="6:6" x14ac:dyDescent="0.3">
      <c r="F76155" s="193"/>
    </row>
    <row r="76156" spans="6:6" x14ac:dyDescent="0.3">
      <c r="F76156" s="193"/>
    </row>
    <row r="76157" spans="6:6" x14ac:dyDescent="0.3">
      <c r="F76157" s="193"/>
    </row>
    <row r="76158" spans="6:6" x14ac:dyDescent="0.3">
      <c r="F76158" s="193"/>
    </row>
    <row r="76159" spans="6:6" x14ac:dyDescent="0.3">
      <c r="F76159" s="193"/>
    </row>
    <row r="76160" spans="6:6" x14ac:dyDescent="0.3">
      <c r="F76160" s="193"/>
    </row>
    <row r="76161" spans="6:6" x14ac:dyDescent="0.3">
      <c r="F76161" s="193"/>
    </row>
    <row r="76162" spans="6:6" x14ac:dyDescent="0.3">
      <c r="F76162" s="193"/>
    </row>
    <row r="76163" spans="6:6" x14ac:dyDescent="0.3">
      <c r="F76163" s="193"/>
    </row>
    <row r="76164" spans="6:6" x14ac:dyDescent="0.3">
      <c r="F76164" s="193"/>
    </row>
    <row r="76165" spans="6:6" x14ac:dyDescent="0.3">
      <c r="F76165" s="193"/>
    </row>
    <row r="76166" spans="6:6" x14ac:dyDescent="0.3">
      <c r="F76166" s="193"/>
    </row>
    <row r="76167" spans="6:6" x14ac:dyDescent="0.3">
      <c r="F76167" s="193"/>
    </row>
    <row r="76168" spans="6:6" x14ac:dyDescent="0.3">
      <c r="F76168" s="193"/>
    </row>
    <row r="76169" spans="6:6" x14ac:dyDescent="0.3">
      <c r="F76169" s="193"/>
    </row>
    <row r="76170" spans="6:6" x14ac:dyDescent="0.3">
      <c r="F76170" s="193"/>
    </row>
    <row r="76171" spans="6:6" x14ac:dyDescent="0.3">
      <c r="F76171" s="193"/>
    </row>
    <row r="76172" spans="6:6" x14ac:dyDescent="0.3">
      <c r="F76172" s="193"/>
    </row>
    <row r="76173" spans="6:6" x14ac:dyDescent="0.3">
      <c r="F76173" s="193"/>
    </row>
    <row r="76174" spans="6:6" x14ac:dyDescent="0.3">
      <c r="F76174" s="193"/>
    </row>
    <row r="76175" spans="6:6" x14ac:dyDescent="0.3">
      <c r="F76175" s="193"/>
    </row>
    <row r="76176" spans="6:6" x14ac:dyDescent="0.3">
      <c r="F76176" s="193"/>
    </row>
    <row r="76177" spans="6:6" x14ac:dyDescent="0.3">
      <c r="F76177" s="193"/>
    </row>
    <row r="76178" spans="6:6" x14ac:dyDescent="0.3">
      <c r="F76178" s="193"/>
    </row>
    <row r="76179" spans="6:6" x14ac:dyDescent="0.3">
      <c r="F76179" s="193"/>
    </row>
    <row r="76180" spans="6:6" x14ac:dyDescent="0.3">
      <c r="F76180" s="193"/>
    </row>
    <row r="76181" spans="6:6" x14ac:dyDescent="0.3">
      <c r="F76181" s="193"/>
    </row>
    <row r="76182" spans="6:6" x14ac:dyDescent="0.3">
      <c r="F76182" s="193"/>
    </row>
    <row r="76183" spans="6:6" x14ac:dyDescent="0.3">
      <c r="F76183" s="193"/>
    </row>
    <row r="76184" spans="6:6" x14ac:dyDescent="0.3">
      <c r="F76184" s="193"/>
    </row>
    <row r="76185" spans="6:6" x14ac:dyDescent="0.3">
      <c r="F76185" s="193"/>
    </row>
    <row r="76186" spans="6:6" x14ac:dyDescent="0.3">
      <c r="F76186" s="193"/>
    </row>
    <row r="76187" spans="6:6" x14ac:dyDescent="0.3">
      <c r="F76187" s="193"/>
    </row>
    <row r="76188" spans="6:6" x14ac:dyDescent="0.3">
      <c r="F76188" s="193"/>
    </row>
    <row r="76189" spans="6:6" x14ac:dyDescent="0.3">
      <c r="F76189" s="193"/>
    </row>
    <row r="76190" spans="6:6" x14ac:dyDescent="0.3">
      <c r="F76190" s="193"/>
    </row>
    <row r="76191" spans="6:6" x14ac:dyDescent="0.3">
      <c r="F76191" s="193"/>
    </row>
    <row r="76192" spans="6:6" x14ac:dyDescent="0.3">
      <c r="F76192" s="193"/>
    </row>
    <row r="76193" spans="6:6" x14ac:dyDescent="0.3">
      <c r="F76193" s="193"/>
    </row>
    <row r="76194" spans="6:6" x14ac:dyDescent="0.3">
      <c r="F76194" s="193"/>
    </row>
    <row r="76195" spans="6:6" x14ac:dyDescent="0.3">
      <c r="F76195" s="193"/>
    </row>
    <row r="76196" spans="6:6" x14ac:dyDescent="0.3">
      <c r="F76196" s="193"/>
    </row>
    <row r="76197" spans="6:6" x14ac:dyDescent="0.3">
      <c r="F76197" s="193"/>
    </row>
    <row r="76198" spans="6:6" x14ac:dyDescent="0.3">
      <c r="F76198" s="193"/>
    </row>
    <row r="76199" spans="6:6" x14ac:dyDescent="0.3">
      <c r="F76199" s="193"/>
    </row>
    <row r="76200" spans="6:6" x14ac:dyDescent="0.3">
      <c r="F76200" s="193"/>
    </row>
    <row r="76201" spans="6:6" x14ac:dyDescent="0.3">
      <c r="F76201" s="193"/>
    </row>
    <row r="76202" spans="6:6" x14ac:dyDescent="0.3">
      <c r="F76202" s="193"/>
    </row>
    <row r="76203" spans="6:6" x14ac:dyDescent="0.3">
      <c r="F76203" s="193"/>
    </row>
    <row r="76204" spans="6:6" x14ac:dyDescent="0.3">
      <c r="F76204" s="193"/>
    </row>
    <row r="76205" spans="6:6" x14ac:dyDescent="0.3">
      <c r="F76205" s="193"/>
    </row>
    <row r="76206" spans="6:6" x14ac:dyDescent="0.3">
      <c r="F76206" s="193"/>
    </row>
    <row r="76207" spans="6:6" x14ac:dyDescent="0.3">
      <c r="F76207" s="193"/>
    </row>
    <row r="76208" spans="6:6" x14ac:dyDescent="0.3">
      <c r="F76208" s="193"/>
    </row>
    <row r="76209" spans="6:6" x14ac:dyDescent="0.3">
      <c r="F76209" s="193"/>
    </row>
    <row r="76210" spans="6:6" x14ac:dyDescent="0.3">
      <c r="F76210" s="193"/>
    </row>
    <row r="76211" spans="6:6" x14ac:dyDescent="0.3">
      <c r="F76211" s="193"/>
    </row>
    <row r="76212" spans="6:6" x14ac:dyDescent="0.3">
      <c r="F76212" s="193"/>
    </row>
    <row r="76213" spans="6:6" x14ac:dyDescent="0.3">
      <c r="F76213" s="193"/>
    </row>
    <row r="76214" spans="6:6" x14ac:dyDescent="0.3">
      <c r="F76214" s="193"/>
    </row>
    <row r="76215" spans="6:6" x14ac:dyDescent="0.3">
      <c r="F76215" s="193"/>
    </row>
    <row r="76216" spans="6:6" x14ac:dyDescent="0.3">
      <c r="F76216" s="193"/>
    </row>
    <row r="76217" spans="6:6" x14ac:dyDescent="0.3">
      <c r="F76217" s="193"/>
    </row>
    <row r="76218" spans="6:6" x14ac:dyDescent="0.3">
      <c r="F76218" s="193"/>
    </row>
    <row r="76219" spans="6:6" x14ac:dyDescent="0.3">
      <c r="F76219" s="193"/>
    </row>
    <row r="76220" spans="6:6" x14ac:dyDescent="0.3">
      <c r="F76220" s="193"/>
    </row>
    <row r="76221" spans="6:6" x14ac:dyDescent="0.3">
      <c r="F76221" s="193"/>
    </row>
    <row r="76222" spans="6:6" x14ac:dyDescent="0.3">
      <c r="F76222" s="193"/>
    </row>
    <row r="76223" spans="6:6" x14ac:dyDescent="0.3">
      <c r="F76223" s="193"/>
    </row>
    <row r="76224" spans="6:6" x14ac:dyDescent="0.3">
      <c r="F76224" s="193"/>
    </row>
    <row r="76225" spans="6:6" x14ac:dyDescent="0.3">
      <c r="F76225" s="193"/>
    </row>
    <row r="76226" spans="6:6" x14ac:dyDescent="0.3">
      <c r="F76226" s="193"/>
    </row>
    <row r="76227" spans="6:6" x14ac:dyDescent="0.3">
      <c r="F76227" s="193"/>
    </row>
    <row r="76228" spans="6:6" x14ac:dyDescent="0.3">
      <c r="F76228" s="193"/>
    </row>
    <row r="76229" spans="6:6" x14ac:dyDescent="0.3">
      <c r="F76229" s="193"/>
    </row>
    <row r="76230" spans="6:6" x14ac:dyDescent="0.3">
      <c r="F76230" s="193"/>
    </row>
    <row r="76231" spans="6:6" x14ac:dyDescent="0.3">
      <c r="F76231" s="193"/>
    </row>
    <row r="76232" spans="6:6" x14ac:dyDescent="0.3">
      <c r="F76232" s="193"/>
    </row>
    <row r="76233" spans="6:6" x14ac:dyDescent="0.3">
      <c r="F76233" s="193"/>
    </row>
    <row r="76234" spans="6:6" x14ac:dyDescent="0.3">
      <c r="F76234" s="193"/>
    </row>
    <row r="76235" spans="6:6" x14ac:dyDescent="0.3">
      <c r="F76235" s="193"/>
    </row>
    <row r="76236" spans="6:6" x14ac:dyDescent="0.3">
      <c r="F76236" s="193"/>
    </row>
    <row r="76237" spans="6:6" x14ac:dyDescent="0.3">
      <c r="F76237" s="193"/>
    </row>
    <row r="76238" spans="6:6" x14ac:dyDescent="0.3">
      <c r="F76238" s="193"/>
    </row>
    <row r="76239" spans="6:6" x14ac:dyDescent="0.3">
      <c r="F76239" s="193"/>
    </row>
    <row r="76240" spans="6:6" x14ac:dyDescent="0.3">
      <c r="F76240" s="193"/>
    </row>
    <row r="76241" spans="6:6" x14ac:dyDescent="0.3">
      <c r="F76241" s="193"/>
    </row>
    <row r="76242" spans="6:6" x14ac:dyDescent="0.3">
      <c r="F76242" s="193"/>
    </row>
    <row r="76243" spans="6:6" x14ac:dyDescent="0.3">
      <c r="F76243" s="193"/>
    </row>
    <row r="76244" spans="6:6" x14ac:dyDescent="0.3">
      <c r="F76244" s="193"/>
    </row>
    <row r="76245" spans="6:6" x14ac:dyDescent="0.3">
      <c r="F76245" s="193"/>
    </row>
    <row r="76246" spans="6:6" x14ac:dyDescent="0.3">
      <c r="F76246" s="193"/>
    </row>
    <row r="76247" spans="6:6" x14ac:dyDescent="0.3">
      <c r="F76247" s="193"/>
    </row>
    <row r="76248" spans="6:6" x14ac:dyDescent="0.3">
      <c r="F76248" s="193"/>
    </row>
    <row r="76249" spans="6:6" x14ac:dyDescent="0.3">
      <c r="F76249" s="193"/>
    </row>
    <row r="76250" spans="6:6" x14ac:dyDescent="0.3">
      <c r="F76250" s="193"/>
    </row>
    <row r="76251" spans="6:6" x14ac:dyDescent="0.3">
      <c r="F76251" s="193"/>
    </row>
    <row r="76252" spans="6:6" x14ac:dyDescent="0.3">
      <c r="F76252" s="193"/>
    </row>
    <row r="76253" spans="6:6" x14ac:dyDescent="0.3">
      <c r="F76253" s="193"/>
    </row>
    <row r="76254" spans="6:6" x14ac:dyDescent="0.3">
      <c r="F76254" s="193"/>
    </row>
    <row r="76255" spans="6:6" x14ac:dyDescent="0.3">
      <c r="F76255" s="193"/>
    </row>
    <row r="76256" spans="6:6" x14ac:dyDescent="0.3">
      <c r="F76256" s="193"/>
    </row>
    <row r="76257" spans="6:6" x14ac:dyDescent="0.3">
      <c r="F76257" s="193"/>
    </row>
    <row r="76258" spans="6:6" x14ac:dyDescent="0.3">
      <c r="F76258" s="193"/>
    </row>
    <row r="76259" spans="6:6" x14ac:dyDescent="0.3">
      <c r="F76259" s="193"/>
    </row>
    <row r="76260" spans="6:6" x14ac:dyDescent="0.3">
      <c r="F76260" s="193"/>
    </row>
    <row r="76261" spans="6:6" x14ac:dyDescent="0.3">
      <c r="F76261" s="193"/>
    </row>
    <row r="76262" spans="6:6" x14ac:dyDescent="0.3">
      <c r="F76262" s="193"/>
    </row>
    <row r="76263" spans="6:6" x14ac:dyDescent="0.3">
      <c r="F76263" s="193"/>
    </row>
    <row r="76264" spans="6:6" x14ac:dyDescent="0.3">
      <c r="F76264" s="193"/>
    </row>
    <row r="76265" spans="6:6" x14ac:dyDescent="0.3">
      <c r="F76265" s="193"/>
    </row>
    <row r="76266" spans="6:6" x14ac:dyDescent="0.3">
      <c r="F76266" s="193"/>
    </row>
    <row r="76267" spans="6:6" x14ac:dyDescent="0.3">
      <c r="F76267" s="193"/>
    </row>
    <row r="76268" spans="6:6" x14ac:dyDescent="0.3">
      <c r="F76268" s="193"/>
    </row>
    <row r="76269" spans="6:6" x14ac:dyDescent="0.3">
      <c r="F76269" s="193"/>
    </row>
    <row r="76270" spans="6:6" x14ac:dyDescent="0.3">
      <c r="F76270" s="193"/>
    </row>
    <row r="76271" spans="6:6" x14ac:dyDescent="0.3">
      <c r="F76271" s="193"/>
    </row>
    <row r="76272" spans="6:6" x14ac:dyDescent="0.3">
      <c r="F76272" s="193"/>
    </row>
    <row r="76273" spans="6:6" x14ac:dyDescent="0.3">
      <c r="F76273" s="193"/>
    </row>
    <row r="76274" spans="6:6" x14ac:dyDescent="0.3">
      <c r="F76274" s="193"/>
    </row>
    <row r="76275" spans="6:6" x14ac:dyDescent="0.3">
      <c r="F76275" s="193"/>
    </row>
    <row r="76276" spans="6:6" x14ac:dyDescent="0.3">
      <c r="F76276" s="193"/>
    </row>
    <row r="76277" spans="6:6" x14ac:dyDescent="0.3">
      <c r="F76277" s="193"/>
    </row>
    <row r="76278" spans="6:6" x14ac:dyDescent="0.3">
      <c r="F76278" s="193"/>
    </row>
    <row r="76279" spans="6:6" x14ac:dyDescent="0.3">
      <c r="F76279" s="193"/>
    </row>
    <row r="76280" spans="6:6" x14ac:dyDescent="0.3">
      <c r="F76280" s="193"/>
    </row>
    <row r="76281" spans="6:6" x14ac:dyDescent="0.3">
      <c r="F76281" s="193"/>
    </row>
    <row r="76282" spans="6:6" x14ac:dyDescent="0.3">
      <c r="F76282" s="193"/>
    </row>
    <row r="76283" spans="6:6" x14ac:dyDescent="0.3">
      <c r="F76283" s="193"/>
    </row>
    <row r="76284" spans="6:6" x14ac:dyDescent="0.3">
      <c r="F76284" s="193"/>
    </row>
    <row r="76285" spans="6:6" x14ac:dyDescent="0.3">
      <c r="F76285" s="193"/>
    </row>
    <row r="76286" spans="6:6" x14ac:dyDescent="0.3">
      <c r="F76286" s="193"/>
    </row>
    <row r="76287" spans="6:6" x14ac:dyDescent="0.3">
      <c r="F76287" s="193"/>
    </row>
    <row r="76288" spans="6:6" x14ac:dyDescent="0.3">
      <c r="F76288" s="193"/>
    </row>
    <row r="76289" spans="6:6" x14ac:dyDescent="0.3">
      <c r="F76289" s="193"/>
    </row>
    <row r="76290" spans="6:6" x14ac:dyDescent="0.3">
      <c r="F76290" s="193"/>
    </row>
    <row r="76291" spans="6:6" x14ac:dyDescent="0.3">
      <c r="F76291" s="193"/>
    </row>
    <row r="76292" spans="6:6" x14ac:dyDescent="0.3">
      <c r="F76292" s="193"/>
    </row>
    <row r="76293" spans="6:6" x14ac:dyDescent="0.3">
      <c r="F76293" s="193"/>
    </row>
    <row r="76294" spans="6:6" x14ac:dyDescent="0.3">
      <c r="F76294" s="193"/>
    </row>
    <row r="76295" spans="6:6" x14ac:dyDescent="0.3">
      <c r="F76295" s="193"/>
    </row>
    <row r="76296" spans="6:6" x14ac:dyDescent="0.3">
      <c r="F76296" s="193"/>
    </row>
    <row r="76297" spans="6:6" x14ac:dyDescent="0.3">
      <c r="F76297" s="193"/>
    </row>
    <row r="76298" spans="6:6" x14ac:dyDescent="0.3">
      <c r="F76298" s="193"/>
    </row>
    <row r="76299" spans="6:6" x14ac:dyDescent="0.3">
      <c r="F76299" s="193"/>
    </row>
    <row r="76300" spans="6:6" x14ac:dyDescent="0.3">
      <c r="F76300" s="193"/>
    </row>
    <row r="76301" spans="6:6" x14ac:dyDescent="0.3">
      <c r="F76301" s="193"/>
    </row>
    <row r="76302" spans="6:6" x14ac:dyDescent="0.3">
      <c r="F76302" s="193"/>
    </row>
    <row r="76303" spans="6:6" x14ac:dyDescent="0.3">
      <c r="F76303" s="193"/>
    </row>
    <row r="76304" spans="6:6" x14ac:dyDescent="0.3">
      <c r="F76304" s="193"/>
    </row>
    <row r="76305" spans="6:6" x14ac:dyDescent="0.3">
      <c r="F76305" s="193"/>
    </row>
    <row r="76306" spans="6:6" x14ac:dyDescent="0.3">
      <c r="F76306" s="193"/>
    </row>
    <row r="76307" spans="6:6" x14ac:dyDescent="0.3">
      <c r="F76307" s="193"/>
    </row>
    <row r="76308" spans="6:6" x14ac:dyDescent="0.3">
      <c r="F76308" s="193"/>
    </row>
    <row r="76309" spans="6:6" x14ac:dyDescent="0.3">
      <c r="F76309" s="193"/>
    </row>
    <row r="76310" spans="6:6" x14ac:dyDescent="0.3">
      <c r="F76310" s="193"/>
    </row>
    <row r="76311" spans="6:6" x14ac:dyDescent="0.3">
      <c r="F76311" s="193"/>
    </row>
    <row r="76312" spans="6:6" x14ac:dyDescent="0.3">
      <c r="F76312" s="193"/>
    </row>
    <row r="76313" spans="6:6" x14ac:dyDescent="0.3">
      <c r="F76313" s="193"/>
    </row>
    <row r="76314" spans="6:6" x14ac:dyDescent="0.3">
      <c r="F76314" s="193"/>
    </row>
    <row r="76315" spans="6:6" x14ac:dyDescent="0.3">
      <c r="F76315" s="193"/>
    </row>
    <row r="76316" spans="6:6" x14ac:dyDescent="0.3">
      <c r="F76316" s="193"/>
    </row>
    <row r="76317" spans="6:6" x14ac:dyDescent="0.3">
      <c r="F76317" s="193"/>
    </row>
    <row r="76318" spans="6:6" x14ac:dyDescent="0.3">
      <c r="F76318" s="193"/>
    </row>
    <row r="76319" spans="6:6" x14ac:dyDescent="0.3">
      <c r="F76319" s="193"/>
    </row>
    <row r="76320" spans="6:6" x14ac:dyDescent="0.3">
      <c r="F76320" s="193"/>
    </row>
    <row r="76321" spans="6:6" x14ac:dyDescent="0.3">
      <c r="F76321" s="193"/>
    </row>
    <row r="76322" spans="6:6" x14ac:dyDescent="0.3">
      <c r="F76322" s="193"/>
    </row>
    <row r="76323" spans="6:6" x14ac:dyDescent="0.3">
      <c r="F76323" s="193"/>
    </row>
    <row r="76324" spans="6:6" x14ac:dyDescent="0.3">
      <c r="F76324" s="193"/>
    </row>
    <row r="76325" spans="6:6" x14ac:dyDescent="0.3">
      <c r="F76325" s="193"/>
    </row>
    <row r="76326" spans="6:6" x14ac:dyDescent="0.3">
      <c r="F76326" s="193"/>
    </row>
    <row r="76327" spans="6:6" x14ac:dyDescent="0.3">
      <c r="F76327" s="193"/>
    </row>
    <row r="76328" spans="6:6" x14ac:dyDescent="0.3">
      <c r="F76328" s="193"/>
    </row>
    <row r="76329" spans="6:6" x14ac:dyDescent="0.3">
      <c r="F76329" s="193"/>
    </row>
    <row r="76330" spans="6:6" x14ac:dyDescent="0.3">
      <c r="F76330" s="193"/>
    </row>
    <row r="76331" spans="6:6" x14ac:dyDescent="0.3">
      <c r="F76331" s="193"/>
    </row>
    <row r="76332" spans="6:6" x14ac:dyDescent="0.3">
      <c r="F76332" s="193"/>
    </row>
    <row r="76333" spans="6:6" x14ac:dyDescent="0.3">
      <c r="F76333" s="193"/>
    </row>
    <row r="76334" spans="6:6" x14ac:dyDescent="0.3">
      <c r="F76334" s="193"/>
    </row>
    <row r="76335" spans="6:6" x14ac:dyDescent="0.3">
      <c r="F76335" s="193"/>
    </row>
    <row r="76336" spans="6:6" x14ac:dyDescent="0.3">
      <c r="F76336" s="193"/>
    </row>
    <row r="76337" spans="6:6" x14ac:dyDescent="0.3">
      <c r="F76337" s="193"/>
    </row>
    <row r="76338" spans="6:6" x14ac:dyDescent="0.3">
      <c r="F76338" s="193"/>
    </row>
    <row r="76339" spans="6:6" x14ac:dyDescent="0.3">
      <c r="F76339" s="193"/>
    </row>
    <row r="76340" spans="6:6" x14ac:dyDescent="0.3">
      <c r="F76340" s="193"/>
    </row>
    <row r="76341" spans="6:6" x14ac:dyDescent="0.3">
      <c r="F76341" s="193"/>
    </row>
    <row r="76342" spans="6:6" x14ac:dyDescent="0.3">
      <c r="F76342" s="193"/>
    </row>
    <row r="76343" spans="6:6" x14ac:dyDescent="0.3">
      <c r="F76343" s="193"/>
    </row>
    <row r="76344" spans="6:6" x14ac:dyDescent="0.3">
      <c r="F76344" s="193"/>
    </row>
    <row r="76345" spans="6:6" x14ac:dyDescent="0.3">
      <c r="F76345" s="193"/>
    </row>
    <row r="76346" spans="6:6" x14ac:dyDescent="0.3">
      <c r="F76346" s="193"/>
    </row>
    <row r="76347" spans="6:6" x14ac:dyDescent="0.3">
      <c r="F76347" s="193"/>
    </row>
    <row r="76348" spans="6:6" x14ac:dyDescent="0.3">
      <c r="F76348" s="193"/>
    </row>
    <row r="76349" spans="6:6" x14ac:dyDescent="0.3">
      <c r="F76349" s="193"/>
    </row>
    <row r="76350" spans="6:6" x14ac:dyDescent="0.3">
      <c r="F76350" s="193"/>
    </row>
    <row r="76351" spans="6:6" x14ac:dyDescent="0.3">
      <c r="F76351" s="193"/>
    </row>
    <row r="76352" spans="6:6" x14ac:dyDescent="0.3">
      <c r="F76352" s="193"/>
    </row>
    <row r="76353" spans="6:6" x14ac:dyDescent="0.3">
      <c r="F76353" s="193"/>
    </row>
    <row r="76354" spans="6:6" x14ac:dyDescent="0.3">
      <c r="F76354" s="193"/>
    </row>
    <row r="76355" spans="6:6" x14ac:dyDescent="0.3">
      <c r="F76355" s="193"/>
    </row>
    <row r="76356" spans="6:6" x14ac:dyDescent="0.3">
      <c r="F76356" s="193"/>
    </row>
    <row r="76357" spans="6:6" x14ac:dyDescent="0.3">
      <c r="F76357" s="193"/>
    </row>
    <row r="76358" spans="6:6" x14ac:dyDescent="0.3">
      <c r="F76358" s="193"/>
    </row>
    <row r="76359" spans="6:6" x14ac:dyDescent="0.3">
      <c r="F76359" s="193"/>
    </row>
    <row r="76360" spans="6:6" x14ac:dyDescent="0.3">
      <c r="F76360" s="193"/>
    </row>
    <row r="76361" spans="6:6" x14ac:dyDescent="0.3">
      <c r="F76361" s="193"/>
    </row>
    <row r="76362" spans="6:6" x14ac:dyDescent="0.3">
      <c r="F76362" s="193"/>
    </row>
    <row r="76363" spans="6:6" x14ac:dyDescent="0.3">
      <c r="F76363" s="193"/>
    </row>
    <row r="76364" spans="6:6" x14ac:dyDescent="0.3">
      <c r="F76364" s="193"/>
    </row>
    <row r="76365" spans="6:6" x14ac:dyDescent="0.3">
      <c r="F76365" s="193"/>
    </row>
    <row r="76366" spans="6:6" x14ac:dyDescent="0.3">
      <c r="F76366" s="193"/>
    </row>
    <row r="76367" spans="6:6" x14ac:dyDescent="0.3">
      <c r="F76367" s="193"/>
    </row>
    <row r="76368" spans="6:6" x14ac:dyDescent="0.3">
      <c r="F76368" s="193"/>
    </row>
    <row r="76369" spans="6:6" x14ac:dyDescent="0.3">
      <c r="F76369" s="193"/>
    </row>
    <row r="76370" spans="6:6" x14ac:dyDescent="0.3">
      <c r="F76370" s="193"/>
    </row>
    <row r="76371" spans="6:6" x14ac:dyDescent="0.3">
      <c r="F76371" s="193"/>
    </row>
    <row r="76372" spans="6:6" x14ac:dyDescent="0.3">
      <c r="F76372" s="193"/>
    </row>
    <row r="76373" spans="6:6" x14ac:dyDescent="0.3">
      <c r="F76373" s="193"/>
    </row>
    <row r="76374" spans="6:6" x14ac:dyDescent="0.3">
      <c r="F76374" s="193"/>
    </row>
    <row r="76375" spans="6:6" x14ac:dyDescent="0.3">
      <c r="F76375" s="193"/>
    </row>
    <row r="76376" spans="6:6" x14ac:dyDescent="0.3">
      <c r="F76376" s="193"/>
    </row>
    <row r="76377" spans="6:6" x14ac:dyDescent="0.3">
      <c r="F76377" s="193"/>
    </row>
    <row r="76378" spans="6:6" x14ac:dyDescent="0.3">
      <c r="F76378" s="193"/>
    </row>
    <row r="76379" spans="6:6" x14ac:dyDescent="0.3">
      <c r="F76379" s="193"/>
    </row>
    <row r="76380" spans="6:6" x14ac:dyDescent="0.3">
      <c r="F76380" s="193"/>
    </row>
    <row r="76381" spans="6:6" x14ac:dyDescent="0.3">
      <c r="F76381" s="193"/>
    </row>
    <row r="76382" spans="6:6" x14ac:dyDescent="0.3">
      <c r="F76382" s="193"/>
    </row>
    <row r="76383" spans="6:6" x14ac:dyDescent="0.3">
      <c r="F76383" s="193"/>
    </row>
    <row r="76384" spans="6:6" x14ac:dyDescent="0.3">
      <c r="F76384" s="193"/>
    </row>
    <row r="76385" spans="6:6" x14ac:dyDescent="0.3">
      <c r="F76385" s="193"/>
    </row>
    <row r="76386" spans="6:6" x14ac:dyDescent="0.3">
      <c r="F76386" s="193"/>
    </row>
    <row r="76387" spans="6:6" x14ac:dyDescent="0.3">
      <c r="F76387" s="193"/>
    </row>
    <row r="76388" spans="6:6" x14ac:dyDescent="0.3">
      <c r="F76388" s="193"/>
    </row>
    <row r="76389" spans="6:6" x14ac:dyDescent="0.3">
      <c r="F76389" s="193"/>
    </row>
    <row r="76390" spans="6:6" x14ac:dyDescent="0.3">
      <c r="F76390" s="193"/>
    </row>
    <row r="76391" spans="6:6" x14ac:dyDescent="0.3">
      <c r="F76391" s="193"/>
    </row>
    <row r="76392" spans="6:6" x14ac:dyDescent="0.3">
      <c r="F76392" s="193"/>
    </row>
    <row r="76393" spans="6:6" x14ac:dyDescent="0.3">
      <c r="F76393" s="193"/>
    </row>
    <row r="76394" spans="6:6" x14ac:dyDescent="0.3">
      <c r="F76394" s="193"/>
    </row>
    <row r="76395" spans="6:6" x14ac:dyDescent="0.3">
      <c r="F76395" s="193"/>
    </row>
    <row r="76396" spans="6:6" x14ac:dyDescent="0.3">
      <c r="F76396" s="193"/>
    </row>
    <row r="76397" spans="6:6" x14ac:dyDescent="0.3">
      <c r="F76397" s="193"/>
    </row>
    <row r="76398" spans="6:6" x14ac:dyDescent="0.3">
      <c r="F76398" s="193"/>
    </row>
    <row r="76399" spans="6:6" x14ac:dyDescent="0.3">
      <c r="F76399" s="193"/>
    </row>
    <row r="76400" spans="6:6" x14ac:dyDescent="0.3">
      <c r="F76400" s="193"/>
    </row>
    <row r="76401" spans="6:6" x14ac:dyDescent="0.3">
      <c r="F76401" s="193"/>
    </row>
    <row r="76402" spans="6:6" x14ac:dyDescent="0.3">
      <c r="F76402" s="193"/>
    </row>
    <row r="76403" spans="6:6" x14ac:dyDescent="0.3">
      <c r="F76403" s="193"/>
    </row>
    <row r="76404" spans="6:6" x14ac:dyDescent="0.3">
      <c r="F76404" s="193"/>
    </row>
    <row r="76405" spans="6:6" x14ac:dyDescent="0.3">
      <c r="F76405" s="193"/>
    </row>
    <row r="76406" spans="6:6" x14ac:dyDescent="0.3">
      <c r="F76406" s="193"/>
    </row>
    <row r="76407" spans="6:6" x14ac:dyDescent="0.3">
      <c r="F76407" s="193"/>
    </row>
    <row r="76408" spans="6:6" x14ac:dyDescent="0.3">
      <c r="F76408" s="193"/>
    </row>
    <row r="76409" spans="6:6" x14ac:dyDescent="0.3">
      <c r="F76409" s="193"/>
    </row>
    <row r="76410" spans="6:6" x14ac:dyDescent="0.3">
      <c r="F76410" s="193"/>
    </row>
    <row r="76411" spans="6:6" x14ac:dyDescent="0.3">
      <c r="F76411" s="193"/>
    </row>
    <row r="76412" spans="6:6" x14ac:dyDescent="0.3">
      <c r="F76412" s="193"/>
    </row>
    <row r="76413" spans="6:6" x14ac:dyDescent="0.3">
      <c r="F76413" s="193"/>
    </row>
    <row r="76414" spans="6:6" x14ac:dyDescent="0.3">
      <c r="F76414" s="193"/>
    </row>
    <row r="76415" spans="6:6" x14ac:dyDescent="0.3">
      <c r="F76415" s="193"/>
    </row>
    <row r="76416" spans="6:6" x14ac:dyDescent="0.3">
      <c r="F76416" s="193"/>
    </row>
    <row r="76417" spans="6:6" x14ac:dyDescent="0.3">
      <c r="F76417" s="193"/>
    </row>
    <row r="76418" spans="6:6" x14ac:dyDescent="0.3">
      <c r="F76418" s="193"/>
    </row>
    <row r="76419" spans="6:6" x14ac:dyDescent="0.3">
      <c r="F76419" s="193"/>
    </row>
    <row r="76420" spans="6:6" x14ac:dyDescent="0.3">
      <c r="F76420" s="193"/>
    </row>
    <row r="76421" spans="6:6" x14ac:dyDescent="0.3">
      <c r="F76421" s="193"/>
    </row>
    <row r="76422" spans="6:6" x14ac:dyDescent="0.3">
      <c r="F76422" s="193"/>
    </row>
    <row r="76423" spans="6:6" x14ac:dyDescent="0.3">
      <c r="F76423" s="193"/>
    </row>
    <row r="76424" spans="6:6" x14ac:dyDescent="0.3">
      <c r="F76424" s="193"/>
    </row>
    <row r="76425" spans="6:6" x14ac:dyDescent="0.3">
      <c r="F76425" s="193"/>
    </row>
    <row r="76426" spans="6:6" x14ac:dyDescent="0.3">
      <c r="F76426" s="193"/>
    </row>
    <row r="76427" spans="6:6" x14ac:dyDescent="0.3">
      <c r="F76427" s="193"/>
    </row>
    <row r="76428" spans="6:6" x14ac:dyDescent="0.3">
      <c r="F76428" s="193"/>
    </row>
    <row r="76429" spans="6:6" x14ac:dyDescent="0.3">
      <c r="F76429" s="193"/>
    </row>
    <row r="76430" spans="6:6" x14ac:dyDescent="0.3">
      <c r="F76430" s="193"/>
    </row>
    <row r="76431" spans="6:6" x14ac:dyDescent="0.3">
      <c r="F76431" s="193"/>
    </row>
    <row r="76432" spans="6:6" x14ac:dyDescent="0.3">
      <c r="F76432" s="193"/>
    </row>
    <row r="76433" spans="6:6" x14ac:dyDescent="0.3">
      <c r="F76433" s="193"/>
    </row>
    <row r="76434" spans="6:6" x14ac:dyDescent="0.3">
      <c r="F76434" s="193"/>
    </row>
    <row r="76435" spans="6:6" x14ac:dyDescent="0.3">
      <c r="F76435" s="193"/>
    </row>
    <row r="76436" spans="6:6" x14ac:dyDescent="0.3">
      <c r="F76436" s="193"/>
    </row>
    <row r="76437" spans="6:6" x14ac:dyDescent="0.3">
      <c r="F76437" s="193"/>
    </row>
    <row r="76438" spans="6:6" x14ac:dyDescent="0.3">
      <c r="F76438" s="193"/>
    </row>
    <row r="76439" spans="6:6" x14ac:dyDescent="0.3">
      <c r="F76439" s="193"/>
    </row>
    <row r="76440" spans="6:6" x14ac:dyDescent="0.3">
      <c r="F76440" s="193"/>
    </row>
    <row r="76441" spans="6:6" x14ac:dyDescent="0.3">
      <c r="F76441" s="193"/>
    </row>
    <row r="76442" spans="6:6" x14ac:dyDescent="0.3">
      <c r="F76442" s="193"/>
    </row>
    <row r="76443" spans="6:6" x14ac:dyDescent="0.3">
      <c r="F76443" s="193"/>
    </row>
    <row r="76444" spans="6:6" x14ac:dyDescent="0.3">
      <c r="F76444" s="193"/>
    </row>
    <row r="76445" spans="6:6" x14ac:dyDescent="0.3">
      <c r="F76445" s="193"/>
    </row>
    <row r="76446" spans="6:6" x14ac:dyDescent="0.3">
      <c r="F76446" s="193"/>
    </row>
    <row r="76447" spans="6:6" x14ac:dyDescent="0.3">
      <c r="F76447" s="193"/>
    </row>
    <row r="76448" spans="6:6" x14ac:dyDescent="0.3">
      <c r="F76448" s="193"/>
    </row>
    <row r="76449" spans="6:6" x14ac:dyDescent="0.3">
      <c r="F76449" s="193"/>
    </row>
    <row r="76450" spans="6:6" x14ac:dyDescent="0.3">
      <c r="F76450" s="193"/>
    </row>
    <row r="76451" spans="6:6" x14ac:dyDescent="0.3">
      <c r="F76451" s="193"/>
    </row>
    <row r="76452" spans="6:6" x14ac:dyDescent="0.3">
      <c r="F76452" s="193"/>
    </row>
    <row r="76453" spans="6:6" x14ac:dyDescent="0.3">
      <c r="F76453" s="193"/>
    </row>
    <row r="76454" spans="6:6" x14ac:dyDescent="0.3">
      <c r="F76454" s="193"/>
    </row>
    <row r="76455" spans="6:6" x14ac:dyDescent="0.3">
      <c r="F76455" s="193"/>
    </row>
    <row r="76456" spans="6:6" x14ac:dyDescent="0.3">
      <c r="F76456" s="193"/>
    </row>
    <row r="76457" spans="6:6" x14ac:dyDescent="0.3">
      <c r="F76457" s="193"/>
    </row>
    <row r="76458" spans="6:6" x14ac:dyDescent="0.3">
      <c r="F76458" s="193"/>
    </row>
    <row r="76459" spans="6:6" x14ac:dyDescent="0.3">
      <c r="F76459" s="193"/>
    </row>
    <row r="76460" spans="6:6" x14ac:dyDescent="0.3">
      <c r="F76460" s="193"/>
    </row>
    <row r="76461" spans="6:6" x14ac:dyDescent="0.3">
      <c r="F76461" s="193"/>
    </row>
    <row r="76462" spans="6:6" x14ac:dyDescent="0.3">
      <c r="F76462" s="193"/>
    </row>
    <row r="76463" spans="6:6" x14ac:dyDescent="0.3">
      <c r="F76463" s="193"/>
    </row>
    <row r="76464" spans="6:6" x14ac:dyDescent="0.3">
      <c r="F76464" s="193"/>
    </row>
    <row r="76465" spans="6:6" x14ac:dyDescent="0.3">
      <c r="F76465" s="193"/>
    </row>
    <row r="76466" spans="6:6" x14ac:dyDescent="0.3">
      <c r="F76466" s="193"/>
    </row>
    <row r="76467" spans="6:6" x14ac:dyDescent="0.3">
      <c r="F76467" s="193"/>
    </row>
    <row r="76468" spans="6:6" x14ac:dyDescent="0.3">
      <c r="F76468" s="193"/>
    </row>
    <row r="76469" spans="6:6" x14ac:dyDescent="0.3">
      <c r="F76469" s="193"/>
    </row>
    <row r="76470" spans="6:6" x14ac:dyDescent="0.3">
      <c r="F76470" s="193"/>
    </row>
    <row r="76471" spans="6:6" x14ac:dyDescent="0.3">
      <c r="F76471" s="193"/>
    </row>
    <row r="76472" spans="6:6" x14ac:dyDescent="0.3">
      <c r="F76472" s="193"/>
    </row>
    <row r="76473" spans="6:6" x14ac:dyDescent="0.3">
      <c r="F76473" s="193"/>
    </row>
    <row r="76474" spans="6:6" x14ac:dyDescent="0.3">
      <c r="F76474" s="193"/>
    </row>
    <row r="76475" spans="6:6" x14ac:dyDescent="0.3">
      <c r="F76475" s="193"/>
    </row>
    <row r="76476" spans="6:6" x14ac:dyDescent="0.3">
      <c r="F76476" s="193"/>
    </row>
    <row r="76477" spans="6:6" x14ac:dyDescent="0.3">
      <c r="F76477" s="193"/>
    </row>
    <row r="76478" spans="6:6" x14ac:dyDescent="0.3">
      <c r="F76478" s="193"/>
    </row>
    <row r="76479" spans="6:6" x14ac:dyDescent="0.3">
      <c r="F76479" s="193"/>
    </row>
    <row r="76480" spans="6:6" x14ac:dyDescent="0.3">
      <c r="F76480" s="193"/>
    </row>
    <row r="76481" spans="6:6" x14ac:dyDescent="0.3">
      <c r="F76481" s="193"/>
    </row>
    <row r="76482" spans="6:6" x14ac:dyDescent="0.3">
      <c r="F76482" s="193"/>
    </row>
    <row r="76483" spans="6:6" x14ac:dyDescent="0.3">
      <c r="F76483" s="193"/>
    </row>
    <row r="76484" spans="6:6" x14ac:dyDescent="0.3">
      <c r="F76484" s="193"/>
    </row>
    <row r="76485" spans="6:6" x14ac:dyDescent="0.3">
      <c r="F76485" s="193"/>
    </row>
    <row r="76486" spans="6:6" x14ac:dyDescent="0.3">
      <c r="F76486" s="193"/>
    </row>
    <row r="76487" spans="6:6" x14ac:dyDescent="0.3">
      <c r="F76487" s="193"/>
    </row>
    <row r="76488" spans="6:6" x14ac:dyDescent="0.3">
      <c r="F76488" s="193"/>
    </row>
    <row r="76489" spans="6:6" x14ac:dyDescent="0.3">
      <c r="F76489" s="193"/>
    </row>
    <row r="76490" spans="6:6" x14ac:dyDescent="0.3">
      <c r="F76490" s="193"/>
    </row>
    <row r="76491" spans="6:6" x14ac:dyDescent="0.3">
      <c r="F76491" s="193"/>
    </row>
    <row r="76492" spans="6:6" x14ac:dyDescent="0.3">
      <c r="F76492" s="193"/>
    </row>
    <row r="76493" spans="6:6" x14ac:dyDescent="0.3">
      <c r="F76493" s="193"/>
    </row>
    <row r="76494" spans="6:6" x14ac:dyDescent="0.3">
      <c r="F76494" s="193"/>
    </row>
    <row r="76495" spans="6:6" x14ac:dyDescent="0.3">
      <c r="F76495" s="193"/>
    </row>
    <row r="76496" spans="6:6" x14ac:dyDescent="0.3">
      <c r="F76496" s="193"/>
    </row>
    <row r="76497" spans="6:6" x14ac:dyDescent="0.3">
      <c r="F76497" s="193"/>
    </row>
    <row r="76498" spans="6:6" x14ac:dyDescent="0.3">
      <c r="F76498" s="193"/>
    </row>
    <row r="76499" spans="6:6" x14ac:dyDescent="0.3">
      <c r="F76499" s="193"/>
    </row>
    <row r="76500" spans="6:6" x14ac:dyDescent="0.3">
      <c r="F76500" s="193"/>
    </row>
    <row r="76501" spans="6:6" x14ac:dyDescent="0.3">
      <c r="F76501" s="193"/>
    </row>
    <row r="76502" spans="6:6" x14ac:dyDescent="0.3">
      <c r="F76502" s="193"/>
    </row>
    <row r="76503" spans="6:6" x14ac:dyDescent="0.3">
      <c r="F76503" s="193"/>
    </row>
    <row r="76504" spans="6:6" x14ac:dyDescent="0.3">
      <c r="F76504" s="193"/>
    </row>
    <row r="76505" spans="6:6" x14ac:dyDescent="0.3">
      <c r="F76505" s="193"/>
    </row>
    <row r="76506" spans="6:6" x14ac:dyDescent="0.3">
      <c r="F76506" s="193"/>
    </row>
    <row r="76507" spans="6:6" x14ac:dyDescent="0.3">
      <c r="F76507" s="193"/>
    </row>
    <row r="76508" spans="6:6" x14ac:dyDescent="0.3">
      <c r="F76508" s="193"/>
    </row>
    <row r="76509" spans="6:6" x14ac:dyDescent="0.3">
      <c r="F76509" s="193"/>
    </row>
    <row r="76510" spans="6:6" x14ac:dyDescent="0.3">
      <c r="F76510" s="193"/>
    </row>
    <row r="76511" spans="6:6" x14ac:dyDescent="0.3">
      <c r="F76511" s="193"/>
    </row>
    <row r="76512" spans="6:6" x14ac:dyDescent="0.3">
      <c r="F76512" s="193"/>
    </row>
    <row r="76513" spans="6:6" x14ac:dyDescent="0.3">
      <c r="F76513" s="193"/>
    </row>
    <row r="76514" spans="6:6" x14ac:dyDescent="0.3">
      <c r="F76514" s="193"/>
    </row>
    <row r="76515" spans="6:6" x14ac:dyDescent="0.3">
      <c r="F76515" s="193"/>
    </row>
    <row r="76516" spans="6:6" x14ac:dyDescent="0.3">
      <c r="F76516" s="193"/>
    </row>
    <row r="76517" spans="6:6" x14ac:dyDescent="0.3">
      <c r="F76517" s="193"/>
    </row>
    <row r="76518" spans="6:6" x14ac:dyDescent="0.3">
      <c r="F76518" s="193"/>
    </row>
    <row r="76519" spans="6:6" x14ac:dyDescent="0.3">
      <c r="F76519" s="193"/>
    </row>
    <row r="76520" spans="6:6" x14ac:dyDescent="0.3">
      <c r="F76520" s="193"/>
    </row>
    <row r="76521" spans="6:6" x14ac:dyDescent="0.3">
      <c r="F76521" s="193"/>
    </row>
    <row r="76522" spans="6:6" x14ac:dyDescent="0.3">
      <c r="F76522" s="193"/>
    </row>
    <row r="76523" spans="6:6" x14ac:dyDescent="0.3">
      <c r="F76523" s="193"/>
    </row>
    <row r="76524" spans="6:6" x14ac:dyDescent="0.3">
      <c r="F76524" s="193"/>
    </row>
    <row r="76525" spans="6:6" x14ac:dyDescent="0.3">
      <c r="F76525" s="193"/>
    </row>
    <row r="76526" spans="6:6" x14ac:dyDescent="0.3">
      <c r="F76526" s="193"/>
    </row>
    <row r="76527" spans="6:6" x14ac:dyDescent="0.3">
      <c r="F76527" s="193"/>
    </row>
    <row r="76528" spans="6:6" x14ac:dyDescent="0.3">
      <c r="F76528" s="193"/>
    </row>
    <row r="76529" spans="6:6" x14ac:dyDescent="0.3">
      <c r="F76529" s="193"/>
    </row>
    <row r="76530" spans="6:6" x14ac:dyDescent="0.3">
      <c r="F76530" s="193"/>
    </row>
    <row r="76531" spans="6:6" x14ac:dyDescent="0.3">
      <c r="F76531" s="193"/>
    </row>
    <row r="76532" spans="6:6" x14ac:dyDescent="0.3">
      <c r="F76532" s="193"/>
    </row>
    <row r="76533" spans="6:6" x14ac:dyDescent="0.3">
      <c r="F76533" s="193"/>
    </row>
    <row r="76534" spans="6:6" x14ac:dyDescent="0.3">
      <c r="F76534" s="193"/>
    </row>
    <row r="76535" spans="6:6" x14ac:dyDescent="0.3">
      <c r="F76535" s="193"/>
    </row>
    <row r="76536" spans="6:6" x14ac:dyDescent="0.3">
      <c r="F76536" s="193"/>
    </row>
    <row r="76537" spans="6:6" x14ac:dyDescent="0.3">
      <c r="F76537" s="193"/>
    </row>
    <row r="76538" spans="6:6" x14ac:dyDescent="0.3">
      <c r="F76538" s="193"/>
    </row>
    <row r="76539" spans="6:6" x14ac:dyDescent="0.3">
      <c r="F76539" s="193"/>
    </row>
    <row r="76540" spans="6:6" x14ac:dyDescent="0.3">
      <c r="F76540" s="193"/>
    </row>
    <row r="76541" spans="6:6" x14ac:dyDescent="0.3">
      <c r="F76541" s="193"/>
    </row>
    <row r="76542" spans="6:6" x14ac:dyDescent="0.3">
      <c r="F76542" s="193"/>
    </row>
    <row r="76543" spans="6:6" x14ac:dyDescent="0.3">
      <c r="F76543" s="193"/>
    </row>
    <row r="76544" spans="6:6" x14ac:dyDescent="0.3">
      <c r="F76544" s="193"/>
    </row>
    <row r="76545" spans="6:6" x14ac:dyDescent="0.3">
      <c r="F76545" s="193"/>
    </row>
    <row r="76546" spans="6:6" x14ac:dyDescent="0.3">
      <c r="F76546" s="193"/>
    </row>
    <row r="76547" spans="6:6" x14ac:dyDescent="0.3">
      <c r="F76547" s="193"/>
    </row>
    <row r="76548" spans="6:6" x14ac:dyDescent="0.3">
      <c r="F76548" s="193"/>
    </row>
    <row r="76549" spans="6:6" x14ac:dyDescent="0.3">
      <c r="F76549" s="193"/>
    </row>
    <row r="76550" spans="6:6" x14ac:dyDescent="0.3">
      <c r="F76550" s="193"/>
    </row>
    <row r="76551" spans="6:6" x14ac:dyDescent="0.3">
      <c r="F76551" s="193"/>
    </row>
    <row r="76552" spans="6:6" x14ac:dyDescent="0.3">
      <c r="F76552" s="193"/>
    </row>
    <row r="76553" spans="6:6" x14ac:dyDescent="0.3">
      <c r="F76553" s="193"/>
    </row>
    <row r="76554" spans="6:6" x14ac:dyDescent="0.3">
      <c r="F76554" s="193"/>
    </row>
    <row r="76555" spans="6:6" x14ac:dyDescent="0.3">
      <c r="F76555" s="193"/>
    </row>
    <row r="76556" spans="6:6" x14ac:dyDescent="0.3">
      <c r="F76556" s="193"/>
    </row>
    <row r="76557" spans="6:6" x14ac:dyDescent="0.3">
      <c r="F76557" s="193"/>
    </row>
    <row r="76558" spans="6:6" x14ac:dyDescent="0.3">
      <c r="F76558" s="193"/>
    </row>
    <row r="76559" spans="6:6" x14ac:dyDescent="0.3">
      <c r="F76559" s="193"/>
    </row>
    <row r="76560" spans="6:6" x14ac:dyDescent="0.3">
      <c r="F76560" s="193"/>
    </row>
    <row r="76561" spans="6:6" x14ac:dyDescent="0.3">
      <c r="F76561" s="193"/>
    </row>
    <row r="76562" spans="6:6" x14ac:dyDescent="0.3">
      <c r="F76562" s="193"/>
    </row>
    <row r="76563" spans="6:6" x14ac:dyDescent="0.3">
      <c r="F76563" s="193"/>
    </row>
    <row r="76564" spans="6:6" x14ac:dyDescent="0.3">
      <c r="F76564" s="193"/>
    </row>
    <row r="76565" spans="6:6" x14ac:dyDescent="0.3">
      <c r="F76565" s="193"/>
    </row>
    <row r="76566" spans="6:6" x14ac:dyDescent="0.3">
      <c r="F76566" s="193"/>
    </row>
    <row r="76567" spans="6:6" x14ac:dyDescent="0.3">
      <c r="F76567" s="193"/>
    </row>
    <row r="76568" spans="6:6" x14ac:dyDescent="0.3">
      <c r="F76568" s="193"/>
    </row>
    <row r="76569" spans="6:6" x14ac:dyDescent="0.3">
      <c r="F76569" s="193"/>
    </row>
    <row r="76570" spans="6:6" x14ac:dyDescent="0.3">
      <c r="F76570" s="193"/>
    </row>
    <row r="76571" spans="6:6" x14ac:dyDescent="0.3">
      <c r="F76571" s="193"/>
    </row>
    <row r="76572" spans="6:6" x14ac:dyDescent="0.3">
      <c r="F76572" s="193"/>
    </row>
    <row r="76573" spans="6:6" x14ac:dyDescent="0.3">
      <c r="F76573" s="193"/>
    </row>
    <row r="76574" spans="6:6" x14ac:dyDescent="0.3">
      <c r="F76574" s="193"/>
    </row>
    <row r="76575" spans="6:6" x14ac:dyDescent="0.3">
      <c r="F76575" s="193"/>
    </row>
    <row r="76576" spans="6:6" x14ac:dyDescent="0.3">
      <c r="F76576" s="193"/>
    </row>
    <row r="76577" spans="6:6" x14ac:dyDescent="0.3">
      <c r="F76577" s="193"/>
    </row>
    <row r="76578" spans="6:6" x14ac:dyDescent="0.3">
      <c r="F76578" s="193"/>
    </row>
    <row r="76579" spans="6:6" x14ac:dyDescent="0.3">
      <c r="F76579" s="193"/>
    </row>
    <row r="76580" spans="6:6" x14ac:dyDescent="0.3">
      <c r="F76580" s="193"/>
    </row>
    <row r="76581" spans="6:6" x14ac:dyDescent="0.3">
      <c r="F76581" s="193"/>
    </row>
    <row r="76582" spans="6:6" x14ac:dyDescent="0.3">
      <c r="F76582" s="193"/>
    </row>
    <row r="76583" spans="6:6" x14ac:dyDescent="0.3">
      <c r="F76583" s="193"/>
    </row>
    <row r="76584" spans="6:6" x14ac:dyDescent="0.3">
      <c r="F76584" s="193"/>
    </row>
    <row r="76585" spans="6:6" x14ac:dyDescent="0.3">
      <c r="F76585" s="193"/>
    </row>
    <row r="76586" spans="6:6" x14ac:dyDescent="0.3">
      <c r="F76586" s="193"/>
    </row>
    <row r="76587" spans="6:6" x14ac:dyDescent="0.3">
      <c r="F76587" s="193"/>
    </row>
    <row r="76588" spans="6:6" x14ac:dyDescent="0.3">
      <c r="F76588" s="193"/>
    </row>
    <row r="76589" spans="6:6" x14ac:dyDescent="0.3">
      <c r="F76589" s="193"/>
    </row>
    <row r="76590" spans="6:6" x14ac:dyDescent="0.3">
      <c r="F76590" s="193"/>
    </row>
    <row r="76591" spans="6:6" x14ac:dyDescent="0.3">
      <c r="F76591" s="193"/>
    </row>
    <row r="76592" spans="6:6" x14ac:dyDescent="0.3">
      <c r="F76592" s="193"/>
    </row>
    <row r="76593" spans="6:6" x14ac:dyDescent="0.3">
      <c r="F76593" s="193"/>
    </row>
    <row r="76594" spans="6:6" x14ac:dyDescent="0.3">
      <c r="F76594" s="193"/>
    </row>
    <row r="76595" spans="6:6" x14ac:dyDescent="0.3">
      <c r="F76595" s="193"/>
    </row>
    <row r="76596" spans="6:6" x14ac:dyDescent="0.3">
      <c r="F76596" s="193"/>
    </row>
    <row r="76597" spans="6:6" x14ac:dyDescent="0.3">
      <c r="F76597" s="193"/>
    </row>
    <row r="76598" spans="6:6" x14ac:dyDescent="0.3">
      <c r="F76598" s="193"/>
    </row>
    <row r="76599" spans="6:6" x14ac:dyDescent="0.3">
      <c r="F76599" s="193"/>
    </row>
    <row r="76600" spans="6:6" x14ac:dyDescent="0.3">
      <c r="F76600" s="193"/>
    </row>
    <row r="76601" spans="6:6" x14ac:dyDescent="0.3">
      <c r="F76601" s="193"/>
    </row>
    <row r="76602" spans="6:6" x14ac:dyDescent="0.3">
      <c r="F76602" s="193"/>
    </row>
    <row r="76603" spans="6:6" x14ac:dyDescent="0.3">
      <c r="F76603" s="193"/>
    </row>
    <row r="76604" spans="6:6" x14ac:dyDescent="0.3">
      <c r="F76604" s="193"/>
    </row>
    <row r="76605" spans="6:6" x14ac:dyDescent="0.3">
      <c r="F76605" s="193"/>
    </row>
    <row r="76606" spans="6:6" x14ac:dyDescent="0.3">
      <c r="F76606" s="193"/>
    </row>
    <row r="76607" spans="6:6" x14ac:dyDescent="0.3">
      <c r="F76607" s="193"/>
    </row>
    <row r="76608" spans="6:6" x14ac:dyDescent="0.3">
      <c r="F76608" s="193"/>
    </row>
    <row r="76609" spans="6:6" x14ac:dyDescent="0.3">
      <c r="F76609" s="193"/>
    </row>
    <row r="76610" spans="6:6" x14ac:dyDescent="0.3">
      <c r="F76610" s="193"/>
    </row>
    <row r="76611" spans="6:6" x14ac:dyDescent="0.3">
      <c r="F76611" s="193"/>
    </row>
    <row r="76612" spans="6:6" x14ac:dyDescent="0.3">
      <c r="F76612" s="193"/>
    </row>
    <row r="76613" spans="6:6" x14ac:dyDescent="0.3">
      <c r="F76613" s="193"/>
    </row>
    <row r="76614" spans="6:6" x14ac:dyDescent="0.3">
      <c r="F76614" s="193"/>
    </row>
    <row r="76615" spans="6:6" x14ac:dyDescent="0.3">
      <c r="F76615" s="193"/>
    </row>
    <row r="76616" spans="6:6" x14ac:dyDescent="0.3">
      <c r="F76616" s="193"/>
    </row>
    <row r="76617" spans="6:6" x14ac:dyDescent="0.3">
      <c r="F76617" s="193"/>
    </row>
    <row r="76618" spans="6:6" x14ac:dyDescent="0.3">
      <c r="F76618" s="193"/>
    </row>
    <row r="76619" spans="6:6" x14ac:dyDescent="0.3">
      <c r="F76619" s="193"/>
    </row>
    <row r="76620" spans="6:6" x14ac:dyDescent="0.3">
      <c r="F76620" s="193"/>
    </row>
    <row r="76621" spans="6:6" x14ac:dyDescent="0.3">
      <c r="F76621" s="193"/>
    </row>
    <row r="76622" spans="6:6" x14ac:dyDescent="0.3">
      <c r="F76622" s="193"/>
    </row>
    <row r="76623" spans="6:6" x14ac:dyDescent="0.3">
      <c r="F76623" s="193"/>
    </row>
    <row r="76624" spans="6:6" x14ac:dyDescent="0.3">
      <c r="F76624" s="193"/>
    </row>
    <row r="76625" spans="6:6" x14ac:dyDescent="0.3">
      <c r="F76625" s="193"/>
    </row>
    <row r="76626" spans="6:6" x14ac:dyDescent="0.3">
      <c r="F76626" s="193"/>
    </row>
    <row r="76627" spans="6:6" x14ac:dyDescent="0.3">
      <c r="F76627" s="193"/>
    </row>
    <row r="76628" spans="6:6" x14ac:dyDescent="0.3">
      <c r="F76628" s="193"/>
    </row>
    <row r="76629" spans="6:6" x14ac:dyDescent="0.3">
      <c r="F76629" s="193"/>
    </row>
    <row r="76630" spans="6:6" x14ac:dyDescent="0.3">
      <c r="F76630" s="193"/>
    </row>
    <row r="76631" spans="6:6" x14ac:dyDescent="0.3">
      <c r="F76631" s="193"/>
    </row>
    <row r="76632" spans="6:6" x14ac:dyDescent="0.3">
      <c r="F76632" s="193"/>
    </row>
    <row r="76633" spans="6:6" x14ac:dyDescent="0.3">
      <c r="F76633" s="193"/>
    </row>
    <row r="76634" spans="6:6" x14ac:dyDescent="0.3">
      <c r="F76634" s="193"/>
    </row>
    <row r="76635" spans="6:6" x14ac:dyDescent="0.3">
      <c r="F76635" s="193"/>
    </row>
    <row r="76636" spans="6:6" x14ac:dyDescent="0.3">
      <c r="F76636" s="193"/>
    </row>
    <row r="76637" spans="6:6" x14ac:dyDescent="0.3">
      <c r="F76637" s="193"/>
    </row>
    <row r="76638" spans="6:6" x14ac:dyDescent="0.3">
      <c r="F76638" s="193"/>
    </row>
    <row r="76639" spans="6:6" x14ac:dyDescent="0.3">
      <c r="F76639" s="193"/>
    </row>
    <row r="76640" spans="6:6" x14ac:dyDescent="0.3">
      <c r="F76640" s="193"/>
    </row>
    <row r="76641" spans="6:6" x14ac:dyDescent="0.3">
      <c r="F76641" s="193"/>
    </row>
    <row r="76642" spans="6:6" x14ac:dyDescent="0.3">
      <c r="F76642" s="193"/>
    </row>
    <row r="76643" spans="6:6" x14ac:dyDescent="0.3">
      <c r="F76643" s="193"/>
    </row>
    <row r="76644" spans="6:6" x14ac:dyDescent="0.3">
      <c r="F76644" s="193"/>
    </row>
    <row r="76645" spans="6:6" x14ac:dyDescent="0.3">
      <c r="F76645" s="193"/>
    </row>
    <row r="76646" spans="6:6" x14ac:dyDescent="0.3">
      <c r="F76646" s="193"/>
    </row>
    <row r="76647" spans="6:6" x14ac:dyDescent="0.3">
      <c r="F76647" s="193"/>
    </row>
    <row r="76648" spans="6:6" x14ac:dyDescent="0.3">
      <c r="F76648" s="193"/>
    </row>
    <row r="76649" spans="6:6" x14ac:dyDescent="0.3">
      <c r="F76649" s="193"/>
    </row>
    <row r="76650" spans="6:6" x14ac:dyDescent="0.3">
      <c r="F76650" s="193"/>
    </row>
    <row r="76651" spans="6:6" x14ac:dyDescent="0.3">
      <c r="F76651" s="193"/>
    </row>
    <row r="76652" spans="6:6" x14ac:dyDescent="0.3">
      <c r="F76652" s="193"/>
    </row>
    <row r="76653" spans="6:6" x14ac:dyDescent="0.3">
      <c r="F76653" s="193"/>
    </row>
    <row r="76654" spans="6:6" x14ac:dyDescent="0.3">
      <c r="F76654" s="193"/>
    </row>
    <row r="76655" spans="6:6" x14ac:dyDescent="0.3">
      <c r="F76655" s="193"/>
    </row>
    <row r="76656" spans="6:6" x14ac:dyDescent="0.3">
      <c r="F76656" s="193"/>
    </row>
    <row r="76657" spans="6:6" x14ac:dyDescent="0.3">
      <c r="F76657" s="193"/>
    </row>
    <row r="76658" spans="6:6" x14ac:dyDescent="0.3">
      <c r="F76658" s="193"/>
    </row>
    <row r="76659" spans="6:6" x14ac:dyDescent="0.3">
      <c r="F76659" s="193"/>
    </row>
    <row r="76660" spans="6:6" x14ac:dyDescent="0.3">
      <c r="F76660" s="193"/>
    </row>
    <row r="76661" spans="6:6" x14ac:dyDescent="0.3">
      <c r="F76661" s="193"/>
    </row>
    <row r="76662" spans="6:6" x14ac:dyDescent="0.3">
      <c r="F76662" s="193"/>
    </row>
    <row r="76663" spans="6:6" x14ac:dyDescent="0.3">
      <c r="F76663" s="193"/>
    </row>
    <row r="76664" spans="6:6" x14ac:dyDescent="0.3">
      <c r="F76664" s="193"/>
    </row>
    <row r="76665" spans="6:6" x14ac:dyDescent="0.3">
      <c r="F76665" s="193"/>
    </row>
    <row r="76666" spans="6:6" x14ac:dyDescent="0.3">
      <c r="F76666" s="193"/>
    </row>
    <row r="76667" spans="6:6" x14ac:dyDescent="0.3">
      <c r="F76667" s="193"/>
    </row>
    <row r="76668" spans="6:6" x14ac:dyDescent="0.3">
      <c r="F76668" s="193"/>
    </row>
    <row r="76669" spans="6:6" x14ac:dyDescent="0.3">
      <c r="F76669" s="193"/>
    </row>
    <row r="76670" spans="6:6" x14ac:dyDescent="0.3">
      <c r="F76670" s="193"/>
    </row>
    <row r="76671" spans="6:6" x14ac:dyDescent="0.3">
      <c r="F76671" s="193"/>
    </row>
    <row r="76672" spans="6:6" x14ac:dyDescent="0.3">
      <c r="F76672" s="193"/>
    </row>
    <row r="76673" spans="6:6" x14ac:dyDescent="0.3">
      <c r="F76673" s="193"/>
    </row>
    <row r="76674" spans="6:6" x14ac:dyDescent="0.3">
      <c r="F76674" s="193"/>
    </row>
    <row r="76675" spans="6:6" x14ac:dyDescent="0.3">
      <c r="F76675" s="193"/>
    </row>
    <row r="76676" spans="6:6" x14ac:dyDescent="0.3">
      <c r="F76676" s="193"/>
    </row>
    <row r="76677" spans="6:6" x14ac:dyDescent="0.3">
      <c r="F76677" s="193"/>
    </row>
    <row r="76678" spans="6:6" x14ac:dyDescent="0.3">
      <c r="F76678" s="193"/>
    </row>
    <row r="76679" spans="6:6" x14ac:dyDescent="0.3">
      <c r="F76679" s="193"/>
    </row>
    <row r="76680" spans="6:6" x14ac:dyDescent="0.3">
      <c r="F76680" s="193"/>
    </row>
    <row r="76681" spans="6:6" x14ac:dyDescent="0.3">
      <c r="F76681" s="193"/>
    </row>
    <row r="76682" spans="6:6" x14ac:dyDescent="0.3">
      <c r="F76682" s="193"/>
    </row>
    <row r="76683" spans="6:6" x14ac:dyDescent="0.3">
      <c r="F76683" s="193"/>
    </row>
    <row r="76684" spans="6:6" x14ac:dyDescent="0.3">
      <c r="F76684" s="193"/>
    </row>
    <row r="76685" spans="6:6" x14ac:dyDescent="0.3">
      <c r="F76685" s="193"/>
    </row>
    <row r="76686" spans="6:6" x14ac:dyDescent="0.3">
      <c r="F76686" s="193"/>
    </row>
    <row r="76687" spans="6:6" x14ac:dyDescent="0.3">
      <c r="F76687" s="193"/>
    </row>
    <row r="76688" spans="6:6" x14ac:dyDescent="0.3">
      <c r="F76688" s="193"/>
    </row>
    <row r="76689" spans="6:6" x14ac:dyDescent="0.3">
      <c r="F76689" s="193"/>
    </row>
    <row r="76690" spans="6:6" x14ac:dyDescent="0.3">
      <c r="F76690" s="193"/>
    </row>
    <row r="76691" spans="6:6" x14ac:dyDescent="0.3">
      <c r="F76691" s="193"/>
    </row>
    <row r="76692" spans="6:6" x14ac:dyDescent="0.3">
      <c r="F76692" s="193"/>
    </row>
    <row r="76693" spans="6:6" x14ac:dyDescent="0.3">
      <c r="F76693" s="193"/>
    </row>
    <row r="76694" spans="6:6" x14ac:dyDescent="0.3">
      <c r="F76694" s="193"/>
    </row>
    <row r="76695" spans="6:6" x14ac:dyDescent="0.3">
      <c r="F76695" s="193"/>
    </row>
    <row r="76696" spans="6:6" x14ac:dyDescent="0.3">
      <c r="F76696" s="193"/>
    </row>
    <row r="76697" spans="6:6" x14ac:dyDescent="0.3">
      <c r="F76697" s="193"/>
    </row>
    <row r="76698" spans="6:6" x14ac:dyDescent="0.3">
      <c r="F76698" s="193"/>
    </row>
    <row r="76699" spans="6:6" x14ac:dyDescent="0.3">
      <c r="F76699" s="193"/>
    </row>
    <row r="76700" spans="6:6" x14ac:dyDescent="0.3">
      <c r="F76700" s="193"/>
    </row>
    <row r="76701" spans="6:6" x14ac:dyDescent="0.3">
      <c r="F76701" s="193"/>
    </row>
    <row r="76702" spans="6:6" x14ac:dyDescent="0.3">
      <c r="F76702" s="193"/>
    </row>
    <row r="76703" spans="6:6" x14ac:dyDescent="0.3">
      <c r="F76703" s="193"/>
    </row>
    <row r="76704" spans="6:6" x14ac:dyDescent="0.3">
      <c r="F76704" s="193"/>
    </row>
    <row r="76705" spans="6:6" x14ac:dyDescent="0.3">
      <c r="F76705" s="193"/>
    </row>
    <row r="76706" spans="6:6" x14ac:dyDescent="0.3">
      <c r="F76706" s="193"/>
    </row>
    <row r="76707" spans="6:6" x14ac:dyDescent="0.3">
      <c r="F76707" s="193"/>
    </row>
    <row r="76708" spans="6:6" x14ac:dyDescent="0.3">
      <c r="F76708" s="193"/>
    </row>
    <row r="76709" spans="6:6" x14ac:dyDescent="0.3">
      <c r="F76709" s="193"/>
    </row>
    <row r="76710" spans="6:6" x14ac:dyDescent="0.3">
      <c r="F76710" s="193"/>
    </row>
    <row r="76711" spans="6:6" x14ac:dyDescent="0.3">
      <c r="F76711" s="193"/>
    </row>
    <row r="76712" spans="6:6" x14ac:dyDescent="0.3">
      <c r="F76712" s="193"/>
    </row>
    <row r="76713" spans="6:6" x14ac:dyDescent="0.3">
      <c r="F76713" s="193"/>
    </row>
    <row r="76714" spans="6:6" x14ac:dyDescent="0.3">
      <c r="F76714" s="193"/>
    </row>
    <row r="76715" spans="6:6" x14ac:dyDescent="0.3">
      <c r="F76715" s="193"/>
    </row>
    <row r="76716" spans="6:6" x14ac:dyDescent="0.3">
      <c r="F76716" s="193"/>
    </row>
    <row r="76717" spans="6:6" x14ac:dyDescent="0.3">
      <c r="F76717" s="193"/>
    </row>
    <row r="76718" spans="6:6" x14ac:dyDescent="0.3">
      <c r="F76718" s="193"/>
    </row>
    <row r="76719" spans="6:6" x14ac:dyDescent="0.3">
      <c r="F76719" s="193"/>
    </row>
    <row r="76720" spans="6:6" x14ac:dyDescent="0.3">
      <c r="F76720" s="193"/>
    </row>
    <row r="76721" spans="6:6" x14ac:dyDescent="0.3">
      <c r="F76721" s="193"/>
    </row>
    <row r="76722" spans="6:6" x14ac:dyDescent="0.3">
      <c r="F76722" s="193"/>
    </row>
    <row r="76723" spans="6:6" x14ac:dyDescent="0.3">
      <c r="F76723" s="193"/>
    </row>
    <row r="76724" spans="6:6" x14ac:dyDescent="0.3">
      <c r="F76724" s="193"/>
    </row>
    <row r="76725" spans="6:6" x14ac:dyDescent="0.3">
      <c r="F76725" s="193"/>
    </row>
    <row r="76726" spans="6:6" x14ac:dyDescent="0.3">
      <c r="F76726" s="193"/>
    </row>
    <row r="76727" spans="6:6" x14ac:dyDescent="0.3">
      <c r="F76727" s="193"/>
    </row>
    <row r="76728" spans="6:6" x14ac:dyDescent="0.3">
      <c r="F76728" s="193"/>
    </row>
    <row r="76729" spans="6:6" x14ac:dyDescent="0.3">
      <c r="F76729" s="193"/>
    </row>
    <row r="76730" spans="6:6" x14ac:dyDescent="0.3">
      <c r="F76730" s="193"/>
    </row>
    <row r="76731" spans="6:6" x14ac:dyDescent="0.3">
      <c r="F76731" s="193"/>
    </row>
    <row r="76732" spans="6:6" x14ac:dyDescent="0.3">
      <c r="F76732" s="193"/>
    </row>
    <row r="76733" spans="6:6" x14ac:dyDescent="0.3">
      <c r="F76733" s="193"/>
    </row>
    <row r="76734" spans="6:6" x14ac:dyDescent="0.3">
      <c r="F76734" s="193"/>
    </row>
    <row r="76735" spans="6:6" x14ac:dyDescent="0.3">
      <c r="F76735" s="193"/>
    </row>
    <row r="76736" spans="6:6" x14ac:dyDescent="0.3">
      <c r="F76736" s="193"/>
    </row>
    <row r="76737" spans="6:6" x14ac:dyDescent="0.3">
      <c r="F76737" s="193"/>
    </row>
    <row r="76738" spans="6:6" x14ac:dyDescent="0.3">
      <c r="F76738" s="193"/>
    </row>
    <row r="76739" spans="6:6" x14ac:dyDescent="0.3">
      <c r="F76739" s="193"/>
    </row>
    <row r="76740" spans="6:6" x14ac:dyDescent="0.3">
      <c r="F76740" s="193"/>
    </row>
    <row r="76741" spans="6:6" x14ac:dyDescent="0.3">
      <c r="F76741" s="193"/>
    </row>
    <row r="76742" spans="6:6" x14ac:dyDescent="0.3">
      <c r="F76742" s="193"/>
    </row>
    <row r="76743" spans="6:6" x14ac:dyDescent="0.3">
      <c r="F76743" s="193"/>
    </row>
    <row r="76744" spans="6:6" x14ac:dyDescent="0.3">
      <c r="F76744" s="193"/>
    </row>
    <row r="76745" spans="6:6" x14ac:dyDescent="0.3">
      <c r="F76745" s="193"/>
    </row>
    <row r="76746" spans="6:6" x14ac:dyDescent="0.3">
      <c r="F76746" s="193"/>
    </row>
    <row r="76747" spans="6:6" x14ac:dyDescent="0.3">
      <c r="F76747" s="193"/>
    </row>
    <row r="76748" spans="6:6" x14ac:dyDescent="0.3">
      <c r="F76748" s="193"/>
    </row>
    <row r="76749" spans="6:6" x14ac:dyDescent="0.3">
      <c r="F76749" s="193"/>
    </row>
    <row r="76750" spans="6:6" x14ac:dyDescent="0.3">
      <c r="F76750" s="193"/>
    </row>
    <row r="76751" spans="6:6" x14ac:dyDescent="0.3">
      <c r="F76751" s="193"/>
    </row>
    <row r="76752" spans="6:6" x14ac:dyDescent="0.3">
      <c r="F76752" s="193"/>
    </row>
    <row r="76753" spans="6:6" x14ac:dyDescent="0.3">
      <c r="F76753" s="193"/>
    </row>
    <row r="76754" spans="6:6" x14ac:dyDescent="0.3">
      <c r="F76754" s="193"/>
    </row>
    <row r="76755" spans="6:6" x14ac:dyDescent="0.3">
      <c r="F76755" s="193"/>
    </row>
    <row r="76756" spans="6:6" x14ac:dyDescent="0.3">
      <c r="F76756" s="193"/>
    </row>
    <row r="76757" spans="6:6" x14ac:dyDescent="0.3">
      <c r="F76757" s="193"/>
    </row>
    <row r="76758" spans="6:6" x14ac:dyDescent="0.3">
      <c r="F76758" s="193"/>
    </row>
    <row r="76759" spans="6:6" x14ac:dyDescent="0.3">
      <c r="F76759" s="193"/>
    </row>
    <row r="76760" spans="6:6" x14ac:dyDescent="0.3">
      <c r="F76760" s="193"/>
    </row>
    <row r="76761" spans="6:6" x14ac:dyDescent="0.3">
      <c r="F76761" s="193"/>
    </row>
    <row r="76762" spans="6:6" x14ac:dyDescent="0.3">
      <c r="F76762" s="193"/>
    </row>
    <row r="76763" spans="6:6" x14ac:dyDescent="0.3">
      <c r="F76763" s="193"/>
    </row>
    <row r="76764" spans="6:6" x14ac:dyDescent="0.3">
      <c r="F76764" s="193"/>
    </row>
    <row r="76765" spans="6:6" x14ac:dyDescent="0.3">
      <c r="F76765" s="193"/>
    </row>
    <row r="76766" spans="6:6" x14ac:dyDescent="0.3">
      <c r="F76766" s="193"/>
    </row>
    <row r="76767" spans="6:6" x14ac:dyDescent="0.3">
      <c r="F76767" s="193"/>
    </row>
    <row r="76768" spans="6:6" x14ac:dyDescent="0.3">
      <c r="F76768" s="193"/>
    </row>
    <row r="76769" spans="6:6" x14ac:dyDescent="0.3">
      <c r="F76769" s="193"/>
    </row>
    <row r="76770" spans="6:6" x14ac:dyDescent="0.3">
      <c r="F76770" s="193"/>
    </row>
    <row r="76771" spans="6:6" x14ac:dyDescent="0.3">
      <c r="F76771" s="193"/>
    </row>
    <row r="76772" spans="6:6" x14ac:dyDescent="0.3">
      <c r="F76772" s="193"/>
    </row>
    <row r="76773" spans="6:6" x14ac:dyDescent="0.3">
      <c r="F76773" s="193"/>
    </row>
    <row r="76774" spans="6:6" x14ac:dyDescent="0.3">
      <c r="F76774" s="193"/>
    </row>
    <row r="76775" spans="6:6" x14ac:dyDescent="0.3">
      <c r="F76775" s="193"/>
    </row>
    <row r="76776" spans="6:6" x14ac:dyDescent="0.3">
      <c r="F76776" s="193"/>
    </row>
    <row r="76777" spans="6:6" x14ac:dyDescent="0.3">
      <c r="F76777" s="193"/>
    </row>
    <row r="76778" spans="6:6" x14ac:dyDescent="0.3">
      <c r="F76778" s="193"/>
    </row>
    <row r="76779" spans="6:6" x14ac:dyDescent="0.3">
      <c r="F76779" s="193"/>
    </row>
    <row r="76780" spans="6:6" x14ac:dyDescent="0.3">
      <c r="F76780" s="193"/>
    </row>
    <row r="76781" spans="6:6" x14ac:dyDescent="0.3">
      <c r="F76781" s="193"/>
    </row>
    <row r="76782" spans="6:6" x14ac:dyDescent="0.3">
      <c r="F76782" s="193"/>
    </row>
    <row r="76783" spans="6:6" x14ac:dyDescent="0.3">
      <c r="F76783" s="193"/>
    </row>
    <row r="76784" spans="6:6" x14ac:dyDescent="0.3">
      <c r="F76784" s="193"/>
    </row>
    <row r="76785" spans="6:6" x14ac:dyDescent="0.3">
      <c r="F76785" s="193"/>
    </row>
    <row r="76786" spans="6:6" x14ac:dyDescent="0.3">
      <c r="F76786" s="193"/>
    </row>
    <row r="76787" spans="6:6" x14ac:dyDescent="0.3">
      <c r="F76787" s="193"/>
    </row>
    <row r="76788" spans="6:6" x14ac:dyDescent="0.3">
      <c r="F76788" s="193"/>
    </row>
    <row r="76789" spans="6:6" x14ac:dyDescent="0.3">
      <c r="F76789" s="193"/>
    </row>
    <row r="76790" spans="6:6" x14ac:dyDescent="0.3">
      <c r="F76790" s="193"/>
    </row>
    <row r="76791" spans="6:6" x14ac:dyDescent="0.3">
      <c r="F76791" s="193"/>
    </row>
    <row r="76792" spans="6:6" x14ac:dyDescent="0.3">
      <c r="F76792" s="193"/>
    </row>
    <row r="76793" spans="6:6" x14ac:dyDescent="0.3">
      <c r="F76793" s="193"/>
    </row>
    <row r="76794" spans="6:6" x14ac:dyDescent="0.3">
      <c r="F76794" s="193"/>
    </row>
    <row r="76795" spans="6:6" x14ac:dyDescent="0.3">
      <c r="F76795" s="193"/>
    </row>
    <row r="76796" spans="6:6" x14ac:dyDescent="0.3">
      <c r="F76796" s="193"/>
    </row>
    <row r="76797" spans="6:6" x14ac:dyDescent="0.3">
      <c r="F76797" s="193"/>
    </row>
    <row r="76798" spans="6:6" x14ac:dyDescent="0.3">
      <c r="F76798" s="193"/>
    </row>
    <row r="76799" spans="6:6" x14ac:dyDescent="0.3">
      <c r="F76799" s="193"/>
    </row>
    <row r="76800" spans="6:6" x14ac:dyDescent="0.3">
      <c r="F76800" s="193"/>
    </row>
    <row r="76801" spans="6:6" x14ac:dyDescent="0.3">
      <c r="F76801" s="193"/>
    </row>
    <row r="76802" spans="6:6" x14ac:dyDescent="0.3">
      <c r="F76802" s="193"/>
    </row>
    <row r="76803" spans="6:6" x14ac:dyDescent="0.3">
      <c r="F76803" s="193"/>
    </row>
    <row r="76804" spans="6:6" x14ac:dyDescent="0.3">
      <c r="F76804" s="193"/>
    </row>
    <row r="76805" spans="6:6" x14ac:dyDescent="0.3">
      <c r="F76805" s="193"/>
    </row>
    <row r="76806" spans="6:6" x14ac:dyDescent="0.3">
      <c r="F76806" s="193"/>
    </row>
    <row r="76807" spans="6:6" x14ac:dyDescent="0.3">
      <c r="F76807" s="193"/>
    </row>
    <row r="76808" spans="6:6" x14ac:dyDescent="0.3">
      <c r="F76808" s="193"/>
    </row>
    <row r="76809" spans="6:6" x14ac:dyDescent="0.3">
      <c r="F76809" s="193"/>
    </row>
    <row r="76810" spans="6:6" x14ac:dyDescent="0.3">
      <c r="F76810" s="193"/>
    </row>
    <row r="76811" spans="6:6" x14ac:dyDescent="0.3">
      <c r="F76811" s="193"/>
    </row>
    <row r="76812" spans="6:6" x14ac:dyDescent="0.3">
      <c r="F76812" s="193"/>
    </row>
    <row r="76813" spans="6:6" x14ac:dyDescent="0.3">
      <c r="F76813" s="193"/>
    </row>
    <row r="76814" spans="6:6" x14ac:dyDescent="0.3">
      <c r="F76814" s="193"/>
    </row>
    <row r="76815" spans="6:6" x14ac:dyDescent="0.3">
      <c r="F76815" s="193"/>
    </row>
    <row r="76816" spans="6:6" x14ac:dyDescent="0.3">
      <c r="F76816" s="193"/>
    </row>
    <row r="76817" spans="6:6" x14ac:dyDescent="0.3">
      <c r="F76817" s="193"/>
    </row>
    <row r="76818" spans="6:6" x14ac:dyDescent="0.3">
      <c r="F76818" s="193"/>
    </row>
    <row r="76819" spans="6:6" x14ac:dyDescent="0.3">
      <c r="F76819" s="193"/>
    </row>
    <row r="76820" spans="6:6" x14ac:dyDescent="0.3">
      <c r="F76820" s="193"/>
    </row>
    <row r="76821" spans="6:6" x14ac:dyDescent="0.3">
      <c r="F76821" s="193"/>
    </row>
    <row r="76822" spans="6:6" x14ac:dyDescent="0.3">
      <c r="F76822" s="193"/>
    </row>
    <row r="76823" spans="6:6" x14ac:dyDescent="0.3">
      <c r="F76823" s="193"/>
    </row>
    <row r="76824" spans="6:6" x14ac:dyDescent="0.3">
      <c r="F76824" s="193"/>
    </row>
    <row r="76825" spans="6:6" x14ac:dyDescent="0.3">
      <c r="F76825" s="193"/>
    </row>
    <row r="76826" spans="6:6" x14ac:dyDescent="0.3">
      <c r="F76826" s="193"/>
    </row>
    <row r="76827" spans="6:6" x14ac:dyDescent="0.3">
      <c r="F76827" s="193"/>
    </row>
    <row r="76828" spans="6:6" x14ac:dyDescent="0.3">
      <c r="F76828" s="193"/>
    </row>
    <row r="76829" spans="6:6" x14ac:dyDescent="0.3">
      <c r="F76829" s="193"/>
    </row>
    <row r="76830" spans="6:6" x14ac:dyDescent="0.3">
      <c r="F76830" s="193"/>
    </row>
    <row r="76831" spans="6:6" x14ac:dyDescent="0.3">
      <c r="F76831" s="193"/>
    </row>
    <row r="76832" spans="6:6" x14ac:dyDescent="0.3">
      <c r="F76832" s="193"/>
    </row>
    <row r="76833" spans="6:6" x14ac:dyDescent="0.3">
      <c r="F76833" s="193"/>
    </row>
    <row r="76834" spans="6:6" x14ac:dyDescent="0.3">
      <c r="F76834" s="193"/>
    </row>
    <row r="76835" spans="6:6" x14ac:dyDescent="0.3">
      <c r="F76835" s="193"/>
    </row>
    <row r="76836" spans="6:6" x14ac:dyDescent="0.3">
      <c r="F76836" s="193"/>
    </row>
    <row r="76837" spans="6:6" x14ac:dyDescent="0.3">
      <c r="F76837" s="193"/>
    </row>
    <row r="76838" spans="6:6" x14ac:dyDescent="0.3">
      <c r="F76838" s="193"/>
    </row>
    <row r="76839" spans="6:6" x14ac:dyDescent="0.3">
      <c r="F76839" s="193"/>
    </row>
    <row r="76840" spans="6:6" x14ac:dyDescent="0.3">
      <c r="F76840" s="193"/>
    </row>
    <row r="76841" spans="6:6" x14ac:dyDescent="0.3">
      <c r="F76841" s="193"/>
    </row>
    <row r="76842" spans="6:6" x14ac:dyDescent="0.3">
      <c r="F76842" s="193"/>
    </row>
    <row r="76843" spans="6:6" x14ac:dyDescent="0.3">
      <c r="F76843" s="193"/>
    </row>
    <row r="76844" spans="6:6" x14ac:dyDescent="0.3">
      <c r="F76844" s="193"/>
    </row>
    <row r="76845" spans="6:6" x14ac:dyDescent="0.3">
      <c r="F76845" s="193"/>
    </row>
    <row r="76846" spans="6:6" x14ac:dyDescent="0.3">
      <c r="F76846" s="193"/>
    </row>
    <row r="76847" spans="6:6" x14ac:dyDescent="0.3">
      <c r="F76847" s="193"/>
    </row>
    <row r="76848" spans="6:6" x14ac:dyDescent="0.3">
      <c r="F76848" s="193"/>
    </row>
    <row r="76849" spans="6:6" x14ac:dyDescent="0.3">
      <c r="F76849" s="193"/>
    </row>
    <row r="76850" spans="6:6" x14ac:dyDescent="0.3">
      <c r="F76850" s="193"/>
    </row>
    <row r="76851" spans="6:6" x14ac:dyDescent="0.3">
      <c r="F76851" s="193"/>
    </row>
    <row r="76852" spans="6:6" x14ac:dyDescent="0.3">
      <c r="F76852" s="193"/>
    </row>
    <row r="76853" spans="6:6" x14ac:dyDescent="0.3">
      <c r="F76853" s="193"/>
    </row>
    <row r="76854" spans="6:6" x14ac:dyDescent="0.3">
      <c r="F76854" s="193"/>
    </row>
    <row r="76855" spans="6:6" x14ac:dyDescent="0.3">
      <c r="F76855" s="193"/>
    </row>
    <row r="76856" spans="6:6" x14ac:dyDescent="0.3">
      <c r="F76856" s="193"/>
    </row>
    <row r="76857" spans="6:6" x14ac:dyDescent="0.3">
      <c r="F76857" s="193"/>
    </row>
    <row r="76858" spans="6:6" x14ac:dyDescent="0.3">
      <c r="F76858" s="193"/>
    </row>
    <row r="76859" spans="6:6" x14ac:dyDescent="0.3">
      <c r="F76859" s="193"/>
    </row>
    <row r="76860" spans="6:6" x14ac:dyDescent="0.3">
      <c r="F76860" s="193"/>
    </row>
    <row r="76861" spans="6:6" x14ac:dyDescent="0.3">
      <c r="F76861" s="193"/>
    </row>
    <row r="76862" spans="6:6" x14ac:dyDescent="0.3">
      <c r="F76862" s="193"/>
    </row>
    <row r="76863" spans="6:6" x14ac:dyDescent="0.3">
      <c r="F76863" s="193"/>
    </row>
    <row r="76864" spans="6:6" x14ac:dyDescent="0.3">
      <c r="F76864" s="193"/>
    </row>
    <row r="76865" spans="6:6" x14ac:dyDescent="0.3">
      <c r="F76865" s="193"/>
    </row>
    <row r="76866" spans="6:6" x14ac:dyDescent="0.3">
      <c r="F76866" s="193"/>
    </row>
    <row r="76867" spans="6:6" x14ac:dyDescent="0.3">
      <c r="F76867" s="193"/>
    </row>
    <row r="76868" spans="6:6" x14ac:dyDescent="0.3">
      <c r="F76868" s="193"/>
    </row>
    <row r="76869" spans="6:6" x14ac:dyDescent="0.3">
      <c r="F76869" s="193"/>
    </row>
    <row r="76870" spans="6:6" x14ac:dyDescent="0.3">
      <c r="F76870" s="193"/>
    </row>
    <row r="76871" spans="6:6" x14ac:dyDescent="0.3">
      <c r="F76871" s="193"/>
    </row>
    <row r="76872" spans="6:6" x14ac:dyDescent="0.3">
      <c r="F76872" s="193"/>
    </row>
    <row r="76873" spans="6:6" x14ac:dyDescent="0.3">
      <c r="F76873" s="193"/>
    </row>
    <row r="76874" spans="6:6" x14ac:dyDescent="0.3">
      <c r="F76874" s="193"/>
    </row>
    <row r="76875" spans="6:6" x14ac:dyDescent="0.3">
      <c r="F76875" s="193"/>
    </row>
    <row r="76876" spans="6:6" x14ac:dyDescent="0.3">
      <c r="F76876" s="193"/>
    </row>
    <row r="76877" spans="6:6" x14ac:dyDescent="0.3">
      <c r="F76877" s="193"/>
    </row>
    <row r="76878" spans="6:6" x14ac:dyDescent="0.3">
      <c r="F76878" s="193"/>
    </row>
    <row r="76879" spans="6:6" x14ac:dyDescent="0.3">
      <c r="F76879" s="193"/>
    </row>
    <row r="76880" spans="6:6" x14ac:dyDescent="0.3">
      <c r="F76880" s="193"/>
    </row>
    <row r="76881" spans="6:6" x14ac:dyDescent="0.3">
      <c r="F76881" s="193"/>
    </row>
    <row r="76882" spans="6:6" x14ac:dyDescent="0.3">
      <c r="F76882" s="193"/>
    </row>
    <row r="76883" spans="6:6" x14ac:dyDescent="0.3">
      <c r="F76883" s="193"/>
    </row>
    <row r="76884" spans="6:6" x14ac:dyDescent="0.3">
      <c r="F76884" s="193"/>
    </row>
    <row r="76885" spans="6:6" x14ac:dyDescent="0.3">
      <c r="F76885" s="193"/>
    </row>
    <row r="76886" spans="6:6" x14ac:dyDescent="0.3">
      <c r="F76886" s="193"/>
    </row>
    <row r="76887" spans="6:6" x14ac:dyDescent="0.3">
      <c r="F76887" s="193"/>
    </row>
    <row r="76888" spans="6:6" x14ac:dyDescent="0.3">
      <c r="F76888" s="193"/>
    </row>
    <row r="76889" spans="6:6" x14ac:dyDescent="0.3">
      <c r="F76889" s="193"/>
    </row>
    <row r="76890" spans="6:6" x14ac:dyDescent="0.3">
      <c r="F76890" s="193"/>
    </row>
    <row r="76891" spans="6:6" x14ac:dyDescent="0.3">
      <c r="F76891" s="193"/>
    </row>
    <row r="76892" spans="6:6" x14ac:dyDescent="0.3">
      <c r="F76892" s="193"/>
    </row>
    <row r="76893" spans="6:6" x14ac:dyDescent="0.3">
      <c r="F76893" s="193"/>
    </row>
    <row r="76894" spans="6:6" x14ac:dyDescent="0.3">
      <c r="F76894" s="193"/>
    </row>
    <row r="76895" spans="6:6" x14ac:dyDescent="0.3">
      <c r="F76895" s="193"/>
    </row>
    <row r="76896" spans="6:6" x14ac:dyDescent="0.3">
      <c r="F76896" s="193"/>
    </row>
    <row r="76897" spans="6:6" x14ac:dyDescent="0.3">
      <c r="F76897" s="193"/>
    </row>
    <row r="76898" spans="6:6" x14ac:dyDescent="0.3">
      <c r="F76898" s="193"/>
    </row>
    <row r="76899" spans="6:6" x14ac:dyDescent="0.3">
      <c r="F76899" s="193"/>
    </row>
    <row r="76900" spans="6:6" x14ac:dyDescent="0.3">
      <c r="F76900" s="193"/>
    </row>
    <row r="76901" spans="6:6" x14ac:dyDescent="0.3">
      <c r="F76901" s="193"/>
    </row>
    <row r="76902" spans="6:6" x14ac:dyDescent="0.3">
      <c r="F76902" s="193"/>
    </row>
    <row r="76903" spans="6:6" x14ac:dyDescent="0.3">
      <c r="F76903" s="193"/>
    </row>
    <row r="76904" spans="6:6" x14ac:dyDescent="0.3">
      <c r="F76904" s="193"/>
    </row>
    <row r="76905" spans="6:6" x14ac:dyDescent="0.3">
      <c r="F76905" s="193"/>
    </row>
    <row r="76906" spans="6:6" x14ac:dyDescent="0.3">
      <c r="F76906" s="193"/>
    </row>
    <row r="76907" spans="6:6" x14ac:dyDescent="0.3">
      <c r="F76907" s="193"/>
    </row>
    <row r="76908" spans="6:6" x14ac:dyDescent="0.3">
      <c r="F76908" s="193"/>
    </row>
    <row r="76909" spans="6:6" x14ac:dyDescent="0.3">
      <c r="F76909" s="193"/>
    </row>
    <row r="76910" spans="6:6" x14ac:dyDescent="0.3">
      <c r="F76910" s="193"/>
    </row>
    <row r="76911" spans="6:6" x14ac:dyDescent="0.3">
      <c r="F76911" s="193"/>
    </row>
    <row r="76912" spans="6:6" x14ac:dyDescent="0.3">
      <c r="F76912" s="193"/>
    </row>
    <row r="76913" spans="6:6" x14ac:dyDescent="0.3">
      <c r="F76913" s="193"/>
    </row>
    <row r="76914" spans="6:6" x14ac:dyDescent="0.3">
      <c r="F76914" s="193"/>
    </row>
    <row r="76915" spans="6:6" x14ac:dyDescent="0.3">
      <c r="F76915" s="193"/>
    </row>
    <row r="76916" spans="6:6" x14ac:dyDescent="0.3">
      <c r="F76916" s="193"/>
    </row>
    <row r="76917" spans="6:6" x14ac:dyDescent="0.3">
      <c r="F76917" s="193"/>
    </row>
    <row r="76918" spans="6:6" x14ac:dyDescent="0.3">
      <c r="F76918" s="193"/>
    </row>
    <row r="76919" spans="6:6" x14ac:dyDescent="0.3">
      <c r="F76919" s="193"/>
    </row>
    <row r="76920" spans="6:6" x14ac:dyDescent="0.3">
      <c r="F76920" s="193"/>
    </row>
    <row r="76921" spans="6:6" x14ac:dyDescent="0.3">
      <c r="F76921" s="193"/>
    </row>
    <row r="76922" spans="6:6" x14ac:dyDescent="0.3">
      <c r="F76922" s="193"/>
    </row>
    <row r="76923" spans="6:6" x14ac:dyDescent="0.3">
      <c r="F76923" s="193"/>
    </row>
    <row r="76924" spans="6:6" x14ac:dyDescent="0.3">
      <c r="F76924" s="193"/>
    </row>
    <row r="76925" spans="6:6" x14ac:dyDescent="0.3">
      <c r="F76925" s="193"/>
    </row>
    <row r="76926" spans="6:6" x14ac:dyDescent="0.3">
      <c r="F76926" s="193"/>
    </row>
    <row r="76927" spans="6:6" x14ac:dyDescent="0.3">
      <c r="F76927" s="193"/>
    </row>
    <row r="76928" spans="6:6" x14ac:dyDescent="0.3">
      <c r="F76928" s="193"/>
    </row>
    <row r="76929" spans="6:6" x14ac:dyDescent="0.3">
      <c r="F76929" s="193"/>
    </row>
    <row r="76930" spans="6:6" x14ac:dyDescent="0.3">
      <c r="F76930" s="193"/>
    </row>
    <row r="76931" spans="6:6" x14ac:dyDescent="0.3">
      <c r="F76931" s="193"/>
    </row>
    <row r="76932" spans="6:6" x14ac:dyDescent="0.3">
      <c r="F76932" s="193"/>
    </row>
    <row r="76933" spans="6:6" x14ac:dyDescent="0.3">
      <c r="F76933" s="193"/>
    </row>
    <row r="76934" spans="6:6" x14ac:dyDescent="0.3">
      <c r="F76934" s="193"/>
    </row>
    <row r="76935" spans="6:6" x14ac:dyDescent="0.3">
      <c r="F76935" s="193"/>
    </row>
    <row r="76936" spans="6:6" x14ac:dyDescent="0.3">
      <c r="F76936" s="193"/>
    </row>
    <row r="76937" spans="6:6" x14ac:dyDescent="0.3">
      <c r="F76937" s="193"/>
    </row>
    <row r="76938" spans="6:6" x14ac:dyDescent="0.3">
      <c r="F76938" s="193"/>
    </row>
    <row r="76939" spans="6:6" x14ac:dyDescent="0.3">
      <c r="F76939" s="193"/>
    </row>
    <row r="76940" spans="6:6" x14ac:dyDescent="0.3">
      <c r="F76940" s="193"/>
    </row>
    <row r="76941" spans="6:6" x14ac:dyDescent="0.3">
      <c r="F76941" s="193"/>
    </row>
    <row r="76942" spans="6:6" x14ac:dyDescent="0.3">
      <c r="F76942" s="193"/>
    </row>
    <row r="76943" spans="6:6" x14ac:dyDescent="0.3">
      <c r="F76943" s="193"/>
    </row>
    <row r="76944" spans="6:6" x14ac:dyDescent="0.3">
      <c r="F76944" s="193"/>
    </row>
    <row r="76945" spans="6:6" x14ac:dyDescent="0.3">
      <c r="F76945" s="193"/>
    </row>
    <row r="76946" spans="6:6" x14ac:dyDescent="0.3">
      <c r="F76946" s="193"/>
    </row>
    <row r="76947" spans="6:6" x14ac:dyDescent="0.3">
      <c r="F76947" s="193"/>
    </row>
    <row r="76948" spans="6:6" x14ac:dyDescent="0.3">
      <c r="F76948" s="193"/>
    </row>
    <row r="76949" spans="6:6" x14ac:dyDescent="0.3">
      <c r="F76949" s="193"/>
    </row>
    <row r="76950" spans="6:6" x14ac:dyDescent="0.3">
      <c r="F76950" s="193"/>
    </row>
    <row r="76951" spans="6:6" x14ac:dyDescent="0.3">
      <c r="F76951" s="193"/>
    </row>
    <row r="76952" spans="6:6" x14ac:dyDescent="0.3">
      <c r="F76952" s="193"/>
    </row>
    <row r="76953" spans="6:6" x14ac:dyDescent="0.3">
      <c r="F76953" s="193"/>
    </row>
    <row r="76954" spans="6:6" x14ac:dyDescent="0.3">
      <c r="F76954" s="193"/>
    </row>
    <row r="76955" spans="6:6" x14ac:dyDescent="0.3">
      <c r="F76955" s="193"/>
    </row>
    <row r="76956" spans="6:6" x14ac:dyDescent="0.3">
      <c r="F76956" s="193"/>
    </row>
    <row r="76957" spans="6:6" x14ac:dyDescent="0.3">
      <c r="F76957" s="193"/>
    </row>
    <row r="76958" spans="6:6" x14ac:dyDescent="0.3">
      <c r="F76958" s="193"/>
    </row>
    <row r="76959" spans="6:6" x14ac:dyDescent="0.3">
      <c r="F76959" s="193"/>
    </row>
    <row r="76960" spans="6:6" x14ac:dyDescent="0.3">
      <c r="F76960" s="193"/>
    </row>
    <row r="76961" spans="6:6" x14ac:dyDescent="0.3">
      <c r="F76961" s="193"/>
    </row>
    <row r="76962" spans="6:6" x14ac:dyDescent="0.3">
      <c r="F76962" s="193"/>
    </row>
    <row r="76963" spans="6:6" x14ac:dyDescent="0.3">
      <c r="F76963" s="193"/>
    </row>
    <row r="76964" spans="6:6" x14ac:dyDescent="0.3">
      <c r="F76964" s="193"/>
    </row>
    <row r="76965" spans="6:6" x14ac:dyDescent="0.3">
      <c r="F76965" s="193"/>
    </row>
    <row r="76966" spans="6:6" x14ac:dyDescent="0.3">
      <c r="F76966" s="193"/>
    </row>
    <row r="76967" spans="6:6" x14ac:dyDescent="0.3">
      <c r="F76967" s="193"/>
    </row>
    <row r="76968" spans="6:6" x14ac:dyDescent="0.3">
      <c r="F76968" s="193"/>
    </row>
    <row r="76969" spans="6:6" x14ac:dyDescent="0.3">
      <c r="F76969" s="193"/>
    </row>
    <row r="76970" spans="6:6" x14ac:dyDescent="0.3">
      <c r="F76970" s="193"/>
    </row>
    <row r="76971" spans="6:6" x14ac:dyDescent="0.3">
      <c r="F76971" s="193"/>
    </row>
    <row r="76972" spans="6:6" x14ac:dyDescent="0.3">
      <c r="F76972" s="193"/>
    </row>
    <row r="76973" spans="6:6" x14ac:dyDescent="0.3">
      <c r="F76973" s="193"/>
    </row>
    <row r="76974" spans="6:6" x14ac:dyDescent="0.3">
      <c r="F76974" s="193"/>
    </row>
    <row r="76975" spans="6:6" x14ac:dyDescent="0.3">
      <c r="F76975" s="193"/>
    </row>
    <row r="76976" spans="6:6" x14ac:dyDescent="0.3">
      <c r="F76976" s="193"/>
    </row>
    <row r="76977" spans="6:6" x14ac:dyDescent="0.3">
      <c r="F76977" s="193"/>
    </row>
    <row r="76978" spans="6:6" x14ac:dyDescent="0.3">
      <c r="F76978" s="193"/>
    </row>
    <row r="76979" spans="6:6" x14ac:dyDescent="0.3">
      <c r="F76979" s="193"/>
    </row>
    <row r="76980" spans="6:6" x14ac:dyDescent="0.3">
      <c r="F76980" s="193"/>
    </row>
    <row r="76981" spans="6:6" x14ac:dyDescent="0.3">
      <c r="F76981" s="193"/>
    </row>
    <row r="76982" spans="6:6" x14ac:dyDescent="0.3">
      <c r="F76982" s="193"/>
    </row>
    <row r="76983" spans="6:6" x14ac:dyDescent="0.3">
      <c r="F76983" s="193"/>
    </row>
    <row r="76984" spans="6:6" x14ac:dyDescent="0.3">
      <c r="F76984" s="193"/>
    </row>
    <row r="76985" spans="6:6" x14ac:dyDescent="0.3">
      <c r="F76985" s="193"/>
    </row>
    <row r="76986" spans="6:6" x14ac:dyDescent="0.3">
      <c r="F76986" s="193"/>
    </row>
    <row r="76987" spans="6:6" x14ac:dyDescent="0.3">
      <c r="F76987" s="193"/>
    </row>
    <row r="76988" spans="6:6" x14ac:dyDescent="0.3">
      <c r="F76988" s="193"/>
    </row>
    <row r="76989" spans="6:6" x14ac:dyDescent="0.3">
      <c r="F76989" s="193"/>
    </row>
    <row r="76990" spans="6:6" x14ac:dyDescent="0.3">
      <c r="F76990" s="193"/>
    </row>
    <row r="76991" spans="6:6" x14ac:dyDescent="0.3">
      <c r="F76991" s="193"/>
    </row>
    <row r="76992" spans="6:6" x14ac:dyDescent="0.3">
      <c r="F76992" s="193"/>
    </row>
    <row r="76993" spans="6:6" x14ac:dyDescent="0.3">
      <c r="F76993" s="193"/>
    </row>
    <row r="76994" spans="6:6" x14ac:dyDescent="0.3">
      <c r="F76994" s="193"/>
    </row>
    <row r="76995" spans="6:6" x14ac:dyDescent="0.3">
      <c r="F76995" s="193"/>
    </row>
    <row r="76996" spans="6:6" x14ac:dyDescent="0.3">
      <c r="F76996" s="193"/>
    </row>
    <row r="76997" spans="6:6" x14ac:dyDescent="0.3">
      <c r="F76997" s="193"/>
    </row>
    <row r="76998" spans="6:6" x14ac:dyDescent="0.3">
      <c r="F76998" s="193"/>
    </row>
    <row r="76999" spans="6:6" x14ac:dyDescent="0.3">
      <c r="F76999" s="193"/>
    </row>
    <row r="77000" spans="6:6" x14ac:dyDescent="0.3">
      <c r="F77000" s="193"/>
    </row>
    <row r="77001" spans="6:6" x14ac:dyDescent="0.3">
      <c r="F77001" s="193"/>
    </row>
    <row r="77002" spans="6:6" x14ac:dyDescent="0.3">
      <c r="F77002" s="193"/>
    </row>
    <row r="77003" spans="6:6" x14ac:dyDescent="0.3">
      <c r="F77003" s="193"/>
    </row>
    <row r="77004" spans="6:6" x14ac:dyDescent="0.3">
      <c r="F77004" s="193"/>
    </row>
    <row r="77005" spans="6:6" x14ac:dyDescent="0.3">
      <c r="F77005" s="193"/>
    </row>
    <row r="77006" spans="6:6" x14ac:dyDescent="0.3">
      <c r="F77006" s="193"/>
    </row>
    <row r="77007" spans="6:6" x14ac:dyDescent="0.3">
      <c r="F77007" s="193"/>
    </row>
    <row r="77008" spans="6:6" x14ac:dyDescent="0.3">
      <c r="F77008" s="193"/>
    </row>
    <row r="77009" spans="6:6" x14ac:dyDescent="0.3">
      <c r="F77009" s="193"/>
    </row>
    <row r="77010" spans="6:6" x14ac:dyDescent="0.3">
      <c r="F77010" s="193"/>
    </row>
    <row r="77011" spans="6:6" x14ac:dyDescent="0.3">
      <c r="F77011" s="193"/>
    </row>
    <row r="77012" spans="6:6" x14ac:dyDescent="0.3">
      <c r="F77012" s="193"/>
    </row>
    <row r="77013" spans="6:6" x14ac:dyDescent="0.3">
      <c r="F77013" s="193"/>
    </row>
    <row r="77014" spans="6:6" x14ac:dyDescent="0.3">
      <c r="F77014" s="193"/>
    </row>
    <row r="77015" spans="6:6" x14ac:dyDescent="0.3">
      <c r="F77015" s="193"/>
    </row>
    <row r="77016" spans="6:6" x14ac:dyDescent="0.3">
      <c r="F77016" s="193"/>
    </row>
    <row r="77017" spans="6:6" x14ac:dyDescent="0.3">
      <c r="F77017" s="193"/>
    </row>
    <row r="77018" spans="6:6" x14ac:dyDescent="0.3">
      <c r="F77018" s="193"/>
    </row>
    <row r="77019" spans="6:6" x14ac:dyDescent="0.3">
      <c r="F77019" s="193"/>
    </row>
    <row r="77020" spans="6:6" x14ac:dyDescent="0.3">
      <c r="F77020" s="193"/>
    </row>
    <row r="77021" spans="6:6" x14ac:dyDescent="0.3">
      <c r="F77021" s="193"/>
    </row>
    <row r="77022" spans="6:6" x14ac:dyDescent="0.3">
      <c r="F77022" s="193"/>
    </row>
    <row r="77023" spans="6:6" x14ac:dyDescent="0.3">
      <c r="F77023" s="193"/>
    </row>
    <row r="77024" spans="6:6" x14ac:dyDescent="0.3">
      <c r="F77024" s="193"/>
    </row>
    <row r="77025" spans="6:6" x14ac:dyDescent="0.3">
      <c r="F77025" s="193"/>
    </row>
    <row r="77026" spans="6:6" x14ac:dyDescent="0.3">
      <c r="F77026" s="193"/>
    </row>
    <row r="77027" spans="6:6" x14ac:dyDescent="0.3">
      <c r="F77027" s="193"/>
    </row>
    <row r="77028" spans="6:6" x14ac:dyDescent="0.3">
      <c r="F77028" s="193"/>
    </row>
    <row r="77029" spans="6:6" x14ac:dyDescent="0.3">
      <c r="F77029" s="193"/>
    </row>
    <row r="77030" spans="6:6" x14ac:dyDescent="0.3">
      <c r="F77030" s="193"/>
    </row>
    <row r="77031" spans="6:6" x14ac:dyDescent="0.3">
      <c r="F77031" s="193"/>
    </row>
    <row r="77032" spans="6:6" x14ac:dyDescent="0.3">
      <c r="F77032" s="193"/>
    </row>
    <row r="77033" spans="6:6" x14ac:dyDescent="0.3">
      <c r="F77033" s="193"/>
    </row>
    <row r="77034" spans="6:6" x14ac:dyDescent="0.3">
      <c r="F77034" s="193"/>
    </row>
    <row r="77035" spans="6:6" x14ac:dyDescent="0.3">
      <c r="F77035" s="193"/>
    </row>
    <row r="77036" spans="6:6" x14ac:dyDescent="0.3">
      <c r="F77036" s="193"/>
    </row>
    <row r="77037" spans="6:6" x14ac:dyDescent="0.3">
      <c r="F77037" s="193"/>
    </row>
    <row r="77038" spans="6:6" x14ac:dyDescent="0.3">
      <c r="F77038" s="193"/>
    </row>
    <row r="77039" spans="6:6" x14ac:dyDescent="0.3">
      <c r="F77039" s="193"/>
    </row>
    <row r="77040" spans="6:6" x14ac:dyDescent="0.3">
      <c r="F77040" s="193"/>
    </row>
    <row r="77041" spans="6:6" x14ac:dyDescent="0.3">
      <c r="F77041" s="193"/>
    </row>
    <row r="77042" spans="6:6" x14ac:dyDescent="0.3">
      <c r="F77042" s="193"/>
    </row>
    <row r="77043" spans="6:6" x14ac:dyDescent="0.3">
      <c r="F77043" s="193"/>
    </row>
    <row r="77044" spans="6:6" x14ac:dyDescent="0.3">
      <c r="F77044" s="193"/>
    </row>
    <row r="77045" spans="6:6" x14ac:dyDescent="0.3">
      <c r="F77045" s="193"/>
    </row>
    <row r="77046" spans="6:6" x14ac:dyDescent="0.3">
      <c r="F77046" s="193"/>
    </row>
    <row r="77047" spans="6:6" x14ac:dyDescent="0.3">
      <c r="F77047" s="193"/>
    </row>
    <row r="77048" spans="6:6" x14ac:dyDescent="0.3">
      <c r="F77048" s="193"/>
    </row>
    <row r="77049" spans="6:6" x14ac:dyDescent="0.3">
      <c r="F77049" s="193"/>
    </row>
    <row r="77050" spans="6:6" x14ac:dyDescent="0.3">
      <c r="F77050" s="193"/>
    </row>
    <row r="77051" spans="6:6" x14ac:dyDescent="0.3">
      <c r="F77051" s="193"/>
    </row>
    <row r="77052" spans="6:6" x14ac:dyDescent="0.3">
      <c r="F77052" s="193"/>
    </row>
    <row r="77053" spans="6:6" x14ac:dyDescent="0.3">
      <c r="F77053" s="193"/>
    </row>
    <row r="77054" spans="6:6" x14ac:dyDescent="0.3">
      <c r="F77054" s="193"/>
    </row>
    <row r="77055" spans="6:6" x14ac:dyDescent="0.3">
      <c r="F77055" s="193"/>
    </row>
    <row r="77056" spans="6:6" x14ac:dyDescent="0.3">
      <c r="F77056" s="193"/>
    </row>
    <row r="77057" spans="6:6" x14ac:dyDescent="0.3">
      <c r="F77057" s="193"/>
    </row>
    <row r="77058" spans="6:6" x14ac:dyDescent="0.3">
      <c r="F77058" s="193"/>
    </row>
    <row r="77059" spans="6:6" x14ac:dyDescent="0.3">
      <c r="F77059" s="193"/>
    </row>
    <row r="77060" spans="6:6" x14ac:dyDescent="0.3">
      <c r="F77060" s="193"/>
    </row>
    <row r="77061" spans="6:6" x14ac:dyDescent="0.3">
      <c r="F77061" s="193"/>
    </row>
    <row r="77062" spans="6:6" x14ac:dyDescent="0.3">
      <c r="F77062" s="193"/>
    </row>
    <row r="77063" spans="6:6" x14ac:dyDescent="0.3">
      <c r="F77063" s="193"/>
    </row>
    <row r="77064" spans="6:6" x14ac:dyDescent="0.3">
      <c r="F77064" s="193"/>
    </row>
    <row r="77065" spans="6:6" x14ac:dyDescent="0.3">
      <c r="F77065" s="193"/>
    </row>
    <row r="77066" spans="6:6" x14ac:dyDescent="0.3">
      <c r="F77066" s="193"/>
    </row>
    <row r="77067" spans="6:6" x14ac:dyDescent="0.3">
      <c r="F77067" s="193"/>
    </row>
    <row r="77068" spans="6:6" x14ac:dyDescent="0.3">
      <c r="F77068" s="193"/>
    </row>
    <row r="77069" spans="6:6" x14ac:dyDescent="0.3">
      <c r="F77069" s="193"/>
    </row>
    <row r="77070" spans="6:6" x14ac:dyDescent="0.3">
      <c r="F77070" s="193"/>
    </row>
    <row r="77071" spans="6:6" x14ac:dyDescent="0.3">
      <c r="F77071" s="193"/>
    </row>
    <row r="77072" spans="6:6" x14ac:dyDescent="0.3">
      <c r="F77072" s="193"/>
    </row>
    <row r="77073" spans="6:6" x14ac:dyDescent="0.3">
      <c r="F77073" s="193"/>
    </row>
    <row r="77074" spans="6:6" x14ac:dyDescent="0.3">
      <c r="F77074" s="193"/>
    </row>
    <row r="77075" spans="6:6" x14ac:dyDescent="0.3">
      <c r="F77075" s="193"/>
    </row>
    <row r="77076" spans="6:6" x14ac:dyDescent="0.3">
      <c r="F77076" s="193"/>
    </row>
    <row r="77077" spans="6:6" x14ac:dyDescent="0.3">
      <c r="F77077" s="193"/>
    </row>
    <row r="77078" spans="6:6" x14ac:dyDescent="0.3">
      <c r="F77078" s="193"/>
    </row>
    <row r="77079" spans="6:6" x14ac:dyDescent="0.3">
      <c r="F77079" s="193"/>
    </row>
    <row r="77080" spans="6:6" x14ac:dyDescent="0.3">
      <c r="F77080" s="193"/>
    </row>
    <row r="77081" spans="6:6" x14ac:dyDescent="0.3">
      <c r="F77081" s="193"/>
    </row>
    <row r="77082" spans="6:6" x14ac:dyDescent="0.3">
      <c r="F77082" s="193"/>
    </row>
    <row r="77083" spans="6:6" x14ac:dyDescent="0.3">
      <c r="F77083" s="193"/>
    </row>
    <row r="77084" spans="6:6" x14ac:dyDescent="0.3">
      <c r="F77084" s="193"/>
    </row>
    <row r="77085" spans="6:6" x14ac:dyDescent="0.3">
      <c r="F77085" s="193"/>
    </row>
    <row r="77086" spans="6:6" x14ac:dyDescent="0.3">
      <c r="F77086" s="193"/>
    </row>
    <row r="77087" spans="6:6" x14ac:dyDescent="0.3">
      <c r="F77087" s="193"/>
    </row>
    <row r="77088" spans="6:6" x14ac:dyDescent="0.3">
      <c r="F77088" s="193"/>
    </row>
    <row r="77089" spans="6:6" x14ac:dyDescent="0.3">
      <c r="F77089" s="193"/>
    </row>
    <row r="77090" spans="6:6" x14ac:dyDescent="0.3">
      <c r="F77090" s="193"/>
    </row>
    <row r="77091" spans="6:6" x14ac:dyDescent="0.3">
      <c r="F77091" s="193"/>
    </row>
    <row r="77092" spans="6:6" x14ac:dyDescent="0.3">
      <c r="F77092" s="193"/>
    </row>
    <row r="77093" spans="6:6" x14ac:dyDescent="0.3">
      <c r="F77093" s="193"/>
    </row>
    <row r="77094" spans="6:6" x14ac:dyDescent="0.3">
      <c r="F77094" s="193"/>
    </row>
    <row r="77095" spans="6:6" x14ac:dyDescent="0.3">
      <c r="F77095" s="193"/>
    </row>
    <row r="77096" spans="6:6" x14ac:dyDescent="0.3">
      <c r="F77096" s="193"/>
    </row>
    <row r="77097" spans="6:6" x14ac:dyDescent="0.3">
      <c r="F77097" s="193"/>
    </row>
    <row r="77098" spans="6:6" x14ac:dyDescent="0.3">
      <c r="F77098" s="193"/>
    </row>
    <row r="77099" spans="6:6" x14ac:dyDescent="0.3">
      <c r="F77099" s="193"/>
    </row>
    <row r="77100" spans="6:6" x14ac:dyDescent="0.3">
      <c r="F77100" s="193"/>
    </row>
    <row r="77101" spans="6:6" x14ac:dyDescent="0.3">
      <c r="F77101" s="193"/>
    </row>
    <row r="77102" spans="6:6" x14ac:dyDescent="0.3">
      <c r="F77102" s="193"/>
    </row>
    <row r="77103" spans="6:6" x14ac:dyDescent="0.3">
      <c r="F77103" s="193"/>
    </row>
    <row r="77104" spans="6:6" x14ac:dyDescent="0.3">
      <c r="F77104" s="193"/>
    </row>
    <row r="77105" spans="6:6" x14ac:dyDescent="0.3">
      <c r="F77105" s="193"/>
    </row>
    <row r="77106" spans="6:6" x14ac:dyDescent="0.3">
      <c r="F77106" s="193"/>
    </row>
    <row r="77107" spans="6:6" x14ac:dyDescent="0.3">
      <c r="F77107" s="193"/>
    </row>
    <row r="77108" spans="6:6" x14ac:dyDescent="0.3">
      <c r="F77108" s="193"/>
    </row>
    <row r="77109" spans="6:6" x14ac:dyDescent="0.3">
      <c r="F77109" s="193"/>
    </row>
    <row r="77110" spans="6:6" x14ac:dyDescent="0.3">
      <c r="F77110" s="193"/>
    </row>
    <row r="77111" spans="6:6" x14ac:dyDescent="0.3">
      <c r="F77111" s="193"/>
    </row>
    <row r="77112" spans="6:6" x14ac:dyDescent="0.3">
      <c r="F77112" s="193"/>
    </row>
    <row r="77113" spans="6:6" x14ac:dyDescent="0.3">
      <c r="F77113" s="193"/>
    </row>
    <row r="77114" spans="6:6" x14ac:dyDescent="0.3">
      <c r="F77114" s="193"/>
    </row>
    <row r="77115" spans="6:6" x14ac:dyDescent="0.3">
      <c r="F77115" s="193"/>
    </row>
    <row r="77116" spans="6:6" x14ac:dyDescent="0.3">
      <c r="F77116" s="193"/>
    </row>
    <row r="77117" spans="6:6" x14ac:dyDescent="0.3">
      <c r="F77117" s="193"/>
    </row>
    <row r="77118" spans="6:6" x14ac:dyDescent="0.3">
      <c r="F77118" s="193"/>
    </row>
    <row r="77119" spans="6:6" x14ac:dyDescent="0.3">
      <c r="F77119" s="193"/>
    </row>
    <row r="77120" spans="6:6" x14ac:dyDescent="0.3">
      <c r="F77120" s="193"/>
    </row>
    <row r="77121" spans="6:6" x14ac:dyDescent="0.3">
      <c r="F77121" s="193"/>
    </row>
    <row r="77122" spans="6:6" x14ac:dyDescent="0.3">
      <c r="F77122" s="193"/>
    </row>
    <row r="77123" spans="6:6" x14ac:dyDescent="0.3">
      <c r="F77123" s="193"/>
    </row>
    <row r="77124" spans="6:6" x14ac:dyDescent="0.3">
      <c r="F77124" s="193"/>
    </row>
    <row r="77125" spans="6:6" x14ac:dyDescent="0.3">
      <c r="F77125" s="193"/>
    </row>
    <row r="77126" spans="6:6" x14ac:dyDescent="0.3">
      <c r="F77126" s="193"/>
    </row>
    <row r="77127" spans="6:6" x14ac:dyDescent="0.3">
      <c r="F77127" s="193"/>
    </row>
    <row r="77128" spans="6:6" x14ac:dyDescent="0.3">
      <c r="F77128" s="193"/>
    </row>
    <row r="77129" spans="6:6" x14ac:dyDescent="0.3">
      <c r="F77129" s="193"/>
    </row>
    <row r="77130" spans="6:6" x14ac:dyDescent="0.3">
      <c r="F77130" s="193"/>
    </row>
    <row r="77131" spans="6:6" x14ac:dyDescent="0.3">
      <c r="F77131" s="193"/>
    </row>
    <row r="77132" spans="6:6" x14ac:dyDescent="0.3">
      <c r="F77132" s="193"/>
    </row>
    <row r="77133" spans="6:6" x14ac:dyDescent="0.3">
      <c r="F77133" s="193"/>
    </row>
    <row r="77134" spans="6:6" x14ac:dyDescent="0.3">
      <c r="F77134" s="193"/>
    </row>
    <row r="77135" spans="6:6" x14ac:dyDescent="0.3">
      <c r="F77135" s="193"/>
    </row>
    <row r="77136" spans="6:6" x14ac:dyDescent="0.3">
      <c r="F77136" s="193"/>
    </row>
    <row r="77137" spans="6:6" x14ac:dyDescent="0.3">
      <c r="F77137" s="193"/>
    </row>
    <row r="77138" spans="6:6" x14ac:dyDescent="0.3">
      <c r="F77138" s="193"/>
    </row>
    <row r="77139" spans="6:6" x14ac:dyDescent="0.3">
      <c r="F77139" s="193"/>
    </row>
    <row r="77140" spans="6:6" x14ac:dyDescent="0.3">
      <c r="F77140" s="193"/>
    </row>
    <row r="77141" spans="6:6" x14ac:dyDescent="0.3">
      <c r="F77141" s="193"/>
    </row>
    <row r="77142" spans="6:6" x14ac:dyDescent="0.3">
      <c r="F77142" s="193"/>
    </row>
    <row r="77143" spans="6:6" x14ac:dyDescent="0.3">
      <c r="F77143" s="193"/>
    </row>
    <row r="77144" spans="6:6" x14ac:dyDescent="0.3">
      <c r="F77144" s="193"/>
    </row>
    <row r="77145" spans="6:6" x14ac:dyDescent="0.3">
      <c r="F77145" s="193"/>
    </row>
    <row r="77146" spans="6:6" x14ac:dyDescent="0.3">
      <c r="F77146" s="193"/>
    </row>
    <row r="77147" spans="6:6" x14ac:dyDescent="0.3">
      <c r="F77147" s="193"/>
    </row>
    <row r="77148" spans="6:6" x14ac:dyDescent="0.3">
      <c r="F77148" s="193"/>
    </row>
    <row r="77149" spans="6:6" x14ac:dyDescent="0.3">
      <c r="F77149" s="193"/>
    </row>
    <row r="77150" spans="6:6" x14ac:dyDescent="0.3">
      <c r="F77150" s="193"/>
    </row>
    <row r="77151" spans="6:6" x14ac:dyDescent="0.3">
      <c r="F77151" s="193"/>
    </row>
    <row r="77152" spans="6:6" x14ac:dyDescent="0.3">
      <c r="F77152" s="193"/>
    </row>
    <row r="77153" spans="6:6" x14ac:dyDescent="0.3">
      <c r="F77153" s="193"/>
    </row>
    <row r="77154" spans="6:6" x14ac:dyDescent="0.3">
      <c r="F77154" s="193"/>
    </row>
    <row r="77155" spans="6:6" x14ac:dyDescent="0.3">
      <c r="F77155" s="193"/>
    </row>
    <row r="77156" spans="6:6" x14ac:dyDescent="0.3">
      <c r="F77156" s="193"/>
    </row>
    <row r="77157" spans="6:6" x14ac:dyDescent="0.3">
      <c r="F77157" s="193"/>
    </row>
    <row r="77158" spans="6:6" x14ac:dyDescent="0.3">
      <c r="F77158" s="193"/>
    </row>
    <row r="77159" spans="6:6" x14ac:dyDescent="0.3">
      <c r="F77159" s="193"/>
    </row>
    <row r="77160" spans="6:6" x14ac:dyDescent="0.3">
      <c r="F77160" s="193"/>
    </row>
    <row r="77161" spans="6:6" x14ac:dyDescent="0.3">
      <c r="F77161" s="193"/>
    </row>
    <row r="77162" spans="6:6" x14ac:dyDescent="0.3">
      <c r="F77162" s="193"/>
    </row>
    <row r="77163" spans="6:6" x14ac:dyDescent="0.3">
      <c r="F77163" s="193"/>
    </row>
    <row r="77164" spans="6:6" x14ac:dyDescent="0.3">
      <c r="F77164" s="193"/>
    </row>
    <row r="77165" spans="6:6" x14ac:dyDescent="0.3">
      <c r="F77165" s="193"/>
    </row>
    <row r="77166" spans="6:6" x14ac:dyDescent="0.3">
      <c r="F77166" s="193"/>
    </row>
    <row r="77167" spans="6:6" x14ac:dyDescent="0.3">
      <c r="F77167" s="193"/>
    </row>
    <row r="77168" spans="6:6" x14ac:dyDescent="0.3">
      <c r="F77168" s="193"/>
    </row>
    <row r="77169" spans="6:6" x14ac:dyDescent="0.3">
      <c r="F77169" s="193"/>
    </row>
    <row r="77170" spans="6:6" x14ac:dyDescent="0.3">
      <c r="F77170" s="193"/>
    </row>
    <row r="77171" spans="6:6" x14ac:dyDescent="0.3">
      <c r="F77171" s="193"/>
    </row>
    <row r="77172" spans="6:6" x14ac:dyDescent="0.3">
      <c r="F77172" s="193"/>
    </row>
    <row r="77173" spans="6:6" x14ac:dyDescent="0.3">
      <c r="F77173" s="193"/>
    </row>
    <row r="77174" spans="6:6" x14ac:dyDescent="0.3">
      <c r="F77174" s="193"/>
    </row>
    <row r="77175" spans="6:6" x14ac:dyDescent="0.3">
      <c r="F77175" s="193"/>
    </row>
    <row r="77176" spans="6:6" x14ac:dyDescent="0.3">
      <c r="F77176" s="193"/>
    </row>
    <row r="77177" spans="6:6" x14ac:dyDescent="0.3">
      <c r="F77177" s="193"/>
    </row>
    <row r="77178" spans="6:6" x14ac:dyDescent="0.3">
      <c r="F77178" s="193"/>
    </row>
    <row r="77179" spans="6:6" x14ac:dyDescent="0.3">
      <c r="F77179" s="193"/>
    </row>
    <row r="77180" spans="6:6" x14ac:dyDescent="0.3">
      <c r="F77180" s="193"/>
    </row>
    <row r="77181" spans="6:6" x14ac:dyDescent="0.3">
      <c r="F77181" s="193"/>
    </row>
    <row r="77182" spans="6:6" x14ac:dyDescent="0.3">
      <c r="F77182" s="193"/>
    </row>
    <row r="77183" spans="6:6" x14ac:dyDescent="0.3">
      <c r="F77183" s="193"/>
    </row>
    <row r="77184" spans="6:6" x14ac:dyDescent="0.3">
      <c r="F77184" s="193"/>
    </row>
    <row r="77185" spans="6:6" x14ac:dyDescent="0.3">
      <c r="F77185" s="193"/>
    </row>
    <row r="77186" spans="6:6" x14ac:dyDescent="0.3">
      <c r="F77186" s="193"/>
    </row>
    <row r="77187" spans="6:6" x14ac:dyDescent="0.3">
      <c r="F77187" s="193"/>
    </row>
    <row r="77188" spans="6:6" x14ac:dyDescent="0.3">
      <c r="F77188" s="193"/>
    </row>
    <row r="77189" spans="6:6" x14ac:dyDescent="0.3">
      <c r="F77189" s="193"/>
    </row>
    <row r="77190" spans="6:6" x14ac:dyDescent="0.3">
      <c r="F77190" s="193"/>
    </row>
    <row r="77191" spans="6:6" x14ac:dyDescent="0.3">
      <c r="F77191" s="193"/>
    </row>
    <row r="77192" spans="6:6" x14ac:dyDescent="0.3">
      <c r="F77192" s="193"/>
    </row>
    <row r="77193" spans="6:6" x14ac:dyDescent="0.3">
      <c r="F77193" s="193"/>
    </row>
    <row r="77194" spans="6:6" x14ac:dyDescent="0.3">
      <c r="F77194" s="193"/>
    </row>
    <row r="77195" spans="6:6" x14ac:dyDescent="0.3">
      <c r="F77195" s="193"/>
    </row>
    <row r="77196" spans="6:6" x14ac:dyDescent="0.3">
      <c r="F77196" s="193"/>
    </row>
    <row r="77197" spans="6:6" x14ac:dyDescent="0.3">
      <c r="F77197" s="193"/>
    </row>
    <row r="77198" spans="6:6" x14ac:dyDescent="0.3">
      <c r="F77198" s="193"/>
    </row>
    <row r="77199" spans="6:6" x14ac:dyDescent="0.3">
      <c r="F77199" s="193"/>
    </row>
    <row r="77200" spans="6:6" x14ac:dyDescent="0.3">
      <c r="F77200" s="193"/>
    </row>
    <row r="77201" spans="6:6" x14ac:dyDescent="0.3">
      <c r="F77201" s="193"/>
    </row>
    <row r="77202" spans="6:6" x14ac:dyDescent="0.3">
      <c r="F77202" s="193"/>
    </row>
    <row r="77203" spans="6:6" x14ac:dyDescent="0.3">
      <c r="F77203" s="193"/>
    </row>
    <row r="77204" spans="6:6" x14ac:dyDescent="0.3">
      <c r="F77204" s="193"/>
    </row>
    <row r="77205" spans="6:6" x14ac:dyDescent="0.3">
      <c r="F77205" s="193"/>
    </row>
    <row r="77206" spans="6:6" x14ac:dyDescent="0.3">
      <c r="F77206" s="193"/>
    </row>
    <row r="77207" spans="6:6" x14ac:dyDescent="0.3">
      <c r="F77207" s="193"/>
    </row>
    <row r="77208" spans="6:6" x14ac:dyDescent="0.3">
      <c r="F77208" s="193"/>
    </row>
    <row r="77209" spans="6:6" x14ac:dyDescent="0.3">
      <c r="F77209" s="193"/>
    </row>
    <row r="77210" spans="6:6" x14ac:dyDescent="0.3">
      <c r="F77210" s="193"/>
    </row>
    <row r="77211" spans="6:6" x14ac:dyDescent="0.3">
      <c r="F77211" s="193"/>
    </row>
    <row r="77212" spans="6:6" x14ac:dyDescent="0.3">
      <c r="F77212" s="193"/>
    </row>
    <row r="77213" spans="6:6" x14ac:dyDescent="0.3">
      <c r="F77213" s="193"/>
    </row>
    <row r="77214" spans="6:6" x14ac:dyDescent="0.3">
      <c r="F77214" s="193"/>
    </row>
    <row r="77215" spans="6:6" x14ac:dyDescent="0.3">
      <c r="F77215" s="193"/>
    </row>
    <row r="77216" spans="6:6" x14ac:dyDescent="0.3">
      <c r="F77216" s="193"/>
    </row>
    <row r="77217" spans="6:6" x14ac:dyDescent="0.3">
      <c r="F77217" s="193"/>
    </row>
    <row r="77218" spans="6:6" x14ac:dyDescent="0.3">
      <c r="F77218" s="193"/>
    </row>
    <row r="77219" spans="6:6" x14ac:dyDescent="0.3">
      <c r="F77219" s="193"/>
    </row>
    <row r="77220" spans="6:6" x14ac:dyDescent="0.3">
      <c r="F77220" s="193"/>
    </row>
    <row r="77221" spans="6:6" x14ac:dyDescent="0.3">
      <c r="F77221" s="193"/>
    </row>
    <row r="77222" spans="6:6" x14ac:dyDescent="0.3">
      <c r="F77222" s="193"/>
    </row>
    <row r="77223" spans="6:6" x14ac:dyDescent="0.3">
      <c r="F77223" s="193"/>
    </row>
    <row r="77224" spans="6:6" x14ac:dyDescent="0.3">
      <c r="F77224" s="193"/>
    </row>
    <row r="77225" spans="6:6" x14ac:dyDescent="0.3">
      <c r="F77225" s="193"/>
    </row>
    <row r="77226" spans="6:6" x14ac:dyDescent="0.3">
      <c r="F77226" s="193"/>
    </row>
    <row r="77227" spans="6:6" x14ac:dyDescent="0.3">
      <c r="F77227" s="193"/>
    </row>
    <row r="77228" spans="6:6" x14ac:dyDescent="0.3">
      <c r="F77228" s="193"/>
    </row>
    <row r="77229" spans="6:6" x14ac:dyDescent="0.3">
      <c r="F77229" s="193"/>
    </row>
    <row r="77230" spans="6:6" x14ac:dyDescent="0.3">
      <c r="F77230" s="193"/>
    </row>
    <row r="77231" spans="6:6" x14ac:dyDescent="0.3">
      <c r="F77231" s="193"/>
    </row>
    <row r="77232" spans="6:6" x14ac:dyDescent="0.3">
      <c r="F77232" s="193"/>
    </row>
    <row r="77233" spans="6:6" x14ac:dyDescent="0.3">
      <c r="F77233" s="193"/>
    </row>
    <row r="77234" spans="6:6" x14ac:dyDescent="0.3">
      <c r="F77234" s="193"/>
    </row>
    <row r="77235" spans="6:6" x14ac:dyDescent="0.3">
      <c r="F77235" s="193"/>
    </row>
    <row r="77236" spans="6:6" x14ac:dyDescent="0.3">
      <c r="F77236" s="193"/>
    </row>
    <row r="77237" spans="6:6" x14ac:dyDescent="0.3">
      <c r="F77237" s="193"/>
    </row>
    <row r="77238" spans="6:6" x14ac:dyDescent="0.3">
      <c r="F77238" s="193"/>
    </row>
    <row r="77239" spans="6:6" x14ac:dyDescent="0.3">
      <c r="F77239" s="193"/>
    </row>
    <row r="77240" spans="6:6" x14ac:dyDescent="0.3">
      <c r="F77240" s="193"/>
    </row>
    <row r="77241" spans="6:6" x14ac:dyDescent="0.3">
      <c r="F77241" s="193"/>
    </row>
    <row r="77242" spans="6:6" x14ac:dyDescent="0.3">
      <c r="F77242" s="193"/>
    </row>
    <row r="77243" spans="6:6" x14ac:dyDescent="0.3">
      <c r="F77243" s="193"/>
    </row>
    <row r="77244" spans="6:6" x14ac:dyDescent="0.3">
      <c r="F77244" s="193"/>
    </row>
    <row r="77245" spans="6:6" x14ac:dyDescent="0.3">
      <c r="F77245" s="193"/>
    </row>
    <row r="77246" spans="6:6" x14ac:dyDescent="0.3">
      <c r="F77246" s="193"/>
    </row>
    <row r="77247" spans="6:6" x14ac:dyDescent="0.3">
      <c r="F77247" s="193"/>
    </row>
    <row r="77248" spans="6:6" x14ac:dyDescent="0.3">
      <c r="F77248" s="193"/>
    </row>
    <row r="77249" spans="6:6" x14ac:dyDescent="0.3">
      <c r="F77249" s="193"/>
    </row>
    <row r="77250" spans="6:6" x14ac:dyDescent="0.3">
      <c r="F77250" s="193"/>
    </row>
    <row r="77251" spans="6:6" x14ac:dyDescent="0.3">
      <c r="F77251" s="193"/>
    </row>
    <row r="77252" spans="6:6" x14ac:dyDescent="0.3">
      <c r="F77252" s="193"/>
    </row>
    <row r="77253" spans="6:6" x14ac:dyDescent="0.3">
      <c r="F77253" s="193"/>
    </row>
    <row r="77254" spans="6:6" x14ac:dyDescent="0.3">
      <c r="F77254" s="193"/>
    </row>
    <row r="77255" spans="6:6" x14ac:dyDescent="0.3">
      <c r="F77255" s="193"/>
    </row>
    <row r="77256" spans="6:6" x14ac:dyDescent="0.3">
      <c r="F77256" s="193"/>
    </row>
    <row r="77257" spans="6:6" x14ac:dyDescent="0.3">
      <c r="F77257" s="193"/>
    </row>
    <row r="77258" spans="6:6" x14ac:dyDescent="0.3">
      <c r="F77258" s="193"/>
    </row>
    <row r="77259" spans="6:6" x14ac:dyDescent="0.3">
      <c r="F77259" s="193"/>
    </row>
    <row r="77260" spans="6:6" x14ac:dyDescent="0.3">
      <c r="F77260" s="193"/>
    </row>
    <row r="77261" spans="6:6" x14ac:dyDescent="0.3">
      <c r="F77261" s="193"/>
    </row>
    <row r="77262" spans="6:6" x14ac:dyDescent="0.3">
      <c r="F77262" s="193"/>
    </row>
    <row r="77263" spans="6:6" x14ac:dyDescent="0.3">
      <c r="F77263" s="193"/>
    </row>
    <row r="77264" spans="6:6" x14ac:dyDescent="0.3">
      <c r="F77264" s="193"/>
    </row>
    <row r="77265" spans="6:6" x14ac:dyDescent="0.3">
      <c r="F77265" s="193"/>
    </row>
    <row r="77266" spans="6:6" x14ac:dyDescent="0.3">
      <c r="F77266" s="193"/>
    </row>
    <row r="77267" spans="6:6" x14ac:dyDescent="0.3">
      <c r="F77267" s="193"/>
    </row>
    <row r="77268" spans="6:6" x14ac:dyDescent="0.3">
      <c r="F77268" s="193"/>
    </row>
    <row r="77269" spans="6:6" x14ac:dyDescent="0.3">
      <c r="F77269" s="193"/>
    </row>
    <row r="77270" spans="6:6" x14ac:dyDescent="0.3">
      <c r="F77270" s="193"/>
    </row>
    <row r="77271" spans="6:6" x14ac:dyDescent="0.3">
      <c r="F77271" s="193"/>
    </row>
    <row r="77272" spans="6:6" x14ac:dyDescent="0.3">
      <c r="F77272" s="193"/>
    </row>
    <row r="77273" spans="6:6" x14ac:dyDescent="0.3">
      <c r="F77273" s="193"/>
    </row>
    <row r="77274" spans="6:6" x14ac:dyDescent="0.3">
      <c r="F77274" s="193"/>
    </row>
    <row r="77275" spans="6:6" x14ac:dyDescent="0.3">
      <c r="F77275" s="193"/>
    </row>
    <row r="77276" spans="6:6" x14ac:dyDescent="0.3">
      <c r="F77276" s="193"/>
    </row>
    <row r="77277" spans="6:6" x14ac:dyDescent="0.3">
      <c r="F77277" s="193"/>
    </row>
    <row r="77278" spans="6:6" x14ac:dyDescent="0.3">
      <c r="F77278" s="193"/>
    </row>
    <row r="77279" spans="6:6" x14ac:dyDescent="0.3">
      <c r="F77279" s="193"/>
    </row>
    <row r="77280" spans="6:6" x14ac:dyDescent="0.3">
      <c r="F77280" s="193"/>
    </row>
    <row r="77281" spans="6:6" x14ac:dyDescent="0.3">
      <c r="F77281" s="193"/>
    </row>
    <row r="77282" spans="6:6" x14ac:dyDescent="0.3">
      <c r="F77282" s="193"/>
    </row>
    <row r="77283" spans="6:6" x14ac:dyDescent="0.3">
      <c r="F77283" s="193"/>
    </row>
    <row r="77284" spans="6:6" x14ac:dyDescent="0.3">
      <c r="F77284" s="193"/>
    </row>
    <row r="77285" spans="6:6" x14ac:dyDescent="0.3">
      <c r="F77285" s="193"/>
    </row>
    <row r="77286" spans="6:6" x14ac:dyDescent="0.3">
      <c r="F77286" s="193"/>
    </row>
    <row r="77287" spans="6:6" x14ac:dyDescent="0.3">
      <c r="F77287" s="193"/>
    </row>
    <row r="77288" spans="6:6" x14ac:dyDescent="0.3">
      <c r="F77288" s="193"/>
    </row>
    <row r="77289" spans="6:6" x14ac:dyDescent="0.3">
      <c r="F77289" s="193"/>
    </row>
    <row r="77290" spans="6:6" x14ac:dyDescent="0.3">
      <c r="F77290" s="193"/>
    </row>
    <row r="77291" spans="6:6" x14ac:dyDescent="0.3">
      <c r="F77291" s="193"/>
    </row>
    <row r="77292" spans="6:6" x14ac:dyDescent="0.3">
      <c r="F77292" s="193"/>
    </row>
    <row r="77293" spans="6:6" x14ac:dyDescent="0.3">
      <c r="F77293" s="193"/>
    </row>
    <row r="77294" spans="6:6" x14ac:dyDescent="0.3">
      <c r="F77294" s="193"/>
    </row>
    <row r="77295" spans="6:6" x14ac:dyDescent="0.3">
      <c r="F77295" s="193"/>
    </row>
    <row r="77296" spans="6:6" x14ac:dyDescent="0.3">
      <c r="F77296" s="193"/>
    </row>
    <row r="77297" spans="6:6" x14ac:dyDescent="0.3">
      <c r="F77297" s="193"/>
    </row>
    <row r="77298" spans="6:6" x14ac:dyDescent="0.3">
      <c r="F77298" s="193"/>
    </row>
    <row r="77299" spans="6:6" x14ac:dyDescent="0.3">
      <c r="F77299" s="193"/>
    </row>
    <row r="77300" spans="6:6" x14ac:dyDescent="0.3">
      <c r="F77300" s="193"/>
    </row>
    <row r="77301" spans="6:6" x14ac:dyDescent="0.3">
      <c r="F77301" s="193"/>
    </row>
    <row r="77302" spans="6:6" x14ac:dyDescent="0.3">
      <c r="F77302" s="193"/>
    </row>
    <row r="77303" spans="6:6" x14ac:dyDescent="0.3">
      <c r="F77303" s="193"/>
    </row>
    <row r="77304" spans="6:6" x14ac:dyDescent="0.3">
      <c r="F77304" s="193"/>
    </row>
    <row r="77305" spans="6:6" x14ac:dyDescent="0.3">
      <c r="F77305" s="193"/>
    </row>
    <row r="77306" spans="6:6" x14ac:dyDescent="0.3">
      <c r="F77306" s="193"/>
    </row>
    <row r="77307" spans="6:6" x14ac:dyDescent="0.3">
      <c r="F77307" s="193"/>
    </row>
    <row r="77308" spans="6:6" x14ac:dyDescent="0.3">
      <c r="F77308" s="193"/>
    </row>
    <row r="77309" spans="6:6" x14ac:dyDescent="0.3">
      <c r="F77309" s="193"/>
    </row>
    <row r="77310" spans="6:6" x14ac:dyDescent="0.3">
      <c r="F77310" s="193"/>
    </row>
    <row r="77311" spans="6:6" x14ac:dyDescent="0.3">
      <c r="F77311" s="193"/>
    </row>
    <row r="77312" spans="6:6" x14ac:dyDescent="0.3">
      <c r="F77312" s="193"/>
    </row>
    <row r="77313" spans="6:6" x14ac:dyDescent="0.3">
      <c r="F77313" s="193"/>
    </row>
    <row r="77314" spans="6:6" x14ac:dyDescent="0.3">
      <c r="F77314" s="193"/>
    </row>
    <row r="77315" spans="6:6" x14ac:dyDescent="0.3">
      <c r="F77315" s="193"/>
    </row>
    <row r="77316" spans="6:6" x14ac:dyDescent="0.3">
      <c r="F77316" s="193"/>
    </row>
    <row r="77317" spans="6:6" x14ac:dyDescent="0.3">
      <c r="F77317" s="193"/>
    </row>
    <row r="77318" spans="6:6" x14ac:dyDescent="0.3">
      <c r="F77318" s="193"/>
    </row>
    <row r="77319" spans="6:6" x14ac:dyDescent="0.3">
      <c r="F77319" s="193"/>
    </row>
    <row r="77320" spans="6:6" x14ac:dyDescent="0.3">
      <c r="F77320" s="193"/>
    </row>
    <row r="77321" spans="6:6" x14ac:dyDescent="0.3">
      <c r="F77321" s="193"/>
    </row>
    <row r="77322" spans="6:6" x14ac:dyDescent="0.3">
      <c r="F77322" s="193"/>
    </row>
    <row r="77323" spans="6:6" x14ac:dyDescent="0.3">
      <c r="F77323" s="193"/>
    </row>
    <row r="77324" spans="6:6" x14ac:dyDescent="0.3">
      <c r="F77324" s="193"/>
    </row>
    <row r="77325" spans="6:6" x14ac:dyDescent="0.3">
      <c r="F77325" s="193"/>
    </row>
    <row r="77326" spans="6:6" x14ac:dyDescent="0.3">
      <c r="F77326" s="193"/>
    </row>
    <row r="77327" spans="6:6" x14ac:dyDescent="0.3">
      <c r="F77327" s="193"/>
    </row>
    <row r="77328" spans="6:6" x14ac:dyDescent="0.3">
      <c r="F77328" s="193"/>
    </row>
    <row r="77329" spans="6:6" x14ac:dyDescent="0.3">
      <c r="F77329" s="193"/>
    </row>
    <row r="77330" spans="6:6" x14ac:dyDescent="0.3">
      <c r="F77330" s="193"/>
    </row>
    <row r="77331" spans="6:6" x14ac:dyDescent="0.3">
      <c r="F77331" s="193"/>
    </row>
    <row r="77332" spans="6:6" x14ac:dyDescent="0.3">
      <c r="F77332" s="193"/>
    </row>
    <row r="77333" spans="6:6" x14ac:dyDescent="0.3">
      <c r="F77333" s="193"/>
    </row>
    <row r="77334" spans="6:6" x14ac:dyDescent="0.3">
      <c r="F77334" s="193"/>
    </row>
    <row r="77335" spans="6:6" x14ac:dyDescent="0.3">
      <c r="F77335" s="193"/>
    </row>
    <row r="77336" spans="6:6" x14ac:dyDescent="0.3">
      <c r="F77336" s="193"/>
    </row>
    <row r="77337" spans="6:6" x14ac:dyDescent="0.3">
      <c r="F77337" s="193"/>
    </row>
    <row r="77338" spans="6:6" x14ac:dyDescent="0.3">
      <c r="F77338" s="193"/>
    </row>
    <row r="77339" spans="6:6" x14ac:dyDescent="0.3">
      <c r="F77339" s="193"/>
    </row>
    <row r="77340" spans="6:6" x14ac:dyDescent="0.3">
      <c r="F77340" s="193"/>
    </row>
    <row r="77341" spans="6:6" x14ac:dyDescent="0.3">
      <c r="F77341" s="193"/>
    </row>
    <row r="77342" spans="6:6" x14ac:dyDescent="0.3">
      <c r="F77342" s="193"/>
    </row>
    <row r="77343" spans="6:6" x14ac:dyDescent="0.3">
      <c r="F77343" s="193"/>
    </row>
    <row r="77344" spans="6:6" x14ac:dyDescent="0.3">
      <c r="F77344" s="193"/>
    </row>
    <row r="77345" spans="6:6" x14ac:dyDescent="0.3">
      <c r="F77345" s="193"/>
    </row>
    <row r="77346" spans="6:6" x14ac:dyDescent="0.3">
      <c r="F77346" s="193"/>
    </row>
    <row r="77347" spans="6:6" x14ac:dyDescent="0.3">
      <c r="F77347" s="193"/>
    </row>
    <row r="77348" spans="6:6" x14ac:dyDescent="0.3">
      <c r="F77348" s="193"/>
    </row>
    <row r="77349" spans="6:6" x14ac:dyDescent="0.3">
      <c r="F77349" s="193"/>
    </row>
    <row r="77350" spans="6:6" x14ac:dyDescent="0.3">
      <c r="F77350" s="193"/>
    </row>
    <row r="77351" spans="6:6" x14ac:dyDescent="0.3">
      <c r="F77351" s="193"/>
    </row>
    <row r="77352" spans="6:6" x14ac:dyDescent="0.3">
      <c r="F77352" s="193"/>
    </row>
    <row r="77353" spans="6:6" x14ac:dyDescent="0.3">
      <c r="F77353" s="193"/>
    </row>
    <row r="77354" spans="6:6" x14ac:dyDescent="0.3">
      <c r="F77354" s="193"/>
    </row>
    <row r="77355" spans="6:6" x14ac:dyDescent="0.3">
      <c r="F77355" s="193"/>
    </row>
    <row r="77356" spans="6:6" x14ac:dyDescent="0.3">
      <c r="F77356" s="193"/>
    </row>
    <row r="77357" spans="6:6" x14ac:dyDescent="0.3">
      <c r="F77357" s="193"/>
    </row>
    <row r="77358" spans="6:6" x14ac:dyDescent="0.3">
      <c r="F77358" s="193"/>
    </row>
    <row r="77359" spans="6:6" x14ac:dyDescent="0.3">
      <c r="F77359" s="193"/>
    </row>
    <row r="77360" spans="6:6" x14ac:dyDescent="0.3">
      <c r="F77360" s="193"/>
    </row>
    <row r="77361" spans="6:6" x14ac:dyDescent="0.3">
      <c r="F77361" s="193"/>
    </row>
    <row r="77362" spans="6:6" x14ac:dyDescent="0.3">
      <c r="F77362" s="193"/>
    </row>
    <row r="77363" spans="6:6" x14ac:dyDescent="0.3">
      <c r="F77363" s="193"/>
    </row>
    <row r="77364" spans="6:6" x14ac:dyDescent="0.3">
      <c r="F77364" s="193"/>
    </row>
    <row r="77365" spans="6:6" x14ac:dyDescent="0.3">
      <c r="F77365" s="193"/>
    </row>
    <row r="77366" spans="6:6" x14ac:dyDescent="0.3">
      <c r="F77366" s="193"/>
    </row>
    <row r="77367" spans="6:6" x14ac:dyDescent="0.3">
      <c r="F77367" s="193"/>
    </row>
    <row r="77368" spans="6:6" x14ac:dyDescent="0.3">
      <c r="F77368" s="193"/>
    </row>
    <row r="77369" spans="6:6" x14ac:dyDescent="0.3">
      <c r="F77369" s="193"/>
    </row>
    <row r="77370" spans="6:6" x14ac:dyDescent="0.3">
      <c r="F77370" s="193"/>
    </row>
    <row r="77371" spans="6:6" x14ac:dyDescent="0.3">
      <c r="F77371" s="193"/>
    </row>
    <row r="77372" spans="6:6" x14ac:dyDescent="0.3">
      <c r="F77372" s="193"/>
    </row>
    <row r="77373" spans="6:6" x14ac:dyDescent="0.3">
      <c r="F77373" s="193"/>
    </row>
    <row r="77374" spans="6:6" x14ac:dyDescent="0.3">
      <c r="F77374" s="193"/>
    </row>
    <row r="77375" spans="6:6" x14ac:dyDescent="0.3">
      <c r="F77375" s="193"/>
    </row>
    <row r="77376" spans="6:6" x14ac:dyDescent="0.3">
      <c r="F77376" s="193"/>
    </row>
    <row r="77377" spans="6:6" x14ac:dyDescent="0.3">
      <c r="F77377" s="193"/>
    </row>
    <row r="77378" spans="6:6" x14ac:dyDescent="0.3">
      <c r="F77378" s="193"/>
    </row>
    <row r="77379" spans="6:6" x14ac:dyDescent="0.3">
      <c r="F77379" s="193"/>
    </row>
    <row r="77380" spans="6:6" x14ac:dyDescent="0.3">
      <c r="F77380" s="193"/>
    </row>
    <row r="77381" spans="6:6" x14ac:dyDescent="0.3">
      <c r="F77381" s="193"/>
    </row>
    <row r="77382" spans="6:6" x14ac:dyDescent="0.3">
      <c r="F77382" s="193"/>
    </row>
    <row r="77383" spans="6:6" x14ac:dyDescent="0.3">
      <c r="F77383" s="193"/>
    </row>
    <row r="77384" spans="6:6" x14ac:dyDescent="0.3">
      <c r="F77384" s="193"/>
    </row>
    <row r="77385" spans="6:6" x14ac:dyDescent="0.3">
      <c r="F77385" s="193"/>
    </row>
    <row r="77386" spans="6:6" x14ac:dyDescent="0.3">
      <c r="F77386" s="193"/>
    </row>
    <row r="77387" spans="6:6" x14ac:dyDescent="0.3">
      <c r="F77387" s="193"/>
    </row>
    <row r="77388" spans="6:6" x14ac:dyDescent="0.3">
      <c r="F77388" s="193"/>
    </row>
    <row r="77389" spans="6:6" x14ac:dyDescent="0.3">
      <c r="F77389" s="193"/>
    </row>
    <row r="77390" spans="6:6" x14ac:dyDescent="0.3">
      <c r="F77390" s="193"/>
    </row>
    <row r="77391" spans="6:6" x14ac:dyDescent="0.3">
      <c r="F77391" s="193"/>
    </row>
    <row r="77392" spans="6:6" x14ac:dyDescent="0.3">
      <c r="F77392" s="193"/>
    </row>
    <row r="77393" spans="6:6" x14ac:dyDescent="0.3">
      <c r="F77393" s="193"/>
    </row>
    <row r="77394" spans="6:6" x14ac:dyDescent="0.3">
      <c r="F77394" s="193"/>
    </row>
    <row r="77395" spans="6:6" x14ac:dyDescent="0.3">
      <c r="F77395" s="193"/>
    </row>
    <row r="77396" spans="6:6" x14ac:dyDescent="0.3">
      <c r="F77396" s="193"/>
    </row>
    <row r="77397" spans="6:6" x14ac:dyDescent="0.3">
      <c r="F77397" s="193"/>
    </row>
    <row r="77398" spans="6:6" x14ac:dyDescent="0.3">
      <c r="F77398" s="193"/>
    </row>
    <row r="77399" spans="6:6" x14ac:dyDescent="0.3">
      <c r="F77399" s="193"/>
    </row>
    <row r="77400" spans="6:6" x14ac:dyDescent="0.3">
      <c r="F77400" s="193"/>
    </row>
    <row r="77401" spans="6:6" x14ac:dyDescent="0.3">
      <c r="F77401" s="193"/>
    </row>
    <row r="77402" spans="6:6" x14ac:dyDescent="0.3">
      <c r="F77402" s="193"/>
    </row>
    <row r="77403" spans="6:6" x14ac:dyDescent="0.3">
      <c r="F77403" s="193"/>
    </row>
    <row r="77404" spans="6:6" x14ac:dyDescent="0.3">
      <c r="F77404" s="193"/>
    </row>
    <row r="77405" spans="6:6" x14ac:dyDescent="0.3">
      <c r="F77405" s="193"/>
    </row>
    <row r="77406" spans="6:6" x14ac:dyDescent="0.3">
      <c r="F77406" s="193"/>
    </row>
    <row r="77407" spans="6:6" x14ac:dyDescent="0.3">
      <c r="F77407" s="193"/>
    </row>
    <row r="77408" spans="6:6" x14ac:dyDescent="0.3">
      <c r="F77408" s="193"/>
    </row>
    <row r="77409" spans="6:6" x14ac:dyDescent="0.3">
      <c r="F77409" s="193"/>
    </row>
    <row r="77410" spans="6:6" x14ac:dyDescent="0.3">
      <c r="F77410" s="193"/>
    </row>
    <row r="77411" spans="6:6" x14ac:dyDescent="0.3">
      <c r="F77411" s="193"/>
    </row>
    <row r="77412" spans="6:6" x14ac:dyDescent="0.3">
      <c r="F77412" s="193"/>
    </row>
    <row r="77413" spans="6:6" x14ac:dyDescent="0.3">
      <c r="F77413" s="193"/>
    </row>
    <row r="77414" spans="6:6" x14ac:dyDescent="0.3">
      <c r="F77414" s="193"/>
    </row>
    <row r="77415" spans="6:6" x14ac:dyDescent="0.3">
      <c r="F77415" s="193"/>
    </row>
    <row r="77416" spans="6:6" x14ac:dyDescent="0.3">
      <c r="F77416" s="193"/>
    </row>
    <row r="77417" spans="6:6" x14ac:dyDescent="0.3">
      <c r="F77417" s="193"/>
    </row>
    <row r="77418" spans="6:6" x14ac:dyDescent="0.3">
      <c r="F77418" s="193"/>
    </row>
    <row r="77419" spans="6:6" x14ac:dyDescent="0.3">
      <c r="F77419" s="193"/>
    </row>
    <row r="77420" spans="6:6" x14ac:dyDescent="0.3">
      <c r="F77420" s="193"/>
    </row>
    <row r="77421" spans="6:6" x14ac:dyDescent="0.3">
      <c r="F77421" s="193"/>
    </row>
    <row r="77422" spans="6:6" x14ac:dyDescent="0.3">
      <c r="F77422" s="193"/>
    </row>
    <row r="77423" spans="6:6" x14ac:dyDescent="0.3">
      <c r="F77423" s="193"/>
    </row>
    <row r="77424" spans="6:6" x14ac:dyDescent="0.3">
      <c r="F77424" s="193"/>
    </row>
    <row r="77425" spans="6:6" x14ac:dyDescent="0.3">
      <c r="F77425" s="193"/>
    </row>
    <row r="77426" spans="6:6" x14ac:dyDescent="0.3">
      <c r="F77426" s="193"/>
    </row>
    <row r="77427" spans="6:6" x14ac:dyDescent="0.3">
      <c r="F77427" s="193"/>
    </row>
    <row r="77428" spans="6:6" x14ac:dyDescent="0.3">
      <c r="F77428" s="193"/>
    </row>
    <row r="77429" spans="6:6" x14ac:dyDescent="0.3">
      <c r="F77429" s="193"/>
    </row>
    <row r="77430" spans="6:6" x14ac:dyDescent="0.3">
      <c r="F77430" s="193"/>
    </row>
    <row r="77431" spans="6:6" x14ac:dyDescent="0.3">
      <c r="F77431" s="193"/>
    </row>
    <row r="77432" spans="6:6" x14ac:dyDescent="0.3">
      <c r="F77432" s="193"/>
    </row>
    <row r="77433" spans="6:6" x14ac:dyDescent="0.3">
      <c r="F77433" s="193"/>
    </row>
    <row r="77434" spans="6:6" x14ac:dyDescent="0.3">
      <c r="F77434" s="193"/>
    </row>
    <row r="77435" spans="6:6" x14ac:dyDescent="0.3">
      <c r="F77435" s="193"/>
    </row>
    <row r="77436" spans="6:6" x14ac:dyDescent="0.3">
      <c r="F77436" s="193"/>
    </row>
    <row r="77437" spans="6:6" x14ac:dyDescent="0.3">
      <c r="F77437" s="193"/>
    </row>
    <row r="77438" spans="6:6" x14ac:dyDescent="0.3">
      <c r="F77438" s="193"/>
    </row>
    <row r="77439" spans="6:6" x14ac:dyDescent="0.3">
      <c r="F77439" s="193"/>
    </row>
    <row r="77440" spans="6:6" x14ac:dyDescent="0.3">
      <c r="F77440" s="193"/>
    </row>
    <row r="77441" spans="6:6" x14ac:dyDescent="0.3">
      <c r="F77441" s="193"/>
    </row>
    <row r="77442" spans="6:6" x14ac:dyDescent="0.3">
      <c r="F77442" s="193"/>
    </row>
    <row r="77443" spans="6:6" x14ac:dyDescent="0.3">
      <c r="F77443" s="193"/>
    </row>
    <row r="77444" spans="6:6" x14ac:dyDescent="0.3">
      <c r="F77444" s="193"/>
    </row>
    <row r="77445" spans="6:6" x14ac:dyDescent="0.3">
      <c r="F77445" s="193"/>
    </row>
    <row r="77446" spans="6:6" x14ac:dyDescent="0.3">
      <c r="F77446" s="193"/>
    </row>
    <row r="77447" spans="6:6" x14ac:dyDescent="0.3">
      <c r="F77447" s="193"/>
    </row>
    <row r="77448" spans="6:6" x14ac:dyDescent="0.3">
      <c r="F77448" s="193"/>
    </row>
    <row r="77449" spans="6:6" x14ac:dyDescent="0.3">
      <c r="F77449" s="193"/>
    </row>
    <row r="77450" spans="6:6" x14ac:dyDescent="0.3">
      <c r="F77450" s="193"/>
    </row>
    <row r="77451" spans="6:6" x14ac:dyDescent="0.3">
      <c r="F77451" s="193"/>
    </row>
    <row r="77452" spans="6:6" x14ac:dyDescent="0.3">
      <c r="F77452" s="193"/>
    </row>
    <row r="77453" spans="6:6" x14ac:dyDescent="0.3">
      <c r="F77453" s="193"/>
    </row>
    <row r="77454" spans="6:6" x14ac:dyDescent="0.3">
      <c r="F77454" s="193"/>
    </row>
    <row r="77455" spans="6:6" x14ac:dyDescent="0.3">
      <c r="F77455" s="193"/>
    </row>
    <row r="77456" spans="6:6" x14ac:dyDescent="0.3">
      <c r="F77456" s="193"/>
    </row>
    <row r="77457" spans="6:6" x14ac:dyDescent="0.3">
      <c r="F77457" s="193"/>
    </row>
    <row r="77458" spans="6:6" x14ac:dyDescent="0.3">
      <c r="F77458" s="193"/>
    </row>
    <row r="77459" spans="6:6" x14ac:dyDescent="0.3">
      <c r="F77459" s="193"/>
    </row>
    <row r="77460" spans="6:6" x14ac:dyDescent="0.3">
      <c r="F77460" s="193"/>
    </row>
    <row r="77461" spans="6:6" x14ac:dyDescent="0.3">
      <c r="F77461" s="193"/>
    </row>
    <row r="77462" spans="6:6" x14ac:dyDescent="0.3">
      <c r="F77462" s="193"/>
    </row>
    <row r="77463" spans="6:6" x14ac:dyDescent="0.3">
      <c r="F77463" s="193"/>
    </row>
    <row r="77464" spans="6:6" x14ac:dyDescent="0.3">
      <c r="F77464" s="193"/>
    </row>
    <row r="77465" spans="6:6" x14ac:dyDescent="0.3">
      <c r="F77465" s="193"/>
    </row>
    <row r="77466" spans="6:6" x14ac:dyDescent="0.3">
      <c r="F77466" s="193"/>
    </row>
    <row r="77467" spans="6:6" x14ac:dyDescent="0.3">
      <c r="F77467" s="193"/>
    </row>
    <row r="77468" spans="6:6" x14ac:dyDescent="0.3">
      <c r="F77468" s="193"/>
    </row>
    <row r="77469" spans="6:6" x14ac:dyDescent="0.3">
      <c r="F77469" s="193"/>
    </row>
    <row r="77470" spans="6:6" x14ac:dyDescent="0.3">
      <c r="F77470" s="193"/>
    </row>
    <row r="77471" spans="6:6" x14ac:dyDescent="0.3">
      <c r="F77471" s="193"/>
    </row>
    <row r="77472" spans="6:6" x14ac:dyDescent="0.3">
      <c r="F77472" s="193"/>
    </row>
    <row r="77473" spans="6:6" x14ac:dyDescent="0.3">
      <c r="F77473" s="193"/>
    </row>
    <row r="77474" spans="6:6" x14ac:dyDescent="0.3">
      <c r="F77474" s="193"/>
    </row>
    <row r="77475" spans="6:6" x14ac:dyDescent="0.3">
      <c r="F77475" s="193"/>
    </row>
    <row r="77476" spans="6:6" x14ac:dyDescent="0.3">
      <c r="F77476" s="193"/>
    </row>
    <row r="77477" spans="6:6" x14ac:dyDescent="0.3">
      <c r="F77477" s="193"/>
    </row>
    <row r="77478" spans="6:6" x14ac:dyDescent="0.3">
      <c r="F77478" s="193"/>
    </row>
    <row r="77479" spans="6:6" x14ac:dyDescent="0.3">
      <c r="F77479" s="193"/>
    </row>
    <row r="77480" spans="6:6" x14ac:dyDescent="0.3">
      <c r="F77480" s="193"/>
    </row>
    <row r="77481" spans="6:6" x14ac:dyDescent="0.3">
      <c r="F77481" s="193"/>
    </row>
    <row r="77482" spans="6:6" x14ac:dyDescent="0.3">
      <c r="F77482" s="193"/>
    </row>
    <row r="77483" spans="6:6" x14ac:dyDescent="0.3">
      <c r="F77483" s="193"/>
    </row>
    <row r="77484" spans="6:6" x14ac:dyDescent="0.3">
      <c r="F77484" s="193"/>
    </row>
    <row r="77485" spans="6:6" x14ac:dyDescent="0.3">
      <c r="F77485" s="193"/>
    </row>
    <row r="77486" spans="6:6" x14ac:dyDescent="0.3">
      <c r="F77486" s="193"/>
    </row>
    <row r="77487" spans="6:6" x14ac:dyDescent="0.3">
      <c r="F77487" s="193"/>
    </row>
    <row r="77488" spans="6:6" x14ac:dyDescent="0.3">
      <c r="F77488" s="193"/>
    </row>
    <row r="77489" spans="6:6" x14ac:dyDescent="0.3">
      <c r="F77489" s="193"/>
    </row>
    <row r="77490" spans="6:6" x14ac:dyDescent="0.3">
      <c r="F77490" s="193"/>
    </row>
    <row r="77491" spans="6:6" x14ac:dyDescent="0.3">
      <c r="F77491" s="193"/>
    </row>
    <row r="77492" spans="6:6" x14ac:dyDescent="0.3">
      <c r="F77492" s="193"/>
    </row>
    <row r="77493" spans="6:6" x14ac:dyDescent="0.3">
      <c r="F77493" s="193"/>
    </row>
    <row r="77494" spans="6:6" x14ac:dyDescent="0.3">
      <c r="F77494" s="193"/>
    </row>
    <row r="77495" spans="6:6" x14ac:dyDescent="0.3">
      <c r="F77495" s="193"/>
    </row>
    <row r="77496" spans="6:6" x14ac:dyDescent="0.3">
      <c r="F77496" s="193"/>
    </row>
    <row r="77497" spans="6:6" x14ac:dyDescent="0.3">
      <c r="F77497" s="193"/>
    </row>
    <row r="77498" spans="6:6" x14ac:dyDescent="0.3">
      <c r="F77498" s="193"/>
    </row>
    <row r="77499" spans="6:6" x14ac:dyDescent="0.3">
      <c r="F77499" s="193"/>
    </row>
    <row r="77500" spans="6:6" x14ac:dyDescent="0.3">
      <c r="F77500" s="193"/>
    </row>
    <row r="77501" spans="6:6" x14ac:dyDescent="0.3">
      <c r="F77501" s="193"/>
    </row>
    <row r="77502" spans="6:6" x14ac:dyDescent="0.3">
      <c r="F77502" s="193"/>
    </row>
    <row r="77503" spans="6:6" x14ac:dyDescent="0.3">
      <c r="F77503" s="193"/>
    </row>
    <row r="77504" spans="6:6" x14ac:dyDescent="0.3">
      <c r="F77504" s="193"/>
    </row>
    <row r="77505" spans="6:6" x14ac:dyDescent="0.3">
      <c r="F77505" s="193"/>
    </row>
    <row r="77506" spans="6:6" x14ac:dyDescent="0.3">
      <c r="F77506" s="193"/>
    </row>
    <row r="77507" spans="6:6" x14ac:dyDescent="0.3">
      <c r="F77507" s="193"/>
    </row>
    <row r="77508" spans="6:6" x14ac:dyDescent="0.3">
      <c r="F77508" s="193"/>
    </row>
    <row r="77509" spans="6:6" x14ac:dyDescent="0.3">
      <c r="F77509" s="193"/>
    </row>
    <row r="77510" spans="6:6" x14ac:dyDescent="0.3">
      <c r="F77510" s="193"/>
    </row>
    <row r="77511" spans="6:6" x14ac:dyDescent="0.3">
      <c r="F77511" s="193"/>
    </row>
    <row r="77512" spans="6:6" x14ac:dyDescent="0.3">
      <c r="F77512" s="193"/>
    </row>
    <row r="77513" spans="6:6" x14ac:dyDescent="0.3">
      <c r="F77513" s="193"/>
    </row>
    <row r="77514" spans="6:6" x14ac:dyDescent="0.3">
      <c r="F77514" s="193"/>
    </row>
    <row r="77515" spans="6:6" x14ac:dyDescent="0.3">
      <c r="F77515" s="193"/>
    </row>
    <row r="77516" spans="6:6" x14ac:dyDescent="0.3">
      <c r="F77516" s="193"/>
    </row>
    <row r="77517" spans="6:6" x14ac:dyDescent="0.3">
      <c r="F77517" s="193"/>
    </row>
    <row r="77518" spans="6:6" x14ac:dyDescent="0.3">
      <c r="F77518" s="193"/>
    </row>
    <row r="77519" spans="6:6" x14ac:dyDescent="0.3">
      <c r="F77519" s="193"/>
    </row>
    <row r="77520" spans="6:6" x14ac:dyDescent="0.3">
      <c r="F77520" s="193"/>
    </row>
    <row r="77521" spans="6:6" x14ac:dyDescent="0.3">
      <c r="F77521" s="193"/>
    </row>
    <row r="77522" spans="6:6" x14ac:dyDescent="0.3">
      <c r="F77522" s="193"/>
    </row>
    <row r="77523" spans="6:6" x14ac:dyDescent="0.3">
      <c r="F77523" s="193"/>
    </row>
    <row r="77524" spans="6:6" x14ac:dyDescent="0.3">
      <c r="F77524" s="193"/>
    </row>
    <row r="77525" spans="6:6" x14ac:dyDescent="0.3">
      <c r="F77525" s="193"/>
    </row>
    <row r="77526" spans="6:6" x14ac:dyDescent="0.3">
      <c r="F77526" s="193"/>
    </row>
    <row r="77527" spans="6:6" x14ac:dyDescent="0.3">
      <c r="F77527" s="193"/>
    </row>
    <row r="77528" spans="6:6" x14ac:dyDescent="0.3">
      <c r="F77528" s="193"/>
    </row>
    <row r="77529" spans="6:6" x14ac:dyDescent="0.3">
      <c r="F77529" s="193"/>
    </row>
    <row r="77530" spans="6:6" x14ac:dyDescent="0.3">
      <c r="F77530" s="193"/>
    </row>
    <row r="77531" spans="6:6" x14ac:dyDescent="0.3">
      <c r="F77531" s="193"/>
    </row>
    <row r="77532" spans="6:6" x14ac:dyDescent="0.3">
      <c r="F77532" s="193"/>
    </row>
    <row r="77533" spans="6:6" x14ac:dyDescent="0.3">
      <c r="F77533" s="193"/>
    </row>
    <row r="77534" spans="6:6" x14ac:dyDescent="0.3">
      <c r="F77534" s="193"/>
    </row>
    <row r="77535" spans="6:6" x14ac:dyDescent="0.3">
      <c r="F77535" s="193"/>
    </row>
    <row r="77536" spans="6:6" x14ac:dyDescent="0.3">
      <c r="F77536" s="193"/>
    </row>
    <row r="77537" spans="6:6" x14ac:dyDescent="0.3">
      <c r="F77537" s="193"/>
    </row>
    <row r="77538" spans="6:6" x14ac:dyDescent="0.3">
      <c r="F77538" s="193"/>
    </row>
    <row r="77539" spans="6:6" x14ac:dyDescent="0.3">
      <c r="F77539" s="193"/>
    </row>
    <row r="77540" spans="6:6" x14ac:dyDescent="0.3">
      <c r="F77540" s="193"/>
    </row>
    <row r="77541" spans="6:6" x14ac:dyDescent="0.3">
      <c r="F77541" s="193"/>
    </row>
    <row r="77542" spans="6:6" x14ac:dyDescent="0.3">
      <c r="F77542" s="193"/>
    </row>
    <row r="77543" spans="6:6" x14ac:dyDescent="0.3">
      <c r="F77543" s="193"/>
    </row>
    <row r="77544" spans="6:6" x14ac:dyDescent="0.3">
      <c r="F77544" s="193"/>
    </row>
    <row r="77545" spans="6:6" x14ac:dyDescent="0.3">
      <c r="F77545" s="193"/>
    </row>
    <row r="77546" spans="6:6" x14ac:dyDescent="0.3">
      <c r="F77546" s="193"/>
    </row>
    <row r="77547" spans="6:6" x14ac:dyDescent="0.3">
      <c r="F77547" s="193"/>
    </row>
    <row r="77548" spans="6:6" x14ac:dyDescent="0.3">
      <c r="F77548" s="193"/>
    </row>
    <row r="77549" spans="6:6" x14ac:dyDescent="0.3">
      <c r="F77549" s="193"/>
    </row>
    <row r="77550" spans="6:6" x14ac:dyDescent="0.3">
      <c r="F77550" s="193"/>
    </row>
    <row r="77551" spans="6:6" x14ac:dyDescent="0.3">
      <c r="F77551" s="193"/>
    </row>
    <row r="77552" spans="6:6" x14ac:dyDescent="0.3">
      <c r="F77552" s="193"/>
    </row>
    <row r="77553" spans="6:6" x14ac:dyDescent="0.3">
      <c r="F77553" s="193"/>
    </row>
    <row r="77554" spans="6:6" x14ac:dyDescent="0.3">
      <c r="F77554" s="193"/>
    </row>
    <row r="77555" spans="6:6" x14ac:dyDescent="0.3">
      <c r="F77555" s="193"/>
    </row>
    <row r="77556" spans="6:6" x14ac:dyDescent="0.3">
      <c r="F77556" s="193"/>
    </row>
    <row r="77557" spans="6:6" x14ac:dyDescent="0.3">
      <c r="F77557" s="193"/>
    </row>
    <row r="77558" spans="6:6" x14ac:dyDescent="0.3">
      <c r="F77558" s="193"/>
    </row>
    <row r="77559" spans="6:6" x14ac:dyDescent="0.3">
      <c r="F77559" s="193"/>
    </row>
    <row r="77560" spans="6:6" x14ac:dyDescent="0.3">
      <c r="F77560" s="193"/>
    </row>
    <row r="77561" spans="6:6" x14ac:dyDescent="0.3">
      <c r="F77561" s="193"/>
    </row>
    <row r="77562" spans="6:6" x14ac:dyDescent="0.3">
      <c r="F77562" s="193"/>
    </row>
    <row r="77563" spans="6:6" x14ac:dyDescent="0.3">
      <c r="F77563" s="193"/>
    </row>
    <row r="77564" spans="6:6" x14ac:dyDescent="0.3">
      <c r="F77564" s="193"/>
    </row>
    <row r="77565" spans="6:6" x14ac:dyDescent="0.3">
      <c r="F77565" s="193"/>
    </row>
    <row r="77566" spans="6:6" x14ac:dyDescent="0.3">
      <c r="F77566" s="193"/>
    </row>
    <row r="77567" spans="6:6" x14ac:dyDescent="0.3">
      <c r="F77567" s="193"/>
    </row>
    <row r="77568" spans="6:6" x14ac:dyDescent="0.3">
      <c r="F77568" s="193"/>
    </row>
    <row r="77569" spans="6:6" x14ac:dyDescent="0.3">
      <c r="F77569" s="193"/>
    </row>
    <row r="77570" spans="6:6" x14ac:dyDescent="0.3">
      <c r="F77570" s="193"/>
    </row>
    <row r="77571" spans="6:6" x14ac:dyDescent="0.3">
      <c r="F77571" s="193"/>
    </row>
    <row r="77572" spans="6:6" x14ac:dyDescent="0.3">
      <c r="F77572" s="193"/>
    </row>
    <row r="77573" spans="6:6" x14ac:dyDescent="0.3">
      <c r="F77573" s="193"/>
    </row>
    <row r="77574" spans="6:6" x14ac:dyDescent="0.3">
      <c r="F77574" s="193"/>
    </row>
    <row r="77575" spans="6:6" x14ac:dyDescent="0.3">
      <c r="F77575" s="193"/>
    </row>
    <row r="77576" spans="6:6" x14ac:dyDescent="0.3">
      <c r="F77576" s="193"/>
    </row>
    <row r="77577" spans="6:6" x14ac:dyDescent="0.3">
      <c r="F77577" s="193"/>
    </row>
    <row r="77578" spans="6:6" x14ac:dyDescent="0.3">
      <c r="F77578" s="193"/>
    </row>
    <row r="77579" spans="6:6" x14ac:dyDescent="0.3">
      <c r="F77579" s="193"/>
    </row>
    <row r="77580" spans="6:6" x14ac:dyDescent="0.3">
      <c r="F77580" s="193"/>
    </row>
    <row r="77581" spans="6:6" x14ac:dyDescent="0.3">
      <c r="F77581" s="193"/>
    </row>
    <row r="77582" spans="6:6" x14ac:dyDescent="0.3">
      <c r="F77582" s="193"/>
    </row>
    <row r="77583" spans="6:6" x14ac:dyDescent="0.3">
      <c r="F77583" s="193"/>
    </row>
    <row r="77584" spans="6:6" x14ac:dyDescent="0.3">
      <c r="F77584" s="193"/>
    </row>
    <row r="77585" spans="6:6" x14ac:dyDescent="0.3">
      <c r="F77585" s="193"/>
    </row>
    <row r="77586" spans="6:6" x14ac:dyDescent="0.3">
      <c r="F77586" s="193"/>
    </row>
    <row r="77587" spans="6:6" x14ac:dyDescent="0.3">
      <c r="F77587" s="193"/>
    </row>
    <row r="77588" spans="6:6" x14ac:dyDescent="0.3">
      <c r="F77588" s="193"/>
    </row>
    <row r="77589" spans="6:6" x14ac:dyDescent="0.3">
      <c r="F77589" s="193"/>
    </row>
    <row r="77590" spans="6:6" x14ac:dyDescent="0.3">
      <c r="F77590" s="193"/>
    </row>
    <row r="77591" spans="6:6" x14ac:dyDescent="0.3">
      <c r="F77591" s="193"/>
    </row>
    <row r="77592" spans="6:6" x14ac:dyDescent="0.3">
      <c r="F77592" s="193"/>
    </row>
    <row r="77593" spans="6:6" x14ac:dyDescent="0.3">
      <c r="F77593" s="193"/>
    </row>
    <row r="77594" spans="6:6" x14ac:dyDescent="0.3">
      <c r="F77594" s="193"/>
    </row>
    <row r="77595" spans="6:6" x14ac:dyDescent="0.3">
      <c r="F77595" s="193"/>
    </row>
    <row r="77596" spans="6:6" x14ac:dyDescent="0.3">
      <c r="F77596" s="193"/>
    </row>
    <row r="77597" spans="6:6" x14ac:dyDescent="0.3">
      <c r="F77597" s="193"/>
    </row>
    <row r="77598" spans="6:6" x14ac:dyDescent="0.3">
      <c r="F77598" s="193"/>
    </row>
    <row r="77599" spans="6:6" x14ac:dyDescent="0.3">
      <c r="F77599" s="193"/>
    </row>
    <row r="77600" spans="6:6" x14ac:dyDescent="0.3">
      <c r="F77600" s="193"/>
    </row>
    <row r="77601" spans="6:6" x14ac:dyDescent="0.3">
      <c r="F77601" s="193"/>
    </row>
    <row r="77602" spans="6:6" x14ac:dyDescent="0.3">
      <c r="F77602" s="193"/>
    </row>
    <row r="77603" spans="6:6" x14ac:dyDescent="0.3">
      <c r="F77603" s="193"/>
    </row>
    <row r="77604" spans="6:6" x14ac:dyDescent="0.3">
      <c r="F77604" s="193"/>
    </row>
    <row r="77605" spans="6:6" x14ac:dyDescent="0.3">
      <c r="F77605" s="193"/>
    </row>
    <row r="77606" spans="6:6" x14ac:dyDescent="0.3">
      <c r="F77606" s="193"/>
    </row>
    <row r="77607" spans="6:6" x14ac:dyDescent="0.3">
      <c r="F77607" s="193"/>
    </row>
    <row r="77608" spans="6:6" x14ac:dyDescent="0.3">
      <c r="F77608" s="193"/>
    </row>
    <row r="77609" spans="6:6" x14ac:dyDescent="0.3">
      <c r="F77609" s="193"/>
    </row>
    <row r="77610" spans="6:6" x14ac:dyDescent="0.3">
      <c r="F77610" s="193"/>
    </row>
    <row r="77611" spans="6:6" x14ac:dyDescent="0.3">
      <c r="F77611" s="193"/>
    </row>
    <row r="77612" spans="6:6" x14ac:dyDescent="0.3">
      <c r="F77612" s="193"/>
    </row>
    <row r="77613" spans="6:6" x14ac:dyDescent="0.3">
      <c r="F77613" s="193"/>
    </row>
    <row r="77614" spans="6:6" x14ac:dyDescent="0.3">
      <c r="F77614" s="193"/>
    </row>
    <row r="77615" spans="6:6" x14ac:dyDescent="0.3">
      <c r="F77615" s="193"/>
    </row>
    <row r="77616" spans="6:6" x14ac:dyDescent="0.3">
      <c r="F77616" s="193"/>
    </row>
    <row r="77617" spans="6:6" x14ac:dyDescent="0.3">
      <c r="F77617" s="193"/>
    </row>
    <row r="77618" spans="6:6" x14ac:dyDescent="0.3">
      <c r="F77618" s="193"/>
    </row>
    <row r="77619" spans="6:6" x14ac:dyDescent="0.3">
      <c r="F77619" s="193"/>
    </row>
    <row r="77620" spans="6:6" x14ac:dyDescent="0.3">
      <c r="F77620" s="193"/>
    </row>
    <row r="77621" spans="6:6" x14ac:dyDescent="0.3">
      <c r="F77621" s="193"/>
    </row>
    <row r="77622" spans="6:6" x14ac:dyDescent="0.3">
      <c r="F77622" s="193"/>
    </row>
    <row r="77623" spans="6:6" x14ac:dyDescent="0.3">
      <c r="F77623" s="193"/>
    </row>
    <row r="77624" spans="6:6" x14ac:dyDescent="0.3">
      <c r="F77624" s="193"/>
    </row>
    <row r="77625" spans="6:6" x14ac:dyDescent="0.3">
      <c r="F77625" s="193"/>
    </row>
    <row r="77626" spans="6:6" x14ac:dyDescent="0.3">
      <c r="F77626" s="193"/>
    </row>
    <row r="77627" spans="6:6" x14ac:dyDescent="0.3">
      <c r="F77627" s="193"/>
    </row>
    <row r="77628" spans="6:6" x14ac:dyDescent="0.3">
      <c r="F77628" s="193"/>
    </row>
    <row r="77629" spans="6:6" x14ac:dyDescent="0.3">
      <c r="F77629" s="193"/>
    </row>
    <row r="77630" spans="6:6" x14ac:dyDescent="0.3">
      <c r="F77630" s="193"/>
    </row>
    <row r="77631" spans="6:6" x14ac:dyDescent="0.3">
      <c r="F77631" s="193"/>
    </row>
    <row r="77632" spans="6:6" x14ac:dyDescent="0.3">
      <c r="F77632" s="193"/>
    </row>
    <row r="77633" spans="6:6" x14ac:dyDescent="0.3">
      <c r="F77633" s="193"/>
    </row>
    <row r="77634" spans="6:6" x14ac:dyDescent="0.3">
      <c r="F77634" s="193"/>
    </row>
    <row r="77635" spans="6:6" x14ac:dyDescent="0.3">
      <c r="F77635" s="193"/>
    </row>
    <row r="77636" spans="6:6" x14ac:dyDescent="0.3">
      <c r="F77636" s="193"/>
    </row>
    <row r="77637" spans="6:6" x14ac:dyDescent="0.3">
      <c r="F77637" s="193"/>
    </row>
    <row r="77638" spans="6:6" x14ac:dyDescent="0.3">
      <c r="F77638" s="193"/>
    </row>
    <row r="77639" spans="6:6" x14ac:dyDescent="0.3">
      <c r="F77639" s="193"/>
    </row>
    <row r="77640" spans="6:6" x14ac:dyDescent="0.3">
      <c r="F77640" s="193"/>
    </row>
    <row r="77641" spans="6:6" x14ac:dyDescent="0.3">
      <c r="F77641" s="193"/>
    </row>
    <row r="77642" spans="6:6" x14ac:dyDescent="0.3">
      <c r="F77642" s="193"/>
    </row>
    <row r="77643" spans="6:6" x14ac:dyDescent="0.3">
      <c r="F77643" s="193"/>
    </row>
    <row r="77644" spans="6:6" x14ac:dyDescent="0.3">
      <c r="F77644" s="193"/>
    </row>
    <row r="77645" spans="6:6" x14ac:dyDescent="0.3">
      <c r="F77645" s="193"/>
    </row>
    <row r="77646" spans="6:6" x14ac:dyDescent="0.3">
      <c r="F77646" s="193"/>
    </row>
    <row r="77647" spans="6:6" x14ac:dyDescent="0.3">
      <c r="F77647" s="193"/>
    </row>
    <row r="77648" spans="6:6" x14ac:dyDescent="0.3">
      <c r="F77648" s="193"/>
    </row>
    <row r="77649" spans="6:6" x14ac:dyDescent="0.3">
      <c r="F77649" s="193"/>
    </row>
    <row r="77650" spans="6:6" x14ac:dyDescent="0.3">
      <c r="F77650" s="193"/>
    </row>
    <row r="77651" spans="6:6" x14ac:dyDescent="0.3">
      <c r="F77651" s="193"/>
    </row>
    <row r="77652" spans="6:6" x14ac:dyDescent="0.3">
      <c r="F77652" s="193"/>
    </row>
    <row r="77653" spans="6:6" x14ac:dyDescent="0.3">
      <c r="F77653" s="193"/>
    </row>
    <row r="77654" spans="6:6" x14ac:dyDescent="0.3">
      <c r="F77654" s="193"/>
    </row>
    <row r="77655" spans="6:6" x14ac:dyDescent="0.3">
      <c r="F77655" s="193"/>
    </row>
    <row r="77656" spans="6:6" x14ac:dyDescent="0.3">
      <c r="F77656" s="193"/>
    </row>
    <row r="77657" spans="6:6" x14ac:dyDescent="0.3">
      <c r="F77657" s="193"/>
    </row>
    <row r="77658" spans="6:6" x14ac:dyDescent="0.3">
      <c r="F77658" s="193"/>
    </row>
    <row r="77659" spans="6:6" x14ac:dyDescent="0.3">
      <c r="F77659" s="193"/>
    </row>
    <row r="77660" spans="6:6" x14ac:dyDescent="0.3">
      <c r="F77660" s="193"/>
    </row>
    <row r="77661" spans="6:6" x14ac:dyDescent="0.3">
      <c r="F77661" s="193"/>
    </row>
    <row r="77662" spans="6:6" x14ac:dyDescent="0.3">
      <c r="F77662" s="193"/>
    </row>
    <row r="77663" spans="6:6" x14ac:dyDescent="0.3">
      <c r="F77663" s="193"/>
    </row>
    <row r="77664" spans="6:6" x14ac:dyDescent="0.3">
      <c r="F77664" s="193"/>
    </row>
    <row r="77665" spans="6:6" x14ac:dyDescent="0.3">
      <c r="F77665" s="193"/>
    </row>
    <row r="77666" spans="6:6" x14ac:dyDescent="0.3">
      <c r="F77666" s="193"/>
    </row>
    <row r="77667" spans="6:6" x14ac:dyDescent="0.3">
      <c r="F77667" s="193"/>
    </row>
    <row r="77668" spans="6:6" x14ac:dyDescent="0.3">
      <c r="F77668" s="193"/>
    </row>
    <row r="77669" spans="6:6" x14ac:dyDescent="0.3">
      <c r="F77669" s="193"/>
    </row>
    <row r="77670" spans="6:6" x14ac:dyDescent="0.3">
      <c r="F77670" s="193"/>
    </row>
    <row r="77671" spans="6:6" x14ac:dyDescent="0.3">
      <c r="F77671" s="193"/>
    </row>
    <row r="77672" spans="6:6" x14ac:dyDescent="0.3">
      <c r="F77672" s="193"/>
    </row>
    <row r="77673" spans="6:6" x14ac:dyDescent="0.3">
      <c r="F77673" s="193"/>
    </row>
    <row r="77674" spans="6:6" x14ac:dyDescent="0.3">
      <c r="F77674" s="193"/>
    </row>
    <row r="77675" spans="6:6" x14ac:dyDescent="0.3">
      <c r="F77675" s="193"/>
    </row>
    <row r="77676" spans="6:6" x14ac:dyDescent="0.3">
      <c r="F77676" s="193"/>
    </row>
    <row r="77677" spans="6:6" x14ac:dyDescent="0.3">
      <c r="F77677" s="193"/>
    </row>
    <row r="77678" spans="6:6" x14ac:dyDescent="0.3">
      <c r="F77678" s="193"/>
    </row>
    <row r="77679" spans="6:6" x14ac:dyDescent="0.3">
      <c r="F77679" s="193"/>
    </row>
    <row r="77680" spans="6:6" x14ac:dyDescent="0.3">
      <c r="F77680" s="193"/>
    </row>
    <row r="77681" spans="6:6" x14ac:dyDescent="0.3">
      <c r="F77681" s="193"/>
    </row>
    <row r="77682" spans="6:6" x14ac:dyDescent="0.3">
      <c r="F77682" s="193"/>
    </row>
    <row r="77683" spans="6:6" x14ac:dyDescent="0.3">
      <c r="F77683" s="193"/>
    </row>
    <row r="77684" spans="6:6" x14ac:dyDescent="0.3">
      <c r="F77684" s="193"/>
    </row>
    <row r="77685" spans="6:6" x14ac:dyDescent="0.3">
      <c r="F77685" s="193"/>
    </row>
    <row r="77686" spans="6:6" x14ac:dyDescent="0.3">
      <c r="F77686" s="193"/>
    </row>
    <row r="77687" spans="6:6" x14ac:dyDescent="0.3">
      <c r="F77687" s="193"/>
    </row>
    <row r="77688" spans="6:6" x14ac:dyDescent="0.3">
      <c r="F77688" s="193"/>
    </row>
    <row r="77689" spans="6:6" x14ac:dyDescent="0.3">
      <c r="F77689" s="193"/>
    </row>
    <row r="77690" spans="6:6" x14ac:dyDescent="0.3">
      <c r="F77690" s="193"/>
    </row>
    <row r="77691" spans="6:6" x14ac:dyDescent="0.3">
      <c r="F77691" s="193"/>
    </row>
    <row r="77692" spans="6:6" x14ac:dyDescent="0.3">
      <c r="F77692" s="193"/>
    </row>
    <row r="77693" spans="6:6" x14ac:dyDescent="0.3">
      <c r="F77693" s="193"/>
    </row>
    <row r="77694" spans="6:6" x14ac:dyDescent="0.3">
      <c r="F77694" s="193"/>
    </row>
    <row r="77695" spans="6:6" x14ac:dyDescent="0.3">
      <c r="F77695" s="193"/>
    </row>
    <row r="77696" spans="6:6" x14ac:dyDescent="0.3">
      <c r="F77696" s="193"/>
    </row>
    <row r="77697" spans="6:6" x14ac:dyDescent="0.3">
      <c r="F77697" s="193"/>
    </row>
    <row r="77698" spans="6:6" x14ac:dyDescent="0.3">
      <c r="F77698" s="193"/>
    </row>
    <row r="77699" spans="6:6" x14ac:dyDescent="0.3">
      <c r="F77699" s="193"/>
    </row>
    <row r="77700" spans="6:6" x14ac:dyDescent="0.3">
      <c r="F77700" s="193"/>
    </row>
    <row r="77701" spans="6:6" x14ac:dyDescent="0.3">
      <c r="F77701" s="193"/>
    </row>
    <row r="77702" spans="6:6" x14ac:dyDescent="0.3">
      <c r="F77702" s="193"/>
    </row>
    <row r="77703" spans="6:6" x14ac:dyDescent="0.3">
      <c r="F77703" s="193"/>
    </row>
    <row r="77704" spans="6:6" x14ac:dyDescent="0.3">
      <c r="F77704" s="193"/>
    </row>
    <row r="77705" spans="6:6" x14ac:dyDescent="0.3">
      <c r="F77705" s="193"/>
    </row>
    <row r="77706" spans="6:6" x14ac:dyDescent="0.3">
      <c r="F77706" s="193"/>
    </row>
    <row r="77707" spans="6:6" x14ac:dyDescent="0.3">
      <c r="F77707" s="193"/>
    </row>
    <row r="77708" spans="6:6" x14ac:dyDescent="0.3">
      <c r="F77708" s="193"/>
    </row>
    <row r="77709" spans="6:6" x14ac:dyDescent="0.3">
      <c r="F77709" s="193"/>
    </row>
    <row r="77710" spans="6:6" x14ac:dyDescent="0.3">
      <c r="F77710" s="193"/>
    </row>
    <row r="77711" spans="6:6" x14ac:dyDescent="0.3">
      <c r="F77711" s="193"/>
    </row>
    <row r="77712" spans="6:6" x14ac:dyDescent="0.3">
      <c r="F77712" s="193"/>
    </row>
    <row r="77713" spans="6:6" x14ac:dyDescent="0.3">
      <c r="F77713" s="193"/>
    </row>
    <row r="77714" spans="6:6" x14ac:dyDescent="0.3">
      <c r="F77714" s="193"/>
    </row>
    <row r="77715" spans="6:6" x14ac:dyDescent="0.3">
      <c r="F77715" s="193"/>
    </row>
    <row r="77716" spans="6:6" x14ac:dyDescent="0.3">
      <c r="F77716" s="193"/>
    </row>
    <row r="77717" spans="6:6" x14ac:dyDescent="0.3">
      <c r="F77717" s="193"/>
    </row>
    <row r="77718" spans="6:6" x14ac:dyDescent="0.3">
      <c r="F77718" s="193"/>
    </row>
    <row r="77719" spans="6:6" x14ac:dyDescent="0.3">
      <c r="F77719" s="193"/>
    </row>
    <row r="77720" spans="6:6" x14ac:dyDescent="0.3">
      <c r="F77720" s="193"/>
    </row>
    <row r="77721" spans="6:6" x14ac:dyDescent="0.3">
      <c r="F77721" s="193"/>
    </row>
    <row r="77722" spans="6:6" x14ac:dyDescent="0.3">
      <c r="F77722" s="193"/>
    </row>
    <row r="77723" spans="6:6" x14ac:dyDescent="0.3">
      <c r="F77723" s="193"/>
    </row>
    <row r="77724" spans="6:6" x14ac:dyDescent="0.3">
      <c r="F77724" s="193"/>
    </row>
    <row r="77725" spans="6:6" x14ac:dyDescent="0.3">
      <c r="F77725" s="193"/>
    </row>
    <row r="77726" spans="6:6" x14ac:dyDescent="0.3">
      <c r="F77726" s="193"/>
    </row>
    <row r="77727" spans="6:6" x14ac:dyDescent="0.3">
      <c r="F77727" s="193"/>
    </row>
    <row r="77728" spans="6:6" x14ac:dyDescent="0.3">
      <c r="F77728" s="193"/>
    </row>
    <row r="77729" spans="6:6" x14ac:dyDescent="0.3">
      <c r="F77729" s="193"/>
    </row>
    <row r="77730" spans="6:6" x14ac:dyDescent="0.3">
      <c r="F77730" s="193"/>
    </row>
    <row r="77731" spans="6:6" x14ac:dyDescent="0.3">
      <c r="F77731" s="193"/>
    </row>
    <row r="77732" spans="6:6" x14ac:dyDescent="0.3">
      <c r="F77732" s="193"/>
    </row>
    <row r="77733" spans="6:6" x14ac:dyDescent="0.3">
      <c r="F77733" s="193"/>
    </row>
    <row r="77734" spans="6:6" x14ac:dyDescent="0.3">
      <c r="F77734" s="193"/>
    </row>
    <row r="77735" spans="6:6" x14ac:dyDescent="0.3">
      <c r="F77735" s="193"/>
    </row>
    <row r="77736" spans="6:6" x14ac:dyDescent="0.3">
      <c r="F77736" s="193"/>
    </row>
    <row r="77737" spans="6:6" x14ac:dyDescent="0.3">
      <c r="F77737" s="193"/>
    </row>
    <row r="77738" spans="6:6" x14ac:dyDescent="0.3">
      <c r="F77738" s="193"/>
    </row>
    <row r="77739" spans="6:6" x14ac:dyDescent="0.3">
      <c r="F77739" s="193"/>
    </row>
    <row r="77740" spans="6:6" x14ac:dyDescent="0.3">
      <c r="F77740" s="193"/>
    </row>
    <row r="77741" spans="6:6" x14ac:dyDescent="0.3">
      <c r="F77741" s="193"/>
    </row>
    <row r="77742" spans="6:6" x14ac:dyDescent="0.3">
      <c r="F77742" s="193"/>
    </row>
    <row r="77743" spans="6:6" x14ac:dyDescent="0.3">
      <c r="F77743" s="193"/>
    </row>
    <row r="77744" spans="6:6" x14ac:dyDescent="0.3">
      <c r="F77744" s="193"/>
    </row>
    <row r="77745" spans="6:6" x14ac:dyDescent="0.3">
      <c r="F77745" s="193"/>
    </row>
    <row r="77746" spans="6:6" x14ac:dyDescent="0.3">
      <c r="F77746" s="193"/>
    </row>
    <row r="77747" spans="6:6" x14ac:dyDescent="0.3">
      <c r="F77747" s="193"/>
    </row>
    <row r="77748" spans="6:6" x14ac:dyDescent="0.3">
      <c r="F77748" s="193"/>
    </row>
    <row r="77749" spans="6:6" x14ac:dyDescent="0.3">
      <c r="F77749" s="193"/>
    </row>
    <row r="77750" spans="6:6" x14ac:dyDescent="0.3">
      <c r="F77750" s="193"/>
    </row>
    <row r="77751" spans="6:6" x14ac:dyDescent="0.3">
      <c r="F77751" s="193"/>
    </row>
    <row r="77752" spans="6:6" x14ac:dyDescent="0.3">
      <c r="F77752" s="193"/>
    </row>
    <row r="77753" spans="6:6" x14ac:dyDescent="0.3">
      <c r="F77753" s="193"/>
    </row>
    <row r="77754" spans="6:6" x14ac:dyDescent="0.3">
      <c r="F77754" s="193"/>
    </row>
    <row r="77755" spans="6:6" x14ac:dyDescent="0.3">
      <c r="F77755" s="193"/>
    </row>
    <row r="77756" spans="6:6" x14ac:dyDescent="0.3">
      <c r="F77756" s="193"/>
    </row>
    <row r="77757" spans="6:6" x14ac:dyDescent="0.3">
      <c r="F77757" s="193"/>
    </row>
    <row r="77758" spans="6:6" x14ac:dyDescent="0.3">
      <c r="F77758" s="193"/>
    </row>
    <row r="77759" spans="6:6" x14ac:dyDescent="0.3">
      <c r="F77759" s="193"/>
    </row>
    <row r="77760" spans="6:6" x14ac:dyDescent="0.3">
      <c r="F77760" s="193"/>
    </row>
    <row r="77761" spans="6:6" x14ac:dyDescent="0.3">
      <c r="F77761" s="193"/>
    </row>
    <row r="77762" spans="6:6" x14ac:dyDescent="0.3">
      <c r="F77762" s="193"/>
    </row>
    <row r="77763" spans="6:6" x14ac:dyDescent="0.3">
      <c r="F77763" s="193"/>
    </row>
    <row r="77764" spans="6:6" x14ac:dyDescent="0.3">
      <c r="F77764" s="193"/>
    </row>
    <row r="77765" spans="6:6" x14ac:dyDescent="0.3">
      <c r="F77765" s="193"/>
    </row>
    <row r="77766" spans="6:6" x14ac:dyDescent="0.3">
      <c r="F77766" s="193"/>
    </row>
    <row r="77767" spans="6:6" x14ac:dyDescent="0.3">
      <c r="F77767" s="193"/>
    </row>
    <row r="77768" spans="6:6" x14ac:dyDescent="0.3">
      <c r="F77768" s="193"/>
    </row>
    <row r="77769" spans="6:6" x14ac:dyDescent="0.3">
      <c r="F77769" s="193"/>
    </row>
    <row r="77770" spans="6:6" x14ac:dyDescent="0.3">
      <c r="F77770" s="193"/>
    </row>
    <row r="77771" spans="6:6" x14ac:dyDescent="0.3">
      <c r="F77771" s="193"/>
    </row>
    <row r="77772" spans="6:6" x14ac:dyDescent="0.3">
      <c r="F77772" s="193"/>
    </row>
    <row r="77773" spans="6:6" x14ac:dyDescent="0.3">
      <c r="F77773" s="193"/>
    </row>
    <row r="77774" spans="6:6" x14ac:dyDescent="0.3">
      <c r="F77774" s="193"/>
    </row>
    <row r="77775" spans="6:6" x14ac:dyDescent="0.3">
      <c r="F77775" s="193"/>
    </row>
    <row r="77776" spans="6:6" x14ac:dyDescent="0.3">
      <c r="F77776" s="193"/>
    </row>
    <row r="77777" spans="6:6" x14ac:dyDescent="0.3">
      <c r="F77777" s="193"/>
    </row>
    <row r="77778" spans="6:6" x14ac:dyDescent="0.3">
      <c r="F77778" s="193"/>
    </row>
    <row r="77779" spans="6:6" x14ac:dyDescent="0.3">
      <c r="F77779" s="193"/>
    </row>
    <row r="77780" spans="6:6" x14ac:dyDescent="0.3">
      <c r="F77780" s="193"/>
    </row>
    <row r="77781" spans="6:6" x14ac:dyDescent="0.3">
      <c r="F77781" s="193"/>
    </row>
    <row r="77782" spans="6:6" x14ac:dyDescent="0.3">
      <c r="F77782" s="193"/>
    </row>
    <row r="77783" spans="6:6" x14ac:dyDescent="0.3">
      <c r="F77783" s="193"/>
    </row>
    <row r="77784" spans="6:6" x14ac:dyDescent="0.3">
      <c r="F77784" s="193"/>
    </row>
    <row r="77785" spans="6:6" x14ac:dyDescent="0.3">
      <c r="F77785" s="193"/>
    </row>
    <row r="77786" spans="6:6" x14ac:dyDescent="0.3">
      <c r="F77786" s="193"/>
    </row>
    <row r="77787" spans="6:6" x14ac:dyDescent="0.3">
      <c r="F77787" s="193"/>
    </row>
    <row r="77788" spans="6:6" x14ac:dyDescent="0.3">
      <c r="F77788" s="193"/>
    </row>
    <row r="77789" spans="6:6" x14ac:dyDescent="0.3">
      <c r="F77789" s="193"/>
    </row>
    <row r="77790" spans="6:6" x14ac:dyDescent="0.3">
      <c r="F77790" s="193"/>
    </row>
    <row r="77791" spans="6:6" x14ac:dyDescent="0.3">
      <c r="F77791" s="193"/>
    </row>
    <row r="77792" spans="6:6" x14ac:dyDescent="0.3">
      <c r="F77792" s="193"/>
    </row>
    <row r="77793" spans="6:6" x14ac:dyDescent="0.3">
      <c r="F77793" s="193"/>
    </row>
    <row r="77794" spans="6:6" x14ac:dyDescent="0.3">
      <c r="F77794" s="193"/>
    </row>
    <row r="77795" spans="6:6" x14ac:dyDescent="0.3">
      <c r="F77795" s="193"/>
    </row>
    <row r="77796" spans="6:6" x14ac:dyDescent="0.3">
      <c r="F77796" s="193"/>
    </row>
    <row r="77797" spans="6:6" x14ac:dyDescent="0.3">
      <c r="F77797" s="193"/>
    </row>
    <row r="77798" spans="6:6" x14ac:dyDescent="0.3">
      <c r="F77798" s="193"/>
    </row>
    <row r="77799" spans="6:6" x14ac:dyDescent="0.3">
      <c r="F77799" s="193"/>
    </row>
    <row r="77800" spans="6:6" x14ac:dyDescent="0.3">
      <c r="F77800" s="193"/>
    </row>
    <row r="77801" spans="6:6" x14ac:dyDescent="0.3">
      <c r="F77801" s="193"/>
    </row>
    <row r="77802" spans="6:6" x14ac:dyDescent="0.3">
      <c r="F77802" s="193"/>
    </row>
    <row r="77803" spans="6:6" x14ac:dyDescent="0.3">
      <c r="F77803" s="193"/>
    </row>
    <row r="77804" spans="6:6" x14ac:dyDescent="0.3">
      <c r="F77804" s="193"/>
    </row>
    <row r="77805" spans="6:6" x14ac:dyDescent="0.3">
      <c r="F77805" s="193"/>
    </row>
    <row r="77806" spans="6:6" x14ac:dyDescent="0.3">
      <c r="F77806" s="193"/>
    </row>
    <row r="77807" spans="6:6" x14ac:dyDescent="0.3">
      <c r="F77807" s="193"/>
    </row>
    <row r="77808" spans="6:6" x14ac:dyDescent="0.3">
      <c r="F77808" s="193"/>
    </row>
    <row r="77809" spans="6:6" x14ac:dyDescent="0.3">
      <c r="F77809" s="193"/>
    </row>
    <row r="77810" spans="6:6" x14ac:dyDescent="0.3">
      <c r="F77810" s="193"/>
    </row>
    <row r="77811" spans="6:6" x14ac:dyDescent="0.3">
      <c r="F77811" s="193"/>
    </row>
    <row r="77812" spans="6:6" x14ac:dyDescent="0.3">
      <c r="F77812" s="193"/>
    </row>
    <row r="77813" spans="6:6" x14ac:dyDescent="0.3">
      <c r="F77813" s="193"/>
    </row>
    <row r="77814" spans="6:6" x14ac:dyDescent="0.3">
      <c r="F77814" s="193"/>
    </row>
    <row r="77815" spans="6:6" x14ac:dyDescent="0.3">
      <c r="F77815" s="193"/>
    </row>
    <row r="77816" spans="6:6" x14ac:dyDescent="0.3">
      <c r="F77816" s="193"/>
    </row>
    <row r="77817" spans="6:6" x14ac:dyDescent="0.3">
      <c r="F77817" s="193"/>
    </row>
    <row r="77818" spans="6:6" x14ac:dyDescent="0.3">
      <c r="F77818" s="193"/>
    </row>
    <row r="77819" spans="6:6" x14ac:dyDescent="0.3">
      <c r="F77819" s="193"/>
    </row>
    <row r="77820" spans="6:6" x14ac:dyDescent="0.3">
      <c r="F77820" s="193"/>
    </row>
    <row r="77821" spans="6:6" x14ac:dyDescent="0.3">
      <c r="F77821" s="193"/>
    </row>
    <row r="77822" spans="6:6" x14ac:dyDescent="0.3">
      <c r="F77822" s="193"/>
    </row>
    <row r="77823" spans="6:6" x14ac:dyDescent="0.3">
      <c r="F77823" s="193"/>
    </row>
    <row r="77824" spans="6:6" x14ac:dyDescent="0.3">
      <c r="F77824" s="193"/>
    </row>
    <row r="77825" spans="6:6" x14ac:dyDescent="0.3">
      <c r="F77825" s="193"/>
    </row>
    <row r="77826" spans="6:6" x14ac:dyDescent="0.3">
      <c r="F77826" s="193"/>
    </row>
    <row r="77827" spans="6:6" x14ac:dyDescent="0.3">
      <c r="F77827" s="193"/>
    </row>
    <row r="77828" spans="6:6" x14ac:dyDescent="0.3">
      <c r="F77828" s="193"/>
    </row>
    <row r="77829" spans="6:6" x14ac:dyDescent="0.3">
      <c r="F77829" s="193"/>
    </row>
    <row r="77830" spans="6:6" x14ac:dyDescent="0.3">
      <c r="F77830" s="193"/>
    </row>
    <row r="77831" spans="6:6" x14ac:dyDescent="0.3">
      <c r="F77831" s="193"/>
    </row>
    <row r="77832" spans="6:6" x14ac:dyDescent="0.3">
      <c r="F77832" s="193"/>
    </row>
    <row r="77833" spans="6:6" x14ac:dyDescent="0.3">
      <c r="F77833" s="193"/>
    </row>
    <row r="77834" spans="6:6" x14ac:dyDescent="0.3">
      <c r="F77834" s="193"/>
    </row>
    <row r="77835" spans="6:6" x14ac:dyDescent="0.3">
      <c r="F77835" s="193"/>
    </row>
    <row r="77836" spans="6:6" x14ac:dyDescent="0.3">
      <c r="F77836" s="193"/>
    </row>
    <row r="77837" spans="6:6" x14ac:dyDescent="0.3">
      <c r="F77837" s="193"/>
    </row>
    <row r="77838" spans="6:6" x14ac:dyDescent="0.3">
      <c r="F77838" s="193"/>
    </row>
    <row r="77839" spans="6:6" x14ac:dyDescent="0.3">
      <c r="F77839" s="193"/>
    </row>
    <row r="77840" spans="6:6" x14ac:dyDescent="0.3">
      <c r="F77840" s="193"/>
    </row>
    <row r="77841" spans="6:6" x14ac:dyDescent="0.3">
      <c r="F77841" s="193"/>
    </row>
    <row r="77842" spans="6:6" x14ac:dyDescent="0.3">
      <c r="F77842" s="193"/>
    </row>
    <row r="77843" spans="6:6" x14ac:dyDescent="0.3">
      <c r="F77843" s="193"/>
    </row>
    <row r="77844" spans="6:6" x14ac:dyDescent="0.3">
      <c r="F77844" s="193"/>
    </row>
    <row r="77845" spans="6:6" x14ac:dyDescent="0.3">
      <c r="F77845" s="193"/>
    </row>
    <row r="77846" spans="6:6" x14ac:dyDescent="0.3">
      <c r="F77846" s="193"/>
    </row>
    <row r="77847" spans="6:6" x14ac:dyDescent="0.3">
      <c r="F77847" s="193"/>
    </row>
    <row r="77848" spans="6:6" x14ac:dyDescent="0.3">
      <c r="F77848" s="193"/>
    </row>
    <row r="77849" spans="6:6" x14ac:dyDescent="0.3">
      <c r="F77849" s="193"/>
    </row>
    <row r="77850" spans="6:6" x14ac:dyDescent="0.3">
      <c r="F77850" s="193"/>
    </row>
    <row r="77851" spans="6:6" x14ac:dyDescent="0.3">
      <c r="F77851" s="193"/>
    </row>
    <row r="77852" spans="6:6" x14ac:dyDescent="0.3">
      <c r="F77852" s="193"/>
    </row>
    <row r="77853" spans="6:6" x14ac:dyDescent="0.3">
      <c r="F77853" s="193"/>
    </row>
    <row r="77854" spans="6:6" x14ac:dyDescent="0.3">
      <c r="F77854" s="193"/>
    </row>
    <row r="77855" spans="6:6" x14ac:dyDescent="0.3">
      <c r="F77855" s="193"/>
    </row>
    <row r="77856" spans="6:6" x14ac:dyDescent="0.3">
      <c r="F77856" s="193"/>
    </row>
    <row r="77857" spans="6:6" x14ac:dyDescent="0.3">
      <c r="F77857" s="193"/>
    </row>
    <row r="77858" spans="6:6" x14ac:dyDescent="0.3">
      <c r="F77858" s="193"/>
    </row>
    <row r="77859" spans="6:6" x14ac:dyDescent="0.3">
      <c r="F77859" s="193"/>
    </row>
    <row r="77860" spans="6:6" x14ac:dyDescent="0.3">
      <c r="F77860" s="193"/>
    </row>
    <row r="77861" spans="6:6" x14ac:dyDescent="0.3">
      <c r="F77861" s="193"/>
    </row>
    <row r="77862" spans="6:6" x14ac:dyDescent="0.3">
      <c r="F77862" s="193"/>
    </row>
    <row r="77863" spans="6:6" x14ac:dyDescent="0.3">
      <c r="F77863" s="193"/>
    </row>
    <row r="77864" spans="6:6" x14ac:dyDescent="0.3">
      <c r="F77864" s="193"/>
    </row>
    <row r="77865" spans="6:6" x14ac:dyDescent="0.3">
      <c r="F77865" s="193"/>
    </row>
    <row r="77866" spans="6:6" x14ac:dyDescent="0.3">
      <c r="F77866" s="193"/>
    </row>
    <row r="77867" spans="6:6" x14ac:dyDescent="0.3">
      <c r="F77867" s="193"/>
    </row>
    <row r="77868" spans="6:6" x14ac:dyDescent="0.3">
      <c r="F77868" s="193"/>
    </row>
    <row r="77869" spans="6:6" x14ac:dyDescent="0.3">
      <c r="F77869" s="193"/>
    </row>
    <row r="77870" spans="6:6" x14ac:dyDescent="0.3">
      <c r="F77870" s="193"/>
    </row>
    <row r="77871" spans="6:6" x14ac:dyDescent="0.3">
      <c r="F77871" s="193"/>
    </row>
    <row r="77872" spans="6:6" x14ac:dyDescent="0.3">
      <c r="F77872" s="193"/>
    </row>
    <row r="77873" spans="6:6" x14ac:dyDescent="0.3">
      <c r="F77873" s="193"/>
    </row>
    <row r="77874" spans="6:6" x14ac:dyDescent="0.3">
      <c r="F77874" s="193"/>
    </row>
    <row r="77875" spans="6:6" x14ac:dyDescent="0.3">
      <c r="F77875" s="193"/>
    </row>
    <row r="77876" spans="6:6" x14ac:dyDescent="0.3">
      <c r="F77876" s="193"/>
    </row>
    <row r="77877" spans="6:6" x14ac:dyDescent="0.3">
      <c r="F77877" s="193"/>
    </row>
    <row r="77878" spans="6:6" x14ac:dyDescent="0.3">
      <c r="F77878" s="193"/>
    </row>
    <row r="77879" spans="6:6" x14ac:dyDescent="0.3">
      <c r="F77879" s="193"/>
    </row>
    <row r="77880" spans="6:6" x14ac:dyDescent="0.3">
      <c r="F77880" s="193"/>
    </row>
    <row r="77881" spans="6:6" x14ac:dyDescent="0.3">
      <c r="F77881" s="193"/>
    </row>
    <row r="77882" spans="6:6" x14ac:dyDescent="0.3">
      <c r="F77882" s="193"/>
    </row>
    <row r="77883" spans="6:6" x14ac:dyDescent="0.3">
      <c r="F77883" s="193"/>
    </row>
    <row r="77884" spans="6:6" x14ac:dyDescent="0.3">
      <c r="F77884" s="193"/>
    </row>
    <row r="77885" spans="6:6" x14ac:dyDescent="0.3">
      <c r="F77885" s="193"/>
    </row>
    <row r="77886" spans="6:6" x14ac:dyDescent="0.3">
      <c r="F77886" s="193"/>
    </row>
    <row r="77887" spans="6:6" x14ac:dyDescent="0.3">
      <c r="F77887" s="193"/>
    </row>
    <row r="77888" spans="6:6" x14ac:dyDescent="0.3">
      <c r="F77888" s="193"/>
    </row>
    <row r="77889" spans="6:6" x14ac:dyDescent="0.3">
      <c r="F77889" s="193"/>
    </row>
    <row r="77890" spans="6:6" x14ac:dyDescent="0.3">
      <c r="F77890" s="193"/>
    </row>
    <row r="77891" spans="6:6" x14ac:dyDescent="0.3">
      <c r="F77891" s="193"/>
    </row>
    <row r="77892" spans="6:6" x14ac:dyDescent="0.3">
      <c r="F77892" s="193"/>
    </row>
    <row r="77893" spans="6:6" x14ac:dyDescent="0.3">
      <c r="F77893" s="193"/>
    </row>
    <row r="77894" spans="6:6" x14ac:dyDescent="0.3">
      <c r="F77894" s="193"/>
    </row>
    <row r="77895" spans="6:6" x14ac:dyDescent="0.3">
      <c r="F77895" s="193"/>
    </row>
    <row r="77896" spans="6:6" x14ac:dyDescent="0.3">
      <c r="F77896" s="193"/>
    </row>
    <row r="77897" spans="6:6" x14ac:dyDescent="0.3">
      <c r="F77897" s="193"/>
    </row>
    <row r="77898" spans="6:6" x14ac:dyDescent="0.3">
      <c r="F77898" s="193"/>
    </row>
    <row r="77899" spans="6:6" x14ac:dyDescent="0.3">
      <c r="F77899" s="193"/>
    </row>
    <row r="77900" spans="6:6" x14ac:dyDescent="0.3">
      <c r="F77900" s="193"/>
    </row>
    <row r="77901" spans="6:6" x14ac:dyDescent="0.3">
      <c r="F77901" s="193"/>
    </row>
    <row r="77902" spans="6:6" x14ac:dyDescent="0.3">
      <c r="F77902" s="193"/>
    </row>
    <row r="77903" spans="6:6" x14ac:dyDescent="0.3">
      <c r="F77903" s="193"/>
    </row>
    <row r="77904" spans="6:6" x14ac:dyDescent="0.3">
      <c r="F77904" s="193"/>
    </row>
    <row r="77905" spans="6:6" x14ac:dyDescent="0.3">
      <c r="F77905" s="193"/>
    </row>
    <row r="77906" spans="6:6" x14ac:dyDescent="0.3">
      <c r="F77906" s="193"/>
    </row>
    <row r="77907" spans="6:6" x14ac:dyDescent="0.3">
      <c r="F77907" s="193"/>
    </row>
    <row r="77908" spans="6:6" x14ac:dyDescent="0.3">
      <c r="F77908" s="193"/>
    </row>
    <row r="77909" spans="6:6" x14ac:dyDescent="0.3">
      <c r="F77909" s="193"/>
    </row>
    <row r="77910" spans="6:6" x14ac:dyDescent="0.3">
      <c r="F77910" s="193"/>
    </row>
    <row r="77911" spans="6:6" x14ac:dyDescent="0.3">
      <c r="F77911" s="193"/>
    </row>
    <row r="77912" spans="6:6" x14ac:dyDescent="0.3">
      <c r="F77912" s="193"/>
    </row>
    <row r="77913" spans="6:6" x14ac:dyDescent="0.3">
      <c r="F77913" s="193"/>
    </row>
    <row r="77914" spans="6:6" x14ac:dyDescent="0.3">
      <c r="F77914" s="193"/>
    </row>
    <row r="77915" spans="6:6" x14ac:dyDescent="0.3">
      <c r="F77915" s="193"/>
    </row>
    <row r="77916" spans="6:6" x14ac:dyDescent="0.3">
      <c r="F77916" s="193"/>
    </row>
    <row r="77917" spans="6:6" x14ac:dyDescent="0.3">
      <c r="F77917" s="193"/>
    </row>
    <row r="77918" spans="6:6" x14ac:dyDescent="0.3">
      <c r="F77918" s="193"/>
    </row>
    <row r="77919" spans="6:6" x14ac:dyDescent="0.3">
      <c r="F77919" s="193"/>
    </row>
    <row r="77920" spans="6:6" x14ac:dyDescent="0.3">
      <c r="F77920" s="193"/>
    </row>
    <row r="77921" spans="6:6" x14ac:dyDescent="0.3">
      <c r="F77921" s="193"/>
    </row>
    <row r="77922" spans="6:6" x14ac:dyDescent="0.3">
      <c r="F77922" s="193"/>
    </row>
    <row r="77923" spans="6:6" x14ac:dyDescent="0.3">
      <c r="F77923" s="193"/>
    </row>
    <row r="77924" spans="6:6" x14ac:dyDescent="0.3">
      <c r="F77924" s="193"/>
    </row>
    <row r="77925" spans="6:6" x14ac:dyDescent="0.3">
      <c r="F77925" s="193"/>
    </row>
    <row r="77926" spans="6:6" x14ac:dyDescent="0.3">
      <c r="F77926" s="193"/>
    </row>
    <row r="77927" spans="6:6" x14ac:dyDescent="0.3">
      <c r="F77927" s="193"/>
    </row>
    <row r="77928" spans="6:6" x14ac:dyDescent="0.3">
      <c r="F77928" s="193"/>
    </row>
    <row r="77929" spans="6:6" x14ac:dyDescent="0.3">
      <c r="F77929" s="193"/>
    </row>
    <row r="77930" spans="6:6" x14ac:dyDescent="0.3">
      <c r="F77930" s="193"/>
    </row>
    <row r="77931" spans="6:6" x14ac:dyDescent="0.3">
      <c r="F77931" s="193"/>
    </row>
    <row r="77932" spans="6:6" x14ac:dyDescent="0.3">
      <c r="F77932" s="193"/>
    </row>
    <row r="77933" spans="6:6" x14ac:dyDescent="0.3">
      <c r="F77933" s="193"/>
    </row>
    <row r="77934" spans="6:6" x14ac:dyDescent="0.3">
      <c r="F77934" s="193"/>
    </row>
    <row r="77935" spans="6:6" x14ac:dyDescent="0.3">
      <c r="F77935" s="193"/>
    </row>
    <row r="77936" spans="6:6" x14ac:dyDescent="0.3">
      <c r="F77936" s="193"/>
    </row>
    <row r="77937" spans="6:6" x14ac:dyDescent="0.3">
      <c r="F77937" s="193"/>
    </row>
    <row r="77938" spans="6:6" x14ac:dyDescent="0.3">
      <c r="F77938" s="193"/>
    </row>
    <row r="77939" spans="6:6" x14ac:dyDescent="0.3">
      <c r="F77939" s="193"/>
    </row>
    <row r="77940" spans="6:6" x14ac:dyDescent="0.3">
      <c r="F77940" s="193"/>
    </row>
    <row r="77941" spans="6:6" x14ac:dyDescent="0.3">
      <c r="F77941" s="193"/>
    </row>
    <row r="77942" spans="6:6" x14ac:dyDescent="0.3">
      <c r="F77942" s="193"/>
    </row>
    <row r="77943" spans="6:6" x14ac:dyDescent="0.3">
      <c r="F77943" s="193"/>
    </row>
    <row r="77944" spans="6:6" x14ac:dyDescent="0.3">
      <c r="F77944" s="193"/>
    </row>
    <row r="77945" spans="6:6" x14ac:dyDescent="0.3">
      <c r="F77945" s="193"/>
    </row>
    <row r="77946" spans="6:6" x14ac:dyDescent="0.3">
      <c r="F77946" s="193"/>
    </row>
    <row r="77947" spans="6:6" x14ac:dyDescent="0.3">
      <c r="F77947" s="193"/>
    </row>
    <row r="77948" spans="6:6" x14ac:dyDescent="0.3">
      <c r="F77948" s="193"/>
    </row>
    <row r="77949" spans="6:6" x14ac:dyDescent="0.3">
      <c r="F77949" s="193"/>
    </row>
    <row r="77950" spans="6:6" x14ac:dyDescent="0.3">
      <c r="F77950" s="193"/>
    </row>
    <row r="77951" spans="6:6" x14ac:dyDescent="0.3">
      <c r="F77951" s="193"/>
    </row>
    <row r="77952" spans="6:6" x14ac:dyDescent="0.3">
      <c r="F77952" s="193"/>
    </row>
    <row r="77953" spans="6:6" x14ac:dyDescent="0.3">
      <c r="F77953" s="193"/>
    </row>
    <row r="77954" spans="6:6" x14ac:dyDescent="0.3">
      <c r="F77954" s="193"/>
    </row>
    <row r="77955" spans="6:6" x14ac:dyDescent="0.3">
      <c r="F77955" s="193"/>
    </row>
    <row r="77956" spans="6:6" x14ac:dyDescent="0.3">
      <c r="F77956" s="193"/>
    </row>
    <row r="77957" spans="6:6" x14ac:dyDescent="0.3">
      <c r="F77957" s="193"/>
    </row>
    <row r="77958" spans="6:6" x14ac:dyDescent="0.3">
      <c r="F77958" s="193"/>
    </row>
    <row r="77959" spans="6:6" x14ac:dyDescent="0.3">
      <c r="F77959" s="193"/>
    </row>
    <row r="77960" spans="6:6" x14ac:dyDescent="0.3">
      <c r="F77960" s="193"/>
    </row>
    <row r="77961" spans="6:6" x14ac:dyDescent="0.3">
      <c r="F77961" s="193"/>
    </row>
    <row r="77962" spans="6:6" x14ac:dyDescent="0.3">
      <c r="F77962" s="193"/>
    </row>
    <row r="77963" spans="6:6" x14ac:dyDescent="0.3">
      <c r="F77963" s="193"/>
    </row>
    <row r="77964" spans="6:6" x14ac:dyDescent="0.3">
      <c r="F77964" s="193"/>
    </row>
    <row r="77965" spans="6:6" x14ac:dyDescent="0.3">
      <c r="F77965" s="193"/>
    </row>
    <row r="77966" spans="6:6" x14ac:dyDescent="0.3">
      <c r="F77966" s="193"/>
    </row>
    <row r="77967" spans="6:6" x14ac:dyDescent="0.3">
      <c r="F77967" s="193"/>
    </row>
    <row r="77968" spans="6:6" x14ac:dyDescent="0.3">
      <c r="F77968" s="193"/>
    </row>
    <row r="77969" spans="6:6" x14ac:dyDescent="0.3">
      <c r="F77969" s="193"/>
    </row>
    <row r="77970" spans="6:6" x14ac:dyDescent="0.3">
      <c r="F77970" s="193"/>
    </row>
    <row r="77971" spans="6:6" x14ac:dyDescent="0.3">
      <c r="F77971" s="193"/>
    </row>
    <row r="77972" spans="6:6" x14ac:dyDescent="0.3">
      <c r="F77972" s="193"/>
    </row>
    <row r="77973" spans="6:6" x14ac:dyDescent="0.3">
      <c r="F77973" s="193"/>
    </row>
    <row r="77974" spans="6:6" x14ac:dyDescent="0.3">
      <c r="F77974" s="193"/>
    </row>
    <row r="77975" spans="6:6" x14ac:dyDescent="0.3">
      <c r="F77975" s="193"/>
    </row>
    <row r="77976" spans="6:6" x14ac:dyDescent="0.3">
      <c r="F77976" s="193"/>
    </row>
    <row r="77977" spans="6:6" x14ac:dyDescent="0.3">
      <c r="F77977" s="193"/>
    </row>
    <row r="77978" spans="6:6" x14ac:dyDescent="0.3">
      <c r="F77978" s="193"/>
    </row>
    <row r="77979" spans="6:6" x14ac:dyDescent="0.3">
      <c r="F77979" s="193"/>
    </row>
    <row r="77980" spans="6:6" x14ac:dyDescent="0.3">
      <c r="F77980" s="193"/>
    </row>
    <row r="77981" spans="6:6" x14ac:dyDescent="0.3">
      <c r="F77981" s="193"/>
    </row>
    <row r="77982" spans="6:6" x14ac:dyDescent="0.3">
      <c r="F77982" s="193"/>
    </row>
    <row r="77983" spans="6:6" x14ac:dyDescent="0.3">
      <c r="F77983" s="193"/>
    </row>
    <row r="77984" spans="6:6" x14ac:dyDescent="0.3">
      <c r="F77984" s="193"/>
    </row>
    <row r="77985" spans="6:6" x14ac:dyDescent="0.3">
      <c r="F77985" s="193"/>
    </row>
    <row r="77986" spans="6:6" x14ac:dyDescent="0.3">
      <c r="F77986" s="193"/>
    </row>
    <row r="77987" spans="6:6" x14ac:dyDescent="0.3">
      <c r="F77987" s="193"/>
    </row>
    <row r="77988" spans="6:6" x14ac:dyDescent="0.3">
      <c r="F77988" s="193"/>
    </row>
    <row r="77989" spans="6:6" x14ac:dyDescent="0.3">
      <c r="F77989" s="193"/>
    </row>
    <row r="77990" spans="6:6" x14ac:dyDescent="0.3">
      <c r="F77990" s="193"/>
    </row>
    <row r="77991" spans="6:6" x14ac:dyDescent="0.3">
      <c r="F77991" s="193"/>
    </row>
    <row r="77992" spans="6:6" x14ac:dyDescent="0.3">
      <c r="F77992" s="193"/>
    </row>
    <row r="77993" spans="6:6" x14ac:dyDescent="0.3">
      <c r="F77993" s="193"/>
    </row>
    <row r="77994" spans="6:6" x14ac:dyDescent="0.3">
      <c r="F77994" s="193"/>
    </row>
    <row r="77995" spans="6:6" x14ac:dyDescent="0.3">
      <c r="F77995" s="193"/>
    </row>
    <row r="77996" spans="6:6" x14ac:dyDescent="0.3">
      <c r="F77996" s="193"/>
    </row>
    <row r="77997" spans="6:6" x14ac:dyDescent="0.3">
      <c r="F77997" s="193"/>
    </row>
    <row r="77998" spans="6:6" x14ac:dyDescent="0.3">
      <c r="F77998" s="193"/>
    </row>
    <row r="77999" spans="6:6" x14ac:dyDescent="0.3">
      <c r="F77999" s="193"/>
    </row>
    <row r="78000" spans="6:6" x14ac:dyDescent="0.3">
      <c r="F78000" s="193"/>
    </row>
    <row r="78001" spans="6:6" x14ac:dyDescent="0.3">
      <c r="F78001" s="193"/>
    </row>
    <row r="78002" spans="6:6" x14ac:dyDescent="0.3">
      <c r="F78002" s="193"/>
    </row>
    <row r="78003" spans="6:6" x14ac:dyDescent="0.3">
      <c r="F78003" s="193"/>
    </row>
    <row r="78004" spans="6:6" x14ac:dyDescent="0.3">
      <c r="F78004" s="193"/>
    </row>
    <row r="78005" spans="6:6" x14ac:dyDescent="0.3">
      <c r="F78005" s="193"/>
    </row>
    <row r="78006" spans="6:6" x14ac:dyDescent="0.3">
      <c r="F78006" s="193"/>
    </row>
    <row r="78007" spans="6:6" x14ac:dyDescent="0.3">
      <c r="F78007" s="193"/>
    </row>
    <row r="78008" spans="6:6" x14ac:dyDescent="0.3">
      <c r="F78008" s="193"/>
    </row>
    <row r="78009" spans="6:6" x14ac:dyDescent="0.3">
      <c r="F78009" s="193"/>
    </row>
    <row r="78010" spans="6:6" x14ac:dyDescent="0.3">
      <c r="F78010" s="193"/>
    </row>
    <row r="78011" spans="6:6" x14ac:dyDescent="0.3">
      <c r="F78011" s="193"/>
    </row>
    <row r="78012" spans="6:6" x14ac:dyDescent="0.3">
      <c r="F78012" s="193"/>
    </row>
    <row r="78013" spans="6:6" x14ac:dyDescent="0.3">
      <c r="F78013" s="193"/>
    </row>
    <row r="78014" spans="6:6" x14ac:dyDescent="0.3">
      <c r="F78014" s="193"/>
    </row>
    <row r="78015" spans="6:6" x14ac:dyDescent="0.3">
      <c r="F78015" s="193"/>
    </row>
    <row r="78016" spans="6:6" x14ac:dyDescent="0.3">
      <c r="F78016" s="193"/>
    </row>
    <row r="78017" spans="6:6" x14ac:dyDescent="0.3">
      <c r="F78017" s="193"/>
    </row>
    <row r="78018" spans="6:6" x14ac:dyDescent="0.3">
      <c r="F78018" s="193"/>
    </row>
    <row r="78019" spans="6:6" x14ac:dyDescent="0.3">
      <c r="F78019" s="193"/>
    </row>
    <row r="78020" spans="6:6" x14ac:dyDescent="0.3">
      <c r="F78020" s="193"/>
    </row>
    <row r="78021" spans="6:6" x14ac:dyDescent="0.3">
      <c r="F78021" s="193"/>
    </row>
    <row r="78022" spans="6:6" x14ac:dyDescent="0.3">
      <c r="F78022" s="193"/>
    </row>
    <row r="78023" spans="6:6" x14ac:dyDescent="0.3">
      <c r="F78023" s="193"/>
    </row>
    <row r="78024" spans="6:6" x14ac:dyDescent="0.3">
      <c r="F78024" s="193"/>
    </row>
    <row r="78025" spans="6:6" x14ac:dyDescent="0.3">
      <c r="F78025" s="193"/>
    </row>
    <row r="78026" spans="6:6" x14ac:dyDescent="0.3">
      <c r="F78026" s="193"/>
    </row>
    <row r="78027" spans="6:6" x14ac:dyDescent="0.3">
      <c r="F78027" s="193"/>
    </row>
    <row r="78028" spans="6:6" x14ac:dyDescent="0.3">
      <c r="F78028" s="193"/>
    </row>
    <row r="78029" spans="6:6" x14ac:dyDescent="0.3">
      <c r="F78029" s="193"/>
    </row>
    <row r="78030" spans="6:6" x14ac:dyDescent="0.3">
      <c r="F78030" s="193"/>
    </row>
    <row r="78031" spans="6:6" x14ac:dyDescent="0.3">
      <c r="F78031" s="193"/>
    </row>
    <row r="78032" spans="6:6" x14ac:dyDescent="0.3">
      <c r="F78032" s="193"/>
    </row>
    <row r="78033" spans="6:6" x14ac:dyDescent="0.3">
      <c r="F78033" s="193"/>
    </row>
    <row r="78034" spans="6:6" x14ac:dyDescent="0.3">
      <c r="F78034" s="193"/>
    </row>
    <row r="78035" spans="6:6" x14ac:dyDescent="0.3">
      <c r="F78035" s="193"/>
    </row>
    <row r="78036" spans="6:6" x14ac:dyDescent="0.3">
      <c r="F78036" s="193"/>
    </row>
    <row r="78037" spans="6:6" x14ac:dyDescent="0.3">
      <c r="F78037" s="193"/>
    </row>
    <row r="78038" spans="6:6" x14ac:dyDescent="0.3">
      <c r="F78038" s="193"/>
    </row>
    <row r="78039" spans="6:6" x14ac:dyDescent="0.3">
      <c r="F78039" s="193"/>
    </row>
    <row r="78040" spans="6:6" x14ac:dyDescent="0.3">
      <c r="F78040" s="193"/>
    </row>
    <row r="78041" spans="6:6" x14ac:dyDescent="0.3">
      <c r="F78041" s="193"/>
    </row>
    <row r="78042" spans="6:6" x14ac:dyDescent="0.3">
      <c r="F78042" s="193"/>
    </row>
    <row r="78043" spans="6:6" x14ac:dyDescent="0.3">
      <c r="F78043" s="193"/>
    </row>
    <row r="78044" spans="6:6" x14ac:dyDescent="0.3">
      <c r="F78044" s="193"/>
    </row>
    <row r="78045" spans="6:6" x14ac:dyDescent="0.3">
      <c r="F78045" s="193"/>
    </row>
    <row r="78046" spans="6:6" x14ac:dyDescent="0.3">
      <c r="F78046" s="193"/>
    </row>
    <row r="78047" spans="6:6" x14ac:dyDescent="0.3">
      <c r="F78047" s="193"/>
    </row>
    <row r="78048" spans="6:6" x14ac:dyDescent="0.3">
      <c r="F78048" s="193"/>
    </row>
    <row r="78049" spans="6:6" x14ac:dyDescent="0.3">
      <c r="F78049" s="193"/>
    </row>
    <row r="78050" spans="6:6" x14ac:dyDescent="0.3">
      <c r="F78050" s="193"/>
    </row>
    <row r="78051" spans="6:6" x14ac:dyDescent="0.3">
      <c r="F78051" s="193"/>
    </row>
    <row r="78052" spans="6:6" x14ac:dyDescent="0.3">
      <c r="F78052" s="193"/>
    </row>
    <row r="78053" spans="6:6" x14ac:dyDescent="0.3">
      <c r="F78053" s="193"/>
    </row>
    <row r="78054" spans="6:6" x14ac:dyDescent="0.3">
      <c r="F78054" s="193"/>
    </row>
    <row r="78055" spans="6:6" x14ac:dyDescent="0.3">
      <c r="F78055" s="193"/>
    </row>
    <row r="78056" spans="6:6" x14ac:dyDescent="0.3">
      <c r="F78056" s="193"/>
    </row>
    <row r="78057" spans="6:6" x14ac:dyDescent="0.3">
      <c r="F78057" s="193"/>
    </row>
    <row r="78058" spans="6:6" x14ac:dyDescent="0.3">
      <c r="F78058" s="193"/>
    </row>
    <row r="78059" spans="6:6" x14ac:dyDescent="0.3">
      <c r="F78059" s="193"/>
    </row>
    <row r="78060" spans="6:6" x14ac:dyDescent="0.3">
      <c r="F78060" s="193"/>
    </row>
    <row r="78061" spans="6:6" x14ac:dyDescent="0.3">
      <c r="F78061" s="193"/>
    </row>
    <row r="78062" spans="6:6" x14ac:dyDescent="0.3">
      <c r="F78062" s="193"/>
    </row>
    <row r="78063" spans="6:6" x14ac:dyDescent="0.3">
      <c r="F78063" s="193"/>
    </row>
    <row r="78064" spans="6:6" x14ac:dyDescent="0.3">
      <c r="F78064" s="193"/>
    </row>
    <row r="78065" spans="6:6" x14ac:dyDescent="0.3">
      <c r="F78065" s="193"/>
    </row>
    <row r="78066" spans="6:6" x14ac:dyDescent="0.3">
      <c r="F78066" s="193"/>
    </row>
    <row r="78067" spans="6:6" x14ac:dyDescent="0.3">
      <c r="F78067" s="193"/>
    </row>
    <row r="78068" spans="6:6" x14ac:dyDescent="0.3">
      <c r="F78068" s="193"/>
    </row>
    <row r="78069" spans="6:6" x14ac:dyDescent="0.3">
      <c r="F78069" s="193"/>
    </row>
    <row r="78070" spans="6:6" x14ac:dyDescent="0.3">
      <c r="F78070" s="193"/>
    </row>
    <row r="78071" spans="6:6" x14ac:dyDescent="0.3">
      <c r="F78071" s="193"/>
    </row>
    <row r="78072" spans="6:6" x14ac:dyDescent="0.3">
      <c r="F78072" s="193"/>
    </row>
    <row r="78073" spans="6:6" x14ac:dyDescent="0.3">
      <c r="F78073" s="193"/>
    </row>
    <row r="78074" spans="6:6" x14ac:dyDescent="0.3">
      <c r="F78074" s="193"/>
    </row>
    <row r="78075" spans="6:6" x14ac:dyDescent="0.3">
      <c r="F78075" s="193"/>
    </row>
    <row r="78076" spans="6:6" x14ac:dyDescent="0.3">
      <c r="F78076" s="193"/>
    </row>
    <row r="78077" spans="6:6" x14ac:dyDescent="0.3">
      <c r="F78077" s="193"/>
    </row>
    <row r="78078" spans="6:6" x14ac:dyDescent="0.3">
      <c r="F78078" s="193"/>
    </row>
    <row r="78079" spans="6:6" x14ac:dyDescent="0.3">
      <c r="F78079" s="193"/>
    </row>
    <row r="78080" spans="6:6" x14ac:dyDescent="0.3">
      <c r="F78080" s="193"/>
    </row>
    <row r="78081" spans="6:6" x14ac:dyDescent="0.3">
      <c r="F78081" s="193"/>
    </row>
    <row r="78082" spans="6:6" x14ac:dyDescent="0.3">
      <c r="F78082" s="193"/>
    </row>
    <row r="78083" spans="6:6" x14ac:dyDescent="0.3">
      <c r="F78083" s="193"/>
    </row>
    <row r="78084" spans="6:6" x14ac:dyDescent="0.3">
      <c r="F78084" s="193"/>
    </row>
    <row r="78085" spans="6:6" x14ac:dyDescent="0.3">
      <c r="F78085" s="193"/>
    </row>
    <row r="78086" spans="6:6" x14ac:dyDescent="0.3">
      <c r="F78086" s="193"/>
    </row>
    <row r="78087" spans="6:6" x14ac:dyDescent="0.3">
      <c r="F78087" s="193"/>
    </row>
    <row r="78088" spans="6:6" x14ac:dyDescent="0.3">
      <c r="F78088" s="193"/>
    </row>
    <row r="78089" spans="6:6" x14ac:dyDescent="0.3">
      <c r="F78089" s="193"/>
    </row>
    <row r="78090" spans="6:6" x14ac:dyDescent="0.3">
      <c r="F78090" s="193"/>
    </row>
    <row r="78091" spans="6:6" x14ac:dyDescent="0.3">
      <c r="F78091" s="193"/>
    </row>
    <row r="78092" spans="6:6" x14ac:dyDescent="0.3">
      <c r="F78092" s="193"/>
    </row>
    <row r="78093" spans="6:6" x14ac:dyDescent="0.3">
      <c r="F78093" s="193"/>
    </row>
    <row r="78094" spans="6:6" x14ac:dyDescent="0.3">
      <c r="F78094" s="193"/>
    </row>
    <row r="78095" spans="6:6" x14ac:dyDescent="0.3">
      <c r="F78095" s="193"/>
    </row>
    <row r="78096" spans="6:6" x14ac:dyDescent="0.3">
      <c r="F78096" s="193"/>
    </row>
    <row r="78097" spans="6:6" x14ac:dyDescent="0.3">
      <c r="F78097" s="193"/>
    </row>
    <row r="78098" spans="6:6" x14ac:dyDescent="0.3">
      <c r="F78098" s="193"/>
    </row>
    <row r="78099" spans="6:6" x14ac:dyDescent="0.3">
      <c r="F78099" s="193"/>
    </row>
    <row r="78100" spans="6:6" x14ac:dyDescent="0.3">
      <c r="F78100" s="193"/>
    </row>
    <row r="78101" spans="6:6" x14ac:dyDescent="0.3">
      <c r="F78101" s="193"/>
    </row>
    <row r="78102" spans="6:6" x14ac:dyDescent="0.3">
      <c r="F78102" s="193"/>
    </row>
    <row r="78103" spans="6:6" x14ac:dyDescent="0.3">
      <c r="F78103" s="193"/>
    </row>
    <row r="78104" spans="6:6" x14ac:dyDescent="0.3">
      <c r="F78104" s="193"/>
    </row>
    <row r="78105" spans="6:6" x14ac:dyDescent="0.3">
      <c r="F78105" s="193"/>
    </row>
    <row r="78106" spans="6:6" x14ac:dyDescent="0.3">
      <c r="F78106" s="193"/>
    </row>
    <row r="78107" spans="6:6" x14ac:dyDescent="0.3">
      <c r="F78107" s="193"/>
    </row>
    <row r="78108" spans="6:6" x14ac:dyDescent="0.3">
      <c r="F78108" s="193"/>
    </row>
    <row r="78109" spans="6:6" x14ac:dyDescent="0.3">
      <c r="F78109" s="193"/>
    </row>
    <row r="78110" spans="6:6" x14ac:dyDescent="0.3">
      <c r="F78110" s="193"/>
    </row>
    <row r="78111" spans="6:6" x14ac:dyDescent="0.3">
      <c r="F78111" s="193"/>
    </row>
    <row r="78112" spans="6:6" x14ac:dyDescent="0.3">
      <c r="F78112" s="193"/>
    </row>
    <row r="78113" spans="6:6" x14ac:dyDescent="0.3">
      <c r="F78113" s="193"/>
    </row>
    <row r="78114" spans="6:6" x14ac:dyDescent="0.3">
      <c r="F78114" s="193"/>
    </row>
    <row r="78115" spans="6:6" x14ac:dyDescent="0.3">
      <c r="F78115" s="193"/>
    </row>
    <row r="78116" spans="6:6" x14ac:dyDescent="0.3">
      <c r="F78116" s="193"/>
    </row>
    <row r="78117" spans="6:6" x14ac:dyDescent="0.3">
      <c r="F78117" s="193"/>
    </row>
    <row r="78118" spans="6:6" x14ac:dyDescent="0.3">
      <c r="F78118" s="193"/>
    </row>
    <row r="78119" spans="6:6" x14ac:dyDescent="0.3">
      <c r="F78119" s="193"/>
    </row>
    <row r="78120" spans="6:6" x14ac:dyDescent="0.3">
      <c r="F78120" s="193"/>
    </row>
    <row r="78121" spans="6:6" x14ac:dyDescent="0.3">
      <c r="F78121" s="193"/>
    </row>
    <row r="78122" spans="6:6" x14ac:dyDescent="0.3">
      <c r="F78122" s="193"/>
    </row>
    <row r="78123" spans="6:6" x14ac:dyDescent="0.3">
      <c r="F78123" s="193"/>
    </row>
    <row r="78124" spans="6:6" x14ac:dyDescent="0.3">
      <c r="F78124" s="193"/>
    </row>
    <row r="78125" spans="6:6" x14ac:dyDescent="0.3">
      <c r="F78125" s="193"/>
    </row>
    <row r="78126" spans="6:6" x14ac:dyDescent="0.3">
      <c r="F78126" s="193"/>
    </row>
    <row r="78127" spans="6:6" x14ac:dyDescent="0.3">
      <c r="F78127" s="193"/>
    </row>
    <row r="78128" spans="6:6" x14ac:dyDescent="0.3">
      <c r="F78128" s="193"/>
    </row>
    <row r="78129" spans="6:6" x14ac:dyDescent="0.3">
      <c r="F78129" s="193"/>
    </row>
    <row r="78130" spans="6:6" x14ac:dyDescent="0.3">
      <c r="F78130" s="193"/>
    </row>
    <row r="78131" spans="6:6" x14ac:dyDescent="0.3">
      <c r="F78131" s="193"/>
    </row>
    <row r="78132" spans="6:6" x14ac:dyDescent="0.3">
      <c r="F78132" s="193"/>
    </row>
    <row r="78133" spans="6:6" x14ac:dyDescent="0.3">
      <c r="F78133" s="193"/>
    </row>
    <row r="78134" spans="6:6" x14ac:dyDescent="0.3">
      <c r="F78134" s="193"/>
    </row>
    <row r="78135" spans="6:6" x14ac:dyDescent="0.3">
      <c r="F78135" s="193"/>
    </row>
    <row r="78136" spans="6:6" x14ac:dyDescent="0.3">
      <c r="F78136" s="193"/>
    </row>
    <row r="78137" spans="6:6" x14ac:dyDescent="0.3">
      <c r="F78137" s="193"/>
    </row>
    <row r="78138" spans="6:6" x14ac:dyDescent="0.3">
      <c r="F78138" s="193"/>
    </row>
    <row r="78139" spans="6:6" x14ac:dyDescent="0.3">
      <c r="F78139" s="193"/>
    </row>
    <row r="78140" spans="6:6" x14ac:dyDescent="0.3">
      <c r="F78140" s="193"/>
    </row>
    <row r="78141" spans="6:6" x14ac:dyDescent="0.3">
      <c r="F78141" s="193"/>
    </row>
    <row r="78142" spans="6:6" x14ac:dyDescent="0.3">
      <c r="F78142" s="193"/>
    </row>
    <row r="78143" spans="6:6" x14ac:dyDescent="0.3">
      <c r="F78143" s="193"/>
    </row>
    <row r="78144" spans="6:6" x14ac:dyDescent="0.3">
      <c r="F78144" s="193"/>
    </row>
    <row r="78145" spans="6:6" x14ac:dyDescent="0.3">
      <c r="F78145" s="193"/>
    </row>
    <row r="78146" spans="6:6" x14ac:dyDescent="0.3">
      <c r="F78146" s="193"/>
    </row>
    <row r="78147" spans="6:6" x14ac:dyDescent="0.3">
      <c r="F78147" s="193"/>
    </row>
    <row r="78148" spans="6:6" x14ac:dyDescent="0.3">
      <c r="F78148" s="193"/>
    </row>
    <row r="78149" spans="6:6" x14ac:dyDescent="0.3">
      <c r="F78149" s="193"/>
    </row>
    <row r="78150" spans="6:6" x14ac:dyDescent="0.3">
      <c r="F78150" s="193"/>
    </row>
    <row r="78151" spans="6:6" x14ac:dyDescent="0.3">
      <c r="F78151" s="193"/>
    </row>
    <row r="78152" spans="6:6" x14ac:dyDescent="0.3">
      <c r="F78152" s="193"/>
    </row>
    <row r="78153" spans="6:6" x14ac:dyDescent="0.3">
      <c r="F78153" s="193"/>
    </row>
    <row r="78154" spans="6:6" x14ac:dyDescent="0.3">
      <c r="F78154" s="193"/>
    </row>
    <row r="78155" spans="6:6" x14ac:dyDescent="0.3">
      <c r="F78155" s="193"/>
    </row>
    <row r="78156" spans="6:6" x14ac:dyDescent="0.3">
      <c r="F78156" s="193"/>
    </row>
    <row r="78157" spans="6:6" x14ac:dyDescent="0.3">
      <c r="F78157" s="193"/>
    </row>
    <row r="78158" spans="6:6" x14ac:dyDescent="0.3">
      <c r="F78158" s="193"/>
    </row>
    <row r="78159" spans="6:6" x14ac:dyDescent="0.3">
      <c r="F78159" s="193"/>
    </row>
    <row r="78160" spans="6:6" x14ac:dyDescent="0.3">
      <c r="F78160" s="193"/>
    </row>
    <row r="78161" spans="6:6" x14ac:dyDescent="0.3">
      <c r="F78161" s="193"/>
    </row>
    <row r="78162" spans="6:6" x14ac:dyDescent="0.3">
      <c r="F78162" s="193"/>
    </row>
    <row r="78163" spans="6:6" x14ac:dyDescent="0.3">
      <c r="F78163" s="193"/>
    </row>
    <row r="78164" spans="6:6" x14ac:dyDescent="0.3">
      <c r="F78164" s="193"/>
    </row>
    <row r="78165" spans="6:6" x14ac:dyDescent="0.3">
      <c r="F78165" s="193"/>
    </row>
    <row r="78166" spans="6:6" x14ac:dyDescent="0.3">
      <c r="F78166" s="193"/>
    </row>
    <row r="78167" spans="6:6" x14ac:dyDescent="0.3">
      <c r="F78167" s="193"/>
    </row>
    <row r="78168" spans="6:6" x14ac:dyDescent="0.3">
      <c r="F78168" s="193"/>
    </row>
    <row r="78169" spans="6:6" x14ac:dyDescent="0.3">
      <c r="F78169" s="193"/>
    </row>
    <row r="78170" spans="6:6" x14ac:dyDescent="0.3">
      <c r="F78170" s="193"/>
    </row>
    <row r="78171" spans="6:6" x14ac:dyDescent="0.3">
      <c r="F78171" s="193"/>
    </row>
    <row r="78172" spans="6:6" x14ac:dyDescent="0.3">
      <c r="F78172" s="193"/>
    </row>
    <row r="78173" spans="6:6" x14ac:dyDescent="0.3">
      <c r="F78173" s="193"/>
    </row>
    <row r="78174" spans="6:6" x14ac:dyDescent="0.3">
      <c r="F78174" s="193"/>
    </row>
    <row r="78175" spans="6:6" x14ac:dyDescent="0.3">
      <c r="F78175" s="193"/>
    </row>
    <row r="78176" spans="6:6" x14ac:dyDescent="0.3">
      <c r="F78176" s="193"/>
    </row>
    <row r="78177" spans="6:6" x14ac:dyDescent="0.3">
      <c r="F78177" s="193"/>
    </row>
    <row r="78178" spans="6:6" x14ac:dyDescent="0.3">
      <c r="F78178" s="193"/>
    </row>
    <row r="78179" spans="6:6" x14ac:dyDescent="0.3">
      <c r="F78179" s="193"/>
    </row>
    <row r="78180" spans="6:6" x14ac:dyDescent="0.3">
      <c r="F78180" s="193"/>
    </row>
    <row r="78181" spans="6:6" x14ac:dyDescent="0.3">
      <c r="F78181" s="193"/>
    </row>
    <row r="78182" spans="6:6" x14ac:dyDescent="0.3">
      <c r="F78182" s="193"/>
    </row>
    <row r="78183" spans="6:6" x14ac:dyDescent="0.3">
      <c r="F78183" s="193"/>
    </row>
    <row r="78184" spans="6:6" x14ac:dyDescent="0.3">
      <c r="F78184" s="193"/>
    </row>
    <row r="78185" spans="6:6" x14ac:dyDescent="0.3">
      <c r="F78185" s="193"/>
    </row>
    <row r="78186" spans="6:6" x14ac:dyDescent="0.3">
      <c r="F78186" s="193"/>
    </row>
    <row r="78187" spans="6:6" x14ac:dyDescent="0.3">
      <c r="F78187" s="193"/>
    </row>
    <row r="78188" spans="6:6" x14ac:dyDescent="0.3">
      <c r="F78188" s="193"/>
    </row>
    <row r="78189" spans="6:6" x14ac:dyDescent="0.3">
      <c r="F78189" s="193"/>
    </row>
    <row r="78190" spans="6:6" x14ac:dyDescent="0.3">
      <c r="F78190" s="193"/>
    </row>
    <row r="78191" spans="6:6" x14ac:dyDescent="0.3">
      <c r="F78191" s="193"/>
    </row>
    <row r="78192" spans="6:6" x14ac:dyDescent="0.3">
      <c r="F78192" s="193"/>
    </row>
    <row r="78193" spans="6:6" x14ac:dyDescent="0.3">
      <c r="F78193" s="193"/>
    </row>
    <row r="78194" spans="6:6" x14ac:dyDescent="0.3">
      <c r="F78194" s="193"/>
    </row>
    <row r="78195" spans="6:6" x14ac:dyDescent="0.3">
      <c r="F78195" s="193"/>
    </row>
    <row r="78196" spans="6:6" x14ac:dyDescent="0.3">
      <c r="F78196" s="193"/>
    </row>
    <row r="78197" spans="6:6" x14ac:dyDescent="0.3">
      <c r="F78197" s="193"/>
    </row>
    <row r="78198" spans="6:6" x14ac:dyDescent="0.3">
      <c r="F78198" s="193"/>
    </row>
    <row r="78199" spans="6:6" x14ac:dyDescent="0.3">
      <c r="F78199" s="193"/>
    </row>
    <row r="78200" spans="6:6" x14ac:dyDescent="0.3">
      <c r="F78200" s="193"/>
    </row>
    <row r="78201" spans="6:6" x14ac:dyDescent="0.3">
      <c r="F78201" s="193"/>
    </row>
    <row r="78202" spans="6:6" x14ac:dyDescent="0.3">
      <c r="F78202" s="193"/>
    </row>
    <row r="78203" spans="6:6" x14ac:dyDescent="0.3">
      <c r="F78203" s="193"/>
    </row>
    <row r="78204" spans="6:6" x14ac:dyDescent="0.3">
      <c r="F78204" s="193"/>
    </row>
    <row r="78205" spans="6:6" x14ac:dyDescent="0.3">
      <c r="F78205" s="193"/>
    </row>
    <row r="78206" spans="6:6" x14ac:dyDescent="0.3">
      <c r="F78206" s="193"/>
    </row>
    <row r="78207" spans="6:6" x14ac:dyDescent="0.3">
      <c r="F78207" s="193"/>
    </row>
    <row r="78208" spans="6:6" x14ac:dyDescent="0.3">
      <c r="F78208" s="193"/>
    </row>
    <row r="78209" spans="6:6" x14ac:dyDescent="0.3">
      <c r="F78209" s="193"/>
    </row>
    <row r="78210" spans="6:6" x14ac:dyDescent="0.3">
      <c r="F78210" s="193"/>
    </row>
    <row r="78211" spans="6:6" x14ac:dyDescent="0.3">
      <c r="F78211" s="193"/>
    </row>
    <row r="78212" spans="6:6" x14ac:dyDescent="0.3">
      <c r="F78212" s="193"/>
    </row>
    <row r="78213" spans="6:6" x14ac:dyDescent="0.3">
      <c r="F78213" s="193"/>
    </row>
    <row r="78214" spans="6:6" x14ac:dyDescent="0.3">
      <c r="F78214" s="193"/>
    </row>
    <row r="78215" spans="6:6" x14ac:dyDescent="0.3">
      <c r="F78215" s="193"/>
    </row>
    <row r="78216" spans="6:6" x14ac:dyDescent="0.3">
      <c r="F78216" s="193"/>
    </row>
    <row r="78217" spans="6:6" x14ac:dyDescent="0.3">
      <c r="F78217" s="193"/>
    </row>
    <row r="78218" spans="6:6" x14ac:dyDescent="0.3">
      <c r="F78218" s="193"/>
    </row>
    <row r="78219" spans="6:6" x14ac:dyDescent="0.3">
      <c r="F78219" s="193"/>
    </row>
    <row r="78220" spans="6:6" x14ac:dyDescent="0.3">
      <c r="F78220" s="193"/>
    </row>
    <row r="78221" spans="6:6" x14ac:dyDescent="0.3">
      <c r="F78221" s="193"/>
    </row>
    <row r="78222" spans="6:6" x14ac:dyDescent="0.3">
      <c r="F78222" s="193"/>
    </row>
    <row r="78223" spans="6:6" x14ac:dyDescent="0.3">
      <c r="F78223" s="193"/>
    </row>
    <row r="78224" spans="6:6" x14ac:dyDescent="0.3">
      <c r="F78224" s="193"/>
    </row>
    <row r="78225" spans="6:6" x14ac:dyDescent="0.3">
      <c r="F78225" s="193"/>
    </row>
    <row r="78226" spans="6:6" x14ac:dyDescent="0.3">
      <c r="F78226" s="193"/>
    </row>
    <row r="78227" spans="6:6" x14ac:dyDescent="0.3">
      <c r="F78227" s="193"/>
    </row>
    <row r="78228" spans="6:6" x14ac:dyDescent="0.3">
      <c r="F78228" s="193"/>
    </row>
    <row r="78229" spans="6:6" x14ac:dyDescent="0.3">
      <c r="F78229" s="193"/>
    </row>
    <row r="78230" spans="6:6" x14ac:dyDescent="0.3">
      <c r="F78230" s="193"/>
    </row>
    <row r="78231" spans="6:6" x14ac:dyDescent="0.3">
      <c r="F78231" s="193"/>
    </row>
    <row r="78232" spans="6:6" x14ac:dyDescent="0.3">
      <c r="F78232" s="193"/>
    </row>
    <row r="78233" spans="6:6" x14ac:dyDescent="0.3">
      <c r="F78233" s="193"/>
    </row>
    <row r="78234" spans="6:6" x14ac:dyDescent="0.3">
      <c r="F78234" s="193"/>
    </row>
    <row r="78235" spans="6:6" x14ac:dyDescent="0.3">
      <c r="F78235" s="193"/>
    </row>
    <row r="78236" spans="6:6" x14ac:dyDescent="0.3">
      <c r="F78236" s="193"/>
    </row>
    <row r="78237" spans="6:6" x14ac:dyDescent="0.3">
      <c r="F78237" s="193"/>
    </row>
    <row r="78238" spans="6:6" x14ac:dyDescent="0.3">
      <c r="F78238" s="193"/>
    </row>
    <row r="78239" spans="6:6" x14ac:dyDescent="0.3">
      <c r="F78239" s="193"/>
    </row>
    <row r="78240" spans="6:6" x14ac:dyDescent="0.3">
      <c r="F78240" s="193"/>
    </row>
    <row r="78241" spans="6:6" x14ac:dyDescent="0.3">
      <c r="F78241" s="193"/>
    </row>
    <row r="78242" spans="6:6" x14ac:dyDescent="0.3">
      <c r="F78242" s="193"/>
    </row>
    <row r="78243" spans="6:6" x14ac:dyDescent="0.3">
      <c r="F78243" s="193"/>
    </row>
    <row r="78244" spans="6:6" x14ac:dyDescent="0.3">
      <c r="F78244" s="193"/>
    </row>
    <row r="78245" spans="6:6" x14ac:dyDescent="0.3">
      <c r="F78245" s="193"/>
    </row>
    <row r="78246" spans="6:6" x14ac:dyDescent="0.3">
      <c r="F78246" s="193"/>
    </row>
    <row r="78247" spans="6:6" x14ac:dyDescent="0.3">
      <c r="F78247" s="193"/>
    </row>
    <row r="78248" spans="6:6" x14ac:dyDescent="0.3">
      <c r="F78248" s="193"/>
    </row>
    <row r="78249" spans="6:6" x14ac:dyDescent="0.3">
      <c r="F78249" s="193"/>
    </row>
    <row r="78250" spans="6:6" x14ac:dyDescent="0.3">
      <c r="F78250" s="193"/>
    </row>
    <row r="78251" spans="6:6" x14ac:dyDescent="0.3">
      <c r="F78251" s="193"/>
    </row>
    <row r="78252" spans="6:6" x14ac:dyDescent="0.3">
      <c r="F78252" s="193"/>
    </row>
    <row r="78253" spans="6:6" x14ac:dyDescent="0.3">
      <c r="F78253" s="193"/>
    </row>
    <row r="78254" spans="6:6" x14ac:dyDescent="0.3">
      <c r="F78254" s="193"/>
    </row>
    <row r="78255" spans="6:6" x14ac:dyDescent="0.3">
      <c r="F78255" s="193"/>
    </row>
    <row r="78256" spans="6:6" x14ac:dyDescent="0.3">
      <c r="F78256" s="193"/>
    </row>
    <row r="78257" spans="6:6" x14ac:dyDescent="0.3">
      <c r="F78257" s="193"/>
    </row>
    <row r="78258" spans="6:6" x14ac:dyDescent="0.3">
      <c r="F78258" s="193"/>
    </row>
    <row r="78259" spans="6:6" x14ac:dyDescent="0.3">
      <c r="F78259" s="193"/>
    </row>
    <row r="78260" spans="6:6" x14ac:dyDescent="0.3">
      <c r="F78260" s="193"/>
    </row>
    <row r="78261" spans="6:6" x14ac:dyDescent="0.3">
      <c r="F78261" s="193"/>
    </row>
    <row r="78262" spans="6:6" x14ac:dyDescent="0.3">
      <c r="F78262" s="193"/>
    </row>
    <row r="78263" spans="6:6" x14ac:dyDescent="0.3">
      <c r="F78263" s="193"/>
    </row>
    <row r="78264" spans="6:6" x14ac:dyDescent="0.3">
      <c r="F78264" s="193"/>
    </row>
    <row r="78265" spans="6:6" x14ac:dyDescent="0.3">
      <c r="F78265" s="193"/>
    </row>
    <row r="78266" spans="6:6" x14ac:dyDescent="0.3">
      <c r="F78266" s="193"/>
    </row>
    <row r="78267" spans="6:6" x14ac:dyDescent="0.3">
      <c r="F78267" s="193"/>
    </row>
    <row r="78268" spans="6:6" x14ac:dyDescent="0.3">
      <c r="F78268" s="193"/>
    </row>
    <row r="78269" spans="6:6" x14ac:dyDescent="0.3">
      <c r="F78269" s="193"/>
    </row>
    <row r="78270" spans="6:6" x14ac:dyDescent="0.3">
      <c r="F78270" s="193"/>
    </row>
    <row r="78271" spans="6:6" x14ac:dyDescent="0.3">
      <c r="F78271" s="193"/>
    </row>
    <row r="78272" spans="6:6" x14ac:dyDescent="0.3">
      <c r="F78272" s="193"/>
    </row>
    <row r="78273" spans="6:6" x14ac:dyDescent="0.3">
      <c r="F78273" s="193"/>
    </row>
    <row r="78274" spans="6:6" x14ac:dyDescent="0.3">
      <c r="F78274" s="193"/>
    </row>
    <row r="78275" spans="6:6" x14ac:dyDescent="0.3">
      <c r="F78275" s="193"/>
    </row>
    <row r="78276" spans="6:6" x14ac:dyDescent="0.3">
      <c r="F78276" s="193"/>
    </row>
    <row r="78277" spans="6:6" x14ac:dyDescent="0.3">
      <c r="F78277" s="193"/>
    </row>
    <row r="78278" spans="6:6" x14ac:dyDescent="0.3">
      <c r="F78278" s="193"/>
    </row>
    <row r="78279" spans="6:6" x14ac:dyDescent="0.3">
      <c r="F78279" s="193"/>
    </row>
    <row r="78280" spans="6:6" x14ac:dyDescent="0.3">
      <c r="F78280" s="193"/>
    </row>
    <row r="78281" spans="6:6" x14ac:dyDescent="0.3">
      <c r="F78281" s="193"/>
    </row>
    <row r="78282" spans="6:6" x14ac:dyDescent="0.3">
      <c r="F78282" s="193"/>
    </row>
    <row r="78283" spans="6:6" x14ac:dyDescent="0.3">
      <c r="F78283" s="193"/>
    </row>
    <row r="78284" spans="6:6" x14ac:dyDescent="0.3">
      <c r="F78284" s="193"/>
    </row>
    <row r="78285" spans="6:6" x14ac:dyDescent="0.3">
      <c r="F78285" s="193"/>
    </row>
    <row r="78286" spans="6:6" x14ac:dyDescent="0.3">
      <c r="F78286" s="193"/>
    </row>
    <row r="78287" spans="6:6" x14ac:dyDescent="0.3">
      <c r="F78287" s="193"/>
    </row>
    <row r="78288" spans="6:6" x14ac:dyDescent="0.3">
      <c r="F78288" s="193"/>
    </row>
    <row r="78289" spans="6:6" x14ac:dyDescent="0.3">
      <c r="F78289" s="193"/>
    </row>
    <row r="78290" spans="6:6" x14ac:dyDescent="0.3">
      <c r="F78290" s="193"/>
    </row>
    <row r="78291" spans="6:6" x14ac:dyDescent="0.3">
      <c r="F78291" s="193"/>
    </row>
    <row r="78292" spans="6:6" x14ac:dyDescent="0.3">
      <c r="F78292" s="193"/>
    </row>
    <row r="78293" spans="6:6" x14ac:dyDescent="0.3">
      <c r="F78293" s="193"/>
    </row>
    <row r="78294" spans="6:6" x14ac:dyDescent="0.3">
      <c r="F78294" s="193"/>
    </row>
    <row r="78295" spans="6:6" x14ac:dyDescent="0.3">
      <c r="F78295" s="193"/>
    </row>
    <row r="78296" spans="6:6" x14ac:dyDescent="0.3">
      <c r="F78296" s="193"/>
    </row>
    <row r="78297" spans="6:6" x14ac:dyDescent="0.3">
      <c r="F78297" s="193"/>
    </row>
    <row r="78298" spans="6:6" x14ac:dyDescent="0.3">
      <c r="F78298" s="193"/>
    </row>
    <row r="78299" spans="6:6" x14ac:dyDescent="0.3">
      <c r="F78299" s="193"/>
    </row>
    <row r="78300" spans="6:6" x14ac:dyDescent="0.3">
      <c r="F78300" s="193"/>
    </row>
    <row r="78301" spans="6:6" x14ac:dyDescent="0.3">
      <c r="F78301" s="193"/>
    </row>
    <row r="78302" spans="6:6" x14ac:dyDescent="0.3">
      <c r="F78302" s="193"/>
    </row>
    <row r="78303" spans="6:6" x14ac:dyDescent="0.3">
      <c r="F78303" s="193"/>
    </row>
    <row r="78304" spans="6:6" x14ac:dyDescent="0.3">
      <c r="F78304" s="193"/>
    </row>
    <row r="78305" spans="6:6" x14ac:dyDescent="0.3">
      <c r="F78305" s="193"/>
    </row>
    <row r="78306" spans="6:6" x14ac:dyDescent="0.3">
      <c r="F78306" s="193"/>
    </row>
    <row r="78307" spans="6:6" x14ac:dyDescent="0.3">
      <c r="F78307" s="193"/>
    </row>
    <row r="78308" spans="6:6" x14ac:dyDescent="0.3">
      <c r="F78308" s="193"/>
    </row>
    <row r="78309" spans="6:6" x14ac:dyDescent="0.3">
      <c r="F78309" s="193"/>
    </row>
    <row r="78310" spans="6:6" x14ac:dyDescent="0.3">
      <c r="F78310" s="193"/>
    </row>
    <row r="78311" spans="6:6" x14ac:dyDescent="0.3">
      <c r="F78311" s="193"/>
    </row>
    <row r="78312" spans="6:6" x14ac:dyDescent="0.3">
      <c r="F78312" s="193"/>
    </row>
    <row r="78313" spans="6:6" x14ac:dyDescent="0.3">
      <c r="F78313" s="193"/>
    </row>
    <row r="78314" spans="6:6" x14ac:dyDescent="0.3">
      <c r="F78314" s="193"/>
    </row>
    <row r="78315" spans="6:6" x14ac:dyDescent="0.3">
      <c r="F78315" s="193"/>
    </row>
    <row r="78316" spans="6:6" x14ac:dyDescent="0.3">
      <c r="F78316" s="193"/>
    </row>
    <row r="78317" spans="6:6" x14ac:dyDescent="0.3">
      <c r="F78317" s="193"/>
    </row>
    <row r="78318" spans="6:6" x14ac:dyDescent="0.3">
      <c r="F78318" s="193"/>
    </row>
    <row r="78319" spans="6:6" x14ac:dyDescent="0.3">
      <c r="F78319" s="193"/>
    </row>
    <row r="78320" spans="6:6" x14ac:dyDescent="0.3">
      <c r="F78320" s="193"/>
    </row>
    <row r="78321" spans="6:6" x14ac:dyDescent="0.3">
      <c r="F78321" s="193"/>
    </row>
    <row r="78322" spans="6:6" x14ac:dyDescent="0.3">
      <c r="F78322" s="193"/>
    </row>
    <row r="78323" spans="6:6" x14ac:dyDescent="0.3">
      <c r="F78323" s="193"/>
    </row>
    <row r="78324" spans="6:6" x14ac:dyDescent="0.3">
      <c r="F78324" s="193"/>
    </row>
    <row r="78325" spans="6:6" x14ac:dyDescent="0.3">
      <c r="F78325" s="193"/>
    </row>
    <row r="78326" spans="6:6" x14ac:dyDescent="0.3">
      <c r="F78326" s="193"/>
    </row>
    <row r="78327" spans="6:6" x14ac:dyDescent="0.3">
      <c r="F78327" s="193"/>
    </row>
    <row r="78328" spans="6:6" x14ac:dyDescent="0.3">
      <c r="F78328" s="193"/>
    </row>
    <row r="78329" spans="6:6" x14ac:dyDescent="0.3">
      <c r="F78329" s="193"/>
    </row>
    <row r="78330" spans="6:6" x14ac:dyDescent="0.3">
      <c r="F78330" s="193"/>
    </row>
    <row r="78331" spans="6:6" x14ac:dyDescent="0.3">
      <c r="F78331" s="193"/>
    </row>
    <row r="78332" spans="6:6" x14ac:dyDescent="0.3">
      <c r="F78332" s="193"/>
    </row>
    <row r="78333" spans="6:6" x14ac:dyDescent="0.3">
      <c r="F78333" s="193"/>
    </row>
    <row r="78334" spans="6:6" x14ac:dyDescent="0.3">
      <c r="F78334" s="193"/>
    </row>
    <row r="78335" spans="6:6" x14ac:dyDescent="0.3">
      <c r="F78335" s="193"/>
    </row>
    <row r="78336" spans="6:6" x14ac:dyDescent="0.3">
      <c r="F78336" s="193"/>
    </row>
    <row r="78337" spans="6:6" x14ac:dyDescent="0.3">
      <c r="F78337" s="193"/>
    </row>
    <row r="78338" spans="6:6" x14ac:dyDescent="0.3">
      <c r="F78338" s="193"/>
    </row>
    <row r="78339" spans="6:6" x14ac:dyDescent="0.3">
      <c r="F78339" s="193"/>
    </row>
    <row r="78340" spans="6:6" x14ac:dyDescent="0.3">
      <c r="F78340" s="193"/>
    </row>
    <row r="78341" spans="6:6" x14ac:dyDescent="0.3">
      <c r="F78341" s="193"/>
    </row>
    <row r="78342" spans="6:6" x14ac:dyDescent="0.3">
      <c r="F78342" s="193"/>
    </row>
    <row r="78343" spans="6:6" x14ac:dyDescent="0.3">
      <c r="F78343" s="193"/>
    </row>
    <row r="78344" spans="6:6" x14ac:dyDescent="0.3">
      <c r="F78344" s="193"/>
    </row>
    <row r="78345" spans="6:6" x14ac:dyDescent="0.3">
      <c r="F78345" s="193"/>
    </row>
    <row r="78346" spans="6:6" x14ac:dyDescent="0.3">
      <c r="F78346" s="193"/>
    </row>
    <row r="78347" spans="6:6" x14ac:dyDescent="0.3">
      <c r="F78347" s="193"/>
    </row>
    <row r="78348" spans="6:6" x14ac:dyDescent="0.3">
      <c r="F78348" s="193"/>
    </row>
    <row r="78349" spans="6:6" x14ac:dyDescent="0.3">
      <c r="F78349" s="193"/>
    </row>
    <row r="78350" spans="6:6" x14ac:dyDescent="0.3">
      <c r="F78350" s="193"/>
    </row>
    <row r="78351" spans="6:6" x14ac:dyDescent="0.3">
      <c r="F78351" s="193"/>
    </row>
    <row r="78352" spans="6:6" x14ac:dyDescent="0.3">
      <c r="F78352" s="193"/>
    </row>
    <row r="78353" spans="6:6" x14ac:dyDescent="0.3">
      <c r="F78353" s="193"/>
    </row>
    <row r="78354" spans="6:6" x14ac:dyDescent="0.3">
      <c r="F78354" s="193"/>
    </row>
    <row r="78355" spans="6:6" x14ac:dyDescent="0.3">
      <c r="F78355" s="193"/>
    </row>
    <row r="78356" spans="6:6" x14ac:dyDescent="0.3">
      <c r="F78356" s="193"/>
    </row>
    <row r="78357" spans="6:6" x14ac:dyDescent="0.3">
      <c r="F78357" s="193"/>
    </row>
    <row r="78358" spans="6:6" x14ac:dyDescent="0.3">
      <c r="F78358" s="193"/>
    </row>
    <row r="78359" spans="6:6" x14ac:dyDescent="0.3">
      <c r="F78359" s="193"/>
    </row>
    <row r="78360" spans="6:6" x14ac:dyDescent="0.3">
      <c r="F78360" s="193"/>
    </row>
    <row r="78361" spans="6:6" x14ac:dyDescent="0.3">
      <c r="F78361" s="193"/>
    </row>
    <row r="78362" spans="6:6" x14ac:dyDescent="0.3">
      <c r="F78362" s="193"/>
    </row>
    <row r="78363" spans="6:6" x14ac:dyDescent="0.3">
      <c r="F78363" s="193"/>
    </row>
    <row r="78364" spans="6:6" x14ac:dyDescent="0.3">
      <c r="F78364" s="193"/>
    </row>
    <row r="78365" spans="6:6" x14ac:dyDescent="0.3">
      <c r="F78365" s="193"/>
    </row>
    <row r="78366" spans="6:6" x14ac:dyDescent="0.3">
      <c r="F78366" s="193"/>
    </row>
    <row r="78367" spans="6:6" x14ac:dyDescent="0.3">
      <c r="F78367" s="193"/>
    </row>
    <row r="78368" spans="6:6" x14ac:dyDescent="0.3">
      <c r="F78368" s="193"/>
    </row>
    <row r="78369" spans="6:6" x14ac:dyDescent="0.3">
      <c r="F78369" s="193"/>
    </row>
    <row r="78370" spans="6:6" x14ac:dyDescent="0.3">
      <c r="F78370" s="193"/>
    </row>
    <row r="78371" spans="6:6" x14ac:dyDescent="0.3">
      <c r="F78371" s="193"/>
    </row>
    <row r="78372" spans="6:6" x14ac:dyDescent="0.3">
      <c r="F78372" s="193"/>
    </row>
    <row r="78373" spans="6:6" x14ac:dyDescent="0.3">
      <c r="F78373" s="193"/>
    </row>
    <row r="78374" spans="6:6" x14ac:dyDescent="0.3">
      <c r="F78374" s="193"/>
    </row>
    <row r="78375" spans="6:6" x14ac:dyDescent="0.3">
      <c r="F78375" s="193"/>
    </row>
    <row r="78376" spans="6:6" x14ac:dyDescent="0.3">
      <c r="F78376" s="193"/>
    </row>
    <row r="78377" spans="6:6" x14ac:dyDescent="0.3">
      <c r="F78377" s="193"/>
    </row>
    <row r="78378" spans="6:6" x14ac:dyDescent="0.3">
      <c r="F78378" s="193"/>
    </row>
    <row r="78379" spans="6:6" x14ac:dyDescent="0.3">
      <c r="F78379" s="193"/>
    </row>
    <row r="78380" spans="6:6" x14ac:dyDescent="0.3">
      <c r="F78380" s="193"/>
    </row>
    <row r="78381" spans="6:6" x14ac:dyDescent="0.3">
      <c r="F78381" s="193"/>
    </row>
    <row r="78382" spans="6:6" x14ac:dyDescent="0.3">
      <c r="F78382" s="193"/>
    </row>
    <row r="78383" spans="6:6" x14ac:dyDescent="0.3">
      <c r="F78383" s="193"/>
    </row>
    <row r="78384" spans="6:6" x14ac:dyDescent="0.3">
      <c r="F78384" s="193"/>
    </row>
    <row r="78385" spans="6:6" x14ac:dyDescent="0.3">
      <c r="F78385" s="193"/>
    </row>
    <row r="78386" spans="6:6" x14ac:dyDescent="0.3">
      <c r="F78386" s="193"/>
    </row>
    <row r="78387" spans="6:6" x14ac:dyDescent="0.3">
      <c r="F78387" s="193"/>
    </row>
    <row r="78388" spans="6:6" x14ac:dyDescent="0.3">
      <c r="F78388" s="193"/>
    </row>
    <row r="78389" spans="6:6" x14ac:dyDescent="0.3">
      <c r="F78389" s="193"/>
    </row>
    <row r="78390" spans="6:6" x14ac:dyDescent="0.3">
      <c r="F78390" s="193"/>
    </row>
    <row r="78391" spans="6:6" x14ac:dyDescent="0.3">
      <c r="F78391" s="193"/>
    </row>
    <row r="78392" spans="6:6" x14ac:dyDescent="0.3">
      <c r="F78392" s="193"/>
    </row>
    <row r="78393" spans="6:6" x14ac:dyDescent="0.3">
      <c r="F78393" s="193"/>
    </row>
    <row r="78394" spans="6:6" x14ac:dyDescent="0.3">
      <c r="F78394" s="193"/>
    </row>
    <row r="78395" spans="6:6" x14ac:dyDescent="0.3">
      <c r="F78395" s="193"/>
    </row>
    <row r="78396" spans="6:6" x14ac:dyDescent="0.3">
      <c r="F78396" s="193"/>
    </row>
    <row r="78397" spans="6:6" x14ac:dyDescent="0.3">
      <c r="F78397" s="193"/>
    </row>
    <row r="78398" spans="6:6" x14ac:dyDescent="0.3">
      <c r="F78398" s="193"/>
    </row>
    <row r="78399" spans="6:6" x14ac:dyDescent="0.3">
      <c r="F78399" s="193"/>
    </row>
    <row r="78400" spans="6:6" x14ac:dyDescent="0.3">
      <c r="F78400" s="193"/>
    </row>
    <row r="78401" spans="6:6" x14ac:dyDescent="0.3">
      <c r="F78401" s="193"/>
    </row>
    <row r="78402" spans="6:6" x14ac:dyDescent="0.3">
      <c r="F78402" s="193"/>
    </row>
    <row r="78403" spans="6:6" x14ac:dyDescent="0.3">
      <c r="F78403" s="193"/>
    </row>
    <row r="78404" spans="6:6" x14ac:dyDescent="0.3">
      <c r="F78404" s="193"/>
    </row>
    <row r="78405" spans="6:6" x14ac:dyDescent="0.3">
      <c r="F78405" s="193"/>
    </row>
    <row r="78406" spans="6:6" x14ac:dyDescent="0.3">
      <c r="F78406" s="193"/>
    </row>
    <row r="78407" spans="6:6" x14ac:dyDescent="0.3">
      <c r="F78407" s="193"/>
    </row>
    <row r="78408" spans="6:6" x14ac:dyDescent="0.3">
      <c r="F78408" s="193"/>
    </row>
    <row r="78409" spans="6:6" x14ac:dyDescent="0.3">
      <c r="F78409" s="193"/>
    </row>
    <row r="78410" spans="6:6" x14ac:dyDescent="0.3">
      <c r="F78410" s="193"/>
    </row>
    <row r="78411" spans="6:6" x14ac:dyDescent="0.3">
      <c r="F78411" s="193"/>
    </row>
    <row r="78412" spans="6:6" x14ac:dyDescent="0.3">
      <c r="F78412" s="193"/>
    </row>
    <row r="78413" spans="6:6" x14ac:dyDescent="0.3">
      <c r="F78413" s="193"/>
    </row>
    <row r="78414" spans="6:6" x14ac:dyDescent="0.3">
      <c r="F78414" s="193"/>
    </row>
    <row r="78415" spans="6:6" x14ac:dyDescent="0.3">
      <c r="F78415" s="193"/>
    </row>
    <row r="78416" spans="6:6" x14ac:dyDescent="0.3">
      <c r="F78416" s="193"/>
    </row>
    <row r="78417" spans="6:6" x14ac:dyDescent="0.3">
      <c r="F78417" s="193"/>
    </row>
    <row r="78418" spans="6:6" x14ac:dyDescent="0.3">
      <c r="F78418" s="193"/>
    </row>
    <row r="78419" spans="6:6" x14ac:dyDescent="0.3">
      <c r="F78419" s="193"/>
    </row>
    <row r="78420" spans="6:6" x14ac:dyDescent="0.3">
      <c r="F78420" s="193"/>
    </row>
    <row r="78421" spans="6:6" x14ac:dyDescent="0.3">
      <c r="F78421" s="193"/>
    </row>
    <row r="78422" spans="6:6" x14ac:dyDescent="0.3">
      <c r="F78422" s="193"/>
    </row>
    <row r="78423" spans="6:6" x14ac:dyDescent="0.3">
      <c r="F78423" s="193"/>
    </row>
    <row r="78424" spans="6:6" x14ac:dyDescent="0.3">
      <c r="F78424" s="193"/>
    </row>
    <row r="78425" spans="6:6" x14ac:dyDescent="0.3">
      <c r="F78425" s="193"/>
    </row>
    <row r="78426" spans="6:6" x14ac:dyDescent="0.3">
      <c r="F78426" s="193"/>
    </row>
    <row r="78427" spans="6:6" x14ac:dyDescent="0.3">
      <c r="F78427" s="193"/>
    </row>
    <row r="78428" spans="6:6" x14ac:dyDescent="0.3">
      <c r="F78428" s="193"/>
    </row>
    <row r="78429" spans="6:6" x14ac:dyDescent="0.3">
      <c r="F78429" s="193"/>
    </row>
    <row r="78430" spans="6:6" x14ac:dyDescent="0.3">
      <c r="F78430" s="193"/>
    </row>
    <row r="78431" spans="6:6" x14ac:dyDescent="0.3">
      <c r="F78431" s="193"/>
    </row>
    <row r="78432" spans="6:6" x14ac:dyDescent="0.3">
      <c r="F78432" s="193"/>
    </row>
    <row r="78433" spans="6:6" x14ac:dyDescent="0.3">
      <c r="F78433" s="193"/>
    </row>
    <row r="78434" spans="6:6" x14ac:dyDescent="0.3">
      <c r="F78434" s="193"/>
    </row>
    <row r="78435" spans="6:6" x14ac:dyDescent="0.3">
      <c r="F78435" s="193"/>
    </row>
    <row r="78436" spans="6:6" x14ac:dyDescent="0.3">
      <c r="F78436" s="193"/>
    </row>
    <row r="78437" spans="6:6" x14ac:dyDescent="0.3">
      <c r="F78437" s="193"/>
    </row>
    <row r="78438" spans="6:6" x14ac:dyDescent="0.3">
      <c r="F78438" s="193"/>
    </row>
    <row r="78439" spans="6:6" x14ac:dyDescent="0.3">
      <c r="F78439" s="193"/>
    </row>
    <row r="78440" spans="6:6" x14ac:dyDescent="0.3">
      <c r="F78440" s="193"/>
    </row>
    <row r="78441" spans="6:6" x14ac:dyDescent="0.3">
      <c r="F78441" s="193"/>
    </row>
    <row r="78442" spans="6:6" x14ac:dyDescent="0.3">
      <c r="F78442" s="193"/>
    </row>
    <row r="78443" spans="6:6" x14ac:dyDescent="0.3">
      <c r="F78443" s="193"/>
    </row>
    <row r="78444" spans="6:6" x14ac:dyDescent="0.3">
      <c r="F78444" s="193"/>
    </row>
    <row r="78445" spans="6:6" x14ac:dyDescent="0.3">
      <c r="F78445" s="193"/>
    </row>
    <row r="78446" spans="6:6" x14ac:dyDescent="0.3">
      <c r="F78446" s="193"/>
    </row>
    <row r="78447" spans="6:6" x14ac:dyDescent="0.3">
      <c r="F78447" s="193"/>
    </row>
    <row r="78448" spans="6:6" x14ac:dyDescent="0.3">
      <c r="F78448" s="193"/>
    </row>
    <row r="78449" spans="6:6" x14ac:dyDescent="0.3">
      <c r="F78449" s="193"/>
    </row>
    <row r="78450" spans="6:6" x14ac:dyDescent="0.3">
      <c r="F78450" s="193"/>
    </row>
    <row r="78451" spans="6:6" x14ac:dyDescent="0.3">
      <c r="F78451" s="193"/>
    </row>
    <row r="78452" spans="6:6" x14ac:dyDescent="0.3">
      <c r="F78452" s="193"/>
    </row>
    <row r="78453" spans="6:6" x14ac:dyDescent="0.3">
      <c r="F78453" s="193"/>
    </row>
    <row r="78454" spans="6:6" x14ac:dyDescent="0.3">
      <c r="F78454" s="193"/>
    </row>
    <row r="78455" spans="6:6" x14ac:dyDescent="0.3">
      <c r="F78455" s="193"/>
    </row>
    <row r="78456" spans="6:6" x14ac:dyDescent="0.3">
      <c r="F78456" s="193"/>
    </row>
    <row r="78457" spans="6:6" x14ac:dyDescent="0.3">
      <c r="F78457" s="193"/>
    </row>
    <row r="78458" spans="6:6" x14ac:dyDescent="0.3">
      <c r="F78458" s="193"/>
    </row>
    <row r="78459" spans="6:6" x14ac:dyDescent="0.3">
      <c r="F78459" s="193"/>
    </row>
    <row r="78460" spans="6:6" x14ac:dyDescent="0.3">
      <c r="F78460" s="193"/>
    </row>
    <row r="78461" spans="6:6" x14ac:dyDescent="0.3">
      <c r="F78461" s="193"/>
    </row>
    <row r="78462" spans="6:6" x14ac:dyDescent="0.3">
      <c r="F78462" s="193"/>
    </row>
    <row r="78463" spans="6:6" x14ac:dyDescent="0.3">
      <c r="F78463" s="193"/>
    </row>
    <row r="78464" spans="6:6" x14ac:dyDescent="0.3">
      <c r="F78464" s="193"/>
    </row>
    <row r="78465" spans="6:6" x14ac:dyDescent="0.3">
      <c r="F78465" s="193"/>
    </row>
    <row r="78466" spans="6:6" x14ac:dyDescent="0.3">
      <c r="F78466" s="193"/>
    </row>
    <row r="78467" spans="6:6" x14ac:dyDescent="0.3">
      <c r="F78467" s="193"/>
    </row>
    <row r="78468" spans="6:6" x14ac:dyDescent="0.3">
      <c r="F78468" s="193"/>
    </row>
    <row r="78469" spans="6:6" x14ac:dyDescent="0.3">
      <c r="F78469" s="193"/>
    </row>
    <row r="78470" spans="6:6" x14ac:dyDescent="0.3">
      <c r="F78470" s="193"/>
    </row>
    <row r="78471" spans="6:6" x14ac:dyDescent="0.3">
      <c r="F78471" s="193"/>
    </row>
    <row r="78472" spans="6:6" x14ac:dyDescent="0.3">
      <c r="F78472" s="193"/>
    </row>
    <row r="78473" spans="6:6" x14ac:dyDescent="0.3">
      <c r="F78473" s="193"/>
    </row>
    <row r="78474" spans="6:6" x14ac:dyDescent="0.3">
      <c r="F78474" s="193"/>
    </row>
    <row r="78475" spans="6:6" x14ac:dyDescent="0.3">
      <c r="F78475" s="193"/>
    </row>
    <row r="78476" spans="6:6" x14ac:dyDescent="0.3">
      <c r="F78476" s="193"/>
    </row>
    <row r="78477" spans="6:6" x14ac:dyDescent="0.3">
      <c r="F78477" s="193"/>
    </row>
    <row r="78478" spans="6:6" x14ac:dyDescent="0.3">
      <c r="F78478" s="193"/>
    </row>
    <row r="78479" spans="6:6" x14ac:dyDescent="0.3">
      <c r="F78479" s="193"/>
    </row>
    <row r="78480" spans="6:6" x14ac:dyDescent="0.3">
      <c r="F78480" s="193"/>
    </row>
    <row r="78481" spans="6:6" x14ac:dyDescent="0.3">
      <c r="F78481" s="193"/>
    </row>
    <row r="78482" spans="6:6" x14ac:dyDescent="0.3">
      <c r="F78482" s="193"/>
    </row>
    <row r="78483" spans="6:6" x14ac:dyDescent="0.3">
      <c r="F78483" s="193"/>
    </row>
    <row r="78484" spans="6:6" x14ac:dyDescent="0.3">
      <c r="F78484" s="193"/>
    </row>
    <row r="78485" spans="6:6" x14ac:dyDescent="0.3">
      <c r="F78485" s="193"/>
    </row>
    <row r="78486" spans="6:6" x14ac:dyDescent="0.3">
      <c r="F78486" s="193"/>
    </row>
    <row r="78487" spans="6:6" x14ac:dyDescent="0.3">
      <c r="F78487" s="193"/>
    </row>
    <row r="78488" spans="6:6" x14ac:dyDescent="0.3">
      <c r="F78488" s="193"/>
    </row>
    <row r="78489" spans="6:6" x14ac:dyDescent="0.3">
      <c r="F78489" s="193"/>
    </row>
    <row r="78490" spans="6:6" x14ac:dyDescent="0.3">
      <c r="F78490" s="193"/>
    </row>
    <row r="78491" spans="6:6" x14ac:dyDescent="0.3">
      <c r="F78491" s="193"/>
    </row>
    <row r="78492" spans="6:6" x14ac:dyDescent="0.3">
      <c r="F78492" s="193"/>
    </row>
    <row r="78493" spans="6:6" x14ac:dyDescent="0.3">
      <c r="F78493" s="193"/>
    </row>
    <row r="78494" spans="6:6" x14ac:dyDescent="0.3">
      <c r="F78494" s="193"/>
    </row>
    <row r="78495" spans="6:6" x14ac:dyDescent="0.3">
      <c r="F78495" s="193"/>
    </row>
    <row r="78496" spans="6:6" x14ac:dyDescent="0.3">
      <c r="F78496" s="193"/>
    </row>
    <row r="78497" spans="6:6" x14ac:dyDescent="0.3">
      <c r="F78497" s="193"/>
    </row>
    <row r="78498" spans="6:6" x14ac:dyDescent="0.3">
      <c r="F78498" s="193"/>
    </row>
    <row r="78499" spans="6:6" x14ac:dyDescent="0.3">
      <c r="F78499" s="193"/>
    </row>
    <row r="78500" spans="6:6" x14ac:dyDescent="0.3">
      <c r="F78500" s="193"/>
    </row>
    <row r="78501" spans="6:6" x14ac:dyDescent="0.3">
      <c r="F78501" s="193"/>
    </row>
    <row r="78502" spans="6:6" x14ac:dyDescent="0.3">
      <c r="F78502" s="193"/>
    </row>
    <row r="78503" spans="6:6" x14ac:dyDescent="0.3">
      <c r="F78503" s="193"/>
    </row>
    <row r="78504" spans="6:6" x14ac:dyDescent="0.3">
      <c r="F78504" s="193"/>
    </row>
    <row r="78505" spans="6:6" x14ac:dyDescent="0.3">
      <c r="F78505" s="193"/>
    </row>
    <row r="78506" spans="6:6" x14ac:dyDescent="0.3">
      <c r="F78506" s="193"/>
    </row>
    <row r="78507" spans="6:6" x14ac:dyDescent="0.3">
      <c r="F78507" s="193"/>
    </row>
    <row r="78508" spans="6:6" x14ac:dyDescent="0.3">
      <c r="F78508" s="193"/>
    </row>
    <row r="78509" spans="6:6" x14ac:dyDescent="0.3">
      <c r="F78509" s="193"/>
    </row>
    <row r="78510" spans="6:6" x14ac:dyDescent="0.3">
      <c r="F78510" s="193"/>
    </row>
    <row r="78511" spans="6:6" x14ac:dyDescent="0.3">
      <c r="F78511" s="193"/>
    </row>
    <row r="78512" spans="6:6" x14ac:dyDescent="0.3">
      <c r="F78512" s="193"/>
    </row>
    <row r="78513" spans="6:6" x14ac:dyDescent="0.3">
      <c r="F78513" s="193"/>
    </row>
    <row r="78514" spans="6:6" x14ac:dyDescent="0.3">
      <c r="F78514" s="193"/>
    </row>
    <row r="78515" spans="6:6" x14ac:dyDescent="0.3">
      <c r="F78515" s="193"/>
    </row>
    <row r="78516" spans="6:6" x14ac:dyDescent="0.3">
      <c r="F78516" s="193"/>
    </row>
    <row r="78517" spans="6:6" x14ac:dyDescent="0.3">
      <c r="F78517" s="193"/>
    </row>
    <row r="78518" spans="6:6" x14ac:dyDescent="0.3">
      <c r="F78518" s="193"/>
    </row>
    <row r="78519" spans="6:6" x14ac:dyDescent="0.3">
      <c r="F78519" s="193"/>
    </row>
    <row r="78520" spans="6:6" x14ac:dyDescent="0.3">
      <c r="F78520" s="193"/>
    </row>
    <row r="78521" spans="6:6" x14ac:dyDescent="0.3">
      <c r="F78521" s="193"/>
    </row>
    <row r="78522" spans="6:6" x14ac:dyDescent="0.3">
      <c r="F78522" s="193"/>
    </row>
    <row r="78523" spans="6:6" x14ac:dyDescent="0.3">
      <c r="F78523" s="193"/>
    </row>
    <row r="78524" spans="6:6" x14ac:dyDescent="0.3">
      <c r="F78524" s="193"/>
    </row>
    <row r="78525" spans="6:6" x14ac:dyDescent="0.3">
      <c r="F78525" s="193"/>
    </row>
    <row r="78526" spans="6:6" x14ac:dyDescent="0.3">
      <c r="F78526" s="193"/>
    </row>
    <row r="78527" spans="6:6" x14ac:dyDescent="0.3">
      <c r="F78527" s="193"/>
    </row>
    <row r="78528" spans="6:6" x14ac:dyDescent="0.3">
      <c r="F78528" s="193"/>
    </row>
    <row r="78529" spans="6:6" x14ac:dyDescent="0.3">
      <c r="F78529" s="193"/>
    </row>
    <row r="78530" spans="6:6" x14ac:dyDescent="0.3">
      <c r="F78530" s="193"/>
    </row>
    <row r="78531" spans="6:6" x14ac:dyDescent="0.3">
      <c r="F78531" s="193"/>
    </row>
    <row r="78532" spans="6:6" x14ac:dyDescent="0.3">
      <c r="F78532" s="193"/>
    </row>
    <row r="78533" spans="6:6" x14ac:dyDescent="0.3">
      <c r="F78533" s="193"/>
    </row>
    <row r="78534" spans="6:6" x14ac:dyDescent="0.3">
      <c r="F78534" s="193"/>
    </row>
    <row r="78535" spans="6:6" x14ac:dyDescent="0.3">
      <c r="F78535" s="193"/>
    </row>
    <row r="78536" spans="6:6" x14ac:dyDescent="0.3">
      <c r="F78536" s="193"/>
    </row>
    <row r="78537" spans="6:6" x14ac:dyDescent="0.3">
      <c r="F78537" s="193"/>
    </row>
    <row r="78538" spans="6:6" x14ac:dyDescent="0.3">
      <c r="F78538" s="193"/>
    </row>
    <row r="78539" spans="6:6" x14ac:dyDescent="0.3">
      <c r="F78539" s="193"/>
    </row>
    <row r="78540" spans="6:6" x14ac:dyDescent="0.3">
      <c r="F78540" s="193"/>
    </row>
    <row r="78541" spans="6:6" x14ac:dyDescent="0.3">
      <c r="F78541" s="193"/>
    </row>
    <row r="78542" spans="6:6" x14ac:dyDescent="0.3">
      <c r="F78542" s="193"/>
    </row>
    <row r="78543" spans="6:6" x14ac:dyDescent="0.3">
      <c r="F78543" s="193"/>
    </row>
    <row r="78544" spans="6:6" x14ac:dyDescent="0.3">
      <c r="F78544" s="193"/>
    </row>
    <row r="78545" spans="6:6" x14ac:dyDescent="0.3">
      <c r="F78545" s="193"/>
    </row>
    <row r="78546" spans="6:6" x14ac:dyDescent="0.3">
      <c r="F78546" s="193"/>
    </row>
    <row r="78547" spans="6:6" x14ac:dyDescent="0.3">
      <c r="F78547" s="193"/>
    </row>
    <row r="78548" spans="6:6" x14ac:dyDescent="0.3">
      <c r="F78548" s="193"/>
    </row>
    <row r="78549" spans="6:6" x14ac:dyDescent="0.3">
      <c r="F78549" s="193"/>
    </row>
    <row r="78550" spans="6:6" x14ac:dyDescent="0.3">
      <c r="F78550" s="193"/>
    </row>
    <row r="78551" spans="6:6" x14ac:dyDescent="0.3">
      <c r="F78551" s="193"/>
    </row>
    <row r="78552" spans="6:6" x14ac:dyDescent="0.3">
      <c r="F78552" s="193"/>
    </row>
    <row r="78553" spans="6:6" x14ac:dyDescent="0.3">
      <c r="F78553" s="193"/>
    </row>
    <row r="78554" spans="6:6" x14ac:dyDescent="0.3">
      <c r="F78554" s="193"/>
    </row>
    <row r="78555" spans="6:6" x14ac:dyDescent="0.3">
      <c r="F78555" s="193"/>
    </row>
    <row r="78556" spans="6:6" x14ac:dyDescent="0.3">
      <c r="F78556" s="193"/>
    </row>
    <row r="78557" spans="6:6" x14ac:dyDescent="0.3">
      <c r="F78557" s="193"/>
    </row>
    <row r="78558" spans="6:6" x14ac:dyDescent="0.3">
      <c r="F78558" s="193"/>
    </row>
    <row r="78559" spans="6:6" x14ac:dyDescent="0.3">
      <c r="F78559" s="193"/>
    </row>
    <row r="78560" spans="6:6" x14ac:dyDescent="0.3">
      <c r="F78560" s="193"/>
    </row>
    <row r="78561" spans="6:6" x14ac:dyDescent="0.3">
      <c r="F78561" s="193"/>
    </row>
    <row r="78562" spans="6:6" x14ac:dyDescent="0.3">
      <c r="F78562" s="193"/>
    </row>
    <row r="78563" spans="6:6" x14ac:dyDescent="0.3">
      <c r="F78563" s="193"/>
    </row>
    <row r="78564" spans="6:6" x14ac:dyDescent="0.3">
      <c r="F78564" s="193"/>
    </row>
    <row r="78565" spans="6:6" x14ac:dyDescent="0.3">
      <c r="F78565" s="193"/>
    </row>
    <row r="78566" spans="6:6" x14ac:dyDescent="0.3">
      <c r="F78566" s="193"/>
    </row>
    <row r="78567" spans="6:6" x14ac:dyDescent="0.3">
      <c r="F78567" s="193"/>
    </row>
    <row r="78568" spans="6:6" x14ac:dyDescent="0.3">
      <c r="F78568" s="193"/>
    </row>
    <row r="78569" spans="6:6" x14ac:dyDescent="0.3">
      <c r="F78569" s="193"/>
    </row>
    <row r="78570" spans="6:6" x14ac:dyDescent="0.3">
      <c r="F78570" s="193"/>
    </row>
    <row r="78571" spans="6:6" x14ac:dyDescent="0.3">
      <c r="F78571" s="193"/>
    </row>
    <row r="78572" spans="6:6" x14ac:dyDescent="0.3">
      <c r="F78572" s="193"/>
    </row>
    <row r="78573" spans="6:6" x14ac:dyDescent="0.3">
      <c r="F78573" s="193"/>
    </row>
    <row r="78574" spans="6:6" x14ac:dyDescent="0.3">
      <c r="F78574" s="193"/>
    </row>
    <row r="78575" spans="6:6" x14ac:dyDescent="0.3">
      <c r="F78575" s="193"/>
    </row>
    <row r="78576" spans="6:6" x14ac:dyDescent="0.3">
      <c r="F78576" s="193"/>
    </row>
    <row r="78577" spans="6:6" x14ac:dyDescent="0.3">
      <c r="F78577" s="193"/>
    </row>
    <row r="78578" spans="6:6" x14ac:dyDescent="0.3">
      <c r="F78578" s="193"/>
    </row>
    <row r="78579" spans="6:6" x14ac:dyDescent="0.3">
      <c r="F78579" s="193"/>
    </row>
    <row r="78580" spans="6:6" x14ac:dyDescent="0.3">
      <c r="F78580" s="193"/>
    </row>
    <row r="78581" spans="6:6" x14ac:dyDescent="0.3">
      <c r="F78581" s="193"/>
    </row>
    <row r="78582" spans="6:6" x14ac:dyDescent="0.3">
      <c r="F78582" s="193"/>
    </row>
    <row r="78583" spans="6:6" x14ac:dyDescent="0.3">
      <c r="F78583" s="193"/>
    </row>
    <row r="78584" spans="6:6" x14ac:dyDescent="0.3">
      <c r="F78584" s="193"/>
    </row>
    <row r="78585" spans="6:6" x14ac:dyDescent="0.3">
      <c r="F78585" s="193"/>
    </row>
    <row r="78586" spans="6:6" x14ac:dyDescent="0.3">
      <c r="F78586" s="193"/>
    </row>
    <row r="78587" spans="6:6" x14ac:dyDescent="0.3">
      <c r="F78587" s="193"/>
    </row>
    <row r="78588" spans="6:6" x14ac:dyDescent="0.3">
      <c r="F78588" s="193"/>
    </row>
    <row r="78589" spans="6:6" x14ac:dyDescent="0.3">
      <c r="F78589" s="193"/>
    </row>
    <row r="78590" spans="6:6" x14ac:dyDescent="0.3">
      <c r="F78590" s="193"/>
    </row>
    <row r="78591" spans="6:6" x14ac:dyDescent="0.3">
      <c r="F78591" s="193"/>
    </row>
    <row r="78592" spans="6:6" x14ac:dyDescent="0.3">
      <c r="F78592" s="193"/>
    </row>
    <row r="78593" spans="6:6" x14ac:dyDescent="0.3">
      <c r="F78593" s="193"/>
    </row>
    <row r="78594" spans="6:6" x14ac:dyDescent="0.3">
      <c r="F78594" s="193"/>
    </row>
    <row r="78595" spans="6:6" x14ac:dyDescent="0.3">
      <c r="F78595" s="193"/>
    </row>
    <row r="78596" spans="6:6" x14ac:dyDescent="0.3">
      <c r="F78596" s="193"/>
    </row>
    <row r="78597" spans="6:6" x14ac:dyDescent="0.3">
      <c r="F78597" s="193"/>
    </row>
    <row r="78598" spans="6:6" x14ac:dyDescent="0.3">
      <c r="F78598" s="193"/>
    </row>
    <row r="78599" spans="6:6" x14ac:dyDescent="0.3">
      <c r="F78599" s="193"/>
    </row>
    <row r="78600" spans="6:6" x14ac:dyDescent="0.3">
      <c r="F78600" s="193"/>
    </row>
    <row r="78601" spans="6:6" x14ac:dyDescent="0.3">
      <c r="F78601" s="193"/>
    </row>
    <row r="78602" spans="6:6" x14ac:dyDescent="0.3">
      <c r="F78602" s="193"/>
    </row>
    <row r="78603" spans="6:6" x14ac:dyDescent="0.3">
      <c r="F78603" s="193"/>
    </row>
    <row r="78604" spans="6:6" x14ac:dyDescent="0.3">
      <c r="F78604" s="193"/>
    </row>
    <row r="78605" spans="6:6" x14ac:dyDescent="0.3">
      <c r="F78605" s="193"/>
    </row>
    <row r="78606" spans="6:6" x14ac:dyDescent="0.3">
      <c r="F78606" s="193"/>
    </row>
    <row r="78607" spans="6:6" x14ac:dyDescent="0.3">
      <c r="F78607" s="193"/>
    </row>
    <row r="78608" spans="6:6" x14ac:dyDescent="0.3">
      <c r="F78608" s="193"/>
    </row>
    <row r="78609" spans="6:6" x14ac:dyDescent="0.3">
      <c r="F78609" s="193"/>
    </row>
    <row r="78610" spans="6:6" x14ac:dyDescent="0.3">
      <c r="F78610" s="193"/>
    </row>
    <row r="78611" spans="6:6" x14ac:dyDescent="0.3">
      <c r="F78611" s="193"/>
    </row>
    <row r="78612" spans="6:6" x14ac:dyDescent="0.3">
      <c r="F78612" s="193"/>
    </row>
    <row r="78613" spans="6:6" x14ac:dyDescent="0.3">
      <c r="F78613" s="193"/>
    </row>
    <row r="78614" spans="6:6" x14ac:dyDescent="0.3">
      <c r="F78614" s="193"/>
    </row>
    <row r="78615" spans="6:6" x14ac:dyDescent="0.3">
      <c r="F78615" s="193"/>
    </row>
    <row r="78616" spans="6:6" x14ac:dyDescent="0.3">
      <c r="F78616" s="193"/>
    </row>
    <row r="78617" spans="6:6" x14ac:dyDescent="0.3">
      <c r="F78617" s="193"/>
    </row>
    <row r="78618" spans="6:6" x14ac:dyDescent="0.3">
      <c r="F78618" s="193"/>
    </row>
    <row r="78619" spans="6:6" x14ac:dyDescent="0.3">
      <c r="F78619" s="193"/>
    </row>
    <row r="78620" spans="6:6" x14ac:dyDescent="0.3">
      <c r="F78620" s="193"/>
    </row>
    <row r="78621" spans="6:6" x14ac:dyDescent="0.3">
      <c r="F78621" s="193"/>
    </row>
    <row r="78622" spans="6:6" x14ac:dyDescent="0.3">
      <c r="F78622" s="193"/>
    </row>
    <row r="78623" spans="6:6" x14ac:dyDescent="0.3">
      <c r="F78623" s="193"/>
    </row>
    <row r="78624" spans="6:6" x14ac:dyDescent="0.3">
      <c r="F78624" s="193"/>
    </row>
    <row r="78625" spans="6:6" x14ac:dyDescent="0.3">
      <c r="F78625" s="193"/>
    </row>
    <row r="78626" spans="6:6" x14ac:dyDescent="0.3">
      <c r="F78626" s="193"/>
    </row>
    <row r="78627" spans="6:6" x14ac:dyDescent="0.3">
      <c r="F78627" s="193"/>
    </row>
    <row r="78628" spans="6:6" x14ac:dyDescent="0.3">
      <c r="F78628" s="193"/>
    </row>
    <row r="78629" spans="6:6" x14ac:dyDescent="0.3">
      <c r="F78629" s="193"/>
    </row>
    <row r="78630" spans="6:6" x14ac:dyDescent="0.3">
      <c r="F78630" s="193"/>
    </row>
    <row r="78631" spans="6:6" x14ac:dyDescent="0.3">
      <c r="F78631" s="193"/>
    </row>
    <row r="78632" spans="6:6" x14ac:dyDescent="0.3">
      <c r="F78632" s="193"/>
    </row>
    <row r="78633" spans="6:6" x14ac:dyDescent="0.3">
      <c r="F78633" s="193"/>
    </row>
    <row r="78634" spans="6:6" x14ac:dyDescent="0.3">
      <c r="F78634" s="193"/>
    </row>
    <row r="78635" spans="6:6" x14ac:dyDescent="0.3">
      <c r="F78635" s="193"/>
    </row>
    <row r="78636" spans="6:6" x14ac:dyDescent="0.3">
      <c r="F78636" s="193"/>
    </row>
    <row r="78637" spans="6:6" x14ac:dyDescent="0.3">
      <c r="F78637" s="193"/>
    </row>
    <row r="78638" spans="6:6" x14ac:dyDescent="0.3">
      <c r="F78638" s="193"/>
    </row>
    <row r="78639" spans="6:6" x14ac:dyDescent="0.3">
      <c r="F78639" s="193"/>
    </row>
    <row r="78640" spans="6:6" x14ac:dyDescent="0.3">
      <c r="F78640" s="193"/>
    </row>
    <row r="78641" spans="6:6" x14ac:dyDescent="0.3">
      <c r="F78641" s="193"/>
    </row>
    <row r="78642" spans="6:6" x14ac:dyDescent="0.3">
      <c r="F78642" s="193"/>
    </row>
    <row r="78643" spans="6:6" x14ac:dyDescent="0.3">
      <c r="F78643" s="193"/>
    </row>
    <row r="78644" spans="6:6" x14ac:dyDescent="0.3">
      <c r="F78644" s="193"/>
    </row>
    <row r="78645" spans="6:6" x14ac:dyDescent="0.3">
      <c r="F78645" s="193"/>
    </row>
    <row r="78646" spans="6:6" x14ac:dyDescent="0.3">
      <c r="F78646" s="193"/>
    </row>
    <row r="78647" spans="6:6" x14ac:dyDescent="0.3">
      <c r="F78647" s="193"/>
    </row>
    <row r="78648" spans="6:6" x14ac:dyDescent="0.3">
      <c r="F78648" s="193"/>
    </row>
    <row r="78649" spans="6:6" x14ac:dyDescent="0.3">
      <c r="F78649" s="193"/>
    </row>
    <row r="78650" spans="6:6" x14ac:dyDescent="0.3">
      <c r="F78650" s="193"/>
    </row>
    <row r="78651" spans="6:6" x14ac:dyDescent="0.3">
      <c r="F78651" s="193"/>
    </row>
    <row r="78652" spans="6:6" x14ac:dyDescent="0.3">
      <c r="F78652" s="193"/>
    </row>
    <row r="78653" spans="6:6" x14ac:dyDescent="0.3">
      <c r="F78653" s="193"/>
    </row>
    <row r="78654" spans="6:6" x14ac:dyDescent="0.3">
      <c r="F78654" s="193"/>
    </row>
    <row r="78655" spans="6:6" x14ac:dyDescent="0.3">
      <c r="F78655" s="193"/>
    </row>
    <row r="78656" spans="6:6" x14ac:dyDescent="0.3">
      <c r="F78656" s="193"/>
    </row>
    <row r="78657" spans="6:6" x14ac:dyDescent="0.3">
      <c r="F78657" s="193"/>
    </row>
    <row r="78658" spans="6:6" x14ac:dyDescent="0.3">
      <c r="F78658" s="193"/>
    </row>
    <row r="78659" spans="6:6" x14ac:dyDescent="0.3">
      <c r="F78659" s="193"/>
    </row>
    <row r="78660" spans="6:6" x14ac:dyDescent="0.3">
      <c r="F78660" s="193"/>
    </row>
    <row r="78661" spans="6:6" x14ac:dyDescent="0.3">
      <c r="F78661" s="193"/>
    </row>
    <row r="78662" spans="6:6" x14ac:dyDescent="0.3">
      <c r="F78662" s="193"/>
    </row>
    <row r="78663" spans="6:6" x14ac:dyDescent="0.3">
      <c r="F78663" s="193"/>
    </row>
    <row r="78664" spans="6:6" x14ac:dyDescent="0.3">
      <c r="F78664" s="193"/>
    </row>
    <row r="78665" spans="6:6" x14ac:dyDescent="0.3">
      <c r="F78665" s="193"/>
    </row>
    <row r="78666" spans="6:6" x14ac:dyDescent="0.3">
      <c r="F78666" s="193"/>
    </row>
    <row r="78667" spans="6:6" x14ac:dyDescent="0.3">
      <c r="F78667" s="193"/>
    </row>
    <row r="78668" spans="6:6" x14ac:dyDescent="0.3">
      <c r="F78668" s="193"/>
    </row>
    <row r="78669" spans="6:6" x14ac:dyDescent="0.3">
      <c r="F78669" s="193"/>
    </row>
    <row r="78670" spans="6:6" x14ac:dyDescent="0.3">
      <c r="F78670" s="193"/>
    </row>
    <row r="78671" spans="6:6" x14ac:dyDescent="0.3">
      <c r="F78671" s="193"/>
    </row>
    <row r="78672" spans="6:6" x14ac:dyDescent="0.3">
      <c r="F78672" s="193"/>
    </row>
    <row r="78673" spans="6:6" x14ac:dyDescent="0.3">
      <c r="F78673" s="193"/>
    </row>
    <row r="78674" spans="6:6" x14ac:dyDescent="0.3">
      <c r="F78674" s="193"/>
    </row>
    <row r="78675" spans="6:6" x14ac:dyDescent="0.3">
      <c r="F78675" s="193"/>
    </row>
    <row r="78676" spans="6:6" x14ac:dyDescent="0.3">
      <c r="F78676" s="193"/>
    </row>
    <row r="78677" spans="6:6" x14ac:dyDescent="0.3">
      <c r="F78677" s="193"/>
    </row>
    <row r="78678" spans="6:6" x14ac:dyDescent="0.3">
      <c r="F78678" s="193"/>
    </row>
    <row r="78679" spans="6:6" x14ac:dyDescent="0.3">
      <c r="F78679" s="193"/>
    </row>
    <row r="78680" spans="6:6" x14ac:dyDescent="0.3">
      <c r="F78680" s="193"/>
    </row>
    <row r="78681" spans="6:6" x14ac:dyDescent="0.3">
      <c r="F78681" s="193"/>
    </row>
    <row r="78682" spans="6:6" x14ac:dyDescent="0.3">
      <c r="F78682" s="193"/>
    </row>
    <row r="78683" spans="6:6" x14ac:dyDescent="0.3">
      <c r="F78683" s="193"/>
    </row>
    <row r="78684" spans="6:6" x14ac:dyDescent="0.3">
      <c r="F78684" s="193"/>
    </row>
    <row r="78685" spans="6:6" x14ac:dyDescent="0.3">
      <c r="F78685" s="193"/>
    </row>
    <row r="78686" spans="6:6" x14ac:dyDescent="0.3">
      <c r="F78686" s="193"/>
    </row>
    <row r="78687" spans="6:6" x14ac:dyDescent="0.3">
      <c r="F78687" s="193"/>
    </row>
    <row r="78688" spans="6:6" x14ac:dyDescent="0.3">
      <c r="F78688" s="193"/>
    </row>
    <row r="78689" spans="6:6" x14ac:dyDescent="0.3">
      <c r="F78689" s="193"/>
    </row>
    <row r="78690" spans="6:6" x14ac:dyDescent="0.3">
      <c r="F78690" s="193"/>
    </row>
    <row r="78691" spans="6:6" x14ac:dyDescent="0.3">
      <c r="F78691" s="193"/>
    </row>
    <row r="78692" spans="6:6" x14ac:dyDescent="0.3">
      <c r="F78692" s="193"/>
    </row>
    <row r="78693" spans="6:6" x14ac:dyDescent="0.3">
      <c r="F78693" s="193"/>
    </row>
    <row r="78694" spans="6:6" x14ac:dyDescent="0.3">
      <c r="F78694" s="193"/>
    </row>
    <row r="78695" spans="6:6" x14ac:dyDescent="0.3">
      <c r="F78695" s="193"/>
    </row>
    <row r="78696" spans="6:6" x14ac:dyDescent="0.3">
      <c r="F78696" s="193"/>
    </row>
    <row r="78697" spans="6:6" x14ac:dyDescent="0.3">
      <c r="F78697" s="193"/>
    </row>
    <row r="78698" spans="6:6" x14ac:dyDescent="0.3">
      <c r="F78698" s="193"/>
    </row>
    <row r="78699" spans="6:6" x14ac:dyDescent="0.3">
      <c r="F78699" s="193"/>
    </row>
    <row r="78700" spans="6:6" x14ac:dyDescent="0.3">
      <c r="F78700" s="193"/>
    </row>
    <row r="78701" spans="6:6" x14ac:dyDescent="0.3">
      <c r="F78701" s="193"/>
    </row>
    <row r="78702" spans="6:6" x14ac:dyDescent="0.3">
      <c r="F78702" s="193"/>
    </row>
    <row r="78703" spans="6:6" x14ac:dyDescent="0.3">
      <c r="F78703" s="193"/>
    </row>
    <row r="78704" spans="6:6" x14ac:dyDescent="0.3">
      <c r="F78704" s="193"/>
    </row>
    <row r="78705" spans="6:6" x14ac:dyDescent="0.3">
      <c r="F78705" s="193"/>
    </row>
    <row r="78706" spans="6:6" x14ac:dyDescent="0.3">
      <c r="F78706" s="193"/>
    </row>
    <row r="78707" spans="6:6" x14ac:dyDescent="0.3">
      <c r="F78707" s="193"/>
    </row>
    <row r="78708" spans="6:6" x14ac:dyDescent="0.3">
      <c r="F78708" s="193"/>
    </row>
    <row r="78709" spans="6:6" x14ac:dyDescent="0.3">
      <c r="F78709" s="193"/>
    </row>
    <row r="78710" spans="6:6" x14ac:dyDescent="0.3">
      <c r="F78710" s="193"/>
    </row>
    <row r="78711" spans="6:6" x14ac:dyDescent="0.3">
      <c r="F78711" s="193"/>
    </row>
    <row r="78712" spans="6:6" x14ac:dyDescent="0.3">
      <c r="F78712" s="193"/>
    </row>
    <row r="78713" spans="6:6" x14ac:dyDescent="0.3">
      <c r="F78713" s="193"/>
    </row>
    <row r="78714" spans="6:6" x14ac:dyDescent="0.3">
      <c r="F78714" s="193"/>
    </row>
    <row r="78715" spans="6:6" x14ac:dyDescent="0.3">
      <c r="F78715" s="193"/>
    </row>
    <row r="78716" spans="6:6" x14ac:dyDescent="0.3">
      <c r="F78716" s="193"/>
    </row>
    <row r="78717" spans="6:6" x14ac:dyDescent="0.3">
      <c r="F78717" s="193"/>
    </row>
    <row r="78718" spans="6:6" x14ac:dyDescent="0.3">
      <c r="F78718" s="193"/>
    </row>
    <row r="78719" spans="6:6" x14ac:dyDescent="0.3">
      <c r="F78719" s="193"/>
    </row>
    <row r="78720" spans="6:6" x14ac:dyDescent="0.3">
      <c r="F78720" s="193"/>
    </row>
    <row r="78721" spans="6:6" x14ac:dyDescent="0.3">
      <c r="F78721" s="193"/>
    </row>
    <row r="78722" spans="6:6" x14ac:dyDescent="0.3">
      <c r="F78722" s="193"/>
    </row>
    <row r="78723" spans="6:6" x14ac:dyDescent="0.3">
      <c r="F78723" s="193"/>
    </row>
    <row r="78724" spans="6:6" x14ac:dyDescent="0.3">
      <c r="F78724" s="193"/>
    </row>
    <row r="78725" spans="6:6" x14ac:dyDescent="0.3">
      <c r="F78725" s="193"/>
    </row>
    <row r="78726" spans="6:6" x14ac:dyDescent="0.3">
      <c r="F78726" s="193"/>
    </row>
    <row r="78727" spans="6:6" x14ac:dyDescent="0.3">
      <c r="F78727" s="193"/>
    </row>
    <row r="78728" spans="6:6" x14ac:dyDescent="0.3">
      <c r="F78728" s="193"/>
    </row>
    <row r="78729" spans="6:6" x14ac:dyDescent="0.3">
      <c r="F78729" s="193"/>
    </row>
    <row r="78730" spans="6:6" x14ac:dyDescent="0.3">
      <c r="F78730" s="193"/>
    </row>
    <row r="78731" spans="6:6" x14ac:dyDescent="0.3">
      <c r="F78731" s="193"/>
    </row>
    <row r="78732" spans="6:6" x14ac:dyDescent="0.3">
      <c r="F78732" s="193"/>
    </row>
    <row r="78733" spans="6:6" x14ac:dyDescent="0.3">
      <c r="F78733" s="193"/>
    </row>
    <row r="78734" spans="6:6" x14ac:dyDescent="0.3">
      <c r="F78734" s="193"/>
    </row>
    <row r="78735" spans="6:6" x14ac:dyDescent="0.3">
      <c r="F78735" s="193"/>
    </row>
    <row r="78736" spans="6:6" x14ac:dyDescent="0.3">
      <c r="F78736" s="193"/>
    </row>
    <row r="78737" spans="6:6" x14ac:dyDescent="0.3">
      <c r="F78737" s="193"/>
    </row>
    <row r="78738" spans="6:6" x14ac:dyDescent="0.3">
      <c r="F78738" s="193"/>
    </row>
    <row r="78739" spans="6:6" x14ac:dyDescent="0.3">
      <c r="F78739" s="193"/>
    </row>
    <row r="78740" spans="6:6" x14ac:dyDescent="0.3">
      <c r="F78740" s="193"/>
    </row>
    <row r="78741" spans="6:6" x14ac:dyDescent="0.3">
      <c r="F78741" s="193"/>
    </row>
    <row r="78742" spans="6:6" x14ac:dyDescent="0.3">
      <c r="F78742" s="193"/>
    </row>
    <row r="78743" spans="6:6" x14ac:dyDescent="0.3">
      <c r="F78743" s="193"/>
    </row>
    <row r="78744" spans="6:6" x14ac:dyDescent="0.3">
      <c r="F78744" s="193"/>
    </row>
    <row r="78745" spans="6:6" x14ac:dyDescent="0.3">
      <c r="F78745" s="193"/>
    </row>
    <row r="78746" spans="6:6" x14ac:dyDescent="0.3">
      <c r="F78746" s="193"/>
    </row>
    <row r="78747" spans="6:6" x14ac:dyDescent="0.3">
      <c r="F78747" s="193"/>
    </row>
    <row r="78748" spans="6:6" x14ac:dyDescent="0.3">
      <c r="F78748" s="193"/>
    </row>
    <row r="78749" spans="6:6" x14ac:dyDescent="0.3">
      <c r="F78749" s="193"/>
    </row>
    <row r="78750" spans="6:6" x14ac:dyDescent="0.3">
      <c r="F78750" s="193"/>
    </row>
    <row r="78751" spans="6:6" x14ac:dyDescent="0.3">
      <c r="F78751" s="193"/>
    </row>
    <row r="78752" spans="6:6" x14ac:dyDescent="0.3">
      <c r="F78752" s="193"/>
    </row>
    <row r="78753" spans="6:6" x14ac:dyDescent="0.3">
      <c r="F78753" s="193"/>
    </row>
    <row r="78754" spans="6:6" x14ac:dyDescent="0.3">
      <c r="F78754" s="193"/>
    </row>
    <row r="78755" spans="6:6" x14ac:dyDescent="0.3">
      <c r="F78755" s="193"/>
    </row>
    <row r="78756" spans="6:6" x14ac:dyDescent="0.3">
      <c r="F78756" s="193"/>
    </row>
    <row r="78757" spans="6:6" x14ac:dyDescent="0.3">
      <c r="F78757" s="193"/>
    </row>
    <row r="78758" spans="6:6" x14ac:dyDescent="0.3">
      <c r="F78758" s="193"/>
    </row>
    <row r="78759" spans="6:6" x14ac:dyDescent="0.3">
      <c r="F78759" s="193"/>
    </row>
    <row r="78760" spans="6:6" x14ac:dyDescent="0.3">
      <c r="F78760" s="193"/>
    </row>
    <row r="78761" spans="6:6" x14ac:dyDescent="0.3">
      <c r="F78761" s="193"/>
    </row>
    <row r="78762" spans="6:6" x14ac:dyDescent="0.3">
      <c r="F78762" s="193"/>
    </row>
    <row r="78763" spans="6:6" x14ac:dyDescent="0.3">
      <c r="F78763" s="193"/>
    </row>
    <row r="78764" spans="6:6" x14ac:dyDescent="0.3">
      <c r="F78764" s="193"/>
    </row>
    <row r="78765" spans="6:6" x14ac:dyDescent="0.3">
      <c r="F78765" s="193"/>
    </row>
    <row r="78766" spans="6:6" x14ac:dyDescent="0.3">
      <c r="F78766" s="193"/>
    </row>
    <row r="78767" spans="6:6" x14ac:dyDescent="0.3">
      <c r="F78767" s="193"/>
    </row>
    <row r="78768" spans="6:6" x14ac:dyDescent="0.3">
      <c r="F78768" s="193"/>
    </row>
    <row r="78769" spans="6:6" x14ac:dyDescent="0.3">
      <c r="F78769" s="193"/>
    </row>
    <row r="78770" spans="6:6" x14ac:dyDescent="0.3">
      <c r="F78770" s="193"/>
    </row>
    <row r="78771" spans="6:6" x14ac:dyDescent="0.3">
      <c r="F78771" s="193"/>
    </row>
    <row r="78772" spans="6:6" x14ac:dyDescent="0.3">
      <c r="F78772" s="193"/>
    </row>
    <row r="78773" spans="6:6" x14ac:dyDescent="0.3">
      <c r="F78773" s="193"/>
    </row>
    <row r="78774" spans="6:6" x14ac:dyDescent="0.3">
      <c r="F78774" s="193"/>
    </row>
    <row r="78775" spans="6:6" x14ac:dyDescent="0.3">
      <c r="F78775" s="193"/>
    </row>
    <row r="78776" spans="6:6" x14ac:dyDescent="0.3">
      <c r="F78776" s="193"/>
    </row>
    <row r="78777" spans="6:6" x14ac:dyDescent="0.3">
      <c r="F78777" s="193"/>
    </row>
    <row r="78778" spans="6:6" x14ac:dyDescent="0.3">
      <c r="F78778" s="193"/>
    </row>
    <row r="78779" spans="6:6" x14ac:dyDescent="0.3">
      <c r="F78779" s="193"/>
    </row>
    <row r="78780" spans="6:6" x14ac:dyDescent="0.3">
      <c r="F78780" s="193"/>
    </row>
    <row r="78781" spans="6:6" x14ac:dyDescent="0.3">
      <c r="F78781" s="193"/>
    </row>
    <row r="78782" spans="6:6" x14ac:dyDescent="0.3">
      <c r="F78782" s="193"/>
    </row>
    <row r="78783" spans="6:6" x14ac:dyDescent="0.3">
      <c r="F78783" s="193"/>
    </row>
    <row r="78784" spans="6:6" x14ac:dyDescent="0.3">
      <c r="F78784" s="193"/>
    </row>
    <row r="78785" spans="6:6" x14ac:dyDescent="0.3">
      <c r="F78785" s="193"/>
    </row>
    <row r="78786" spans="6:6" x14ac:dyDescent="0.3">
      <c r="F78786" s="193"/>
    </row>
    <row r="78787" spans="6:6" x14ac:dyDescent="0.3">
      <c r="F78787" s="193"/>
    </row>
    <row r="78788" spans="6:6" x14ac:dyDescent="0.3">
      <c r="F78788" s="193"/>
    </row>
    <row r="78789" spans="6:6" x14ac:dyDescent="0.3">
      <c r="F78789" s="193"/>
    </row>
    <row r="78790" spans="6:6" x14ac:dyDescent="0.3">
      <c r="F78790" s="193"/>
    </row>
    <row r="78791" spans="6:6" x14ac:dyDescent="0.3">
      <c r="F78791" s="193"/>
    </row>
    <row r="78792" spans="6:6" x14ac:dyDescent="0.3">
      <c r="F78792" s="193"/>
    </row>
    <row r="78793" spans="6:6" x14ac:dyDescent="0.3">
      <c r="F78793" s="193"/>
    </row>
    <row r="78794" spans="6:6" x14ac:dyDescent="0.3">
      <c r="F78794" s="193"/>
    </row>
    <row r="78795" spans="6:6" x14ac:dyDescent="0.3">
      <c r="F78795" s="193"/>
    </row>
    <row r="78796" spans="6:6" x14ac:dyDescent="0.3">
      <c r="F78796" s="193"/>
    </row>
    <row r="78797" spans="6:6" x14ac:dyDescent="0.3">
      <c r="F78797" s="193"/>
    </row>
    <row r="78798" spans="6:6" x14ac:dyDescent="0.3">
      <c r="F78798" s="193"/>
    </row>
    <row r="78799" spans="6:6" x14ac:dyDescent="0.3">
      <c r="F78799" s="193"/>
    </row>
    <row r="78800" spans="6:6" x14ac:dyDescent="0.3">
      <c r="F78800" s="193"/>
    </row>
    <row r="78801" spans="6:6" x14ac:dyDescent="0.3">
      <c r="F78801" s="193"/>
    </row>
    <row r="78802" spans="6:6" x14ac:dyDescent="0.3">
      <c r="F78802" s="193"/>
    </row>
    <row r="78803" spans="6:6" x14ac:dyDescent="0.3">
      <c r="F78803" s="193"/>
    </row>
    <row r="78804" spans="6:6" x14ac:dyDescent="0.3">
      <c r="F78804" s="193"/>
    </row>
    <row r="78805" spans="6:6" x14ac:dyDescent="0.3">
      <c r="F78805" s="193"/>
    </row>
    <row r="78806" spans="6:6" x14ac:dyDescent="0.3">
      <c r="F78806" s="193"/>
    </row>
    <row r="78807" spans="6:6" x14ac:dyDescent="0.3">
      <c r="F78807" s="193"/>
    </row>
    <row r="78808" spans="6:6" x14ac:dyDescent="0.3">
      <c r="F78808" s="193"/>
    </row>
    <row r="78809" spans="6:6" x14ac:dyDescent="0.3">
      <c r="F78809" s="193"/>
    </row>
    <row r="78810" spans="6:6" x14ac:dyDescent="0.3">
      <c r="F78810" s="193"/>
    </row>
    <row r="78811" spans="6:6" x14ac:dyDescent="0.3">
      <c r="F78811" s="193"/>
    </row>
    <row r="78812" spans="6:6" x14ac:dyDescent="0.3">
      <c r="F78812" s="193"/>
    </row>
    <row r="78813" spans="6:6" x14ac:dyDescent="0.3">
      <c r="F78813" s="193"/>
    </row>
    <row r="78814" spans="6:6" x14ac:dyDescent="0.3">
      <c r="F78814" s="193"/>
    </row>
    <row r="78815" spans="6:6" x14ac:dyDescent="0.3">
      <c r="F78815" s="193"/>
    </row>
    <row r="78816" spans="6:6" x14ac:dyDescent="0.3">
      <c r="F78816" s="193"/>
    </row>
    <row r="78817" spans="6:6" x14ac:dyDescent="0.3">
      <c r="F78817" s="193"/>
    </row>
    <row r="78818" spans="6:6" x14ac:dyDescent="0.3">
      <c r="F78818" s="193"/>
    </row>
    <row r="78819" spans="6:6" x14ac:dyDescent="0.3">
      <c r="F78819" s="193"/>
    </row>
    <row r="78820" spans="6:6" x14ac:dyDescent="0.3">
      <c r="F78820" s="193"/>
    </row>
    <row r="78821" spans="6:6" x14ac:dyDescent="0.3">
      <c r="F78821" s="193"/>
    </row>
    <row r="78822" spans="6:6" x14ac:dyDescent="0.3">
      <c r="F78822" s="193"/>
    </row>
    <row r="78823" spans="6:6" x14ac:dyDescent="0.3">
      <c r="F78823" s="193"/>
    </row>
    <row r="78824" spans="6:6" x14ac:dyDescent="0.3">
      <c r="F78824" s="193"/>
    </row>
    <row r="78825" spans="6:6" x14ac:dyDescent="0.3">
      <c r="F78825" s="193"/>
    </row>
    <row r="78826" spans="6:6" x14ac:dyDescent="0.3">
      <c r="F78826" s="193"/>
    </row>
    <row r="78827" spans="6:6" x14ac:dyDescent="0.3">
      <c r="F78827" s="193"/>
    </row>
    <row r="78828" spans="6:6" x14ac:dyDescent="0.3">
      <c r="F78828" s="193"/>
    </row>
    <row r="78829" spans="6:6" x14ac:dyDescent="0.3">
      <c r="F78829" s="193"/>
    </row>
    <row r="78830" spans="6:6" x14ac:dyDescent="0.3">
      <c r="F78830" s="193"/>
    </row>
    <row r="78831" spans="6:6" x14ac:dyDescent="0.3">
      <c r="F78831" s="193"/>
    </row>
    <row r="78832" spans="6:6" x14ac:dyDescent="0.3">
      <c r="F78832" s="193"/>
    </row>
    <row r="78833" spans="6:6" x14ac:dyDescent="0.3">
      <c r="F78833" s="193"/>
    </row>
    <row r="78834" spans="6:6" x14ac:dyDescent="0.3">
      <c r="F78834" s="193"/>
    </row>
    <row r="78835" spans="6:6" x14ac:dyDescent="0.3">
      <c r="F78835" s="193"/>
    </row>
    <row r="78836" spans="6:6" x14ac:dyDescent="0.3">
      <c r="F78836" s="193"/>
    </row>
    <row r="78837" spans="6:6" x14ac:dyDescent="0.3">
      <c r="F78837" s="193"/>
    </row>
    <row r="78838" spans="6:6" x14ac:dyDescent="0.3">
      <c r="F78838" s="193"/>
    </row>
    <row r="78839" spans="6:6" x14ac:dyDescent="0.3">
      <c r="F78839" s="193"/>
    </row>
    <row r="78840" spans="6:6" x14ac:dyDescent="0.3">
      <c r="F78840" s="193"/>
    </row>
    <row r="78841" spans="6:6" x14ac:dyDescent="0.3">
      <c r="F78841" s="193"/>
    </row>
    <row r="78842" spans="6:6" x14ac:dyDescent="0.3">
      <c r="F78842" s="193"/>
    </row>
    <row r="78843" spans="6:6" x14ac:dyDescent="0.3">
      <c r="F78843" s="193"/>
    </row>
    <row r="78844" spans="6:6" x14ac:dyDescent="0.3">
      <c r="F78844" s="193"/>
    </row>
    <row r="78845" spans="6:6" x14ac:dyDescent="0.3">
      <c r="F78845" s="193"/>
    </row>
    <row r="78846" spans="6:6" x14ac:dyDescent="0.3">
      <c r="F78846" s="193"/>
    </row>
    <row r="78847" spans="6:6" x14ac:dyDescent="0.3">
      <c r="F78847" s="193"/>
    </row>
    <row r="78848" spans="6:6" x14ac:dyDescent="0.3">
      <c r="F78848" s="193"/>
    </row>
    <row r="78849" spans="6:6" x14ac:dyDescent="0.3">
      <c r="F78849" s="193"/>
    </row>
    <row r="78850" spans="6:6" x14ac:dyDescent="0.3">
      <c r="F78850" s="193"/>
    </row>
    <row r="78851" spans="6:6" x14ac:dyDescent="0.3">
      <c r="F78851" s="193"/>
    </row>
    <row r="78852" spans="6:6" x14ac:dyDescent="0.3">
      <c r="F78852" s="193"/>
    </row>
    <row r="78853" spans="6:6" x14ac:dyDescent="0.3">
      <c r="F78853" s="193"/>
    </row>
    <row r="78854" spans="6:6" x14ac:dyDescent="0.3">
      <c r="F78854" s="193"/>
    </row>
    <row r="78855" spans="6:6" x14ac:dyDescent="0.3">
      <c r="F78855" s="193"/>
    </row>
    <row r="78856" spans="6:6" x14ac:dyDescent="0.3">
      <c r="F78856" s="193"/>
    </row>
    <row r="78857" spans="6:6" x14ac:dyDescent="0.3">
      <c r="F78857" s="193"/>
    </row>
    <row r="78858" spans="6:6" x14ac:dyDescent="0.3">
      <c r="F78858" s="193"/>
    </row>
    <row r="78859" spans="6:6" x14ac:dyDescent="0.3">
      <c r="F78859" s="193"/>
    </row>
    <row r="78860" spans="6:6" x14ac:dyDescent="0.3">
      <c r="F78860" s="193"/>
    </row>
    <row r="78861" spans="6:6" x14ac:dyDescent="0.3">
      <c r="F78861" s="193"/>
    </row>
    <row r="78862" spans="6:6" x14ac:dyDescent="0.3">
      <c r="F78862" s="193"/>
    </row>
    <row r="78863" spans="6:6" x14ac:dyDescent="0.3">
      <c r="F78863" s="193"/>
    </row>
    <row r="78864" spans="6:6" x14ac:dyDescent="0.3">
      <c r="F78864" s="193"/>
    </row>
    <row r="78865" spans="6:6" x14ac:dyDescent="0.3">
      <c r="F78865" s="193"/>
    </row>
    <row r="78866" spans="6:6" x14ac:dyDescent="0.3">
      <c r="F78866" s="193"/>
    </row>
    <row r="78867" spans="6:6" x14ac:dyDescent="0.3">
      <c r="F78867" s="193"/>
    </row>
    <row r="78868" spans="6:6" x14ac:dyDescent="0.3">
      <c r="F78868" s="193"/>
    </row>
    <row r="78869" spans="6:6" x14ac:dyDescent="0.3">
      <c r="F78869" s="193"/>
    </row>
    <row r="78870" spans="6:6" x14ac:dyDescent="0.3">
      <c r="F78870" s="193"/>
    </row>
    <row r="78871" spans="6:6" x14ac:dyDescent="0.3">
      <c r="F78871" s="193"/>
    </row>
    <row r="78872" spans="6:6" x14ac:dyDescent="0.3">
      <c r="F78872" s="193"/>
    </row>
    <row r="78873" spans="6:6" x14ac:dyDescent="0.3">
      <c r="F78873" s="193"/>
    </row>
    <row r="78874" spans="6:6" x14ac:dyDescent="0.3">
      <c r="F78874" s="193"/>
    </row>
    <row r="78875" spans="6:6" x14ac:dyDescent="0.3">
      <c r="F78875" s="193"/>
    </row>
    <row r="78876" spans="6:6" x14ac:dyDescent="0.3">
      <c r="F78876" s="193"/>
    </row>
    <row r="78877" spans="6:6" x14ac:dyDescent="0.3">
      <c r="F78877" s="193"/>
    </row>
    <row r="78878" spans="6:6" x14ac:dyDescent="0.3">
      <c r="F78878" s="193"/>
    </row>
    <row r="78879" spans="6:6" x14ac:dyDescent="0.3">
      <c r="F78879" s="193"/>
    </row>
    <row r="78880" spans="6:6" x14ac:dyDescent="0.3">
      <c r="F78880" s="193"/>
    </row>
    <row r="78881" spans="6:6" x14ac:dyDescent="0.3">
      <c r="F78881" s="193"/>
    </row>
    <row r="78882" spans="6:6" x14ac:dyDescent="0.3">
      <c r="F78882" s="193"/>
    </row>
    <row r="78883" spans="6:6" x14ac:dyDescent="0.3">
      <c r="F78883" s="193"/>
    </row>
    <row r="78884" spans="6:6" x14ac:dyDescent="0.3">
      <c r="F78884" s="193"/>
    </row>
    <row r="78885" spans="6:6" x14ac:dyDescent="0.3">
      <c r="F78885" s="193"/>
    </row>
    <row r="78886" spans="6:6" x14ac:dyDescent="0.3">
      <c r="F78886" s="193"/>
    </row>
    <row r="78887" spans="6:6" x14ac:dyDescent="0.3">
      <c r="F78887" s="193"/>
    </row>
    <row r="78888" spans="6:6" x14ac:dyDescent="0.3">
      <c r="F78888" s="193"/>
    </row>
    <row r="78889" spans="6:6" x14ac:dyDescent="0.3">
      <c r="F78889" s="193"/>
    </row>
    <row r="78890" spans="6:6" x14ac:dyDescent="0.3">
      <c r="F78890" s="193"/>
    </row>
    <row r="78891" spans="6:6" x14ac:dyDescent="0.3">
      <c r="F78891" s="193"/>
    </row>
    <row r="78892" spans="6:6" x14ac:dyDescent="0.3">
      <c r="F78892" s="193"/>
    </row>
    <row r="78893" spans="6:6" x14ac:dyDescent="0.3">
      <c r="F78893" s="193"/>
    </row>
    <row r="78894" spans="6:6" x14ac:dyDescent="0.3">
      <c r="F78894" s="193"/>
    </row>
    <row r="78895" spans="6:6" x14ac:dyDescent="0.3">
      <c r="F78895" s="193"/>
    </row>
    <row r="78896" spans="6:6" x14ac:dyDescent="0.3">
      <c r="F78896" s="193"/>
    </row>
    <row r="78897" spans="6:6" x14ac:dyDescent="0.3">
      <c r="F78897" s="193"/>
    </row>
    <row r="78898" spans="6:6" x14ac:dyDescent="0.3">
      <c r="F78898" s="193"/>
    </row>
    <row r="78899" spans="6:6" x14ac:dyDescent="0.3">
      <c r="F78899" s="193"/>
    </row>
    <row r="78900" spans="6:6" x14ac:dyDescent="0.3">
      <c r="F78900" s="193"/>
    </row>
    <row r="78901" spans="6:6" x14ac:dyDescent="0.3">
      <c r="F78901" s="193"/>
    </row>
    <row r="78902" spans="6:6" x14ac:dyDescent="0.3">
      <c r="F78902" s="193"/>
    </row>
    <row r="78903" spans="6:6" x14ac:dyDescent="0.3">
      <c r="F78903" s="193"/>
    </row>
    <row r="78904" spans="6:6" x14ac:dyDescent="0.3">
      <c r="F78904" s="193"/>
    </row>
    <row r="78905" spans="6:6" x14ac:dyDescent="0.3">
      <c r="F78905" s="193"/>
    </row>
    <row r="78906" spans="6:6" x14ac:dyDescent="0.3">
      <c r="F78906" s="193"/>
    </row>
    <row r="78907" spans="6:6" x14ac:dyDescent="0.3">
      <c r="F78907" s="193"/>
    </row>
    <row r="78908" spans="6:6" x14ac:dyDescent="0.3">
      <c r="F78908" s="193"/>
    </row>
    <row r="78909" spans="6:6" x14ac:dyDescent="0.3">
      <c r="F78909" s="193"/>
    </row>
    <row r="78910" spans="6:6" x14ac:dyDescent="0.3">
      <c r="F78910" s="193"/>
    </row>
    <row r="78911" spans="6:6" x14ac:dyDescent="0.3">
      <c r="F78911" s="193"/>
    </row>
    <row r="78912" spans="6:6" x14ac:dyDescent="0.3">
      <c r="F78912" s="193"/>
    </row>
    <row r="78913" spans="6:6" x14ac:dyDescent="0.3">
      <c r="F78913" s="193"/>
    </row>
    <row r="78914" spans="6:6" x14ac:dyDescent="0.3">
      <c r="F78914" s="193"/>
    </row>
    <row r="78915" spans="6:6" x14ac:dyDescent="0.3">
      <c r="F78915" s="193"/>
    </row>
    <row r="78916" spans="6:6" x14ac:dyDescent="0.3">
      <c r="F78916" s="193"/>
    </row>
    <row r="78917" spans="6:6" x14ac:dyDescent="0.3">
      <c r="F78917" s="193"/>
    </row>
    <row r="78918" spans="6:6" x14ac:dyDescent="0.3">
      <c r="F78918" s="193"/>
    </row>
    <row r="78919" spans="6:6" x14ac:dyDescent="0.3">
      <c r="F78919" s="193"/>
    </row>
    <row r="78920" spans="6:6" x14ac:dyDescent="0.3">
      <c r="F78920" s="193"/>
    </row>
    <row r="78921" spans="6:6" x14ac:dyDescent="0.3">
      <c r="F78921" s="193"/>
    </row>
    <row r="78922" spans="6:6" x14ac:dyDescent="0.3">
      <c r="F78922" s="193"/>
    </row>
    <row r="78923" spans="6:6" x14ac:dyDescent="0.3">
      <c r="F78923" s="193"/>
    </row>
    <row r="78924" spans="6:6" x14ac:dyDescent="0.3">
      <c r="F78924" s="193"/>
    </row>
    <row r="78925" spans="6:6" x14ac:dyDescent="0.3">
      <c r="F78925" s="193"/>
    </row>
    <row r="78926" spans="6:6" x14ac:dyDescent="0.3">
      <c r="F78926" s="193"/>
    </row>
    <row r="78927" spans="6:6" x14ac:dyDescent="0.3">
      <c r="F78927" s="193"/>
    </row>
    <row r="78928" spans="6:6" x14ac:dyDescent="0.3">
      <c r="F78928" s="193"/>
    </row>
    <row r="78929" spans="6:6" x14ac:dyDescent="0.3">
      <c r="F78929" s="193"/>
    </row>
    <row r="78930" spans="6:6" x14ac:dyDescent="0.3">
      <c r="F78930" s="193"/>
    </row>
    <row r="78931" spans="6:6" x14ac:dyDescent="0.3">
      <c r="F78931" s="193"/>
    </row>
    <row r="78932" spans="6:6" x14ac:dyDescent="0.3">
      <c r="F78932" s="193"/>
    </row>
    <row r="78933" spans="6:6" x14ac:dyDescent="0.3">
      <c r="F78933" s="193"/>
    </row>
    <row r="78934" spans="6:6" x14ac:dyDescent="0.3">
      <c r="F78934" s="193"/>
    </row>
    <row r="78935" spans="6:6" x14ac:dyDescent="0.3">
      <c r="F78935" s="193"/>
    </row>
    <row r="78936" spans="6:6" x14ac:dyDescent="0.3">
      <c r="F78936" s="193"/>
    </row>
    <row r="78937" spans="6:6" x14ac:dyDescent="0.3">
      <c r="F78937" s="193"/>
    </row>
    <row r="78938" spans="6:6" x14ac:dyDescent="0.3">
      <c r="F78938" s="193"/>
    </row>
    <row r="78939" spans="6:6" x14ac:dyDescent="0.3">
      <c r="F78939" s="193"/>
    </row>
    <row r="78940" spans="6:6" x14ac:dyDescent="0.3">
      <c r="F78940" s="193"/>
    </row>
    <row r="78941" spans="6:6" x14ac:dyDescent="0.3">
      <c r="F78941" s="193"/>
    </row>
    <row r="78942" spans="6:6" x14ac:dyDescent="0.3">
      <c r="F78942" s="193"/>
    </row>
    <row r="78943" spans="6:6" x14ac:dyDescent="0.3">
      <c r="F78943" s="193"/>
    </row>
    <row r="78944" spans="6:6" x14ac:dyDescent="0.3">
      <c r="F78944" s="193"/>
    </row>
    <row r="78945" spans="6:6" x14ac:dyDescent="0.3">
      <c r="F78945" s="193"/>
    </row>
    <row r="78946" spans="6:6" x14ac:dyDescent="0.3">
      <c r="F78946" s="193"/>
    </row>
    <row r="78947" spans="6:6" x14ac:dyDescent="0.3">
      <c r="F78947" s="193"/>
    </row>
    <row r="78948" spans="6:6" x14ac:dyDescent="0.3">
      <c r="F78948" s="193"/>
    </row>
    <row r="78949" spans="6:6" x14ac:dyDescent="0.3">
      <c r="F78949" s="193"/>
    </row>
    <row r="78950" spans="6:6" x14ac:dyDescent="0.3">
      <c r="F78950" s="193"/>
    </row>
    <row r="78951" spans="6:6" x14ac:dyDescent="0.3">
      <c r="F78951" s="193"/>
    </row>
    <row r="78952" spans="6:6" x14ac:dyDescent="0.3">
      <c r="F78952" s="193"/>
    </row>
    <row r="78953" spans="6:6" x14ac:dyDescent="0.3">
      <c r="F78953" s="193"/>
    </row>
    <row r="78954" spans="6:6" x14ac:dyDescent="0.3">
      <c r="F78954" s="193"/>
    </row>
    <row r="78955" spans="6:6" x14ac:dyDescent="0.3">
      <c r="F78955" s="193"/>
    </row>
    <row r="78956" spans="6:6" x14ac:dyDescent="0.3">
      <c r="F78956" s="193"/>
    </row>
    <row r="78957" spans="6:6" x14ac:dyDescent="0.3">
      <c r="F78957" s="193"/>
    </row>
    <row r="78958" spans="6:6" x14ac:dyDescent="0.3">
      <c r="F78958" s="193"/>
    </row>
    <row r="78959" spans="6:6" x14ac:dyDescent="0.3">
      <c r="F78959" s="193"/>
    </row>
    <row r="78960" spans="6:6" x14ac:dyDescent="0.3">
      <c r="F78960" s="193"/>
    </row>
    <row r="78961" spans="6:6" x14ac:dyDescent="0.3">
      <c r="F78961" s="193"/>
    </row>
    <row r="78962" spans="6:6" x14ac:dyDescent="0.3">
      <c r="F78962" s="193"/>
    </row>
    <row r="78963" spans="6:6" x14ac:dyDescent="0.3">
      <c r="F78963" s="193"/>
    </row>
    <row r="78964" spans="6:6" x14ac:dyDescent="0.3">
      <c r="F78964" s="193"/>
    </row>
    <row r="78965" spans="6:6" x14ac:dyDescent="0.3">
      <c r="F78965" s="193"/>
    </row>
    <row r="78966" spans="6:6" x14ac:dyDescent="0.3">
      <c r="F78966" s="193"/>
    </row>
    <row r="78967" spans="6:6" x14ac:dyDescent="0.3">
      <c r="F78967" s="193"/>
    </row>
    <row r="78968" spans="6:6" x14ac:dyDescent="0.3">
      <c r="F78968" s="193"/>
    </row>
    <row r="78969" spans="6:6" x14ac:dyDescent="0.3">
      <c r="F78969" s="193"/>
    </row>
    <row r="78970" spans="6:6" x14ac:dyDescent="0.3">
      <c r="F78970" s="193"/>
    </row>
    <row r="78971" spans="6:6" x14ac:dyDescent="0.3">
      <c r="F78971" s="193"/>
    </row>
    <row r="78972" spans="6:6" x14ac:dyDescent="0.3">
      <c r="F78972" s="193"/>
    </row>
    <row r="78973" spans="6:6" x14ac:dyDescent="0.3">
      <c r="F78973" s="193"/>
    </row>
    <row r="78974" spans="6:6" x14ac:dyDescent="0.3">
      <c r="F78974" s="193"/>
    </row>
    <row r="78975" spans="6:6" x14ac:dyDescent="0.3">
      <c r="F78975" s="193"/>
    </row>
    <row r="78976" spans="6:6" x14ac:dyDescent="0.3">
      <c r="F78976" s="193"/>
    </row>
    <row r="78977" spans="6:6" x14ac:dyDescent="0.3">
      <c r="F78977" s="193"/>
    </row>
    <row r="78978" spans="6:6" x14ac:dyDescent="0.3">
      <c r="F78978" s="193"/>
    </row>
    <row r="78979" spans="6:6" x14ac:dyDescent="0.3">
      <c r="F78979" s="193"/>
    </row>
    <row r="78980" spans="6:6" x14ac:dyDescent="0.3">
      <c r="F78980" s="193"/>
    </row>
    <row r="78981" spans="6:6" x14ac:dyDescent="0.3">
      <c r="F78981" s="193"/>
    </row>
    <row r="78982" spans="6:6" x14ac:dyDescent="0.3">
      <c r="F78982" s="193"/>
    </row>
    <row r="78983" spans="6:6" x14ac:dyDescent="0.3">
      <c r="F78983" s="193"/>
    </row>
    <row r="78984" spans="6:6" x14ac:dyDescent="0.3">
      <c r="F78984" s="193"/>
    </row>
    <row r="78985" spans="6:6" x14ac:dyDescent="0.3">
      <c r="F78985" s="193"/>
    </row>
    <row r="78986" spans="6:6" x14ac:dyDescent="0.3">
      <c r="F78986" s="193"/>
    </row>
    <row r="78987" spans="6:6" x14ac:dyDescent="0.3">
      <c r="F78987" s="193"/>
    </row>
    <row r="78988" spans="6:6" x14ac:dyDescent="0.3">
      <c r="F78988" s="193"/>
    </row>
    <row r="78989" spans="6:6" x14ac:dyDescent="0.3">
      <c r="F78989" s="193"/>
    </row>
    <row r="78990" spans="6:6" x14ac:dyDescent="0.3">
      <c r="F78990" s="193"/>
    </row>
    <row r="78991" spans="6:6" x14ac:dyDescent="0.3">
      <c r="F78991" s="193"/>
    </row>
    <row r="78992" spans="6:6" x14ac:dyDescent="0.3">
      <c r="F78992" s="193"/>
    </row>
    <row r="78993" spans="6:6" x14ac:dyDescent="0.3">
      <c r="F78993" s="193"/>
    </row>
    <row r="78994" spans="6:6" x14ac:dyDescent="0.3">
      <c r="F78994" s="193"/>
    </row>
    <row r="78995" spans="6:6" x14ac:dyDescent="0.3">
      <c r="F78995" s="193"/>
    </row>
    <row r="78996" spans="6:6" x14ac:dyDescent="0.3">
      <c r="F78996" s="193"/>
    </row>
    <row r="78997" spans="6:6" x14ac:dyDescent="0.3">
      <c r="F78997" s="193"/>
    </row>
    <row r="78998" spans="6:6" x14ac:dyDescent="0.3">
      <c r="F78998" s="193"/>
    </row>
    <row r="78999" spans="6:6" x14ac:dyDescent="0.3">
      <c r="F78999" s="193"/>
    </row>
    <row r="79000" spans="6:6" x14ac:dyDescent="0.3">
      <c r="F79000" s="193"/>
    </row>
    <row r="79001" spans="6:6" x14ac:dyDescent="0.3">
      <c r="F79001" s="193"/>
    </row>
    <row r="79002" spans="6:6" x14ac:dyDescent="0.3">
      <c r="F79002" s="193"/>
    </row>
    <row r="79003" spans="6:6" x14ac:dyDescent="0.3">
      <c r="F79003" s="193"/>
    </row>
    <row r="79004" spans="6:6" x14ac:dyDescent="0.3">
      <c r="F79004" s="193"/>
    </row>
    <row r="79005" spans="6:6" x14ac:dyDescent="0.3">
      <c r="F79005" s="193"/>
    </row>
    <row r="79006" spans="6:6" x14ac:dyDescent="0.3">
      <c r="F79006" s="193"/>
    </row>
    <row r="79007" spans="6:6" x14ac:dyDescent="0.3">
      <c r="F79007" s="193"/>
    </row>
    <row r="79008" spans="6:6" x14ac:dyDescent="0.3">
      <c r="F79008" s="193"/>
    </row>
    <row r="79009" spans="6:6" x14ac:dyDescent="0.3">
      <c r="F79009" s="193"/>
    </row>
    <row r="79010" spans="6:6" x14ac:dyDescent="0.3">
      <c r="F79010" s="193"/>
    </row>
    <row r="79011" spans="6:6" x14ac:dyDescent="0.3">
      <c r="F79011" s="193"/>
    </row>
    <row r="79012" spans="6:6" x14ac:dyDescent="0.3">
      <c r="F79012" s="193"/>
    </row>
    <row r="79013" spans="6:6" x14ac:dyDescent="0.3">
      <c r="F79013" s="193"/>
    </row>
    <row r="79014" spans="6:6" x14ac:dyDescent="0.3">
      <c r="F79014" s="193"/>
    </row>
    <row r="79015" spans="6:6" x14ac:dyDescent="0.3">
      <c r="F79015" s="193"/>
    </row>
    <row r="79016" spans="6:6" x14ac:dyDescent="0.3">
      <c r="F79016" s="193"/>
    </row>
    <row r="79017" spans="6:6" x14ac:dyDescent="0.3">
      <c r="F79017" s="193"/>
    </row>
    <row r="79018" spans="6:6" x14ac:dyDescent="0.3">
      <c r="F79018" s="193"/>
    </row>
    <row r="79019" spans="6:6" x14ac:dyDescent="0.3">
      <c r="F79019" s="193"/>
    </row>
    <row r="79020" spans="6:6" x14ac:dyDescent="0.3">
      <c r="F79020" s="193"/>
    </row>
    <row r="79021" spans="6:6" x14ac:dyDescent="0.3">
      <c r="F79021" s="193"/>
    </row>
    <row r="79022" spans="6:6" x14ac:dyDescent="0.3">
      <c r="F79022" s="193"/>
    </row>
    <row r="79023" spans="6:6" x14ac:dyDescent="0.3">
      <c r="F79023" s="193"/>
    </row>
    <row r="79024" spans="6:6" x14ac:dyDescent="0.3">
      <c r="F79024" s="193"/>
    </row>
    <row r="79025" spans="6:6" x14ac:dyDescent="0.3">
      <c r="F79025" s="193"/>
    </row>
    <row r="79026" spans="6:6" x14ac:dyDescent="0.3">
      <c r="F79026" s="193"/>
    </row>
    <row r="79027" spans="6:6" x14ac:dyDescent="0.3">
      <c r="F79027" s="193"/>
    </row>
    <row r="79028" spans="6:6" x14ac:dyDescent="0.3">
      <c r="F79028" s="193"/>
    </row>
    <row r="79029" spans="6:6" x14ac:dyDescent="0.3">
      <c r="F79029" s="193"/>
    </row>
    <row r="79030" spans="6:6" x14ac:dyDescent="0.3">
      <c r="F79030" s="193"/>
    </row>
    <row r="79031" spans="6:6" x14ac:dyDescent="0.3">
      <c r="F79031" s="193"/>
    </row>
    <row r="79032" spans="6:6" x14ac:dyDescent="0.3">
      <c r="F79032" s="193"/>
    </row>
    <row r="79033" spans="6:6" x14ac:dyDescent="0.3">
      <c r="F79033" s="193"/>
    </row>
    <row r="79034" spans="6:6" x14ac:dyDescent="0.3">
      <c r="F79034" s="193"/>
    </row>
    <row r="79035" spans="6:6" x14ac:dyDescent="0.3">
      <c r="F79035" s="193"/>
    </row>
    <row r="79036" spans="6:6" x14ac:dyDescent="0.3">
      <c r="F79036" s="193"/>
    </row>
    <row r="79037" spans="6:6" x14ac:dyDescent="0.3">
      <c r="F79037" s="193"/>
    </row>
    <row r="79038" spans="6:6" x14ac:dyDescent="0.3">
      <c r="F79038" s="193"/>
    </row>
    <row r="79039" spans="6:6" x14ac:dyDescent="0.3">
      <c r="F79039" s="193"/>
    </row>
    <row r="79040" spans="6:6" x14ac:dyDescent="0.3">
      <c r="F79040" s="193"/>
    </row>
    <row r="79041" spans="6:6" x14ac:dyDescent="0.3">
      <c r="F79041" s="193"/>
    </row>
    <row r="79042" spans="6:6" x14ac:dyDescent="0.3">
      <c r="F79042" s="193"/>
    </row>
    <row r="79043" spans="6:6" x14ac:dyDescent="0.3">
      <c r="F79043" s="193"/>
    </row>
    <row r="79044" spans="6:6" x14ac:dyDescent="0.3">
      <c r="F79044" s="193"/>
    </row>
    <row r="79045" spans="6:6" x14ac:dyDescent="0.3">
      <c r="F79045" s="193"/>
    </row>
    <row r="79046" spans="6:6" x14ac:dyDescent="0.3">
      <c r="F79046" s="193"/>
    </row>
    <row r="79047" spans="6:6" x14ac:dyDescent="0.3">
      <c r="F79047" s="193"/>
    </row>
    <row r="79048" spans="6:6" x14ac:dyDescent="0.3">
      <c r="F79048" s="193"/>
    </row>
    <row r="79049" spans="6:6" x14ac:dyDescent="0.3">
      <c r="F79049" s="193"/>
    </row>
    <row r="79050" spans="6:6" x14ac:dyDescent="0.3">
      <c r="F79050" s="193"/>
    </row>
    <row r="79051" spans="6:6" x14ac:dyDescent="0.3">
      <c r="F79051" s="193"/>
    </row>
    <row r="79052" spans="6:6" x14ac:dyDescent="0.3">
      <c r="F79052" s="193"/>
    </row>
    <row r="79053" spans="6:6" x14ac:dyDescent="0.3">
      <c r="F79053" s="193"/>
    </row>
    <row r="79054" spans="6:6" x14ac:dyDescent="0.3">
      <c r="F79054" s="193"/>
    </row>
    <row r="79055" spans="6:6" x14ac:dyDescent="0.3">
      <c r="F79055" s="193"/>
    </row>
    <row r="79056" spans="6:6" x14ac:dyDescent="0.3">
      <c r="F79056" s="193"/>
    </row>
    <row r="79057" spans="6:6" x14ac:dyDescent="0.3">
      <c r="F79057" s="193"/>
    </row>
    <row r="79058" spans="6:6" x14ac:dyDescent="0.3">
      <c r="F79058" s="193"/>
    </row>
    <row r="79059" spans="6:6" x14ac:dyDescent="0.3">
      <c r="F79059" s="193"/>
    </row>
    <row r="79060" spans="6:6" x14ac:dyDescent="0.3">
      <c r="F79060" s="193"/>
    </row>
    <row r="79061" spans="6:6" x14ac:dyDescent="0.3">
      <c r="F79061" s="193"/>
    </row>
    <row r="79062" spans="6:6" x14ac:dyDescent="0.3">
      <c r="F79062" s="193"/>
    </row>
    <row r="79063" spans="6:6" x14ac:dyDescent="0.3">
      <c r="F79063" s="193"/>
    </row>
    <row r="79064" spans="6:6" x14ac:dyDescent="0.3">
      <c r="F79064" s="193"/>
    </row>
    <row r="79065" spans="6:6" x14ac:dyDescent="0.3">
      <c r="F79065" s="193"/>
    </row>
    <row r="79066" spans="6:6" x14ac:dyDescent="0.3">
      <c r="F79066" s="193"/>
    </row>
    <row r="79067" spans="6:6" x14ac:dyDescent="0.3">
      <c r="F79067" s="193"/>
    </row>
    <row r="79068" spans="6:6" x14ac:dyDescent="0.3">
      <c r="F79068" s="193"/>
    </row>
    <row r="79069" spans="6:6" x14ac:dyDescent="0.3">
      <c r="F79069" s="193"/>
    </row>
    <row r="79070" spans="6:6" x14ac:dyDescent="0.3">
      <c r="F79070" s="193"/>
    </row>
    <row r="79071" spans="6:6" x14ac:dyDescent="0.3">
      <c r="F79071" s="193"/>
    </row>
    <row r="79072" spans="6:6" x14ac:dyDescent="0.3">
      <c r="F79072" s="193"/>
    </row>
    <row r="79073" spans="6:6" x14ac:dyDescent="0.3">
      <c r="F79073" s="193"/>
    </row>
    <row r="79074" spans="6:6" x14ac:dyDescent="0.3">
      <c r="F79074" s="193"/>
    </row>
    <row r="79075" spans="6:6" x14ac:dyDescent="0.3">
      <c r="F79075" s="193"/>
    </row>
    <row r="79076" spans="6:6" x14ac:dyDescent="0.3">
      <c r="F79076" s="193"/>
    </row>
    <row r="79077" spans="6:6" x14ac:dyDescent="0.3">
      <c r="F79077" s="193"/>
    </row>
    <row r="79078" spans="6:6" x14ac:dyDescent="0.3">
      <c r="F79078" s="193"/>
    </row>
    <row r="79079" spans="6:6" x14ac:dyDescent="0.3">
      <c r="F79079" s="193"/>
    </row>
    <row r="79080" spans="6:6" x14ac:dyDescent="0.3">
      <c r="F79080" s="193"/>
    </row>
    <row r="79081" spans="6:6" x14ac:dyDescent="0.3">
      <c r="F79081" s="193"/>
    </row>
    <row r="79082" spans="6:6" x14ac:dyDescent="0.3">
      <c r="F79082" s="193"/>
    </row>
    <row r="79083" spans="6:6" x14ac:dyDescent="0.3">
      <c r="F79083" s="193"/>
    </row>
    <row r="79084" spans="6:6" x14ac:dyDescent="0.3">
      <c r="F79084" s="193"/>
    </row>
    <row r="79085" spans="6:6" x14ac:dyDescent="0.3">
      <c r="F79085" s="193"/>
    </row>
    <row r="79086" spans="6:6" x14ac:dyDescent="0.3">
      <c r="F79086" s="193"/>
    </row>
    <row r="79087" spans="6:6" x14ac:dyDescent="0.3">
      <c r="F79087" s="193"/>
    </row>
    <row r="79088" spans="6:6" x14ac:dyDescent="0.3">
      <c r="F79088" s="193"/>
    </row>
    <row r="79089" spans="6:6" x14ac:dyDescent="0.3">
      <c r="F79089" s="193"/>
    </row>
    <row r="79090" spans="6:6" x14ac:dyDescent="0.3">
      <c r="F79090" s="193"/>
    </row>
    <row r="79091" spans="6:6" x14ac:dyDescent="0.3">
      <c r="F79091" s="193"/>
    </row>
    <row r="79092" spans="6:6" x14ac:dyDescent="0.3">
      <c r="F79092" s="193"/>
    </row>
    <row r="79093" spans="6:6" x14ac:dyDescent="0.3">
      <c r="F79093" s="193"/>
    </row>
    <row r="79094" spans="6:6" x14ac:dyDescent="0.3">
      <c r="F79094" s="193"/>
    </row>
    <row r="79095" spans="6:6" x14ac:dyDescent="0.3">
      <c r="F79095" s="193"/>
    </row>
    <row r="79096" spans="6:6" x14ac:dyDescent="0.3">
      <c r="F79096" s="193"/>
    </row>
    <row r="79097" spans="6:6" x14ac:dyDescent="0.3">
      <c r="F79097" s="193"/>
    </row>
    <row r="79098" spans="6:6" x14ac:dyDescent="0.3">
      <c r="F79098" s="193"/>
    </row>
    <row r="79099" spans="6:6" x14ac:dyDescent="0.3">
      <c r="F79099" s="193"/>
    </row>
    <row r="79100" spans="6:6" x14ac:dyDescent="0.3">
      <c r="F79100" s="193"/>
    </row>
    <row r="79101" spans="6:6" x14ac:dyDescent="0.3">
      <c r="F79101" s="193"/>
    </row>
    <row r="79102" spans="6:6" x14ac:dyDescent="0.3">
      <c r="F79102" s="193"/>
    </row>
    <row r="79103" spans="6:6" x14ac:dyDescent="0.3">
      <c r="F79103" s="193"/>
    </row>
    <row r="79104" spans="6:6" x14ac:dyDescent="0.3">
      <c r="F79104" s="193"/>
    </row>
    <row r="79105" spans="6:6" x14ac:dyDescent="0.3">
      <c r="F79105" s="193"/>
    </row>
    <row r="79106" spans="6:6" x14ac:dyDescent="0.3">
      <c r="F79106" s="193"/>
    </row>
    <row r="79107" spans="6:6" x14ac:dyDescent="0.3">
      <c r="F79107" s="193"/>
    </row>
    <row r="79108" spans="6:6" x14ac:dyDescent="0.3">
      <c r="F79108" s="193"/>
    </row>
    <row r="79109" spans="6:6" x14ac:dyDescent="0.3">
      <c r="F79109" s="193"/>
    </row>
    <row r="79110" spans="6:6" x14ac:dyDescent="0.3">
      <c r="F79110" s="193"/>
    </row>
    <row r="79111" spans="6:6" x14ac:dyDescent="0.3">
      <c r="F79111" s="193"/>
    </row>
    <row r="79112" spans="6:6" x14ac:dyDescent="0.3">
      <c r="F79112" s="193"/>
    </row>
    <row r="79113" spans="6:6" x14ac:dyDescent="0.3">
      <c r="F79113" s="193"/>
    </row>
    <row r="79114" spans="6:6" x14ac:dyDescent="0.3">
      <c r="F79114" s="193"/>
    </row>
    <row r="79115" spans="6:6" x14ac:dyDescent="0.3">
      <c r="F79115" s="193"/>
    </row>
    <row r="79116" spans="6:6" x14ac:dyDescent="0.3">
      <c r="F79116" s="193"/>
    </row>
    <row r="79117" spans="6:6" x14ac:dyDescent="0.3">
      <c r="F79117" s="193"/>
    </row>
    <row r="79118" spans="6:6" x14ac:dyDescent="0.3">
      <c r="F79118" s="193"/>
    </row>
    <row r="79119" spans="6:6" x14ac:dyDescent="0.3">
      <c r="F79119" s="193"/>
    </row>
    <row r="79120" spans="6:6" x14ac:dyDescent="0.3">
      <c r="F79120" s="193"/>
    </row>
    <row r="79121" spans="6:6" x14ac:dyDescent="0.3">
      <c r="F79121" s="193"/>
    </row>
    <row r="79122" spans="6:6" x14ac:dyDescent="0.3">
      <c r="F79122" s="193"/>
    </row>
    <row r="79123" spans="6:6" x14ac:dyDescent="0.3">
      <c r="F79123" s="193"/>
    </row>
    <row r="79124" spans="6:6" x14ac:dyDescent="0.3">
      <c r="F79124" s="193"/>
    </row>
    <row r="79125" spans="6:6" x14ac:dyDescent="0.3">
      <c r="F79125" s="193"/>
    </row>
    <row r="79126" spans="6:6" x14ac:dyDescent="0.3">
      <c r="F79126" s="193"/>
    </row>
    <row r="79127" spans="6:6" x14ac:dyDescent="0.3">
      <c r="F79127" s="193"/>
    </row>
    <row r="79128" spans="6:6" x14ac:dyDescent="0.3">
      <c r="F79128" s="193"/>
    </row>
    <row r="79129" spans="6:6" x14ac:dyDescent="0.3">
      <c r="F79129" s="193"/>
    </row>
    <row r="79130" spans="6:6" x14ac:dyDescent="0.3">
      <c r="F79130" s="193"/>
    </row>
    <row r="79131" spans="6:6" x14ac:dyDescent="0.3">
      <c r="F79131" s="193"/>
    </row>
    <row r="79132" spans="6:6" x14ac:dyDescent="0.3">
      <c r="F79132" s="193"/>
    </row>
    <row r="79133" spans="6:6" x14ac:dyDescent="0.3">
      <c r="F79133" s="193"/>
    </row>
    <row r="79134" spans="6:6" x14ac:dyDescent="0.3">
      <c r="F79134" s="193"/>
    </row>
    <row r="79135" spans="6:6" x14ac:dyDescent="0.3">
      <c r="F79135" s="193"/>
    </row>
    <row r="79136" spans="6:6" x14ac:dyDescent="0.3">
      <c r="F79136" s="193"/>
    </row>
    <row r="79137" spans="6:6" x14ac:dyDescent="0.3">
      <c r="F79137" s="193"/>
    </row>
    <row r="79138" spans="6:6" x14ac:dyDescent="0.3">
      <c r="F79138" s="193"/>
    </row>
    <row r="79139" spans="6:6" x14ac:dyDescent="0.3">
      <c r="F79139" s="193"/>
    </row>
    <row r="79140" spans="6:6" x14ac:dyDescent="0.3">
      <c r="F79140" s="193"/>
    </row>
    <row r="79141" spans="6:6" x14ac:dyDescent="0.3">
      <c r="F79141" s="193"/>
    </row>
    <row r="79142" spans="6:6" x14ac:dyDescent="0.3">
      <c r="F79142" s="193"/>
    </row>
    <row r="79143" spans="6:6" x14ac:dyDescent="0.3">
      <c r="F79143" s="193"/>
    </row>
    <row r="79144" spans="6:6" x14ac:dyDescent="0.3">
      <c r="F79144" s="193"/>
    </row>
    <row r="79145" spans="6:6" x14ac:dyDescent="0.3">
      <c r="F79145" s="193"/>
    </row>
    <row r="79146" spans="6:6" x14ac:dyDescent="0.3">
      <c r="F79146" s="193"/>
    </row>
    <row r="79147" spans="6:6" x14ac:dyDescent="0.3">
      <c r="F79147" s="193"/>
    </row>
    <row r="79148" spans="6:6" x14ac:dyDescent="0.3">
      <c r="F79148" s="193"/>
    </row>
    <row r="79149" spans="6:6" x14ac:dyDescent="0.3">
      <c r="F79149" s="193"/>
    </row>
    <row r="79150" spans="6:6" x14ac:dyDescent="0.3">
      <c r="F79150" s="193"/>
    </row>
    <row r="79151" spans="6:6" x14ac:dyDescent="0.3">
      <c r="F79151" s="193"/>
    </row>
    <row r="79152" spans="6:6" x14ac:dyDescent="0.3">
      <c r="F79152" s="193"/>
    </row>
    <row r="79153" spans="6:6" x14ac:dyDescent="0.3">
      <c r="F79153" s="193"/>
    </row>
    <row r="79154" spans="6:6" x14ac:dyDescent="0.3">
      <c r="F79154" s="193"/>
    </row>
    <row r="79155" spans="6:6" x14ac:dyDescent="0.3">
      <c r="F79155" s="193"/>
    </row>
    <row r="79156" spans="6:6" x14ac:dyDescent="0.3">
      <c r="F79156" s="193"/>
    </row>
    <row r="79157" spans="6:6" x14ac:dyDescent="0.3">
      <c r="F79157" s="193"/>
    </row>
    <row r="79158" spans="6:6" x14ac:dyDescent="0.3">
      <c r="F79158" s="193"/>
    </row>
    <row r="79159" spans="6:6" x14ac:dyDescent="0.3">
      <c r="F79159" s="193"/>
    </row>
    <row r="79160" spans="6:6" x14ac:dyDescent="0.3">
      <c r="F79160" s="193"/>
    </row>
    <row r="79161" spans="6:6" x14ac:dyDescent="0.3">
      <c r="F79161" s="193"/>
    </row>
    <row r="79162" spans="6:6" x14ac:dyDescent="0.3">
      <c r="F79162" s="193"/>
    </row>
    <row r="79163" spans="6:6" x14ac:dyDescent="0.3">
      <c r="F79163" s="193"/>
    </row>
    <row r="79164" spans="6:6" x14ac:dyDescent="0.3">
      <c r="F79164" s="193"/>
    </row>
    <row r="79165" spans="6:6" x14ac:dyDescent="0.3">
      <c r="F79165" s="193"/>
    </row>
    <row r="79166" spans="6:6" x14ac:dyDescent="0.3">
      <c r="F79166" s="193"/>
    </row>
    <row r="79167" spans="6:6" x14ac:dyDescent="0.3">
      <c r="F79167" s="193"/>
    </row>
    <row r="79168" spans="6:6" x14ac:dyDescent="0.3">
      <c r="F79168" s="193"/>
    </row>
    <row r="79169" spans="6:6" x14ac:dyDescent="0.3">
      <c r="F79169" s="193"/>
    </row>
    <row r="79170" spans="6:6" x14ac:dyDescent="0.3">
      <c r="F79170" s="193"/>
    </row>
    <row r="79171" spans="6:6" x14ac:dyDescent="0.3">
      <c r="F79171" s="193"/>
    </row>
    <row r="79172" spans="6:6" x14ac:dyDescent="0.3">
      <c r="F79172" s="193"/>
    </row>
    <row r="79173" spans="6:6" x14ac:dyDescent="0.3">
      <c r="F79173" s="193"/>
    </row>
    <row r="79174" spans="6:6" x14ac:dyDescent="0.3">
      <c r="F79174" s="193"/>
    </row>
    <row r="79175" spans="6:6" x14ac:dyDescent="0.3">
      <c r="F79175" s="193"/>
    </row>
    <row r="79176" spans="6:6" x14ac:dyDescent="0.3">
      <c r="F79176" s="193"/>
    </row>
    <row r="79177" spans="6:6" x14ac:dyDescent="0.3">
      <c r="F79177" s="193"/>
    </row>
    <row r="79178" spans="6:6" x14ac:dyDescent="0.3">
      <c r="F79178" s="193"/>
    </row>
    <row r="79179" spans="6:6" x14ac:dyDescent="0.3">
      <c r="F79179" s="193"/>
    </row>
    <row r="79180" spans="6:6" x14ac:dyDescent="0.3">
      <c r="F79180" s="193"/>
    </row>
    <row r="79181" spans="6:6" x14ac:dyDescent="0.3">
      <c r="F79181" s="193"/>
    </row>
    <row r="79182" spans="6:6" x14ac:dyDescent="0.3">
      <c r="F79182" s="193"/>
    </row>
    <row r="79183" spans="6:6" x14ac:dyDescent="0.3">
      <c r="F79183" s="193"/>
    </row>
    <row r="79184" spans="6:6" x14ac:dyDescent="0.3">
      <c r="F79184" s="193"/>
    </row>
    <row r="79185" spans="6:6" x14ac:dyDescent="0.3">
      <c r="F79185" s="193"/>
    </row>
    <row r="79186" spans="6:6" x14ac:dyDescent="0.3">
      <c r="F79186" s="193"/>
    </row>
    <row r="79187" spans="6:6" x14ac:dyDescent="0.3">
      <c r="F79187" s="193"/>
    </row>
    <row r="79188" spans="6:6" x14ac:dyDescent="0.3">
      <c r="F79188" s="193"/>
    </row>
    <row r="79189" spans="6:6" x14ac:dyDescent="0.3">
      <c r="F79189" s="193"/>
    </row>
    <row r="79190" spans="6:6" x14ac:dyDescent="0.3">
      <c r="F79190" s="193"/>
    </row>
    <row r="79191" spans="6:6" x14ac:dyDescent="0.3">
      <c r="F79191" s="193"/>
    </row>
    <row r="79192" spans="6:6" x14ac:dyDescent="0.3">
      <c r="F79192" s="193"/>
    </row>
    <row r="79193" spans="6:6" x14ac:dyDescent="0.3">
      <c r="F79193" s="193"/>
    </row>
    <row r="79194" spans="6:6" x14ac:dyDescent="0.3">
      <c r="F79194" s="193"/>
    </row>
    <row r="79195" spans="6:6" x14ac:dyDescent="0.3">
      <c r="F79195" s="193"/>
    </row>
    <row r="79196" spans="6:6" x14ac:dyDescent="0.3">
      <c r="F79196" s="193"/>
    </row>
    <row r="79197" spans="6:6" x14ac:dyDescent="0.3">
      <c r="F79197" s="193"/>
    </row>
    <row r="79198" spans="6:6" x14ac:dyDescent="0.3">
      <c r="F79198" s="193"/>
    </row>
    <row r="79199" spans="6:6" x14ac:dyDescent="0.3">
      <c r="F79199" s="193"/>
    </row>
    <row r="79200" spans="6:6" x14ac:dyDescent="0.3">
      <c r="F79200" s="193"/>
    </row>
    <row r="79201" spans="6:6" x14ac:dyDescent="0.3">
      <c r="F79201" s="193"/>
    </row>
    <row r="79202" spans="6:6" x14ac:dyDescent="0.3">
      <c r="F79202" s="193"/>
    </row>
    <row r="79203" spans="6:6" x14ac:dyDescent="0.3">
      <c r="F79203" s="193"/>
    </row>
    <row r="79204" spans="6:6" x14ac:dyDescent="0.3">
      <c r="F79204" s="193"/>
    </row>
    <row r="79205" spans="6:6" x14ac:dyDescent="0.3">
      <c r="F79205" s="193"/>
    </row>
    <row r="79206" spans="6:6" x14ac:dyDescent="0.3">
      <c r="F79206" s="193"/>
    </row>
    <row r="79207" spans="6:6" x14ac:dyDescent="0.3">
      <c r="F79207" s="193"/>
    </row>
    <row r="79208" spans="6:6" x14ac:dyDescent="0.3">
      <c r="F79208" s="193"/>
    </row>
    <row r="79209" spans="6:6" x14ac:dyDescent="0.3">
      <c r="F79209" s="193"/>
    </row>
    <row r="79210" spans="6:6" x14ac:dyDescent="0.3">
      <c r="F79210" s="193"/>
    </row>
    <row r="79211" spans="6:6" x14ac:dyDescent="0.3">
      <c r="F79211" s="193"/>
    </row>
    <row r="79212" spans="6:6" x14ac:dyDescent="0.3">
      <c r="F79212" s="193"/>
    </row>
    <row r="79213" spans="6:6" x14ac:dyDescent="0.3">
      <c r="F79213" s="193"/>
    </row>
    <row r="79214" spans="6:6" x14ac:dyDescent="0.3">
      <c r="F79214" s="193"/>
    </row>
    <row r="79215" spans="6:6" x14ac:dyDescent="0.3">
      <c r="F79215" s="193"/>
    </row>
    <row r="79216" spans="6:6" x14ac:dyDescent="0.3">
      <c r="F79216" s="193"/>
    </row>
    <row r="79217" spans="6:6" x14ac:dyDescent="0.3">
      <c r="F79217" s="193"/>
    </row>
    <row r="79218" spans="6:6" x14ac:dyDescent="0.3">
      <c r="F79218" s="193"/>
    </row>
    <row r="79219" spans="6:6" x14ac:dyDescent="0.3">
      <c r="F79219" s="193"/>
    </row>
    <row r="79220" spans="6:6" x14ac:dyDescent="0.3">
      <c r="F79220" s="193"/>
    </row>
    <row r="79221" spans="6:6" x14ac:dyDescent="0.3">
      <c r="F79221" s="193"/>
    </row>
    <row r="79222" spans="6:6" x14ac:dyDescent="0.3">
      <c r="F79222" s="193"/>
    </row>
    <row r="79223" spans="6:6" x14ac:dyDescent="0.3">
      <c r="F79223" s="193"/>
    </row>
    <row r="79224" spans="6:6" x14ac:dyDescent="0.3">
      <c r="F79224" s="193"/>
    </row>
    <row r="79225" spans="6:6" x14ac:dyDescent="0.3">
      <c r="F79225" s="193"/>
    </row>
    <row r="79226" spans="6:6" x14ac:dyDescent="0.3">
      <c r="F79226" s="193"/>
    </row>
    <row r="79227" spans="6:6" x14ac:dyDescent="0.3">
      <c r="F79227" s="193"/>
    </row>
    <row r="79228" spans="6:6" x14ac:dyDescent="0.3">
      <c r="F79228" s="193"/>
    </row>
    <row r="79229" spans="6:6" x14ac:dyDescent="0.3">
      <c r="F79229" s="193"/>
    </row>
    <row r="79230" spans="6:6" x14ac:dyDescent="0.3">
      <c r="F79230" s="193"/>
    </row>
    <row r="79231" spans="6:6" x14ac:dyDescent="0.3">
      <c r="F79231" s="193"/>
    </row>
    <row r="79232" spans="6:6" x14ac:dyDescent="0.3">
      <c r="F79232" s="193"/>
    </row>
    <row r="79233" spans="6:6" x14ac:dyDescent="0.3">
      <c r="F79233" s="193"/>
    </row>
    <row r="79234" spans="6:6" x14ac:dyDescent="0.3">
      <c r="F79234" s="193"/>
    </row>
    <row r="79235" spans="6:6" x14ac:dyDescent="0.3">
      <c r="F79235" s="193"/>
    </row>
    <row r="79236" spans="6:6" x14ac:dyDescent="0.3">
      <c r="F79236" s="193"/>
    </row>
    <row r="79237" spans="6:6" x14ac:dyDescent="0.3">
      <c r="F79237" s="193"/>
    </row>
    <row r="79238" spans="6:6" x14ac:dyDescent="0.3">
      <c r="F79238" s="193"/>
    </row>
    <row r="79239" spans="6:6" x14ac:dyDescent="0.3">
      <c r="F79239" s="193"/>
    </row>
    <row r="79240" spans="6:6" x14ac:dyDescent="0.3">
      <c r="F79240" s="193"/>
    </row>
    <row r="79241" spans="6:6" x14ac:dyDescent="0.3">
      <c r="F79241" s="193"/>
    </row>
    <row r="79242" spans="6:6" x14ac:dyDescent="0.3">
      <c r="F79242" s="193"/>
    </row>
    <row r="79243" spans="6:6" x14ac:dyDescent="0.3">
      <c r="F79243" s="193"/>
    </row>
    <row r="79244" spans="6:6" x14ac:dyDescent="0.3">
      <c r="F79244" s="193"/>
    </row>
    <row r="79245" spans="6:6" x14ac:dyDescent="0.3">
      <c r="F79245" s="193"/>
    </row>
    <row r="79246" spans="6:6" x14ac:dyDescent="0.3">
      <c r="F79246" s="193"/>
    </row>
    <row r="79247" spans="6:6" x14ac:dyDescent="0.3">
      <c r="F79247" s="193"/>
    </row>
    <row r="79248" spans="6:6" x14ac:dyDescent="0.3">
      <c r="F79248" s="193"/>
    </row>
    <row r="79249" spans="6:6" x14ac:dyDescent="0.3">
      <c r="F79249" s="193"/>
    </row>
    <row r="79250" spans="6:6" x14ac:dyDescent="0.3">
      <c r="F79250" s="193"/>
    </row>
    <row r="79251" spans="6:6" x14ac:dyDescent="0.3">
      <c r="F79251" s="193"/>
    </row>
    <row r="79252" spans="6:6" x14ac:dyDescent="0.3">
      <c r="F79252" s="193"/>
    </row>
    <row r="79253" spans="6:6" x14ac:dyDescent="0.3">
      <c r="F79253" s="193"/>
    </row>
    <row r="79254" spans="6:6" x14ac:dyDescent="0.3">
      <c r="F79254" s="193"/>
    </row>
    <row r="79255" spans="6:6" x14ac:dyDescent="0.3">
      <c r="F79255" s="193"/>
    </row>
    <row r="79256" spans="6:6" x14ac:dyDescent="0.3">
      <c r="F79256" s="193"/>
    </row>
    <row r="79257" spans="6:6" x14ac:dyDescent="0.3">
      <c r="F79257" s="193"/>
    </row>
    <row r="79258" spans="6:6" x14ac:dyDescent="0.3">
      <c r="F79258" s="193"/>
    </row>
    <row r="79259" spans="6:6" x14ac:dyDescent="0.3">
      <c r="F79259" s="193"/>
    </row>
    <row r="79260" spans="6:6" x14ac:dyDescent="0.3">
      <c r="F79260" s="193"/>
    </row>
    <row r="79261" spans="6:6" x14ac:dyDescent="0.3">
      <c r="F79261" s="193"/>
    </row>
    <row r="79262" spans="6:6" x14ac:dyDescent="0.3">
      <c r="F79262" s="193"/>
    </row>
    <row r="79263" spans="6:6" x14ac:dyDescent="0.3">
      <c r="F79263" s="193"/>
    </row>
    <row r="79264" spans="6:6" x14ac:dyDescent="0.3">
      <c r="F79264" s="193"/>
    </row>
    <row r="79265" spans="6:6" x14ac:dyDescent="0.3">
      <c r="F79265" s="193"/>
    </row>
    <row r="79266" spans="6:6" x14ac:dyDescent="0.3">
      <c r="F79266" s="193"/>
    </row>
    <row r="79267" spans="6:6" x14ac:dyDescent="0.3">
      <c r="F79267" s="193"/>
    </row>
    <row r="79268" spans="6:6" x14ac:dyDescent="0.3">
      <c r="F79268" s="193"/>
    </row>
    <row r="79269" spans="6:6" x14ac:dyDescent="0.3">
      <c r="F79269" s="193"/>
    </row>
    <row r="79270" spans="6:6" x14ac:dyDescent="0.3">
      <c r="F79270" s="193"/>
    </row>
    <row r="79271" spans="6:6" x14ac:dyDescent="0.3">
      <c r="F79271" s="193"/>
    </row>
    <row r="79272" spans="6:6" x14ac:dyDescent="0.3">
      <c r="F79272" s="193"/>
    </row>
    <row r="79273" spans="6:6" x14ac:dyDescent="0.3">
      <c r="F79273" s="193"/>
    </row>
    <row r="79274" spans="6:6" x14ac:dyDescent="0.3">
      <c r="F79274" s="193"/>
    </row>
    <row r="79275" spans="6:6" x14ac:dyDescent="0.3">
      <c r="F79275" s="193"/>
    </row>
    <row r="79276" spans="6:6" x14ac:dyDescent="0.3">
      <c r="F79276" s="193"/>
    </row>
    <row r="79277" spans="6:6" x14ac:dyDescent="0.3">
      <c r="F79277" s="193"/>
    </row>
    <row r="79278" spans="6:6" x14ac:dyDescent="0.3">
      <c r="F79278" s="193"/>
    </row>
    <row r="79279" spans="6:6" x14ac:dyDescent="0.3">
      <c r="F79279" s="193"/>
    </row>
    <row r="79280" spans="6:6" x14ac:dyDescent="0.3">
      <c r="F79280" s="193"/>
    </row>
    <row r="79281" spans="6:6" x14ac:dyDescent="0.3">
      <c r="F79281" s="193"/>
    </row>
    <row r="79282" spans="6:6" x14ac:dyDescent="0.3">
      <c r="F79282" s="193"/>
    </row>
    <row r="79283" spans="6:6" x14ac:dyDescent="0.3">
      <c r="F79283" s="193"/>
    </row>
    <row r="79284" spans="6:6" x14ac:dyDescent="0.3">
      <c r="F79284" s="193"/>
    </row>
    <row r="79285" spans="6:6" x14ac:dyDescent="0.3">
      <c r="F79285" s="193"/>
    </row>
    <row r="79286" spans="6:6" x14ac:dyDescent="0.3">
      <c r="F79286" s="193"/>
    </row>
    <row r="79287" spans="6:6" x14ac:dyDescent="0.3">
      <c r="F79287" s="193"/>
    </row>
    <row r="79288" spans="6:6" x14ac:dyDescent="0.3">
      <c r="F79288" s="193"/>
    </row>
    <row r="79289" spans="6:6" x14ac:dyDescent="0.3">
      <c r="F79289" s="193"/>
    </row>
    <row r="79290" spans="6:6" x14ac:dyDescent="0.3">
      <c r="F79290" s="193"/>
    </row>
    <row r="79291" spans="6:6" x14ac:dyDescent="0.3">
      <c r="F79291" s="193"/>
    </row>
    <row r="79292" spans="6:6" x14ac:dyDescent="0.3">
      <c r="F79292" s="193"/>
    </row>
    <row r="79293" spans="6:6" x14ac:dyDescent="0.3">
      <c r="F79293" s="193"/>
    </row>
    <row r="79294" spans="6:6" x14ac:dyDescent="0.3">
      <c r="F79294" s="193"/>
    </row>
    <row r="79295" spans="6:6" x14ac:dyDescent="0.3">
      <c r="F79295" s="193"/>
    </row>
    <row r="79296" spans="6:6" x14ac:dyDescent="0.3">
      <c r="F79296" s="193"/>
    </row>
    <row r="79297" spans="6:6" x14ac:dyDescent="0.3">
      <c r="F79297" s="193"/>
    </row>
    <row r="79298" spans="6:6" x14ac:dyDescent="0.3">
      <c r="F79298" s="193"/>
    </row>
    <row r="79299" spans="6:6" x14ac:dyDescent="0.3">
      <c r="F79299" s="193"/>
    </row>
    <row r="79300" spans="6:6" x14ac:dyDescent="0.3">
      <c r="F79300" s="193"/>
    </row>
    <row r="79301" spans="6:6" x14ac:dyDescent="0.3">
      <c r="F79301" s="193"/>
    </row>
    <row r="79302" spans="6:6" x14ac:dyDescent="0.3">
      <c r="F79302" s="193"/>
    </row>
    <row r="79303" spans="6:6" x14ac:dyDescent="0.3">
      <c r="F79303" s="193"/>
    </row>
    <row r="79304" spans="6:6" x14ac:dyDescent="0.3">
      <c r="F79304" s="193"/>
    </row>
    <row r="79305" spans="6:6" x14ac:dyDescent="0.3">
      <c r="F79305" s="193"/>
    </row>
    <row r="79306" spans="6:6" x14ac:dyDescent="0.3">
      <c r="F79306" s="193"/>
    </row>
    <row r="79307" spans="6:6" x14ac:dyDescent="0.3">
      <c r="F79307" s="193"/>
    </row>
    <row r="79308" spans="6:6" x14ac:dyDescent="0.3">
      <c r="F79308" s="193"/>
    </row>
    <row r="79309" spans="6:6" x14ac:dyDescent="0.3">
      <c r="F79309" s="193"/>
    </row>
    <row r="79310" spans="6:6" x14ac:dyDescent="0.3">
      <c r="F79310" s="193"/>
    </row>
    <row r="79311" spans="6:6" x14ac:dyDescent="0.3">
      <c r="F79311" s="193"/>
    </row>
    <row r="79312" spans="6:6" x14ac:dyDescent="0.3">
      <c r="F79312" s="193"/>
    </row>
    <row r="79313" spans="6:6" x14ac:dyDescent="0.3">
      <c r="F79313" s="193"/>
    </row>
    <row r="79314" spans="6:6" x14ac:dyDescent="0.3">
      <c r="F79314" s="193"/>
    </row>
    <row r="79315" spans="6:6" x14ac:dyDescent="0.3">
      <c r="F79315" s="193"/>
    </row>
    <row r="79316" spans="6:6" x14ac:dyDescent="0.3">
      <c r="F79316" s="193"/>
    </row>
    <row r="79317" spans="6:6" x14ac:dyDescent="0.3">
      <c r="F79317" s="193"/>
    </row>
    <row r="79318" spans="6:6" x14ac:dyDescent="0.3">
      <c r="F79318" s="193"/>
    </row>
    <row r="79319" spans="6:6" x14ac:dyDescent="0.3">
      <c r="F79319" s="193"/>
    </row>
    <row r="79320" spans="6:6" x14ac:dyDescent="0.3">
      <c r="F79320" s="193"/>
    </row>
    <row r="79321" spans="6:6" x14ac:dyDescent="0.3">
      <c r="F79321" s="193"/>
    </row>
    <row r="79322" spans="6:6" x14ac:dyDescent="0.3">
      <c r="F79322" s="193"/>
    </row>
    <row r="79323" spans="6:6" x14ac:dyDescent="0.3">
      <c r="F79323" s="193"/>
    </row>
    <row r="79324" spans="6:6" x14ac:dyDescent="0.3">
      <c r="F79324" s="193"/>
    </row>
    <row r="79325" spans="6:6" x14ac:dyDescent="0.3">
      <c r="F79325" s="193"/>
    </row>
    <row r="79326" spans="6:6" x14ac:dyDescent="0.3">
      <c r="F79326" s="193"/>
    </row>
    <row r="79327" spans="6:6" x14ac:dyDescent="0.3">
      <c r="F79327" s="193"/>
    </row>
    <row r="79328" spans="6:6" x14ac:dyDescent="0.3">
      <c r="F79328" s="193"/>
    </row>
    <row r="79329" spans="6:6" x14ac:dyDescent="0.3">
      <c r="F79329" s="193"/>
    </row>
    <row r="79330" spans="6:6" x14ac:dyDescent="0.3">
      <c r="F79330" s="193"/>
    </row>
    <row r="79331" spans="6:6" x14ac:dyDescent="0.3">
      <c r="F79331" s="193"/>
    </row>
    <row r="79332" spans="6:6" x14ac:dyDescent="0.3">
      <c r="F79332" s="193"/>
    </row>
    <row r="79333" spans="6:6" x14ac:dyDescent="0.3">
      <c r="F79333" s="193"/>
    </row>
    <row r="79334" spans="6:6" x14ac:dyDescent="0.3">
      <c r="F79334" s="193"/>
    </row>
    <row r="79335" spans="6:6" x14ac:dyDescent="0.3">
      <c r="F79335" s="193"/>
    </row>
    <row r="79336" spans="6:6" x14ac:dyDescent="0.3">
      <c r="F79336" s="193"/>
    </row>
    <row r="79337" spans="6:6" x14ac:dyDescent="0.3">
      <c r="F79337" s="193"/>
    </row>
    <row r="79338" spans="6:6" x14ac:dyDescent="0.3">
      <c r="F79338" s="193"/>
    </row>
    <row r="79339" spans="6:6" x14ac:dyDescent="0.3">
      <c r="F79339" s="193"/>
    </row>
    <row r="79340" spans="6:6" x14ac:dyDescent="0.3">
      <c r="F79340" s="193"/>
    </row>
    <row r="79341" spans="6:6" x14ac:dyDescent="0.3">
      <c r="F79341" s="193"/>
    </row>
    <row r="79342" spans="6:6" x14ac:dyDescent="0.3">
      <c r="F79342" s="193"/>
    </row>
    <row r="79343" spans="6:6" x14ac:dyDescent="0.3">
      <c r="F79343" s="193"/>
    </row>
    <row r="79344" spans="6:6" x14ac:dyDescent="0.3">
      <c r="F79344" s="193"/>
    </row>
    <row r="79345" spans="6:6" x14ac:dyDescent="0.3">
      <c r="F79345" s="193"/>
    </row>
    <row r="79346" spans="6:6" x14ac:dyDescent="0.3">
      <c r="F79346" s="193"/>
    </row>
    <row r="79347" spans="6:6" x14ac:dyDescent="0.3">
      <c r="F79347" s="193"/>
    </row>
    <row r="79348" spans="6:6" x14ac:dyDescent="0.3">
      <c r="F79348" s="193"/>
    </row>
    <row r="79349" spans="6:6" x14ac:dyDescent="0.3">
      <c r="F79349" s="193"/>
    </row>
    <row r="79350" spans="6:6" x14ac:dyDescent="0.3">
      <c r="F79350" s="193"/>
    </row>
    <row r="79351" spans="6:6" x14ac:dyDescent="0.3">
      <c r="F79351" s="193"/>
    </row>
    <row r="79352" spans="6:6" x14ac:dyDescent="0.3">
      <c r="F79352" s="193"/>
    </row>
    <row r="79353" spans="6:6" x14ac:dyDescent="0.3">
      <c r="F79353" s="193"/>
    </row>
    <row r="79354" spans="6:6" x14ac:dyDescent="0.3">
      <c r="F79354" s="193"/>
    </row>
    <row r="79355" spans="6:6" x14ac:dyDescent="0.3">
      <c r="F79355" s="193"/>
    </row>
    <row r="79356" spans="6:6" x14ac:dyDescent="0.3">
      <c r="F79356" s="193"/>
    </row>
    <row r="79357" spans="6:6" x14ac:dyDescent="0.3">
      <c r="F79357" s="193"/>
    </row>
    <row r="79358" spans="6:6" x14ac:dyDescent="0.3">
      <c r="F79358" s="193"/>
    </row>
    <row r="79359" spans="6:6" x14ac:dyDescent="0.3">
      <c r="F79359" s="193"/>
    </row>
    <row r="79360" spans="6:6" x14ac:dyDescent="0.3">
      <c r="F79360" s="193"/>
    </row>
    <row r="79361" spans="6:6" x14ac:dyDescent="0.3">
      <c r="F79361" s="193"/>
    </row>
    <row r="79362" spans="6:6" x14ac:dyDescent="0.3">
      <c r="F79362" s="193"/>
    </row>
    <row r="79363" spans="6:6" x14ac:dyDescent="0.3">
      <c r="F79363" s="193"/>
    </row>
    <row r="79364" spans="6:6" x14ac:dyDescent="0.3">
      <c r="F79364" s="193"/>
    </row>
    <row r="79365" spans="6:6" x14ac:dyDescent="0.3">
      <c r="F79365" s="193"/>
    </row>
    <row r="79366" spans="6:6" x14ac:dyDescent="0.3">
      <c r="F79366" s="193"/>
    </row>
    <row r="79367" spans="6:6" x14ac:dyDescent="0.3">
      <c r="F79367" s="193"/>
    </row>
    <row r="79368" spans="6:6" x14ac:dyDescent="0.3">
      <c r="F79368" s="193"/>
    </row>
    <row r="79369" spans="6:6" x14ac:dyDescent="0.3">
      <c r="F79369" s="193"/>
    </row>
    <row r="79370" spans="6:6" x14ac:dyDescent="0.3">
      <c r="F79370" s="193"/>
    </row>
    <row r="79371" spans="6:6" x14ac:dyDescent="0.3">
      <c r="F79371" s="193"/>
    </row>
    <row r="79372" spans="6:6" x14ac:dyDescent="0.3">
      <c r="F79372" s="193"/>
    </row>
    <row r="79373" spans="6:6" x14ac:dyDescent="0.3">
      <c r="F79373" s="193"/>
    </row>
    <row r="79374" spans="6:6" x14ac:dyDescent="0.3">
      <c r="F79374" s="193"/>
    </row>
    <row r="79375" spans="6:6" x14ac:dyDescent="0.3">
      <c r="F79375" s="193"/>
    </row>
    <row r="79376" spans="6:6" x14ac:dyDescent="0.3">
      <c r="F79376" s="193"/>
    </row>
    <row r="79377" spans="6:6" x14ac:dyDescent="0.3">
      <c r="F79377" s="193"/>
    </row>
    <row r="79378" spans="6:6" x14ac:dyDescent="0.3">
      <c r="F79378" s="193"/>
    </row>
    <row r="79379" spans="6:6" x14ac:dyDescent="0.3">
      <c r="F79379" s="193"/>
    </row>
    <row r="79380" spans="6:6" x14ac:dyDescent="0.3">
      <c r="F79380" s="193"/>
    </row>
    <row r="79381" spans="6:6" x14ac:dyDescent="0.3">
      <c r="F79381" s="193"/>
    </row>
    <row r="79382" spans="6:6" x14ac:dyDescent="0.3">
      <c r="F79382" s="193"/>
    </row>
    <row r="79383" spans="6:6" x14ac:dyDescent="0.3">
      <c r="F79383" s="193"/>
    </row>
    <row r="79384" spans="6:6" x14ac:dyDescent="0.3">
      <c r="F79384" s="193"/>
    </row>
    <row r="79385" spans="6:6" x14ac:dyDescent="0.3">
      <c r="F79385" s="193"/>
    </row>
    <row r="79386" spans="6:6" x14ac:dyDescent="0.3">
      <c r="F79386" s="193"/>
    </row>
    <row r="79387" spans="6:6" x14ac:dyDescent="0.3">
      <c r="F79387" s="193"/>
    </row>
    <row r="79388" spans="6:6" x14ac:dyDescent="0.3">
      <c r="F79388" s="193"/>
    </row>
    <row r="79389" spans="6:6" x14ac:dyDescent="0.3">
      <c r="F79389" s="193"/>
    </row>
    <row r="79390" spans="6:6" x14ac:dyDescent="0.3">
      <c r="F79390" s="193"/>
    </row>
    <row r="79391" spans="6:6" x14ac:dyDescent="0.3">
      <c r="F79391" s="193"/>
    </row>
    <row r="79392" spans="6:6" x14ac:dyDescent="0.3">
      <c r="F79392" s="193"/>
    </row>
    <row r="79393" spans="6:6" x14ac:dyDescent="0.3">
      <c r="F79393" s="193"/>
    </row>
    <row r="79394" spans="6:6" x14ac:dyDescent="0.3">
      <c r="F79394" s="193"/>
    </row>
    <row r="79395" spans="6:6" x14ac:dyDescent="0.3">
      <c r="F79395" s="193"/>
    </row>
    <row r="79396" spans="6:6" x14ac:dyDescent="0.3">
      <c r="F79396" s="193"/>
    </row>
    <row r="79397" spans="6:6" x14ac:dyDescent="0.3">
      <c r="F79397" s="193"/>
    </row>
    <row r="79398" spans="6:6" x14ac:dyDescent="0.3">
      <c r="F79398" s="193"/>
    </row>
    <row r="79399" spans="6:6" x14ac:dyDescent="0.3">
      <c r="F79399" s="193"/>
    </row>
    <row r="79400" spans="6:6" x14ac:dyDescent="0.3">
      <c r="F79400" s="193"/>
    </row>
    <row r="79401" spans="6:6" x14ac:dyDescent="0.3">
      <c r="F79401" s="193"/>
    </row>
    <row r="79402" spans="6:6" x14ac:dyDescent="0.3">
      <c r="F79402" s="193"/>
    </row>
    <row r="79403" spans="6:6" x14ac:dyDescent="0.3">
      <c r="F79403" s="193"/>
    </row>
    <row r="79404" spans="6:6" x14ac:dyDescent="0.3">
      <c r="F79404" s="193"/>
    </row>
    <row r="79405" spans="6:6" x14ac:dyDescent="0.3">
      <c r="F79405" s="193"/>
    </row>
    <row r="79406" spans="6:6" x14ac:dyDescent="0.3">
      <c r="F79406" s="193"/>
    </row>
    <row r="79407" spans="6:6" x14ac:dyDescent="0.3">
      <c r="F79407" s="193"/>
    </row>
    <row r="79408" spans="6:6" x14ac:dyDescent="0.3">
      <c r="F79408" s="193"/>
    </row>
    <row r="79409" spans="6:6" x14ac:dyDescent="0.3">
      <c r="F79409" s="193"/>
    </row>
    <row r="79410" spans="6:6" x14ac:dyDescent="0.3">
      <c r="F79410" s="193"/>
    </row>
    <row r="79411" spans="6:6" x14ac:dyDescent="0.3">
      <c r="F79411" s="193"/>
    </row>
    <row r="79412" spans="6:6" x14ac:dyDescent="0.3">
      <c r="F79412" s="193"/>
    </row>
    <row r="79413" spans="6:6" x14ac:dyDescent="0.3">
      <c r="F79413" s="193"/>
    </row>
    <row r="79414" spans="6:6" x14ac:dyDescent="0.3">
      <c r="F79414" s="193"/>
    </row>
    <row r="79415" spans="6:6" x14ac:dyDescent="0.3">
      <c r="F79415" s="193"/>
    </row>
    <row r="79416" spans="6:6" x14ac:dyDescent="0.3">
      <c r="F79416" s="193"/>
    </row>
    <row r="79417" spans="6:6" x14ac:dyDescent="0.3">
      <c r="F79417" s="193"/>
    </row>
    <row r="79418" spans="6:6" x14ac:dyDescent="0.3">
      <c r="F79418" s="193"/>
    </row>
    <row r="79419" spans="6:6" x14ac:dyDescent="0.3">
      <c r="F79419" s="193"/>
    </row>
    <row r="79420" spans="6:6" x14ac:dyDescent="0.3">
      <c r="F79420" s="193"/>
    </row>
    <row r="79421" spans="6:6" x14ac:dyDescent="0.3">
      <c r="F79421" s="193"/>
    </row>
    <row r="79422" spans="6:6" x14ac:dyDescent="0.3">
      <c r="F79422" s="193"/>
    </row>
    <row r="79423" spans="6:6" x14ac:dyDescent="0.3">
      <c r="F79423" s="193"/>
    </row>
    <row r="79424" spans="6:6" x14ac:dyDescent="0.3">
      <c r="F79424" s="193"/>
    </row>
    <row r="79425" spans="6:6" x14ac:dyDescent="0.3">
      <c r="F79425" s="193"/>
    </row>
    <row r="79426" spans="6:6" x14ac:dyDescent="0.3">
      <c r="F79426" s="193"/>
    </row>
    <row r="79427" spans="6:6" x14ac:dyDescent="0.3">
      <c r="F79427" s="193"/>
    </row>
    <row r="79428" spans="6:6" x14ac:dyDescent="0.3">
      <c r="F79428" s="193"/>
    </row>
    <row r="79429" spans="6:6" x14ac:dyDescent="0.3">
      <c r="F79429" s="193"/>
    </row>
    <row r="79430" spans="6:6" x14ac:dyDescent="0.3">
      <c r="F79430" s="193"/>
    </row>
    <row r="79431" spans="6:6" x14ac:dyDescent="0.3">
      <c r="F79431" s="193"/>
    </row>
    <row r="79432" spans="6:6" x14ac:dyDescent="0.3">
      <c r="F79432" s="193"/>
    </row>
    <row r="79433" spans="6:6" x14ac:dyDescent="0.3">
      <c r="F79433" s="193"/>
    </row>
    <row r="79434" spans="6:6" x14ac:dyDescent="0.3">
      <c r="F79434" s="193"/>
    </row>
    <row r="79435" spans="6:6" x14ac:dyDescent="0.3">
      <c r="F79435" s="193"/>
    </row>
    <row r="79436" spans="6:6" x14ac:dyDescent="0.3">
      <c r="F79436" s="193"/>
    </row>
    <row r="79437" spans="6:6" x14ac:dyDescent="0.3">
      <c r="F79437" s="193"/>
    </row>
    <row r="79438" spans="6:6" x14ac:dyDescent="0.3">
      <c r="F79438" s="193"/>
    </row>
    <row r="79439" spans="6:6" x14ac:dyDescent="0.3">
      <c r="F79439" s="193"/>
    </row>
    <row r="79440" spans="6:6" x14ac:dyDescent="0.3">
      <c r="F79440" s="193"/>
    </row>
    <row r="79441" spans="6:6" x14ac:dyDescent="0.3">
      <c r="F79441" s="193"/>
    </row>
    <row r="79442" spans="6:6" x14ac:dyDescent="0.3">
      <c r="F79442" s="193"/>
    </row>
    <row r="79443" spans="6:6" x14ac:dyDescent="0.3">
      <c r="F79443" s="193"/>
    </row>
    <row r="79444" spans="6:6" x14ac:dyDescent="0.3">
      <c r="F79444" s="193"/>
    </row>
    <row r="79445" spans="6:6" x14ac:dyDescent="0.3">
      <c r="F79445" s="193"/>
    </row>
    <row r="79446" spans="6:6" x14ac:dyDescent="0.3">
      <c r="F79446" s="193"/>
    </row>
    <row r="79447" spans="6:6" x14ac:dyDescent="0.3">
      <c r="F79447" s="193"/>
    </row>
    <row r="79448" spans="6:6" x14ac:dyDescent="0.3">
      <c r="F79448" s="193"/>
    </row>
    <row r="79449" spans="6:6" x14ac:dyDescent="0.3">
      <c r="F79449" s="193"/>
    </row>
    <row r="79450" spans="6:6" x14ac:dyDescent="0.3">
      <c r="F79450" s="193"/>
    </row>
    <row r="79451" spans="6:6" x14ac:dyDescent="0.3">
      <c r="F79451" s="193"/>
    </row>
    <row r="79452" spans="6:6" x14ac:dyDescent="0.3">
      <c r="F79452" s="193"/>
    </row>
    <row r="79453" spans="6:6" x14ac:dyDescent="0.3">
      <c r="F79453" s="193"/>
    </row>
    <row r="79454" spans="6:6" x14ac:dyDescent="0.3">
      <c r="F79454" s="193"/>
    </row>
    <row r="79455" spans="6:6" x14ac:dyDescent="0.3">
      <c r="F79455" s="193"/>
    </row>
    <row r="79456" spans="6:6" x14ac:dyDescent="0.3">
      <c r="F79456" s="193"/>
    </row>
    <row r="79457" spans="6:6" x14ac:dyDescent="0.3">
      <c r="F79457" s="193"/>
    </row>
    <row r="79458" spans="6:6" x14ac:dyDescent="0.3">
      <c r="F79458" s="193"/>
    </row>
    <row r="79459" spans="6:6" x14ac:dyDescent="0.3">
      <c r="F79459" s="193"/>
    </row>
    <row r="79460" spans="6:6" x14ac:dyDescent="0.3">
      <c r="F79460" s="193"/>
    </row>
    <row r="79461" spans="6:6" x14ac:dyDescent="0.3">
      <c r="F79461" s="193"/>
    </row>
    <row r="79462" spans="6:6" x14ac:dyDescent="0.3">
      <c r="F79462" s="193"/>
    </row>
    <row r="79463" spans="6:6" x14ac:dyDescent="0.3">
      <c r="F79463" s="193"/>
    </row>
    <row r="79464" spans="6:6" x14ac:dyDescent="0.3">
      <c r="F79464" s="193"/>
    </row>
    <row r="79465" spans="6:6" x14ac:dyDescent="0.3">
      <c r="F79465" s="193"/>
    </row>
    <row r="79466" spans="6:6" x14ac:dyDescent="0.3">
      <c r="F79466" s="193"/>
    </row>
    <row r="79467" spans="6:6" x14ac:dyDescent="0.3">
      <c r="F79467" s="193"/>
    </row>
    <row r="79468" spans="6:6" x14ac:dyDescent="0.3">
      <c r="F79468" s="193"/>
    </row>
    <row r="79469" spans="6:6" x14ac:dyDescent="0.3">
      <c r="F79469" s="193"/>
    </row>
    <row r="79470" spans="6:6" x14ac:dyDescent="0.3">
      <c r="F79470" s="193"/>
    </row>
    <row r="79471" spans="6:6" x14ac:dyDescent="0.3">
      <c r="F79471" s="193"/>
    </row>
    <row r="79472" spans="6:6" x14ac:dyDescent="0.3">
      <c r="F79472" s="193"/>
    </row>
    <row r="79473" spans="6:6" x14ac:dyDescent="0.3">
      <c r="F79473" s="193"/>
    </row>
    <row r="79474" spans="6:6" x14ac:dyDescent="0.3">
      <c r="F79474" s="193"/>
    </row>
    <row r="79475" spans="6:6" x14ac:dyDescent="0.3">
      <c r="F79475" s="193"/>
    </row>
    <row r="79476" spans="6:6" x14ac:dyDescent="0.3">
      <c r="F79476" s="193"/>
    </row>
    <row r="79477" spans="6:6" x14ac:dyDescent="0.3">
      <c r="F79477" s="193"/>
    </row>
    <row r="79478" spans="6:6" x14ac:dyDescent="0.3">
      <c r="F79478" s="193"/>
    </row>
    <row r="79479" spans="6:6" x14ac:dyDescent="0.3">
      <c r="F79479" s="193"/>
    </row>
    <row r="79480" spans="6:6" x14ac:dyDescent="0.3">
      <c r="F79480" s="193"/>
    </row>
    <row r="79481" spans="6:6" x14ac:dyDescent="0.3">
      <c r="F79481" s="193"/>
    </row>
    <row r="79482" spans="6:6" x14ac:dyDescent="0.3">
      <c r="F79482" s="193"/>
    </row>
    <row r="79483" spans="6:6" x14ac:dyDescent="0.3">
      <c r="F79483" s="193"/>
    </row>
    <row r="79484" spans="6:6" x14ac:dyDescent="0.3">
      <c r="F79484" s="193"/>
    </row>
    <row r="79485" spans="6:6" x14ac:dyDescent="0.3">
      <c r="F79485" s="193"/>
    </row>
    <row r="79486" spans="6:6" x14ac:dyDescent="0.3">
      <c r="F79486" s="193"/>
    </row>
    <row r="79487" spans="6:6" x14ac:dyDescent="0.3">
      <c r="F79487" s="193"/>
    </row>
    <row r="79488" spans="6:6" x14ac:dyDescent="0.3">
      <c r="F79488" s="193"/>
    </row>
    <row r="79489" spans="6:6" x14ac:dyDescent="0.3">
      <c r="F79489" s="193"/>
    </row>
    <row r="79490" spans="6:6" x14ac:dyDescent="0.3">
      <c r="F79490" s="193"/>
    </row>
    <row r="79491" spans="6:6" x14ac:dyDescent="0.3">
      <c r="F79491" s="193"/>
    </row>
    <row r="79492" spans="6:6" x14ac:dyDescent="0.3">
      <c r="F79492" s="193"/>
    </row>
    <row r="79493" spans="6:6" x14ac:dyDescent="0.3">
      <c r="F79493" s="193"/>
    </row>
    <row r="79494" spans="6:6" x14ac:dyDescent="0.3">
      <c r="F79494" s="193"/>
    </row>
    <row r="79495" spans="6:6" x14ac:dyDescent="0.3">
      <c r="F79495" s="193"/>
    </row>
    <row r="79496" spans="6:6" x14ac:dyDescent="0.3">
      <c r="F79496" s="193"/>
    </row>
    <row r="79497" spans="6:6" x14ac:dyDescent="0.3">
      <c r="F79497" s="193"/>
    </row>
    <row r="79498" spans="6:6" x14ac:dyDescent="0.3">
      <c r="F79498" s="193"/>
    </row>
    <row r="79499" spans="6:6" x14ac:dyDescent="0.3">
      <c r="F79499" s="193"/>
    </row>
    <row r="79500" spans="6:6" x14ac:dyDescent="0.3">
      <c r="F79500" s="193"/>
    </row>
    <row r="79501" spans="6:6" x14ac:dyDescent="0.3">
      <c r="F79501" s="193"/>
    </row>
    <row r="79502" spans="6:6" x14ac:dyDescent="0.3">
      <c r="F79502" s="193"/>
    </row>
    <row r="79503" spans="6:6" x14ac:dyDescent="0.3">
      <c r="F79503" s="193"/>
    </row>
    <row r="79504" spans="6:6" x14ac:dyDescent="0.3">
      <c r="F79504" s="193"/>
    </row>
    <row r="79505" spans="6:6" x14ac:dyDescent="0.3">
      <c r="F79505" s="193"/>
    </row>
    <row r="79506" spans="6:6" x14ac:dyDescent="0.3">
      <c r="F79506" s="193"/>
    </row>
    <row r="79507" spans="6:6" x14ac:dyDescent="0.3">
      <c r="F79507" s="193"/>
    </row>
    <row r="79508" spans="6:6" x14ac:dyDescent="0.3">
      <c r="F79508" s="193"/>
    </row>
    <row r="79509" spans="6:6" x14ac:dyDescent="0.3">
      <c r="F79509" s="193"/>
    </row>
    <row r="79510" spans="6:6" x14ac:dyDescent="0.3">
      <c r="F79510" s="193"/>
    </row>
    <row r="79511" spans="6:6" x14ac:dyDescent="0.3">
      <c r="F79511" s="193"/>
    </row>
    <row r="79512" spans="6:6" x14ac:dyDescent="0.3">
      <c r="F79512" s="193"/>
    </row>
    <row r="79513" spans="6:6" x14ac:dyDescent="0.3">
      <c r="F79513" s="193"/>
    </row>
    <row r="79514" spans="6:6" x14ac:dyDescent="0.3">
      <c r="F79514" s="193"/>
    </row>
    <row r="79515" spans="6:6" x14ac:dyDescent="0.3">
      <c r="F79515" s="193"/>
    </row>
    <row r="79516" spans="6:6" x14ac:dyDescent="0.3">
      <c r="F79516" s="193"/>
    </row>
    <row r="79517" spans="6:6" x14ac:dyDescent="0.3">
      <c r="F79517" s="193"/>
    </row>
    <row r="79518" spans="6:6" x14ac:dyDescent="0.3">
      <c r="F79518" s="193"/>
    </row>
    <row r="79519" spans="6:6" x14ac:dyDescent="0.3">
      <c r="F79519" s="193"/>
    </row>
    <row r="79520" spans="6:6" x14ac:dyDescent="0.3">
      <c r="F79520" s="193"/>
    </row>
    <row r="79521" spans="6:6" x14ac:dyDescent="0.3">
      <c r="F79521" s="193"/>
    </row>
    <row r="79522" spans="6:6" x14ac:dyDescent="0.3">
      <c r="F79522" s="193"/>
    </row>
    <row r="79523" spans="6:6" x14ac:dyDescent="0.3">
      <c r="F79523" s="193"/>
    </row>
    <row r="79524" spans="6:6" x14ac:dyDescent="0.3">
      <c r="F79524" s="193"/>
    </row>
    <row r="79525" spans="6:6" x14ac:dyDescent="0.3">
      <c r="F79525" s="193"/>
    </row>
    <row r="79526" spans="6:6" x14ac:dyDescent="0.3">
      <c r="F79526" s="193"/>
    </row>
    <row r="79527" spans="6:6" x14ac:dyDescent="0.3">
      <c r="F79527" s="193"/>
    </row>
    <row r="79528" spans="6:6" x14ac:dyDescent="0.3">
      <c r="F79528" s="193"/>
    </row>
    <row r="79529" spans="6:6" x14ac:dyDescent="0.3">
      <c r="F79529" s="193"/>
    </row>
    <row r="79530" spans="6:6" x14ac:dyDescent="0.3">
      <c r="F79530" s="193"/>
    </row>
    <row r="79531" spans="6:6" x14ac:dyDescent="0.3">
      <c r="F79531" s="193"/>
    </row>
    <row r="79532" spans="6:6" x14ac:dyDescent="0.3">
      <c r="F79532" s="193"/>
    </row>
    <row r="79533" spans="6:6" x14ac:dyDescent="0.3">
      <c r="F79533" s="193"/>
    </row>
    <row r="79534" spans="6:6" x14ac:dyDescent="0.3">
      <c r="F79534" s="193"/>
    </row>
    <row r="79535" spans="6:6" x14ac:dyDescent="0.3">
      <c r="F79535" s="193"/>
    </row>
    <row r="79536" spans="6:6" x14ac:dyDescent="0.3">
      <c r="F79536" s="193"/>
    </row>
    <row r="79537" spans="6:6" x14ac:dyDescent="0.3">
      <c r="F79537" s="193"/>
    </row>
    <row r="79538" spans="6:6" x14ac:dyDescent="0.3">
      <c r="F79538" s="193"/>
    </row>
    <row r="79539" spans="6:6" x14ac:dyDescent="0.3">
      <c r="F79539" s="193"/>
    </row>
    <row r="79540" spans="6:6" x14ac:dyDescent="0.3">
      <c r="F79540" s="193"/>
    </row>
    <row r="79541" spans="6:6" x14ac:dyDescent="0.3">
      <c r="F79541" s="193"/>
    </row>
    <row r="79542" spans="6:6" x14ac:dyDescent="0.3">
      <c r="F79542" s="193"/>
    </row>
    <row r="79543" spans="6:6" x14ac:dyDescent="0.3">
      <c r="F79543" s="193"/>
    </row>
    <row r="79544" spans="6:6" x14ac:dyDescent="0.3">
      <c r="F79544" s="193"/>
    </row>
    <row r="79545" spans="6:6" x14ac:dyDescent="0.3">
      <c r="F79545" s="193"/>
    </row>
    <row r="79546" spans="6:6" x14ac:dyDescent="0.3">
      <c r="F79546" s="193"/>
    </row>
    <row r="79547" spans="6:6" x14ac:dyDescent="0.3">
      <c r="F79547" s="193"/>
    </row>
    <row r="79548" spans="6:6" x14ac:dyDescent="0.3">
      <c r="F79548" s="193"/>
    </row>
    <row r="79549" spans="6:6" x14ac:dyDescent="0.3">
      <c r="F79549" s="193"/>
    </row>
    <row r="79550" spans="6:6" x14ac:dyDescent="0.3">
      <c r="F79550" s="193"/>
    </row>
    <row r="79551" spans="6:6" x14ac:dyDescent="0.3">
      <c r="F79551" s="193"/>
    </row>
    <row r="79552" spans="6:6" x14ac:dyDescent="0.3">
      <c r="F79552" s="193"/>
    </row>
    <row r="79553" spans="6:6" x14ac:dyDescent="0.3">
      <c r="F79553" s="193"/>
    </row>
    <row r="79554" spans="6:6" x14ac:dyDescent="0.3">
      <c r="F79554" s="193"/>
    </row>
    <row r="79555" spans="6:6" x14ac:dyDescent="0.3">
      <c r="F79555" s="193"/>
    </row>
    <row r="79556" spans="6:6" x14ac:dyDescent="0.3">
      <c r="F79556" s="193"/>
    </row>
    <row r="79557" spans="6:6" x14ac:dyDescent="0.3">
      <c r="F79557" s="193"/>
    </row>
    <row r="79558" spans="6:6" x14ac:dyDescent="0.3">
      <c r="F79558" s="193"/>
    </row>
    <row r="79559" spans="6:6" x14ac:dyDescent="0.3">
      <c r="F79559" s="193"/>
    </row>
    <row r="79560" spans="6:6" x14ac:dyDescent="0.3">
      <c r="F79560" s="193"/>
    </row>
    <row r="79561" spans="6:6" x14ac:dyDescent="0.3">
      <c r="F79561" s="193"/>
    </row>
    <row r="79562" spans="6:6" x14ac:dyDescent="0.3">
      <c r="F79562" s="193"/>
    </row>
    <row r="79563" spans="6:6" x14ac:dyDescent="0.3">
      <c r="F79563" s="193"/>
    </row>
    <row r="79564" spans="6:6" x14ac:dyDescent="0.3">
      <c r="F79564" s="193"/>
    </row>
    <row r="79565" spans="6:6" x14ac:dyDescent="0.3">
      <c r="F79565" s="193"/>
    </row>
    <row r="79566" spans="6:6" x14ac:dyDescent="0.3">
      <c r="F79566" s="193"/>
    </row>
    <row r="79567" spans="6:6" x14ac:dyDescent="0.3">
      <c r="F79567" s="193"/>
    </row>
    <row r="79568" spans="6:6" x14ac:dyDescent="0.3">
      <c r="F79568" s="193"/>
    </row>
    <row r="79569" spans="6:6" x14ac:dyDescent="0.3">
      <c r="F79569" s="193"/>
    </row>
    <row r="79570" spans="6:6" x14ac:dyDescent="0.3">
      <c r="F79570" s="193"/>
    </row>
    <row r="79571" spans="6:6" x14ac:dyDescent="0.3">
      <c r="F79571" s="193"/>
    </row>
    <row r="79572" spans="6:6" x14ac:dyDescent="0.3">
      <c r="F79572" s="193"/>
    </row>
    <row r="79573" spans="6:6" x14ac:dyDescent="0.3">
      <c r="F79573" s="193"/>
    </row>
    <row r="79574" spans="6:6" x14ac:dyDescent="0.3">
      <c r="F79574" s="193"/>
    </row>
    <row r="79575" spans="6:6" x14ac:dyDescent="0.3">
      <c r="F79575" s="193"/>
    </row>
    <row r="79576" spans="6:6" x14ac:dyDescent="0.3">
      <c r="F79576" s="193"/>
    </row>
    <row r="79577" spans="6:6" x14ac:dyDescent="0.3">
      <c r="F79577" s="193"/>
    </row>
    <row r="79578" spans="6:6" x14ac:dyDescent="0.3">
      <c r="F79578" s="193"/>
    </row>
    <row r="79579" spans="6:6" x14ac:dyDescent="0.3">
      <c r="F79579" s="193"/>
    </row>
    <row r="79580" spans="6:6" x14ac:dyDescent="0.3">
      <c r="F79580" s="193"/>
    </row>
    <row r="79581" spans="6:6" x14ac:dyDescent="0.3">
      <c r="F79581" s="193"/>
    </row>
    <row r="79582" spans="6:6" x14ac:dyDescent="0.3">
      <c r="F79582" s="193"/>
    </row>
    <row r="79583" spans="6:6" x14ac:dyDescent="0.3">
      <c r="F79583" s="193"/>
    </row>
    <row r="79584" spans="6:6" x14ac:dyDescent="0.3">
      <c r="F79584" s="193"/>
    </row>
    <row r="79585" spans="6:6" x14ac:dyDescent="0.3">
      <c r="F79585" s="193"/>
    </row>
    <row r="79586" spans="6:6" x14ac:dyDescent="0.3">
      <c r="F79586" s="193"/>
    </row>
    <row r="79587" spans="6:6" x14ac:dyDescent="0.3">
      <c r="F79587" s="193"/>
    </row>
    <row r="79588" spans="6:6" x14ac:dyDescent="0.3">
      <c r="F79588" s="193"/>
    </row>
    <row r="79589" spans="6:6" x14ac:dyDescent="0.3">
      <c r="F79589" s="193"/>
    </row>
    <row r="79590" spans="6:6" x14ac:dyDescent="0.3">
      <c r="F79590" s="193"/>
    </row>
    <row r="79591" spans="6:6" x14ac:dyDescent="0.3">
      <c r="F79591" s="193"/>
    </row>
    <row r="79592" spans="6:6" x14ac:dyDescent="0.3">
      <c r="F79592" s="193"/>
    </row>
    <row r="79593" spans="6:6" x14ac:dyDescent="0.3">
      <c r="F79593" s="193"/>
    </row>
    <row r="79594" spans="6:6" x14ac:dyDescent="0.3">
      <c r="F79594" s="193"/>
    </row>
    <row r="79595" spans="6:6" x14ac:dyDescent="0.3">
      <c r="F79595" s="193"/>
    </row>
    <row r="79596" spans="6:6" x14ac:dyDescent="0.3">
      <c r="F79596" s="193"/>
    </row>
    <row r="79597" spans="6:6" x14ac:dyDescent="0.3">
      <c r="F79597" s="193"/>
    </row>
    <row r="79598" spans="6:6" x14ac:dyDescent="0.3">
      <c r="F79598" s="193"/>
    </row>
    <row r="79599" spans="6:6" x14ac:dyDescent="0.3">
      <c r="F79599" s="193"/>
    </row>
    <row r="79600" spans="6:6" x14ac:dyDescent="0.3">
      <c r="F79600" s="193"/>
    </row>
    <row r="79601" spans="6:6" x14ac:dyDescent="0.3">
      <c r="F79601" s="193"/>
    </row>
    <row r="79602" spans="6:6" x14ac:dyDescent="0.3">
      <c r="F79602" s="193"/>
    </row>
    <row r="79603" spans="6:6" x14ac:dyDescent="0.3">
      <c r="F79603" s="193"/>
    </row>
    <row r="79604" spans="6:6" x14ac:dyDescent="0.3">
      <c r="F79604" s="193"/>
    </row>
    <row r="79605" spans="6:6" x14ac:dyDescent="0.3">
      <c r="F79605" s="193"/>
    </row>
    <row r="79606" spans="6:6" x14ac:dyDescent="0.3">
      <c r="F79606" s="193"/>
    </row>
    <row r="79607" spans="6:6" x14ac:dyDescent="0.3">
      <c r="F79607" s="193"/>
    </row>
    <row r="79608" spans="6:6" x14ac:dyDescent="0.3">
      <c r="F79608" s="193"/>
    </row>
    <row r="79609" spans="6:6" x14ac:dyDescent="0.3">
      <c r="F79609" s="193"/>
    </row>
    <row r="79610" spans="6:6" x14ac:dyDescent="0.3">
      <c r="F79610" s="193"/>
    </row>
    <row r="79611" spans="6:6" x14ac:dyDescent="0.3">
      <c r="F79611" s="193"/>
    </row>
    <row r="79612" spans="6:6" x14ac:dyDescent="0.3">
      <c r="F79612" s="193"/>
    </row>
    <row r="79613" spans="6:6" x14ac:dyDescent="0.3">
      <c r="F79613" s="193"/>
    </row>
    <row r="79614" spans="6:6" x14ac:dyDescent="0.3">
      <c r="F79614" s="193"/>
    </row>
    <row r="79615" spans="6:6" x14ac:dyDescent="0.3">
      <c r="F79615" s="193"/>
    </row>
    <row r="79616" spans="6:6" x14ac:dyDescent="0.3">
      <c r="F79616" s="193"/>
    </row>
    <row r="79617" spans="6:6" x14ac:dyDescent="0.3">
      <c r="F79617" s="193"/>
    </row>
    <row r="79618" spans="6:6" x14ac:dyDescent="0.3">
      <c r="F79618" s="193"/>
    </row>
    <row r="79619" spans="6:6" x14ac:dyDescent="0.3">
      <c r="F79619" s="193"/>
    </row>
    <row r="79620" spans="6:6" x14ac:dyDescent="0.3">
      <c r="F79620" s="193"/>
    </row>
    <row r="79621" spans="6:6" x14ac:dyDescent="0.3">
      <c r="F79621" s="193"/>
    </row>
    <row r="79622" spans="6:6" x14ac:dyDescent="0.3">
      <c r="F79622" s="193"/>
    </row>
    <row r="79623" spans="6:6" x14ac:dyDescent="0.3">
      <c r="F79623" s="193"/>
    </row>
    <row r="79624" spans="6:6" x14ac:dyDescent="0.3">
      <c r="F79624" s="193"/>
    </row>
    <row r="79625" spans="6:6" x14ac:dyDescent="0.3">
      <c r="F79625" s="193"/>
    </row>
    <row r="79626" spans="6:6" x14ac:dyDescent="0.3">
      <c r="F79626" s="193"/>
    </row>
    <row r="79627" spans="6:6" x14ac:dyDescent="0.3">
      <c r="F79627" s="193"/>
    </row>
    <row r="79628" spans="6:6" x14ac:dyDescent="0.3">
      <c r="F79628" s="193"/>
    </row>
    <row r="79629" spans="6:6" x14ac:dyDescent="0.3">
      <c r="F79629" s="193"/>
    </row>
    <row r="79630" spans="6:6" x14ac:dyDescent="0.3">
      <c r="F79630" s="193"/>
    </row>
    <row r="79631" spans="6:6" x14ac:dyDescent="0.3">
      <c r="F79631" s="193"/>
    </row>
    <row r="79632" spans="6:6" x14ac:dyDescent="0.3">
      <c r="F79632" s="193"/>
    </row>
    <row r="79633" spans="6:6" x14ac:dyDescent="0.3">
      <c r="F79633" s="193"/>
    </row>
    <row r="79634" spans="6:6" x14ac:dyDescent="0.3">
      <c r="F79634" s="193"/>
    </row>
    <row r="79635" spans="6:6" x14ac:dyDescent="0.3">
      <c r="F79635" s="193"/>
    </row>
    <row r="79636" spans="6:6" x14ac:dyDescent="0.3">
      <c r="F79636" s="193"/>
    </row>
    <row r="79637" spans="6:6" x14ac:dyDescent="0.3">
      <c r="F79637" s="193"/>
    </row>
    <row r="79638" spans="6:6" x14ac:dyDescent="0.3">
      <c r="F79638" s="193"/>
    </row>
    <row r="79639" spans="6:6" x14ac:dyDescent="0.3">
      <c r="F79639" s="193"/>
    </row>
    <row r="79640" spans="6:6" x14ac:dyDescent="0.3">
      <c r="F79640" s="193"/>
    </row>
    <row r="79641" spans="6:6" x14ac:dyDescent="0.3">
      <c r="F79641" s="193"/>
    </row>
    <row r="79642" spans="6:6" x14ac:dyDescent="0.3">
      <c r="F79642" s="193"/>
    </row>
    <row r="79643" spans="6:6" x14ac:dyDescent="0.3">
      <c r="F79643" s="193"/>
    </row>
    <row r="79644" spans="6:6" x14ac:dyDescent="0.3">
      <c r="F79644" s="193"/>
    </row>
    <row r="79645" spans="6:6" x14ac:dyDescent="0.3">
      <c r="F79645" s="193"/>
    </row>
    <row r="79646" spans="6:6" x14ac:dyDescent="0.3">
      <c r="F79646" s="193"/>
    </row>
    <row r="79647" spans="6:6" x14ac:dyDescent="0.3">
      <c r="F79647" s="193"/>
    </row>
    <row r="79648" spans="6:6" x14ac:dyDescent="0.3">
      <c r="F79648" s="193"/>
    </row>
    <row r="79649" spans="6:6" x14ac:dyDescent="0.3">
      <c r="F79649" s="193"/>
    </row>
    <row r="79650" spans="6:6" x14ac:dyDescent="0.3">
      <c r="F79650" s="193"/>
    </row>
    <row r="79651" spans="6:6" x14ac:dyDescent="0.3">
      <c r="F79651" s="193"/>
    </row>
    <row r="79652" spans="6:6" x14ac:dyDescent="0.3">
      <c r="F79652" s="193"/>
    </row>
    <row r="79653" spans="6:6" x14ac:dyDescent="0.3">
      <c r="F79653" s="193"/>
    </row>
    <row r="79654" spans="6:6" x14ac:dyDescent="0.3">
      <c r="F79654" s="193"/>
    </row>
    <row r="79655" spans="6:6" x14ac:dyDescent="0.3">
      <c r="F79655" s="193"/>
    </row>
    <row r="79656" spans="6:6" x14ac:dyDescent="0.3">
      <c r="F79656" s="193"/>
    </row>
    <row r="79657" spans="6:6" x14ac:dyDescent="0.3">
      <c r="F79657" s="193"/>
    </row>
    <row r="79658" spans="6:6" x14ac:dyDescent="0.3">
      <c r="F79658" s="193"/>
    </row>
    <row r="79659" spans="6:6" x14ac:dyDescent="0.3">
      <c r="F79659" s="193"/>
    </row>
    <row r="79660" spans="6:6" x14ac:dyDescent="0.3">
      <c r="F79660" s="193"/>
    </row>
    <row r="79661" spans="6:6" x14ac:dyDescent="0.3">
      <c r="F79661" s="193"/>
    </row>
    <row r="79662" spans="6:6" x14ac:dyDescent="0.3">
      <c r="F79662" s="193"/>
    </row>
    <row r="79663" spans="6:6" x14ac:dyDescent="0.3">
      <c r="F79663" s="193"/>
    </row>
    <row r="79664" spans="6:6" x14ac:dyDescent="0.3">
      <c r="F79664" s="193"/>
    </row>
    <row r="79665" spans="6:6" x14ac:dyDescent="0.3">
      <c r="F79665" s="193"/>
    </row>
    <row r="79666" spans="6:6" x14ac:dyDescent="0.3">
      <c r="F79666" s="193"/>
    </row>
    <row r="79667" spans="6:6" x14ac:dyDescent="0.3">
      <c r="F79667" s="193"/>
    </row>
    <row r="79668" spans="6:6" x14ac:dyDescent="0.3">
      <c r="F79668" s="193"/>
    </row>
    <row r="79669" spans="6:6" x14ac:dyDescent="0.3">
      <c r="F79669" s="193"/>
    </row>
    <row r="79670" spans="6:6" x14ac:dyDescent="0.3">
      <c r="F79670" s="193"/>
    </row>
    <row r="79671" spans="6:6" x14ac:dyDescent="0.3">
      <c r="F79671" s="193"/>
    </row>
    <row r="79672" spans="6:6" x14ac:dyDescent="0.3">
      <c r="F79672" s="193"/>
    </row>
    <row r="79673" spans="6:6" x14ac:dyDescent="0.3">
      <c r="F79673" s="193"/>
    </row>
    <row r="79674" spans="6:6" x14ac:dyDescent="0.3">
      <c r="F79674" s="193"/>
    </row>
    <row r="79675" spans="6:6" x14ac:dyDescent="0.3">
      <c r="F79675" s="193"/>
    </row>
    <row r="79676" spans="6:6" x14ac:dyDescent="0.3">
      <c r="F79676" s="193"/>
    </row>
    <row r="79677" spans="6:6" x14ac:dyDescent="0.3">
      <c r="F79677" s="193"/>
    </row>
    <row r="79678" spans="6:6" x14ac:dyDescent="0.3">
      <c r="F79678" s="193"/>
    </row>
    <row r="79679" spans="6:6" x14ac:dyDescent="0.3">
      <c r="F79679" s="193"/>
    </row>
    <row r="79680" spans="6:6" x14ac:dyDescent="0.3">
      <c r="F79680" s="193"/>
    </row>
    <row r="79681" spans="6:6" x14ac:dyDescent="0.3">
      <c r="F79681" s="193"/>
    </row>
    <row r="79682" spans="6:6" x14ac:dyDescent="0.3">
      <c r="F79682" s="193"/>
    </row>
    <row r="79683" spans="6:6" x14ac:dyDescent="0.3">
      <c r="F79683" s="193"/>
    </row>
    <row r="79684" spans="6:6" x14ac:dyDescent="0.3">
      <c r="F79684" s="193"/>
    </row>
    <row r="79685" spans="6:6" x14ac:dyDescent="0.3">
      <c r="F79685" s="193"/>
    </row>
    <row r="79686" spans="6:6" x14ac:dyDescent="0.3">
      <c r="F79686" s="193"/>
    </row>
    <row r="79687" spans="6:6" x14ac:dyDescent="0.3">
      <c r="F79687" s="193"/>
    </row>
    <row r="79688" spans="6:6" x14ac:dyDescent="0.3">
      <c r="F79688" s="193"/>
    </row>
    <row r="79689" spans="6:6" x14ac:dyDescent="0.3">
      <c r="F79689" s="193"/>
    </row>
    <row r="79690" spans="6:6" x14ac:dyDescent="0.3">
      <c r="F79690" s="193"/>
    </row>
    <row r="79691" spans="6:6" x14ac:dyDescent="0.3">
      <c r="F79691" s="193"/>
    </row>
    <row r="79692" spans="6:6" x14ac:dyDescent="0.3">
      <c r="F79692" s="193"/>
    </row>
    <row r="79693" spans="6:6" x14ac:dyDescent="0.3">
      <c r="F79693" s="193"/>
    </row>
    <row r="79694" spans="6:6" x14ac:dyDescent="0.3">
      <c r="F79694" s="193"/>
    </row>
    <row r="79695" spans="6:6" x14ac:dyDescent="0.3">
      <c r="F79695" s="193"/>
    </row>
    <row r="79696" spans="6:6" x14ac:dyDescent="0.3">
      <c r="F79696" s="193"/>
    </row>
    <row r="79697" spans="6:6" x14ac:dyDescent="0.3">
      <c r="F79697" s="193"/>
    </row>
    <row r="79698" spans="6:6" x14ac:dyDescent="0.3">
      <c r="F79698" s="193"/>
    </row>
    <row r="79699" spans="6:6" x14ac:dyDescent="0.3">
      <c r="F79699" s="193"/>
    </row>
    <row r="79700" spans="6:6" x14ac:dyDescent="0.3">
      <c r="F79700" s="193"/>
    </row>
    <row r="79701" spans="6:6" x14ac:dyDescent="0.3">
      <c r="F79701" s="193"/>
    </row>
    <row r="79702" spans="6:6" x14ac:dyDescent="0.3">
      <c r="F79702" s="193"/>
    </row>
    <row r="79703" spans="6:6" x14ac:dyDescent="0.3">
      <c r="F79703" s="193"/>
    </row>
    <row r="79704" spans="6:6" x14ac:dyDescent="0.3">
      <c r="F79704" s="193"/>
    </row>
    <row r="79705" spans="6:6" x14ac:dyDescent="0.3">
      <c r="F79705" s="193"/>
    </row>
    <row r="79706" spans="6:6" x14ac:dyDescent="0.3">
      <c r="F79706" s="193"/>
    </row>
    <row r="79707" spans="6:6" x14ac:dyDescent="0.3">
      <c r="F79707" s="193"/>
    </row>
    <row r="79708" spans="6:6" x14ac:dyDescent="0.3">
      <c r="F79708" s="193"/>
    </row>
    <row r="79709" spans="6:6" x14ac:dyDescent="0.3">
      <c r="F79709" s="193"/>
    </row>
    <row r="79710" spans="6:6" x14ac:dyDescent="0.3">
      <c r="F79710" s="193"/>
    </row>
    <row r="79711" spans="6:6" x14ac:dyDescent="0.3">
      <c r="F79711" s="193"/>
    </row>
    <row r="79712" spans="6:6" x14ac:dyDescent="0.3">
      <c r="F79712" s="193"/>
    </row>
    <row r="79713" spans="6:6" x14ac:dyDescent="0.3">
      <c r="F79713" s="193"/>
    </row>
    <row r="79714" spans="6:6" x14ac:dyDescent="0.3">
      <c r="F79714" s="193"/>
    </row>
    <row r="79715" spans="6:6" x14ac:dyDescent="0.3">
      <c r="F79715" s="193"/>
    </row>
    <row r="79716" spans="6:6" x14ac:dyDescent="0.3">
      <c r="F79716" s="193"/>
    </row>
    <row r="79717" spans="6:6" x14ac:dyDescent="0.3">
      <c r="F79717" s="193"/>
    </row>
    <row r="79718" spans="6:6" x14ac:dyDescent="0.3">
      <c r="F79718" s="193"/>
    </row>
    <row r="79719" spans="6:6" x14ac:dyDescent="0.3">
      <c r="F79719" s="193"/>
    </row>
    <row r="79720" spans="6:6" x14ac:dyDescent="0.3">
      <c r="F79720" s="193"/>
    </row>
    <row r="79721" spans="6:6" x14ac:dyDescent="0.3">
      <c r="F79721" s="193"/>
    </row>
    <row r="79722" spans="6:6" x14ac:dyDescent="0.3">
      <c r="F79722" s="193"/>
    </row>
    <row r="79723" spans="6:6" x14ac:dyDescent="0.3">
      <c r="F79723" s="193"/>
    </row>
    <row r="79724" spans="6:6" x14ac:dyDescent="0.3">
      <c r="F79724" s="193"/>
    </row>
    <row r="79725" spans="6:6" x14ac:dyDescent="0.3">
      <c r="F79725" s="193"/>
    </row>
    <row r="79726" spans="6:6" x14ac:dyDescent="0.3">
      <c r="F79726" s="193"/>
    </row>
    <row r="79727" spans="6:6" x14ac:dyDescent="0.3">
      <c r="F79727" s="193"/>
    </row>
    <row r="79728" spans="6:6" x14ac:dyDescent="0.3">
      <c r="F79728" s="193"/>
    </row>
    <row r="79729" spans="6:6" x14ac:dyDescent="0.3">
      <c r="F79729" s="193"/>
    </row>
    <row r="79730" spans="6:6" x14ac:dyDescent="0.3">
      <c r="F79730" s="193"/>
    </row>
    <row r="79731" spans="6:6" x14ac:dyDescent="0.3">
      <c r="F79731" s="193"/>
    </row>
    <row r="79732" spans="6:6" x14ac:dyDescent="0.3">
      <c r="F79732" s="193"/>
    </row>
    <row r="79733" spans="6:6" x14ac:dyDescent="0.3">
      <c r="F79733" s="193"/>
    </row>
    <row r="79734" spans="6:6" x14ac:dyDescent="0.3">
      <c r="F79734" s="193"/>
    </row>
    <row r="79735" spans="6:6" x14ac:dyDescent="0.3">
      <c r="F79735" s="193"/>
    </row>
    <row r="79736" spans="6:6" x14ac:dyDescent="0.3">
      <c r="F79736" s="193"/>
    </row>
    <row r="79737" spans="6:6" x14ac:dyDescent="0.3">
      <c r="F79737" s="193"/>
    </row>
    <row r="79738" spans="6:6" x14ac:dyDescent="0.3">
      <c r="F79738" s="193"/>
    </row>
    <row r="79739" spans="6:6" x14ac:dyDescent="0.3">
      <c r="F79739" s="193"/>
    </row>
    <row r="79740" spans="6:6" x14ac:dyDescent="0.3">
      <c r="F79740" s="193"/>
    </row>
    <row r="79741" spans="6:6" x14ac:dyDescent="0.3">
      <c r="F79741" s="193"/>
    </row>
    <row r="79742" spans="6:6" x14ac:dyDescent="0.3">
      <c r="F79742" s="193"/>
    </row>
    <row r="79743" spans="6:6" x14ac:dyDescent="0.3">
      <c r="F79743" s="193"/>
    </row>
    <row r="79744" spans="6:6" x14ac:dyDescent="0.3">
      <c r="F79744" s="193"/>
    </row>
    <row r="79745" spans="6:6" x14ac:dyDescent="0.3">
      <c r="F79745" s="193"/>
    </row>
    <row r="79746" spans="6:6" x14ac:dyDescent="0.3">
      <c r="F79746" s="193"/>
    </row>
    <row r="79747" spans="6:6" x14ac:dyDescent="0.3">
      <c r="F79747" s="193"/>
    </row>
    <row r="79748" spans="6:6" x14ac:dyDescent="0.3">
      <c r="F79748" s="193"/>
    </row>
    <row r="79749" spans="6:6" x14ac:dyDescent="0.3">
      <c r="F79749" s="193"/>
    </row>
    <row r="79750" spans="6:6" x14ac:dyDescent="0.3">
      <c r="F79750" s="193"/>
    </row>
    <row r="79751" spans="6:6" x14ac:dyDescent="0.3">
      <c r="F79751" s="193"/>
    </row>
    <row r="79752" spans="6:6" x14ac:dyDescent="0.3">
      <c r="F79752" s="193"/>
    </row>
    <row r="79753" spans="6:6" x14ac:dyDescent="0.3">
      <c r="F79753" s="193"/>
    </row>
    <row r="79754" spans="6:6" x14ac:dyDescent="0.3">
      <c r="F79754" s="193"/>
    </row>
    <row r="79755" spans="6:6" x14ac:dyDescent="0.3">
      <c r="F79755" s="193"/>
    </row>
    <row r="79756" spans="6:6" x14ac:dyDescent="0.3">
      <c r="F79756" s="193"/>
    </row>
    <row r="79757" spans="6:6" x14ac:dyDescent="0.3">
      <c r="F79757" s="193"/>
    </row>
    <row r="79758" spans="6:6" x14ac:dyDescent="0.3">
      <c r="F79758" s="193"/>
    </row>
    <row r="79759" spans="6:6" x14ac:dyDescent="0.3">
      <c r="F79759" s="193"/>
    </row>
    <row r="79760" spans="6:6" x14ac:dyDescent="0.3">
      <c r="F79760" s="193"/>
    </row>
    <row r="79761" spans="6:6" x14ac:dyDescent="0.3">
      <c r="F79761" s="193"/>
    </row>
    <row r="79762" spans="6:6" x14ac:dyDescent="0.3">
      <c r="F79762" s="193"/>
    </row>
    <row r="79763" spans="6:6" x14ac:dyDescent="0.3">
      <c r="F79763" s="193"/>
    </row>
    <row r="79764" spans="6:6" x14ac:dyDescent="0.3">
      <c r="F79764" s="193"/>
    </row>
    <row r="79765" spans="6:6" x14ac:dyDescent="0.3">
      <c r="F79765" s="193"/>
    </row>
    <row r="79766" spans="6:6" x14ac:dyDescent="0.3">
      <c r="F79766" s="193"/>
    </row>
    <row r="79767" spans="6:6" x14ac:dyDescent="0.3">
      <c r="F79767" s="193"/>
    </row>
    <row r="79768" spans="6:6" x14ac:dyDescent="0.3">
      <c r="F79768" s="193"/>
    </row>
    <row r="79769" spans="6:6" x14ac:dyDescent="0.3">
      <c r="F79769" s="193"/>
    </row>
    <row r="79770" spans="6:6" x14ac:dyDescent="0.3">
      <c r="F79770" s="193"/>
    </row>
    <row r="79771" spans="6:6" x14ac:dyDescent="0.3">
      <c r="F79771" s="193"/>
    </row>
    <row r="79772" spans="6:6" x14ac:dyDescent="0.3">
      <c r="F79772" s="193"/>
    </row>
    <row r="79773" spans="6:6" x14ac:dyDescent="0.3">
      <c r="F79773" s="193"/>
    </row>
    <row r="79774" spans="6:6" x14ac:dyDescent="0.3">
      <c r="F79774" s="193"/>
    </row>
    <row r="79775" spans="6:6" x14ac:dyDescent="0.3">
      <c r="F79775" s="193"/>
    </row>
    <row r="79776" spans="6:6" x14ac:dyDescent="0.3">
      <c r="F79776" s="193"/>
    </row>
    <row r="79777" spans="6:6" x14ac:dyDescent="0.3">
      <c r="F79777" s="193"/>
    </row>
    <row r="79778" spans="6:6" x14ac:dyDescent="0.3">
      <c r="F79778" s="193"/>
    </row>
    <row r="79779" spans="6:6" x14ac:dyDescent="0.3">
      <c r="F79779" s="193"/>
    </row>
    <row r="79780" spans="6:6" x14ac:dyDescent="0.3">
      <c r="F79780" s="193"/>
    </row>
    <row r="79781" spans="6:6" x14ac:dyDescent="0.3">
      <c r="F79781" s="193"/>
    </row>
    <row r="79782" spans="6:6" x14ac:dyDescent="0.3">
      <c r="F79782" s="193"/>
    </row>
    <row r="79783" spans="6:6" x14ac:dyDescent="0.3">
      <c r="F79783" s="193"/>
    </row>
    <row r="79784" spans="6:6" x14ac:dyDescent="0.3">
      <c r="F79784" s="193"/>
    </row>
    <row r="79785" spans="6:6" x14ac:dyDescent="0.3">
      <c r="F79785" s="193"/>
    </row>
    <row r="79786" spans="6:6" x14ac:dyDescent="0.3">
      <c r="F79786" s="193"/>
    </row>
    <row r="79787" spans="6:6" x14ac:dyDescent="0.3">
      <c r="F79787" s="193"/>
    </row>
    <row r="79788" spans="6:6" x14ac:dyDescent="0.3">
      <c r="F79788" s="193"/>
    </row>
    <row r="79789" spans="6:6" x14ac:dyDescent="0.3">
      <c r="F79789" s="193"/>
    </row>
    <row r="79790" spans="6:6" x14ac:dyDescent="0.3">
      <c r="F79790" s="193"/>
    </row>
    <row r="79791" spans="6:6" x14ac:dyDescent="0.3">
      <c r="F79791" s="193"/>
    </row>
    <row r="79792" spans="6:6" x14ac:dyDescent="0.3">
      <c r="F79792" s="193"/>
    </row>
    <row r="79793" spans="6:6" x14ac:dyDescent="0.3">
      <c r="F79793" s="193"/>
    </row>
    <row r="79794" spans="6:6" x14ac:dyDescent="0.3">
      <c r="F79794" s="193"/>
    </row>
    <row r="79795" spans="6:6" x14ac:dyDescent="0.3">
      <c r="F79795" s="193"/>
    </row>
    <row r="79796" spans="6:6" x14ac:dyDescent="0.3">
      <c r="F79796" s="193"/>
    </row>
    <row r="79797" spans="6:6" x14ac:dyDescent="0.3">
      <c r="F79797" s="193"/>
    </row>
    <row r="79798" spans="6:6" x14ac:dyDescent="0.3">
      <c r="F79798" s="193"/>
    </row>
    <row r="79799" spans="6:6" x14ac:dyDescent="0.3">
      <c r="F79799" s="193"/>
    </row>
    <row r="79800" spans="6:6" x14ac:dyDescent="0.3">
      <c r="F79800" s="193"/>
    </row>
    <row r="79801" spans="6:6" x14ac:dyDescent="0.3">
      <c r="F79801" s="193"/>
    </row>
    <row r="79802" spans="6:6" x14ac:dyDescent="0.3">
      <c r="F79802" s="193"/>
    </row>
    <row r="79803" spans="6:6" x14ac:dyDescent="0.3">
      <c r="F79803" s="193"/>
    </row>
    <row r="79804" spans="6:6" x14ac:dyDescent="0.3">
      <c r="F79804" s="193"/>
    </row>
    <row r="79805" spans="6:6" x14ac:dyDescent="0.3">
      <c r="F79805" s="193"/>
    </row>
    <row r="79806" spans="6:6" x14ac:dyDescent="0.3">
      <c r="F79806" s="193"/>
    </row>
    <row r="79807" spans="6:6" x14ac:dyDescent="0.3">
      <c r="F79807" s="193"/>
    </row>
    <row r="79808" spans="6:6" x14ac:dyDescent="0.3">
      <c r="F79808" s="193"/>
    </row>
    <row r="79809" spans="6:6" x14ac:dyDescent="0.3">
      <c r="F79809" s="193"/>
    </row>
    <row r="79810" spans="6:6" x14ac:dyDescent="0.3">
      <c r="F79810" s="193"/>
    </row>
    <row r="79811" spans="6:6" x14ac:dyDescent="0.3">
      <c r="F79811" s="193"/>
    </row>
    <row r="79812" spans="6:6" x14ac:dyDescent="0.3">
      <c r="F79812" s="193"/>
    </row>
    <row r="79813" spans="6:6" x14ac:dyDescent="0.3">
      <c r="F79813" s="193"/>
    </row>
    <row r="79814" spans="6:6" x14ac:dyDescent="0.3">
      <c r="F79814" s="193"/>
    </row>
    <row r="79815" spans="6:6" x14ac:dyDescent="0.3">
      <c r="F79815" s="193"/>
    </row>
    <row r="79816" spans="6:6" x14ac:dyDescent="0.3">
      <c r="F79816" s="193"/>
    </row>
    <row r="79817" spans="6:6" x14ac:dyDescent="0.3">
      <c r="F79817" s="193"/>
    </row>
    <row r="79818" spans="6:6" x14ac:dyDescent="0.3">
      <c r="F79818" s="193"/>
    </row>
    <row r="79819" spans="6:6" x14ac:dyDescent="0.3">
      <c r="F79819" s="193"/>
    </row>
    <row r="79820" spans="6:6" x14ac:dyDescent="0.3">
      <c r="F79820" s="193"/>
    </row>
    <row r="79821" spans="6:6" x14ac:dyDescent="0.3">
      <c r="F79821" s="193"/>
    </row>
    <row r="79822" spans="6:6" x14ac:dyDescent="0.3">
      <c r="F79822" s="193"/>
    </row>
    <row r="79823" spans="6:6" x14ac:dyDescent="0.3">
      <c r="F79823" s="193"/>
    </row>
    <row r="79824" spans="6:6" x14ac:dyDescent="0.3">
      <c r="F79824" s="193"/>
    </row>
    <row r="79825" spans="6:6" x14ac:dyDescent="0.3">
      <c r="F79825" s="193"/>
    </row>
    <row r="79826" spans="6:6" x14ac:dyDescent="0.3">
      <c r="F79826" s="193"/>
    </row>
    <row r="79827" spans="6:6" x14ac:dyDescent="0.3">
      <c r="F79827" s="193"/>
    </row>
    <row r="79828" spans="6:6" x14ac:dyDescent="0.3">
      <c r="F79828" s="193"/>
    </row>
    <row r="79829" spans="6:6" x14ac:dyDescent="0.3">
      <c r="F79829" s="193"/>
    </row>
    <row r="79830" spans="6:6" x14ac:dyDescent="0.3">
      <c r="F79830" s="193"/>
    </row>
    <row r="79831" spans="6:6" x14ac:dyDescent="0.3">
      <c r="F79831" s="193"/>
    </row>
    <row r="79832" spans="6:6" x14ac:dyDescent="0.3">
      <c r="F79832" s="193"/>
    </row>
    <row r="79833" spans="6:6" x14ac:dyDescent="0.3">
      <c r="F79833" s="193"/>
    </row>
    <row r="79834" spans="6:6" x14ac:dyDescent="0.3">
      <c r="F79834" s="193"/>
    </row>
    <row r="79835" spans="6:6" x14ac:dyDescent="0.3">
      <c r="F79835" s="193"/>
    </row>
    <row r="79836" spans="6:6" x14ac:dyDescent="0.3">
      <c r="F79836" s="193"/>
    </row>
    <row r="79837" spans="6:6" x14ac:dyDescent="0.3">
      <c r="F79837" s="193"/>
    </row>
    <row r="79838" spans="6:6" x14ac:dyDescent="0.3">
      <c r="F79838" s="193"/>
    </row>
    <row r="79839" spans="6:6" x14ac:dyDescent="0.3">
      <c r="F79839" s="193"/>
    </row>
    <row r="79840" spans="6:6" x14ac:dyDescent="0.3">
      <c r="F79840" s="193"/>
    </row>
    <row r="79841" spans="6:6" x14ac:dyDescent="0.3">
      <c r="F79841" s="193"/>
    </row>
    <row r="79842" spans="6:6" x14ac:dyDescent="0.3">
      <c r="F79842" s="193"/>
    </row>
    <row r="79843" spans="6:6" x14ac:dyDescent="0.3">
      <c r="F79843" s="193"/>
    </row>
    <row r="79844" spans="6:6" x14ac:dyDescent="0.3">
      <c r="F79844" s="193"/>
    </row>
    <row r="79845" spans="6:6" x14ac:dyDescent="0.3">
      <c r="F79845" s="193"/>
    </row>
    <row r="79846" spans="6:6" x14ac:dyDescent="0.3">
      <c r="F79846" s="193"/>
    </row>
    <row r="79847" spans="6:6" x14ac:dyDescent="0.3">
      <c r="F79847" s="193"/>
    </row>
    <row r="79848" spans="6:6" x14ac:dyDescent="0.3">
      <c r="F79848" s="193"/>
    </row>
    <row r="79849" spans="6:6" x14ac:dyDescent="0.3">
      <c r="F79849" s="193"/>
    </row>
    <row r="79850" spans="6:6" x14ac:dyDescent="0.3">
      <c r="F79850" s="193"/>
    </row>
    <row r="79851" spans="6:6" x14ac:dyDescent="0.3">
      <c r="F79851" s="193"/>
    </row>
    <row r="79852" spans="6:6" x14ac:dyDescent="0.3">
      <c r="F79852" s="193"/>
    </row>
    <row r="79853" spans="6:6" x14ac:dyDescent="0.3">
      <c r="F79853" s="193"/>
    </row>
    <row r="79854" spans="6:6" x14ac:dyDescent="0.3">
      <c r="F79854" s="193"/>
    </row>
    <row r="79855" spans="6:6" x14ac:dyDescent="0.3">
      <c r="F79855" s="193"/>
    </row>
    <row r="79856" spans="6:6" x14ac:dyDescent="0.3">
      <c r="F79856" s="193"/>
    </row>
    <row r="79857" spans="6:6" x14ac:dyDescent="0.3">
      <c r="F79857" s="193"/>
    </row>
    <row r="79858" spans="6:6" x14ac:dyDescent="0.3">
      <c r="F79858" s="193"/>
    </row>
    <row r="79859" spans="6:6" x14ac:dyDescent="0.3">
      <c r="F79859" s="193"/>
    </row>
    <row r="79860" spans="6:6" x14ac:dyDescent="0.3">
      <c r="F79860" s="193"/>
    </row>
    <row r="79861" spans="6:6" x14ac:dyDescent="0.3">
      <c r="F79861" s="193"/>
    </row>
    <row r="79862" spans="6:6" x14ac:dyDescent="0.3">
      <c r="F79862" s="193"/>
    </row>
    <row r="79863" spans="6:6" x14ac:dyDescent="0.3">
      <c r="F79863" s="193"/>
    </row>
    <row r="79864" spans="6:6" x14ac:dyDescent="0.3">
      <c r="F79864" s="193"/>
    </row>
    <row r="79865" spans="6:6" x14ac:dyDescent="0.3">
      <c r="F79865" s="193"/>
    </row>
    <row r="79866" spans="6:6" x14ac:dyDescent="0.3">
      <c r="F79866" s="193"/>
    </row>
    <row r="79867" spans="6:6" x14ac:dyDescent="0.3">
      <c r="F79867" s="193"/>
    </row>
    <row r="79868" spans="6:6" x14ac:dyDescent="0.3">
      <c r="F79868" s="193"/>
    </row>
    <row r="79869" spans="6:6" x14ac:dyDescent="0.3">
      <c r="F79869" s="193"/>
    </row>
    <row r="79870" spans="6:6" x14ac:dyDescent="0.3">
      <c r="F79870" s="193"/>
    </row>
    <row r="79871" spans="6:6" x14ac:dyDescent="0.3">
      <c r="F79871" s="193"/>
    </row>
    <row r="79872" spans="6:6" x14ac:dyDescent="0.3">
      <c r="F79872" s="193"/>
    </row>
    <row r="79873" spans="6:6" x14ac:dyDescent="0.3">
      <c r="F79873" s="193"/>
    </row>
    <row r="79874" spans="6:6" x14ac:dyDescent="0.3">
      <c r="F79874" s="193"/>
    </row>
    <row r="79875" spans="6:6" x14ac:dyDescent="0.3">
      <c r="F79875" s="193"/>
    </row>
    <row r="79876" spans="6:6" x14ac:dyDescent="0.3">
      <c r="F79876" s="193"/>
    </row>
    <row r="79877" spans="6:6" x14ac:dyDescent="0.3">
      <c r="F79877" s="193"/>
    </row>
    <row r="79878" spans="6:6" x14ac:dyDescent="0.3">
      <c r="F79878" s="193"/>
    </row>
    <row r="79879" spans="6:6" x14ac:dyDescent="0.3">
      <c r="F79879" s="193"/>
    </row>
    <row r="79880" spans="6:6" x14ac:dyDescent="0.3">
      <c r="F79880" s="193"/>
    </row>
    <row r="79881" spans="6:6" x14ac:dyDescent="0.3">
      <c r="F79881" s="193"/>
    </row>
    <row r="79882" spans="6:6" x14ac:dyDescent="0.3">
      <c r="F79882" s="193"/>
    </row>
    <row r="79883" spans="6:6" x14ac:dyDescent="0.3">
      <c r="F79883" s="193"/>
    </row>
    <row r="79884" spans="6:6" x14ac:dyDescent="0.3">
      <c r="F79884" s="193"/>
    </row>
    <row r="79885" spans="6:6" x14ac:dyDescent="0.3">
      <c r="F79885" s="193"/>
    </row>
    <row r="79886" spans="6:6" x14ac:dyDescent="0.3">
      <c r="F79886" s="193"/>
    </row>
    <row r="79887" spans="6:6" x14ac:dyDescent="0.3">
      <c r="F79887" s="193"/>
    </row>
    <row r="79888" spans="6:6" x14ac:dyDescent="0.3">
      <c r="F79888" s="193"/>
    </row>
    <row r="79889" spans="6:6" x14ac:dyDescent="0.3">
      <c r="F79889" s="193"/>
    </row>
    <row r="79890" spans="6:6" x14ac:dyDescent="0.3">
      <c r="F79890" s="193"/>
    </row>
    <row r="79891" spans="6:6" x14ac:dyDescent="0.3">
      <c r="F79891" s="193"/>
    </row>
    <row r="79892" spans="6:6" x14ac:dyDescent="0.3">
      <c r="F79892" s="193"/>
    </row>
    <row r="79893" spans="6:6" x14ac:dyDescent="0.3">
      <c r="F79893" s="193"/>
    </row>
    <row r="79894" spans="6:6" x14ac:dyDescent="0.3">
      <c r="F79894" s="193"/>
    </row>
    <row r="79895" spans="6:6" x14ac:dyDescent="0.3">
      <c r="F79895" s="193"/>
    </row>
    <row r="79896" spans="6:6" x14ac:dyDescent="0.3">
      <c r="F79896" s="193"/>
    </row>
    <row r="79897" spans="6:6" x14ac:dyDescent="0.3">
      <c r="F79897" s="193"/>
    </row>
    <row r="79898" spans="6:6" x14ac:dyDescent="0.3">
      <c r="F79898" s="193"/>
    </row>
    <row r="79899" spans="6:6" x14ac:dyDescent="0.3">
      <c r="F79899" s="193"/>
    </row>
    <row r="79900" spans="6:6" x14ac:dyDescent="0.3">
      <c r="F79900" s="193"/>
    </row>
    <row r="79901" spans="6:6" x14ac:dyDescent="0.3">
      <c r="F79901" s="193"/>
    </row>
    <row r="79902" spans="6:6" x14ac:dyDescent="0.3">
      <c r="F79902" s="193"/>
    </row>
    <row r="79903" spans="6:6" x14ac:dyDescent="0.3">
      <c r="F79903" s="193"/>
    </row>
    <row r="79904" spans="6:6" x14ac:dyDescent="0.3">
      <c r="F79904" s="193"/>
    </row>
    <row r="79905" spans="6:6" x14ac:dyDescent="0.3">
      <c r="F79905" s="193"/>
    </row>
    <row r="79906" spans="6:6" x14ac:dyDescent="0.3">
      <c r="F79906" s="193"/>
    </row>
    <row r="79907" spans="6:6" x14ac:dyDescent="0.3">
      <c r="F79907" s="193"/>
    </row>
    <row r="79908" spans="6:6" x14ac:dyDescent="0.3">
      <c r="F79908" s="193"/>
    </row>
    <row r="79909" spans="6:6" x14ac:dyDescent="0.3">
      <c r="F79909" s="193"/>
    </row>
    <row r="79910" spans="6:6" x14ac:dyDescent="0.3">
      <c r="F79910" s="193"/>
    </row>
    <row r="79911" spans="6:6" x14ac:dyDescent="0.3">
      <c r="F79911" s="193"/>
    </row>
    <row r="79912" spans="6:6" x14ac:dyDescent="0.3">
      <c r="F79912" s="193"/>
    </row>
    <row r="79913" spans="6:6" x14ac:dyDescent="0.3">
      <c r="F79913" s="193"/>
    </row>
    <row r="79914" spans="6:6" x14ac:dyDescent="0.3">
      <c r="F79914" s="193"/>
    </row>
    <row r="79915" spans="6:6" x14ac:dyDescent="0.3">
      <c r="F79915" s="193"/>
    </row>
    <row r="79916" spans="6:6" x14ac:dyDescent="0.3">
      <c r="F79916" s="193"/>
    </row>
    <row r="79917" spans="6:6" x14ac:dyDescent="0.3">
      <c r="F79917" s="193"/>
    </row>
    <row r="79918" spans="6:6" x14ac:dyDescent="0.3">
      <c r="F79918" s="193"/>
    </row>
    <row r="79919" spans="6:6" x14ac:dyDescent="0.3">
      <c r="F79919" s="193"/>
    </row>
    <row r="79920" spans="6:6" x14ac:dyDescent="0.3">
      <c r="F79920" s="193"/>
    </row>
    <row r="79921" spans="6:6" x14ac:dyDescent="0.3">
      <c r="F79921" s="193"/>
    </row>
    <row r="79922" spans="6:6" x14ac:dyDescent="0.3">
      <c r="F79922" s="193"/>
    </row>
    <row r="79923" spans="6:6" x14ac:dyDescent="0.3">
      <c r="F79923" s="193"/>
    </row>
    <row r="79924" spans="6:6" x14ac:dyDescent="0.3">
      <c r="F79924" s="193"/>
    </row>
    <row r="79925" spans="6:6" x14ac:dyDescent="0.3">
      <c r="F79925" s="193"/>
    </row>
    <row r="79926" spans="6:6" x14ac:dyDescent="0.3">
      <c r="F79926" s="193"/>
    </row>
    <row r="79927" spans="6:6" x14ac:dyDescent="0.3">
      <c r="F79927" s="193"/>
    </row>
    <row r="79928" spans="6:6" x14ac:dyDescent="0.3">
      <c r="F79928" s="193"/>
    </row>
    <row r="79929" spans="6:6" x14ac:dyDescent="0.3">
      <c r="F79929" s="193"/>
    </row>
    <row r="79930" spans="6:6" x14ac:dyDescent="0.3">
      <c r="F79930" s="193"/>
    </row>
    <row r="79931" spans="6:6" x14ac:dyDescent="0.3">
      <c r="F79931" s="193"/>
    </row>
    <row r="79932" spans="6:6" x14ac:dyDescent="0.3">
      <c r="F79932" s="193"/>
    </row>
    <row r="79933" spans="6:6" x14ac:dyDescent="0.3">
      <c r="F79933" s="193"/>
    </row>
    <row r="79934" spans="6:6" x14ac:dyDescent="0.3">
      <c r="F79934" s="193"/>
    </row>
    <row r="79935" spans="6:6" x14ac:dyDescent="0.3">
      <c r="F79935" s="193"/>
    </row>
    <row r="79936" spans="6:6" x14ac:dyDescent="0.3">
      <c r="F79936" s="193"/>
    </row>
    <row r="79937" spans="6:6" x14ac:dyDescent="0.3">
      <c r="F79937" s="193"/>
    </row>
    <row r="79938" spans="6:6" x14ac:dyDescent="0.3">
      <c r="F79938" s="193"/>
    </row>
    <row r="79939" spans="6:6" x14ac:dyDescent="0.3">
      <c r="F79939" s="193"/>
    </row>
    <row r="79940" spans="6:6" x14ac:dyDescent="0.3">
      <c r="F79940" s="193"/>
    </row>
    <row r="79941" spans="6:6" x14ac:dyDescent="0.3">
      <c r="F79941" s="193"/>
    </row>
    <row r="79942" spans="6:6" x14ac:dyDescent="0.3">
      <c r="F79942" s="193"/>
    </row>
    <row r="79943" spans="6:6" x14ac:dyDescent="0.3">
      <c r="F79943" s="193"/>
    </row>
    <row r="79944" spans="6:6" x14ac:dyDescent="0.3">
      <c r="F79944" s="193"/>
    </row>
    <row r="79945" spans="6:6" x14ac:dyDescent="0.3">
      <c r="F79945" s="193"/>
    </row>
    <row r="79946" spans="6:6" x14ac:dyDescent="0.3">
      <c r="F79946" s="193"/>
    </row>
    <row r="79947" spans="6:6" x14ac:dyDescent="0.3">
      <c r="F79947" s="193"/>
    </row>
    <row r="79948" spans="6:6" x14ac:dyDescent="0.3">
      <c r="F79948" s="193"/>
    </row>
    <row r="79949" spans="6:6" x14ac:dyDescent="0.3">
      <c r="F79949" s="193"/>
    </row>
    <row r="79950" spans="6:6" x14ac:dyDescent="0.3">
      <c r="F79950" s="193"/>
    </row>
    <row r="79951" spans="6:6" x14ac:dyDescent="0.3">
      <c r="F79951" s="193"/>
    </row>
    <row r="79952" spans="6:6" x14ac:dyDescent="0.3">
      <c r="F79952" s="193"/>
    </row>
    <row r="79953" spans="6:6" x14ac:dyDescent="0.3">
      <c r="F79953" s="193"/>
    </row>
    <row r="79954" spans="6:6" x14ac:dyDescent="0.3">
      <c r="F79954" s="193"/>
    </row>
    <row r="79955" spans="6:6" x14ac:dyDescent="0.3">
      <c r="F79955" s="193"/>
    </row>
    <row r="79956" spans="6:6" x14ac:dyDescent="0.3">
      <c r="F79956" s="193"/>
    </row>
    <row r="79957" spans="6:6" x14ac:dyDescent="0.3">
      <c r="F79957" s="193"/>
    </row>
    <row r="79958" spans="6:6" x14ac:dyDescent="0.3">
      <c r="F79958" s="193"/>
    </row>
    <row r="79959" spans="6:6" x14ac:dyDescent="0.3">
      <c r="F79959" s="193"/>
    </row>
    <row r="79960" spans="6:6" x14ac:dyDescent="0.3">
      <c r="F79960" s="193"/>
    </row>
    <row r="79961" spans="6:6" x14ac:dyDescent="0.3">
      <c r="F79961" s="193"/>
    </row>
    <row r="79962" spans="6:6" x14ac:dyDescent="0.3">
      <c r="F79962" s="193"/>
    </row>
    <row r="79963" spans="6:6" x14ac:dyDescent="0.3">
      <c r="F79963" s="193"/>
    </row>
    <row r="79964" spans="6:6" x14ac:dyDescent="0.3">
      <c r="F79964" s="193"/>
    </row>
    <row r="79965" spans="6:6" x14ac:dyDescent="0.3">
      <c r="F79965" s="193"/>
    </row>
    <row r="79966" spans="6:6" x14ac:dyDescent="0.3">
      <c r="F79966" s="193"/>
    </row>
    <row r="79967" spans="6:6" x14ac:dyDescent="0.3">
      <c r="F79967" s="193"/>
    </row>
    <row r="79968" spans="6:6" x14ac:dyDescent="0.3">
      <c r="F79968" s="193"/>
    </row>
    <row r="79969" spans="6:6" x14ac:dyDescent="0.3">
      <c r="F79969" s="193"/>
    </row>
    <row r="79970" spans="6:6" x14ac:dyDescent="0.3">
      <c r="F79970" s="193"/>
    </row>
    <row r="79971" spans="6:6" x14ac:dyDescent="0.3">
      <c r="F79971" s="193"/>
    </row>
    <row r="79972" spans="6:6" x14ac:dyDescent="0.3">
      <c r="F79972" s="193"/>
    </row>
    <row r="79973" spans="6:6" x14ac:dyDescent="0.3">
      <c r="F79973" s="193"/>
    </row>
    <row r="79974" spans="6:6" x14ac:dyDescent="0.3">
      <c r="F79974" s="193"/>
    </row>
    <row r="79975" spans="6:6" x14ac:dyDescent="0.3">
      <c r="F79975" s="193"/>
    </row>
    <row r="79976" spans="6:6" x14ac:dyDescent="0.3">
      <c r="F79976" s="193"/>
    </row>
    <row r="79977" spans="6:6" x14ac:dyDescent="0.3">
      <c r="F79977" s="193"/>
    </row>
    <row r="79978" spans="6:6" x14ac:dyDescent="0.3">
      <c r="F79978" s="193"/>
    </row>
    <row r="79979" spans="6:6" x14ac:dyDescent="0.3">
      <c r="F79979" s="193"/>
    </row>
    <row r="79980" spans="6:6" x14ac:dyDescent="0.3">
      <c r="F79980" s="193"/>
    </row>
    <row r="79981" spans="6:6" x14ac:dyDescent="0.3">
      <c r="F79981" s="193"/>
    </row>
    <row r="79982" spans="6:6" x14ac:dyDescent="0.3">
      <c r="F79982" s="193"/>
    </row>
    <row r="79983" spans="6:6" x14ac:dyDescent="0.3">
      <c r="F79983" s="193"/>
    </row>
    <row r="79984" spans="6:6" x14ac:dyDescent="0.3">
      <c r="F79984" s="193"/>
    </row>
    <row r="79985" spans="6:6" x14ac:dyDescent="0.3">
      <c r="F79985" s="193"/>
    </row>
    <row r="79986" spans="6:6" x14ac:dyDescent="0.3">
      <c r="F79986" s="193"/>
    </row>
    <row r="79987" spans="6:6" x14ac:dyDescent="0.3">
      <c r="F79987" s="193"/>
    </row>
    <row r="79988" spans="6:6" x14ac:dyDescent="0.3">
      <c r="F79988" s="193"/>
    </row>
    <row r="79989" spans="6:6" x14ac:dyDescent="0.3">
      <c r="F79989" s="193"/>
    </row>
    <row r="79990" spans="6:6" x14ac:dyDescent="0.3">
      <c r="F79990" s="193"/>
    </row>
    <row r="79991" spans="6:6" x14ac:dyDescent="0.3">
      <c r="F79991" s="193"/>
    </row>
    <row r="79992" spans="6:6" x14ac:dyDescent="0.3">
      <c r="F79992" s="193"/>
    </row>
    <row r="79993" spans="6:6" x14ac:dyDescent="0.3">
      <c r="F79993" s="193"/>
    </row>
    <row r="79994" spans="6:6" x14ac:dyDescent="0.3">
      <c r="F79994" s="193"/>
    </row>
    <row r="79995" spans="6:6" x14ac:dyDescent="0.3">
      <c r="F79995" s="193"/>
    </row>
    <row r="79996" spans="6:6" x14ac:dyDescent="0.3">
      <c r="F79996" s="193"/>
    </row>
    <row r="79997" spans="6:6" x14ac:dyDescent="0.3">
      <c r="F79997" s="193"/>
    </row>
    <row r="79998" spans="6:6" x14ac:dyDescent="0.3">
      <c r="F79998" s="193"/>
    </row>
    <row r="79999" spans="6:6" x14ac:dyDescent="0.3">
      <c r="F79999" s="193"/>
    </row>
    <row r="80000" spans="6:6" x14ac:dyDescent="0.3">
      <c r="F80000" s="193"/>
    </row>
    <row r="80001" spans="6:6" x14ac:dyDescent="0.3">
      <c r="F80001" s="193"/>
    </row>
    <row r="80002" spans="6:6" x14ac:dyDescent="0.3">
      <c r="F80002" s="193"/>
    </row>
    <row r="80003" spans="6:6" x14ac:dyDescent="0.3">
      <c r="F80003" s="193"/>
    </row>
    <row r="80004" spans="6:6" x14ac:dyDescent="0.3">
      <c r="F80004" s="193"/>
    </row>
    <row r="80005" spans="6:6" x14ac:dyDescent="0.3">
      <c r="F80005" s="193"/>
    </row>
    <row r="80006" spans="6:6" x14ac:dyDescent="0.3">
      <c r="F80006" s="193"/>
    </row>
    <row r="80007" spans="6:6" x14ac:dyDescent="0.3">
      <c r="F80007" s="193"/>
    </row>
    <row r="80008" spans="6:6" x14ac:dyDescent="0.3">
      <c r="F80008" s="193"/>
    </row>
    <row r="80009" spans="6:6" x14ac:dyDescent="0.3">
      <c r="F80009" s="193"/>
    </row>
    <row r="80010" spans="6:6" x14ac:dyDescent="0.3">
      <c r="F80010" s="193"/>
    </row>
    <row r="80011" spans="6:6" x14ac:dyDescent="0.3">
      <c r="F80011" s="193"/>
    </row>
    <row r="80012" spans="6:6" x14ac:dyDescent="0.3">
      <c r="F80012" s="193"/>
    </row>
    <row r="80013" spans="6:6" x14ac:dyDescent="0.3">
      <c r="F80013" s="193"/>
    </row>
    <row r="80014" spans="6:6" x14ac:dyDescent="0.3">
      <c r="F80014" s="193"/>
    </row>
    <row r="80015" spans="6:6" x14ac:dyDescent="0.3">
      <c r="F80015" s="193"/>
    </row>
    <row r="80016" spans="6:6" x14ac:dyDescent="0.3">
      <c r="F80016" s="193"/>
    </row>
    <row r="80017" spans="6:6" x14ac:dyDescent="0.3">
      <c r="F80017" s="193"/>
    </row>
    <row r="80018" spans="6:6" x14ac:dyDescent="0.3">
      <c r="F80018" s="193"/>
    </row>
    <row r="80019" spans="6:6" x14ac:dyDescent="0.3">
      <c r="F80019" s="193"/>
    </row>
    <row r="80020" spans="6:6" x14ac:dyDescent="0.3">
      <c r="F80020" s="193"/>
    </row>
    <row r="80021" spans="6:6" x14ac:dyDescent="0.3">
      <c r="F80021" s="193"/>
    </row>
    <row r="80022" spans="6:6" x14ac:dyDescent="0.3">
      <c r="F80022" s="193"/>
    </row>
    <row r="80023" spans="6:6" x14ac:dyDescent="0.3">
      <c r="F80023" s="193"/>
    </row>
    <row r="80024" spans="6:6" x14ac:dyDescent="0.3">
      <c r="F80024" s="193"/>
    </row>
    <row r="80025" spans="6:6" x14ac:dyDescent="0.3">
      <c r="F80025" s="193"/>
    </row>
    <row r="80026" spans="6:6" x14ac:dyDescent="0.3">
      <c r="F80026" s="193"/>
    </row>
    <row r="80027" spans="6:6" x14ac:dyDescent="0.3">
      <c r="F80027" s="193"/>
    </row>
    <row r="80028" spans="6:6" x14ac:dyDescent="0.3">
      <c r="F80028" s="193"/>
    </row>
    <row r="80029" spans="6:6" x14ac:dyDescent="0.3">
      <c r="F80029" s="193"/>
    </row>
    <row r="80030" spans="6:6" x14ac:dyDescent="0.3">
      <c r="F80030" s="193"/>
    </row>
    <row r="80031" spans="6:6" x14ac:dyDescent="0.3">
      <c r="F80031" s="193"/>
    </row>
    <row r="80032" spans="6:6" x14ac:dyDescent="0.3">
      <c r="F80032" s="193"/>
    </row>
    <row r="80033" spans="6:6" x14ac:dyDescent="0.3">
      <c r="F80033" s="193"/>
    </row>
    <row r="80034" spans="6:6" x14ac:dyDescent="0.3">
      <c r="F80034" s="193"/>
    </row>
    <row r="80035" spans="6:6" x14ac:dyDescent="0.3">
      <c r="F80035" s="193"/>
    </row>
    <row r="80036" spans="6:6" x14ac:dyDescent="0.3">
      <c r="F80036" s="193"/>
    </row>
    <row r="80037" spans="6:6" x14ac:dyDescent="0.3">
      <c r="F80037" s="193"/>
    </row>
    <row r="80038" spans="6:6" x14ac:dyDescent="0.3">
      <c r="F80038" s="193"/>
    </row>
    <row r="80039" spans="6:6" x14ac:dyDescent="0.3">
      <c r="F80039" s="193"/>
    </row>
    <row r="80040" spans="6:6" x14ac:dyDescent="0.3">
      <c r="F80040" s="193"/>
    </row>
    <row r="80041" spans="6:6" x14ac:dyDescent="0.3">
      <c r="F80041" s="193"/>
    </row>
    <row r="80042" spans="6:6" x14ac:dyDescent="0.3">
      <c r="F80042" s="193"/>
    </row>
    <row r="80043" spans="6:6" x14ac:dyDescent="0.3">
      <c r="F80043" s="193"/>
    </row>
    <row r="80044" spans="6:6" x14ac:dyDescent="0.3">
      <c r="F80044" s="193"/>
    </row>
    <row r="80045" spans="6:6" x14ac:dyDescent="0.3">
      <c r="F80045" s="193"/>
    </row>
    <row r="80046" spans="6:6" x14ac:dyDescent="0.3">
      <c r="F80046" s="193"/>
    </row>
    <row r="80047" spans="6:6" x14ac:dyDescent="0.3">
      <c r="F80047" s="193"/>
    </row>
    <row r="80048" spans="6:6" x14ac:dyDescent="0.3">
      <c r="F80048" s="193"/>
    </row>
    <row r="80049" spans="6:6" x14ac:dyDescent="0.3">
      <c r="F80049" s="193"/>
    </row>
    <row r="80050" spans="6:6" x14ac:dyDescent="0.3">
      <c r="F80050" s="193"/>
    </row>
    <row r="80051" spans="6:6" x14ac:dyDescent="0.3">
      <c r="F80051" s="193"/>
    </row>
    <row r="80052" spans="6:6" x14ac:dyDescent="0.3">
      <c r="F80052" s="193"/>
    </row>
    <row r="80053" spans="6:6" x14ac:dyDescent="0.3">
      <c r="F80053" s="193"/>
    </row>
    <row r="80054" spans="6:6" x14ac:dyDescent="0.3">
      <c r="F80054" s="193"/>
    </row>
    <row r="80055" spans="6:6" x14ac:dyDescent="0.3">
      <c r="F80055" s="193"/>
    </row>
    <row r="80056" spans="6:6" x14ac:dyDescent="0.3">
      <c r="F80056" s="193"/>
    </row>
    <row r="80057" spans="6:6" x14ac:dyDescent="0.3">
      <c r="F80057" s="193"/>
    </row>
    <row r="80058" spans="6:6" x14ac:dyDescent="0.3">
      <c r="F80058" s="193"/>
    </row>
    <row r="80059" spans="6:6" x14ac:dyDescent="0.3">
      <c r="F80059" s="193"/>
    </row>
    <row r="80060" spans="6:6" x14ac:dyDescent="0.3">
      <c r="F80060" s="193"/>
    </row>
    <row r="80061" spans="6:6" x14ac:dyDescent="0.3">
      <c r="F80061" s="193"/>
    </row>
    <row r="80062" spans="6:6" x14ac:dyDescent="0.3">
      <c r="F80062" s="193"/>
    </row>
    <row r="80063" spans="6:6" x14ac:dyDescent="0.3">
      <c r="F80063" s="193"/>
    </row>
    <row r="80064" spans="6:6" x14ac:dyDescent="0.3">
      <c r="F80064" s="193"/>
    </row>
    <row r="80065" spans="6:6" x14ac:dyDescent="0.3">
      <c r="F80065" s="193"/>
    </row>
    <row r="80066" spans="6:6" x14ac:dyDescent="0.3">
      <c r="F80066" s="193"/>
    </row>
    <row r="80067" spans="6:6" x14ac:dyDescent="0.3">
      <c r="F80067" s="193"/>
    </row>
    <row r="80068" spans="6:6" x14ac:dyDescent="0.3">
      <c r="F80068" s="193"/>
    </row>
    <row r="80069" spans="6:6" x14ac:dyDescent="0.3">
      <c r="F80069" s="193"/>
    </row>
    <row r="80070" spans="6:6" x14ac:dyDescent="0.3">
      <c r="F80070" s="193"/>
    </row>
    <row r="80071" spans="6:6" x14ac:dyDescent="0.3">
      <c r="F80071" s="193"/>
    </row>
    <row r="80072" spans="6:6" x14ac:dyDescent="0.3">
      <c r="F80072" s="193"/>
    </row>
    <row r="80073" spans="6:6" x14ac:dyDescent="0.3">
      <c r="F80073" s="193"/>
    </row>
    <row r="80074" spans="6:6" x14ac:dyDescent="0.3">
      <c r="F80074" s="193"/>
    </row>
    <row r="80075" spans="6:6" x14ac:dyDescent="0.3">
      <c r="F80075" s="193"/>
    </row>
    <row r="80076" spans="6:6" x14ac:dyDescent="0.3">
      <c r="F80076" s="193"/>
    </row>
    <row r="80077" spans="6:6" x14ac:dyDescent="0.3">
      <c r="F80077" s="193"/>
    </row>
    <row r="80078" spans="6:6" x14ac:dyDescent="0.3">
      <c r="F80078" s="193"/>
    </row>
    <row r="80079" spans="6:6" x14ac:dyDescent="0.3">
      <c r="F80079" s="193"/>
    </row>
    <row r="80080" spans="6:6" x14ac:dyDescent="0.3">
      <c r="F80080" s="193"/>
    </row>
    <row r="80081" spans="6:6" x14ac:dyDescent="0.3">
      <c r="F80081" s="193"/>
    </row>
    <row r="80082" spans="6:6" x14ac:dyDescent="0.3">
      <c r="F80082" s="193"/>
    </row>
    <row r="80083" spans="6:6" x14ac:dyDescent="0.3">
      <c r="F80083" s="193"/>
    </row>
    <row r="80084" spans="6:6" x14ac:dyDescent="0.3">
      <c r="F80084" s="193"/>
    </row>
    <row r="80085" spans="6:6" x14ac:dyDescent="0.3">
      <c r="F80085" s="193"/>
    </row>
    <row r="80086" spans="6:6" x14ac:dyDescent="0.3">
      <c r="F80086" s="193"/>
    </row>
    <row r="80087" spans="6:6" x14ac:dyDescent="0.3">
      <c r="F80087" s="193"/>
    </row>
    <row r="80088" spans="6:6" x14ac:dyDescent="0.3">
      <c r="F80088" s="193"/>
    </row>
    <row r="80089" spans="6:6" x14ac:dyDescent="0.3">
      <c r="F80089" s="193"/>
    </row>
    <row r="80090" spans="6:6" x14ac:dyDescent="0.3">
      <c r="F80090" s="193"/>
    </row>
    <row r="80091" spans="6:6" x14ac:dyDescent="0.3">
      <c r="F80091" s="193"/>
    </row>
    <row r="80092" spans="6:6" x14ac:dyDescent="0.3">
      <c r="F80092" s="193"/>
    </row>
    <row r="80093" spans="6:6" x14ac:dyDescent="0.3">
      <c r="F80093" s="193"/>
    </row>
    <row r="80094" spans="6:6" x14ac:dyDescent="0.3">
      <c r="F80094" s="193"/>
    </row>
    <row r="80095" spans="6:6" x14ac:dyDescent="0.3">
      <c r="F80095" s="193"/>
    </row>
    <row r="80096" spans="6:6" x14ac:dyDescent="0.3">
      <c r="F80096" s="193"/>
    </row>
    <row r="80097" spans="6:6" x14ac:dyDescent="0.3">
      <c r="F80097" s="193"/>
    </row>
    <row r="80098" spans="6:6" x14ac:dyDescent="0.3">
      <c r="F80098" s="193"/>
    </row>
    <row r="80099" spans="6:6" x14ac:dyDescent="0.3">
      <c r="F80099" s="193"/>
    </row>
    <row r="80100" spans="6:6" x14ac:dyDescent="0.3">
      <c r="F80100" s="193"/>
    </row>
    <row r="80101" spans="6:6" x14ac:dyDescent="0.3">
      <c r="F80101" s="193"/>
    </row>
    <row r="80102" spans="6:6" x14ac:dyDescent="0.3">
      <c r="F80102" s="193"/>
    </row>
    <row r="80103" spans="6:6" x14ac:dyDescent="0.3">
      <c r="F80103" s="193"/>
    </row>
    <row r="80104" spans="6:6" x14ac:dyDescent="0.3">
      <c r="F80104" s="193"/>
    </row>
    <row r="80105" spans="6:6" x14ac:dyDescent="0.3">
      <c r="F80105" s="193"/>
    </row>
    <row r="80106" spans="6:6" x14ac:dyDescent="0.3">
      <c r="F80106" s="193"/>
    </row>
    <row r="80107" spans="6:6" x14ac:dyDescent="0.3">
      <c r="F80107" s="193"/>
    </row>
    <row r="80108" spans="6:6" x14ac:dyDescent="0.3">
      <c r="F80108" s="193"/>
    </row>
    <row r="80109" spans="6:6" x14ac:dyDescent="0.3">
      <c r="F80109" s="193"/>
    </row>
    <row r="80110" spans="6:6" x14ac:dyDescent="0.3">
      <c r="F80110" s="193"/>
    </row>
    <row r="80111" spans="6:6" x14ac:dyDescent="0.3">
      <c r="F80111" s="193"/>
    </row>
    <row r="80112" spans="6:6" x14ac:dyDescent="0.3">
      <c r="F80112" s="193"/>
    </row>
    <row r="80113" spans="6:6" x14ac:dyDescent="0.3">
      <c r="F80113" s="193"/>
    </row>
    <row r="80114" spans="6:6" x14ac:dyDescent="0.3">
      <c r="F80114" s="193"/>
    </row>
    <row r="80115" spans="6:6" x14ac:dyDescent="0.3">
      <c r="F80115" s="193"/>
    </row>
    <row r="80116" spans="6:6" x14ac:dyDescent="0.3">
      <c r="F80116" s="193"/>
    </row>
    <row r="80117" spans="6:6" x14ac:dyDescent="0.3">
      <c r="F80117" s="193"/>
    </row>
    <row r="80118" spans="6:6" x14ac:dyDescent="0.3">
      <c r="F80118" s="193"/>
    </row>
    <row r="80119" spans="6:6" x14ac:dyDescent="0.3">
      <c r="F80119" s="193"/>
    </row>
    <row r="80120" spans="6:6" x14ac:dyDescent="0.3">
      <c r="F80120" s="193"/>
    </row>
    <row r="80121" spans="6:6" x14ac:dyDescent="0.3">
      <c r="F80121" s="193"/>
    </row>
    <row r="80122" spans="6:6" x14ac:dyDescent="0.3">
      <c r="F80122" s="193"/>
    </row>
    <row r="80123" spans="6:6" x14ac:dyDescent="0.3">
      <c r="F80123" s="193"/>
    </row>
    <row r="80124" spans="6:6" x14ac:dyDescent="0.3">
      <c r="F80124" s="193"/>
    </row>
    <row r="80125" spans="6:6" x14ac:dyDescent="0.3">
      <c r="F80125" s="193"/>
    </row>
    <row r="80126" spans="6:6" x14ac:dyDescent="0.3">
      <c r="F80126" s="193"/>
    </row>
    <row r="80127" spans="6:6" x14ac:dyDescent="0.3">
      <c r="F80127" s="193"/>
    </row>
    <row r="80128" spans="6:6" x14ac:dyDescent="0.3">
      <c r="F80128" s="193"/>
    </row>
    <row r="80129" spans="6:6" x14ac:dyDescent="0.3">
      <c r="F80129" s="193"/>
    </row>
    <row r="80130" spans="6:6" x14ac:dyDescent="0.3">
      <c r="F80130" s="193"/>
    </row>
    <row r="80131" spans="6:6" x14ac:dyDescent="0.3">
      <c r="F80131" s="193"/>
    </row>
    <row r="80132" spans="6:6" x14ac:dyDescent="0.3">
      <c r="F80132" s="193"/>
    </row>
    <row r="80133" spans="6:6" x14ac:dyDescent="0.3">
      <c r="F80133" s="193"/>
    </row>
    <row r="80134" spans="6:6" x14ac:dyDescent="0.3">
      <c r="F80134" s="193"/>
    </row>
    <row r="80135" spans="6:6" x14ac:dyDescent="0.3">
      <c r="F80135" s="193"/>
    </row>
    <row r="80136" spans="6:6" x14ac:dyDescent="0.3">
      <c r="F80136" s="193"/>
    </row>
    <row r="80137" spans="6:6" x14ac:dyDescent="0.3">
      <c r="F80137" s="193"/>
    </row>
    <row r="80138" spans="6:6" x14ac:dyDescent="0.3">
      <c r="F80138" s="193"/>
    </row>
    <row r="80139" spans="6:6" x14ac:dyDescent="0.3">
      <c r="F80139" s="193"/>
    </row>
    <row r="80140" spans="6:6" x14ac:dyDescent="0.3">
      <c r="F80140" s="193"/>
    </row>
    <row r="80141" spans="6:6" x14ac:dyDescent="0.3">
      <c r="F80141" s="193"/>
    </row>
    <row r="80142" spans="6:6" x14ac:dyDescent="0.3">
      <c r="F80142" s="193"/>
    </row>
    <row r="80143" spans="6:6" x14ac:dyDescent="0.3">
      <c r="F80143" s="193"/>
    </row>
    <row r="80144" spans="6:6" x14ac:dyDescent="0.3">
      <c r="F80144" s="193"/>
    </row>
    <row r="80145" spans="6:6" x14ac:dyDescent="0.3">
      <c r="F80145" s="193"/>
    </row>
    <row r="80146" spans="6:6" x14ac:dyDescent="0.3">
      <c r="F80146" s="193"/>
    </row>
    <row r="80147" spans="6:6" x14ac:dyDescent="0.3">
      <c r="F80147" s="193"/>
    </row>
    <row r="80148" spans="6:6" x14ac:dyDescent="0.3">
      <c r="F80148" s="193"/>
    </row>
    <row r="80149" spans="6:6" x14ac:dyDescent="0.3">
      <c r="F80149" s="193"/>
    </row>
    <row r="80150" spans="6:6" x14ac:dyDescent="0.3">
      <c r="F80150" s="193"/>
    </row>
    <row r="80151" spans="6:6" x14ac:dyDescent="0.3">
      <c r="F80151" s="193"/>
    </row>
    <row r="80152" spans="6:6" x14ac:dyDescent="0.3">
      <c r="F80152" s="193"/>
    </row>
    <row r="80153" spans="6:6" x14ac:dyDescent="0.3">
      <c r="F80153" s="193"/>
    </row>
    <row r="80154" spans="6:6" x14ac:dyDescent="0.3">
      <c r="F80154" s="193"/>
    </row>
    <row r="80155" spans="6:6" x14ac:dyDescent="0.3">
      <c r="F80155" s="193"/>
    </row>
    <row r="80156" spans="6:6" x14ac:dyDescent="0.3">
      <c r="F80156" s="193"/>
    </row>
    <row r="80157" spans="6:6" x14ac:dyDescent="0.3">
      <c r="F80157" s="193"/>
    </row>
    <row r="80158" spans="6:6" x14ac:dyDescent="0.3">
      <c r="F80158" s="193"/>
    </row>
    <row r="80159" spans="6:6" x14ac:dyDescent="0.3">
      <c r="F80159" s="193"/>
    </row>
    <row r="80160" spans="6:6" x14ac:dyDescent="0.3">
      <c r="F80160" s="193"/>
    </row>
    <row r="80161" spans="6:6" x14ac:dyDescent="0.3">
      <c r="F80161" s="193"/>
    </row>
    <row r="80162" spans="6:6" x14ac:dyDescent="0.3">
      <c r="F80162" s="193"/>
    </row>
    <row r="80163" spans="6:6" x14ac:dyDescent="0.3">
      <c r="F80163" s="193"/>
    </row>
    <row r="80164" spans="6:6" x14ac:dyDescent="0.3">
      <c r="F80164" s="193"/>
    </row>
    <row r="80165" spans="6:6" x14ac:dyDescent="0.3">
      <c r="F80165" s="193"/>
    </row>
    <row r="80166" spans="6:6" x14ac:dyDescent="0.3">
      <c r="F80166" s="193"/>
    </row>
    <row r="80167" spans="6:6" x14ac:dyDescent="0.3">
      <c r="F80167" s="193"/>
    </row>
    <row r="80168" spans="6:6" x14ac:dyDescent="0.3">
      <c r="F80168" s="193"/>
    </row>
    <row r="80169" spans="6:6" x14ac:dyDescent="0.3">
      <c r="F80169" s="193"/>
    </row>
    <row r="80170" spans="6:6" x14ac:dyDescent="0.3">
      <c r="F80170" s="193"/>
    </row>
    <row r="80171" spans="6:6" x14ac:dyDescent="0.3">
      <c r="F80171" s="193"/>
    </row>
    <row r="80172" spans="6:6" x14ac:dyDescent="0.3">
      <c r="F80172" s="193"/>
    </row>
    <row r="80173" spans="6:6" x14ac:dyDescent="0.3">
      <c r="F80173" s="193"/>
    </row>
    <row r="80174" spans="6:6" x14ac:dyDescent="0.3">
      <c r="F80174" s="193"/>
    </row>
    <row r="80175" spans="6:6" x14ac:dyDescent="0.3">
      <c r="F80175" s="193"/>
    </row>
    <row r="80176" spans="6:6" x14ac:dyDescent="0.3">
      <c r="F80176" s="193"/>
    </row>
    <row r="80177" spans="6:6" x14ac:dyDescent="0.3">
      <c r="F80177" s="193"/>
    </row>
    <row r="80178" spans="6:6" x14ac:dyDescent="0.3">
      <c r="F80178" s="193"/>
    </row>
    <row r="80179" spans="6:6" x14ac:dyDescent="0.3">
      <c r="F80179" s="193"/>
    </row>
    <row r="80180" spans="6:6" x14ac:dyDescent="0.3">
      <c r="F80180" s="193"/>
    </row>
    <row r="80181" spans="6:6" x14ac:dyDescent="0.3">
      <c r="F80181" s="193"/>
    </row>
    <row r="80182" spans="6:6" x14ac:dyDescent="0.3">
      <c r="F80182" s="193"/>
    </row>
    <row r="80183" spans="6:6" x14ac:dyDescent="0.3">
      <c r="F80183" s="193"/>
    </row>
    <row r="80184" spans="6:6" x14ac:dyDescent="0.3">
      <c r="F80184" s="193"/>
    </row>
    <row r="80185" spans="6:6" x14ac:dyDescent="0.3">
      <c r="F80185" s="193"/>
    </row>
    <row r="80186" spans="6:6" x14ac:dyDescent="0.3">
      <c r="F80186" s="193"/>
    </row>
    <row r="80187" spans="6:6" x14ac:dyDescent="0.3">
      <c r="F80187" s="193"/>
    </row>
    <row r="80188" spans="6:6" x14ac:dyDescent="0.3">
      <c r="F80188" s="193"/>
    </row>
    <row r="80189" spans="6:6" x14ac:dyDescent="0.3">
      <c r="F80189" s="193"/>
    </row>
    <row r="80190" spans="6:6" x14ac:dyDescent="0.3">
      <c r="F80190" s="193"/>
    </row>
    <row r="80191" spans="6:6" x14ac:dyDescent="0.3">
      <c r="F80191" s="193"/>
    </row>
    <row r="80192" spans="6:6" x14ac:dyDescent="0.3">
      <c r="F80192" s="193"/>
    </row>
    <row r="80193" spans="6:6" x14ac:dyDescent="0.3">
      <c r="F80193" s="193"/>
    </row>
    <row r="80194" spans="6:6" x14ac:dyDescent="0.3">
      <c r="F80194" s="193"/>
    </row>
    <row r="80195" spans="6:6" x14ac:dyDescent="0.3">
      <c r="F80195" s="193"/>
    </row>
    <row r="80196" spans="6:6" x14ac:dyDescent="0.3">
      <c r="F80196" s="193"/>
    </row>
    <row r="80197" spans="6:6" x14ac:dyDescent="0.3">
      <c r="F80197" s="193"/>
    </row>
    <row r="80198" spans="6:6" x14ac:dyDescent="0.3">
      <c r="F80198" s="193"/>
    </row>
    <row r="80199" spans="6:6" x14ac:dyDescent="0.3">
      <c r="F80199" s="193"/>
    </row>
    <row r="80200" spans="6:6" x14ac:dyDescent="0.3">
      <c r="F80200" s="193"/>
    </row>
    <row r="80201" spans="6:6" x14ac:dyDescent="0.3">
      <c r="F80201" s="193"/>
    </row>
    <row r="80202" spans="6:6" x14ac:dyDescent="0.3">
      <c r="F80202" s="193"/>
    </row>
    <row r="80203" spans="6:6" x14ac:dyDescent="0.3">
      <c r="F80203" s="193"/>
    </row>
    <row r="80204" spans="6:6" x14ac:dyDescent="0.3">
      <c r="F80204" s="193"/>
    </row>
    <row r="80205" spans="6:6" x14ac:dyDescent="0.3">
      <c r="F80205" s="193"/>
    </row>
    <row r="80206" spans="6:6" x14ac:dyDescent="0.3">
      <c r="F80206" s="193"/>
    </row>
    <row r="80207" spans="6:6" x14ac:dyDescent="0.3">
      <c r="F80207" s="193"/>
    </row>
    <row r="80208" spans="6:6" x14ac:dyDescent="0.3">
      <c r="F80208" s="193"/>
    </row>
    <row r="80209" spans="6:6" x14ac:dyDescent="0.3">
      <c r="F80209" s="193"/>
    </row>
    <row r="80210" spans="6:6" x14ac:dyDescent="0.3">
      <c r="F80210" s="193"/>
    </row>
    <row r="80211" spans="6:6" x14ac:dyDescent="0.3">
      <c r="F80211" s="193"/>
    </row>
    <row r="80212" spans="6:6" x14ac:dyDescent="0.3">
      <c r="F80212" s="193"/>
    </row>
    <row r="80213" spans="6:6" x14ac:dyDescent="0.3">
      <c r="F80213" s="193"/>
    </row>
    <row r="80214" spans="6:6" x14ac:dyDescent="0.3">
      <c r="F80214" s="193"/>
    </row>
    <row r="80215" spans="6:6" x14ac:dyDescent="0.3">
      <c r="F80215" s="193"/>
    </row>
    <row r="80216" spans="6:6" x14ac:dyDescent="0.3">
      <c r="F80216" s="193"/>
    </row>
    <row r="80217" spans="6:6" x14ac:dyDescent="0.3">
      <c r="F80217" s="193"/>
    </row>
    <row r="80218" spans="6:6" x14ac:dyDescent="0.3">
      <c r="F80218" s="193"/>
    </row>
    <row r="80219" spans="6:6" x14ac:dyDescent="0.3">
      <c r="F80219" s="193"/>
    </row>
    <row r="80220" spans="6:6" x14ac:dyDescent="0.3">
      <c r="F80220" s="193"/>
    </row>
    <row r="80221" spans="6:6" x14ac:dyDescent="0.3">
      <c r="F80221" s="193"/>
    </row>
    <row r="80222" spans="6:6" x14ac:dyDescent="0.3">
      <c r="F80222" s="193"/>
    </row>
    <row r="80223" spans="6:6" x14ac:dyDescent="0.3">
      <c r="F80223" s="193"/>
    </row>
    <row r="80224" spans="6:6" x14ac:dyDescent="0.3">
      <c r="F80224" s="193"/>
    </row>
    <row r="80225" spans="6:6" x14ac:dyDescent="0.3">
      <c r="F80225" s="193"/>
    </row>
    <row r="80226" spans="6:6" x14ac:dyDescent="0.3">
      <c r="F80226" s="193"/>
    </row>
    <row r="80227" spans="6:6" x14ac:dyDescent="0.3">
      <c r="F80227" s="193"/>
    </row>
    <row r="80228" spans="6:6" x14ac:dyDescent="0.3">
      <c r="F80228" s="193"/>
    </row>
    <row r="80229" spans="6:6" x14ac:dyDescent="0.3">
      <c r="F80229" s="193"/>
    </row>
    <row r="80230" spans="6:6" x14ac:dyDescent="0.3">
      <c r="F80230" s="193"/>
    </row>
    <row r="80231" spans="6:6" x14ac:dyDescent="0.3">
      <c r="F80231" s="193"/>
    </row>
    <row r="80232" spans="6:6" x14ac:dyDescent="0.3">
      <c r="F80232" s="193"/>
    </row>
    <row r="80233" spans="6:6" x14ac:dyDescent="0.3">
      <c r="F80233" s="193"/>
    </row>
    <row r="80234" spans="6:6" x14ac:dyDescent="0.3">
      <c r="F80234" s="193"/>
    </row>
    <row r="80235" spans="6:6" x14ac:dyDescent="0.3">
      <c r="F80235" s="193"/>
    </row>
    <row r="80236" spans="6:6" x14ac:dyDescent="0.3">
      <c r="F80236" s="193"/>
    </row>
    <row r="80237" spans="6:6" x14ac:dyDescent="0.3">
      <c r="F80237" s="193"/>
    </row>
    <row r="80238" spans="6:6" x14ac:dyDescent="0.3">
      <c r="F80238" s="193"/>
    </row>
    <row r="80239" spans="6:6" x14ac:dyDescent="0.3">
      <c r="F80239" s="193"/>
    </row>
    <row r="80240" spans="6:6" x14ac:dyDescent="0.3">
      <c r="F80240" s="193"/>
    </row>
    <row r="80241" spans="6:6" x14ac:dyDescent="0.3">
      <c r="F80241" s="193"/>
    </row>
    <row r="80242" spans="6:6" x14ac:dyDescent="0.3">
      <c r="F80242" s="193"/>
    </row>
    <row r="80243" spans="6:6" x14ac:dyDescent="0.3">
      <c r="F80243" s="193"/>
    </row>
    <row r="80244" spans="6:6" x14ac:dyDescent="0.3">
      <c r="F80244" s="193"/>
    </row>
    <row r="80245" spans="6:6" x14ac:dyDescent="0.3">
      <c r="F80245" s="193"/>
    </row>
    <row r="80246" spans="6:6" x14ac:dyDescent="0.3">
      <c r="F80246" s="193"/>
    </row>
    <row r="80247" spans="6:6" x14ac:dyDescent="0.3">
      <c r="F80247" s="193"/>
    </row>
    <row r="80248" spans="6:6" x14ac:dyDescent="0.3">
      <c r="F80248" s="193"/>
    </row>
    <row r="80249" spans="6:6" x14ac:dyDescent="0.3">
      <c r="F80249" s="193"/>
    </row>
    <row r="80250" spans="6:6" x14ac:dyDescent="0.3">
      <c r="F80250" s="193"/>
    </row>
    <row r="80251" spans="6:6" x14ac:dyDescent="0.3">
      <c r="F80251" s="193"/>
    </row>
    <row r="80252" spans="6:6" x14ac:dyDescent="0.3">
      <c r="F80252" s="193"/>
    </row>
    <row r="80253" spans="6:6" x14ac:dyDescent="0.3">
      <c r="F80253" s="193"/>
    </row>
    <row r="80254" spans="6:6" x14ac:dyDescent="0.3">
      <c r="F80254" s="193"/>
    </row>
    <row r="80255" spans="6:6" x14ac:dyDescent="0.3">
      <c r="F80255" s="193"/>
    </row>
    <row r="80256" spans="6:6" x14ac:dyDescent="0.3">
      <c r="F80256" s="193"/>
    </row>
    <row r="80257" spans="6:6" x14ac:dyDescent="0.3">
      <c r="F80257" s="193"/>
    </row>
    <row r="80258" spans="6:6" x14ac:dyDescent="0.3">
      <c r="F80258" s="193"/>
    </row>
    <row r="80259" spans="6:6" x14ac:dyDescent="0.3">
      <c r="F80259" s="193"/>
    </row>
    <row r="80260" spans="6:6" x14ac:dyDescent="0.3">
      <c r="F80260" s="193"/>
    </row>
    <row r="80261" spans="6:6" x14ac:dyDescent="0.3">
      <c r="F80261" s="193"/>
    </row>
    <row r="80262" spans="6:6" x14ac:dyDescent="0.3">
      <c r="F80262" s="193"/>
    </row>
    <row r="80263" spans="6:6" x14ac:dyDescent="0.3">
      <c r="F80263" s="193"/>
    </row>
    <row r="80264" spans="6:6" x14ac:dyDescent="0.3">
      <c r="F80264" s="193"/>
    </row>
    <row r="80265" spans="6:6" x14ac:dyDescent="0.3">
      <c r="F80265" s="193"/>
    </row>
    <row r="80266" spans="6:6" x14ac:dyDescent="0.3">
      <c r="F80266" s="193"/>
    </row>
    <row r="80267" spans="6:6" x14ac:dyDescent="0.3">
      <c r="F80267" s="193"/>
    </row>
    <row r="80268" spans="6:6" x14ac:dyDescent="0.3">
      <c r="F80268" s="193"/>
    </row>
    <row r="80269" spans="6:6" x14ac:dyDescent="0.3">
      <c r="F80269" s="193"/>
    </row>
    <row r="80270" spans="6:6" x14ac:dyDescent="0.3">
      <c r="F80270" s="193"/>
    </row>
    <row r="80271" spans="6:6" x14ac:dyDescent="0.3">
      <c r="F80271" s="193"/>
    </row>
    <row r="80272" spans="6:6" x14ac:dyDescent="0.3">
      <c r="F80272" s="193"/>
    </row>
    <row r="80273" spans="6:6" x14ac:dyDescent="0.3">
      <c r="F80273" s="193"/>
    </row>
    <row r="80274" spans="6:6" x14ac:dyDescent="0.3">
      <c r="F80274" s="193"/>
    </row>
    <row r="80275" spans="6:6" x14ac:dyDescent="0.3">
      <c r="F80275" s="193"/>
    </row>
    <row r="80276" spans="6:6" x14ac:dyDescent="0.3">
      <c r="F80276" s="193"/>
    </row>
    <row r="80277" spans="6:6" x14ac:dyDescent="0.3">
      <c r="F80277" s="193"/>
    </row>
    <row r="80278" spans="6:6" x14ac:dyDescent="0.3">
      <c r="F80278" s="193"/>
    </row>
    <row r="80279" spans="6:6" x14ac:dyDescent="0.3">
      <c r="F80279" s="193"/>
    </row>
    <row r="80280" spans="6:6" x14ac:dyDescent="0.3">
      <c r="F80280" s="193"/>
    </row>
    <row r="80281" spans="6:6" x14ac:dyDescent="0.3">
      <c r="F80281" s="193"/>
    </row>
    <row r="80282" spans="6:6" x14ac:dyDescent="0.3">
      <c r="F80282" s="193"/>
    </row>
    <row r="80283" spans="6:6" x14ac:dyDescent="0.3">
      <c r="F80283" s="193"/>
    </row>
    <row r="80284" spans="6:6" x14ac:dyDescent="0.3">
      <c r="F80284" s="193"/>
    </row>
    <row r="80285" spans="6:6" x14ac:dyDescent="0.3">
      <c r="F80285" s="193"/>
    </row>
    <row r="80286" spans="6:6" x14ac:dyDescent="0.3">
      <c r="F80286" s="193"/>
    </row>
    <row r="80287" spans="6:6" x14ac:dyDescent="0.3">
      <c r="F80287" s="193"/>
    </row>
    <row r="80288" spans="6:6" x14ac:dyDescent="0.3">
      <c r="F80288" s="193"/>
    </row>
    <row r="80289" spans="6:6" x14ac:dyDescent="0.3">
      <c r="F80289" s="193"/>
    </row>
    <row r="80290" spans="6:6" x14ac:dyDescent="0.3">
      <c r="F80290" s="193"/>
    </row>
    <row r="80291" spans="6:6" x14ac:dyDescent="0.3">
      <c r="F80291" s="193"/>
    </row>
    <row r="80292" spans="6:6" x14ac:dyDescent="0.3">
      <c r="F80292" s="193"/>
    </row>
    <row r="80293" spans="6:6" x14ac:dyDescent="0.3">
      <c r="F80293" s="193"/>
    </row>
    <row r="80294" spans="6:6" x14ac:dyDescent="0.3">
      <c r="F80294" s="193"/>
    </row>
    <row r="80295" spans="6:6" x14ac:dyDescent="0.3">
      <c r="F80295" s="193"/>
    </row>
    <row r="80296" spans="6:6" x14ac:dyDescent="0.3">
      <c r="F80296" s="193"/>
    </row>
    <row r="80297" spans="6:6" x14ac:dyDescent="0.3">
      <c r="F80297" s="193"/>
    </row>
    <row r="80298" spans="6:6" x14ac:dyDescent="0.3">
      <c r="F80298" s="193"/>
    </row>
    <row r="80299" spans="6:6" x14ac:dyDescent="0.3">
      <c r="F80299" s="193"/>
    </row>
    <row r="80300" spans="6:6" x14ac:dyDescent="0.3">
      <c r="F80300" s="193"/>
    </row>
    <row r="80301" spans="6:6" x14ac:dyDescent="0.3">
      <c r="F80301" s="193"/>
    </row>
    <row r="80302" spans="6:6" x14ac:dyDescent="0.3">
      <c r="F80302" s="193"/>
    </row>
    <row r="80303" spans="6:6" x14ac:dyDescent="0.3">
      <c r="F80303" s="193"/>
    </row>
    <row r="80304" spans="6:6" x14ac:dyDescent="0.3">
      <c r="F80304" s="193"/>
    </row>
    <row r="80305" spans="6:6" x14ac:dyDescent="0.3">
      <c r="F80305" s="193"/>
    </row>
    <row r="80306" spans="6:6" x14ac:dyDescent="0.3">
      <c r="F80306" s="193"/>
    </row>
    <row r="80307" spans="6:6" x14ac:dyDescent="0.3">
      <c r="F80307" s="193"/>
    </row>
    <row r="80308" spans="6:6" x14ac:dyDescent="0.3">
      <c r="F80308" s="193"/>
    </row>
    <row r="80309" spans="6:6" x14ac:dyDescent="0.3">
      <c r="F80309" s="193"/>
    </row>
    <row r="80310" spans="6:6" x14ac:dyDescent="0.3">
      <c r="F80310" s="193"/>
    </row>
    <row r="80311" spans="6:6" x14ac:dyDescent="0.3">
      <c r="F80311" s="193"/>
    </row>
    <row r="80312" spans="6:6" x14ac:dyDescent="0.3">
      <c r="F80312" s="193"/>
    </row>
    <row r="80313" spans="6:6" x14ac:dyDescent="0.3">
      <c r="F80313" s="193"/>
    </row>
    <row r="80314" spans="6:6" x14ac:dyDescent="0.3">
      <c r="F80314" s="193"/>
    </row>
    <row r="80315" spans="6:6" x14ac:dyDescent="0.3">
      <c r="F80315" s="193"/>
    </row>
    <row r="80316" spans="6:6" x14ac:dyDescent="0.3">
      <c r="F80316" s="193"/>
    </row>
    <row r="80317" spans="6:6" x14ac:dyDescent="0.3">
      <c r="F80317" s="193"/>
    </row>
    <row r="80318" spans="6:6" x14ac:dyDescent="0.3">
      <c r="F80318" s="193"/>
    </row>
    <row r="80319" spans="6:6" x14ac:dyDescent="0.3">
      <c r="F80319" s="193"/>
    </row>
    <row r="80320" spans="6:6" x14ac:dyDescent="0.3">
      <c r="F80320" s="193"/>
    </row>
    <row r="80321" spans="6:6" x14ac:dyDescent="0.3">
      <c r="F80321" s="193"/>
    </row>
    <row r="80322" spans="6:6" x14ac:dyDescent="0.3">
      <c r="F80322" s="193"/>
    </row>
    <row r="80323" spans="6:6" x14ac:dyDescent="0.3">
      <c r="F80323" s="193"/>
    </row>
    <row r="80324" spans="6:6" x14ac:dyDescent="0.3">
      <c r="F80324" s="193"/>
    </row>
    <row r="80325" spans="6:6" x14ac:dyDescent="0.3">
      <c r="F80325" s="193"/>
    </row>
    <row r="80326" spans="6:6" x14ac:dyDescent="0.3">
      <c r="F80326" s="193"/>
    </row>
    <row r="80327" spans="6:6" x14ac:dyDescent="0.3">
      <c r="F80327" s="193"/>
    </row>
    <row r="80328" spans="6:6" x14ac:dyDescent="0.3">
      <c r="F80328" s="193"/>
    </row>
    <row r="80329" spans="6:6" x14ac:dyDescent="0.3">
      <c r="F80329" s="193"/>
    </row>
    <row r="80330" spans="6:6" x14ac:dyDescent="0.3">
      <c r="F80330" s="193"/>
    </row>
    <row r="80331" spans="6:6" x14ac:dyDescent="0.3">
      <c r="F80331" s="193"/>
    </row>
    <row r="80332" spans="6:6" x14ac:dyDescent="0.3">
      <c r="F80332" s="193"/>
    </row>
    <row r="80333" spans="6:6" x14ac:dyDescent="0.3">
      <c r="F80333" s="193"/>
    </row>
    <row r="80334" spans="6:6" x14ac:dyDescent="0.3">
      <c r="F80334" s="193"/>
    </row>
    <row r="80335" spans="6:6" x14ac:dyDescent="0.3">
      <c r="F80335" s="193"/>
    </row>
    <row r="80336" spans="6:6" x14ac:dyDescent="0.3">
      <c r="F80336" s="193"/>
    </row>
    <row r="80337" spans="6:6" x14ac:dyDescent="0.3">
      <c r="F80337" s="193"/>
    </row>
    <row r="80338" spans="6:6" x14ac:dyDescent="0.3">
      <c r="F80338" s="193"/>
    </row>
    <row r="80339" spans="6:6" x14ac:dyDescent="0.3">
      <c r="F80339" s="193"/>
    </row>
    <row r="80340" spans="6:6" x14ac:dyDescent="0.3">
      <c r="F80340" s="193"/>
    </row>
    <row r="80341" spans="6:6" x14ac:dyDescent="0.3">
      <c r="F80341" s="193"/>
    </row>
    <row r="80342" spans="6:6" x14ac:dyDescent="0.3">
      <c r="F80342" s="193"/>
    </row>
    <row r="80343" spans="6:6" x14ac:dyDescent="0.3">
      <c r="F80343" s="193"/>
    </row>
    <row r="80344" spans="6:6" x14ac:dyDescent="0.3">
      <c r="F80344" s="193"/>
    </row>
    <row r="80345" spans="6:6" x14ac:dyDescent="0.3">
      <c r="F80345" s="193"/>
    </row>
    <row r="80346" spans="6:6" x14ac:dyDescent="0.3">
      <c r="F80346" s="193"/>
    </row>
    <row r="80347" spans="6:6" x14ac:dyDescent="0.3">
      <c r="F80347" s="193"/>
    </row>
    <row r="80348" spans="6:6" x14ac:dyDescent="0.3">
      <c r="F80348" s="193"/>
    </row>
    <row r="80349" spans="6:6" x14ac:dyDescent="0.3">
      <c r="F80349" s="193"/>
    </row>
    <row r="80350" spans="6:6" x14ac:dyDescent="0.3">
      <c r="F80350" s="193"/>
    </row>
    <row r="80351" spans="6:6" x14ac:dyDescent="0.3">
      <c r="F80351" s="193"/>
    </row>
    <row r="80352" spans="6:6" x14ac:dyDescent="0.3">
      <c r="F80352" s="193"/>
    </row>
    <row r="80353" spans="6:6" x14ac:dyDescent="0.3">
      <c r="F80353" s="193"/>
    </row>
    <row r="80354" spans="6:6" x14ac:dyDescent="0.3">
      <c r="F80354" s="193"/>
    </row>
    <row r="80355" spans="6:6" x14ac:dyDescent="0.3">
      <c r="F80355" s="193"/>
    </row>
    <row r="80356" spans="6:6" x14ac:dyDescent="0.3">
      <c r="F80356" s="193"/>
    </row>
    <row r="80357" spans="6:6" x14ac:dyDescent="0.3">
      <c r="F80357" s="193"/>
    </row>
    <row r="80358" spans="6:6" x14ac:dyDescent="0.3">
      <c r="F80358" s="193"/>
    </row>
    <row r="80359" spans="6:6" x14ac:dyDescent="0.3">
      <c r="F80359" s="193"/>
    </row>
    <row r="80360" spans="6:6" x14ac:dyDescent="0.3">
      <c r="F80360" s="193"/>
    </row>
    <row r="80361" spans="6:6" x14ac:dyDescent="0.3">
      <c r="F80361" s="193"/>
    </row>
    <row r="80362" spans="6:6" x14ac:dyDescent="0.3">
      <c r="F80362" s="193"/>
    </row>
    <row r="80363" spans="6:6" x14ac:dyDescent="0.3">
      <c r="F80363" s="193"/>
    </row>
    <row r="80364" spans="6:6" x14ac:dyDescent="0.3">
      <c r="F80364" s="193"/>
    </row>
    <row r="80365" spans="6:6" x14ac:dyDescent="0.3">
      <c r="F80365" s="193"/>
    </row>
    <row r="80366" spans="6:6" x14ac:dyDescent="0.3">
      <c r="F80366" s="193"/>
    </row>
    <row r="80367" spans="6:6" x14ac:dyDescent="0.3">
      <c r="F80367" s="193"/>
    </row>
    <row r="80368" spans="6:6" x14ac:dyDescent="0.3">
      <c r="F80368" s="193"/>
    </row>
    <row r="80369" spans="6:6" x14ac:dyDescent="0.3">
      <c r="F80369" s="193"/>
    </row>
    <row r="80370" spans="6:6" x14ac:dyDescent="0.3">
      <c r="F80370" s="193"/>
    </row>
    <row r="80371" spans="6:6" x14ac:dyDescent="0.3">
      <c r="F80371" s="193"/>
    </row>
    <row r="80372" spans="6:6" x14ac:dyDescent="0.3">
      <c r="F80372" s="193"/>
    </row>
    <row r="80373" spans="6:6" x14ac:dyDescent="0.3">
      <c r="F80373" s="193"/>
    </row>
    <row r="80374" spans="6:6" x14ac:dyDescent="0.3">
      <c r="F80374" s="193"/>
    </row>
    <row r="80375" spans="6:6" x14ac:dyDescent="0.3">
      <c r="F80375" s="193"/>
    </row>
    <row r="80376" spans="6:6" x14ac:dyDescent="0.3">
      <c r="F80376" s="193"/>
    </row>
    <row r="80377" spans="6:6" x14ac:dyDescent="0.3">
      <c r="F80377" s="193"/>
    </row>
    <row r="80378" spans="6:6" x14ac:dyDescent="0.3">
      <c r="F80378" s="193"/>
    </row>
    <row r="80379" spans="6:6" x14ac:dyDescent="0.3">
      <c r="F80379" s="193"/>
    </row>
    <row r="80380" spans="6:6" x14ac:dyDescent="0.3">
      <c r="F80380" s="193"/>
    </row>
    <row r="80381" spans="6:6" x14ac:dyDescent="0.3">
      <c r="F80381" s="193"/>
    </row>
    <row r="80382" spans="6:6" x14ac:dyDescent="0.3">
      <c r="F80382" s="193"/>
    </row>
    <row r="80383" spans="6:6" x14ac:dyDescent="0.3">
      <c r="F80383" s="193"/>
    </row>
    <row r="80384" spans="6:6" x14ac:dyDescent="0.3">
      <c r="F80384" s="193"/>
    </row>
    <row r="80385" spans="6:6" x14ac:dyDescent="0.3">
      <c r="F80385" s="193"/>
    </row>
    <row r="80386" spans="6:6" x14ac:dyDescent="0.3">
      <c r="F80386" s="193"/>
    </row>
    <row r="80387" spans="6:6" x14ac:dyDescent="0.3">
      <c r="F80387" s="193"/>
    </row>
    <row r="80388" spans="6:6" x14ac:dyDescent="0.3">
      <c r="F80388" s="193"/>
    </row>
    <row r="80389" spans="6:6" x14ac:dyDescent="0.3">
      <c r="F80389" s="193"/>
    </row>
    <row r="80390" spans="6:6" x14ac:dyDescent="0.3">
      <c r="F80390" s="193"/>
    </row>
    <row r="80391" spans="6:6" x14ac:dyDescent="0.3">
      <c r="F80391" s="193"/>
    </row>
    <row r="80392" spans="6:6" x14ac:dyDescent="0.3">
      <c r="F80392" s="193"/>
    </row>
    <row r="80393" spans="6:6" x14ac:dyDescent="0.3">
      <c r="F80393" s="193"/>
    </row>
    <row r="80394" spans="6:6" x14ac:dyDescent="0.3">
      <c r="F80394" s="193"/>
    </row>
    <row r="80395" spans="6:6" x14ac:dyDescent="0.3">
      <c r="F80395" s="193"/>
    </row>
    <row r="80396" spans="6:6" x14ac:dyDescent="0.3">
      <c r="F80396" s="193"/>
    </row>
    <row r="80397" spans="6:6" x14ac:dyDescent="0.3">
      <c r="F80397" s="193"/>
    </row>
    <row r="80398" spans="6:6" x14ac:dyDescent="0.3">
      <c r="F80398" s="193"/>
    </row>
    <row r="80399" spans="6:6" x14ac:dyDescent="0.3">
      <c r="F80399" s="193"/>
    </row>
    <row r="80400" spans="6:6" x14ac:dyDescent="0.3">
      <c r="F80400" s="193"/>
    </row>
    <row r="80401" spans="6:6" x14ac:dyDescent="0.3">
      <c r="F80401" s="193"/>
    </row>
    <row r="80402" spans="6:6" x14ac:dyDescent="0.3">
      <c r="F80402" s="193"/>
    </row>
    <row r="80403" spans="6:6" x14ac:dyDescent="0.3">
      <c r="F80403" s="193"/>
    </row>
    <row r="80404" spans="6:6" x14ac:dyDescent="0.3">
      <c r="F80404" s="193"/>
    </row>
    <row r="80405" spans="6:6" x14ac:dyDescent="0.3">
      <c r="F80405" s="193"/>
    </row>
    <row r="80406" spans="6:6" x14ac:dyDescent="0.3">
      <c r="F80406" s="193"/>
    </row>
    <row r="80407" spans="6:6" x14ac:dyDescent="0.3">
      <c r="F80407" s="193"/>
    </row>
    <row r="80408" spans="6:6" x14ac:dyDescent="0.3">
      <c r="F80408" s="193"/>
    </row>
    <row r="80409" spans="6:6" x14ac:dyDescent="0.3">
      <c r="F80409" s="193"/>
    </row>
    <row r="80410" spans="6:6" x14ac:dyDescent="0.3">
      <c r="F80410" s="193"/>
    </row>
    <row r="80411" spans="6:6" x14ac:dyDescent="0.3">
      <c r="F80411" s="193"/>
    </row>
    <row r="80412" spans="6:6" x14ac:dyDescent="0.3">
      <c r="F80412" s="193"/>
    </row>
    <row r="80413" spans="6:6" x14ac:dyDescent="0.3">
      <c r="F80413" s="193"/>
    </row>
    <row r="80414" spans="6:6" x14ac:dyDescent="0.3">
      <c r="F80414" s="193"/>
    </row>
    <row r="80415" spans="6:6" x14ac:dyDescent="0.3">
      <c r="F80415" s="193"/>
    </row>
    <row r="80416" spans="6:6" x14ac:dyDescent="0.3">
      <c r="F80416" s="193"/>
    </row>
    <row r="80417" spans="6:6" x14ac:dyDescent="0.3">
      <c r="F80417" s="193"/>
    </row>
    <row r="80418" spans="6:6" x14ac:dyDescent="0.3">
      <c r="F80418" s="193"/>
    </row>
    <row r="80419" spans="6:6" x14ac:dyDescent="0.3">
      <c r="F80419" s="193"/>
    </row>
    <row r="80420" spans="6:6" x14ac:dyDescent="0.3">
      <c r="F80420" s="193"/>
    </row>
    <row r="80421" spans="6:6" x14ac:dyDescent="0.3">
      <c r="F80421" s="193"/>
    </row>
    <row r="80422" spans="6:6" x14ac:dyDescent="0.3">
      <c r="F80422" s="193"/>
    </row>
    <row r="80423" spans="6:6" x14ac:dyDescent="0.3">
      <c r="F80423" s="193"/>
    </row>
    <row r="80424" spans="6:6" x14ac:dyDescent="0.3">
      <c r="F80424" s="193"/>
    </row>
    <row r="80425" spans="6:6" x14ac:dyDescent="0.3">
      <c r="F80425" s="193"/>
    </row>
    <row r="80426" spans="6:6" x14ac:dyDescent="0.3">
      <c r="F80426" s="193"/>
    </row>
    <row r="80427" spans="6:6" x14ac:dyDescent="0.3">
      <c r="F80427" s="193"/>
    </row>
    <row r="80428" spans="6:6" x14ac:dyDescent="0.3">
      <c r="F80428" s="193"/>
    </row>
    <row r="80429" spans="6:6" x14ac:dyDescent="0.3">
      <c r="F80429" s="193"/>
    </row>
    <row r="80430" spans="6:6" x14ac:dyDescent="0.3">
      <c r="F80430" s="193"/>
    </row>
    <row r="80431" spans="6:6" x14ac:dyDescent="0.3">
      <c r="F80431" s="193"/>
    </row>
    <row r="80432" spans="6:6" x14ac:dyDescent="0.3">
      <c r="F80432" s="193"/>
    </row>
    <row r="80433" spans="6:6" x14ac:dyDescent="0.3">
      <c r="F80433" s="193"/>
    </row>
    <row r="80434" spans="6:6" x14ac:dyDescent="0.3">
      <c r="F80434" s="193"/>
    </row>
    <row r="80435" spans="6:6" x14ac:dyDescent="0.3">
      <c r="F80435" s="193"/>
    </row>
    <row r="80436" spans="6:6" x14ac:dyDescent="0.3">
      <c r="F80436" s="193"/>
    </row>
    <row r="80437" spans="6:6" x14ac:dyDescent="0.3">
      <c r="F80437" s="193"/>
    </row>
    <row r="80438" spans="6:6" x14ac:dyDescent="0.3">
      <c r="F80438" s="193"/>
    </row>
    <row r="80439" spans="6:6" x14ac:dyDescent="0.3">
      <c r="F80439" s="193"/>
    </row>
    <row r="80440" spans="6:6" x14ac:dyDescent="0.3">
      <c r="F80440" s="193"/>
    </row>
    <row r="80441" spans="6:6" x14ac:dyDescent="0.3">
      <c r="F80441" s="193"/>
    </row>
    <row r="80442" spans="6:6" x14ac:dyDescent="0.3">
      <c r="F80442" s="193"/>
    </row>
    <row r="80443" spans="6:6" x14ac:dyDescent="0.3">
      <c r="F80443" s="193"/>
    </row>
    <row r="80444" spans="6:6" x14ac:dyDescent="0.3">
      <c r="F80444" s="193"/>
    </row>
    <row r="80445" spans="6:6" x14ac:dyDescent="0.3">
      <c r="F80445" s="193"/>
    </row>
    <row r="80446" spans="6:6" x14ac:dyDescent="0.3">
      <c r="F80446" s="193"/>
    </row>
    <row r="80447" spans="6:6" x14ac:dyDescent="0.3">
      <c r="F80447" s="193"/>
    </row>
    <row r="80448" spans="6:6" x14ac:dyDescent="0.3">
      <c r="F80448" s="193"/>
    </row>
    <row r="80449" spans="6:6" x14ac:dyDescent="0.3">
      <c r="F80449" s="193"/>
    </row>
    <row r="80450" spans="6:6" x14ac:dyDescent="0.3">
      <c r="F80450" s="193"/>
    </row>
    <row r="80451" spans="6:6" x14ac:dyDescent="0.3">
      <c r="F80451" s="193"/>
    </row>
    <row r="80452" spans="6:6" x14ac:dyDescent="0.3">
      <c r="F80452" s="193"/>
    </row>
    <row r="80453" spans="6:6" x14ac:dyDescent="0.3">
      <c r="F80453" s="193"/>
    </row>
    <row r="80454" spans="6:6" x14ac:dyDescent="0.3">
      <c r="F80454" s="193"/>
    </row>
    <row r="80455" spans="6:6" x14ac:dyDescent="0.3">
      <c r="F80455" s="193"/>
    </row>
    <row r="80456" spans="6:6" x14ac:dyDescent="0.3">
      <c r="F80456" s="193"/>
    </row>
    <row r="80457" spans="6:6" x14ac:dyDescent="0.3">
      <c r="F80457" s="193"/>
    </row>
    <row r="80458" spans="6:6" x14ac:dyDescent="0.3">
      <c r="F80458" s="193"/>
    </row>
    <row r="80459" spans="6:6" x14ac:dyDescent="0.3">
      <c r="F80459" s="193"/>
    </row>
    <row r="80460" spans="6:6" x14ac:dyDescent="0.3">
      <c r="F80460" s="193"/>
    </row>
    <row r="80461" spans="6:6" x14ac:dyDescent="0.3">
      <c r="F80461" s="193"/>
    </row>
    <row r="80462" spans="6:6" x14ac:dyDescent="0.3">
      <c r="F80462" s="193"/>
    </row>
    <row r="80463" spans="6:6" x14ac:dyDescent="0.3">
      <c r="F80463" s="193"/>
    </row>
    <row r="80464" spans="6:6" x14ac:dyDescent="0.3">
      <c r="F80464" s="193"/>
    </row>
    <row r="80465" spans="6:6" x14ac:dyDescent="0.3">
      <c r="F80465" s="193"/>
    </row>
    <row r="80466" spans="6:6" x14ac:dyDescent="0.3">
      <c r="F80466" s="193"/>
    </row>
    <row r="80467" spans="6:6" x14ac:dyDescent="0.3">
      <c r="F80467" s="193"/>
    </row>
    <row r="80468" spans="6:6" x14ac:dyDescent="0.3">
      <c r="F80468" s="193"/>
    </row>
    <row r="80469" spans="6:6" x14ac:dyDescent="0.3">
      <c r="F80469" s="193"/>
    </row>
    <row r="80470" spans="6:6" x14ac:dyDescent="0.3">
      <c r="F80470" s="193"/>
    </row>
    <row r="80471" spans="6:6" x14ac:dyDescent="0.3">
      <c r="F80471" s="193"/>
    </row>
    <row r="80472" spans="6:6" x14ac:dyDescent="0.3">
      <c r="F80472" s="193"/>
    </row>
    <row r="80473" spans="6:6" x14ac:dyDescent="0.3">
      <c r="F80473" s="193"/>
    </row>
    <row r="80474" spans="6:6" x14ac:dyDescent="0.3">
      <c r="F80474" s="193"/>
    </row>
    <row r="80475" spans="6:6" x14ac:dyDescent="0.3">
      <c r="F80475" s="193"/>
    </row>
    <row r="80476" spans="6:6" x14ac:dyDescent="0.3">
      <c r="F80476" s="193"/>
    </row>
    <row r="80477" spans="6:6" x14ac:dyDescent="0.3">
      <c r="F80477" s="193"/>
    </row>
    <row r="80478" spans="6:6" x14ac:dyDescent="0.3">
      <c r="F80478" s="193"/>
    </row>
    <row r="80479" spans="6:6" x14ac:dyDescent="0.3">
      <c r="F80479" s="193"/>
    </row>
    <row r="80480" spans="6:6" x14ac:dyDescent="0.3">
      <c r="F80480" s="193"/>
    </row>
    <row r="80481" spans="6:6" x14ac:dyDescent="0.3">
      <c r="F80481" s="193"/>
    </row>
    <row r="80482" spans="6:6" x14ac:dyDescent="0.3">
      <c r="F80482" s="193"/>
    </row>
    <row r="80483" spans="6:6" x14ac:dyDescent="0.3">
      <c r="F80483" s="193"/>
    </row>
    <row r="80484" spans="6:6" x14ac:dyDescent="0.3">
      <c r="F80484" s="193"/>
    </row>
    <row r="80485" spans="6:6" x14ac:dyDescent="0.3">
      <c r="F80485" s="193"/>
    </row>
    <row r="80486" spans="6:6" x14ac:dyDescent="0.3">
      <c r="F80486" s="193"/>
    </row>
    <row r="80487" spans="6:6" x14ac:dyDescent="0.3">
      <c r="F80487" s="193"/>
    </row>
    <row r="80488" spans="6:6" x14ac:dyDescent="0.3">
      <c r="F80488" s="193"/>
    </row>
    <row r="80489" spans="6:6" x14ac:dyDescent="0.3">
      <c r="F80489" s="193"/>
    </row>
    <row r="80490" spans="6:6" x14ac:dyDescent="0.3">
      <c r="F80490" s="193"/>
    </row>
    <row r="80491" spans="6:6" x14ac:dyDescent="0.3">
      <c r="F80491" s="193"/>
    </row>
    <row r="80492" spans="6:6" x14ac:dyDescent="0.3">
      <c r="F80492" s="193"/>
    </row>
    <row r="80493" spans="6:6" x14ac:dyDescent="0.3">
      <c r="F80493" s="193"/>
    </row>
    <row r="80494" spans="6:6" x14ac:dyDescent="0.3">
      <c r="F80494" s="193"/>
    </row>
    <row r="80495" spans="6:6" x14ac:dyDescent="0.3">
      <c r="F80495" s="193"/>
    </row>
    <row r="80496" spans="6:6" x14ac:dyDescent="0.3">
      <c r="F80496" s="193"/>
    </row>
    <row r="80497" spans="6:6" x14ac:dyDescent="0.3">
      <c r="F80497" s="193"/>
    </row>
    <row r="80498" spans="6:6" x14ac:dyDescent="0.3">
      <c r="F80498" s="193"/>
    </row>
    <row r="80499" spans="6:6" x14ac:dyDescent="0.3">
      <c r="F80499" s="193"/>
    </row>
    <row r="80500" spans="6:6" x14ac:dyDescent="0.3">
      <c r="F80500" s="193"/>
    </row>
    <row r="80501" spans="6:6" x14ac:dyDescent="0.3">
      <c r="F80501" s="193"/>
    </row>
    <row r="80502" spans="6:6" x14ac:dyDescent="0.3">
      <c r="F80502" s="193"/>
    </row>
    <row r="80503" spans="6:6" x14ac:dyDescent="0.3">
      <c r="F80503" s="193"/>
    </row>
    <row r="80504" spans="6:6" x14ac:dyDescent="0.3">
      <c r="F80504" s="193"/>
    </row>
    <row r="80505" spans="6:6" x14ac:dyDescent="0.3">
      <c r="F80505" s="193"/>
    </row>
    <row r="80506" spans="6:6" x14ac:dyDescent="0.3">
      <c r="F80506" s="193"/>
    </row>
    <row r="80507" spans="6:6" x14ac:dyDescent="0.3">
      <c r="F80507" s="193"/>
    </row>
    <row r="80508" spans="6:6" x14ac:dyDescent="0.3">
      <c r="F80508" s="193"/>
    </row>
    <row r="80509" spans="6:6" x14ac:dyDescent="0.3">
      <c r="F80509" s="193"/>
    </row>
    <row r="80510" spans="6:6" x14ac:dyDescent="0.3">
      <c r="F80510" s="193"/>
    </row>
    <row r="80511" spans="6:6" x14ac:dyDescent="0.3">
      <c r="F80511" s="193"/>
    </row>
    <row r="80512" spans="6:6" x14ac:dyDescent="0.3">
      <c r="F80512" s="193"/>
    </row>
    <row r="80513" spans="6:6" x14ac:dyDescent="0.3">
      <c r="F80513" s="193"/>
    </row>
    <row r="80514" spans="6:6" x14ac:dyDescent="0.3">
      <c r="F80514" s="193"/>
    </row>
    <row r="80515" spans="6:6" x14ac:dyDescent="0.3">
      <c r="F80515" s="193"/>
    </row>
    <row r="80516" spans="6:6" x14ac:dyDescent="0.3">
      <c r="F80516" s="193"/>
    </row>
    <row r="80517" spans="6:6" x14ac:dyDescent="0.3">
      <c r="F80517" s="193"/>
    </row>
    <row r="80518" spans="6:6" x14ac:dyDescent="0.3">
      <c r="F80518" s="193"/>
    </row>
    <row r="80519" spans="6:6" x14ac:dyDescent="0.3">
      <c r="F80519" s="193"/>
    </row>
    <row r="80520" spans="6:6" x14ac:dyDescent="0.3">
      <c r="F80520" s="193"/>
    </row>
    <row r="80521" spans="6:6" x14ac:dyDescent="0.3">
      <c r="F80521" s="193"/>
    </row>
    <row r="80522" spans="6:6" x14ac:dyDescent="0.3">
      <c r="F80522" s="193"/>
    </row>
    <row r="80523" spans="6:6" x14ac:dyDescent="0.3">
      <c r="F80523" s="193"/>
    </row>
    <row r="80524" spans="6:6" x14ac:dyDescent="0.3">
      <c r="F80524" s="193"/>
    </row>
    <row r="80525" spans="6:6" x14ac:dyDescent="0.3">
      <c r="F80525" s="193"/>
    </row>
    <row r="80526" spans="6:6" x14ac:dyDescent="0.3">
      <c r="F80526" s="193"/>
    </row>
    <row r="80527" spans="6:6" x14ac:dyDescent="0.3">
      <c r="F80527" s="193"/>
    </row>
    <row r="80528" spans="6:6" x14ac:dyDescent="0.3">
      <c r="F80528" s="193"/>
    </row>
    <row r="80529" spans="6:6" x14ac:dyDescent="0.3">
      <c r="F80529" s="193"/>
    </row>
    <row r="80530" spans="6:6" x14ac:dyDescent="0.3">
      <c r="F80530" s="193"/>
    </row>
    <row r="80531" spans="6:6" x14ac:dyDescent="0.3">
      <c r="F80531" s="193"/>
    </row>
    <row r="80532" spans="6:6" x14ac:dyDescent="0.3">
      <c r="F80532" s="193"/>
    </row>
    <row r="80533" spans="6:6" x14ac:dyDescent="0.3">
      <c r="F80533" s="193"/>
    </row>
    <row r="80534" spans="6:6" x14ac:dyDescent="0.3">
      <c r="F80534" s="193"/>
    </row>
    <row r="80535" spans="6:6" x14ac:dyDescent="0.3">
      <c r="F80535" s="193"/>
    </row>
    <row r="80536" spans="6:6" x14ac:dyDescent="0.3">
      <c r="F80536" s="193"/>
    </row>
    <row r="80537" spans="6:6" x14ac:dyDescent="0.3">
      <c r="F80537" s="193"/>
    </row>
    <row r="80538" spans="6:6" x14ac:dyDescent="0.3">
      <c r="F80538" s="193"/>
    </row>
    <row r="80539" spans="6:6" x14ac:dyDescent="0.3">
      <c r="F80539" s="193"/>
    </row>
    <row r="80540" spans="6:6" x14ac:dyDescent="0.3">
      <c r="F80540" s="193"/>
    </row>
    <row r="80541" spans="6:6" x14ac:dyDescent="0.3">
      <c r="F80541" s="193"/>
    </row>
    <row r="80542" spans="6:6" x14ac:dyDescent="0.3">
      <c r="F80542" s="193"/>
    </row>
    <row r="80543" spans="6:6" x14ac:dyDescent="0.3">
      <c r="F80543" s="193"/>
    </row>
    <row r="80544" spans="6:6" x14ac:dyDescent="0.3">
      <c r="F80544" s="193"/>
    </row>
    <row r="80545" spans="6:6" x14ac:dyDescent="0.3">
      <c r="F80545" s="193"/>
    </row>
    <row r="80546" spans="6:6" x14ac:dyDescent="0.3">
      <c r="F80546" s="193"/>
    </row>
    <row r="80547" spans="6:6" x14ac:dyDescent="0.3">
      <c r="F80547" s="193"/>
    </row>
    <row r="80548" spans="6:6" x14ac:dyDescent="0.3">
      <c r="F80548" s="193"/>
    </row>
    <row r="80549" spans="6:6" x14ac:dyDescent="0.3">
      <c r="F80549" s="193"/>
    </row>
    <row r="80550" spans="6:6" x14ac:dyDescent="0.3">
      <c r="F80550" s="193"/>
    </row>
    <row r="80551" spans="6:6" x14ac:dyDescent="0.3">
      <c r="F80551" s="193"/>
    </row>
    <row r="80552" spans="6:6" x14ac:dyDescent="0.3">
      <c r="F80552" s="193"/>
    </row>
    <row r="80553" spans="6:6" x14ac:dyDescent="0.3">
      <c r="F80553" s="193"/>
    </row>
    <row r="80554" spans="6:6" x14ac:dyDescent="0.3">
      <c r="F80554" s="193"/>
    </row>
    <row r="80555" spans="6:6" x14ac:dyDescent="0.3">
      <c r="F80555" s="193"/>
    </row>
    <row r="80556" spans="6:6" x14ac:dyDescent="0.3">
      <c r="F80556" s="193"/>
    </row>
    <row r="80557" spans="6:6" x14ac:dyDescent="0.3">
      <c r="F80557" s="193"/>
    </row>
    <row r="80558" spans="6:6" x14ac:dyDescent="0.3">
      <c r="F80558" s="193"/>
    </row>
    <row r="80559" spans="6:6" x14ac:dyDescent="0.3">
      <c r="F80559" s="193"/>
    </row>
    <row r="80560" spans="6:6" x14ac:dyDescent="0.3">
      <c r="F80560" s="193"/>
    </row>
    <row r="80561" spans="6:6" x14ac:dyDescent="0.3">
      <c r="F80561" s="193"/>
    </row>
    <row r="80562" spans="6:6" x14ac:dyDescent="0.3">
      <c r="F80562" s="193"/>
    </row>
    <row r="80563" spans="6:6" x14ac:dyDescent="0.3">
      <c r="F80563" s="193"/>
    </row>
    <row r="80564" spans="6:6" x14ac:dyDescent="0.3">
      <c r="F80564" s="193"/>
    </row>
    <row r="80565" spans="6:6" x14ac:dyDescent="0.3">
      <c r="F80565" s="193"/>
    </row>
    <row r="80566" spans="6:6" x14ac:dyDescent="0.3">
      <c r="F80566" s="193"/>
    </row>
    <row r="80567" spans="6:6" x14ac:dyDescent="0.3">
      <c r="F80567" s="193"/>
    </row>
    <row r="80568" spans="6:6" x14ac:dyDescent="0.3">
      <c r="F80568" s="193"/>
    </row>
    <row r="80569" spans="6:6" x14ac:dyDescent="0.3">
      <c r="F80569" s="193"/>
    </row>
    <row r="80570" spans="6:6" x14ac:dyDescent="0.3">
      <c r="F80570" s="193"/>
    </row>
    <row r="80571" spans="6:6" x14ac:dyDescent="0.3">
      <c r="F80571" s="193"/>
    </row>
    <row r="80572" spans="6:6" x14ac:dyDescent="0.3">
      <c r="F80572" s="193"/>
    </row>
    <row r="80573" spans="6:6" x14ac:dyDescent="0.3">
      <c r="F80573" s="193"/>
    </row>
    <row r="80574" spans="6:6" x14ac:dyDescent="0.3">
      <c r="F80574" s="193"/>
    </row>
    <row r="80575" spans="6:6" x14ac:dyDescent="0.3">
      <c r="F80575" s="193"/>
    </row>
    <row r="80576" spans="6:6" x14ac:dyDescent="0.3">
      <c r="F80576" s="193"/>
    </row>
    <row r="80577" spans="6:6" x14ac:dyDescent="0.3">
      <c r="F80577" s="193"/>
    </row>
    <row r="80578" spans="6:6" x14ac:dyDescent="0.3">
      <c r="F80578" s="193"/>
    </row>
    <row r="80579" spans="6:6" x14ac:dyDescent="0.3">
      <c r="F80579" s="193"/>
    </row>
    <row r="80580" spans="6:6" x14ac:dyDescent="0.3">
      <c r="F80580" s="193"/>
    </row>
    <row r="80581" spans="6:6" x14ac:dyDescent="0.3">
      <c r="F80581" s="193"/>
    </row>
    <row r="80582" spans="6:6" x14ac:dyDescent="0.3">
      <c r="F80582" s="193"/>
    </row>
    <row r="80583" spans="6:6" x14ac:dyDescent="0.3">
      <c r="F80583" s="193"/>
    </row>
    <row r="80584" spans="6:6" x14ac:dyDescent="0.3">
      <c r="F80584" s="193"/>
    </row>
    <row r="80585" spans="6:6" x14ac:dyDescent="0.3">
      <c r="F80585" s="193"/>
    </row>
    <row r="80586" spans="6:6" x14ac:dyDescent="0.3">
      <c r="F80586" s="193"/>
    </row>
    <row r="80587" spans="6:6" x14ac:dyDescent="0.3">
      <c r="F80587" s="193"/>
    </row>
    <row r="80588" spans="6:6" x14ac:dyDescent="0.3">
      <c r="F80588" s="193"/>
    </row>
    <row r="80589" spans="6:6" x14ac:dyDescent="0.3">
      <c r="F80589" s="193"/>
    </row>
    <row r="80590" spans="6:6" x14ac:dyDescent="0.3">
      <c r="F80590" s="193"/>
    </row>
    <row r="80591" spans="6:6" x14ac:dyDescent="0.3">
      <c r="F80591" s="193"/>
    </row>
    <row r="80592" spans="6:6" x14ac:dyDescent="0.3">
      <c r="F80592" s="193"/>
    </row>
    <row r="80593" spans="6:6" x14ac:dyDescent="0.3">
      <c r="F80593" s="193"/>
    </row>
    <row r="80594" spans="6:6" x14ac:dyDescent="0.3">
      <c r="F80594" s="193"/>
    </row>
    <row r="80595" spans="6:6" x14ac:dyDescent="0.3">
      <c r="F80595" s="193"/>
    </row>
    <row r="80596" spans="6:6" x14ac:dyDescent="0.3">
      <c r="F80596" s="193"/>
    </row>
    <row r="80597" spans="6:6" x14ac:dyDescent="0.3">
      <c r="F80597" s="193"/>
    </row>
    <row r="80598" spans="6:6" x14ac:dyDescent="0.3">
      <c r="F80598" s="193"/>
    </row>
    <row r="80599" spans="6:6" x14ac:dyDescent="0.3">
      <c r="F80599" s="193"/>
    </row>
    <row r="80600" spans="6:6" x14ac:dyDescent="0.3">
      <c r="F80600" s="193"/>
    </row>
    <row r="80601" spans="6:6" x14ac:dyDescent="0.3">
      <c r="F80601" s="193"/>
    </row>
    <row r="80602" spans="6:6" x14ac:dyDescent="0.3">
      <c r="F80602" s="193"/>
    </row>
    <row r="80603" spans="6:6" x14ac:dyDescent="0.3">
      <c r="F80603" s="193"/>
    </row>
    <row r="80604" spans="6:6" x14ac:dyDescent="0.3">
      <c r="F80604" s="193"/>
    </row>
    <row r="80605" spans="6:6" x14ac:dyDescent="0.3">
      <c r="F80605" s="193"/>
    </row>
    <row r="80606" spans="6:6" x14ac:dyDescent="0.3">
      <c r="F80606" s="193"/>
    </row>
    <row r="80607" spans="6:6" x14ac:dyDescent="0.3">
      <c r="F80607" s="193"/>
    </row>
    <row r="80608" spans="6:6" x14ac:dyDescent="0.3">
      <c r="F80608" s="193"/>
    </row>
    <row r="80609" spans="6:6" x14ac:dyDescent="0.3">
      <c r="F80609" s="193"/>
    </row>
    <row r="80610" spans="6:6" x14ac:dyDescent="0.3">
      <c r="F80610" s="193"/>
    </row>
    <row r="80611" spans="6:6" x14ac:dyDescent="0.3">
      <c r="F80611" s="193"/>
    </row>
    <row r="80612" spans="6:6" x14ac:dyDescent="0.3">
      <c r="F80612" s="193"/>
    </row>
    <row r="80613" spans="6:6" x14ac:dyDescent="0.3">
      <c r="F80613" s="193"/>
    </row>
    <row r="80614" spans="6:6" x14ac:dyDescent="0.3">
      <c r="F80614" s="193"/>
    </row>
    <row r="80615" spans="6:6" x14ac:dyDescent="0.3">
      <c r="F80615" s="193"/>
    </row>
    <row r="80616" spans="6:6" x14ac:dyDescent="0.3">
      <c r="F80616" s="193"/>
    </row>
    <row r="80617" spans="6:6" x14ac:dyDescent="0.3">
      <c r="F80617" s="193"/>
    </row>
    <row r="80618" spans="6:6" x14ac:dyDescent="0.3">
      <c r="F80618" s="193"/>
    </row>
    <row r="80619" spans="6:6" x14ac:dyDescent="0.3">
      <c r="F80619" s="193"/>
    </row>
    <row r="80620" spans="6:6" x14ac:dyDescent="0.3">
      <c r="F80620" s="193"/>
    </row>
    <row r="80621" spans="6:6" x14ac:dyDescent="0.3">
      <c r="F80621" s="193"/>
    </row>
    <row r="80622" spans="6:6" x14ac:dyDescent="0.3">
      <c r="F80622" s="193"/>
    </row>
    <row r="80623" spans="6:6" x14ac:dyDescent="0.3">
      <c r="F80623" s="193"/>
    </row>
    <row r="80624" spans="6:6" x14ac:dyDescent="0.3">
      <c r="F80624" s="193"/>
    </row>
    <row r="80625" spans="6:6" x14ac:dyDescent="0.3">
      <c r="F80625" s="193"/>
    </row>
    <row r="80626" spans="6:6" x14ac:dyDescent="0.3">
      <c r="F80626" s="193"/>
    </row>
    <row r="80627" spans="6:6" x14ac:dyDescent="0.3">
      <c r="F80627" s="193"/>
    </row>
    <row r="80628" spans="6:6" x14ac:dyDescent="0.3">
      <c r="F80628" s="193"/>
    </row>
    <row r="80629" spans="6:6" x14ac:dyDescent="0.3">
      <c r="F80629" s="193"/>
    </row>
    <row r="80630" spans="6:6" x14ac:dyDescent="0.3">
      <c r="F80630" s="193"/>
    </row>
    <row r="80631" spans="6:6" x14ac:dyDescent="0.3">
      <c r="F80631" s="193"/>
    </row>
    <row r="80632" spans="6:6" x14ac:dyDescent="0.3">
      <c r="F80632" s="193"/>
    </row>
    <row r="80633" spans="6:6" x14ac:dyDescent="0.3">
      <c r="F80633" s="193"/>
    </row>
    <row r="80634" spans="6:6" x14ac:dyDescent="0.3">
      <c r="F80634" s="193"/>
    </row>
    <row r="80635" spans="6:6" x14ac:dyDescent="0.3">
      <c r="F80635" s="193"/>
    </row>
    <row r="80636" spans="6:6" x14ac:dyDescent="0.3">
      <c r="F80636" s="193"/>
    </row>
    <row r="80637" spans="6:6" x14ac:dyDescent="0.3">
      <c r="F80637" s="193"/>
    </row>
    <row r="80638" spans="6:6" x14ac:dyDescent="0.3">
      <c r="F80638" s="193"/>
    </row>
    <row r="80639" spans="6:6" x14ac:dyDescent="0.3">
      <c r="F80639" s="193"/>
    </row>
    <row r="80640" spans="6:6" x14ac:dyDescent="0.3">
      <c r="F80640" s="193"/>
    </row>
    <row r="80641" spans="6:6" x14ac:dyDescent="0.3">
      <c r="F80641" s="193"/>
    </row>
    <row r="80642" spans="6:6" x14ac:dyDescent="0.3">
      <c r="F80642" s="193"/>
    </row>
    <row r="80643" spans="6:6" x14ac:dyDescent="0.3">
      <c r="F80643" s="193"/>
    </row>
    <row r="80644" spans="6:6" x14ac:dyDescent="0.3">
      <c r="F80644" s="193"/>
    </row>
    <row r="80645" spans="6:6" x14ac:dyDescent="0.3">
      <c r="F80645" s="193"/>
    </row>
    <row r="80646" spans="6:6" x14ac:dyDescent="0.3">
      <c r="F80646" s="193"/>
    </row>
    <row r="80647" spans="6:6" x14ac:dyDescent="0.3">
      <c r="F80647" s="193"/>
    </row>
    <row r="80648" spans="6:6" x14ac:dyDescent="0.3">
      <c r="F80648" s="193"/>
    </row>
    <row r="80649" spans="6:6" x14ac:dyDescent="0.3">
      <c r="F80649" s="193"/>
    </row>
    <row r="80650" spans="6:6" x14ac:dyDescent="0.3">
      <c r="F80650" s="193"/>
    </row>
    <row r="80651" spans="6:6" x14ac:dyDescent="0.3">
      <c r="F80651" s="193"/>
    </row>
    <row r="80652" spans="6:6" x14ac:dyDescent="0.3">
      <c r="F80652" s="193"/>
    </row>
    <row r="80653" spans="6:6" x14ac:dyDescent="0.3">
      <c r="F80653" s="193"/>
    </row>
    <row r="80654" spans="6:6" x14ac:dyDescent="0.3">
      <c r="F80654" s="193"/>
    </row>
    <row r="80655" spans="6:6" x14ac:dyDescent="0.3">
      <c r="F80655" s="193"/>
    </row>
    <row r="80656" spans="6:6" x14ac:dyDescent="0.3">
      <c r="F80656" s="193"/>
    </row>
    <row r="80657" spans="6:6" x14ac:dyDescent="0.3">
      <c r="F80657" s="193"/>
    </row>
    <row r="80658" spans="6:6" x14ac:dyDescent="0.3">
      <c r="F80658" s="193"/>
    </row>
    <row r="80659" spans="6:6" x14ac:dyDescent="0.3">
      <c r="F80659" s="193"/>
    </row>
    <row r="80660" spans="6:6" x14ac:dyDescent="0.3">
      <c r="F80660" s="193"/>
    </row>
    <row r="80661" spans="6:6" x14ac:dyDescent="0.3">
      <c r="F80661" s="193"/>
    </row>
    <row r="80662" spans="6:6" x14ac:dyDescent="0.3">
      <c r="F80662" s="193"/>
    </row>
    <row r="80663" spans="6:6" x14ac:dyDescent="0.3">
      <c r="F80663" s="193"/>
    </row>
    <row r="80664" spans="6:6" x14ac:dyDescent="0.3">
      <c r="F80664" s="193"/>
    </row>
    <row r="80665" spans="6:6" x14ac:dyDescent="0.3">
      <c r="F80665" s="193"/>
    </row>
    <row r="80666" spans="6:6" x14ac:dyDescent="0.3">
      <c r="F80666" s="193"/>
    </row>
    <row r="80667" spans="6:6" x14ac:dyDescent="0.3">
      <c r="F80667" s="193"/>
    </row>
    <row r="80668" spans="6:6" x14ac:dyDescent="0.3">
      <c r="F80668" s="193"/>
    </row>
    <row r="80669" spans="6:6" x14ac:dyDescent="0.3">
      <c r="F80669" s="193"/>
    </row>
    <row r="80670" spans="6:6" x14ac:dyDescent="0.3">
      <c r="F80670" s="193"/>
    </row>
    <row r="80671" spans="6:6" x14ac:dyDescent="0.3">
      <c r="F80671" s="193"/>
    </row>
    <row r="80672" spans="6:6" x14ac:dyDescent="0.3">
      <c r="F80672" s="193"/>
    </row>
    <row r="80673" spans="6:6" x14ac:dyDescent="0.3">
      <c r="F80673" s="193"/>
    </row>
    <row r="80674" spans="6:6" x14ac:dyDescent="0.3">
      <c r="F80674" s="193"/>
    </row>
    <row r="80675" spans="6:6" x14ac:dyDescent="0.3">
      <c r="F80675" s="193"/>
    </row>
    <row r="80676" spans="6:6" x14ac:dyDescent="0.3">
      <c r="F80676" s="193"/>
    </row>
    <row r="80677" spans="6:6" x14ac:dyDescent="0.3">
      <c r="F80677" s="193"/>
    </row>
    <row r="80678" spans="6:6" x14ac:dyDescent="0.3">
      <c r="F80678" s="193"/>
    </row>
    <row r="80679" spans="6:6" x14ac:dyDescent="0.3">
      <c r="F80679" s="193"/>
    </row>
    <row r="80680" spans="6:6" x14ac:dyDescent="0.3">
      <c r="F80680" s="193"/>
    </row>
    <row r="80681" spans="6:6" x14ac:dyDescent="0.3">
      <c r="F80681" s="193"/>
    </row>
    <row r="80682" spans="6:6" x14ac:dyDescent="0.3">
      <c r="F80682" s="193"/>
    </row>
    <row r="80683" spans="6:6" x14ac:dyDescent="0.3">
      <c r="F80683" s="193"/>
    </row>
    <row r="80684" spans="6:6" x14ac:dyDescent="0.3">
      <c r="F80684" s="193"/>
    </row>
    <row r="80685" spans="6:6" x14ac:dyDescent="0.3">
      <c r="F80685" s="193"/>
    </row>
    <row r="80686" spans="6:6" x14ac:dyDescent="0.3">
      <c r="F80686" s="193"/>
    </row>
    <row r="80687" spans="6:6" x14ac:dyDescent="0.3">
      <c r="F80687" s="193"/>
    </row>
    <row r="80688" spans="6:6" x14ac:dyDescent="0.3">
      <c r="F80688" s="193"/>
    </row>
    <row r="80689" spans="6:6" x14ac:dyDescent="0.3">
      <c r="F80689" s="193"/>
    </row>
    <row r="80690" spans="6:6" x14ac:dyDescent="0.3">
      <c r="F80690" s="193"/>
    </row>
    <row r="80691" spans="6:6" x14ac:dyDescent="0.3">
      <c r="F80691" s="193"/>
    </row>
    <row r="80692" spans="6:6" x14ac:dyDescent="0.3">
      <c r="F80692" s="193"/>
    </row>
    <row r="80693" spans="6:6" x14ac:dyDescent="0.3">
      <c r="F80693" s="193"/>
    </row>
    <row r="80694" spans="6:6" x14ac:dyDescent="0.3">
      <c r="F80694" s="193"/>
    </row>
    <row r="80695" spans="6:6" x14ac:dyDescent="0.3">
      <c r="F80695" s="193"/>
    </row>
    <row r="80696" spans="6:6" x14ac:dyDescent="0.3">
      <c r="F80696" s="193"/>
    </row>
    <row r="80697" spans="6:6" x14ac:dyDescent="0.3">
      <c r="F80697" s="193"/>
    </row>
    <row r="80698" spans="6:6" x14ac:dyDescent="0.3">
      <c r="F80698" s="193"/>
    </row>
    <row r="80699" spans="6:6" x14ac:dyDescent="0.3">
      <c r="F80699" s="193"/>
    </row>
    <row r="80700" spans="6:6" x14ac:dyDescent="0.3">
      <c r="F80700" s="193"/>
    </row>
    <row r="80701" spans="6:6" x14ac:dyDescent="0.3">
      <c r="F80701" s="193"/>
    </row>
    <row r="80702" spans="6:6" x14ac:dyDescent="0.3">
      <c r="F80702" s="193"/>
    </row>
    <row r="80703" spans="6:6" x14ac:dyDescent="0.3">
      <c r="F80703" s="193"/>
    </row>
    <row r="80704" spans="6:6" x14ac:dyDescent="0.3">
      <c r="F80704" s="193"/>
    </row>
    <row r="80705" spans="6:6" x14ac:dyDescent="0.3">
      <c r="F80705" s="193"/>
    </row>
    <row r="80706" spans="6:6" x14ac:dyDescent="0.3">
      <c r="F80706" s="193"/>
    </row>
    <row r="80707" spans="6:6" x14ac:dyDescent="0.3">
      <c r="F80707" s="193"/>
    </row>
    <row r="80708" spans="6:6" x14ac:dyDescent="0.3">
      <c r="F80708" s="193"/>
    </row>
    <row r="80709" spans="6:6" x14ac:dyDescent="0.3">
      <c r="F80709" s="193"/>
    </row>
    <row r="80710" spans="6:6" x14ac:dyDescent="0.3">
      <c r="F80710" s="193"/>
    </row>
    <row r="80711" spans="6:6" x14ac:dyDescent="0.3">
      <c r="F80711" s="193"/>
    </row>
    <row r="80712" spans="6:6" x14ac:dyDescent="0.3">
      <c r="F80712" s="193"/>
    </row>
    <row r="80713" spans="6:6" x14ac:dyDescent="0.3">
      <c r="F80713" s="193"/>
    </row>
    <row r="80714" spans="6:6" x14ac:dyDescent="0.3">
      <c r="F80714" s="193"/>
    </row>
    <row r="80715" spans="6:6" x14ac:dyDescent="0.3">
      <c r="F80715" s="193"/>
    </row>
    <row r="80716" spans="6:6" x14ac:dyDescent="0.3">
      <c r="F80716" s="193"/>
    </row>
    <row r="80717" spans="6:6" x14ac:dyDescent="0.3">
      <c r="F80717" s="193"/>
    </row>
    <row r="80718" spans="6:6" x14ac:dyDescent="0.3">
      <c r="F80718" s="193"/>
    </row>
    <row r="80719" spans="6:6" x14ac:dyDescent="0.3">
      <c r="F80719" s="193"/>
    </row>
    <row r="80720" spans="6:6" x14ac:dyDescent="0.3">
      <c r="F80720" s="193"/>
    </row>
    <row r="80721" spans="6:6" x14ac:dyDescent="0.3">
      <c r="F80721" s="193"/>
    </row>
    <row r="80722" spans="6:6" x14ac:dyDescent="0.3">
      <c r="F80722" s="193"/>
    </row>
    <row r="80723" spans="6:6" x14ac:dyDescent="0.3">
      <c r="F80723" s="193"/>
    </row>
    <row r="80724" spans="6:6" x14ac:dyDescent="0.3">
      <c r="F80724" s="193"/>
    </row>
    <row r="80725" spans="6:6" x14ac:dyDescent="0.3">
      <c r="F80725" s="193"/>
    </row>
    <row r="80726" spans="6:6" x14ac:dyDescent="0.3">
      <c r="F80726" s="193"/>
    </row>
    <row r="80727" spans="6:6" x14ac:dyDescent="0.3">
      <c r="F80727" s="193"/>
    </row>
    <row r="80728" spans="6:6" x14ac:dyDescent="0.3">
      <c r="F80728" s="193"/>
    </row>
    <row r="80729" spans="6:6" x14ac:dyDescent="0.3">
      <c r="F80729" s="193"/>
    </row>
    <row r="80730" spans="6:6" x14ac:dyDescent="0.3">
      <c r="F80730" s="193"/>
    </row>
    <row r="80731" spans="6:6" x14ac:dyDescent="0.3">
      <c r="F80731" s="193"/>
    </row>
    <row r="80732" spans="6:6" x14ac:dyDescent="0.3">
      <c r="F80732" s="193"/>
    </row>
    <row r="80733" spans="6:6" x14ac:dyDescent="0.3">
      <c r="F80733" s="193"/>
    </row>
    <row r="80734" spans="6:6" x14ac:dyDescent="0.3">
      <c r="F80734" s="193"/>
    </row>
    <row r="80735" spans="6:6" x14ac:dyDescent="0.3">
      <c r="F80735" s="193"/>
    </row>
    <row r="80736" spans="6:6" x14ac:dyDescent="0.3">
      <c r="F80736" s="193"/>
    </row>
    <row r="80737" spans="6:6" x14ac:dyDescent="0.3">
      <c r="F80737" s="193"/>
    </row>
    <row r="80738" spans="6:6" x14ac:dyDescent="0.3">
      <c r="F80738" s="193"/>
    </row>
    <row r="80739" spans="6:6" x14ac:dyDescent="0.3">
      <c r="F80739" s="193"/>
    </row>
    <row r="80740" spans="6:6" x14ac:dyDescent="0.3">
      <c r="F80740" s="193"/>
    </row>
    <row r="80741" spans="6:6" x14ac:dyDescent="0.3">
      <c r="F80741" s="193"/>
    </row>
    <row r="80742" spans="6:6" x14ac:dyDescent="0.3">
      <c r="F80742" s="193"/>
    </row>
    <row r="80743" spans="6:6" x14ac:dyDescent="0.3">
      <c r="F80743" s="193"/>
    </row>
    <row r="80744" spans="6:6" x14ac:dyDescent="0.3">
      <c r="F80744" s="193"/>
    </row>
    <row r="80745" spans="6:6" x14ac:dyDescent="0.3">
      <c r="F80745" s="193"/>
    </row>
    <row r="80746" spans="6:6" x14ac:dyDescent="0.3">
      <c r="F80746" s="193"/>
    </row>
    <row r="80747" spans="6:6" x14ac:dyDescent="0.3">
      <c r="F80747" s="193"/>
    </row>
    <row r="80748" spans="6:6" x14ac:dyDescent="0.3">
      <c r="F80748" s="193"/>
    </row>
    <row r="80749" spans="6:6" x14ac:dyDescent="0.3">
      <c r="F80749" s="193"/>
    </row>
    <row r="80750" spans="6:6" x14ac:dyDescent="0.3">
      <c r="F80750" s="193"/>
    </row>
    <row r="80751" spans="6:6" x14ac:dyDescent="0.3">
      <c r="F80751" s="193"/>
    </row>
    <row r="80752" spans="6:6" x14ac:dyDescent="0.3">
      <c r="F80752" s="193"/>
    </row>
    <row r="80753" spans="6:6" x14ac:dyDescent="0.3">
      <c r="F80753" s="193"/>
    </row>
    <row r="80754" spans="6:6" x14ac:dyDescent="0.3">
      <c r="F80754" s="193"/>
    </row>
    <row r="80755" spans="6:6" x14ac:dyDescent="0.3">
      <c r="F80755" s="193"/>
    </row>
    <row r="80756" spans="6:6" x14ac:dyDescent="0.3">
      <c r="F80756" s="193"/>
    </row>
    <row r="80757" spans="6:6" x14ac:dyDescent="0.3">
      <c r="F80757" s="193"/>
    </row>
    <row r="80758" spans="6:6" x14ac:dyDescent="0.3">
      <c r="F80758" s="193"/>
    </row>
    <row r="80759" spans="6:6" x14ac:dyDescent="0.3">
      <c r="F80759" s="193"/>
    </row>
    <row r="80760" spans="6:6" x14ac:dyDescent="0.3">
      <c r="F80760" s="193"/>
    </row>
    <row r="80761" spans="6:6" x14ac:dyDescent="0.3">
      <c r="F80761" s="193"/>
    </row>
    <row r="80762" spans="6:6" x14ac:dyDescent="0.3">
      <c r="F80762" s="193"/>
    </row>
    <row r="80763" spans="6:6" x14ac:dyDescent="0.3">
      <c r="F80763" s="193"/>
    </row>
    <row r="80764" spans="6:6" x14ac:dyDescent="0.3">
      <c r="F80764" s="193"/>
    </row>
    <row r="80765" spans="6:6" x14ac:dyDescent="0.3">
      <c r="F80765" s="193"/>
    </row>
    <row r="80766" spans="6:6" x14ac:dyDescent="0.3">
      <c r="F80766" s="193"/>
    </row>
    <row r="80767" spans="6:6" x14ac:dyDescent="0.3">
      <c r="F80767" s="193"/>
    </row>
    <row r="80768" spans="6:6" x14ac:dyDescent="0.3">
      <c r="F80768" s="193"/>
    </row>
    <row r="80769" spans="6:6" x14ac:dyDescent="0.3">
      <c r="F80769" s="193"/>
    </row>
    <row r="80770" spans="6:6" x14ac:dyDescent="0.3">
      <c r="F80770" s="193"/>
    </row>
    <row r="80771" spans="6:6" x14ac:dyDescent="0.3">
      <c r="F80771" s="193"/>
    </row>
    <row r="80772" spans="6:6" x14ac:dyDescent="0.3">
      <c r="F80772" s="193"/>
    </row>
    <row r="80773" spans="6:6" x14ac:dyDescent="0.3">
      <c r="F80773" s="193"/>
    </row>
    <row r="80774" spans="6:6" x14ac:dyDescent="0.3">
      <c r="F80774" s="193"/>
    </row>
    <row r="80775" spans="6:6" x14ac:dyDescent="0.3">
      <c r="F80775" s="193"/>
    </row>
    <row r="80776" spans="6:6" x14ac:dyDescent="0.3">
      <c r="F80776" s="193"/>
    </row>
    <row r="80777" spans="6:6" x14ac:dyDescent="0.3">
      <c r="F80777" s="193"/>
    </row>
    <row r="80778" spans="6:6" x14ac:dyDescent="0.3">
      <c r="F80778" s="193"/>
    </row>
    <row r="80779" spans="6:6" x14ac:dyDescent="0.3">
      <c r="F80779" s="193"/>
    </row>
    <row r="80780" spans="6:6" x14ac:dyDescent="0.3">
      <c r="F80780" s="193"/>
    </row>
    <row r="80781" spans="6:6" x14ac:dyDescent="0.3">
      <c r="F80781" s="193"/>
    </row>
    <row r="80782" spans="6:6" x14ac:dyDescent="0.3">
      <c r="F80782" s="193"/>
    </row>
    <row r="80783" spans="6:6" x14ac:dyDescent="0.3">
      <c r="F80783" s="193"/>
    </row>
    <row r="80784" spans="6:6" x14ac:dyDescent="0.3">
      <c r="F80784" s="193"/>
    </row>
    <row r="80785" spans="6:6" x14ac:dyDescent="0.3">
      <c r="F80785" s="193"/>
    </row>
    <row r="80786" spans="6:6" x14ac:dyDescent="0.3">
      <c r="F80786" s="193"/>
    </row>
    <row r="80787" spans="6:6" x14ac:dyDescent="0.3">
      <c r="F80787" s="193"/>
    </row>
    <row r="80788" spans="6:6" x14ac:dyDescent="0.3">
      <c r="F80788" s="193"/>
    </row>
    <row r="80789" spans="6:6" x14ac:dyDescent="0.3">
      <c r="F80789" s="193"/>
    </row>
    <row r="80790" spans="6:6" x14ac:dyDescent="0.3">
      <c r="F80790" s="193"/>
    </row>
    <row r="80791" spans="6:6" x14ac:dyDescent="0.3">
      <c r="F80791" s="193"/>
    </row>
    <row r="80792" spans="6:6" x14ac:dyDescent="0.3">
      <c r="F80792" s="193"/>
    </row>
    <row r="80793" spans="6:6" x14ac:dyDescent="0.3">
      <c r="F80793" s="193"/>
    </row>
    <row r="80794" spans="6:6" x14ac:dyDescent="0.3">
      <c r="F80794" s="193"/>
    </row>
    <row r="80795" spans="6:6" x14ac:dyDescent="0.3">
      <c r="F80795" s="193"/>
    </row>
    <row r="80796" spans="6:6" x14ac:dyDescent="0.3">
      <c r="F80796" s="193"/>
    </row>
    <row r="80797" spans="6:6" x14ac:dyDescent="0.3">
      <c r="F80797" s="193"/>
    </row>
    <row r="80798" spans="6:6" x14ac:dyDescent="0.3">
      <c r="F80798" s="193"/>
    </row>
    <row r="80799" spans="6:6" x14ac:dyDescent="0.3">
      <c r="F80799" s="193"/>
    </row>
    <row r="80800" spans="6:6" x14ac:dyDescent="0.3">
      <c r="F80800" s="193"/>
    </row>
    <row r="80801" spans="6:6" x14ac:dyDescent="0.3">
      <c r="F80801" s="193"/>
    </row>
    <row r="80802" spans="6:6" x14ac:dyDescent="0.3">
      <c r="F80802" s="193"/>
    </row>
    <row r="80803" spans="6:6" x14ac:dyDescent="0.3">
      <c r="F80803" s="193"/>
    </row>
    <row r="80804" spans="6:6" x14ac:dyDescent="0.3">
      <c r="F80804" s="193"/>
    </row>
    <row r="80805" spans="6:6" x14ac:dyDescent="0.3">
      <c r="F80805" s="193"/>
    </row>
    <row r="80806" spans="6:6" x14ac:dyDescent="0.3">
      <c r="F80806" s="193"/>
    </row>
    <row r="80807" spans="6:6" x14ac:dyDescent="0.3">
      <c r="F80807" s="193"/>
    </row>
    <row r="80808" spans="6:6" x14ac:dyDescent="0.3">
      <c r="F80808" s="193"/>
    </row>
    <row r="80809" spans="6:6" x14ac:dyDescent="0.3">
      <c r="F80809" s="193"/>
    </row>
    <row r="80810" spans="6:6" x14ac:dyDescent="0.3">
      <c r="F80810" s="193"/>
    </row>
    <row r="80811" spans="6:6" x14ac:dyDescent="0.3">
      <c r="F80811" s="193"/>
    </row>
    <row r="80812" spans="6:6" x14ac:dyDescent="0.3">
      <c r="F80812" s="193"/>
    </row>
    <row r="80813" spans="6:6" x14ac:dyDescent="0.3">
      <c r="F80813" s="193"/>
    </row>
    <row r="80814" spans="6:6" x14ac:dyDescent="0.3">
      <c r="F80814" s="193"/>
    </row>
    <row r="80815" spans="6:6" x14ac:dyDescent="0.3">
      <c r="F80815" s="193"/>
    </row>
    <row r="80816" spans="6:6" x14ac:dyDescent="0.3">
      <c r="F80816" s="193"/>
    </row>
    <row r="80817" spans="6:6" x14ac:dyDescent="0.3">
      <c r="F80817" s="193"/>
    </row>
    <row r="80818" spans="6:6" x14ac:dyDescent="0.3">
      <c r="F80818" s="193"/>
    </row>
    <row r="80819" spans="6:6" x14ac:dyDescent="0.3">
      <c r="F80819" s="193"/>
    </row>
    <row r="80820" spans="6:6" x14ac:dyDescent="0.3">
      <c r="F80820" s="193"/>
    </row>
    <row r="80821" spans="6:6" x14ac:dyDescent="0.3">
      <c r="F80821" s="193"/>
    </row>
    <row r="80822" spans="6:6" x14ac:dyDescent="0.3">
      <c r="F80822" s="193"/>
    </row>
    <row r="80823" spans="6:6" x14ac:dyDescent="0.3">
      <c r="F80823" s="193"/>
    </row>
    <row r="80824" spans="6:6" x14ac:dyDescent="0.3">
      <c r="F80824" s="193"/>
    </row>
    <row r="80825" spans="6:6" x14ac:dyDescent="0.3">
      <c r="F80825" s="193"/>
    </row>
    <row r="80826" spans="6:6" x14ac:dyDescent="0.3">
      <c r="F80826" s="193"/>
    </row>
    <row r="80827" spans="6:6" x14ac:dyDescent="0.3">
      <c r="F80827" s="193"/>
    </row>
    <row r="80828" spans="6:6" x14ac:dyDescent="0.3">
      <c r="F80828" s="193"/>
    </row>
    <row r="80829" spans="6:6" x14ac:dyDescent="0.3">
      <c r="F80829" s="193"/>
    </row>
    <row r="80830" spans="6:6" x14ac:dyDescent="0.3">
      <c r="F80830" s="193"/>
    </row>
    <row r="80831" spans="6:6" x14ac:dyDescent="0.3">
      <c r="F80831" s="193"/>
    </row>
    <row r="80832" spans="6:6" x14ac:dyDescent="0.3">
      <c r="F80832" s="193"/>
    </row>
    <row r="80833" spans="6:6" x14ac:dyDescent="0.3">
      <c r="F80833" s="193"/>
    </row>
    <row r="80834" spans="6:6" x14ac:dyDescent="0.3">
      <c r="F80834" s="193"/>
    </row>
    <row r="80835" spans="6:6" x14ac:dyDescent="0.3">
      <c r="F80835" s="193"/>
    </row>
    <row r="80836" spans="6:6" x14ac:dyDescent="0.3">
      <c r="F80836" s="193"/>
    </row>
    <row r="80837" spans="6:6" x14ac:dyDescent="0.3">
      <c r="F80837" s="193"/>
    </row>
    <row r="80838" spans="6:6" x14ac:dyDescent="0.3">
      <c r="F80838" s="193"/>
    </row>
    <row r="80839" spans="6:6" x14ac:dyDescent="0.3">
      <c r="F80839" s="193"/>
    </row>
    <row r="80840" spans="6:6" x14ac:dyDescent="0.3">
      <c r="F80840" s="193"/>
    </row>
    <row r="80841" spans="6:6" x14ac:dyDescent="0.3">
      <c r="F80841" s="193"/>
    </row>
    <row r="80842" spans="6:6" x14ac:dyDescent="0.3">
      <c r="F80842" s="193"/>
    </row>
    <row r="80843" spans="6:6" x14ac:dyDescent="0.3">
      <c r="F80843" s="193"/>
    </row>
    <row r="80844" spans="6:6" x14ac:dyDescent="0.3">
      <c r="F80844" s="193"/>
    </row>
    <row r="80845" spans="6:6" x14ac:dyDescent="0.3">
      <c r="F80845" s="193"/>
    </row>
    <row r="80846" spans="6:6" x14ac:dyDescent="0.3">
      <c r="F80846" s="193"/>
    </row>
    <row r="80847" spans="6:6" x14ac:dyDescent="0.3">
      <c r="F80847" s="193"/>
    </row>
    <row r="80848" spans="6:6" x14ac:dyDescent="0.3">
      <c r="F80848" s="193"/>
    </row>
    <row r="80849" spans="6:6" x14ac:dyDescent="0.3">
      <c r="F80849" s="193"/>
    </row>
    <row r="80850" spans="6:6" x14ac:dyDescent="0.3">
      <c r="F80850" s="193"/>
    </row>
    <row r="80851" spans="6:6" x14ac:dyDescent="0.3">
      <c r="F80851" s="193"/>
    </row>
    <row r="80852" spans="6:6" x14ac:dyDescent="0.3">
      <c r="F80852" s="193"/>
    </row>
    <row r="80853" spans="6:6" x14ac:dyDescent="0.3">
      <c r="F80853" s="193"/>
    </row>
    <row r="80854" spans="6:6" x14ac:dyDescent="0.3">
      <c r="F80854" s="193"/>
    </row>
    <row r="80855" spans="6:6" x14ac:dyDescent="0.3">
      <c r="F80855" s="193"/>
    </row>
    <row r="80856" spans="6:6" x14ac:dyDescent="0.3">
      <c r="F80856" s="193"/>
    </row>
    <row r="80857" spans="6:6" x14ac:dyDescent="0.3">
      <c r="F80857" s="193"/>
    </row>
    <row r="80858" spans="6:6" x14ac:dyDescent="0.3">
      <c r="F80858" s="193"/>
    </row>
    <row r="80859" spans="6:6" x14ac:dyDescent="0.3">
      <c r="F80859" s="193"/>
    </row>
    <row r="80860" spans="6:6" x14ac:dyDescent="0.3">
      <c r="F80860" s="193"/>
    </row>
    <row r="80861" spans="6:6" x14ac:dyDescent="0.3">
      <c r="F80861" s="193"/>
    </row>
    <row r="80862" spans="6:6" x14ac:dyDescent="0.3">
      <c r="F80862" s="193"/>
    </row>
    <row r="80863" spans="6:6" x14ac:dyDescent="0.3">
      <c r="F80863" s="193"/>
    </row>
    <row r="80864" spans="6:6" x14ac:dyDescent="0.3">
      <c r="F80864" s="193"/>
    </row>
    <row r="80865" spans="6:6" x14ac:dyDescent="0.3">
      <c r="F80865" s="193"/>
    </row>
    <row r="80866" spans="6:6" x14ac:dyDescent="0.3">
      <c r="F80866" s="193"/>
    </row>
    <row r="80867" spans="6:6" x14ac:dyDescent="0.3">
      <c r="F80867" s="193"/>
    </row>
    <row r="80868" spans="6:6" x14ac:dyDescent="0.3">
      <c r="F80868" s="193"/>
    </row>
    <row r="80869" spans="6:6" x14ac:dyDescent="0.3">
      <c r="F80869" s="193"/>
    </row>
    <row r="80870" spans="6:6" x14ac:dyDescent="0.3">
      <c r="F80870" s="193"/>
    </row>
    <row r="80871" spans="6:6" x14ac:dyDescent="0.3">
      <c r="F80871" s="193"/>
    </row>
    <row r="80872" spans="6:6" x14ac:dyDescent="0.3">
      <c r="F80872" s="193"/>
    </row>
    <row r="80873" spans="6:6" x14ac:dyDescent="0.3">
      <c r="F80873" s="193"/>
    </row>
    <row r="80874" spans="6:6" x14ac:dyDescent="0.3">
      <c r="F80874" s="193"/>
    </row>
    <row r="80875" spans="6:6" x14ac:dyDescent="0.3">
      <c r="F80875" s="193"/>
    </row>
    <row r="80876" spans="6:6" x14ac:dyDescent="0.3">
      <c r="F80876" s="193"/>
    </row>
    <row r="80877" spans="6:6" x14ac:dyDescent="0.3">
      <c r="F80877" s="193"/>
    </row>
    <row r="80878" spans="6:6" x14ac:dyDescent="0.3">
      <c r="F80878" s="193"/>
    </row>
    <row r="80879" spans="6:6" x14ac:dyDescent="0.3">
      <c r="F80879" s="193"/>
    </row>
    <row r="80880" spans="6:6" x14ac:dyDescent="0.3">
      <c r="F80880" s="193"/>
    </row>
    <row r="80881" spans="6:6" x14ac:dyDescent="0.3">
      <c r="F80881" s="193"/>
    </row>
    <row r="80882" spans="6:6" x14ac:dyDescent="0.3">
      <c r="F80882" s="193"/>
    </row>
    <row r="80883" spans="6:6" x14ac:dyDescent="0.3">
      <c r="F80883" s="193"/>
    </row>
    <row r="80884" spans="6:6" x14ac:dyDescent="0.3">
      <c r="F80884" s="193"/>
    </row>
    <row r="80885" spans="6:6" x14ac:dyDescent="0.3">
      <c r="F80885" s="193"/>
    </row>
    <row r="80886" spans="6:6" x14ac:dyDescent="0.3">
      <c r="F80886" s="193"/>
    </row>
    <row r="80887" spans="6:6" x14ac:dyDescent="0.3">
      <c r="F80887" s="193"/>
    </row>
    <row r="80888" spans="6:6" x14ac:dyDescent="0.3">
      <c r="F80888" s="193"/>
    </row>
    <row r="80889" spans="6:6" x14ac:dyDescent="0.3">
      <c r="F80889" s="193"/>
    </row>
    <row r="80890" spans="6:6" x14ac:dyDescent="0.3">
      <c r="F80890" s="193"/>
    </row>
    <row r="80891" spans="6:6" x14ac:dyDescent="0.3">
      <c r="F80891" s="193"/>
    </row>
    <row r="80892" spans="6:6" x14ac:dyDescent="0.3">
      <c r="F80892" s="193"/>
    </row>
    <row r="80893" spans="6:6" x14ac:dyDescent="0.3">
      <c r="F80893" s="193"/>
    </row>
    <row r="80894" spans="6:6" x14ac:dyDescent="0.3">
      <c r="F80894" s="193"/>
    </row>
    <row r="80895" spans="6:6" x14ac:dyDescent="0.3">
      <c r="F80895" s="193"/>
    </row>
    <row r="80896" spans="6:6" x14ac:dyDescent="0.3">
      <c r="F80896" s="193"/>
    </row>
    <row r="80897" spans="6:6" x14ac:dyDescent="0.3">
      <c r="F80897" s="193"/>
    </row>
    <row r="80898" spans="6:6" x14ac:dyDescent="0.3">
      <c r="F80898" s="193"/>
    </row>
    <row r="80899" spans="6:6" x14ac:dyDescent="0.3">
      <c r="F80899" s="193"/>
    </row>
    <row r="80900" spans="6:6" x14ac:dyDescent="0.3">
      <c r="F80900" s="193"/>
    </row>
    <row r="80901" spans="6:6" x14ac:dyDescent="0.3">
      <c r="F80901" s="193"/>
    </row>
    <row r="80902" spans="6:6" x14ac:dyDescent="0.3">
      <c r="F80902" s="193"/>
    </row>
    <row r="80903" spans="6:6" x14ac:dyDescent="0.3">
      <c r="F80903" s="193"/>
    </row>
    <row r="80904" spans="6:6" x14ac:dyDescent="0.3">
      <c r="F80904" s="193"/>
    </row>
    <row r="80905" spans="6:6" x14ac:dyDescent="0.3">
      <c r="F80905" s="193"/>
    </row>
    <row r="80906" spans="6:6" x14ac:dyDescent="0.3">
      <c r="F80906" s="193"/>
    </row>
    <row r="80907" spans="6:6" x14ac:dyDescent="0.3">
      <c r="F80907" s="193"/>
    </row>
    <row r="80908" spans="6:6" x14ac:dyDescent="0.3">
      <c r="F80908" s="193"/>
    </row>
    <row r="80909" spans="6:6" x14ac:dyDescent="0.3">
      <c r="F80909" s="193"/>
    </row>
    <row r="80910" spans="6:6" x14ac:dyDescent="0.3">
      <c r="F80910" s="193"/>
    </row>
    <row r="80911" spans="6:6" x14ac:dyDescent="0.3">
      <c r="F80911" s="193"/>
    </row>
    <row r="80912" spans="6:6" x14ac:dyDescent="0.3">
      <c r="F80912" s="193"/>
    </row>
    <row r="80913" spans="6:6" x14ac:dyDescent="0.3">
      <c r="F80913" s="193"/>
    </row>
    <row r="80914" spans="6:6" x14ac:dyDescent="0.3">
      <c r="F80914" s="193"/>
    </row>
    <row r="80915" spans="6:6" x14ac:dyDescent="0.3">
      <c r="F80915" s="193"/>
    </row>
    <row r="80916" spans="6:6" x14ac:dyDescent="0.3">
      <c r="F80916" s="193"/>
    </row>
    <row r="80917" spans="6:6" x14ac:dyDescent="0.3">
      <c r="F80917" s="193"/>
    </row>
    <row r="80918" spans="6:6" x14ac:dyDescent="0.3">
      <c r="F80918" s="193"/>
    </row>
    <row r="80919" spans="6:6" x14ac:dyDescent="0.3">
      <c r="F80919" s="193"/>
    </row>
    <row r="80920" spans="6:6" x14ac:dyDescent="0.3">
      <c r="F80920" s="193"/>
    </row>
    <row r="80921" spans="6:6" x14ac:dyDescent="0.3">
      <c r="F80921" s="193"/>
    </row>
    <row r="80922" spans="6:6" x14ac:dyDescent="0.3">
      <c r="F80922" s="193"/>
    </row>
    <row r="80923" spans="6:6" x14ac:dyDescent="0.3">
      <c r="F80923" s="193"/>
    </row>
    <row r="80924" spans="6:6" x14ac:dyDescent="0.3">
      <c r="F80924" s="193"/>
    </row>
    <row r="80925" spans="6:6" x14ac:dyDescent="0.3">
      <c r="F80925" s="193"/>
    </row>
    <row r="80926" spans="6:6" x14ac:dyDescent="0.3">
      <c r="F80926" s="193"/>
    </row>
    <row r="80927" spans="6:6" x14ac:dyDescent="0.3">
      <c r="F80927" s="193"/>
    </row>
    <row r="80928" spans="6:6" x14ac:dyDescent="0.3">
      <c r="F80928" s="193"/>
    </row>
    <row r="80929" spans="6:6" x14ac:dyDescent="0.3">
      <c r="F80929" s="193"/>
    </row>
    <row r="80930" spans="6:6" x14ac:dyDescent="0.3">
      <c r="F80930" s="193"/>
    </row>
    <row r="80931" spans="6:6" x14ac:dyDescent="0.3">
      <c r="F80931" s="193"/>
    </row>
    <row r="80932" spans="6:6" x14ac:dyDescent="0.3">
      <c r="F80932" s="193"/>
    </row>
    <row r="80933" spans="6:6" x14ac:dyDescent="0.3">
      <c r="F80933" s="193"/>
    </row>
    <row r="80934" spans="6:6" x14ac:dyDescent="0.3">
      <c r="F80934" s="193"/>
    </row>
    <row r="80935" spans="6:6" x14ac:dyDescent="0.3">
      <c r="F80935" s="193"/>
    </row>
    <row r="80936" spans="6:6" x14ac:dyDescent="0.3">
      <c r="F80936" s="193"/>
    </row>
    <row r="80937" spans="6:6" x14ac:dyDescent="0.3">
      <c r="F80937" s="193"/>
    </row>
    <row r="80938" spans="6:6" x14ac:dyDescent="0.3">
      <c r="F80938" s="193"/>
    </row>
    <row r="80939" spans="6:6" x14ac:dyDescent="0.3">
      <c r="F80939" s="193"/>
    </row>
    <row r="80940" spans="6:6" x14ac:dyDescent="0.3">
      <c r="F80940" s="193"/>
    </row>
    <row r="80941" spans="6:6" x14ac:dyDescent="0.3">
      <c r="F80941" s="193"/>
    </row>
    <row r="80942" spans="6:6" x14ac:dyDescent="0.3">
      <c r="F80942" s="193"/>
    </row>
    <row r="80943" spans="6:6" x14ac:dyDescent="0.3">
      <c r="F80943" s="193"/>
    </row>
    <row r="80944" spans="6:6" x14ac:dyDescent="0.3">
      <c r="F80944" s="193"/>
    </row>
    <row r="80945" spans="6:6" x14ac:dyDescent="0.3">
      <c r="F80945" s="193"/>
    </row>
    <row r="80946" spans="6:6" x14ac:dyDescent="0.3">
      <c r="F80946" s="193"/>
    </row>
    <row r="80947" spans="6:6" x14ac:dyDescent="0.3">
      <c r="F80947" s="193"/>
    </row>
    <row r="80948" spans="6:6" x14ac:dyDescent="0.3">
      <c r="F80948" s="193"/>
    </row>
    <row r="80949" spans="6:6" x14ac:dyDescent="0.3">
      <c r="F80949" s="193"/>
    </row>
    <row r="80950" spans="6:6" x14ac:dyDescent="0.3">
      <c r="F80950" s="193"/>
    </row>
    <row r="80951" spans="6:6" x14ac:dyDescent="0.3">
      <c r="F80951" s="193"/>
    </row>
    <row r="80952" spans="6:6" x14ac:dyDescent="0.3">
      <c r="F80952" s="193"/>
    </row>
    <row r="80953" spans="6:6" x14ac:dyDescent="0.3">
      <c r="F80953" s="193"/>
    </row>
    <row r="80954" spans="6:6" x14ac:dyDescent="0.3">
      <c r="F80954" s="193"/>
    </row>
    <row r="80955" spans="6:6" x14ac:dyDescent="0.3">
      <c r="F80955" s="193"/>
    </row>
    <row r="80956" spans="6:6" x14ac:dyDescent="0.3">
      <c r="F80956" s="193"/>
    </row>
    <row r="80957" spans="6:6" x14ac:dyDescent="0.3">
      <c r="F80957" s="193"/>
    </row>
    <row r="80958" spans="6:6" x14ac:dyDescent="0.3">
      <c r="F80958" s="193"/>
    </row>
    <row r="80959" spans="6:6" x14ac:dyDescent="0.3">
      <c r="F80959" s="193"/>
    </row>
    <row r="80960" spans="6:6" x14ac:dyDescent="0.3">
      <c r="F80960" s="193"/>
    </row>
    <row r="80961" spans="6:6" x14ac:dyDescent="0.3">
      <c r="F80961" s="193"/>
    </row>
    <row r="80962" spans="6:6" x14ac:dyDescent="0.3">
      <c r="F80962" s="193"/>
    </row>
    <row r="80963" spans="6:6" x14ac:dyDescent="0.3">
      <c r="F80963" s="193"/>
    </row>
    <row r="80964" spans="6:6" x14ac:dyDescent="0.3">
      <c r="F80964" s="193"/>
    </row>
    <row r="80965" spans="6:6" x14ac:dyDescent="0.3">
      <c r="F80965" s="193"/>
    </row>
    <row r="80966" spans="6:6" x14ac:dyDescent="0.3">
      <c r="F80966" s="193"/>
    </row>
    <row r="80967" spans="6:6" x14ac:dyDescent="0.3">
      <c r="F80967" s="193"/>
    </row>
    <row r="80968" spans="6:6" x14ac:dyDescent="0.3">
      <c r="F80968" s="193"/>
    </row>
    <row r="80969" spans="6:6" x14ac:dyDescent="0.3">
      <c r="F80969" s="193"/>
    </row>
    <row r="80970" spans="6:6" x14ac:dyDescent="0.3">
      <c r="F80970" s="193"/>
    </row>
    <row r="80971" spans="6:6" x14ac:dyDescent="0.3">
      <c r="F80971" s="193"/>
    </row>
    <row r="80972" spans="6:6" x14ac:dyDescent="0.3">
      <c r="F80972" s="193"/>
    </row>
    <row r="80973" spans="6:6" x14ac:dyDescent="0.3">
      <c r="F80973" s="193"/>
    </row>
    <row r="80974" spans="6:6" x14ac:dyDescent="0.3">
      <c r="F80974" s="193"/>
    </row>
    <row r="80975" spans="6:6" x14ac:dyDescent="0.3">
      <c r="F80975" s="193"/>
    </row>
    <row r="80976" spans="6:6" x14ac:dyDescent="0.3">
      <c r="F80976" s="193"/>
    </row>
    <row r="80977" spans="6:6" x14ac:dyDescent="0.3">
      <c r="F80977" s="193"/>
    </row>
    <row r="80978" spans="6:6" x14ac:dyDescent="0.3">
      <c r="F80978" s="193"/>
    </row>
    <row r="80979" spans="6:6" x14ac:dyDescent="0.3">
      <c r="F80979" s="193"/>
    </row>
    <row r="80980" spans="6:6" x14ac:dyDescent="0.3">
      <c r="F80980" s="193"/>
    </row>
    <row r="80981" spans="6:6" x14ac:dyDescent="0.3">
      <c r="F80981" s="193"/>
    </row>
    <row r="80982" spans="6:6" x14ac:dyDescent="0.3">
      <c r="F80982" s="193"/>
    </row>
    <row r="80983" spans="6:6" x14ac:dyDescent="0.3">
      <c r="F80983" s="193"/>
    </row>
    <row r="80984" spans="6:6" x14ac:dyDescent="0.3">
      <c r="F80984" s="193"/>
    </row>
    <row r="80985" spans="6:6" x14ac:dyDescent="0.3">
      <c r="F80985" s="193"/>
    </row>
    <row r="80986" spans="6:6" x14ac:dyDescent="0.3">
      <c r="F80986" s="193"/>
    </row>
    <row r="80987" spans="6:6" x14ac:dyDescent="0.3">
      <c r="F80987" s="193"/>
    </row>
    <row r="80988" spans="6:6" x14ac:dyDescent="0.3">
      <c r="F80988" s="193"/>
    </row>
    <row r="80989" spans="6:6" x14ac:dyDescent="0.3">
      <c r="F80989" s="193"/>
    </row>
    <row r="80990" spans="6:6" x14ac:dyDescent="0.3">
      <c r="F80990" s="193"/>
    </row>
    <row r="80991" spans="6:6" x14ac:dyDescent="0.3">
      <c r="F80991" s="193"/>
    </row>
    <row r="80992" spans="6:6" x14ac:dyDescent="0.3">
      <c r="F80992" s="193"/>
    </row>
    <row r="80993" spans="6:6" x14ac:dyDescent="0.3">
      <c r="F80993" s="193"/>
    </row>
    <row r="80994" spans="6:6" x14ac:dyDescent="0.3">
      <c r="F80994" s="193"/>
    </row>
    <row r="80995" spans="6:6" x14ac:dyDescent="0.3">
      <c r="F80995" s="193"/>
    </row>
    <row r="80996" spans="6:6" x14ac:dyDescent="0.3">
      <c r="F80996" s="193"/>
    </row>
    <row r="80997" spans="6:6" x14ac:dyDescent="0.3">
      <c r="F80997" s="193"/>
    </row>
    <row r="80998" spans="6:6" x14ac:dyDescent="0.3">
      <c r="F80998" s="193"/>
    </row>
    <row r="80999" spans="6:6" x14ac:dyDescent="0.3">
      <c r="F80999" s="193"/>
    </row>
    <row r="81000" spans="6:6" x14ac:dyDescent="0.3">
      <c r="F81000" s="193"/>
    </row>
    <row r="81001" spans="6:6" x14ac:dyDescent="0.3">
      <c r="F81001" s="193"/>
    </row>
    <row r="81002" spans="6:6" x14ac:dyDescent="0.3">
      <c r="F81002" s="193"/>
    </row>
    <row r="81003" spans="6:6" x14ac:dyDescent="0.3">
      <c r="F81003" s="193"/>
    </row>
    <row r="81004" spans="6:6" x14ac:dyDescent="0.3">
      <c r="F81004" s="193"/>
    </row>
    <row r="81005" spans="6:6" x14ac:dyDescent="0.3">
      <c r="F81005" s="193"/>
    </row>
    <row r="81006" spans="6:6" x14ac:dyDescent="0.3">
      <c r="F81006" s="193"/>
    </row>
    <row r="81007" spans="6:6" x14ac:dyDescent="0.3">
      <c r="F81007" s="193"/>
    </row>
    <row r="81008" spans="6:6" x14ac:dyDescent="0.3">
      <c r="F81008" s="193"/>
    </row>
    <row r="81009" spans="6:6" x14ac:dyDescent="0.3">
      <c r="F81009" s="193"/>
    </row>
    <row r="81010" spans="6:6" x14ac:dyDescent="0.3">
      <c r="F81010" s="193"/>
    </row>
    <row r="81011" spans="6:6" x14ac:dyDescent="0.3">
      <c r="F81011" s="193"/>
    </row>
    <row r="81012" spans="6:6" x14ac:dyDescent="0.3">
      <c r="F81012" s="193"/>
    </row>
    <row r="81013" spans="6:6" x14ac:dyDescent="0.3">
      <c r="F81013" s="193"/>
    </row>
    <row r="81014" spans="6:6" x14ac:dyDescent="0.3">
      <c r="F81014" s="193"/>
    </row>
    <row r="81015" spans="6:6" x14ac:dyDescent="0.3">
      <c r="F81015" s="193"/>
    </row>
    <row r="81016" spans="6:6" x14ac:dyDescent="0.3">
      <c r="F81016" s="193"/>
    </row>
    <row r="81017" spans="6:6" x14ac:dyDescent="0.3">
      <c r="F81017" s="193"/>
    </row>
    <row r="81018" spans="6:6" x14ac:dyDescent="0.3">
      <c r="F81018" s="193"/>
    </row>
    <row r="81019" spans="6:6" x14ac:dyDescent="0.3">
      <c r="F81019" s="193"/>
    </row>
    <row r="81020" spans="6:6" x14ac:dyDescent="0.3">
      <c r="F81020" s="193"/>
    </row>
    <row r="81021" spans="6:6" x14ac:dyDescent="0.3">
      <c r="F81021" s="193"/>
    </row>
    <row r="81022" spans="6:6" x14ac:dyDescent="0.3">
      <c r="F81022" s="193"/>
    </row>
    <row r="81023" spans="6:6" x14ac:dyDescent="0.3">
      <c r="F81023" s="193"/>
    </row>
    <row r="81024" spans="6:6" x14ac:dyDescent="0.3">
      <c r="F81024" s="193"/>
    </row>
    <row r="81025" spans="6:6" x14ac:dyDescent="0.3">
      <c r="F81025" s="193"/>
    </row>
    <row r="81026" spans="6:6" x14ac:dyDescent="0.3">
      <c r="F81026" s="193"/>
    </row>
    <row r="81027" spans="6:6" x14ac:dyDescent="0.3">
      <c r="F81027" s="193"/>
    </row>
    <row r="81028" spans="6:6" x14ac:dyDescent="0.3">
      <c r="F81028" s="193"/>
    </row>
    <row r="81029" spans="6:6" x14ac:dyDescent="0.3">
      <c r="F81029" s="193"/>
    </row>
    <row r="81030" spans="6:6" x14ac:dyDescent="0.3">
      <c r="F81030" s="193"/>
    </row>
    <row r="81031" spans="6:6" x14ac:dyDescent="0.3">
      <c r="F81031" s="193"/>
    </row>
    <row r="81032" spans="6:6" x14ac:dyDescent="0.3">
      <c r="F81032" s="193"/>
    </row>
    <row r="81033" spans="6:6" x14ac:dyDescent="0.3">
      <c r="F81033" s="193"/>
    </row>
    <row r="81034" spans="6:6" x14ac:dyDescent="0.3">
      <c r="F81034" s="193"/>
    </row>
    <row r="81035" spans="6:6" x14ac:dyDescent="0.3">
      <c r="F81035" s="193"/>
    </row>
    <row r="81036" spans="6:6" x14ac:dyDescent="0.3">
      <c r="F81036" s="193"/>
    </row>
    <row r="81037" spans="6:6" x14ac:dyDescent="0.3">
      <c r="F81037" s="193"/>
    </row>
    <row r="81038" spans="6:6" x14ac:dyDescent="0.3">
      <c r="F81038" s="193"/>
    </row>
    <row r="81039" spans="6:6" x14ac:dyDescent="0.3">
      <c r="F81039" s="193"/>
    </row>
    <row r="81040" spans="6:6" x14ac:dyDescent="0.3">
      <c r="F81040" s="193"/>
    </row>
    <row r="81041" spans="6:6" x14ac:dyDescent="0.3">
      <c r="F81041" s="193"/>
    </row>
    <row r="81042" spans="6:6" x14ac:dyDescent="0.3">
      <c r="F81042" s="193"/>
    </row>
    <row r="81043" spans="6:6" x14ac:dyDescent="0.3">
      <c r="F81043" s="193"/>
    </row>
    <row r="81044" spans="6:6" x14ac:dyDescent="0.3">
      <c r="F81044" s="193"/>
    </row>
    <row r="81045" spans="6:6" x14ac:dyDescent="0.3">
      <c r="F81045" s="193"/>
    </row>
    <row r="81046" spans="6:6" x14ac:dyDescent="0.3">
      <c r="F81046" s="193"/>
    </row>
    <row r="81047" spans="6:6" x14ac:dyDescent="0.3">
      <c r="F81047" s="193"/>
    </row>
    <row r="81048" spans="6:6" x14ac:dyDescent="0.3">
      <c r="F81048" s="193"/>
    </row>
    <row r="81049" spans="6:6" x14ac:dyDescent="0.3">
      <c r="F81049" s="193"/>
    </row>
    <row r="81050" spans="6:6" x14ac:dyDescent="0.3">
      <c r="F81050" s="193"/>
    </row>
    <row r="81051" spans="6:6" x14ac:dyDescent="0.3">
      <c r="F81051" s="193"/>
    </row>
    <row r="81052" spans="6:6" x14ac:dyDescent="0.3">
      <c r="F81052" s="193"/>
    </row>
    <row r="81053" spans="6:6" x14ac:dyDescent="0.3">
      <c r="F81053" s="193"/>
    </row>
    <row r="81054" spans="6:6" x14ac:dyDescent="0.3">
      <c r="F81054" s="193"/>
    </row>
    <row r="81055" spans="6:6" x14ac:dyDescent="0.3">
      <c r="F81055" s="193"/>
    </row>
    <row r="81056" spans="6:6" x14ac:dyDescent="0.3">
      <c r="F81056" s="193"/>
    </row>
    <row r="81057" spans="6:6" x14ac:dyDescent="0.3">
      <c r="F81057" s="193"/>
    </row>
    <row r="81058" spans="6:6" x14ac:dyDescent="0.3">
      <c r="F81058" s="193"/>
    </row>
    <row r="81059" spans="6:6" x14ac:dyDescent="0.3">
      <c r="F81059" s="193"/>
    </row>
    <row r="81060" spans="6:6" x14ac:dyDescent="0.3">
      <c r="F81060" s="193"/>
    </row>
    <row r="81061" spans="6:6" x14ac:dyDescent="0.3">
      <c r="F81061" s="193"/>
    </row>
    <row r="81062" spans="6:6" x14ac:dyDescent="0.3">
      <c r="F81062" s="193"/>
    </row>
    <row r="81063" spans="6:6" x14ac:dyDescent="0.3">
      <c r="F81063" s="193"/>
    </row>
    <row r="81064" spans="6:6" x14ac:dyDescent="0.3">
      <c r="F81064" s="193"/>
    </row>
    <row r="81065" spans="6:6" x14ac:dyDescent="0.3">
      <c r="F81065" s="193"/>
    </row>
    <row r="81066" spans="6:6" x14ac:dyDescent="0.3">
      <c r="F81066" s="193"/>
    </row>
    <row r="81067" spans="6:6" x14ac:dyDescent="0.3">
      <c r="F81067" s="193"/>
    </row>
    <row r="81068" spans="6:6" x14ac:dyDescent="0.3">
      <c r="F81068" s="193"/>
    </row>
    <row r="81069" spans="6:6" x14ac:dyDescent="0.3">
      <c r="F81069" s="193"/>
    </row>
    <row r="81070" spans="6:6" x14ac:dyDescent="0.3">
      <c r="F81070" s="193"/>
    </row>
    <row r="81071" spans="6:6" x14ac:dyDescent="0.3">
      <c r="F81071" s="193"/>
    </row>
    <row r="81072" spans="6:6" x14ac:dyDescent="0.3">
      <c r="F81072" s="193"/>
    </row>
    <row r="81073" spans="6:6" x14ac:dyDescent="0.3">
      <c r="F81073" s="193"/>
    </row>
    <row r="81074" spans="6:6" x14ac:dyDescent="0.3">
      <c r="F81074" s="193"/>
    </row>
    <row r="81075" spans="6:6" x14ac:dyDescent="0.3">
      <c r="F81075" s="193"/>
    </row>
    <row r="81076" spans="6:6" x14ac:dyDescent="0.3">
      <c r="F81076" s="193"/>
    </row>
    <row r="81077" spans="6:6" x14ac:dyDescent="0.3">
      <c r="F81077" s="193"/>
    </row>
    <row r="81078" spans="6:6" x14ac:dyDescent="0.3">
      <c r="F81078" s="193"/>
    </row>
    <row r="81079" spans="6:6" x14ac:dyDescent="0.3">
      <c r="F81079" s="193"/>
    </row>
    <row r="81080" spans="6:6" x14ac:dyDescent="0.3">
      <c r="F81080" s="193"/>
    </row>
    <row r="81081" spans="6:6" x14ac:dyDescent="0.3">
      <c r="F81081" s="193"/>
    </row>
    <row r="81082" spans="6:6" x14ac:dyDescent="0.3">
      <c r="F81082" s="193"/>
    </row>
    <row r="81083" spans="6:6" x14ac:dyDescent="0.3">
      <c r="F81083" s="193"/>
    </row>
    <row r="81084" spans="6:6" x14ac:dyDescent="0.3">
      <c r="F81084" s="193"/>
    </row>
    <row r="81085" spans="6:6" x14ac:dyDescent="0.3">
      <c r="F81085" s="193"/>
    </row>
    <row r="81086" spans="6:6" x14ac:dyDescent="0.3">
      <c r="F81086" s="193"/>
    </row>
    <row r="81087" spans="6:6" x14ac:dyDescent="0.3">
      <c r="F81087" s="193"/>
    </row>
    <row r="81088" spans="6:6" x14ac:dyDescent="0.3">
      <c r="F81088" s="193"/>
    </row>
    <row r="81089" spans="6:6" x14ac:dyDescent="0.3">
      <c r="F81089" s="193"/>
    </row>
    <row r="81090" spans="6:6" x14ac:dyDescent="0.3">
      <c r="F81090" s="193"/>
    </row>
    <row r="81091" spans="6:6" x14ac:dyDescent="0.3">
      <c r="F81091" s="193"/>
    </row>
    <row r="81092" spans="6:6" x14ac:dyDescent="0.3">
      <c r="F81092" s="193"/>
    </row>
    <row r="81093" spans="6:6" x14ac:dyDescent="0.3">
      <c r="F81093" s="193"/>
    </row>
    <row r="81094" spans="6:6" x14ac:dyDescent="0.3">
      <c r="F81094" s="193"/>
    </row>
    <row r="81095" spans="6:6" x14ac:dyDescent="0.3">
      <c r="F81095" s="193"/>
    </row>
    <row r="81096" spans="6:6" x14ac:dyDescent="0.3">
      <c r="F81096" s="193"/>
    </row>
    <row r="81097" spans="6:6" x14ac:dyDescent="0.3">
      <c r="F81097" s="193"/>
    </row>
    <row r="81098" spans="6:6" x14ac:dyDescent="0.3">
      <c r="F81098" s="193"/>
    </row>
    <row r="81099" spans="6:6" x14ac:dyDescent="0.3">
      <c r="F81099" s="193"/>
    </row>
    <row r="81100" spans="6:6" x14ac:dyDescent="0.3">
      <c r="F81100" s="193"/>
    </row>
    <row r="81101" spans="6:6" x14ac:dyDescent="0.3">
      <c r="F81101" s="193"/>
    </row>
    <row r="81102" spans="6:6" x14ac:dyDescent="0.3">
      <c r="F81102" s="193"/>
    </row>
    <row r="81103" spans="6:6" x14ac:dyDescent="0.3">
      <c r="F81103" s="193"/>
    </row>
    <row r="81104" spans="6:6" x14ac:dyDescent="0.3">
      <c r="F81104" s="193"/>
    </row>
    <row r="81105" spans="6:6" x14ac:dyDescent="0.3">
      <c r="F81105" s="193"/>
    </row>
    <row r="81106" spans="6:6" x14ac:dyDescent="0.3">
      <c r="F81106" s="193"/>
    </row>
    <row r="81107" spans="6:6" x14ac:dyDescent="0.3">
      <c r="F81107" s="193"/>
    </row>
    <row r="81108" spans="6:6" x14ac:dyDescent="0.3">
      <c r="F81108" s="193"/>
    </row>
    <row r="81109" spans="6:6" x14ac:dyDescent="0.3">
      <c r="F81109" s="193"/>
    </row>
    <row r="81110" spans="6:6" x14ac:dyDescent="0.3">
      <c r="F81110" s="193"/>
    </row>
    <row r="81111" spans="6:6" x14ac:dyDescent="0.3">
      <c r="F81111" s="193"/>
    </row>
    <row r="81112" spans="6:6" x14ac:dyDescent="0.3">
      <c r="F81112" s="193"/>
    </row>
    <row r="81113" spans="6:6" x14ac:dyDescent="0.3">
      <c r="F81113" s="193"/>
    </row>
    <row r="81114" spans="6:6" x14ac:dyDescent="0.3">
      <c r="F81114" s="193"/>
    </row>
    <row r="81115" spans="6:6" x14ac:dyDescent="0.3">
      <c r="F81115" s="193"/>
    </row>
    <row r="81116" spans="6:6" x14ac:dyDescent="0.3">
      <c r="F81116" s="193"/>
    </row>
    <row r="81117" spans="6:6" x14ac:dyDescent="0.3">
      <c r="F81117" s="193"/>
    </row>
    <row r="81118" spans="6:6" x14ac:dyDescent="0.3">
      <c r="F81118" s="193"/>
    </row>
    <row r="81119" spans="6:6" x14ac:dyDescent="0.3">
      <c r="F81119" s="193"/>
    </row>
    <row r="81120" spans="6:6" x14ac:dyDescent="0.3">
      <c r="F81120" s="193"/>
    </row>
    <row r="81121" spans="6:6" x14ac:dyDescent="0.3">
      <c r="F81121" s="193"/>
    </row>
    <row r="81122" spans="6:6" x14ac:dyDescent="0.3">
      <c r="F81122" s="193"/>
    </row>
    <row r="81123" spans="6:6" x14ac:dyDescent="0.3">
      <c r="F81123" s="193"/>
    </row>
    <row r="81124" spans="6:6" x14ac:dyDescent="0.3">
      <c r="F81124" s="193"/>
    </row>
    <row r="81125" spans="6:6" x14ac:dyDescent="0.3">
      <c r="F81125" s="193"/>
    </row>
    <row r="81126" spans="6:6" x14ac:dyDescent="0.3">
      <c r="F81126" s="193"/>
    </row>
    <row r="81127" spans="6:6" x14ac:dyDescent="0.3">
      <c r="F81127" s="193"/>
    </row>
    <row r="81128" spans="6:6" x14ac:dyDescent="0.3">
      <c r="F81128" s="193"/>
    </row>
    <row r="81129" spans="6:6" x14ac:dyDescent="0.3">
      <c r="F81129" s="193"/>
    </row>
    <row r="81130" spans="6:6" x14ac:dyDescent="0.3">
      <c r="F81130" s="193"/>
    </row>
    <row r="81131" spans="6:6" x14ac:dyDescent="0.3">
      <c r="F81131" s="193"/>
    </row>
    <row r="81132" spans="6:6" x14ac:dyDescent="0.3">
      <c r="F81132" s="193"/>
    </row>
    <row r="81133" spans="6:6" x14ac:dyDescent="0.3">
      <c r="F81133" s="193"/>
    </row>
    <row r="81134" spans="6:6" x14ac:dyDescent="0.3">
      <c r="F81134" s="193"/>
    </row>
    <row r="81135" spans="6:6" x14ac:dyDescent="0.3">
      <c r="F81135" s="193"/>
    </row>
    <row r="81136" spans="6:6" x14ac:dyDescent="0.3">
      <c r="F81136" s="193"/>
    </row>
    <row r="81137" spans="6:6" x14ac:dyDescent="0.3">
      <c r="F81137" s="193"/>
    </row>
    <row r="81138" spans="6:6" x14ac:dyDescent="0.3">
      <c r="F81138" s="193"/>
    </row>
    <row r="81139" spans="6:6" x14ac:dyDescent="0.3">
      <c r="F81139" s="193"/>
    </row>
    <row r="81140" spans="6:6" x14ac:dyDescent="0.3">
      <c r="F81140" s="193"/>
    </row>
    <row r="81141" spans="6:6" x14ac:dyDescent="0.3">
      <c r="F81141" s="193"/>
    </row>
    <row r="81142" spans="6:6" x14ac:dyDescent="0.3">
      <c r="F81142" s="193"/>
    </row>
    <row r="81143" spans="6:6" x14ac:dyDescent="0.3">
      <c r="F81143" s="193"/>
    </row>
    <row r="81144" spans="6:6" x14ac:dyDescent="0.3">
      <c r="F81144" s="193"/>
    </row>
    <row r="81145" spans="6:6" x14ac:dyDescent="0.3">
      <c r="F81145" s="193"/>
    </row>
    <row r="81146" spans="6:6" x14ac:dyDescent="0.3">
      <c r="F81146" s="193"/>
    </row>
    <row r="81147" spans="6:6" x14ac:dyDescent="0.3">
      <c r="F81147" s="193"/>
    </row>
    <row r="81148" spans="6:6" x14ac:dyDescent="0.3">
      <c r="F81148" s="193"/>
    </row>
    <row r="81149" spans="6:6" x14ac:dyDescent="0.3">
      <c r="F81149" s="193"/>
    </row>
    <row r="81150" spans="6:6" x14ac:dyDescent="0.3">
      <c r="F81150" s="193"/>
    </row>
    <row r="81151" spans="6:6" x14ac:dyDescent="0.3">
      <c r="F81151" s="193"/>
    </row>
    <row r="81152" spans="6:6" x14ac:dyDescent="0.3">
      <c r="F81152" s="193"/>
    </row>
    <row r="81153" spans="6:6" x14ac:dyDescent="0.3">
      <c r="F81153" s="193"/>
    </row>
    <row r="81154" spans="6:6" x14ac:dyDescent="0.3">
      <c r="F81154" s="193"/>
    </row>
    <row r="81155" spans="6:6" x14ac:dyDescent="0.3">
      <c r="F81155" s="193"/>
    </row>
    <row r="81156" spans="6:6" x14ac:dyDescent="0.3">
      <c r="F81156" s="193"/>
    </row>
    <row r="81157" spans="6:6" x14ac:dyDescent="0.3">
      <c r="F81157" s="193"/>
    </row>
    <row r="81158" spans="6:6" x14ac:dyDescent="0.3">
      <c r="F81158" s="193"/>
    </row>
    <row r="81159" spans="6:6" x14ac:dyDescent="0.3">
      <c r="F81159" s="193"/>
    </row>
    <row r="81160" spans="6:6" x14ac:dyDescent="0.3">
      <c r="F81160" s="193"/>
    </row>
    <row r="81161" spans="6:6" x14ac:dyDescent="0.3">
      <c r="F81161" s="193"/>
    </row>
    <row r="81162" spans="6:6" x14ac:dyDescent="0.3">
      <c r="F81162" s="193"/>
    </row>
    <row r="81163" spans="6:6" x14ac:dyDescent="0.3">
      <c r="F81163" s="193"/>
    </row>
    <row r="81164" spans="6:6" x14ac:dyDescent="0.3">
      <c r="F81164" s="193"/>
    </row>
    <row r="81165" spans="6:6" x14ac:dyDescent="0.3">
      <c r="F81165" s="193"/>
    </row>
    <row r="81166" spans="6:6" x14ac:dyDescent="0.3">
      <c r="F81166" s="193"/>
    </row>
    <row r="81167" spans="6:6" x14ac:dyDescent="0.3">
      <c r="F81167" s="193"/>
    </row>
    <row r="81168" spans="6:6" x14ac:dyDescent="0.3">
      <c r="F81168" s="193"/>
    </row>
    <row r="81169" spans="6:6" x14ac:dyDescent="0.3">
      <c r="F81169" s="193"/>
    </row>
    <row r="81170" spans="6:6" x14ac:dyDescent="0.3">
      <c r="F81170" s="193"/>
    </row>
    <row r="81171" spans="6:6" x14ac:dyDescent="0.3">
      <c r="F81171" s="193"/>
    </row>
    <row r="81172" spans="6:6" x14ac:dyDescent="0.3">
      <c r="F81172" s="193"/>
    </row>
    <row r="81173" spans="6:6" x14ac:dyDescent="0.3">
      <c r="F81173" s="193"/>
    </row>
    <row r="81174" spans="6:6" x14ac:dyDescent="0.3">
      <c r="F81174" s="193"/>
    </row>
    <row r="81175" spans="6:6" x14ac:dyDescent="0.3">
      <c r="F81175" s="193"/>
    </row>
    <row r="81176" spans="6:6" x14ac:dyDescent="0.3">
      <c r="F81176" s="193"/>
    </row>
    <row r="81177" spans="6:6" x14ac:dyDescent="0.3">
      <c r="F81177" s="193"/>
    </row>
    <row r="81178" spans="6:6" x14ac:dyDescent="0.3">
      <c r="F81178" s="193"/>
    </row>
    <row r="81179" spans="6:6" x14ac:dyDescent="0.3">
      <c r="F81179" s="193"/>
    </row>
    <row r="81180" spans="6:6" x14ac:dyDescent="0.3">
      <c r="F81180" s="193"/>
    </row>
    <row r="81181" spans="6:6" x14ac:dyDescent="0.3">
      <c r="F81181" s="193"/>
    </row>
    <row r="81182" spans="6:6" x14ac:dyDescent="0.3">
      <c r="F81182" s="193"/>
    </row>
    <row r="81183" spans="6:6" x14ac:dyDescent="0.3">
      <c r="F81183" s="193"/>
    </row>
    <row r="81184" spans="6:6" x14ac:dyDescent="0.3">
      <c r="F81184" s="193"/>
    </row>
    <row r="81185" spans="6:6" x14ac:dyDescent="0.3">
      <c r="F81185" s="193"/>
    </row>
    <row r="81186" spans="6:6" x14ac:dyDescent="0.3">
      <c r="F81186" s="193"/>
    </row>
    <row r="81187" spans="6:6" x14ac:dyDescent="0.3">
      <c r="F81187" s="193"/>
    </row>
    <row r="81188" spans="6:6" x14ac:dyDescent="0.3">
      <c r="F81188" s="193"/>
    </row>
    <row r="81189" spans="6:6" x14ac:dyDescent="0.3">
      <c r="F81189" s="193"/>
    </row>
    <row r="81190" spans="6:6" x14ac:dyDescent="0.3">
      <c r="F81190" s="193"/>
    </row>
    <row r="81191" spans="6:6" x14ac:dyDescent="0.3">
      <c r="F81191" s="193"/>
    </row>
    <row r="81192" spans="6:6" x14ac:dyDescent="0.3">
      <c r="F81192" s="193"/>
    </row>
    <row r="81193" spans="6:6" x14ac:dyDescent="0.3">
      <c r="F81193" s="193"/>
    </row>
    <row r="81194" spans="6:6" x14ac:dyDescent="0.3">
      <c r="F81194" s="193"/>
    </row>
    <row r="81195" spans="6:6" x14ac:dyDescent="0.3">
      <c r="F81195" s="193"/>
    </row>
    <row r="81196" spans="6:6" x14ac:dyDescent="0.3">
      <c r="F81196" s="193"/>
    </row>
    <row r="81197" spans="6:6" x14ac:dyDescent="0.3">
      <c r="F81197" s="193"/>
    </row>
    <row r="81198" spans="6:6" x14ac:dyDescent="0.3">
      <c r="F81198" s="193"/>
    </row>
    <row r="81199" spans="6:6" x14ac:dyDescent="0.3">
      <c r="F81199" s="193"/>
    </row>
    <row r="81200" spans="6:6" x14ac:dyDescent="0.3">
      <c r="F81200" s="193"/>
    </row>
    <row r="81201" spans="6:6" x14ac:dyDescent="0.3">
      <c r="F81201" s="193"/>
    </row>
    <row r="81202" spans="6:6" x14ac:dyDescent="0.3">
      <c r="F81202" s="193"/>
    </row>
    <row r="81203" spans="6:6" x14ac:dyDescent="0.3">
      <c r="F81203" s="193"/>
    </row>
    <row r="81204" spans="6:6" x14ac:dyDescent="0.3">
      <c r="F81204" s="193"/>
    </row>
    <row r="81205" spans="6:6" x14ac:dyDescent="0.3">
      <c r="F81205" s="193"/>
    </row>
    <row r="81206" spans="6:6" x14ac:dyDescent="0.3">
      <c r="F81206" s="193"/>
    </row>
    <row r="81207" spans="6:6" x14ac:dyDescent="0.3">
      <c r="F81207" s="193"/>
    </row>
    <row r="81208" spans="6:6" x14ac:dyDescent="0.3">
      <c r="F81208" s="193"/>
    </row>
    <row r="81209" spans="6:6" x14ac:dyDescent="0.3">
      <c r="F81209" s="193"/>
    </row>
    <row r="81210" spans="6:6" x14ac:dyDescent="0.3">
      <c r="F81210" s="193"/>
    </row>
    <row r="81211" spans="6:6" x14ac:dyDescent="0.3">
      <c r="F81211" s="193"/>
    </row>
    <row r="81212" spans="6:6" x14ac:dyDescent="0.3">
      <c r="F81212" s="193"/>
    </row>
    <row r="81213" spans="6:6" x14ac:dyDescent="0.3">
      <c r="F81213" s="193"/>
    </row>
    <row r="81214" spans="6:6" x14ac:dyDescent="0.3">
      <c r="F81214" s="193"/>
    </row>
    <row r="81215" spans="6:6" x14ac:dyDescent="0.3">
      <c r="F81215" s="193"/>
    </row>
    <row r="81216" spans="6:6" x14ac:dyDescent="0.3">
      <c r="F81216" s="193"/>
    </row>
    <row r="81217" spans="6:6" x14ac:dyDescent="0.3">
      <c r="F81217" s="193"/>
    </row>
    <row r="81218" spans="6:6" x14ac:dyDescent="0.3">
      <c r="F81218" s="193"/>
    </row>
    <row r="81219" spans="6:6" x14ac:dyDescent="0.3">
      <c r="F81219" s="193"/>
    </row>
    <row r="81220" spans="6:6" x14ac:dyDescent="0.3">
      <c r="F81220" s="193"/>
    </row>
    <row r="81221" spans="6:6" x14ac:dyDescent="0.3">
      <c r="F81221" s="193"/>
    </row>
    <row r="81222" spans="6:6" x14ac:dyDescent="0.3">
      <c r="F81222" s="193"/>
    </row>
    <row r="81223" spans="6:6" x14ac:dyDescent="0.3">
      <c r="F81223" s="193"/>
    </row>
    <row r="81224" spans="6:6" x14ac:dyDescent="0.3">
      <c r="F81224" s="193"/>
    </row>
    <row r="81225" spans="6:6" x14ac:dyDescent="0.3">
      <c r="F81225" s="193"/>
    </row>
    <row r="81226" spans="6:6" x14ac:dyDescent="0.3">
      <c r="F81226" s="193"/>
    </row>
    <row r="81227" spans="6:6" x14ac:dyDescent="0.3">
      <c r="F81227" s="193"/>
    </row>
    <row r="81228" spans="6:6" x14ac:dyDescent="0.3">
      <c r="F81228" s="193"/>
    </row>
    <row r="81229" spans="6:6" x14ac:dyDescent="0.3">
      <c r="F81229" s="193"/>
    </row>
    <row r="81230" spans="6:6" x14ac:dyDescent="0.3">
      <c r="F81230" s="193"/>
    </row>
    <row r="81231" spans="6:6" x14ac:dyDescent="0.3">
      <c r="F81231" s="193"/>
    </row>
    <row r="81232" spans="6:6" x14ac:dyDescent="0.3">
      <c r="F81232" s="193"/>
    </row>
    <row r="81233" spans="6:6" x14ac:dyDescent="0.3">
      <c r="F81233" s="193"/>
    </row>
    <row r="81234" spans="6:6" x14ac:dyDescent="0.3">
      <c r="F81234" s="193"/>
    </row>
    <row r="81235" spans="6:6" x14ac:dyDescent="0.3">
      <c r="F81235" s="193"/>
    </row>
    <row r="81236" spans="6:6" x14ac:dyDescent="0.3">
      <c r="F81236" s="193"/>
    </row>
    <row r="81237" spans="6:6" x14ac:dyDescent="0.3">
      <c r="F81237" s="193"/>
    </row>
    <row r="81238" spans="6:6" x14ac:dyDescent="0.3">
      <c r="F81238" s="193"/>
    </row>
    <row r="81239" spans="6:6" x14ac:dyDescent="0.3">
      <c r="F81239" s="193"/>
    </row>
    <row r="81240" spans="6:6" x14ac:dyDescent="0.3">
      <c r="F81240" s="193"/>
    </row>
    <row r="81241" spans="6:6" x14ac:dyDescent="0.3">
      <c r="F81241" s="193"/>
    </row>
    <row r="81242" spans="6:6" x14ac:dyDescent="0.3">
      <c r="F81242" s="193"/>
    </row>
    <row r="81243" spans="6:6" x14ac:dyDescent="0.3">
      <c r="F81243" s="193"/>
    </row>
    <row r="81244" spans="6:6" x14ac:dyDescent="0.3">
      <c r="F81244" s="193"/>
    </row>
    <row r="81245" spans="6:6" x14ac:dyDescent="0.3">
      <c r="F81245" s="193"/>
    </row>
    <row r="81246" spans="6:6" x14ac:dyDescent="0.3">
      <c r="F81246" s="193"/>
    </row>
    <row r="81247" spans="6:6" x14ac:dyDescent="0.3">
      <c r="F81247" s="193"/>
    </row>
    <row r="81248" spans="6:6" x14ac:dyDescent="0.3">
      <c r="F81248" s="193"/>
    </row>
    <row r="81249" spans="6:6" x14ac:dyDescent="0.3">
      <c r="F81249" s="193"/>
    </row>
    <row r="81250" spans="6:6" x14ac:dyDescent="0.3">
      <c r="F81250" s="193"/>
    </row>
    <row r="81251" spans="6:6" x14ac:dyDescent="0.3">
      <c r="F81251" s="193"/>
    </row>
    <row r="81252" spans="6:6" x14ac:dyDescent="0.3">
      <c r="F81252" s="193"/>
    </row>
    <row r="81253" spans="6:6" x14ac:dyDescent="0.3">
      <c r="F81253" s="193"/>
    </row>
    <row r="81254" spans="6:6" x14ac:dyDescent="0.3">
      <c r="F81254" s="193"/>
    </row>
    <row r="81255" spans="6:6" x14ac:dyDescent="0.3">
      <c r="F81255" s="193"/>
    </row>
    <row r="81256" spans="6:6" x14ac:dyDescent="0.3">
      <c r="F81256" s="193"/>
    </row>
    <row r="81257" spans="6:6" x14ac:dyDescent="0.3">
      <c r="F81257" s="193"/>
    </row>
    <row r="81258" spans="6:6" x14ac:dyDescent="0.3">
      <c r="F81258" s="193"/>
    </row>
    <row r="81259" spans="6:6" x14ac:dyDescent="0.3">
      <c r="F81259" s="193"/>
    </row>
    <row r="81260" spans="6:6" x14ac:dyDescent="0.3">
      <c r="F81260" s="193"/>
    </row>
    <row r="81261" spans="6:6" x14ac:dyDescent="0.3">
      <c r="F81261" s="193"/>
    </row>
    <row r="81262" spans="6:6" x14ac:dyDescent="0.3">
      <c r="F81262" s="193"/>
    </row>
    <row r="81263" spans="6:6" x14ac:dyDescent="0.3">
      <c r="F81263" s="193"/>
    </row>
    <row r="81264" spans="6:6" x14ac:dyDescent="0.3">
      <c r="F81264" s="193"/>
    </row>
    <row r="81265" spans="6:6" x14ac:dyDescent="0.3">
      <c r="F81265" s="193"/>
    </row>
    <row r="81266" spans="6:6" x14ac:dyDescent="0.3">
      <c r="F81266" s="193"/>
    </row>
    <row r="81267" spans="6:6" x14ac:dyDescent="0.3">
      <c r="F81267" s="193"/>
    </row>
    <row r="81268" spans="6:6" x14ac:dyDescent="0.3">
      <c r="F81268" s="193"/>
    </row>
    <row r="81269" spans="6:6" x14ac:dyDescent="0.3">
      <c r="F81269" s="193"/>
    </row>
    <row r="81270" spans="6:6" x14ac:dyDescent="0.3">
      <c r="F81270" s="193"/>
    </row>
    <row r="81271" spans="6:6" x14ac:dyDescent="0.3">
      <c r="F81271" s="193"/>
    </row>
    <row r="81272" spans="6:6" x14ac:dyDescent="0.3">
      <c r="F81272" s="193"/>
    </row>
    <row r="81273" spans="6:6" x14ac:dyDescent="0.3">
      <c r="F81273" s="193"/>
    </row>
    <row r="81274" spans="6:6" x14ac:dyDescent="0.3">
      <c r="F81274" s="193"/>
    </row>
    <row r="81275" spans="6:6" x14ac:dyDescent="0.3">
      <c r="F81275" s="193"/>
    </row>
    <row r="81276" spans="6:6" x14ac:dyDescent="0.3">
      <c r="F81276" s="193"/>
    </row>
    <row r="81277" spans="6:6" x14ac:dyDescent="0.3">
      <c r="F81277" s="193"/>
    </row>
    <row r="81278" spans="6:6" x14ac:dyDescent="0.3">
      <c r="F81278" s="193"/>
    </row>
    <row r="81279" spans="6:6" x14ac:dyDescent="0.3">
      <c r="F81279" s="193"/>
    </row>
    <row r="81280" spans="6:6" x14ac:dyDescent="0.3">
      <c r="F81280" s="193"/>
    </row>
    <row r="81281" spans="6:6" x14ac:dyDescent="0.3">
      <c r="F81281" s="193"/>
    </row>
    <row r="81282" spans="6:6" x14ac:dyDescent="0.3">
      <c r="F81282" s="193"/>
    </row>
    <row r="81283" spans="6:6" x14ac:dyDescent="0.3">
      <c r="F81283" s="193"/>
    </row>
    <row r="81284" spans="6:6" x14ac:dyDescent="0.3">
      <c r="F81284" s="193"/>
    </row>
    <row r="81285" spans="6:6" x14ac:dyDescent="0.3">
      <c r="F81285" s="193"/>
    </row>
    <row r="81286" spans="6:6" x14ac:dyDescent="0.3">
      <c r="F81286" s="193"/>
    </row>
    <row r="81287" spans="6:6" x14ac:dyDescent="0.3">
      <c r="F81287" s="193"/>
    </row>
    <row r="81288" spans="6:6" x14ac:dyDescent="0.3">
      <c r="F81288" s="193"/>
    </row>
    <row r="81289" spans="6:6" x14ac:dyDescent="0.3">
      <c r="F81289" s="193"/>
    </row>
    <row r="81290" spans="6:6" x14ac:dyDescent="0.3">
      <c r="F81290" s="193"/>
    </row>
    <row r="81291" spans="6:6" x14ac:dyDescent="0.3">
      <c r="F81291" s="193"/>
    </row>
    <row r="81292" spans="6:6" x14ac:dyDescent="0.3">
      <c r="F81292" s="193"/>
    </row>
    <row r="81293" spans="6:6" x14ac:dyDescent="0.3">
      <c r="F81293" s="193"/>
    </row>
    <row r="81294" spans="6:6" x14ac:dyDescent="0.3">
      <c r="F81294" s="193"/>
    </row>
    <row r="81295" spans="6:6" x14ac:dyDescent="0.3">
      <c r="F81295" s="193"/>
    </row>
    <row r="81296" spans="6:6" x14ac:dyDescent="0.3">
      <c r="F81296" s="193"/>
    </row>
    <row r="81297" spans="6:6" x14ac:dyDescent="0.3">
      <c r="F81297" s="193"/>
    </row>
    <row r="81298" spans="6:6" x14ac:dyDescent="0.3">
      <c r="F81298" s="193"/>
    </row>
    <row r="81299" spans="6:6" x14ac:dyDescent="0.3">
      <c r="F81299" s="193"/>
    </row>
    <row r="81300" spans="6:6" x14ac:dyDescent="0.3">
      <c r="F81300" s="193"/>
    </row>
    <row r="81301" spans="6:6" x14ac:dyDescent="0.3">
      <c r="F81301" s="193"/>
    </row>
    <row r="81302" spans="6:6" x14ac:dyDescent="0.3">
      <c r="F81302" s="193"/>
    </row>
    <row r="81303" spans="6:6" x14ac:dyDescent="0.3">
      <c r="F81303" s="193"/>
    </row>
    <row r="81304" spans="6:6" x14ac:dyDescent="0.3">
      <c r="F81304" s="193"/>
    </row>
    <row r="81305" spans="6:6" x14ac:dyDescent="0.3">
      <c r="F81305" s="193"/>
    </row>
    <row r="81306" spans="6:6" x14ac:dyDescent="0.3">
      <c r="F81306" s="193"/>
    </row>
    <row r="81307" spans="6:6" x14ac:dyDescent="0.3">
      <c r="F81307" s="193"/>
    </row>
    <row r="81308" spans="6:6" x14ac:dyDescent="0.3">
      <c r="F81308" s="193"/>
    </row>
    <row r="81309" spans="6:6" x14ac:dyDescent="0.3">
      <c r="F81309" s="193"/>
    </row>
    <row r="81310" spans="6:6" x14ac:dyDescent="0.3">
      <c r="F81310" s="193"/>
    </row>
    <row r="81311" spans="6:6" x14ac:dyDescent="0.3">
      <c r="F81311" s="193"/>
    </row>
    <row r="81312" spans="6:6" x14ac:dyDescent="0.3">
      <c r="F81312" s="193"/>
    </row>
    <row r="81313" spans="6:6" x14ac:dyDescent="0.3">
      <c r="F81313" s="193"/>
    </row>
    <row r="81314" spans="6:6" x14ac:dyDescent="0.3">
      <c r="F81314" s="193"/>
    </row>
    <row r="81315" spans="6:6" x14ac:dyDescent="0.3">
      <c r="F81315" s="193"/>
    </row>
    <row r="81316" spans="6:6" x14ac:dyDescent="0.3">
      <c r="F81316" s="193"/>
    </row>
    <row r="81317" spans="6:6" x14ac:dyDescent="0.3">
      <c r="F81317" s="193"/>
    </row>
    <row r="81318" spans="6:6" x14ac:dyDescent="0.3">
      <c r="F81318" s="193"/>
    </row>
    <row r="81319" spans="6:6" x14ac:dyDescent="0.3">
      <c r="F81319" s="193"/>
    </row>
    <row r="81320" spans="6:6" x14ac:dyDescent="0.3">
      <c r="F81320" s="193"/>
    </row>
    <row r="81321" spans="6:6" x14ac:dyDescent="0.3">
      <c r="F81321" s="193"/>
    </row>
    <row r="81322" spans="6:6" x14ac:dyDescent="0.3">
      <c r="F81322" s="193"/>
    </row>
    <row r="81323" spans="6:6" x14ac:dyDescent="0.3">
      <c r="F81323" s="193"/>
    </row>
    <row r="81324" spans="6:6" x14ac:dyDescent="0.3">
      <c r="F81324" s="193"/>
    </row>
    <row r="81325" spans="6:6" x14ac:dyDescent="0.3">
      <c r="F81325" s="193"/>
    </row>
    <row r="81326" spans="6:6" x14ac:dyDescent="0.3">
      <c r="F81326" s="193"/>
    </row>
    <row r="81327" spans="6:6" x14ac:dyDescent="0.3">
      <c r="F81327" s="193"/>
    </row>
    <row r="81328" spans="6:6" x14ac:dyDescent="0.3">
      <c r="F81328" s="193"/>
    </row>
    <row r="81329" spans="6:6" x14ac:dyDescent="0.3">
      <c r="F81329" s="193"/>
    </row>
    <row r="81330" spans="6:6" x14ac:dyDescent="0.3">
      <c r="F81330" s="193"/>
    </row>
    <row r="81331" spans="6:6" x14ac:dyDescent="0.3">
      <c r="F81331" s="193"/>
    </row>
    <row r="81332" spans="6:6" x14ac:dyDescent="0.3">
      <c r="F81332" s="193"/>
    </row>
    <row r="81333" spans="6:6" x14ac:dyDescent="0.3">
      <c r="F81333" s="193"/>
    </row>
    <row r="81334" spans="6:6" x14ac:dyDescent="0.3">
      <c r="F81334" s="193"/>
    </row>
    <row r="81335" spans="6:6" x14ac:dyDescent="0.3">
      <c r="F81335" s="193"/>
    </row>
    <row r="81336" spans="6:6" x14ac:dyDescent="0.3">
      <c r="F81336" s="193"/>
    </row>
    <row r="81337" spans="6:6" x14ac:dyDescent="0.3">
      <c r="F81337" s="193"/>
    </row>
    <row r="81338" spans="6:6" x14ac:dyDescent="0.3">
      <c r="F81338" s="193"/>
    </row>
    <row r="81339" spans="6:6" x14ac:dyDescent="0.3">
      <c r="F81339" s="193"/>
    </row>
    <row r="81340" spans="6:6" x14ac:dyDescent="0.3">
      <c r="F81340" s="193"/>
    </row>
    <row r="81341" spans="6:6" x14ac:dyDescent="0.3">
      <c r="F81341" s="193"/>
    </row>
    <row r="81342" spans="6:6" x14ac:dyDescent="0.3">
      <c r="F81342" s="193"/>
    </row>
    <row r="81343" spans="6:6" x14ac:dyDescent="0.3">
      <c r="F81343" s="193"/>
    </row>
    <row r="81344" spans="6:6" x14ac:dyDescent="0.3">
      <c r="F81344" s="193"/>
    </row>
    <row r="81345" spans="6:6" x14ac:dyDescent="0.3">
      <c r="F81345" s="193"/>
    </row>
    <row r="81346" spans="6:6" x14ac:dyDescent="0.3">
      <c r="F81346" s="193"/>
    </row>
    <row r="81347" spans="6:6" x14ac:dyDescent="0.3">
      <c r="F81347" s="193"/>
    </row>
    <row r="81348" spans="6:6" x14ac:dyDescent="0.3">
      <c r="F81348" s="193"/>
    </row>
    <row r="81349" spans="6:6" x14ac:dyDescent="0.3">
      <c r="F81349" s="193"/>
    </row>
    <row r="81350" spans="6:6" x14ac:dyDescent="0.3">
      <c r="F81350" s="193"/>
    </row>
    <row r="81351" spans="6:6" x14ac:dyDescent="0.3">
      <c r="F81351" s="193"/>
    </row>
    <row r="81352" spans="6:6" x14ac:dyDescent="0.3">
      <c r="F81352" s="193"/>
    </row>
    <row r="81353" spans="6:6" x14ac:dyDescent="0.3">
      <c r="F81353" s="193"/>
    </row>
    <row r="81354" spans="6:6" x14ac:dyDescent="0.3">
      <c r="F81354" s="193"/>
    </row>
    <row r="81355" spans="6:6" x14ac:dyDescent="0.3">
      <c r="F81355" s="193"/>
    </row>
    <row r="81356" spans="6:6" x14ac:dyDescent="0.3">
      <c r="F81356" s="193"/>
    </row>
    <row r="81357" spans="6:6" x14ac:dyDescent="0.3">
      <c r="F81357" s="193"/>
    </row>
    <row r="81358" spans="6:6" x14ac:dyDescent="0.3">
      <c r="F81358" s="193"/>
    </row>
    <row r="81359" spans="6:6" x14ac:dyDescent="0.3">
      <c r="F81359" s="193"/>
    </row>
    <row r="81360" spans="6:6" x14ac:dyDescent="0.3">
      <c r="F81360" s="193"/>
    </row>
    <row r="81361" spans="6:6" x14ac:dyDescent="0.3">
      <c r="F81361" s="193"/>
    </row>
    <row r="81362" spans="6:6" x14ac:dyDescent="0.3">
      <c r="F81362" s="193"/>
    </row>
    <row r="81363" spans="6:6" x14ac:dyDescent="0.3">
      <c r="F81363" s="193"/>
    </row>
    <row r="81364" spans="6:6" x14ac:dyDescent="0.3">
      <c r="F81364" s="193"/>
    </row>
    <row r="81365" spans="6:6" x14ac:dyDescent="0.3">
      <c r="F81365" s="193"/>
    </row>
    <row r="81366" spans="6:6" x14ac:dyDescent="0.3">
      <c r="F81366" s="193"/>
    </row>
    <row r="81367" spans="6:6" x14ac:dyDescent="0.3">
      <c r="F81367" s="193"/>
    </row>
    <row r="81368" spans="6:6" x14ac:dyDescent="0.3">
      <c r="F81368" s="193"/>
    </row>
    <row r="81369" spans="6:6" x14ac:dyDescent="0.3">
      <c r="F81369" s="193"/>
    </row>
    <row r="81370" spans="6:6" x14ac:dyDescent="0.3">
      <c r="F81370" s="193"/>
    </row>
    <row r="81371" spans="6:6" x14ac:dyDescent="0.3">
      <c r="F81371" s="193"/>
    </row>
    <row r="81372" spans="6:6" x14ac:dyDescent="0.3">
      <c r="F81372" s="193"/>
    </row>
    <row r="81373" spans="6:6" x14ac:dyDescent="0.3">
      <c r="F81373" s="193"/>
    </row>
    <row r="81374" spans="6:6" x14ac:dyDescent="0.3">
      <c r="F81374" s="193"/>
    </row>
    <row r="81375" spans="6:6" x14ac:dyDescent="0.3">
      <c r="F81375" s="193"/>
    </row>
    <row r="81376" spans="6:6" x14ac:dyDescent="0.3">
      <c r="F81376" s="193"/>
    </row>
    <row r="81377" spans="6:6" x14ac:dyDescent="0.3">
      <c r="F81377" s="193"/>
    </row>
    <row r="81378" spans="6:6" x14ac:dyDescent="0.3">
      <c r="F81378" s="193"/>
    </row>
    <row r="81379" spans="6:6" x14ac:dyDescent="0.3">
      <c r="F81379" s="193"/>
    </row>
    <row r="81380" spans="6:6" x14ac:dyDescent="0.3">
      <c r="F81380" s="193"/>
    </row>
    <row r="81381" spans="6:6" x14ac:dyDescent="0.3">
      <c r="F81381" s="193"/>
    </row>
    <row r="81382" spans="6:6" x14ac:dyDescent="0.3">
      <c r="F81382" s="193"/>
    </row>
    <row r="81383" spans="6:6" x14ac:dyDescent="0.3">
      <c r="F81383" s="193"/>
    </row>
    <row r="81384" spans="6:6" x14ac:dyDescent="0.3">
      <c r="F81384" s="193"/>
    </row>
    <row r="81385" spans="6:6" x14ac:dyDescent="0.3">
      <c r="F81385" s="193"/>
    </row>
    <row r="81386" spans="6:6" x14ac:dyDescent="0.3">
      <c r="F81386" s="193"/>
    </row>
    <row r="81387" spans="6:6" x14ac:dyDescent="0.3">
      <c r="F81387" s="193"/>
    </row>
    <row r="81388" spans="6:6" x14ac:dyDescent="0.3">
      <c r="F81388" s="193"/>
    </row>
    <row r="81389" spans="6:6" x14ac:dyDescent="0.3">
      <c r="F81389" s="193"/>
    </row>
    <row r="81390" spans="6:6" x14ac:dyDescent="0.3">
      <c r="F81390" s="193"/>
    </row>
    <row r="81391" spans="6:6" x14ac:dyDescent="0.3">
      <c r="F81391" s="193"/>
    </row>
    <row r="81392" spans="6:6" x14ac:dyDescent="0.3">
      <c r="F81392" s="193"/>
    </row>
    <row r="81393" spans="6:6" x14ac:dyDescent="0.3">
      <c r="F81393" s="193"/>
    </row>
    <row r="81394" spans="6:6" x14ac:dyDescent="0.3">
      <c r="F81394" s="193"/>
    </row>
    <row r="81395" spans="6:6" x14ac:dyDescent="0.3">
      <c r="F81395" s="193"/>
    </row>
    <row r="81396" spans="6:6" x14ac:dyDescent="0.3">
      <c r="F81396" s="193"/>
    </row>
    <row r="81397" spans="6:6" x14ac:dyDescent="0.3">
      <c r="F81397" s="193"/>
    </row>
    <row r="81398" spans="6:6" x14ac:dyDescent="0.3">
      <c r="F81398" s="193"/>
    </row>
    <row r="81399" spans="6:6" x14ac:dyDescent="0.3">
      <c r="F81399" s="193"/>
    </row>
    <row r="81400" spans="6:6" x14ac:dyDescent="0.3">
      <c r="F81400" s="193"/>
    </row>
    <row r="81401" spans="6:6" x14ac:dyDescent="0.3">
      <c r="F81401" s="193"/>
    </row>
    <row r="81402" spans="6:6" x14ac:dyDescent="0.3">
      <c r="F81402" s="193"/>
    </row>
    <row r="81403" spans="6:6" x14ac:dyDescent="0.3">
      <c r="F81403" s="193"/>
    </row>
    <row r="81404" spans="6:6" x14ac:dyDescent="0.3">
      <c r="F81404" s="193"/>
    </row>
    <row r="81405" spans="6:6" x14ac:dyDescent="0.3">
      <c r="F81405" s="193"/>
    </row>
    <row r="81406" spans="6:6" x14ac:dyDescent="0.3">
      <c r="F81406" s="193"/>
    </row>
    <row r="81407" spans="6:6" x14ac:dyDescent="0.3">
      <c r="F81407" s="193"/>
    </row>
    <row r="81408" spans="6:6" x14ac:dyDescent="0.3">
      <c r="F81408" s="193"/>
    </row>
    <row r="81409" spans="6:6" x14ac:dyDescent="0.3">
      <c r="F81409" s="193"/>
    </row>
    <row r="81410" spans="6:6" x14ac:dyDescent="0.3">
      <c r="F81410" s="193"/>
    </row>
    <row r="81411" spans="6:6" x14ac:dyDescent="0.3">
      <c r="F81411" s="193"/>
    </row>
    <row r="81412" spans="6:6" x14ac:dyDescent="0.3">
      <c r="F81412" s="193"/>
    </row>
    <row r="81413" spans="6:6" x14ac:dyDescent="0.3">
      <c r="F81413" s="193"/>
    </row>
    <row r="81414" spans="6:6" x14ac:dyDescent="0.3">
      <c r="F81414" s="193"/>
    </row>
    <row r="81415" spans="6:6" x14ac:dyDescent="0.3">
      <c r="F81415" s="193"/>
    </row>
    <row r="81416" spans="6:6" x14ac:dyDescent="0.3">
      <c r="F81416" s="193"/>
    </row>
    <row r="81417" spans="6:6" x14ac:dyDescent="0.3">
      <c r="F81417" s="193"/>
    </row>
    <row r="81418" spans="6:6" x14ac:dyDescent="0.3">
      <c r="F81418" s="193"/>
    </row>
    <row r="81419" spans="6:6" x14ac:dyDescent="0.3">
      <c r="F81419" s="193"/>
    </row>
    <row r="81420" spans="6:6" x14ac:dyDescent="0.3">
      <c r="F81420" s="193"/>
    </row>
    <row r="81421" spans="6:6" x14ac:dyDescent="0.3">
      <c r="F81421" s="193"/>
    </row>
    <row r="81422" spans="6:6" x14ac:dyDescent="0.3">
      <c r="F81422" s="193"/>
    </row>
    <row r="81423" spans="6:6" x14ac:dyDescent="0.3">
      <c r="F81423" s="193"/>
    </row>
    <row r="81424" spans="6:6" x14ac:dyDescent="0.3">
      <c r="F81424" s="193"/>
    </row>
    <row r="81425" spans="6:6" x14ac:dyDescent="0.3">
      <c r="F81425" s="193"/>
    </row>
    <row r="81426" spans="6:6" x14ac:dyDescent="0.3">
      <c r="F81426" s="193"/>
    </row>
    <row r="81427" spans="6:6" x14ac:dyDescent="0.3">
      <c r="F81427" s="193"/>
    </row>
    <row r="81428" spans="6:6" x14ac:dyDescent="0.3">
      <c r="F81428" s="193"/>
    </row>
    <row r="81429" spans="6:6" x14ac:dyDescent="0.3">
      <c r="F81429" s="193"/>
    </row>
    <row r="81430" spans="6:6" x14ac:dyDescent="0.3">
      <c r="F81430" s="193"/>
    </row>
    <row r="81431" spans="6:6" x14ac:dyDescent="0.3">
      <c r="F81431" s="193"/>
    </row>
    <row r="81432" spans="6:6" x14ac:dyDescent="0.3">
      <c r="F81432" s="193"/>
    </row>
    <row r="81433" spans="6:6" x14ac:dyDescent="0.3">
      <c r="F81433" s="193"/>
    </row>
    <row r="81434" spans="6:6" x14ac:dyDescent="0.3">
      <c r="F81434" s="193"/>
    </row>
    <row r="81435" spans="6:6" x14ac:dyDescent="0.3">
      <c r="F81435" s="193"/>
    </row>
    <row r="81436" spans="6:6" x14ac:dyDescent="0.3">
      <c r="F81436" s="193"/>
    </row>
    <row r="81437" spans="6:6" x14ac:dyDescent="0.3">
      <c r="F81437" s="193"/>
    </row>
    <row r="81438" spans="6:6" x14ac:dyDescent="0.3">
      <c r="F81438" s="193"/>
    </row>
    <row r="81439" spans="6:6" x14ac:dyDescent="0.3">
      <c r="F81439" s="193"/>
    </row>
    <row r="81440" spans="6:6" x14ac:dyDescent="0.3">
      <c r="F81440" s="193"/>
    </row>
    <row r="81441" spans="6:6" x14ac:dyDescent="0.3">
      <c r="F81441" s="193"/>
    </row>
    <row r="81442" spans="6:6" x14ac:dyDescent="0.3">
      <c r="F81442" s="193"/>
    </row>
    <row r="81443" spans="6:6" x14ac:dyDescent="0.3">
      <c r="F81443" s="193"/>
    </row>
    <row r="81444" spans="6:6" x14ac:dyDescent="0.3">
      <c r="F81444" s="193"/>
    </row>
    <row r="81445" spans="6:6" x14ac:dyDescent="0.3">
      <c r="F81445" s="193"/>
    </row>
    <row r="81446" spans="6:6" x14ac:dyDescent="0.3">
      <c r="F81446" s="193"/>
    </row>
    <row r="81447" spans="6:6" x14ac:dyDescent="0.3">
      <c r="F81447" s="193"/>
    </row>
    <row r="81448" spans="6:6" x14ac:dyDescent="0.3">
      <c r="F81448" s="193"/>
    </row>
    <row r="81449" spans="6:6" x14ac:dyDescent="0.3">
      <c r="F81449" s="193"/>
    </row>
    <row r="81450" spans="6:6" x14ac:dyDescent="0.3">
      <c r="F81450" s="193"/>
    </row>
    <row r="81451" spans="6:6" x14ac:dyDescent="0.3">
      <c r="F81451" s="193"/>
    </row>
    <row r="81452" spans="6:6" x14ac:dyDescent="0.3">
      <c r="F81452" s="193"/>
    </row>
    <row r="81453" spans="6:6" x14ac:dyDescent="0.3">
      <c r="F81453" s="193"/>
    </row>
    <row r="81454" spans="6:6" x14ac:dyDescent="0.3">
      <c r="F81454" s="193"/>
    </row>
    <row r="81455" spans="6:6" x14ac:dyDescent="0.3">
      <c r="F81455" s="193"/>
    </row>
    <row r="81456" spans="6:6" x14ac:dyDescent="0.3">
      <c r="F81456" s="193"/>
    </row>
    <row r="81457" spans="6:6" x14ac:dyDescent="0.3">
      <c r="F81457" s="193"/>
    </row>
    <row r="81458" spans="6:6" x14ac:dyDescent="0.3">
      <c r="F81458" s="193"/>
    </row>
    <row r="81459" spans="6:6" x14ac:dyDescent="0.3">
      <c r="F81459" s="193"/>
    </row>
    <row r="81460" spans="6:6" x14ac:dyDescent="0.3">
      <c r="F81460" s="193"/>
    </row>
    <row r="81461" spans="6:6" x14ac:dyDescent="0.3">
      <c r="F81461" s="193"/>
    </row>
    <row r="81462" spans="6:6" x14ac:dyDescent="0.3">
      <c r="F81462" s="193"/>
    </row>
    <row r="81463" spans="6:6" x14ac:dyDescent="0.3">
      <c r="F81463" s="193"/>
    </row>
    <row r="81464" spans="6:6" x14ac:dyDescent="0.3">
      <c r="F81464" s="193"/>
    </row>
    <row r="81465" spans="6:6" x14ac:dyDescent="0.3">
      <c r="F81465" s="193"/>
    </row>
    <row r="81466" spans="6:6" x14ac:dyDescent="0.3">
      <c r="F81466" s="193"/>
    </row>
    <row r="81467" spans="6:6" x14ac:dyDescent="0.3">
      <c r="F81467" s="193"/>
    </row>
    <row r="81468" spans="6:6" x14ac:dyDescent="0.3">
      <c r="F81468" s="193"/>
    </row>
    <row r="81469" spans="6:6" x14ac:dyDescent="0.3">
      <c r="F81469" s="193"/>
    </row>
    <row r="81470" spans="6:6" x14ac:dyDescent="0.3">
      <c r="F81470" s="193"/>
    </row>
    <row r="81471" spans="6:6" x14ac:dyDescent="0.3">
      <c r="F81471" s="193"/>
    </row>
    <row r="81472" spans="6:6" x14ac:dyDescent="0.3">
      <c r="F81472" s="193"/>
    </row>
    <row r="81473" spans="6:6" x14ac:dyDescent="0.3">
      <c r="F81473" s="193"/>
    </row>
    <row r="81474" spans="6:6" x14ac:dyDescent="0.3">
      <c r="F81474" s="193"/>
    </row>
    <row r="81475" spans="6:6" x14ac:dyDescent="0.3">
      <c r="F81475" s="193"/>
    </row>
    <row r="81476" spans="6:6" x14ac:dyDescent="0.3">
      <c r="F81476" s="193"/>
    </row>
    <row r="81477" spans="6:6" x14ac:dyDescent="0.3">
      <c r="F81477" s="193"/>
    </row>
    <row r="81478" spans="6:6" x14ac:dyDescent="0.3">
      <c r="F81478" s="193"/>
    </row>
    <row r="81479" spans="6:6" x14ac:dyDescent="0.3">
      <c r="F81479" s="193"/>
    </row>
    <row r="81480" spans="6:6" x14ac:dyDescent="0.3">
      <c r="F81480" s="193"/>
    </row>
    <row r="81481" spans="6:6" x14ac:dyDescent="0.3">
      <c r="F81481" s="193"/>
    </row>
    <row r="81482" spans="6:6" x14ac:dyDescent="0.3">
      <c r="F81482" s="193"/>
    </row>
    <row r="81483" spans="6:6" x14ac:dyDescent="0.3">
      <c r="F81483" s="193"/>
    </row>
    <row r="81484" spans="6:6" x14ac:dyDescent="0.3">
      <c r="F81484" s="193"/>
    </row>
    <row r="81485" spans="6:6" x14ac:dyDescent="0.3">
      <c r="F81485" s="193"/>
    </row>
    <row r="81486" spans="6:6" x14ac:dyDescent="0.3">
      <c r="F81486" s="193"/>
    </row>
    <row r="81487" spans="6:6" x14ac:dyDescent="0.3">
      <c r="F81487" s="193"/>
    </row>
    <row r="81488" spans="6:6" x14ac:dyDescent="0.3">
      <c r="F81488" s="193"/>
    </row>
    <row r="81489" spans="6:6" x14ac:dyDescent="0.3">
      <c r="F81489" s="193"/>
    </row>
    <row r="81490" spans="6:6" x14ac:dyDescent="0.3">
      <c r="F81490" s="193"/>
    </row>
    <row r="81491" spans="6:6" x14ac:dyDescent="0.3">
      <c r="F81491" s="193"/>
    </row>
    <row r="81492" spans="6:6" x14ac:dyDescent="0.3">
      <c r="F81492" s="193"/>
    </row>
    <row r="81493" spans="6:6" x14ac:dyDescent="0.3">
      <c r="F81493" s="193"/>
    </row>
    <row r="81494" spans="6:6" x14ac:dyDescent="0.3">
      <c r="F81494" s="193"/>
    </row>
    <row r="81495" spans="6:6" x14ac:dyDescent="0.3">
      <c r="F81495" s="193"/>
    </row>
    <row r="81496" spans="6:6" x14ac:dyDescent="0.3">
      <c r="F81496" s="193"/>
    </row>
    <row r="81497" spans="6:6" x14ac:dyDescent="0.3">
      <c r="F81497" s="193"/>
    </row>
    <row r="81498" spans="6:6" x14ac:dyDescent="0.3">
      <c r="F81498" s="193"/>
    </row>
    <row r="81499" spans="6:6" x14ac:dyDescent="0.3">
      <c r="F81499" s="193"/>
    </row>
    <row r="81500" spans="6:6" x14ac:dyDescent="0.3">
      <c r="F81500" s="193"/>
    </row>
    <row r="81501" spans="6:6" x14ac:dyDescent="0.3">
      <c r="F81501" s="193"/>
    </row>
    <row r="81502" spans="6:6" x14ac:dyDescent="0.3">
      <c r="F81502" s="193"/>
    </row>
    <row r="81503" spans="6:6" x14ac:dyDescent="0.3">
      <c r="F81503" s="193"/>
    </row>
    <row r="81504" spans="6:6" x14ac:dyDescent="0.3">
      <c r="F81504" s="193"/>
    </row>
    <row r="81505" spans="6:6" x14ac:dyDescent="0.3">
      <c r="F81505" s="193"/>
    </row>
    <row r="81506" spans="6:6" x14ac:dyDescent="0.3">
      <c r="F81506" s="193"/>
    </row>
    <row r="81507" spans="6:6" x14ac:dyDescent="0.3">
      <c r="F81507" s="193"/>
    </row>
    <row r="81508" spans="6:6" x14ac:dyDescent="0.3">
      <c r="F81508" s="193"/>
    </row>
    <row r="81509" spans="6:6" x14ac:dyDescent="0.3">
      <c r="F81509" s="193"/>
    </row>
    <row r="81510" spans="6:6" x14ac:dyDescent="0.3">
      <c r="F81510" s="193"/>
    </row>
    <row r="81511" spans="6:6" x14ac:dyDescent="0.3">
      <c r="F81511" s="193"/>
    </row>
    <row r="81512" spans="6:6" x14ac:dyDescent="0.3">
      <c r="F81512" s="193"/>
    </row>
    <row r="81513" spans="6:6" x14ac:dyDescent="0.3">
      <c r="F81513" s="193"/>
    </row>
    <row r="81514" spans="6:6" x14ac:dyDescent="0.3">
      <c r="F81514" s="193"/>
    </row>
    <row r="81515" spans="6:6" x14ac:dyDescent="0.3">
      <c r="F81515" s="193"/>
    </row>
    <row r="81516" spans="6:6" x14ac:dyDescent="0.3">
      <c r="F81516" s="193"/>
    </row>
    <row r="81517" spans="6:6" x14ac:dyDescent="0.3">
      <c r="F81517" s="193"/>
    </row>
    <row r="81518" spans="6:6" x14ac:dyDescent="0.3">
      <c r="F81518" s="193"/>
    </row>
    <row r="81519" spans="6:6" x14ac:dyDescent="0.3">
      <c r="F81519" s="193"/>
    </row>
    <row r="81520" spans="6:6" x14ac:dyDescent="0.3">
      <c r="F81520" s="193"/>
    </row>
    <row r="81521" spans="6:6" x14ac:dyDescent="0.3">
      <c r="F81521" s="193"/>
    </row>
    <row r="81522" spans="6:6" x14ac:dyDescent="0.3">
      <c r="F81522" s="193"/>
    </row>
    <row r="81523" spans="6:6" x14ac:dyDescent="0.3">
      <c r="F81523" s="193"/>
    </row>
    <row r="81524" spans="6:6" x14ac:dyDescent="0.3">
      <c r="F81524" s="193"/>
    </row>
    <row r="81525" spans="6:6" x14ac:dyDescent="0.3">
      <c r="F81525" s="193"/>
    </row>
    <row r="81526" spans="6:6" x14ac:dyDescent="0.3">
      <c r="F81526" s="193"/>
    </row>
    <row r="81527" spans="6:6" x14ac:dyDescent="0.3">
      <c r="F81527" s="193"/>
    </row>
    <row r="81528" spans="6:6" x14ac:dyDescent="0.3">
      <c r="F81528" s="193"/>
    </row>
    <row r="81529" spans="6:6" x14ac:dyDescent="0.3">
      <c r="F81529" s="193"/>
    </row>
    <row r="81530" spans="6:6" x14ac:dyDescent="0.3">
      <c r="F81530" s="193"/>
    </row>
    <row r="81531" spans="6:6" x14ac:dyDescent="0.3">
      <c r="F81531" s="193"/>
    </row>
    <row r="81532" spans="6:6" x14ac:dyDescent="0.3">
      <c r="F81532" s="193"/>
    </row>
    <row r="81533" spans="6:6" x14ac:dyDescent="0.3">
      <c r="F81533" s="193"/>
    </row>
    <row r="81534" spans="6:6" x14ac:dyDescent="0.3">
      <c r="F81534" s="193"/>
    </row>
    <row r="81535" spans="6:6" x14ac:dyDescent="0.3">
      <c r="F81535" s="193"/>
    </row>
    <row r="81536" spans="6:6" x14ac:dyDescent="0.3">
      <c r="F81536" s="193"/>
    </row>
    <row r="81537" spans="6:6" x14ac:dyDescent="0.3">
      <c r="F81537" s="193"/>
    </row>
    <row r="81538" spans="6:6" x14ac:dyDescent="0.3">
      <c r="F81538" s="193"/>
    </row>
    <row r="81539" spans="6:6" x14ac:dyDescent="0.3">
      <c r="F81539" s="193"/>
    </row>
    <row r="81540" spans="6:6" x14ac:dyDescent="0.3">
      <c r="F81540" s="193"/>
    </row>
    <row r="81541" spans="6:6" x14ac:dyDescent="0.3">
      <c r="F81541" s="193"/>
    </row>
    <row r="81542" spans="6:6" x14ac:dyDescent="0.3">
      <c r="F81542" s="193"/>
    </row>
    <row r="81543" spans="6:6" x14ac:dyDescent="0.3">
      <c r="F81543" s="193"/>
    </row>
    <row r="81544" spans="6:6" x14ac:dyDescent="0.3">
      <c r="F81544" s="193"/>
    </row>
    <row r="81545" spans="6:6" x14ac:dyDescent="0.3">
      <c r="F81545" s="193"/>
    </row>
    <row r="81546" spans="6:6" x14ac:dyDescent="0.3">
      <c r="F81546" s="193"/>
    </row>
    <row r="81547" spans="6:6" x14ac:dyDescent="0.3">
      <c r="F81547" s="193"/>
    </row>
    <row r="81548" spans="6:6" x14ac:dyDescent="0.3">
      <c r="F81548" s="193"/>
    </row>
    <row r="81549" spans="6:6" x14ac:dyDescent="0.3">
      <c r="F81549" s="193"/>
    </row>
    <row r="81550" spans="6:6" x14ac:dyDescent="0.3">
      <c r="F81550" s="193"/>
    </row>
    <row r="81551" spans="6:6" x14ac:dyDescent="0.3">
      <c r="F81551" s="193"/>
    </row>
    <row r="81552" spans="6:6" x14ac:dyDescent="0.3">
      <c r="F81552" s="193"/>
    </row>
    <row r="81553" spans="6:6" x14ac:dyDescent="0.3">
      <c r="F81553" s="193"/>
    </row>
    <row r="81554" spans="6:6" x14ac:dyDescent="0.3">
      <c r="F81554" s="193"/>
    </row>
    <row r="81555" spans="6:6" x14ac:dyDescent="0.3">
      <c r="F81555" s="193"/>
    </row>
    <row r="81556" spans="6:6" x14ac:dyDescent="0.3">
      <c r="F81556" s="193"/>
    </row>
    <row r="81557" spans="6:6" x14ac:dyDescent="0.3">
      <c r="F81557" s="193"/>
    </row>
    <row r="81558" spans="6:6" x14ac:dyDescent="0.3">
      <c r="F81558" s="193"/>
    </row>
    <row r="81559" spans="6:6" x14ac:dyDescent="0.3">
      <c r="F81559" s="193"/>
    </row>
    <row r="81560" spans="6:6" x14ac:dyDescent="0.3">
      <c r="F81560" s="193"/>
    </row>
    <row r="81561" spans="6:6" x14ac:dyDescent="0.3">
      <c r="F81561" s="193"/>
    </row>
    <row r="81562" spans="6:6" x14ac:dyDescent="0.3">
      <c r="F81562" s="193"/>
    </row>
    <row r="81563" spans="6:6" x14ac:dyDescent="0.3">
      <c r="F81563" s="193"/>
    </row>
    <row r="81564" spans="6:6" x14ac:dyDescent="0.3">
      <c r="F81564" s="193"/>
    </row>
    <row r="81565" spans="6:6" x14ac:dyDescent="0.3">
      <c r="F81565" s="193"/>
    </row>
    <row r="81566" spans="6:6" x14ac:dyDescent="0.3">
      <c r="F81566" s="193"/>
    </row>
    <row r="81567" spans="6:6" x14ac:dyDescent="0.3">
      <c r="F81567" s="193"/>
    </row>
    <row r="81568" spans="6:6" x14ac:dyDescent="0.3">
      <c r="F81568" s="193"/>
    </row>
    <row r="81569" spans="6:6" x14ac:dyDescent="0.3">
      <c r="F81569" s="193"/>
    </row>
    <row r="81570" spans="6:6" x14ac:dyDescent="0.3">
      <c r="F81570" s="193"/>
    </row>
    <row r="81571" spans="6:6" x14ac:dyDescent="0.3">
      <c r="F81571" s="193"/>
    </row>
    <row r="81572" spans="6:6" x14ac:dyDescent="0.3">
      <c r="F81572" s="193"/>
    </row>
    <row r="81573" spans="6:6" x14ac:dyDescent="0.3">
      <c r="F81573" s="193"/>
    </row>
    <row r="81574" spans="6:6" x14ac:dyDescent="0.3">
      <c r="F81574" s="193"/>
    </row>
    <row r="81575" spans="6:6" x14ac:dyDescent="0.3">
      <c r="F81575" s="193"/>
    </row>
    <row r="81576" spans="6:6" x14ac:dyDescent="0.3">
      <c r="F81576" s="193"/>
    </row>
    <row r="81577" spans="6:6" x14ac:dyDescent="0.3">
      <c r="F81577" s="193"/>
    </row>
    <row r="81578" spans="6:6" x14ac:dyDescent="0.3">
      <c r="F81578" s="193"/>
    </row>
    <row r="81579" spans="6:6" x14ac:dyDescent="0.3">
      <c r="F81579" s="193"/>
    </row>
    <row r="81580" spans="6:6" x14ac:dyDescent="0.3">
      <c r="F81580" s="193"/>
    </row>
    <row r="81581" spans="6:6" x14ac:dyDescent="0.3">
      <c r="F81581" s="193"/>
    </row>
    <row r="81582" spans="6:6" x14ac:dyDescent="0.3">
      <c r="F81582" s="193"/>
    </row>
    <row r="81583" spans="6:6" x14ac:dyDescent="0.3">
      <c r="F81583" s="193"/>
    </row>
    <row r="81584" spans="6:6" x14ac:dyDescent="0.3">
      <c r="F81584" s="193"/>
    </row>
    <row r="81585" spans="6:6" x14ac:dyDescent="0.3">
      <c r="F81585" s="193"/>
    </row>
    <row r="81586" spans="6:6" x14ac:dyDescent="0.3">
      <c r="F81586" s="193"/>
    </row>
    <row r="81587" spans="6:6" x14ac:dyDescent="0.3">
      <c r="F81587" s="193"/>
    </row>
    <row r="81588" spans="6:6" x14ac:dyDescent="0.3">
      <c r="F81588" s="193"/>
    </row>
    <row r="81589" spans="6:6" x14ac:dyDescent="0.3">
      <c r="F81589" s="193"/>
    </row>
    <row r="81590" spans="6:6" x14ac:dyDescent="0.3">
      <c r="F81590" s="193"/>
    </row>
    <row r="81591" spans="6:6" x14ac:dyDescent="0.3">
      <c r="F81591" s="193"/>
    </row>
    <row r="81592" spans="6:6" x14ac:dyDescent="0.3">
      <c r="F81592" s="193"/>
    </row>
    <row r="81593" spans="6:6" x14ac:dyDescent="0.3">
      <c r="F81593" s="193"/>
    </row>
    <row r="81594" spans="6:6" x14ac:dyDescent="0.3">
      <c r="F81594" s="193"/>
    </row>
    <row r="81595" spans="6:6" x14ac:dyDescent="0.3">
      <c r="F81595" s="193"/>
    </row>
    <row r="81596" spans="6:6" x14ac:dyDescent="0.3">
      <c r="F81596" s="193"/>
    </row>
    <row r="81597" spans="6:6" x14ac:dyDescent="0.3">
      <c r="F81597" s="193"/>
    </row>
    <row r="81598" spans="6:6" x14ac:dyDescent="0.3">
      <c r="F81598" s="193"/>
    </row>
    <row r="81599" spans="6:6" x14ac:dyDescent="0.3">
      <c r="F81599" s="193"/>
    </row>
    <row r="81600" spans="6:6" x14ac:dyDescent="0.3">
      <c r="F81600" s="193"/>
    </row>
    <row r="81601" spans="6:6" x14ac:dyDescent="0.3">
      <c r="F81601" s="193"/>
    </row>
    <row r="81602" spans="6:6" x14ac:dyDescent="0.3">
      <c r="F81602" s="193"/>
    </row>
    <row r="81603" spans="6:6" x14ac:dyDescent="0.3">
      <c r="F81603" s="193"/>
    </row>
    <row r="81604" spans="6:6" x14ac:dyDescent="0.3">
      <c r="F81604" s="193"/>
    </row>
    <row r="81605" spans="6:6" x14ac:dyDescent="0.3">
      <c r="F81605" s="193"/>
    </row>
    <row r="81606" spans="6:6" x14ac:dyDescent="0.3">
      <c r="F81606" s="193"/>
    </row>
    <row r="81607" spans="6:6" x14ac:dyDescent="0.3">
      <c r="F81607" s="193"/>
    </row>
    <row r="81608" spans="6:6" x14ac:dyDescent="0.3">
      <c r="F81608" s="193"/>
    </row>
    <row r="81609" spans="6:6" x14ac:dyDescent="0.3">
      <c r="F81609" s="193"/>
    </row>
    <row r="81610" spans="6:6" x14ac:dyDescent="0.3">
      <c r="F81610" s="193"/>
    </row>
    <row r="81611" spans="6:6" x14ac:dyDescent="0.3">
      <c r="F81611" s="193"/>
    </row>
    <row r="81612" spans="6:6" x14ac:dyDescent="0.3">
      <c r="F81612" s="193"/>
    </row>
    <row r="81613" spans="6:6" x14ac:dyDescent="0.3">
      <c r="F81613" s="193"/>
    </row>
    <row r="81614" spans="6:6" x14ac:dyDescent="0.3">
      <c r="F81614" s="193"/>
    </row>
    <row r="81615" spans="6:6" x14ac:dyDescent="0.3">
      <c r="F81615" s="193"/>
    </row>
    <row r="81616" spans="6:6" x14ac:dyDescent="0.3">
      <c r="F81616" s="193"/>
    </row>
    <row r="81617" spans="6:6" x14ac:dyDescent="0.3">
      <c r="F81617" s="193"/>
    </row>
    <row r="81618" spans="6:6" x14ac:dyDescent="0.3">
      <c r="F81618" s="193"/>
    </row>
    <row r="81619" spans="6:6" x14ac:dyDescent="0.3">
      <c r="F81619" s="193"/>
    </row>
    <row r="81620" spans="6:6" x14ac:dyDescent="0.3">
      <c r="F81620" s="193"/>
    </row>
    <row r="81621" spans="6:6" x14ac:dyDescent="0.3">
      <c r="F81621" s="193"/>
    </row>
    <row r="81622" spans="6:6" x14ac:dyDescent="0.3">
      <c r="F81622" s="193"/>
    </row>
    <row r="81623" spans="6:6" x14ac:dyDescent="0.3">
      <c r="F81623" s="193"/>
    </row>
    <row r="81624" spans="6:6" x14ac:dyDescent="0.3">
      <c r="F81624" s="193"/>
    </row>
    <row r="81625" spans="6:6" x14ac:dyDescent="0.3">
      <c r="F81625" s="193"/>
    </row>
    <row r="81626" spans="6:6" x14ac:dyDescent="0.3">
      <c r="F81626" s="193"/>
    </row>
    <row r="81627" spans="6:6" x14ac:dyDescent="0.3">
      <c r="F81627" s="193"/>
    </row>
    <row r="81628" spans="6:6" x14ac:dyDescent="0.3">
      <c r="F81628" s="193"/>
    </row>
    <row r="81629" spans="6:6" x14ac:dyDescent="0.3">
      <c r="F81629" s="193"/>
    </row>
    <row r="81630" spans="6:6" x14ac:dyDescent="0.3">
      <c r="F81630" s="193"/>
    </row>
    <row r="81631" spans="6:6" x14ac:dyDescent="0.3">
      <c r="F81631" s="193"/>
    </row>
    <row r="81632" spans="6:6" x14ac:dyDescent="0.3">
      <c r="F81632" s="193"/>
    </row>
    <row r="81633" spans="6:6" x14ac:dyDescent="0.3">
      <c r="F81633" s="193"/>
    </row>
    <row r="81634" spans="6:6" x14ac:dyDescent="0.3">
      <c r="F81634" s="193"/>
    </row>
    <row r="81635" spans="6:6" x14ac:dyDescent="0.3">
      <c r="F81635" s="193"/>
    </row>
    <row r="81636" spans="6:6" x14ac:dyDescent="0.3">
      <c r="F81636" s="193"/>
    </row>
    <row r="81637" spans="6:6" x14ac:dyDescent="0.3">
      <c r="F81637" s="193"/>
    </row>
    <row r="81638" spans="6:6" x14ac:dyDescent="0.3">
      <c r="F81638" s="193"/>
    </row>
    <row r="81639" spans="6:6" x14ac:dyDescent="0.3">
      <c r="F81639" s="193"/>
    </row>
    <row r="81640" spans="6:6" x14ac:dyDescent="0.3">
      <c r="F81640" s="193"/>
    </row>
    <row r="81641" spans="6:6" x14ac:dyDescent="0.3">
      <c r="F81641" s="193"/>
    </row>
    <row r="81642" spans="6:6" x14ac:dyDescent="0.3">
      <c r="F81642" s="193"/>
    </row>
    <row r="81643" spans="6:6" x14ac:dyDescent="0.3">
      <c r="F81643" s="193"/>
    </row>
    <row r="81644" spans="6:6" x14ac:dyDescent="0.3">
      <c r="F81644" s="193"/>
    </row>
    <row r="81645" spans="6:6" x14ac:dyDescent="0.3">
      <c r="F81645" s="193"/>
    </row>
    <row r="81646" spans="6:6" x14ac:dyDescent="0.3">
      <c r="F81646" s="193"/>
    </row>
    <row r="81647" spans="6:6" x14ac:dyDescent="0.3">
      <c r="F81647" s="193"/>
    </row>
    <row r="81648" spans="6:6" x14ac:dyDescent="0.3">
      <c r="F81648" s="193"/>
    </row>
    <row r="81649" spans="6:6" x14ac:dyDescent="0.3">
      <c r="F81649" s="193"/>
    </row>
    <row r="81650" spans="6:6" x14ac:dyDescent="0.3">
      <c r="F81650" s="193"/>
    </row>
    <row r="81651" spans="6:6" x14ac:dyDescent="0.3">
      <c r="F81651" s="193"/>
    </row>
    <row r="81652" spans="6:6" x14ac:dyDescent="0.3">
      <c r="F81652" s="193"/>
    </row>
    <row r="81653" spans="6:6" x14ac:dyDescent="0.3">
      <c r="F81653" s="193"/>
    </row>
    <row r="81654" spans="6:6" x14ac:dyDescent="0.3">
      <c r="F81654" s="193"/>
    </row>
    <row r="81655" spans="6:6" x14ac:dyDescent="0.3">
      <c r="F81655" s="193"/>
    </row>
    <row r="81656" spans="6:6" x14ac:dyDescent="0.3">
      <c r="F81656" s="193"/>
    </row>
    <row r="81657" spans="6:6" x14ac:dyDescent="0.3">
      <c r="F81657" s="193"/>
    </row>
    <row r="81658" spans="6:6" x14ac:dyDescent="0.3">
      <c r="F81658" s="193"/>
    </row>
    <row r="81659" spans="6:6" x14ac:dyDescent="0.3">
      <c r="F81659" s="193"/>
    </row>
    <row r="81660" spans="6:6" x14ac:dyDescent="0.3">
      <c r="F81660" s="193"/>
    </row>
    <row r="81661" spans="6:6" x14ac:dyDescent="0.3">
      <c r="F81661" s="193"/>
    </row>
    <row r="81662" spans="6:6" x14ac:dyDescent="0.3">
      <c r="F81662" s="193"/>
    </row>
    <row r="81663" spans="6:6" x14ac:dyDescent="0.3">
      <c r="F81663" s="193"/>
    </row>
    <row r="81664" spans="6:6" x14ac:dyDescent="0.3">
      <c r="F81664" s="193"/>
    </row>
    <row r="81665" spans="6:6" x14ac:dyDescent="0.3">
      <c r="F81665" s="193"/>
    </row>
    <row r="81666" spans="6:6" x14ac:dyDescent="0.3">
      <c r="F81666" s="193"/>
    </row>
    <row r="81667" spans="6:6" x14ac:dyDescent="0.3">
      <c r="F81667" s="193"/>
    </row>
    <row r="81668" spans="6:6" x14ac:dyDescent="0.3">
      <c r="F81668" s="193"/>
    </row>
    <row r="81669" spans="6:6" x14ac:dyDescent="0.3">
      <c r="F81669" s="193"/>
    </row>
    <row r="81670" spans="6:6" x14ac:dyDescent="0.3">
      <c r="F81670" s="193"/>
    </row>
    <row r="81671" spans="6:6" x14ac:dyDescent="0.3">
      <c r="F81671" s="193"/>
    </row>
    <row r="81672" spans="6:6" x14ac:dyDescent="0.3">
      <c r="F81672" s="193"/>
    </row>
    <row r="81673" spans="6:6" x14ac:dyDescent="0.3">
      <c r="F81673" s="193"/>
    </row>
    <row r="81674" spans="6:6" x14ac:dyDescent="0.3">
      <c r="F81674" s="193"/>
    </row>
    <row r="81675" spans="6:6" x14ac:dyDescent="0.3">
      <c r="F81675" s="193"/>
    </row>
    <row r="81676" spans="6:6" x14ac:dyDescent="0.3">
      <c r="F81676" s="193"/>
    </row>
    <row r="81677" spans="6:6" x14ac:dyDescent="0.3">
      <c r="F81677" s="193"/>
    </row>
    <row r="81678" spans="6:6" x14ac:dyDescent="0.3">
      <c r="F81678" s="193"/>
    </row>
    <row r="81679" spans="6:6" x14ac:dyDescent="0.3">
      <c r="F81679" s="193"/>
    </row>
    <row r="81680" spans="6:6" x14ac:dyDescent="0.3">
      <c r="F81680" s="193"/>
    </row>
    <row r="81681" spans="6:6" x14ac:dyDescent="0.3">
      <c r="F81681" s="193"/>
    </row>
    <row r="81682" spans="6:6" x14ac:dyDescent="0.3">
      <c r="F81682" s="193"/>
    </row>
    <row r="81683" spans="6:6" x14ac:dyDescent="0.3">
      <c r="F81683" s="193"/>
    </row>
    <row r="81684" spans="6:6" x14ac:dyDescent="0.3">
      <c r="F81684" s="193"/>
    </row>
    <row r="81685" spans="6:6" x14ac:dyDescent="0.3">
      <c r="F81685" s="193"/>
    </row>
    <row r="81686" spans="6:6" x14ac:dyDescent="0.3">
      <c r="F81686" s="193"/>
    </row>
    <row r="81687" spans="6:6" x14ac:dyDescent="0.3">
      <c r="F81687" s="193"/>
    </row>
    <row r="81688" spans="6:6" x14ac:dyDescent="0.3">
      <c r="F81688" s="193"/>
    </row>
    <row r="81689" spans="6:6" x14ac:dyDescent="0.3">
      <c r="F81689" s="193"/>
    </row>
    <row r="81690" spans="6:6" x14ac:dyDescent="0.3">
      <c r="F81690" s="193"/>
    </row>
    <row r="81691" spans="6:6" x14ac:dyDescent="0.3">
      <c r="F81691" s="193"/>
    </row>
    <row r="81692" spans="6:6" x14ac:dyDescent="0.3">
      <c r="F81692" s="193"/>
    </row>
    <row r="81693" spans="6:6" x14ac:dyDescent="0.3">
      <c r="F81693" s="193"/>
    </row>
    <row r="81694" spans="6:6" x14ac:dyDescent="0.3">
      <c r="F81694" s="193"/>
    </row>
    <row r="81695" spans="6:6" x14ac:dyDescent="0.3">
      <c r="F81695" s="193"/>
    </row>
    <row r="81696" spans="6:6" x14ac:dyDescent="0.3">
      <c r="F81696" s="193"/>
    </row>
    <row r="81697" spans="6:6" x14ac:dyDescent="0.3">
      <c r="F81697" s="193"/>
    </row>
    <row r="81698" spans="6:6" x14ac:dyDescent="0.3">
      <c r="F81698" s="193"/>
    </row>
    <row r="81699" spans="6:6" x14ac:dyDescent="0.3">
      <c r="F81699" s="193"/>
    </row>
    <row r="81700" spans="6:6" x14ac:dyDescent="0.3">
      <c r="F81700" s="193"/>
    </row>
    <row r="81701" spans="6:6" x14ac:dyDescent="0.3">
      <c r="F81701" s="193"/>
    </row>
    <row r="81702" spans="6:6" x14ac:dyDescent="0.3">
      <c r="F81702" s="193"/>
    </row>
    <row r="81703" spans="6:6" x14ac:dyDescent="0.3">
      <c r="F81703" s="193"/>
    </row>
    <row r="81704" spans="6:6" x14ac:dyDescent="0.3">
      <c r="F81704" s="193"/>
    </row>
    <row r="81705" spans="6:6" x14ac:dyDescent="0.3">
      <c r="F81705" s="193"/>
    </row>
    <row r="81706" spans="6:6" x14ac:dyDescent="0.3">
      <c r="F81706" s="193"/>
    </row>
    <row r="81707" spans="6:6" x14ac:dyDescent="0.3">
      <c r="F81707" s="193"/>
    </row>
    <row r="81708" spans="6:6" x14ac:dyDescent="0.3">
      <c r="F81708" s="193"/>
    </row>
    <row r="81709" spans="6:6" x14ac:dyDescent="0.3">
      <c r="F81709" s="193"/>
    </row>
    <row r="81710" spans="6:6" x14ac:dyDescent="0.3">
      <c r="F81710" s="193"/>
    </row>
    <row r="81711" spans="6:6" x14ac:dyDescent="0.3">
      <c r="F81711" s="193"/>
    </row>
    <row r="81712" spans="6:6" x14ac:dyDescent="0.3">
      <c r="F81712" s="193"/>
    </row>
    <row r="81713" spans="6:6" x14ac:dyDescent="0.3">
      <c r="F81713" s="193"/>
    </row>
    <row r="81714" spans="6:6" x14ac:dyDescent="0.3">
      <c r="F81714" s="193"/>
    </row>
    <row r="81715" spans="6:6" x14ac:dyDescent="0.3">
      <c r="F81715" s="193"/>
    </row>
    <row r="81716" spans="6:6" x14ac:dyDescent="0.3">
      <c r="F81716" s="193"/>
    </row>
    <row r="81717" spans="6:6" x14ac:dyDescent="0.3">
      <c r="F81717" s="193"/>
    </row>
    <row r="81718" spans="6:6" x14ac:dyDescent="0.3">
      <c r="F81718" s="193"/>
    </row>
    <row r="81719" spans="6:6" x14ac:dyDescent="0.3">
      <c r="F81719" s="193"/>
    </row>
    <row r="81720" spans="6:6" x14ac:dyDescent="0.3">
      <c r="F81720" s="193"/>
    </row>
    <row r="81721" spans="6:6" x14ac:dyDescent="0.3">
      <c r="F81721" s="193"/>
    </row>
    <row r="81722" spans="6:6" x14ac:dyDescent="0.3">
      <c r="F81722" s="193"/>
    </row>
    <row r="81723" spans="6:6" x14ac:dyDescent="0.3">
      <c r="F81723" s="193"/>
    </row>
    <row r="81724" spans="6:6" x14ac:dyDescent="0.3">
      <c r="F81724" s="193"/>
    </row>
    <row r="81725" spans="6:6" x14ac:dyDescent="0.3">
      <c r="F81725" s="193"/>
    </row>
    <row r="81726" spans="6:6" x14ac:dyDescent="0.3">
      <c r="F81726" s="193"/>
    </row>
    <row r="81727" spans="6:6" x14ac:dyDescent="0.3">
      <c r="F81727" s="193"/>
    </row>
    <row r="81728" spans="6:6" x14ac:dyDescent="0.3">
      <c r="F81728" s="193"/>
    </row>
    <row r="81729" spans="6:6" x14ac:dyDescent="0.3">
      <c r="F81729" s="193"/>
    </row>
    <row r="81730" spans="6:6" x14ac:dyDescent="0.3">
      <c r="F81730" s="193"/>
    </row>
    <row r="81731" spans="6:6" x14ac:dyDescent="0.3">
      <c r="F81731" s="193"/>
    </row>
    <row r="81732" spans="6:6" x14ac:dyDescent="0.3">
      <c r="F81732" s="193"/>
    </row>
    <row r="81733" spans="6:6" x14ac:dyDescent="0.3">
      <c r="F81733" s="193"/>
    </row>
    <row r="81734" spans="6:6" x14ac:dyDescent="0.3">
      <c r="F81734" s="193"/>
    </row>
    <row r="81735" spans="6:6" x14ac:dyDescent="0.3">
      <c r="F81735" s="193"/>
    </row>
    <row r="81736" spans="6:6" x14ac:dyDescent="0.3">
      <c r="F81736" s="193"/>
    </row>
    <row r="81737" spans="6:6" x14ac:dyDescent="0.3">
      <c r="F81737" s="193"/>
    </row>
    <row r="81738" spans="6:6" x14ac:dyDescent="0.3">
      <c r="F81738" s="193"/>
    </row>
    <row r="81739" spans="6:6" x14ac:dyDescent="0.3">
      <c r="F81739" s="193"/>
    </row>
    <row r="81740" spans="6:6" x14ac:dyDescent="0.3">
      <c r="F81740" s="193"/>
    </row>
    <row r="81741" spans="6:6" x14ac:dyDescent="0.3">
      <c r="F81741" s="193"/>
    </row>
    <row r="81742" spans="6:6" x14ac:dyDescent="0.3">
      <c r="F81742" s="193"/>
    </row>
    <row r="81743" spans="6:6" x14ac:dyDescent="0.3">
      <c r="F81743" s="193"/>
    </row>
    <row r="81744" spans="6:6" x14ac:dyDescent="0.3">
      <c r="F81744" s="193"/>
    </row>
    <row r="81745" spans="6:6" x14ac:dyDescent="0.3">
      <c r="F81745" s="193"/>
    </row>
    <row r="81746" spans="6:6" x14ac:dyDescent="0.3">
      <c r="F81746" s="193"/>
    </row>
    <row r="81747" spans="6:6" x14ac:dyDescent="0.3">
      <c r="F81747" s="193"/>
    </row>
    <row r="81748" spans="6:6" x14ac:dyDescent="0.3">
      <c r="F81748" s="193"/>
    </row>
    <row r="81749" spans="6:6" x14ac:dyDescent="0.3">
      <c r="F81749" s="193"/>
    </row>
    <row r="81750" spans="6:6" x14ac:dyDescent="0.3">
      <c r="F81750" s="193"/>
    </row>
    <row r="81751" spans="6:6" x14ac:dyDescent="0.3">
      <c r="F81751" s="193"/>
    </row>
    <row r="81752" spans="6:6" x14ac:dyDescent="0.3">
      <c r="F81752" s="193"/>
    </row>
    <row r="81753" spans="6:6" x14ac:dyDescent="0.3">
      <c r="F81753" s="193"/>
    </row>
    <row r="81754" spans="6:6" x14ac:dyDescent="0.3">
      <c r="F81754" s="193"/>
    </row>
    <row r="81755" spans="6:6" x14ac:dyDescent="0.3">
      <c r="F81755" s="193"/>
    </row>
    <row r="81756" spans="6:6" x14ac:dyDescent="0.3">
      <c r="F81756" s="193"/>
    </row>
    <row r="81757" spans="6:6" x14ac:dyDescent="0.3">
      <c r="F81757" s="193"/>
    </row>
    <row r="81758" spans="6:6" x14ac:dyDescent="0.3">
      <c r="F81758" s="193"/>
    </row>
    <row r="81759" spans="6:6" x14ac:dyDescent="0.3">
      <c r="F81759" s="193"/>
    </row>
    <row r="81760" spans="6:6" x14ac:dyDescent="0.3">
      <c r="F81760" s="193"/>
    </row>
    <row r="81761" spans="6:6" x14ac:dyDescent="0.3">
      <c r="F81761" s="193"/>
    </row>
    <row r="81762" spans="6:6" x14ac:dyDescent="0.3">
      <c r="F81762" s="193"/>
    </row>
    <row r="81763" spans="6:6" x14ac:dyDescent="0.3">
      <c r="F81763" s="193"/>
    </row>
    <row r="81764" spans="6:6" x14ac:dyDescent="0.3">
      <c r="F81764" s="193"/>
    </row>
    <row r="81765" spans="6:6" x14ac:dyDescent="0.3">
      <c r="F81765" s="193"/>
    </row>
    <row r="81766" spans="6:6" x14ac:dyDescent="0.3">
      <c r="F81766" s="193"/>
    </row>
    <row r="81767" spans="6:6" x14ac:dyDescent="0.3">
      <c r="F81767" s="193"/>
    </row>
    <row r="81768" spans="6:6" x14ac:dyDescent="0.3">
      <c r="F81768" s="193"/>
    </row>
    <row r="81769" spans="6:6" x14ac:dyDescent="0.3">
      <c r="F81769" s="193"/>
    </row>
    <row r="81770" spans="6:6" x14ac:dyDescent="0.3">
      <c r="F81770" s="193"/>
    </row>
    <row r="81771" spans="6:6" x14ac:dyDescent="0.3">
      <c r="F81771" s="193"/>
    </row>
    <row r="81772" spans="6:6" x14ac:dyDescent="0.3">
      <c r="F81772" s="193"/>
    </row>
    <row r="81773" spans="6:6" x14ac:dyDescent="0.3">
      <c r="F81773" s="193"/>
    </row>
    <row r="81774" spans="6:6" x14ac:dyDescent="0.3">
      <c r="F81774" s="193"/>
    </row>
    <row r="81775" spans="6:6" x14ac:dyDescent="0.3">
      <c r="F81775" s="193"/>
    </row>
    <row r="81776" spans="6:6" x14ac:dyDescent="0.3">
      <c r="F81776" s="193"/>
    </row>
    <row r="81777" spans="6:6" x14ac:dyDescent="0.3">
      <c r="F81777" s="193"/>
    </row>
    <row r="81778" spans="6:6" x14ac:dyDescent="0.3">
      <c r="F81778" s="193"/>
    </row>
    <row r="81779" spans="6:6" x14ac:dyDescent="0.3">
      <c r="F81779" s="193"/>
    </row>
    <row r="81780" spans="6:6" x14ac:dyDescent="0.3">
      <c r="F81780" s="193"/>
    </row>
    <row r="81781" spans="6:6" x14ac:dyDescent="0.3">
      <c r="F81781" s="193"/>
    </row>
    <row r="81782" spans="6:6" x14ac:dyDescent="0.3">
      <c r="F81782" s="193"/>
    </row>
    <row r="81783" spans="6:6" x14ac:dyDescent="0.3">
      <c r="F81783" s="193"/>
    </row>
    <row r="81784" spans="6:6" x14ac:dyDescent="0.3">
      <c r="F81784" s="193"/>
    </row>
    <row r="81785" spans="6:6" x14ac:dyDescent="0.3">
      <c r="F81785" s="193"/>
    </row>
    <row r="81786" spans="6:6" x14ac:dyDescent="0.3">
      <c r="F81786" s="193"/>
    </row>
    <row r="81787" spans="6:6" x14ac:dyDescent="0.3">
      <c r="F81787" s="193"/>
    </row>
    <row r="81788" spans="6:6" x14ac:dyDescent="0.3">
      <c r="F81788" s="193"/>
    </row>
    <row r="81789" spans="6:6" x14ac:dyDescent="0.3">
      <c r="F81789" s="193"/>
    </row>
    <row r="81790" spans="6:6" x14ac:dyDescent="0.3">
      <c r="F81790" s="193"/>
    </row>
    <row r="81791" spans="6:6" x14ac:dyDescent="0.3">
      <c r="F81791" s="193"/>
    </row>
    <row r="81792" spans="6:6" x14ac:dyDescent="0.3">
      <c r="F81792" s="193"/>
    </row>
    <row r="81793" spans="6:6" x14ac:dyDescent="0.3">
      <c r="F81793" s="193"/>
    </row>
    <row r="81794" spans="6:6" x14ac:dyDescent="0.3">
      <c r="F81794" s="193"/>
    </row>
    <row r="81795" spans="6:6" x14ac:dyDescent="0.3">
      <c r="F81795" s="193"/>
    </row>
    <row r="81796" spans="6:6" x14ac:dyDescent="0.3">
      <c r="F81796" s="193"/>
    </row>
    <row r="81797" spans="6:6" x14ac:dyDescent="0.3">
      <c r="F81797" s="193"/>
    </row>
    <row r="81798" spans="6:6" x14ac:dyDescent="0.3">
      <c r="F81798" s="193"/>
    </row>
    <row r="81799" spans="6:6" x14ac:dyDescent="0.3">
      <c r="F81799" s="193"/>
    </row>
    <row r="81800" spans="6:6" x14ac:dyDescent="0.3">
      <c r="F81800" s="193"/>
    </row>
    <row r="81801" spans="6:6" x14ac:dyDescent="0.3">
      <c r="F81801" s="193"/>
    </row>
    <row r="81802" spans="6:6" x14ac:dyDescent="0.3">
      <c r="F81802" s="193"/>
    </row>
    <row r="81803" spans="6:6" x14ac:dyDescent="0.3">
      <c r="F81803" s="193"/>
    </row>
    <row r="81804" spans="6:6" x14ac:dyDescent="0.3">
      <c r="F81804" s="193"/>
    </row>
    <row r="81805" spans="6:6" x14ac:dyDescent="0.3">
      <c r="F81805" s="193"/>
    </row>
    <row r="81806" spans="6:6" x14ac:dyDescent="0.3">
      <c r="F81806" s="193"/>
    </row>
    <row r="81807" spans="6:6" x14ac:dyDescent="0.3">
      <c r="F81807" s="193"/>
    </row>
    <row r="81808" spans="6:6" x14ac:dyDescent="0.3">
      <c r="F81808" s="193"/>
    </row>
    <row r="81809" spans="6:6" x14ac:dyDescent="0.3">
      <c r="F81809" s="193"/>
    </row>
    <row r="81810" spans="6:6" x14ac:dyDescent="0.3">
      <c r="F81810" s="193"/>
    </row>
    <row r="81811" spans="6:6" x14ac:dyDescent="0.3">
      <c r="F81811" s="193"/>
    </row>
    <row r="81812" spans="6:6" x14ac:dyDescent="0.3">
      <c r="F81812" s="193"/>
    </row>
    <row r="81813" spans="6:6" x14ac:dyDescent="0.3">
      <c r="F81813" s="193"/>
    </row>
    <row r="81814" spans="6:6" x14ac:dyDescent="0.3">
      <c r="F81814" s="193"/>
    </row>
    <row r="81815" spans="6:6" x14ac:dyDescent="0.3">
      <c r="F81815" s="193"/>
    </row>
    <row r="81816" spans="6:6" x14ac:dyDescent="0.3">
      <c r="F81816" s="193"/>
    </row>
    <row r="81817" spans="6:6" x14ac:dyDescent="0.3">
      <c r="F81817" s="193"/>
    </row>
    <row r="81818" spans="6:6" x14ac:dyDescent="0.3">
      <c r="F81818" s="193"/>
    </row>
    <row r="81819" spans="6:6" x14ac:dyDescent="0.3">
      <c r="F81819" s="193"/>
    </row>
    <row r="81820" spans="6:6" x14ac:dyDescent="0.3">
      <c r="F81820" s="193"/>
    </row>
    <row r="81821" spans="6:6" x14ac:dyDescent="0.3">
      <c r="F81821" s="193"/>
    </row>
    <row r="81822" spans="6:6" x14ac:dyDescent="0.3">
      <c r="F81822" s="193"/>
    </row>
    <row r="81823" spans="6:6" x14ac:dyDescent="0.3">
      <c r="F81823" s="193"/>
    </row>
    <row r="81824" spans="6:6" x14ac:dyDescent="0.3">
      <c r="F81824" s="193"/>
    </row>
    <row r="81825" spans="6:6" x14ac:dyDescent="0.3">
      <c r="F81825" s="193"/>
    </row>
    <row r="81826" spans="6:6" x14ac:dyDescent="0.3">
      <c r="F81826" s="193"/>
    </row>
    <row r="81827" spans="6:6" x14ac:dyDescent="0.3">
      <c r="F81827" s="193"/>
    </row>
    <row r="81828" spans="6:6" x14ac:dyDescent="0.3">
      <c r="F81828" s="193"/>
    </row>
    <row r="81829" spans="6:6" x14ac:dyDescent="0.3">
      <c r="F81829" s="193"/>
    </row>
    <row r="81830" spans="6:6" x14ac:dyDescent="0.3">
      <c r="F81830" s="193"/>
    </row>
    <row r="81831" spans="6:6" x14ac:dyDescent="0.3">
      <c r="F81831" s="193"/>
    </row>
    <row r="81832" spans="6:6" x14ac:dyDescent="0.3">
      <c r="F81832" s="193"/>
    </row>
    <row r="81833" spans="6:6" x14ac:dyDescent="0.3">
      <c r="F81833" s="193"/>
    </row>
    <row r="81834" spans="6:6" x14ac:dyDescent="0.3">
      <c r="F81834" s="193"/>
    </row>
    <row r="81835" spans="6:6" x14ac:dyDescent="0.3">
      <c r="F81835" s="193"/>
    </row>
    <row r="81836" spans="6:6" x14ac:dyDescent="0.3">
      <c r="F81836" s="193"/>
    </row>
    <row r="81837" spans="6:6" x14ac:dyDescent="0.3">
      <c r="F81837" s="193"/>
    </row>
    <row r="81838" spans="6:6" x14ac:dyDescent="0.3">
      <c r="F81838" s="193"/>
    </row>
    <row r="81839" spans="6:6" x14ac:dyDescent="0.3">
      <c r="F81839" s="193"/>
    </row>
    <row r="81840" spans="6:6" x14ac:dyDescent="0.3">
      <c r="F81840" s="193"/>
    </row>
    <row r="81841" spans="6:6" x14ac:dyDescent="0.3">
      <c r="F81841" s="193"/>
    </row>
    <row r="81842" spans="6:6" x14ac:dyDescent="0.3">
      <c r="F81842" s="193"/>
    </row>
    <row r="81843" spans="6:6" x14ac:dyDescent="0.3">
      <c r="F81843" s="193"/>
    </row>
    <row r="81844" spans="6:6" x14ac:dyDescent="0.3">
      <c r="F81844" s="193"/>
    </row>
    <row r="81845" spans="6:6" x14ac:dyDescent="0.3">
      <c r="F81845" s="193"/>
    </row>
    <row r="81846" spans="6:6" x14ac:dyDescent="0.3">
      <c r="F81846" s="193"/>
    </row>
    <row r="81847" spans="6:6" x14ac:dyDescent="0.3">
      <c r="F81847" s="193"/>
    </row>
    <row r="81848" spans="6:6" x14ac:dyDescent="0.3">
      <c r="F81848" s="193"/>
    </row>
    <row r="81849" spans="6:6" x14ac:dyDescent="0.3">
      <c r="F81849" s="193"/>
    </row>
    <row r="81850" spans="6:6" x14ac:dyDescent="0.3">
      <c r="F81850" s="193"/>
    </row>
    <row r="81851" spans="6:6" x14ac:dyDescent="0.3">
      <c r="F81851" s="193"/>
    </row>
    <row r="81852" spans="6:6" x14ac:dyDescent="0.3">
      <c r="F81852" s="193"/>
    </row>
    <row r="81853" spans="6:6" x14ac:dyDescent="0.3">
      <c r="F81853" s="193"/>
    </row>
    <row r="81854" spans="6:6" x14ac:dyDescent="0.3">
      <c r="F81854" s="193"/>
    </row>
    <row r="81855" spans="6:6" x14ac:dyDescent="0.3">
      <c r="F81855" s="193"/>
    </row>
    <row r="81856" spans="6:6" x14ac:dyDescent="0.3">
      <c r="F81856" s="193"/>
    </row>
    <row r="81857" spans="6:6" x14ac:dyDescent="0.3">
      <c r="F81857" s="193"/>
    </row>
    <row r="81858" spans="6:6" x14ac:dyDescent="0.3">
      <c r="F81858" s="193"/>
    </row>
    <row r="81859" spans="6:6" x14ac:dyDescent="0.3">
      <c r="F81859" s="193"/>
    </row>
    <row r="81860" spans="6:6" x14ac:dyDescent="0.3">
      <c r="F81860" s="193"/>
    </row>
    <row r="81861" spans="6:6" x14ac:dyDescent="0.3">
      <c r="F81861" s="193"/>
    </row>
    <row r="81862" spans="6:6" x14ac:dyDescent="0.3">
      <c r="F81862" s="193"/>
    </row>
    <row r="81863" spans="6:6" x14ac:dyDescent="0.3">
      <c r="F81863" s="193"/>
    </row>
    <row r="81864" spans="6:6" x14ac:dyDescent="0.3">
      <c r="F81864" s="193"/>
    </row>
    <row r="81865" spans="6:6" x14ac:dyDescent="0.3">
      <c r="F81865" s="193"/>
    </row>
    <row r="81866" spans="6:6" x14ac:dyDescent="0.3">
      <c r="F81866" s="193"/>
    </row>
    <row r="81867" spans="6:6" x14ac:dyDescent="0.3">
      <c r="F81867" s="193"/>
    </row>
    <row r="81868" spans="6:6" x14ac:dyDescent="0.3">
      <c r="F81868" s="193"/>
    </row>
    <row r="81869" spans="6:6" x14ac:dyDescent="0.3">
      <c r="F81869" s="193"/>
    </row>
    <row r="81870" spans="6:6" x14ac:dyDescent="0.3">
      <c r="F81870" s="193"/>
    </row>
    <row r="81871" spans="6:6" x14ac:dyDescent="0.3">
      <c r="F81871" s="193"/>
    </row>
    <row r="81872" spans="6:6" x14ac:dyDescent="0.3">
      <c r="F81872" s="193"/>
    </row>
    <row r="81873" spans="6:6" x14ac:dyDescent="0.3">
      <c r="F81873" s="193"/>
    </row>
    <row r="81874" spans="6:6" x14ac:dyDescent="0.3">
      <c r="F81874" s="193"/>
    </row>
    <row r="81875" spans="6:6" x14ac:dyDescent="0.3">
      <c r="F81875" s="193"/>
    </row>
    <row r="81876" spans="6:6" x14ac:dyDescent="0.3">
      <c r="F81876" s="193"/>
    </row>
    <row r="81877" spans="6:6" x14ac:dyDescent="0.3">
      <c r="F81877" s="193"/>
    </row>
    <row r="81878" spans="6:6" x14ac:dyDescent="0.3">
      <c r="F81878" s="193"/>
    </row>
    <row r="81879" spans="6:6" x14ac:dyDescent="0.3">
      <c r="F81879" s="193"/>
    </row>
    <row r="81880" spans="6:6" x14ac:dyDescent="0.3">
      <c r="F81880" s="193"/>
    </row>
    <row r="81881" spans="6:6" x14ac:dyDescent="0.3">
      <c r="F81881" s="193"/>
    </row>
    <row r="81882" spans="6:6" x14ac:dyDescent="0.3">
      <c r="F81882" s="193"/>
    </row>
    <row r="81883" spans="6:6" x14ac:dyDescent="0.3">
      <c r="F81883" s="193"/>
    </row>
    <row r="81884" spans="6:6" x14ac:dyDescent="0.3">
      <c r="F81884" s="193"/>
    </row>
    <row r="81885" spans="6:6" x14ac:dyDescent="0.3">
      <c r="F81885" s="193"/>
    </row>
    <row r="81886" spans="6:6" x14ac:dyDescent="0.3">
      <c r="F81886" s="193"/>
    </row>
    <row r="81887" spans="6:6" x14ac:dyDescent="0.3">
      <c r="F81887" s="193"/>
    </row>
    <row r="81888" spans="6:6" x14ac:dyDescent="0.3">
      <c r="F81888" s="193"/>
    </row>
    <row r="81889" spans="6:6" x14ac:dyDescent="0.3">
      <c r="F81889" s="193"/>
    </row>
    <row r="81890" spans="6:6" x14ac:dyDescent="0.3">
      <c r="F81890" s="193"/>
    </row>
    <row r="81891" spans="6:6" x14ac:dyDescent="0.3">
      <c r="F81891" s="193"/>
    </row>
    <row r="81892" spans="6:6" x14ac:dyDescent="0.3">
      <c r="F81892" s="193"/>
    </row>
    <row r="81893" spans="6:6" x14ac:dyDescent="0.3">
      <c r="F81893" s="193"/>
    </row>
    <row r="81894" spans="6:6" x14ac:dyDescent="0.3">
      <c r="F81894" s="193"/>
    </row>
    <row r="81895" spans="6:6" x14ac:dyDescent="0.3">
      <c r="F81895" s="193"/>
    </row>
    <row r="81896" spans="6:6" x14ac:dyDescent="0.3">
      <c r="F81896" s="193"/>
    </row>
    <row r="81897" spans="6:6" x14ac:dyDescent="0.3">
      <c r="F81897" s="193"/>
    </row>
    <row r="81898" spans="6:6" x14ac:dyDescent="0.3">
      <c r="F81898" s="193"/>
    </row>
    <row r="81899" spans="6:6" x14ac:dyDescent="0.3">
      <c r="F81899" s="193"/>
    </row>
    <row r="81900" spans="6:6" x14ac:dyDescent="0.3">
      <c r="F81900" s="193"/>
    </row>
    <row r="81901" spans="6:6" x14ac:dyDescent="0.3">
      <c r="F81901" s="193"/>
    </row>
    <row r="81902" spans="6:6" x14ac:dyDescent="0.3">
      <c r="F81902" s="193"/>
    </row>
    <row r="81903" spans="6:6" x14ac:dyDescent="0.3">
      <c r="F81903" s="193"/>
    </row>
    <row r="81904" spans="6:6" x14ac:dyDescent="0.3">
      <c r="F81904" s="193"/>
    </row>
    <row r="81905" spans="6:6" x14ac:dyDescent="0.3">
      <c r="F81905" s="193"/>
    </row>
    <row r="81906" spans="6:6" x14ac:dyDescent="0.3">
      <c r="F81906" s="193"/>
    </row>
    <row r="81907" spans="6:6" x14ac:dyDescent="0.3">
      <c r="F81907" s="193"/>
    </row>
    <row r="81908" spans="6:6" x14ac:dyDescent="0.3">
      <c r="F81908" s="193"/>
    </row>
    <row r="81909" spans="6:6" x14ac:dyDescent="0.3">
      <c r="F81909" s="193"/>
    </row>
    <row r="81910" spans="6:6" x14ac:dyDescent="0.3">
      <c r="F81910" s="193"/>
    </row>
    <row r="81911" spans="6:6" x14ac:dyDescent="0.3">
      <c r="F81911" s="193"/>
    </row>
    <row r="81912" spans="6:6" x14ac:dyDescent="0.3">
      <c r="F81912" s="193"/>
    </row>
    <row r="81913" spans="6:6" x14ac:dyDescent="0.3">
      <c r="F81913" s="193"/>
    </row>
    <row r="81914" spans="6:6" x14ac:dyDescent="0.3">
      <c r="F81914" s="193"/>
    </row>
    <row r="81915" spans="6:6" x14ac:dyDescent="0.3">
      <c r="F81915" s="193"/>
    </row>
    <row r="81916" spans="6:6" x14ac:dyDescent="0.3">
      <c r="F81916" s="193"/>
    </row>
    <row r="81917" spans="6:6" x14ac:dyDescent="0.3">
      <c r="F81917" s="193"/>
    </row>
    <row r="81918" spans="6:6" x14ac:dyDescent="0.3">
      <c r="F81918" s="193"/>
    </row>
    <row r="81919" spans="6:6" x14ac:dyDescent="0.3">
      <c r="F81919" s="193"/>
    </row>
    <row r="81920" spans="6:6" x14ac:dyDescent="0.3">
      <c r="F81920" s="193"/>
    </row>
    <row r="81921" spans="6:6" x14ac:dyDescent="0.3">
      <c r="F81921" s="193"/>
    </row>
    <row r="81922" spans="6:6" x14ac:dyDescent="0.3">
      <c r="F81922" s="193"/>
    </row>
    <row r="81923" spans="6:6" x14ac:dyDescent="0.3">
      <c r="F81923" s="193"/>
    </row>
    <row r="81924" spans="6:6" x14ac:dyDescent="0.3">
      <c r="F81924" s="193"/>
    </row>
    <row r="81925" spans="6:6" x14ac:dyDescent="0.3">
      <c r="F81925" s="193"/>
    </row>
    <row r="81926" spans="6:6" x14ac:dyDescent="0.3">
      <c r="F81926" s="193"/>
    </row>
    <row r="81927" spans="6:6" x14ac:dyDescent="0.3">
      <c r="F81927" s="193"/>
    </row>
    <row r="81928" spans="6:6" x14ac:dyDescent="0.3">
      <c r="F81928" s="193"/>
    </row>
    <row r="81929" spans="6:6" x14ac:dyDescent="0.3">
      <c r="F81929" s="193"/>
    </row>
    <row r="81930" spans="6:6" x14ac:dyDescent="0.3">
      <c r="F81930" s="193"/>
    </row>
    <row r="81931" spans="6:6" x14ac:dyDescent="0.3">
      <c r="F81931" s="193"/>
    </row>
    <row r="81932" spans="6:6" x14ac:dyDescent="0.3">
      <c r="F81932" s="193"/>
    </row>
    <row r="81933" spans="6:6" x14ac:dyDescent="0.3">
      <c r="F81933" s="193"/>
    </row>
    <row r="81934" spans="6:6" x14ac:dyDescent="0.3">
      <c r="F81934" s="193"/>
    </row>
    <row r="81935" spans="6:6" x14ac:dyDescent="0.3">
      <c r="F81935" s="193"/>
    </row>
    <row r="81936" spans="6:6" x14ac:dyDescent="0.3">
      <c r="F81936" s="193"/>
    </row>
    <row r="81937" spans="6:6" x14ac:dyDescent="0.3">
      <c r="F81937" s="193"/>
    </row>
    <row r="81938" spans="6:6" x14ac:dyDescent="0.3">
      <c r="F81938" s="193"/>
    </row>
    <row r="81939" spans="6:6" x14ac:dyDescent="0.3">
      <c r="F81939" s="193"/>
    </row>
    <row r="81940" spans="6:6" x14ac:dyDescent="0.3">
      <c r="F81940" s="193"/>
    </row>
    <row r="81941" spans="6:6" x14ac:dyDescent="0.3">
      <c r="F81941" s="193"/>
    </row>
    <row r="81942" spans="6:6" x14ac:dyDescent="0.3">
      <c r="F81942" s="193"/>
    </row>
    <row r="81943" spans="6:6" x14ac:dyDescent="0.3">
      <c r="F81943" s="193"/>
    </row>
    <row r="81944" spans="6:6" x14ac:dyDescent="0.3">
      <c r="F81944" s="193"/>
    </row>
    <row r="81945" spans="6:6" x14ac:dyDescent="0.3">
      <c r="F81945" s="193"/>
    </row>
    <row r="81946" spans="6:6" x14ac:dyDescent="0.3">
      <c r="F81946" s="193"/>
    </row>
    <row r="81947" spans="6:6" x14ac:dyDescent="0.3">
      <c r="F81947" s="193"/>
    </row>
    <row r="81948" spans="6:6" x14ac:dyDescent="0.3">
      <c r="F81948" s="193"/>
    </row>
    <row r="81949" spans="6:6" x14ac:dyDescent="0.3">
      <c r="F81949" s="193"/>
    </row>
    <row r="81950" spans="6:6" x14ac:dyDescent="0.3">
      <c r="F81950" s="193"/>
    </row>
    <row r="81951" spans="6:6" x14ac:dyDescent="0.3">
      <c r="F81951" s="193"/>
    </row>
    <row r="81952" spans="6:6" x14ac:dyDescent="0.3">
      <c r="F81952" s="193"/>
    </row>
    <row r="81953" spans="6:6" x14ac:dyDescent="0.3">
      <c r="F81953" s="193"/>
    </row>
    <row r="81954" spans="6:6" x14ac:dyDescent="0.3">
      <c r="F81954" s="193"/>
    </row>
    <row r="81955" spans="6:6" x14ac:dyDescent="0.3">
      <c r="F81955" s="193"/>
    </row>
    <row r="81956" spans="6:6" x14ac:dyDescent="0.3">
      <c r="F81956" s="193"/>
    </row>
    <row r="81957" spans="6:6" x14ac:dyDescent="0.3">
      <c r="F81957" s="193"/>
    </row>
    <row r="81958" spans="6:6" x14ac:dyDescent="0.3">
      <c r="F81958" s="193"/>
    </row>
    <row r="81959" spans="6:6" x14ac:dyDescent="0.3">
      <c r="F81959" s="193"/>
    </row>
    <row r="81960" spans="6:6" x14ac:dyDescent="0.3">
      <c r="F81960" s="193"/>
    </row>
    <row r="81961" spans="6:6" x14ac:dyDescent="0.3">
      <c r="F81961" s="193"/>
    </row>
    <row r="81962" spans="6:6" x14ac:dyDescent="0.3">
      <c r="F81962" s="193"/>
    </row>
    <row r="81963" spans="6:6" x14ac:dyDescent="0.3">
      <c r="F81963" s="193"/>
    </row>
    <row r="81964" spans="6:6" x14ac:dyDescent="0.3">
      <c r="F81964" s="193"/>
    </row>
    <row r="81965" spans="6:6" x14ac:dyDescent="0.3">
      <c r="F81965" s="193"/>
    </row>
    <row r="81966" spans="6:6" x14ac:dyDescent="0.3">
      <c r="F81966" s="193"/>
    </row>
    <row r="81967" spans="6:6" x14ac:dyDescent="0.3">
      <c r="F81967" s="193"/>
    </row>
    <row r="81968" spans="6:6" x14ac:dyDescent="0.3">
      <c r="F81968" s="193"/>
    </row>
    <row r="81969" spans="6:6" x14ac:dyDescent="0.3">
      <c r="F81969" s="193"/>
    </row>
    <row r="81970" spans="6:6" x14ac:dyDescent="0.3">
      <c r="F81970" s="193"/>
    </row>
    <row r="81971" spans="6:6" x14ac:dyDescent="0.3">
      <c r="F81971" s="193"/>
    </row>
    <row r="81972" spans="6:6" x14ac:dyDescent="0.3">
      <c r="F81972" s="193"/>
    </row>
    <row r="81973" spans="6:6" x14ac:dyDescent="0.3">
      <c r="F81973" s="193"/>
    </row>
    <row r="81974" spans="6:6" x14ac:dyDescent="0.3">
      <c r="F81974" s="193"/>
    </row>
    <row r="81975" spans="6:6" x14ac:dyDescent="0.3">
      <c r="F81975" s="193"/>
    </row>
    <row r="81976" spans="6:6" x14ac:dyDescent="0.3">
      <c r="F81976" s="193"/>
    </row>
    <row r="81977" spans="6:6" x14ac:dyDescent="0.3">
      <c r="F81977" s="193"/>
    </row>
    <row r="81978" spans="6:6" x14ac:dyDescent="0.3">
      <c r="F81978" s="193"/>
    </row>
    <row r="81979" spans="6:6" x14ac:dyDescent="0.3">
      <c r="F81979" s="193"/>
    </row>
    <row r="81980" spans="6:6" x14ac:dyDescent="0.3">
      <c r="F81980" s="193"/>
    </row>
    <row r="81981" spans="6:6" x14ac:dyDescent="0.3">
      <c r="F81981" s="193"/>
    </row>
    <row r="81982" spans="6:6" x14ac:dyDescent="0.3">
      <c r="F81982" s="193"/>
    </row>
    <row r="81983" spans="6:6" x14ac:dyDescent="0.3">
      <c r="F81983" s="193"/>
    </row>
    <row r="81984" spans="6:6" x14ac:dyDescent="0.3">
      <c r="F81984" s="193"/>
    </row>
    <row r="81985" spans="6:6" x14ac:dyDescent="0.3">
      <c r="F81985" s="193"/>
    </row>
    <row r="81986" spans="6:6" x14ac:dyDescent="0.3">
      <c r="F81986" s="193"/>
    </row>
    <row r="81987" spans="6:6" x14ac:dyDescent="0.3">
      <c r="F81987" s="193"/>
    </row>
    <row r="81988" spans="6:6" x14ac:dyDescent="0.3">
      <c r="F81988" s="193"/>
    </row>
    <row r="81989" spans="6:6" x14ac:dyDescent="0.3">
      <c r="F81989" s="193"/>
    </row>
    <row r="81990" spans="6:6" x14ac:dyDescent="0.3">
      <c r="F81990" s="193"/>
    </row>
    <row r="81991" spans="6:6" x14ac:dyDescent="0.3">
      <c r="F81991" s="193"/>
    </row>
    <row r="81992" spans="6:6" x14ac:dyDescent="0.3">
      <c r="F81992" s="193"/>
    </row>
    <row r="81993" spans="6:6" x14ac:dyDescent="0.3">
      <c r="F81993" s="193"/>
    </row>
    <row r="81994" spans="6:6" x14ac:dyDescent="0.3">
      <c r="F81994" s="193"/>
    </row>
    <row r="81995" spans="6:6" x14ac:dyDescent="0.3">
      <c r="F81995" s="193"/>
    </row>
    <row r="81996" spans="6:6" x14ac:dyDescent="0.3">
      <c r="F81996" s="193"/>
    </row>
    <row r="81997" spans="6:6" x14ac:dyDescent="0.3">
      <c r="F81997" s="193"/>
    </row>
    <row r="81998" spans="6:6" x14ac:dyDescent="0.3">
      <c r="F81998" s="193"/>
    </row>
    <row r="81999" spans="6:6" x14ac:dyDescent="0.3">
      <c r="F81999" s="193"/>
    </row>
    <row r="82000" spans="6:6" x14ac:dyDescent="0.3">
      <c r="F82000" s="193"/>
    </row>
    <row r="82001" spans="6:6" x14ac:dyDescent="0.3">
      <c r="F82001" s="193"/>
    </row>
    <row r="82002" spans="6:6" x14ac:dyDescent="0.3">
      <c r="F82002" s="193"/>
    </row>
    <row r="82003" spans="6:6" x14ac:dyDescent="0.3">
      <c r="F82003" s="193"/>
    </row>
    <row r="82004" spans="6:6" x14ac:dyDescent="0.3">
      <c r="F82004" s="193"/>
    </row>
    <row r="82005" spans="6:6" x14ac:dyDescent="0.3">
      <c r="F82005" s="193"/>
    </row>
    <row r="82006" spans="6:6" x14ac:dyDescent="0.3">
      <c r="F82006" s="193"/>
    </row>
    <row r="82007" spans="6:6" x14ac:dyDescent="0.3">
      <c r="F82007" s="193"/>
    </row>
    <row r="82008" spans="6:6" x14ac:dyDescent="0.3">
      <c r="F82008" s="193"/>
    </row>
    <row r="82009" spans="6:6" x14ac:dyDescent="0.3">
      <c r="F82009" s="193"/>
    </row>
    <row r="82010" spans="6:6" x14ac:dyDescent="0.3">
      <c r="F82010" s="193"/>
    </row>
    <row r="82011" spans="6:6" x14ac:dyDescent="0.3">
      <c r="F82011" s="193"/>
    </row>
    <row r="82012" spans="6:6" x14ac:dyDescent="0.3">
      <c r="F82012" s="193"/>
    </row>
    <row r="82013" spans="6:6" x14ac:dyDescent="0.3">
      <c r="F82013" s="193"/>
    </row>
    <row r="82014" spans="6:6" x14ac:dyDescent="0.3">
      <c r="F82014" s="193"/>
    </row>
    <row r="82015" spans="6:6" x14ac:dyDescent="0.3">
      <c r="F82015" s="193"/>
    </row>
    <row r="82016" spans="6:6" x14ac:dyDescent="0.3">
      <c r="F82016" s="193"/>
    </row>
    <row r="82017" spans="6:6" x14ac:dyDescent="0.3">
      <c r="F82017" s="193"/>
    </row>
    <row r="82018" spans="6:6" x14ac:dyDescent="0.3">
      <c r="F82018" s="193"/>
    </row>
    <row r="82019" spans="6:6" x14ac:dyDescent="0.3">
      <c r="F82019" s="193"/>
    </row>
    <row r="82020" spans="6:6" x14ac:dyDescent="0.3">
      <c r="F82020" s="193"/>
    </row>
    <row r="82021" spans="6:6" x14ac:dyDescent="0.3">
      <c r="F82021" s="193"/>
    </row>
    <row r="82022" spans="6:6" x14ac:dyDescent="0.3">
      <c r="F82022" s="193"/>
    </row>
    <row r="82023" spans="6:6" x14ac:dyDescent="0.3">
      <c r="F82023" s="193"/>
    </row>
    <row r="82024" spans="6:6" x14ac:dyDescent="0.3">
      <c r="F82024" s="193"/>
    </row>
    <row r="82025" spans="6:6" x14ac:dyDescent="0.3">
      <c r="F82025" s="193"/>
    </row>
    <row r="82026" spans="6:6" x14ac:dyDescent="0.3">
      <c r="F82026" s="193"/>
    </row>
    <row r="82027" spans="6:6" x14ac:dyDescent="0.3">
      <c r="F82027" s="193"/>
    </row>
    <row r="82028" spans="6:6" x14ac:dyDescent="0.3">
      <c r="F82028" s="193"/>
    </row>
    <row r="82029" spans="6:6" x14ac:dyDescent="0.3">
      <c r="F82029" s="193"/>
    </row>
    <row r="82030" spans="6:6" x14ac:dyDescent="0.3">
      <c r="F82030" s="193"/>
    </row>
    <row r="82031" spans="6:6" x14ac:dyDescent="0.3">
      <c r="F82031" s="193"/>
    </row>
    <row r="82032" spans="6:6" x14ac:dyDescent="0.3">
      <c r="F82032" s="193"/>
    </row>
    <row r="82033" spans="6:6" x14ac:dyDescent="0.3">
      <c r="F82033" s="193"/>
    </row>
    <row r="82034" spans="6:6" x14ac:dyDescent="0.3">
      <c r="F82034" s="193"/>
    </row>
    <row r="82035" spans="6:6" x14ac:dyDescent="0.3">
      <c r="F82035" s="193"/>
    </row>
    <row r="82036" spans="6:6" x14ac:dyDescent="0.3">
      <c r="F82036" s="193"/>
    </row>
    <row r="82037" spans="6:6" x14ac:dyDescent="0.3">
      <c r="F82037" s="193"/>
    </row>
    <row r="82038" spans="6:6" x14ac:dyDescent="0.3">
      <c r="F82038" s="193"/>
    </row>
    <row r="82039" spans="6:6" x14ac:dyDescent="0.3">
      <c r="F82039" s="193"/>
    </row>
    <row r="82040" spans="6:6" x14ac:dyDescent="0.3">
      <c r="F82040" s="193"/>
    </row>
    <row r="82041" spans="6:6" x14ac:dyDescent="0.3">
      <c r="F82041" s="193"/>
    </row>
    <row r="82042" spans="6:6" x14ac:dyDescent="0.3">
      <c r="F82042" s="193"/>
    </row>
    <row r="82043" spans="6:6" x14ac:dyDescent="0.3">
      <c r="F82043" s="193"/>
    </row>
    <row r="82044" spans="6:6" x14ac:dyDescent="0.3">
      <c r="F82044" s="193"/>
    </row>
    <row r="82045" spans="6:6" x14ac:dyDescent="0.3">
      <c r="F82045" s="193"/>
    </row>
    <row r="82046" spans="6:6" x14ac:dyDescent="0.3">
      <c r="F82046" s="193"/>
    </row>
    <row r="82047" spans="6:6" x14ac:dyDescent="0.3">
      <c r="F82047" s="193"/>
    </row>
    <row r="82048" spans="6:6" x14ac:dyDescent="0.3">
      <c r="F82048" s="193"/>
    </row>
    <row r="82049" spans="6:6" x14ac:dyDescent="0.3">
      <c r="F82049" s="193"/>
    </row>
    <row r="82050" spans="6:6" x14ac:dyDescent="0.3">
      <c r="F82050" s="193"/>
    </row>
    <row r="82051" spans="6:6" x14ac:dyDescent="0.3">
      <c r="F82051" s="193"/>
    </row>
    <row r="82052" spans="6:6" x14ac:dyDescent="0.3">
      <c r="F82052" s="193"/>
    </row>
    <row r="82053" spans="6:6" x14ac:dyDescent="0.3">
      <c r="F82053" s="193"/>
    </row>
    <row r="82054" spans="6:6" x14ac:dyDescent="0.3">
      <c r="F82054" s="193"/>
    </row>
    <row r="82055" spans="6:6" x14ac:dyDescent="0.3">
      <c r="F82055" s="193"/>
    </row>
    <row r="82056" spans="6:6" x14ac:dyDescent="0.3">
      <c r="F82056" s="193"/>
    </row>
    <row r="82057" spans="6:6" x14ac:dyDescent="0.3">
      <c r="F82057" s="193"/>
    </row>
    <row r="82058" spans="6:6" x14ac:dyDescent="0.3">
      <c r="F82058" s="193"/>
    </row>
    <row r="82059" spans="6:6" x14ac:dyDescent="0.3">
      <c r="F82059" s="193"/>
    </row>
    <row r="82060" spans="6:6" x14ac:dyDescent="0.3">
      <c r="F82060" s="193"/>
    </row>
    <row r="82061" spans="6:6" x14ac:dyDescent="0.3">
      <c r="F82061" s="193"/>
    </row>
    <row r="82062" spans="6:6" x14ac:dyDescent="0.3">
      <c r="F82062" s="193"/>
    </row>
    <row r="82063" spans="6:6" x14ac:dyDescent="0.3">
      <c r="F82063" s="193"/>
    </row>
    <row r="82064" spans="6:6" x14ac:dyDescent="0.3">
      <c r="F82064" s="193"/>
    </row>
    <row r="82065" spans="6:6" x14ac:dyDescent="0.3">
      <c r="F82065" s="193"/>
    </row>
    <row r="82066" spans="6:6" x14ac:dyDescent="0.3">
      <c r="F82066" s="193"/>
    </row>
    <row r="82067" spans="6:6" x14ac:dyDescent="0.3">
      <c r="F82067" s="193"/>
    </row>
    <row r="82068" spans="6:6" x14ac:dyDescent="0.3">
      <c r="F82068" s="193"/>
    </row>
    <row r="82069" spans="6:6" x14ac:dyDescent="0.3">
      <c r="F82069" s="193"/>
    </row>
    <row r="82070" spans="6:6" x14ac:dyDescent="0.3">
      <c r="F82070" s="193"/>
    </row>
    <row r="82071" spans="6:6" x14ac:dyDescent="0.3">
      <c r="F82071" s="193"/>
    </row>
    <row r="82072" spans="6:6" x14ac:dyDescent="0.3">
      <c r="F82072" s="193"/>
    </row>
    <row r="82073" spans="6:6" x14ac:dyDescent="0.3">
      <c r="F82073" s="193"/>
    </row>
    <row r="82074" spans="6:6" x14ac:dyDescent="0.3">
      <c r="F82074" s="193"/>
    </row>
    <row r="82075" spans="6:6" x14ac:dyDescent="0.3">
      <c r="F82075" s="193"/>
    </row>
    <row r="82076" spans="6:6" x14ac:dyDescent="0.3">
      <c r="F82076" s="193"/>
    </row>
    <row r="82077" spans="6:6" x14ac:dyDescent="0.3">
      <c r="F82077" s="193"/>
    </row>
    <row r="82078" spans="6:6" x14ac:dyDescent="0.3">
      <c r="F82078" s="193"/>
    </row>
    <row r="82079" spans="6:6" x14ac:dyDescent="0.3">
      <c r="F82079" s="193"/>
    </row>
    <row r="82080" spans="6:6" x14ac:dyDescent="0.3">
      <c r="F82080" s="193"/>
    </row>
    <row r="82081" spans="6:6" x14ac:dyDescent="0.3">
      <c r="F82081" s="193"/>
    </row>
    <row r="82082" spans="6:6" x14ac:dyDescent="0.3">
      <c r="F82082" s="193"/>
    </row>
    <row r="82083" spans="6:6" x14ac:dyDescent="0.3">
      <c r="F82083" s="193"/>
    </row>
    <row r="82084" spans="6:6" x14ac:dyDescent="0.3">
      <c r="F82084" s="193"/>
    </row>
    <row r="82085" spans="6:6" x14ac:dyDescent="0.3">
      <c r="F82085" s="193"/>
    </row>
    <row r="82086" spans="6:6" x14ac:dyDescent="0.3">
      <c r="F82086" s="193"/>
    </row>
    <row r="82087" spans="6:6" x14ac:dyDescent="0.3">
      <c r="F82087" s="193"/>
    </row>
    <row r="82088" spans="6:6" x14ac:dyDescent="0.3">
      <c r="F82088" s="193"/>
    </row>
    <row r="82089" spans="6:6" x14ac:dyDescent="0.3">
      <c r="F82089" s="193"/>
    </row>
    <row r="82090" spans="6:6" x14ac:dyDescent="0.3">
      <c r="F82090" s="193"/>
    </row>
    <row r="82091" spans="6:6" x14ac:dyDescent="0.3">
      <c r="F82091" s="193"/>
    </row>
    <row r="82092" spans="6:6" x14ac:dyDescent="0.3">
      <c r="F82092" s="193"/>
    </row>
    <row r="82093" spans="6:6" x14ac:dyDescent="0.3">
      <c r="F82093" s="193"/>
    </row>
    <row r="82094" spans="6:6" x14ac:dyDescent="0.3">
      <c r="F82094" s="193"/>
    </row>
    <row r="82095" spans="6:6" x14ac:dyDescent="0.3">
      <c r="F82095" s="193"/>
    </row>
    <row r="82096" spans="6:6" x14ac:dyDescent="0.3">
      <c r="F82096" s="193"/>
    </row>
    <row r="82097" spans="6:6" x14ac:dyDescent="0.3">
      <c r="F82097" s="193"/>
    </row>
    <row r="82098" spans="6:6" x14ac:dyDescent="0.3">
      <c r="F82098" s="193"/>
    </row>
    <row r="82099" spans="6:6" x14ac:dyDescent="0.3">
      <c r="F82099" s="193"/>
    </row>
    <row r="82100" spans="6:6" x14ac:dyDescent="0.3">
      <c r="F82100" s="193"/>
    </row>
    <row r="82101" spans="6:6" x14ac:dyDescent="0.3">
      <c r="F82101" s="193"/>
    </row>
    <row r="82102" spans="6:6" x14ac:dyDescent="0.3">
      <c r="F82102" s="193"/>
    </row>
    <row r="82103" spans="6:6" x14ac:dyDescent="0.3">
      <c r="F82103" s="193"/>
    </row>
    <row r="82104" spans="6:6" x14ac:dyDescent="0.3">
      <c r="F82104" s="193"/>
    </row>
    <row r="82105" spans="6:6" x14ac:dyDescent="0.3">
      <c r="F82105" s="193"/>
    </row>
    <row r="82106" spans="6:6" x14ac:dyDescent="0.3">
      <c r="F82106" s="193"/>
    </row>
    <row r="82107" spans="6:6" x14ac:dyDescent="0.3">
      <c r="F82107" s="193"/>
    </row>
    <row r="82108" spans="6:6" x14ac:dyDescent="0.3">
      <c r="F82108" s="193"/>
    </row>
    <row r="82109" spans="6:6" x14ac:dyDescent="0.3">
      <c r="F82109" s="193"/>
    </row>
    <row r="82110" spans="6:6" x14ac:dyDescent="0.3">
      <c r="F82110" s="193"/>
    </row>
    <row r="82111" spans="6:6" x14ac:dyDescent="0.3">
      <c r="F82111" s="193"/>
    </row>
    <row r="82112" spans="6:6" x14ac:dyDescent="0.3">
      <c r="F82112" s="193"/>
    </row>
    <row r="82113" spans="6:6" x14ac:dyDescent="0.3">
      <c r="F82113" s="193"/>
    </row>
    <row r="82114" spans="6:6" x14ac:dyDescent="0.3">
      <c r="F82114" s="193"/>
    </row>
    <row r="82115" spans="6:6" x14ac:dyDescent="0.3">
      <c r="F82115" s="193"/>
    </row>
    <row r="82116" spans="6:6" x14ac:dyDescent="0.3">
      <c r="F82116" s="193"/>
    </row>
    <row r="82117" spans="6:6" x14ac:dyDescent="0.3">
      <c r="F82117" s="193"/>
    </row>
    <row r="82118" spans="6:6" x14ac:dyDescent="0.3">
      <c r="F82118" s="193"/>
    </row>
    <row r="82119" spans="6:6" x14ac:dyDescent="0.3">
      <c r="F82119" s="193"/>
    </row>
    <row r="82120" spans="6:6" x14ac:dyDescent="0.3">
      <c r="F82120" s="193"/>
    </row>
    <row r="82121" spans="6:6" x14ac:dyDescent="0.3">
      <c r="F82121" s="193"/>
    </row>
    <row r="82122" spans="6:6" x14ac:dyDescent="0.3">
      <c r="F82122" s="193"/>
    </row>
    <row r="82123" spans="6:6" x14ac:dyDescent="0.3">
      <c r="F82123" s="193"/>
    </row>
    <row r="82124" spans="6:6" x14ac:dyDescent="0.3">
      <c r="F82124" s="193"/>
    </row>
    <row r="82125" spans="6:6" x14ac:dyDescent="0.3">
      <c r="F82125" s="193"/>
    </row>
    <row r="82126" spans="6:6" x14ac:dyDescent="0.3">
      <c r="F82126" s="193"/>
    </row>
    <row r="82127" spans="6:6" x14ac:dyDescent="0.3">
      <c r="F82127" s="193"/>
    </row>
    <row r="82128" spans="6:6" x14ac:dyDescent="0.3">
      <c r="F82128" s="193"/>
    </row>
    <row r="82129" spans="6:6" x14ac:dyDescent="0.3">
      <c r="F82129" s="193"/>
    </row>
    <row r="82130" spans="6:6" x14ac:dyDescent="0.3">
      <c r="F82130" s="193"/>
    </row>
    <row r="82131" spans="6:6" x14ac:dyDescent="0.3">
      <c r="F82131" s="193"/>
    </row>
    <row r="82132" spans="6:6" x14ac:dyDescent="0.3">
      <c r="F82132" s="193"/>
    </row>
    <row r="82133" spans="6:6" x14ac:dyDescent="0.3">
      <c r="F82133" s="193"/>
    </row>
    <row r="82134" spans="6:6" x14ac:dyDescent="0.3">
      <c r="F82134" s="193"/>
    </row>
    <row r="82135" spans="6:6" x14ac:dyDescent="0.3">
      <c r="F82135" s="193"/>
    </row>
    <row r="82136" spans="6:6" x14ac:dyDescent="0.3">
      <c r="F82136" s="193"/>
    </row>
    <row r="82137" spans="6:6" x14ac:dyDescent="0.3">
      <c r="F82137" s="193"/>
    </row>
    <row r="82138" spans="6:6" x14ac:dyDescent="0.3">
      <c r="F82138" s="193"/>
    </row>
    <row r="82139" spans="6:6" x14ac:dyDescent="0.3">
      <c r="F82139" s="193"/>
    </row>
    <row r="82140" spans="6:6" x14ac:dyDescent="0.3">
      <c r="F82140" s="193"/>
    </row>
    <row r="82141" spans="6:6" x14ac:dyDescent="0.3">
      <c r="F82141" s="193"/>
    </row>
    <row r="82142" spans="6:6" x14ac:dyDescent="0.3">
      <c r="F82142" s="193"/>
    </row>
    <row r="82143" spans="6:6" x14ac:dyDescent="0.3">
      <c r="F82143" s="193"/>
    </row>
    <row r="82144" spans="6:6" x14ac:dyDescent="0.3">
      <c r="F82144" s="193"/>
    </row>
    <row r="82145" spans="6:6" x14ac:dyDescent="0.3">
      <c r="F82145" s="193"/>
    </row>
    <row r="82146" spans="6:6" x14ac:dyDescent="0.3">
      <c r="F82146" s="193"/>
    </row>
    <row r="82147" spans="6:6" x14ac:dyDescent="0.3">
      <c r="F82147" s="193"/>
    </row>
    <row r="82148" spans="6:6" x14ac:dyDescent="0.3">
      <c r="F82148" s="193"/>
    </row>
    <row r="82149" spans="6:6" x14ac:dyDescent="0.3">
      <c r="F82149" s="193"/>
    </row>
    <row r="82150" spans="6:6" x14ac:dyDescent="0.3">
      <c r="F82150" s="193"/>
    </row>
    <row r="82151" spans="6:6" x14ac:dyDescent="0.3">
      <c r="F82151" s="193"/>
    </row>
    <row r="82152" spans="6:6" x14ac:dyDescent="0.3">
      <c r="F82152" s="193"/>
    </row>
    <row r="82153" spans="6:6" x14ac:dyDescent="0.3">
      <c r="F82153" s="193"/>
    </row>
    <row r="82154" spans="6:6" x14ac:dyDescent="0.3">
      <c r="F82154" s="193"/>
    </row>
    <row r="82155" spans="6:6" x14ac:dyDescent="0.3">
      <c r="F82155" s="193"/>
    </row>
    <row r="82156" spans="6:6" x14ac:dyDescent="0.3">
      <c r="F82156" s="193"/>
    </row>
    <row r="82157" spans="6:6" x14ac:dyDescent="0.3">
      <c r="F82157" s="193"/>
    </row>
    <row r="82158" spans="6:6" x14ac:dyDescent="0.3">
      <c r="F82158" s="193"/>
    </row>
    <row r="82159" spans="6:6" x14ac:dyDescent="0.3">
      <c r="F82159" s="193"/>
    </row>
    <row r="82160" spans="6:6" x14ac:dyDescent="0.3">
      <c r="F82160" s="193"/>
    </row>
    <row r="82161" spans="6:6" x14ac:dyDescent="0.3">
      <c r="F82161" s="193"/>
    </row>
    <row r="82162" spans="6:6" x14ac:dyDescent="0.3">
      <c r="F82162" s="193"/>
    </row>
    <row r="82163" spans="6:6" x14ac:dyDescent="0.3">
      <c r="F82163" s="193"/>
    </row>
    <row r="82164" spans="6:6" x14ac:dyDescent="0.3">
      <c r="F82164" s="193"/>
    </row>
    <row r="82165" spans="6:6" x14ac:dyDescent="0.3">
      <c r="F82165" s="193"/>
    </row>
    <row r="82166" spans="6:6" x14ac:dyDescent="0.3">
      <c r="F82166" s="193"/>
    </row>
    <row r="82167" spans="6:6" x14ac:dyDescent="0.3">
      <c r="F82167" s="193"/>
    </row>
    <row r="82168" spans="6:6" x14ac:dyDescent="0.3">
      <c r="F82168" s="193"/>
    </row>
    <row r="82169" spans="6:6" x14ac:dyDescent="0.3">
      <c r="F82169" s="193"/>
    </row>
    <row r="82170" spans="6:6" x14ac:dyDescent="0.3">
      <c r="F82170" s="193"/>
    </row>
    <row r="82171" spans="6:6" x14ac:dyDescent="0.3">
      <c r="F82171" s="193"/>
    </row>
    <row r="82172" spans="6:6" x14ac:dyDescent="0.3">
      <c r="F82172" s="193"/>
    </row>
    <row r="82173" spans="6:6" x14ac:dyDescent="0.3">
      <c r="F82173" s="193"/>
    </row>
    <row r="82174" spans="6:6" x14ac:dyDescent="0.3">
      <c r="F82174" s="193"/>
    </row>
    <row r="82175" spans="6:6" x14ac:dyDescent="0.3">
      <c r="F82175" s="193"/>
    </row>
    <row r="82176" spans="6:6" x14ac:dyDescent="0.3">
      <c r="F82176" s="193"/>
    </row>
    <row r="82177" spans="6:6" x14ac:dyDescent="0.3">
      <c r="F82177" s="193"/>
    </row>
    <row r="82178" spans="6:6" x14ac:dyDescent="0.3">
      <c r="F82178" s="193"/>
    </row>
    <row r="82179" spans="6:6" x14ac:dyDescent="0.3">
      <c r="F82179" s="193"/>
    </row>
    <row r="82180" spans="6:6" x14ac:dyDescent="0.3">
      <c r="F82180" s="193"/>
    </row>
    <row r="82181" spans="6:6" x14ac:dyDescent="0.3">
      <c r="F82181" s="193"/>
    </row>
    <row r="82182" spans="6:6" x14ac:dyDescent="0.3">
      <c r="F82182" s="193"/>
    </row>
    <row r="82183" spans="6:6" x14ac:dyDescent="0.3">
      <c r="F82183" s="193"/>
    </row>
    <row r="82184" spans="6:6" x14ac:dyDescent="0.3">
      <c r="F82184" s="193"/>
    </row>
    <row r="82185" spans="6:6" x14ac:dyDescent="0.3">
      <c r="F82185" s="193"/>
    </row>
    <row r="82186" spans="6:6" x14ac:dyDescent="0.3">
      <c r="F82186" s="193"/>
    </row>
    <row r="82187" spans="6:6" x14ac:dyDescent="0.3">
      <c r="F82187" s="193"/>
    </row>
    <row r="82188" spans="6:6" x14ac:dyDescent="0.3">
      <c r="F82188" s="193"/>
    </row>
    <row r="82189" spans="6:6" x14ac:dyDescent="0.3">
      <c r="F82189" s="193"/>
    </row>
    <row r="82190" spans="6:6" x14ac:dyDescent="0.3">
      <c r="F82190" s="193"/>
    </row>
    <row r="82191" spans="6:6" x14ac:dyDescent="0.3">
      <c r="F82191" s="193"/>
    </row>
    <row r="82192" spans="6:6" x14ac:dyDescent="0.3">
      <c r="F82192" s="193"/>
    </row>
    <row r="82193" spans="6:6" x14ac:dyDescent="0.3">
      <c r="F82193" s="193"/>
    </row>
    <row r="82194" spans="6:6" x14ac:dyDescent="0.3">
      <c r="F82194" s="193"/>
    </row>
    <row r="82195" spans="6:6" x14ac:dyDescent="0.3">
      <c r="F82195" s="193"/>
    </row>
    <row r="82196" spans="6:6" x14ac:dyDescent="0.3">
      <c r="F82196" s="193"/>
    </row>
    <row r="82197" spans="6:6" x14ac:dyDescent="0.3">
      <c r="F82197" s="193"/>
    </row>
    <row r="82198" spans="6:6" x14ac:dyDescent="0.3">
      <c r="F82198" s="193"/>
    </row>
    <row r="82199" spans="6:6" x14ac:dyDescent="0.3">
      <c r="F82199" s="193"/>
    </row>
    <row r="82200" spans="6:6" x14ac:dyDescent="0.3">
      <c r="F82200" s="193"/>
    </row>
    <row r="82201" spans="6:6" x14ac:dyDescent="0.3">
      <c r="F82201" s="193"/>
    </row>
    <row r="82202" spans="6:6" x14ac:dyDescent="0.3">
      <c r="F82202" s="193"/>
    </row>
    <row r="82203" spans="6:6" x14ac:dyDescent="0.3">
      <c r="F82203" s="193"/>
    </row>
    <row r="82204" spans="6:6" x14ac:dyDescent="0.3">
      <c r="F82204" s="193"/>
    </row>
    <row r="82205" spans="6:6" x14ac:dyDescent="0.3">
      <c r="F82205" s="193"/>
    </row>
    <row r="82206" spans="6:6" x14ac:dyDescent="0.3">
      <c r="F82206" s="193"/>
    </row>
    <row r="82207" spans="6:6" x14ac:dyDescent="0.3">
      <c r="F82207" s="193"/>
    </row>
    <row r="82208" spans="6:6" x14ac:dyDescent="0.3">
      <c r="F82208" s="193"/>
    </row>
    <row r="82209" spans="6:6" x14ac:dyDescent="0.3">
      <c r="F82209" s="193"/>
    </row>
    <row r="82210" spans="6:6" x14ac:dyDescent="0.3">
      <c r="F82210" s="193"/>
    </row>
    <row r="82211" spans="6:6" x14ac:dyDescent="0.3">
      <c r="F82211" s="193"/>
    </row>
    <row r="82212" spans="6:6" x14ac:dyDescent="0.3">
      <c r="F82212" s="193"/>
    </row>
    <row r="82213" spans="6:6" x14ac:dyDescent="0.3">
      <c r="F82213" s="193"/>
    </row>
    <row r="82214" spans="6:6" x14ac:dyDescent="0.3">
      <c r="F82214" s="193"/>
    </row>
    <row r="82215" spans="6:6" x14ac:dyDescent="0.3">
      <c r="F82215" s="193"/>
    </row>
    <row r="82216" spans="6:6" x14ac:dyDescent="0.3">
      <c r="F82216" s="193"/>
    </row>
    <row r="82217" spans="6:6" x14ac:dyDescent="0.3">
      <c r="F82217" s="193"/>
    </row>
    <row r="82218" spans="6:6" x14ac:dyDescent="0.3">
      <c r="F82218" s="193"/>
    </row>
    <row r="82219" spans="6:6" x14ac:dyDescent="0.3">
      <c r="F82219" s="193"/>
    </row>
    <row r="82220" spans="6:6" x14ac:dyDescent="0.3">
      <c r="F82220" s="193"/>
    </row>
    <row r="82221" spans="6:6" x14ac:dyDescent="0.3">
      <c r="F82221" s="193"/>
    </row>
    <row r="82222" spans="6:6" x14ac:dyDescent="0.3">
      <c r="F82222" s="193"/>
    </row>
    <row r="82223" spans="6:6" x14ac:dyDescent="0.3">
      <c r="F82223" s="193"/>
    </row>
    <row r="82224" spans="6:6" x14ac:dyDescent="0.3">
      <c r="F82224" s="193"/>
    </row>
    <row r="82225" spans="6:6" x14ac:dyDescent="0.3">
      <c r="F82225" s="193"/>
    </row>
    <row r="82226" spans="6:6" x14ac:dyDescent="0.3">
      <c r="F82226" s="193"/>
    </row>
    <row r="82227" spans="6:6" x14ac:dyDescent="0.3">
      <c r="F82227" s="193"/>
    </row>
    <row r="82228" spans="6:6" x14ac:dyDescent="0.3">
      <c r="F82228" s="193"/>
    </row>
    <row r="82229" spans="6:6" x14ac:dyDescent="0.3">
      <c r="F82229" s="193"/>
    </row>
    <row r="82230" spans="6:6" x14ac:dyDescent="0.3">
      <c r="F82230" s="193"/>
    </row>
    <row r="82231" spans="6:6" x14ac:dyDescent="0.3">
      <c r="F82231" s="193"/>
    </row>
    <row r="82232" spans="6:6" x14ac:dyDescent="0.3">
      <c r="F82232" s="193"/>
    </row>
    <row r="82233" spans="6:6" x14ac:dyDescent="0.3">
      <c r="F82233" s="193"/>
    </row>
    <row r="82234" spans="6:6" x14ac:dyDescent="0.3">
      <c r="F82234" s="193"/>
    </row>
    <row r="82235" spans="6:6" x14ac:dyDescent="0.3">
      <c r="F82235" s="193"/>
    </row>
    <row r="82236" spans="6:6" x14ac:dyDescent="0.3">
      <c r="F82236" s="193"/>
    </row>
    <row r="82237" spans="6:6" x14ac:dyDescent="0.3">
      <c r="F82237" s="193"/>
    </row>
    <row r="82238" spans="6:6" x14ac:dyDescent="0.3">
      <c r="F82238" s="193"/>
    </row>
    <row r="82239" spans="6:6" x14ac:dyDescent="0.3">
      <c r="F82239" s="193"/>
    </row>
    <row r="82240" spans="6:6" x14ac:dyDescent="0.3">
      <c r="F82240" s="193"/>
    </row>
    <row r="82241" spans="6:6" x14ac:dyDescent="0.3">
      <c r="F82241" s="193"/>
    </row>
    <row r="82242" spans="6:6" x14ac:dyDescent="0.3">
      <c r="F82242" s="193"/>
    </row>
    <row r="82243" spans="6:6" x14ac:dyDescent="0.3">
      <c r="F82243" s="193"/>
    </row>
    <row r="82244" spans="6:6" x14ac:dyDescent="0.3">
      <c r="F82244" s="193"/>
    </row>
    <row r="82245" spans="6:6" x14ac:dyDescent="0.3">
      <c r="F82245" s="193"/>
    </row>
    <row r="82246" spans="6:6" x14ac:dyDescent="0.3">
      <c r="F82246" s="193"/>
    </row>
    <row r="82247" spans="6:6" x14ac:dyDescent="0.3">
      <c r="F82247" s="193"/>
    </row>
    <row r="82248" spans="6:6" x14ac:dyDescent="0.3">
      <c r="F82248" s="193"/>
    </row>
    <row r="82249" spans="6:6" x14ac:dyDescent="0.3">
      <c r="F82249" s="193"/>
    </row>
    <row r="82250" spans="6:6" x14ac:dyDescent="0.3">
      <c r="F82250" s="193"/>
    </row>
    <row r="82251" spans="6:6" x14ac:dyDescent="0.3">
      <c r="F82251" s="193"/>
    </row>
    <row r="82252" spans="6:6" x14ac:dyDescent="0.3">
      <c r="F82252" s="193"/>
    </row>
    <row r="82253" spans="6:6" x14ac:dyDescent="0.3">
      <c r="F82253" s="193"/>
    </row>
    <row r="82254" spans="6:6" x14ac:dyDescent="0.3">
      <c r="F82254" s="193"/>
    </row>
    <row r="82255" spans="6:6" x14ac:dyDescent="0.3">
      <c r="F82255" s="193"/>
    </row>
    <row r="82256" spans="6:6" x14ac:dyDescent="0.3">
      <c r="F82256" s="193"/>
    </row>
    <row r="82257" spans="6:6" x14ac:dyDescent="0.3">
      <c r="F82257" s="193"/>
    </row>
    <row r="82258" spans="6:6" x14ac:dyDescent="0.3">
      <c r="F82258" s="193"/>
    </row>
    <row r="82259" spans="6:6" x14ac:dyDescent="0.3">
      <c r="F82259" s="193"/>
    </row>
    <row r="82260" spans="6:6" x14ac:dyDescent="0.3">
      <c r="F82260" s="193"/>
    </row>
    <row r="82261" spans="6:6" x14ac:dyDescent="0.3">
      <c r="F82261" s="193"/>
    </row>
    <row r="82262" spans="6:6" x14ac:dyDescent="0.3">
      <c r="F82262" s="193"/>
    </row>
    <row r="82263" spans="6:6" x14ac:dyDescent="0.3">
      <c r="F82263" s="193"/>
    </row>
    <row r="82264" spans="6:6" x14ac:dyDescent="0.3">
      <c r="F82264" s="193"/>
    </row>
    <row r="82265" spans="6:6" x14ac:dyDescent="0.3">
      <c r="F82265" s="193"/>
    </row>
    <row r="82266" spans="6:6" x14ac:dyDescent="0.3">
      <c r="F82266" s="193"/>
    </row>
    <row r="82267" spans="6:6" x14ac:dyDescent="0.3">
      <c r="F82267" s="193"/>
    </row>
    <row r="82268" spans="6:6" x14ac:dyDescent="0.3">
      <c r="F82268" s="193"/>
    </row>
    <row r="82269" spans="6:6" x14ac:dyDescent="0.3">
      <c r="F82269" s="193"/>
    </row>
    <row r="82270" spans="6:6" x14ac:dyDescent="0.3">
      <c r="F82270" s="193"/>
    </row>
    <row r="82271" spans="6:6" x14ac:dyDescent="0.3">
      <c r="F82271" s="193"/>
    </row>
    <row r="82272" spans="6:6" x14ac:dyDescent="0.3">
      <c r="F82272" s="193"/>
    </row>
    <row r="82273" spans="6:6" x14ac:dyDescent="0.3">
      <c r="F82273" s="193"/>
    </row>
    <row r="82274" spans="6:6" x14ac:dyDescent="0.3">
      <c r="F82274" s="193"/>
    </row>
    <row r="82275" spans="6:6" x14ac:dyDescent="0.3">
      <c r="F82275" s="193"/>
    </row>
    <row r="82276" spans="6:6" x14ac:dyDescent="0.3">
      <c r="F82276" s="193"/>
    </row>
    <row r="82277" spans="6:6" x14ac:dyDescent="0.3">
      <c r="F82277" s="193"/>
    </row>
    <row r="82278" spans="6:6" x14ac:dyDescent="0.3">
      <c r="F82278" s="193"/>
    </row>
    <row r="82279" spans="6:6" x14ac:dyDescent="0.3">
      <c r="F82279" s="193"/>
    </row>
    <row r="82280" spans="6:6" x14ac:dyDescent="0.3">
      <c r="F82280" s="193"/>
    </row>
    <row r="82281" spans="6:6" x14ac:dyDescent="0.3">
      <c r="F82281" s="193"/>
    </row>
    <row r="82282" spans="6:6" x14ac:dyDescent="0.3">
      <c r="F82282" s="193"/>
    </row>
    <row r="82283" spans="6:6" x14ac:dyDescent="0.3">
      <c r="F82283" s="193"/>
    </row>
    <row r="82284" spans="6:6" x14ac:dyDescent="0.3">
      <c r="F82284" s="193"/>
    </row>
    <row r="82285" spans="6:6" x14ac:dyDescent="0.3">
      <c r="F82285" s="193"/>
    </row>
    <row r="82286" spans="6:6" x14ac:dyDescent="0.3">
      <c r="F82286" s="193"/>
    </row>
    <row r="82287" spans="6:6" x14ac:dyDescent="0.3">
      <c r="F82287" s="193"/>
    </row>
    <row r="82288" spans="6:6" x14ac:dyDescent="0.3">
      <c r="F82288" s="193"/>
    </row>
    <row r="82289" spans="6:6" x14ac:dyDescent="0.3">
      <c r="F82289" s="193"/>
    </row>
    <row r="82290" spans="6:6" x14ac:dyDescent="0.3">
      <c r="F82290" s="193"/>
    </row>
    <row r="82291" spans="6:6" x14ac:dyDescent="0.3">
      <c r="F82291" s="193"/>
    </row>
    <row r="82292" spans="6:6" x14ac:dyDescent="0.3">
      <c r="F82292" s="193"/>
    </row>
    <row r="82293" spans="6:6" x14ac:dyDescent="0.3">
      <c r="F82293" s="193"/>
    </row>
    <row r="82294" spans="6:6" x14ac:dyDescent="0.3">
      <c r="F82294" s="193"/>
    </row>
    <row r="82295" spans="6:6" x14ac:dyDescent="0.3">
      <c r="F82295" s="193"/>
    </row>
    <row r="82296" spans="6:6" x14ac:dyDescent="0.3">
      <c r="F82296" s="193"/>
    </row>
    <row r="82297" spans="6:6" x14ac:dyDescent="0.3">
      <c r="F82297" s="193"/>
    </row>
    <row r="82298" spans="6:6" x14ac:dyDescent="0.3">
      <c r="F82298" s="193"/>
    </row>
    <row r="82299" spans="6:6" x14ac:dyDescent="0.3">
      <c r="F82299" s="193"/>
    </row>
    <row r="82300" spans="6:6" x14ac:dyDescent="0.3">
      <c r="F82300" s="193"/>
    </row>
    <row r="82301" spans="6:6" x14ac:dyDescent="0.3">
      <c r="F82301" s="193"/>
    </row>
    <row r="82302" spans="6:6" x14ac:dyDescent="0.3">
      <c r="F82302" s="193"/>
    </row>
    <row r="82303" spans="6:6" x14ac:dyDescent="0.3">
      <c r="F82303" s="193"/>
    </row>
    <row r="82304" spans="6:6" x14ac:dyDescent="0.3">
      <c r="F82304" s="193"/>
    </row>
    <row r="82305" spans="6:6" x14ac:dyDescent="0.3">
      <c r="F82305" s="193"/>
    </row>
    <row r="82306" spans="6:6" x14ac:dyDescent="0.3">
      <c r="F82306" s="193"/>
    </row>
    <row r="82307" spans="6:6" x14ac:dyDescent="0.3">
      <c r="F82307" s="193"/>
    </row>
    <row r="82308" spans="6:6" x14ac:dyDescent="0.3">
      <c r="F82308" s="193"/>
    </row>
    <row r="82309" spans="6:6" x14ac:dyDescent="0.3">
      <c r="F82309" s="193"/>
    </row>
    <row r="82310" spans="6:6" x14ac:dyDescent="0.3">
      <c r="F82310" s="193"/>
    </row>
    <row r="82311" spans="6:6" x14ac:dyDescent="0.3">
      <c r="F82311" s="193"/>
    </row>
    <row r="82312" spans="6:6" x14ac:dyDescent="0.3">
      <c r="F82312" s="193"/>
    </row>
    <row r="82313" spans="6:6" x14ac:dyDescent="0.3">
      <c r="F82313" s="193"/>
    </row>
    <row r="82314" spans="6:6" x14ac:dyDescent="0.3">
      <c r="F82314" s="193"/>
    </row>
    <row r="82315" spans="6:6" x14ac:dyDescent="0.3">
      <c r="F82315" s="193"/>
    </row>
    <row r="82316" spans="6:6" x14ac:dyDescent="0.3">
      <c r="F82316" s="193"/>
    </row>
    <row r="82317" spans="6:6" x14ac:dyDescent="0.3">
      <c r="F82317" s="193"/>
    </row>
    <row r="82318" spans="6:6" x14ac:dyDescent="0.3">
      <c r="F82318" s="193"/>
    </row>
    <row r="82319" spans="6:6" x14ac:dyDescent="0.3">
      <c r="F82319" s="193"/>
    </row>
    <row r="82320" spans="6:6" x14ac:dyDescent="0.3">
      <c r="F82320" s="193"/>
    </row>
    <row r="82321" spans="6:6" x14ac:dyDescent="0.3">
      <c r="F82321" s="193"/>
    </row>
    <row r="82322" spans="6:6" x14ac:dyDescent="0.3">
      <c r="F82322" s="193"/>
    </row>
    <row r="82323" spans="6:6" x14ac:dyDescent="0.3">
      <c r="F82323" s="193"/>
    </row>
    <row r="82324" spans="6:6" x14ac:dyDescent="0.3">
      <c r="F82324" s="193"/>
    </row>
    <row r="82325" spans="6:6" x14ac:dyDescent="0.3">
      <c r="F82325" s="193"/>
    </row>
    <row r="82326" spans="6:6" x14ac:dyDescent="0.3">
      <c r="F82326" s="193"/>
    </row>
    <row r="82327" spans="6:6" x14ac:dyDescent="0.3">
      <c r="F82327" s="193"/>
    </row>
    <row r="82328" spans="6:6" x14ac:dyDescent="0.3">
      <c r="F82328" s="193"/>
    </row>
    <row r="82329" spans="6:6" x14ac:dyDescent="0.3">
      <c r="F82329" s="193"/>
    </row>
    <row r="82330" spans="6:6" x14ac:dyDescent="0.3">
      <c r="F82330" s="193"/>
    </row>
    <row r="82331" spans="6:6" x14ac:dyDescent="0.3">
      <c r="F82331" s="193"/>
    </row>
    <row r="82332" spans="6:6" x14ac:dyDescent="0.3">
      <c r="F82332" s="193"/>
    </row>
    <row r="82333" spans="6:6" x14ac:dyDescent="0.3">
      <c r="F82333" s="193"/>
    </row>
    <row r="82334" spans="6:6" x14ac:dyDescent="0.3">
      <c r="F82334" s="193"/>
    </row>
    <row r="82335" spans="6:6" x14ac:dyDescent="0.3">
      <c r="F82335" s="193"/>
    </row>
    <row r="82336" spans="6:6" x14ac:dyDescent="0.3">
      <c r="F82336" s="193"/>
    </row>
    <row r="82337" spans="6:6" x14ac:dyDescent="0.3">
      <c r="F82337" s="193"/>
    </row>
    <row r="82338" spans="6:6" x14ac:dyDescent="0.3">
      <c r="F82338" s="193"/>
    </row>
    <row r="82339" spans="6:6" x14ac:dyDescent="0.3">
      <c r="F82339" s="193"/>
    </row>
    <row r="82340" spans="6:6" x14ac:dyDescent="0.3">
      <c r="F82340" s="193"/>
    </row>
    <row r="82341" spans="6:6" x14ac:dyDescent="0.3">
      <c r="F82341" s="193"/>
    </row>
    <row r="82342" spans="6:6" x14ac:dyDescent="0.3">
      <c r="F82342" s="193"/>
    </row>
    <row r="82343" spans="6:6" x14ac:dyDescent="0.3">
      <c r="F82343" s="193"/>
    </row>
    <row r="82344" spans="6:6" x14ac:dyDescent="0.3">
      <c r="F82344" s="193"/>
    </row>
    <row r="82345" spans="6:6" x14ac:dyDescent="0.3">
      <c r="F82345" s="193"/>
    </row>
    <row r="82346" spans="6:6" x14ac:dyDescent="0.3">
      <c r="F82346" s="193"/>
    </row>
    <row r="82347" spans="6:6" x14ac:dyDescent="0.3">
      <c r="F82347" s="193"/>
    </row>
    <row r="82348" spans="6:6" x14ac:dyDescent="0.3">
      <c r="F82348" s="193"/>
    </row>
    <row r="82349" spans="6:6" x14ac:dyDescent="0.3">
      <c r="F82349" s="193"/>
    </row>
    <row r="82350" spans="6:6" x14ac:dyDescent="0.3">
      <c r="F82350" s="193"/>
    </row>
    <row r="82351" spans="6:6" x14ac:dyDescent="0.3">
      <c r="F82351" s="193"/>
    </row>
    <row r="82352" spans="6:6" x14ac:dyDescent="0.3">
      <c r="F82352" s="193"/>
    </row>
    <row r="82353" spans="6:6" x14ac:dyDescent="0.3">
      <c r="F82353" s="193"/>
    </row>
    <row r="82354" spans="6:6" x14ac:dyDescent="0.3">
      <c r="F82354" s="193"/>
    </row>
    <row r="82355" spans="6:6" x14ac:dyDescent="0.3">
      <c r="F82355" s="193"/>
    </row>
    <row r="82356" spans="6:6" x14ac:dyDescent="0.3">
      <c r="F82356" s="193"/>
    </row>
    <row r="82357" spans="6:6" x14ac:dyDescent="0.3">
      <c r="F82357" s="193"/>
    </row>
    <row r="82358" spans="6:6" x14ac:dyDescent="0.3">
      <c r="F82358" s="193"/>
    </row>
    <row r="82359" spans="6:6" x14ac:dyDescent="0.3">
      <c r="F82359" s="193"/>
    </row>
    <row r="82360" spans="6:6" x14ac:dyDescent="0.3">
      <c r="F82360" s="193"/>
    </row>
    <row r="82361" spans="6:6" x14ac:dyDescent="0.3">
      <c r="F82361" s="193"/>
    </row>
    <row r="82362" spans="6:6" x14ac:dyDescent="0.3">
      <c r="F82362" s="193"/>
    </row>
    <row r="82363" spans="6:6" x14ac:dyDescent="0.3">
      <c r="F82363" s="193"/>
    </row>
    <row r="82364" spans="6:6" x14ac:dyDescent="0.3">
      <c r="F82364" s="193"/>
    </row>
    <row r="82365" spans="6:6" x14ac:dyDescent="0.3">
      <c r="F82365" s="193"/>
    </row>
    <row r="82366" spans="6:6" x14ac:dyDescent="0.3">
      <c r="F82366" s="193"/>
    </row>
    <row r="82367" spans="6:6" x14ac:dyDescent="0.3">
      <c r="F82367" s="193"/>
    </row>
    <row r="82368" spans="6:6" x14ac:dyDescent="0.3">
      <c r="F82368" s="193"/>
    </row>
    <row r="82369" spans="6:6" x14ac:dyDescent="0.3">
      <c r="F82369" s="193"/>
    </row>
    <row r="82370" spans="6:6" x14ac:dyDescent="0.3">
      <c r="F82370" s="193"/>
    </row>
    <row r="82371" spans="6:6" x14ac:dyDescent="0.3">
      <c r="F82371" s="193"/>
    </row>
    <row r="82372" spans="6:6" x14ac:dyDescent="0.3">
      <c r="F82372" s="193"/>
    </row>
    <row r="82373" spans="6:6" x14ac:dyDescent="0.3">
      <c r="F82373" s="193"/>
    </row>
    <row r="82374" spans="6:6" x14ac:dyDescent="0.3">
      <c r="F82374" s="193"/>
    </row>
    <row r="82375" spans="6:6" x14ac:dyDescent="0.3">
      <c r="F82375" s="193"/>
    </row>
    <row r="82376" spans="6:6" x14ac:dyDescent="0.3">
      <c r="F82376" s="193"/>
    </row>
    <row r="82377" spans="6:6" x14ac:dyDescent="0.3">
      <c r="F82377" s="193"/>
    </row>
    <row r="82378" spans="6:6" x14ac:dyDescent="0.3">
      <c r="F82378" s="193"/>
    </row>
    <row r="82379" spans="6:6" x14ac:dyDescent="0.3">
      <c r="F82379" s="193"/>
    </row>
    <row r="82380" spans="6:6" x14ac:dyDescent="0.3">
      <c r="F82380" s="193"/>
    </row>
    <row r="82381" spans="6:6" x14ac:dyDescent="0.3">
      <c r="F82381" s="193"/>
    </row>
    <row r="82382" spans="6:6" x14ac:dyDescent="0.3">
      <c r="F82382" s="193"/>
    </row>
    <row r="82383" spans="6:6" x14ac:dyDescent="0.3">
      <c r="F82383" s="193"/>
    </row>
    <row r="82384" spans="6:6" x14ac:dyDescent="0.3">
      <c r="F82384" s="193"/>
    </row>
    <row r="82385" spans="6:6" x14ac:dyDescent="0.3">
      <c r="F82385" s="193"/>
    </row>
    <row r="82386" spans="6:6" x14ac:dyDescent="0.3">
      <c r="F82386" s="193"/>
    </row>
    <row r="82387" spans="6:6" x14ac:dyDescent="0.3">
      <c r="F82387" s="193"/>
    </row>
    <row r="82388" spans="6:6" x14ac:dyDescent="0.3">
      <c r="F82388" s="193"/>
    </row>
    <row r="82389" spans="6:6" x14ac:dyDescent="0.3">
      <c r="F82389" s="193"/>
    </row>
    <row r="82390" spans="6:6" x14ac:dyDescent="0.3">
      <c r="F82390" s="193"/>
    </row>
    <row r="82391" spans="6:6" x14ac:dyDescent="0.3">
      <c r="F82391" s="193"/>
    </row>
    <row r="82392" spans="6:6" x14ac:dyDescent="0.3">
      <c r="F82392" s="193"/>
    </row>
    <row r="82393" spans="6:6" x14ac:dyDescent="0.3">
      <c r="F82393" s="193"/>
    </row>
    <row r="82394" spans="6:6" x14ac:dyDescent="0.3">
      <c r="F82394" s="193"/>
    </row>
    <row r="82395" spans="6:6" x14ac:dyDescent="0.3">
      <c r="F82395" s="193"/>
    </row>
    <row r="82396" spans="6:6" x14ac:dyDescent="0.3">
      <c r="F82396" s="193"/>
    </row>
    <row r="82397" spans="6:6" x14ac:dyDescent="0.3">
      <c r="F82397" s="193"/>
    </row>
    <row r="82398" spans="6:6" x14ac:dyDescent="0.3">
      <c r="F82398" s="193"/>
    </row>
    <row r="82399" spans="6:6" x14ac:dyDescent="0.3">
      <c r="F82399" s="193"/>
    </row>
    <row r="82400" spans="6:6" x14ac:dyDescent="0.3">
      <c r="F82400" s="193"/>
    </row>
    <row r="82401" spans="6:6" x14ac:dyDescent="0.3">
      <c r="F82401" s="193"/>
    </row>
    <row r="82402" spans="6:6" x14ac:dyDescent="0.3">
      <c r="F82402" s="193"/>
    </row>
    <row r="82403" spans="6:6" x14ac:dyDescent="0.3">
      <c r="F82403" s="193"/>
    </row>
    <row r="82404" spans="6:6" x14ac:dyDescent="0.3">
      <c r="F82404" s="193"/>
    </row>
    <row r="82405" spans="6:6" x14ac:dyDescent="0.3">
      <c r="F82405" s="193"/>
    </row>
    <row r="82406" spans="6:6" x14ac:dyDescent="0.3">
      <c r="F82406" s="193"/>
    </row>
    <row r="82407" spans="6:6" x14ac:dyDescent="0.3">
      <c r="F82407" s="193"/>
    </row>
    <row r="82408" spans="6:6" x14ac:dyDescent="0.3">
      <c r="F82408" s="193"/>
    </row>
    <row r="82409" spans="6:6" x14ac:dyDescent="0.3">
      <c r="F82409" s="193"/>
    </row>
    <row r="82410" spans="6:6" x14ac:dyDescent="0.3">
      <c r="F82410" s="193"/>
    </row>
    <row r="82411" spans="6:6" x14ac:dyDescent="0.3">
      <c r="F82411" s="193"/>
    </row>
    <row r="82412" spans="6:6" x14ac:dyDescent="0.3">
      <c r="F82412" s="193"/>
    </row>
    <row r="82413" spans="6:6" x14ac:dyDescent="0.3">
      <c r="F82413" s="193"/>
    </row>
    <row r="82414" spans="6:6" x14ac:dyDescent="0.3">
      <c r="F82414" s="193"/>
    </row>
    <row r="82415" spans="6:6" x14ac:dyDescent="0.3">
      <c r="F82415" s="193"/>
    </row>
    <row r="82416" spans="6:6" x14ac:dyDescent="0.3">
      <c r="F82416" s="193"/>
    </row>
    <row r="82417" spans="6:6" x14ac:dyDescent="0.3">
      <c r="F82417" s="193"/>
    </row>
    <row r="82418" spans="6:6" x14ac:dyDescent="0.3">
      <c r="F82418" s="193"/>
    </row>
    <row r="82419" spans="6:6" x14ac:dyDescent="0.3">
      <c r="F82419" s="193"/>
    </row>
    <row r="82420" spans="6:6" x14ac:dyDescent="0.3">
      <c r="F82420" s="193"/>
    </row>
    <row r="82421" spans="6:6" x14ac:dyDescent="0.3">
      <c r="F82421" s="193"/>
    </row>
    <row r="82422" spans="6:6" x14ac:dyDescent="0.3">
      <c r="F82422" s="193"/>
    </row>
    <row r="82423" spans="6:6" x14ac:dyDescent="0.3">
      <c r="F82423" s="193"/>
    </row>
    <row r="82424" spans="6:6" x14ac:dyDescent="0.3">
      <c r="F82424" s="193"/>
    </row>
    <row r="82425" spans="6:6" x14ac:dyDescent="0.3">
      <c r="F82425" s="193"/>
    </row>
    <row r="82426" spans="6:6" x14ac:dyDescent="0.3">
      <c r="F82426" s="193"/>
    </row>
    <row r="82427" spans="6:6" x14ac:dyDescent="0.3">
      <c r="F82427" s="193"/>
    </row>
    <row r="82428" spans="6:6" x14ac:dyDescent="0.3">
      <c r="F82428" s="193"/>
    </row>
    <row r="82429" spans="6:6" x14ac:dyDescent="0.3">
      <c r="F82429" s="193"/>
    </row>
    <row r="82430" spans="6:6" x14ac:dyDescent="0.3">
      <c r="F82430" s="193"/>
    </row>
    <row r="82431" spans="6:6" x14ac:dyDescent="0.3">
      <c r="F82431" s="193"/>
    </row>
    <row r="82432" spans="6:6" x14ac:dyDescent="0.3">
      <c r="F82432" s="193"/>
    </row>
    <row r="82433" spans="6:6" x14ac:dyDescent="0.3">
      <c r="F82433" s="193"/>
    </row>
    <row r="82434" spans="6:6" x14ac:dyDescent="0.3">
      <c r="F82434" s="193"/>
    </row>
    <row r="82435" spans="6:6" x14ac:dyDescent="0.3">
      <c r="F82435" s="193"/>
    </row>
    <row r="82436" spans="6:6" x14ac:dyDescent="0.3">
      <c r="F82436" s="193"/>
    </row>
    <row r="82437" spans="6:6" x14ac:dyDescent="0.3">
      <c r="F82437" s="193"/>
    </row>
    <row r="82438" spans="6:6" x14ac:dyDescent="0.3">
      <c r="F82438" s="193"/>
    </row>
    <row r="82439" spans="6:6" x14ac:dyDescent="0.3">
      <c r="F82439" s="193"/>
    </row>
    <row r="82440" spans="6:6" x14ac:dyDescent="0.3">
      <c r="F82440" s="193"/>
    </row>
    <row r="82441" spans="6:6" x14ac:dyDescent="0.3">
      <c r="F82441" s="193"/>
    </row>
    <row r="82442" spans="6:6" x14ac:dyDescent="0.3">
      <c r="F82442" s="193"/>
    </row>
    <row r="82443" spans="6:6" x14ac:dyDescent="0.3">
      <c r="F82443" s="193"/>
    </row>
    <row r="82444" spans="6:6" x14ac:dyDescent="0.3">
      <c r="F82444" s="193"/>
    </row>
    <row r="82445" spans="6:6" x14ac:dyDescent="0.3">
      <c r="F82445" s="193"/>
    </row>
    <row r="82446" spans="6:6" x14ac:dyDescent="0.3">
      <c r="F82446" s="193"/>
    </row>
    <row r="82447" spans="6:6" x14ac:dyDescent="0.3">
      <c r="F82447" s="193"/>
    </row>
    <row r="82448" spans="6:6" x14ac:dyDescent="0.3">
      <c r="F82448" s="193"/>
    </row>
    <row r="82449" spans="6:6" x14ac:dyDescent="0.3">
      <c r="F82449" s="193"/>
    </row>
    <row r="82450" spans="6:6" x14ac:dyDescent="0.3">
      <c r="F82450" s="193"/>
    </row>
    <row r="82451" spans="6:6" x14ac:dyDescent="0.3">
      <c r="F82451" s="193"/>
    </row>
    <row r="82452" spans="6:6" x14ac:dyDescent="0.3">
      <c r="F82452" s="193"/>
    </row>
    <row r="82453" spans="6:6" x14ac:dyDescent="0.3">
      <c r="F82453" s="193"/>
    </row>
    <row r="82454" spans="6:6" x14ac:dyDescent="0.3">
      <c r="F82454" s="193"/>
    </row>
    <row r="82455" spans="6:6" x14ac:dyDescent="0.3">
      <c r="F82455" s="193"/>
    </row>
    <row r="82456" spans="6:6" x14ac:dyDescent="0.3">
      <c r="F82456" s="193"/>
    </row>
    <row r="82457" spans="6:6" x14ac:dyDescent="0.3">
      <c r="F82457" s="193"/>
    </row>
    <row r="82458" spans="6:6" x14ac:dyDescent="0.3">
      <c r="F82458" s="193"/>
    </row>
    <row r="82459" spans="6:6" x14ac:dyDescent="0.3">
      <c r="F82459" s="193"/>
    </row>
    <row r="82460" spans="6:6" x14ac:dyDescent="0.3">
      <c r="F82460" s="193"/>
    </row>
    <row r="82461" spans="6:6" x14ac:dyDescent="0.3">
      <c r="F82461" s="193"/>
    </row>
    <row r="82462" spans="6:6" x14ac:dyDescent="0.3">
      <c r="F82462" s="193"/>
    </row>
    <row r="82463" spans="6:6" x14ac:dyDescent="0.3">
      <c r="F82463" s="193"/>
    </row>
    <row r="82464" spans="6:6" x14ac:dyDescent="0.3">
      <c r="F82464" s="193"/>
    </row>
    <row r="82465" spans="6:6" x14ac:dyDescent="0.3">
      <c r="F82465" s="193"/>
    </row>
    <row r="82466" spans="6:6" x14ac:dyDescent="0.3">
      <c r="F82466" s="193"/>
    </row>
    <row r="82467" spans="6:6" x14ac:dyDescent="0.3">
      <c r="F82467" s="193"/>
    </row>
    <row r="82468" spans="6:6" x14ac:dyDescent="0.3">
      <c r="F82468" s="193"/>
    </row>
    <row r="82469" spans="6:6" x14ac:dyDescent="0.3">
      <c r="F82469" s="193"/>
    </row>
    <row r="82470" spans="6:6" x14ac:dyDescent="0.3">
      <c r="F82470" s="193"/>
    </row>
    <row r="82471" spans="6:6" x14ac:dyDescent="0.3">
      <c r="F82471" s="193"/>
    </row>
    <row r="82472" spans="6:6" x14ac:dyDescent="0.3">
      <c r="F82472" s="193"/>
    </row>
    <row r="82473" spans="6:6" x14ac:dyDescent="0.3">
      <c r="F82473" s="193"/>
    </row>
    <row r="82474" spans="6:6" x14ac:dyDescent="0.3">
      <c r="F82474" s="193"/>
    </row>
    <row r="82475" spans="6:6" x14ac:dyDescent="0.3">
      <c r="F82475" s="193"/>
    </row>
    <row r="82476" spans="6:6" x14ac:dyDescent="0.3">
      <c r="F82476" s="193"/>
    </row>
    <row r="82477" spans="6:6" x14ac:dyDescent="0.3">
      <c r="F82477" s="193"/>
    </row>
    <row r="82478" spans="6:6" x14ac:dyDescent="0.3">
      <c r="F82478" s="193"/>
    </row>
    <row r="82479" spans="6:6" x14ac:dyDescent="0.3">
      <c r="F82479" s="193"/>
    </row>
    <row r="82480" spans="6:6" x14ac:dyDescent="0.3">
      <c r="F82480" s="193"/>
    </row>
    <row r="82481" spans="6:6" x14ac:dyDescent="0.3">
      <c r="F82481" s="193"/>
    </row>
    <row r="82482" spans="6:6" x14ac:dyDescent="0.3">
      <c r="F82482" s="193"/>
    </row>
    <row r="82483" spans="6:6" x14ac:dyDescent="0.3">
      <c r="F82483" s="193"/>
    </row>
    <row r="82484" spans="6:6" x14ac:dyDescent="0.3">
      <c r="F82484" s="193"/>
    </row>
    <row r="82485" spans="6:6" x14ac:dyDescent="0.3">
      <c r="F82485" s="193"/>
    </row>
    <row r="82486" spans="6:6" x14ac:dyDescent="0.3">
      <c r="F82486" s="193"/>
    </row>
    <row r="82487" spans="6:6" x14ac:dyDescent="0.3">
      <c r="F82487" s="193"/>
    </row>
    <row r="82488" spans="6:6" x14ac:dyDescent="0.3">
      <c r="F82488" s="193"/>
    </row>
    <row r="82489" spans="6:6" x14ac:dyDescent="0.3">
      <c r="F82489" s="193"/>
    </row>
    <row r="82490" spans="6:6" x14ac:dyDescent="0.3">
      <c r="F82490" s="193"/>
    </row>
    <row r="82491" spans="6:6" x14ac:dyDescent="0.3">
      <c r="F82491" s="193"/>
    </row>
    <row r="82492" spans="6:6" x14ac:dyDescent="0.3">
      <c r="F82492" s="193"/>
    </row>
    <row r="82493" spans="6:6" x14ac:dyDescent="0.3">
      <c r="F82493" s="193"/>
    </row>
    <row r="82494" spans="6:6" x14ac:dyDescent="0.3">
      <c r="F82494" s="193"/>
    </row>
    <row r="82495" spans="6:6" x14ac:dyDescent="0.3">
      <c r="F82495" s="193"/>
    </row>
    <row r="82496" spans="6:6" x14ac:dyDescent="0.3">
      <c r="F82496" s="193"/>
    </row>
    <row r="82497" spans="6:6" x14ac:dyDescent="0.3">
      <c r="F82497" s="193"/>
    </row>
    <row r="82498" spans="6:6" x14ac:dyDescent="0.3">
      <c r="F82498" s="193"/>
    </row>
    <row r="82499" spans="6:6" x14ac:dyDescent="0.3">
      <c r="F82499" s="193"/>
    </row>
    <row r="82500" spans="6:6" x14ac:dyDescent="0.3">
      <c r="F82500" s="193"/>
    </row>
    <row r="82501" spans="6:6" x14ac:dyDescent="0.3">
      <c r="F82501" s="193"/>
    </row>
    <row r="82502" spans="6:6" x14ac:dyDescent="0.3">
      <c r="F82502" s="193"/>
    </row>
    <row r="82503" spans="6:6" x14ac:dyDescent="0.3">
      <c r="F82503" s="193"/>
    </row>
    <row r="82504" spans="6:6" x14ac:dyDescent="0.3">
      <c r="F82504" s="193"/>
    </row>
    <row r="82505" spans="6:6" x14ac:dyDescent="0.3">
      <c r="F82505" s="193"/>
    </row>
    <row r="82506" spans="6:6" x14ac:dyDescent="0.3">
      <c r="F82506" s="193"/>
    </row>
    <row r="82507" spans="6:6" x14ac:dyDescent="0.3">
      <c r="F82507" s="193"/>
    </row>
    <row r="82508" spans="6:6" x14ac:dyDescent="0.3">
      <c r="F82508" s="193"/>
    </row>
    <row r="82509" spans="6:6" x14ac:dyDescent="0.3">
      <c r="F82509" s="193"/>
    </row>
    <row r="82510" spans="6:6" x14ac:dyDescent="0.3">
      <c r="F82510" s="193"/>
    </row>
    <row r="82511" spans="6:6" x14ac:dyDescent="0.3">
      <c r="F82511" s="193"/>
    </row>
    <row r="82512" spans="6:6" x14ac:dyDescent="0.3">
      <c r="F82512" s="193"/>
    </row>
    <row r="82513" spans="6:6" x14ac:dyDescent="0.3">
      <c r="F82513" s="193"/>
    </row>
    <row r="82514" spans="6:6" x14ac:dyDescent="0.3">
      <c r="F82514" s="193"/>
    </row>
    <row r="82515" spans="6:6" x14ac:dyDescent="0.3">
      <c r="F82515" s="193"/>
    </row>
    <row r="82516" spans="6:6" x14ac:dyDescent="0.3">
      <c r="F82516" s="193"/>
    </row>
    <row r="82517" spans="6:6" x14ac:dyDescent="0.3">
      <c r="F82517" s="193"/>
    </row>
    <row r="82518" spans="6:6" x14ac:dyDescent="0.3">
      <c r="F82518" s="193"/>
    </row>
    <row r="82519" spans="6:6" x14ac:dyDescent="0.3">
      <c r="F82519" s="193"/>
    </row>
    <row r="82520" spans="6:6" x14ac:dyDescent="0.3">
      <c r="F82520" s="193"/>
    </row>
    <row r="82521" spans="6:6" x14ac:dyDescent="0.3">
      <c r="F82521" s="193"/>
    </row>
    <row r="82522" spans="6:6" x14ac:dyDescent="0.3">
      <c r="F82522" s="193"/>
    </row>
    <row r="82523" spans="6:6" x14ac:dyDescent="0.3">
      <c r="F82523" s="193"/>
    </row>
    <row r="82524" spans="6:6" x14ac:dyDescent="0.3">
      <c r="F82524" s="193"/>
    </row>
    <row r="82525" spans="6:6" x14ac:dyDescent="0.3">
      <c r="F82525" s="193"/>
    </row>
    <row r="82526" spans="6:6" x14ac:dyDescent="0.3">
      <c r="F82526" s="193"/>
    </row>
    <row r="82527" spans="6:6" x14ac:dyDescent="0.3">
      <c r="F82527" s="193"/>
    </row>
    <row r="82528" spans="6:6" x14ac:dyDescent="0.3">
      <c r="F82528" s="193"/>
    </row>
    <row r="82529" spans="6:6" x14ac:dyDescent="0.3">
      <c r="F82529" s="193"/>
    </row>
    <row r="82530" spans="6:6" x14ac:dyDescent="0.3">
      <c r="F82530" s="193"/>
    </row>
    <row r="82531" spans="6:6" x14ac:dyDescent="0.3">
      <c r="F82531" s="193"/>
    </row>
    <row r="82532" spans="6:6" x14ac:dyDescent="0.3">
      <c r="F82532" s="193"/>
    </row>
    <row r="82533" spans="6:6" x14ac:dyDescent="0.3">
      <c r="F82533" s="193"/>
    </row>
    <row r="82534" spans="6:6" x14ac:dyDescent="0.3">
      <c r="F82534" s="193"/>
    </row>
    <row r="82535" spans="6:6" x14ac:dyDescent="0.3">
      <c r="F82535" s="193"/>
    </row>
    <row r="82536" spans="6:6" x14ac:dyDescent="0.3">
      <c r="F82536" s="193"/>
    </row>
    <row r="82537" spans="6:6" x14ac:dyDescent="0.3">
      <c r="F82537" s="193"/>
    </row>
    <row r="82538" spans="6:6" x14ac:dyDescent="0.3">
      <c r="F82538" s="193"/>
    </row>
    <row r="82539" spans="6:6" x14ac:dyDescent="0.3">
      <c r="F82539" s="193"/>
    </row>
    <row r="82540" spans="6:6" x14ac:dyDescent="0.3">
      <c r="F82540" s="193"/>
    </row>
    <row r="82541" spans="6:6" x14ac:dyDescent="0.3">
      <c r="F82541" s="193"/>
    </row>
    <row r="82542" spans="6:6" x14ac:dyDescent="0.3">
      <c r="F82542" s="193"/>
    </row>
    <row r="82543" spans="6:6" x14ac:dyDescent="0.3">
      <c r="F82543" s="193"/>
    </row>
    <row r="82544" spans="6:6" x14ac:dyDescent="0.3">
      <c r="F82544" s="193"/>
    </row>
    <row r="82545" spans="6:6" x14ac:dyDescent="0.3">
      <c r="F82545" s="193"/>
    </row>
    <row r="82546" spans="6:6" x14ac:dyDescent="0.3">
      <c r="F82546" s="193"/>
    </row>
    <row r="82547" spans="6:6" x14ac:dyDescent="0.3">
      <c r="F82547" s="193"/>
    </row>
    <row r="82548" spans="6:6" x14ac:dyDescent="0.3">
      <c r="F82548" s="193"/>
    </row>
    <row r="82549" spans="6:6" x14ac:dyDescent="0.3">
      <c r="F82549" s="193"/>
    </row>
    <row r="82550" spans="6:6" x14ac:dyDescent="0.3">
      <c r="F82550" s="193"/>
    </row>
    <row r="82551" spans="6:6" x14ac:dyDescent="0.3">
      <c r="F82551" s="193"/>
    </row>
    <row r="82552" spans="6:6" x14ac:dyDescent="0.3">
      <c r="F82552" s="193"/>
    </row>
    <row r="82553" spans="6:6" x14ac:dyDescent="0.3">
      <c r="F82553" s="193"/>
    </row>
    <row r="82554" spans="6:6" x14ac:dyDescent="0.3">
      <c r="F82554" s="193"/>
    </row>
    <row r="82555" spans="6:6" x14ac:dyDescent="0.3">
      <c r="F82555" s="193"/>
    </row>
    <row r="82556" spans="6:6" x14ac:dyDescent="0.3">
      <c r="F82556" s="193"/>
    </row>
    <row r="82557" spans="6:6" x14ac:dyDescent="0.3">
      <c r="F82557" s="193"/>
    </row>
    <row r="82558" spans="6:6" x14ac:dyDescent="0.3">
      <c r="F82558" s="193"/>
    </row>
    <row r="82559" spans="6:6" x14ac:dyDescent="0.3">
      <c r="F82559" s="193"/>
    </row>
    <row r="82560" spans="6:6" x14ac:dyDescent="0.3">
      <c r="F82560" s="193"/>
    </row>
    <row r="82561" spans="6:6" x14ac:dyDescent="0.3">
      <c r="F82561" s="193"/>
    </row>
    <row r="82562" spans="6:6" x14ac:dyDescent="0.3">
      <c r="F82562" s="193"/>
    </row>
    <row r="82563" spans="6:6" x14ac:dyDescent="0.3">
      <c r="F82563" s="193"/>
    </row>
    <row r="82564" spans="6:6" x14ac:dyDescent="0.3">
      <c r="F82564" s="193"/>
    </row>
    <row r="82565" spans="6:6" x14ac:dyDescent="0.3">
      <c r="F82565" s="193"/>
    </row>
    <row r="82566" spans="6:6" x14ac:dyDescent="0.3">
      <c r="F82566" s="193"/>
    </row>
    <row r="82567" spans="6:6" x14ac:dyDescent="0.3">
      <c r="F82567" s="193"/>
    </row>
    <row r="82568" spans="6:6" x14ac:dyDescent="0.3">
      <c r="F82568" s="193"/>
    </row>
    <row r="82569" spans="6:6" x14ac:dyDescent="0.3">
      <c r="F82569" s="193"/>
    </row>
    <row r="82570" spans="6:6" x14ac:dyDescent="0.3">
      <c r="F82570" s="193"/>
    </row>
    <row r="82571" spans="6:6" x14ac:dyDescent="0.3">
      <c r="F82571" s="193"/>
    </row>
    <row r="82572" spans="6:6" x14ac:dyDescent="0.3">
      <c r="F82572" s="193"/>
    </row>
    <row r="82573" spans="6:6" x14ac:dyDescent="0.3">
      <c r="F82573" s="193"/>
    </row>
    <row r="82574" spans="6:6" x14ac:dyDescent="0.3">
      <c r="F82574" s="193"/>
    </row>
    <row r="82575" spans="6:6" x14ac:dyDescent="0.3">
      <c r="F82575" s="193"/>
    </row>
    <row r="82576" spans="6:6" x14ac:dyDescent="0.3">
      <c r="F82576" s="193"/>
    </row>
    <row r="82577" spans="6:6" x14ac:dyDescent="0.3">
      <c r="F82577" s="193"/>
    </row>
    <row r="82578" spans="6:6" x14ac:dyDescent="0.3">
      <c r="F82578" s="193"/>
    </row>
    <row r="82579" spans="6:6" x14ac:dyDescent="0.3">
      <c r="F82579" s="193"/>
    </row>
    <row r="82580" spans="6:6" x14ac:dyDescent="0.3">
      <c r="F82580" s="193"/>
    </row>
    <row r="82581" spans="6:6" x14ac:dyDescent="0.3">
      <c r="F82581" s="193"/>
    </row>
    <row r="82582" spans="6:6" x14ac:dyDescent="0.3">
      <c r="F82582" s="193"/>
    </row>
    <row r="82583" spans="6:6" x14ac:dyDescent="0.3">
      <c r="F82583" s="193"/>
    </row>
    <row r="82584" spans="6:6" x14ac:dyDescent="0.3">
      <c r="F82584" s="193"/>
    </row>
    <row r="82585" spans="6:6" x14ac:dyDescent="0.3">
      <c r="F82585" s="193"/>
    </row>
    <row r="82586" spans="6:6" x14ac:dyDescent="0.3">
      <c r="F82586" s="193"/>
    </row>
    <row r="82587" spans="6:6" x14ac:dyDescent="0.3">
      <c r="F82587" s="193"/>
    </row>
    <row r="82588" spans="6:6" x14ac:dyDescent="0.3">
      <c r="F82588" s="193"/>
    </row>
    <row r="82589" spans="6:6" x14ac:dyDescent="0.3">
      <c r="F82589" s="193"/>
    </row>
    <row r="82590" spans="6:6" x14ac:dyDescent="0.3">
      <c r="F82590" s="193"/>
    </row>
    <row r="82591" spans="6:6" x14ac:dyDescent="0.3">
      <c r="F82591" s="193"/>
    </row>
    <row r="82592" spans="6:6" x14ac:dyDescent="0.3">
      <c r="F82592" s="193"/>
    </row>
    <row r="82593" spans="6:6" x14ac:dyDescent="0.3">
      <c r="F82593" s="193"/>
    </row>
    <row r="82594" spans="6:6" x14ac:dyDescent="0.3">
      <c r="F82594" s="193"/>
    </row>
    <row r="82595" spans="6:6" x14ac:dyDescent="0.3">
      <c r="F82595" s="193"/>
    </row>
    <row r="82596" spans="6:6" x14ac:dyDescent="0.3">
      <c r="F82596" s="193"/>
    </row>
    <row r="82597" spans="6:6" x14ac:dyDescent="0.3">
      <c r="F82597" s="193"/>
    </row>
    <row r="82598" spans="6:6" x14ac:dyDescent="0.3">
      <c r="F82598" s="193"/>
    </row>
    <row r="82599" spans="6:6" x14ac:dyDescent="0.3">
      <c r="F82599" s="193"/>
    </row>
    <row r="82600" spans="6:6" x14ac:dyDescent="0.3">
      <c r="F82600" s="193"/>
    </row>
    <row r="82601" spans="6:6" x14ac:dyDescent="0.3">
      <c r="F82601" s="193"/>
    </row>
    <row r="82602" spans="6:6" x14ac:dyDescent="0.3">
      <c r="F82602" s="193"/>
    </row>
    <row r="82603" spans="6:6" x14ac:dyDescent="0.3">
      <c r="F82603" s="193"/>
    </row>
    <row r="82604" spans="6:6" x14ac:dyDescent="0.3">
      <c r="F82604" s="193"/>
    </row>
    <row r="82605" spans="6:6" x14ac:dyDescent="0.3">
      <c r="F82605" s="193"/>
    </row>
    <row r="82606" spans="6:6" x14ac:dyDescent="0.3">
      <c r="F82606" s="193"/>
    </row>
    <row r="82607" spans="6:6" x14ac:dyDescent="0.3">
      <c r="F82607" s="193"/>
    </row>
    <row r="82608" spans="6:6" x14ac:dyDescent="0.3">
      <c r="F82608" s="193"/>
    </row>
    <row r="82609" spans="6:6" x14ac:dyDescent="0.3">
      <c r="F82609" s="193"/>
    </row>
    <row r="82610" spans="6:6" x14ac:dyDescent="0.3">
      <c r="F82610" s="193"/>
    </row>
    <row r="82611" spans="6:6" x14ac:dyDescent="0.3">
      <c r="F82611" s="193"/>
    </row>
    <row r="82612" spans="6:6" x14ac:dyDescent="0.3">
      <c r="F82612" s="193"/>
    </row>
    <row r="82613" spans="6:6" x14ac:dyDescent="0.3">
      <c r="F82613" s="193"/>
    </row>
    <row r="82614" spans="6:6" x14ac:dyDescent="0.3">
      <c r="F82614" s="193"/>
    </row>
    <row r="82615" spans="6:6" x14ac:dyDescent="0.3">
      <c r="F82615" s="193"/>
    </row>
    <row r="82616" spans="6:6" x14ac:dyDescent="0.3">
      <c r="F82616" s="193"/>
    </row>
    <row r="82617" spans="6:6" x14ac:dyDescent="0.3">
      <c r="F82617" s="193"/>
    </row>
    <row r="82618" spans="6:6" x14ac:dyDescent="0.3">
      <c r="F82618" s="193"/>
    </row>
    <row r="82619" spans="6:6" x14ac:dyDescent="0.3">
      <c r="F82619" s="193"/>
    </row>
    <row r="82620" spans="6:6" x14ac:dyDescent="0.3">
      <c r="F82620" s="193"/>
    </row>
    <row r="82621" spans="6:6" x14ac:dyDescent="0.3">
      <c r="F82621" s="193"/>
    </row>
    <row r="82622" spans="6:6" x14ac:dyDescent="0.3">
      <c r="F82622" s="193"/>
    </row>
    <row r="82623" spans="6:6" x14ac:dyDescent="0.3">
      <c r="F82623" s="193"/>
    </row>
    <row r="82624" spans="6:6" x14ac:dyDescent="0.3">
      <c r="F82624" s="193"/>
    </row>
    <row r="82625" spans="6:6" x14ac:dyDescent="0.3">
      <c r="F82625" s="193"/>
    </row>
    <row r="82626" spans="6:6" x14ac:dyDescent="0.3">
      <c r="F82626" s="193"/>
    </row>
    <row r="82627" spans="6:6" x14ac:dyDescent="0.3">
      <c r="F82627" s="193"/>
    </row>
    <row r="82628" spans="6:6" x14ac:dyDescent="0.3">
      <c r="F82628" s="193"/>
    </row>
    <row r="82629" spans="6:6" x14ac:dyDescent="0.3">
      <c r="F82629" s="193"/>
    </row>
    <row r="82630" spans="6:6" x14ac:dyDescent="0.3">
      <c r="F82630" s="193"/>
    </row>
    <row r="82631" spans="6:6" x14ac:dyDescent="0.3">
      <c r="F82631" s="193"/>
    </row>
    <row r="82632" spans="6:6" x14ac:dyDescent="0.3">
      <c r="F82632" s="193"/>
    </row>
    <row r="82633" spans="6:6" x14ac:dyDescent="0.3">
      <c r="F82633" s="193"/>
    </row>
    <row r="82634" spans="6:6" x14ac:dyDescent="0.3">
      <c r="F82634" s="193"/>
    </row>
    <row r="82635" spans="6:6" x14ac:dyDescent="0.3">
      <c r="F82635" s="193"/>
    </row>
    <row r="82636" spans="6:6" x14ac:dyDescent="0.3">
      <c r="F82636" s="193"/>
    </row>
    <row r="82637" spans="6:6" x14ac:dyDescent="0.3">
      <c r="F82637" s="193"/>
    </row>
    <row r="82638" spans="6:6" x14ac:dyDescent="0.3">
      <c r="F82638" s="193"/>
    </row>
    <row r="82639" spans="6:6" x14ac:dyDescent="0.3">
      <c r="F82639" s="193"/>
    </row>
    <row r="82640" spans="6:6" x14ac:dyDescent="0.3">
      <c r="F82640" s="193"/>
    </row>
    <row r="82641" spans="6:6" x14ac:dyDescent="0.3">
      <c r="F82641" s="193"/>
    </row>
    <row r="82642" spans="6:6" x14ac:dyDescent="0.3">
      <c r="F82642" s="193"/>
    </row>
    <row r="82643" spans="6:6" x14ac:dyDescent="0.3">
      <c r="F82643" s="193"/>
    </row>
    <row r="82644" spans="6:6" x14ac:dyDescent="0.3">
      <c r="F82644" s="193"/>
    </row>
    <row r="82645" spans="6:6" x14ac:dyDescent="0.3">
      <c r="F82645" s="193"/>
    </row>
    <row r="82646" spans="6:6" x14ac:dyDescent="0.3">
      <c r="F82646" s="193"/>
    </row>
    <row r="82647" spans="6:6" x14ac:dyDescent="0.3">
      <c r="F82647" s="193"/>
    </row>
    <row r="82648" spans="6:6" x14ac:dyDescent="0.3">
      <c r="F82648" s="193"/>
    </row>
    <row r="82649" spans="6:6" x14ac:dyDescent="0.3">
      <c r="F82649" s="193"/>
    </row>
    <row r="82650" spans="6:6" x14ac:dyDescent="0.3">
      <c r="F82650" s="193"/>
    </row>
    <row r="82651" spans="6:6" x14ac:dyDescent="0.3">
      <c r="F82651" s="193"/>
    </row>
    <row r="82652" spans="6:6" x14ac:dyDescent="0.3">
      <c r="F82652" s="193"/>
    </row>
    <row r="82653" spans="6:6" x14ac:dyDescent="0.3">
      <c r="F82653" s="193"/>
    </row>
    <row r="82654" spans="6:6" x14ac:dyDescent="0.3">
      <c r="F82654" s="193"/>
    </row>
    <row r="82655" spans="6:6" x14ac:dyDescent="0.3">
      <c r="F82655" s="193"/>
    </row>
    <row r="82656" spans="6:6" x14ac:dyDescent="0.3">
      <c r="F82656" s="193"/>
    </row>
    <row r="82657" spans="6:6" x14ac:dyDescent="0.3">
      <c r="F82657" s="193"/>
    </row>
    <row r="82658" spans="6:6" x14ac:dyDescent="0.3">
      <c r="F82658" s="193"/>
    </row>
    <row r="82659" spans="6:6" x14ac:dyDescent="0.3">
      <c r="F82659" s="193"/>
    </row>
    <row r="82660" spans="6:6" x14ac:dyDescent="0.3">
      <c r="F82660" s="193"/>
    </row>
    <row r="82661" spans="6:6" x14ac:dyDescent="0.3">
      <c r="F82661" s="193"/>
    </row>
    <row r="82662" spans="6:6" x14ac:dyDescent="0.3">
      <c r="F82662" s="193"/>
    </row>
    <row r="82663" spans="6:6" x14ac:dyDescent="0.3">
      <c r="F82663" s="193"/>
    </row>
    <row r="82664" spans="6:6" x14ac:dyDescent="0.3">
      <c r="F82664" s="193"/>
    </row>
    <row r="82665" spans="6:6" x14ac:dyDescent="0.3">
      <c r="F82665" s="193"/>
    </row>
    <row r="82666" spans="6:6" x14ac:dyDescent="0.3">
      <c r="F82666" s="193"/>
    </row>
    <row r="82667" spans="6:6" x14ac:dyDescent="0.3">
      <c r="F82667" s="193"/>
    </row>
    <row r="82668" spans="6:6" x14ac:dyDescent="0.3">
      <c r="F82668" s="193"/>
    </row>
    <row r="82669" spans="6:6" x14ac:dyDescent="0.3">
      <c r="F82669" s="193"/>
    </row>
    <row r="82670" spans="6:6" x14ac:dyDescent="0.3">
      <c r="F82670" s="193"/>
    </row>
    <row r="82671" spans="6:6" x14ac:dyDescent="0.3">
      <c r="F82671" s="193"/>
    </row>
    <row r="82672" spans="6:6" x14ac:dyDescent="0.3">
      <c r="F82672" s="193"/>
    </row>
    <row r="82673" spans="6:6" x14ac:dyDescent="0.3">
      <c r="F82673" s="193"/>
    </row>
    <row r="82674" spans="6:6" x14ac:dyDescent="0.3">
      <c r="F82674" s="193"/>
    </row>
    <row r="82675" spans="6:6" x14ac:dyDescent="0.3">
      <c r="F82675" s="193"/>
    </row>
    <row r="82676" spans="6:6" x14ac:dyDescent="0.3">
      <c r="F82676" s="193"/>
    </row>
    <row r="82677" spans="6:6" x14ac:dyDescent="0.3">
      <c r="F82677" s="193"/>
    </row>
    <row r="82678" spans="6:6" x14ac:dyDescent="0.3">
      <c r="F82678" s="193"/>
    </row>
    <row r="82679" spans="6:6" x14ac:dyDescent="0.3">
      <c r="F82679" s="193"/>
    </row>
    <row r="82680" spans="6:6" x14ac:dyDescent="0.3">
      <c r="F82680" s="193"/>
    </row>
    <row r="82681" spans="6:6" x14ac:dyDescent="0.3">
      <c r="F82681" s="193"/>
    </row>
    <row r="82682" spans="6:6" x14ac:dyDescent="0.3">
      <c r="F82682" s="193"/>
    </row>
    <row r="82683" spans="6:6" x14ac:dyDescent="0.3">
      <c r="F82683" s="193"/>
    </row>
    <row r="82684" spans="6:6" x14ac:dyDescent="0.3">
      <c r="F82684" s="193"/>
    </row>
    <row r="82685" spans="6:6" x14ac:dyDescent="0.3">
      <c r="F82685" s="193"/>
    </row>
    <row r="82686" spans="6:6" x14ac:dyDescent="0.3">
      <c r="F82686" s="193"/>
    </row>
    <row r="82687" spans="6:6" x14ac:dyDescent="0.3">
      <c r="F82687" s="193"/>
    </row>
    <row r="82688" spans="6:6" x14ac:dyDescent="0.3">
      <c r="F82688" s="193"/>
    </row>
    <row r="82689" spans="6:6" x14ac:dyDescent="0.3">
      <c r="F82689" s="193"/>
    </row>
    <row r="82690" spans="6:6" x14ac:dyDescent="0.3">
      <c r="F82690" s="193"/>
    </row>
    <row r="82691" spans="6:6" x14ac:dyDescent="0.3">
      <c r="F82691" s="193"/>
    </row>
    <row r="82692" spans="6:6" x14ac:dyDescent="0.3">
      <c r="F82692" s="193"/>
    </row>
    <row r="82693" spans="6:6" x14ac:dyDescent="0.3">
      <c r="F82693" s="193"/>
    </row>
    <row r="82694" spans="6:6" x14ac:dyDescent="0.3">
      <c r="F82694" s="193"/>
    </row>
    <row r="82695" spans="6:6" x14ac:dyDescent="0.3">
      <c r="F82695" s="193"/>
    </row>
    <row r="82696" spans="6:6" x14ac:dyDescent="0.3">
      <c r="F82696" s="193"/>
    </row>
    <row r="82697" spans="6:6" x14ac:dyDescent="0.3">
      <c r="F82697" s="193"/>
    </row>
    <row r="82698" spans="6:6" x14ac:dyDescent="0.3">
      <c r="F82698" s="193"/>
    </row>
    <row r="82699" spans="6:6" x14ac:dyDescent="0.3">
      <c r="F82699" s="193"/>
    </row>
    <row r="82700" spans="6:6" x14ac:dyDescent="0.3">
      <c r="F82700" s="193"/>
    </row>
    <row r="82701" spans="6:6" x14ac:dyDescent="0.3">
      <c r="F82701" s="193"/>
    </row>
    <row r="82702" spans="6:6" x14ac:dyDescent="0.3">
      <c r="F82702" s="193"/>
    </row>
    <row r="82703" spans="6:6" x14ac:dyDescent="0.3">
      <c r="F82703" s="193"/>
    </row>
    <row r="82704" spans="6:6" x14ac:dyDescent="0.3">
      <c r="F82704" s="193"/>
    </row>
    <row r="82705" spans="6:6" x14ac:dyDescent="0.3">
      <c r="F82705" s="193"/>
    </row>
    <row r="82706" spans="6:6" x14ac:dyDescent="0.3">
      <c r="F82706" s="193"/>
    </row>
    <row r="82707" spans="6:6" x14ac:dyDescent="0.3">
      <c r="F82707" s="193"/>
    </row>
    <row r="82708" spans="6:6" x14ac:dyDescent="0.3">
      <c r="F82708" s="193"/>
    </row>
    <row r="82709" spans="6:6" x14ac:dyDescent="0.3">
      <c r="F82709" s="193"/>
    </row>
    <row r="82710" spans="6:6" x14ac:dyDescent="0.3">
      <c r="F82710" s="193"/>
    </row>
    <row r="82711" spans="6:6" x14ac:dyDescent="0.3">
      <c r="F82711" s="193"/>
    </row>
    <row r="82712" spans="6:6" x14ac:dyDescent="0.3">
      <c r="F82712" s="193"/>
    </row>
    <row r="82713" spans="6:6" x14ac:dyDescent="0.3">
      <c r="F82713" s="193"/>
    </row>
    <row r="82714" spans="6:6" x14ac:dyDescent="0.3">
      <c r="F82714" s="193"/>
    </row>
    <row r="82715" spans="6:6" x14ac:dyDescent="0.3">
      <c r="F82715" s="193"/>
    </row>
    <row r="82716" spans="6:6" x14ac:dyDescent="0.3">
      <c r="F82716" s="193"/>
    </row>
    <row r="82717" spans="6:6" x14ac:dyDescent="0.3">
      <c r="F82717" s="193"/>
    </row>
    <row r="82718" spans="6:6" x14ac:dyDescent="0.3">
      <c r="F82718" s="193"/>
    </row>
    <row r="82719" spans="6:6" x14ac:dyDescent="0.3">
      <c r="F82719" s="193"/>
    </row>
    <row r="82720" spans="6:6" x14ac:dyDescent="0.3">
      <c r="F82720" s="193"/>
    </row>
    <row r="82721" spans="6:6" x14ac:dyDescent="0.3">
      <c r="F82721" s="193"/>
    </row>
    <row r="82722" spans="6:6" x14ac:dyDescent="0.3">
      <c r="F82722" s="193"/>
    </row>
    <row r="82723" spans="6:6" x14ac:dyDescent="0.3">
      <c r="F82723" s="193"/>
    </row>
    <row r="82724" spans="6:6" x14ac:dyDescent="0.3">
      <c r="F82724" s="193"/>
    </row>
    <row r="82725" spans="6:6" x14ac:dyDescent="0.3">
      <c r="F82725" s="193"/>
    </row>
    <row r="82726" spans="6:6" x14ac:dyDescent="0.3">
      <c r="F82726" s="193"/>
    </row>
    <row r="82727" spans="6:6" x14ac:dyDescent="0.3">
      <c r="F82727" s="193"/>
    </row>
    <row r="82728" spans="6:6" x14ac:dyDescent="0.3">
      <c r="F82728" s="193"/>
    </row>
    <row r="82729" spans="6:6" x14ac:dyDescent="0.3">
      <c r="F82729" s="193"/>
    </row>
    <row r="82730" spans="6:6" x14ac:dyDescent="0.3">
      <c r="F82730" s="193"/>
    </row>
    <row r="82731" spans="6:6" x14ac:dyDescent="0.3">
      <c r="F82731" s="193"/>
    </row>
    <row r="82732" spans="6:6" x14ac:dyDescent="0.3">
      <c r="F82732" s="193"/>
    </row>
    <row r="82733" spans="6:6" x14ac:dyDescent="0.3">
      <c r="F82733" s="193"/>
    </row>
    <row r="82734" spans="6:6" x14ac:dyDescent="0.3">
      <c r="F82734" s="193"/>
    </row>
    <row r="82735" spans="6:6" x14ac:dyDescent="0.3">
      <c r="F82735" s="193"/>
    </row>
    <row r="82736" spans="6:6" x14ac:dyDescent="0.3">
      <c r="F82736" s="193"/>
    </row>
    <row r="82737" spans="6:6" x14ac:dyDescent="0.3">
      <c r="F82737" s="193"/>
    </row>
    <row r="82738" spans="6:6" x14ac:dyDescent="0.3">
      <c r="F82738" s="193"/>
    </row>
    <row r="82739" spans="6:6" x14ac:dyDescent="0.3">
      <c r="F82739" s="193"/>
    </row>
    <row r="82740" spans="6:6" x14ac:dyDescent="0.3">
      <c r="F82740" s="193"/>
    </row>
    <row r="82741" spans="6:6" x14ac:dyDescent="0.3">
      <c r="F82741" s="193"/>
    </row>
    <row r="82742" spans="6:6" x14ac:dyDescent="0.3">
      <c r="F82742" s="193"/>
    </row>
    <row r="82743" spans="6:6" x14ac:dyDescent="0.3">
      <c r="F82743" s="193"/>
    </row>
    <row r="82744" spans="6:6" x14ac:dyDescent="0.3">
      <c r="F82744" s="193"/>
    </row>
    <row r="82745" spans="6:6" x14ac:dyDescent="0.3">
      <c r="F82745" s="193"/>
    </row>
    <row r="82746" spans="6:6" x14ac:dyDescent="0.3">
      <c r="F82746" s="193"/>
    </row>
    <row r="82747" spans="6:6" x14ac:dyDescent="0.3">
      <c r="F82747" s="193"/>
    </row>
    <row r="82748" spans="6:6" x14ac:dyDescent="0.3">
      <c r="F82748" s="193"/>
    </row>
    <row r="82749" spans="6:6" x14ac:dyDescent="0.3">
      <c r="F82749" s="193"/>
    </row>
    <row r="82750" spans="6:6" x14ac:dyDescent="0.3">
      <c r="F82750" s="193"/>
    </row>
    <row r="82751" spans="6:6" x14ac:dyDescent="0.3">
      <c r="F82751" s="193"/>
    </row>
    <row r="82752" spans="6:6" x14ac:dyDescent="0.3">
      <c r="F82752" s="193"/>
    </row>
    <row r="82753" spans="6:6" x14ac:dyDescent="0.3">
      <c r="F82753" s="193"/>
    </row>
    <row r="82754" spans="6:6" x14ac:dyDescent="0.3">
      <c r="F82754" s="193"/>
    </row>
    <row r="82755" spans="6:6" x14ac:dyDescent="0.3">
      <c r="F82755" s="193"/>
    </row>
    <row r="82756" spans="6:6" x14ac:dyDescent="0.3">
      <c r="F82756" s="193"/>
    </row>
    <row r="82757" spans="6:6" x14ac:dyDescent="0.3">
      <c r="F82757" s="193"/>
    </row>
    <row r="82758" spans="6:6" x14ac:dyDescent="0.3">
      <c r="F82758" s="193"/>
    </row>
    <row r="82759" spans="6:6" x14ac:dyDescent="0.3">
      <c r="F82759" s="193"/>
    </row>
    <row r="82760" spans="6:6" x14ac:dyDescent="0.3">
      <c r="F82760" s="193"/>
    </row>
    <row r="82761" spans="6:6" x14ac:dyDescent="0.3">
      <c r="F82761" s="193"/>
    </row>
    <row r="82762" spans="6:6" x14ac:dyDescent="0.3">
      <c r="F82762" s="193"/>
    </row>
    <row r="82763" spans="6:6" x14ac:dyDescent="0.3">
      <c r="F82763" s="193"/>
    </row>
    <row r="82764" spans="6:6" x14ac:dyDescent="0.3">
      <c r="F82764" s="193"/>
    </row>
    <row r="82765" spans="6:6" x14ac:dyDescent="0.3">
      <c r="F82765" s="193"/>
    </row>
    <row r="82766" spans="6:6" x14ac:dyDescent="0.3">
      <c r="F82766" s="193"/>
    </row>
    <row r="82767" spans="6:6" x14ac:dyDescent="0.3">
      <c r="F82767" s="193"/>
    </row>
    <row r="82768" spans="6:6" x14ac:dyDescent="0.3">
      <c r="F82768" s="193"/>
    </row>
    <row r="82769" spans="6:6" x14ac:dyDescent="0.3">
      <c r="F82769" s="193"/>
    </row>
    <row r="82770" spans="6:6" x14ac:dyDescent="0.3">
      <c r="F82770" s="193"/>
    </row>
    <row r="82771" spans="6:6" x14ac:dyDescent="0.3">
      <c r="F82771" s="193"/>
    </row>
    <row r="82772" spans="6:6" x14ac:dyDescent="0.3">
      <c r="F82772" s="193"/>
    </row>
    <row r="82773" spans="6:6" x14ac:dyDescent="0.3">
      <c r="F82773" s="193"/>
    </row>
    <row r="82774" spans="6:6" x14ac:dyDescent="0.3">
      <c r="F82774" s="193"/>
    </row>
    <row r="82775" spans="6:6" x14ac:dyDescent="0.3">
      <c r="F82775" s="193"/>
    </row>
    <row r="82776" spans="6:6" x14ac:dyDescent="0.3">
      <c r="F82776" s="193"/>
    </row>
    <row r="82777" spans="6:6" x14ac:dyDescent="0.3">
      <c r="F82777" s="193"/>
    </row>
    <row r="82778" spans="6:6" x14ac:dyDescent="0.3">
      <c r="F82778" s="193"/>
    </row>
    <row r="82779" spans="6:6" x14ac:dyDescent="0.3">
      <c r="F82779" s="193"/>
    </row>
    <row r="82780" spans="6:6" x14ac:dyDescent="0.3">
      <c r="F82780" s="193"/>
    </row>
    <row r="82781" spans="6:6" x14ac:dyDescent="0.3">
      <c r="F82781" s="193"/>
    </row>
    <row r="82782" spans="6:6" x14ac:dyDescent="0.3">
      <c r="F82782" s="193"/>
    </row>
    <row r="82783" spans="6:6" x14ac:dyDescent="0.3">
      <c r="F82783" s="193"/>
    </row>
    <row r="82784" spans="6:6" x14ac:dyDescent="0.3">
      <c r="F82784" s="193"/>
    </row>
    <row r="82785" spans="6:6" x14ac:dyDescent="0.3">
      <c r="F82785" s="193"/>
    </row>
    <row r="82786" spans="6:6" x14ac:dyDescent="0.3">
      <c r="F82786" s="193"/>
    </row>
    <row r="82787" spans="6:6" x14ac:dyDescent="0.3">
      <c r="F82787" s="193"/>
    </row>
    <row r="82788" spans="6:6" x14ac:dyDescent="0.3">
      <c r="F82788" s="193"/>
    </row>
    <row r="82789" spans="6:6" x14ac:dyDescent="0.3">
      <c r="F82789" s="193"/>
    </row>
    <row r="82790" spans="6:6" x14ac:dyDescent="0.3">
      <c r="F82790" s="193"/>
    </row>
    <row r="82791" spans="6:6" x14ac:dyDescent="0.3">
      <c r="F82791" s="193"/>
    </row>
    <row r="82792" spans="6:6" x14ac:dyDescent="0.3">
      <c r="F82792" s="193"/>
    </row>
    <row r="82793" spans="6:6" x14ac:dyDescent="0.3">
      <c r="F82793" s="193"/>
    </row>
    <row r="82794" spans="6:6" x14ac:dyDescent="0.3">
      <c r="F82794" s="193"/>
    </row>
    <row r="82795" spans="6:6" x14ac:dyDescent="0.3">
      <c r="F82795" s="193"/>
    </row>
    <row r="82796" spans="6:6" x14ac:dyDescent="0.3">
      <c r="F82796" s="193"/>
    </row>
    <row r="82797" spans="6:6" x14ac:dyDescent="0.3">
      <c r="F82797" s="193"/>
    </row>
    <row r="82798" spans="6:6" x14ac:dyDescent="0.3">
      <c r="F82798" s="193"/>
    </row>
    <row r="82799" spans="6:6" x14ac:dyDescent="0.3">
      <c r="F82799" s="193"/>
    </row>
    <row r="82800" spans="6:6" x14ac:dyDescent="0.3">
      <c r="F82800" s="193"/>
    </row>
    <row r="82801" spans="6:6" x14ac:dyDescent="0.3">
      <c r="F82801" s="193"/>
    </row>
    <row r="82802" spans="6:6" x14ac:dyDescent="0.3">
      <c r="F82802" s="193"/>
    </row>
    <row r="82803" spans="6:6" x14ac:dyDescent="0.3">
      <c r="F82803" s="193"/>
    </row>
    <row r="82804" spans="6:6" x14ac:dyDescent="0.3">
      <c r="F82804" s="193"/>
    </row>
    <row r="82805" spans="6:6" x14ac:dyDescent="0.3">
      <c r="F82805" s="193"/>
    </row>
    <row r="82806" spans="6:6" x14ac:dyDescent="0.3">
      <c r="F82806" s="193"/>
    </row>
    <row r="82807" spans="6:6" x14ac:dyDescent="0.3">
      <c r="F82807" s="193"/>
    </row>
    <row r="82808" spans="6:6" x14ac:dyDescent="0.3">
      <c r="F82808" s="193"/>
    </row>
    <row r="82809" spans="6:6" x14ac:dyDescent="0.3">
      <c r="F82809" s="193"/>
    </row>
    <row r="82810" spans="6:6" x14ac:dyDescent="0.3">
      <c r="F82810" s="193"/>
    </row>
    <row r="82811" spans="6:6" x14ac:dyDescent="0.3">
      <c r="F82811" s="193"/>
    </row>
    <row r="82812" spans="6:6" x14ac:dyDescent="0.3">
      <c r="F82812" s="193"/>
    </row>
    <row r="82813" spans="6:6" x14ac:dyDescent="0.3">
      <c r="F82813" s="193"/>
    </row>
    <row r="82814" spans="6:6" x14ac:dyDescent="0.3">
      <c r="F82814" s="193"/>
    </row>
    <row r="82815" spans="6:6" x14ac:dyDescent="0.3">
      <c r="F82815" s="193"/>
    </row>
    <row r="82816" spans="6:6" x14ac:dyDescent="0.3">
      <c r="F82816" s="193"/>
    </row>
    <row r="82817" spans="6:6" x14ac:dyDescent="0.3">
      <c r="F82817" s="193"/>
    </row>
    <row r="82818" spans="6:6" x14ac:dyDescent="0.3">
      <c r="F82818" s="193"/>
    </row>
    <row r="82819" spans="6:6" x14ac:dyDescent="0.3">
      <c r="F82819" s="193"/>
    </row>
    <row r="82820" spans="6:6" x14ac:dyDescent="0.3">
      <c r="F82820" s="193"/>
    </row>
    <row r="82821" spans="6:6" x14ac:dyDescent="0.3">
      <c r="F82821" s="193"/>
    </row>
    <row r="82822" spans="6:6" x14ac:dyDescent="0.3">
      <c r="F82822" s="193"/>
    </row>
    <row r="82823" spans="6:6" x14ac:dyDescent="0.3">
      <c r="F82823" s="193"/>
    </row>
    <row r="82824" spans="6:6" x14ac:dyDescent="0.3">
      <c r="F82824" s="193"/>
    </row>
    <row r="82825" spans="6:6" x14ac:dyDescent="0.3">
      <c r="F82825" s="193"/>
    </row>
    <row r="82826" spans="6:6" x14ac:dyDescent="0.3">
      <c r="F82826" s="193"/>
    </row>
    <row r="82827" spans="6:6" x14ac:dyDescent="0.3">
      <c r="F82827" s="193"/>
    </row>
    <row r="82828" spans="6:6" x14ac:dyDescent="0.3">
      <c r="F82828" s="193"/>
    </row>
    <row r="82829" spans="6:6" x14ac:dyDescent="0.3">
      <c r="F82829" s="193"/>
    </row>
    <row r="82830" spans="6:6" x14ac:dyDescent="0.3">
      <c r="F82830" s="193"/>
    </row>
    <row r="82831" spans="6:6" x14ac:dyDescent="0.3">
      <c r="F82831" s="193"/>
    </row>
    <row r="82832" spans="6:6" x14ac:dyDescent="0.3">
      <c r="F82832" s="193"/>
    </row>
    <row r="82833" spans="6:6" x14ac:dyDescent="0.3">
      <c r="F82833" s="193"/>
    </row>
    <row r="82834" spans="6:6" x14ac:dyDescent="0.3">
      <c r="F82834" s="193"/>
    </row>
    <row r="82835" spans="6:6" x14ac:dyDescent="0.3">
      <c r="F82835" s="193"/>
    </row>
    <row r="82836" spans="6:6" x14ac:dyDescent="0.3">
      <c r="F82836" s="193"/>
    </row>
    <row r="82837" spans="6:6" x14ac:dyDescent="0.3">
      <c r="F82837" s="193"/>
    </row>
    <row r="82838" spans="6:6" x14ac:dyDescent="0.3">
      <c r="F82838" s="193"/>
    </row>
    <row r="82839" spans="6:6" x14ac:dyDescent="0.3">
      <c r="F82839" s="193"/>
    </row>
    <row r="82840" spans="6:6" x14ac:dyDescent="0.3">
      <c r="F82840" s="193"/>
    </row>
    <row r="82841" spans="6:6" x14ac:dyDescent="0.3">
      <c r="F82841" s="193"/>
    </row>
    <row r="82842" spans="6:6" x14ac:dyDescent="0.3">
      <c r="F82842" s="193"/>
    </row>
    <row r="82843" spans="6:6" x14ac:dyDescent="0.3">
      <c r="F82843" s="193"/>
    </row>
    <row r="82844" spans="6:6" x14ac:dyDescent="0.3">
      <c r="F82844" s="193"/>
    </row>
    <row r="82845" spans="6:6" x14ac:dyDescent="0.3">
      <c r="F82845" s="193"/>
    </row>
    <row r="82846" spans="6:6" x14ac:dyDescent="0.3">
      <c r="F82846" s="193"/>
    </row>
    <row r="82847" spans="6:6" x14ac:dyDescent="0.3">
      <c r="F82847" s="193"/>
    </row>
    <row r="82848" spans="6:6" x14ac:dyDescent="0.3">
      <c r="F82848" s="193"/>
    </row>
    <row r="82849" spans="6:6" x14ac:dyDescent="0.3">
      <c r="F82849" s="193"/>
    </row>
    <row r="82850" spans="6:6" x14ac:dyDescent="0.3">
      <c r="F82850" s="193"/>
    </row>
    <row r="82851" spans="6:6" x14ac:dyDescent="0.3">
      <c r="F82851" s="193"/>
    </row>
    <row r="82852" spans="6:6" x14ac:dyDescent="0.3">
      <c r="F82852" s="193"/>
    </row>
    <row r="82853" spans="6:6" x14ac:dyDescent="0.3">
      <c r="F82853" s="193"/>
    </row>
    <row r="82854" spans="6:6" x14ac:dyDescent="0.3">
      <c r="F82854" s="193"/>
    </row>
    <row r="82855" spans="6:6" x14ac:dyDescent="0.3">
      <c r="F82855" s="193"/>
    </row>
    <row r="82856" spans="6:6" x14ac:dyDescent="0.3">
      <c r="F82856" s="193"/>
    </row>
    <row r="82857" spans="6:6" x14ac:dyDescent="0.3">
      <c r="F82857" s="193"/>
    </row>
    <row r="82858" spans="6:6" x14ac:dyDescent="0.3">
      <c r="F82858" s="193"/>
    </row>
    <row r="82859" spans="6:6" x14ac:dyDescent="0.3">
      <c r="F82859" s="193"/>
    </row>
    <row r="82860" spans="6:6" x14ac:dyDescent="0.3">
      <c r="F82860" s="193"/>
    </row>
    <row r="82861" spans="6:6" x14ac:dyDescent="0.3">
      <c r="F82861" s="193"/>
    </row>
    <row r="82862" spans="6:6" x14ac:dyDescent="0.3">
      <c r="F82862" s="193"/>
    </row>
    <row r="82863" spans="6:6" x14ac:dyDescent="0.3">
      <c r="F82863" s="193"/>
    </row>
    <row r="82864" spans="6:6" x14ac:dyDescent="0.3">
      <c r="F82864" s="193"/>
    </row>
    <row r="82865" spans="6:6" x14ac:dyDescent="0.3">
      <c r="F82865" s="193"/>
    </row>
    <row r="82866" spans="6:6" x14ac:dyDescent="0.3">
      <c r="F82866" s="193"/>
    </row>
    <row r="82867" spans="6:6" x14ac:dyDescent="0.3">
      <c r="F82867" s="193"/>
    </row>
    <row r="82868" spans="6:6" x14ac:dyDescent="0.3">
      <c r="F82868" s="193"/>
    </row>
    <row r="82869" spans="6:6" x14ac:dyDescent="0.3">
      <c r="F82869" s="193"/>
    </row>
    <row r="82870" spans="6:6" x14ac:dyDescent="0.3">
      <c r="F82870" s="193"/>
    </row>
    <row r="82871" spans="6:6" x14ac:dyDescent="0.3">
      <c r="F82871" s="193"/>
    </row>
    <row r="82872" spans="6:6" x14ac:dyDescent="0.3">
      <c r="F82872" s="193"/>
    </row>
    <row r="82873" spans="6:6" x14ac:dyDescent="0.3">
      <c r="F82873" s="193"/>
    </row>
    <row r="82874" spans="6:6" x14ac:dyDescent="0.3">
      <c r="F82874" s="193"/>
    </row>
    <row r="82875" spans="6:6" x14ac:dyDescent="0.3">
      <c r="F82875" s="193"/>
    </row>
    <row r="82876" spans="6:6" x14ac:dyDescent="0.3">
      <c r="F82876" s="193"/>
    </row>
    <row r="82877" spans="6:6" x14ac:dyDescent="0.3">
      <c r="F82877" s="193"/>
    </row>
    <row r="82878" spans="6:6" x14ac:dyDescent="0.3">
      <c r="F82878" s="193"/>
    </row>
    <row r="82879" spans="6:6" x14ac:dyDescent="0.3">
      <c r="F82879" s="193"/>
    </row>
    <row r="82880" spans="6:6" x14ac:dyDescent="0.3">
      <c r="F82880" s="193"/>
    </row>
    <row r="82881" spans="6:6" x14ac:dyDescent="0.3">
      <c r="F82881" s="193"/>
    </row>
    <row r="82882" spans="6:6" x14ac:dyDescent="0.3">
      <c r="F82882" s="193"/>
    </row>
    <row r="82883" spans="6:6" x14ac:dyDescent="0.3">
      <c r="F82883" s="193"/>
    </row>
    <row r="82884" spans="6:6" x14ac:dyDescent="0.3">
      <c r="F82884" s="193"/>
    </row>
    <row r="82885" spans="6:6" x14ac:dyDescent="0.3">
      <c r="F82885" s="193"/>
    </row>
    <row r="82886" spans="6:6" x14ac:dyDescent="0.3">
      <c r="F82886" s="193"/>
    </row>
    <row r="82887" spans="6:6" x14ac:dyDescent="0.3">
      <c r="F82887" s="193"/>
    </row>
    <row r="82888" spans="6:6" x14ac:dyDescent="0.3">
      <c r="F82888" s="193"/>
    </row>
    <row r="82889" spans="6:6" x14ac:dyDescent="0.3">
      <c r="F82889" s="193"/>
    </row>
    <row r="82890" spans="6:6" x14ac:dyDescent="0.3">
      <c r="F82890" s="193"/>
    </row>
    <row r="82891" spans="6:6" x14ac:dyDescent="0.3">
      <c r="F82891" s="193"/>
    </row>
    <row r="82892" spans="6:6" x14ac:dyDescent="0.3">
      <c r="F82892" s="193"/>
    </row>
    <row r="82893" spans="6:6" x14ac:dyDescent="0.3">
      <c r="F82893" s="193"/>
    </row>
    <row r="82894" spans="6:6" x14ac:dyDescent="0.3">
      <c r="F82894" s="193"/>
    </row>
    <row r="82895" spans="6:6" x14ac:dyDescent="0.3">
      <c r="F82895" s="193"/>
    </row>
    <row r="82896" spans="6:6" x14ac:dyDescent="0.3">
      <c r="F82896" s="193"/>
    </row>
    <row r="82897" spans="6:6" x14ac:dyDescent="0.3">
      <c r="F82897" s="193"/>
    </row>
    <row r="82898" spans="6:6" x14ac:dyDescent="0.3">
      <c r="F82898" s="193"/>
    </row>
    <row r="82899" spans="6:6" x14ac:dyDescent="0.3">
      <c r="F82899" s="193"/>
    </row>
    <row r="82900" spans="6:6" x14ac:dyDescent="0.3">
      <c r="F82900" s="193"/>
    </row>
    <row r="82901" spans="6:6" x14ac:dyDescent="0.3">
      <c r="F82901" s="193"/>
    </row>
    <row r="82902" spans="6:6" x14ac:dyDescent="0.3">
      <c r="F82902" s="193"/>
    </row>
    <row r="82903" spans="6:6" x14ac:dyDescent="0.3">
      <c r="F82903" s="193"/>
    </row>
    <row r="82904" spans="6:6" x14ac:dyDescent="0.3">
      <c r="F82904" s="193"/>
    </row>
    <row r="82905" spans="6:6" x14ac:dyDescent="0.3">
      <c r="F82905" s="193"/>
    </row>
    <row r="82906" spans="6:6" x14ac:dyDescent="0.3">
      <c r="F82906" s="193"/>
    </row>
    <row r="82907" spans="6:6" x14ac:dyDescent="0.3">
      <c r="F82907" s="193"/>
    </row>
    <row r="82908" spans="6:6" x14ac:dyDescent="0.3">
      <c r="F82908" s="193"/>
    </row>
    <row r="82909" spans="6:6" x14ac:dyDescent="0.3">
      <c r="F82909" s="193"/>
    </row>
    <row r="82910" spans="6:6" x14ac:dyDescent="0.3">
      <c r="F82910" s="193"/>
    </row>
    <row r="82911" spans="6:6" x14ac:dyDescent="0.3">
      <c r="F82911" s="193"/>
    </row>
    <row r="82912" spans="6:6" x14ac:dyDescent="0.3">
      <c r="F82912" s="193"/>
    </row>
    <row r="82913" spans="6:6" x14ac:dyDescent="0.3">
      <c r="F82913" s="193"/>
    </row>
    <row r="82914" spans="6:6" x14ac:dyDescent="0.3">
      <c r="F82914" s="193"/>
    </row>
    <row r="82915" spans="6:6" x14ac:dyDescent="0.3">
      <c r="F82915" s="193"/>
    </row>
    <row r="82916" spans="6:6" x14ac:dyDescent="0.3">
      <c r="F82916" s="193"/>
    </row>
    <row r="82917" spans="6:6" x14ac:dyDescent="0.3">
      <c r="F82917" s="193"/>
    </row>
    <row r="82918" spans="6:6" x14ac:dyDescent="0.3">
      <c r="F82918" s="193"/>
    </row>
    <row r="82919" spans="6:6" x14ac:dyDescent="0.3">
      <c r="F82919" s="193"/>
    </row>
    <row r="82920" spans="6:6" x14ac:dyDescent="0.3">
      <c r="F82920" s="193"/>
    </row>
    <row r="82921" spans="6:6" x14ac:dyDescent="0.3">
      <c r="F82921" s="193"/>
    </row>
    <row r="82922" spans="6:6" x14ac:dyDescent="0.3">
      <c r="F82922" s="193"/>
    </row>
    <row r="82923" spans="6:6" x14ac:dyDescent="0.3">
      <c r="F82923" s="193"/>
    </row>
    <row r="82924" spans="6:6" x14ac:dyDescent="0.3">
      <c r="F82924" s="193"/>
    </row>
    <row r="82925" spans="6:6" x14ac:dyDescent="0.3">
      <c r="F82925" s="193"/>
    </row>
    <row r="82926" spans="6:6" x14ac:dyDescent="0.3">
      <c r="F82926" s="193"/>
    </row>
    <row r="82927" spans="6:6" x14ac:dyDescent="0.3">
      <c r="F82927" s="193"/>
    </row>
    <row r="82928" spans="6:6" x14ac:dyDescent="0.3">
      <c r="F82928" s="193"/>
    </row>
    <row r="82929" spans="6:6" x14ac:dyDescent="0.3">
      <c r="F82929" s="193"/>
    </row>
    <row r="82930" spans="6:6" x14ac:dyDescent="0.3">
      <c r="F82930" s="193"/>
    </row>
    <row r="82931" spans="6:6" x14ac:dyDescent="0.3">
      <c r="F82931" s="193"/>
    </row>
    <row r="82932" spans="6:6" x14ac:dyDescent="0.3">
      <c r="F82932" s="193"/>
    </row>
    <row r="82933" spans="6:6" x14ac:dyDescent="0.3">
      <c r="F82933" s="193"/>
    </row>
    <row r="82934" spans="6:6" x14ac:dyDescent="0.3">
      <c r="F82934" s="193"/>
    </row>
    <row r="82935" spans="6:6" x14ac:dyDescent="0.3">
      <c r="F82935" s="193"/>
    </row>
    <row r="82936" spans="6:6" x14ac:dyDescent="0.3">
      <c r="F82936" s="193"/>
    </row>
    <row r="82937" spans="6:6" x14ac:dyDescent="0.3">
      <c r="F82937" s="193"/>
    </row>
    <row r="82938" spans="6:6" x14ac:dyDescent="0.3">
      <c r="F82938" s="193"/>
    </row>
    <row r="82939" spans="6:6" x14ac:dyDescent="0.3">
      <c r="F82939" s="193"/>
    </row>
    <row r="82940" spans="6:6" x14ac:dyDescent="0.3">
      <c r="F82940" s="193"/>
    </row>
    <row r="82941" spans="6:6" x14ac:dyDescent="0.3">
      <c r="F82941" s="193"/>
    </row>
    <row r="82942" spans="6:6" x14ac:dyDescent="0.3">
      <c r="F82942" s="193"/>
    </row>
    <row r="82943" spans="6:6" x14ac:dyDescent="0.3">
      <c r="F82943" s="193"/>
    </row>
    <row r="82944" spans="6:6" x14ac:dyDescent="0.3">
      <c r="F82944" s="193"/>
    </row>
    <row r="82945" spans="6:6" x14ac:dyDescent="0.3">
      <c r="F82945" s="193"/>
    </row>
    <row r="82946" spans="6:6" x14ac:dyDescent="0.3">
      <c r="F82946" s="193"/>
    </row>
    <row r="82947" spans="6:6" x14ac:dyDescent="0.3">
      <c r="F82947" s="193"/>
    </row>
    <row r="82948" spans="6:6" x14ac:dyDescent="0.3">
      <c r="F82948" s="193"/>
    </row>
    <row r="82949" spans="6:6" x14ac:dyDescent="0.3">
      <c r="F82949" s="193"/>
    </row>
    <row r="82950" spans="6:6" x14ac:dyDescent="0.3">
      <c r="F82950" s="193"/>
    </row>
    <row r="82951" spans="6:6" x14ac:dyDescent="0.3">
      <c r="F82951" s="193"/>
    </row>
    <row r="82952" spans="6:6" x14ac:dyDescent="0.3">
      <c r="F82952" s="193"/>
    </row>
    <row r="82953" spans="6:6" x14ac:dyDescent="0.3">
      <c r="F82953" s="193"/>
    </row>
    <row r="82954" spans="6:6" x14ac:dyDescent="0.3">
      <c r="F82954" s="193"/>
    </row>
    <row r="82955" spans="6:6" x14ac:dyDescent="0.3">
      <c r="F82955" s="193"/>
    </row>
    <row r="82956" spans="6:6" x14ac:dyDescent="0.3">
      <c r="F82956" s="193"/>
    </row>
    <row r="82957" spans="6:6" x14ac:dyDescent="0.3">
      <c r="F82957" s="193"/>
    </row>
    <row r="82958" spans="6:6" x14ac:dyDescent="0.3">
      <c r="F82958" s="193"/>
    </row>
    <row r="82959" spans="6:6" x14ac:dyDescent="0.3">
      <c r="F82959" s="193"/>
    </row>
    <row r="82960" spans="6:6" x14ac:dyDescent="0.3">
      <c r="F82960" s="193"/>
    </row>
    <row r="82961" spans="6:6" x14ac:dyDescent="0.3">
      <c r="F82961" s="193"/>
    </row>
    <row r="82962" spans="6:6" x14ac:dyDescent="0.3">
      <c r="F82962" s="193"/>
    </row>
    <row r="82963" spans="6:6" x14ac:dyDescent="0.3">
      <c r="F82963" s="193"/>
    </row>
    <row r="82964" spans="6:6" x14ac:dyDescent="0.3">
      <c r="F82964" s="193"/>
    </row>
    <row r="82965" spans="6:6" x14ac:dyDescent="0.3">
      <c r="F82965" s="193"/>
    </row>
    <row r="82966" spans="6:6" x14ac:dyDescent="0.3">
      <c r="F82966" s="193"/>
    </row>
    <row r="82967" spans="6:6" x14ac:dyDescent="0.3">
      <c r="F82967" s="193"/>
    </row>
    <row r="82968" spans="6:6" x14ac:dyDescent="0.3">
      <c r="F82968" s="193"/>
    </row>
    <row r="82969" spans="6:6" x14ac:dyDescent="0.3">
      <c r="F82969" s="193"/>
    </row>
    <row r="82970" spans="6:6" x14ac:dyDescent="0.3">
      <c r="F82970" s="193"/>
    </row>
    <row r="82971" spans="6:6" x14ac:dyDescent="0.3">
      <c r="F82971" s="193"/>
    </row>
    <row r="82972" spans="6:6" x14ac:dyDescent="0.3">
      <c r="F82972" s="193"/>
    </row>
    <row r="82973" spans="6:6" x14ac:dyDescent="0.3">
      <c r="F82973" s="193"/>
    </row>
    <row r="82974" spans="6:6" x14ac:dyDescent="0.3">
      <c r="F82974" s="193"/>
    </row>
    <row r="82975" spans="6:6" x14ac:dyDescent="0.3">
      <c r="F82975" s="193"/>
    </row>
    <row r="82976" spans="6:6" x14ac:dyDescent="0.3">
      <c r="F82976" s="193"/>
    </row>
    <row r="82977" spans="6:6" x14ac:dyDescent="0.3">
      <c r="F82977" s="193"/>
    </row>
    <row r="82978" spans="6:6" x14ac:dyDescent="0.3">
      <c r="F82978" s="193"/>
    </row>
    <row r="82979" spans="6:6" x14ac:dyDescent="0.3">
      <c r="F82979" s="193"/>
    </row>
    <row r="82980" spans="6:6" x14ac:dyDescent="0.3">
      <c r="F82980" s="193"/>
    </row>
    <row r="82981" spans="6:6" x14ac:dyDescent="0.3">
      <c r="F82981" s="193"/>
    </row>
    <row r="82982" spans="6:6" x14ac:dyDescent="0.3">
      <c r="F82982" s="193"/>
    </row>
    <row r="82983" spans="6:6" x14ac:dyDescent="0.3">
      <c r="F82983" s="193"/>
    </row>
    <row r="82984" spans="6:6" x14ac:dyDescent="0.3">
      <c r="F82984" s="193"/>
    </row>
    <row r="82985" spans="6:6" x14ac:dyDescent="0.3">
      <c r="F82985" s="193"/>
    </row>
    <row r="82986" spans="6:6" x14ac:dyDescent="0.3">
      <c r="F82986" s="193"/>
    </row>
    <row r="82987" spans="6:6" x14ac:dyDescent="0.3">
      <c r="F82987" s="193"/>
    </row>
    <row r="82988" spans="6:6" x14ac:dyDescent="0.3">
      <c r="F82988" s="193"/>
    </row>
    <row r="82989" spans="6:6" x14ac:dyDescent="0.3">
      <c r="F82989" s="193"/>
    </row>
    <row r="82990" spans="6:6" x14ac:dyDescent="0.3">
      <c r="F82990" s="193"/>
    </row>
    <row r="82991" spans="6:6" x14ac:dyDescent="0.3">
      <c r="F82991" s="193"/>
    </row>
    <row r="82992" spans="6:6" x14ac:dyDescent="0.3">
      <c r="F82992" s="193"/>
    </row>
    <row r="82993" spans="6:6" x14ac:dyDescent="0.3">
      <c r="F82993" s="193"/>
    </row>
    <row r="82994" spans="6:6" x14ac:dyDescent="0.3">
      <c r="F82994" s="193"/>
    </row>
    <row r="82995" spans="6:6" x14ac:dyDescent="0.3">
      <c r="F82995" s="193"/>
    </row>
    <row r="82996" spans="6:6" x14ac:dyDescent="0.3">
      <c r="F82996" s="193"/>
    </row>
    <row r="82997" spans="6:6" x14ac:dyDescent="0.3">
      <c r="F82997" s="193"/>
    </row>
    <row r="82998" spans="6:6" x14ac:dyDescent="0.3">
      <c r="F82998" s="193"/>
    </row>
    <row r="82999" spans="6:6" x14ac:dyDescent="0.3">
      <c r="F82999" s="193"/>
    </row>
    <row r="83000" spans="6:6" x14ac:dyDescent="0.3">
      <c r="F83000" s="193"/>
    </row>
    <row r="83001" spans="6:6" x14ac:dyDescent="0.3">
      <c r="F83001" s="193"/>
    </row>
    <row r="83002" spans="6:6" x14ac:dyDescent="0.3">
      <c r="F83002" s="193"/>
    </row>
    <row r="83003" spans="6:6" x14ac:dyDescent="0.3">
      <c r="F83003" s="193"/>
    </row>
    <row r="83004" spans="6:6" x14ac:dyDescent="0.3">
      <c r="F83004" s="193"/>
    </row>
    <row r="83005" spans="6:6" x14ac:dyDescent="0.3">
      <c r="F83005" s="193"/>
    </row>
    <row r="83006" spans="6:6" x14ac:dyDescent="0.3">
      <c r="F83006" s="193"/>
    </row>
    <row r="83007" spans="6:6" x14ac:dyDescent="0.3">
      <c r="F83007" s="193"/>
    </row>
    <row r="83008" spans="6:6" x14ac:dyDescent="0.3">
      <c r="F83008" s="193"/>
    </row>
    <row r="83009" spans="6:6" x14ac:dyDescent="0.3">
      <c r="F83009" s="193"/>
    </row>
    <row r="83010" spans="6:6" x14ac:dyDescent="0.3">
      <c r="F83010" s="193"/>
    </row>
    <row r="83011" spans="6:6" x14ac:dyDescent="0.3">
      <c r="F83011" s="193"/>
    </row>
    <row r="83012" spans="6:6" x14ac:dyDescent="0.3">
      <c r="F83012" s="193"/>
    </row>
    <row r="83013" spans="6:6" x14ac:dyDescent="0.3">
      <c r="F83013" s="193"/>
    </row>
    <row r="83014" spans="6:6" x14ac:dyDescent="0.3">
      <c r="F83014" s="193"/>
    </row>
    <row r="83015" spans="6:6" x14ac:dyDescent="0.3">
      <c r="F83015" s="193"/>
    </row>
    <row r="83016" spans="6:6" x14ac:dyDescent="0.3">
      <c r="F83016" s="193"/>
    </row>
    <row r="83017" spans="6:6" x14ac:dyDescent="0.3">
      <c r="F83017" s="193"/>
    </row>
    <row r="83018" spans="6:6" x14ac:dyDescent="0.3">
      <c r="F83018" s="193"/>
    </row>
    <row r="83019" spans="6:6" x14ac:dyDescent="0.3">
      <c r="F83019" s="193"/>
    </row>
    <row r="83020" spans="6:6" x14ac:dyDescent="0.3">
      <c r="F83020" s="193"/>
    </row>
    <row r="83021" spans="6:6" x14ac:dyDescent="0.3">
      <c r="F83021" s="193"/>
    </row>
    <row r="83022" spans="6:6" x14ac:dyDescent="0.3">
      <c r="F83022" s="193"/>
    </row>
    <row r="83023" spans="6:6" x14ac:dyDescent="0.3">
      <c r="F83023" s="193"/>
    </row>
    <row r="83024" spans="6:6" x14ac:dyDescent="0.3">
      <c r="F83024" s="193"/>
    </row>
    <row r="83025" spans="6:6" x14ac:dyDescent="0.3">
      <c r="F83025" s="193"/>
    </row>
    <row r="83026" spans="6:6" x14ac:dyDescent="0.3">
      <c r="F83026" s="193"/>
    </row>
    <row r="83027" spans="6:6" x14ac:dyDescent="0.3">
      <c r="F83027" s="193"/>
    </row>
    <row r="83028" spans="6:6" x14ac:dyDescent="0.3">
      <c r="F83028" s="193"/>
    </row>
    <row r="83029" spans="6:6" x14ac:dyDescent="0.3">
      <c r="F83029" s="193"/>
    </row>
    <row r="83030" spans="6:6" x14ac:dyDescent="0.3">
      <c r="F83030" s="193"/>
    </row>
    <row r="83031" spans="6:6" x14ac:dyDescent="0.3">
      <c r="F83031" s="193"/>
    </row>
    <row r="83032" spans="6:6" x14ac:dyDescent="0.3">
      <c r="F83032" s="193"/>
    </row>
    <row r="83033" spans="6:6" x14ac:dyDescent="0.3">
      <c r="F83033" s="193"/>
    </row>
    <row r="83034" spans="6:6" x14ac:dyDescent="0.3">
      <c r="F83034" s="193"/>
    </row>
    <row r="83035" spans="6:6" x14ac:dyDescent="0.3">
      <c r="F83035" s="193"/>
    </row>
    <row r="83036" spans="6:6" x14ac:dyDescent="0.3">
      <c r="F83036" s="193"/>
    </row>
    <row r="83037" spans="6:6" x14ac:dyDescent="0.3">
      <c r="F83037" s="193"/>
    </row>
    <row r="83038" spans="6:6" x14ac:dyDescent="0.3">
      <c r="F83038" s="193"/>
    </row>
    <row r="83039" spans="6:6" x14ac:dyDescent="0.3">
      <c r="F83039" s="193"/>
    </row>
    <row r="83040" spans="6:6" x14ac:dyDescent="0.3">
      <c r="F83040" s="193"/>
    </row>
    <row r="83041" spans="6:6" x14ac:dyDescent="0.3">
      <c r="F83041" s="193"/>
    </row>
    <row r="83042" spans="6:6" x14ac:dyDescent="0.3">
      <c r="F83042" s="193"/>
    </row>
    <row r="83043" spans="6:6" x14ac:dyDescent="0.3">
      <c r="F83043" s="193"/>
    </row>
    <row r="83044" spans="6:6" x14ac:dyDescent="0.3">
      <c r="F83044" s="193"/>
    </row>
    <row r="83045" spans="6:6" x14ac:dyDescent="0.3">
      <c r="F83045" s="193"/>
    </row>
    <row r="83046" spans="6:6" x14ac:dyDescent="0.3">
      <c r="F83046" s="193"/>
    </row>
    <row r="83047" spans="6:6" x14ac:dyDescent="0.3">
      <c r="F83047" s="193"/>
    </row>
    <row r="83048" spans="6:6" x14ac:dyDescent="0.3">
      <c r="F83048" s="193"/>
    </row>
    <row r="83049" spans="6:6" x14ac:dyDescent="0.3">
      <c r="F83049" s="193"/>
    </row>
    <row r="83050" spans="6:6" x14ac:dyDescent="0.3">
      <c r="F83050" s="193"/>
    </row>
    <row r="83051" spans="6:6" x14ac:dyDescent="0.3">
      <c r="F83051" s="193"/>
    </row>
    <row r="83052" spans="6:6" x14ac:dyDescent="0.3">
      <c r="F83052" s="193"/>
    </row>
    <row r="83053" spans="6:6" x14ac:dyDescent="0.3">
      <c r="F83053" s="193"/>
    </row>
    <row r="83054" spans="6:6" x14ac:dyDescent="0.3">
      <c r="F83054" s="193"/>
    </row>
    <row r="83055" spans="6:6" x14ac:dyDescent="0.3">
      <c r="F83055" s="193"/>
    </row>
    <row r="83056" spans="6:6" x14ac:dyDescent="0.3">
      <c r="F83056" s="193"/>
    </row>
    <row r="83057" spans="6:6" x14ac:dyDescent="0.3">
      <c r="F83057" s="193"/>
    </row>
    <row r="83058" spans="6:6" x14ac:dyDescent="0.3">
      <c r="F83058" s="193"/>
    </row>
    <row r="83059" spans="6:6" x14ac:dyDescent="0.3">
      <c r="F83059" s="193"/>
    </row>
    <row r="83060" spans="6:6" x14ac:dyDescent="0.3">
      <c r="F83060" s="193"/>
    </row>
    <row r="83061" spans="6:6" x14ac:dyDescent="0.3">
      <c r="F83061" s="193"/>
    </row>
    <row r="83062" spans="6:6" x14ac:dyDescent="0.3">
      <c r="F83062" s="193"/>
    </row>
    <row r="83063" spans="6:6" x14ac:dyDescent="0.3">
      <c r="F83063" s="193"/>
    </row>
    <row r="83064" spans="6:6" x14ac:dyDescent="0.3">
      <c r="F83064" s="193"/>
    </row>
    <row r="83065" spans="6:6" x14ac:dyDescent="0.3">
      <c r="F83065" s="193"/>
    </row>
    <row r="83066" spans="6:6" x14ac:dyDescent="0.3">
      <c r="F83066" s="193"/>
    </row>
    <row r="83067" spans="6:6" x14ac:dyDescent="0.3">
      <c r="F83067" s="193"/>
    </row>
    <row r="83068" spans="6:6" x14ac:dyDescent="0.3">
      <c r="F83068" s="193"/>
    </row>
    <row r="83069" spans="6:6" x14ac:dyDescent="0.3">
      <c r="F83069" s="193"/>
    </row>
    <row r="83070" spans="6:6" x14ac:dyDescent="0.3">
      <c r="F83070" s="193"/>
    </row>
    <row r="83071" spans="6:6" x14ac:dyDescent="0.3">
      <c r="F83071" s="193"/>
    </row>
    <row r="83072" spans="6:6" x14ac:dyDescent="0.3">
      <c r="F83072" s="193"/>
    </row>
    <row r="83073" spans="6:6" x14ac:dyDescent="0.3">
      <c r="F83073" s="193"/>
    </row>
    <row r="83074" spans="6:6" x14ac:dyDescent="0.3">
      <c r="F83074" s="193"/>
    </row>
    <row r="83075" spans="6:6" x14ac:dyDescent="0.3">
      <c r="F83075" s="193"/>
    </row>
    <row r="83076" spans="6:6" x14ac:dyDescent="0.3">
      <c r="F83076" s="193"/>
    </row>
    <row r="83077" spans="6:6" x14ac:dyDescent="0.3">
      <c r="F83077" s="193"/>
    </row>
    <row r="83078" spans="6:6" x14ac:dyDescent="0.3">
      <c r="F83078" s="193"/>
    </row>
    <row r="83079" spans="6:6" x14ac:dyDescent="0.3">
      <c r="F83079" s="193"/>
    </row>
    <row r="83080" spans="6:6" x14ac:dyDescent="0.3">
      <c r="F83080" s="193"/>
    </row>
    <row r="83081" spans="6:6" x14ac:dyDescent="0.3">
      <c r="F83081" s="193"/>
    </row>
    <row r="83082" spans="6:6" x14ac:dyDescent="0.3">
      <c r="F83082" s="193"/>
    </row>
    <row r="83083" spans="6:6" x14ac:dyDescent="0.3">
      <c r="F83083" s="193"/>
    </row>
    <row r="83084" spans="6:6" x14ac:dyDescent="0.3">
      <c r="F83084" s="193"/>
    </row>
    <row r="83085" spans="6:6" x14ac:dyDescent="0.3">
      <c r="F83085" s="193"/>
    </row>
    <row r="83086" spans="6:6" x14ac:dyDescent="0.3">
      <c r="F83086" s="193"/>
    </row>
    <row r="83087" spans="6:6" x14ac:dyDescent="0.3">
      <c r="F83087" s="193"/>
    </row>
    <row r="83088" spans="6:6" x14ac:dyDescent="0.3">
      <c r="F83088" s="193"/>
    </row>
    <row r="83089" spans="6:6" x14ac:dyDescent="0.3">
      <c r="F83089" s="193"/>
    </row>
    <row r="83090" spans="6:6" x14ac:dyDescent="0.3">
      <c r="F83090" s="193"/>
    </row>
    <row r="83091" spans="6:6" x14ac:dyDescent="0.3">
      <c r="F83091" s="193"/>
    </row>
    <row r="83092" spans="6:6" x14ac:dyDescent="0.3">
      <c r="F83092" s="193"/>
    </row>
    <row r="83093" spans="6:6" x14ac:dyDescent="0.3">
      <c r="F83093" s="193"/>
    </row>
    <row r="83094" spans="6:6" x14ac:dyDescent="0.3">
      <c r="F83094" s="193"/>
    </row>
    <row r="83095" spans="6:6" x14ac:dyDescent="0.3">
      <c r="F83095" s="193"/>
    </row>
    <row r="83096" spans="6:6" x14ac:dyDescent="0.3">
      <c r="F83096" s="193"/>
    </row>
    <row r="83097" spans="6:6" x14ac:dyDescent="0.3">
      <c r="F83097" s="193"/>
    </row>
    <row r="83098" spans="6:6" x14ac:dyDescent="0.3">
      <c r="F83098" s="193"/>
    </row>
    <row r="83099" spans="6:6" x14ac:dyDescent="0.3">
      <c r="F83099" s="193"/>
    </row>
    <row r="83100" spans="6:6" x14ac:dyDescent="0.3">
      <c r="F83100" s="193"/>
    </row>
    <row r="83101" spans="6:6" x14ac:dyDescent="0.3">
      <c r="F83101" s="193"/>
    </row>
    <row r="83102" spans="6:6" x14ac:dyDescent="0.3">
      <c r="F83102" s="193"/>
    </row>
    <row r="83103" spans="6:6" x14ac:dyDescent="0.3">
      <c r="F83103" s="193"/>
    </row>
    <row r="83104" spans="6:6" x14ac:dyDescent="0.3">
      <c r="F83104" s="193"/>
    </row>
    <row r="83105" spans="6:6" x14ac:dyDescent="0.3">
      <c r="F83105" s="193"/>
    </row>
    <row r="83106" spans="6:6" x14ac:dyDescent="0.3">
      <c r="F83106" s="193"/>
    </row>
    <row r="83107" spans="6:6" x14ac:dyDescent="0.3">
      <c r="F83107" s="193"/>
    </row>
    <row r="83108" spans="6:6" x14ac:dyDescent="0.3">
      <c r="F83108" s="193"/>
    </row>
    <row r="83109" spans="6:6" x14ac:dyDescent="0.3">
      <c r="F83109" s="193"/>
    </row>
    <row r="83110" spans="6:6" x14ac:dyDescent="0.3">
      <c r="F83110" s="193"/>
    </row>
    <row r="83111" spans="6:6" x14ac:dyDescent="0.3">
      <c r="F83111" s="193"/>
    </row>
    <row r="83112" spans="6:6" x14ac:dyDescent="0.3">
      <c r="F83112" s="193"/>
    </row>
    <row r="83113" spans="6:6" x14ac:dyDescent="0.3">
      <c r="F83113" s="193"/>
    </row>
    <row r="83114" spans="6:6" x14ac:dyDescent="0.3">
      <c r="F83114" s="193"/>
    </row>
    <row r="83115" spans="6:6" x14ac:dyDescent="0.3">
      <c r="F83115" s="193"/>
    </row>
    <row r="83116" spans="6:6" x14ac:dyDescent="0.3">
      <c r="F83116" s="193"/>
    </row>
    <row r="83117" spans="6:6" x14ac:dyDescent="0.3">
      <c r="F83117" s="193"/>
    </row>
    <row r="83118" spans="6:6" x14ac:dyDescent="0.3">
      <c r="F83118" s="193"/>
    </row>
    <row r="83119" spans="6:6" x14ac:dyDescent="0.3">
      <c r="F83119" s="193"/>
    </row>
    <row r="83120" spans="6:6" x14ac:dyDescent="0.3">
      <c r="F83120" s="193"/>
    </row>
    <row r="83121" spans="6:6" x14ac:dyDescent="0.3">
      <c r="F83121" s="193"/>
    </row>
    <row r="83122" spans="6:6" x14ac:dyDescent="0.3">
      <c r="F83122" s="193"/>
    </row>
    <row r="83123" spans="6:6" x14ac:dyDescent="0.3">
      <c r="F83123" s="193"/>
    </row>
    <row r="83124" spans="6:6" x14ac:dyDescent="0.3">
      <c r="F83124" s="193"/>
    </row>
    <row r="83125" spans="6:6" x14ac:dyDescent="0.3">
      <c r="F83125" s="193"/>
    </row>
    <row r="83126" spans="6:6" x14ac:dyDescent="0.3">
      <c r="F83126" s="193"/>
    </row>
    <row r="83127" spans="6:6" x14ac:dyDescent="0.3">
      <c r="F83127" s="193"/>
    </row>
    <row r="83128" spans="6:6" x14ac:dyDescent="0.3">
      <c r="F83128" s="193"/>
    </row>
    <row r="83129" spans="6:6" x14ac:dyDescent="0.3">
      <c r="F83129" s="193"/>
    </row>
    <row r="83130" spans="6:6" x14ac:dyDescent="0.3">
      <c r="F83130" s="193"/>
    </row>
    <row r="83131" spans="6:6" x14ac:dyDescent="0.3">
      <c r="F83131" s="193"/>
    </row>
    <row r="83132" spans="6:6" x14ac:dyDescent="0.3">
      <c r="F83132" s="193"/>
    </row>
    <row r="83133" spans="6:6" x14ac:dyDescent="0.3">
      <c r="F83133" s="193"/>
    </row>
    <row r="83134" spans="6:6" x14ac:dyDescent="0.3">
      <c r="F83134" s="193"/>
    </row>
    <row r="83135" spans="6:6" x14ac:dyDescent="0.3">
      <c r="F83135" s="193"/>
    </row>
    <row r="83136" spans="6:6" x14ac:dyDescent="0.3">
      <c r="F83136" s="193"/>
    </row>
    <row r="83137" spans="6:6" x14ac:dyDescent="0.3">
      <c r="F83137" s="193"/>
    </row>
    <row r="83138" spans="6:6" x14ac:dyDescent="0.3">
      <c r="F83138" s="193"/>
    </row>
    <row r="83139" spans="6:6" x14ac:dyDescent="0.3">
      <c r="F83139" s="193"/>
    </row>
    <row r="83140" spans="6:6" x14ac:dyDescent="0.3">
      <c r="F83140" s="193"/>
    </row>
    <row r="83141" spans="6:6" x14ac:dyDescent="0.3">
      <c r="F83141" s="193"/>
    </row>
    <row r="83142" spans="6:6" x14ac:dyDescent="0.3">
      <c r="F83142" s="193"/>
    </row>
    <row r="83143" spans="6:6" x14ac:dyDescent="0.3">
      <c r="F83143" s="193"/>
    </row>
    <row r="83144" spans="6:6" x14ac:dyDescent="0.3">
      <c r="F83144" s="193"/>
    </row>
    <row r="83145" spans="6:6" x14ac:dyDescent="0.3">
      <c r="F83145" s="193"/>
    </row>
    <row r="83146" spans="6:6" x14ac:dyDescent="0.3">
      <c r="F83146" s="193"/>
    </row>
    <row r="83147" spans="6:6" x14ac:dyDescent="0.3">
      <c r="F83147" s="193"/>
    </row>
    <row r="83148" spans="6:6" x14ac:dyDescent="0.3">
      <c r="F83148" s="193"/>
    </row>
    <row r="83149" spans="6:6" x14ac:dyDescent="0.3">
      <c r="F83149" s="193"/>
    </row>
    <row r="83150" spans="6:6" x14ac:dyDescent="0.3">
      <c r="F83150" s="193"/>
    </row>
    <row r="83151" spans="6:6" x14ac:dyDescent="0.3">
      <c r="F83151" s="193"/>
    </row>
    <row r="83152" spans="6:6" x14ac:dyDescent="0.3">
      <c r="F83152" s="193"/>
    </row>
    <row r="83153" spans="6:6" x14ac:dyDescent="0.3">
      <c r="F83153" s="193"/>
    </row>
    <row r="83154" spans="6:6" x14ac:dyDescent="0.3">
      <c r="F83154" s="193"/>
    </row>
    <row r="83155" spans="6:6" x14ac:dyDescent="0.3">
      <c r="F83155" s="193"/>
    </row>
    <row r="83156" spans="6:6" x14ac:dyDescent="0.3">
      <c r="F83156" s="193"/>
    </row>
    <row r="83157" spans="6:6" x14ac:dyDescent="0.3">
      <c r="F83157" s="193"/>
    </row>
    <row r="83158" spans="6:6" x14ac:dyDescent="0.3">
      <c r="F83158" s="193"/>
    </row>
    <row r="83159" spans="6:6" x14ac:dyDescent="0.3">
      <c r="F83159" s="193"/>
    </row>
    <row r="83160" spans="6:6" x14ac:dyDescent="0.3">
      <c r="F83160" s="193"/>
    </row>
    <row r="83161" spans="6:6" x14ac:dyDescent="0.3">
      <c r="F83161" s="193"/>
    </row>
    <row r="83162" spans="6:6" x14ac:dyDescent="0.3">
      <c r="F83162" s="193"/>
    </row>
    <row r="83163" spans="6:6" x14ac:dyDescent="0.3">
      <c r="F83163" s="193"/>
    </row>
    <row r="83164" spans="6:6" x14ac:dyDescent="0.3">
      <c r="F83164" s="193"/>
    </row>
    <row r="83165" spans="6:6" x14ac:dyDescent="0.3">
      <c r="F83165" s="193"/>
    </row>
    <row r="83166" spans="6:6" x14ac:dyDescent="0.3">
      <c r="F83166" s="193"/>
    </row>
    <row r="83167" spans="6:6" x14ac:dyDescent="0.3">
      <c r="F83167" s="193"/>
    </row>
    <row r="83168" spans="6:6" x14ac:dyDescent="0.3">
      <c r="F83168" s="193"/>
    </row>
    <row r="83169" spans="6:6" x14ac:dyDescent="0.3">
      <c r="F83169" s="193"/>
    </row>
    <row r="83170" spans="6:6" x14ac:dyDescent="0.3">
      <c r="F83170" s="193"/>
    </row>
    <row r="83171" spans="6:6" x14ac:dyDescent="0.3">
      <c r="F83171" s="193"/>
    </row>
    <row r="83172" spans="6:6" x14ac:dyDescent="0.3">
      <c r="F83172" s="193"/>
    </row>
    <row r="83173" spans="6:6" x14ac:dyDescent="0.3">
      <c r="F83173" s="193"/>
    </row>
    <row r="83174" spans="6:6" x14ac:dyDescent="0.3">
      <c r="F83174" s="193"/>
    </row>
    <row r="83175" spans="6:6" x14ac:dyDescent="0.3">
      <c r="F83175" s="193"/>
    </row>
    <row r="83176" spans="6:6" x14ac:dyDescent="0.3">
      <c r="F83176" s="193"/>
    </row>
    <row r="83177" spans="6:6" x14ac:dyDescent="0.3">
      <c r="F83177" s="193"/>
    </row>
    <row r="83178" spans="6:6" x14ac:dyDescent="0.3">
      <c r="F83178" s="193"/>
    </row>
    <row r="83179" spans="6:6" x14ac:dyDescent="0.3">
      <c r="F83179" s="193"/>
    </row>
    <row r="83180" spans="6:6" x14ac:dyDescent="0.3">
      <c r="F83180" s="193"/>
    </row>
    <row r="83181" spans="6:6" x14ac:dyDescent="0.3">
      <c r="F83181" s="193"/>
    </row>
    <row r="83182" spans="6:6" x14ac:dyDescent="0.3">
      <c r="F83182" s="193"/>
    </row>
    <row r="83183" spans="6:6" x14ac:dyDescent="0.3">
      <c r="F83183" s="193"/>
    </row>
    <row r="83184" spans="6:6" x14ac:dyDescent="0.3">
      <c r="F83184" s="193"/>
    </row>
    <row r="83185" spans="6:6" x14ac:dyDescent="0.3">
      <c r="F83185" s="193"/>
    </row>
    <row r="83186" spans="6:6" x14ac:dyDescent="0.3">
      <c r="F83186" s="193"/>
    </row>
    <row r="83187" spans="6:6" x14ac:dyDescent="0.3">
      <c r="F83187" s="193"/>
    </row>
    <row r="83188" spans="6:6" x14ac:dyDescent="0.3">
      <c r="F83188" s="193"/>
    </row>
    <row r="83189" spans="6:6" x14ac:dyDescent="0.3">
      <c r="F83189" s="193"/>
    </row>
    <row r="83190" spans="6:6" x14ac:dyDescent="0.3">
      <c r="F83190" s="193"/>
    </row>
    <row r="83191" spans="6:6" x14ac:dyDescent="0.3">
      <c r="F83191" s="193"/>
    </row>
    <row r="83192" spans="6:6" x14ac:dyDescent="0.3">
      <c r="F83192" s="193"/>
    </row>
    <row r="83193" spans="6:6" x14ac:dyDescent="0.3">
      <c r="F83193" s="193"/>
    </row>
    <row r="83194" spans="6:6" x14ac:dyDescent="0.3">
      <c r="F83194" s="193"/>
    </row>
    <row r="83195" spans="6:6" x14ac:dyDescent="0.3">
      <c r="F83195" s="193"/>
    </row>
    <row r="83196" spans="6:6" x14ac:dyDescent="0.3">
      <c r="F83196" s="193"/>
    </row>
    <row r="83197" spans="6:6" x14ac:dyDescent="0.3">
      <c r="F83197" s="193"/>
    </row>
    <row r="83198" spans="6:6" x14ac:dyDescent="0.3">
      <c r="F83198" s="193"/>
    </row>
    <row r="83199" spans="6:6" x14ac:dyDescent="0.3">
      <c r="F83199" s="193"/>
    </row>
    <row r="83200" spans="6:6" x14ac:dyDescent="0.3">
      <c r="F83200" s="193"/>
    </row>
    <row r="83201" spans="6:6" x14ac:dyDescent="0.3">
      <c r="F83201" s="193"/>
    </row>
    <row r="83202" spans="6:6" x14ac:dyDescent="0.3">
      <c r="F83202" s="193"/>
    </row>
    <row r="83203" spans="6:6" x14ac:dyDescent="0.3">
      <c r="F83203" s="193"/>
    </row>
    <row r="83204" spans="6:6" x14ac:dyDescent="0.3">
      <c r="F83204" s="193"/>
    </row>
    <row r="83205" spans="6:6" x14ac:dyDescent="0.3">
      <c r="F83205" s="193"/>
    </row>
    <row r="83206" spans="6:6" x14ac:dyDescent="0.3">
      <c r="F83206" s="193"/>
    </row>
    <row r="83207" spans="6:6" x14ac:dyDescent="0.3">
      <c r="F83207" s="193"/>
    </row>
    <row r="83208" spans="6:6" x14ac:dyDescent="0.3">
      <c r="F83208" s="193"/>
    </row>
    <row r="83209" spans="6:6" x14ac:dyDescent="0.3">
      <c r="F83209" s="193"/>
    </row>
    <row r="83210" spans="6:6" x14ac:dyDescent="0.3">
      <c r="F83210" s="193"/>
    </row>
    <row r="83211" spans="6:6" x14ac:dyDescent="0.3">
      <c r="F83211" s="193"/>
    </row>
    <row r="83212" spans="6:6" x14ac:dyDescent="0.3">
      <c r="F83212" s="193"/>
    </row>
    <row r="83213" spans="6:6" x14ac:dyDescent="0.3">
      <c r="F83213" s="193"/>
    </row>
    <row r="83214" spans="6:6" x14ac:dyDescent="0.3">
      <c r="F83214" s="193"/>
    </row>
    <row r="83215" spans="6:6" x14ac:dyDescent="0.3">
      <c r="F83215" s="193"/>
    </row>
    <row r="83216" spans="6:6" x14ac:dyDescent="0.3">
      <c r="F83216" s="193"/>
    </row>
    <row r="83217" spans="6:6" x14ac:dyDescent="0.3">
      <c r="F83217" s="193"/>
    </row>
    <row r="83218" spans="6:6" x14ac:dyDescent="0.3">
      <c r="F83218" s="193"/>
    </row>
    <row r="83219" spans="6:6" x14ac:dyDescent="0.3">
      <c r="F83219" s="193"/>
    </row>
    <row r="83220" spans="6:6" x14ac:dyDescent="0.3">
      <c r="F83220" s="193"/>
    </row>
    <row r="83221" spans="6:6" x14ac:dyDescent="0.3">
      <c r="F83221" s="193"/>
    </row>
    <row r="83222" spans="6:6" x14ac:dyDescent="0.3">
      <c r="F83222" s="193"/>
    </row>
    <row r="83223" spans="6:6" x14ac:dyDescent="0.3">
      <c r="F83223" s="193"/>
    </row>
    <row r="83224" spans="6:6" x14ac:dyDescent="0.3">
      <c r="F83224" s="193"/>
    </row>
    <row r="83225" spans="6:6" x14ac:dyDescent="0.3">
      <c r="F83225" s="193"/>
    </row>
    <row r="83226" spans="6:6" x14ac:dyDescent="0.3">
      <c r="F83226" s="193"/>
    </row>
    <row r="83227" spans="6:6" x14ac:dyDescent="0.3">
      <c r="F83227" s="193"/>
    </row>
    <row r="83228" spans="6:6" x14ac:dyDescent="0.3">
      <c r="F83228" s="193"/>
    </row>
    <row r="83229" spans="6:6" x14ac:dyDescent="0.3">
      <c r="F83229" s="193"/>
    </row>
    <row r="83230" spans="6:6" x14ac:dyDescent="0.3">
      <c r="F83230" s="193"/>
    </row>
    <row r="83231" spans="6:6" x14ac:dyDescent="0.3">
      <c r="F83231" s="193"/>
    </row>
    <row r="83232" spans="6:6" x14ac:dyDescent="0.3">
      <c r="F83232" s="193"/>
    </row>
    <row r="83233" spans="6:6" x14ac:dyDescent="0.3">
      <c r="F83233" s="193"/>
    </row>
    <row r="83234" spans="6:6" x14ac:dyDescent="0.3">
      <c r="F83234" s="193"/>
    </row>
    <row r="83235" spans="6:6" x14ac:dyDescent="0.3">
      <c r="F83235" s="193"/>
    </row>
    <row r="83236" spans="6:6" x14ac:dyDescent="0.3">
      <c r="F83236" s="193"/>
    </row>
    <row r="83237" spans="6:6" x14ac:dyDescent="0.3">
      <c r="F83237" s="193"/>
    </row>
    <row r="83238" spans="6:6" x14ac:dyDescent="0.3">
      <c r="F83238" s="193"/>
    </row>
    <row r="83239" spans="6:6" x14ac:dyDescent="0.3">
      <c r="F83239" s="193"/>
    </row>
    <row r="83240" spans="6:6" x14ac:dyDescent="0.3">
      <c r="F83240" s="193"/>
    </row>
    <row r="83241" spans="6:6" x14ac:dyDescent="0.3">
      <c r="F83241" s="193"/>
    </row>
    <row r="83242" spans="6:6" x14ac:dyDescent="0.3">
      <c r="F83242" s="193"/>
    </row>
    <row r="83243" spans="6:6" x14ac:dyDescent="0.3">
      <c r="F83243" s="193"/>
    </row>
    <row r="83244" spans="6:6" x14ac:dyDescent="0.3">
      <c r="F83244" s="193"/>
    </row>
    <row r="83245" spans="6:6" x14ac:dyDescent="0.3">
      <c r="F83245" s="193"/>
    </row>
    <row r="83246" spans="6:6" x14ac:dyDescent="0.3">
      <c r="F83246" s="193"/>
    </row>
    <row r="83247" spans="6:6" x14ac:dyDescent="0.3">
      <c r="F83247" s="193"/>
    </row>
    <row r="83248" spans="6:6" x14ac:dyDescent="0.3">
      <c r="F83248" s="193"/>
    </row>
    <row r="83249" spans="6:6" x14ac:dyDescent="0.3">
      <c r="F83249" s="193"/>
    </row>
    <row r="83250" spans="6:6" x14ac:dyDescent="0.3">
      <c r="F83250" s="193"/>
    </row>
    <row r="83251" spans="6:6" x14ac:dyDescent="0.3">
      <c r="F83251" s="193"/>
    </row>
    <row r="83252" spans="6:6" x14ac:dyDescent="0.3">
      <c r="F83252" s="193"/>
    </row>
    <row r="83253" spans="6:6" x14ac:dyDescent="0.3">
      <c r="F83253" s="193"/>
    </row>
    <row r="83254" spans="6:6" x14ac:dyDescent="0.3">
      <c r="F83254" s="193"/>
    </row>
    <row r="83255" spans="6:6" x14ac:dyDescent="0.3">
      <c r="F83255" s="193"/>
    </row>
    <row r="83256" spans="6:6" x14ac:dyDescent="0.3">
      <c r="F83256" s="193"/>
    </row>
    <row r="83257" spans="6:6" x14ac:dyDescent="0.3">
      <c r="F83257" s="193"/>
    </row>
    <row r="83258" spans="6:6" x14ac:dyDescent="0.3">
      <c r="F83258" s="193"/>
    </row>
    <row r="83259" spans="6:6" x14ac:dyDescent="0.3">
      <c r="F83259" s="193"/>
    </row>
    <row r="83260" spans="6:6" x14ac:dyDescent="0.3">
      <c r="F83260" s="193"/>
    </row>
    <row r="83261" spans="6:6" x14ac:dyDescent="0.3">
      <c r="F83261" s="193"/>
    </row>
    <row r="83262" spans="6:6" x14ac:dyDescent="0.3">
      <c r="F83262" s="193"/>
    </row>
    <row r="83263" spans="6:6" x14ac:dyDescent="0.3">
      <c r="F83263" s="193"/>
    </row>
    <row r="83264" spans="6:6" x14ac:dyDescent="0.3">
      <c r="F83264" s="193"/>
    </row>
    <row r="83265" spans="6:6" x14ac:dyDescent="0.3">
      <c r="F83265" s="193"/>
    </row>
    <row r="83266" spans="6:6" x14ac:dyDescent="0.3">
      <c r="F83266" s="193"/>
    </row>
    <row r="83267" spans="6:6" x14ac:dyDescent="0.3">
      <c r="F83267" s="193"/>
    </row>
    <row r="83268" spans="6:6" x14ac:dyDescent="0.3">
      <c r="F83268" s="193"/>
    </row>
    <row r="83269" spans="6:6" x14ac:dyDescent="0.3">
      <c r="F83269" s="193"/>
    </row>
    <row r="83270" spans="6:6" x14ac:dyDescent="0.3">
      <c r="F83270" s="193"/>
    </row>
    <row r="83271" spans="6:6" x14ac:dyDescent="0.3">
      <c r="F83271" s="193"/>
    </row>
    <row r="83272" spans="6:6" x14ac:dyDescent="0.3">
      <c r="F83272" s="193"/>
    </row>
    <row r="83273" spans="6:6" x14ac:dyDescent="0.3">
      <c r="F83273" s="193"/>
    </row>
    <row r="83274" spans="6:6" x14ac:dyDescent="0.3">
      <c r="F83274" s="193"/>
    </row>
    <row r="83275" spans="6:6" x14ac:dyDescent="0.3">
      <c r="F83275" s="193"/>
    </row>
    <row r="83276" spans="6:6" x14ac:dyDescent="0.3">
      <c r="F83276" s="193"/>
    </row>
    <row r="83277" spans="6:6" x14ac:dyDescent="0.3">
      <c r="F83277" s="193"/>
    </row>
    <row r="83278" spans="6:6" x14ac:dyDescent="0.3">
      <c r="F83278" s="193"/>
    </row>
    <row r="83279" spans="6:6" x14ac:dyDescent="0.3">
      <c r="F83279" s="193"/>
    </row>
    <row r="83280" spans="6:6" x14ac:dyDescent="0.3">
      <c r="F83280" s="193"/>
    </row>
    <row r="83281" spans="6:6" x14ac:dyDescent="0.3">
      <c r="F83281" s="193"/>
    </row>
    <row r="83282" spans="6:6" x14ac:dyDescent="0.3">
      <c r="F83282" s="193"/>
    </row>
    <row r="83283" spans="6:6" x14ac:dyDescent="0.3">
      <c r="F83283" s="193"/>
    </row>
    <row r="83284" spans="6:6" x14ac:dyDescent="0.3">
      <c r="F83284" s="193"/>
    </row>
    <row r="83285" spans="6:6" x14ac:dyDescent="0.3">
      <c r="F83285" s="193"/>
    </row>
    <row r="83286" spans="6:6" x14ac:dyDescent="0.3">
      <c r="F83286" s="193"/>
    </row>
    <row r="83287" spans="6:6" x14ac:dyDescent="0.3">
      <c r="F83287" s="193"/>
    </row>
    <row r="83288" spans="6:6" x14ac:dyDescent="0.3">
      <c r="F83288" s="193"/>
    </row>
    <row r="83289" spans="6:6" x14ac:dyDescent="0.3">
      <c r="F83289" s="193"/>
    </row>
    <row r="83290" spans="6:6" x14ac:dyDescent="0.3">
      <c r="F83290" s="193"/>
    </row>
    <row r="83291" spans="6:6" x14ac:dyDescent="0.3">
      <c r="F83291" s="193"/>
    </row>
    <row r="83292" spans="6:6" x14ac:dyDescent="0.3">
      <c r="F83292" s="193"/>
    </row>
    <row r="83293" spans="6:6" x14ac:dyDescent="0.3">
      <c r="F83293" s="193"/>
    </row>
    <row r="83294" spans="6:6" x14ac:dyDescent="0.3">
      <c r="F83294" s="193"/>
    </row>
    <row r="83295" spans="6:6" x14ac:dyDescent="0.3">
      <c r="F83295" s="193"/>
    </row>
    <row r="83296" spans="6:6" x14ac:dyDescent="0.3">
      <c r="F83296" s="193"/>
    </row>
    <row r="83297" spans="6:6" x14ac:dyDescent="0.3">
      <c r="F83297" s="193"/>
    </row>
    <row r="83298" spans="6:6" x14ac:dyDescent="0.3">
      <c r="F83298" s="193"/>
    </row>
    <row r="83299" spans="6:6" x14ac:dyDescent="0.3">
      <c r="F83299" s="193"/>
    </row>
    <row r="83300" spans="6:6" x14ac:dyDescent="0.3">
      <c r="F83300" s="193"/>
    </row>
    <row r="83301" spans="6:6" x14ac:dyDescent="0.3">
      <c r="F83301" s="193"/>
    </row>
    <row r="83302" spans="6:6" x14ac:dyDescent="0.3">
      <c r="F83302" s="193"/>
    </row>
    <row r="83303" spans="6:6" x14ac:dyDescent="0.3">
      <c r="F83303" s="193"/>
    </row>
    <row r="83304" spans="6:6" x14ac:dyDescent="0.3">
      <c r="F83304" s="193"/>
    </row>
    <row r="83305" spans="6:6" x14ac:dyDescent="0.3">
      <c r="F83305" s="193"/>
    </row>
    <row r="83306" spans="6:6" x14ac:dyDescent="0.3">
      <c r="F83306" s="193"/>
    </row>
    <row r="83307" spans="6:6" x14ac:dyDescent="0.3">
      <c r="F83307" s="193"/>
    </row>
    <row r="83308" spans="6:6" x14ac:dyDescent="0.3">
      <c r="F83308" s="193"/>
    </row>
    <row r="83309" spans="6:6" x14ac:dyDescent="0.3">
      <c r="F83309" s="193"/>
    </row>
    <row r="83310" spans="6:6" x14ac:dyDescent="0.3">
      <c r="F83310" s="193"/>
    </row>
    <row r="83311" spans="6:6" x14ac:dyDescent="0.3">
      <c r="F83311" s="193"/>
    </row>
    <row r="83312" spans="6:6" x14ac:dyDescent="0.3">
      <c r="F83312" s="193"/>
    </row>
    <row r="83313" spans="6:6" x14ac:dyDescent="0.3">
      <c r="F83313" s="193"/>
    </row>
    <row r="83314" spans="6:6" x14ac:dyDescent="0.3">
      <c r="F83314" s="193"/>
    </row>
    <row r="83315" spans="6:6" x14ac:dyDescent="0.3">
      <c r="F83315" s="193"/>
    </row>
    <row r="83316" spans="6:6" x14ac:dyDescent="0.3">
      <c r="F83316" s="193"/>
    </row>
    <row r="83317" spans="6:6" x14ac:dyDescent="0.3">
      <c r="F83317" s="193"/>
    </row>
    <row r="83318" spans="6:6" x14ac:dyDescent="0.3">
      <c r="F83318" s="193"/>
    </row>
    <row r="83319" spans="6:6" x14ac:dyDescent="0.3">
      <c r="F83319" s="193"/>
    </row>
    <row r="83320" spans="6:6" x14ac:dyDescent="0.3">
      <c r="F83320" s="193"/>
    </row>
    <row r="83321" spans="6:6" x14ac:dyDescent="0.3">
      <c r="F83321" s="193"/>
    </row>
    <row r="83322" spans="6:6" x14ac:dyDescent="0.3">
      <c r="F83322" s="193"/>
    </row>
    <row r="83323" spans="6:6" x14ac:dyDescent="0.3">
      <c r="F83323" s="193"/>
    </row>
    <row r="83324" spans="6:6" x14ac:dyDescent="0.3">
      <c r="F83324" s="193"/>
    </row>
    <row r="83325" spans="6:6" x14ac:dyDescent="0.3">
      <c r="F83325" s="193"/>
    </row>
    <row r="83326" spans="6:6" x14ac:dyDescent="0.3">
      <c r="F83326" s="193"/>
    </row>
    <row r="83327" spans="6:6" x14ac:dyDescent="0.3">
      <c r="F83327" s="193"/>
    </row>
    <row r="83328" spans="6:6" x14ac:dyDescent="0.3">
      <c r="F83328" s="193"/>
    </row>
    <row r="83329" spans="6:6" x14ac:dyDescent="0.3">
      <c r="F83329" s="193"/>
    </row>
    <row r="83330" spans="6:6" x14ac:dyDescent="0.3">
      <c r="F83330" s="193"/>
    </row>
    <row r="83331" spans="6:6" x14ac:dyDescent="0.3">
      <c r="F83331" s="193"/>
    </row>
    <row r="83332" spans="6:6" x14ac:dyDescent="0.3">
      <c r="F83332" s="193"/>
    </row>
    <row r="83333" spans="6:6" x14ac:dyDescent="0.3">
      <c r="F83333" s="193"/>
    </row>
    <row r="83334" spans="6:6" x14ac:dyDescent="0.3">
      <c r="F83334" s="193"/>
    </row>
    <row r="83335" spans="6:6" x14ac:dyDescent="0.3">
      <c r="F83335" s="193"/>
    </row>
    <row r="83336" spans="6:6" x14ac:dyDescent="0.3">
      <c r="F83336" s="193"/>
    </row>
    <row r="83337" spans="6:6" x14ac:dyDescent="0.3">
      <c r="F83337" s="193"/>
    </row>
    <row r="83338" spans="6:6" x14ac:dyDescent="0.3">
      <c r="F83338" s="193"/>
    </row>
    <row r="83339" spans="6:6" x14ac:dyDescent="0.3">
      <c r="F83339" s="193"/>
    </row>
    <row r="83340" spans="6:6" x14ac:dyDescent="0.3">
      <c r="F83340" s="193"/>
    </row>
    <row r="83341" spans="6:6" x14ac:dyDescent="0.3">
      <c r="F83341" s="193"/>
    </row>
    <row r="83342" spans="6:6" x14ac:dyDescent="0.3">
      <c r="F83342" s="193"/>
    </row>
    <row r="83343" spans="6:6" x14ac:dyDescent="0.3">
      <c r="F83343" s="193"/>
    </row>
    <row r="83344" spans="6:6" x14ac:dyDescent="0.3">
      <c r="F83344" s="193"/>
    </row>
    <row r="83345" spans="6:6" x14ac:dyDescent="0.3">
      <c r="F83345" s="193"/>
    </row>
    <row r="83346" spans="6:6" x14ac:dyDescent="0.3">
      <c r="F83346" s="193"/>
    </row>
    <row r="83347" spans="6:6" x14ac:dyDescent="0.3">
      <c r="F83347" s="193"/>
    </row>
    <row r="83348" spans="6:6" x14ac:dyDescent="0.3">
      <c r="F83348" s="193"/>
    </row>
    <row r="83349" spans="6:6" x14ac:dyDescent="0.3">
      <c r="F83349" s="193"/>
    </row>
    <row r="83350" spans="6:6" x14ac:dyDescent="0.3">
      <c r="F83350" s="193"/>
    </row>
    <row r="83351" spans="6:6" x14ac:dyDescent="0.3">
      <c r="F83351" s="193"/>
    </row>
    <row r="83352" spans="6:6" x14ac:dyDescent="0.3">
      <c r="F83352" s="193"/>
    </row>
    <row r="83353" spans="6:6" x14ac:dyDescent="0.3">
      <c r="F83353" s="193"/>
    </row>
    <row r="83354" spans="6:6" x14ac:dyDescent="0.3">
      <c r="F83354" s="193"/>
    </row>
    <row r="83355" spans="6:6" x14ac:dyDescent="0.3">
      <c r="F83355" s="193"/>
    </row>
    <row r="83356" spans="6:6" x14ac:dyDescent="0.3">
      <c r="F83356" s="193"/>
    </row>
    <row r="83357" spans="6:6" x14ac:dyDescent="0.3">
      <c r="F83357" s="193"/>
    </row>
    <row r="83358" spans="6:6" x14ac:dyDescent="0.3">
      <c r="F83358" s="193"/>
    </row>
    <row r="83359" spans="6:6" x14ac:dyDescent="0.3">
      <c r="F83359" s="193"/>
    </row>
    <row r="83360" spans="6:6" x14ac:dyDescent="0.3">
      <c r="F83360" s="193"/>
    </row>
    <row r="83361" spans="6:6" x14ac:dyDescent="0.3">
      <c r="F83361" s="193"/>
    </row>
    <row r="83362" spans="6:6" x14ac:dyDescent="0.3">
      <c r="F83362" s="193"/>
    </row>
    <row r="83363" spans="6:6" x14ac:dyDescent="0.3">
      <c r="F83363" s="193"/>
    </row>
    <row r="83364" spans="6:6" x14ac:dyDescent="0.3">
      <c r="F83364" s="193"/>
    </row>
    <row r="83365" spans="6:6" x14ac:dyDescent="0.3">
      <c r="F83365" s="193"/>
    </row>
    <row r="83366" spans="6:6" x14ac:dyDescent="0.3">
      <c r="F83366" s="193"/>
    </row>
    <row r="83367" spans="6:6" x14ac:dyDescent="0.3">
      <c r="F83367" s="193"/>
    </row>
    <row r="83368" spans="6:6" x14ac:dyDescent="0.3">
      <c r="F83368" s="193"/>
    </row>
    <row r="83369" spans="6:6" x14ac:dyDescent="0.3">
      <c r="F83369" s="193"/>
    </row>
    <row r="83370" spans="6:6" x14ac:dyDescent="0.3">
      <c r="F83370" s="193"/>
    </row>
    <row r="83371" spans="6:6" x14ac:dyDescent="0.3">
      <c r="F83371" s="193"/>
    </row>
    <row r="83372" spans="6:6" x14ac:dyDescent="0.3">
      <c r="F83372" s="193"/>
    </row>
    <row r="83373" spans="6:6" x14ac:dyDescent="0.3">
      <c r="F83373" s="193"/>
    </row>
    <row r="83374" spans="6:6" x14ac:dyDescent="0.3">
      <c r="F83374" s="193"/>
    </row>
    <row r="83375" spans="6:6" x14ac:dyDescent="0.3">
      <c r="F83375" s="193"/>
    </row>
    <row r="83376" spans="6:6" x14ac:dyDescent="0.3">
      <c r="F83376" s="193"/>
    </row>
    <row r="83377" spans="6:6" x14ac:dyDescent="0.3">
      <c r="F83377" s="193"/>
    </row>
    <row r="83378" spans="6:6" x14ac:dyDescent="0.3">
      <c r="F83378" s="193"/>
    </row>
    <row r="83379" spans="6:6" x14ac:dyDescent="0.3">
      <c r="F83379" s="193"/>
    </row>
    <row r="83380" spans="6:6" x14ac:dyDescent="0.3">
      <c r="F83380" s="193"/>
    </row>
    <row r="83381" spans="6:6" x14ac:dyDescent="0.3">
      <c r="F83381" s="193"/>
    </row>
    <row r="83382" spans="6:6" x14ac:dyDescent="0.3">
      <c r="F83382" s="193"/>
    </row>
    <row r="83383" spans="6:6" x14ac:dyDescent="0.3">
      <c r="F83383" s="193"/>
    </row>
    <row r="83384" spans="6:6" x14ac:dyDescent="0.3">
      <c r="F83384" s="193"/>
    </row>
    <row r="83385" spans="6:6" x14ac:dyDescent="0.3">
      <c r="F83385" s="193"/>
    </row>
    <row r="83386" spans="6:6" x14ac:dyDescent="0.3">
      <c r="F83386" s="193"/>
    </row>
    <row r="83387" spans="6:6" x14ac:dyDescent="0.3">
      <c r="F83387" s="193"/>
    </row>
    <row r="83388" spans="6:6" x14ac:dyDescent="0.3">
      <c r="F83388" s="193"/>
    </row>
    <row r="83389" spans="6:6" x14ac:dyDescent="0.3">
      <c r="F83389" s="193"/>
    </row>
    <row r="83390" spans="6:6" x14ac:dyDescent="0.3">
      <c r="F83390" s="193"/>
    </row>
    <row r="83391" spans="6:6" x14ac:dyDescent="0.3">
      <c r="F83391" s="193"/>
    </row>
    <row r="83392" spans="6:6" x14ac:dyDescent="0.3">
      <c r="F83392" s="193"/>
    </row>
    <row r="83393" spans="6:6" x14ac:dyDescent="0.3">
      <c r="F83393" s="193"/>
    </row>
    <row r="83394" spans="6:6" x14ac:dyDescent="0.3">
      <c r="F83394" s="193"/>
    </row>
    <row r="83395" spans="6:6" x14ac:dyDescent="0.3">
      <c r="F83395" s="193"/>
    </row>
    <row r="83396" spans="6:6" x14ac:dyDescent="0.3">
      <c r="F83396" s="193"/>
    </row>
    <row r="83397" spans="6:6" x14ac:dyDescent="0.3">
      <c r="F83397" s="193"/>
    </row>
    <row r="83398" spans="6:6" x14ac:dyDescent="0.3">
      <c r="F83398" s="193"/>
    </row>
    <row r="83399" spans="6:6" x14ac:dyDescent="0.3">
      <c r="F83399" s="193"/>
    </row>
    <row r="83400" spans="6:6" x14ac:dyDescent="0.3">
      <c r="F83400" s="193"/>
    </row>
    <row r="83401" spans="6:6" x14ac:dyDescent="0.3">
      <c r="F83401" s="193"/>
    </row>
    <row r="83402" spans="6:6" x14ac:dyDescent="0.3">
      <c r="F83402" s="193"/>
    </row>
    <row r="83403" spans="6:6" x14ac:dyDescent="0.3">
      <c r="F83403" s="193"/>
    </row>
    <row r="83404" spans="6:6" x14ac:dyDescent="0.3">
      <c r="F83404" s="193"/>
    </row>
    <row r="83405" spans="6:6" x14ac:dyDescent="0.3">
      <c r="F83405" s="193"/>
    </row>
    <row r="83406" spans="6:6" x14ac:dyDescent="0.3">
      <c r="F83406" s="193"/>
    </row>
    <row r="83407" spans="6:6" x14ac:dyDescent="0.3">
      <c r="F83407" s="193"/>
    </row>
    <row r="83408" spans="6:6" x14ac:dyDescent="0.3">
      <c r="F83408" s="193"/>
    </row>
    <row r="83409" spans="6:6" x14ac:dyDescent="0.3">
      <c r="F83409" s="193"/>
    </row>
    <row r="83410" spans="6:6" x14ac:dyDescent="0.3">
      <c r="F83410" s="193"/>
    </row>
    <row r="83411" spans="6:6" x14ac:dyDescent="0.3">
      <c r="F83411" s="193"/>
    </row>
    <row r="83412" spans="6:6" x14ac:dyDescent="0.3">
      <c r="F83412" s="193"/>
    </row>
    <row r="83413" spans="6:6" x14ac:dyDescent="0.3">
      <c r="F83413" s="193"/>
    </row>
    <row r="83414" spans="6:6" x14ac:dyDescent="0.3">
      <c r="F83414" s="193"/>
    </row>
    <row r="83415" spans="6:6" x14ac:dyDescent="0.3">
      <c r="F83415" s="193"/>
    </row>
    <row r="83416" spans="6:6" x14ac:dyDescent="0.3">
      <c r="F83416" s="193"/>
    </row>
    <row r="83417" spans="6:6" x14ac:dyDescent="0.3">
      <c r="F83417" s="193"/>
    </row>
    <row r="83418" spans="6:6" x14ac:dyDescent="0.3">
      <c r="F83418" s="193"/>
    </row>
    <row r="83419" spans="6:6" x14ac:dyDescent="0.3">
      <c r="F83419" s="193"/>
    </row>
    <row r="83420" spans="6:6" x14ac:dyDescent="0.3">
      <c r="F83420" s="193"/>
    </row>
    <row r="83421" spans="6:6" x14ac:dyDescent="0.3">
      <c r="F83421" s="193"/>
    </row>
    <row r="83422" spans="6:6" x14ac:dyDescent="0.3">
      <c r="F83422" s="193"/>
    </row>
    <row r="83423" spans="6:6" x14ac:dyDescent="0.3">
      <c r="F83423" s="193"/>
    </row>
    <row r="83424" spans="6:6" x14ac:dyDescent="0.3">
      <c r="F83424" s="193"/>
    </row>
    <row r="83425" spans="6:6" x14ac:dyDescent="0.3">
      <c r="F83425" s="193"/>
    </row>
    <row r="83426" spans="6:6" x14ac:dyDescent="0.3">
      <c r="F83426" s="193"/>
    </row>
    <row r="83427" spans="6:6" x14ac:dyDescent="0.3">
      <c r="F83427" s="193"/>
    </row>
    <row r="83428" spans="6:6" x14ac:dyDescent="0.3">
      <c r="F83428" s="193"/>
    </row>
    <row r="83429" spans="6:6" x14ac:dyDescent="0.3">
      <c r="F83429" s="193"/>
    </row>
    <row r="83430" spans="6:6" x14ac:dyDescent="0.3">
      <c r="F83430" s="193"/>
    </row>
    <row r="83431" spans="6:6" x14ac:dyDescent="0.3">
      <c r="F83431" s="193"/>
    </row>
    <row r="83432" spans="6:6" x14ac:dyDescent="0.3">
      <c r="F83432" s="193"/>
    </row>
    <row r="83433" spans="6:6" x14ac:dyDescent="0.3">
      <c r="F83433" s="193"/>
    </row>
    <row r="83434" spans="6:6" x14ac:dyDescent="0.3">
      <c r="F83434" s="193"/>
    </row>
    <row r="83435" spans="6:6" x14ac:dyDescent="0.3">
      <c r="F83435" s="193"/>
    </row>
    <row r="83436" spans="6:6" x14ac:dyDescent="0.3">
      <c r="F83436" s="193"/>
    </row>
    <row r="83437" spans="6:6" x14ac:dyDescent="0.3">
      <c r="F83437" s="193"/>
    </row>
    <row r="83438" spans="6:6" x14ac:dyDescent="0.3">
      <c r="F83438" s="193"/>
    </row>
    <row r="83439" spans="6:6" x14ac:dyDescent="0.3">
      <c r="F83439" s="193"/>
    </row>
    <row r="83440" spans="6:6" x14ac:dyDescent="0.3">
      <c r="F83440" s="193"/>
    </row>
    <row r="83441" spans="6:6" x14ac:dyDescent="0.3">
      <c r="F83441" s="193"/>
    </row>
    <row r="83442" spans="6:6" x14ac:dyDescent="0.3">
      <c r="F83442" s="193"/>
    </row>
    <row r="83443" spans="6:6" x14ac:dyDescent="0.3">
      <c r="F83443" s="193"/>
    </row>
    <row r="83444" spans="6:6" x14ac:dyDescent="0.3">
      <c r="F83444" s="193"/>
    </row>
    <row r="83445" spans="6:6" x14ac:dyDescent="0.3">
      <c r="F83445" s="193"/>
    </row>
    <row r="83446" spans="6:6" x14ac:dyDescent="0.3">
      <c r="F83446" s="193"/>
    </row>
    <row r="83447" spans="6:6" x14ac:dyDescent="0.3">
      <c r="F83447" s="193"/>
    </row>
    <row r="83448" spans="6:6" x14ac:dyDescent="0.3">
      <c r="F83448" s="193"/>
    </row>
    <row r="83449" spans="6:6" x14ac:dyDescent="0.3">
      <c r="F83449" s="193"/>
    </row>
    <row r="83450" spans="6:6" x14ac:dyDescent="0.3">
      <c r="F83450" s="193"/>
    </row>
    <row r="83451" spans="6:6" x14ac:dyDescent="0.3">
      <c r="F83451" s="193"/>
    </row>
    <row r="83452" spans="6:6" x14ac:dyDescent="0.3">
      <c r="F83452" s="193"/>
    </row>
    <row r="83453" spans="6:6" x14ac:dyDescent="0.3">
      <c r="F83453" s="193"/>
    </row>
    <row r="83454" spans="6:6" x14ac:dyDescent="0.3">
      <c r="F83454" s="193"/>
    </row>
    <row r="83455" spans="6:6" x14ac:dyDescent="0.3">
      <c r="F83455" s="193"/>
    </row>
    <row r="83456" spans="6:6" x14ac:dyDescent="0.3">
      <c r="F83456" s="193"/>
    </row>
    <row r="83457" spans="6:6" x14ac:dyDescent="0.3">
      <c r="F83457" s="193"/>
    </row>
    <row r="83458" spans="6:6" x14ac:dyDescent="0.3">
      <c r="F83458" s="193"/>
    </row>
    <row r="83459" spans="6:6" x14ac:dyDescent="0.3">
      <c r="F83459" s="193"/>
    </row>
    <row r="83460" spans="6:6" x14ac:dyDescent="0.3">
      <c r="F83460" s="193"/>
    </row>
    <row r="83461" spans="6:6" x14ac:dyDescent="0.3">
      <c r="F83461" s="193"/>
    </row>
    <row r="83462" spans="6:6" x14ac:dyDescent="0.3">
      <c r="F83462" s="193"/>
    </row>
    <row r="83463" spans="6:6" x14ac:dyDescent="0.3">
      <c r="F83463" s="193"/>
    </row>
    <row r="83464" spans="6:6" x14ac:dyDescent="0.3">
      <c r="F83464" s="193"/>
    </row>
    <row r="83465" spans="6:6" x14ac:dyDescent="0.3">
      <c r="F83465" s="193"/>
    </row>
    <row r="83466" spans="6:6" x14ac:dyDescent="0.3">
      <c r="F83466" s="193"/>
    </row>
    <row r="83467" spans="6:6" x14ac:dyDescent="0.3">
      <c r="F83467" s="193"/>
    </row>
    <row r="83468" spans="6:6" x14ac:dyDescent="0.3">
      <c r="F83468" s="193"/>
    </row>
    <row r="83469" spans="6:6" x14ac:dyDescent="0.3">
      <c r="F83469" s="193"/>
    </row>
    <row r="83470" spans="6:6" x14ac:dyDescent="0.3">
      <c r="F83470" s="193"/>
    </row>
    <row r="83471" spans="6:6" x14ac:dyDescent="0.3">
      <c r="F83471" s="193"/>
    </row>
    <row r="83472" spans="6:6" x14ac:dyDescent="0.3">
      <c r="F83472" s="193"/>
    </row>
    <row r="83473" spans="6:6" x14ac:dyDescent="0.3">
      <c r="F83473" s="193"/>
    </row>
    <row r="83474" spans="6:6" x14ac:dyDescent="0.3">
      <c r="F83474" s="193"/>
    </row>
    <row r="83475" spans="6:6" x14ac:dyDescent="0.3">
      <c r="F83475" s="193"/>
    </row>
    <row r="83476" spans="6:6" x14ac:dyDescent="0.3">
      <c r="F83476" s="193"/>
    </row>
    <row r="83477" spans="6:6" x14ac:dyDescent="0.3">
      <c r="F83477" s="193"/>
    </row>
    <row r="83478" spans="6:6" x14ac:dyDescent="0.3">
      <c r="F83478" s="193"/>
    </row>
    <row r="83479" spans="6:6" x14ac:dyDescent="0.3">
      <c r="F83479" s="193"/>
    </row>
    <row r="83480" spans="6:6" x14ac:dyDescent="0.3">
      <c r="F83480" s="193"/>
    </row>
    <row r="83481" spans="6:6" x14ac:dyDescent="0.3">
      <c r="F83481" s="193"/>
    </row>
    <row r="83482" spans="6:6" x14ac:dyDescent="0.3">
      <c r="F83482" s="193"/>
    </row>
    <row r="83483" spans="6:6" x14ac:dyDescent="0.3">
      <c r="F83483" s="193"/>
    </row>
    <row r="83484" spans="6:6" x14ac:dyDescent="0.3">
      <c r="F83484" s="193"/>
    </row>
    <row r="83485" spans="6:6" x14ac:dyDescent="0.3">
      <c r="F83485" s="193"/>
    </row>
    <row r="83486" spans="6:6" x14ac:dyDescent="0.3">
      <c r="F83486" s="193"/>
    </row>
    <row r="83487" spans="6:6" x14ac:dyDescent="0.3">
      <c r="F83487" s="193"/>
    </row>
    <row r="83488" spans="6:6" x14ac:dyDescent="0.3">
      <c r="F83488" s="193"/>
    </row>
    <row r="83489" spans="6:6" x14ac:dyDescent="0.3">
      <c r="F83489" s="193"/>
    </row>
    <row r="83490" spans="6:6" x14ac:dyDescent="0.3">
      <c r="F83490" s="193"/>
    </row>
    <row r="83491" spans="6:6" x14ac:dyDescent="0.3">
      <c r="F83491" s="193"/>
    </row>
    <row r="83492" spans="6:6" x14ac:dyDescent="0.3">
      <c r="F83492" s="193"/>
    </row>
    <row r="83493" spans="6:6" x14ac:dyDescent="0.3">
      <c r="F83493" s="193"/>
    </row>
    <row r="83494" spans="6:6" x14ac:dyDescent="0.3">
      <c r="F83494" s="193"/>
    </row>
    <row r="83495" spans="6:6" x14ac:dyDescent="0.3">
      <c r="F83495" s="193"/>
    </row>
    <row r="83496" spans="6:6" x14ac:dyDescent="0.3">
      <c r="F83496" s="193"/>
    </row>
    <row r="83497" spans="6:6" x14ac:dyDescent="0.3">
      <c r="F83497" s="193"/>
    </row>
    <row r="83498" spans="6:6" x14ac:dyDescent="0.3">
      <c r="F83498" s="193"/>
    </row>
    <row r="83499" spans="6:6" x14ac:dyDescent="0.3">
      <c r="F83499" s="193"/>
    </row>
    <row r="83500" spans="6:6" x14ac:dyDescent="0.3">
      <c r="F83500" s="193"/>
    </row>
    <row r="83501" spans="6:6" x14ac:dyDescent="0.3">
      <c r="F83501" s="193"/>
    </row>
    <row r="83502" spans="6:6" x14ac:dyDescent="0.3">
      <c r="F83502" s="193"/>
    </row>
    <row r="83503" spans="6:6" x14ac:dyDescent="0.3">
      <c r="F83503" s="193"/>
    </row>
    <row r="83504" spans="6:6" x14ac:dyDescent="0.3">
      <c r="F83504" s="193"/>
    </row>
    <row r="83505" spans="6:6" x14ac:dyDescent="0.3">
      <c r="F83505" s="193"/>
    </row>
    <row r="83506" spans="6:6" x14ac:dyDescent="0.3">
      <c r="F83506" s="193"/>
    </row>
    <row r="83507" spans="6:6" x14ac:dyDescent="0.3">
      <c r="F83507" s="193"/>
    </row>
    <row r="83508" spans="6:6" x14ac:dyDescent="0.3">
      <c r="F83508" s="193"/>
    </row>
    <row r="83509" spans="6:6" x14ac:dyDescent="0.3">
      <c r="F83509" s="193"/>
    </row>
    <row r="83510" spans="6:6" x14ac:dyDescent="0.3">
      <c r="F83510" s="193"/>
    </row>
    <row r="83511" spans="6:6" x14ac:dyDescent="0.3">
      <c r="F83511" s="193"/>
    </row>
    <row r="83512" spans="6:6" x14ac:dyDescent="0.3">
      <c r="F83512" s="193"/>
    </row>
    <row r="83513" spans="6:6" x14ac:dyDescent="0.3">
      <c r="F83513" s="193"/>
    </row>
    <row r="83514" spans="6:6" x14ac:dyDescent="0.3">
      <c r="F83514" s="193"/>
    </row>
    <row r="83515" spans="6:6" x14ac:dyDescent="0.3">
      <c r="F83515" s="193"/>
    </row>
    <row r="83516" spans="6:6" x14ac:dyDescent="0.3">
      <c r="F83516" s="193"/>
    </row>
    <row r="83517" spans="6:6" x14ac:dyDescent="0.3">
      <c r="F83517" s="193"/>
    </row>
    <row r="83518" spans="6:6" x14ac:dyDescent="0.3">
      <c r="F83518" s="193"/>
    </row>
    <row r="83519" spans="6:6" x14ac:dyDescent="0.3">
      <c r="F83519" s="193"/>
    </row>
    <row r="83520" spans="6:6" x14ac:dyDescent="0.3">
      <c r="F83520" s="193"/>
    </row>
    <row r="83521" spans="6:6" x14ac:dyDescent="0.3">
      <c r="F83521" s="193"/>
    </row>
    <row r="83522" spans="6:6" x14ac:dyDescent="0.3">
      <c r="F83522" s="193"/>
    </row>
    <row r="83523" spans="6:6" x14ac:dyDescent="0.3">
      <c r="F83523" s="193"/>
    </row>
    <row r="83524" spans="6:6" x14ac:dyDescent="0.3">
      <c r="F83524" s="193"/>
    </row>
    <row r="83525" spans="6:6" x14ac:dyDescent="0.3">
      <c r="F83525" s="193"/>
    </row>
    <row r="83526" spans="6:6" x14ac:dyDescent="0.3">
      <c r="F83526" s="193"/>
    </row>
    <row r="83527" spans="6:6" x14ac:dyDescent="0.3">
      <c r="F83527" s="193"/>
    </row>
    <row r="83528" spans="6:6" x14ac:dyDescent="0.3">
      <c r="F83528" s="193"/>
    </row>
    <row r="83529" spans="6:6" x14ac:dyDescent="0.3">
      <c r="F83529" s="193"/>
    </row>
    <row r="83530" spans="6:6" x14ac:dyDescent="0.3">
      <c r="F83530" s="193"/>
    </row>
    <row r="83531" spans="6:6" x14ac:dyDescent="0.3">
      <c r="F83531" s="193"/>
    </row>
    <row r="83532" spans="6:6" x14ac:dyDescent="0.3">
      <c r="F83532" s="193"/>
    </row>
    <row r="83533" spans="6:6" x14ac:dyDescent="0.3">
      <c r="F83533" s="193"/>
    </row>
    <row r="83534" spans="6:6" x14ac:dyDescent="0.3">
      <c r="F83534" s="193"/>
    </row>
    <row r="83535" spans="6:6" x14ac:dyDescent="0.3">
      <c r="F83535" s="193"/>
    </row>
    <row r="83536" spans="6:6" x14ac:dyDescent="0.3">
      <c r="F83536" s="193"/>
    </row>
    <row r="83537" spans="6:6" x14ac:dyDescent="0.3">
      <c r="F83537" s="193"/>
    </row>
    <row r="83538" spans="6:6" x14ac:dyDescent="0.3">
      <c r="F83538" s="193"/>
    </row>
    <row r="83539" spans="6:6" x14ac:dyDescent="0.3">
      <c r="F83539" s="193"/>
    </row>
    <row r="83540" spans="6:6" x14ac:dyDescent="0.3">
      <c r="F83540" s="193"/>
    </row>
    <row r="83541" spans="6:6" x14ac:dyDescent="0.3">
      <c r="F83541" s="193"/>
    </row>
    <row r="83542" spans="6:6" x14ac:dyDescent="0.3">
      <c r="F83542" s="193"/>
    </row>
    <row r="83543" spans="6:6" x14ac:dyDescent="0.3">
      <c r="F83543" s="193"/>
    </row>
    <row r="83544" spans="6:6" x14ac:dyDescent="0.3">
      <c r="F83544" s="193"/>
    </row>
    <row r="83545" spans="6:6" x14ac:dyDescent="0.3">
      <c r="F83545" s="193"/>
    </row>
    <row r="83546" spans="6:6" x14ac:dyDescent="0.3">
      <c r="F83546" s="193"/>
    </row>
    <row r="83547" spans="6:6" x14ac:dyDescent="0.3">
      <c r="F83547" s="193"/>
    </row>
    <row r="83548" spans="6:6" x14ac:dyDescent="0.3">
      <c r="F83548" s="193"/>
    </row>
    <row r="83549" spans="6:6" x14ac:dyDescent="0.3">
      <c r="F83549" s="193"/>
    </row>
    <row r="83550" spans="6:6" x14ac:dyDescent="0.3">
      <c r="F83550" s="193"/>
    </row>
    <row r="83551" spans="6:6" x14ac:dyDescent="0.3">
      <c r="F83551" s="193"/>
    </row>
    <row r="83552" spans="6:6" x14ac:dyDescent="0.3">
      <c r="F83552" s="193"/>
    </row>
    <row r="83553" spans="6:6" x14ac:dyDescent="0.3">
      <c r="F83553" s="193"/>
    </row>
    <row r="83554" spans="6:6" x14ac:dyDescent="0.3">
      <c r="F83554" s="193"/>
    </row>
    <row r="83555" spans="6:6" x14ac:dyDescent="0.3">
      <c r="F83555" s="193"/>
    </row>
    <row r="83556" spans="6:6" x14ac:dyDescent="0.3">
      <c r="F83556" s="193"/>
    </row>
    <row r="83557" spans="6:6" x14ac:dyDescent="0.3">
      <c r="F83557" s="193"/>
    </row>
    <row r="83558" spans="6:6" x14ac:dyDescent="0.3">
      <c r="F83558" s="193"/>
    </row>
    <row r="83559" spans="6:6" x14ac:dyDescent="0.3">
      <c r="F83559" s="193"/>
    </row>
    <row r="83560" spans="6:6" x14ac:dyDescent="0.3">
      <c r="F83560" s="193"/>
    </row>
    <row r="83561" spans="6:6" x14ac:dyDescent="0.3">
      <c r="F83561" s="193"/>
    </row>
    <row r="83562" spans="6:6" x14ac:dyDescent="0.3">
      <c r="F83562" s="193"/>
    </row>
    <row r="83563" spans="6:6" x14ac:dyDescent="0.3">
      <c r="F83563" s="193"/>
    </row>
    <row r="83564" spans="6:6" x14ac:dyDescent="0.3">
      <c r="F83564" s="193"/>
    </row>
    <row r="83565" spans="6:6" x14ac:dyDescent="0.3">
      <c r="F83565" s="193"/>
    </row>
    <row r="83566" spans="6:6" x14ac:dyDescent="0.3">
      <c r="F83566" s="193"/>
    </row>
    <row r="83567" spans="6:6" x14ac:dyDescent="0.3">
      <c r="F83567" s="193"/>
    </row>
    <row r="83568" spans="6:6" x14ac:dyDescent="0.3">
      <c r="F83568" s="193"/>
    </row>
    <row r="83569" spans="6:6" x14ac:dyDescent="0.3">
      <c r="F83569" s="193"/>
    </row>
    <row r="83570" spans="6:6" x14ac:dyDescent="0.3">
      <c r="F83570" s="193"/>
    </row>
    <row r="83571" spans="6:6" x14ac:dyDescent="0.3">
      <c r="F83571" s="193"/>
    </row>
    <row r="83572" spans="6:6" x14ac:dyDescent="0.3">
      <c r="F83572" s="193"/>
    </row>
    <row r="83573" spans="6:6" x14ac:dyDescent="0.3">
      <c r="F83573" s="193"/>
    </row>
    <row r="83574" spans="6:6" x14ac:dyDescent="0.3">
      <c r="F83574" s="193"/>
    </row>
    <row r="83575" spans="6:6" x14ac:dyDescent="0.3">
      <c r="F83575" s="193"/>
    </row>
    <row r="83576" spans="6:6" x14ac:dyDescent="0.3">
      <c r="F83576" s="193"/>
    </row>
    <row r="83577" spans="6:6" x14ac:dyDescent="0.3">
      <c r="F83577" s="193"/>
    </row>
    <row r="83578" spans="6:6" x14ac:dyDescent="0.3">
      <c r="F83578" s="193"/>
    </row>
    <row r="83579" spans="6:6" x14ac:dyDescent="0.3">
      <c r="F83579" s="193"/>
    </row>
    <row r="83580" spans="6:6" x14ac:dyDescent="0.3">
      <c r="F83580" s="193"/>
    </row>
    <row r="83581" spans="6:6" x14ac:dyDescent="0.3">
      <c r="F83581" s="193"/>
    </row>
    <row r="83582" spans="6:6" x14ac:dyDescent="0.3">
      <c r="F83582" s="193"/>
    </row>
    <row r="83583" spans="6:6" x14ac:dyDescent="0.3">
      <c r="F83583" s="193"/>
    </row>
    <row r="83584" spans="6:6" x14ac:dyDescent="0.3">
      <c r="F83584" s="193"/>
    </row>
    <row r="83585" spans="6:6" x14ac:dyDescent="0.3">
      <c r="F83585" s="193"/>
    </row>
    <row r="83586" spans="6:6" x14ac:dyDescent="0.3">
      <c r="F83586" s="193"/>
    </row>
    <row r="83587" spans="6:6" x14ac:dyDescent="0.3">
      <c r="F83587" s="193"/>
    </row>
    <row r="83588" spans="6:6" x14ac:dyDescent="0.3">
      <c r="F83588" s="193"/>
    </row>
    <row r="83589" spans="6:6" x14ac:dyDescent="0.3">
      <c r="F83589" s="193"/>
    </row>
    <row r="83590" spans="6:6" x14ac:dyDescent="0.3">
      <c r="F83590" s="193"/>
    </row>
    <row r="83591" spans="6:6" x14ac:dyDescent="0.3">
      <c r="F83591" s="193"/>
    </row>
    <row r="83592" spans="6:6" x14ac:dyDescent="0.3">
      <c r="F83592" s="193"/>
    </row>
    <row r="83593" spans="6:6" x14ac:dyDescent="0.3">
      <c r="F83593" s="193"/>
    </row>
    <row r="83594" spans="6:6" x14ac:dyDescent="0.3">
      <c r="F83594" s="193"/>
    </row>
    <row r="83595" spans="6:6" x14ac:dyDescent="0.3">
      <c r="F83595" s="193"/>
    </row>
    <row r="83596" spans="6:6" x14ac:dyDescent="0.3">
      <c r="F83596" s="193"/>
    </row>
    <row r="83597" spans="6:6" x14ac:dyDescent="0.3">
      <c r="F83597" s="193"/>
    </row>
    <row r="83598" spans="6:6" x14ac:dyDescent="0.3">
      <c r="F83598" s="193"/>
    </row>
    <row r="83599" spans="6:6" x14ac:dyDescent="0.3">
      <c r="F83599" s="193"/>
    </row>
    <row r="83600" spans="6:6" x14ac:dyDescent="0.3">
      <c r="F83600" s="193"/>
    </row>
    <row r="83601" spans="6:6" x14ac:dyDescent="0.3">
      <c r="F83601" s="193"/>
    </row>
    <row r="83602" spans="6:6" x14ac:dyDescent="0.3">
      <c r="F83602" s="193"/>
    </row>
    <row r="83603" spans="6:6" x14ac:dyDescent="0.3">
      <c r="F83603" s="193"/>
    </row>
    <row r="83604" spans="6:6" x14ac:dyDescent="0.3">
      <c r="F83604" s="193"/>
    </row>
    <row r="83605" spans="6:6" x14ac:dyDescent="0.3">
      <c r="F83605" s="193"/>
    </row>
    <row r="83606" spans="6:6" x14ac:dyDescent="0.3">
      <c r="F83606" s="193"/>
    </row>
    <row r="83607" spans="6:6" x14ac:dyDescent="0.3">
      <c r="F83607" s="193"/>
    </row>
    <row r="83608" spans="6:6" x14ac:dyDescent="0.3">
      <c r="F83608" s="193"/>
    </row>
    <row r="83609" spans="6:6" x14ac:dyDescent="0.3">
      <c r="F83609" s="193"/>
    </row>
    <row r="83610" spans="6:6" x14ac:dyDescent="0.3">
      <c r="F83610" s="193"/>
    </row>
    <row r="83611" spans="6:6" x14ac:dyDescent="0.3">
      <c r="F83611" s="193"/>
    </row>
    <row r="83612" spans="6:6" x14ac:dyDescent="0.3">
      <c r="F83612" s="193"/>
    </row>
    <row r="83613" spans="6:6" x14ac:dyDescent="0.3">
      <c r="F83613" s="193"/>
    </row>
    <row r="83614" spans="6:6" x14ac:dyDescent="0.3">
      <c r="F83614" s="193"/>
    </row>
    <row r="83615" spans="6:6" x14ac:dyDescent="0.3">
      <c r="F83615" s="193"/>
    </row>
    <row r="83616" spans="6:6" x14ac:dyDescent="0.3">
      <c r="F83616" s="193"/>
    </row>
    <row r="83617" spans="6:6" x14ac:dyDescent="0.3">
      <c r="F83617" s="193"/>
    </row>
    <row r="83618" spans="6:6" x14ac:dyDescent="0.3">
      <c r="F83618" s="193"/>
    </row>
    <row r="83619" spans="6:6" x14ac:dyDescent="0.3">
      <c r="F83619" s="193"/>
    </row>
    <row r="83620" spans="6:6" x14ac:dyDescent="0.3">
      <c r="F83620" s="193"/>
    </row>
    <row r="83621" spans="6:6" x14ac:dyDescent="0.3">
      <c r="F83621" s="193"/>
    </row>
    <row r="83622" spans="6:6" x14ac:dyDescent="0.3">
      <c r="F83622" s="193"/>
    </row>
    <row r="83623" spans="6:6" x14ac:dyDescent="0.3">
      <c r="F83623" s="193"/>
    </row>
    <row r="83624" spans="6:6" x14ac:dyDescent="0.3">
      <c r="F83624" s="193"/>
    </row>
    <row r="83625" spans="6:6" x14ac:dyDescent="0.3">
      <c r="F83625" s="193"/>
    </row>
    <row r="83626" spans="6:6" x14ac:dyDescent="0.3">
      <c r="F83626" s="193"/>
    </row>
    <row r="83627" spans="6:6" x14ac:dyDescent="0.3">
      <c r="F83627" s="193"/>
    </row>
    <row r="83628" spans="6:6" x14ac:dyDescent="0.3">
      <c r="F83628" s="193"/>
    </row>
    <row r="83629" spans="6:6" x14ac:dyDescent="0.3">
      <c r="F83629" s="193"/>
    </row>
    <row r="83630" spans="6:6" x14ac:dyDescent="0.3">
      <c r="F83630" s="193"/>
    </row>
    <row r="83631" spans="6:6" x14ac:dyDescent="0.3">
      <c r="F83631" s="193"/>
    </row>
    <row r="83632" spans="6:6" x14ac:dyDescent="0.3">
      <c r="F83632" s="193"/>
    </row>
    <row r="83633" spans="6:6" x14ac:dyDescent="0.3">
      <c r="F83633" s="193"/>
    </row>
    <row r="83634" spans="6:6" x14ac:dyDescent="0.3">
      <c r="F83634" s="193"/>
    </row>
    <row r="83635" spans="6:6" x14ac:dyDescent="0.3">
      <c r="F83635" s="193"/>
    </row>
    <row r="83636" spans="6:6" x14ac:dyDescent="0.3">
      <c r="F83636" s="193"/>
    </row>
    <row r="83637" spans="6:6" x14ac:dyDescent="0.3">
      <c r="F83637" s="193"/>
    </row>
    <row r="83638" spans="6:6" x14ac:dyDescent="0.3">
      <c r="F83638" s="193"/>
    </row>
    <row r="83639" spans="6:6" x14ac:dyDescent="0.3">
      <c r="F83639" s="193"/>
    </row>
    <row r="83640" spans="6:6" x14ac:dyDescent="0.3">
      <c r="F83640" s="193"/>
    </row>
    <row r="83641" spans="6:6" x14ac:dyDescent="0.3">
      <c r="F83641" s="193"/>
    </row>
    <row r="83642" spans="6:6" x14ac:dyDescent="0.3">
      <c r="F83642" s="193"/>
    </row>
    <row r="83643" spans="6:6" x14ac:dyDescent="0.3">
      <c r="F83643" s="193"/>
    </row>
    <row r="83644" spans="6:6" x14ac:dyDescent="0.3">
      <c r="F83644" s="193"/>
    </row>
    <row r="83645" spans="6:6" x14ac:dyDescent="0.3">
      <c r="F83645" s="193"/>
    </row>
    <row r="83646" spans="6:6" x14ac:dyDescent="0.3">
      <c r="F83646" s="193"/>
    </row>
    <row r="83647" spans="6:6" x14ac:dyDescent="0.3">
      <c r="F83647" s="193"/>
    </row>
    <row r="83648" spans="6:6" x14ac:dyDescent="0.3">
      <c r="F83648" s="193"/>
    </row>
    <row r="83649" spans="6:6" x14ac:dyDescent="0.3">
      <c r="F83649" s="193"/>
    </row>
    <row r="83650" spans="6:6" x14ac:dyDescent="0.3">
      <c r="F83650" s="193"/>
    </row>
    <row r="83651" spans="6:6" x14ac:dyDescent="0.3">
      <c r="F83651" s="193"/>
    </row>
    <row r="83652" spans="6:6" x14ac:dyDescent="0.3">
      <c r="F83652" s="193"/>
    </row>
    <row r="83653" spans="6:6" x14ac:dyDescent="0.3">
      <c r="F83653" s="193"/>
    </row>
    <row r="83654" spans="6:6" x14ac:dyDescent="0.3">
      <c r="F83654" s="193"/>
    </row>
    <row r="83655" spans="6:6" x14ac:dyDescent="0.3">
      <c r="F83655" s="193"/>
    </row>
    <row r="83656" spans="6:6" x14ac:dyDescent="0.3">
      <c r="F83656" s="193"/>
    </row>
    <row r="83657" spans="6:6" x14ac:dyDescent="0.3">
      <c r="F83657" s="193"/>
    </row>
    <row r="83658" spans="6:6" x14ac:dyDescent="0.3">
      <c r="F83658" s="193"/>
    </row>
    <row r="83659" spans="6:6" x14ac:dyDescent="0.3">
      <c r="F83659" s="193"/>
    </row>
    <row r="83660" spans="6:6" x14ac:dyDescent="0.3">
      <c r="F83660" s="193"/>
    </row>
    <row r="83661" spans="6:6" x14ac:dyDescent="0.3">
      <c r="F83661" s="193"/>
    </row>
    <row r="83662" spans="6:6" x14ac:dyDescent="0.3">
      <c r="F83662" s="193"/>
    </row>
    <row r="83663" spans="6:6" x14ac:dyDescent="0.3">
      <c r="F83663" s="193"/>
    </row>
    <row r="83664" spans="6:6" x14ac:dyDescent="0.3">
      <c r="F83664" s="193"/>
    </row>
    <row r="83665" spans="6:6" x14ac:dyDescent="0.3">
      <c r="F83665" s="193"/>
    </row>
    <row r="83666" spans="6:6" x14ac:dyDescent="0.3">
      <c r="F83666" s="193"/>
    </row>
    <row r="83667" spans="6:6" x14ac:dyDescent="0.3">
      <c r="F83667" s="193"/>
    </row>
    <row r="83668" spans="6:6" x14ac:dyDescent="0.3">
      <c r="F83668" s="193"/>
    </row>
    <row r="83669" spans="6:6" x14ac:dyDescent="0.3">
      <c r="F83669" s="193"/>
    </row>
    <row r="83670" spans="6:6" x14ac:dyDescent="0.3">
      <c r="F83670" s="193"/>
    </row>
    <row r="83671" spans="6:6" x14ac:dyDescent="0.3">
      <c r="F83671" s="193"/>
    </row>
    <row r="83672" spans="6:6" x14ac:dyDescent="0.3">
      <c r="F83672" s="193"/>
    </row>
    <row r="83673" spans="6:6" x14ac:dyDescent="0.3">
      <c r="F83673" s="193"/>
    </row>
    <row r="83674" spans="6:6" x14ac:dyDescent="0.3">
      <c r="F83674" s="193"/>
    </row>
    <row r="83675" spans="6:6" x14ac:dyDescent="0.3">
      <c r="F83675" s="193"/>
    </row>
    <row r="83676" spans="6:6" x14ac:dyDescent="0.3">
      <c r="F83676" s="193"/>
    </row>
    <row r="83677" spans="6:6" x14ac:dyDescent="0.3">
      <c r="F83677" s="193"/>
    </row>
    <row r="83678" spans="6:6" x14ac:dyDescent="0.3">
      <c r="F83678" s="193"/>
    </row>
    <row r="83679" spans="6:6" x14ac:dyDescent="0.3">
      <c r="F83679" s="193"/>
    </row>
    <row r="83680" spans="6:6" x14ac:dyDescent="0.3">
      <c r="F83680" s="193"/>
    </row>
    <row r="83681" spans="6:6" x14ac:dyDescent="0.3">
      <c r="F83681" s="193"/>
    </row>
    <row r="83682" spans="6:6" x14ac:dyDescent="0.3">
      <c r="F83682" s="193"/>
    </row>
    <row r="83683" spans="6:6" x14ac:dyDescent="0.3">
      <c r="F83683" s="193"/>
    </row>
    <row r="83684" spans="6:6" x14ac:dyDescent="0.3">
      <c r="F83684" s="193"/>
    </row>
    <row r="83685" spans="6:6" x14ac:dyDescent="0.3">
      <c r="F83685" s="193"/>
    </row>
    <row r="83686" spans="6:6" x14ac:dyDescent="0.3">
      <c r="F83686" s="193"/>
    </row>
    <row r="83687" spans="6:6" x14ac:dyDescent="0.3">
      <c r="F83687" s="193"/>
    </row>
    <row r="83688" spans="6:6" x14ac:dyDescent="0.3">
      <c r="F83688" s="193"/>
    </row>
    <row r="83689" spans="6:6" x14ac:dyDescent="0.3">
      <c r="F83689" s="193"/>
    </row>
    <row r="83690" spans="6:6" x14ac:dyDescent="0.3">
      <c r="F83690" s="193"/>
    </row>
    <row r="83691" spans="6:6" x14ac:dyDescent="0.3">
      <c r="F83691" s="193"/>
    </row>
    <row r="83692" spans="6:6" x14ac:dyDescent="0.3">
      <c r="F83692" s="193"/>
    </row>
    <row r="83693" spans="6:6" x14ac:dyDescent="0.3">
      <c r="F83693" s="193"/>
    </row>
    <row r="83694" spans="6:6" x14ac:dyDescent="0.3">
      <c r="F83694" s="193"/>
    </row>
    <row r="83695" spans="6:6" x14ac:dyDescent="0.3">
      <c r="F83695" s="193"/>
    </row>
    <row r="83696" spans="6:6" x14ac:dyDescent="0.3">
      <c r="F83696" s="193"/>
    </row>
    <row r="83697" spans="6:6" x14ac:dyDescent="0.3">
      <c r="F83697" s="193"/>
    </row>
    <row r="83698" spans="6:6" x14ac:dyDescent="0.3">
      <c r="F83698" s="193"/>
    </row>
    <row r="83699" spans="6:6" x14ac:dyDescent="0.3">
      <c r="F83699" s="193"/>
    </row>
    <row r="83700" spans="6:6" x14ac:dyDescent="0.3">
      <c r="F83700" s="193"/>
    </row>
    <row r="83701" spans="6:6" x14ac:dyDescent="0.3">
      <c r="F83701" s="193"/>
    </row>
    <row r="83702" spans="6:6" x14ac:dyDescent="0.3">
      <c r="F83702" s="193"/>
    </row>
    <row r="83703" spans="6:6" x14ac:dyDescent="0.3">
      <c r="F83703" s="193"/>
    </row>
    <row r="83704" spans="6:6" x14ac:dyDescent="0.3">
      <c r="F83704" s="193"/>
    </row>
    <row r="83705" spans="6:6" x14ac:dyDescent="0.3">
      <c r="F83705" s="193"/>
    </row>
    <row r="83706" spans="6:6" x14ac:dyDescent="0.3">
      <c r="F83706" s="193"/>
    </row>
    <row r="83707" spans="6:6" x14ac:dyDescent="0.3">
      <c r="F83707" s="193"/>
    </row>
    <row r="83708" spans="6:6" x14ac:dyDescent="0.3">
      <c r="F83708" s="193"/>
    </row>
    <row r="83709" spans="6:6" x14ac:dyDescent="0.3">
      <c r="F83709" s="193"/>
    </row>
    <row r="83710" spans="6:6" x14ac:dyDescent="0.3">
      <c r="F83710" s="193"/>
    </row>
    <row r="83711" spans="6:6" x14ac:dyDescent="0.3">
      <c r="F83711" s="193"/>
    </row>
    <row r="83712" spans="6:6" x14ac:dyDescent="0.3">
      <c r="F83712" s="193"/>
    </row>
    <row r="83713" spans="6:6" x14ac:dyDescent="0.3">
      <c r="F83713" s="193"/>
    </row>
    <row r="83714" spans="6:6" x14ac:dyDescent="0.3">
      <c r="F83714" s="193"/>
    </row>
    <row r="83715" spans="6:6" x14ac:dyDescent="0.3">
      <c r="F83715" s="193"/>
    </row>
    <row r="83716" spans="6:6" x14ac:dyDescent="0.3">
      <c r="F83716" s="193"/>
    </row>
    <row r="83717" spans="6:6" x14ac:dyDescent="0.3">
      <c r="F83717" s="193"/>
    </row>
    <row r="83718" spans="6:6" x14ac:dyDescent="0.3">
      <c r="F83718" s="193"/>
    </row>
    <row r="83719" spans="6:6" x14ac:dyDescent="0.3">
      <c r="F83719" s="193"/>
    </row>
    <row r="83720" spans="6:6" x14ac:dyDescent="0.3">
      <c r="F83720" s="193"/>
    </row>
    <row r="83721" spans="6:6" x14ac:dyDescent="0.3">
      <c r="F83721" s="193"/>
    </row>
    <row r="83722" spans="6:6" x14ac:dyDescent="0.3">
      <c r="F83722" s="193"/>
    </row>
    <row r="83723" spans="6:6" x14ac:dyDescent="0.3">
      <c r="F83723" s="193"/>
    </row>
    <row r="83724" spans="6:6" x14ac:dyDescent="0.3">
      <c r="F83724" s="193"/>
    </row>
    <row r="83725" spans="6:6" x14ac:dyDescent="0.3">
      <c r="F83725" s="193"/>
    </row>
    <row r="83726" spans="6:6" x14ac:dyDescent="0.3">
      <c r="F83726" s="193"/>
    </row>
    <row r="83727" spans="6:6" x14ac:dyDescent="0.3">
      <c r="F83727" s="193"/>
    </row>
    <row r="83728" spans="6:6" x14ac:dyDescent="0.3">
      <c r="F83728" s="193"/>
    </row>
    <row r="83729" spans="6:6" x14ac:dyDescent="0.3">
      <c r="F83729" s="193"/>
    </row>
    <row r="83730" spans="6:6" x14ac:dyDescent="0.3">
      <c r="F83730" s="193"/>
    </row>
    <row r="83731" spans="6:6" x14ac:dyDescent="0.3">
      <c r="F83731" s="193"/>
    </row>
    <row r="83732" spans="6:6" x14ac:dyDescent="0.3">
      <c r="F83732" s="193"/>
    </row>
    <row r="83733" spans="6:6" x14ac:dyDescent="0.3">
      <c r="F83733" s="193"/>
    </row>
    <row r="83734" spans="6:6" x14ac:dyDescent="0.3">
      <c r="F83734" s="193"/>
    </row>
    <row r="83735" spans="6:6" x14ac:dyDescent="0.3">
      <c r="F83735" s="193"/>
    </row>
    <row r="83736" spans="6:6" x14ac:dyDescent="0.3">
      <c r="F83736" s="193"/>
    </row>
    <row r="83737" spans="6:6" x14ac:dyDescent="0.3">
      <c r="F83737" s="193"/>
    </row>
    <row r="83738" spans="6:6" x14ac:dyDescent="0.3">
      <c r="F83738" s="193"/>
    </row>
    <row r="83739" spans="6:6" x14ac:dyDescent="0.3">
      <c r="F83739" s="193"/>
    </row>
    <row r="83740" spans="6:6" x14ac:dyDescent="0.3">
      <c r="F83740" s="193"/>
    </row>
    <row r="83741" spans="6:6" x14ac:dyDescent="0.3">
      <c r="F83741" s="193"/>
    </row>
    <row r="83742" spans="6:6" x14ac:dyDescent="0.3">
      <c r="F83742" s="193"/>
    </row>
    <row r="83743" spans="6:6" x14ac:dyDescent="0.3">
      <c r="F83743" s="193"/>
    </row>
    <row r="83744" spans="6:6" x14ac:dyDescent="0.3">
      <c r="F83744" s="193"/>
    </row>
    <row r="83745" spans="6:6" x14ac:dyDescent="0.3">
      <c r="F83745" s="193"/>
    </row>
    <row r="83746" spans="6:6" x14ac:dyDescent="0.3">
      <c r="F83746" s="193"/>
    </row>
    <row r="83747" spans="6:6" x14ac:dyDescent="0.3">
      <c r="F83747" s="193"/>
    </row>
    <row r="83748" spans="6:6" x14ac:dyDescent="0.3">
      <c r="F83748" s="193"/>
    </row>
    <row r="83749" spans="6:6" x14ac:dyDescent="0.3">
      <c r="F83749" s="193"/>
    </row>
    <row r="83750" spans="6:6" x14ac:dyDescent="0.3">
      <c r="F83750" s="193"/>
    </row>
    <row r="83751" spans="6:6" x14ac:dyDescent="0.3">
      <c r="F83751" s="193"/>
    </row>
    <row r="83752" spans="6:6" x14ac:dyDescent="0.3">
      <c r="F83752" s="193"/>
    </row>
    <row r="83753" spans="6:6" x14ac:dyDescent="0.3">
      <c r="F83753" s="193"/>
    </row>
    <row r="83754" spans="6:6" x14ac:dyDescent="0.3">
      <c r="F83754" s="193"/>
    </row>
    <row r="83755" spans="6:6" x14ac:dyDescent="0.3">
      <c r="F83755" s="193"/>
    </row>
    <row r="83756" spans="6:6" x14ac:dyDescent="0.3">
      <c r="F83756" s="193"/>
    </row>
    <row r="83757" spans="6:6" x14ac:dyDescent="0.3">
      <c r="F83757" s="193"/>
    </row>
    <row r="83758" spans="6:6" x14ac:dyDescent="0.3">
      <c r="F83758" s="193"/>
    </row>
    <row r="83759" spans="6:6" x14ac:dyDescent="0.3">
      <c r="F83759" s="193"/>
    </row>
    <row r="83760" spans="6:6" x14ac:dyDescent="0.3">
      <c r="F83760" s="193"/>
    </row>
    <row r="83761" spans="6:6" x14ac:dyDescent="0.3">
      <c r="F83761" s="193"/>
    </row>
    <row r="83762" spans="6:6" x14ac:dyDescent="0.3">
      <c r="F83762" s="193"/>
    </row>
    <row r="83763" spans="6:6" x14ac:dyDescent="0.3">
      <c r="F83763" s="193"/>
    </row>
    <row r="83764" spans="6:6" x14ac:dyDescent="0.3">
      <c r="F83764" s="193"/>
    </row>
    <row r="83765" spans="6:6" x14ac:dyDescent="0.3">
      <c r="F83765" s="193"/>
    </row>
    <row r="83766" spans="6:6" x14ac:dyDescent="0.3">
      <c r="F83766" s="193"/>
    </row>
    <row r="83767" spans="6:6" x14ac:dyDescent="0.3">
      <c r="F83767" s="193"/>
    </row>
    <row r="83768" spans="6:6" x14ac:dyDescent="0.3">
      <c r="F83768" s="193"/>
    </row>
    <row r="83769" spans="6:6" x14ac:dyDescent="0.3">
      <c r="F83769" s="193"/>
    </row>
    <row r="83770" spans="6:6" x14ac:dyDescent="0.3">
      <c r="F83770" s="193"/>
    </row>
    <row r="83771" spans="6:6" x14ac:dyDescent="0.3">
      <c r="F83771" s="193"/>
    </row>
    <row r="83772" spans="6:6" x14ac:dyDescent="0.3">
      <c r="F83772" s="193"/>
    </row>
    <row r="83773" spans="6:6" x14ac:dyDescent="0.3">
      <c r="F83773" s="193"/>
    </row>
    <row r="83774" spans="6:6" x14ac:dyDescent="0.3">
      <c r="F83774" s="193"/>
    </row>
    <row r="83775" spans="6:6" x14ac:dyDescent="0.3">
      <c r="F83775" s="193"/>
    </row>
    <row r="83776" spans="6:6" x14ac:dyDescent="0.3">
      <c r="F83776" s="193"/>
    </row>
    <row r="83777" spans="6:6" x14ac:dyDescent="0.3">
      <c r="F83777" s="193"/>
    </row>
    <row r="83778" spans="6:6" x14ac:dyDescent="0.3">
      <c r="F83778" s="193"/>
    </row>
    <row r="83779" spans="6:6" x14ac:dyDescent="0.3">
      <c r="F83779" s="193"/>
    </row>
    <row r="83780" spans="6:6" x14ac:dyDescent="0.3">
      <c r="F83780" s="193"/>
    </row>
    <row r="83781" spans="6:6" x14ac:dyDescent="0.3">
      <c r="F83781" s="193"/>
    </row>
    <row r="83782" spans="6:6" x14ac:dyDescent="0.3">
      <c r="F83782" s="193"/>
    </row>
    <row r="83783" spans="6:6" x14ac:dyDescent="0.3">
      <c r="F83783" s="193"/>
    </row>
    <row r="83784" spans="6:6" x14ac:dyDescent="0.3">
      <c r="F83784" s="193"/>
    </row>
    <row r="83785" spans="6:6" x14ac:dyDescent="0.3">
      <c r="F83785" s="193"/>
    </row>
    <row r="83786" spans="6:6" x14ac:dyDescent="0.3">
      <c r="F83786" s="193"/>
    </row>
    <row r="83787" spans="6:6" x14ac:dyDescent="0.3">
      <c r="F83787" s="193"/>
    </row>
    <row r="83788" spans="6:6" x14ac:dyDescent="0.3">
      <c r="F83788" s="193"/>
    </row>
    <row r="83789" spans="6:6" x14ac:dyDescent="0.3">
      <c r="F83789" s="193"/>
    </row>
    <row r="83790" spans="6:6" x14ac:dyDescent="0.3">
      <c r="F83790" s="193"/>
    </row>
    <row r="83791" spans="6:6" x14ac:dyDescent="0.3">
      <c r="F83791" s="193"/>
    </row>
    <row r="83792" spans="6:6" x14ac:dyDescent="0.3">
      <c r="F83792" s="193"/>
    </row>
    <row r="83793" spans="6:6" x14ac:dyDescent="0.3">
      <c r="F83793" s="193"/>
    </row>
    <row r="83794" spans="6:6" x14ac:dyDescent="0.3">
      <c r="F83794" s="193"/>
    </row>
    <row r="83795" spans="6:6" x14ac:dyDescent="0.3">
      <c r="F83795" s="193"/>
    </row>
    <row r="83796" spans="6:6" x14ac:dyDescent="0.3">
      <c r="F83796" s="193"/>
    </row>
    <row r="83797" spans="6:6" x14ac:dyDescent="0.3">
      <c r="F83797" s="193"/>
    </row>
    <row r="83798" spans="6:6" x14ac:dyDescent="0.3">
      <c r="F83798" s="193"/>
    </row>
    <row r="83799" spans="6:6" x14ac:dyDescent="0.3">
      <c r="F83799" s="193"/>
    </row>
    <row r="83800" spans="6:6" x14ac:dyDescent="0.3">
      <c r="F83800" s="193"/>
    </row>
    <row r="83801" spans="6:6" x14ac:dyDescent="0.3">
      <c r="F83801" s="193"/>
    </row>
    <row r="83802" spans="6:6" x14ac:dyDescent="0.3">
      <c r="F83802" s="193"/>
    </row>
    <row r="83803" spans="6:6" x14ac:dyDescent="0.3">
      <c r="F83803" s="193"/>
    </row>
    <row r="83804" spans="6:6" x14ac:dyDescent="0.3">
      <c r="F83804" s="193"/>
    </row>
    <row r="83805" spans="6:6" x14ac:dyDescent="0.3">
      <c r="F83805" s="193"/>
    </row>
    <row r="83806" spans="6:6" x14ac:dyDescent="0.3">
      <c r="F83806" s="193"/>
    </row>
    <row r="83807" spans="6:6" x14ac:dyDescent="0.3">
      <c r="F83807" s="193"/>
    </row>
    <row r="83808" spans="6:6" x14ac:dyDescent="0.3">
      <c r="F83808" s="193"/>
    </row>
    <row r="83809" spans="6:6" x14ac:dyDescent="0.3">
      <c r="F83809" s="193"/>
    </row>
    <row r="83810" spans="6:6" x14ac:dyDescent="0.3">
      <c r="F83810" s="193"/>
    </row>
    <row r="83811" spans="6:6" x14ac:dyDescent="0.3">
      <c r="F83811" s="193"/>
    </row>
    <row r="83812" spans="6:6" x14ac:dyDescent="0.3">
      <c r="F83812" s="193"/>
    </row>
    <row r="83813" spans="6:6" x14ac:dyDescent="0.3">
      <c r="F83813" s="193"/>
    </row>
    <row r="83814" spans="6:6" x14ac:dyDescent="0.3">
      <c r="F83814" s="193"/>
    </row>
    <row r="83815" spans="6:6" x14ac:dyDescent="0.3">
      <c r="F83815" s="193"/>
    </row>
    <row r="83816" spans="6:6" x14ac:dyDescent="0.3">
      <c r="F83816" s="193"/>
    </row>
    <row r="83817" spans="6:6" x14ac:dyDescent="0.3">
      <c r="F83817" s="193"/>
    </row>
    <row r="83818" spans="6:6" x14ac:dyDescent="0.3">
      <c r="F83818" s="193"/>
    </row>
    <row r="83819" spans="6:6" x14ac:dyDescent="0.3">
      <c r="F83819" s="193"/>
    </row>
    <row r="83820" spans="6:6" x14ac:dyDescent="0.3">
      <c r="F83820" s="193"/>
    </row>
    <row r="83821" spans="6:6" x14ac:dyDescent="0.3">
      <c r="F83821" s="193"/>
    </row>
    <row r="83822" spans="6:6" x14ac:dyDescent="0.3">
      <c r="F83822" s="193"/>
    </row>
    <row r="83823" spans="6:6" x14ac:dyDescent="0.3">
      <c r="F83823" s="193"/>
    </row>
    <row r="83824" spans="6:6" x14ac:dyDescent="0.3">
      <c r="F83824" s="193"/>
    </row>
    <row r="83825" spans="6:6" x14ac:dyDescent="0.3">
      <c r="F83825" s="193"/>
    </row>
    <row r="83826" spans="6:6" x14ac:dyDescent="0.3">
      <c r="F83826" s="193"/>
    </row>
    <row r="83827" spans="6:6" x14ac:dyDescent="0.3">
      <c r="F83827" s="193"/>
    </row>
    <row r="83828" spans="6:6" x14ac:dyDescent="0.3">
      <c r="F83828" s="193"/>
    </row>
    <row r="83829" spans="6:6" x14ac:dyDescent="0.3">
      <c r="F83829" s="193"/>
    </row>
    <row r="83830" spans="6:6" x14ac:dyDescent="0.3">
      <c r="F83830" s="193"/>
    </row>
    <row r="83831" spans="6:6" x14ac:dyDescent="0.3">
      <c r="F83831" s="193"/>
    </row>
    <row r="83832" spans="6:6" x14ac:dyDescent="0.3">
      <c r="F83832" s="193"/>
    </row>
    <row r="83833" spans="6:6" x14ac:dyDescent="0.3">
      <c r="F83833" s="193"/>
    </row>
    <row r="83834" spans="6:6" x14ac:dyDescent="0.3">
      <c r="F83834" s="193"/>
    </row>
    <row r="83835" spans="6:6" x14ac:dyDescent="0.3">
      <c r="F83835" s="193"/>
    </row>
    <row r="83836" spans="6:6" x14ac:dyDescent="0.3">
      <c r="F83836" s="193"/>
    </row>
    <row r="83837" spans="6:6" x14ac:dyDescent="0.3">
      <c r="F83837" s="193"/>
    </row>
    <row r="83838" spans="6:6" x14ac:dyDescent="0.3">
      <c r="F83838" s="193"/>
    </row>
    <row r="83839" spans="6:6" x14ac:dyDescent="0.3">
      <c r="F83839" s="193"/>
    </row>
    <row r="83840" spans="6:6" x14ac:dyDescent="0.3">
      <c r="F83840" s="193"/>
    </row>
    <row r="83841" spans="6:6" x14ac:dyDescent="0.3">
      <c r="F83841" s="193"/>
    </row>
    <row r="83842" spans="6:6" x14ac:dyDescent="0.3">
      <c r="F83842" s="193"/>
    </row>
    <row r="83843" spans="6:6" x14ac:dyDescent="0.3">
      <c r="F83843" s="193"/>
    </row>
    <row r="83844" spans="6:6" x14ac:dyDescent="0.3">
      <c r="F83844" s="193"/>
    </row>
    <row r="83845" spans="6:6" x14ac:dyDescent="0.3">
      <c r="F83845" s="193"/>
    </row>
    <row r="83846" spans="6:6" x14ac:dyDescent="0.3">
      <c r="F83846" s="193"/>
    </row>
    <row r="83847" spans="6:6" x14ac:dyDescent="0.3">
      <c r="F83847" s="193"/>
    </row>
    <row r="83848" spans="6:6" x14ac:dyDescent="0.3">
      <c r="F83848" s="193"/>
    </row>
    <row r="83849" spans="6:6" x14ac:dyDescent="0.3">
      <c r="F83849" s="193"/>
    </row>
    <row r="83850" spans="6:6" x14ac:dyDescent="0.3">
      <c r="F83850" s="193"/>
    </row>
    <row r="83851" spans="6:6" x14ac:dyDescent="0.3">
      <c r="F83851" s="193"/>
    </row>
    <row r="83852" spans="6:6" x14ac:dyDescent="0.3">
      <c r="F83852" s="193"/>
    </row>
    <row r="83853" spans="6:6" x14ac:dyDescent="0.3">
      <c r="F83853" s="193"/>
    </row>
    <row r="83854" spans="6:6" x14ac:dyDescent="0.3">
      <c r="F83854" s="193"/>
    </row>
    <row r="83855" spans="6:6" x14ac:dyDescent="0.3">
      <c r="F83855" s="193"/>
    </row>
    <row r="83856" spans="6:6" x14ac:dyDescent="0.3">
      <c r="F83856" s="193"/>
    </row>
    <row r="83857" spans="6:6" x14ac:dyDescent="0.3">
      <c r="F83857" s="193"/>
    </row>
    <row r="83858" spans="6:6" x14ac:dyDescent="0.3">
      <c r="F83858" s="193"/>
    </row>
    <row r="83859" spans="6:6" x14ac:dyDescent="0.3">
      <c r="F83859" s="193"/>
    </row>
    <row r="83860" spans="6:6" x14ac:dyDescent="0.3">
      <c r="F83860" s="193"/>
    </row>
    <row r="83861" spans="6:6" x14ac:dyDescent="0.3">
      <c r="F83861" s="193"/>
    </row>
    <row r="83862" spans="6:6" x14ac:dyDescent="0.3">
      <c r="F83862" s="193"/>
    </row>
    <row r="83863" spans="6:6" x14ac:dyDescent="0.3">
      <c r="F83863" s="193"/>
    </row>
    <row r="83864" spans="6:6" x14ac:dyDescent="0.3">
      <c r="F83864" s="193"/>
    </row>
    <row r="83865" spans="6:6" x14ac:dyDescent="0.3">
      <c r="F83865" s="193"/>
    </row>
    <row r="83866" spans="6:6" x14ac:dyDescent="0.3">
      <c r="F83866" s="193"/>
    </row>
    <row r="83867" spans="6:6" x14ac:dyDescent="0.3">
      <c r="F83867" s="193"/>
    </row>
    <row r="83868" spans="6:6" x14ac:dyDescent="0.3">
      <c r="F83868" s="193"/>
    </row>
    <row r="83869" spans="6:6" x14ac:dyDescent="0.3">
      <c r="F83869" s="193"/>
    </row>
    <row r="83870" spans="6:6" x14ac:dyDescent="0.3">
      <c r="F83870" s="193"/>
    </row>
    <row r="83871" spans="6:6" x14ac:dyDescent="0.3">
      <c r="F83871" s="193"/>
    </row>
    <row r="83872" spans="6:6" x14ac:dyDescent="0.3">
      <c r="F83872" s="193"/>
    </row>
    <row r="83873" spans="6:6" x14ac:dyDescent="0.3">
      <c r="F83873" s="193"/>
    </row>
    <row r="83874" spans="6:6" x14ac:dyDescent="0.3">
      <c r="F83874" s="193"/>
    </row>
    <row r="83875" spans="6:6" x14ac:dyDescent="0.3">
      <c r="F83875" s="193"/>
    </row>
    <row r="83876" spans="6:6" x14ac:dyDescent="0.3">
      <c r="F83876" s="193"/>
    </row>
    <row r="83877" spans="6:6" x14ac:dyDescent="0.3">
      <c r="F83877" s="193"/>
    </row>
    <row r="83878" spans="6:6" x14ac:dyDescent="0.3">
      <c r="F83878" s="193"/>
    </row>
    <row r="83879" spans="6:6" x14ac:dyDescent="0.3">
      <c r="F83879" s="193"/>
    </row>
    <row r="83880" spans="6:6" x14ac:dyDescent="0.3">
      <c r="F83880" s="193"/>
    </row>
    <row r="83881" spans="6:6" x14ac:dyDescent="0.3">
      <c r="F83881" s="193"/>
    </row>
    <row r="83882" spans="6:6" x14ac:dyDescent="0.3">
      <c r="F83882" s="193"/>
    </row>
    <row r="83883" spans="6:6" x14ac:dyDescent="0.3">
      <c r="F83883" s="193"/>
    </row>
    <row r="83884" spans="6:6" x14ac:dyDescent="0.3">
      <c r="F83884" s="193"/>
    </row>
    <row r="83885" spans="6:6" x14ac:dyDescent="0.3">
      <c r="F83885" s="193"/>
    </row>
    <row r="83886" spans="6:6" x14ac:dyDescent="0.3">
      <c r="F83886" s="193"/>
    </row>
    <row r="83887" spans="6:6" x14ac:dyDescent="0.3">
      <c r="F83887" s="193"/>
    </row>
    <row r="83888" spans="6:6" x14ac:dyDescent="0.3">
      <c r="F83888" s="193"/>
    </row>
    <row r="83889" spans="6:6" x14ac:dyDescent="0.3">
      <c r="F83889" s="193"/>
    </row>
    <row r="83890" spans="6:6" x14ac:dyDescent="0.3">
      <c r="F83890" s="193"/>
    </row>
    <row r="83891" spans="6:6" x14ac:dyDescent="0.3">
      <c r="F83891" s="193"/>
    </row>
    <row r="83892" spans="6:6" x14ac:dyDescent="0.3">
      <c r="F83892" s="193"/>
    </row>
    <row r="83893" spans="6:6" x14ac:dyDescent="0.3">
      <c r="F83893" s="193"/>
    </row>
    <row r="83894" spans="6:6" x14ac:dyDescent="0.3">
      <c r="F83894" s="193"/>
    </row>
    <row r="83895" spans="6:6" x14ac:dyDescent="0.3">
      <c r="F83895" s="193"/>
    </row>
    <row r="83896" spans="6:6" x14ac:dyDescent="0.3">
      <c r="F83896" s="193"/>
    </row>
    <row r="83897" spans="6:6" x14ac:dyDescent="0.3">
      <c r="F83897" s="193"/>
    </row>
    <row r="83898" spans="6:6" x14ac:dyDescent="0.3">
      <c r="F83898" s="193"/>
    </row>
    <row r="83899" spans="6:6" x14ac:dyDescent="0.3">
      <c r="F83899" s="193"/>
    </row>
    <row r="83900" spans="6:6" x14ac:dyDescent="0.3">
      <c r="F83900" s="193"/>
    </row>
    <row r="83901" spans="6:6" x14ac:dyDescent="0.3">
      <c r="F83901" s="193"/>
    </row>
    <row r="83902" spans="6:6" x14ac:dyDescent="0.3">
      <c r="F83902" s="193"/>
    </row>
    <row r="83903" spans="6:6" x14ac:dyDescent="0.3">
      <c r="F83903" s="193"/>
    </row>
    <row r="83904" spans="6:6" x14ac:dyDescent="0.3">
      <c r="F83904" s="193"/>
    </row>
    <row r="83905" spans="6:6" x14ac:dyDescent="0.3">
      <c r="F83905" s="193"/>
    </row>
    <row r="83906" spans="6:6" x14ac:dyDescent="0.3">
      <c r="F83906" s="193"/>
    </row>
    <row r="83907" spans="6:6" x14ac:dyDescent="0.3">
      <c r="F83907" s="193"/>
    </row>
    <row r="83908" spans="6:6" x14ac:dyDescent="0.3">
      <c r="F83908" s="193"/>
    </row>
    <row r="83909" spans="6:6" x14ac:dyDescent="0.3">
      <c r="F83909" s="193"/>
    </row>
    <row r="83910" spans="6:6" x14ac:dyDescent="0.3">
      <c r="F83910" s="193"/>
    </row>
    <row r="83911" spans="6:6" x14ac:dyDescent="0.3">
      <c r="F83911" s="193"/>
    </row>
    <row r="83912" spans="6:6" x14ac:dyDescent="0.3">
      <c r="F83912" s="193"/>
    </row>
    <row r="83913" spans="6:6" x14ac:dyDescent="0.3">
      <c r="F83913" s="193"/>
    </row>
    <row r="83914" spans="6:6" x14ac:dyDescent="0.3">
      <c r="F83914" s="193"/>
    </row>
    <row r="83915" spans="6:6" x14ac:dyDescent="0.3">
      <c r="F83915" s="193"/>
    </row>
    <row r="83916" spans="6:6" x14ac:dyDescent="0.3">
      <c r="F83916" s="193"/>
    </row>
    <row r="83917" spans="6:6" x14ac:dyDescent="0.3">
      <c r="F83917" s="193"/>
    </row>
    <row r="83918" spans="6:6" x14ac:dyDescent="0.3">
      <c r="F83918" s="193"/>
    </row>
    <row r="83919" spans="6:6" x14ac:dyDescent="0.3">
      <c r="F83919" s="193"/>
    </row>
    <row r="83920" spans="6:6" x14ac:dyDescent="0.3">
      <c r="F83920" s="193"/>
    </row>
    <row r="83921" spans="6:6" x14ac:dyDescent="0.3">
      <c r="F83921" s="193"/>
    </row>
    <row r="83922" spans="6:6" x14ac:dyDescent="0.3">
      <c r="F83922" s="193"/>
    </row>
    <row r="83923" spans="6:6" x14ac:dyDescent="0.3">
      <c r="F83923" s="193"/>
    </row>
    <row r="83924" spans="6:6" x14ac:dyDescent="0.3">
      <c r="F83924" s="193"/>
    </row>
    <row r="83925" spans="6:6" x14ac:dyDescent="0.3">
      <c r="F83925" s="193"/>
    </row>
    <row r="83926" spans="6:6" x14ac:dyDescent="0.3">
      <c r="F83926" s="193"/>
    </row>
    <row r="83927" spans="6:6" x14ac:dyDescent="0.3">
      <c r="F83927" s="193"/>
    </row>
    <row r="83928" spans="6:6" x14ac:dyDescent="0.3">
      <c r="F83928" s="193"/>
    </row>
    <row r="83929" spans="6:6" x14ac:dyDescent="0.3">
      <c r="F83929" s="193"/>
    </row>
    <row r="83930" spans="6:6" x14ac:dyDescent="0.3">
      <c r="F83930" s="193"/>
    </row>
    <row r="83931" spans="6:6" x14ac:dyDescent="0.3">
      <c r="F83931" s="193"/>
    </row>
    <row r="83932" spans="6:6" x14ac:dyDescent="0.3">
      <c r="F83932" s="193"/>
    </row>
    <row r="83933" spans="6:6" x14ac:dyDescent="0.3">
      <c r="F83933" s="193"/>
    </row>
    <row r="83934" spans="6:6" x14ac:dyDescent="0.3">
      <c r="F83934" s="193"/>
    </row>
    <row r="83935" spans="6:6" x14ac:dyDescent="0.3">
      <c r="F83935" s="193"/>
    </row>
    <row r="83936" spans="6:6" x14ac:dyDescent="0.3">
      <c r="F83936" s="193"/>
    </row>
    <row r="83937" spans="6:6" x14ac:dyDescent="0.3">
      <c r="F83937" s="193"/>
    </row>
    <row r="83938" spans="6:6" x14ac:dyDescent="0.3">
      <c r="F83938" s="193"/>
    </row>
    <row r="83939" spans="6:6" x14ac:dyDescent="0.3">
      <c r="F83939" s="193"/>
    </row>
    <row r="83940" spans="6:6" x14ac:dyDescent="0.3">
      <c r="F83940" s="193"/>
    </row>
    <row r="83941" spans="6:6" x14ac:dyDescent="0.3">
      <c r="F83941" s="193"/>
    </row>
    <row r="83942" spans="6:6" x14ac:dyDescent="0.3">
      <c r="F83942" s="193"/>
    </row>
    <row r="83943" spans="6:6" x14ac:dyDescent="0.3">
      <c r="F83943" s="193"/>
    </row>
    <row r="83944" spans="6:6" x14ac:dyDescent="0.3">
      <c r="F83944" s="193"/>
    </row>
    <row r="83945" spans="6:6" x14ac:dyDescent="0.3">
      <c r="F83945" s="193"/>
    </row>
    <row r="83946" spans="6:6" x14ac:dyDescent="0.3">
      <c r="F83946" s="193"/>
    </row>
    <row r="83947" spans="6:6" x14ac:dyDescent="0.3">
      <c r="F83947" s="193"/>
    </row>
    <row r="83948" spans="6:6" x14ac:dyDescent="0.3">
      <c r="F83948" s="193"/>
    </row>
    <row r="83949" spans="6:6" x14ac:dyDescent="0.3">
      <c r="F83949" s="193"/>
    </row>
    <row r="83950" spans="6:6" x14ac:dyDescent="0.3">
      <c r="F83950" s="193"/>
    </row>
    <row r="83951" spans="6:6" x14ac:dyDescent="0.3">
      <c r="F83951" s="193"/>
    </row>
    <row r="83952" spans="6:6" x14ac:dyDescent="0.3">
      <c r="F83952" s="193"/>
    </row>
    <row r="83953" spans="6:6" x14ac:dyDescent="0.3">
      <c r="F83953" s="193"/>
    </row>
    <row r="83954" spans="6:6" x14ac:dyDescent="0.3">
      <c r="F83954" s="193"/>
    </row>
    <row r="83955" spans="6:6" x14ac:dyDescent="0.3">
      <c r="F83955" s="193"/>
    </row>
    <row r="83956" spans="6:6" x14ac:dyDescent="0.3">
      <c r="F83956" s="193"/>
    </row>
    <row r="83957" spans="6:6" x14ac:dyDescent="0.3">
      <c r="F83957" s="193"/>
    </row>
    <row r="83958" spans="6:6" x14ac:dyDescent="0.3">
      <c r="F83958" s="193"/>
    </row>
    <row r="83959" spans="6:6" x14ac:dyDescent="0.3">
      <c r="F83959" s="193"/>
    </row>
    <row r="83960" spans="6:6" x14ac:dyDescent="0.3">
      <c r="F83960" s="193"/>
    </row>
    <row r="83961" spans="6:6" x14ac:dyDescent="0.3">
      <c r="F83961" s="193"/>
    </row>
    <row r="83962" spans="6:6" x14ac:dyDescent="0.3">
      <c r="F83962" s="193"/>
    </row>
    <row r="83963" spans="6:6" x14ac:dyDescent="0.3">
      <c r="F83963" s="193"/>
    </row>
    <row r="83964" spans="6:6" x14ac:dyDescent="0.3">
      <c r="F83964" s="193"/>
    </row>
    <row r="83965" spans="6:6" x14ac:dyDescent="0.3">
      <c r="F83965" s="193"/>
    </row>
    <row r="83966" spans="6:6" x14ac:dyDescent="0.3">
      <c r="F83966" s="193"/>
    </row>
    <row r="83967" spans="6:6" x14ac:dyDescent="0.3">
      <c r="F83967" s="193"/>
    </row>
    <row r="83968" spans="6:6" x14ac:dyDescent="0.3">
      <c r="F83968" s="193"/>
    </row>
    <row r="83969" spans="6:6" x14ac:dyDescent="0.3">
      <c r="F83969" s="193"/>
    </row>
    <row r="83970" spans="6:6" x14ac:dyDescent="0.3">
      <c r="F83970" s="193"/>
    </row>
    <row r="83971" spans="6:6" x14ac:dyDescent="0.3">
      <c r="F83971" s="193"/>
    </row>
    <row r="83972" spans="6:6" x14ac:dyDescent="0.3">
      <c r="F83972" s="193"/>
    </row>
    <row r="83973" spans="6:6" x14ac:dyDescent="0.3">
      <c r="F83973" s="193"/>
    </row>
    <row r="83974" spans="6:6" x14ac:dyDescent="0.3">
      <c r="F83974" s="193"/>
    </row>
    <row r="83975" spans="6:6" x14ac:dyDescent="0.3">
      <c r="F83975" s="193"/>
    </row>
    <row r="83976" spans="6:6" x14ac:dyDescent="0.3">
      <c r="F83976" s="193"/>
    </row>
    <row r="83977" spans="6:6" x14ac:dyDescent="0.3">
      <c r="F83977" s="193"/>
    </row>
    <row r="83978" spans="6:6" x14ac:dyDescent="0.3">
      <c r="F83978" s="193"/>
    </row>
    <row r="83979" spans="6:6" x14ac:dyDescent="0.3">
      <c r="F83979" s="193"/>
    </row>
    <row r="83980" spans="6:6" x14ac:dyDescent="0.3">
      <c r="F83980" s="193"/>
    </row>
    <row r="83981" spans="6:6" x14ac:dyDescent="0.3">
      <c r="F83981" s="193"/>
    </row>
    <row r="83982" spans="6:6" x14ac:dyDescent="0.3">
      <c r="F83982" s="193"/>
    </row>
    <row r="83983" spans="6:6" x14ac:dyDescent="0.3">
      <c r="F83983" s="193"/>
    </row>
    <row r="83984" spans="6:6" x14ac:dyDescent="0.3">
      <c r="F83984" s="193"/>
    </row>
    <row r="83985" spans="6:6" x14ac:dyDescent="0.3">
      <c r="F83985" s="193"/>
    </row>
    <row r="83986" spans="6:6" x14ac:dyDescent="0.3">
      <c r="F83986" s="193"/>
    </row>
    <row r="83987" spans="6:6" x14ac:dyDescent="0.3">
      <c r="F83987" s="193"/>
    </row>
    <row r="83988" spans="6:6" x14ac:dyDescent="0.3">
      <c r="F83988" s="193"/>
    </row>
    <row r="83989" spans="6:6" x14ac:dyDescent="0.3">
      <c r="F83989" s="193"/>
    </row>
    <row r="83990" spans="6:6" x14ac:dyDescent="0.3">
      <c r="F83990" s="193"/>
    </row>
    <row r="83991" spans="6:6" x14ac:dyDescent="0.3">
      <c r="F83991" s="193"/>
    </row>
    <row r="83992" spans="6:6" x14ac:dyDescent="0.3">
      <c r="F83992" s="193"/>
    </row>
    <row r="83993" spans="6:6" x14ac:dyDescent="0.3">
      <c r="F83993" s="193"/>
    </row>
    <row r="83994" spans="6:6" x14ac:dyDescent="0.3">
      <c r="F83994" s="193"/>
    </row>
    <row r="83995" spans="6:6" x14ac:dyDescent="0.3">
      <c r="F83995" s="193"/>
    </row>
    <row r="83996" spans="6:6" x14ac:dyDescent="0.3">
      <c r="F83996" s="193"/>
    </row>
    <row r="83997" spans="6:6" x14ac:dyDescent="0.3">
      <c r="F83997" s="193"/>
    </row>
    <row r="83998" spans="6:6" x14ac:dyDescent="0.3">
      <c r="F83998" s="193"/>
    </row>
    <row r="83999" spans="6:6" x14ac:dyDescent="0.3">
      <c r="F83999" s="193"/>
    </row>
    <row r="84000" spans="6:6" x14ac:dyDescent="0.3">
      <c r="F84000" s="193"/>
    </row>
    <row r="84001" spans="6:6" x14ac:dyDescent="0.3">
      <c r="F84001" s="193"/>
    </row>
    <row r="84002" spans="6:6" x14ac:dyDescent="0.3">
      <c r="F84002" s="193"/>
    </row>
    <row r="84003" spans="6:6" x14ac:dyDescent="0.3">
      <c r="F84003" s="193"/>
    </row>
    <row r="84004" spans="6:6" x14ac:dyDescent="0.3">
      <c r="F84004" s="193"/>
    </row>
    <row r="84005" spans="6:6" x14ac:dyDescent="0.3">
      <c r="F84005" s="193"/>
    </row>
    <row r="84006" spans="6:6" x14ac:dyDescent="0.3">
      <c r="F84006" s="193"/>
    </row>
    <row r="84007" spans="6:6" x14ac:dyDescent="0.3">
      <c r="F84007" s="193"/>
    </row>
    <row r="84008" spans="6:6" x14ac:dyDescent="0.3">
      <c r="F84008" s="193"/>
    </row>
    <row r="84009" spans="6:6" x14ac:dyDescent="0.3">
      <c r="F84009" s="193"/>
    </row>
    <row r="84010" spans="6:6" x14ac:dyDescent="0.3">
      <c r="F84010" s="193"/>
    </row>
    <row r="84011" spans="6:6" x14ac:dyDescent="0.3">
      <c r="F84011" s="193"/>
    </row>
    <row r="84012" spans="6:6" x14ac:dyDescent="0.3">
      <c r="F84012" s="193"/>
    </row>
    <row r="84013" spans="6:6" x14ac:dyDescent="0.3">
      <c r="F84013" s="193"/>
    </row>
    <row r="84014" spans="6:6" x14ac:dyDescent="0.3">
      <c r="F84014" s="193"/>
    </row>
    <row r="84015" spans="6:6" x14ac:dyDescent="0.3">
      <c r="F84015" s="193"/>
    </row>
    <row r="84016" spans="6:6" x14ac:dyDescent="0.3">
      <c r="F84016" s="193"/>
    </row>
    <row r="84017" spans="6:6" x14ac:dyDescent="0.3">
      <c r="F84017" s="193"/>
    </row>
    <row r="84018" spans="6:6" x14ac:dyDescent="0.3">
      <c r="F84018" s="193"/>
    </row>
    <row r="84019" spans="6:6" x14ac:dyDescent="0.3">
      <c r="F84019" s="193"/>
    </row>
    <row r="84020" spans="6:6" x14ac:dyDescent="0.3">
      <c r="F84020" s="193"/>
    </row>
    <row r="84021" spans="6:6" x14ac:dyDescent="0.3">
      <c r="F84021" s="193"/>
    </row>
    <row r="84022" spans="6:6" x14ac:dyDescent="0.3">
      <c r="F84022" s="193"/>
    </row>
    <row r="84023" spans="6:6" x14ac:dyDescent="0.3">
      <c r="F84023" s="193"/>
    </row>
    <row r="84024" spans="6:6" x14ac:dyDescent="0.3">
      <c r="F84024" s="193"/>
    </row>
    <row r="84025" spans="6:6" x14ac:dyDescent="0.3">
      <c r="F84025" s="193"/>
    </row>
    <row r="84026" spans="6:6" x14ac:dyDescent="0.3">
      <c r="F84026" s="193"/>
    </row>
    <row r="84027" spans="6:6" x14ac:dyDescent="0.3">
      <c r="F84027" s="193"/>
    </row>
    <row r="84028" spans="6:6" x14ac:dyDescent="0.3">
      <c r="F84028" s="193"/>
    </row>
    <row r="84029" spans="6:6" x14ac:dyDescent="0.3">
      <c r="F84029" s="193"/>
    </row>
    <row r="84030" spans="6:6" x14ac:dyDescent="0.3">
      <c r="F84030" s="193"/>
    </row>
    <row r="84031" spans="6:6" x14ac:dyDescent="0.3">
      <c r="F84031" s="193"/>
    </row>
    <row r="84032" spans="6:6" x14ac:dyDescent="0.3">
      <c r="F84032" s="193"/>
    </row>
    <row r="84033" spans="6:6" x14ac:dyDescent="0.3">
      <c r="F84033" s="193"/>
    </row>
    <row r="84034" spans="6:6" x14ac:dyDescent="0.3">
      <c r="F84034" s="193"/>
    </row>
    <row r="84035" spans="6:6" x14ac:dyDescent="0.3">
      <c r="F84035" s="193"/>
    </row>
    <row r="84036" spans="6:6" x14ac:dyDescent="0.3">
      <c r="F84036" s="193"/>
    </row>
    <row r="84037" spans="6:6" x14ac:dyDescent="0.3">
      <c r="F84037" s="193"/>
    </row>
    <row r="84038" spans="6:6" x14ac:dyDescent="0.3">
      <c r="F84038" s="193"/>
    </row>
    <row r="84039" spans="6:6" x14ac:dyDescent="0.3">
      <c r="F84039" s="193"/>
    </row>
    <row r="84040" spans="6:6" x14ac:dyDescent="0.3">
      <c r="F84040" s="193"/>
    </row>
    <row r="84041" spans="6:6" x14ac:dyDescent="0.3">
      <c r="F84041" s="193"/>
    </row>
    <row r="84042" spans="6:6" x14ac:dyDescent="0.3">
      <c r="F84042" s="193"/>
    </row>
    <row r="84043" spans="6:6" x14ac:dyDescent="0.3">
      <c r="F84043" s="193"/>
    </row>
    <row r="84044" spans="6:6" x14ac:dyDescent="0.3">
      <c r="F84044" s="193"/>
    </row>
    <row r="84045" spans="6:6" x14ac:dyDescent="0.3">
      <c r="F84045" s="193"/>
    </row>
    <row r="84046" spans="6:6" x14ac:dyDescent="0.3">
      <c r="F84046" s="193"/>
    </row>
    <row r="84047" spans="6:6" x14ac:dyDescent="0.3">
      <c r="F84047" s="193"/>
    </row>
    <row r="84048" spans="6:6" x14ac:dyDescent="0.3">
      <c r="F84048" s="193"/>
    </row>
    <row r="84049" spans="6:6" x14ac:dyDescent="0.3">
      <c r="F84049" s="193"/>
    </row>
    <row r="84050" spans="6:6" x14ac:dyDescent="0.3">
      <c r="F84050" s="193"/>
    </row>
    <row r="84051" spans="6:6" x14ac:dyDescent="0.3">
      <c r="F84051" s="193"/>
    </row>
    <row r="84052" spans="6:6" x14ac:dyDescent="0.3">
      <c r="F84052" s="193"/>
    </row>
    <row r="84053" spans="6:6" x14ac:dyDescent="0.3">
      <c r="F84053" s="193"/>
    </row>
    <row r="84054" spans="6:6" x14ac:dyDescent="0.3">
      <c r="F84054" s="193"/>
    </row>
    <row r="84055" spans="6:6" x14ac:dyDescent="0.3">
      <c r="F84055" s="193"/>
    </row>
    <row r="84056" spans="6:6" x14ac:dyDescent="0.3">
      <c r="F84056" s="193"/>
    </row>
    <row r="84057" spans="6:6" x14ac:dyDescent="0.3">
      <c r="F84057" s="193"/>
    </row>
    <row r="84058" spans="6:6" x14ac:dyDescent="0.3">
      <c r="F84058" s="193"/>
    </row>
    <row r="84059" spans="6:6" x14ac:dyDescent="0.3">
      <c r="F84059" s="193"/>
    </row>
    <row r="84060" spans="6:6" x14ac:dyDescent="0.3">
      <c r="F84060" s="193"/>
    </row>
    <row r="84061" spans="6:6" x14ac:dyDescent="0.3">
      <c r="F84061" s="193"/>
    </row>
    <row r="84062" spans="6:6" x14ac:dyDescent="0.3">
      <c r="F84062" s="193"/>
    </row>
    <row r="84063" spans="6:6" x14ac:dyDescent="0.3">
      <c r="F84063" s="193"/>
    </row>
    <row r="84064" spans="6:6" x14ac:dyDescent="0.3">
      <c r="F84064" s="193"/>
    </row>
    <row r="84065" spans="6:6" x14ac:dyDescent="0.3">
      <c r="F84065" s="193"/>
    </row>
    <row r="84066" spans="6:6" x14ac:dyDescent="0.3">
      <c r="F84066" s="193"/>
    </row>
    <row r="84067" spans="6:6" x14ac:dyDescent="0.3">
      <c r="F84067" s="193"/>
    </row>
    <row r="84068" spans="6:6" x14ac:dyDescent="0.3">
      <c r="F84068" s="193"/>
    </row>
    <row r="84069" spans="6:6" x14ac:dyDescent="0.3">
      <c r="F84069" s="193"/>
    </row>
    <row r="84070" spans="6:6" x14ac:dyDescent="0.3">
      <c r="F84070" s="193"/>
    </row>
    <row r="84071" spans="6:6" x14ac:dyDescent="0.3">
      <c r="F84071" s="193"/>
    </row>
    <row r="84072" spans="6:6" x14ac:dyDescent="0.3">
      <c r="F84072" s="193"/>
    </row>
    <row r="84073" spans="6:6" x14ac:dyDescent="0.3">
      <c r="F84073" s="193"/>
    </row>
    <row r="84074" spans="6:6" x14ac:dyDescent="0.3">
      <c r="F84074" s="193"/>
    </row>
    <row r="84075" spans="6:6" x14ac:dyDescent="0.3">
      <c r="F84075" s="193"/>
    </row>
    <row r="84076" spans="6:6" x14ac:dyDescent="0.3">
      <c r="F84076" s="193"/>
    </row>
    <row r="84077" spans="6:6" x14ac:dyDescent="0.3">
      <c r="F84077" s="193"/>
    </row>
    <row r="84078" spans="6:6" x14ac:dyDescent="0.3">
      <c r="F84078" s="193"/>
    </row>
    <row r="84079" spans="6:6" x14ac:dyDescent="0.3">
      <c r="F84079" s="193"/>
    </row>
    <row r="84080" spans="6:6" x14ac:dyDescent="0.3">
      <c r="F84080" s="193"/>
    </row>
    <row r="84081" spans="6:6" x14ac:dyDescent="0.3">
      <c r="F84081" s="193"/>
    </row>
    <row r="84082" spans="6:6" x14ac:dyDescent="0.3">
      <c r="F84082" s="193"/>
    </row>
    <row r="84083" spans="6:6" x14ac:dyDescent="0.3">
      <c r="F84083" s="193"/>
    </row>
    <row r="84084" spans="6:6" x14ac:dyDescent="0.3">
      <c r="F84084" s="193"/>
    </row>
    <row r="84085" spans="6:6" x14ac:dyDescent="0.3">
      <c r="F84085" s="193"/>
    </row>
    <row r="84086" spans="6:6" x14ac:dyDescent="0.3">
      <c r="F84086" s="193"/>
    </row>
    <row r="84087" spans="6:6" x14ac:dyDescent="0.3">
      <c r="F84087" s="193"/>
    </row>
    <row r="84088" spans="6:6" x14ac:dyDescent="0.3">
      <c r="F84088" s="193"/>
    </row>
    <row r="84089" spans="6:6" x14ac:dyDescent="0.3">
      <c r="F84089" s="193"/>
    </row>
    <row r="84090" spans="6:6" x14ac:dyDescent="0.3">
      <c r="F84090" s="193"/>
    </row>
    <row r="84091" spans="6:6" x14ac:dyDescent="0.3">
      <c r="F84091" s="193"/>
    </row>
    <row r="84092" spans="6:6" x14ac:dyDescent="0.3">
      <c r="F84092" s="193"/>
    </row>
    <row r="84093" spans="6:6" x14ac:dyDescent="0.3">
      <c r="F84093" s="193"/>
    </row>
    <row r="84094" spans="6:6" x14ac:dyDescent="0.3">
      <c r="F84094" s="193"/>
    </row>
    <row r="84095" spans="6:6" x14ac:dyDescent="0.3">
      <c r="F84095" s="193"/>
    </row>
    <row r="84096" spans="6:6" x14ac:dyDescent="0.3">
      <c r="F84096" s="193"/>
    </row>
    <row r="84097" spans="6:6" x14ac:dyDescent="0.3">
      <c r="F84097" s="193"/>
    </row>
    <row r="84098" spans="6:6" x14ac:dyDescent="0.3">
      <c r="F84098" s="193"/>
    </row>
    <row r="84099" spans="6:6" x14ac:dyDescent="0.3">
      <c r="F84099" s="193"/>
    </row>
    <row r="84100" spans="6:6" x14ac:dyDescent="0.3">
      <c r="F84100" s="193"/>
    </row>
    <row r="84101" spans="6:6" x14ac:dyDescent="0.3">
      <c r="F84101" s="193"/>
    </row>
    <row r="84102" spans="6:6" x14ac:dyDescent="0.3">
      <c r="F84102" s="193"/>
    </row>
    <row r="84103" spans="6:6" x14ac:dyDescent="0.3">
      <c r="F84103" s="193"/>
    </row>
    <row r="84104" spans="6:6" x14ac:dyDescent="0.3">
      <c r="F84104" s="193"/>
    </row>
    <row r="84105" spans="6:6" x14ac:dyDescent="0.3">
      <c r="F84105" s="193"/>
    </row>
    <row r="84106" spans="6:6" x14ac:dyDescent="0.3">
      <c r="F84106" s="193"/>
    </row>
    <row r="84107" spans="6:6" x14ac:dyDescent="0.3">
      <c r="F84107" s="193"/>
    </row>
    <row r="84108" spans="6:6" x14ac:dyDescent="0.3">
      <c r="F84108" s="193"/>
    </row>
    <row r="84109" spans="6:6" x14ac:dyDescent="0.3">
      <c r="F84109" s="193"/>
    </row>
    <row r="84110" spans="6:6" x14ac:dyDescent="0.3">
      <c r="F84110" s="193"/>
    </row>
    <row r="84111" spans="6:6" x14ac:dyDescent="0.3">
      <c r="F84111" s="193"/>
    </row>
    <row r="84112" spans="6:6" x14ac:dyDescent="0.3">
      <c r="F84112" s="193"/>
    </row>
    <row r="84113" spans="6:6" x14ac:dyDescent="0.3">
      <c r="F84113" s="193"/>
    </row>
    <row r="84114" spans="6:6" x14ac:dyDescent="0.3">
      <c r="F84114" s="193"/>
    </row>
    <row r="84115" spans="6:6" x14ac:dyDescent="0.3">
      <c r="F84115" s="193"/>
    </row>
    <row r="84116" spans="6:6" x14ac:dyDescent="0.3">
      <c r="F84116" s="193"/>
    </row>
    <row r="84117" spans="6:6" x14ac:dyDescent="0.3">
      <c r="F84117" s="193"/>
    </row>
    <row r="84118" spans="6:6" x14ac:dyDescent="0.3">
      <c r="F84118" s="193"/>
    </row>
    <row r="84119" spans="6:6" x14ac:dyDescent="0.3">
      <c r="F84119" s="193"/>
    </row>
    <row r="84120" spans="6:6" x14ac:dyDescent="0.3">
      <c r="F84120" s="193"/>
    </row>
    <row r="84121" spans="6:6" x14ac:dyDescent="0.3">
      <c r="F84121" s="193"/>
    </row>
    <row r="84122" spans="6:6" x14ac:dyDescent="0.3">
      <c r="F84122" s="193"/>
    </row>
    <row r="84123" spans="6:6" x14ac:dyDescent="0.3">
      <c r="F84123" s="193"/>
    </row>
    <row r="84124" spans="6:6" x14ac:dyDescent="0.3">
      <c r="F84124" s="193"/>
    </row>
    <row r="84125" spans="6:6" x14ac:dyDescent="0.3">
      <c r="F84125" s="193"/>
    </row>
    <row r="84126" spans="6:6" x14ac:dyDescent="0.3">
      <c r="F84126" s="193"/>
    </row>
    <row r="84127" spans="6:6" x14ac:dyDescent="0.3">
      <c r="F84127" s="193"/>
    </row>
    <row r="84128" spans="6:6" x14ac:dyDescent="0.3">
      <c r="F84128" s="193"/>
    </row>
    <row r="84129" spans="6:6" x14ac:dyDescent="0.3">
      <c r="F84129" s="193"/>
    </row>
    <row r="84130" spans="6:6" x14ac:dyDescent="0.3">
      <c r="F84130" s="193"/>
    </row>
    <row r="84131" spans="6:6" x14ac:dyDescent="0.3">
      <c r="F84131" s="193"/>
    </row>
    <row r="84132" spans="6:6" x14ac:dyDescent="0.3">
      <c r="F84132" s="193"/>
    </row>
    <row r="84133" spans="6:6" x14ac:dyDescent="0.3">
      <c r="F84133" s="193"/>
    </row>
    <row r="84134" spans="6:6" x14ac:dyDescent="0.3">
      <c r="F84134" s="193"/>
    </row>
    <row r="84135" spans="6:6" x14ac:dyDescent="0.3">
      <c r="F84135" s="193"/>
    </row>
    <row r="84136" spans="6:6" x14ac:dyDescent="0.3">
      <c r="F84136" s="193"/>
    </row>
    <row r="84137" spans="6:6" x14ac:dyDescent="0.3">
      <c r="F84137" s="193"/>
    </row>
    <row r="84138" spans="6:6" x14ac:dyDescent="0.3">
      <c r="F84138" s="193"/>
    </row>
    <row r="84139" spans="6:6" x14ac:dyDescent="0.3">
      <c r="F84139" s="193"/>
    </row>
    <row r="84140" spans="6:6" x14ac:dyDescent="0.3">
      <c r="F84140" s="193"/>
    </row>
    <row r="84141" spans="6:6" x14ac:dyDescent="0.3">
      <c r="F84141" s="193"/>
    </row>
    <row r="84142" spans="6:6" x14ac:dyDescent="0.3">
      <c r="F84142" s="193"/>
    </row>
    <row r="84143" spans="6:6" x14ac:dyDescent="0.3">
      <c r="F84143" s="193"/>
    </row>
    <row r="84144" spans="6:6" x14ac:dyDescent="0.3">
      <c r="F84144" s="193"/>
    </row>
    <row r="84145" spans="6:6" x14ac:dyDescent="0.3">
      <c r="F84145" s="193"/>
    </row>
    <row r="84146" spans="6:6" x14ac:dyDescent="0.3">
      <c r="F84146" s="193"/>
    </row>
    <row r="84147" spans="6:6" x14ac:dyDescent="0.3">
      <c r="F84147" s="193"/>
    </row>
    <row r="84148" spans="6:6" x14ac:dyDescent="0.3">
      <c r="F84148" s="193"/>
    </row>
    <row r="84149" spans="6:6" x14ac:dyDescent="0.3">
      <c r="F84149" s="193"/>
    </row>
    <row r="84150" spans="6:6" x14ac:dyDescent="0.3">
      <c r="F84150" s="193"/>
    </row>
    <row r="84151" spans="6:6" x14ac:dyDescent="0.3">
      <c r="F84151" s="193"/>
    </row>
    <row r="84152" spans="6:6" x14ac:dyDescent="0.3">
      <c r="F84152" s="193"/>
    </row>
    <row r="84153" spans="6:6" x14ac:dyDescent="0.3">
      <c r="F84153" s="193"/>
    </row>
    <row r="84154" spans="6:6" x14ac:dyDescent="0.3">
      <c r="F84154" s="193"/>
    </row>
    <row r="84155" spans="6:6" x14ac:dyDescent="0.3">
      <c r="F84155" s="193"/>
    </row>
    <row r="84156" spans="6:6" x14ac:dyDescent="0.3">
      <c r="F84156" s="193"/>
    </row>
    <row r="84157" spans="6:6" x14ac:dyDescent="0.3">
      <c r="F84157" s="193"/>
    </row>
    <row r="84158" spans="6:6" x14ac:dyDescent="0.3">
      <c r="F84158" s="193"/>
    </row>
    <row r="84159" spans="6:6" x14ac:dyDescent="0.3">
      <c r="F84159" s="193"/>
    </row>
    <row r="84160" spans="6:6" x14ac:dyDescent="0.3">
      <c r="F84160" s="193"/>
    </row>
    <row r="84161" spans="6:6" x14ac:dyDescent="0.3">
      <c r="F84161" s="193"/>
    </row>
    <row r="84162" spans="6:6" x14ac:dyDescent="0.3">
      <c r="F84162" s="193"/>
    </row>
    <row r="84163" spans="6:6" x14ac:dyDescent="0.3">
      <c r="F84163" s="193"/>
    </row>
    <row r="84164" spans="6:6" x14ac:dyDescent="0.3">
      <c r="F84164" s="193"/>
    </row>
    <row r="84165" spans="6:6" x14ac:dyDescent="0.3">
      <c r="F84165" s="193"/>
    </row>
    <row r="84166" spans="6:6" x14ac:dyDescent="0.3">
      <c r="F84166" s="193"/>
    </row>
    <row r="84167" spans="6:6" x14ac:dyDescent="0.3">
      <c r="F84167" s="193"/>
    </row>
    <row r="84168" spans="6:6" x14ac:dyDescent="0.3">
      <c r="F84168" s="193"/>
    </row>
    <row r="84169" spans="6:6" x14ac:dyDescent="0.3">
      <c r="F84169" s="193"/>
    </row>
    <row r="84170" spans="6:6" x14ac:dyDescent="0.3">
      <c r="F84170" s="193"/>
    </row>
    <row r="84171" spans="6:6" x14ac:dyDescent="0.3">
      <c r="F84171" s="193"/>
    </row>
    <row r="84172" spans="6:6" x14ac:dyDescent="0.3">
      <c r="F84172" s="193"/>
    </row>
    <row r="84173" spans="6:6" x14ac:dyDescent="0.3">
      <c r="F84173" s="193"/>
    </row>
    <row r="84174" spans="6:6" x14ac:dyDescent="0.3">
      <c r="F84174" s="193"/>
    </row>
    <row r="84175" spans="6:6" x14ac:dyDescent="0.3">
      <c r="F84175" s="193"/>
    </row>
    <row r="84176" spans="6:6" x14ac:dyDescent="0.3">
      <c r="F84176" s="193"/>
    </row>
    <row r="84177" spans="6:6" x14ac:dyDescent="0.3">
      <c r="F84177" s="193"/>
    </row>
    <row r="84178" spans="6:6" x14ac:dyDescent="0.3">
      <c r="F84178" s="193"/>
    </row>
    <row r="84179" spans="6:6" x14ac:dyDescent="0.3">
      <c r="F84179" s="193"/>
    </row>
    <row r="84180" spans="6:6" x14ac:dyDescent="0.3">
      <c r="F84180" s="193"/>
    </row>
    <row r="84181" spans="6:6" x14ac:dyDescent="0.3">
      <c r="F84181" s="193"/>
    </row>
    <row r="84182" spans="6:6" x14ac:dyDescent="0.3">
      <c r="F84182" s="193"/>
    </row>
    <row r="84183" spans="6:6" x14ac:dyDescent="0.3">
      <c r="F84183" s="193"/>
    </row>
    <row r="84184" spans="6:6" x14ac:dyDescent="0.3">
      <c r="F84184" s="193"/>
    </row>
    <row r="84185" spans="6:6" x14ac:dyDescent="0.3">
      <c r="F84185" s="193"/>
    </row>
    <row r="84186" spans="6:6" x14ac:dyDescent="0.3">
      <c r="F84186" s="193"/>
    </row>
    <row r="84187" spans="6:6" x14ac:dyDescent="0.3">
      <c r="F84187" s="193"/>
    </row>
    <row r="84188" spans="6:6" x14ac:dyDescent="0.3">
      <c r="F84188" s="193"/>
    </row>
    <row r="84189" spans="6:6" x14ac:dyDescent="0.3">
      <c r="F84189" s="193"/>
    </row>
    <row r="84190" spans="6:6" x14ac:dyDescent="0.3">
      <c r="F84190" s="193"/>
    </row>
    <row r="84191" spans="6:6" x14ac:dyDescent="0.3">
      <c r="F84191" s="193"/>
    </row>
    <row r="84192" spans="6:6" x14ac:dyDescent="0.3">
      <c r="F84192" s="193"/>
    </row>
    <row r="84193" spans="6:6" x14ac:dyDescent="0.3">
      <c r="F84193" s="193"/>
    </row>
    <row r="84194" spans="6:6" x14ac:dyDescent="0.3">
      <c r="F84194" s="193"/>
    </row>
    <row r="84195" spans="6:6" x14ac:dyDescent="0.3">
      <c r="F84195" s="193"/>
    </row>
    <row r="84196" spans="6:6" x14ac:dyDescent="0.3">
      <c r="F84196" s="193"/>
    </row>
    <row r="84197" spans="6:6" x14ac:dyDescent="0.3">
      <c r="F84197" s="193"/>
    </row>
    <row r="84198" spans="6:6" x14ac:dyDescent="0.3">
      <c r="F84198" s="193"/>
    </row>
    <row r="84199" spans="6:6" x14ac:dyDescent="0.3">
      <c r="F84199" s="193"/>
    </row>
    <row r="84200" spans="6:6" x14ac:dyDescent="0.3">
      <c r="F84200" s="193"/>
    </row>
    <row r="84201" spans="6:6" x14ac:dyDescent="0.3">
      <c r="F84201" s="193"/>
    </row>
    <row r="84202" spans="6:6" x14ac:dyDescent="0.3">
      <c r="F84202" s="193"/>
    </row>
    <row r="84203" spans="6:6" x14ac:dyDescent="0.3">
      <c r="F84203" s="193"/>
    </row>
    <row r="84204" spans="6:6" x14ac:dyDescent="0.3">
      <c r="F84204" s="193"/>
    </row>
    <row r="84205" spans="6:6" x14ac:dyDescent="0.3">
      <c r="F84205" s="193"/>
    </row>
    <row r="84206" spans="6:6" x14ac:dyDescent="0.3">
      <c r="F84206" s="193"/>
    </row>
    <row r="84207" spans="6:6" x14ac:dyDescent="0.3">
      <c r="F84207" s="193"/>
    </row>
    <row r="84208" spans="6:6" x14ac:dyDescent="0.3">
      <c r="F84208" s="193"/>
    </row>
    <row r="84209" spans="6:6" x14ac:dyDescent="0.3">
      <c r="F84209" s="193"/>
    </row>
    <row r="84210" spans="6:6" x14ac:dyDescent="0.3">
      <c r="F84210" s="193"/>
    </row>
    <row r="84211" spans="6:6" x14ac:dyDescent="0.3">
      <c r="F84211" s="193"/>
    </row>
    <row r="84212" spans="6:6" x14ac:dyDescent="0.3">
      <c r="F84212" s="193"/>
    </row>
    <row r="84213" spans="6:6" x14ac:dyDescent="0.3">
      <c r="F84213" s="193"/>
    </row>
    <row r="84214" spans="6:6" x14ac:dyDescent="0.3">
      <c r="F84214" s="193"/>
    </row>
    <row r="84215" spans="6:6" x14ac:dyDescent="0.3">
      <c r="F84215" s="193"/>
    </row>
    <row r="84216" spans="6:6" x14ac:dyDescent="0.3">
      <c r="F84216" s="193"/>
    </row>
    <row r="84217" spans="6:6" x14ac:dyDescent="0.3">
      <c r="F84217" s="193"/>
    </row>
    <row r="84218" spans="6:6" x14ac:dyDescent="0.3">
      <c r="F84218" s="193"/>
    </row>
    <row r="84219" spans="6:6" x14ac:dyDescent="0.3">
      <c r="F84219" s="193"/>
    </row>
    <row r="84220" spans="6:6" x14ac:dyDescent="0.3">
      <c r="F84220" s="193"/>
    </row>
    <row r="84221" spans="6:6" x14ac:dyDescent="0.3">
      <c r="F84221" s="193"/>
    </row>
    <row r="84222" spans="6:6" x14ac:dyDescent="0.3">
      <c r="F84222" s="193"/>
    </row>
    <row r="84223" spans="6:6" x14ac:dyDescent="0.3">
      <c r="F84223" s="193"/>
    </row>
    <row r="84224" spans="6:6" x14ac:dyDescent="0.3">
      <c r="F84224" s="193"/>
    </row>
    <row r="84225" spans="6:6" x14ac:dyDescent="0.3">
      <c r="F84225" s="193"/>
    </row>
    <row r="84226" spans="6:6" x14ac:dyDescent="0.3">
      <c r="F84226" s="193"/>
    </row>
    <row r="84227" spans="6:6" x14ac:dyDescent="0.3">
      <c r="F84227" s="193"/>
    </row>
    <row r="84228" spans="6:6" x14ac:dyDescent="0.3">
      <c r="F84228" s="193"/>
    </row>
    <row r="84229" spans="6:6" x14ac:dyDescent="0.3">
      <c r="F84229" s="193"/>
    </row>
    <row r="84230" spans="6:6" x14ac:dyDescent="0.3">
      <c r="F84230" s="193"/>
    </row>
    <row r="84231" spans="6:6" x14ac:dyDescent="0.3">
      <c r="F84231" s="193"/>
    </row>
    <row r="84232" spans="6:6" x14ac:dyDescent="0.3">
      <c r="F84232" s="193"/>
    </row>
    <row r="84233" spans="6:6" x14ac:dyDescent="0.3">
      <c r="F84233" s="193"/>
    </row>
    <row r="84234" spans="6:6" x14ac:dyDescent="0.3">
      <c r="F84234" s="193"/>
    </row>
    <row r="84235" spans="6:6" x14ac:dyDescent="0.3">
      <c r="F84235" s="193"/>
    </row>
    <row r="84236" spans="6:6" x14ac:dyDescent="0.3">
      <c r="F84236" s="193"/>
    </row>
    <row r="84237" spans="6:6" x14ac:dyDescent="0.3">
      <c r="F84237" s="193"/>
    </row>
    <row r="84238" spans="6:6" x14ac:dyDescent="0.3">
      <c r="F84238" s="193"/>
    </row>
    <row r="84239" spans="6:6" x14ac:dyDescent="0.3">
      <c r="F84239" s="193"/>
    </row>
    <row r="84240" spans="6:6" x14ac:dyDescent="0.3">
      <c r="F84240" s="193"/>
    </row>
    <row r="84241" spans="6:6" x14ac:dyDescent="0.3">
      <c r="F84241" s="193"/>
    </row>
    <row r="84242" spans="6:6" x14ac:dyDescent="0.3">
      <c r="F84242" s="193"/>
    </row>
    <row r="84243" spans="6:6" x14ac:dyDescent="0.3">
      <c r="F84243" s="193"/>
    </row>
    <row r="84244" spans="6:6" x14ac:dyDescent="0.3">
      <c r="F84244" s="193"/>
    </row>
    <row r="84245" spans="6:6" x14ac:dyDescent="0.3">
      <c r="F84245" s="193"/>
    </row>
    <row r="84246" spans="6:6" x14ac:dyDescent="0.3">
      <c r="F84246" s="193"/>
    </row>
    <row r="84247" spans="6:6" x14ac:dyDescent="0.3">
      <c r="F84247" s="193"/>
    </row>
    <row r="84248" spans="6:6" x14ac:dyDescent="0.3">
      <c r="F84248" s="193"/>
    </row>
    <row r="84249" spans="6:6" x14ac:dyDescent="0.3">
      <c r="F84249" s="193"/>
    </row>
    <row r="84250" spans="6:6" x14ac:dyDescent="0.3">
      <c r="F84250" s="193"/>
    </row>
    <row r="84251" spans="6:6" x14ac:dyDescent="0.3">
      <c r="F84251" s="193"/>
    </row>
    <row r="84252" spans="6:6" x14ac:dyDescent="0.3">
      <c r="F84252" s="193"/>
    </row>
    <row r="84253" spans="6:6" x14ac:dyDescent="0.3">
      <c r="F84253" s="193"/>
    </row>
    <row r="84254" spans="6:6" x14ac:dyDescent="0.3">
      <c r="F84254" s="193"/>
    </row>
    <row r="84255" spans="6:6" x14ac:dyDescent="0.3">
      <c r="F84255" s="193"/>
    </row>
    <row r="84256" spans="6:6" x14ac:dyDescent="0.3">
      <c r="F84256" s="193"/>
    </row>
    <row r="84257" spans="6:6" x14ac:dyDescent="0.3">
      <c r="F84257" s="193"/>
    </row>
    <row r="84258" spans="6:6" x14ac:dyDescent="0.3">
      <c r="F84258" s="193"/>
    </row>
    <row r="84259" spans="6:6" x14ac:dyDescent="0.3">
      <c r="F84259" s="193"/>
    </row>
    <row r="84260" spans="6:6" x14ac:dyDescent="0.3">
      <c r="F84260" s="193"/>
    </row>
    <row r="84261" spans="6:6" x14ac:dyDescent="0.3">
      <c r="F84261" s="193"/>
    </row>
    <row r="84262" spans="6:6" x14ac:dyDescent="0.3">
      <c r="F84262" s="193"/>
    </row>
    <row r="84263" spans="6:6" x14ac:dyDescent="0.3">
      <c r="F84263" s="193"/>
    </row>
    <row r="84264" spans="6:6" x14ac:dyDescent="0.3">
      <c r="F84264" s="193"/>
    </row>
    <row r="84265" spans="6:6" x14ac:dyDescent="0.3">
      <c r="F84265" s="193"/>
    </row>
    <row r="84266" spans="6:6" x14ac:dyDescent="0.3">
      <c r="F84266" s="193"/>
    </row>
    <row r="84267" spans="6:6" x14ac:dyDescent="0.3">
      <c r="F84267" s="193"/>
    </row>
    <row r="84268" spans="6:6" x14ac:dyDescent="0.3">
      <c r="F84268" s="193"/>
    </row>
    <row r="84269" spans="6:6" x14ac:dyDescent="0.3">
      <c r="F84269" s="193"/>
    </row>
    <row r="84270" spans="6:6" x14ac:dyDescent="0.3">
      <c r="F84270" s="193"/>
    </row>
    <row r="84271" spans="6:6" x14ac:dyDescent="0.3">
      <c r="F84271" s="193"/>
    </row>
    <row r="84272" spans="6:6" x14ac:dyDescent="0.3">
      <c r="F84272" s="193"/>
    </row>
    <row r="84273" spans="6:6" x14ac:dyDescent="0.3">
      <c r="F84273" s="193"/>
    </row>
    <row r="84274" spans="6:6" x14ac:dyDescent="0.3">
      <c r="F84274" s="193"/>
    </row>
    <row r="84275" spans="6:6" x14ac:dyDescent="0.3">
      <c r="F84275" s="193"/>
    </row>
    <row r="84276" spans="6:6" x14ac:dyDescent="0.3">
      <c r="F84276" s="193"/>
    </row>
    <row r="84277" spans="6:6" x14ac:dyDescent="0.3">
      <c r="F84277" s="193"/>
    </row>
    <row r="84278" spans="6:6" x14ac:dyDescent="0.3">
      <c r="F84278" s="193"/>
    </row>
    <row r="84279" spans="6:6" x14ac:dyDescent="0.3">
      <c r="F84279" s="193"/>
    </row>
    <row r="84280" spans="6:6" x14ac:dyDescent="0.3">
      <c r="F84280" s="193"/>
    </row>
    <row r="84281" spans="6:6" x14ac:dyDescent="0.3">
      <c r="F84281" s="193"/>
    </row>
    <row r="84282" spans="6:6" x14ac:dyDescent="0.3">
      <c r="F84282" s="193"/>
    </row>
    <row r="84283" spans="6:6" x14ac:dyDescent="0.3">
      <c r="F84283" s="193"/>
    </row>
    <row r="84284" spans="6:6" x14ac:dyDescent="0.3">
      <c r="F84284" s="193"/>
    </row>
    <row r="84285" spans="6:6" x14ac:dyDescent="0.3">
      <c r="F84285" s="193"/>
    </row>
    <row r="84286" spans="6:6" x14ac:dyDescent="0.3">
      <c r="F84286" s="193"/>
    </row>
    <row r="84287" spans="6:6" x14ac:dyDescent="0.3">
      <c r="F84287" s="193"/>
    </row>
    <row r="84288" spans="6:6" x14ac:dyDescent="0.3">
      <c r="F84288" s="193"/>
    </row>
    <row r="84289" spans="6:6" x14ac:dyDescent="0.3">
      <c r="F84289" s="193"/>
    </row>
    <row r="84290" spans="6:6" x14ac:dyDescent="0.3">
      <c r="F84290" s="193"/>
    </row>
    <row r="84291" spans="6:6" x14ac:dyDescent="0.3">
      <c r="F84291" s="193"/>
    </row>
    <row r="84292" spans="6:6" x14ac:dyDescent="0.3">
      <c r="F84292" s="193"/>
    </row>
    <row r="84293" spans="6:6" x14ac:dyDescent="0.3">
      <c r="F84293" s="193"/>
    </row>
    <row r="84294" spans="6:6" x14ac:dyDescent="0.3">
      <c r="F84294" s="193"/>
    </row>
    <row r="84295" spans="6:6" x14ac:dyDescent="0.3">
      <c r="F84295" s="193"/>
    </row>
    <row r="84296" spans="6:6" x14ac:dyDescent="0.3">
      <c r="F84296" s="193"/>
    </row>
    <row r="84297" spans="6:6" x14ac:dyDescent="0.3">
      <c r="F84297" s="193"/>
    </row>
    <row r="84298" spans="6:6" x14ac:dyDescent="0.3">
      <c r="F84298" s="193"/>
    </row>
    <row r="84299" spans="6:6" x14ac:dyDescent="0.3">
      <c r="F84299" s="193"/>
    </row>
    <row r="84300" spans="6:6" x14ac:dyDescent="0.3">
      <c r="F84300" s="193"/>
    </row>
    <row r="84301" spans="6:6" x14ac:dyDescent="0.3">
      <c r="F84301" s="193"/>
    </row>
    <row r="84302" spans="6:6" x14ac:dyDescent="0.3">
      <c r="F84302" s="193"/>
    </row>
    <row r="84303" spans="6:6" x14ac:dyDescent="0.3">
      <c r="F84303" s="193"/>
    </row>
    <row r="84304" spans="6:6" x14ac:dyDescent="0.3">
      <c r="F84304" s="193"/>
    </row>
    <row r="84305" spans="6:6" x14ac:dyDescent="0.3">
      <c r="F84305" s="193"/>
    </row>
    <row r="84306" spans="6:6" x14ac:dyDescent="0.3">
      <c r="F84306" s="193"/>
    </row>
    <row r="84307" spans="6:6" x14ac:dyDescent="0.3">
      <c r="F84307" s="193"/>
    </row>
    <row r="84308" spans="6:6" x14ac:dyDescent="0.3">
      <c r="F84308" s="193"/>
    </row>
    <row r="84309" spans="6:6" x14ac:dyDescent="0.3">
      <c r="F84309" s="193"/>
    </row>
    <row r="84310" spans="6:6" x14ac:dyDescent="0.3">
      <c r="F84310" s="193"/>
    </row>
    <row r="84311" spans="6:6" x14ac:dyDescent="0.3">
      <c r="F84311" s="193"/>
    </row>
    <row r="84312" spans="6:6" x14ac:dyDescent="0.3">
      <c r="F84312" s="193"/>
    </row>
    <row r="84313" spans="6:6" x14ac:dyDescent="0.3">
      <c r="F84313" s="193"/>
    </row>
    <row r="84314" spans="6:6" x14ac:dyDescent="0.3">
      <c r="F84314" s="193"/>
    </row>
    <row r="84315" spans="6:6" x14ac:dyDescent="0.3">
      <c r="F84315" s="193"/>
    </row>
    <row r="84316" spans="6:6" x14ac:dyDescent="0.3">
      <c r="F84316" s="193"/>
    </row>
    <row r="84317" spans="6:6" x14ac:dyDescent="0.3">
      <c r="F84317" s="193"/>
    </row>
    <row r="84318" spans="6:6" x14ac:dyDescent="0.3">
      <c r="F84318" s="193"/>
    </row>
    <row r="84319" spans="6:6" x14ac:dyDescent="0.3">
      <c r="F84319" s="193"/>
    </row>
    <row r="84320" spans="6:6" x14ac:dyDescent="0.3">
      <c r="F84320" s="193"/>
    </row>
    <row r="84321" spans="6:6" x14ac:dyDescent="0.3">
      <c r="F84321" s="193"/>
    </row>
    <row r="84322" spans="6:6" x14ac:dyDescent="0.3">
      <c r="F84322" s="193"/>
    </row>
    <row r="84323" spans="6:6" x14ac:dyDescent="0.3">
      <c r="F84323" s="193"/>
    </row>
    <row r="84324" spans="6:6" x14ac:dyDescent="0.3">
      <c r="F84324" s="193"/>
    </row>
    <row r="84325" spans="6:6" x14ac:dyDescent="0.3">
      <c r="F84325" s="193"/>
    </row>
    <row r="84326" spans="6:6" x14ac:dyDescent="0.3">
      <c r="F84326" s="193"/>
    </row>
    <row r="84327" spans="6:6" x14ac:dyDescent="0.3">
      <c r="F84327" s="193"/>
    </row>
    <row r="84328" spans="6:6" x14ac:dyDescent="0.3">
      <c r="F84328" s="193"/>
    </row>
    <row r="84329" spans="6:6" x14ac:dyDescent="0.3">
      <c r="F84329" s="193"/>
    </row>
    <row r="84330" spans="6:6" x14ac:dyDescent="0.3">
      <c r="F84330" s="193"/>
    </row>
    <row r="84331" spans="6:6" x14ac:dyDescent="0.3">
      <c r="F84331" s="193"/>
    </row>
    <row r="84332" spans="6:6" x14ac:dyDescent="0.3">
      <c r="F84332" s="193"/>
    </row>
    <row r="84333" spans="6:6" x14ac:dyDescent="0.3">
      <c r="F84333" s="193"/>
    </row>
    <row r="84334" spans="6:6" x14ac:dyDescent="0.3">
      <c r="F84334" s="193"/>
    </row>
    <row r="84335" spans="6:6" x14ac:dyDescent="0.3">
      <c r="F84335" s="193"/>
    </row>
    <row r="84336" spans="6:6" x14ac:dyDescent="0.3">
      <c r="F84336" s="193"/>
    </row>
    <row r="84337" spans="6:6" x14ac:dyDescent="0.3">
      <c r="F84337" s="193"/>
    </row>
    <row r="84338" spans="6:6" x14ac:dyDescent="0.3">
      <c r="F84338" s="193"/>
    </row>
    <row r="84339" spans="6:6" x14ac:dyDescent="0.3">
      <c r="F84339" s="193"/>
    </row>
    <row r="84340" spans="6:6" x14ac:dyDescent="0.3">
      <c r="F84340" s="193"/>
    </row>
    <row r="84341" spans="6:6" x14ac:dyDescent="0.3">
      <c r="F84341" s="193"/>
    </row>
    <row r="84342" spans="6:6" x14ac:dyDescent="0.3">
      <c r="F84342" s="193"/>
    </row>
    <row r="84343" spans="6:6" x14ac:dyDescent="0.3">
      <c r="F84343" s="193"/>
    </row>
    <row r="84344" spans="6:6" x14ac:dyDescent="0.3">
      <c r="F84344" s="193"/>
    </row>
    <row r="84345" spans="6:6" x14ac:dyDescent="0.3">
      <c r="F84345" s="193"/>
    </row>
    <row r="84346" spans="6:6" x14ac:dyDescent="0.3">
      <c r="F84346" s="193"/>
    </row>
    <row r="84347" spans="6:6" x14ac:dyDescent="0.3">
      <c r="F84347" s="193"/>
    </row>
    <row r="84348" spans="6:6" x14ac:dyDescent="0.3">
      <c r="F84348" s="193"/>
    </row>
    <row r="84349" spans="6:6" x14ac:dyDescent="0.3">
      <c r="F84349" s="193"/>
    </row>
    <row r="84350" spans="6:6" x14ac:dyDescent="0.3">
      <c r="F84350" s="193"/>
    </row>
    <row r="84351" spans="6:6" x14ac:dyDescent="0.3">
      <c r="F84351" s="193"/>
    </row>
    <row r="84352" spans="6:6" x14ac:dyDescent="0.3">
      <c r="F84352" s="193"/>
    </row>
    <row r="84353" spans="6:6" x14ac:dyDescent="0.3">
      <c r="F84353" s="193"/>
    </row>
    <row r="84354" spans="6:6" x14ac:dyDescent="0.3">
      <c r="F84354" s="193"/>
    </row>
    <row r="84355" spans="6:6" x14ac:dyDescent="0.3">
      <c r="F84355" s="193"/>
    </row>
    <row r="84356" spans="6:6" x14ac:dyDescent="0.3">
      <c r="F84356" s="193"/>
    </row>
    <row r="84357" spans="6:6" x14ac:dyDescent="0.3">
      <c r="F84357" s="193"/>
    </row>
    <row r="84358" spans="6:6" x14ac:dyDescent="0.3">
      <c r="F84358" s="193"/>
    </row>
    <row r="84359" spans="6:6" x14ac:dyDescent="0.3">
      <c r="F84359" s="193"/>
    </row>
    <row r="84360" spans="6:6" x14ac:dyDescent="0.3">
      <c r="F84360" s="193"/>
    </row>
    <row r="84361" spans="6:6" x14ac:dyDescent="0.3">
      <c r="F84361" s="193"/>
    </row>
    <row r="84362" spans="6:6" x14ac:dyDescent="0.3">
      <c r="F84362" s="193"/>
    </row>
    <row r="84363" spans="6:6" x14ac:dyDescent="0.3">
      <c r="F84363" s="193"/>
    </row>
    <row r="84364" spans="6:6" x14ac:dyDescent="0.3">
      <c r="F84364" s="193"/>
    </row>
    <row r="84365" spans="6:6" x14ac:dyDescent="0.3">
      <c r="F84365" s="193"/>
    </row>
    <row r="84366" spans="6:6" x14ac:dyDescent="0.3">
      <c r="F84366" s="193"/>
    </row>
    <row r="84367" spans="6:6" x14ac:dyDescent="0.3">
      <c r="F84367" s="193"/>
    </row>
    <row r="84368" spans="6:6" x14ac:dyDescent="0.3">
      <c r="F84368" s="193"/>
    </row>
    <row r="84369" spans="6:6" x14ac:dyDescent="0.3">
      <c r="F84369" s="193"/>
    </row>
    <row r="84370" spans="6:6" x14ac:dyDescent="0.3">
      <c r="F84370" s="193"/>
    </row>
    <row r="84371" spans="6:6" x14ac:dyDescent="0.3">
      <c r="F84371" s="193"/>
    </row>
    <row r="84372" spans="6:6" x14ac:dyDescent="0.3">
      <c r="F84372" s="193"/>
    </row>
    <row r="84373" spans="6:6" x14ac:dyDescent="0.3">
      <c r="F84373" s="193"/>
    </row>
    <row r="84374" spans="6:6" x14ac:dyDescent="0.3">
      <c r="F84374" s="193"/>
    </row>
    <row r="84375" spans="6:6" x14ac:dyDescent="0.3">
      <c r="F84375" s="193"/>
    </row>
    <row r="84376" spans="6:6" x14ac:dyDescent="0.3">
      <c r="F84376" s="193"/>
    </row>
    <row r="84377" spans="6:6" x14ac:dyDescent="0.3">
      <c r="F84377" s="193"/>
    </row>
    <row r="84378" spans="6:6" x14ac:dyDescent="0.3">
      <c r="F84378" s="193"/>
    </row>
    <row r="84379" spans="6:6" x14ac:dyDescent="0.3">
      <c r="F84379" s="193"/>
    </row>
    <row r="84380" spans="6:6" x14ac:dyDescent="0.3">
      <c r="F84380" s="193"/>
    </row>
    <row r="84381" spans="6:6" x14ac:dyDescent="0.3">
      <c r="F84381" s="193"/>
    </row>
    <row r="84382" spans="6:6" x14ac:dyDescent="0.3">
      <c r="F84382" s="193"/>
    </row>
    <row r="84383" spans="6:6" x14ac:dyDescent="0.3">
      <c r="F84383" s="193"/>
    </row>
    <row r="84384" spans="6:6" x14ac:dyDescent="0.3">
      <c r="F84384" s="193"/>
    </row>
    <row r="84385" spans="6:6" x14ac:dyDescent="0.3">
      <c r="F84385" s="193"/>
    </row>
    <row r="84386" spans="6:6" x14ac:dyDescent="0.3">
      <c r="F84386" s="193"/>
    </row>
    <row r="84387" spans="6:6" x14ac:dyDescent="0.3">
      <c r="F84387" s="193"/>
    </row>
    <row r="84388" spans="6:6" x14ac:dyDescent="0.3">
      <c r="F84388" s="193"/>
    </row>
    <row r="84389" spans="6:6" x14ac:dyDescent="0.3">
      <c r="F84389" s="193"/>
    </row>
    <row r="84390" spans="6:6" x14ac:dyDescent="0.3">
      <c r="F84390" s="193"/>
    </row>
    <row r="84391" spans="6:6" x14ac:dyDescent="0.3">
      <c r="F84391" s="193"/>
    </row>
    <row r="84392" spans="6:6" x14ac:dyDescent="0.3">
      <c r="F84392" s="193"/>
    </row>
    <row r="84393" spans="6:6" x14ac:dyDescent="0.3">
      <c r="F84393" s="193"/>
    </row>
    <row r="84394" spans="6:6" x14ac:dyDescent="0.3">
      <c r="F84394" s="193"/>
    </row>
    <row r="84395" spans="6:6" x14ac:dyDescent="0.3">
      <c r="F84395" s="193"/>
    </row>
    <row r="84396" spans="6:6" x14ac:dyDescent="0.3">
      <c r="F84396" s="193"/>
    </row>
    <row r="84397" spans="6:6" x14ac:dyDescent="0.3">
      <c r="F84397" s="193"/>
    </row>
    <row r="84398" spans="6:6" x14ac:dyDescent="0.3">
      <c r="F84398" s="193"/>
    </row>
    <row r="84399" spans="6:6" x14ac:dyDescent="0.3">
      <c r="F84399" s="193"/>
    </row>
    <row r="84400" spans="6:6" x14ac:dyDescent="0.3">
      <c r="F84400" s="193"/>
    </row>
    <row r="84401" spans="6:6" x14ac:dyDescent="0.3">
      <c r="F84401" s="193"/>
    </row>
    <row r="84402" spans="6:6" x14ac:dyDescent="0.3">
      <c r="F84402" s="193"/>
    </row>
    <row r="84403" spans="6:6" x14ac:dyDescent="0.3">
      <c r="F84403" s="193"/>
    </row>
    <row r="84404" spans="6:6" x14ac:dyDescent="0.3">
      <c r="F84404" s="193"/>
    </row>
    <row r="84405" spans="6:6" x14ac:dyDescent="0.3">
      <c r="F84405" s="193"/>
    </row>
    <row r="84406" spans="6:6" x14ac:dyDescent="0.3">
      <c r="F84406" s="193"/>
    </row>
    <row r="84407" spans="6:6" x14ac:dyDescent="0.3">
      <c r="F84407" s="193"/>
    </row>
    <row r="84408" spans="6:6" x14ac:dyDescent="0.3">
      <c r="F84408" s="193"/>
    </row>
    <row r="84409" spans="6:6" x14ac:dyDescent="0.3">
      <c r="F84409" s="193"/>
    </row>
    <row r="84410" spans="6:6" x14ac:dyDescent="0.3">
      <c r="F84410" s="193"/>
    </row>
    <row r="84411" spans="6:6" x14ac:dyDescent="0.3">
      <c r="F84411" s="193"/>
    </row>
    <row r="84412" spans="6:6" x14ac:dyDescent="0.3">
      <c r="F84412" s="193"/>
    </row>
    <row r="84413" spans="6:6" x14ac:dyDescent="0.3">
      <c r="F84413" s="193"/>
    </row>
    <row r="84414" spans="6:6" x14ac:dyDescent="0.3">
      <c r="F84414" s="193"/>
    </row>
    <row r="84415" spans="6:6" x14ac:dyDescent="0.3">
      <c r="F84415" s="193"/>
    </row>
    <row r="84416" spans="6:6" x14ac:dyDescent="0.3">
      <c r="F84416" s="193"/>
    </row>
    <row r="84417" spans="6:6" x14ac:dyDescent="0.3">
      <c r="F84417" s="193"/>
    </row>
    <row r="84418" spans="6:6" x14ac:dyDescent="0.3">
      <c r="F84418" s="193"/>
    </row>
    <row r="84419" spans="6:6" x14ac:dyDescent="0.3">
      <c r="F84419" s="193"/>
    </row>
    <row r="84420" spans="6:6" x14ac:dyDescent="0.3">
      <c r="F84420" s="193"/>
    </row>
    <row r="84421" spans="6:6" x14ac:dyDescent="0.3">
      <c r="F84421" s="193"/>
    </row>
    <row r="84422" spans="6:6" x14ac:dyDescent="0.3">
      <c r="F84422" s="193"/>
    </row>
    <row r="84423" spans="6:6" x14ac:dyDescent="0.3">
      <c r="F84423" s="193"/>
    </row>
    <row r="84424" spans="6:6" x14ac:dyDescent="0.3">
      <c r="F84424" s="193"/>
    </row>
    <row r="84425" spans="6:6" x14ac:dyDescent="0.3">
      <c r="F84425" s="193"/>
    </row>
    <row r="84426" spans="6:6" x14ac:dyDescent="0.3">
      <c r="F84426" s="193"/>
    </row>
    <row r="84427" spans="6:6" x14ac:dyDescent="0.3">
      <c r="F84427" s="193"/>
    </row>
    <row r="84428" spans="6:6" x14ac:dyDescent="0.3">
      <c r="F84428" s="193"/>
    </row>
    <row r="84429" spans="6:6" x14ac:dyDescent="0.3">
      <c r="F84429" s="193"/>
    </row>
    <row r="84430" spans="6:6" x14ac:dyDescent="0.3">
      <c r="F84430" s="193"/>
    </row>
    <row r="84431" spans="6:6" x14ac:dyDescent="0.3">
      <c r="F84431" s="193"/>
    </row>
    <row r="84432" spans="6:6" x14ac:dyDescent="0.3">
      <c r="F84432" s="193"/>
    </row>
    <row r="84433" spans="6:6" x14ac:dyDescent="0.3">
      <c r="F84433" s="193"/>
    </row>
    <row r="84434" spans="6:6" x14ac:dyDescent="0.3">
      <c r="F84434" s="193"/>
    </row>
    <row r="84435" spans="6:6" x14ac:dyDescent="0.3">
      <c r="F84435" s="193"/>
    </row>
    <row r="84436" spans="6:6" x14ac:dyDescent="0.3">
      <c r="F84436" s="193"/>
    </row>
    <row r="84437" spans="6:6" x14ac:dyDescent="0.3">
      <c r="F84437" s="193"/>
    </row>
    <row r="84438" spans="6:6" x14ac:dyDescent="0.3">
      <c r="F84438" s="193"/>
    </row>
    <row r="84439" spans="6:6" x14ac:dyDescent="0.3">
      <c r="F84439" s="193"/>
    </row>
    <row r="84440" spans="6:6" x14ac:dyDescent="0.3">
      <c r="F84440" s="193"/>
    </row>
    <row r="84441" spans="6:6" x14ac:dyDescent="0.3">
      <c r="F84441" s="193"/>
    </row>
    <row r="84442" spans="6:6" x14ac:dyDescent="0.3">
      <c r="F84442" s="193"/>
    </row>
    <row r="84443" spans="6:6" x14ac:dyDescent="0.3">
      <c r="F84443" s="193"/>
    </row>
    <row r="84444" spans="6:6" x14ac:dyDescent="0.3">
      <c r="F84444" s="193"/>
    </row>
    <row r="84445" spans="6:6" x14ac:dyDescent="0.3">
      <c r="F84445" s="193"/>
    </row>
    <row r="84446" spans="6:6" x14ac:dyDescent="0.3">
      <c r="F84446" s="193"/>
    </row>
    <row r="84447" spans="6:6" x14ac:dyDescent="0.3">
      <c r="F84447" s="193"/>
    </row>
    <row r="84448" spans="6:6" x14ac:dyDescent="0.3">
      <c r="F84448" s="193"/>
    </row>
    <row r="84449" spans="6:6" x14ac:dyDescent="0.3">
      <c r="F84449" s="193"/>
    </row>
    <row r="84450" spans="6:6" x14ac:dyDescent="0.3">
      <c r="F84450" s="193"/>
    </row>
    <row r="84451" spans="6:6" x14ac:dyDescent="0.3">
      <c r="F84451" s="193"/>
    </row>
    <row r="84452" spans="6:6" x14ac:dyDescent="0.3">
      <c r="F84452" s="193"/>
    </row>
    <row r="84453" spans="6:6" x14ac:dyDescent="0.3">
      <c r="F84453" s="193"/>
    </row>
    <row r="84454" spans="6:6" x14ac:dyDescent="0.3">
      <c r="F84454" s="193"/>
    </row>
    <row r="84455" spans="6:6" x14ac:dyDescent="0.3">
      <c r="F84455" s="193"/>
    </row>
    <row r="84456" spans="6:6" x14ac:dyDescent="0.3">
      <c r="F84456" s="193"/>
    </row>
    <row r="84457" spans="6:6" x14ac:dyDescent="0.3">
      <c r="F84457" s="193"/>
    </row>
    <row r="84458" spans="6:6" x14ac:dyDescent="0.3">
      <c r="F84458" s="193"/>
    </row>
    <row r="84459" spans="6:6" x14ac:dyDescent="0.3">
      <c r="F84459" s="193"/>
    </row>
    <row r="84460" spans="6:6" x14ac:dyDescent="0.3">
      <c r="F84460" s="193"/>
    </row>
    <row r="84461" spans="6:6" x14ac:dyDescent="0.3">
      <c r="F84461" s="193"/>
    </row>
    <row r="84462" spans="6:6" x14ac:dyDescent="0.3">
      <c r="F84462" s="193"/>
    </row>
    <row r="84463" spans="6:6" x14ac:dyDescent="0.3">
      <c r="F84463" s="193"/>
    </row>
    <row r="84464" spans="6:6" x14ac:dyDescent="0.3">
      <c r="F84464" s="193"/>
    </row>
    <row r="84465" spans="6:6" x14ac:dyDescent="0.3">
      <c r="F84465" s="193"/>
    </row>
    <row r="84466" spans="6:6" x14ac:dyDescent="0.3">
      <c r="F84466" s="193"/>
    </row>
    <row r="84467" spans="6:6" x14ac:dyDescent="0.3">
      <c r="F84467" s="193"/>
    </row>
    <row r="84468" spans="6:6" x14ac:dyDescent="0.3">
      <c r="F84468" s="193"/>
    </row>
    <row r="84469" spans="6:6" x14ac:dyDescent="0.3">
      <c r="F84469" s="193"/>
    </row>
    <row r="84470" spans="6:6" x14ac:dyDescent="0.3">
      <c r="F84470" s="193"/>
    </row>
    <row r="84471" spans="6:6" x14ac:dyDescent="0.3">
      <c r="F84471" s="193"/>
    </row>
    <row r="84472" spans="6:6" x14ac:dyDescent="0.3">
      <c r="F84472" s="193"/>
    </row>
    <row r="84473" spans="6:6" x14ac:dyDescent="0.3">
      <c r="F84473" s="193"/>
    </row>
    <row r="84474" spans="6:6" x14ac:dyDescent="0.3">
      <c r="F84474" s="193"/>
    </row>
    <row r="84475" spans="6:6" x14ac:dyDescent="0.3">
      <c r="F84475" s="193"/>
    </row>
    <row r="84476" spans="6:6" x14ac:dyDescent="0.3">
      <c r="F84476" s="193"/>
    </row>
    <row r="84477" spans="6:6" x14ac:dyDescent="0.3">
      <c r="F84477" s="193"/>
    </row>
    <row r="84478" spans="6:6" x14ac:dyDescent="0.3">
      <c r="F84478" s="193"/>
    </row>
    <row r="84479" spans="6:6" x14ac:dyDescent="0.3">
      <c r="F84479" s="193"/>
    </row>
    <row r="84480" spans="6:6" x14ac:dyDescent="0.3">
      <c r="F84480" s="193"/>
    </row>
    <row r="84481" spans="6:6" x14ac:dyDescent="0.3">
      <c r="F84481" s="193"/>
    </row>
    <row r="84482" spans="6:6" x14ac:dyDescent="0.3">
      <c r="F84482" s="193"/>
    </row>
    <row r="84483" spans="6:6" x14ac:dyDescent="0.3">
      <c r="F84483" s="193"/>
    </row>
    <row r="84484" spans="6:6" x14ac:dyDescent="0.3">
      <c r="F84484" s="193"/>
    </row>
    <row r="84485" spans="6:6" x14ac:dyDescent="0.3">
      <c r="F84485" s="193"/>
    </row>
    <row r="84486" spans="6:6" x14ac:dyDescent="0.3">
      <c r="F84486" s="193"/>
    </row>
    <row r="84487" spans="6:6" x14ac:dyDescent="0.3">
      <c r="F84487" s="193"/>
    </row>
    <row r="84488" spans="6:6" x14ac:dyDescent="0.3">
      <c r="F84488" s="193"/>
    </row>
    <row r="84489" spans="6:6" x14ac:dyDescent="0.3">
      <c r="F84489" s="193"/>
    </row>
    <row r="84490" spans="6:6" x14ac:dyDescent="0.3">
      <c r="F84490" s="193"/>
    </row>
    <row r="84491" spans="6:6" x14ac:dyDescent="0.3">
      <c r="F84491" s="193"/>
    </row>
    <row r="84492" spans="6:6" x14ac:dyDescent="0.3">
      <c r="F84492" s="193"/>
    </row>
    <row r="84493" spans="6:6" x14ac:dyDescent="0.3">
      <c r="F84493" s="193"/>
    </row>
    <row r="84494" spans="6:6" x14ac:dyDescent="0.3">
      <c r="F84494" s="193"/>
    </row>
    <row r="84495" spans="6:6" x14ac:dyDescent="0.3">
      <c r="F84495" s="193"/>
    </row>
    <row r="84496" spans="6:6" x14ac:dyDescent="0.3">
      <c r="F84496" s="193"/>
    </row>
    <row r="84497" spans="6:6" x14ac:dyDescent="0.3">
      <c r="F84497" s="193"/>
    </row>
    <row r="84498" spans="6:6" x14ac:dyDescent="0.3">
      <c r="F84498" s="193"/>
    </row>
    <row r="84499" spans="6:6" x14ac:dyDescent="0.3">
      <c r="F84499" s="193"/>
    </row>
    <row r="84500" spans="6:6" x14ac:dyDescent="0.3">
      <c r="F84500" s="193"/>
    </row>
    <row r="84501" spans="6:6" x14ac:dyDescent="0.3">
      <c r="F84501" s="193"/>
    </row>
    <row r="84502" spans="6:6" x14ac:dyDescent="0.3">
      <c r="F84502" s="193"/>
    </row>
    <row r="84503" spans="6:6" x14ac:dyDescent="0.3">
      <c r="F84503" s="193"/>
    </row>
    <row r="84504" spans="6:6" x14ac:dyDescent="0.3">
      <c r="F84504" s="193"/>
    </row>
    <row r="84505" spans="6:6" x14ac:dyDescent="0.3">
      <c r="F84505" s="193"/>
    </row>
    <row r="84506" spans="6:6" x14ac:dyDescent="0.3">
      <c r="F84506" s="193"/>
    </row>
    <row r="84507" spans="6:6" x14ac:dyDescent="0.3">
      <c r="F84507" s="193"/>
    </row>
    <row r="84508" spans="6:6" x14ac:dyDescent="0.3">
      <c r="F84508" s="193"/>
    </row>
    <row r="84509" spans="6:6" x14ac:dyDescent="0.3">
      <c r="F84509" s="193"/>
    </row>
    <row r="84510" spans="6:6" x14ac:dyDescent="0.3">
      <c r="F84510" s="193"/>
    </row>
    <row r="84511" spans="6:6" x14ac:dyDescent="0.3">
      <c r="F84511" s="193"/>
    </row>
    <row r="84512" spans="6:6" x14ac:dyDescent="0.3">
      <c r="F84512" s="193"/>
    </row>
    <row r="84513" spans="6:6" x14ac:dyDescent="0.3">
      <c r="F84513" s="193"/>
    </row>
    <row r="84514" spans="6:6" x14ac:dyDescent="0.3">
      <c r="F84514" s="193"/>
    </row>
    <row r="84515" spans="6:6" x14ac:dyDescent="0.3">
      <c r="F84515" s="193"/>
    </row>
    <row r="84516" spans="6:6" x14ac:dyDescent="0.3">
      <c r="F84516" s="193"/>
    </row>
    <row r="84517" spans="6:6" x14ac:dyDescent="0.3">
      <c r="F84517" s="193"/>
    </row>
    <row r="84518" spans="6:6" x14ac:dyDescent="0.3">
      <c r="F84518" s="193"/>
    </row>
    <row r="84519" spans="6:6" x14ac:dyDescent="0.3">
      <c r="F84519" s="193"/>
    </row>
    <row r="84520" spans="6:6" x14ac:dyDescent="0.3">
      <c r="F84520" s="193"/>
    </row>
    <row r="84521" spans="6:6" x14ac:dyDescent="0.3">
      <c r="F84521" s="193"/>
    </row>
    <row r="84522" spans="6:6" x14ac:dyDescent="0.3">
      <c r="F84522" s="193"/>
    </row>
    <row r="84523" spans="6:6" x14ac:dyDescent="0.3">
      <c r="F84523" s="193"/>
    </row>
    <row r="84524" spans="6:6" x14ac:dyDescent="0.3">
      <c r="F84524" s="193"/>
    </row>
    <row r="84525" spans="6:6" x14ac:dyDescent="0.3">
      <c r="F84525" s="193"/>
    </row>
    <row r="84526" spans="6:6" x14ac:dyDescent="0.3">
      <c r="F84526" s="193"/>
    </row>
    <row r="84527" spans="6:6" x14ac:dyDescent="0.3">
      <c r="F84527" s="193"/>
    </row>
    <row r="84528" spans="6:6" x14ac:dyDescent="0.3">
      <c r="F84528" s="193"/>
    </row>
    <row r="84529" spans="6:6" x14ac:dyDescent="0.3">
      <c r="F84529" s="193"/>
    </row>
    <row r="84530" spans="6:6" x14ac:dyDescent="0.3">
      <c r="F84530" s="193"/>
    </row>
    <row r="84531" spans="6:6" x14ac:dyDescent="0.3">
      <c r="F84531" s="193"/>
    </row>
    <row r="84532" spans="6:6" x14ac:dyDescent="0.3">
      <c r="F84532" s="193"/>
    </row>
    <row r="84533" spans="6:6" x14ac:dyDescent="0.3">
      <c r="F84533" s="193"/>
    </row>
    <row r="84534" spans="6:6" x14ac:dyDescent="0.3">
      <c r="F84534" s="193"/>
    </row>
    <row r="84535" spans="6:6" x14ac:dyDescent="0.3">
      <c r="F84535" s="193"/>
    </row>
    <row r="84536" spans="6:6" x14ac:dyDescent="0.3">
      <c r="F84536" s="193"/>
    </row>
    <row r="84537" spans="6:6" x14ac:dyDescent="0.3">
      <c r="F84537" s="193"/>
    </row>
    <row r="84538" spans="6:6" x14ac:dyDescent="0.3">
      <c r="F84538" s="193"/>
    </row>
    <row r="84539" spans="6:6" x14ac:dyDescent="0.3">
      <c r="F84539" s="193"/>
    </row>
    <row r="84540" spans="6:6" x14ac:dyDescent="0.3">
      <c r="F84540" s="193"/>
    </row>
    <row r="84541" spans="6:6" x14ac:dyDescent="0.3">
      <c r="F84541" s="193"/>
    </row>
    <row r="84542" spans="6:6" x14ac:dyDescent="0.3">
      <c r="F84542" s="193"/>
    </row>
    <row r="84543" spans="6:6" x14ac:dyDescent="0.3">
      <c r="F84543" s="193"/>
    </row>
    <row r="84544" spans="6:6" x14ac:dyDescent="0.3">
      <c r="F84544" s="193"/>
    </row>
    <row r="84545" spans="6:6" x14ac:dyDescent="0.3">
      <c r="F84545" s="193"/>
    </row>
    <row r="84546" spans="6:6" x14ac:dyDescent="0.3">
      <c r="F84546" s="193"/>
    </row>
    <row r="84547" spans="6:6" x14ac:dyDescent="0.3">
      <c r="F84547" s="193"/>
    </row>
    <row r="84548" spans="6:6" x14ac:dyDescent="0.3">
      <c r="F84548" s="193"/>
    </row>
    <row r="84549" spans="6:6" x14ac:dyDescent="0.3">
      <c r="F84549" s="193"/>
    </row>
    <row r="84550" spans="6:6" x14ac:dyDescent="0.3">
      <c r="F84550" s="193"/>
    </row>
    <row r="84551" spans="6:6" x14ac:dyDescent="0.3">
      <c r="F84551" s="193"/>
    </row>
    <row r="84552" spans="6:6" x14ac:dyDescent="0.3">
      <c r="F84552" s="193"/>
    </row>
    <row r="84553" spans="6:6" x14ac:dyDescent="0.3">
      <c r="F84553" s="193"/>
    </row>
    <row r="84554" spans="6:6" x14ac:dyDescent="0.3">
      <c r="F84554" s="193"/>
    </row>
    <row r="84555" spans="6:6" x14ac:dyDescent="0.3">
      <c r="F84555" s="193"/>
    </row>
    <row r="84556" spans="6:6" x14ac:dyDescent="0.3">
      <c r="F84556" s="193"/>
    </row>
    <row r="84557" spans="6:6" x14ac:dyDescent="0.3">
      <c r="F84557" s="193"/>
    </row>
    <row r="84558" spans="6:6" x14ac:dyDescent="0.3">
      <c r="F84558" s="193"/>
    </row>
    <row r="84559" spans="6:6" x14ac:dyDescent="0.3">
      <c r="F84559" s="193"/>
    </row>
    <row r="84560" spans="6:6" x14ac:dyDescent="0.3">
      <c r="F84560" s="193"/>
    </row>
    <row r="84561" spans="6:6" x14ac:dyDescent="0.3">
      <c r="F84561" s="193"/>
    </row>
    <row r="84562" spans="6:6" x14ac:dyDescent="0.3">
      <c r="F84562" s="193"/>
    </row>
    <row r="84563" spans="6:6" x14ac:dyDescent="0.3">
      <c r="F84563" s="193"/>
    </row>
    <row r="84564" spans="6:6" x14ac:dyDescent="0.3">
      <c r="F84564" s="193"/>
    </row>
    <row r="84565" spans="6:6" x14ac:dyDescent="0.3">
      <c r="F84565" s="193"/>
    </row>
    <row r="84566" spans="6:6" x14ac:dyDescent="0.3">
      <c r="F84566" s="193"/>
    </row>
    <row r="84567" spans="6:6" x14ac:dyDescent="0.3">
      <c r="F84567" s="193"/>
    </row>
    <row r="84568" spans="6:6" x14ac:dyDescent="0.3">
      <c r="F84568" s="193"/>
    </row>
    <row r="84569" spans="6:6" x14ac:dyDescent="0.3">
      <c r="F84569" s="193"/>
    </row>
    <row r="84570" spans="6:6" x14ac:dyDescent="0.3">
      <c r="F84570" s="193"/>
    </row>
    <row r="84571" spans="6:6" x14ac:dyDescent="0.3">
      <c r="F84571" s="193"/>
    </row>
    <row r="84572" spans="6:6" x14ac:dyDescent="0.3">
      <c r="F84572" s="193"/>
    </row>
    <row r="84573" spans="6:6" x14ac:dyDescent="0.3">
      <c r="F84573" s="193"/>
    </row>
    <row r="84574" spans="6:6" x14ac:dyDescent="0.3">
      <c r="F84574" s="193"/>
    </row>
    <row r="84575" spans="6:6" x14ac:dyDescent="0.3">
      <c r="F84575" s="193"/>
    </row>
    <row r="84576" spans="6:6" x14ac:dyDescent="0.3">
      <c r="F84576" s="193"/>
    </row>
    <row r="84577" spans="6:6" x14ac:dyDescent="0.3">
      <c r="F84577" s="193"/>
    </row>
    <row r="84578" spans="6:6" x14ac:dyDescent="0.3">
      <c r="F84578" s="193"/>
    </row>
    <row r="84579" spans="6:6" x14ac:dyDescent="0.3">
      <c r="F84579" s="193"/>
    </row>
    <row r="84580" spans="6:6" x14ac:dyDescent="0.3">
      <c r="F84580" s="193"/>
    </row>
    <row r="84581" spans="6:6" x14ac:dyDescent="0.3">
      <c r="F84581" s="193"/>
    </row>
    <row r="84582" spans="6:6" x14ac:dyDescent="0.3">
      <c r="F84582" s="193"/>
    </row>
    <row r="84583" spans="6:6" x14ac:dyDescent="0.3">
      <c r="F84583" s="193"/>
    </row>
    <row r="84584" spans="6:6" x14ac:dyDescent="0.3">
      <c r="F84584" s="193"/>
    </row>
    <row r="84585" spans="6:6" x14ac:dyDescent="0.3">
      <c r="F84585" s="193"/>
    </row>
    <row r="84586" spans="6:6" x14ac:dyDescent="0.3">
      <c r="F84586" s="193"/>
    </row>
    <row r="84587" spans="6:6" x14ac:dyDescent="0.3">
      <c r="F84587" s="193"/>
    </row>
    <row r="84588" spans="6:6" x14ac:dyDescent="0.3">
      <c r="F84588" s="193"/>
    </row>
    <row r="84589" spans="6:6" x14ac:dyDescent="0.3">
      <c r="F84589" s="193"/>
    </row>
    <row r="84590" spans="6:6" x14ac:dyDescent="0.3">
      <c r="F84590" s="193"/>
    </row>
    <row r="84591" spans="6:6" x14ac:dyDescent="0.3">
      <c r="F84591" s="193"/>
    </row>
    <row r="84592" spans="6:6" x14ac:dyDescent="0.3">
      <c r="F84592" s="193"/>
    </row>
    <row r="84593" spans="6:6" x14ac:dyDescent="0.3">
      <c r="F84593" s="193"/>
    </row>
    <row r="84594" spans="6:6" x14ac:dyDescent="0.3">
      <c r="F84594" s="193"/>
    </row>
    <row r="84595" spans="6:6" x14ac:dyDescent="0.3">
      <c r="F84595" s="193"/>
    </row>
    <row r="84596" spans="6:6" x14ac:dyDescent="0.3">
      <c r="F84596" s="193"/>
    </row>
    <row r="84597" spans="6:6" x14ac:dyDescent="0.3">
      <c r="F84597" s="193"/>
    </row>
    <row r="84598" spans="6:6" x14ac:dyDescent="0.3">
      <c r="F84598" s="193"/>
    </row>
    <row r="84599" spans="6:6" x14ac:dyDescent="0.3">
      <c r="F84599" s="193"/>
    </row>
    <row r="84600" spans="6:6" x14ac:dyDescent="0.3">
      <c r="F84600" s="193"/>
    </row>
    <row r="84601" spans="6:6" x14ac:dyDescent="0.3">
      <c r="F84601" s="193"/>
    </row>
    <row r="84602" spans="6:6" x14ac:dyDescent="0.3">
      <c r="F84602" s="193"/>
    </row>
    <row r="84603" spans="6:6" x14ac:dyDescent="0.3">
      <c r="F84603" s="193"/>
    </row>
    <row r="84604" spans="6:6" x14ac:dyDescent="0.3">
      <c r="F84604" s="193"/>
    </row>
    <row r="84605" spans="6:6" x14ac:dyDescent="0.3">
      <c r="F84605" s="193"/>
    </row>
    <row r="84606" spans="6:6" x14ac:dyDescent="0.3">
      <c r="F84606" s="193"/>
    </row>
    <row r="84607" spans="6:6" x14ac:dyDescent="0.3">
      <c r="F84607" s="193"/>
    </row>
    <row r="84608" spans="6:6" x14ac:dyDescent="0.3">
      <c r="F84608" s="193"/>
    </row>
    <row r="84609" spans="6:6" x14ac:dyDescent="0.3">
      <c r="F84609" s="193"/>
    </row>
    <row r="84610" spans="6:6" x14ac:dyDescent="0.3">
      <c r="F84610" s="193"/>
    </row>
    <row r="84611" spans="6:6" x14ac:dyDescent="0.3">
      <c r="F84611" s="193"/>
    </row>
    <row r="84612" spans="6:6" x14ac:dyDescent="0.3">
      <c r="F84612" s="193"/>
    </row>
    <row r="84613" spans="6:6" x14ac:dyDescent="0.3">
      <c r="F84613" s="193"/>
    </row>
    <row r="84614" spans="6:6" x14ac:dyDescent="0.3">
      <c r="F84614" s="193"/>
    </row>
    <row r="84615" spans="6:6" x14ac:dyDescent="0.3">
      <c r="F84615" s="193"/>
    </row>
    <row r="84616" spans="6:6" x14ac:dyDescent="0.3">
      <c r="F84616" s="193"/>
    </row>
    <row r="84617" spans="6:6" x14ac:dyDescent="0.3">
      <c r="F84617" s="193"/>
    </row>
    <row r="84618" spans="6:6" x14ac:dyDescent="0.3">
      <c r="F84618" s="193"/>
    </row>
    <row r="84619" spans="6:6" x14ac:dyDescent="0.3">
      <c r="F84619" s="193"/>
    </row>
    <row r="84620" spans="6:6" x14ac:dyDescent="0.3">
      <c r="F84620" s="193"/>
    </row>
    <row r="84621" spans="6:6" x14ac:dyDescent="0.3">
      <c r="F84621" s="193"/>
    </row>
    <row r="84622" spans="6:6" x14ac:dyDescent="0.3">
      <c r="F84622" s="193"/>
    </row>
    <row r="84623" spans="6:6" x14ac:dyDescent="0.3">
      <c r="F84623" s="193"/>
    </row>
    <row r="84624" spans="6:6" x14ac:dyDescent="0.3">
      <c r="F84624" s="193"/>
    </row>
    <row r="84625" spans="6:6" x14ac:dyDescent="0.3">
      <c r="F84625" s="193"/>
    </row>
    <row r="84626" spans="6:6" x14ac:dyDescent="0.3">
      <c r="F84626" s="193"/>
    </row>
    <row r="84627" spans="6:6" x14ac:dyDescent="0.3">
      <c r="F84627" s="193"/>
    </row>
    <row r="84628" spans="6:6" x14ac:dyDescent="0.3">
      <c r="F84628" s="193"/>
    </row>
    <row r="84629" spans="6:6" x14ac:dyDescent="0.3">
      <c r="F84629" s="193"/>
    </row>
    <row r="84630" spans="6:6" x14ac:dyDescent="0.3">
      <c r="F84630" s="193"/>
    </row>
    <row r="84631" spans="6:6" x14ac:dyDescent="0.3">
      <c r="F84631" s="193"/>
    </row>
    <row r="84632" spans="6:6" x14ac:dyDescent="0.3">
      <c r="F84632" s="193"/>
    </row>
    <row r="84633" spans="6:6" x14ac:dyDescent="0.3">
      <c r="F84633" s="193"/>
    </row>
    <row r="84634" spans="6:6" x14ac:dyDescent="0.3">
      <c r="F84634" s="193"/>
    </row>
    <row r="84635" spans="6:6" x14ac:dyDescent="0.3">
      <c r="F84635" s="193"/>
    </row>
    <row r="84636" spans="6:6" x14ac:dyDescent="0.3">
      <c r="F84636" s="193"/>
    </row>
    <row r="84637" spans="6:6" x14ac:dyDescent="0.3">
      <c r="F84637" s="193"/>
    </row>
    <row r="84638" spans="6:6" x14ac:dyDescent="0.3">
      <c r="F84638" s="193"/>
    </row>
    <row r="84639" spans="6:6" x14ac:dyDescent="0.3">
      <c r="F84639" s="193"/>
    </row>
    <row r="84640" spans="6:6" x14ac:dyDescent="0.3">
      <c r="F84640" s="193"/>
    </row>
    <row r="84641" spans="6:6" x14ac:dyDescent="0.3">
      <c r="F84641" s="193"/>
    </row>
    <row r="84642" spans="6:6" x14ac:dyDescent="0.3">
      <c r="F84642" s="193"/>
    </row>
    <row r="84643" spans="6:6" x14ac:dyDescent="0.3">
      <c r="F84643" s="193"/>
    </row>
    <row r="84644" spans="6:6" x14ac:dyDescent="0.3">
      <c r="F84644" s="193"/>
    </row>
    <row r="84645" spans="6:6" x14ac:dyDescent="0.3">
      <c r="F84645" s="193"/>
    </row>
    <row r="84646" spans="6:6" x14ac:dyDescent="0.3">
      <c r="F84646" s="193"/>
    </row>
    <row r="84647" spans="6:6" x14ac:dyDescent="0.3">
      <c r="F84647" s="193"/>
    </row>
    <row r="84648" spans="6:6" x14ac:dyDescent="0.3">
      <c r="F84648" s="193"/>
    </row>
    <row r="84649" spans="6:6" x14ac:dyDescent="0.3">
      <c r="F84649" s="193"/>
    </row>
    <row r="84650" spans="6:6" x14ac:dyDescent="0.3">
      <c r="F84650" s="193"/>
    </row>
    <row r="84651" spans="6:6" x14ac:dyDescent="0.3">
      <c r="F84651" s="193"/>
    </row>
    <row r="84652" spans="6:6" x14ac:dyDescent="0.3">
      <c r="F84652" s="193"/>
    </row>
    <row r="84653" spans="6:6" x14ac:dyDescent="0.3">
      <c r="F84653" s="193"/>
    </row>
    <row r="84654" spans="6:6" x14ac:dyDescent="0.3">
      <c r="F84654" s="193"/>
    </row>
    <row r="84655" spans="6:6" x14ac:dyDescent="0.3">
      <c r="F84655" s="193"/>
    </row>
    <row r="84656" spans="6:6" x14ac:dyDescent="0.3">
      <c r="F84656" s="193"/>
    </row>
    <row r="84657" spans="6:6" x14ac:dyDescent="0.3">
      <c r="F84657" s="193"/>
    </row>
    <row r="84658" spans="6:6" x14ac:dyDescent="0.3">
      <c r="F84658" s="193"/>
    </row>
    <row r="84659" spans="6:6" x14ac:dyDescent="0.3">
      <c r="F84659" s="193"/>
    </row>
    <row r="84660" spans="6:6" x14ac:dyDescent="0.3">
      <c r="F84660" s="193"/>
    </row>
    <row r="84661" spans="6:6" x14ac:dyDescent="0.3">
      <c r="F84661" s="193"/>
    </row>
    <row r="84662" spans="6:6" x14ac:dyDescent="0.3">
      <c r="F84662" s="193"/>
    </row>
    <row r="84663" spans="6:6" x14ac:dyDescent="0.3">
      <c r="F84663" s="193"/>
    </row>
    <row r="84664" spans="6:6" x14ac:dyDescent="0.3">
      <c r="F84664" s="193"/>
    </row>
    <row r="84665" spans="6:6" x14ac:dyDescent="0.3">
      <c r="F84665" s="193"/>
    </row>
    <row r="84666" spans="6:6" x14ac:dyDescent="0.3">
      <c r="F84666" s="193"/>
    </row>
    <row r="84667" spans="6:6" x14ac:dyDescent="0.3">
      <c r="F84667" s="193"/>
    </row>
    <row r="84668" spans="6:6" x14ac:dyDescent="0.3">
      <c r="F84668" s="193"/>
    </row>
    <row r="84669" spans="6:6" x14ac:dyDescent="0.3">
      <c r="F84669" s="193"/>
    </row>
    <row r="84670" spans="6:6" x14ac:dyDescent="0.3">
      <c r="F84670" s="193"/>
    </row>
    <row r="84671" spans="6:6" x14ac:dyDescent="0.3">
      <c r="F84671" s="193"/>
    </row>
    <row r="84672" spans="6:6" x14ac:dyDescent="0.3">
      <c r="F84672" s="193"/>
    </row>
    <row r="84673" spans="6:6" x14ac:dyDescent="0.3">
      <c r="F84673" s="193"/>
    </row>
    <row r="84674" spans="6:6" x14ac:dyDescent="0.3">
      <c r="F84674" s="193"/>
    </row>
    <row r="84675" spans="6:6" x14ac:dyDescent="0.3">
      <c r="F84675" s="193"/>
    </row>
    <row r="84676" spans="6:6" x14ac:dyDescent="0.3">
      <c r="F84676" s="193"/>
    </row>
    <row r="84677" spans="6:6" x14ac:dyDescent="0.3">
      <c r="F84677" s="193"/>
    </row>
    <row r="84678" spans="6:6" x14ac:dyDescent="0.3">
      <c r="F84678" s="193"/>
    </row>
    <row r="84679" spans="6:6" x14ac:dyDescent="0.3">
      <c r="F84679" s="193"/>
    </row>
    <row r="84680" spans="6:6" x14ac:dyDescent="0.3">
      <c r="F84680" s="193"/>
    </row>
    <row r="84681" spans="6:6" x14ac:dyDescent="0.3">
      <c r="F84681" s="193"/>
    </row>
    <row r="84682" spans="6:6" x14ac:dyDescent="0.3">
      <c r="F84682" s="193"/>
    </row>
    <row r="84683" spans="6:6" x14ac:dyDescent="0.3">
      <c r="F84683" s="193"/>
    </row>
    <row r="84684" spans="6:6" x14ac:dyDescent="0.3">
      <c r="F84684" s="193"/>
    </row>
    <row r="84685" spans="6:6" x14ac:dyDescent="0.3">
      <c r="F84685" s="193"/>
    </row>
    <row r="84686" spans="6:6" x14ac:dyDescent="0.3">
      <c r="F84686" s="193"/>
    </row>
    <row r="84687" spans="6:6" x14ac:dyDescent="0.3">
      <c r="F84687" s="193"/>
    </row>
    <row r="84688" spans="6:6" x14ac:dyDescent="0.3">
      <c r="F84688" s="193"/>
    </row>
    <row r="84689" spans="6:6" x14ac:dyDescent="0.3">
      <c r="F84689" s="193"/>
    </row>
    <row r="84690" spans="6:6" x14ac:dyDescent="0.3">
      <c r="F84690" s="193"/>
    </row>
    <row r="84691" spans="6:6" x14ac:dyDescent="0.3">
      <c r="F84691" s="193"/>
    </row>
    <row r="84692" spans="6:6" x14ac:dyDescent="0.3">
      <c r="F84692" s="193"/>
    </row>
    <row r="84693" spans="6:6" x14ac:dyDescent="0.3">
      <c r="F84693" s="193"/>
    </row>
    <row r="84694" spans="6:6" x14ac:dyDescent="0.3">
      <c r="F84694" s="193"/>
    </row>
    <row r="84695" spans="6:6" x14ac:dyDescent="0.3">
      <c r="F84695" s="193"/>
    </row>
    <row r="84696" spans="6:6" x14ac:dyDescent="0.3">
      <c r="F84696" s="193"/>
    </row>
    <row r="84697" spans="6:6" x14ac:dyDescent="0.3">
      <c r="F84697" s="193"/>
    </row>
    <row r="84698" spans="6:6" x14ac:dyDescent="0.3">
      <c r="F84698" s="193"/>
    </row>
    <row r="84699" spans="6:6" x14ac:dyDescent="0.3">
      <c r="F84699" s="193"/>
    </row>
    <row r="84700" spans="6:6" x14ac:dyDescent="0.3">
      <c r="F84700" s="193"/>
    </row>
    <row r="84701" spans="6:6" x14ac:dyDescent="0.3">
      <c r="F84701" s="193"/>
    </row>
    <row r="84702" spans="6:6" x14ac:dyDescent="0.3">
      <c r="F84702" s="193"/>
    </row>
    <row r="84703" spans="6:6" x14ac:dyDescent="0.3">
      <c r="F84703" s="193"/>
    </row>
    <row r="84704" spans="6:6" x14ac:dyDescent="0.3">
      <c r="F84704" s="193"/>
    </row>
    <row r="84705" spans="6:6" x14ac:dyDescent="0.3">
      <c r="F84705" s="193"/>
    </row>
    <row r="84706" spans="6:6" x14ac:dyDescent="0.3">
      <c r="F84706" s="193"/>
    </row>
    <row r="84707" spans="6:6" x14ac:dyDescent="0.3">
      <c r="F84707" s="193"/>
    </row>
    <row r="84708" spans="6:6" x14ac:dyDescent="0.3">
      <c r="F84708" s="193"/>
    </row>
    <row r="84709" spans="6:6" x14ac:dyDescent="0.3">
      <c r="F84709" s="193"/>
    </row>
    <row r="84710" spans="6:6" x14ac:dyDescent="0.3">
      <c r="F84710" s="193"/>
    </row>
    <row r="84711" spans="6:6" x14ac:dyDescent="0.3">
      <c r="F84711" s="193"/>
    </row>
    <row r="84712" spans="6:6" x14ac:dyDescent="0.3">
      <c r="F84712" s="193"/>
    </row>
    <row r="84713" spans="6:6" x14ac:dyDescent="0.3">
      <c r="F84713" s="193"/>
    </row>
    <row r="84714" spans="6:6" x14ac:dyDescent="0.3">
      <c r="F84714" s="193"/>
    </row>
    <row r="84715" spans="6:6" x14ac:dyDescent="0.3">
      <c r="F84715" s="193"/>
    </row>
    <row r="84716" spans="6:6" x14ac:dyDescent="0.3">
      <c r="F84716" s="193"/>
    </row>
    <row r="84717" spans="6:6" x14ac:dyDescent="0.3">
      <c r="F84717" s="193"/>
    </row>
    <row r="84718" spans="6:6" x14ac:dyDescent="0.3">
      <c r="F84718" s="193"/>
    </row>
    <row r="84719" spans="6:6" x14ac:dyDescent="0.3">
      <c r="F84719" s="193"/>
    </row>
    <row r="84720" spans="6:6" x14ac:dyDescent="0.3">
      <c r="F84720" s="193"/>
    </row>
    <row r="84721" spans="6:6" x14ac:dyDescent="0.3">
      <c r="F84721" s="193"/>
    </row>
    <row r="84722" spans="6:6" x14ac:dyDescent="0.3">
      <c r="F84722" s="193"/>
    </row>
    <row r="84723" spans="6:6" x14ac:dyDescent="0.3">
      <c r="F84723" s="193"/>
    </row>
    <row r="84724" spans="6:6" x14ac:dyDescent="0.3">
      <c r="F84724" s="193"/>
    </row>
    <row r="84725" spans="6:6" x14ac:dyDescent="0.3">
      <c r="F84725" s="193"/>
    </row>
    <row r="84726" spans="6:6" x14ac:dyDescent="0.3">
      <c r="F84726" s="193"/>
    </row>
    <row r="84727" spans="6:6" x14ac:dyDescent="0.3">
      <c r="F84727" s="193"/>
    </row>
    <row r="84728" spans="6:6" x14ac:dyDescent="0.3">
      <c r="F84728" s="193"/>
    </row>
    <row r="84729" spans="6:6" x14ac:dyDescent="0.3">
      <c r="F84729" s="193"/>
    </row>
    <row r="84730" spans="6:6" x14ac:dyDescent="0.3">
      <c r="F84730" s="193"/>
    </row>
    <row r="84731" spans="6:6" x14ac:dyDescent="0.3">
      <c r="F84731" s="193"/>
    </row>
    <row r="84732" spans="6:6" x14ac:dyDescent="0.3">
      <c r="F84732" s="193"/>
    </row>
    <row r="84733" spans="6:6" x14ac:dyDescent="0.3">
      <c r="F84733" s="193"/>
    </row>
    <row r="84734" spans="6:6" x14ac:dyDescent="0.3">
      <c r="F84734" s="193"/>
    </row>
    <row r="84735" spans="6:6" x14ac:dyDescent="0.3">
      <c r="F84735" s="193"/>
    </row>
    <row r="84736" spans="6:6" x14ac:dyDescent="0.3">
      <c r="F84736" s="193"/>
    </row>
    <row r="84737" spans="6:6" x14ac:dyDescent="0.3">
      <c r="F84737" s="193"/>
    </row>
    <row r="84738" spans="6:6" x14ac:dyDescent="0.3">
      <c r="F84738" s="193"/>
    </row>
    <row r="84739" spans="6:6" x14ac:dyDescent="0.3">
      <c r="F84739" s="193"/>
    </row>
    <row r="84740" spans="6:6" x14ac:dyDescent="0.3">
      <c r="F84740" s="193"/>
    </row>
    <row r="84741" spans="6:6" x14ac:dyDescent="0.3">
      <c r="F84741" s="193"/>
    </row>
    <row r="84742" spans="6:6" x14ac:dyDescent="0.3">
      <c r="F84742" s="193"/>
    </row>
    <row r="84743" spans="6:6" x14ac:dyDescent="0.3">
      <c r="F84743" s="193"/>
    </row>
    <row r="84744" spans="6:6" x14ac:dyDescent="0.3">
      <c r="F84744" s="193"/>
    </row>
    <row r="84745" spans="6:6" x14ac:dyDescent="0.3">
      <c r="F84745" s="193"/>
    </row>
    <row r="84746" spans="6:6" x14ac:dyDescent="0.3">
      <c r="F84746" s="193"/>
    </row>
    <row r="84747" spans="6:6" x14ac:dyDescent="0.3">
      <c r="F84747" s="193"/>
    </row>
    <row r="84748" spans="6:6" x14ac:dyDescent="0.3">
      <c r="F84748" s="193"/>
    </row>
    <row r="84749" spans="6:6" x14ac:dyDescent="0.3">
      <c r="F84749" s="193"/>
    </row>
    <row r="84750" spans="6:6" x14ac:dyDescent="0.3">
      <c r="F84750" s="193"/>
    </row>
    <row r="84751" spans="6:6" x14ac:dyDescent="0.3">
      <c r="F84751" s="193"/>
    </row>
    <row r="84752" spans="6:6" x14ac:dyDescent="0.3">
      <c r="F84752" s="193"/>
    </row>
    <row r="84753" spans="6:6" x14ac:dyDescent="0.3">
      <c r="F84753" s="193"/>
    </row>
    <row r="84754" spans="6:6" x14ac:dyDescent="0.3">
      <c r="F84754" s="193"/>
    </row>
    <row r="84755" spans="6:6" x14ac:dyDescent="0.3">
      <c r="F84755" s="193"/>
    </row>
    <row r="84756" spans="6:6" x14ac:dyDescent="0.3">
      <c r="F84756" s="193"/>
    </row>
    <row r="84757" spans="6:6" x14ac:dyDescent="0.3">
      <c r="F84757" s="193"/>
    </row>
    <row r="84758" spans="6:6" x14ac:dyDescent="0.3">
      <c r="F84758" s="193"/>
    </row>
    <row r="84759" spans="6:6" x14ac:dyDescent="0.3">
      <c r="F84759" s="193"/>
    </row>
    <row r="84760" spans="6:6" x14ac:dyDescent="0.3">
      <c r="F84760" s="193"/>
    </row>
    <row r="84761" spans="6:6" x14ac:dyDescent="0.3">
      <c r="F84761" s="193"/>
    </row>
    <row r="84762" spans="6:6" x14ac:dyDescent="0.3">
      <c r="F84762" s="193"/>
    </row>
    <row r="84763" spans="6:6" x14ac:dyDescent="0.3">
      <c r="F84763" s="193"/>
    </row>
    <row r="84764" spans="6:6" x14ac:dyDescent="0.3">
      <c r="F84764" s="193"/>
    </row>
    <row r="84765" spans="6:6" x14ac:dyDescent="0.3">
      <c r="F84765" s="193"/>
    </row>
    <row r="84766" spans="6:6" x14ac:dyDescent="0.3">
      <c r="F84766" s="193"/>
    </row>
    <row r="84767" spans="6:6" x14ac:dyDescent="0.3">
      <c r="F84767" s="193"/>
    </row>
    <row r="84768" spans="6:6" x14ac:dyDescent="0.3">
      <c r="F84768" s="193"/>
    </row>
    <row r="84769" spans="6:6" x14ac:dyDescent="0.3">
      <c r="F84769" s="193"/>
    </row>
    <row r="84770" spans="6:6" x14ac:dyDescent="0.3">
      <c r="F84770" s="193"/>
    </row>
    <row r="84771" spans="6:6" x14ac:dyDescent="0.3">
      <c r="F84771" s="193"/>
    </row>
    <row r="84772" spans="6:6" x14ac:dyDescent="0.3">
      <c r="F84772" s="193"/>
    </row>
    <row r="84773" spans="6:6" x14ac:dyDescent="0.3">
      <c r="F84773" s="193"/>
    </row>
    <row r="84774" spans="6:6" x14ac:dyDescent="0.3">
      <c r="F84774" s="193"/>
    </row>
    <row r="84775" spans="6:6" x14ac:dyDescent="0.3">
      <c r="F84775" s="193"/>
    </row>
    <row r="84776" spans="6:6" x14ac:dyDescent="0.3">
      <c r="F84776" s="193"/>
    </row>
    <row r="84777" spans="6:6" x14ac:dyDescent="0.3">
      <c r="F84777" s="193"/>
    </row>
    <row r="84778" spans="6:6" x14ac:dyDescent="0.3">
      <c r="F84778" s="193"/>
    </row>
    <row r="84779" spans="6:6" x14ac:dyDescent="0.3">
      <c r="F84779" s="193"/>
    </row>
    <row r="84780" spans="6:6" x14ac:dyDescent="0.3">
      <c r="F84780" s="193"/>
    </row>
    <row r="84781" spans="6:6" x14ac:dyDescent="0.3">
      <c r="F84781" s="193"/>
    </row>
    <row r="84782" spans="6:6" x14ac:dyDescent="0.3">
      <c r="F84782" s="193"/>
    </row>
    <row r="84783" spans="6:6" x14ac:dyDescent="0.3">
      <c r="F84783" s="193"/>
    </row>
    <row r="84784" spans="6:6" x14ac:dyDescent="0.3">
      <c r="F84784" s="193"/>
    </row>
    <row r="84785" spans="6:6" x14ac:dyDescent="0.3">
      <c r="F84785" s="193"/>
    </row>
    <row r="84786" spans="6:6" x14ac:dyDescent="0.3">
      <c r="F84786" s="193"/>
    </row>
    <row r="84787" spans="6:6" x14ac:dyDescent="0.3">
      <c r="F84787" s="193"/>
    </row>
    <row r="84788" spans="6:6" x14ac:dyDescent="0.3">
      <c r="F84788" s="193"/>
    </row>
    <row r="84789" spans="6:6" x14ac:dyDescent="0.3">
      <c r="F84789" s="193"/>
    </row>
    <row r="84790" spans="6:6" x14ac:dyDescent="0.3">
      <c r="F84790" s="193"/>
    </row>
    <row r="84791" spans="6:6" x14ac:dyDescent="0.3">
      <c r="F84791" s="193"/>
    </row>
    <row r="84792" spans="6:6" x14ac:dyDescent="0.3">
      <c r="F84792" s="193"/>
    </row>
    <row r="84793" spans="6:6" x14ac:dyDescent="0.3">
      <c r="F84793" s="193"/>
    </row>
    <row r="84794" spans="6:6" x14ac:dyDescent="0.3">
      <c r="F84794" s="193"/>
    </row>
    <row r="84795" spans="6:6" x14ac:dyDescent="0.3">
      <c r="F84795" s="193"/>
    </row>
    <row r="84796" spans="6:6" x14ac:dyDescent="0.3">
      <c r="F84796" s="193"/>
    </row>
    <row r="84797" spans="6:6" x14ac:dyDescent="0.3">
      <c r="F84797" s="193"/>
    </row>
    <row r="84798" spans="6:6" x14ac:dyDescent="0.3">
      <c r="F84798" s="193"/>
    </row>
    <row r="84799" spans="6:6" x14ac:dyDescent="0.3">
      <c r="F84799" s="193"/>
    </row>
    <row r="84800" spans="6:6" x14ac:dyDescent="0.3">
      <c r="F84800" s="193"/>
    </row>
    <row r="84801" spans="6:6" x14ac:dyDescent="0.3">
      <c r="F84801" s="193"/>
    </row>
    <row r="84802" spans="6:6" x14ac:dyDescent="0.3">
      <c r="F84802" s="193"/>
    </row>
    <row r="84803" spans="6:6" x14ac:dyDescent="0.3">
      <c r="F84803" s="193"/>
    </row>
    <row r="84804" spans="6:6" x14ac:dyDescent="0.3">
      <c r="F84804" s="193"/>
    </row>
    <row r="84805" spans="6:6" x14ac:dyDescent="0.3">
      <c r="F84805" s="193"/>
    </row>
    <row r="84806" spans="6:6" x14ac:dyDescent="0.3">
      <c r="F84806" s="193"/>
    </row>
    <row r="84807" spans="6:6" x14ac:dyDescent="0.3">
      <c r="F84807" s="193"/>
    </row>
    <row r="84808" spans="6:6" x14ac:dyDescent="0.3">
      <c r="F84808" s="193"/>
    </row>
    <row r="84809" spans="6:6" x14ac:dyDescent="0.3">
      <c r="F84809" s="193"/>
    </row>
    <row r="84810" spans="6:6" x14ac:dyDescent="0.3">
      <c r="F84810" s="193"/>
    </row>
    <row r="84811" spans="6:6" x14ac:dyDescent="0.3">
      <c r="F84811" s="193"/>
    </row>
    <row r="84812" spans="6:6" x14ac:dyDescent="0.3">
      <c r="F84812" s="193"/>
    </row>
    <row r="84813" spans="6:6" x14ac:dyDescent="0.3">
      <c r="F84813" s="193"/>
    </row>
    <row r="84814" spans="6:6" x14ac:dyDescent="0.3">
      <c r="F84814" s="193"/>
    </row>
    <row r="84815" spans="6:6" x14ac:dyDescent="0.3">
      <c r="F84815" s="193"/>
    </row>
    <row r="84816" spans="6:6" x14ac:dyDescent="0.3">
      <c r="F84816" s="193"/>
    </row>
    <row r="84817" spans="6:6" x14ac:dyDescent="0.3">
      <c r="F84817" s="193"/>
    </row>
    <row r="84818" spans="6:6" x14ac:dyDescent="0.3">
      <c r="F84818" s="193"/>
    </row>
    <row r="84819" spans="6:6" x14ac:dyDescent="0.3">
      <c r="F84819" s="193"/>
    </row>
    <row r="84820" spans="6:6" x14ac:dyDescent="0.3">
      <c r="F84820" s="193"/>
    </row>
    <row r="84821" spans="6:6" x14ac:dyDescent="0.3">
      <c r="F84821" s="193"/>
    </row>
    <row r="84822" spans="6:6" x14ac:dyDescent="0.3">
      <c r="F84822" s="193"/>
    </row>
    <row r="84823" spans="6:6" x14ac:dyDescent="0.3">
      <c r="F84823" s="193"/>
    </row>
    <row r="84824" spans="6:6" x14ac:dyDescent="0.3">
      <c r="F84824" s="193"/>
    </row>
    <row r="84825" spans="6:6" x14ac:dyDescent="0.3">
      <c r="F84825" s="193"/>
    </row>
    <row r="84826" spans="6:6" x14ac:dyDescent="0.3">
      <c r="F84826" s="193"/>
    </row>
    <row r="84827" spans="6:6" x14ac:dyDescent="0.3">
      <c r="F84827" s="193"/>
    </row>
    <row r="84828" spans="6:6" x14ac:dyDescent="0.3">
      <c r="F84828" s="193"/>
    </row>
    <row r="84829" spans="6:6" x14ac:dyDescent="0.3">
      <c r="F84829" s="193"/>
    </row>
    <row r="84830" spans="6:6" x14ac:dyDescent="0.3">
      <c r="F84830" s="193"/>
    </row>
    <row r="84831" spans="6:6" x14ac:dyDescent="0.3">
      <c r="F84831" s="193"/>
    </row>
    <row r="84832" spans="6:6" x14ac:dyDescent="0.3">
      <c r="F84832" s="193"/>
    </row>
    <row r="84833" spans="6:6" x14ac:dyDescent="0.3">
      <c r="F84833" s="193"/>
    </row>
    <row r="84834" spans="6:6" x14ac:dyDescent="0.3">
      <c r="F84834" s="193"/>
    </row>
    <row r="84835" spans="6:6" x14ac:dyDescent="0.3">
      <c r="F84835" s="193"/>
    </row>
    <row r="84836" spans="6:6" x14ac:dyDescent="0.3">
      <c r="F84836" s="193"/>
    </row>
    <row r="84837" spans="6:6" x14ac:dyDescent="0.3">
      <c r="F84837" s="193"/>
    </row>
    <row r="84838" spans="6:6" x14ac:dyDescent="0.3">
      <c r="F84838" s="193"/>
    </row>
    <row r="84839" spans="6:6" x14ac:dyDescent="0.3">
      <c r="F84839" s="193"/>
    </row>
    <row r="84840" spans="6:6" x14ac:dyDescent="0.3">
      <c r="F84840" s="193"/>
    </row>
    <row r="84841" spans="6:6" x14ac:dyDescent="0.3">
      <c r="F84841" s="193"/>
    </row>
    <row r="84842" spans="6:6" x14ac:dyDescent="0.3">
      <c r="F84842" s="193"/>
    </row>
    <row r="84843" spans="6:6" x14ac:dyDescent="0.3">
      <c r="F84843" s="193"/>
    </row>
    <row r="84844" spans="6:6" x14ac:dyDescent="0.3">
      <c r="F84844" s="193"/>
    </row>
    <row r="84845" spans="6:6" x14ac:dyDescent="0.3">
      <c r="F84845" s="193"/>
    </row>
    <row r="84846" spans="6:6" x14ac:dyDescent="0.3">
      <c r="F84846" s="193"/>
    </row>
    <row r="84847" spans="6:6" x14ac:dyDescent="0.3">
      <c r="F84847" s="193"/>
    </row>
    <row r="84848" spans="6:6" x14ac:dyDescent="0.3">
      <c r="F84848" s="193"/>
    </row>
    <row r="84849" spans="6:6" x14ac:dyDescent="0.3">
      <c r="F84849" s="193"/>
    </row>
    <row r="84850" spans="6:6" x14ac:dyDescent="0.3">
      <c r="F84850" s="193"/>
    </row>
    <row r="84851" spans="6:6" x14ac:dyDescent="0.3">
      <c r="F84851" s="193"/>
    </row>
    <row r="84852" spans="6:6" x14ac:dyDescent="0.3">
      <c r="F84852" s="193"/>
    </row>
    <row r="84853" spans="6:6" x14ac:dyDescent="0.3">
      <c r="F84853" s="193"/>
    </row>
    <row r="84854" spans="6:6" x14ac:dyDescent="0.3">
      <c r="F84854" s="193"/>
    </row>
    <row r="84855" spans="6:6" x14ac:dyDescent="0.3">
      <c r="F84855" s="193"/>
    </row>
    <row r="84856" spans="6:6" x14ac:dyDescent="0.3">
      <c r="F84856" s="193"/>
    </row>
    <row r="84857" spans="6:6" x14ac:dyDescent="0.3">
      <c r="F84857" s="193"/>
    </row>
    <row r="84858" spans="6:6" x14ac:dyDescent="0.3">
      <c r="F84858" s="193"/>
    </row>
    <row r="84859" spans="6:6" x14ac:dyDescent="0.3">
      <c r="F84859" s="193"/>
    </row>
    <row r="84860" spans="6:6" x14ac:dyDescent="0.3">
      <c r="F84860" s="193"/>
    </row>
    <row r="84861" spans="6:6" x14ac:dyDescent="0.3">
      <c r="F84861" s="193"/>
    </row>
    <row r="84862" spans="6:6" x14ac:dyDescent="0.3">
      <c r="F84862" s="193"/>
    </row>
    <row r="84863" spans="6:6" x14ac:dyDescent="0.3">
      <c r="F84863" s="193"/>
    </row>
    <row r="84864" spans="6:6" x14ac:dyDescent="0.3">
      <c r="F84864" s="193"/>
    </row>
    <row r="84865" spans="6:6" x14ac:dyDescent="0.3">
      <c r="F84865" s="193"/>
    </row>
    <row r="84866" spans="6:6" x14ac:dyDescent="0.3">
      <c r="F84866" s="193"/>
    </row>
    <row r="84867" spans="6:6" x14ac:dyDescent="0.3">
      <c r="F84867" s="193"/>
    </row>
    <row r="84868" spans="6:6" x14ac:dyDescent="0.3">
      <c r="F84868" s="193"/>
    </row>
    <row r="84869" spans="6:6" x14ac:dyDescent="0.3">
      <c r="F84869" s="193"/>
    </row>
    <row r="84870" spans="6:6" x14ac:dyDescent="0.3">
      <c r="F84870" s="193"/>
    </row>
    <row r="84871" spans="6:6" x14ac:dyDescent="0.3">
      <c r="F84871" s="193"/>
    </row>
    <row r="84872" spans="6:6" x14ac:dyDescent="0.3">
      <c r="F84872" s="193"/>
    </row>
    <row r="84873" spans="6:6" x14ac:dyDescent="0.3">
      <c r="F84873" s="193"/>
    </row>
    <row r="84874" spans="6:6" x14ac:dyDescent="0.3">
      <c r="F84874" s="193"/>
    </row>
    <row r="84875" spans="6:6" x14ac:dyDescent="0.3">
      <c r="F84875" s="193"/>
    </row>
    <row r="84876" spans="6:6" x14ac:dyDescent="0.3">
      <c r="F84876" s="193"/>
    </row>
    <row r="84877" spans="6:6" x14ac:dyDescent="0.3">
      <c r="F84877" s="193"/>
    </row>
    <row r="84878" spans="6:6" x14ac:dyDescent="0.3">
      <c r="F84878" s="193"/>
    </row>
    <row r="84879" spans="6:6" x14ac:dyDescent="0.3">
      <c r="F84879" s="193"/>
    </row>
    <row r="84880" spans="6:6" x14ac:dyDescent="0.3">
      <c r="F84880" s="193"/>
    </row>
    <row r="84881" spans="6:6" x14ac:dyDescent="0.3">
      <c r="F84881" s="193"/>
    </row>
    <row r="84882" spans="6:6" x14ac:dyDescent="0.3">
      <c r="F84882" s="193"/>
    </row>
    <row r="84883" spans="6:6" x14ac:dyDescent="0.3">
      <c r="F84883" s="193"/>
    </row>
    <row r="84884" spans="6:6" x14ac:dyDescent="0.3">
      <c r="F84884" s="193"/>
    </row>
    <row r="84885" spans="6:6" x14ac:dyDescent="0.3">
      <c r="F84885" s="193"/>
    </row>
    <row r="84886" spans="6:6" x14ac:dyDescent="0.3">
      <c r="F84886" s="193"/>
    </row>
    <row r="84887" spans="6:6" x14ac:dyDescent="0.3">
      <c r="F84887" s="193"/>
    </row>
    <row r="84888" spans="6:6" x14ac:dyDescent="0.3">
      <c r="F84888" s="193"/>
    </row>
    <row r="84889" spans="6:6" x14ac:dyDescent="0.3">
      <c r="F84889" s="193"/>
    </row>
    <row r="84890" spans="6:6" x14ac:dyDescent="0.3">
      <c r="F84890" s="193"/>
    </row>
    <row r="84891" spans="6:6" x14ac:dyDescent="0.3">
      <c r="F84891" s="193"/>
    </row>
    <row r="84892" spans="6:6" x14ac:dyDescent="0.3">
      <c r="F84892" s="193"/>
    </row>
    <row r="84893" spans="6:6" x14ac:dyDescent="0.3">
      <c r="F84893" s="193"/>
    </row>
    <row r="84894" spans="6:6" x14ac:dyDescent="0.3">
      <c r="F84894" s="193"/>
    </row>
    <row r="84895" spans="6:6" x14ac:dyDescent="0.3">
      <c r="F84895" s="193"/>
    </row>
    <row r="84896" spans="6:6" x14ac:dyDescent="0.3">
      <c r="F84896" s="193"/>
    </row>
    <row r="84897" spans="6:6" x14ac:dyDescent="0.3">
      <c r="F84897" s="193"/>
    </row>
    <row r="84898" spans="6:6" x14ac:dyDescent="0.3">
      <c r="F84898" s="193"/>
    </row>
    <row r="84899" spans="6:6" x14ac:dyDescent="0.3">
      <c r="F84899" s="193"/>
    </row>
    <row r="84900" spans="6:6" x14ac:dyDescent="0.3">
      <c r="F84900" s="193"/>
    </row>
    <row r="84901" spans="6:6" x14ac:dyDescent="0.3">
      <c r="F84901" s="193"/>
    </row>
    <row r="84902" spans="6:6" x14ac:dyDescent="0.3">
      <c r="F84902" s="193"/>
    </row>
    <row r="84903" spans="6:6" x14ac:dyDescent="0.3">
      <c r="F84903" s="193"/>
    </row>
    <row r="84904" spans="6:6" x14ac:dyDescent="0.3">
      <c r="F84904" s="193"/>
    </row>
    <row r="84905" spans="6:6" x14ac:dyDescent="0.3">
      <c r="F84905" s="193"/>
    </row>
    <row r="84906" spans="6:6" x14ac:dyDescent="0.3">
      <c r="F84906" s="193"/>
    </row>
    <row r="84907" spans="6:6" x14ac:dyDescent="0.3">
      <c r="F84907" s="193"/>
    </row>
    <row r="84908" spans="6:6" x14ac:dyDescent="0.3">
      <c r="F84908" s="193"/>
    </row>
    <row r="84909" spans="6:6" x14ac:dyDescent="0.3">
      <c r="F84909" s="193"/>
    </row>
    <row r="84910" spans="6:6" x14ac:dyDescent="0.3">
      <c r="F84910" s="193"/>
    </row>
    <row r="84911" spans="6:6" x14ac:dyDescent="0.3">
      <c r="F84911" s="193"/>
    </row>
    <row r="84912" spans="6:6" x14ac:dyDescent="0.3">
      <c r="F84912" s="193"/>
    </row>
    <row r="84913" spans="6:6" x14ac:dyDescent="0.3">
      <c r="F84913" s="193"/>
    </row>
    <row r="84914" spans="6:6" x14ac:dyDescent="0.3">
      <c r="F84914" s="193"/>
    </row>
    <row r="84915" spans="6:6" x14ac:dyDescent="0.3">
      <c r="F84915" s="193"/>
    </row>
    <row r="84916" spans="6:6" x14ac:dyDescent="0.3">
      <c r="F84916" s="193"/>
    </row>
    <row r="84917" spans="6:6" x14ac:dyDescent="0.3">
      <c r="F84917" s="193"/>
    </row>
    <row r="84918" spans="6:6" x14ac:dyDescent="0.3">
      <c r="F84918" s="193"/>
    </row>
    <row r="84919" spans="6:6" x14ac:dyDescent="0.3">
      <c r="F84919" s="193"/>
    </row>
    <row r="84920" spans="6:6" x14ac:dyDescent="0.3">
      <c r="F84920" s="193"/>
    </row>
    <row r="84921" spans="6:6" x14ac:dyDescent="0.3">
      <c r="F84921" s="193"/>
    </row>
    <row r="84922" spans="6:6" x14ac:dyDescent="0.3">
      <c r="F84922" s="193"/>
    </row>
    <row r="84923" spans="6:6" x14ac:dyDescent="0.3">
      <c r="F84923" s="193"/>
    </row>
    <row r="84924" spans="6:6" x14ac:dyDescent="0.3">
      <c r="F84924" s="193"/>
    </row>
    <row r="84925" spans="6:6" x14ac:dyDescent="0.3">
      <c r="F84925" s="193"/>
    </row>
    <row r="84926" spans="6:6" x14ac:dyDescent="0.3">
      <c r="F84926" s="193"/>
    </row>
    <row r="84927" spans="6:6" x14ac:dyDescent="0.3">
      <c r="F84927" s="193"/>
    </row>
    <row r="84928" spans="6:6" x14ac:dyDescent="0.3">
      <c r="F84928" s="193"/>
    </row>
    <row r="84929" spans="6:6" x14ac:dyDescent="0.3">
      <c r="F84929" s="193"/>
    </row>
    <row r="84930" spans="6:6" x14ac:dyDescent="0.3">
      <c r="F84930" s="193"/>
    </row>
    <row r="84931" spans="6:6" x14ac:dyDescent="0.3">
      <c r="F84931" s="193"/>
    </row>
    <row r="84932" spans="6:6" x14ac:dyDescent="0.3">
      <c r="F84932" s="193"/>
    </row>
    <row r="84933" spans="6:6" x14ac:dyDescent="0.3">
      <c r="F84933" s="193"/>
    </row>
    <row r="84934" spans="6:6" x14ac:dyDescent="0.3">
      <c r="F84934" s="193"/>
    </row>
    <row r="84935" spans="6:6" x14ac:dyDescent="0.3">
      <c r="F84935" s="193"/>
    </row>
    <row r="84936" spans="6:6" x14ac:dyDescent="0.3">
      <c r="F84936" s="193"/>
    </row>
    <row r="84937" spans="6:6" x14ac:dyDescent="0.3">
      <c r="F84937" s="193"/>
    </row>
    <row r="84938" spans="6:6" x14ac:dyDescent="0.3">
      <c r="F84938" s="193"/>
    </row>
    <row r="84939" spans="6:6" x14ac:dyDescent="0.3">
      <c r="F84939" s="193"/>
    </row>
    <row r="84940" spans="6:6" x14ac:dyDescent="0.3">
      <c r="F84940" s="193"/>
    </row>
    <row r="84941" spans="6:6" x14ac:dyDescent="0.3">
      <c r="F84941" s="193"/>
    </row>
    <row r="84942" spans="6:6" x14ac:dyDescent="0.3">
      <c r="F84942" s="193"/>
    </row>
    <row r="84943" spans="6:6" x14ac:dyDescent="0.3">
      <c r="F84943" s="193"/>
    </row>
    <row r="84944" spans="6:6" x14ac:dyDescent="0.3">
      <c r="F84944" s="193"/>
    </row>
    <row r="84945" spans="6:6" x14ac:dyDescent="0.3">
      <c r="F84945" s="193"/>
    </row>
    <row r="84946" spans="6:6" x14ac:dyDescent="0.3">
      <c r="F84946" s="193"/>
    </row>
    <row r="84947" spans="6:6" x14ac:dyDescent="0.3">
      <c r="F84947" s="193"/>
    </row>
    <row r="84948" spans="6:6" x14ac:dyDescent="0.3">
      <c r="F84948" s="193"/>
    </row>
    <row r="84949" spans="6:6" x14ac:dyDescent="0.3">
      <c r="F84949" s="193"/>
    </row>
    <row r="84950" spans="6:6" x14ac:dyDescent="0.3">
      <c r="F84950" s="193"/>
    </row>
    <row r="84951" spans="6:6" x14ac:dyDescent="0.3">
      <c r="F84951" s="193"/>
    </row>
    <row r="84952" spans="6:6" x14ac:dyDescent="0.3">
      <c r="F84952" s="193"/>
    </row>
    <row r="84953" spans="6:6" x14ac:dyDescent="0.3">
      <c r="F84953" s="193"/>
    </row>
    <row r="84954" spans="6:6" x14ac:dyDescent="0.3">
      <c r="F84954" s="193"/>
    </row>
    <row r="84955" spans="6:6" x14ac:dyDescent="0.3">
      <c r="F84955" s="193"/>
    </row>
    <row r="84956" spans="6:6" x14ac:dyDescent="0.3">
      <c r="F84956" s="193"/>
    </row>
    <row r="84957" spans="6:6" x14ac:dyDescent="0.3">
      <c r="F84957" s="193"/>
    </row>
    <row r="84958" spans="6:6" x14ac:dyDescent="0.3">
      <c r="F84958" s="193"/>
    </row>
    <row r="84959" spans="6:6" x14ac:dyDescent="0.3">
      <c r="F84959" s="193"/>
    </row>
    <row r="84960" spans="6:6" x14ac:dyDescent="0.3">
      <c r="F84960" s="193"/>
    </row>
    <row r="84961" spans="6:6" x14ac:dyDescent="0.3">
      <c r="F84961" s="193"/>
    </row>
    <row r="84962" spans="6:6" x14ac:dyDescent="0.3">
      <c r="F84962" s="193"/>
    </row>
    <row r="84963" spans="6:6" x14ac:dyDescent="0.3">
      <c r="F84963" s="193"/>
    </row>
    <row r="84964" spans="6:6" x14ac:dyDescent="0.3">
      <c r="F84964" s="193"/>
    </row>
    <row r="84965" spans="6:6" x14ac:dyDescent="0.3">
      <c r="F84965" s="193"/>
    </row>
    <row r="84966" spans="6:6" x14ac:dyDescent="0.3">
      <c r="F84966" s="193"/>
    </row>
    <row r="84967" spans="6:6" x14ac:dyDescent="0.3">
      <c r="F84967" s="193"/>
    </row>
    <row r="84968" spans="6:6" x14ac:dyDescent="0.3">
      <c r="F84968" s="193"/>
    </row>
    <row r="84969" spans="6:6" x14ac:dyDescent="0.3">
      <c r="F84969" s="193"/>
    </row>
    <row r="84970" spans="6:6" x14ac:dyDescent="0.3">
      <c r="F84970" s="193"/>
    </row>
    <row r="84971" spans="6:6" x14ac:dyDescent="0.3">
      <c r="F84971" s="193"/>
    </row>
    <row r="84972" spans="6:6" x14ac:dyDescent="0.3">
      <c r="F84972" s="193"/>
    </row>
    <row r="84973" spans="6:6" x14ac:dyDescent="0.3">
      <c r="F84973" s="193"/>
    </row>
    <row r="84974" spans="6:6" x14ac:dyDescent="0.3">
      <c r="F84974" s="193"/>
    </row>
    <row r="84975" spans="6:6" x14ac:dyDescent="0.3">
      <c r="F84975" s="193"/>
    </row>
    <row r="84976" spans="6:6" x14ac:dyDescent="0.3">
      <c r="F84976" s="193"/>
    </row>
    <row r="84977" spans="6:6" x14ac:dyDescent="0.3">
      <c r="F84977" s="193"/>
    </row>
    <row r="84978" spans="6:6" x14ac:dyDescent="0.3">
      <c r="F84978" s="193"/>
    </row>
    <row r="84979" spans="6:6" x14ac:dyDescent="0.3">
      <c r="F84979" s="193"/>
    </row>
    <row r="84980" spans="6:6" x14ac:dyDescent="0.3">
      <c r="F84980" s="193"/>
    </row>
    <row r="84981" spans="6:6" x14ac:dyDescent="0.3">
      <c r="F84981" s="193"/>
    </row>
    <row r="84982" spans="6:6" x14ac:dyDescent="0.3">
      <c r="F84982" s="193"/>
    </row>
    <row r="84983" spans="6:6" x14ac:dyDescent="0.3">
      <c r="F84983" s="193"/>
    </row>
    <row r="84984" spans="6:6" x14ac:dyDescent="0.3">
      <c r="F84984" s="193"/>
    </row>
    <row r="84985" spans="6:6" x14ac:dyDescent="0.3">
      <c r="F84985" s="193"/>
    </row>
    <row r="84986" spans="6:6" x14ac:dyDescent="0.3">
      <c r="F84986" s="193"/>
    </row>
    <row r="84987" spans="6:6" x14ac:dyDescent="0.3">
      <c r="F84987" s="193"/>
    </row>
    <row r="84988" spans="6:6" x14ac:dyDescent="0.3">
      <c r="F84988" s="193"/>
    </row>
    <row r="84989" spans="6:6" x14ac:dyDescent="0.3">
      <c r="F84989" s="193"/>
    </row>
    <row r="84990" spans="6:6" x14ac:dyDescent="0.3">
      <c r="F84990" s="193"/>
    </row>
    <row r="84991" spans="6:6" x14ac:dyDescent="0.3">
      <c r="F84991" s="193"/>
    </row>
    <row r="84992" spans="6:6" x14ac:dyDescent="0.3">
      <c r="F84992" s="193"/>
    </row>
    <row r="84993" spans="6:6" x14ac:dyDescent="0.3">
      <c r="F84993" s="193"/>
    </row>
    <row r="84994" spans="6:6" x14ac:dyDescent="0.3">
      <c r="F84994" s="193"/>
    </row>
    <row r="84995" spans="6:6" x14ac:dyDescent="0.3">
      <c r="F84995" s="193"/>
    </row>
    <row r="84996" spans="6:6" x14ac:dyDescent="0.3">
      <c r="F84996" s="193"/>
    </row>
    <row r="84997" spans="6:6" x14ac:dyDescent="0.3">
      <c r="F84997" s="193"/>
    </row>
    <row r="84998" spans="6:6" x14ac:dyDescent="0.3">
      <c r="F84998" s="193"/>
    </row>
    <row r="84999" spans="6:6" x14ac:dyDescent="0.3">
      <c r="F84999" s="193"/>
    </row>
    <row r="85000" spans="6:6" x14ac:dyDescent="0.3">
      <c r="F85000" s="193"/>
    </row>
    <row r="85001" spans="6:6" x14ac:dyDescent="0.3">
      <c r="F85001" s="193"/>
    </row>
    <row r="85002" spans="6:6" x14ac:dyDescent="0.3">
      <c r="F85002" s="193"/>
    </row>
    <row r="85003" spans="6:6" x14ac:dyDescent="0.3">
      <c r="F85003" s="193"/>
    </row>
    <row r="85004" spans="6:6" x14ac:dyDescent="0.3">
      <c r="F85004" s="193"/>
    </row>
    <row r="85005" spans="6:6" x14ac:dyDescent="0.3">
      <c r="F85005" s="193"/>
    </row>
    <row r="85006" spans="6:6" x14ac:dyDescent="0.3">
      <c r="F85006" s="193"/>
    </row>
    <row r="85007" spans="6:6" x14ac:dyDescent="0.3">
      <c r="F85007" s="193"/>
    </row>
    <row r="85008" spans="6:6" x14ac:dyDescent="0.3">
      <c r="F85008" s="193"/>
    </row>
    <row r="85009" spans="6:6" x14ac:dyDescent="0.3">
      <c r="F85009" s="193"/>
    </row>
    <row r="85010" spans="6:6" x14ac:dyDescent="0.3">
      <c r="F85010" s="193"/>
    </row>
    <row r="85011" spans="6:6" x14ac:dyDescent="0.3">
      <c r="F85011" s="193"/>
    </row>
    <row r="85012" spans="6:6" x14ac:dyDescent="0.3">
      <c r="F85012" s="193"/>
    </row>
    <row r="85013" spans="6:6" x14ac:dyDescent="0.3">
      <c r="F85013" s="193"/>
    </row>
    <row r="85014" spans="6:6" x14ac:dyDescent="0.3">
      <c r="F85014" s="193"/>
    </row>
    <row r="85015" spans="6:6" x14ac:dyDescent="0.3">
      <c r="F85015" s="193"/>
    </row>
    <row r="85016" spans="6:6" x14ac:dyDescent="0.3">
      <c r="F85016" s="193"/>
    </row>
    <row r="85017" spans="6:6" x14ac:dyDescent="0.3">
      <c r="F85017" s="193"/>
    </row>
    <row r="85018" spans="6:6" x14ac:dyDescent="0.3">
      <c r="F85018" s="193"/>
    </row>
    <row r="85019" spans="6:6" x14ac:dyDescent="0.3">
      <c r="F85019" s="193"/>
    </row>
    <row r="85020" spans="6:6" x14ac:dyDescent="0.3">
      <c r="F85020" s="193"/>
    </row>
    <row r="85021" spans="6:6" x14ac:dyDescent="0.3">
      <c r="F85021" s="193"/>
    </row>
    <row r="85022" spans="6:6" x14ac:dyDescent="0.3">
      <c r="F85022" s="193"/>
    </row>
    <row r="85023" spans="6:6" x14ac:dyDescent="0.3">
      <c r="F85023" s="193"/>
    </row>
    <row r="85024" spans="6:6" x14ac:dyDescent="0.3">
      <c r="F85024" s="193"/>
    </row>
    <row r="85025" spans="6:6" x14ac:dyDescent="0.3">
      <c r="F85025" s="193"/>
    </row>
    <row r="85026" spans="6:6" x14ac:dyDescent="0.3">
      <c r="F85026" s="193"/>
    </row>
    <row r="85027" spans="6:6" x14ac:dyDescent="0.3">
      <c r="F85027" s="193"/>
    </row>
    <row r="85028" spans="6:6" x14ac:dyDescent="0.3">
      <c r="F85028" s="193"/>
    </row>
    <row r="85029" spans="6:6" x14ac:dyDescent="0.3">
      <c r="F85029" s="193"/>
    </row>
    <row r="85030" spans="6:6" x14ac:dyDescent="0.3">
      <c r="F85030" s="193"/>
    </row>
    <row r="85031" spans="6:6" x14ac:dyDescent="0.3">
      <c r="F85031" s="193"/>
    </row>
    <row r="85032" spans="6:6" x14ac:dyDescent="0.3">
      <c r="F85032" s="193"/>
    </row>
    <row r="85033" spans="6:6" x14ac:dyDescent="0.3">
      <c r="F85033" s="193"/>
    </row>
    <row r="85034" spans="6:6" x14ac:dyDescent="0.3">
      <c r="F85034" s="193"/>
    </row>
    <row r="85035" spans="6:6" x14ac:dyDescent="0.3">
      <c r="F85035" s="193"/>
    </row>
    <row r="85036" spans="6:6" x14ac:dyDescent="0.3">
      <c r="F85036" s="193"/>
    </row>
    <row r="85037" spans="6:6" x14ac:dyDescent="0.3">
      <c r="F85037" s="193"/>
    </row>
    <row r="85038" spans="6:6" x14ac:dyDescent="0.3">
      <c r="F85038" s="193"/>
    </row>
    <row r="85039" spans="6:6" x14ac:dyDescent="0.3">
      <c r="F85039" s="193"/>
    </row>
    <row r="85040" spans="6:6" x14ac:dyDescent="0.3">
      <c r="F85040" s="193"/>
    </row>
    <row r="85041" spans="6:6" x14ac:dyDescent="0.3">
      <c r="F85041" s="193"/>
    </row>
    <row r="85042" spans="6:6" x14ac:dyDescent="0.3">
      <c r="F85042" s="193"/>
    </row>
    <row r="85043" spans="6:6" x14ac:dyDescent="0.3">
      <c r="F85043" s="193"/>
    </row>
    <row r="85044" spans="6:6" x14ac:dyDescent="0.3">
      <c r="F85044" s="193"/>
    </row>
    <row r="85045" spans="6:6" x14ac:dyDescent="0.3">
      <c r="F85045" s="193"/>
    </row>
    <row r="85046" spans="6:6" x14ac:dyDescent="0.3">
      <c r="F85046" s="193"/>
    </row>
    <row r="85047" spans="6:6" x14ac:dyDescent="0.3">
      <c r="F85047" s="193"/>
    </row>
    <row r="85048" spans="6:6" x14ac:dyDescent="0.3">
      <c r="F85048" s="193"/>
    </row>
    <row r="85049" spans="6:6" x14ac:dyDescent="0.3">
      <c r="F85049" s="193"/>
    </row>
    <row r="85050" spans="6:6" x14ac:dyDescent="0.3">
      <c r="F85050" s="193"/>
    </row>
    <row r="85051" spans="6:6" x14ac:dyDescent="0.3">
      <c r="F85051" s="193"/>
    </row>
    <row r="85052" spans="6:6" x14ac:dyDescent="0.3">
      <c r="F85052" s="193"/>
    </row>
    <row r="85053" spans="6:6" x14ac:dyDescent="0.3">
      <c r="F85053" s="193"/>
    </row>
    <row r="85054" spans="6:6" x14ac:dyDescent="0.3">
      <c r="F85054" s="193"/>
    </row>
    <row r="85055" spans="6:6" x14ac:dyDescent="0.3">
      <c r="F85055" s="193"/>
    </row>
    <row r="85056" spans="6:6" x14ac:dyDescent="0.3">
      <c r="F85056" s="193"/>
    </row>
    <row r="85057" spans="6:6" x14ac:dyDescent="0.3">
      <c r="F85057" s="193"/>
    </row>
    <row r="85058" spans="6:6" x14ac:dyDescent="0.3">
      <c r="F85058" s="193"/>
    </row>
    <row r="85059" spans="6:6" x14ac:dyDescent="0.3">
      <c r="F85059" s="193"/>
    </row>
    <row r="85060" spans="6:6" x14ac:dyDescent="0.3">
      <c r="F85060" s="193"/>
    </row>
    <row r="85061" spans="6:6" x14ac:dyDescent="0.3">
      <c r="F85061" s="193"/>
    </row>
    <row r="85062" spans="6:6" x14ac:dyDescent="0.3">
      <c r="F85062" s="193"/>
    </row>
    <row r="85063" spans="6:6" x14ac:dyDescent="0.3">
      <c r="F85063" s="193"/>
    </row>
    <row r="85064" spans="6:6" x14ac:dyDescent="0.3">
      <c r="F85064" s="193"/>
    </row>
    <row r="85065" spans="6:6" x14ac:dyDescent="0.3">
      <c r="F85065" s="193"/>
    </row>
    <row r="85066" spans="6:6" x14ac:dyDescent="0.3">
      <c r="F85066" s="193"/>
    </row>
    <row r="85067" spans="6:6" x14ac:dyDescent="0.3">
      <c r="F85067" s="193"/>
    </row>
    <row r="85068" spans="6:6" x14ac:dyDescent="0.3">
      <c r="F85068" s="193"/>
    </row>
    <row r="85069" spans="6:6" x14ac:dyDescent="0.3">
      <c r="F85069" s="193"/>
    </row>
    <row r="85070" spans="6:6" x14ac:dyDescent="0.3">
      <c r="F85070" s="193"/>
    </row>
    <row r="85071" spans="6:6" x14ac:dyDescent="0.3">
      <c r="F85071" s="193"/>
    </row>
    <row r="85072" spans="6:6" x14ac:dyDescent="0.3">
      <c r="F85072" s="193"/>
    </row>
    <row r="85073" spans="6:6" x14ac:dyDescent="0.3">
      <c r="F85073" s="193"/>
    </row>
    <row r="85074" spans="6:6" x14ac:dyDescent="0.3">
      <c r="F85074" s="193"/>
    </row>
    <row r="85075" spans="6:6" x14ac:dyDescent="0.3">
      <c r="F85075" s="193"/>
    </row>
    <row r="85076" spans="6:6" x14ac:dyDescent="0.3">
      <c r="F85076" s="193"/>
    </row>
    <row r="85077" spans="6:6" x14ac:dyDescent="0.3">
      <c r="F85077" s="193"/>
    </row>
    <row r="85078" spans="6:6" x14ac:dyDescent="0.3">
      <c r="F85078" s="193"/>
    </row>
    <row r="85079" spans="6:6" x14ac:dyDescent="0.3">
      <c r="F85079" s="193"/>
    </row>
    <row r="85080" spans="6:6" x14ac:dyDescent="0.3">
      <c r="F85080" s="193"/>
    </row>
    <row r="85081" spans="6:6" x14ac:dyDescent="0.3">
      <c r="F85081" s="193"/>
    </row>
    <row r="85082" spans="6:6" x14ac:dyDescent="0.3">
      <c r="F85082" s="193"/>
    </row>
    <row r="85083" spans="6:6" x14ac:dyDescent="0.3">
      <c r="F85083" s="193"/>
    </row>
    <row r="85084" spans="6:6" x14ac:dyDescent="0.3">
      <c r="F85084" s="193"/>
    </row>
    <row r="85085" spans="6:6" x14ac:dyDescent="0.3">
      <c r="F85085" s="193"/>
    </row>
    <row r="85086" spans="6:6" x14ac:dyDescent="0.3">
      <c r="F85086" s="193"/>
    </row>
    <row r="85087" spans="6:6" x14ac:dyDescent="0.3">
      <c r="F85087" s="193"/>
    </row>
    <row r="85088" spans="6:6" x14ac:dyDescent="0.3">
      <c r="F85088" s="193"/>
    </row>
    <row r="85089" spans="6:6" x14ac:dyDescent="0.3">
      <c r="F85089" s="193"/>
    </row>
    <row r="85090" spans="6:6" x14ac:dyDescent="0.3">
      <c r="F85090" s="193"/>
    </row>
    <row r="85091" spans="6:6" x14ac:dyDescent="0.3">
      <c r="F85091" s="193"/>
    </row>
    <row r="85092" spans="6:6" x14ac:dyDescent="0.3">
      <c r="F85092" s="193"/>
    </row>
    <row r="85093" spans="6:6" x14ac:dyDescent="0.3">
      <c r="F85093" s="193"/>
    </row>
    <row r="85094" spans="6:6" x14ac:dyDescent="0.3">
      <c r="F85094" s="193"/>
    </row>
    <row r="85095" spans="6:6" x14ac:dyDescent="0.3">
      <c r="F85095" s="193"/>
    </row>
    <row r="85096" spans="6:6" x14ac:dyDescent="0.3">
      <c r="F85096" s="193"/>
    </row>
    <row r="85097" spans="6:6" x14ac:dyDescent="0.3">
      <c r="F85097" s="193"/>
    </row>
    <row r="85098" spans="6:6" x14ac:dyDescent="0.3">
      <c r="F85098" s="193"/>
    </row>
    <row r="85099" spans="6:6" x14ac:dyDescent="0.3">
      <c r="F85099" s="193"/>
    </row>
    <row r="85100" spans="6:6" x14ac:dyDescent="0.3">
      <c r="F85100" s="193"/>
    </row>
    <row r="85101" spans="6:6" x14ac:dyDescent="0.3">
      <c r="F85101" s="193"/>
    </row>
    <row r="85102" spans="6:6" x14ac:dyDescent="0.3">
      <c r="F85102" s="193"/>
    </row>
    <row r="85103" spans="6:6" x14ac:dyDescent="0.3">
      <c r="F85103" s="193"/>
    </row>
    <row r="85104" spans="6:6" x14ac:dyDescent="0.3">
      <c r="F85104" s="193"/>
    </row>
    <row r="85105" spans="6:6" x14ac:dyDescent="0.3">
      <c r="F85105" s="193"/>
    </row>
    <row r="85106" spans="6:6" x14ac:dyDescent="0.3">
      <c r="F85106" s="193"/>
    </row>
    <row r="85107" spans="6:6" x14ac:dyDescent="0.3">
      <c r="F85107" s="193"/>
    </row>
    <row r="85108" spans="6:6" x14ac:dyDescent="0.3">
      <c r="F85108" s="193"/>
    </row>
    <row r="85109" spans="6:6" x14ac:dyDescent="0.3">
      <c r="F85109" s="193"/>
    </row>
    <row r="85110" spans="6:6" x14ac:dyDescent="0.3">
      <c r="F85110" s="193"/>
    </row>
    <row r="85111" spans="6:6" x14ac:dyDescent="0.3">
      <c r="F85111" s="193"/>
    </row>
    <row r="85112" spans="6:6" x14ac:dyDescent="0.3">
      <c r="F85112" s="193"/>
    </row>
    <row r="85113" spans="6:6" x14ac:dyDescent="0.3">
      <c r="F85113" s="193"/>
    </row>
    <row r="85114" spans="6:6" x14ac:dyDescent="0.3">
      <c r="F85114" s="193"/>
    </row>
    <row r="85115" spans="6:6" x14ac:dyDescent="0.3">
      <c r="F85115" s="193"/>
    </row>
    <row r="85116" spans="6:6" x14ac:dyDescent="0.3">
      <c r="F85116" s="193"/>
    </row>
    <row r="85117" spans="6:6" x14ac:dyDescent="0.3">
      <c r="F85117" s="193"/>
    </row>
    <row r="85118" spans="6:6" x14ac:dyDescent="0.3">
      <c r="F85118" s="193"/>
    </row>
    <row r="85119" spans="6:6" x14ac:dyDescent="0.3">
      <c r="F85119" s="193"/>
    </row>
    <row r="85120" spans="6:6" x14ac:dyDescent="0.3">
      <c r="F85120" s="193"/>
    </row>
    <row r="85121" spans="6:6" x14ac:dyDescent="0.3">
      <c r="F85121" s="193"/>
    </row>
    <row r="85122" spans="6:6" x14ac:dyDescent="0.3">
      <c r="F85122" s="193"/>
    </row>
    <row r="85123" spans="6:6" x14ac:dyDescent="0.3">
      <c r="F85123" s="193"/>
    </row>
    <row r="85124" spans="6:6" x14ac:dyDescent="0.3">
      <c r="F85124" s="193"/>
    </row>
    <row r="85125" spans="6:6" x14ac:dyDescent="0.3">
      <c r="F85125" s="193"/>
    </row>
    <row r="85126" spans="6:6" x14ac:dyDescent="0.3">
      <c r="F85126" s="193"/>
    </row>
    <row r="85127" spans="6:6" x14ac:dyDescent="0.3">
      <c r="F85127" s="193"/>
    </row>
    <row r="85128" spans="6:6" x14ac:dyDescent="0.3">
      <c r="F85128" s="193"/>
    </row>
    <row r="85129" spans="6:6" x14ac:dyDescent="0.3">
      <c r="F85129" s="193"/>
    </row>
    <row r="85130" spans="6:6" x14ac:dyDescent="0.3">
      <c r="F85130" s="193"/>
    </row>
    <row r="85131" spans="6:6" x14ac:dyDescent="0.3">
      <c r="F85131" s="193"/>
    </row>
    <row r="85132" spans="6:6" x14ac:dyDescent="0.3">
      <c r="F85132" s="193"/>
    </row>
    <row r="85133" spans="6:6" x14ac:dyDescent="0.3">
      <c r="F85133" s="193"/>
    </row>
    <row r="85134" spans="6:6" x14ac:dyDescent="0.3">
      <c r="F85134" s="193"/>
    </row>
    <row r="85135" spans="6:6" x14ac:dyDescent="0.3">
      <c r="F85135" s="193"/>
    </row>
    <row r="85136" spans="6:6" x14ac:dyDescent="0.3">
      <c r="F85136" s="193"/>
    </row>
    <row r="85137" spans="6:6" x14ac:dyDescent="0.3">
      <c r="F85137" s="193"/>
    </row>
    <row r="85138" spans="6:6" x14ac:dyDescent="0.3">
      <c r="F85138" s="193"/>
    </row>
    <row r="85139" spans="6:6" x14ac:dyDescent="0.3">
      <c r="F85139" s="193"/>
    </row>
    <row r="85140" spans="6:6" x14ac:dyDescent="0.3">
      <c r="F85140" s="193"/>
    </row>
    <row r="85141" spans="6:6" x14ac:dyDescent="0.3">
      <c r="F85141" s="193"/>
    </row>
    <row r="85142" spans="6:6" x14ac:dyDescent="0.3">
      <c r="F85142" s="193"/>
    </row>
    <row r="85143" spans="6:6" x14ac:dyDescent="0.3">
      <c r="F85143" s="193"/>
    </row>
    <row r="85144" spans="6:6" x14ac:dyDescent="0.3">
      <c r="F85144" s="193"/>
    </row>
    <row r="85145" spans="6:6" x14ac:dyDescent="0.3">
      <c r="F85145" s="193"/>
    </row>
    <row r="85146" spans="6:6" x14ac:dyDescent="0.3">
      <c r="F85146" s="193"/>
    </row>
    <row r="85147" spans="6:6" x14ac:dyDescent="0.3">
      <c r="F85147" s="193"/>
    </row>
    <row r="85148" spans="6:6" x14ac:dyDescent="0.3">
      <c r="F85148" s="193"/>
    </row>
    <row r="85149" spans="6:6" x14ac:dyDescent="0.3">
      <c r="F85149" s="193"/>
    </row>
    <row r="85150" spans="6:6" x14ac:dyDescent="0.3">
      <c r="F85150" s="193"/>
    </row>
    <row r="85151" spans="6:6" x14ac:dyDescent="0.3">
      <c r="F85151" s="193"/>
    </row>
    <row r="85152" spans="6:6" x14ac:dyDescent="0.3">
      <c r="F85152" s="193"/>
    </row>
    <row r="85153" spans="6:6" x14ac:dyDescent="0.3">
      <c r="F85153" s="193"/>
    </row>
    <row r="85154" spans="6:6" x14ac:dyDescent="0.3">
      <c r="F85154" s="193"/>
    </row>
    <row r="85155" spans="6:6" x14ac:dyDescent="0.3">
      <c r="F85155" s="193"/>
    </row>
    <row r="85156" spans="6:6" x14ac:dyDescent="0.3">
      <c r="F85156" s="193"/>
    </row>
    <row r="85157" spans="6:6" x14ac:dyDescent="0.3">
      <c r="F85157" s="193"/>
    </row>
    <row r="85158" spans="6:6" x14ac:dyDescent="0.3">
      <c r="F85158" s="193"/>
    </row>
    <row r="85159" spans="6:6" x14ac:dyDescent="0.3">
      <c r="F85159" s="193"/>
    </row>
    <row r="85160" spans="6:6" x14ac:dyDescent="0.3">
      <c r="F85160" s="193"/>
    </row>
    <row r="85161" spans="6:6" x14ac:dyDescent="0.3">
      <c r="F85161" s="193"/>
    </row>
    <row r="85162" spans="6:6" x14ac:dyDescent="0.3">
      <c r="F85162" s="193"/>
    </row>
    <row r="85163" spans="6:6" x14ac:dyDescent="0.3">
      <c r="F85163" s="193"/>
    </row>
    <row r="85164" spans="6:6" x14ac:dyDescent="0.3">
      <c r="F85164" s="193"/>
    </row>
    <row r="85165" spans="6:6" x14ac:dyDescent="0.3">
      <c r="F85165" s="193"/>
    </row>
    <row r="85166" spans="6:6" x14ac:dyDescent="0.3">
      <c r="F85166" s="193"/>
    </row>
    <row r="85167" spans="6:6" x14ac:dyDescent="0.3">
      <c r="F85167" s="193"/>
    </row>
    <row r="85168" spans="6:6" x14ac:dyDescent="0.3">
      <c r="F85168" s="193"/>
    </row>
    <row r="85169" spans="6:6" x14ac:dyDescent="0.3">
      <c r="F85169" s="193"/>
    </row>
    <row r="85170" spans="6:6" x14ac:dyDescent="0.3">
      <c r="F85170" s="193"/>
    </row>
    <row r="85171" spans="6:6" x14ac:dyDescent="0.3">
      <c r="F85171" s="193"/>
    </row>
    <row r="85172" spans="6:6" x14ac:dyDescent="0.3">
      <c r="F85172" s="193"/>
    </row>
    <row r="85173" spans="6:6" x14ac:dyDescent="0.3">
      <c r="F85173" s="193"/>
    </row>
    <row r="85174" spans="6:6" x14ac:dyDescent="0.3">
      <c r="F85174" s="193"/>
    </row>
    <row r="85175" spans="6:6" x14ac:dyDescent="0.3">
      <c r="F85175" s="193"/>
    </row>
    <row r="85176" spans="6:6" x14ac:dyDescent="0.3">
      <c r="F85176" s="193"/>
    </row>
    <row r="85177" spans="6:6" x14ac:dyDescent="0.3">
      <c r="F85177" s="193"/>
    </row>
    <row r="85178" spans="6:6" x14ac:dyDescent="0.3">
      <c r="F85178" s="193"/>
    </row>
    <row r="85179" spans="6:6" x14ac:dyDescent="0.3">
      <c r="F85179" s="193"/>
    </row>
    <row r="85180" spans="6:6" x14ac:dyDescent="0.3">
      <c r="F85180" s="193"/>
    </row>
    <row r="85181" spans="6:6" x14ac:dyDescent="0.3">
      <c r="F85181" s="193"/>
    </row>
    <row r="85182" spans="6:6" x14ac:dyDescent="0.3">
      <c r="F85182" s="193"/>
    </row>
    <row r="85183" spans="6:6" x14ac:dyDescent="0.3">
      <c r="F85183" s="193"/>
    </row>
    <row r="85184" spans="6:6" x14ac:dyDescent="0.3">
      <c r="F85184" s="193"/>
    </row>
    <row r="85185" spans="6:6" x14ac:dyDescent="0.3">
      <c r="F85185" s="193"/>
    </row>
    <row r="85186" spans="6:6" x14ac:dyDescent="0.3">
      <c r="F85186" s="193"/>
    </row>
    <row r="85187" spans="6:6" x14ac:dyDescent="0.3">
      <c r="F85187" s="193"/>
    </row>
    <row r="85188" spans="6:6" x14ac:dyDescent="0.3">
      <c r="F85188" s="193"/>
    </row>
    <row r="85189" spans="6:6" x14ac:dyDescent="0.3">
      <c r="F85189" s="193"/>
    </row>
    <row r="85190" spans="6:6" x14ac:dyDescent="0.3">
      <c r="F85190" s="193"/>
    </row>
    <row r="85191" spans="6:6" x14ac:dyDescent="0.3">
      <c r="F85191" s="193"/>
    </row>
    <row r="85192" spans="6:6" x14ac:dyDescent="0.3">
      <c r="F85192" s="193"/>
    </row>
    <row r="85193" spans="6:6" x14ac:dyDescent="0.3">
      <c r="F85193" s="193"/>
    </row>
    <row r="85194" spans="6:6" x14ac:dyDescent="0.3">
      <c r="F85194" s="193"/>
    </row>
    <row r="85195" spans="6:6" x14ac:dyDescent="0.3">
      <c r="F85195" s="193"/>
    </row>
    <row r="85196" spans="6:6" x14ac:dyDescent="0.3">
      <c r="F85196" s="193"/>
    </row>
    <row r="85197" spans="6:6" x14ac:dyDescent="0.3">
      <c r="F85197" s="193"/>
    </row>
    <row r="85198" spans="6:6" x14ac:dyDescent="0.3">
      <c r="F85198" s="193"/>
    </row>
    <row r="85199" spans="6:6" x14ac:dyDescent="0.3">
      <c r="F85199" s="193"/>
    </row>
    <row r="85200" spans="6:6" x14ac:dyDescent="0.3">
      <c r="F85200" s="193"/>
    </row>
    <row r="85201" spans="6:6" x14ac:dyDescent="0.3">
      <c r="F85201" s="193"/>
    </row>
    <row r="85202" spans="6:6" x14ac:dyDescent="0.3">
      <c r="F85202" s="193"/>
    </row>
    <row r="85203" spans="6:6" x14ac:dyDescent="0.3">
      <c r="F85203" s="193"/>
    </row>
    <row r="85204" spans="6:6" x14ac:dyDescent="0.3">
      <c r="F85204" s="193"/>
    </row>
    <row r="85205" spans="6:6" x14ac:dyDescent="0.3">
      <c r="F85205" s="193"/>
    </row>
    <row r="85206" spans="6:6" x14ac:dyDescent="0.3">
      <c r="F85206" s="193"/>
    </row>
    <row r="85207" spans="6:6" x14ac:dyDescent="0.3">
      <c r="F85207" s="193"/>
    </row>
    <row r="85208" spans="6:6" x14ac:dyDescent="0.3">
      <c r="F85208" s="193"/>
    </row>
    <row r="85209" spans="6:6" x14ac:dyDescent="0.3">
      <c r="F85209" s="193"/>
    </row>
    <row r="85210" spans="6:6" x14ac:dyDescent="0.3">
      <c r="F85210" s="193"/>
    </row>
    <row r="85211" spans="6:6" x14ac:dyDescent="0.3">
      <c r="F85211" s="193"/>
    </row>
    <row r="85212" spans="6:6" x14ac:dyDescent="0.3">
      <c r="F85212" s="193"/>
    </row>
    <row r="85213" spans="6:6" x14ac:dyDescent="0.3">
      <c r="F85213" s="193"/>
    </row>
    <row r="85214" spans="6:6" x14ac:dyDescent="0.3">
      <c r="F85214" s="193"/>
    </row>
    <row r="85215" spans="6:6" x14ac:dyDescent="0.3">
      <c r="F85215" s="193"/>
    </row>
    <row r="85216" spans="6:6" x14ac:dyDescent="0.3">
      <c r="F85216" s="193"/>
    </row>
    <row r="85217" spans="6:6" x14ac:dyDescent="0.3">
      <c r="F85217" s="193"/>
    </row>
    <row r="85218" spans="6:6" x14ac:dyDescent="0.3">
      <c r="F85218" s="193"/>
    </row>
    <row r="85219" spans="6:6" x14ac:dyDescent="0.3">
      <c r="F85219" s="193"/>
    </row>
    <row r="85220" spans="6:6" x14ac:dyDescent="0.3">
      <c r="F85220" s="193"/>
    </row>
    <row r="85221" spans="6:6" x14ac:dyDescent="0.3">
      <c r="F85221" s="193"/>
    </row>
    <row r="85222" spans="6:6" x14ac:dyDescent="0.3">
      <c r="F85222" s="193"/>
    </row>
    <row r="85223" spans="6:6" x14ac:dyDescent="0.3">
      <c r="F85223" s="193"/>
    </row>
    <row r="85224" spans="6:6" x14ac:dyDescent="0.3">
      <c r="F85224" s="193"/>
    </row>
    <row r="85225" spans="6:6" x14ac:dyDescent="0.3">
      <c r="F85225" s="193"/>
    </row>
    <row r="85226" spans="6:6" x14ac:dyDescent="0.3">
      <c r="F85226" s="193"/>
    </row>
    <row r="85227" spans="6:6" x14ac:dyDescent="0.3">
      <c r="F85227" s="193"/>
    </row>
    <row r="85228" spans="6:6" x14ac:dyDescent="0.3">
      <c r="F85228" s="193"/>
    </row>
    <row r="85229" spans="6:6" x14ac:dyDescent="0.3">
      <c r="F85229" s="193"/>
    </row>
    <row r="85230" spans="6:6" x14ac:dyDescent="0.3">
      <c r="F85230" s="193"/>
    </row>
    <row r="85231" spans="6:6" x14ac:dyDescent="0.3">
      <c r="F85231" s="193"/>
    </row>
    <row r="85232" spans="6:6" x14ac:dyDescent="0.3">
      <c r="F85232" s="193"/>
    </row>
    <row r="85233" spans="6:6" x14ac:dyDescent="0.3">
      <c r="F85233" s="193"/>
    </row>
    <row r="85234" spans="6:6" x14ac:dyDescent="0.3">
      <c r="F85234" s="193"/>
    </row>
    <row r="85235" spans="6:6" x14ac:dyDescent="0.3">
      <c r="F85235" s="193"/>
    </row>
    <row r="85236" spans="6:6" x14ac:dyDescent="0.3">
      <c r="F85236" s="193"/>
    </row>
    <row r="85237" spans="6:6" x14ac:dyDescent="0.3">
      <c r="F85237" s="193"/>
    </row>
    <row r="85238" spans="6:6" x14ac:dyDescent="0.3">
      <c r="F85238" s="193"/>
    </row>
    <row r="85239" spans="6:6" x14ac:dyDescent="0.3">
      <c r="F85239" s="193"/>
    </row>
    <row r="85240" spans="6:6" x14ac:dyDescent="0.3">
      <c r="F85240" s="193"/>
    </row>
    <row r="85241" spans="6:6" x14ac:dyDescent="0.3">
      <c r="F85241" s="193"/>
    </row>
    <row r="85242" spans="6:6" x14ac:dyDescent="0.3">
      <c r="F85242" s="193"/>
    </row>
    <row r="85243" spans="6:6" x14ac:dyDescent="0.3">
      <c r="F85243" s="193"/>
    </row>
    <row r="85244" spans="6:6" x14ac:dyDescent="0.3">
      <c r="F85244" s="193"/>
    </row>
    <row r="85245" spans="6:6" x14ac:dyDescent="0.3">
      <c r="F85245" s="193"/>
    </row>
    <row r="85246" spans="6:6" x14ac:dyDescent="0.3">
      <c r="F85246" s="193"/>
    </row>
    <row r="85247" spans="6:6" x14ac:dyDescent="0.3">
      <c r="F85247" s="193"/>
    </row>
    <row r="85248" spans="6:6" x14ac:dyDescent="0.3">
      <c r="F85248" s="193"/>
    </row>
    <row r="85249" spans="6:6" x14ac:dyDescent="0.3">
      <c r="F85249" s="193"/>
    </row>
    <row r="85250" spans="6:6" x14ac:dyDescent="0.3">
      <c r="F85250" s="193"/>
    </row>
    <row r="85251" spans="6:6" x14ac:dyDescent="0.3">
      <c r="F85251" s="193"/>
    </row>
    <row r="85252" spans="6:6" x14ac:dyDescent="0.3">
      <c r="F85252" s="193"/>
    </row>
    <row r="85253" spans="6:6" x14ac:dyDescent="0.3">
      <c r="F85253" s="193"/>
    </row>
    <row r="85254" spans="6:6" x14ac:dyDescent="0.3">
      <c r="F85254" s="193"/>
    </row>
    <row r="85255" spans="6:6" x14ac:dyDescent="0.3">
      <c r="F85255" s="193"/>
    </row>
    <row r="85256" spans="6:6" x14ac:dyDescent="0.3">
      <c r="F85256" s="193"/>
    </row>
    <row r="85257" spans="6:6" x14ac:dyDescent="0.3">
      <c r="F85257" s="193"/>
    </row>
    <row r="85258" spans="6:6" x14ac:dyDescent="0.3">
      <c r="F85258" s="193"/>
    </row>
    <row r="85259" spans="6:6" x14ac:dyDescent="0.3">
      <c r="F85259" s="193"/>
    </row>
    <row r="85260" spans="6:6" x14ac:dyDescent="0.3">
      <c r="F85260" s="193"/>
    </row>
    <row r="85261" spans="6:6" x14ac:dyDescent="0.3">
      <c r="F85261" s="193"/>
    </row>
    <row r="85262" spans="6:6" x14ac:dyDescent="0.3">
      <c r="F85262" s="193"/>
    </row>
    <row r="85263" spans="6:6" x14ac:dyDescent="0.3">
      <c r="F85263" s="193"/>
    </row>
    <row r="85264" spans="6:6" x14ac:dyDescent="0.3">
      <c r="F85264" s="193"/>
    </row>
    <row r="85265" spans="6:6" x14ac:dyDescent="0.3">
      <c r="F85265" s="193"/>
    </row>
    <row r="85266" spans="6:6" x14ac:dyDescent="0.3">
      <c r="F85266" s="193"/>
    </row>
    <row r="85267" spans="6:6" x14ac:dyDescent="0.3">
      <c r="F85267" s="193"/>
    </row>
    <row r="85268" spans="6:6" x14ac:dyDescent="0.3">
      <c r="F85268" s="193"/>
    </row>
    <row r="85269" spans="6:6" x14ac:dyDescent="0.3">
      <c r="F85269" s="193"/>
    </row>
    <row r="85270" spans="6:6" x14ac:dyDescent="0.3">
      <c r="F85270" s="193"/>
    </row>
    <row r="85271" spans="6:6" x14ac:dyDescent="0.3">
      <c r="F85271" s="193"/>
    </row>
    <row r="85272" spans="6:6" x14ac:dyDescent="0.3">
      <c r="F85272" s="193"/>
    </row>
    <row r="85273" spans="6:6" x14ac:dyDescent="0.3">
      <c r="F85273" s="193"/>
    </row>
    <row r="85274" spans="6:6" x14ac:dyDescent="0.3">
      <c r="F85274" s="193"/>
    </row>
    <row r="85275" spans="6:6" x14ac:dyDescent="0.3">
      <c r="F85275" s="193"/>
    </row>
    <row r="85276" spans="6:6" x14ac:dyDescent="0.3">
      <c r="F85276" s="193"/>
    </row>
    <row r="85277" spans="6:6" x14ac:dyDescent="0.3">
      <c r="F85277" s="193"/>
    </row>
    <row r="85278" spans="6:6" x14ac:dyDescent="0.3">
      <c r="F85278" s="193"/>
    </row>
    <row r="85279" spans="6:6" x14ac:dyDescent="0.3">
      <c r="F85279" s="193"/>
    </row>
    <row r="85280" spans="6:6" x14ac:dyDescent="0.3">
      <c r="F85280" s="193"/>
    </row>
    <row r="85281" spans="6:6" x14ac:dyDescent="0.3">
      <c r="F85281" s="193"/>
    </row>
    <row r="85282" spans="6:6" x14ac:dyDescent="0.3">
      <c r="F85282" s="193"/>
    </row>
    <row r="85283" spans="6:6" x14ac:dyDescent="0.3">
      <c r="F85283" s="193"/>
    </row>
    <row r="85284" spans="6:6" x14ac:dyDescent="0.3">
      <c r="F85284" s="193"/>
    </row>
    <row r="85285" spans="6:6" x14ac:dyDescent="0.3">
      <c r="F85285" s="193"/>
    </row>
    <row r="85286" spans="6:6" x14ac:dyDescent="0.3">
      <c r="F85286" s="193"/>
    </row>
    <row r="85287" spans="6:6" x14ac:dyDescent="0.3">
      <c r="F85287" s="193"/>
    </row>
    <row r="85288" spans="6:6" x14ac:dyDescent="0.3">
      <c r="F85288" s="193"/>
    </row>
    <row r="85289" spans="6:6" x14ac:dyDescent="0.3">
      <c r="F85289" s="193"/>
    </row>
    <row r="85290" spans="6:6" x14ac:dyDescent="0.3">
      <c r="F85290" s="193"/>
    </row>
    <row r="85291" spans="6:6" x14ac:dyDescent="0.3">
      <c r="F85291" s="193"/>
    </row>
    <row r="85292" spans="6:6" x14ac:dyDescent="0.3">
      <c r="F85292" s="193"/>
    </row>
    <row r="85293" spans="6:6" x14ac:dyDescent="0.3">
      <c r="F85293" s="193"/>
    </row>
    <row r="85294" spans="6:6" x14ac:dyDescent="0.3">
      <c r="F85294" s="193"/>
    </row>
    <row r="85295" spans="6:6" x14ac:dyDescent="0.3">
      <c r="F85295" s="193"/>
    </row>
    <row r="85296" spans="6:6" x14ac:dyDescent="0.3">
      <c r="F85296" s="193"/>
    </row>
    <row r="85297" spans="6:6" x14ac:dyDescent="0.3">
      <c r="F85297" s="193"/>
    </row>
    <row r="85298" spans="6:6" x14ac:dyDescent="0.3">
      <c r="F85298" s="193"/>
    </row>
    <row r="85299" spans="6:6" x14ac:dyDescent="0.3">
      <c r="F85299" s="193"/>
    </row>
    <row r="85300" spans="6:6" x14ac:dyDescent="0.3">
      <c r="F85300" s="193"/>
    </row>
    <row r="85301" spans="6:6" x14ac:dyDescent="0.3">
      <c r="F85301" s="193"/>
    </row>
    <row r="85302" spans="6:6" x14ac:dyDescent="0.3">
      <c r="F85302" s="193"/>
    </row>
    <row r="85303" spans="6:6" x14ac:dyDescent="0.3">
      <c r="F85303" s="193"/>
    </row>
    <row r="85304" spans="6:6" x14ac:dyDescent="0.3">
      <c r="F85304" s="193"/>
    </row>
    <row r="85305" spans="6:6" x14ac:dyDescent="0.3">
      <c r="F85305" s="193"/>
    </row>
    <row r="85306" spans="6:6" x14ac:dyDescent="0.3">
      <c r="F85306" s="193"/>
    </row>
    <row r="85307" spans="6:6" x14ac:dyDescent="0.3">
      <c r="F85307" s="193"/>
    </row>
    <row r="85308" spans="6:6" x14ac:dyDescent="0.3">
      <c r="F85308" s="193"/>
    </row>
    <row r="85309" spans="6:6" x14ac:dyDescent="0.3">
      <c r="F85309" s="193"/>
    </row>
    <row r="85310" spans="6:6" x14ac:dyDescent="0.3">
      <c r="F85310" s="193"/>
    </row>
    <row r="85311" spans="6:6" x14ac:dyDescent="0.3">
      <c r="F85311" s="193"/>
    </row>
    <row r="85312" spans="6:6" x14ac:dyDescent="0.3">
      <c r="F85312" s="193"/>
    </row>
    <row r="85313" spans="6:6" x14ac:dyDescent="0.3">
      <c r="F85313" s="193"/>
    </row>
    <row r="85314" spans="6:6" x14ac:dyDescent="0.3">
      <c r="F85314" s="193"/>
    </row>
    <row r="85315" spans="6:6" x14ac:dyDescent="0.3">
      <c r="F85315" s="193"/>
    </row>
    <row r="85316" spans="6:6" x14ac:dyDescent="0.3">
      <c r="F85316" s="193"/>
    </row>
    <row r="85317" spans="6:6" x14ac:dyDescent="0.3">
      <c r="F85317" s="193"/>
    </row>
    <row r="85318" spans="6:6" x14ac:dyDescent="0.3">
      <c r="F85318" s="193"/>
    </row>
    <row r="85319" spans="6:6" x14ac:dyDescent="0.3">
      <c r="F85319" s="193"/>
    </row>
    <row r="85320" spans="6:6" x14ac:dyDescent="0.3">
      <c r="F85320" s="193"/>
    </row>
    <row r="85321" spans="6:6" x14ac:dyDescent="0.3">
      <c r="F85321" s="193"/>
    </row>
    <row r="85322" spans="6:6" x14ac:dyDescent="0.3">
      <c r="F85322" s="193"/>
    </row>
    <row r="85323" spans="6:6" x14ac:dyDescent="0.3">
      <c r="F85323" s="193"/>
    </row>
    <row r="85324" spans="6:6" x14ac:dyDescent="0.3">
      <c r="F85324" s="193"/>
    </row>
    <row r="85325" spans="6:6" x14ac:dyDescent="0.3">
      <c r="F85325" s="193"/>
    </row>
    <row r="85326" spans="6:6" x14ac:dyDescent="0.3">
      <c r="F85326" s="193"/>
    </row>
    <row r="85327" spans="6:6" x14ac:dyDescent="0.3">
      <c r="F85327" s="193"/>
    </row>
    <row r="85328" spans="6:6" x14ac:dyDescent="0.3">
      <c r="F85328" s="193"/>
    </row>
    <row r="85329" spans="6:6" x14ac:dyDescent="0.3">
      <c r="F85329" s="193"/>
    </row>
    <row r="85330" spans="6:6" x14ac:dyDescent="0.3">
      <c r="F85330" s="193"/>
    </row>
    <row r="85331" spans="6:6" x14ac:dyDescent="0.3">
      <c r="F85331" s="193"/>
    </row>
    <row r="85332" spans="6:6" x14ac:dyDescent="0.3">
      <c r="F85332" s="193"/>
    </row>
    <row r="85333" spans="6:6" x14ac:dyDescent="0.3">
      <c r="F85333" s="193"/>
    </row>
    <row r="85334" spans="6:6" x14ac:dyDescent="0.3">
      <c r="F85334" s="193"/>
    </row>
    <row r="85335" spans="6:6" x14ac:dyDescent="0.3">
      <c r="F85335" s="193"/>
    </row>
    <row r="85336" spans="6:6" x14ac:dyDescent="0.3">
      <c r="F85336" s="193"/>
    </row>
    <row r="85337" spans="6:6" x14ac:dyDescent="0.3">
      <c r="F85337" s="193"/>
    </row>
    <row r="85338" spans="6:6" x14ac:dyDescent="0.3">
      <c r="F85338" s="193"/>
    </row>
    <row r="85339" spans="6:6" x14ac:dyDescent="0.3">
      <c r="F85339" s="193"/>
    </row>
    <row r="85340" spans="6:6" x14ac:dyDescent="0.3">
      <c r="F85340" s="193"/>
    </row>
    <row r="85341" spans="6:6" x14ac:dyDescent="0.3">
      <c r="F85341" s="193"/>
    </row>
    <row r="85342" spans="6:6" x14ac:dyDescent="0.3">
      <c r="F85342" s="193"/>
    </row>
    <row r="85343" spans="6:6" x14ac:dyDescent="0.3">
      <c r="F85343" s="193"/>
    </row>
    <row r="85344" spans="6:6" x14ac:dyDescent="0.3">
      <c r="F85344" s="193"/>
    </row>
    <row r="85345" spans="6:6" x14ac:dyDescent="0.3">
      <c r="F85345" s="193"/>
    </row>
    <row r="85346" spans="6:6" x14ac:dyDescent="0.3">
      <c r="F85346" s="193"/>
    </row>
    <row r="85347" spans="6:6" x14ac:dyDescent="0.3">
      <c r="F85347" s="193"/>
    </row>
    <row r="85348" spans="6:6" x14ac:dyDescent="0.3">
      <c r="F85348" s="193"/>
    </row>
    <row r="85349" spans="6:6" x14ac:dyDescent="0.3">
      <c r="F85349" s="193"/>
    </row>
    <row r="85350" spans="6:6" x14ac:dyDescent="0.3">
      <c r="F85350" s="193"/>
    </row>
    <row r="85351" spans="6:6" x14ac:dyDescent="0.3">
      <c r="F85351" s="193"/>
    </row>
    <row r="85352" spans="6:6" x14ac:dyDescent="0.3">
      <c r="F85352" s="193"/>
    </row>
    <row r="85353" spans="6:6" x14ac:dyDescent="0.3">
      <c r="F85353" s="193"/>
    </row>
    <row r="85354" spans="6:6" x14ac:dyDescent="0.3">
      <c r="F85354" s="193"/>
    </row>
    <row r="85355" spans="6:6" x14ac:dyDescent="0.3">
      <c r="F85355" s="193"/>
    </row>
    <row r="85356" spans="6:6" x14ac:dyDescent="0.3">
      <c r="F85356" s="193"/>
    </row>
    <row r="85357" spans="6:6" x14ac:dyDescent="0.3">
      <c r="F85357" s="193"/>
    </row>
    <row r="85358" spans="6:6" x14ac:dyDescent="0.3">
      <c r="F85358" s="193"/>
    </row>
    <row r="85359" spans="6:6" x14ac:dyDescent="0.3">
      <c r="F85359" s="193"/>
    </row>
    <row r="85360" spans="6:6" x14ac:dyDescent="0.3">
      <c r="F85360" s="193"/>
    </row>
    <row r="85361" spans="6:6" x14ac:dyDescent="0.3">
      <c r="F85361" s="193"/>
    </row>
    <row r="85362" spans="6:6" x14ac:dyDescent="0.3">
      <c r="F85362" s="193"/>
    </row>
    <row r="85363" spans="6:6" x14ac:dyDescent="0.3">
      <c r="F85363" s="193"/>
    </row>
    <row r="85364" spans="6:6" x14ac:dyDescent="0.3">
      <c r="F85364" s="193"/>
    </row>
    <row r="85365" spans="6:6" x14ac:dyDescent="0.3">
      <c r="F85365" s="193"/>
    </row>
    <row r="85366" spans="6:6" x14ac:dyDescent="0.3">
      <c r="F85366" s="193"/>
    </row>
    <row r="85367" spans="6:6" x14ac:dyDescent="0.3">
      <c r="F85367" s="193"/>
    </row>
    <row r="85368" spans="6:6" x14ac:dyDescent="0.3">
      <c r="F85368" s="193"/>
    </row>
    <row r="85369" spans="6:6" x14ac:dyDescent="0.3">
      <c r="F85369" s="193"/>
    </row>
    <row r="85370" spans="6:6" x14ac:dyDescent="0.3">
      <c r="F85370" s="193"/>
    </row>
    <row r="85371" spans="6:6" x14ac:dyDescent="0.3">
      <c r="F85371" s="193"/>
    </row>
    <row r="85372" spans="6:6" x14ac:dyDescent="0.3">
      <c r="F85372" s="193"/>
    </row>
    <row r="85373" spans="6:6" x14ac:dyDescent="0.3">
      <c r="F85373" s="193"/>
    </row>
    <row r="85374" spans="6:6" x14ac:dyDescent="0.3">
      <c r="F85374" s="193"/>
    </row>
    <row r="85375" spans="6:6" x14ac:dyDescent="0.3">
      <c r="F85375" s="193"/>
    </row>
    <row r="85376" spans="6:6" x14ac:dyDescent="0.3">
      <c r="F85376" s="193"/>
    </row>
    <row r="85377" spans="6:6" x14ac:dyDescent="0.3">
      <c r="F85377" s="193"/>
    </row>
    <row r="85378" spans="6:6" x14ac:dyDescent="0.3">
      <c r="F85378" s="193"/>
    </row>
    <row r="85379" spans="6:6" x14ac:dyDescent="0.3">
      <c r="F85379" s="193"/>
    </row>
    <row r="85380" spans="6:6" x14ac:dyDescent="0.3">
      <c r="F85380" s="193"/>
    </row>
    <row r="85381" spans="6:6" x14ac:dyDescent="0.3">
      <c r="F85381" s="193"/>
    </row>
    <row r="85382" spans="6:6" x14ac:dyDescent="0.3">
      <c r="F85382" s="193"/>
    </row>
    <row r="85383" spans="6:6" x14ac:dyDescent="0.3">
      <c r="F85383" s="193"/>
    </row>
    <row r="85384" spans="6:6" x14ac:dyDescent="0.3">
      <c r="F85384" s="193"/>
    </row>
    <row r="85385" spans="6:6" x14ac:dyDescent="0.3">
      <c r="F85385" s="193"/>
    </row>
    <row r="85386" spans="6:6" x14ac:dyDescent="0.3">
      <c r="F85386" s="193"/>
    </row>
    <row r="85387" spans="6:6" x14ac:dyDescent="0.3">
      <c r="F85387" s="193"/>
    </row>
    <row r="85388" spans="6:6" x14ac:dyDescent="0.3">
      <c r="F85388" s="193"/>
    </row>
    <row r="85389" spans="6:6" x14ac:dyDescent="0.3">
      <c r="F85389" s="193"/>
    </row>
    <row r="85390" spans="6:6" x14ac:dyDescent="0.3">
      <c r="F85390" s="193"/>
    </row>
    <row r="85391" spans="6:6" x14ac:dyDescent="0.3">
      <c r="F85391" s="193"/>
    </row>
    <row r="85392" spans="6:6" x14ac:dyDescent="0.3">
      <c r="F85392" s="193"/>
    </row>
    <row r="85393" spans="6:6" x14ac:dyDescent="0.3">
      <c r="F85393" s="193"/>
    </row>
    <row r="85394" spans="6:6" x14ac:dyDescent="0.3">
      <c r="F85394" s="193"/>
    </row>
    <row r="85395" spans="6:6" x14ac:dyDescent="0.3">
      <c r="F85395" s="193"/>
    </row>
    <row r="85396" spans="6:6" x14ac:dyDescent="0.3">
      <c r="F85396" s="193"/>
    </row>
    <row r="85397" spans="6:6" x14ac:dyDescent="0.3">
      <c r="F85397" s="193"/>
    </row>
    <row r="85398" spans="6:6" x14ac:dyDescent="0.3">
      <c r="F85398" s="193"/>
    </row>
    <row r="85399" spans="6:6" x14ac:dyDescent="0.3">
      <c r="F85399" s="193"/>
    </row>
    <row r="85400" spans="6:6" x14ac:dyDescent="0.3">
      <c r="F85400" s="193"/>
    </row>
    <row r="85401" spans="6:6" x14ac:dyDescent="0.3">
      <c r="F85401" s="193"/>
    </row>
    <row r="85402" spans="6:6" x14ac:dyDescent="0.3">
      <c r="F85402" s="193"/>
    </row>
    <row r="85403" spans="6:6" x14ac:dyDescent="0.3">
      <c r="F85403" s="193"/>
    </row>
    <row r="85404" spans="6:6" x14ac:dyDescent="0.3">
      <c r="F85404" s="193"/>
    </row>
    <row r="85405" spans="6:6" x14ac:dyDescent="0.3">
      <c r="F85405" s="193"/>
    </row>
    <row r="85406" spans="6:6" x14ac:dyDescent="0.3">
      <c r="F85406" s="193"/>
    </row>
    <row r="85407" spans="6:6" x14ac:dyDescent="0.3">
      <c r="F85407" s="193"/>
    </row>
    <row r="85408" spans="6:6" x14ac:dyDescent="0.3">
      <c r="F85408" s="193"/>
    </row>
    <row r="85409" spans="6:6" x14ac:dyDescent="0.3">
      <c r="F85409" s="193"/>
    </row>
    <row r="85410" spans="6:6" x14ac:dyDescent="0.3">
      <c r="F85410" s="193"/>
    </row>
    <row r="85411" spans="6:6" x14ac:dyDescent="0.3">
      <c r="F85411" s="193"/>
    </row>
    <row r="85412" spans="6:6" x14ac:dyDescent="0.3">
      <c r="F85412" s="193"/>
    </row>
    <row r="85413" spans="6:6" x14ac:dyDescent="0.3">
      <c r="F85413" s="193"/>
    </row>
    <row r="85414" spans="6:6" x14ac:dyDescent="0.3">
      <c r="F85414" s="193"/>
    </row>
    <row r="85415" spans="6:6" x14ac:dyDescent="0.3">
      <c r="F85415" s="193"/>
    </row>
    <row r="85416" spans="6:6" x14ac:dyDescent="0.3">
      <c r="F85416" s="193"/>
    </row>
    <row r="85417" spans="6:6" x14ac:dyDescent="0.3">
      <c r="F85417" s="193"/>
    </row>
    <row r="85418" spans="6:6" x14ac:dyDescent="0.3">
      <c r="F85418" s="193"/>
    </row>
    <row r="85419" spans="6:6" x14ac:dyDescent="0.3">
      <c r="F85419" s="193"/>
    </row>
    <row r="85420" spans="6:6" x14ac:dyDescent="0.3">
      <c r="F85420" s="193"/>
    </row>
    <row r="85421" spans="6:6" x14ac:dyDescent="0.3">
      <c r="F85421" s="193"/>
    </row>
    <row r="85422" spans="6:6" x14ac:dyDescent="0.3">
      <c r="F85422" s="193"/>
    </row>
    <row r="85423" spans="6:6" x14ac:dyDescent="0.3">
      <c r="F85423" s="193"/>
    </row>
    <row r="85424" spans="6:6" x14ac:dyDescent="0.3">
      <c r="F85424" s="193"/>
    </row>
    <row r="85425" spans="6:6" x14ac:dyDescent="0.3">
      <c r="F85425" s="193"/>
    </row>
    <row r="85426" spans="6:6" x14ac:dyDescent="0.3">
      <c r="F85426" s="193"/>
    </row>
    <row r="85427" spans="6:6" x14ac:dyDescent="0.3">
      <c r="F85427" s="193"/>
    </row>
    <row r="85428" spans="6:6" x14ac:dyDescent="0.3">
      <c r="F85428" s="193"/>
    </row>
    <row r="85429" spans="6:6" x14ac:dyDescent="0.3">
      <c r="F85429" s="193"/>
    </row>
    <row r="85430" spans="6:6" x14ac:dyDescent="0.3">
      <c r="F85430" s="193"/>
    </row>
    <row r="85431" spans="6:6" x14ac:dyDescent="0.3">
      <c r="F85431" s="193"/>
    </row>
    <row r="85432" spans="6:6" x14ac:dyDescent="0.3">
      <c r="F85432" s="193"/>
    </row>
    <row r="85433" spans="6:6" x14ac:dyDescent="0.3">
      <c r="F85433" s="193"/>
    </row>
    <row r="85434" spans="6:6" x14ac:dyDescent="0.3">
      <c r="F85434" s="193"/>
    </row>
    <row r="85435" spans="6:6" x14ac:dyDescent="0.3">
      <c r="F85435" s="193"/>
    </row>
    <row r="85436" spans="6:6" x14ac:dyDescent="0.3">
      <c r="F85436" s="193"/>
    </row>
    <row r="85437" spans="6:6" x14ac:dyDescent="0.3">
      <c r="F85437" s="193"/>
    </row>
    <row r="85438" spans="6:6" x14ac:dyDescent="0.3">
      <c r="F85438" s="193"/>
    </row>
    <row r="85439" spans="6:6" x14ac:dyDescent="0.3">
      <c r="F85439" s="193"/>
    </row>
    <row r="85440" spans="6:6" x14ac:dyDescent="0.3">
      <c r="F85440" s="193"/>
    </row>
    <row r="85441" spans="6:6" x14ac:dyDescent="0.3">
      <c r="F85441" s="193"/>
    </row>
    <row r="85442" spans="6:6" x14ac:dyDescent="0.3">
      <c r="F85442" s="193"/>
    </row>
    <row r="85443" spans="6:6" x14ac:dyDescent="0.3">
      <c r="F85443" s="193"/>
    </row>
    <row r="85444" spans="6:6" x14ac:dyDescent="0.3">
      <c r="F85444" s="193"/>
    </row>
    <row r="85445" spans="6:6" x14ac:dyDescent="0.3">
      <c r="F85445" s="193"/>
    </row>
    <row r="85446" spans="6:6" x14ac:dyDescent="0.3">
      <c r="F85446" s="193"/>
    </row>
    <row r="85447" spans="6:6" x14ac:dyDescent="0.3">
      <c r="F85447" s="193"/>
    </row>
    <row r="85448" spans="6:6" x14ac:dyDescent="0.3">
      <c r="F85448" s="193"/>
    </row>
    <row r="85449" spans="6:6" x14ac:dyDescent="0.3">
      <c r="F85449" s="193"/>
    </row>
    <row r="85450" spans="6:6" x14ac:dyDescent="0.3">
      <c r="F85450" s="193"/>
    </row>
    <row r="85451" spans="6:6" x14ac:dyDescent="0.3">
      <c r="F85451" s="193"/>
    </row>
    <row r="85452" spans="6:6" x14ac:dyDescent="0.3">
      <c r="F85452" s="193"/>
    </row>
    <row r="85453" spans="6:6" x14ac:dyDescent="0.3">
      <c r="F85453" s="193"/>
    </row>
    <row r="85454" spans="6:6" x14ac:dyDescent="0.3">
      <c r="F85454" s="193"/>
    </row>
    <row r="85455" spans="6:6" x14ac:dyDescent="0.3">
      <c r="F85455" s="193"/>
    </row>
    <row r="85456" spans="6:6" x14ac:dyDescent="0.3">
      <c r="F85456" s="193"/>
    </row>
    <row r="85457" spans="6:6" x14ac:dyDescent="0.3">
      <c r="F85457" s="193"/>
    </row>
    <row r="85458" spans="6:6" x14ac:dyDescent="0.3">
      <c r="F85458" s="193"/>
    </row>
    <row r="85459" spans="6:6" x14ac:dyDescent="0.3">
      <c r="F85459" s="193"/>
    </row>
    <row r="85460" spans="6:6" x14ac:dyDescent="0.3">
      <c r="F85460" s="193"/>
    </row>
    <row r="85461" spans="6:6" x14ac:dyDescent="0.3">
      <c r="F85461" s="193"/>
    </row>
    <row r="85462" spans="6:6" x14ac:dyDescent="0.3">
      <c r="F85462" s="193"/>
    </row>
    <row r="85463" spans="6:6" x14ac:dyDescent="0.3">
      <c r="F85463" s="193"/>
    </row>
    <row r="85464" spans="6:6" x14ac:dyDescent="0.3">
      <c r="F85464" s="193"/>
    </row>
    <row r="85465" spans="6:6" x14ac:dyDescent="0.3">
      <c r="F85465" s="193"/>
    </row>
    <row r="85466" spans="6:6" x14ac:dyDescent="0.3">
      <c r="F85466" s="193"/>
    </row>
    <row r="85467" spans="6:6" x14ac:dyDescent="0.3">
      <c r="F85467" s="193"/>
    </row>
    <row r="85468" spans="6:6" x14ac:dyDescent="0.3">
      <c r="F85468" s="193"/>
    </row>
    <row r="85469" spans="6:6" x14ac:dyDescent="0.3">
      <c r="F85469" s="193"/>
    </row>
    <row r="85470" spans="6:6" x14ac:dyDescent="0.3">
      <c r="F85470" s="193"/>
    </row>
    <row r="85471" spans="6:6" x14ac:dyDescent="0.3">
      <c r="F85471" s="193"/>
    </row>
    <row r="85472" spans="6:6" x14ac:dyDescent="0.3">
      <c r="F85472" s="193"/>
    </row>
    <row r="85473" spans="6:6" x14ac:dyDescent="0.3">
      <c r="F85473" s="193"/>
    </row>
    <row r="85474" spans="6:6" x14ac:dyDescent="0.3">
      <c r="F85474" s="193"/>
    </row>
    <row r="85475" spans="6:6" x14ac:dyDescent="0.3">
      <c r="F85475" s="193"/>
    </row>
    <row r="85476" spans="6:6" x14ac:dyDescent="0.3">
      <c r="F85476" s="193"/>
    </row>
    <row r="85477" spans="6:6" x14ac:dyDescent="0.3">
      <c r="F85477" s="193"/>
    </row>
    <row r="85478" spans="6:6" x14ac:dyDescent="0.3">
      <c r="F85478" s="193"/>
    </row>
    <row r="85479" spans="6:6" x14ac:dyDescent="0.3">
      <c r="F85479" s="193"/>
    </row>
    <row r="85480" spans="6:6" x14ac:dyDescent="0.3">
      <c r="F85480" s="193"/>
    </row>
    <row r="85481" spans="6:6" x14ac:dyDescent="0.3">
      <c r="F85481" s="193"/>
    </row>
    <row r="85482" spans="6:6" x14ac:dyDescent="0.3">
      <c r="F85482" s="193"/>
    </row>
    <row r="85483" spans="6:6" x14ac:dyDescent="0.3">
      <c r="F85483" s="193"/>
    </row>
    <row r="85484" spans="6:6" x14ac:dyDescent="0.3">
      <c r="F85484" s="193"/>
    </row>
    <row r="85485" spans="6:6" x14ac:dyDescent="0.3">
      <c r="F85485" s="193"/>
    </row>
    <row r="85486" spans="6:6" x14ac:dyDescent="0.3">
      <c r="F85486" s="193"/>
    </row>
    <row r="85487" spans="6:6" x14ac:dyDescent="0.3">
      <c r="F85487" s="193"/>
    </row>
    <row r="85488" spans="6:6" x14ac:dyDescent="0.3">
      <c r="F85488" s="193"/>
    </row>
    <row r="85489" spans="6:6" x14ac:dyDescent="0.3">
      <c r="F85489" s="193"/>
    </row>
    <row r="85490" spans="6:6" x14ac:dyDescent="0.3">
      <c r="F85490" s="193"/>
    </row>
    <row r="85491" spans="6:6" x14ac:dyDescent="0.3">
      <c r="F85491" s="193"/>
    </row>
    <row r="85492" spans="6:6" x14ac:dyDescent="0.3">
      <c r="F85492" s="193"/>
    </row>
    <row r="85493" spans="6:6" x14ac:dyDescent="0.3">
      <c r="F85493" s="193"/>
    </row>
    <row r="85494" spans="6:6" x14ac:dyDescent="0.3">
      <c r="F85494" s="193"/>
    </row>
    <row r="85495" spans="6:6" x14ac:dyDescent="0.3">
      <c r="F85495" s="193"/>
    </row>
    <row r="85496" spans="6:6" x14ac:dyDescent="0.3">
      <c r="F85496" s="193"/>
    </row>
    <row r="85497" spans="6:6" x14ac:dyDescent="0.3">
      <c r="F85497" s="193"/>
    </row>
    <row r="85498" spans="6:6" x14ac:dyDescent="0.3">
      <c r="F85498" s="193"/>
    </row>
    <row r="85499" spans="6:6" x14ac:dyDescent="0.3">
      <c r="F85499" s="193"/>
    </row>
    <row r="85500" spans="6:6" x14ac:dyDescent="0.3">
      <c r="F85500" s="193"/>
    </row>
    <row r="85501" spans="6:6" x14ac:dyDescent="0.3">
      <c r="F85501" s="193"/>
    </row>
    <row r="85502" spans="6:6" x14ac:dyDescent="0.3">
      <c r="F85502" s="193"/>
    </row>
    <row r="85503" spans="6:6" x14ac:dyDescent="0.3">
      <c r="F85503" s="193"/>
    </row>
    <row r="85504" spans="6:6" x14ac:dyDescent="0.3">
      <c r="F85504" s="193"/>
    </row>
    <row r="85505" spans="6:6" x14ac:dyDescent="0.3">
      <c r="F85505" s="193"/>
    </row>
    <row r="85506" spans="6:6" x14ac:dyDescent="0.3">
      <c r="F85506" s="193"/>
    </row>
    <row r="85507" spans="6:6" x14ac:dyDescent="0.3">
      <c r="F85507" s="193"/>
    </row>
    <row r="85508" spans="6:6" x14ac:dyDescent="0.3">
      <c r="F85508" s="193"/>
    </row>
    <row r="85509" spans="6:6" x14ac:dyDescent="0.3">
      <c r="F85509" s="193"/>
    </row>
    <row r="85510" spans="6:6" x14ac:dyDescent="0.3">
      <c r="F85510" s="193"/>
    </row>
    <row r="85511" spans="6:6" x14ac:dyDescent="0.3">
      <c r="F85511" s="193"/>
    </row>
    <row r="85512" spans="6:6" x14ac:dyDescent="0.3">
      <c r="F85512" s="193"/>
    </row>
    <row r="85513" spans="6:6" x14ac:dyDescent="0.3">
      <c r="F85513" s="193"/>
    </row>
    <row r="85514" spans="6:6" x14ac:dyDescent="0.3">
      <c r="F85514" s="193"/>
    </row>
    <row r="85515" spans="6:6" x14ac:dyDescent="0.3">
      <c r="F85515" s="193"/>
    </row>
    <row r="85516" spans="6:6" x14ac:dyDescent="0.3">
      <c r="F85516" s="193"/>
    </row>
    <row r="85517" spans="6:6" x14ac:dyDescent="0.3">
      <c r="F85517" s="193"/>
    </row>
    <row r="85518" spans="6:6" x14ac:dyDescent="0.3">
      <c r="F85518" s="193"/>
    </row>
    <row r="85519" spans="6:6" x14ac:dyDescent="0.3">
      <c r="F85519" s="193"/>
    </row>
    <row r="85520" spans="6:6" x14ac:dyDescent="0.3">
      <c r="F85520" s="193"/>
    </row>
    <row r="85521" spans="6:6" x14ac:dyDescent="0.3">
      <c r="F85521" s="193"/>
    </row>
    <row r="85522" spans="6:6" x14ac:dyDescent="0.3">
      <c r="F85522" s="193"/>
    </row>
    <row r="85523" spans="6:6" x14ac:dyDescent="0.3">
      <c r="F85523" s="193"/>
    </row>
    <row r="85524" spans="6:6" x14ac:dyDescent="0.3">
      <c r="F85524" s="193"/>
    </row>
    <row r="85525" spans="6:6" x14ac:dyDescent="0.3">
      <c r="F85525" s="193"/>
    </row>
    <row r="85526" spans="6:6" x14ac:dyDescent="0.3">
      <c r="F85526" s="193"/>
    </row>
    <row r="85527" spans="6:6" x14ac:dyDescent="0.3">
      <c r="F85527" s="193"/>
    </row>
    <row r="85528" spans="6:6" x14ac:dyDescent="0.3">
      <c r="F85528" s="193"/>
    </row>
    <row r="85529" spans="6:6" x14ac:dyDescent="0.3">
      <c r="F85529" s="193"/>
    </row>
    <row r="85530" spans="6:6" x14ac:dyDescent="0.3">
      <c r="F85530" s="193"/>
    </row>
    <row r="85531" spans="6:6" x14ac:dyDescent="0.3">
      <c r="F85531" s="193"/>
    </row>
    <row r="85532" spans="6:6" x14ac:dyDescent="0.3">
      <c r="F85532" s="193"/>
    </row>
    <row r="85533" spans="6:6" x14ac:dyDescent="0.3">
      <c r="F85533" s="193"/>
    </row>
    <row r="85534" spans="6:6" x14ac:dyDescent="0.3">
      <c r="F85534" s="193"/>
    </row>
    <row r="85535" spans="6:6" x14ac:dyDescent="0.3">
      <c r="F85535" s="193"/>
    </row>
    <row r="85536" spans="6:6" x14ac:dyDescent="0.3">
      <c r="F85536" s="193"/>
    </row>
    <row r="85537" spans="6:6" x14ac:dyDescent="0.3">
      <c r="F85537" s="193"/>
    </row>
    <row r="85538" spans="6:6" x14ac:dyDescent="0.3">
      <c r="F85538" s="193"/>
    </row>
    <row r="85539" spans="6:6" x14ac:dyDescent="0.3">
      <c r="F85539" s="193"/>
    </row>
    <row r="85540" spans="6:6" x14ac:dyDescent="0.3">
      <c r="F85540" s="193"/>
    </row>
    <row r="85541" spans="6:6" x14ac:dyDescent="0.3">
      <c r="F85541" s="193"/>
    </row>
    <row r="85542" spans="6:6" x14ac:dyDescent="0.3">
      <c r="F85542" s="193"/>
    </row>
    <row r="85543" spans="6:6" x14ac:dyDescent="0.3">
      <c r="F85543" s="193"/>
    </row>
    <row r="85544" spans="6:6" x14ac:dyDescent="0.3">
      <c r="F85544" s="193"/>
    </row>
    <row r="85545" spans="6:6" x14ac:dyDescent="0.3">
      <c r="F85545" s="193"/>
    </row>
    <row r="85546" spans="6:6" x14ac:dyDescent="0.3">
      <c r="F85546" s="193"/>
    </row>
    <row r="85547" spans="6:6" x14ac:dyDescent="0.3">
      <c r="F85547" s="193"/>
    </row>
    <row r="85548" spans="6:6" x14ac:dyDescent="0.3">
      <c r="F85548" s="193"/>
    </row>
    <row r="85549" spans="6:6" x14ac:dyDescent="0.3">
      <c r="F85549" s="193"/>
    </row>
    <row r="85550" spans="6:6" x14ac:dyDescent="0.3">
      <c r="F85550" s="193"/>
    </row>
    <row r="85551" spans="6:6" x14ac:dyDescent="0.3">
      <c r="F85551" s="193"/>
    </row>
    <row r="85552" spans="6:6" x14ac:dyDescent="0.3">
      <c r="F85552" s="193"/>
    </row>
    <row r="85553" spans="6:6" x14ac:dyDescent="0.3">
      <c r="F85553" s="193"/>
    </row>
    <row r="85554" spans="6:6" x14ac:dyDescent="0.3">
      <c r="F85554" s="193"/>
    </row>
    <row r="85555" spans="6:6" x14ac:dyDescent="0.3">
      <c r="F85555" s="193"/>
    </row>
    <row r="85556" spans="6:6" x14ac:dyDescent="0.3">
      <c r="F85556" s="193"/>
    </row>
    <row r="85557" spans="6:6" x14ac:dyDescent="0.3">
      <c r="F85557" s="193"/>
    </row>
    <row r="85558" spans="6:6" x14ac:dyDescent="0.3">
      <c r="F85558" s="193"/>
    </row>
    <row r="85559" spans="6:6" x14ac:dyDescent="0.3">
      <c r="F85559" s="193"/>
    </row>
    <row r="85560" spans="6:6" x14ac:dyDescent="0.3">
      <c r="F85560" s="193"/>
    </row>
    <row r="85561" spans="6:6" x14ac:dyDescent="0.3">
      <c r="F85561" s="193"/>
    </row>
    <row r="85562" spans="6:6" x14ac:dyDescent="0.3">
      <c r="F85562" s="193"/>
    </row>
    <row r="85563" spans="6:6" x14ac:dyDescent="0.3">
      <c r="F85563" s="193"/>
    </row>
    <row r="85564" spans="6:6" x14ac:dyDescent="0.3">
      <c r="F85564" s="193"/>
    </row>
    <row r="85565" spans="6:6" x14ac:dyDescent="0.3">
      <c r="F85565" s="193"/>
    </row>
    <row r="85566" spans="6:6" x14ac:dyDescent="0.3">
      <c r="F85566" s="193"/>
    </row>
    <row r="85567" spans="6:6" x14ac:dyDescent="0.3">
      <c r="F85567" s="193"/>
    </row>
    <row r="85568" spans="6:6" x14ac:dyDescent="0.3">
      <c r="F85568" s="193"/>
    </row>
    <row r="85569" spans="6:6" x14ac:dyDescent="0.3">
      <c r="F85569" s="193"/>
    </row>
    <row r="85570" spans="6:6" x14ac:dyDescent="0.3">
      <c r="F85570" s="193"/>
    </row>
    <row r="85571" spans="6:6" x14ac:dyDescent="0.3">
      <c r="F85571" s="193"/>
    </row>
    <row r="85572" spans="6:6" x14ac:dyDescent="0.3">
      <c r="F85572" s="193"/>
    </row>
    <row r="85573" spans="6:6" x14ac:dyDescent="0.3">
      <c r="F85573" s="193"/>
    </row>
    <row r="85574" spans="6:6" x14ac:dyDescent="0.3">
      <c r="F85574" s="193"/>
    </row>
    <row r="85575" spans="6:6" x14ac:dyDescent="0.3">
      <c r="F85575" s="193"/>
    </row>
    <row r="85576" spans="6:6" x14ac:dyDescent="0.3">
      <c r="F85576" s="193"/>
    </row>
    <row r="85577" spans="6:6" x14ac:dyDescent="0.3">
      <c r="F85577" s="193"/>
    </row>
    <row r="85578" spans="6:6" x14ac:dyDescent="0.3">
      <c r="F85578" s="193"/>
    </row>
    <row r="85579" spans="6:6" x14ac:dyDescent="0.3">
      <c r="F85579" s="193"/>
    </row>
    <row r="85580" spans="6:6" x14ac:dyDescent="0.3">
      <c r="F85580" s="193"/>
    </row>
    <row r="85581" spans="6:6" x14ac:dyDescent="0.3">
      <c r="F85581" s="193"/>
    </row>
    <row r="85582" spans="6:6" x14ac:dyDescent="0.3">
      <c r="F85582" s="193"/>
    </row>
    <row r="85583" spans="6:6" x14ac:dyDescent="0.3">
      <c r="F85583" s="193"/>
    </row>
    <row r="85584" spans="6:6" x14ac:dyDescent="0.3">
      <c r="F85584" s="193"/>
    </row>
    <row r="85585" spans="6:6" x14ac:dyDescent="0.3">
      <c r="F85585" s="193"/>
    </row>
    <row r="85586" spans="6:6" x14ac:dyDescent="0.3">
      <c r="F85586" s="193"/>
    </row>
    <row r="85587" spans="6:6" x14ac:dyDescent="0.3">
      <c r="F85587" s="193"/>
    </row>
    <row r="85588" spans="6:6" x14ac:dyDescent="0.3">
      <c r="F85588" s="193"/>
    </row>
    <row r="85589" spans="6:6" x14ac:dyDescent="0.3">
      <c r="F85589" s="193"/>
    </row>
    <row r="85590" spans="6:6" x14ac:dyDescent="0.3">
      <c r="F85590" s="193"/>
    </row>
    <row r="85591" spans="6:6" x14ac:dyDescent="0.3">
      <c r="F85591" s="193"/>
    </row>
    <row r="85592" spans="6:6" x14ac:dyDescent="0.3">
      <c r="F85592" s="193"/>
    </row>
    <row r="85593" spans="6:6" x14ac:dyDescent="0.3">
      <c r="F85593" s="193"/>
    </row>
    <row r="85594" spans="6:6" x14ac:dyDescent="0.3">
      <c r="F85594" s="193"/>
    </row>
    <row r="85595" spans="6:6" x14ac:dyDescent="0.3">
      <c r="F85595" s="193"/>
    </row>
    <row r="85596" spans="6:6" x14ac:dyDescent="0.3">
      <c r="F85596" s="193"/>
    </row>
    <row r="85597" spans="6:6" x14ac:dyDescent="0.3">
      <c r="F85597" s="193"/>
    </row>
    <row r="85598" spans="6:6" x14ac:dyDescent="0.3">
      <c r="F85598" s="193"/>
    </row>
    <row r="85599" spans="6:6" x14ac:dyDescent="0.3">
      <c r="F85599" s="193"/>
    </row>
    <row r="85600" spans="6:6" x14ac:dyDescent="0.3">
      <c r="F85600" s="193"/>
    </row>
    <row r="85601" spans="6:6" x14ac:dyDescent="0.3">
      <c r="F85601" s="193"/>
    </row>
    <row r="85602" spans="6:6" x14ac:dyDescent="0.3">
      <c r="F85602" s="193"/>
    </row>
    <row r="85603" spans="6:6" x14ac:dyDescent="0.3">
      <c r="F85603" s="193"/>
    </row>
    <row r="85604" spans="6:6" x14ac:dyDescent="0.3">
      <c r="F85604" s="193"/>
    </row>
    <row r="85605" spans="6:6" x14ac:dyDescent="0.3">
      <c r="F85605" s="193"/>
    </row>
    <row r="85606" spans="6:6" x14ac:dyDescent="0.3">
      <c r="F85606" s="193"/>
    </row>
    <row r="85607" spans="6:6" x14ac:dyDescent="0.3">
      <c r="F85607" s="193"/>
    </row>
    <row r="85608" spans="6:6" x14ac:dyDescent="0.3">
      <c r="F85608" s="193"/>
    </row>
    <row r="85609" spans="6:6" x14ac:dyDescent="0.3">
      <c r="F85609" s="193"/>
    </row>
    <row r="85610" spans="6:6" x14ac:dyDescent="0.3">
      <c r="F85610" s="193"/>
    </row>
    <row r="85611" spans="6:6" x14ac:dyDescent="0.3">
      <c r="F85611" s="193"/>
    </row>
    <row r="85612" spans="6:6" x14ac:dyDescent="0.3">
      <c r="F85612" s="193"/>
    </row>
    <row r="85613" spans="6:6" x14ac:dyDescent="0.3">
      <c r="F85613" s="193"/>
    </row>
    <row r="85614" spans="6:6" x14ac:dyDescent="0.3">
      <c r="F85614" s="193"/>
    </row>
    <row r="85615" spans="6:6" x14ac:dyDescent="0.3">
      <c r="F85615" s="193"/>
    </row>
    <row r="85616" spans="6:6" x14ac:dyDescent="0.3">
      <c r="F85616" s="193"/>
    </row>
    <row r="85617" spans="6:6" x14ac:dyDescent="0.3">
      <c r="F85617" s="193"/>
    </row>
    <row r="85618" spans="6:6" x14ac:dyDescent="0.3">
      <c r="F85618" s="193"/>
    </row>
    <row r="85619" spans="6:6" x14ac:dyDescent="0.3">
      <c r="F85619" s="193"/>
    </row>
    <row r="85620" spans="6:6" x14ac:dyDescent="0.3">
      <c r="F85620" s="193"/>
    </row>
    <row r="85621" spans="6:6" x14ac:dyDescent="0.3">
      <c r="F85621" s="193"/>
    </row>
    <row r="85622" spans="6:6" x14ac:dyDescent="0.3">
      <c r="F85622" s="193"/>
    </row>
    <row r="85623" spans="6:6" x14ac:dyDescent="0.3">
      <c r="F85623" s="193"/>
    </row>
    <row r="85624" spans="6:6" x14ac:dyDescent="0.3">
      <c r="F85624" s="193"/>
    </row>
    <row r="85625" spans="6:6" x14ac:dyDescent="0.3">
      <c r="F85625" s="193"/>
    </row>
    <row r="85626" spans="6:6" x14ac:dyDescent="0.3">
      <c r="F85626" s="193"/>
    </row>
    <row r="85627" spans="6:6" x14ac:dyDescent="0.3">
      <c r="F85627" s="193"/>
    </row>
    <row r="85628" spans="6:6" x14ac:dyDescent="0.3">
      <c r="F85628" s="193"/>
    </row>
    <row r="85629" spans="6:6" x14ac:dyDescent="0.3">
      <c r="F85629" s="193"/>
    </row>
    <row r="85630" spans="6:6" x14ac:dyDescent="0.3">
      <c r="F85630" s="193"/>
    </row>
    <row r="85631" spans="6:6" x14ac:dyDescent="0.3">
      <c r="F85631" s="193"/>
    </row>
    <row r="85632" spans="6:6" x14ac:dyDescent="0.3">
      <c r="F85632" s="193"/>
    </row>
    <row r="85633" spans="6:6" x14ac:dyDescent="0.3">
      <c r="F85633" s="193"/>
    </row>
    <row r="85634" spans="6:6" x14ac:dyDescent="0.3">
      <c r="F85634" s="193"/>
    </row>
    <row r="85635" spans="6:6" x14ac:dyDescent="0.3">
      <c r="F85635" s="193"/>
    </row>
    <row r="85636" spans="6:6" x14ac:dyDescent="0.3">
      <c r="F85636" s="193"/>
    </row>
    <row r="85637" spans="6:6" x14ac:dyDescent="0.3">
      <c r="F85637" s="193"/>
    </row>
    <row r="85638" spans="6:6" x14ac:dyDescent="0.3">
      <c r="F85638" s="193"/>
    </row>
    <row r="85639" spans="6:6" x14ac:dyDescent="0.3">
      <c r="F85639" s="193"/>
    </row>
    <row r="85640" spans="6:6" x14ac:dyDescent="0.3">
      <c r="F85640" s="193"/>
    </row>
    <row r="85641" spans="6:6" x14ac:dyDescent="0.3">
      <c r="F85641" s="193"/>
    </row>
    <row r="85642" spans="6:6" x14ac:dyDescent="0.3">
      <c r="F85642" s="193"/>
    </row>
    <row r="85643" spans="6:6" x14ac:dyDescent="0.3">
      <c r="F85643" s="193"/>
    </row>
    <row r="85644" spans="6:6" x14ac:dyDescent="0.3">
      <c r="F85644" s="193"/>
    </row>
    <row r="85645" spans="6:6" x14ac:dyDescent="0.3">
      <c r="F85645" s="193"/>
    </row>
    <row r="85646" spans="6:6" x14ac:dyDescent="0.3">
      <c r="F85646" s="193"/>
    </row>
    <row r="85647" spans="6:6" x14ac:dyDescent="0.3">
      <c r="F85647" s="193"/>
    </row>
    <row r="85648" spans="6:6" x14ac:dyDescent="0.3">
      <c r="F85648" s="193"/>
    </row>
    <row r="85649" spans="6:6" x14ac:dyDescent="0.3">
      <c r="F85649" s="193"/>
    </row>
    <row r="85650" spans="6:6" x14ac:dyDescent="0.3">
      <c r="F85650" s="193"/>
    </row>
    <row r="85651" spans="6:6" x14ac:dyDescent="0.3">
      <c r="F85651" s="193"/>
    </row>
    <row r="85652" spans="6:6" x14ac:dyDescent="0.3">
      <c r="F85652" s="193"/>
    </row>
    <row r="85653" spans="6:6" x14ac:dyDescent="0.3">
      <c r="F85653" s="193"/>
    </row>
    <row r="85654" spans="6:6" x14ac:dyDescent="0.3">
      <c r="F85654" s="193"/>
    </row>
    <row r="85655" spans="6:6" x14ac:dyDescent="0.3">
      <c r="F85655" s="193"/>
    </row>
    <row r="85656" spans="6:6" x14ac:dyDescent="0.3">
      <c r="F85656" s="193"/>
    </row>
    <row r="85657" spans="6:6" x14ac:dyDescent="0.3">
      <c r="F85657" s="193"/>
    </row>
    <row r="85658" spans="6:6" x14ac:dyDescent="0.3">
      <c r="F85658" s="193"/>
    </row>
    <row r="85659" spans="6:6" x14ac:dyDescent="0.3">
      <c r="F85659" s="193"/>
    </row>
    <row r="85660" spans="6:6" x14ac:dyDescent="0.3">
      <c r="F85660" s="193"/>
    </row>
    <row r="85661" spans="6:6" x14ac:dyDescent="0.3">
      <c r="F85661" s="193"/>
    </row>
    <row r="85662" spans="6:6" x14ac:dyDescent="0.3">
      <c r="F85662" s="193"/>
    </row>
    <row r="85663" spans="6:6" x14ac:dyDescent="0.3">
      <c r="F85663" s="193"/>
    </row>
    <row r="85664" spans="6:6" x14ac:dyDescent="0.3">
      <c r="F85664" s="193"/>
    </row>
    <row r="85665" spans="6:6" x14ac:dyDescent="0.3">
      <c r="F85665" s="193"/>
    </row>
    <row r="85666" spans="6:6" x14ac:dyDescent="0.3">
      <c r="F85666" s="193"/>
    </row>
    <row r="85667" spans="6:6" x14ac:dyDescent="0.3">
      <c r="F85667" s="193"/>
    </row>
    <row r="85668" spans="6:6" x14ac:dyDescent="0.3">
      <c r="F85668" s="193"/>
    </row>
    <row r="85669" spans="6:6" x14ac:dyDescent="0.3">
      <c r="F85669" s="193"/>
    </row>
    <row r="85670" spans="6:6" x14ac:dyDescent="0.3">
      <c r="F85670" s="193"/>
    </row>
    <row r="85671" spans="6:6" x14ac:dyDescent="0.3">
      <c r="F85671" s="193"/>
    </row>
    <row r="85672" spans="6:6" x14ac:dyDescent="0.3">
      <c r="F85672" s="193"/>
    </row>
    <row r="85673" spans="6:6" x14ac:dyDescent="0.3">
      <c r="F85673" s="193"/>
    </row>
    <row r="85674" spans="6:6" x14ac:dyDescent="0.3">
      <c r="F85674" s="193"/>
    </row>
    <row r="85675" spans="6:6" x14ac:dyDescent="0.3">
      <c r="F85675" s="193"/>
    </row>
    <row r="85676" spans="6:6" x14ac:dyDescent="0.3">
      <c r="F85676" s="193"/>
    </row>
    <row r="85677" spans="6:6" x14ac:dyDescent="0.3">
      <c r="F85677" s="193"/>
    </row>
    <row r="85678" spans="6:6" x14ac:dyDescent="0.3">
      <c r="F85678" s="193"/>
    </row>
    <row r="85679" spans="6:6" x14ac:dyDescent="0.3">
      <c r="F85679" s="193"/>
    </row>
    <row r="85680" spans="6:6" x14ac:dyDescent="0.3">
      <c r="F85680" s="193"/>
    </row>
    <row r="85681" spans="6:6" x14ac:dyDescent="0.3">
      <c r="F85681" s="193"/>
    </row>
    <row r="85682" spans="6:6" x14ac:dyDescent="0.3">
      <c r="F85682" s="193"/>
    </row>
    <row r="85683" spans="6:6" x14ac:dyDescent="0.3">
      <c r="F85683" s="193"/>
    </row>
    <row r="85684" spans="6:6" x14ac:dyDescent="0.3">
      <c r="F85684" s="193"/>
    </row>
    <row r="85685" spans="6:6" x14ac:dyDescent="0.3">
      <c r="F85685" s="193"/>
    </row>
    <row r="85686" spans="6:6" x14ac:dyDescent="0.3">
      <c r="F85686" s="193"/>
    </row>
    <row r="85687" spans="6:6" x14ac:dyDescent="0.3">
      <c r="F85687" s="193"/>
    </row>
    <row r="85688" spans="6:6" x14ac:dyDescent="0.3">
      <c r="F85688" s="193"/>
    </row>
    <row r="85689" spans="6:6" x14ac:dyDescent="0.3">
      <c r="F85689" s="193"/>
    </row>
    <row r="85690" spans="6:6" x14ac:dyDescent="0.3">
      <c r="F85690" s="193"/>
    </row>
    <row r="85691" spans="6:6" x14ac:dyDescent="0.3">
      <c r="F85691" s="193"/>
    </row>
    <row r="85692" spans="6:6" x14ac:dyDescent="0.3">
      <c r="F85692" s="193"/>
    </row>
    <row r="85693" spans="6:6" x14ac:dyDescent="0.3">
      <c r="F85693" s="193"/>
    </row>
    <row r="85694" spans="6:6" x14ac:dyDescent="0.3">
      <c r="F85694" s="193"/>
    </row>
    <row r="85695" spans="6:6" x14ac:dyDescent="0.3">
      <c r="F85695" s="193"/>
    </row>
    <row r="85696" spans="6:6" x14ac:dyDescent="0.3">
      <c r="F85696" s="193"/>
    </row>
    <row r="85697" spans="6:6" x14ac:dyDescent="0.3">
      <c r="F85697" s="193"/>
    </row>
    <row r="85698" spans="6:6" x14ac:dyDescent="0.3">
      <c r="F85698" s="193"/>
    </row>
    <row r="85699" spans="6:6" x14ac:dyDescent="0.3">
      <c r="F85699" s="193"/>
    </row>
    <row r="85700" spans="6:6" x14ac:dyDescent="0.3">
      <c r="F85700" s="193"/>
    </row>
    <row r="85701" spans="6:6" x14ac:dyDescent="0.3">
      <c r="F85701" s="193"/>
    </row>
    <row r="85702" spans="6:6" x14ac:dyDescent="0.3">
      <c r="F85702" s="193"/>
    </row>
    <row r="85703" spans="6:6" x14ac:dyDescent="0.3">
      <c r="F85703" s="193"/>
    </row>
    <row r="85704" spans="6:6" x14ac:dyDescent="0.3">
      <c r="F85704" s="193"/>
    </row>
    <row r="85705" spans="6:6" x14ac:dyDescent="0.3">
      <c r="F85705" s="193"/>
    </row>
    <row r="85706" spans="6:6" x14ac:dyDescent="0.3">
      <c r="F85706" s="193"/>
    </row>
    <row r="85707" spans="6:6" x14ac:dyDescent="0.3">
      <c r="F85707" s="193"/>
    </row>
    <row r="85708" spans="6:6" x14ac:dyDescent="0.3">
      <c r="F85708" s="193"/>
    </row>
    <row r="85709" spans="6:6" x14ac:dyDescent="0.3">
      <c r="F85709" s="193"/>
    </row>
    <row r="85710" spans="6:6" x14ac:dyDescent="0.3">
      <c r="F85710" s="193"/>
    </row>
    <row r="85711" spans="6:6" x14ac:dyDescent="0.3">
      <c r="F85711" s="193"/>
    </row>
    <row r="85712" spans="6:6" x14ac:dyDescent="0.3">
      <c r="F85712" s="193"/>
    </row>
    <row r="85713" spans="6:6" x14ac:dyDescent="0.3">
      <c r="F85713" s="193"/>
    </row>
    <row r="85714" spans="6:6" x14ac:dyDescent="0.3">
      <c r="F85714" s="193"/>
    </row>
    <row r="85715" spans="6:6" x14ac:dyDescent="0.3">
      <c r="F85715" s="193"/>
    </row>
    <row r="85716" spans="6:6" x14ac:dyDescent="0.3">
      <c r="F85716" s="193"/>
    </row>
    <row r="85717" spans="6:6" x14ac:dyDescent="0.3">
      <c r="F85717" s="193"/>
    </row>
    <row r="85718" spans="6:6" x14ac:dyDescent="0.3">
      <c r="F85718" s="193"/>
    </row>
    <row r="85719" spans="6:6" x14ac:dyDescent="0.3">
      <c r="F85719" s="193"/>
    </row>
    <row r="85720" spans="6:6" x14ac:dyDescent="0.3">
      <c r="F85720" s="193"/>
    </row>
    <row r="85721" spans="6:6" x14ac:dyDescent="0.3">
      <c r="F85721" s="193"/>
    </row>
    <row r="85722" spans="6:6" x14ac:dyDescent="0.3">
      <c r="F85722" s="193"/>
    </row>
    <row r="85723" spans="6:6" x14ac:dyDescent="0.3">
      <c r="F85723" s="193"/>
    </row>
    <row r="85724" spans="6:6" x14ac:dyDescent="0.3">
      <c r="F85724" s="193"/>
    </row>
    <row r="85725" spans="6:6" x14ac:dyDescent="0.3">
      <c r="F85725" s="193"/>
    </row>
    <row r="85726" spans="6:6" x14ac:dyDescent="0.3">
      <c r="F85726" s="193"/>
    </row>
    <row r="85727" spans="6:6" x14ac:dyDescent="0.3">
      <c r="F85727" s="193"/>
    </row>
    <row r="85728" spans="6:6" x14ac:dyDescent="0.3">
      <c r="F85728" s="193"/>
    </row>
    <row r="85729" spans="6:6" x14ac:dyDescent="0.3">
      <c r="F85729" s="193"/>
    </row>
    <row r="85730" spans="6:6" x14ac:dyDescent="0.3">
      <c r="F85730" s="193"/>
    </row>
    <row r="85731" spans="6:6" x14ac:dyDescent="0.3">
      <c r="F85731" s="193"/>
    </row>
    <row r="85732" spans="6:6" x14ac:dyDescent="0.3">
      <c r="F85732" s="193"/>
    </row>
    <row r="85733" spans="6:6" x14ac:dyDescent="0.3">
      <c r="F85733" s="193"/>
    </row>
    <row r="85734" spans="6:6" x14ac:dyDescent="0.3">
      <c r="F85734" s="193"/>
    </row>
    <row r="85735" spans="6:6" x14ac:dyDescent="0.3">
      <c r="F85735" s="193"/>
    </row>
    <row r="85736" spans="6:6" x14ac:dyDescent="0.3">
      <c r="F85736" s="193"/>
    </row>
    <row r="85737" spans="6:6" x14ac:dyDescent="0.3">
      <c r="F85737" s="193"/>
    </row>
    <row r="85738" spans="6:6" x14ac:dyDescent="0.3">
      <c r="F85738" s="193"/>
    </row>
    <row r="85739" spans="6:6" x14ac:dyDescent="0.3">
      <c r="F85739" s="193"/>
    </row>
    <row r="85740" spans="6:6" x14ac:dyDescent="0.3">
      <c r="F85740" s="193"/>
    </row>
    <row r="85741" spans="6:6" x14ac:dyDescent="0.3">
      <c r="F85741" s="193"/>
    </row>
    <row r="85742" spans="6:6" x14ac:dyDescent="0.3">
      <c r="F85742" s="193"/>
    </row>
    <row r="85743" spans="6:6" x14ac:dyDescent="0.3">
      <c r="F85743" s="193"/>
    </row>
    <row r="85744" spans="6:6" x14ac:dyDescent="0.3">
      <c r="F85744" s="193"/>
    </row>
    <row r="85745" spans="6:6" x14ac:dyDescent="0.3">
      <c r="F85745" s="193"/>
    </row>
    <row r="85746" spans="6:6" x14ac:dyDescent="0.3">
      <c r="F85746" s="193"/>
    </row>
    <row r="85747" spans="6:6" x14ac:dyDescent="0.3">
      <c r="F85747" s="193"/>
    </row>
    <row r="85748" spans="6:6" x14ac:dyDescent="0.3">
      <c r="F85748" s="193"/>
    </row>
    <row r="85749" spans="6:6" x14ac:dyDescent="0.3">
      <c r="F85749" s="193"/>
    </row>
    <row r="85750" spans="6:6" x14ac:dyDescent="0.3">
      <c r="F85750" s="193"/>
    </row>
    <row r="85751" spans="6:6" x14ac:dyDescent="0.3">
      <c r="F85751" s="193"/>
    </row>
    <row r="85752" spans="6:6" x14ac:dyDescent="0.3">
      <c r="F85752" s="193"/>
    </row>
    <row r="85753" spans="6:6" x14ac:dyDescent="0.3">
      <c r="F85753" s="193"/>
    </row>
    <row r="85754" spans="6:6" x14ac:dyDescent="0.3">
      <c r="F85754" s="193"/>
    </row>
    <row r="85755" spans="6:6" x14ac:dyDescent="0.3">
      <c r="F85755" s="193"/>
    </row>
    <row r="85756" spans="6:6" x14ac:dyDescent="0.3">
      <c r="F85756" s="193"/>
    </row>
    <row r="85757" spans="6:6" x14ac:dyDescent="0.3">
      <c r="F85757" s="193"/>
    </row>
    <row r="85758" spans="6:6" x14ac:dyDescent="0.3">
      <c r="F85758" s="193"/>
    </row>
    <row r="85759" spans="6:6" x14ac:dyDescent="0.3">
      <c r="F85759" s="193"/>
    </row>
    <row r="85760" spans="6:6" x14ac:dyDescent="0.3">
      <c r="F85760" s="193"/>
    </row>
    <row r="85761" spans="6:6" x14ac:dyDescent="0.3">
      <c r="F85761" s="193"/>
    </row>
    <row r="85762" spans="6:6" x14ac:dyDescent="0.3">
      <c r="F85762" s="193"/>
    </row>
    <row r="85763" spans="6:6" x14ac:dyDescent="0.3">
      <c r="F85763" s="193"/>
    </row>
    <row r="85764" spans="6:6" x14ac:dyDescent="0.3">
      <c r="F85764" s="193"/>
    </row>
    <row r="85765" spans="6:6" x14ac:dyDescent="0.3">
      <c r="F85765" s="193"/>
    </row>
    <row r="85766" spans="6:6" x14ac:dyDescent="0.3">
      <c r="F85766" s="193"/>
    </row>
    <row r="85767" spans="6:6" x14ac:dyDescent="0.3">
      <c r="F85767" s="193"/>
    </row>
    <row r="85768" spans="6:6" x14ac:dyDescent="0.3">
      <c r="F85768" s="193"/>
    </row>
    <row r="85769" spans="6:6" x14ac:dyDescent="0.3">
      <c r="F85769" s="193"/>
    </row>
    <row r="85770" spans="6:6" x14ac:dyDescent="0.3">
      <c r="F85770" s="193"/>
    </row>
    <row r="85771" spans="6:6" x14ac:dyDescent="0.3">
      <c r="F85771" s="193"/>
    </row>
    <row r="85772" spans="6:6" x14ac:dyDescent="0.3">
      <c r="F85772" s="193"/>
    </row>
    <row r="85773" spans="6:6" x14ac:dyDescent="0.3">
      <c r="F85773" s="193"/>
    </row>
    <row r="85774" spans="6:6" x14ac:dyDescent="0.3">
      <c r="F85774" s="193"/>
    </row>
    <row r="85775" spans="6:6" x14ac:dyDescent="0.3">
      <c r="F85775" s="193"/>
    </row>
    <row r="85776" spans="6:6" x14ac:dyDescent="0.3">
      <c r="F85776" s="193"/>
    </row>
    <row r="85777" spans="6:6" x14ac:dyDescent="0.3">
      <c r="F85777" s="193"/>
    </row>
    <row r="85778" spans="6:6" x14ac:dyDescent="0.3">
      <c r="F85778" s="193"/>
    </row>
    <row r="85779" spans="6:6" x14ac:dyDescent="0.3">
      <c r="F85779" s="193"/>
    </row>
    <row r="85780" spans="6:6" x14ac:dyDescent="0.3">
      <c r="F85780" s="193"/>
    </row>
    <row r="85781" spans="6:6" x14ac:dyDescent="0.3">
      <c r="F85781" s="193"/>
    </row>
    <row r="85782" spans="6:6" x14ac:dyDescent="0.3">
      <c r="F85782" s="193"/>
    </row>
    <row r="85783" spans="6:6" x14ac:dyDescent="0.3">
      <c r="F85783" s="193"/>
    </row>
    <row r="85784" spans="6:6" x14ac:dyDescent="0.3">
      <c r="F85784" s="193"/>
    </row>
    <row r="85785" spans="6:6" x14ac:dyDescent="0.3">
      <c r="F85785" s="193"/>
    </row>
    <row r="85786" spans="6:6" x14ac:dyDescent="0.3">
      <c r="F85786" s="193"/>
    </row>
    <row r="85787" spans="6:6" x14ac:dyDescent="0.3">
      <c r="F85787" s="193"/>
    </row>
    <row r="85788" spans="6:6" x14ac:dyDescent="0.3">
      <c r="F85788" s="193"/>
    </row>
    <row r="85789" spans="6:6" x14ac:dyDescent="0.3">
      <c r="F85789" s="193"/>
    </row>
    <row r="85790" spans="6:6" x14ac:dyDescent="0.3">
      <c r="F85790" s="193"/>
    </row>
    <row r="85791" spans="6:6" x14ac:dyDescent="0.3">
      <c r="F85791" s="193"/>
    </row>
    <row r="85792" spans="6:6" x14ac:dyDescent="0.3">
      <c r="F85792" s="193"/>
    </row>
    <row r="85793" spans="6:6" x14ac:dyDescent="0.3">
      <c r="F85793" s="193"/>
    </row>
    <row r="85794" spans="6:6" x14ac:dyDescent="0.3">
      <c r="F85794" s="193"/>
    </row>
    <row r="85795" spans="6:6" x14ac:dyDescent="0.3">
      <c r="F85795" s="193"/>
    </row>
    <row r="85796" spans="6:6" x14ac:dyDescent="0.3">
      <c r="F85796" s="193"/>
    </row>
    <row r="85797" spans="6:6" x14ac:dyDescent="0.3">
      <c r="F85797" s="193"/>
    </row>
    <row r="85798" spans="6:6" x14ac:dyDescent="0.3">
      <c r="F85798" s="193"/>
    </row>
    <row r="85799" spans="6:6" x14ac:dyDescent="0.3">
      <c r="F85799" s="193"/>
    </row>
    <row r="85800" spans="6:6" x14ac:dyDescent="0.3">
      <c r="F85800" s="193"/>
    </row>
    <row r="85801" spans="6:6" x14ac:dyDescent="0.3">
      <c r="F85801" s="193"/>
    </row>
    <row r="85802" spans="6:6" x14ac:dyDescent="0.3">
      <c r="F85802" s="193"/>
    </row>
    <row r="85803" spans="6:6" x14ac:dyDescent="0.3">
      <c r="F85803" s="193"/>
    </row>
    <row r="85804" spans="6:6" x14ac:dyDescent="0.3">
      <c r="F85804" s="193"/>
    </row>
    <row r="85805" spans="6:6" x14ac:dyDescent="0.3">
      <c r="F85805" s="193"/>
    </row>
    <row r="85806" spans="6:6" x14ac:dyDescent="0.3">
      <c r="F85806" s="193"/>
    </row>
    <row r="85807" spans="6:6" x14ac:dyDescent="0.3">
      <c r="F85807" s="193"/>
    </row>
    <row r="85808" spans="6:6" x14ac:dyDescent="0.3">
      <c r="F85808" s="193"/>
    </row>
    <row r="85809" spans="6:6" x14ac:dyDescent="0.3">
      <c r="F85809" s="193"/>
    </row>
    <row r="85810" spans="6:6" x14ac:dyDescent="0.3">
      <c r="F85810" s="193"/>
    </row>
    <row r="85811" spans="6:6" x14ac:dyDescent="0.3">
      <c r="F85811" s="193"/>
    </row>
    <row r="85812" spans="6:6" x14ac:dyDescent="0.3">
      <c r="F85812" s="193"/>
    </row>
    <row r="85813" spans="6:6" x14ac:dyDescent="0.3">
      <c r="F85813" s="193"/>
    </row>
    <row r="85814" spans="6:6" x14ac:dyDescent="0.3">
      <c r="F85814" s="193"/>
    </row>
    <row r="85815" spans="6:6" x14ac:dyDescent="0.3">
      <c r="F85815" s="193"/>
    </row>
    <row r="85816" spans="6:6" x14ac:dyDescent="0.3">
      <c r="F85816" s="193"/>
    </row>
    <row r="85817" spans="6:6" x14ac:dyDescent="0.3">
      <c r="F85817" s="193"/>
    </row>
    <row r="85818" spans="6:6" x14ac:dyDescent="0.3">
      <c r="F85818" s="193"/>
    </row>
    <row r="85819" spans="6:6" x14ac:dyDescent="0.3">
      <c r="F85819" s="193"/>
    </row>
    <row r="85820" spans="6:6" x14ac:dyDescent="0.3">
      <c r="F85820" s="193"/>
    </row>
    <row r="85821" spans="6:6" x14ac:dyDescent="0.3">
      <c r="F85821" s="193"/>
    </row>
    <row r="85822" spans="6:6" x14ac:dyDescent="0.3">
      <c r="F85822" s="193"/>
    </row>
    <row r="85823" spans="6:6" x14ac:dyDescent="0.3">
      <c r="F85823" s="193"/>
    </row>
    <row r="85824" spans="6:6" x14ac:dyDescent="0.3">
      <c r="F85824" s="193"/>
    </row>
    <row r="85825" spans="6:6" x14ac:dyDescent="0.3">
      <c r="F85825" s="193"/>
    </row>
    <row r="85826" spans="6:6" x14ac:dyDescent="0.3">
      <c r="F85826" s="193"/>
    </row>
    <row r="85827" spans="6:6" x14ac:dyDescent="0.3">
      <c r="F85827" s="193"/>
    </row>
    <row r="85828" spans="6:6" x14ac:dyDescent="0.3">
      <c r="F85828" s="193"/>
    </row>
    <row r="85829" spans="6:6" x14ac:dyDescent="0.3">
      <c r="F85829" s="193"/>
    </row>
    <row r="85830" spans="6:6" x14ac:dyDescent="0.3">
      <c r="F85830" s="193"/>
    </row>
    <row r="85831" spans="6:6" x14ac:dyDescent="0.3">
      <c r="F85831" s="193"/>
    </row>
    <row r="85832" spans="6:6" x14ac:dyDescent="0.3">
      <c r="F85832" s="193"/>
    </row>
    <row r="85833" spans="6:6" x14ac:dyDescent="0.3">
      <c r="F85833" s="193"/>
    </row>
    <row r="85834" spans="6:6" x14ac:dyDescent="0.3">
      <c r="F85834" s="193"/>
    </row>
    <row r="85835" spans="6:6" x14ac:dyDescent="0.3">
      <c r="F85835" s="193"/>
    </row>
    <row r="85836" spans="6:6" x14ac:dyDescent="0.3">
      <c r="F85836" s="193"/>
    </row>
    <row r="85837" spans="6:6" x14ac:dyDescent="0.3">
      <c r="F85837" s="193"/>
    </row>
    <row r="85838" spans="6:6" x14ac:dyDescent="0.3">
      <c r="F85838" s="193"/>
    </row>
    <row r="85839" spans="6:6" x14ac:dyDescent="0.3">
      <c r="F85839" s="193"/>
    </row>
    <row r="85840" spans="6:6" x14ac:dyDescent="0.3">
      <c r="F85840" s="193"/>
    </row>
    <row r="85841" spans="6:6" x14ac:dyDescent="0.3">
      <c r="F85841" s="193"/>
    </row>
    <row r="85842" spans="6:6" x14ac:dyDescent="0.3">
      <c r="F85842" s="193"/>
    </row>
    <row r="85843" spans="6:6" x14ac:dyDescent="0.3">
      <c r="F85843" s="193"/>
    </row>
    <row r="85844" spans="6:6" x14ac:dyDescent="0.3">
      <c r="F85844" s="193"/>
    </row>
    <row r="85845" spans="6:6" x14ac:dyDescent="0.3">
      <c r="F85845" s="193"/>
    </row>
    <row r="85846" spans="6:6" x14ac:dyDescent="0.3">
      <c r="F85846" s="193"/>
    </row>
    <row r="85847" spans="6:6" x14ac:dyDescent="0.3">
      <c r="F85847" s="193"/>
    </row>
    <row r="85848" spans="6:6" x14ac:dyDescent="0.3">
      <c r="F85848" s="193"/>
    </row>
    <row r="85849" spans="6:6" x14ac:dyDescent="0.3">
      <c r="F85849" s="193"/>
    </row>
    <row r="85850" spans="6:6" x14ac:dyDescent="0.3">
      <c r="F85850" s="193"/>
    </row>
    <row r="85851" spans="6:6" x14ac:dyDescent="0.3">
      <c r="F85851" s="193"/>
    </row>
    <row r="85852" spans="6:6" x14ac:dyDescent="0.3">
      <c r="F85852" s="193"/>
    </row>
    <row r="85853" spans="6:6" x14ac:dyDescent="0.3">
      <c r="F85853" s="193"/>
    </row>
    <row r="85854" spans="6:6" x14ac:dyDescent="0.3">
      <c r="F85854" s="193"/>
    </row>
    <row r="85855" spans="6:6" x14ac:dyDescent="0.3">
      <c r="F85855" s="193"/>
    </row>
    <row r="85856" spans="6:6" x14ac:dyDescent="0.3">
      <c r="F85856" s="193"/>
    </row>
    <row r="85857" spans="6:6" x14ac:dyDescent="0.3">
      <c r="F85857" s="193"/>
    </row>
    <row r="85858" spans="6:6" x14ac:dyDescent="0.3">
      <c r="F85858" s="193"/>
    </row>
    <row r="85859" spans="6:6" x14ac:dyDescent="0.3">
      <c r="F85859" s="193"/>
    </row>
    <row r="85860" spans="6:6" x14ac:dyDescent="0.3">
      <c r="F85860" s="193"/>
    </row>
    <row r="85861" spans="6:6" x14ac:dyDescent="0.3">
      <c r="F85861" s="193"/>
    </row>
    <row r="85862" spans="6:6" x14ac:dyDescent="0.3">
      <c r="F85862" s="193"/>
    </row>
    <row r="85863" spans="6:6" x14ac:dyDescent="0.3">
      <c r="F85863" s="193"/>
    </row>
    <row r="85864" spans="6:6" x14ac:dyDescent="0.3">
      <c r="F85864" s="193"/>
    </row>
    <row r="85865" spans="6:6" x14ac:dyDescent="0.3">
      <c r="F85865" s="193"/>
    </row>
    <row r="85866" spans="6:6" x14ac:dyDescent="0.3">
      <c r="F85866" s="193"/>
    </row>
    <row r="85867" spans="6:6" x14ac:dyDescent="0.3">
      <c r="F85867" s="193"/>
    </row>
    <row r="85868" spans="6:6" x14ac:dyDescent="0.3">
      <c r="F85868" s="193"/>
    </row>
    <row r="85869" spans="6:6" x14ac:dyDescent="0.3">
      <c r="F85869" s="193"/>
    </row>
    <row r="85870" spans="6:6" x14ac:dyDescent="0.3">
      <c r="F85870" s="193"/>
    </row>
    <row r="85871" spans="6:6" x14ac:dyDescent="0.3">
      <c r="F85871" s="193"/>
    </row>
    <row r="85872" spans="6:6" x14ac:dyDescent="0.3">
      <c r="F85872" s="193"/>
    </row>
    <row r="85873" spans="6:6" x14ac:dyDescent="0.3">
      <c r="F85873" s="193"/>
    </row>
    <row r="85874" spans="6:6" x14ac:dyDescent="0.3">
      <c r="F85874" s="193"/>
    </row>
    <row r="85875" spans="6:6" x14ac:dyDescent="0.3">
      <c r="F85875" s="193"/>
    </row>
    <row r="85876" spans="6:6" x14ac:dyDescent="0.3">
      <c r="F85876" s="193"/>
    </row>
    <row r="85877" spans="6:6" x14ac:dyDescent="0.3">
      <c r="F85877" s="193"/>
    </row>
    <row r="85878" spans="6:6" x14ac:dyDescent="0.3">
      <c r="F85878" s="193"/>
    </row>
    <row r="85879" spans="6:6" x14ac:dyDescent="0.3">
      <c r="F85879" s="193"/>
    </row>
    <row r="85880" spans="6:6" x14ac:dyDescent="0.3">
      <c r="F85880" s="193"/>
    </row>
    <row r="85881" spans="6:6" x14ac:dyDescent="0.3">
      <c r="F85881" s="193"/>
    </row>
    <row r="85882" spans="6:6" x14ac:dyDescent="0.3">
      <c r="F85882" s="193"/>
    </row>
    <row r="85883" spans="6:6" x14ac:dyDescent="0.3">
      <c r="F85883" s="193"/>
    </row>
    <row r="85884" spans="6:6" x14ac:dyDescent="0.3">
      <c r="F85884" s="193"/>
    </row>
    <row r="85885" spans="6:6" x14ac:dyDescent="0.3">
      <c r="F85885" s="193"/>
    </row>
    <row r="85886" spans="6:6" x14ac:dyDescent="0.3">
      <c r="F85886" s="193"/>
    </row>
    <row r="85887" spans="6:6" x14ac:dyDescent="0.3">
      <c r="F85887" s="193"/>
    </row>
    <row r="85888" spans="6:6" x14ac:dyDescent="0.3">
      <c r="F85888" s="193"/>
    </row>
    <row r="85889" spans="6:6" x14ac:dyDescent="0.3">
      <c r="F85889" s="193"/>
    </row>
    <row r="85890" spans="6:6" x14ac:dyDescent="0.3">
      <c r="F85890" s="193"/>
    </row>
    <row r="85891" spans="6:6" x14ac:dyDescent="0.3">
      <c r="F85891" s="193"/>
    </row>
    <row r="85892" spans="6:6" x14ac:dyDescent="0.3">
      <c r="F85892" s="193"/>
    </row>
    <row r="85893" spans="6:6" x14ac:dyDescent="0.3">
      <c r="F85893" s="193"/>
    </row>
    <row r="85894" spans="6:6" x14ac:dyDescent="0.3">
      <c r="F85894" s="193"/>
    </row>
    <row r="85895" spans="6:6" x14ac:dyDescent="0.3">
      <c r="F85895" s="193"/>
    </row>
    <row r="85896" spans="6:6" x14ac:dyDescent="0.3">
      <c r="F85896" s="193"/>
    </row>
    <row r="85897" spans="6:6" x14ac:dyDescent="0.3">
      <c r="F85897" s="193"/>
    </row>
    <row r="85898" spans="6:6" x14ac:dyDescent="0.3">
      <c r="F85898" s="193"/>
    </row>
    <row r="85899" spans="6:6" x14ac:dyDescent="0.3">
      <c r="F85899" s="193"/>
    </row>
    <row r="85900" spans="6:6" x14ac:dyDescent="0.3">
      <c r="F85900" s="193"/>
    </row>
    <row r="85901" spans="6:6" x14ac:dyDescent="0.3">
      <c r="F85901" s="193"/>
    </row>
    <row r="85902" spans="6:6" x14ac:dyDescent="0.3">
      <c r="F85902" s="193"/>
    </row>
    <row r="85903" spans="6:6" x14ac:dyDescent="0.3">
      <c r="F85903" s="193"/>
    </row>
    <row r="85904" spans="6:6" x14ac:dyDescent="0.3">
      <c r="F85904" s="193"/>
    </row>
    <row r="85905" spans="6:6" x14ac:dyDescent="0.3">
      <c r="F85905" s="193"/>
    </row>
    <row r="85906" spans="6:6" x14ac:dyDescent="0.3">
      <c r="F85906" s="193"/>
    </row>
    <row r="85907" spans="6:6" x14ac:dyDescent="0.3">
      <c r="F85907" s="193"/>
    </row>
    <row r="85908" spans="6:6" x14ac:dyDescent="0.3">
      <c r="F85908" s="193"/>
    </row>
    <row r="85909" spans="6:6" x14ac:dyDescent="0.3">
      <c r="F85909" s="193"/>
    </row>
    <row r="85910" spans="6:6" x14ac:dyDescent="0.3">
      <c r="F85910" s="193"/>
    </row>
    <row r="85911" spans="6:6" x14ac:dyDescent="0.3">
      <c r="F85911" s="193"/>
    </row>
    <row r="85912" spans="6:6" x14ac:dyDescent="0.3">
      <c r="F85912" s="193"/>
    </row>
    <row r="85913" spans="6:6" x14ac:dyDescent="0.3">
      <c r="F85913" s="193"/>
    </row>
    <row r="85914" spans="6:6" x14ac:dyDescent="0.3">
      <c r="F85914" s="193"/>
    </row>
    <row r="85915" spans="6:6" x14ac:dyDescent="0.3">
      <c r="F85915" s="193"/>
    </row>
    <row r="85916" spans="6:6" x14ac:dyDescent="0.3">
      <c r="F85916" s="193"/>
    </row>
    <row r="85917" spans="6:6" x14ac:dyDescent="0.3">
      <c r="F85917" s="193"/>
    </row>
    <row r="85918" spans="6:6" x14ac:dyDescent="0.3">
      <c r="F85918" s="193"/>
    </row>
    <row r="85919" spans="6:6" x14ac:dyDescent="0.3">
      <c r="F85919" s="193"/>
    </row>
    <row r="85920" spans="6:6" x14ac:dyDescent="0.3">
      <c r="F85920" s="193"/>
    </row>
    <row r="85921" spans="6:6" x14ac:dyDescent="0.3">
      <c r="F85921" s="193"/>
    </row>
    <row r="85922" spans="6:6" x14ac:dyDescent="0.3">
      <c r="F85922" s="193"/>
    </row>
    <row r="85923" spans="6:6" x14ac:dyDescent="0.3">
      <c r="F85923" s="193"/>
    </row>
    <row r="85924" spans="6:6" x14ac:dyDescent="0.3">
      <c r="F85924" s="193"/>
    </row>
    <row r="85925" spans="6:6" x14ac:dyDescent="0.3">
      <c r="F85925" s="193"/>
    </row>
    <row r="85926" spans="6:6" x14ac:dyDescent="0.3">
      <c r="F85926" s="193"/>
    </row>
    <row r="85927" spans="6:6" x14ac:dyDescent="0.3">
      <c r="F85927" s="193"/>
    </row>
    <row r="85928" spans="6:6" x14ac:dyDescent="0.3">
      <c r="F85928" s="193"/>
    </row>
    <row r="85929" spans="6:6" x14ac:dyDescent="0.3">
      <c r="F85929" s="193"/>
    </row>
    <row r="85930" spans="6:6" x14ac:dyDescent="0.3">
      <c r="F85930" s="193"/>
    </row>
    <row r="85931" spans="6:6" x14ac:dyDescent="0.3">
      <c r="F85931" s="193"/>
    </row>
    <row r="85932" spans="6:6" x14ac:dyDescent="0.3">
      <c r="F85932" s="193"/>
    </row>
    <row r="85933" spans="6:6" x14ac:dyDescent="0.3">
      <c r="F85933" s="193"/>
    </row>
    <row r="85934" spans="6:6" x14ac:dyDescent="0.3">
      <c r="F85934" s="193"/>
    </row>
    <row r="85935" spans="6:6" x14ac:dyDescent="0.3">
      <c r="F85935" s="193"/>
    </row>
    <row r="85936" spans="6:6" x14ac:dyDescent="0.3">
      <c r="F85936" s="193"/>
    </row>
    <row r="85937" spans="6:6" x14ac:dyDescent="0.3">
      <c r="F85937" s="193"/>
    </row>
    <row r="85938" spans="6:6" x14ac:dyDescent="0.3">
      <c r="F85938" s="193"/>
    </row>
    <row r="85939" spans="6:6" x14ac:dyDescent="0.3">
      <c r="F85939" s="193"/>
    </row>
    <row r="85940" spans="6:6" x14ac:dyDescent="0.3">
      <c r="F85940" s="193"/>
    </row>
    <row r="85941" spans="6:6" x14ac:dyDescent="0.3">
      <c r="F85941" s="193"/>
    </row>
    <row r="85942" spans="6:6" x14ac:dyDescent="0.3">
      <c r="F85942" s="193"/>
    </row>
    <row r="85943" spans="6:6" x14ac:dyDescent="0.3">
      <c r="F85943" s="193"/>
    </row>
    <row r="85944" spans="6:6" x14ac:dyDescent="0.3">
      <c r="F85944" s="193"/>
    </row>
    <row r="85945" spans="6:6" x14ac:dyDescent="0.3">
      <c r="F85945" s="193"/>
    </row>
    <row r="85946" spans="6:6" x14ac:dyDescent="0.3">
      <c r="F85946" s="193"/>
    </row>
    <row r="85947" spans="6:6" x14ac:dyDescent="0.3">
      <c r="F85947" s="193"/>
    </row>
    <row r="85948" spans="6:6" x14ac:dyDescent="0.3">
      <c r="F85948" s="193"/>
    </row>
    <row r="85949" spans="6:6" x14ac:dyDescent="0.3">
      <c r="F85949" s="193"/>
    </row>
    <row r="85950" spans="6:6" x14ac:dyDescent="0.3">
      <c r="F85950" s="193"/>
    </row>
    <row r="85951" spans="6:6" x14ac:dyDescent="0.3">
      <c r="F85951" s="193"/>
    </row>
    <row r="85952" spans="6:6" x14ac:dyDescent="0.3">
      <c r="F85952" s="193"/>
    </row>
    <row r="85953" spans="6:6" x14ac:dyDescent="0.3">
      <c r="F85953" s="193"/>
    </row>
    <row r="85954" spans="6:6" x14ac:dyDescent="0.3">
      <c r="F85954" s="193"/>
    </row>
    <row r="85955" spans="6:6" x14ac:dyDescent="0.3">
      <c r="F85955" s="193"/>
    </row>
    <row r="85956" spans="6:6" x14ac:dyDescent="0.3">
      <c r="F85956" s="193"/>
    </row>
    <row r="85957" spans="6:6" x14ac:dyDescent="0.3">
      <c r="F85957" s="193"/>
    </row>
    <row r="85958" spans="6:6" x14ac:dyDescent="0.3">
      <c r="F85958" s="193"/>
    </row>
    <row r="85959" spans="6:6" x14ac:dyDescent="0.3">
      <c r="F85959" s="193"/>
    </row>
    <row r="85960" spans="6:6" x14ac:dyDescent="0.3">
      <c r="F85960" s="193"/>
    </row>
    <row r="85961" spans="6:6" x14ac:dyDescent="0.3">
      <c r="F85961" s="193"/>
    </row>
    <row r="85962" spans="6:6" x14ac:dyDescent="0.3">
      <c r="F85962" s="193"/>
    </row>
    <row r="85963" spans="6:6" x14ac:dyDescent="0.3">
      <c r="F85963" s="193"/>
    </row>
    <row r="85964" spans="6:6" x14ac:dyDescent="0.3">
      <c r="F85964" s="193"/>
    </row>
    <row r="85965" spans="6:6" x14ac:dyDescent="0.3">
      <c r="F85965" s="193"/>
    </row>
    <row r="85966" spans="6:6" x14ac:dyDescent="0.3">
      <c r="F85966" s="193"/>
    </row>
    <row r="85967" spans="6:6" x14ac:dyDescent="0.3">
      <c r="F85967" s="193"/>
    </row>
    <row r="85968" spans="6:6" x14ac:dyDescent="0.3">
      <c r="F85968" s="193"/>
    </row>
    <row r="85969" spans="6:6" x14ac:dyDescent="0.3">
      <c r="F85969" s="193"/>
    </row>
    <row r="85970" spans="6:6" x14ac:dyDescent="0.3">
      <c r="F85970" s="193"/>
    </row>
    <row r="85971" spans="6:6" x14ac:dyDescent="0.3">
      <c r="F85971" s="193"/>
    </row>
    <row r="85972" spans="6:6" x14ac:dyDescent="0.3">
      <c r="F85972" s="193"/>
    </row>
    <row r="85973" spans="6:6" x14ac:dyDescent="0.3">
      <c r="F85973" s="193"/>
    </row>
    <row r="85974" spans="6:6" x14ac:dyDescent="0.3">
      <c r="F85974" s="193"/>
    </row>
    <row r="85975" spans="6:6" x14ac:dyDescent="0.3">
      <c r="F85975" s="193"/>
    </row>
    <row r="85976" spans="6:6" x14ac:dyDescent="0.3">
      <c r="F85976" s="193"/>
    </row>
    <row r="85977" spans="6:6" x14ac:dyDescent="0.3">
      <c r="F85977" s="193"/>
    </row>
    <row r="85978" spans="6:6" x14ac:dyDescent="0.3">
      <c r="F85978" s="193"/>
    </row>
    <row r="85979" spans="6:6" x14ac:dyDescent="0.3">
      <c r="F85979" s="193"/>
    </row>
    <row r="85980" spans="6:6" x14ac:dyDescent="0.3">
      <c r="F85980" s="193"/>
    </row>
    <row r="85981" spans="6:6" x14ac:dyDescent="0.3">
      <c r="F85981" s="193"/>
    </row>
    <row r="85982" spans="6:6" x14ac:dyDescent="0.3">
      <c r="F85982" s="193"/>
    </row>
    <row r="85983" spans="6:6" x14ac:dyDescent="0.3">
      <c r="F85983" s="193"/>
    </row>
    <row r="85984" spans="6:6" x14ac:dyDescent="0.3">
      <c r="F85984" s="193"/>
    </row>
    <row r="85985" spans="6:6" x14ac:dyDescent="0.3">
      <c r="F85985" s="193"/>
    </row>
    <row r="85986" spans="6:6" x14ac:dyDescent="0.3">
      <c r="F85986" s="193"/>
    </row>
    <row r="85987" spans="6:6" x14ac:dyDescent="0.3">
      <c r="F85987" s="193"/>
    </row>
    <row r="85988" spans="6:6" x14ac:dyDescent="0.3">
      <c r="F85988" s="193"/>
    </row>
    <row r="85989" spans="6:6" x14ac:dyDescent="0.3">
      <c r="F85989" s="193"/>
    </row>
    <row r="85990" spans="6:6" x14ac:dyDescent="0.3">
      <c r="F85990" s="193"/>
    </row>
    <row r="85991" spans="6:6" x14ac:dyDescent="0.3">
      <c r="F85991" s="193"/>
    </row>
    <row r="85992" spans="6:6" x14ac:dyDescent="0.3">
      <c r="F85992" s="193"/>
    </row>
    <row r="85993" spans="6:6" x14ac:dyDescent="0.3">
      <c r="F85993" s="193"/>
    </row>
    <row r="85994" spans="6:6" x14ac:dyDescent="0.3">
      <c r="F85994" s="193"/>
    </row>
    <row r="85995" spans="6:6" x14ac:dyDescent="0.3">
      <c r="F85995" s="193"/>
    </row>
    <row r="85996" spans="6:6" x14ac:dyDescent="0.3">
      <c r="F85996" s="193"/>
    </row>
    <row r="85997" spans="6:6" x14ac:dyDescent="0.3">
      <c r="F85997" s="193"/>
    </row>
    <row r="85998" spans="6:6" x14ac:dyDescent="0.3">
      <c r="F85998" s="193"/>
    </row>
    <row r="85999" spans="6:6" x14ac:dyDescent="0.3">
      <c r="F85999" s="193"/>
    </row>
    <row r="86000" spans="6:6" x14ac:dyDescent="0.3">
      <c r="F86000" s="193"/>
    </row>
    <row r="86001" spans="6:6" x14ac:dyDescent="0.3">
      <c r="F86001" s="193"/>
    </row>
    <row r="86002" spans="6:6" x14ac:dyDescent="0.3">
      <c r="F86002" s="193"/>
    </row>
    <row r="86003" spans="6:6" x14ac:dyDescent="0.3">
      <c r="F86003" s="193"/>
    </row>
    <row r="86004" spans="6:6" x14ac:dyDescent="0.3">
      <c r="F86004" s="193"/>
    </row>
    <row r="86005" spans="6:6" x14ac:dyDescent="0.3">
      <c r="F86005" s="193"/>
    </row>
    <row r="86006" spans="6:6" x14ac:dyDescent="0.3">
      <c r="F86006" s="193"/>
    </row>
    <row r="86007" spans="6:6" x14ac:dyDescent="0.3">
      <c r="F86007" s="193"/>
    </row>
    <row r="86008" spans="6:6" x14ac:dyDescent="0.3">
      <c r="F86008" s="193"/>
    </row>
    <row r="86009" spans="6:6" x14ac:dyDescent="0.3">
      <c r="F86009" s="193"/>
    </row>
    <row r="86010" spans="6:6" x14ac:dyDescent="0.3">
      <c r="F86010" s="193"/>
    </row>
    <row r="86011" spans="6:6" x14ac:dyDescent="0.3">
      <c r="F86011" s="193"/>
    </row>
    <row r="86012" spans="6:6" x14ac:dyDescent="0.3">
      <c r="F86012" s="193"/>
    </row>
    <row r="86013" spans="6:6" x14ac:dyDescent="0.3">
      <c r="F86013" s="193"/>
    </row>
    <row r="86014" spans="6:6" x14ac:dyDescent="0.3">
      <c r="F86014" s="193"/>
    </row>
    <row r="86015" spans="6:6" x14ac:dyDescent="0.3">
      <c r="F86015" s="193"/>
    </row>
    <row r="86016" spans="6:6" x14ac:dyDescent="0.3">
      <c r="F86016" s="193"/>
    </row>
    <row r="86017" spans="6:6" x14ac:dyDescent="0.3">
      <c r="F86017" s="193"/>
    </row>
    <row r="86018" spans="6:6" x14ac:dyDescent="0.3">
      <c r="F86018" s="193"/>
    </row>
    <row r="86019" spans="6:6" x14ac:dyDescent="0.3">
      <c r="F86019" s="193"/>
    </row>
    <row r="86020" spans="6:6" x14ac:dyDescent="0.3">
      <c r="F86020" s="193"/>
    </row>
    <row r="86021" spans="6:6" x14ac:dyDescent="0.3">
      <c r="F86021" s="193"/>
    </row>
    <row r="86022" spans="6:6" x14ac:dyDescent="0.3">
      <c r="F86022" s="193"/>
    </row>
    <row r="86023" spans="6:6" x14ac:dyDescent="0.3">
      <c r="F86023" s="193"/>
    </row>
    <row r="86024" spans="6:6" x14ac:dyDescent="0.3">
      <c r="F86024" s="193"/>
    </row>
    <row r="86025" spans="6:6" x14ac:dyDescent="0.3">
      <c r="F86025" s="193"/>
    </row>
    <row r="86026" spans="6:6" x14ac:dyDescent="0.3">
      <c r="F86026" s="193"/>
    </row>
    <row r="86027" spans="6:6" x14ac:dyDescent="0.3">
      <c r="F86027" s="193"/>
    </row>
    <row r="86028" spans="6:6" x14ac:dyDescent="0.3">
      <c r="F86028" s="193"/>
    </row>
    <row r="86029" spans="6:6" x14ac:dyDescent="0.3">
      <c r="F86029" s="193"/>
    </row>
    <row r="86030" spans="6:6" x14ac:dyDescent="0.3">
      <c r="F86030" s="193"/>
    </row>
    <row r="86031" spans="6:6" x14ac:dyDescent="0.3">
      <c r="F86031" s="193"/>
    </row>
    <row r="86032" spans="6:6" x14ac:dyDescent="0.3">
      <c r="F86032" s="193"/>
    </row>
    <row r="86033" spans="6:6" x14ac:dyDescent="0.3">
      <c r="F86033" s="193"/>
    </row>
    <row r="86034" spans="6:6" x14ac:dyDescent="0.3">
      <c r="F86034" s="193"/>
    </row>
    <row r="86035" spans="6:6" x14ac:dyDescent="0.3">
      <c r="F86035" s="193"/>
    </row>
    <row r="86036" spans="6:6" x14ac:dyDescent="0.3">
      <c r="F86036" s="193"/>
    </row>
    <row r="86037" spans="6:6" x14ac:dyDescent="0.3">
      <c r="F86037" s="193"/>
    </row>
    <row r="86038" spans="6:6" x14ac:dyDescent="0.3">
      <c r="F86038" s="193"/>
    </row>
    <row r="86039" spans="6:6" x14ac:dyDescent="0.3">
      <c r="F86039" s="193"/>
    </row>
    <row r="86040" spans="6:6" x14ac:dyDescent="0.3">
      <c r="F86040" s="193"/>
    </row>
    <row r="86041" spans="6:6" x14ac:dyDescent="0.3">
      <c r="F86041" s="193"/>
    </row>
    <row r="86042" spans="6:6" x14ac:dyDescent="0.3">
      <c r="F86042" s="193"/>
    </row>
    <row r="86043" spans="6:6" x14ac:dyDescent="0.3">
      <c r="F86043" s="193"/>
    </row>
    <row r="86044" spans="6:6" x14ac:dyDescent="0.3">
      <c r="F86044" s="193"/>
    </row>
    <row r="86045" spans="6:6" x14ac:dyDescent="0.3">
      <c r="F86045" s="193"/>
    </row>
    <row r="86046" spans="6:6" x14ac:dyDescent="0.3">
      <c r="F86046" s="193"/>
    </row>
    <row r="86047" spans="6:6" x14ac:dyDescent="0.3">
      <c r="F86047" s="193"/>
    </row>
    <row r="86048" spans="6:6" x14ac:dyDescent="0.3">
      <c r="F86048" s="193"/>
    </row>
    <row r="86049" spans="6:6" x14ac:dyDescent="0.3">
      <c r="F86049" s="193"/>
    </row>
    <row r="86050" spans="6:6" x14ac:dyDescent="0.3">
      <c r="F86050" s="193"/>
    </row>
    <row r="86051" spans="6:6" x14ac:dyDescent="0.3">
      <c r="F86051" s="193"/>
    </row>
    <row r="86052" spans="6:6" x14ac:dyDescent="0.3">
      <c r="F86052" s="193"/>
    </row>
    <row r="86053" spans="6:6" x14ac:dyDescent="0.3">
      <c r="F86053" s="193"/>
    </row>
    <row r="86054" spans="6:6" x14ac:dyDescent="0.3">
      <c r="F86054" s="193"/>
    </row>
    <row r="86055" spans="6:6" x14ac:dyDescent="0.3">
      <c r="F86055" s="193"/>
    </row>
    <row r="86056" spans="6:6" x14ac:dyDescent="0.3">
      <c r="F86056" s="193"/>
    </row>
    <row r="86057" spans="6:6" x14ac:dyDescent="0.3">
      <c r="F86057" s="193"/>
    </row>
    <row r="86058" spans="6:6" x14ac:dyDescent="0.3">
      <c r="F86058" s="193"/>
    </row>
    <row r="86059" spans="6:6" x14ac:dyDescent="0.3">
      <c r="F86059" s="193"/>
    </row>
    <row r="86060" spans="6:6" x14ac:dyDescent="0.3">
      <c r="F86060" s="193"/>
    </row>
    <row r="86061" spans="6:6" x14ac:dyDescent="0.3">
      <c r="F86061" s="193"/>
    </row>
    <row r="86062" spans="6:6" x14ac:dyDescent="0.3">
      <c r="F86062" s="193"/>
    </row>
    <row r="86063" spans="6:6" x14ac:dyDescent="0.3">
      <c r="F86063" s="193"/>
    </row>
    <row r="86064" spans="6:6" x14ac:dyDescent="0.3">
      <c r="F86064" s="193"/>
    </row>
    <row r="86065" spans="6:6" x14ac:dyDescent="0.3">
      <c r="F86065" s="193"/>
    </row>
    <row r="86066" spans="6:6" x14ac:dyDescent="0.3">
      <c r="F86066" s="193"/>
    </row>
    <row r="86067" spans="6:6" x14ac:dyDescent="0.3">
      <c r="F86067" s="193"/>
    </row>
    <row r="86068" spans="6:6" x14ac:dyDescent="0.3">
      <c r="F86068" s="193"/>
    </row>
    <row r="86069" spans="6:6" x14ac:dyDescent="0.3">
      <c r="F86069" s="193"/>
    </row>
    <row r="86070" spans="6:6" x14ac:dyDescent="0.3">
      <c r="F86070" s="193"/>
    </row>
    <row r="86071" spans="6:6" x14ac:dyDescent="0.3">
      <c r="F86071" s="193"/>
    </row>
    <row r="86072" spans="6:6" x14ac:dyDescent="0.3">
      <c r="F86072" s="193"/>
    </row>
    <row r="86073" spans="6:6" x14ac:dyDescent="0.3">
      <c r="F86073" s="193"/>
    </row>
    <row r="86074" spans="6:6" x14ac:dyDescent="0.3">
      <c r="F86074" s="193"/>
    </row>
    <row r="86075" spans="6:6" x14ac:dyDescent="0.3">
      <c r="F86075" s="193"/>
    </row>
    <row r="86076" spans="6:6" x14ac:dyDescent="0.3">
      <c r="F86076" s="193"/>
    </row>
    <row r="86077" spans="6:6" x14ac:dyDescent="0.3">
      <c r="F86077" s="193"/>
    </row>
    <row r="86078" spans="6:6" x14ac:dyDescent="0.3">
      <c r="F86078" s="193"/>
    </row>
    <row r="86079" spans="6:6" x14ac:dyDescent="0.3">
      <c r="F86079" s="193"/>
    </row>
    <row r="86080" spans="6:6" x14ac:dyDescent="0.3">
      <c r="F86080" s="193"/>
    </row>
    <row r="86081" spans="6:6" x14ac:dyDescent="0.3">
      <c r="F86081" s="193"/>
    </row>
    <row r="86082" spans="6:6" x14ac:dyDescent="0.3">
      <c r="F86082" s="193"/>
    </row>
    <row r="86083" spans="6:6" x14ac:dyDescent="0.3">
      <c r="F86083" s="193"/>
    </row>
    <row r="86084" spans="6:6" x14ac:dyDescent="0.3">
      <c r="F86084" s="193"/>
    </row>
    <row r="86085" spans="6:6" x14ac:dyDescent="0.3">
      <c r="F86085" s="193"/>
    </row>
    <row r="86086" spans="6:6" x14ac:dyDescent="0.3">
      <c r="F86086" s="193"/>
    </row>
    <row r="86087" spans="6:6" x14ac:dyDescent="0.3">
      <c r="F86087" s="193"/>
    </row>
    <row r="86088" spans="6:6" x14ac:dyDescent="0.3">
      <c r="F86088" s="193"/>
    </row>
    <row r="86089" spans="6:6" x14ac:dyDescent="0.3">
      <c r="F86089" s="193"/>
    </row>
    <row r="86090" spans="6:6" x14ac:dyDescent="0.3">
      <c r="F86090" s="193"/>
    </row>
    <row r="86091" spans="6:6" x14ac:dyDescent="0.3">
      <c r="F86091" s="193"/>
    </row>
    <row r="86092" spans="6:6" x14ac:dyDescent="0.3">
      <c r="F86092" s="193"/>
    </row>
    <row r="86093" spans="6:6" x14ac:dyDescent="0.3">
      <c r="F86093" s="193"/>
    </row>
    <row r="86094" spans="6:6" x14ac:dyDescent="0.3">
      <c r="F86094" s="193"/>
    </row>
    <row r="86095" spans="6:6" x14ac:dyDescent="0.3">
      <c r="F86095" s="193"/>
    </row>
    <row r="86096" spans="6:6" x14ac:dyDescent="0.3">
      <c r="F86096" s="193"/>
    </row>
    <row r="86097" spans="6:6" x14ac:dyDescent="0.3">
      <c r="F86097" s="193"/>
    </row>
    <row r="86098" spans="6:6" x14ac:dyDescent="0.3">
      <c r="F86098" s="193"/>
    </row>
    <row r="86099" spans="6:6" x14ac:dyDescent="0.3">
      <c r="F86099" s="193"/>
    </row>
    <row r="86100" spans="6:6" x14ac:dyDescent="0.3">
      <c r="F86100" s="193"/>
    </row>
    <row r="86101" spans="6:6" x14ac:dyDescent="0.3">
      <c r="F86101" s="193"/>
    </row>
    <row r="86102" spans="6:6" x14ac:dyDescent="0.3">
      <c r="F86102" s="193"/>
    </row>
    <row r="86103" spans="6:6" x14ac:dyDescent="0.3">
      <c r="F86103" s="193"/>
    </row>
    <row r="86104" spans="6:6" x14ac:dyDescent="0.3">
      <c r="F86104" s="193"/>
    </row>
    <row r="86105" spans="6:6" x14ac:dyDescent="0.3">
      <c r="F86105" s="193"/>
    </row>
    <row r="86106" spans="6:6" x14ac:dyDescent="0.3">
      <c r="F86106" s="193"/>
    </row>
    <row r="86107" spans="6:6" x14ac:dyDescent="0.3">
      <c r="F86107" s="193"/>
    </row>
    <row r="86108" spans="6:6" x14ac:dyDescent="0.3">
      <c r="F86108" s="193"/>
    </row>
    <row r="86109" spans="6:6" x14ac:dyDescent="0.3">
      <c r="F86109" s="193"/>
    </row>
    <row r="86110" spans="6:6" x14ac:dyDescent="0.3">
      <c r="F86110" s="193"/>
    </row>
    <row r="86111" spans="6:6" x14ac:dyDescent="0.3">
      <c r="F86111" s="193"/>
    </row>
    <row r="86112" spans="6:6" x14ac:dyDescent="0.3">
      <c r="F86112" s="193"/>
    </row>
    <row r="86113" spans="6:6" x14ac:dyDescent="0.3">
      <c r="F86113" s="193"/>
    </row>
    <row r="86114" spans="6:6" x14ac:dyDescent="0.3">
      <c r="F86114" s="193"/>
    </row>
    <row r="86115" spans="6:6" x14ac:dyDescent="0.3">
      <c r="F86115" s="193"/>
    </row>
    <row r="86116" spans="6:6" x14ac:dyDescent="0.3">
      <c r="F86116" s="193"/>
    </row>
    <row r="86117" spans="6:6" x14ac:dyDescent="0.3">
      <c r="F86117" s="193"/>
    </row>
    <row r="86118" spans="6:6" x14ac:dyDescent="0.3">
      <c r="F86118" s="193"/>
    </row>
    <row r="86119" spans="6:6" x14ac:dyDescent="0.3">
      <c r="F86119" s="193"/>
    </row>
    <row r="86120" spans="6:6" x14ac:dyDescent="0.3">
      <c r="F86120" s="193"/>
    </row>
    <row r="86121" spans="6:6" x14ac:dyDescent="0.3">
      <c r="F86121" s="193"/>
    </row>
    <row r="86122" spans="6:6" x14ac:dyDescent="0.3">
      <c r="F86122" s="193"/>
    </row>
    <row r="86123" spans="6:6" x14ac:dyDescent="0.3">
      <c r="F86123" s="193"/>
    </row>
    <row r="86124" spans="6:6" x14ac:dyDescent="0.3">
      <c r="F86124" s="193"/>
    </row>
    <row r="86125" spans="6:6" x14ac:dyDescent="0.3">
      <c r="F86125" s="193"/>
    </row>
    <row r="86126" spans="6:6" x14ac:dyDescent="0.3">
      <c r="F86126" s="193"/>
    </row>
    <row r="86127" spans="6:6" x14ac:dyDescent="0.3">
      <c r="F86127" s="193"/>
    </row>
    <row r="86128" spans="6:6" x14ac:dyDescent="0.3">
      <c r="F86128" s="193"/>
    </row>
    <row r="86129" spans="6:6" x14ac:dyDescent="0.3">
      <c r="F86129" s="193"/>
    </row>
    <row r="86130" spans="6:6" x14ac:dyDescent="0.3">
      <c r="F86130" s="193"/>
    </row>
    <row r="86131" spans="6:6" x14ac:dyDescent="0.3">
      <c r="F86131" s="193"/>
    </row>
    <row r="86132" spans="6:6" x14ac:dyDescent="0.3">
      <c r="F86132" s="193"/>
    </row>
    <row r="86133" spans="6:6" x14ac:dyDescent="0.3">
      <c r="F86133" s="193"/>
    </row>
    <row r="86134" spans="6:6" x14ac:dyDescent="0.3">
      <c r="F86134" s="193"/>
    </row>
    <row r="86135" spans="6:6" x14ac:dyDescent="0.3">
      <c r="F86135" s="193"/>
    </row>
    <row r="86136" spans="6:6" x14ac:dyDescent="0.3">
      <c r="F86136" s="193"/>
    </row>
    <row r="86137" spans="6:6" x14ac:dyDescent="0.3">
      <c r="F86137" s="193"/>
    </row>
    <row r="86138" spans="6:6" x14ac:dyDescent="0.3">
      <c r="F86138" s="193"/>
    </row>
    <row r="86139" spans="6:6" x14ac:dyDescent="0.3">
      <c r="F86139" s="193"/>
    </row>
    <row r="86140" spans="6:6" x14ac:dyDescent="0.3">
      <c r="F86140" s="193"/>
    </row>
    <row r="86141" spans="6:6" x14ac:dyDescent="0.3">
      <c r="F86141" s="193"/>
    </row>
    <row r="86142" spans="6:6" x14ac:dyDescent="0.3">
      <c r="F86142" s="193"/>
    </row>
    <row r="86143" spans="6:6" x14ac:dyDescent="0.3">
      <c r="F86143" s="193"/>
    </row>
    <row r="86144" spans="6:6" x14ac:dyDescent="0.3">
      <c r="F86144" s="193"/>
    </row>
    <row r="86145" spans="6:6" x14ac:dyDescent="0.3">
      <c r="F86145" s="193"/>
    </row>
    <row r="86146" spans="6:6" x14ac:dyDescent="0.3">
      <c r="F86146" s="193"/>
    </row>
    <row r="86147" spans="6:6" x14ac:dyDescent="0.3">
      <c r="F86147" s="193"/>
    </row>
    <row r="86148" spans="6:6" x14ac:dyDescent="0.3">
      <c r="F86148" s="193"/>
    </row>
    <row r="86149" spans="6:6" x14ac:dyDescent="0.3">
      <c r="F86149" s="193"/>
    </row>
    <row r="86150" spans="6:6" x14ac:dyDescent="0.3">
      <c r="F86150" s="193"/>
    </row>
    <row r="86151" spans="6:6" x14ac:dyDescent="0.3">
      <c r="F86151" s="193"/>
    </row>
    <row r="86152" spans="6:6" x14ac:dyDescent="0.3">
      <c r="F86152" s="193"/>
    </row>
    <row r="86153" spans="6:6" x14ac:dyDescent="0.3">
      <c r="F86153" s="193"/>
    </row>
    <row r="86154" spans="6:6" x14ac:dyDescent="0.3">
      <c r="F86154" s="193"/>
    </row>
    <row r="86155" spans="6:6" x14ac:dyDescent="0.3">
      <c r="F86155" s="193"/>
    </row>
    <row r="86156" spans="6:6" x14ac:dyDescent="0.3">
      <c r="F86156" s="193"/>
    </row>
    <row r="86157" spans="6:6" x14ac:dyDescent="0.3">
      <c r="F86157" s="193"/>
    </row>
    <row r="86158" spans="6:6" x14ac:dyDescent="0.3">
      <c r="F86158" s="193"/>
    </row>
    <row r="86159" spans="6:6" x14ac:dyDescent="0.3">
      <c r="F86159" s="193"/>
    </row>
    <row r="86160" spans="6:6" x14ac:dyDescent="0.3">
      <c r="F86160" s="193"/>
    </row>
    <row r="86161" spans="6:6" x14ac:dyDescent="0.3">
      <c r="F86161" s="193"/>
    </row>
    <row r="86162" spans="6:6" x14ac:dyDescent="0.3">
      <c r="F86162" s="193"/>
    </row>
    <row r="86163" spans="6:6" x14ac:dyDescent="0.3">
      <c r="F86163" s="193"/>
    </row>
    <row r="86164" spans="6:6" x14ac:dyDescent="0.3">
      <c r="F86164" s="193"/>
    </row>
    <row r="86165" spans="6:6" x14ac:dyDescent="0.3">
      <c r="F86165" s="193"/>
    </row>
    <row r="86166" spans="6:6" x14ac:dyDescent="0.3">
      <c r="F86166" s="193"/>
    </row>
    <row r="86167" spans="6:6" x14ac:dyDescent="0.3">
      <c r="F86167" s="193"/>
    </row>
    <row r="86168" spans="6:6" x14ac:dyDescent="0.3">
      <c r="F86168" s="193"/>
    </row>
    <row r="86169" spans="6:6" x14ac:dyDescent="0.3">
      <c r="F86169" s="193"/>
    </row>
    <row r="86170" spans="6:6" x14ac:dyDescent="0.3">
      <c r="F86170" s="193"/>
    </row>
    <row r="86171" spans="6:6" x14ac:dyDescent="0.3">
      <c r="F86171" s="193"/>
    </row>
    <row r="86172" spans="6:6" x14ac:dyDescent="0.3">
      <c r="F86172" s="193"/>
    </row>
    <row r="86173" spans="6:6" x14ac:dyDescent="0.3">
      <c r="F86173" s="193"/>
    </row>
    <row r="86174" spans="6:6" x14ac:dyDescent="0.3">
      <c r="F86174" s="193"/>
    </row>
    <row r="86175" spans="6:6" x14ac:dyDescent="0.3">
      <c r="F86175" s="193"/>
    </row>
    <row r="86176" spans="6:6" x14ac:dyDescent="0.3">
      <c r="F86176" s="193"/>
    </row>
    <row r="86177" spans="6:6" x14ac:dyDescent="0.3">
      <c r="F86177" s="193"/>
    </row>
    <row r="86178" spans="6:6" x14ac:dyDescent="0.3">
      <c r="F86178" s="193"/>
    </row>
    <row r="86179" spans="6:6" x14ac:dyDescent="0.3">
      <c r="F86179" s="193"/>
    </row>
    <row r="86180" spans="6:6" x14ac:dyDescent="0.3">
      <c r="F86180" s="193"/>
    </row>
    <row r="86181" spans="6:6" x14ac:dyDescent="0.3">
      <c r="F86181" s="193"/>
    </row>
    <row r="86182" spans="6:6" x14ac:dyDescent="0.3">
      <c r="F86182" s="193"/>
    </row>
    <row r="86183" spans="6:6" x14ac:dyDescent="0.3">
      <c r="F86183" s="193"/>
    </row>
    <row r="86184" spans="6:6" x14ac:dyDescent="0.3">
      <c r="F86184" s="193"/>
    </row>
    <row r="86185" spans="6:6" x14ac:dyDescent="0.3">
      <c r="F86185" s="193"/>
    </row>
    <row r="86186" spans="6:6" x14ac:dyDescent="0.3">
      <c r="F86186" s="193"/>
    </row>
    <row r="86187" spans="6:6" x14ac:dyDescent="0.3">
      <c r="F86187" s="193"/>
    </row>
    <row r="86188" spans="6:6" x14ac:dyDescent="0.3">
      <c r="F86188" s="193"/>
    </row>
    <row r="86189" spans="6:6" x14ac:dyDescent="0.3">
      <c r="F86189" s="193"/>
    </row>
    <row r="86190" spans="6:6" x14ac:dyDescent="0.3">
      <c r="F86190" s="193"/>
    </row>
    <row r="86191" spans="6:6" x14ac:dyDescent="0.3">
      <c r="F86191" s="193"/>
    </row>
    <row r="86192" spans="6:6" x14ac:dyDescent="0.3">
      <c r="F86192" s="193"/>
    </row>
    <row r="86193" spans="6:6" x14ac:dyDescent="0.3">
      <c r="F86193" s="193"/>
    </row>
    <row r="86194" spans="6:6" x14ac:dyDescent="0.3">
      <c r="F86194" s="193"/>
    </row>
    <row r="86195" spans="6:6" x14ac:dyDescent="0.3">
      <c r="F86195" s="193"/>
    </row>
    <row r="86196" spans="6:6" x14ac:dyDescent="0.3">
      <c r="F86196" s="193"/>
    </row>
    <row r="86197" spans="6:6" x14ac:dyDescent="0.3">
      <c r="F86197" s="193"/>
    </row>
    <row r="86198" spans="6:6" x14ac:dyDescent="0.3">
      <c r="F86198" s="193"/>
    </row>
    <row r="86199" spans="6:6" x14ac:dyDescent="0.3">
      <c r="F86199" s="193"/>
    </row>
    <row r="86200" spans="6:6" x14ac:dyDescent="0.3">
      <c r="F86200" s="193"/>
    </row>
    <row r="86201" spans="6:6" x14ac:dyDescent="0.3">
      <c r="F86201" s="193"/>
    </row>
    <row r="86202" spans="6:6" x14ac:dyDescent="0.3">
      <c r="F86202" s="193"/>
    </row>
    <row r="86203" spans="6:6" x14ac:dyDescent="0.3">
      <c r="F86203" s="193"/>
    </row>
    <row r="86204" spans="6:6" x14ac:dyDescent="0.3">
      <c r="F86204" s="193"/>
    </row>
    <row r="86205" spans="6:6" x14ac:dyDescent="0.3">
      <c r="F86205" s="193"/>
    </row>
    <row r="86206" spans="6:6" x14ac:dyDescent="0.3">
      <c r="F86206" s="193"/>
    </row>
    <row r="86207" spans="6:6" x14ac:dyDescent="0.3">
      <c r="F86207" s="193"/>
    </row>
    <row r="86208" spans="6:6" x14ac:dyDescent="0.3">
      <c r="F86208" s="193"/>
    </row>
    <row r="86209" spans="6:6" x14ac:dyDescent="0.3">
      <c r="F86209" s="193"/>
    </row>
    <row r="86210" spans="6:6" x14ac:dyDescent="0.3">
      <c r="F86210" s="193"/>
    </row>
    <row r="86211" spans="6:6" x14ac:dyDescent="0.3">
      <c r="F86211" s="193"/>
    </row>
    <row r="86212" spans="6:6" x14ac:dyDescent="0.3">
      <c r="F86212" s="193"/>
    </row>
    <row r="86213" spans="6:6" x14ac:dyDescent="0.3">
      <c r="F86213" s="193"/>
    </row>
    <row r="86214" spans="6:6" x14ac:dyDescent="0.3">
      <c r="F86214" s="193"/>
    </row>
    <row r="86215" spans="6:6" x14ac:dyDescent="0.3">
      <c r="F86215" s="193"/>
    </row>
    <row r="86216" spans="6:6" x14ac:dyDescent="0.3">
      <c r="F86216" s="193"/>
    </row>
    <row r="86217" spans="6:6" x14ac:dyDescent="0.3">
      <c r="F86217" s="193"/>
    </row>
    <row r="86218" spans="6:6" x14ac:dyDescent="0.3">
      <c r="F86218" s="193"/>
    </row>
    <row r="86219" spans="6:6" x14ac:dyDescent="0.3">
      <c r="F86219" s="193"/>
    </row>
    <row r="86220" spans="6:6" x14ac:dyDescent="0.3">
      <c r="F86220" s="193"/>
    </row>
    <row r="86221" spans="6:6" x14ac:dyDescent="0.3">
      <c r="F86221" s="193"/>
    </row>
    <row r="86222" spans="6:6" x14ac:dyDescent="0.3">
      <c r="F86222" s="193"/>
    </row>
    <row r="86223" spans="6:6" x14ac:dyDescent="0.3">
      <c r="F86223" s="193"/>
    </row>
    <row r="86224" spans="6:6" x14ac:dyDescent="0.3">
      <c r="F86224" s="193"/>
    </row>
    <row r="86225" spans="6:6" x14ac:dyDescent="0.3">
      <c r="F86225" s="193"/>
    </row>
    <row r="86226" spans="6:6" x14ac:dyDescent="0.3">
      <c r="F86226" s="193"/>
    </row>
    <row r="86227" spans="6:6" x14ac:dyDescent="0.3">
      <c r="F86227" s="193"/>
    </row>
    <row r="86228" spans="6:6" x14ac:dyDescent="0.3">
      <c r="F86228" s="193"/>
    </row>
    <row r="86229" spans="6:6" x14ac:dyDescent="0.3">
      <c r="F86229" s="193"/>
    </row>
    <row r="86230" spans="6:6" x14ac:dyDescent="0.3">
      <c r="F86230" s="193"/>
    </row>
    <row r="86231" spans="6:6" x14ac:dyDescent="0.3">
      <c r="F86231" s="193"/>
    </row>
    <row r="86232" spans="6:6" x14ac:dyDescent="0.3">
      <c r="F86232" s="193"/>
    </row>
    <row r="86233" spans="6:6" x14ac:dyDescent="0.3">
      <c r="F86233" s="193"/>
    </row>
    <row r="86234" spans="6:6" x14ac:dyDescent="0.3">
      <c r="F86234" s="193"/>
    </row>
    <row r="86235" spans="6:6" x14ac:dyDescent="0.3">
      <c r="F86235" s="193"/>
    </row>
    <row r="86236" spans="6:6" x14ac:dyDescent="0.3">
      <c r="F86236" s="193"/>
    </row>
    <row r="86237" spans="6:6" x14ac:dyDescent="0.3">
      <c r="F86237" s="193"/>
    </row>
    <row r="86238" spans="6:6" x14ac:dyDescent="0.3">
      <c r="F86238" s="193"/>
    </row>
    <row r="86239" spans="6:6" x14ac:dyDescent="0.3">
      <c r="F86239" s="193"/>
    </row>
    <row r="86240" spans="6:6" x14ac:dyDescent="0.3">
      <c r="F86240" s="193"/>
    </row>
    <row r="86241" spans="6:6" x14ac:dyDescent="0.3">
      <c r="F86241" s="193"/>
    </row>
    <row r="86242" spans="6:6" x14ac:dyDescent="0.3">
      <c r="F86242" s="193"/>
    </row>
    <row r="86243" spans="6:6" x14ac:dyDescent="0.3">
      <c r="F86243" s="193"/>
    </row>
    <row r="86244" spans="6:6" x14ac:dyDescent="0.3">
      <c r="F86244" s="193"/>
    </row>
    <row r="86245" spans="6:6" x14ac:dyDescent="0.3">
      <c r="F86245" s="193"/>
    </row>
    <row r="86246" spans="6:6" x14ac:dyDescent="0.3">
      <c r="F86246" s="193"/>
    </row>
    <row r="86247" spans="6:6" x14ac:dyDescent="0.3">
      <c r="F86247" s="193"/>
    </row>
    <row r="86248" spans="6:6" x14ac:dyDescent="0.3">
      <c r="F86248" s="193"/>
    </row>
    <row r="86249" spans="6:6" x14ac:dyDescent="0.3">
      <c r="F86249" s="193"/>
    </row>
    <row r="86250" spans="6:6" x14ac:dyDescent="0.3">
      <c r="F86250" s="193"/>
    </row>
    <row r="86251" spans="6:6" x14ac:dyDescent="0.3">
      <c r="F86251" s="193"/>
    </row>
    <row r="86252" spans="6:6" x14ac:dyDescent="0.3">
      <c r="F86252" s="193"/>
    </row>
    <row r="86253" spans="6:6" x14ac:dyDescent="0.3">
      <c r="F86253" s="193"/>
    </row>
    <row r="86254" spans="6:6" x14ac:dyDescent="0.3">
      <c r="F86254" s="193"/>
    </row>
    <row r="86255" spans="6:6" x14ac:dyDescent="0.3">
      <c r="F86255" s="193"/>
    </row>
    <row r="86256" spans="6:6" x14ac:dyDescent="0.3">
      <c r="F86256" s="193"/>
    </row>
    <row r="86257" spans="6:6" x14ac:dyDescent="0.3">
      <c r="F86257" s="193"/>
    </row>
    <row r="86258" spans="6:6" x14ac:dyDescent="0.3">
      <c r="F86258" s="193"/>
    </row>
    <row r="86259" spans="6:6" x14ac:dyDescent="0.3">
      <c r="F86259" s="193"/>
    </row>
    <row r="86260" spans="6:6" x14ac:dyDescent="0.3">
      <c r="F86260" s="193"/>
    </row>
    <row r="86261" spans="6:6" x14ac:dyDescent="0.3">
      <c r="F86261" s="193"/>
    </row>
    <row r="86262" spans="6:6" x14ac:dyDescent="0.3">
      <c r="F86262" s="193"/>
    </row>
    <row r="86263" spans="6:6" x14ac:dyDescent="0.3">
      <c r="F86263" s="193"/>
    </row>
    <row r="86264" spans="6:6" x14ac:dyDescent="0.3">
      <c r="F86264" s="193"/>
    </row>
    <row r="86265" spans="6:6" x14ac:dyDescent="0.3">
      <c r="F86265" s="193"/>
    </row>
    <row r="86266" spans="6:6" x14ac:dyDescent="0.3">
      <c r="F86266" s="193"/>
    </row>
    <row r="86267" spans="6:6" x14ac:dyDescent="0.3">
      <c r="F86267" s="193"/>
    </row>
    <row r="86268" spans="6:6" x14ac:dyDescent="0.3">
      <c r="F86268" s="193"/>
    </row>
    <row r="86269" spans="6:6" x14ac:dyDescent="0.3">
      <c r="F86269" s="193"/>
    </row>
    <row r="86270" spans="6:6" x14ac:dyDescent="0.3">
      <c r="F86270" s="193"/>
    </row>
    <row r="86271" spans="6:6" x14ac:dyDescent="0.3">
      <c r="F86271" s="193"/>
    </row>
    <row r="86272" spans="6:6" x14ac:dyDescent="0.3">
      <c r="F86272" s="193"/>
    </row>
    <row r="86273" spans="6:6" x14ac:dyDescent="0.3">
      <c r="F86273" s="193"/>
    </row>
    <row r="86274" spans="6:6" x14ac:dyDescent="0.3">
      <c r="F86274" s="193"/>
    </row>
    <row r="86275" spans="6:6" x14ac:dyDescent="0.3">
      <c r="F86275" s="193"/>
    </row>
    <row r="86276" spans="6:6" x14ac:dyDescent="0.3">
      <c r="F86276" s="193"/>
    </row>
    <row r="86277" spans="6:6" x14ac:dyDescent="0.3">
      <c r="F86277" s="193"/>
    </row>
    <row r="86278" spans="6:6" x14ac:dyDescent="0.3">
      <c r="F86278" s="193"/>
    </row>
    <row r="86279" spans="6:6" x14ac:dyDescent="0.3">
      <c r="F86279" s="193"/>
    </row>
    <row r="86280" spans="6:6" x14ac:dyDescent="0.3">
      <c r="F86280" s="193"/>
    </row>
    <row r="86281" spans="6:6" x14ac:dyDescent="0.3">
      <c r="F86281" s="193"/>
    </row>
    <row r="86282" spans="6:6" x14ac:dyDescent="0.3">
      <c r="F86282" s="193"/>
    </row>
    <row r="86283" spans="6:6" x14ac:dyDescent="0.3">
      <c r="F86283" s="193"/>
    </row>
    <row r="86284" spans="6:6" x14ac:dyDescent="0.3">
      <c r="F86284" s="193"/>
    </row>
    <row r="86285" spans="6:6" x14ac:dyDescent="0.3">
      <c r="F86285" s="193"/>
    </row>
    <row r="86286" spans="6:6" x14ac:dyDescent="0.3">
      <c r="F86286" s="193"/>
    </row>
    <row r="86287" spans="6:6" x14ac:dyDescent="0.3">
      <c r="F86287" s="193"/>
    </row>
    <row r="86288" spans="6:6" x14ac:dyDescent="0.3">
      <c r="F86288" s="193"/>
    </row>
    <row r="86289" spans="6:6" x14ac:dyDescent="0.3">
      <c r="F86289" s="193"/>
    </row>
    <row r="86290" spans="6:6" x14ac:dyDescent="0.3">
      <c r="F86290" s="193"/>
    </row>
    <row r="86291" spans="6:6" x14ac:dyDescent="0.3">
      <c r="F86291" s="193"/>
    </row>
    <row r="86292" spans="6:6" x14ac:dyDescent="0.3">
      <c r="F86292" s="193"/>
    </row>
    <row r="86293" spans="6:6" x14ac:dyDescent="0.3">
      <c r="F86293" s="193"/>
    </row>
    <row r="86294" spans="6:6" x14ac:dyDescent="0.3">
      <c r="F86294" s="193"/>
    </row>
    <row r="86295" spans="6:6" x14ac:dyDescent="0.3">
      <c r="F86295" s="193"/>
    </row>
    <row r="86296" spans="6:6" x14ac:dyDescent="0.3">
      <c r="F86296" s="193"/>
    </row>
    <row r="86297" spans="6:6" x14ac:dyDescent="0.3">
      <c r="F86297" s="193"/>
    </row>
    <row r="86298" spans="6:6" x14ac:dyDescent="0.3">
      <c r="F86298" s="193"/>
    </row>
    <row r="86299" spans="6:6" x14ac:dyDescent="0.3">
      <c r="F86299" s="193"/>
    </row>
    <row r="86300" spans="6:6" x14ac:dyDescent="0.3">
      <c r="F86300" s="193"/>
    </row>
    <row r="86301" spans="6:6" x14ac:dyDescent="0.3">
      <c r="F86301" s="193"/>
    </row>
    <row r="86302" spans="6:6" x14ac:dyDescent="0.3">
      <c r="F86302" s="193"/>
    </row>
    <row r="86303" spans="6:6" x14ac:dyDescent="0.3">
      <c r="F86303" s="193"/>
    </row>
    <row r="86304" spans="6:6" x14ac:dyDescent="0.3">
      <c r="F86304" s="193"/>
    </row>
    <row r="86305" spans="6:6" x14ac:dyDescent="0.3">
      <c r="F86305" s="193"/>
    </row>
    <row r="86306" spans="6:6" x14ac:dyDescent="0.3">
      <c r="F86306" s="193"/>
    </row>
    <row r="86307" spans="6:6" x14ac:dyDescent="0.3">
      <c r="F86307" s="193"/>
    </row>
    <row r="86308" spans="6:6" x14ac:dyDescent="0.3">
      <c r="F86308" s="193"/>
    </row>
    <row r="86309" spans="6:6" x14ac:dyDescent="0.3">
      <c r="F86309" s="193"/>
    </row>
    <row r="86310" spans="6:6" x14ac:dyDescent="0.3">
      <c r="F86310" s="193"/>
    </row>
    <row r="86311" spans="6:6" x14ac:dyDescent="0.3">
      <c r="F86311" s="193"/>
    </row>
    <row r="86312" spans="6:6" x14ac:dyDescent="0.3">
      <c r="F86312" s="193"/>
    </row>
    <row r="86313" spans="6:6" x14ac:dyDescent="0.3">
      <c r="F86313" s="193"/>
    </row>
    <row r="86314" spans="6:6" x14ac:dyDescent="0.3">
      <c r="F86314" s="193"/>
    </row>
    <row r="86315" spans="6:6" x14ac:dyDescent="0.3">
      <c r="F86315" s="193"/>
    </row>
    <row r="86316" spans="6:6" x14ac:dyDescent="0.3">
      <c r="F86316" s="193"/>
    </row>
    <row r="86317" spans="6:6" x14ac:dyDescent="0.3">
      <c r="F86317" s="193"/>
    </row>
    <row r="86318" spans="6:6" x14ac:dyDescent="0.3">
      <c r="F86318" s="193"/>
    </row>
    <row r="86319" spans="6:6" x14ac:dyDescent="0.3">
      <c r="F86319" s="193"/>
    </row>
    <row r="86320" spans="6:6" x14ac:dyDescent="0.3">
      <c r="F86320" s="193"/>
    </row>
    <row r="86321" spans="6:6" x14ac:dyDescent="0.3">
      <c r="F86321" s="193"/>
    </row>
    <row r="86322" spans="6:6" x14ac:dyDescent="0.3">
      <c r="F86322" s="193"/>
    </row>
    <row r="86323" spans="6:6" x14ac:dyDescent="0.3">
      <c r="F86323" s="193"/>
    </row>
    <row r="86324" spans="6:6" x14ac:dyDescent="0.3">
      <c r="F86324" s="193"/>
    </row>
    <row r="86325" spans="6:6" x14ac:dyDescent="0.3">
      <c r="F86325" s="193"/>
    </row>
    <row r="86326" spans="6:6" x14ac:dyDescent="0.3">
      <c r="F86326" s="193"/>
    </row>
    <row r="86327" spans="6:6" x14ac:dyDescent="0.3">
      <c r="F86327" s="193"/>
    </row>
    <row r="86328" spans="6:6" x14ac:dyDescent="0.3">
      <c r="F86328" s="193"/>
    </row>
    <row r="86329" spans="6:6" x14ac:dyDescent="0.3">
      <c r="F86329" s="193"/>
    </row>
    <row r="86330" spans="6:6" x14ac:dyDescent="0.3">
      <c r="F86330" s="193"/>
    </row>
    <row r="86331" spans="6:6" x14ac:dyDescent="0.3">
      <c r="F86331" s="193"/>
    </row>
    <row r="86332" spans="6:6" x14ac:dyDescent="0.3">
      <c r="F86332" s="193"/>
    </row>
    <row r="86333" spans="6:6" x14ac:dyDescent="0.3">
      <c r="F86333" s="193"/>
    </row>
    <row r="86334" spans="6:6" x14ac:dyDescent="0.3">
      <c r="F86334" s="193"/>
    </row>
    <row r="86335" spans="6:6" x14ac:dyDescent="0.3">
      <c r="F86335" s="193"/>
    </row>
    <row r="86336" spans="6:6" x14ac:dyDescent="0.3">
      <c r="F86336" s="193"/>
    </row>
    <row r="86337" spans="6:6" x14ac:dyDescent="0.3">
      <c r="F86337" s="193"/>
    </row>
    <row r="86338" spans="6:6" x14ac:dyDescent="0.3">
      <c r="F86338" s="193"/>
    </row>
    <row r="86339" spans="6:6" x14ac:dyDescent="0.3">
      <c r="F86339" s="193"/>
    </row>
    <row r="86340" spans="6:6" x14ac:dyDescent="0.3">
      <c r="F86340" s="193"/>
    </row>
    <row r="86341" spans="6:6" x14ac:dyDescent="0.3">
      <c r="F86341" s="193"/>
    </row>
    <row r="86342" spans="6:6" x14ac:dyDescent="0.3">
      <c r="F86342" s="193"/>
    </row>
    <row r="86343" spans="6:6" x14ac:dyDescent="0.3">
      <c r="F86343" s="193"/>
    </row>
    <row r="86344" spans="6:6" x14ac:dyDescent="0.3">
      <c r="F86344" s="193"/>
    </row>
    <row r="86345" spans="6:6" x14ac:dyDescent="0.3">
      <c r="F86345" s="193"/>
    </row>
    <row r="86346" spans="6:6" x14ac:dyDescent="0.3">
      <c r="F86346" s="193"/>
    </row>
    <row r="86347" spans="6:6" x14ac:dyDescent="0.3">
      <c r="F86347" s="193"/>
    </row>
    <row r="86348" spans="6:6" x14ac:dyDescent="0.3">
      <c r="F86348" s="193"/>
    </row>
    <row r="86349" spans="6:6" x14ac:dyDescent="0.3">
      <c r="F86349" s="193"/>
    </row>
    <row r="86350" spans="6:6" x14ac:dyDescent="0.3">
      <c r="F86350" s="193"/>
    </row>
    <row r="86351" spans="6:6" x14ac:dyDescent="0.3">
      <c r="F86351" s="193"/>
    </row>
    <row r="86352" spans="6:6" x14ac:dyDescent="0.3">
      <c r="F86352" s="193"/>
    </row>
    <row r="86353" spans="6:6" x14ac:dyDescent="0.3">
      <c r="F86353" s="193"/>
    </row>
    <row r="86354" spans="6:6" x14ac:dyDescent="0.3">
      <c r="F86354" s="193"/>
    </row>
    <row r="86355" spans="6:6" x14ac:dyDescent="0.3">
      <c r="F86355" s="193"/>
    </row>
    <row r="86356" spans="6:6" x14ac:dyDescent="0.3">
      <c r="F86356" s="193"/>
    </row>
    <row r="86357" spans="6:6" x14ac:dyDescent="0.3">
      <c r="F86357" s="193"/>
    </row>
    <row r="86358" spans="6:6" x14ac:dyDescent="0.3">
      <c r="F86358" s="193"/>
    </row>
    <row r="86359" spans="6:6" x14ac:dyDescent="0.3">
      <c r="F86359" s="193"/>
    </row>
    <row r="86360" spans="6:6" x14ac:dyDescent="0.3">
      <c r="F86360" s="193"/>
    </row>
    <row r="86361" spans="6:6" x14ac:dyDescent="0.3">
      <c r="F86361" s="193"/>
    </row>
    <row r="86362" spans="6:6" x14ac:dyDescent="0.3">
      <c r="F86362" s="193"/>
    </row>
    <row r="86363" spans="6:6" x14ac:dyDescent="0.3">
      <c r="F86363" s="193"/>
    </row>
    <row r="86364" spans="6:6" x14ac:dyDescent="0.3">
      <c r="F86364" s="193"/>
    </row>
    <row r="86365" spans="6:6" x14ac:dyDescent="0.3">
      <c r="F86365" s="193"/>
    </row>
    <row r="86366" spans="6:6" x14ac:dyDescent="0.3">
      <c r="F86366" s="193"/>
    </row>
    <row r="86367" spans="6:6" x14ac:dyDescent="0.3">
      <c r="F86367" s="193"/>
    </row>
    <row r="86368" spans="6:6" x14ac:dyDescent="0.3">
      <c r="F86368" s="193"/>
    </row>
    <row r="86369" spans="6:6" x14ac:dyDescent="0.3">
      <c r="F86369" s="193"/>
    </row>
    <row r="86370" spans="6:6" x14ac:dyDescent="0.3">
      <c r="F86370" s="193"/>
    </row>
    <row r="86371" spans="6:6" x14ac:dyDescent="0.3">
      <c r="F86371" s="193"/>
    </row>
    <row r="86372" spans="6:6" x14ac:dyDescent="0.3">
      <c r="F86372" s="193"/>
    </row>
    <row r="86373" spans="6:6" x14ac:dyDescent="0.3">
      <c r="F86373" s="193"/>
    </row>
    <row r="86374" spans="6:6" x14ac:dyDescent="0.3">
      <c r="F86374" s="193"/>
    </row>
    <row r="86375" spans="6:6" x14ac:dyDescent="0.3">
      <c r="F86375" s="193"/>
    </row>
    <row r="86376" spans="6:6" x14ac:dyDescent="0.3">
      <c r="F86376" s="193"/>
    </row>
    <row r="86377" spans="6:6" x14ac:dyDescent="0.3">
      <c r="F86377" s="193"/>
    </row>
    <row r="86378" spans="6:6" x14ac:dyDescent="0.3">
      <c r="F86378" s="193"/>
    </row>
    <row r="86379" spans="6:6" x14ac:dyDescent="0.3">
      <c r="F86379" s="193"/>
    </row>
    <row r="86380" spans="6:6" x14ac:dyDescent="0.3">
      <c r="F86380" s="193"/>
    </row>
    <row r="86381" spans="6:6" x14ac:dyDescent="0.3">
      <c r="F86381" s="193"/>
    </row>
    <row r="86382" spans="6:6" x14ac:dyDescent="0.3">
      <c r="F86382" s="193"/>
    </row>
    <row r="86383" spans="6:6" x14ac:dyDescent="0.3">
      <c r="F86383" s="193"/>
    </row>
    <row r="86384" spans="6:6" x14ac:dyDescent="0.3">
      <c r="F86384" s="193"/>
    </row>
    <row r="86385" spans="6:6" x14ac:dyDescent="0.3">
      <c r="F86385" s="193"/>
    </row>
    <row r="86386" spans="6:6" x14ac:dyDescent="0.3">
      <c r="F86386" s="193"/>
    </row>
    <row r="86387" spans="6:6" x14ac:dyDescent="0.3">
      <c r="F86387" s="193"/>
    </row>
    <row r="86388" spans="6:6" x14ac:dyDescent="0.3">
      <c r="F86388" s="193"/>
    </row>
    <row r="86389" spans="6:6" x14ac:dyDescent="0.3">
      <c r="F86389" s="193"/>
    </row>
    <row r="86390" spans="6:6" x14ac:dyDescent="0.3">
      <c r="F86390" s="193"/>
    </row>
    <row r="86391" spans="6:6" x14ac:dyDescent="0.3">
      <c r="F86391" s="193"/>
    </row>
    <row r="86392" spans="6:6" x14ac:dyDescent="0.3">
      <c r="F86392" s="193"/>
    </row>
    <row r="86393" spans="6:6" x14ac:dyDescent="0.3">
      <c r="F86393" s="193"/>
    </row>
    <row r="86394" spans="6:6" x14ac:dyDescent="0.3">
      <c r="F86394" s="193"/>
    </row>
    <row r="86395" spans="6:6" x14ac:dyDescent="0.3">
      <c r="F86395" s="193"/>
    </row>
    <row r="86396" spans="6:6" x14ac:dyDescent="0.3">
      <c r="F86396" s="193"/>
    </row>
    <row r="86397" spans="6:6" x14ac:dyDescent="0.3">
      <c r="F86397" s="193"/>
    </row>
    <row r="86398" spans="6:6" x14ac:dyDescent="0.3">
      <c r="F86398" s="193"/>
    </row>
    <row r="86399" spans="6:6" x14ac:dyDescent="0.3">
      <c r="F86399" s="193"/>
    </row>
    <row r="86400" spans="6:6" x14ac:dyDescent="0.3">
      <c r="F86400" s="193"/>
    </row>
    <row r="86401" spans="6:6" x14ac:dyDescent="0.3">
      <c r="F86401" s="193"/>
    </row>
    <row r="86402" spans="6:6" x14ac:dyDescent="0.3">
      <c r="F86402" s="193"/>
    </row>
    <row r="86403" spans="6:6" x14ac:dyDescent="0.3">
      <c r="F86403" s="193"/>
    </row>
    <row r="86404" spans="6:6" x14ac:dyDescent="0.3">
      <c r="F86404" s="193"/>
    </row>
    <row r="86405" spans="6:6" x14ac:dyDescent="0.3">
      <c r="F86405" s="193"/>
    </row>
    <row r="86406" spans="6:6" x14ac:dyDescent="0.3">
      <c r="F86406" s="193"/>
    </row>
    <row r="86407" spans="6:6" x14ac:dyDescent="0.3">
      <c r="F86407" s="193"/>
    </row>
    <row r="86408" spans="6:6" x14ac:dyDescent="0.3">
      <c r="F86408" s="193"/>
    </row>
    <row r="86409" spans="6:6" x14ac:dyDescent="0.3">
      <c r="F86409" s="193"/>
    </row>
    <row r="86410" spans="6:6" x14ac:dyDescent="0.3">
      <c r="F86410" s="193"/>
    </row>
    <row r="86411" spans="6:6" x14ac:dyDescent="0.3">
      <c r="F86411" s="193"/>
    </row>
    <row r="86412" spans="6:6" x14ac:dyDescent="0.3">
      <c r="F86412" s="193"/>
    </row>
    <row r="86413" spans="6:6" x14ac:dyDescent="0.3">
      <c r="F86413" s="193"/>
    </row>
    <row r="86414" spans="6:6" x14ac:dyDescent="0.3">
      <c r="F86414" s="193"/>
    </row>
    <row r="86415" spans="6:6" x14ac:dyDescent="0.3">
      <c r="F86415" s="193"/>
    </row>
    <row r="86416" spans="6:6" x14ac:dyDescent="0.3">
      <c r="F86416" s="193"/>
    </row>
    <row r="86417" spans="6:6" x14ac:dyDescent="0.3">
      <c r="F86417" s="193"/>
    </row>
    <row r="86418" spans="6:6" x14ac:dyDescent="0.3">
      <c r="F86418" s="193"/>
    </row>
    <row r="86419" spans="6:6" x14ac:dyDescent="0.3">
      <c r="F86419" s="193"/>
    </row>
    <row r="86420" spans="6:6" x14ac:dyDescent="0.3">
      <c r="F86420" s="193"/>
    </row>
    <row r="86421" spans="6:6" x14ac:dyDescent="0.3">
      <c r="F86421" s="193"/>
    </row>
    <row r="86422" spans="6:6" x14ac:dyDescent="0.3">
      <c r="F86422" s="193"/>
    </row>
    <row r="86423" spans="6:6" x14ac:dyDescent="0.3">
      <c r="F86423" s="193"/>
    </row>
    <row r="86424" spans="6:6" x14ac:dyDescent="0.3">
      <c r="F86424" s="193"/>
    </row>
    <row r="86425" spans="6:6" x14ac:dyDescent="0.3">
      <c r="F86425" s="193"/>
    </row>
    <row r="86426" spans="6:6" x14ac:dyDescent="0.3">
      <c r="F86426" s="193"/>
    </row>
    <row r="86427" spans="6:6" x14ac:dyDescent="0.3">
      <c r="F86427" s="193"/>
    </row>
    <row r="86428" spans="6:6" x14ac:dyDescent="0.3">
      <c r="F86428" s="193"/>
    </row>
    <row r="86429" spans="6:6" x14ac:dyDescent="0.3">
      <c r="F86429" s="193"/>
    </row>
    <row r="86430" spans="6:6" x14ac:dyDescent="0.3">
      <c r="F86430" s="193"/>
    </row>
    <row r="86431" spans="6:6" x14ac:dyDescent="0.3">
      <c r="F86431" s="193"/>
    </row>
    <row r="86432" spans="6:6" x14ac:dyDescent="0.3">
      <c r="F86432" s="193"/>
    </row>
    <row r="86433" spans="6:6" x14ac:dyDescent="0.3">
      <c r="F86433" s="193"/>
    </row>
    <row r="86434" spans="6:6" x14ac:dyDescent="0.3">
      <c r="F86434" s="193"/>
    </row>
    <row r="86435" spans="6:6" x14ac:dyDescent="0.3">
      <c r="F86435" s="193"/>
    </row>
    <row r="86436" spans="6:6" x14ac:dyDescent="0.3">
      <c r="F86436" s="193"/>
    </row>
    <row r="86437" spans="6:6" x14ac:dyDescent="0.3">
      <c r="F86437" s="193"/>
    </row>
    <row r="86438" spans="6:6" x14ac:dyDescent="0.3">
      <c r="F86438" s="193"/>
    </row>
    <row r="86439" spans="6:6" x14ac:dyDescent="0.3">
      <c r="F86439" s="193"/>
    </row>
    <row r="86440" spans="6:6" x14ac:dyDescent="0.3">
      <c r="F86440" s="193"/>
    </row>
    <row r="86441" spans="6:6" x14ac:dyDescent="0.3">
      <c r="F86441" s="193"/>
    </row>
    <row r="86442" spans="6:6" x14ac:dyDescent="0.3">
      <c r="F86442" s="193"/>
    </row>
    <row r="86443" spans="6:6" x14ac:dyDescent="0.3">
      <c r="F86443" s="193"/>
    </row>
    <row r="86444" spans="6:6" x14ac:dyDescent="0.3">
      <c r="F86444" s="193"/>
    </row>
    <row r="86445" spans="6:6" x14ac:dyDescent="0.3">
      <c r="F86445" s="193"/>
    </row>
    <row r="86446" spans="6:6" x14ac:dyDescent="0.3">
      <c r="F86446" s="193"/>
    </row>
    <row r="86447" spans="6:6" x14ac:dyDescent="0.3">
      <c r="F86447" s="193"/>
    </row>
    <row r="86448" spans="6:6" x14ac:dyDescent="0.3">
      <c r="F86448" s="193"/>
    </row>
    <row r="86449" spans="6:6" x14ac:dyDescent="0.3">
      <c r="F86449" s="193"/>
    </row>
    <row r="86450" spans="6:6" x14ac:dyDescent="0.3">
      <c r="F86450" s="193"/>
    </row>
    <row r="86451" spans="6:6" x14ac:dyDescent="0.3">
      <c r="F86451" s="193"/>
    </row>
    <row r="86452" spans="6:6" x14ac:dyDescent="0.3">
      <c r="F86452" s="193"/>
    </row>
    <row r="86453" spans="6:6" x14ac:dyDescent="0.3">
      <c r="F86453" s="193"/>
    </row>
    <row r="86454" spans="6:6" x14ac:dyDescent="0.3">
      <c r="F86454" s="193"/>
    </row>
    <row r="86455" spans="6:6" x14ac:dyDescent="0.3">
      <c r="F86455" s="193"/>
    </row>
    <row r="86456" spans="6:6" x14ac:dyDescent="0.3">
      <c r="F86456" s="193"/>
    </row>
    <row r="86457" spans="6:6" x14ac:dyDescent="0.3">
      <c r="F86457" s="193"/>
    </row>
    <row r="86458" spans="6:6" x14ac:dyDescent="0.3">
      <c r="F86458" s="193"/>
    </row>
    <row r="86459" spans="6:6" x14ac:dyDescent="0.3">
      <c r="F86459" s="193"/>
    </row>
    <row r="86460" spans="6:6" x14ac:dyDescent="0.3">
      <c r="F86460" s="193"/>
    </row>
    <row r="86461" spans="6:6" x14ac:dyDescent="0.3">
      <c r="F86461" s="193"/>
    </row>
    <row r="86462" spans="6:6" x14ac:dyDescent="0.3">
      <c r="F86462" s="193"/>
    </row>
    <row r="86463" spans="6:6" x14ac:dyDescent="0.3">
      <c r="F86463" s="193"/>
    </row>
    <row r="86464" spans="6:6" x14ac:dyDescent="0.3">
      <c r="F86464" s="193"/>
    </row>
    <row r="86465" spans="6:6" x14ac:dyDescent="0.3">
      <c r="F86465" s="193"/>
    </row>
    <row r="86466" spans="6:6" x14ac:dyDescent="0.3">
      <c r="F86466" s="193"/>
    </row>
    <row r="86467" spans="6:6" x14ac:dyDescent="0.3">
      <c r="F86467" s="193"/>
    </row>
    <row r="86468" spans="6:6" x14ac:dyDescent="0.3">
      <c r="F86468" s="193"/>
    </row>
    <row r="86469" spans="6:6" x14ac:dyDescent="0.3">
      <c r="F86469" s="193"/>
    </row>
    <row r="86470" spans="6:6" x14ac:dyDescent="0.3">
      <c r="F86470" s="193"/>
    </row>
    <row r="86471" spans="6:6" x14ac:dyDescent="0.3">
      <c r="F86471" s="193"/>
    </row>
    <row r="86472" spans="6:6" x14ac:dyDescent="0.3">
      <c r="F86472" s="193"/>
    </row>
    <row r="86473" spans="6:6" x14ac:dyDescent="0.3">
      <c r="F86473" s="193"/>
    </row>
    <row r="86474" spans="6:6" x14ac:dyDescent="0.3">
      <c r="F86474" s="193"/>
    </row>
    <row r="86475" spans="6:6" x14ac:dyDescent="0.3">
      <c r="F86475" s="193"/>
    </row>
    <row r="86476" spans="6:6" x14ac:dyDescent="0.3">
      <c r="F86476" s="193"/>
    </row>
    <row r="86477" spans="6:6" x14ac:dyDescent="0.3">
      <c r="F86477" s="193"/>
    </row>
    <row r="86478" spans="6:6" x14ac:dyDescent="0.3">
      <c r="F86478" s="193"/>
    </row>
    <row r="86479" spans="6:6" x14ac:dyDescent="0.3">
      <c r="F86479" s="193"/>
    </row>
    <row r="86480" spans="6:6" x14ac:dyDescent="0.3">
      <c r="F86480" s="193"/>
    </row>
    <row r="86481" spans="6:6" x14ac:dyDescent="0.3">
      <c r="F86481" s="193"/>
    </row>
    <row r="86482" spans="6:6" x14ac:dyDescent="0.3">
      <c r="F86482" s="193"/>
    </row>
    <row r="86483" spans="6:6" x14ac:dyDescent="0.3">
      <c r="F86483" s="193"/>
    </row>
    <row r="86484" spans="6:6" x14ac:dyDescent="0.3">
      <c r="F86484" s="193"/>
    </row>
    <row r="86485" spans="6:6" x14ac:dyDescent="0.3">
      <c r="F86485" s="193"/>
    </row>
    <row r="86486" spans="6:6" x14ac:dyDescent="0.3">
      <c r="F86486" s="193"/>
    </row>
    <row r="86487" spans="6:6" x14ac:dyDescent="0.3">
      <c r="F86487" s="193"/>
    </row>
    <row r="86488" spans="6:6" x14ac:dyDescent="0.3">
      <c r="F86488" s="193"/>
    </row>
    <row r="86489" spans="6:6" x14ac:dyDescent="0.3">
      <c r="F86489" s="193"/>
    </row>
    <row r="86490" spans="6:6" x14ac:dyDescent="0.3">
      <c r="F86490" s="193"/>
    </row>
    <row r="86491" spans="6:6" x14ac:dyDescent="0.3">
      <c r="F86491" s="193"/>
    </row>
    <row r="86492" spans="6:6" x14ac:dyDescent="0.3">
      <c r="F86492" s="193"/>
    </row>
    <row r="86493" spans="6:6" x14ac:dyDescent="0.3">
      <c r="F86493" s="193"/>
    </row>
    <row r="86494" spans="6:6" x14ac:dyDescent="0.3">
      <c r="F86494" s="193"/>
    </row>
    <row r="86495" spans="6:6" x14ac:dyDescent="0.3">
      <c r="F86495" s="193"/>
    </row>
    <row r="86496" spans="6:6" x14ac:dyDescent="0.3">
      <c r="F86496" s="193"/>
    </row>
    <row r="86497" spans="6:6" x14ac:dyDescent="0.3">
      <c r="F86497" s="193"/>
    </row>
    <row r="86498" spans="6:6" x14ac:dyDescent="0.3">
      <c r="F86498" s="193"/>
    </row>
    <row r="86499" spans="6:6" x14ac:dyDescent="0.3">
      <c r="F86499" s="193"/>
    </row>
    <row r="86500" spans="6:6" x14ac:dyDescent="0.3">
      <c r="F86500" s="193"/>
    </row>
    <row r="86501" spans="6:6" x14ac:dyDescent="0.3">
      <c r="F86501" s="193"/>
    </row>
    <row r="86502" spans="6:6" x14ac:dyDescent="0.3">
      <c r="F86502" s="193"/>
    </row>
    <row r="86503" spans="6:6" x14ac:dyDescent="0.3">
      <c r="F86503" s="193"/>
    </row>
    <row r="86504" spans="6:6" x14ac:dyDescent="0.3">
      <c r="F86504" s="193"/>
    </row>
    <row r="86505" spans="6:6" x14ac:dyDescent="0.3">
      <c r="F86505" s="193"/>
    </row>
    <row r="86506" spans="6:6" x14ac:dyDescent="0.3">
      <c r="F86506" s="193"/>
    </row>
    <row r="86507" spans="6:6" x14ac:dyDescent="0.3">
      <c r="F86507" s="193"/>
    </row>
    <row r="86508" spans="6:6" x14ac:dyDescent="0.3">
      <c r="F86508" s="193"/>
    </row>
    <row r="86509" spans="6:6" x14ac:dyDescent="0.3">
      <c r="F86509" s="193"/>
    </row>
    <row r="86510" spans="6:6" x14ac:dyDescent="0.3">
      <c r="F86510" s="193"/>
    </row>
    <row r="86511" spans="6:6" x14ac:dyDescent="0.3">
      <c r="F86511" s="193"/>
    </row>
    <row r="86512" spans="6:6" x14ac:dyDescent="0.3">
      <c r="F86512" s="193"/>
    </row>
    <row r="86513" spans="6:6" x14ac:dyDescent="0.3">
      <c r="F86513" s="193"/>
    </row>
    <row r="86514" spans="6:6" x14ac:dyDescent="0.3">
      <c r="F86514" s="193"/>
    </row>
    <row r="86515" spans="6:6" x14ac:dyDescent="0.3">
      <c r="F86515" s="193"/>
    </row>
    <row r="86516" spans="6:6" x14ac:dyDescent="0.3">
      <c r="F86516" s="193"/>
    </row>
    <row r="86517" spans="6:6" x14ac:dyDescent="0.3">
      <c r="F86517" s="193"/>
    </row>
    <row r="86518" spans="6:6" x14ac:dyDescent="0.3">
      <c r="F86518" s="193"/>
    </row>
    <row r="86519" spans="6:6" x14ac:dyDescent="0.3">
      <c r="F86519" s="193"/>
    </row>
    <row r="86520" spans="6:6" x14ac:dyDescent="0.3">
      <c r="F86520" s="193"/>
    </row>
    <row r="86521" spans="6:6" x14ac:dyDescent="0.3">
      <c r="F86521" s="193"/>
    </row>
    <row r="86522" spans="6:6" x14ac:dyDescent="0.3">
      <c r="F86522" s="193"/>
    </row>
    <row r="86523" spans="6:6" x14ac:dyDescent="0.3">
      <c r="F86523" s="193"/>
    </row>
    <row r="86524" spans="6:6" x14ac:dyDescent="0.3">
      <c r="F86524" s="193"/>
    </row>
    <row r="86525" spans="6:6" x14ac:dyDescent="0.3">
      <c r="F86525" s="193"/>
    </row>
    <row r="86526" spans="6:6" x14ac:dyDescent="0.3">
      <c r="F86526" s="193"/>
    </row>
    <row r="86527" spans="6:6" x14ac:dyDescent="0.3">
      <c r="F86527" s="193"/>
    </row>
    <row r="86528" spans="6:6" x14ac:dyDescent="0.3">
      <c r="F86528" s="193"/>
    </row>
    <row r="86529" spans="6:6" x14ac:dyDescent="0.3">
      <c r="F86529" s="193"/>
    </row>
    <row r="86530" spans="6:6" x14ac:dyDescent="0.3">
      <c r="F86530" s="193"/>
    </row>
    <row r="86531" spans="6:6" x14ac:dyDescent="0.3">
      <c r="F86531" s="193"/>
    </row>
    <row r="86532" spans="6:6" x14ac:dyDescent="0.3">
      <c r="F86532" s="193"/>
    </row>
    <row r="86533" spans="6:6" x14ac:dyDescent="0.3">
      <c r="F86533" s="193"/>
    </row>
    <row r="86534" spans="6:6" x14ac:dyDescent="0.3">
      <c r="F86534" s="193"/>
    </row>
    <row r="86535" spans="6:6" x14ac:dyDescent="0.3">
      <c r="F86535" s="193"/>
    </row>
    <row r="86536" spans="6:6" x14ac:dyDescent="0.3">
      <c r="F86536" s="193"/>
    </row>
    <row r="86537" spans="6:6" x14ac:dyDescent="0.3">
      <c r="F86537" s="193"/>
    </row>
    <row r="86538" spans="6:6" x14ac:dyDescent="0.3">
      <c r="F86538" s="193"/>
    </row>
    <row r="86539" spans="6:6" x14ac:dyDescent="0.3">
      <c r="F86539" s="193"/>
    </row>
    <row r="86540" spans="6:6" x14ac:dyDescent="0.3">
      <c r="F86540" s="193"/>
    </row>
    <row r="86541" spans="6:6" x14ac:dyDescent="0.3">
      <c r="F86541" s="193"/>
    </row>
    <row r="86542" spans="6:6" x14ac:dyDescent="0.3">
      <c r="F86542" s="193"/>
    </row>
    <row r="86543" spans="6:6" x14ac:dyDescent="0.3">
      <c r="F86543" s="193"/>
    </row>
    <row r="86544" spans="6:6" x14ac:dyDescent="0.3">
      <c r="F86544" s="193"/>
    </row>
    <row r="86545" spans="6:6" x14ac:dyDescent="0.3">
      <c r="F86545" s="193"/>
    </row>
    <row r="86546" spans="6:6" x14ac:dyDescent="0.3">
      <c r="F86546" s="193"/>
    </row>
    <row r="86547" spans="6:6" x14ac:dyDescent="0.3">
      <c r="F86547" s="193"/>
    </row>
    <row r="86548" spans="6:6" x14ac:dyDescent="0.3">
      <c r="F86548" s="193"/>
    </row>
    <row r="86549" spans="6:6" x14ac:dyDescent="0.3">
      <c r="F86549" s="193"/>
    </row>
    <row r="86550" spans="6:6" x14ac:dyDescent="0.3">
      <c r="F86550" s="193"/>
    </row>
    <row r="86551" spans="6:6" x14ac:dyDescent="0.3">
      <c r="F86551" s="193"/>
    </row>
    <row r="86552" spans="6:6" x14ac:dyDescent="0.3">
      <c r="F86552" s="193"/>
    </row>
    <row r="86553" spans="6:6" x14ac:dyDescent="0.3">
      <c r="F86553" s="193"/>
    </row>
    <row r="86554" spans="6:6" x14ac:dyDescent="0.3">
      <c r="F86554" s="193"/>
    </row>
    <row r="86555" spans="6:6" x14ac:dyDescent="0.3">
      <c r="F86555" s="193"/>
    </row>
    <row r="86556" spans="6:6" x14ac:dyDescent="0.3">
      <c r="F86556" s="193"/>
    </row>
    <row r="86557" spans="6:6" x14ac:dyDescent="0.3">
      <c r="F86557" s="193"/>
    </row>
    <row r="86558" spans="6:6" x14ac:dyDescent="0.3">
      <c r="F86558" s="193"/>
    </row>
    <row r="86559" spans="6:6" x14ac:dyDescent="0.3">
      <c r="F86559" s="193"/>
    </row>
    <row r="86560" spans="6:6" x14ac:dyDescent="0.3">
      <c r="F86560" s="193"/>
    </row>
    <row r="86561" spans="6:6" x14ac:dyDescent="0.3">
      <c r="F86561" s="193"/>
    </row>
    <row r="86562" spans="6:6" x14ac:dyDescent="0.3">
      <c r="F86562" s="193"/>
    </row>
    <row r="86563" spans="6:6" x14ac:dyDescent="0.3">
      <c r="F86563" s="193"/>
    </row>
    <row r="86564" spans="6:6" x14ac:dyDescent="0.3">
      <c r="F86564" s="193"/>
    </row>
    <row r="86565" spans="6:6" x14ac:dyDescent="0.3">
      <c r="F86565" s="193"/>
    </row>
    <row r="86566" spans="6:6" x14ac:dyDescent="0.3">
      <c r="F86566" s="193"/>
    </row>
    <row r="86567" spans="6:6" x14ac:dyDescent="0.3">
      <c r="F86567" s="193"/>
    </row>
    <row r="86568" spans="6:6" x14ac:dyDescent="0.3">
      <c r="F86568" s="193"/>
    </row>
    <row r="86569" spans="6:6" x14ac:dyDescent="0.3">
      <c r="F86569" s="193"/>
    </row>
    <row r="86570" spans="6:6" x14ac:dyDescent="0.3">
      <c r="F86570" s="193"/>
    </row>
    <row r="86571" spans="6:6" x14ac:dyDescent="0.3">
      <c r="F86571" s="193"/>
    </row>
    <row r="86572" spans="6:6" x14ac:dyDescent="0.3">
      <c r="F86572" s="193"/>
    </row>
    <row r="86573" spans="6:6" x14ac:dyDescent="0.3">
      <c r="F86573" s="193"/>
    </row>
    <row r="86574" spans="6:6" x14ac:dyDescent="0.3">
      <c r="F86574" s="193"/>
    </row>
    <row r="86575" spans="6:6" x14ac:dyDescent="0.3">
      <c r="F86575" s="193"/>
    </row>
    <row r="86576" spans="6:6" x14ac:dyDescent="0.3">
      <c r="F86576" s="193"/>
    </row>
    <row r="86577" spans="6:6" x14ac:dyDescent="0.3">
      <c r="F86577" s="193"/>
    </row>
    <row r="86578" spans="6:6" x14ac:dyDescent="0.3">
      <c r="F86578" s="193"/>
    </row>
    <row r="86579" spans="6:6" x14ac:dyDescent="0.3">
      <c r="F86579" s="193"/>
    </row>
    <row r="86580" spans="6:6" x14ac:dyDescent="0.3">
      <c r="F86580" s="193"/>
    </row>
    <row r="86581" spans="6:6" x14ac:dyDescent="0.3">
      <c r="F86581" s="193"/>
    </row>
    <row r="86582" spans="6:6" x14ac:dyDescent="0.3">
      <c r="F86582" s="193"/>
    </row>
    <row r="86583" spans="6:6" x14ac:dyDescent="0.3">
      <c r="F86583" s="193"/>
    </row>
    <row r="86584" spans="6:6" x14ac:dyDescent="0.3">
      <c r="F86584" s="193"/>
    </row>
    <row r="86585" spans="6:6" x14ac:dyDescent="0.3">
      <c r="F86585" s="193"/>
    </row>
    <row r="86586" spans="6:6" x14ac:dyDescent="0.3">
      <c r="F86586" s="193"/>
    </row>
    <row r="86587" spans="6:6" x14ac:dyDescent="0.3">
      <c r="F86587" s="193"/>
    </row>
    <row r="86588" spans="6:6" x14ac:dyDescent="0.3">
      <c r="F86588" s="193"/>
    </row>
    <row r="86589" spans="6:6" x14ac:dyDescent="0.3">
      <c r="F86589" s="193"/>
    </row>
    <row r="86590" spans="6:6" x14ac:dyDescent="0.3">
      <c r="F86590" s="193"/>
    </row>
    <row r="86591" spans="6:6" x14ac:dyDescent="0.3">
      <c r="F86591" s="193"/>
    </row>
    <row r="86592" spans="6:6" x14ac:dyDescent="0.3">
      <c r="F86592" s="193"/>
    </row>
    <row r="86593" spans="6:6" x14ac:dyDescent="0.3">
      <c r="F86593" s="193"/>
    </row>
    <row r="86594" spans="6:6" x14ac:dyDescent="0.3">
      <c r="F86594" s="193"/>
    </row>
    <row r="86595" spans="6:6" x14ac:dyDescent="0.3">
      <c r="F86595" s="193"/>
    </row>
    <row r="86596" spans="6:6" x14ac:dyDescent="0.3">
      <c r="F86596" s="193"/>
    </row>
    <row r="86597" spans="6:6" x14ac:dyDescent="0.3">
      <c r="F86597" s="193"/>
    </row>
    <row r="86598" spans="6:6" x14ac:dyDescent="0.3">
      <c r="F86598" s="193"/>
    </row>
    <row r="86599" spans="6:6" x14ac:dyDescent="0.3">
      <c r="F86599" s="193"/>
    </row>
    <row r="86600" spans="6:6" x14ac:dyDescent="0.3">
      <c r="F86600" s="193"/>
    </row>
    <row r="86601" spans="6:6" x14ac:dyDescent="0.3">
      <c r="F86601" s="193"/>
    </row>
    <row r="86602" spans="6:6" x14ac:dyDescent="0.3">
      <c r="F86602" s="193"/>
    </row>
    <row r="86603" spans="6:6" x14ac:dyDescent="0.3">
      <c r="F86603" s="193"/>
    </row>
    <row r="86604" spans="6:6" x14ac:dyDescent="0.3">
      <c r="F86604" s="193"/>
    </row>
    <row r="86605" spans="6:6" x14ac:dyDescent="0.3">
      <c r="F86605" s="193"/>
    </row>
    <row r="86606" spans="6:6" x14ac:dyDescent="0.3">
      <c r="F86606" s="193"/>
    </row>
    <row r="86607" spans="6:6" x14ac:dyDescent="0.3">
      <c r="F86607" s="193"/>
    </row>
    <row r="86608" spans="6:6" x14ac:dyDescent="0.3">
      <c r="F86608" s="193"/>
    </row>
    <row r="86609" spans="6:6" x14ac:dyDescent="0.3">
      <c r="F86609" s="193"/>
    </row>
    <row r="86610" spans="6:6" x14ac:dyDescent="0.3">
      <c r="F86610" s="193"/>
    </row>
    <row r="86611" spans="6:6" x14ac:dyDescent="0.3">
      <c r="F86611" s="193"/>
    </row>
    <row r="86612" spans="6:6" x14ac:dyDescent="0.3">
      <c r="F86612" s="193"/>
    </row>
    <row r="86613" spans="6:6" x14ac:dyDescent="0.3">
      <c r="F86613" s="193"/>
    </row>
    <row r="86614" spans="6:6" x14ac:dyDescent="0.3">
      <c r="F86614" s="193"/>
    </row>
    <row r="86615" spans="6:6" x14ac:dyDescent="0.3">
      <c r="F86615" s="193"/>
    </row>
    <row r="86616" spans="6:6" x14ac:dyDescent="0.3">
      <c r="F86616" s="193"/>
    </row>
    <row r="86617" spans="6:6" x14ac:dyDescent="0.3">
      <c r="F86617" s="193"/>
    </row>
    <row r="86618" spans="6:6" x14ac:dyDescent="0.3">
      <c r="F86618" s="193"/>
    </row>
    <row r="86619" spans="6:6" x14ac:dyDescent="0.3">
      <c r="F86619" s="193"/>
    </row>
    <row r="86620" spans="6:6" x14ac:dyDescent="0.3">
      <c r="F86620" s="193"/>
    </row>
    <row r="86621" spans="6:6" x14ac:dyDescent="0.3">
      <c r="F86621" s="193"/>
    </row>
    <row r="86622" spans="6:6" x14ac:dyDescent="0.3">
      <c r="F86622" s="193"/>
    </row>
    <row r="86623" spans="6:6" x14ac:dyDescent="0.3">
      <c r="F86623" s="193"/>
    </row>
    <row r="86624" spans="6:6" x14ac:dyDescent="0.3">
      <c r="F86624" s="193"/>
    </row>
    <row r="86625" spans="6:6" x14ac:dyDescent="0.3">
      <c r="F86625" s="193"/>
    </row>
    <row r="86626" spans="6:6" x14ac:dyDescent="0.3">
      <c r="F86626" s="193"/>
    </row>
    <row r="86627" spans="6:6" x14ac:dyDescent="0.3">
      <c r="F86627" s="193"/>
    </row>
    <row r="86628" spans="6:6" x14ac:dyDescent="0.3">
      <c r="F86628" s="193"/>
    </row>
    <row r="86629" spans="6:6" x14ac:dyDescent="0.3">
      <c r="F86629" s="193"/>
    </row>
    <row r="86630" spans="6:6" x14ac:dyDescent="0.3">
      <c r="F86630" s="193"/>
    </row>
    <row r="86631" spans="6:6" x14ac:dyDescent="0.3">
      <c r="F86631" s="193"/>
    </row>
    <row r="86632" spans="6:6" x14ac:dyDescent="0.3">
      <c r="F86632" s="193"/>
    </row>
    <row r="86633" spans="6:6" x14ac:dyDescent="0.3">
      <c r="F86633" s="193"/>
    </row>
    <row r="86634" spans="6:6" x14ac:dyDescent="0.3">
      <c r="F86634" s="193"/>
    </row>
    <row r="86635" spans="6:6" x14ac:dyDescent="0.3">
      <c r="F86635" s="193"/>
    </row>
    <row r="86636" spans="6:6" x14ac:dyDescent="0.3">
      <c r="F86636" s="193"/>
    </row>
    <row r="86637" spans="6:6" x14ac:dyDescent="0.3">
      <c r="F86637" s="193"/>
    </row>
    <row r="86638" spans="6:6" x14ac:dyDescent="0.3">
      <c r="F86638" s="193"/>
    </row>
    <row r="86639" spans="6:6" x14ac:dyDescent="0.3">
      <c r="F86639" s="193"/>
    </row>
    <row r="86640" spans="6:6" x14ac:dyDescent="0.3">
      <c r="F86640" s="193"/>
    </row>
    <row r="86641" spans="6:6" x14ac:dyDescent="0.3">
      <c r="F86641" s="193"/>
    </row>
    <row r="86642" spans="6:6" x14ac:dyDescent="0.3">
      <c r="F86642" s="193"/>
    </row>
    <row r="86643" spans="6:6" x14ac:dyDescent="0.3">
      <c r="F86643" s="193"/>
    </row>
    <row r="86644" spans="6:6" x14ac:dyDescent="0.3">
      <c r="F86644" s="193"/>
    </row>
    <row r="86645" spans="6:6" x14ac:dyDescent="0.3">
      <c r="F86645" s="193"/>
    </row>
    <row r="86646" spans="6:6" x14ac:dyDescent="0.3">
      <c r="F86646" s="193"/>
    </row>
    <row r="86647" spans="6:6" x14ac:dyDescent="0.3">
      <c r="F86647" s="193"/>
    </row>
    <row r="86648" spans="6:6" x14ac:dyDescent="0.3">
      <c r="F86648" s="193"/>
    </row>
    <row r="86649" spans="6:6" x14ac:dyDescent="0.3">
      <c r="F86649" s="193"/>
    </row>
    <row r="86650" spans="6:6" x14ac:dyDescent="0.3">
      <c r="F86650" s="193"/>
    </row>
    <row r="86651" spans="6:6" x14ac:dyDescent="0.3">
      <c r="F86651" s="193"/>
    </row>
    <row r="86652" spans="6:6" x14ac:dyDescent="0.3">
      <c r="F86652" s="193"/>
    </row>
    <row r="86653" spans="6:6" x14ac:dyDescent="0.3">
      <c r="F86653" s="193"/>
    </row>
    <row r="86654" spans="6:6" x14ac:dyDescent="0.3">
      <c r="F86654" s="193"/>
    </row>
    <row r="86655" spans="6:6" x14ac:dyDescent="0.3">
      <c r="F86655" s="193"/>
    </row>
    <row r="86656" spans="6:6" x14ac:dyDescent="0.3">
      <c r="F86656" s="193"/>
    </row>
    <row r="86657" spans="6:6" x14ac:dyDescent="0.3">
      <c r="F86657" s="193"/>
    </row>
    <row r="86658" spans="6:6" x14ac:dyDescent="0.3">
      <c r="F86658" s="193"/>
    </row>
    <row r="86659" spans="6:6" x14ac:dyDescent="0.3">
      <c r="F86659" s="193"/>
    </row>
    <row r="86660" spans="6:6" x14ac:dyDescent="0.3">
      <c r="F86660" s="193"/>
    </row>
    <row r="86661" spans="6:6" x14ac:dyDescent="0.3">
      <c r="F86661" s="193"/>
    </row>
    <row r="86662" spans="6:6" x14ac:dyDescent="0.3">
      <c r="F86662" s="193"/>
    </row>
    <row r="86663" spans="6:6" x14ac:dyDescent="0.3">
      <c r="F86663" s="193"/>
    </row>
    <row r="86664" spans="6:6" x14ac:dyDescent="0.3">
      <c r="F86664" s="193"/>
    </row>
    <row r="86665" spans="6:6" x14ac:dyDescent="0.3">
      <c r="F86665" s="193"/>
    </row>
    <row r="86666" spans="6:6" x14ac:dyDescent="0.3">
      <c r="F86666" s="193"/>
    </row>
    <row r="86667" spans="6:6" x14ac:dyDescent="0.3">
      <c r="F86667" s="193"/>
    </row>
    <row r="86668" spans="6:6" x14ac:dyDescent="0.3">
      <c r="F86668" s="193"/>
    </row>
    <row r="86669" spans="6:6" x14ac:dyDescent="0.3">
      <c r="F86669" s="193"/>
    </row>
    <row r="86670" spans="6:6" x14ac:dyDescent="0.3">
      <c r="F86670" s="193"/>
    </row>
    <row r="86671" spans="6:6" x14ac:dyDescent="0.3">
      <c r="F86671" s="193"/>
    </row>
    <row r="86672" spans="6:6" x14ac:dyDescent="0.3">
      <c r="F86672" s="193"/>
    </row>
    <row r="86673" spans="6:6" x14ac:dyDescent="0.3">
      <c r="F86673" s="193"/>
    </row>
    <row r="86674" spans="6:6" x14ac:dyDescent="0.3">
      <c r="F86674" s="193"/>
    </row>
    <row r="86675" spans="6:6" x14ac:dyDescent="0.3">
      <c r="F86675" s="193"/>
    </row>
    <row r="86676" spans="6:6" x14ac:dyDescent="0.3">
      <c r="F86676" s="193"/>
    </row>
    <row r="86677" spans="6:6" x14ac:dyDescent="0.3">
      <c r="F86677" s="193"/>
    </row>
    <row r="86678" spans="6:6" x14ac:dyDescent="0.3">
      <c r="F86678" s="193"/>
    </row>
    <row r="86679" spans="6:6" x14ac:dyDescent="0.3">
      <c r="F86679" s="193"/>
    </row>
    <row r="86680" spans="6:6" x14ac:dyDescent="0.3">
      <c r="F86680" s="193"/>
    </row>
    <row r="86681" spans="6:6" x14ac:dyDescent="0.3">
      <c r="F86681" s="193"/>
    </row>
    <row r="86682" spans="6:6" x14ac:dyDescent="0.3">
      <c r="F86682" s="193"/>
    </row>
    <row r="86683" spans="6:6" x14ac:dyDescent="0.3">
      <c r="F86683" s="193"/>
    </row>
    <row r="86684" spans="6:6" x14ac:dyDescent="0.3">
      <c r="F86684" s="193"/>
    </row>
    <row r="86685" spans="6:6" x14ac:dyDescent="0.3">
      <c r="F86685" s="193"/>
    </row>
    <row r="86686" spans="6:6" x14ac:dyDescent="0.3">
      <c r="F86686" s="193"/>
    </row>
    <row r="86687" spans="6:6" x14ac:dyDescent="0.3">
      <c r="F86687" s="193"/>
    </row>
    <row r="86688" spans="6:6" x14ac:dyDescent="0.3">
      <c r="F86688" s="193"/>
    </row>
    <row r="86689" spans="6:6" x14ac:dyDescent="0.3">
      <c r="F86689" s="193"/>
    </row>
    <row r="86690" spans="6:6" x14ac:dyDescent="0.3">
      <c r="F86690" s="193"/>
    </row>
    <row r="86691" spans="6:6" x14ac:dyDescent="0.3">
      <c r="F86691" s="193"/>
    </row>
    <row r="86692" spans="6:6" x14ac:dyDescent="0.3">
      <c r="F86692" s="193"/>
    </row>
    <row r="86693" spans="6:6" x14ac:dyDescent="0.3">
      <c r="F86693" s="193"/>
    </row>
    <row r="86694" spans="6:6" x14ac:dyDescent="0.3">
      <c r="F86694" s="193"/>
    </row>
    <row r="86695" spans="6:6" x14ac:dyDescent="0.3">
      <c r="F86695" s="193"/>
    </row>
    <row r="86696" spans="6:6" x14ac:dyDescent="0.3">
      <c r="F86696" s="193"/>
    </row>
    <row r="86697" spans="6:6" x14ac:dyDescent="0.3">
      <c r="F86697" s="193"/>
    </row>
    <row r="86698" spans="6:6" x14ac:dyDescent="0.3">
      <c r="F86698" s="193"/>
    </row>
    <row r="86699" spans="6:6" x14ac:dyDescent="0.3">
      <c r="F86699" s="193"/>
    </row>
    <row r="86700" spans="6:6" x14ac:dyDescent="0.3">
      <c r="F86700" s="193"/>
    </row>
    <row r="86701" spans="6:6" x14ac:dyDescent="0.3">
      <c r="F86701" s="193"/>
    </row>
    <row r="86702" spans="6:6" x14ac:dyDescent="0.3">
      <c r="F86702" s="193"/>
    </row>
    <row r="86703" spans="6:6" x14ac:dyDescent="0.3">
      <c r="F86703" s="193"/>
    </row>
    <row r="86704" spans="6:6" x14ac:dyDescent="0.3">
      <c r="F86704" s="193"/>
    </row>
    <row r="86705" spans="6:6" x14ac:dyDescent="0.3">
      <c r="F86705" s="193"/>
    </row>
    <row r="86706" spans="6:6" x14ac:dyDescent="0.3">
      <c r="F86706" s="193"/>
    </row>
    <row r="86707" spans="6:6" x14ac:dyDescent="0.3">
      <c r="F86707" s="193"/>
    </row>
    <row r="86708" spans="6:6" x14ac:dyDescent="0.3">
      <c r="F86708" s="193"/>
    </row>
    <row r="86709" spans="6:6" x14ac:dyDescent="0.3">
      <c r="F86709" s="193"/>
    </row>
    <row r="86710" spans="6:6" x14ac:dyDescent="0.3">
      <c r="F86710" s="193"/>
    </row>
    <row r="86711" spans="6:6" x14ac:dyDescent="0.3">
      <c r="F86711" s="193"/>
    </row>
    <row r="86712" spans="6:6" x14ac:dyDescent="0.3">
      <c r="F86712" s="193"/>
    </row>
    <row r="86713" spans="6:6" x14ac:dyDescent="0.3">
      <c r="F86713" s="193"/>
    </row>
    <row r="86714" spans="6:6" x14ac:dyDescent="0.3">
      <c r="F86714" s="193"/>
    </row>
    <row r="86715" spans="6:6" x14ac:dyDescent="0.3">
      <c r="F86715" s="193"/>
    </row>
    <row r="86716" spans="6:6" x14ac:dyDescent="0.3">
      <c r="F86716" s="193"/>
    </row>
    <row r="86717" spans="6:6" x14ac:dyDescent="0.3">
      <c r="F86717" s="193"/>
    </row>
    <row r="86718" spans="6:6" x14ac:dyDescent="0.3">
      <c r="F86718" s="193"/>
    </row>
    <row r="86719" spans="6:6" x14ac:dyDescent="0.3">
      <c r="F86719" s="193"/>
    </row>
    <row r="86720" spans="6:6" x14ac:dyDescent="0.3">
      <c r="F86720" s="193"/>
    </row>
    <row r="86721" spans="6:6" x14ac:dyDescent="0.3">
      <c r="F86721" s="193"/>
    </row>
    <row r="86722" spans="6:6" x14ac:dyDescent="0.3">
      <c r="F86722" s="193"/>
    </row>
    <row r="86723" spans="6:6" x14ac:dyDescent="0.3">
      <c r="F86723" s="193"/>
    </row>
    <row r="86724" spans="6:6" x14ac:dyDescent="0.3">
      <c r="F86724" s="193"/>
    </row>
    <row r="86725" spans="6:6" x14ac:dyDescent="0.3">
      <c r="F86725" s="193"/>
    </row>
    <row r="86726" spans="6:6" x14ac:dyDescent="0.3">
      <c r="F86726" s="193"/>
    </row>
    <row r="86727" spans="6:6" x14ac:dyDescent="0.3">
      <c r="F86727" s="193"/>
    </row>
    <row r="86728" spans="6:6" x14ac:dyDescent="0.3">
      <c r="F86728" s="193"/>
    </row>
    <row r="86729" spans="6:6" x14ac:dyDescent="0.3">
      <c r="F86729" s="193"/>
    </row>
    <row r="86730" spans="6:6" x14ac:dyDescent="0.3">
      <c r="F86730" s="193"/>
    </row>
    <row r="86731" spans="6:6" x14ac:dyDescent="0.3">
      <c r="F86731" s="193"/>
    </row>
    <row r="86732" spans="6:6" x14ac:dyDescent="0.3">
      <c r="F86732" s="193"/>
    </row>
    <row r="86733" spans="6:6" x14ac:dyDescent="0.3">
      <c r="F86733" s="193"/>
    </row>
    <row r="86734" spans="6:6" x14ac:dyDescent="0.3">
      <c r="F86734" s="193"/>
    </row>
    <row r="86735" spans="6:6" x14ac:dyDescent="0.3">
      <c r="F86735" s="193"/>
    </row>
    <row r="86736" spans="6:6" x14ac:dyDescent="0.3">
      <c r="F86736" s="193"/>
    </row>
    <row r="86737" spans="6:6" x14ac:dyDescent="0.3">
      <c r="F86737" s="193"/>
    </row>
    <row r="86738" spans="6:6" x14ac:dyDescent="0.3">
      <c r="F86738" s="193"/>
    </row>
    <row r="86739" spans="6:6" x14ac:dyDescent="0.3">
      <c r="F86739" s="193"/>
    </row>
    <row r="86740" spans="6:6" x14ac:dyDescent="0.3">
      <c r="F86740" s="193"/>
    </row>
    <row r="86741" spans="6:6" x14ac:dyDescent="0.3">
      <c r="F86741" s="193"/>
    </row>
    <row r="86742" spans="6:6" x14ac:dyDescent="0.3">
      <c r="F86742" s="193"/>
    </row>
    <row r="86743" spans="6:6" x14ac:dyDescent="0.3">
      <c r="F86743" s="193"/>
    </row>
    <row r="86744" spans="6:6" x14ac:dyDescent="0.3">
      <c r="F86744" s="193"/>
    </row>
    <row r="86745" spans="6:6" x14ac:dyDescent="0.3">
      <c r="F86745" s="193"/>
    </row>
    <row r="86746" spans="6:6" x14ac:dyDescent="0.3">
      <c r="F86746" s="193"/>
    </row>
    <row r="86747" spans="6:6" x14ac:dyDescent="0.3">
      <c r="F86747" s="193"/>
    </row>
    <row r="86748" spans="6:6" x14ac:dyDescent="0.3">
      <c r="F86748" s="193"/>
    </row>
    <row r="86749" spans="6:6" x14ac:dyDescent="0.3">
      <c r="F86749" s="193"/>
    </row>
    <row r="86750" spans="6:6" x14ac:dyDescent="0.3">
      <c r="F86750" s="193"/>
    </row>
    <row r="86751" spans="6:6" x14ac:dyDescent="0.3">
      <c r="F86751" s="193"/>
    </row>
    <row r="86752" spans="6:6" x14ac:dyDescent="0.3">
      <c r="F86752" s="193"/>
    </row>
    <row r="86753" spans="6:6" x14ac:dyDescent="0.3">
      <c r="F86753" s="193"/>
    </row>
    <row r="86754" spans="6:6" x14ac:dyDescent="0.3">
      <c r="F86754" s="193"/>
    </row>
    <row r="86755" spans="6:6" x14ac:dyDescent="0.3">
      <c r="F86755" s="193"/>
    </row>
    <row r="86756" spans="6:6" x14ac:dyDescent="0.3">
      <c r="F86756" s="193"/>
    </row>
    <row r="86757" spans="6:6" x14ac:dyDescent="0.3">
      <c r="F86757" s="193"/>
    </row>
    <row r="86758" spans="6:6" x14ac:dyDescent="0.3">
      <c r="F86758" s="193"/>
    </row>
    <row r="86759" spans="6:6" x14ac:dyDescent="0.3">
      <c r="F86759" s="193"/>
    </row>
    <row r="86760" spans="6:6" x14ac:dyDescent="0.3">
      <c r="F86760" s="193"/>
    </row>
    <row r="86761" spans="6:6" x14ac:dyDescent="0.3">
      <c r="F86761" s="193"/>
    </row>
    <row r="86762" spans="6:6" x14ac:dyDescent="0.3">
      <c r="F86762" s="193"/>
    </row>
    <row r="86763" spans="6:6" x14ac:dyDescent="0.3">
      <c r="F86763" s="193"/>
    </row>
    <row r="86764" spans="6:6" x14ac:dyDescent="0.3">
      <c r="F86764" s="193"/>
    </row>
    <row r="86765" spans="6:6" x14ac:dyDescent="0.3">
      <c r="F86765" s="193"/>
    </row>
    <row r="86766" spans="6:6" x14ac:dyDescent="0.3">
      <c r="F86766" s="193"/>
    </row>
    <row r="86767" spans="6:6" x14ac:dyDescent="0.3">
      <c r="F86767" s="193"/>
    </row>
    <row r="86768" spans="6:6" x14ac:dyDescent="0.3">
      <c r="F86768" s="193"/>
    </row>
    <row r="86769" spans="6:6" x14ac:dyDescent="0.3">
      <c r="F86769" s="193"/>
    </row>
    <row r="86770" spans="6:6" x14ac:dyDescent="0.3">
      <c r="F86770" s="193"/>
    </row>
    <row r="86771" spans="6:6" x14ac:dyDescent="0.3">
      <c r="F86771" s="193"/>
    </row>
    <row r="86772" spans="6:6" x14ac:dyDescent="0.3">
      <c r="F86772" s="193"/>
    </row>
    <row r="86773" spans="6:6" x14ac:dyDescent="0.3">
      <c r="F86773" s="193"/>
    </row>
    <row r="86774" spans="6:6" x14ac:dyDescent="0.3">
      <c r="F86774" s="193"/>
    </row>
    <row r="86775" spans="6:6" x14ac:dyDescent="0.3">
      <c r="F86775" s="193"/>
    </row>
    <row r="86776" spans="6:6" x14ac:dyDescent="0.3">
      <c r="F86776" s="193"/>
    </row>
    <row r="86777" spans="6:6" x14ac:dyDescent="0.3">
      <c r="F86777" s="193"/>
    </row>
    <row r="86778" spans="6:6" x14ac:dyDescent="0.3">
      <c r="F86778" s="193"/>
    </row>
    <row r="86779" spans="6:6" x14ac:dyDescent="0.3">
      <c r="F86779" s="193"/>
    </row>
    <row r="86780" spans="6:6" x14ac:dyDescent="0.3">
      <c r="F86780" s="193"/>
    </row>
    <row r="86781" spans="6:6" x14ac:dyDescent="0.3">
      <c r="F86781" s="193"/>
    </row>
    <row r="86782" spans="6:6" x14ac:dyDescent="0.3">
      <c r="F86782" s="193"/>
    </row>
    <row r="86783" spans="6:6" x14ac:dyDescent="0.3">
      <c r="F86783" s="193"/>
    </row>
    <row r="86784" spans="6:6" x14ac:dyDescent="0.3">
      <c r="F86784" s="193"/>
    </row>
    <row r="86785" spans="6:6" x14ac:dyDescent="0.3">
      <c r="F86785" s="193"/>
    </row>
    <row r="86786" spans="6:6" x14ac:dyDescent="0.3">
      <c r="F86786" s="193"/>
    </row>
    <row r="86787" spans="6:6" x14ac:dyDescent="0.3">
      <c r="F86787" s="193"/>
    </row>
    <row r="86788" spans="6:6" x14ac:dyDescent="0.3">
      <c r="F86788" s="193"/>
    </row>
    <row r="86789" spans="6:6" x14ac:dyDescent="0.3">
      <c r="F86789" s="193"/>
    </row>
    <row r="86790" spans="6:6" x14ac:dyDescent="0.3">
      <c r="F86790" s="193"/>
    </row>
    <row r="86791" spans="6:6" x14ac:dyDescent="0.3">
      <c r="F86791" s="193"/>
    </row>
    <row r="86792" spans="6:6" x14ac:dyDescent="0.3">
      <c r="F86792" s="193"/>
    </row>
    <row r="86793" spans="6:6" x14ac:dyDescent="0.3">
      <c r="F86793" s="193"/>
    </row>
    <row r="86794" spans="6:6" x14ac:dyDescent="0.3">
      <c r="F86794" s="193"/>
    </row>
    <row r="86795" spans="6:6" x14ac:dyDescent="0.3">
      <c r="F86795" s="193"/>
    </row>
    <row r="86796" spans="6:6" x14ac:dyDescent="0.3">
      <c r="F86796" s="193"/>
    </row>
    <row r="86797" spans="6:6" x14ac:dyDescent="0.3">
      <c r="F86797" s="193"/>
    </row>
    <row r="86798" spans="6:6" x14ac:dyDescent="0.3">
      <c r="F86798" s="193"/>
    </row>
    <row r="86799" spans="6:6" x14ac:dyDescent="0.3">
      <c r="F86799" s="193"/>
    </row>
    <row r="86800" spans="6:6" x14ac:dyDescent="0.3">
      <c r="F86800" s="193"/>
    </row>
    <row r="86801" spans="6:6" x14ac:dyDescent="0.3">
      <c r="F86801" s="193"/>
    </row>
    <row r="86802" spans="6:6" x14ac:dyDescent="0.3">
      <c r="F86802" s="193"/>
    </row>
    <row r="86803" spans="6:6" x14ac:dyDescent="0.3">
      <c r="F86803" s="193"/>
    </row>
    <row r="86804" spans="6:6" x14ac:dyDescent="0.3">
      <c r="F86804" s="193"/>
    </row>
    <row r="86805" spans="6:6" x14ac:dyDescent="0.3">
      <c r="F86805" s="193"/>
    </row>
    <row r="86806" spans="6:6" x14ac:dyDescent="0.3">
      <c r="F86806" s="193"/>
    </row>
    <row r="86807" spans="6:6" x14ac:dyDescent="0.3">
      <c r="F86807" s="193"/>
    </row>
    <row r="86808" spans="6:6" x14ac:dyDescent="0.3">
      <c r="F86808" s="193"/>
    </row>
    <row r="86809" spans="6:6" x14ac:dyDescent="0.3">
      <c r="F86809" s="193"/>
    </row>
    <row r="86810" spans="6:6" x14ac:dyDescent="0.3">
      <c r="F86810" s="193"/>
    </row>
    <row r="86811" spans="6:6" x14ac:dyDescent="0.3">
      <c r="F86811" s="193"/>
    </row>
    <row r="86812" spans="6:6" x14ac:dyDescent="0.3">
      <c r="F86812" s="193"/>
    </row>
    <row r="86813" spans="6:6" x14ac:dyDescent="0.3">
      <c r="F86813" s="193"/>
    </row>
    <row r="86814" spans="6:6" x14ac:dyDescent="0.3">
      <c r="F86814" s="193"/>
    </row>
    <row r="86815" spans="6:6" x14ac:dyDescent="0.3">
      <c r="F86815" s="193"/>
    </row>
    <row r="86816" spans="6:6" x14ac:dyDescent="0.3">
      <c r="F86816" s="193"/>
    </row>
    <row r="86817" spans="6:6" x14ac:dyDescent="0.3">
      <c r="F86817" s="193"/>
    </row>
    <row r="86818" spans="6:6" x14ac:dyDescent="0.3">
      <c r="F86818" s="193"/>
    </row>
    <row r="86819" spans="6:6" x14ac:dyDescent="0.3">
      <c r="F86819" s="193"/>
    </row>
    <row r="86820" spans="6:6" x14ac:dyDescent="0.3">
      <c r="F86820" s="193"/>
    </row>
    <row r="86821" spans="6:6" x14ac:dyDescent="0.3">
      <c r="F86821" s="193"/>
    </row>
    <row r="86822" spans="6:6" x14ac:dyDescent="0.3">
      <c r="F86822" s="193"/>
    </row>
    <row r="86823" spans="6:6" x14ac:dyDescent="0.3">
      <c r="F86823" s="193"/>
    </row>
    <row r="86824" spans="6:6" x14ac:dyDescent="0.3">
      <c r="F86824" s="193"/>
    </row>
    <row r="86825" spans="6:6" x14ac:dyDescent="0.3">
      <c r="F86825" s="193"/>
    </row>
    <row r="86826" spans="6:6" x14ac:dyDescent="0.3">
      <c r="F86826" s="193"/>
    </row>
    <row r="86827" spans="6:6" x14ac:dyDescent="0.3">
      <c r="F86827" s="193"/>
    </row>
    <row r="86828" spans="6:6" x14ac:dyDescent="0.3">
      <c r="F86828" s="193"/>
    </row>
    <row r="86829" spans="6:6" x14ac:dyDescent="0.3">
      <c r="F86829" s="193"/>
    </row>
    <row r="86830" spans="6:6" x14ac:dyDescent="0.3">
      <c r="F86830" s="193"/>
    </row>
    <row r="86831" spans="6:6" x14ac:dyDescent="0.3">
      <c r="F86831" s="193"/>
    </row>
    <row r="86832" spans="6:6" x14ac:dyDescent="0.3">
      <c r="F86832" s="193"/>
    </row>
    <row r="86833" spans="6:6" x14ac:dyDescent="0.3">
      <c r="F86833" s="193"/>
    </row>
    <row r="86834" spans="6:6" x14ac:dyDescent="0.3">
      <c r="F86834" s="193"/>
    </row>
    <row r="86835" spans="6:6" x14ac:dyDescent="0.3">
      <c r="F86835" s="193"/>
    </row>
    <row r="86836" spans="6:6" x14ac:dyDescent="0.3">
      <c r="F86836" s="193"/>
    </row>
    <row r="86837" spans="6:6" x14ac:dyDescent="0.3">
      <c r="F86837" s="193"/>
    </row>
    <row r="86838" spans="6:6" x14ac:dyDescent="0.3">
      <c r="F86838" s="193"/>
    </row>
    <row r="86839" spans="6:6" x14ac:dyDescent="0.3">
      <c r="F86839" s="193"/>
    </row>
    <row r="86840" spans="6:6" x14ac:dyDescent="0.3">
      <c r="F86840" s="193"/>
    </row>
    <row r="86841" spans="6:6" x14ac:dyDescent="0.3">
      <c r="F86841" s="193"/>
    </row>
    <row r="86842" spans="6:6" x14ac:dyDescent="0.3">
      <c r="F86842" s="193"/>
    </row>
    <row r="86843" spans="6:6" x14ac:dyDescent="0.3">
      <c r="F86843" s="193"/>
    </row>
    <row r="86844" spans="6:6" x14ac:dyDescent="0.3">
      <c r="F86844" s="193"/>
    </row>
    <row r="86845" spans="6:6" x14ac:dyDescent="0.3">
      <c r="F86845" s="193"/>
    </row>
    <row r="86846" spans="6:6" x14ac:dyDescent="0.3">
      <c r="F86846" s="193"/>
    </row>
    <row r="86847" spans="6:6" x14ac:dyDescent="0.3">
      <c r="F86847" s="193"/>
    </row>
    <row r="86848" spans="6:6" x14ac:dyDescent="0.3">
      <c r="F86848" s="193"/>
    </row>
    <row r="86849" spans="6:6" x14ac:dyDescent="0.3">
      <c r="F86849" s="193"/>
    </row>
    <row r="86850" spans="6:6" x14ac:dyDescent="0.3">
      <c r="F86850" s="193"/>
    </row>
    <row r="86851" spans="6:6" x14ac:dyDescent="0.3">
      <c r="F86851" s="193"/>
    </row>
    <row r="86852" spans="6:6" x14ac:dyDescent="0.3">
      <c r="F86852" s="193"/>
    </row>
    <row r="86853" spans="6:6" x14ac:dyDescent="0.3">
      <c r="F86853" s="193"/>
    </row>
    <row r="86854" spans="6:6" x14ac:dyDescent="0.3">
      <c r="F86854" s="193"/>
    </row>
    <row r="86855" spans="6:6" x14ac:dyDescent="0.3">
      <c r="F86855" s="193"/>
    </row>
    <row r="86856" spans="6:6" x14ac:dyDescent="0.3">
      <c r="F86856" s="193"/>
    </row>
    <row r="86857" spans="6:6" x14ac:dyDescent="0.3">
      <c r="F86857" s="193"/>
    </row>
    <row r="86858" spans="6:6" x14ac:dyDescent="0.3">
      <c r="F86858" s="193"/>
    </row>
    <row r="86859" spans="6:6" x14ac:dyDescent="0.3">
      <c r="F86859" s="193"/>
    </row>
    <row r="86860" spans="6:6" x14ac:dyDescent="0.3">
      <c r="F86860" s="193"/>
    </row>
    <row r="86861" spans="6:6" x14ac:dyDescent="0.3">
      <c r="F86861" s="193"/>
    </row>
    <row r="86862" spans="6:6" x14ac:dyDescent="0.3">
      <c r="F86862" s="193"/>
    </row>
    <row r="86863" spans="6:6" x14ac:dyDescent="0.3">
      <c r="F86863" s="193"/>
    </row>
    <row r="86864" spans="6:6" x14ac:dyDescent="0.3">
      <c r="F86864" s="193"/>
    </row>
    <row r="86865" spans="6:6" x14ac:dyDescent="0.3">
      <c r="F86865" s="193"/>
    </row>
    <row r="86866" spans="6:6" x14ac:dyDescent="0.3">
      <c r="F86866" s="193"/>
    </row>
    <row r="86867" spans="6:6" x14ac:dyDescent="0.3">
      <c r="F86867" s="193"/>
    </row>
    <row r="86868" spans="6:6" x14ac:dyDescent="0.3">
      <c r="F86868" s="193"/>
    </row>
    <row r="86869" spans="6:6" x14ac:dyDescent="0.3">
      <c r="F86869" s="193"/>
    </row>
    <row r="86870" spans="6:6" x14ac:dyDescent="0.3">
      <c r="F86870" s="193"/>
    </row>
    <row r="86871" spans="6:6" x14ac:dyDescent="0.3">
      <c r="F86871" s="193"/>
    </row>
    <row r="86872" spans="6:6" x14ac:dyDescent="0.3">
      <c r="F86872" s="193"/>
    </row>
    <row r="86873" spans="6:6" x14ac:dyDescent="0.3">
      <c r="F86873" s="193"/>
    </row>
    <row r="86874" spans="6:6" x14ac:dyDescent="0.3">
      <c r="F86874" s="193"/>
    </row>
    <row r="86875" spans="6:6" x14ac:dyDescent="0.3">
      <c r="F86875" s="193"/>
    </row>
    <row r="86876" spans="6:6" x14ac:dyDescent="0.3">
      <c r="F86876" s="193"/>
    </row>
    <row r="86877" spans="6:6" x14ac:dyDescent="0.3">
      <c r="F86877" s="193"/>
    </row>
    <row r="86878" spans="6:6" x14ac:dyDescent="0.3">
      <c r="F86878" s="193"/>
    </row>
    <row r="86879" spans="6:6" x14ac:dyDescent="0.3">
      <c r="F86879" s="193"/>
    </row>
    <row r="86880" spans="6:6" x14ac:dyDescent="0.3">
      <c r="F86880" s="193"/>
    </row>
    <row r="86881" spans="6:6" x14ac:dyDescent="0.3">
      <c r="F86881" s="193"/>
    </row>
    <row r="86882" spans="6:6" x14ac:dyDescent="0.3">
      <c r="F86882" s="193"/>
    </row>
    <row r="86883" spans="6:6" x14ac:dyDescent="0.3">
      <c r="F86883" s="193"/>
    </row>
    <row r="86884" spans="6:6" x14ac:dyDescent="0.3">
      <c r="F86884" s="193"/>
    </row>
    <row r="86885" spans="6:6" x14ac:dyDescent="0.3">
      <c r="F86885" s="193"/>
    </row>
    <row r="86886" spans="6:6" x14ac:dyDescent="0.3">
      <c r="F86886" s="193"/>
    </row>
    <row r="86887" spans="6:6" x14ac:dyDescent="0.3">
      <c r="F86887" s="193"/>
    </row>
    <row r="86888" spans="6:6" x14ac:dyDescent="0.3">
      <c r="F86888" s="193"/>
    </row>
    <row r="86889" spans="6:6" x14ac:dyDescent="0.3">
      <c r="F86889" s="193"/>
    </row>
    <row r="86890" spans="6:6" x14ac:dyDescent="0.3">
      <c r="F86890" s="193"/>
    </row>
    <row r="86891" spans="6:6" x14ac:dyDescent="0.3">
      <c r="F86891" s="193"/>
    </row>
    <row r="86892" spans="6:6" x14ac:dyDescent="0.3">
      <c r="F86892" s="193"/>
    </row>
    <row r="86893" spans="6:6" x14ac:dyDescent="0.3">
      <c r="F86893" s="193"/>
    </row>
    <row r="86894" spans="6:6" x14ac:dyDescent="0.3">
      <c r="F86894" s="193"/>
    </row>
    <row r="86895" spans="6:6" x14ac:dyDescent="0.3">
      <c r="F86895" s="193"/>
    </row>
    <row r="86896" spans="6:6" x14ac:dyDescent="0.3">
      <c r="F86896" s="193"/>
    </row>
    <row r="86897" spans="6:6" x14ac:dyDescent="0.3">
      <c r="F86897" s="193"/>
    </row>
    <row r="86898" spans="6:6" x14ac:dyDescent="0.3">
      <c r="F86898" s="193"/>
    </row>
    <row r="86899" spans="6:6" x14ac:dyDescent="0.3">
      <c r="F86899" s="193"/>
    </row>
    <row r="86900" spans="6:6" x14ac:dyDescent="0.3">
      <c r="F86900" s="193"/>
    </row>
    <row r="86901" spans="6:6" x14ac:dyDescent="0.3">
      <c r="F86901" s="193"/>
    </row>
    <row r="86902" spans="6:6" x14ac:dyDescent="0.3">
      <c r="F86902" s="193"/>
    </row>
    <row r="86903" spans="6:6" x14ac:dyDescent="0.3">
      <c r="F86903" s="193"/>
    </row>
    <row r="86904" spans="6:6" x14ac:dyDescent="0.3">
      <c r="F86904" s="193"/>
    </row>
    <row r="86905" spans="6:6" x14ac:dyDescent="0.3">
      <c r="F86905" s="193"/>
    </row>
    <row r="86906" spans="6:6" x14ac:dyDescent="0.3">
      <c r="F86906" s="193"/>
    </row>
    <row r="86907" spans="6:6" x14ac:dyDescent="0.3">
      <c r="F86907" s="193"/>
    </row>
    <row r="86908" spans="6:6" x14ac:dyDescent="0.3">
      <c r="F86908" s="193"/>
    </row>
    <row r="86909" spans="6:6" x14ac:dyDescent="0.3">
      <c r="F86909" s="193"/>
    </row>
    <row r="86910" spans="6:6" x14ac:dyDescent="0.3">
      <c r="F86910" s="193"/>
    </row>
    <row r="86911" spans="6:6" x14ac:dyDescent="0.3">
      <c r="F86911" s="193"/>
    </row>
    <row r="86912" spans="6:6" x14ac:dyDescent="0.3">
      <c r="F86912" s="193"/>
    </row>
    <row r="86913" spans="6:6" x14ac:dyDescent="0.3">
      <c r="F86913" s="193"/>
    </row>
    <row r="86914" spans="6:6" x14ac:dyDescent="0.3">
      <c r="F86914" s="193"/>
    </row>
    <row r="86915" spans="6:6" x14ac:dyDescent="0.3">
      <c r="F86915" s="193"/>
    </row>
    <row r="86916" spans="6:6" x14ac:dyDescent="0.3">
      <c r="F86916" s="193"/>
    </row>
    <row r="86917" spans="6:6" x14ac:dyDescent="0.3">
      <c r="F86917" s="193"/>
    </row>
    <row r="86918" spans="6:6" x14ac:dyDescent="0.3">
      <c r="F86918" s="193"/>
    </row>
    <row r="86919" spans="6:6" x14ac:dyDescent="0.3">
      <c r="F86919" s="193"/>
    </row>
    <row r="86920" spans="6:6" x14ac:dyDescent="0.3">
      <c r="F86920" s="193"/>
    </row>
    <row r="86921" spans="6:6" x14ac:dyDescent="0.3">
      <c r="F86921" s="193"/>
    </row>
    <row r="86922" spans="6:6" x14ac:dyDescent="0.3">
      <c r="F86922" s="193"/>
    </row>
    <row r="86923" spans="6:6" x14ac:dyDescent="0.3">
      <c r="F86923" s="193"/>
    </row>
    <row r="86924" spans="6:6" x14ac:dyDescent="0.3">
      <c r="F86924" s="193"/>
    </row>
    <row r="86925" spans="6:6" x14ac:dyDescent="0.3">
      <c r="F86925" s="193"/>
    </row>
    <row r="86926" spans="6:6" x14ac:dyDescent="0.3">
      <c r="F86926" s="193"/>
    </row>
    <row r="86927" spans="6:6" x14ac:dyDescent="0.3">
      <c r="F86927" s="193"/>
    </row>
    <row r="86928" spans="6:6" x14ac:dyDescent="0.3">
      <c r="F86928" s="193"/>
    </row>
    <row r="86929" spans="6:6" x14ac:dyDescent="0.3">
      <c r="F86929" s="193"/>
    </row>
    <row r="86930" spans="6:6" x14ac:dyDescent="0.3">
      <c r="F86930" s="193"/>
    </row>
    <row r="86931" spans="6:6" x14ac:dyDescent="0.3">
      <c r="F86931" s="193"/>
    </row>
    <row r="86932" spans="6:6" x14ac:dyDescent="0.3">
      <c r="F86932" s="193"/>
    </row>
    <row r="86933" spans="6:6" x14ac:dyDescent="0.3">
      <c r="F86933" s="193"/>
    </row>
    <row r="86934" spans="6:6" x14ac:dyDescent="0.3">
      <c r="F86934" s="193"/>
    </row>
    <row r="86935" spans="6:6" x14ac:dyDescent="0.3">
      <c r="F86935" s="193"/>
    </row>
    <row r="86936" spans="6:6" x14ac:dyDescent="0.3">
      <c r="F86936" s="193"/>
    </row>
    <row r="86937" spans="6:6" x14ac:dyDescent="0.3">
      <c r="F86937" s="193"/>
    </row>
    <row r="86938" spans="6:6" x14ac:dyDescent="0.3">
      <c r="F86938" s="193"/>
    </row>
    <row r="86939" spans="6:6" x14ac:dyDescent="0.3">
      <c r="F86939" s="193"/>
    </row>
    <row r="86940" spans="6:6" x14ac:dyDescent="0.3">
      <c r="F86940" s="193"/>
    </row>
    <row r="86941" spans="6:6" x14ac:dyDescent="0.3">
      <c r="F86941" s="193"/>
    </row>
    <row r="86942" spans="6:6" x14ac:dyDescent="0.3">
      <c r="F86942" s="193"/>
    </row>
    <row r="86943" spans="6:6" x14ac:dyDescent="0.3">
      <c r="F86943" s="193"/>
    </row>
    <row r="86944" spans="6:6" x14ac:dyDescent="0.3">
      <c r="F86944" s="193"/>
    </row>
    <row r="86945" spans="6:6" x14ac:dyDescent="0.3">
      <c r="F86945" s="193"/>
    </row>
    <row r="86946" spans="6:6" x14ac:dyDescent="0.3">
      <c r="F86946" s="193"/>
    </row>
    <row r="86947" spans="6:6" x14ac:dyDescent="0.3">
      <c r="F86947" s="193"/>
    </row>
    <row r="86948" spans="6:6" x14ac:dyDescent="0.3">
      <c r="F86948" s="193"/>
    </row>
    <row r="86949" spans="6:6" x14ac:dyDescent="0.3">
      <c r="F86949" s="193"/>
    </row>
    <row r="86950" spans="6:6" x14ac:dyDescent="0.3">
      <c r="F86950" s="193"/>
    </row>
    <row r="86951" spans="6:6" x14ac:dyDescent="0.3">
      <c r="F86951" s="193"/>
    </row>
    <row r="86952" spans="6:6" x14ac:dyDescent="0.3">
      <c r="F86952" s="193"/>
    </row>
    <row r="86953" spans="6:6" x14ac:dyDescent="0.3">
      <c r="F86953" s="193"/>
    </row>
    <row r="86954" spans="6:6" x14ac:dyDescent="0.3">
      <c r="F86954" s="193"/>
    </row>
    <row r="86955" spans="6:6" x14ac:dyDescent="0.3">
      <c r="F86955" s="193"/>
    </row>
    <row r="86956" spans="6:6" x14ac:dyDescent="0.3">
      <c r="F86956" s="193"/>
    </row>
    <row r="86957" spans="6:6" x14ac:dyDescent="0.3">
      <c r="F86957" s="193"/>
    </row>
    <row r="86958" spans="6:6" x14ac:dyDescent="0.3">
      <c r="F86958" s="193"/>
    </row>
    <row r="86959" spans="6:6" x14ac:dyDescent="0.3">
      <c r="F86959" s="193"/>
    </row>
    <row r="86960" spans="6:6" x14ac:dyDescent="0.3">
      <c r="F86960" s="193"/>
    </row>
    <row r="86961" spans="6:6" x14ac:dyDescent="0.3">
      <c r="F86961" s="193"/>
    </row>
    <row r="86962" spans="6:6" x14ac:dyDescent="0.3">
      <c r="F86962" s="193"/>
    </row>
    <row r="86963" spans="6:6" x14ac:dyDescent="0.3">
      <c r="F86963" s="193"/>
    </row>
    <row r="86964" spans="6:6" x14ac:dyDescent="0.3">
      <c r="F86964" s="193"/>
    </row>
    <row r="86965" spans="6:6" x14ac:dyDescent="0.3">
      <c r="F86965" s="193"/>
    </row>
    <row r="86966" spans="6:6" x14ac:dyDescent="0.3">
      <c r="F86966" s="193"/>
    </row>
    <row r="86967" spans="6:6" x14ac:dyDescent="0.3">
      <c r="F86967" s="193"/>
    </row>
    <row r="86968" spans="6:6" x14ac:dyDescent="0.3">
      <c r="F86968" s="193"/>
    </row>
    <row r="86969" spans="6:6" x14ac:dyDescent="0.3">
      <c r="F86969" s="193"/>
    </row>
    <row r="86970" spans="6:6" x14ac:dyDescent="0.3">
      <c r="F86970" s="193"/>
    </row>
    <row r="86971" spans="6:6" x14ac:dyDescent="0.3">
      <c r="F86971" s="193"/>
    </row>
    <row r="86972" spans="6:6" x14ac:dyDescent="0.3">
      <c r="F86972" s="193"/>
    </row>
    <row r="86973" spans="6:6" x14ac:dyDescent="0.3">
      <c r="F86973" s="193"/>
    </row>
    <row r="86974" spans="6:6" x14ac:dyDescent="0.3">
      <c r="F86974" s="193"/>
    </row>
    <row r="86975" spans="6:6" x14ac:dyDescent="0.3">
      <c r="F86975" s="193"/>
    </row>
    <row r="86976" spans="6:6" x14ac:dyDescent="0.3">
      <c r="F86976" s="193"/>
    </row>
    <row r="86977" spans="6:6" x14ac:dyDescent="0.3">
      <c r="F86977" s="193"/>
    </row>
    <row r="86978" spans="6:6" x14ac:dyDescent="0.3">
      <c r="F86978" s="193"/>
    </row>
    <row r="86979" spans="6:6" x14ac:dyDescent="0.3">
      <c r="F86979" s="193"/>
    </row>
    <row r="86980" spans="6:6" x14ac:dyDescent="0.3">
      <c r="F86980" s="193"/>
    </row>
    <row r="86981" spans="6:6" x14ac:dyDescent="0.3">
      <c r="F86981" s="193"/>
    </row>
    <row r="86982" spans="6:6" x14ac:dyDescent="0.3">
      <c r="F86982" s="193"/>
    </row>
    <row r="86983" spans="6:6" x14ac:dyDescent="0.3">
      <c r="F86983" s="193"/>
    </row>
    <row r="86984" spans="6:6" x14ac:dyDescent="0.3">
      <c r="F86984" s="193"/>
    </row>
    <row r="86985" spans="6:6" x14ac:dyDescent="0.3">
      <c r="F86985" s="193"/>
    </row>
    <row r="86986" spans="6:6" x14ac:dyDescent="0.3">
      <c r="F86986" s="193"/>
    </row>
    <row r="86987" spans="6:6" x14ac:dyDescent="0.3">
      <c r="F86987" s="193"/>
    </row>
    <row r="86988" spans="6:6" x14ac:dyDescent="0.3">
      <c r="F86988" s="193"/>
    </row>
    <row r="86989" spans="6:6" x14ac:dyDescent="0.3">
      <c r="F86989" s="193"/>
    </row>
    <row r="86990" spans="6:6" x14ac:dyDescent="0.3">
      <c r="F86990" s="193"/>
    </row>
    <row r="86991" spans="6:6" x14ac:dyDescent="0.3">
      <c r="F86991" s="193"/>
    </row>
    <row r="86992" spans="6:6" x14ac:dyDescent="0.3">
      <c r="F86992" s="193"/>
    </row>
    <row r="86993" spans="6:6" x14ac:dyDescent="0.3">
      <c r="F86993" s="193"/>
    </row>
    <row r="86994" spans="6:6" x14ac:dyDescent="0.3">
      <c r="F86994" s="193"/>
    </row>
    <row r="86995" spans="6:6" x14ac:dyDescent="0.3">
      <c r="F86995" s="193"/>
    </row>
    <row r="86996" spans="6:6" x14ac:dyDescent="0.3">
      <c r="F86996" s="193"/>
    </row>
    <row r="86997" spans="6:6" x14ac:dyDescent="0.3">
      <c r="F86997" s="193"/>
    </row>
    <row r="86998" spans="6:6" x14ac:dyDescent="0.3">
      <c r="F86998" s="193"/>
    </row>
    <row r="86999" spans="6:6" x14ac:dyDescent="0.3">
      <c r="F86999" s="193"/>
    </row>
    <row r="87000" spans="6:6" x14ac:dyDescent="0.3">
      <c r="F87000" s="193"/>
    </row>
    <row r="87001" spans="6:6" x14ac:dyDescent="0.3">
      <c r="F87001" s="193"/>
    </row>
    <row r="87002" spans="6:6" x14ac:dyDescent="0.3">
      <c r="F87002" s="193"/>
    </row>
    <row r="87003" spans="6:6" x14ac:dyDescent="0.3">
      <c r="F87003" s="193"/>
    </row>
    <row r="87004" spans="6:6" x14ac:dyDescent="0.3">
      <c r="F87004" s="193"/>
    </row>
    <row r="87005" spans="6:6" x14ac:dyDescent="0.3">
      <c r="F87005" s="193"/>
    </row>
    <row r="87006" spans="6:6" x14ac:dyDescent="0.3">
      <c r="F87006" s="193"/>
    </row>
    <row r="87007" spans="6:6" x14ac:dyDescent="0.3">
      <c r="F87007" s="193"/>
    </row>
    <row r="87008" spans="6:6" x14ac:dyDescent="0.3">
      <c r="F87008" s="193"/>
    </row>
    <row r="87009" spans="6:6" x14ac:dyDescent="0.3">
      <c r="F87009" s="193"/>
    </row>
    <row r="87010" spans="6:6" x14ac:dyDescent="0.3">
      <c r="F87010" s="193"/>
    </row>
    <row r="87011" spans="6:6" x14ac:dyDescent="0.3">
      <c r="F87011" s="193"/>
    </row>
    <row r="87012" spans="6:6" x14ac:dyDescent="0.3">
      <c r="F87012" s="193"/>
    </row>
    <row r="87013" spans="6:6" x14ac:dyDescent="0.3">
      <c r="F87013" s="193"/>
    </row>
    <row r="87014" spans="6:6" x14ac:dyDescent="0.3">
      <c r="F87014" s="193"/>
    </row>
    <row r="87015" spans="6:6" x14ac:dyDescent="0.3">
      <c r="F87015" s="193"/>
    </row>
    <row r="87016" spans="6:6" x14ac:dyDescent="0.3">
      <c r="F87016" s="193"/>
    </row>
    <row r="87017" spans="6:6" x14ac:dyDescent="0.3">
      <c r="F87017" s="193"/>
    </row>
    <row r="87018" spans="6:6" x14ac:dyDescent="0.3">
      <c r="F87018" s="193"/>
    </row>
    <row r="87019" spans="6:6" x14ac:dyDescent="0.3">
      <c r="F87019" s="193"/>
    </row>
    <row r="87020" spans="6:6" x14ac:dyDescent="0.3">
      <c r="F87020" s="193"/>
    </row>
    <row r="87021" spans="6:6" x14ac:dyDescent="0.3">
      <c r="F87021" s="193"/>
    </row>
    <row r="87022" spans="6:6" x14ac:dyDescent="0.3">
      <c r="F87022" s="193"/>
    </row>
    <row r="87023" spans="6:6" x14ac:dyDescent="0.3">
      <c r="F87023" s="193"/>
    </row>
    <row r="87024" spans="6:6" x14ac:dyDescent="0.3">
      <c r="F87024" s="193"/>
    </row>
    <row r="87025" spans="6:6" x14ac:dyDescent="0.3">
      <c r="F87025" s="193"/>
    </row>
    <row r="87026" spans="6:6" x14ac:dyDescent="0.3">
      <c r="F87026" s="193"/>
    </row>
    <row r="87027" spans="6:6" x14ac:dyDescent="0.3">
      <c r="F87027" s="193"/>
    </row>
    <row r="87028" spans="6:6" x14ac:dyDescent="0.3">
      <c r="F87028" s="193"/>
    </row>
    <row r="87029" spans="6:6" x14ac:dyDescent="0.3">
      <c r="F87029" s="193"/>
    </row>
    <row r="87030" spans="6:6" x14ac:dyDescent="0.3">
      <c r="F87030" s="193"/>
    </row>
    <row r="87031" spans="6:6" x14ac:dyDescent="0.3">
      <c r="F87031" s="193"/>
    </row>
    <row r="87032" spans="6:6" x14ac:dyDescent="0.3">
      <c r="F87032" s="193"/>
    </row>
    <row r="87033" spans="6:6" x14ac:dyDescent="0.3">
      <c r="F87033" s="193"/>
    </row>
    <row r="87034" spans="6:6" x14ac:dyDescent="0.3">
      <c r="F87034" s="193"/>
    </row>
    <row r="87035" spans="6:6" x14ac:dyDescent="0.3">
      <c r="F87035" s="193"/>
    </row>
    <row r="87036" spans="6:6" x14ac:dyDescent="0.3">
      <c r="F87036" s="193"/>
    </row>
    <row r="87037" spans="6:6" x14ac:dyDescent="0.3">
      <c r="F87037" s="193"/>
    </row>
    <row r="87038" spans="6:6" x14ac:dyDescent="0.3">
      <c r="F87038" s="193"/>
    </row>
    <row r="87039" spans="6:6" x14ac:dyDescent="0.3">
      <c r="F87039" s="193"/>
    </row>
    <row r="87040" spans="6:6" x14ac:dyDescent="0.3">
      <c r="F87040" s="193"/>
    </row>
    <row r="87041" spans="6:6" x14ac:dyDescent="0.3">
      <c r="F87041" s="193"/>
    </row>
    <row r="87042" spans="6:6" x14ac:dyDescent="0.3">
      <c r="F87042" s="193"/>
    </row>
    <row r="87043" spans="6:6" x14ac:dyDescent="0.3">
      <c r="F87043" s="193"/>
    </row>
    <row r="87044" spans="6:6" x14ac:dyDescent="0.3">
      <c r="F87044" s="193"/>
    </row>
    <row r="87045" spans="6:6" x14ac:dyDescent="0.3">
      <c r="F87045" s="193"/>
    </row>
    <row r="87046" spans="6:6" x14ac:dyDescent="0.3">
      <c r="F87046" s="193"/>
    </row>
    <row r="87047" spans="6:6" x14ac:dyDescent="0.3">
      <c r="F87047" s="193"/>
    </row>
    <row r="87048" spans="6:6" x14ac:dyDescent="0.3">
      <c r="F87048" s="193"/>
    </row>
    <row r="87049" spans="6:6" x14ac:dyDescent="0.3">
      <c r="F87049" s="193"/>
    </row>
    <row r="87050" spans="6:6" x14ac:dyDescent="0.3">
      <c r="F87050" s="193"/>
    </row>
    <row r="87051" spans="6:6" x14ac:dyDescent="0.3">
      <c r="F87051" s="193"/>
    </row>
    <row r="87052" spans="6:6" x14ac:dyDescent="0.3">
      <c r="F87052" s="193"/>
    </row>
    <row r="87053" spans="6:6" x14ac:dyDescent="0.3">
      <c r="F87053" s="193"/>
    </row>
    <row r="87054" spans="6:6" x14ac:dyDescent="0.3">
      <c r="F87054" s="193"/>
    </row>
    <row r="87055" spans="6:6" x14ac:dyDescent="0.3">
      <c r="F87055" s="193"/>
    </row>
    <row r="87056" spans="6:6" x14ac:dyDescent="0.3">
      <c r="F87056" s="193"/>
    </row>
    <row r="87057" spans="6:6" x14ac:dyDescent="0.3">
      <c r="F87057" s="193"/>
    </row>
    <row r="87058" spans="6:6" x14ac:dyDescent="0.3">
      <c r="F87058" s="193"/>
    </row>
    <row r="87059" spans="6:6" x14ac:dyDescent="0.3">
      <c r="F87059" s="193"/>
    </row>
    <row r="87060" spans="6:6" x14ac:dyDescent="0.3">
      <c r="F87060" s="193"/>
    </row>
    <row r="87061" spans="6:6" x14ac:dyDescent="0.3">
      <c r="F87061" s="193"/>
    </row>
    <row r="87062" spans="6:6" x14ac:dyDescent="0.3">
      <c r="F87062" s="193"/>
    </row>
    <row r="87063" spans="6:6" x14ac:dyDescent="0.3">
      <c r="F87063" s="193"/>
    </row>
    <row r="87064" spans="6:6" x14ac:dyDescent="0.3">
      <c r="F87064" s="193"/>
    </row>
    <row r="87065" spans="6:6" x14ac:dyDescent="0.3">
      <c r="F87065" s="193"/>
    </row>
    <row r="87066" spans="6:6" x14ac:dyDescent="0.3">
      <c r="F87066" s="193"/>
    </row>
    <row r="87067" spans="6:6" x14ac:dyDescent="0.3">
      <c r="F87067" s="193"/>
    </row>
    <row r="87068" spans="6:6" x14ac:dyDescent="0.3">
      <c r="F87068" s="193"/>
    </row>
    <row r="87069" spans="6:6" x14ac:dyDescent="0.3">
      <c r="F87069" s="193"/>
    </row>
    <row r="87070" spans="6:6" x14ac:dyDescent="0.3">
      <c r="F87070" s="193"/>
    </row>
    <row r="87071" spans="6:6" x14ac:dyDescent="0.3">
      <c r="F87071" s="193"/>
    </row>
    <row r="87072" spans="6:6" x14ac:dyDescent="0.3">
      <c r="F87072" s="193"/>
    </row>
    <row r="87073" spans="6:6" x14ac:dyDescent="0.3">
      <c r="F87073" s="193"/>
    </row>
    <row r="87074" spans="6:6" x14ac:dyDescent="0.3">
      <c r="F87074" s="193"/>
    </row>
    <row r="87075" spans="6:6" x14ac:dyDescent="0.3">
      <c r="F87075" s="193"/>
    </row>
    <row r="87076" spans="6:6" x14ac:dyDescent="0.3">
      <c r="F87076" s="193"/>
    </row>
    <row r="87077" spans="6:6" x14ac:dyDescent="0.3">
      <c r="F87077" s="193"/>
    </row>
    <row r="87078" spans="6:6" x14ac:dyDescent="0.3">
      <c r="F87078" s="193"/>
    </row>
    <row r="87079" spans="6:6" x14ac:dyDescent="0.3">
      <c r="F87079" s="193"/>
    </row>
    <row r="87080" spans="6:6" x14ac:dyDescent="0.3">
      <c r="F87080" s="193"/>
    </row>
    <row r="87081" spans="6:6" x14ac:dyDescent="0.3">
      <c r="F87081" s="193"/>
    </row>
    <row r="87082" spans="6:6" x14ac:dyDescent="0.3">
      <c r="F87082" s="193"/>
    </row>
    <row r="87083" spans="6:6" x14ac:dyDescent="0.3">
      <c r="F87083" s="193"/>
    </row>
    <row r="87084" spans="6:6" x14ac:dyDescent="0.3">
      <c r="F87084" s="193"/>
    </row>
    <row r="87085" spans="6:6" x14ac:dyDescent="0.3">
      <c r="F87085" s="193"/>
    </row>
    <row r="87086" spans="6:6" x14ac:dyDescent="0.3">
      <c r="F87086" s="193"/>
    </row>
    <row r="87087" spans="6:6" x14ac:dyDescent="0.3">
      <c r="F87087" s="193"/>
    </row>
    <row r="87088" spans="6:6" x14ac:dyDescent="0.3">
      <c r="F87088" s="193"/>
    </row>
    <row r="87089" spans="6:6" x14ac:dyDescent="0.3">
      <c r="F87089" s="193"/>
    </row>
    <row r="87090" spans="6:6" x14ac:dyDescent="0.3">
      <c r="F87090" s="193"/>
    </row>
    <row r="87091" spans="6:6" x14ac:dyDescent="0.3">
      <c r="F87091" s="193"/>
    </row>
    <row r="87092" spans="6:6" x14ac:dyDescent="0.3">
      <c r="F87092" s="193"/>
    </row>
    <row r="87093" spans="6:6" x14ac:dyDescent="0.3">
      <c r="F87093" s="193"/>
    </row>
    <row r="87094" spans="6:6" x14ac:dyDescent="0.3">
      <c r="F87094" s="193"/>
    </row>
    <row r="87095" spans="6:6" x14ac:dyDescent="0.3">
      <c r="F87095" s="193"/>
    </row>
    <row r="87096" spans="6:6" x14ac:dyDescent="0.3">
      <c r="F87096" s="193"/>
    </row>
    <row r="87097" spans="6:6" x14ac:dyDescent="0.3">
      <c r="F87097" s="193"/>
    </row>
    <row r="87098" spans="6:6" x14ac:dyDescent="0.3">
      <c r="F87098" s="193"/>
    </row>
    <row r="87099" spans="6:6" x14ac:dyDescent="0.3">
      <c r="F87099" s="193"/>
    </row>
    <row r="87100" spans="6:6" x14ac:dyDescent="0.3">
      <c r="F87100" s="193"/>
    </row>
    <row r="87101" spans="6:6" x14ac:dyDescent="0.3">
      <c r="F87101" s="193"/>
    </row>
    <row r="87102" spans="6:6" x14ac:dyDescent="0.3">
      <c r="F87102" s="193"/>
    </row>
    <row r="87103" spans="6:6" x14ac:dyDescent="0.3">
      <c r="F87103" s="193"/>
    </row>
    <row r="87104" spans="6:6" x14ac:dyDescent="0.3">
      <c r="F87104" s="193"/>
    </row>
    <row r="87105" spans="6:6" x14ac:dyDescent="0.3">
      <c r="F87105" s="193"/>
    </row>
    <row r="87106" spans="6:6" x14ac:dyDescent="0.3">
      <c r="F87106" s="193"/>
    </row>
    <row r="87107" spans="6:6" x14ac:dyDescent="0.3">
      <c r="F87107" s="193"/>
    </row>
    <row r="87108" spans="6:6" x14ac:dyDescent="0.3">
      <c r="F87108" s="193"/>
    </row>
    <row r="87109" spans="6:6" x14ac:dyDescent="0.3">
      <c r="F87109" s="193"/>
    </row>
    <row r="87110" spans="6:6" x14ac:dyDescent="0.3">
      <c r="F87110" s="193"/>
    </row>
    <row r="87111" spans="6:6" x14ac:dyDescent="0.3">
      <c r="F87111" s="193"/>
    </row>
    <row r="87112" spans="6:6" x14ac:dyDescent="0.3">
      <c r="F87112" s="193"/>
    </row>
    <row r="87113" spans="6:6" x14ac:dyDescent="0.3">
      <c r="F87113" s="193"/>
    </row>
    <row r="87114" spans="6:6" x14ac:dyDescent="0.3">
      <c r="F87114" s="193"/>
    </row>
    <row r="87115" spans="6:6" x14ac:dyDescent="0.3">
      <c r="F87115" s="193"/>
    </row>
    <row r="87116" spans="6:6" x14ac:dyDescent="0.3">
      <c r="F87116" s="193"/>
    </row>
    <row r="87117" spans="6:6" x14ac:dyDescent="0.3">
      <c r="F87117" s="193"/>
    </row>
    <row r="87118" spans="6:6" x14ac:dyDescent="0.3">
      <c r="F87118" s="193"/>
    </row>
    <row r="87119" spans="6:6" x14ac:dyDescent="0.3">
      <c r="F87119" s="193"/>
    </row>
    <row r="87120" spans="6:6" x14ac:dyDescent="0.3">
      <c r="F87120" s="193"/>
    </row>
    <row r="87121" spans="6:6" x14ac:dyDescent="0.3">
      <c r="F87121" s="193"/>
    </row>
    <row r="87122" spans="6:6" x14ac:dyDescent="0.3">
      <c r="F87122" s="193"/>
    </row>
    <row r="87123" spans="6:6" x14ac:dyDescent="0.3">
      <c r="F87123" s="193"/>
    </row>
    <row r="87124" spans="6:6" x14ac:dyDescent="0.3">
      <c r="F87124" s="193"/>
    </row>
    <row r="87125" spans="6:6" x14ac:dyDescent="0.3">
      <c r="F87125" s="193"/>
    </row>
    <row r="87126" spans="6:6" x14ac:dyDescent="0.3">
      <c r="F87126" s="193"/>
    </row>
    <row r="87127" spans="6:6" x14ac:dyDescent="0.3">
      <c r="F87127" s="193"/>
    </row>
    <row r="87128" spans="6:6" x14ac:dyDescent="0.3">
      <c r="F87128" s="193"/>
    </row>
    <row r="87129" spans="6:6" x14ac:dyDescent="0.3">
      <c r="F87129" s="193"/>
    </row>
    <row r="87130" spans="6:6" x14ac:dyDescent="0.3">
      <c r="F87130" s="193"/>
    </row>
    <row r="87131" spans="6:6" x14ac:dyDescent="0.3">
      <c r="F87131" s="193"/>
    </row>
    <row r="87132" spans="6:6" x14ac:dyDescent="0.3">
      <c r="F87132" s="193"/>
    </row>
    <row r="87133" spans="6:6" x14ac:dyDescent="0.3">
      <c r="F87133" s="193"/>
    </row>
    <row r="87134" spans="6:6" x14ac:dyDescent="0.3">
      <c r="F87134" s="193"/>
    </row>
    <row r="87135" spans="6:6" x14ac:dyDescent="0.3">
      <c r="F87135" s="193"/>
    </row>
    <row r="87136" spans="6:6" x14ac:dyDescent="0.3">
      <c r="F87136" s="193"/>
    </row>
    <row r="87137" spans="6:6" x14ac:dyDescent="0.3">
      <c r="F87137" s="193"/>
    </row>
    <row r="87138" spans="6:6" x14ac:dyDescent="0.3">
      <c r="F87138" s="193"/>
    </row>
    <row r="87139" spans="6:6" x14ac:dyDescent="0.3">
      <c r="F87139" s="193"/>
    </row>
    <row r="87140" spans="6:6" x14ac:dyDescent="0.3">
      <c r="F87140" s="193"/>
    </row>
    <row r="87141" spans="6:6" x14ac:dyDescent="0.3">
      <c r="F87141" s="193"/>
    </row>
    <row r="87142" spans="6:6" x14ac:dyDescent="0.3">
      <c r="F87142" s="193"/>
    </row>
    <row r="87143" spans="6:6" x14ac:dyDescent="0.3">
      <c r="F87143" s="193"/>
    </row>
    <row r="87144" spans="6:6" x14ac:dyDescent="0.3">
      <c r="F87144" s="193"/>
    </row>
    <row r="87145" spans="6:6" x14ac:dyDescent="0.3">
      <c r="F87145" s="193"/>
    </row>
    <row r="87146" spans="6:6" x14ac:dyDescent="0.3">
      <c r="F87146" s="193"/>
    </row>
    <row r="87147" spans="6:6" x14ac:dyDescent="0.3">
      <c r="F87147" s="193"/>
    </row>
    <row r="87148" spans="6:6" x14ac:dyDescent="0.3">
      <c r="F87148" s="193"/>
    </row>
    <row r="87149" spans="6:6" x14ac:dyDescent="0.3">
      <c r="F87149" s="193"/>
    </row>
    <row r="87150" spans="6:6" x14ac:dyDescent="0.3">
      <c r="F87150" s="193"/>
    </row>
    <row r="87151" spans="6:6" x14ac:dyDescent="0.3">
      <c r="F87151" s="193"/>
    </row>
    <row r="87152" spans="6:6" x14ac:dyDescent="0.3">
      <c r="F87152" s="193"/>
    </row>
    <row r="87153" spans="6:6" x14ac:dyDescent="0.3">
      <c r="F87153" s="193"/>
    </row>
    <row r="87154" spans="6:6" x14ac:dyDescent="0.3">
      <c r="F87154" s="193"/>
    </row>
    <row r="87155" spans="6:6" x14ac:dyDescent="0.3">
      <c r="F87155" s="193"/>
    </row>
    <row r="87156" spans="6:6" x14ac:dyDescent="0.3">
      <c r="F87156" s="193"/>
    </row>
    <row r="87157" spans="6:6" x14ac:dyDescent="0.3">
      <c r="F87157" s="193"/>
    </row>
    <row r="87158" spans="6:6" x14ac:dyDescent="0.3">
      <c r="F87158" s="193"/>
    </row>
    <row r="87159" spans="6:6" x14ac:dyDescent="0.3">
      <c r="F87159" s="193"/>
    </row>
    <row r="87160" spans="6:6" x14ac:dyDescent="0.3">
      <c r="F87160" s="193"/>
    </row>
    <row r="87161" spans="6:6" x14ac:dyDescent="0.3">
      <c r="F87161" s="193"/>
    </row>
    <row r="87162" spans="6:6" x14ac:dyDescent="0.3">
      <c r="F87162" s="193"/>
    </row>
    <row r="87163" spans="6:6" x14ac:dyDescent="0.3">
      <c r="F87163" s="193"/>
    </row>
    <row r="87164" spans="6:6" x14ac:dyDescent="0.3">
      <c r="F87164" s="193"/>
    </row>
    <row r="87165" spans="6:6" x14ac:dyDescent="0.3">
      <c r="F87165" s="193"/>
    </row>
    <row r="87166" spans="6:6" x14ac:dyDescent="0.3">
      <c r="F87166" s="193"/>
    </row>
    <row r="87167" spans="6:6" x14ac:dyDescent="0.3">
      <c r="F87167" s="193"/>
    </row>
    <row r="87168" spans="6:6" x14ac:dyDescent="0.3">
      <c r="F87168" s="193"/>
    </row>
    <row r="87169" spans="6:6" x14ac:dyDescent="0.3">
      <c r="F87169" s="193"/>
    </row>
    <row r="87170" spans="6:6" x14ac:dyDescent="0.3">
      <c r="F87170" s="193"/>
    </row>
    <row r="87171" spans="6:6" x14ac:dyDescent="0.3">
      <c r="F87171" s="193"/>
    </row>
    <row r="87172" spans="6:6" x14ac:dyDescent="0.3">
      <c r="F87172" s="193"/>
    </row>
    <row r="87173" spans="6:6" x14ac:dyDescent="0.3">
      <c r="F87173" s="193"/>
    </row>
    <row r="87174" spans="6:6" x14ac:dyDescent="0.3">
      <c r="F87174" s="193"/>
    </row>
    <row r="87175" spans="6:6" x14ac:dyDescent="0.3">
      <c r="F87175" s="193"/>
    </row>
    <row r="87176" spans="6:6" x14ac:dyDescent="0.3">
      <c r="F87176" s="193"/>
    </row>
    <row r="87177" spans="6:6" x14ac:dyDescent="0.3">
      <c r="F87177" s="193"/>
    </row>
    <row r="87178" spans="6:6" x14ac:dyDescent="0.3">
      <c r="F87178" s="193"/>
    </row>
    <row r="87179" spans="6:6" x14ac:dyDescent="0.3">
      <c r="F87179" s="193"/>
    </row>
    <row r="87180" spans="6:6" x14ac:dyDescent="0.3">
      <c r="F87180" s="193"/>
    </row>
    <row r="87181" spans="6:6" x14ac:dyDescent="0.3">
      <c r="F87181" s="193"/>
    </row>
    <row r="87182" spans="6:6" x14ac:dyDescent="0.3">
      <c r="F87182" s="193"/>
    </row>
    <row r="87183" spans="6:6" x14ac:dyDescent="0.3">
      <c r="F87183" s="193"/>
    </row>
    <row r="87184" spans="6:6" x14ac:dyDescent="0.3">
      <c r="F87184" s="193"/>
    </row>
    <row r="87185" spans="6:6" x14ac:dyDescent="0.3">
      <c r="F87185" s="193"/>
    </row>
    <row r="87186" spans="6:6" x14ac:dyDescent="0.3">
      <c r="F87186" s="193"/>
    </row>
    <row r="87187" spans="6:6" x14ac:dyDescent="0.3">
      <c r="F87187" s="193"/>
    </row>
    <row r="87188" spans="6:6" x14ac:dyDescent="0.3">
      <c r="F87188" s="193"/>
    </row>
    <row r="87189" spans="6:6" x14ac:dyDescent="0.3">
      <c r="F87189" s="193"/>
    </row>
    <row r="87190" spans="6:6" x14ac:dyDescent="0.3">
      <c r="F87190" s="193"/>
    </row>
    <row r="87191" spans="6:6" x14ac:dyDescent="0.3">
      <c r="F87191" s="193"/>
    </row>
    <row r="87192" spans="6:6" x14ac:dyDescent="0.3">
      <c r="F87192" s="193"/>
    </row>
    <row r="87193" spans="6:6" x14ac:dyDescent="0.3">
      <c r="F87193" s="193"/>
    </row>
    <row r="87194" spans="6:6" x14ac:dyDescent="0.3">
      <c r="F87194" s="193"/>
    </row>
    <row r="87195" spans="6:6" x14ac:dyDescent="0.3">
      <c r="F87195" s="193"/>
    </row>
    <row r="87196" spans="6:6" x14ac:dyDescent="0.3">
      <c r="F87196" s="193"/>
    </row>
    <row r="87197" spans="6:6" x14ac:dyDescent="0.3">
      <c r="F87197" s="193"/>
    </row>
    <row r="87198" spans="6:6" x14ac:dyDescent="0.3">
      <c r="F87198" s="193"/>
    </row>
    <row r="87199" spans="6:6" x14ac:dyDescent="0.3">
      <c r="F87199" s="193"/>
    </row>
    <row r="87200" spans="6:6" x14ac:dyDescent="0.3">
      <c r="F87200" s="193"/>
    </row>
    <row r="87201" spans="6:6" x14ac:dyDescent="0.3">
      <c r="F87201" s="193"/>
    </row>
    <row r="87202" spans="6:6" x14ac:dyDescent="0.3">
      <c r="F87202" s="193"/>
    </row>
    <row r="87203" spans="6:6" x14ac:dyDescent="0.3">
      <c r="F87203" s="193"/>
    </row>
    <row r="87204" spans="6:6" x14ac:dyDescent="0.3">
      <c r="F87204" s="193"/>
    </row>
    <row r="87205" spans="6:6" x14ac:dyDescent="0.3">
      <c r="F87205" s="193"/>
    </row>
    <row r="87206" spans="6:6" x14ac:dyDescent="0.3">
      <c r="F87206" s="193"/>
    </row>
    <row r="87207" spans="6:6" x14ac:dyDescent="0.3">
      <c r="F87207" s="193"/>
    </row>
    <row r="87208" spans="6:6" x14ac:dyDescent="0.3">
      <c r="F87208" s="193"/>
    </row>
    <row r="87209" spans="6:6" x14ac:dyDescent="0.3">
      <c r="F87209" s="193"/>
    </row>
    <row r="87210" spans="6:6" x14ac:dyDescent="0.3">
      <c r="F87210" s="193"/>
    </row>
    <row r="87211" spans="6:6" x14ac:dyDescent="0.3">
      <c r="F87211" s="193"/>
    </row>
    <row r="87212" spans="6:6" x14ac:dyDescent="0.3">
      <c r="F87212" s="193"/>
    </row>
    <row r="87213" spans="6:6" x14ac:dyDescent="0.3">
      <c r="F87213" s="193"/>
    </row>
    <row r="87214" spans="6:6" x14ac:dyDescent="0.3">
      <c r="F87214" s="193"/>
    </row>
    <row r="87215" spans="6:6" x14ac:dyDescent="0.3">
      <c r="F87215" s="193"/>
    </row>
    <row r="87216" spans="6:6" x14ac:dyDescent="0.3">
      <c r="F87216" s="193"/>
    </row>
    <row r="87217" spans="6:6" x14ac:dyDescent="0.3">
      <c r="F87217" s="193"/>
    </row>
    <row r="87218" spans="6:6" x14ac:dyDescent="0.3">
      <c r="F87218" s="193"/>
    </row>
    <row r="87219" spans="6:6" x14ac:dyDescent="0.3">
      <c r="F87219" s="193"/>
    </row>
    <row r="87220" spans="6:6" x14ac:dyDescent="0.3">
      <c r="F87220" s="193"/>
    </row>
    <row r="87221" spans="6:6" x14ac:dyDescent="0.3">
      <c r="F87221" s="193"/>
    </row>
    <row r="87222" spans="6:6" x14ac:dyDescent="0.3">
      <c r="F87222" s="193"/>
    </row>
    <row r="87223" spans="6:6" x14ac:dyDescent="0.3">
      <c r="F87223" s="193"/>
    </row>
    <row r="87224" spans="6:6" x14ac:dyDescent="0.3">
      <c r="F87224" s="193"/>
    </row>
    <row r="87225" spans="6:6" x14ac:dyDescent="0.3">
      <c r="F87225" s="193"/>
    </row>
    <row r="87226" spans="6:6" x14ac:dyDescent="0.3">
      <c r="F87226" s="193"/>
    </row>
    <row r="87227" spans="6:6" x14ac:dyDescent="0.3">
      <c r="F87227" s="193"/>
    </row>
    <row r="87228" spans="6:6" x14ac:dyDescent="0.3">
      <c r="F87228" s="193"/>
    </row>
    <row r="87229" spans="6:6" x14ac:dyDescent="0.3">
      <c r="F87229" s="193"/>
    </row>
    <row r="87230" spans="6:6" x14ac:dyDescent="0.3">
      <c r="F87230" s="193"/>
    </row>
    <row r="87231" spans="6:6" x14ac:dyDescent="0.3">
      <c r="F87231" s="193"/>
    </row>
    <row r="87232" spans="6:6" x14ac:dyDescent="0.3">
      <c r="F87232" s="193"/>
    </row>
    <row r="87233" spans="6:6" x14ac:dyDescent="0.3">
      <c r="F87233" s="193"/>
    </row>
    <row r="87234" spans="6:6" x14ac:dyDescent="0.3">
      <c r="F87234" s="193"/>
    </row>
    <row r="87235" spans="6:6" x14ac:dyDescent="0.3">
      <c r="F87235" s="193"/>
    </row>
    <row r="87236" spans="6:6" x14ac:dyDescent="0.3">
      <c r="F87236" s="193"/>
    </row>
    <row r="87237" spans="6:6" x14ac:dyDescent="0.3">
      <c r="F87237" s="193"/>
    </row>
    <row r="87238" spans="6:6" x14ac:dyDescent="0.3">
      <c r="F87238" s="193"/>
    </row>
    <row r="87239" spans="6:6" x14ac:dyDescent="0.3">
      <c r="F87239" s="193"/>
    </row>
    <row r="87240" spans="6:6" x14ac:dyDescent="0.3">
      <c r="F87240" s="193"/>
    </row>
    <row r="87241" spans="6:6" x14ac:dyDescent="0.3">
      <c r="F87241" s="193"/>
    </row>
    <row r="87242" spans="6:6" x14ac:dyDescent="0.3">
      <c r="F87242" s="193"/>
    </row>
    <row r="87243" spans="6:6" x14ac:dyDescent="0.3">
      <c r="F87243" s="193"/>
    </row>
    <row r="87244" spans="6:6" x14ac:dyDescent="0.3">
      <c r="F87244" s="193"/>
    </row>
    <row r="87245" spans="6:6" x14ac:dyDescent="0.3">
      <c r="F87245" s="193"/>
    </row>
    <row r="87246" spans="6:6" x14ac:dyDescent="0.3">
      <c r="F87246" s="193"/>
    </row>
    <row r="87247" spans="6:6" x14ac:dyDescent="0.3">
      <c r="F87247" s="193"/>
    </row>
    <row r="87248" spans="6:6" x14ac:dyDescent="0.3">
      <c r="F87248" s="193"/>
    </row>
    <row r="87249" spans="6:6" x14ac:dyDescent="0.3">
      <c r="F87249" s="193"/>
    </row>
    <row r="87250" spans="6:6" x14ac:dyDescent="0.3">
      <c r="F87250" s="193"/>
    </row>
    <row r="87251" spans="6:6" x14ac:dyDescent="0.3">
      <c r="F87251" s="193"/>
    </row>
    <row r="87252" spans="6:6" x14ac:dyDescent="0.3">
      <c r="F87252" s="193"/>
    </row>
    <row r="87253" spans="6:6" x14ac:dyDescent="0.3">
      <c r="F87253" s="193"/>
    </row>
    <row r="87254" spans="6:6" x14ac:dyDescent="0.3">
      <c r="F87254" s="193"/>
    </row>
    <row r="87255" spans="6:6" x14ac:dyDescent="0.3">
      <c r="F87255" s="193"/>
    </row>
    <row r="87256" spans="6:6" x14ac:dyDescent="0.3">
      <c r="F87256" s="193"/>
    </row>
    <row r="87257" spans="6:6" x14ac:dyDescent="0.3">
      <c r="F87257" s="193"/>
    </row>
    <row r="87258" spans="6:6" x14ac:dyDescent="0.3">
      <c r="F87258" s="193"/>
    </row>
    <row r="87259" spans="6:6" x14ac:dyDescent="0.3">
      <c r="F87259" s="193"/>
    </row>
    <row r="87260" spans="6:6" x14ac:dyDescent="0.3">
      <c r="F87260" s="193"/>
    </row>
    <row r="87261" spans="6:6" x14ac:dyDescent="0.3">
      <c r="F87261" s="193"/>
    </row>
    <row r="87262" spans="6:6" x14ac:dyDescent="0.3">
      <c r="F87262" s="193"/>
    </row>
    <row r="87263" spans="6:6" x14ac:dyDescent="0.3">
      <c r="F87263" s="193"/>
    </row>
    <row r="87264" spans="6:6" x14ac:dyDescent="0.3">
      <c r="F87264" s="193"/>
    </row>
    <row r="87265" spans="6:6" x14ac:dyDescent="0.3">
      <c r="F87265" s="193"/>
    </row>
    <row r="87266" spans="6:6" x14ac:dyDescent="0.3">
      <c r="F87266" s="193"/>
    </row>
    <row r="87267" spans="6:6" x14ac:dyDescent="0.3">
      <c r="F87267" s="193"/>
    </row>
    <row r="87268" spans="6:6" x14ac:dyDescent="0.3">
      <c r="F87268" s="193"/>
    </row>
    <row r="87269" spans="6:6" x14ac:dyDescent="0.3">
      <c r="F87269" s="193"/>
    </row>
    <row r="87270" spans="6:6" x14ac:dyDescent="0.3">
      <c r="F87270" s="193"/>
    </row>
    <row r="87271" spans="6:6" x14ac:dyDescent="0.3">
      <c r="F87271" s="193"/>
    </row>
    <row r="87272" spans="6:6" x14ac:dyDescent="0.3">
      <c r="F87272" s="193"/>
    </row>
    <row r="87273" spans="6:6" x14ac:dyDescent="0.3">
      <c r="F87273" s="193"/>
    </row>
    <row r="87274" spans="6:6" x14ac:dyDescent="0.3">
      <c r="F87274" s="193"/>
    </row>
    <row r="87275" spans="6:6" x14ac:dyDescent="0.3">
      <c r="F87275" s="193"/>
    </row>
    <row r="87276" spans="6:6" x14ac:dyDescent="0.3">
      <c r="F87276" s="193"/>
    </row>
    <row r="87277" spans="6:6" x14ac:dyDescent="0.3">
      <c r="F87277" s="193"/>
    </row>
    <row r="87278" spans="6:6" x14ac:dyDescent="0.3">
      <c r="F87278" s="193"/>
    </row>
    <row r="87279" spans="6:6" x14ac:dyDescent="0.3">
      <c r="F87279" s="193"/>
    </row>
    <row r="87280" spans="6:6" x14ac:dyDescent="0.3">
      <c r="F87280" s="193"/>
    </row>
    <row r="87281" spans="6:6" x14ac:dyDescent="0.3">
      <c r="F87281" s="193"/>
    </row>
    <row r="87282" spans="6:6" x14ac:dyDescent="0.3">
      <c r="F87282" s="193"/>
    </row>
    <row r="87283" spans="6:6" x14ac:dyDescent="0.3">
      <c r="F87283" s="193"/>
    </row>
    <row r="87284" spans="6:6" x14ac:dyDescent="0.3">
      <c r="F87284" s="193"/>
    </row>
    <row r="87285" spans="6:6" x14ac:dyDescent="0.3">
      <c r="F87285" s="193"/>
    </row>
    <row r="87286" spans="6:6" x14ac:dyDescent="0.3">
      <c r="F87286" s="193"/>
    </row>
    <row r="87287" spans="6:6" x14ac:dyDescent="0.3">
      <c r="F87287" s="193"/>
    </row>
    <row r="87288" spans="6:6" x14ac:dyDescent="0.3">
      <c r="F87288" s="193"/>
    </row>
    <row r="87289" spans="6:6" x14ac:dyDescent="0.3">
      <c r="F87289" s="193"/>
    </row>
    <row r="87290" spans="6:6" x14ac:dyDescent="0.3">
      <c r="F87290" s="193"/>
    </row>
    <row r="87291" spans="6:6" x14ac:dyDescent="0.3">
      <c r="F87291" s="193"/>
    </row>
    <row r="87292" spans="6:6" x14ac:dyDescent="0.3">
      <c r="F87292" s="193"/>
    </row>
    <row r="87293" spans="6:6" x14ac:dyDescent="0.3">
      <c r="F87293" s="193"/>
    </row>
    <row r="87294" spans="6:6" x14ac:dyDescent="0.3">
      <c r="F87294" s="193"/>
    </row>
    <row r="87295" spans="6:6" x14ac:dyDescent="0.3">
      <c r="F87295" s="193"/>
    </row>
    <row r="87296" spans="6:6" x14ac:dyDescent="0.3">
      <c r="F87296" s="193"/>
    </row>
    <row r="87297" spans="6:6" x14ac:dyDescent="0.3">
      <c r="F87297" s="193"/>
    </row>
    <row r="87298" spans="6:6" x14ac:dyDescent="0.3">
      <c r="F87298" s="193"/>
    </row>
    <row r="87299" spans="6:6" x14ac:dyDescent="0.3">
      <c r="F87299" s="193"/>
    </row>
    <row r="87300" spans="6:6" x14ac:dyDescent="0.3">
      <c r="F87300" s="193"/>
    </row>
    <row r="87301" spans="6:6" x14ac:dyDescent="0.3">
      <c r="F87301" s="193"/>
    </row>
    <row r="87302" spans="6:6" x14ac:dyDescent="0.3">
      <c r="F87302" s="193"/>
    </row>
    <row r="87303" spans="6:6" x14ac:dyDescent="0.3">
      <c r="F87303" s="193"/>
    </row>
    <row r="87304" spans="6:6" x14ac:dyDescent="0.3">
      <c r="F87304" s="193"/>
    </row>
    <row r="87305" spans="6:6" x14ac:dyDescent="0.3">
      <c r="F87305" s="193"/>
    </row>
    <row r="87306" spans="6:6" x14ac:dyDescent="0.3">
      <c r="F87306" s="193"/>
    </row>
    <row r="87307" spans="6:6" x14ac:dyDescent="0.3">
      <c r="F87307" s="193"/>
    </row>
    <row r="87308" spans="6:6" x14ac:dyDescent="0.3">
      <c r="F87308" s="193"/>
    </row>
    <row r="87309" spans="6:6" x14ac:dyDescent="0.3">
      <c r="F87309" s="193"/>
    </row>
    <row r="87310" spans="6:6" x14ac:dyDescent="0.3">
      <c r="F87310" s="193"/>
    </row>
    <row r="87311" spans="6:6" x14ac:dyDescent="0.3">
      <c r="F87311" s="193"/>
    </row>
    <row r="87312" spans="6:6" x14ac:dyDescent="0.3">
      <c r="F87312" s="193"/>
    </row>
    <row r="87313" spans="6:6" x14ac:dyDescent="0.3">
      <c r="F87313" s="193"/>
    </row>
    <row r="87314" spans="6:6" x14ac:dyDescent="0.3">
      <c r="F87314" s="193"/>
    </row>
    <row r="87315" spans="6:6" x14ac:dyDescent="0.3">
      <c r="F87315" s="193"/>
    </row>
    <row r="87316" spans="6:6" x14ac:dyDescent="0.3">
      <c r="F87316" s="193"/>
    </row>
    <row r="87317" spans="6:6" x14ac:dyDescent="0.3">
      <c r="F87317" s="193"/>
    </row>
    <row r="87318" spans="6:6" x14ac:dyDescent="0.3">
      <c r="F87318" s="193"/>
    </row>
    <row r="87319" spans="6:6" x14ac:dyDescent="0.3">
      <c r="F87319" s="193"/>
    </row>
    <row r="87320" spans="6:6" x14ac:dyDescent="0.3">
      <c r="F87320" s="193"/>
    </row>
    <row r="87321" spans="6:6" x14ac:dyDescent="0.3">
      <c r="F87321" s="193"/>
    </row>
    <row r="87322" spans="6:6" x14ac:dyDescent="0.3">
      <c r="F87322" s="193"/>
    </row>
    <row r="87323" spans="6:6" x14ac:dyDescent="0.3">
      <c r="F87323" s="193"/>
    </row>
    <row r="87324" spans="6:6" x14ac:dyDescent="0.3">
      <c r="F87324" s="193"/>
    </row>
    <row r="87325" spans="6:6" x14ac:dyDescent="0.3">
      <c r="F87325" s="193"/>
    </row>
    <row r="87326" spans="6:6" x14ac:dyDescent="0.3">
      <c r="F87326" s="193"/>
    </row>
    <row r="87327" spans="6:6" x14ac:dyDescent="0.3">
      <c r="F87327" s="193"/>
    </row>
    <row r="87328" spans="6:6" x14ac:dyDescent="0.3">
      <c r="F87328" s="193"/>
    </row>
    <row r="87329" spans="6:6" x14ac:dyDescent="0.3">
      <c r="F87329" s="193"/>
    </row>
    <row r="87330" spans="6:6" x14ac:dyDescent="0.3">
      <c r="F87330" s="193"/>
    </row>
    <row r="87331" spans="6:6" x14ac:dyDescent="0.3">
      <c r="F87331" s="193"/>
    </row>
    <row r="87332" spans="6:6" x14ac:dyDescent="0.3">
      <c r="F87332" s="193"/>
    </row>
    <row r="87333" spans="6:6" x14ac:dyDescent="0.3">
      <c r="F87333" s="193"/>
    </row>
    <row r="87334" spans="6:6" x14ac:dyDescent="0.3">
      <c r="F87334" s="193"/>
    </row>
    <row r="87335" spans="6:6" x14ac:dyDescent="0.3">
      <c r="F87335" s="193"/>
    </row>
    <row r="87336" spans="6:6" x14ac:dyDescent="0.3">
      <c r="F87336" s="193"/>
    </row>
    <row r="87337" spans="6:6" x14ac:dyDescent="0.3">
      <c r="F87337" s="193"/>
    </row>
    <row r="87338" spans="6:6" x14ac:dyDescent="0.3">
      <c r="F87338" s="193"/>
    </row>
    <row r="87339" spans="6:6" x14ac:dyDescent="0.3">
      <c r="F87339" s="193"/>
    </row>
    <row r="87340" spans="6:6" x14ac:dyDescent="0.3">
      <c r="F87340" s="193"/>
    </row>
    <row r="87341" spans="6:6" x14ac:dyDescent="0.3">
      <c r="F87341" s="193"/>
    </row>
    <row r="87342" spans="6:6" x14ac:dyDescent="0.3">
      <c r="F87342" s="193"/>
    </row>
    <row r="87343" spans="6:6" x14ac:dyDescent="0.3">
      <c r="F87343" s="193"/>
    </row>
    <row r="87344" spans="6:6" x14ac:dyDescent="0.3">
      <c r="F87344" s="193"/>
    </row>
    <row r="87345" spans="6:6" x14ac:dyDescent="0.3">
      <c r="F87345" s="193"/>
    </row>
    <row r="87346" spans="6:6" x14ac:dyDescent="0.3">
      <c r="F87346" s="193"/>
    </row>
    <row r="87347" spans="6:6" x14ac:dyDescent="0.3">
      <c r="F87347" s="193"/>
    </row>
    <row r="87348" spans="6:6" x14ac:dyDescent="0.3">
      <c r="F87348" s="193"/>
    </row>
    <row r="87349" spans="6:6" x14ac:dyDescent="0.3">
      <c r="F87349" s="193"/>
    </row>
    <row r="87350" spans="6:6" x14ac:dyDescent="0.3">
      <c r="F87350" s="193"/>
    </row>
    <row r="87351" spans="6:6" x14ac:dyDescent="0.3">
      <c r="F87351" s="193"/>
    </row>
    <row r="87352" spans="6:6" x14ac:dyDescent="0.3">
      <c r="F87352" s="193"/>
    </row>
    <row r="87353" spans="6:6" x14ac:dyDescent="0.3">
      <c r="F87353" s="193"/>
    </row>
    <row r="87354" spans="6:6" x14ac:dyDescent="0.3">
      <c r="F87354" s="193"/>
    </row>
    <row r="87355" spans="6:6" x14ac:dyDescent="0.3">
      <c r="F87355" s="193"/>
    </row>
    <row r="87356" spans="6:6" x14ac:dyDescent="0.3">
      <c r="F87356" s="193"/>
    </row>
    <row r="87357" spans="6:6" x14ac:dyDescent="0.3">
      <c r="F87357" s="193"/>
    </row>
    <row r="87358" spans="6:6" x14ac:dyDescent="0.3">
      <c r="F87358" s="193"/>
    </row>
    <row r="87359" spans="6:6" x14ac:dyDescent="0.3">
      <c r="F87359" s="193"/>
    </row>
    <row r="87360" spans="6:6" x14ac:dyDescent="0.3">
      <c r="F87360" s="193"/>
    </row>
    <row r="87361" spans="6:6" x14ac:dyDescent="0.3">
      <c r="F87361" s="193"/>
    </row>
    <row r="87362" spans="6:6" x14ac:dyDescent="0.3">
      <c r="F87362" s="193"/>
    </row>
    <row r="87363" spans="6:6" x14ac:dyDescent="0.3">
      <c r="F87363" s="193"/>
    </row>
    <row r="87364" spans="6:6" x14ac:dyDescent="0.3">
      <c r="F87364" s="193"/>
    </row>
    <row r="87365" spans="6:6" x14ac:dyDescent="0.3">
      <c r="F87365" s="193"/>
    </row>
    <row r="87366" spans="6:6" x14ac:dyDescent="0.3">
      <c r="F87366" s="193"/>
    </row>
    <row r="87367" spans="6:6" x14ac:dyDescent="0.3">
      <c r="F87367" s="193"/>
    </row>
    <row r="87368" spans="6:6" x14ac:dyDescent="0.3">
      <c r="F87368" s="193"/>
    </row>
    <row r="87369" spans="6:6" x14ac:dyDescent="0.3">
      <c r="F87369" s="193"/>
    </row>
    <row r="87370" spans="6:6" x14ac:dyDescent="0.3">
      <c r="F87370" s="193"/>
    </row>
    <row r="87371" spans="6:6" x14ac:dyDescent="0.3">
      <c r="F87371" s="193"/>
    </row>
    <row r="87372" spans="6:6" x14ac:dyDescent="0.3">
      <c r="F87372" s="193"/>
    </row>
    <row r="87373" spans="6:6" x14ac:dyDescent="0.3">
      <c r="F87373" s="193"/>
    </row>
    <row r="87374" spans="6:6" x14ac:dyDescent="0.3">
      <c r="F87374" s="193"/>
    </row>
    <row r="87375" spans="6:6" x14ac:dyDescent="0.3">
      <c r="F87375" s="193"/>
    </row>
    <row r="87376" spans="6:6" x14ac:dyDescent="0.3">
      <c r="F87376" s="193"/>
    </row>
    <row r="87377" spans="6:6" x14ac:dyDescent="0.3">
      <c r="F87377" s="193"/>
    </row>
    <row r="87378" spans="6:6" x14ac:dyDescent="0.3">
      <c r="F87378" s="193"/>
    </row>
    <row r="87379" spans="6:6" x14ac:dyDescent="0.3">
      <c r="F87379" s="193"/>
    </row>
    <row r="87380" spans="6:6" x14ac:dyDescent="0.3">
      <c r="F87380" s="193"/>
    </row>
    <row r="87381" spans="6:6" x14ac:dyDescent="0.3">
      <c r="F87381" s="193"/>
    </row>
    <row r="87382" spans="6:6" x14ac:dyDescent="0.3">
      <c r="F87382" s="193"/>
    </row>
    <row r="87383" spans="6:6" x14ac:dyDescent="0.3">
      <c r="F87383" s="193"/>
    </row>
    <row r="87384" spans="6:6" x14ac:dyDescent="0.3">
      <c r="F87384" s="193"/>
    </row>
    <row r="87385" spans="6:6" x14ac:dyDescent="0.3">
      <c r="F87385" s="193"/>
    </row>
    <row r="87386" spans="6:6" x14ac:dyDescent="0.3">
      <c r="F87386" s="193"/>
    </row>
    <row r="87387" spans="6:6" x14ac:dyDescent="0.3">
      <c r="F87387" s="193"/>
    </row>
    <row r="87388" spans="6:6" x14ac:dyDescent="0.3">
      <c r="F87388" s="193"/>
    </row>
    <row r="87389" spans="6:6" x14ac:dyDescent="0.3">
      <c r="F87389" s="193"/>
    </row>
    <row r="87390" spans="6:6" x14ac:dyDescent="0.3">
      <c r="F87390" s="193"/>
    </row>
    <row r="87391" spans="6:6" x14ac:dyDescent="0.3">
      <c r="F87391" s="193"/>
    </row>
    <row r="87392" spans="6:6" x14ac:dyDescent="0.3">
      <c r="F87392" s="193"/>
    </row>
    <row r="87393" spans="6:6" x14ac:dyDescent="0.3">
      <c r="F87393" s="193"/>
    </row>
    <row r="87394" spans="6:6" x14ac:dyDescent="0.3">
      <c r="F87394" s="193"/>
    </row>
    <row r="87395" spans="6:6" x14ac:dyDescent="0.3">
      <c r="F87395" s="193"/>
    </row>
    <row r="87396" spans="6:6" x14ac:dyDescent="0.3">
      <c r="F87396" s="193"/>
    </row>
    <row r="87397" spans="6:6" x14ac:dyDescent="0.3">
      <c r="F87397" s="193"/>
    </row>
    <row r="87398" spans="6:6" x14ac:dyDescent="0.3">
      <c r="F87398" s="193"/>
    </row>
    <row r="87399" spans="6:6" x14ac:dyDescent="0.3">
      <c r="F87399" s="193"/>
    </row>
    <row r="87400" spans="6:6" x14ac:dyDescent="0.3">
      <c r="F87400" s="193"/>
    </row>
    <row r="87401" spans="6:6" x14ac:dyDescent="0.3">
      <c r="F87401" s="193"/>
    </row>
    <row r="87402" spans="6:6" x14ac:dyDescent="0.3">
      <c r="F87402" s="193"/>
    </row>
    <row r="87403" spans="6:6" x14ac:dyDescent="0.3">
      <c r="F87403" s="193"/>
    </row>
    <row r="87404" spans="6:6" x14ac:dyDescent="0.3">
      <c r="F87404" s="193"/>
    </row>
    <row r="87405" spans="6:6" x14ac:dyDescent="0.3">
      <c r="F87405" s="193"/>
    </row>
    <row r="87406" spans="6:6" x14ac:dyDescent="0.3">
      <c r="F87406" s="193"/>
    </row>
    <row r="87407" spans="6:6" x14ac:dyDescent="0.3">
      <c r="F87407" s="193"/>
    </row>
    <row r="87408" spans="6:6" x14ac:dyDescent="0.3">
      <c r="F87408" s="193"/>
    </row>
    <row r="87409" spans="6:6" x14ac:dyDescent="0.3">
      <c r="F87409" s="193"/>
    </row>
    <row r="87410" spans="6:6" x14ac:dyDescent="0.3">
      <c r="F87410" s="193"/>
    </row>
    <row r="87411" spans="6:6" x14ac:dyDescent="0.3">
      <c r="F87411" s="193"/>
    </row>
    <row r="87412" spans="6:6" x14ac:dyDescent="0.3">
      <c r="F87412" s="193"/>
    </row>
    <row r="87413" spans="6:6" x14ac:dyDescent="0.3">
      <c r="F87413" s="193"/>
    </row>
    <row r="87414" spans="6:6" x14ac:dyDescent="0.3">
      <c r="F87414" s="193"/>
    </row>
    <row r="87415" spans="6:6" x14ac:dyDescent="0.3">
      <c r="F87415" s="193"/>
    </row>
    <row r="87416" spans="6:6" x14ac:dyDescent="0.3">
      <c r="F87416" s="193"/>
    </row>
    <row r="87417" spans="6:6" x14ac:dyDescent="0.3">
      <c r="F87417" s="193"/>
    </row>
    <row r="87418" spans="6:6" x14ac:dyDescent="0.3">
      <c r="F87418" s="193"/>
    </row>
    <row r="87419" spans="6:6" x14ac:dyDescent="0.3">
      <c r="F87419" s="193"/>
    </row>
    <row r="87420" spans="6:6" x14ac:dyDescent="0.3">
      <c r="F87420" s="193"/>
    </row>
    <row r="87421" spans="6:6" x14ac:dyDescent="0.3">
      <c r="F87421" s="193"/>
    </row>
    <row r="87422" spans="6:6" x14ac:dyDescent="0.3">
      <c r="F87422" s="193"/>
    </row>
    <row r="87423" spans="6:6" x14ac:dyDescent="0.3">
      <c r="F87423" s="193"/>
    </row>
    <row r="87424" spans="6:6" x14ac:dyDescent="0.3">
      <c r="F87424" s="193"/>
    </row>
    <row r="87425" spans="6:6" x14ac:dyDescent="0.3">
      <c r="F87425" s="193"/>
    </row>
    <row r="87426" spans="6:6" x14ac:dyDescent="0.3">
      <c r="F87426" s="193"/>
    </row>
    <row r="87427" spans="6:6" x14ac:dyDescent="0.3">
      <c r="F87427" s="193"/>
    </row>
    <row r="87428" spans="6:6" x14ac:dyDescent="0.3">
      <c r="F87428" s="193"/>
    </row>
    <row r="87429" spans="6:6" x14ac:dyDescent="0.3">
      <c r="F87429" s="193"/>
    </row>
    <row r="87430" spans="6:6" x14ac:dyDescent="0.3">
      <c r="F87430" s="193"/>
    </row>
    <row r="87431" spans="6:6" x14ac:dyDescent="0.3">
      <c r="F87431" s="193"/>
    </row>
    <row r="87432" spans="6:6" x14ac:dyDescent="0.3">
      <c r="F87432" s="193"/>
    </row>
    <row r="87433" spans="6:6" x14ac:dyDescent="0.3">
      <c r="F87433" s="193"/>
    </row>
    <row r="87434" spans="6:6" x14ac:dyDescent="0.3">
      <c r="F87434" s="193"/>
    </row>
    <row r="87435" spans="6:6" x14ac:dyDescent="0.3">
      <c r="F87435" s="193"/>
    </row>
    <row r="87436" spans="6:6" x14ac:dyDescent="0.3">
      <c r="F87436" s="193"/>
    </row>
    <row r="87437" spans="6:6" x14ac:dyDescent="0.3">
      <c r="F87437" s="193"/>
    </row>
    <row r="87438" spans="6:6" x14ac:dyDescent="0.3">
      <c r="F87438" s="193"/>
    </row>
    <row r="87439" spans="6:6" x14ac:dyDescent="0.3">
      <c r="F87439" s="193"/>
    </row>
    <row r="87440" spans="6:6" x14ac:dyDescent="0.3">
      <c r="F87440" s="193"/>
    </row>
    <row r="87441" spans="6:6" x14ac:dyDescent="0.3">
      <c r="F87441" s="193"/>
    </row>
    <row r="87442" spans="6:6" x14ac:dyDescent="0.3">
      <c r="F87442" s="193"/>
    </row>
    <row r="87443" spans="6:6" x14ac:dyDescent="0.3">
      <c r="F87443" s="193"/>
    </row>
    <row r="87444" spans="6:6" x14ac:dyDescent="0.3">
      <c r="F87444" s="193"/>
    </row>
    <row r="87445" spans="6:6" x14ac:dyDescent="0.3">
      <c r="F87445" s="193"/>
    </row>
    <row r="87446" spans="6:6" x14ac:dyDescent="0.3">
      <c r="F87446" s="193"/>
    </row>
    <row r="87447" spans="6:6" x14ac:dyDescent="0.3">
      <c r="F87447" s="193"/>
    </row>
    <row r="87448" spans="6:6" x14ac:dyDescent="0.3">
      <c r="F87448" s="193"/>
    </row>
    <row r="87449" spans="6:6" x14ac:dyDescent="0.3">
      <c r="F87449" s="193"/>
    </row>
    <row r="87450" spans="6:6" x14ac:dyDescent="0.3">
      <c r="F87450" s="193"/>
    </row>
    <row r="87451" spans="6:6" x14ac:dyDescent="0.3">
      <c r="F87451" s="193"/>
    </row>
    <row r="87452" spans="6:6" x14ac:dyDescent="0.3">
      <c r="F87452" s="193"/>
    </row>
    <row r="87453" spans="6:6" x14ac:dyDescent="0.3">
      <c r="F87453" s="193"/>
    </row>
    <row r="87454" spans="6:6" x14ac:dyDescent="0.3">
      <c r="F87454" s="193"/>
    </row>
    <row r="87455" spans="6:6" x14ac:dyDescent="0.3">
      <c r="F87455" s="193"/>
    </row>
    <row r="87456" spans="6:6" x14ac:dyDescent="0.3">
      <c r="F87456" s="193"/>
    </row>
    <row r="87457" spans="6:6" x14ac:dyDescent="0.3">
      <c r="F87457" s="193"/>
    </row>
    <row r="87458" spans="6:6" x14ac:dyDescent="0.3">
      <c r="F87458" s="193"/>
    </row>
    <row r="87459" spans="6:6" x14ac:dyDescent="0.3">
      <c r="F87459" s="193"/>
    </row>
    <row r="87460" spans="6:6" x14ac:dyDescent="0.3">
      <c r="F87460" s="193"/>
    </row>
    <row r="87461" spans="6:6" x14ac:dyDescent="0.3">
      <c r="F87461" s="193"/>
    </row>
    <row r="87462" spans="6:6" x14ac:dyDescent="0.3">
      <c r="F87462" s="193"/>
    </row>
    <row r="87463" spans="6:6" x14ac:dyDescent="0.3">
      <c r="F87463" s="193"/>
    </row>
    <row r="87464" spans="6:6" x14ac:dyDescent="0.3">
      <c r="F87464" s="193"/>
    </row>
    <row r="87465" spans="6:6" x14ac:dyDescent="0.3">
      <c r="F87465" s="193"/>
    </row>
    <row r="87466" spans="6:6" x14ac:dyDescent="0.3">
      <c r="F87466" s="193"/>
    </row>
    <row r="87467" spans="6:6" x14ac:dyDescent="0.3">
      <c r="F87467" s="193"/>
    </row>
    <row r="87468" spans="6:6" x14ac:dyDescent="0.3">
      <c r="F87468" s="193"/>
    </row>
    <row r="87469" spans="6:6" x14ac:dyDescent="0.3">
      <c r="F87469" s="193"/>
    </row>
    <row r="87470" spans="6:6" x14ac:dyDescent="0.3">
      <c r="F87470" s="193"/>
    </row>
    <row r="87471" spans="6:6" x14ac:dyDescent="0.3">
      <c r="F87471" s="193"/>
    </row>
    <row r="87472" spans="6:6" x14ac:dyDescent="0.3">
      <c r="F87472" s="193"/>
    </row>
    <row r="87473" spans="6:6" x14ac:dyDescent="0.3">
      <c r="F87473" s="193"/>
    </row>
    <row r="87474" spans="6:6" x14ac:dyDescent="0.3">
      <c r="F87474" s="193"/>
    </row>
    <row r="87475" spans="6:6" x14ac:dyDescent="0.3">
      <c r="F87475" s="193"/>
    </row>
    <row r="87476" spans="6:6" x14ac:dyDescent="0.3">
      <c r="F87476" s="193"/>
    </row>
    <row r="87477" spans="6:6" x14ac:dyDescent="0.3">
      <c r="F87477" s="193"/>
    </row>
    <row r="87478" spans="6:6" x14ac:dyDescent="0.3">
      <c r="F87478" s="193"/>
    </row>
    <row r="87479" spans="6:6" x14ac:dyDescent="0.3">
      <c r="F87479" s="193"/>
    </row>
    <row r="87480" spans="6:6" x14ac:dyDescent="0.3">
      <c r="F87480" s="193"/>
    </row>
    <row r="87481" spans="6:6" x14ac:dyDescent="0.3">
      <c r="F87481" s="193"/>
    </row>
    <row r="87482" spans="6:6" x14ac:dyDescent="0.3">
      <c r="F87482" s="193"/>
    </row>
    <row r="87483" spans="6:6" x14ac:dyDescent="0.3">
      <c r="F87483" s="193"/>
    </row>
    <row r="87484" spans="6:6" x14ac:dyDescent="0.3">
      <c r="F87484" s="193"/>
    </row>
    <row r="87485" spans="6:6" x14ac:dyDescent="0.3">
      <c r="F87485" s="193"/>
    </row>
    <row r="87486" spans="6:6" x14ac:dyDescent="0.3">
      <c r="F87486" s="193"/>
    </row>
    <row r="87487" spans="6:6" x14ac:dyDescent="0.3">
      <c r="F87487" s="193"/>
    </row>
    <row r="87488" spans="6:6" x14ac:dyDescent="0.3">
      <c r="F87488" s="193"/>
    </row>
    <row r="87489" spans="6:6" x14ac:dyDescent="0.3">
      <c r="F87489" s="193"/>
    </row>
    <row r="87490" spans="6:6" x14ac:dyDescent="0.3">
      <c r="F87490" s="193"/>
    </row>
    <row r="87491" spans="6:6" x14ac:dyDescent="0.3">
      <c r="F87491" s="193"/>
    </row>
    <row r="87492" spans="6:6" x14ac:dyDescent="0.3">
      <c r="F87492" s="193"/>
    </row>
    <row r="87493" spans="6:6" x14ac:dyDescent="0.3">
      <c r="F87493" s="193"/>
    </row>
    <row r="87494" spans="6:6" x14ac:dyDescent="0.3">
      <c r="F87494" s="193"/>
    </row>
    <row r="87495" spans="6:6" x14ac:dyDescent="0.3">
      <c r="F87495" s="193"/>
    </row>
    <row r="87496" spans="6:6" x14ac:dyDescent="0.3">
      <c r="F87496" s="193"/>
    </row>
    <row r="87497" spans="6:6" x14ac:dyDescent="0.3">
      <c r="F87497" s="193"/>
    </row>
    <row r="87498" spans="6:6" x14ac:dyDescent="0.3">
      <c r="F87498" s="193"/>
    </row>
    <row r="87499" spans="6:6" x14ac:dyDescent="0.3">
      <c r="F87499" s="193"/>
    </row>
    <row r="87500" spans="6:6" x14ac:dyDescent="0.3">
      <c r="F87500" s="193"/>
    </row>
    <row r="87501" spans="6:6" x14ac:dyDescent="0.3">
      <c r="F87501" s="193"/>
    </row>
    <row r="87502" spans="6:6" x14ac:dyDescent="0.3">
      <c r="F87502" s="193"/>
    </row>
    <row r="87503" spans="6:6" x14ac:dyDescent="0.3">
      <c r="F87503" s="193"/>
    </row>
    <row r="87504" spans="6:6" x14ac:dyDescent="0.3">
      <c r="F87504" s="193"/>
    </row>
    <row r="87505" spans="6:6" x14ac:dyDescent="0.3">
      <c r="F87505" s="193"/>
    </row>
    <row r="87506" spans="6:6" x14ac:dyDescent="0.3">
      <c r="F87506" s="193"/>
    </row>
    <row r="87507" spans="6:6" x14ac:dyDescent="0.3">
      <c r="F87507" s="193"/>
    </row>
    <row r="87508" spans="6:6" x14ac:dyDescent="0.3">
      <c r="F87508" s="193"/>
    </row>
    <row r="87509" spans="6:6" x14ac:dyDescent="0.3">
      <c r="F87509" s="193"/>
    </row>
    <row r="87510" spans="6:6" x14ac:dyDescent="0.3">
      <c r="F87510" s="193"/>
    </row>
    <row r="87511" spans="6:6" x14ac:dyDescent="0.3">
      <c r="F87511" s="193"/>
    </row>
    <row r="87512" spans="6:6" x14ac:dyDescent="0.3">
      <c r="F87512" s="193"/>
    </row>
    <row r="87513" spans="6:6" x14ac:dyDescent="0.3">
      <c r="F87513" s="193"/>
    </row>
    <row r="87514" spans="6:6" x14ac:dyDescent="0.3">
      <c r="F87514" s="193"/>
    </row>
    <row r="87515" spans="6:6" x14ac:dyDescent="0.3">
      <c r="F87515" s="193"/>
    </row>
    <row r="87516" spans="6:6" x14ac:dyDescent="0.3">
      <c r="F87516" s="193"/>
    </row>
    <row r="87517" spans="6:6" x14ac:dyDescent="0.3">
      <c r="F87517" s="193"/>
    </row>
    <row r="87518" spans="6:6" x14ac:dyDescent="0.3">
      <c r="F87518" s="193"/>
    </row>
    <row r="87519" spans="6:6" x14ac:dyDescent="0.3">
      <c r="F87519" s="193"/>
    </row>
    <row r="87520" spans="6:6" x14ac:dyDescent="0.3">
      <c r="F87520" s="193"/>
    </row>
    <row r="87521" spans="6:6" x14ac:dyDescent="0.3">
      <c r="F87521" s="193"/>
    </row>
    <row r="87522" spans="6:6" x14ac:dyDescent="0.3">
      <c r="F87522" s="193"/>
    </row>
    <row r="87523" spans="6:6" x14ac:dyDescent="0.3">
      <c r="F87523" s="193"/>
    </row>
    <row r="87524" spans="6:6" x14ac:dyDescent="0.3">
      <c r="F87524" s="193"/>
    </row>
    <row r="87525" spans="6:6" x14ac:dyDescent="0.3">
      <c r="F87525" s="193"/>
    </row>
    <row r="87526" spans="6:6" x14ac:dyDescent="0.3">
      <c r="F87526" s="193"/>
    </row>
    <row r="87527" spans="6:6" x14ac:dyDescent="0.3">
      <c r="F87527" s="193"/>
    </row>
    <row r="87528" spans="6:6" x14ac:dyDescent="0.3">
      <c r="F87528" s="193"/>
    </row>
    <row r="87529" spans="6:6" x14ac:dyDescent="0.3">
      <c r="F87529" s="193"/>
    </row>
    <row r="87530" spans="6:6" x14ac:dyDescent="0.3">
      <c r="F87530" s="193"/>
    </row>
    <row r="87531" spans="6:6" x14ac:dyDescent="0.3">
      <c r="F87531" s="193"/>
    </row>
    <row r="87532" spans="6:6" x14ac:dyDescent="0.3">
      <c r="F87532" s="193"/>
    </row>
    <row r="87533" spans="6:6" x14ac:dyDescent="0.3">
      <c r="F87533" s="193"/>
    </row>
    <row r="87534" spans="6:6" x14ac:dyDescent="0.3">
      <c r="F87534" s="193"/>
    </row>
    <row r="87535" spans="6:6" x14ac:dyDescent="0.3">
      <c r="F87535" s="193"/>
    </row>
    <row r="87536" spans="6:6" x14ac:dyDescent="0.3">
      <c r="F87536" s="193"/>
    </row>
    <row r="87537" spans="6:6" x14ac:dyDescent="0.3">
      <c r="F87537" s="193"/>
    </row>
    <row r="87538" spans="6:6" x14ac:dyDescent="0.3">
      <c r="F87538" s="193"/>
    </row>
    <row r="87539" spans="6:6" x14ac:dyDescent="0.3">
      <c r="F87539" s="193"/>
    </row>
    <row r="87540" spans="6:6" x14ac:dyDescent="0.3">
      <c r="F87540" s="193"/>
    </row>
    <row r="87541" spans="6:6" x14ac:dyDescent="0.3">
      <c r="F87541" s="193"/>
    </row>
    <row r="87542" spans="6:6" x14ac:dyDescent="0.3">
      <c r="F87542" s="193"/>
    </row>
    <row r="87543" spans="6:6" x14ac:dyDescent="0.3">
      <c r="F87543" s="193"/>
    </row>
    <row r="87544" spans="6:6" x14ac:dyDescent="0.3">
      <c r="F87544" s="193"/>
    </row>
    <row r="87545" spans="6:6" x14ac:dyDescent="0.3">
      <c r="F87545" s="193"/>
    </row>
    <row r="87546" spans="6:6" x14ac:dyDescent="0.3">
      <c r="F87546" s="193"/>
    </row>
    <row r="87547" spans="6:6" x14ac:dyDescent="0.3">
      <c r="F87547" s="193"/>
    </row>
    <row r="87548" spans="6:6" x14ac:dyDescent="0.3">
      <c r="F87548" s="193"/>
    </row>
    <row r="87549" spans="6:6" x14ac:dyDescent="0.3">
      <c r="F87549" s="193"/>
    </row>
    <row r="87550" spans="6:6" x14ac:dyDescent="0.3">
      <c r="F87550" s="193"/>
    </row>
    <row r="87551" spans="6:6" x14ac:dyDescent="0.3">
      <c r="F87551" s="193"/>
    </row>
    <row r="87552" spans="6:6" x14ac:dyDescent="0.3">
      <c r="F87552" s="193"/>
    </row>
    <row r="87553" spans="6:6" x14ac:dyDescent="0.3">
      <c r="F87553" s="193"/>
    </row>
    <row r="87554" spans="6:6" x14ac:dyDescent="0.3">
      <c r="F87554" s="193"/>
    </row>
    <row r="87555" spans="6:6" x14ac:dyDescent="0.3">
      <c r="F87555" s="193"/>
    </row>
    <row r="87556" spans="6:6" x14ac:dyDescent="0.3">
      <c r="F87556" s="193"/>
    </row>
    <row r="87557" spans="6:6" x14ac:dyDescent="0.3">
      <c r="F87557" s="193"/>
    </row>
    <row r="87558" spans="6:6" x14ac:dyDescent="0.3">
      <c r="F87558" s="193"/>
    </row>
    <row r="87559" spans="6:6" x14ac:dyDescent="0.3">
      <c r="F87559" s="193"/>
    </row>
    <row r="87560" spans="6:6" x14ac:dyDescent="0.3">
      <c r="F87560" s="193"/>
    </row>
    <row r="87561" spans="6:6" x14ac:dyDescent="0.3">
      <c r="F87561" s="193"/>
    </row>
    <row r="87562" spans="6:6" x14ac:dyDescent="0.3">
      <c r="F87562" s="193"/>
    </row>
    <row r="87563" spans="6:6" x14ac:dyDescent="0.3">
      <c r="F87563" s="193"/>
    </row>
    <row r="87564" spans="6:6" x14ac:dyDescent="0.3">
      <c r="F87564" s="193"/>
    </row>
    <row r="87565" spans="6:6" x14ac:dyDescent="0.3">
      <c r="F87565" s="193"/>
    </row>
    <row r="87566" spans="6:6" x14ac:dyDescent="0.3">
      <c r="F87566" s="193"/>
    </row>
    <row r="87567" spans="6:6" x14ac:dyDescent="0.3">
      <c r="F87567" s="193"/>
    </row>
    <row r="87568" spans="6:6" x14ac:dyDescent="0.3">
      <c r="F87568" s="193"/>
    </row>
    <row r="87569" spans="6:6" x14ac:dyDescent="0.3">
      <c r="F87569" s="193"/>
    </row>
    <row r="87570" spans="6:6" x14ac:dyDescent="0.3">
      <c r="F87570" s="193"/>
    </row>
    <row r="87571" spans="6:6" x14ac:dyDescent="0.3">
      <c r="F87571" s="193"/>
    </row>
    <row r="87572" spans="6:6" x14ac:dyDescent="0.3">
      <c r="F87572" s="193"/>
    </row>
    <row r="87573" spans="6:6" x14ac:dyDescent="0.3">
      <c r="F87573" s="193"/>
    </row>
    <row r="87574" spans="6:6" x14ac:dyDescent="0.3">
      <c r="F87574" s="193"/>
    </row>
    <row r="87575" spans="6:6" x14ac:dyDescent="0.3">
      <c r="F87575" s="193"/>
    </row>
    <row r="87576" spans="6:6" x14ac:dyDescent="0.3">
      <c r="F87576" s="193"/>
    </row>
    <row r="87577" spans="6:6" x14ac:dyDescent="0.3">
      <c r="F87577" s="193"/>
    </row>
    <row r="87578" spans="6:6" x14ac:dyDescent="0.3">
      <c r="F87578" s="193"/>
    </row>
    <row r="87579" spans="6:6" x14ac:dyDescent="0.3">
      <c r="F87579" s="193"/>
    </row>
    <row r="87580" spans="6:6" x14ac:dyDescent="0.3">
      <c r="F87580" s="193"/>
    </row>
    <row r="87581" spans="6:6" x14ac:dyDescent="0.3">
      <c r="F87581" s="193"/>
    </row>
    <row r="87582" spans="6:6" x14ac:dyDescent="0.3">
      <c r="F87582" s="193"/>
    </row>
    <row r="87583" spans="6:6" x14ac:dyDescent="0.3">
      <c r="F87583" s="193"/>
    </row>
    <row r="87584" spans="6:6" x14ac:dyDescent="0.3">
      <c r="F87584" s="193"/>
    </row>
    <row r="87585" spans="6:6" x14ac:dyDescent="0.3">
      <c r="F87585" s="193"/>
    </row>
    <row r="87586" spans="6:6" x14ac:dyDescent="0.3">
      <c r="F87586" s="193"/>
    </row>
    <row r="87587" spans="6:6" x14ac:dyDescent="0.3">
      <c r="F87587" s="193"/>
    </row>
    <row r="87588" spans="6:6" x14ac:dyDescent="0.3">
      <c r="F87588" s="193"/>
    </row>
    <row r="87589" spans="6:6" x14ac:dyDescent="0.3">
      <c r="F87589" s="193"/>
    </row>
    <row r="87590" spans="6:6" x14ac:dyDescent="0.3">
      <c r="F87590" s="193"/>
    </row>
    <row r="87591" spans="6:6" x14ac:dyDescent="0.3">
      <c r="F87591" s="193"/>
    </row>
    <row r="87592" spans="6:6" x14ac:dyDescent="0.3">
      <c r="F87592" s="193"/>
    </row>
    <row r="87593" spans="6:6" x14ac:dyDescent="0.3">
      <c r="F87593" s="193"/>
    </row>
    <row r="87594" spans="6:6" x14ac:dyDescent="0.3">
      <c r="F87594" s="193"/>
    </row>
    <row r="87595" spans="6:6" x14ac:dyDescent="0.3">
      <c r="F87595" s="193"/>
    </row>
    <row r="87596" spans="6:6" x14ac:dyDescent="0.3">
      <c r="F87596" s="193"/>
    </row>
    <row r="87597" spans="6:6" x14ac:dyDescent="0.3">
      <c r="F87597" s="193"/>
    </row>
    <row r="87598" spans="6:6" x14ac:dyDescent="0.3">
      <c r="F87598" s="193"/>
    </row>
    <row r="87599" spans="6:6" x14ac:dyDescent="0.3">
      <c r="F87599" s="193"/>
    </row>
    <row r="87600" spans="6:6" x14ac:dyDescent="0.3">
      <c r="F87600" s="193"/>
    </row>
    <row r="87601" spans="6:6" x14ac:dyDescent="0.3">
      <c r="F87601" s="193"/>
    </row>
    <row r="87602" spans="6:6" x14ac:dyDescent="0.3">
      <c r="F87602" s="193"/>
    </row>
    <row r="87603" spans="6:6" x14ac:dyDescent="0.3">
      <c r="F87603" s="193"/>
    </row>
    <row r="87604" spans="6:6" x14ac:dyDescent="0.3">
      <c r="F87604" s="193"/>
    </row>
    <row r="87605" spans="6:6" x14ac:dyDescent="0.3">
      <c r="F87605" s="193"/>
    </row>
    <row r="87606" spans="6:6" x14ac:dyDescent="0.3">
      <c r="F87606" s="193"/>
    </row>
    <row r="87607" spans="6:6" x14ac:dyDescent="0.3">
      <c r="F87607" s="193"/>
    </row>
    <row r="87608" spans="6:6" x14ac:dyDescent="0.3">
      <c r="F87608" s="193"/>
    </row>
    <row r="87609" spans="6:6" x14ac:dyDescent="0.3">
      <c r="F87609" s="193"/>
    </row>
    <row r="87610" spans="6:6" x14ac:dyDescent="0.3">
      <c r="F87610" s="193"/>
    </row>
    <row r="87611" spans="6:6" x14ac:dyDescent="0.3">
      <c r="F87611" s="193"/>
    </row>
    <row r="87612" spans="6:6" x14ac:dyDescent="0.3">
      <c r="F87612" s="193"/>
    </row>
    <row r="87613" spans="6:6" x14ac:dyDescent="0.3">
      <c r="F87613" s="193"/>
    </row>
    <row r="87614" spans="6:6" x14ac:dyDescent="0.3">
      <c r="F87614" s="193"/>
    </row>
    <row r="87615" spans="6:6" x14ac:dyDescent="0.3">
      <c r="F87615" s="193"/>
    </row>
    <row r="87616" spans="6:6" x14ac:dyDescent="0.3">
      <c r="F87616" s="193"/>
    </row>
    <row r="87617" spans="6:6" x14ac:dyDescent="0.3">
      <c r="F87617" s="193"/>
    </row>
    <row r="87618" spans="6:6" x14ac:dyDescent="0.3">
      <c r="F87618" s="193"/>
    </row>
    <row r="87619" spans="6:6" x14ac:dyDescent="0.3">
      <c r="F87619" s="193"/>
    </row>
    <row r="87620" spans="6:6" x14ac:dyDescent="0.3">
      <c r="F87620" s="193"/>
    </row>
    <row r="87621" spans="6:6" x14ac:dyDescent="0.3">
      <c r="F87621" s="193"/>
    </row>
    <row r="87622" spans="6:6" x14ac:dyDescent="0.3">
      <c r="F87622" s="193"/>
    </row>
    <row r="87623" spans="6:6" x14ac:dyDescent="0.3">
      <c r="F87623" s="193"/>
    </row>
    <row r="87624" spans="6:6" x14ac:dyDescent="0.3">
      <c r="F87624" s="193"/>
    </row>
    <row r="87625" spans="6:6" x14ac:dyDescent="0.3">
      <c r="F87625" s="193"/>
    </row>
    <row r="87626" spans="6:6" x14ac:dyDescent="0.3">
      <c r="F87626" s="193"/>
    </row>
    <row r="87627" spans="6:6" x14ac:dyDescent="0.3">
      <c r="F87627" s="193"/>
    </row>
    <row r="87628" spans="6:6" x14ac:dyDescent="0.3">
      <c r="F87628" s="193"/>
    </row>
    <row r="87629" spans="6:6" x14ac:dyDescent="0.3">
      <c r="F87629" s="193"/>
    </row>
    <row r="87630" spans="6:6" x14ac:dyDescent="0.3">
      <c r="F87630" s="193"/>
    </row>
    <row r="87631" spans="6:6" x14ac:dyDescent="0.3">
      <c r="F87631" s="193"/>
    </row>
    <row r="87632" spans="6:6" x14ac:dyDescent="0.3">
      <c r="F87632" s="193"/>
    </row>
    <row r="87633" spans="6:6" x14ac:dyDescent="0.3">
      <c r="F87633" s="193"/>
    </row>
    <row r="87634" spans="6:6" x14ac:dyDescent="0.3">
      <c r="F87634" s="193"/>
    </row>
    <row r="87635" spans="6:6" x14ac:dyDescent="0.3">
      <c r="F87635" s="193"/>
    </row>
    <row r="87636" spans="6:6" x14ac:dyDescent="0.3">
      <c r="F87636" s="193"/>
    </row>
    <row r="87637" spans="6:6" x14ac:dyDescent="0.3">
      <c r="F87637" s="193"/>
    </row>
    <row r="87638" spans="6:6" x14ac:dyDescent="0.3">
      <c r="F87638" s="193"/>
    </row>
    <row r="87639" spans="6:6" x14ac:dyDescent="0.3">
      <c r="F87639" s="193"/>
    </row>
    <row r="87640" spans="6:6" x14ac:dyDescent="0.3">
      <c r="F87640" s="193"/>
    </row>
    <row r="87641" spans="6:6" x14ac:dyDescent="0.3">
      <c r="F87641" s="193"/>
    </row>
    <row r="87642" spans="6:6" x14ac:dyDescent="0.3">
      <c r="F87642" s="193"/>
    </row>
    <row r="87643" spans="6:6" x14ac:dyDescent="0.3">
      <c r="F87643" s="193"/>
    </row>
    <row r="87644" spans="6:6" x14ac:dyDescent="0.3">
      <c r="F87644" s="193"/>
    </row>
    <row r="87645" spans="6:6" x14ac:dyDescent="0.3">
      <c r="F87645" s="193"/>
    </row>
    <row r="87646" spans="6:6" x14ac:dyDescent="0.3">
      <c r="F87646" s="193"/>
    </row>
    <row r="87647" spans="6:6" x14ac:dyDescent="0.3">
      <c r="F87647" s="193"/>
    </row>
    <row r="87648" spans="6:6" x14ac:dyDescent="0.3">
      <c r="F87648" s="193"/>
    </row>
    <row r="87649" spans="6:6" x14ac:dyDescent="0.3">
      <c r="F87649" s="193"/>
    </row>
    <row r="87650" spans="6:6" x14ac:dyDescent="0.3">
      <c r="F87650" s="193"/>
    </row>
    <row r="87651" spans="6:6" x14ac:dyDescent="0.3">
      <c r="F87651" s="193"/>
    </row>
    <row r="87652" spans="6:6" x14ac:dyDescent="0.3">
      <c r="F87652" s="193"/>
    </row>
    <row r="87653" spans="6:6" x14ac:dyDescent="0.3">
      <c r="F87653" s="193"/>
    </row>
    <row r="87654" spans="6:6" x14ac:dyDescent="0.3">
      <c r="F87654" s="193"/>
    </row>
    <row r="87655" spans="6:6" x14ac:dyDescent="0.3">
      <c r="F87655" s="193"/>
    </row>
    <row r="87656" spans="6:6" x14ac:dyDescent="0.3">
      <c r="F87656" s="193"/>
    </row>
    <row r="87657" spans="6:6" x14ac:dyDescent="0.3">
      <c r="F87657" s="193"/>
    </row>
    <row r="87658" spans="6:6" x14ac:dyDescent="0.3">
      <c r="F87658" s="193"/>
    </row>
    <row r="87659" spans="6:6" x14ac:dyDescent="0.3">
      <c r="F87659" s="193"/>
    </row>
    <row r="87660" spans="6:6" x14ac:dyDescent="0.3">
      <c r="F87660" s="193"/>
    </row>
    <row r="87661" spans="6:6" x14ac:dyDescent="0.3">
      <c r="F87661" s="193"/>
    </row>
    <row r="87662" spans="6:6" x14ac:dyDescent="0.3">
      <c r="F87662" s="193"/>
    </row>
    <row r="87663" spans="6:6" x14ac:dyDescent="0.3">
      <c r="F87663" s="193"/>
    </row>
    <row r="87664" spans="6:6" x14ac:dyDescent="0.3">
      <c r="F87664" s="193"/>
    </row>
    <row r="87665" spans="6:6" x14ac:dyDescent="0.3">
      <c r="F87665" s="193"/>
    </row>
    <row r="87666" spans="6:6" x14ac:dyDescent="0.3">
      <c r="F87666" s="193"/>
    </row>
    <row r="87667" spans="6:6" x14ac:dyDescent="0.3">
      <c r="F87667" s="193"/>
    </row>
    <row r="87668" spans="6:6" x14ac:dyDescent="0.3">
      <c r="F87668" s="193"/>
    </row>
    <row r="87669" spans="6:6" x14ac:dyDescent="0.3">
      <c r="F87669" s="193"/>
    </row>
    <row r="87670" spans="6:6" x14ac:dyDescent="0.3">
      <c r="F87670" s="193"/>
    </row>
    <row r="87671" spans="6:6" x14ac:dyDescent="0.3">
      <c r="F87671" s="193"/>
    </row>
    <row r="87672" spans="6:6" x14ac:dyDescent="0.3">
      <c r="F87672" s="193"/>
    </row>
    <row r="87673" spans="6:6" x14ac:dyDescent="0.3">
      <c r="F87673" s="193"/>
    </row>
    <row r="87674" spans="6:6" x14ac:dyDescent="0.3">
      <c r="F87674" s="193"/>
    </row>
    <row r="87675" spans="6:6" x14ac:dyDescent="0.3">
      <c r="F87675" s="193"/>
    </row>
    <row r="87676" spans="6:6" x14ac:dyDescent="0.3">
      <c r="F87676" s="193"/>
    </row>
    <row r="87677" spans="6:6" x14ac:dyDescent="0.3">
      <c r="F87677" s="193"/>
    </row>
    <row r="87678" spans="6:6" x14ac:dyDescent="0.3">
      <c r="F87678" s="193"/>
    </row>
    <row r="87679" spans="6:6" x14ac:dyDescent="0.3">
      <c r="F87679" s="193"/>
    </row>
    <row r="87680" spans="6:6" x14ac:dyDescent="0.3">
      <c r="F87680" s="193"/>
    </row>
    <row r="87681" spans="6:6" x14ac:dyDescent="0.3">
      <c r="F87681" s="193"/>
    </row>
    <row r="87682" spans="6:6" x14ac:dyDescent="0.3">
      <c r="F87682" s="193"/>
    </row>
    <row r="87683" spans="6:6" x14ac:dyDescent="0.3">
      <c r="F87683" s="193"/>
    </row>
    <row r="87684" spans="6:6" x14ac:dyDescent="0.3">
      <c r="F87684" s="193"/>
    </row>
    <row r="87685" spans="6:6" x14ac:dyDescent="0.3">
      <c r="F87685" s="193"/>
    </row>
    <row r="87686" spans="6:6" x14ac:dyDescent="0.3">
      <c r="F87686" s="193"/>
    </row>
    <row r="87687" spans="6:6" x14ac:dyDescent="0.3">
      <c r="F87687" s="193"/>
    </row>
    <row r="87688" spans="6:6" x14ac:dyDescent="0.3">
      <c r="F87688" s="193"/>
    </row>
    <row r="87689" spans="6:6" x14ac:dyDescent="0.3">
      <c r="F87689" s="193"/>
    </row>
    <row r="87690" spans="6:6" x14ac:dyDescent="0.3">
      <c r="F87690" s="193"/>
    </row>
    <row r="87691" spans="6:6" x14ac:dyDescent="0.3">
      <c r="F87691" s="193"/>
    </row>
    <row r="87692" spans="6:6" x14ac:dyDescent="0.3">
      <c r="F87692" s="193"/>
    </row>
    <row r="87693" spans="6:6" x14ac:dyDescent="0.3">
      <c r="F87693" s="193"/>
    </row>
    <row r="87694" spans="6:6" x14ac:dyDescent="0.3">
      <c r="F87694" s="193"/>
    </row>
    <row r="87695" spans="6:6" x14ac:dyDescent="0.3">
      <c r="F87695" s="193"/>
    </row>
    <row r="87696" spans="6:6" x14ac:dyDescent="0.3">
      <c r="F87696" s="193"/>
    </row>
    <row r="87697" spans="6:6" x14ac:dyDescent="0.3">
      <c r="F87697" s="193"/>
    </row>
    <row r="87698" spans="6:6" x14ac:dyDescent="0.3">
      <c r="F87698" s="193"/>
    </row>
    <row r="87699" spans="6:6" x14ac:dyDescent="0.3">
      <c r="F87699" s="193"/>
    </row>
    <row r="87700" spans="6:6" x14ac:dyDescent="0.3">
      <c r="F87700" s="193"/>
    </row>
    <row r="87701" spans="6:6" x14ac:dyDescent="0.3">
      <c r="F87701" s="193"/>
    </row>
    <row r="87702" spans="6:6" x14ac:dyDescent="0.3">
      <c r="F87702" s="193"/>
    </row>
    <row r="87703" spans="6:6" x14ac:dyDescent="0.3">
      <c r="F87703" s="193"/>
    </row>
    <row r="87704" spans="6:6" x14ac:dyDescent="0.3">
      <c r="F87704" s="193"/>
    </row>
    <row r="87705" spans="6:6" x14ac:dyDescent="0.3">
      <c r="F87705" s="193"/>
    </row>
    <row r="87706" spans="6:6" x14ac:dyDescent="0.3">
      <c r="F87706" s="193"/>
    </row>
    <row r="87707" spans="6:6" x14ac:dyDescent="0.3">
      <c r="F87707" s="193"/>
    </row>
    <row r="87708" spans="6:6" x14ac:dyDescent="0.3">
      <c r="F87708" s="193"/>
    </row>
    <row r="87709" spans="6:6" x14ac:dyDescent="0.3">
      <c r="F87709" s="193"/>
    </row>
    <row r="87710" spans="6:6" x14ac:dyDescent="0.3">
      <c r="F87710" s="193"/>
    </row>
    <row r="87711" spans="6:6" x14ac:dyDescent="0.3">
      <c r="F87711" s="193"/>
    </row>
    <row r="87712" spans="6:6" x14ac:dyDescent="0.3">
      <c r="F87712" s="193"/>
    </row>
    <row r="87713" spans="6:6" x14ac:dyDescent="0.3">
      <c r="F87713" s="193"/>
    </row>
    <row r="87714" spans="6:6" x14ac:dyDescent="0.3">
      <c r="F87714" s="193"/>
    </row>
    <row r="87715" spans="6:6" x14ac:dyDescent="0.3">
      <c r="F87715" s="193"/>
    </row>
    <row r="87716" spans="6:6" x14ac:dyDescent="0.3">
      <c r="F87716" s="193"/>
    </row>
    <row r="87717" spans="6:6" x14ac:dyDescent="0.3">
      <c r="F87717" s="193"/>
    </row>
    <row r="87718" spans="6:6" x14ac:dyDescent="0.3">
      <c r="F87718" s="193"/>
    </row>
    <row r="87719" spans="6:6" x14ac:dyDescent="0.3">
      <c r="F87719" s="193"/>
    </row>
    <row r="87720" spans="6:6" x14ac:dyDescent="0.3">
      <c r="F87720" s="193"/>
    </row>
    <row r="87721" spans="6:6" x14ac:dyDescent="0.3">
      <c r="F87721" s="193"/>
    </row>
    <row r="87722" spans="6:6" x14ac:dyDescent="0.3">
      <c r="F87722" s="193"/>
    </row>
    <row r="87723" spans="6:6" x14ac:dyDescent="0.3">
      <c r="F87723" s="193"/>
    </row>
    <row r="87724" spans="6:6" x14ac:dyDescent="0.3">
      <c r="F87724" s="193"/>
    </row>
    <row r="87725" spans="6:6" x14ac:dyDescent="0.3">
      <c r="F87725" s="193"/>
    </row>
    <row r="87726" spans="6:6" x14ac:dyDescent="0.3">
      <c r="F87726" s="193"/>
    </row>
    <row r="87727" spans="6:6" x14ac:dyDescent="0.3">
      <c r="F87727" s="193"/>
    </row>
    <row r="87728" spans="6:6" x14ac:dyDescent="0.3">
      <c r="F87728" s="193"/>
    </row>
    <row r="87729" spans="6:6" x14ac:dyDescent="0.3">
      <c r="F87729" s="193"/>
    </row>
    <row r="87730" spans="6:6" x14ac:dyDescent="0.3">
      <c r="F87730" s="193"/>
    </row>
    <row r="87731" spans="6:6" x14ac:dyDescent="0.3">
      <c r="F87731" s="193"/>
    </row>
    <row r="87732" spans="6:6" x14ac:dyDescent="0.3">
      <c r="F87732" s="193"/>
    </row>
    <row r="87733" spans="6:6" x14ac:dyDescent="0.3">
      <c r="F87733" s="193"/>
    </row>
    <row r="87734" spans="6:6" x14ac:dyDescent="0.3">
      <c r="F87734" s="193"/>
    </row>
    <row r="87735" spans="6:6" x14ac:dyDescent="0.3">
      <c r="F87735" s="193"/>
    </row>
    <row r="87736" spans="6:6" x14ac:dyDescent="0.3">
      <c r="F87736" s="193"/>
    </row>
    <row r="87737" spans="6:6" x14ac:dyDescent="0.3">
      <c r="F87737" s="193"/>
    </row>
    <row r="87738" spans="6:6" x14ac:dyDescent="0.3">
      <c r="F87738" s="193"/>
    </row>
    <row r="87739" spans="6:6" x14ac:dyDescent="0.3">
      <c r="F87739" s="193"/>
    </row>
    <row r="87740" spans="6:6" x14ac:dyDescent="0.3">
      <c r="F87740" s="193"/>
    </row>
    <row r="87741" spans="6:6" x14ac:dyDescent="0.3">
      <c r="F87741" s="193"/>
    </row>
    <row r="87742" spans="6:6" x14ac:dyDescent="0.3">
      <c r="F87742" s="193"/>
    </row>
    <row r="87743" spans="6:6" x14ac:dyDescent="0.3">
      <c r="F87743" s="193"/>
    </row>
    <row r="87744" spans="6:6" x14ac:dyDescent="0.3">
      <c r="F87744" s="193"/>
    </row>
    <row r="87745" spans="6:6" x14ac:dyDescent="0.3">
      <c r="F87745" s="193"/>
    </row>
    <row r="87746" spans="6:6" x14ac:dyDescent="0.3">
      <c r="F87746" s="193"/>
    </row>
    <row r="87747" spans="6:6" x14ac:dyDescent="0.3">
      <c r="F87747" s="193"/>
    </row>
    <row r="87748" spans="6:6" x14ac:dyDescent="0.3">
      <c r="F87748" s="193"/>
    </row>
    <row r="87749" spans="6:6" x14ac:dyDescent="0.3">
      <c r="F87749" s="193"/>
    </row>
    <row r="87750" spans="6:6" x14ac:dyDescent="0.3">
      <c r="F87750" s="193"/>
    </row>
    <row r="87751" spans="6:6" x14ac:dyDescent="0.3">
      <c r="F87751" s="193"/>
    </row>
    <row r="87752" spans="6:6" x14ac:dyDescent="0.3">
      <c r="F87752" s="193"/>
    </row>
    <row r="87753" spans="6:6" x14ac:dyDescent="0.3">
      <c r="F87753" s="193"/>
    </row>
    <row r="87754" spans="6:6" x14ac:dyDescent="0.3">
      <c r="F87754" s="193"/>
    </row>
    <row r="87755" spans="6:6" x14ac:dyDescent="0.3">
      <c r="F87755" s="193"/>
    </row>
    <row r="87756" spans="6:6" x14ac:dyDescent="0.3">
      <c r="F87756" s="193"/>
    </row>
    <row r="87757" spans="6:6" x14ac:dyDescent="0.3">
      <c r="F87757" s="193"/>
    </row>
    <row r="87758" spans="6:6" x14ac:dyDescent="0.3">
      <c r="F87758" s="193"/>
    </row>
    <row r="87759" spans="6:6" x14ac:dyDescent="0.3">
      <c r="F87759" s="193"/>
    </row>
    <row r="87760" spans="6:6" x14ac:dyDescent="0.3">
      <c r="F87760" s="193"/>
    </row>
    <row r="87761" spans="6:6" x14ac:dyDescent="0.3">
      <c r="F87761" s="193"/>
    </row>
    <row r="87762" spans="6:6" x14ac:dyDescent="0.3">
      <c r="F87762" s="193"/>
    </row>
    <row r="87763" spans="6:6" x14ac:dyDescent="0.3">
      <c r="F87763" s="193"/>
    </row>
    <row r="87764" spans="6:6" x14ac:dyDescent="0.3">
      <c r="F87764" s="193"/>
    </row>
    <row r="87765" spans="6:6" x14ac:dyDescent="0.3">
      <c r="F87765" s="193"/>
    </row>
    <row r="87766" spans="6:6" x14ac:dyDescent="0.3">
      <c r="F87766" s="193"/>
    </row>
    <row r="87767" spans="6:6" x14ac:dyDescent="0.3">
      <c r="F87767" s="193"/>
    </row>
    <row r="87768" spans="6:6" x14ac:dyDescent="0.3">
      <c r="F87768" s="193"/>
    </row>
    <row r="87769" spans="6:6" x14ac:dyDescent="0.3">
      <c r="F87769" s="193"/>
    </row>
    <row r="87770" spans="6:6" x14ac:dyDescent="0.3">
      <c r="F87770" s="193"/>
    </row>
    <row r="87771" spans="6:6" x14ac:dyDescent="0.3">
      <c r="F87771" s="193"/>
    </row>
    <row r="87772" spans="6:6" x14ac:dyDescent="0.3">
      <c r="F87772" s="193"/>
    </row>
    <row r="87773" spans="6:6" x14ac:dyDescent="0.3">
      <c r="F87773" s="193"/>
    </row>
    <row r="87774" spans="6:6" x14ac:dyDescent="0.3">
      <c r="F87774" s="193"/>
    </row>
    <row r="87775" spans="6:6" x14ac:dyDescent="0.3">
      <c r="F87775" s="193"/>
    </row>
    <row r="87776" spans="6:6" x14ac:dyDescent="0.3">
      <c r="F87776" s="193"/>
    </row>
    <row r="87777" spans="6:6" x14ac:dyDescent="0.3">
      <c r="F87777" s="193"/>
    </row>
    <row r="87778" spans="6:6" x14ac:dyDescent="0.3">
      <c r="F87778" s="193"/>
    </row>
    <row r="87779" spans="6:6" x14ac:dyDescent="0.3">
      <c r="F87779" s="193"/>
    </row>
    <row r="87780" spans="6:6" x14ac:dyDescent="0.3">
      <c r="F87780" s="193"/>
    </row>
    <row r="87781" spans="6:6" x14ac:dyDescent="0.3">
      <c r="F87781" s="193"/>
    </row>
    <row r="87782" spans="6:6" x14ac:dyDescent="0.3">
      <c r="F87782" s="193"/>
    </row>
    <row r="87783" spans="6:6" x14ac:dyDescent="0.3">
      <c r="F87783" s="193"/>
    </row>
    <row r="87784" spans="6:6" x14ac:dyDescent="0.3">
      <c r="F87784" s="193"/>
    </row>
    <row r="87785" spans="6:6" x14ac:dyDescent="0.3">
      <c r="F87785" s="193"/>
    </row>
    <row r="87786" spans="6:6" x14ac:dyDescent="0.3">
      <c r="F87786" s="193"/>
    </row>
    <row r="87787" spans="6:6" x14ac:dyDescent="0.3">
      <c r="F87787" s="193"/>
    </row>
    <row r="87788" spans="6:6" x14ac:dyDescent="0.3">
      <c r="F87788" s="193"/>
    </row>
    <row r="87789" spans="6:6" x14ac:dyDescent="0.3">
      <c r="F87789" s="193"/>
    </row>
    <row r="87790" spans="6:6" x14ac:dyDescent="0.3">
      <c r="F87790" s="193"/>
    </row>
    <row r="87791" spans="6:6" x14ac:dyDescent="0.3">
      <c r="F87791" s="193"/>
    </row>
    <row r="87792" spans="6:6" x14ac:dyDescent="0.3">
      <c r="F87792" s="193"/>
    </row>
    <row r="87793" spans="6:6" x14ac:dyDescent="0.3">
      <c r="F87793" s="193"/>
    </row>
    <row r="87794" spans="6:6" x14ac:dyDescent="0.3">
      <c r="F87794" s="193"/>
    </row>
    <row r="87795" spans="6:6" x14ac:dyDescent="0.3">
      <c r="F87795" s="193"/>
    </row>
    <row r="87796" spans="6:6" x14ac:dyDescent="0.3">
      <c r="F87796" s="193"/>
    </row>
    <row r="87797" spans="6:6" x14ac:dyDescent="0.3">
      <c r="F87797" s="193"/>
    </row>
    <row r="87798" spans="6:6" x14ac:dyDescent="0.3">
      <c r="F87798" s="193"/>
    </row>
    <row r="87799" spans="6:6" x14ac:dyDescent="0.3">
      <c r="F87799" s="193"/>
    </row>
    <row r="87800" spans="6:6" x14ac:dyDescent="0.3">
      <c r="F87800" s="193"/>
    </row>
    <row r="87801" spans="6:6" x14ac:dyDescent="0.3">
      <c r="F87801" s="193"/>
    </row>
    <row r="87802" spans="6:6" x14ac:dyDescent="0.3">
      <c r="F87802" s="193"/>
    </row>
    <row r="87803" spans="6:6" x14ac:dyDescent="0.3">
      <c r="F87803" s="193"/>
    </row>
    <row r="87804" spans="6:6" x14ac:dyDescent="0.3">
      <c r="F87804" s="193"/>
    </row>
    <row r="87805" spans="6:6" x14ac:dyDescent="0.3">
      <c r="F87805" s="193"/>
    </row>
    <row r="87806" spans="6:6" x14ac:dyDescent="0.3">
      <c r="F87806" s="193"/>
    </row>
    <row r="87807" spans="6:6" x14ac:dyDescent="0.3">
      <c r="F87807" s="193"/>
    </row>
    <row r="87808" spans="6:6" x14ac:dyDescent="0.3">
      <c r="F87808" s="193"/>
    </row>
    <row r="87809" spans="6:6" x14ac:dyDescent="0.3">
      <c r="F87809" s="193"/>
    </row>
    <row r="87810" spans="6:6" x14ac:dyDescent="0.3">
      <c r="F87810" s="193"/>
    </row>
    <row r="87811" spans="6:6" x14ac:dyDescent="0.3">
      <c r="F87811" s="193"/>
    </row>
    <row r="87812" spans="6:6" x14ac:dyDescent="0.3">
      <c r="F87812" s="193"/>
    </row>
    <row r="87813" spans="6:6" x14ac:dyDescent="0.3">
      <c r="F87813" s="193"/>
    </row>
    <row r="87814" spans="6:6" x14ac:dyDescent="0.3">
      <c r="F87814" s="193"/>
    </row>
    <row r="87815" spans="6:6" x14ac:dyDescent="0.3">
      <c r="F87815" s="193"/>
    </row>
    <row r="87816" spans="6:6" x14ac:dyDescent="0.3">
      <c r="F87816" s="193"/>
    </row>
    <row r="87817" spans="6:6" x14ac:dyDescent="0.3">
      <c r="F87817" s="193"/>
    </row>
    <row r="87818" spans="6:6" x14ac:dyDescent="0.3">
      <c r="F87818" s="193"/>
    </row>
    <row r="87819" spans="6:6" x14ac:dyDescent="0.3">
      <c r="F87819" s="193"/>
    </row>
    <row r="87820" spans="6:6" x14ac:dyDescent="0.3">
      <c r="F87820" s="193"/>
    </row>
    <row r="87821" spans="6:6" x14ac:dyDescent="0.3">
      <c r="F87821" s="193"/>
    </row>
    <row r="87822" spans="6:6" x14ac:dyDescent="0.3">
      <c r="F87822" s="193"/>
    </row>
    <row r="87823" spans="6:6" x14ac:dyDescent="0.3">
      <c r="F87823" s="193"/>
    </row>
    <row r="87824" spans="6:6" x14ac:dyDescent="0.3">
      <c r="F87824" s="193"/>
    </row>
    <row r="87825" spans="6:6" x14ac:dyDescent="0.3">
      <c r="F87825" s="193"/>
    </row>
    <row r="87826" spans="6:6" x14ac:dyDescent="0.3">
      <c r="F87826" s="193"/>
    </row>
    <row r="87827" spans="6:6" x14ac:dyDescent="0.3">
      <c r="F87827" s="193"/>
    </row>
    <row r="87828" spans="6:6" x14ac:dyDescent="0.3">
      <c r="F87828" s="193"/>
    </row>
    <row r="87829" spans="6:6" x14ac:dyDescent="0.3">
      <c r="F87829" s="193"/>
    </row>
    <row r="87830" spans="6:6" x14ac:dyDescent="0.3">
      <c r="F87830" s="193"/>
    </row>
    <row r="87831" spans="6:6" x14ac:dyDescent="0.3">
      <c r="F87831" s="193"/>
    </row>
    <row r="87832" spans="6:6" x14ac:dyDescent="0.3">
      <c r="F87832" s="193"/>
    </row>
    <row r="87833" spans="6:6" x14ac:dyDescent="0.3">
      <c r="F87833" s="193"/>
    </row>
    <row r="87834" spans="6:6" x14ac:dyDescent="0.3">
      <c r="F87834" s="193"/>
    </row>
    <row r="87835" spans="6:6" x14ac:dyDescent="0.3">
      <c r="F87835" s="193"/>
    </row>
    <row r="87836" spans="6:6" x14ac:dyDescent="0.3">
      <c r="F87836" s="193"/>
    </row>
    <row r="87837" spans="6:6" x14ac:dyDescent="0.3">
      <c r="F87837" s="193"/>
    </row>
    <row r="87838" spans="6:6" x14ac:dyDescent="0.3">
      <c r="F87838" s="193"/>
    </row>
    <row r="87839" spans="6:6" x14ac:dyDescent="0.3">
      <c r="F87839" s="193"/>
    </row>
    <row r="87840" spans="6:6" x14ac:dyDescent="0.3">
      <c r="F87840" s="193"/>
    </row>
    <row r="87841" spans="6:6" x14ac:dyDescent="0.3">
      <c r="F87841" s="193"/>
    </row>
    <row r="87842" spans="6:6" x14ac:dyDescent="0.3">
      <c r="F87842" s="193"/>
    </row>
    <row r="87843" spans="6:6" x14ac:dyDescent="0.3">
      <c r="F87843" s="193"/>
    </row>
    <row r="87844" spans="6:6" x14ac:dyDescent="0.3">
      <c r="F87844" s="193"/>
    </row>
    <row r="87845" spans="6:6" x14ac:dyDescent="0.3">
      <c r="F87845" s="193"/>
    </row>
    <row r="87846" spans="6:6" x14ac:dyDescent="0.3">
      <c r="F87846" s="193"/>
    </row>
    <row r="87847" spans="6:6" x14ac:dyDescent="0.3">
      <c r="F87847" s="193"/>
    </row>
    <row r="87848" spans="6:6" x14ac:dyDescent="0.3">
      <c r="F87848" s="193"/>
    </row>
    <row r="87849" spans="6:6" x14ac:dyDescent="0.3">
      <c r="F87849" s="193"/>
    </row>
    <row r="87850" spans="6:6" x14ac:dyDescent="0.3">
      <c r="F87850" s="193"/>
    </row>
    <row r="87851" spans="6:6" x14ac:dyDescent="0.3">
      <c r="F87851" s="193"/>
    </row>
    <row r="87852" spans="6:6" x14ac:dyDescent="0.3">
      <c r="F87852" s="193"/>
    </row>
    <row r="87853" spans="6:6" x14ac:dyDescent="0.3">
      <c r="F87853" s="193"/>
    </row>
    <row r="87854" spans="6:6" x14ac:dyDescent="0.3">
      <c r="F87854" s="193"/>
    </row>
    <row r="87855" spans="6:6" x14ac:dyDescent="0.3">
      <c r="F87855" s="193"/>
    </row>
    <row r="87856" spans="6:6" x14ac:dyDescent="0.3">
      <c r="F87856" s="193"/>
    </row>
    <row r="87857" spans="6:6" x14ac:dyDescent="0.3">
      <c r="F87857" s="193"/>
    </row>
    <row r="87858" spans="6:6" x14ac:dyDescent="0.3">
      <c r="F87858" s="193"/>
    </row>
    <row r="87859" spans="6:6" x14ac:dyDescent="0.3">
      <c r="F87859" s="193"/>
    </row>
    <row r="87860" spans="6:6" x14ac:dyDescent="0.3">
      <c r="F87860" s="193"/>
    </row>
    <row r="87861" spans="6:6" x14ac:dyDescent="0.3">
      <c r="F87861" s="193"/>
    </row>
    <row r="87862" spans="6:6" x14ac:dyDescent="0.3">
      <c r="F87862" s="193"/>
    </row>
    <row r="87863" spans="6:6" x14ac:dyDescent="0.3">
      <c r="F87863" s="193"/>
    </row>
    <row r="87864" spans="6:6" x14ac:dyDescent="0.3">
      <c r="F87864" s="193"/>
    </row>
    <row r="87865" spans="6:6" x14ac:dyDescent="0.3">
      <c r="F87865" s="193"/>
    </row>
    <row r="87866" spans="6:6" x14ac:dyDescent="0.3">
      <c r="F87866" s="193"/>
    </row>
    <row r="87867" spans="6:6" x14ac:dyDescent="0.3">
      <c r="F87867" s="193"/>
    </row>
    <row r="87868" spans="6:6" x14ac:dyDescent="0.3">
      <c r="F87868" s="193"/>
    </row>
    <row r="87869" spans="6:6" x14ac:dyDescent="0.3">
      <c r="F87869" s="193"/>
    </row>
    <row r="87870" spans="6:6" x14ac:dyDescent="0.3">
      <c r="F87870" s="193"/>
    </row>
    <row r="87871" spans="6:6" x14ac:dyDescent="0.3">
      <c r="F87871" s="193"/>
    </row>
    <row r="87872" spans="6:6" x14ac:dyDescent="0.3">
      <c r="F87872" s="193"/>
    </row>
    <row r="87873" spans="6:6" x14ac:dyDescent="0.3">
      <c r="F87873" s="193"/>
    </row>
    <row r="87874" spans="6:6" x14ac:dyDescent="0.3">
      <c r="F87874" s="193"/>
    </row>
    <row r="87875" spans="6:6" x14ac:dyDescent="0.3">
      <c r="F87875" s="193"/>
    </row>
    <row r="87876" spans="6:6" x14ac:dyDescent="0.3">
      <c r="F87876" s="193"/>
    </row>
    <row r="87877" spans="6:6" x14ac:dyDescent="0.3">
      <c r="F87877" s="193"/>
    </row>
    <row r="87878" spans="6:6" x14ac:dyDescent="0.3">
      <c r="F87878" s="193"/>
    </row>
    <row r="87879" spans="6:6" x14ac:dyDescent="0.3">
      <c r="F87879" s="193"/>
    </row>
    <row r="87880" spans="6:6" x14ac:dyDescent="0.3">
      <c r="F87880" s="193"/>
    </row>
    <row r="87881" spans="6:6" x14ac:dyDescent="0.3">
      <c r="F87881" s="193"/>
    </row>
    <row r="87882" spans="6:6" x14ac:dyDescent="0.3">
      <c r="F87882" s="193"/>
    </row>
    <row r="87883" spans="6:6" x14ac:dyDescent="0.3">
      <c r="F87883" s="193"/>
    </row>
    <row r="87884" spans="6:6" x14ac:dyDescent="0.3">
      <c r="F87884" s="193"/>
    </row>
    <row r="87885" spans="6:6" x14ac:dyDescent="0.3">
      <c r="F87885" s="193"/>
    </row>
    <row r="87886" spans="6:6" x14ac:dyDescent="0.3">
      <c r="F87886" s="193"/>
    </row>
    <row r="87887" spans="6:6" x14ac:dyDescent="0.3">
      <c r="F87887" s="193"/>
    </row>
    <row r="87888" spans="6:6" x14ac:dyDescent="0.3">
      <c r="F87888" s="193"/>
    </row>
    <row r="87889" spans="6:6" x14ac:dyDescent="0.3">
      <c r="F87889" s="193"/>
    </row>
    <row r="87890" spans="6:6" x14ac:dyDescent="0.3">
      <c r="F87890" s="193"/>
    </row>
    <row r="87891" spans="6:6" x14ac:dyDescent="0.3">
      <c r="F87891" s="193"/>
    </row>
    <row r="87892" spans="6:6" x14ac:dyDescent="0.3">
      <c r="F87892" s="193"/>
    </row>
    <row r="87893" spans="6:6" x14ac:dyDescent="0.3">
      <c r="F87893" s="193"/>
    </row>
    <row r="87894" spans="6:6" x14ac:dyDescent="0.3">
      <c r="F87894" s="193"/>
    </row>
    <row r="87895" spans="6:6" x14ac:dyDescent="0.3">
      <c r="F87895" s="193"/>
    </row>
    <row r="87896" spans="6:6" x14ac:dyDescent="0.3">
      <c r="F87896" s="193"/>
    </row>
    <row r="87897" spans="6:6" x14ac:dyDescent="0.3">
      <c r="F87897" s="193"/>
    </row>
    <row r="87898" spans="6:6" x14ac:dyDescent="0.3">
      <c r="F87898" s="193"/>
    </row>
    <row r="87899" spans="6:6" x14ac:dyDescent="0.3">
      <c r="F87899" s="193"/>
    </row>
    <row r="87900" spans="6:6" x14ac:dyDescent="0.3">
      <c r="F87900" s="193"/>
    </row>
    <row r="87901" spans="6:6" x14ac:dyDescent="0.3">
      <c r="F87901" s="193"/>
    </row>
    <row r="87902" spans="6:6" x14ac:dyDescent="0.3">
      <c r="F87902" s="193"/>
    </row>
    <row r="87903" spans="6:6" x14ac:dyDescent="0.3">
      <c r="F87903" s="193"/>
    </row>
    <row r="87904" spans="6:6" x14ac:dyDescent="0.3">
      <c r="F87904" s="193"/>
    </row>
    <row r="87905" spans="6:6" x14ac:dyDescent="0.3">
      <c r="F87905" s="193"/>
    </row>
    <row r="87906" spans="6:6" x14ac:dyDescent="0.3">
      <c r="F87906" s="193"/>
    </row>
    <row r="87907" spans="6:6" x14ac:dyDescent="0.3">
      <c r="F87907" s="193"/>
    </row>
    <row r="87908" spans="6:6" x14ac:dyDescent="0.3">
      <c r="F87908" s="193"/>
    </row>
    <row r="87909" spans="6:6" x14ac:dyDescent="0.3">
      <c r="F87909" s="193"/>
    </row>
    <row r="87910" spans="6:6" x14ac:dyDescent="0.3">
      <c r="F87910" s="193"/>
    </row>
    <row r="87911" spans="6:6" x14ac:dyDescent="0.3">
      <c r="F87911" s="193"/>
    </row>
    <row r="87912" spans="6:6" x14ac:dyDescent="0.3">
      <c r="F87912" s="193"/>
    </row>
    <row r="87913" spans="6:6" x14ac:dyDescent="0.3">
      <c r="F87913" s="193"/>
    </row>
    <row r="87914" spans="6:6" x14ac:dyDescent="0.3">
      <c r="F87914" s="193"/>
    </row>
    <row r="87915" spans="6:6" x14ac:dyDescent="0.3">
      <c r="F87915" s="193"/>
    </row>
    <row r="87916" spans="6:6" x14ac:dyDescent="0.3">
      <c r="F87916" s="193"/>
    </row>
    <row r="87917" spans="6:6" x14ac:dyDescent="0.3">
      <c r="F87917" s="193"/>
    </row>
    <row r="87918" spans="6:6" x14ac:dyDescent="0.3">
      <c r="F87918" s="193"/>
    </row>
    <row r="87919" spans="6:6" x14ac:dyDescent="0.3">
      <c r="F87919" s="193"/>
    </row>
    <row r="87920" spans="6:6" x14ac:dyDescent="0.3">
      <c r="F87920" s="193"/>
    </row>
    <row r="87921" spans="6:6" x14ac:dyDescent="0.3">
      <c r="F87921" s="193"/>
    </row>
    <row r="87922" spans="6:6" x14ac:dyDescent="0.3">
      <c r="F87922" s="193"/>
    </row>
    <row r="87923" spans="6:6" x14ac:dyDescent="0.3">
      <c r="F87923" s="193"/>
    </row>
    <row r="87924" spans="6:6" x14ac:dyDescent="0.3">
      <c r="F87924" s="193"/>
    </row>
    <row r="87925" spans="6:6" x14ac:dyDescent="0.3">
      <c r="F87925" s="193"/>
    </row>
    <row r="87926" spans="6:6" x14ac:dyDescent="0.3">
      <c r="F87926" s="193"/>
    </row>
    <row r="87927" spans="6:6" x14ac:dyDescent="0.3">
      <c r="F87927" s="193"/>
    </row>
    <row r="87928" spans="6:6" x14ac:dyDescent="0.3">
      <c r="F87928" s="193"/>
    </row>
    <row r="87929" spans="6:6" x14ac:dyDescent="0.3">
      <c r="F87929" s="193"/>
    </row>
    <row r="87930" spans="6:6" x14ac:dyDescent="0.3">
      <c r="F87930" s="193"/>
    </row>
    <row r="87931" spans="6:6" x14ac:dyDescent="0.3">
      <c r="F87931" s="193"/>
    </row>
    <row r="87932" spans="6:6" x14ac:dyDescent="0.3">
      <c r="F87932" s="193"/>
    </row>
    <row r="87933" spans="6:6" x14ac:dyDescent="0.3">
      <c r="F87933" s="193"/>
    </row>
    <row r="87934" spans="6:6" x14ac:dyDescent="0.3">
      <c r="F87934" s="193"/>
    </row>
    <row r="87935" spans="6:6" x14ac:dyDescent="0.3">
      <c r="F87935" s="193"/>
    </row>
    <row r="87936" spans="6:6" x14ac:dyDescent="0.3">
      <c r="F87936" s="193"/>
    </row>
    <row r="87937" spans="6:6" x14ac:dyDescent="0.3">
      <c r="F87937" s="193"/>
    </row>
    <row r="87938" spans="6:6" x14ac:dyDescent="0.3">
      <c r="F87938" s="193"/>
    </row>
    <row r="87939" spans="6:6" x14ac:dyDescent="0.3">
      <c r="F87939" s="193"/>
    </row>
    <row r="87940" spans="6:6" x14ac:dyDescent="0.3">
      <c r="F87940" s="193"/>
    </row>
    <row r="87941" spans="6:6" x14ac:dyDescent="0.3">
      <c r="F87941" s="193"/>
    </row>
    <row r="87942" spans="6:6" x14ac:dyDescent="0.3">
      <c r="F87942" s="193"/>
    </row>
    <row r="87943" spans="6:6" x14ac:dyDescent="0.3">
      <c r="F87943" s="193"/>
    </row>
    <row r="87944" spans="6:6" x14ac:dyDescent="0.3">
      <c r="F87944" s="193"/>
    </row>
    <row r="87945" spans="6:6" x14ac:dyDescent="0.3">
      <c r="F87945" s="193"/>
    </row>
    <row r="87946" spans="6:6" x14ac:dyDescent="0.3">
      <c r="F87946" s="193"/>
    </row>
    <row r="87947" spans="6:6" x14ac:dyDescent="0.3">
      <c r="F87947" s="193"/>
    </row>
    <row r="87948" spans="6:6" x14ac:dyDescent="0.3">
      <c r="F87948" s="193"/>
    </row>
    <row r="87949" spans="6:6" x14ac:dyDescent="0.3">
      <c r="F87949" s="193"/>
    </row>
    <row r="87950" spans="6:6" x14ac:dyDescent="0.3">
      <c r="F87950" s="193"/>
    </row>
    <row r="87951" spans="6:6" x14ac:dyDescent="0.3">
      <c r="F87951" s="193"/>
    </row>
    <row r="87952" spans="6:6" x14ac:dyDescent="0.3">
      <c r="F87952" s="193"/>
    </row>
    <row r="87953" spans="6:6" x14ac:dyDescent="0.3">
      <c r="F87953" s="193"/>
    </row>
    <row r="87954" spans="6:6" x14ac:dyDescent="0.3">
      <c r="F87954" s="193"/>
    </row>
    <row r="87955" spans="6:6" x14ac:dyDescent="0.3">
      <c r="F87955" s="193"/>
    </row>
    <row r="87956" spans="6:6" x14ac:dyDescent="0.3">
      <c r="F87956" s="193"/>
    </row>
    <row r="87957" spans="6:6" x14ac:dyDescent="0.3">
      <c r="F87957" s="193"/>
    </row>
    <row r="87958" spans="6:6" x14ac:dyDescent="0.3">
      <c r="F87958" s="193"/>
    </row>
    <row r="87959" spans="6:6" x14ac:dyDescent="0.3">
      <c r="F87959" s="193"/>
    </row>
    <row r="87960" spans="6:6" x14ac:dyDescent="0.3">
      <c r="F87960" s="193"/>
    </row>
    <row r="87961" spans="6:6" x14ac:dyDescent="0.3">
      <c r="F87961" s="193"/>
    </row>
    <row r="87962" spans="6:6" x14ac:dyDescent="0.3">
      <c r="F87962" s="193"/>
    </row>
    <row r="87963" spans="6:6" x14ac:dyDescent="0.3">
      <c r="F87963" s="193"/>
    </row>
    <row r="87964" spans="6:6" x14ac:dyDescent="0.3">
      <c r="F87964" s="193"/>
    </row>
    <row r="87965" spans="6:6" x14ac:dyDescent="0.3">
      <c r="F87965" s="193"/>
    </row>
    <row r="87966" spans="6:6" x14ac:dyDescent="0.3">
      <c r="F87966" s="193"/>
    </row>
    <row r="87967" spans="6:6" x14ac:dyDescent="0.3">
      <c r="F87967" s="193"/>
    </row>
    <row r="87968" spans="6:6" x14ac:dyDescent="0.3">
      <c r="F87968" s="193"/>
    </row>
    <row r="87969" spans="6:6" x14ac:dyDescent="0.3">
      <c r="F87969" s="193"/>
    </row>
    <row r="87970" spans="6:6" x14ac:dyDescent="0.3">
      <c r="F87970" s="193"/>
    </row>
    <row r="87971" spans="6:6" x14ac:dyDescent="0.3">
      <c r="F87971" s="193"/>
    </row>
    <row r="87972" spans="6:6" x14ac:dyDescent="0.3">
      <c r="F87972" s="193"/>
    </row>
    <row r="87973" spans="6:6" x14ac:dyDescent="0.3">
      <c r="F87973" s="193"/>
    </row>
    <row r="87974" spans="6:6" x14ac:dyDescent="0.3">
      <c r="F87974" s="193"/>
    </row>
    <row r="87975" spans="6:6" x14ac:dyDescent="0.3">
      <c r="F87975" s="193"/>
    </row>
    <row r="87976" spans="6:6" x14ac:dyDescent="0.3">
      <c r="F87976" s="193"/>
    </row>
    <row r="87977" spans="6:6" x14ac:dyDescent="0.3">
      <c r="F87977" s="193"/>
    </row>
    <row r="87978" spans="6:6" x14ac:dyDescent="0.3">
      <c r="F87978" s="193"/>
    </row>
    <row r="87979" spans="6:6" x14ac:dyDescent="0.3">
      <c r="F87979" s="193"/>
    </row>
    <row r="87980" spans="6:6" x14ac:dyDescent="0.3">
      <c r="F87980" s="193"/>
    </row>
    <row r="87981" spans="6:6" x14ac:dyDescent="0.3">
      <c r="F87981" s="193"/>
    </row>
    <row r="87982" spans="6:6" x14ac:dyDescent="0.3">
      <c r="F87982" s="193"/>
    </row>
    <row r="87983" spans="6:6" x14ac:dyDescent="0.3">
      <c r="F87983" s="193"/>
    </row>
    <row r="87984" spans="6:6" x14ac:dyDescent="0.3">
      <c r="F87984" s="193"/>
    </row>
    <row r="87985" spans="6:6" x14ac:dyDescent="0.3">
      <c r="F87985" s="193"/>
    </row>
    <row r="87986" spans="6:6" x14ac:dyDescent="0.3">
      <c r="F87986" s="193"/>
    </row>
    <row r="87987" spans="6:6" x14ac:dyDescent="0.3">
      <c r="F87987" s="193"/>
    </row>
    <row r="87988" spans="6:6" x14ac:dyDescent="0.3">
      <c r="F87988" s="193"/>
    </row>
    <row r="87989" spans="6:6" x14ac:dyDescent="0.3">
      <c r="F87989" s="193"/>
    </row>
    <row r="87990" spans="6:6" x14ac:dyDescent="0.3">
      <c r="F87990" s="193"/>
    </row>
    <row r="87991" spans="6:6" x14ac:dyDescent="0.3">
      <c r="F87991" s="193"/>
    </row>
    <row r="87992" spans="6:6" x14ac:dyDescent="0.3">
      <c r="F87992" s="193"/>
    </row>
    <row r="87993" spans="6:6" x14ac:dyDescent="0.3">
      <c r="F87993" s="193"/>
    </row>
    <row r="87994" spans="6:6" x14ac:dyDescent="0.3">
      <c r="F87994" s="193"/>
    </row>
    <row r="87995" spans="6:6" x14ac:dyDescent="0.3">
      <c r="F87995" s="193"/>
    </row>
    <row r="87996" spans="6:6" x14ac:dyDescent="0.3">
      <c r="F87996" s="193"/>
    </row>
    <row r="87997" spans="6:6" x14ac:dyDescent="0.3">
      <c r="F87997" s="193"/>
    </row>
    <row r="87998" spans="6:6" x14ac:dyDescent="0.3">
      <c r="F87998" s="193"/>
    </row>
    <row r="87999" spans="6:6" x14ac:dyDescent="0.3">
      <c r="F87999" s="193"/>
    </row>
    <row r="88000" spans="6:6" x14ac:dyDescent="0.3">
      <c r="F88000" s="193"/>
    </row>
    <row r="88001" spans="6:6" x14ac:dyDescent="0.3">
      <c r="F88001" s="193"/>
    </row>
    <row r="88002" spans="6:6" x14ac:dyDescent="0.3">
      <c r="F88002" s="193"/>
    </row>
    <row r="88003" spans="6:6" x14ac:dyDescent="0.3">
      <c r="F88003" s="193"/>
    </row>
    <row r="88004" spans="6:6" x14ac:dyDescent="0.3">
      <c r="F88004" s="193"/>
    </row>
    <row r="88005" spans="6:6" x14ac:dyDescent="0.3">
      <c r="F88005" s="193"/>
    </row>
    <row r="88006" spans="6:6" x14ac:dyDescent="0.3">
      <c r="F88006" s="193"/>
    </row>
    <row r="88007" spans="6:6" x14ac:dyDescent="0.3">
      <c r="F88007" s="193"/>
    </row>
    <row r="88008" spans="6:6" x14ac:dyDescent="0.3">
      <c r="F88008" s="193"/>
    </row>
    <row r="88009" spans="6:6" x14ac:dyDescent="0.3">
      <c r="F88009" s="193"/>
    </row>
    <row r="88010" spans="6:6" x14ac:dyDescent="0.3">
      <c r="F88010" s="193"/>
    </row>
    <row r="88011" spans="6:6" x14ac:dyDescent="0.3">
      <c r="F88011" s="193"/>
    </row>
    <row r="88012" spans="6:6" x14ac:dyDescent="0.3">
      <c r="F88012" s="193"/>
    </row>
    <row r="88013" spans="6:6" x14ac:dyDescent="0.3">
      <c r="F88013" s="193"/>
    </row>
    <row r="88014" spans="6:6" x14ac:dyDescent="0.3">
      <c r="F88014" s="193"/>
    </row>
    <row r="88015" spans="6:6" x14ac:dyDescent="0.3">
      <c r="F88015" s="193"/>
    </row>
    <row r="88016" spans="6:6" x14ac:dyDescent="0.3">
      <c r="F88016" s="193"/>
    </row>
    <row r="88017" spans="6:6" x14ac:dyDescent="0.3">
      <c r="F88017" s="193"/>
    </row>
    <row r="88018" spans="6:6" x14ac:dyDescent="0.3">
      <c r="F88018" s="193"/>
    </row>
    <row r="88019" spans="6:6" x14ac:dyDescent="0.3">
      <c r="F88019" s="193"/>
    </row>
    <row r="88020" spans="6:6" x14ac:dyDescent="0.3">
      <c r="F88020" s="193"/>
    </row>
    <row r="88021" spans="6:6" x14ac:dyDescent="0.3">
      <c r="F88021" s="193"/>
    </row>
    <row r="88022" spans="6:6" x14ac:dyDescent="0.3">
      <c r="F88022" s="193"/>
    </row>
    <row r="88023" spans="6:6" x14ac:dyDescent="0.3">
      <c r="F88023" s="193"/>
    </row>
    <row r="88024" spans="6:6" x14ac:dyDescent="0.3">
      <c r="F88024" s="193"/>
    </row>
    <row r="88025" spans="6:6" x14ac:dyDescent="0.3">
      <c r="F88025" s="193"/>
    </row>
    <row r="88026" spans="6:6" x14ac:dyDescent="0.3">
      <c r="F88026" s="193"/>
    </row>
    <row r="88027" spans="6:6" x14ac:dyDescent="0.3">
      <c r="F88027" s="193"/>
    </row>
    <row r="88028" spans="6:6" x14ac:dyDescent="0.3">
      <c r="F88028" s="193"/>
    </row>
    <row r="88029" spans="6:6" x14ac:dyDescent="0.3">
      <c r="F88029" s="193"/>
    </row>
    <row r="88030" spans="6:6" x14ac:dyDescent="0.3">
      <c r="F88030" s="193"/>
    </row>
    <row r="88031" spans="6:6" x14ac:dyDescent="0.3">
      <c r="F88031" s="193"/>
    </row>
    <row r="88032" spans="6:6" x14ac:dyDescent="0.3">
      <c r="F88032" s="193"/>
    </row>
    <row r="88033" spans="6:6" x14ac:dyDescent="0.3">
      <c r="F88033" s="193"/>
    </row>
    <row r="88034" spans="6:6" x14ac:dyDescent="0.3">
      <c r="F88034" s="193"/>
    </row>
    <row r="88035" spans="6:6" x14ac:dyDescent="0.3">
      <c r="F88035" s="193"/>
    </row>
    <row r="88036" spans="6:6" x14ac:dyDescent="0.3">
      <c r="F88036" s="193"/>
    </row>
    <row r="88037" spans="6:6" x14ac:dyDescent="0.3">
      <c r="F88037" s="193"/>
    </row>
    <row r="88038" spans="6:6" x14ac:dyDescent="0.3">
      <c r="F88038" s="193"/>
    </row>
    <row r="88039" spans="6:6" x14ac:dyDescent="0.3">
      <c r="F88039" s="193"/>
    </row>
    <row r="88040" spans="6:6" x14ac:dyDescent="0.3">
      <c r="F88040" s="193"/>
    </row>
    <row r="88041" spans="6:6" x14ac:dyDescent="0.3">
      <c r="F88041" s="193"/>
    </row>
    <row r="88042" spans="6:6" x14ac:dyDescent="0.3">
      <c r="F88042" s="193"/>
    </row>
    <row r="88043" spans="6:6" x14ac:dyDescent="0.3">
      <c r="F88043" s="193"/>
    </row>
    <row r="88044" spans="6:6" x14ac:dyDescent="0.3">
      <c r="F88044" s="193"/>
    </row>
    <row r="88045" spans="6:6" x14ac:dyDescent="0.3">
      <c r="F88045" s="193"/>
    </row>
    <row r="88046" spans="6:6" x14ac:dyDescent="0.3">
      <c r="F88046" s="193"/>
    </row>
    <row r="88047" spans="6:6" x14ac:dyDescent="0.3">
      <c r="F88047" s="193"/>
    </row>
    <row r="88048" spans="6:6" x14ac:dyDescent="0.3">
      <c r="F88048" s="193"/>
    </row>
    <row r="88049" spans="6:6" x14ac:dyDescent="0.3">
      <c r="F88049" s="193"/>
    </row>
    <row r="88050" spans="6:6" x14ac:dyDescent="0.3">
      <c r="F88050" s="193"/>
    </row>
    <row r="88051" spans="6:6" x14ac:dyDescent="0.3">
      <c r="F88051" s="193"/>
    </row>
    <row r="88052" spans="6:6" x14ac:dyDescent="0.3">
      <c r="F88052" s="193"/>
    </row>
    <row r="88053" spans="6:6" x14ac:dyDescent="0.3">
      <c r="F88053" s="193"/>
    </row>
    <row r="88054" spans="6:6" x14ac:dyDescent="0.3">
      <c r="F88054" s="193"/>
    </row>
    <row r="88055" spans="6:6" x14ac:dyDescent="0.3">
      <c r="F88055" s="193"/>
    </row>
    <row r="88056" spans="6:6" x14ac:dyDescent="0.3">
      <c r="F88056" s="193"/>
    </row>
    <row r="88057" spans="6:6" x14ac:dyDescent="0.3">
      <c r="F88057" s="193"/>
    </row>
    <row r="88058" spans="6:6" x14ac:dyDescent="0.3">
      <c r="F88058" s="193"/>
    </row>
    <row r="88059" spans="6:6" x14ac:dyDescent="0.3">
      <c r="F88059" s="193"/>
    </row>
    <row r="88060" spans="6:6" x14ac:dyDescent="0.3">
      <c r="F88060" s="193"/>
    </row>
    <row r="88061" spans="6:6" x14ac:dyDescent="0.3">
      <c r="F88061" s="193"/>
    </row>
    <row r="88062" spans="6:6" x14ac:dyDescent="0.3">
      <c r="F88062" s="193"/>
    </row>
    <row r="88063" spans="6:6" x14ac:dyDescent="0.3">
      <c r="F88063" s="193"/>
    </row>
    <row r="88064" spans="6:6" x14ac:dyDescent="0.3">
      <c r="F88064" s="193"/>
    </row>
    <row r="88065" spans="6:6" x14ac:dyDescent="0.3">
      <c r="F88065" s="193"/>
    </row>
    <row r="88066" spans="6:6" x14ac:dyDescent="0.3">
      <c r="F88066" s="193"/>
    </row>
    <row r="88067" spans="6:6" x14ac:dyDescent="0.3">
      <c r="F88067" s="193"/>
    </row>
    <row r="88068" spans="6:6" x14ac:dyDescent="0.3">
      <c r="F88068" s="193"/>
    </row>
    <row r="88069" spans="6:6" x14ac:dyDescent="0.3">
      <c r="F88069" s="193"/>
    </row>
    <row r="88070" spans="6:6" x14ac:dyDescent="0.3">
      <c r="F88070" s="193"/>
    </row>
    <row r="88071" spans="6:6" x14ac:dyDescent="0.3">
      <c r="F88071" s="193"/>
    </row>
    <row r="88072" spans="6:6" x14ac:dyDescent="0.3">
      <c r="F88072" s="193"/>
    </row>
    <row r="88073" spans="6:6" x14ac:dyDescent="0.3">
      <c r="F88073" s="193"/>
    </row>
    <row r="88074" spans="6:6" x14ac:dyDescent="0.3">
      <c r="F88074" s="193"/>
    </row>
    <row r="88075" spans="6:6" x14ac:dyDescent="0.3">
      <c r="F88075" s="193"/>
    </row>
    <row r="88076" spans="6:6" x14ac:dyDescent="0.3">
      <c r="F88076" s="193"/>
    </row>
    <row r="88077" spans="6:6" x14ac:dyDescent="0.3">
      <c r="F88077" s="193"/>
    </row>
    <row r="88078" spans="6:6" x14ac:dyDescent="0.3">
      <c r="F88078" s="193"/>
    </row>
    <row r="88079" spans="6:6" x14ac:dyDescent="0.3">
      <c r="F88079" s="193"/>
    </row>
    <row r="88080" spans="6:6" x14ac:dyDescent="0.3">
      <c r="F88080" s="193"/>
    </row>
    <row r="88081" spans="6:6" x14ac:dyDescent="0.3">
      <c r="F88081" s="193"/>
    </row>
    <row r="88082" spans="6:6" x14ac:dyDescent="0.3">
      <c r="F88082" s="193"/>
    </row>
    <row r="88083" spans="6:6" x14ac:dyDescent="0.3">
      <c r="F88083" s="193"/>
    </row>
    <row r="88084" spans="6:6" x14ac:dyDescent="0.3">
      <c r="F88084" s="193"/>
    </row>
    <row r="88085" spans="6:6" x14ac:dyDescent="0.3">
      <c r="F88085" s="193"/>
    </row>
    <row r="88086" spans="6:6" x14ac:dyDescent="0.3">
      <c r="F88086" s="193"/>
    </row>
    <row r="88087" spans="6:6" x14ac:dyDescent="0.3">
      <c r="F88087" s="193"/>
    </row>
    <row r="88088" spans="6:6" x14ac:dyDescent="0.3">
      <c r="F88088" s="193"/>
    </row>
    <row r="88089" spans="6:6" x14ac:dyDescent="0.3">
      <c r="F88089" s="193"/>
    </row>
    <row r="88090" spans="6:6" x14ac:dyDescent="0.3">
      <c r="F88090" s="193"/>
    </row>
    <row r="88091" spans="6:6" x14ac:dyDescent="0.3">
      <c r="F88091" s="193"/>
    </row>
    <row r="88092" spans="6:6" x14ac:dyDescent="0.3">
      <c r="F88092" s="193"/>
    </row>
    <row r="88093" spans="6:6" x14ac:dyDescent="0.3">
      <c r="F88093" s="193"/>
    </row>
    <row r="88094" spans="6:6" x14ac:dyDescent="0.3">
      <c r="F88094" s="193"/>
    </row>
    <row r="88095" spans="6:6" x14ac:dyDescent="0.3">
      <c r="F88095" s="193"/>
    </row>
    <row r="88096" spans="6:6" x14ac:dyDescent="0.3">
      <c r="F88096" s="193"/>
    </row>
    <row r="88097" spans="6:6" x14ac:dyDescent="0.3">
      <c r="F88097" s="193"/>
    </row>
    <row r="88098" spans="6:6" x14ac:dyDescent="0.3">
      <c r="F88098" s="193"/>
    </row>
    <row r="88099" spans="6:6" x14ac:dyDescent="0.3">
      <c r="F88099" s="193"/>
    </row>
    <row r="88100" spans="6:6" x14ac:dyDescent="0.3">
      <c r="F88100" s="193"/>
    </row>
    <row r="88101" spans="6:6" x14ac:dyDescent="0.3">
      <c r="F88101" s="193"/>
    </row>
    <row r="88102" spans="6:6" x14ac:dyDescent="0.3">
      <c r="F88102" s="193"/>
    </row>
    <row r="88103" spans="6:6" x14ac:dyDescent="0.3">
      <c r="F88103" s="193"/>
    </row>
    <row r="88104" spans="6:6" x14ac:dyDescent="0.3">
      <c r="F88104" s="193"/>
    </row>
    <row r="88105" spans="6:6" x14ac:dyDescent="0.3">
      <c r="F88105" s="193"/>
    </row>
    <row r="88106" spans="6:6" x14ac:dyDescent="0.3">
      <c r="F88106" s="193"/>
    </row>
    <row r="88107" spans="6:6" x14ac:dyDescent="0.3">
      <c r="F88107" s="193"/>
    </row>
    <row r="88108" spans="6:6" x14ac:dyDescent="0.3">
      <c r="F88108" s="193"/>
    </row>
    <row r="88109" spans="6:6" x14ac:dyDescent="0.3">
      <c r="F88109" s="193"/>
    </row>
    <row r="88110" spans="6:6" x14ac:dyDescent="0.3">
      <c r="F88110" s="193"/>
    </row>
    <row r="88111" spans="6:6" x14ac:dyDescent="0.3">
      <c r="F88111" s="193"/>
    </row>
    <row r="88112" spans="6:6" x14ac:dyDescent="0.3">
      <c r="F88112" s="193"/>
    </row>
    <row r="88113" spans="6:6" x14ac:dyDescent="0.3">
      <c r="F88113" s="193"/>
    </row>
    <row r="88114" spans="6:6" x14ac:dyDescent="0.3">
      <c r="F88114" s="193"/>
    </row>
    <row r="88115" spans="6:6" x14ac:dyDescent="0.3">
      <c r="F88115" s="193"/>
    </row>
    <row r="88116" spans="6:6" x14ac:dyDescent="0.3">
      <c r="F88116" s="193"/>
    </row>
    <row r="88117" spans="6:6" x14ac:dyDescent="0.3">
      <c r="F88117" s="193"/>
    </row>
    <row r="88118" spans="6:6" x14ac:dyDescent="0.3">
      <c r="F88118" s="193"/>
    </row>
    <row r="88119" spans="6:6" x14ac:dyDescent="0.3">
      <c r="F88119" s="193"/>
    </row>
    <row r="88120" spans="6:6" x14ac:dyDescent="0.3">
      <c r="F88120" s="193"/>
    </row>
    <row r="88121" spans="6:6" x14ac:dyDescent="0.3">
      <c r="F88121" s="193"/>
    </row>
    <row r="88122" spans="6:6" x14ac:dyDescent="0.3">
      <c r="F88122" s="193"/>
    </row>
    <row r="88123" spans="6:6" x14ac:dyDescent="0.3">
      <c r="F88123" s="193"/>
    </row>
    <row r="88124" spans="6:6" x14ac:dyDescent="0.3">
      <c r="F88124" s="193"/>
    </row>
    <row r="88125" spans="6:6" x14ac:dyDescent="0.3">
      <c r="F88125" s="193"/>
    </row>
    <row r="88126" spans="6:6" x14ac:dyDescent="0.3">
      <c r="F88126" s="193"/>
    </row>
    <row r="88127" spans="6:6" x14ac:dyDescent="0.3">
      <c r="F88127" s="193"/>
    </row>
    <row r="88128" spans="6:6" x14ac:dyDescent="0.3">
      <c r="F88128" s="193"/>
    </row>
    <row r="88129" spans="6:6" x14ac:dyDescent="0.3">
      <c r="F88129" s="193"/>
    </row>
    <row r="88130" spans="6:6" x14ac:dyDescent="0.3">
      <c r="F88130" s="193"/>
    </row>
    <row r="88131" spans="6:6" x14ac:dyDescent="0.3">
      <c r="F88131" s="193"/>
    </row>
    <row r="88132" spans="6:6" x14ac:dyDescent="0.3">
      <c r="F88132" s="193"/>
    </row>
    <row r="88133" spans="6:6" x14ac:dyDescent="0.3">
      <c r="F88133" s="193"/>
    </row>
    <row r="88134" spans="6:6" x14ac:dyDescent="0.3">
      <c r="F88134" s="193"/>
    </row>
    <row r="88135" spans="6:6" x14ac:dyDescent="0.3">
      <c r="F88135" s="193"/>
    </row>
    <row r="88136" spans="6:6" x14ac:dyDescent="0.3">
      <c r="F88136" s="193"/>
    </row>
    <row r="88137" spans="6:6" x14ac:dyDescent="0.3">
      <c r="F88137" s="193"/>
    </row>
    <row r="88138" spans="6:6" x14ac:dyDescent="0.3">
      <c r="F88138" s="193"/>
    </row>
    <row r="88139" spans="6:6" x14ac:dyDescent="0.3">
      <c r="F88139" s="193"/>
    </row>
    <row r="88140" spans="6:6" x14ac:dyDescent="0.3">
      <c r="F88140" s="193"/>
    </row>
    <row r="88141" spans="6:6" x14ac:dyDescent="0.3">
      <c r="F88141" s="193"/>
    </row>
    <row r="88142" spans="6:6" x14ac:dyDescent="0.3">
      <c r="F88142" s="193"/>
    </row>
    <row r="88143" spans="6:6" x14ac:dyDescent="0.3">
      <c r="F88143" s="193"/>
    </row>
    <row r="88144" spans="6:6" x14ac:dyDescent="0.3">
      <c r="F88144" s="193"/>
    </row>
    <row r="88145" spans="6:6" x14ac:dyDescent="0.3">
      <c r="F88145" s="193"/>
    </row>
    <row r="88146" spans="6:6" x14ac:dyDescent="0.3">
      <c r="F88146" s="193"/>
    </row>
    <row r="88147" spans="6:6" x14ac:dyDescent="0.3">
      <c r="F88147" s="193"/>
    </row>
    <row r="88148" spans="6:6" x14ac:dyDescent="0.3">
      <c r="F88148" s="193"/>
    </row>
    <row r="88149" spans="6:6" x14ac:dyDescent="0.3">
      <c r="F88149" s="193"/>
    </row>
    <row r="88150" spans="6:6" x14ac:dyDescent="0.3">
      <c r="F88150" s="193"/>
    </row>
    <row r="88151" spans="6:6" x14ac:dyDescent="0.3">
      <c r="F88151" s="193"/>
    </row>
    <row r="88152" spans="6:6" x14ac:dyDescent="0.3">
      <c r="F88152" s="193"/>
    </row>
    <row r="88153" spans="6:6" x14ac:dyDescent="0.3">
      <c r="F88153" s="193"/>
    </row>
    <row r="88154" spans="6:6" x14ac:dyDescent="0.3">
      <c r="F88154" s="193"/>
    </row>
    <row r="88155" spans="6:6" x14ac:dyDescent="0.3">
      <c r="F88155" s="193"/>
    </row>
    <row r="88156" spans="6:6" x14ac:dyDescent="0.3">
      <c r="F88156" s="193"/>
    </row>
    <row r="88157" spans="6:6" x14ac:dyDescent="0.3">
      <c r="F88157" s="193"/>
    </row>
    <row r="88158" spans="6:6" x14ac:dyDescent="0.3">
      <c r="F88158" s="193"/>
    </row>
    <row r="88159" spans="6:6" x14ac:dyDescent="0.3">
      <c r="F88159" s="193"/>
    </row>
    <row r="88160" spans="6:6" x14ac:dyDescent="0.3">
      <c r="F88160" s="193"/>
    </row>
    <row r="88161" spans="6:6" x14ac:dyDescent="0.3">
      <c r="F88161" s="193"/>
    </row>
    <row r="88162" spans="6:6" x14ac:dyDescent="0.3">
      <c r="F88162" s="193"/>
    </row>
    <row r="88163" spans="6:6" x14ac:dyDescent="0.3">
      <c r="F88163" s="193"/>
    </row>
    <row r="88164" spans="6:6" x14ac:dyDescent="0.3">
      <c r="F88164" s="193"/>
    </row>
    <row r="88165" spans="6:6" x14ac:dyDescent="0.3">
      <c r="F88165" s="193"/>
    </row>
    <row r="88166" spans="6:6" x14ac:dyDescent="0.3">
      <c r="F88166" s="193"/>
    </row>
    <row r="88167" spans="6:6" x14ac:dyDescent="0.3">
      <c r="F88167" s="193"/>
    </row>
    <row r="88168" spans="6:6" x14ac:dyDescent="0.3">
      <c r="F88168" s="193"/>
    </row>
    <row r="88169" spans="6:6" x14ac:dyDescent="0.3">
      <c r="F88169" s="193"/>
    </row>
    <row r="88170" spans="6:6" x14ac:dyDescent="0.3">
      <c r="F88170" s="193"/>
    </row>
    <row r="88171" spans="6:6" x14ac:dyDescent="0.3">
      <c r="F88171" s="193"/>
    </row>
    <row r="88172" spans="6:6" x14ac:dyDescent="0.3">
      <c r="F88172" s="193"/>
    </row>
    <row r="88173" spans="6:6" x14ac:dyDescent="0.3">
      <c r="F88173" s="193"/>
    </row>
    <row r="88174" spans="6:6" x14ac:dyDescent="0.3">
      <c r="F88174" s="193"/>
    </row>
    <row r="88175" spans="6:6" x14ac:dyDescent="0.3">
      <c r="F88175" s="193"/>
    </row>
    <row r="88176" spans="6:6" x14ac:dyDescent="0.3">
      <c r="F88176" s="193"/>
    </row>
    <row r="88177" spans="6:6" x14ac:dyDescent="0.3">
      <c r="F88177" s="193"/>
    </row>
    <row r="88178" spans="6:6" x14ac:dyDescent="0.3">
      <c r="F88178" s="193"/>
    </row>
    <row r="88179" spans="6:6" x14ac:dyDescent="0.3">
      <c r="F88179" s="193"/>
    </row>
    <row r="88180" spans="6:6" x14ac:dyDescent="0.3">
      <c r="F88180" s="193"/>
    </row>
    <row r="88181" spans="6:6" x14ac:dyDescent="0.3">
      <c r="F88181" s="193"/>
    </row>
    <row r="88182" spans="6:6" x14ac:dyDescent="0.3">
      <c r="F88182" s="193"/>
    </row>
    <row r="88183" spans="6:6" x14ac:dyDescent="0.3">
      <c r="F88183" s="193"/>
    </row>
    <row r="88184" spans="6:6" x14ac:dyDescent="0.3">
      <c r="F88184" s="193"/>
    </row>
    <row r="88185" spans="6:6" x14ac:dyDescent="0.3">
      <c r="F88185" s="193"/>
    </row>
    <row r="88186" spans="6:6" x14ac:dyDescent="0.3">
      <c r="F88186" s="193"/>
    </row>
    <row r="88187" spans="6:6" x14ac:dyDescent="0.3">
      <c r="F88187" s="193"/>
    </row>
    <row r="88188" spans="6:6" x14ac:dyDescent="0.3">
      <c r="F88188" s="193"/>
    </row>
    <row r="88189" spans="6:6" x14ac:dyDescent="0.3">
      <c r="F88189" s="193"/>
    </row>
    <row r="88190" spans="6:6" x14ac:dyDescent="0.3">
      <c r="F88190" s="193"/>
    </row>
    <row r="88191" spans="6:6" x14ac:dyDescent="0.3">
      <c r="F88191" s="193"/>
    </row>
    <row r="88192" spans="6:6" x14ac:dyDescent="0.3">
      <c r="F88192" s="193"/>
    </row>
    <row r="88193" spans="6:6" x14ac:dyDescent="0.3">
      <c r="F88193" s="193"/>
    </row>
    <row r="88194" spans="6:6" x14ac:dyDescent="0.3">
      <c r="F88194" s="193"/>
    </row>
    <row r="88195" spans="6:6" x14ac:dyDescent="0.3">
      <c r="F88195" s="193"/>
    </row>
    <row r="88196" spans="6:6" x14ac:dyDescent="0.3">
      <c r="F88196" s="193"/>
    </row>
    <row r="88197" spans="6:6" x14ac:dyDescent="0.3">
      <c r="F88197" s="193"/>
    </row>
    <row r="88198" spans="6:6" x14ac:dyDescent="0.3">
      <c r="F88198" s="193"/>
    </row>
    <row r="88199" spans="6:6" x14ac:dyDescent="0.3">
      <c r="F88199" s="193"/>
    </row>
    <row r="88200" spans="6:6" x14ac:dyDescent="0.3">
      <c r="F88200" s="193"/>
    </row>
    <row r="88201" spans="6:6" x14ac:dyDescent="0.3">
      <c r="F88201" s="193"/>
    </row>
    <row r="88202" spans="6:6" x14ac:dyDescent="0.3">
      <c r="F88202" s="193"/>
    </row>
    <row r="88203" spans="6:6" x14ac:dyDescent="0.3">
      <c r="F88203" s="193"/>
    </row>
    <row r="88204" spans="6:6" x14ac:dyDescent="0.3">
      <c r="F88204" s="193"/>
    </row>
    <row r="88205" spans="6:6" x14ac:dyDescent="0.3">
      <c r="F88205" s="193"/>
    </row>
    <row r="88206" spans="6:6" x14ac:dyDescent="0.3">
      <c r="F88206" s="193"/>
    </row>
    <row r="88207" spans="6:6" x14ac:dyDescent="0.3">
      <c r="F88207" s="193"/>
    </row>
    <row r="88208" spans="6:6" x14ac:dyDescent="0.3">
      <c r="F88208" s="193"/>
    </row>
    <row r="88209" spans="6:6" x14ac:dyDescent="0.3">
      <c r="F88209" s="193"/>
    </row>
    <row r="88210" spans="6:6" x14ac:dyDescent="0.3">
      <c r="F88210" s="193"/>
    </row>
    <row r="88211" spans="6:6" x14ac:dyDescent="0.3">
      <c r="F88211" s="193"/>
    </row>
    <row r="88212" spans="6:6" x14ac:dyDescent="0.3">
      <c r="F88212" s="193"/>
    </row>
    <row r="88213" spans="6:6" x14ac:dyDescent="0.3">
      <c r="F88213" s="193"/>
    </row>
    <row r="88214" spans="6:6" x14ac:dyDescent="0.3">
      <c r="F88214" s="193"/>
    </row>
    <row r="88215" spans="6:6" x14ac:dyDescent="0.3">
      <c r="F88215" s="193"/>
    </row>
    <row r="88216" spans="6:6" x14ac:dyDescent="0.3">
      <c r="F88216" s="193"/>
    </row>
    <row r="88217" spans="6:6" x14ac:dyDescent="0.3">
      <c r="F88217" s="193"/>
    </row>
    <row r="88218" spans="6:6" x14ac:dyDescent="0.3">
      <c r="F88218" s="193"/>
    </row>
    <row r="88219" spans="6:6" x14ac:dyDescent="0.3">
      <c r="F88219" s="193"/>
    </row>
    <row r="88220" spans="6:6" x14ac:dyDescent="0.3">
      <c r="F88220" s="193"/>
    </row>
    <row r="88221" spans="6:6" x14ac:dyDescent="0.3">
      <c r="F88221" s="193"/>
    </row>
    <row r="88222" spans="6:6" x14ac:dyDescent="0.3">
      <c r="F88222" s="193"/>
    </row>
    <row r="88223" spans="6:6" x14ac:dyDescent="0.3">
      <c r="F88223" s="193"/>
    </row>
    <row r="88224" spans="6:6" x14ac:dyDescent="0.3">
      <c r="F88224" s="193"/>
    </row>
    <row r="88225" spans="6:6" x14ac:dyDescent="0.3">
      <c r="F88225" s="193"/>
    </row>
    <row r="88226" spans="6:6" x14ac:dyDescent="0.3">
      <c r="F88226" s="193"/>
    </row>
    <row r="88227" spans="6:6" x14ac:dyDescent="0.3">
      <c r="F88227" s="193"/>
    </row>
    <row r="88228" spans="6:6" x14ac:dyDescent="0.3">
      <c r="F88228" s="193"/>
    </row>
    <row r="88229" spans="6:6" x14ac:dyDescent="0.3">
      <c r="F88229" s="193"/>
    </row>
    <row r="88230" spans="6:6" x14ac:dyDescent="0.3">
      <c r="F88230" s="193"/>
    </row>
    <row r="88231" spans="6:6" x14ac:dyDescent="0.3">
      <c r="F88231" s="193"/>
    </row>
    <row r="88232" spans="6:6" x14ac:dyDescent="0.3">
      <c r="F88232" s="193"/>
    </row>
    <row r="88233" spans="6:6" x14ac:dyDescent="0.3">
      <c r="F88233" s="193"/>
    </row>
    <row r="88234" spans="6:6" x14ac:dyDescent="0.3">
      <c r="F88234" s="193"/>
    </row>
    <row r="88235" spans="6:6" x14ac:dyDescent="0.3">
      <c r="F88235" s="193"/>
    </row>
    <row r="88236" spans="6:6" x14ac:dyDescent="0.3">
      <c r="F88236" s="193"/>
    </row>
    <row r="88237" spans="6:6" x14ac:dyDescent="0.3">
      <c r="F88237" s="193"/>
    </row>
    <row r="88238" spans="6:6" x14ac:dyDescent="0.3">
      <c r="F88238" s="193"/>
    </row>
    <row r="88239" spans="6:6" x14ac:dyDescent="0.3">
      <c r="F88239" s="193"/>
    </row>
    <row r="88240" spans="6:6" x14ac:dyDescent="0.3">
      <c r="F88240" s="193"/>
    </row>
    <row r="88241" spans="6:6" x14ac:dyDescent="0.3">
      <c r="F88241" s="193"/>
    </row>
    <row r="88242" spans="6:6" x14ac:dyDescent="0.3">
      <c r="F88242" s="193"/>
    </row>
    <row r="88243" spans="6:6" x14ac:dyDescent="0.3">
      <c r="F88243" s="193"/>
    </row>
    <row r="88244" spans="6:6" x14ac:dyDescent="0.3">
      <c r="F88244" s="193"/>
    </row>
    <row r="88245" spans="6:6" x14ac:dyDescent="0.3">
      <c r="F88245" s="193"/>
    </row>
    <row r="88246" spans="6:6" x14ac:dyDescent="0.3">
      <c r="F88246" s="193"/>
    </row>
    <row r="88247" spans="6:6" x14ac:dyDescent="0.3">
      <c r="F88247" s="193"/>
    </row>
    <row r="88248" spans="6:6" x14ac:dyDescent="0.3">
      <c r="F88248" s="193"/>
    </row>
    <row r="88249" spans="6:6" x14ac:dyDescent="0.3">
      <c r="F88249" s="193"/>
    </row>
    <row r="88250" spans="6:6" x14ac:dyDescent="0.3">
      <c r="F88250" s="193"/>
    </row>
    <row r="88251" spans="6:6" x14ac:dyDescent="0.3">
      <c r="F88251" s="193"/>
    </row>
    <row r="88252" spans="6:6" x14ac:dyDescent="0.3">
      <c r="F88252" s="193"/>
    </row>
    <row r="88253" spans="6:6" x14ac:dyDescent="0.3">
      <c r="F88253" s="193"/>
    </row>
    <row r="88254" spans="6:6" x14ac:dyDescent="0.3">
      <c r="F88254" s="193"/>
    </row>
    <row r="88255" spans="6:6" x14ac:dyDescent="0.3">
      <c r="F88255" s="193"/>
    </row>
    <row r="88256" spans="6:6" x14ac:dyDescent="0.3">
      <c r="F88256" s="193"/>
    </row>
    <row r="88257" spans="6:6" x14ac:dyDescent="0.3">
      <c r="F88257" s="193"/>
    </row>
    <row r="88258" spans="6:6" x14ac:dyDescent="0.3">
      <c r="F88258" s="193"/>
    </row>
    <row r="88259" spans="6:6" x14ac:dyDescent="0.3">
      <c r="F88259" s="193"/>
    </row>
    <row r="88260" spans="6:6" x14ac:dyDescent="0.3">
      <c r="F88260" s="193"/>
    </row>
    <row r="88261" spans="6:6" x14ac:dyDescent="0.3">
      <c r="F88261" s="193"/>
    </row>
    <row r="88262" spans="6:6" x14ac:dyDescent="0.3">
      <c r="F88262" s="193"/>
    </row>
    <row r="88263" spans="6:6" x14ac:dyDescent="0.3">
      <c r="F88263" s="193"/>
    </row>
    <row r="88264" spans="6:6" x14ac:dyDescent="0.3">
      <c r="F88264" s="193"/>
    </row>
    <row r="88265" spans="6:6" x14ac:dyDescent="0.3">
      <c r="F88265" s="193"/>
    </row>
    <row r="88266" spans="6:6" x14ac:dyDescent="0.3">
      <c r="F88266" s="193"/>
    </row>
    <row r="88267" spans="6:6" x14ac:dyDescent="0.3">
      <c r="F88267" s="193"/>
    </row>
    <row r="88268" spans="6:6" x14ac:dyDescent="0.3">
      <c r="F88268" s="193"/>
    </row>
    <row r="88269" spans="6:6" x14ac:dyDescent="0.3">
      <c r="F88269" s="193"/>
    </row>
    <row r="88270" spans="6:6" x14ac:dyDescent="0.3">
      <c r="F88270" s="193"/>
    </row>
    <row r="88271" spans="6:6" x14ac:dyDescent="0.3">
      <c r="F88271" s="193"/>
    </row>
    <row r="88272" spans="6:6" x14ac:dyDescent="0.3">
      <c r="F88272" s="193"/>
    </row>
    <row r="88273" spans="6:6" x14ac:dyDescent="0.3">
      <c r="F88273" s="193"/>
    </row>
    <row r="88274" spans="6:6" x14ac:dyDescent="0.3">
      <c r="F88274" s="193"/>
    </row>
    <row r="88275" spans="6:6" x14ac:dyDescent="0.3">
      <c r="F88275" s="193"/>
    </row>
    <row r="88276" spans="6:6" x14ac:dyDescent="0.3">
      <c r="F88276" s="193"/>
    </row>
    <row r="88277" spans="6:6" x14ac:dyDescent="0.3">
      <c r="F88277" s="193"/>
    </row>
    <row r="88278" spans="6:6" x14ac:dyDescent="0.3">
      <c r="F88278" s="193"/>
    </row>
    <row r="88279" spans="6:6" x14ac:dyDescent="0.3">
      <c r="F88279" s="193"/>
    </row>
    <row r="88280" spans="6:6" x14ac:dyDescent="0.3">
      <c r="F88280" s="193"/>
    </row>
    <row r="88281" spans="6:6" x14ac:dyDescent="0.3">
      <c r="F88281" s="193"/>
    </row>
    <row r="88282" spans="6:6" x14ac:dyDescent="0.3">
      <c r="F88282" s="193"/>
    </row>
    <row r="88283" spans="6:6" x14ac:dyDescent="0.3">
      <c r="F88283" s="193"/>
    </row>
    <row r="88284" spans="6:6" x14ac:dyDescent="0.3">
      <c r="F88284" s="193"/>
    </row>
    <row r="88285" spans="6:6" x14ac:dyDescent="0.3">
      <c r="F88285" s="193"/>
    </row>
    <row r="88286" spans="6:6" x14ac:dyDescent="0.3">
      <c r="F88286" s="193"/>
    </row>
    <row r="88287" spans="6:6" x14ac:dyDescent="0.3">
      <c r="F88287" s="193"/>
    </row>
    <row r="88288" spans="6:6" x14ac:dyDescent="0.3">
      <c r="F88288" s="193"/>
    </row>
    <row r="88289" spans="6:6" x14ac:dyDescent="0.3">
      <c r="F88289" s="193"/>
    </row>
    <row r="88290" spans="6:6" x14ac:dyDescent="0.3">
      <c r="F88290" s="193"/>
    </row>
    <row r="88291" spans="6:6" x14ac:dyDescent="0.3">
      <c r="F88291" s="193"/>
    </row>
    <row r="88292" spans="6:6" x14ac:dyDescent="0.3">
      <c r="F88292" s="193"/>
    </row>
    <row r="88293" spans="6:6" x14ac:dyDescent="0.3">
      <c r="F88293" s="193"/>
    </row>
    <row r="88294" spans="6:6" x14ac:dyDescent="0.3">
      <c r="F88294" s="193"/>
    </row>
    <row r="88295" spans="6:6" x14ac:dyDescent="0.3">
      <c r="F88295" s="193"/>
    </row>
    <row r="88296" spans="6:6" x14ac:dyDescent="0.3">
      <c r="F88296" s="193"/>
    </row>
    <row r="88297" spans="6:6" x14ac:dyDescent="0.3">
      <c r="F88297" s="193"/>
    </row>
    <row r="88298" spans="6:6" x14ac:dyDescent="0.3">
      <c r="F88298" s="193"/>
    </row>
    <row r="88299" spans="6:6" x14ac:dyDescent="0.3">
      <c r="F88299" s="193"/>
    </row>
    <row r="88300" spans="6:6" x14ac:dyDescent="0.3">
      <c r="F88300" s="193"/>
    </row>
    <row r="88301" spans="6:6" x14ac:dyDescent="0.3">
      <c r="F88301" s="193"/>
    </row>
    <row r="88302" spans="6:6" x14ac:dyDescent="0.3">
      <c r="F88302" s="193"/>
    </row>
    <row r="88303" spans="6:6" x14ac:dyDescent="0.3">
      <c r="F88303" s="193"/>
    </row>
    <row r="88304" spans="6:6" x14ac:dyDescent="0.3">
      <c r="F88304" s="193"/>
    </row>
    <row r="88305" spans="6:6" x14ac:dyDescent="0.3">
      <c r="F88305" s="193"/>
    </row>
    <row r="88306" spans="6:6" x14ac:dyDescent="0.3">
      <c r="F88306" s="193"/>
    </row>
    <row r="88307" spans="6:6" x14ac:dyDescent="0.3">
      <c r="F88307" s="193"/>
    </row>
    <row r="88308" spans="6:6" x14ac:dyDescent="0.3">
      <c r="F88308" s="193"/>
    </row>
    <row r="88309" spans="6:6" x14ac:dyDescent="0.3">
      <c r="F88309" s="193"/>
    </row>
    <row r="88310" spans="6:6" x14ac:dyDescent="0.3">
      <c r="F88310" s="193"/>
    </row>
    <row r="88311" spans="6:6" x14ac:dyDescent="0.3">
      <c r="F88311" s="193"/>
    </row>
    <row r="88312" spans="6:6" x14ac:dyDescent="0.3">
      <c r="F88312" s="193"/>
    </row>
    <row r="88313" spans="6:6" x14ac:dyDescent="0.3">
      <c r="F88313" s="193"/>
    </row>
    <row r="88314" spans="6:6" x14ac:dyDescent="0.3">
      <c r="F88314" s="193"/>
    </row>
    <row r="88315" spans="6:6" x14ac:dyDescent="0.3">
      <c r="F88315" s="193"/>
    </row>
    <row r="88316" spans="6:6" x14ac:dyDescent="0.3">
      <c r="F88316" s="193"/>
    </row>
    <row r="88317" spans="6:6" x14ac:dyDescent="0.3">
      <c r="F88317" s="193"/>
    </row>
    <row r="88318" spans="6:6" x14ac:dyDescent="0.3">
      <c r="F88318" s="193"/>
    </row>
    <row r="88319" spans="6:6" x14ac:dyDescent="0.3">
      <c r="F88319" s="193"/>
    </row>
    <row r="88320" spans="6:6" x14ac:dyDescent="0.3">
      <c r="F88320" s="193"/>
    </row>
    <row r="88321" spans="6:6" x14ac:dyDescent="0.3">
      <c r="F88321" s="193"/>
    </row>
    <row r="88322" spans="6:6" x14ac:dyDescent="0.3">
      <c r="F88322" s="193"/>
    </row>
    <row r="88323" spans="6:6" x14ac:dyDescent="0.3">
      <c r="F88323" s="193"/>
    </row>
    <row r="88324" spans="6:6" x14ac:dyDescent="0.3">
      <c r="F88324" s="193"/>
    </row>
    <row r="88325" spans="6:6" x14ac:dyDescent="0.3">
      <c r="F88325" s="193"/>
    </row>
    <row r="88326" spans="6:6" x14ac:dyDescent="0.3">
      <c r="F88326" s="193"/>
    </row>
    <row r="88327" spans="6:6" x14ac:dyDescent="0.3">
      <c r="F88327" s="193"/>
    </row>
    <row r="88328" spans="6:6" x14ac:dyDescent="0.3">
      <c r="F88328" s="193"/>
    </row>
    <row r="88329" spans="6:6" x14ac:dyDescent="0.3">
      <c r="F88329" s="193"/>
    </row>
    <row r="88330" spans="6:6" x14ac:dyDescent="0.3">
      <c r="F88330" s="193"/>
    </row>
    <row r="88331" spans="6:6" x14ac:dyDescent="0.3">
      <c r="F88331" s="193"/>
    </row>
    <row r="88332" spans="6:6" x14ac:dyDescent="0.3">
      <c r="F88332" s="193"/>
    </row>
    <row r="88333" spans="6:6" x14ac:dyDescent="0.3">
      <c r="F88333" s="193"/>
    </row>
    <row r="88334" spans="6:6" x14ac:dyDescent="0.3">
      <c r="F88334" s="193"/>
    </row>
    <row r="88335" spans="6:6" x14ac:dyDescent="0.3">
      <c r="F88335" s="193"/>
    </row>
    <row r="88336" spans="6:6" x14ac:dyDescent="0.3">
      <c r="F88336" s="193"/>
    </row>
    <row r="88337" spans="6:6" x14ac:dyDescent="0.3">
      <c r="F88337" s="193"/>
    </row>
    <row r="88338" spans="6:6" x14ac:dyDescent="0.3">
      <c r="F88338" s="193"/>
    </row>
    <row r="88339" spans="6:6" x14ac:dyDescent="0.3">
      <c r="F88339" s="193"/>
    </row>
    <row r="88340" spans="6:6" x14ac:dyDescent="0.3">
      <c r="F88340" s="193"/>
    </row>
    <row r="88341" spans="6:6" x14ac:dyDescent="0.3">
      <c r="F88341" s="193"/>
    </row>
    <row r="88342" spans="6:6" x14ac:dyDescent="0.3">
      <c r="F88342" s="193"/>
    </row>
    <row r="88343" spans="6:6" x14ac:dyDescent="0.3">
      <c r="F88343" s="193"/>
    </row>
    <row r="88344" spans="6:6" x14ac:dyDescent="0.3">
      <c r="F88344" s="193"/>
    </row>
    <row r="88345" spans="6:6" x14ac:dyDescent="0.3">
      <c r="F88345" s="193"/>
    </row>
    <row r="88346" spans="6:6" x14ac:dyDescent="0.3">
      <c r="F88346" s="193"/>
    </row>
    <row r="88347" spans="6:6" x14ac:dyDescent="0.3">
      <c r="F88347" s="193"/>
    </row>
    <row r="88348" spans="6:6" x14ac:dyDescent="0.3">
      <c r="F88348" s="193"/>
    </row>
    <row r="88349" spans="6:6" x14ac:dyDescent="0.3">
      <c r="F88349" s="193"/>
    </row>
    <row r="88350" spans="6:6" x14ac:dyDescent="0.3">
      <c r="F88350" s="193"/>
    </row>
    <row r="88351" spans="6:6" x14ac:dyDescent="0.3">
      <c r="F88351" s="193"/>
    </row>
    <row r="88352" spans="6:6" x14ac:dyDescent="0.3">
      <c r="F88352" s="193"/>
    </row>
    <row r="88353" spans="6:6" x14ac:dyDescent="0.3">
      <c r="F88353" s="193"/>
    </row>
    <row r="88354" spans="6:6" x14ac:dyDescent="0.3">
      <c r="F88354" s="193"/>
    </row>
    <row r="88355" spans="6:6" x14ac:dyDescent="0.3">
      <c r="F88355" s="193"/>
    </row>
    <row r="88356" spans="6:6" x14ac:dyDescent="0.3">
      <c r="F88356" s="193"/>
    </row>
    <row r="88357" spans="6:6" x14ac:dyDescent="0.3">
      <c r="F88357" s="193"/>
    </row>
    <row r="88358" spans="6:6" x14ac:dyDescent="0.3">
      <c r="F88358" s="193"/>
    </row>
    <row r="88359" spans="6:6" x14ac:dyDescent="0.3">
      <c r="F88359" s="193"/>
    </row>
    <row r="88360" spans="6:6" x14ac:dyDescent="0.3">
      <c r="F88360" s="193"/>
    </row>
    <row r="88361" spans="6:6" x14ac:dyDescent="0.3">
      <c r="F88361" s="193"/>
    </row>
    <row r="88362" spans="6:6" x14ac:dyDescent="0.3">
      <c r="F88362" s="193"/>
    </row>
    <row r="88363" spans="6:6" x14ac:dyDescent="0.3">
      <c r="F88363" s="193"/>
    </row>
    <row r="88364" spans="6:6" x14ac:dyDescent="0.3">
      <c r="F88364" s="193"/>
    </row>
    <row r="88365" spans="6:6" x14ac:dyDescent="0.3">
      <c r="F88365" s="193"/>
    </row>
    <row r="88366" spans="6:6" x14ac:dyDescent="0.3">
      <c r="F88366" s="193"/>
    </row>
    <row r="88367" spans="6:6" x14ac:dyDescent="0.3">
      <c r="F88367" s="193"/>
    </row>
    <row r="88368" spans="6:6" x14ac:dyDescent="0.3">
      <c r="F88368" s="193"/>
    </row>
    <row r="88369" spans="6:6" x14ac:dyDescent="0.3">
      <c r="F88369" s="193"/>
    </row>
    <row r="88370" spans="6:6" x14ac:dyDescent="0.3">
      <c r="F88370" s="193"/>
    </row>
    <row r="88371" spans="6:6" x14ac:dyDescent="0.3">
      <c r="F88371" s="193"/>
    </row>
    <row r="88372" spans="6:6" x14ac:dyDescent="0.3">
      <c r="F88372" s="193"/>
    </row>
    <row r="88373" spans="6:6" x14ac:dyDescent="0.3">
      <c r="F88373" s="193"/>
    </row>
    <row r="88374" spans="6:6" x14ac:dyDescent="0.3">
      <c r="F88374" s="193"/>
    </row>
    <row r="88375" spans="6:6" x14ac:dyDescent="0.3">
      <c r="F88375" s="193"/>
    </row>
    <row r="88376" spans="6:6" x14ac:dyDescent="0.3">
      <c r="F88376" s="193"/>
    </row>
    <row r="88377" spans="6:6" x14ac:dyDescent="0.3">
      <c r="F88377" s="193"/>
    </row>
    <row r="88378" spans="6:6" x14ac:dyDescent="0.3">
      <c r="F88378" s="193"/>
    </row>
    <row r="88379" spans="6:6" x14ac:dyDescent="0.3">
      <c r="F88379" s="193"/>
    </row>
    <row r="88380" spans="6:6" x14ac:dyDescent="0.3">
      <c r="F88380" s="193"/>
    </row>
    <row r="88381" spans="6:6" x14ac:dyDescent="0.3">
      <c r="F88381" s="193"/>
    </row>
    <row r="88382" spans="6:6" x14ac:dyDescent="0.3">
      <c r="F88382" s="193"/>
    </row>
    <row r="88383" spans="6:6" x14ac:dyDescent="0.3">
      <c r="F88383" s="193"/>
    </row>
    <row r="88384" spans="6:6" x14ac:dyDescent="0.3">
      <c r="F88384" s="193"/>
    </row>
    <row r="88385" spans="6:6" x14ac:dyDescent="0.3">
      <c r="F88385" s="193"/>
    </row>
    <row r="88386" spans="6:6" x14ac:dyDescent="0.3">
      <c r="F88386" s="193"/>
    </row>
    <row r="88387" spans="6:6" x14ac:dyDescent="0.3">
      <c r="F88387" s="193"/>
    </row>
    <row r="88388" spans="6:6" x14ac:dyDescent="0.3">
      <c r="F88388" s="193"/>
    </row>
    <row r="88389" spans="6:6" x14ac:dyDescent="0.3">
      <c r="F88389" s="193"/>
    </row>
    <row r="88390" spans="6:6" x14ac:dyDescent="0.3">
      <c r="F88390" s="193"/>
    </row>
    <row r="88391" spans="6:6" x14ac:dyDescent="0.3">
      <c r="F88391" s="193"/>
    </row>
    <row r="88392" spans="6:6" x14ac:dyDescent="0.3">
      <c r="F88392" s="193"/>
    </row>
    <row r="88393" spans="6:6" x14ac:dyDescent="0.3">
      <c r="F88393" s="193"/>
    </row>
    <row r="88394" spans="6:6" x14ac:dyDescent="0.3">
      <c r="F88394" s="193"/>
    </row>
    <row r="88395" spans="6:6" x14ac:dyDescent="0.3">
      <c r="F88395" s="193"/>
    </row>
    <row r="88396" spans="6:6" x14ac:dyDescent="0.3">
      <c r="F88396" s="193"/>
    </row>
    <row r="88397" spans="6:6" x14ac:dyDescent="0.3">
      <c r="F88397" s="193"/>
    </row>
    <row r="88398" spans="6:6" x14ac:dyDescent="0.3">
      <c r="F88398" s="193"/>
    </row>
    <row r="88399" spans="6:6" x14ac:dyDescent="0.3">
      <c r="F88399" s="193"/>
    </row>
    <row r="88400" spans="6:6" x14ac:dyDescent="0.3">
      <c r="F88400" s="193"/>
    </row>
    <row r="88401" spans="6:6" x14ac:dyDescent="0.3">
      <c r="F88401" s="193"/>
    </row>
    <row r="88402" spans="6:6" x14ac:dyDescent="0.3">
      <c r="F88402" s="193"/>
    </row>
    <row r="88403" spans="6:6" x14ac:dyDescent="0.3">
      <c r="F88403" s="193"/>
    </row>
    <row r="88404" spans="6:6" x14ac:dyDescent="0.3">
      <c r="F88404" s="193"/>
    </row>
    <row r="88405" spans="6:6" x14ac:dyDescent="0.3">
      <c r="F88405" s="193"/>
    </row>
    <row r="88406" spans="6:6" x14ac:dyDescent="0.3">
      <c r="F88406" s="193"/>
    </row>
    <row r="88407" spans="6:6" x14ac:dyDescent="0.3">
      <c r="F88407" s="193"/>
    </row>
    <row r="88408" spans="6:6" x14ac:dyDescent="0.3">
      <c r="F88408" s="193"/>
    </row>
    <row r="88409" spans="6:6" x14ac:dyDescent="0.3">
      <c r="F88409" s="193"/>
    </row>
    <row r="88410" spans="6:6" x14ac:dyDescent="0.3">
      <c r="F88410" s="193"/>
    </row>
    <row r="88411" spans="6:6" x14ac:dyDescent="0.3">
      <c r="F88411" s="193"/>
    </row>
    <row r="88412" spans="6:6" x14ac:dyDescent="0.3">
      <c r="F88412" s="193"/>
    </row>
    <row r="88413" spans="6:6" x14ac:dyDescent="0.3">
      <c r="F88413" s="193"/>
    </row>
    <row r="88414" spans="6:6" x14ac:dyDescent="0.3">
      <c r="F88414" s="193"/>
    </row>
    <row r="88415" spans="6:6" x14ac:dyDescent="0.3">
      <c r="F88415" s="193"/>
    </row>
    <row r="88416" spans="6:6" x14ac:dyDescent="0.3">
      <c r="F88416" s="193"/>
    </row>
    <row r="88417" spans="6:6" x14ac:dyDescent="0.3">
      <c r="F88417" s="193"/>
    </row>
    <row r="88418" spans="6:6" x14ac:dyDescent="0.3">
      <c r="F88418" s="193"/>
    </row>
    <row r="88419" spans="6:6" x14ac:dyDescent="0.3">
      <c r="F88419" s="193"/>
    </row>
    <row r="88420" spans="6:6" x14ac:dyDescent="0.3">
      <c r="F88420" s="193"/>
    </row>
    <row r="88421" spans="6:6" x14ac:dyDescent="0.3">
      <c r="F88421" s="193"/>
    </row>
    <row r="88422" spans="6:6" x14ac:dyDescent="0.3">
      <c r="F88422" s="193"/>
    </row>
    <row r="88423" spans="6:6" x14ac:dyDescent="0.3">
      <c r="F88423" s="193"/>
    </row>
    <row r="88424" spans="6:6" x14ac:dyDescent="0.3">
      <c r="F88424" s="193"/>
    </row>
    <row r="88425" spans="6:6" x14ac:dyDescent="0.3">
      <c r="F88425" s="193"/>
    </row>
    <row r="88426" spans="6:6" x14ac:dyDescent="0.3">
      <c r="F88426" s="193"/>
    </row>
    <row r="88427" spans="6:6" x14ac:dyDescent="0.3">
      <c r="F88427" s="193"/>
    </row>
    <row r="88428" spans="6:6" x14ac:dyDescent="0.3">
      <c r="F88428" s="193"/>
    </row>
    <row r="88429" spans="6:6" x14ac:dyDescent="0.3">
      <c r="F88429" s="193"/>
    </row>
    <row r="88430" spans="6:6" x14ac:dyDescent="0.3">
      <c r="F88430" s="193"/>
    </row>
    <row r="88431" spans="6:6" x14ac:dyDescent="0.3">
      <c r="F88431" s="193"/>
    </row>
    <row r="88432" spans="6:6" x14ac:dyDescent="0.3">
      <c r="F88432" s="193"/>
    </row>
    <row r="88433" spans="6:6" x14ac:dyDescent="0.3">
      <c r="F88433" s="193"/>
    </row>
    <row r="88434" spans="6:6" x14ac:dyDescent="0.3">
      <c r="F88434" s="193"/>
    </row>
    <row r="88435" spans="6:6" x14ac:dyDescent="0.3">
      <c r="F88435" s="193"/>
    </row>
    <row r="88436" spans="6:6" x14ac:dyDescent="0.3">
      <c r="F88436" s="193"/>
    </row>
    <row r="88437" spans="6:6" x14ac:dyDescent="0.3">
      <c r="F88437" s="193"/>
    </row>
    <row r="88438" spans="6:6" x14ac:dyDescent="0.3">
      <c r="F88438" s="193"/>
    </row>
    <row r="88439" spans="6:6" x14ac:dyDescent="0.3">
      <c r="F88439" s="193"/>
    </row>
    <row r="88440" spans="6:6" x14ac:dyDescent="0.3">
      <c r="F88440" s="193"/>
    </row>
    <row r="88441" spans="6:6" x14ac:dyDescent="0.3">
      <c r="F88441" s="193"/>
    </row>
    <row r="88442" spans="6:6" x14ac:dyDescent="0.3">
      <c r="F88442" s="193"/>
    </row>
    <row r="88443" spans="6:6" x14ac:dyDescent="0.3">
      <c r="F88443" s="193"/>
    </row>
    <row r="88444" spans="6:6" x14ac:dyDescent="0.3">
      <c r="F88444" s="193"/>
    </row>
    <row r="88445" spans="6:6" x14ac:dyDescent="0.3">
      <c r="F88445" s="193"/>
    </row>
    <row r="88446" spans="6:6" x14ac:dyDescent="0.3">
      <c r="F88446" s="193"/>
    </row>
    <row r="88447" spans="6:6" x14ac:dyDescent="0.3">
      <c r="F88447" s="193"/>
    </row>
    <row r="88448" spans="6:6" x14ac:dyDescent="0.3">
      <c r="F88448" s="193"/>
    </row>
    <row r="88449" spans="6:6" x14ac:dyDescent="0.3">
      <c r="F88449" s="193"/>
    </row>
    <row r="88450" spans="6:6" x14ac:dyDescent="0.3">
      <c r="F88450" s="193"/>
    </row>
    <row r="88451" spans="6:6" x14ac:dyDescent="0.3">
      <c r="F88451" s="193"/>
    </row>
    <row r="88452" spans="6:6" x14ac:dyDescent="0.3">
      <c r="F88452" s="193"/>
    </row>
    <row r="88453" spans="6:6" x14ac:dyDescent="0.3">
      <c r="F88453" s="193"/>
    </row>
    <row r="88454" spans="6:6" x14ac:dyDescent="0.3">
      <c r="F88454" s="193"/>
    </row>
    <row r="88455" spans="6:6" x14ac:dyDescent="0.3">
      <c r="F88455" s="193"/>
    </row>
    <row r="88456" spans="6:6" x14ac:dyDescent="0.3">
      <c r="F88456" s="193"/>
    </row>
    <row r="88457" spans="6:6" x14ac:dyDescent="0.3">
      <c r="F88457" s="193"/>
    </row>
    <row r="88458" spans="6:6" x14ac:dyDescent="0.3">
      <c r="F88458" s="193"/>
    </row>
    <row r="88459" spans="6:6" x14ac:dyDescent="0.3">
      <c r="F88459" s="193"/>
    </row>
    <row r="88460" spans="6:6" x14ac:dyDescent="0.3">
      <c r="F88460" s="193"/>
    </row>
    <row r="88461" spans="6:6" x14ac:dyDescent="0.3">
      <c r="F88461" s="193"/>
    </row>
    <row r="88462" spans="6:6" x14ac:dyDescent="0.3">
      <c r="F88462" s="193"/>
    </row>
    <row r="88463" spans="6:6" x14ac:dyDescent="0.3">
      <c r="F88463" s="193"/>
    </row>
    <row r="88464" spans="6:6" x14ac:dyDescent="0.3">
      <c r="F88464" s="193"/>
    </row>
    <row r="88465" spans="6:6" x14ac:dyDescent="0.3">
      <c r="F88465" s="193"/>
    </row>
    <row r="88466" spans="6:6" x14ac:dyDescent="0.3">
      <c r="F88466" s="193"/>
    </row>
    <row r="88467" spans="6:6" x14ac:dyDescent="0.3">
      <c r="F88467" s="193"/>
    </row>
    <row r="88468" spans="6:6" x14ac:dyDescent="0.3">
      <c r="F88468" s="193"/>
    </row>
    <row r="88469" spans="6:6" x14ac:dyDescent="0.3">
      <c r="F88469" s="193"/>
    </row>
    <row r="88470" spans="6:6" x14ac:dyDescent="0.3">
      <c r="F88470" s="193"/>
    </row>
    <row r="88471" spans="6:6" x14ac:dyDescent="0.3">
      <c r="F88471" s="193"/>
    </row>
    <row r="88472" spans="6:6" x14ac:dyDescent="0.3">
      <c r="F88472" s="193"/>
    </row>
    <row r="88473" spans="6:6" x14ac:dyDescent="0.3">
      <c r="F88473" s="193"/>
    </row>
    <row r="88474" spans="6:6" x14ac:dyDescent="0.3">
      <c r="F88474" s="193"/>
    </row>
    <row r="88475" spans="6:6" x14ac:dyDescent="0.3">
      <c r="F88475" s="193"/>
    </row>
    <row r="88476" spans="6:6" x14ac:dyDescent="0.3">
      <c r="F88476" s="193"/>
    </row>
    <row r="88477" spans="6:6" x14ac:dyDescent="0.3">
      <c r="F88477" s="193"/>
    </row>
    <row r="88478" spans="6:6" x14ac:dyDescent="0.3">
      <c r="F88478" s="193"/>
    </row>
    <row r="88479" spans="6:6" x14ac:dyDescent="0.3">
      <c r="F88479" s="193"/>
    </row>
    <row r="88480" spans="6:6" x14ac:dyDescent="0.3">
      <c r="F88480" s="193"/>
    </row>
    <row r="88481" spans="6:6" x14ac:dyDescent="0.3">
      <c r="F88481" s="193"/>
    </row>
    <row r="88482" spans="6:6" x14ac:dyDescent="0.3">
      <c r="F88482" s="193"/>
    </row>
    <row r="88483" spans="6:6" x14ac:dyDescent="0.3">
      <c r="F88483" s="193"/>
    </row>
    <row r="88484" spans="6:6" x14ac:dyDescent="0.3">
      <c r="F88484" s="193"/>
    </row>
    <row r="88485" spans="6:6" x14ac:dyDescent="0.3">
      <c r="F88485" s="193"/>
    </row>
    <row r="88486" spans="6:6" x14ac:dyDescent="0.3">
      <c r="F88486" s="193"/>
    </row>
    <row r="88487" spans="6:6" x14ac:dyDescent="0.3">
      <c r="F88487" s="193"/>
    </row>
    <row r="88488" spans="6:6" x14ac:dyDescent="0.3">
      <c r="F88488" s="193"/>
    </row>
    <row r="88489" spans="6:6" x14ac:dyDescent="0.3">
      <c r="F88489" s="193"/>
    </row>
    <row r="88490" spans="6:6" x14ac:dyDescent="0.3">
      <c r="F88490" s="193"/>
    </row>
    <row r="88491" spans="6:6" x14ac:dyDescent="0.3">
      <c r="F88491" s="193"/>
    </row>
    <row r="88492" spans="6:6" x14ac:dyDescent="0.3">
      <c r="F88492" s="193"/>
    </row>
    <row r="88493" spans="6:6" x14ac:dyDescent="0.3">
      <c r="F88493" s="193"/>
    </row>
    <row r="88494" spans="6:6" x14ac:dyDescent="0.3">
      <c r="F88494" s="193"/>
    </row>
    <row r="88495" spans="6:6" x14ac:dyDescent="0.3">
      <c r="F88495" s="193"/>
    </row>
    <row r="88496" spans="6:6" x14ac:dyDescent="0.3">
      <c r="F88496" s="193"/>
    </row>
    <row r="88497" spans="6:6" x14ac:dyDescent="0.3">
      <c r="F88497" s="193"/>
    </row>
    <row r="88498" spans="6:6" x14ac:dyDescent="0.3">
      <c r="F88498" s="193"/>
    </row>
    <row r="88499" spans="6:6" x14ac:dyDescent="0.3">
      <c r="F88499" s="193"/>
    </row>
    <row r="88500" spans="6:6" x14ac:dyDescent="0.3">
      <c r="F88500" s="193"/>
    </row>
    <row r="88501" spans="6:6" x14ac:dyDescent="0.3">
      <c r="F88501" s="193"/>
    </row>
    <row r="88502" spans="6:6" x14ac:dyDescent="0.3">
      <c r="F88502" s="193"/>
    </row>
    <row r="88503" spans="6:6" x14ac:dyDescent="0.3">
      <c r="F88503" s="193"/>
    </row>
    <row r="88504" spans="6:6" x14ac:dyDescent="0.3">
      <c r="F88504" s="193"/>
    </row>
    <row r="88505" spans="6:6" x14ac:dyDescent="0.3">
      <c r="F88505" s="193"/>
    </row>
    <row r="88506" spans="6:6" x14ac:dyDescent="0.3">
      <c r="F88506" s="193"/>
    </row>
    <row r="88507" spans="6:6" x14ac:dyDescent="0.3">
      <c r="F88507" s="193"/>
    </row>
    <row r="88508" spans="6:6" x14ac:dyDescent="0.3">
      <c r="F88508" s="193"/>
    </row>
    <row r="88509" spans="6:6" x14ac:dyDescent="0.3">
      <c r="F88509" s="193"/>
    </row>
    <row r="88510" spans="6:6" x14ac:dyDescent="0.3">
      <c r="F88510" s="193"/>
    </row>
    <row r="88511" spans="6:6" x14ac:dyDescent="0.3">
      <c r="F88511" s="193"/>
    </row>
    <row r="88512" spans="6:6" x14ac:dyDescent="0.3">
      <c r="F88512" s="193"/>
    </row>
    <row r="88513" spans="6:6" x14ac:dyDescent="0.3">
      <c r="F88513" s="193"/>
    </row>
    <row r="88514" spans="6:6" x14ac:dyDescent="0.3">
      <c r="F88514" s="193"/>
    </row>
    <row r="88515" spans="6:6" x14ac:dyDescent="0.3">
      <c r="F88515" s="193"/>
    </row>
    <row r="88516" spans="6:6" x14ac:dyDescent="0.3">
      <c r="F88516" s="193"/>
    </row>
    <row r="88517" spans="6:6" x14ac:dyDescent="0.3">
      <c r="F88517" s="193"/>
    </row>
    <row r="88518" spans="6:6" x14ac:dyDescent="0.3">
      <c r="F88518" s="193"/>
    </row>
    <row r="88519" spans="6:6" x14ac:dyDescent="0.3">
      <c r="F88519" s="193"/>
    </row>
    <row r="88520" spans="6:6" x14ac:dyDescent="0.3">
      <c r="F88520" s="193"/>
    </row>
    <row r="88521" spans="6:6" x14ac:dyDescent="0.3">
      <c r="F88521" s="193"/>
    </row>
    <row r="88522" spans="6:6" x14ac:dyDescent="0.3">
      <c r="F88522" s="193"/>
    </row>
    <row r="88523" spans="6:6" x14ac:dyDescent="0.3">
      <c r="F88523" s="193"/>
    </row>
    <row r="88524" spans="6:6" x14ac:dyDescent="0.3">
      <c r="F88524" s="193"/>
    </row>
    <row r="88525" spans="6:6" x14ac:dyDescent="0.3">
      <c r="F88525" s="193"/>
    </row>
    <row r="88526" spans="6:6" x14ac:dyDescent="0.3">
      <c r="F88526" s="193"/>
    </row>
    <row r="88527" spans="6:6" x14ac:dyDescent="0.3">
      <c r="F88527" s="193"/>
    </row>
    <row r="88528" spans="6:6" x14ac:dyDescent="0.3">
      <c r="F88528" s="193"/>
    </row>
    <row r="88529" spans="6:6" x14ac:dyDescent="0.3">
      <c r="F88529" s="193"/>
    </row>
    <row r="88530" spans="6:6" x14ac:dyDescent="0.3">
      <c r="F88530" s="193"/>
    </row>
    <row r="88531" spans="6:6" x14ac:dyDescent="0.3">
      <c r="F88531" s="193"/>
    </row>
    <row r="88532" spans="6:6" x14ac:dyDescent="0.3">
      <c r="F88532" s="193"/>
    </row>
    <row r="88533" spans="6:6" x14ac:dyDescent="0.3">
      <c r="F88533" s="193"/>
    </row>
    <row r="88534" spans="6:6" x14ac:dyDescent="0.3">
      <c r="F88534" s="193"/>
    </row>
    <row r="88535" spans="6:6" x14ac:dyDescent="0.3">
      <c r="F88535" s="193"/>
    </row>
    <row r="88536" spans="6:6" x14ac:dyDescent="0.3">
      <c r="F88536" s="193"/>
    </row>
    <row r="88537" spans="6:6" x14ac:dyDescent="0.3">
      <c r="F88537" s="193"/>
    </row>
    <row r="88538" spans="6:6" x14ac:dyDescent="0.3">
      <c r="F88538" s="193"/>
    </row>
    <row r="88539" spans="6:6" x14ac:dyDescent="0.3">
      <c r="F88539" s="193"/>
    </row>
    <row r="88540" spans="6:6" x14ac:dyDescent="0.3">
      <c r="F88540" s="193"/>
    </row>
    <row r="88541" spans="6:6" x14ac:dyDescent="0.3">
      <c r="F88541" s="193"/>
    </row>
    <row r="88542" spans="6:6" x14ac:dyDescent="0.3">
      <c r="F88542" s="193"/>
    </row>
    <row r="88543" spans="6:6" x14ac:dyDescent="0.3">
      <c r="F88543" s="193"/>
    </row>
    <row r="88544" spans="6:6" x14ac:dyDescent="0.3">
      <c r="F88544" s="193"/>
    </row>
    <row r="88545" spans="6:6" x14ac:dyDescent="0.3">
      <c r="F88545" s="193"/>
    </row>
    <row r="88546" spans="6:6" x14ac:dyDescent="0.3">
      <c r="F88546" s="193"/>
    </row>
    <row r="88547" spans="6:6" x14ac:dyDescent="0.3">
      <c r="F88547" s="193"/>
    </row>
    <row r="88548" spans="6:6" x14ac:dyDescent="0.3">
      <c r="F88548" s="193"/>
    </row>
    <row r="88549" spans="6:6" x14ac:dyDescent="0.3">
      <c r="F88549" s="193"/>
    </row>
    <row r="88550" spans="6:6" x14ac:dyDescent="0.3">
      <c r="F88550" s="193"/>
    </row>
    <row r="88551" spans="6:6" x14ac:dyDescent="0.3">
      <c r="F88551" s="193"/>
    </row>
    <row r="88552" spans="6:6" x14ac:dyDescent="0.3">
      <c r="F88552" s="193"/>
    </row>
    <row r="88553" spans="6:6" x14ac:dyDescent="0.3">
      <c r="F88553" s="193"/>
    </row>
    <row r="88554" spans="6:6" x14ac:dyDescent="0.3">
      <c r="F88554" s="193"/>
    </row>
    <row r="88555" spans="6:6" x14ac:dyDescent="0.3">
      <c r="F88555" s="193"/>
    </row>
    <row r="88556" spans="6:6" x14ac:dyDescent="0.3">
      <c r="F88556" s="193"/>
    </row>
    <row r="88557" spans="6:6" x14ac:dyDescent="0.3">
      <c r="F88557" s="193"/>
    </row>
    <row r="88558" spans="6:6" x14ac:dyDescent="0.3">
      <c r="F88558" s="193"/>
    </row>
    <row r="88559" spans="6:6" x14ac:dyDescent="0.3">
      <c r="F88559" s="193"/>
    </row>
    <row r="88560" spans="6:6" x14ac:dyDescent="0.3">
      <c r="F88560" s="193"/>
    </row>
    <row r="88561" spans="6:6" x14ac:dyDescent="0.3">
      <c r="F88561" s="193"/>
    </row>
    <row r="88562" spans="6:6" x14ac:dyDescent="0.3">
      <c r="F88562" s="193"/>
    </row>
    <row r="88563" spans="6:6" x14ac:dyDescent="0.3">
      <c r="F88563" s="193"/>
    </row>
    <row r="88564" spans="6:6" x14ac:dyDescent="0.3">
      <c r="F88564" s="193"/>
    </row>
    <row r="88565" spans="6:6" x14ac:dyDescent="0.3">
      <c r="F88565" s="193"/>
    </row>
    <row r="88566" spans="6:6" x14ac:dyDescent="0.3">
      <c r="F88566" s="193"/>
    </row>
    <row r="88567" spans="6:6" x14ac:dyDescent="0.3">
      <c r="F88567" s="193"/>
    </row>
    <row r="88568" spans="6:6" x14ac:dyDescent="0.3">
      <c r="F88568" s="193"/>
    </row>
    <row r="88569" spans="6:6" x14ac:dyDescent="0.3">
      <c r="F88569" s="193"/>
    </row>
    <row r="88570" spans="6:6" x14ac:dyDescent="0.3">
      <c r="F88570" s="193"/>
    </row>
    <row r="88571" spans="6:6" x14ac:dyDescent="0.3">
      <c r="F88571" s="193"/>
    </row>
    <row r="88572" spans="6:6" x14ac:dyDescent="0.3">
      <c r="F88572" s="193"/>
    </row>
    <row r="88573" spans="6:6" x14ac:dyDescent="0.3">
      <c r="F88573" s="193"/>
    </row>
    <row r="88574" spans="6:6" x14ac:dyDescent="0.3">
      <c r="F88574" s="193"/>
    </row>
    <row r="88575" spans="6:6" x14ac:dyDescent="0.3">
      <c r="F88575" s="193"/>
    </row>
    <row r="88576" spans="6:6" x14ac:dyDescent="0.3">
      <c r="F88576" s="193"/>
    </row>
    <row r="88577" spans="6:6" x14ac:dyDescent="0.3">
      <c r="F88577" s="193"/>
    </row>
    <row r="88578" spans="6:6" x14ac:dyDescent="0.3">
      <c r="F88578" s="193"/>
    </row>
    <row r="88579" spans="6:6" x14ac:dyDescent="0.3">
      <c r="F88579" s="193"/>
    </row>
    <row r="88580" spans="6:6" x14ac:dyDescent="0.3">
      <c r="F88580" s="193"/>
    </row>
    <row r="88581" spans="6:6" x14ac:dyDescent="0.3">
      <c r="F88581" s="193"/>
    </row>
    <row r="88582" spans="6:6" x14ac:dyDescent="0.3">
      <c r="F88582" s="193"/>
    </row>
    <row r="88583" spans="6:6" x14ac:dyDescent="0.3">
      <c r="F88583" s="193"/>
    </row>
    <row r="88584" spans="6:6" x14ac:dyDescent="0.3">
      <c r="F88584" s="193"/>
    </row>
    <row r="88585" spans="6:6" x14ac:dyDescent="0.3">
      <c r="F88585" s="193"/>
    </row>
    <row r="88586" spans="6:6" x14ac:dyDescent="0.3">
      <c r="F88586" s="193"/>
    </row>
    <row r="88587" spans="6:6" x14ac:dyDescent="0.3">
      <c r="F88587" s="193"/>
    </row>
    <row r="88588" spans="6:6" x14ac:dyDescent="0.3">
      <c r="F88588" s="193"/>
    </row>
    <row r="88589" spans="6:6" x14ac:dyDescent="0.3">
      <c r="F88589" s="193"/>
    </row>
    <row r="88590" spans="6:6" x14ac:dyDescent="0.3">
      <c r="F88590" s="193"/>
    </row>
    <row r="88591" spans="6:6" x14ac:dyDescent="0.3">
      <c r="F88591" s="193"/>
    </row>
    <row r="88592" spans="6:6" x14ac:dyDescent="0.3">
      <c r="F88592" s="193"/>
    </row>
    <row r="88593" spans="6:6" x14ac:dyDescent="0.3">
      <c r="F88593" s="193"/>
    </row>
    <row r="88594" spans="6:6" x14ac:dyDescent="0.3">
      <c r="F88594" s="193"/>
    </row>
    <row r="88595" spans="6:6" x14ac:dyDescent="0.3">
      <c r="F88595" s="193"/>
    </row>
    <row r="88596" spans="6:6" x14ac:dyDescent="0.3">
      <c r="F88596" s="193"/>
    </row>
    <row r="88597" spans="6:6" x14ac:dyDescent="0.3">
      <c r="F88597" s="193"/>
    </row>
    <row r="88598" spans="6:6" x14ac:dyDescent="0.3">
      <c r="F88598" s="193"/>
    </row>
    <row r="88599" spans="6:6" x14ac:dyDescent="0.3">
      <c r="F88599" s="193"/>
    </row>
    <row r="88600" spans="6:6" x14ac:dyDescent="0.3">
      <c r="F88600" s="193"/>
    </row>
    <row r="88601" spans="6:6" x14ac:dyDescent="0.3">
      <c r="F88601" s="193"/>
    </row>
    <row r="88602" spans="6:6" x14ac:dyDescent="0.3">
      <c r="F88602" s="193"/>
    </row>
    <row r="88603" spans="6:6" x14ac:dyDescent="0.3">
      <c r="F88603" s="193"/>
    </row>
    <row r="88604" spans="6:6" x14ac:dyDescent="0.3">
      <c r="F88604" s="193"/>
    </row>
    <row r="88605" spans="6:6" x14ac:dyDescent="0.3">
      <c r="F88605" s="193"/>
    </row>
    <row r="88606" spans="6:6" x14ac:dyDescent="0.3">
      <c r="F88606" s="193"/>
    </row>
    <row r="88607" spans="6:6" x14ac:dyDescent="0.3">
      <c r="F88607" s="193"/>
    </row>
    <row r="88608" spans="6:6" x14ac:dyDescent="0.3">
      <c r="F88608" s="193"/>
    </row>
    <row r="88609" spans="6:6" x14ac:dyDescent="0.3">
      <c r="F88609" s="193"/>
    </row>
    <row r="88610" spans="6:6" x14ac:dyDescent="0.3">
      <c r="F88610" s="193"/>
    </row>
    <row r="88611" spans="6:6" x14ac:dyDescent="0.3">
      <c r="F88611" s="193"/>
    </row>
    <row r="88612" spans="6:6" x14ac:dyDescent="0.3">
      <c r="F88612" s="193"/>
    </row>
    <row r="88613" spans="6:6" x14ac:dyDescent="0.3">
      <c r="F88613" s="193"/>
    </row>
    <row r="88614" spans="6:6" x14ac:dyDescent="0.3">
      <c r="F88614" s="193"/>
    </row>
    <row r="88615" spans="6:6" x14ac:dyDescent="0.3">
      <c r="F88615" s="193"/>
    </row>
    <row r="88616" spans="6:6" x14ac:dyDescent="0.3">
      <c r="F88616" s="193"/>
    </row>
    <row r="88617" spans="6:6" x14ac:dyDescent="0.3">
      <c r="F88617" s="193"/>
    </row>
    <row r="88618" spans="6:6" x14ac:dyDescent="0.3">
      <c r="F88618" s="193"/>
    </row>
    <row r="88619" spans="6:6" x14ac:dyDescent="0.3">
      <c r="F88619" s="193"/>
    </row>
    <row r="88620" spans="6:6" x14ac:dyDescent="0.3">
      <c r="F88620" s="193"/>
    </row>
    <row r="88621" spans="6:6" x14ac:dyDescent="0.3">
      <c r="F88621" s="193"/>
    </row>
    <row r="88622" spans="6:6" x14ac:dyDescent="0.3">
      <c r="F88622" s="193"/>
    </row>
    <row r="88623" spans="6:6" x14ac:dyDescent="0.3">
      <c r="F88623" s="193"/>
    </row>
    <row r="88624" spans="6:6" x14ac:dyDescent="0.3">
      <c r="F88624" s="193"/>
    </row>
    <row r="88625" spans="6:6" x14ac:dyDescent="0.3">
      <c r="F88625" s="193"/>
    </row>
    <row r="88626" spans="6:6" x14ac:dyDescent="0.3">
      <c r="F88626" s="193"/>
    </row>
    <row r="88627" spans="6:6" x14ac:dyDescent="0.3">
      <c r="F88627" s="193"/>
    </row>
    <row r="88628" spans="6:6" x14ac:dyDescent="0.3">
      <c r="F88628" s="193"/>
    </row>
    <row r="88629" spans="6:6" x14ac:dyDescent="0.3">
      <c r="F88629" s="193"/>
    </row>
    <row r="88630" spans="6:6" x14ac:dyDescent="0.3">
      <c r="F88630" s="193"/>
    </row>
    <row r="88631" spans="6:6" x14ac:dyDescent="0.3">
      <c r="F88631" s="193"/>
    </row>
    <row r="88632" spans="6:6" x14ac:dyDescent="0.3">
      <c r="F88632" s="193"/>
    </row>
    <row r="88633" spans="6:6" x14ac:dyDescent="0.3">
      <c r="F88633" s="193"/>
    </row>
    <row r="88634" spans="6:6" x14ac:dyDescent="0.3">
      <c r="F88634" s="193"/>
    </row>
    <row r="88635" spans="6:6" x14ac:dyDescent="0.3">
      <c r="F88635" s="193"/>
    </row>
    <row r="88636" spans="6:6" x14ac:dyDescent="0.3">
      <c r="F88636" s="193"/>
    </row>
    <row r="88637" spans="6:6" x14ac:dyDescent="0.3">
      <c r="F88637" s="193"/>
    </row>
    <row r="88638" spans="6:6" x14ac:dyDescent="0.3">
      <c r="F88638" s="193"/>
    </row>
    <row r="88639" spans="6:6" x14ac:dyDescent="0.3">
      <c r="F88639" s="193"/>
    </row>
    <row r="88640" spans="6:6" x14ac:dyDescent="0.3">
      <c r="F88640" s="193"/>
    </row>
    <row r="88641" spans="6:6" x14ac:dyDescent="0.3">
      <c r="F88641" s="193"/>
    </row>
    <row r="88642" spans="6:6" x14ac:dyDescent="0.3">
      <c r="F88642" s="193"/>
    </row>
    <row r="88643" spans="6:6" x14ac:dyDescent="0.3">
      <c r="F88643" s="193"/>
    </row>
    <row r="88644" spans="6:6" x14ac:dyDescent="0.3">
      <c r="F88644" s="193"/>
    </row>
    <row r="88645" spans="6:6" x14ac:dyDescent="0.3">
      <c r="F88645" s="193"/>
    </row>
    <row r="88646" spans="6:6" x14ac:dyDescent="0.3">
      <c r="F88646" s="193"/>
    </row>
    <row r="88647" spans="6:6" x14ac:dyDescent="0.3">
      <c r="F88647" s="193"/>
    </row>
    <row r="88648" spans="6:6" x14ac:dyDescent="0.3">
      <c r="F88648" s="193"/>
    </row>
    <row r="88649" spans="6:6" x14ac:dyDescent="0.3">
      <c r="F88649" s="193"/>
    </row>
    <row r="88650" spans="6:6" x14ac:dyDescent="0.3">
      <c r="F88650" s="193"/>
    </row>
    <row r="88651" spans="6:6" x14ac:dyDescent="0.3">
      <c r="F88651" s="193"/>
    </row>
    <row r="88652" spans="6:6" x14ac:dyDescent="0.3">
      <c r="F88652" s="193"/>
    </row>
    <row r="88653" spans="6:6" x14ac:dyDescent="0.3">
      <c r="F88653" s="193"/>
    </row>
    <row r="88654" spans="6:6" x14ac:dyDescent="0.3">
      <c r="F88654" s="193"/>
    </row>
    <row r="88655" spans="6:6" x14ac:dyDescent="0.3">
      <c r="F88655" s="193"/>
    </row>
    <row r="88656" spans="6:6" x14ac:dyDescent="0.3">
      <c r="F88656" s="193"/>
    </row>
    <row r="88657" spans="6:6" x14ac:dyDescent="0.3">
      <c r="F88657" s="193"/>
    </row>
    <row r="88658" spans="6:6" x14ac:dyDescent="0.3">
      <c r="F88658" s="193"/>
    </row>
    <row r="88659" spans="6:6" x14ac:dyDescent="0.3">
      <c r="F88659" s="193"/>
    </row>
    <row r="88660" spans="6:6" x14ac:dyDescent="0.3">
      <c r="F88660" s="193"/>
    </row>
    <row r="88661" spans="6:6" x14ac:dyDescent="0.3">
      <c r="F88661" s="193"/>
    </row>
    <row r="88662" spans="6:6" x14ac:dyDescent="0.3">
      <c r="F88662" s="193"/>
    </row>
    <row r="88663" spans="6:6" x14ac:dyDescent="0.3">
      <c r="F88663" s="193"/>
    </row>
    <row r="88664" spans="6:6" x14ac:dyDescent="0.3">
      <c r="F88664" s="193"/>
    </row>
    <row r="88665" spans="6:6" x14ac:dyDescent="0.3">
      <c r="F88665" s="193"/>
    </row>
    <row r="88666" spans="6:6" x14ac:dyDescent="0.3">
      <c r="F88666" s="193"/>
    </row>
    <row r="88667" spans="6:6" x14ac:dyDescent="0.3">
      <c r="F88667" s="193"/>
    </row>
    <row r="88668" spans="6:6" x14ac:dyDescent="0.3">
      <c r="F88668" s="193"/>
    </row>
    <row r="88669" spans="6:6" x14ac:dyDescent="0.3">
      <c r="F88669" s="193"/>
    </row>
    <row r="88670" spans="6:6" x14ac:dyDescent="0.3">
      <c r="F88670" s="193"/>
    </row>
    <row r="88671" spans="6:6" x14ac:dyDescent="0.3">
      <c r="F88671" s="193"/>
    </row>
    <row r="88672" spans="6:6" x14ac:dyDescent="0.3">
      <c r="F88672" s="193"/>
    </row>
    <row r="88673" spans="6:6" x14ac:dyDescent="0.3">
      <c r="F88673" s="193"/>
    </row>
    <row r="88674" spans="6:6" x14ac:dyDescent="0.3">
      <c r="F88674" s="193"/>
    </row>
    <row r="88675" spans="6:6" x14ac:dyDescent="0.3">
      <c r="F88675" s="193"/>
    </row>
    <row r="88676" spans="6:6" x14ac:dyDescent="0.3">
      <c r="F88676" s="193"/>
    </row>
    <row r="88677" spans="6:6" x14ac:dyDescent="0.3">
      <c r="F88677" s="193"/>
    </row>
    <row r="88678" spans="6:6" x14ac:dyDescent="0.3">
      <c r="F88678" s="193"/>
    </row>
    <row r="88679" spans="6:6" x14ac:dyDescent="0.3">
      <c r="F88679" s="193"/>
    </row>
    <row r="88680" spans="6:6" x14ac:dyDescent="0.3">
      <c r="F88680" s="193"/>
    </row>
    <row r="88681" spans="6:6" x14ac:dyDescent="0.3">
      <c r="F88681" s="193"/>
    </row>
    <row r="88682" spans="6:6" x14ac:dyDescent="0.3">
      <c r="F88682" s="193"/>
    </row>
    <row r="88683" spans="6:6" x14ac:dyDescent="0.3">
      <c r="F88683" s="193"/>
    </row>
    <row r="88684" spans="6:6" x14ac:dyDescent="0.3">
      <c r="F88684" s="193"/>
    </row>
    <row r="88685" spans="6:6" x14ac:dyDescent="0.3">
      <c r="F88685" s="193"/>
    </row>
    <row r="88686" spans="6:6" x14ac:dyDescent="0.3">
      <c r="F88686" s="193"/>
    </row>
    <row r="88687" spans="6:6" x14ac:dyDescent="0.3">
      <c r="F88687" s="193"/>
    </row>
    <row r="88688" spans="6:6" x14ac:dyDescent="0.3">
      <c r="F88688" s="193"/>
    </row>
    <row r="88689" spans="6:6" x14ac:dyDescent="0.3">
      <c r="F88689" s="193"/>
    </row>
    <row r="88690" spans="6:6" x14ac:dyDescent="0.3">
      <c r="F88690" s="193"/>
    </row>
    <row r="88691" spans="6:6" x14ac:dyDescent="0.3">
      <c r="F88691" s="193"/>
    </row>
    <row r="88692" spans="6:6" x14ac:dyDescent="0.3">
      <c r="F88692" s="193"/>
    </row>
    <row r="88693" spans="6:6" x14ac:dyDescent="0.3">
      <c r="F88693" s="193"/>
    </row>
    <row r="88694" spans="6:6" x14ac:dyDescent="0.3">
      <c r="F88694" s="193"/>
    </row>
    <row r="88695" spans="6:6" x14ac:dyDescent="0.3">
      <c r="F88695" s="193"/>
    </row>
    <row r="88696" spans="6:6" x14ac:dyDescent="0.3">
      <c r="F88696" s="193"/>
    </row>
    <row r="88697" spans="6:6" x14ac:dyDescent="0.3">
      <c r="F88697" s="193"/>
    </row>
    <row r="88698" spans="6:6" x14ac:dyDescent="0.3">
      <c r="F88698" s="193"/>
    </row>
    <row r="88699" spans="6:6" x14ac:dyDescent="0.3">
      <c r="F88699" s="193"/>
    </row>
    <row r="88700" spans="6:6" x14ac:dyDescent="0.3">
      <c r="F88700" s="193"/>
    </row>
    <row r="88701" spans="6:6" x14ac:dyDescent="0.3">
      <c r="F88701" s="193"/>
    </row>
    <row r="88702" spans="6:6" x14ac:dyDescent="0.3">
      <c r="F88702" s="193"/>
    </row>
    <row r="88703" spans="6:6" x14ac:dyDescent="0.3">
      <c r="F88703" s="193"/>
    </row>
    <row r="88704" spans="6:6" x14ac:dyDescent="0.3">
      <c r="F88704" s="193"/>
    </row>
    <row r="88705" spans="6:6" x14ac:dyDescent="0.3">
      <c r="F88705" s="193"/>
    </row>
    <row r="88706" spans="6:6" x14ac:dyDescent="0.3">
      <c r="F88706" s="193"/>
    </row>
    <row r="88707" spans="6:6" x14ac:dyDescent="0.3">
      <c r="F88707" s="193"/>
    </row>
    <row r="88708" spans="6:6" x14ac:dyDescent="0.3">
      <c r="F88708" s="193"/>
    </row>
    <row r="88709" spans="6:6" x14ac:dyDescent="0.3">
      <c r="F88709" s="193"/>
    </row>
    <row r="88710" spans="6:6" x14ac:dyDescent="0.3">
      <c r="F88710" s="193"/>
    </row>
    <row r="88711" spans="6:6" x14ac:dyDescent="0.3">
      <c r="F88711" s="193"/>
    </row>
    <row r="88712" spans="6:6" x14ac:dyDescent="0.3">
      <c r="F88712" s="193"/>
    </row>
    <row r="88713" spans="6:6" x14ac:dyDescent="0.3">
      <c r="F88713" s="193"/>
    </row>
    <row r="88714" spans="6:6" x14ac:dyDescent="0.3">
      <c r="F88714" s="193"/>
    </row>
    <row r="88715" spans="6:6" x14ac:dyDescent="0.3">
      <c r="F88715" s="193"/>
    </row>
    <row r="88716" spans="6:6" x14ac:dyDescent="0.3">
      <c r="F88716" s="193"/>
    </row>
    <row r="88717" spans="6:6" x14ac:dyDescent="0.3">
      <c r="F88717" s="193"/>
    </row>
    <row r="88718" spans="6:6" x14ac:dyDescent="0.3">
      <c r="F88718" s="193"/>
    </row>
    <row r="88719" spans="6:6" x14ac:dyDescent="0.3">
      <c r="F88719" s="193"/>
    </row>
    <row r="88720" spans="6:6" x14ac:dyDescent="0.3">
      <c r="F88720" s="193"/>
    </row>
    <row r="88721" spans="6:6" x14ac:dyDescent="0.3">
      <c r="F88721" s="193"/>
    </row>
    <row r="88722" spans="6:6" x14ac:dyDescent="0.3">
      <c r="F88722" s="193"/>
    </row>
    <row r="88723" spans="6:6" x14ac:dyDescent="0.3">
      <c r="F88723" s="193"/>
    </row>
    <row r="88724" spans="6:6" x14ac:dyDescent="0.3">
      <c r="F88724" s="193"/>
    </row>
    <row r="88725" spans="6:6" x14ac:dyDescent="0.3">
      <c r="F88725" s="193"/>
    </row>
    <row r="88726" spans="6:6" x14ac:dyDescent="0.3">
      <c r="F88726" s="193"/>
    </row>
    <row r="88727" spans="6:6" x14ac:dyDescent="0.3">
      <c r="F88727" s="193"/>
    </row>
    <row r="88728" spans="6:6" x14ac:dyDescent="0.3">
      <c r="F88728" s="193"/>
    </row>
    <row r="88729" spans="6:6" x14ac:dyDescent="0.3">
      <c r="F88729" s="193"/>
    </row>
    <row r="88730" spans="6:6" x14ac:dyDescent="0.3">
      <c r="F88730" s="193"/>
    </row>
    <row r="88731" spans="6:6" x14ac:dyDescent="0.3">
      <c r="F88731" s="193"/>
    </row>
    <row r="88732" spans="6:6" x14ac:dyDescent="0.3">
      <c r="F88732" s="193"/>
    </row>
    <row r="88733" spans="6:6" x14ac:dyDescent="0.3">
      <c r="F88733" s="193"/>
    </row>
    <row r="88734" spans="6:6" x14ac:dyDescent="0.3">
      <c r="F88734" s="193"/>
    </row>
    <row r="88735" spans="6:6" x14ac:dyDescent="0.3">
      <c r="F88735" s="193"/>
    </row>
    <row r="88736" spans="6:6" x14ac:dyDescent="0.3">
      <c r="F88736" s="193"/>
    </row>
    <row r="88737" spans="6:6" x14ac:dyDescent="0.3">
      <c r="F88737" s="193"/>
    </row>
    <row r="88738" spans="6:6" x14ac:dyDescent="0.3">
      <c r="F88738" s="193"/>
    </row>
    <row r="88739" spans="6:6" x14ac:dyDescent="0.3">
      <c r="F88739" s="193"/>
    </row>
    <row r="88740" spans="6:6" x14ac:dyDescent="0.3">
      <c r="F88740" s="193"/>
    </row>
    <row r="88741" spans="6:6" x14ac:dyDescent="0.3">
      <c r="F88741" s="193"/>
    </row>
    <row r="88742" spans="6:6" x14ac:dyDescent="0.3">
      <c r="F88742" s="193"/>
    </row>
    <row r="88743" spans="6:6" x14ac:dyDescent="0.3">
      <c r="F88743" s="193"/>
    </row>
    <row r="88744" spans="6:6" x14ac:dyDescent="0.3">
      <c r="F88744" s="193"/>
    </row>
    <row r="88745" spans="6:6" x14ac:dyDescent="0.3">
      <c r="F88745" s="193"/>
    </row>
    <row r="88746" spans="6:6" x14ac:dyDescent="0.3">
      <c r="F88746" s="193"/>
    </row>
    <row r="88747" spans="6:6" x14ac:dyDescent="0.3">
      <c r="F88747" s="193"/>
    </row>
    <row r="88748" spans="6:6" x14ac:dyDescent="0.3">
      <c r="F88748" s="193"/>
    </row>
    <row r="88749" spans="6:6" x14ac:dyDescent="0.3">
      <c r="F88749" s="193"/>
    </row>
    <row r="88750" spans="6:6" x14ac:dyDescent="0.3">
      <c r="F88750" s="193"/>
    </row>
    <row r="88751" spans="6:6" x14ac:dyDescent="0.3">
      <c r="F88751" s="193"/>
    </row>
    <row r="88752" spans="6:6" x14ac:dyDescent="0.3">
      <c r="F88752" s="193"/>
    </row>
    <row r="88753" spans="6:6" x14ac:dyDescent="0.3">
      <c r="F88753" s="193"/>
    </row>
    <row r="88754" spans="6:6" x14ac:dyDescent="0.3">
      <c r="F88754" s="193"/>
    </row>
    <row r="88755" spans="6:6" x14ac:dyDescent="0.3">
      <c r="F88755" s="193"/>
    </row>
    <row r="88756" spans="6:6" x14ac:dyDescent="0.3">
      <c r="F88756" s="193"/>
    </row>
    <row r="88757" spans="6:6" x14ac:dyDescent="0.3">
      <c r="F88757" s="193"/>
    </row>
    <row r="88758" spans="6:6" x14ac:dyDescent="0.3">
      <c r="F88758" s="193"/>
    </row>
    <row r="88759" spans="6:6" x14ac:dyDescent="0.3">
      <c r="F88759" s="193"/>
    </row>
    <row r="88760" spans="6:6" x14ac:dyDescent="0.3">
      <c r="F88760" s="193"/>
    </row>
    <row r="88761" spans="6:6" x14ac:dyDescent="0.3">
      <c r="F88761" s="193"/>
    </row>
    <row r="88762" spans="6:6" x14ac:dyDescent="0.3">
      <c r="F88762" s="193"/>
    </row>
    <row r="88763" spans="6:6" x14ac:dyDescent="0.3">
      <c r="F88763" s="193"/>
    </row>
    <row r="88764" spans="6:6" x14ac:dyDescent="0.3">
      <c r="F88764" s="193"/>
    </row>
    <row r="88765" spans="6:6" x14ac:dyDescent="0.3">
      <c r="F88765" s="193"/>
    </row>
    <row r="88766" spans="6:6" x14ac:dyDescent="0.3">
      <c r="F88766" s="193"/>
    </row>
    <row r="88767" spans="6:6" x14ac:dyDescent="0.3">
      <c r="F88767" s="193"/>
    </row>
    <row r="88768" spans="6:6" x14ac:dyDescent="0.3">
      <c r="F88768" s="193"/>
    </row>
    <row r="88769" spans="6:6" x14ac:dyDescent="0.3">
      <c r="F88769" s="193"/>
    </row>
    <row r="88770" spans="6:6" x14ac:dyDescent="0.3">
      <c r="F88770" s="193"/>
    </row>
    <row r="88771" spans="6:6" x14ac:dyDescent="0.3">
      <c r="F88771" s="193"/>
    </row>
    <row r="88772" spans="6:6" x14ac:dyDescent="0.3">
      <c r="F88772" s="193"/>
    </row>
    <row r="88773" spans="6:6" x14ac:dyDescent="0.3">
      <c r="F88773" s="193"/>
    </row>
    <row r="88774" spans="6:6" x14ac:dyDescent="0.3">
      <c r="F88774" s="193"/>
    </row>
    <row r="88775" spans="6:6" x14ac:dyDescent="0.3">
      <c r="F88775" s="193"/>
    </row>
    <row r="88776" spans="6:6" x14ac:dyDescent="0.3">
      <c r="F88776" s="193"/>
    </row>
    <row r="88777" spans="6:6" x14ac:dyDescent="0.3">
      <c r="F88777" s="193"/>
    </row>
    <row r="88778" spans="6:6" x14ac:dyDescent="0.3">
      <c r="F88778" s="193"/>
    </row>
    <row r="88779" spans="6:6" x14ac:dyDescent="0.3">
      <c r="F88779" s="193"/>
    </row>
    <row r="88780" spans="6:6" x14ac:dyDescent="0.3">
      <c r="F88780" s="193"/>
    </row>
    <row r="88781" spans="6:6" x14ac:dyDescent="0.3">
      <c r="F88781" s="193"/>
    </row>
    <row r="88782" spans="6:6" x14ac:dyDescent="0.3">
      <c r="F88782" s="193"/>
    </row>
    <row r="88783" spans="6:6" x14ac:dyDescent="0.3">
      <c r="F88783" s="193"/>
    </row>
    <row r="88784" spans="6:6" x14ac:dyDescent="0.3">
      <c r="F88784" s="193"/>
    </row>
    <row r="88785" spans="6:6" x14ac:dyDescent="0.3">
      <c r="F88785" s="193"/>
    </row>
    <row r="88786" spans="6:6" x14ac:dyDescent="0.3">
      <c r="F88786" s="193"/>
    </row>
    <row r="88787" spans="6:6" x14ac:dyDescent="0.3">
      <c r="F88787" s="193"/>
    </row>
    <row r="88788" spans="6:6" x14ac:dyDescent="0.3">
      <c r="F88788" s="193"/>
    </row>
    <row r="88789" spans="6:6" x14ac:dyDescent="0.3">
      <c r="F88789" s="193"/>
    </row>
    <row r="88790" spans="6:6" x14ac:dyDescent="0.3">
      <c r="F88790" s="193"/>
    </row>
    <row r="88791" spans="6:6" x14ac:dyDescent="0.3">
      <c r="F88791" s="193"/>
    </row>
    <row r="88792" spans="6:6" x14ac:dyDescent="0.3">
      <c r="F88792" s="193"/>
    </row>
    <row r="88793" spans="6:6" x14ac:dyDescent="0.3">
      <c r="F88793" s="193"/>
    </row>
    <row r="88794" spans="6:6" x14ac:dyDescent="0.3">
      <c r="F88794" s="193"/>
    </row>
    <row r="88795" spans="6:6" x14ac:dyDescent="0.3">
      <c r="F88795" s="193"/>
    </row>
    <row r="88796" spans="6:6" x14ac:dyDescent="0.3">
      <c r="F88796" s="193"/>
    </row>
    <row r="88797" spans="6:6" x14ac:dyDescent="0.3">
      <c r="F88797" s="193"/>
    </row>
    <row r="88798" spans="6:6" x14ac:dyDescent="0.3">
      <c r="F88798" s="193"/>
    </row>
    <row r="88799" spans="6:6" x14ac:dyDescent="0.3">
      <c r="F88799" s="193"/>
    </row>
    <row r="88800" spans="6:6" x14ac:dyDescent="0.3">
      <c r="F88800" s="193"/>
    </row>
    <row r="88801" spans="6:6" x14ac:dyDescent="0.3">
      <c r="F88801" s="193"/>
    </row>
    <row r="88802" spans="6:6" x14ac:dyDescent="0.3">
      <c r="F88802" s="193"/>
    </row>
    <row r="88803" spans="6:6" x14ac:dyDescent="0.3">
      <c r="F88803" s="193"/>
    </row>
    <row r="88804" spans="6:6" x14ac:dyDescent="0.3">
      <c r="F88804" s="193"/>
    </row>
    <row r="88805" spans="6:6" x14ac:dyDescent="0.3">
      <c r="F88805" s="193"/>
    </row>
    <row r="88806" spans="6:6" x14ac:dyDescent="0.3">
      <c r="F88806" s="193"/>
    </row>
    <row r="88807" spans="6:6" x14ac:dyDescent="0.3">
      <c r="F88807" s="193"/>
    </row>
    <row r="88808" spans="6:6" x14ac:dyDescent="0.3">
      <c r="F88808" s="193"/>
    </row>
    <row r="88809" spans="6:6" x14ac:dyDescent="0.3">
      <c r="F88809" s="193"/>
    </row>
    <row r="88810" spans="6:6" x14ac:dyDescent="0.3">
      <c r="F88810" s="193"/>
    </row>
    <row r="88811" spans="6:6" x14ac:dyDescent="0.3">
      <c r="F88811" s="193"/>
    </row>
    <row r="88812" spans="6:6" x14ac:dyDescent="0.3">
      <c r="F88812" s="193"/>
    </row>
    <row r="88813" spans="6:6" x14ac:dyDescent="0.3">
      <c r="F88813" s="193"/>
    </row>
    <row r="88814" spans="6:6" x14ac:dyDescent="0.3">
      <c r="F88814" s="193"/>
    </row>
    <row r="88815" spans="6:6" x14ac:dyDescent="0.3">
      <c r="F88815" s="193"/>
    </row>
    <row r="88816" spans="6:6" x14ac:dyDescent="0.3">
      <c r="F88816" s="193"/>
    </row>
    <row r="88817" spans="6:6" x14ac:dyDescent="0.3">
      <c r="F88817" s="193"/>
    </row>
    <row r="88818" spans="6:6" x14ac:dyDescent="0.3">
      <c r="F88818" s="193"/>
    </row>
    <row r="88819" spans="6:6" x14ac:dyDescent="0.3">
      <c r="F88819" s="193"/>
    </row>
    <row r="88820" spans="6:6" x14ac:dyDescent="0.3">
      <c r="F88820" s="193"/>
    </row>
    <row r="88821" spans="6:6" x14ac:dyDescent="0.3">
      <c r="F88821" s="193"/>
    </row>
    <row r="88822" spans="6:6" x14ac:dyDescent="0.3">
      <c r="F88822" s="193"/>
    </row>
    <row r="88823" spans="6:6" x14ac:dyDescent="0.3">
      <c r="F88823" s="193"/>
    </row>
    <row r="88824" spans="6:6" x14ac:dyDescent="0.3">
      <c r="F88824" s="193"/>
    </row>
    <row r="88825" spans="6:6" x14ac:dyDescent="0.3">
      <c r="F88825" s="193"/>
    </row>
    <row r="88826" spans="6:6" x14ac:dyDescent="0.3">
      <c r="F88826" s="193"/>
    </row>
    <row r="88827" spans="6:6" x14ac:dyDescent="0.3">
      <c r="F88827" s="193"/>
    </row>
    <row r="88828" spans="6:6" x14ac:dyDescent="0.3">
      <c r="F88828" s="193"/>
    </row>
    <row r="88829" spans="6:6" x14ac:dyDescent="0.3">
      <c r="F88829" s="193"/>
    </row>
    <row r="88830" spans="6:6" x14ac:dyDescent="0.3">
      <c r="F88830" s="193"/>
    </row>
    <row r="88831" spans="6:6" x14ac:dyDescent="0.3">
      <c r="F88831" s="193"/>
    </row>
    <row r="88832" spans="6:6" x14ac:dyDescent="0.3">
      <c r="F88832" s="193"/>
    </row>
    <row r="88833" spans="6:6" x14ac:dyDescent="0.3">
      <c r="F88833" s="193"/>
    </row>
    <row r="88834" spans="6:6" x14ac:dyDescent="0.3">
      <c r="F88834" s="193"/>
    </row>
    <row r="88835" spans="6:6" x14ac:dyDescent="0.3">
      <c r="F88835" s="193"/>
    </row>
    <row r="88836" spans="6:6" x14ac:dyDescent="0.3">
      <c r="F88836" s="193"/>
    </row>
    <row r="88837" spans="6:6" x14ac:dyDescent="0.3">
      <c r="F88837" s="193"/>
    </row>
    <row r="88838" spans="6:6" x14ac:dyDescent="0.3">
      <c r="F88838" s="193"/>
    </row>
    <row r="88839" spans="6:6" x14ac:dyDescent="0.3">
      <c r="F88839" s="193"/>
    </row>
    <row r="88840" spans="6:6" x14ac:dyDescent="0.3">
      <c r="F88840" s="193"/>
    </row>
    <row r="88841" spans="6:6" x14ac:dyDescent="0.3">
      <c r="F88841" s="193"/>
    </row>
    <row r="88842" spans="6:6" x14ac:dyDescent="0.3">
      <c r="F88842" s="193"/>
    </row>
    <row r="88843" spans="6:6" x14ac:dyDescent="0.3">
      <c r="F88843" s="193"/>
    </row>
    <row r="88844" spans="6:6" x14ac:dyDescent="0.3">
      <c r="F88844" s="193"/>
    </row>
    <row r="88845" spans="6:6" x14ac:dyDescent="0.3">
      <c r="F88845" s="193"/>
    </row>
    <row r="88846" spans="6:6" x14ac:dyDescent="0.3">
      <c r="F88846" s="193"/>
    </row>
    <row r="88847" spans="6:6" x14ac:dyDescent="0.3">
      <c r="F88847" s="193"/>
    </row>
    <row r="88848" spans="6:6" x14ac:dyDescent="0.3">
      <c r="F88848" s="193"/>
    </row>
    <row r="88849" spans="6:6" x14ac:dyDescent="0.3">
      <c r="F88849" s="193"/>
    </row>
    <row r="88850" spans="6:6" x14ac:dyDescent="0.3">
      <c r="F88850" s="193"/>
    </row>
    <row r="88851" spans="6:6" x14ac:dyDescent="0.3">
      <c r="F88851" s="193"/>
    </row>
    <row r="88852" spans="6:6" x14ac:dyDescent="0.3">
      <c r="F88852" s="193"/>
    </row>
    <row r="88853" spans="6:6" x14ac:dyDescent="0.3">
      <c r="F88853" s="193"/>
    </row>
    <row r="88854" spans="6:6" x14ac:dyDescent="0.3">
      <c r="F88854" s="193"/>
    </row>
    <row r="88855" spans="6:6" x14ac:dyDescent="0.3">
      <c r="F88855" s="193"/>
    </row>
    <row r="88856" spans="6:6" x14ac:dyDescent="0.3">
      <c r="F88856" s="193"/>
    </row>
    <row r="88857" spans="6:6" x14ac:dyDescent="0.3">
      <c r="F88857" s="193"/>
    </row>
    <row r="88858" spans="6:6" x14ac:dyDescent="0.3">
      <c r="F88858" s="193"/>
    </row>
    <row r="88859" spans="6:6" x14ac:dyDescent="0.3">
      <c r="F88859" s="193"/>
    </row>
    <row r="88860" spans="6:6" x14ac:dyDescent="0.3">
      <c r="F88860" s="193"/>
    </row>
    <row r="88861" spans="6:6" x14ac:dyDescent="0.3">
      <c r="F88861" s="193"/>
    </row>
    <row r="88862" spans="6:6" x14ac:dyDescent="0.3">
      <c r="F88862" s="193"/>
    </row>
    <row r="88863" spans="6:6" x14ac:dyDescent="0.3">
      <c r="F88863" s="193"/>
    </row>
    <row r="88864" spans="6:6" x14ac:dyDescent="0.3">
      <c r="F88864" s="193"/>
    </row>
    <row r="88865" spans="6:6" x14ac:dyDescent="0.3">
      <c r="F88865" s="193"/>
    </row>
    <row r="88866" spans="6:6" x14ac:dyDescent="0.3">
      <c r="F88866" s="193"/>
    </row>
    <row r="88867" spans="6:6" x14ac:dyDescent="0.3">
      <c r="F88867" s="193"/>
    </row>
    <row r="88868" spans="6:6" x14ac:dyDescent="0.3">
      <c r="F88868" s="193"/>
    </row>
    <row r="88869" spans="6:6" x14ac:dyDescent="0.3">
      <c r="F88869" s="193"/>
    </row>
    <row r="88870" spans="6:6" x14ac:dyDescent="0.3">
      <c r="F88870" s="193"/>
    </row>
    <row r="88871" spans="6:6" x14ac:dyDescent="0.3">
      <c r="F88871" s="193"/>
    </row>
    <row r="88872" spans="6:6" x14ac:dyDescent="0.3">
      <c r="F88872" s="193"/>
    </row>
    <row r="88873" spans="6:6" x14ac:dyDescent="0.3">
      <c r="F88873" s="193"/>
    </row>
    <row r="88874" spans="6:6" x14ac:dyDescent="0.3">
      <c r="F88874" s="193"/>
    </row>
    <row r="88875" spans="6:6" x14ac:dyDescent="0.3">
      <c r="F88875" s="193"/>
    </row>
    <row r="88876" spans="6:6" x14ac:dyDescent="0.3">
      <c r="F88876" s="193"/>
    </row>
    <row r="88877" spans="6:6" x14ac:dyDescent="0.3">
      <c r="F88877" s="193"/>
    </row>
    <row r="88878" spans="6:6" x14ac:dyDescent="0.3">
      <c r="F88878" s="193"/>
    </row>
    <row r="88879" spans="6:6" x14ac:dyDescent="0.3">
      <c r="F88879" s="193"/>
    </row>
    <row r="88880" spans="6:6" x14ac:dyDescent="0.3">
      <c r="F88880" s="193"/>
    </row>
    <row r="88881" spans="6:6" x14ac:dyDescent="0.3">
      <c r="F88881" s="193"/>
    </row>
    <row r="88882" spans="6:6" x14ac:dyDescent="0.3">
      <c r="F88882" s="193"/>
    </row>
    <row r="88883" spans="6:6" x14ac:dyDescent="0.3">
      <c r="F88883" s="193"/>
    </row>
    <row r="88884" spans="6:6" x14ac:dyDescent="0.3">
      <c r="F88884" s="193"/>
    </row>
    <row r="88885" spans="6:6" x14ac:dyDescent="0.3">
      <c r="F88885" s="193"/>
    </row>
    <row r="88886" spans="6:6" x14ac:dyDescent="0.3">
      <c r="F88886" s="193"/>
    </row>
    <row r="88887" spans="6:6" x14ac:dyDescent="0.3">
      <c r="F88887" s="193"/>
    </row>
    <row r="88888" spans="6:6" x14ac:dyDescent="0.3">
      <c r="F88888" s="193"/>
    </row>
    <row r="88889" spans="6:6" x14ac:dyDescent="0.3">
      <c r="F88889" s="193"/>
    </row>
    <row r="88890" spans="6:6" x14ac:dyDescent="0.3">
      <c r="F88890" s="193"/>
    </row>
    <row r="88891" spans="6:6" x14ac:dyDescent="0.3">
      <c r="F88891" s="193"/>
    </row>
    <row r="88892" spans="6:6" x14ac:dyDescent="0.3">
      <c r="F88892" s="193"/>
    </row>
    <row r="88893" spans="6:6" x14ac:dyDescent="0.3">
      <c r="F88893" s="193"/>
    </row>
    <row r="88894" spans="6:6" x14ac:dyDescent="0.3">
      <c r="F88894" s="193"/>
    </row>
    <row r="88895" spans="6:6" x14ac:dyDescent="0.3">
      <c r="F88895" s="193"/>
    </row>
    <row r="88896" spans="6:6" x14ac:dyDescent="0.3">
      <c r="F88896" s="193"/>
    </row>
    <row r="88897" spans="6:6" x14ac:dyDescent="0.3">
      <c r="F88897" s="193"/>
    </row>
    <row r="88898" spans="6:6" x14ac:dyDescent="0.3">
      <c r="F88898" s="193"/>
    </row>
    <row r="88899" spans="6:6" x14ac:dyDescent="0.3">
      <c r="F88899" s="193"/>
    </row>
    <row r="88900" spans="6:6" x14ac:dyDescent="0.3">
      <c r="F88900" s="193"/>
    </row>
    <row r="88901" spans="6:6" x14ac:dyDescent="0.3">
      <c r="F88901" s="193"/>
    </row>
    <row r="88902" spans="6:6" x14ac:dyDescent="0.3">
      <c r="F88902" s="193"/>
    </row>
    <row r="88903" spans="6:6" x14ac:dyDescent="0.3">
      <c r="F88903" s="193"/>
    </row>
    <row r="88904" spans="6:6" x14ac:dyDescent="0.3">
      <c r="F88904" s="193"/>
    </row>
    <row r="88905" spans="6:6" x14ac:dyDescent="0.3">
      <c r="F88905" s="193"/>
    </row>
    <row r="88906" spans="6:6" x14ac:dyDescent="0.3">
      <c r="F88906" s="193"/>
    </row>
    <row r="88907" spans="6:6" x14ac:dyDescent="0.3">
      <c r="F88907" s="193"/>
    </row>
    <row r="88908" spans="6:6" x14ac:dyDescent="0.3">
      <c r="F88908" s="193"/>
    </row>
    <row r="88909" spans="6:6" x14ac:dyDescent="0.3">
      <c r="F88909" s="193"/>
    </row>
    <row r="88910" spans="6:6" x14ac:dyDescent="0.3">
      <c r="F88910" s="193"/>
    </row>
    <row r="88911" spans="6:6" x14ac:dyDescent="0.3">
      <c r="F88911" s="193"/>
    </row>
    <row r="88912" spans="6:6" x14ac:dyDescent="0.3">
      <c r="F88912" s="193"/>
    </row>
    <row r="88913" spans="6:6" x14ac:dyDescent="0.3">
      <c r="F88913" s="193"/>
    </row>
    <row r="88914" spans="6:6" x14ac:dyDescent="0.3">
      <c r="F88914" s="193"/>
    </row>
    <row r="88915" spans="6:6" x14ac:dyDescent="0.3">
      <c r="F88915" s="193"/>
    </row>
    <row r="88916" spans="6:6" x14ac:dyDescent="0.3">
      <c r="F88916" s="193"/>
    </row>
    <row r="88917" spans="6:6" x14ac:dyDescent="0.3">
      <c r="F88917" s="193"/>
    </row>
    <row r="88918" spans="6:6" x14ac:dyDescent="0.3">
      <c r="F88918" s="193"/>
    </row>
    <row r="88919" spans="6:6" x14ac:dyDescent="0.3">
      <c r="F88919" s="193"/>
    </row>
    <row r="88920" spans="6:6" x14ac:dyDescent="0.3">
      <c r="F88920" s="193"/>
    </row>
    <row r="88921" spans="6:6" x14ac:dyDescent="0.3">
      <c r="F88921" s="193"/>
    </row>
    <row r="88922" spans="6:6" x14ac:dyDescent="0.3">
      <c r="F88922" s="193"/>
    </row>
    <row r="88923" spans="6:6" x14ac:dyDescent="0.3">
      <c r="F88923" s="193"/>
    </row>
    <row r="88924" spans="6:6" x14ac:dyDescent="0.3">
      <c r="F88924" s="193"/>
    </row>
    <row r="88925" spans="6:6" x14ac:dyDescent="0.3">
      <c r="F88925" s="193"/>
    </row>
    <row r="88926" spans="6:6" x14ac:dyDescent="0.3">
      <c r="F88926" s="193"/>
    </row>
    <row r="88927" spans="6:6" x14ac:dyDescent="0.3">
      <c r="F88927" s="193"/>
    </row>
    <row r="88928" spans="6:6" x14ac:dyDescent="0.3">
      <c r="F88928" s="193"/>
    </row>
    <row r="88929" spans="6:6" x14ac:dyDescent="0.3">
      <c r="F88929" s="193"/>
    </row>
    <row r="88930" spans="6:6" x14ac:dyDescent="0.3">
      <c r="F88930" s="193"/>
    </row>
    <row r="88931" spans="6:6" x14ac:dyDescent="0.3">
      <c r="F88931" s="193"/>
    </row>
    <row r="88932" spans="6:6" x14ac:dyDescent="0.3">
      <c r="F88932" s="193"/>
    </row>
    <row r="88933" spans="6:6" x14ac:dyDescent="0.3">
      <c r="F88933" s="193"/>
    </row>
    <row r="88934" spans="6:6" x14ac:dyDescent="0.3">
      <c r="F88934" s="193"/>
    </row>
    <row r="88935" spans="6:6" x14ac:dyDescent="0.3">
      <c r="F88935" s="193"/>
    </row>
    <row r="88936" spans="6:6" x14ac:dyDescent="0.3">
      <c r="F88936" s="193"/>
    </row>
    <row r="88937" spans="6:6" x14ac:dyDescent="0.3">
      <c r="F88937" s="193"/>
    </row>
    <row r="88938" spans="6:6" x14ac:dyDescent="0.3">
      <c r="F88938" s="193"/>
    </row>
    <row r="88939" spans="6:6" x14ac:dyDescent="0.3">
      <c r="F88939" s="193"/>
    </row>
    <row r="88940" spans="6:6" x14ac:dyDescent="0.3">
      <c r="F88940" s="193"/>
    </row>
    <row r="88941" spans="6:6" x14ac:dyDescent="0.3">
      <c r="F88941" s="193"/>
    </row>
    <row r="88942" spans="6:6" x14ac:dyDescent="0.3">
      <c r="F88942" s="193"/>
    </row>
    <row r="88943" spans="6:6" x14ac:dyDescent="0.3">
      <c r="F88943" s="193"/>
    </row>
    <row r="88944" spans="6:6" x14ac:dyDescent="0.3">
      <c r="F88944" s="193"/>
    </row>
    <row r="88945" spans="6:6" x14ac:dyDescent="0.3">
      <c r="F88945" s="193"/>
    </row>
    <row r="88946" spans="6:6" x14ac:dyDescent="0.3">
      <c r="F88946" s="193"/>
    </row>
    <row r="88947" spans="6:6" x14ac:dyDescent="0.3">
      <c r="F88947" s="193"/>
    </row>
    <row r="88948" spans="6:6" x14ac:dyDescent="0.3">
      <c r="F88948" s="193"/>
    </row>
    <row r="88949" spans="6:6" x14ac:dyDescent="0.3">
      <c r="F88949" s="193"/>
    </row>
    <row r="88950" spans="6:6" x14ac:dyDescent="0.3">
      <c r="F88950" s="193"/>
    </row>
    <row r="88951" spans="6:6" x14ac:dyDescent="0.3">
      <c r="F88951" s="193"/>
    </row>
    <row r="88952" spans="6:6" x14ac:dyDescent="0.3">
      <c r="F88952" s="193"/>
    </row>
    <row r="88953" spans="6:6" x14ac:dyDescent="0.3">
      <c r="F88953" s="193"/>
    </row>
    <row r="88954" spans="6:6" x14ac:dyDescent="0.3">
      <c r="F88954" s="193"/>
    </row>
    <row r="88955" spans="6:6" x14ac:dyDescent="0.3">
      <c r="F88955" s="193"/>
    </row>
    <row r="88956" spans="6:6" x14ac:dyDescent="0.3">
      <c r="F88956" s="193"/>
    </row>
    <row r="88957" spans="6:6" x14ac:dyDescent="0.3">
      <c r="F88957" s="193"/>
    </row>
    <row r="88958" spans="6:6" x14ac:dyDescent="0.3">
      <c r="F88958" s="193"/>
    </row>
    <row r="88959" spans="6:6" x14ac:dyDescent="0.3">
      <c r="F88959" s="193"/>
    </row>
    <row r="88960" spans="6:6" x14ac:dyDescent="0.3">
      <c r="F88960" s="193"/>
    </row>
    <row r="88961" spans="6:6" x14ac:dyDescent="0.3">
      <c r="F88961" s="193"/>
    </row>
    <row r="88962" spans="6:6" x14ac:dyDescent="0.3">
      <c r="F88962" s="193"/>
    </row>
    <row r="88963" spans="6:6" x14ac:dyDescent="0.3">
      <c r="F88963" s="193"/>
    </row>
    <row r="88964" spans="6:6" x14ac:dyDescent="0.3">
      <c r="F88964" s="193"/>
    </row>
    <row r="88965" spans="6:6" x14ac:dyDescent="0.3">
      <c r="F88965" s="193"/>
    </row>
    <row r="88966" spans="6:6" x14ac:dyDescent="0.3">
      <c r="F88966" s="193"/>
    </row>
    <row r="88967" spans="6:6" x14ac:dyDescent="0.3">
      <c r="F88967" s="193"/>
    </row>
    <row r="88968" spans="6:6" x14ac:dyDescent="0.3">
      <c r="F88968" s="193"/>
    </row>
    <row r="88969" spans="6:6" x14ac:dyDescent="0.3">
      <c r="F88969" s="193"/>
    </row>
    <row r="88970" spans="6:6" x14ac:dyDescent="0.3">
      <c r="F88970" s="193"/>
    </row>
    <row r="88971" spans="6:6" x14ac:dyDescent="0.3">
      <c r="F88971" s="193"/>
    </row>
    <row r="88972" spans="6:6" x14ac:dyDescent="0.3">
      <c r="F88972" s="193"/>
    </row>
    <row r="88973" spans="6:6" x14ac:dyDescent="0.3">
      <c r="F88973" s="193"/>
    </row>
    <row r="88974" spans="6:6" x14ac:dyDescent="0.3">
      <c r="F88974" s="193"/>
    </row>
    <row r="88975" spans="6:6" x14ac:dyDescent="0.3">
      <c r="F88975" s="193"/>
    </row>
    <row r="88976" spans="6:6" x14ac:dyDescent="0.3">
      <c r="F88976" s="193"/>
    </row>
    <row r="88977" spans="6:6" x14ac:dyDescent="0.3">
      <c r="F88977" s="193"/>
    </row>
    <row r="88978" spans="6:6" x14ac:dyDescent="0.3">
      <c r="F88978" s="193"/>
    </row>
    <row r="88979" spans="6:6" x14ac:dyDescent="0.3">
      <c r="F88979" s="193"/>
    </row>
    <row r="88980" spans="6:6" x14ac:dyDescent="0.3">
      <c r="F88980" s="193"/>
    </row>
    <row r="88981" spans="6:6" x14ac:dyDescent="0.3">
      <c r="F88981" s="193"/>
    </row>
    <row r="88982" spans="6:6" x14ac:dyDescent="0.3">
      <c r="F88982" s="193"/>
    </row>
    <row r="88983" spans="6:6" x14ac:dyDescent="0.3">
      <c r="F88983" s="193"/>
    </row>
    <row r="88984" spans="6:6" x14ac:dyDescent="0.3">
      <c r="F88984" s="193"/>
    </row>
    <row r="88985" spans="6:6" x14ac:dyDescent="0.3">
      <c r="F88985" s="193"/>
    </row>
    <row r="88986" spans="6:6" x14ac:dyDescent="0.3">
      <c r="F88986" s="193"/>
    </row>
    <row r="88987" spans="6:6" x14ac:dyDescent="0.3">
      <c r="F88987" s="193"/>
    </row>
    <row r="88988" spans="6:6" x14ac:dyDescent="0.3">
      <c r="F88988" s="193"/>
    </row>
    <row r="88989" spans="6:6" x14ac:dyDescent="0.3">
      <c r="F88989" s="193"/>
    </row>
    <row r="88990" spans="6:6" x14ac:dyDescent="0.3">
      <c r="F88990" s="193"/>
    </row>
    <row r="88991" spans="6:6" x14ac:dyDescent="0.3">
      <c r="F88991" s="193"/>
    </row>
    <row r="88992" spans="6:6" x14ac:dyDescent="0.3">
      <c r="F88992" s="193"/>
    </row>
    <row r="88993" spans="6:6" x14ac:dyDescent="0.3">
      <c r="F88993" s="193"/>
    </row>
    <row r="88994" spans="6:6" x14ac:dyDescent="0.3">
      <c r="F88994" s="193"/>
    </row>
    <row r="88995" spans="6:6" x14ac:dyDescent="0.3">
      <c r="F88995" s="193"/>
    </row>
    <row r="88996" spans="6:6" x14ac:dyDescent="0.3">
      <c r="F88996" s="193"/>
    </row>
    <row r="88997" spans="6:6" x14ac:dyDescent="0.3">
      <c r="F88997" s="193"/>
    </row>
    <row r="88998" spans="6:6" x14ac:dyDescent="0.3">
      <c r="F88998" s="193"/>
    </row>
    <row r="88999" spans="6:6" x14ac:dyDescent="0.3">
      <c r="F88999" s="193"/>
    </row>
    <row r="89000" spans="6:6" x14ac:dyDescent="0.3">
      <c r="F89000" s="193"/>
    </row>
    <row r="89001" spans="6:6" x14ac:dyDescent="0.3">
      <c r="F89001" s="193"/>
    </row>
    <row r="89002" spans="6:6" x14ac:dyDescent="0.3">
      <c r="F89002" s="193"/>
    </row>
    <row r="89003" spans="6:6" x14ac:dyDescent="0.3">
      <c r="F89003" s="193"/>
    </row>
    <row r="89004" spans="6:6" x14ac:dyDescent="0.3">
      <c r="F89004" s="193"/>
    </row>
    <row r="89005" spans="6:6" x14ac:dyDescent="0.3">
      <c r="F89005" s="193"/>
    </row>
    <row r="89006" spans="6:6" x14ac:dyDescent="0.3">
      <c r="F89006" s="193"/>
    </row>
    <row r="89007" spans="6:6" x14ac:dyDescent="0.3">
      <c r="F89007" s="193"/>
    </row>
    <row r="89008" spans="6:6" x14ac:dyDescent="0.3">
      <c r="F89008" s="193"/>
    </row>
    <row r="89009" spans="6:6" x14ac:dyDescent="0.3">
      <c r="F89009" s="193"/>
    </row>
    <row r="89010" spans="6:6" x14ac:dyDescent="0.3">
      <c r="F89010" s="193"/>
    </row>
    <row r="89011" spans="6:6" x14ac:dyDescent="0.3">
      <c r="F89011" s="193"/>
    </row>
    <row r="89012" spans="6:6" x14ac:dyDescent="0.3">
      <c r="F89012" s="193"/>
    </row>
    <row r="89013" spans="6:6" x14ac:dyDescent="0.3">
      <c r="F89013" s="193"/>
    </row>
    <row r="89014" spans="6:6" x14ac:dyDescent="0.3">
      <c r="F89014" s="193"/>
    </row>
    <row r="89015" spans="6:6" x14ac:dyDescent="0.3">
      <c r="F89015" s="193"/>
    </row>
    <row r="89016" spans="6:6" x14ac:dyDescent="0.3">
      <c r="F89016" s="193"/>
    </row>
    <row r="89017" spans="6:6" x14ac:dyDescent="0.3">
      <c r="F89017" s="193"/>
    </row>
    <row r="89018" spans="6:6" x14ac:dyDescent="0.3">
      <c r="F89018" s="193"/>
    </row>
    <row r="89019" spans="6:6" x14ac:dyDescent="0.3">
      <c r="F89019" s="193"/>
    </row>
    <row r="89020" spans="6:6" x14ac:dyDescent="0.3">
      <c r="F89020" s="193"/>
    </row>
    <row r="89021" spans="6:6" x14ac:dyDescent="0.3">
      <c r="F89021" s="193"/>
    </row>
    <row r="89022" spans="6:6" x14ac:dyDescent="0.3">
      <c r="F89022" s="193"/>
    </row>
    <row r="89023" spans="6:6" x14ac:dyDescent="0.3">
      <c r="F89023" s="193"/>
    </row>
    <row r="89024" spans="6:6" x14ac:dyDescent="0.3">
      <c r="F89024" s="193"/>
    </row>
    <row r="89025" spans="6:6" x14ac:dyDescent="0.3">
      <c r="F89025" s="193"/>
    </row>
    <row r="89026" spans="6:6" x14ac:dyDescent="0.3">
      <c r="F89026" s="193"/>
    </row>
    <row r="89027" spans="6:6" x14ac:dyDescent="0.3">
      <c r="F89027" s="193"/>
    </row>
    <row r="89028" spans="6:6" x14ac:dyDescent="0.3">
      <c r="F89028" s="193"/>
    </row>
    <row r="89029" spans="6:6" x14ac:dyDescent="0.3">
      <c r="F89029" s="193"/>
    </row>
    <row r="89030" spans="6:6" x14ac:dyDescent="0.3">
      <c r="F89030" s="193"/>
    </row>
    <row r="89031" spans="6:6" x14ac:dyDescent="0.3">
      <c r="F89031" s="193"/>
    </row>
    <row r="89032" spans="6:6" x14ac:dyDescent="0.3">
      <c r="F89032" s="193"/>
    </row>
    <row r="89033" spans="6:6" x14ac:dyDescent="0.3">
      <c r="F89033" s="193"/>
    </row>
    <row r="89034" spans="6:6" x14ac:dyDescent="0.3">
      <c r="F89034" s="193"/>
    </row>
    <row r="89035" spans="6:6" x14ac:dyDescent="0.3">
      <c r="F89035" s="193"/>
    </row>
    <row r="89036" spans="6:6" x14ac:dyDescent="0.3">
      <c r="F89036" s="193"/>
    </row>
    <row r="89037" spans="6:6" x14ac:dyDescent="0.3">
      <c r="F89037" s="193"/>
    </row>
    <row r="89038" spans="6:6" x14ac:dyDescent="0.3">
      <c r="F89038" s="193"/>
    </row>
    <row r="89039" spans="6:6" x14ac:dyDescent="0.3">
      <c r="F89039" s="193"/>
    </row>
    <row r="89040" spans="6:6" x14ac:dyDescent="0.3">
      <c r="F89040" s="193"/>
    </row>
    <row r="89041" spans="6:6" x14ac:dyDescent="0.3">
      <c r="F89041" s="193"/>
    </row>
    <row r="89042" spans="6:6" x14ac:dyDescent="0.3">
      <c r="F89042" s="193"/>
    </row>
    <row r="89043" spans="6:6" x14ac:dyDescent="0.3">
      <c r="F89043" s="193"/>
    </row>
    <row r="89044" spans="6:6" x14ac:dyDescent="0.3">
      <c r="F89044" s="193"/>
    </row>
    <row r="89045" spans="6:6" x14ac:dyDescent="0.3">
      <c r="F89045" s="193"/>
    </row>
    <row r="89046" spans="6:6" x14ac:dyDescent="0.3">
      <c r="F89046" s="193"/>
    </row>
    <row r="89047" spans="6:6" x14ac:dyDescent="0.3">
      <c r="F89047" s="193"/>
    </row>
    <row r="89048" spans="6:6" x14ac:dyDescent="0.3">
      <c r="F89048" s="193"/>
    </row>
    <row r="89049" spans="6:6" x14ac:dyDescent="0.3">
      <c r="F89049" s="193"/>
    </row>
    <row r="89050" spans="6:6" x14ac:dyDescent="0.3">
      <c r="F89050" s="193"/>
    </row>
    <row r="89051" spans="6:6" x14ac:dyDescent="0.3">
      <c r="F89051" s="193"/>
    </row>
    <row r="89052" spans="6:6" x14ac:dyDescent="0.3">
      <c r="F89052" s="193"/>
    </row>
    <row r="89053" spans="6:6" x14ac:dyDescent="0.3">
      <c r="F89053" s="193"/>
    </row>
    <row r="89054" spans="6:6" x14ac:dyDescent="0.3">
      <c r="F89054" s="193"/>
    </row>
    <row r="89055" spans="6:6" x14ac:dyDescent="0.3">
      <c r="F89055" s="193"/>
    </row>
    <row r="89056" spans="6:6" x14ac:dyDescent="0.3">
      <c r="F89056" s="193"/>
    </row>
    <row r="89057" spans="6:6" x14ac:dyDescent="0.3">
      <c r="F89057" s="193"/>
    </row>
    <row r="89058" spans="6:6" x14ac:dyDescent="0.3">
      <c r="F89058" s="193"/>
    </row>
    <row r="89059" spans="6:6" x14ac:dyDescent="0.3">
      <c r="F89059" s="193"/>
    </row>
    <row r="89060" spans="6:6" x14ac:dyDescent="0.3">
      <c r="F89060" s="193"/>
    </row>
    <row r="89061" spans="6:6" x14ac:dyDescent="0.3">
      <c r="F89061" s="193"/>
    </row>
    <row r="89062" spans="6:6" x14ac:dyDescent="0.3">
      <c r="F89062" s="193"/>
    </row>
    <row r="89063" spans="6:6" x14ac:dyDescent="0.3">
      <c r="F89063" s="193"/>
    </row>
    <row r="89064" spans="6:6" x14ac:dyDescent="0.3">
      <c r="F89064" s="193"/>
    </row>
    <row r="89065" spans="6:6" x14ac:dyDescent="0.3">
      <c r="F89065" s="193"/>
    </row>
    <row r="89066" spans="6:6" x14ac:dyDescent="0.3">
      <c r="F89066" s="193"/>
    </row>
    <row r="89067" spans="6:6" x14ac:dyDescent="0.3">
      <c r="F89067" s="193"/>
    </row>
    <row r="89068" spans="6:6" x14ac:dyDescent="0.3">
      <c r="F89068" s="193"/>
    </row>
    <row r="89069" spans="6:6" x14ac:dyDescent="0.3">
      <c r="F89069" s="193"/>
    </row>
    <row r="89070" spans="6:6" x14ac:dyDescent="0.3">
      <c r="F89070" s="193"/>
    </row>
    <row r="89071" spans="6:6" x14ac:dyDescent="0.3">
      <c r="F89071" s="193"/>
    </row>
    <row r="89072" spans="6:6" x14ac:dyDescent="0.3">
      <c r="F89072" s="193"/>
    </row>
    <row r="89073" spans="6:6" x14ac:dyDescent="0.3">
      <c r="F89073" s="193"/>
    </row>
    <row r="89074" spans="6:6" x14ac:dyDescent="0.3">
      <c r="F89074" s="193"/>
    </row>
    <row r="89075" spans="6:6" x14ac:dyDescent="0.3">
      <c r="F89075" s="193"/>
    </row>
    <row r="89076" spans="6:6" x14ac:dyDescent="0.3">
      <c r="F89076" s="193"/>
    </row>
    <row r="89077" spans="6:6" x14ac:dyDescent="0.3">
      <c r="F89077" s="193"/>
    </row>
    <row r="89078" spans="6:6" x14ac:dyDescent="0.3">
      <c r="F89078" s="193"/>
    </row>
    <row r="89079" spans="6:6" x14ac:dyDescent="0.3">
      <c r="F89079" s="193"/>
    </row>
    <row r="89080" spans="6:6" x14ac:dyDescent="0.3">
      <c r="F89080" s="193"/>
    </row>
    <row r="89081" spans="6:6" x14ac:dyDescent="0.3">
      <c r="F89081" s="193"/>
    </row>
    <row r="89082" spans="6:6" x14ac:dyDescent="0.3">
      <c r="F89082" s="193"/>
    </row>
    <row r="89083" spans="6:6" x14ac:dyDescent="0.3">
      <c r="F89083" s="193"/>
    </row>
    <row r="89084" spans="6:6" x14ac:dyDescent="0.3">
      <c r="F89084" s="193"/>
    </row>
    <row r="89085" spans="6:6" x14ac:dyDescent="0.3">
      <c r="F89085" s="193"/>
    </row>
    <row r="89086" spans="6:6" x14ac:dyDescent="0.3">
      <c r="F89086" s="193"/>
    </row>
    <row r="89087" spans="6:6" x14ac:dyDescent="0.3">
      <c r="F89087" s="193"/>
    </row>
    <row r="89088" spans="6:6" x14ac:dyDescent="0.3">
      <c r="F89088" s="193"/>
    </row>
    <row r="89089" spans="6:6" x14ac:dyDescent="0.3">
      <c r="F89089" s="193"/>
    </row>
    <row r="89090" spans="6:6" x14ac:dyDescent="0.3">
      <c r="F89090" s="193"/>
    </row>
    <row r="89091" spans="6:6" x14ac:dyDescent="0.3">
      <c r="F89091" s="193"/>
    </row>
    <row r="89092" spans="6:6" x14ac:dyDescent="0.3">
      <c r="F89092" s="193"/>
    </row>
    <row r="89093" spans="6:6" x14ac:dyDescent="0.3">
      <c r="F89093" s="193"/>
    </row>
    <row r="89094" spans="6:6" x14ac:dyDescent="0.3">
      <c r="F89094" s="193"/>
    </row>
    <row r="89095" spans="6:6" x14ac:dyDescent="0.3">
      <c r="F89095" s="193"/>
    </row>
    <row r="89096" spans="6:6" x14ac:dyDescent="0.3">
      <c r="F89096" s="193"/>
    </row>
    <row r="89097" spans="6:6" x14ac:dyDescent="0.3">
      <c r="F89097" s="193"/>
    </row>
    <row r="89098" spans="6:6" x14ac:dyDescent="0.3">
      <c r="F89098" s="193"/>
    </row>
    <row r="89099" spans="6:6" x14ac:dyDescent="0.3">
      <c r="F89099" s="193"/>
    </row>
    <row r="89100" spans="6:6" x14ac:dyDescent="0.3">
      <c r="F89100" s="193"/>
    </row>
    <row r="89101" spans="6:6" x14ac:dyDescent="0.3">
      <c r="F89101" s="193"/>
    </row>
    <row r="89102" spans="6:6" x14ac:dyDescent="0.3">
      <c r="F89102" s="193"/>
    </row>
    <row r="89103" spans="6:6" x14ac:dyDescent="0.3">
      <c r="F89103" s="193"/>
    </row>
    <row r="89104" spans="6:6" x14ac:dyDescent="0.3">
      <c r="F89104" s="193"/>
    </row>
    <row r="89105" spans="6:6" x14ac:dyDescent="0.3">
      <c r="F89105" s="193"/>
    </row>
    <row r="89106" spans="6:6" x14ac:dyDescent="0.3">
      <c r="F89106" s="193"/>
    </row>
    <row r="89107" spans="6:6" x14ac:dyDescent="0.3">
      <c r="F89107" s="193"/>
    </row>
    <row r="89108" spans="6:6" x14ac:dyDescent="0.3">
      <c r="F89108" s="193"/>
    </row>
    <row r="89109" spans="6:6" x14ac:dyDescent="0.3">
      <c r="F89109" s="193"/>
    </row>
    <row r="89110" spans="6:6" x14ac:dyDescent="0.3">
      <c r="F89110" s="193"/>
    </row>
    <row r="89111" spans="6:6" x14ac:dyDescent="0.3">
      <c r="F89111" s="193"/>
    </row>
    <row r="89112" spans="6:6" x14ac:dyDescent="0.3">
      <c r="F89112" s="193"/>
    </row>
    <row r="89113" spans="6:6" x14ac:dyDescent="0.3">
      <c r="F89113" s="193"/>
    </row>
    <row r="89114" spans="6:6" x14ac:dyDescent="0.3">
      <c r="F89114" s="193"/>
    </row>
    <row r="89115" spans="6:6" x14ac:dyDescent="0.3">
      <c r="F89115" s="193"/>
    </row>
    <row r="89116" spans="6:6" x14ac:dyDescent="0.3">
      <c r="F89116" s="193"/>
    </row>
    <row r="89117" spans="6:6" x14ac:dyDescent="0.3">
      <c r="F89117" s="193"/>
    </row>
    <row r="89118" spans="6:6" x14ac:dyDescent="0.3">
      <c r="F89118" s="193"/>
    </row>
    <row r="89119" spans="6:6" x14ac:dyDescent="0.3">
      <c r="F89119" s="193"/>
    </row>
    <row r="89120" spans="6:6" x14ac:dyDescent="0.3">
      <c r="F89120" s="193"/>
    </row>
    <row r="89121" spans="6:6" x14ac:dyDescent="0.3">
      <c r="F89121" s="193"/>
    </row>
    <row r="89122" spans="6:6" x14ac:dyDescent="0.3">
      <c r="F89122" s="193"/>
    </row>
    <row r="89123" spans="6:6" x14ac:dyDescent="0.3">
      <c r="F89123" s="193"/>
    </row>
    <row r="89124" spans="6:6" x14ac:dyDescent="0.3">
      <c r="F89124" s="193"/>
    </row>
    <row r="89125" spans="6:6" x14ac:dyDescent="0.3">
      <c r="F89125" s="193"/>
    </row>
    <row r="89126" spans="6:6" x14ac:dyDescent="0.3">
      <c r="F89126" s="193"/>
    </row>
    <row r="89127" spans="6:6" x14ac:dyDescent="0.3">
      <c r="F89127" s="193"/>
    </row>
    <row r="89128" spans="6:6" x14ac:dyDescent="0.3">
      <c r="F89128" s="193"/>
    </row>
    <row r="89129" spans="6:6" x14ac:dyDescent="0.3">
      <c r="F89129" s="193"/>
    </row>
    <row r="89130" spans="6:6" x14ac:dyDescent="0.3">
      <c r="F89130" s="193"/>
    </row>
    <row r="89131" spans="6:6" x14ac:dyDescent="0.3">
      <c r="F89131" s="193"/>
    </row>
    <row r="89132" spans="6:6" x14ac:dyDescent="0.3">
      <c r="F89132" s="193"/>
    </row>
    <row r="89133" spans="6:6" x14ac:dyDescent="0.3">
      <c r="F89133" s="193"/>
    </row>
    <row r="89134" spans="6:6" x14ac:dyDescent="0.3">
      <c r="F89134" s="193"/>
    </row>
    <row r="89135" spans="6:6" x14ac:dyDescent="0.3">
      <c r="F89135" s="193"/>
    </row>
    <row r="89136" spans="6:6" x14ac:dyDescent="0.3">
      <c r="F89136" s="193"/>
    </row>
    <row r="89137" spans="6:6" x14ac:dyDescent="0.3">
      <c r="F89137" s="193"/>
    </row>
    <row r="89138" spans="6:6" x14ac:dyDescent="0.3">
      <c r="F89138" s="193"/>
    </row>
    <row r="89139" spans="6:6" x14ac:dyDescent="0.3">
      <c r="F89139" s="193"/>
    </row>
    <row r="89140" spans="6:6" x14ac:dyDescent="0.3">
      <c r="F89140" s="193"/>
    </row>
    <row r="89141" spans="6:6" x14ac:dyDescent="0.3">
      <c r="F89141" s="193"/>
    </row>
    <row r="89142" spans="6:6" x14ac:dyDescent="0.3">
      <c r="F89142" s="193"/>
    </row>
    <row r="89143" spans="6:6" x14ac:dyDescent="0.3">
      <c r="F89143" s="193"/>
    </row>
    <row r="89144" spans="6:6" x14ac:dyDescent="0.3">
      <c r="F89144" s="193"/>
    </row>
    <row r="89145" spans="6:6" x14ac:dyDescent="0.3">
      <c r="F89145" s="193"/>
    </row>
    <row r="89146" spans="6:6" x14ac:dyDescent="0.3">
      <c r="F89146" s="193"/>
    </row>
    <row r="89147" spans="6:6" x14ac:dyDescent="0.3">
      <c r="F89147" s="193"/>
    </row>
    <row r="89148" spans="6:6" x14ac:dyDescent="0.3">
      <c r="F89148" s="193"/>
    </row>
    <row r="89149" spans="6:6" x14ac:dyDescent="0.3">
      <c r="F89149" s="193"/>
    </row>
    <row r="89150" spans="6:6" x14ac:dyDescent="0.3">
      <c r="F89150" s="193"/>
    </row>
    <row r="89151" spans="6:6" x14ac:dyDescent="0.3">
      <c r="F89151" s="193"/>
    </row>
    <row r="89152" spans="6:6" x14ac:dyDescent="0.3">
      <c r="F89152" s="193"/>
    </row>
    <row r="89153" spans="6:6" x14ac:dyDescent="0.3">
      <c r="F89153" s="193"/>
    </row>
    <row r="89154" spans="6:6" x14ac:dyDescent="0.3">
      <c r="F89154" s="193"/>
    </row>
    <row r="89155" spans="6:6" x14ac:dyDescent="0.3">
      <c r="F89155" s="193"/>
    </row>
    <row r="89156" spans="6:6" x14ac:dyDescent="0.3">
      <c r="F89156" s="193"/>
    </row>
    <row r="89157" spans="6:6" x14ac:dyDescent="0.3">
      <c r="F89157" s="193"/>
    </row>
    <row r="89158" spans="6:6" x14ac:dyDescent="0.3">
      <c r="F89158" s="193"/>
    </row>
    <row r="89159" spans="6:6" x14ac:dyDescent="0.3">
      <c r="F89159" s="193"/>
    </row>
    <row r="89160" spans="6:6" x14ac:dyDescent="0.3">
      <c r="F89160" s="193"/>
    </row>
    <row r="89161" spans="6:6" x14ac:dyDescent="0.3">
      <c r="F89161" s="193"/>
    </row>
    <row r="89162" spans="6:6" x14ac:dyDescent="0.3">
      <c r="F89162" s="193"/>
    </row>
    <row r="89163" spans="6:6" x14ac:dyDescent="0.3">
      <c r="F89163" s="193"/>
    </row>
    <row r="89164" spans="6:6" x14ac:dyDescent="0.3">
      <c r="F89164" s="193"/>
    </row>
    <row r="89165" spans="6:6" x14ac:dyDescent="0.3">
      <c r="F89165" s="193"/>
    </row>
    <row r="89166" spans="6:6" x14ac:dyDescent="0.3">
      <c r="F89166" s="193"/>
    </row>
    <row r="89167" spans="6:6" x14ac:dyDescent="0.3">
      <c r="F89167" s="193"/>
    </row>
    <row r="89168" spans="6:6" x14ac:dyDescent="0.3">
      <c r="F89168" s="193"/>
    </row>
    <row r="89169" spans="6:6" x14ac:dyDescent="0.3">
      <c r="F89169" s="193"/>
    </row>
    <row r="89170" spans="6:6" x14ac:dyDescent="0.3">
      <c r="F89170" s="193"/>
    </row>
    <row r="89171" spans="6:6" x14ac:dyDescent="0.3">
      <c r="F89171" s="193"/>
    </row>
    <row r="89172" spans="6:6" x14ac:dyDescent="0.3">
      <c r="F89172" s="193"/>
    </row>
    <row r="89173" spans="6:6" x14ac:dyDescent="0.3">
      <c r="F89173" s="193"/>
    </row>
    <row r="89174" spans="6:6" x14ac:dyDescent="0.3">
      <c r="F89174" s="193"/>
    </row>
    <row r="89175" spans="6:6" x14ac:dyDescent="0.3">
      <c r="F89175" s="193"/>
    </row>
    <row r="89176" spans="6:6" x14ac:dyDescent="0.3">
      <c r="F89176" s="193"/>
    </row>
    <row r="89177" spans="6:6" x14ac:dyDescent="0.3">
      <c r="F89177" s="193"/>
    </row>
    <row r="89178" spans="6:6" x14ac:dyDescent="0.3">
      <c r="F89178" s="193"/>
    </row>
    <row r="89179" spans="6:6" x14ac:dyDescent="0.3">
      <c r="F89179" s="193"/>
    </row>
    <row r="89180" spans="6:6" x14ac:dyDescent="0.3">
      <c r="F89180" s="193"/>
    </row>
    <row r="89181" spans="6:6" x14ac:dyDescent="0.3">
      <c r="F89181" s="193"/>
    </row>
    <row r="89182" spans="6:6" x14ac:dyDescent="0.3">
      <c r="F89182" s="193"/>
    </row>
    <row r="89183" spans="6:6" x14ac:dyDescent="0.3">
      <c r="F89183" s="193"/>
    </row>
    <row r="89184" spans="6:6" x14ac:dyDescent="0.3">
      <c r="F89184" s="193"/>
    </row>
    <row r="89185" spans="6:6" x14ac:dyDescent="0.3">
      <c r="F89185" s="193"/>
    </row>
    <row r="89186" spans="6:6" x14ac:dyDescent="0.3">
      <c r="F89186" s="193"/>
    </row>
    <row r="89187" spans="6:6" x14ac:dyDescent="0.3">
      <c r="F89187" s="193"/>
    </row>
    <row r="89188" spans="6:6" x14ac:dyDescent="0.3">
      <c r="F89188" s="193"/>
    </row>
    <row r="89189" spans="6:6" x14ac:dyDescent="0.3">
      <c r="F89189" s="193"/>
    </row>
    <row r="89190" spans="6:6" x14ac:dyDescent="0.3">
      <c r="F89190" s="193"/>
    </row>
    <row r="89191" spans="6:6" x14ac:dyDescent="0.3">
      <c r="F89191" s="193"/>
    </row>
    <row r="89192" spans="6:6" x14ac:dyDescent="0.3">
      <c r="F89192" s="193"/>
    </row>
    <row r="89193" spans="6:6" x14ac:dyDescent="0.3">
      <c r="F89193" s="193"/>
    </row>
    <row r="89194" spans="6:6" x14ac:dyDescent="0.3">
      <c r="F89194" s="193"/>
    </row>
    <row r="89195" spans="6:6" x14ac:dyDescent="0.3">
      <c r="F89195" s="193"/>
    </row>
    <row r="89196" spans="6:6" x14ac:dyDescent="0.3">
      <c r="F89196" s="193"/>
    </row>
    <row r="89197" spans="6:6" x14ac:dyDescent="0.3">
      <c r="F89197" s="193"/>
    </row>
    <row r="89198" spans="6:6" x14ac:dyDescent="0.3">
      <c r="F89198" s="193"/>
    </row>
    <row r="89199" spans="6:6" x14ac:dyDescent="0.3">
      <c r="F89199" s="193"/>
    </row>
    <row r="89200" spans="6:6" x14ac:dyDescent="0.3">
      <c r="F89200" s="193"/>
    </row>
    <row r="89201" spans="6:6" x14ac:dyDescent="0.3">
      <c r="F89201" s="193"/>
    </row>
    <row r="89202" spans="6:6" x14ac:dyDescent="0.3">
      <c r="F89202" s="193"/>
    </row>
    <row r="89203" spans="6:6" x14ac:dyDescent="0.3">
      <c r="F89203" s="193"/>
    </row>
    <row r="89204" spans="6:6" x14ac:dyDescent="0.3">
      <c r="F89204" s="193"/>
    </row>
    <row r="89205" spans="6:6" x14ac:dyDescent="0.3">
      <c r="F89205" s="193"/>
    </row>
    <row r="89206" spans="6:6" x14ac:dyDescent="0.3">
      <c r="F89206" s="193"/>
    </row>
    <row r="89207" spans="6:6" x14ac:dyDescent="0.3">
      <c r="F89207" s="193"/>
    </row>
    <row r="89208" spans="6:6" x14ac:dyDescent="0.3">
      <c r="F89208" s="193"/>
    </row>
    <row r="89209" spans="6:6" x14ac:dyDescent="0.3">
      <c r="F89209" s="193"/>
    </row>
    <row r="89210" spans="6:6" x14ac:dyDescent="0.3">
      <c r="F89210" s="193"/>
    </row>
    <row r="89211" spans="6:6" x14ac:dyDescent="0.3">
      <c r="F89211" s="193"/>
    </row>
    <row r="89212" spans="6:6" x14ac:dyDescent="0.3">
      <c r="F89212" s="193"/>
    </row>
    <row r="89213" spans="6:6" x14ac:dyDescent="0.3">
      <c r="F89213" s="193"/>
    </row>
    <row r="89214" spans="6:6" x14ac:dyDescent="0.3">
      <c r="F89214" s="193"/>
    </row>
    <row r="89215" spans="6:6" x14ac:dyDescent="0.3">
      <c r="F89215" s="193"/>
    </row>
    <row r="89216" spans="6:6" x14ac:dyDescent="0.3">
      <c r="F89216" s="193"/>
    </row>
    <row r="89217" spans="6:6" x14ac:dyDescent="0.3">
      <c r="F89217" s="193"/>
    </row>
    <row r="89218" spans="6:6" x14ac:dyDescent="0.3">
      <c r="F89218" s="193"/>
    </row>
    <row r="89219" spans="6:6" x14ac:dyDescent="0.3">
      <c r="F89219" s="193"/>
    </row>
    <row r="89220" spans="6:6" x14ac:dyDescent="0.3">
      <c r="F89220" s="193"/>
    </row>
    <row r="89221" spans="6:6" x14ac:dyDescent="0.3">
      <c r="F89221" s="193"/>
    </row>
    <row r="89222" spans="6:6" x14ac:dyDescent="0.3">
      <c r="F89222" s="193"/>
    </row>
    <row r="89223" spans="6:6" x14ac:dyDescent="0.3">
      <c r="F89223" s="193"/>
    </row>
    <row r="89224" spans="6:6" x14ac:dyDescent="0.3">
      <c r="F89224" s="193"/>
    </row>
    <row r="89225" spans="6:6" x14ac:dyDescent="0.3">
      <c r="F89225" s="193"/>
    </row>
    <row r="89226" spans="6:6" x14ac:dyDescent="0.3">
      <c r="F89226" s="193"/>
    </row>
    <row r="89227" spans="6:6" x14ac:dyDescent="0.3">
      <c r="F89227" s="193"/>
    </row>
    <row r="89228" spans="6:6" x14ac:dyDescent="0.3">
      <c r="F89228" s="193"/>
    </row>
    <row r="89229" spans="6:6" x14ac:dyDescent="0.3">
      <c r="F89229" s="193"/>
    </row>
    <row r="89230" spans="6:6" x14ac:dyDescent="0.3">
      <c r="F89230" s="193"/>
    </row>
    <row r="89231" spans="6:6" x14ac:dyDescent="0.3">
      <c r="F89231" s="193"/>
    </row>
    <row r="89232" spans="6:6" x14ac:dyDescent="0.3">
      <c r="F89232" s="193"/>
    </row>
    <row r="89233" spans="6:6" x14ac:dyDescent="0.3">
      <c r="F89233" s="193"/>
    </row>
    <row r="89234" spans="6:6" x14ac:dyDescent="0.3">
      <c r="F89234" s="193"/>
    </row>
    <row r="89235" spans="6:6" x14ac:dyDescent="0.3">
      <c r="F89235" s="193"/>
    </row>
    <row r="89236" spans="6:6" x14ac:dyDescent="0.3">
      <c r="F89236" s="193"/>
    </row>
    <row r="89237" spans="6:6" x14ac:dyDescent="0.3">
      <c r="F89237" s="193"/>
    </row>
    <row r="89238" spans="6:6" x14ac:dyDescent="0.3">
      <c r="F89238" s="193"/>
    </row>
    <row r="89239" spans="6:6" x14ac:dyDescent="0.3">
      <c r="F89239" s="193"/>
    </row>
    <row r="89240" spans="6:6" x14ac:dyDescent="0.3">
      <c r="F89240" s="193"/>
    </row>
    <row r="89241" spans="6:6" x14ac:dyDescent="0.3">
      <c r="F89241" s="193"/>
    </row>
    <row r="89242" spans="6:6" x14ac:dyDescent="0.3">
      <c r="F89242" s="193"/>
    </row>
    <row r="89243" spans="6:6" x14ac:dyDescent="0.3">
      <c r="F89243" s="193"/>
    </row>
    <row r="89244" spans="6:6" x14ac:dyDescent="0.3">
      <c r="F89244" s="193"/>
    </row>
    <row r="89245" spans="6:6" x14ac:dyDescent="0.3">
      <c r="F89245" s="193"/>
    </row>
    <row r="89246" spans="6:6" x14ac:dyDescent="0.3">
      <c r="F89246" s="193"/>
    </row>
    <row r="89247" spans="6:6" x14ac:dyDescent="0.3">
      <c r="F89247" s="193"/>
    </row>
    <row r="89248" spans="6:6" x14ac:dyDescent="0.3">
      <c r="F89248" s="193"/>
    </row>
    <row r="89249" spans="6:6" x14ac:dyDescent="0.3">
      <c r="F89249" s="193"/>
    </row>
    <row r="89250" spans="6:6" x14ac:dyDescent="0.3">
      <c r="F89250" s="193"/>
    </row>
    <row r="89251" spans="6:6" x14ac:dyDescent="0.3">
      <c r="F89251" s="193"/>
    </row>
    <row r="89252" spans="6:6" x14ac:dyDescent="0.3">
      <c r="F89252" s="193"/>
    </row>
    <row r="89253" spans="6:6" x14ac:dyDescent="0.3">
      <c r="F89253" s="193"/>
    </row>
    <row r="89254" spans="6:6" x14ac:dyDescent="0.3">
      <c r="F89254" s="193"/>
    </row>
    <row r="89255" spans="6:6" x14ac:dyDescent="0.3">
      <c r="F89255" s="193"/>
    </row>
    <row r="89256" spans="6:6" x14ac:dyDescent="0.3">
      <c r="F89256" s="193"/>
    </row>
    <row r="89257" spans="6:6" x14ac:dyDescent="0.3">
      <c r="F89257" s="193"/>
    </row>
    <row r="89258" spans="6:6" x14ac:dyDescent="0.3">
      <c r="F89258" s="193"/>
    </row>
    <row r="89259" spans="6:6" x14ac:dyDescent="0.3">
      <c r="F89259" s="193"/>
    </row>
    <row r="89260" spans="6:6" x14ac:dyDescent="0.3">
      <c r="F89260" s="193"/>
    </row>
    <row r="89261" spans="6:6" x14ac:dyDescent="0.3">
      <c r="F89261" s="193"/>
    </row>
    <row r="89262" spans="6:6" x14ac:dyDescent="0.3">
      <c r="F89262" s="193"/>
    </row>
    <row r="89263" spans="6:6" x14ac:dyDescent="0.3">
      <c r="F89263" s="193"/>
    </row>
    <row r="89264" spans="6:6" x14ac:dyDescent="0.3">
      <c r="F89264" s="193"/>
    </row>
    <row r="89265" spans="6:6" x14ac:dyDescent="0.3">
      <c r="F89265" s="193"/>
    </row>
    <row r="89266" spans="6:6" x14ac:dyDescent="0.3">
      <c r="F89266" s="193"/>
    </row>
    <row r="89267" spans="6:6" x14ac:dyDescent="0.3">
      <c r="F89267" s="193"/>
    </row>
    <row r="89268" spans="6:6" x14ac:dyDescent="0.3">
      <c r="F89268" s="193"/>
    </row>
    <row r="89269" spans="6:6" x14ac:dyDescent="0.3">
      <c r="F89269" s="193"/>
    </row>
    <row r="89270" spans="6:6" x14ac:dyDescent="0.3">
      <c r="F89270" s="193"/>
    </row>
    <row r="89271" spans="6:6" x14ac:dyDescent="0.3">
      <c r="F89271" s="193"/>
    </row>
    <row r="89272" spans="6:6" x14ac:dyDescent="0.3">
      <c r="F89272" s="193"/>
    </row>
    <row r="89273" spans="6:6" x14ac:dyDescent="0.3">
      <c r="F89273" s="193"/>
    </row>
    <row r="89274" spans="6:6" x14ac:dyDescent="0.3">
      <c r="F89274" s="193"/>
    </row>
    <row r="89275" spans="6:6" x14ac:dyDescent="0.3">
      <c r="F89275" s="193"/>
    </row>
    <row r="89276" spans="6:6" x14ac:dyDescent="0.3">
      <c r="F89276" s="193"/>
    </row>
    <row r="89277" spans="6:6" x14ac:dyDescent="0.3">
      <c r="F89277" s="193"/>
    </row>
    <row r="89278" spans="6:6" x14ac:dyDescent="0.3">
      <c r="F89278" s="193"/>
    </row>
    <row r="89279" spans="6:6" x14ac:dyDescent="0.3">
      <c r="F89279" s="193"/>
    </row>
    <row r="89280" spans="6:6" x14ac:dyDescent="0.3">
      <c r="F89280" s="193"/>
    </row>
    <row r="89281" spans="6:6" x14ac:dyDescent="0.3">
      <c r="F89281" s="193"/>
    </row>
    <row r="89282" spans="6:6" x14ac:dyDescent="0.3">
      <c r="F89282" s="193"/>
    </row>
    <row r="89283" spans="6:6" x14ac:dyDescent="0.3">
      <c r="F89283" s="193"/>
    </row>
    <row r="89284" spans="6:6" x14ac:dyDescent="0.3">
      <c r="F89284" s="193"/>
    </row>
    <row r="89285" spans="6:6" x14ac:dyDescent="0.3">
      <c r="F89285" s="193"/>
    </row>
    <row r="89286" spans="6:6" x14ac:dyDescent="0.3">
      <c r="F89286" s="193"/>
    </row>
    <row r="89287" spans="6:6" x14ac:dyDescent="0.3">
      <c r="F89287" s="193"/>
    </row>
    <row r="89288" spans="6:6" x14ac:dyDescent="0.3">
      <c r="F89288" s="193"/>
    </row>
    <row r="89289" spans="6:6" x14ac:dyDescent="0.3">
      <c r="F89289" s="193"/>
    </row>
    <row r="89290" spans="6:6" x14ac:dyDescent="0.3">
      <c r="F89290" s="193"/>
    </row>
    <row r="89291" spans="6:6" x14ac:dyDescent="0.3">
      <c r="F89291" s="193"/>
    </row>
    <row r="89292" spans="6:6" x14ac:dyDescent="0.3">
      <c r="F89292" s="193"/>
    </row>
    <row r="89293" spans="6:6" x14ac:dyDescent="0.3">
      <c r="F89293" s="193"/>
    </row>
    <row r="89294" spans="6:6" x14ac:dyDescent="0.3">
      <c r="F89294" s="193"/>
    </row>
    <row r="89295" spans="6:6" x14ac:dyDescent="0.3">
      <c r="F89295" s="193"/>
    </row>
    <row r="89296" spans="6:6" x14ac:dyDescent="0.3">
      <c r="F89296" s="193"/>
    </row>
    <row r="89297" spans="6:6" x14ac:dyDescent="0.3">
      <c r="F89297" s="193"/>
    </row>
    <row r="89298" spans="6:6" x14ac:dyDescent="0.3">
      <c r="F89298" s="193"/>
    </row>
    <row r="89299" spans="6:6" x14ac:dyDescent="0.3">
      <c r="F89299" s="193"/>
    </row>
    <row r="89300" spans="6:6" x14ac:dyDescent="0.3">
      <c r="F89300" s="193"/>
    </row>
    <row r="89301" spans="6:6" x14ac:dyDescent="0.3">
      <c r="F89301" s="193"/>
    </row>
    <row r="89302" spans="6:6" x14ac:dyDescent="0.3">
      <c r="F89302" s="193"/>
    </row>
    <row r="89303" spans="6:6" x14ac:dyDescent="0.3">
      <c r="F89303" s="193"/>
    </row>
    <row r="89304" spans="6:6" x14ac:dyDescent="0.3">
      <c r="F89304" s="193"/>
    </row>
    <row r="89305" spans="6:6" x14ac:dyDescent="0.3">
      <c r="F89305" s="193"/>
    </row>
    <row r="89306" spans="6:6" x14ac:dyDescent="0.3">
      <c r="F89306" s="193"/>
    </row>
    <row r="89307" spans="6:6" x14ac:dyDescent="0.3">
      <c r="F89307" s="193"/>
    </row>
    <row r="89308" spans="6:6" x14ac:dyDescent="0.3">
      <c r="F89308" s="193"/>
    </row>
    <row r="89309" spans="6:6" x14ac:dyDescent="0.3">
      <c r="F89309" s="193"/>
    </row>
    <row r="89310" spans="6:6" x14ac:dyDescent="0.3">
      <c r="F89310" s="193"/>
    </row>
    <row r="89311" spans="6:6" x14ac:dyDescent="0.3">
      <c r="F89311" s="193"/>
    </row>
    <row r="89312" spans="6:6" x14ac:dyDescent="0.3">
      <c r="F89312" s="193"/>
    </row>
    <row r="89313" spans="6:6" x14ac:dyDescent="0.3">
      <c r="F89313" s="193"/>
    </row>
    <row r="89314" spans="6:6" x14ac:dyDescent="0.3">
      <c r="F89314" s="193"/>
    </row>
    <row r="89315" spans="6:6" x14ac:dyDescent="0.3">
      <c r="F89315" s="193"/>
    </row>
    <row r="89316" spans="6:6" x14ac:dyDescent="0.3">
      <c r="F89316" s="193"/>
    </row>
    <row r="89317" spans="6:6" x14ac:dyDescent="0.3">
      <c r="F89317" s="193"/>
    </row>
    <row r="89318" spans="6:6" x14ac:dyDescent="0.3">
      <c r="F89318" s="193"/>
    </row>
    <row r="89319" spans="6:6" x14ac:dyDescent="0.3">
      <c r="F89319" s="193"/>
    </row>
    <row r="89320" spans="6:6" x14ac:dyDescent="0.3">
      <c r="F89320" s="193"/>
    </row>
    <row r="89321" spans="6:6" x14ac:dyDescent="0.3">
      <c r="F89321" s="193"/>
    </row>
    <row r="89322" spans="6:6" x14ac:dyDescent="0.3">
      <c r="F89322" s="193"/>
    </row>
    <row r="89323" spans="6:6" x14ac:dyDescent="0.3">
      <c r="F89323" s="193"/>
    </row>
    <row r="89324" spans="6:6" x14ac:dyDescent="0.3">
      <c r="F89324" s="193"/>
    </row>
    <row r="89325" spans="6:6" x14ac:dyDescent="0.3">
      <c r="F89325" s="193"/>
    </row>
    <row r="89326" spans="6:6" x14ac:dyDescent="0.3">
      <c r="F89326" s="193"/>
    </row>
    <row r="89327" spans="6:6" x14ac:dyDescent="0.3">
      <c r="F89327" s="193"/>
    </row>
    <row r="89328" spans="6:6" x14ac:dyDescent="0.3">
      <c r="F89328" s="193"/>
    </row>
    <row r="89329" spans="6:6" x14ac:dyDescent="0.3">
      <c r="F89329" s="193"/>
    </row>
    <row r="89330" spans="6:6" x14ac:dyDescent="0.3">
      <c r="F89330" s="193"/>
    </row>
    <row r="89331" spans="6:6" x14ac:dyDescent="0.3">
      <c r="F89331" s="193"/>
    </row>
    <row r="89332" spans="6:6" x14ac:dyDescent="0.3">
      <c r="F89332" s="193"/>
    </row>
    <row r="89333" spans="6:6" x14ac:dyDescent="0.3">
      <c r="F89333" s="193"/>
    </row>
    <row r="89334" spans="6:6" x14ac:dyDescent="0.3">
      <c r="F89334" s="193"/>
    </row>
    <row r="89335" spans="6:6" x14ac:dyDescent="0.3">
      <c r="F89335" s="193"/>
    </row>
    <row r="89336" spans="6:6" x14ac:dyDescent="0.3">
      <c r="F89336" s="193"/>
    </row>
    <row r="89337" spans="6:6" x14ac:dyDescent="0.3">
      <c r="F89337" s="193"/>
    </row>
    <row r="89338" spans="6:6" x14ac:dyDescent="0.3">
      <c r="F89338" s="193"/>
    </row>
    <row r="89339" spans="6:6" x14ac:dyDescent="0.3">
      <c r="F89339" s="193"/>
    </row>
    <row r="89340" spans="6:6" x14ac:dyDescent="0.3">
      <c r="F89340" s="193"/>
    </row>
    <row r="89341" spans="6:6" x14ac:dyDescent="0.3">
      <c r="F89341" s="193"/>
    </row>
    <row r="89342" spans="6:6" x14ac:dyDescent="0.3">
      <c r="F89342" s="193"/>
    </row>
    <row r="89343" spans="6:6" x14ac:dyDescent="0.3">
      <c r="F89343" s="193"/>
    </row>
    <row r="89344" spans="6:6" x14ac:dyDescent="0.3">
      <c r="F89344" s="193"/>
    </row>
    <row r="89345" spans="6:6" x14ac:dyDescent="0.3">
      <c r="F89345" s="193"/>
    </row>
    <row r="89346" spans="6:6" x14ac:dyDescent="0.3">
      <c r="F89346" s="193"/>
    </row>
    <row r="89347" spans="6:6" x14ac:dyDescent="0.3">
      <c r="F89347" s="193"/>
    </row>
    <row r="89348" spans="6:6" x14ac:dyDescent="0.3">
      <c r="F89348" s="193"/>
    </row>
    <row r="89349" spans="6:6" x14ac:dyDescent="0.3">
      <c r="F89349" s="193"/>
    </row>
    <row r="89350" spans="6:6" x14ac:dyDescent="0.3">
      <c r="F89350" s="193"/>
    </row>
    <row r="89351" spans="6:6" x14ac:dyDescent="0.3">
      <c r="F89351" s="193"/>
    </row>
    <row r="89352" spans="6:6" x14ac:dyDescent="0.3">
      <c r="F89352" s="193"/>
    </row>
    <row r="89353" spans="6:6" x14ac:dyDescent="0.3">
      <c r="F89353" s="193"/>
    </row>
    <row r="89354" spans="6:6" x14ac:dyDescent="0.3">
      <c r="F89354" s="193"/>
    </row>
    <row r="89355" spans="6:6" x14ac:dyDescent="0.3">
      <c r="F89355" s="193"/>
    </row>
    <row r="89356" spans="6:6" x14ac:dyDescent="0.3">
      <c r="F89356" s="193"/>
    </row>
    <row r="89357" spans="6:6" x14ac:dyDescent="0.3">
      <c r="F89357" s="193"/>
    </row>
    <row r="89358" spans="6:6" x14ac:dyDescent="0.3">
      <c r="F89358" s="193"/>
    </row>
    <row r="89359" spans="6:6" x14ac:dyDescent="0.3">
      <c r="F89359" s="193"/>
    </row>
    <row r="89360" spans="6:6" x14ac:dyDescent="0.3">
      <c r="F89360" s="193"/>
    </row>
    <row r="89361" spans="6:6" x14ac:dyDescent="0.3">
      <c r="F89361" s="193"/>
    </row>
    <row r="89362" spans="6:6" x14ac:dyDescent="0.3">
      <c r="F89362" s="193"/>
    </row>
    <row r="89363" spans="6:6" x14ac:dyDescent="0.3">
      <c r="F89363" s="193"/>
    </row>
    <row r="89364" spans="6:6" x14ac:dyDescent="0.3">
      <c r="F89364" s="193"/>
    </row>
    <row r="89365" spans="6:6" x14ac:dyDescent="0.3">
      <c r="F89365" s="193"/>
    </row>
    <row r="89366" spans="6:6" x14ac:dyDescent="0.3">
      <c r="F89366" s="193"/>
    </row>
    <row r="89367" spans="6:6" x14ac:dyDescent="0.3">
      <c r="F89367" s="193"/>
    </row>
    <row r="89368" spans="6:6" x14ac:dyDescent="0.3">
      <c r="F89368" s="193"/>
    </row>
    <row r="89369" spans="6:6" x14ac:dyDescent="0.3">
      <c r="F89369" s="193"/>
    </row>
    <row r="89370" spans="6:6" x14ac:dyDescent="0.3">
      <c r="F89370" s="193"/>
    </row>
    <row r="89371" spans="6:6" x14ac:dyDescent="0.3">
      <c r="F89371" s="193"/>
    </row>
    <row r="89372" spans="6:6" x14ac:dyDescent="0.3">
      <c r="F89372" s="193"/>
    </row>
    <row r="89373" spans="6:6" x14ac:dyDescent="0.3">
      <c r="F89373" s="193"/>
    </row>
    <row r="89374" spans="6:6" x14ac:dyDescent="0.3">
      <c r="F89374" s="193"/>
    </row>
    <row r="89375" spans="6:6" x14ac:dyDescent="0.3">
      <c r="F89375" s="193"/>
    </row>
    <row r="89376" spans="6:6" x14ac:dyDescent="0.3">
      <c r="F89376" s="193"/>
    </row>
    <row r="89377" spans="6:6" x14ac:dyDescent="0.3">
      <c r="F89377" s="193"/>
    </row>
    <row r="89378" spans="6:6" x14ac:dyDescent="0.3">
      <c r="F89378" s="193"/>
    </row>
    <row r="89379" spans="6:6" x14ac:dyDescent="0.3">
      <c r="F89379" s="193"/>
    </row>
    <row r="89380" spans="6:6" x14ac:dyDescent="0.3">
      <c r="F89380" s="193"/>
    </row>
    <row r="89381" spans="6:6" x14ac:dyDescent="0.3">
      <c r="F89381" s="193"/>
    </row>
    <row r="89382" spans="6:6" x14ac:dyDescent="0.3">
      <c r="F89382" s="193"/>
    </row>
    <row r="89383" spans="6:6" x14ac:dyDescent="0.3">
      <c r="F89383" s="193"/>
    </row>
    <row r="89384" spans="6:6" x14ac:dyDescent="0.3">
      <c r="F89384" s="193"/>
    </row>
    <row r="89385" spans="6:6" x14ac:dyDescent="0.3">
      <c r="F89385" s="193"/>
    </row>
    <row r="89386" spans="6:6" x14ac:dyDescent="0.3">
      <c r="F89386" s="193"/>
    </row>
    <row r="89387" spans="6:6" x14ac:dyDescent="0.3">
      <c r="F89387" s="193"/>
    </row>
    <row r="89388" spans="6:6" x14ac:dyDescent="0.3">
      <c r="F89388" s="193"/>
    </row>
    <row r="89389" spans="6:6" x14ac:dyDescent="0.3">
      <c r="F89389" s="193"/>
    </row>
    <row r="89390" spans="6:6" x14ac:dyDescent="0.3">
      <c r="F89390" s="193"/>
    </row>
    <row r="89391" spans="6:6" x14ac:dyDescent="0.3">
      <c r="F89391" s="193"/>
    </row>
    <row r="89392" spans="6:6" x14ac:dyDescent="0.3">
      <c r="F89392" s="193"/>
    </row>
    <row r="89393" spans="6:6" x14ac:dyDescent="0.3">
      <c r="F89393" s="193"/>
    </row>
    <row r="89394" spans="6:6" x14ac:dyDescent="0.3">
      <c r="F89394" s="193"/>
    </row>
    <row r="89395" spans="6:6" x14ac:dyDescent="0.3">
      <c r="F89395" s="193"/>
    </row>
    <row r="89396" spans="6:6" x14ac:dyDescent="0.3">
      <c r="F89396" s="193"/>
    </row>
    <row r="89397" spans="6:6" x14ac:dyDescent="0.3">
      <c r="F89397" s="193"/>
    </row>
    <row r="89398" spans="6:6" x14ac:dyDescent="0.3">
      <c r="F89398" s="193"/>
    </row>
    <row r="89399" spans="6:6" x14ac:dyDescent="0.3">
      <c r="F89399" s="193"/>
    </row>
    <row r="89400" spans="6:6" x14ac:dyDescent="0.3">
      <c r="F89400" s="193"/>
    </row>
    <row r="89401" spans="6:6" x14ac:dyDescent="0.3">
      <c r="F89401" s="193"/>
    </row>
    <row r="89402" spans="6:6" x14ac:dyDescent="0.3">
      <c r="F89402" s="193"/>
    </row>
    <row r="89403" spans="6:6" x14ac:dyDescent="0.3">
      <c r="F89403" s="193"/>
    </row>
    <row r="89404" spans="6:6" x14ac:dyDescent="0.3">
      <c r="F89404" s="193"/>
    </row>
    <row r="89405" spans="6:6" x14ac:dyDescent="0.3">
      <c r="F89405" s="193"/>
    </row>
    <row r="89406" spans="6:6" x14ac:dyDescent="0.3">
      <c r="F89406" s="193"/>
    </row>
    <row r="89407" spans="6:6" x14ac:dyDescent="0.3">
      <c r="F89407" s="193"/>
    </row>
    <row r="89408" spans="6:6" x14ac:dyDescent="0.3">
      <c r="F89408" s="193"/>
    </row>
    <row r="89409" spans="6:6" x14ac:dyDescent="0.3">
      <c r="F89409" s="193"/>
    </row>
    <row r="89410" spans="6:6" x14ac:dyDescent="0.3">
      <c r="F89410" s="193"/>
    </row>
    <row r="89411" spans="6:6" x14ac:dyDescent="0.3">
      <c r="F89411" s="193"/>
    </row>
    <row r="89412" spans="6:6" x14ac:dyDescent="0.3">
      <c r="F89412" s="193"/>
    </row>
    <row r="89413" spans="6:6" x14ac:dyDescent="0.3">
      <c r="F89413" s="193"/>
    </row>
    <row r="89414" spans="6:6" x14ac:dyDescent="0.3">
      <c r="F89414" s="193"/>
    </row>
    <row r="89415" spans="6:6" x14ac:dyDescent="0.3">
      <c r="F89415" s="193"/>
    </row>
    <row r="89416" spans="6:6" x14ac:dyDescent="0.3">
      <c r="F89416" s="193"/>
    </row>
    <row r="89417" spans="6:6" x14ac:dyDescent="0.3">
      <c r="F89417" s="193"/>
    </row>
    <row r="89418" spans="6:6" x14ac:dyDescent="0.3">
      <c r="F89418" s="193"/>
    </row>
    <row r="89419" spans="6:6" x14ac:dyDescent="0.3">
      <c r="F89419" s="193"/>
    </row>
    <row r="89420" spans="6:6" x14ac:dyDescent="0.3">
      <c r="F89420" s="193"/>
    </row>
    <row r="89421" spans="6:6" x14ac:dyDescent="0.3">
      <c r="F89421" s="193"/>
    </row>
    <row r="89422" spans="6:6" x14ac:dyDescent="0.3">
      <c r="F89422" s="193"/>
    </row>
    <row r="89423" spans="6:6" x14ac:dyDescent="0.3">
      <c r="F89423" s="193"/>
    </row>
    <row r="89424" spans="6:6" x14ac:dyDescent="0.3">
      <c r="F89424" s="193"/>
    </row>
    <row r="89425" spans="6:6" x14ac:dyDescent="0.3">
      <c r="F89425" s="193"/>
    </row>
    <row r="89426" spans="6:6" x14ac:dyDescent="0.3">
      <c r="F89426" s="193"/>
    </row>
    <row r="89427" spans="6:6" x14ac:dyDescent="0.3">
      <c r="F89427" s="193"/>
    </row>
    <row r="89428" spans="6:6" x14ac:dyDescent="0.3">
      <c r="F89428" s="193"/>
    </row>
    <row r="89429" spans="6:6" x14ac:dyDescent="0.3">
      <c r="F89429" s="193"/>
    </row>
    <row r="89430" spans="6:6" x14ac:dyDescent="0.3">
      <c r="F89430" s="193"/>
    </row>
    <row r="89431" spans="6:6" x14ac:dyDescent="0.3">
      <c r="F89431" s="193"/>
    </row>
    <row r="89432" spans="6:6" x14ac:dyDescent="0.3">
      <c r="F89432" s="193"/>
    </row>
    <row r="89433" spans="6:6" x14ac:dyDescent="0.3">
      <c r="F89433" s="193"/>
    </row>
    <row r="89434" spans="6:6" x14ac:dyDescent="0.3">
      <c r="F89434" s="193"/>
    </row>
    <row r="89435" spans="6:6" x14ac:dyDescent="0.3">
      <c r="F89435" s="193"/>
    </row>
    <row r="89436" spans="6:6" x14ac:dyDescent="0.3">
      <c r="F89436" s="193"/>
    </row>
    <row r="89437" spans="6:6" x14ac:dyDescent="0.3">
      <c r="F89437" s="193"/>
    </row>
    <row r="89438" spans="6:6" x14ac:dyDescent="0.3">
      <c r="F89438" s="193"/>
    </row>
    <row r="89439" spans="6:6" x14ac:dyDescent="0.3">
      <c r="F89439" s="193"/>
    </row>
    <row r="89440" spans="6:6" x14ac:dyDescent="0.3">
      <c r="F89440" s="193"/>
    </row>
    <row r="89441" spans="6:6" x14ac:dyDescent="0.3">
      <c r="F89441" s="193"/>
    </row>
    <row r="89442" spans="6:6" x14ac:dyDescent="0.3">
      <c r="F89442" s="193"/>
    </row>
    <row r="89443" spans="6:6" x14ac:dyDescent="0.3">
      <c r="F89443" s="193"/>
    </row>
    <row r="89444" spans="6:6" x14ac:dyDescent="0.3">
      <c r="F89444" s="193"/>
    </row>
    <row r="89445" spans="6:6" x14ac:dyDescent="0.3">
      <c r="F89445" s="193"/>
    </row>
    <row r="89446" spans="6:6" x14ac:dyDescent="0.3">
      <c r="F89446" s="193"/>
    </row>
    <row r="89447" spans="6:6" x14ac:dyDescent="0.3">
      <c r="F89447" s="193"/>
    </row>
    <row r="89448" spans="6:6" x14ac:dyDescent="0.3">
      <c r="F89448" s="193"/>
    </row>
    <row r="89449" spans="6:6" x14ac:dyDescent="0.3">
      <c r="F89449" s="193"/>
    </row>
    <row r="89450" spans="6:6" x14ac:dyDescent="0.3">
      <c r="F89450" s="193"/>
    </row>
    <row r="89451" spans="6:6" x14ac:dyDescent="0.3">
      <c r="F89451" s="193"/>
    </row>
    <row r="89452" spans="6:6" x14ac:dyDescent="0.3">
      <c r="F89452" s="193"/>
    </row>
    <row r="89453" spans="6:6" x14ac:dyDescent="0.3">
      <c r="F89453" s="193"/>
    </row>
    <row r="89454" spans="6:6" x14ac:dyDescent="0.3">
      <c r="F89454" s="193"/>
    </row>
    <row r="89455" spans="6:6" x14ac:dyDescent="0.3">
      <c r="F89455" s="193"/>
    </row>
    <row r="89456" spans="6:6" x14ac:dyDescent="0.3">
      <c r="F89456" s="193"/>
    </row>
    <row r="89457" spans="6:6" x14ac:dyDescent="0.3">
      <c r="F89457" s="193"/>
    </row>
    <row r="89458" spans="6:6" x14ac:dyDescent="0.3">
      <c r="F89458" s="193"/>
    </row>
    <row r="89459" spans="6:6" x14ac:dyDescent="0.3">
      <c r="F89459" s="193"/>
    </row>
    <row r="89460" spans="6:6" x14ac:dyDescent="0.3">
      <c r="F89460" s="193"/>
    </row>
    <row r="89461" spans="6:6" x14ac:dyDescent="0.3">
      <c r="F89461" s="193"/>
    </row>
    <row r="89462" spans="6:6" x14ac:dyDescent="0.3">
      <c r="F89462" s="193"/>
    </row>
    <row r="89463" spans="6:6" x14ac:dyDescent="0.3">
      <c r="F89463" s="193"/>
    </row>
    <row r="89464" spans="6:6" x14ac:dyDescent="0.3">
      <c r="F89464" s="193"/>
    </row>
    <row r="89465" spans="6:6" x14ac:dyDescent="0.3">
      <c r="F89465" s="193"/>
    </row>
    <row r="89466" spans="6:6" x14ac:dyDescent="0.3">
      <c r="F89466" s="193"/>
    </row>
    <row r="89467" spans="6:6" x14ac:dyDescent="0.3">
      <c r="F89467" s="193"/>
    </row>
    <row r="89468" spans="6:6" x14ac:dyDescent="0.3">
      <c r="F89468" s="193"/>
    </row>
    <row r="89469" spans="6:6" x14ac:dyDescent="0.3">
      <c r="F89469" s="193"/>
    </row>
    <row r="89470" spans="6:6" x14ac:dyDescent="0.3">
      <c r="F89470" s="193"/>
    </row>
    <row r="89471" spans="6:6" x14ac:dyDescent="0.3">
      <c r="F89471" s="193"/>
    </row>
    <row r="89472" spans="6:6" x14ac:dyDescent="0.3">
      <c r="F89472" s="193"/>
    </row>
    <row r="89473" spans="6:6" x14ac:dyDescent="0.3">
      <c r="F89473" s="193"/>
    </row>
    <row r="89474" spans="6:6" x14ac:dyDescent="0.3">
      <c r="F89474" s="193"/>
    </row>
    <row r="89475" spans="6:6" x14ac:dyDescent="0.3">
      <c r="F89475" s="193"/>
    </row>
    <row r="89476" spans="6:6" x14ac:dyDescent="0.3">
      <c r="F89476" s="193"/>
    </row>
    <row r="89477" spans="6:6" x14ac:dyDescent="0.3">
      <c r="F89477" s="193"/>
    </row>
    <row r="89478" spans="6:6" x14ac:dyDescent="0.3">
      <c r="F89478" s="193"/>
    </row>
    <row r="89479" spans="6:6" x14ac:dyDescent="0.3">
      <c r="F89479" s="193"/>
    </row>
    <row r="89480" spans="6:6" x14ac:dyDescent="0.3">
      <c r="F89480" s="193"/>
    </row>
    <row r="89481" spans="6:6" x14ac:dyDescent="0.3">
      <c r="F89481" s="193"/>
    </row>
    <row r="89482" spans="6:6" x14ac:dyDescent="0.3">
      <c r="F89482" s="193"/>
    </row>
    <row r="89483" spans="6:6" x14ac:dyDescent="0.3">
      <c r="F89483" s="193"/>
    </row>
    <row r="89484" spans="6:6" x14ac:dyDescent="0.3">
      <c r="F89484" s="193"/>
    </row>
    <row r="89485" spans="6:6" x14ac:dyDescent="0.3">
      <c r="F89485" s="193"/>
    </row>
    <row r="89486" spans="6:6" x14ac:dyDescent="0.3">
      <c r="F89486" s="193"/>
    </row>
    <row r="89487" spans="6:6" x14ac:dyDescent="0.3">
      <c r="F89487" s="193"/>
    </row>
    <row r="89488" spans="6:6" x14ac:dyDescent="0.3">
      <c r="F89488" s="193"/>
    </row>
    <row r="89489" spans="6:6" x14ac:dyDescent="0.3">
      <c r="F89489" s="193"/>
    </row>
    <row r="89490" spans="6:6" x14ac:dyDescent="0.3">
      <c r="F89490" s="193"/>
    </row>
    <row r="89491" spans="6:6" x14ac:dyDescent="0.3">
      <c r="F89491" s="193"/>
    </row>
    <row r="89492" spans="6:6" x14ac:dyDescent="0.3">
      <c r="F89492" s="193"/>
    </row>
    <row r="89493" spans="6:6" x14ac:dyDescent="0.3">
      <c r="F89493" s="193"/>
    </row>
    <row r="89494" spans="6:6" x14ac:dyDescent="0.3">
      <c r="F89494" s="193"/>
    </row>
    <row r="89495" spans="6:6" x14ac:dyDescent="0.3">
      <c r="F89495" s="193"/>
    </row>
    <row r="89496" spans="6:6" x14ac:dyDescent="0.3">
      <c r="F89496" s="193"/>
    </row>
    <row r="89497" spans="6:6" x14ac:dyDescent="0.3">
      <c r="F89497" s="193"/>
    </row>
    <row r="89498" spans="6:6" x14ac:dyDescent="0.3">
      <c r="F89498" s="193"/>
    </row>
    <row r="89499" spans="6:6" x14ac:dyDescent="0.3">
      <c r="F89499" s="193"/>
    </row>
    <row r="89500" spans="6:6" x14ac:dyDescent="0.3">
      <c r="F89500" s="193"/>
    </row>
    <row r="89501" spans="6:6" x14ac:dyDescent="0.3">
      <c r="F89501" s="193"/>
    </row>
    <row r="89502" spans="6:6" x14ac:dyDescent="0.3">
      <c r="F89502" s="193"/>
    </row>
    <row r="89503" spans="6:6" x14ac:dyDescent="0.3">
      <c r="F89503" s="193"/>
    </row>
    <row r="89504" spans="6:6" x14ac:dyDescent="0.3">
      <c r="F89504" s="193"/>
    </row>
    <row r="89505" spans="6:6" x14ac:dyDescent="0.3">
      <c r="F89505" s="193"/>
    </row>
    <row r="89506" spans="6:6" x14ac:dyDescent="0.3">
      <c r="F89506" s="193"/>
    </row>
    <row r="89507" spans="6:6" x14ac:dyDescent="0.3">
      <c r="F89507" s="193"/>
    </row>
    <row r="89508" spans="6:6" x14ac:dyDescent="0.3">
      <c r="F89508" s="193"/>
    </row>
    <row r="89509" spans="6:6" x14ac:dyDescent="0.3">
      <c r="F89509" s="193"/>
    </row>
    <row r="89510" spans="6:6" x14ac:dyDescent="0.3">
      <c r="F89510" s="193"/>
    </row>
    <row r="89511" spans="6:6" x14ac:dyDescent="0.3">
      <c r="F89511" s="193"/>
    </row>
    <row r="89512" spans="6:6" x14ac:dyDescent="0.3">
      <c r="F89512" s="193"/>
    </row>
    <row r="89513" spans="6:6" x14ac:dyDescent="0.3">
      <c r="F89513" s="193"/>
    </row>
    <row r="89514" spans="6:6" x14ac:dyDescent="0.3">
      <c r="F89514" s="193"/>
    </row>
    <row r="89515" spans="6:6" x14ac:dyDescent="0.3">
      <c r="F89515" s="193"/>
    </row>
    <row r="89516" spans="6:6" x14ac:dyDescent="0.3">
      <c r="F89516" s="193"/>
    </row>
    <row r="89517" spans="6:6" x14ac:dyDescent="0.3">
      <c r="F89517" s="193"/>
    </row>
    <row r="89518" spans="6:6" x14ac:dyDescent="0.3">
      <c r="F89518" s="193"/>
    </row>
    <row r="89519" spans="6:6" x14ac:dyDescent="0.3">
      <c r="F89519" s="193"/>
    </row>
    <row r="89520" spans="6:6" x14ac:dyDescent="0.3">
      <c r="F89520" s="193"/>
    </row>
    <row r="89521" spans="6:6" x14ac:dyDescent="0.3">
      <c r="F89521" s="193"/>
    </row>
    <row r="89522" spans="6:6" x14ac:dyDescent="0.3">
      <c r="F89522" s="193"/>
    </row>
    <row r="89523" spans="6:6" x14ac:dyDescent="0.3">
      <c r="F89523" s="193"/>
    </row>
    <row r="89524" spans="6:6" x14ac:dyDescent="0.3">
      <c r="F89524" s="193"/>
    </row>
    <row r="89525" spans="6:6" x14ac:dyDescent="0.3">
      <c r="F89525" s="193"/>
    </row>
    <row r="89526" spans="6:6" x14ac:dyDescent="0.3">
      <c r="F89526" s="193"/>
    </row>
    <row r="89527" spans="6:6" x14ac:dyDescent="0.3">
      <c r="F89527" s="193"/>
    </row>
    <row r="89528" spans="6:6" x14ac:dyDescent="0.3">
      <c r="F89528" s="193"/>
    </row>
    <row r="89529" spans="6:6" x14ac:dyDescent="0.3">
      <c r="F89529" s="193"/>
    </row>
    <row r="89530" spans="6:6" x14ac:dyDescent="0.3">
      <c r="F89530" s="193"/>
    </row>
    <row r="89531" spans="6:6" x14ac:dyDescent="0.3">
      <c r="F89531" s="193"/>
    </row>
    <row r="89532" spans="6:6" x14ac:dyDescent="0.3">
      <c r="F89532" s="193"/>
    </row>
    <row r="89533" spans="6:6" x14ac:dyDescent="0.3">
      <c r="F89533" s="193"/>
    </row>
    <row r="89534" spans="6:6" x14ac:dyDescent="0.3">
      <c r="F89534" s="193"/>
    </row>
    <row r="89535" spans="6:6" x14ac:dyDescent="0.3">
      <c r="F89535" s="193"/>
    </row>
    <row r="89536" spans="6:6" x14ac:dyDescent="0.3">
      <c r="F89536" s="193"/>
    </row>
    <row r="89537" spans="6:6" x14ac:dyDescent="0.3">
      <c r="F89537" s="193"/>
    </row>
    <row r="89538" spans="6:6" x14ac:dyDescent="0.3">
      <c r="F89538" s="193"/>
    </row>
    <row r="89539" spans="6:6" x14ac:dyDescent="0.3">
      <c r="F89539" s="193"/>
    </row>
    <row r="89540" spans="6:6" x14ac:dyDescent="0.3">
      <c r="F89540" s="193"/>
    </row>
    <row r="89541" spans="6:6" x14ac:dyDescent="0.3">
      <c r="F89541" s="193"/>
    </row>
    <row r="89542" spans="6:6" x14ac:dyDescent="0.3">
      <c r="F89542" s="193"/>
    </row>
    <row r="89543" spans="6:6" x14ac:dyDescent="0.3">
      <c r="F89543" s="193"/>
    </row>
    <row r="89544" spans="6:6" x14ac:dyDescent="0.3">
      <c r="F89544" s="193"/>
    </row>
    <row r="89545" spans="6:6" x14ac:dyDescent="0.3">
      <c r="F89545" s="193"/>
    </row>
    <row r="89546" spans="6:6" x14ac:dyDescent="0.3">
      <c r="F89546" s="193"/>
    </row>
    <row r="89547" spans="6:6" x14ac:dyDescent="0.3">
      <c r="F89547" s="193"/>
    </row>
    <row r="89548" spans="6:6" x14ac:dyDescent="0.3">
      <c r="F89548" s="193"/>
    </row>
    <row r="89549" spans="6:6" x14ac:dyDescent="0.3">
      <c r="F89549" s="193"/>
    </row>
    <row r="89550" spans="6:6" x14ac:dyDescent="0.3">
      <c r="F89550" s="193"/>
    </row>
    <row r="89551" spans="6:6" x14ac:dyDescent="0.3">
      <c r="F89551" s="193"/>
    </row>
    <row r="89552" spans="6:6" x14ac:dyDescent="0.3">
      <c r="F89552" s="193"/>
    </row>
    <row r="89553" spans="6:6" x14ac:dyDescent="0.3">
      <c r="F89553" s="193"/>
    </row>
    <row r="89554" spans="6:6" x14ac:dyDescent="0.3">
      <c r="F89554" s="193"/>
    </row>
    <row r="89555" spans="6:6" x14ac:dyDescent="0.3">
      <c r="F89555" s="193"/>
    </row>
    <row r="89556" spans="6:6" x14ac:dyDescent="0.3">
      <c r="F89556" s="193"/>
    </row>
    <row r="89557" spans="6:6" x14ac:dyDescent="0.3">
      <c r="F89557" s="193"/>
    </row>
    <row r="89558" spans="6:6" x14ac:dyDescent="0.3">
      <c r="F89558" s="193"/>
    </row>
    <row r="89559" spans="6:6" x14ac:dyDescent="0.3">
      <c r="F89559" s="193"/>
    </row>
    <row r="89560" spans="6:6" x14ac:dyDescent="0.3">
      <c r="F89560" s="193"/>
    </row>
    <row r="89561" spans="6:6" x14ac:dyDescent="0.3">
      <c r="F89561" s="193"/>
    </row>
    <row r="89562" spans="6:6" x14ac:dyDescent="0.3">
      <c r="F89562" s="193"/>
    </row>
    <row r="89563" spans="6:6" x14ac:dyDescent="0.3">
      <c r="F89563" s="193"/>
    </row>
    <row r="89564" spans="6:6" x14ac:dyDescent="0.3">
      <c r="F89564" s="193"/>
    </row>
    <row r="89565" spans="6:6" x14ac:dyDescent="0.3">
      <c r="F89565" s="193"/>
    </row>
    <row r="89566" spans="6:6" x14ac:dyDescent="0.3">
      <c r="F89566" s="193"/>
    </row>
    <row r="89567" spans="6:6" x14ac:dyDescent="0.3">
      <c r="F89567" s="193"/>
    </row>
    <row r="89568" spans="6:6" x14ac:dyDescent="0.3">
      <c r="F89568" s="193"/>
    </row>
    <row r="89569" spans="6:6" x14ac:dyDescent="0.3">
      <c r="F89569" s="193"/>
    </row>
    <row r="89570" spans="6:6" x14ac:dyDescent="0.3">
      <c r="F89570" s="193"/>
    </row>
    <row r="89571" spans="6:6" x14ac:dyDescent="0.3">
      <c r="F89571" s="193"/>
    </row>
    <row r="89572" spans="6:6" x14ac:dyDescent="0.3">
      <c r="F89572" s="193"/>
    </row>
    <row r="89573" spans="6:6" x14ac:dyDescent="0.3">
      <c r="F89573" s="193"/>
    </row>
    <row r="89574" spans="6:6" x14ac:dyDescent="0.3">
      <c r="F89574" s="193"/>
    </row>
    <row r="89575" spans="6:6" x14ac:dyDescent="0.3">
      <c r="F89575" s="193"/>
    </row>
    <row r="89576" spans="6:6" x14ac:dyDescent="0.3">
      <c r="F89576" s="193"/>
    </row>
    <row r="89577" spans="6:6" x14ac:dyDescent="0.3">
      <c r="F89577" s="193"/>
    </row>
    <row r="89578" spans="6:6" x14ac:dyDescent="0.3">
      <c r="F89578" s="193"/>
    </row>
    <row r="89579" spans="6:6" x14ac:dyDescent="0.3">
      <c r="F89579" s="193"/>
    </row>
    <row r="89580" spans="6:6" x14ac:dyDescent="0.3">
      <c r="F89580" s="193"/>
    </row>
    <row r="89581" spans="6:6" x14ac:dyDescent="0.3">
      <c r="F89581" s="193"/>
    </row>
    <row r="89582" spans="6:6" x14ac:dyDescent="0.3">
      <c r="F89582" s="193"/>
    </row>
    <row r="89583" spans="6:6" x14ac:dyDescent="0.3">
      <c r="F89583" s="193"/>
    </row>
    <row r="89584" spans="6:6" x14ac:dyDescent="0.3">
      <c r="F89584" s="193"/>
    </row>
    <row r="89585" spans="6:6" x14ac:dyDescent="0.3">
      <c r="F89585" s="193"/>
    </row>
    <row r="89586" spans="6:6" x14ac:dyDescent="0.3">
      <c r="F89586" s="193"/>
    </row>
    <row r="89587" spans="6:6" x14ac:dyDescent="0.3">
      <c r="F89587" s="193"/>
    </row>
    <row r="89588" spans="6:6" x14ac:dyDescent="0.3">
      <c r="F89588" s="193"/>
    </row>
    <row r="89589" spans="6:6" x14ac:dyDescent="0.3">
      <c r="F89589" s="193"/>
    </row>
    <row r="89590" spans="6:6" x14ac:dyDescent="0.3">
      <c r="F89590" s="193"/>
    </row>
    <row r="89591" spans="6:6" x14ac:dyDescent="0.3">
      <c r="F89591" s="193"/>
    </row>
    <row r="89592" spans="6:6" x14ac:dyDescent="0.3">
      <c r="F89592" s="193"/>
    </row>
    <row r="89593" spans="6:6" x14ac:dyDescent="0.3">
      <c r="F89593" s="193"/>
    </row>
    <row r="89594" spans="6:6" x14ac:dyDescent="0.3">
      <c r="F89594" s="193"/>
    </row>
    <row r="89595" spans="6:6" x14ac:dyDescent="0.3">
      <c r="F89595" s="193"/>
    </row>
    <row r="89596" spans="6:6" x14ac:dyDescent="0.3">
      <c r="F89596" s="193"/>
    </row>
    <row r="89597" spans="6:6" x14ac:dyDescent="0.3">
      <c r="F89597" s="193"/>
    </row>
    <row r="89598" spans="6:6" x14ac:dyDescent="0.3">
      <c r="F89598" s="193"/>
    </row>
    <row r="89599" spans="6:6" x14ac:dyDescent="0.3">
      <c r="F89599" s="193"/>
    </row>
    <row r="89600" spans="6:6" x14ac:dyDescent="0.3">
      <c r="F89600" s="193"/>
    </row>
    <row r="89601" spans="6:6" x14ac:dyDescent="0.3">
      <c r="F89601" s="193"/>
    </row>
    <row r="89602" spans="6:6" x14ac:dyDescent="0.3">
      <c r="F89602" s="193"/>
    </row>
    <row r="89603" spans="6:6" x14ac:dyDescent="0.3">
      <c r="F89603" s="193"/>
    </row>
    <row r="89604" spans="6:6" x14ac:dyDescent="0.3">
      <c r="F89604" s="193"/>
    </row>
    <row r="89605" spans="6:6" x14ac:dyDescent="0.3">
      <c r="F89605" s="193"/>
    </row>
    <row r="89606" spans="6:6" x14ac:dyDescent="0.3">
      <c r="F89606" s="193"/>
    </row>
    <row r="89607" spans="6:6" x14ac:dyDescent="0.3">
      <c r="F89607" s="193"/>
    </row>
    <row r="89608" spans="6:6" x14ac:dyDescent="0.3">
      <c r="F89608" s="193"/>
    </row>
    <row r="89609" spans="6:6" x14ac:dyDescent="0.3">
      <c r="F89609" s="193"/>
    </row>
    <row r="89610" spans="6:6" x14ac:dyDescent="0.3">
      <c r="F89610" s="193"/>
    </row>
    <row r="89611" spans="6:6" x14ac:dyDescent="0.3">
      <c r="F89611" s="193"/>
    </row>
    <row r="89612" spans="6:6" x14ac:dyDescent="0.3">
      <c r="F89612" s="193"/>
    </row>
    <row r="89613" spans="6:6" x14ac:dyDescent="0.3">
      <c r="F89613" s="193"/>
    </row>
    <row r="89614" spans="6:6" x14ac:dyDescent="0.3">
      <c r="F89614" s="193"/>
    </row>
    <row r="89615" spans="6:6" x14ac:dyDescent="0.3">
      <c r="F89615" s="193"/>
    </row>
    <row r="89616" spans="6:6" x14ac:dyDescent="0.3">
      <c r="F89616" s="193"/>
    </row>
    <row r="89617" spans="6:6" x14ac:dyDescent="0.3">
      <c r="F89617" s="193"/>
    </row>
    <row r="89618" spans="6:6" x14ac:dyDescent="0.3">
      <c r="F89618" s="193"/>
    </row>
    <row r="89619" spans="6:6" x14ac:dyDescent="0.3">
      <c r="F89619" s="193"/>
    </row>
    <row r="89620" spans="6:6" x14ac:dyDescent="0.3">
      <c r="F89620" s="193"/>
    </row>
    <row r="89621" spans="6:6" x14ac:dyDescent="0.3">
      <c r="F89621" s="193"/>
    </row>
    <row r="89622" spans="6:6" x14ac:dyDescent="0.3">
      <c r="F89622" s="193"/>
    </row>
    <row r="89623" spans="6:6" x14ac:dyDescent="0.3">
      <c r="F89623" s="193"/>
    </row>
    <row r="89624" spans="6:6" x14ac:dyDescent="0.3">
      <c r="F89624" s="193"/>
    </row>
    <row r="89625" spans="6:6" x14ac:dyDescent="0.3">
      <c r="F89625" s="193"/>
    </row>
    <row r="89626" spans="6:6" x14ac:dyDescent="0.3">
      <c r="F89626" s="193"/>
    </row>
    <row r="89627" spans="6:6" x14ac:dyDescent="0.3">
      <c r="F89627" s="193"/>
    </row>
    <row r="89628" spans="6:6" x14ac:dyDescent="0.3">
      <c r="F89628" s="193"/>
    </row>
    <row r="89629" spans="6:6" x14ac:dyDescent="0.3">
      <c r="F89629" s="193"/>
    </row>
    <row r="89630" spans="6:6" x14ac:dyDescent="0.3">
      <c r="F89630" s="193"/>
    </row>
    <row r="89631" spans="6:6" x14ac:dyDescent="0.3">
      <c r="F89631" s="193"/>
    </row>
    <row r="89632" spans="6:6" x14ac:dyDescent="0.3">
      <c r="F89632" s="193"/>
    </row>
    <row r="89633" spans="6:6" x14ac:dyDescent="0.3">
      <c r="F89633" s="193"/>
    </row>
    <row r="89634" spans="6:6" x14ac:dyDescent="0.3">
      <c r="F89634" s="193"/>
    </row>
    <row r="89635" spans="6:6" x14ac:dyDescent="0.3">
      <c r="F89635" s="193"/>
    </row>
    <row r="89636" spans="6:6" x14ac:dyDescent="0.3">
      <c r="F89636" s="193"/>
    </row>
    <row r="89637" spans="6:6" x14ac:dyDescent="0.3">
      <c r="F89637" s="193"/>
    </row>
    <row r="89638" spans="6:6" x14ac:dyDescent="0.3">
      <c r="F89638" s="193"/>
    </row>
    <row r="89639" spans="6:6" x14ac:dyDescent="0.3">
      <c r="F89639" s="193"/>
    </row>
    <row r="89640" spans="6:6" x14ac:dyDescent="0.3">
      <c r="F89640" s="193"/>
    </row>
    <row r="89641" spans="6:6" x14ac:dyDescent="0.3">
      <c r="F89641" s="193"/>
    </row>
    <row r="89642" spans="6:6" x14ac:dyDescent="0.3">
      <c r="F89642" s="193"/>
    </row>
    <row r="89643" spans="6:6" x14ac:dyDescent="0.3">
      <c r="F89643" s="193"/>
    </row>
    <row r="89644" spans="6:6" x14ac:dyDescent="0.3">
      <c r="F89644" s="193"/>
    </row>
    <row r="89645" spans="6:6" x14ac:dyDescent="0.3">
      <c r="F89645" s="193"/>
    </row>
    <row r="89646" spans="6:6" x14ac:dyDescent="0.3">
      <c r="F89646" s="193"/>
    </row>
    <row r="89647" spans="6:6" x14ac:dyDescent="0.3">
      <c r="F89647" s="193"/>
    </row>
    <row r="89648" spans="6:6" x14ac:dyDescent="0.3">
      <c r="F89648" s="193"/>
    </row>
    <row r="89649" spans="6:6" x14ac:dyDescent="0.3">
      <c r="F89649" s="193"/>
    </row>
    <row r="89650" spans="6:6" x14ac:dyDescent="0.3">
      <c r="F89650" s="193"/>
    </row>
    <row r="89651" spans="6:6" x14ac:dyDescent="0.3">
      <c r="F89651" s="193"/>
    </row>
    <row r="89652" spans="6:6" x14ac:dyDescent="0.3">
      <c r="F89652" s="193"/>
    </row>
    <row r="89653" spans="6:6" x14ac:dyDescent="0.3">
      <c r="F89653" s="193"/>
    </row>
    <row r="89654" spans="6:6" x14ac:dyDescent="0.3">
      <c r="F89654" s="193"/>
    </row>
    <row r="89655" spans="6:6" x14ac:dyDescent="0.3">
      <c r="F89655" s="193"/>
    </row>
    <row r="89656" spans="6:6" x14ac:dyDescent="0.3">
      <c r="F89656" s="193"/>
    </row>
    <row r="89657" spans="6:6" x14ac:dyDescent="0.3">
      <c r="F89657" s="193"/>
    </row>
    <row r="89658" spans="6:6" x14ac:dyDescent="0.3">
      <c r="F89658" s="193"/>
    </row>
    <row r="89659" spans="6:6" x14ac:dyDescent="0.3">
      <c r="F89659" s="193"/>
    </row>
    <row r="89660" spans="6:6" x14ac:dyDescent="0.3">
      <c r="F89660" s="193"/>
    </row>
    <row r="89661" spans="6:6" x14ac:dyDescent="0.3">
      <c r="F89661" s="193"/>
    </row>
    <row r="89662" spans="6:6" x14ac:dyDescent="0.3">
      <c r="F89662" s="193"/>
    </row>
    <row r="89663" spans="6:6" x14ac:dyDescent="0.3">
      <c r="F89663" s="193"/>
    </row>
    <row r="89664" spans="6:6" x14ac:dyDescent="0.3">
      <c r="F89664" s="193"/>
    </row>
    <row r="89665" spans="6:6" x14ac:dyDescent="0.3">
      <c r="F89665" s="193"/>
    </row>
    <row r="89666" spans="6:6" x14ac:dyDescent="0.3">
      <c r="F89666" s="193"/>
    </row>
    <row r="89667" spans="6:6" x14ac:dyDescent="0.3">
      <c r="F89667" s="193"/>
    </row>
    <row r="89668" spans="6:6" x14ac:dyDescent="0.3">
      <c r="F89668" s="193"/>
    </row>
    <row r="89669" spans="6:6" x14ac:dyDescent="0.3">
      <c r="F89669" s="193"/>
    </row>
    <row r="89670" spans="6:6" x14ac:dyDescent="0.3">
      <c r="F89670" s="193"/>
    </row>
    <row r="89671" spans="6:6" x14ac:dyDescent="0.3">
      <c r="F89671" s="193"/>
    </row>
    <row r="89672" spans="6:6" x14ac:dyDescent="0.3">
      <c r="F89672" s="193"/>
    </row>
    <row r="89673" spans="6:6" x14ac:dyDescent="0.3">
      <c r="F89673" s="193"/>
    </row>
    <row r="89674" spans="6:6" x14ac:dyDescent="0.3">
      <c r="F89674" s="193"/>
    </row>
    <row r="89675" spans="6:6" x14ac:dyDescent="0.3">
      <c r="F89675" s="193"/>
    </row>
    <row r="89676" spans="6:6" x14ac:dyDescent="0.3">
      <c r="F89676" s="193"/>
    </row>
    <row r="89677" spans="6:6" x14ac:dyDescent="0.3">
      <c r="F89677" s="193"/>
    </row>
    <row r="89678" spans="6:6" x14ac:dyDescent="0.3">
      <c r="F89678" s="193"/>
    </row>
    <row r="89679" spans="6:6" x14ac:dyDescent="0.3">
      <c r="F89679" s="193"/>
    </row>
    <row r="89680" spans="6:6" x14ac:dyDescent="0.3">
      <c r="F89680" s="193"/>
    </row>
    <row r="89681" spans="6:6" x14ac:dyDescent="0.3">
      <c r="F89681" s="193"/>
    </row>
    <row r="89682" spans="6:6" x14ac:dyDescent="0.3">
      <c r="F89682" s="193"/>
    </row>
    <row r="89683" spans="6:6" x14ac:dyDescent="0.3">
      <c r="F89683" s="193"/>
    </row>
    <row r="89684" spans="6:6" x14ac:dyDescent="0.3">
      <c r="F89684" s="193"/>
    </row>
    <row r="89685" spans="6:6" x14ac:dyDescent="0.3">
      <c r="F89685" s="193"/>
    </row>
    <row r="89686" spans="6:6" x14ac:dyDescent="0.3">
      <c r="F89686" s="193"/>
    </row>
    <row r="89687" spans="6:6" x14ac:dyDescent="0.3">
      <c r="F89687" s="193"/>
    </row>
    <row r="89688" spans="6:6" x14ac:dyDescent="0.3">
      <c r="F89688" s="193"/>
    </row>
    <row r="89689" spans="6:6" x14ac:dyDescent="0.3">
      <c r="F89689" s="193"/>
    </row>
    <row r="89690" spans="6:6" x14ac:dyDescent="0.3">
      <c r="F89690" s="193"/>
    </row>
    <row r="89691" spans="6:6" x14ac:dyDescent="0.3">
      <c r="F89691" s="193"/>
    </row>
    <row r="89692" spans="6:6" x14ac:dyDescent="0.3">
      <c r="F89692" s="193"/>
    </row>
    <row r="89693" spans="6:6" x14ac:dyDescent="0.3">
      <c r="F89693" s="193"/>
    </row>
    <row r="89694" spans="6:6" x14ac:dyDescent="0.3">
      <c r="F89694" s="193"/>
    </row>
    <row r="89695" spans="6:6" x14ac:dyDescent="0.3">
      <c r="F89695" s="193"/>
    </row>
    <row r="89696" spans="6:6" x14ac:dyDescent="0.3">
      <c r="F89696" s="193"/>
    </row>
    <row r="89697" spans="6:6" x14ac:dyDescent="0.3">
      <c r="F89697" s="193"/>
    </row>
    <row r="89698" spans="6:6" x14ac:dyDescent="0.3">
      <c r="F89698" s="193"/>
    </row>
    <row r="89699" spans="6:6" x14ac:dyDescent="0.3">
      <c r="F89699" s="193"/>
    </row>
    <row r="89700" spans="6:6" x14ac:dyDescent="0.3">
      <c r="F89700" s="193"/>
    </row>
    <row r="89701" spans="6:6" x14ac:dyDescent="0.3">
      <c r="F89701" s="193"/>
    </row>
    <row r="89702" spans="6:6" x14ac:dyDescent="0.3">
      <c r="F89702" s="193"/>
    </row>
    <row r="89703" spans="6:6" x14ac:dyDescent="0.3">
      <c r="F89703" s="193"/>
    </row>
    <row r="89704" spans="6:6" x14ac:dyDescent="0.3">
      <c r="F89704" s="193"/>
    </row>
    <row r="89705" spans="6:6" x14ac:dyDescent="0.3">
      <c r="F89705" s="193"/>
    </row>
    <row r="89706" spans="6:6" x14ac:dyDescent="0.3">
      <c r="F89706" s="193"/>
    </row>
    <row r="89707" spans="6:6" x14ac:dyDescent="0.3">
      <c r="F89707" s="193"/>
    </row>
    <row r="89708" spans="6:6" x14ac:dyDescent="0.3">
      <c r="F89708" s="193"/>
    </row>
    <row r="89709" spans="6:6" x14ac:dyDescent="0.3">
      <c r="F89709" s="193"/>
    </row>
    <row r="89710" spans="6:6" x14ac:dyDescent="0.3">
      <c r="F89710" s="193"/>
    </row>
    <row r="89711" spans="6:6" x14ac:dyDescent="0.3">
      <c r="F89711" s="193"/>
    </row>
    <row r="89712" spans="6:6" x14ac:dyDescent="0.3">
      <c r="F89712" s="193"/>
    </row>
    <row r="89713" spans="6:6" x14ac:dyDescent="0.3">
      <c r="F89713" s="193"/>
    </row>
    <row r="89714" spans="6:6" x14ac:dyDescent="0.3">
      <c r="F89714" s="193"/>
    </row>
    <row r="89715" spans="6:6" x14ac:dyDescent="0.3">
      <c r="F89715" s="193"/>
    </row>
    <row r="89716" spans="6:6" x14ac:dyDescent="0.3">
      <c r="F89716" s="193"/>
    </row>
    <row r="89717" spans="6:6" x14ac:dyDescent="0.3">
      <c r="F89717" s="193"/>
    </row>
    <row r="89718" spans="6:6" x14ac:dyDescent="0.3">
      <c r="F89718" s="193"/>
    </row>
    <row r="89719" spans="6:6" x14ac:dyDescent="0.3">
      <c r="F89719" s="193"/>
    </row>
    <row r="89720" spans="6:6" x14ac:dyDescent="0.3">
      <c r="F89720" s="193"/>
    </row>
    <row r="89721" spans="6:6" x14ac:dyDescent="0.3">
      <c r="F89721" s="193"/>
    </row>
    <row r="89722" spans="6:6" x14ac:dyDescent="0.3">
      <c r="F89722" s="193"/>
    </row>
    <row r="89723" spans="6:6" x14ac:dyDescent="0.3">
      <c r="F89723" s="193"/>
    </row>
    <row r="89724" spans="6:6" x14ac:dyDescent="0.3">
      <c r="F89724" s="193"/>
    </row>
    <row r="89725" spans="6:6" x14ac:dyDescent="0.3">
      <c r="F89725" s="193"/>
    </row>
    <row r="89726" spans="6:6" x14ac:dyDescent="0.3">
      <c r="F89726" s="193"/>
    </row>
    <row r="89727" spans="6:6" x14ac:dyDescent="0.3">
      <c r="F89727" s="193"/>
    </row>
    <row r="89728" spans="6:6" x14ac:dyDescent="0.3">
      <c r="F89728" s="193"/>
    </row>
    <row r="89729" spans="6:6" x14ac:dyDescent="0.3">
      <c r="F89729" s="193"/>
    </row>
    <row r="89730" spans="6:6" x14ac:dyDescent="0.3">
      <c r="F89730" s="193"/>
    </row>
    <row r="89731" spans="6:6" x14ac:dyDescent="0.3">
      <c r="F89731" s="193"/>
    </row>
    <row r="89732" spans="6:6" x14ac:dyDescent="0.3">
      <c r="F89732" s="193"/>
    </row>
    <row r="89733" spans="6:6" x14ac:dyDescent="0.3">
      <c r="F89733" s="193"/>
    </row>
    <row r="89734" spans="6:6" x14ac:dyDescent="0.3">
      <c r="F89734" s="193"/>
    </row>
    <row r="89735" spans="6:6" x14ac:dyDescent="0.3">
      <c r="F89735" s="193"/>
    </row>
    <row r="89736" spans="6:6" x14ac:dyDescent="0.3">
      <c r="F89736" s="193"/>
    </row>
    <row r="89737" spans="6:6" x14ac:dyDescent="0.3">
      <c r="F89737" s="193"/>
    </row>
    <row r="89738" spans="6:6" x14ac:dyDescent="0.3">
      <c r="F89738" s="193"/>
    </row>
    <row r="89739" spans="6:6" x14ac:dyDescent="0.3">
      <c r="F89739" s="193"/>
    </row>
    <row r="89740" spans="6:6" x14ac:dyDescent="0.3">
      <c r="F89740" s="193"/>
    </row>
    <row r="89741" spans="6:6" x14ac:dyDescent="0.3">
      <c r="F89741" s="193"/>
    </row>
    <row r="89742" spans="6:6" x14ac:dyDescent="0.3">
      <c r="F89742" s="193"/>
    </row>
    <row r="89743" spans="6:6" x14ac:dyDescent="0.3">
      <c r="F89743" s="193"/>
    </row>
    <row r="89744" spans="6:6" x14ac:dyDescent="0.3">
      <c r="F89744" s="193"/>
    </row>
    <row r="89745" spans="6:6" x14ac:dyDescent="0.3">
      <c r="F89745" s="193"/>
    </row>
    <row r="89746" spans="6:6" x14ac:dyDescent="0.3">
      <c r="F89746" s="193"/>
    </row>
    <row r="89747" spans="6:6" x14ac:dyDescent="0.3">
      <c r="F89747" s="193"/>
    </row>
    <row r="89748" spans="6:6" x14ac:dyDescent="0.3">
      <c r="F89748" s="193"/>
    </row>
    <row r="89749" spans="6:6" x14ac:dyDescent="0.3">
      <c r="F89749" s="193"/>
    </row>
    <row r="89750" spans="6:6" x14ac:dyDescent="0.3">
      <c r="F89750" s="193"/>
    </row>
    <row r="89751" spans="6:6" x14ac:dyDescent="0.3">
      <c r="F89751" s="193"/>
    </row>
    <row r="89752" spans="6:6" x14ac:dyDescent="0.3">
      <c r="F89752" s="193"/>
    </row>
    <row r="89753" spans="6:6" x14ac:dyDescent="0.3">
      <c r="F89753" s="193"/>
    </row>
    <row r="89754" spans="6:6" x14ac:dyDescent="0.3">
      <c r="F89754" s="193"/>
    </row>
    <row r="89755" spans="6:6" x14ac:dyDescent="0.3">
      <c r="F89755" s="193"/>
    </row>
    <row r="89756" spans="6:6" x14ac:dyDescent="0.3">
      <c r="F89756" s="193"/>
    </row>
    <row r="89757" spans="6:6" x14ac:dyDescent="0.3">
      <c r="F89757" s="193"/>
    </row>
    <row r="89758" spans="6:6" x14ac:dyDescent="0.3">
      <c r="F89758" s="193"/>
    </row>
    <row r="89759" spans="6:6" x14ac:dyDescent="0.3">
      <c r="F89759" s="193"/>
    </row>
    <row r="89760" spans="6:6" x14ac:dyDescent="0.3">
      <c r="F89760" s="193"/>
    </row>
    <row r="89761" spans="6:6" x14ac:dyDescent="0.3">
      <c r="F89761" s="193"/>
    </row>
    <row r="89762" spans="6:6" x14ac:dyDescent="0.3">
      <c r="F89762" s="193"/>
    </row>
    <row r="89763" spans="6:6" x14ac:dyDescent="0.3">
      <c r="F89763" s="193"/>
    </row>
    <row r="89764" spans="6:6" x14ac:dyDescent="0.3">
      <c r="F89764" s="193"/>
    </row>
    <row r="89765" spans="6:6" x14ac:dyDescent="0.3">
      <c r="F89765" s="193"/>
    </row>
    <row r="89766" spans="6:6" x14ac:dyDescent="0.3">
      <c r="F89766" s="193"/>
    </row>
    <row r="89767" spans="6:6" x14ac:dyDescent="0.3">
      <c r="F89767" s="193"/>
    </row>
    <row r="89768" spans="6:6" x14ac:dyDescent="0.3">
      <c r="F89768" s="193"/>
    </row>
    <row r="89769" spans="6:6" x14ac:dyDescent="0.3">
      <c r="F89769" s="193"/>
    </row>
    <row r="89770" spans="6:6" x14ac:dyDescent="0.3">
      <c r="F89770" s="193"/>
    </row>
    <row r="89771" spans="6:6" x14ac:dyDescent="0.3">
      <c r="F89771" s="193"/>
    </row>
    <row r="89772" spans="6:6" x14ac:dyDescent="0.3">
      <c r="F89772" s="193"/>
    </row>
    <row r="89773" spans="6:6" x14ac:dyDescent="0.3">
      <c r="F89773" s="193"/>
    </row>
    <row r="89774" spans="6:6" x14ac:dyDescent="0.3">
      <c r="F89774" s="193"/>
    </row>
    <row r="89775" spans="6:6" x14ac:dyDescent="0.3">
      <c r="F89775" s="193"/>
    </row>
    <row r="89776" spans="6:6" x14ac:dyDescent="0.3">
      <c r="F89776" s="193"/>
    </row>
    <row r="89777" spans="6:6" x14ac:dyDescent="0.3">
      <c r="F89777" s="193"/>
    </row>
    <row r="89778" spans="6:6" x14ac:dyDescent="0.3">
      <c r="F89778" s="193"/>
    </row>
    <row r="89779" spans="6:6" x14ac:dyDescent="0.3">
      <c r="F89779" s="193"/>
    </row>
    <row r="89780" spans="6:6" x14ac:dyDescent="0.3">
      <c r="F89780" s="193"/>
    </row>
    <row r="89781" spans="6:6" x14ac:dyDescent="0.3">
      <c r="F89781" s="193"/>
    </row>
    <row r="89782" spans="6:6" x14ac:dyDescent="0.3">
      <c r="F89782" s="193"/>
    </row>
    <row r="89783" spans="6:6" x14ac:dyDescent="0.3">
      <c r="F89783" s="193"/>
    </row>
    <row r="89784" spans="6:6" x14ac:dyDescent="0.3">
      <c r="F89784" s="193"/>
    </row>
    <row r="89785" spans="6:6" x14ac:dyDescent="0.3">
      <c r="F89785" s="193"/>
    </row>
    <row r="89786" spans="6:6" x14ac:dyDescent="0.3">
      <c r="F89786" s="193"/>
    </row>
    <row r="89787" spans="6:6" x14ac:dyDescent="0.3">
      <c r="F89787" s="193"/>
    </row>
    <row r="89788" spans="6:6" x14ac:dyDescent="0.3">
      <c r="F89788" s="193"/>
    </row>
    <row r="89789" spans="6:6" x14ac:dyDescent="0.3">
      <c r="F89789" s="193"/>
    </row>
    <row r="89790" spans="6:6" x14ac:dyDescent="0.3">
      <c r="F89790" s="193"/>
    </row>
    <row r="89791" spans="6:6" x14ac:dyDescent="0.3">
      <c r="F89791" s="193"/>
    </row>
    <row r="89792" spans="6:6" x14ac:dyDescent="0.3">
      <c r="F89792" s="193"/>
    </row>
    <row r="89793" spans="6:6" x14ac:dyDescent="0.3">
      <c r="F89793" s="193"/>
    </row>
    <row r="89794" spans="6:6" x14ac:dyDescent="0.3">
      <c r="F89794" s="193"/>
    </row>
    <row r="89795" spans="6:6" x14ac:dyDescent="0.3">
      <c r="F89795" s="193"/>
    </row>
    <row r="89796" spans="6:6" x14ac:dyDescent="0.3">
      <c r="F89796" s="193"/>
    </row>
    <row r="89797" spans="6:6" x14ac:dyDescent="0.3">
      <c r="F89797" s="193"/>
    </row>
    <row r="89798" spans="6:6" x14ac:dyDescent="0.3">
      <c r="F89798" s="193"/>
    </row>
    <row r="89799" spans="6:6" x14ac:dyDescent="0.3">
      <c r="F89799" s="193"/>
    </row>
    <row r="89800" spans="6:6" x14ac:dyDescent="0.3">
      <c r="F89800" s="193"/>
    </row>
    <row r="89801" spans="6:6" x14ac:dyDescent="0.3">
      <c r="F89801" s="193"/>
    </row>
    <row r="89802" spans="6:6" x14ac:dyDescent="0.3">
      <c r="F89802" s="193"/>
    </row>
    <row r="89803" spans="6:6" x14ac:dyDescent="0.3">
      <c r="F89803" s="193"/>
    </row>
    <row r="89804" spans="6:6" x14ac:dyDescent="0.3">
      <c r="F89804" s="193"/>
    </row>
    <row r="89805" spans="6:6" x14ac:dyDescent="0.3">
      <c r="F89805" s="193"/>
    </row>
    <row r="89806" spans="6:6" x14ac:dyDescent="0.3">
      <c r="F89806" s="193"/>
    </row>
    <row r="89807" spans="6:6" x14ac:dyDescent="0.3">
      <c r="F89807" s="193"/>
    </row>
    <row r="89808" spans="6:6" x14ac:dyDescent="0.3">
      <c r="F89808" s="193"/>
    </row>
    <row r="89809" spans="6:6" x14ac:dyDescent="0.3">
      <c r="F89809" s="193"/>
    </row>
    <row r="89810" spans="6:6" x14ac:dyDescent="0.3">
      <c r="F89810" s="193"/>
    </row>
    <row r="89811" spans="6:6" x14ac:dyDescent="0.3">
      <c r="F89811" s="193"/>
    </row>
    <row r="89812" spans="6:6" x14ac:dyDescent="0.3">
      <c r="F89812" s="193"/>
    </row>
    <row r="89813" spans="6:6" x14ac:dyDescent="0.3">
      <c r="F89813" s="193"/>
    </row>
    <row r="89814" spans="6:6" x14ac:dyDescent="0.3">
      <c r="F89814" s="193"/>
    </row>
    <row r="89815" spans="6:6" x14ac:dyDescent="0.3">
      <c r="F89815" s="193"/>
    </row>
    <row r="89816" spans="6:6" x14ac:dyDescent="0.3">
      <c r="F89816" s="193"/>
    </row>
    <row r="89817" spans="6:6" x14ac:dyDescent="0.3">
      <c r="F89817" s="193"/>
    </row>
    <row r="89818" spans="6:6" x14ac:dyDescent="0.3">
      <c r="F89818" s="193"/>
    </row>
    <row r="89819" spans="6:6" x14ac:dyDescent="0.3">
      <c r="F89819" s="193"/>
    </row>
    <row r="89820" spans="6:6" x14ac:dyDescent="0.3">
      <c r="F89820" s="193"/>
    </row>
    <row r="89821" spans="6:6" x14ac:dyDescent="0.3">
      <c r="F89821" s="193"/>
    </row>
    <row r="89822" spans="6:6" x14ac:dyDescent="0.3">
      <c r="F89822" s="193"/>
    </row>
    <row r="89823" spans="6:6" x14ac:dyDescent="0.3">
      <c r="F89823" s="193"/>
    </row>
    <row r="89824" spans="6:6" x14ac:dyDescent="0.3">
      <c r="F89824" s="193"/>
    </row>
    <row r="89825" spans="6:6" x14ac:dyDescent="0.3">
      <c r="F89825" s="193"/>
    </row>
    <row r="89826" spans="6:6" x14ac:dyDescent="0.3">
      <c r="F89826" s="193"/>
    </row>
    <row r="89827" spans="6:6" x14ac:dyDescent="0.3">
      <c r="F89827" s="193"/>
    </row>
    <row r="89828" spans="6:6" x14ac:dyDescent="0.3">
      <c r="F89828" s="193"/>
    </row>
    <row r="89829" spans="6:6" x14ac:dyDescent="0.3">
      <c r="F89829" s="193"/>
    </row>
    <row r="89830" spans="6:6" x14ac:dyDescent="0.3">
      <c r="F89830" s="193"/>
    </row>
    <row r="89831" spans="6:6" x14ac:dyDescent="0.3">
      <c r="F89831" s="193"/>
    </row>
    <row r="89832" spans="6:6" x14ac:dyDescent="0.3">
      <c r="F89832" s="193"/>
    </row>
    <row r="89833" spans="6:6" x14ac:dyDescent="0.3">
      <c r="F89833" s="193"/>
    </row>
    <row r="89834" spans="6:6" x14ac:dyDescent="0.3">
      <c r="F89834" s="193"/>
    </row>
    <row r="89835" spans="6:6" x14ac:dyDescent="0.3">
      <c r="F89835" s="193"/>
    </row>
    <row r="89836" spans="6:6" x14ac:dyDescent="0.3">
      <c r="F89836" s="193"/>
    </row>
    <row r="89837" spans="6:6" x14ac:dyDescent="0.3">
      <c r="F89837" s="193"/>
    </row>
    <row r="89838" spans="6:6" x14ac:dyDescent="0.3">
      <c r="F89838" s="193"/>
    </row>
    <row r="89839" spans="6:6" x14ac:dyDescent="0.3">
      <c r="F89839" s="193"/>
    </row>
    <row r="89840" spans="6:6" x14ac:dyDescent="0.3">
      <c r="F89840" s="193"/>
    </row>
    <row r="89841" spans="6:6" x14ac:dyDescent="0.3">
      <c r="F89841" s="193"/>
    </row>
    <row r="89842" spans="6:6" x14ac:dyDescent="0.3">
      <c r="F89842" s="193"/>
    </row>
    <row r="89843" spans="6:6" x14ac:dyDescent="0.3">
      <c r="F89843" s="193"/>
    </row>
    <row r="89844" spans="6:6" x14ac:dyDescent="0.3">
      <c r="F89844" s="193"/>
    </row>
    <row r="89845" spans="6:6" x14ac:dyDescent="0.3">
      <c r="F89845" s="193"/>
    </row>
    <row r="89846" spans="6:6" x14ac:dyDescent="0.3">
      <c r="F89846" s="193"/>
    </row>
    <row r="89847" spans="6:6" x14ac:dyDescent="0.3">
      <c r="F89847" s="193"/>
    </row>
    <row r="89848" spans="6:6" x14ac:dyDescent="0.3">
      <c r="F89848" s="193"/>
    </row>
    <row r="89849" spans="6:6" x14ac:dyDescent="0.3">
      <c r="F89849" s="193"/>
    </row>
    <row r="89850" spans="6:6" x14ac:dyDescent="0.3">
      <c r="F89850" s="193"/>
    </row>
    <row r="89851" spans="6:6" x14ac:dyDescent="0.3">
      <c r="F89851" s="193"/>
    </row>
    <row r="89852" spans="6:6" x14ac:dyDescent="0.3">
      <c r="F89852" s="193"/>
    </row>
    <row r="89853" spans="6:6" x14ac:dyDescent="0.3">
      <c r="F89853" s="193"/>
    </row>
    <row r="89854" spans="6:6" x14ac:dyDescent="0.3">
      <c r="F89854" s="193"/>
    </row>
    <row r="89855" spans="6:6" x14ac:dyDescent="0.3">
      <c r="F89855" s="193"/>
    </row>
    <row r="89856" spans="6:6" x14ac:dyDescent="0.3">
      <c r="F89856" s="193"/>
    </row>
    <row r="89857" spans="6:6" x14ac:dyDescent="0.3">
      <c r="F89857" s="193"/>
    </row>
    <row r="89858" spans="6:6" x14ac:dyDescent="0.3">
      <c r="F89858" s="193"/>
    </row>
    <row r="89859" spans="6:6" x14ac:dyDescent="0.3">
      <c r="F89859" s="193"/>
    </row>
    <row r="89860" spans="6:6" x14ac:dyDescent="0.3">
      <c r="F89860" s="193"/>
    </row>
    <row r="89861" spans="6:6" x14ac:dyDescent="0.3">
      <c r="F89861" s="193"/>
    </row>
    <row r="89862" spans="6:6" x14ac:dyDescent="0.3">
      <c r="F89862" s="193"/>
    </row>
    <row r="89863" spans="6:6" x14ac:dyDescent="0.3">
      <c r="F89863" s="193"/>
    </row>
    <row r="89864" spans="6:6" x14ac:dyDescent="0.3">
      <c r="F89864" s="193"/>
    </row>
    <row r="89865" spans="6:6" x14ac:dyDescent="0.3">
      <c r="F89865" s="193"/>
    </row>
    <row r="89866" spans="6:6" x14ac:dyDescent="0.3">
      <c r="F89866" s="193"/>
    </row>
    <row r="89867" spans="6:6" x14ac:dyDescent="0.3">
      <c r="F89867" s="193"/>
    </row>
    <row r="89868" spans="6:6" x14ac:dyDescent="0.3">
      <c r="F89868" s="193"/>
    </row>
    <row r="89869" spans="6:6" x14ac:dyDescent="0.3">
      <c r="F89869" s="193"/>
    </row>
    <row r="89870" spans="6:6" x14ac:dyDescent="0.3">
      <c r="F89870" s="193"/>
    </row>
    <row r="89871" spans="6:6" x14ac:dyDescent="0.3">
      <c r="F89871" s="193"/>
    </row>
    <row r="89872" spans="6:6" x14ac:dyDescent="0.3">
      <c r="F89872" s="193"/>
    </row>
    <row r="89873" spans="6:6" x14ac:dyDescent="0.3">
      <c r="F89873" s="193"/>
    </row>
    <row r="89874" spans="6:6" x14ac:dyDescent="0.3">
      <c r="F89874" s="193"/>
    </row>
    <row r="89875" spans="6:6" x14ac:dyDescent="0.3">
      <c r="F89875" s="193"/>
    </row>
    <row r="89876" spans="6:6" x14ac:dyDescent="0.3">
      <c r="F89876" s="193"/>
    </row>
    <row r="89877" spans="6:6" x14ac:dyDescent="0.3">
      <c r="F89877" s="193"/>
    </row>
    <row r="89878" spans="6:6" x14ac:dyDescent="0.3">
      <c r="F89878" s="193"/>
    </row>
    <row r="89879" spans="6:6" x14ac:dyDescent="0.3">
      <c r="F89879" s="193"/>
    </row>
    <row r="89880" spans="6:6" x14ac:dyDescent="0.3">
      <c r="F89880" s="193"/>
    </row>
    <row r="89881" spans="6:6" x14ac:dyDescent="0.3">
      <c r="F89881" s="193"/>
    </row>
    <row r="89882" spans="6:6" x14ac:dyDescent="0.3">
      <c r="F89882" s="193"/>
    </row>
    <row r="89883" spans="6:6" x14ac:dyDescent="0.3">
      <c r="F89883" s="193"/>
    </row>
    <row r="89884" spans="6:6" x14ac:dyDescent="0.3">
      <c r="F89884" s="193"/>
    </row>
    <row r="89885" spans="6:6" x14ac:dyDescent="0.3">
      <c r="F89885" s="193"/>
    </row>
    <row r="89886" spans="6:6" x14ac:dyDescent="0.3">
      <c r="F89886" s="193"/>
    </row>
    <row r="89887" spans="6:6" x14ac:dyDescent="0.3">
      <c r="F89887" s="193"/>
    </row>
    <row r="89888" spans="6:6" x14ac:dyDescent="0.3">
      <c r="F89888" s="193"/>
    </row>
    <row r="89889" spans="6:6" x14ac:dyDescent="0.3">
      <c r="F89889" s="193"/>
    </row>
    <row r="89890" spans="6:6" x14ac:dyDescent="0.3">
      <c r="F89890" s="193"/>
    </row>
    <row r="89891" spans="6:6" x14ac:dyDescent="0.3">
      <c r="F89891" s="193"/>
    </row>
    <row r="89892" spans="6:6" x14ac:dyDescent="0.3">
      <c r="F89892" s="193"/>
    </row>
    <row r="89893" spans="6:6" x14ac:dyDescent="0.3">
      <c r="F89893" s="193"/>
    </row>
    <row r="89894" spans="6:6" x14ac:dyDescent="0.3">
      <c r="F89894" s="193"/>
    </row>
    <row r="89895" spans="6:6" x14ac:dyDescent="0.3">
      <c r="F89895" s="193"/>
    </row>
    <row r="89896" spans="6:6" x14ac:dyDescent="0.3">
      <c r="F89896" s="193"/>
    </row>
    <row r="89897" spans="6:6" x14ac:dyDescent="0.3">
      <c r="F89897" s="193"/>
    </row>
    <row r="89898" spans="6:6" x14ac:dyDescent="0.3">
      <c r="F89898" s="193"/>
    </row>
    <row r="89899" spans="6:6" x14ac:dyDescent="0.3">
      <c r="F89899" s="193"/>
    </row>
    <row r="89900" spans="6:6" x14ac:dyDescent="0.3">
      <c r="F89900" s="193"/>
    </row>
    <row r="89901" spans="6:6" x14ac:dyDescent="0.3">
      <c r="F89901" s="193"/>
    </row>
    <row r="89902" spans="6:6" x14ac:dyDescent="0.3">
      <c r="F89902" s="193"/>
    </row>
    <row r="89903" spans="6:6" x14ac:dyDescent="0.3">
      <c r="F89903" s="193"/>
    </row>
    <row r="89904" spans="6:6" x14ac:dyDescent="0.3">
      <c r="F89904" s="193"/>
    </row>
    <row r="89905" spans="6:6" x14ac:dyDescent="0.3">
      <c r="F89905" s="193"/>
    </row>
    <row r="89906" spans="6:6" x14ac:dyDescent="0.3">
      <c r="F89906" s="193"/>
    </row>
    <row r="89907" spans="6:6" x14ac:dyDescent="0.3">
      <c r="F89907" s="193"/>
    </row>
    <row r="89908" spans="6:6" x14ac:dyDescent="0.3">
      <c r="F89908" s="193"/>
    </row>
    <row r="89909" spans="6:6" x14ac:dyDescent="0.3">
      <c r="F89909" s="193"/>
    </row>
    <row r="89910" spans="6:6" x14ac:dyDescent="0.3">
      <c r="F89910" s="193"/>
    </row>
    <row r="89911" spans="6:6" x14ac:dyDescent="0.3">
      <c r="F89911" s="193"/>
    </row>
    <row r="89912" spans="6:6" x14ac:dyDescent="0.3">
      <c r="F89912" s="193"/>
    </row>
    <row r="89913" spans="6:6" x14ac:dyDescent="0.3">
      <c r="F89913" s="193"/>
    </row>
    <row r="89914" spans="6:6" x14ac:dyDescent="0.3">
      <c r="F89914" s="193"/>
    </row>
    <row r="89915" spans="6:6" x14ac:dyDescent="0.3">
      <c r="F89915" s="193"/>
    </row>
    <row r="89916" spans="6:6" x14ac:dyDescent="0.3">
      <c r="F89916" s="193"/>
    </row>
    <row r="89917" spans="6:6" x14ac:dyDescent="0.3">
      <c r="F89917" s="193"/>
    </row>
    <row r="89918" spans="6:6" x14ac:dyDescent="0.3">
      <c r="F89918" s="193"/>
    </row>
    <row r="89919" spans="6:6" x14ac:dyDescent="0.3">
      <c r="F89919" s="193"/>
    </row>
    <row r="89920" spans="6:6" x14ac:dyDescent="0.3">
      <c r="F89920" s="193"/>
    </row>
    <row r="89921" spans="6:6" x14ac:dyDescent="0.3">
      <c r="F89921" s="193"/>
    </row>
    <row r="89922" spans="6:6" x14ac:dyDescent="0.3">
      <c r="F89922" s="193"/>
    </row>
    <row r="89923" spans="6:6" x14ac:dyDescent="0.3">
      <c r="F89923" s="193"/>
    </row>
    <row r="89924" spans="6:6" x14ac:dyDescent="0.3">
      <c r="F89924" s="193"/>
    </row>
    <row r="89925" spans="6:6" x14ac:dyDescent="0.3">
      <c r="F89925" s="193"/>
    </row>
    <row r="89926" spans="6:6" x14ac:dyDescent="0.3">
      <c r="F89926" s="193"/>
    </row>
    <row r="89927" spans="6:6" x14ac:dyDescent="0.3">
      <c r="F89927" s="193"/>
    </row>
    <row r="89928" spans="6:6" x14ac:dyDescent="0.3">
      <c r="F89928" s="193"/>
    </row>
    <row r="89929" spans="6:6" x14ac:dyDescent="0.3">
      <c r="F89929" s="193"/>
    </row>
    <row r="89930" spans="6:6" x14ac:dyDescent="0.3">
      <c r="F89930" s="193"/>
    </row>
    <row r="89931" spans="6:6" x14ac:dyDescent="0.3">
      <c r="F89931" s="193"/>
    </row>
    <row r="89932" spans="6:6" x14ac:dyDescent="0.3">
      <c r="F89932" s="193"/>
    </row>
    <row r="89933" spans="6:6" x14ac:dyDescent="0.3">
      <c r="F89933" s="193"/>
    </row>
    <row r="89934" spans="6:6" x14ac:dyDescent="0.3">
      <c r="F89934" s="193"/>
    </row>
    <row r="89935" spans="6:6" x14ac:dyDescent="0.3">
      <c r="F89935" s="193"/>
    </row>
    <row r="89936" spans="6:6" x14ac:dyDescent="0.3">
      <c r="F89936" s="193"/>
    </row>
    <row r="89937" spans="6:6" x14ac:dyDescent="0.3">
      <c r="F89937" s="193"/>
    </row>
    <row r="89938" spans="6:6" x14ac:dyDescent="0.3">
      <c r="F89938" s="193"/>
    </row>
    <row r="89939" spans="6:6" x14ac:dyDescent="0.3">
      <c r="F89939" s="193"/>
    </row>
    <row r="89940" spans="6:6" x14ac:dyDescent="0.3">
      <c r="F89940" s="193"/>
    </row>
    <row r="89941" spans="6:6" x14ac:dyDescent="0.3">
      <c r="F89941" s="193"/>
    </row>
    <row r="89942" spans="6:6" x14ac:dyDescent="0.3">
      <c r="F89942" s="193"/>
    </row>
    <row r="89943" spans="6:6" x14ac:dyDescent="0.3">
      <c r="F89943" s="193"/>
    </row>
    <row r="89944" spans="6:6" x14ac:dyDescent="0.3">
      <c r="F89944" s="193"/>
    </row>
    <row r="89945" spans="6:6" x14ac:dyDescent="0.3">
      <c r="F89945" s="193"/>
    </row>
    <row r="89946" spans="6:6" x14ac:dyDescent="0.3">
      <c r="F89946" s="193"/>
    </row>
    <row r="89947" spans="6:6" x14ac:dyDescent="0.3">
      <c r="F89947" s="193"/>
    </row>
    <row r="89948" spans="6:6" x14ac:dyDescent="0.3">
      <c r="F89948" s="193"/>
    </row>
    <row r="89949" spans="6:6" x14ac:dyDescent="0.3">
      <c r="F89949" s="193"/>
    </row>
    <row r="89950" spans="6:6" x14ac:dyDescent="0.3">
      <c r="F89950" s="193"/>
    </row>
    <row r="89951" spans="6:6" x14ac:dyDescent="0.3">
      <c r="F89951" s="193"/>
    </row>
    <row r="89952" spans="6:6" x14ac:dyDescent="0.3">
      <c r="F89952" s="193"/>
    </row>
    <row r="89953" spans="6:6" x14ac:dyDescent="0.3">
      <c r="F89953" s="193"/>
    </row>
    <row r="89954" spans="6:6" x14ac:dyDescent="0.3">
      <c r="F89954" s="193"/>
    </row>
    <row r="89955" spans="6:6" x14ac:dyDescent="0.3">
      <c r="F89955" s="193"/>
    </row>
    <row r="89956" spans="6:6" x14ac:dyDescent="0.3">
      <c r="F89956" s="193"/>
    </row>
    <row r="89957" spans="6:6" x14ac:dyDescent="0.3">
      <c r="F89957" s="193"/>
    </row>
    <row r="89958" spans="6:6" x14ac:dyDescent="0.3">
      <c r="F89958" s="193"/>
    </row>
    <row r="89959" spans="6:6" x14ac:dyDescent="0.3">
      <c r="F89959" s="193"/>
    </row>
    <row r="89960" spans="6:6" x14ac:dyDescent="0.3">
      <c r="F89960" s="193"/>
    </row>
    <row r="89961" spans="6:6" x14ac:dyDescent="0.3">
      <c r="F89961" s="193"/>
    </row>
    <row r="89962" spans="6:6" x14ac:dyDescent="0.3">
      <c r="F89962" s="193"/>
    </row>
    <row r="89963" spans="6:6" x14ac:dyDescent="0.3">
      <c r="F89963" s="193"/>
    </row>
    <row r="89964" spans="6:6" x14ac:dyDescent="0.3">
      <c r="F89964" s="193"/>
    </row>
    <row r="89965" spans="6:6" x14ac:dyDescent="0.3">
      <c r="F89965" s="193"/>
    </row>
    <row r="89966" spans="6:6" x14ac:dyDescent="0.3">
      <c r="F89966" s="193"/>
    </row>
    <row r="89967" spans="6:6" x14ac:dyDescent="0.3">
      <c r="F89967" s="193"/>
    </row>
    <row r="89968" spans="6:6" x14ac:dyDescent="0.3">
      <c r="F89968" s="193"/>
    </row>
    <row r="89969" spans="6:6" x14ac:dyDescent="0.3">
      <c r="F89969" s="193"/>
    </row>
    <row r="89970" spans="6:6" x14ac:dyDescent="0.3">
      <c r="F89970" s="193"/>
    </row>
    <row r="89971" spans="6:6" x14ac:dyDescent="0.3">
      <c r="F89971" s="193"/>
    </row>
    <row r="89972" spans="6:6" x14ac:dyDescent="0.3">
      <c r="F89972" s="193"/>
    </row>
    <row r="89973" spans="6:6" x14ac:dyDescent="0.3">
      <c r="F89973" s="193"/>
    </row>
    <row r="89974" spans="6:6" x14ac:dyDescent="0.3">
      <c r="F89974" s="193"/>
    </row>
    <row r="89975" spans="6:6" x14ac:dyDescent="0.3">
      <c r="F89975" s="193"/>
    </row>
    <row r="89976" spans="6:6" x14ac:dyDescent="0.3">
      <c r="F89976" s="193"/>
    </row>
    <row r="89977" spans="6:6" x14ac:dyDescent="0.3">
      <c r="F89977" s="193"/>
    </row>
    <row r="89978" spans="6:6" x14ac:dyDescent="0.3">
      <c r="F89978" s="193"/>
    </row>
    <row r="89979" spans="6:6" x14ac:dyDescent="0.3">
      <c r="F89979" s="193"/>
    </row>
    <row r="89980" spans="6:6" x14ac:dyDescent="0.3">
      <c r="F89980" s="193"/>
    </row>
    <row r="89981" spans="6:6" x14ac:dyDescent="0.3">
      <c r="F89981" s="193"/>
    </row>
    <row r="89982" spans="6:6" x14ac:dyDescent="0.3">
      <c r="F89982" s="193"/>
    </row>
    <row r="89983" spans="6:6" x14ac:dyDescent="0.3">
      <c r="F89983" s="193"/>
    </row>
    <row r="89984" spans="6:6" x14ac:dyDescent="0.3">
      <c r="F89984" s="193"/>
    </row>
    <row r="89985" spans="6:6" x14ac:dyDescent="0.3">
      <c r="F89985" s="193"/>
    </row>
    <row r="89986" spans="6:6" x14ac:dyDescent="0.3">
      <c r="F89986" s="193"/>
    </row>
    <row r="89987" spans="6:6" x14ac:dyDescent="0.3">
      <c r="F89987" s="193"/>
    </row>
    <row r="89988" spans="6:6" x14ac:dyDescent="0.3">
      <c r="F89988" s="193"/>
    </row>
    <row r="89989" spans="6:6" x14ac:dyDescent="0.3">
      <c r="F89989" s="193"/>
    </row>
    <row r="89990" spans="6:6" x14ac:dyDescent="0.3">
      <c r="F89990" s="193"/>
    </row>
    <row r="89991" spans="6:6" x14ac:dyDescent="0.3">
      <c r="F89991" s="193"/>
    </row>
    <row r="89992" spans="6:6" x14ac:dyDescent="0.3">
      <c r="F89992" s="193"/>
    </row>
    <row r="89993" spans="6:6" x14ac:dyDescent="0.3">
      <c r="F89993" s="193"/>
    </row>
    <row r="89994" spans="6:6" x14ac:dyDescent="0.3">
      <c r="F89994" s="193"/>
    </row>
    <row r="89995" spans="6:6" x14ac:dyDescent="0.3">
      <c r="F89995" s="193"/>
    </row>
    <row r="89996" spans="6:6" x14ac:dyDescent="0.3">
      <c r="F89996" s="193"/>
    </row>
    <row r="89997" spans="6:6" x14ac:dyDescent="0.3">
      <c r="F89997" s="193"/>
    </row>
    <row r="89998" spans="6:6" x14ac:dyDescent="0.3">
      <c r="F89998" s="193"/>
    </row>
    <row r="89999" spans="6:6" x14ac:dyDescent="0.3">
      <c r="F89999" s="193"/>
    </row>
    <row r="90000" spans="6:6" x14ac:dyDescent="0.3">
      <c r="F90000" s="193"/>
    </row>
    <row r="90001" spans="6:6" x14ac:dyDescent="0.3">
      <c r="F90001" s="193"/>
    </row>
    <row r="90002" spans="6:6" x14ac:dyDescent="0.3">
      <c r="F90002" s="193"/>
    </row>
    <row r="90003" spans="6:6" x14ac:dyDescent="0.3">
      <c r="F90003" s="193"/>
    </row>
    <row r="90004" spans="6:6" x14ac:dyDescent="0.3">
      <c r="F90004" s="193"/>
    </row>
    <row r="90005" spans="6:6" x14ac:dyDescent="0.3">
      <c r="F90005" s="193"/>
    </row>
    <row r="90006" spans="6:6" x14ac:dyDescent="0.3">
      <c r="F90006" s="193"/>
    </row>
    <row r="90007" spans="6:6" x14ac:dyDescent="0.3">
      <c r="F90007" s="193"/>
    </row>
    <row r="90008" spans="6:6" x14ac:dyDescent="0.3">
      <c r="F90008" s="193"/>
    </row>
    <row r="90009" spans="6:6" x14ac:dyDescent="0.3">
      <c r="F90009" s="193"/>
    </row>
    <row r="90010" spans="6:6" x14ac:dyDescent="0.3">
      <c r="F90010" s="193"/>
    </row>
    <row r="90011" spans="6:6" x14ac:dyDescent="0.3">
      <c r="F90011" s="193"/>
    </row>
    <row r="90012" spans="6:6" x14ac:dyDescent="0.3">
      <c r="F90012" s="193"/>
    </row>
    <row r="90013" spans="6:6" x14ac:dyDescent="0.3">
      <c r="F90013" s="193"/>
    </row>
    <row r="90014" spans="6:6" x14ac:dyDescent="0.3">
      <c r="F90014" s="193"/>
    </row>
    <row r="90015" spans="6:6" x14ac:dyDescent="0.3">
      <c r="F90015" s="193"/>
    </row>
    <row r="90016" spans="6:6" x14ac:dyDescent="0.3">
      <c r="F90016" s="193"/>
    </row>
    <row r="90017" spans="6:6" x14ac:dyDescent="0.3">
      <c r="F90017" s="193"/>
    </row>
    <row r="90018" spans="6:6" x14ac:dyDescent="0.3">
      <c r="F90018" s="193"/>
    </row>
    <row r="90019" spans="6:6" x14ac:dyDescent="0.3">
      <c r="F90019" s="193"/>
    </row>
    <row r="90020" spans="6:6" x14ac:dyDescent="0.3">
      <c r="F90020" s="193"/>
    </row>
    <row r="90021" spans="6:6" x14ac:dyDescent="0.3">
      <c r="F90021" s="193"/>
    </row>
    <row r="90022" spans="6:6" x14ac:dyDescent="0.3">
      <c r="F90022" s="193"/>
    </row>
    <row r="90023" spans="6:6" x14ac:dyDescent="0.3">
      <c r="F90023" s="193"/>
    </row>
    <row r="90024" spans="6:6" x14ac:dyDescent="0.3">
      <c r="F90024" s="193"/>
    </row>
    <row r="90025" spans="6:6" x14ac:dyDescent="0.3">
      <c r="F90025" s="193"/>
    </row>
    <row r="90026" spans="6:6" x14ac:dyDescent="0.3">
      <c r="F90026" s="193"/>
    </row>
    <row r="90027" spans="6:6" x14ac:dyDescent="0.3">
      <c r="F90027" s="193"/>
    </row>
    <row r="90028" spans="6:6" x14ac:dyDescent="0.3">
      <c r="F90028" s="193"/>
    </row>
    <row r="90029" spans="6:6" x14ac:dyDescent="0.3">
      <c r="F90029" s="193"/>
    </row>
    <row r="90030" spans="6:6" x14ac:dyDescent="0.3">
      <c r="F90030" s="193"/>
    </row>
    <row r="90031" spans="6:6" x14ac:dyDescent="0.3">
      <c r="F90031" s="193"/>
    </row>
    <row r="90032" spans="6:6" x14ac:dyDescent="0.3">
      <c r="F90032" s="193"/>
    </row>
    <row r="90033" spans="6:6" x14ac:dyDescent="0.3">
      <c r="F90033" s="193"/>
    </row>
    <row r="90034" spans="6:6" x14ac:dyDescent="0.3">
      <c r="F90034" s="193"/>
    </row>
    <row r="90035" spans="6:6" x14ac:dyDescent="0.3">
      <c r="F90035" s="193"/>
    </row>
    <row r="90036" spans="6:6" x14ac:dyDescent="0.3">
      <c r="F90036" s="193"/>
    </row>
    <row r="90037" spans="6:6" x14ac:dyDescent="0.3">
      <c r="F90037" s="193"/>
    </row>
    <row r="90038" spans="6:6" x14ac:dyDescent="0.3">
      <c r="F90038" s="193"/>
    </row>
    <row r="90039" spans="6:6" x14ac:dyDescent="0.3">
      <c r="F90039" s="193"/>
    </row>
    <row r="90040" spans="6:6" x14ac:dyDescent="0.3">
      <c r="F90040" s="193"/>
    </row>
    <row r="90041" spans="6:6" x14ac:dyDescent="0.3">
      <c r="F90041" s="193"/>
    </row>
    <row r="90042" spans="6:6" x14ac:dyDescent="0.3">
      <c r="F90042" s="193"/>
    </row>
    <row r="90043" spans="6:6" x14ac:dyDescent="0.3">
      <c r="F90043" s="193"/>
    </row>
    <row r="90044" spans="6:6" x14ac:dyDescent="0.3">
      <c r="F90044" s="193"/>
    </row>
    <row r="90045" spans="6:6" x14ac:dyDescent="0.3">
      <c r="F90045" s="193"/>
    </row>
    <row r="90046" spans="6:6" x14ac:dyDescent="0.3">
      <c r="F90046" s="193"/>
    </row>
    <row r="90047" spans="6:6" x14ac:dyDescent="0.3">
      <c r="F90047" s="193"/>
    </row>
    <row r="90048" spans="6:6" x14ac:dyDescent="0.3">
      <c r="F90048" s="193"/>
    </row>
    <row r="90049" spans="6:6" x14ac:dyDescent="0.3">
      <c r="F90049" s="193"/>
    </row>
    <row r="90050" spans="6:6" x14ac:dyDescent="0.3">
      <c r="F90050" s="193"/>
    </row>
    <row r="90051" spans="6:6" x14ac:dyDescent="0.3">
      <c r="F90051" s="193"/>
    </row>
    <row r="90052" spans="6:6" x14ac:dyDescent="0.3">
      <c r="F90052" s="193"/>
    </row>
    <row r="90053" spans="6:6" x14ac:dyDescent="0.3">
      <c r="F90053" s="193"/>
    </row>
    <row r="90054" spans="6:6" x14ac:dyDescent="0.3">
      <c r="F90054" s="193"/>
    </row>
    <row r="90055" spans="6:6" x14ac:dyDescent="0.3">
      <c r="F90055" s="193"/>
    </row>
    <row r="90056" spans="6:6" x14ac:dyDescent="0.3">
      <c r="F90056" s="193"/>
    </row>
    <row r="90057" spans="6:6" x14ac:dyDescent="0.3">
      <c r="F90057" s="193"/>
    </row>
    <row r="90058" spans="6:6" x14ac:dyDescent="0.3">
      <c r="F90058" s="193"/>
    </row>
    <row r="90059" spans="6:6" x14ac:dyDescent="0.3">
      <c r="F90059" s="193"/>
    </row>
    <row r="90060" spans="6:6" x14ac:dyDescent="0.3">
      <c r="F90060" s="193"/>
    </row>
    <row r="90061" spans="6:6" x14ac:dyDescent="0.3">
      <c r="F90061" s="193"/>
    </row>
    <row r="90062" spans="6:6" x14ac:dyDescent="0.3">
      <c r="F90062" s="193"/>
    </row>
    <row r="90063" spans="6:6" x14ac:dyDescent="0.3">
      <c r="F90063" s="193"/>
    </row>
    <row r="90064" spans="6:6" x14ac:dyDescent="0.3">
      <c r="F90064" s="193"/>
    </row>
    <row r="90065" spans="6:6" x14ac:dyDescent="0.3">
      <c r="F90065" s="193"/>
    </row>
    <row r="90066" spans="6:6" x14ac:dyDescent="0.3">
      <c r="F90066" s="193"/>
    </row>
    <row r="90067" spans="6:6" x14ac:dyDescent="0.3">
      <c r="F90067" s="193"/>
    </row>
    <row r="90068" spans="6:6" x14ac:dyDescent="0.3">
      <c r="F90068" s="193"/>
    </row>
    <row r="90069" spans="6:6" x14ac:dyDescent="0.3">
      <c r="F90069" s="193"/>
    </row>
    <row r="90070" spans="6:6" x14ac:dyDescent="0.3">
      <c r="F90070" s="193"/>
    </row>
    <row r="90071" spans="6:6" x14ac:dyDescent="0.3">
      <c r="F90071" s="193"/>
    </row>
    <row r="90072" spans="6:6" x14ac:dyDescent="0.3">
      <c r="F90072" s="193"/>
    </row>
    <row r="90073" spans="6:6" x14ac:dyDescent="0.3">
      <c r="F90073" s="193"/>
    </row>
    <row r="90074" spans="6:6" x14ac:dyDescent="0.3">
      <c r="F90074" s="193"/>
    </row>
    <row r="90075" spans="6:6" x14ac:dyDescent="0.3">
      <c r="F90075" s="193"/>
    </row>
    <row r="90076" spans="6:6" x14ac:dyDescent="0.3">
      <c r="F90076" s="193"/>
    </row>
    <row r="90077" spans="6:6" x14ac:dyDescent="0.3">
      <c r="F90077" s="193"/>
    </row>
    <row r="90078" spans="6:6" x14ac:dyDescent="0.3">
      <c r="F90078" s="193"/>
    </row>
    <row r="90079" spans="6:6" x14ac:dyDescent="0.3">
      <c r="F90079" s="193"/>
    </row>
    <row r="90080" spans="6:6" x14ac:dyDescent="0.3">
      <c r="F90080" s="193"/>
    </row>
    <row r="90081" spans="6:6" x14ac:dyDescent="0.3">
      <c r="F90081" s="193"/>
    </row>
    <row r="90082" spans="6:6" x14ac:dyDescent="0.3">
      <c r="F90082" s="193"/>
    </row>
    <row r="90083" spans="6:6" x14ac:dyDescent="0.3">
      <c r="F90083" s="193"/>
    </row>
    <row r="90084" spans="6:6" x14ac:dyDescent="0.3">
      <c r="F90084" s="193"/>
    </row>
    <row r="90085" spans="6:6" x14ac:dyDescent="0.3">
      <c r="F90085" s="193"/>
    </row>
    <row r="90086" spans="6:6" x14ac:dyDescent="0.3">
      <c r="F90086" s="193"/>
    </row>
    <row r="90087" spans="6:6" x14ac:dyDescent="0.3">
      <c r="F90087" s="193"/>
    </row>
    <row r="90088" spans="6:6" x14ac:dyDescent="0.3">
      <c r="F90088" s="193"/>
    </row>
    <row r="90089" spans="6:6" x14ac:dyDescent="0.3">
      <c r="F90089" s="193"/>
    </row>
    <row r="90090" spans="6:6" x14ac:dyDescent="0.3">
      <c r="F90090" s="193"/>
    </row>
    <row r="90091" spans="6:6" x14ac:dyDescent="0.3">
      <c r="F90091" s="193"/>
    </row>
    <row r="90092" spans="6:6" x14ac:dyDescent="0.3">
      <c r="F90092" s="193"/>
    </row>
    <row r="90093" spans="6:6" x14ac:dyDescent="0.3">
      <c r="F90093" s="193"/>
    </row>
    <row r="90094" spans="6:6" x14ac:dyDescent="0.3">
      <c r="F90094" s="193"/>
    </row>
    <row r="90095" spans="6:6" x14ac:dyDescent="0.3">
      <c r="F90095" s="193"/>
    </row>
    <row r="90096" spans="6:6" x14ac:dyDescent="0.3">
      <c r="F90096" s="193"/>
    </row>
    <row r="90097" spans="6:6" x14ac:dyDescent="0.3">
      <c r="F90097" s="193"/>
    </row>
    <row r="90098" spans="6:6" x14ac:dyDescent="0.3">
      <c r="F90098" s="193"/>
    </row>
    <row r="90099" spans="6:6" x14ac:dyDescent="0.3">
      <c r="F90099" s="193"/>
    </row>
    <row r="90100" spans="6:6" x14ac:dyDescent="0.3">
      <c r="F90100" s="193"/>
    </row>
    <row r="90101" spans="6:6" x14ac:dyDescent="0.3">
      <c r="F90101" s="193"/>
    </row>
    <row r="90102" spans="6:6" x14ac:dyDescent="0.3">
      <c r="F90102" s="193"/>
    </row>
    <row r="90103" spans="6:6" x14ac:dyDescent="0.3">
      <c r="F90103" s="193"/>
    </row>
    <row r="90104" spans="6:6" x14ac:dyDescent="0.3">
      <c r="F90104" s="193"/>
    </row>
    <row r="90105" spans="6:6" x14ac:dyDescent="0.3">
      <c r="F90105" s="193"/>
    </row>
    <row r="90106" spans="6:6" x14ac:dyDescent="0.3">
      <c r="F90106" s="193"/>
    </row>
    <row r="90107" spans="6:6" x14ac:dyDescent="0.3">
      <c r="F90107" s="193"/>
    </row>
    <row r="90108" spans="6:6" x14ac:dyDescent="0.3">
      <c r="F90108" s="193"/>
    </row>
    <row r="90109" spans="6:6" x14ac:dyDescent="0.3">
      <c r="F90109" s="193"/>
    </row>
    <row r="90110" spans="6:6" x14ac:dyDescent="0.3">
      <c r="F90110" s="193"/>
    </row>
    <row r="90111" spans="6:6" x14ac:dyDescent="0.3">
      <c r="F90111" s="193"/>
    </row>
    <row r="90112" spans="6:6" x14ac:dyDescent="0.3">
      <c r="F90112" s="193"/>
    </row>
    <row r="90113" spans="6:6" x14ac:dyDescent="0.3">
      <c r="F90113" s="193"/>
    </row>
    <row r="90114" spans="6:6" x14ac:dyDescent="0.3">
      <c r="F90114" s="193"/>
    </row>
    <row r="90115" spans="6:6" x14ac:dyDescent="0.3">
      <c r="F90115" s="193"/>
    </row>
    <row r="90116" spans="6:6" x14ac:dyDescent="0.3">
      <c r="F90116" s="193"/>
    </row>
    <row r="90117" spans="6:6" x14ac:dyDescent="0.3">
      <c r="F90117" s="193"/>
    </row>
    <row r="90118" spans="6:6" x14ac:dyDescent="0.3">
      <c r="F90118" s="193"/>
    </row>
    <row r="90119" spans="6:6" x14ac:dyDescent="0.3">
      <c r="F90119" s="193"/>
    </row>
    <row r="90120" spans="6:6" x14ac:dyDescent="0.3">
      <c r="F90120" s="193"/>
    </row>
    <row r="90121" spans="6:6" x14ac:dyDescent="0.3">
      <c r="F90121" s="193"/>
    </row>
    <row r="90122" spans="6:6" x14ac:dyDescent="0.3">
      <c r="F90122" s="193"/>
    </row>
    <row r="90123" spans="6:6" x14ac:dyDescent="0.3">
      <c r="F90123" s="193"/>
    </row>
    <row r="90124" spans="6:6" x14ac:dyDescent="0.3">
      <c r="F90124" s="193"/>
    </row>
    <row r="90125" spans="6:6" x14ac:dyDescent="0.3">
      <c r="F90125" s="193"/>
    </row>
    <row r="90126" spans="6:6" x14ac:dyDescent="0.3">
      <c r="F90126" s="193"/>
    </row>
    <row r="90127" spans="6:6" x14ac:dyDescent="0.3">
      <c r="F90127" s="193"/>
    </row>
    <row r="90128" spans="6:6" x14ac:dyDescent="0.3">
      <c r="F90128" s="193"/>
    </row>
    <row r="90129" spans="6:6" x14ac:dyDescent="0.3">
      <c r="F90129" s="193"/>
    </row>
    <row r="90130" spans="6:6" x14ac:dyDescent="0.3">
      <c r="F90130" s="193"/>
    </row>
    <row r="90131" spans="6:6" x14ac:dyDescent="0.3">
      <c r="F90131" s="193"/>
    </row>
    <row r="90132" spans="6:6" x14ac:dyDescent="0.3">
      <c r="F90132" s="193"/>
    </row>
    <row r="90133" spans="6:6" x14ac:dyDescent="0.3">
      <c r="F90133" s="193"/>
    </row>
    <row r="90134" spans="6:6" x14ac:dyDescent="0.3">
      <c r="F90134" s="193"/>
    </row>
    <row r="90135" spans="6:6" x14ac:dyDescent="0.3">
      <c r="F90135" s="193"/>
    </row>
    <row r="90136" spans="6:6" x14ac:dyDescent="0.3">
      <c r="F90136" s="193"/>
    </row>
    <row r="90137" spans="6:6" x14ac:dyDescent="0.3">
      <c r="F90137" s="193"/>
    </row>
    <row r="90138" spans="6:6" x14ac:dyDescent="0.3">
      <c r="F90138" s="193"/>
    </row>
    <row r="90139" spans="6:6" x14ac:dyDescent="0.3">
      <c r="F90139" s="193"/>
    </row>
    <row r="90140" spans="6:6" x14ac:dyDescent="0.3">
      <c r="F90140" s="193"/>
    </row>
    <row r="90141" spans="6:6" x14ac:dyDescent="0.3">
      <c r="F90141" s="193"/>
    </row>
    <row r="90142" spans="6:6" x14ac:dyDescent="0.3">
      <c r="F90142" s="193"/>
    </row>
    <row r="90143" spans="6:6" x14ac:dyDescent="0.3">
      <c r="F90143" s="193"/>
    </row>
    <row r="90144" spans="6:6" x14ac:dyDescent="0.3">
      <c r="F90144" s="193"/>
    </row>
    <row r="90145" spans="6:6" x14ac:dyDescent="0.3">
      <c r="F90145" s="193"/>
    </row>
    <row r="90146" spans="6:6" x14ac:dyDescent="0.3">
      <c r="F90146" s="193"/>
    </row>
    <row r="90147" spans="6:6" x14ac:dyDescent="0.3">
      <c r="F90147" s="193"/>
    </row>
    <row r="90148" spans="6:6" x14ac:dyDescent="0.3">
      <c r="F90148" s="193"/>
    </row>
    <row r="90149" spans="6:6" x14ac:dyDescent="0.3">
      <c r="F90149" s="193"/>
    </row>
    <row r="90150" spans="6:6" x14ac:dyDescent="0.3">
      <c r="F90150" s="193"/>
    </row>
    <row r="90151" spans="6:6" x14ac:dyDescent="0.3">
      <c r="F90151" s="193"/>
    </row>
    <row r="90152" spans="6:6" x14ac:dyDescent="0.3">
      <c r="F90152" s="193"/>
    </row>
    <row r="90153" spans="6:6" x14ac:dyDescent="0.3">
      <c r="F90153" s="193"/>
    </row>
    <row r="90154" spans="6:6" x14ac:dyDescent="0.3">
      <c r="F90154" s="193"/>
    </row>
    <row r="90155" spans="6:6" x14ac:dyDescent="0.3">
      <c r="F90155" s="193"/>
    </row>
    <row r="90156" spans="6:6" x14ac:dyDescent="0.3">
      <c r="F90156" s="193"/>
    </row>
    <row r="90157" spans="6:6" x14ac:dyDescent="0.3">
      <c r="F90157" s="193"/>
    </row>
    <row r="90158" spans="6:6" x14ac:dyDescent="0.3">
      <c r="F90158" s="193"/>
    </row>
    <row r="90159" spans="6:6" x14ac:dyDescent="0.3">
      <c r="F90159" s="193"/>
    </row>
    <row r="90160" spans="6:6" x14ac:dyDescent="0.3">
      <c r="F90160" s="193"/>
    </row>
    <row r="90161" spans="6:6" x14ac:dyDescent="0.3">
      <c r="F90161" s="193"/>
    </row>
    <row r="90162" spans="6:6" x14ac:dyDescent="0.3">
      <c r="F90162" s="193"/>
    </row>
    <row r="90163" spans="6:6" x14ac:dyDescent="0.3">
      <c r="F90163" s="193"/>
    </row>
    <row r="90164" spans="6:6" x14ac:dyDescent="0.3">
      <c r="F90164" s="193"/>
    </row>
    <row r="90165" spans="6:6" x14ac:dyDescent="0.3">
      <c r="F90165" s="193"/>
    </row>
    <row r="90166" spans="6:6" x14ac:dyDescent="0.3">
      <c r="F90166" s="193"/>
    </row>
    <row r="90167" spans="6:6" x14ac:dyDescent="0.3">
      <c r="F90167" s="193"/>
    </row>
    <row r="90168" spans="6:6" x14ac:dyDescent="0.3">
      <c r="F90168" s="193"/>
    </row>
    <row r="90169" spans="6:6" x14ac:dyDescent="0.3">
      <c r="F90169" s="193"/>
    </row>
    <row r="90170" spans="6:6" x14ac:dyDescent="0.3">
      <c r="F90170" s="193"/>
    </row>
    <row r="90171" spans="6:6" x14ac:dyDescent="0.3">
      <c r="F90171" s="193"/>
    </row>
    <row r="90172" spans="6:6" x14ac:dyDescent="0.3">
      <c r="F90172" s="193"/>
    </row>
    <row r="90173" spans="6:6" x14ac:dyDescent="0.3">
      <c r="F90173" s="193"/>
    </row>
    <row r="90174" spans="6:6" x14ac:dyDescent="0.3">
      <c r="F90174" s="193"/>
    </row>
    <row r="90175" spans="6:6" x14ac:dyDescent="0.3">
      <c r="F90175" s="193"/>
    </row>
    <row r="90176" spans="6:6" x14ac:dyDescent="0.3">
      <c r="F90176" s="193"/>
    </row>
    <row r="90177" spans="6:6" x14ac:dyDescent="0.3">
      <c r="F90177" s="193"/>
    </row>
    <row r="90178" spans="6:6" x14ac:dyDescent="0.3">
      <c r="F90178" s="193"/>
    </row>
    <row r="90179" spans="6:6" x14ac:dyDescent="0.3">
      <c r="F90179" s="193"/>
    </row>
    <row r="90180" spans="6:6" x14ac:dyDescent="0.3">
      <c r="F90180" s="193"/>
    </row>
    <row r="90181" spans="6:6" x14ac:dyDescent="0.3">
      <c r="F90181" s="193"/>
    </row>
    <row r="90182" spans="6:6" x14ac:dyDescent="0.3">
      <c r="F90182" s="193"/>
    </row>
    <row r="90183" spans="6:6" x14ac:dyDescent="0.3">
      <c r="F90183" s="193"/>
    </row>
    <row r="90184" spans="6:6" x14ac:dyDescent="0.3">
      <c r="F90184" s="193"/>
    </row>
    <row r="90185" spans="6:6" x14ac:dyDescent="0.3">
      <c r="F90185" s="193"/>
    </row>
    <row r="90186" spans="6:6" x14ac:dyDescent="0.3">
      <c r="F90186" s="193"/>
    </row>
    <row r="90187" spans="6:6" x14ac:dyDescent="0.3">
      <c r="F90187" s="193"/>
    </row>
    <row r="90188" spans="6:6" x14ac:dyDescent="0.3">
      <c r="F90188" s="193"/>
    </row>
    <row r="90189" spans="6:6" x14ac:dyDescent="0.3">
      <c r="F90189" s="193"/>
    </row>
    <row r="90190" spans="6:6" x14ac:dyDescent="0.3">
      <c r="F90190" s="193"/>
    </row>
    <row r="90191" spans="6:6" x14ac:dyDescent="0.3">
      <c r="F90191" s="193"/>
    </row>
    <row r="90192" spans="6:6" x14ac:dyDescent="0.3">
      <c r="F90192" s="193"/>
    </row>
    <row r="90193" spans="6:6" x14ac:dyDescent="0.3">
      <c r="F90193" s="193"/>
    </row>
    <row r="90194" spans="6:6" x14ac:dyDescent="0.3">
      <c r="F90194" s="193"/>
    </row>
    <row r="90195" spans="6:6" x14ac:dyDescent="0.3">
      <c r="F90195" s="193"/>
    </row>
    <row r="90196" spans="6:6" x14ac:dyDescent="0.3">
      <c r="F90196" s="193"/>
    </row>
    <row r="90197" spans="6:6" x14ac:dyDescent="0.3">
      <c r="F90197" s="193"/>
    </row>
    <row r="90198" spans="6:6" x14ac:dyDescent="0.3">
      <c r="F90198" s="193"/>
    </row>
    <row r="90199" spans="6:6" x14ac:dyDescent="0.3">
      <c r="F90199" s="193"/>
    </row>
    <row r="90200" spans="6:6" x14ac:dyDescent="0.3">
      <c r="F90200" s="193"/>
    </row>
    <row r="90201" spans="6:6" x14ac:dyDescent="0.3">
      <c r="F90201" s="193"/>
    </row>
    <row r="90202" spans="6:6" x14ac:dyDescent="0.3">
      <c r="F90202" s="193"/>
    </row>
    <row r="90203" spans="6:6" x14ac:dyDescent="0.3">
      <c r="F90203" s="193"/>
    </row>
    <row r="90204" spans="6:6" x14ac:dyDescent="0.3">
      <c r="F90204" s="193"/>
    </row>
    <row r="90205" spans="6:6" x14ac:dyDescent="0.3">
      <c r="F90205" s="193"/>
    </row>
    <row r="90206" spans="6:6" x14ac:dyDescent="0.3">
      <c r="F90206" s="193"/>
    </row>
    <row r="90207" spans="6:6" x14ac:dyDescent="0.3">
      <c r="F90207" s="193"/>
    </row>
    <row r="90208" spans="6:6" x14ac:dyDescent="0.3">
      <c r="F90208" s="193"/>
    </row>
    <row r="90209" spans="6:6" x14ac:dyDescent="0.3">
      <c r="F90209" s="193"/>
    </row>
    <row r="90210" spans="6:6" x14ac:dyDescent="0.3">
      <c r="F90210" s="193"/>
    </row>
    <row r="90211" spans="6:6" x14ac:dyDescent="0.3">
      <c r="F90211" s="193"/>
    </row>
    <row r="90212" spans="6:6" x14ac:dyDescent="0.3">
      <c r="F90212" s="193"/>
    </row>
    <row r="90213" spans="6:6" x14ac:dyDescent="0.3">
      <c r="F90213" s="193"/>
    </row>
    <row r="90214" spans="6:6" x14ac:dyDescent="0.3">
      <c r="F90214" s="193"/>
    </row>
    <row r="90215" spans="6:6" x14ac:dyDescent="0.3">
      <c r="F90215" s="193"/>
    </row>
    <row r="90216" spans="6:6" x14ac:dyDescent="0.3">
      <c r="F90216" s="193"/>
    </row>
    <row r="90217" spans="6:6" x14ac:dyDescent="0.3">
      <c r="F90217" s="193"/>
    </row>
    <row r="90218" spans="6:6" x14ac:dyDescent="0.3">
      <c r="F90218" s="193"/>
    </row>
    <row r="90219" spans="6:6" x14ac:dyDescent="0.3">
      <c r="F90219" s="193"/>
    </row>
    <row r="90220" spans="6:6" x14ac:dyDescent="0.3">
      <c r="F90220" s="193"/>
    </row>
    <row r="90221" spans="6:6" x14ac:dyDescent="0.3">
      <c r="F90221" s="193"/>
    </row>
    <row r="90222" spans="6:6" x14ac:dyDescent="0.3">
      <c r="F90222" s="193"/>
    </row>
    <row r="90223" spans="6:6" x14ac:dyDescent="0.3">
      <c r="F90223" s="193"/>
    </row>
    <row r="90224" spans="6:6" x14ac:dyDescent="0.3">
      <c r="F90224" s="193"/>
    </row>
    <row r="90225" spans="6:6" x14ac:dyDescent="0.3">
      <c r="F90225" s="193"/>
    </row>
    <row r="90226" spans="6:6" x14ac:dyDescent="0.3">
      <c r="F90226" s="193"/>
    </row>
    <row r="90227" spans="6:6" x14ac:dyDescent="0.3">
      <c r="F90227" s="193"/>
    </row>
    <row r="90228" spans="6:6" x14ac:dyDescent="0.3">
      <c r="F90228" s="193"/>
    </row>
    <row r="90229" spans="6:6" x14ac:dyDescent="0.3">
      <c r="F90229" s="193"/>
    </row>
    <row r="90230" spans="6:6" x14ac:dyDescent="0.3">
      <c r="F90230" s="193"/>
    </row>
    <row r="90231" spans="6:6" x14ac:dyDescent="0.3">
      <c r="F90231" s="193"/>
    </row>
    <row r="90232" spans="6:6" x14ac:dyDescent="0.3">
      <c r="F90232" s="193"/>
    </row>
    <row r="90233" spans="6:6" x14ac:dyDescent="0.3">
      <c r="F90233" s="193"/>
    </row>
    <row r="90234" spans="6:6" x14ac:dyDescent="0.3">
      <c r="F90234" s="193"/>
    </row>
    <row r="90235" spans="6:6" x14ac:dyDescent="0.3">
      <c r="F90235" s="193"/>
    </row>
    <row r="90236" spans="6:6" x14ac:dyDescent="0.3">
      <c r="F90236" s="193"/>
    </row>
    <row r="90237" spans="6:6" x14ac:dyDescent="0.3">
      <c r="F90237" s="193"/>
    </row>
    <row r="90238" spans="6:6" x14ac:dyDescent="0.3">
      <c r="F90238" s="193"/>
    </row>
    <row r="90239" spans="6:6" x14ac:dyDescent="0.3">
      <c r="F90239" s="193"/>
    </row>
    <row r="90240" spans="6:6" x14ac:dyDescent="0.3">
      <c r="F90240" s="193"/>
    </row>
    <row r="90241" spans="6:6" x14ac:dyDescent="0.3">
      <c r="F90241" s="193"/>
    </row>
    <row r="90242" spans="6:6" x14ac:dyDescent="0.3">
      <c r="F90242" s="193"/>
    </row>
    <row r="90243" spans="6:6" x14ac:dyDescent="0.3">
      <c r="F90243" s="193"/>
    </row>
    <row r="90244" spans="6:6" x14ac:dyDescent="0.3">
      <c r="F90244" s="193"/>
    </row>
    <row r="90245" spans="6:6" x14ac:dyDescent="0.3">
      <c r="F90245" s="193"/>
    </row>
    <row r="90246" spans="6:6" x14ac:dyDescent="0.3">
      <c r="F90246" s="193"/>
    </row>
    <row r="90247" spans="6:6" x14ac:dyDescent="0.3">
      <c r="F90247" s="193"/>
    </row>
    <row r="90248" spans="6:6" x14ac:dyDescent="0.3">
      <c r="F90248" s="193"/>
    </row>
    <row r="90249" spans="6:6" x14ac:dyDescent="0.3">
      <c r="F90249" s="193"/>
    </row>
    <row r="90250" spans="6:6" x14ac:dyDescent="0.3">
      <c r="F90250" s="193"/>
    </row>
    <row r="90251" spans="6:6" x14ac:dyDescent="0.3">
      <c r="F90251" s="193"/>
    </row>
    <row r="90252" spans="6:6" x14ac:dyDescent="0.3">
      <c r="F90252" s="193"/>
    </row>
    <row r="90253" spans="6:6" x14ac:dyDescent="0.3">
      <c r="F90253" s="193"/>
    </row>
    <row r="90254" spans="6:6" x14ac:dyDescent="0.3">
      <c r="F90254" s="193"/>
    </row>
    <row r="90255" spans="6:6" x14ac:dyDescent="0.3">
      <c r="F90255" s="193"/>
    </row>
    <row r="90256" spans="6:6" x14ac:dyDescent="0.3">
      <c r="F90256" s="193"/>
    </row>
    <row r="90257" spans="6:6" x14ac:dyDescent="0.3">
      <c r="F90257" s="193"/>
    </row>
    <row r="90258" spans="6:6" x14ac:dyDescent="0.3">
      <c r="F90258" s="193"/>
    </row>
    <row r="90259" spans="6:6" x14ac:dyDescent="0.3">
      <c r="F90259" s="193"/>
    </row>
    <row r="90260" spans="6:6" x14ac:dyDescent="0.3">
      <c r="F90260" s="193"/>
    </row>
    <row r="90261" spans="6:6" x14ac:dyDescent="0.3">
      <c r="F90261" s="193"/>
    </row>
    <row r="90262" spans="6:6" x14ac:dyDescent="0.3">
      <c r="F90262" s="193"/>
    </row>
    <row r="90263" spans="6:6" x14ac:dyDescent="0.3">
      <c r="F90263" s="193"/>
    </row>
    <row r="90264" spans="6:6" x14ac:dyDescent="0.3">
      <c r="F90264" s="193"/>
    </row>
    <row r="90265" spans="6:6" x14ac:dyDescent="0.3">
      <c r="F90265" s="193"/>
    </row>
    <row r="90266" spans="6:6" x14ac:dyDescent="0.3">
      <c r="F90266" s="193"/>
    </row>
    <row r="90267" spans="6:6" x14ac:dyDescent="0.3">
      <c r="F90267" s="193"/>
    </row>
    <row r="90268" spans="6:6" x14ac:dyDescent="0.3">
      <c r="F90268" s="193"/>
    </row>
    <row r="90269" spans="6:6" x14ac:dyDescent="0.3">
      <c r="F90269" s="193"/>
    </row>
    <row r="90270" spans="6:6" x14ac:dyDescent="0.3">
      <c r="F90270" s="193"/>
    </row>
    <row r="90271" spans="6:6" x14ac:dyDescent="0.3">
      <c r="F90271" s="193"/>
    </row>
    <row r="90272" spans="6:6" x14ac:dyDescent="0.3">
      <c r="F90272" s="193"/>
    </row>
    <row r="90273" spans="6:6" x14ac:dyDescent="0.3">
      <c r="F90273" s="193"/>
    </row>
    <row r="90274" spans="6:6" x14ac:dyDescent="0.3">
      <c r="F90274" s="193"/>
    </row>
    <row r="90275" spans="6:6" x14ac:dyDescent="0.3">
      <c r="F90275" s="193"/>
    </row>
    <row r="90276" spans="6:6" x14ac:dyDescent="0.3">
      <c r="F90276" s="193"/>
    </row>
    <row r="90277" spans="6:6" x14ac:dyDescent="0.3">
      <c r="F90277" s="193"/>
    </row>
    <row r="90278" spans="6:6" x14ac:dyDescent="0.3">
      <c r="F90278" s="193"/>
    </row>
    <row r="90279" spans="6:6" x14ac:dyDescent="0.3">
      <c r="F90279" s="193"/>
    </row>
    <row r="90280" spans="6:6" x14ac:dyDescent="0.3">
      <c r="F90280" s="193"/>
    </row>
    <row r="90281" spans="6:6" x14ac:dyDescent="0.3">
      <c r="F90281" s="193"/>
    </row>
    <row r="90282" spans="6:6" x14ac:dyDescent="0.3">
      <c r="F90282" s="193"/>
    </row>
    <row r="90283" spans="6:6" x14ac:dyDescent="0.3">
      <c r="F90283" s="193"/>
    </row>
    <row r="90284" spans="6:6" x14ac:dyDescent="0.3">
      <c r="F90284" s="193"/>
    </row>
    <row r="90285" spans="6:6" x14ac:dyDescent="0.3">
      <c r="F90285" s="193"/>
    </row>
    <row r="90286" spans="6:6" x14ac:dyDescent="0.3">
      <c r="F90286" s="193"/>
    </row>
    <row r="90287" spans="6:6" x14ac:dyDescent="0.3">
      <c r="F90287" s="193"/>
    </row>
    <row r="90288" spans="6:6" x14ac:dyDescent="0.3">
      <c r="F90288" s="193"/>
    </row>
    <row r="90289" spans="6:6" x14ac:dyDescent="0.3">
      <c r="F90289" s="193"/>
    </row>
    <row r="90290" spans="6:6" x14ac:dyDescent="0.3">
      <c r="F90290" s="193"/>
    </row>
    <row r="90291" spans="6:6" x14ac:dyDescent="0.3">
      <c r="F90291" s="193"/>
    </row>
    <row r="90292" spans="6:6" x14ac:dyDescent="0.3">
      <c r="F90292" s="193"/>
    </row>
    <row r="90293" spans="6:6" x14ac:dyDescent="0.3">
      <c r="F90293" s="193"/>
    </row>
    <row r="90294" spans="6:6" x14ac:dyDescent="0.3">
      <c r="F90294" s="193"/>
    </row>
    <row r="90295" spans="6:6" x14ac:dyDescent="0.3">
      <c r="F90295" s="193"/>
    </row>
    <row r="90296" spans="6:6" x14ac:dyDescent="0.3">
      <c r="F90296" s="193"/>
    </row>
    <row r="90297" spans="6:6" x14ac:dyDescent="0.3">
      <c r="F90297" s="193"/>
    </row>
    <row r="90298" spans="6:6" x14ac:dyDescent="0.3">
      <c r="F90298" s="193"/>
    </row>
    <row r="90299" spans="6:6" x14ac:dyDescent="0.3">
      <c r="F90299" s="193"/>
    </row>
    <row r="90300" spans="6:6" x14ac:dyDescent="0.3">
      <c r="F90300" s="193"/>
    </row>
    <row r="90301" spans="6:6" x14ac:dyDescent="0.3">
      <c r="F90301" s="193"/>
    </row>
    <row r="90302" spans="6:6" x14ac:dyDescent="0.3">
      <c r="F90302" s="193"/>
    </row>
    <row r="90303" spans="6:6" x14ac:dyDescent="0.3">
      <c r="F90303" s="193"/>
    </row>
    <row r="90304" spans="6:6" x14ac:dyDescent="0.3">
      <c r="F90304" s="193"/>
    </row>
    <row r="90305" spans="6:6" x14ac:dyDescent="0.3">
      <c r="F90305" s="193"/>
    </row>
    <row r="90306" spans="6:6" x14ac:dyDescent="0.3">
      <c r="F90306" s="193"/>
    </row>
    <row r="90307" spans="6:6" x14ac:dyDescent="0.3">
      <c r="F90307" s="193"/>
    </row>
    <row r="90308" spans="6:6" x14ac:dyDescent="0.3">
      <c r="F90308" s="193"/>
    </row>
    <row r="90309" spans="6:6" x14ac:dyDescent="0.3">
      <c r="F90309" s="193"/>
    </row>
    <row r="90310" spans="6:6" x14ac:dyDescent="0.3">
      <c r="F90310" s="193"/>
    </row>
    <row r="90311" spans="6:6" x14ac:dyDescent="0.3">
      <c r="F90311" s="193"/>
    </row>
    <row r="90312" spans="6:6" x14ac:dyDescent="0.3">
      <c r="F90312" s="193"/>
    </row>
    <row r="90313" spans="6:6" x14ac:dyDescent="0.3">
      <c r="F90313" s="193"/>
    </row>
    <row r="90314" spans="6:6" x14ac:dyDescent="0.3">
      <c r="F90314" s="193"/>
    </row>
    <row r="90315" spans="6:6" x14ac:dyDescent="0.3">
      <c r="F90315" s="193"/>
    </row>
    <row r="90316" spans="6:6" x14ac:dyDescent="0.3">
      <c r="F90316" s="193"/>
    </row>
    <row r="90317" spans="6:6" x14ac:dyDescent="0.3">
      <c r="F90317" s="193"/>
    </row>
    <row r="90318" spans="6:6" x14ac:dyDescent="0.3">
      <c r="F90318" s="193"/>
    </row>
    <row r="90319" spans="6:6" x14ac:dyDescent="0.3">
      <c r="F90319" s="193"/>
    </row>
    <row r="90320" spans="6:6" x14ac:dyDescent="0.3">
      <c r="F90320" s="193"/>
    </row>
    <row r="90321" spans="6:6" x14ac:dyDescent="0.3">
      <c r="F90321" s="193"/>
    </row>
    <row r="90322" spans="6:6" x14ac:dyDescent="0.3">
      <c r="F90322" s="193"/>
    </row>
    <row r="90323" spans="6:6" x14ac:dyDescent="0.3">
      <c r="F90323" s="193"/>
    </row>
    <row r="90324" spans="6:6" x14ac:dyDescent="0.3">
      <c r="F90324" s="193"/>
    </row>
    <row r="90325" spans="6:6" x14ac:dyDescent="0.3">
      <c r="F90325" s="193"/>
    </row>
    <row r="90326" spans="6:6" x14ac:dyDescent="0.3">
      <c r="F90326" s="193"/>
    </row>
    <row r="90327" spans="6:6" x14ac:dyDescent="0.3">
      <c r="F90327" s="193"/>
    </row>
    <row r="90328" spans="6:6" x14ac:dyDescent="0.3">
      <c r="F90328" s="193"/>
    </row>
    <row r="90329" spans="6:6" x14ac:dyDescent="0.3">
      <c r="F90329" s="193"/>
    </row>
    <row r="90330" spans="6:6" x14ac:dyDescent="0.3">
      <c r="F90330" s="193"/>
    </row>
    <row r="90331" spans="6:6" x14ac:dyDescent="0.3">
      <c r="F90331" s="193"/>
    </row>
    <row r="90332" spans="6:6" x14ac:dyDescent="0.3">
      <c r="F90332" s="193"/>
    </row>
    <row r="90333" spans="6:6" x14ac:dyDescent="0.3">
      <c r="F90333" s="193"/>
    </row>
    <row r="90334" spans="6:6" x14ac:dyDescent="0.3">
      <c r="F90334" s="193"/>
    </row>
    <row r="90335" spans="6:6" x14ac:dyDescent="0.3">
      <c r="F90335" s="193"/>
    </row>
    <row r="90336" spans="6:6" x14ac:dyDescent="0.3">
      <c r="F90336" s="193"/>
    </row>
    <row r="90337" spans="6:6" x14ac:dyDescent="0.3">
      <c r="F90337" s="193"/>
    </row>
    <row r="90338" spans="6:6" x14ac:dyDescent="0.3">
      <c r="F90338" s="193"/>
    </row>
    <row r="90339" spans="6:6" x14ac:dyDescent="0.3">
      <c r="F90339" s="193"/>
    </row>
    <row r="90340" spans="6:6" x14ac:dyDescent="0.3">
      <c r="F90340" s="193"/>
    </row>
    <row r="90341" spans="6:6" x14ac:dyDescent="0.3">
      <c r="F90341" s="193"/>
    </row>
    <row r="90342" spans="6:6" x14ac:dyDescent="0.3">
      <c r="F90342" s="193"/>
    </row>
    <row r="90343" spans="6:6" x14ac:dyDescent="0.3">
      <c r="F90343" s="193"/>
    </row>
    <row r="90344" spans="6:6" x14ac:dyDescent="0.3">
      <c r="F90344" s="193"/>
    </row>
    <row r="90345" spans="6:6" x14ac:dyDescent="0.3">
      <c r="F90345" s="193"/>
    </row>
    <row r="90346" spans="6:6" x14ac:dyDescent="0.3">
      <c r="F90346" s="193"/>
    </row>
    <row r="90347" spans="6:6" x14ac:dyDescent="0.3">
      <c r="F90347" s="193"/>
    </row>
    <row r="90348" spans="6:6" x14ac:dyDescent="0.3">
      <c r="F90348" s="193"/>
    </row>
    <row r="90349" spans="6:6" x14ac:dyDescent="0.3">
      <c r="F90349" s="193"/>
    </row>
    <row r="90350" spans="6:6" x14ac:dyDescent="0.3">
      <c r="F90350" s="193"/>
    </row>
    <row r="90351" spans="6:6" x14ac:dyDescent="0.3">
      <c r="F90351" s="193"/>
    </row>
    <row r="90352" spans="6:6" x14ac:dyDescent="0.3">
      <c r="F90352" s="193"/>
    </row>
    <row r="90353" spans="6:6" x14ac:dyDescent="0.3">
      <c r="F90353" s="193"/>
    </row>
    <row r="90354" spans="6:6" x14ac:dyDescent="0.3">
      <c r="F90354" s="193"/>
    </row>
    <row r="90355" spans="6:6" x14ac:dyDescent="0.3">
      <c r="F90355" s="193"/>
    </row>
    <row r="90356" spans="6:6" x14ac:dyDescent="0.3">
      <c r="F90356" s="193"/>
    </row>
    <row r="90357" spans="6:6" x14ac:dyDescent="0.3">
      <c r="F90357" s="193"/>
    </row>
    <row r="90358" spans="6:6" x14ac:dyDescent="0.3">
      <c r="F90358" s="193"/>
    </row>
    <row r="90359" spans="6:6" x14ac:dyDescent="0.3">
      <c r="F90359" s="193"/>
    </row>
    <row r="90360" spans="6:6" x14ac:dyDescent="0.3">
      <c r="F90360" s="193"/>
    </row>
    <row r="90361" spans="6:6" x14ac:dyDescent="0.3">
      <c r="F90361" s="193"/>
    </row>
    <row r="90362" spans="6:6" x14ac:dyDescent="0.3">
      <c r="F90362" s="193"/>
    </row>
    <row r="90363" spans="6:6" x14ac:dyDescent="0.3">
      <c r="F90363" s="193"/>
    </row>
    <row r="90364" spans="6:6" x14ac:dyDescent="0.3">
      <c r="F90364" s="193"/>
    </row>
    <row r="90365" spans="6:6" x14ac:dyDescent="0.3">
      <c r="F90365" s="193"/>
    </row>
    <row r="90366" spans="6:6" x14ac:dyDescent="0.3">
      <c r="F90366" s="193"/>
    </row>
    <row r="90367" spans="6:6" x14ac:dyDescent="0.3">
      <c r="F90367" s="193"/>
    </row>
    <row r="90368" spans="6:6" x14ac:dyDescent="0.3">
      <c r="F90368" s="193"/>
    </row>
    <row r="90369" spans="6:6" x14ac:dyDescent="0.3">
      <c r="F90369" s="193"/>
    </row>
    <row r="90370" spans="6:6" x14ac:dyDescent="0.3">
      <c r="F90370" s="193"/>
    </row>
    <row r="90371" spans="6:6" x14ac:dyDescent="0.3">
      <c r="F90371" s="193"/>
    </row>
    <row r="90372" spans="6:6" x14ac:dyDescent="0.3">
      <c r="F90372" s="193"/>
    </row>
    <row r="90373" spans="6:6" x14ac:dyDescent="0.3">
      <c r="F90373" s="193"/>
    </row>
    <row r="90374" spans="6:6" x14ac:dyDescent="0.3">
      <c r="F90374" s="193"/>
    </row>
    <row r="90375" spans="6:6" x14ac:dyDescent="0.3">
      <c r="F90375" s="193"/>
    </row>
    <row r="90376" spans="6:6" x14ac:dyDescent="0.3">
      <c r="F90376" s="193"/>
    </row>
    <row r="90377" spans="6:6" x14ac:dyDescent="0.3">
      <c r="F90377" s="193"/>
    </row>
    <row r="90378" spans="6:6" x14ac:dyDescent="0.3">
      <c r="F90378" s="193"/>
    </row>
    <row r="90379" spans="6:6" x14ac:dyDescent="0.3">
      <c r="F90379" s="193"/>
    </row>
    <row r="90380" spans="6:6" x14ac:dyDescent="0.3">
      <c r="F90380" s="193"/>
    </row>
    <row r="90381" spans="6:6" x14ac:dyDescent="0.3">
      <c r="F90381" s="193"/>
    </row>
    <row r="90382" spans="6:6" x14ac:dyDescent="0.3">
      <c r="F90382" s="193"/>
    </row>
    <row r="90383" spans="6:6" x14ac:dyDescent="0.3">
      <c r="F90383" s="193"/>
    </row>
    <row r="90384" spans="6:6" x14ac:dyDescent="0.3">
      <c r="F90384" s="193"/>
    </row>
    <row r="90385" spans="6:6" x14ac:dyDescent="0.3">
      <c r="F90385" s="193"/>
    </row>
    <row r="90386" spans="6:6" x14ac:dyDescent="0.3">
      <c r="F90386" s="193"/>
    </row>
    <row r="90387" spans="6:6" x14ac:dyDescent="0.3">
      <c r="F90387" s="193"/>
    </row>
    <row r="90388" spans="6:6" x14ac:dyDescent="0.3">
      <c r="F90388" s="193"/>
    </row>
    <row r="90389" spans="6:6" x14ac:dyDescent="0.3">
      <c r="F90389" s="193"/>
    </row>
    <row r="90390" spans="6:6" x14ac:dyDescent="0.3">
      <c r="F90390" s="193"/>
    </row>
    <row r="90391" spans="6:6" x14ac:dyDescent="0.3">
      <c r="F90391" s="193"/>
    </row>
    <row r="90392" spans="6:6" x14ac:dyDescent="0.3">
      <c r="F90392" s="193"/>
    </row>
    <row r="90393" spans="6:6" x14ac:dyDescent="0.3">
      <c r="F90393" s="193"/>
    </row>
    <row r="90394" spans="6:6" x14ac:dyDescent="0.3">
      <c r="F90394" s="193"/>
    </row>
    <row r="90395" spans="6:6" x14ac:dyDescent="0.3">
      <c r="F90395" s="193"/>
    </row>
    <row r="90396" spans="6:6" x14ac:dyDescent="0.3">
      <c r="F90396" s="193"/>
    </row>
    <row r="90397" spans="6:6" x14ac:dyDescent="0.3">
      <c r="F90397" s="193"/>
    </row>
    <row r="90398" spans="6:6" x14ac:dyDescent="0.3">
      <c r="F90398" s="193"/>
    </row>
    <row r="90399" spans="6:6" x14ac:dyDescent="0.3">
      <c r="F90399" s="193"/>
    </row>
    <row r="90400" spans="6:6" x14ac:dyDescent="0.3">
      <c r="F90400" s="193"/>
    </row>
    <row r="90401" spans="6:6" x14ac:dyDescent="0.3">
      <c r="F90401" s="193"/>
    </row>
    <row r="90402" spans="6:6" x14ac:dyDescent="0.3">
      <c r="F90402" s="193"/>
    </row>
    <row r="90403" spans="6:6" x14ac:dyDescent="0.3">
      <c r="F90403" s="193"/>
    </row>
    <row r="90404" spans="6:6" x14ac:dyDescent="0.3">
      <c r="F90404" s="193"/>
    </row>
    <row r="90405" spans="6:6" x14ac:dyDescent="0.3">
      <c r="F90405" s="193"/>
    </row>
    <row r="90406" spans="6:6" x14ac:dyDescent="0.3">
      <c r="F90406" s="193"/>
    </row>
    <row r="90407" spans="6:6" x14ac:dyDescent="0.3">
      <c r="F90407" s="193"/>
    </row>
    <row r="90408" spans="6:6" x14ac:dyDescent="0.3">
      <c r="F90408" s="193"/>
    </row>
    <row r="90409" spans="6:6" x14ac:dyDescent="0.3">
      <c r="F90409" s="193"/>
    </row>
    <row r="90410" spans="6:6" x14ac:dyDescent="0.3">
      <c r="F90410" s="193"/>
    </row>
    <row r="90411" spans="6:6" x14ac:dyDescent="0.3">
      <c r="F90411" s="193"/>
    </row>
    <row r="90412" spans="6:6" x14ac:dyDescent="0.3">
      <c r="F90412" s="193"/>
    </row>
    <row r="90413" spans="6:6" x14ac:dyDescent="0.3">
      <c r="F90413" s="193"/>
    </row>
    <row r="90414" spans="6:6" x14ac:dyDescent="0.3">
      <c r="F90414" s="193"/>
    </row>
    <row r="90415" spans="6:6" x14ac:dyDescent="0.3">
      <c r="F90415" s="193"/>
    </row>
    <row r="90416" spans="6:6" x14ac:dyDescent="0.3">
      <c r="F90416" s="193"/>
    </row>
    <row r="90417" spans="6:6" x14ac:dyDescent="0.3">
      <c r="F90417" s="193"/>
    </row>
    <row r="90418" spans="6:6" x14ac:dyDescent="0.3">
      <c r="F90418" s="193"/>
    </row>
    <row r="90419" spans="6:6" x14ac:dyDescent="0.3">
      <c r="F90419" s="193"/>
    </row>
    <row r="90420" spans="6:6" x14ac:dyDescent="0.3">
      <c r="F90420" s="193"/>
    </row>
    <row r="90421" spans="6:6" x14ac:dyDescent="0.3">
      <c r="F90421" s="193"/>
    </row>
    <row r="90422" spans="6:6" x14ac:dyDescent="0.3">
      <c r="F90422" s="193"/>
    </row>
    <row r="90423" spans="6:6" x14ac:dyDescent="0.3">
      <c r="F90423" s="193"/>
    </row>
    <row r="90424" spans="6:6" x14ac:dyDescent="0.3">
      <c r="F90424" s="193"/>
    </row>
    <row r="90425" spans="6:6" x14ac:dyDescent="0.3">
      <c r="F90425" s="193"/>
    </row>
    <row r="90426" spans="6:6" x14ac:dyDescent="0.3">
      <c r="F90426" s="193"/>
    </row>
    <row r="90427" spans="6:6" x14ac:dyDescent="0.3">
      <c r="F90427" s="193"/>
    </row>
    <row r="90428" spans="6:6" x14ac:dyDescent="0.3">
      <c r="F90428" s="193"/>
    </row>
    <row r="90429" spans="6:6" x14ac:dyDescent="0.3">
      <c r="F90429" s="193"/>
    </row>
    <row r="90430" spans="6:6" x14ac:dyDescent="0.3">
      <c r="F90430" s="193"/>
    </row>
    <row r="90431" spans="6:6" x14ac:dyDescent="0.3">
      <c r="F90431" s="193"/>
    </row>
    <row r="90432" spans="6:6" x14ac:dyDescent="0.3">
      <c r="F90432" s="193"/>
    </row>
    <row r="90433" spans="6:6" x14ac:dyDescent="0.3">
      <c r="F90433" s="193"/>
    </row>
    <row r="90434" spans="6:6" x14ac:dyDescent="0.3">
      <c r="F90434" s="193"/>
    </row>
    <row r="90435" spans="6:6" x14ac:dyDescent="0.3">
      <c r="F90435" s="193"/>
    </row>
    <row r="90436" spans="6:6" x14ac:dyDescent="0.3">
      <c r="F90436" s="193"/>
    </row>
    <row r="90437" spans="6:6" x14ac:dyDescent="0.3">
      <c r="F90437" s="193"/>
    </row>
    <row r="90438" spans="6:6" x14ac:dyDescent="0.3">
      <c r="F90438" s="193"/>
    </row>
    <row r="90439" spans="6:6" x14ac:dyDescent="0.3">
      <c r="F90439" s="193"/>
    </row>
    <row r="90440" spans="6:6" x14ac:dyDescent="0.3">
      <c r="F90440" s="193"/>
    </row>
    <row r="90441" spans="6:6" x14ac:dyDescent="0.3">
      <c r="F90441" s="193"/>
    </row>
    <row r="90442" spans="6:6" x14ac:dyDescent="0.3">
      <c r="F90442" s="193"/>
    </row>
    <row r="90443" spans="6:6" x14ac:dyDescent="0.3">
      <c r="F90443" s="193"/>
    </row>
    <row r="90444" spans="6:6" x14ac:dyDescent="0.3">
      <c r="F90444" s="193"/>
    </row>
    <row r="90445" spans="6:6" x14ac:dyDescent="0.3">
      <c r="F90445" s="193"/>
    </row>
    <row r="90446" spans="6:6" x14ac:dyDescent="0.3">
      <c r="F90446" s="193"/>
    </row>
    <row r="90447" spans="6:6" x14ac:dyDescent="0.3">
      <c r="F90447" s="193"/>
    </row>
    <row r="90448" spans="6:6" x14ac:dyDescent="0.3">
      <c r="F90448" s="193"/>
    </row>
    <row r="90449" spans="6:6" x14ac:dyDescent="0.3">
      <c r="F90449" s="193"/>
    </row>
    <row r="90450" spans="6:6" x14ac:dyDescent="0.3">
      <c r="F90450" s="193"/>
    </row>
    <row r="90451" spans="6:6" x14ac:dyDescent="0.3">
      <c r="F90451" s="193"/>
    </row>
    <row r="90452" spans="6:6" x14ac:dyDescent="0.3">
      <c r="F90452" s="193"/>
    </row>
    <row r="90453" spans="6:6" x14ac:dyDescent="0.3">
      <c r="F90453" s="193"/>
    </row>
    <row r="90454" spans="6:6" x14ac:dyDescent="0.3">
      <c r="F90454" s="193"/>
    </row>
    <row r="90455" spans="6:6" x14ac:dyDescent="0.3">
      <c r="F90455" s="193"/>
    </row>
    <row r="90456" spans="6:6" x14ac:dyDescent="0.3">
      <c r="F90456" s="193"/>
    </row>
    <row r="90457" spans="6:6" x14ac:dyDescent="0.3">
      <c r="F90457" s="193"/>
    </row>
    <row r="90458" spans="6:6" x14ac:dyDescent="0.3">
      <c r="F90458" s="193"/>
    </row>
    <row r="90459" spans="6:6" x14ac:dyDescent="0.3">
      <c r="F90459" s="193"/>
    </row>
    <row r="90460" spans="6:6" x14ac:dyDescent="0.3">
      <c r="F90460" s="193"/>
    </row>
    <row r="90461" spans="6:6" x14ac:dyDescent="0.3">
      <c r="F90461" s="193"/>
    </row>
    <row r="90462" spans="6:6" x14ac:dyDescent="0.3">
      <c r="F90462" s="193"/>
    </row>
    <row r="90463" spans="6:6" x14ac:dyDescent="0.3">
      <c r="F90463" s="193"/>
    </row>
    <row r="90464" spans="6:6" x14ac:dyDescent="0.3">
      <c r="F90464" s="193"/>
    </row>
    <row r="90465" spans="6:6" x14ac:dyDescent="0.3">
      <c r="F90465" s="193"/>
    </row>
    <row r="90466" spans="6:6" x14ac:dyDescent="0.3">
      <c r="F90466" s="193"/>
    </row>
    <row r="90467" spans="6:6" x14ac:dyDescent="0.3">
      <c r="F90467" s="193"/>
    </row>
    <row r="90468" spans="6:6" x14ac:dyDescent="0.3">
      <c r="F90468" s="193"/>
    </row>
    <row r="90469" spans="6:6" x14ac:dyDescent="0.3">
      <c r="F90469" s="193"/>
    </row>
    <row r="90470" spans="6:6" x14ac:dyDescent="0.3">
      <c r="F90470" s="193"/>
    </row>
    <row r="90471" spans="6:6" x14ac:dyDescent="0.3">
      <c r="F90471" s="193"/>
    </row>
    <row r="90472" spans="6:6" x14ac:dyDescent="0.3">
      <c r="F90472" s="193"/>
    </row>
    <row r="90473" spans="6:6" x14ac:dyDescent="0.3">
      <c r="F90473" s="193"/>
    </row>
    <row r="90474" spans="6:6" x14ac:dyDescent="0.3">
      <c r="F90474" s="193"/>
    </row>
    <row r="90475" spans="6:6" x14ac:dyDescent="0.3">
      <c r="F90475" s="193"/>
    </row>
    <row r="90476" spans="6:6" x14ac:dyDescent="0.3">
      <c r="F90476" s="193"/>
    </row>
    <row r="90477" spans="6:6" x14ac:dyDescent="0.3">
      <c r="F90477" s="193"/>
    </row>
    <row r="90478" spans="6:6" x14ac:dyDescent="0.3">
      <c r="F90478" s="193"/>
    </row>
    <row r="90479" spans="6:6" x14ac:dyDescent="0.3">
      <c r="F90479" s="193"/>
    </row>
    <row r="90480" spans="6:6" x14ac:dyDescent="0.3">
      <c r="F90480" s="193"/>
    </row>
    <row r="90481" spans="6:6" x14ac:dyDescent="0.3">
      <c r="F90481" s="193"/>
    </row>
    <row r="90482" spans="6:6" x14ac:dyDescent="0.3">
      <c r="F90482" s="193"/>
    </row>
    <row r="90483" spans="6:6" x14ac:dyDescent="0.3">
      <c r="F90483" s="193"/>
    </row>
    <row r="90484" spans="6:6" x14ac:dyDescent="0.3">
      <c r="F90484" s="193"/>
    </row>
    <row r="90485" spans="6:6" x14ac:dyDescent="0.3">
      <c r="F90485" s="193"/>
    </row>
    <row r="90486" spans="6:6" x14ac:dyDescent="0.3">
      <c r="F90486" s="193"/>
    </row>
    <row r="90487" spans="6:6" x14ac:dyDescent="0.3">
      <c r="F90487" s="193"/>
    </row>
    <row r="90488" spans="6:6" x14ac:dyDescent="0.3">
      <c r="F90488" s="193"/>
    </row>
    <row r="90489" spans="6:6" x14ac:dyDescent="0.3">
      <c r="F90489" s="193"/>
    </row>
    <row r="90490" spans="6:6" x14ac:dyDescent="0.3">
      <c r="F90490" s="193"/>
    </row>
    <row r="90491" spans="6:6" x14ac:dyDescent="0.3">
      <c r="F90491" s="193"/>
    </row>
    <row r="90492" spans="6:6" x14ac:dyDescent="0.3">
      <c r="F90492" s="193"/>
    </row>
    <row r="90493" spans="6:6" x14ac:dyDescent="0.3">
      <c r="F90493" s="193"/>
    </row>
    <row r="90494" spans="6:6" x14ac:dyDescent="0.3">
      <c r="F90494" s="193"/>
    </row>
    <row r="90495" spans="6:6" x14ac:dyDescent="0.3">
      <c r="F90495" s="193"/>
    </row>
    <row r="90496" spans="6:6" x14ac:dyDescent="0.3">
      <c r="F90496" s="193"/>
    </row>
    <row r="90497" spans="6:6" x14ac:dyDescent="0.3">
      <c r="F90497" s="193"/>
    </row>
    <row r="90498" spans="6:6" x14ac:dyDescent="0.3">
      <c r="F90498" s="193"/>
    </row>
    <row r="90499" spans="6:6" x14ac:dyDescent="0.3">
      <c r="F90499" s="193"/>
    </row>
    <row r="90500" spans="6:6" x14ac:dyDescent="0.3">
      <c r="F90500" s="193"/>
    </row>
    <row r="90501" spans="6:6" x14ac:dyDescent="0.3">
      <c r="F90501" s="193"/>
    </row>
    <row r="90502" spans="6:6" x14ac:dyDescent="0.3">
      <c r="F90502" s="193"/>
    </row>
    <row r="90503" spans="6:6" x14ac:dyDescent="0.3">
      <c r="F90503" s="193"/>
    </row>
    <row r="90504" spans="6:6" x14ac:dyDescent="0.3">
      <c r="F90504" s="193"/>
    </row>
    <row r="90505" spans="6:6" x14ac:dyDescent="0.3">
      <c r="F90505" s="193"/>
    </row>
    <row r="90506" spans="6:6" x14ac:dyDescent="0.3">
      <c r="F90506" s="193"/>
    </row>
    <row r="90507" spans="6:6" x14ac:dyDescent="0.3">
      <c r="F90507" s="193"/>
    </row>
    <row r="90508" spans="6:6" x14ac:dyDescent="0.3">
      <c r="F90508" s="193"/>
    </row>
    <row r="90509" spans="6:6" x14ac:dyDescent="0.3">
      <c r="F90509" s="193"/>
    </row>
    <row r="90510" spans="6:6" x14ac:dyDescent="0.3">
      <c r="F90510" s="193"/>
    </row>
    <row r="90511" spans="6:6" x14ac:dyDescent="0.3">
      <c r="F90511" s="193"/>
    </row>
    <row r="90512" spans="6:6" x14ac:dyDescent="0.3">
      <c r="F90512" s="193"/>
    </row>
    <row r="90513" spans="6:6" x14ac:dyDescent="0.3">
      <c r="F90513" s="193"/>
    </row>
    <row r="90514" spans="6:6" x14ac:dyDescent="0.3">
      <c r="F90514" s="193"/>
    </row>
    <row r="90515" spans="6:6" x14ac:dyDescent="0.3">
      <c r="F90515" s="193"/>
    </row>
    <row r="90516" spans="6:6" x14ac:dyDescent="0.3">
      <c r="F90516" s="193"/>
    </row>
    <row r="90517" spans="6:6" x14ac:dyDescent="0.3">
      <c r="F90517" s="193"/>
    </row>
    <row r="90518" spans="6:6" x14ac:dyDescent="0.3">
      <c r="F90518" s="193"/>
    </row>
    <row r="90519" spans="6:6" x14ac:dyDescent="0.3">
      <c r="F90519" s="193"/>
    </row>
    <row r="90520" spans="6:6" x14ac:dyDescent="0.3">
      <c r="F90520" s="193"/>
    </row>
    <row r="90521" spans="6:6" x14ac:dyDescent="0.3">
      <c r="F90521" s="193"/>
    </row>
    <row r="90522" spans="6:6" x14ac:dyDescent="0.3">
      <c r="F90522" s="193"/>
    </row>
    <row r="90523" spans="6:6" x14ac:dyDescent="0.3">
      <c r="F90523" s="193"/>
    </row>
    <row r="90524" spans="6:6" x14ac:dyDescent="0.3">
      <c r="F90524" s="193"/>
    </row>
    <row r="90525" spans="6:6" x14ac:dyDescent="0.3">
      <c r="F90525" s="193"/>
    </row>
    <row r="90526" spans="6:6" x14ac:dyDescent="0.3">
      <c r="F90526" s="193"/>
    </row>
    <row r="90527" spans="6:6" x14ac:dyDescent="0.3">
      <c r="F90527" s="193"/>
    </row>
    <row r="90528" spans="6:6" x14ac:dyDescent="0.3">
      <c r="F90528" s="193"/>
    </row>
    <row r="90529" spans="6:6" x14ac:dyDescent="0.3">
      <c r="F90529" s="193"/>
    </row>
    <row r="90530" spans="6:6" x14ac:dyDescent="0.3">
      <c r="F90530" s="193"/>
    </row>
    <row r="90531" spans="6:6" x14ac:dyDescent="0.3">
      <c r="F90531" s="193"/>
    </row>
    <row r="90532" spans="6:6" x14ac:dyDescent="0.3">
      <c r="F90532" s="193"/>
    </row>
    <row r="90533" spans="6:6" x14ac:dyDescent="0.3">
      <c r="F90533" s="193"/>
    </row>
    <row r="90534" spans="6:6" x14ac:dyDescent="0.3">
      <c r="F90534" s="193"/>
    </row>
    <row r="90535" spans="6:6" x14ac:dyDescent="0.3">
      <c r="F90535" s="193"/>
    </row>
    <row r="90536" spans="6:6" x14ac:dyDescent="0.3">
      <c r="F90536" s="193"/>
    </row>
    <row r="90537" spans="6:6" x14ac:dyDescent="0.3">
      <c r="F90537" s="193"/>
    </row>
    <row r="90538" spans="6:6" x14ac:dyDescent="0.3">
      <c r="F90538" s="193"/>
    </row>
    <row r="90539" spans="6:6" x14ac:dyDescent="0.3">
      <c r="F90539" s="193"/>
    </row>
    <row r="90540" spans="6:6" x14ac:dyDescent="0.3">
      <c r="F90540" s="193"/>
    </row>
    <row r="90541" spans="6:6" x14ac:dyDescent="0.3">
      <c r="F90541" s="193"/>
    </row>
    <row r="90542" spans="6:6" x14ac:dyDescent="0.3">
      <c r="F90542" s="193"/>
    </row>
    <row r="90543" spans="6:6" x14ac:dyDescent="0.3">
      <c r="F90543" s="193"/>
    </row>
    <row r="90544" spans="6:6" x14ac:dyDescent="0.3">
      <c r="F90544" s="193"/>
    </row>
    <row r="90545" spans="6:6" x14ac:dyDescent="0.3">
      <c r="F90545" s="193"/>
    </row>
    <row r="90546" spans="6:6" x14ac:dyDescent="0.3">
      <c r="F90546" s="193"/>
    </row>
    <row r="90547" spans="6:6" x14ac:dyDescent="0.3">
      <c r="F90547" s="193"/>
    </row>
    <row r="90548" spans="6:6" x14ac:dyDescent="0.3">
      <c r="F90548" s="193"/>
    </row>
    <row r="90549" spans="6:6" x14ac:dyDescent="0.3">
      <c r="F90549" s="193"/>
    </row>
    <row r="90550" spans="6:6" x14ac:dyDescent="0.3">
      <c r="F90550" s="193"/>
    </row>
    <row r="90551" spans="6:6" x14ac:dyDescent="0.3">
      <c r="F90551" s="193"/>
    </row>
    <row r="90552" spans="6:6" x14ac:dyDescent="0.3">
      <c r="F90552" s="193"/>
    </row>
    <row r="90553" spans="6:6" x14ac:dyDescent="0.3">
      <c r="F90553" s="193"/>
    </row>
    <row r="90554" spans="6:6" x14ac:dyDescent="0.3">
      <c r="F90554" s="193"/>
    </row>
    <row r="90555" spans="6:6" x14ac:dyDescent="0.3">
      <c r="F90555" s="193"/>
    </row>
    <row r="90556" spans="6:6" x14ac:dyDescent="0.3">
      <c r="F90556" s="193"/>
    </row>
    <row r="90557" spans="6:6" x14ac:dyDescent="0.3">
      <c r="F90557" s="193"/>
    </row>
    <row r="90558" spans="6:6" x14ac:dyDescent="0.3">
      <c r="F90558" s="193"/>
    </row>
    <row r="90559" spans="6:6" x14ac:dyDescent="0.3">
      <c r="F90559" s="193"/>
    </row>
    <row r="90560" spans="6:6" x14ac:dyDescent="0.3">
      <c r="F90560" s="193"/>
    </row>
    <row r="90561" spans="6:6" x14ac:dyDescent="0.3">
      <c r="F90561" s="193"/>
    </row>
    <row r="90562" spans="6:6" x14ac:dyDescent="0.3">
      <c r="F90562" s="193"/>
    </row>
    <row r="90563" spans="6:6" x14ac:dyDescent="0.3">
      <c r="F90563" s="193"/>
    </row>
    <row r="90564" spans="6:6" x14ac:dyDescent="0.3">
      <c r="F90564" s="193"/>
    </row>
    <row r="90565" spans="6:6" x14ac:dyDescent="0.3">
      <c r="F90565" s="193"/>
    </row>
    <row r="90566" spans="6:6" x14ac:dyDescent="0.3">
      <c r="F90566" s="193"/>
    </row>
    <row r="90567" spans="6:6" x14ac:dyDescent="0.3">
      <c r="F90567" s="193"/>
    </row>
    <row r="90568" spans="6:6" x14ac:dyDescent="0.3">
      <c r="F90568" s="193"/>
    </row>
    <row r="90569" spans="6:6" x14ac:dyDescent="0.3">
      <c r="F90569" s="193"/>
    </row>
    <row r="90570" spans="6:6" x14ac:dyDescent="0.3">
      <c r="F90570" s="193"/>
    </row>
    <row r="90571" spans="6:6" x14ac:dyDescent="0.3">
      <c r="F90571" s="193"/>
    </row>
    <row r="90572" spans="6:6" x14ac:dyDescent="0.3">
      <c r="F90572" s="193"/>
    </row>
    <row r="90573" spans="6:6" x14ac:dyDescent="0.3">
      <c r="F90573" s="193"/>
    </row>
    <row r="90574" spans="6:6" x14ac:dyDescent="0.3">
      <c r="F90574" s="193"/>
    </row>
    <row r="90575" spans="6:6" x14ac:dyDescent="0.3">
      <c r="F90575" s="193"/>
    </row>
    <row r="90576" spans="6:6" x14ac:dyDescent="0.3">
      <c r="F90576" s="193"/>
    </row>
    <row r="90577" spans="6:6" x14ac:dyDescent="0.3">
      <c r="F90577" s="193"/>
    </row>
    <row r="90578" spans="6:6" x14ac:dyDescent="0.3">
      <c r="F90578" s="193"/>
    </row>
    <row r="90579" spans="6:6" x14ac:dyDescent="0.3">
      <c r="F90579" s="193"/>
    </row>
    <row r="90580" spans="6:6" x14ac:dyDescent="0.3">
      <c r="F90580" s="193"/>
    </row>
    <row r="90581" spans="6:6" x14ac:dyDescent="0.3">
      <c r="F90581" s="193"/>
    </row>
    <row r="90582" spans="6:6" x14ac:dyDescent="0.3">
      <c r="F90582" s="193"/>
    </row>
    <row r="90583" spans="6:6" x14ac:dyDescent="0.3">
      <c r="F90583" s="193"/>
    </row>
    <row r="90584" spans="6:6" x14ac:dyDescent="0.3">
      <c r="F90584" s="193"/>
    </row>
    <row r="90585" spans="6:6" x14ac:dyDescent="0.3">
      <c r="F90585" s="193"/>
    </row>
    <row r="90586" spans="6:6" x14ac:dyDescent="0.3">
      <c r="F90586" s="193"/>
    </row>
    <row r="90587" spans="6:6" x14ac:dyDescent="0.3">
      <c r="F90587" s="193"/>
    </row>
    <row r="90588" spans="6:6" x14ac:dyDescent="0.3">
      <c r="F90588" s="193"/>
    </row>
    <row r="90589" spans="6:6" x14ac:dyDescent="0.3">
      <c r="F90589" s="193"/>
    </row>
    <row r="90590" spans="6:6" x14ac:dyDescent="0.3">
      <c r="F90590" s="193"/>
    </row>
    <row r="90591" spans="6:6" x14ac:dyDescent="0.3">
      <c r="F90591" s="193"/>
    </row>
    <row r="90592" spans="6:6" x14ac:dyDescent="0.3">
      <c r="F90592" s="193"/>
    </row>
    <row r="90593" spans="6:6" x14ac:dyDescent="0.3">
      <c r="F90593" s="193"/>
    </row>
    <row r="90594" spans="6:6" x14ac:dyDescent="0.3">
      <c r="F90594" s="193"/>
    </row>
    <row r="90595" spans="6:6" x14ac:dyDescent="0.3">
      <c r="F90595" s="193"/>
    </row>
    <row r="90596" spans="6:6" x14ac:dyDescent="0.3">
      <c r="F90596" s="193"/>
    </row>
    <row r="90597" spans="6:6" x14ac:dyDescent="0.3">
      <c r="F90597" s="193"/>
    </row>
    <row r="90598" spans="6:6" x14ac:dyDescent="0.3">
      <c r="F90598" s="193"/>
    </row>
    <row r="90599" spans="6:6" x14ac:dyDescent="0.3">
      <c r="F90599" s="193"/>
    </row>
    <row r="90600" spans="6:6" x14ac:dyDescent="0.3">
      <c r="F90600" s="193"/>
    </row>
    <row r="90601" spans="6:6" x14ac:dyDescent="0.3">
      <c r="F90601" s="193"/>
    </row>
    <row r="90602" spans="6:6" x14ac:dyDescent="0.3">
      <c r="F90602" s="193"/>
    </row>
    <row r="90603" spans="6:6" x14ac:dyDescent="0.3">
      <c r="F90603" s="193"/>
    </row>
    <row r="90604" spans="6:6" x14ac:dyDescent="0.3">
      <c r="F90604" s="193"/>
    </row>
    <row r="90605" spans="6:6" x14ac:dyDescent="0.3">
      <c r="F90605" s="193"/>
    </row>
    <row r="90606" spans="6:6" x14ac:dyDescent="0.3">
      <c r="F90606" s="193"/>
    </row>
    <row r="90607" spans="6:6" x14ac:dyDescent="0.3">
      <c r="F90607" s="193"/>
    </row>
    <row r="90608" spans="6:6" x14ac:dyDescent="0.3">
      <c r="F90608" s="193"/>
    </row>
    <row r="90609" spans="6:6" x14ac:dyDescent="0.3">
      <c r="F90609" s="193"/>
    </row>
    <row r="90610" spans="6:6" x14ac:dyDescent="0.3">
      <c r="F90610" s="193"/>
    </row>
    <row r="90611" spans="6:6" x14ac:dyDescent="0.3">
      <c r="F90611" s="193"/>
    </row>
    <row r="90612" spans="6:6" x14ac:dyDescent="0.3">
      <c r="F90612" s="193"/>
    </row>
    <row r="90613" spans="6:6" x14ac:dyDescent="0.3">
      <c r="F90613" s="193"/>
    </row>
    <row r="90614" spans="6:6" x14ac:dyDescent="0.3">
      <c r="F90614" s="193"/>
    </row>
    <row r="90615" spans="6:6" x14ac:dyDescent="0.3">
      <c r="F90615" s="193"/>
    </row>
    <row r="90616" spans="6:6" x14ac:dyDescent="0.3">
      <c r="F90616" s="193"/>
    </row>
    <row r="90617" spans="6:6" x14ac:dyDescent="0.3">
      <c r="F90617" s="193"/>
    </row>
    <row r="90618" spans="6:6" x14ac:dyDescent="0.3">
      <c r="F90618" s="193"/>
    </row>
    <row r="90619" spans="6:6" x14ac:dyDescent="0.3">
      <c r="F90619" s="193"/>
    </row>
    <row r="90620" spans="6:6" x14ac:dyDescent="0.3">
      <c r="F90620" s="193"/>
    </row>
    <row r="90621" spans="6:6" x14ac:dyDescent="0.3">
      <c r="F90621" s="193"/>
    </row>
    <row r="90622" spans="6:6" x14ac:dyDescent="0.3">
      <c r="F90622" s="193"/>
    </row>
    <row r="90623" spans="6:6" x14ac:dyDescent="0.3">
      <c r="F90623" s="193"/>
    </row>
    <row r="90624" spans="6:6" x14ac:dyDescent="0.3">
      <c r="F90624" s="193"/>
    </row>
    <row r="90625" spans="6:6" x14ac:dyDescent="0.3">
      <c r="F90625" s="193"/>
    </row>
    <row r="90626" spans="6:6" x14ac:dyDescent="0.3">
      <c r="F90626" s="193"/>
    </row>
    <row r="90627" spans="6:6" x14ac:dyDescent="0.3">
      <c r="F90627" s="193"/>
    </row>
    <row r="90628" spans="6:6" x14ac:dyDescent="0.3">
      <c r="F90628" s="193"/>
    </row>
    <row r="90629" spans="6:6" x14ac:dyDescent="0.3">
      <c r="F90629" s="193"/>
    </row>
    <row r="90630" spans="6:6" x14ac:dyDescent="0.3">
      <c r="F90630" s="193"/>
    </row>
    <row r="90631" spans="6:6" x14ac:dyDescent="0.3">
      <c r="F90631" s="193"/>
    </row>
    <row r="90632" spans="6:6" x14ac:dyDescent="0.3">
      <c r="F90632" s="193"/>
    </row>
    <row r="90633" spans="6:6" x14ac:dyDescent="0.3">
      <c r="F90633" s="193"/>
    </row>
    <row r="90634" spans="6:6" x14ac:dyDescent="0.3">
      <c r="F90634" s="193"/>
    </row>
    <row r="90635" spans="6:6" x14ac:dyDescent="0.3">
      <c r="F90635" s="193"/>
    </row>
    <row r="90636" spans="6:6" x14ac:dyDescent="0.3">
      <c r="F90636" s="193"/>
    </row>
    <row r="90637" spans="6:6" x14ac:dyDescent="0.3">
      <c r="F90637" s="193"/>
    </row>
    <row r="90638" spans="6:6" x14ac:dyDescent="0.3">
      <c r="F90638" s="193"/>
    </row>
    <row r="90639" spans="6:6" x14ac:dyDescent="0.3">
      <c r="F90639" s="193"/>
    </row>
    <row r="90640" spans="6:6" x14ac:dyDescent="0.3">
      <c r="F90640" s="193"/>
    </row>
    <row r="90641" spans="6:6" x14ac:dyDescent="0.3">
      <c r="F90641" s="193"/>
    </row>
    <row r="90642" spans="6:6" x14ac:dyDescent="0.3">
      <c r="F90642" s="193"/>
    </row>
    <row r="90643" spans="6:6" x14ac:dyDescent="0.3">
      <c r="F90643" s="193"/>
    </row>
    <row r="90644" spans="6:6" x14ac:dyDescent="0.3">
      <c r="F90644" s="193"/>
    </row>
    <row r="90645" spans="6:6" x14ac:dyDescent="0.3">
      <c r="F90645" s="193"/>
    </row>
    <row r="90646" spans="6:6" x14ac:dyDescent="0.3">
      <c r="F90646" s="193"/>
    </row>
    <row r="90647" spans="6:6" x14ac:dyDescent="0.3">
      <c r="F90647" s="193"/>
    </row>
    <row r="90648" spans="6:6" x14ac:dyDescent="0.3">
      <c r="F90648" s="193"/>
    </row>
    <row r="90649" spans="6:6" x14ac:dyDescent="0.3">
      <c r="F90649" s="193"/>
    </row>
    <row r="90650" spans="6:6" x14ac:dyDescent="0.3">
      <c r="F90650" s="193"/>
    </row>
    <row r="90651" spans="6:6" x14ac:dyDescent="0.3">
      <c r="F90651" s="193"/>
    </row>
    <row r="90652" spans="6:6" x14ac:dyDescent="0.3">
      <c r="F90652" s="193"/>
    </row>
    <row r="90653" spans="6:6" x14ac:dyDescent="0.3">
      <c r="F90653" s="193"/>
    </row>
    <row r="90654" spans="6:6" x14ac:dyDescent="0.3">
      <c r="F90654" s="193"/>
    </row>
    <row r="90655" spans="6:6" x14ac:dyDescent="0.3">
      <c r="F90655" s="193"/>
    </row>
    <row r="90656" spans="6:6" x14ac:dyDescent="0.3">
      <c r="F90656" s="193"/>
    </row>
    <row r="90657" spans="6:6" x14ac:dyDescent="0.3">
      <c r="F90657" s="193"/>
    </row>
    <row r="90658" spans="6:6" x14ac:dyDescent="0.3">
      <c r="F90658" s="193"/>
    </row>
    <row r="90659" spans="6:6" x14ac:dyDescent="0.3">
      <c r="F90659" s="193"/>
    </row>
    <row r="90660" spans="6:6" x14ac:dyDescent="0.3">
      <c r="F90660" s="193"/>
    </row>
    <row r="90661" spans="6:6" x14ac:dyDescent="0.3">
      <c r="F90661" s="193"/>
    </row>
    <row r="90662" spans="6:6" x14ac:dyDescent="0.3">
      <c r="F90662" s="193"/>
    </row>
    <row r="90663" spans="6:6" x14ac:dyDescent="0.3">
      <c r="F90663" s="193"/>
    </row>
    <row r="90664" spans="6:6" x14ac:dyDescent="0.3">
      <c r="F90664" s="193"/>
    </row>
    <row r="90665" spans="6:6" x14ac:dyDescent="0.3">
      <c r="F90665" s="193"/>
    </row>
    <row r="90666" spans="6:6" x14ac:dyDescent="0.3">
      <c r="F90666" s="193"/>
    </row>
    <row r="90667" spans="6:6" x14ac:dyDescent="0.3">
      <c r="F90667" s="193"/>
    </row>
    <row r="90668" spans="6:6" x14ac:dyDescent="0.3">
      <c r="F90668" s="193"/>
    </row>
    <row r="90669" spans="6:6" x14ac:dyDescent="0.3">
      <c r="F90669" s="193"/>
    </row>
    <row r="90670" spans="6:6" x14ac:dyDescent="0.3">
      <c r="F90670" s="193"/>
    </row>
    <row r="90671" spans="6:6" x14ac:dyDescent="0.3">
      <c r="F90671" s="193"/>
    </row>
    <row r="90672" spans="6:6" x14ac:dyDescent="0.3">
      <c r="F90672" s="193"/>
    </row>
    <row r="90673" spans="6:6" x14ac:dyDescent="0.3">
      <c r="F90673" s="193"/>
    </row>
    <row r="90674" spans="6:6" x14ac:dyDescent="0.3">
      <c r="F90674" s="193"/>
    </row>
    <row r="90675" spans="6:6" x14ac:dyDescent="0.3">
      <c r="F90675" s="193"/>
    </row>
    <row r="90676" spans="6:6" x14ac:dyDescent="0.3">
      <c r="F90676" s="193"/>
    </row>
    <row r="90677" spans="6:6" x14ac:dyDescent="0.3">
      <c r="F90677" s="193"/>
    </row>
    <row r="90678" spans="6:6" x14ac:dyDescent="0.3">
      <c r="F90678" s="193"/>
    </row>
    <row r="90679" spans="6:6" x14ac:dyDescent="0.3">
      <c r="F90679" s="193"/>
    </row>
    <row r="90680" spans="6:6" x14ac:dyDescent="0.3">
      <c r="F90680" s="193"/>
    </row>
    <row r="90681" spans="6:6" x14ac:dyDescent="0.3">
      <c r="F90681" s="193"/>
    </row>
    <row r="90682" spans="6:6" x14ac:dyDescent="0.3">
      <c r="F90682" s="193"/>
    </row>
    <row r="90683" spans="6:6" x14ac:dyDescent="0.3">
      <c r="F90683" s="193"/>
    </row>
    <row r="90684" spans="6:6" x14ac:dyDescent="0.3">
      <c r="F90684" s="193"/>
    </row>
    <row r="90685" spans="6:6" x14ac:dyDescent="0.3">
      <c r="F90685" s="193"/>
    </row>
    <row r="90686" spans="6:6" x14ac:dyDescent="0.3">
      <c r="F90686" s="193"/>
    </row>
    <row r="90687" spans="6:6" x14ac:dyDescent="0.3">
      <c r="F90687" s="193"/>
    </row>
    <row r="90688" spans="6:6" x14ac:dyDescent="0.3">
      <c r="F90688" s="193"/>
    </row>
    <row r="90689" spans="6:6" x14ac:dyDescent="0.3">
      <c r="F90689" s="193"/>
    </row>
    <row r="90690" spans="6:6" x14ac:dyDescent="0.3">
      <c r="F90690" s="193"/>
    </row>
    <row r="90691" spans="6:6" x14ac:dyDescent="0.3">
      <c r="F90691" s="193"/>
    </row>
    <row r="90692" spans="6:6" x14ac:dyDescent="0.3">
      <c r="F90692" s="193"/>
    </row>
    <row r="90693" spans="6:6" x14ac:dyDescent="0.3">
      <c r="F90693" s="193"/>
    </row>
    <row r="90694" spans="6:6" x14ac:dyDescent="0.3">
      <c r="F90694" s="193"/>
    </row>
    <row r="90695" spans="6:6" x14ac:dyDescent="0.3">
      <c r="F90695" s="193"/>
    </row>
    <row r="90696" spans="6:6" x14ac:dyDescent="0.3">
      <c r="F90696" s="193"/>
    </row>
    <row r="90697" spans="6:6" x14ac:dyDescent="0.3">
      <c r="F90697" s="193"/>
    </row>
    <row r="90698" spans="6:6" x14ac:dyDescent="0.3">
      <c r="F90698" s="193"/>
    </row>
    <row r="90699" spans="6:6" x14ac:dyDescent="0.3">
      <c r="F90699" s="193"/>
    </row>
    <row r="90700" spans="6:6" x14ac:dyDescent="0.3">
      <c r="F90700" s="193"/>
    </row>
    <row r="90701" spans="6:6" x14ac:dyDescent="0.3">
      <c r="F90701" s="193"/>
    </row>
    <row r="90702" spans="6:6" x14ac:dyDescent="0.3">
      <c r="F90702" s="193"/>
    </row>
    <row r="90703" spans="6:6" x14ac:dyDescent="0.3">
      <c r="F90703" s="193"/>
    </row>
    <row r="90704" spans="6:6" x14ac:dyDescent="0.3">
      <c r="F90704" s="193"/>
    </row>
    <row r="90705" spans="6:6" x14ac:dyDescent="0.3">
      <c r="F90705" s="193"/>
    </row>
    <row r="90706" spans="6:6" x14ac:dyDescent="0.3">
      <c r="F90706" s="193"/>
    </row>
    <row r="90707" spans="6:6" x14ac:dyDescent="0.3">
      <c r="F90707" s="193"/>
    </row>
    <row r="90708" spans="6:6" x14ac:dyDescent="0.3">
      <c r="F90708" s="193"/>
    </row>
    <row r="90709" spans="6:6" x14ac:dyDescent="0.3">
      <c r="F90709" s="193"/>
    </row>
    <row r="90710" spans="6:6" x14ac:dyDescent="0.3">
      <c r="F90710" s="193"/>
    </row>
    <row r="90711" spans="6:6" x14ac:dyDescent="0.3">
      <c r="F90711" s="193"/>
    </row>
    <row r="90712" spans="6:6" x14ac:dyDescent="0.3">
      <c r="F90712" s="193"/>
    </row>
    <row r="90713" spans="6:6" x14ac:dyDescent="0.3">
      <c r="F90713" s="193"/>
    </row>
    <row r="90714" spans="6:6" x14ac:dyDescent="0.3">
      <c r="F90714" s="193"/>
    </row>
    <row r="90715" spans="6:6" x14ac:dyDescent="0.3">
      <c r="F90715" s="193"/>
    </row>
    <row r="90716" spans="6:6" x14ac:dyDescent="0.3">
      <c r="F90716" s="193"/>
    </row>
    <row r="90717" spans="6:6" x14ac:dyDescent="0.3">
      <c r="F90717" s="193"/>
    </row>
    <row r="90718" spans="6:6" x14ac:dyDescent="0.3">
      <c r="F90718" s="193"/>
    </row>
    <row r="90719" spans="6:6" x14ac:dyDescent="0.3">
      <c r="F90719" s="193"/>
    </row>
    <row r="90720" spans="6:6" x14ac:dyDescent="0.3">
      <c r="F90720" s="193"/>
    </row>
    <row r="90721" spans="6:6" x14ac:dyDescent="0.3">
      <c r="F90721" s="193"/>
    </row>
    <row r="90722" spans="6:6" x14ac:dyDescent="0.3">
      <c r="F90722" s="193"/>
    </row>
    <row r="90723" spans="6:6" x14ac:dyDescent="0.3">
      <c r="F90723" s="193"/>
    </row>
    <row r="90724" spans="6:6" x14ac:dyDescent="0.3">
      <c r="F90724" s="193"/>
    </row>
    <row r="90725" spans="6:6" x14ac:dyDescent="0.3">
      <c r="F90725" s="193"/>
    </row>
    <row r="90726" spans="6:6" x14ac:dyDescent="0.3">
      <c r="F90726" s="193"/>
    </row>
    <row r="90727" spans="6:6" x14ac:dyDescent="0.3">
      <c r="F90727" s="193"/>
    </row>
    <row r="90728" spans="6:6" x14ac:dyDescent="0.3">
      <c r="F90728" s="193"/>
    </row>
    <row r="90729" spans="6:6" x14ac:dyDescent="0.3">
      <c r="F90729" s="193"/>
    </row>
    <row r="90730" spans="6:6" x14ac:dyDescent="0.3">
      <c r="F90730" s="193"/>
    </row>
    <row r="90731" spans="6:6" x14ac:dyDescent="0.3">
      <c r="F90731" s="193"/>
    </row>
    <row r="90732" spans="6:6" x14ac:dyDescent="0.3">
      <c r="F90732" s="193"/>
    </row>
    <row r="90733" spans="6:6" x14ac:dyDescent="0.3">
      <c r="F90733" s="193"/>
    </row>
    <row r="90734" spans="6:6" x14ac:dyDescent="0.3">
      <c r="F90734" s="193"/>
    </row>
    <row r="90735" spans="6:6" x14ac:dyDescent="0.3">
      <c r="F90735" s="193"/>
    </row>
    <row r="90736" spans="6:6" x14ac:dyDescent="0.3">
      <c r="F90736" s="193"/>
    </row>
    <row r="90737" spans="6:6" x14ac:dyDescent="0.3">
      <c r="F90737" s="193"/>
    </row>
    <row r="90738" spans="6:6" x14ac:dyDescent="0.3">
      <c r="F90738" s="193"/>
    </row>
    <row r="90739" spans="6:6" x14ac:dyDescent="0.3">
      <c r="F90739" s="193"/>
    </row>
    <row r="90740" spans="6:6" x14ac:dyDescent="0.3">
      <c r="F90740" s="193"/>
    </row>
    <row r="90741" spans="6:6" x14ac:dyDescent="0.3">
      <c r="F90741" s="193"/>
    </row>
    <row r="90742" spans="6:6" x14ac:dyDescent="0.3">
      <c r="F90742" s="193"/>
    </row>
    <row r="90743" spans="6:6" x14ac:dyDescent="0.3">
      <c r="F90743" s="193"/>
    </row>
    <row r="90744" spans="6:6" x14ac:dyDescent="0.3">
      <c r="F90744" s="193"/>
    </row>
    <row r="90745" spans="6:6" x14ac:dyDescent="0.3">
      <c r="F90745" s="193"/>
    </row>
    <row r="90746" spans="6:6" x14ac:dyDescent="0.3">
      <c r="F90746" s="193"/>
    </row>
    <row r="90747" spans="6:6" x14ac:dyDescent="0.3">
      <c r="F90747" s="193"/>
    </row>
    <row r="90748" spans="6:6" x14ac:dyDescent="0.3">
      <c r="F90748" s="193"/>
    </row>
    <row r="90749" spans="6:6" x14ac:dyDescent="0.3">
      <c r="F90749" s="193"/>
    </row>
    <row r="90750" spans="6:6" x14ac:dyDescent="0.3">
      <c r="F90750" s="193"/>
    </row>
    <row r="90751" spans="6:6" x14ac:dyDescent="0.3">
      <c r="F90751" s="193"/>
    </row>
    <row r="90752" spans="6:6" x14ac:dyDescent="0.3">
      <c r="F90752" s="193"/>
    </row>
    <row r="90753" spans="6:6" x14ac:dyDescent="0.3">
      <c r="F90753" s="193"/>
    </row>
    <row r="90754" spans="6:6" x14ac:dyDescent="0.3">
      <c r="F90754" s="193"/>
    </row>
    <row r="90755" spans="6:6" x14ac:dyDescent="0.3">
      <c r="F90755" s="193"/>
    </row>
    <row r="90756" spans="6:6" x14ac:dyDescent="0.3">
      <c r="F90756" s="193"/>
    </row>
    <row r="90757" spans="6:6" x14ac:dyDescent="0.3">
      <c r="F90757" s="193"/>
    </row>
    <row r="90758" spans="6:6" x14ac:dyDescent="0.3">
      <c r="F90758" s="193"/>
    </row>
    <row r="90759" spans="6:6" x14ac:dyDescent="0.3">
      <c r="F90759" s="193"/>
    </row>
    <row r="90760" spans="6:6" x14ac:dyDescent="0.3">
      <c r="F90760" s="193"/>
    </row>
    <row r="90761" spans="6:6" x14ac:dyDescent="0.3">
      <c r="F90761" s="193"/>
    </row>
    <row r="90762" spans="6:6" x14ac:dyDescent="0.3">
      <c r="F90762" s="193"/>
    </row>
    <row r="90763" spans="6:6" x14ac:dyDescent="0.3">
      <c r="F90763" s="193"/>
    </row>
    <row r="90764" spans="6:6" x14ac:dyDescent="0.3">
      <c r="F90764" s="193"/>
    </row>
    <row r="90765" spans="6:6" x14ac:dyDescent="0.3">
      <c r="F90765" s="193"/>
    </row>
    <row r="90766" spans="6:6" x14ac:dyDescent="0.3">
      <c r="F90766" s="193"/>
    </row>
    <row r="90767" spans="6:6" x14ac:dyDescent="0.3">
      <c r="F90767" s="193"/>
    </row>
    <row r="90768" spans="6:6" x14ac:dyDescent="0.3">
      <c r="F90768" s="193"/>
    </row>
    <row r="90769" spans="6:6" x14ac:dyDescent="0.3">
      <c r="F90769" s="193"/>
    </row>
    <row r="90770" spans="6:6" x14ac:dyDescent="0.3">
      <c r="F90770" s="193"/>
    </row>
    <row r="90771" spans="6:6" x14ac:dyDescent="0.3">
      <c r="F90771" s="193"/>
    </row>
    <row r="90772" spans="6:6" x14ac:dyDescent="0.3">
      <c r="F90772" s="193"/>
    </row>
    <row r="90773" spans="6:6" x14ac:dyDescent="0.3">
      <c r="F90773" s="193"/>
    </row>
    <row r="90774" spans="6:6" x14ac:dyDescent="0.3">
      <c r="F90774" s="193"/>
    </row>
    <row r="90775" spans="6:6" x14ac:dyDescent="0.3">
      <c r="F90775" s="193"/>
    </row>
    <row r="90776" spans="6:6" x14ac:dyDescent="0.3">
      <c r="F90776" s="193"/>
    </row>
    <row r="90777" spans="6:6" x14ac:dyDescent="0.3">
      <c r="F90777" s="193"/>
    </row>
    <row r="90778" spans="6:6" x14ac:dyDescent="0.3">
      <c r="F90778" s="193"/>
    </row>
    <row r="90779" spans="6:6" x14ac:dyDescent="0.3">
      <c r="F90779" s="193"/>
    </row>
    <row r="90780" spans="6:6" x14ac:dyDescent="0.3">
      <c r="F90780" s="193"/>
    </row>
    <row r="90781" spans="6:6" x14ac:dyDescent="0.3">
      <c r="F90781" s="193"/>
    </row>
    <row r="90782" spans="6:6" x14ac:dyDescent="0.3">
      <c r="F90782" s="193"/>
    </row>
    <row r="90783" spans="6:6" x14ac:dyDescent="0.3">
      <c r="F90783" s="193"/>
    </row>
    <row r="90784" spans="6:6" x14ac:dyDescent="0.3">
      <c r="F90784" s="193"/>
    </row>
    <row r="90785" spans="6:6" x14ac:dyDescent="0.3">
      <c r="F90785" s="193"/>
    </row>
    <row r="90786" spans="6:6" x14ac:dyDescent="0.3">
      <c r="F90786" s="193"/>
    </row>
    <row r="90787" spans="6:6" x14ac:dyDescent="0.3">
      <c r="F90787" s="193"/>
    </row>
    <row r="90788" spans="6:6" x14ac:dyDescent="0.3">
      <c r="F90788" s="193"/>
    </row>
    <row r="90789" spans="6:6" x14ac:dyDescent="0.3">
      <c r="F90789" s="193"/>
    </row>
    <row r="90790" spans="6:6" x14ac:dyDescent="0.3">
      <c r="F90790" s="193"/>
    </row>
    <row r="90791" spans="6:6" x14ac:dyDescent="0.3">
      <c r="F90791" s="193"/>
    </row>
    <row r="90792" spans="6:6" x14ac:dyDescent="0.3">
      <c r="F90792" s="193"/>
    </row>
    <row r="90793" spans="6:6" x14ac:dyDescent="0.3">
      <c r="F90793" s="193"/>
    </row>
    <row r="90794" spans="6:6" x14ac:dyDescent="0.3">
      <c r="F90794" s="193"/>
    </row>
    <row r="90795" spans="6:6" x14ac:dyDescent="0.3">
      <c r="F90795" s="193"/>
    </row>
    <row r="90796" spans="6:6" x14ac:dyDescent="0.3">
      <c r="F90796" s="193"/>
    </row>
    <row r="90797" spans="6:6" x14ac:dyDescent="0.3">
      <c r="F90797" s="193"/>
    </row>
    <row r="90798" spans="6:6" x14ac:dyDescent="0.3">
      <c r="F90798" s="193"/>
    </row>
    <row r="90799" spans="6:6" x14ac:dyDescent="0.3">
      <c r="F90799" s="193"/>
    </row>
    <row r="90800" spans="6:6" x14ac:dyDescent="0.3">
      <c r="F90800" s="193"/>
    </row>
    <row r="90801" spans="6:6" x14ac:dyDescent="0.3">
      <c r="F90801" s="193"/>
    </row>
    <row r="90802" spans="6:6" x14ac:dyDescent="0.3">
      <c r="F90802" s="193"/>
    </row>
    <row r="90803" spans="6:6" x14ac:dyDescent="0.3">
      <c r="F90803" s="193"/>
    </row>
    <row r="90804" spans="6:6" x14ac:dyDescent="0.3">
      <c r="F90804" s="193"/>
    </row>
    <row r="90805" spans="6:6" x14ac:dyDescent="0.3">
      <c r="F90805" s="193"/>
    </row>
    <row r="90806" spans="6:6" x14ac:dyDescent="0.3">
      <c r="F90806" s="193"/>
    </row>
    <row r="90807" spans="6:6" x14ac:dyDescent="0.3">
      <c r="F90807" s="193"/>
    </row>
    <row r="90808" spans="6:6" x14ac:dyDescent="0.3">
      <c r="F90808" s="193"/>
    </row>
    <row r="90809" spans="6:6" x14ac:dyDescent="0.3">
      <c r="F90809" s="193"/>
    </row>
    <row r="90810" spans="6:6" x14ac:dyDescent="0.3">
      <c r="F90810" s="193"/>
    </row>
    <row r="90811" spans="6:6" x14ac:dyDescent="0.3">
      <c r="F90811" s="193"/>
    </row>
    <row r="90812" spans="6:6" x14ac:dyDescent="0.3">
      <c r="F90812" s="193"/>
    </row>
    <row r="90813" spans="6:6" x14ac:dyDescent="0.3">
      <c r="F90813" s="193"/>
    </row>
    <row r="90814" spans="6:6" x14ac:dyDescent="0.3">
      <c r="F90814" s="193"/>
    </row>
    <row r="90815" spans="6:6" x14ac:dyDescent="0.3">
      <c r="F90815" s="193"/>
    </row>
    <row r="90816" spans="6:6" x14ac:dyDescent="0.3">
      <c r="F90816" s="193"/>
    </row>
    <row r="90817" spans="6:6" x14ac:dyDescent="0.3">
      <c r="F90817" s="193"/>
    </row>
    <row r="90818" spans="6:6" x14ac:dyDescent="0.3">
      <c r="F90818" s="193"/>
    </row>
    <row r="90819" spans="6:6" x14ac:dyDescent="0.3">
      <c r="F90819" s="193"/>
    </row>
    <row r="90820" spans="6:6" x14ac:dyDescent="0.3">
      <c r="F90820" s="193"/>
    </row>
    <row r="90821" spans="6:6" x14ac:dyDescent="0.3">
      <c r="F90821" s="193"/>
    </row>
    <row r="90822" spans="6:6" x14ac:dyDescent="0.3">
      <c r="F90822" s="193"/>
    </row>
    <row r="90823" spans="6:6" x14ac:dyDescent="0.3">
      <c r="F90823" s="193"/>
    </row>
    <row r="90824" spans="6:6" x14ac:dyDescent="0.3">
      <c r="F90824" s="193"/>
    </row>
    <row r="90825" spans="6:6" x14ac:dyDescent="0.3">
      <c r="F90825" s="193"/>
    </row>
    <row r="90826" spans="6:6" x14ac:dyDescent="0.3">
      <c r="F90826" s="193"/>
    </row>
    <row r="90827" spans="6:6" x14ac:dyDescent="0.3">
      <c r="F90827" s="193"/>
    </row>
    <row r="90828" spans="6:6" x14ac:dyDescent="0.3">
      <c r="F90828" s="193"/>
    </row>
    <row r="90829" spans="6:6" x14ac:dyDescent="0.3">
      <c r="F90829" s="193"/>
    </row>
    <row r="90830" spans="6:6" x14ac:dyDescent="0.3">
      <c r="F90830" s="193"/>
    </row>
    <row r="90831" spans="6:6" x14ac:dyDescent="0.3">
      <c r="F90831" s="193"/>
    </row>
    <row r="90832" spans="6:6" x14ac:dyDescent="0.3">
      <c r="F90832" s="193"/>
    </row>
    <row r="90833" spans="6:6" x14ac:dyDescent="0.3">
      <c r="F90833" s="193"/>
    </row>
    <row r="90834" spans="6:6" x14ac:dyDescent="0.3">
      <c r="F90834" s="193"/>
    </row>
    <row r="90835" spans="6:6" x14ac:dyDescent="0.3">
      <c r="F90835" s="193"/>
    </row>
    <row r="90836" spans="6:6" x14ac:dyDescent="0.3">
      <c r="F90836" s="193"/>
    </row>
    <row r="90837" spans="6:6" x14ac:dyDescent="0.3">
      <c r="F90837" s="193"/>
    </row>
    <row r="90838" spans="6:6" x14ac:dyDescent="0.3">
      <c r="F90838" s="193"/>
    </row>
    <row r="90839" spans="6:6" x14ac:dyDescent="0.3">
      <c r="F90839" s="193"/>
    </row>
    <row r="90840" spans="6:6" x14ac:dyDescent="0.3">
      <c r="F90840" s="193"/>
    </row>
    <row r="90841" spans="6:6" x14ac:dyDescent="0.3">
      <c r="F90841" s="193"/>
    </row>
    <row r="90842" spans="6:6" x14ac:dyDescent="0.3">
      <c r="F90842" s="193"/>
    </row>
    <row r="90843" spans="6:6" x14ac:dyDescent="0.3">
      <c r="F90843" s="193"/>
    </row>
    <row r="90844" spans="6:6" x14ac:dyDescent="0.3">
      <c r="F90844" s="193"/>
    </row>
    <row r="90845" spans="6:6" x14ac:dyDescent="0.3">
      <c r="F90845" s="193"/>
    </row>
    <row r="90846" spans="6:6" x14ac:dyDescent="0.3">
      <c r="F90846" s="193"/>
    </row>
    <row r="90847" spans="6:6" x14ac:dyDescent="0.3">
      <c r="F90847" s="193"/>
    </row>
    <row r="90848" spans="6:6" x14ac:dyDescent="0.3">
      <c r="F90848" s="193"/>
    </row>
    <row r="90849" spans="6:6" x14ac:dyDescent="0.3">
      <c r="F90849" s="193"/>
    </row>
    <row r="90850" spans="6:6" x14ac:dyDescent="0.3">
      <c r="F90850" s="193"/>
    </row>
    <row r="90851" spans="6:6" x14ac:dyDescent="0.3">
      <c r="F90851" s="193"/>
    </row>
    <row r="90852" spans="6:6" x14ac:dyDescent="0.3">
      <c r="F90852" s="193"/>
    </row>
    <row r="90853" spans="6:6" x14ac:dyDescent="0.3">
      <c r="F90853" s="193"/>
    </row>
    <row r="90854" spans="6:6" x14ac:dyDescent="0.3">
      <c r="F90854" s="193"/>
    </row>
    <row r="90855" spans="6:6" x14ac:dyDescent="0.3">
      <c r="F90855" s="193"/>
    </row>
    <row r="90856" spans="6:6" x14ac:dyDescent="0.3">
      <c r="F90856" s="193"/>
    </row>
    <row r="90857" spans="6:6" x14ac:dyDescent="0.3">
      <c r="F90857" s="193"/>
    </row>
    <row r="90858" spans="6:6" x14ac:dyDescent="0.3">
      <c r="F90858" s="193"/>
    </row>
    <row r="90859" spans="6:6" x14ac:dyDescent="0.3">
      <c r="F90859" s="193"/>
    </row>
    <row r="90860" spans="6:6" x14ac:dyDescent="0.3">
      <c r="F90860" s="193"/>
    </row>
    <row r="90861" spans="6:6" x14ac:dyDescent="0.3">
      <c r="F90861" s="193"/>
    </row>
    <row r="90862" spans="6:6" x14ac:dyDescent="0.3">
      <c r="F90862" s="193"/>
    </row>
    <row r="90863" spans="6:6" x14ac:dyDescent="0.3">
      <c r="F90863" s="193"/>
    </row>
    <row r="90864" spans="6:6" x14ac:dyDescent="0.3">
      <c r="F90864" s="193"/>
    </row>
    <row r="90865" spans="6:6" x14ac:dyDescent="0.3">
      <c r="F90865" s="193"/>
    </row>
    <row r="90866" spans="6:6" x14ac:dyDescent="0.3">
      <c r="F90866" s="193"/>
    </row>
    <row r="90867" spans="6:6" x14ac:dyDescent="0.3">
      <c r="F90867" s="193"/>
    </row>
    <row r="90868" spans="6:6" x14ac:dyDescent="0.3">
      <c r="F90868" s="193"/>
    </row>
    <row r="90869" spans="6:6" x14ac:dyDescent="0.3">
      <c r="F90869" s="193"/>
    </row>
    <row r="90870" spans="6:6" x14ac:dyDescent="0.3">
      <c r="F90870" s="193"/>
    </row>
    <row r="90871" spans="6:6" x14ac:dyDescent="0.3">
      <c r="F90871" s="193"/>
    </row>
    <row r="90872" spans="6:6" x14ac:dyDescent="0.3">
      <c r="F90872" s="193"/>
    </row>
    <row r="90873" spans="6:6" x14ac:dyDescent="0.3">
      <c r="F90873" s="193"/>
    </row>
    <row r="90874" spans="6:6" x14ac:dyDescent="0.3">
      <c r="F90874" s="193"/>
    </row>
    <row r="90875" spans="6:6" x14ac:dyDescent="0.3">
      <c r="F90875" s="193"/>
    </row>
    <row r="90876" spans="6:6" x14ac:dyDescent="0.3">
      <c r="F90876" s="193"/>
    </row>
    <row r="90877" spans="6:6" x14ac:dyDescent="0.3">
      <c r="F90877" s="193"/>
    </row>
    <row r="90878" spans="6:6" x14ac:dyDescent="0.3">
      <c r="F90878" s="193"/>
    </row>
    <row r="90879" spans="6:6" x14ac:dyDescent="0.3">
      <c r="F90879" s="193"/>
    </row>
    <row r="90880" spans="6:6" x14ac:dyDescent="0.3">
      <c r="F90880" s="193"/>
    </row>
    <row r="90881" spans="6:6" x14ac:dyDescent="0.3">
      <c r="F90881" s="193"/>
    </row>
    <row r="90882" spans="6:6" x14ac:dyDescent="0.3">
      <c r="F90882" s="193"/>
    </row>
    <row r="90883" spans="6:6" x14ac:dyDescent="0.3">
      <c r="F90883" s="193"/>
    </row>
    <row r="90884" spans="6:6" x14ac:dyDescent="0.3">
      <c r="F90884" s="193"/>
    </row>
    <row r="90885" spans="6:6" x14ac:dyDescent="0.3">
      <c r="F90885" s="193"/>
    </row>
    <row r="90886" spans="6:6" x14ac:dyDescent="0.3">
      <c r="F90886" s="193"/>
    </row>
    <row r="90887" spans="6:6" x14ac:dyDescent="0.3">
      <c r="F90887" s="193"/>
    </row>
    <row r="90888" spans="6:6" x14ac:dyDescent="0.3">
      <c r="F90888" s="193"/>
    </row>
    <row r="90889" spans="6:6" x14ac:dyDescent="0.3">
      <c r="F90889" s="193"/>
    </row>
    <row r="90890" spans="6:6" x14ac:dyDescent="0.3">
      <c r="F90890" s="193"/>
    </row>
    <row r="90891" spans="6:6" x14ac:dyDescent="0.3">
      <c r="F90891" s="193"/>
    </row>
    <row r="90892" spans="6:6" x14ac:dyDescent="0.3">
      <c r="F90892" s="193"/>
    </row>
    <row r="90893" spans="6:6" x14ac:dyDescent="0.3">
      <c r="F90893" s="193"/>
    </row>
    <row r="90894" spans="6:6" x14ac:dyDescent="0.3">
      <c r="F90894" s="193"/>
    </row>
    <row r="90895" spans="6:6" x14ac:dyDescent="0.3">
      <c r="F90895" s="193"/>
    </row>
    <row r="90896" spans="6:6" x14ac:dyDescent="0.3">
      <c r="F90896" s="193"/>
    </row>
    <row r="90897" spans="6:6" x14ac:dyDescent="0.3">
      <c r="F90897" s="193"/>
    </row>
    <row r="90898" spans="6:6" x14ac:dyDescent="0.3">
      <c r="F90898" s="193"/>
    </row>
    <row r="90899" spans="6:6" x14ac:dyDescent="0.3">
      <c r="F90899" s="193"/>
    </row>
    <row r="90900" spans="6:6" x14ac:dyDescent="0.3">
      <c r="F90900" s="193"/>
    </row>
    <row r="90901" spans="6:6" x14ac:dyDescent="0.3">
      <c r="F90901" s="193"/>
    </row>
    <row r="90902" spans="6:6" x14ac:dyDescent="0.3">
      <c r="F90902" s="193"/>
    </row>
    <row r="90903" spans="6:6" x14ac:dyDescent="0.3">
      <c r="F90903" s="193"/>
    </row>
    <row r="90904" spans="6:6" x14ac:dyDescent="0.3">
      <c r="F90904" s="193"/>
    </row>
    <row r="90905" spans="6:6" x14ac:dyDescent="0.3">
      <c r="F90905" s="193"/>
    </row>
    <row r="90906" spans="6:6" x14ac:dyDescent="0.3">
      <c r="F90906" s="193"/>
    </row>
    <row r="90907" spans="6:6" x14ac:dyDescent="0.3">
      <c r="F90907" s="193"/>
    </row>
    <row r="90908" spans="6:6" x14ac:dyDescent="0.3">
      <c r="F90908" s="193"/>
    </row>
    <row r="90909" spans="6:6" x14ac:dyDescent="0.3">
      <c r="F90909" s="193"/>
    </row>
    <row r="90910" spans="6:6" x14ac:dyDescent="0.3">
      <c r="F90910" s="193"/>
    </row>
    <row r="90911" spans="6:6" x14ac:dyDescent="0.3">
      <c r="F90911" s="193"/>
    </row>
    <row r="90912" spans="6:6" x14ac:dyDescent="0.3">
      <c r="F90912" s="193"/>
    </row>
    <row r="90913" spans="6:6" x14ac:dyDescent="0.3">
      <c r="F90913" s="193"/>
    </row>
    <row r="90914" spans="6:6" x14ac:dyDescent="0.3">
      <c r="F90914" s="193"/>
    </row>
    <row r="90915" spans="6:6" x14ac:dyDescent="0.3">
      <c r="F90915" s="193"/>
    </row>
    <row r="90916" spans="6:6" x14ac:dyDescent="0.3">
      <c r="F90916" s="193"/>
    </row>
    <row r="90917" spans="6:6" x14ac:dyDescent="0.3">
      <c r="F90917" s="193"/>
    </row>
    <row r="90918" spans="6:6" x14ac:dyDescent="0.3">
      <c r="F90918" s="193"/>
    </row>
    <row r="90919" spans="6:6" x14ac:dyDescent="0.3">
      <c r="F90919" s="193"/>
    </row>
    <row r="90920" spans="6:6" x14ac:dyDescent="0.3">
      <c r="F90920" s="193"/>
    </row>
    <row r="90921" spans="6:6" x14ac:dyDescent="0.3">
      <c r="F90921" s="193"/>
    </row>
    <row r="90922" spans="6:6" x14ac:dyDescent="0.3">
      <c r="F90922" s="193"/>
    </row>
    <row r="90923" spans="6:6" x14ac:dyDescent="0.3">
      <c r="F90923" s="193"/>
    </row>
    <row r="90924" spans="6:6" x14ac:dyDescent="0.3">
      <c r="F90924" s="193"/>
    </row>
    <row r="90925" spans="6:6" x14ac:dyDescent="0.3">
      <c r="F90925" s="193"/>
    </row>
    <row r="90926" spans="6:6" x14ac:dyDescent="0.3">
      <c r="F90926" s="193"/>
    </row>
    <row r="90927" spans="6:6" x14ac:dyDescent="0.3">
      <c r="F90927" s="193"/>
    </row>
    <row r="90928" spans="6:6" x14ac:dyDescent="0.3">
      <c r="F90928" s="193"/>
    </row>
    <row r="90929" spans="6:6" x14ac:dyDescent="0.3">
      <c r="F90929" s="193"/>
    </row>
    <row r="90930" spans="6:6" x14ac:dyDescent="0.3">
      <c r="F90930" s="193"/>
    </row>
    <row r="90931" spans="6:6" x14ac:dyDescent="0.3">
      <c r="F90931" s="193"/>
    </row>
    <row r="90932" spans="6:6" x14ac:dyDescent="0.3">
      <c r="F90932" s="193"/>
    </row>
    <row r="90933" spans="6:6" x14ac:dyDescent="0.3">
      <c r="F90933" s="193"/>
    </row>
    <row r="90934" spans="6:6" x14ac:dyDescent="0.3">
      <c r="F90934" s="193"/>
    </row>
    <row r="90935" spans="6:6" x14ac:dyDescent="0.3">
      <c r="F90935" s="193"/>
    </row>
    <row r="90936" spans="6:6" x14ac:dyDescent="0.3">
      <c r="F90936" s="193"/>
    </row>
    <row r="90937" spans="6:6" x14ac:dyDescent="0.3">
      <c r="F90937" s="193"/>
    </row>
    <row r="90938" spans="6:6" x14ac:dyDescent="0.3">
      <c r="F90938" s="193"/>
    </row>
    <row r="90939" spans="6:6" x14ac:dyDescent="0.3">
      <c r="F90939" s="193"/>
    </row>
    <row r="90940" spans="6:6" x14ac:dyDescent="0.3">
      <c r="F90940" s="193"/>
    </row>
    <row r="90941" spans="6:6" x14ac:dyDescent="0.3">
      <c r="F90941" s="193"/>
    </row>
    <row r="90942" spans="6:6" x14ac:dyDescent="0.3">
      <c r="F90942" s="193"/>
    </row>
    <row r="90943" spans="6:6" x14ac:dyDescent="0.3">
      <c r="F90943" s="193"/>
    </row>
    <row r="90944" spans="6:6" x14ac:dyDescent="0.3">
      <c r="F90944" s="193"/>
    </row>
    <row r="90945" spans="6:6" x14ac:dyDescent="0.3">
      <c r="F90945" s="193"/>
    </row>
    <row r="90946" spans="6:6" x14ac:dyDescent="0.3">
      <c r="F90946" s="193"/>
    </row>
    <row r="90947" spans="6:6" x14ac:dyDescent="0.3">
      <c r="F90947" s="193"/>
    </row>
    <row r="90948" spans="6:6" x14ac:dyDescent="0.3">
      <c r="F90948" s="193"/>
    </row>
    <row r="90949" spans="6:6" x14ac:dyDescent="0.3">
      <c r="F90949" s="193"/>
    </row>
    <row r="90950" spans="6:6" x14ac:dyDescent="0.3">
      <c r="F90950" s="193"/>
    </row>
    <row r="90951" spans="6:6" x14ac:dyDescent="0.3">
      <c r="F90951" s="193"/>
    </row>
    <row r="90952" spans="6:6" x14ac:dyDescent="0.3">
      <c r="F90952" s="193"/>
    </row>
    <row r="90953" spans="6:6" x14ac:dyDescent="0.3">
      <c r="F90953" s="193"/>
    </row>
    <row r="90954" spans="6:6" x14ac:dyDescent="0.3">
      <c r="F90954" s="193"/>
    </row>
    <row r="90955" spans="6:6" x14ac:dyDescent="0.3">
      <c r="F90955" s="193"/>
    </row>
    <row r="90956" spans="6:6" x14ac:dyDescent="0.3">
      <c r="F90956" s="193"/>
    </row>
    <row r="90957" spans="6:6" x14ac:dyDescent="0.3">
      <c r="F90957" s="193"/>
    </row>
    <row r="90958" spans="6:6" x14ac:dyDescent="0.3">
      <c r="F90958" s="193"/>
    </row>
    <row r="90959" spans="6:6" x14ac:dyDescent="0.3">
      <c r="F90959" s="193"/>
    </row>
    <row r="90960" spans="6:6" x14ac:dyDescent="0.3">
      <c r="F90960" s="193"/>
    </row>
    <row r="90961" spans="6:6" x14ac:dyDescent="0.3">
      <c r="F90961" s="193"/>
    </row>
    <row r="90962" spans="6:6" x14ac:dyDescent="0.3">
      <c r="F90962" s="193"/>
    </row>
    <row r="90963" spans="6:6" x14ac:dyDescent="0.3">
      <c r="F90963" s="193"/>
    </row>
    <row r="90964" spans="6:6" x14ac:dyDescent="0.3">
      <c r="F90964" s="193"/>
    </row>
    <row r="90965" spans="6:6" x14ac:dyDescent="0.3">
      <c r="F90965" s="193"/>
    </row>
    <row r="90966" spans="6:6" x14ac:dyDescent="0.3">
      <c r="F90966" s="193"/>
    </row>
    <row r="90967" spans="6:6" x14ac:dyDescent="0.3">
      <c r="F90967" s="193"/>
    </row>
    <row r="90968" spans="6:6" x14ac:dyDescent="0.3">
      <c r="F90968" s="193"/>
    </row>
    <row r="90969" spans="6:6" x14ac:dyDescent="0.3">
      <c r="F90969" s="193"/>
    </row>
    <row r="90970" spans="6:6" x14ac:dyDescent="0.3">
      <c r="F90970" s="193"/>
    </row>
    <row r="90971" spans="6:6" x14ac:dyDescent="0.3">
      <c r="F90971" s="193"/>
    </row>
    <row r="90972" spans="6:6" x14ac:dyDescent="0.3">
      <c r="F90972" s="193"/>
    </row>
    <row r="90973" spans="6:6" x14ac:dyDescent="0.3">
      <c r="F90973" s="193"/>
    </row>
    <row r="90974" spans="6:6" x14ac:dyDescent="0.3">
      <c r="F90974" s="193"/>
    </row>
    <row r="90975" spans="6:6" x14ac:dyDescent="0.3">
      <c r="F90975" s="193"/>
    </row>
    <row r="90976" spans="6:6" x14ac:dyDescent="0.3">
      <c r="F90976" s="193"/>
    </row>
    <row r="90977" spans="6:6" x14ac:dyDescent="0.3">
      <c r="F90977" s="193"/>
    </row>
    <row r="90978" spans="6:6" x14ac:dyDescent="0.3">
      <c r="F90978" s="193"/>
    </row>
    <row r="90979" spans="6:6" x14ac:dyDescent="0.3">
      <c r="F90979" s="193"/>
    </row>
    <row r="90980" spans="6:6" x14ac:dyDescent="0.3">
      <c r="F90980" s="193"/>
    </row>
    <row r="90981" spans="6:6" x14ac:dyDescent="0.3">
      <c r="F90981" s="193"/>
    </row>
    <row r="90982" spans="6:6" x14ac:dyDescent="0.3">
      <c r="F90982" s="193"/>
    </row>
    <row r="90983" spans="6:6" x14ac:dyDescent="0.3">
      <c r="F90983" s="193"/>
    </row>
    <row r="90984" spans="6:6" x14ac:dyDescent="0.3">
      <c r="F90984" s="193"/>
    </row>
    <row r="90985" spans="6:6" x14ac:dyDescent="0.3">
      <c r="F90985" s="193"/>
    </row>
    <row r="90986" spans="6:6" x14ac:dyDescent="0.3">
      <c r="F90986" s="193"/>
    </row>
    <row r="90987" spans="6:6" x14ac:dyDescent="0.3">
      <c r="F90987" s="193"/>
    </row>
    <row r="90988" spans="6:6" x14ac:dyDescent="0.3">
      <c r="F90988" s="193"/>
    </row>
    <row r="90989" spans="6:6" x14ac:dyDescent="0.3">
      <c r="F90989" s="193"/>
    </row>
    <row r="90990" spans="6:6" x14ac:dyDescent="0.3">
      <c r="F90990" s="193"/>
    </row>
    <row r="90991" spans="6:6" x14ac:dyDescent="0.3">
      <c r="F90991" s="193"/>
    </row>
    <row r="90992" spans="6:6" x14ac:dyDescent="0.3">
      <c r="F90992" s="193"/>
    </row>
    <row r="90993" spans="6:6" x14ac:dyDescent="0.3">
      <c r="F90993" s="193"/>
    </row>
    <row r="90994" spans="6:6" x14ac:dyDescent="0.3">
      <c r="F90994" s="193"/>
    </row>
    <row r="90995" spans="6:6" x14ac:dyDescent="0.3">
      <c r="F90995" s="193"/>
    </row>
    <row r="90996" spans="6:6" x14ac:dyDescent="0.3">
      <c r="F90996" s="193"/>
    </row>
    <row r="90997" spans="6:6" x14ac:dyDescent="0.3">
      <c r="F90997" s="193"/>
    </row>
    <row r="90998" spans="6:6" x14ac:dyDescent="0.3">
      <c r="F90998" s="193"/>
    </row>
    <row r="90999" spans="6:6" x14ac:dyDescent="0.3">
      <c r="F90999" s="193"/>
    </row>
    <row r="91000" spans="6:6" x14ac:dyDescent="0.3">
      <c r="F91000" s="193"/>
    </row>
    <row r="91001" spans="6:6" x14ac:dyDescent="0.3">
      <c r="F91001" s="193"/>
    </row>
    <row r="91002" spans="6:6" x14ac:dyDescent="0.3">
      <c r="F91002" s="193"/>
    </row>
    <row r="91003" spans="6:6" x14ac:dyDescent="0.3">
      <c r="F91003" s="193"/>
    </row>
    <row r="91004" spans="6:6" x14ac:dyDescent="0.3">
      <c r="F91004" s="193"/>
    </row>
    <row r="91005" spans="6:6" x14ac:dyDescent="0.3">
      <c r="F91005" s="193"/>
    </row>
    <row r="91006" spans="6:6" x14ac:dyDescent="0.3">
      <c r="F91006" s="193"/>
    </row>
    <row r="91007" spans="6:6" x14ac:dyDescent="0.3">
      <c r="F91007" s="193"/>
    </row>
    <row r="91008" spans="6:6" x14ac:dyDescent="0.3">
      <c r="F91008" s="193"/>
    </row>
    <row r="91009" spans="6:6" x14ac:dyDescent="0.3">
      <c r="F91009" s="193"/>
    </row>
    <row r="91010" spans="6:6" x14ac:dyDescent="0.3">
      <c r="F91010" s="193"/>
    </row>
    <row r="91011" spans="6:6" x14ac:dyDescent="0.3">
      <c r="F91011" s="193"/>
    </row>
    <row r="91012" spans="6:6" x14ac:dyDescent="0.3">
      <c r="F91012" s="193"/>
    </row>
    <row r="91013" spans="6:6" x14ac:dyDescent="0.3">
      <c r="F91013" s="193"/>
    </row>
    <row r="91014" spans="6:6" x14ac:dyDescent="0.3">
      <c r="F91014" s="193"/>
    </row>
    <row r="91015" spans="6:6" x14ac:dyDescent="0.3">
      <c r="F91015" s="193"/>
    </row>
    <row r="91016" spans="6:6" x14ac:dyDescent="0.3">
      <c r="F91016" s="193"/>
    </row>
    <row r="91017" spans="6:6" x14ac:dyDescent="0.3">
      <c r="F91017" s="193"/>
    </row>
    <row r="91018" spans="6:6" x14ac:dyDescent="0.3">
      <c r="F91018" s="193"/>
    </row>
    <row r="91019" spans="6:6" x14ac:dyDescent="0.3">
      <c r="F91019" s="193"/>
    </row>
    <row r="91020" spans="6:6" x14ac:dyDescent="0.3">
      <c r="F91020" s="193"/>
    </row>
    <row r="91021" spans="6:6" x14ac:dyDescent="0.3">
      <c r="F91021" s="193"/>
    </row>
    <row r="91022" spans="6:6" x14ac:dyDescent="0.3">
      <c r="F91022" s="193"/>
    </row>
    <row r="91023" spans="6:6" x14ac:dyDescent="0.3">
      <c r="F91023" s="193"/>
    </row>
    <row r="91024" spans="6:6" x14ac:dyDescent="0.3">
      <c r="F91024" s="193"/>
    </row>
    <row r="91025" spans="6:6" x14ac:dyDescent="0.3">
      <c r="F91025" s="193"/>
    </row>
    <row r="91026" spans="6:6" x14ac:dyDescent="0.3">
      <c r="F91026" s="193"/>
    </row>
    <row r="91027" spans="6:6" x14ac:dyDescent="0.3">
      <c r="F91027" s="193"/>
    </row>
    <row r="91028" spans="6:6" x14ac:dyDescent="0.3">
      <c r="F91028" s="193"/>
    </row>
    <row r="91029" spans="6:6" x14ac:dyDescent="0.3">
      <c r="F91029" s="193"/>
    </row>
    <row r="91030" spans="6:6" x14ac:dyDescent="0.3">
      <c r="F91030" s="193"/>
    </row>
    <row r="91031" spans="6:6" x14ac:dyDescent="0.3">
      <c r="F91031" s="193"/>
    </row>
    <row r="91032" spans="6:6" x14ac:dyDescent="0.3">
      <c r="F91032" s="193"/>
    </row>
    <row r="91033" spans="6:6" x14ac:dyDescent="0.3">
      <c r="F91033" s="193"/>
    </row>
    <row r="91034" spans="6:6" x14ac:dyDescent="0.3">
      <c r="F91034" s="193"/>
    </row>
    <row r="91035" spans="6:6" x14ac:dyDescent="0.3">
      <c r="F91035" s="193"/>
    </row>
    <row r="91036" spans="6:6" x14ac:dyDescent="0.3">
      <c r="F91036" s="193"/>
    </row>
    <row r="91037" spans="6:6" x14ac:dyDescent="0.3">
      <c r="F91037" s="193"/>
    </row>
    <row r="91038" spans="6:6" x14ac:dyDescent="0.3">
      <c r="F91038" s="193"/>
    </row>
    <row r="91039" spans="6:6" x14ac:dyDescent="0.3">
      <c r="F91039" s="193"/>
    </row>
    <row r="91040" spans="6:6" x14ac:dyDescent="0.3">
      <c r="F91040" s="193"/>
    </row>
    <row r="91041" spans="6:6" x14ac:dyDescent="0.3">
      <c r="F91041" s="193"/>
    </row>
    <row r="91042" spans="6:6" x14ac:dyDescent="0.3">
      <c r="F91042" s="193"/>
    </row>
    <row r="91043" spans="6:6" x14ac:dyDescent="0.3">
      <c r="F91043" s="193"/>
    </row>
    <row r="91044" spans="6:6" x14ac:dyDescent="0.3">
      <c r="F91044" s="193"/>
    </row>
    <row r="91045" spans="6:6" x14ac:dyDescent="0.3">
      <c r="F91045" s="193"/>
    </row>
    <row r="91046" spans="6:6" x14ac:dyDescent="0.3">
      <c r="F91046" s="193"/>
    </row>
    <row r="91047" spans="6:6" x14ac:dyDescent="0.3">
      <c r="F91047" s="193"/>
    </row>
    <row r="91048" spans="6:6" x14ac:dyDescent="0.3">
      <c r="F91048" s="193"/>
    </row>
    <row r="91049" spans="6:6" x14ac:dyDescent="0.3">
      <c r="F91049" s="193"/>
    </row>
    <row r="91050" spans="6:6" x14ac:dyDescent="0.3">
      <c r="F91050" s="193"/>
    </row>
    <row r="91051" spans="6:6" x14ac:dyDescent="0.3">
      <c r="F91051" s="193"/>
    </row>
    <row r="91052" spans="6:6" x14ac:dyDescent="0.3">
      <c r="F91052" s="193"/>
    </row>
    <row r="91053" spans="6:6" x14ac:dyDescent="0.3">
      <c r="F91053" s="193"/>
    </row>
    <row r="91054" spans="6:6" x14ac:dyDescent="0.3">
      <c r="F91054" s="193"/>
    </row>
    <row r="91055" spans="6:6" x14ac:dyDescent="0.3">
      <c r="F91055" s="193"/>
    </row>
    <row r="91056" spans="6:6" x14ac:dyDescent="0.3">
      <c r="F91056" s="193"/>
    </row>
    <row r="91057" spans="6:6" x14ac:dyDescent="0.3">
      <c r="F91057" s="193"/>
    </row>
    <row r="91058" spans="6:6" x14ac:dyDescent="0.3">
      <c r="F91058" s="193"/>
    </row>
    <row r="91059" spans="6:6" x14ac:dyDescent="0.3">
      <c r="F91059" s="193"/>
    </row>
    <row r="91060" spans="6:6" x14ac:dyDescent="0.3">
      <c r="F91060" s="193"/>
    </row>
    <row r="91061" spans="6:6" x14ac:dyDescent="0.3">
      <c r="F91061" s="193"/>
    </row>
    <row r="91062" spans="6:6" x14ac:dyDescent="0.3">
      <c r="F91062" s="193"/>
    </row>
    <row r="91063" spans="6:6" x14ac:dyDescent="0.3">
      <c r="F91063" s="193"/>
    </row>
    <row r="91064" spans="6:6" x14ac:dyDescent="0.3">
      <c r="F91064" s="193"/>
    </row>
    <row r="91065" spans="6:6" x14ac:dyDescent="0.3">
      <c r="F91065" s="193"/>
    </row>
    <row r="91066" spans="6:6" x14ac:dyDescent="0.3">
      <c r="F91066" s="193"/>
    </row>
    <row r="91067" spans="6:6" x14ac:dyDescent="0.3">
      <c r="F91067" s="193"/>
    </row>
    <row r="91068" spans="6:6" x14ac:dyDescent="0.3">
      <c r="F91068" s="193"/>
    </row>
    <row r="91069" spans="6:6" x14ac:dyDescent="0.3">
      <c r="F91069" s="193"/>
    </row>
    <row r="91070" spans="6:6" x14ac:dyDescent="0.3">
      <c r="F91070" s="193"/>
    </row>
    <row r="91071" spans="6:6" x14ac:dyDescent="0.3">
      <c r="F91071" s="193"/>
    </row>
    <row r="91072" spans="6:6" x14ac:dyDescent="0.3">
      <c r="F91072" s="193"/>
    </row>
    <row r="91073" spans="6:6" x14ac:dyDescent="0.3">
      <c r="F91073" s="193"/>
    </row>
    <row r="91074" spans="6:6" x14ac:dyDescent="0.3">
      <c r="F91074" s="193"/>
    </row>
    <row r="91075" spans="6:6" x14ac:dyDescent="0.3">
      <c r="F91075" s="193"/>
    </row>
    <row r="91076" spans="6:6" x14ac:dyDescent="0.3">
      <c r="F91076" s="193"/>
    </row>
    <row r="91077" spans="6:6" x14ac:dyDescent="0.3">
      <c r="F91077" s="193"/>
    </row>
    <row r="91078" spans="6:6" x14ac:dyDescent="0.3">
      <c r="F91078" s="193"/>
    </row>
    <row r="91079" spans="6:6" x14ac:dyDescent="0.3">
      <c r="F91079" s="193"/>
    </row>
    <row r="91080" spans="6:6" x14ac:dyDescent="0.3">
      <c r="F91080" s="193"/>
    </row>
    <row r="91081" spans="6:6" x14ac:dyDescent="0.3">
      <c r="F91081" s="193"/>
    </row>
    <row r="91082" spans="6:6" x14ac:dyDescent="0.3">
      <c r="F91082" s="193"/>
    </row>
    <row r="91083" spans="6:6" x14ac:dyDescent="0.3">
      <c r="F91083" s="193"/>
    </row>
    <row r="91084" spans="6:6" x14ac:dyDescent="0.3">
      <c r="F91084" s="193"/>
    </row>
    <row r="91085" spans="6:6" x14ac:dyDescent="0.3">
      <c r="F91085" s="193"/>
    </row>
    <row r="91086" spans="6:6" x14ac:dyDescent="0.3">
      <c r="F91086" s="193"/>
    </row>
    <row r="91087" spans="6:6" x14ac:dyDescent="0.3">
      <c r="F91087" s="193"/>
    </row>
    <row r="91088" spans="6:6" x14ac:dyDescent="0.3">
      <c r="F91088" s="193"/>
    </row>
    <row r="91089" spans="6:6" x14ac:dyDescent="0.3">
      <c r="F91089" s="193"/>
    </row>
    <row r="91090" spans="6:6" x14ac:dyDescent="0.3">
      <c r="F91090" s="193"/>
    </row>
    <row r="91091" spans="6:6" x14ac:dyDescent="0.3">
      <c r="F91091" s="193"/>
    </row>
    <row r="91092" spans="6:6" x14ac:dyDescent="0.3">
      <c r="F91092" s="193"/>
    </row>
    <row r="91093" spans="6:6" x14ac:dyDescent="0.3">
      <c r="F91093" s="193"/>
    </row>
    <row r="91094" spans="6:6" x14ac:dyDescent="0.3">
      <c r="F91094" s="193"/>
    </row>
    <row r="91095" spans="6:6" x14ac:dyDescent="0.3">
      <c r="F91095" s="193"/>
    </row>
    <row r="91096" spans="6:6" x14ac:dyDescent="0.3">
      <c r="F91096" s="193"/>
    </row>
    <row r="91097" spans="6:6" x14ac:dyDescent="0.3">
      <c r="F91097" s="193"/>
    </row>
    <row r="91098" spans="6:6" x14ac:dyDescent="0.3">
      <c r="F91098" s="193"/>
    </row>
    <row r="91099" spans="6:6" x14ac:dyDescent="0.3">
      <c r="F91099" s="193"/>
    </row>
    <row r="91100" spans="6:6" x14ac:dyDescent="0.3">
      <c r="F91100" s="193"/>
    </row>
    <row r="91101" spans="6:6" x14ac:dyDescent="0.3">
      <c r="F91101" s="193"/>
    </row>
    <row r="91102" spans="6:6" x14ac:dyDescent="0.3">
      <c r="F91102" s="193"/>
    </row>
    <row r="91103" spans="6:6" x14ac:dyDescent="0.3">
      <c r="F91103" s="193"/>
    </row>
    <row r="91104" spans="6:6" x14ac:dyDescent="0.3">
      <c r="F91104" s="193"/>
    </row>
    <row r="91105" spans="6:6" x14ac:dyDescent="0.3">
      <c r="F91105" s="193"/>
    </row>
    <row r="91106" spans="6:6" x14ac:dyDescent="0.3">
      <c r="F91106" s="193"/>
    </row>
    <row r="91107" spans="6:6" x14ac:dyDescent="0.3">
      <c r="F91107" s="193"/>
    </row>
    <row r="91108" spans="6:6" x14ac:dyDescent="0.3">
      <c r="F91108" s="193"/>
    </row>
    <row r="91109" spans="6:6" x14ac:dyDescent="0.3">
      <c r="F91109" s="193"/>
    </row>
    <row r="91110" spans="6:6" x14ac:dyDescent="0.3">
      <c r="F91110" s="193"/>
    </row>
    <row r="91111" spans="6:6" x14ac:dyDescent="0.3">
      <c r="F91111" s="193"/>
    </row>
    <row r="91112" spans="6:6" x14ac:dyDescent="0.3">
      <c r="F91112" s="193"/>
    </row>
    <row r="91113" spans="6:6" x14ac:dyDescent="0.3">
      <c r="F91113" s="193"/>
    </row>
    <row r="91114" spans="6:6" x14ac:dyDescent="0.3">
      <c r="F91114" s="193"/>
    </row>
    <row r="91115" spans="6:6" x14ac:dyDescent="0.3">
      <c r="F91115" s="193"/>
    </row>
    <row r="91116" spans="6:6" x14ac:dyDescent="0.3">
      <c r="F91116" s="193"/>
    </row>
    <row r="91117" spans="6:6" x14ac:dyDescent="0.3">
      <c r="F91117" s="193"/>
    </row>
    <row r="91118" spans="6:6" x14ac:dyDescent="0.3">
      <c r="F91118" s="193"/>
    </row>
    <row r="91119" spans="6:6" x14ac:dyDescent="0.3">
      <c r="F91119" s="193"/>
    </row>
    <row r="91120" spans="6:6" x14ac:dyDescent="0.3">
      <c r="F91120" s="193"/>
    </row>
    <row r="91121" spans="6:6" x14ac:dyDescent="0.3">
      <c r="F91121" s="193"/>
    </row>
    <row r="91122" spans="6:6" x14ac:dyDescent="0.3">
      <c r="F91122" s="193"/>
    </row>
    <row r="91123" spans="6:6" x14ac:dyDescent="0.3">
      <c r="F91123" s="193"/>
    </row>
    <row r="91124" spans="6:6" x14ac:dyDescent="0.3">
      <c r="F91124" s="193"/>
    </row>
    <row r="91125" spans="6:6" x14ac:dyDescent="0.3">
      <c r="F91125" s="193"/>
    </row>
    <row r="91126" spans="6:6" x14ac:dyDescent="0.3">
      <c r="F91126" s="193"/>
    </row>
    <row r="91127" spans="6:6" x14ac:dyDescent="0.3">
      <c r="F91127" s="193"/>
    </row>
    <row r="91128" spans="6:6" x14ac:dyDescent="0.3">
      <c r="F91128" s="193"/>
    </row>
    <row r="91129" spans="6:6" x14ac:dyDescent="0.3">
      <c r="F91129" s="193"/>
    </row>
    <row r="91130" spans="6:6" x14ac:dyDescent="0.3">
      <c r="F91130" s="193"/>
    </row>
    <row r="91131" spans="6:6" x14ac:dyDescent="0.3">
      <c r="F91131" s="193"/>
    </row>
    <row r="91132" spans="6:6" x14ac:dyDescent="0.3">
      <c r="F91132" s="193"/>
    </row>
    <row r="91133" spans="6:6" x14ac:dyDescent="0.3">
      <c r="F91133" s="193"/>
    </row>
    <row r="91134" spans="6:6" x14ac:dyDescent="0.3">
      <c r="F91134" s="193"/>
    </row>
    <row r="91135" spans="6:6" x14ac:dyDescent="0.3">
      <c r="F91135" s="193"/>
    </row>
    <row r="91136" spans="6:6" x14ac:dyDescent="0.3">
      <c r="F91136" s="193"/>
    </row>
    <row r="91137" spans="6:6" x14ac:dyDescent="0.3">
      <c r="F91137" s="193"/>
    </row>
    <row r="91138" spans="6:6" x14ac:dyDescent="0.3">
      <c r="F91138" s="193"/>
    </row>
    <row r="91139" spans="6:6" x14ac:dyDescent="0.3">
      <c r="F91139" s="193"/>
    </row>
    <row r="91140" spans="6:6" x14ac:dyDescent="0.3">
      <c r="F91140" s="193"/>
    </row>
    <row r="91141" spans="6:6" x14ac:dyDescent="0.3">
      <c r="F91141" s="193"/>
    </row>
    <row r="91142" spans="6:6" x14ac:dyDescent="0.3">
      <c r="F91142" s="193"/>
    </row>
    <row r="91143" spans="6:6" x14ac:dyDescent="0.3">
      <c r="F91143" s="193"/>
    </row>
    <row r="91144" spans="6:6" x14ac:dyDescent="0.3">
      <c r="F91144" s="193"/>
    </row>
    <row r="91145" spans="6:6" x14ac:dyDescent="0.3">
      <c r="F91145" s="193"/>
    </row>
    <row r="91146" spans="6:6" x14ac:dyDescent="0.3">
      <c r="F91146" s="193"/>
    </row>
    <row r="91147" spans="6:6" x14ac:dyDescent="0.3">
      <c r="F91147" s="193"/>
    </row>
    <row r="91148" spans="6:6" x14ac:dyDescent="0.3">
      <c r="F91148" s="193"/>
    </row>
    <row r="91149" spans="6:6" x14ac:dyDescent="0.3">
      <c r="F91149" s="193"/>
    </row>
    <row r="91150" spans="6:6" x14ac:dyDescent="0.3">
      <c r="F91150" s="193"/>
    </row>
    <row r="91151" spans="6:6" x14ac:dyDescent="0.3">
      <c r="F91151" s="193"/>
    </row>
    <row r="91152" spans="6:6" x14ac:dyDescent="0.3">
      <c r="F91152" s="193"/>
    </row>
    <row r="91153" spans="6:6" x14ac:dyDescent="0.3">
      <c r="F91153" s="193"/>
    </row>
    <row r="91154" spans="6:6" x14ac:dyDescent="0.3">
      <c r="F91154" s="193"/>
    </row>
    <row r="91155" spans="6:6" x14ac:dyDescent="0.3">
      <c r="F91155" s="193"/>
    </row>
    <row r="91156" spans="6:6" x14ac:dyDescent="0.3">
      <c r="F91156" s="193"/>
    </row>
    <row r="91157" spans="6:6" x14ac:dyDescent="0.3">
      <c r="F91157" s="193"/>
    </row>
    <row r="91158" spans="6:6" x14ac:dyDescent="0.3">
      <c r="F91158" s="193"/>
    </row>
    <row r="91159" spans="6:6" x14ac:dyDescent="0.3">
      <c r="F91159" s="193"/>
    </row>
    <row r="91160" spans="6:6" x14ac:dyDescent="0.3">
      <c r="F91160" s="193"/>
    </row>
    <row r="91161" spans="6:6" x14ac:dyDescent="0.3">
      <c r="F91161" s="193"/>
    </row>
    <row r="91162" spans="6:6" x14ac:dyDescent="0.3">
      <c r="F91162" s="193"/>
    </row>
    <row r="91163" spans="6:6" x14ac:dyDescent="0.3">
      <c r="F91163" s="193"/>
    </row>
    <row r="91164" spans="6:6" x14ac:dyDescent="0.3">
      <c r="F91164" s="193"/>
    </row>
    <row r="91165" spans="6:6" x14ac:dyDescent="0.3">
      <c r="F91165" s="193"/>
    </row>
    <row r="91166" spans="6:6" x14ac:dyDescent="0.3">
      <c r="F91166" s="193"/>
    </row>
    <row r="91167" spans="6:6" x14ac:dyDescent="0.3">
      <c r="F91167" s="193"/>
    </row>
    <row r="91168" spans="6:6" x14ac:dyDescent="0.3">
      <c r="F91168" s="193"/>
    </row>
    <row r="91169" spans="6:6" x14ac:dyDescent="0.3">
      <c r="F91169" s="193"/>
    </row>
    <row r="91170" spans="6:6" x14ac:dyDescent="0.3">
      <c r="F91170" s="193"/>
    </row>
    <row r="91171" spans="6:6" x14ac:dyDescent="0.3">
      <c r="F91171" s="193"/>
    </row>
    <row r="91172" spans="6:6" x14ac:dyDescent="0.3">
      <c r="F91172" s="193"/>
    </row>
    <row r="91173" spans="6:6" x14ac:dyDescent="0.3">
      <c r="F91173" s="193"/>
    </row>
    <row r="91174" spans="6:6" x14ac:dyDescent="0.3">
      <c r="F91174" s="193"/>
    </row>
    <row r="91175" spans="6:6" x14ac:dyDescent="0.3">
      <c r="F91175" s="193"/>
    </row>
    <row r="91176" spans="6:6" x14ac:dyDescent="0.3">
      <c r="F91176" s="193"/>
    </row>
    <row r="91177" spans="6:6" x14ac:dyDescent="0.3">
      <c r="F91177" s="193"/>
    </row>
    <row r="91178" spans="6:6" x14ac:dyDescent="0.3">
      <c r="F91178" s="193"/>
    </row>
    <row r="91179" spans="6:6" x14ac:dyDescent="0.3">
      <c r="F91179" s="193"/>
    </row>
    <row r="91180" spans="6:6" x14ac:dyDescent="0.3">
      <c r="F91180" s="193"/>
    </row>
    <row r="91181" spans="6:6" x14ac:dyDescent="0.3">
      <c r="F91181" s="193"/>
    </row>
    <row r="91182" spans="6:6" x14ac:dyDescent="0.3">
      <c r="F91182" s="193"/>
    </row>
    <row r="91183" spans="6:6" x14ac:dyDescent="0.3">
      <c r="F91183" s="193"/>
    </row>
    <row r="91184" spans="6:6" x14ac:dyDescent="0.3">
      <c r="F91184" s="193"/>
    </row>
    <row r="91185" spans="6:6" x14ac:dyDescent="0.3">
      <c r="F91185" s="193"/>
    </row>
    <row r="91186" spans="6:6" x14ac:dyDescent="0.3">
      <c r="F91186" s="193"/>
    </row>
    <row r="91187" spans="6:6" x14ac:dyDescent="0.3">
      <c r="F91187" s="193"/>
    </row>
    <row r="91188" spans="6:6" x14ac:dyDescent="0.3">
      <c r="F91188" s="193"/>
    </row>
    <row r="91189" spans="6:6" x14ac:dyDescent="0.3">
      <c r="F91189" s="193"/>
    </row>
    <row r="91190" spans="6:6" x14ac:dyDescent="0.3">
      <c r="F91190" s="193"/>
    </row>
    <row r="91191" spans="6:6" x14ac:dyDescent="0.3">
      <c r="F91191" s="193"/>
    </row>
    <row r="91192" spans="6:6" x14ac:dyDescent="0.3">
      <c r="F91192" s="193"/>
    </row>
    <row r="91193" spans="6:6" x14ac:dyDescent="0.3">
      <c r="F91193" s="193"/>
    </row>
    <row r="91194" spans="6:6" x14ac:dyDescent="0.3">
      <c r="F91194" s="193"/>
    </row>
    <row r="91195" spans="6:6" x14ac:dyDescent="0.3">
      <c r="F91195" s="193"/>
    </row>
    <row r="91196" spans="6:6" x14ac:dyDescent="0.3">
      <c r="F91196" s="193"/>
    </row>
    <row r="91197" spans="6:6" x14ac:dyDescent="0.3">
      <c r="F91197" s="193"/>
    </row>
    <row r="91198" spans="6:6" x14ac:dyDescent="0.3">
      <c r="F91198" s="193"/>
    </row>
    <row r="91199" spans="6:6" x14ac:dyDescent="0.3">
      <c r="F91199" s="193"/>
    </row>
    <row r="91200" spans="6:6" x14ac:dyDescent="0.3">
      <c r="F91200" s="193"/>
    </row>
    <row r="91201" spans="6:6" x14ac:dyDescent="0.3">
      <c r="F91201" s="193"/>
    </row>
    <row r="91202" spans="6:6" x14ac:dyDescent="0.3">
      <c r="F91202" s="193"/>
    </row>
    <row r="91203" spans="6:6" x14ac:dyDescent="0.3">
      <c r="F91203" s="193"/>
    </row>
    <row r="91204" spans="6:6" x14ac:dyDescent="0.3">
      <c r="F91204" s="193"/>
    </row>
    <row r="91205" spans="6:6" x14ac:dyDescent="0.3">
      <c r="F91205" s="193"/>
    </row>
    <row r="91206" spans="6:6" x14ac:dyDescent="0.3">
      <c r="F91206" s="193"/>
    </row>
    <row r="91207" spans="6:6" x14ac:dyDescent="0.3">
      <c r="F91207" s="193"/>
    </row>
    <row r="91208" spans="6:6" x14ac:dyDescent="0.3">
      <c r="F91208" s="193"/>
    </row>
    <row r="91209" spans="6:6" x14ac:dyDescent="0.3">
      <c r="F91209" s="193"/>
    </row>
    <row r="91210" spans="6:6" x14ac:dyDescent="0.3">
      <c r="F91210" s="193"/>
    </row>
    <row r="91211" spans="6:6" x14ac:dyDescent="0.3">
      <c r="F91211" s="193"/>
    </row>
    <row r="91212" spans="6:6" x14ac:dyDescent="0.3">
      <c r="F91212" s="193"/>
    </row>
    <row r="91213" spans="6:6" x14ac:dyDescent="0.3">
      <c r="F91213" s="193"/>
    </row>
    <row r="91214" spans="6:6" x14ac:dyDescent="0.3">
      <c r="F91214" s="193"/>
    </row>
    <row r="91215" spans="6:6" x14ac:dyDescent="0.3">
      <c r="F91215" s="193"/>
    </row>
    <row r="91216" spans="6:6" x14ac:dyDescent="0.3">
      <c r="F91216" s="193"/>
    </row>
    <row r="91217" spans="6:6" x14ac:dyDescent="0.3">
      <c r="F91217" s="193"/>
    </row>
    <row r="91218" spans="6:6" x14ac:dyDescent="0.3">
      <c r="F91218" s="193"/>
    </row>
    <row r="91219" spans="6:6" x14ac:dyDescent="0.3">
      <c r="F91219" s="193"/>
    </row>
    <row r="91220" spans="6:6" x14ac:dyDescent="0.3">
      <c r="F91220" s="193"/>
    </row>
    <row r="91221" spans="6:6" x14ac:dyDescent="0.3">
      <c r="F91221" s="193"/>
    </row>
    <row r="91222" spans="6:6" x14ac:dyDescent="0.3">
      <c r="F91222" s="193"/>
    </row>
    <row r="91223" spans="6:6" x14ac:dyDescent="0.3">
      <c r="F91223" s="193"/>
    </row>
    <row r="91224" spans="6:6" x14ac:dyDescent="0.3">
      <c r="F91224" s="193"/>
    </row>
    <row r="91225" spans="6:6" x14ac:dyDescent="0.3">
      <c r="F91225" s="193"/>
    </row>
    <row r="91226" spans="6:6" x14ac:dyDescent="0.3">
      <c r="F91226" s="193"/>
    </row>
    <row r="91227" spans="6:6" x14ac:dyDescent="0.3">
      <c r="F91227" s="193"/>
    </row>
    <row r="91228" spans="6:6" x14ac:dyDescent="0.3">
      <c r="F91228" s="193"/>
    </row>
    <row r="91229" spans="6:6" x14ac:dyDescent="0.3">
      <c r="F91229" s="193"/>
    </row>
    <row r="91230" spans="6:6" x14ac:dyDescent="0.3">
      <c r="F91230" s="193"/>
    </row>
    <row r="91231" spans="6:6" x14ac:dyDescent="0.3">
      <c r="F91231" s="193"/>
    </row>
    <row r="91232" spans="6:6" x14ac:dyDescent="0.3">
      <c r="F91232" s="193"/>
    </row>
    <row r="91233" spans="6:6" x14ac:dyDescent="0.3">
      <c r="F91233" s="193"/>
    </row>
    <row r="91234" spans="6:6" x14ac:dyDescent="0.3">
      <c r="F91234" s="193"/>
    </row>
    <row r="91235" spans="6:6" x14ac:dyDescent="0.3">
      <c r="F91235" s="193"/>
    </row>
    <row r="91236" spans="6:6" x14ac:dyDescent="0.3">
      <c r="F91236" s="193"/>
    </row>
    <row r="91237" spans="6:6" x14ac:dyDescent="0.3">
      <c r="F91237" s="193"/>
    </row>
    <row r="91238" spans="6:6" x14ac:dyDescent="0.3">
      <c r="F91238" s="193"/>
    </row>
    <row r="91239" spans="6:6" x14ac:dyDescent="0.3">
      <c r="F91239" s="193"/>
    </row>
    <row r="91240" spans="6:6" x14ac:dyDescent="0.3">
      <c r="F91240" s="193"/>
    </row>
    <row r="91241" spans="6:6" x14ac:dyDescent="0.3">
      <c r="F91241" s="193"/>
    </row>
    <row r="91242" spans="6:6" x14ac:dyDescent="0.3">
      <c r="F91242" s="193"/>
    </row>
    <row r="91243" spans="6:6" x14ac:dyDescent="0.3">
      <c r="F91243" s="193"/>
    </row>
    <row r="91244" spans="6:6" x14ac:dyDescent="0.3">
      <c r="F91244" s="193"/>
    </row>
    <row r="91245" spans="6:6" x14ac:dyDescent="0.3">
      <c r="F91245" s="193"/>
    </row>
    <row r="91246" spans="6:6" x14ac:dyDescent="0.3">
      <c r="F91246" s="193"/>
    </row>
    <row r="91247" spans="6:6" x14ac:dyDescent="0.3">
      <c r="F91247" s="193"/>
    </row>
    <row r="91248" spans="6:6" x14ac:dyDescent="0.3">
      <c r="F91248" s="193"/>
    </row>
    <row r="91249" spans="6:6" x14ac:dyDescent="0.3">
      <c r="F91249" s="193"/>
    </row>
    <row r="91250" spans="6:6" x14ac:dyDescent="0.3">
      <c r="F91250" s="193"/>
    </row>
    <row r="91251" spans="6:6" x14ac:dyDescent="0.3">
      <c r="F91251" s="193"/>
    </row>
    <row r="91252" spans="6:6" x14ac:dyDescent="0.3">
      <c r="F91252" s="193"/>
    </row>
    <row r="91253" spans="6:6" x14ac:dyDescent="0.3">
      <c r="F91253" s="193"/>
    </row>
    <row r="91254" spans="6:6" x14ac:dyDescent="0.3">
      <c r="F91254" s="193"/>
    </row>
    <row r="91255" spans="6:6" x14ac:dyDescent="0.3">
      <c r="F91255" s="193"/>
    </row>
    <row r="91256" spans="6:6" x14ac:dyDescent="0.3">
      <c r="F91256" s="193"/>
    </row>
    <row r="91257" spans="6:6" x14ac:dyDescent="0.3">
      <c r="F91257" s="193"/>
    </row>
    <row r="91258" spans="6:6" x14ac:dyDescent="0.3">
      <c r="F91258" s="193"/>
    </row>
    <row r="91259" spans="6:6" x14ac:dyDescent="0.3">
      <c r="F91259" s="193"/>
    </row>
    <row r="91260" spans="6:6" x14ac:dyDescent="0.3">
      <c r="F91260" s="193"/>
    </row>
    <row r="91261" spans="6:6" x14ac:dyDescent="0.3">
      <c r="F91261" s="193"/>
    </row>
    <row r="91262" spans="6:6" x14ac:dyDescent="0.3">
      <c r="F91262" s="193"/>
    </row>
    <row r="91263" spans="6:6" x14ac:dyDescent="0.3">
      <c r="F91263" s="193"/>
    </row>
    <row r="91264" spans="6:6" x14ac:dyDescent="0.3">
      <c r="F91264" s="193"/>
    </row>
    <row r="91265" spans="6:6" x14ac:dyDescent="0.3">
      <c r="F91265" s="193"/>
    </row>
    <row r="91266" spans="6:6" x14ac:dyDescent="0.3">
      <c r="F91266" s="193"/>
    </row>
    <row r="91267" spans="6:6" x14ac:dyDescent="0.3">
      <c r="F91267" s="193"/>
    </row>
    <row r="91268" spans="6:6" x14ac:dyDescent="0.3">
      <c r="F91268" s="193"/>
    </row>
    <row r="91269" spans="6:6" x14ac:dyDescent="0.3">
      <c r="F91269" s="193"/>
    </row>
    <row r="91270" spans="6:6" x14ac:dyDescent="0.3">
      <c r="F91270" s="193"/>
    </row>
    <row r="91271" spans="6:6" x14ac:dyDescent="0.3">
      <c r="F91271" s="193"/>
    </row>
    <row r="91272" spans="6:6" x14ac:dyDescent="0.3">
      <c r="F91272" s="193"/>
    </row>
    <row r="91273" spans="6:6" x14ac:dyDescent="0.3">
      <c r="F91273" s="193"/>
    </row>
    <row r="91274" spans="6:6" x14ac:dyDescent="0.3">
      <c r="F91274" s="193"/>
    </row>
    <row r="91275" spans="6:6" x14ac:dyDescent="0.3">
      <c r="F91275" s="193"/>
    </row>
    <row r="91276" spans="6:6" x14ac:dyDescent="0.3">
      <c r="F91276" s="193"/>
    </row>
    <row r="91277" spans="6:6" x14ac:dyDescent="0.3">
      <c r="F91277" s="193"/>
    </row>
    <row r="91278" spans="6:6" x14ac:dyDescent="0.3">
      <c r="F91278" s="193"/>
    </row>
    <row r="91279" spans="6:6" x14ac:dyDescent="0.3">
      <c r="F91279" s="193"/>
    </row>
    <row r="91280" spans="6:6" x14ac:dyDescent="0.3">
      <c r="F91280" s="193"/>
    </row>
    <row r="91281" spans="6:6" x14ac:dyDescent="0.3">
      <c r="F91281" s="193"/>
    </row>
    <row r="91282" spans="6:6" x14ac:dyDescent="0.3">
      <c r="F91282" s="193"/>
    </row>
    <row r="91283" spans="6:6" x14ac:dyDescent="0.3">
      <c r="F91283" s="193"/>
    </row>
    <row r="91284" spans="6:6" x14ac:dyDescent="0.3">
      <c r="F91284" s="193"/>
    </row>
    <row r="91285" spans="6:6" x14ac:dyDescent="0.3">
      <c r="F91285" s="193"/>
    </row>
    <row r="91286" spans="6:6" x14ac:dyDescent="0.3">
      <c r="F91286" s="193"/>
    </row>
    <row r="91287" spans="6:6" x14ac:dyDescent="0.3">
      <c r="F91287" s="193"/>
    </row>
    <row r="91288" spans="6:6" x14ac:dyDescent="0.3">
      <c r="F91288" s="193"/>
    </row>
    <row r="91289" spans="6:6" x14ac:dyDescent="0.3">
      <c r="F91289" s="193"/>
    </row>
    <row r="91290" spans="6:6" x14ac:dyDescent="0.3">
      <c r="F91290" s="193"/>
    </row>
    <row r="91291" spans="6:6" x14ac:dyDescent="0.3">
      <c r="F91291" s="193"/>
    </row>
    <row r="91292" spans="6:6" x14ac:dyDescent="0.3">
      <c r="F91292" s="193"/>
    </row>
    <row r="91293" spans="6:6" x14ac:dyDescent="0.3">
      <c r="F91293" s="193"/>
    </row>
    <row r="91294" spans="6:6" x14ac:dyDescent="0.3">
      <c r="F91294" s="193"/>
    </row>
    <row r="91295" spans="6:6" x14ac:dyDescent="0.3">
      <c r="F91295" s="193"/>
    </row>
    <row r="91296" spans="6:6" x14ac:dyDescent="0.3">
      <c r="F91296" s="193"/>
    </row>
    <row r="91297" spans="6:6" x14ac:dyDescent="0.3">
      <c r="F91297" s="193"/>
    </row>
    <row r="91298" spans="6:6" x14ac:dyDescent="0.3">
      <c r="F91298" s="193"/>
    </row>
    <row r="91299" spans="6:6" x14ac:dyDescent="0.3">
      <c r="F91299" s="193"/>
    </row>
    <row r="91300" spans="6:6" x14ac:dyDescent="0.3">
      <c r="F91300" s="193"/>
    </row>
    <row r="91301" spans="6:6" x14ac:dyDescent="0.3">
      <c r="F91301" s="193"/>
    </row>
    <row r="91302" spans="6:6" x14ac:dyDescent="0.3">
      <c r="F91302" s="193"/>
    </row>
    <row r="91303" spans="6:6" x14ac:dyDescent="0.3">
      <c r="F91303" s="193"/>
    </row>
    <row r="91304" spans="6:6" x14ac:dyDescent="0.3">
      <c r="F91304" s="193"/>
    </row>
    <row r="91305" spans="6:6" x14ac:dyDescent="0.3">
      <c r="F91305" s="193"/>
    </row>
    <row r="91306" spans="6:6" x14ac:dyDescent="0.3">
      <c r="F91306" s="193"/>
    </row>
    <row r="91307" spans="6:6" x14ac:dyDescent="0.3">
      <c r="F91307" s="193"/>
    </row>
    <row r="91308" spans="6:6" x14ac:dyDescent="0.3">
      <c r="F91308" s="193"/>
    </row>
    <row r="91309" spans="6:6" x14ac:dyDescent="0.3">
      <c r="F91309" s="193"/>
    </row>
    <row r="91310" spans="6:6" x14ac:dyDescent="0.3">
      <c r="F91310" s="193"/>
    </row>
    <row r="91311" spans="6:6" x14ac:dyDescent="0.3">
      <c r="F91311" s="193"/>
    </row>
    <row r="91312" spans="6:6" x14ac:dyDescent="0.3">
      <c r="F91312" s="193"/>
    </row>
    <row r="91313" spans="6:6" x14ac:dyDescent="0.3">
      <c r="F91313" s="193"/>
    </row>
    <row r="91314" spans="6:6" x14ac:dyDescent="0.3">
      <c r="F91314" s="193"/>
    </row>
    <row r="91315" spans="6:6" x14ac:dyDescent="0.3">
      <c r="F91315" s="193"/>
    </row>
    <row r="91316" spans="6:6" x14ac:dyDescent="0.3">
      <c r="F91316" s="193"/>
    </row>
    <row r="91317" spans="6:6" x14ac:dyDescent="0.3">
      <c r="F91317" s="193"/>
    </row>
    <row r="91318" spans="6:6" x14ac:dyDescent="0.3">
      <c r="F91318" s="193"/>
    </row>
    <row r="91319" spans="6:6" x14ac:dyDescent="0.3">
      <c r="F91319" s="193"/>
    </row>
    <row r="91320" spans="6:6" x14ac:dyDescent="0.3">
      <c r="F91320" s="193"/>
    </row>
    <row r="91321" spans="6:6" x14ac:dyDescent="0.3">
      <c r="F91321" s="193"/>
    </row>
    <row r="91322" spans="6:6" x14ac:dyDescent="0.3">
      <c r="F91322" s="193"/>
    </row>
    <row r="91323" spans="6:6" x14ac:dyDescent="0.3">
      <c r="F91323" s="193"/>
    </row>
    <row r="91324" spans="6:6" x14ac:dyDescent="0.3">
      <c r="F91324" s="193"/>
    </row>
    <row r="91325" spans="6:6" x14ac:dyDescent="0.3">
      <c r="F91325" s="193"/>
    </row>
    <row r="91326" spans="6:6" x14ac:dyDescent="0.3">
      <c r="F91326" s="193"/>
    </row>
    <row r="91327" spans="6:6" x14ac:dyDescent="0.3">
      <c r="F91327" s="193"/>
    </row>
    <row r="91328" spans="6:6" x14ac:dyDescent="0.3">
      <c r="F91328" s="193"/>
    </row>
    <row r="91329" spans="6:6" x14ac:dyDescent="0.3">
      <c r="F91329" s="193"/>
    </row>
    <row r="91330" spans="6:6" x14ac:dyDescent="0.3">
      <c r="F91330" s="193"/>
    </row>
    <row r="91331" spans="6:6" x14ac:dyDescent="0.3">
      <c r="F91331" s="193"/>
    </row>
    <row r="91332" spans="6:6" x14ac:dyDescent="0.3">
      <c r="F91332" s="193"/>
    </row>
    <row r="91333" spans="6:6" x14ac:dyDescent="0.3">
      <c r="F91333" s="193"/>
    </row>
    <row r="91334" spans="6:6" x14ac:dyDescent="0.3">
      <c r="F91334" s="193"/>
    </row>
    <row r="91335" spans="6:6" x14ac:dyDescent="0.3">
      <c r="F91335" s="193"/>
    </row>
    <row r="91336" spans="6:6" x14ac:dyDescent="0.3">
      <c r="F91336" s="193"/>
    </row>
    <row r="91337" spans="6:6" x14ac:dyDescent="0.3">
      <c r="F91337" s="193"/>
    </row>
    <row r="91338" spans="6:6" x14ac:dyDescent="0.3">
      <c r="F91338" s="193"/>
    </row>
    <row r="91339" spans="6:6" x14ac:dyDescent="0.3">
      <c r="F91339" s="193"/>
    </row>
    <row r="91340" spans="6:6" x14ac:dyDescent="0.3">
      <c r="F91340" s="193"/>
    </row>
    <row r="91341" spans="6:6" x14ac:dyDescent="0.3">
      <c r="F91341" s="193"/>
    </row>
    <row r="91342" spans="6:6" x14ac:dyDescent="0.3">
      <c r="F91342" s="193"/>
    </row>
    <row r="91343" spans="6:6" x14ac:dyDescent="0.3">
      <c r="F91343" s="193"/>
    </row>
    <row r="91344" spans="6:6" x14ac:dyDescent="0.3">
      <c r="F91344" s="193"/>
    </row>
    <row r="91345" spans="6:6" x14ac:dyDescent="0.3">
      <c r="F91345" s="193"/>
    </row>
    <row r="91346" spans="6:6" x14ac:dyDescent="0.3">
      <c r="F91346" s="193"/>
    </row>
    <row r="91347" spans="6:6" x14ac:dyDescent="0.3">
      <c r="F91347" s="193"/>
    </row>
    <row r="91348" spans="6:6" x14ac:dyDescent="0.3">
      <c r="F91348" s="193"/>
    </row>
    <row r="91349" spans="6:6" x14ac:dyDescent="0.3">
      <c r="F91349" s="193"/>
    </row>
    <row r="91350" spans="6:6" x14ac:dyDescent="0.3">
      <c r="F91350" s="193"/>
    </row>
    <row r="91351" spans="6:6" x14ac:dyDescent="0.3">
      <c r="F91351" s="193"/>
    </row>
    <row r="91352" spans="6:6" x14ac:dyDescent="0.3">
      <c r="F91352" s="193"/>
    </row>
    <row r="91353" spans="6:6" x14ac:dyDescent="0.3">
      <c r="F91353" s="193"/>
    </row>
    <row r="91354" spans="6:6" x14ac:dyDescent="0.3">
      <c r="F91354" s="193"/>
    </row>
    <row r="91355" spans="6:6" x14ac:dyDescent="0.3">
      <c r="F91355" s="193"/>
    </row>
    <row r="91356" spans="6:6" x14ac:dyDescent="0.3">
      <c r="F91356" s="193"/>
    </row>
    <row r="91357" spans="6:6" x14ac:dyDescent="0.3">
      <c r="F91357" s="193"/>
    </row>
    <row r="91358" spans="6:6" x14ac:dyDescent="0.3">
      <c r="F91358" s="193"/>
    </row>
    <row r="91359" spans="6:6" x14ac:dyDescent="0.3">
      <c r="F91359" s="193"/>
    </row>
    <row r="91360" spans="6:6" x14ac:dyDescent="0.3">
      <c r="F91360" s="193"/>
    </row>
    <row r="91361" spans="6:6" x14ac:dyDescent="0.3">
      <c r="F91361" s="193"/>
    </row>
    <row r="91362" spans="6:6" x14ac:dyDescent="0.3">
      <c r="F91362" s="193"/>
    </row>
    <row r="91363" spans="6:6" x14ac:dyDescent="0.3">
      <c r="F91363" s="193"/>
    </row>
    <row r="91364" spans="6:6" x14ac:dyDescent="0.3">
      <c r="F91364" s="193"/>
    </row>
    <row r="91365" spans="6:6" x14ac:dyDescent="0.3">
      <c r="F91365" s="193"/>
    </row>
    <row r="91366" spans="6:6" x14ac:dyDescent="0.3">
      <c r="F91366" s="193"/>
    </row>
    <row r="91367" spans="6:6" x14ac:dyDescent="0.3">
      <c r="F91367" s="193"/>
    </row>
    <row r="91368" spans="6:6" x14ac:dyDescent="0.3">
      <c r="F91368" s="193"/>
    </row>
    <row r="91369" spans="6:6" x14ac:dyDescent="0.3">
      <c r="F91369" s="193"/>
    </row>
    <row r="91370" spans="6:6" x14ac:dyDescent="0.3">
      <c r="F91370" s="193"/>
    </row>
    <row r="91371" spans="6:6" x14ac:dyDescent="0.3">
      <c r="F91371" s="193"/>
    </row>
    <row r="91372" spans="6:6" x14ac:dyDescent="0.3">
      <c r="F91372" s="193"/>
    </row>
    <row r="91373" spans="6:6" x14ac:dyDescent="0.3">
      <c r="F91373" s="193"/>
    </row>
    <row r="91374" spans="6:6" x14ac:dyDescent="0.3">
      <c r="F91374" s="193"/>
    </row>
    <row r="91375" spans="6:6" x14ac:dyDescent="0.3">
      <c r="F91375" s="193"/>
    </row>
    <row r="91376" spans="6:6" x14ac:dyDescent="0.3">
      <c r="F91376" s="193"/>
    </row>
    <row r="91377" spans="6:6" x14ac:dyDescent="0.3">
      <c r="F91377" s="193"/>
    </row>
    <row r="91378" spans="6:6" x14ac:dyDescent="0.3">
      <c r="F91378" s="193"/>
    </row>
    <row r="91379" spans="6:6" x14ac:dyDescent="0.3">
      <c r="F91379" s="193"/>
    </row>
    <row r="91380" spans="6:6" x14ac:dyDescent="0.3">
      <c r="F91380" s="193"/>
    </row>
    <row r="91381" spans="6:6" x14ac:dyDescent="0.3">
      <c r="F91381" s="193"/>
    </row>
    <row r="91382" spans="6:6" x14ac:dyDescent="0.3">
      <c r="F91382" s="193"/>
    </row>
    <row r="91383" spans="6:6" x14ac:dyDescent="0.3">
      <c r="F91383" s="193"/>
    </row>
    <row r="91384" spans="6:6" x14ac:dyDescent="0.3">
      <c r="F91384" s="193"/>
    </row>
    <row r="91385" spans="6:6" x14ac:dyDescent="0.3">
      <c r="F91385" s="193"/>
    </row>
    <row r="91386" spans="6:6" x14ac:dyDescent="0.3">
      <c r="F91386" s="193"/>
    </row>
    <row r="91387" spans="6:6" x14ac:dyDescent="0.3">
      <c r="F91387" s="193"/>
    </row>
    <row r="91388" spans="6:6" x14ac:dyDescent="0.3">
      <c r="F91388" s="193"/>
    </row>
    <row r="91389" spans="6:6" x14ac:dyDescent="0.3">
      <c r="F91389" s="193"/>
    </row>
    <row r="91390" spans="6:6" x14ac:dyDescent="0.3">
      <c r="F91390" s="193"/>
    </row>
    <row r="91391" spans="6:6" x14ac:dyDescent="0.3">
      <c r="F91391" s="193"/>
    </row>
    <row r="91392" spans="6:6" x14ac:dyDescent="0.3">
      <c r="F91392" s="193"/>
    </row>
    <row r="91393" spans="6:6" x14ac:dyDescent="0.3">
      <c r="F91393" s="193"/>
    </row>
    <row r="91394" spans="6:6" x14ac:dyDescent="0.3">
      <c r="F91394" s="193"/>
    </row>
    <row r="91395" spans="6:6" x14ac:dyDescent="0.3">
      <c r="F91395" s="193"/>
    </row>
    <row r="91396" spans="6:6" x14ac:dyDescent="0.3">
      <c r="F91396" s="193"/>
    </row>
    <row r="91397" spans="6:6" x14ac:dyDescent="0.3">
      <c r="F91397" s="193"/>
    </row>
    <row r="91398" spans="6:6" x14ac:dyDescent="0.3">
      <c r="F91398" s="193"/>
    </row>
    <row r="91399" spans="6:6" x14ac:dyDescent="0.3">
      <c r="F91399" s="193"/>
    </row>
    <row r="91400" spans="6:6" x14ac:dyDescent="0.3">
      <c r="F91400" s="193"/>
    </row>
    <row r="91401" spans="6:6" x14ac:dyDescent="0.3">
      <c r="F91401" s="193"/>
    </row>
    <row r="91402" spans="6:6" x14ac:dyDescent="0.3">
      <c r="F91402" s="193"/>
    </row>
    <row r="91403" spans="6:6" x14ac:dyDescent="0.3">
      <c r="F91403" s="193"/>
    </row>
    <row r="91404" spans="6:6" x14ac:dyDescent="0.3">
      <c r="F91404" s="193"/>
    </row>
    <row r="91405" spans="6:6" x14ac:dyDescent="0.3">
      <c r="F91405" s="193"/>
    </row>
    <row r="91406" spans="6:6" x14ac:dyDescent="0.3">
      <c r="F91406" s="193"/>
    </row>
    <row r="91407" spans="6:6" x14ac:dyDescent="0.3">
      <c r="F91407" s="193"/>
    </row>
    <row r="91408" spans="6:6" x14ac:dyDescent="0.3">
      <c r="F91408" s="193"/>
    </row>
    <row r="91409" spans="6:6" x14ac:dyDescent="0.3">
      <c r="F91409" s="193"/>
    </row>
    <row r="91410" spans="6:6" x14ac:dyDescent="0.3">
      <c r="F91410" s="193"/>
    </row>
    <row r="91411" spans="6:6" x14ac:dyDescent="0.3">
      <c r="F91411" s="193"/>
    </row>
    <row r="91412" spans="6:6" x14ac:dyDescent="0.3">
      <c r="F91412" s="193"/>
    </row>
    <row r="91413" spans="6:6" x14ac:dyDescent="0.3">
      <c r="F91413" s="193"/>
    </row>
    <row r="91414" spans="6:6" x14ac:dyDescent="0.3">
      <c r="F91414" s="193"/>
    </row>
    <row r="91415" spans="6:6" x14ac:dyDescent="0.3">
      <c r="F91415" s="193"/>
    </row>
    <row r="91416" spans="6:6" x14ac:dyDescent="0.3">
      <c r="F91416" s="193"/>
    </row>
    <row r="91417" spans="6:6" x14ac:dyDescent="0.3">
      <c r="F91417" s="193"/>
    </row>
    <row r="91418" spans="6:6" x14ac:dyDescent="0.3">
      <c r="F91418" s="193"/>
    </row>
    <row r="91419" spans="6:6" x14ac:dyDescent="0.3">
      <c r="F91419" s="193"/>
    </row>
    <row r="91420" spans="6:6" x14ac:dyDescent="0.3">
      <c r="F91420" s="193"/>
    </row>
    <row r="91421" spans="6:6" x14ac:dyDescent="0.3">
      <c r="F91421" s="193"/>
    </row>
    <row r="91422" spans="6:6" x14ac:dyDescent="0.3">
      <c r="F91422" s="193"/>
    </row>
    <row r="91423" spans="6:6" x14ac:dyDescent="0.3">
      <c r="F91423" s="193"/>
    </row>
    <row r="91424" spans="6:6" x14ac:dyDescent="0.3">
      <c r="F91424" s="193"/>
    </row>
    <row r="91425" spans="6:6" x14ac:dyDescent="0.3">
      <c r="F91425" s="193"/>
    </row>
    <row r="91426" spans="6:6" x14ac:dyDescent="0.3">
      <c r="F91426" s="193"/>
    </row>
    <row r="91427" spans="6:6" x14ac:dyDescent="0.3">
      <c r="F91427" s="193"/>
    </row>
    <row r="91428" spans="6:6" x14ac:dyDescent="0.3">
      <c r="F91428" s="193"/>
    </row>
    <row r="91429" spans="6:6" x14ac:dyDescent="0.3">
      <c r="F91429" s="193"/>
    </row>
    <row r="91430" spans="6:6" x14ac:dyDescent="0.3">
      <c r="F91430" s="193"/>
    </row>
    <row r="91431" spans="6:6" x14ac:dyDescent="0.3">
      <c r="F91431" s="193"/>
    </row>
    <row r="91432" spans="6:6" x14ac:dyDescent="0.3">
      <c r="F91432" s="193"/>
    </row>
    <row r="91433" spans="6:6" x14ac:dyDescent="0.3">
      <c r="F91433" s="193"/>
    </row>
    <row r="91434" spans="6:6" x14ac:dyDescent="0.3">
      <c r="F91434" s="193"/>
    </row>
    <row r="91435" spans="6:6" x14ac:dyDescent="0.3">
      <c r="F91435" s="193"/>
    </row>
    <row r="91436" spans="6:6" x14ac:dyDescent="0.3">
      <c r="F91436" s="193"/>
    </row>
    <row r="91437" spans="6:6" x14ac:dyDescent="0.3">
      <c r="F91437" s="193"/>
    </row>
    <row r="91438" spans="6:6" x14ac:dyDescent="0.3">
      <c r="F91438" s="193"/>
    </row>
    <row r="91439" spans="6:6" x14ac:dyDescent="0.3">
      <c r="F91439" s="193"/>
    </row>
    <row r="91440" spans="6:6" x14ac:dyDescent="0.3">
      <c r="F91440" s="193"/>
    </row>
    <row r="91441" spans="6:6" x14ac:dyDescent="0.3">
      <c r="F91441" s="193"/>
    </row>
    <row r="91442" spans="6:6" x14ac:dyDescent="0.3">
      <c r="F91442" s="193"/>
    </row>
    <row r="91443" spans="6:6" x14ac:dyDescent="0.3">
      <c r="F91443" s="193"/>
    </row>
    <row r="91444" spans="6:6" x14ac:dyDescent="0.3">
      <c r="F91444" s="193"/>
    </row>
    <row r="91445" spans="6:6" x14ac:dyDescent="0.3">
      <c r="F91445" s="193"/>
    </row>
    <row r="91446" spans="6:6" x14ac:dyDescent="0.3">
      <c r="F91446" s="193"/>
    </row>
    <row r="91447" spans="6:6" x14ac:dyDescent="0.3">
      <c r="F91447" s="193"/>
    </row>
    <row r="91448" spans="6:6" x14ac:dyDescent="0.3">
      <c r="F91448" s="193"/>
    </row>
    <row r="91449" spans="6:6" x14ac:dyDescent="0.3">
      <c r="F91449" s="193"/>
    </row>
    <row r="91450" spans="6:6" x14ac:dyDescent="0.3">
      <c r="F91450" s="193"/>
    </row>
    <row r="91451" spans="6:6" x14ac:dyDescent="0.3">
      <c r="F91451" s="193"/>
    </row>
    <row r="91452" spans="6:6" x14ac:dyDescent="0.3">
      <c r="F91452" s="193"/>
    </row>
    <row r="91453" spans="6:6" x14ac:dyDescent="0.3">
      <c r="F91453" s="193"/>
    </row>
    <row r="91454" spans="6:6" x14ac:dyDescent="0.3">
      <c r="F91454" s="193"/>
    </row>
    <row r="91455" spans="6:6" x14ac:dyDescent="0.3">
      <c r="F91455" s="193"/>
    </row>
    <row r="91456" spans="6:6" x14ac:dyDescent="0.3">
      <c r="F91456" s="193"/>
    </row>
    <row r="91457" spans="6:6" x14ac:dyDescent="0.3">
      <c r="F91457" s="193"/>
    </row>
    <row r="91458" spans="6:6" x14ac:dyDescent="0.3">
      <c r="F91458" s="193"/>
    </row>
    <row r="91459" spans="6:6" x14ac:dyDescent="0.3">
      <c r="F91459" s="193"/>
    </row>
    <row r="91460" spans="6:6" x14ac:dyDescent="0.3">
      <c r="F91460" s="193"/>
    </row>
    <row r="91461" spans="6:6" x14ac:dyDescent="0.3">
      <c r="F91461" s="193"/>
    </row>
    <row r="91462" spans="6:6" x14ac:dyDescent="0.3">
      <c r="F91462" s="193"/>
    </row>
    <row r="91463" spans="6:6" x14ac:dyDescent="0.3">
      <c r="F91463" s="193"/>
    </row>
    <row r="91464" spans="6:6" x14ac:dyDescent="0.3">
      <c r="F91464" s="193"/>
    </row>
    <row r="91465" spans="6:6" x14ac:dyDescent="0.3">
      <c r="F91465" s="193"/>
    </row>
    <row r="91466" spans="6:6" x14ac:dyDescent="0.3">
      <c r="F91466" s="193"/>
    </row>
    <row r="91467" spans="6:6" x14ac:dyDescent="0.3">
      <c r="F91467" s="193"/>
    </row>
    <row r="91468" spans="6:6" x14ac:dyDescent="0.3">
      <c r="F91468" s="193"/>
    </row>
    <row r="91469" spans="6:6" x14ac:dyDescent="0.3">
      <c r="F91469" s="193"/>
    </row>
    <row r="91470" spans="6:6" x14ac:dyDescent="0.3">
      <c r="F91470" s="193"/>
    </row>
    <row r="91471" spans="6:6" x14ac:dyDescent="0.3">
      <c r="F91471" s="193"/>
    </row>
    <row r="91472" spans="6:6" x14ac:dyDescent="0.3">
      <c r="F91472" s="193"/>
    </row>
    <row r="91473" spans="6:6" x14ac:dyDescent="0.3">
      <c r="F91473" s="193"/>
    </row>
    <row r="91474" spans="6:6" x14ac:dyDescent="0.3">
      <c r="F91474" s="193"/>
    </row>
    <row r="91475" spans="6:6" x14ac:dyDescent="0.3">
      <c r="F91475" s="193"/>
    </row>
    <row r="91476" spans="6:6" x14ac:dyDescent="0.3">
      <c r="F91476" s="193"/>
    </row>
    <row r="91477" spans="6:6" x14ac:dyDescent="0.3">
      <c r="F91477" s="193"/>
    </row>
    <row r="91478" spans="6:6" x14ac:dyDescent="0.3">
      <c r="F91478" s="193"/>
    </row>
    <row r="91479" spans="6:6" x14ac:dyDescent="0.3">
      <c r="F91479" s="193"/>
    </row>
    <row r="91480" spans="6:6" x14ac:dyDescent="0.3">
      <c r="F91480" s="193"/>
    </row>
    <row r="91481" spans="6:6" x14ac:dyDescent="0.3">
      <c r="F91481" s="193"/>
    </row>
    <row r="91482" spans="6:6" x14ac:dyDescent="0.3">
      <c r="F91482" s="193"/>
    </row>
    <row r="91483" spans="6:6" x14ac:dyDescent="0.3">
      <c r="F91483" s="193"/>
    </row>
    <row r="91484" spans="6:6" x14ac:dyDescent="0.3">
      <c r="F91484" s="193"/>
    </row>
    <row r="91485" spans="6:6" x14ac:dyDescent="0.3">
      <c r="F91485" s="193"/>
    </row>
    <row r="91486" spans="6:6" x14ac:dyDescent="0.3">
      <c r="F91486" s="193"/>
    </row>
    <row r="91487" spans="6:6" x14ac:dyDescent="0.3">
      <c r="F91487" s="193"/>
    </row>
    <row r="91488" spans="6:6" x14ac:dyDescent="0.3">
      <c r="F91488" s="193"/>
    </row>
    <row r="91489" spans="6:6" x14ac:dyDescent="0.3">
      <c r="F91489" s="193"/>
    </row>
    <row r="91490" spans="6:6" x14ac:dyDescent="0.3">
      <c r="F91490" s="193"/>
    </row>
    <row r="91491" spans="6:6" x14ac:dyDescent="0.3">
      <c r="F91491" s="193"/>
    </row>
    <row r="91492" spans="6:6" x14ac:dyDescent="0.3">
      <c r="F91492" s="193"/>
    </row>
    <row r="91493" spans="6:6" x14ac:dyDescent="0.3">
      <c r="F91493" s="193"/>
    </row>
    <row r="91494" spans="6:6" x14ac:dyDescent="0.3">
      <c r="F91494" s="193"/>
    </row>
    <row r="91495" spans="6:6" x14ac:dyDescent="0.3">
      <c r="F91495" s="193"/>
    </row>
    <row r="91496" spans="6:6" x14ac:dyDescent="0.3">
      <c r="F91496" s="193"/>
    </row>
    <row r="91497" spans="6:6" x14ac:dyDescent="0.3">
      <c r="F91497" s="193"/>
    </row>
    <row r="91498" spans="6:6" x14ac:dyDescent="0.3">
      <c r="F91498" s="193"/>
    </row>
    <row r="91499" spans="6:6" x14ac:dyDescent="0.3">
      <c r="F91499" s="193"/>
    </row>
    <row r="91500" spans="6:6" x14ac:dyDescent="0.3">
      <c r="F91500" s="193"/>
    </row>
    <row r="91501" spans="6:6" x14ac:dyDescent="0.3">
      <c r="F91501" s="193"/>
    </row>
    <row r="91502" spans="6:6" x14ac:dyDescent="0.3">
      <c r="F91502" s="193"/>
    </row>
    <row r="91503" spans="6:6" x14ac:dyDescent="0.3">
      <c r="F91503" s="193"/>
    </row>
    <row r="91504" spans="6:6" x14ac:dyDescent="0.3">
      <c r="F91504" s="193"/>
    </row>
    <row r="91505" spans="6:6" x14ac:dyDescent="0.3">
      <c r="F91505" s="193"/>
    </row>
    <row r="91506" spans="6:6" x14ac:dyDescent="0.3">
      <c r="F91506" s="193"/>
    </row>
    <row r="91507" spans="6:6" x14ac:dyDescent="0.3">
      <c r="F91507" s="193"/>
    </row>
    <row r="91508" spans="6:6" x14ac:dyDescent="0.3">
      <c r="F91508" s="193"/>
    </row>
    <row r="91509" spans="6:6" x14ac:dyDescent="0.3">
      <c r="F91509" s="193"/>
    </row>
    <row r="91510" spans="6:6" x14ac:dyDescent="0.3">
      <c r="F91510" s="193"/>
    </row>
    <row r="91511" spans="6:6" x14ac:dyDescent="0.3">
      <c r="F91511" s="193"/>
    </row>
    <row r="91512" spans="6:6" x14ac:dyDescent="0.3">
      <c r="F91512" s="193"/>
    </row>
    <row r="91513" spans="6:6" x14ac:dyDescent="0.3">
      <c r="F91513" s="193"/>
    </row>
    <row r="91514" spans="6:6" x14ac:dyDescent="0.3">
      <c r="F91514" s="193"/>
    </row>
    <row r="91515" spans="6:6" x14ac:dyDescent="0.3">
      <c r="F91515" s="193"/>
    </row>
    <row r="91516" spans="6:6" x14ac:dyDescent="0.3">
      <c r="F91516" s="193"/>
    </row>
    <row r="91517" spans="6:6" x14ac:dyDescent="0.3">
      <c r="F91517" s="193"/>
    </row>
    <row r="91518" spans="6:6" x14ac:dyDescent="0.3">
      <c r="F91518" s="193"/>
    </row>
    <row r="91519" spans="6:6" x14ac:dyDescent="0.3">
      <c r="F91519" s="193"/>
    </row>
    <row r="91520" spans="6:6" x14ac:dyDescent="0.3">
      <c r="F91520" s="193"/>
    </row>
    <row r="91521" spans="6:6" x14ac:dyDescent="0.3">
      <c r="F91521" s="193"/>
    </row>
    <row r="91522" spans="6:6" x14ac:dyDescent="0.3">
      <c r="F91522" s="193"/>
    </row>
    <row r="91523" spans="6:6" x14ac:dyDescent="0.3">
      <c r="F91523" s="193"/>
    </row>
    <row r="91524" spans="6:6" x14ac:dyDescent="0.3">
      <c r="F91524" s="193"/>
    </row>
    <row r="91525" spans="6:6" x14ac:dyDescent="0.3">
      <c r="F91525" s="193"/>
    </row>
    <row r="91526" spans="6:6" x14ac:dyDescent="0.3">
      <c r="F91526" s="193"/>
    </row>
    <row r="91527" spans="6:6" x14ac:dyDescent="0.3">
      <c r="F91527" s="193"/>
    </row>
    <row r="91528" spans="6:6" x14ac:dyDescent="0.3">
      <c r="F91528" s="193"/>
    </row>
    <row r="91529" spans="6:6" x14ac:dyDescent="0.3">
      <c r="F91529" s="193"/>
    </row>
    <row r="91530" spans="6:6" x14ac:dyDescent="0.3">
      <c r="F91530" s="193"/>
    </row>
    <row r="91531" spans="6:6" x14ac:dyDescent="0.3">
      <c r="F91531" s="193"/>
    </row>
    <row r="91532" spans="6:6" x14ac:dyDescent="0.3">
      <c r="F91532" s="193"/>
    </row>
    <row r="91533" spans="6:6" x14ac:dyDescent="0.3">
      <c r="F91533" s="193"/>
    </row>
    <row r="91534" spans="6:6" x14ac:dyDescent="0.3">
      <c r="F91534" s="193"/>
    </row>
    <row r="91535" spans="6:6" x14ac:dyDescent="0.3">
      <c r="F91535" s="193"/>
    </row>
    <row r="91536" spans="6:6" x14ac:dyDescent="0.3">
      <c r="F91536" s="193"/>
    </row>
    <row r="91537" spans="6:6" x14ac:dyDescent="0.3">
      <c r="F91537" s="193"/>
    </row>
    <row r="91538" spans="6:6" x14ac:dyDescent="0.3">
      <c r="F91538" s="193"/>
    </row>
    <row r="91539" spans="6:6" x14ac:dyDescent="0.3">
      <c r="F91539" s="193"/>
    </row>
    <row r="91540" spans="6:6" x14ac:dyDescent="0.3">
      <c r="F91540" s="193"/>
    </row>
    <row r="91541" spans="6:6" x14ac:dyDescent="0.3">
      <c r="F91541" s="193"/>
    </row>
    <row r="91542" spans="6:6" x14ac:dyDescent="0.3">
      <c r="F91542" s="193"/>
    </row>
    <row r="91543" spans="6:6" x14ac:dyDescent="0.3">
      <c r="F91543" s="193"/>
    </row>
    <row r="91544" spans="6:6" x14ac:dyDescent="0.3">
      <c r="F91544" s="193"/>
    </row>
    <row r="91545" spans="6:6" x14ac:dyDescent="0.3">
      <c r="F91545" s="193"/>
    </row>
    <row r="91546" spans="6:6" x14ac:dyDescent="0.3">
      <c r="F91546" s="193"/>
    </row>
    <row r="91547" spans="6:6" x14ac:dyDescent="0.3">
      <c r="F91547" s="193"/>
    </row>
    <row r="91548" spans="6:6" x14ac:dyDescent="0.3">
      <c r="F91548" s="193"/>
    </row>
    <row r="91549" spans="6:6" x14ac:dyDescent="0.3">
      <c r="F91549" s="193"/>
    </row>
    <row r="91550" spans="6:6" x14ac:dyDescent="0.3">
      <c r="F91550" s="193"/>
    </row>
    <row r="91551" spans="6:6" x14ac:dyDescent="0.3">
      <c r="F91551" s="193"/>
    </row>
    <row r="91552" spans="6:6" x14ac:dyDescent="0.3">
      <c r="F91552" s="193"/>
    </row>
    <row r="91553" spans="6:6" x14ac:dyDescent="0.3">
      <c r="F91553" s="193"/>
    </row>
    <row r="91554" spans="6:6" x14ac:dyDescent="0.3">
      <c r="F91554" s="193"/>
    </row>
    <row r="91555" spans="6:6" x14ac:dyDescent="0.3">
      <c r="F91555" s="193"/>
    </row>
    <row r="91556" spans="6:6" x14ac:dyDescent="0.3">
      <c r="F91556" s="193"/>
    </row>
    <row r="91557" spans="6:6" x14ac:dyDescent="0.3">
      <c r="F91557" s="193"/>
    </row>
    <row r="91558" spans="6:6" x14ac:dyDescent="0.3">
      <c r="F91558" s="193"/>
    </row>
    <row r="91559" spans="6:6" x14ac:dyDescent="0.3">
      <c r="F91559" s="193"/>
    </row>
    <row r="91560" spans="6:6" x14ac:dyDescent="0.3">
      <c r="F91560" s="193"/>
    </row>
    <row r="91561" spans="6:6" x14ac:dyDescent="0.3">
      <c r="F91561" s="193"/>
    </row>
    <row r="91562" spans="6:6" x14ac:dyDescent="0.3">
      <c r="F91562" s="193"/>
    </row>
    <row r="91563" spans="6:6" x14ac:dyDescent="0.3">
      <c r="F91563" s="193"/>
    </row>
    <row r="91564" spans="6:6" x14ac:dyDescent="0.3">
      <c r="F91564" s="193"/>
    </row>
    <row r="91565" spans="6:6" x14ac:dyDescent="0.3">
      <c r="F91565" s="193"/>
    </row>
    <row r="91566" spans="6:6" x14ac:dyDescent="0.3">
      <c r="F91566" s="193"/>
    </row>
    <row r="91567" spans="6:6" x14ac:dyDescent="0.3">
      <c r="F91567" s="193"/>
    </row>
    <row r="91568" spans="6:6" x14ac:dyDescent="0.3">
      <c r="F91568" s="193"/>
    </row>
    <row r="91569" spans="6:6" x14ac:dyDescent="0.3">
      <c r="F91569" s="193"/>
    </row>
    <row r="91570" spans="6:6" x14ac:dyDescent="0.3">
      <c r="F91570" s="193"/>
    </row>
    <row r="91571" spans="6:6" x14ac:dyDescent="0.3">
      <c r="F91571" s="193"/>
    </row>
    <row r="91572" spans="6:6" x14ac:dyDescent="0.3">
      <c r="F91572" s="193"/>
    </row>
    <row r="91573" spans="6:6" x14ac:dyDescent="0.3">
      <c r="F91573" s="193"/>
    </row>
    <row r="91574" spans="6:6" x14ac:dyDescent="0.3">
      <c r="F91574" s="193"/>
    </row>
    <row r="91575" spans="6:6" x14ac:dyDescent="0.3">
      <c r="F91575" s="193"/>
    </row>
    <row r="91576" spans="6:6" x14ac:dyDescent="0.3">
      <c r="F91576" s="193"/>
    </row>
    <row r="91577" spans="6:6" x14ac:dyDescent="0.3">
      <c r="F91577" s="193"/>
    </row>
    <row r="91578" spans="6:6" x14ac:dyDescent="0.3">
      <c r="F91578" s="193"/>
    </row>
    <row r="91579" spans="6:6" x14ac:dyDescent="0.3">
      <c r="F91579" s="193"/>
    </row>
    <row r="91580" spans="6:6" x14ac:dyDescent="0.3">
      <c r="F91580" s="193"/>
    </row>
    <row r="91581" spans="6:6" x14ac:dyDescent="0.3">
      <c r="F91581" s="193"/>
    </row>
    <row r="91582" spans="6:6" x14ac:dyDescent="0.3">
      <c r="F91582" s="193"/>
    </row>
    <row r="91583" spans="6:6" x14ac:dyDescent="0.3">
      <c r="F91583" s="193"/>
    </row>
    <row r="91584" spans="6:6" x14ac:dyDescent="0.3">
      <c r="F91584" s="193"/>
    </row>
    <row r="91585" spans="6:6" x14ac:dyDescent="0.3">
      <c r="F91585" s="193"/>
    </row>
    <row r="91586" spans="6:6" x14ac:dyDescent="0.3">
      <c r="F91586" s="193"/>
    </row>
    <row r="91587" spans="6:6" x14ac:dyDescent="0.3">
      <c r="F91587" s="193"/>
    </row>
    <row r="91588" spans="6:6" x14ac:dyDescent="0.3">
      <c r="F91588" s="193"/>
    </row>
    <row r="91589" spans="6:6" x14ac:dyDescent="0.3">
      <c r="F91589" s="193"/>
    </row>
    <row r="91590" spans="6:6" x14ac:dyDescent="0.3">
      <c r="F91590" s="193"/>
    </row>
    <row r="91591" spans="6:6" x14ac:dyDescent="0.3">
      <c r="F91591" s="193"/>
    </row>
    <row r="91592" spans="6:6" x14ac:dyDescent="0.3">
      <c r="F91592" s="193"/>
    </row>
    <row r="91593" spans="6:6" x14ac:dyDescent="0.3">
      <c r="F91593" s="193"/>
    </row>
    <row r="91594" spans="6:6" x14ac:dyDescent="0.3">
      <c r="F91594" s="193"/>
    </row>
    <row r="91595" spans="6:6" x14ac:dyDescent="0.3">
      <c r="F91595" s="193"/>
    </row>
    <row r="91596" spans="6:6" x14ac:dyDescent="0.3">
      <c r="F91596" s="193"/>
    </row>
    <row r="91597" spans="6:6" x14ac:dyDescent="0.3">
      <c r="F91597" s="193"/>
    </row>
    <row r="91598" spans="6:6" x14ac:dyDescent="0.3">
      <c r="F91598" s="193"/>
    </row>
    <row r="91599" spans="6:6" x14ac:dyDescent="0.3">
      <c r="F91599" s="193"/>
    </row>
    <row r="91600" spans="6:6" x14ac:dyDescent="0.3">
      <c r="F91600" s="193"/>
    </row>
    <row r="91601" spans="6:6" x14ac:dyDescent="0.3">
      <c r="F91601" s="193"/>
    </row>
    <row r="91602" spans="6:6" x14ac:dyDescent="0.3">
      <c r="F91602" s="193"/>
    </row>
    <row r="91603" spans="6:6" x14ac:dyDescent="0.3">
      <c r="F91603" s="193"/>
    </row>
    <row r="91604" spans="6:6" x14ac:dyDescent="0.3">
      <c r="F91604" s="193"/>
    </row>
    <row r="91605" spans="6:6" x14ac:dyDescent="0.3">
      <c r="F91605" s="193"/>
    </row>
    <row r="91606" spans="6:6" x14ac:dyDescent="0.3">
      <c r="F91606" s="193"/>
    </row>
    <row r="91607" spans="6:6" x14ac:dyDescent="0.3">
      <c r="F91607" s="193"/>
    </row>
    <row r="91608" spans="6:6" x14ac:dyDescent="0.3">
      <c r="F91608" s="193"/>
    </row>
    <row r="91609" spans="6:6" x14ac:dyDescent="0.3">
      <c r="F91609" s="193"/>
    </row>
    <row r="91610" spans="6:6" x14ac:dyDescent="0.3">
      <c r="F91610" s="193"/>
    </row>
    <row r="91611" spans="6:6" x14ac:dyDescent="0.3">
      <c r="F91611" s="193"/>
    </row>
    <row r="91612" spans="6:6" x14ac:dyDescent="0.3">
      <c r="F91612" s="193"/>
    </row>
    <row r="91613" spans="6:6" x14ac:dyDescent="0.3">
      <c r="F91613" s="193"/>
    </row>
    <row r="91614" spans="6:6" x14ac:dyDescent="0.3">
      <c r="F91614" s="193"/>
    </row>
    <row r="91615" spans="6:6" x14ac:dyDescent="0.3">
      <c r="F91615" s="193"/>
    </row>
    <row r="91616" spans="6:6" x14ac:dyDescent="0.3">
      <c r="F91616" s="193"/>
    </row>
    <row r="91617" spans="6:6" x14ac:dyDescent="0.3">
      <c r="F91617" s="193"/>
    </row>
    <row r="91618" spans="6:6" x14ac:dyDescent="0.3">
      <c r="F91618" s="193"/>
    </row>
    <row r="91619" spans="6:6" x14ac:dyDescent="0.3">
      <c r="F91619" s="193"/>
    </row>
    <row r="91620" spans="6:6" x14ac:dyDescent="0.3">
      <c r="F91620" s="193"/>
    </row>
    <row r="91621" spans="6:6" x14ac:dyDescent="0.3">
      <c r="F91621" s="193"/>
    </row>
    <row r="91622" spans="6:6" x14ac:dyDescent="0.3">
      <c r="F91622" s="193"/>
    </row>
    <row r="91623" spans="6:6" x14ac:dyDescent="0.3">
      <c r="F91623" s="193"/>
    </row>
    <row r="91624" spans="6:6" x14ac:dyDescent="0.3">
      <c r="F91624" s="193"/>
    </row>
    <row r="91625" spans="6:6" x14ac:dyDescent="0.3">
      <c r="F91625" s="193"/>
    </row>
    <row r="91626" spans="6:6" x14ac:dyDescent="0.3">
      <c r="F91626" s="193"/>
    </row>
    <row r="91627" spans="6:6" x14ac:dyDescent="0.3">
      <c r="F91627" s="193"/>
    </row>
    <row r="91628" spans="6:6" x14ac:dyDescent="0.3">
      <c r="F91628" s="193"/>
    </row>
    <row r="91629" spans="6:6" x14ac:dyDescent="0.3">
      <c r="F91629" s="193"/>
    </row>
    <row r="91630" spans="6:6" x14ac:dyDescent="0.3">
      <c r="F91630" s="193"/>
    </row>
    <row r="91631" spans="6:6" x14ac:dyDescent="0.3">
      <c r="F91631" s="193"/>
    </row>
    <row r="91632" spans="6:6" x14ac:dyDescent="0.3">
      <c r="F91632" s="193"/>
    </row>
    <row r="91633" spans="6:6" x14ac:dyDescent="0.3">
      <c r="F91633" s="193"/>
    </row>
    <row r="91634" spans="6:6" x14ac:dyDescent="0.3">
      <c r="F91634" s="193"/>
    </row>
    <row r="91635" spans="6:6" x14ac:dyDescent="0.3">
      <c r="F91635" s="193"/>
    </row>
    <row r="91636" spans="6:6" x14ac:dyDescent="0.3">
      <c r="F91636" s="193"/>
    </row>
    <row r="91637" spans="6:6" x14ac:dyDescent="0.3">
      <c r="F91637" s="193"/>
    </row>
    <row r="91638" spans="6:6" x14ac:dyDescent="0.3">
      <c r="F91638" s="193"/>
    </row>
    <row r="91639" spans="6:6" x14ac:dyDescent="0.3">
      <c r="F91639" s="193"/>
    </row>
    <row r="91640" spans="6:6" x14ac:dyDescent="0.3">
      <c r="F91640" s="193"/>
    </row>
    <row r="91641" spans="6:6" x14ac:dyDescent="0.3">
      <c r="F91641" s="193"/>
    </row>
    <row r="91642" spans="6:6" x14ac:dyDescent="0.3">
      <c r="F91642" s="193"/>
    </row>
    <row r="91643" spans="6:6" x14ac:dyDescent="0.3">
      <c r="F91643" s="193"/>
    </row>
    <row r="91644" spans="6:6" x14ac:dyDescent="0.3">
      <c r="F91644" s="193"/>
    </row>
    <row r="91645" spans="6:6" x14ac:dyDescent="0.3">
      <c r="F91645" s="193"/>
    </row>
    <row r="91646" spans="6:6" x14ac:dyDescent="0.3">
      <c r="F91646" s="193"/>
    </row>
    <row r="91647" spans="6:6" x14ac:dyDescent="0.3">
      <c r="F91647" s="193"/>
    </row>
    <row r="91648" spans="6:6" x14ac:dyDescent="0.3">
      <c r="F91648" s="193"/>
    </row>
    <row r="91649" spans="6:6" x14ac:dyDescent="0.3">
      <c r="F91649" s="193"/>
    </row>
    <row r="91650" spans="6:6" x14ac:dyDescent="0.3">
      <c r="F91650" s="193"/>
    </row>
    <row r="91651" spans="6:6" x14ac:dyDescent="0.3">
      <c r="F91651" s="193"/>
    </row>
    <row r="91652" spans="6:6" x14ac:dyDescent="0.3">
      <c r="F91652" s="193"/>
    </row>
    <row r="91653" spans="6:6" x14ac:dyDescent="0.3">
      <c r="F91653" s="193"/>
    </row>
    <row r="91654" spans="6:6" x14ac:dyDescent="0.3">
      <c r="F91654" s="193"/>
    </row>
    <row r="91655" spans="6:6" x14ac:dyDescent="0.3">
      <c r="F91655" s="193"/>
    </row>
    <row r="91656" spans="6:6" x14ac:dyDescent="0.3">
      <c r="F91656" s="193"/>
    </row>
    <row r="91657" spans="6:6" x14ac:dyDescent="0.3">
      <c r="F91657" s="193"/>
    </row>
    <row r="91658" spans="6:6" x14ac:dyDescent="0.3">
      <c r="F91658" s="193"/>
    </row>
    <row r="91659" spans="6:6" x14ac:dyDescent="0.3">
      <c r="F91659" s="193"/>
    </row>
    <row r="91660" spans="6:6" x14ac:dyDescent="0.3">
      <c r="F91660" s="193"/>
    </row>
    <row r="91661" spans="6:6" x14ac:dyDescent="0.3">
      <c r="F91661" s="193"/>
    </row>
    <row r="91662" spans="6:6" x14ac:dyDescent="0.3">
      <c r="F91662" s="193"/>
    </row>
    <row r="91663" spans="6:6" x14ac:dyDescent="0.3">
      <c r="F91663" s="193"/>
    </row>
    <row r="91664" spans="6:6" x14ac:dyDescent="0.3">
      <c r="F91664" s="193"/>
    </row>
    <row r="91665" spans="6:6" x14ac:dyDescent="0.3">
      <c r="F91665" s="193"/>
    </row>
    <row r="91666" spans="6:6" x14ac:dyDescent="0.3">
      <c r="F91666" s="193"/>
    </row>
    <row r="91667" spans="6:6" x14ac:dyDescent="0.3">
      <c r="F91667" s="193"/>
    </row>
    <row r="91668" spans="6:6" x14ac:dyDescent="0.3">
      <c r="F91668" s="193"/>
    </row>
    <row r="91669" spans="6:6" x14ac:dyDescent="0.3">
      <c r="F91669" s="193"/>
    </row>
    <row r="91670" spans="6:6" x14ac:dyDescent="0.3">
      <c r="F91670" s="193"/>
    </row>
    <row r="91671" spans="6:6" x14ac:dyDescent="0.3">
      <c r="F91671" s="193"/>
    </row>
    <row r="91672" spans="6:6" x14ac:dyDescent="0.3">
      <c r="F91672" s="193"/>
    </row>
    <row r="91673" spans="6:6" x14ac:dyDescent="0.3">
      <c r="F91673" s="193"/>
    </row>
    <row r="91674" spans="6:6" x14ac:dyDescent="0.3">
      <c r="F91674" s="193"/>
    </row>
    <row r="91675" spans="6:6" x14ac:dyDescent="0.3">
      <c r="F91675" s="193"/>
    </row>
    <row r="91676" spans="6:6" x14ac:dyDescent="0.3">
      <c r="F91676" s="193"/>
    </row>
    <row r="91677" spans="6:6" x14ac:dyDescent="0.3">
      <c r="F91677" s="193"/>
    </row>
    <row r="91678" spans="6:6" x14ac:dyDescent="0.3">
      <c r="F91678" s="193"/>
    </row>
    <row r="91679" spans="6:6" x14ac:dyDescent="0.3">
      <c r="F91679" s="193"/>
    </row>
    <row r="91680" spans="6:6" x14ac:dyDescent="0.3">
      <c r="F91680" s="193"/>
    </row>
    <row r="91681" spans="6:6" x14ac:dyDescent="0.3">
      <c r="F91681" s="193"/>
    </row>
    <row r="91682" spans="6:6" x14ac:dyDescent="0.3">
      <c r="F91682" s="193"/>
    </row>
    <row r="91683" spans="6:6" x14ac:dyDescent="0.3">
      <c r="F91683" s="193"/>
    </row>
    <row r="91684" spans="6:6" x14ac:dyDescent="0.3">
      <c r="F91684" s="193"/>
    </row>
    <row r="91685" spans="6:6" x14ac:dyDescent="0.3">
      <c r="F91685" s="193"/>
    </row>
    <row r="91686" spans="6:6" x14ac:dyDescent="0.3">
      <c r="F91686" s="193"/>
    </row>
    <row r="91687" spans="6:6" x14ac:dyDescent="0.3">
      <c r="F91687" s="193"/>
    </row>
    <row r="91688" spans="6:6" x14ac:dyDescent="0.3">
      <c r="F91688" s="193"/>
    </row>
    <row r="91689" spans="6:6" x14ac:dyDescent="0.3">
      <c r="F91689" s="193"/>
    </row>
    <row r="91690" spans="6:6" x14ac:dyDescent="0.3">
      <c r="F91690" s="193"/>
    </row>
    <row r="91691" spans="6:6" x14ac:dyDescent="0.3">
      <c r="F91691" s="193"/>
    </row>
    <row r="91692" spans="6:6" x14ac:dyDescent="0.3">
      <c r="F91692" s="193"/>
    </row>
    <row r="91693" spans="6:6" x14ac:dyDescent="0.3">
      <c r="F91693" s="193"/>
    </row>
    <row r="91694" spans="6:6" x14ac:dyDescent="0.3">
      <c r="F91694" s="193"/>
    </row>
    <row r="91695" spans="6:6" x14ac:dyDescent="0.3">
      <c r="F91695" s="193"/>
    </row>
    <row r="91696" spans="6:6" x14ac:dyDescent="0.3">
      <c r="F91696" s="193"/>
    </row>
    <row r="91697" spans="6:6" x14ac:dyDescent="0.3">
      <c r="F91697" s="193"/>
    </row>
    <row r="91698" spans="6:6" x14ac:dyDescent="0.3">
      <c r="F91698" s="193"/>
    </row>
    <row r="91699" spans="6:6" x14ac:dyDescent="0.3">
      <c r="F91699" s="193"/>
    </row>
    <row r="91700" spans="6:6" x14ac:dyDescent="0.3">
      <c r="F91700" s="193"/>
    </row>
    <row r="91701" spans="6:6" x14ac:dyDescent="0.3">
      <c r="F91701" s="193"/>
    </row>
    <row r="91702" spans="6:6" x14ac:dyDescent="0.3">
      <c r="F91702" s="193"/>
    </row>
    <row r="91703" spans="6:6" x14ac:dyDescent="0.3">
      <c r="F91703" s="193"/>
    </row>
    <row r="91704" spans="6:6" x14ac:dyDescent="0.3">
      <c r="F91704" s="193"/>
    </row>
    <row r="91705" spans="6:6" x14ac:dyDescent="0.3">
      <c r="F91705" s="193"/>
    </row>
    <row r="91706" spans="6:6" x14ac:dyDescent="0.3">
      <c r="F91706" s="193"/>
    </row>
    <row r="91707" spans="6:6" x14ac:dyDescent="0.3">
      <c r="F91707" s="193"/>
    </row>
    <row r="91708" spans="6:6" x14ac:dyDescent="0.3">
      <c r="F91708" s="193"/>
    </row>
    <row r="91709" spans="6:6" x14ac:dyDescent="0.3">
      <c r="F91709" s="193"/>
    </row>
    <row r="91710" spans="6:6" x14ac:dyDescent="0.3">
      <c r="F91710" s="193"/>
    </row>
    <row r="91711" spans="6:6" x14ac:dyDescent="0.3">
      <c r="F91711" s="193"/>
    </row>
    <row r="91712" spans="6:6" x14ac:dyDescent="0.3">
      <c r="F91712" s="193"/>
    </row>
    <row r="91713" spans="6:6" x14ac:dyDescent="0.3">
      <c r="F91713" s="193"/>
    </row>
    <row r="91714" spans="6:6" x14ac:dyDescent="0.3">
      <c r="F91714" s="193"/>
    </row>
    <row r="91715" spans="6:6" x14ac:dyDescent="0.3">
      <c r="F91715" s="193"/>
    </row>
    <row r="91716" spans="6:6" x14ac:dyDescent="0.3">
      <c r="F91716" s="193"/>
    </row>
    <row r="91717" spans="6:6" x14ac:dyDescent="0.3">
      <c r="F91717" s="193"/>
    </row>
    <row r="91718" spans="6:6" x14ac:dyDescent="0.3">
      <c r="F91718" s="193"/>
    </row>
    <row r="91719" spans="6:6" x14ac:dyDescent="0.3">
      <c r="F91719" s="193"/>
    </row>
    <row r="91720" spans="6:6" x14ac:dyDescent="0.3">
      <c r="F91720" s="193"/>
    </row>
    <row r="91721" spans="6:6" x14ac:dyDescent="0.3">
      <c r="F91721" s="193"/>
    </row>
    <row r="91722" spans="6:6" x14ac:dyDescent="0.3">
      <c r="F91722" s="193"/>
    </row>
    <row r="91723" spans="6:6" x14ac:dyDescent="0.3">
      <c r="F91723" s="193"/>
    </row>
    <row r="91724" spans="6:6" x14ac:dyDescent="0.3">
      <c r="F91724" s="193"/>
    </row>
    <row r="91725" spans="6:6" x14ac:dyDescent="0.3">
      <c r="F91725" s="193"/>
    </row>
    <row r="91726" spans="6:6" x14ac:dyDescent="0.3">
      <c r="F91726" s="193"/>
    </row>
    <row r="91727" spans="6:6" x14ac:dyDescent="0.3">
      <c r="F91727" s="193"/>
    </row>
    <row r="91728" spans="6:6" x14ac:dyDescent="0.3">
      <c r="F91728" s="193"/>
    </row>
    <row r="91729" spans="6:6" x14ac:dyDescent="0.3">
      <c r="F91729" s="193"/>
    </row>
    <row r="91730" spans="6:6" x14ac:dyDescent="0.3">
      <c r="F91730" s="193"/>
    </row>
    <row r="91731" spans="6:6" x14ac:dyDescent="0.3">
      <c r="F91731" s="193"/>
    </row>
    <row r="91732" spans="6:6" x14ac:dyDescent="0.3">
      <c r="F91732" s="193"/>
    </row>
    <row r="91733" spans="6:6" x14ac:dyDescent="0.3">
      <c r="F91733" s="193"/>
    </row>
    <row r="91734" spans="6:6" x14ac:dyDescent="0.3">
      <c r="F91734" s="193"/>
    </row>
    <row r="91735" spans="6:6" x14ac:dyDescent="0.3">
      <c r="F91735" s="193"/>
    </row>
    <row r="91736" spans="6:6" x14ac:dyDescent="0.3">
      <c r="F91736" s="193"/>
    </row>
    <row r="91737" spans="6:6" x14ac:dyDescent="0.3">
      <c r="F91737" s="193"/>
    </row>
    <row r="91738" spans="6:6" x14ac:dyDescent="0.3">
      <c r="F91738" s="193"/>
    </row>
    <row r="91739" spans="6:6" x14ac:dyDescent="0.3">
      <c r="F91739" s="193"/>
    </row>
    <row r="91740" spans="6:6" x14ac:dyDescent="0.3">
      <c r="F91740" s="193"/>
    </row>
    <row r="91741" spans="6:6" x14ac:dyDescent="0.3">
      <c r="F91741" s="193"/>
    </row>
    <row r="91742" spans="6:6" x14ac:dyDescent="0.3">
      <c r="F91742" s="193"/>
    </row>
    <row r="91743" spans="6:6" x14ac:dyDescent="0.3">
      <c r="F91743" s="193"/>
    </row>
    <row r="91744" spans="6:6" x14ac:dyDescent="0.3">
      <c r="F91744" s="193"/>
    </row>
    <row r="91745" spans="6:6" x14ac:dyDescent="0.3">
      <c r="F91745" s="193"/>
    </row>
    <row r="91746" spans="6:6" x14ac:dyDescent="0.3">
      <c r="F91746" s="193"/>
    </row>
    <row r="91747" spans="6:6" x14ac:dyDescent="0.3">
      <c r="F91747" s="193"/>
    </row>
    <row r="91748" spans="6:6" x14ac:dyDescent="0.3">
      <c r="F91748" s="193"/>
    </row>
    <row r="91749" spans="6:6" x14ac:dyDescent="0.3">
      <c r="F91749" s="193"/>
    </row>
    <row r="91750" spans="6:6" x14ac:dyDescent="0.3">
      <c r="F91750" s="193"/>
    </row>
    <row r="91751" spans="6:6" x14ac:dyDescent="0.3">
      <c r="F91751" s="193"/>
    </row>
    <row r="91752" spans="6:6" x14ac:dyDescent="0.3">
      <c r="F91752" s="193"/>
    </row>
    <row r="91753" spans="6:6" x14ac:dyDescent="0.3">
      <c r="F91753" s="193"/>
    </row>
    <row r="91754" spans="6:6" x14ac:dyDescent="0.3">
      <c r="F91754" s="193"/>
    </row>
    <row r="91755" spans="6:6" x14ac:dyDescent="0.3">
      <c r="F91755" s="193"/>
    </row>
    <row r="91756" spans="6:6" x14ac:dyDescent="0.3">
      <c r="F91756" s="193"/>
    </row>
    <row r="91757" spans="6:6" x14ac:dyDescent="0.3">
      <c r="F91757" s="193"/>
    </row>
    <row r="91758" spans="6:6" x14ac:dyDescent="0.3">
      <c r="F91758" s="193"/>
    </row>
    <row r="91759" spans="6:6" x14ac:dyDescent="0.3">
      <c r="F91759" s="193"/>
    </row>
    <row r="91760" spans="6:6" x14ac:dyDescent="0.3">
      <c r="F91760" s="193"/>
    </row>
    <row r="91761" spans="6:6" x14ac:dyDescent="0.3">
      <c r="F91761" s="193"/>
    </row>
    <row r="91762" spans="6:6" x14ac:dyDescent="0.3">
      <c r="F91762" s="193"/>
    </row>
    <row r="91763" spans="6:6" x14ac:dyDescent="0.3">
      <c r="F91763" s="193"/>
    </row>
    <row r="91764" spans="6:6" x14ac:dyDescent="0.3">
      <c r="F91764" s="193"/>
    </row>
    <row r="91765" spans="6:6" x14ac:dyDescent="0.3">
      <c r="F91765" s="193"/>
    </row>
    <row r="91766" spans="6:6" x14ac:dyDescent="0.3">
      <c r="F91766" s="193"/>
    </row>
    <row r="91767" spans="6:6" x14ac:dyDescent="0.3">
      <c r="F91767" s="193"/>
    </row>
    <row r="91768" spans="6:6" x14ac:dyDescent="0.3">
      <c r="F91768" s="193"/>
    </row>
    <row r="91769" spans="6:6" x14ac:dyDescent="0.3">
      <c r="F91769" s="193"/>
    </row>
    <row r="91770" spans="6:6" x14ac:dyDescent="0.3">
      <c r="F91770" s="193"/>
    </row>
    <row r="91771" spans="6:6" x14ac:dyDescent="0.3">
      <c r="F91771" s="193"/>
    </row>
    <row r="91772" spans="6:6" x14ac:dyDescent="0.3">
      <c r="F91772" s="193"/>
    </row>
    <row r="91773" spans="6:6" x14ac:dyDescent="0.3">
      <c r="F91773" s="193"/>
    </row>
    <row r="91774" spans="6:6" x14ac:dyDescent="0.3">
      <c r="F91774" s="193"/>
    </row>
    <row r="91775" spans="6:6" x14ac:dyDescent="0.3">
      <c r="F91775" s="193"/>
    </row>
    <row r="91776" spans="6:6" x14ac:dyDescent="0.3">
      <c r="F91776" s="193"/>
    </row>
    <row r="91777" spans="6:6" x14ac:dyDescent="0.3">
      <c r="F91777" s="193"/>
    </row>
    <row r="91778" spans="6:6" x14ac:dyDescent="0.3">
      <c r="F91778" s="193"/>
    </row>
    <row r="91779" spans="6:6" x14ac:dyDescent="0.3">
      <c r="F91779" s="193"/>
    </row>
    <row r="91780" spans="6:6" x14ac:dyDescent="0.3">
      <c r="F91780" s="193"/>
    </row>
    <row r="91781" spans="6:6" x14ac:dyDescent="0.3">
      <c r="F91781" s="193"/>
    </row>
    <row r="91782" spans="6:6" x14ac:dyDescent="0.3">
      <c r="F91782" s="193"/>
    </row>
    <row r="91783" spans="6:6" x14ac:dyDescent="0.3">
      <c r="F91783" s="193"/>
    </row>
    <row r="91784" spans="6:6" x14ac:dyDescent="0.3">
      <c r="F91784" s="193"/>
    </row>
    <row r="91785" spans="6:6" x14ac:dyDescent="0.3">
      <c r="F91785" s="193"/>
    </row>
    <row r="91786" spans="6:6" x14ac:dyDescent="0.3">
      <c r="F91786" s="193"/>
    </row>
    <row r="91787" spans="6:6" x14ac:dyDescent="0.3">
      <c r="F91787" s="193"/>
    </row>
    <row r="91788" spans="6:6" x14ac:dyDescent="0.3">
      <c r="F91788" s="193"/>
    </row>
    <row r="91789" spans="6:6" x14ac:dyDescent="0.3">
      <c r="F91789" s="193"/>
    </row>
    <row r="91790" spans="6:6" x14ac:dyDescent="0.3">
      <c r="F91790" s="193"/>
    </row>
    <row r="91791" spans="6:6" x14ac:dyDescent="0.3">
      <c r="F91791" s="193"/>
    </row>
    <row r="91792" spans="6:6" x14ac:dyDescent="0.3">
      <c r="F91792" s="193"/>
    </row>
    <row r="91793" spans="6:6" x14ac:dyDescent="0.3">
      <c r="F91793" s="193"/>
    </row>
    <row r="91794" spans="6:6" x14ac:dyDescent="0.3">
      <c r="F91794" s="193"/>
    </row>
    <row r="91795" spans="6:6" x14ac:dyDescent="0.3">
      <c r="F91795" s="193"/>
    </row>
    <row r="91796" spans="6:6" x14ac:dyDescent="0.3">
      <c r="F91796" s="193"/>
    </row>
    <row r="91797" spans="6:6" x14ac:dyDescent="0.3">
      <c r="F91797" s="193"/>
    </row>
    <row r="91798" spans="6:6" x14ac:dyDescent="0.3">
      <c r="F91798" s="193"/>
    </row>
    <row r="91799" spans="6:6" x14ac:dyDescent="0.3">
      <c r="F91799" s="193"/>
    </row>
    <row r="91800" spans="6:6" x14ac:dyDescent="0.3">
      <c r="F91800" s="193"/>
    </row>
    <row r="91801" spans="6:6" x14ac:dyDescent="0.3">
      <c r="F91801" s="193"/>
    </row>
    <row r="91802" spans="6:6" x14ac:dyDescent="0.3">
      <c r="F91802" s="193"/>
    </row>
    <row r="91803" spans="6:6" x14ac:dyDescent="0.3">
      <c r="F91803" s="193"/>
    </row>
    <row r="91804" spans="6:6" x14ac:dyDescent="0.3">
      <c r="F91804" s="193"/>
    </row>
    <row r="91805" spans="6:6" x14ac:dyDescent="0.3">
      <c r="F91805" s="193"/>
    </row>
    <row r="91806" spans="6:6" x14ac:dyDescent="0.3">
      <c r="F91806" s="193"/>
    </row>
    <row r="91807" spans="6:6" x14ac:dyDescent="0.3">
      <c r="F91807" s="193"/>
    </row>
    <row r="91808" spans="6:6" x14ac:dyDescent="0.3">
      <c r="F91808" s="193"/>
    </row>
    <row r="91809" spans="6:6" x14ac:dyDescent="0.3">
      <c r="F91809" s="193"/>
    </row>
    <row r="91810" spans="6:6" x14ac:dyDescent="0.3">
      <c r="F91810" s="193"/>
    </row>
    <row r="91811" spans="6:6" x14ac:dyDescent="0.3">
      <c r="F91811" s="193"/>
    </row>
    <row r="91812" spans="6:6" x14ac:dyDescent="0.3">
      <c r="F91812" s="193"/>
    </row>
    <row r="91813" spans="6:6" x14ac:dyDescent="0.3">
      <c r="F91813" s="193"/>
    </row>
    <row r="91814" spans="6:6" x14ac:dyDescent="0.3">
      <c r="F91814" s="193"/>
    </row>
    <row r="91815" spans="6:6" x14ac:dyDescent="0.3">
      <c r="F91815" s="193"/>
    </row>
    <row r="91816" spans="6:6" x14ac:dyDescent="0.3">
      <c r="F91816" s="193"/>
    </row>
    <row r="91817" spans="6:6" x14ac:dyDescent="0.3">
      <c r="F91817" s="193"/>
    </row>
    <row r="91818" spans="6:6" x14ac:dyDescent="0.3">
      <c r="F91818" s="193"/>
    </row>
    <row r="91819" spans="6:6" x14ac:dyDescent="0.3">
      <c r="F91819" s="193"/>
    </row>
    <row r="91820" spans="6:6" x14ac:dyDescent="0.3">
      <c r="F91820" s="193"/>
    </row>
    <row r="91821" spans="6:6" x14ac:dyDescent="0.3">
      <c r="F91821" s="193"/>
    </row>
    <row r="91822" spans="6:6" x14ac:dyDescent="0.3">
      <c r="F91822" s="193"/>
    </row>
    <row r="91823" spans="6:6" x14ac:dyDescent="0.3">
      <c r="F91823" s="193"/>
    </row>
    <row r="91824" spans="6:6" x14ac:dyDescent="0.3">
      <c r="F91824" s="193"/>
    </row>
    <row r="91825" spans="6:6" x14ac:dyDescent="0.3">
      <c r="F91825" s="193"/>
    </row>
    <row r="91826" spans="6:6" x14ac:dyDescent="0.3">
      <c r="F91826" s="193"/>
    </row>
    <row r="91827" spans="6:6" x14ac:dyDescent="0.3">
      <c r="F91827" s="193"/>
    </row>
    <row r="91828" spans="6:6" x14ac:dyDescent="0.3">
      <c r="F91828" s="193"/>
    </row>
    <row r="91829" spans="6:6" x14ac:dyDescent="0.3">
      <c r="F91829" s="193"/>
    </row>
    <row r="91830" spans="6:6" x14ac:dyDescent="0.3">
      <c r="F91830" s="193"/>
    </row>
    <row r="91831" spans="6:6" x14ac:dyDescent="0.3">
      <c r="F91831" s="193"/>
    </row>
    <row r="91832" spans="6:6" x14ac:dyDescent="0.3">
      <c r="F91832" s="193"/>
    </row>
    <row r="91833" spans="6:6" x14ac:dyDescent="0.3">
      <c r="F91833" s="193"/>
    </row>
    <row r="91834" spans="6:6" x14ac:dyDescent="0.3">
      <c r="F91834" s="193"/>
    </row>
    <row r="91835" spans="6:6" x14ac:dyDescent="0.3">
      <c r="F91835" s="193"/>
    </row>
    <row r="91836" spans="6:6" x14ac:dyDescent="0.3">
      <c r="F91836" s="193"/>
    </row>
    <row r="91837" spans="6:6" x14ac:dyDescent="0.3">
      <c r="F91837" s="193"/>
    </row>
    <row r="91838" spans="6:6" x14ac:dyDescent="0.3">
      <c r="F91838" s="193"/>
    </row>
    <row r="91839" spans="6:6" x14ac:dyDescent="0.3">
      <c r="F91839" s="193"/>
    </row>
    <row r="91840" spans="6:6" x14ac:dyDescent="0.3">
      <c r="F91840" s="193"/>
    </row>
    <row r="91841" spans="6:6" x14ac:dyDescent="0.3">
      <c r="F91841" s="193"/>
    </row>
    <row r="91842" spans="6:6" x14ac:dyDescent="0.3">
      <c r="F91842" s="193"/>
    </row>
    <row r="91843" spans="6:6" x14ac:dyDescent="0.3">
      <c r="F91843" s="193"/>
    </row>
    <row r="91844" spans="6:6" x14ac:dyDescent="0.3">
      <c r="F91844" s="193"/>
    </row>
    <row r="91845" spans="6:6" x14ac:dyDescent="0.3">
      <c r="F91845" s="193"/>
    </row>
    <row r="91846" spans="6:6" x14ac:dyDescent="0.3">
      <c r="F91846" s="193"/>
    </row>
    <row r="91847" spans="6:6" x14ac:dyDescent="0.3">
      <c r="F91847" s="193"/>
    </row>
    <row r="91848" spans="6:6" x14ac:dyDescent="0.3">
      <c r="F91848" s="193"/>
    </row>
    <row r="91849" spans="6:6" x14ac:dyDescent="0.3">
      <c r="F91849" s="193"/>
    </row>
    <row r="91850" spans="6:6" x14ac:dyDescent="0.3">
      <c r="F91850" s="193"/>
    </row>
    <row r="91851" spans="6:6" x14ac:dyDescent="0.3">
      <c r="F91851" s="193"/>
    </row>
    <row r="91852" spans="6:6" x14ac:dyDescent="0.3">
      <c r="F91852" s="193"/>
    </row>
    <row r="91853" spans="6:6" x14ac:dyDescent="0.3">
      <c r="F91853" s="193"/>
    </row>
    <row r="91854" spans="6:6" x14ac:dyDescent="0.3">
      <c r="F91854" s="193"/>
    </row>
    <row r="91855" spans="6:6" x14ac:dyDescent="0.3">
      <c r="F91855" s="193"/>
    </row>
    <row r="91856" spans="6:6" x14ac:dyDescent="0.3">
      <c r="F91856" s="193"/>
    </row>
    <row r="91857" spans="6:6" x14ac:dyDescent="0.3">
      <c r="F91857" s="193"/>
    </row>
    <row r="91858" spans="6:6" x14ac:dyDescent="0.3">
      <c r="F91858" s="193"/>
    </row>
    <row r="91859" spans="6:6" x14ac:dyDescent="0.3">
      <c r="F91859" s="193"/>
    </row>
    <row r="91860" spans="6:6" x14ac:dyDescent="0.3">
      <c r="F91860" s="193"/>
    </row>
    <row r="91861" spans="6:6" x14ac:dyDescent="0.3">
      <c r="F91861" s="193"/>
    </row>
    <row r="91862" spans="6:6" x14ac:dyDescent="0.3">
      <c r="F91862" s="193"/>
    </row>
    <row r="91863" spans="6:6" x14ac:dyDescent="0.3">
      <c r="F91863" s="193"/>
    </row>
    <row r="91864" spans="6:6" x14ac:dyDescent="0.3">
      <c r="F91864" s="193"/>
    </row>
    <row r="91865" spans="6:6" x14ac:dyDescent="0.3">
      <c r="F91865" s="193"/>
    </row>
    <row r="91866" spans="6:6" x14ac:dyDescent="0.3">
      <c r="F91866" s="193"/>
    </row>
    <row r="91867" spans="6:6" x14ac:dyDescent="0.3">
      <c r="F91867" s="193"/>
    </row>
    <row r="91868" spans="6:6" x14ac:dyDescent="0.3">
      <c r="F91868" s="193"/>
    </row>
    <row r="91869" spans="6:6" x14ac:dyDescent="0.3">
      <c r="F91869" s="193"/>
    </row>
    <row r="91870" spans="6:6" x14ac:dyDescent="0.3">
      <c r="F91870" s="193"/>
    </row>
    <row r="91871" spans="6:6" x14ac:dyDescent="0.3">
      <c r="F91871" s="193"/>
    </row>
    <row r="91872" spans="6:6" x14ac:dyDescent="0.3">
      <c r="F91872" s="193"/>
    </row>
    <row r="91873" spans="6:6" x14ac:dyDescent="0.3">
      <c r="F91873" s="193"/>
    </row>
    <row r="91874" spans="6:6" x14ac:dyDescent="0.3">
      <c r="F91874" s="193"/>
    </row>
    <row r="91875" spans="6:6" x14ac:dyDescent="0.3">
      <c r="F91875" s="193"/>
    </row>
    <row r="91876" spans="6:6" x14ac:dyDescent="0.3">
      <c r="F91876" s="193"/>
    </row>
    <row r="91877" spans="6:6" x14ac:dyDescent="0.3">
      <c r="F91877" s="193"/>
    </row>
    <row r="91878" spans="6:6" x14ac:dyDescent="0.3">
      <c r="F91878" s="193"/>
    </row>
    <row r="91879" spans="6:6" x14ac:dyDescent="0.3">
      <c r="F91879" s="193"/>
    </row>
    <row r="91880" spans="6:6" x14ac:dyDescent="0.3">
      <c r="F91880" s="193"/>
    </row>
    <row r="91881" spans="6:6" x14ac:dyDescent="0.3">
      <c r="F91881" s="193"/>
    </row>
    <row r="91882" spans="6:6" x14ac:dyDescent="0.3">
      <c r="F91882" s="193"/>
    </row>
    <row r="91883" spans="6:6" x14ac:dyDescent="0.3">
      <c r="F91883" s="193"/>
    </row>
    <row r="91884" spans="6:6" x14ac:dyDescent="0.3">
      <c r="F91884" s="193"/>
    </row>
    <row r="91885" spans="6:6" x14ac:dyDescent="0.3">
      <c r="F91885" s="193"/>
    </row>
    <row r="91886" spans="6:6" x14ac:dyDescent="0.3">
      <c r="F91886" s="193"/>
    </row>
    <row r="91887" spans="6:6" x14ac:dyDescent="0.3">
      <c r="F91887" s="193"/>
    </row>
    <row r="91888" spans="6:6" x14ac:dyDescent="0.3">
      <c r="F91888" s="193"/>
    </row>
    <row r="91889" spans="6:6" x14ac:dyDescent="0.3">
      <c r="F91889" s="193"/>
    </row>
    <row r="91890" spans="6:6" x14ac:dyDescent="0.3">
      <c r="F91890" s="193"/>
    </row>
    <row r="91891" spans="6:6" x14ac:dyDescent="0.3">
      <c r="F91891" s="193"/>
    </row>
    <row r="91892" spans="6:6" x14ac:dyDescent="0.3">
      <c r="F91892" s="193"/>
    </row>
    <row r="91893" spans="6:6" x14ac:dyDescent="0.3">
      <c r="F91893" s="193"/>
    </row>
    <row r="91894" spans="6:6" x14ac:dyDescent="0.3">
      <c r="F91894" s="193"/>
    </row>
    <row r="91895" spans="6:6" x14ac:dyDescent="0.3">
      <c r="F91895" s="193"/>
    </row>
    <row r="91896" spans="6:6" x14ac:dyDescent="0.3">
      <c r="F91896" s="193"/>
    </row>
    <row r="91897" spans="6:6" x14ac:dyDescent="0.3">
      <c r="F91897" s="193"/>
    </row>
    <row r="91898" spans="6:6" x14ac:dyDescent="0.3">
      <c r="F91898" s="193"/>
    </row>
    <row r="91899" spans="6:6" x14ac:dyDescent="0.3">
      <c r="F91899" s="193"/>
    </row>
    <row r="91900" spans="6:6" x14ac:dyDescent="0.3">
      <c r="F91900" s="193"/>
    </row>
    <row r="91901" spans="6:6" x14ac:dyDescent="0.3">
      <c r="F91901" s="193"/>
    </row>
    <row r="91902" spans="6:6" x14ac:dyDescent="0.3">
      <c r="F91902" s="193"/>
    </row>
    <row r="91903" spans="6:6" x14ac:dyDescent="0.3">
      <c r="F91903" s="193"/>
    </row>
    <row r="91904" spans="6:6" x14ac:dyDescent="0.3">
      <c r="F91904" s="193"/>
    </row>
    <row r="91905" spans="6:6" x14ac:dyDescent="0.3">
      <c r="F91905" s="193"/>
    </row>
    <row r="91906" spans="6:6" x14ac:dyDescent="0.3">
      <c r="F91906" s="193"/>
    </row>
    <row r="91907" spans="6:6" x14ac:dyDescent="0.3">
      <c r="F91907" s="193"/>
    </row>
    <row r="91908" spans="6:6" x14ac:dyDescent="0.3">
      <c r="F91908" s="193"/>
    </row>
    <row r="91909" spans="6:6" x14ac:dyDescent="0.3">
      <c r="F91909" s="193"/>
    </row>
    <row r="91910" spans="6:6" x14ac:dyDescent="0.3">
      <c r="F91910" s="193"/>
    </row>
    <row r="91911" spans="6:6" x14ac:dyDescent="0.3">
      <c r="F91911" s="193"/>
    </row>
    <row r="91912" spans="6:6" x14ac:dyDescent="0.3">
      <c r="F91912" s="193"/>
    </row>
    <row r="91913" spans="6:6" x14ac:dyDescent="0.3">
      <c r="F91913" s="193"/>
    </row>
    <row r="91914" spans="6:6" x14ac:dyDescent="0.3">
      <c r="F91914" s="193"/>
    </row>
    <row r="91915" spans="6:6" x14ac:dyDescent="0.3">
      <c r="F91915" s="193"/>
    </row>
    <row r="91916" spans="6:6" x14ac:dyDescent="0.3">
      <c r="F91916" s="193"/>
    </row>
    <row r="91917" spans="6:6" x14ac:dyDescent="0.3">
      <c r="F91917" s="193"/>
    </row>
    <row r="91918" spans="6:6" x14ac:dyDescent="0.3">
      <c r="F91918" s="193"/>
    </row>
    <row r="91919" spans="6:6" x14ac:dyDescent="0.3">
      <c r="F91919" s="193"/>
    </row>
    <row r="91920" spans="6:6" x14ac:dyDescent="0.3">
      <c r="F91920" s="193"/>
    </row>
    <row r="91921" spans="6:6" x14ac:dyDescent="0.3">
      <c r="F91921" s="193"/>
    </row>
    <row r="91922" spans="6:6" x14ac:dyDescent="0.3">
      <c r="F91922" s="193"/>
    </row>
    <row r="91923" spans="6:6" x14ac:dyDescent="0.3">
      <c r="F91923" s="193"/>
    </row>
    <row r="91924" spans="6:6" x14ac:dyDescent="0.3">
      <c r="F91924" s="193"/>
    </row>
    <row r="91925" spans="6:6" x14ac:dyDescent="0.3">
      <c r="F91925" s="193"/>
    </row>
    <row r="91926" spans="6:6" x14ac:dyDescent="0.3">
      <c r="F91926" s="193"/>
    </row>
    <row r="91927" spans="6:6" x14ac:dyDescent="0.3">
      <c r="F91927" s="193"/>
    </row>
    <row r="91928" spans="6:6" x14ac:dyDescent="0.3">
      <c r="F91928" s="193"/>
    </row>
    <row r="91929" spans="6:6" x14ac:dyDescent="0.3">
      <c r="F91929" s="193"/>
    </row>
    <row r="91930" spans="6:6" x14ac:dyDescent="0.3">
      <c r="F91930" s="193"/>
    </row>
    <row r="91931" spans="6:6" x14ac:dyDescent="0.3">
      <c r="F91931" s="193"/>
    </row>
    <row r="91932" spans="6:6" x14ac:dyDescent="0.3">
      <c r="F91932" s="193"/>
    </row>
    <row r="91933" spans="6:6" x14ac:dyDescent="0.3">
      <c r="F91933" s="193"/>
    </row>
    <row r="91934" spans="6:6" x14ac:dyDescent="0.3">
      <c r="F91934" s="193"/>
    </row>
    <row r="91935" spans="6:6" x14ac:dyDescent="0.3">
      <c r="F91935" s="193"/>
    </row>
    <row r="91936" spans="6:6" x14ac:dyDescent="0.3">
      <c r="F91936" s="193"/>
    </row>
    <row r="91937" spans="6:6" x14ac:dyDescent="0.3">
      <c r="F91937" s="193"/>
    </row>
    <row r="91938" spans="6:6" x14ac:dyDescent="0.3">
      <c r="F91938" s="193"/>
    </row>
    <row r="91939" spans="6:6" x14ac:dyDescent="0.3">
      <c r="F91939" s="193"/>
    </row>
    <row r="91940" spans="6:6" x14ac:dyDescent="0.3">
      <c r="F91940" s="193"/>
    </row>
    <row r="91941" spans="6:6" x14ac:dyDescent="0.3">
      <c r="F91941" s="193"/>
    </row>
    <row r="91942" spans="6:6" x14ac:dyDescent="0.3">
      <c r="F91942" s="193"/>
    </row>
    <row r="91943" spans="6:6" x14ac:dyDescent="0.3">
      <c r="F91943" s="193"/>
    </row>
    <row r="91944" spans="6:6" x14ac:dyDescent="0.3">
      <c r="F91944" s="193"/>
    </row>
    <row r="91945" spans="6:6" x14ac:dyDescent="0.3">
      <c r="F91945" s="193"/>
    </row>
    <row r="91946" spans="6:6" x14ac:dyDescent="0.3">
      <c r="F91946" s="193"/>
    </row>
    <row r="91947" spans="6:6" x14ac:dyDescent="0.3">
      <c r="F91947" s="193"/>
    </row>
    <row r="91948" spans="6:6" x14ac:dyDescent="0.3">
      <c r="F91948" s="193"/>
    </row>
    <row r="91949" spans="6:6" x14ac:dyDescent="0.3">
      <c r="F91949" s="193"/>
    </row>
    <row r="91950" spans="6:6" x14ac:dyDescent="0.3">
      <c r="F91950" s="193"/>
    </row>
    <row r="91951" spans="6:6" x14ac:dyDescent="0.3">
      <c r="F91951" s="193"/>
    </row>
    <row r="91952" spans="6:6" x14ac:dyDescent="0.3">
      <c r="F91952" s="193"/>
    </row>
    <row r="91953" spans="6:6" x14ac:dyDescent="0.3">
      <c r="F91953" s="193"/>
    </row>
    <row r="91954" spans="6:6" x14ac:dyDescent="0.3">
      <c r="F91954" s="193"/>
    </row>
    <row r="91955" spans="6:6" x14ac:dyDescent="0.3">
      <c r="F91955" s="193"/>
    </row>
    <row r="91956" spans="6:6" x14ac:dyDescent="0.3">
      <c r="F91956" s="193"/>
    </row>
    <row r="91957" spans="6:6" x14ac:dyDescent="0.3">
      <c r="F91957" s="193"/>
    </row>
    <row r="91958" spans="6:6" x14ac:dyDescent="0.3">
      <c r="F91958" s="193"/>
    </row>
    <row r="91959" spans="6:6" x14ac:dyDescent="0.3">
      <c r="F91959" s="193"/>
    </row>
    <row r="91960" spans="6:6" x14ac:dyDescent="0.3">
      <c r="F91960" s="193"/>
    </row>
    <row r="91961" spans="6:6" x14ac:dyDescent="0.3">
      <c r="F91961" s="193"/>
    </row>
    <row r="91962" spans="6:6" x14ac:dyDescent="0.3">
      <c r="F91962" s="193"/>
    </row>
    <row r="91963" spans="6:6" x14ac:dyDescent="0.3">
      <c r="F91963" s="193"/>
    </row>
    <row r="91964" spans="6:6" x14ac:dyDescent="0.3">
      <c r="F91964" s="193"/>
    </row>
    <row r="91965" spans="6:6" x14ac:dyDescent="0.3">
      <c r="F91965" s="193"/>
    </row>
    <row r="91966" spans="6:6" x14ac:dyDescent="0.3">
      <c r="F91966" s="193"/>
    </row>
    <row r="91967" spans="6:6" x14ac:dyDescent="0.3">
      <c r="F91967" s="193"/>
    </row>
    <row r="91968" spans="6:6" x14ac:dyDescent="0.3">
      <c r="F91968" s="193"/>
    </row>
    <row r="91969" spans="6:6" x14ac:dyDescent="0.3">
      <c r="F91969" s="193"/>
    </row>
    <row r="91970" spans="6:6" x14ac:dyDescent="0.3">
      <c r="F91970" s="193"/>
    </row>
    <row r="91971" spans="6:6" x14ac:dyDescent="0.3">
      <c r="F91971" s="193"/>
    </row>
    <row r="91972" spans="6:6" x14ac:dyDescent="0.3">
      <c r="F91972" s="193"/>
    </row>
    <row r="91973" spans="6:6" x14ac:dyDescent="0.3">
      <c r="F91973" s="193"/>
    </row>
    <row r="91974" spans="6:6" x14ac:dyDescent="0.3">
      <c r="F91974" s="193"/>
    </row>
    <row r="91975" spans="6:6" x14ac:dyDescent="0.3">
      <c r="F91975" s="193"/>
    </row>
    <row r="91976" spans="6:6" x14ac:dyDescent="0.3">
      <c r="F91976" s="193"/>
    </row>
    <row r="91977" spans="6:6" x14ac:dyDescent="0.3">
      <c r="F91977" s="193"/>
    </row>
    <row r="91978" spans="6:6" x14ac:dyDescent="0.3">
      <c r="F91978" s="193"/>
    </row>
    <row r="91979" spans="6:6" x14ac:dyDescent="0.3">
      <c r="F91979" s="193"/>
    </row>
    <row r="91980" spans="6:6" x14ac:dyDescent="0.3">
      <c r="F91980" s="193"/>
    </row>
    <row r="91981" spans="6:6" x14ac:dyDescent="0.3">
      <c r="F91981" s="193"/>
    </row>
    <row r="91982" spans="6:6" x14ac:dyDescent="0.3">
      <c r="F91982" s="193"/>
    </row>
    <row r="91983" spans="6:6" x14ac:dyDescent="0.3">
      <c r="F91983" s="193"/>
    </row>
    <row r="91984" spans="6:6" x14ac:dyDescent="0.3">
      <c r="F91984" s="193"/>
    </row>
    <row r="91985" spans="6:6" x14ac:dyDescent="0.3">
      <c r="F91985" s="193"/>
    </row>
    <row r="91986" spans="6:6" x14ac:dyDescent="0.3">
      <c r="F91986" s="193"/>
    </row>
    <row r="91987" spans="6:6" x14ac:dyDescent="0.3">
      <c r="F91987" s="193"/>
    </row>
    <row r="91988" spans="6:6" x14ac:dyDescent="0.3">
      <c r="F91988" s="193"/>
    </row>
    <row r="91989" spans="6:6" x14ac:dyDescent="0.3">
      <c r="F91989" s="193"/>
    </row>
    <row r="91990" spans="6:6" x14ac:dyDescent="0.3">
      <c r="F91990" s="193"/>
    </row>
    <row r="91991" spans="6:6" x14ac:dyDescent="0.3">
      <c r="F91991" s="193"/>
    </row>
    <row r="91992" spans="6:6" x14ac:dyDescent="0.3">
      <c r="F91992" s="193"/>
    </row>
    <row r="91993" spans="6:6" x14ac:dyDescent="0.3">
      <c r="F91993" s="193"/>
    </row>
    <row r="91994" spans="6:6" x14ac:dyDescent="0.3">
      <c r="F91994" s="193"/>
    </row>
    <row r="91995" spans="6:6" x14ac:dyDescent="0.3">
      <c r="F91995" s="193"/>
    </row>
    <row r="91996" spans="6:6" x14ac:dyDescent="0.3">
      <c r="F91996" s="193"/>
    </row>
    <row r="91997" spans="6:6" x14ac:dyDescent="0.3">
      <c r="F91997" s="193"/>
    </row>
    <row r="91998" spans="6:6" x14ac:dyDescent="0.3">
      <c r="F91998" s="193"/>
    </row>
    <row r="91999" spans="6:6" x14ac:dyDescent="0.3">
      <c r="F91999" s="193"/>
    </row>
    <row r="92000" spans="6:6" x14ac:dyDescent="0.3">
      <c r="F92000" s="193"/>
    </row>
    <row r="92001" spans="6:6" x14ac:dyDescent="0.3">
      <c r="F92001" s="193"/>
    </row>
    <row r="92002" spans="6:6" x14ac:dyDescent="0.3">
      <c r="F92002" s="193"/>
    </row>
    <row r="92003" spans="6:6" x14ac:dyDescent="0.3">
      <c r="F92003" s="193"/>
    </row>
    <row r="92004" spans="6:6" x14ac:dyDescent="0.3">
      <c r="F92004" s="193"/>
    </row>
    <row r="92005" spans="6:6" x14ac:dyDescent="0.3">
      <c r="F92005" s="193"/>
    </row>
    <row r="92006" spans="6:6" x14ac:dyDescent="0.3">
      <c r="F92006" s="193"/>
    </row>
    <row r="92007" spans="6:6" x14ac:dyDescent="0.3">
      <c r="F92007" s="193"/>
    </row>
    <row r="92008" spans="6:6" x14ac:dyDescent="0.3">
      <c r="F92008" s="193"/>
    </row>
    <row r="92009" spans="6:6" x14ac:dyDescent="0.3">
      <c r="F92009" s="193"/>
    </row>
    <row r="92010" spans="6:6" x14ac:dyDescent="0.3">
      <c r="F92010" s="193"/>
    </row>
    <row r="92011" spans="6:6" x14ac:dyDescent="0.3">
      <c r="F92011" s="193"/>
    </row>
    <row r="92012" spans="6:6" x14ac:dyDescent="0.3">
      <c r="F92012" s="193"/>
    </row>
    <row r="92013" spans="6:6" x14ac:dyDescent="0.3">
      <c r="F92013" s="193"/>
    </row>
    <row r="92014" spans="6:6" x14ac:dyDescent="0.3">
      <c r="F92014" s="193"/>
    </row>
    <row r="92015" spans="6:6" x14ac:dyDescent="0.3">
      <c r="F92015" s="193"/>
    </row>
    <row r="92016" spans="6:6" x14ac:dyDescent="0.3">
      <c r="F92016" s="193"/>
    </row>
    <row r="92017" spans="6:6" x14ac:dyDescent="0.3">
      <c r="F92017" s="193"/>
    </row>
    <row r="92018" spans="6:6" x14ac:dyDescent="0.3">
      <c r="F92018" s="193"/>
    </row>
    <row r="92019" spans="6:6" x14ac:dyDescent="0.3">
      <c r="F92019" s="193"/>
    </row>
    <row r="92020" spans="6:6" x14ac:dyDescent="0.3">
      <c r="F92020" s="193"/>
    </row>
    <row r="92021" spans="6:6" x14ac:dyDescent="0.3">
      <c r="F92021" s="193"/>
    </row>
    <row r="92022" spans="6:6" x14ac:dyDescent="0.3">
      <c r="F92022" s="193"/>
    </row>
    <row r="92023" spans="6:6" x14ac:dyDescent="0.3">
      <c r="F92023" s="193"/>
    </row>
    <row r="92024" spans="6:6" x14ac:dyDescent="0.3">
      <c r="F92024" s="193"/>
    </row>
    <row r="92025" spans="6:6" x14ac:dyDescent="0.3">
      <c r="F92025" s="193"/>
    </row>
    <row r="92026" spans="6:6" x14ac:dyDescent="0.3">
      <c r="F92026" s="193"/>
    </row>
    <row r="92027" spans="6:6" x14ac:dyDescent="0.3">
      <c r="F92027" s="193"/>
    </row>
    <row r="92028" spans="6:6" x14ac:dyDescent="0.3">
      <c r="F92028" s="193"/>
    </row>
    <row r="92029" spans="6:6" x14ac:dyDescent="0.3">
      <c r="F92029" s="193"/>
    </row>
    <row r="92030" spans="6:6" x14ac:dyDescent="0.3">
      <c r="F92030" s="193"/>
    </row>
    <row r="92031" spans="6:6" x14ac:dyDescent="0.3">
      <c r="F92031" s="193"/>
    </row>
    <row r="92032" spans="6:6" x14ac:dyDescent="0.3">
      <c r="F92032" s="193"/>
    </row>
    <row r="92033" spans="6:6" x14ac:dyDescent="0.3">
      <c r="F92033" s="193"/>
    </row>
    <row r="92034" spans="6:6" x14ac:dyDescent="0.3">
      <c r="F92034" s="193"/>
    </row>
    <row r="92035" spans="6:6" x14ac:dyDescent="0.3">
      <c r="F92035" s="193"/>
    </row>
    <row r="92036" spans="6:6" x14ac:dyDescent="0.3">
      <c r="F92036" s="193"/>
    </row>
    <row r="92037" spans="6:6" x14ac:dyDescent="0.3">
      <c r="F92037" s="193"/>
    </row>
    <row r="92038" spans="6:6" x14ac:dyDescent="0.3">
      <c r="F92038" s="193"/>
    </row>
    <row r="92039" spans="6:6" x14ac:dyDescent="0.3">
      <c r="F92039" s="193"/>
    </row>
    <row r="92040" spans="6:6" x14ac:dyDescent="0.3">
      <c r="F92040" s="193"/>
    </row>
    <row r="92041" spans="6:6" x14ac:dyDescent="0.3">
      <c r="F92041" s="193"/>
    </row>
    <row r="92042" spans="6:6" x14ac:dyDescent="0.3">
      <c r="F92042" s="193"/>
    </row>
    <row r="92043" spans="6:6" x14ac:dyDescent="0.3">
      <c r="F92043" s="193"/>
    </row>
    <row r="92044" spans="6:6" x14ac:dyDescent="0.3">
      <c r="F92044" s="193"/>
    </row>
    <row r="92045" spans="6:6" x14ac:dyDescent="0.3">
      <c r="F92045" s="193"/>
    </row>
    <row r="92046" spans="6:6" x14ac:dyDescent="0.3">
      <c r="F92046" s="193"/>
    </row>
    <row r="92047" spans="6:6" x14ac:dyDescent="0.3">
      <c r="F92047" s="193"/>
    </row>
    <row r="92048" spans="6:6" x14ac:dyDescent="0.3">
      <c r="F92048" s="193"/>
    </row>
    <row r="92049" spans="6:6" x14ac:dyDescent="0.3">
      <c r="F92049" s="193"/>
    </row>
    <row r="92050" spans="6:6" x14ac:dyDescent="0.3">
      <c r="F92050" s="193"/>
    </row>
    <row r="92051" spans="6:6" x14ac:dyDescent="0.3">
      <c r="F92051" s="193"/>
    </row>
    <row r="92052" spans="6:6" x14ac:dyDescent="0.3">
      <c r="F92052" s="193"/>
    </row>
    <row r="92053" spans="6:6" x14ac:dyDescent="0.3">
      <c r="F92053" s="193"/>
    </row>
    <row r="92054" spans="6:6" x14ac:dyDescent="0.3">
      <c r="F92054" s="193"/>
    </row>
    <row r="92055" spans="6:6" x14ac:dyDescent="0.3">
      <c r="F92055" s="193"/>
    </row>
    <row r="92056" spans="6:6" x14ac:dyDescent="0.3">
      <c r="F92056" s="193"/>
    </row>
    <row r="92057" spans="6:6" x14ac:dyDescent="0.3">
      <c r="F92057" s="193"/>
    </row>
    <row r="92058" spans="6:6" x14ac:dyDescent="0.3">
      <c r="F92058" s="193"/>
    </row>
    <row r="92059" spans="6:6" x14ac:dyDescent="0.3">
      <c r="F92059" s="193"/>
    </row>
    <row r="92060" spans="6:6" x14ac:dyDescent="0.3">
      <c r="F92060" s="193"/>
    </row>
    <row r="92061" spans="6:6" x14ac:dyDescent="0.3">
      <c r="F92061" s="193"/>
    </row>
    <row r="92062" spans="6:6" x14ac:dyDescent="0.3">
      <c r="F92062" s="193"/>
    </row>
    <row r="92063" spans="6:6" x14ac:dyDescent="0.3">
      <c r="F92063" s="193"/>
    </row>
    <row r="92064" spans="6:6" x14ac:dyDescent="0.3">
      <c r="F92064" s="193"/>
    </row>
    <row r="92065" spans="6:6" x14ac:dyDescent="0.3">
      <c r="F92065" s="193"/>
    </row>
    <row r="92066" spans="6:6" x14ac:dyDescent="0.3">
      <c r="F92066" s="193"/>
    </row>
    <row r="92067" spans="6:6" x14ac:dyDescent="0.3">
      <c r="F92067" s="193"/>
    </row>
    <row r="92068" spans="6:6" x14ac:dyDescent="0.3">
      <c r="F92068" s="193"/>
    </row>
    <row r="92069" spans="6:6" x14ac:dyDescent="0.3">
      <c r="F92069" s="193"/>
    </row>
    <row r="92070" spans="6:6" x14ac:dyDescent="0.3">
      <c r="F92070" s="193"/>
    </row>
    <row r="92071" spans="6:6" x14ac:dyDescent="0.3">
      <c r="F92071" s="193"/>
    </row>
    <row r="92072" spans="6:6" x14ac:dyDescent="0.3">
      <c r="F92072" s="193"/>
    </row>
    <row r="92073" spans="6:6" x14ac:dyDescent="0.3">
      <c r="F92073" s="193"/>
    </row>
    <row r="92074" spans="6:6" x14ac:dyDescent="0.3">
      <c r="F92074" s="193"/>
    </row>
    <row r="92075" spans="6:6" x14ac:dyDescent="0.3">
      <c r="F92075" s="193"/>
    </row>
    <row r="92076" spans="6:6" x14ac:dyDescent="0.3">
      <c r="F92076" s="193"/>
    </row>
    <row r="92077" spans="6:6" x14ac:dyDescent="0.3">
      <c r="F92077" s="193"/>
    </row>
    <row r="92078" spans="6:6" x14ac:dyDescent="0.3">
      <c r="F92078" s="193"/>
    </row>
    <row r="92079" spans="6:6" x14ac:dyDescent="0.3">
      <c r="F92079" s="193"/>
    </row>
    <row r="92080" spans="6:6" x14ac:dyDescent="0.3">
      <c r="F92080" s="193"/>
    </row>
    <row r="92081" spans="6:6" x14ac:dyDescent="0.3">
      <c r="F92081" s="193"/>
    </row>
    <row r="92082" spans="6:6" x14ac:dyDescent="0.3">
      <c r="F92082" s="193"/>
    </row>
    <row r="92083" spans="6:6" x14ac:dyDescent="0.3">
      <c r="F92083" s="193"/>
    </row>
    <row r="92084" spans="6:6" x14ac:dyDescent="0.3">
      <c r="F92084" s="193"/>
    </row>
    <row r="92085" spans="6:6" x14ac:dyDescent="0.3">
      <c r="F92085" s="193"/>
    </row>
    <row r="92086" spans="6:6" x14ac:dyDescent="0.3">
      <c r="F92086" s="193"/>
    </row>
    <row r="92087" spans="6:6" x14ac:dyDescent="0.3">
      <c r="F92087" s="193"/>
    </row>
    <row r="92088" spans="6:6" x14ac:dyDescent="0.3">
      <c r="F92088" s="193"/>
    </row>
    <row r="92089" spans="6:6" x14ac:dyDescent="0.3">
      <c r="F92089" s="193"/>
    </row>
    <row r="92090" spans="6:6" x14ac:dyDescent="0.3">
      <c r="F92090" s="193"/>
    </row>
    <row r="92091" spans="6:6" x14ac:dyDescent="0.3">
      <c r="F92091" s="193"/>
    </row>
    <row r="92092" spans="6:6" x14ac:dyDescent="0.3">
      <c r="F92092" s="193"/>
    </row>
    <row r="92093" spans="6:6" x14ac:dyDescent="0.3">
      <c r="F92093" s="193"/>
    </row>
    <row r="92094" spans="6:6" x14ac:dyDescent="0.3">
      <c r="F92094" s="193"/>
    </row>
    <row r="92095" spans="6:6" x14ac:dyDescent="0.3">
      <c r="F92095" s="193"/>
    </row>
    <row r="92096" spans="6:6" x14ac:dyDescent="0.3">
      <c r="F92096" s="193"/>
    </row>
    <row r="92097" spans="6:6" x14ac:dyDescent="0.3">
      <c r="F92097" s="193"/>
    </row>
    <row r="92098" spans="6:6" x14ac:dyDescent="0.3">
      <c r="F92098" s="193"/>
    </row>
    <row r="92099" spans="6:6" x14ac:dyDescent="0.3">
      <c r="F92099" s="193"/>
    </row>
    <row r="92100" spans="6:6" x14ac:dyDescent="0.3">
      <c r="F92100" s="193"/>
    </row>
    <row r="92101" spans="6:6" x14ac:dyDescent="0.3">
      <c r="F92101" s="193"/>
    </row>
    <row r="92102" spans="6:6" x14ac:dyDescent="0.3">
      <c r="F92102" s="193"/>
    </row>
    <row r="92103" spans="6:6" x14ac:dyDescent="0.3">
      <c r="F92103" s="193"/>
    </row>
    <row r="92104" spans="6:6" x14ac:dyDescent="0.3">
      <c r="F92104" s="193"/>
    </row>
    <row r="92105" spans="6:6" x14ac:dyDescent="0.3">
      <c r="F92105" s="193"/>
    </row>
    <row r="92106" spans="6:6" x14ac:dyDescent="0.3">
      <c r="F92106" s="193"/>
    </row>
    <row r="92107" spans="6:6" x14ac:dyDescent="0.3">
      <c r="F92107" s="193"/>
    </row>
    <row r="92108" spans="6:6" x14ac:dyDescent="0.3">
      <c r="F92108" s="193"/>
    </row>
    <row r="92109" spans="6:6" x14ac:dyDescent="0.3">
      <c r="F92109" s="193"/>
    </row>
    <row r="92110" spans="6:6" x14ac:dyDescent="0.3">
      <c r="F92110" s="193"/>
    </row>
    <row r="92111" spans="6:6" x14ac:dyDescent="0.3">
      <c r="F92111" s="193"/>
    </row>
    <row r="92112" spans="6:6" x14ac:dyDescent="0.3">
      <c r="F92112" s="193"/>
    </row>
    <row r="92113" spans="6:6" x14ac:dyDescent="0.3">
      <c r="F92113" s="193"/>
    </row>
    <row r="92114" spans="6:6" x14ac:dyDescent="0.3">
      <c r="F92114" s="193"/>
    </row>
    <row r="92115" spans="6:6" x14ac:dyDescent="0.3">
      <c r="F92115" s="193"/>
    </row>
    <row r="92116" spans="6:6" x14ac:dyDescent="0.3">
      <c r="F92116" s="193"/>
    </row>
    <row r="92117" spans="6:6" x14ac:dyDescent="0.3">
      <c r="F92117" s="193"/>
    </row>
    <row r="92118" spans="6:6" x14ac:dyDescent="0.3">
      <c r="F92118" s="193"/>
    </row>
    <row r="92119" spans="6:6" x14ac:dyDescent="0.3">
      <c r="F92119" s="193"/>
    </row>
    <row r="92120" spans="6:6" x14ac:dyDescent="0.3">
      <c r="F92120" s="193"/>
    </row>
    <row r="92121" spans="6:6" x14ac:dyDescent="0.3">
      <c r="F92121" s="193"/>
    </row>
    <row r="92122" spans="6:6" x14ac:dyDescent="0.3">
      <c r="F92122" s="193"/>
    </row>
    <row r="92123" spans="6:6" x14ac:dyDescent="0.3">
      <c r="F92123" s="193"/>
    </row>
    <row r="92124" spans="6:6" x14ac:dyDescent="0.3">
      <c r="F92124" s="193"/>
    </row>
    <row r="92125" spans="6:6" x14ac:dyDescent="0.3">
      <c r="F92125" s="193"/>
    </row>
    <row r="92126" spans="6:6" x14ac:dyDescent="0.3">
      <c r="F92126" s="193"/>
    </row>
    <row r="92127" spans="6:6" x14ac:dyDescent="0.3">
      <c r="F92127" s="193"/>
    </row>
    <row r="92128" spans="6:6" x14ac:dyDescent="0.3">
      <c r="F92128" s="193"/>
    </row>
    <row r="92129" spans="6:6" x14ac:dyDescent="0.3">
      <c r="F92129" s="193"/>
    </row>
    <row r="92130" spans="6:6" x14ac:dyDescent="0.3">
      <c r="F92130" s="193"/>
    </row>
    <row r="92131" spans="6:6" x14ac:dyDescent="0.3">
      <c r="F92131" s="193"/>
    </row>
    <row r="92132" spans="6:6" x14ac:dyDescent="0.3">
      <c r="F92132" s="193"/>
    </row>
    <row r="92133" spans="6:6" x14ac:dyDescent="0.3">
      <c r="F92133" s="193"/>
    </row>
    <row r="92134" spans="6:6" x14ac:dyDescent="0.3">
      <c r="F92134" s="193"/>
    </row>
    <row r="92135" spans="6:6" x14ac:dyDescent="0.3">
      <c r="F92135" s="193"/>
    </row>
    <row r="92136" spans="6:6" x14ac:dyDescent="0.3">
      <c r="F92136" s="193"/>
    </row>
    <row r="92137" spans="6:6" x14ac:dyDescent="0.3">
      <c r="F92137" s="193"/>
    </row>
    <row r="92138" spans="6:6" x14ac:dyDescent="0.3">
      <c r="F92138" s="193"/>
    </row>
    <row r="92139" spans="6:6" x14ac:dyDescent="0.3">
      <c r="F92139" s="193"/>
    </row>
    <row r="92140" spans="6:6" x14ac:dyDescent="0.3">
      <c r="F92140" s="193"/>
    </row>
    <row r="92141" spans="6:6" x14ac:dyDescent="0.3">
      <c r="F92141" s="193"/>
    </row>
    <row r="92142" spans="6:6" x14ac:dyDescent="0.3">
      <c r="F92142" s="193"/>
    </row>
    <row r="92143" spans="6:6" x14ac:dyDescent="0.3">
      <c r="F92143" s="193"/>
    </row>
    <row r="92144" spans="6:6" x14ac:dyDescent="0.3">
      <c r="F92144" s="193"/>
    </row>
    <row r="92145" spans="6:6" x14ac:dyDescent="0.3">
      <c r="F92145" s="193"/>
    </row>
    <row r="92146" spans="6:6" x14ac:dyDescent="0.3">
      <c r="F92146" s="193"/>
    </row>
    <row r="92147" spans="6:6" x14ac:dyDescent="0.3">
      <c r="F92147" s="193"/>
    </row>
    <row r="92148" spans="6:6" x14ac:dyDescent="0.3">
      <c r="F92148" s="193"/>
    </row>
    <row r="92149" spans="6:6" x14ac:dyDescent="0.3">
      <c r="F92149" s="193"/>
    </row>
    <row r="92150" spans="6:6" x14ac:dyDescent="0.3">
      <c r="F92150" s="193"/>
    </row>
    <row r="92151" spans="6:6" x14ac:dyDescent="0.3">
      <c r="F92151" s="193"/>
    </row>
    <row r="92152" spans="6:6" x14ac:dyDescent="0.3">
      <c r="F92152" s="193"/>
    </row>
    <row r="92153" spans="6:6" x14ac:dyDescent="0.3">
      <c r="F92153" s="193"/>
    </row>
    <row r="92154" spans="6:6" x14ac:dyDescent="0.3">
      <c r="F92154" s="193"/>
    </row>
    <row r="92155" spans="6:6" x14ac:dyDescent="0.3">
      <c r="F92155" s="193"/>
    </row>
    <row r="92156" spans="6:6" x14ac:dyDescent="0.3">
      <c r="F92156" s="193"/>
    </row>
    <row r="92157" spans="6:6" x14ac:dyDescent="0.3">
      <c r="F92157" s="193"/>
    </row>
    <row r="92158" spans="6:6" x14ac:dyDescent="0.3">
      <c r="F92158" s="193"/>
    </row>
    <row r="92159" spans="6:6" x14ac:dyDescent="0.3">
      <c r="F92159" s="193"/>
    </row>
    <row r="92160" spans="6:6" x14ac:dyDescent="0.3">
      <c r="F92160" s="193"/>
    </row>
    <row r="92161" spans="6:6" x14ac:dyDescent="0.3">
      <c r="F92161" s="193"/>
    </row>
    <row r="92162" spans="6:6" x14ac:dyDescent="0.3">
      <c r="F92162" s="193"/>
    </row>
    <row r="92163" spans="6:6" x14ac:dyDescent="0.3">
      <c r="F92163" s="193"/>
    </row>
    <row r="92164" spans="6:6" x14ac:dyDescent="0.3">
      <c r="F92164" s="193"/>
    </row>
    <row r="92165" spans="6:6" x14ac:dyDescent="0.3">
      <c r="F92165" s="193"/>
    </row>
    <row r="92166" spans="6:6" x14ac:dyDescent="0.3">
      <c r="F92166" s="193"/>
    </row>
    <row r="92167" spans="6:6" x14ac:dyDescent="0.3">
      <c r="F92167" s="193"/>
    </row>
    <row r="92168" spans="6:6" x14ac:dyDescent="0.3">
      <c r="F92168" s="193"/>
    </row>
    <row r="92169" spans="6:6" x14ac:dyDescent="0.3">
      <c r="F92169" s="193"/>
    </row>
    <row r="92170" spans="6:6" x14ac:dyDescent="0.3">
      <c r="F92170" s="193"/>
    </row>
    <row r="92171" spans="6:6" x14ac:dyDescent="0.3">
      <c r="F92171" s="193"/>
    </row>
    <row r="92172" spans="6:6" x14ac:dyDescent="0.3">
      <c r="F92172" s="193"/>
    </row>
    <row r="92173" spans="6:6" x14ac:dyDescent="0.3">
      <c r="F92173" s="193"/>
    </row>
    <row r="92174" spans="6:6" x14ac:dyDescent="0.3">
      <c r="F92174" s="193"/>
    </row>
    <row r="92175" spans="6:6" x14ac:dyDescent="0.3">
      <c r="F92175" s="193"/>
    </row>
    <row r="92176" spans="6:6" x14ac:dyDescent="0.3">
      <c r="F92176" s="193"/>
    </row>
    <row r="92177" spans="6:6" x14ac:dyDescent="0.3">
      <c r="F92177" s="193"/>
    </row>
    <row r="92178" spans="6:6" x14ac:dyDescent="0.3">
      <c r="F92178" s="193"/>
    </row>
    <row r="92179" spans="6:6" x14ac:dyDescent="0.3">
      <c r="F92179" s="193"/>
    </row>
    <row r="92180" spans="6:6" x14ac:dyDescent="0.3">
      <c r="F92180" s="193"/>
    </row>
    <row r="92181" spans="6:6" x14ac:dyDescent="0.3">
      <c r="F92181" s="193"/>
    </row>
    <row r="92182" spans="6:6" x14ac:dyDescent="0.3">
      <c r="F92182" s="193"/>
    </row>
    <row r="92183" spans="6:6" x14ac:dyDescent="0.3">
      <c r="F92183" s="193"/>
    </row>
    <row r="92184" spans="6:6" x14ac:dyDescent="0.3">
      <c r="F92184" s="193"/>
    </row>
    <row r="92185" spans="6:6" x14ac:dyDescent="0.3">
      <c r="F92185" s="193"/>
    </row>
    <row r="92186" spans="6:6" x14ac:dyDescent="0.3">
      <c r="F92186" s="193"/>
    </row>
    <row r="92187" spans="6:6" x14ac:dyDescent="0.3">
      <c r="F92187" s="193"/>
    </row>
    <row r="92188" spans="6:6" x14ac:dyDescent="0.3">
      <c r="F92188" s="193"/>
    </row>
    <row r="92189" spans="6:6" x14ac:dyDescent="0.3">
      <c r="F92189" s="193"/>
    </row>
    <row r="92190" spans="6:6" x14ac:dyDescent="0.3">
      <c r="F92190" s="193"/>
    </row>
    <row r="92191" spans="6:6" x14ac:dyDescent="0.3">
      <c r="F92191" s="193"/>
    </row>
    <row r="92192" spans="6:6" x14ac:dyDescent="0.3">
      <c r="F92192" s="193"/>
    </row>
    <row r="92193" spans="6:6" x14ac:dyDescent="0.3">
      <c r="F92193" s="193"/>
    </row>
    <row r="92194" spans="6:6" x14ac:dyDescent="0.3">
      <c r="F92194" s="193"/>
    </row>
    <row r="92195" spans="6:6" x14ac:dyDescent="0.3">
      <c r="F92195" s="193"/>
    </row>
    <row r="92196" spans="6:6" x14ac:dyDescent="0.3">
      <c r="F92196" s="193"/>
    </row>
    <row r="92197" spans="6:6" x14ac:dyDescent="0.3">
      <c r="F92197" s="193"/>
    </row>
    <row r="92198" spans="6:6" x14ac:dyDescent="0.3">
      <c r="F92198" s="193"/>
    </row>
    <row r="92199" spans="6:6" x14ac:dyDescent="0.3">
      <c r="F92199" s="193"/>
    </row>
    <row r="92200" spans="6:6" x14ac:dyDescent="0.3">
      <c r="F92200" s="193"/>
    </row>
    <row r="92201" spans="6:6" x14ac:dyDescent="0.3">
      <c r="F92201" s="193"/>
    </row>
    <row r="92202" spans="6:6" x14ac:dyDescent="0.3">
      <c r="F92202" s="193"/>
    </row>
    <row r="92203" spans="6:6" x14ac:dyDescent="0.3">
      <c r="F92203" s="193"/>
    </row>
    <row r="92204" spans="6:6" x14ac:dyDescent="0.3">
      <c r="F92204" s="193"/>
    </row>
    <row r="92205" spans="6:6" x14ac:dyDescent="0.3">
      <c r="F92205" s="193"/>
    </row>
    <row r="92206" spans="6:6" x14ac:dyDescent="0.3">
      <c r="F92206" s="193"/>
    </row>
    <row r="92207" spans="6:6" x14ac:dyDescent="0.3">
      <c r="F92207" s="193"/>
    </row>
    <row r="92208" spans="6:6" x14ac:dyDescent="0.3">
      <c r="F92208" s="193"/>
    </row>
    <row r="92209" spans="6:6" x14ac:dyDescent="0.3">
      <c r="F92209" s="193"/>
    </row>
    <row r="92210" spans="6:6" x14ac:dyDescent="0.3">
      <c r="F92210" s="193"/>
    </row>
    <row r="92211" spans="6:6" x14ac:dyDescent="0.3">
      <c r="F92211" s="193"/>
    </row>
    <row r="92212" spans="6:6" x14ac:dyDescent="0.3">
      <c r="F92212" s="193"/>
    </row>
    <row r="92213" spans="6:6" x14ac:dyDescent="0.3">
      <c r="F92213" s="193"/>
    </row>
    <row r="92214" spans="6:6" x14ac:dyDescent="0.3">
      <c r="F92214" s="193"/>
    </row>
    <row r="92215" spans="6:6" x14ac:dyDescent="0.3">
      <c r="F92215" s="193"/>
    </row>
    <row r="92216" spans="6:6" x14ac:dyDescent="0.3">
      <c r="F92216" s="193"/>
    </row>
    <row r="92217" spans="6:6" x14ac:dyDescent="0.3">
      <c r="F92217" s="193"/>
    </row>
    <row r="92218" spans="6:6" x14ac:dyDescent="0.3">
      <c r="F92218" s="193"/>
    </row>
    <row r="92219" spans="6:6" x14ac:dyDescent="0.3">
      <c r="F92219" s="193"/>
    </row>
    <row r="92220" spans="6:6" x14ac:dyDescent="0.3">
      <c r="F92220" s="193"/>
    </row>
    <row r="92221" spans="6:6" x14ac:dyDescent="0.3">
      <c r="F92221" s="193"/>
    </row>
    <row r="92222" spans="6:6" x14ac:dyDescent="0.3">
      <c r="F92222" s="193"/>
    </row>
    <row r="92223" spans="6:6" x14ac:dyDescent="0.3">
      <c r="F92223" s="193"/>
    </row>
    <row r="92224" spans="6:6" x14ac:dyDescent="0.3">
      <c r="F92224" s="193"/>
    </row>
    <row r="92225" spans="6:6" x14ac:dyDescent="0.3">
      <c r="F92225" s="193"/>
    </row>
    <row r="92226" spans="6:6" x14ac:dyDescent="0.3">
      <c r="F92226" s="193"/>
    </row>
    <row r="92227" spans="6:6" x14ac:dyDescent="0.3">
      <c r="F92227" s="193"/>
    </row>
    <row r="92228" spans="6:6" x14ac:dyDescent="0.3">
      <c r="F92228" s="193"/>
    </row>
    <row r="92229" spans="6:6" x14ac:dyDescent="0.3">
      <c r="F92229" s="193"/>
    </row>
    <row r="92230" spans="6:6" x14ac:dyDescent="0.3">
      <c r="F92230" s="193"/>
    </row>
    <row r="92231" spans="6:6" x14ac:dyDescent="0.3">
      <c r="F92231" s="193"/>
    </row>
    <row r="92232" spans="6:6" x14ac:dyDescent="0.3">
      <c r="F92232" s="193"/>
    </row>
    <row r="92233" spans="6:6" x14ac:dyDescent="0.3">
      <c r="F92233" s="193"/>
    </row>
    <row r="92234" spans="6:6" x14ac:dyDescent="0.3">
      <c r="F92234" s="193"/>
    </row>
    <row r="92235" spans="6:6" x14ac:dyDescent="0.3">
      <c r="F92235" s="193"/>
    </row>
    <row r="92236" spans="6:6" x14ac:dyDescent="0.3">
      <c r="F92236" s="193"/>
    </row>
    <row r="92237" spans="6:6" x14ac:dyDescent="0.3">
      <c r="F92237" s="193"/>
    </row>
    <row r="92238" spans="6:6" x14ac:dyDescent="0.3">
      <c r="F92238" s="193"/>
    </row>
    <row r="92239" spans="6:6" x14ac:dyDescent="0.3">
      <c r="F92239" s="193"/>
    </row>
    <row r="92240" spans="6:6" x14ac:dyDescent="0.3">
      <c r="F92240" s="193"/>
    </row>
    <row r="92241" spans="6:6" x14ac:dyDescent="0.3">
      <c r="F92241" s="193"/>
    </row>
    <row r="92242" spans="6:6" x14ac:dyDescent="0.3">
      <c r="F92242" s="193"/>
    </row>
    <row r="92243" spans="6:6" x14ac:dyDescent="0.3">
      <c r="F92243" s="193"/>
    </row>
    <row r="92244" spans="6:6" x14ac:dyDescent="0.3">
      <c r="F92244" s="193"/>
    </row>
    <row r="92245" spans="6:6" x14ac:dyDescent="0.3">
      <c r="F92245" s="193"/>
    </row>
    <row r="92246" spans="6:6" x14ac:dyDescent="0.3">
      <c r="F92246" s="193"/>
    </row>
    <row r="92247" spans="6:6" x14ac:dyDescent="0.3">
      <c r="F92247" s="193"/>
    </row>
    <row r="92248" spans="6:6" x14ac:dyDescent="0.3">
      <c r="F92248" s="193"/>
    </row>
    <row r="92249" spans="6:6" x14ac:dyDescent="0.3">
      <c r="F92249" s="193"/>
    </row>
    <row r="92250" spans="6:6" x14ac:dyDescent="0.3">
      <c r="F92250" s="193"/>
    </row>
    <row r="92251" spans="6:6" x14ac:dyDescent="0.3">
      <c r="F92251" s="193"/>
    </row>
    <row r="92252" spans="6:6" x14ac:dyDescent="0.3">
      <c r="F92252" s="193"/>
    </row>
    <row r="92253" spans="6:6" x14ac:dyDescent="0.3">
      <c r="F92253" s="193"/>
    </row>
    <row r="92254" spans="6:6" x14ac:dyDescent="0.3">
      <c r="F92254" s="193"/>
    </row>
    <row r="92255" spans="6:6" x14ac:dyDescent="0.3">
      <c r="F92255" s="193"/>
    </row>
    <row r="92256" spans="6:6" x14ac:dyDescent="0.3">
      <c r="F92256" s="193"/>
    </row>
    <row r="92257" spans="6:6" x14ac:dyDescent="0.3">
      <c r="F92257" s="193"/>
    </row>
    <row r="92258" spans="6:6" x14ac:dyDescent="0.3">
      <c r="F92258" s="193"/>
    </row>
    <row r="92259" spans="6:6" x14ac:dyDescent="0.3">
      <c r="F92259" s="193"/>
    </row>
    <row r="92260" spans="6:6" x14ac:dyDescent="0.3">
      <c r="F92260" s="193"/>
    </row>
    <row r="92261" spans="6:6" x14ac:dyDescent="0.3">
      <c r="F92261" s="193"/>
    </row>
    <row r="92262" spans="6:6" x14ac:dyDescent="0.3">
      <c r="F92262" s="193"/>
    </row>
    <row r="92263" spans="6:6" x14ac:dyDescent="0.3">
      <c r="F92263" s="193"/>
    </row>
    <row r="92264" spans="6:6" x14ac:dyDescent="0.3">
      <c r="F92264" s="193"/>
    </row>
    <row r="92265" spans="6:6" x14ac:dyDescent="0.3">
      <c r="F92265" s="193"/>
    </row>
    <row r="92266" spans="6:6" x14ac:dyDescent="0.3">
      <c r="F92266" s="193"/>
    </row>
    <row r="92267" spans="6:6" x14ac:dyDescent="0.3">
      <c r="F92267" s="193"/>
    </row>
    <row r="92268" spans="6:6" x14ac:dyDescent="0.3">
      <c r="F92268" s="193"/>
    </row>
    <row r="92269" spans="6:6" x14ac:dyDescent="0.3">
      <c r="F92269" s="193"/>
    </row>
    <row r="92270" spans="6:6" x14ac:dyDescent="0.3">
      <c r="F92270" s="193"/>
    </row>
    <row r="92271" spans="6:6" x14ac:dyDescent="0.3">
      <c r="F92271" s="193"/>
    </row>
    <row r="92272" spans="6:6" x14ac:dyDescent="0.3">
      <c r="F92272" s="193"/>
    </row>
    <row r="92273" spans="6:6" x14ac:dyDescent="0.3">
      <c r="F92273" s="193"/>
    </row>
    <row r="92274" spans="6:6" x14ac:dyDescent="0.3">
      <c r="F92274" s="193"/>
    </row>
    <row r="92275" spans="6:6" x14ac:dyDescent="0.3">
      <c r="F92275" s="193"/>
    </row>
    <row r="92276" spans="6:6" x14ac:dyDescent="0.3">
      <c r="F92276" s="193"/>
    </row>
    <row r="92277" spans="6:6" x14ac:dyDescent="0.3">
      <c r="F92277" s="193"/>
    </row>
    <row r="92278" spans="6:6" x14ac:dyDescent="0.3">
      <c r="F92278" s="193"/>
    </row>
    <row r="92279" spans="6:6" x14ac:dyDescent="0.3">
      <c r="F92279" s="193"/>
    </row>
    <row r="92280" spans="6:6" x14ac:dyDescent="0.3">
      <c r="F92280" s="193"/>
    </row>
    <row r="92281" spans="6:6" x14ac:dyDescent="0.3">
      <c r="F92281" s="193"/>
    </row>
    <row r="92282" spans="6:6" x14ac:dyDescent="0.3">
      <c r="F92282" s="193"/>
    </row>
    <row r="92283" spans="6:6" x14ac:dyDescent="0.3">
      <c r="F92283" s="193"/>
    </row>
    <row r="92284" spans="6:6" x14ac:dyDescent="0.3">
      <c r="F92284" s="193"/>
    </row>
    <row r="92285" spans="6:6" x14ac:dyDescent="0.3">
      <c r="F92285" s="193"/>
    </row>
    <row r="92286" spans="6:6" x14ac:dyDescent="0.3">
      <c r="F92286" s="193"/>
    </row>
    <row r="92287" spans="6:6" x14ac:dyDescent="0.3">
      <c r="F92287" s="193"/>
    </row>
    <row r="92288" spans="6:6" x14ac:dyDescent="0.3">
      <c r="F92288" s="193"/>
    </row>
    <row r="92289" spans="6:6" x14ac:dyDescent="0.3">
      <c r="F92289" s="193"/>
    </row>
    <row r="92290" spans="6:6" x14ac:dyDescent="0.3">
      <c r="F92290" s="193"/>
    </row>
    <row r="92291" spans="6:6" x14ac:dyDescent="0.3">
      <c r="F92291" s="193"/>
    </row>
    <row r="92292" spans="6:6" x14ac:dyDescent="0.3">
      <c r="F92292" s="193"/>
    </row>
    <row r="92293" spans="6:6" x14ac:dyDescent="0.3">
      <c r="F92293" s="193"/>
    </row>
    <row r="92294" spans="6:6" x14ac:dyDescent="0.3">
      <c r="F92294" s="193"/>
    </row>
    <row r="92295" spans="6:6" x14ac:dyDescent="0.3">
      <c r="F92295" s="193"/>
    </row>
    <row r="92296" spans="6:6" x14ac:dyDescent="0.3">
      <c r="F92296" s="193"/>
    </row>
    <row r="92297" spans="6:6" x14ac:dyDescent="0.3">
      <c r="F92297" s="193"/>
    </row>
    <row r="92298" spans="6:6" x14ac:dyDescent="0.3">
      <c r="F92298" s="193"/>
    </row>
    <row r="92299" spans="6:6" x14ac:dyDescent="0.3">
      <c r="F92299" s="193"/>
    </row>
    <row r="92300" spans="6:6" x14ac:dyDescent="0.3">
      <c r="F92300" s="193"/>
    </row>
    <row r="92301" spans="6:6" x14ac:dyDescent="0.3">
      <c r="F92301" s="193"/>
    </row>
    <row r="92302" spans="6:6" x14ac:dyDescent="0.3">
      <c r="F92302" s="193"/>
    </row>
    <row r="92303" spans="6:6" x14ac:dyDescent="0.3">
      <c r="F92303" s="193"/>
    </row>
    <row r="92304" spans="6:6" x14ac:dyDescent="0.3">
      <c r="F92304" s="193"/>
    </row>
    <row r="92305" spans="6:6" x14ac:dyDescent="0.3">
      <c r="F92305" s="193"/>
    </row>
    <row r="92306" spans="6:6" x14ac:dyDescent="0.3">
      <c r="F92306" s="193"/>
    </row>
    <row r="92307" spans="6:6" x14ac:dyDescent="0.3">
      <c r="F92307" s="193"/>
    </row>
    <row r="92308" spans="6:6" x14ac:dyDescent="0.3">
      <c r="F92308" s="193"/>
    </row>
    <row r="92309" spans="6:6" x14ac:dyDescent="0.3">
      <c r="F92309" s="193"/>
    </row>
    <row r="92310" spans="6:6" x14ac:dyDescent="0.3">
      <c r="F92310" s="193"/>
    </row>
    <row r="92311" spans="6:6" x14ac:dyDescent="0.3">
      <c r="F92311" s="193"/>
    </row>
    <row r="92312" spans="6:6" x14ac:dyDescent="0.3">
      <c r="F92312" s="193"/>
    </row>
    <row r="92313" spans="6:6" x14ac:dyDescent="0.3">
      <c r="F92313" s="193"/>
    </row>
    <row r="92314" spans="6:6" x14ac:dyDescent="0.3">
      <c r="F92314" s="193"/>
    </row>
    <row r="92315" spans="6:6" x14ac:dyDescent="0.3">
      <c r="F92315" s="193"/>
    </row>
    <row r="92316" spans="6:6" x14ac:dyDescent="0.3">
      <c r="F92316" s="193"/>
    </row>
    <row r="92317" spans="6:6" x14ac:dyDescent="0.3">
      <c r="F92317" s="193"/>
    </row>
    <row r="92318" spans="6:6" x14ac:dyDescent="0.3">
      <c r="F92318" s="193"/>
    </row>
    <row r="92319" spans="6:6" x14ac:dyDescent="0.3">
      <c r="F92319" s="193"/>
    </row>
    <row r="92320" spans="6:6" x14ac:dyDescent="0.3">
      <c r="F92320" s="193"/>
    </row>
    <row r="92321" spans="6:6" x14ac:dyDescent="0.3">
      <c r="F92321" s="193"/>
    </row>
    <row r="92322" spans="6:6" x14ac:dyDescent="0.3">
      <c r="F92322" s="193"/>
    </row>
    <row r="92323" spans="6:6" x14ac:dyDescent="0.3">
      <c r="F92323" s="193"/>
    </row>
    <row r="92324" spans="6:6" x14ac:dyDescent="0.3">
      <c r="F92324" s="193"/>
    </row>
    <row r="92325" spans="6:6" x14ac:dyDescent="0.3">
      <c r="F92325" s="193"/>
    </row>
    <row r="92326" spans="6:6" x14ac:dyDescent="0.3">
      <c r="F92326" s="193"/>
    </row>
    <row r="92327" spans="6:6" x14ac:dyDescent="0.3">
      <c r="F92327" s="193"/>
    </row>
    <row r="92328" spans="6:6" x14ac:dyDescent="0.3">
      <c r="F92328" s="193"/>
    </row>
    <row r="92329" spans="6:6" x14ac:dyDescent="0.3">
      <c r="F92329" s="193"/>
    </row>
    <row r="92330" spans="6:6" x14ac:dyDescent="0.3">
      <c r="F92330" s="193"/>
    </row>
    <row r="92331" spans="6:6" x14ac:dyDescent="0.3">
      <c r="F92331" s="193"/>
    </row>
    <row r="92332" spans="6:6" x14ac:dyDescent="0.3">
      <c r="F92332" s="193"/>
    </row>
    <row r="92333" spans="6:6" x14ac:dyDescent="0.3">
      <c r="F92333" s="193"/>
    </row>
    <row r="92334" spans="6:6" x14ac:dyDescent="0.3">
      <c r="F92334" s="193"/>
    </row>
    <row r="92335" spans="6:6" x14ac:dyDescent="0.3">
      <c r="F92335" s="193"/>
    </row>
    <row r="92336" spans="6:6" x14ac:dyDescent="0.3">
      <c r="F92336" s="193"/>
    </row>
    <row r="92337" spans="6:6" x14ac:dyDescent="0.3">
      <c r="F92337" s="193"/>
    </row>
    <row r="92338" spans="6:6" x14ac:dyDescent="0.3">
      <c r="F92338" s="193"/>
    </row>
    <row r="92339" spans="6:6" x14ac:dyDescent="0.3">
      <c r="F92339" s="193"/>
    </row>
    <row r="92340" spans="6:6" x14ac:dyDescent="0.3">
      <c r="F92340" s="193"/>
    </row>
    <row r="92341" spans="6:6" x14ac:dyDescent="0.3">
      <c r="F92341" s="193"/>
    </row>
    <row r="92342" spans="6:6" x14ac:dyDescent="0.3">
      <c r="F92342" s="193"/>
    </row>
    <row r="92343" spans="6:6" x14ac:dyDescent="0.3">
      <c r="F92343" s="193"/>
    </row>
    <row r="92344" spans="6:6" x14ac:dyDescent="0.3">
      <c r="F92344" s="193"/>
    </row>
    <row r="92345" spans="6:6" x14ac:dyDescent="0.3">
      <c r="F92345" s="193"/>
    </row>
    <row r="92346" spans="6:6" x14ac:dyDescent="0.3">
      <c r="F92346" s="193"/>
    </row>
    <row r="92347" spans="6:6" x14ac:dyDescent="0.3">
      <c r="F92347" s="193"/>
    </row>
    <row r="92348" spans="6:6" x14ac:dyDescent="0.3">
      <c r="F92348" s="193"/>
    </row>
    <row r="92349" spans="6:6" x14ac:dyDescent="0.3">
      <c r="F92349" s="193"/>
    </row>
    <row r="92350" spans="6:6" x14ac:dyDescent="0.3">
      <c r="F92350" s="193"/>
    </row>
    <row r="92351" spans="6:6" x14ac:dyDescent="0.3">
      <c r="F92351" s="193"/>
    </row>
    <row r="92352" spans="6:6" x14ac:dyDescent="0.3">
      <c r="F92352" s="193"/>
    </row>
    <row r="92353" spans="6:6" x14ac:dyDescent="0.3">
      <c r="F92353" s="193"/>
    </row>
    <row r="92354" spans="6:6" x14ac:dyDescent="0.3">
      <c r="F92354" s="193"/>
    </row>
    <row r="92355" spans="6:6" x14ac:dyDescent="0.3">
      <c r="F92355" s="193"/>
    </row>
    <row r="92356" spans="6:6" x14ac:dyDescent="0.3">
      <c r="F92356" s="193"/>
    </row>
    <row r="92357" spans="6:6" x14ac:dyDescent="0.3">
      <c r="F92357" s="193"/>
    </row>
    <row r="92358" spans="6:6" x14ac:dyDescent="0.3">
      <c r="F92358" s="193"/>
    </row>
    <row r="92359" spans="6:6" x14ac:dyDescent="0.3">
      <c r="F92359" s="193"/>
    </row>
    <row r="92360" spans="6:6" x14ac:dyDescent="0.3">
      <c r="F92360" s="193"/>
    </row>
    <row r="92361" spans="6:6" x14ac:dyDescent="0.3">
      <c r="F92361" s="193"/>
    </row>
    <row r="92362" spans="6:6" x14ac:dyDescent="0.3">
      <c r="F92362" s="193"/>
    </row>
    <row r="92363" spans="6:6" x14ac:dyDescent="0.3">
      <c r="F92363" s="193"/>
    </row>
    <row r="92364" spans="6:6" x14ac:dyDescent="0.3">
      <c r="F92364" s="193"/>
    </row>
    <row r="92365" spans="6:6" x14ac:dyDescent="0.3">
      <c r="F92365" s="193"/>
    </row>
    <row r="92366" spans="6:6" x14ac:dyDescent="0.3">
      <c r="F92366" s="193"/>
    </row>
    <row r="92367" spans="6:6" x14ac:dyDescent="0.3">
      <c r="F92367" s="193"/>
    </row>
    <row r="92368" spans="6:6" x14ac:dyDescent="0.3">
      <c r="F92368" s="193"/>
    </row>
    <row r="92369" spans="6:6" x14ac:dyDescent="0.3">
      <c r="F92369" s="193"/>
    </row>
    <row r="92370" spans="6:6" x14ac:dyDescent="0.3">
      <c r="F92370" s="193"/>
    </row>
    <row r="92371" spans="6:6" x14ac:dyDescent="0.3">
      <c r="F92371" s="193"/>
    </row>
    <row r="92372" spans="6:6" x14ac:dyDescent="0.3">
      <c r="F92372" s="193"/>
    </row>
    <row r="92373" spans="6:6" x14ac:dyDescent="0.3">
      <c r="F92373" s="193"/>
    </row>
    <row r="92374" spans="6:6" x14ac:dyDescent="0.3">
      <c r="F92374" s="193"/>
    </row>
    <row r="92375" spans="6:6" x14ac:dyDescent="0.3">
      <c r="F92375" s="193"/>
    </row>
    <row r="92376" spans="6:6" x14ac:dyDescent="0.3">
      <c r="F92376" s="193"/>
    </row>
    <row r="92377" spans="6:6" x14ac:dyDescent="0.3">
      <c r="F92377" s="193"/>
    </row>
    <row r="92378" spans="6:6" x14ac:dyDescent="0.3">
      <c r="F92378" s="193"/>
    </row>
    <row r="92379" spans="6:6" x14ac:dyDescent="0.3">
      <c r="F92379" s="193"/>
    </row>
    <row r="92380" spans="6:6" x14ac:dyDescent="0.3">
      <c r="F92380" s="193"/>
    </row>
    <row r="92381" spans="6:6" x14ac:dyDescent="0.3">
      <c r="F92381" s="193"/>
    </row>
    <row r="92382" spans="6:6" x14ac:dyDescent="0.3">
      <c r="F92382" s="193"/>
    </row>
    <row r="92383" spans="6:6" x14ac:dyDescent="0.3">
      <c r="F92383" s="193"/>
    </row>
    <row r="92384" spans="6:6" x14ac:dyDescent="0.3">
      <c r="F92384" s="193"/>
    </row>
    <row r="92385" spans="6:6" x14ac:dyDescent="0.3">
      <c r="F92385" s="193"/>
    </row>
    <row r="92386" spans="6:6" x14ac:dyDescent="0.3">
      <c r="F92386" s="193"/>
    </row>
    <row r="92387" spans="6:6" x14ac:dyDescent="0.3">
      <c r="F92387" s="193"/>
    </row>
    <row r="92388" spans="6:6" x14ac:dyDescent="0.3">
      <c r="F92388" s="193"/>
    </row>
    <row r="92389" spans="6:6" x14ac:dyDescent="0.3">
      <c r="F92389" s="193"/>
    </row>
    <row r="92390" spans="6:6" x14ac:dyDescent="0.3">
      <c r="F92390" s="193"/>
    </row>
    <row r="92391" spans="6:6" x14ac:dyDescent="0.3">
      <c r="F92391" s="193"/>
    </row>
    <row r="92392" spans="6:6" x14ac:dyDescent="0.3">
      <c r="F92392" s="193"/>
    </row>
    <row r="92393" spans="6:6" x14ac:dyDescent="0.3">
      <c r="F92393" s="193"/>
    </row>
    <row r="92394" spans="6:6" x14ac:dyDescent="0.3">
      <c r="F92394" s="193"/>
    </row>
    <row r="92395" spans="6:6" x14ac:dyDescent="0.3">
      <c r="F92395" s="193"/>
    </row>
    <row r="92396" spans="6:6" x14ac:dyDescent="0.3">
      <c r="F92396" s="193"/>
    </row>
    <row r="92397" spans="6:6" x14ac:dyDescent="0.3">
      <c r="F92397" s="193"/>
    </row>
    <row r="92398" spans="6:6" x14ac:dyDescent="0.3">
      <c r="F92398" s="193"/>
    </row>
    <row r="92399" spans="6:6" x14ac:dyDescent="0.3">
      <c r="F92399" s="193"/>
    </row>
    <row r="92400" spans="6:6" x14ac:dyDescent="0.3">
      <c r="F92400" s="193"/>
    </row>
    <row r="92401" spans="6:6" x14ac:dyDescent="0.3">
      <c r="F92401" s="193"/>
    </row>
    <row r="92402" spans="6:6" x14ac:dyDescent="0.3">
      <c r="F92402" s="193"/>
    </row>
    <row r="92403" spans="6:6" x14ac:dyDescent="0.3">
      <c r="F92403" s="193"/>
    </row>
    <row r="92404" spans="6:6" x14ac:dyDescent="0.3">
      <c r="F92404" s="193"/>
    </row>
    <row r="92405" spans="6:6" x14ac:dyDescent="0.3">
      <c r="F92405" s="193"/>
    </row>
    <row r="92406" spans="6:6" x14ac:dyDescent="0.3">
      <c r="F92406" s="193"/>
    </row>
    <row r="92407" spans="6:6" x14ac:dyDescent="0.3">
      <c r="F92407" s="193"/>
    </row>
    <row r="92408" spans="6:6" x14ac:dyDescent="0.3">
      <c r="F92408" s="193"/>
    </row>
    <row r="92409" spans="6:6" x14ac:dyDescent="0.3">
      <c r="F92409" s="193"/>
    </row>
    <row r="92410" spans="6:6" x14ac:dyDescent="0.3">
      <c r="F92410" s="193"/>
    </row>
    <row r="92411" spans="6:6" x14ac:dyDescent="0.3">
      <c r="F92411" s="193"/>
    </row>
    <row r="92412" spans="6:6" x14ac:dyDescent="0.3">
      <c r="F92412" s="193"/>
    </row>
    <row r="92413" spans="6:6" x14ac:dyDescent="0.3">
      <c r="F92413" s="193"/>
    </row>
    <row r="92414" spans="6:6" x14ac:dyDescent="0.3">
      <c r="F92414" s="193"/>
    </row>
    <row r="92415" spans="6:6" x14ac:dyDescent="0.3">
      <c r="F92415" s="193"/>
    </row>
    <row r="92416" spans="6:6" x14ac:dyDescent="0.3">
      <c r="F92416" s="193"/>
    </row>
    <row r="92417" spans="6:6" x14ac:dyDescent="0.3">
      <c r="F92417" s="193"/>
    </row>
    <row r="92418" spans="6:6" x14ac:dyDescent="0.3">
      <c r="F92418" s="193"/>
    </row>
    <row r="92419" spans="6:6" x14ac:dyDescent="0.3">
      <c r="F92419" s="193"/>
    </row>
    <row r="92420" spans="6:6" x14ac:dyDescent="0.3">
      <c r="F92420" s="193"/>
    </row>
    <row r="92421" spans="6:6" x14ac:dyDescent="0.3">
      <c r="F92421" s="193"/>
    </row>
    <row r="92422" spans="6:6" x14ac:dyDescent="0.3">
      <c r="F92422" s="193"/>
    </row>
    <row r="92423" spans="6:6" x14ac:dyDescent="0.3">
      <c r="F92423" s="193"/>
    </row>
    <row r="92424" spans="6:6" x14ac:dyDescent="0.3">
      <c r="F92424" s="193"/>
    </row>
    <row r="92425" spans="6:6" x14ac:dyDescent="0.3">
      <c r="F92425" s="193"/>
    </row>
    <row r="92426" spans="6:6" x14ac:dyDescent="0.3">
      <c r="F92426" s="193"/>
    </row>
    <row r="92427" spans="6:6" x14ac:dyDescent="0.3">
      <c r="F92427" s="193"/>
    </row>
    <row r="92428" spans="6:6" x14ac:dyDescent="0.3">
      <c r="F92428" s="193"/>
    </row>
    <row r="92429" spans="6:6" x14ac:dyDescent="0.3">
      <c r="F92429" s="193"/>
    </row>
    <row r="92430" spans="6:6" x14ac:dyDescent="0.3">
      <c r="F92430" s="193"/>
    </row>
    <row r="92431" spans="6:6" x14ac:dyDescent="0.3">
      <c r="F92431" s="193"/>
    </row>
    <row r="92432" spans="6:6" x14ac:dyDescent="0.3">
      <c r="F92432" s="193"/>
    </row>
    <row r="92433" spans="6:6" x14ac:dyDescent="0.3">
      <c r="F92433" s="193"/>
    </row>
    <row r="92434" spans="6:6" x14ac:dyDescent="0.3">
      <c r="F92434" s="193"/>
    </row>
    <row r="92435" spans="6:6" x14ac:dyDescent="0.3">
      <c r="F92435" s="193"/>
    </row>
    <row r="92436" spans="6:6" x14ac:dyDescent="0.3">
      <c r="F92436" s="193"/>
    </row>
    <row r="92437" spans="6:6" x14ac:dyDescent="0.3">
      <c r="F92437" s="193"/>
    </row>
    <row r="92438" spans="6:6" x14ac:dyDescent="0.3">
      <c r="F92438" s="193"/>
    </row>
    <row r="92439" spans="6:6" x14ac:dyDescent="0.3">
      <c r="F92439" s="193"/>
    </row>
    <row r="92440" spans="6:6" x14ac:dyDescent="0.3">
      <c r="F92440" s="193"/>
    </row>
    <row r="92441" spans="6:6" x14ac:dyDescent="0.3">
      <c r="F92441" s="193"/>
    </row>
    <row r="92442" spans="6:6" x14ac:dyDescent="0.3">
      <c r="F92442" s="193"/>
    </row>
    <row r="92443" spans="6:6" x14ac:dyDescent="0.3">
      <c r="F92443" s="193"/>
    </row>
    <row r="92444" spans="6:6" x14ac:dyDescent="0.3">
      <c r="F92444" s="193"/>
    </row>
    <row r="92445" spans="6:6" x14ac:dyDescent="0.3">
      <c r="F92445" s="193"/>
    </row>
    <row r="92446" spans="6:6" x14ac:dyDescent="0.3">
      <c r="F92446" s="193"/>
    </row>
    <row r="92447" spans="6:6" x14ac:dyDescent="0.3">
      <c r="F92447" s="193"/>
    </row>
    <row r="92448" spans="6:6" x14ac:dyDescent="0.3">
      <c r="F92448" s="193"/>
    </row>
    <row r="92449" spans="6:6" x14ac:dyDescent="0.3">
      <c r="F92449" s="193"/>
    </row>
    <row r="92450" spans="6:6" x14ac:dyDescent="0.3">
      <c r="F92450" s="193"/>
    </row>
    <row r="92451" spans="6:6" x14ac:dyDescent="0.3">
      <c r="F92451" s="193"/>
    </row>
    <row r="92452" spans="6:6" x14ac:dyDescent="0.3">
      <c r="F92452" s="193"/>
    </row>
    <row r="92453" spans="6:6" x14ac:dyDescent="0.3">
      <c r="F92453" s="193"/>
    </row>
    <row r="92454" spans="6:6" x14ac:dyDescent="0.3">
      <c r="F92454" s="193"/>
    </row>
    <row r="92455" spans="6:6" x14ac:dyDescent="0.3">
      <c r="F92455" s="193"/>
    </row>
    <row r="92456" spans="6:6" x14ac:dyDescent="0.3">
      <c r="F92456" s="193"/>
    </row>
    <row r="92457" spans="6:6" x14ac:dyDescent="0.3">
      <c r="F92457" s="193"/>
    </row>
    <row r="92458" spans="6:6" x14ac:dyDescent="0.3">
      <c r="F92458" s="193"/>
    </row>
    <row r="92459" spans="6:6" x14ac:dyDescent="0.3">
      <c r="F92459" s="193"/>
    </row>
    <row r="92460" spans="6:6" x14ac:dyDescent="0.3">
      <c r="F92460" s="193"/>
    </row>
    <row r="92461" spans="6:6" x14ac:dyDescent="0.3">
      <c r="F92461" s="193"/>
    </row>
    <row r="92462" spans="6:6" x14ac:dyDescent="0.3">
      <c r="F92462" s="193"/>
    </row>
    <row r="92463" spans="6:6" x14ac:dyDescent="0.3">
      <c r="F92463" s="193"/>
    </row>
    <row r="92464" spans="6:6" x14ac:dyDescent="0.3">
      <c r="F92464" s="193"/>
    </row>
    <row r="92465" spans="6:6" x14ac:dyDescent="0.3">
      <c r="F92465" s="193"/>
    </row>
    <row r="92466" spans="6:6" x14ac:dyDescent="0.3">
      <c r="F92466" s="193"/>
    </row>
    <row r="92467" spans="6:6" x14ac:dyDescent="0.3">
      <c r="F92467" s="193"/>
    </row>
    <row r="92468" spans="6:6" x14ac:dyDescent="0.3">
      <c r="F92468" s="193"/>
    </row>
    <row r="92469" spans="6:6" x14ac:dyDescent="0.3">
      <c r="F92469" s="193"/>
    </row>
    <row r="92470" spans="6:6" x14ac:dyDescent="0.3">
      <c r="F92470" s="193"/>
    </row>
    <row r="92471" spans="6:6" x14ac:dyDescent="0.3">
      <c r="F92471" s="193"/>
    </row>
    <row r="92472" spans="6:6" x14ac:dyDescent="0.3">
      <c r="F92472" s="193"/>
    </row>
    <row r="92473" spans="6:6" x14ac:dyDescent="0.3">
      <c r="F92473" s="193"/>
    </row>
    <row r="92474" spans="6:6" x14ac:dyDescent="0.3">
      <c r="F92474" s="193"/>
    </row>
    <row r="92475" spans="6:6" x14ac:dyDescent="0.3">
      <c r="F92475" s="193"/>
    </row>
    <row r="92476" spans="6:6" x14ac:dyDescent="0.3">
      <c r="F92476" s="193"/>
    </row>
    <row r="92477" spans="6:6" x14ac:dyDescent="0.3">
      <c r="F92477" s="193"/>
    </row>
    <row r="92478" spans="6:6" x14ac:dyDescent="0.3">
      <c r="F92478" s="193"/>
    </row>
    <row r="92479" spans="6:6" x14ac:dyDescent="0.3">
      <c r="F92479" s="193"/>
    </row>
    <row r="92480" spans="6:6" x14ac:dyDescent="0.3">
      <c r="F92480" s="193"/>
    </row>
    <row r="92481" spans="6:6" x14ac:dyDescent="0.3">
      <c r="F92481" s="193"/>
    </row>
    <row r="92482" spans="6:6" x14ac:dyDescent="0.3">
      <c r="F92482" s="193"/>
    </row>
    <row r="92483" spans="6:6" x14ac:dyDescent="0.3">
      <c r="F92483" s="193"/>
    </row>
    <row r="92484" spans="6:6" x14ac:dyDescent="0.3">
      <c r="F92484" s="193"/>
    </row>
    <row r="92485" spans="6:6" x14ac:dyDescent="0.3">
      <c r="F92485" s="193"/>
    </row>
    <row r="92486" spans="6:6" x14ac:dyDescent="0.3">
      <c r="F92486" s="193"/>
    </row>
    <row r="92487" spans="6:6" x14ac:dyDescent="0.3">
      <c r="F92487" s="193"/>
    </row>
    <row r="92488" spans="6:6" x14ac:dyDescent="0.3">
      <c r="F92488" s="193"/>
    </row>
    <row r="92489" spans="6:6" x14ac:dyDescent="0.3">
      <c r="F92489" s="193"/>
    </row>
    <row r="92490" spans="6:6" x14ac:dyDescent="0.3">
      <c r="F92490" s="193"/>
    </row>
    <row r="92491" spans="6:6" x14ac:dyDescent="0.3">
      <c r="F92491" s="193"/>
    </row>
    <row r="92492" spans="6:6" x14ac:dyDescent="0.3">
      <c r="F92492" s="193"/>
    </row>
    <row r="92493" spans="6:6" x14ac:dyDescent="0.3">
      <c r="F92493" s="193"/>
    </row>
    <row r="92494" spans="6:6" x14ac:dyDescent="0.3">
      <c r="F92494" s="193"/>
    </row>
    <row r="92495" spans="6:6" x14ac:dyDescent="0.3">
      <c r="F92495" s="193"/>
    </row>
    <row r="92496" spans="6:6" x14ac:dyDescent="0.3">
      <c r="F92496" s="193"/>
    </row>
    <row r="92497" spans="6:6" x14ac:dyDescent="0.3">
      <c r="F92497" s="193"/>
    </row>
    <row r="92498" spans="6:6" x14ac:dyDescent="0.3">
      <c r="F92498" s="193"/>
    </row>
    <row r="92499" spans="6:6" x14ac:dyDescent="0.3">
      <c r="F92499" s="193"/>
    </row>
    <row r="92500" spans="6:6" x14ac:dyDescent="0.3">
      <c r="F92500" s="193"/>
    </row>
    <row r="92501" spans="6:6" x14ac:dyDescent="0.3">
      <c r="F92501" s="193"/>
    </row>
    <row r="92502" spans="6:6" x14ac:dyDescent="0.3">
      <c r="F92502" s="193"/>
    </row>
    <row r="92503" spans="6:6" x14ac:dyDescent="0.3">
      <c r="F92503" s="193"/>
    </row>
    <row r="92504" spans="6:6" x14ac:dyDescent="0.3">
      <c r="F92504" s="193"/>
    </row>
    <row r="92505" spans="6:6" x14ac:dyDescent="0.3">
      <c r="F92505" s="193"/>
    </row>
    <row r="92506" spans="6:6" x14ac:dyDescent="0.3">
      <c r="F92506" s="193"/>
    </row>
    <row r="92507" spans="6:6" x14ac:dyDescent="0.3">
      <c r="F92507" s="193"/>
    </row>
    <row r="92508" spans="6:6" x14ac:dyDescent="0.3">
      <c r="F92508" s="193"/>
    </row>
    <row r="92509" spans="6:6" x14ac:dyDescent="0.3">
      <c r="F92509" s="193"/>
    </row>
    <row r="92510" spans="6:6" x14ac:dyDescent="0.3">
      <c r="F92510" s="193"/>
    </row>
    <row r="92511" spans="6:6" x14ac:dyDescent="0.3">
      <c r="F92511" s="193"/>
    </row>
    <row r="92512" spans="6:6" x14ac:dyDescent="0.3">
      <c r="F92512" s="193"/>
    </row>
    <row r="92513" spans="6:6" x14ac:dyDescent="0.3">
      <c r="F92513" s="193"/>
    </row>
    <row r="92514" spans="6:6" x14ac:dyDescent="0.3">
      <c r="F92514" s="193"/>
    </row>
    <row r="92515" spans="6:6" x14ac:dyDescent="0.3">
      <c r="F92515" s="193"/>
    </row>
    <row r="92516" spans="6:6" x14ac:dyDescent="0.3">
      <c r="F92516" s="193"/>
    </row>
    <row r="92517" spans="6:6" x14ac:dyDescent="0.3">
      <c r="F92517" s="193"/>
    </row>
    <row r="92518" spans="6:6" x14ac:dyDescent="0.3">
      <c r="F92518" s="193"/>
    </row>
    <row r="92519" spans="6:6" x14ac:dyDescent="0.3">
      <c r="F92519" s="193"/>
    </row>
    <row r="92520" spans="6:6" x14ac:dyDescent="0.3">
      <c r="F92520" s="193"/>
    </row>
    <row r="92521" spans="6:6" x14ac:dyDescent="0.3">
      <c r="F92521" s="193"/>
    </row>
    <row r="92522" spans="6:6" x14ac:dyDescent="0.3">
      <c r="F92522" s="193"/>
    </row>
    <row r="92523" spans="6:6" x14ac:dyDescent="0.3">
      <c r="F92523" s="193"/>
    </row>
    <row r="92524" spans="6:6" x14ac:dyDescent="0.3">
      <c r="F92524" s="193"/>
    </row>
    <row r="92525" spans="6:6" x14ac:dyDescent="0.3">
      <c r="F92525" s="193"/>
    </row>
    <row r="92526" spans="6:6" x14ac:dyDescent="0.3">
      <c r="F92526" s="193"/>
    </row>
    <row r="92527" spans="6:6" x14ac:dyDescent="0.3">
      <c r="F92527" s="193"/>
    </row>
    <row r="92528" spans="6:6" x14ac:dyDescent="0.3">
      <c r="F92528" s="193"/>
    </row>
    <row r="92529" spans="6:6" x14ac:dyDescent="0.3">
      <c r="F92529" s="193"/>
    </row>
    <row r="92530" spans="6:6" x14ac:dyDescent="0.3">
      <c r="F92530" s="193"/>
    </row>
    <row r="92531" spans="6:6" x14ac:dyDescent="0.3">
      <c r="F92531" s="193"/>
    </row>
    <row r="92532" spans="6:6" x14ac:dyDescent="0.3">
      <c r="F92532" s="193"/>
    </row>
    <row r="92533" spans="6:6" x14ac:dyDescent="0.3">
      <c r="F92533" s="193"/>
    </row>
    <row r="92534" spans="6:6" x14ac:dyDescent="0.3">
      <c r="F92534" s="193"/>
    </row>
    <row r="92535" spans="6:6" x14ac:dyDescent="0.3">
      <c r="F92535" s="193"/>
    </row>
    <row r="92536" spans="6:6" x14ac:dyDescent="0.3">
      <c r="F92536" s="193"/>
    </row>
    <row r="92537" spans="6:6" x14ac:dyDescent="0.3">
      <c r="F92537" s="193"/>
    </row>
    <row r="92538" spans="6:6" x14ac:dyDescent="0.3">
      <c r="F92538" s="193"/>
    </row>
    <row r="92539" spans="6:6" x14ac:dyDescent="0.3">
      <c r="F92539" s="193"/>
    </row>
    <row r="92540" spans="6:6" x14ac:dyDescent="0.3">
      <c r="F92540" s="193"/>
    </row>
    <row r="92541" spans="6:6" x14ac:dyDescent="0.3">
      <c r="F92541" s="193"/>
    </row>
    <row r="92542" spans="6:6" x14ac:dyDescent="0.3">
      <c r="F92542" s="193"/>
    </row>
    <row r="92543" spans="6:6" x14ac:dyDescent="0.3">
      <c r="F92543" s="193"/>
    </row>
    <row r="92544" spans="6:6" x14ac:dyDescent="0.3">
      <c r="F92544" s="193"/>
    </row>
    <row r="92545" spans="6:6" x14ac:dyDescent="0.3">
      <c r="F92545" s="193"/>
    </row>
    <row r="92546" spans="6:6" x14ac:dyDescent="0.3">
      <c r="F92546" s="193"/>
    </row>
    <row r="92547" spans="6:6" x14ac:dyDescent="0.3">
      <c r="F92547" s="193"/>
    </row>
    <row r="92548" spans="6:6" x14ac:dyDescent="0.3">
      <c r="F92548" s="193"/>
    </row>
    <row r="92549" spans="6:6" x14ac:dyDescent="0.3">
      <c r="F92549" s="193"/>
    </row>
    <row r="92550" spans="6:6" x14ac:dyDescent="0.3">
      <c r="F92550" s="193"/>
    </row>
    <row r="92551" spans="6:6" x14ac:dyDescent="0.3">
      <c r="F92551" s="193"/>
    </row>
    <row r="92552" spans="6:6" x14ac:dyDescent="0.3">
      <c r="F92552" s="193"/>
    </row>
    <row r="92553" spans="6:6" x14ac:dyDescent="0.3">
      <c r="F92553" s="193"/>
    </row>
    <row r="92554" spans="6:6" x14ac:dyDescent="0.3">
      <c r="F92554" s="193"/>
    </row>
    <row r="92555" spans="6:6" x14ac:dyDescent="0.3">
      <c r="F92555" s="193"/>
    </row>
    <row r="92556" spans="6:6" x14ac:dyDescent="0.3">
      <c r="F92556" s="193"/>
    </row>
    <row r="92557" spans="6:6" x14ac:dyDescent="0.3">
      <c r="F92557" s="193"/>
    </row>
    <row r="92558" spans="6:6" x14ac:dyDescent="0.3">
      <c r="F92558" s="193"/>
    </row>
    <row r="92559" spans="6:6" x14ac:dyDescent="0.3">
      <c r="F92559" s="193"/>
    </row>
    <row r="92560" spans="6:6" x14ac:dyDescent="0.3">
      <c r="F92560" s="193"/>
    </row>
    <row r="92561" spans="6:6" x14ac:dyDescent="0.3">
      <c r="F92561" s="193"/>
    </row>
    <row r="92562" spans="6:6" x14ac:dyDescent="0.3">
      <c r="F92562" s="193"/>
    </row>
    <row r="92563" spans="6:6" x14ac:dyDescent="0.3">
      <c r="F92563" s="193"/>
    </row>
    <row r="92564" spans="6:6" x14ac:dyDescent="0.3">
      <c r="F92564" s="193"/>
    </row>
    <row r="92565" spans="6:6" x14ac:dyDescent="0.3">
      <c r="F92565" s="193"/>
    </row>
    <row r="92566" spans="6:6" x14ac:dyDescent="0.3">
      <c r="F92566" s="193"/>
    </row>
    <row r="92567" spans="6:6" x14ac:dyDescent="0.3">
      <c r="F92567" s="193"/>
    </row>
    <row r="92568" spans="6:6" x14ac:dyDescent="0.3">
      <c r="F92568" s="193"/>
    </row>
    <row r="92569" spans="6:6" x14ac:dyDescent="0.3">
      <c r="F92569" s="193"/>
    </row>
    <row r="92570" spans="6:6" x14ac:dyDescent="0.3">
      <c r="F92570" s="193"/>
    </row>
    <row r="92571" spans="6:6" x14ac:dyDescent="0.3">
      <c r="F92571" s="193"/>
    </row>
    <row r="92572" spans="6:6" x14ac:dyDescent="0.3">
      <c r="F92572" s="193"/>
    </row>
    <row r="92573" spans="6:6" x14ac:dyDescent="0.3">
      <c r="F92573" s="193"/>
    </row>
    <row r="92574" spans="6:6" x14ac:dyDescent="0.3">
      <c r="F92574" s="193"/>
    </row>
    <row r="92575" spans="6:6" x14ac:dyDescent="0.3">
      <c r="F92575" s="193"/>
    </row>
    <row r="92576" spans="6:6" x14ac:dyDescent="0.3">
      <c r="F92576" s="193"/>
    </row>
    <row r="92577" spans="6:6" x14ac:dyDescent="0.3">
      <c r="F92577" s="193"/>
    </row>
    <row r="92578" spans="6:6" x14ac:dyDescent="0.3">
      <c r="F92578" s="193"/>
    </row>
    <row r="92579" spans="6:6" x14ac:dyDescent="0.3">
      <c r="F92579" s="193"/>
    </row>
    <row r="92580" spans="6:6" x14ac:dyDescent="0.3">
      <c r="F92580" s="193"/>
    </row>
    <row r="92581" spans="6:6" x14ac:dyDescent="0.3">
      <c r="F92581" s="193"/>
    </row>
    <row r="92582" spans="6:6" x14ac:dyDescent="0.3">
      <c r="F92582" s="193"/>
    </row>
    <row r="92583" spans="6:6" x14ac:dyDescent="0.3">
      <c r="F92583" s="193"/>
    </row>
    <row r="92584" spans="6:6" x14ac:dyDescent="0.3">
      <c r="F92584" s="193"/>
    </row>
    <row r="92585" spans="6:6" x14ac:dyDescent="0.3">
      <c r="F92585" s="193"/>
    </row>
    <row r="92586" spans="6:6" x14ac:dyDescent="0.3">
      <c r="F92586" s="193"/>
    </row>
    <row r="92587" spans="6:6" x14ac:dyDescent="0.3">
      <c r="F92587" s="193"/>
    </row>
    <row r="92588" spans="6:6" x14ac:dyDescent="0.3">
      <c r="F92588" s="193"/>
    </row>
    <row r="92589" spans="6:6" x14ac:dyDescent="0.3">
      <c r="F92589" s="193"/>
    </row>
    <row r="92590" spans="6:6" x14ac:dyDescent="0.3">
      <c r="F92590" s="193"/>
    </row>
    <row r="92591" spans="6:6" x14ac:dyDescent="0.3">
      <c r="F92591" s="193"/>
    </row>
    <row r="92592" spans="6:6" x14ac:dyDescent="0.3">
      <c r="F92592" s="193"/>
    </row>
    <row r="92593" spans="6:6" x14ac:dyDescent="0.3">
      <c r="F92593" s="193"/>
    </row>
    <row r="92594" spans="6:6" x14ac:dyDescent="0.3">
      <c r="F92594" s="193"/>
    </row>
    <row r="92595" spans="6:6" x14ac:dyDescent="0.3">
      <c r="F92595" s="193"/>
    </row>
    <row r="92596" spans="6:6" x14ac:dyDescent="0.3">
      <c r="F92596" s="193"/>
    </row>
    <row r="92597" spans="6:6" x14ac:dyDescent="0.3">
      <c r="F92597" s="193"/>
    </row>
    <row r="92598" spans="6:6" x14ac:dyDescent="0.3">
      <c r="F92598" s="193"/>
    </row>
    <row r="92599" spans="6:6" x14ac:dyDescent="0.3">
      <c r="F92599" s="193"/>
    </row>
    <row r="92600" spans="6:6" x14ac:dyDescent="0.3">
      <c r="F92600" s="193"/>
    </row>
    <row r="92601" spans="6:6" x14ac:dyDescent="0.3">
      <c r="F92601" s="193"/>
    </row>
    <row r="92602" spans="6:6" x14ac:dyDescent="0.3">
      <c r="F92602" s="193"/>
    </row>
    <row r="92603" spans="6:6" x14ac:dyDescent="0.3">
      <c r="F92603" s="193"/>
    </row>
    <row r="92604" spans="6:6" x14ac:dyDescent="0.3">
      <c r="F92604" s="193"/>
    </row>
    <row r="92605" spans="6:6" x14ac:dyDescent="0.3">
      <c r="F92605" s="193"/>
    </row>
    <row r="92606" spans="6:6" x14ac:dyDescent="0.3">
      <c r="F92606" s="193"/>
    </row>
    <row r="92607" spans="6:6" x14ac:dyDescent="0.3">
      <c r="F92607" s="193"/>
    </row>
    <row r="92608" spans="6:6" x14ac:dyDescent="0.3">
      <c r="F92608" s="193"/>
    </row>
    <row r="92609" spans="6:6" x14ac:dyDescent="0.3">
      <c r="F92609" s="193"/>
    </row>
    <row r="92610" spans="6:6" x14ac:dyDescent="0.3">
      <c r="F92610" s="193"/>
    </row>
    <row r="92611" spans="6:6" x14ac:dyDescent="0.3">
      <c r="F92611" s="193"/>
    </row>
    <row r="92612" spans="6:6" x14ac:dyDescent="0.3">
      <c r="F92612" s="193"/>
    </row>
    <row r="92613" spans="6:6" x14ac:dyDescent="0.3">
      <c r="F92613" s="193"/>
    </row>
    <row r="92614" spans="6:6" x14ac:dyDescent="0.3">
      <c r="F92614" s="193"/>
    </row>
    <row r="92615" spans="6:6" x14ac:dyDescent="0.3">
      <c r="F92615" s="193"/>
    </row>
    <row r="92616" spans="6:6" x14ac:dyDescent="0.3">
      <c r="F92616" s="193"/>
    </row>
    <row r="92617" spans="6:6" x14ac:dyDescent="0.3">
      <c r="F92617" s="193"/>
    </row>
    <row r="92618" spans="6:6" x14ac:dyDescent="0.3">
      <c r="F92618" s="193"/>
    </row>
    <row r="92619" spans="6:6" x14ac:dyDescent="0.3">
      <c r="F92619" s="193"/>
    </row>
    <row r="92620" spans="6:6" x14ac:dyDescent="0.3">
      <c r="F92620" s="193"/>
    </row>
    <row r="92621" spans="6:6" x14ac:dyDescent="0.3">
      <c r="F92621" s="193"/>
    </row>
    <row r="92622" spans="6:6" x14ac:dyDescent="0.3">
      <c r="F92622" s="193"/>
    </row>
    <row r="92623" spans="6:6" x14ac:dyDescent="0.3">
      <c r="F92623" s="193"/>
    </row>
    <row r="92624" spans="6:6" x14ac:dyDescent="0.3">
      <c r="F92624" s="193"/>
    </row>
    <row r="92625" spans="6:6" x14ac:dyDescent="0.3">
      <c r="F92625" s="193"/>
    </row>
    <row r="92626" spans="6:6" x14ac:dyDescent="0.3">
      <c r="F92626" s="193"/>
    </row>
    <row r="92627" spans="6:6" x14ac:dyDescent="0.3">
      <c r="F92627" s="193"/>
    </row>
    <row r="92628" spans="6:6" x14ac:dyDescent="0.3">
      <c r="F92628" s="193"/>
    </row>
    <row r="92629" spans="6:6" x14ac:dyDescent="0.3">
      <c r="F92629" s="193"/>
    </row>
    <row r="92630" spans="6:6" x14ac:dyDescent="0.3">
      <c r="F92630" s="193"/>
    </row>
    <row r="92631" spans="6:6" x14ac:dyDescent="0.3">
      <c r="F92631" s="193"/>
    </row>
    <row r="92632" spans="6:6" x14ac:dyDescent="0.3">
      <c r="F92632" s="193"/>
    </row>
    <row r="92633" spans="6:6" x14ac:dyDescent="0.3">
      <c r="F92633" s="193"/>
    </row>
    <row r="92634" spans="6:6" x14ac:dyDescent="0.3">
      <c r="F92634" s="193"/>
    </row>
    <row r="92635" spans="6:6" x14ac:dyDescent="0.3">
      <c r="F92635" s="193"/>
    </row>
    <row r="92636" spans="6:6" x14ac:dyDescent="0.3">
      <c r="F92636" s="193"/>
    </row>
    <row r="92637" spans="6:6" x14ac:dyDescent="0.3">
      <c r="F92637" s="193"/>
    </row>
    <row r="92638" spans="6:6" x14ac:dyDescent="0.3">
      <c r="F92638" s="193"/>
    </row>
    <row r="92639" spans="6:6" x14ac:dyDescent="0.3">
      <c r="F92639" s="193"/>
    </row>
    <row r="92640" spans="6:6" x14ac:dyDescent="0.3">
      <c r="F92640" s="193"/>
    </row>
    <row r="92641" spans="6:6" x14ac:dyDescent="0.3">
      <c r="F92641" s="193"/>
    </row>
    <row r="92642" spans="6:6" x14ac:dyDescent="0.3">
      <c r="F92642" s="193"/>
    </row>
    <row r="92643" spans="6:6" x14ac:dyDescent="0.3">
      <c r="F92643" s="193"/>
    </row>
    <row r="92644" spans="6:6" x14ac:dyDescent="0.3">
      <c r="F92644" s="193"/>
    </row>
    <row r="92645" spans="6:6" x14ac:dyDescent="0.3">
      <c r="F92645" s="193"/>
    </row>
    <row r="92646" spans="6:6" x14ac:dyDescent="0.3">
      <c r="F92646" s="193"/>
    </row>
    <row r="92647" spans="6:6" x14ac:dyDescent="0.3">
      <c r="F92647" s="193"/>
    </row>
    <row r="92648" spans="6:6" x14ac:dyDescent="0.3">
      <c r="F92648" s="193"/>
    </row>
    <row r="92649" spans="6:6" x14ac:dyDescent="0.3">
      <c r="F92649" s="193"/>
    </row>
    <row r="92650" spans="6:6" x14ac:dyDescent="0.3">
      <c r="F92650" s="193"/>
    </row>
    <row r="92651" spans="6:6" x14ac:dyDescent="0.3">
      <c r="F92651" s="193"/>
    </row>
    <row r="92652" spans="6:6" x14ac:dyDescent="0.3">
      <c r="F92652" s="193"/>
    </row>
    <row r="92653" spans="6:6" x14ac:dyDescent="0.3">
      <c r="F92653" s="193"/>
    </row>
    <row r="92654" spans="6:6" x14ac:dyDescent="0.3">
      <c r="F92654" s="193"/>
    </row>
    <row r="92655" spans="6:6" x14ac:dyDescent="0.3">
      <c r="F92655" s="193"/>
    </row>
    <row r="92656" spans="6:6" x14ac:dyDescent="0.3">
      <c r="F92656" s="193"/>
    </row>
    <row r="92657" spans="6:6" x14ac:dyDescent="0.3">
      <c r="F92657" s="193"/>
    </row>
    <row r="92658" spans="6:6" x14ac:dyDescent="0.3">
      <c r="F92658" s="193"/>
    </row>
    <row r="92659" spans="6:6" x14ac:dyDescent="0.3">
      <c r="F92659" s="193"/>
    </row>
    <row r="92660" spans="6:6" x14ac:dyDescent="0.3">
      <c r="F92660" s="193"/>
    </row>
    <row r="92661" spans="6:6" x14ac:dyDescent="0.3">
      <c r="F92661" s="193"/>
    </row>
    <row r="92662" spans="6:6" x14ac:dyDescent="0.3">
      <c r="F92662" s="193"/>
    </row>
    <row r="92663" spans="6:6" x14ac:dyDescent="0.3">
      <c r="F92663" s="193"/>
    </row>
    <row r="92664" spans="6:6" x14ac:dyDescent="0.3">
      <c r="F92664" s="193"/>
    </row>
    <row r="92665" spans="6:6" x14ac:dyDescent="0.3">
      <c r="F92665" s="193"/>
    </row>
    <row r="92666" spans="6:6" x14ac:dyDescent="0.3">
      <c r="F92666" s="193"/>
    </row>
    <row r="92667" spans="6:6" x14ac:dyDescent="0.3">
      <c r="F92667" s="193"/>
    </row>
    <row r="92668" spans="6:6" x14ac:dyDescent="0.3">
      <c r="F92668" s="193"/>
    </row>
    <row r="92669" spans="6:6" x14ac:dyDescent="0.3">
      <c r="F92669" s="193"/>
    </row>
    <row r="92670" spans="6:6" x14ac:dyDescent="0.3">
      <c r="F92670" s="193"/>
    </row>
    <row r="92671" spans="6:6" x14ac:dyDescent="0.3">
      <c r="F92671" s="193"/>
    </row>
    <row r="92672" spans="6:6" x14ac:dyDescent="0.3">
      <c r="F92672" s="193"/>
    </row>
    <row r="92673" spans="6:6" x14ac:dyDescent="0.3">
      <c r="F92673" s="193"/>
    </row>
    <row r="92674" spans="6:6" x14ac:dyDescent="0.3">
      <c r="F92674" s="193"/>
    </row>
    <row r="92675" spans="6:6" x14ac:dyDescent="0.3">
      <c r="F92675" s="193"/>
    </row>
    <row r="92676" spans="6:6" x14ac:dyDescent="0.3">
      <c r="F92676" s="193"/>
    </row>
    <row r="92677" spans="6:6" x14ac:dyDescent="0.3">
      <c r="F92677" s="193"/>
    </row>
    <row r="92678" spans="6:6" x14ac:dyDescent="0.3">
      <c r="F92678" s="193"/>
    </row>
    <row r="92679" spans="6:6" x14ac:dyDescent="0.3">
      <c r="F92679" s="193"/>
    </row>
    <row r="92680" spans="6:6" x14ac:dyDescent="0.3">
      <c r="F92680" s="193"/>
    </row>
    <row r="92681" spans="6:6" x14ac:dyDescent="0.3">
      <c r="F92681" s="193"/>
    </row>
    <row r="92682" spans="6:6" x14ac:dyDescent="0.3">
      <c r="F92682" s="193"/>
    </row>
    <row r="92683" spans="6:6" x14ac:dyDescent="0.3">
      <c r="F92683" s="193"/>
    </row>
    <row r="92684" spans="6:6" x14ac:dyDescent="0.3">
      <c r="F92684" s="193"/>
    </row>
    <row r="92685" spans="6:6" x14ac:dyDescent="0.3">
      <c r="F92685" s="193"/>
    </row>
    <row r="92686" spans="6:6" x14ac:dyDescent="0.3">
      <c r="F92686" s="193"/>
    </row>
    <row r="92687" spans="6:6" x14ac:dyDescent="0.3">
      <c r="F92687" s="193"/>
    </row>
    <row r="92688" spans="6:6" x14ac:dyDescent="0.3">
      <c r="F92688" s="193"/>
    </row>
    <row r="92689" spans="6:6" x14ac:dyDescent="0.3">
      <c r="F92689" s="193"/>
    </row>
    <row r="92690" spans="6:6" x14ac:dyDescent="0.3">
      <c r="F92690" s="193"/>
    </row>
    <row r="92691" spans="6:6" x14ac:dyDescent="0.3">
      <c r="F92691" s="193"/>
    </row>
    <row r="92692" spans="6:6" x14ac:dyDescent="0.3">
      <c r="F92692" s="193"/>
    </row>
    <row r="92693" spans="6:6" x14ac:dyDescent="0.3">
      <c r="F92693" s="193"/>
    </row>
    <row r="92694" spans="6:6" x14ac:dyDescent="0.3">
      <c r="F92694" s="193"/>
    </row>
    <row r="92695" spans="6:6" x14ac:dyDescent="0.3">
      <c r="F92695" s="193"/>
    </row>
    <row r="92696" spans="6:6" x14ac:dyDescent="0.3">
      <c r="F92696" s="193"/>
    </row>
    <row r="92697" spans="6:6" x14ac:dyDescent="0.3">
      <c r="F92697" s="193"/>
    </row>
    <row r="92698" spans="6:6" x14ac:dyDescent="0.3">
      <c r="F92698" s="193"/>
    </row>
    <row r="92699" spans="6:6" x14ac:dyDescent="0.3">
      <c r="F92699" s="193"/>
    </row>
    <row r="92700" spans="6:6" x14ac:dyDescent="0.3">
      <c r="F92700" s="193"/>
    </row>
    <row r="92701" spans="6:6" x14ac:dyDescent="0.3">
      <c r="F92701" s="193"/>
    </row>
    <row r="92702" spans="6:6" x14ac:dyDescent="0.3">
      <c r="F92702" s="193"/>
    </row>
    <row r="92703" spans="6:6" x14ac:dyDescent="0.3">
      <c r="F92703" s="193"/>
    </row>
    <row r="92704" spans="6:6" x14ac:dyDescent="0.3">
      <c r="F92704" s="193"/>
    </row>
    <row r="92705" spans="6:6" x14ac:dyDescent="0.3">
      <c r="F92705" s="193"/>
    </row>
    <row r="92706" spans="6:6" x14ac:dyDescent="0.3">
      <c r="F92706" s="193"/>
    </row>
    <row r="92707" spans="6:6" x14ac:dyDescent="0.3">
      <c r="F92707" s="193"/>
    </row>
    <row r="92708" spans="6:6" x14ac:dyDescent="0.3">
      <c r="F92708" s="193"/>
    </row>
    <row r="92709" spans="6:6" x14ac:dyDescent="0.3">
      <c r="F92709" s="193"/>
    </row>
    <row r="92710" spans="6:6" x14ac:dyDescent="0.3">
      <c r="F92710" s="193"/>
    </row>
    <row r="92711" spans="6:6" x14ac:dyDescent="0.3">
      <c r="F92711" s="193"/>
    </row>
    <row r="92712" spans="6:6" x14ac:dyDescent="0.3">
      <c r="F92712" s="193"/>
    </row>
    <row r="92713" spans="6:6" x14ac:dyDescent="0.3">
      <c r="F92713" s="193"/>
    </row>
    <row r="92714" spans="6:6" x14ac:dyDescent="0.3">
      <c r="F92714" s="193"/>
    </row>
    <row r="92715" spans="6:6" x14ac:dyDescent="0.3">
      <c r="F92715" s="193"/>
    </row>
    <row r="92716" spans="6:6" x14ac:dyDescent="0.3">
      <c r="F92716" s="193"/>
    </row>
    <row r="92717" spans="6:6" x14ac:dyDescent="0.3">
      <c r="F92717" s="193"/>
    </row>
    <row r="92718" spans="6:6" x14ac:dyDescent="0.3">
      <c r="F92718" s="193"/>
    </row>
    <row r="92719" spans="6:6" x14ac:dyDescent="0.3">
      <c r="F92719" s="193"/>
    </row>
    <row r="92720" spans="6:6" x14ac:dyDescent="0.3">
      <c r="F92720" s="193"/>
    </row>
    <row r="92721" spans="6:6" x14ac:dyDescent="0.3">
      <c r="F92721" s="193"/>
    </row>
    <row r="92722" spans="6:6" x14ac:dyDescent="0.3">
      <c r="F92722" s="193"/>
    </row>
    <row r="92723" spans="6:6" x14ac:dyDescent="0.3">
      <c r="F92723" s="193"/>
    </row>
    <row r="92724" spans="6:6" x14ac:dyDescent="0.3">
      <c r="F92724" s="193"/>
    </row>
    <row r="92725" spans="6:6" x14ac:dyDescent="0.3">
      <c r="F92725" s="193"/>
    </row>
    <row r="92726" spans="6:6" x14ac:dyDescent="0.3">
      <c r="F92726" s="193"/>
    </row>
    <row r="92727" spans="6:6" x14ac:dyDescent="0.3">
      <c r="F92727" s="193"/>
    </row>
    <row r="92728" spans="6:6" x14ac:dyDescent="0.3">
      <c r="F92728" s="193"/>
    </row>
    <row r="92729" spans="6:6" x14ac:dyDescent="0.3">
      <c r="F92729" s="193"/>
    </row>
    <row r="92730" spans="6:6" x14ac:dyDescent="0.3">
      <c r="F92730" s="193"/>
    </row>
    <row r="92731" spans="6:6" x14ac:dyDescent="0.3">
      <c r="F92731" s="193"/>
    </row>
    <row r="92732" spans="6:6" x14ac:dyDescent="0.3">
      <c r="F92732" s="193"/>
    </row>
    <row r="92733" spans="6:6" x14ac:dyDescent="0.3">
      <c r="F92733" s="193"/>
    </row>
    <row r="92734" spans="6:6" x14ac:dyDescent="0.3">
      <c r="F92734" s="193"/>
    </row>
    <row r="92735" spans="6:6" x14ac:dyDescent="0.3">
      <c r="F92735" s="193"/>
    </row>
    <row r="92736" spans="6:6" x14ac:dyDescent="0.3">
      <c r="F92736" s="193"/>
    </row>
    <row r="92737" spans="6:6" x14ac:dyDescent="0.3">
      <c r="F92737" s="193"/>
    </row>
    <row r="92738" spans="6:6" x14ac:dyDescent="0.3">
      <c r="F92738" s="193"/>
    </row>
    <row r="92739" spans="6:6" x14ac:dyDescent="0.3">
      <c r="F92739" s="193"/>
    </row>
    <row r="92740" spans="6:6" x14ac:dyDescent="0.3">
      <c r="F92740" s="193"/>
    </row>
    <row r="92741" spans="6:6" x14ac:dyDescent="0.3">
      <c r="F92741" s="193"/>
    </row>
    <row r="92742" spans="6:6" x14ac:dyDescent="0.3">
      <c r="F92742" s="193"/>
    </row>
    <row r="92743" spans="6:6" x14ac:dyDescent="0.3">
      <c r="F92743" s="193"/>
    </row>
    <row r="92744" spans="6:6" x14ac:dyDescent="0.3">
      <c r="F92744" s="193"/>
    </row>
    <row r="92745" spans="6:6" x14ac:dyDescent="0.3">
      <c r="F92745" s="193"/>
    </row>
    <row r="92746" spans="6:6" x14ac:dyDescent="0.3">
      <c r="F92746" s="193"/>
    </row>
    <row r="92747" spans="6:6" x14ac:dyDescent="0.3">
      <c r="F92747" s="193"/>
    </row>
    <row r="92748" spans="6:6" x14ac:dyDescent="0.3">
      <c r="F92748" s="193"/>
    </row>
    <row r="92749" spans="6:6" x14ac:dyDescent="0.3">
      <c r="F92749" s="193"/>
    </row>
    <row r="92750" spans="6:6" x14ac:dyDescent="0.3">
      <c r="F92750" s="193"/>
    </row>
    <row r="92751" spans="6:6" x14ac:dyDescent="0.3">
      <c r="F92751" s="193"/>
    </row>
    <row r="92752" spans="6:6" x14ac:dyDescent="0.3">
      <c r="F92752" s="193"/>
    </row>
    <row r="92753" spans="6:6" x14ac:dyDescent="0.3">
      <c r="F92753" s="193"/>
    </row>
    <row r="92754" spans="6:6" x14ac:dyDescent="0.3">
      <c r="F92754" s="193"/>
    </row>
    <row r="92755" spans="6:6" x14ac:dyDescent="0.3">
      <c r="F92755" s="193"/>
    </row>
    <row r="92756" spans="6:6" x14ac:dyDescent="0.3">
      <c r="F92756" s="193"/>
    </row>
    <row r="92757" spans="6:6" x14ac:dyDescent="0.3">
      <c r="F92757" s="193"/>
    </row>
    <row r="92758" spans="6:6" x14ac:dyDescent="0.3">
      <c r="F92758" s="193"/>
    </row>
    <row r="92759" spans="6:6" x14ac:dyDescent="0.3">
      <c r="F92759" s="193"/>
    </row>
    <row r="92760" spans="6:6" x14ac:dyDescent="0.3">
      <c r="F92760" s="193"/>
    </row>
    <row r="92761" spans="6:6" x14ac:dyDescent="0.3">
      <c r="F92761" s="193"/>
    </row>
    <row r="92762" spans="6:6" x14ac:dyDescent="0.3">
      <c r="F92762" s="193"/>
    </row>
    <row r="92763" spans="6:6" x14ac:dyDescent="0.3">
      <c r="F92763" s="193"/>
    </row>
    <row r="92764" spans="6:6" x14ac:dyDescent="0.3">
      <c r="F92764" s="193"/>
    </row>
    <row r="92765" spans="6:6" x14ac:dyDescent="0.3">
      <c r="F92765" s="193"/>
    </row>
    <row r="92766" spans="6:6" x14ac:dyDescent="0.3">
      <c r="F92766" s="193"/>
    </row>
    <row r="92767" spans="6:6" x14ac:dyDescent="0.3">
      <c r="F92767" s="193"/>
    </row>
    <row r="92768" spans="6:6" x14ac:dyDescent="0.3">
      <c r="F92768" s="193"/>
    </row>
    <row r="92769" spans="6:6" x14ac:dyDescent="0.3">
      <c r="F92769" s="193"/>
    </row>
    <row r="92770" spans="6:6" x14ac:dyDescent="0.3">
      <c r="F92770" s="193"/>
    </row>
    <row r="92771" spans="6:6" x14ac:dyDescent="0.3">
      <c r="F92771" s="193"/>
    </row>
    <row r="92772" spans="6:6" x14ac:dyDescent="0.3">
      <c r="F92772" s="193"/>
    </row>
    <row r="92773" spans="6:6" x14ac:dyDescent="0.3">
      <c r="F92773" s="193"/>
    </row>
    <row r="92774" spans="6:6" x14ac:dyDescent="0.3">
      <c r="F92774" s="193"/>
    </row>
    <row r="92775" spans="6:6" x14ac:dyDescent="0.3">
      <c r="F92775" s="193"/>
    </row>
    <row r="92776" spans="6:6" x14ac:dyDescent="0.3">
      <c r="F92776" s="193"/>
    </row>
    <row r="92777" spans="6:6" x14ac:dyDescent="0.3">
      <c r="F92777" s="193"/>
    </row>
    <row r="92778" spans="6:6" x14ac:dyDescent="0.3">
      <c r="F92778" s="193"/>
    </row>
    <row r="92779" spans="6:6" x14ac:dyDescent="0.3">
      <c r="F92779" s="193"/>
    </row>
    <row r="92780" spans="6:6" x14ac:dyDescent="0.3">
      <c r="F92780" s="193"/>
    </row>
    <row r="92781" spans="6:6" x14ac:dyDescent="0.3">
      <c r="F92781" s="193"/>
    </row>
    <row r="92782" spans="6:6" x14ac:dyDescent="0.3">
      <c r="F92782" s="193"/>
    </row>
    <row r="92783" spans="6:6" x14ac:dyDescent="0.3">
      <c r="F92783" s="193"/>
    </row>
    <row r="92784" spans="6:6" x14ac:dyDescent="0.3">
      <c r="F92784" s="193"/>
    </row>
    <row r="92785" spans="6:6" x14ac:dyDescent="0.3">
      <c r="F92785" s="193"/>
    </row>
    <row r="92786" spans="6:6" x14ac:dyDescent="0.3">
      <c r="F92786" s="193"/>
    </row>
    <row r="92787" spans="6:6" x14ac:dyDescent="0.3">
      <c r="F92787" s="193"/>
    </row>
    <row r="92788" spans="6:6" x14ac:dyDescent="0.3">
      <c r="F92788" s="193"/>
    </row>
    <row r="92789" spans="6:6" x14ac:dyDescent="0.3">
      <c r="F92789" s="193"/>
    </row>
    <row r="92790" spans="6:6" x14ac:dyDescent="0.3">
      <c r="F92790" s="193"/>
    </row>
    <row r="92791" spans="6:6" x14ac:dyDescent="0.3">
      <c r="F92791" s="193"/>
    </row>
    <row r="92792" spans="6:6" x14ac:dyDescent="0.3">
      <c r="F92792" s="193"/>
    </row>
    <row r="92793" spans="6:6" x14ac:dyDescent="0.3">
      <c r="F92793" s="193"/>
    </row>
    <row r="92794" spans="6:6" x14ac:dyDescent="0.3">
      <c r="F92794" s="193"/>
    </row>
    <row r="92795" spans="6:6" x14ac:dyDescent="0.3">
      <c r="F92795" s="193"/>
    </row>
    <row r="92796" spans="6:6" x14ac:dyDescent="0.3">
      <c r="F92796" s="193"/>
    </row>
    <row r="92797" spans="6:6" x14ac:dyDescent="0.3">
      <c r="F92797" s="193"/>
    </row>
    <row r="92798" spans="6:6" x14ac:dyDescent="0.3">
      <c r="F92798" s="193"/>
    </row>
    <row r="92799" spans="6:6" x14ac:dyDescent="0.3">
      <c r="F92799" s="193"/>
    </row>
    <row r="92800" spans="6:6" x14ac:dyDescent="0.3">
      <c r="F92800" s="193"/>
    </row>
    <row r="92801" spans="6:6" x14ac:dyDescent="0.3">
      <c r="F92801" s="193"/>
    </row>
    <row r="92802" spans="6:6" x14ac:dyDescent="0.3">
      <c r="F92802" s="193"/>
    </row>
    <row r="92803" spans="6:6" x14ac:dyDescent="0.3">
      <c r="F92803" s="193"/>
    </row>
    <row r="92804" spans="6:6" x14ac:dyDescent="0.3">
      <c r="F92804" s="193"/>
    </row>
    <row r="92805" spans="6:6" x14ac:dyDescent="0.3">
      <c r="F92805" s="193"/>
    </row>
    <row r="92806" spans="6:6" x14ac:dyDescent="0.3">
      <c r="F92806" s="193"/>
    </row>
    <row r="92807" spans="6:6" x14ac:dyDescent="0.3">
      <c r="F92807" s="193"/>
    </row>
    <row r="92808" spans="6:6" x14ac:dyDescent="0.3">
      <c r="F92808" s="193"/>
    </row>
    <row r="92809" spans="6:6" x14ac:dyDescent="0.3">
      <c r="F92809" s="193"/>
    </row>
    <row r="92810" spans="6:6" x14ac:dyDescent="0.3">
      <c r="F92810" s="193"/>
    </row>
    <row r="92811" spans="6:6" x14ac:dyDescent="0.3">
      <c r="F92811" s="193"/>
    </row>
    <row r="92812" spans="6:6" x14ac:dyDescent="0.3">
      <c r="F92812" s="193"/>
    </row>
    <row r="92813" spans="6:6" x14ac:dyDescent="0.3">
      <c r="F92813" s="193"/>
    </row>
    <row r="92814" spans="6:6" x14ac:dyDescent="0.3">
      <c r="F92814" s="193"/>
    </row>
    <row r="92815" spans="6:6" x14ac:dyDescent="0.3">
      <c r="F92815" s="193"/>
    </row>
    <row r="92816" spans="6:6" x14ac:dyDescent="0.3">
      <c r="F92816" s="193"/>
    </row>
    <row r="92817" spans="6:6" x14ac:dyDescent="0.3">
      <c r="F92817" s="193"/>
    </row>
    <row r="92818" spans="6:6" x14ac:dyDescent="0.3">
      <c r="F92818" s="193"/>
    </row>
    <row r="92819" spans="6:6" x14ac:dyDescent="0.3">
      <c r="F92819" s="193"/>
    </row>
    <row r="92820" spans="6:6" x14ac:dyDescent="0.3">
      <c r="F92820" s="193"/>
    </row>
    <row r="92821" spans="6:6" x14ac:dyDescent="0.3">
      <c r="F92821" s="193"/>
    </row>
    <row r="92822" spans="6:6" x14ac:dyDescent="0.3">
      <c r="F92822" s="193"/>
    </row>
    <row r="92823" spans="6:6" x14ac:dyDescent="0.3">
      <c r="F92823" s="193"/>
    </row>
    <row r="92824" spans="6:6" x14ac:dyDescent="0.3">
      <c r="F92824" s="193"/>
    </row>
    <row r="92825" spans="6:6" x14ac:dyDescent="0.3">
      <c r="F92825" s="193"/>
    </row>
    <row r="92826" spans="6:6" x14ac:dyDescent="0.3">
      <c r="F92826" s="193"/>
    </row>
    <row r="92827" spans="6:6" x14ac:dyDescent="0.3">
      <c r="F92827" s="193"/>
    </row>
    <row r="92828" spans="6:6" x14ac:dyDescent="0.3">
      <c r="F92828" s="193"/>
    </row>
    <row r="92829" spans="6:6" x14ac:dyDescent="0.3">
      <c r="F92829" s="193"/>
    </row>
    <row r="92830" spans="6:6" x14ac:dyDescent="0.3">
      <c r="F92830" s="193"/>
    </row>
    <row r="92831" spans="6:6" x14ac:dyDescent="0.3">
      <c r="F92831" s="193"/>
    </row>
    <row r="92832" spans="6:6" x14ac:dyDescent="0.3">
      <c r="F92832" s="193"/>
    </row>
    <row r="92833" spans="6:6" x14ac:dyDescent="0.3">
      <c r="F92833" s="193"/>
    </row>
    <row r="92834" spans="6:6" x14ac:dyDescent="0.3">
      <c r="F92834" s="193"/>
    </row>
    <row r="92835" spans="6:6" x14ac:dyDescent="0.3">
      <c r="F92835" s="193"/>
    </row>
    <row r="92836" spans="6:6" x14ac:dyDescent="0.3">
      <c r="F92836" s="193"/>
    </row>
    <row r="92837" spans="6:6" x14ac:dyDescent="0.3">
      <c r="F92837" s="193"/>
    </row>
    <row r="92838" spans="6:6" x14ac:dyDescent="0.3">
      <c r="F92838" s="193"/>
    </row>
    <row r="92839" spans="6:6" x14ac:dyDescent="0.3">
      <c r="F92839" s="193"/>
    </row>
    <row r="92840" spans="6:6" x14ac:dyDescent="0.3">
      <c r="F92840" s="193"/>
    </row>
    <row r="92841" spans="6:6" x14ac:dyDescent="0.3">
      <c r="F92841" s="193"/>
    </row>
    <row r="92842" spans="6:6" x14ac:dyDescent="0.3">
      <c r="F92842" s="193"/>
    </row>
    <row r="92843" spans="6:6" x14ac:dyDescent="0.3">
      <c r="F92843" s="193"/>
    </row>
    <row r="92844" spans="6:6" x14ac:dyDescent="0.3">
      <c r="F92844" s="193"/>
    </row>
    <row r="92845" spans="6:6" x14ac:dyDescent="0.3">
      <c r="F92845" s="193"/>
    </row>
    <row r="92846" spans="6:6" x14ac:dyDescent="0.3">
      <c r="F92846" s="193"/>
    </row>
    <row r="92847" spans="6:6" x14ac:dyDescent="0.3">
      <c r="F92847" s="193"/>
    </row>
    <row r="92848" spans="6:6" x14ac:dyDescent="0.3">
      <c r="F92848" s="193"/>
    </row>
    <row r="92849" spans="6:6" x14ac:dyDescent="0.3">
      <c r="F92849" s="193"/>
    </row>
    <row r="92850" spans="6:6" x14ac:dyDescent="0.3">
      <c r="F92850" s="193"/>
    </row>
    <row r="92851" spans="6:6" x14ac:dyDescent="0.3">
      <c r="F92851" s="193"/>
    </row>
    <row r="92852" spans="6:6" x14ac:dyDescent="0.3">
      <c r="F92852" s="193"/>
    </row>
    <row r="92853" spans="6:6" x14ac:dyDescent="0.3">
      <c r="F92853" s="193"/>
    </row>
    <row r="92854" spans="6:6" x14ac:dyDescent="0.3">
      <c r="F92854" s="193"/>
    </row>
    <row r="92855" spans="6:6" x14ac:dyDescent="0.3">
      <c r="F92855" s="193"/>
    </row>
    <row r="92856" spans="6:6" x14ac:dyDescent="0.3">
      <c r="F92856" s="193"/>
    </row>
    <row r="92857" spans="6:6" x14ac:dyDescent="0.3">
      <c r="F92857" s="193"/>
    </row>
    <row r="92858" spans="6:6" x14ac:dyDescent="0.3">
      <c r="F92858" s="193"/>
    </row>
    <row r="92859" spans="6:6" x14ac:dyDescent="0.3">
      <c r="F92859" s="193"/>
    </row>
    <row r="92860" spans="6:6" x14ac:dyDescent="0.3">
      <c r="F92860" s="193"/>
    </row>
    <row r="92861" spans="6:6" x14ac:dyDescent="0.3">
      <c r="F92861" s="193"/>
    </row>
    <row r="92862" spans="6:6" x14ac:dyDescent="0.3">
      <c r="F92862" s="193"/>
    </row>
    <row r="92863" spans="6:6" x14ac:dyDescent="0.3">
      <c r="F92863" s="193"/>
    </row>
    <row r="92864" spans="6:6" x14ac:dyDescent="0.3">
      <c r="F92864" s="193"/>
    </row>
    <row r="92865" spans="6:6" x14ac:dyDescent="0.3">
      <c r="F92865" s="193"/>
    </row>
    <row r="92866" spans="6:6" x14ac:dyDescent="0.3">
      <c r="F92866" s="193"/>
    </row>
    <row r="92867" spans="6:6" x14ac:dyDescent="0.3">
      <c r="F92867" s="193"/>
    </row>
    <row r="92868" spans="6:6" x14ac:dyDescent="0.3">
      <c r="F92868" s="193"/>
    </row>
    <row r="92869" spans="6:6" x14ac:dyDescent="0.3">
      <c r="F92869" s="193"/>
    </row>
    <row r="92870" spans="6:6" x14ac:dyDescent="0.3">
      <c r="F92870" s="193"/>
    </row>
    <row r="92871" spans="6:6" x14ac:dyDescent="0.3">
      <c r="F92871" s="193"/>
    </row>
    <row r="92872" spans="6:6" x14ac:dyDescent="0.3">
      <c r="F92872" s="193"/>
    </row>
    <row r="92873" spans="6:6" x14ac:dyDescent="0.3">
      <c r="F92873" s="193"/>
    </row>
    <row r="92874" spans="6:6" x14ac:dyDescent="0.3">
      <c r="F92874" s="193"/>
    </row>
    <row r="92875" spans="6:6" x14ac:dyDescent="0.3">
      <c r="F92875" s="193"/>
    </row>
    <row r="92876" spans="6:6" x14ac:dyDescent="0.3">
      <c r="F92876" s="193"/>
    </row>
    <row r="92877" spans="6:6" x14ac:dyDescent="0.3">
      <c r="F92877" s="193"/>
    </row>
    <row r="92878" spans="6:6" x14ac:dyDescent="0.3">
      <c r="F92878" s="193"/>
    </row>
    <row r="92879" spans="6:6" x14ac:dyDescent="0.3">
      <c r="F92879" s="193"/>
    </row>
    <row r="92880" spans="6:6" x14ac:dyDescent="0.3">
      <c r="F92880" s="193"/>
    </row>
    <row r="92881" spans="6:6" x14ac:dyDescent="0.3">
      <c r="F92881" s="193"/>
    </row>
    <row r="92882" spans="6:6" x14ac:dyDescent="0.3">
      <c r="F92882" s="193"/>
    </row>
    <row r="92883" spans="6:6" x14ac:dyDescent="0.3">
      <c r="F92883" s="193"/>
    </row>
    <row r="92884" spans="6:6" x14ac:dyDescent="0.3">
      <c r="F92884" s="193"/>
    </row>
    <row r="92885" spans="6:6" x14ac:dyDescent="0.3">
      <c r="F92885" s="193"/>
    </row>
    <row r="92886" spans="6:6" x14ac:dyDescent="0.3">
      <c r="F92886" s="193"/>
    </row>
    <row r="92887" spans="6:6" x14ac:dyDescent="0.3">
      <c r="F92887" s="193"/>
    </row>
    <row r="92888" spans="6:6" x14ac:dyDescent="0.3">
      <c r="F92888" s="193"/>
    </row>
    <row r="92889" spans="6:6" x14ac:dyDescent="0.3">
      <c r="F92889" s="193"/>
    </row>
    <row r="92890" spans="6:6" x14ac:dyDescent="0.3">
      <c r="F92890" s="193"/>
    </row>
    <row r="92891" spans="6:6" x14ac:dyDescent="0.3">
      <c r="F92891" s="193"/>
    </row>
    <row r="92892" spans="6:6" x14ac:dyDescent="0.3">
      <c r="F92892" s="193"/>
    </row>
    <row r="92893" spans="6:6" x14ac:dyDescent="0.3">
      <c r="F92893" s="193"/>
    </row>
    <row r="92894" spans="6:6" x14ac:dyDescent="0.3">
      <c r="F92894" s="193"/>
    </row>
    <row r="92895" spans="6:6" x14ac:dyDescent="0.3">
      <c r="F92895" s="193"/>
    </row>
    <row r="92896" spans="6:6" x14ac:dyDescent="0.3">
      <c r="F92896" s="193"/>
    </row>
    <row r="92897" spans="6:6" x14ac:dyDescent="0.3">
      <c r="F92897" s="193"/>
    </row>
    <row r="92898" spans="6:6" x14ac:dyDescent="0.3">
      <c r="F92898" s="193"/>
    </row>
    <row r="92899" spans="6:6" x14ac:dyDescent="0.3">
      <c r="F92899" s="193"/>
    </row>
    <row r="92900" spans="6:6" x14ac:dyDescent="0.3">
      <c r="F92900" s="193"/>
    </row>
    <row r="92901" spans="6:6" x14ac:dyDescent="0.3">
      <c r="F92901" s="193"/>
    </row>
    <row r="92902" spans="6:6" x14ac:dyDescent="0.3">
      <c r="F92902" s="193"/>
    </row>
    <row r="92903" spans="6:6" x14ac:dyDescent="0.3">
      <c r="F92903" s="193"/>
    </row>
    <row r="92904" spans="6:6" x14ac:dyDescent="0.3">
      <c r="F92904" s="193"/>
    </row>
    <row r="92905" spans="6:6" x14ac:dyDescent="0.3">
      <c r="F92905" s="193"/>
    </row>
    <row r="92906" spans="6:6" x14ac:dyDescent="0.3">
      <c r="F92906" s="193"/>
    </row>
    <row r="92907" spans="6:6" x14ac:dyDescent="0.3">
      <c r="F92907" s="193"/>
    </row>
    <row r="92908" spans="6:6" x14ac:dyDescent="0.3">
      <c r="F92908" s="193"/>
    </row>
    <row r="92909" spans="6:6" x14ac:dyDescent="0.3">
      <c r="F92909" s="193"/>
    </row>
    <row r="92910" spans="6:6" x14ac:dyDescent="0.3">
      <c r="F92910" s="193"/>
    </row>
    <row r="92911" spans="6:6" x14ac:dyDescent="0.3">
      <c r="F92911" s="193"/>
    </row>
    <row r="92912" spans="6:6" x14ac:dyDescent="0.3">
      <c r="F92912" s="193"/>
    </row>
    <row r="92913" spans="6:6" x14ac:dyDescent="0.3">
      <c r="F92913" s="193"/>
    </row>
    <row r="92914" spans="6:6" x14ac:dyDescent="0.3">
      <c r="F92914" s="193"/>
    </row>
    <row r="92915" spans="6:6" x14ac:dyDescent="0.3">
      <c r="F92915" s="193"/>
    </row>
    <row r="92916" spans="6:6" x14ac:dyDescent="0.3">
      <c r="F92916" s="193"/>
    </row>
    <row r="92917" spans="6:6" x14ac:dyDescent="0.3">
      <c r="F92917" s="193"/>
    </row>
    <row r="92918" spans="6:6" x14ac:dyDescent="0.3">
      <c r="F92918" s="193"/>
    </row>
    <row r="92919" spans="6:6" x14ac:dyDescent="0.3">
      <c r="F92919" s="193"/>
    </row>
    <row r="92920" spans="6:6" x14ac:dyDescent="0.3">
      <c r="F92920" s="193"/>
    </row>
    <row r="92921" spans="6:6" x14ac:dyDescent="0.3">
      <c r="F92921" s="193"/>
    </row>
    <row r="92922" spans="6:6" x14ac:dyDescent="0.3">
      <c r="F92922" s="193"/>
    </row>
    <row r="92923" spans="6:6" x14ac:dyDescent="0.3">
      <c r="F92923" s="193"/>
    </row>
    <row r="92924" spans="6:6" x14ac:dyDescent="0.3">
      <c r="F92924" s="193"/>
    </row>
    <row r="92925" spans="6:6" x14ac:dyDescent="0.3">
      <c r="F92925" s="193"/>
    </row>
    <row r="92926" spans="6:6" x14ac:dyDescent="0.3">
      <c r="F92926" s="193"/>
    </row>
    <row r="92927" spans="6:6" x14ac:dyDescent="0.3">
      <c r="F92927" s="193"/>
    </row>
    <row r="92928" spans="6:6" x14ac:dyDescent="0.3">
      <c r="F92928" s="193"/>
    </row>
    <row r="92929" spans="6:6" x14ac:dyDescent="0.3">
      <c r="F92929" s="193"/>
    </row>
    <row r="92930" spans="6:6" x14ac:dyDescent="0.3">
      <c r="F92930" s="193"/>
    </row>
    <row r="92931" spans="6:6" x14ac:dyDescent="0.3">
      <c r="F92931" s="193"/>
    </row>
    <row r="92932" spans="6:6" x14ac:dyDescent="0.3">
      <c r="F92932" s="193"/>
    </row>
    <row r="92933" spans="6:6" x14ac:dyDescent="0.3">
      <c r="F92933" s="193"/>
    </row>
    <row r="92934" spans="6:6" x14ac:dyDescent="0.3">
      <c r="F92934" s="193"/>
    </row>
    <row r="92935" spans="6:6" x14ac:dyDescent="0.3">
      <c r="F92935" s="193"/>
    </row>
    <row r="92936" spans="6:6" x14ac:dyDescent="0.3">
      <c r="F92936" s="193"/>
    </row>
    <row r="92937" spans="6:6" x14ac:dyDescent="0.3">
      <c r="F92937" s="193"/>
    </row>
    <row r="92938" spans="6:6" x14ac:dyDescent="0.3">
      <c r="F92938" s="193"/>
    </row>
    <row r="92939" spans="6:6" x14ac:dyDescent="0.3">
      <c r="F92939" s="193"/>
    </row>
    <row r="92940" spans="6:6" x14ac:dyDescent="0.3">
      <c r="F92940" s="193"/>
    </row>
    <row r="92941" spans="6:6" x14ac:dyDescent="0.3">
      <c r="F92941" s="193"/>
    </row>
    <row r="92942" spans="6:6" x14ac:dyDescent="0.3">
      <c r="F92942" s="193"/>
    </row>
    <row r="92943" spans="6:6" x14ac:dyDescent="0.3">
      <c r="F92943" s="193"/>
    </row>
    <row r="92944" spans="6:6" x14ac:dyDescent="0.3">
      <c r="F92944" s="193"/>
    </row>
    <row r="92945" spans="6:6" x14ac:dyDescent="0.3">
      <c r="F92945" s="193"/>
    </row>
    <row r="92946" spans="6:6" x14ac:dyDescent="0.3">
      <c r="F92946" s="193"/>
    </row>
    <row r="92947" spans="6:6" x14ac:dyDescent="0.3">
      <c r="F92947" s="193"/>
    </row>
    <row r="92948" spans="6:6" x14ac:dyDescent="0.3">
      <c r="F92948" s="193"/>
    </row>
    <row r="92949" spans="6:6" x14ac:dyDescent="0.3">
      <c r="F92949" s="193"/>
    </row>
    <row r="92950" spans="6:6" x14ac:dyDescent="0.3">
      <c r="F92950" s="193"/>
    </row>
    <row r="92951" spans="6:6" x14ac:dyDescent="0.3">
      <c r="F92951" s="193"/>
    </row>
    <row r="92952" spans="6:6" x14ac:dyDescent="0.3">
      <c r="F92952" s="193"/>
    </row>
    <row r="92953" spans="6:6" x14ac:dyDescent="0.3">
      <c r="F92953" s="193"/>
    </row>
    <row r="92954" spans="6:6" x14ac:dyDescent="0.3">
      <c r="F92954" s="193"/>
    </row>
    <row r="92955" spans="6:6" x14ac:dyDescent="0.3">
      <c r="F92955" s="193"/>
    </row>
    <row r="92956" spans="6:6" x14ac:dyDescent="0.3">
      <c r="F92956" s="193"/>
    </row>
    <row r="92957" spans="6:6" x14ac:dyDescent="0.3">
      <c r="F92957" s="193"/>
    </row>
    <row r="92958" spans="6:6" x14ac:dyDescent="0.3">
      <c r="F92958" s="193"/>
    </row>
    <row r="92959" spans="6:6" x14ac:dyDescent="0.3">
      <c r="F92959" s="193"/>
    </row>
    <row r="92960" spans="6:6" x14ac:dyDescent="0.3">
      <c r="F92960" s="193"/>
    </row>
    <row r="92961" spans="6:6" x14ac:dyDescent="0.3">
      <c r="F92961" s="193"/>
    </row>
    <row r="92962" spans="6:6" x14ac:dyDescent="0.3">
      <c r="F92962" s="193"/>
    </row>
    <row r="92963" spans="6:6" x14ac:dyDescent="0.3">
      <c r="F92963" s="193"/>
    </row>
    <row r="92964" spans="6:6" x14ac:dyDescent="0.3">
      <c r="F92964" s="193"/>
    </row>
    <row r="92965" spans="6:6" x14ac:dyDescent="0.3">
      <c r="F92965" s="193"/>
    </row>
    <row r="92966" spans="6:6" x14ac:dyDescent="0.3">
      <c r="F92966" s="193"/>
    </row>
    <row r="92967" spans="6:6" x14ac:dyDescent="0.3">
      <c r="F92967" s="193"/>
    </row>
    <row r="92968" spans="6:6" x14ac:dyDescent="0.3">
      <c r="F92968" s="193"/>
    </row>
    <row r="92969" spans="6:6" x14ac:dyDescent="0.3">
      <c r="F92969" s="193"/>
    </row>
    <row r="92970" spans="6:6" x14ac:dyDescent="0.3">
      <c r="F92970" s="193"/>
    </row>
    <row r="92971" spans="6:6" x14ac:dyDescent="0.3">
      <c r="F92971" s="193"/>
    </row>
    <row r="92972" spans="6:6" x14ac:dyDescent="0.3">
      <c r="F92972" s="193"/>
    </row>
    <row r="92973" spans="6:6" x14ac:dyDescent="0.3">
      <c r="F92973" s="193"/>
    </row>
    <row r="92974" spans="6:6" x14ac:dyDescent="0.3">
      <c r="F92974" s="193"/>
    </row>
    <row r="92975" spans="6:6" x14ac:dyDescent="0.3">
      <c r="F92975" s="193"/>
    </row>
    <row r="92976" spans="6:6" x14ac:dyDescent="0.3">
      <c r="F92976" s="193"/>
    </row>
    <row r="92977" spans="6:6" x14ac:dyDescent="0.3">
      <c r="F92977" s="193"/>
    </row>
    <row r="92978" spans="6:6" x14ac:dyDescent="0.3">
      <c r="F92978" s="193"/>
    </row>
    <row r="92979" spans="6:6" x14ac:dyDescent="0.3">
      <c r="F92979" s="193"/>
    </row>
    <row r="92980" spans="6:6" x14ac:dyDescent="0.3">
      <c r="F92980" s="193"/>
    </row>
    <row r="92981" spans="6:6" x14ac:dyDescent="0.3">
      <c r="F92981" s="193"/>
    </row>
    <row r="92982" spans="6:6" x14ac:dyDescent="0.3">
      <c r="F92982" s="193"/>
    </row>
    <row r="92983" spans="6:6" x14ac:dyDescent="0.3">
      <c r="F92983" s="193"/>
    </row>
    <row r="92984" spans="6:6" x14ac:dyDescent="0.3">
      <c r="F92984" s="193"/>
    </row>
    <row r="92985" spans="6:6" x14ac:dyDescent="0.3">
      <c r="F92985" s="193"/>
    </row>
    <row r="92986" spans="6:6" x14ac:dyDescent="0.3">
      <c r="F92986" s="193"/>
    </row>
    <row r="92987" spans="6:6" x14ac:dyDescent="0.3">
      <c r="F92987" s="193"/>
    </row>
    <row r="92988" spans="6:6" x14ac:dyDescent="0.3">
      <c r="F92988" s="193"/>
    </row>
    <row r="92989" spans="6:6" x14ac:dyDescent="0.3">
      <c r="F92989" s="193"/>
    </row>
    <row r="92990" spans="6:6" x14ac:dyDescent="0.3">
      <c r="F92990" s="193"/>
    </row>
    <row r="92991" spans="6:6" x14ac:dyDescent="0.3">
      <c r="F92991" s="193"/>
    </row>
    <row r="92992" spans="6:6" x14ac:dyDescent="0.3">
      <c r="F92992" s="193"/>
    </row>
    <row r="92993" spans="6:6" x14ac:dyDescent="0.3">
      <c r="F92993" s="193"/>
    </row>
    <row r="92994" spans="6:6" x14ac:dyDescent="0.3">
      <c r="F92994" s="193"/>
    </row>
    <row r="92995" spans="6:6" x14ac:dyDescent="0.3">
      <c r="F92995" s="193"/>
    </row>
    <row r="92996" spans="6:6" x14ac:dyDescent="0.3">
      <c r="F92996" s="193"/>
    </row>
    <row r="92997" spans="6:6" x14ac:dyDescent="0.3">
      <c r="F92997" s="193"/>
    </row>
    <row r="92998" spans="6:6" x14ac:dyDescent="0.3">
      <c r="F92998" s="193"/>
    </row>
    <row r="92999" spans="6:6" x14ac:dyDescent="0.3">
      <c r="F92999" s="193"/>
    </row>
    <row r="93000" spans="6:6" x14ac:dyDescent="0.3">
      <c r="F93000" s="193"/>
    </row>
    <row r="93001" spans="6:6" x14ac:dyDescent="0.3">
      <c r="F93001" s="193"/>
    </row>
    <row r="93002" spans="6:6" x14ac:dyDescent="0.3">
      <c r="F93002" s="193"/>
    </row>
    <row r="93003" spans="6:6" x14ac:dyDescent="0.3">
      <c r="F93003" s="193"/>
    </row>
    <row r="93004" spans="6:6" x14ac:dyDescent="0.3">
      <c r="F93004" s="193"/>
    </row>
    <row r="93005" spans="6:6" x14ac:dyDescent="0.3">
      <c r="F93005" s="193"/>
    </row>
    <row r="93006" spans="6:6" x14ac:dyDescent="0.3">
      <c r="F93006" s="193"/>
    </row>
    <row r="93007" spans="6:6" x14ac:dyDescent="0.3">
      <c r="F93007" s="193"/>
    </row>
    <row r="93008" spans="6:6" x14ac:dyDescent="0.3">
      <c r="F93008" s="193"/>
    </row>
    <row r="93009" spans="6:6" x14ac:dyDescent="0.3">
      <c r="F93009" s="193"/>
    </row>
    <row r="93010" spans="6:6" x14ac:dyDescent="0.3">
      <c r="F93010" s="193"/>
    </row>
    <row r="93011" spans="6:6" x14ac:dyDescent="0.3">
      <c r="F93011" s="193"/>
    </row>
    <row r="93012" spans="6:6" x14ac:dyDescent="0.3">
      <c r="F93012" s="193"/>
    </row>
    <row r="93013" spans="6:6" x14ac:dyDescent="0.3">
      <c r="F93013" s="193"/>
    </row>
    <row r="93014" spans="6:6" x14ac:dyDescent="0.3">
      <c r="F93014" s="193"/>
    </row>
    <row r="93015" spans="6:6" x14ac:dyDescent="0.3">
      <c r="F93015" s="193"/>
    </row>
    <row r="93016" spans="6:6" x14ac:dyDescent="0.3">
      <c r="F93016" s="193"/>
    </row>
    <row r="93017" spans="6:6" x14ac:dyDescent="0.3">
      <c r="F93017" s="193"/>
    </row>
    <row r="93018" spans="6:6" x14ac:dyDescent="0.3">
      <c r="F93018" s="193"/>
    </row>
    <row r="93019" spans="6:6" x14ac:dyDescent="0.3">
      <c r="F93019" s="193"/>
    </row>
    <row r="93020" spans="6:6" x14ac:dyDescent="0.3">
      <c r="F93020" s="193"/>
    </row>
    <row r="93021" spans="6:6" x14ac:dyDescent="0.3">
      <c r="F93021" s="193"/>
    </row>
    <row r="93022" spans="6:6" x14ac:dyDescent="0.3">
      <c r="F93022" s="193"/>
    </row>
    <row r="93023" spans="6:6" x14ac:dyDescent="0.3">
      <c r="F93023" s="193"/>
    </row>
    <row r="93024" spans="6:6" x14ac:dyDescent="0.3">
      <c r="F93024" s="193"/>
    </row>
    <row r="93025" spans="6:6" x14ac:dyDescent="0.3">
      <c r="F93025" s="193"/>
    </row>
    <row r="93026" spans="6:6" x14ac:dyDescent="0.3">
      <c r="F93026" s="193"/>
    </row>
    <row r="93027" spans="6:6" x14ac:dyDescent="0.3">
      <c r="F93027" s="193"/>
    </row>
    <row r="93028" spans="6:6" x14ac:dyDescent="0.3">
      <c r="F93028" s="193"/>
    </row>
    <row r="93029" spans="6:6" x14ac:dyDescent="0.3">
      <c r="F93029" s="193"/>
    </row>
    <row r="93030" spans="6:6" x14ac:dyDescent="0.3">
      <c r="F93030" s="193"/>
    </row>
    <row r="93031" spans="6:6" x14ac:dyDescent="0.3">
      <c r="F93031" s="193"/>
    </row>
    <row r="93032" spans="6:6" x14ac:dyDescent="0.3">
      <c r="F93032" s="193"/>
    </row>
    <row r="93033" spans="6:6" x14ac:dyDescent="0.3">
      <c r="F93033" s="193"/>
    </row>
    <row r="93034" spans="6:6" x14ac:dyDescent="0.3">
      <c r="F93034" s="193"/>
    </row>
    <row r="93035" spans="6:6" x14ac:dyDescent="0.3">
      <c r="F93035" s="193"/>
    </row>
    <row r="93036" spans="6:6" x14ac:dyDescent="0.3">
      <c r="F93036" s="193"/>
    </row>
    <row r="93037" spans="6:6" x14ac:dyDescent="0.3">
      <c r="F93037" s="193"/>
    </row>
    <row r="93038" spans="6:6" x14ac:dyDescent="0.3">
      <c r="F93038" s="193"/>
    </row>
    <row r="93039" spans="6:6" x14ac:dyDescent="0.3">
      <c r="F93039" s="193"/>
    </row>
    <row r="93040" spans="6:6" x14ac:dyDescent="0.3">
      <c r="F93040" s="193"/>
    </row>
    <row r="93041" spans="6:6" x14ac:dyDescent="0.3">
      <c r="F93041" s="193"/>
    </row>
    <row r="93042" spans="6:6" x14ac:dyDescent="0.3">
      <c r="F93042" s="193"/>
    </row>
    <row r="93043" spans="6:6" x14ac:dyDescent="0.3">
      <c r="F93043" s="193"/>
    </row>
    <row r="93044" spans="6:6" x14ac:dyDescent="0.3">
      <c r="F93044" s="193"/>
    </row>
    <row r="93045" spans="6:6" x14ac:dyDescent="0.3">
      <c r="F93045" s="193"/>
    </row>
    <row r="93046" spans="6:6" x14ac:dyDescent="0.3">
      <c r="F93046" s="193"/>
    </row>
    <row r="93047" spans="6:6" x14ac:dyDescent="0.3">
      <c r="F93047" s="193"/>
    </row>
    <row r="93048" spans="6:6" x14ac:dyDescent="0.3">
      <c r="F93048" s="193"/>
    </row>
    <row r="93049" spans="6:6" x14ac:dyDescent="0.3">
      <c r="F93049" s="193"/>
    </row>
    <row r="93050" spans="6:6" x14ac:dyDescent="0.3">
      <c r="F93050" s="193"/>
    </row>
    <row r="93051" spans="6:6" x14ac:dyDescent="0.3">
      <c r="F93051" s="193"/>
    </row>
    <row r="93052" spans="6:6" x14ac:dyDescent="0.3">
      <c r="F93052" s="193"/>
    </row>
    <row r="93053" spans="6:6" x14ac:dyDescent="0.3">
      <c r="F93053" s="193"/>
    </row>
    <row r="93054" spans="6:6" x14ac:dyDescent="0.3">
      <c r="F93054" s="193"/>
    </row>
    <row r="93055" spans="6:6" x14ac:dyDescent="0.3">
      <c r="F93055" s="193"/>
    </row>
    <row r="93056" spans="6:6" x14ac:dyDescent="0.3">
      <c r="F93056" s="193"/>
    </row>
    <row r="93057" spans="6:6" x14ac:dyDescent="0.3">
      <c r="F93057" s="193"/>
    </row>
    <row r="93058" spans="6:6" x14ac:dyDescent="0.3">
      <c r="F93058" s="193"/>
    </row>
    <row r="93059" spans="6:6" x14ac:dyDescent="0.3">
      <c r="F93059" s="193"/>
    </row>
    <row r="93060" spans="6:6" x14ac:dyDescent="0.3">
      <c r="F93060" s="193"/>
    </row>
    <row r="93061" spans="6:6" x14ac:dyDescent="0.3">
      <c r="F93061" s="193"/>
    </row>
    <row r="93062" spans="6:6" x14ac:dyDescent="0.3">
      <c r="F93062" s="193"/>
    </row>
    <row r="93063" spans="6:6" x14ac:dyDescent="0.3">
      <c r="F93063" s="193"/>
    </row>
    <row r="93064" spans="6:6" x14ac:dyDescent="0.3">
      <c r="F93064" s="193"/>
    </row>
    <row r="93065" spans="6:6" x14ac:dyDescent="0.3">
      <c r="F93065" s="193"/>
    </row>
    <row r="93066" spans="6:6" x14ac:dyDescent="0.3">
      <c r="F93066" s="193"/>
    </row>
    <row r="93067" spans="6:6" x14ac:dyDescent="0.3">
      <c r="F93067" s="193"/>
    </row>
    <row r="93068" spans="6:6" x14ac:dyDescent="0.3">
      <c r="F93068" s="193"/>
    </row>
    <row r="93069" spans="6:6" x14ac:dyDescent="0.3">
      <c r="F93069" s="193"/>
    </row>
    <row r="93070" spans="6:6" x14ac:dyDescent="0.3">
      <c r="F93070" s="193"/>
    </row>
    <row r="93071" spans="6:6" x14ac:dyDescent="0.3">
      <c r="F93071" s="193"/>
    </row>
    <row r="93072" spans="6:6" x14ac:dyDescent="0.3">
      <c r="F93072" s="193"/>
    </row>
    <row r="93073" spans="6:6" x14ac:dyDescent="0.3">
      <c r="F93073" s="193"/>
    </row>
    <row r="93074" spans="6:6" x14ac:dyDescent="0.3">
      <c r="F93074" s="193"/>
    </row>
    <row r="93075" spans="6:6" x14ac:dyDescent="0.3">
      <c r="F93075" s="193"/>
    </row>
    <row r="93076" spans="6:6" x14ac:dyDescent="0.3">
      <c r="F93076" s="193"/>
    </row>
    <row r="93077" spans="6:6" x14ac:dyDescent="0.3">
      <c r="F93077" s="193"/>
    </row>
    <row r="93078" spans="6:6" x14ac:dyDescent="0.3">
      <c r="F93078" s="193"/>
    </row>
    <row r="93079" spans="6:6" x14ac:dyDescent="0.3">
      <c r="F93079" s="193"/>
    </row>
    <row r="93080" spans="6:6" x14ac:dyDescent="0.3">
      <c r="F93080" s="193"/>
    </row>
    <row r="93081" spans="6:6" x14ac:dyDescent="0.3">
      <c r="F93081" s="193"/>
    </row>
    <row r="93082" spans="6:6" x14ac:dyDescent="0.3">
      <c r="F93082" s="193"/>
    </row>
    <row r="93083" spans="6:6" x14ac:dyDescent="0.3">
      <c r="F93083" s="193"/>
    </row>
    <row r="93084" spans="6:6" x14ac:dyDescent="0.3">
      <c r="F93084" s="193"/>
    </row>
    <row r="93085" spans="6:6" x14ac:dyDescent="0.3">
      <c r="F93085" s="193"/>
    </row>
    <row r="93086" spans="6:6" x14ac:dyDescent="0.3">
      <c r="F93086" s="193"/>
    </row>
    <row r="93087" spans="6:6" x14ac:dyDescent="0.3">
      <c r="F93087" s="193"/>
    </row>
    <row r="93088" spans="6:6" x14ac:dyDescent="0.3">
      <c r="F93088" s="193"/>
    </row>
    <row r="93089" spans="6:6" x14ac:dyDescent="0.3">
      <c r="F93089" s="193"/>
    </row>
    <row r="93090" spans="6:6" x14ac:dyDescent="0.3">
      <c r="F93090" s="193"/>
    </row>
    <row r="93091" spans="6:6" x14ac:dyDescent="0.3">
      <c r="F93091" s="193"/>
    </row>
    <row r="93092" spans="6:6" x14ac:dyDescent="0.3">
      <c r="F93092" s="193"/>
    </row>
    <row r="93093" spans="6:6" x14ac:dyDescent="0.3">
      <c r="F93093" s="193"/>
    </row>
    <row r="93094" spans="6:6" x14ac:dyDescent="0.3">
      <c r="F93094" s="193"/>
    </row>
    <row r="93095" spans="6:6" x14ac:dyDescent="0.3">
      <c r="F93095" s="193"/>
    </row>
    <row r="93096" spans="6:6" x14ac:dyDescent="0.3">
      <c r="F93096" s="193"/>
    </row>
    <row r="93097" spans="6:6" x14ac:dyDescent="0.3">
      <c r="F93097" s="193"/>
    </row>
    <row r="93098" spans="6:6" x14ac:dyDescent="0.3">
      <c r="F93098" s="193"/>
    </row>
    <row r="93099" spans="6:6" x14ac:dyDescent="0.3">
      <c r="F93099" s="193"/>
    </row>
    <row r="93100" spans="6:6" x14ac:dyDescent="0.3">
      <c r="F93100" s="193"/>
    </row>
    <row r="93101" spans="6:6" x14ac:dyDescent="0.3">
      <c r="F93101" s="193"/>
    </row>
    <row r="93102" spans="6:6" x14ac:dyDescent="0.3">
      <c r="F93102" s="193"/>
    </row>
    <row r="93103" spans="6:6" x14ac:dyDescent="0.3">
      <c r="F93103" s="193"/>
    </row>
    <row r="93104" spans="6:6" x14ac:dyDescent="0.3">
      <c r="F93104" s="193"/>
    </row>
    <row r="93105" spans="6:6" x14ac:dyDescent="0.3">
      <c r="F93105" s="193"/>
    </row>
    <row r="93106" spans="6:6" x14ac:dyDescent="0.3">
      <c r="F93106" s="193"/>
    </row>
    <row r="93107" spans="6:6" x14ac:dyDescent="0.3">
      <c r="F93107" s="193"/>
    </row>
    <row r="93108" spans="6:6" x14ac:dyDescent="0.3">
      <c r="F93108" s="193"/>
    </row>
    <row r="93109" spans="6:6" x14ac:dyDescent="0.3">
      <c r="F93109" s="193"/>
    </row>
    <row r="93110" spans="6:6" x14ac:dyDescent="0.3">
      <c r="F93110" s="193"/>
    </row>
    <row r="93111" spans="6:6" x14ac:dyDescent="0.3">
      <c r="F93111" s="193"/>
    </row>
    <row r="93112" spans="6:6" x14ac:dyDescent="0.3">
      <c r="F93112" s="193"/>
    </row>
    <row r="93113" spans="6:6" x14ac:dyDescent="0.3">
      <c r="F93113" s="193"/>
    </row>
    <row r="93114" spans="6:6" x14ac:dyDescent="0.3">
      <c r="F93114" s="193"/>
    </row>
    <row r="93115" spans="6:6" x14ac:dyDescent="0.3">
      <c r="F93115" s="193"/>
    </row>
    <row r="93116" spans="6:6" x14ac:dyDescent="0.3">
      <c r="F93116" s="193"/>
    </row>
    <row r="93117" spans="6:6" x14ac:dyDescent="0.3">
      <c r="F93117" s="193"/>
    </row>
    <row r="93118" spans="6:6" x14ac:dyDescent="0.3">
      <c r="F93118" s="193"/>
    </row>
    <row r="93119" spans="6:6" x14ac:dyDescent="0.3">
      <c r="F93119" s="193"/>
    </row>
    <row r="93120" spans="6:6" x14ac:dyDescent="0.3">
      <c r="F93120" s="193"/>
    </row>
    <row r="93121" spans="6:6" x14ac:dyDescent="0.3">
      <c r="F93121" s="193"/>
    </row>
    <row r="93122" spans="6:6" x14ac:dyDescent="0.3">
      <c r="F93122" s="193"/>
    </row>
    <row r="93123" spans="6:6" x14ac:dyDescent="0.3">
      <c r="F93123" s="193"/>
    </row>
    <row r="93124" spans="6:6" x14ac:dyDescent="0.3">
      <c r="F93124" s="193"/>
    </row>
    <row r="93125" spans="6:6" x14ac:dyDescent="0.3">
      <c r="F93125" s="193"/>
    </row>
    <row r="93126" spans="6:6" x14ac:dyDescent="0.3">
      <c r="F93126" s="193"/>
    </row>
    <row r="93127" spans="6:6" x14ac:dyDescent="0.3">
      <c r="F93127" s="193"/>
    </row>
    <row r="93128" spans="6:6" x14ac:dyDescent="0.3">
      <c r="F93128" s="193"/>
    </row>
    <row r="93129" spans="6:6" x14ac:dyDescent="0.3">
      <c r="F93129" s="193"/>
    </row>
    <row r="93130" spans="6:6" x14ac:dyDescent="0.3">
      <c r="F93130" s="193"/>
    </row>
    <row r="93131" spans="6:6" x14ac:dyDescent="0.3">
      <c r="F93131" s="193"/>
    </row>
    <row r="93132" spans="6:6" x14ac:dyDescent="0.3">
      <c r="F93132" s="193"/>
    </row>
    <row r="93133" spans="6:6" x14ac:dyDescent="0.3">
      <c r="F93133" s="193"/>
    </row>
    <row r="93134" spans="6:6" x14ac:dyDescent="0.3">
      <c r="F93134" s="193"/>
    </row>
    <row r="93135" spans="6:6" x14ac:dyDescent="0.3">
      <c r="F93135" s="193"/>
    </row>
    <row r="93136" spans="6:6" x14ac:dyDescent="0.3">
      <c r="F93136" s="193"/>
    </row>
    <row r="93137" spans="6:6" x14ac:dyDescent="0.3">
      <c r="F93137" s="193"/>
    </row>
    <row r="93138" spans="6:6" x14ac:dyDescent="0.3">
      <c r="F93138" s="193"/>
    </row>
    <row r="93139" spans="6:6" x14ac:dyDescent="0.3">
      <c r="F93139" s="193"/>
    </row>
    <row r="93140" spans="6:6" x14ac:dyDescent="0.3">
      <c r="F93140" s="193"/>
    </row>
    <row r="93141" spans="6:6" x14ac:dyDescent="0.3">
      <c r="F93141" s="193"/>
    </row>
    <row r="93142" spans="6:6" x14ac:dyDescent="0.3">
      <c r="F93142" s="193"/>
    </row>
    <row r="93143" spans="6:6" x14ac:dyDescent="0.3">
      <c r="F93143" s="193"/>
    </row>
    <row r="93144" spans="6:6" x14ac:dyDescent="0.3">
      <c r="F93144" s="193"/>
    </row>
    <row r="93145" spans="6:6" x14ac:dyDescent="0.3">
      <c r="F93145" s="193"/>
    </row>
    <row r="93146" spans="6:6" x14ac:dyDescent="0.3">
      <c r="F93146" s="193"/>
    </row>
    <row r="93147" spans="6:6" x14ac:dyDescent="0.3">
      <c r="F93147" s="193"/>
    </row>
    <row r="93148" spans="6:6" x14ac:dyDescent="0.3">
      <c r="F93148" s="193"/>
    </row>
    <row r="93149" spans="6:6" x14ac:dyDescent="0.3">
      <c r="F93149" s="193"/>
    </row>
    <row r="93150" spans="6:6" x14ac:dyDescent="0.3">
      <c r="F93150" s="193"/>
    </row>
    <row r="93151" spans="6:6" x14ac:dyDescent="0.3">
      <c r="F93151" s="193"/>
    </row>
    <row r="93152" spans="6:6" x14ac:dyDescent="0.3">
      <c r="F93152" s="193"/>
    </row>
    <row r="93153" spans="6:6" x14ac:dyDescent="0.3">
      <c r="F93153" s="193"/>
    </row>
    <row r="93154" spans="6:6" x14ac:dyDescent="0.3">
      <c r="F93154" s="193"/>
    </row>
    <row r="93155" spans="6:6" x14ac:dyDescent="0.3">
      <c r="F93155" s="193"/>
    </row>
    <row r="93156" spans="6:6" x14ac:dyDescent="0.3">
      <c r="F93156" s="193"/>
    </row>
    <row r="93157" spans="6:6" x14ac:dyDescent="0.3">
      <c r="F93157" s="193"/>
    </row>
    <row r="93158" spans="6:6" x14ac:dyDescent="0.3">
      <c r="F93158" s="193"/>
    </row>
    <row r="93159" spans="6:6" x14ac:dyDescent="0.3">
      <c r="F93159" s="193"/>
    </row>
    <row r="93160" spans="6:6" x14ac:dyDescent="0.3">
      <c r="F93160" s="193"/>
    </row>
    <row r="93161" spans="6:6" x14ac:dyDescent="0.3">
      <c r="F93161" s="193"/>
    </row>
    <row r="93162" spans="6:6" x14ac:dyDescent="0.3">
      <c r="F93162" s="193"/>
    </row>
    <row r="93163" spans="6:6" x14ac:dyDescent="0.3">
      <c r="F93163" s="193"/>
    </row>
    <row r="93164" spans="6:6" x14ac:dyDescent="0.3">
      <c r="F93164" s="193"/>
    </row>
    <row r="93165" spans="6:6" x14ac:dyDescent="0.3">
      <c r="F93165" s="193"/>
    </row>
    <row r="93166" spans="6:6" x14ac:dyDescent="0.3">
      <c r="F93166" s="193"/>
    </row>
    <row r="93167" spans="6:6" x14ac:dyDescent="0.3">
      <c r="F93167" s="193"/>
    </row>
    <row r="93168" spans="6:6" x14ac:dyDescent="0.3">
      <c r="F93168" s="193"/>
    </row>
    <row r="93169" spans="6:6" x14ac:dyDescent="0.3">
      <c r="F93169" s="193"/>
    </row>
    <row r="93170" spans="6:6" x14ac:dyDescent="0.3">
      <c r="F93170" s="193"/>
    </row>
    <row r="93171" spans="6:6" x14ac:dyDescent="0.3">
      <c r="F93171" s="193"/>
    </row>
    <row r="93172" spans="6:6" x14ac:dyDescent="0.3">
      <c r="F93172" s="193"/>
    </row>
    <row r="93173" spans="6:6" x14ac:dyDescent="0.3">
      <c r="F93173" s="193"/>
    </row>
    <row r="93174" spans="6:6" x14ac:dyDescent="0.3">
      <c r="F93174" s="193"/>
    </row>
    <row r="93175" spans="6:6" x14ac:dyDescent="0.3">
      <c r="F93175" s="193"/>
    </row>
    <row r="93176" spans="6:6" x14ac:dyDescent="0.3">
      <c r="F93176" s="193"/>
    </row>
    <row r="93177" spans="6:6" x14ac:dyDescent="0.3">
      <c r="F93177" s="193"/>
    </row>
    <row r="93178" spans="6:6" x14ac:dyDescent="0.3">
      <c r="F93178" s="193"/>
    </row>
    <row r="93179" spans="6:6" x14ac:dyDescent="0.3">
      <c r="F93179" s="193"/>
    </row>
    <row r="93180" spans="6:6" x14ac:dyDescent="0.3">
      <c r="F93180" s="193"/>
    </row>
    <row r="93181" spans="6:6" x14ac:dyDescent="0.3">
      <c r="F93181" s="193"/>
    </row>
    <row r="93182" spans="6:6" x14ac:dyDescent="0.3">
      <c r="F93182" s="193"/>
    </row>
    <row r="93183" spans="6:6" x14ac:dyDescent="0.3">
      <c r="F93183" s="193"/>
    </row>
    <row r="93184" spans="6:6" x14ac:dyDescent="0.3">
      <c r="F93184" s="193"/>
    </row>
    <row r="93185" spans="6:6" x14ac:dyDescent="0.3">
      <c r="F93185" s="193"/>
    </row>
    <row r="93186" spans="6:6" x14ac:dyDescent="0.3">
      <c r="F93186" s="193"/>
    </row>
    <row r="93187" spans="6:6" x14ac:dyDescent="0.3">
      <c r="F93187" s="193"/>
    </row>
    <row r="93188" spans="6:6" x14ac:dyDescent="0.3">
      <c r="F93188" s="193"/>
    </row>
    <row r="93189" spans="6:6" x14ac:dyDescent="0.3">
      <c r="F93189" s="193"/>
    </row>
    <row r="93190" spans="6:6" x14ac:dyDescent="0.3">
      <c r="F93190" s="193"/>
    </row>
    <row r="93191" spans="6:6" x14ac:dyDescent="0.3">
      <c r="F93191" s="193"/>
    </row>
    <row r="93192" spans="6:6" x14ac:dyDescent="0.3">
      <c r="F93192" s="193"/>
    </row>
    <row r="93193" spans="6:6" x14ac:dyDescent="0.3">
      <c r="F93193" s="193"/>
    </row>
    <row r="93194" spans="6:6" x14ac:dyDescent="0.3">
      <c r="F93194" s="193"/>
    </row>
    <row r="93195" spans="6:6" x14ac:dyDescent="0.3">
      <c r="F93195" s="193"/>
    </row>
    <row r="93196" spans="6:6" x14ac:dyDescent="0.3">
      <c r="F93196" s="193"/>
    </row>
    <row r="93197" spans="6:6" x14ac:dyDescent="0.3">
      <c r="F93197" s="193"/>
    </row>
    <row r="93198" spans="6:6" x14ac:dyDescent="0.3">
      <c r="F93198" s="193"/>
    </row>
    <row r="93199" spans="6:6" x14ac:dyDescent="0.3">
      <c r="F93199" s="193"/>
    </row>
    <row r="93200" spans="6:6" x14ac:dyDescent="0.3">
      <c r="F93200" s="193"/>
    </row>
    <row r="93201" spans="6:6" x14ac:dyDescent="0.3">
      <c r="F93201" s="193"/>
    </row>
    <row r="93202" spans="6:6" x14ac:dyDescent="0.3">
      <c r="F93202" s="193"/>
    </row>
    <row r="93203" spans="6:6" x14ac:dyDescent="0.3">
      <c r="F93203" s="193"/>
    </row>
    <row r="93204" spans="6:6" x14ac:dyDescent="0.3">
      <c r="F93204" s="193"/>
    </row>
    <row r="93205" spans="6:6" x14ac:dyDescent="0.3">
      <c r="F93205" s="193"/>
    </row>
    <row r="93206" spans="6:6" x14ac:dyDescent="0.3">
      <c r="F93206" s="193"/>
    </row>
    <row r="93207" spans="6:6" x14ac:dyDescent="0.3">
      <c r="F93207" s="193"/>
    </row>
    <row r="93208" spans="6:6" x14ac:dyDescent="0.3">
      <c r="F93208" s="193"/>
    </row>
    <row r="93209" spans="6:6" x14ac:dyDescent="0.3">
      <c r="F93209" s="193"/>
    </row>
    <row r="93210" spans="6:6" x14ac:dyDescent="0.3">
      <c r="F93210" s="193"/>
    </row>
    <row r="93211" spans="6:6" x14ac:dyDescent="0.3">
      <c r="F93211" s="193"/>
    </row>
    <row r="93212" spans="6:6" x14ac:dyDescent="0.3">
      <c r="F93212" s="193"/>
    </row>
    <row r="93213" spans="6:6" x14ac:dyDescent="0.3">
      <c r="F93213" s="193"/>
    </row>
    <row r="93214" spans="6:6" x14ac:dyDescent="0.3">
      <c r="F93214" s="193"/>
    </row>
    <row r="93215" spans="6:6" x14ac:dyDescent="0.3">
      <c r="F93215" s="193"/>
    </row>
    <row r="93216" spans="6:6" x14ac:dyDescent="0.3">
      <c r="F93216" s="193"/>
    </row>
    <row r="93217" spans="6:6" x14ac:dyDescent="0.3">
      <c r="F93217" s="193"/>
    </row>
    <row r="93218" spans="6:6" x14ac:dyDescent="0.3">
      <c r="F93218" s="193"/>
    </row>
    <row r="93219" spans="6:6" x14ac:dyDescent="0.3">
      <c r="F93219" s="193"/>
    </row>
    <row r="93220" spans="6:6" x14ac:dyDescent="0.3">
      <c r="F93220" s="193"/>
    </row>
    <row r="93221" spans="6:6" x14ac:dyDescent="0.3">
      <c r="F93221" s="193"/>
    </row>
    <row r="93222" spans="6:6" x14ac:dyDescent="0.3">
      <c r="F93222" s="193"/>
    </row>
    <row r="93223" spans="6:6" x14ac:dyDescent="0.3">
      <c r="F93223" s="193"/>
    </row>
    <row r="93224" spans="6:6" x14ac:dyDescent="0.3">
      <c r="F93224" s="193"/>
    </row>
    <row r="93225" spans="6:6" x14ac:dyDescent="0.3">
      <c r="F93225" s="193"/>
    </row>
    <row r="93226" spans="6:6" x14ac:dyDescent="0.3">
      <c r="F93226" s="193"/>
    </row>
    <row r="93227" spans="6:6" x14ac:dyDescent="0.3">
      <c r="F93227" s="193"/>
    </row>
    <row r="93228" spans="6:6" x14ac:dyDescent="0.3">
      <c r="F93228" s="193"/>
    </row>
    <row r="93229" spans="6:6" x14ac:dyDescent="0.3">
      <c r="F93229" s="193"/>
    </row>
    <row r="93230" spans="6:6" x14ac:dyDescent="0.3">
      <c r="F93230" s="193"/>
    </row>
    <row r="93231" spans="6:6" x14ac:dyDescent="0.3">
      <c r="F93231" s="193"/>
    </row>
    <row r="93232" spans="6:6" x14ac:dyDescent="0.3">
      <c r="F93232" s="193"/>
    </row>
    <row r="93233" spans="6:6" x14ac:dyDescent="0.3">
      <c r="F93233" s="193"/>
    </row>
    <row r="93234" spans="6:6" x14ac:dyDescent="0.3">
      <c r="F93234" s="193"/>
    </row>
    <row r="93235" spans="6:6" x14ac:dyDescent="0.3">
      <c r="F93235" s="193"/>
    </row>
    <row r="93236" spans="6:6" x14ac:dyDescent="0.3">
      <c r="F93236" s="193"/>
    </row>
    <row r="93237" spans="6:6" x14ac:dyDescent="0.3">
      <c r="F93237" s="193"/>
    </row>
    <row r="93238" spans="6:6" x14ac:dyDescent="0.3">
      <c r="F93238" s="193"/>
    </row>
    <row r="93239" spans="6:6" x14ac:dyDescent="0.3">
      <c r="F93239" s="193"/>
    </row>
    <row r="93240" spans="6:6" x14ac:dyDescent="0.3">
      <c r="F93240" s="193"/>
    </row>
    <row r="93241" spans="6:6" x14ac:dyDescent="0.3">
      <c r="F93241" s="193"/>
    </row>
    <row r="93242" spans="6:6" x14ac:dyDescent="0.3">
      <c r="F93242" s="193"/>
    </row>
    <row r="93243" spans="6:6" x14ac:dyDescent="0.3">
      <c r="F93243" s="193"/>
    </row>
    <row r="93244" spans="6:6" x14ac:dyDescent="0.3">
      <c r="F93244" s="193"/>
    </row>
    <row r="93245" spans="6:6" x14ac:dyDescent="0.3">
      <c r="F93245" s="193"/>
    </row>
    <row r="93246" spans="6:6" x14ac:dyDescent="0.3">
      <c r="F93246" s="193"/>
    </row>
    <row r="93247" spans="6:6" x14ac:dyDescent="0.3">
      <c r="F93247" s="193"/>
    </row>
    <row r="93248" spans="6:6" x14ac:dyDescent="0.3">
      <c r="F93248" s="193"/>
    </row>
    <row r="93249" spans="6:6" x14ac:dyDescent="0.3">
      <c r="F93249" s="193"/>
    </row>
    <row r="93250" spans="6:6" x14ac:dyDescent="0.3">
      <c r="F93250" s="193"/>
    </row>
    <row r="93251" spans="6:6" x14ac:dyDescent="0.3">
      <c r="F93251" s="193"/>
    </row>
    <row r="93252" spans="6:6" x14ac:dyDescent="0.3">
      <c r="F93252" s="193"/>
    </row>
    <row r="93253" spans="6:6" x14ac:dyDescent="0.3">
      <c r="F93253" s="193"/>
    </row>
    <row r="93254" spans="6:6" x14ac:dyDescent="0.3">
      <c r="F93254" s="193"/>
    </row>
    <row r="93255" spans="6:6" x14ac:dyDescent="0.3">
      <c r="F93255" s="193"/>
    </row>
    <row r="93256" spans="6:6" x14ac:dyDescent="0.3">
      <c r="F93256" s="193"/>
    </row>
    <row r="93257" spans="6:6" x14ac:dyDescent="0.3">
      <c r="F93257" s="193"/>
    </row>
    <row r="93258" spans="6:6" x14ac:dyDescent="0.3">
      <c r="F93258" s="193"/>
    </row>
    <row r="93259" spans="6:6" x14ac:dyDescent="0.3">
      <c r="F93259" s="193"/>
    </row>
    <row r="93260" spans="6:6" x14ac:dyDescent="0.3">
      <c r="F93260" s="193"/>
    </row>
    <row r="93261" spans="6:6" x14ac:dyDescent="0.3">
      <c r="F93261" s="193"/>
    </row>
    <row r="93262" spans="6:6" x14ac:dyDescent="0.3">
      <c r="F93262" s="193"/>
    </row>
    <row r="93263" spans="6:6" x14ac:dyDescent="0.3">
      <c r="F93263" s="193"/>
    </row>
    <row r="93264" spans="6:6" x14ac:dyDescent="0.3">
      <c r="F93264" s="193"/>
    </row>
    <row r="93265" spans="6:6" x14ac:dyDescent="0.3">
      <c r="F93265" s="193"/>
    </row>
    <row r="93266" spans="6:6" x14ac:dyDescent="0.3">
      <c r="F93266" s="193"/>
    </row>
    <row r="93267" spans="6:6" x14ac:dyDescent="0.3">
      <c r="F93267" s="193"/>
    </row>
    <row r="93268" spans="6:6" x14ac:dyDescent="0.3">
      <c r="F93268" s="193"/>
    </row>
    <row r="93269" spans="6:6" x14ac:dyDescent="0.3">
      <c r="F93269" s="193"/>
    </row>
    <row r="93270" spans="6:6" x14ac:dyDescent="0.3">
      <c r="F93270" s="193"/>
    </row>
    <row r="93271" spans="6:6" x14ac:dyDescent="0.3">
      <c r="F93271" s="193"/>
    </row>
    <row r="93272" spans="6:6" x14ac:dyDescent="0.3">
      <c r="F93272" s="193"/>
    </row>
    <row r="93273" spans="6:6" x14ac:dyDescent="0.3">
      <c r="F93273" s="193"/>
    </row>
    <row r="93274" spans="6:6" x14ac:dyDescent="0.3">
      <c r="F93274" s="193"/>
    </row>
    <row r="93275" spans="6:6" x14ac:dyDescent="0.3">
      <c r="F93275" s="193"/>
    </row>
    <row r="93276" spans="6:6" x14ac:dyDescent="0.3">
      <c r="F93276" s="193"/>
    </row>
    <row r="93277" spans="6:6" x14ac:dyDescent="0.3">
      <c r="F93277" s="193"/>
    </row>
    <row r="93278" spans="6:6" x14ac:dyDescent="0.3">
      <c r="F93278" s="193"/>
    </row>
    <row r="93279" spans="6:6" x14ac:dyDescent="0.3">
      <c r="F93279" s="193"/>
    </row>
    <row r="93280" spans="6:6" x14ac:dyDescent="0.3">
      <c r="F93280" s="193"/>
    </row>
    <row r="93281" spans="6:6" x14ac:dyDescent="0.3">
      <c r="F93281" s="193"/>
    </row>
    <row r="93282" spans="6:6" x14ac:dyDescent="0.3">
      <c r="F93282" s="193"/>
    </row>
    <row r="93283" spans="6:6" x14ac:dyDescent="0.3">
      <c r="F93283" s="193"/>
    </row>
    <row r="93284" spans="6:6" x14ac:dyDescent="0.3">
      <c r="F93284" s="193"/>
    </row>
    <row r="93285" spans="6:6" x14ac:dyDescent="0.3">
      <c r="F93285" s="193"/>
    </row>
    <row r="93286" spans="6:6" x14ac:dyDescent="0.3">
      <c r="F93286" s="193"/>
    </row>
    <row r="93287" spans="6:6" x14ac:dyDescent="0.3">
      <c r="F93287" s="193"/>
    </row>
    <row r="93288" spans="6:6" x14ac:dyDescent="0.3">
      <c r="F93288" s="193"/>
    </row>
    <row r="93289" spans="6:6" x14ac:dyDescent="0.3">
      <c r="F93289" s="193"/>
    </row>
    <row r="93290" spans="6:6" x14ac:dyDescent="0.3">
      <c r="F93290" s="193"/>
    </row>
    <row r="93291" spans="6:6" x14ac:dyDescent="0.3">
      <c r="F93291" s="193"/>
    </row>
    <row r="93292" spans="6:6" x14ac:dyDescent="0.3">
      <c r="F93292" s="193"/>
    </row>
    <row r="93293" spans="6:6" x14ac:dyDescent="0.3">
      <c r="F93293" s="193"/>
    </row>
    <row r="93294" spans="6:6" x14ac:dyDescent="0.3">
      <c r="F93294" s="193"/>
    </row>
    <row r="93295" spans="6:6" x14ac:dyDescent="0.3">
      <c r="F93295" s="193"/>
    </row>
    <row r="93296" spans="6:6" x14ac:dyDescent="0.3">
      <c r="F93296" s="193"/>
    </row>
    <row r="93297" spans="6:6" x14ac:dyDescent="0.3">
      <c r="F93297" s="193"/>
    </row>
    <row r="93298" spans="6:6" x14ac:dyDescent="0.3">
      <c r="F93298" s="193"/>
    </row>
    <row r="93299" spans="6:6" x14ac:dyDescent="0.3">
      <c r="F93299" s="193"/>
    </row>
    <row r="93300" spans="6:6" x14ac:dyDescent="0.3">
      <c r="F93300" s="193"/>
    </row>
    <row r="93301" spans="6:6" x14ac:dyDescent="0.3">
      <c r="F93301" s="193"/>
    </row>
    <row r="93302" spans="6:6" x14ac:dyDescent="0.3">
      <c r="F93302" s="193"/>
    </row>
    <row r="93303" spans="6:6" x14ac:dyDescent="0.3">
      <c r="F93303" s="193"/>
    </row>
    <row r="93304" spans="6:6" x14ac:dyDescent="0.3">
      <c r="F93304" s="193"/>
    </row>
    <row r="93305" spans="6:6" x14ac:dyDescent="0.3">
      <c r="F93305" s="193"/>
    </row>
    <row r="93306" spans="6:6" x14ac:dyDescent="0.3">
      <c r="F93306" s="193"/>
    </row>
    <row r="93307" spans="6:6" x14ac:dyDescent="0.3">
      <c r="F93307" s="193"/>
    </row>
    <row r="93308" spans="6:6" x14ac:dyDescent="0.3">
      <c r="F93308" s="193"/>
    </row>
    <row r="93309" spans="6:6" x14ac:dyDescent="0.3">
      <c r="F93309" s="193"/>
    </row>
    <row r="93310" spans="6:6" x14ac:dyDescent="0.3">
      <c r="F93310" s="193"/>
    </row>
    <row r="93311" spans="6:6" x14ac:dyDescent="0.3">
      <c r="F93311" s="193"/>
    </row>
    <row r="93312" spans="6:6" x14ac:dyDescent="0.3">
      <c r="F93312" s="193"/>
    </row>
    <row r="93313" spans="6:6" x14ac:dyDescent="0.3">
      <c r="F93313" s="193"/>
    </row>
    <row r="93314" spans="6:6" x14ac:dyDescent="0.3">
      <c r="F93314" s="193"/>
    </row>
    <row r="93315" spans="6:6" x14ac:dyDescent="0.3">
      <c r="F93315" s="193"/>
    </row>
    <row r="93316" spans="6:6" x14ac:dyDescent="0.3">
      <c r="F93316" s="193"/>
    </row>
    <row r="93317" spans="6:6" x14ac:dyDescent="0.3">
      <c r="F93317" s="193"/>
    </row>
    <row r="93318" spans="6:6" x14ac:dyDescent="0.3">
      <c r="F93318" s="193"/>
    </row>
    <row r="93319" spans="6:6" x14ac:dyDescent="0.3">
      <c r="F93319" s="193"/>
    </row>
    <row r="93320" spans="6:6" x14ac:dyDescent="0.3">
      <c r="F93320" s="193"/>
    </row>
    <row r="93321" spans="6:6" x14ac:dyDescent="0.3">
      <c r="F93321" s="193"/>
    </row>
    <row r="93322" spans="6:6" x14ac:dyDescent="0.3">
      <c r="F93322" s="193"/>
    </row>
    <row r="93323" spans="6:6" x14ac:dyDescent="0.3">
      <c r="F93323" s="193"/>
    </row>
    <row r="93324" spans="6:6" x14ac:dyDescent="0.3">
      <c r="F93324" s="193"/>
    </row>
    <row r="93325" spans="6:6" x14ac:dyDescent="0.3">
      <c r="F93325" s="193"/>
    </row>
    <row r="93326" spans="6:6" x14ac:dyDescent="0.3">
      <c r="F93326" s="193"/>
    </row>
    <row r="93327" spans="6:6" x14ac:dyDescent="0.3">
      <c r="F93327" s="193"/>
    </row>
    <row r="93328" spans="6:6" x14ac:dyDescent="0.3">
      <c r="F93328" s="193"/>
    </row>
    <row r="93329" spans="6:6" x14ac:dyDescent="0.3">
      <c r="F93329" s="193"/>
    </row>
    <row r="93330" spans="6:6" x14ac:dyDescent="0.3">
      <c r="F93330" s="193"/>
    </row>
    <row r="93331" spans="6:6" x14ac:dyDescent="0.3">
      <c r="F93331" s="193"/>
    </row>
    <row r="93332" spans="6:6" x14ac:dyDescent="0.3">
      <c r="F93332" s="193"/>
    </row>
    <row r="93333" spans="6:6" x14ac:dyDescent="0.3">
      <c r="F93333" s="193"/>
    </row>
    <row r="93334" spans="6:6" x14ac:dyDescent="0.3">
      <c r="F93334" s="193"/>
    </row>
    <row r="93335" spans="6:6" x14ac:dyDescent="0.3">
      <c r="F93335" s="193"/>
    </row>
    <row r="93336" spans="6:6" x14ac:dyDescent="0.3">
      <c r="F93336" s="193"/>
    </row>
    <row r="93337" spans="6:6" x14ac:dyDescent="0.3">
      <c r="F93337" s="193"/>
    </row>
    <row r="93338" spans="6:6" x14ac:dyDescent="0.3">
      <c r="F93338" s="193"/>
    </row>
    <row r="93339" spans="6:6" x14ac:dyDescent="0.3">
      <c r="F93339" s="193"/>
    </row>
    <row r="93340" spans="6:6" x14ac:dyDescent="0.3">
      <c r="F93340" s="193"/>
    </row>
    <row r="93341" spans="6:6" x14ac:dyDescent="0.3">
      <c r="F93341" s="193"/>
    </row>
    <row r="93342" spans="6:6" x14ac:dyDescent="0.3">
      <c r="F93342" s="193"/>
    </row>
    <row r="93343" spans="6:6" x14ac:dyDescent="0.3">
      <c r="F93343" s="193"/>
    </row>
    <row r="93344" spans="6:6" x14ac:dyDescent="0.3">
      <c r="F93344" s="193"/>
    </row>
    <row r="93345" spans="6:6" x14ac:dyDescent="0.3">
      <c r="F93345" s="193"/>
    </row>
    <row r="93346" spans="6:6" x14ac:dyDescent="0.3">
      <c r="F93346" s="193"/>
    </row>
    <row r="93347" spans="6:6" x14ac:dyDescent="0.3">
      <c r="F93347" s="193"/>
    </row>
    <row r="93348" spans="6:6" x14ac:dyDescent="0.3">
      <c r="F93348" s="193"/>
    </row>
    <row r="93349" spans="6:6" x14ac:dyDescent="0.3">
      <c r="F93349" s="193"/>
    </row>
    <row r="93350" spans="6:6" x14ac:dyDescent="0.3">
      <c r="F93350" s="193"/>
    </row>
    <row r="93351" spans="6:6" x14ac:dyDescent="0.3">
      <c r="F93351" s="193"/>
    </row>
    <row r="93352" spans="6:6" x14ac:dyDescent="0.3">
      <c r="F93352" s="193"/>
    </row>
    <row r="93353" spans="6:6" x14ac:dyDescent="0.3">
      <c r="F93353" s="193"/>
    </row>
    <row r="93354" spans="6:6" x14ac:dyDescent="0.3">
      <c r="F93354" s="193"/>
    </row>
    <row r="93355" spans="6:6" x14ac:dyDescent="0.3">
      <c r="F93355" s="193"/>
    </row>
    <row r="93356" spans="6:6" x14ac:dyDescent="0.3">
      <c r="F93356" s="193"/>
    </row>
    <row r="93357" spans="6:6" x14ac:dyDescent="0.3">
      <c r="F93357" s="193"/>
    </row>
    <row r="93358" spans="6:6" x14ac:dyDescent="0.3">
      <c r="F93358" s="193"/>
    </row>
    <row r="93359" spans="6:6" x14ac:dyDescent="0.3">
      <c r="F93359" s="193"/>
    </row>
    <row r="93360" spans="6:6" x14ac:dyDescent="0.3">
      <c r="F93360" s="193"/>
    </row>
    <row r="93361" spans="6:6" x14ac:dyDescent="0.3">
      <c r="F93361" s="193"/>
    </row>
    <row r="93362" spans="6:6" x14ac:dyDescent="0.3">
      <c r="F93362" s="193"/>
    </row>
    <row r="93363" spans="6:6" x14ac:dyDescent="0.3">
      <c r="F93363" s="193"/>
    </row>
    <row r="93364" spans="6:6" x14ac:dyDescent="0.3">
      <c r="F93364" s="193"/>
    </row>
    <row r="93365" spans="6:6" x14ac:dyDescent="0.3">
      <c r="F93365" s="193"/>
    </row>
    <row r="93366" spans="6:6" x14ac:dyDescent="0.3">
      <c r="F93366" s="193"/>
    </row>
    <row r="93367" spans="6:6" x14ac:dyDescent="0.3">
      <c r="F93367" s="193"/>
    </row>
    <row r="93368" spans="6:6" x14ac:dyDescent="0.3">
      <c r="F93368" s="193"/>
    </row>
    <row r="93369" spans="6:6" x14ac:dyDescent="0.3">
      <c r="F93369" s="193"/>
    </row>
    <row r="93370" spans="6:6" x14ac:dyDescent="0.3">
      <c r="F93370" s="193"/>
    </row>
    <row r="93371" spans="6:6" x14ac:dyDescent="0.3">
      <c r="F93371" s="193"/>
    </row>
    <row r="93372" spans="6:6" x14ac:dyDescent="0.3">
      <c r="F93372" s="193"/>
    </row>
    <row r="93373" spans="6:6" x14ac:dyDescent="0.3">
      <c r="F93373" s="193"/>
    </row>
    <row r="93374" spans="6:6" x14ac:dyDescent="0.3">
      <c r="F93374" s="193"/>
    </row>
    <row r="93375" spans="6:6" x14ac:dyDescent="0.3">
      <c r="F93375" s="193"/>
    </row>
    <row r="93376" spans="6:6" x14ac:dyDescent="0.3">
      <c r="F93376" s="193"/>
    </row>
    <row r="93377" spans="6:6" x14ac:dyDescent="0.3">
      <c r="F93377" s="193"/>
    </row>
    <row r="93378" spans="6:6" x14ac:dyDescent="0.3">
      <c r="F93378" s="193"/>
    </row>
    <row r="93379" spans="6:6" x14ac:dyDescent="0.3">
      <c r="F93379" s="193"/>
    </row>
    <row r="93380" spans="6:6" x14ac:dyDescent="0.3">
      <c r="F93380" s="193"/>
    </row>
    <row r="93381" spans="6:6" x14ac:dyDescent="0.3">
      <c r="F93381" s="193"/>
    </row>
    <row r="93382" spans="6:6" x14ac:dyDescent="0.3">
      <c r="F93382" s="193"/>
    </row>
    <row r="93383" spans="6:6" x14ac:dyDescent="0.3">
      <c r="F93383" s="193"/>
    </row>
    <row r="93384" spans="6:6" x14ac:dyDescent="0.3">
      <c r="F93384" s="193"/>
    </row>
    <row r="93385" spans="6:6" x14ac:dyDescent="0.3">
      <c r="F93385" s="193"/>
    </row>
    <row r="93386" spans="6:6" x14ac:dyDescent="0.3">
      <c r="F93386" s="193"/>
    </row>
    <row r="93387" spans="6:6" x14ac:dyDescent="0.3">
      <c r="F93387" s="193"/>
    </row>
    <row r="93388" spans="6:6" x14ac:dyDescent="0.3">
      <c r="F93388" s="193"/>
    </row>
    <row r="93389" spans="6:6" x14ac:dyDescent="0.3">
      <c r="F93389" s="193"/>
    </row>
    <row r="93390" spans="6:6" x14ac:dyDescent="0.3">
      <c r="F93390" s="193"/>
    </row>
    <row r="93391" spans="6:6" x14ac:dyDescent="0.3">
      <c r="F93391" s="193"/>
    </row>
    <row r="93392" spans="6:6" x14ac:dyDescent="0.3">
      <c r="F93392" s="193"/>
    </row>
    <row r="93393" spans="6:6" x14ac:dyDescent="0.3">
      <c r="F93393" s="193"/>
    </row>
    <row r="93394" spans="6:6" x14ac:dyDescent="0.3">
      <c r="F93394" s="193"/>
    </row>
    <row r="93395" spans="6:6" x14ac:dyDescent="0.3">
      <c r="F93395" s="193"/>
    </row>
    <row r="93396" spans="6:6" x14ac:dyDescent="0.3">
      <c r="F93396" s="193"/>
    </row>
    <row r="93397" spans="6:6" x14ac:dyDescent="0.3">
      <c r="F93397" s="193"/>
    </row>
    <row r="93398" spans="6:6" x14ac:dyDescent="0.3">
      <c r="F93398" s="193"/>
    </row>
    <row r="93399" spans="6:6" x14ac:dyDescent="0.3">
      <c r="F93399" s="193"/>
    </row>
    <row r="93400" spans="6:6" x14ac:dyDescent="0.3">
      <c r="F93400" s="193"/>
    </row>
    <row r="93401" spans="6:6" x14ac:dyDescent="0.3">
      <c r="F93401" s="193"/>
    </row>
    <row r="93402" spans="6:6" x14ac:dyDescent="0.3">
      <c r="F93402" s="193"/>
    </row>
    <row r="93403" spans="6:6" x14ac:dyDescent="0.3">
      <c r="F93403" s="193"/>
    </row>
    <row r="93404" spans="6:6" x14ac:dyDescent="0.3">
      <c r="F93404" s="193"/>
    </row>
    <row r="93405" spans="6:6" x14ac:dyDescent="0.3">
      <c r="F93405" s="193"/>
    </row>
    <row r="93406" spans="6:6" x14ac:dyDescent="0.3">
      <c r="F93406" s="193"/>
    </row>
    <row r="93407" spans="6:6" x14ac:dyDescent="0.3">
      <c r="F93407" s="193"/>
    </row>
    <row r="93408" spans="6:6" x14ac:dyDescent="0.3">
      <c r="F93408" s="193"/>
    </row>
    <row r="93409" spans="6:6" x14ac:dyDescent="0.3">
      <c r="F93409" s="193"/>
    </row>
    <row r="93410" spans="6:6" x14ac:dyDescent="0.3">
      <c r="F93410" s="193"/>
    </row>
    <row r="93411" spans="6:6" x14ac:dyDescent="0.3">
      <c r="F93411" s="193"/>
    </row>
    <row r="93412" spans="6:6" x14ac:dyDescent="0.3">
      <c r="F93412" s="193"/>
    </row>
    <row r="93413" spans="6:6" x14ac:dyDescent="0.3">
      <c r="F93413" s="193"/>
    </row>
    <row r="93414" spans="6:6" x14ac:dyDescent="0.3">
      <c r="F93414" s="193"/>
    </row>
    <row r="93415" spans="6:6" x14ac:dyDescent="0.3">
      <c r="F93415" s="193"/>
    </row>
    <row r="93416" spans="6:6" x14ac:dyDescent="0.3">
      <c r="F93416" s="193"/>
    </row>
    <row r="93417" spans="6:6" x14ac:dyDescent="0.3">
      <c r="F93417" s="193"/>
    </row>
    <row r="93418" spans="6:6" x14ac:dyDescent="0.3">
      <c r="F93418" s="193"/>
    </row>
    <row r="93419" spans="6:6" x14ac:dyDescent="0.3">
      <c r="F93419" s="193"/>
    </row>
    <row r="93420" spans="6:6" x14ac:dyDescent="0.3">
      <c r="F93420" s="193"/>
    </row>
    <row r="93421" spans="6:6" x14ac:dyDescent="0.3">
      <c r="F93421" s="193"/>
    </row>
    <row r="93422" spans="6:6" x14ac:dyDescent="0.3">
      <c r="F93422" s="193"/>
    </row>
    <row r="93423" spans="6:6" x14ac:dyDescent="0.3">
      <c r="F93423" s="193"/>
    </row>
    <row r="93424" spans="6:6" x14ac:dyDescent="0.3">
      <c r="F93424" s="193"/>
    </row>
    <row r="93425" spans="6:6" x14ac:dyDescent="0.3">
      <c r="F93425" s="193"/>
    </row>
    <row r="93426" spans="6:6" x14ac:dyDescent="0.3">
      <c r="F93426" s="193"/>
    </row>
    <row r="93427" spans="6:6" x14ac:dyDescent="0.3">
      <c r="F93427" s="193"/>
    </row>
    <row r="93428" spans="6:6" x14ac:dyDescent="0.3">
      <c r="F93428" s="193"/>
    </row>
    <row r="93429" spans="6:6" x14ac:dyDescent="0.3">
      <c r="F93429" s="193"/>
    </row>
    <row r="93430" spans="6:6" x14ac:dyDescent="0.3">
      <c r="F93430" s="193"/>
    </row>
    <row r="93431" spans="6:6" x14ac:dyDescent="0.3">
      <c r="F93431" s="193"/>
    </row>
    <row r="93432" spans="6:6" x14ac:dyDescent="0.3">
      <c r="F93432" s="193"/>
    </row>
    <row r="93433" spans="6:6" x14ac:dyDescent="0.3">
      <c r="F93433" s="193"/>
    </row>
    <row r="93434" spans="6:6" x14ac:dyDescent="0.3">
      <c r="F93434" s="193"/>
    </row>
    <row r="93435" spans="6:6" x14ac:dyDescent="0.3">
      <c r="F93435" s="193"/>
    </row>
    <row r="93436" spans="6:6" x14ac:dyDescent="0.3">
      <c r="F93436" s="193"/>
    </row>
    <row r="93437" spans="6:6" x14ac:dyDescent="0.3">
      <c r="F93437" s="193"/>
    </row>
    <row r="93438" spans="6:6" x14ac:dyDescent="0.3">
      <c r="F93438" s="193"/>
    </row>
    <row r="93439" spans="6:6" x14ac:dyDescent="0.3">
      <c r="F93439" s="193"/>
    </row>
    <row r="93440" spans="6:6" x14ac:dyDescent="0.3">
      <c r="F93440" s="193"/>
    </row>
    <row r="93441" spans="6:6" x14ac:dyDescent="0.3">
      <c r="F93441" s="193"/>
    </row>
    <row r="93442" spans="6:6" x14ac:dyDescent="0.3">
      <c r="F93442" s="193"/>
    </row>
    <row r="93443" spans="6:6" x14ac:dyDescent="0.3">
      <c r="F93443" s="193"/>
    </row>
    <row r="93444" spans="6:6" x14ac:dyDescent="0.3">
      <c r="F93444" s="193"/>
    </row>
    <row r="93445" spans="6:6" x14ac:dyDescent="0.3">
      <c r="F93445" s="193"/>
    </row>
    <row r="93446" spans="6:6" x14ac:dyDescent="0.3">
      <c r="F93446" s="193"/>
    </row>
    <row r="93447" spans="6:6" x14ac:dyDescent="0.3">
      <c r="F93447" s="193"/>
    </row>
    <row r="93448" spans="6:6" x14ac:dyDescent="0.3">
      <c r="F93448" s="193"/>
    </row>
    <row r="93449" spans="6:6" x14ac:dyDescent="0.3">
      <c r="F93449" s="193"/>
    </row>
    <row r="93450" spans="6:6" x14ac:dyDescent="0.3">
      <c r="F93450" s="193"/>
    </row>
    <row r="93451" spans="6:6" x14ac:dyDescent="0.3">
      <c r="F93451" s="193"/>
    </row>
    <row r="93452" spans="6:6" x14ac:dyDescent="0.3">
      <c r="F93452" s="193"/>
    </row>
    <row r="93453" spans="6:6" x14ac:dyDescent="0.3">
      <c r="F93453" s="193"/>
    </row>
    <row r="93454" spans="6:6" x14ac:dyDescent="0.3">
      <c r="F93454" s="193"/>
    </row>
    <row r="93455" spans="6:6" x14ac:dyDescent="0.3">
      <c r="F93455" s="193"/>
    </row>
    <row r="93456" spans="6:6" x14ac:dyDescent="0.3">
      <c r="F93456" s="193"/>
    </row>
    <row r="93457" spans="6:6" x14ac:dyDescent="0.3">
      <c r="F93457" s="193"/>
    </row>
    <row r="93458" spans="6:6" x14ac:dyDescent="0.3">
      <c r="F93458" s="193"/>
    </row>
    <row r="93459" spans="6:6" x14ac:dyDescent="0.3">
      <c r="F93459" s="193"/>
    </row>
    <row r="93460" spans="6:6" x14ac:dyDescent="0.3">
      <c r="F93460" s="193"/>
    </row>
    <row r="93461" spans="6:6" x14ac:dyDescent="0.3">
      <c r="F93461" s="193"/>
    </row>
    <row r="93462" spans="6:6" x14ac:dyDescent="0.3">
      <c r="F93462" s="193"/>
    </row>
    <row r="93463" spans="6:6" x14ac:dyDescent="0.3">
      <c r="F93463" s="193"/>
    </row>
    <row r="93464" spans="6:6" x14ac:dyDescent="0.3">
      <c r="F93464" s="193"/>
    </row>
    <row r="93465" spans="6:6" x14ac:dyDescent="0.3">
      <c r="F93465" s="193"/>
    </row>
    <row r="93466" spans="6:6" x14ac:dyDescent="0.3">
      <c r="F93466" s="193"/>
    </row>
    <row r="93467" spans="6:6" x14ac:dyDescent="0.3">
      <c r="F93467" s="193"/>
    </row>
    <row r="93468" spans="6:6" x14ac:dyDescent="0.3">
      <c r="F93468" s="193"/>
    </row>
    <row r="93469" spans="6:6" x14ac:dyDescent="0.3">
      <c r="F93469" s="193"/>
    </row>
    <row r="93470" spans="6:6" x14ac:dyDescent="0.3">
      <c r="F93470" s="193"/>
    </row>
    <row r="93471" spans="6:6" x14ac:dyDescent="0.3">
      <c r="F93471" s="193"/>
    </row>
    <row r="93472" spans="6:6" x14ac:dyDescent="0.3">
      <c r="F93472" s="193"/>
    </row>
    <row r="93473" spans="6:6" x14ac:dyDescent="0.3">
      <c r="F93473" s="193"/>
    </row>
    <row r="93474" spans="6:6" x14ac:dyDescent="0.3">
      <c r="F93474" s="193"/>
    </row>
    <row r="93475" spans="6:6" x14ac:dyDescent="0.3">
      <c r="F93475" s="193"/>
    </row>
    <row r="93476" spans="6:6" x14ac:dyDescent="0.3">
      <c r="F93476" s="193"/>
    </row>
    <row r="93477" spans="6:6" x14ac:dyDescent="0.3">
      <c r="F93477" s="193"/>
    </row>
    <row r="93478" spans="6:6" x14ac:dyDescent="0.3">
      <c r="F93478" s="193"/>
    </row>
    <row r="93479" spans="6:6" x14ac:dyDescent="0.3">
      <c r="F93479" s="193"/>
    </row>
    <row r="93480" spans="6:6" x14ac:dyDescent="0.3">
      <c r="F93480" s="193"/>
    </row>
    <row r="93481" spans="6:6" x14ac:dyDescent="0.3">
      <c r="F93481" s="193"/>
    </row>
    <row r="93482" spans="6:6" x14ac:dyDescent="0.3">
      <c r="F93482" s="193"/>
    </row>
    <row r="93483" spans="6:6" x14ac:dyDescent="0.3">
      <c r="F93483" s="193"/>
    </row>
    <row r="93484" spans="6:6" x14ac:dyDescent="0.3">
      <c r="F93484" s="193"/>
    </row>
    <row r="93485" spans="6:6" x14ac:dyDescent="0.3">
      <c r="F93485" s="193"/>
    </row>
    <row r="93486" spans="6:6" x14ac:dyDescent="0.3">
      <c r="F93486" s="193"/>
    </row>
    <row r="93487" spans="6:6" x14ac:dyDescent="0.3">
      <c r="F93487" s="193"/>
    </row>
    <row r="93488" spans="6:6" x14ac:dyDescent="0.3">
      <c r="F93488" s="193"/>
    </row>
    <row r="93489" spans="6:6" x14ac:dyDescent="0.3">
      <c r="F93489" s="193"/>
    </row>
    <row r="93490" spans="6:6" x14ac:dyDescent="0.3">
      <c r="F93490" s="193"/>
    </row>
    <row r="93491" spans="6:6" x14ac:dyDescent="0.3">
      <c r="F93491" s="193"/>
    </row>
    <row r="93492" spans="6:6" x14ac:dyDescent="0.3">
      <c r="F93492" s="193"/>
    </row>
    <row r="93493" spans="6:6" x14ac:dyDescent="0.3">
      <c r="F93493" s="193"/>
    </row>
    <row r="93494" spans="6:6" x14ac:dyDescent="0.3">
      <c r="F93494" s="193"/>
    </row>
    <row r="93495" spans="6:6" x14ac:dyDescent="0.3">
      <c r="F93495" s="193"/>
    </row>
    <row r="93496" spans="6:6" x14ac:dyDescent="0.3">
      <c r="F93496" s="193"/>
    </row>
    <row r="93497" spans="6:6" x14ac:dyDescent="0.3">
      <c r="F93497" s="193"/>
    </row>
    <row r="93498" spans="6:6" x14ac:dyDescent="0.3">
      <c r="F93498" s="193"/>
    </row>
    <row r="93499" spans="6:6" x14ac:dyDescent="0.3">
      <c r="F93499" s="193"/>
    </row>
    <row r="93500" spans="6:6" x14ac:dyDescent="0.3">
      <c r="F93500" s="193"/>
    </row>
    <row r="93501" spans="6:6" x14ac:dyDescent="0.3">
      <c r="F93501" s="193"/>
    </row>
    <row r="93502" spans="6:6" x14ac:dyDescent="0.3">
      <c r="F93502" s="193"/>
    </row>
    <row r="93503" spans="6:6" x14ac:dyDescent="0.3">
      <c r="F93503" s="193"/>
    </row>
    <row r="93504" spans="6:6" x14ac:dyDescent="0.3">
      <c r="F93504" s="193"/>
    </row>
    <row r="93505" spans="6:6" x14ac:dyDescent="0.3">
      <c r="F93505" s="193"/>
    </row>
    <row r="93506" spans="6:6" x14ac:dyDescent="0.3">
      <c r="F93506" s="193"/>
    </row>
    <row r="93507" spans="6:6" x14ac:dyDescent="0.3">
      <c r="F93507" s="193"/>
    </row>
    <row r="93508" spans="6:6" x14ac:dyDescent="0.3">
      <c r="F93508" s="193"/>
    </row>
    <row r="93509" spans="6:6" x14ac:dyDescent="0.3">
      <c r="F93509" s="193"/>
    </row>
    <row r="93510" spans="6:6" x14ac:dyDescent="0.3">
      <c r="F93510" s="193"/>
    </row>
    <row r="93511" spans="6:6" x14ac:dyDescent="0.3">
      <c r="F93511" s="193"/>
    </row>
    <row r="93512" spans="6:6" x14ac:dyDescent="0.3">
      <c r="F93512" s="193"/>
    </row>
    <row r="93513" spans="6:6" x14ac:dyDescent="0.3">
      <c r="F93513" s="193"/>
    </row>
    <row r="93514" spans="6:6" x14ac:dyDescent="0.3">
      <c r="F93514" s="193"/>
    </row>
    <row r="93515" spans="6:6" x14ac:dyDescent="0.3">
      <c r="F93515" s="193"/>
    </row>
    <row r="93516" spans="6:6" x14ac:dyDescent="0.3">
      <c r="F93516" s="193"/>
    </row>
    <row r="93517" spans="6:6" x14ac:dyDescent="0.3">
      <c r="F93517" s="193"/>
    </row>
    <row r="93518" spans="6:6" x14ac:dyDescent="0.3">
      <c r="F93518" s="193"/>
    </row>
    <row r="93519" spans="6:6" x14ac:dyDescent="0.3">
      <c r="F93519" s="193"/>
    </row>
    <row r="93520" spans="6:6" x14ac:dyDescent="0.3">
      <c r="F93520" s="193"/>
    </row>
    <row r="93521" spans="6:6" x14ac:dyDescent="0.3">
      <c r="F93521" s="193"/>
    </row>
    <row r="93522" spans="6:6" x14ac:dyDescent="0.3">
      <c r="F93522" s="193"/>
    </row>
    <row r="93523" spans="6:6" x14ac:dyDescent="0.3">
      <c r="F93523" s="193"/>
    </row>
    <row r="93524" spans="6:6" x14ac:dyDescent="0.3">
      <c r="F93524" s="193"/>
    </row>
    <row r="93525" spans="6:6" x14ac:dyDescent="0.3">
      <c r="F93525" s="193"/>
    </row>
    <row r="93526" spans="6:6" x14ac:dyDescent="0.3">
      <c r="F93526" s="193"/>
    </row>
    <row r="93527" spans="6:6" x14ac:dyDescent="0.3">
      <c r="F93527" s="193"/>
    </row>
    <row r="93528" spans="6:6" x14ac:dyDescent="0.3">
      <c r="F93528" s="193"/>
    </row>
    <row r="93529" spans="6:6" x14ac:dyDescent="0.3">
      <c r="F93529" s="193"/>
    </row>
    <row r="93530" spans="6:6" x14ac:dyDescent="0.3">
      <c r="F93530" s="193"/>
    </row>
    <row r="93531" spans="6:6" x14ac:dyDescent="0.3">
      <c r="F93531" s="193"/>
    </row>
    <row r="93532" spans="6:6" x14ac:dyDescent="0.3">
      <c r="F93532" s="193"/>
    </row>
    <row r="93533" spans="6:6" x14ac:dyDescent="0.3">
      <c r="F93533" s="193"/>
    </row>
    <row r="93534" spans="6:6" x14ac:dyDescent="0.3">
      <c r="F93534" s="193"/>
    </row>
    <row r="93535" spans="6:6" x14ac:dyDescent="0.3">
      <c r="F93535" s="193"/>
    </row>
    <row r="93536" spans="6:6" x14ac:dyDescent="0.3">
      <c r="F93536" s="193"/>
    </row>
    <row r="93537" spans="6:6" x14ac:dyDescent="0.3">
      <c r="F93537" s="193"/>
    </row>
    <row r="93538" spans="6:6" x14ac:dyDescent="0.3">
      <c r="F93538" s="193"/>
    </row>
    <row r="93539" spans="6:6" x14ac:dyDescent="0.3">
      <c r="F93539" s="193"/>
    </row>
    <row r="93540" spans="6:6" x14ac:dyDescent="0.3">
      <c r="F93540" s="193"/>
    </row>
    <row r="93541" spans="6:6" x14ac:dyDescent="0.3">
      <c r="F93541" s="193"/>
    </row>
    <row r="93542" spans="6:6" x14ac:dyDescent="0.3">
      <c r="F93542" s="193"/>
    </row>
    <row r="93543" spans="6:6" x14ac:dyDescent="0.3">
      <c r="F93543" s="193"/>
    </row>
    <row r="93544" spans="6:6" x14ac:dyDescent="0.3">
      <c r="F93544" s="193"/>
    </row>
    <row r="93545" spans="6:6" x14ac:dyDescent="0.3">
      <c r="F93545" s="193"/>
    </row>
    <row r="93546" spans="6:6" x14ac:dyDescent="0.3">
      <c r="F93546" s="193"/>
    </row>
    <row r="93547" spans="6:6" x14ac:dyDescent="0.3">
      <c r="F93547" s="193"/>
    </row>
    <row r="93548" spans="6:6" x14ac:dyDescent="0.3">
      <c r="F93548" s="193"/>
    </row>
    <row r="93549" spans="6:6" x14ac:dyDescent="0.3">
      <c r="F93549" s="193"/>
    </row>
    <row r="93550" spans="6:6" x14ac:dyDescent="0.3">
      <c r="F93550" s="193"/>
    </row>
    <row r="93551" spans="6:6" x14ac:dyDescent="0.3">
      <c r="F93551" s="193"/>
    </row>
    <row r="93552" spans="6:6" x14ac:dyDescent="0.3">
      <c r="F93552" s="193"/>
    </row>
    <row r="93553" spans="6:6" x14ac:dyDescent="0.3">
      <c r="F93553" s="193"/>
    </row>
    <row r="93554" spans="6:6" x14ac:dyDescent="0.3">
      <c r="F93554" s="193"/>
    </row>
    <row r="93555" spans="6:6" x14ac:dyDescent="0.3">
      <c r="F93555" s="193"/>
    </row>
    <row r="93556" spans="6:6" x14ac:dyDescent="0.3">
      <c r="F93556" s="193"/>
    </row>
    <row r="93557" spans="6:6" x14ac:dyDescent="0.3">
      <c r="F93557" s="193"/>
    </row>
    <row r="93558" spans="6:6" x14ac:dyDescent="0.3">
      <c r="F93558" s="193"/>
    </row>
    <row r="93559" spans="6:6" x14ac:dyDescent="0.3">
      <c r="F93559" s="193"/>
    </row>
    <row r="93560" spans="6:6" x14ac:dyDescent="0.3">
      <c r="F93560" s="193"/>
    </row>
    <row r="93561" spans="6:6" x14ac:dyDescent="0.3">
      <c r="F93561" s="193"/>
    </row>
    <row r="93562" spans="6:6" x14ac:dyDescent="0.3">
      <c r="F93562" s="193"/>
    </row>
    <row r="93563" spans="6:6" x14ac:dyDescent="0.3">
      <c r="F93563" s="193"/>
    </row>
    <row r="93564" spans="6:6" x14ac:dyDescent="0.3">
      <c r="F93564" s="193"/>
    </row>
    <row r="93565" spans="6:6" x14ac:dyDescent="0.3">
      <c r="F93565" s="193"/>
    </row>
    <row r="93566" spans="6:6" x14ac:dyDescent="0.3">
      <c r="F93566" s="193"/>
    </row>
    <row r="93567" spans="6:6" x14ac:dyDescent="0.3">
      <c r="F93567" s="193"/>
    </row>
    <row r="93568" spans="6:6" x14ac:dyDescent="0.3">
      <c r="F93568" s="193"/>
    </row>
    <row r="93569" spans="6:6" x14ac:dyDescent="0.3">
      <c r="F93569" s="193"/>
    </row>
    <row r="93570" spans="6:6" x14ac:dyDescent="0.3">
      <c r="F93570" s="193"/>
    </row>
    <row r="93571" spans="6:6" x14ac:dyDescent="0.3">
      <c r="F93571" s="193"/>
    </row>
    <row r="93572" spans="6:6" x14ac:dyDescent="0.3">
      <c r="F93572" s="193"/>
    </row>
    <row r="93573" spans="6:6" x14ac:dyDescent="0.3">
      <c r="F93573" s="193"/>
    </row>
    <row r="93574" spans="6:6" x14ac:dyDescent="0.3">
      <c r="F93574" s="193"/>
    </row>
    <row r="93575" spans="6:6" x14ac:dyDescent="0.3">
      <c r="F93575" s="193"/>
    </row>
    <row r="93576" spans="6:6" x14ac:dyDescent="0.3">
      <c r="F93576" s="193"/>
    </row>
    <row r="93577" spans="6:6" x14ac:dyDescent="0.3">
      <c r="F93577" s="193"/>
    </row>
    <row r="93578" spans="6:6" x14ac:dyDescent="0.3">
      <c r="F93578" s="193"/>
    </row>
    <row r="93579" spans="6:6" x14ac:dyDescent="0.3">
      <c r="F93579" s="193"/>
    </row>
    <row r="93580" spans="6:6" x14ac:dyDescent="0.3">
      <c r="F93580" s="193"/>
    </row>
    <row r="93581" spans="6:6" x14ac:dyDescent="0.3">
      <c r="F93581" s="193"/>
    </row>
    <row r="93582" spans="6:6" x14ac:dyDescent="0.3">
      <c r="F93582" s="193"/>
    </row>
    <row r="93583" spans="6:6" x14ac:dyDescent="0.3">
      <c r="F93583" s="193"/>
    </row>
    <row r="93584" spans="6:6" x14ac:dyDescent="0.3">
      <c r="F93584" s="193"/>
    </row>
    <row r="93585" spans="6:6" x14ac:dyDescent="0.3">
      <c r="F93585" s="193"/>
    </row>
    <row r="93586" spans="6:6" x14ac:dyDescent="0.3">
      <c r="F93586" s="193"/>
    </row>
    <row r="93587" spans="6:6" x14ac:dyDescent="0.3">
      <c r="F93587" s="193"/>
    </row>
    <row r="93588" spans="6:6" x14ac:dyDescent="0.3">
      <c r="F93588" s="193"/>
    </row>
    <row r="93589" spans="6:6" x14ac:dyDescent="0.3">
      <c r="F93589" s="193"/>
    </row>
    <row r="93590" spans="6:6" x14ac:dyDescent="0.3">
      <c r="F93590" s="193"/>
    </row>
    <row r="93591" spans="6:6" x14ac:dyDescent="0.3">
      <c r="F93591" s="193"/>
    </row>
    <row r="93592" spans="6:6" x14ac:dyDescent="0.3">
      <c r="F93592" s="193"/>
    </row>
    <row r="93593" spans="6:6" x14ac:dyDescent="0.3">
      <c r="F93593" s="193"/>
    </row>
    <row r="93594" spans="6:6" x14ac:dyDescent="0.3">
      <c r="F93594" s="193"/>
    </row>
    <row r="93595" spans="6:6" x14ac:dyDescent="0.3">
      <c r="F93595" s="193"/>
    </row>
    <row r="93596" spans="6:6" x14ac:dyDescent="0.3">
      <c r="F93596" s="193"/>
    </row>
    <row r="93597" spans="6:6" x14ac:dyDescent="0.3">
      <c r="F93597" s="193"/>
    </row>
    <row r="93598" spans="6:6" x14ac:dyDescent="0.3">
      <c r="F93598" s="193"/>
    </row>
    <row r="93599" spans="6:6" x14ac:dyDescent="0.3">
      <c r="F93599" s="193"/>
    </row>
    <row r="93600" spans="6:6" x14ac:dyDescent="0.3">
      <c r="F93600" s="193"/>
    </row>
    <row r="93601" spans="6:6" x14ac:dyDescent="0.3">
      <c r="F93601" s="193"/>
    </row>
    <row r="93602" spans="6:6" x14ac:dyDescent="0.3">
      <c r="F93602" s="193"/>
    </row>
    <row r="93603" spans="6:6" x14ac:dyDescent="0.3">
      <c r="F93603" s="193"/>
    </row>
    <row r="93604" spans="6:6" x14ac:dyDescent="0.3">
      <c r="F93604" s="193"/>
    </row>
    <row r="93605" spans="6:6" x14ac:dyDescent="0.3">
      <c r="F93605" s="193"/>
    </row>
    <row r="93606" spans="6:6" x14ac:dyDescent="0.3">
      <c r="F93606" s="193"/>
    </row>
    <row r="93607" spans="6:6" x14ac:dyDescent="0.3">
      <c r="F93607" s="193"/>
    </row>
    <row r="93608" spans="6:6" x14ac:dyDescent="0.3">
      <c r="F93608" s="193"/>
    </row>
    <row r="93609" spans="6:6" x14ac:dyDescent="0.3">
      <c r="F93609" s="193"/>
    </row>
    <row r="93610" spans="6:6" x14ac:dyDescent="0.3">
      <c r="F93610" s="193"/>
    </row>
    <row r="93611" spans="6:6" x14ac:dyDescent="0.3">
      <c r="F93611" s="193"/>
    </row>
    <row r="93612" spans="6:6" x14ac:dyDescent="0.3">
      <c r="F93612" s="193"/>
    </row>
    <row r="93613" spans="6:6" x14ac:dyDescent="0.3">
      <c r="F93613" s="193"/>
    </row>
    <row r="93614" spans="6:6" x14ac:dyDescent="0.3">
      <c r="F93614" s="193"/>
    </row>
    <row r="93615" spans="6:6" x14ac:dyDescent="0.3">
      <c r="F93615" s="193"/>
    </row>
    <row r="93616" spans="6:6" x14ac:dyDescent="0.3">
      <c r="F93616" s="193"/>
    </row>
    <row r="93617" spans="6:6" x14ac:dyDescent="0.3">
      <c r="F93617" s="193"/>
    </row>
    <row r="93618" spans="6:6" x14ac:dyDescent="0.3">
      <c r="F93618" s="193"/>
    </row>
    <row r="93619" spans="6:6" x14ac:dyDescent="0.3">
      <c r="F93619" s="193"/>
    </row>
    <row r="93620" spans="6:6" x14ac:dyDescent="0.3">
      <c r="F93620" s="193"/>
    </row>
    <row r="93621" spans="6:6" x14ac:dyDescent="0.3">
      <c r="F93621" s="193"/>
    </row>
    <row r="93622" spans="6:6" x14ac:dyDescent="0.3">
      <c r="F93622" s="193"/>
    </row>
    <row r="93623" spans="6:6" x14ac:dyDescent="0.3">
      <c r="F93623" s="193"/>
    </row>
    <row r="93624" spans="6:6" x14ac:dyDescent="0.3">
      <c r="F93624" s="193"/>
    </row>
    <row r="93625" spans="6:6" x14ac:dyDescent="0.3">
      <c r="F93625" s="193"/>
    </row>
    <row r="93626" spans="6:6" x14ac:dyDescent="0.3">
      <c r="F93626" s="193"/>
    </row>
    <row r="93627" spans="6:6" x14ac:dyDescent="0.3">
      <c r="F93627" s="193"/>
    </row>
    <row r="93628" spans="6:6" x14ac:dyDescent="0.3">
      <c r="F93628" s="193"/>
    </row>
    <row r="93629" spans="6:6" x14ac:dyDescent="0.3">
      <c r="F93629" s="193"/>
    </row>
    <row r="93630" spans="6:6" x14ac:dyDescent="0.3">
      <c r="F93630" s="193"/>
    </row>
    <row r="93631" spans="6:6" x14ac:dyDescent="0.3">
      <c r="F93631" s="193"/>
    </row>
    <row r="93632" spans="6:6" x14ac:dyDescent="0.3">
      <c r="F93632" s="193"/>
    </row>
    <row r="93633" spans="6:6" x14ac:dyDescent="0.3">
      <c r="F93633" s="193"/>
    </row>
    <row r="93634" spans="6:6" x14ac:dyDescent="0.3">
      <c r="F93634" s="193"/>
    </row>
    <row r="93635" spans="6:6" x14ac:dyDescent="0.3">
      <c r="F93635" s="193"/>
    </row>
    <row r="93636" spans="6:6" x14ac:dyDescent="0.3">
      <c r="F93636" s="193"/>
    </row>
    <row r="93637" spans="6:6" x14ac:dyDescent="0.3">
      <c r="F93637" s="193"/>
    </row>
    <row r="93638" spans="6:6" x14ac:dyDescent="0.3">
      <c r="F93638" s="193"/>
    </row>
    <row r="93639" spans="6:6" x14ac:dyDescent="0.3">
      <c r="F93639" s="193"/>
    </row>
    <row r="93640" spans="6:6" x14ac:dyDescent="0.3">
      <c r="F93640" s="193"/>
    </row>
    <row r="93641" spans="6:6" x14ac:dyDescent="0.3">
      <c r="F93641" s="193"/>
    </row>
    <row r="93642" spans="6:6" x14ac:dyDescent="0.3">
      <c r="F93642" s="193"/>
    </row>
    <row r="93643" spans="6:6" x14ac:dyDescent="0.3">
      <c r="F93643" s="193"/>
    </row>
    <row r="93644" spans="6:6" x14ac:dyDescent="0.3">
      <c r="F93644" s="193"/>
    </row>
    <row r="93645" spans="6:6" x14ac:dyDescent="0.3">
      <c r="F93645" s="193"/>
    </row>
    <row r="93646" spans="6:6" x14ac:dyDescent="0.3">
      <c r="F93646" s="193"/>
    </row>
    <row r="93647" spans="6:6" x14ac:dyDescent="0.3">
      <c r="F93647" s="193"/>
    </row>
    <row r="93648" spans="6:6" x14ac:dyDescent="0.3">
      <c r="F93648" s="193"/>
    </row>
    <row r="93649" spans="6:6" x14ac:dyDescent="0.3">
      <c r="F93649" s="193"/>
    </row>
    <row r="93650" spans="6:6" x14ac:dyDescent="0.3">
      <c r="F93650" s="193"/>
    </row>
    <row r="93651" spans="6:6" x14ac:dyDescent="0.3">
      <c r="F93651" s="193"/>
    </row>
    <row r="93652" spans="6:6" x14ac:dyDescent="0.3">
      <c r="F93652" s="193"/>
    </row>
    <row r="93653" spans="6:6" x14ac:dyDescent="0.3">
      <c r="F93653" s="193"/>
    </row>
    <row r="93654" spans="6:6" x14ac:dyDescent="0.3">
      <c r="F93654" s="193"/>
    </row>
    <row r="93655" spans="6:6" x14ac:dyDescent="0.3">
      <c r="F93655" s="193"/>
    </row>
    <row r="93656" spans="6:6" x14ac:dyDescent="0.3">
      <c r="F93656" s="193"/>
    </row>
    <row r="93657" spans="6:6" x14ac:dyDescent="0.3">
      <c r="F93657" s="193"/>
    </row>
    <row r="93658" spans="6:6" x14ac:dyDescent="0.3">
      <c r="F93658" s="193"/>
    </row>
    <row r="93659" spans="6:6" x14ac:dyDescent="0.3">
      <c r="F93659" s="193"/>
    </row>
    <row r="93660" spans="6:6" x14ac:dyDescent="0.3">
      <c r="F93660" s="193"/>
    </row>
    <row r="93661" spans="6:6" x14ac:dyDescent="0.3">
      <c r="F93661" s="193"/>
    </row>
    <row r="93662" spans="6:6" x14ac:dyDescent="0.3">
      <c r="F93662" s="193"/>
    </row>
    <row r="93663" spans="6:6" x14ac:dyDescent="0.3">
      <c r="F93663" s="193"/>
    </row>
    <row r="93664" spans="6:6" x14ac:dyDescent="0.3">
      <c r="F93664" s="193"/>
    </row>
    <row r="93665" spans="6:6" x14ac:dyDescent="0.3">
      <c r="F93665" s="193"/>
    </row>
    <row r="93666" spans="6:6" x14ac:dyDescent="0.3">
      <c r="F93666" s="193"/>
    </row>
    <row r="93667" spans="6:6" x14ac:dyDescent="0.3">
      <c r="F93667" s="193"/>
    </row>
    <row r="93668" spans="6:6" x14ac:dyDescent="0.3">
      <c r="F93668" s="193"/>
    </row>
    <row r="93669" spans="6:6" x14ac:dyDescent="0.3">
      <c r="F93669" s="193"/>
    </row>
    <row r="93670" spans="6:6" x14ac:dyDescent="0.3">
      <c r="F93670" s="193"/>
    </row>
    <row r="93671" spans="6:6" x14ac:dyDescent="0.3">
      <c r="F93671" s="193"/>
    </row>
    <row r="93672" spans="6:6" x14ac:dyDescent="0.3">
      <c r="F93672" s="193"/>
    </row>
    <row r="93673" spans="6:6" x14ac:dyDescent="0.3">
      <c r="F93673" s="193"/>
    </row>
    <row r="93674" spans="6:6" x14ac:dyDescent="0.3">
      <c r="F93674" s="193"/>
    </row>
    <row r="93675" spans="6:6" x14ac:dyDescent="0.3">
      <c r="F93675" s="193"/>
    </row>
    <row r="93676" spans="6:6" x14ac:dyDescent="0.3">
      <c r="F93676" s="193"/>
    </row>
    <row r="93677" spans="6:6" x14ac:dyDescent="0.3">
      <c r="F93677" s="193"/>
    </row>
    <row r="93678" spans="6:6" x14ac:dyDescent="0.3">
      <c r="F93678" s="193"/>
    </row>
    <row r="93679" spans="6:6" x14ac:dyDescent="0.3">
      <c r="F93679" s="193"/>
    </row>
    <row r="93680" spans="6:6" x14ac:dyDescent="0.3">
      <c r="F93680" s="193"/>
    </row>
    <row r="93681" spans="6:6" x14ac:dyDescent="0.3">
      <c r="F93681" s="193"/>
    </row>
    <row r="93682" spans="6:6" x14ac:dyDescent="0.3">
      <c r="F93682" s="193"/>
    </row>
    <row r="93683" spans="6:6" x14ac:dyDescent="0.3">
      <c r="F93683" s="193"/>
    </row>
    <row r="93684" spans="6:6" x14ac:dyDescent="0.3">
      <c r="F93684" s="193"/>
    </row>
    <row r="93685" spans="6:6" x14ac:dyDescent="0.3">
      <c r="F93685" s="193"/>
    </row>
    <row r="93686" spans="6:6" x14ac:dyDescent="0.3">
      <c r="F93686" s="193"/>
    </row>
    <row r="93687" spans="6:6" x14ac:dyDescent="0.3">
      <c r="F93687" s="193"/>
    </row>
    <row r="93688" spans="6:6" x14ac:dyDescent="0.3">
      <c r="F93688" s="193"/>
    </row>
    <row r="93689" spans="6:6" x14ac:dyDescent="0.3">
      <c r="F93689" s="193"/>
    </row>
    <row r="93690" spans="6:6" x14ac:dyDescent="0.3">
      <c r="F93690" s="193"/>
    </row>
    <row r="93691" spans="6:6" x14ac:dyDescent="0.3">
      <c r="F93691" s="193"/>
    </row>
    <row r="93692" spans="6:6" x14ac:dyDescent="0.3">
      <c r="F93692" s="193"/>
    </row>
    <row r="93693" spans="6:6" x14ac:dyDescent="0.3">
      <c r="F93693" s="193"/>
    </row>
    <row r="93694" spans="6:6" x14ac:dyDescent="0.3">
      <c r="F93694" s="193"/>
    </row>
    <row r="93695" spans="6:6" x14ac:dyDescent="0.3">
      <c r="F93695" s="193"/>
    </row>
    <row r="93696" spans="6:6" x14ac:dyDescent="0.3">
      <c r="F93696" s="193"/>
    </row>
    <row r="93697" spans="6:6" x14ac:dyDescent="0.3">
      <c r="F93697" s="193"/>
    </row>
    <row r="93698" spans="6:6" x14ac:dyDescent="0.3">
      <c r="F93698" s="193"/>
    </row>
    <row r="93699" spans="6:6" x14ac:dyDescent="0.3">
      <c r="F93699" s="193"/>
    </row>
    <row r="93700" spans="6:6" x14ac:dyDescent="0.3">
      <c r="F93700" s="193"/>
    </row>
    <row r="93701" spans="6:6" x14ac:dyDescent="0.3">
      <c r="F93701" s="193"/>
    </row>
    <row r="93702" spans="6:6" x14ac:dyDescent="0.3">
      <c r="F93702" s="193"/>
    </row>
    <row r="93703" spans="6:6" x14ac:dyDescent="0.3">
      <c r="F93703" s="193"/>
    </row>
    <row r="93704" spans="6:6" x14ac:dyDescent="0.3">
      <c r="F93704" s="193"/>
    </row>
    <row r="93705" spans="6:6" x14ac:dyDescent="0.3">
      <c r="F93705" s="193"/>
    </row>
    <row r="93706" spans="6:6" x14ac:dyDescent="0.3">
      <c r="F93706" s="193"/>
    </row>
    <row r="93707" spans="6:6" x14ac:dyDescent="0.3">
      <c r="F93707" s="193"/>
    </row>
    <row r="93708" spans="6:6" x14ac:dyDescent="0.3">
      <c r="F93708" s="193"/>
    </row>
    <row r="93709" spans="6:6" x14ac:dyDescent="0.3">
      <c r="F93709" s="193"/>
    </row>
    <row r="93710" spans="6:6" x14ac:dyDescent="0.3">
      <c r="F93710" s="193"/>
    </row>
    <row r="93711" spans="6:6" x14ac:dyDescent="0.3">
      <c r="F93711" s="193"/>
    </row>
    <row r="93712" spans="6:6" x14ac:dyDescent="0.3">
      <c r="F93712" s="193"/>
    </row>
    <row r="93713" spans="6:6" x14ac:dyDescent="0.3">
      <c r="F93713" s="193"/>
    </row>
    <row r="93714" spans="6:6" x14ac:dyDescent="0.3">
      <c r="F93714" s="193"/>
    </row>
    <row r="93715" spans="6:6" x14ac:dyDescent="0.3">
      <c r="F93715" s="193"/>
    </row>
    <row r="93716" spans="6:6" x14ac:dyDescent="0.3">
      <c r="F93716" s="193"/>
    </row>
    <row r="93717" spans="6:6" x14ac:dyDescent="0.3">
      <c r="F93717" s="193"/>
    </row>
    <row r="93718" spans="6:6" x14ac:dyDescent="0.3">
      <c r="F93718" s="193"/>
    </row>
    <row r="93719" spans="6:6" x14ac:dyDescent="0.3">
      <c r="F93719" s="193"/>
    </row>
    <row r="93720" spans="6:6" x14ac:dyDescent="0.3">
      <c r="F93720" s="193"/>
    </row>
    <row r="93721" spans="6:6" x14ac:dyDescent="0.3">
      <c r="F93721" s="193"/>
    </row>
    <row r="93722" spans="6:6" x14ac:dyDescent="0.3">
      <c r="F93722" s="193"/>
    </row>
    <row r="93723" spans="6:6" x14ac:dyDescent="0.3">
      <c r="F93723" s="193"/>
    </row>
    <row r="93724" spans="6:6" x14ac:dyDescent="0.3">
      <c r="F93724" s="193"/>
    </row>
    <row r="93725" spans="6:6" x14ac:dyDescent="0.3">
      <c r="F93725" s="193"/>
    </row>
    <row r="93726" spans="6:6" x14ac:dyDescent="0.3">
      <c r="F93726" s="193"/>
    </row>
    <row r="93727" spans="6:6" x14ac:dyDescent="0.3">
      <c r="F93727" s="193"/>
    </row>
    <row r="93728" spans="6:6" x14ac:dyDescent="0.3">
      <c r="F93728" s="193"/>
    </row>
    <row r="93729" spans="6:6" x14ac:dyDescent="0.3">
      <c r="F93729" s="193"/>
    </row>
    <row r="93730" spans="6:6" x14ac:dyDescent="0.3">
      <c r="F93730" s="193"/>
    </row>
    <row r="93731" spans="6:6" x14ac:dyDescent="0.3">
      <c r="F93731" s="193"/>
    </row>
    <row r="93732" spans="6:6" x14ac:dyDescent="0.3">
      <c r="F93732" s="193"/>
    </row>
    <row r="93733" spans="6:6" x14ac:dyDescent="0.3">
      <c r="F93733" s="193"/>
    </row>
    <row r="93734" spans="6:6" x14ac:dyDescent="0.3">
      <c r="F93734" s="193"/>
    </row>
    <row r="93735" spans="6:6" x14ac:dyDescent="0.3">
      <c r="F93735" s="193"/>
    </row>
    <row r="93736" spans="6:6" x14ac:dyDescent="0.3">
      <c r="F93736" s="193"/>
    </row>
    <row r="93737" spans="6:6" x14ac:dyDescent="0.3">
      <c r="F93737" s="193"/>
    </row>
    <row r="93738" spans="6:6" x14ac:dyDescent="0.3">
      <c r="F93738" s="193"/>
    </row>
    <row r="93739" spans="6:6" x14ac:dyDescent="0.3">
      <c r="F93739" s="193"/>
    </row>
    <row r="93740" spans="6:6" x14ac:dyDescent="0.3">
      <c r="F93740" s="193"/>
    </row>
    <row r="93741" spans="6:6" x14ac:dyDescent="0.3">
      <c r="F93741" s="193"/>
    </row>
    <row r="93742" spans="6:6" x14ac:dyDescent="0.3">
      <c r="F93742" s="193"/>
    </row>
    <row r="93743" spans="6:6" x14ac:dyDescent="0.3">
      <c r="F93743" s="193"/>
    </row>
    <row r="93744" spans="6:6" x14ac:dyDescent="0.3">
      <c r="F93744" s="193"/>
    </row>
    <row r="93745" spans="6:6" x14ac:dyDescent="0.3">
      <c r="F93745" s="193"/>
    </row>
    <row r="93746" spans="6:6" x14ac:dyDescent="0.3">
      <c r="F93746" s="193"/>
    </row>
    <row r="93747" spans="6:6" x14ac:dyDescent="0.3">
      <c r="F93747" s="193"/>
    </row>
    <row r="93748" spans="6:6" x14ac:dyDescent="0.3">
      <c r="F93748" s="193"/>
    </row>
    <row r="93749" spans="6:6" x14ac:dyDescent="0.3">
      <c r="F93749" s="193"/>
    </row>
    <row r="93750" spans="6:6" x14ac:dyDescent="0.3">
      <c r="F93750" s="193"/>
    </row>
    <row r="93751" spans="6:6" x14ac:dyDescent="0.3">
      <c r="F93751" s="193"/>
    </row>
    <row r="93752" spans="6:6" x14ac:dyDescent="0.3">
      <c r="F93752" s="193"/>
    </row>
    <row r="93753" spans="6:6" x14ac:dyDescent="0.3">
      <c r="F93753" s="193"/>
    </row>
    <row r="93754" spans="6:6" x14ac:dyDescent="0.3">
      <c r="F93754" s="193"/>
    </row>
    <row r="93755" spans="6:6" x14ac:dyDescent="0.3">
      <c r="F93755" s="193"/>
    </row>
    <row r="93756" spans="6:6" x14ac:dyDescent="0.3">
      <c r="F93756" s="193"/>
    </row>
    <row r="93757" spans="6:6" x14ac:dyDescent="0.3">
      <c r="F93757" s="193"/>
    </row>
    <row r="93758" spans="6:6" x14ac:dyDescent="0.3">
      <c r="F93758" s="193"/>
    </row>
    <row r="93759" spans="6:6" x14ac:dyDescent="0.3">
      <c r="F93759" s="193"/>
    </row>
    <row r="93760" spans="6:6" x14ac:dyDescent="0.3">
      <c r="F93760" s="193"/>
    </row>
    <row r="93761" spans="6:6" x14ac:dyDescent="0.3">
      <c r="F93761" s="193"/>
    </row>
    <row r="93762" spans="6:6" x14ac:dyDescent="0.3">
      <c r="F93762" s="193"/>
    </row>
    <row r="93763" spans="6:6" x14ac:dyDescent="0.3">
      <c r="F93763" s="193"/>
    </row>
    <row r="93764" spans="6:6" x14ac:dyDescent="0.3">
      <c r="F93764" s="193"/>
    </row>
    <row r="93765" spans="6:6" x14ac:dyDescent="0.3">
      <c r="F93765" s="193"/>
    </row>
    <row r="93766" spans="6:6" x14ac:dyDescent="0.3">
      <c r="F93766" s="193"/>
    </row>
    <row r="93767" spans="6:6" x14ac:dyDescent="0.3">
      <c r="F93767" s="193"/>
    </row>
    <row r="93768" spans="6:6" x14ac:dyDescent="0.3">
      <c r="F93768" s="193"/>
    </row>
    <row r="93769" spans="6:6" x14ac:dyDescent="0.3">
      <c r="F93769" s="193"/>
    </row>
    <row r="93770" spans="6:6" x14ac:dyDescent="0.3">
      <c r="F93770" s="193"/>
    </row>
    <row r="93771" spans="6:6" x14ac:dyDescent="0.3">
      <c r="F93771" s="193"/>
    </row>
    <row r="93772" spans="6:6" x14ac:dyDescent="0.3">
      <c r="F93772" s="193"/>
    </row>
    <row r="93773" spans="6:6" x14ac:dyDescent="0.3">
      <c r="F93773" s="193"/>
    </row>
    <row r="93774" spans="6:6" x14ac:dyDescent="0.3">
      <c r="F93774" s="193"/>
    </row>
    <row r="93775" spans="6:6" x14ac:dyDescent="0.3">
      <c r="F93775" s="193"/>
    </row>
    <row r="93776" spans="6:6" x14ac:dyDescent="0.3">
      <c r="F93776" s="193"/>
    </row>
    <row r="93777" spans="6:6" x14ac:dyDescent="0.3">
      <c r="F93777" s="193"/>
    </row>
    <row r="93778" spans="6:6" x14ac:dyDescent="0.3">
      <c r="F93778" s="193"/>
    </row>
    <row r="93779" spans="6:6" x14ac:dyDescent="0.3">
      <c r="F93779" s="193"/>
    </row>
    <row r="93780" spans="6:6" x14ac:dyDescent="0.3">
      <c r="F93780" s="193"/>
    </row>
    <row r="93781" spans="6:6" x14ac:dyDescent="0.3">
      <c r="F93781" s="193"/>
    </row>
    <row r="93782" spans="6:6" x14ac:dyDescent="0.3">
      <c r="F93782" s="193"/>
    </row>
    <row r="93783" spans="6:6" x14ac:dyDescent="0.3">
      <c r="F93783" s="193"/>
    </row>
    <row r="93784" spans="6:6" x14ac:dyDescent="0.3">
      <c r="F93784" s="193"/>
    </row>
    <row r="93785" spans="6:6" x14ac:dyDescent="0.3">
      <c r="F93785" s="193"/>
    </row>
    <row r="93786" spans="6:6" x14ac:dyDescent="0.3">
      <c r="F93786" s="193"/>
    </row>
    <row r="93787" spans="6:6" x14ac:dyDescent="0.3">
      <c r="F93787" s="193"/>
    </row>
    <row r="93788" spans="6:6" x14ac:dyDescent="0.3">
      <c r="F93788" s="193"/>
    </row>
    <row r="93789" spans="6:6" x14ac:dyDescent="0.3">
      <c r="F93789" s="193"/>
    </row>
    <row r="93790" spans="6:6" x14ac:dyDescent="0.3">
      <c r="F93790" s="193"/>
    </row>
    <row r="93791" spans="6:6" x14ac:dyDescent="0.3">
      <c r="F93791" s="193"/>
    </row>
    <row r="93792" spans="6:6" x14ac:dyDescent="0.3">
      <c r="F93792" s="193"/>
    </row>
    <row r="93793" spans="6:6" x14ac:dyDescent="0.3">
      <c r="F93793" s="193"/>
    </row>
    <row r="93794" spans="6:6" x14ac:dyDescent="0.3">
      <c r="F93794" s="193"/>
    </row>
    <row r="93795" spans="6:6" x14ac:dyDescent="0.3">
      <c r="F93795" s="193"/>
    </row>
    <row r="93796" spans="6:6" x14ac:dyDescent="0.3">
      <c r="F93796" s="193"/>
    </row>
    <row r="93797" spans="6:6" x14ac:dyDescent="0.3">
      <c r="F93797" s="193"/>
    </row>
    <row r="93798" spans="6:6" x14ac:dyDescent="0.3">
      <c r="F93798" s="193"/>
    </row>
    <row r="93799" spans="6:6" x14ac:dyDescent="0.3">
      <c r="F93799" s="193"/>
    </row>
    <row r="93800" spans="6:6" x14ac:dyDescent="0.3">
      <c r="F93800" s="193"/>
    </row>
    <row r="93801" spans="6:6" x14ac:dyDescent="0.3">
      <c r="F93801" s="193"/>
    </row>
    <row r="93802" spans="6:6" x14ac:dyDescent="0.3">
      <c r="F93802" s="193"/>
    </row>
    <row r="93803" spans="6:6" x14ac:dyDescent="0.3">
      <c r="F93803" s="193"/>
    </row>
    <row r="93804" spans="6:6" x14ac:dyDescent="0.3">
      <c r="F93804" s="193"/>
    </row>
    <row r="93805" spans="6:6" x14ac:dyDescent="0.3">
      <c r="F93805" s="193"/>
    </row>
    <row r="93806" spans="6:6" x14ac:dyDescent="0.3">
      <c r="F93806" s="193"/>
    </row>
    <row r="93807" spans="6:6" x14ac:dyDescent="0.3">
      <c r="F93807" s="193"/>
    </row>
    <row r="93808" spans="6:6" x14ac:dyDescent="0.3">
      <c r="F93808" s="193"/>
    </row>
    <row r="93809" spans="6:6" x14ac:dyDescent="0.3">
      <c r="F93809" s="193"/>
    </row>
    <row r="93810" spans="6:6" x14ac:dyDescent="0.3">
      <c r="F93810" s="193"/>
    </row>
    <row r="93811" spans="6:6" x14ac:dyDescent="0.3">
      <c r="F93811" s="193"/>
    </row>
    <row r="93812" spans="6:6" x14ac:dyDescent="0.3">
      <c r="F93812" s="193"/>
    </row>
    <row r="93813" spans="6:6" x14ac:dyDescent="0.3">
      <c r="F93813" s="193"/>
    </row>
    <row r="93814" spans="6:6" x14ac:dyDescent="0.3">
      <c r="F93814" s="193"/>
    </row>
    <row r="93815" spans="6:6" x14ac:dyDescent="0.3">
      <c r="F93815" s="193"/>
    </row>
    <row r="93816" spans="6:6" x14ac:dyDescent="0.3">
      <c r="F93816" s="193"/>
    </row>
    <row r="93817" spans="6:6" x14ac:dyDescent="0.3">
      <c r="F93817" s="193"/>
    </row>
    <row r="93818" spans="6:6" x14ac:dyDescent="0.3">
      <c r="F93818" s="193"/>
    </row>
    <row r="93819" spans="6:6" x14ac:dyDescent="0.3">
      <c r="F93819" s="193"/>
    </row>
    <row r="93820" spans="6:6" x14ac:dyDescent="0.3">
      <c r="F93820" s="193"/>
    </row>
    <row r="93821" spans="6:6" x14ac:dyDescent="0.3">
      <c r="F93821" s="193"/>
    </row>
    <row r="93822" spans="6:6" x14ac:dyDescent="0.3">
      <c r="F93822" s="193"/>
    </row>
    <row r="93823" spans="6:6" x14ac:dyDescent="0.3">
      <c r="F93823" s="193"/>
    </row>
    <row r="93824" spans="6:6" x14ac:dyDescent="0.3">
      <c r="F93824" s="193"/>
    </row>
    <row r="93825" spans="6:6" x14ac:dyDescent="0.3">
      <c r="F93825" s="193"/>
    </row>
    <row r="93826" spans="6:6" x14ac:dyDescent="0.3">
      <c r="F93826" s="193"/>
    </row>
    <row r="93827" spans="6:6" x14ac:dyDescent="0.3">
      <c r="F93827" s="193"/>
    </row>
    <row r="93828" spans="6:6" x14ac:dyDescent="0.3">
      <c r="F93828" s="193"/>
    </row>
    <row r="93829" spans="6:6" x14ac:dyDescent="0.3">
      <c r="F93829" s="193"/>
    </row>
    <row r="93830" spans="6:6" x14ac:dyDescent="0.3">
      <c r="F93830" s="193"/>
    </row>
    <row r="93831" spans="6:6" x14ac:dyDescent="0.3">
      <c r="F93831" s="193"/>
    </row>
    <row r="93832" spans="6:6" x14ac:dyDescent="0.3">
      <c r="F93832" s="193"/>
    </row>
    <row r="93833" spans="6:6" x14ac:dyDescent="0.3">
      <c r="F93833" s="193"/>
    </row>
    <row r="93834" spans="6:6" x14ac:dyDescent="0.3">
      <c r="F93834" s="193"/>
    </row>
    <row r="93835" spans="6:6" x14ac:dyDescent="0.3">
      <c r="F93835" s="193"/>
    </row>
    <row r="93836" spans="6:6" x14ac:dyDescent="0.3">
      <c r="F93836" s="193"/>
    </row>
    <row r="93837" spans="6:6" x14ac:dyDescent="0.3">
      <c r="F93837" s="193"/>
    </row>
    <row r="93838" spans="6:6" x14ac:dyDescent="0.3">
      <c r="F93838" s="193"/>
    </row>
    <row r="93839" spans="6:6" x14ac:dyDescent="0.3">
      <c r="F93839" s="193"/>
    </row>
    <row r="93840" spans="6:6" x14ac:dyDescent="0.3">
      <c r="F93840" s="193"/>
    </row>
    <row r="93841" spans="6:6" x14ac:dyDescent="0.3">
      <c r="F93841" s="193"/>
    </row>
    <row r="93842" spans="6:6" x14ac:dyDescent="0.3">
      <c r="F93842" s="193"/>
    </row>
    <row r="93843" spans="6:6" x14ac:dyDescent="0.3">
      <c r="F93843" s="193"/>
    </row>
    <row r="93844" spans="6:6" x14ac:dyDescent="0.3">
      <c r="F93844" s="193"/>
    </row>
    <row r="93845" spans="6:6" x14ac:dyDescent="0.3">
      <c r="F93845" s="193"/>
    </row>
    <row r="93846" spans="6:6" x14ac:dyDescent="0.3">
      <c r="F93846" s="193"/>
    </row>
    <row r="93847" spans="6:6" x14ac:dyDescent="0.3">
      <c r="F93847" s="193"/>
    </row>
    <row r="93848" spans="6:6" x14ac:dyDescent="0.3">
      <c r="F93848" s="193"/>
    </row>
    <row r="93849" spans="6:6" x14ac:dyDescent="0.3">
      <c r="F93849" s="193"/>
    </row>
    <row r="93850" spans="6:6" x14ac:dyDescent="0.3">
      <c r="F93850" s="193"/>
    </row>
    <row r="93851" spans="6:6" x14ac:dyDescent="0.3">
      <c r="F93851" s="193"/>
    </row>
    <row r="93852" spans="6:6" x14ac:dyDescent="0.3">
      <c r="F93852" s="193"/>
    </row>
    <row r="93853" spans="6:6" x14ac:dyDescent="0.3">
      <c r="F93853" s="193"/>
    </row>
    <row r="93854" spans="6:6" x14ac:dyDescent="0.3">
      <c r="F93854" s="193"/>
    </row>
    <row r="93855" spans="6:6" x14ac:dyDescent="0.3">
      <c r="F93855" s="193"/>
    </row>
    <row r="93856" spans="6:6" x14ac:dyDescent="0.3">
      <c r="F93856" s="193"/>
    </row>
    <row r="93857" spans="6:6" x14ac:dyDescent="0.3">
      <c r="F93857" s="193"/>
    </row>
    <row r="93858" spans="6:6" x14ac:dyDescent="0.3">
      <c r="F93858" s="193"/>
    </row>
    <row r="93859" spans="6:6" x14ac:dyDescent="0.3">
      <c r="F93859" s="193"/>
    </row>
    <row r="93860" spans="6:6" x14ac:dyDescent="0.3">
      <c r="F93860" s="193"/>
    </row>
    <row r="93861" spans="6:6" x14ac:dyDescent="0.3">
      <c r="F93861" s="193"/>
    </row>
    <row r="93862" spans="6:6" x14ac:dyDescent="0.3">
      <c r="F93862" s="193"/>
    </row>
    <row r="93863" spans="6:6" x14ac:dyDescent="0.3">
      <c r="F93863" s="193"/>
    </row>
    <row r="93864" spans="6:6" x14ac:dyDescent="0.3">
      <c r="F93864" s="193"/>
    </row>
    <row r="93865" spans="6:6" x14ac:dyDescent="0.3">
      <c r="F93865" s="193"/>
    </row>
    <row r="93866" spans="6:6" x14ac:dyDescent="0.3">
      <c r="F93866" s="193"/>
    </row>
    <row r="93867" spans="6:6" x14ac:dyDescent="0.3">
      <c r="F93867" s="193"/>
    </row>
    <row r="93868" spans="6:6" x14ac:dyDescent="0.3">
      <c r="F93868" s="193"/>
    </row>
    <row r="93869" spans="6:6" x14ac:dyDescent="0.3">
      <c r="F93869" s="193"/>
    </row>
    <row r="93870" spans="6:6" x14ac:dyDescent="0.3">
      <c r="F93870" s="193"/>
    </row>
    <row r="93871" spans="6:6" x14ac:dyDescent="0.3">
      <c r="F93871" s="193"/>
    </row>
    <row r="93872" spans="6:6" x14ac:dyDescent="0.3">
      <c r="F93872" s="193"/>
    </row>
    <row r="93873" spans="6:6" x14ac:dyDescent="0.3">
      <c r="F93873" s="193"/>
    </row>
    <row r="93874" spans="6:6" x14ac:dyDescent="0.3">
      <c r="F93874" s="193"/>
    </row>
    <row r="93875" spans="6:6" x14ac:dyDescent="0.3">
      <c r="F93875" s="193"/>
    </row>
    <row r="93876" spans="6:6" x14ac:dyDescent="0.3">
      <c r="F93876" s="193"/>
    </row>
    <row r="93877" spans="6:6" x14ac:dyDescent="0.3">
      <c r="F93877" s="193"/>
    </row>
    <row r="93878" spans="6:6" x14ac:dyDescent="0.3">
      <c r="F93878" s="193"/>
    </row>
    <row r="93879" spans="6:6" x14ac:dyDescent="0.3">
      <c r="F93879" s="193"/>
    </row>
    <row r="93880" spans="6:6" x14ac:dyDescent="0.3">
      <c r="F93880" s="193"/>
    </row>
    <row r="93881" spans="6:6" x14ac:dyDescent="0.3">
      <c r="F93881" s="193"/>
    </row>
    <row r="93882" spans="6:6" x14ac:dyDescent="0.3">
      <c r="F93882" s="193"/>
    </row>
    <row r="93883" spans="6:6" x14ac:dyDescent="0.3">
      <c r="F93883" s="193"/>
    </row>
    <row r="93884" spans="6:6" x14ac:dyDescent="0.3">
      <c r="F93884" s="193"/>
    </row>
    <row r="93885" spans="6:6" x14ac:dyDescent="0.3">
      <c r="F93885" s="193"/>
    </row>
    <row r="93886" spans="6:6" x14ac:dyDescent="0.3">
      <c r="F93886" s="193"/>
    </row>
    <row r="93887" spans="6:6" x14ac:dyDescent="0.3">
      <c r="F93887" s="193"/>
    </row>
    <row r="93888" spans="6:6" x14ac:dyDescent="0.3">
      <c r="F93888" s="193"/>
    </row>
    <row r="93889" spans="6:6" x14ac:dyDescent="0.3">
      <c r="F93889" s="193"/>
    </row>
    <row r="93890" spans="6:6" x14ac:dyDescent="0.3">
      <c r="F93890" s="193"/>
    </row>
    <row r="93891" spans="6:6" x14ac:dyDescent="0.3">
      <c r="F93891" s="193"/>
    </row>
    <row r="93892" spans="6:6" x14ac:dyDescent="0.3">
      <c r="F93892" s="193"/>
    </row>
    <row r="93893" spans="6:6" x14ac:dyDescent="0.3">
      <c r="F93893" s="193"/>
    </row>
    <row r="93894" spans="6:6" x14ac:dyDescent="0.3">
      <c r="F93894" s="193"/>
    </row>
    <row r="93895" spans="6:6" x14ac:dyDescent="0.3">
      <c r="F93895" s="193"/>
    </row>
    <row r="93896" spans="6:6" x14ac:dyDescent="0.3">
      <c r="F93896" s="193"/>
    </row>
    <row r="93897" spans="6:6" x14ac:dyDescent="0.3">
      <c r="F93897" s="193"/>
    </row>
    <row r="93898" spans="6:6" x14ac:dyDescent="0.3">
      <c r="F93898" s="193"/>
    </row>
    <row r="93899" spans="6:6" x14ac:dyDescent="0.3">
      <c r="F93899" s="193"/>
    </row>
    <row r="93900" spans="6:6" x14ac:dyDescent="0.3">
      <c r="F93900" s="193"/>
    </row>
    <row r="93901" spans="6:6" x14ac:dyDescent="0.3">
      <c r="F93901" s="193"/>
    </row>
    <row r="93902" spans="6:6" x14ac:dyDescent="0.3">
      <c r="F93902" s="193"/>
    </row>
    <row r="93903" spans="6:6" x14ac:dyDescent="0.3">
      <c r="F93903" s="193"/>
    </row>
    <row r="93904" spans="6:6" x14ac:dyDescent="0.3">
      <c r="F93904" s="193"/>
    </row>
    <row r="93905" spans="6:6" x14ac:dyDescent="0.3">
      <c r="F93905" s="193"/>
    </row>
    <row r="93906" spans="6:6" x14ac:dyDescent="0.3">
      <c r="F93906" s="193"/>
    </row>
    <row r="93907" spans="6:6" x14ac:dyDescent="0.3">
      <c r="F93907" s="193"/>
    </row>
    <row r="93908" spans="6:6" x14ac:dyDescent="0.3">
      <c r="F93908" s="193"/>
    </row>
    <row r="93909" spans="6:6" x14ac:dyDescent="0.3">
      <c r="F93909" s="193"/>
    </row>
    <row r="93910" spans="6:6" x14ac:dyDescent="0.3">
      <c r="F93910" s="193"/>
    </row>
    <row r="93911" spans="6:6" x14ac:dyDescent="0.3">
      <c r="F93911" s="193"/>
    </row>
    <row r="93912" spans="6:6" x14ac:dyDescent="0.3">
      <c r="F93912" s="193"/>
    </row>
    <row r="93913" spans="6:6" x14ac:dyDescent="0.3">
      <c r="F93913" s="193"/>
    </row>
    <row r="93914" spans="6:6" x14ac:dyDescent="0.3">
      <c r="F93914" s="193"/>
    </row>
    <row r="93915" spans="6:6" x14ac:dyDescent="0.3">
      <c r="F93915" s="193"/>
    </row>
    <row r="93916" spans="6:6" x14ac:dyDescent="0.3">
      <c r="F93916" s="193"/>
    </row>
    <row r="93917" spans="6:6" x14ac:dyDescent="0.3">
      <c r="F93917" s="193"/>
    </row>
    <row r="93918" spans="6:6" x14ac:dyDescent="0.3">
      <c r="F93918" s="193"/>
    </row>
    <row r="93919" spans="6:6" x14ac:dyDescent="0.3">
      <c r="F93919" s="193"/>
    </row>
    <row r="93920" spans="6:6" x14ac:dyDescent="0.3">
      <c r="F93920" s="193"/>
    </row>
    <row r="93921" spans="6:6" x14ac:dyDescent="0.3">
      <c r="F93921" s="193"/>
    </row>
    <row r="93922" spans="6:6" x14ac:dyDescent="0.3">
      <c r="F93922" s="193"/>
    </row>
    <row r="93923" spans="6:6" x14ac:dyDescent="0.3">
      <c r="F93923" s="193"/>
    </row>
    <row r="93924" spans="6:6" x14ac:dyDescent="0.3">
      <c r="F93924" s="193"/>
    </row>
    <row r="93925" spans="6:6" x14ac:dyDescent="0.3">
      <c r="F93925" s="193"/>
    </row>
    <row r="93926" spans="6:6" x14ac:dyDescent="0.3">
      <c r="F93926" s="193"/>
    </row>
    <row r="93927" spans="6:6" x14ac:dyDescent="0.3">
      <c r="F93927" s="193"/>
    </row>
    <row r="93928" spans="6:6" x14ac:dyDescent="0.3">
      <c r="F93928" s="193"/>
    </row>
    <row r="93929" spans="6:6" x14ac:dyDescent="0.3">
      <c r="F93929" s="193"/>
    </row>
    <row r="93930" spans="6:6" x14ac:dyDescent="0.3">
      <c r="F93930" s="193"/>
    </row>
    <row r="93931" spans="6:6" x14ac:dyDescent="0.3">
      <c r="F93931" s="193"/>
    </row>
    <row r="93932" spans="6:6" x14ac:dyDescent="0.3">
      <c r="F93932" s="193"/>
    </row>
    <row r="93933" spans="6:6" x14ac:dyDescent="0.3">
      <c r="F93933" s="193"/>
    </row>
    <row r="93934" spans="6:6" x14ac:dyDescent="0.3">
      <c r="F93934" s="193"/>
    </row>
    <row r="93935" spans="6:6" x14ac:dyDescent="0.3">
      <c r="F93935" s="193"/>
    </row>
    <row r="93936" spans="6:6" x14ac:dyDescent="0.3">
      <c r="F93936" s="193"/>
    </row>
    <row r="93937" spans="6:6" x14ac:dyDescent="0.3">
      <c r="F93937" s="193"/>
    </row>
    <row r="93938" spans="6:6" x14ac:dyDescent="0.3">
      <c r="F93938" s="193"/>
    </row>
    <row r="93939" spans="6:6" x14ac:dyDescent="0.3">
      <c r="F93939" s="193"/>
    </row>
    <row r="93940" spans="6:6" x14ac:dyDescent="0.3">
      <c r="F93940" s="193"/>
    </row>
    <row r="93941" spans="6:6" x14ac:dyDescent="0.3">
      <c r="F93941" s="193"/>
    </row>
    <row r="93942" spans="6:6" x14ac:dyDescent="0.3">
      <c r="F93942" s="193"/>
    </row>
    <row r="93943" spans="6:6" x14ac:dyDescent="0.3">
      <c r="F93943" s="193"/>
    </row>
    <row r="93944" spans="6:6" x14ac:dyDescent="0.3">
      <c r="F93944" s="193"/>
    </row>
    <row r="93945" spans="6:6" x14ac:dyDescent="0.3">
      <c r="F93945" s="193"/>
    </row>
    <row r="93946" spans="6:6" x14ac:dyDescent="0.3">
      <c r="F93946" s="193"/>
    </row>
    <row r="93947" spans="6:6" x14ac:dyDescent="0.3">
      <c r="F93947" s="193"/>
    </row>
    <row r="93948" spans="6:6" x14ac:dyDescent="0.3">
      <c r="F93948" s="193"/>
    </row>
    <row r="93949" spans="6:6" x14ac:dyDescent="0.3">
      <c r="F93949" s="193"/>
    </row>
    <row r="93950" spans="6:6" x14ac:dyDescent="0.3">
      <c r="F93950" s="193"/>
    </row>
    <row r="93951" spans="6:6" x14ac:dyDescent="0.3">
      <c r="F93951" s="193"/>
    </row>
    <row r="93952" spans="6:6" x14ac:dyDescent="0.3">
      <c r="F93952" s="193"/>
    </row>
    <row r="93953" spans="6:6" x14ac:dyDescent="0.3">
      <c r="F93953" s="193"/>
    </row>
    <row r="93954" spans="6:6" x14ac:dyDescent="0.3">
      <c r="F93954" s="193"/>
    </row>
    <row r="93955" spans="6:6" x14ac:dyDescent="0.3">
      <c r="F93955" s="193"/>
    </row>
    <row r="93956" spans="6:6" x14ac:dyDescent="0.3">
      <c r="F93956" s="193"/>
    </row>
    <row r="93957" spans="6:6" x14ac:dyDescent="0.3">
      <c r="F93957" s="193"/>
    </row>
    <row r="93958" spans="6:6" x14ac:dyDescent="0.3">
      <c r="F93958" s="193"/>
    </row>
    <row r="93959" spans="6:6" x14ac:dyDescent="0.3">
      <c r="F93959" s="193"/>
    </row>
    <row r="93960" spans="6:6" x14ac:dyDescent="0.3">
      <c r="F93960" s="193"/>
    </row>
    <row r="93961" spans="6:6" x14ac:dyDescent="0.3">
      <c r="F93961" s="193"/>
    </row>
    <row r="93962" spans="6:6" x14ac:dyDescent="0.3">
      <c r="F93962" s="193"/>
    </row>
    <row r="93963" spans="6:6" x14ac:dyDescent="0.3">
      <c r="F93963" s="193"/>
    </row>
    <row r="93964" spans="6:6" x14ac:dyDescent="0.3">
      <c r="F93964" s="193"/>
    </row>
    <row r="93965" spans="6:6" x14ac:dyDescent="0.3">
      <c r="F93965" s="193"/>
    </row>
    <row r="93966" spans="6:6" x14ac:dyDescent="0.3">
      <c r="F93966" s="193"/>
    </row>
    <row r="93967" spans="6:6" x14ac:dyDescent="0.3">
      <c r="F93967" s="193"/>
    </row>
    <row r="93968" spans="6:6" x14ac:dyDescent="0.3">
      <c r="F93968" s="193"/>
    </row>
    <row r="93969" spans="6:6" x14ac:dyDescent="0.3">
      <c r="F93969" s="193"/>
    </row>
    <row r="93970" spans="6:6" x14ac:dyDescent="0.3">
      <c r="F93970" s="193"/>
    </row>
    <row r="93971" spans="6:6" x14ac:dyDescent="0.3">
      <c r="F93971" s="193"/>
    </row>
    <row r="93972" spans="6:6" x14ac:dyDescent="0.3">
      <c r="F93972" s="193"/>
    </row>
    <row r="93973" spans="6:6" x14ac:dyDescent="0.3">
      <c r="F93973" s="193"/>
    </row>
    <row r="93974" spans="6:6" x14ac:dyDescent="0.3">
      <c r="F93974" s="193"/>
    </row>
    <row r="93975" spans="6:6" x14ac:dyDescent="0.3">
      <c r="F93975" s="193"/>
    </row>
    <row r="93976" spans="6:6" x14ac:dyDescent="0.3">
      <c r="F93976" s="193"/>
    </row>
    <row r="93977" spans="6:6" x14ac:dyDescent="0.3">
      <c r="F93977" s="193"/>
    </row>
    <row r="93978" spans="6:6" x14ac:dyDescent="0.3">
      <c r="F93978" s="193"/>
    </row>
    <row r="93979" spans="6:6" x14ac:dyDescent="0.3">
      <c r="F93979" s="193"/>
    </row>
    <row r="93980" spans="6:6" x14ac:dyDescent="0.3">
      <c r="F93980" s="193"/>
    </row>
    <row r="93981" spans="6:6" x14ac:dyDescent="0.3">
      <c r="F93981" s="193"/>
    </row>
    <row r="93982" spans="6:6" x14ac:dyDescent="0.3">
      <c r="F93982" s="193"/>
    </row>
    <row r="93983" spans="6:6" x14ac:dyDescent="0.3">
      <c r="F93983" s="193"/>
    </row>
    <row r="93984" spans="6:6" x14ac:dyDescent="0.3">
      <c r="F93984" s="193"/>
    </row>
    <row r="93985" spans="6:6" x14ac:dyDescent="0.3">
      <c r="F93985" s="193"/>
    </row>
    <row r="93986" spans="6:6" x14ac:dyDescent="0.3">
      <c r="F93986" s="193"/>
    </row>
    <row r="93987" spans="6:6" x14ac:dyDescent="0.3">
      <c r="F93987" s="193"/>
    </row>
    <row r="93988" spans="6:6" x14ac:dyDescent="0.3">
      <c r="F93988" s="193"/>
    </row>
    <row r="93989" spans="6:6" x14ac:dyDescent="0.3">
      <c r="F93989" s="193"/>
    </row>
    <row r="93990" spans="6:6" x14ac:dyDescent="0.3">
      <c r="F93990" s="193"/>
    </row>
    <row r="93991" spans="6:6" x14ac:dyDescent="0.3">
      <c r="F93991" s="193"/>
    </row>
    <row r="93992" spans="6:6" x14ac:dyDescent="0.3">
      <c r="F93992" s="193"/>
    </row>
    <row r="93993" spans="6:6" x14ac:dyDescent="0.3">
      <c r="F93993" s="193"/>
    </row>
    <row r="93994" spans="6:6" x14ac:dyDescent="0.3">
      <c r="F93994" s="193"/>
    </row>
    <row r="93995" spans="6:6" x14ac:dyDescent="0.3">
      <c r="F93995" s="193"/>
    </row>
    <row r="93996" spans="6:6" x14ac:dyDescent="0.3">
      <c r="F93996" s="193"/>
    </row>
    <row r="93997" spans="6:6" x14ac:dyDescent="0.3">
      <c r="F93997" s="193"/>
    </row>
    <row r="93998" spans="6:6" x14ac:dyDescent="0.3">
      <c r="F93998" s="193"/>
    </row>
    <row r="93999" spans="6:6" x14ac:dyDescent="0.3">
      <c r="F93999" s="193"/>
    </row>
    <row r="94000" spans="6:6" x14ac:dyDescent="0.3">
      <c r="F94000" s="193"/>
    </row>
    <row r="94001" spans="6:6" x14ac:dyDescent="0.3">
      <c r="F94001" s="193"/>
    </row>
    <row r="94002" spans="6:6" x14ac:dyDescent="0.3">
      <c r="F94002" s="193"/>
    </row>
    <row r="94003" spans="6:6" x14ac:dyDescent="0.3">
      <c r="F94003" s="193"/>
    </row>
    <row r="94004" spans="6:6" x14ac:dyDescent="0.3">
      <c r="F94004" s="193"/>
    </row>
    <row r="94005" spans="6:6" x14ac:dyDescent="0.3">
      <c r="F94005" s="193"/>
    </row>
    <row r="94006" spans="6:6" x14ac:dyDescent="0.3">
      <c r="F94006" s="193"/>
    </row>
    <row r="94007" spans="6:6" x14ac:dyDescent="0.3">
      <c r="F94007" s="193"/>
    </row>
    <row r="94008" spans="6:6" x14ac:dyDescent="0.3">
      <c r="F94008" s="193"/>
    </row>
    <row r="94009" spans="6:6" x14ac:dyDescent="0.3">
      <c r="F94009" s="193"/>
    </row>
    <row r="94010" spans="6:6" x14ac:dyDescent="0.3">
      <c r="F94010" s="193"/>
    </row>
    <row r="94011" spans="6:6" x14ac:dyDescent="0.3">
      <c r="F94011" s="193"/>
    </row>
    <row r="94012" spans="6:6" x14ac:dyDescent="0.3">
      <c r="F94012" s="193"/>
    </row>
    <row r="94013" spans="6:6" x14ac:dyDescent="0.3">
      <c r="F94013" s="193"/>
    </row>
    <row r="94014" spans="6:6" x14ac:dyDescent="0.3">
      <c r="F94014" s="193"/>
    </row>
    <row r="94015" spans="6:6" x14ac:dyDescent="0.3">
      <c r="F94015" s="193"/>
    </row>
    <row r="94016" spans="6:6" x14ac:dyDescent="0.3">
      <c r="F94016" s="193"/>
    </row>
    <row r="94017" spans="6:6" x14ac:dyDescent="0.3">
      <c r="F94017" s="193"/>
    </row>
    <row r="94018" spans="6:6" x14ac:dyDescent="0.3">
      <c r="F94018" s="193"/>
    </row>
    <row r="94019" spans="6:6" x14ac:dyDescent="0.3">
      <c r="F94019" s="193"/>
    </row>
    <row r="94020" spans="6:6" x14ac:dyDescent="0.3">
      <c r="F94020" s="193"/>
    </row>
    <row r="94021" spans="6:6" x14ac:dyDescent="0.3">
      <c r="F94021" s="193"/>
    </row>
    <row r="94022" spans="6:6" x14ac:dyDescent="0.3">
      <c r="F94022" s="193"/>
    </row>
    <row r="94023" spans="6:6" x14ac:dyDescent="0.3">
      <c r="F94023" s="193"/>
    </row>
    <row r="94024" spans="6:6" x14ac:dyDescent="0.3">
      <c r="F94024" s="193"/>
    </row>
    <row r="94025" spans="6:6" x14ac:dyDescent="0.3">
      <c r="F94025" s="193"/>
    </row>
    <row r="94026" spans="6:6" x14ac:dyDescent="0.3">
      <c r="F94026" s="193"/>
    </row>
    <row r="94027" spans="6:6" x14ac:dyDescent="0.3">
      <c r="F94027" s="193"/>
    </row>
    <row r="94028" spans="6:6" x14ac:dyDescent="0.3">
      <c r="F94028" s="193"/>
    </row>
    <row r="94029" spans="6:6" x14ac:dyDescent="0.3">
      <c r="F94029" s="193"/>
    </row>
    <row r="94030" spans="6:6" x14ac:dyDescent="0.3">
      <c r="F94030" s="193"/>
    </row>
    <row r="94031" spans="6:6" x14ac:dyDescent="0.3">
      <c r="F94031" s="193"/>
    </row>
    <row r="94032" spans="6:6" x14ac:dyDescent="0.3">
      <c r="F94032" s="193"/>
    </row>
    <row r="94033" spans="6:6" x14ac:dyDescent="0.3">
      <c r="F94033" s="193"/>
    </row>
    <row r="94034" spans="6:6" x14ac:dyDescent="0.3">
      <c r="F94034" s="193"/>
    </row>
    <row r="94035" spans="6:6" x14ac:dyDescent="0.3">
      <c r="F94035" s="193"/>
    </row>
    <row r="94036" spans="6:6" x14ac:dyDescent="0.3">
      <c r="F94036" s="193"/>
    </row>
    <row r="94037" spans="6:6" x14ac:dyDescent="0.3">
      <c r="F94037" s="193"/>
    </row>
    <row r="94038" spans="6:6" x14ac:dyDescent="0.3">
      <c r="F94038" s="193"/>
    </row>
    <row r="94039" spans="6:6" x14ac:dyDescent="0.3">
      <c r="F94039" s="193"/>
    </row>
    <row r="94040" spans="6:6" x14ac:dyDescent="0.3">
      <c r="F94040" s="193"/>
    </row>
    <row r="94041" spans="6:6" x14ac:dyDescent="0.3">
      <c r="F94041" s="193"/>
    </row>
    <row r="94042" spans="6:6" x14ac:dyDescent="0.3">
      <c r="F94042" s="193"/>
    </row>
    <row r="94043" spans="6:6" x14ac:dyDescent="0.3">
      <c r="F94043" s="193"/>
    </row>
    <row r="94044" spans="6:6" x14ac:dyDescent="0.3">
      <c r="F94044" s="193"/>
    </row>
    <row r="94045" spans="6:6" x14ac:dyDescent="0.3">
      <c r="F94045" s="193"/>
    </row>
    <row r="94046" spans="6:6" x14ac:dyDescent="0.3">
      <c r="F94046" s="193"/>
    </row>
    <row r="94047" spans="6:6" x14ac:dyDescent="0.3">
      <c r="F94047" s="193"/>
    </row>
    <row r="94048" spans="6:6" x14ac:dyDescent="0.3">
      <c r="F94048" s="193"/>
    </row>
    <row r="94049" spans="6:6" x14ac:dyDescent="0.3">
      <c r="F94049" s="193"/>
    </row>
    <row r="94050" spans="6:6" x14ac:dyDescent="0.3">
      <c r="F94050" s="193"/>
    </row>
    <row r="94051" spans="6:6" x14ac:dyDescent="0.3">
      <c r="F94051" s="193"/>
    </row>
    <row r="94052" spans="6:6" x14ac:dyDescent="0.3">
      <c r="F94052" s="193"/>
    </row>
    <row r="94053" spans="6:6" x14ac:dyDescent="0.3">
      <c r="F94053" s="193"/>
    </row>
    <row r="94054" spans="6:6" x14ac:dyDescent="0.3">
      <c r="F94054" s="193"/>
    </row>
    <row r="94055" spans="6:6" x14ac:dyDescent="0.3">
      <c r="F94055" s="193"/>
    </row>
    <row r="94056" spans="6:6" x14ac:dyDescent="0.3">
      <c r="F94056" s="193"/>
    </row>
    <row r="94057" spans="6:6" x14ac:dyDescent="0.3">
      <c r="F94057" s="193"/>
    </row>
    <row r="94058" spans="6:6" x14ac:dyDescent="0.3">
      <c r="F94058" s="193"/>
    </row>
    <row r="94059" spans="6:6" x14ac:dyDescent="0.3">
      <c r="F94059" s="193"/>
    </row>
    <row r="94060" spans="6:6" x14ac:dyDescent="0.3">
      <c r="F94060" s="193"/>
    </row>
    <row r="94061" spans="6:6" x14ac:dyDescent="0.3">
      <c r="F94061" s="193"/>
    </row>
    <row r="94062" spans="6:6" x14ac:dyDescent="0.3">
      <c r="F94062" s="193"/>
    </row>
    <row r="94063" spans="6:6" x14ac:dyDescent="0.3">
      <c r="F94063" s="193"/>
    </row>
    <row r="94064" spans="6:6" x14ac:dyDescent="0.3">
      <c r="F94064" s="193"/>
    </row>
    <row r="94065" spans="6:6" x14ac:dyDescent="0.3">
      <c r="F94065" s="193"/>
    </row>
    <row r="94066" spans="6:6" x14ac:dyDescent="0.3">
      <c r="F94066" s="193"/>
    </row>
    <row r="94067" spans="6:6" x14ac:dyDescent="0.3">
      <c r="F94067" s="193"/>
    </row>
    <row r="94068" spans="6:6" x14ac:dyDescent="0.3">
      <c r="F94068" s="193"/>
    </row>
    <row r="94069" spans="6:6" x14ac:dyDescent="0.3">
      <c r="F94069" s="193"/>
    </row>
    <row r="94070" spans="6:6" x14ac:dyDescent="0.3">
      <c r="F94070" s="193"/>
    </row>
    <row r="94071" spans="6:6" x14ac:dyDescent="0.3">
      <c r="F94071" s="193"/>
    </row>
    <row r="94072" spans="6:6" x14ac:dyDescent="0.3">
      <c r="F94072" s="193"/>
    </row>
    <row r="94073" spans="6:6" x14ac:dyDescent="0.3">
      <c r="F94073" s="193"/>
    </row>
    <row r="94074" spans="6:6" x14ac:dyDescent="0.3">
      <c r="F94074" s="193"/>
    </row>
    <row r="94075" spans="6:6" x14ac:dyDescent="0.3">
      <c r="F94075" s="193"/>
    </row>
    <row r="94076" spans="6:6" x14ac:dyDescent="0.3">
      <c r="F94076" s="193"/>
    </row>
    <row r="94077" spans="6:6" x14ac:dyDescent="0.3">
      <c r="F94077" s="193"/>
    </row>
    <row r="94078" spans="6:6" x14ac:dyDescent="0.3">
      <c r="F94078" s="193"/>
    </row>
    <row r="94079" spans="6:6" x14ac:dyDescent="0.3">
      <c r="F94079" s="193"/>
    </row>
    <row r="94080" spans="6:6" x14ac:dyDescent="0.3">
      <c r="F94080" s="193"/>
    </row>
    <row r="94081" spans="6:6" x14ac:dyDescent="0.3">
      <c r="F94081" s="193"/>
    </row>
    <row r="94082" spans="6:6" x14ac:dyDescent="0.3">
      <c r="F94082" s="193"/>
    </row>
    <row r="94083" spans="6:6" x14ac:dyDescent="0.3">
      <c r="F94083" s="193"/>
    </row>
    <row r="94084" spans="6:6" x14ac:dyDescent="0.3">
      <c r="F94084" s="193"/>
    </row>
    <row r="94085" spans="6:6" x14ac:dyDescent="0.3">
      <c r="F94085" s="193"/>
    </row>
    <row r="94086" spans="6:6" x14ac:dyDescent="0.3">
      <c r="F94086" s="193"/>
    </row>
    <row r="94087" spans="6:6" x14ac:dyDescent="0.3">
      <c r="F94087" s="193"/>
    </row>
    <row r="94088" spans="6:6" x14ac:dyDescent="0.3">
      <c r="F94088" s="193"/>
    </row>
    <row r="94089" spans="6:6" x14ac:dyDescent="0.3">
      <c r="F94089" s="193"/>
    </row>
    <row r="94090" spans="6:6" x14ac:dyDescent="0.3">
      <c r="F94090" s="193"/>
    </row>
    <row r="94091" spans="6:6" x14ac:dyDescent="0.3">
      <c r="F94091" s="193"/>
    </row>
    <row r="94092" spans="6:6" x14ac:dyDescent="0.3">
      <c r="F94092" s="193"/>
    </row>
    <row r="94093" spans="6:6" x14ac:dyDescent="0.3">
      <c r="F94093" s="193"/>
    </row>
    <row r="94094" spans="6:6" x14ac:dyDescent="0.3">
      <c r="F94094" s="193"/>
    </row>
    <row r="94095" spans="6:6" x14ac:dyDescent="0.3">
      <c r="F94095" s="193"/>
    </row>
    <row r="94096" spans="6:6" x14ac:dyDescent="0.3">
      <c r="F94096" s="193"/>
    </row>
    <row r="94097" spans="6:6" x14ac:dyDescent="0.3">
      <c r="F94097" s="193"/>
    </row>
    <row r="94098" spans="6:6" x14ac:dyDescent="0.3">
      <c r="F94098" s="193"/>
    </row>
    <row r="94099" spans="6:6" x14ac:dyDescent="0.3">
      <c r="F94099" s="193"/>
    </row>
    <row r="94100" spans="6:6" x14ac:dyDescent="0.3">
      <c r="F94100" s="193"/>
    </row>
    <row r="94101" spans="6:6" x14ac:dyDescent="0.3">
      <c r="F94101" s="193"/>
    </row>
    <row r="94102" spans="6:6" x14ac:dyDescent="0.3">
      <c r="F94102" s="193"/>
    </row>
    <row r="94103" spans="6:6" x14ac:dyDescent="0.3">
      <c r="F94103" s="193"/>
    </row>
    <row r="94104" spans="6:6" x14ac:dyDescent="0.3">
      <c r="F94104" s="193"/>
    </row>
    <row r="94105" spans="6:6" x14ac:dyDescent="0.3">
      <c r="F94105" s="193"/>
    </row>
    <row r="94106" spans="6:6" x14ac:dyDescent="0.3">
      <c r="F94106" s="193"/>
    </row>
    <row r="94107" spans="6:6" x14ac:dyDescent="0.3">
      <c r="F94107" s="193"/>
    </row>
    <row r="94108" spans="6:6" x14ac:dyDescent="0.3">
      <c r="F94108" s="193"/>
    </row>
    <row r="94109" spans="6:6" x14ac:dyDescent="0.3">
      <c r="F94109" s="193"/>
    </row>
    <row r="94110" spans="6:6" x14ac:dyDescent="0.3">
      <c r="F94110" s="193"/>
    </row>
    <row r="94111" spans="6:6" x14ac:dyDescent="0.3">
      <c r="F94111" s="193"/>
    </row>
    <row r="94112" spans="6:6" x14ac:dyDescent="0.3">
      <c r="F94112" s="193"/>
    </row>
    <row r="94113" spans="6:6" x14ac:dyDescent="0.3">
      <c r="F94113" s="193"/>
    </row>
    <row r="94114" spans="6:6" x14ac:dyDescent="0.3">
      <c r="F94114" s="193"/>
    </row>
    <row r="94115" spans="6:6" x14ac:dyDescent="0.3">
      <c r="F94115" s="193"/>
    </row>
    <row r="94116" spans="6:6" x14ac:dyDescent="0.3">
      <c r="F94116" s="193"/>
    </row>
    <row r="94117" spans="6:6" x14ac:dyDescent="0.3">
      <c r="F94117" s="193"/>
    </row>
    <row r="94118" spans="6:6" x14ac:dyDescent="0.3">
      <c r="F94118" s="193"/>
    </row>
    <row r="94119" spans="6:6" x14ac:dyDescent="0.3">
      <c r="F94119" s="193"/>
    </row>
    <row r="94120" spans="6:6" x14ac:dyDescent="0.3">
      <c r="F94120" s="193"/>
    </row>
    <row r="94121" spans="6:6" x14ac:dyDescent="0.3">
      <c r="F94121" s="193"/>
    </row>
    <row r="94122" spans="6:6" x14ac:dyDescent="0.3">
      <c r="F94122" s="193"/>
    </row>
    <row r="94123" spans="6:6" x14ac:dyDescent="0.3">
      <c r="F94123" s="193"/>
    </row>
    <row r="94124" spans="6:6" x14ac:dyDescent="0.3">
      <c r="F94124" s="193"/>
    </row>
    <row r="94125" spans="6:6" x14ac:dyDescent="0.3">
      <c r="F94125" s="193"/>
    </row>
    <row r="94126" spans="6:6" x14ac:dyDescent="0.3">
      <c r="F94126" s="193"/>
    </row>
    <row r="94127" spans="6:6" x14ac:dyDescent="0.3">
      <c r="F94127" s="193"/>
    </row>
    <row r="94128" spans="6:6" x14ac:dyDescent="0.3">
      <c r="F94128" s="193"/>
    </row>
    <row r="94129" spans="6:6" x14ac:dyDescent="0.3">
      <c r="F94129" s="193"/>
    </row>
    <row r="94130" spans="6:6" x14ac:dyDescent="0.3">
      <c r="F94130" s="193"/>
    </row>
    <row r="94131" spans="6:6" x14ac:dyDescent="0.3">
      <c r="F94131" s="193"/>
    </row>
    <row r="94132" spans="6:6" x14ac:dyDescent="0.3">
      <c r="F94132" s="193"/>
    </row>
    <row r="94133" spans="6:6" x14ac:dyDescent="0.3">
      <c r="F94133" s="193"/>
    </row>
    <row r="94134" spans="6:6" x14ac:dyDescent="0.3">
      <c r="F94134" s="193"/>
    </row>
    <row r="94135" spans="6:6" x14ac:dyDescent="0.3">
      <c r="F94135" s="193"/>
    </row>
    <row r="94136" spans="6:6" x14ac:dyDescent="0.3">
      <c r="F94136" s="193"/>
    </row>
    <row r="94137" spans="6:6" x14ac:dyDescent="0.3">
      <c r="F94137" s="193"/>
    </row>
    <row r="94138" spans="6:6" x14ac:dyDescent="0.3">
      <c r="F94138" s="193"/>
    </row>
    <row r="94139" spans="6:6" x14ac:dyDescent="0.3">
      <c r="F94139" s="193"/>
    </row>
    <row r="94140" spans="6:6" x14ac:dyDescent="0.3">
      <c r="F94140" s="193"/>
    </row>
    <row r="94141" spans="6:6" x14ac:dyDescent="0.3">
      <c r="F94141" s="193"/>
    </row>
    <row r="94142" spans="6:6" x14ac:dyDescent="0.3">
      <c r="F94142" s="193"/>
    </row>
    <row r="94143" spans="6:6" x14ac:dyDescent="0.3">
      <c r="F94143" s="193"/>
    </row>
    <row r="94144" spans="6:6" x14ac:dyDescent="0.3">
      <c r="F94144" s="193"/>
    </row>
    <row r="94145" spans="6:6" x14ac:dyDescent="0.3">
      <c r="F94145" s="193"/>
    </row>
    <row r="94146" spans="6:6" x14ac:dyDescent="0.3">
      <c r="F94146" s="193"/>
    </row>
    <row r="94147" spans="6:6" x14ac:dyDescent="0.3">
      <c r="F94147" s="193"/>
    </row>
    <row r="94148" spans="6:6" x14ac:dyDescent="0.3">
      <c r="F94148" s="193"/>
    </row>
    <row r="94149" spans="6:6" x14ac:dyDescent="0.3">
      <c r="F94149" s="193"/>
    </row>
    <row r="94150" spans="6:6" x14ac:dyDescent="0.3">
      <c r="F94150" s="193"/>
    </row>
    <row r="94151" spans="6:6" x14ac:dyDescent="0.3">
      <c r="F94151" s="193"/>
    </row>
    <row r="94152" spans="6:6" x14ac:dyDescent="0.3">
      <c r="F94152" s="193"/>
    </row>
    <row r="94153" spans="6:6" x14ac:dyDescent="0.3">
      <c r="F94153" s="193"/>
    </row>
    <row r="94154" spans="6:6" x14ac:dyDescent="0.3">
      <c r="F94154" s="193"/>
    </row>
    <row r="94155" spans="6:6" x14ac:dyDescent="0.3">
      <c r="F94155" s="193"/>
    </row>
    <row r="94156" spans="6:6" x14ac:dyDescent="0.3">
      <c r="F94156" s="193"/>
    </row>
    <row r="94157" spans="6:6" x14ac:dyDescent="0.3">
      <c r="F94157" s="193"/>
    </row>
    <row r="94158" spans="6:6" x14ac:dyDescent="0.3">
      <c r="F94158" s="193"/>
    </row>
    <row r="94159" spans="6:6" x14ac:dyDescent="0.3">
      <c r="F94159" s="193"/>
    </row>
    <row r="94160" spans="6:6" x14ac:dyDescent="0.3">
      <c r="F94160" s="193"/>
    </row>
    <row r="94161" spans="6:6" x14ac:dyDescent="0.3">
      <c r="F94161" s="193"/>
    </row>
    <row r="94162" spans="6:6" x14ac:dyDescent="0.3">
      <c r="F94162" s="193"/>
    </row>
    <row r="94163" spans="6:6" x14ac:dyDescent="0.3">
      <c r="F94163" s="193"/>
    </row>
    <row r="94164" spans="6:6" x14ac:dyDescent="0.3">
      <c r="F94164" s="193"/>
    </row>
    <row r="94165" spans="6:6" x14ac:dyDescent="0.3">
      <c r="F94165" s="193"/>
    </row>
    <row r="94166" spans="6:6" x14ac:dyDescent="0.3">
      <c r="F94166" s="193"/>
    </row>
    <row r="94167" spans="6:6" x14ac:dyDescent="0.3">
      <c r="F94167" s="193"/>
    </row>
    <row r="94168" spans="6:6" x14ac:dyDescent="0.3">
      <c r="F94168" s="193"/>
    </row>
    <row r="94169" spans="6:6" x14ac:dyDescent="0.3">
      <c r="F94169" s="193"/>
    </row>
    <row r="94170" spans="6:6" x14ac:dyDescent="0.3">
      <c r="F94170" s="193"/>
    </row>
    <row r="94171" spans="6:6" x14ac:dyDescent="0.3">
      <c r="F94171" s="193"/>
    </row>
    <row r="94172" spans="6:6" x14ac:dyDescent="0.3">
      <c r="F94172" s="193"/>
    </row>
    <row r="94173" spans="6:6" x14ac:dyDescent="0.3">
      <c r="F94173" s="193"/>
    </row>
    <row r="94174" spans="6:6" x14ac:dyDescent="0.3">
      <c r="F94174" s="193"/>
    </row>
    <row r="94175" spans="6:6" x14ac:dyDescent="0.3">
      <c r="F94175" s="193"/>
    </row>
    <row r="94176" spans="6:6" x14ac:dyDescent="0.3">
      <c r="F94176" s="193"/>
    </row>
    <row r="94177" spans="6:6" x14ac:dyDescent="0.3">
      <c r="F94177" s="193"/>
    </row>
    <row r="94178" spans="6:6" x14ac:dyDescent="0.3">
      <c r="F94178" s="193"/>
    </row>
    <row r="94179" spans="6:6" x14ac:dyDescent="0.3">
      <c r="F94179" s="193"/>
    </row>
    <row r="94180" spans="6:6" x14ac:dyDescent="0.3">
      <c r="F94180" s="193"/>
    </row>
    <row r="94181" spans="6:6" x14ac:dyDescent="0.3">
      <c r="F94181" s="193"/>
    </row>
    <row r="94182" spans="6:6" x14ac:dyDescent="0.3">
      <c r="F94182" s="193"/>
    </row>
    <row r="94183" spans="6:6" x14ac:dyDescent="0.3">
      <c r="F94183" s="193"/>
    </row>
    <row r="94184" spans="6:6" x14ac:dyDescent="0.3">
      <c r="F94184" s="193"/>
    </row>
    <row r="94185" spans="6:6" x14ac:dyDescent="0.3">
      <c r="F94185" s="193"/>
    </row>
    <row r="94186" spans="6:6" x14ac:dyDescent="0.3">
      <c r="F94186" s="193"/>
    </row>
    <row r="94187" spans="6:6" x14ac:dyDescent="0.3">
      <c r="F94187" s="193"/>
    </row>
    <row r="94188" spans="6:6" x14ac:dyDescent="0.3">
      <c r="F94188" s="193"/>
    </row>
    <row r="94189" spans="6:6" x14ac:dyDescent="0.3">
      <c r="F94189" s="193"/>
    </row>
    <row r="94190" spans="6:6" x14ac:dyDescent="0.3">
      <c r="F94190" s="193"/>
    </row>
    <row r="94191" spans="6:6" x14ac:dyDescent="0.3">
      <c r="F94191" s="193"/>
    </row>
    <row r="94192" spans="6:6" x14ac:dyDescent="0.3">
      <c r="F94192" s="193"/>
    </row>
    <row r="94193" spans="6:6" x14ac:dyDescent="0.3">
      <c r="F94193" s="193"/>
    </row>
    <row r="94194" spans="6:6" x14ac:dyDescent="0.3">
      <c r="F94194" s="193"/>
    </row>
    <row r="94195" spans="6:6" x14ac:dyDescent="0.3">
      <c r="F94195" s="193"/>
    </row>
    <row r="94196" spans="6:6" x14ac:dyDescent="0.3">
      <c r="F94196" s="193"/>
    </row>
    <row r="94197" spans="6:6" x14ac:dyDescent="0.3">
      <c r="F94197" s="193"/>
    </row>
    <row r="94198" spans="6:6" x14ac:dyDescent="0.3">
      <c r="F94198" s="193"/>
    </row>
    <row r="94199" spans="6:6" x14ac:dyDescent="0.3">
      <c r="F94199" s="193"/>
    </row>
    <row r="94200" spans="6:6" x14ac:dyDescent="0.3">
      <c r="F94200" s="193"/>
    </row>
    <row r="94201" spans="6:6" x14ac:dyDescent="0.3">
      <c r="F94201" s="193"/>
    </row>
    <row r="94202" spans="6:6" x14ac:dyDescent="0.3">
      <c r="F94202" s="193"/>
    </row>
    <row r="94203" spans="6:6" x14ac:dyDescent="0.3">
      <c r="F94203" s="193"/>
    </row>
    <row r="94204" spans="6:6" x14ac:dyDescent="0.3">
      <c r="F94204" s="193"/>
    </row>
    <row r="94205" spans="6:6" x14ac:dyDescent="0.3">
      <c r="F94205" s="193"/>
    </row>
    <row r="94206" spans="6:6" x14ac:dyDescent="0.3">
      <c r="F94206" s="193"/>
    </row>
    <row r="94207" spans="6:6" x14ac:dyDescent="0.3">
      <c r="F94207" s="193"/>
    </row>
    <row r="94208" spans="6:6" x14ac:dyDescent="0.3">
      <c r="F94208" s="193"/>
    </row>
    <row r="94209" spans="6:6" x14ac:dyDescent="0.3">
      <c r="F94209" s="193"/>
    </row>
    <row r="94210" spans="6:6" x14ac:dyDescent="0.3">
      <c r="F94210" s="193"/>
    </row>
    <row r="94211" spans="6:6" x14ac:dyDescent="0.3">
      <c r="F94211" s="193"/>
    </row>
    <row r="94212" spans="6:6" x14ac:dyDescent="0.3">
      <c r="F94212" s="193"/>
    </row>
    <row r="94213" spans="6:6" x14ac:dyDescent="0.3">
      <c r="F94213" s="193"/>
    </row>
    <row r="94214" spans="6:6" x14ac:dyDescent="0.3">
      <c r="F94214" s="193"/>
    </row>
    <row r="94215" spans="6:6" x14ac:dyDescent="0.3">
      <c r="F94215" s="193"/>
    </row>
    <row r="94216" spans="6:6" x14ac:dyDescent="0.3">
      <c r="F94216" s="193"/>
    </row>
    <row r="94217" spans="6:6" x14ac:dyDescent="0.3">
      <c r="F94217" s="193"/>
    </row>
    <row r="94218" spans="6:6" x14ac:dyDescent="0.3">
      <c r="F94218" s="193"/>
    </row>
    <row r="94219" spans="6:6" x14ac:dyDescent="0.3">
      <c r="F94219" s="193"/>
    </row>
    <row r="94220" spans="6:6" x14ac:dyDescent="0.3">
      <c r="F94220" s="193"/>
    </row>
    <row r="94221" spans="6:6" x14ac:dyDescent="0.3">
      <c r="F94221" s="193"/>
    </row>
    <row r="94222" spans="6:6" x14ac:dyDescent="0.3">
      <c r="F94222" s="193"/>
    </row>
    <row r="94223" spans="6:6" x14ac:dyDescent="0.3">
      <c r="F94223" s="193"/>
    </row>
    <row r="94224" spans="6:6" x14ac:dyDescent="0.3">
      <c r="F94224" s="193"/>
    </row>
    <row r="94225" spans="6:6" x14ac:dyDescent="0.3">
      <c r="F94225" s="193"/>
    </row>
    <row r="94226" spans="6:6" x14ac:dyDescent="0.3">
      <c r="F94226" s="193"/>
    </row>
    <row r="94227" spans="6:6" x14ac:dyDescent="0.3">
      <c r="F94227" s="193"/>
    </row>
    <row r="94228" spans="6:6" x14ac:dyDescent="0.3">
      <c r="F94228" s="193"/>
    </row>
    <row r="94229" spans="6:6" x14ac:dyDescent="0.3">
      <c r="F94229" s="193"/>
    </row>
    <row r="94230" spans="6:6" x14ac:dyDescent="0.3">
      <c r="F94230" s="193"/>
    </row>
    <row r="94231" spans="6:6" x14ac:dyDescent="0.3">
      <c r="F94231" s="193"/>
    </row>
    <row r="94232" spans="6:6" x14ac:dyDescent="0.3">
      <c r="F94232" s="193"/>
    </row>
    <row r="94233" spans="6:6" x14ac:dyDescent="0.3">
      <c r="F94233" s="193"/>
    </row>
    <row r="94234" spans="6:6" x14ac:dyDescent="0.3">
      <c r="F94234" s="193"/>
    </row>
    <row r="94235" spans="6:6" x14ac:dyDescent="0.3">
      <c r="F94235" s="193"/>
    </row>
    <row r="94236" spans="6:6" x14ac:dyDescent="0.3">
      <c r="F94236" s="193"/>
    </row>
    <row r="94237" spans="6:6" x14ac:dyDescent="0.3">
      <c r="F94237" s="193"/>
    </row>
    <row r="94238" spans="6:6" x14ac:dyDescent="0.3">
      <c r="F94238" s="193"/>
    </row>
    <row r="94239" spans="6:6" x14ac:dyDescent="0.3">
      <c r="F94239" s="193"/>
    </row>
    <row r="94240" spans="6:6" x14ac:dyDescent="0.3">
      <c r="F94240" s="193"/>
    </row>
    <row r="94241" spans="6:6" x14ac:dyDescent="0.3">
      <c r="F94241" s="193"/>
    </row>
    <row r="94242" spans="6:6" x14ac:dyDescent="0.3">
      <c r="F94242" s="193"/>
    </row>
    <row r="94243" spans="6:6" x14ac:dyDescent="0.3">
      <c r="F94243" s="193"/>
    </row>
    <row r="94244" spans="6:6" x14ac:dyDescent="0.3">
      <c r="F94244" s="193"/>
    </row>
    <row r="94245" spans="6:6" x14ac:dyDescent="0.3">
      <c r="F94245" s="193"/>
    </row>
    <row r="94246" spans="6:6" x14ac:dyDescent="0.3">
      <c r="F94246" s="193"/>
    </row>
    <row r="94247" spans="6:6" x14ac:dyDescent="0.3">
      <c r="F94247" s="193"/>
    </row>
    <row r="94248" spans="6:6" x14ac:dyDescent="0.3">
      <c r="F94248" s="193"/>
    </row>
    <row r="94249" spans="6:6" x14ac:dyDescent="0.3">
      <c r="F94249" s="193"/>
    </row>
    <row r="94250" spans="6:6" x14ac:dyDescent="0.3">
      <c r="F94250" s="193"/>
    </row>
    <row r="94251" spans="6:6" x14ac:dyDescent="0.3">
      <c r="F94251" s="193"/>
    </row>
    <row r="94252" spans="6:6" x14ac:dyDescent="0.3">
      <c r="F94252" s="193"/>
    </row>
    <row r="94253" spans="6:6" x14ac:dyDescent="0.3">
      <c r="F94253" s="193"/>
    </row>
    <row r="94254" spans="6:6" x14ac:dyDescent="0.3">
      <c r="F94254" s="193"/>
    </row>
    <row r="94255" spans="6:6" x14ac:dyDescent="0.3">
      <c r="F94255" s="193"/>
    </row>
    <row r="94256" spans="6:6" x14ac:dyDescent="0.3">
      <c r="F94256" s="193"/>
    </row>
    <row r="94257" spans="6:6" x14ac:dyDescent="0.3">
      <c r="F94257" s="193"/>
    </row>
    <row r="94258" spans="6:6" x14ac:dyDescent="0.3">
      <c r="F94258" s="193"/>
    </row>
    <row r="94259" spans="6:6" x14ac:dyDescent="0.3">
      <c r="F94259" s="193"/>
    </row>
    <row r="94260" spans="6:6" x14ac:dyDescent="0.3">
      <c r="F94260" s="193"/>
    </row>
    <row r="94261" spans="6:6" x14ac:dyDescent="0.3">
      <c r="F94261" s="193"/>
    </row>
    <row r="94262" spans="6:6" x14ac:dyDescent="0.3">
      <c r="F94262" s="193"/>
    </row>
    <row r="94263" spans="6:6" x14ac:dyDescent="0.3">
      <c r="F94263" s="193"/>
    </row>
    <row r="94264" spans="6:6" x14ac:dyDescent="0.3">
      <c r="F94264" s="193"/>
    </row>
    <row r="94265" spans="6:6" x14ac:dyDescent="0.3">
      <c r="F94265" s="193"/>
    </row>
    <row r="94266" spans="6:6" x14ac:dyDescent="0.3">
      <c r="F94266" s="193"/>
    </row>
    <row r="94267" spans="6:6" x14ac:dyDescent="0.3">
      <c r="F94267" s="193"/>
    </row>
    <row r="94268" spans="6:6" x14ac:dyDescent="0.3">
      <c r="F94268" s="193"/>
    </row>
    <row r="94269" spans="6:6" x14ac:dyDescent="0.3">
      <c r="F94269" s="193"/>
    </row>
    <row r="94270" spans="6:6" x14ac:dyDescent="0.3">
      <c r="F94270" s="193"/>
    </row>
    <row r="94271" spans="6:6" x14ac:dyDescent="0.3">
      <c r="F94271" s="193"/>
    </row>
    <row r="94272" spans="6:6" x14ac:dyDescent="0.3">
      <c r="F94272" s="193"/>
    </row>
    <row r="94273" spans="6:6" x14ac:dyDescent="0.3">
      <c r="F94273" s="193"/>
    </row>
    <row r="94274" spans="6:6" x14ac:dyDescent="0.3">
      <c r="F94274" s="193"/>
    </row>
    <row r="94275" spans="6:6" x14ac:dyDescent="0.3">
      <c r="F94275" s="193"/>
    </row>
    <row r="94276" spans="6:6" x14ac:dyDescent="0.3">
      <c r="F94276" s="193"/>
    </row>
    <row r="94277" spans="6:6" x14ac:dyDescent="0.3">
      <c r="F94277" s="193"/>
    </row>
    <row r="94278" spans="6:6" x14ac:dyDescent="0.3">
      <c r="F94278" s="193"/>
    </row>
    <row r="94279" spans="6:6" x14ac:dyDescent="0.3">
      <c r="F94279" s="193"/>
    </row>
    <row r="94280" spans="6:6" x14ac:dyDescent="0.3">
      <c r="F94280" s="193"/>
    </row>
    <row r="94281" spans="6:6" x14ac:dyDescent="0.3">
      <c r="F94281" s="193"/>
    </row>
    <row r="94282" spans="6:6" x14ac:dyDescent="0.3">
      <c r="F94282" s="193"/>
    </row>
    <row r="94283" spans="6:6" x14ac:dyDescent="0.3">
      <c r="F94283" s="193"/>
    </row>
    <row r="94284" spans="6:6" x14ac:dyDescent="0.3">
      <c r="F94284" s="193"/>
    </row>
    <row r="94285" spans="6:6" x14ac:dyDescent="0.3">
      <c r="F94285" s="193"/>
    </row>
    <row r="94286" spans="6:6" x14ac:dyDescent="0.3">
      <c r="F94286" s="193"/>
    </row>
    <row r="94287" spans="6:6" x14ac:dyDescent="0.3">
      <c r="F94287" s="193"/>
    </row>
    <row r="94288" spans="6:6" x14ac:dyDescent="0.3">
      <c r="F94288" s="193"/>
    </row>
    <row r="94289" spans="6:6" x14ac:dyDescent="0.3">
      <c r="F94289" s="193"/>
    </row>
    <row r="94290" spans="6:6" x14ac:dyDescent="0.3">
      <c r="F94290" s="193"/>
    </row>
    <row r="94291" spans="6:6" x14ac:dyDescent="0.3">
      <c r="F94291" s="193"/>
    </row>
    <row r="94292" spans="6:6" x14ac:dyDescent="0.3">
      <c r="F94292" s="193"/>
    </row>
    <row r="94293" spans="6:6" x14ac:dyDescent="0.3">
      <c r="F94293" s="193"/>
    </row>
    <row r="94294" spans="6:6" x14ac:dyDescent="0.3">
      <c r="F94294" s="193"/>
    </row>
    <row r="94295" spans="6:6" x14ac:dyDescent="0.3">
      <c r="F94295" s="193"/>
    </row>
    <row r="94296" spans="6:6" x14ac:dyDescent="0.3">
      <c r="F94296" s="193"/>
    </row>
    <row r="94297" spans="6:6" x14ac:dyDescent="0.3">
      <c r="F94297" s="193"/>
    </row>
    <row r="94298" spans="6:6" x14ac:dyDescent="0.3">
      <c r="F94298" s="193"/>
    </row>
    <row r="94299" spans="6:6" x14ac:dyDescent="0.3">
      <c r="F94299" s="193"/>
    </row>
    <row r="94300" spans="6:6" x14ac:dyDescent="0.3">
      <c r="F94300" s="193"/>
    </row>
    <row r="94301" spans="6:6" x14ac:dyDescent="0.3">
      <c r="F94301" s="193"/>
    </row>
    <row r="94302" spans="6:6" x14ac:dyDescent="0.3">
      <c r="F94302" s="193"/>
    </row>
    <row r="94303" spans="6:6" x14ac:dyDescent="0.3">
      <c r="F94303" s="193"/>
    </row>
    <row r="94304" spans="6:6" x14ac:dyDescent="0.3">
      <c r="F94304" s="193"/>
    </row>
    <row r="94305" spans="6:6" x14ac:dyDescent="0.3">
      <c r="F94305" s="193"/>
    </row>
    <row r="94306" spans="6:6" x14ac:dyDescent="0.3">
      <c r="F94306" s="193"/>
    </row>
    <row r="94307" spans="6:6" x14ac:dyDescent="0.3">
      <c r="F94307" s="193"/>
    </row>
    <row r="94308" spans="6:6" x14ac:dyDescent="0.3">
      <c r="F94308" s="193"/>
    </row>
    <row r="94309" spans="6:6" x14ac:dyDescent="0.3">
      <c r="F94309" s="193"/>
    </row>
    <row r="94310" spans="6:6" x14ac:dyDescent="0.3">
      <c r="F94310" s="193"/>
    </row>
    <row r="94311" spans="6:6" x14ac:dyDescent="0.3">
      <c r="F94311" s="193"/>
    </row>
    <row r="94312" spans="6:6" x14ac:dyDescent="0.3">
      <c r="F94312" s="193"/>
    </row>
    <row r="94313" spans="6:6" x14ac:dyDescent="0.3">
      <c r="F94313" s="193"/>
    </row>
    <row r="94314" spans="6:6" x14ac:dyDescent="0.3">
      <c r="F94314" s="193"/>
    </row>
    <row r="94315" spans="6:6" x14ac:dyDescent="0.3">
      <c r="F94315" s="193"/>
    </row>
    <row r="94316" spans="6:6" x14ac:dyDescent="0.3">
      <c r="F94316" s="193"/>
    </row>
    <row r="94317" spans="6:6" x14ac:dyDescent="0.3">
      <c r="F94317" s="193"/>
    </row>
    <row r="94318" spans="6:6" x14ac:dyDescent="0.3">
      <c r="F94318" s="193"/>
    </row>
    <row r="94319" spans="6:6" x14ac:dyDescent="0.3">
      <c r="F94319" s="193"/>
    </row>
    <row r="94320" spans="6:6" x14ac:dyDescent="0.3">
      <c r="F94320" s="193"/>
    </row>
    <row r="94321" spans="6:6" x14ac:dyDescent="0.3">
      <c r="F94321" s="193"/>
    </row>
    <row r="94322" spans="6:6" x14ac:dyDescent="0.3">
      <c r="F94322" s="193"/>
    </row>
    <row r="94323" spans="6:6" x14ac:dyDescent="0.3">
      <c r="F94323" s="193"/>
    </row>
    <row r="94324" spans="6:6" x14ac:dyDescent="0.3">
      <c r="F94324" s="193"/>
    </row>
    <row r="94325" spans="6:6" x14ac:dyDescent="0.3">
      <c r="F94325" s="193"/>
    </row>
    <row r="94326" spans="6:6" x14ac:dyDescent="0.3">
      <c r="F94326" s="193"/>
    </row>
    <row r="94327" spans="6:6" x14ac:dyDescent="0.3">
      <c r="F94327" s="193"/>
    </row>
    <row r="94328" spans="6:6" x14ac:dyDescent="0.3">
      <c r="F94328" s="193"/>
    </row>
    <row r="94329" spans="6:6" x14ac:dyDescent="0.3">
      <c r="F94329" s="193"/>
    </row>
    <row r="94330" spans="6:6" x14ac:dyDescent="0.3">
      <c r="F94330" s="193"/>
    </row>
    <row r="94331" spans="6:6" x14ac:dyDescent="0.3">
      <c r="F94331" s="193"/>
    </row>
    <row r="94332" spans="6:6" x14ac:dyDescent="0.3">
      <c r="F94332" s="193"/>
    </row>
    <row r="94333" spans="6:6" x14ac:dyDescent="0.3">
      <c r="F94333" s="193"/>
    </row>
    <row r="94334" spans="6:6" x14ac:dyDescent="0.3">
      <c r="F94334" s="193"/>
    </row>
    <row r="94335" spans="6:6" x14ac:dyDescent="0.3">
      <c r="F94335" s="193"/>
    </row>
    <row r="94336" spans="6:6" x14ac:dyDescent="0.3">
      <c r="F94336" s="193"/>
    </row>
    <row r="94337" spans="6:6" x14ac:dyDescent="0.3">
      <c r="F94337" s="193"/>
    </row>
    <row r="94338" spans="6:6" x14ac:dyDescent="0.3">
      <c r="F94338" s="193"/>
    </row>
    <row r="94339" spans="6:6" x14ac:dyDescent="0.3">
      <c r="F94339" s="193"/>
    </row>
    <row r="94340" spans="6:6" x14ac:dyDescent="0.3">
      <c r="F94340" s="193"/>
    </row>
    <row r="94341" spans="6:6" x14ac:dyDescent="0.3">
      <c r="F94341" s="193"/>
    </row>
    <row r="94342" spans="6:6" x14ac:dyDescent="0.3">
      <c r="F94342" s="193"/>
    </row>
    <row r="94343" spans="6:6" x14ac:dyDescent="0.3">
      <c r="F94343" s="193"/>
    </row>
    <row r="94344" spans="6:6" x14ac:dyDescent="0.3">
      <c r="F94344" s="193"/>
    </row>
    <row r="94345" spans="6:6" x14ac:dyDescent="0.3">
      <c r="F94345" s="193"/>
    </row>
    <row r="94346" spans="6:6" x14ac:dyDescent="0.3">
      <c r="F94346" s="193"/>
    </row>
    <row r="94347" spans="6:6" x14ac:dyDescent="0.3">
      <c r="F94347" s="193"/>
    </row>
    <row r="94348" spans="6:6" x14ac:dyDescent="0.3">
      <c r="F94348" s="193"/>
    </row>
    <row r="94349" spans="6:6" x14ac:dyDescent="0.3">
      <c r="F94349" s="193"/>
    </row>
    <row r="94350" spans="6:6" x14ac:dyDescent="0.3">
      <c r="F94350" s="193"/>
    </row>
    <row r="94351" spans="6:6" x14ac:dyDescent="0.3">
      <c r="F94351" s="193"/>
    </row>
    <row r="94352" spans="6:6" x14ac:dyDescent="0.3">
      <c r="F94352" s="193"/>
    </row>
    <row r="94353" spans="6:6" x14ac:dyDescent="0.3">
      <c r="F94353" s="193"/>
    </row>
    <row r="94354" spans="6:6" x14ac:dyDescent="0.3">
      <c r="F94354" s="193"/>
    </row>
    <row r="94355" spans="6:6" x14ac:dyDescent="0.3">
      <c r="F94355" s="193"/>
    </row>
    <row r="94356" spans="6:6" x14ac:dyDescent="0.3">
      <c r="F94356" s="193"/>
    </row>
    <row r="94357" spans="6:6" x14ac:dyDescent="0.3">
      <c r="F94357" s="193"/>
    </row>
    <row r="94358" spans="6:6" x14ac:dyDescent="0.3">
      <c r="F94358" s="193"/>
    </row>
    <row r="94359" spans="6:6" x14ac:dyDescent="0.3">
      <c r="F94359" s="193"/>
    </row>
    <row r="94360" spans="6:6" x14ac:dyDescent="0.3">
      <c r="F94360" s="193"/>
    </row>
    <row r="94361" spans="6:6" x14ac:dyDescent="0.3">
      <c r="F94361" s="193"/>
    </row>
    <row r="94362" spans="6:6" x14ac:dyDescent="0.3">
      <c r="F94362" s="193"/>
    </row>
    <row r="94363" spans="6:6" x14ac:dyDescent="0.3">
      <c r="F94363" s="193"/>
    </row>
    <row r="94364" spans="6:6" x14ac:dyDescent="0.3">
      <c r="F94364" s="193"/>
    </row>
    <row r="94365" spans="6:6" x14ac:dyDescent="0.3">
      <c r="F94365" s="193"/>
    </row>
    <row r="94366" spans="6:6" x14ac:dyDescent="0.3">
      <c r="F94366" s="193"/>
    </row>
    <row r="94367" spans="6:6" x14ac:dyDescent="0.3">
      <c r="F94367" s="193"/>
    </row>
    <row r="94368" spans="6:6" x14ac:dyDescent="0.3">
      <c r="F94368" s="193"/>
    </row>
    <row r="94369" spans="6:6" x14ac:dyDescent="0.3">
      <c r="F94369" s="193"/>
    </row>
    <row r="94370" spans="6:6" x14ac:dyDescent="0.3">
      <c r="F94370" s="193"/>
    </row>
    <row r="94371" spans="6:6" x14ac:dyDescent="0.3">
      <c r="F94371" s="193"/>
    </row>
    <row r="94372" spans="6:6" x14ac:dyDescent="0.3">
      <c r="F94372" s="193"/>
    </row>
    <row r="94373" spans="6:6" x14ac:dyDescent="0.3">
      <c r="F94373" s="193"/>
    </row>
    <row r="94374" spans="6:6" x14ac:dyDescent="0.3">
      <c r="F94374" s="193"/>
    </row>
    <row r="94375" spans="6:6" x14ac:dyDescent="0.3">
      <c r="F94375" s="193"/>
    </row>
    <row r="94376" spans="6:6" x14ac:dyDescent="0.3">
      <c r="F94376" s="193"/>
    </row>
    <row r="94377" spans="6:6" x14ac:dyDescent="0.3">
      <c r="F94377" s="193"/>
    </row>
    <row r="94378" spans="6:6" x14ac:dyDescent="0.3">
      <c r="F94378" s="193"/>
    </row>
    <row r="94379" spans="6:6" x14ac:dyDescent="0.3">
      <c r="F94379" s="193"/>
    </row>
    <row r="94380" spans="6:6" x14ac:dyDescent="0.3">
      <c r="F94380" s="193"/>
    </row>
    <row r="94381" spans="6:6" x14ac:dyDescent="0.3">
      <c r="F94381" s="193"/>
    </row>
    <row r="94382" spans="6:6" x14ac:dyDescent="0.3">
      <c r="F94382" s="193"/>
    </row>
    <row r="94383" spans="6:6" x14ac:dyDescent="0.3">
      <c r="F94383" s="193"/>
    </row>
    <row r="94384" spans="6:6" x14ac:dyDescent="0.3">
      <c r="F94384" s="193"/>
    </row>
    <row r="94385" spans="6:6" x14ac:dyDescent="0.3">
      <c r="F94385" s="193"/>
    </row>
    <row r="94386" spans="6:6" x14ac:dyDescent="0.3">
      <c r="F94386" s="193"/>
    </row>
    <row r="94387" spans="6:6" x14ac:dyDescent="0.3">
      <c r="F94387" s="193"/>
    </row>
    <row r="94388" spans="6:6" x14ac:dyDescent="0.3">
      <c r="F94388" s="193"/>
    </row>
    <row r="94389" spans="6:6" x14ac:dyDescent="0.3">
      <c r="F94389" s="193"/>
    </row>
    <row r="94390" spans="6:6" x14ac:dyDescent="0.3">
      <c r="F94390" s="193"/>
    </row>
    <row r="94391" spans="6:6" x14ac:dyDescent="0.3">
      <c r="F94391" s="193"/>
    </row>
    <row r="94392" spans="6:6" x14ac:dyDescent="0.3">
      <c r="F94392" s="193"/>
    </row>
    <row r="94393" spans="6:6" x14ac:dyDescent="0.3">
      <c r="F94393" s="193"/>
    </row>
    <row r="94394" spans="6:6" x14ac:dyDescent="0.3">
      <c r="F94394" s="193"/>
    </row>
    <row r="94395" spans="6:6" x14ac:dyDescent="0.3">
      <c r="F94395" s="193"/>
    </row>
    <row r="94396" spans="6:6" x14ac:dyDescent="0.3">
      <c r="F94396" s="193"/>
    </row>
    <row r="94397" spans="6:6" x14ac:dyDescent="0.3">
      <c r="F94397" s="193"/>
    </row>
    <row r="94398" spans="6:6" x14ac:dyDescent="0.3">
      <c r="F94398" s="193"/>
    </row>
    <row r="94399" spans="6:6" x14ac:dyDescent="0.3">
      <c r="F94399" s="193"/>
    </row>
    <row r="94400" spans="6:6" x14ac:dyDescent="0.3">
      <c r="F94400" s="193"/>
    </row>
    <row r="94401" spans="6:6" x14ac:dyDescent="0.3">
      <c r="F94401" s="193"/>
    </row>
    <row r="94402" spans="6:6" x14ac:dyDescent="0.3">
      <c r="F94402" s="193"/>
    </row>
    <row r="94403" spans="6:6" x14ac:dyDescent="0.3">
      <c r="F94403" s="193"/>
    </row>
    <row r="94404" spans="6:6" x14ac:dyDescent="0.3">
      <c r="F94404" s="193"/>
    </row>
    <row r="94405" spans="6:6" x14ac:dyDescent="0.3">
      <c r="F94405" s="193"/>
    </row>
    <row r="94406" spans="6:6" x14ac:dyDescent="0.3">
      <c r="F94406" s="193"/>
    </row>
    <row r="94407" spans="6:6" x14ac:dyDescent="0.3">
      <c r="F94407" s="193"/>
    </row>
    <row r="94408" spans="6:6" x14ac:dyDescent="0.3">
      <c r="F94408" s="193"/>
    </row>
    <row r="94409" spans="6:6" x14ac:dyDescent="0.3">
      <c r="F94409" s="193"/>
    </row>
    <row r="94410" spans="6:6" x14ac:dyDescent="0.3">
      <c r="F94410" s="193"/>
    </row>
    <row r="94411" spans="6:6" x14ac:dyDescent="0.3">
      <c r="F94411" s="193"/>
    </row>
    <row r="94412" spans="6:6" x14ac:dyDescent="0.3">
      <c r="F94412" s="193"/>
    </row>
    <row r="94413" spans="6:6" x14ac:dyDescent="0.3">
      <c r="F94413" s="193"/>
    </row>
    <row r="94414" spans="6:6" x14ac:dyDescent="0.3">
      <c r="F94414" s="193"/>
    </row>
    <row r="94415" spans="6:6" x14ac:dyDescent="0.3">
      <c r="F94415" s="193"/>
    </row>
    <row r="94416" spans="6:6" x14ac:dyDescent="0.3">
      <c r="F94416" s="193"/>
    </row>
    <row r="94417" spans="6:6" x14ac:dyDescent="0.3">
      <c r="F94417" s="193"/>
    </row>
    <row r="94418" spans="6:6" x14ac:dyDescent="0.3">
      <c r="F94418" s="193"/>
    </row>
    <row r="94419" spans="6:6" x14ac:dyDescent="0.3">
      <c r="F94419" s="193"/>
    </row>
    <row r="94420" spans="6:6" x14ac:dyDescent="0.3">
      <c r="F94420" s="193"/>
    </row>
    <row r="94421" spans="6:6" x14ac:dyDescent="0.3">
      <c r="F94421" s="193"/>
    </row>
    <row r="94422" spans="6:6" x14ac:dyDescent="0.3">
      <c r="F94422" s="193"/>
    </row>
    <row r="94423" spans="6:6" x14ac:dyDescent="0.3">
      <c r="F94423" s="193"/>
    </row>
    <row r="94424" spans="6:6" x14ac:dyDescent="0.3">
      <c r="F94424" s="193"/>
    </row>
    <row r="94425" spans="6:6" x14ac:dyDescent="0.3">
      <c r="F94425" s="193"/>
    </row>
    <row r="94426" spans="6:6" x14ac:dyDescent="0.3">
      <c r="F94426" s="193"/>
    </row>
    <row r="94427" spans="6:6" x14ac:dyDescent="0.3">
      <c r="F94427" s="193"/>
    </row>
    <row r="94428" spans="6:6" x14ac:dyDescent="0.3">
      <c r="F94428" s="193"/>
    </row>
    <row r="94429" spans="6:6" x14ac:dyDescent="0.3">
      <c r="F94429" s="193"/>
    </row>
    <row r="94430" spans="6:6" x14ac:dyDescent="0.3">
      <c r="F94430" s="193"/>
    </row>
    <row r="94431" spans="6:6" x14ac:dyDescent="0.3">
      <c r="F94431" s="193"/>
    </row>
    <row r="94432" spans="6:6" x14ac:dyDescent="0.3">
      <c r="F94432" s="193"/>
    </row>
    <row r="94433" spans="6:6" x14ac:dyDescent="0.3">
      <c r="F94433" s="193"/>
    </row>
    <row r="94434" spans="6:6" x14ac:dyDescent="0.3">
      <c r="F94434" s="193"/>
    </row>
    <row r="94435" spans="6:6" x14ac:dyDescent="0.3">
      <c r="F94435" s="193"/>
    </row>
    <row r="94436" spans="6:6" x14ac:dyDescent="0.3">
      <c r="F94436" s="193"/>
    </row>
    <row r="94437" spans="6:6" x14ac:dyDescent="0.3">
      <c r="F94437" s="193"/>
    </row>
    <row r="94438" spans="6:6" x14ac:dyDescent="0.3">
      <c r="F94438" s="193"/>
    </row>
    <row r="94439" spans="6:6" x14ac:dyDescent="0.3">
      <c r="F94439" s="193"/>
    </row>
    <row r="94440" spans="6:6" x14ac:dyDescent="0.3">
      <c r="F94440" s="193"/>
    </row>
    <row r="94441" spans="6:6" x14ac:dyDescent="0.3">
      <c r="F94441" s="193"/>
    </row>
    <row r="94442" spans="6:6" x14ac:dyDescent="0.3">
      <c r="F94442" s="193"/>
    </row>
    <row r="94443" spans="6:6" x14ac:dyDescent="0.3">
      <c r="F94443" s="193"/>
    </row>
    <row r="94444" spans="6:6" x14ac:dyDescent="0.3">
      <c r="F94444" s="193"/>
    </row>
    <row r="94445" spans="6:6" x14ac:dyDescent="0.3">
      <c r="F94445" s="193"/>
    </row>
    <row r="94446" spans="6:6" x14ac:dyDescent="0.3">
      <c r="F94446" s="193"/>
    </row>
    <row r="94447" spans="6:6" x14ac:dyDescent="0.3">
      <c r="F94447" s="193"/>
    </row>
    <row r="94448" spans="6:6" x14ac:dyDescent="0.3">
      <c r="F94448" s="193"/>
    </row>
    <row r="94449" spans="6:6" x14ac:dyDescent="0.3">
      <c r="F94449" s="193"/>
    </row>
    <row r="94450" spans="6:6" x14ac:dyDescent="0.3">
      <c r="F94450" s="193"/>
    </row>
    <row r="94451" spans="6:6" x14ac:dyDescent="0.3">
      <c r="F94451" s="193"/>
    </row>
    <row r="94452" spans="6:6" x14ac:dyDescent="0.3">
      <c r="F94452" s="193"/>
    </row>
    <row r="94453" spans="6:6" x14ac:dyDescent="0.3">
      <c r="F94453" s="193"/>
    </row>
    <row r="94454" spans="6:6" x14ac:dyDescent="0.3">
      <c r="F94454" s="193"/>
    </row>
    <row r="94455" spans="6:6" x14ac:dyDescent="0.3">
      <c r="F94455" s="193"/>
    </row>
    <row r="94456" spans="6:6" x14ac:dyDescent="0.3">
      <c r="F94456" s="193"/>
    </row>
    <row r="94457" spans="6:6" x14ac:dyDescent="0.3">
      <c r="F94457" s="193"/>
    </row>
    <row r="94458" spans="6:6" x14ac:dyDescent="0.3">
      <c r="F94458" s="193"/>
    </row>
    <row r="94459" spans="6:6" x14ac:dyDescent="0.3">
      <c r="F94459" s="193"/>
    </row>
    <row r="94460" spans="6:6" x14ac:dyDescent="0.3">
      <c r="F94460" s="193"/>
    </row>
    <row r="94461" spans="6:6" x14ac:dyDescent="0.3">
      <c r="F94461" s="193"/>
    </row>
    <row r="94462" spans="6:6" x14ac:dyDescent="0.3">
      <c r="F94462" s="193"/>
    </row>
    <row r="94463" spans="6:6" x14ac:dyDescent="0.3">
      <c r="F94463" s="193"/>
    </row>
    <row r="94464" spans="6:6" x14ac:dyDescent="0.3">
      <c r="F94464" s="193"/>
    </row>
    <row r="94465" spans="6:6" x14ac:dyDescent="0.3">
      <c r="F94465" s="193"/>
    </row>
    <row r="94466" spans="6:6" x14ac:dyDescent="0.3">
      <c r="F94466" s="193"/>
    </row>
    <row r="94467" spans="6:6" x14ac:dyDescent="0.3">
      <c r="F94467" s="193"/>
    </row>
    <row r="94468" spans="6:6" x14ac:dyDescent="0.3">
      <c r="F94468" s="193"/>
    </row>
    <row r="94469" spans="6:6" x14ac:dyDescent="0.3">
      <c r="F94469" s="193"/>
    </row>
    <row r="94470" spans="6:6" x14ac:dyDescent="0.3">
      <c r="F94470" s="193"/>
    </row>
    <row r="94471" spans="6:6" x14ac:dyDescent="0.3">
      <c r="F94471" s="193"/>
    </row>
    <row r="94472" spans="6:6" x14ac:dyDescent="0.3">
      <c r="F94472" s="193"/>
    </row>
    <row r="94473" spans="6:6" x14ac:dyDescent="0.3">
      <c r="F94473" s="193"/>
    </row>
    <row r="94474" spans="6:6" x14ac:dyDescent="0.3">
      <c r="F94474" s="193"/>
    </row>
    <row r="94475" spans="6:6" x14ac:dyDescent="0.3">
      <c r="F94475" s="193"/>
    </row>
    <row r="94476" spans="6:6" x14ac:dyDescent="0.3">
      <c r="F94476" s="193"/>
    </row>
    <row r="94477" spans="6:6" x14ac:dyDescent="0.3">
      <c r="F94477" s="193"/>
    </row>
    <row r="94478" spans="6:6" x14ac:dyDescent="0.3">
      <c r="F94478" s="193"/>
    </row>
    <row r="94479" spans="6:6" x14ac:dyDescent="0.3">
      <c r="F94479" s="193"/>
    </row>
    <row r="94480" spans="6:6" x14ac:dyDescent="0.3">
      <c r="F94480" s="193"/>
    </row>
    <row r="94481" spans="6:6" x14ac:dyDescent="0.3">
      <c r="F94481" s="193"/>
    </row>
    <row r="94482" spans="6:6" x14ac:dyDescent="0.3">
      <c r="F94482" s="193"/>
    </row>
    <row r="94483" spans="6:6" x14ac:dyDescent="0.3">
      <c r="F94483" s="193"/>
    </row>
    <row r="94484" spans="6:6" x14ac:dyDescent="0.3">
      <c r="F94484" s="193"/>
    </row>
    <row r="94485" spans="6:6" x14ac:dyDescent="0.3">
      <c r="F94485" s="193"/>
    </row>
    <row r="94486" spans="6:6" x14ac:dyDescent="0.3">
      <c r="F94486" s="193"/>
    </row>
    <row r="94487" spans="6:6" x14ac:dyDescent="0.3">
      <c r="F94487" s="193"/>
    </row>
    <row r="94488" spans="6:6" x14ac:dyDescent="0.3">
      <c r="F94488" s="193"/>
    </row>
    <row r="94489" spans="6:6" x14ac:dyDescent="0.3">
      <c r="F94489" s="193"/>
    </row>
    <row r="94490" spans="6:6" x14ac:dyDescent="0.3">
      <c r="F94490" s="193"/>
    </row>
    <row r="94491" spans="6:6" x14ac:dyDescent="0.3">
      <c r="F94491" s="193"/>
    </row>
    <row r="94492" spans="6:6" x14ac:dyDescent="0.3">
      <c r="F94492" s="193"/>
    </row>
    <row r="94493" spans="6:6" x14ac:dyDescent="0.3">
      <c r="F94493" s="193"/>
    </row>
    <row r="94494" spans="6:6" x14ac:dyDescent="0.3">
      <c r="F94494" s="193"/>
    </row>
    <row r="94495" spans="6:6" x14ac:dyDescent="0.3">
      <c r="F94495" s="193"/>
    </row>
    <row r="94496" spans="6:6" x14ac:dyDescent="0.3">
      <c r="F94496" s="193"/>
    </row>
    <row r="94497" spans="6:6" x14ac:dyDescent="0.3">
      <c r="F94497" s="193"/>
    </row>
    <row r="94498" spans="6:6" x14ac:dyDescent="0.3">
      <c r="F94498" s="193"/>
    </row>
    <row r="94499" spans="6:6" x14ac:dyDescent="0.3">
      <c r="F94499" s="193"/>
    </row>
    <row r="94500" spans="6:6" x14ac:dyDescent="0.3">
      <c r="F94500" s="193"/>
    </row>
    <row r="94501" spans="6:6" x14ac:dyDescent="0.3">
      <c r="F94501" s="193"/>
    </row>
    <row r="94502" spans="6:6" x14ac:dyDescent="0.3">
      <c r="F94502" s="193"/>
    </row>
    <row r="94503" spans="6:6" x14ac:dyDescent="0.3">
      <c r="F94503" s="193"/>
    </row>
    <row r="94504" spans="6:6" x14ac:dyDescent="0.3">
      <c r="F94504" s="193"/>
    </row>
    <row r="94505" spans="6:6" x14ac:dyDescent="0.3">
      <c r="F94505" s="193"/>
    </row>
    <row r="94506" spans="6:6" x14ac:dyDescent="0.3">
      <c r="F94506" s="193"/>
    </row>
    <row r="94507" spans="6:6" x14ac:dyDescent="0.3">
      <c r="F94507" s="193"/>
    </row>
    <row r="94508" spans="6:6" x14ac:dyDescent="0.3">
      <c r="F94508" s="193"/>
    </row>
    <row r="94509" spans="6:6" x14ac:dyDescent="0.3">
      <c r="F94509" s="193"/>
    </row>
    <row r="94510" spans="6:6" x14ac:dyDescent="0.3">
      <c r="F94510" s="193"/>
    </row>
    <row r="94511" spans="6:6" x14ac:dyDescent="0.3">
      <c r="F94511" s="193"/>
    </row>
    <row r="94512" spans="6:6" x14ac:dyDescent="0.3">
      <c r="F94512" s="193"/>
    </row>
    <row r="94513" spans="6:6" x14ac:dyDescent="0.3">
      <c r="F94513" s="193"/>
    </row>
    <row r="94514" spans="6:6" x14ac:dyDescent="0.3">
      <c r="F94514" s="193"/>
    </row>
    <row r="94515" spans="6:6" x14ac:dyDescent="0.3">
      <c r="F94515" s="193"/>
    </row>
    <row r="94516" spans="6:6" x14ac:dyDescent="0.3">
      <c r="F94516" s="193"/>
    </row>
    <row r="94517" spans="6:6" x14ac:dyDescent="0.3">
      <c r="F94517" s="193"/>
    </row>
    <row r="94518" spans="6:6" x14ac:dyDescent="0.3">
      <c r="F94518" s="193"/>
    </row>
    <row r="94519" spans="6:6" x14ac:dyDescent="0.3">
      <c r="F94519" s="193"/>
    </row>
    <row r="94520" spans="6:6" x14ac:dyDescent="0.3">
      <c r="F94520" s="193"/>
    </row>
    <row r="94521" spans="6:6" x14ac:dyDescent="0.3">
      <c r="F94521" s="193"/>
    </row>
    <row r="94522" spans="6:6" x14ac:dyDescent="0.3">
      <c r="F94522" s="193"/>
    </row>
    <row r="94523" spans="6:6" x14ac:dyDescent="0.3">
      <c r="F94523" s="193"/>
    </row>
    <row r="94524" spans="6:6" x14ac:dyDescent="0.3">
      <c r="F94524" s="193"/>
    </row>
    <row r="94525" spans="6:6" x14ac:dyDescent="0.3">
      <c r="F94525" s="193"/>
    </row>
    <row r="94526" spans="6:6" x14ac:dyDescent="0.3">
      <c r="F94526" s="193"/>
    </row>
    <row r="94527" spans="6:6" x14ac:dyDescent="0.3">
      <c r="F94527" s="193"/>
    </row>
    <row r="94528" spans="6:6" x14ac:dyDescent="0.3">
      <c r="F94528" s="193"/>
    </row>
    <row r="94529" spans="6:6" x14ac:dyDescent="0.3">
      <c r="F94529" s="193"/>
    </row>
    <row r="94530" spans="6:6" x14ac:dyDescent="0.3">
      <c r="F94530" s="193"/>
    </row>
    <row r="94531" spans="6:6" x14ac:dyDescent="0.3">
      <c r="F94531" s="193"/>
    </row>
    <row r="94532" spans="6:6" x14ac:dyDescent="0.3">
      <c r="F94532" s="193"/>
    </row>
    <row r="94533" spans="6:6" x14ac:dyDescent="0.3">
      <c r="F94533" s="193"/>
    </row>
    <row r="94534" spans="6:6" x14ac:dyDescent="0.3">
      <c r="F94534" s="193"/>
    </row>
    <row r="94535" spans="6:6" x14ac:dyDescent="0.3">
      <c r="F94535" s="193"/>
    </row>
    <row r="94536" spans="6:6" x14ac:dyDescent="0.3">
      <c r="F94536" s="193"/>
    </row>
    <row r="94537" spans="6:6" x14ac:dyDescent="0.3">
      <c r="F94537" s="193"/>
    </row>
    <row r="94538" spans="6:6" x14ac:dyDescent="0.3">
      <c r="F94538" s="193"/>
    </row>
    <row r="94539" spans="6:6" x14ac:dyDescent="0.3">
      <c r="F94539" s="193"/>
    </row>
    <row r="94540" spans="6:6" x14ac:dyDescent="0.3">
      <c r="F94540" s="193"/>
    </row>
    <row r="94541" spans="6:6" x14ac:dyDescent="0.3">
      <c r="F94541" s="193"/>
    </row>
    <row r="94542" spans="6:6" x14ac:dyDescent="0.3">
      <c r="F94542" s="193"/>
    </row>
    <row r="94543" spans="6:6" x14ac:dyDescent="0.3">
      <c r="F94543" s="193"/>
    </row>
    <row r="94544" spans="6:6" x14ac:dyDescent="0.3">
      <c r="F94544" s="193"/>
    </row>
    <row r="94545" spans="6:6" x14ac:dyDescent="0.3">
      <c r="F94545" s="193"/>
    </row>
    <row r="94546" spans="6:6" x14ac:dyDescent="0.3">
      <c r="F94546" s="193"/>
    </row>
    <row r="94547" spans="6:6" x14ac:dyDescent="0.3">
      <c r="F94547" s="193"/>
    </row>
    <row r="94548" spans="6:6" x14ac:dyDescent="0.3">
      <c r="F94548" s="193"/>
    </row>
    <row r="94549" spans="6:6" x14ac:dyDescent="0.3">
      <c r="F94549" s="193"/>
    </row>
    <row r="94550" spans="6:6" x14ac:dyDescent="0.3">
      <c r="F94550" s="193"/>
    </row>
    <row r="94551" spans="6:6" x14ac:dyDescent="0.3">
      <c r="F94551" s="193"/>
    </row>
    <row r="94552" spans="6:6" x14ac:dyDescent="0.3">
      <c r="F94552" s="193"/>
    </row>
    <row r="94553" spans="6:6" x14ac:dyDescent="0.3">
      <c r="F94553" s="193"/>
    </row>
    <row r="94554" spans="6:6" x14ac:dyDescent="0.3">
      <c r="F94554" s="193"/>
    </row>
    <row r="94555" spans="6:6" x14ac:dyDescent="0.3">
      <c r="F94555" s="193"/>
    </row>
    <row r="94556" spans="6:6" x14ac:dyDescent="0.3">
      <c r="F94556" s="193"/>
    </row>
    <row r="94557" spans="6:6" x14ac:dyDescent="0.3">
      <c r="F94557" s="193"/>
    </row>
    <row r="94558" spans="6:6" x14ac:dyDescent="0.3">
      <c r="F94558" s="193"/>
    </row>
    <row r="94559" spans="6:6" x14ac:dyDescent="0.3">
      <c r="F94559" s="193"/>
    </row>
    <row r="94560" spans="6:6" x14ac:dyDescent="0.3">
      <c r="F94560" s="193"/>
    </row>
    <row r="94561" spans="6:6" x14ac:dyDescent="0.3">
      <c r="F94561" s="193"/>
    </row>
    <row r="94562" spans="6:6" x14ac:dyDescent="0.3">
      <c r="F94562" s="193"/>
    </row>
    <row r="94563" spans="6:6" x14ac:dyDescent="0.3">
      <c r="F94563" s="193"/>
    </row>
    <row r="94564" spans="6:6" x14ac:dyDescent="0.3">
      <c r="F94564" s="193"/>
    </row>
    <row r="94565" spans="6:6" x14ac:dyDescent="0.3">
      <c r="F94565" s="193"/>
    </row>
    <row r="94566" spans="6:6" x14ac:dyDescent="0.3">
      <c r="F94566" s="193"/>
    </row>
    <row r="94567" spans="6:6" x14ac:dyDescent="0.3">
      <c r="F94567" s="193"/>
    </row>
    <row r="94568" spans="6:6" x14ac:dyDescent="0.3">
      <c r="F94568" s="193"/>
    </row>
    <row r="94569" spans="6:6" x14ac:dyDescent="0.3">
      <c r="F94569" s="193"/>
    </row>
    <row r="94570" spans="6:6" x14ac:dyDescent="0.3">
      <c r="F94570" s="193"/>
    </row>
    <row r="94571" spans="6:6" x14ac:dyDescent="0.3">
      <c r="F94571" s="193"/>
    </row>
    <row r="94572" spans="6:6" x14ac:dyDescent="0.3">
      <c r="F94572" s="193"/>
    </row>
    <row r="94573" spans="6:6" x14ac:dyDescent="0.3">
      <c r="F94573" s="193"/>
    </row>
    <row r="94574" spans="6:6" x14ac:dyDescent="0.3">
      <c r="F94574" s="193"/>
    </row>
    <row r="94575" spans="6:6" x14ac:dyDescent="0.3">
      <c r="F94575" s="193"/>
    </row>
    <row r="94576" spans="6:6" x14ac:dyDescent="0.3">
      <c r="F94576" s="193"/>
    </row>
    <row r="94577" spans="6:6" x14ac:dyDescent="0.3">
      <c r="F94577" s="193"/>
    </row>
    <row r="94578" spans="6:6" x14ac:dyDescent="0.3">
      <c r="F94578" s="193"/>
    </row>
    <row r="94579" spans="6:6" x14ac:dyDescent="0.3">
      <c r="F94579" s="193"/>
    </row>
    <row r="94580" spans="6:6" x14ac:dyDescent="0.3">
      <c r="F94580" s="193"/>
    </row>
    <row r="94581" spans="6:6" x14ac:dyDescent="0.3">
      <c r="F94581" s="193"/>
    </row>
    <row r="94582" spans="6:6" x14ac:dyDescent="0.3">
      <c r="F94582" s="193"/>
    </row>
    <row r="94583" spans="6:6" x14ac:dyDescent="0.3">
      <c r="F94583" s="193"/>
    </row>
    <row r="94584" spans="6:6" x14ac:dyDescent="0.3">
      <c r="F94584" s="193"/>
    </row>
    <row r="94585" spans="6:6" x14ac:dyDescent="0.3">
      <c r="F94585" s="193"/>
    </row>
    <row r="94586" spans="6:6" x14ac:dyDescent="0.3">
      <c r="F94586" s="193"/>
    </row>
    <row r="94587" spans="6:6" x14ac:dyDescent="0.3">
      <c r="F94587" s="193"/>
    </row>
    <row r="94588" spans="6:6" x14ac:dyDescent="0.3">
      <c r="F94588" s="193"/>
    </row>
    <row r="94589" spans="6:6" x14ac:dyDescent="0.3">
      <c r="F94589" s="193"/>
    </row>
    <row r="94590" spans="6:6" x14ac:dyDescent="0.3">
      <c r="F94590" s="193"/>
    </row>
    <row r="94591" spans="6:6" x14ac:dyDescent="0.3">
      <c r="F94591" s="193"/>
    </row>
    <row r="94592" spans="6:6" x14ac:dyDescent="0.3">
      <c r="F94592" s="193"/>
    </row>
    <row r="94593" spans="6:6" x14ac:dyDescent="0.3">
      <c r="F94593" s="193"/>
    </row>
    <row r="94594" spans="6:6" x14ac:dyDescent="0.3">
      <c r="F94594" s="193"/>
    </row>
    <row r="94595" spans="6:6" x14ac:dyDescent="0.3">
      <c r="F94595" s="193"/>
    </row>
    <row r="94596" spans="6:6" x14ac:dyDescent="0.3">
      <c r="F94596" s="193"/>
    </row>
    <row r="94597" spans="6:6" x14ac:dyDescent="0.3">
      <c r="F94597" s="193"/>
    </row>
    <row r="94598" spans="6:6" x14ac:dyDescent="0.3">
      <c r="F94598" s="193"/>
    </row>
    <row r="94599" spans="6:6" x14ac:dyDescent="0.3">
      <c r="F94599" s="193"/>
    </row>
    <row r="94600" spans="6:6" x14ac:dyDescent="0.3">
      <c r="F94600" s="193"/>
    </row>
    <row r="94601" spans="6:6" x14ac:dyDescent="0.3">
      <c r="F94601" s="193"/>
    </row>
    <row r="94602" spans="6:6" x14ac:dyDescent="0.3">
      <c r="F94602" s="193"/>
    </row>
    <row r="94603" spans="6:6" x14ac:dyDescent="0.3">
      <c r="F94603" s="193"/>
    </row>
    <row r="94604" spans="6:6" x14ac:dyDescent="0.3">
      <c r="F94604" s="193"/>
    </row>
    <row r="94605" spans="6:6" x14ac:dyDescent="0.3">
      <c r="F94605" s="193"/>
    </row>
    <row r="94606" spans="6:6" x14ac:dyDescent="0.3">
      <c r="F94606" s="193"/>
    </row>
    <row r="94607" spans="6:6" x14ac:dyDescent="0.3">
      <c r="F94607" s="193"/>
    </row>
    <row r="94608" spans="6:6" x14ac:dyDescent="0.3">
      <c r="F94608" s="193"/>
    </row>
    <row r="94609" spans="6:6" x14ac:dyDescent="0.3">
      <c r="F94609" s="193"/>
    </row>
    <row r="94610" spans="6:6" x14ac:dyDescent="0.3">
      <c r="F94610" s="193"/>
    </row>
    <row r="94611" spans="6:6" x14ac:dyDescent="0.3">
      <c r="F94611" s="193"/>
    </row>
    <row r="94612" spans="6:6" x14ac:dyDescent="0.3">
      <c r="F94612" s="193"/>
    </row>
    <row r="94613" spans="6:6" x14ac:dyDescent="0.3">
      <c r="F94613" s="193"/>
    </row>
    <row r="94614" spans="6:6" x14ac:dyDescent="0.3">
      <c r="F94614" s="193"/>
    </row>
    <row r="94615" spans="6:6" x14ac:dyDescent="0.3">
      <c r="F94615" s="193"/>
    </row>
    <row r="94616" spans="6:6" x14ac:dyDescent="0.3">
      <c r="F94616" s="193"/>
    </row>
    <row r="94617" spans="6:6" x14ac:dyDescent="0.3">
      <c r="F94617" s="193"/>
    </row>
    <row r="94618" spans="6:6" x14ac:dyDescent="0.3">
      <c r="F94618" s="193"/>
    </row>
    <row r="94619" spans="6:6" x14ac:dyDescent="0.3">
      <c r="F94619" s="193"/>
    </row>
    <row r="94620" spans="6:6" x14ac:dyDescent="0.3">
      <c r="F94620" s="193"/>
    </row>
    <row r="94621" spans="6:6" x14ac:dyDescent="0.3">
      <c r="F94621" s="193"/>
    </row>
    <row r="94622" spans="6:6" x14ac:dyDescent="0.3">
      <c r="F94622" s="193"/>
    </row>
    <row r="94623" spans="6:6" x14ac:dyDescent="0.3">
      <c r="F94623" s="193"/>
    </row>
    <row r="94624" spans="6:6" x14ac:dyDescent="0.3">
      <c r="F94624" s="193"/>
    </row>
    <row r="94625" spans="6:6" x14ac:dyDescent="0.3">
      <c r="F94625" s="193"/>
    </row>
    <row r="94626" spans="6:6" x14ac:dyDescent="0.3">
      <c r="F94626" s="193"/>
    </row>
    <row r="94627" spans="6:6" x14ac:dyDescent="0.3">
      <c r="F94627" s="193"/>
    </row>
    <row r="94628" spans="6:6" x14ac:dyDescent="0.3">
      <c r="F94628" s="193"/>
    </row>
    <row r="94629" spans="6:6" x14ac:dyDescent="0.3">
      <c r="F94629" s="193"/>
    </row>
    <row r="94630" spans="6:6" x14ac:dyDescent="0.3">
      <c r="F94630" s="193"/>
    </row>
    <row r="94631" spans="6:6" x14ac:dyDescent="0.3">
      <c r="F94631" s="193"/>
    </row>
    <row r="94632" spans="6:6" x14ac:dyDescent="0.3">
      <c r="F94632" s="193"/>
    </row>
    <row r="94633" spans="6:6" x14ac:dyDescent="0.3">
      <c r="F94633" s="193"/>
    </row>
    <row r="94634" spans="6:6" x14ac:dyDescent="0.3">
      <c r="F94634" s="193"/>
    </row>
    <row r="94635" spans="6:6" x14ac:dyDescent="0.3">
      <c r="F94635" s="193"/>
    </row>
    <row r="94636" spans="6:6" x14ac:dyDescent="0.3">
      <c r="F94636" s="193"/>
    </row>
    <row r="94637" spans="6:6" x14ac:dyDescent="0.3">
      <c r="F94637" s="193"/>
    </row>
    <row r="94638" spans="6:6" x14ac:dyDescent="0.3">
      <c r="F94638" s="193"/>
    </row>
    <row r="94639" spans="6:6" x14ac:dyDescent="0.3">
      <c r="F94639" s="193"/>
    </row>
    <row r="94640" spans="6:6" x14ac:dyDescent="0.3">
      <c r="F94640" s="193"/>
    </row>
    <row r="94641" spans="6:6" x14ac:dyDescent="0.3">
      <c r="F94641" s="193"/>
    </row>
    <row r="94642" spans="6:6" x14ac:dyDescent="0.3">
      <c r="F94642" s="193"/>
    </row>
    <row r="94643" spans="6:6" x14ac:dyDescent="0.3">
      <c r="F94643" s="193"/>
    </row>
    <row r="94644" spans="6:6" x14ac:dyDescent="0.3">
      <c r="F94644" s="193"/>
    </row>
    <row r="94645" spans="6:6" x14ac:dyDescent="0.3">
      <c r="F94645" s="193"/>
    </row>
    <row r="94646" spans="6:6" x14ac:dyDescent="0.3">
      <c r="F94646" s="193"/>
    </row>
    <row r="94647" spans="6:6" x14ac:dyDescent="0.3">
      <c r="F94647" s="193"/>
    </row>
    <row r="94648" spans="6:6" x14ac:dyDescent="0.3">
      <c r="F94648" s="193"/>
    </row>
    <row r="94649" spans="6:6" x14ac:dyDescent="0.3">
      <c r="F94649" s="193"/>
    </row>
    <row r="94650" spans="6:6" x14ac:dyDescent="0.3">
      <c r="F94650" s="193"/>
    </row>
    <row r="94651" spans="6:6" x14ac:dyDescent="0.3">
      <c r="F94651" s="193"/>
    </row>
    <row r="94652" spans="6:6" x14ac:dyDescent="0.3">
      <c r="F94652" s="193"/>
    </row>
    <row r="94653" spans="6:6" x14ac:dyDescent="0.3">
      <c r="F94653" s="193"/>
    </row>
    <row r="94654" spans="6:6" x14ac:dyDescent="0.3">
      <c r="F94654" s="193"/>
    </row>
    <row r="94655" spans="6:6" x14ac:dyDescent="0.3">
      <c r="F94655" s="193"/>
    </row>
    <row r="94656" spans="6:6" x14ac:dyDescent="0.3">
      <c r="F94656" s="193"/>
    </row>
    <row r="94657" spans="6:6" x14ac:dyDescent="0.3">
      <c r="F94657" s="193"/>
    </row>
    <row r="94658" spans="6:6" x14ac:dyDescent="0.3">
      <c r="F94658" s="193"/>
    </row>
    <row r="94659" spans="6:6" x14ac:dyDescent="0.3">
      <c r="F94659" s="193"/>
    </row>
    <row r="94660" spans="6:6" x14ac:dyDescent="0.3">
      <c r="F94660" s="193"/>
    </row>
    <row r="94661" spans="6:6" x14ac:dyDescent="0.3">
      <c r="F94661" s="193"/>
    </row>
    <row r="94662" spans="6:6" x14ac:dyDescent="0.3">
      <c r="F94662" s="193"/>
    </row>
    <row r="94663" spans="6:6" x14ac:dyDescent="0.3">
      <c r="F94663" s="193"/>
    </row>
    <row r="94664" spans="6:6" x14ac:dyDescent="0.3">
      <c r="F94664" s="193"/>
    </row>
    <row r="94665" spans="6:6" x14ac:dyDescent="0.3">
      <c r="F94665" s="193"/>
    </row>
    <row r="94666" spans="6:6" x14ac:dyDescent="0.3">
      <c r="F94666" s="193"/>
    </row>
    <row r="94667" spans="6:6" x14ac:dyDescent="0.3">
      <c r="F94667" s="193"/>
    </row>
    <row r="94668" spans="6:6" x14ac:dyDescent="0.3">
      <c r="F94668" s="193"/>
    </row>
    <row r="94669" spans="6:6" x14ac:dyDescent="0.3">
      <c r="F94669" s="193"/>
    </row>
    <row r="94670" spans="6:6" x14ac:dyDescent="0.3">
      <c r="F94670" s="193"/>
    </row>
    <row r="94671" spans="6:6" x14ac:dyDescent="0.3">
      <c r="F94671" s="193"/>
    </row>
    <row r="94672" spans="6:6" x14ac:dyDescent="0.3">
      <c r="F94672" s="193"/>
    </row>
    <row r="94673" spans="6:6" x14ac:dyDescent="0.3">
      <c r="F94673" s="193"/>
    </row>
    <row r="94674" spans="6:6" x14ac:dyDescent="0.3">
      <c r="F94674" s="193"/>
    </row>
    <row r="94675" spans="6:6" x14ac:dyDescent="0.3">
      <c r="F94675" s="193"/>
    </row>
    <row r="94676" spans="6:6" x14ac:dyDescent="0.3">
      <c r="F94676" s="193"/>
    </row>
    <row r="94677" spans="6:6" x14ac:dyDescent="0.3">
      <c r="F94677" s="193"/>
    </row>
    <row r="94678" spans="6:6" x14ac:dyDescent="0.3">
      <c r="F94678" s="193"/>
    </row>
    <row r="94679" spans="6:6" x14ac:dyDescent="0.3">
      <c r="F94679" s="193"/>
    </row>
    <row r="94680" spans="6:6" x14ac:dyDescent="0.3">
      <c r="F94680" s="193"/>
    </row>
    <row r="94681" spans="6:6" x14ac:dyDescent="0.3">
      <c r="F94681" s="193"/>
    </row>
    <row r="94682" spans="6:6" x14ac:dyDescent="0.3">
      <c r="F94682" s="193"/>
    </row>
    <row r="94683" spans="6:6" x14ac:dyDescent="0.3">
      <c r="F94683" s="193"/>
    </row>
    <row r="94684" spans="6:6" x14ac:dyDescent="0.3">
      <c r="F94684" s="193"/>
    </row>
    <row r="94685" spans="6:6" x14ac:dyDescent="0.3">
      <c r="F94685" s="193"/>
    </row>
    <row r="94686" spans="6:6" x14ac:dyDescent="0.3">
      <c r="F94686" s="193"/>
    </row>
    <row r="94687" spans="6:6" x14ac:dyDescent="0.3">
      <c r="F94687" s="193"/>
    </row>
    <row r="94688" spans="6:6" x14ac:dyDescent="0.3">
      <c r="F94688" s="193"/>
    </row>
    <row r="94689" spans="6:6" x14ac:dyDescent="0.3">
      <c r="F94689" s="193"/>
    </row>
    <row r="94690" spans="6:6" x14ac:dyDescent="0.3">
      <c r="F94690" s="193"/>
    </row>
    <row r="94691" spans="6:6" x14ac:dyDescent="0.3">
      <c r="F94691" s="193"/>
    </row>
    <row r="94692" spans="6:6" x14ac:dyDescent="0.3">
      <c r="F94692" s="193"/>
    </row>
    <row r="94693" spans="6:6" x14ac:dyDescent="0.3">
      <c r="F94693" s="193"/>
    </row>
    <row r="94694" spans="6:6" x14ac:dyDescent="0.3">
      <c r="F94694" s="193"/>
    </row>
    <row r="94695" spans="6:6" x14ac:dyDescent="0.3">
      <c r="F94695" s="193"/>
    </row>
    <row r="94696" spans="6:6" x14ac:dyDescent="0.3">
      <c r="F94696" s="193"/>
    </row>
    <row r="94697" spans="6:6" x14ac:dyDescent="0.3">
      <c r="F94697" s="193"/>
    </row>
    <row r="94698" spans="6:6" x14ac:dyDescent="0.3">
      <c r="F94698" s="193"/>
    </row>
    <row r="94699" spans="6:6" x14ac:dyDescent="0.3">
      <c r="F94699" s="193"/>
    </row>
    <row r="94700" spans="6:6" x14ac:dyDescent="0.3">
      <c r="F94700" s="193"/>
    </row>
    <row r="94701" spans="6:6" x14ac:dyDescent="0.3">
      <c r="F94701" s="193"/>
    </row>
    <row r="94702" spans="6:6" x14ac:dyDescent="0.3">
      <c r="F94702" s="193"/>
    </row>
    <row r="94703" spans="6:6" x14ac:dyDescent="0.3">
      <c r="F94703" s="193"/>
    </row>
    <row r="94704" spans="6:6" x14ac:dyDescent="0.3">
      <c r="F94704" s="193"/>
    </row>
    <row r="94705" spans="6:6" x14ac:dyDescent="0.3">
      <c r="F94705" s="193"/>
    </row>
    <row r="94706" spans="6:6" x14ac:dyDescent="0.3">
      <c r="F94706" s="193"/>
    </row>
    <row r="94707" spans="6:6" x14ac:dyDescent="0.3">
      <c r="F94707" s="193"/>
    </row>
    <row r="94708" spans="6:6" x14ac:dyDescent="0.3">
      <c r="F94708" s="193"/>
    </row>
    <row r="94709" spans="6:6" x14ac:dyDescent="0.3">
      <c r="F94709" s="193"/>
    </row>
    <row r="94710" spans="6:6" x14ac:dyDescent="0.3">
      <c r="F94710" s="193"/>
    </row>
    <row r="94711" spans="6:6" x14ac:dyDescent="0.3">
      <c r="F94711" s="193"/>
    </row>
    <row r="94712" spans="6:6" x14ac:dyDescent="0.3">
      <c r="F94712" s="193"/>
    </row>
    <row r="94713" spans="6:6" x14ac:dyDescent="0.3">
      <c r="F94713" s="193"/>
    </row>
    <row r="94714" spans="6:6" x14ac:dyDescent="0.3">
      <c r="F94714" s="193"/>
    </row>
    <row r="94715" spans="6:6" x14ac:dyDescent="0.3">
      <c r="F94715" s="193"/>
    </row>
    <row r="94716" spans="6:6" x14ac:dyDescent="0.3">
      <c r="F94716" s="193"/>
    </row>
    <row r="94717" spans="6:6" x14ac:dyDescent="0.3">
      <c r="F94717" s="193"/>
    </row>
    <row r="94718" spans="6:6" x14ac:dyDescent="0.3">
      <c r="F94718" s="193"/>
    </row>
    <row r="94719" spans="6:6" x14ac:dyDescent="0.3">
      <c r="F94719" s="193"/>
    </row>
    <row r="94720" spans="6:6" x14ac:dyDescent="0.3">
      <c r="F94720" s="193"/>
    </row>
    <row r="94721" spans="6:6" x14ac:dyDescent="0.3">
      <c r="F94721" s="193"/>
    </row>
    <row r="94722" spans="6:6" x14ac:dyDescent="0.3">
      <c r="F94722" s="193"/>
    </row>
    <row r="94723" spans="6:6" x14ac:dyDescent="0.3">
      <c r="F94723" s="193"/>
    </row>
    <row r="94724" spans="6:6" x14ac:dyDescent="0.3">
      <c r="F94724" s="193"/>
    </row>
    <row r="94725" spans="6:6" x14ac:dyDescent="0.3">
      <c r="F94725" s="193"/>
    </row>
    <row r="94726" spans="6:6" x14ac:dyDescent="0.3">
      <c r="F94726" s="193"/>
    </row>
    <row r="94727" spans="6:6" x14ac:dyDescent="0.3">
      <c r="F94727" s="193"/>
    </row>
    <row r="94728" spans="6:6" x14ac:dyDescent="0.3">
      <c r="F94728" s="193"/>
    </row>
    <row r="94729" spans="6:6" x14ac:dyDescent="0.3">
      <c r="F94729" s="193"/>
    </row>
    <row r="94730" spans="6:6" x14ac:dyDescent="0.3">
      <c r="F94730" s="193"/>
    </row>
    <row r="94731" spans="6:6" x14ac:dyDescent="0.3">
      <c r="F94731" s="193"/>
    </row>
    <row r="94732" spans="6:6" x14ac:dyDescent="0.3">
      <c r="F94732" s="193"/>
    </row>
    <row r="94733" spans="6:6" x14ac:dyDescent="0.3">
      <c r="F94733" s="193"/>
    </row>
    <row r="94734" spans="6:6" x14ac:dyDescent="0.3">
      <c r="F94734" s="193"/>
    </row>
    <row r="94735" spans="6:6" x14ac:dyDescent="0.3">
      <c r="F94735" s="193"/>
    </row>
    <row r="94736" spans="6:6" x14ac:dyDescent="0.3">
      <c r="F94736" s="193"/>
    </row>
    <row r="94737" spans="6:6" x14ac:dyDescent="0.3">
      <c r="F94737" s="193"/>
    </row>
    <row r="94738" spans="6:6" x14ac:dyDescent="0.3">
      <c r="F94738" s="193"/>
    </row>
    <row r="94739" spans="6:6" x14ac:dyDescent="0.3">
      <c r="F94739" s="193"/>
    </row>
    <row r="94740" spans="6:6" x14ac:dyDescent="0.3">
      <c r="F94740" s="193"/>
    </row>
    <row r="94741" spans="6:6" x14ac:dyDescent="0.3">
      <c r="F94741" s="193"/>
    </row>
    <row r="94742" spans="6:6" x14ac:dyDescent="0.3">
      <c r="F94742" s="193"/>
    </row>
    <row r="94743" spans="6:6" x14ac:dyDescent="0.3">
      <c r="F94743" s="193"/>
    </row>
    <row r="94744" spans="6:6" x14ac:dyDescent="0.3">
      <c r="F94744" s="193"/>
    </row>
    <row r="94745" spans="6:6" x14ac:dyDescent="0.3">
      <c r="F94745" s="193"/>
    </row>
    <row r="94746" spans="6:6" x14ac:dyDescent="0.3">
      <c r="F94746" s="193"/>
    </row>
    <row r="94747" spans="6:6" x14ac:dyDescent="0.3">
      <c r="F94747" s="193"/>
    </row>
    <row r="94748" spans="6:6" x14ac:dyDescent="0.3">
      <c r="F94748" s="193"/>
    </row>
    <row r="94749" spans="6:6" x14ac:dyDescent="0.3">
      <c r="F94749" s="193"/>
    </row>
    <row r="94750" spans="6:6" x14ac:dyDescent="0.3">
      <c r="F94750" s="193"/>
    </row>
    <row r="94751" spans="6:6" x14ac:dyDescent="0.3">
      <c r="F94751" s="193"/>
    </row>
    <row r="94752" spans="6:6" x14ac:dyDescent="0.3">
      <c r="F94752" s="193"/>
    </row>
    <row r="94753" spans="6:6" x14ac:dyDescent="0.3">
      <c r="F94753" s="193"/>
    </row>
    <row r="94754" spans="6:6" x14ac:dyDescent="0.3">
      <c r="F94754" s="193"/>
    </row>
    <row r="94755" spans="6:6" x14ac:dyDescent="0.3">
      <c r="F94755" s="193"/>
    </row>
    <row r="94756" spans="6:6" x14ac:dyDescent="0.3">
      <c r="F94756" s="193"/>
    </row>
    <row r="94757" spans="6:6" x14ac:dyDescent="0.3">
      <c r="F94757" s="193"/>
    </row>
    <row r="94758" spans="6:6" x14ac:dyDescent="0.3">
      <c r="F94758" s="193"/>
    </row>
    <row r="94759" spans="6:6" x14ac:dyDescent="0.3">
      <c r="F94759" s="193"/>
    </row>
    <row r="94760" spans="6:6" x14ac:dyDescent="0.3">
      <c r="F94760" s="193"/>
    </row>
    <row r="94761" spans="6:6" x14ac:dyDescent="0.3">
      <c r="F94761" s="193"/>
    </row>
    <row r="94762" spans="6:6" x14ac:dyDescent="0.3">
      <c r="F94762" s="193"/>
    </row>
    <row r="94763" spans="6:6" x14ac:dyDescent="0.3">
      <c r="F94763" s="193"/>
    </row>
    <row r="94764" spans="6:6" x14ac:dyDescent="0.3">
      <c r="F94764" s="193"/>
    </row>
    <row r="94765" spans="6:6" x14ac:dyDescent="0.3">
      <c r="F94765" s="193"/>
    </row>
    <row r="94766" spans="6:6" x14ac:dyDescent="0.3">
      <c r="F94766" s="193"/>
    </row>
    <row r="94767" spans="6:6" x14ac:dyDescent="0.3">
      <c r="F94767" s="193"/>
    </row>
    <row r="94768" spans="6:6" x14ac:dyDescent="0.3">
      <c r="F94768" s="193"/>
    </row>
    <row r="94769" spans="6:6" x14ac:dyDescent="0.3">
      <c r="F94769" s="193"/>
    </row>
    <row r="94770" spans="6:6" x14ac:dyDescent="0.3">
      <c r="F94770" s="193"/>
    </row>
    <row r="94771" spans="6:6" x14ac:dyDescent="0.3">
      <c r="F94771" s="193"/>
    </row>
    <row r="94772" spans="6:6" x14ac:dyDescent="0.3">
      <c r="F94772" s="193"/>
    </row>
    <row r="94773" spans="6:6" x14ac:dyDescent="0.3">
      <c r="F94773" s="193"/>
    </row>
    <row r="94774" spans="6:6" x14ac:dyDescent="0.3">
      <c r="F94774" s="193"/>
    </row>
    <row r="94775" spans="6:6" x14ac:dyDescent="0.3">
      <c r="F94775" s="193"/>
    </row>
    <row r="94776" spans="6:6" x14ac:dyDescent="0.3">
      <c r="F94776" s="193"/>
    </row>
    <row r="94777" spans="6:6" x14ac:dyDescent="0.3">
      <c r="F94777" s="193"/>
    </row>
    <row r="94778" spans="6:6" x14ac:dyDescent="0.3">
      <c r="F94778" s="193"/>
    </row>
    <row r="94779" spans="6:6" x14ac:dyDescent="0.3">
      <c r="F94779" s="193"/>
    </row>
    <row r="94780" spans="6:6" x14ac:dyDescent="0.3">
      <c r="F94780" s="193"/>
    </row>
    <row r="94781" spans="6:6" x14ac:dyDescent="0.3">
      <c r="F94781" s="193"/>
    </row>
    <row r="94782" spans="6:6" x14ac:dyDescent="0.3">
      <c r="F94782" s="193"/>
    </row>
    <row r="94783" spans="6:6" x14ac:dyDescent="0.3">
      <c r="F94783" s="193"/>
    </row>
    <row r="94784" spans="6:6" x14ac:dyDescent="0.3">
      <c r="F94784" s="193"/>
    </row>
    <row r="94785" spans="6:6" x14ac:dyDescent="0.3">
      <c r="F94785" s="193"/>
    </row>
    <row r="94786" spans="6:6" x14ac:dyDescent="0.3">
      <c r="F94786" s="193"/>
    </row>
    <row r="94787" spans="6:6" x14ac:dyDescent="0.3">
      <c r="F94787" s="193"/>
    </row>
    <row r="94788" spans="6:6" x14ac:dyDescent="0.3">
      <c r="F94788" s="193"/>
    </row>
    <row r="94789" spans="6:6" x14ac:dyDescent="0.3">
      <c r="F94789" s="193"/>
    </row>
    <row r="94790" spans="6:6" x14ac:dyDescent="0.3">
      <c r="F94790" s="193"/>
    </row>
    <row r="94791" spans="6:6" x14ac:dyDescent="0.3">
      <c r="F94791" s="193"/>
    </row>
    <row r="94792" spans="6:6" x14ac:dyDescent="0.3">
      <c r="F94792" s="193"/>
    </row>
    <row r="94793" spans="6:6" x14ac:dyDescent="0.3">
      <c r="F94793" s="193"/>
    </row>
    <row r="94794" spans="6:6" x14ac:dyDescent="0.3">
      <c r="F94794" s="193"/>
    </row>
    <row r="94795" spans="6:6" x14ac:dyDescent="0.3">
      <c r="F94795" s="193"/>
    </row>
    <row r="94796" spans="6:6" x14ac:dyDescent="0.3">
      <c r="F94796" s="193"/>
    </row>
    <row r="94797" spans="6:6" x14ac:dyDescent="0.3">
      <c r="F94797" s="193"/>
    </row>
    <row r="94798" spans="6:6" x14ac:dyDescent="0.3">
      <c r="F94798" s="193"/>
    </row>
    <row r="94799" spans="6:6" x14ac:dyDescent="0.3">
      <c r="F94799" s="193"/>
    </row>
    <row r="94800" spans="6:6" x14ac:dyDescent="0.3">
      <c r="F94800" s="193"/>
    </row>
    <row r="94801" spans="6:6" x14ac:dyDescent="0.3">
      <c r="F94801" s="193"/>
    </row>
    <row r="94802" spans="6:6" x14ac:dyDescent="0.3">
      <c r="F94802" s="193"/>
    </row>
    <row r="94803" spans="6:6" x14ac:dyDescent="0.3">
      <c r="F94803" s="193"/>
    </row>
    <row r="94804" spans="6:6" x14ac:dyDescent="0.3">
      <c r="F94804" s="193"/>
    </row>
    <row r="94805" spans="6:6" x14ac:dyDescent="0.3">
      <c r="F94805" s="193"/>
    </row>
    <row r="94806" spans="6:6" x14ac:dyDescent="0.3">
      <c r="F94806" s="193"/>
    </row>
    <row r="94807" spans="6:6" x14ac:dyDescent="0.3">
      <c r="F94807" s="193"/>
    </row>
    <row r="94808" spans="6:6" x14ac:dyDescent="0.3">
      <c r="F94808" s="193"/>
    </row>
    <row r="94809" spans="6:6" x14ac:dyDescent="0.3">
      <c r="F94809" s="193"/>
    </row>
    <row r="94810" spans="6:6" x14ac:dyDescent="0.3">
      <c r="F94810" s="193"/>
    </row>
    <row r="94811" spans="6:6" x14ac:dyDescent="0.3">
      <c r="F94811" s="193"/>
    </row>
    <row r="94812" spans="6:6" x14ac:dyDescent="0.3">
      <c r="F94812" s="193"/>
    </row>
    <row r="94813" spans="6:6" x14ac:dyDescent="0.3">
      <c r="F94813" s="193"/>
    </row>
    <row r="94814" spans="6:6" x14ac:dyDescent="0.3">
      <c r="F94814" s="193"/>
    </row>
    <row r="94815" spans="6:6" x14ac:dyDescent="0.3">
      <c r="F94815" s="193"/>
    </row>
    <row r="94816" spans="6:6" x14ac:dyDescent="0.3">
      <c r="F94816" s="193"/>
    </row>
    <row r="94817" spans="6:6" x14ac:dyDescent="0.3">
      <c r="F94817" s="193"/>
    </row>
    <row r="94818" spans="6:6" x14ac:dyDescent="0.3">
      <c r="F94818" s="193"/>
    </row>
    <row r="94819" spans="6:6" x14ac:dyDescent="0.3">
      <c r="F94819" s="193"/>
    </row>
    <row r="94820" spans="6:6" x14ac:dyDescent="0.3">
      <c r="F94820" s="193"/>
    </row>
    <row r="94821" spans="6:6" x14ac:dyDescent="0.3">
      <c r="F94821" s="193"/>
    </row>
    <row r="94822" spans="6:6" x14ac:dyDescent="0.3">
      <c r="F94822" s="193"/>
    </row>
    <row r="94823" spans="6:6" x14ac:dyDescent="0.3">
      <c r="F94823" s="193"/>
    </row>
    <row r="94824" spans="6:6" x14ac:dyDescent="0.3">
      <c r="F94824" s="193"/>
    </row>
    <row r="94825" spans="6:6" x14ac:dyDescent="0.3">
      <c r="F94825" s="193"/>
    </row>
    <row r="94826" spans="6:6" x14ac:dyDescent="0.3">
      <c r="F94826" s="193"/>
    </row>
    <row r="94827" spans="6:6" x14ac:dyDescent="0.3">
      <c r="F94827" s="193"/>
    </row>
    <row r="94828" spans="6:6" x14ac:dyDescent="0.3">
      <c r="F94828" s="193"/>
    </row>
    <row r="94829" spans="6:6" x14ac:dyDescent="0.3">
      <c r="F94829" s="193"/>
    </row>
    <row r="94830" spans="6:6" x14ac:dyDescent="0.3">
      <c r="F94830" s="193"/>
    </row>
    <row r="94831" spans="6:6" x14ac:dyDescent="0.3">
      <c r="F94831" s="193"/>
    </row>
    <row r="94832" spans="6:6" x14ac:dyDescent="0.3">
      <c r="F94832" s="193"/>
    </row>
    <row r="94833" spans="6:6" x14ac:dyDescent="0.3">
      <c r="F94833" s="193"/>
    </row>
    <row r="94834" spans="6:6" x14ac:dyDescent="0.3">
      <c r="F94834" s="193"/>
    </row>
    <row r="94835" spans="6:6" x14ac:dyDescent="0.3">
      <c r="F94835" s="193"/>
    </row>
    <row r="94836" spans="6:6" x14ac:dyDescent="0.3">
      <c r="F94836" s="193"/>
    </row>
    <row r="94837" spans="6:6" x14ac:dyDescent="0.3">
      <c r="F94837" s="193"/>
    </row>
    <row r="94838" spans="6:6" x14ac:dyDescent="0.3">
      <c r="F94838" s="193"/>
    </row>
    <row r="94839" spans="6:6" x14ac:dyDescent="0.3">
      <c r="F94839" s="193"/>
    </row>
    <row r="94840" spans="6:6" x14ac:dyDescent="0.3">
      <c r="F94840" s="193"/>
    </row>
    <row r="94841" spans="6:6" x14ac:dyDescent="0.3">
      <c r="F94841" s="193"/>
    </row>
    <row r="94842" spans="6:6" x14ac:dyDescent="0.3">
      <c r="F94842" s="193"/>
    </row>
    <row r="94843" spans="6:6" x14ac:dyDescent="0.3">
      <c r="F94843" s="193"/>
    </row>
    <row r="94844" spans="6:6" x14ac:dyDescent="0.3">
      <c r="F94844" s="193"/>
    </row>
    <row r="94845" spans="6:6" x14ac:dyDescent="0.3">
      <c r="F94845" s="193"/>
    </row>
    <row r="94846" spans="6:6" x14ac:dyDescent="0.3">
      <c r="F94846" s="193"/>
    </row>
    <row r="94847" spans="6:6" x14ac:dyDescent="0.3">
      <c r="F94847" s="193"/>
    </row>
    <row r="94848" spans="6:6" x14ac:dyDescent="0.3">
      <c r="F94848" s="193"/>
    </row>
    <row r="94849" spans="6:6" x14ac:dyDescent="0.3">
      <c r="F94849" s="193"/>
    </row>
    <row r="94850" spans="6:6" x14ac:dyDescent="0.3">
      <c r="F94850" s="193"/>
    </row>
    <row r="94851" spans="6:6" x14ac:dyDescent="0.3">
      <c r="F94851" s="193"/>
    </row>
    <row r="94852" spans="6:6" x14ac:dyDescent="0.3">
      <c r="F94852" s="193"/>
    </row>
    <row r="94853" spans="6:6" x14ac:dyDescent="0.3">
      <c r="F94853" s="193"/>
    </row>
    <row r="94854" spans="6:6" x14ac:dyDescent="0.3">
      <c r="F94854" s="193"/>
    </row>
    <row r="94855" spans="6:6" x14ac:dyDescent="0.3">
      <c r="F94855" s="193"/>
    </row>
    <row r="94856" spans="6:6" x14ac:dyDescent="0.3">
      <c r="F94856" s="193"/>
    </row>
    <row r="94857" spans="6:6" x14ac:dyDescent="0.3">
      <c r="F94857" s="193"/>
    </row>
    <row r="94858" spans="6:6" x14ac:dyDescent="0.3">
      <c r="F94858" s="193"/>
    </row>
    <row r="94859" spans="6:6" x14ac:dyDescent="0.3">
      <c r="F94859" s="193"/>
    </row>
    <row r="94860" spans="6:6" x14ac:dyDescent="0.3">
      <c r="F94860" s="193"/>
    </row>
    <row r="94861" spans="6:6" x14ac:dyDescent="0.3">
      <c r="F94861" s="193"/>
    </row>
    <row r="94862" spans="6:6" x14ac:dyDescent="0.3">
      <c r="F94862" s="193"/>
    </row>
    <row r="94863" spans="6:6" x14ac:dyDescent="0.3">
      <c r="F94863" s="193"/>
    </row>
    <row r="94864" spans="6:6" x14ac:dyDescent="0.3">
      <c r="F94864" s="193"/>
    </row>
    <row r="94865" spans="6:6" x14ac:dyDescent="0.3">
      <c r="F94865" s="193"/>
    </row>
    <row r="94866" spans="6:6" x14ac:dyDescent="0.3">
      <c r="F94866" s="193"/>
    </row>
    <row r="94867" spans="6:6" x14ac:dyDescent="0.3">
      <c r="F94867" s="193"/>
    </row>
    <row r="94868" spans="6:6" x14ac:dyDescent="0.3">
      <c r="F94868" s="193"/>
    </row>
    <row r="94869" spans="6:6" x14ac:dyDescent="0.3">
      <c r="F94869" s="193"/>
    </row>
    <row r="94870" spans="6:6" x14ac:dyDescent="0.3">
      <c r="F94870" s="193"/>
    </row>
    <row r="94871" spans="6:6" x14ac:dyDescent="0.3">
      <c r="F94871" s="193"/>
    </row>
    <row r="94872" spans="6:6" x14ac:dyDescent="0.3">
      <c r="F94872" s="193"/>
    </row>
    <row r="94873" spans="6:6" x14ac:dyDescent="0.3">
      <c r="F94873" s="193"/>
    </row>
    <row r="94874" spans="6:6" x14ac:dyDescent="0.3">
      <c r="F94874" s="193"/>
    </row>
    <row r="94875" spans="6:6" x14ac:dyDescent="0.3">
      <c r="F94875" s="193"/>
    </row>
    <row r="94876" spans="6:6" x14ac:dyDescent="0.3">
      <c r="F94876" s="193"/>
    </row>
    <row r="94877" spans="6:6" x14ac:dyDescent="0.3">
      <c r="F94877" s="193"/>
    </row>
    <row r="94878" spans="6:6" x14ac:dyDescent="0.3">
      <c r="F94878" s="193"/>
    </row>
    <row r="94879" spans="6:6" x14ac:dyDescent="0.3">
      <c r="F94879" s="193"/>
    </row>
    <row r="94880" spans="6:6" x14ac:dyDescent="0.3">
      <c r="F94880" s="193"/>
    </row>
    <row r="94881" spans="6:6" x14ac:dyDescent="0.3">
      <c r="F94881" s="193"/>
    </row>
    <row r="94882" spans="6:6" x14ac:dyDescent="0.3">
      <c r="F94882" s="193"/>
    </row>
    <row r="94883" spans="6:6" x14ac:dyDescent="0.3">
      <c r="F94883" s="193"/>
    </row>
    <row r="94884" spans="6:6" x14ac:dyDescent="0.3">
      <c r="F94884" s="193"/>
    </row>
    <row r="94885" spans="6:6" x14ac:dyDescent="0.3">
      <c r="F94885" s="193"/>
    </row>
    <row r="94886" spans="6:6" x14ac:dyDescent="0.3">
      <c r="F94886" s="193"/>
    </row>
    <row r="94887" spans="6:6" x14ac:dyDescent="0.3">
      <c r="F94887" s="193"/>
    </row>
    <row r="94888" spans="6:6" x14ac:dyDescent="0.3">
      <c r="F94888" s="193"/>
    </row>
    <row r="94889" spans="6:6" x14ac:dyDescent="0.3">
      <c r="F94889" s="193"/>
    </row>
    <row r="94890" spans="6:6" x14ac:dyDescent="0.3">
      <c r="F94890" s="193"/>
    </row>
    <row r="94891" spans="6:6" x14ac:dyDescent="0.3">
      <c r="F94891" s="193"/>
    </row>
    <row r="94892" spans="6:6" x14ac:dyDescent="0.3">
      <c r="F94892" s="193"/>
    </row>
    <row r="94893" spans="6:6" x14ac:dyDescent="0.3">
      <c r="F94893" s="193"/>
    </row>
    <row r="94894" spans="6:6" x14ac:dyDescent="0.3">
      <c r="F94894" s="193"/>
    </row>
    <row r="94895" spans="6:6" x14ac:dyDescent="0.3">
      <c r="F94895" s="193"/>
    </row>
    <row r="94896" spans="6:6" x14ac:dyDescent="0.3">
      <c r="F94896" s="193"/>
    </row>
    <row r="94897" spans="6:6" x14ac:dyDescent="0.3">
      <c r="F94897" s="193"/>
    </row>
    <row r="94898" spans="6:6" x14ac:dyDescent="0.3">
      <c r="F94898" s="193"/>
    </row>
    <row r="94899" spans="6:6" x14ac:dyDescent="0.3">
      <c r="F94899" s="193"/>
    </row>
    <row r="94900" spans="6:6" x14ac:dyDescent="0.3">
      <c r="F94900" s="193"/>
    </row>
    <row r="94901" spans="6:6" x14ac:dyDescent="0.3">
      <c r="F94901" s="193"/>
    </row>
    <row r="94902" spans="6:6" x14ac:dyDescent="0.3">
      <c r="F94902" s="193"/>
    </row>
    <row r="94903" spans="6:6" x14ac:dyDescent="0.3">
      <c r="F94903" s="193"/>
    </row>
    <row r="94904" spans="6:6" x14ac:dyDescent="0.3">
      <c r="F94904" s="193"/>
    </row>
    <row r="94905" spans="6:6" x14ac:dyDescent="0.3">
      <c r="F94905" s="193"/>
    </row>
    <row r="94906" spans="6:6" x14ac:dyDescent="0.3">
      <c r="F94906" s="193"/>
    </row>
    <row r="94907" spans="6:6" x14ac:dyDescent="0.3">
      <c r="F94907" s="193"/>
    </row>
    <row r="94908" spans="6:6" x14ac:dyDescent="0.3">
      <c r="F94908" s="193"/>
    </row>
    <row r="94909" spans="6:6" x14ac:dyDescent="0.3">
      <c r="F94909" s="193"/>
    </row>
    <row r="94910" spans="6:6" x14ac:dyDescent="0.3">
      <c r="F94910" s="193"/>
    </row>
    <row r="94911" spans="6:6" x14ac:dyDescent="0.3">
      <c r="F94911" s="193"/>
    </row>
    <row r="94912" spans="6:6" x14ac:dyDescent="0.3">
      <c r="F94912" s="193"/>
    </row>
    <row r="94913" spans="6:6" x14ac:dyDescent="0.3">
      <c r="F94913" s="193"/>
    </row>
    <row r="94914" spans="6:6" x14ac:dyDescent="0.3">
      <c r="F94914" s="193"/>
    </row>
    <row r="94915" spans="6:6" x14ac:dyDescent="0.3">
      <c r="F94915" s="193"/>
    </row>
    <row r="94916" spans="6:6" x14ac:dyDescent="0.3">
      <c r="F94916" s="193"/>
    </row>
    <row r="94917" spans="6:6" x14ac:dyDescent="0.3">
      <c r="F94917" s="193"/>
    </row>
    <row r="94918" spans="6:6" x14ac:dyDescent="0.3">
      <c r="F94918" s="193"/>
    </row>
    <row r="94919" spans="6:6" x14ac:dyDescent="0.3">
      <c r="F94919" s="193"/>
    </row>
    <row r="94920" spans="6:6" x14ac:dyDescent="0.3">
      <c r="F94920" s="193"/>
    </row>
    <row r="94921" spans="6:6" x14ac:dyDescent="0.3">
      <c r="F94921" s="193"/>
    </row>
    <row r="94922" spans="6:6" x14ac:dyDescent="0.3">
      <c r="F94922" s="193"/>
    </row>
    <row r="94923" spans="6:6" x14ac:dyDescent="0.3">
      <c r="F94923" s="193"/>
    </row>
    <row r="94924" spans="6:6" x14ac:dyDescent="0.3">
      <c r="F94924" s="193"/>
    </row>
    <row r="94925" spans="6:6" x14ac:dyDescent="0.3">
      <c r="F94925" s="193"/>
    </row>
    <row r="94926" spans="6:6" x14ac:dyDescent="0.3">
      <c r="F94926" s="193"/>
    </row>
    <row r="94927" spans="6:6" x14ac:dyDescent="0.3">
      <c r="F94927" s="193"/>
    </row>
    <row r="94928" spans="6:6" x14ac:dyDescent="0.3">
      <c r="F94928" s="193"/>
    </row>
    <row r="94929" spans="6:6" x14ac:dyDescent="0.3">
      <c r="F94929" s="193"/>
    </row>
    <row r="94930" spans="6:6" x14ac:dyDescent="0.3">
      <c r="F94930" s="193"/>
    </row>
    <row r="94931" spans="6:6" x14ac:dyDescent="0.3">
      <c r="F94931" s="193"/>
    </row>
    <row r="94932" spans="6:6" x14ac:dyDescent="0.3">
      <c r="F94932" s="193"/>
    </row>
    <row r="94933" spans="6:6" x14ac:dyDescent="0.3">
      <c r="F94933" s="193"/>
    </row>
    <row r="94934" spans="6:6" x14ac:dyDescent="0.3">
      <c r="F94934" s="193"/>
    </row>
    <row r="94935" spans="6:6" x14ac:dyDescent="0.3">
      <c r="F94935" s="193"/>
    </row>
    <row r="94936" spans="6:6" x14ac:dyDescent="0.3">
      <c r="F94936" s="193"/>
    </row>
    <row r="94937" spans="6:6" x14ac:dyDescent="0.3">
      <c r="F94937" s="193"/>
    </row>
    <row r="94938" spans="6:6" x14ac:dyDescent="0.3">
      <c r="F94938" s="193"/>
    </row>
    <row r="94939" spans="6:6" x14ac:dyDescent="0.3">
      <c r="F94939" s="193"/>
    </row>
    <row r="94940" spans="6:6" x14ac:dyDescent="0.3">
      <c r="F94940" s="193"/>
    </row>
    <row r="94941" spans="6:6" x14ac:dyDescent="0.3">
      <c r="F94941" s="193"/>
    </row>
    <row r="94942" spans="6:6" x14ac:dyDescent="0.3">
      <c r="F94942" s="193"/>
    </row>
    <row r="94943" spans="6:6" x14ac:dyDescent="0.3">
      <c r="F94943" s="193"/>
    </row>
    <row r="94944" spans="6:6" x14ac:dyDescent="0.3">
      <c r="F94944" s="193"/>
    </row>
    <row r="94945" spans="6:6" x14ac:dyDescent="0.3">
      <c r="F94945" s="193"/>
    </row>
    <row r="94946" spans="6:6" x14ac:dyDescent="0.3">
      <c r="F94946" s="193"/>
    </row>
    <row r="94947" spans="6:6" x14ac:dyDescent="0.3">
      <c r="F94947" s="193"/>
    </row>
    <row r="94948" spans="6:6" x14ac:dyDescent="0.3">
      <c r="F94948" s="193"/>
    </row>
    <row r="94949" spans="6:6" x14ac:dyDescent="0.3">
      <c r="F94949" s="193"/>
    </row>
    <row r="94950" spans="6:6" x14ac:dyDescent="0.3">
      <c r="F94950" s="193"/>
    </row>
    <row r="94951" spans="6:6" x14ac:dyDescent="0.3">
      <c r="F94951" s="193"/>
    </row>
    <row r="94952" spans="6:6" x14ac:dyDescent="0.3">
      <c r="F94952" s="193"/>
    </row>
    <row r="94953" spans="6:6" x14ac:dyDescent="0.3">
      <c r="F94953" s="193"/>
    </row>
    <row r="94954" spans="6:6" x14ac:dyDescent="0.3">
      <c r="F94954" s="193"/>
    </row>
    <row r="94955" spans="6:6" x14ac:dyDescent="0.3">
      <c r="F94955" s="193"/>
    </row>
    <row r="94956" spans="6:6" x14ac:dyDescent="0.3">
      <c r="F94956" s="193"/>
    </row>
    <row r="94957" spans="6:6" x14ac:dyDescent="0.3">
      <c r="F94957" s="193"/>
    </row>
    <row r="94958" spans="6:6" x14ac:dyDescent="0.3">
      <c r="F94958" s="193"/>
    </row>
    <row r="94959" spans="6:6" x14ac:dyDescent="0.3">
      <c r="F94959" s="193"/>
    </row>
    <row r="94960" spans="6:6" x14ac:dyDescent="0.3">
      <c r="F94960" s="193"/>
    </row>
    <row r="94961" spans="6:6" x14ac:dyDescent="0.3">
      <c r="F94961" s="193"/>
    </row>
    <row r="94962" spans="6:6" x14ac:dyDescent="0.3">
      <c r="F94962" s="193"/>
    </row>
    <row r="94963" spans="6:6" x14ac:dyDescent="0.3">
      <c r="F94963" s="193"/>
    </row>
    <row r="94964" spans="6:6" x14ac:dyDescent="0.3">
      <c r="F94964" s="193"/>
    </row>
    <row r="94965" spans="6:6" x14ac:dyDescent="0.3">
      <c r="F94965" s="193"/>
    </row>
    <row r="94966" spans="6:6" x14ac:dyDescent="0.3">
      <c r="F94966" s="193"/>
    </row>
    <row r="94967" spans="6:6" x14ac:dyDescent="0.3">
      <c r="F94967" s="193"/>
    </row>
    <row r="94968" spans="6:6" x14ac:dyDescent="0.3">
      <c r="F94968" s="193"/>
    </row>
    <row r="94969" spans="6:6" x14ac:dyDescent="0.3">
      <c r="F94969" s="193"/>
    </row>
    <row r="94970" spans="6:6" x14ac:dyDescent="0.3">
      <c r="F94970" s="193"/>
    </row>
    <row r="94971" spans="6:6" x14ac:dyDescent="0.3">
      <c r="F94971" s="193"/>
    </row>
    <row r="94972" spans="6:6" x14ac:dyDescent="0.3">
      <c r="F94972" s="193"/>
    </row>
    <row r="94973" spans="6:6" x14ac:dyDescent="0.3">
      <c r="F94973" s="193"/>
    </row>
    <row r="94974" spans="6:6" x14ac:dyDescent="0.3">
      <c r="F94974" s="193"/>
    </row>
    <row r="94975" spans="6:6" x14ac:dyDescent="0.3">
      <c r="F94975" s="193"/>
    </row>
    <row r="94976" spans="6:6" x14ac:dyDescent="0.3">
      <c r="F94976" s="193"/>
    </row>
    <row r="94977" spans="6:6" x14ac:dyDescent="0.3">
      <c r="F94977" s="193"/>
    </row>
    <row r="94978" spans="6:6" x14ac:dyDescent="0.3">
      <c r="F94978" s="193"/>
    </row>
    <row r="94979" spans="6:6" x14ac:dyDescent="0.3">
      <c r="F94979" s="193"/>
    </row>
    <row r="94980" spans="6:6" x14ac:dyDescent="0.3">
      <c r="F94980" s="193"/>
    </row>
    <row r="94981" spans="6:6" x14ac:dyDescent="0.3">
      <c r="F94981" s="193"/>
    </row>
    <row r="94982" spans="6:6" x14ac:dyDescent="0.3">
      <c r="F94982" s="193"/>
    </row>
    <row r="94983" spans="6:6" x14ac:dyDescent="0.3">
      <c r="F94983" s="193"/>
    </row>
    <row r="94984" spans="6:6" x14ac:dyDescent="0.3">
      <c r="F94984" s="193"/>
    </row>
    <row r="94985" spans="6:6" x14ac:dyDescent="0.3">
      <c r="F94985" s="193"/>
    </row>
    <row r="94986" spans="6:6" x14ac:dyDescent="0.3">
      <c r="F94986" s="193"/>
    </row>
    <row r="94987" spans="6:6" x14ac:dyDescent="0.3">
      <c r="F94987" s="193"/>
    </row>
    <row r="94988" spans="6:6" x14ac:dyDescent="0.3">
      <c r="F94988" s="193"/>
    </row>
    <row r="94989" spans="6:6" x14ac:dyDescent="0.3">
      <c r="F94989" s="193"/>
    </row>
    <row r="94990" spans="6:6" x14ac:dyDescent="0.3">
      <c r="F94990" s="193"/>
    </row>
    <row r="94991" spans="6:6" x14ac:dyDescent="0.3">
      <c r="F94991" s="193"/>
    </row>
    <row r="94992" spans="6:6" x14ac:dyDescent="0.3">
      <c r="F94992" s="193"/>
    </row>
    <row r="94993" spans="6:6" x14ac:dyDescent="0.3">
      <c r="F94993" s="193"/>
    </row>
    <row r="94994" spans="6:6" x14ac:dyDescent="0.3">
      <c r="F94994" s="193"/>
    </row>
    <row r="94995" spans="6:6" x14ac:dyDescent="0.3">
      <c r="F94995" s="193"/>
    </row>
    <row r="94996" spans="6:6" x14ac:dyDescent="0.3">
      <c r="F94996" s="193"/>
    </row>
    <row r="94997" spans="6:6" x14ac:dyDescent="0.3">
      <c r="F94997" s="193"/>
    </row>
    <row r="94998" spans="6:6" x14ac:dyDescent="0.3">
      <c r="F94998" s="193"/>
    </row>
    <row r="94999" spans="6:6" x14ac:dyDescent="0.3">
      <c r="F94999" s="193"/>
    </row>
    <row r="95000" spans="6:6" x14ac:dyDescent="0.3">
      <c r="F95000" s="193"/>
    </row>
    <row r="95001" spans="6:6" x14ac:dyDescent="0.3">
      <c r="F95001" s="193"/>
    </row>
    <row r="95002" spans="6:6" x14ac:dyDescent="0.3">
      <c r="F95002" s="193"/>
    </row>
    <row r="95003" spans="6:6" x14ac:dyDescent="0.3">
      <c r="F95003" s="193"/>
    </row>
    <row r="95004" spans="6:6" x14ac:dyDescent="0.3">
      <c r="F95004" s="193"/>
    </row>
    <row r="95005" spans="6:6" x14ac:dyDescent="0.3">
      <c r="F95005" s="193"/>
    </row>
    <row r="95006" spans="6:6" x14ac:dyDescent="0.3">
      <c r="F95006" s="193"/>
    </row>
    <row r="95007" spans="6:6" x14ac:dyDescent="0.3">
      <c r="F95007" s="193"/>
    </row>
    <row r="95008" spans="6:6" x14ac:dyDescent="0.3">
      <c r="F95008" s="193"/>
    </row>
    <row r="95009" spans="6:6" x14ac:dyDescent="0.3">
      <c r="F95009" s="193"/>
    </row>
    <row r="95010" spans="6:6" x14ac:dyDescent="0.3">
      <c r="F95010" s="193"/>
    </row>
    <row r="95011" spans="6:6" x14ac:dyDescent="0.3">
      <c r="F95011" s="193"/>
    </row>
    <row r="95012" spans="6:6" x14ac:dyDescent="0.3">
      <c r="F95012" s="193"/>
    </row>
    <row r="95013" spans="6:6" x14ac:dyDescent="0.3">
      <c r="F95013" s="193"/>
    </row>
    <row r="95014" spans="6:6" x14ac:dyDescent="0.3">
      <c r="F95014" s="193"/>
    </row>
    <row r="95015" spans="6:6" x14ac:dyDescent="0.3">
      <c r="F95015" s="193"/>
    </row>
    <row r="95016" spans="6:6" x14ac:dyDescent="0.3">
      <c r="F95016" s="193"/>
    </row>
    <row r="95017" spans="6:6" x14ac:dyDescent="0.3">
      <c r="F95017" s="193"/>
    </row>
    <row r="95018" spans="6:6" x14ac:dyDescent="0.3">
      <c r="F95018" s="193"/>
    </row>
    <row r="95019" spans="6:6" x14ac:dyDescent="0.3">
      <c r="F95019" s="193"/>
    </row>
    <row r="95020" spans="6:6" x14ac:dyDescent="0.3">
      <c r="F95020" s="193"/>
    </row>
    <row r="95021" spans="6:6" x14ac:dyDescent="0.3">
      <c r="F95021" s="193"/>
    </row>
    <row r="95022" spans="6:6" x14ac:dyDescent="0.3">
      <c r="F95022" s="193"/>
    </row>
    <row r="95023" spans="6:6" x14ac:dyDescent="0.3">
      <c r="F95023" s="193"/>
    </row>
    <row r="95024" spans="6:6" x14ac:dyDescent="0.3">
      <c r="F95024" s="193"/>
    </row>
    <row r="95025" spans="6:6" x14ac:dyDescent="0.3">
      <c r="F95025" s="193"/>
    </row>
    <row r="95026" spans="6:6" x14ac:dyDescent="0.3">
      <c r="F95026" s="193"/>
    </row>
    <row r="95027" spans="6:6" x14ac:dyDescent="0.3">
      <c r="F95027" s="193"/>
    </row>
    <row r="95028" spans="6:6" x14ac:dyDescent="0.3">
      <c r="F95028" s="193"/>
    </row>
    <row r="95029" spans="6:6" x14ac:dyDescent="0.3">
      <c r="F95029" s="193"/>
    </row>
    <row r="95030" spans="6:6" x14ac:dyDescent="0.3">
      <c r="F95030" s="193"/>
    </row>
    <row r="95031" spans="6:6" x14ac:dyDescent="0.3">
      <c r="F95031" s="193"/>
    </row>
    <row r="95032" spans="6:6" x14ac:dyDescent="0.3">
      <c r="F95032" s="193"/>
    </row>
    <row r="95033" spans="6:6" x14ac:dyDescent="0.3">
      <c r="F95033" s="193"/>
    </row>
    <row r="95034" spans="6:6" x14ac:dyDescent="0.3">
      <c r="F95034" s="193"/>
    </row>
    <row r="95035" spans="6:6" x14ac:dyDescent="0.3">
      <c r="F95035" s="193"/>
    </row>
    <row r="95036" spans="6:6" x14ac:dyDescent="0.3">
      <c r="F95036" s="193"/>
    </row>
    <row r="95037" spans="6:6" x14ac:dyDescent="0.3">
      <c r="F95037" s="193"/>
    </row>
    <row r="95038" spans="6:6" x14ac:dyDescent="0.3">
      <c r="F95038" s="193"/>
    </row>
    <row r="95039" spans="6:6" x14ac:dyDescent="0.3">
      <c r="F95039" s="193"/>
    </row>
    <row r="95040" spans="6:6" x14ac:dyDescent="0.3">
      <c r="F95040" s="193"/>
    </row>
    <row r="95041" spans="6:6" x14ac:dyDescent="0.3">
      <c r="F95041" s="193"/>
    </row>
    <row r="95042" spans="6:6" x14ac:dyDescent="0.3">
      <c r="F95042" s="193"/>
    </row>
    <row r="95043" spans="6:6" x14ac:dyDescent="0.3">
      <c r="F95043" s="193"/>
    </row>
    <row r="95044" spans="6:6" x14ac:dyDescent="0.3">
      <c r="F95044" s="193"/>
    </row>
    <row r="95045" spans="6:6" x14ac:dyDescent="0.3">
      <c r="F95045" s="193"/>
    </row>
    <row r="95046" spans="6:6" x14ac:dyDescent="0.3">
      <c r="F95046" s="193"/>
    </row>
    <row r="95047" spans="6:6" x14ac:dyDescent="0.3">
      <c r="F95047" s="193"/>
    </row>
    <row r="95048" spans="6:6" x14ac:dyDescent="0.3">
      <c r="F95048" s="193"/>
    </row>
    <row r="95049" spans="6:6" x14ac:dyDescent="0.3">
      <c r="F95049" s="193"/>
    </row>
    <row r="95050" spans="6:6" x14ac:dyDescent="0.3">
      <c r="F95050" s="193"/>
    </row>
    <row r="95051" spans="6:6" x14ac:dyDescent="0.3">
      <c r="F95051" s="193"/>
    </row>
    <row r="95052" spans="6:6" x14ac:dyDescent="0.3">
      <c r="F95052" s="193"/>
    </row>
    <row r="95053" spans="6:6" x14ac:dyDescent="0.3">
      <c r="F95053" s="193"/>
    </row>
    <row r="95054" spans="6:6" x14ac:dyDescent="0.3">
      <c r="F95054" s="193"/>
    </row>
    <row r="95055" spans="6:6" x14ac:dyDescent="0.3">
      <c r="F95055" s="193"/>
    </row>
    <row r="95056" spans="6:6" x14ac:dyDescent="0.3">
      <c r="F95056" s="193"/>
    </row>
    <row r="95057" spans="6:6" x14ac:dyDescent="0.3">
      <c r="F95057" s="193"/>
    </row>
    <row r="95058" spans="6:6" x14ac:dyDescent="0.3">
      <c r="F95058" s="193"/>
    </row>
    <row r="95059" spans="6:6" x14ac:dyDescent="0.3">
      <c r="F95059" s="193"/>
    </row>
    <row r="95060" spans="6:6" x14ac:dyDescent="0.3">
      <c r="F95060" s="193"/>
    </row>
    <row r="95061" spans="6:6" x14ac:dyDescent="0.3">
      <c r="F95061" s="193"/>
    </row>
    <row r="95062" spans="6:6" x14ac:dyDescent="0.3">
      <c r="F95062" s="193"/>
    </row>
    <row r="95063" spans="6:6" x14ac:dyDescent="0.3">
      <c r="F95063" s="193"/>
    </row>
    <row r="95064" spans="6:6" x14ac:dyDescent="0.3">
      <c r="F95064" s="193"/>
    </row>
    <row r="95065" spans="6:6" x14ac:dyDescent="0.3">
      <c r="F95065" s="193"/>
    </row>
    <row r="95066" spans="6:6" x14ac:dyDescent="0.3">
      <c r="F95066" s="193"/>
    </row>
    <row r="95067" spans="6:6" x14ac:dyDescent="0.3">
      <c r="F95067" s="193"/>
    </row>
    <row r="95068" spans="6:6" x14ac:dyDescent="0.3">
      <c r="F95068" s="193"/>
    </row>
    <row r="95069" spans="6:6" x14ac:dyDescent="0.3">
      <c r="F95069" s="193"/>
    </row>
    <row r="95070" spans="6:6" x14ac:dyDescent="0.3">
      <c r="F95070" s="193"/>
    </row>
    <row r="95071" spans="6:6" x14ac:dyDescent="0.3">
      <c r="F95071" s="193"/>
    </row>
    <row r="95072" spans="6:6" x14ac:dyDescent="0.3">
      <c r="F95072" s="193"/>
    </row>
    <row r="95073" spans="6:6" x14ac:dyDescent="0.3">
      <c r="F95073" s="193"/>
    </row>
    <row r="95074" spans="6:6" x14ac:dyDescent="0.3">
      <c r="F95074" s="193"/>
    </row>
    <row r="95075" spans="6:6" x14ac:dyDescent="0.3">
      <c r="F95075" s="193"/>
    </row>
    <row r="95076" spans="6:6" x14ac:dyDescent="0.3">
      <c r="F95076" s="193"/>
    </row>
    <row r="95077" spans="6:6" x14ac:dyDescent="0.3">
      <c r="F95077" s="193"/>
    </row>
    <row r="95078" spans="6:6" x14ac:dyDescent="0.3">
      <c r="F95078" s="193"/>
    </row>
    <row r="95079" spans="6:6" x14ac:dyDescent="0.3">
      <c r="F95079" s="193"/>
    </row>
    <row r="95080" spans="6:6" x14ac:dyDescent="0.3">
      <c r="F95080" s="193"/>
    </row>
    <row r="95081" spans="6:6" x14ac:dyDescent="0.3">
      <c r="F95081" s="193"/>
    </row>
    <row r="95082" spans="6:6" x14ac:dyDescent="0.3">
      <c r="F95082" s="193"/>
    </row>
    <row r="95083" spans="6:6" x14ac:dyDescent="0.3">
      <c r="F95083" s="193"/>
    </row>
    <row r="95084" spans="6:6" x14ac:dyDescent="0.3">
      <c r="F95084" s="193"/>
    </row>
    <row r="95085" spans="6:6" x14ac:dyDescent="0.3">
      <c r="F95085" s="193"/>
    </row>
    <row r="95086" spans="6:6" x14ac:dyDescent="0.3">
      <c r="F95086" s="193"/>
    </row>
    <row r="95087" spans="6:6" x14ac:dyDescent="0.3">
      <c r="F95087" s="193"/>
    </row>
    <row r="95088" spans="6:6" x14ac:dyDescent="0.3">
      <c r="F95088" s="193"/>
    </row>
    <row r="95089" spans="6:6" x14ac:dyDescent="0.3">
      <c r="F95089" s="193"/>
    </row>
    <row r="95090" spans="6:6" x14ac:dyDescent="0.3">
      <c r="F95090" s="193"/>
    </row>
    <row r="95091" spans="6:6" x14ac:dyDescent="0.3">
      <c r="F95091" s="193"/>
    </row>
    <row r="95092" spans="6:6" x14ac:dyDescent="0.3">
      <c r="F95092" s="193"/>
    </row>
    <row r="95093" spans="6:6" x14ac:dyDescent="0.3">
      <c r="F95093" s="193"/>
    </row>
    <row r="95094" spans="6:6" x14ac:dyDescent="0.3">
      <c r="F95094" s="193"/>
    </row>
    <row r="95095" spans="6:6" x14ac:dyDescent="0.3">
      <c r="F95095" s="193"/>
    </row>
    <row r="95096" spans="6:6" x14ac:dyDescent="0.3">
      <c r="F95096" s="193"/>
    </row>
    <row r="95097" spans="6:6" x14ac:dyDescent="0.3">
      <c r="F95097" s="193"/>
    </row>
    <row r="95098" spans="6:6" x14ac:dyDescent="0.3">
      <c r="F95098" s="193"/>
    </row>
    <row r="95099" spans="6:6" x14ac:dyDescent="0.3">
      <c r="F95099" s="193"/>
    </row>
    <row r="95100" spans="6:6" x14ac:dyDescent="0.3">
      <c r="F95100" s="193"/>
    </row>
    <row r="95101" spans="6:6" x14ac:dyDescent="0.3">
      <c r="F95101" s="193"/>
    </row>
    <row r="95102" spans="6:6" x14ac:dyDescent="0.3">
      <c r="F95102" s="193"/>
    </row>
    <row r="95103" spans="6:6" x14ac:dyDescent="0.3">
      <c r="F95103" s="193"/>
    </row>
    <row r="95104" spans="6:6" x14ac:dyDescent="0.3">
      <c r="F95104" s="193"/>
    </row>
    <row r="95105" spans="6:6" x14ac:dyDescent="0.3">
      <c r="F95105" s="193"/>
    </row>
    <row r="95106" spans="6:6" x14ac:dyDescent="0.3">
      <c r="F95106" s="193"/>
    </row>
    <row r="95107" spans="6:6" x14ac:dyDescent="0.3">
      <c r="F95107" s="193"/>
    </row>
    <row r="95108" spans="6:6" x14ac:dyDescent="0.3">
      <c r="F95108" s="193"/>
    </row>
    <row r="95109" spans="6:6" x14ac:dyDescent="0.3">
      <c r="F95109" s="193"/>
    </row>
    <row r="95110" spans="6:6" x14ac:dyDescent="0.3">
      <c r="F95110" s="193"/>
    </row>
    <row r="95111" spans="6:6" x14ac:dyDescent="0.3">
      <c r="F95111" s="193"/>
    </row>
    <row r="95112" spans="6:6" x14ac:dyDescent="0.3">
      <c r="F95112" s="193"/>
    </row>
    <row r="95113" spans="6:6" x14ac:dyDescent="0.3">
      <c r="F95113" s="193"/>
    </row>
    <row r="95114" spans="6:6" x14ac:dyDescent="0.3">
      <c r="F95114" s="193"/>
    </row>
    <row r="95115" spans="6:6" x14ac:dyDescent="0.3">
      <c r="F95115" s="193"/>
    </row>
    <row r="95116" spans="6:6" x14ac:dyDescent="0.3">
      <c r="F95116" s="193"/>
    </row>
    <row r="95117" spans="6:6" x14ac:dyDescent="0.3">
      <c r="F95117" s="193"/>
    </row>
    <row r="95118" spans="6:6" x14ac:dyDescent="0.3">
      <c r="F95118" s="193"/>
    </row>
    <row r="95119" spans="6:6" x14ac:dyDescent="0.3">
      <c r="F95119" s="193"/>
    </row>
    <row r="95120" spans="6:6" x14ac:dyDescent="0.3">
      <c r="F95120" s="193"/>
    </row>
    <row r="95121" spans="6:6" x14ac:dyDescent="0.3">
      <c r="F95121" s="193"/>
    </row>
    <row r="95122" spans="6:6" x14ac:dyDescent="0.3">
      <c r="F95122" s="193"/>
    </row>
    <row r="95123" spans="6:6" x14ac:dyDescent="0.3">
      <c r="F95123" s="193"/>
    </row>
    <row r="95124" spans="6:6" x14ac:dyDescent="0.3">
      <c r="F95124" s="193"/>
    </row>
    <row r="95125" spans="6:6" x14ac:dyDescent="0.3">
      <c r="F95125" s="193"/>
    </row>
    <row r="95126" spans="6:6" x14ac:dyDescent="0.3">
      <c r="F95126" s="193"/>
    </row>
    <row r="95127" spans="6:6" x14ac:dyDescent="0.3">
      <c r="F95127" s="193"/>
    </row>
    <row r="95128" spans="6:6" x14ac:dyDescent="0.3">
      <c r="F95128" s="193"/>
    </row>
    <row r="95129" spans="6:6" x14ac:dyDescent="0.3">
      <c r="F95129" s="193"/>
    </row>
    <row r="95130" spans="6:6" x14ac:dyDescent="0.3">
      <c r="F95130" s="193"/>
    </row>
    <row r="95131" spans="6:6" x14ac:dyDescent="0.3">
      <c r="F95131" s="193"/>
    </row>
    <row r="95132" spans="6:6" x14ac:dyDescent="0.3">
      <c r="F95132" s="193"/>
    </row>
    <row r="95133" spans="6:6" x14ac:dyDescent="0.3">
      <c r="F95133" s="193"/>
    </row>
    <row r="95134" spans="6:6" x14ac:dyDescent="0.3">
      <c r="F95134" s="193"/>
    </row>
    <row r="95135" spans="6:6" x14ac:dyDescent="0.3">
      <c r="F95135" s="193"/>
    </row>
    <row r="95136" spans="6:6" x14ac:dyDescent="0.3">
      <c r="F95136" s="193"/>
    </row>
    <row r="95137" spans="6:6" x14ac:dyDescent="0.3">
      <c r="F95137" s="193"/>
    </row>
    <row r="95138" spans="6:6" x14ac:dyDescent="0.3">
      <c r="F95138" s="193"/>
    </row>
    <row r="95139" spans="6:6" x14ac:dyDescent="0.3">
      <c r="F95139" s="193"/>
    </row>
    <row r="95140" spans="6:6" x14ac:dyDescent="0.3">
      <c r="F95140" s="193"/>
    </row>
    <row r="95141" spans="6:6" x14ac:dyDescent="0.3">
      <c r="F95141" s="193"/>
    </row>
    <row r="95142" spans="6:6" x14ac:dyDescent="0.3">
      <c r="F95142" s="193"/>
    </row>
    <row r="95143" spans="6:6" x14ac:dyDescent="0.3">
      <c r="F95143" s="193"/>
    </row>
    <row r="95144" spans="6:6" x14ac:dyDescent="0.3">
      <c r="F95144" s="193"/>
    </row>
    <row r="95145" spans="6:6" x14ac:dyDescent="0.3">
      <c r="F95145" s="193"/>
    </row>
    <row r="95146" spans="6:6" x14ac:dyDescent="0.3">
      <c r="F95146" s="193"/>
    </row>
    <row r="95147" spans="6:6" x14ac:dyDescent="0.3">
      <c r="F95147" s="193"/>
    </row>
    <row r="95148" spans="6:6" x14ac:dyDescent="0.3">
      <c r="F95148" s="193"/>
    </row>
    <row r="95149" spans="6:6" x14ac:dyDescent="0.3">
      <c r="F95149" s="193"/>
    </row>
    <row r="95150" spans="6:6" x14ac:dyDescent="0.3">
      <c r="F95150" s="193"/>
    </row>
    <row r="95151" spans="6:6" x14ac:dyDescent="0.3">
      <c r="F95151" s="193"/>
    </row>
    <row r="95152" spans="6:6" x14ac:dyDescent="0.3">
      <c r="F95152" s="193"/>
    </row>
    <row r="95153" spans="6:6" x14ac:dyDescent="0.3">
      <c r="F95153" s="193"/>
    </row>
    <row r="95154" spans="6:6" x14ac:dyDescent="0.3">
      <c r="F95154" s="193"/>
    </row>
    <row r="95155" spans="6:6" x14ac:dyDescent="0.3">
      <c r="F95155" s="193"/>
    </row>
    <row r="95156" spans="6:6" x14ac:dyDescent="0.3">
      <c r="F95156" s="193"/>
    </row>
    <row r="95157" spans="6:6" x14ac:dyDescent="0.3">
      <c r="F95157" s="193"/>
    </row>
    <row r="95158" spans="6:6" x14ac:dyDescent="0.3">
      <c r="F95158" s="193"/>
    </row>
    <row r="95159" spans="6:6" x14ac:dyDescent="0.3">
      <c r="F95159" s="193"/>
    </row>
    <row r="95160" spans="6:6" x14ac:dyDescent="0.3">
      <c r="F95160" s="193"/>
    </row>
    <row r="95161" spans="6:6" x14ac:dyDescent="0.3">
      <c r="F95161" s="193"/>
    </row>
    <row r="95162" spans="6:6" x14ac:dyDescent="0.3">
      <c r="F95162" s="193"/>
    </row>
    <row r="95163" spans="6:6" x14ac:dyDescent="0.3">
      <c r="F95163" s="193"/>
    </row>
    <row r="95164" spans="6:6" x14ac:dyDescent="0.3">
      <c r="F95164" s="193"/>
    </row>
    <row r="95165" spans="6:6" x14ac:dyDescent="0.3">
      <c r="F95165" s="193"/>
    </row>
    <row r="95166" spans="6:6" x14ac:dyDescent="0.3">
      <c r="F95166" s="193"/>
    </row>
    <row r="95167" spans="6:6" x14ac:dyDescent="0.3">
      <c r="F95167" s="193"/>
    </row>
    <row r="95168" spans="6:6" x14ac:dyDescent="0.3">
      <c r="F95168" s="193"/>
    </row>
    <row r="95169" spans="6:6" x14ac:dyDescent="0.3">
      <c r="F95169" s="193"/>
    </row>
    <row r="95170" spans="6:6" x14ac:dyDescent="0.3">
      <c r="F95170" s="193"/>
    </row>
    <row r="95171" spans="6:6" x14ac:dyDescent="0.3">
      <c r="F95171" s="193"/>
    </row>
    <row r="95172" spans="6:6" x14ac:dyDescent="0.3">
      <c r="F95172" s="193"/>
    </row>
    <row r="95173" spans="6:6" x14ac:dyDescent="0.3">
      <c r="F95173" s="193"/>
    </row>
    <row r="95174" spans="6:6" x14ac:dyDescent="0.3">
      <c r="F95174" s="193"/>
    </row>
    <row r="95175" spans="6:6" x14ac:dyDescent="0.3">
      <c r="F95175" s="193"/>
    </row>
    <row r="95176" spans="6:6" x14ac:dyDescent="0.3">
      <c r="F95176" s="193"/>
    </row>
    <row r="95177" spans="6:6" x14ac:dyDescent="0.3">
      <c r="F95177" s="193"/>
    </row>
    <row r="95178" spans="6:6" x14ac:dyDescent="0.3">
      <c r="F95178" s="193"/>
    </row>
    <row r="95179" spans="6:6" x14ac:dyDescent="0.3">
      <c r="F95179" s="193"/>
    </row>
    <row r="95180" spans="6:6" x14ac:dyDescent="0.3">
      <c r="F95180" s="193"/>
    </row>
    <row r="95181" spans="6:6" x14ac:dyDescent="0.3">
      <c r="F95181" s="193"/>
    </row>
    <row r="95182" spans="6:6" x14ac:dyDescent="0.3">
      <c r="F95182" s="193"/>
    </row>
    <row r="95183" spans="6:6" x14ac:dyDescent="0.3">
      <c r="F95183" s="193"/>
    </row>
    <row r="95184" spans="6:6" x14ac:dyDescent="0.3">
      <c r="F95184" s="193"/>
    </row>
    <row r="95185" spans="6:6" x14ac:dyDescent="0.3">
      <c r="F95185" s="193"/>
    </row>
    <row r="95186" spans="6:6" x14ac:dyDescent="0.3">
      <c r="F95186" s="193"/>
    </row>
    <row r="95187" spans="6:6" x14ac:dyDescent="0.3">
      <c r="F95187" s="193"/>
    </row>
    <row r="95188" spans="6:6" x14ac:dyDescent="0.3">
      <c r="F95188" s="193"/>
    </row>
    <row r="95189" spans="6:6" x14ac:dyDescent="0.3">
      <c r="F95189" s="193"/>
    </row>
    <row r="95190" spans="6:6" x14ac:dyDescent="0.3">
      <c r="F95190" s="193"/>
    </row>
    <row r="95191" spans="6:6" x14ac:dyDescent="0.3">
      <c r="F95191" s="193"/>
    </row>
    <row r="95192" spans="6:6" x14ac:dyDescent="0.3">
      <c r="F95192" s="193"/>
    </row>
    <row r="95193" spans="6:6" x14ac:dyDescent="0.3">
      <c r="F95193" s="193"/>
    </row>
    <row r="95194" spans="6:6" x14ac:dyDescent="0.3">
      <c r="F95194" s="193"/>
    </row>
    <row r="95195" spans="6:6" x14ac:dyDescent="0.3">
      <c r="F95195" s="193"/>
    </row>
    <row r="95196" spans="6:6" x14ac:dyDescent="0.3">
      <c r="F95196" s="193"/>
    </row>
    <row r="95197" spans="6:6" x14ac:dyDescent="0.3">
      <c r="F95197" s="193"/>
    </row>
    <row r="95198" spans="6:6" x14ac:dyDescent="0.3">
      <c r="F95198" s="193"/>
    </row>
    <row r="95199" spans="6:6" x14ac:dyDescent="0.3">
      <c r="F95199" s="193"/>
    </row>
    <row r="95200" spans="6:6" x14ac:dyDescent="0.3">
      <c r="F95200" s="193"/>
    </row>
    <row r="95201" spans="6:6" x14ac:dyDescent="0.3">
      <c r="F95201" s="193"/>
    </row>
    <row r="95202" spans="6:6" x14ac:dyDescent="0.3">
      <c r="F95202" s="193"/>
    </row>
    <row r="95203" spans="6:6" x14ac:dyDescent="0.3">
      <c r="F95203" s="193"/>
    </row>
    <row r="95204" spans="6:6" x14ac:dyDescent="0.3">
      <c r="F95204" s="193"/>
    </row>
    <row r="95205" spans="6:6" x14ac:dyDescent="0.3">
      <c r="F95205" s="193"/>
    </row>
    <row r="95206" spans="6:6" x14ac:dyDescent="0.3">
      <c r="F95206" s="193"/>
    </row>
    <row r="95207" spans="6:6" x14ac:dyDescent="0.3">
      <c r="F95207" s="193"/>
    </row>
    <row r="95208" spans="6:6" x14ac:dyDescent="0.3">
      <c r="F95208" s="193"/>
    </row>
    <row r="95209" spans="6:6" x14ac:dyDescent="0.3">
      <c r="F95209" s="193"/>
    </row>
    <row r="95210" spans="6:6" x14ac:dyDescent="0.3">
      <c r="F95210" s="193"/>
    </row>
    <row r="95211" spans="6:6" x14ac:dyDescent="0.3">
      <c r="F95211" s="193"/>
    </row>
    <row r="95212" spans="6:6" x14ac:dyDescent="0.3">
      <c r="F95212" s="193"/>
    </row>
    <row r="95213" spans="6:6" x14ac:dyDescent="0.3">
      <c r="F95213" s="193"/>
    </row>
    <row r="95214" spans="6:6" x14ac:dyDescent="0.3">
      <c r="F95214" s="193"/>
    </row>
    <row r="95215" spans="6:6" x14ac:dyDescent="0.3">
      <c r="F95215" s="193"/>
    </row>
    <row r="95216" spans="6:6" x14ac:dyDescent="0.3">
      <c r="F95216" s="193"/>
    </row>
    <row r="95217" spans="6:6" x14ac:dyDescent="0.3">
      <c r="F95217" s="193"/>
    </row>
    <row r="95218" spans="6:6" x14ac:dyDescent="0.3">
      <c r="F95218" s="193"/>
    </row>
    <row r="95219" spans="6:6" x14ac:dyDescent="0.3">
      <c r="F95219" s="193"/>
    </row>
    <row r="95220" spans="6:6" x14ac:dyDescent="0.3">
      <c r="F95220" s="193"/>
    </row>
    <row r="95221" spans="6:6" x14ac:dyDescent="0.3">
      <c r="F95221" s="193"/>
    </row>
    <row r="95222" spans="6:6" x14ac:dyDescent="0.3">
      <c r="F95222" s="193"/>
    </row>
    <row r="95223" spans="6:6" x14ac:dyDescent="0.3">
      <c r="F95223" s="193"/>
    </row>
    <row r="95224" spans="6:6" x14ac:dyDescent="0.3">
      <c r="F95224" s="193"/>
    </row>
    <row r="95225" spans="6:6" x14ac:dyDescent="0.3">
      <c r="F95225" s="193"/>
    </row>
    <row r="95226" spans="6:6" x14ac:dyDescent="0.3">
      <c r="F95226" s="193"/>
    </row>
    <row r="95227" spans="6:6" x14ac:dyDescent="0.3">
      <c r="F95227" s="193"/>
    </row>
    <row r="95228" spans="6:6" x14ac:dyDescent="0.3">
      <c r="F95228" s="193"/>
    </row>
    <row r="95229" spans="6:6" x14ac:dyDescent="0.3">
      <c r="F95229" s="193"/>
    </row>
    <row r="95230" spans="6:6" x14ac:dyDescent="0.3">
      <c r="F95230" s="193"/>
    </row>
    <row r="95231" spans="6:6" x14ac:dyDescent="0.3">
      <c r="F95231" s="193"/>
    </row>
    <row r="95232" spans="6:6" x14ac:dyDescent="0.3">
      <c r="F95232" s="193"/>
    </row>
    <row r="95233" spans="6:6" x14ac:dyDescent="0.3">
      <c r="F95233" s="193"/>
    </row>
    <row r="95234" spans="6:6" x14ac:dyDescent="0.3">
      <c r="F95234" s="193"/>
    </row>
    <row r="95235" spans="6:6" x14ac:dyDescent="0.3">
      <c r="F95235" s="193"/>
    </row>
    <row r="95236" spans="6:6" x14ac:dyDescent="0.3">
      <c r="F95236" s="193"/>
    </row>
    <row r="95237" spans="6:6" x14ac:dyDescent="0.3">
      <c r="F95237" s="193"/>
    </row>
    <row r="95238" spans="6:6" x14ac:dyDescent="0.3">
      <c r="F95238" s="193"/>
    </row>
    <row r="95239" spans="6:6" x14ac:dyDescent="0.3">
      <c r="F95239" s="193"/>
    </row>
    <row r="95240" spans="6:6" x14ac:dyDescent="0.3">
      <c r="F95240" s="193"/>
    </row>
    <row r="95241" spans="6:6" x14ac:dyDescent="0.3">
      <c r="F95241" s="193"/>
    </row>
    <row r="95242" spans="6:6" x14ac:dyDescent="0.3">
      <c r="F95242" s="193"/>
    </row>
    <row r="95243" spans="6:6" x14ac:dyDescent="0.3">
      <c r="F95243" s="193"/>
    </row>
    <row r="95244" spans="6:6" x14ac:dyDescent="0.3">
      <c r="F95244" s="193"/>
    </row>
    <row r="95245" spans="6:6" x14ac:dyDescent="0.3">
      <c r="F95245" s="193"/>
    </row>
    <row r="95246" spans="6:6" x14ac:dyDescent="0.3">
      <c r="F95246" s="193"/>
    </row>
    <row r="95247" spans="6:6" x14ac:dyDescent="0.3">
      <c r="F95247" s="193"/>
    </row>
    <row r="95248" spans="6:6" x14ac:dyDescent="0.3">
      <c r="F95248" s="193"/>
    </row>
    <row r="95249" spans="6:6" x14ac:dyDescent="0.3">
      <c r="F95249" s="193"/>
    </row>
    <row r="95250" spans="6:6" x14ac:dyDescent="0.3">
      <c r="F95250" s="193"/>
    </row>
    <row r="95251" spans="6:6" x14ac:dyDescent="0.3">
      <c r="F95251" s="193"/>
    </row>
    <row r="95252" spans="6:6" x14ac:dyDescent="0.3">
      <c r="F95252" s="193"/>
    </row>
    <row r="95253" spans="6:6" x14ac:dyDescent="0.3">
      <c r="F95253" s="193"/>
    </row>
    <row r="95254" spans="6:6" x14ac:dyDescent="0.3">
      <c r="F95254" s="193"/>
    </row>
    <row r="95255" spans="6:6" x14ac:dyDescent="0.3">
      <c r="F95255" s="193"/>
    </row>
    <row r="95256" spans="6:6" x14ac:dyDescent="0.3">
      <c r="F95256" s="193"/>
    </row>
    <row r="95257" spans="6:6" x14ac:dyDescent="0.3">
      <c r="F95257" s="193"/>
    </row>
    <row r="95258" spans="6:6" x14ac:dyDescent="0.3">
      <c r="F95258" s="193"/>
    </row>
    <row r="95259" spans="6:6" x14ac:dyDescent="0.3">
      <c r="F95259" s="193"/>
    </row>
    <row r="95260" spans="6:6" x14ac:dyDescent="0.3">
      <c r="F95260" s="193"/>
    </row>
    <row r="95261" spans="6:6" x14ac:dyDescent="0.3">
      <c r="F95261" s="193"/>
    </row>
    <row r="95262" spans="6:6" x14ac:dyDescent="0.3">
      <c r="F95262" s="193"/>
    </row>
    <row r="95263" spans="6:6" x14ac:dyDescent="0.3">
      <c r="F95263" s="193"/>
    </row>
    <row r="95264" spans="6:6" x14ac:dyDescent="0.3">
      <c r="F95264" s="193"/>
    </row>
    <row r="95265" spans="6:6" x14ac:dyDescent="0.3">
      <c r="F95265" s="193"/>
    </row>
    <row r="95266" spans="6:6" x14ac:dyDescent="0.3">
      <c r="F95266" s="193"/>
    </row>
    <row r="95267" spans="6:6" x14ac:dyDescent="0.3">
      <c r="F95267" s="193"/>
    </row>
    <row r="95268" spans="6:6" x14ac:dyDescent="0.3">
      <c r="F95268" s="193"/>
    </row>
    <row r="95269" spans="6:6" x14ac:dyDescent="0.3">
      <c r="F95269" s="193"/>
    </row>
    <row r="95270" spans="6:6" x14ac:dyDescent="0.3">
      <c r="F95270" s="193"/>
    </row>
    <row r="95271" spans="6:6" x14ac:dyDescent="0.3">
      <c r="F95271" s="193"/>
    </row>
    <row r="95272" spans="6:6" x14ac:dyDescent="0.3">
      <c r="F95272" s="193"/>
    </row>
    <row r="95273" spans="6:6" x14ac:dyDescent="0.3">
      <c r="F95273" s="193"/>
    </row>
    <row r="95274" spans="6:6" x14ac:dyDescent="0.3">
      <c r="F95274" s="193"/>
    </row>
    <row r="95275" spans="6:6" x14ac:dyDescent="0.3">
      <c r="F95275" s="193"/>
    </row>
    <row r="95276" spans="6:6" x14ac:dyDescent="0.3">
      <c r="F95276" s="193"/>
    </row>
    <row r="95277" spans="6:6" x14ac:dyDescent="0.3">
      <c r="F95277" s="193"/>
    </row>
    <row r="95278" spans="6:6" x14ac:dyDescent="0.3">
      <c r="F95278" s="193"/>
    </row>
    <row r="95279" spans="6:6" x14ac:dyDescent="0.3">
      <c r="F95279" s="193"/>
    </row>
    <row r="95280" spans="6:6" x14ac:dyDescent="0.3">
      <c r="F95280" s="193"/>
    </row>
    <row r="95281" spans="6:6" x14ac:dyDescent="0.3">
      <c r="F95281" s="193"/>
    </row>
    <row r="95282" spans="6:6" x14ac:dyDescent="0.3">
      <c r="F95282" s="193"/>
    </row>
    <row r="95283" spans="6:6" x14ac:dyDescent="0.3">
      <c r="F95283" s="193"/>
    </row>
    <row r="95284" spans="6:6" x14ac:dyDescent="0.3">
      <c r="F95284" s="193"/>
    </row>
    <row r="95285" spans="6:6" x14ac:dyDescent="0.3">
      <c r="F95285" s="193"/>
    </row>
    <row r="95286" spans="6:6" x14ac:dyDescent="0.3">
      <c r="F95286" s="193"/>
    </row>
    <row r="95287" spans="6:6" x14ac:dyDescent="0.3">
      <c r="F95287" s="193"/>
    </row>
    <row r="95288" spans="6:6" x14ac:dyDescent="0.3">
      <c r="F95288" s="193"/>
    </row>
    <row r="95289" spans="6:6" x14ac:dyDescent="0.3">
      <c r="F95289" s="193"/>
    </row>
    <row r="95290" spans="6:6" x14ac:dyDescent="0.3">
      <c r="F95290" s="193"/>
    </row>
    <row r="95291" spans="6:6" x14ac:dyDescent="0.3">
      <c r="F95291" s="193"/>
    </row>
    <row r="95292" spans="6:6" x14ac:dyDescent="0.3">
      <c r="F95292" s="193"/>
    </row>
    <row r="95293" spans="6:6" x14ac:dyDescent="0.3">
      <c r="F95293" s="193"/>
    </row>
    <row r="95294" spans="6:6" x14ac:dyDescent="0.3">
      <c r="F95294" s="193"/>
    </row>
    <row r="95295" spans="6:6" x14ac:dyDescent="0.3">
      <c r="F95295" s="193"/>
    </row>
    <row r="95296" spans="6:6" x14ac:dyDescent="0.3">
      <c r="F95296" s="193"/>
    </row>
    <row r="95297" spans="6:6" x14ac:dyDescent="0.3">
      <c r="F95297" s="193"/>
    </row>
    <row r="95298" spans="6:6" x14ac:dyDescent="0.3">
      <c r="F95298" s="193"/>
    </row>
    <row r="95299" spans="6:6" x14ac:dyDescent="0.3">
      <c r="F95299" s="193"/>
    </row>
    <row r="95300" spans="6:6" x14ac:dyDescent="0.3">
      <c r="F95300" s="193"/>
    </row>
    <row r="95301" spans="6:6" x14ac:dyDescent="0.3">
      <c r="F95301" s="193"/>
    </row>
    <row r="95302" spans="6:6" x14ac:dyDescent="0.3">
      <c r="F95302" s="193"/>
    </row>
    <row r="95303" spans="6:6" x14ac:dyDescent="0.3">
      <c r="F95303" s="193"/>
    </row>
    <row r="95304" spans="6:6" x14ac:dyDescent="0.3">
      <c r="F95304" s="193"/>
    </row>
    <row r="95305" spans="6:6" x14ac:dyDescent="0.3">
      <c r="F95305" s="193"/>
    </row>
    <row r="95306" spans="6:6" x14ac:dyDescent="0.3">
      <c r="F95306" s="193"/>
    </row>
    <row r="95307" spans="6:6" x14ac:dyDescent="0.3">
      <c r="F95307" s="193"/>
    </row>
    <row r="95308" spans="6:6" x14ac:dyDescent="0.3">
      <c r="F95308" s="193"/>
    </row>
    <row r="95309" spans="6:6" x14ac:dyDescent="0.3">
      <c r="F95309" s="193"/>
    </row>
    <row r="95310" spans="6:6" x14ac:dyDescent="0.3">
      <c r="F95310" s="193"/>
    </row>
    <row r="95311" spans="6:6" x14ac:dyDescent="0.3">
      <c r="F95311" s="193"/>
    </row>
    <row r="95312" spans="6:6" x14ac:dyDescent="0.3">
      <c r="F95312" s="193"/>
    </row>
    <row r="95313" spans="6:6" x14ac:dyDescent="0.3">
      <c r="F95313" s="193"/>
    </row>
    <row r="95314" spans="6:6" x14ac:dyDescent="0.3">
      <c r="F95314" s="193"/>
    </row>
    <row r="95315" spans="6:6" x14ac:dyDescent="0.3">
      <c r="F95315" s="193"/>
    </row>
    <row r="95316" spans="6:6" x14ac:dyDescent="0.3">
      <c r="F95316" s="193"/>
    </row>
    <row r="95317" spans="6:6" x14ac:dyDescent="0.3">
      <c r="F95317" s="193"/>
    </row>
    <row r="95318" spans="6:6" x14ac:dyDescent="0.3">
      <c r="F95318" s="193"/>
    </row>
    <row r="95319" spans="6:6" x14ac:dyDescent="0.3">
      <c r="F95319" s="193"/>
    </row>
    <row r="95320" spans="6:6" x14ac:dyDescent="0.3">
      <c r="F95320" s="193"/>
    </row>
    <row r="95321" spans="6:6" x14ac:dyDescent="0.3">
      <c r="F95321" s="193"/>
    </row>
    <row r="95322" spans="6:6" x14ac:dyDescent="0.3">
      <c r="F95322" s="193"/>
    </row>
    <row r="95323" spans="6:6" x14ac:dyDescent="0.3">
      <c r="F95323" s="193"/>
    </row>
    <row r="95324" spans="6:6" x14ac:dyDescent="0.3">
      <c r="F95324" s="193"/>
    </row>
    <row r="95325" spans="6:6" x14ac:dyDescent="0.3">
      <c r="F95325" s="193"/>
    </row>
    <row r="95326" spans="6:6" x14ac:dyDescent="0.3">
      <c r="F95326" s="193"/>
    </row>
    <row r="95327" spans="6:6" x14ac:dyDescent="0.3">
      <c r="F95327" s="193"/>
    </row>
    <row r="95328" spans="6:6" x14ac:dyDescent="0.3">
      <c r="F95328" s="193"/>
    </row>
    <row r="95329" spans="6:6" x14ac:dyDescent="0.3">
      <c r="F95329" s="193"/>
    </row>
    <row r="95330" spans="6:6" x14ac:dyDescent="0.3">
      <c r="F95330" s="193"/>
    </row>
    <row r="95331" spans="6:6" x14ac:dyDescent="0.3">
      <c r="F95331" s="193"/>
    </row>
    <row r="95332" spans="6:6" x14ac:dyDescent="0.3">
      <c r="F95332" s="193"/>
    </row>
    <row r="95333" spans="6:6" x14ac:dyDescent="0.3">
      <c r="F95333" s="193"/>
    </row>
    <row r="95334" spans="6:6" x14ac:dyDescent="0.3">
      <c r="F95334" s="193"/>
    </row>
    <row r="95335" spans="6:6" x14ac:dyDescent="0.3">
      <c r="F95335" s="193"/>
    </row>
    <row r="95336" spans="6:6" x14ac:dyDescent="0.3">
      <c r="F95336" s="193"/>
    </row>
    <row r="95337" spans="6:6" x14ac:dyDescent="0.3">
      <c r="F95337" s="193"/>
    </row>
    <row r="95338" spans="6:6" x14ac:dyDescent="0.3">
      <c r="F95338" s="193"/>
    </row>
    <row r="95339" spans="6:6" x14ac:dyDescent="0.3">
      <c r="F95339" s="193"/>
    </row>
    <row r="95340" spans="6:6" x14ac:dyDescent="0.3">
      <c r="F95340" s="193"/>
    </row>
    <row r="95341" spans="6:6" x14ac:dyDescent="0.3">
      <c r="F95341" s="193"/>
    </row>
    <row r="95342" spans="6:6" x14ac:dyDescent="0.3">
      <c r="F95342" s="193"/>
    </row>
    <row r="95343" spans="6:6" x14ac:dyDescent="0.3">
      <c r="F95343" s="193"/>
    </row>
    <row r="95344" spans="6:6" x14ac:dyDescent="0.3">
      <c r="F95344" s="193"/>
    </row>
    <row r="95345" spans="6:6" x14ac:dyDescent="0.3">
      <c r="F95345" s="193"/>
    </row>
    <row r="95346" spans="6:6" x14ac:dyDescent="0.3">
      <c r="F95346" s="193"/>
    </row>
    <row r="95347" spans="6:6" x14ac:dyDescent="0.3">
      <c r="F95347" s="193"/>
    </row>
    <row r="95348" spans="6:6" x14ac:dyDescent="0.3">
      <c r="F95348" s="193"/>
    </row>
    <row r="95349" spans="6:6" x14ac:dyDescent="0.3">
      <c r="F95349" s="193"/>
    </row>
    <row r="95350" spans="6:6" x14ac:dyDescent="0.3">
      <c r="F95350" s="193"/>
    </row>
    <row r="95351" spans="6:6" x14ac:dyDescent="0.3">
      <c r="F95351" s="193"/>
    </row>
    <row r="95352" spans="6:6" x14ac:dyDescent="0.3">
      <c r="F95352" s="193"/>
    </row>
    <row r="95353" spans="6:6" x14ac:dyDescent="0.3">
      <c r="F95353" s="193"/>
    </row>
    <row r="95354" spans="6:6" x14ac:dyDescent="0.3">
      <c r="F95354" s="193"/>
    </row>
    <row r="95355" spans="6:6" x14ac:dyDescent="0.3">
      <c r="F95355" s="193"/>
    </row>
    <row r="95356" spans="6:6" x14ac:dyDescent="0.3">
      <c r="F95356" s="193"/>
    </row>
    <row r="95357" spans="6:6" x14ac:dyDescent="0.3">
      <c r="F95357" s="193"/>
    </row>
    <row r="95358" spans="6:6" x14ac:dyDescent="0.3">
      <c r="F95358" s="193"/>
    </row>
    <row r="95359" spans="6:6" x14ac:dyDescent="0.3">
      <c r="F95359" s="193"/>
    </row>
    <row r="95360" spans="6:6" x14ac:dyDescent="0.3">
      <c r="F95360" s="193"/>
    </row>
    <row r="95361" spans="6:6" x14ac:dyDescent="0.3">
      <c r="F95361" s="193"/>
    </row>
    <row r="95362" spans="6:6" x14ac:dyDescent="0.3">
      <c r="F95362" s="193"/>
    </row>
    <row r="95363" spans="6:6" x14ac:dyDescent="0.3">
      <c r="F95363" s="193"/>
    </row>
    <row r="95364" spans="6:6" x14ac:dyDescent="0.3">
      <c r="F95364" s="193"/>
    </row>
    <row r="95365" spans="6:6" x14ac:dyDescent="0.3">
      <c r="F95365" s="193"/>
    </row>
    <row r="95366" spans="6:6" x14ac:dyDescent="0.3">
      <c r="F95366" s="193"/>
    </row>
    <row r="95367" spans="6:6" x14ac:dyDescent="0.3">
      <c r="F95367" s="193"/>
    </row>
    <row r="95368" spans="6:6" x14ac:dyDescent="0.3">
      <c r="F95368" s="193"/>
    </row>
    <row r="95369" spans="6:6" x14ac:dyDescent="0.3">
      <c r="F95369" s="193"/>
    </row>
    <row r="95370" spans="6:6" x14ac:dyDescent="0.3">
      <c r="F95370" s="193"/>
    </row>
    <row r="95371" spans="6:6" x14ac:dyDescent="0.3">
      <c r="F95371" s="193"/>
    </row>
    <row r="95372" spans="6:6" x14ac:dyDescent="0.3">
      <c r="F95372" s="193"/>
    </row>
    <row r="95373" spans="6:6" x14ac:dyDescent="0.3">
      <c r="F95373" s="193"/>
    </row>
    <row r="95374" spans="6:6" x14ac:dyDescent="0.3">
      <c r="F95374" s="193"/>
    </row>
    <row r="95375" spans="6:6" x14ac:dyDescent="0.3">
      <c r="F95375" s="193"/>
    </row>
    <row r="95376" spans="6:6" x14ac:dyDescent="0.3">
      <c r="F95376" s="193"/>
    </row>
    <row r="95377" spans="6:6" x14ac:dyDescent="0.3">
      <c r="F95377" s="193"/>
    </row>
    <row r="95378" spans="6:6" x14ac:dyDescent="0.3">
      <c r="F95378" s="193"/>
    </row>
    <row r="95379" spans="6:6" x14ac:dyDescent="0.3">
      <c r="F95379" s="193"/>
    </row>
    <row r="95380" spans="6:6" x14ac:dyDescent="0.3">
      <c r="F95380" s="193"/>
    </row>
    <row r="95381" spans="6:6" x14ac:dyDescent="0.3">
      <c r="F95381" s="193"/>
    </row>
    <row r="95382" spans="6:6" x14ac:dyDescent="0.3">
      <c r="F95382" s="193"/>
    </row>
    <row r="95383" spans="6:6" x14ac:dyDescent="0.3">
      <c r="F95383" s="193"/>
    </row>
    <row r="95384" spans="6:6" x14ac:dyDescent="0.3">
      <c r="F95384" s="193"/>
    </row>
    <row r="95385" spans="6:6" x14ac:dyDescent="0.3">
      <c r="F95385" s="193"/>
    </row>
    <row r="95386" spans="6:6" x14ac:dyDescent="0.3">
      <c r="F95386" s="193"/>
    </row>
    <row r="95387" spans="6:6" x14ac:dyDescent="0.3">
      <c r="F95387" s="193"/>
    </row>
    <row r="95388" spans="6:6" x14ac:dyDescent="0.3">
      <c r="F95388" s="193"/>
    </row>
    <row r="95389" spans="6:6" x14ac:dyDescent="0.3">
      <c r="F95389" s="193"/>
    </row>
    <row r="95390" spans="6:6" x14ac:dyDescent="0.3">
      <c r="F95390" s="193"/>
    </row>
    <row r="95391" spans="6:6" x14ac:dyDescent="0.3">
      <c r="F95391" s="193"/>
    </row>
    <row r="95392" spans="6:6" x14ac:dyDescent="0.3">
      <c r="F95392" s="193"/>
    </row>
    <row r="95393" spans="6:6" x14ac:dyDescent="0.3">
      <c r="F95393" s="193"/>
    </row>
    <row r="95394" spans="6:6" x14ac:dyDescent="0.3">
      <c r="F95394" s="193"/>
    </row>
    <row r="95395" spans="6:6" x14ac:dyDescent="0.3">
      <c r="F95395" s="193"/>
    </row>
    <row r="95396" spans="6:6" x14ac:dyDescent="0.3">
      <c r="F95396" s="193"/>
    </row>
    <row r="95397" spans="6:6" x14ac:dyDescent="0.3">
      <c r="F95397" s="193"/>
    </row>
    <row r="95398" spans="6:6" x14ac:dyDescent="0.3">
      <c r="F95398" s="193"/>
    </row>
    <row r="95399" spans="6:6" x14ac:dyDescent="0.3">
      <c r="F95399" s="193"/>
    </row>
    <row r="95400" spans="6:6" x14ac:dyDescent="0.3">
      <c r="F95400" s="193"/>
    </row>
    <row r="95401" spans="6:6" x14ac:dyDescent="0.3">
      <c r="F95401" s="193"/>
    </row>
    <row r="95402" spans="6:6" x14ac:dyDescent="0.3">
      <c r="F95402" s="193"/>
    </row>
    <row r="95403" spans="6:6" x14ac:dyDescent="0.3">
      <c r="F95403" s="193"/>
    </row>
    <row r="95404" spans="6:6" x14ac:dyDescent="0.3">
      <c r="F95404" s="193"/>
    </row>
    <row r="95405" spans="6:6" x14ac:dyDescent="0.3">
      <c r="F95405" s="193"/>
    </row>
    <row r="95406" spans="6:6" x14ac:dyDescent="0.3">
      <c r="F95406" s="193"/>
    </row>
    <row r="95407" spans="6:6" x14ac:dyDescent="0.3">
      <c r="F95407" s="193"/>
    </row>
    <row r="95408" spans="6:6" x14ac:dyDescent="0.3">
      <c r="F95408" s="193"/>
    </row>
    <row r="95409" spans="6:6" x14ac:dyDescent="0.3">
      <c r="F95409" s="193"/>
    </row>
    <row r="95410" spans="6:6" x14ac:dyDescent="0.3">
      <c r="F95410" s="193"/>
    </row>
    <row r="95411" spans="6:6" x14ac:dyDescent="0.3">
      <c r="F95411" s="193"/>
    </row>
    <row r="95412" spans="6:6" x14ac:dyDescent="0.3">
      <c r="F95412" s="193"/>
    </row>
    <row r="95413" spans="6:6" x14ac:dyDescent="0.3">
      <c r="F95413" s="193"/>
    </row>
    <row r="95414" spans="6:6" x14ac:dyDescent="0.3">
      <c r="F95414" s="193"/>
    </row>
    <row r="95415" spans="6:6" x14ac:dyDescent="0.3">
      <c r="F95415" s="193"/>
    </row>
    <row r="95416" spans="6:6" x14ac:dyDescent="0.3">
      <c r="F95416" s="193"/>
    </row>
    <row r="95417" spans="6:6" x14ac:dyDescent="0.3">
      <c r="F95417" s="193"/>
    </row>
    <row r="95418" spans="6:6" x14ac:dyDescent="0.3">
      <c r="F95418" s="193"/>
    </row>
    <row r="95419" spans="6:6" x14ac:dyDescent="0.3">
      <c r="F95419" s="193"/>
    </row>
    <row r="95420" spans="6:6" x14ac:dyDescent="0.3">
      <c r="F95420" s="193"/>
    </row>
    <row r="95421" spans="6:6" x14ac:dyDescent="0.3">
      <c r="F95421" s="193"/>
    </row>
    <row r="95422" spans="6:6" x14ac:dyDescent="0.3">
      <c r="F95422" s="193"/>
    </row>
    <row r="95423" spans="6:6" x14ac:dyDescent="0.3">
      <c r="F95423" s="193"/>
    </row>
    <row r="95424" spans="6:6" x14ac:dyDescent="0.3">
      <c r="F95424" s="193"/>
    </row>
    <row r="95425" spans="6:6" x14ac:dyDescent="0.3">
      <c r="F95425" s="193"/>
    </row>
    <row r="95426" spans="6:6" x14ac:dyDescent="0.3">
      <c r="F95426" s="193"/>
    </row>
    <row r="95427" spans="6:6" x14ac:dyDescent="0.3">
      <c r="F95427" s="193"/>
    </row>
    <row r="95428" spans="6:6" x14ac:dyDescent="0.3">
      <c r="F95428" s="193"/>
    </row>
    <row r="95429" spans="6:6" x14ac:dyDescent="0.3">
      <c r="F95429" s="193"/>
    </row>
    <row r="95430" spans="6:6" x14ac:dyDescent="0.3">
      <c r="F95430" s="193"/>
    </row>
    <row r="95431" spans="6:6" x14ac:dyDescent="0.3">
      <c r="F95431" s="193"/>
    </row>
    <row r="95432" spans="6:6" x14ac:dyDescent="0.3">
      <c r="F95432" s="193"/>
    </row>
    <row r="95433" spans="6:6" x14ac:dyDescent="0.3">
      <c r="F95433" s="193"/>
    </row>
    <row r="95434" spans="6:6" x14ac:dyDescent="0.3">
      <c r="F95434" s="193"/>
    </row>
    <row r="95435" spans="6:6" x14ac:dyDescent="0.3">
      <c r="F95435" s="193"/>
    </row>
    <row r="95436" spans="6:6" x14ac:dyDescent="0.3">
      <c r="F95436" s="193"/>
    </row>
    <row r="95437" spans="6:6" x14ac:dyDescent="0.3">
      <c r="F95437" s="193"/>
    </row>
    <row r="95438" spans="6:6" x14ac:dyDescent="0.3">
      <c r="F95438" s="193"/>
    </row>
    <row r="95439" spans="6:6" x14ac:dyDescent="0.3">
      <c r="F95439" s="193"/>
    </row>
    <row r="95440" spans="6:6" x14ac:dyDescent="0.3">
      <c r="F95440" s="193"/>
    </row>
    <row r="95441" spans="6:6" x14ac:dyDescent="0.3">
      <c r="F95441" s="193"/>
    </row>
    <row r="95442" spans="6:6" x14ac:dyDescent="0.3">
      <c r="F95442" s="193"/>
    </row>
    <row r="95443" spans="6:6" x14ac:dyDescent="0.3">
      <c r="F95443" s="193"/>
    </row>
    <row r="95444" spans="6:6" x14ac:dyDescent="0.3">
      <c r="F95444" s="193"/>
    </row>
    <row r="95445" spans="6:6" x14ac:dyDescent="0.3">
      <c r="F95445" s="193"/>
    </row>
    <row r="95446" spans="6:6" x14ac:dyDescent="0.3">
      <c r="F95446" s="193"/>
    </row>
    <row r="95447" spans="6:6" x14ac:dyDescent="0.3">
      <c r="F95447" s="193"/>
    </row>
    <row r="95448" spans="6:6" x14ac:dyDescent="0.3">
      <c r="F95448" s="193"/>
    </row>
    <row r="95449" spans="6:6" x14ac:dyDescent="0.3">
      <c r="F95449" s="193"/>
    </row>
    <row r="95450" spans="6:6" x14ac:dyDescent="0.3">
      <c r="F95450" s="193"/>
    </row>
    <row r="95451" spans="6:6" x14ac:dyDescent="0.3">
      <c r="F95451" s="193"/>
    </row>
    <row r="95452" spans="6:6" x14ac:dyDescent="0.3">
      <c r="F95452" s="193"/>
    </row>
    <row r="95453" spans="6:6" x14ac:dyDescent="0.3">
      <c r="F95453" s="193"/>
    </row>
    <row r="95454" spans="6:6" x14ac:dyDescent="0.3">
      <c r="F95454" s="193"/>
    </row>
    <row r="95455" spans="6:6" x14ac:dyDescent="0.3">
      <c r="F95455" s="193"/>
    </row>
    <row r="95456" spans="6:6" x14ac:dyDescent="0.3">
      <c r="F95456" s="193"/>
    </row>
    <row r="95457" spans="6:6" x14ac:dyDescent="0.3">
      <c r="F95457" s="193"/>
    </row>
    <row r="95458" spans="6:6" x14ac:dyDescent="0.3">
      <c r="F95458" s="193"/>
    </row>
    <row r="95459" spans="6:6" x14ac:dyDescent="0.3">
      <c r="F95459" s="193"/>
    </row>
    <row r="95460" spans="6:6" x14ac:dyDescent="0.3">
      <c r="F95460" s="193"/>
    </row>
    <row r="95461" spans="6:6" x14ac:dyDescent="0.3">
      <c r="F95461" s="193"/>
    </row>
    <row r="95462" spans="6:6" x14ac:dyDescent="0.3">
      <c r="F95462" s="193"/>
    </row>
    <row r="95463" spans="6:6" x14ac:dyDescent="0.3">
      <c r="F95463" s="193"/>
    </row>
    <row r="95464" spans="6:6" x14ac:dyDescent="0.3">
      <c r="F95464" s="193"/>
    </row>
    <row r="95465" spans="6:6" x14ac:dyDescent="0.3">
      <c r="F95465" s="193"/>
    </row>
    <row r="95466" spans="6:6" x14ac:dyDescent="0.3">
      <c r="F95466" s="193"/>
    </row>
    <row r="95467" spans="6:6" x14ac:dyDescent="0.3">
      <c r="F95467" s="193"/>
    </row>
    <row r="95468" spans="6:6" x14ac:dyDescent="0.3">
      <c r="F95468" s="193"/>
    </row>
    <row r="95469" spans="6:6" x14ac:dyDescent="0.3">
      <c r="F95469" s="193"/>
    </row>
    <row r="95470" spans="6:6" x14ac:dyDescent="0.3">
      <c r="F95470" s="193"/>
    </row>
    <row r="95471" spans="6:6" x14ac:dyDescent="0.3">
      <c r="F95471" s="193"/>
    </row>
    <row r="95472" spans="6:6" x14ac:dyDescent="0.3">
      <c r="F95472" s="193"/>
    </row>
    <row r="95473" spans="6:6" x14ac:dyDescent="0.3">
      <c r="F95473" s="193"/>
    </row>
    <row r="95474" spans="6:6" x14ac:dyDescent="0.3">
      <c r="F95474" s="193"/>
    </row>
    <row r="95475" spans="6:6" x14ac:dyDescent="0.3">
      <c r="F95475" s="193"/>
    </row>
    <row r="95476" spans="6:6" x14ac:dyDescent="0.3">
      <c r="F95476" s="193"/>
    </row>
    <row r="95477" spans="6:6" x14ac:dyDescent="0.3">
      <c r="F95477" s="193"/>
    </row>
    <row r="95478" spans="6:6" x14ac:dyDescent="0.3">
      <c r="F95478" s="193"/>
    </row>
    <row r="95479" spans="6:6" x14ac:dyDescent="0.3">
      <c r="F95479" s="193"/>
    </row>
    <row r="95480" spans="6:6" x14ac:dyDescent="0.3">
      <c r="F95480" s="193"/>
    </row>
    <row r="95481" spans="6:6" x14ac:dyDescent="0.3">
      <c r="F95481" s="193"/>
    </row>
    <row r="95482" spans="6:6" x14ac:dyDescent="0.3">
      <c r="F95482" s="193"/>
    </row>
    <row r="95483" spans="6:6" x14ac:dyDescent="0.3">
      <c r="F95483" s="193"/>
    </row>
    <row r="95484" spans="6:6" x14ac:dyDescent="0.3">
      <c r="F95484" s="193"/>
    </row>
    <row r="95485" spans="6:6" x14ac:dyDescent="0.3">
      <c r="F95485" s="193"/>
    </row>
    <row r="95486" spans="6:6" x14ac:dyDescent="0.3">
      <c r="F95486" s="193"/>
    </row>
    <row r="95487" spans="6:6" x14ac:dyDescent="0.3">
      <c r="F95487" s="193"/>
    </row>
    <row r="95488" spans="6:6" x14ac:dyDescent="0.3">
      <c r="F95488" s="193"/>
    </row>
    <row r="95489" spans="6:6" x14ac:dyDescent="0.3">
      <c r="F95489" s="193"/>
    </row>
    <row r="95490" spans="6:6" x14ac:dyDescent="0.3">
      <c r="F95490" s="193"/>
    </row>
    <row r="95491" spans="6:6" x14ac:dyDescent="0.3">
      <c r="F95491" s="193"/>
    </row>
    <row r="95492" spans="6:6" x14ac:dyDescent="0.3">
      <c r="F95492" s="193"/>
    </row>
    <row r="95493" spans="6:6" x14ac:dyDescent="0.3">
      <c r="F95493" s="193"/>
    </row>
    <row r="95494" spans="6:6" x14ac:dyDescent="0.3">
      <c r="F95494" s="193"/>
    </row>
    <row r="95495" spans="6:6" x14ac:dyDescent="0.3">
      <c r="F95495" s="193"/>
    </row>
    <row r="95496" spans="6:6" x14ac:dyDescent="0.3">
      <c r="F95496" s="193"/>
    </row>
    <row r="95497" spans="6:6" x14ac:dyDescent="0.3">
      <c r="F95497" s="193"/>
    </row>
    <row r="95498" spans="6:6" x14ac:dyDescent="0.3">
      <c r="F95498" s="193"/>
    </row>
    <row r="95499" spans="6:6" x14ac:dyDescent="0.3">
      <c r="F95499" s="193"/>
    </row>
    <row r="95500" spans="6:6" x14ac:dyDescent="0.3">
      <c r="F95500" s="193"/>
    </row>
    <row r="95501" spans="6:6" x14ac:dyDescent="0.3">
      <c r="F95501" s="193"/>
    </row>
    <row r="95502" spans="6:6" x14ac:dyDescent="0.3">
      <c r="F95502" s="193"/>
    </row>
    <row r="95503" spans="6:6" x14ac:dyDescent="0.3">
      <c r="F95503" s="193"/>
    </row>
    <row r="95504" spans="6:6" x14ac:dyDescent="0.3">
      <c r="F95504" s="193"/>
    </row>
    <row r="95505" spans="6:6" x14ac:dyDescent="0.3">
      <c r="F95505" s="193"/>
    </row>
    <row r="95506" spans="6:6" x14ac:dyDescent="0.3">
      <c r="F95506" s="193"/>
    </row>
    <row r="95507" spans="6:6" x14ac:dyDescent="0.3">
      <c r="F95507" s="193"/>
    </row>
    <row r="95508" spans="6:6" x14ac:dyDescent="0.3">
      <c r="F95508" s="193"/>
    </row>
    <row r="95509" spans="6:6" x14ac:dyDescent="0.3">
      <c r="F95509" s="193"/>
    </row>
    <row r="95510" spans="6:6" x14ac:dyDescent="0.3">
      <c r="F95510" s="193"/>
    </row>
    <row r="95511" spans="6:6" x14ac:dyDescent="0.3">
      <c r="F95511" s="193"/>
    </row>
    <row r="95512" spans="6:6" x14ac:dyDescent="0.3">
      <c r="F95512" s="193"/>
    </row>
    <row r="95513" spans="6:6" x14ac:dyDescent="0.3">
      <c r="F95513" s="193"/>
    </row>
    <row r="95514" spans="6:6" x14ac:dyDescent="0.3">
      <c r="F95514" s="193"/>
    </row>
    <row r="95515" spans="6:6" x14ac:dyDescent="0.3">
      <c r="F95515" s="193"/>
    </row>
    <row r="95516" spans="6:6" x14ac:dyDescent="0.3">
      <c r="F95516" s="193"/>
    </row>
    <row r="95517" spans="6:6" x14ac:dyDescent="0.3">
      <c r="F95517" s="193"/>
    </row>
    <row r="95518" spans="6:6" x14ac:dyDescent="0.3">
      <c r="F95518" s="193"/>
    </row>
    <row r="95519" spans="6:6" x14ac:dyDescent="0.3">
      <c r="F95519" s="193"/>
    </row>
    <row r="95520" spans="6:6" x14ac:dyDescent="0.3">
      <c r="F95520" s="193"/>
    </row>
    <row r="95521" spans="6:6" x14ac:dyDescent="0.3">
      <c r="F95521" s="193"/>
    </row>
    <row r="95522" spans="6:6" x14ac:dyDescent="0.3">
      <c r="F95522" s="193"/>
    </row>
    <row r="95523" spans="6:6" x14ac:dyDescent="0.3">
      <c r="F95523" s="193"/>
    </row>
    <row r="95524" spans="6:6" x14ac:dyDescent="0.3">
      <c r="F95524" s="193"/>
    </row>
    <row r="95525" spans="6:6" x14ac:dyDescent="0.3">
      <c r="F95525" s="193"/>
    </row>
    <row r="95526" spans="6:6" x14ac:dyDescent="0.3">
      <c r="F95526" s="193"/>
    </row>
    <row r="95527" spans="6:6" x14ac:dyDescent="0.3">
      <c r="F95527" s="193"/>
    </row>
    <row r="95528" spans="6:6" x14ac:dyDescent="0.3">
      <c r="F95528" s="193"/>
    </row>
    <row r="95529" spans="6:6" x14ac:dyDescent="0.3">
      <c r="F95529" s="193"/>
    </row>
    <row r="95530" spans="6:6" x14ac:dyDescent="0.3">
      <c r="F95530" s="193"/>
    </row>
    <row r="95531" spans="6:6" x14ac:dyDescent="0.3">
      <c r="F95531" s="193"/>
    </row>
    <row r="95532" spans="6:6" x14ac:dyDescent="0.3">
      <c r="F95532" s="193"/>
    </row>
    <row r="95533" spans="6:6" x14ac:dyDescent="0.3">
      <c r="F95533" s="193"/>
    </row>
    <row r="95534" spans="6:6" x14ac:dyDescent="0.3">
      <c r="F95534" s="193"/>
    </row>
    <row r="95535" spans="6:6" x14ac:dyDescent="0.3">
      <c r="F95535" s="193"/>
    </row>
    <row r="95536" spans="6:6" x14ac:dyDescent="0.3">
      <c r="F95536" s="193"/>
    </row>
    <row r="95537" spans="6:6" x14ac:dyDescent="0.3">
      <c r="F95537" s="193"/>
    </row>
    <row r="95538" spans="6:6" x14ac:dyDescent="0.3">
      <c r="F95538" s="193"/>
    </row>
    <row r="95539" spans="6:6" x14ac:dyDescent="0.3">
      <c r="F95539" s="193"/>
    </row>
    <row r="95540" spans="6:6" x14ac:dyDescent="0.3">
      <c r="F95540" s="193"/>
    </row>
    <row r="95541" spans="6:6" x14ac:dyDescent="0.3">
      <c r="F95541" s="193"/>
    </row>
    <row r="95542" spans="6:6" x14ac:dyDescent="0.3">
      <c r="F95542" s="193"/>
    </row>
    <row r="95543" spans="6:6" x14ac:dyDescent="0.3">
      <c r="F95543" s="193"/>
    </row>
    <row r="95544" spans="6:6" x14ac:dyDescent="0.3">
      <c r="F95544" s="193"/>
    </row>
    <row r="95545" spans="6:6" x14ac:dyDescent="0.3">
      <c r="F95545" s="193"/>
    </row>
    <row r="95546" spans="6:6" x14ac:dyDescent="0.3">
      <c r="F95546" s="193"/>
    </row>
    <row r="95547" spans="6:6" x14ac:dyDescent="0.3">
      <c r="F95547" s="193"/>
    </row>
    <row r="95548" spans="6:6" x14ac:dyDescent="0.3">
      <c r="F95548" s="193"/>
    </row>
    <row r="95549" spans="6:6" x14ac:dyDescent="0.3">
      <c r="F95549" s="193"/>
    </row>
    <row r="95550" spans="6:6" x14ac:dyDescent="0.3">
      <c r="F95550" s="193"/>
    </row>
    <row r="95551" spans="6:6" x14ac:dyDescent="0.3">
      <c r="F95551" s="193"/>
    </row>
    <row r="95552" spans="6:6" x14ac:dyDescent="0.3">
      <c r="F95552" s="193"/>
    </row>
    <row r="95553" spans="6:6" x14ac:dyDescent="0.3">
      <c r="F95553" s="193"/>
    </row>
    <row r="95554" spans="6:6" x14ac:dyDescent="0.3">
      <c r="F95554" s="193"/>
    </row>
    <row r="95555" spans="6:6" x14ac:dyDescent="0.3">
      <c r="F95555" s="193"/>
    </row>
    <row r="95556" spans="6:6" x14ac:dyDescent="0.3">
      <c r="F95556" s="193"/>
    </row>
    <row r="95557" spans="6:6" x14ac:dyDescent="0.3">
      <c r="F95557" s="193"/>
    </row>
    <row r="95558" spans="6:6" x14ac:dyDescent="0.3">
      <c r="F95558" s="193"/>
    </row>
    <row r="95559" spans="6:6" x14ac:dyDescent="0.3">
      <c r="F95559" s="193"/>
    </row>
    <row r="95560" spans="6:6" x14ac:dyDescent="0.3">
      <c r="F95560" s="193"/>
    </row>
    <row r="95561" spans="6:6" x14ac:dyDescent="0.3">
      <c r="F95561" s="193"/>
    </row>
    <row r="95562" spans="6:6" x14ac:dyDescent="0.3">
      <c r="F95562" s="193"/>
    </row>
    <row r="95563" spans="6:6" x14ac:dyDescent="0.3">
      <c r="F95563" s="193"/>
    </row>
    <row r="95564" spans="6:6" x14ac:dyDescent="0.3">
      <c r="F95564" s="193"/>
    </row>
    <row r="95565" spans="6:6" x14ac:dyDescent="0.3">
      <c r="F95565" s="193"/>
    </row>
    <row r="95566" spans="6:6" x14ac:dyDescent="0.3">
      <c r="F95566" s="193"/>
    </row>
    <row r="95567" spans="6:6" x14ac:dyDescent="0.3">
      <c r="F95567" s="193"/>
    </row>
    <row r="95568" spans="6:6" x14ac:dyDescent="0.3">
      <c r="F95568" s="193"/>
    </row>
    <row r="95569" spans="6:6" x14ac:dyDescent="0.3">
      <c r="F95569" s="193"/>
    </row>
    <row r="95570" spans="6:6" x14ac:dyDescent="0.3">
      <c r="F95570" s="193"/>
    </row>
    <row r="95571" spans="6:6" x14ac:dyDescent="0.3">
      <c r="F95571" s="193"/>
    </row>
    <row r="95572" spans="6:6" x14ac:dyDescent="0.3">
      <c r="F95572" s="193"/>
    </row>
    <row r="95573" spans="6:6" x14ac:dyDescent="0.3">
      <c r="F95573" s="193"/>
    </row>
    <row r="95574" spans="6:6" x14ac:dyDescent="0.3">
      <c r="F95574" s="193"/>
    </row>
    <row r="95575" spans="6:6" x14ac:dyDescent="0.3">
      <c r="F95575" s="193"/>
    </row>
    <row r="95576" spans="6:6" x14ac:dyDescent="0.3">
      <c r="F95576" s="193"/>
    </row>
    <row r="95577" spans="6:6" x14ac:dyDescent="0.3">
      <c r="F95577" s="193"/>
    </row>
    <row r="95578" spans="6:6" x14ac:dyDescent="0.3">
      <c r="F95578" s="193"/>
    </row>
    <row r="95579" spans="6:6" x14ac:dyDescent="0.3">
      <c r="F95579" s="193"/>
    </row>
    <row r="95580" spans="6:6" x14ac:dyDescent="0.3">
      <c r="F95580" s="193"/>
    </row>
    <row r="95581" spans="6:6" x14ac:dyDescent="0.3">
      <c r="F95581" s="193"/>
    </row>
    <row r="95582" spans="6:6" x14ac:dyDescent="0.3">
      <c r="F95582" s="193"/>
    </row>
    <row r="95583" spans="6:6" x14ac:dyDescent="0.3">
      <c r="F95583" s="193"/>
    </row>
    <row r="95584" spans="6:6" x14ac:dyDescent="0.3">
      <c r="F95584" s="193"/>
    </row>
    <row r="95585" spans="6:6" x14ac:dyDescent="0.3">
      <c r="F95585" s="193"/>
    </row>
    <row r="95586" spans="6:6" x14ac:dyDescent="0.3">
      <c r="F95586" s="193"/>
    </row>
    <row r="95587" spans="6:6" x14ac:dyDescent="0.3">
      <c r="F95587" s="193"/>
    </row>
    <row r="95588" spans="6:6" x14ac:dyDescent="0.3">
      <c r="F95588" s="193"/>
    </row>
    <row r="95589" spans="6:6" x14ac:dyDescent="0.3">
      <c r="F95589" s="193"/>
    </row>
    <row r="95590" spans="6:6" x14ac:dyDescent="0.3">
      <c r="F95590" s="193"/>
    </row>
    <row r="95591" spans="6:6" x14ac:dyDescent="0.3">
      <c r="F95591" s="193"/>
    </row>
    <row r="95592" spans="6:6" x14ac:dyDescent="0.3">
      <c r="F95592" s="193"/>
    </row>
    <row r="95593" spans="6:6" x14ac:dyDescent="0.3">
      <c r="F95593" s="193"/>
    </row>
    <row r="95594" spans="6:6" x14ac:dyDescent="0.3">
      <c r="F95594" s="193"/>
    </row>
    <row r="95595" spans="6:6" x14ac:dyDescent="0.3">
      <c r="F95595" s="193"/>
    </row>
    <row r="95596" spans="6:6" x14ac:dyDescent="0.3">
      <c r="F95596" s="193"/>
    </row>
    <row r="95597" spans="6:6" x14ac:dyDescent="0.3">
      <c r="F95597" s="193"/>
    </row>
    <row r="95598" spans="6:6" x14ac:dyDescent="0.3">
      <c r="F95598" s="193"/>
    </row>
    <row r="95599" spans="6:6" x14ac:dyDescent="0.3">
      <c r="F95599" s="193"/>
    </row>
    <row r="95600" spans="6:6" x14ac:dyDescent="0.3">
      <c r="F95600" s="193"/>
    </row>
    <row r="95601" spans="6:6" x14ac:dyDescent="0.3">
      <c r="F95601" s="193"/>
    </row>
    <row r="95602" spans="6:6" x14ac:dyDescent="0.3">
      <c r="F95602" s="193"/>
    </row>
    <row r="95603" spans="6:6" x14ac:dyDescent="0.3">
      <c r="F95603" s="193"/>
    </row>
    <row r="95604" spans="6:6" x14ac:dyDescent="0.3">
      <c r="F95604" s="193"/>
    </row>
    <row r="95605" spans="6:6" x14ac:dyDescent="0.3">
      <c r="F95605" s="193"/>
    </row>
    <row r="95606" spans="6:6" x14ac:dyDescent="0.3">
      <c r="F95606" s="193"/>
    </row>
    <row r="95607" spans="6:6" x14ac:dyDescent="0.3">
      <c r="F95607" s="193"/>
    </row>
    <row r="95608" spans="6:6" x14ac:dyDescent="0.3">
      <c r="F95608" s="193"/>
    </row>
    <row r="95609" spans="6:6" x14ac:dyDescent="0.3">
      <c r="F95609" s="193"/>
    </row>
    <row r="95610" spans="6:6" x14ac:dyDescent="0.3">
      <c r="F95610" s="193"/>
    </row>
    <row r="95611" spans="6:6" x14ac:dyDescent="0.3">
      <c r="F95611" s="193"/>
    </row>
    <row r="95612" spans="6:6" x14ac:dyDescent="0.3">
      <c r="F95612" s="193"/>
    </row>
    <row r="95613" spans="6:6" x14ac:dyDescent="0.3">
      <c r="F95613" s="193"/>
    </row>
    <row r="95614" spans="6:6" x14ac:dyDescent="0.3">
      <c r="F95614" s="193"/>
    </row>
    <row r="95615" spans="6:6" x14ac:dyDescent="0.3">
      <c r="F95615" s="193"/>
    </row>
    <row r="95616" spans="6:6" x14ac:dyDescent="0.3">
      <c r="F95616" s="193"/>
    </row>
    <row r="95617" spans="6:6" x14ac:dyDescent="0.3">
      <c r="F95617" s="193"/>
    </row>
    <row r="95618" spans="6:6" x14ac:dyDescent="0.3">
      <c r="F95618" s="193"/>
    </row>
    <row r="95619" spans="6:6" x14ac:dyDescent="0.3">
      <c r="F95619" s="193"/>
    </row>
    <row r="95620" spans="6:6" x14ac:dyDescent="0.3">
      <c r="F95620" s="193"/>
    </row>
    <row r="95621" spans="6:6" x14ac:dyDescent="0.3">
      <c r="F95621" s="193"/>
    </row>
    <row r="95622" spans="6:6" x14ac:dyDescent="0.3">
      <c r="F95622" s="193"/>
    </row>
    <row r="95623" spans="6:6" x14ac:dyDescent="0.3">
      <c r="F95623" s="193"/>
    </row>
    <row r="95624" spans="6:6" x14ac:dyDescent="0.3">
      <c r="F95624" s="193"/>
    </row>
    <row r="95625" spans="6:6" x14ac:dyDescent="0.3">
      <c r="F95625" s="193"/>
    </row>
    <row r="95626" spans="6:6" x14ac:dyDescent="0.3">
      <c r="F95626" s="193"/>
    </row>
    <row r="95627" spans="6:6" x14ac:dyDescent="0.3">
      <c r="F95627" s="193"/>
    </row>
    <row r="95628" spans="6:6" x14ac:dyDescent="0.3">
      <c r="F95628" s="193"/>
    </row>
    <row r="95629" spans="6:6" x14ac:dyDescent="0.3">
      <c r="F95629" s="193"/>
    </row>
    <row r="95630" spans="6:6" x14ac:dyDescent="0.3">
      <c r="F95630" s="193"/>
    </row>
    <row r="95631" spans="6:6" x14ac:dyDescent="0.3">
      <c r="F95631" s="193"/>
    </row>
    <row r="95632" spans="6:6" x14ac:dyDescent="0.3">
      <c r="F95632" s="193"/>
    </row>
    <row r="95633" spans="6:6" x14ac:dyDescent="0.3">
      <c r="F95633" s="193"/>
    </row>
    <row r="95634" spans="6:6" x14ac:dyDescent="0.3">
      <c r="F95634" s="193"/>
    </row>
    <row r="95635" spans="6:6" x14ac:dyDescent="0.3">
      <c r="F95635" s="193"/>
    </row>
    <row r="95636" spans="6:6" x14ac:dyDescent="0.3">
      <c r="F95636" s="193"/>
    </row>
    <row r="95637" spans="6:6" x14ac:dyDescent="0.3">
      <c r="F95637" s="193"/>
    </row>
    <row r="95638" spans="6:6" x14ac:dyDescent="0.3">
      <c r="F95638" s="193"/>
    </row>
    <row r="95639" spans="6:6" x14ac:dyDescent="0.3">
      <c r="F95639" s="193"/>
    </row>
    <row r="95640" spans="6:6" x14ac:dyDescent="0.3">
      <c r="F95640" s="193"/>
    </row>
    <row r="95641" spans="6:6" x14ac:dyDescent="0.3">
      <c r="F95641" s="193"/>
    </row>
    <row r="95642" spans="6:6" x14ac:dyDescent="0.3">
      <c r="F95642" s="193"/>
    </row>
    <row r="95643" spans="6:6" x14ac:dyDescent="0.3">
      <c r="F95643" s="193"/>
    </row>
    <row r="95644" spans="6:6" x14ac:dyDescent="0.3">
      <c r="F95644" s="193"/>
    </row>
    <row r="95645" spans="6:6" x14ac:dyDescent="0.3">
      <c r="F95645" s="193"/>
    </row>
    <row r="95646" spans="6:6" x14ac:dyDescent="0.3">
      <c r="F95646" s="193"/>
    </row>
    <row r="95647" spans="6:6" x14ac:dyDescent="0.3">
      <c r="F95647" s="193"/>
    </row>
    <row r="95648" spans="6:6" x14ac:dyDescent="0.3">
      <c r="F95648" s="193"/>
    </row>
    <row r="95649" spans="6:6" x14ac:dyDescent="0.3">
      <c r="F95649" s="193"/>
    </row>
    <row r="95650" spans="6:6" x14ac:dyDescent="0.3">
      <c r="F95650" s="193"/>
    </row>
    <row r="95651" spans="6:6" x14ac:dyDescent="0.3">
      <c r="F95651" s="193"/>
    </row>
    <row r="95652" spans="6:6" x14ac:dyDescent="0.3">
      <c r="F95652" s="193"/>
    </row>
    <row r="95653" spans="6:6" x14ac:dyDescent="0.3">
      <c r="F95653" s="193"/>
    </row>
    <row r="95654" spans="6:6" x14ac:dyDescent="0.3">
      <c r="F95654" s="193"/>
    </row>
    <row r="95655" spans="6:6" x14ac:dyDescent="0.3">
      <c r="F95655" s="193"/>
    </row>
    <row r="95656" spans="6:6" x14ac:dyDescent="0.3">
      <c r="F95656" s="193"/>
    </row>
    <row r="95657" spans="6:6" x14ac:dyDescent="0.3">
      <c r="F95657" s="193"/>
    </row>
    <row r="95658" spans="6:6" x14ac:dyDescent="0.3">
      <c r="F95658" s="193"/>
    </row>
    <row r="95659" spans="6:6" x14ac:dyDescent="0.3">
      <c r="F95659" s="193"/>
    </row>
    <row r="95660" spans="6:6" x14ac:dyDescent="0.3">
      <c r="F95660" s="193"/>
    </row>
    <row r="95661" spans="6:6" x14ac:dyDescent="0.3">
      <c r="F95661" s="193"/>
    </row>
    <row r="95662" spans="6:6" x14ac:dyDescent="0.3">
      <c r="F95662" s="193"/>
    </row>
    <row r="95663" spans="6:6" x14ac:dyDescent="0.3">
      <c r="F95663" s="193"/>
    </row>
    <row r="95664" spans="6:6" x14ac:dyDescent="0.3">
      <c r="F95664" s="193"/>
    </row>
    <row r="95665" spans="6:6" x14ac:dyDescent="0.3">
      <c r="F95665" s="193"/>
    </row>
    <row r="95666" spans="6:6" x14ac:dyDescent="0.3">
      <c r="F95666" s="193"/>
    </row>
    <row r="95667" spans="6:6" x14ac:dyDescent="0.3">
      <c r="F95667" s="193"/>
    </row>
    <row r="95668" spans="6:6" x14ac:dyDescent="0.3">
      <c r="F95668" s="193"/>
    </row>
    <row r="95669" spans="6:6" x14ac:dyDescent="0.3">
      <c r="F95669" s="193"/>
    </row>
    <row r="95670" spans="6:6" x14ac:dyDescent="0.3">
      <c r="F95670" s="193"/>
    </row>
    <row r="95671" spans="6:6" x14ac:dyDescent="0.3">
      <c r="F95671" s="193"/>
    </row>
    <row r="95672" spans="6:6" x14ac:dyDescent="0.3">
      <c r="F95672" s="193"/>
    </row>
    <row r="95673" spans="6:6" x14ac:dyDescent="0.3">
      <c r="F95673" s="193"/>
    </row>
    <row r="95674" spans="6:6" x14ac:dyDescent="0.3">
      <c r="F95674" s="193"/>
    </row>
    <row r="95675" spans="6:6" x14ac:dyDescent="0.3">
      <c r="F95675" s="193"/>
    </row>
    <row r="95676" spans="6:6" x14ac:dyDescent="0.3">
      <c r="F95676" s="193"/>
    </row>
    <row r="95677" spans="6:6" x14ac:dyDescent="0.3">
      <c r="F95677" s="193"/>
    </row>
    <row r="95678" spans="6:6" x14ac:dyDescent="0.3">
      <c r="F95678" s="193"/>
    </row>
    <row r="95679" spans="6:6" x14ac:dyDescent="0.3">
      <c r="F95679" s="193"/>
    </row>
    <row r="95680" spans="6:6" x14ac:dyDescent="0.3">
      <c r="F95680" s="193"/>
    </row>
    <row r="95681" spans="6:6" x14ac:dyDescent="0.3">
      <c r="F95681" s="193"/>
    </row>
    <row r="95682" spans="6:6" x14ac:dyDescent="0.3">
      <c r="F95682" s="193"/>
    </row>
    <row r="95683" spans="6:6" x14ac:dyDescent="0.3">
      <c r="F95683" s="193"/>
    </row>
    <row r="95684" spans="6:6" x14ac:dyDescent="0.3">
      <c r="F95684" s="193"/>
    </row>
    <row r="95685" spans="6:6" x14ac:dyDescent="0.3">
      <c r="F95685" s="193"/>
    </row>
    <row r="95686" spans="6:6" x14ac:dyDescent="0.3">
      <c r="F95686" s="193"/>
    </row>
    <row r="95687" spans="6:6" x14ac:dyDescent="0.3">
      <c r="F95687" s="193"/>
    </row>
    <row r="95688" spans="6:6" x14ac:dyDescent="0.3">
      <c r="F95688" s="193"/>
    </row>
    <row r="95689" spans="6:6" x14ac:dyDescent="0.3">
      <c r="F95689" s="193"/>
    </row>
    <row r="95690" spans="6:6" x14ac:dyDescent="0.3">
      <c r="F95690" s="193"/>
    </row>
    <row r="95691" spans="6:6" x14ac:dyDescent="0.3">
      <c r="F95691" s="193"/>
    </row>
    <row r="95692" spans="6:6" x14ac:dyDescent="0.3">
      <c r="F95692" s="193"/>
    </row>
    <row r="95693" spans="6:6" x14ac:dyDescent="0.3">
      <c r="F95693" s="193"/>
    </row>
    <row r="95694" spans="6:6" x14ac:dyDescent="0.3">
      <c r="F95694" s="193"/>
    </row>
    <row r="95695" spans="6:6" x14ac:dyDescent="0.3">
      <c r="F95695" s="193"/>
    </row>
    <row r="95696" spans="6:6" x14ac:dyDescent="0.3">
      <c r="F95696" s="193"/>
    </row>
    <row r="95697" spans="6:6" x14ac:dyDescent="0.3">
      <c r="F95697" s="193"/>
    </row>
    <row r="95698" spans="6:6" x14ac:dyDescent="0.3">
      <c r="F95698" s="193"/>
    </row>
    <row r="95699" spans="6:6" x14ac:dyDescent="0.3">
      <c r="F95699" s="193"/>
    </row>
    <row r="95700" spans="6:6" x14ac:dyDescent="0.3">
      <c r="F95700" s="193"/>
    </row>
    <row r="95701" spans="6:6" x14ac:dyDescent="0.3">
      <c r="F95701" s="193"/>
    </row>
    <row r="95702" spans="6:6" x14ac:dyDescent="0.3">
      <c r="F95702" s="193"/>
    </row>
    <row r="95703" spans="6:6" x14ac:dyDescent="0.3">
      <c r="F95703" s="193"/>
    </row>
    <row r="95704" spans="6:6" x14ac:dyDescent="0.3">
      <c r="F95704" s="193"/>
    </row>
    <row r="95705" spans="6:6" x14ac:dyDescent="0.3">
      <c r="F95705" s="193"/>
    </row>
    <row r="95706" spans="6:6" x14ac:dyDescent="0.3">
      <c r="F95706" s="193"/>
    </row>
    <row r="95707" spans="6:6" x14ac:dyDescent="0.3">
      <c r="F95707" s="193"/>
    </row>
    <row r="95708" spans="6:6" x14ac:dyDescent="0.3">
      <c r="F95708" s="193"/>
    </row>
    <row r="95709" spans="6:6" x14ac:dyDescent="0.3">
      <c r="F95709" s="193"/>
    </row>
    <row r="95710" spans="6:6" x14ac:dyDescent="0.3">
      <c r="F95710" s="193"/>
    </row>
    <row r="95711" spans="6:6" x14ac:dyDescent="0.3">
      <c r="F95711" s="193"/>
    </row>
    <row r="95712" spans="6:6" x14ac:dyDescent="0.3">
      <c r="F95712" s="193"/>
    </row>
    <row r="95713" spans="6:6" x14ac:dyDescent="0.3">
      <c r="F95713" s="193"/>
    </row>
    <row r="95714" spans="6:6" x14ac:dyDescent="0.3">
      <c r="F95714" s="193"/>
    </row>
    <row r="95715" spans="6:6" x14ac:dyDescent="0.3">
      <c r="F95715" s="193"/>
    </row>
    <row r="95716" spans="6:6" x14ac:dyDescent="0.3">
      <c r="F95716" s="193"/>
    </row>
    <row r="95717" spans="6:6" x14ac:dyDescent="0.3">
      <c r="F95717" s="193"/>
    </row>
    <row r="95718" spans="6:6" x14ac:dyDescent="0.3">
      <c r="F95718" s="193"/>
    </row>
    <row r="95719" spans="6:6" x14ac:dyDescent="0.3">
      <c r="F95719" s="193"/>
    </row>
    <row r="95720" spans="6:6" x14ac:dyDescent="0.3">
      <c r="F95720" s="193"/>
    </row>
    <row r="95721" spans="6:6" x14ac:dyDescent="0.3">
      <c r="F95721" s="193"/>
    </row>
    <row r="95722" spans="6:6" x14ac:dyDescent="0.3">
      <c r="F95722" s="193"/>
    </row>
    <row r="95723" spans="6:6" x14ac:dyDescent="0.3">
      <c r="F95723" s="193"/>
    </row>
    <row r="95724" spans="6:6" x14ac:dyDescent="0.3">
      <c r="F95724" s="193"/>
    </row>
    <row r="95725" spans="6:6" x14ac:dyDescent="0.3">
      <c r="F95725" s="193"/>
    </row>
    <row r="95726" spans="6:6" x14ac:dyDescent="0.3">
      <c r="F95726" s="193"/>
    </row>
    <row r="95727" spans="6:6" x14ac:dyDescent="0.3">
      <c r="F95727" s="193"/>
    </row>
    <row r="95728" spans="6:6" x14ac:dyDescent="0.3">
      <c r="F95728" s="193"/>
    </row>
    <row r="95729" spans="6:6" x14ac:dyDescent="0.3">
      <c r="F95729" s="193"/>
    </row>
    <row r="95730" spans="6:6" x14ac:dyDescent="0.3">
      <c r="F95730" s="193"/>
    </row>
    <row r="95731" spans="6:6" x14ac:dyDescent="0.3">
      <c r="F95731" s="193"/>
    </row>
    <row r="95732" spans="6:6" x14ac:dyDescent="0.3">
      <c r="F95732" s="193"/>
    </row>
    <row r="95733" spans="6:6" x14ac:dyDescent="0.3">
      <c r="F95733" s="193"/>
    </row>
    <row r="95734" spans="6:6" x14ac:dyDescent="0.3">
      <c r="F95734" s="193"/>
    </row>
    <row r="95735" spans="6:6" x14ac:dyDescent="0.3">
      <c r="F95735" s="193"/>
    </row>
    <row r="95736" spans="6:6" x14ac:dyDescent="0.3">
      <c r="F95736" s="193"/>
    </row>
    <row r="95737" spans="6:6" x14ac:dyDescent="0.3">
      <c r="F95737" s="193"/>
    </row>
    <row r="95738" spans="6:6" x14ac:dyDescent="0.3">
      <c r="F95738" s="193"/>
    </row>
    <row r="95739" spans="6:6" x14ac:dyDescent="0.3">
      <c r="F95739" s="193"/>
    </row>
    <row r="95740" spans="6:6" x14ac:dyDescent="0.3">
      <c r="F95740" s="193"/>
    </row>
    <row r="95741" spans="6:6" x14ac:dyDescent="0.3">
      <c r="F95741" s="193"/>
    </row>
    <row r="95742" spans="6:6" x14ac:dyDescent="0.3">
      <c r="F95742" s="193"/>
    </row>
    <row r="95743" spans="6:6" x14ac:dyDescent="0.3">
      <c r="F95743" s="193"/>
    </row>
    <row r="95744" spans="6:6" x14ac:dyDescent="0.3">
      <c r="F95744" s="193"/>
    </row>
    <row r="95745" spans="6:6" x14ac:dyDescent="0.3">
      <c r="F95745" s="193"/>
    </row>
    <row r="95746" spans="6:6" x14ac:dyDescent="0.3">
      <c r="F95746" s="193"/>
    </row>
    <row r="95747" spans="6:6" x14ac:dyDescent="0.3">
      <c r="F95747" s="193"/>
    </row>
    <row r="95748" spans="6:6" x14ac:dyDescent="0.3">
      <c r="F95748" s="193"/>
    </row>
    <row r="95749" spans="6:6" x14ac:dyDescent="0.3">
      <c r="F95749" s="193"/>
    </row>
    <row r="95750" spans="6:6" x14ac:dyDescent="0.3">
      <c r="F95750" s="193"/>
    </row>
    <row r="95751" spans="6:6" x14ac:dyDescent="0.3">
      <c r="F95751" s="193"/>
    </row>
    <row r="95752" spans="6:6" x14ac:dyDescent="0.3">
      <c r="F95752" s="193"/>
    </row>
    <row r="95753" spans="6:6" x14ac:dyDescent="0.3">
      <c r="F95753" s="193"/>
    </row>
    <row r="95754" spans="6:6" x14ac:dyDescent="0.3">
      <c r="F95754" s="193"/>
    </row>
    <row r="95755" spans="6:6" x14ac:dyDescent="0.3">
      <c r="F95755" s="193"/>
    </row>
    <row r="95756" spans="6:6" x14ac:dyDescent="0.3">
      <c r="F95756" s="193"/>
    </row>
    <row r="95757" spans="6:6" x14ac:dyDescent="0.3">
      <c r="F95757" s="193"/>
    </row>
    <row r="95758" spans="6:6" x14ac:dyDescent="0.3">
      <c r="F95758" s="193"/>
    </row>
    <row r="95759" spans="6:6" x14ac:dyDescent="0.3">
      <c r="F95759" s="193"/>
    </row>
    <row r="95760" spans="6:6" x14ac:dyDescent="0.3">
      <c r="F95760" s="193"/>
    </row>
    <row r="95761" spans="6:6" x14ac:dyDescent="0.3">
      <c r="F95761" s="193"/>
    </row>
    <row r="95762" spans="6:6" x14ac:dyDescent="0.3">
      <c r="F95762" s="193"/>
    </row>
    <row r="95763" spans="6:6" x14ac:dyDescent="0.3">
      <c r="F95763" s="193"/>
    </row>
    <row r="95764" spans="6:6" x14ac:dyDescent="0.3">
      <c r="F95764" s="193"/>
    </row>
    <row r="95765" spans="6:6" x14ac:dyDescent="0.3">
      <c r="F95765" s="193"/>
    </row>
    <row r="95766" spans="6:6" x14ac:dyDescent="0.3">
      <c r="F95766" s="193"/>
    </row>
    <row r="95767" spans="6:6" x14ac:dyDescent="0.3">
      <c r="F95767" s="193"/>
    </row>
    <row r="95768" spans="6:6" x14ac:dyDescent="0.3">
      <c r="F95768" s="193"/>
    </row>
    <row r="95769" spans="6:6" x14ac:dyDescent="0.3">
      <c r="F95769" s="193"/>
    </row>
    <row r="95770" spans="6:6" x14ac:dyDescent="0.3">
      <c r="F95770" s="193"/>
    </row>
    <row r="95771" spans="6:6" x14ac:dyDescent="0.3">
      <c r="F95771" s="193"/>
    </row>
    <row r="95772" spans="6:6" x14ac:dyDescent="0.3">
      <c r="F95772" s="193"/>
    </row>
    <row r="95773" spans="6:6" x14ac:dyDescent="0.3">
      <c r="F95773" s="193"/>
    </row>
    <row r="95774" spans="6:6" x14ac:dyDescent="0.3">
      <c r="F95774" s="193"/>
    </row>
    <row r="95775" spans="6:6" x14ac:dyDescent="0.3">
      <c r="F95775" s="193"/>
    </row>
    <row r="95776" spans="6:6" x14ac:dyDescent="0.3">
      <c r="F95776" s="193"/>
    </row>
    <row r="95777" spans="6:6" x14ac:dyDescent="0.3">
      <c r="F95777" s="193"/>
    </row>
    <row r="95778" spans="6:6" x14ac:dyDescent="0.3">
      <c r="F95778" s="193"/>
    </row>
    <row r="95779" spans="6:6" x14ac:dyDescent="0.3">
      <c r="F95779" s="193"/>
    </row>
    <row r="95780" spans="6:6" x14ac:dyDescent="0.3">
      <c r="F95780" s="193"/>
    </row>
    <row r="95781" spans="6:6" x14ac:dyDescent="0.3">
      <c r="F95781" s="193"/>
    </row>
    <row r="95782" spans="6:6" x14ac:dyDescent="0.3">
      <c r="F95782" s="193"/>
    </row>
    <row r="95783" spans="6:6" x14ac:dyDescent="0.3">
      <c r="F95783" s="193"/>
    </row>
    <row r="95784" spans="6:6" x14ac:dyDescent="0.3">
      <c r="F95784" s="193"/>
    </row>
    <row r="95785" spans="6:6" x14ac:dyDescent="0.3">
      <c r="F95785" s="193"/>
    </row>
    <row r="95786" spans="6:6" x14ac:dyDescent="0.3">
      <c r="F95786" s="193"/>
    </row>
    <row r="95787" spans="6:6" x14ac:dyDescent="0.3">
      <c r="F95787" s="193"/>
    </row>
    <row r="95788" spans="6:6" x14ac:dyDescent="0.3">
      <c r="F95788" s="193"/>
    </row>
    <row r="95789" spans="6:6" x14ac:dyDescent="0.3">
      <c r="F95789" s="193"/>
    </row>
    <row r="95790" spans="6:6" x14ac:dyDescent="0.3">
      <c r="F95790" s="193"/>
    </row>
    <row r="95791" spans="6:6" x14ac:dyDescent="0.3">
      <c r="F95791" s="193"/>
    </row>
    <row r="95792" spans="6:6" x14ac:dyDescent="0.3">
      <c r="F95792" s="193"/>
    </row>
    <row r="95793" spans="6:6" x14ac:dyDescent="0.3">
      <c r="F95793" s="193"/>
    </row>
    <row r="95794" spans="6:6" x14ac:dyDescent="0.3">
      <c r="F95794" s="193"/>
    </row>
    <row r="95795" spans="6:6" x14ac:dyDescent="0.3">
      <c r="F95795" s="193"/>
    </row>
    <row r="95796" spans="6:6" x14ac:dyDescent="0.3">
      <c r="F95796" s="193"/>
    </row>
    <row r="95797" spans="6:6" x14ac:dyDescent="0.3">
      <c r="F95797" s="193"/>
    </row>
    <row r="95798" spans="6:6" x14ac:dyDescent="0.3">
      <c r="F95798" s="193"/>
    </row>
    <row r="95799" spans="6:6" x14ac:dyDescent="0.3">
      <c r="F95799" s="193"/>
    </row>
    <row r="95800" spans="6:6" x14ac:dyDescent="0.3">
      <c r="F95800" s="193"/>
    </row>
    <row r="95801" spans="6:6" x14ac:dyDescent="0.3">
      <c r="F95801" s="193"/>
    </row>
    <row r="95802" spans="6:6" x14ac:dyDescent="0.3">
      <c r="F95802" s="193"/>
    </row>
    <row r="95803" spans="6:6" x14ac:dyDescent="0.3">
      <c r="F95803" s="193"/>
    </row>
    <row r="95804" spans="6:6" x14ac:dyDescent="0.3">
      <c r="F95804" s="193"/>
    </row>
    <row r="95805" spans="6:6" x14ac:dyDescent="0.3">
      <c r="F95805" s="193"/>
    </row>
    <row r="95806" spans="6:6" x14ac:dyDescent="0.3">
      <c r="F95806" s="193"/>
    </row>
    <row r="95807" spans="6:6" x14ac:dyDescent="0.3">
      <c r="F95807" s="193"/>
    </row>
    <row r="95808" spans="6:6" x14ac:dyDescent="0.3">
      <c r="F95808" s="193"/>
    </row>
    <row r="95809" spans="6:6" x14ac:dyDescent="0.3">
      <c r="F95809" s="193"/>
    </row>
    <row r="95810" spans="6:6" x14ac:dyDescent="0.3">
      <c r="F95810" s="193"/>
    </row>
    <row r="95811" spans="6:6" x14ac:dyDescent="0.3">
      <c r="F95811" s="193"/>
    </row>
    <row r="95812" spans="6:6" x14ac:dyDescent="0.3">
      <c r="F95812" s="193"/>
    </row>
    <row r="95813" spans="6:6" x14ac:dyDescent="0.3">
      <c r="F95813" s="193"/>
    </row>
    <row r="95814" spans="6:6" x14ac:dyDescent="0.3">
      <c r="F95814" s="193"/>
    </row>
    <row r="95815" spans="6:6" x14ac:dyDescent="0.3">
      <c r="F95815" s="193"/>
    </row>
    <row r="95816" spans="6:6" x14ac:dyDescent="0.3">
      <c r="F95816" s="193"/>
    </row>
    <row r="95817" spans="6:6" x14ac:dyDescent="0.3">
      <c r="F95817" s="193"/>
    </row>
    <row r="95818" spans="6:6" x14ac:dyDescent="0.3">
      <c r="F95818" s="193"/>
    </row>
    <row r="95819" spans="6:6" x14ac:dyDescent="0.3">
      <c r="F95819" s="193"/>
    </row>
    <row r="95820" spans="6:6" x14ac:dyDescent="0.3">
      <c r="F95820" s="193"/>
    </row>
    <row r="95821" spans="6:6" x14ac:dyDescent="0.3">
      <c r="F95821" s="193"/>
    </row>
    <row r="95822" spans="6:6" x14ac:dyDescent="0.3">
      <c r="F95822" s="193"/>
    </row>
    <row r="95823" spans="6:6" x14ac:dyDescent="0.3">
      <c r="F95823" s="193"/>
    </row>
    <row r="95824" spans="6:6" x14ac:dyDescent="0.3">
      <c r="F95824" s="193"/>
    </row>
    <row r="95825" spans="6:6" x14ac:dyDescent="0.3">
      <c r="F95825" s="193"/>
    </row>
    <row r="95826" spans="6:6" x14ac:dyDescent="0.3">
      <c r="F95826" s="193"/>
    </row>
    <row r="95827" spans="6:6" x14ac:dyDescent="0.3">
      <c r="F95827" s="193"/>
    </row>
    <row r="95828" spans="6:6" x14ac:dyDescent="0.3">
      <c r="F95828" s="193"/>
    </row>
    <row r="95829" spans="6:6" x14ac:dyDescent="0.3">
      <c r="F95829" s="193"/>
    </row>
    <row r="95830" spans="6:6" x14ac:dyDescent="0.3">
      <c r="F95830" s="193"/>
    </row>
    <row r="95831" spans="6:6" x14ac:dyDescent="0.3">
      <c r="F95831" s="193"/>
    </row>
    <row r="95832" spans="6:6" x14ac:dyDescent="0.3">
      <c r="F95832" s="193"/>
    </row>
    <row r="95833" spans="6:6" x14ac:dyDescent="0.3">
      <c r="F95833" s="193"/>
    </row>
    <row r="95834" spans="6:6" x14ac:dyDescent="0.3">
      <c r="F95834" s="193"/>
    </row>
    <row r="95835" spans="6:6" x14ac:dyDescent="0.3">
      <c r="F95835" s="193"/>
    </row>
    <row r="95836" spans="6:6" x14ac:dyDescent="0.3">
      <c r="F95836" s="193"/>
    </row>
    <row r="95837" spans="6:6" x14ac:dyDescent="0.3">
      <c r="F95837" s="193"/>
    </row>
    <row r="95838" spans="6:6" x14ac:dyDescent="0.3">
      <c r="F95838" s="193"/>
    </row>
    <row r="95839" spans="6:6" x14ac:dyDescent="0.3">
      <c r="F95839" s="193"/>
    </row>
    <row r="95840" spans="6:6" x14ac:dyDescent="0.3">
      <c r="F95840" s="193"/>
    </row>
    <row r="95841" spans="6:6" x14ac:dyDescent="0.3">
      <c r="F95841" s="193"/>
    </row>
    <row r="95842" spans="6:6" x14ac:dyDescent="0.3">
      <c r="F95842" s="193"/>
    </row>
    <row r="95843" spans="6:6" x14ac:dyDescent="0.3">
      <c r="F95843" s="193"/>
    </row>
    <row r="95844" spans="6:6" x14ac:dyDescent="0.3">
      <c r="F95844" s="193"/>
    </row>
    <row r="95845" spans="6:6" x14ac:dyDescent="0.3">
      <c r="F95845" s="193"/>
    </row>
    <row r="95846" spans="6:6" x14ac:dyDescent="0.3">
      <c r="F95846" s="193"/>
    </row>
    <row r="95847" spans="6:6" x14ac:dyDescent="0.3">
      <c r="F95847" s="193"/>
    </row>
    <row r="95848" spans="6:6" x14ac:dyDescent="0.3">
      <c r="F95848" s="193"/>
    </row>
    <row r="95849" spans="6:6" x14ac:dyDescent="0.3">
      <c r="F95849" s="193"/>
    </row>
    <row r="95850" spans="6:6" x14ac:dyDescent="0.3">
      <c r="F95850" s="193"/>
    </row>
    <row r="95851" spans="6:6" x14ac:dyDescent="0.3">
      <c r="F95851" s="193"/>
    </row>
    <row r="95852" spans="6:6" x14ac:dyDescent="0.3">
      <c r="F95852" s="193"/>
    </row>
    <row r="95853" spans="6:6" x14ac:dyDescent="0.3">
      <c r="F95853" s="193"/>
    </row>
    <row r="95854" spans="6:6" x14ac:dyDescent="0.3">
      <c r="F95854" s="193"/>
    </row>
    <row r="95855" spans="6:6" x14ac:dyDescent="0.3">
      <c r="F95855" s="193"/>
    </row>
    <row r="95856" spans="6:6" x14ac:dyDescent="0.3">
      <c r="F95856" s="193"/>
    </row>
    <row r="95857" spans="6:6" x14ac:dyDescent="0.3">
      <c r="F95857" s="193"/>
    </row>
    <row r="95858" spans="6:6" x14ac:dyDescent="0.3">
      <c r="F95858" s="193"/>
    </row>
    <row r="95859" spans="6:6" x14ac:dyDescent="0.3">
      <c r="F95859" s="193"/>
    </row>
    <row r="95860" spans="6:6" x14ac:dyDescent="0.3">
      <c r="F95860" s="193"/>
    </row>
    <row r="95861" spans="6:6" x14ac:dyDescent="0.3">
      <c r="F95861" s="193"/>
    </row>
    <row r="95862" spans="6:6" x14ac:dyDescent="0.3">
      <c r="F95862" s="193"/>
    </row>
    <row r="95863" spans="6:6" x14ac:dyDescent="0.3">
      <c r="F95863" s="193"/>
    </row>
    <row r="95864" spans="6:6" x14ac:dyDescent="0.3">
      <c r="F95864" s="193"/>
    </row>
    <row r="95865" spans="6:6" x14ac:dyDescent="0.3">
      <c r="F95865" s="193"/>
    </row>
    <row r="95866" spans="6:6" x14ac:dyDescent="0.3">
      <c r="F95866" s="193"/>
    </row>
    <row r="95867" spans="6:6" x14ac:dyDescent="0.3">
      <c r="F95867" s="193"/>
    </row>
    <row r="95868" spans="6:6" x14ac:dyDescent="0.3">
      <c r="F95868" s="193"/>
    </row>
    <row r="95869" spans="6:6" x14ac:dyDescent="0.3">
      <c r="F95869" s="193"/>
    </row>
    <row r="95870" spans="6:6" x14ac:dyDescent="0.3">
      <c r="F95870" s="193"/>
    </row>
    <row r="95871" spans="6:6" x14ac:dyDescent="0.3">
      <c r="F95871" s="193"/>
    </row>
    <row r="95872" spans="6:6" x14ac:dyDescent="0.3">
      <c r="F95872" s="193"/>
    </row>
    <row r="95873" spans="6:6" x14ac:dyDescent="0.3">
      <c r="F95873" s="193"/>
    </row>
    <row r="95874" spans="6:6" x14ac:dyDescent="0.3">
      <c r="F95874" s="193"/>
    </row>
    <row r="95875" spans="6:6" x14ac:dyDescent="0.3">
      <c r="F95875" s="193"/>
    </row>
    <row r="95876" spans="6:6" x14ac:dyDescent="0.3">
      <c r="F95876" s="193"/>
    </row>
    <row r="95877" spans="6:6" x14ac:dyDescent="0.3">
      <c r="F95877" s="193"/>
    </row>
    <row r="95878" spans="6:6" x14ac:dyDescent="0.3">
      <c r="F95878" s="193"/>
    </row>
    <row r="95879" spans="6:6" x14ac:dyDescent="0.3">
      <c r="F95879" s="193"/>
    </row>
    <row r="95880" spans="6:6" x14ac:dyDescent="0.3">
      <c r="F95880" s="193"/>
    </row>
    <row r="95881" spans="6:6" x14ac:dyDescent="0.3">
      <c r="F95881" s="193"/>
    </row>
    <row r="95882" spans="6:6" x14ac:dyDescent="0.3">
      <c r="F95882" s="193"/>
    </row>
    <row r="95883" spans="6:6" x14ac:dyDescent="0.3">
      <c r="F95883" s="193"/>
    </row>
    <row r="95884" spans="6:6" x14ac:dyDescent="0.3">
      <c r="F95884" s="193"/>
    </row>
    <row r="95885" spans="6:6" x14ac:dyDescent="0.3">
      <c r="F95885" s="193"/>
    </row>
    <row r="95886" spans="6:6" x14ac:dyDescent="0.3">
      <c r="F95886" s="193"/>
    </row>
    <row r="95887" spans="6:6" x14ac:dyDescent="0.3">
      <c r="F95887" s="193"/>
    </row>
    <row r="95888" spans="6:6" x14ac:dyDescent="0.3">
      <c r="F95888" s="193"/>
    </row>
    <row r="95889" spans="6:6" x14ac:dyDescent="0.3">
      <c r="F95889" s="193"/>
    </row>
    <row r="95890" spans="6:6" x14ac:dyDescent="0.3">
      <c r="F95890" s="193"/>
    </row>
    <row r="95891" spans="6:6" x14ac:dyDescent="0.3">
      <c r="F95891" s="193"/>
    </row>
    <row r="95892" spans="6:6" x14ac:dyDescent="0.3">
      <c r="F95892" s="193"/>
    </row>
    <row r="95893" spans="6:6" x14ac:dyDescent="0.3">
      <c r="F95893" s="193"/>
    </row>
    <row r="95894" spans="6:6" x14ac:dyDescent="0.3">
      <c r="F95894" s="193"/>
    </row>
    <row r="95895" spans="6:6" x14ac:dyDescent="0.3">
      <c r="F95895" s="193"/>
    </row>
    <row r="95896" spans="6:6" x14ac:dyDescent="0.3">
      <c r="F95896" s="193"/>
    </row>
    <row r="95897" spans="6:6" x14ac:dyDescent="0.3">
      <c r="F95897" s="193"/>
    </row>
    <row r="95898" spans="6:6" x14ac:dyDescent="0.3">
      <c r="F95898" s="193"/>
    </row>
    <row r="95899" spans="6:6" x14ac:dyDescent="0.3">
      <c r="F95899" s="193"/>
    </row>
    <row r="95900" spans="6:6" x14ac:dyDescent="0.3">
      <c r="F95900" s="193"/>
    </row>
    <row r="95901" spans="6:6" x14ac:dyDescent="0.3">
      <c r="F95901" s="193"/>
    </row>
    <row r="95902" spans="6:6" x14ac:dyDescent="0.3">
      <c r="F95902" s="193"/>
    </row>
    <row r="95903" spans="6:6" x14ac:dyDescent="0.3">
      <c r="F95903" s="193"/>
    </row>
    <row r="95904" spans="6:6" x14ac:dyDescent="0.3">
      <c r="F95904" s="193"/>
    </row>
    <row r="95905" spans="6:6" x14ac:dyDescent="0.3">
      <c r="F95905" s="193"/>
    </row>
    <row r="95906" spans="6:6" x14ac:dyDescent="0.3">
      <c r="F95906" s="193"/>
    </row>
    <row r="95907" spans="6:6" x14ac:dyDescent="0.3">
      <c r="F95907" s="193"/>
    </row>
    <row r="95908" spans="6:6" x14ac:dyDescent="0.3">
      <c r="F95908" s="193"/>
    </row>
    <row r="95909" spans="6:6" x14ac:dyDescent="0.3">
      <c r="F95909" s="193"/>
    </row>
    <row r="95910" spans="6:6" x14ac:dyDescent="0.3">
      <c r="F95910" s="193"/>
    </row>
    <row r="95911" spans="6:6" x14ac:dyDescent="0.3">
      <c r="F95911" s="193"/>
    </row>
    <row r="95912" spans="6:6" x14ac:dyDescent="0.3">
      <c r="F95912" s="193"/>
    </row>
    <row r="95913" spans="6:6" x14ac:dyDescent="0.3">
      <c r="F95913" s="193"/>
    </row>
    <row r="95914" spans="6:6" x14ac:dyDescent="0.3">
      <c r="F95914" s="193"/>
    </row>
    <row r="95915" spans="6:6" x14ac:dyDescent="0.3">
      <c r="F95915" s="193"/>
    </row>
    <row r="95916" spans="6:6" x14ac:dyDescent="0.3">
      <c r="F95916" s="193"/>
    </row>
    <row r="95917" spans="6:6" x14ac:dyDescent="0.3">
      <c r="F95917" s="193"/>
    </row>
    <row r="95918" spans="6:6" x14ac:dyDescent="0.3">
      <c r="F95918" s="193"/>
    </row>
    <row r="95919" spans="6:6" x14ac:dyDescent="0.3">
      <c r="F95919" s="193"/>
    </row>
    <row r="95920" spans="6:6" x14ac:dyDescent="0.3">
      <c r="F95920" s="193"/>
    </row>
    <row r="95921" spans="6:6" x14ac:dyDescent="0.3">
      <c r="F95921" s="193"/>
    </row>
    <row r="95922" spans="6:6" x14ac:dyDescent="0.3">
      <c r="F95922" s="193"/>
    </row>
    <row r="95923" spans="6:6" x14ac:dyDescent="0.3">
      <c r="F95923" s="193"/>
    </row>
    <row r="95924" spans="6:6" x14ac:dyDescent="0.3">
      <c r="F95924" s="193"/>
    </row>
    <row r="95925" spans="6:6" x14ac:dyDescent="0.3">
      <c r="F95925" s="193"/>
    </row>
    <row r="95926" spans="6:6" x14ac:dyDescent="0.3">
      <c r="F95926" s="193"/>
    </row>
    <row r="95927" spans="6:6" x14ac:dyDescent="0.3">
      <c r="F95927" s="193"/>
    </row>
    <row r="95928" spans="6:6" x14ac:dyDescent="0.3">
      <c r="F95928" s="193"/>
    </row>
    <row r="95929" spans="6:6" x14ac:dyDescent="0.3">
      <c r="F95929" s="193"/>
    </row>
    <row r="95930" spans="6:6" x14ac:dyDescent="0.3">
      <c r="F95930" s="193"/>
    </row>
    <row r="95931" spans="6:6" x14ac:dyDescent="0.3">
      <c r="F95931" s="193"/>
    </row>
    <row r="95932" spans="6:6" x14ac:dyDescent="0.3">
      <c r="F95932" s="193"/>
    </row>
    <row r="95933" spans="6:6" x14ac:dyDescent="0.3">
      <c r="F95933" s="193"/>
    </row>
    <row r="95934" spans="6:6" x14ac:dyDescent="0.3">
      <c r="F95934" s="193"/>
    </row>
    <row r="95935" spans="6:6" x14ac:dyDescent="0.3">
      <c r="F95935" s="193"/>
    </row>
    <row r="95936" spans="6:6" x14ac:dyDescent="0.3">
      <c r="F95936" s="193"/>
    </row>
    <row r="95937" spans="6:6" x14ac:dyDescent="0.3">
      <c r="F95937" s="193"/>
    </row>
    <row r="95938" spans="6:6" x14ac:dyDescent="0.3">
      <c r="F95938" s="193"/>
    </row>
    <row r="95939" spans="6:6" x14ac:dyDescent="0.3">
      <c r="F95939" s="193"/>
    </row>
    <row r="95940" spans="6:6" x14ac:dyDescent="0.3">
      <c r="F95940" s="193"/>
    </row>
    <row r="95941" spans="6:6" x14ac:dyDescent="0.3">
      <c r="F95941" s="193"/>
    </row>
    <row r="95942" spans="6:6" x14ac:dyDescent="0.3">
      <c r="F95942" s="193"/>
    </row>
    <row r="95943" spans="6:6" x14ac:dyDescent="0.3">
      <c r="F95943" s="193"/>
    </row>
    <row r="95944" spans="6:6" x14ac:dyDescent="0.3">
      <c r="F95944" s="193"/>
    </row>
    <row r="95945" spans="6:6" x14ac:dyDescent="0.3">
      <c r="F95945" s="193"/>
    </row>
    <row r="95946" spans="6:6" x14ac:dyDescent="0.3">
      <c r="F95946" s="193"/>
    </row>
    <row r="95947" spans="6:6" x14ac:dyDescent="0.3">
      <c r="F95947" s="193"/>
    </row>
    <row r="95948" spans="6:6" x14ac:dyDescent="0.3">
      <c r="F95948" s="193"/>
    </row>
    <row r="95949" spans="6:6" x14ac:dyDescent="0.3">
      <c r="F95949" s="193"/>
    </row>
    <row r="95950" spans="6:6" x14ac:dyDescent="0.3">
      <c r="F95950" s="193"/>
    </row>
    <row r="95951" spans="6:6" x14ac:dyDescent="0.3">
      <c r="F95951" s="193"/>
    </row>
    <row r="95952" spans="6:6" x14ac:dyDescent="0.3">
      <c r="F95952" s="193"/>
    </row>
    <row r="95953" spans="6:6" x14ac:dyDescent="0.3">
      <c r="F95953" s="193"/>
    </row>
    <row r="95954" spans="6:6" x14ac:dyDescent="0.3">
      <c r="F95954" s="193"/>
    </row>
    <row r="95955" spans="6:6" x14ac:dyDescent="0.3">
      <c r="F95955" s="193"/>
    </row>
    <row r="95956" spans="6:6" x14ac:dyDescent="0.3">
      <c r="F95956" s="193"/>
    </row>
    <row r="95957" spans="6:6" x14ac:dyDescent="0.3">
      <c r="F95957" s="193"/>
    </row>
    <row r="95958" spans="6:6" x14ac:dyDescent="0.3">
      <c r="F95958" s="193"/>
    </row>
    <row r="95959" spans="6:6" x14ac:dyDescent="0.3">
      <c r="F95959" s="193"/>
    </row>
    <row r="95960" spans="6:6" x14ac:dyDescent="0.3">
      <c r="F95960" s="193"/>
    </row>
    <row r="95961" spans="6:6" x14ac:dyDescent="0.3">
      <c r="F95961" s="193"/>
    </row>
    <row r="95962" spans="6:6" x14ac:dyDescent="0.3">
      <c r="F95962" s="193"/>
    </row>
    <row r="95963" spans="6:6" x14ac:dyDescent="0.3">
      <c r="F95963" s="193"/>
    </row>
    <row r="95964" spans="6:6" x14ac:dyDescent="0.3">
      <c r="F95964" s="193"/>
    </row>
    <row r="95965" spans="6:6" x14ac:dyDescent="0.3">
      <c r="F95965" s="193"/>
    </row>
    <row r="95966" spans="6:6" x14ac:dyDescent="0.3">
      <c r="F95966" s="193"/>
    </row>
    <row r="95967" spans="6:6" x14ac:dyDescent="0.3">
      <c r="F95967" s="193"/>
    </row>
    <row r="95968" spans="6:6" x14ac:dyDescent="0.3">
      <c r="F95968" s="193"/>
    </row>
    <row r="95969" spans="6:6" x14ac:dyDescent="0.3">
      <c r="F95969" s="193"/>
    </row>
    <row r="95970" spans="6:6" x14ac:dyDescent="0.3">
      <c r="F95970" s="193"/>
    </row>
    <row r="95971" spans="6:6" x14ac:dyDescent="0.3">
      <c r="F95971" s="193"/>
    </row>
    <row r="95972" spans="6:6" x14ac:dyDescent="0.3">
      <c r="F95972" s="193"/>
    </row>
    <row r="95973" spans="6:6" x14ac:dyDescent="0.3">
      <c r="F95973" s="193"/>
    </row>
    <row r="95974" spans="6:6" x14ac:dyDescent="0.3">
      <c r="F95974" s="193"/>
    </row>
    <row r="95975" spans="6:6" x14ac:dyDescent="0.3">
      <c r="F95975" s="193"/>
    </row>
    <row r="95976" spans="6:6" x14ac:dyDescent="0.3">
      <c r="F95976" s="193"/>
    </row>
    <row r="95977" spans="6:6" x14ac:dyDescent="0.3">
      <c r="F95977" s="193"/>
    </row>
    <row r="95978" spans="6:6" x14ac:dyDescent="0.3">
      <c r="F95978" s="193"/>
    </row>
    <row r="95979" spans="6:6" x14ac:dyDescent="0.3">
      <c r="F95979" s="193"/>
    </row>
    <row r="95980" spans="6:6" x14ac:dyDescent="0.3">
      <c r="F95980" s="193"/>
    </row>
    <row r="95981" spans="6:6" x14ac:dyDescent="0.3">
      <c r="F95981" s="193"/>
    </row>
    <row r="95982" spans="6:6" x14ac:dyDescent="0.3">
      <c r="F95982" s="193"/>
    </row>
    <row r="95983" spans="6:6" x14ac:dyDescent="0.3">
      <c r="F95983" s="193"/>
    </row>
    <row r="95984" spans="6:6" x14ac:dyDescent="0.3">
      <c r="F95984" s="193"/>
    </row>
    <row r="95985" spans="6:6" x14ac:dyDescent="0.3">
      <c r="F95985" s="193"/>
    </row>
    <row r="95986" spans="6:6" x14ac:dyDescent="0.3">
      <c r="F95986" s="193"/>
    </row>
    <row r="95987" spans="6:6" x14ac:dyDescent="0.3">
      <c r="F95987" s="193"/>
    </row>
    <row r="95988" spans="6:6" x14ac:dyDescent="0.3">
      <c r="F95988" s="193"/>
    </row>
    <row r="95989" spans="6:6" x14ac:dyDescent="0.3">
      <c r="F95989" s="193"/>
    </row>
    <row r="95990" spans="6:6" x14ac:dyDescent="0.3">
      <c r="F95990" s="193"/>
    </row>
    <row r="95991" spans="6:6" x14ac:dyDescent="0.3">
      <c r="F95991" s="193"/>
    </row>
    <row r="95992" spans="6:6" x14ac:dyDescent="0.3">
      <c r="F95992" s="193"/>
    </row>
    <row r="95993" spans="6:6" x14ac:dyDescent="0.3">
      <c r="F95993" s="193"/>
    </row>
    <row r="95994" spans="6:6" x14ac:dyDescent="0.3">
      <c r="F95994" s="193"/>
    </row>
    <row r="95995" spans="6:6" x14ac:dyDescent="0.3">
      <c r="F95995" s="193"/>
    </row>
    <row r="95996" spans="6:6" x14ac:dyDescent="0.3">
      <c r="F95996" s="193"/>
    </row>
    <row r="95997" spans="6:6" x14ac:dyDescent="0.3">
      <c r="F95997" s="193"/>
    </row>
    <row r="95998" spans="6:6" x14ac:dyDescent="0.3">
      <c r="F95998" s="193"/>
    </row>
    <row r="95999" spans="6:6" x14ac:dyDescent="0.3">
      <c r="F95999" s="193"/>
    </row>
    <row r="96000" spans="6:6" x14ac:dyDescent="0.3">
      <c r="F96000" s="193"/>
    </row>
    <row r="96001" spans="6:6" x14ac:dyDescent="0.3">
      <c r="F96001" s="193"/>
    </row>
    <row r="96002" spans="6:6" x14ac:dyDescent="0.3">
      <c r="F96002" s="193"/>
    </row>
    <row r="96003" spans="6:6" x14ac:dyDescent="0.3">
      <c r="F96003" s="193"/>
    </row>
    <row r="96004" spans="6:6" x14ac:dyDescent="0.3">
      <c r="F96004" s="193"/>
    </row>
    <row r="96005" spans="6:6" x14ac:dyDescent="0.3">
      <c r="F96005" s="193"/>
    </row>
    <row r="96006" spans="6:6" x14ac:dyDescent="0.3">
      <c r="F96006" s="193"/>
    </row>
    <row r="96007" spans="6:6" x14ac:dyDescent="0.3">
      <c r="F96007" s="193"/>
    </row>
    <row r="96008" spans="6:6" x14ac:dyDescent="0.3">
      <c r="F96008" s="193"/>
    </row>
    <row r="96009" spans="6:6" x14ac:dyDescent="0.3">
      <c r="F96009" s="193"/>
    </row>
    <row r="96010" spans="6:6" x14ac:dyDescent="0.3">
      <c r="F96010" s="193"/>
    </row>
    <row r="96011" spans="6:6" x14ac:dyDescent="0.3">
      <c r="F96011" s="193"/>
    </row>
    <row r="96012" spans="6:6" x14ac:dyDescent="0.3">
      <c r="F96012" s="193"/>
    </row>
    <row r="96013" spans="6:6" x14ac:dyDescent="0.3">
      <c r="F96013" s="193"/>
    </row>
    <row r="96014" spans="6:6" x14ac:dyDescent="0.3">
      <c r="F96014" s="193"/>
    </row>
    <row r="96015" spans="6:6" x14ac:dyDescent="0.3">
      <c r="F96015" s="193"/>
    </row>
    <row r="96016" spans="6:6" x14ac:dyDescent="0.3">
      <c r="F96016" s="193"/>
    </row>
    <row r="96017" spans="6:6" x14ac:dyDescent="0.3">
      <c r="F96017" s="193"/>
    </row>
    <row r="96018" spans="6:6" x14ac:dyDescent="0.3">
      <c r="F96018" s="193"/>
    </row>
    <row r="96019" spans="6:6" x14ac:dyDescent="0.3">
      <c r="F96019" s="193"/>
    </row>
    <row r="96020" spans="6:6" x14ac:dyDescent="0.3">
      <c r="F96020" s="193"/>
    </row>
    <row r="96021" spans="6:6" x14ac:dyDescent="0.3">
      <c r="F96021" s="193"/>
    </row>
    <row r="96022" spans="6:6" x14ac:dyDescent="0.3">
      <c r="F96022" s="193"/>
    </row>
    <row r="96023" spans="6:6" x14ac:dyDescent="0.3">
      <c r="F96023" s="193"/>
    </row>
    <row r="96024" spans="6:6" x14ac:dyDescent="0.3">
      <c r="F96024" s="193"/>
    </row>
    <row r="96025" spans="6:6" x14ac:dyDescent="0.3">
      <c r="F96025" s="193"/>
    </row>
    <row r="96026" spans="6:6" x14ac:dyDescent="0.3">
      <c r="F96026" s="193"/>
    </row>
    <row r="96027" spans="6:6" x14ac:dyDescent="0.3">
      <c r="F96027" s="193"/>
    </row>
    <row r="96028" spans="6:6" x14ac:dyDescent="0.3">
      <c r="F96028" s="193"/>
    </row>
    <row r="96029" spans="6:6" x14ac:dyDescent="0.3">
      <c r="F96029" s="193"/>
    </row>
    <row r="96030" spans="6:6" x14ac:dyDescent="0.3">
      <c r="F96030" s="193"/>
    </row>
    <row r="96031" spans="6:6" x14ac:dyDescent="0.3">
      <c r="F96031" s="193"/>
    </row>
    <row r="96032" spans="6:6" x14ac:dyDescent="0.3">
      <c r="F96032" s="193"/>
    </row>
    <row r="96033" spans="6:6" x14ac:dyDescent="0.3">
      <c r="F96033" s="193"/>
    </row>
    <row r="96034" spans="6:6" x14ac:dyDescent="0.3">
      <c r="F96034" s="193"/>
    </row>
    <row r="96035" spans="6:6" x14ac:dyDescent="0.3">
      <c r="F96035" s="193"/>
    </row>
    <row r="96036" spans="6:6" x14ac:dyDescent="0.3">
      <c r="F96036" s="193"/>
    </row>
    <row r="96037" spans="6:6" x14ac:dyDescent="0.3">
      <c r="F96037" s="193"/>
    </row>
    <row r="96038" spans="6:6" x14ac:dyDescent="0.3">
      <c r="F96038" s="193"/>
    </row>
    <row r="96039" spans="6:6" x14ac:dyDescent="0.3">
      <c r="F96039" s="193"/>
    </row>
    <row r="96040" spans="6:6" x14ac:dyDescent="0.3">
      <c r="F96040" s="193"/>
    </row>
    <row r="96041" spans="6:6" x14ac:dyDescent="0.3">
      <c r="F96041" s="193"/>
    </row>
    <row r="96042" spans="6:6" x14ac:dyDescent="0.3">
      <c r="F96042" s="193"/>
    </row>
    <row r="96043" spans="6:6" x14ac:dyDescent="0.3">
      <c r="F96043" s="193"/>
    </row>
    <row r="96044" spans="6:6" x14ac:dyDescent="0.3">
      <c r="F96044" s="193"/>
    </row>
    <row r="96045" spans="6:6" x14ac:dyDescent="0.3">
      <c r="F96045" s="193"/>
    </row>
    <row r="96046" spans="6:6" x14ac:dyDescent="0.3">
      <c r="F96046" s="193"/>
    </row>
    <row r="96047" spans="6:6" x14ac:dyDescent="0.3">
      <c r="F96047" s="193"/>
    </row>
    <row r="96048" spans="6:6" x14ac:dyDescent="0.3">
      <c r="F96048" s="193"/>
    </row>
    <row r="96049" spans="6:6" x14ac:dyDescent="0.3">
      <c r="F96049" s="193"/>
    </row>
    <row r="96050" spans="6:6" x14ac:dyDescent="0.3">
      <c r="F96050" s="193"/>
    </row>
    <row r="96051" spans="6:6" x14ac:dyDescent="0.3">
      <c r="F96051" s="193"/>
    </row>
    <row r="96052" spans="6:6" x14ac:dyDescent="0.3">
      <c r="F96052" s="193"/>
    </row>
    <row r="96053" spans="6:6" x14ac:dyDescent="0.3">
      <c r="F96053" s="193"/>
    </row>
    <row r="96054" spans="6:6" x14ac:dyDescent="0.3">
      <c r="F96054" s="193"/>
    </row>
    <row r="96055" spans="6:6" x14ac:dyDescent="0.3">
      <c r="F96055" s="193"/>
    </row>
    <row r="96056" spans="6:6" x14ac:dyDescent="0.3">
      <c r="F96056" s="193"/>
    </row>
    <row r="96057" spans="6:6" x14ac:dyDescent="0.3">
      <c r="F96057" s="193"/>
    </row>
    <row r="96058" spans="6:6" x14ac:dyDescent="0.3">
      <c r="F96058" s="193"/>
    </row>
    <row r="96059" spans="6:6" x14ac:dyDescent="0.3">
      <c r="F96059" s="193"/>
    </row>
    <row r="96060" spans="6:6" x14ac:dyDescent="0.3">
      <c r="F96060" s="193"/>
    </row>
    <row r="96061" spans="6:6" x14ac:dyDescent="0.3">
      <c r="F96061" s="193"/>
    </row>
    <row r="96062" spans="6:6" x14ac:dyDescent="0.3">
      <c r="F96062" s="193"/>
    </row>
    <row r="96063" spans="6:6" x14ac:dyDescent="0.3">
      <c r="F96063" s="193"/>
    </row>
    <row r="96064" spans="6:6" x14ac:dyDescent="0.3">
      <c r="F96064" s="193"/>
    </row>
    <row r="96065" spans="6:6" x14ac:dyDescent="0.3">
      <c r="F96065" s="193"/>
    </row>
    <row r="96066" spans="6:6" x14ac:dyDescent="0.3">
      <c r="F96066" s="193"/>
    </row>
    <row r="96067" spans="6:6" x14ac:dyDescent="0.3">
      <c r="F96067" s="193"/>
    </row>
    <row r="96068" spans="6:6" x14ac:dyDescent="0.3">
      <c r="F96068" s="193"/>
    </row>
    <row r="96069" spans="6:6" x14ac:dyDescent="0.3">
      <c r="F96069" s="193"/>
    </row>
    <row r="96070" spans="6:6" x14ac:dyDescent="0.3">
      <c r="F96070" s="193"/>
    </row>
    <row r="96071" spans="6:6" x14ac:dyDescent="0.3">
      <c r="F96071" s="193"/>
    </row>
    <row r="96072" spans="6:6" x14ac:dyDescent="0.3">
      <c r="F96072" s="193"/>
    </row>
    <row r="96073" spans="6:6" x14ac:dyDescent="0.3">
      <c r="F96073" s="193"/>
    </row>
    <row r="96074" spans="6:6" x14ac:dyDescent="0.3">
      <c r="F96074" s="193"/>
    </row>
    <row r="96075" spans="6:6" x14ac:dyDescent="0.3">
      <c r="F96075" s="193"/>
    </row>
    <row r="96076" spans="6:6" x14ac:dyDescent="0.3">
      <c r="F96076" s="193"/>
    </row>
    <row r="96077" spans="6:6" x14ac:dyDescent="0.3">
      <c r="F96077" s="193"/>
    </row>
    <row r="96078" spans="6:6" x14ac:dyDescent="0.3">
      <c r="F96078" s="193"/>
    </row>
    <row r="96079" spans="6:6" x14ac:dyDescent="0.3">
      <c r="F96079" s="193"/>
    </row>
    <row r="96080" spans="6:6" x14ac:dyDescent="0.3">
      <c r="F96080" s="193"/>
    </row>
    <row r="96081" spans="6:6" x14ac:dyDescent="0.3">
      <c r="F96081" s="193"/>
    </row>
    <row r="96082" spans="6:6" x14ac:dyDescent="0.3">
      <c r="F96082" s="193"/>
    </row>
    <row r="96083" spans="6:6" x14ac:dyDescent="0.3">
      <c r="F96083" s="193"/>
    </row>
    <row r="96084" spans="6:6" x14ac:dyDescent="0.3">
      <c r="F96084" s="193"/>
    </row>
    <row r="96085" spans="6:6" x14ac:dyDescent="0.3">
      <c r="F96085" s="193"/>
    </row>
    <row r="96086" spans="6:6" x14ac:dyDescent="0.3">
      <c r="F96086" s="193"/>
    </row>
    <row r="96087" spans="6:6" x14ac:dyDescent="0.3">
      <c r="F96087" s="193"/>
    </row>
    <row r="96088" spans="6:6" x14ac:dyDescent="0.3">
      <c r="F96088" s="193"/>
    </row>
    <row r="96089" spans="6:6" x14ac:dyDescent="0.3">
      <c r="F96089" s="193"/>
    </row>
    <row r="96090" spans="6:6" x14ac:dyDescent="0.3">
      <c r="F96090" s="193"/>
    </row>
    <row r="96091" spans="6:6" x14ac:dyDescent="0.3">
      <c r="F96091" s="193"/>
    </row>
    <row r="96092" spans="6:6" x14ac:dyDescent="0.3">
      <c r="F96092" s="193"/>
    </row>
    <row r="96093" spans="6:6" x14ac:dyDescent="0.3">
      <c r="F96093" s="193"/>
    </row>
    <row r="96094" spans="6:6" x14ac:dyDescent="0.3">
      <c r="F96094" s="193"/>
    </row>
    <row r="96095" spans="6:6" x14ac:dyDescent="0.3">
      <c r="F96095" s="193"/>
    </row>
    <row r="96096" spans="6:6" x14ac:dyDescent="0.3">
      <c r="F96096" s="193"/>
    </row>
    <row r="96097" spans="6:6" x14ac:dyDescent="0.3">
      <c r="F96097" s="193"/>
    </row>
    <row r="96098" spans="6:6" x14ac:dyDescent="0.3">
      <c r="F96098" s="193"/>
    </row>
    <row r="96099" spans="6:6" x14ac:dyDescent="0.3">
      <c r="F96099" s="193"/>
    </row>
    <row r="96100" spans="6:6" x14ac:dyDescent="0.3">
      <c r="F96100" s="193"/>
    </row>
    <row r="96101" spans="6:6" x14ac:dyDescent="0.3">
      <c r="F96101" s="193"/>
    </row>
    <row r="96102" spans="6:6" x14ac:dyDescent="0.3">
      <c r="F96102" s="193"/>
    </row>
    <row r="96103" spans="6:6" x14ac:dyDescent="0.3">
      <c r="F96103" s="193"/>
    </row>
    <row r="96104" spans="6:6" x14ac:dyDescent="0.3">
      <c r="F96104" s="193"/>
    </row>
    <row r="96105" spans="6:6" x14ac:dyDescent="0.3">
      <c r="F96105" s="193"/>
    </row>
    <row r="96106" spans="6:6" x14ac:dyDescent="0.3">
      <c r="F96106" s="193"/>
    </row>
    <row r="96107" spans="6:6" x14ac:dyDescent="0.3">
      <c r="F96107" s="193"/>
    </row>
    <row r="96108" spans="6:6" x14ac:dyDescent="0.3">
      <c r="F96108" s="193"/>
    </row>
    <row r="96109" spans="6:6" x14ac:dyDescent="0.3">
      <c r="F96109" s="193"/>
    </row>
    <row r="96110" spans="6:6" x14ac:dyDescent="0.3">
      <c r="F96110" s="193"/>
    </row>
    <row r="96111" spans="6:6" x14ac:dyDescent="0.3">
      <c r="F96111" s="193"/>
    </row>
    <row r="96112" spans="6:6" x14ac:dyDescent="0.3">
      <c r="F96112" s="193"/>
    </row>
    <row r="96113" spans="6:6" x14ac:dyDescent="0.3">
      <c r="F96113" s="193"/>
    </row>
    <row r="96114" spans="6:6" x14ac:dyDescent="0.3">
      <c r="F96114" s="193"/>
    </row>
    <row r="96115" spans="6:6" x14ac:dyDescent="0.3">
      <c r="F96115" s="193"/>
    </row>
    <row r="96116" spans="6:6" x14ac:dyDescent="0.3">
      <c r="F96116" s="193"/>
    </row>
    <row r="96117" spans="6:6" x14ac:dyDescent="0.3">
      <c r="F96117" s="193"/>
    </row>
    <row r="96118" spans="6:6" x14ac:dyDescent="0.3">
      <c r="F96118" s="193"/>
    </row>
    <row r="96119" spans="6:6" x14ac:dyDescent="0.3">
      <c r="F96119" s="193"/>
    </row>
    <row r="96120" spans="6:6" x14ac:dyDescent="0.3">
      <c r="F96120" s="193"/>
    </row>
    <row r="96121" spans="6:6" x14ac:dyDescent="0.3">
      <c r="F96121" s="193"/>
    </row>
    <row r="96122" spans="6:6" x14ac:dyDescent="0.3">
      <c r="F96122" s="193"/>
    </row>
    <row r="96123" spans="6:6" x14ac:dyDescent="0.3">
      <c r="F96123" s="193"/>
    </row>
    <row r="96124" spans="6:6" x14ac:dyDescent="0.3">
      <c r="F96124" s="193"/>
    </row>
    <row r="96125" spans="6:6" x14ac:dyDescent="0.3">
      <c r="F96125" s="193"/>
    </row>
    <row r="96126" spans="6:6" x14ac:dyDescent="0.3">
      <c r="F96126" s="193"/>
    </row>
    <row r="96127" spans="6:6" x14ac:dyDescent="0.3">
      <c r="F96127" s="193"/>
    </row>
    <row r="96128" spans="6:6" x14ac:dyDescent="0.3">
      <c r="F96128" s="193"/>
    </row>
    <row r="96129" spans="6:6" x14ac:dyDescent="0.3">
      <c r="F96129" s="193"/>
    </row>
    <row r="96130" spans="6:6" x14ac:dyDescent="0.3">
      <c r="F96130" s="193"/>
    </row>
    <row r="96131" spans="6:6" x14ac:dyDescent="0.3">
      <c r="F96131" s="193"/>
    </row>
    <row r="96132" spans="6:6" x14ac:dyDescent="0.3">
      <c r="F96132" s="193"/>
    </row>
    <row r="96133" spans="6:6" x14ac:dyDescent="0.3">
      <c r="F96133" s="193"/>
    </row>
    <row r="96134" spans="6:6" x14ac:dyDescent="0.3">
      <c r="F96134" s="193"/>
    </row>
    <row r="96135" spans="6:6" x14ac:dyDescent="0.3">
      <c r="F96135" s="193"/>
    </row>
    <row r="96136" spans="6:6" x14ac:dyDescent="0.3">
      <c r="F96136" s="193"/>
    </row>
    <row r="96137" spans="6:6" x14ac:dyDescent="0.3">
      <c r="F96137" s="193"/>
    </row>
    <row r="96138" spans="6:6" x14ac:dyDescent="0.3">
      <c r="F96138" s="193"/>
    </row>
    <row r="96139" spans="6:6" x14ac:dyDescent="0.3">
      <c r="F96139" s="193"/>
    </row>
    <row r="96140" spans="6:6" x14ac:dyDescent="0.3">
      <c r="F96140" s="193"/>
    </row>
    <row r="96141" spans="6:6" x14ac:dyDescent="0.3">
      <c r="F96141" s="193"/>
    </row>
    <row r="96142" spans="6:6" x14ac:dyDescent="0.3">
      <c r="F96142" s="193"/>
    </row>
    <row r="96143" spans="6:6" x14ac:dyDescent="0.3">
      <c r="F96143" s="193"/>
    </row>
    <row r="96144" spans="6:6" x14ac:dyDescent="0.3">
      <c r="F96144" s="193"/>
    </row>
    <row r="96145" spans="6:6" x14ac:dyDescent="0.3">
      <c r="F96145" s="193"/>
    </row>
    <row r="96146" spans="6:6" x14ac:dyDescent="0.3">
      <c r="F96146" s="193"/>
    </row>
    <row r="96147" spans="6:6" x14ac:dyDescent="0.3">
      <c r="F96147" s="193"/>
    </row>
    <row r="96148" spans="6:6" x14ac:dyDescent="0.3">
      <c r="F96148" s="193"/>
    </row>
    <row r="96149" spans="6:6" x14ac:dyDescent="0.3">
      <c r="F96149" s="193"/>
    </row>
    <row r="96150" spans="6:6" x14ac:dyDescent="0.3">
      <c r="F96150" s="193"/>
    </row>
    <row r="96151" spans="6:6" x14ac:dyDescent="0.3">
      <c r="F96151" s="193"/>
    </row>
    <row r="96152" spans="6:6" x14ac:dyDescent="0.3">
      <c r="F96152" s="193"/>
    </row>
    <row r="96153" spans="6:6" x14ac:dyDescent="0.3">
      <c r="F96153" s="193"/>
    </row>
    <row r="96154" spans="6:6" x14ac:dyDescent="0.3">
      <c r="F96154" s="193"/>
    </row>
    <row r="96155" spans="6:6" x14ac:dyDescent="0.3">
      <c r="F96155" s="193"/>
    </row>
    <row r="96156" spans="6:6" x14ac:dyDescent="0.3">
      <c r="F96156" s="193"/>
    </row>
    <row r="96157" spans="6:6" x14ac:dyDescent="0.3">
      <c r="F96157" s="193"/>
    </row>
    <row r="96158" spans="6:6" x14ac:dyDescent="0.3">
      <c r="F96158" s="193"/>
    </row>
    <row r="96159" spans="6:6" x14ac:dyDescent="0.3">
      <c r="F96159" s="193"/>
    </row>
    <row r="96160" spans="6:6" x14ac:dyDescent="0.3">
      <c r="F96160" s="193"/>
    </row>
    <row r="96161" spans="6:6" x14ac:dyDescent="0.3">
      <c r="F96161" s="193"/>
    </row>
    <row r="96162" spans="6:6" x14ac:dyDescent="0.3">
      <c r="F96162" s="193"/>
    </row>
    <row r="96163" spans="6:6" x14ac:dyDescent="0.3">
      <c r="F96163" s="193"/>
    </row>
    <row r="96164" spans="6:6" x14ac:dyDescent="0.3">
      <c r="F96164" s="193"/>
    </row>
    <row r="96165" spans="6:6" x14ac:dyDescent="0.3">
      <c r="F96165" s="193"/>
    </row>
    <row r="96166" spans="6:6" x14ac:dyDescent="0.3">
      <c r="F96166" s="193"/>
    </row>
    <row r="96167" spans="6:6" x14ac:dyDescent="0.3">
      <c r="F96167" s="193"/>
    </row>
    <row r="96168" spans="6:6" x14ac:dyDescent="0.3">
      <c r="F96168" s="193"/>
    </row>
    <row r="96169" spans="6:6" x14ac:dyDescent="0.3">
      <c r="F96169" s="193"/>
    </row>
    <row r="96170" spans="6:6" x14ac:dyDescent="0.3">
      <c r="F96170" s="193"/>
    </row>
    <row r="96171" spans="6:6" x14ac:dyDescent="0.3">
      <c r="F96171" s="193"/>
    </row>
    <row r="96172" spans="6:6" x14ac:dyDescent="0.3">
      <c r="F96172" s="193"/>
    </row>
    <row r="96173" spans="6:6" x14ac:dyDescent="0.3">
      <c r="F96173" s="193"/>
    </row>
    <row r="96174" spans="6:6" x14ac:dyDescent="0.3">
      <c r="F96174" s="193"/>
    </row>
    <row r="96175" spans="6:6" x14ac:dyDescent="0.3">
      <c r="F96175" s="193"/>
    </row>
    <row r="96176" spans="6:6" x14ac:dyDescent="0.3">
      <c r="F96176" s="193"/>
    </row>
    <row r="96177" spans="6:6" x14ac:dyDescent="0.3">
      <c r="F96177" s="193"/>
    </row>
    <row r="96178" spans="6:6" x14ac:dyDescent="0.3">
      <c r="F96178" s="193"/>
    </row>
    <row r="96179" spans="6:6" x14ac:dyDescent="0.3">
      <c r="F96179" s="193"/>
    </row>
    <row r="96180" spans="6:6" x14ac:dyDescent="0.3">
      <c r="F96180" s="193"/>
    </row>
    <row r="96181" spans="6:6" x14ac:dyDescent="0.3">
      <c r="F96181" s="193"/>
    </row>
    <row r="96182" spans="6:6" x14ac:dyDescent="0.3">
      <c r="F96182" s="193"/>
    </row>
    <row r="96183" spans="6:6" x14ac:dyDescent="0.3">
      <c r="F96183" s="193"/>
    </row>
    <row r="96184" spans="6:6" x14ac:dyDescent="0.3">
      <c r="F96184" s="193"/>
    </row>
    <row r="96185" spans="6:6" x14ac:dyDescent="0.3">
      <c r="F96185" s="193"/>
    </row>
    <row r="96186" spans="6:6" x14ac:dyDescent="0.3">
      <c r="F96186" s="193"/>
    </row>
    <row r="96187" spans="6:6" x14ac:dyDescent="0.3">
      <c r="F96187" s="193"/>
    </row>
    <row r="96188" spans="6:6" x14ac:dyDescent="0.3">
      <c r="F96188" s="193"/>
    </row>
    <row r="96189" spans="6:6" x14ac:dyDescent="0.3">
      <c r="F96189" s="193"/>
    </row>
    <row r="96190" spans="6:6" x14ac:dyDescent="0.3">
      <c r="F96190" s="193"/>
    </row>
    <row r="96191" spans="6:6" x14ac:dyDescent="0.3">
      <c r="F96191" s="193"/>
    </row>
    <row r="96192" spans="6:6" x14ac:dyDescent="0.3">
      <c r="F96192" s="193"/>
    </row>
    <row r="96193" spans="6:6" x14ac:dyDescent="0.3">
      <c r="F96193" s="193"/>
    </row>
    <row r="96194" spans="6:6" x14ac:dyDescent="0.3">
      <c r="F96194" s="193"/>
    </row>
    <row r="96195" spans="6:6" x14ac:dyDescent="0.3">
      <c r="F96195" s="193"/>
    </row>
    <row r="96196" spans="6:6" x14ac:dyDescent="0.3">
      <c r="F96196" s="193"/>
    </row>
    <row r="96197" spans="6:6" x14ac:dyDescent="0.3">
      <c r="F96197" s="193"/>
    </row>
    <row r="96198" spans="6:6" x14ac:dyDescent="0.3">
      <c r="F96198" s="193"/>
    </row>
    <row r="96199" spans="6:6" x14ac:dyDescent="0.3">
      <c r="F96199" s="193"/>
    </row>
    <row r="96200" spans="6:6" x14ac:dyDescent="0.3">
      <c r="F96200" s="193"/>
    </row>
    <row r="96201" spans="6:6" x14ac:dyDescent="0.3">
      <c r="F96201" s="193"/>
    </row>
    <row r="96202" spans="6:6" x14ac:dyDescent="0.3">
      <c r="F96202" s="193"/>
    </row>
    <row r="96203" spans="6:6" x14ac:dyDescent="0.3">
      <c r="F96203" s="193"/>
    </row>
    <row r="96204" spans="6:6" x14ac:dyDescent="0.3">
      <c r="F96204" s="193"/>
    </row>
    <row r="96205" spans="6:6" x14ac:dyDescent="0.3">
      <c r="F96205" s="193"/>
    </row>
    <row r="96206" spans="6:6" x14ac:dyDescent="0.3">
      <c r="F96206" s="193"/>
    </row>
    <row r="96207" spans="6:6" x14ac:dyDescent="0.3">
      <c r="F96207" s="193"/>
    </row>
    <row r="96208" spans="6:6" x14ac:dyDescent="0.3">
      <c r="F96208" s="193"/>
    </row>
    <row r="96209" spans="6:6" x14ac:dyDescent="0.3">
      <c r="F96209" s="193"/>
    </row>
    <row r="96210" spans="6:6" x14ac:dyDescent="0.3">
      <c r="F96210" s="193"/>
    </row>
    <row r="96211" spans="6:6" x14ac:dyDescent="0.3">
      <c r="F96211" s="193"/>
    </row>
    <row r="96212" spans="6:6" x14ac:dyDescent="0.3">
      <c r="F96212" s="193"/>
    </row>
    <row r="96213" spans="6:6" x14ac:dyDescent="0.3">
      <c r="F96213" s="193"/>
    </row>
    <row r="96214" spans="6:6" x14ac:dyDescent="0.3">
      <c r="F96214" s="193"/>
    </row>
    <row r="96215" spans="6:6" x14ac:dyDescent="0.3">
      <c r="F96215" s="193"/>
    </row>
    <row r="96216" spans="6:6" x14ac:dyDescent="0.3">
      <c r="F96216" s="193"/>
    </row>
    <row r="96217" spans="6:6" x14ac:dyDescent="0.3">
      <c r="F96217" s="193"/>
    </row>
    <row r="96218" spans="6:6" x14ac:dyDescent="0.3">
      <c r="F96218" s="193"/>
    </row>
    <row r="96219" spans="6:6" x14ac:dyDescent="0.3">
      <c r="F96219" s="193"/>
    </row>
    <row r="96220" spans="6:6" x14ac:dyDescent="0.3">
      <c r="F96220" s="193"/>
    </row>
    <row r="96221" spans="6:6" x14ac:dyDescent="0.3">
      <c r="F96221" s="193"/>
    </row>
    <row r="96222" spans="6:6" x14ac:dyDescent="0.3">
      <c r="F96222" s="193"/>
    </row>
    <row r="96223" spans="6:6" x14ac:dyDescent="0.3">
      <c r="F96223" s="193"/>
    </row>
    <row r="96224" spans="6:6" x14ac:dyDescent="0.3">
      <c r="F96224" s="193"/>
    </row>
    <row r="96225" spans="6:6" x14ac:dyDescent="0.3">
      <c r="F96225" s="193"/>
    </row>
    <row r="96226" spans="6:6" x14ac:dyDescent="0.3">
      <c r="F96226" s="193"/>
    </row>
    <row r="96227" spans="6:6" x14ac:dyDescent="0.3">
      <c r="F96227" s="193"/>
    </row>
    <row r="96228" spans="6:6" x14ac:dyDescent="0.3">
      <c r="F96228" s="193"/>
    </row>
    <row r="96229" spans="6:6" x14ac:dyDescent="0.3">
      <c r="F96229" s="193"/>
    </row>
    <row r="96230" spans="6:6" x14ac:dyDescent="0.3">
      <c r="F96230" s="193"/>
    </row>
    <row r="96231" spans="6:6" x14ac:dyDescent="0.3">
      <c r="F96231" s="193"/>
    </row>
    <row r="96232" spans="6:6" x14ac:dyDescent="0.3">
      <c r="F96232" s="193"/>
    </row>
    <row r="96233" spans="6:6" x14ac:dyDescent="0.3">
      <c r="F96233" s="193"/>
    </row>
    <row r="96234" spans="6:6" x14ac:dyDescent="0.3">
      <c r="F96234" s="193"/>
    </row>
    <row r="96235" spans="6:6" x14ac:dyDescent="0.3">
      <c r="F96235" s="193"/>
    </row>
    <row r="96236" spans="6:6" x14ac:dyDescent="0.3">
      <c r="F96236" s="193"/>
    </row>
    <row r="96237" spans="6:6" x14ac:dyDescent="0.3">
      <c r="F96237" s="193"/>
    </row>
    <row r="96238" spans="6:6" x14ac:dyDescent="0.3">
      <c r="F96238" s="193"/>
    </row>
    <row r="96239" spans="6:6" x14ac:dyDescent="0.3">
      <c r="F96239" s="193"/>
    </row>
    <row r="96240" spans="6:6" x14ac:dyDescent="0.3">
      <c r="F96240" s="193"/>
    </row>
    <row r="96241" spans="6:6" x14ac:dyDescent="0.3">
      <c r="F96241" s="193"/>
    </row>
    <row r="96242" spans="6:6" x14ac:dyDescent="0.3">
      <c r="F96242" s="193"/>
    </row>
    <row r="96243" spans="6:6" x14ac:dyDescent="0.3">
      <c r="F96243" s="193"/>
    </row>
    <row r="96244" spans="6:6" x14ac:dyDescent="0.3">
      <c r="F96244" s="193"/>
    </row>
    <row r="96245" spans="6:6" x14ac:dyDescent="0.3">
      <c r="F96245" s="193"/>
    </row>
    <row r="96246" spans="6:6" x14ac:dyDescent="0.3">
      <c r="F96246" s="193"/>
    </row>
    <row r="96247" spans="6:6" x14ac:dyDescent="0.3">
      <c r="F96247" s="193"/>
    </row>
    <row r="96248" spans="6:6" x14ac:dyDescent="0.3">
      <c r="F96248" s="193"/>
    </row>
    <row r="96249" spans="6:6" x14ac:dyDescent="0.3">
      <c r="F96249" s="193"/>
    </row>
    <row r="96250" spans="6:6" x14ac:dyDescent="0.3">
      <c r="F96250" s="193"/>
    </row>
    <row r="96251" spans="6:6" x14ac:dyDescent="0.3">
      <c r="F96251" s="193"/>
    </row>
    <row r="96252" spans="6:6" x14ac:dyDescent="0.3">
      <c r="F96252" s="193"/>
    </row>
    <row r="96253" spans="6:6" x14ac:dyDescent="0.3">
      <c r="F96253" s="193"/>
    </row>
    <row r="96254" spans="6:6" x14ac:dyDescent="0.3">
      <c r="F96254" s="193"/>
    </row>
    <row r="96255" spans="6:6" x14ac:dyDescent="0.3">
      <c r="F96255" s="193"/>
    </row>
    <row r="96256" spans="6:6" x14ac:dyDescent="0.3">
      <c r="F96256" s="193"/>
    </row>
    <row r="96257" spans="6:6" x14ac:dyDescent="0.3">
      <c r="F96257" s="193"/>
    </row>
    <row r="96258" spans="6:6" x14ac:dyDescent="0.3">
      <c r="F96258" s="193"/>
    </row>
    <row r="96259" spans="6:6" x14ac:dyDescent="0.3">
      <c r="F96259" s="193"/>
    </row>
    <row r="96260" spans="6:6" x14ac:dyDescent="0.3">
      <c r="F96260" s="193"/>
    </row>
    <row r="96261" spans="6:6" x14ac:dyDescent="0.3">
      <c r="F96261" s="193"/>
    </row>
    <row r="96262" spans="6:6" x14ac:dyDescent="0.3">
      <c r="F96262" s="193"/>
    </row>
    <row r="96263" spans="6:6" x14ac:dyDescent="0.3">
      <c r="F96263" s="193"/>
    </row>
    <row r="96264" spans="6:6" x14ac:dyDescent="0.3">
      <c r="F96264" s="193"/>
    </row>
    <row r="96265" spans="6:6" x14ac:dyDescent="0.3">
      <c r="F96265" s="193"/>
    </row>
    <row r="96266" spans="6:6" x14ac:dyDescent="0.3">
      <c r="F96266" s="193"/>
    </row>
    <row r="96267" spans="6:6" x14ac:dyDescent="0.3">
      <c r="F96267" s="193"/>
    </row>
    <row r="96268" spans="6:6" x14ac:dyDescent="0.3">
      <c r="F96268" s="193"/>
    </row>
    <row r="96269" spans="6:6" x14ac:dyDescent="0.3">
      <c r="F96269" s="193"/>
    </row>
    <row r="96270" spans="6:6" x14ac:dyDescent="0.3">
      <c r="F96270" s="193"/>
    </row>
    <row r="96271" spans="6:6" x14ac:dyDescent="0.3">
      <c r="F96271" s="193"/>
    </row>
    <row r="96272" spans="6:6" x14ac:dyDescent="0.3">
      <c r="F96272" s="193"/>
    </row>
    <row r="96273" spans="6:6" x14ac:dyDescent="0.3">
      <c r="F96273" s="193"/>
    </row>
    <row r="96274" spans="6:6" x14ac:dyDescent="0.3">
      <c r="F96274" s="193"/>
    </row>
    <row r="96275" spans="6:6" x14ac:dyDescent="0.3">
      <c r="F96275" s="193"/>
    </row>
    <row r="96276" spans="6:6" x14ac:dyDescent="0.3">
      <c r="F96276" s="193"/>
    </row>
    <row r="96277" spans="6:6" x14ac:dyDescent="0.3">
      <c r="F96277" s="193"/>
    </row>
    <row r="96278" spans="6:6" x14ac:dyDescent="0.3">
      <c r="F96278" s="193"/>
    </row>
    <row r="96279" spans="6:6" x14ac:dyDescent="0.3">
      <c r="F96279" s="193"/>
    </row>
    <row r="96280" spans="6:6" x14ac:dyDescent="0.3">
      <c r="F96280" s="193"/>
    </row>
    <row r="96281" spans="6:6" x14ac:dyDescent="0.3">
      <c r="F96281" s="193"/>
    </row>
    <row r="96282" spans="6:6" x14ac:dyDescent="0.3">
      <c r="F96282" s="193"/>
    </row>
    <row r="96283" spans="6:6" x14ac:dyDescent="0.3">
      <c r="F96283" s="193"/>
    </row>
    <row r="96284" spans="6:6" x14ac:dyDescent="0.3">
      <c r="F96284" s="193"/>
    </row>
    <row r="96285" spans="6:6" x14ac:dyDescent="0.3">
      <c r="F96285" s="193"/>
    </row>
    <row r="96286" spans="6:6" x14ac:dyDescent="0.3">
      <c r="F96286" s="193"/>
    </row>
    <row r="96287" spans="6:6" x14ac:dyDescent="0.3">
      <c r="F96287" s="193"/>
    </row>
    <row r="96288" spans="6:6" x14ac:dyDescent="0.3">
      <c r="F96288" s="193"/>
    </row>
    <row r="96289" spans="6:6" x14ac:dyDescent="0.3">
      <c r="F96289" s="193"/>
    </row>
    <row r="96290" spans="6:6" x14ac:dyDescent="0.3">
      <c r="F96290" s="193"/>
    </row>
    <row r="96291" spans="6:6" x14ac:dyDescent="0.3">
      <c r="F96291" s="193"/>
    </row>
    <row r="96292" spans="6:6" x14ac:dyDescent="0.3">
      <c r="F96292" s="193"/>
    </row>
    <row r="96293" spans="6:6" x14ac:dyDescent="0.3">
      <c r="F96293" s="193"/>
    </row>
    <row r="96294" spans="6:6" x14ac:dyDescent="0.3">
      <c r="F96294" s="193"/>
    </row>
    <row r="96295" spans="6:6" x14ac:dyDescent="0.3">
      <c r="F96295" s="193"/>
    </row>
    <row r="96296" spans="6:6" x14ac:dyDescent="0.3">
      <c r="F96296" s="193"/>
    </row>
    <row r="96297" spans="6:6" x14ac:dyDescent="0.3">
      <c r="F96297" s="193"/>
    </row>
    <row r="96298" spans="6:6" x14ac:dyDescent="0.3">
      <c r="F96298" s="193"/>
    </row>
    <row r="96299" spans="6:6" x14ac:dyDescent="0.3">
      <c r="F96299" s="193"/>
    </row>
    <row r="96300" spans="6:6" x14ac:dyDescent="0.3">
      <c r="F96300" s="193"/>
    </row>
    <row r="96301" spans="6:6" x14ac:dyDescent="0.3">
      <c r="F96301" s="193"/>
    </row>
    <row r="96302" spans="6:6" x14ac:dyDescent="0.3">
      <c r="F96302" s="193"/>
    </row>
    <row r="96303" spans="6:6" x14ac:dyDescent="0.3">
      <c r="F96303" s="193"/>
    </row>
    <row r="96304" spans="6:6" x14ac:dyDescent="0.3">
      <c r="F96304" s="193"/>
    </row>
    <row r="96305" spans="6:6" x14ac:dyDescent="0.3">
      <c r="F96305" s="193"/>
    </row>
    <row r="96306" spans="6:6" x14ac:dyDescent="0.3">
      <c r="F96306" s="193"/>
    </row>
    <row r="96307" spans="6:6" x14ac:dyDescent="0.3">
      <c r="F96307" s="193"/>
    </row>
    <row r="96308" spans="6:6" x14ac:dyDescent="0.3">
      <c r="F96308" s="193"/>
    </row>
    <row r="96309" spans="6:6" x14ac:dyDescent="0.3">
      <c r="F96309" s="193"/>
    </row>
    <row r="96310" spans="6:6" x14ac:dyDescent="0.3">
      <c r="F96310" s="193"/>
    </row>
    <row r="96311" spans="6:6" x14ac:dyDescent="0.3">
      <c r="F96311" s="193"/>
    </row>
    <row r="96312" spans="6:6" x14ac:dyDescent="0.3">
      <c r="F96312" s="193"/>
    </row>
    <row r="96313" spans="6:6" x14ac:dyDescent="0.3">
      <c r="F96313" s="193"/>
    </row>
    <row r="96314" spans="6:6" x14ac:dyDescent="0.3">
      <c r="F96314" s="193"/>
    </row>
    <row r="96315" spans="6:6" x14ac:dyDescent="0.3">
      <c r="F96315" s="193"/>
    </row>
    <row r="96316" spans="6:6" x14ac:dyDescent="0.3">
      <c r="F96316" s="193"/>
    </row>
    <row r="96317" spans="6:6" x14ac:dyDescent="0.3">
      <c r="F96317" s="193"/>
    </row>
    <row r="96318" spans="6:6" x14ac:dyDescent="0.3">
      <c r="F96318" s="193"/>
    </row>
    <row r="96319" spans="6:6" x14ac:dyDescent="0.3">
      <c r="F96319" s="193"/>
    </row>
    <row r="96320" spans="6:6" x14ac:dyDescent="0.3">
      <c r="F96320" s="193"/>
    </row>
    <row r="96321" spans="6:6" x14ac:dyDescent="0.3">
      <c r="F96321" s="193"/>
    </row>
    <row r="96322" spans="6:6" x14ac:dyDescent="0.3">
      <c r="F96322" s="193"/>
    </row>
    <row r="96323" spans="6:6" x14ac:dyDescent="0.3">
      <c r="F96323" s="193"/>
    </row>
    <row r="96324" spans="6:6" x14ac:dyDescent="0.3">
      <c r="F96324" s="193"/>
    </row>
    <row r="96325" spans="6:6" x14ac:dyDescent="0.3">
      <c r="F96325" s="193"/>
    </row>
    <row r="96326" spans="6:6" x14ac:dyDescent="0.3">
      <c r="F96326" s="193"/>
    </row>
    <row r="96327" spans="6:6" x14ac:dyDescent="0.3">
      <c r="F96327" s="193"/>
    </row>
    <row r="96328" spans="6:6" x14ac:dyDescent="0.3">
      <c r="F96328" s="193"/>
    </row>
    <row r="96329" spans="6:6" x14ac:dyDescent="0.3">
      <c r="F96329" s="193"/>
    </row>
    <row r="96330" spans="6:6" x14ac:dyDescent="0.3">
      <c r="F96330" s="193"/>
    </row>
    <row r="96331" spans="6:6" x14ac:dyDescent="0.3">
      <c r="F96331" s="193"/>
    </row>
    <row r="96332" spans="6:6" x14ac:dyDescent="0.3">
      <c r="F96332" s="193"/>
    </row>
    <row r="96333" spans="6:6" x14ac:dyDescent="0.3">
      <c r="F96333" s="193"/>
    </row>
    <row r="96334" spans="6:6" x14ac:dyDescent="0.3">
      <c r="F96334" s="193"/>
    </row>
    <row r="96335" spans="6:6" x14ac:dyDescent="0.3">
      <c r="F96335" s="193"/>
    </row>
    <row r="96336" spans="6:6" x14ac:dyDescent="0.3">
      <c r="F96336" s="193"/>
    </row>
    <row r="96337" spans="6:6" x14ac:dyDescent="0.3">
      <c r="F96337" s="193"/>
    </row>
    <row r="96338" spans="6:6" x14ac:dyDescent="0.3">
      <c r="F96338" s="193"/>
    </row>
    <row r="96339" spans="6:6" x14ac:dyDescent="0.3">
      <c r="F96339" s="193"/>
    </row>
    <row r="96340" spans="6:6" x14ac:dyDescent="0.3">
      <c r="F96340" s="193"/>
    </row>
    <row r="96341" spans="6:6" x14ac:dyDescent="0.3">
      <c r="F96341" s="193"/>
    </row>
    <row r="96342" spans="6:6" x14ac:dyDescent="0.3">
      <c r="F96342" s="193"/>
    </row>
    <row r="96343" spans="6:6" x14ac:dyDescent="0.3">
      <c r="F96343" s="193"/>
    </row>
    <row r="96344" spans="6:6" x14ac:dyDescent="0.3">
      <c r="F96344" s="193"/>
    </row>
    <row r="96345" spans="6:6" x14ac:dyDescent="0.3">
      <c r="F96345" s="193"/>
    </row>
    <row r="96346" spans="6:6" x14ac:dyDescent="0.3">
      <c r="F96346" s="193"/>
    </row>
    <row r="96347" spans="6:6" x14ac:dyDescent="0.3">
      <c r="F96347" s="193"/>
    </row>
    <row r="96348" spans="6:6" x14ac:dyDescent="0.3">
      <c r="F96348" s="193"/>
    </row>
    <row r="96349" spans="6:6" x14ac:dyDescent="0.3">
      <c r="F96349" s="193"/>
    </row>
    <row r="96350" spans="6:6" x14ac:dyDescent="0.3">
      <c r="F96350" s="193"/>
    </row>
    <row r="96351" spans="6:6" x14ac:dyDescent="0.3">
      <c r="F96351" s="193"/>
    </row>
    <row r="96352" spans="6:6" x14ac:dyDescent="0.3">
      <c r="F96352" s="193"/>
    </row>
    <row r="96353" spans="6:6" x14ac:dyDescent="0.3">
      <c r="F96353" s="193"/>
    </row>
    <row r="96354" spans="6:6" x14ac:dyDescent="0.3">
      <c r="F96354" s="193"/>
    </row>
    <row r="96355" spans="6:6" x14ac:dyDescent="0.3">
      <c r="F96355" s="193"/>
    </row>
    <row r="96356" spans="6:6" x14ac:dyDescent="0.3">
      <c r="F96356" s="193"/>
    </row>
    <row r="96357" spans="6:6" x14ac:dyDescent="0.3">
      <c r="F96357" s="193"/>
    </row>
    <row r="96358" spans="6:6" x14ac:dyDescent="0.3">
      <c r="F96358" s="193"/>
    </row>
    <row r="96359" spans="6:6" x14ac:dyDescent="0.3">
      <c r="F96359" s="193"/>
    </row>
    <row r="96360" spans="6:6" x14ac:dyDescent="0.3">
      <c r="F96360" s="193"/>
    </row>
    <row r="96361" spans="6:6" x14ac:dyDescent="0.3">
      <c r="F96361" s="193"/>
    </row>
    <row r="96362" spans="6:6" x14ac:dyDescent="0.3">
      <c r="F96362" s="193"/>
    </row>
    <row r="96363" spans="6:6" x14ac:dyDescent="0.3">
      <c r="F96363" s="193"/>
    </row>
    <row r="96364" spans="6:6" x14ac:dyDescent="0.3">
      <c r="F96364" s="193"/>
    </row>
    <row r="96365" spans="6:6" x14ac:dyDescent="0.3">
      <c r="F96365" s="193"/>
    </row>
    <row r="96366" spans="6:6" x14ac:dyDescent="0.3">
      <c r="F96366" s="193"/>
    </row>
    <row r="96367" spans="6:6" x14ac:dyDescent="0.3">
      <c r="F96367" s="193"/>
    </row>
    <row r="96368" spans="6:6" x14ac:dyDescent="0.3">
      <c r="F96368" s="193"/>
    </row>
    <row r="96369" spans="6:6" x14ac:dyDescent="0.3">
      <c r="F96369" s="193"/>
    </row>
    <row r="96370" spans="6:6" x14ac:dyDescent="0.3">
      <c r="F96370" s="193"/>
    </row>
    <row r="96371" spans="6:6" x14ac:dyDescent="0.3">
      <c r="F96371" s="193"/>
    </row>
    <row r="96372" spans="6:6" x14ac:dyDescent="0.3">
      <c r="F96372" s="193"/>
    </row>
    <row r="96373" spans="6:6" x14ac:dyDescent="0.3">
      <c r="F96373" s="193"/>
    </row>
    <row r="96374" spans="6:6" x14ac:dyDescent="0.3">
      <c r="F96374" s="193"/>
    </row>
    <row r="96375" spans="6:6" x14ac:dyDescent="0.3">
      <c r="F96375" s="193"/>
    </row>
    <row r="96376" spans="6:6" x14ac:dyDescent="0.3">
      <c r="F96376" s="193"/>
    </row>
    <row r="96377" spans="6:6" x14ac:dyDescent="0.3">
      <c r="F96377" s="193"/>
    </row>
    <row r="96378" spans="6:6" x14ac:dyDescent="0.3">
      <c r="F96378" s="193"/>
    </row>
    <row r="96379" spans="6:6" x14ac:dyDescent="0.3">
      <c r="F96379" s="193"/>
    </row>
    <row r="96380" spans="6:6" x14ac:dyDescent="0.3">
      <c r="F96380" s="193"/>
    </row>
    <row r="96381" spans="6:6" x14ac:dyDescent="0.3">
      <c r="F96381" s="193"/>
    </row>
    <row r="96382" spans="6:6" x14ac:dyDescent="0.3">
      <c r="F96382" s="193"/>
    </row>
    <row r="96383" spans="6:6" x14ac:dyDescent="0.3">
      <c r="F96383" s="193"/>
    </row>
    <row r="96384" spans="6:6" x14ac:dyDescent="0.3">
      <c r="F96384" s="193"/>
    </row>
    <row r="96385" spans="6:6" x14ac:dyDescent="0.3">
      <c r="F96385" s="193"/>
    </row>
    <row r="96386" spans="6:6" x14ac:dyDescent="0.3">
      <c r="F96386" s="193"/>
    </row>
    <row r="96387" spans="6:6" x14ac:dyDescent="0.3">
      <c r="F96387" s="193"/>
    </row>
    <row r="96388" spans="6:6" x14ac:dyDescent="0.3">
      <c r="F96388" s="193"/>
    </row>
    <row r="96389" spans="6:6" x14ac:dyDescent="0.3">
      <c r="F96389" s="193"/>
    </row>
    <row r="96390" spans="6:6" x14ac:dyDescent="0.3">
      <c r="F96390" s="193"/>
    </row>
    <row r="96391" spans="6:6" x14ac:dyDescent="0.3">
      <c r="F96391" s="193"/>
    </row>
    <row r="96392" spans="6:6" x14ac:dyDescent="0.3">
      <c r="F96392" s="193"/>
    </row>
    <row r="96393" spans="6:6" x14ac:dyDescent="0.3">
      <c r="F96393" s="193"/>
    </row>
    <row r="96394" spans="6:6" x14ac:dyDescent="0.3">
      <c r="F96394" s="193"/>
    </row>
    <row r="96395" spans="6:6" x14ac:dyDescent="0.3">
      <c r="F96395" s="193"/>
    </row>
    <row r="96396" spans="6:6" x14ac:dyDescent="0.3">
      <c r="F96396" s="193"/>
    </row>
    <row r="96397" spans="6:6" x14ac:dyDescent="0.3">
      <c r="F96397" s="193"/>
    </row>
    <row r="96398" spans="6:6" x14ac:dyDescent="0.3">
      <c r="F96398" s="193"/>
    </row>
    <row r="96399" spans="6:6" x14ac:dyDescent="0.3">
      <c r="F96399" s="193"/>
    </row>
    <row r="96400" spans="6:6" x14ac:dyDescent="0.3">
      <c r="F96400" s="193"/>
    </row>
    <row r="96401" spans="6:6" x14ac:dyDescent="0.3">
      <c r="F96401" s="193"/>
    </row>
    <row r="96402" spans="6:6" x14ac:dyDescent="0.3">
      <c r="F96402" s="193"/>
    </row>
    <row r="96403" spans="6:6" x14ac:dyDescent="0.3">
      <c r="F96403" s="193"/>
    </row>
    <row r="96404" spans="6:6" x14ac:dyDescent="0.3">
      <c r="F96404" s="193"/>
    </row>
    <row r="96405" spans="6:6" x14ac:dyDescent="0.3">
      <c r="F96405" s="193"/>
    </row>
    <row r="96406" spans="6:6" x14ac:dyDescent="0.3">
      <c r="F96406" s="193"/>
    </row>
    <row r="96407" spans="6:6" x14ac:dyDescent="0.3">
      <c r="F96407" s="193"/>
    </row>
    <row r="96408" spans="6:6" x14ac:dyDescent="0.3">
      <c r="F96408" s="193"/>
    </row>
    <row r="96409" spans="6:6" x14ac:dyDescent="0.3">
      <c r="F96409" s="193"/>
    </row>
    <row r="96410" spans="6:6" x14ac:dyDescent="0.3">
      <c r="F96410" s="193"/>
    </row>
    <row r="96411" spans="6:6" x14ac:dyDescent="0.3">
      <c r="F96411" s="193"/>
    </row>
    <row r="96412" spans="6:6" x14ac:dyDescent="0.3">
      <c r="F96412" s="193"/>
    </row>
    <row r="96413" spans="6:6" x14ac:dyDescent="0.3">
      <c r="F96413" s="193"/>
    </row>
    <row r="96414" spans="6:6" x14ac:dyDescent="0.3">
      <c r="F96414" s="193"/>
    </row>
    <row r="96415" spans="6:6" x14ac:dyDescent="0.3">
      <c r="F96415" s="193"/>
    </row>
    <row r="96416" spans="6:6" x14ac:dyDescent="0.3">
      <c r="F96416" s="193"/>
    </row>
    <row r="96417" spans="6:6" x14ac:dyDescent="0.3">
      <c r="F96417" s="193"/>
    </row>
    <row r="96418" spans="6:6" x14ac:dyDescent="0.3">
      <c r="F96418" s="193"/>
    </row>
    <row r="96419" spans="6:6" x14ac:dyDescent="0.3">
      <c r="F96419" s="193"/>
    </row>
    <row r="96420" spans="6:6" x14ac:dyDescent="0.3">
      <c r="F96420" s="193"/>
    </row>
    <row r="96421" spans="6:6" x14ac:dyDescent="0.3">
      <c r="F96421" s="193"/>
    </row>
    <row r="96422" spans="6:6" x14ac:dyDescent="0.3">
      <c r="F96422" s="193"/>
    </row>
    <row r="96423" spans="6:6" x14ac:dyDescent="0.3">
      <c r="F96423" s="193"/>
    </row>
    <row r="96424" spans="6:6" x14ac:dyDescent="0.3">
      <c r="F96424" s="193"/>
    </row>
    <row r="96425" spans="6:6" x14ac:dyDescent="0.3">
      <c r="F96425" s="193"/>
    </row>
    <row r="96426" spans="6:6" x14ac:dyDescent="0.3">
      <c r="F96426" s="193"/>
    </row>
    <row r="96427" spans="6:6" x14ac:dyDescent="0.3">
      <c r="F96427" s="193"/>
    </row>
    <row r="96428" spans="6:6" x14ac:dyDescent="0.3">
      <c r="F96428" s="193"/>
    </row>
    <row r="96429" spans="6:6" x14ac:dyDescent="0.3">
      <c r="F96429" s="193"/>
    </row>
    <row r="96430" spans="6:6" x14ac:dyDescent="0.3">
      <c r="F96430" s="193"/>
    </row>
    <row r="96431" spans="6:6" x14ac:dyDescent="0.3">
      <c r="F96431" s="193"/>
    </row>
    <row r="96432" spans="6:6" x14ac:dyDescent="0.3">
      <c r="F96432" s="193"/>
    </row>
    <row r="96433" spans="6:6" x14ac:dyDescent="0.3">
      <c r="F96433" s="193"/>
    </row>
    <row r="96434" spans="6:6" x14ac:dyDescent="0.3">
      <c r="F96434" s="193"/>
    </row>
    <row r="96435" spans="6:6" x14ac:dyDescent="0.3">
      <c r="F96435" s="193"/>
    </row>
    <row r="96436" spans="6:6" x14ac:dyDescent="0.3">
      <c r="F96436" s="193"/>
    </row>
    <row r="96437" spans="6:6" x14ac:dyDescent="0.3">
      <c r="F96437" s="193"/>
    </row>
    <row r="96438" spans="6:6" x14ac:dyDescent="0.3">
      <c r="F96438" s="193"/>
    </row>
    <row r="96439" spans="6:6" x14ac:dyDescent="0.3">
      <c r="F96439" s="193"/>
    </row>
    <row r="96440" spans="6:6" x14ac:dyDescent="0.3">
      <c r="F96440" s="193"/>
    </row>
    <row r="96441" spans="6:6" x14ac:dyDescent="0.3">
      <c r="F96441" s="193"/>
    </row>
    <row r="96442" spans="6:6" x14ac:dyDescent="0.3">
      <c r="F96442" s="193"/>
    </row>
    <row r="96443" spans="6:6" x14ac:dyDescent="0.3">
      <c r="F96443" s="193"/>
    </row>
    <row r="96444" spans="6:6" x14ac:dyDescent="0.3">
      <c r="F96444" s="193"/>
    </row>
    <row r="96445" spans="6:6" x14ac:dyDescent="0.3">
      <c r="F96445" s="193"/>
    </row>
    <row r="96446" spans="6:6" x14ac:dyDescent="0.3">
      <c r="F96446" s="193"/>
    </row>
    <row r="96447" spans="6:6" x14ac:dyDescent="0.3">
      <c r="F96447" s="193"/>
    </row>
    <row r="96448" spans="6:6" x14ac:dyDescent="0.3">
      <c r="F96448" s="193"/>
    </row>
    <row r="96449" spans="6:6" x14ac:dyDescent="0.3">
      <c r="F96449" s="193"/>
    </row>
    <row r="96450" spans="6:6" x14ac:dyDescent="0.3">
      <c r="F96450" s="193"/>
    </row>
    <row r="96451" spans="6:6" x14ac:dyDescent="0.3">
      <c r="F96451" s="193"/>
    </row>
    <row r="96452" spans="6:6" x14ac:dyDescent="0.3">
      <c r="F96452" s="193"/>
    </row>
    <row r="96453" spans="6:6" x14ac:dyDescent="0.3">
      <c r="F96453" s="193"/>
    </row>
    <row r="96454" spans="6:6" x14ac:dyDescent="0.3">
      <c r="F96454" s="193"/>
    </row>
    <row r="96455" spans="6:6" x14ac:dyDescent="0.3">
      <c r="F96455" s="193"/>
    </row>
    <row r="96456" spans="6:6" x14ac:dyDescent="0.3">
      <c r="F96456" s="193"/>
    </row>
    <row r="96457" spans="6:6" x14ac:dyDescent="0.3">
      <c r="F96457" s="193"/>
    </row>
    <row r="96458" spans="6:6" x14ac:dyDescent="0.3">
      <c r="F96458" s="193"/>
    </row>
    <row r="96459" spans="6:6" x14ac:dyDescent="0.3">
      <c r="F96459" s="193"/>
    </row>
    <row r="96460" spans="6:6" x14ac:dyDescent="0.3">
      <c r="F96460" s="193"/>
    </row>
    <row r="96461" spans="6:6" x14ac:dyDescent="0.3">
      <c r="F96461" s="193"/>
    </row>
    <row r="96462" spans="6:6" x14ac:dyDescent="0.3">
      <c r="F96462" s="193"/>
    </row>
    <row r="96463" spans="6:6" x14ac:dyDescent="0.3">
      <c r="F96463" s="193"/>
    </row>
    <row r="96464" spans="6:6" x14ac:dyDescent="0.3">
      <c r="F96464" s="193"/>
    </row>
    <row r="96465" spans="6:6" x14ac:dyDescent="0.3">
      <c r="F96465" s="193"/>
    </row>
    <row r="96466" spans="6:6" x14ac:dyDescent="0.3">
      <c r="F96466" s="193"/>
    </row>
    <row r="96467" spans="6:6" x14ac:dyDescent="0.3">
      <c r="F96467" s="193"/>
    </row>
    <row r="96468" spans="6:6" x14ac:dyDescent="0.3">
      <c r="F96468" s="193"/>
    </row>
    <row r="96469" spans="6:6" x14ac:dyDescent="0.3">
      <c r="F96469" s="193"/>
    </row>
    <row r="96470" spans="6:6" x14ac:dyDescent="0.3">
      <c r="F96470" s="193"/>
    </row>
    <row r="96471" spans="6:6" x14ac:dyDescent="0.3">
      <c r="F96471" s="193"/>
    </row>
    <row r="96472" spans="6:6" x14ac:dyDescent="0.3">
      <c r="F96472" s="193"/>
    </row>
    <row r="96473" spans="6:6" x14ac:dyDescent="0.3">
      <c r="F96473" s="193"/>
    </row>
    <row r="96474" spans="6:6" x14ac:dyDescent="0.3">
      <c r="F96474" s="193"/>
    </row>
    <row r="96475" spans="6:6" x14ac:dyDescent="0.3">
      <c r="F96475" s="193"/>
    </row>
    <row r="96476" spans="6:6" x14ac:dyDescent="0.3">
      <c r="F96476" s="193"/>
    </row>
    <row r="96477" spans="6:6" x14ac:dyDescent="0.3">
      <c r="F96477" s="193"/>
    </row>
    <row r="96478" spans="6:6" x14ac:dyDescent="0.3">
      <c r="F96478" s="193"/>
    </row>
    <row r="96479" spans="6:6" x14ac:dyDescent="0.3">
      <c r="F96479" s="193"/>
    </row>
    <row r="96480" spans="6:6" x14ac:dyDescent="0.3">
      <c r="F96480" s="193"/>
    </row>
    <row r="96481" spans="6:6" x14ac:dyDescent="0.3">
      <c r="F96481" s="193"/>
    </row>
    <row r="96482" spans="6:6" x14ac:dyDescent="0.3">
      <c r="F96482" s="193"/>
    </row>
    <row r="96483" spans="6:6" x14ac:dyDescent="0.3">
      <c r="F96483" s="193"/>
    </row>
    <row r="96484" spans="6:6" x14ac:dyDescent="0.3">
      <c r="F96484" s="193"/>
    </row>
    <row r="96485" spans="6:6" x14ac:dyDescent="0.3">
      <c r="F96485" s="193"/>
    </row>
    <row r="96486" spans="6:6" x14ac:dyDescent="0.3">
      <c r="F96486" s="193"/>
    </row>
    <row r="96487" spans="6:6" x14ac:dyDescent="0.3">
      <c r="F96487" s="193"/>
    </row>
    <row r="96488" spans="6:6" x14ac:dyDescent="0.3">
      <c r="F96488" s="193"/>
    </row>
    <row r="96489" spans="6:6" x14ac:dyDescent="0.3">
      <c r="F96489" s="193"/>
    </row>
    <row r="96490" spans="6:6" x14ac:dyDescent="0.3">
      <c r="F96490" s="193"/>
    </row>
    <row r="96491" spans="6:6" x14ac:dyDescent="0.3">
      <c r="F96491" s="193"/>
    </row>
    <row r="96492" spans="6:6" x14ac:dyDescent="0.3">
      <c r="F96492" s="193"/>
    </row>
    <row r="96493" spans="6:6" x14ac:dyDescent="0.3">
      <c r="F96493" s="193"/>
    </row>
    <row r="96494" spans="6:6" x14ac:dyDescent="0.3">
      <c r="F96494" s="193"/>
    </row>
    <row r="96495" spans="6:6" x14ac:dyDescent="0.3">
      <c r="F96495" s="193"/>
    </row>
    <row r="96496" spans="6:6" x14ac:dyDescent="0.3">
      <c r="F96496" s="193"/>
    </row>
    <row r="96497" spans="6:6" x14ac:dyDescent="0.3">
      <c r="F96497" s="193"/>
    </row>
    <row r="96498" spans="6:6" x14ac:dyDescent="0.3">
      <c r="F96498" s="193"/>
    </row>
    <row r="96499" spans="6:6" x14ac:dyDescent="0.3">
      <c r="F96499" s="193"/>
    </row>
    <row r="96500" spans="6:6" x14ac:dyDescent="0.3">
      <c r="F96500" s="193"/>
    </row>
    <row r="96501" spans="6:6" x14ac:dyDescent="0.3">
      <c r="F96501" s="193"/>
    </row>
    <row r="96502" spans="6:6" x14ac:dyDescent="0.3">
      <c r="F96502" s="193"/>
    </row>
    <row r="96503" spans="6:6" x14ac:dyDescent="0.3">
      <c r="F96503" s="193"/>
    </row>
    <row r="96504" spans="6:6" x14ac:dyDescent="0.3">
      <c r="F96504" s="193"/>
    </row>
    <row r="96505" spans="6:6" x14ac:dyDescent="0.3">
      <c r="F96505" s="193"/>
    </row>
    <row r="96506" spans="6:6" x14ac:dyDescent="0.3">
      <c r="F96506" s="193"/>
    </row>
    <row r="96507" spans="6:6" x14ac:dyDescent="0.3">
      <c r="F96507" s="193"/>
    </row>
    <row r="96508" spans="6:6" x14ac:dyDescent="0.3">
      <c r="F96508" s="193"/>
    </row>
    <row r="96509" spans="6:6" x14ac:dyDescent="0.3">
      <c r="F96509" s="193"/>
    </row>
    <row r="96510" spans="6:6" x14ac:dyDescent="0.3">
      <c r="F96510" s="193"/>
    </row>
    <row r="96511" spans="6:6" x14ac:dyDescent="0.3">
      <c r="F96511" s="193"/>
    </row>
    <row r="96512" spans="6:6" x14ac:dyDescent="0.3">
      <c r="F96512" s="193"/>
    </row>
    <row r="96513" spans="6:6" x14ac:dyDescent="0.3">
      <c r="F96513" s="193"/>
    </row>
    <row r="96514" spans="6:6" x14ac:dyDescent="0.3">
      <c r="F96514" s="193"/>
    </row>
    <row r="96515" spans="6:6" x14ac:dyDescent="0.3">
      <c r="F96515" s="193"/>
    </row>
    <row r="96516" spans="6:6" x14ac:dyDescent="0.3">
      <c r="F96516" s="193"/>
    </row>
    <row r="96517" spans="6:6" x14ac:dyDescent="0.3">
      <c r="F96517" s="193"/>
    </row>
    <row r="96518" spans="6:6" x14ac:dyDescent="0.3">
      <c r="F96518" s="193"/>
    </row>
    <row r="96519" spans="6:6" x14ac:dyDescent="0.3">
      <c r="F96519" s="193"/>
    </row>
    <row r="96520" spans="6:6" x14ac:dyDescent="0.3">
      <c r="F96520" s="193"/>
    </row>
    <row r="96521" spans="6:6" x14ac:dyDescent="0.3">
      <c r="F96521" s="193"/>
    </row>
    <row r="96522" spans="6:6" x14ac:dyDescent="0.3">
      <c r="F96522" s="193"/>
    </row>
    <row r="96523" spans="6:6" x14ac:dyDescent="0.3">
      <c r="F96523" s="193"/>
    </row>
    <row r="96524" spans="6:6" x14ac:dyDescent="0.3">
      <c r="F96524" s="193"/>
    </row>
    <row r="96525" spans="6:6" x14ac:dyDescent="0.3">
      <c r="F96525" s="193"/>
    </row>
    <row r="96526" spans="6:6" x14ac:dyDescent="0.3">
      <c r="F96526" s="193"/>
    </row>
    <row r="96527" spans="6:6" x14ac:dyDescent="0.3">
      <c r="F96527" s="193"/>
    </row>
    <row r="96528" spans="6:6" x14ac:dyDescent="0.3">
      <c r="F96528" s="193"/>
    </row>
    <row r="96529" spans="6:6" x14ac:dyDescent="0.3">
      <c r="F96529" s="193"/>
    </row>
    <row r="96530" spans="6:6" x14ac:dyDescent="0.3">
      <c r="F96530" s="193"/>
    </row>
    <row r="96531" spans="6:6" x14ac:dyDescent="0.3">
      <c r="F96531" s="193"/>
    </row>
    <row r="96532" spans="6:6" x14ac:dyDescent="0.3">
      <c r="F96532" s="193"/>
    </row>
    <row r="96533" spans="6:6" x14ac:dyDescent="0.3">
      <c r="F96533" s="193"/>
    </row>
    <row r="96534" spans="6:6" x14ac:dyDescent="0.3">
      <c r="F96534" s="193"/>
    </row>
    <row r="96535" spans="6:6" x14ac:dyDescent="0.3">
      <c r="F96535" s="193"/>
    </row>
    <row r="96536" spans="6:6" x14ac:dyDescent="0.3">
      <c r="F96536" s="193"/>
    </row>
    <row r="96537" spans="6:6" x14ac:dyDescent="0.3">
      <c r="F96537" s="193"/>
    </row>
    <row r="96538" spans="6:6" x14ac:dyDescent="0.3">
      <c r="F96538" s="193"/>
    </row>
    <row r="96539" spans="6:6" x14ac:dyDescent="0.3">
      <c r="F96539" s="193"/>
    </row>
    <row r="96540" spans="6:6" x14ac:dyDescent="0.3">
      <c r="F96540" s="193"/>
    </row>
    <row r="96541" spans="6:6" x14ac:dyDescent="0.3">
      <c r="F96541" s="193"/>
    </row>
    <row r="96542" spans="6:6" x14ac:dyDescent="0.3">
      <c r="F96542" s="193"/>
    </row>
    <row r="96543" spans="6:6" x14ac:dyDescent="0.3">
      <c r="F96543" s="193"/>
    </row>
    <row r="96544" spans="6:6" x14ac:dyDescent="0.3">
      <c r="F96544" s="193"/>
    </row>
    <row r="96545" spans="6:6" x14ac:dyDescent="0.3">
      <c r="F96545" s="193"/>
    </row>
    <row r="96546" spans="6:6" x14ac:dyDescent="0.3">
      <c r="F96546" s="193"/>
    </row>
    <row r="96547" spans="6:6" x14ac:dyDescent="0.3">
      <c r="F96547" s="193"/>
    </row>
    <row r="96548" spans="6:6" x14ac:dyDescent="0.3">
      <c r="F96548" s="193"/>
    </row>
    <row r="96549" spans="6:6" x14ac:dyDescent="0.3">
      <c r="F96549" s="193"/>
    </row>
    <row r="96550" spans="6:6" x14ac:dyDescent="0.3">
      <c r="F96550" s="193"/>
    </row>
    <row r="96551" spans="6:6" x14ac:dyDescent="0.3">
      <c r="F96551" s="193"/>
    </row>
    <row r="96552" spans="6:6" x14ac:dyDescent="0.3">
      <c r="F96552" s="193"/>
    </row>
    <row r="96553" spans="6:6" x14ac:dyDescent="0.3">
      <c r="F96553" s="193"/>
    </row>
    <row r="96554" spans="6:6" x14ac:dyDescent="0.3">
      <c r="F96554" s="193"/>
    </row>
    <row r="96555" spans="6:6" x14ac:dyDescent="0.3">
      <c r="F96555" s="193"/>
    </row>
    <row r="96556" spans="6:6" x14ac:dyDescent="0.3">
      <c r="F96556" s="193"/>
    </row>
    <row r="96557" spans="6:6" x14ac:dyDescent="0.3">
      <c r="F96557" s="193"/>
    </row>
    <row r="96558" spans="6:6" x14ac:dyDescent="0.3">
      <c r="F96558" s="193"/>
    </row>
    <row r="96559" spans="6:6" x14ac:dyDescent="0.3">
      <c r="F96559" s="193"/>
    </row>
    <row r="96560" spans="6:6" x14ac:dyDescent="0.3">
      <c r="F96560" s="193"/>
    </row>
    <row r="96561" spans="6:6" x14ac:dyDescent="0.3">
      <c r="F96561" s="193"/>
    </row>
    <row r="96562" spans="6:6" x14ac:dyDescent="0.3">
      <c r="F96562" s="193"/>
    </row>
    <row r="96563" spans="6:6" x14ac:dyDescent="0.3">
      <c r="F96563" s="193"/>
    </row>
    <row r="96564" spans="6:6" x14ac:dyDescent="0.3">
      <c r="F96564" s="193"/>
    </row>
    <row r="96565" spans="6:6" x14ac:dyDescent="0.3">
      <c r="F96565" s="193"/>
    </row>
    <row r="96566" spans="6:6" x14ac:dyDescent="0.3">
      <c r="F96566" s="193"/>
    </row>
    <row r="96567" spans="6:6" x14ac:dyDescent="0.3">
      <c r="F96567" s="193"/>
    </row>
    <row r="96568" spans="6:6" x14ac:dyDescent="0.3">
      <c r="F96568" s="193"/>
    </row>
    <row r="96569" spans="6:6" x14ac:dyDescent="0.3">
      <c r="F96569" s="193"/>
    </row>
    <row r="96570" spans="6:6" x14ac:dyDescent="0.3">
      <c r="F96570" s="193"/>
    </row>
    <row r="96571" spans="6:6" x14ac:dyDescent="0.3">
      <c r="F96571" s="193"/>
    </row>
    <row r="96572" spans="6:6" x14ac:dyDescent="0.3">
      <c r="F96572" s="193"/>
    </row>
    <row r="96573" spans="6:6" x14ac:dyDescent="0.3">
      <c r="F96573" s="193"/>
    </row>
    <row r="96574" spans="6:6" x14ac:dyDescent="0.3">
      <c r="F96574" s="193"/>
    </row>
    <row r="96575" spans="6:6" x14ac:dyDescent="0.3">
      <c r="F96575" s="193"/>
    </row>
    <row r="96576" spans="6:6" x14ac:dyDescent="0.3">
      <c r="F96576" s="193"/>
    </row>
    <row r="96577" spans="6:6" x14ac:dyDescent="0.3">
      <c r="F96577" s="193"/>
    </row>
    <row r="96578" spans="6:6" x14ac:dyDescent="0.3">
      <c r="F96578" s="193"/>
    </row>
    <row r="96579" spans="6:6" x14ac:dyDescent="0.3">
      <c r="F96579" s="193"/>
    </row>
    <row r="96580" spans="6:6" x14ac:dyDescent="0.3">
      <c r="F96580" s="193"/>
    </row>
    <row r="96581" spans="6:6" x14ac:dyDescent="0.3">
      <c r="F96581" s="193"/>
    </row>
    <row r="96582" spans="6:6" x14ac:dyDescent="0.3">
      <c r="F96582" s="193"/>
    </row>
    <row r="96583" spans="6:6" x14ac:dyDescent="0.3">
      <c r="F96583" s="193"/>
    </row>
    <row r="96584" spans="6:6" x14ac:dyDescent="0.3">
      <c r="F96584" s="193"/>
    </row>
    <row r="96585" spans="6:6" x14ac:dyDescent="0.3">
      <c r="F96585" s="193"/>
    </row>
    <row r="96586" spans="6:6" x14ac:dyDescent="0.3">
      <c r="F96586" s="193"/>
    </row>
    <row r="96587" spans="6:6" x14ac:dyDescent="0.3">
      <c r="F96587" s="193"/>
    </row>
    <row r="96588" spans="6:6" x14ac:dyDescent="0.3">
      <c r="F96588" s="193"/>
    </row>
    <row r="96589" spans="6:6" x14ac:dyDescent="0.3">
      <c r="F96589" s="193"/>
    </row>
    <row r="96590" spans="6:6" x14ac:dyDescent="0.3">
      <c r="F96590" s="193"/>
    </row>
    <row r="96591" spans="6:6" x14ac:dyDescent="0.3">
      <c r="F96591" s="193"/>
    </row>
    <row r="96592" spans="6:6" x14ac:dyDescent="0.3">
      <c r="F96592" s="193"/>
    </row>
    <row r="96593" spans="6:6" x14ac:dyDescent="0.3">
      <c r="F96593" s="193"/>
    </row>
    <row r="96594" spans="6:6" x14ac:dyDescent="0.3">
      <c r="F96594" s="193"/>
    </row>
    <row r="96595" spans="6:6" x14ac:dyDescent="0.3">
      <c r="F96595" s="193"/>
    </row>
    <row r="96596" spans="6:6" x14ac:dyDescent="0.3">
      <c r="F96596" s="193"/>
    </row>
    <row r="96597" spans="6:6" x14ac:dyDescent="0.3">
      <c r="F96597" s="193"/>
    </row>
    <row r="96598" spans="6:6" x14ac:dyDescent="0.3">
      <c r="F96598" s="193"/>
    </row>
    <row r="96599" spans="6:6" x14ac:dyDescent="0.3">
      <c r="F96599" s="193"/>
    </row>
    <row r="96600" spans="6:6" x14ac:dyDescent="0.3">
      <c r="F96600" s="193"/>
    </row>
    <row r="96601" spans="6:6" x14ac:dyDescent="0.3">
      <c r="F96601" s="193"/>
    </row>
    <row r="96602" spans="6:6" x14ac:dyDescent="0.3">
      <c r="F96602" s="193"/>
    </row>
    <row r="96603" spans="6:6" x14ac:dyDescent="0.3">
      <c r="F96603" s="193"/>
    </row>
    <row r="96604" spans="6:6" x14ac:dyDescent="0.3">
      <c r="F96604" s="193"/>
    </row>
    <row r="96605" spans="6:6" x14ac:dyDescent="0.3">
      <c r="F96605" s="193"/>
    </row>
    <row r="96606" spans="6:6" x14ac:dyDescent="0.3">
      <c r="F96606" s="193"/>
    </row>
    <row r="96607" spans="6:6" x14ac:dyDescent="0.3">
      <c r="F96607" s="193"/>
    </row>
    <row r="96608" spans="6:6" x14ac:dyDescent="0.3">
      <c r="F96608" s="193"/>
    </row>
    <row r="96609" spans="6:6" x14ac:dyDescent="0.3">
      <c r="F96609" s="193"/>
    </row>
    <row r="96610" spans="6:6" x14ac:dyDescent="0.3">
      <c r="F96610" s="193"/>
    </row>
    <row r="96611" spans="6:6" x14ac:dyDescent="0.3">
      <c r="F96611" s="193"/>
    </row>
    <row r="96612" spans="6:6" x14ac:dyDescent="0.3">
      <c r="F96612" s="193"/>
    </row>
    <row r="96613" spans="6:6" x14ac:dyDescent="0.3">
      <c r="F96613" s="193"/>
    </row>
    <row r="96614" spans="6:6" x14ac:dyDescent="0.3">
      <c r="F96614" s="193"/>
    </row>
    <row r="96615" spans="6:6" x14ac:dyDescent="0.3">
      <c r="F96615" s="193"/>
    </row>
    <row r="96616" spans="6:6" x14ac:dyDescent="0.3">
      <c r="F96616" s="193"/>
    </row>
    <row r="96617" spans="6:6" x14ac:dyDescent="0.3">
      <c r="F96617" s="193"/>
    </row>
    <row r="96618" spans="6:6" x14ac:dyDescent="0.3">
      <c r="F96618" s="193"/>
    </row>
    <row r="96619" spans="6:6" x14ac:dyDescent="0.3">
      <c r="F96619" s="193"/>
    </row>
    <row r="96620" spans="6:6" x14ac:dyDescent="0.3">
      <c r="F96620" s="193"/>
    </row>
    <row r="96621" spans="6:6" x14ac:dyDescent="0.3">
      <c r="F96621" s="193"/>
    </row>
    <row r="96622" spans="6:6" x14ac:dyDescent="0.3">
      <c r="F96622" s="193"/>
    </row>
    <row r="96623" spans="6:6" x14ac:dyDescent="0.3">
      <c r="F96623" s="193"/>
    </row>
    <row r="96624" spans="6:6" x14ac:dyDescent="0.3">
      <c r="F96624" s="193"/>
    </row>
    <row r="96625" spans="6:6" x14ac:dyDescent="0.3">
      <c r="F96625" s="193"/>
    </row>
    <row r="96626" spans="6:6" x14ac:dyDescent="0.3">
      <c r="F96626" s="193"/>
    </row>
    <row r="96627" spans="6:6" x14ac:dyDescent="0.3">
      <c r="F96627" s="193"/>
    </row>
    <row r="96628" spans="6:6" x14ac:dyDescent="0.3">
      <c r="F96628" s="193"/>
    </row>
    <row r="96629" spans="6:6" x14ac:dyDescent="0.3">
      <c r="F96629" s="193"/>
    </row>
    <row r="96630" spans="6:6" x14ac:dyDescent="0.3">
      <c r="F96630" s="193"/>
    </row>
    <row r="96631" spans="6:6" x14ac:dyDescent="0.3">
      <c r="F96631" s="193"/>
    </row>
    <row r="96632" spans="6:6" x14ac:dyDescent="0.3">
      <c r="F96632" s="193"/>
    </row>
    <row r="96633" spans="6:6" x14ac:dyDescent="0.3">
      <c r="F96633" s="193"/>
    </row>
    <row r="96634" spans="6:6" x14ac:dyDescent="0.3">
      <c r="F96634" s="193"/>
    </row>
    <row r="96635" spans="6:6" x14ac:dyDescent="0.3">
      <c r="F96635" s="193"/>
    </row>
    <row r="96636" spans="6:6" x14ac:dyDescent="0.3">
      <c r="F96636" s="193"/>
    </row>
    <row r="96637" spans="6:6" x14ac:dyDescent="0.3">
      <c r="F96637" s="193"/>
    </row>
    <row r="96638" spans="6:6" x14ac:dyDescent="0.3">
      <c r="F96638" s="193"/>
    </row>
    <row r="96639" spans="6:6" x14ac:dyDescent="0.3">
      <c r="F96639" s="193"/>
    </row>
    <row r="96640" spans="6:6" x14ac:dyDescent="0.3">
      <c r="F96640" s="193"/>
    </row>
    <row r="96641" spans="6:6" x14ac:dyDescent="0.3">
      <c r="F96641" s="193"/>
    </row>
    <row r="96642" spans="6:6" x14ac:dyDescent="0.3">
      <c r="F96642" s="193"/>
    </row>
    <row r="96643" spans="6:6" x14ac:dyDescent="0.3">
      <c r="F96643" s="193"/>
    </row>
    <row r="96644" spans="6:6" x14ac:dyDescent="0.3">
      <c r="F96644" s="193"/>
    </row>
    <row r="96645" spans="6:6" x14ac:dyDescent="0.3">
      <c r="F96645" s="193"/>
    </row>
    <row r="96646" spans="6:6" x14ac:dyDescent="0.3">
      <c r="F96646" s="193"/>
    </row>
    <row r="96647" spans="6:6" x14ac:dyDescent="0.3">
      <c r="F96647" s="193"/>
    </row>
    <row r="96648" spans="6:6" x14ac:dyDescent="0.3">
      <c r="F96648" s="193"/>
    </row>
    <row r="96649" spans="6:6" x14ac:dyDescent="0.3">
      <c r="F96649" s="193"/>
    </row>
    <row r="96650" spans="6:6" x14ac:dyDescent="0.3">
      <c r="F96650" s="193"/>
    </row>
    <row r="96651" spans="6:6" x14ac:dyDescent="0.3">
      <c r="F96651" s="193"/>
    </row>
    <row r="96652" spans="6:6" x14ac:dyDescent="0.3">
      <c r="F96652" s="193"/>
    </row>
    <row r="96653" spans="6:6" x14ac:dyDescent="0.3">
      <c r="F96653" s="193"/>
    </row>
    <row r="96654" spans="6:6" x14ac:dyDescent="0.3">
      <c r="F96654" s="193"/>
    </row>
    <row r="96655" spans="6:6" x14ac:dyDescent="0.3">
      <c r="F96655" s="193"/>
    </row>
    <row r="96656" spans="6:6" x14ac:dyDescent="0.3">
      <c r="F96656" s="193"/>
    </row>
    <row r="96657" spans="6:6" x14ac:dyDescent="0.3">
      <c r="F96657" s="193"/>
    </row>
    <row r="96658" spans="6:6" x14ac:dyDescent="0.3">
      <c r="F96658" s="193"/>
    </row>
    <row r="96659" spans="6:6" x14ac:dyDescent="0.3">
      <c r="F96659" s="193"/>
    </row>
    <row r="96660" spans="6:6" x14ac:dyDescent="0.3">
      <c r="F96660" s="193"/>
    </row>
    <row r="96661" spans="6:6" x14ac:dyDescent="0.3">
      <c r="F96661" s="193"/>
    </row>
    <row r="96662" spans="6:6" x14ac:dyDescent="0.3">
      <c r="F96662" s="193"/>
    </row>
    <row r="96663" spans="6:6" x14ac:dyDescent="0.3">
      <c r="F96663" s="193"/>
    </row>
    <row r="96664" spans="6:6" x14ac:dyDescent="0.3">
      <c r="F96664" s="193"/>
    </row>
    <row r="96665" spans="6:6" x14ac:dyDescent="0.3">
      <c r="F96665" s="193"/>
    </row>
    <row r="96666" spans="6:6" x14ac:dyDescent="0.3">
      <c r="F96666" s="193"/>
    </row>
    <row r="96667" spans="6:6" x14ac:dyDescent="0.3">
      <c r="F96667" s="193"/>
    </row>
    <row r="96668" spans="6:6" x14ac:dyDescent="0.3">
      <c r="F96668" s="193"/>
    </row>
    <row r="96669" spans="6:6" x14ac:dyDescent="0.3">
      <c r="F96669" s="193"/>
    </row>
    <row r="96670" spans="6:6" x14ac:dyDescent="0.3">
      <c r="F96670" s="193"/>
    </row>
    <row r="96671" spans="6:6" x14ac:dyDescent="0.3">
      <c r="F96671" s="193"/>
    </row>
    <row r="96672" spans="6:6" x14ac:dyDescent="0.3">
      <c r="F96672" s="193"/>
    </row>
    <row r="96673" spans="6:6" x14ac:dyDescent="0.3">
      <c r="F96673" s="193"/>
    </row>
    <row r="96674" spans="6:6" x14ac:dyDescent="0.3">
      <c r="F96674" s="193"/>
    </row>
    <row r="96675" spans="6:6" x14ac:dyDescent="0.3">
      <c r="F96675" s="193"/>
    </row>
    <row r="96676" spans="6:6" x14ac:dyDescent="0.3">
      <c r="F96676" s="193"/>
    </row>
    <row r="96677" spans="6:6" x14ac:dyDescent="0.3">
      <c r="F96677" s="193"/>
    </row>
    <row r="96678" spans="6:6" x14ac:dyDescent="0.3">
      <c r="F96678" s="193"/>
    </row>
    <row r="96679" spans="6:6" x14ac:dyDescent="0.3">
      <c r="F96679" s="193"/>
    </row>
    <row r="96680" spans="6:6" x14ac:dyDescent="0.3">
      <c r="F96680" s="193"/>
    </row>
    <row r="96681" spans="6:6" x14ac:dyDescent="0.3">
      <c r="F96681" s="193"/>
    </row>
    <row r="96682" spans="6:6" x14ac:dyDescent="0.3">
      <c r="F96682" s="193"/>
    </row>
    <row r="96683" spans="6:6" x14ac:dyDescent="0.3">
      <c r="F96683" s="193"/>
    </row>
    <row r="96684" spans="6:6" x14ac:dyDescent="0.3">
      <c r="F96684" s="193"/>
    </row>
    <row r="96685" spans="6:6" x14ac:dyDescent="0.3">
      <c r="F96685" s="193"/>
    </row>
    <row r="96686" spans="6:6" x14ac:dyDescent="0.3">
      <c r="F96686" s="193"/>
    </row>
    <row r="96687" spans="6:6" x14ac:dyDescent="0.3">
      <c r="F96687" s="193"/>
    </row>
    <row r="96688" spans="6:6" x14ac:dyDescent="0.3">
      <c r="F96688" s="193"/>
    </row>
    <row r="96689" spans="6:6" x14ac:dyDescent="0.3">
      <c r="F96689" s="193"/>
    </row>
    <row r="96690" spans="6:6" x14ac:dyDescent="0.3">
      <c r="F96690" s="193"/>
    </row>
    <row r="96691" spans="6:6" x14ac:dyDescent="0.3">
      <c r="F96691" s="193"/>
    </row>
    <row r="96692" spans="6:6" x14ac:dyDescent="0.3">
      <c r="F96692" s="193"/>
    </row>
    <row r="96693" spans="6:6" x14ac:dyDescent="0.3">
      <c r="F96693" s="193"/>
    </row>
    <row r="96694" spans="6:6" x14ac:dyDescent="0.3">
      <c r="F96694" s="193"/>
    </row>
    <row r="96695" spans="6:6" x14ac:dyDescent="0.3">
      <c r="F96695" s="193"/>
    </row>
    <row r="96696" spans="6:6" x14ac:dyDescent="0.3">
      <c r="F96696" s="193"/>
    </row>
    <row r="96697" spans="6:6" x14ac:dyDescent="0.3">
      <c r="F96697" s="193"/>
    </row>
    <row r="96698" spans="6:6" x14ac:dyDescent="0.3">
      <c r="F96698" s="193"/>
    </row>
    <row r="96699" spans="6:6" x14ac:dyDescent="0.3">
      <c r="F96699" s="193"/>
    </row>
    <row r="96700" spans="6:6" x14ac:dyDescent="0.3">
      <c r="F96700" s="193"/>
    </row>
    <row r="96701" spans="6:6" x14ac:dyDescent="0.3">
      <c r="F96701" s="193"/>
    </row>
    <row r="96702" spans="6:6" x14ac:dyDescent="0.3">
      <c r="F96702" s="193"/>
    </row>
    <row r="96703" spans="6:6" x14ac:dyDescent="0.3">
      <c r="F96703" s="193"/>
    </row>
    <row r="96704" spans="6:6" x14ac:dyDescent="0.3">
      <c r="F96704" s="193"/>
    </row>
    <row r="96705" spans="6:6" x14ac:dyDescent="0.3">
      <c r="F96705" s="193"/>
    </row>
    <row r="96706" spans="6:6" x14ac:dyDescent="0.3">
      <c r="F96706" s="193"/>
    </row>
    <row r="96707" spans="6:6" x14ac:dyDescent="0.3">
      <c r="F96707" s="193"/>
    </row>
    <row r="96708" spans="6:6" x14ac:dyDescent="0.3">
      <c r="F96708" s="193"/>
    </row>
    <row r="96709" spans="6:6" x14ac:dyDescent="0.3">
      <c r="F96709" s="193"/>
    </row>
    <row r="96710" spans="6:6" x14ac:dyDescent="0.3">
      <c r="F96710" s="193"/>
    </row>
    <row r="96711" spans="6:6" x14ac:dyDescent="0.3">
      <c r="F96711" s="193"/>
    </row>
    <row r="96712" spans="6:6" x14ac:dyDescent="0.3">
      <c r="F96712" s="193"/>
    </row>
    <row r="96713" spans="6:6" x14ac:dyDescent="0.3">
      <c r="F96713" s="193"/>
    </row>
    <row r="96714" spans="6:6" x14ac:dyDescent="0.3">
      <c r="F96714" s="193"/>
    </row>
    <row r="96715" spans="6:6" x14ac:dyDescent="0.3">
      <c r="F96715" s="193"/>
    </row>
    <row r="96716" spans="6:6" x14ac:dyDescent="0.3">
      <c r="F96716" s="193"/>
    </row>
    <row r="96717" spans="6:6" x14ac:dyDescent="0.3">
      <c r="F96717" s="193"/>
    </row>
    <row r="96718" spans="6:6" x14ac:dyDescent="0.3">
      <c r="F96718" s="193"/>
    </row>
    <row r="96719" spans="6:6" x14ac:dyDescent="0.3">
      <c r="F96719" s="193"/>
    </row>
    <row r="96720" spans="6:6" x14ac:dyDescent="0.3">
      <c r="F96720" s="193"/>
    </row>
    <row r="96721" spans="6:6" x14ac:dyDescent="0.3">
      <c r="F96721" s="193"/>
    </row>
    <row r="96722" spans="6:6" x14ac:dyDescent="0.3">
      <c r="F96722" s="193"/>
    </row>
    <row r="96723" spans="6:6" x14ac:dyDescent="0.3">
      <c r="F96723" s="193"/>
    </row>
    <row r="96724" spans="6:6" x14ac:dyDescent="0.3">
      <c r="F96724" s="193"/>
    </row>
    <row r="96725" spans="6:6" x14ac:dyDescent="0.3">
      <c r="F96725" s="193"/>
    </row>
    <row r="96726" spans="6:6" x14ac:dyDescent="0.3">
      <c r="F96726" s="193"/>
    </row>
    <row r="96727" spans="6:6" x14ac:dyDescent="0.3">
      <c r="F96727" s="193"/>
    </row>
    <row r="96728" spans="6:6" x14ac:dyDescent="0.3">
      <c r="F96728" s="193"/>
    </row>
    <row r="96729" spans="6:6" x14ac:dyDescent="0.3">
      <c r="F96729" s="193"/>
    </row>
    <row r="96730" spans="6:6" x14ac:dyDescent="0.3">
      <c r="F96730" s="193"/>
    </row>
    <row r="96731" spans="6:6" x14ac:dyDescent="0.3">
      <c r="F96731" s="193"/>
    </row>
    <row r="96732" spans="6:6" x14ac:dyDescent="0.3">
      <c r="F96732" s="193"/>
    </row>
    <row r="96733" spans="6:6" x14ac:dyDescent="0.3">
      <c r="F96733" s="193"/>
    </row>
    <row r="96734" spans="6:6" x14ac:dyDescent="0.3">
      <c r="F96734" s="193"/>
    </row>
    <row r="96735" spans="6:6" x14ac:dyDescent="0.3">
      <c r="F96735" s="193"/>
    </row>
    <row r="96736" spans="6:6" x14ac:dyDescent="0.3">
      <c r="F96736" s="193"/>
    </row>
    <row r="96737" spans="6:6" x14ac:dyDescent="0.3">
      <c r="F96737" s="193"/>
    </row>
    <row r="96738" spans="6:6" x14ac:dyDescent="0.3">
      <c r="F96738" s="193"/>
    </row>
    <row r="96739" spans="6:6" x14ac:dyDescent="0.3">
      <c r="F96739" s="193"/>
    </row>
    <row r="96740" spans="6:6" x14ac:dyDescent="0.3">
      <c r="F96740" s="193"/>
    </row>
    <row r="96741" spans="6:6" x14ac:dyDescent="0.3">
      <c r="F96741" s="193"/>
    </row>
    <row r="96742" spans="6:6" x14ac:dyDescent="0.3">
      <c r="F96742" s="193"/>
    </row>
    <row r="96743" spans="6:6" x14ac:dyDescent="0.3">
      <c r="F96743" s="193"/>
    </row>
    <row r="96744" spans="6:6" x14ac:dyDescent="0.3">
      <c r="F96744" s="193"/>
    </row>
    <row r="96745" spans="6:6" x14ac:dyDescent="0.3">
      <c r="F96745" s="193"/>
    </row>
    <row r="96746" spans="6:6" x14ac:dyDescent="0.3">
      <c r="F96746" s="193"/>
    </row>
    <row r="96747" spans="6:6" x14ac:dyDescent="0.3">
      <c r="F96747" s="193"/>
    </row>
    <row r="96748" spans="6:6" x14ac:dyDescent="0.3">
      <c r="F96748" s="193"/>
    </row>
    <row r="96749" spans="6:6" x14ac:dyDescent="0.3">
      <c r="F96749" s="193"/>
    </row>
    <row r="96750" spans="6:6" x14ac:dyDescent="0.3">
      <c r="F96750" s="193"/>
    </row>
    <row r="96751" spans="6:6" x14ac:dyDescent="0.3">
      <c r="F96751" s="193"/>
    </row>
    <row r="96752" spans="6:6" x14ac:dyDescent="0.3">
      <c r="F96752" s="193"/>
    </row>
    <row r="96753" spans="6:6" x14ac:dyDescent="0.3">
      <c r="F96753" s="193"/>
    </row>
    <row r="96754" spans="6:6" x14ac:dyDescent="0.3">
      <c r="F96754" s="193"/>
    </row>
    <row r="96755" spans="6:6" x14ac:dyDescent="0.3">
      <c r="F96755" s="193"/>
    </row>
    <row r="96756" spans="6:6" x14ac:dyDescent="0.3">
      <c r="F96756" s="193"/>
    </row>
    <row r="96757" spans="6:6" x14ac:dyDescent="0.3">
      <c r="F96757" s="193"/>
    </row>
    <row r="96758" spans="6:6" x14ac:dyDescent="0.3">
      <c r="F96758" s="193"/>
    </row>
    <row r="96759" spans="6:6" x14ac:dyDescent="0.3">
      <c r="F96759" s="193"/>
    </row>
    <row r="96760" spans="6:6" x14ac:dyDescent="0.3">
      <c r="F96760" s="193"/>
    </row>
    <row r="96761" spans="6:6" x14ac:dyDescent="0.3">
      <c r="F96761" s="193"/>
    </row>
    <row r="96762" spans="6:6" x14ac:dyDescent="0.3">
      <c r="F96762" s="193"/>
    </row>
    <row r="96763" spans="6:6" x14ac:dyDescent="0.3">
      <c r="F96763" s="193"/>
    </row>
    <row r="96764" spans="6:6" x14ac:dyDescent="0.3">
      <c r="F96764" s="193"/>
    </row>
    <row r="96765" spans="6:6" x14ac:dyDescent="0.3">
      <c r="F96765" s="193"/>
    </row>
    <row r="96766" spans="6:6" x14ac:dyDescent="0.3">
      <c r="F96766" s="193"/>
    </row>
    <row r="96767" spans="6:6" x14ac:dyDescent="0.3">
      <c r="F96767" s="193"/>
    </row>
    <row r="96768" spans="6:6" x14ac:dyDescent="0.3">
      <c r="F96768" s="193"/>
    </row>
    <row r="96769" spans="6:6" x14ac:dyDescent="0.3">
      <c r="F96769" s="193"/>
    </row>
    <row r="96770" spans="6:6" x14ac:dyDescent="0.3">
      <c r="F96770" s="193"/>
    </row>
    <row r="96771" spans="6:6" x14ac:dyDescent="0.3">
      <c r="F96771" s="193"/>
    </row>
    <row r="96772" spans="6:6" x14ac:dyDescent="0.3">
      <c r="F96772" s="193"/>
    </row>
    <row r="96773" spans="6:6" x14ac:dyDescent="0.3">
      <c r="F96773" s="193"/>
    </row>
    <row r="96774" spans="6:6" x14ac:dyDescent="0.3">
      <c r="F96774" s="193"/>
    </row>
    <row r="96775" spans="6:6" x14ac:dyDescent="0.3">
      <c r="F96775" s="193"/>
    </row>
    <row r="96776" spans="6:6" x14ac:dyDescent="0.3">
      <c r="F96776" s="193"/>
    </row>
    <row r="96777" spans="6:6" x14ac:dyDescent="0.3">
      <c r="F96777" s="193"/>
    </row>
    <row r="96778" spans="6:6" x14ac:dyDescent="0.3">
      <c r="F96778" s="193"/>
    </row>
    <row r="96779" spans="6:6" x14ac:dyDescent="0.3">
      <c r="F96779" s="193"/>
    </row>
    <row r="96780" spans="6:6" x14ac:dyDescent="0.3">
      <c r="F96780" s="193"/>
    </row>
    <row r="96781" spans="6:6" x14ac:dyDescent="0.3">
      <c r="F96781" s="193"/>
    </row>
    <row r="96782" spans="6:6" x14ac:dyDescent="0.3">
      <c r="F96782" s="193"/>
    </row>
    <row r="96783" spans="6:6" x14ac:dyDescent="0.3">
      <c r="F96783" s="193"/>
    </row>
    <row r="96784" spans="6:6" x14ac:dyDescent="0.3">
      <c r="F96784" s="193"/>
    </row>
    <row r="96785" spans="6:6" x14ac:dyDescent="0.3">
      <c r="F96785" s="193"/>
    </row>
    <row r="96786" spans="6:6" x14ac:dyDescent="0.3">
      <c r="F96786" s="193"/>
    </row>
    <row r="96787" spans="6:6" x14ac:dyDescent="0.3">
      <c r="F96787" s="193"/>
    </row>
    <row r="96788" spans="6:6" x14ac:dyDescent="0.3">
      <c r="F96788" s="193"/>
    </row>
    <row r="96789" spans="6:6" x14ac:dyDescent="0.3">
      <c r="F96789" s="193"/>
    </row>
    <row r="96790" spans="6:6" x14ac:dyDescent="0.3">
      <c r="F96790" s="193"/>
    </row>
    <row r="96791" spans="6:6" x14ac:dyDescent="0.3">
      <c r="F96791" s="193"/>
    </row>
    <row r="96792" spans="6:6" x14ac:dyDescent="0.3">
      <c r="F96792" s="193"/>
    </row>
    <row r="96793" spans="6:6" x14ac:dyDescent="0.3">
      <c r="F96793" s="193"/>
    </row>
    <row r="96794" spans="6:6" x14ac:dyDescent="0.3">
      <c r="F96794" s="193"/>
    </row>
    <row r="96795" spans="6:6" x14ac:dyDescent="0.3">
      <c r="F96795" s="193"/>
    </row>
    <row r="96796" spans="6:6" x14ac:dyDescent="0.3">
      <c r="F96796" s="193"/>
    </row>
    <row r="96797" spans="6:6" x14ac:dyDescent="0.3">
      <c r="F96797" s="193"/>
    </row>
    <row r="96798" spans="6:6" x14ac:dyDescent="0.3">
      <c r="F96798" s="193"/>
    </row>
    <row r="96799" spans="6:6" x14ac:dyDescent="0.3">
      <c r="F96799" s="193"/>
    </row>
    <row r="96800" spans="6:6" x14ac:dyDescent="0.3">
      <c r="F96800" s="193"/>
    </row>
    <row r="96801" spans="6:6" x14ac:dyDescent="0.3">
      <c r="F96801" s="193"/>
    </row>
    <row r="96802" spans="6:6" x14ac:dyDescent="0.3">
      <c r="F96802" s="193"/>
    </row>
    <row r="96803" spans="6:6" x14ac:dyDescent="0.3">
      <c r="F96803" s="193"/>
    </row>
    <row r="96804" spans="6:6" x14ac:dyDescent="0.3">
      <c r="F96804" s="193"/>
    </row>
    <row r="96805" spans="6:6" x14ac:dyDescent="0.3">
      <c r="F96805" s="193"/>
    </row>
    <row r="96806" spans="6:6" x14ac:dyDescent="0.3">
      <c r="F96806" s="193"/>
    </row>
    <row r="96807" spans="6:6" x14ac:dyDescent="0.3">
      <c r="F96807" s="193"/>
    </row>
    <row r="96808" spans="6:6" x14ac:dyDescent="0.3">
      <c r="F96808" s="193"/>
    </row>
    <row r="96809" spans="6:6" x14ac:dyDescent="0.3">
      <c r="F96809" s="193"/>
    </row>
    <row r="96810" spans="6:6" x14ac:dyDescent="0.3">
      <c r="F96810" s="193"/>
    </row>
    <row r="96811" spans="6:6" x14ac:dyDescent="0.3">
      <c r="F96811" s="193"/>
    </row>
    <row r="96812" spans="6:6" x14ac:dyDescent="0.3">
      <c r="F96812" s="193"/>
    </row>
    <row r="96813" spans="6:6" x14ac:dyDescent="0.3">
      <c r="F96813" s="193"/>
    </row>
    <row r="96814" spans="6:6" x14ac:dyDescent="0.3">
      <c r="F96814" s="193"/>
    </row>
    <row r="96815" spans="6:6" x14ac:dyDescent="0.3">
      <c r="F96815" s="193"/>
    </row>
    <row r="96816" spans="6:6" x14ac:dyDescent="0.3">
      <c r="F96816" s="193"/>
    </row>
    <row r="96817" spans="6:6" x14ac:dyDescent="0.3">
      <c r="F96817" s="193"/>
    </row>
    <row r="96818" spans="6:6" x14ac:dyDescent="0.3">
      <c r="F96818" s="193"/>
    </row>
    <row r="96819" spans="6:6" x14ac:dyDescent="0.3">
      <c r="F96819" s="193"/>
    </row>
    <row r="96820" spans="6:6" x14ac:dyDescent="0.3">
      <c r="F96820" s="193"/>
    </row>
    <row r="96821" spans="6:6" x14ac:dyDescent="0.3">
      <c r="F96821" s="193"/>
    </row>
    <row r="96822" spans="6:6" x14ac:dyDescent="0.3">
      <c r="F96822" s="193"/>
    </row>
    <row r="96823" spans="6:6" x14ac:dyDescent="0.3">
      <c r="F96823" s="193"/>
    </row>
    <row r="96824" spans="6:6" x14ac:dyDescent="0.3">
      <c r="F96824" s="193"/>
    </row>
    <row r="96825" spans="6:6" x14ac:dyDescent="0.3">
      <c r="F96825" s="193"/>
    </row>
    <row r="96826" spans="6:6" x14ac:dyDescent="0.3">
      <c r="F96826" s="193"/>
    </row>
    <row r="96827" spans="6:6" x14ac:dyDescent="0.3">
      <c r="F96827" s="193"/>
    </row>
    <row r="96828" spans="6:6" x14ac:dyDescent="0.3">
      <c r="F96828" s="193"/>
    </row>
    <row r="96829" spans="6:6" x14ac:dyDescent="0.3">
      <c r="F96829" s="193"/>
    </row>
    <row r="96830" spans="6:6" x14ac:dyDescent="0.3">
      <c r="F96830" s="193"/>
    </row>
    <row r="96831" spans="6:6" x14ac:dyDescent="0.3">
      <c r="F96831" s="193"/>
    </row>
    <row r="96832" spans="6:6" x14ac:dyDescent="0.3">
      <c r="F96832" s="193"/>
    </row>
    <row r="96833" spans="6:6" x14ac:dyDescent="0.3">
      <c r="F96833" s="193"/>
    </row>
    <row r="96834" spans="6:6" x14ac:dyDescent="0.3">
      <c r="F96834" s="193"/>
    </row>
    <row r="96835" spans="6:6" x14ac:dyDescent="0.3">
      <c r="F96835" s="193"/>
    </row>
    <row r="96836" spans="6:6" x14ac:dyDescent="0.3">
      <c r="F96836" s="193"/>
    </row>
    <row r="96837" spans="6:6" x14ac:dyDescent="0.3">
      <c r="F96837" s="193"/>
    </row>
    <row r="96838" spans="6:6" x14ac:dyDescent="0.3">
      <c r="F96838" s="193"/>
    </row>
    <row r="96839" spans="6:6" x14ac:dyDescent="0.3">
      <c r="F96839" s="193"/>
    </row>
    <row r="96840" spans="6:6" x14ac:dyDescent="0.3">
      <c r="F96840" s="193"/>
    </row>
    <row r="96841" spans="6:6" x14ac:dyDescent="0.3">
      <c r="F96841" s="193"/>
    </row>
    <row r="96842" spans="6:6" x14ac:dyDescent="0.3">
      <c r="F96842" s="193"/>
    </row>
    <row r="96843" spans="6:6" x14ac:dyDescent="0.3">
      <c r="F96843" s="193"/>
    </row>
    <row r="96844" spans="6:6" x14ac:dyDescent="0.3">
      <c r="F96844" s="193"/>
    </row>
    <row r="96845" spans="6:6" x14ac:dyDescent="0.3">
      <c r="F96845" s="193"/>
    </row>
    <row r="96846" spans="6:6" x14ac:dyDescent="0.3">
      <c r="F96846" s="193"/>
    </row>
    <row r="96847" spans="6:6" x14ac:dyDescent="0.3">
      <c r="F96847" s="193"/>
    </row>
    <row r="96848" spans="6:6" x14ac:dyDescent="0.3">
      <c r="F96848" s="193"/>
    </row>
    <row r="96849" spans="6:6" x14ac:dyDescent="0.3">
      <c r="F96849" s="193"/>
    </row>
    <row r="96850" spans="6:6" x14ac:dyDescent="0.3">
      <c r="F96850" s="193"/>
    </row>
    <row r="96851" spans="6:6" x14ac:dyDescent="0.3">
      <c r="F96851" s="193"/>
    </row>
    <row r="96852" spans="6:6" x14ac:dyDescent="0.3">
      <c r="F96852" s="193"/>
    </row>
    <row r="96853" spans="6:6" x14ac:dyDescent="0.3">
      <c r="F96853" s="193"/>
    </row>
    <row r="96854" spans="6:6" x14ac:dyDescent="0.3">
      <c r="F96854" s="193"/>
    </row>
    <row r="96855" spans="6:6" x14ac:dyDescent="0.3">
      <c r="F96855" s="193"/>
    </row>
    <row r="96856" spans="6:6" x14ac:dyDescent="0.3">
      <c r="F96856" s="193"/>
    </row>
    <row r="96857" spans="6:6" x14ac:dyDescent="0.3">
      <c r="F96857" s="193"/>
    </row>
    <row r="96858" spans="6:6" x14ac:dyDescent="0.3">
      <c r="F96858" s="193"/>
    </row>
    <row r="96859" spans="6:6" x14ac:dyDescent="0.3">
      <c r="F96859" s="193"/>
    </row>
    <row r="96860" spans="6:6" x14ac:dyDescent="0.3">
      <c r="F96860" s="193"/>
    </row>
    <row r="96861" spans="6:6" x14ac:dyDescent="0.3">
      <c r="F96861" s="193"/>
    </row>
    <row r="96862" spans="6:6" x14ac:dyDescent="0.3">
      <c r="F96862" s="193"/>
    </row>
    <row r="96863" spans="6:6" x14ac:dyDescent="0.3">
      <c r="F96863" s="193"/>
    </row>
    <row r="96864" spans="6:6" x14ac:dyDescent="0.3">
      <c r="F96864" s="193"/>
    </row>
    <row r="96865" spans="6:6" x14ac:dyDescent="0.3">
      <c r="F96865" s="193"/>
    </row>
    <row r="96866" spans="6:6" x14ac:dyDescent="0.3">
      <c r="F96866" s="193"/>
    </row>
    <row r="96867" spans="6:6" x14ac:dyDescent="0.3">
      <c r="F96867" s="193"/>
    </row>
    <row r="96868" spans="6:6" x14ac:dyDescent="0.3">
      <c r="F96868" s="193"/>
    </row>
    <row r="96869" spans="6:6" x14ac:dyDescent="0.3">
      <c r="F96869" s="193"/>
    </row>
    <row r="96870" spans="6:6" x14ac:dyDescent="0.3">
      <c r="F96870" s="193"/>
    </row>
    <row r="96871" spans="6:6" x14ac:dyDescent="0.3">
      <c r="F96871" s="193"/>
    </row>
    <row r="96872" spans="6:6" x14ac:dyDescent="0.3">
      <c r="F96872" s="193"/>
    </row>
    <row r="96873" spans="6:6" x14ac:dyDescent="0.3">
      <c r="F96873" s="193"/>
    </row>
    <row r="96874" spans="6:6" x14ac:dyDescent="0.3">
      <c r="F96874" s="193"/>
    </row>
    <row r="96875" spans="6:6" x14ac:dyDescent="0.3">
      <c r="F96875" s="193"/>
    </row>
    <row r="96876" spans="6:6" x14ac:dyDescent="0.3">
      <c r="F96876" s="193"/>
    </row>
    <row r="96877" spans="6:6" x14ac:dyDescent="0.3">
      <c r="F96877" s="193"/>
    </row>
    <row r="96878" spans="6:6" x14ac:dyDescent="0.3">
      <c r="F96878" s="193"/>
    </row>
    <row r="96879" spans="6:6" x14ac:dyDescent="0.3">
      <c r="F96879" s="193"/>
    </row>
    <row r="96880" spans="6:6" x14ac:dyDescent="0.3">
      <c r="F96880" s="193"/>
    </row>
    <row r="96881" spans="6:6" x14ac:dyDescent="0.3">
      <c r="F96881" s="193"/>
    </row>
    <row r="96882" spans="6:6" x14ac:dyDescent="0.3">
      <c r="F96882" s="193"/>
    </row>
    <row r="96883" spans="6:6" x14ac:dyDescent="0.3">
      <c r="F96883" s="193"/>
    </row>
    <row r="96884" spans="6:6" x14ac:dyDescent="0.3">
      <c r="F96884" s="193"/>
    </row>
    <row r="96885" spans="6:6" x14ac:dyDescent="0.3">
      <c r="F96885" s="193"/>
    </row>
    <row r="96886" spans="6:6" x14ac:dyDescent="0.3">
      <c r="F96886" s="193"/>
    </row>
    <row r="96887" spans="6:6" x14ac:dyDescent="0.3">
      <c r="F96887" s="193"/>
    </row>
    <row r="96888" spans="6:6" x14ac:dyDescent="0.3">
      <c r="F96888" s="193"/>
    </row>
    <row r="96889" spans="6:6" x14ac:dyDescent="0.3">
      <c r="F96889" s="193"/>
    </row>
    <row r="96890" spans="6:6" x14ac:dyDescent="0.3">
      <c r="F96890" s="193"/>
    </row>
    <row r="96891" spans="6:6" x14ac:dyDescent="0.3">
      <c r="F96891" s="193"/>
    </row>
    <row r="96892" spans="6:6" x14ac:dyDescent="0.3">
      <c r="F96892" s="193"/>
    </row>
    <row r="96893" spans="6:6" x14ac:dyDescent="0.3">
      <c r="F96893" s="193"/>
    </row>
    <row r="96894" spans="6:6" x14ac:dyDescent="0.3">
      <c r="F96894" s="193"/>
    </row>
    <row r="96895" spans="6:6" x14ac:dyDescent="0.3">
      <c r="F96895" s="193"/>
    </row>
    <row r="96896" spans="6:6" x14ac:dyDescent="0.3">
      <c r="F96896" s="193"/>
    </row>
    <row r="96897" spans="6:6" x14ac:dyDescent="0.3">
      <c r="F96897" s="193"/>
    </row>
    <row r="96898" spans="6:6" x14ac:dyDescent="0.3">
      <c r="F96898" s="193"/>
    </row>
    <row r="96899" spans="6:6" x14ac:dyDescent="0.3">
      <c r="F96899" s="193"/>
    </row>
    <row r="96900" spans="6:6" x14ac:dyDescent="0.3">
      <c r="F96900" s="193"/>
    </row>
    <row r="96901" spans="6:6" x14ac:dyDescent="0.3">
      <c r="F96901" s="193"/>
    </row>
    <row r="96902" spans="6:6" x14ac:dyDescent="0.3">
      <c r="F96902" s="193"/>
    </row>
    <row r="96903" spans="6:6" x14ac:dyDescent="0.3">
      <c r="F96903" s="193"/>
    </row>
    <row r="96904" spans="6:6" x14ac:dyDescent="0.3">
      <c r="F96904" s="193"/>
    </row>
    <row r="96905" spans="6:6" x14ac:dyDescent="0.3">
      <c r="F96905" s="193"/>
    </row>
    <row r="96906" spans="6:6" x14ac:dyDescent="0.3">
      <c r="F96906" s="193"/>
    </row>
    <row r="96907" spans="6:6" x14ac:dyDescent="0.3">
      <c r="F96907" s="193"/>
    </row>
    <row r="96908" spans="6:6" x14ac:dyDescent="0.3">
      <c r="F96908" s="193"/>
    </row>
    <row r="96909" spans="6:6" x14ac:dyDescent="0.3">
      <c r="F96909" s="193"/>
    </row>
    <row r="96910" spans="6:6" x14ac:dyDescent="0.3">
      <c r="F96910" s="193"/>
    </row>
    <row r="96911" spans="6:6" x14ac:dyDescent="0.3">
      <c r="F96911" s="193"/>
    </row>
    <row r="96912" spans="6:6" x14ac:dyDescent="0.3">
      <c r="F96912" s="193"/>
    </row>
    <row r="96913" spans="6:6" x14ac:dyDescent="0.3">
      <c r="F96913" s="193"/>
    </row>
    <row r="96914" spans="6:6" x14ac:dyDescent="0.3">
      <c r="F96914" s="193"/>
    </row>
    <row r="96915" spans="6:6" x14ac:dyDescent="0.3">
      <c r="F96915" s="193"/>
    </row>
    <row r="96916" spans="6:6" x14ac:dyDescent="0.3">
      <c r="F96916" s="193"/>
    </row>
    <row r="96917" spans="6:6" x14ac:dyDescent="0.3">
      <c r="F96917" s="193"/>
    </row>
    <row r="96918" spans="6:6" x14ac:dyDescent="0.3">
      <c r="F96918" s="193"/>
    </row>
    <row r="96919" spans="6:6" x14ac:dyDescent="0.3">
      <c r="F96919" s="193"/>
    </row>
    <row r="96920" spans="6:6" x14ac:dyDescent="0.3">
      <c r="F96920" s="193"/>
    </row>
    <row r="96921" spans="6:6" x14ac:dyDescent="0.3">
      <c r="F96921" s="193"/>
    </row>
    <row r="96922" spans="6:6" x14ac:dyDescent="0.3">
      <c r="F96922" s="193"/>
    </row>
    <row r="96923" spans="6:6" x14ac:dyDescent="0.3">
      <c r="F96923" s="193"/>
    </row>
    <row r="96924" spans="6:6" x14ac:dyDescent="0.3">
      <c r="F96924" s="193"/>
    </row>
    <row r="96925" spans="6:6" x14ac:dyDescent="0.3">
      <c r="F96925" s="193"/>
    </row>
    <row r="96926" spans="6:6" x14ac:dyDescent="0.3">
      <c r="F96926" s="193"/>
    </row>
    <row r="96927" spans="6:6" x14ac:dyDescent="0.3">
      <c r="F96927" s="193"/>
    </row>
    <row r="96928" spans="6:6" x14ac:dyDescent="0.3">
      <c r="F96928" s="193"/>
    </row>
    <row r="96929" spans="6:6" x14ac:dyDescent="0.3">
      <c r="F96929" s="193"/>
    </row>
    <row r="96930" spans="6:6" x14ac:dyDescent="0.3">
      <c r="F96930" s="193"/>
    </row>
    <row r="96931" spans="6:6" x14ac:dyDescent="0.3">
      <c r="F96931" s="193"/>
    </row>
    <row r="96932" spans="6:6" x14ac:dyDescent="0.3">
      <c r="F96932" s="193"/>
    </row>
    <row r="96933" spans="6:6" x14ac:dyDescent="0.3">
      <c r="F96933" s="193"/>
    </row>
    <row r="96934" spans="6:6" x14ac:dyDescent="0.3">
      <c r="F96934" s="193"/>
    </row>
    <row r="96935" spans="6:6" x14ac:dyDescent="0.3">
      <c r="F96935" s="193"/>
    </row>
    <row r="96936" spans="6:6" x14ac:dyDescent="0.3">
      <c r="F96936" s="193"/>
    </row>
    <row r="96937" spans="6:6" x14ac:dyDescent="0.3">
      <c r="F96937" s="193"/>
    </row>
    <row r="96938" spans="6:6" x14ac:dyDescent="0.3">
      <c r="F96938" s="193"/>
    </row>
    <row r="96939" spans="6:6" x14ac:dyDescent="0.3">
      <c r="F96939" s="193"/>
    </row>
    <row r="96940" spans="6:6" x14ac:dyDescent="0.3">
      <c r="F96940" s="193"/>
    </row>
    <row r="96941" spans="6:6" x14ac:dyDescent="0.3">
      <c r="F96941" s="193"/>
    </row>
    <row r="96942" spans="6:6" x14ac:dyDescent="0.3">
      <c r="F96942" s="193"/>
    </row>
    <row r="96943" spans="6:6" x14ac:dyDescent="0.3">
      <c r="F96943" s="193"/>
    </row>
    <row r="96944" spans="6:6" x14ac:dyDescent="0.3">
      <c r="F96944" s="193"/>
    </row>
    <row r="96945" spans="6:6" x14ac:dyDescent="0.3">
      <c r="F96945" s="193"/>
    </row>
    <row r="96946" spans="6:6" x14ac:dyDescent="0.3">
      <c r="F96946" s="193"/>
    </row>
    <row r="96947" spans="6:6" x14ac:dyDescent="0.3">
      <c r="F96947" s="193"/>
    </row>
    <row r="96948" spans="6:6" x14ac:dyDescent="0.3">
      <c r="F96948" s="193"/>
    </row>
    <row r="96949" spans="6:6" x14ac:dyDescent="0.3">
      <c r="F96949" s="193"/>
    </row>
    <row r="96950" spans="6:6" x14ac:dyDescent="0.3">
      <c r="F96950" s="193"/>
    </row>
    <row r="96951" spans="6:6" x14ac:dyDescent="0.3">
      <c r="F96951" s="193"/>
    </row>
    <row r="96952" spans="6:6" x14ac:dyDescent="0.3">
      <c r="F96952" s="193"/>
    </row>
    <row r="96953" spans="6:6" x14ac:dyDescent="0.3">
      <c r="F96953" s="193"/>
    </row>
    <row r="96954" spans="6:6" x14ac:dyDescent="0.3">
      <c r="F96954" s="193"/>
    </row>
    <row r="96955" spans="6:6" x14ac:dyDescent="0.3">
      <c r="F96955" s="193"/>
    </row>
    <row r="96956" spans="6:6" x14ac:dyDescent="0.3">
      <c r="F96956" s="193"/>
    </row>
    <row r="96957" spans="6:6" x14ac:dyDescent="0.3">
      <c r="F96957" s="193"/>
    </row>
    <row r="96958" spans="6:6" x14ac:dyDescent="0.3">
      <c r="F96958" s="193"/>
    </row>
    <row r="96959" spans="6:6" x14ac:dyDescent="0.3">
      <c r="F96959" s="193"/>
    </row>
    <row r="96960" spans="6:6" x14ac:dyDescent="0.3">
      <c r="F96960" s="193"/>
    </row>
    <row r="96961" spans="6:6" x14ac:dyDescent="0.3">
      <c r="F96961" s="193"/>
    </row>
    <row r="96962" spans="6:6" x14ac:dyDescent="0.3">
      <c r="F96962" s="193"/>
    </row>
    <row r="96963" spans="6:6" x14ac:dyDescent="0.3">
      <c r="F96963" s="193"/>
    </row>
    <row r="96964" spans="6:6" x14ac:dyDescent="0.3">
      <c r="F96964" s="193"/>
    </row>
    <row r="96965" spans="6:6" x14ac:dyDescent="0.3">
      <c r="F96965" s="193"/>
    </row>
    <row r="96966" spans="6:6" x14ac:dyDescent="0.3">
      <c r="F96966" s="193"/>
    </row>
    <row r="96967" spans="6:6" x14ac:dyDescent="0.3">
      <c r="F96967" s="193"/>
    </row>
    <row r="96968" spans="6:6" x14ac:dyDescent="0.3">
      <c r="F96968" s="193"/>
    </row>
    <row r="96969" spans="6:6" x14ac:dyDescent="0.3">
      <c r="F96969" s="193"/>
    </row>
    <row r="96970" spans="6:6" x14ac:dyDescent="0.3">
      <c r="F96970" s="193"/>
    </row>
    <row r="96971" spans="6:6" x14ac:dyDescent="0.3">
      <c r="F96971" s="193"/>
    </row>
    <row r="96972" spans="6:6" x14ac:dyDescent="0.3">
      <c r="F96972" s="193"/>
    </row>
    <row r="96973" spans="6:6" x14ac:dyDescent="0.3">
      <c r="F96973" s="193"/>
    </row>
    <row r="96974" spans="6:6" x14ac:dyDescent="0.3">
      <c r="F96974" s="193"/>
    </row>
    <row r="96975" spans="6:6" x14ac:dyDescent="0.3">
      <c r="F96975" s="193"/>
    </row>
    <row r="96976" spans="6:6" x14ac:dyDescent="0.3">
      <c r="F96976" s="193"/>
    </row>
    <row r="96977" spans="6:6" x14ac:dyDescent="0.3">
      <c r="F96977" s="193"/>
    </row>
    <row r="96978" spans="6:6" x14ac:dyDescent="0.3">
      <c r="F96978" s="193"/>
    </row>
    <row r="96979" spans="6:6" x14ac:dyDescent="0.3">
      <c r="F96979" s="193"/>
    </row>
    <row r="96980" spans="6:6" x14ac:dyDescent="0.3">
      <c r="F96980" s="193"/>
    </row>
    <row r="96981" spans="6:6" x14ac:dyDescent="0.3">
      <c r="F96981" s="193"/>
    </row>
    <row r="96982" spans="6:6" x14ac:dyDescent="0.3">
      <c r="F96982" s="193"/>
    </row>
    <row r="96983" spans="6:6" x14ac:dyDescent="0.3">
      <c r="F96983" s="193"/>
    </row>
    <row r="96984" spans="6:6" x14ac:dyDescent="0.3">
      <c r="F96984" s="193"/>
    </row>
    <row r="96985" spans="6:6" x14ac:dyDescent="0.3">
      <c r="F96985" s="193"/>
    </row>
    <row r="96986" spans="6:6" x14ac:dyDescent="0.3">
      <c r="F96986" s="193"/>
    </row>
    <row r="96987" spans="6:6" x14ac:dyDescent="0.3">
      <c r="F96987" s="193"/>
    </row>
    <row r="96988" spans="6:6" x14ac:dyDescent="0.3">
      <c r="F96988" s="193"/>
    </row>
    <row r="96989" spans="6:6" x14ac:dyDescent="0.3">
      <c r="F96989" s="193"/>
    </row>
    <row r="96990" spans="6:6" x14ac:dyDescent="0.3">
      <c r="F96990" s="193"/>
    </row>
    <row r="96991" spans="6:6" x14ac:dyDescent="0.3">
      <c r="F96991" s="193"/>
    </row>
    <row r="96992" spans="6:6" x14ac:dyDescent="0.3">
      <c r="F96992" s="193"/>
    </row>
    <row r="96993" spans="6:6" x14ac:dyDescent="0.3">
      <c r="F96993" s="193"/>
    </row>
    <row r="96994" spans="6:6" x14ac:dyDescent="0.3">
      <c r="F96994" s="193"/>
    </row>
    <row r="96995" spans="6:6" x14ac:dyDescent="0.3">
      <c r="F96995" s="193"/>
    </row>
    <row r="96996" spans="6:6" x14ac:dyDescent="0.3">
      <c r="F96996" s="193"/>
    </row>
    <row r="96997" spans="6:6" x14ac:dyDescent="0.3">
      <c r="F96997" s="193"/>
    </row>
    <row r="96998" spans="6:6" x14ac:dyDescent="0.3">
      <c r="F96998" s="193"/>
    </row>
    <row r="96999" spans="6:6" x14ac:dyDescent="0.3">
      <c r="F96999" s="193"/>
    </row>
    <row r="97000" spans="6:6" x14ac:dyDescent="0.3">
      <c r="F97000" s="193"/>
    </row>
    <row r="97001" spans="6:6" x14ac:dyDescent="0.3">
      <c r="F97001" s="193"/>
    </row>
    <row r="97002" spans="6:6" x14ac:dyDescent="0.3">
      <c r="F97002" s="193"/>
    </row>
    <row r="97003" spans="6:6" x14ac:dyDescent="0.3">
      <c r="F97003" s="193"/>
    </row>
    <row r="97004" spans="6:6" x14ac:dyDescent="0.3">
      <c r="F97004" s="193"/>
    </row>
    <row r="97005" spans="6:6" x14ac:dyDescent="0.3">
      <c r="F97005" s="193"/>
    </row>
    <row r="97006" spans="6:6" x14ac:dyDescent="0.3">
      <c r="F97006" s="193"/>
    </row>
    <row r="97007" spans="6:6" x14ac:dyDescent="0.3">
      <c r="F97007" s="193"/>
    </row>
    <row r="97008" spans="6:6" x14ac:dyDescent="0.3">
      <c r="F97008" s="193"/>
    </row>
    <row r="97009" spans="6:6" x14ac:dyDescent="0.3">
      <c r="F97009" s="193"/>
    </row>
    <row r="97010" spans="6:6" x14ac:dyDescent="0.3">
      <c r="F97010" s="193"/>
    </row>
    <row r="97011" spans="6:6" x14ac:dyDescent="0.3">
      <c r="F97011" s="193"/>
    </row>
    <row r="97012" spans="6:6" x14ac:dyDescent="0.3">
      <c r="F97012" s="193"/>
    </row>
    <row r="97013" spans="6:6" x14ac:dyDescent="0.3">
      <c r="F97013" s="193"/>
    </row>
    <row r="97014" spans="6:6" x14ac:dyDescent="0.3">
      <c r="F97014" s="193"/>
    </row>
    <row r="97015" spans="6:6" x14ac:dyDescent="0.3">
      <c r="F97015" s="193"/>
    </row>
    <row r="97016" spans="6:6" x14ac:dyDescent="0.3">
      <c r="F97016" s="193"/>
    </row>
    <row r="97017" spans="6:6" x14ac:dyDescent="0.3">
      <c r="F97017" s="193"/>
    </row>
    <row r="97018" spans="6:6" x14ac:dyDescent="0.3">
      <c r="F97018" s="193"/>
    </row>
    <row r="97019" spans="6:6" x14ac:dyDescent="0.3">
      <c r="F97019" s="193"/>
    </row>
    <row r="97020" spans="6:6" x14ac:dyDescent="0.3">
      <c r="F97020" s="193"/>
    </row>
    <row r="97021" spans="6:6" x14ac:dyDescent="0.3">
      <c r="F97021" s="193"/>
    </row>
    <row r="97022" spans="6:6" x14ac:dyDescent="0.3">
      <c r="F97022" s="193"/>
    </row>
    <row r="97023" spans="6:6" x14ac:dyDescent="0.3">
      <c r="F97023" s="193"/>
    </row>
    <row r="97024" spans="6:6" x14ac:dyDescent="0.3">
      <c r="F97024" s="193"/>
    </row>
    <row r="97025" spans="6:6" x14ac:dyDescent="0.3">
      <c r="F97025" s="193"/>
    </row>
    <row r="97026" spans="6:6" x14ac:dyDescent="0.3">
      <c r="F97026" s="193"/>
    </row>
    <row r="97027" spans="6:6" x14ac:dyDescent="0.3">
      <c r="F97027" s="193"/>
    </row>
    <row r="97028" spans="6:6" x14ac:dyDescent="0.3">
      <c r="F97028" s="193"/>
    </row>
    <row r="97029" spans="6:6" x14ac:dyDescent="0.3">
      <c r="F97029" s="193"/>
    </row>
    <row r="97030" spans="6:6" x14ac:dyDescent="0.3">
      <c r="F97030" s="193"/>
    </row>
    <row r="97031" spans="6:6" x14ac:dyDescent="0.3">
      <c r="F97031" s="193"/>
    </row>
    <row r="97032" spans="6:6" x14ac:dyDescent="0.3">
      <c r="F97032" s="193"/>
    </row>
    <row r="97033" spans="6:6" x14ac:dyDescent="0.3">
      <c r="F97033" s="193"/>
    </row>
    <row r="97034" spans="6:6" x14ac:dyDescent="0.3">
      <c r="F97034" s="193"/>
    </row>
    <row r="97035" spans="6:6" x14ac:dyDescent="0.3">
      <c r="F97035" s="193"/>
    </row>
    <row r="97036" spans="6:6" x14ac:dyDescent="0.3">
      <c r="F97036" s="193"/>
    </row>
    <row r="97037" spans="6:6" x14ac:dyDescent="0.3">
      <c r="F97037" s="193"/>
    </row>
    <row r="97038" spans="6:6" x14ac:dyDescent="0.3">
      <c r="F97038" s="193"/>
    </row>
    <row r="97039" spans="6:6" x14ac:dyDescent="0.3">
      <c r="F97039" s="193"/>
    </row>
    <row r="97040" spans="6:6" x14ac:dyDescent="0.3">
      <c r="F97040" s="193"/>
    </row>
    <row r="97041" spans="6:6" x14ac:dyDescent="0.3">
      <c r="F97041" s="193"/>
    </row>
    <row r="97042" spans="6:6" x14ac:dyDescent="0.3">
      <c r="F97042" s="193"/>
    </row>
    <row r="97043" spans="6:6" x14ac:dyDescent="0.3">
      <c r="F97043" s="193"/>
    </row>
    <row r="97044" spans="6:6" x14ac:dyDescent="0.3">
      <c r="F97044" s="193"/>
    </row>
    <row r="97045" spans="6:6" x14ac:dyDescent="0.3">
      <c r="F97045" s="193"/>
    </row>
    <row r="97046" spans="6:6" x14ac:dyDescent="0.3">
      <c r="F97046" s="193"/>
    </row>
    <row r="97047" spans="6:6" x14ac:dyDescent="0.3">
      <c r="F97047" s="193"/>
    </row>
    <row r="97048" spans="6:6" x14ac:dyDescent="0.3">
      <c r="F97048" s="193"/>
    </row>
    <row r="97049" spans="6:6" x14ac:dyDescent="0.3">
      <c r="F97049" s="193"/>
    </row>
    <row r="97050" spans="6:6" x14ac:dyDescent="0.3">
      <c r="F97050" s="193"/>
    </row>
    <row r="97051" spans="6:6" x14ac:dyDescent="0.3">
      <c r="F97051" s="193"/>
    </row>
    <row r="97052" spans="6:6" x14ac:dyDescent="0.3">
      <c r="F97052" s="193"/>
    </row>
    <row r="97053" spans="6:6" x14ac:dyDescent="0.3">
      <c r="F97053" s="193"/>
    </row>
    <row r="97054" spans="6:6" x14ac:dyDescent="0.3">
      <c r="F97054" s="193"/>
    </row>
    <row r="97055" spans="6:6" x14ac:dyDescent="0.3">
      <c r="F97055" s="193"/>
    </row>
    <row r="97056" spans="6:6" x14ac:dyDescent="0.3">
      <c r="F97056" s="193"/>
    </row>
    <row r="97057" spans="6:6" x14ac:dyDescent="0.3">
      <c r="F97057" s="193"/>
    </row>
    <row r="97058" spans="6:6" x14ac:dyDescent="0.3">
      <c r="F97058" s="193"/>
    </row>
    <row r="97059" spans="6:6" x14ac:dyDescent="0.3">
      <c r="F97059" s="193"/>
    </row>
    <row r="97060" spans="6:6" x14ac:dyDescent="0.3">
      <c r="F97060" s="193"/>
    </row>
    <row r="97061" spans="6:6" x14ac:dyDescent="0.3">
      <c r="F97061" s="193"/>
    </row>
    <row r="97062" spans="6:6" x14ac:dyDescent="0.3">
      <c r="F97062" s="193"/>
    </row>
    <row r="97063" spans="6:6" x14ac:dyDescent="0.3">
      <c r="F97063" s="193"/>
    </row>
    <row r="97064" spans="6:6" x14ac:dyDescent="0.3">
      <c r="F97064" s="193"/>
    </row>
    <row r="97065" spans="6:6" x14ac:dyDescent="0.3">
      <c r="F97065" s="193"/>
    </row>
    <row r="97066" spans="6:6" x14ac:dyDescent="0.3">
      <c r="F97066" s="193"/>
    </row>
    <row r="97067" spans="6:6" x14ac:dyDescent="0.3">
      <c r="F97067" s="193"/>
    </row>
    <row r="97068" spans="6:6" x14ac:dyDescent="0.3">
      <c r="F97068" s="193"/>
    </row>
    <row r="97069" spans="6:6" x14ac:dyDescent="0.3">
      <c r="F97069" s="193"/>
    </row>
    <row r="97070" spans="6:6" x14ac:dyDescent="0.3">
      <c r="F97070" s="193"/>
    </row>
    <row r="97071" spans="6:6" x14ac:dyDescent="0.3">
      <c r="F97071" s="193"/>
    </row>
    <row r="97072" spans="6:6" x14ac:dyDescent="0.3">
      <c r="F97072" s="193"/>
    </row>
    <row r="97073" spans="6:6" x14ac:dyDescent="0.3">
      <c r="F97073" s="193"/>
    </row>
    <row r="97074" spans="6:6" x14ac:dyDescent="0.3">
      <c r="F97074" s="193"/>
    </row>
    <row r="97075" spans="6:6" x14ac:dyDescent="0.3">
      <c r="F97075" s="193"/>
    </row>
    <row r="97076" spans="6:6" x14ac:dyDescent="0.3">
      <c r="F97076" s="193"/>
    </row>
    <row r="97077" spans="6:6" x14ac:dyDescent="0.3">
      <c r="F97077" s="193"/>
    </row>
    <row r="97078" spans="6:6" x14ac:dyDescent="0.3">
      <c r="F97078" s="193"/>
    </row>
    <row r="97079" spans="6:6" x14ac:dyDescent="0.3">
      <c r="F97079" s="193"/>
    </row>
    <row r="97080" spans="6:6" x14ac:dyDescent="0.3">
      <c r="F97080" s="193"/>
    </row>
    <row r="97081" spans="6:6" x14ac:dyDescent="0.3">
      <c r="F97081" s="193"/>
    </row>
    <row r="97082" spans="6:6" x14ac:dyDescent="0.3">
      <c r="F97082" s="193"/>
    </row>
    <row r="97083" spans="6:6" x14ac:dyDescent="0.3">
      <c r="F97083" s="193"/>
    </row>
    <row r="97084" spans="6:6" x14ac:dyDescent="0.3">
      <c r="F97084" s="193"/>
    </row>
    <row r="97085" spans="6:6" x14ac:dyDescent="0.3">
      <c r="F97085" s="193"/>
    </row>
    <row r="97086" spans="6:6" x14ac:dyDescent="0.3">
      <c r="F97086" s="193"/>
    </row>
    <row r="97087" spans="6:6" x14ac:dyDescent="0.3">
      <c r="F97087" s="193"/>
    </row>
    <row r="97088" spans="6:6" x14ac:dyDescent="0.3">
      <c r="F97088" s="193"/>
    </row>
    <row r="97089" spans="6:6" x14ac:dyDescent="0.3">
      <c r="F97089" s="193"/>
    </row>
    <row r="97090" spans="6:6" x14ac:dyDescent="0.3">
      <c r="F97090" s="193"/>
    </row>
    <row r="97091" spans="6:6" x14ac:dyDescent="0.3">
      <c r="F97091" s="193"/>
    </row>
    <row r="97092" spans="6:6" x14ac:dyDescent="0.3">
      <c r="F97092" s="193"/>
    </row>
    <row r="97093" spans="6:6" x14ac:dyDescent="0.3">
      <c r="F97093" s="193"/>
    </row>
    <row r="97094" spans="6:6" x14ac:dyDescent="0.3">
      <c r="F97094" s="193"/>
    </row>
    <row r="97095" spans="6:6" x14ac:dyDescent="0.3">
      <c r="F97095" s="193"/>
    </row>
    <row r="97096" spans="6:6" x14ac:dyDescent="0.3">
      <c r="F97096" s="193"/>
    </row>
    <row r="97097" spans="6:6" x14ac:dyDescent="0.3">
      <c r="F97097" s="193"/>
    </row>
    <row r="97098" spans="6:6" x14ac:dyDescent="0.3">
      <c r="F97098" s="193"/>
    </row>
    <row r="97099" spans="6:6" x14ac:dyDescent="0.3">
      <c r="F97099" s="193"/>
    </row>
    <row r="97100" spans="6:6" x14ac:dyDescent="0.3">
      <c r="F97100" s="193"/>
    </row>
    <row r="97101" spans="6:6" x14ac:dyDescent="0.3">
      <c r="F97101" s="193"/>
    </row>
    <row r="97102" spans="6:6" x14ac:dyDescent="0.3">
      <c r="F97102" s="193"/>
    </row>
    <row r="97103" spans="6:6" x14ac:dyDescent="0.3">
      <c r="F97103" s="193"/>
    </row>
    <row r="97104" spans="6:6" x14ac:dyDescent="0.3">
      <c r="F97104" s="193"/>
    </row>
    <row r="97105" spans="6:6" x14ac:dyDescent="0.3">
      <c r="F97105" s="193"/>
    </row>
    <row r="97106" spans="6:6" x14ac:dyDescent="0.3">
      <c r="F97106" s="193"/>
    </row>
    <row r="97107" spans="6:6" x14ac:dyDescent="0.3">
      <c r="F97107" s="193"/>
    </row>
    <row r="97108" spans="6:6" x14ac:dyDescent="0.3">
      <c r="F97108" s="193"/>
    </row>
    <row r="97109" spans="6:6" x14ac:dyDescent="0.3">
      <c r="F97109" s="193"/>
    </row>
    <row r="97110" spans="6:6" x14ac:dyDescent="0.3">
      <c r="F97110" s="193"/>
    </row>
    <row r="97111" spans="6:6" x14ac:dyDescent="0.3">
      <c r="F97111" s="193"/>
    </row>
    <row r="97112" spans="6:6" x14ac:dyDescent="0.3">
      <c r="F97112" s="193"/>
    </row>
    <row r="97113" spans="6:6" x14ac:dyDescent="0.3">
      <c r="F97113" s="193"/>
    </row>
    <row r="97114" spans="6:6" x14ac:dyDescent="0.3">
      <c r="F97114" s="193"/>
    </row>
    <row r="97115" spans="6:6" x14ac:dyDescent="0.3">
      <c r="F97115" s="193"/>
    </row>
    <row r="97116" spans="6:6" x14ac:dyDescent="0.3">
      <c r="F97116" s="193"/>
    </row>
    <row r="97117" spans="6:6" x14ac:dyDescent="0.3">
      <c r="F97117" s="193"/>
    </row>
    <row r="97118" spans="6:6" x14ac:dyDescent="0.3">
      <c r="F97118" s="193"/>
    </row>
    <row r="97119" spans="6:6" x14ac:dyDescent="0.3">
      <c r="F97119" s="193"/>
    </row>
    <row r="97120" spans="6:6" x14ac:dyDescent="0.3">
      <c r="F97120" s="193"/>
    </row>
    <row r="97121" spans="6:6" x14ac:dyDescent="0.3">
      <c r="F97121" s="193"/>
    </row>
    <row r="97122" spans="6:6" x14ac:dyDescent="0.3">
      <c r="F97122" s="193"/>
    </row>
    <row r="97123" spans="6:6" x14ac:dyDescent="0.3">
      <c r="F97123" s="193"/>
    </row>
    <row r="97124" spans="6:6" x14ac:dyDescent="0.3">
      <c r="F97124" s="193"/>
    </row>
    <row r="97125" spans="6:6" x14ac:dyDescent="0.3">
      <c r="F97125" s="193"/>
    </row>
    <row r="97126" spans="6:6" x14ac:dyDescent="0.3">
      <c r="F97126" s="193"/>
    </row>
    <row r="97127" spans="6:6" x14ac:dyDescent="0.3">
      <c r="F97127" s="193"/>
    </row>
    <row r="97128" spans="6:6" x14ac:dyDescent="0.3">
      <c r="F97128" s="193"/>
    </row>
    <row r="97129" spans="6:6" x14ac:dyDescent="0.3">
      <c r="F97129" s="193"/>
    </row>
    <row r="97130" spans="6:6" x14ac:dyDescent="0.3">
      <c r="F97130" s="193"/>
    </row>
    <row r="97131" spans="6:6" x14ac:dyDescent="0.3">
      <c r="F97131" s="193"/>
    </row>
    <row r="97132" spans="6:6" x14ac:dyDescent="0.3">
      <c r="F97132" s="193"/>
    </row>
    <row r="97133" spans="6:6" x14ac:dyDescent="0.3">
      <c r="F97133" s="193"/>
    </row>
    <row r="97134" spans="6:6" x14ac:dyDescent="0.3">
      <c r="F97134" s="193"/>
    </row>
    <row r="97135" spans="6:6" x14ac:dyDescent="0.3">
      <c r="F97135" s="193"/>
    </row>
    <row r="97136" spans="6:6" x14ac:dyDescent="0.3">
      <c r="F97136" s="193"/>
    </row>
    <row r="97137" spans="6:6" x14ac:dyDescent="0.3">
      <c r="F97137" s="193"/>
    </row>
    <row r="97138" spans="6:6" x14ac:dyDescent="0.3">
      <c r="F97138" s="193"/>
    </row>
    <row r="97139" spans="6:6" x14ac:dyDescent="0.3">
      <c r="F97139" s="193"/>
    </row>
    <row r="97140" spans="6:6" x14ac:dyDescent="0.3">
      <c r="F97140" s="193"/>
    </row>
    <row r="97141" spans="6:6" x14ac:dyDescent="0.3">
      <c r="F97141" s="193"/>
    </row>
    <row r="97142" spans="6:6" x14ac:dyDescent="0.3">
      <c r="F97142" s="193"/>
    </row>
    <row r="97143" spans="6:6" x14ac:dyDescent="0.3">
      <c r="F97143" s="193"/>
    </row>
    <row r="97144" spans="6:6" x14ac:dyDescent="0.3">
      <c r="F97144" s="193"/>
    </row>
    <row r="97145" spans="6:6" x14ac:dyDescent="0.3">
      <c r="F97145" s="193"/>
    </row>
    <row r="97146" spans="6:6" x14ac:dyDescent="0.3">
      <c r="F97146" s="193"/>
    </row>
    <row r="97147" spans="6:6" x14ac:dyDescent="0.3">
      <c r="F97147" s="193"/>
    </row>
    <row r="97148" spans="6:6" x14ac:dyDescent="0.3">
      <c r="F97148" s="193"/>
    </row>
    <row r="97149" spans="6:6" x14ac:dyDescent="0.3">
      <c r="F97149" s="193"/>
    </row>
    <row r="97150" spans="6:6" x14ac:dyDescent="0.3">
      <c r="F97150" s="193"/>
    </row>
    <row r="97151" spans="6:6" x14ac:dyDescent="0.3">
      <c r="F97151" s="193"/>
    </row>
    <row r="97152" spans="6:6" x14ac:dyDescent="0.3">
      <c r="F97152" s="193"/>
    </row>
    <row r="97153" spans="6:6" x14ac:dyDescent="0.3">
      <c r="F97153" s="193"/>
    </row>
    <row r="97154" spans="6:6" x14ac:dyDescent="0.3">
      <c r="F97154" s="193"/>
    </row>
    <row r="97155" spans="6:6" x14ac:dyDescent="0.3">
      <c r="F97155" s="193"/>
    </row>
    <row r="97156" spans="6:6" x14ac:dyDescent="0.3">
      <c r="F97156" s="193"/>
    </row>
    <row r="97157" spans="6:6" x14ac:dyDescent="0.3">
      <c r="F97157" s="193"/>
    </row>
    <row r="97158" spans="6:6" x14ac:dyDescent="0.3">
      <c r="F97158" s="193"/>
    </row>
    <row r="97159" spans="6:6" x14ac:dyDescent="0.3">
      <c r="F97159" s="193"/>
    </row>
    <row r="97160" spans="6:6" x14ac:dyDescent="0.3">
      <c r="F97160" s="193"/>
    </row>
    <row r="97161" spans="6:6" x14ac:dyDescent="0.3">
      <c r="F97161" s="193"/>
    </row>
    <row r="97162" spans="6:6" x14ac:dyDescent="0.3">
      <c r="F97162" s="193"/>
    </row>
    <row r="97163" spans="6:6" x14ac:dyDescent="0.3">
      <c r="F97163" s="193"/>
    </row>
    <row r="97164" spans="6:6" x14ac:dyDescent="0.3">
      <c r="F97164" s="193"/>
    </row>
    <row r="97165" spans="6:6" x14ac:dyDescent="0.3">
      <c r="F97165" s="193"/>
    </row>
    <row r="97166" spans="6:6" x14ac:dyDescent="0.3">
      <c r="F97166" s="193"/>
    </row>
    <row r="97167" spans="6:6" x14ac:dyDescent="0.3">
      <c r="F97167" s="193"/>
    </row>
    <row r="97168" spans="6:6" x14ac:dyDescent="0.3">
      <c r="F97168" s="193"/>
    </row>
    <row r="97169" spans="6:6" x14ac:dyDescent="0.3">
      <c r="F97169" s="193"/>
    </row>
    <row r="97170" spans="6:6" x14ac:dyDescent="0.3">
      <c r="F97170" s="193"/>
    </row>
    <row r="97171" spans="6:6" x14ac:dyDescent="0.3">
      <c r="F97171" s="193"/>
    </row>
    <row r="97172" spans="6:6" x14ac:dyDescent="0.3">
      <c r="F97172" s="193"/>
    </row>
    <row r="97173" spans="6:6" x14ac:dyDescent="0.3">
      <c r="F97173" s="193"/>
    </row>
    <row r="97174" spans="6:6" x14ac:dyDescent="0.3">
      <c r="F97174" s="193"/>
    </row>
    <row r="97175" spans="6:6" x14ac:dyDescent="0.3">
      <c r="F97175" s="193"/>
    </row>
    <row r="97176" spans="6:6" x14ac:dyDescent="0.3">
      <c r="F97176" s="193"/>
    </row>
    <row r="97177" spans="6:6" x14ac:dyDescent="0.3">
      <c r="F97177" s="193"/>
    </row>
    <row r="97178" spans="6:6" x14ac:dyDescent="0.3">
      <c r="F97178" s="193"/>
    </row>
    <row r="97179" spans="6:6" x14ac:dyDescent="0.3">
      <c r="F97179" s="193"/>
    </row>
    <row r="97180" spans="6:6" x14ac:dyDescent="0.3">
      <c r="F97180" s="193"/>
    </row>
    <row r="97181" spans="6:6" x14ac:dyDescent="0.3">
      <c r="F97181" s="193"/>
    </row>
    <row r="97182" spans="6:6" x14ac:dyDescent="0.3">
      <c r="F97182" s="193"/>
    </row>
    <row r="97183" spans="6:6" x14ac:dyDescent="0.3">
      <c r="F97183" s="193"/>
    </row>
    <row r="97184" spans="6:6" x14ac:dyDescent="0.3">
      <c r="F97184" s="193"/>
    </row>
    <row r="97185" spans="6:6" x14ac:dyDescent="0.3">
      <c r="F97185" s="193"/>
    </row>
    <row r="97186" spans="6:6" x14ac:dyDescent="0.3">
      <c r="F97186" s="193"/>
    </row>
    <row r="97187" spans="6:6" x14ac:dyDescent="0.3">
      <c r="F97187" s="193"/>
    </row>
    <row r="97188" spans="6:6" x14ac:dyDescent="0.3">
      <c r="F97188" s="193"/>
    </row>
    <row r="97189" spans="6:6" x14ac:dyDescent="0.3">
      <c r="F97189" s="193"/>
    </row>
    <row r="97190" spans="6:6" x14ac:dyDescent="0.3">
      <c r="F97190" s="193"/>
    </row>
    <row r="97191" spans="6:6" x14ac:dyDescent="0.3">
      <c r="F97191" s="193"/>
    </row>
    <row r="97192" spans="6:6" x14ac:dyDescent="0.3">
      <c r="F97192" s="193"/>
    </row>
    <row r="97193" spans="6:6" x14ac:dyDescent="0.3">
      <c r="F97193" s="193"/>
    </row>
    <row r="97194" spans="6:6" x14ac:dyDescent="0.3">
      <c r="F97194" s="193"/>
    </row>
    <row r="97195" spans="6:6" x14ac:dyDescent="0.3">
      <c r="F97195" s="193"/>
    </row>
    <row r="97196" spans="6:6" x14ac:dyDescent="0.3">
      <c r="F97196" s="193"/>
    </row>
    <row r="97197" spans="6:6" x14ac:dyDescent="0.3">
      <c r="F97197" s="193"/>
    </row>
    <row r="97198" spans="6:6" x14ac:dyDescent="0.3">
      <c r="F97198" s="193"/>
    </row>
    <row r="97199" spans="6:6" x14ac:dyDescent="0.3">
      <c r="F97199" s="193"/>
    </row>
    <row r="97200" spans="6:6" x14ac:dyDescent="0.3">
      <c r="F97200" s="193"/>
    </row>
    <row r="97201" spans="6:6" x14ac:dyDescent="0.3">
      <c r="F97201" s="193"/>
    </row>
    <row r="97202" spans="6:6" x14ac:dyDescent="0.3">
      <c r="F97202" s="193"/>
    </row>
    <row r="97203" spans="6:6" x14ac:dyDescent="0.3">
      <c r="F97203" s="193"/>
    </row>
    <row r="97204" spans="6:6" x14ac:dyDescent="0.3">
      <c r="F97204" s="193"/>
    </row>
    <row r="97205" spans="6:6" x14ac:dyDescent="0.3">
      <c r="F97205" s="193"/>
    </row>
    <row r="97206" spans="6:6" x14ac:dyDescent="0.3">
      <c r="F97206" s="193"/>
    </row>
    <row r="97207" spans="6:6" x14ac:dyDescent="0.3">
      <c r="F97207" s="193"/>
    </row>
    <row r="97208" spans="6:6" x14ac:dyDescent="0.3">
      <c r="F97208" s="193"/>
    </row>
    <row r="97209" spans="6:6" x14ac:dyDescent="0.3">
      <c r="F97209" s="193"/>
    </row>
    <row r="97210" spans="6:6" x14ac:dyDescent="0.3">
      <c r="F97210" s="193"/>
    </row>
    <row r="97211" spans="6:6" x14ac:dyDescent="0.3">
      <c r="F97211" s="193"/>
    </row>
    <row r="97212" spans="6:6" x14ac:dyDescent="0.3">
      <c r="F97212" s="193"/>
    </row>
    <row r="97213" spans="6:6" x14ac:dyDescent="0.3">
      <c r="F97213" s="193"/>
    </row>
    <row r="97214" spans="6:6" x14ac:dyDescent="0.3">
      <c r="F97214" s="193"/>
    </row>
    <row r="97215" spans="6:6" x14ac:dyDescent="0.3">
      <c r="F97215" s="193"/>
    </row>
    <row r="97216" spans="6:6" x14ac:dyDescent="0.3">
      <c r="F97216" s="193"/>
    </row>
    <row r="97217" spans="6:6" x14ac:dyDescent="0.3">
      <c r="F97217" s="193"/>
    </row>
    <row r="97218" spans="6:6" x14ac:dyDescent="0.3">
      <c r="F97218" s="193"/>
    </row>
    <row r="97219" spans="6:6" x14ac:dyDescent="0.3">
      <c r="F97219" s="193"/>
    </row>
    <row r="97220" spans="6:6" x14ac:dyDescent="0.3">
      <c r="F97220" s="193"/>
    </row>
    <row r="97221" spans="6:6" x14ac:dyDescent="0.3">
      <c r="F97221" s="193"/>
    </row>
    <row r="97222" spans="6:6" x14ac:dyDescent="0.3">
      <c r="F97222" s="193"/>
    </row>
    <row r="97223" spans="6:6" x14ac:dyDescent="0.3">
      <c r="F97223" s="193"/>
    </row>
    <row r="97224" spans="6:6" x14ac:dyDescent="0.3">
      <c r="F97224" s="193"/>
    </row>
    <row r="97225" spans="6:6" x14ac:dyDescent="0.3">
      <c r="F97225" s="193"/>
    </row>
    <row r="97226" spans="6:6" x14ac:dyDescent="0.3">
      <c r="F97226" s="193"/>
    </row>
    <row r="97227" spans="6:6" x14ac:dyDescent="0.3">
      <c r="F97227" s="193"/>
    </row>
    <row r="97228" spans="6:6" x14ac:dyDescent="0.3">
      <c r="F97228" s="193"/>
    </row>
    <row r="97229" spans="6:6" x14ac:dyDescent="0.3">
      <c r="F97229" s="193"/>
    </row>
    <row r="97230" spans="6:6" x14ac:dyDescent="0.3">
      <c r="F97230" s="193"/>
    </row>
    <row r="97231" spans="6:6" x14ac:dyDescent="0.3">
      <c r="F97231" s="193"/>
    </row>
    <row r="97232" spans="6:6" x14ac:dyDescent="0.3">
      <c r="F97232" s="193"/>
    </row>
    <row r="97233" spans="6:6" x14ac:dyDescent="0.3">
      <c r="F97233" s="193"/>
    </row>
    <row r="97234" spans="6:6" x14ac:dyDescent="0.3">
      <c r="F97234" s="193"/>
    </row>
    <row r="97235" spans="6:6" x14ac:dyDescent="0.3">
      <c r="F97235" s="193"/>
    </row>
    <row r="97236" spans="6:6" x14ac:dyDescent="0.3">
      <c r="F97236" s="193"/>
    </row>
    <row r="97237" spans="6:6" x14ac:dyDescent="0.3">
      <c r="F97237" s="193"/>
    </row>
    <row r="97238" spans="6:6" x14ac:dyDescent="0.3">
      <c r="F97238" s="193"/>
    </row>
    <row r="97239" spans="6:6" x14ac:dyDescent="0.3">
      <c r="F97239" s="193"/>
    </row>
    <row r="97240" spans="6:6" x14ac:dyDescent="0.3">
      <c r="F97240" s="193"/>
    </row>
    <row r="97241" spans="6:6" x14ac:dyDescent="0.3">
      <c r="F97241" s="193"/>
    </row>
    <row r="97242" spans="6:6" x14ac:dyDescent="0.3">
      <c r="F97242" s="193"/>
    </row>
    <row r="97243" spans="6:6" x14ac:dyDescent="0.3">
      <c r="F97243" s="193"/>
    </row>
    <row r="97244" spans="6:6" x14ac:dyDescent="0.3">
      <c r="F97244" s="193"/>
    </row>
    <row r="97245" spans="6:6" x14ac:dyDescent="0.3">
      <c r="F97245" s="193"/>
    </row>
    <row r="97246" spans="6:6" x14ac:dyDescent="0.3">
      <c r="F97246" s="193"/>
    </row>
    <row r="97247" spans="6:6" x14ac:dyDescent="0.3">
      <c r="F97247" s="193"/>
    </row>
    <row r="97248" spans="6:6" x14ac:dyDescent="0.3">
      <c r="F97248" s="193"/>
    </row>
    <row r="97249" spans="6:6" x14ac:dyDescent="0.3">
      <c r="F97249" s="193"/>
    </row>
    <row r="97250" spans="6:6" x14ac:dyDescent="0.3">
      <c r="F97250" s="193"/>
    </row>
    <row r="97251" spans="6:6" x14ac:dyDescent="0.3">
      <c r="F97251" s="193"/>
    </row>
    <row r="97252" spans="6:6" x14ac:dyDescent="0.3">
      <c r="F97252" s="193"/>
    </row>
    <row r="97253" spans="6:6" x14ac:dyDescent="0.3">
      <c r="F97253" s="193"/>
    </row>
    <row r="97254" spans="6:6" x14ac:dyDescent="0.3">
      <c r="F97254" s="193"/>
    </row>
    <row r="97255" spans="6:6" x14ac:dyDescent="0.3">
      <c r="F97255" s="193"/>
    </row>
    <row r="97256" spans="6:6" x14ac:dyDescent="0.3">
      <c r="F97256" s="193"/>
    </row>
    <row r="97257" spans="6:6" x14ac:dyDescent="0.3">
      <c r="F97257" s="193"/>
    </row>
    <row r="97258" spans="6:6" x14ac:dyDescent="0.3">
      <c r="F97258" s="193"/>
    </row>
    <row r="97259" spans="6:6" x14ac:dyDescent="0.3">
      <c r="F97259" s="193"/>
    </row>
    <row r="97260" spans="6:6" x14ac:dyDescent="0.3">
      <c r="F97260" s="193"/>
    </row>
    <row r="97261" spans="6:6" x14ac:dyDescent="0.3">
      <c r="F97261" s="193"/>
    </row>
    <row r="97262" spans="6:6" x14ac:dyDescent="0.3">
      <c r="F97262" s="193"/>
    </row>
    <row r="97263" spans="6:6" x14ac:dyDescent="0.3">
      <c r="F97263" s="193"/>
    </row>
    <row r="97264" spans="6:6" x14ac:dyDescent="0.3">
      <c r="F97264" s="193"/>
    </row>
    <row r="97265" spans="6:6" x14ac:dyDescent="0.3">
      <c r="F97265" s="193"/>
    </row>
    <row r="97266" spans="6:6" x14ac:dyDescent="0.3">
      <c r="F97266" s="193"/>
    </row>
    <row r="97267" spans="6:6" x14ac:dyDescent="0.3">
      <c r="F97267" s="193"/>
    </row>
    <row r="97268" spans="6:6" x14ac:dyDescent="0.3">
      <c r="F97268" s="193"/>
    </row>
    <row r="97269" spans="6:6" x14ac:dyDescent="0.3">
      <c r="F97269" s="193"/>
    </row>
    <row r="97270" spans="6:6" x14ac:dyDescent="0.3">
      <c r="F97270" s="193"/>
    </row>
    <row r="97271" spans="6:6" x14ac:dyDescent="0.3">
      <c r="F97271" s="193"/>
    </row>
    <row r="97272" spans="6:6" x14ac:dyDescent="0.3">
      <c r="F97272" s="193"/>
    </row>
    <row r="97273" spans="6:6" x14ac:dyDescent="0.3">
      <c r="F97273" s="193"/>
    </row>
    <row r="97274" spans="6:6" x14ac:dyDescent="0.3">
      <c r="F97274" s="193"/>
    </row>
    <row r="97275" spans="6:6" x14ac:dyDescent="0.3">
      <c r="F97275" s="193"/>
    </row>
    <row r="97276" spans="6:6" x14ac:dyDescent="0.3">
      <c r="F97276" s="193"/>
    </row>
    <row r="97277" spans="6:6" x14ac:dyDescent="0.3">
      <c r="F97277" s="193"/>
    </row>
    <row r="97278" spans="6:6" x14ac:dyDescent="0.3">
      <c r="F97278" s="193"/>
    </row>
    <row r="97279" spans="6:6" x14ac:dyDescent="0.3">
      <c r="F97279" s="193"/>
    </row>
    <row r="97280" spans="6:6" x14ac:dyDescent="0.3">
      <c r="F97280" s="193"/>
    </row>
    <row r="97281" spans="6:6" x14ac:dyDescent="0.3">
      <c r="F97281" s="193"/>
    </row>
    <row r="97282" spans="6:6" x14ac:dyDescent="0.3">
      <c r="F97282" s="193"/>
    </row>
    <row r="97283" spans="6:6" x14ac:dyDescent="0.3">
      <c r="F97283" s="193"/>
    </row>
    <row r="97284" spans="6:6" x14ac:dyDescent="0.3">
      <c r="F97284" s="193"/>
    </row>
    <row r="97285" spans="6:6" x14ac:dyDescent="0.3">
      <c r="F97285" s="193"/>
    </row>
    <row r="97286" spans="6:6" x14ac:dyDescent="0.3">
      <c r="F97286" s="193"/>
    </row>
    <row r="97287" spans="6:6" x14ac:dyDescent="0.3">
      <c r="F97287" s="193"/>
    </row>
    <row r="97288" spans="6:6" x14ac:dyDescent="0.3">
      <c r="F97288" s="193"/>
    </row>
    <row r="97289" spans="6:6" x14ac:dyDescent="0.3">
      <c r="F97289" s="193"/>
    </row>
    <row r="97290" spans="6:6" x14ac:dyDescent="0.3">
      <c r="F97290" s="193"/>
    </row>
    <row r="97291" spans="6:6" x14ac:dyDescent="0.3">
      <c r="F97291" s="193"/>
    </row>
    <row r="97292" spans="6:6" x14ac:dyDescent="0.3">
      <c r="F97292" s="193"/>
    </row>
    <row r="97293" spans="6:6" x14ac:dyDescent="0.3">
      <c r="F97293" s="193"/>
    </row>
    <row r="97294" spans="6:6" x14ac:dyDescent="0.3">
      <c r="F97294" s="193"/>
    </row>
    <row r="97295" spans="6:6" x14ac:dyDescent="0.3">
      <c r="F97295" s="193"/>
    </row>
    <row r="97296" spans="6:6" x14ac:dyDescent="0.3">
      <c r="F97296" s="193"/>
    </row>
    <row r="97297" spans="6:6" x14ac:dyDescent="0.3">
      <c r="F97297" s="193"/>
    </row>
    <row r="97298" spans="6:6" x14ac:dyDescent="0.3">
      <c r="F97298" s="193"/>
    </row>
    <row r="97299" spans="6:6" x14ac:dyDescent="0.3">
      <c r="F97299" s="193"/>
    </row>
    <row r="97300" spans="6:6" x14ac:dyDescent="0.3">
      <c r="F97300" s="193"/>
    </row>
    <row r="97301" spans="6:6" x14ac:dyDescent="0.3">
      <c r="F97301" s="193"/>
    </row>
    <row r="97302" spans="6:6" x14ac:dyDescent="0.3">
      <c r="F97302" s="193"/>
    </row>
    <row r="97303" spans="6:6" x14ac:dyDescent="0.3">
      <c r="F97303" s="193"/>
    </row>
    <row r="97304" spans="6:6" x14ac:dyDescent="0.3">
      <c r="F97304" s="193"/>
    </row>
    <row r="97305" spans="6:6" x14ac:dyDescent="0.3">
      <c r="F97305" s="193"/>
    </row>
    <row r="97306" spans="6:6" x14ac:dyDescent="0.3">
      <c r="F97306" s="193"/>
    </row>
    <row r="97307" spans="6:6" x14ac:dyDescent="0.3">
      <c r="F97307" s="193"/>
    </row>
    <row r="97308" spans="6:6" x14ac:dyDescent="0.3">
      <c r="F97308" s="193"/>
    </row>
    <row r="97309" spans="6:6" x14ac:dyDescent="0.3">
      <c r="F97309" s="193"/>
    </row>
    <row r="97310" spans="6:6" x14ac:dyDescent="0.3">
      <c r="F97310" s="193"/>
    </row>
    <row r="97311" spans="6:6" x14ac:dyDescent="0.3">
      <c r="F97311" s="193"/>
    </row>
    <row r="97312" spans="6:6" x14ac:dyDescent="0.3">
      <c r="F97312" s="193"/>
    </row>
    <row r="97313" spans="6:6" x14ac:dyDescent="0.3">
      <c r="F97313" s="193"/>
    </row>
    <row r="97314" spans="6:6" x14ac:dyDescent="0.3">
      <c r="F97314" s="193"/>
    </row>
    <row r="97315" spans="6:6" x14ac:dyDescent="0.3">
      <c r="F97315" s="193"/>
    </row>
    <row r="97316" spans="6:6" x14ac:dyDescent="0.3">
      <c r="F97316" s="193"/>
    </row>
    <row r="97317" spans="6:6" x14ac:dyDescent="0.3">
      <c r="F97317" s="193"/>
    </row>
    <row r="97318" spans="6:6" x14ac:dyDescent="0.3">
      <c r="F97318" s="193"/>
    </row>
    <row r="97319" spans="6:6" x14ac:dyDescent="0.3">
      <c r="F97319" s="193"/>
    </row>
    <row r="97320" spans="6:6" x14ac:dyDescent="0.3">
      <c r="F97320" s="193"/>
    </row>
    <row r="97321" spans="6:6" x14ac:dyDescent="0.3">
      <c r="F97321" s="193"/>
    </row>
    <row r="97322" spans="6:6" x14ac:dyDescent="0.3">
      <c r="F97322" s="193"/>
    </row>
    <row r="97323" spans="6:6" x14ac:dyDescent="0.3">
      <c r="F97323" s="193"/>
    </row>
    <row r="97324" spans="6:6" x14ac:dyDescent="0.3">
      <c r="F97324" s="193"/>
    </row>
    <row r="97325" spans="6:6" x14ac:dyDescent="0.3">
      <c r="F97325" s="193"/>
    </row>
    <row r="97326" spans="6:6" x14ac:dyDescent="0.3">
      <c r="F97326" s="193"/>
    </row>
    <row r="97327" spans="6:6" x14ac:dyDescent="0.3">
      <c r="F97327" s="193"/>
    </row>
    <row r="97328" spans="6:6" x14ac:dyDescent="0.3">
      <c r="F97328" s="193"/>
    </row>
    <row r="97329" spans="6:6" x14ac:dyDescent="0.3">
      <c r="F97329" s="193"/>
    </row>
    <row r="97330" spans="6:6" x14ac:dyDescent="0.3">
      <c r="F97330" s="193"/>
    </row>
    <row r="97331" spans="6:6" x14ac:dyDescent="0.3">
      <c r="F97331" s="193"/>
    </row>
    <row r="97332" spans="6:6" x14ac:dyDescent="0.3">
      <c r="F97332" s="193"/>
    </row>
    <row r="97333" spans="6:6" x14ac:dyDescent="0.3">
      <c r="F97333" s="193"/>
    </row>
    <row r="97334" spans="6:6" x14ac:dyDescent="0.3">
      <c r="F97334" s="193"/>
    </row>
    <row r="97335" spans="6:6" x14ac:dyDescent="0.3">
      <c r="F97335" s="193"/>
    </row>
    <row r="97336" spans="6:6" x14ac:dyDescent="0.3">
      <c r="F97336" s="193"/>
    </row>
    <row r="97337" spans="6:6" x14ac:dyDescent="0.3">
      <c r="F97337" s="193"/>
    </row>
    <row r="97338" spans="6:6" x14ac:dyDescent="0.3">
      <c r="F97338" s="193"/>
    </row>
    <row r="97339" spans="6:6" x14ac:dyDescent="0.3">
      <c r="F97339" s="193"/>
    </row>
    <row r="97340" spans="6:6" x14ac:dyDescent="0.3">
      <c r="F97340" s="193"/>
    </row>
    <row r="97341" spans="6:6" x14ac:dyDescent="0.3">
      <c r="F97341" s="193"/>
    </row>
    <row r="97342" spans="6:6" x14ac:dyDescent="0.3">
      <c r="F97342" s="193"/>
    </row>
    <row r="97343" spans="6:6" x14ac:dyDescent="0.3">
      <c r="F97343" s="193"/>
    </row>
    <row r="97344" spans="6:6" x14ac:dyDescent="0.3">
      <c r="F97344" s="193"/>
    </row>
    <row r="97345" spans="6:6" x14ac:dyDescent="0.3">
      <c r="F97345" s="193"/>
    </row>
    <row r="97346" spans="6:6" x14ac:dyDescent="0.3">
      <c r="F97346" s="193"/>
    </row>
    <row r="97347" spans="6:6" x14ac:dyDescent="0.3">
      <c r="F97347" s="193"/>
    </row>
    <row r="97348" spans="6:6" x14ac:dyDescent="0.3">
      <c r="F97348" s="193"/>
    </row>
    <row r="97349" spans="6:6" x14ac:dyDescent="0.3">
      <c r="F97349" s="193"/>
    </row>
    <row r="97350" spans="6:6" x14ac:dyDescent="0.3">
      <c r="F97350" s="193"/>
    </row>
    <row r="97351" spans="6:6" x14ac:dyDescent="0.3">
      <c r="F97351" s="193"/>
    </row>
    <row r="97352" spans="6:6" x14ac:dyDescent="0.3">
      <c r="F97352" s="193"/>
    </row>
    <row r="97353" spans="6:6" x14ac:dyDescent="0.3">
      <c r="F97353" s="193"/>
    </row>
    <row r="97354" spans="6:6" x14ac:dyDescent="0.3">
      <c r="F97354" s="193"/>
    </row>
    <row r="97355" spans="6:6" x14ac:dyDescent="0.3">
      <c r="F97355" s="193"/>
    </row>
    <row r="97356" spans="6:6" x14ac:dyDescent="0.3">
      <c r="F97356" s="193"/>
    </row>
    <row r="97357" spans="6:6" x14ac:dyDescent="0.3">
      <c r="F97357" s="193"/>
    </row>
    <row r="97358" spans="6:6" x14ac:dyDescent="0.3">
      <c r="F97358" s="193"/>
    </row>
    <row r="97359" spans="6:6" x14ac:dyDescent="0.3">
      <c r="F97359" s="193"/>
    </row>
    <row r="97360" spans="6:6" x14ac:dyDescent="0.3">
      <c r="F97360" s="193"/>
    </row>
    <row r="97361" spans="6:6" x14ac:dyDescent="0.3">
      <c r="F97361" s="193"/>
    </row>
    <row r="97362" spans="6:6" x14ac:dyDescent="0.3">
      <c r="F97362" s="193"/>
    </row>
    <row r="97363" spans="6:6" x14ac:dyDescent="0.3">
      <c r="F97363" s="193"/>
    </row>
    <row r="97364" spans="6:6" x14ac:dyDescent="0.3">
      <c r="F97364" s="193"/>
    </row>
    <row r="97365" spans="6:6" x14ac:dyDescent="0.3">
      <c r="F97365" s="193"/>
    </row>
    <row r="97366" spans="6:6" x14ac:dyDescent="0.3">
      <c r="F97366" s="193"/>
    </row>
    <row r="97367" spans="6:6" x14ac:dyDescent="0.3">
      <c r="F97367" s="193"/>
    </row>
    <row r="97368" spans="6:6" x14ac:dyDescent="0.3">
      <c r="F97368" s="193"/>
    </row>
    <row r="97369" spans="6:6" x14ac:dyDescent="0.3">
      <c r="F97369" s="193"/>
    </row>
    <row r="97370" spans="6:6" x14ac:dyDescent="0.3">
      <c r="F97370" s="193"/>
    </row>
    <row r="97371" spans="6:6" x14ac:dyDescent="0.3">
      <c r="F97371" s="193"/>
    </row>
    <row r="97372" spans="6:6" x14ac:dyDescent="0.3">
      <c r="F97372" s="193"/>
    </row>
    <row r="97373" spans="6:6" x14ac:dyDescent="0.3">
      <c r="F97373" s="193"/>
    </row>
    <row r="97374" spans="6:6" x14ac:dyDescent="0.3">
      <c r="F97374" s="193"/>
    </row>
    <row r="97375" spans="6:6" x14ac:dyDescent="0.3">
      <c r="F97375" s="193"/>
    </row>
    <row r="97376" spans="6:6" x14ac:dyDescent="0.3">
      <c r="F97376" s="193"/>
    </row>
    <row r="97377" spans="6:6" x14ac:dyDescent="0.3">
      <c r="F97377" s="193"/>
    </row>
    <row r="97378" spans="6:6" x14ac:dyDescent="0.3">
      <c r="F97378" s="193"/>
    </row>
    <row r="97379" spans="6:6" x14ac:dyDescent="0.3">
      <c r="F97379" s="193"/>
    </row>
    <row r="97380" spans="6:6" x14ac:dyDescent="0.3">
      <c r="F97380" s="193"/>
    </row>
    <row r="97381" spans="6:6" x14ac:dyDescent="0.3">
      <c r="F97381" s="193"/>
    </row>
    <row r="97382" spans="6:6" x14ac:dyDescent="0.3">
      <c r="F97382" s="193"/>
    </row>
    <row r="97383" spans="6:6" x14ac:dyDescent="0.3">
      <c r="F97383" s="193"/>
    </row>
    <row r="97384" spans="6:6" x14ac:dyDescent="0.3">
      <c r="F97384" s="193"/>
    </row>
    <row r="97385" spans="6:6" x14ac:dyDescent="0.3">
      <c r="F97385" s="193"/>
    </row>
    <row r="97386" spans="6:6" x14ac:dyDescent="0.3">
      <c r="F97386" s="193"/>
    </row>
    <row r="97387" spans="6:6" x14ac:dyDescent="0.3">
      <c r="F97387" s="193"/>
    </row>
    <row r="97388" spans="6:6" x14ac:dyDescent="0.3">
      <c r="F97388" s="193"/>
    </row>
    <row r="97389" spans="6:6" x14ac:dyDescent="0.3">
      <c r="F97389" s="193"/>
    </row>
    <row r="97390" spans="6:6" x14ac:dyDescent="0.3">
      <c r="F97390" s="193"/>
    </row>
    <row r="97391" spans="6:6" x14ac:dyDescent="0.3">
      <c r="F97391" s="193"/>
    </row>
    <row r="97392" spans="6:6" x14ac:dyDescent="0.3">
      <c r="F97392" s="193"/>
    </row>
    <row r="97393" spans="6:6" x14ac:dyDescent="0.3">
      <c r="F97393" s="193"/>
    </row>
    <row r="97394" spans="6:6" x14ac:dyDescent="0.3">
      <c r="F97394" s="193"/>
    </row>
    <row r="97395" spans="6:6" x14ac:dyDescent="0.3">
      <c r="F97395" s="193"/>
    </row>
    <row r="97396" spans="6:6" x14ac:dyDescent="0.3">
      <c r="F97396" s="193"/>
    </row>
    <row r="97397" spans="6:6" x14ac:dyDescent="0.3">
      <c r="F97397" s="193"/>
    </row>
    <row r="97398" spans="6:6" x14ac:dyDescent="0.3">
      <c r="F97398" s="193"/>
    </row>
    <row r="97399" spans="6:6" x14ac:dyDescent="0.3">
      <c r="F97399" s="193"/>
    </row>
    <row r="97400" spans="6:6" x14ac:dyDescent="0.3">
      <c r="F97400" s="193"/>
    </row>
    <row r="97401" spans="6:6" x14ac:dyDescent="0.3">
      <c r="F97401" s="193"/>
    </row>
    <row r="97402" spans="6:6" x14ac:dyDescent="0.3">
      <c r="F97402" s="193"/>
    </row>
    <row r="97403" spans="6:6" x14ac:dyDescent="0.3">
      <c r="F97403" s="193"/>
    </row>
    <row r="97404" spans="6:6" x14ac:dyDescent="0.3">
      <c r="F97404" s="193"/>
    </row>
    <row r="97405" spans="6:6" x14ac:dyDescent="0.3">
      <c r="F97405" s="193"/>
    </row>
    <row r="97406" spans="6:6" x14ac:dyDescent="0.3">
      <c r="F97406" s="193"/>
    </row>
    <row r="97407" spans="6:6" x14ac:dyDescent="0.3">
      <c r="F97407" s="193"/>
    </row>
    <row r="97408" spans="6:6" x14ac:dyDescent="0.3">
      <c r="F97408" s="193"/>
    </row>
    <row r="97409" spans="6:6" x14ac:dyDescent="0.3">
      <c r="F97409" s="193"/>
    </row>
    <row r="97410" spans="6:6" x14ac:dyDescent="0.3">
      <c r="F97410" s="193"/>
    </row>
    <row r="97411" spans="6:6" x14ac:dyDescent="0.3">
      <c r="F97411" s="193"/>
    </row>
    <row r="97412" spans="6:6" x14ac:dyDescent="0.3">
      <c r="F97412" s="193"/>
    </row>
    <row r="97413" spans="6:6" x14ac:dyDescent="0.3">
      <c r="F97413" s="193"/>
    </row>
    <row r="97414" spans="6:6" x14ac:dyDescent="0.3">
      <c r="F97414" s="193"/>
    </row>
    <row r="97415" spans="6:6" x14ac:dyDescent="0.3">
      <c r="F97415" s="193"/>
    </row>
    <row r="97416" spans="6:6" x14ac:dyDescent="0.3">
      <c r="F97416" s="193"/>
    </row>
    <row r="97417" spans="6:6" x14ac:dyDescent="0.3">
      <c r="F97417" s="193"/>
    </row>
    <row r="97418" spans="6:6" x14ac:dyDescent="0.3">
      <c r="F97418" s="193"/>
    </row>
    <row r="97419" spans="6:6" x14ac:dyDescent="0.3">
      <c r="F97419" s="193"/>
    </row>
    <row r="97420" spans="6:6" x14ac:dyDescent="0.3">
      <c r="F97420" s="193"/>
    </row>
    <row r="97421" spans="6:6" x14ac:dyDescent="0.3">
      <c r="F97421" s="193"/>
    </row>
    <row r="97422" spans="6:6" x14ac:dyDescent="0.3">
      <c r="F97422" s="193"/>
    </row>
    <row r="97423" spans="6:6" x14ac:dyDescent="0.3">
      <c r="F97423" s="193"/>
    </row>
    <row r="97424" spans="6:6" x14ac:dyDescent="0.3">
      <c r="F97424" s="193"/>
    </row>
    <row r="97425" spans="6:6" x14ac:dyDescent="0.3">
      <c r="F97425" s="193"/>
    </row>
    <row r="97426" spans="6:6" x14ac:dyDescent="0.3">
      <c r="F97426" s="193"/>
    </row>
    <row r="97427" spans="6:6" x14ac:dyDescent="0.3">
      <c r="F97427" s="193"/>
    </row>
    <row r="97428" spans="6:6" x14ac:dyDescent="0.3">
      <c r="F97428" s="193"/>
    </row>
    <row r="97429" spans="6:6" x14ac:dyDescent="0.3">
      <c r="F97429" s="193"/>
    </row>
    <row r="97430" spans="6:6" x14ac:dyDescent="0.3">
      <c r="F97430" s="193"/>
    </row>
    <row r="97431" spans="6:6" x14ac:dyDescent="0.3">
      <c r="F97431" s="193"/>
    </row>
    <row r="97432" spans="6:6" x14ac:dyDescent="0.3">
      <c r="F97432" s="193"/>
    </row>
    <row r="97433" spans="6:6" x14ac:dyDescent="0.3">
      <c r="F97433" s="193"/>
    </row>
    <row r="97434" spans="6:6" x14ac:dyDescent="0.3">
      <c r="F97434" s="193"/>
    </row>
    <row r="97435" spans="6:6" x14ac:dyDescent="0.3">
      <c r="F97435" s="193"/>
    </row>
    <row r="97436" spans="6:6" x14ac:dyDescent="0.3">
      <c r="F97436" s="193"/>
    </row>
    <row r="97437" spans="6:6" x14ac:dyDescent="0.3">
      <c r="F97437" s="193"/>
    </row>
    <row r="97438" spans="6:6" x14ac:dyDescent="0.3">
      <c r="F97438" s="193"/>
    </row>
    <row r="97439" spans="6:6" x14ac:dyDescent="0.3">
      <c r="F97439" s="193"/>
    </row>
    <row r="97440" spans="6:6" x14ac:dyDescent="0.3">
      <c r="F97440" s="193"/>
    </row>
    <row r="97441" spans="6:6" x14ac:dyDescent="0.3">
      <c r="F97441" s="193"/>
    </row>
    <row r="97442" spans="6:6" x14ac:dyDescent="0.3">
      <c r="F97442" s="193"/>
    </row>
    <row r="97443" spans="6:6" x14ac:dyDescent="0.3">
      <c r="F97443" s="193"/>
    </row>
    <row r="97444" spans="6:6" x14ac:dyDescent="0.3">
      <c r="F97444" s="193"/>
    </row>
    <row r="97445" spans="6:6" x14ac:dyDescent="0.3">
      <c r="F97445" s="193"/>
    </row>
    <row r="97446" spans="6:6" x14ac:dyDescent="0.3">
      <c r="F97446" s="193"/>
    </row>
    <row r="97447" spans="6:6" x14ac:dyDescent="0.3">
      <c r="F97447" s="193"/>
    </row>
    <row r="97448" spans="6:6" x14ac:dyDescent="0.3">
      <c r="F97448" s="193"/>
    </row>
    <row r="97449" spans="6:6" x14ac:dyDescent="0.3">
      <c r="F97449" s="193"/>
    </row>
    <row r="97450" spans="6:6" x14ac:dyDescent="0.3">
      <c r="F97450" s="193"/>
    </row>
    <row r="97451" spans="6:6" x14ac:dyDescent="0.3">
      <c r="F97451" s="193"/>
    </row>
    <row r="97452" spans="6:6" x14ac:dyDescent="0.3">
      <c r="F97452" s="193"/>
    </row>
    <row r="97453" spans="6:6" x14ac:dyDescent="0.3">
      <c r="F97453" s="193"/>
    </row>
    <row r="97454" spans="6:6" x14ac:dyDescent="0.3">
      <c r="F97454" s="193"/>
    </row>
    <row r="97455" spans="6:6" x14ac:dyDescent="0.3">
      <c r="F97455" s="193"/>
    </row>
    <row r="97456" spans="6:6" x14ac:dyDescent="0.3">
      <c r="F97456" s="193"/>
    </row>
    <row r="97457" spans="6:6" x14ac:dyDescent="0.3">
      <c r="F97457" s="193"/>
    </row>
    <row r="97458" spans="6:6" x14ac:dyDescent="0.3">
      <c r="F97458" s="193"/>
    </row>
    <row r="97459" spans="6:6" x14ac:dyDescent="0.3">
      <c r="F97459" s="193"/>
    </row>
    <row r="97460" spans="6:6" x14ac:dyDescent="0.3">
      <c r="F97460" s="193"/>
    </row>
    <row r="97461" spans="6:6" x14ac:dyDescent="0.3">
      <c r="F97461" s="193"/>
    </row>
    <row r="97462" spans="6:6" x14ac:dyDescent="0.3">
      <c r="F97462" s="193"/>
    </row>
    <row r="97463" spans="6:6" x14ac:dyDescent="0.3">
      <c r="F97463" s="193"/>
    </row>
    <row r="97464" spans="6:6" x14ac:dyDescent="0.3">
      <c r="F97464" s="193"/>
    </row>
    <row r="97465" spans="6:6" x14ac:dyDescent="0.3">
      <c r="F97465" s="193"/>
    </row>
    <row r="97466" spans="6:6" x14ac:dyDescent="0.3">
      <c r="F97466" s="193"/>
    </row>
    <row r="97467" spans="6:6" x14ac:dyDescent="0.3">
      <c r="F97467" s="193"/>
    </row>
    <row r="97468" spans="6:6" x14ac:dyDescent="0.3">
      <c r="F97468" s="193"/>
    </row>
    <row r="97469" spans="6:6" x14ac:dyDescent="0.3">
      <c r="F97469" s="193"/>
    </row>
    <row r="97470" spans="6:6" x14ac:dyDescent="0.3">
      <c r="F97470" s="193"/>
    </row>
    <row r="97471" spans="6:6" x14ac:dyDescent="0.3">
      <c r="F97471" s="193"/>
    </row>
    <row r="97472" spans="6:6" x14ac:dyDescent="0.3">
      <c r="F97472" s="193"/>
    </row>
    <row r="97473" spans="6:6" x14ac:dyDescent="0.3">
      <c r="F97473" s="193"/>
    </row>
    <row r="97474" spans="6:6" x14ac:dyDescent="0.3">
      <c r="F97474" s="193"/>
    </row>
    <row r="97475" spans="6:6" x14ac:dyDescent="0.3">
      <c r="F97475" s="193"/>
    </row>
    <row r="97476" spans="6:6" x14ac:dyDescent="0.3">
      <c r="F97476" s="193"/>
    </row>
    <row r="97477" spans="6:6" x14ac:dyDescent="0.3">
      <c r="F97477" s="193"/>
    </row>
    <row r="97478" spans="6:6" x14ac:dyDescent="0.3">
      <c r="F97478" s="193"/>
    </row>
    <row r="97479" spans="6:6" x14ac:dyDescent="0.3">
      <c r="F97479" s="193"/>
    </row>
    <row r="97480" spans="6:6" x14ac:dyDescent="0.3">
      <c r="F97480" s="193"/>
    </row>
    <row r="97481" spans="6:6" x14ac:dyDescent="0.3">
      <c r="F97481" s="193"/>
    </row>
    <row r="97482" spans="6:6" x14ac:dyDescent="0.3">
      <c r="F97482" s="193"/>
    </row>
    <row r="97483" spans="6:6" x14ac:dyDescent="0.3">
      <c r="F97483" s="193"/>
    </row>
    <row r="97484" spans="6:6" x14ac:dyDescent="0.3">
      <c r="F97484" s="193"/>
    </row>
    <row r="97485" spans="6:6" x14ac:dyDescent="0.3">
      <c r="F97485" s="193"/>
    </row>
    <row r="97486" spans="6:6" x14ac:dyDescent="0.3">
      <c r="F97486" s="193"/>
    </row>
    <row r="97487" spans="6:6" x14ac:dyDescent="0.3">
      <c r="F97487" s="193"/>
    </row>
    <row r="97488" spans="6:6" x14ac:dyDescent="0.3">
      <c r="F97488" s="193"/>
    </row>
    <row r="97489" spans="6:6" x14ac:dyDescent="0.3">
      <c r="F97489" s="193"/>
    </row>
    <row r="97490" spans="6:6" x14ac:dyDescent="0.3">
      <c r="F97490" s="193"/>
    </row>
    <row r="97491" spans="6:6" x14ac:dyDescent="0.3">
      <c r="F97491" s="193"/>
    </row>
    <row r="97492" spans="6:6" x14ac:dyDescent="0.3">
      <c r="F97492" s="193"/>
    </row>
    <row r="97493" spans="6:6" x14ac:dyDescent="0.3">
      <c r="F97493" s="193"/>
    </row>
    <row r="97494" spans="6:6" x14ac:dyDescent="0.3">
      <c r="F97494" s="193"/>
    </row>
    <row r="97495" spans="6:6" x14ac:dyDescent="0.3">
      <c r="F97495" s="193"/>
    </row>
    <row r="97496" spans="6:6" x14ac:dyDescent="0.3">
      <c r="F97496" s="193"/>
    </row>
    <row r="97497" spans="6:6" x14ac:dyDescent="0.3">
      <c r="F97497" s="193"/>
    </row>
    <row r="97498" spans="6:6" x14ac:dyDescent="0.3">
      <c r="F97498" s="193"/>
    </row>
    <row r="97499" spans="6:6" x14ac:dyDescent="0.3">
      <c r="F97499" s="193"/>
    </row>
    <row r="97500" spans="6:6" x14ac:dyDescent="0.3">
      <c r="F97500" s="193"/>
    </row>
    <row r="97501" spans="6:6" x14ac:dyDescent="0.3">
      <c r="F97501" s="193"/>
    </row>
    <row r="97502" spans="6:6" x14ac:dyDescent="0.3">
      <c r="F97502" s="193"/>
    </row>
    <row r="97503" spans="6:6" x14ac:dyDescent="0.3">
      <c r="F97503" s="193"/>
    </row>
    <row r="97504" spans="6:6" x14ac:dyDescent="0.3">
      <c r="F97504" s="193"/>
    </row>
    <row r="97505" spans="6:6" x14ac:dyDescent="0.3">
      <c r="F97505" s="193"/>
    </row>
    <row r="97506" spans="6:6" x14ac:dyDescent="0.3">
      <c r="F97506" s="193"/>
    </row>
    <row r="97507" spans="6:6" x14ac:dyDescent="0.3">
      <c r="F97507" s="193"/>
    </row>
    <row r="97508" spans="6:6" x14ac:dyDescent="0.3">
      <c r="F97508" s="193"/>
    </row>
    <row r="97509" spans="6:6" x14ac:dyDescent="0.3">
      <c r="F97509" s="193"/>
    </row>
    <row r="97510" spans="6:6" x14ac:dyDescent="0.3">
      <c r="F97510" s="193"/>
    </row>
    <row r="97511" spans="6:6" x14ac:dyDescent="0.3">
      <c r="F97511" s="193"/>
    </row>
    <row r="97512" spans="6:6" x14ac:dyDescent="0.3">
      <c r="F97512" s="193"/>
    </row>
    <row r="97513" spans="6:6" x14ac:dyDescent="0.3">
      <c r="F97513" s="193"/>
    </row>
    <row r="97514" spans="6:6" x14ac:dyDescent="0.3">
      <c r="F97514" s="193"/>
    </row>
    <row r="97515" spans="6:6" x14ac:dyDescent="0.3">
      <c r="F97515" s="193"/>
    </row>
    <row r="97516" spans="6:6" x14ac:dyDescent="0.3">
      <c r="F97516" s="193"/>
    </row>
    <row r="97517" spans="6:6" x14ac:dyDescent="0.3">
      <c r="F97517" s="193"/>
    </row>
    <row r="97518" spans="6:6" x14ac:dyDescent="0.3">
      <c r="F97518" s="193"/>
    </row>
    <row r="97519" spans="6:6" x14ac:dyDescent="0.3">
      <c r="F97519" s="193"/>
    </row>
    <row r="97520" spans="6:6" x14ac:dyDescent="0.3">
      <c r="F97520" s="193"/>
    </row>
    <row r="97521" spans="6:6" x14ac:dyDescent="0.3">
      <c r="F97521" s="193"/>
    </row>
    <row r="97522" spans="6:6" x14ac:dyDescent="0.3">
      <c r="F97522" s="193"/>
    </row>
    <row r="97523" spans="6:6" x14ac:dyDescent="0.3">
      <c r="F97523" s="193"/>
    </row>
    <row r="97524" spans="6:6" x14ac:dyDescent="0.3">
      <c r="F97524" s="193"/>
    </row>
    <row r="97525" spans="6:6" x14ac:dyDescent="0.3">
      <c r="F97525" s="193"/>
    </row>
    <row r="97526" spans="6:6" x14ac:dyDescent="0.3">
      <c r="F97526" s="193"/>
    </row>
    <row r="97527" spans="6:6" x14ac:dyDescent="0.3">
      <c r="F97527" s="193"/>
    </row>
    <row r="97528" spans="6:6" x14ac:dyDescent="0.3">
      <c r="F97528" s="193"/>
    </row>
    <row r="97529" spans="6:6" x14ac:dyDescent="0.3">
      <c r="F97529" s="193"/>
    </row>
    <row r="97530" spans="6:6" x14ac:dyDescent="0.3">
      <c r="F97530" s="193"/>
    </row>
    <row r="97531" spans="6:6" x14ac:dyDescent="0.3">
      <c r="F97531" s="193"/>
    </row>
    <row r="97532" spans="6:6" x14ac:dyDescent="0.3">
      <c r="F97532" s="193"/>
    </row>
    <row r="97533" spans="6:6" x14ac:dyDescent="0.3">
      <c r="F97533" s="193"/>
    </row>
    <row r="97534" spans="6:6" x14ac:dyDescent="0.3">
      <c r="F97534" s="193"/>
    </row>
    <row r="97535" spans="6:6" x14ac:dyDescent="0.3">
      <c r="F97535" s="193"/>
    </row>
    <row r="97536" spans="6:6" x14ac:dyDescent="0.3">
      <c r="F97536" s="193"/>
    </row>
    <row r="97537" spans="6:6" x14ac:dyDescent="0.3">
      <c r="F97537" s="193"/>
    </row>
    <row r="97538" spans="6:6" x14ac:dyDescent="0.3">
      <c r="F97538" s="193"/>
    </row>
    <row r="97539" spans="6:6" x14ac:dyDescent="0.3">
      <c r="F97539" s="193"/>
    </row>
    <row r="97540" spans="6:6" x14ac:dyDescent="0.3">
      <c r="F97540" s="193"/>
    </row>
    <row r="97541" spans="6:6" x14ac:dyDescent="0.3">
      <c r="F97541" s="193"/>
    </row>
    <row r="97542" spans="6:6" x14ac:dyDescent="0.3">
      <c r="F97542" s="193"/>
    </row>
    <row r="97543" spans="6:6" x14ac:dyDescent="0.3">
      <c r="F97543" s="193"/>
    </row>
    <row r="97544" spans="6:6" x14ac:dyDescent="0.3">
      <c r="F97544" s="193"/>
    </row>
    <row r="97545" spans="6:6" x14ac:dyDescent="0.3">
      <c r="F97545" s="193"/>
    </row>
    <row r="97546" spans="6:6" x14ac:dyDescent="0.3">
      <c r="F97546" s="193"/>
    </row>
    <row r="97547" spans="6:6" x14ac:dyDescent="0.3">
      <c r="F97547" s="193"/>
    </row>
    <row r="97548" spans="6:6" x14ac:dyDescent="0.3">
      <c r="F97548" s="193"/>
    </row>
    <row r="97549" spans="6:6" x14ac:dyDescent="0.3">
      <c r="F97549" s="193"/>
    </row>
    <row r="97550" spans="6:6" x14ac:dyDescent="0.3">
      <c r="F97550" s="193"/>
    </row>
    <row r="97551" spans="6:6" x14ac:dyDescent="0.3">
      <c r="F97551" s="193"/>
    </row>
    <row r="97552" spans="6:6" x14ac:dyDescent="0.3">
      <c r="F97552" s="193"/>
    </row>
    <row r="97553" spans="6:6" x14ac:dyDescent="0.3">
      <c r="F97553" s="193"/>
    </row>
    <row r="97554" spans="6:6" x14ac:dyDescent="0.3">
      <c r="F97554" s="193"/>
    </row>
    <row r="97555" spans="6:6" x14ac:dyDescent="0.3">
      <c r="F97555" s="193"/>
    </row>
    <row r="97556" spans="6:6" x14ac:dyDescent="0.3">
      <c r="F97556" s="193"/>
    </row>
    <row r="97557" spans="6:6" x14ac:dyDescent="0.3">
      <c r="F97557" s="193"/>
    </row>
    <row r="97558" spans="6:6" x14ac:dyDescent="0.3">
      <c r="F97558" s="193"/>
    </row>
    <row r="97559" spans="6:6" x14ac:dyDescent="0.3">
      <c r="F97559" s="193"/>
    </row>
    <row r="97560" spans="6:6" x14ac:dyDescent="0.3">
      <c r="F97560" s="193"/>
    </row>
    <row r="97561" spans="6:6" x14ac:dyDescent="0.3">
      <c r="F97561" s="193"/>
    </row>
    <row r="97562" spans="6:6" x14ac:dyDescent="0.3">
      <c r="F97562" s="193"/>
    </row>
    <row r="97563" spans="6:6" x14ac:dyDescent="0.3">
      <c r="F97563" s="193"/>
    </row>
    <row r="97564" spans="6:6" x14ac:dyDescent="0.3">
      <c r="F97564" s="193"/>
    </row>
    <row r="97565" spans="6:6" x14ac:dyDescent="0.3">
      <c r="F97565" s="193"/>
    </row>
    <row r="97566" spans="6:6" x14ac:dyDescent="0.3">
      <c r="F97566" s="193"/>
    </row>
    <row r="97567" spans="6:6" x14ac:dyDescent="0.3">
      <c r="F97567" s="193"/>
    </row>
    <row r="97568" spans="6:6" x14ac:dyDescent="0.3">
      <c r="F97568" s="193"/>
    </row>
    <row r="97569" spans="6:6" x14ac:dyDescent="0.3">
      <c r="F97569" s="193"/>
    </row>
    <row r="97570" spans="6:6" x14ac:dyDescent="0.3">
      <c r="F97570" s="193"/>
    </row>
    <row r="97571" spans="6:6" x14ac:dyDescent="0.3">
      <c r="F97571" s="193"/>
    </row>
    <row r="97572" spans="6:6" x14ac:dyDescent="0.3">
      <c r="F97572" s="193"/>
    </row>
    <row r="97573" spans="6:6" x14ac:dyDescent="0.3">
      <c r="F97573" s="193"/>
    </row>
    <row r="97574" spans="6:6" x14ac:dyDescent="0.3">
      <c r="F97574" s="193"/>
    </row>
    <row r="97575" spans="6:6" x14ac:dyDescent="0.3">
      <c r="F97575" s="193"/>
    </row>
    <row r="97576" spans="6:6" x14ac:dyDescent="0.3">
      <c r="F97576" s="193"/>
    </row>
    <row r="97577" spans="6:6" x14ac:dyDescent="0.3">
      <c r="F97577" s="193"/>
    </row>
    <row r="97578" spans="6:6" x14ac:dyDescent="0.3">
      <c r="F97578" s="193"/>
    </row>
    <row r="97579" spans="6:6" x14ac:dyDescent="0.3">
      <c r="F97579" s="193"/>
    </row>
    <row r="97580" spans="6:6" x14ac:dyDescent="0.3">
      <c r="F97580" s="193"/>
    </row>
    <row r="97581" spans="6:6" x14ac:dyDescent="0.3">
      <c r="F97581" s="193"/>
    </row>
    <row r="97582" spans="6:6" x14ac:dyDescent="0.3">
      <c r="F97582" s="193"/>
    </row>
    <row r="97583" spans="6:6" x14ac:dyDescent="0.3">
      <c r="F97583" s="193"/>
    </row>
    <row r="97584" spans="6:6" x14ac:dyDescent="0.3">
      <c r="F97584" s="193"/>
    </row>
    <row r="97585" spans="6:6" x14ac:dyDescent="0.3">
      <c r="F97585" s="193"/>
    </row>
    <row r="97586" spans="6:6" x14ac:dyDescent="0.3">
      <c r="F97586" s="193"/>
    </row>
    <row r="97587" spans="6:6" x14ac:dyDescent="0.3">
      <c r="F97587" s="193"/>
    </row>
    <row r="97588" spans="6:6" x14ac:dyDescent="0.3">
      <c r="F97588" s="193"/>
    </row>
    <row r="97589" spans="6:6" x14ac:dyDescent="0.3">
      <c r="F97589" s="193"/>
    </row>
    <row r="97590" spans="6:6" x14ac:dyDescent="0.3">
      <c r="F97590" s="193"/>
    </row>
    <row r="97591" spans="6:6" x14ac:dyDescent="0.3">
      <c r="F97591" s="193"/>
    </row>
    <row r="97592" spans="6:6" x14ac:dyDescent="0.3">
      <c r="F97592" s="193"/>
    </row>
    <row r="97593" spans="6:6" x14ac:dyDescent="0.3">
      <c r="F97593" s="193"/>
    </row>
    <row r="97594" spans="6:6" x14ac:dyDescent="0.3">
      <c r="F97594" s="193"/>
    </row>
    <row r="97595" spans="6:6" x14ac:dyDescent="0.3">
      <c r="F97595" s="193"/>
    </row>
    <row r="97596" spans="6:6" x14ac:dyDescent="0.3">
      <c r="F97596" s="193"/>
    </row>
    <row r="97597" spans="6:6" x14ac:dyDescent="0.3">
      <c r="F97597" s="193"/>
    </row>
    <row r="97598" spans="6:6" x14ac:dyDescent="0.3">
      <c r="F97598" s="193"/>
    </row>
    <row r="97599" spans="6:6" x14ac:dyDescent="0.3">
      <c r="F97599" s="193"/>
    </row>
    <row r="97600" spans="6:6" x14ac:dyDescent="0.3">
      <c r="F97600" s="193"/>
    </row>
    <row r="97601" spans="6:6" x14ac:dyDescent="0.3">
      <c r="F97601" s="193"/>
    </row>
    <row r="97602" spans="6:6" x14ac:dyDescent="0.3">
      <c r="F97602" s="193"/>
    </row>
    <row r="97603" spans="6:6" x14ac:dyDescent="0.3">
      <c r="F97603" s="193"/>
    </row>
    <row r="97604" spans="6:6" x14ac:dyDescent="0.3">
      <c r="F97604" s="193"/>
    </row>
    <row r="97605" spans="6:6" x14ac:dyDescent="0.3">
      <c r="F97605" s="193"/>
    </row>
    <row r="97606" spans="6:6" x14ac:dyDescent="0.3">
      <c r="F97606" s="193"/>
    </row>
    <row r="97607" spans="6:6" x14ac:dyDescent="0.3">
      <c r="F97607" s="193"/>
    </row>
    <row r="97608" spans="6:6" x14ac:dyDescent="0.3">
      <c r="F97608" s="193"/>
    </row>
    <row r="97609" spans="6:6" x14ac:dyDescent="0.3">
      <c r="F97609" s="193"/>
    </row>
    <row r="97610" spans="6:6" x14ac:dyDescent="0.3">
      <c r="F97610" s="193"/>
    </row>
    <row r="97611" spans="6:6" x14ac:dyDescent="0.3">
      <c r="F97611" s="193"/>
    </row>
    <row r="97612" spans="6:6" x14ac:dyDescent="0.3">
      <c r="F97612" s="193"/>
    </row>
    <row r="97613" spans="6:6" x14ac:dyDescent="0.3">
      <c r="F97613" s="193"/>
    </row>
    <row r="97614" spans="6:6" x14ac:dyDescent="0.3">
      <c r="F97614" s="193"/>
    </row>
    <row r="97615" spans="6:6" x14ac:dyDescent="0.3">
      <c r="F97615" s="193"/>
    </row>
    <row r="97616" spans="6:6" x14ac:dyDescent="0.3">
      <c r="F97616" s="193"/>
    </row>
    <row r="97617" spans="6:6" x14ac:dyDescent="0.3">
      <c r="F97617" s="193"/>
    </row>
    <row r="97618" spans="6:6" x14ac:dyDescent="0.3">
      <c r="F97618" s="193"/>
    </row>
    <row r="97619" spans="6:6" x14ac:dyDescent="0.3">
      <c r="F97619" s="193"/>
    </row>
    <row r="97620" spans="6:6" x14ac:dyDescent="0.3">
      <c r="F97620" s="193"/>
    </row>
    <row r="97621" spans="6:6" x14ac:dyDescent="0.3">
      <c r="F97621" s="193"/>
    </row>
    <row r="97622" spans="6:6" x14ac:dyDescent="0.3">
      <c r="F97622" s="193"/>
    </row>
    <row r="97623" spans="6:6" x14ac:dyDescent="0.3">
      <c r="F97623" s="193"/>
    </row>
    <row r="97624" spans="6:6" x14ac:dyDescent="0.3">
      <c r="F97624" s="193"/>
    </row>
    <row r="97625" spans="6:6" x14ac:dyDescent="0.3">
      <c r="F97625" s="193"/>
    </row>
    <row r="97626" spans="6:6" x14ac:dyDescent="0.3">
      <c r="F97626" s="193"/>
    </row>
    <row r="97627" spans="6:6" x14ac:dyDescent="0.3">
      <c r="F97627" s="193"/>
    </row>
    <row r="97628" spans="6:6" x14ac:dyDescent="0.3">
      <c r="F97628" s="193"/>
    </row>
    <row r="97629" spans="6:6" x14ac:dyDescent="0.3">
      <c r="F97629" s="193"/>
    </row>
    <row r="97630" spans="6:6" x14ac:dyDescent="0.3">
      <c r="F97630" s="193"/>
    </row>
    <row r="97631" spans="6:6" x14ac:dyDescent="0.3">
      <c r="F97631" s="193"/>
    </row>
    <row r="97632" spans="6:6" x14ac:dyDescent="0.3">
      <c r="F97632" s="193"/>
    </row>
    <row r="97633" spans="6:6" x14ac:dyDescent="0.3">
      <c r="F97633" s="193"/>
    </row>
    <row r="97634" spans="6:6" x14ac:dyDescent="0.3">
      <c r="F97634" s="193"/>
    </row>
    <row r="97635" spans="6:6" x14ac:dyDescent="0.3">
      <c r="F97635" s="193"/>
    </row>
    <row r="97636" spans="6:6" x14ac:dyDescent="0.3">
      <c r="F97636" s="193"/>
    </row>
    <row r="97637" spans="6:6" x14ac:dyDescent="0.3">
      <c r="F97637" s="193"/>
    </row>
    <row r="97638" spans="6:6" x14ac:dyDescent="0.3">
      <c r="F97638" s="193"/>
    </row>
    <row r="97639" spans="6:6" x14ac:dyDescent="0.3">
      <c r="F97639" s="193"/>
    </row>
    <row r="97640" spans="6:6" x14ac:dyDescent="0.3">
      <c r="F97640" s="193"/>
    </row>
    <row r="97641" spans="6:6" x14ac:dyDescent="0.3">
      <c r="F97641" s="193"/>
    </row>
    <row r="97642" spans="6:6" x14ac:dyDescent="0.3">
      <c r="F97642" s="193"/>
    </row>
    <row r="97643" spans="6:6" x14ac:dyDescent="0.3">
      <c r="F97643" s="193"/>
    </row>
    <row r="97644" spans="6:6" x14ac:dyDescent="0.3">
      <c r="F97644" s="193"/>
    </row>
    <row r="97645" spans="6:6" x14ac:dyDescent="0.3">
      <c r="F97645" s="193"/>
    </row>
    <row r="97646" spans="6:6" x14ac:dyDescent="0.3">
      <c r="F97646" s="193"/>
    </row>
    <row r="97647" spans="6:6" x14ac:dyDescent="0.3">
      <c r="F97647" s="193"/>
    </row>
    <row r="97648" spans="6:6" x14ac:dyDescent="0.3">
      <c r="F97648" s="193"/>
    </row>
    <row r="97649" spans="6:6" x14ac:dyDescent="0.3">
      <c r="F97649" s="193"/>
    </row>
    <row r="97650" spans="6:6" x14ac:dyDescent="0.3">
      <c r="F97650" s="193"/>
    </row>
    <row r="97651" spans="6:6" x14ac:dyDescent="0.3">
      <c r="F97651" s="193"/>
    </row>
    <row r="97652" spans="6:6" x14ac:dyDescent="0.3">
      <c r="F97652" s="193"/>
    </row>
    <row r="97653" spans="6:6" x14ac:dyDescent="0.3">
      <c r="F97653" s="193"/>
    </row>
    <row r="97654" spans="6:6" x14ac:dyDescent="0.3">
      <c r="F97654" s="193"/>
    </row>
    <row r="97655" spans="6:6" x14ac:dyDescent="0.3">
      <c r="F97655" s="193"/>
    </row>
    <row r="97656" spans="6:6" x14ac:dyDescent="0.3">
      <c r="F97656" s="193"/>
    </row>
    <row r="97657" spans="6:6" x14ac:dyDescent="0.3">
      <c r="F97657" s="193"/>
    </row>
    <row r="97658" spans="6:6" x14ac:dyDescent="0.3">
      <c r="F97658" s="193"/>
    </row>
    <row r="97659" spans="6:6" x14ac:dyDescent="0.3">
      <c r="F97659" s="193"/>
    </row>
    <row r="97660" spans="6:6" x14ac:dyDescent="0.3">
      <c r="F97660" s="193"/>
    </row>
    <row r="97661" spans="6:6" x14ac:dyDescent="0.3">
      <c r="F97661" s="193"/>
    </row>
    <row r="97662" spans="6:6" x14ac:dyDescent="0.3">
      <c r="F97662" s="193"/>
    </row>
    <row r="97663" spans="6:6" x14ac:dyDescent="0.3">
      <c r="F97663" s="193"/>
    </row>
    <row r="97664" spans="6:6" x14ac:dyDescent="0.3">
      <c r="F97664" s="193"/>
    </row>
    <row r="97665" spans="6:6" x14ac:dyDescent="0.3">
      <c r="F97665" s="193"/>
    </row>
    <row r="97666" spans="6:6" x14ac:dyDescent="0.3">
      <c r="F97666" s="193"/>
    </row>
    <row r="97667" spans="6:6" x14ac:dyDescent="0.3">
      <c r="F97667" s="193"/>
    </row>
    <row r="97668" spans="6:6" x14ac:dyDescent="0.3">
      <c r="F97668" s="193"/>
    </row>
    <row r="97669" spans="6:6" x14ac:dyDescent="0.3">
      <c r="F97669" s="193"/>
    </row>
    <row r="97670" spans="6:6" x14ac:dyDescent="0.3">
      <c r="F97670" s="193"/>
    </row>
    <row r="97671" spans="6:6" x14ac:dyDescent="0.3">
      <c r="F97671" s="193"/>
    </row>
    <row r="97672" spans="6:6" x14ac:dyDescent="0.3">
      <c r="F97672" s="193"/>
    </row>
    <row r="97673" spans="6:6" x14ac:dyDescent="0.3">
      <c r="F97673" s="193"/>
    </row>
    <row r="97674" spans="6:6" x14ac:dyDescent="0.3">
      <c r="F97674" s="193"/>
    </row>
    <row r="97675" spans="6:6" x14ac:dyDescent="0.3">
      <c r="F97675" s="193"/>
    </row>
    <row r="97676" spans="6:6" x14ac:dyDescent="0.3">
      <c r="F97676" s="193"/>
    </row>
    <row r="97677" spans="6:6" x14ac:dyDescent="0.3">
      <c r="F97677" s="193"/>
    </row>
    <row r="97678" spans="6:6" x14ac:dyDescent="0.3">
      <c r="F97678" s="193"/>
    </row>
    <row r="97679" spans="6:6" x14ac:dyDescent="0.3">
      <c r="F97679" s="193"/>
    </row>
    <row r="97680" spans="6:6" x14ac:dyDescent="0.3">
      <c r="F97680" s="193"/>
    </row>
    <row r="97681" spans="6:6" x14ac:dyDescent="0.3">
      <c r="F97681" s="193"/>
    </row>
    <row r="97682" spans="6:6" x14ac:dyDescent="0.3">
      <c r="F97682" s="193"/>
    </row>
    <row r="97683" spans="6:6" x14ac:dyDescent="0.3">
      <c r="F97683" s="193"/>
    </row>
    <row r="97684" spans="6:6" x14ac:dyDescent="0.3">
      <c r="F97684" s="193"/>
    </row>
    <row r="97685" spans="6:6" x14ac:dyDescent="0.3">
      <c r="F97685" s="193"/>
    </row>
    <row r="97686" spans="6:6" x14ac:dyDescent="0.3">
      <c r="F97686" s="193"/>
    </row>
    <row r="97687" spans="6:6" x14ac:dyDescent="0.3">
      <c r="F97687" s="193"/>
    </row>
    <row r="97688" spans="6:6" x14ac:dyDescent="0.3">
      <c r="F97688" s="193"/>
    </row>
    <row r="97689" spans="6:6" x14ac:dyDescent="0.3">
      <c r="F97689" s="193"/>
    </row>
    <row r="97690" spans="6:6" x14ac:dyDescent="0.3">
      <c r="F97690" s="193"/>
    </row>
    <row r="97691" spans="6:6" x14ac:dyDescent="0.3">
      <c r="F97691" s="193"/>
    </row>
    <row r="97692" spans="6:6" x14ac:dyDescent="0.3">
      <c r="F97692" s="193"/>
    </row>
    <row r="97693" spans="6:6" x14ac:dyDescent="0.3">
      <c r="F97693" s="193"/>
    </row>
    <row r="97694" spans="6:6" x14ac:dyDescent="0.3">
      <c r="F97694" s="193"/>
    </row>
    <row r="97695" spans="6:6" x14ac:dyDescent="0.3">
      <c r="F97695" s="193"/>
    </row>
    <row r="97696" spans="6:6" x14ac:dyDescent="0.3">
      <c r="F97696" s="193"/>
    </row>
    <row r="97697" spans="6:6" x14ac:dyDescent="0.3">
      <c r="F97697" s="193"/>
    </row>
    <row r="97698" spans="6:6" x14ac:dyDescent="0.3">
      <c r="F97698" s="193"/>
    </row>
    <row r="97699" spans="6:6" x14ac:dyDescent="0.3">
      <c r="F97699" s="193"/>
    </row>
    <row r="97700" spans="6:6" x14ac:dyDescent="0.3">
      <c r="F97700" s="193"/>
    </row>
    <row r="97701" spans="6:6" x14ac:dyDescent="0.3">
      <c r="F97701" s="193"/>
    </row>
    <row r="97702" spans="6:6" x14ac:dyDescent="0.3">
      <c r="F97702" s="193"/>
    </row>
    <row r="97703" spans="6:6" x14ac:dyDescent="0.3">
      <c r="F97703" s="193"/>
    </row>
    <row r="97704" spans="6:6" x14ac:dyDescent="0.3">
      <c r="F97704" s="193"/>
    </row>
    <row r="97705" spans="6:6" x14ac:dyDescent="0.3">
      <c r="F97705" s="193"/>
    </row>
    <row r="97706" spans="6:6" x14ac:dyDescent="0.3">
      <c r="F97706" s="193"/>
    </row>
    <row r="97707" spans="6:6" x14ac:dyDescent="0.3">
      <c r="F97707" s="193"/>
    </row>
    <row r="97708" spans="6:6" x14ac:dyDescent="0.3">
      <c r="F97708" s="193"/>
    </row>
    <row r="97709" spans="6:6" x14ac:dyDescent="0.3">
      <c r="F97709" s="193"/>
    </row>
    <row r="97710" spans="6:6" x14ac:dyDescent="0.3">
      <c r="F97710" s="193"/>
    </row>
    <row r="97711" spans="6:6" x14ac:dyDescent="0.3">
      <c r="F97711" s="193"/>
    </row>
    <row r="97712" spans="6:6" x14ac:dyDescent="0.3">
      <c r="F97712" s="193"/>
    </row>
    <row r="97713" spans="6:6" x14ac:dyDescent="0.3">
      <c r="F97713" s="193"/>
    </row>
    <row r="97714" spans="6:6" x14ac:dyDescent="0.3">
      <c r="F97714" s="193"/>
    </row>
    <row r="97715" spans="6:6" x14ac:dyDescent="0.3">
      <c r="F97715" s="193"/>
    </row>
    <row r="97716" spans="6:6" x14ac:dyDescent="0.3">
      <c r="F97716" s="193"/>
    </row>
    <row r="97717" spans="6:6" x14ac:dyDescent="0.3">
      <c r="F97717" s="193"/>
    </row>
    <row r="97718" spans="6:6" x14ac:dyDescent="0.3">
      <c r="F97718" s="193"/>
    </row>
    <row r="97719" spans="6:6" x14ac:dyDescent="0.3">
      <c r="F97719" s="193"/>
    </row>
    <row r="97720" spans="6:6" x14ac:dyDescent="0.3">
      <c r="F97720" s="193"/>
    </row>
    <row r="97721" spans="6:6" x14ac:dyDescent="0.3">
      <c r="F97721" s="193"/>
    </row>
    <row r="97722" spans="6:6" x14ac:dyDescent="0.3">
      <c r="F97722" s="193"/>
    </row>
    <row r="97723" spans="6:6" x14ac:dyDescent="0.3">
      <c r="F97723" s="193"/>
    </row>
    <row r="97724" spans="6:6" x14ac:dyDescent="0.3">
      <c r="F97724" s="193"/>
    </row>
    <row r="97725" spans="6:6" x14ac:dyDescent="0.3">
      <c r="F97725" s="193"/>
    </row>
    <row r="97726" spans="6:6" x14ac:dyDescent="0.3">
      <c r="F97726" s="193"/>
    </row>
    <row r="97727" spans="6:6" x14ac:dyDescent="0.3">
      <c r="F97727" s="193"/>
    </row>
    <row r="97728" spans="6:6" x14ac:dyDescent="0.3">
      <c r="F97728" s="193"/>
    </row>
    <row r="97729" spans="6:6" x14ac:dyDescent="0.3">
      <c r="F97729" s="193"/>
    </row>
    <row r="97730" spans="6:6" x14ac:dyDescent="0.3">
      <c r="F97730" s="193"/>
    </row>
    <row r="97731" spans="6:6" x14ac:dyDescent="0.3">
      <c r="F97731" s="193"/>
    </row>
    <row r="97732" spans="6:6" x14ac:dyDescent="0.3">
      <c r="F97732" s="193"/>
    </row>
    <row r="97733" spans="6:6" x14ac:dyDescent="0.3">
      <c r="F97733" s="193"/>
    </row>
    <row r="97734" spans="6:6" x14ac:dyDescent="0.3">
      <c r="F97734" s="193"/>
    </row>
    <row r="97735" spans="6:6" x14ac:dyDescent="0.3">
      <c r="F97735" s="193"/>
    </row>
    <row r="97736" spans="6:6" x14ac:dyDescent="0.3">
      <c r="F97736" s="193"/>
    </row>
    <row r="97737" spans="6:6" x14ac:dyDescent="0.3">
      <c r="F97737" s="193"/>
    </row>
    <row r="97738" spans="6:6" x14ac:dyDescent="0.3">
      <c r="F97738" s="193"/>
    </row>
    <row r="97739" spans="6:6" x14ac:dyDescent="0.3">
      <c r="F97739" s="193"/>
    </row>
    <row r="97740" spans="6:6" x14ac:dyDescent="0.3">
      <c r="F97740" s="193"/>
    </row>
    <row r="97741" spans="6:6" x14ac:dyDescent="0.3">
      <c r="F97741" s="193"/>
    </row>
    <row r="97742" spans="6:6" x14ac:dyDescent="0.3">
      <c r="F97742" s="193"/>
    </row>
    <row r="97743" spans="6:6" x14ac:dyDescent="0.3">
      <c r="F97743" s="193"/>
    </row>
    <row r="97744" spans="6:6" x14ac:dyDescent="0.3">
      <c r="F97744" s="193"/>
    </row>
    <row r="97745" spans="6:6" x14ac:dyDescent="0.3">
      <c r="F97745" s="193"/>
    </row>
    <row r="97746" spans="6:6" x14ac:dyDescent="0.3">
      <c r="F97746" s="193"/>
    </row>
    <row r="97747" spans="6:6" x14ac:dyDescent="0.3">
      <c r="F97747" s="193"/>
    </row>
    <row r="97748" spans="6:6" x14ac:dyDescent="0.3">
      <c r="F97748" s="193"/>
    </row>
    <row r="97749" spans="6:6" x14ac:dyDescent="0.3">
      <c r="F97749" s="193"/>
    </row>
    <row r="97750" spans="6:6" x14ac:dyDescent="0.3">
      <c r="F97750" s="193"/>
    </row>
    <row r="97751" spans="6:6" x14ac:dyDescent="0.3">
      <c r="F97751" s="193"/>
    </row>
    <row r="97752" spans="6:6" x14ac:dyDescent="0.3">
      <c r="F97752" s="193"/>
    </row>
    <row r="97753" spans="6:6" x14ac:dyDescent="0.3">
      <c r="F97753" s="193"/>
    </row>
    <row r="97754" spans="6:6" x14ac:dyDescent="0.3">
      <c r="F97754" s="193"/>
    </row>
    <row r="97755" spans="6:6" x14ac:dyDescent="0.3">
      <c r="F97755" s="193"/>
    </row>
    <row r="97756" spans="6:6" x14ac:dyDescent="0.3">
      <c r="F97756" s="193"/>
    </row>
    <row r="97757" spans="6:6" x14ac:dyDescent="0.3">
      <c r="F97757" s="193"/>
    </row>
    <row r="97758" spans="6:6" x14ac:dyDescent="0.3">
      <c r="F97758" s="193"/>
    </row>
    <row r="97759" spans="6:6" x14ac:dyDescent="0.3">
      <c r="F97759" s="193"/>
    </row>
    <row r="97760" spans="6:6" x14ac:dyDescent="0.3">
      <c r="F97760" s="193"/>
    </row>
    <row r="97761" spans="6:6" x14ac:dyDescent="0.3">
      <c r="F97761" s="193"/>
    </row>
    <row r="97762" spans="6:6" x14ac:dyDescent="0.3">
      <c r="F97762" s="193"/>
    </row>
    <row r="97763" spans="6:6" x14ac:dyDescent="0.3">
      <c r="F97763" s="193"/>
    </row>
    <row r="97764" spans="6:6" x14ac:dyDescent="0.3">
      <c r="F97764" s="193"/>
    </row>
    <row r="97765" spans="6:6" x14ac:dyDescent="0.3">
      <c r="F97765" s="193"/>
    </row>
    <row r="97766" spans="6:6" x14ac:dyDescent="0.3">
      <c r="F97766" s="193"/>
    </row>
    <row r="97767" spans="6:6" x14ac:dyDescent="0.3">
      <c r="F97767" s="193"/>
    </row>
    <row r="97768" spans="6:6" x14ac:dyDescent="0.3">
      <c r="F97768" s="193"/>
    </row>
    <row r="97769" spans="6:6" x14ac:dyDescent="0.3">
      <c r="F97769" s="193"/>
    </row>
    <row r="97770" spans="6:6" x14ac:dyDescent="0.3">
      <c r="F97770" s="193"/>
    </row>
    <row r="97771" spans="6:6" x14ac:dyDescent="0.3">
      <c r="F97771" s="193"/>
    </row>
    <row r="97772" spans="6:6" x14ac:dyDescent="0.3">
      <c r="F97772" s="193"/>
    </row>
    <row r="97773" spans="6:6" x14ac:dyDescent="0.3">
      <c r="F97773" s="193"/>
    </row>
    <row r="97774" spans="6:6" x14ac:dyDescent="0.3">
      <c r="F97774" s="193"/>
    </row>
    <row r="97775" spans="6:6" x14ac:dyDescent="0.3">
      <c r="F97775" s="193"/>
    </row>
    <row r="97776" spans="6:6" x14ac:dyDescent="0.3">
      <c r="F97776" s="193"/>
    </row>
    <row r="97777" spans="6:6" x14ac:dyDescent="0.3">
      <c r="F97777" s="193"/>
    </row>
    <row r="97778" spans="6:6" x14ac:dyDescent="0.3">
      <c r="F97778" s="193"/>
    </row>
    <row r="97779" spans="6:6" x14ac:dyDescent="0.3">
      <c r="F97779" s="193"/>
    </row>
    <row r="97780" spans="6:6" x14ac:dyDescent="0.3">
      <c r="F97780" s="193"/>
    </row>
    <row r="97781" spans="6:6" x14ac:dyDescent="0.3">
      <c r="F97781" s="193"/>
    </row>
    <row r="97782" spans="6:6" x14ac:dyDescent="0.3">
      <c r="F97782" s="193"/>
    </row>
    <row r="97783" spans="6:6" x14ac:dyDescent="0.3">
      <c r="F97783" s="193"/>
    </row>
    <row r="97784" spans="6:6" x14ac:dyDescent="0.3">
      <c r="F97784" s="193"/>
    </row>
    <row r="97785" spans="6:6" x14ac:dyDescent="0.3">
      <c r="F97785" s="193"/>
    </row>
    <row r="97786" spans="6:6" x14ac:dyDescent="0.3">
      <c r="F97786" s="193"/>
    </row>
    <row r="97787" spans="6:6" x14ac:dyDescent="0.3">
      <c r="F97787" s="193"/>
    </row>
    <row r="97788" spans="6:6" x14ac:dyDescent="0.3">
      <c r="F97788" s="193"/>
    </row>
    <row r="97789" spans="6:6" x14ac:dyDescent="0.3">
      <c r="F97789" s="193"/>
    </row>
    <row r="97790" spans="6:6" x14ac:dyDescent="0.3">
      <c r="F97790" s="193"/>
    </row>
    <row r="97791" spans="6:6" x14ac:dyDescent="0.3">
      <c r="F97791" s="193"/>
    </row>
    <row r="97792" spans="6:6" x14ac:dyDescent="0.3">
      <c r="F97792" s="193"/>
    </row>
    <row r="97793" spans="6:6" x14ac:dyDescent="0.3">
      <c r="F97793" s="193"/>
    </row>
    <row r="97794" spans="6:6" x14ac:dyDescent="0.3">
      <c r="F97794" s="193"/>
    </row>
    <row r="97795" spans="6:6" x14ac:dyDescent="0.3">
      <c r="F97795" s="193"/>
    </row>
    <row r="97796" spans="6:6" x14ac:dyDescent="0.3">
      <c r="F97796" s="193"/>
    </row>
    <row r="97797" spans="6:6" x14ac:dyDescent="0.3">
      <c r="F97797" s="193"/>
    </row>
    <row r="97798" spans="6:6" x14ac:dyDescent="0.3">
      <c r="F97798" s="193"/>
    </row>
    <row r="97799" spans="6:6" x14ac:dyDescent="0.3">
      <c r="F97799" s="193"/>
    </row>
    <row r="97800" spans="6:6" x14ac:dyDescent="0.3">
      <c r="F97800" s="193"/>
    </row>
    <row r="97801" spans="6:6" x14ac:dyDescent="0.3">
      <c r="F97801" s="193"/>
    </row>
    <row r="97802" spans="6:6" x14ac:dyDescent="0.3">
      <c r="F97802" s="193"/>
    </row>
    <row r="97803" spans="6:6" x14ac:dyDescent="0.3">
      <c r="F97803" s="193"/>
    </row>
    <row r="97804" spans="6:6" x14ac:dyDescent="0.3">
      <c r="F97804" s="193"/>
    </row>
    <row r="97805" spans="6:6" x14ac:dyDescent="0.3">
      <c r="F97805" s="193"/>
    </row>
    <row r="97806" spans="6:6" x14ac:dyDescent="0.3">
      <c r="F97806" s="193"/>
    </row>
    <row r="97807" spans="6:6" x14ac:dyDescent="0.3">
      <c r="F97807" s="193"/>
    </row>
    <row r="97808" spans="6:6" x14ac:dyDescent="0.3">
      <c r="F97808" s="193"/>
    </row>
    <row r="97809" spans="6:6" x14ac:dyDescent="0.3">
      <c r="F97809" s="193"/>
    </row>
    <row r="97810" spans="6:6" x14ac:dyDescent="0.3">
      <c r="F97810" s="193"/>
    </row>
    <row r="97811" spans="6:6" x14ac:dyDescent="0.3">
      <c r="F97811" s="193"/>
    </row>
    <row r="97812" spans="6:6" x14ac:dyDescent="0.3">
      <c r="F97812" s="193"/>
    </row>
    <row r="97813" spans="6:6" x14ac:dyDescent="0.3">
      <c r="F97813" s="193"/>
    </row>
    <row r="97814" spans="6:6" x14ac:dyDescent="0.3">
      <c r="F97814" s="193"/>
    </row>
    <row r="97815" spans="6:6" x14ac:dyDescent="0.3">
      <c r="F97815" s="193"/>
    </row>
    <row r="97816" spans="6:6" x14ac:dyDescent="0.3">
      <c r="F97816" s="193"/>
    </row>
    <row r="97817" spans="6:6" x14ac:dyDescent="0.3">
      <c r="F97817" s="193"/>
    </row>
    <row r="97818" spans="6:6" x14ac:dyDescent="0.3">
      <c r="F97818" s="193"/>
    </row>
    <row r="97819" spans="6:6" x14ac:dyDescent="0.3">
      <c r="F97819" s="193"/>
    </row>
    <row r="97820" spans="6:6" x14ac:dyDescent="0.3">
      <c r="F97820" s="193"/>
    </row>
    <row r="97821" spans="6:6" x14ac:dyDescent="0.3">
      <c r="F97821" s="193"/>
    </row>
    <row r="97822" spans="6:6" x14ac:dyDescent="0.3">
      <c r="F97822" s="193"/>
    </row>
    <row r="97823" spans="6:6" x14ac:dyDescent="0.3">
      <c r="F97823" s="193"/>
    </row>
    <row r="97824" spans="6:6" x14ac:dyDescent="0.3">
      <c r="F97824" s="193"/>
    </row>
    <row r="97825" spans="6:6" x14ac:dyDescent="0.3">
      <c r="F97825" s="193"/>
    </row>
    <row r="97826" spans="6:6" x14ac:dyDescent="0.3">
      <c r="F97826" s="193"/>
    </row>
    <row r="97827" spans="6:6" x14ac:dyDescent="0.3">
      <c r="F97827" s="193"/>
    </row>
    <row r="97828" spans="6:6" x14ac:dyDescent="0.3">
      <c r="F97828" s="193"/>
    </row>
    <row r="97829" spans="6:6" x14ac:dyDescent="0.3">
      <c r="F97829" s="193"/>
    </row>
    <row r="97830" spans="6:6" x14ac:dyDescent="0.3">
      <c r="F97830" s="193"/>
    </row>
    <row r="97831" spans="6:6" x14ac:dyDescent="0.3">
      <c r="F97831" s="193"/>
    </row>
    <row r="97832" spans="6:6" x14ac:dyDescent="0.3">
      <c r="F97832" s="193"/>
    </row>
    <row r="97833" spans="6:6" x14ac:dyDescent="0.3">
      <c r="F97833" s="193"/>
    </row>
    <row r="97834" spans="6:6" x14ac:dyDescent="0.3">
      <c r="F97834" s="193"/>
    </row>
    <row r="97835" spans="6:6" x14ac:dyDescent="0.3">
      <c r="F97835" s="193"/>
    </row>
    <row r="97836" spans="6:6" x14ac:dyDescent="0.3">
      <c r="F97836" s="193"/>
    </row>
    <row r="97837" spans="6:6" x14ac:dyDescent="0.3">
      <c r="F97837" s="193"/>
    </row>
    <row r="97838" spans="6:6" x14ac:dyDescent="0.3">
      <c r="F97838" s="193"/>
    </row>
    <row r="97839" spans="6:6" x14ac:dyDescent="0.3">
      <c r="F97839" s="193"/>
    </row>
    <row r="97840" spans="6:6" x14ac:dyDescent="0.3">
      <c r="F97840" s="193"/>
    </row>
    <row r="97841" spans="6:6" x14ac:dyDescent="0.3">
      <c r="F97841" s="193"/>
    </row>
    <row r="97842" spans="6:6" x14ac:dyDescent="0.3">
      <c r="F97842" s="193"/>
    </row>
    <row r="97843" spans="6:6" x14ac:dyDescent="0.3">
      <c r="F97843" s="193"/>
    </row>
    <row r="97844" spans="6:6" x14ac:dyDescent="0.3">
      <c r="F97844" s="193"/>
    </row>
    <row r="97845" spans="6:6" x14ac:dyDescent="0.3">
      <c r="F97845" s="193"/>
    </row>
    <row r="97846" spans="6:6" x14ac:dyDescent="0.3">
      <c r="F97846" s="193"/>
    </row>
    <row r="97847" spans="6:6" x14ac:dyDescent="0.3">
      <c r="F97847" s="193"/>
    </row>
    <row r="97848" spans="6:6" x14ac:dyDescent="0.3">
      <c r="F97848" s="193"/>
    </row>
    <row r="97849" spans="6:6" x14ac:dyDescent="0.3">
      <c r="F97849" s="193"/>
    </row>
    <row r="97850" spans="6:6" x14ac:dyDescent="0.3">
      <c r="F97850" s="193"/>
    </row>
    <row r="97851" spans="6:6" x14ac:dyDescent="0.3">
      <c r="F97851" s="193"/>
    </row>
    <row r="97852" spans="6:6" x14ac:dyDescent="0.3">
      <c r="F97852" s="193"/>
    </row>
    <row r="97853" spans="6:6" x14ac:dyDescent="0.3">
      <c r="F97853" s="193"/>
    </row>
    <row r="97854" spans="6:6" x14ac:dyDescent="0.3">
      <c r="F97854" s="193"/>
    </row>
    <row r="97855" spans="6:6" x14ac:dyDescent="0.3">
      <c r="F97855" s="193"/>
    </row>
    <row r="97856" spans="6:6" x14ac:dyDescent="0.3">
      <c r="F97856" s="193"/>
    </row>
    <row r="97857" spans="6:6" x14ac:dyDescent="0.3">
      <c r="F97857" s="193"/>
    </row>
    <row r="97858" spans="6:6" x14ac:dyDescent="0.3">
      <c r="F97858" s="193"/>
    </row>
    <row r="97859" spans="6:6" x14ac:dyDescent="0.3">
      <c r="F97859" s="193"/>
    </row>
    <row r="97860" spans="6:6" x14ac:dyDescent="0.3">
      <c r="F97860" s="193"/>
    </row>
    <row r="97861" spans="6:6" x14ac:dyDescent="0.3">
      <c r="F97861" s="193"/>
    </row>
    <row r="97862" spans="6:6" x14ac:dyDescent="0.3">
      <c r="F97862" s="193"/>
    </row>
    <row r="97863" spans="6:6" x14ac:dyDescent="0.3">
      <c r="F97863" s="193"/>
    </row>
    <row r="97864" spans="6:6" x14ac:dyDescent="0.3">
      <c r="F97864" s="193"/>
    </row>
    <row r="97865" spans="6:6" x14ac:dyDescent="0.3">
      <c r="F97865" s="193"/>
    </row>
    <row r="97866" spans="6:6" x14ac:dyDescent="0.3">
      <c r="F97866" s="193"/>
    </row>
    <row r="97867" spans="6:6" x14ac:dyDescent="0.3">
      <c r="F97867" s="193"/>
    </row>
    <row r="97868" spans="6:6" x14ac:dyDescent="0.3">
      <c r="F97868" s="193"/>
    </row>
    <row r="97869" spans="6:6" x14ac:dyDescent="0.3">
      <c r="F97869" s="193"/>
    </row>
    <row r="97870" spans="6:6" x14ac:dyDescent="0.3">
      <c r="F97870" s="193"/>
    </row>
    <row r="97871" spans="6:6" x14ac:dyDescent="0.3">
      <c r="F97871" s="193"/>
    </row>
    <row r="97872" spans="6:6" x14ac:dyDescent="0.3">
      <c r="F97872" s="193"/>
    </row>
    <row r="97873" spans="6:6" x14ac:dyDescent="0.3">
      <c r="F97873" s="193"/>
    </row>
    <row r="97874" spans="6:6" x14ac:dyDescent="0.3">
      <c r="F97874" s="193"/>
    </row>
    <row r="97875" spans="6:6" x14ac:dyDescent="0.3">
      <c r="F97875" s="193"/>
    </row>
    <row r="97876" spans="6:6" x14ac:dyDescent="0.3">
      <c r="F97876" s="193"/>
    </row>
    <row r="97877" spans="6:6" x14ac:dyDescent="0.3">
      <c r="F97877" s="193"/>
    </row>
    <row r="97878" spans="6:6" x14ac:dyDescent="0.3">
      <c r="F97878" s="193"/>
    </row>
    <row r="97879" spans="6:6" x14ac:dyDescent="0.3">
      <c r="F97879" s="193"/>
    </row>
    <row r="97880" spans="6:6" x14ac:dyDescent="0.3">
      <c r="F97880" s="193"/>
    </row>
    <row r="97881" spans="6:6" x14ac:dyDescent="0.3">
      <c r="F97881" s="193"/>
    </row>
    <row r="97882" spans="6:6" x14ac:dyDescent="0.3">
      <c r="F97882" s="193"/>
    </row>
    <row r="97883" spans="6:6" x14ac:dyDescent="0.3">
      <c r="F97883" s="193"/>
    </row>
    <row r="97884" spans="6:6" x14ac:dyDescent="0.3">
      <c r="F97884" s="193"/>
    </row>
    <row r="97885" spans="6:6" x14ac:dyDescent="0.3">
      <c r="F97885" s="193"/>
    </row>
    <row r="97886" spans="6:6" x14ac:dyDescent="0.3">
      <c r="F97886" s="193"/>
    </row>
    <row r="97887" spans="6:6" x14ac:dyDescent="0.3">
      <c r="F97887" s="193"/>
    </row>
    <row r="97888" spans="6:6" x14ac:dyDescent="0.3">
      <c r="F97888" s="193"/>
    </row>
    <row r="97889" spans="6:6" x14ac:dyDescent="0.3">
      <c r="F97889" s="193"/>
    </row>
    <row r="97890" spans="6:6" x14ac:dyDescent="0.3">
      <c r="F97890" s="193"/>
    </row>
    <row r="97891" spans="6:6" x14ac:dyDescent="0.3">
      <c r="F97891" s="193"/>
    </row>
    <row r="97892" spans="6:6" x14ac:dyDescent="0.3">
      <c r="F97892" s="193"/>
    </row>
    <row r="97893" spans="6:6" x14ac:dyDescent="0.3">
      <c r="F97893" s="193"/>
    </row>
    <row r="97894" spans="6:6" x14ac:dyDescent="0.3">
      <c r="F97894" s="193"/>
    </row>
    <row r="97895" spans="6:6" x14ac:dyDescent="0.3">
      <c r="F97895" s="193"/>
    </row>
    <row r="97896" spans="6:6" x14ac:dyDescent="0.3">
      <c r="F97896" s="193"/>
    </row>
    <row r="97897" spans="6:6" x14ac:dyDescent="0.3">
      <c r="F97897" s="193"/>
    </row>
    <row r="97898" spans="6:6" x14ac:dyDescent="0.3">
      <c r="F97898" s="193"/>
    </row>
    <row r="97899" spans="6:6" x14ac:dyDescent="0.3">
      <c r="F97899" s="193"/>
    </row>
    <row r="97900" spans="6:6" x14ac:dyDescent="0.3">
      <c r="F97900" s="193"/>
    </row>
    <row r="97901" spans="6:6" x14ac:dyDescent="0.3">
      <c r="F97901" s="193"/>
    </row>
    <row r="97902" spans="6:6" x14ac:dyDescent="0.3">
      <c r="F97902" s="193"/>
    </row>
    <row r="97903" spans="6:6" x14ac:dyDescent="0.3">
      <c r="F97903" s="193"/>
    </row>
    <row r="97904" spans="6:6" x14ac:dyDescent="0.3">
      <c r="F97904" s="193"/>
    </row>
    <row r="97905" spans="6:6" x14ac:dyDescent="0.3">
      <c r="F97905" s="193"/>
    </row>
    <row r="97906" spans="6:6" x14ac:dyDescent="0.3">
      <c r="F97906" s="193"/>
    </row>
    <row r="97907" spans="6:6" x14ac:dyDescent="0.3">
      <c r="F97907" s="193"/>
    </row>
    <row r="97908" spans="6:6" x14ac:dyDescent="0.3">
      <c r="F97908" s="193"/>
    </row>
    <row r="97909" spans="6:6" x14ac:dyDescent="0.3">
      <c r="F97909" s="193"/>
    </row>
    <row r="97910" spans="6:6" x14ac:dyDescent="0.3">
      <c r="F97910" s="193"/>
    </row>
    <row r="97911" spans="6:6" x14ac:dyDescent="0.3">
      <c r="F97911" s="193"/>
    </row>
    <row r="97912" spans="6:6" x14ac:dyDescent="0.3">
      <c r="F97912" s="193"/>
    </row>
    <row r="97913" spans="6:6" x14ac:dyDescent="0.3">
      <c r="F97913" s="193"/>
    </row>
    <row r="97914" spans="6:6" x14ac:dyDescent="0.3">
      <c r="F97914" s="193"/>
    </row>
    <row r="97915" spans="6:6" x14ac:dyDescent="0.3">
      <c r="F97915" s="193"/>
    </row>
    <row r="97916" spans="6:6" x14ac:dyDescent="0.3">
      <c r="F97916" s="193"/>
    </row>
    <row r="97917" spans="6:6" x14ac:dyDescent="0.3">
      <c r="F97917" s="193"/>
    </row>
    <row r="97918" spans="6:6" x14ac:dyDescent="0.3">
      <c r="F97918" s="193"/>
    </row>
    <row r="97919" spans="6:6" x14ac:dyDescent="0.3">
      <c r="F97919" s="193"/>
    </row>
    <row r="97920" spans="6:6" x14ac:dyDescent="0.3">
      <c r="F97920" s="193"/>
    </row>
    <row r="97921" spans="6:6" x14ac:dyDescent="0.3">
      <c r="F97921" s="193"/>
    </row>
    <row r="97922" spans="6:6" x14ac:dyDescent="0.3">
      <c r="F97922" s="193"/>
    </row>
    <row r="97923" spans="6:6" x14ac:dyDescent="0.3">
      <c r="F97923" s="193"/>
    </row>
    <row r="97924" spans="6:6" x14ac:dyDescent="0.3">
      <c r="F97924" s="193"/>
    </row>
    <row r="97925" spans="6:6" x14ac:dyDescent="0.3">
      <c r="F97925" s="193"/>
    </row>
    <row r="97926" spans="6:6" x14ac:dyDescent="0.3">
      <c r="F97926" s="193"/>
    </row>
    <row r="97927" spans="6:6" x14ac:dyDescent="0.3">
      <c r="F97927" s="193"/>
    </row>
    <row r="97928" spans="6:6" x14ac:dyDescent="0.3">
      <c r="F97928" s="193"/>
    </row>
    <row r="97929" spans="6:6" x14ac:dyDescent="0.3">
      <c r="F97929" s="193"/>
    </row>
    <row r="97930" spans="6:6" x14ac:dyDescent="0.3">
      <c r="F97930" s="193"/>
    </row>
    <row r="97931" spans="6:6" x14ac:dyDescent="0.3">
      <c r="F97931" s="193"/>
    </row>
    <row r="97932" spans="6:6" x14ac:dyDescent="0.3">
      <c r="F97932" s="193"/>
    </row>
    <row r="97933" spans="6:6" x14ac:dyDescent="0.3">
      <c r="F97933" s="193"/>
    </row>
    <row r="97934" spans="6:6" x14ac:dyDescent="0.3">
      <c r="F97934" s="193"/>
    </row>
    <row r="97935" spans="6:6" x14ac:dyDescent="0.3">
      <c r="F97935" s="193"/>
    </row>
    <row r="97936" spans="6:6" x14ac:dyDescent="0.3">
      <c r="F97936" s="193"/>
    </row>
    <row r="97937" spans="6:6" x14ac:dyDescent="0.3">
      <c r="F97937" s="193"/>
    </row>
    <row r="97938" spans="6:6" x14ac:dyDescent="0.3">
      <c r="F97938" s="193"/>
    </row>
    <row r="97939" spans="6:6" x14ac:dyDescent="0.3">
      <c r="F97939" s="193"/>
    </row>
    <row r="97940" spans="6:6" x14ac:dyDescent="0.3">
      <c r="F97940" s="193"/>
    </row>
    <row r="97941" spans="6:6" x14ac:dyDescent="0.3">
      <c r="F97941" s="193"/>
    </row>
    <row r="97942" spans="6:6" x14ac:dyDescent="0.3">
      <c r="F97942" s="193"/>
    </row>
    <row r="97943" spans="6:6" x14ac:dyDescent="0.3">
      <c r="F97943" s="193"/>
    </row>
    <row r="97944" spans="6:6" x14ac:dyDescent="0.3">
      <c r="F97944" s="193"/>
    </row>
    <row r="97945" spans="6:6" x14ac:dyDescent="0.3">
      <c r="F97945" s="193"/>
    </row>
    <row r="97946" spans="6:6" x14ac:dyDescent="0.3">
      <c r="F97946" s="193"/>
    </row>
    <row r="97947" spans="6:6" x14ac:dyDescent="0.3">
      <c r="F97947" s="193"/>
    </row>
    <row r="97948" spans="6:6" x14ac:dyDescent="0.3">
      <c r="F97948" s="193"/>
    </row>
    <row r="97949" spans="6:6" x14ac:dyDescent="0.3">
      <c r="F97949" s="193"/>
    </row>
    <row r="97950" spans="6:6" x14ac:dyDescent="0.3">
      <c r="F97950" s="193"/>
    </row>
    <row r="97951" spans="6:6" x14ac:dyDescent="0.3">
      <c r="F97951" s="193"/>
    </row>
    <row r="97952" spans="6:6" x14ac:dyDescent="0.3">
      <c r="F97952" s="193"/>
    </row>
    <row r="97953" spans="6:6" x14ac:dyDescent="0.3">
      <c r="F97953" s="193"/>
    </row>
    <row r="97954" spans="6:6" x14ac:dyDescent="0.3">
      <c r="F97954" s="193"/>
    </row>
    <row r="97955" spans="6:6" x14ac:dyDescent="0.3">
      <c r="F97955" s="193"/>
    </row>
    <row r="97956" spans="6:6" x14ac:dyDescent="0.3">
      <c r="F97956" s="193"/>
    </row>
    <row r="97957" spans="6:6" x14ac:dyDescent="0.3">
      <c r="F97957" s="193"/>
    </row>
    <row r="97958" spans="6:6" x14ac:dyDescent="0.3">
      <c r="F97958" s="193"/>
    </row>
    <row r="97959" spans="6:6" x14ac:dyDescent="0.3">
      <c r="F97959" s="193"/>
    </row>
    <row r="97960" spans="6:6" x14ac:dyDescent="0.3">
      <c r="F97960" s="193"/>
    </row>
    <row r="97961" spans="6:6" x14ac:dyDescent="0.3">
      <c r="F97961" s="193"/>
    </row>
    <row r="97962" spans="6:6" x14ac:dyDescent="0.3">
      <c r="F97962" s="193"/>
    </row>
    <row r="97963" spans="6:6" x14ac:dyDescent="0.3">
      <c r="F97963" s="193"/>
    </row>
    <row r="97964" spans="6:6" x14ac:dyDescent="0.3">
      <c r="F97964" s="193"/>
    </row>
    <row r="97965" spans="6:6" x14ac:dyDescent="0.3">
      <c r="F97965" s="193"/>
    </row>
    <row r="97966" spans="6:6" x14ac:dyDescent="0.3">
      <c r="F97966" s="193"/>
    </row>
    <row r="97967" spans="6:6" x14ac:dyDescent="0.3">
      <c r="F97967" s="193"/>
    </row>
    <row r="97968" spans="6:6" x14ac:dyDescent="0.3">
      <c r="F97968" s="193"/>
    </row>
    <row r="97969" spans="6:6" x14ac:dyDescent="0.3">
      <c r="F97969" s="193"/>
    </row>
    <row r="97970" spans="6:6" x14ac:dyDescent="0.3">
      <c r="F97970" s="193"/>
    </row>
    <row r="97971" spans="6:6" x14ac:dyDescent="0.3">
      <c r="F97971" s="193"/>
    </row>
    <row r="97972" spans="6:6" x14ac:dyDescent="0.3">
      <c r="F97972" s="193"/>
    </row>
    <row r="97973" spans="6:6" x14ac:dyDescent="0.3">
      <c r="F97973" s="193"/>
    </row>
    <row r="97974" spans="6:6" x14ac:dyDescent="0.3">
      <c r="F97974" s="193"/>
    </row>
    <row r="97975" spans="6:6" x14ac:dyDescent="0.3">
      <c r="F97975" s="193"/>
    </row>
    <row r="97976" spans="6:6" x14ac:dyDescent="0.3">
      <c r="F97976" s="193"/>
    </row>
    <row r="97977" spans="6:6" x14ac:dyDescent="0.3">
      <c r="F97977" s="193"/>
    </row>
    <row r="97978" spans="6:6" x14ac:dyDescent="0.3">
      <c r="F97978" s="193"/>
    </row>
    <row r="97979" spans="6:6" x14ac:dyDescent="0.3">
      <c r="F97979" s="193"/>
    </row>
    <row r="97980" spans="6:6" x14ac:dyDescent="0.3">
      <c r="F97980" s="193"/>
    </row>
    <row r="97981" spans="6:6" x14ac:dyDescent="0.3">
      <c r="F97981" s="193"/>
    </row>
    <row r="97982" spans="6:6" x14ac:dyDescent="0.3">
      <c r="F97982" s="193"/>
    </row>
    <row r="97983" spans="6:6" x14ac:dyDescent="0.3">
      <c r="F97983" s="193"/>
    </row>
    <row r="97984" spans="6:6" x14ac:dyDescent="0.3">
      <c r="F97984" s="193"/>
    </row>
    <row r="97985" spans="6:6" x14ac:dyDescent="0.3">
      <c r="F97985" s="193"/>
    </row>
    <row r="97986" spans="6:6" x14ac:dyDescent="0.3">
      <c r="F97986" s="193"/>
    </row>
    <row r="97987" spans="6:6" x14ac:dyDescent="0.3">
      <c r="F97987" s="193"/>
    </row>
    <row r="97988" spans="6:6" x14ac:dyDescent="0.3">
      <c r="F97988" s="193"/>
    </row>
    <row r="97989" spans="6:6" x14ac:dyDescent="0.3">
      <c r="F97989" s="193"/>
    </row>
    <row r="97990" spans="6:6" x14ac:dyDescent="0.3">
      <c r="F97990" s="193"/>
    </row>
    <row r="97991" spans="6:6" x14ac:dyDescent="0.3">
      <c r="F97991" s="193"/>
    </row>
    <row r="97992" spans="6:6" x14ac:dyDescent="0.3">
      <c r="F97992" s="193"/>
    </row>
    <row r="97993" spans="6:6" x14ac:dyDescent="0.3">
      <c r="F97993" s="193"/>
    </row>
    <row r="97994" spans="6:6" x14ac:dyDescent="0.3">
      <c r="F97994" s="193"/>
    </row>
    <row r="97995" spans="6:6" x14ac:dyDescent="0.3">
      <c r="F97995" s="193"/>
    </row>
    <row r="97996" spans="6:6" x14ac:dyDescent="0.3">
      <c r="F97996" s="193"/>
    </row>
    <row r="97997" spans="6:6" x14ac:dyDescent="0.3">
      <c r="F97997" s="193"/>
    </row>
    <row r="97998" spans="6:6" x14ac:dyDescent="0.3">
      <c r="F97998" s="193"/>
    </row>
    <row r="97999" spans="6:6" x14ac:dyDescent="0.3">
      <c r="F97999" s="193"/>
    </row>
    <row r="98000" spans="6:6" x14ac:dyDescent="0.3">
      <c r="F98000" s="193"/>
    </row>
    <row r="98001" spans="6:6" x14ac:dyDescent="0.3">
      <c r="F98001" s="193"/>
    </row>
    <row r="98002" spans="6:6" x14ac:dyDescent="0.3">
      <c r="F98002" s="193"/>
    </row>
    <row r="98003" spans="6:6" x14ac:dyDescent="0.3">
      <c r="F98003" s="193"/>
    </row>
    <row r="98004" spans="6:6" x14ac:dyDescent="0.3">
      <c r="F98004" s="193"/>
    </row>
    <row r="98005" spans="6:6" x14ac:dyDescent="0.3">
      <c r="F98005" s="193"/>
    </row>
    <row r="98006" spans="6:6" x14ac:dyDescent="0.3">
      <c r="F98006" s="193"/>
    </row>
    <row r="98007" spans="6:6" x14ac:dyDescent="0.3">
      <c r="F98007" s="193"/>
    </row>
    <row r="98008" spans="6:6" x14ac:dyDescent="0.3">
      <c r="F98008" s="193"/>
    </row>
    <row r="98009" spans="6:6" x14ac:dyDescent="0.3">
      <c r="F98009" s="193"/>
    </row>
    <row r="98010" spans="6:6" x14ac:dyDescent="0.3">
      <c r="F98010" s="193"/>
    </row>
    <row r="98011" spans="6:6" x14ac:dyDescent="0.3">
      <c r="F98011" s="193"/>
    </row>
    <row r="98012" spans="6:6" x14ac:dyDescent="0.3">
      <c r="F98012" s="193"/>
    </row>
    <row r="98013" spans="6:6" x14ac:dyDescent="0.3">
      <c r="F98013" s="193"/>
    </row>
    <row r="98014" spans="6:6" x14ac:dyDescent="0.3">
      <c r="F98014" s="193"/>
    </row>
    <row r="98015" spans="6:6" x14ac:dyDescent="0.3">
      <c r="F98015" s="193"/>
    </row>
    <row r="98016" spans="6:6" x14ac:dyDescent="0.3">
      <c r="F98016" s="193"/>
    </row>
    <row r="98017" spans="6:6" x14ac:dyDescent="0.3">
      <c r="F98017" s="193"/>
    </row>
    <row r="98018" spans="6:6" x14ac:dyDescent="0.3">
      <c r="F98018" s="193"/>
    </row>
    <row r="98019" spans="6:6" x14ac:dyDescent="0.3">
      <c r="F98019" s="193"/>
    </row>
    <row r="98020" spans="6:6" x14ac:dyDescent="0.3">
      <c r="F98020" s="193"/>
    </row>
    <row r="98021" spans="6:6" x14ac:dyDescent="0.3">
      <c r="F98021" s="193"/>
    </row>
    <row r="98022" spans="6:6" x14ac:dyDescent="0.3">
      <c r="F98022" s="193"/>
    </row>
    <row r="98023" spans="6:6" x14ac:dyDescent="0.3">
      <c r="F98023" s="193"/>
    </row>
    <row r="98024" spans="6:6" x14ac:dyDescent="0.3">
      <c r="F98024" s="193"/>
    </row>
    <row r="98025" spans="6:6" x14ac:dyDescent="0.3">
      <c r="F98025" s="193"/>
    </row>
    <row r="98026" spans="6:6" x14ac:dyDescent="0.3">
      <c r="F98026" s="193"/>
    </row>
    <row r="98027" spans="6:6" x14ac:dyDescent="0.3">
      <c r="F98027" s="193"/>
    </row>
    <row r="98028" spans="6:6" x14ac:dyDescent="0.3">
      <c r="F98028" s="193"/>
    </row>
    <row r="98029" spans="6:6" x14ac:dyDescent="0.3">
      <c r="F98029" s="193"/>
    </row>
    <row r="98030" spans="6:6" x14ac:dyDescent="0.3">
      <c r="F98030" s="193"/>
    </row>
    <row r="98031" spans="6:6" x14ac:dyDescent="0.3">
      <c r="F98031" s="193"/>
    </row>
    <row r="98032" spans="6:6" x14ac:dyDescent="0.3">
      <c r="F98032" s="193"/>
    </row>
    <row r="98033" spans="6:6" x14ac:dyDescent="0.3">
      <c r="F98033" s="193"/>
    </row>
    <row r="98034" spans="6:6" x14ac:dyDescent="0.3">
      <c r="F98034" s="193"/>
    </row>
    <row r="98035" spans="6:6" x14ac:dyDescent="0.3">
      <c r="F98035" s="193"/>
    </row>
    <row r="98036" spans="6:6" x14ac:dyDescent="0.3">
      <c r="F98036" s="193"/>
    </row>
    <row r="98037" spans="6:6" x14ac:dyDescent="0.3">
      <c r="F98037" s="193"/>
    </row>
    <row r="98038" spans="6:6" x14ac:dyDescent="0.3">
      <c r="F98038" s="193"/>
    </row>
    <row r="98039" spans="6:6" x14ac:dyDescent="0.3">
      <c r="F98039" s="193"/>
    </row>
    <row r="98040" spans="6:6" x14ac:dyDescent="0.3">
      <c r="F98040" s="193"/>
    </row>
    <row r="98041" spans="6:6" x14ac:dyDescent="0.3">
      <c r="F98041" s="193"/>
    </row>
    <row r="98042" spans="6:6" x14ac:dyDescent="0.3">
      <c r="F98042" s="193"/>
    </row>
    <row r="98043" spans="6:6" x14ac:dyDescent="0.3">
      <c r="F98043" s="193"/>
    </row>
    <row r="98044" spans="6:6" x14ac:dyDescent="0.3">
      <c r="F98044" s="193"/>
    </row>
    <row r="98045" spans="6:6" x14ac:dyDescent="0.3">
      <c r="F98045" s="193"/>
    </row>
    <row r="98046" spans="6:6" x14ac:dyDescent="0.3">
      <c r="F98046" s="193"/>
    </row>
    <row r="98047" spans="6:6" x14ac:dyDescent="0.3">
      <c r="F98047" s="193"/>
    </row>
    <row r="98048" spans="6:6" x14ac:dyDescent="0.3">
      <c r="F98048" s="193"/>
    </row>
    <row r="98049" spans="6:6" x14ac:dyDescent="0.3">
      <c r="F98049" s="193"/>
    </row>
    <row r="98050" spans="6:6" x14ac:dyDescent="0.3">
      <c r="F98050" s="193"/>
    </row>
    <row r="98051" spans="6:6" x14ac:dyDescent="0.3">
      <c r="F98051" s="193"/>
    </row>
    <row r="98052" spans="6:6" x14ac:dyDescent="0.3">
      <c r="F98052" s="193"/>
    </row>
    <row r="98053" spans="6:6" x14ac:dyDescent="0.3">
      <c r="F98053" s="193"/>
    </row>
    <row r="98054" spans="6:6" x14ac:dyDescent="0.3">
      <c r="F98054" s="193"/>
    </row>
    <row r="98055" spans="6:6" x14ac:dyDescent="0.3">
      <c r="F98055" s="193"/>
    </row>
    <row r="98056" spans="6:6" x14ac:dyDescent="0.3">
      <c r="F98056" s="193"/>
    </row>
    <row r="98057" spans="6:6" x14ac:dyDescent="0.3">
      <c r="F98057" s="193"/>
    </row>
    <row r="98058" spans="6:6" x14ac:dyDescent="0.3">
      <c r="F98058" s="193"/>
    </row>
    <row r="98059" spans="6:6" x14ac:dyDescent="0.3">
      <c r="F98059" s="193"/>
    </row>
    <row r="98060" spans="6:6" x14ac:dyDescent="0.3">
      <c r="F98060" s="193"/>
    </row>
    <row r="98061" spans="6:6" x14ac:dyDescent="0.3">
      <c r="F98061" s="193"/>
    </row>
    <row r="98062" spans="6:6" x14ac:dyDescent="0.3">
      <c r="F98062" s="193"/>
    </row>
    <row r="98063" spans="6:6" x14ac:dyDescent="0.3">
      <c r="F98063" s="193"/>
    </row>
    <row r="98064" spans="6:6" x14ac:dyDescent="0.3">
      <c r="F98064" s="193"/>
    </row>
    <row r="98065" spans="6:6" x14ac:dyDescent="0.3">
      <c r="F98065" s="193"/>
    </row>
    <row r="98066" spans="6:6" x14ac:dyDescent="0.3">
      <c r="F98066" s="193"/>
    </row>
    <row r="98067" spans="6:6" x14ac:dyDescent="0.3">
      <c r="F98067" s="193"/>
    </row>
    <row r="98068" spans="6:6" x14ac:dyDescent="0.3">
      <c r="F98068" s="193"/>
    </row>
    <row r="98069" spans="6:6" x14ac:dyDescent="0.3">
      <c r="F98069" s="193"/>
    </row>
    <row r="98070" spans="6:6" x14ac:dyDescent="0.3">
      <c r="F98070" s="193"/>
    </row>
    <row r="98071" spans="6:6" x14ac:dyDescent="0.3">
      <c r="F98071" s="193"/>
    </row>
    <row r="98072" spans="6:6" x14ac:dyDescent="0.3">
      <c r="F98072" s="193"/>
    </row>
    <row r="98073" spans="6:6" x14ac:dyDescent="0.3">
      <c r="F98073" s="193"/>
    </row>
    <row r="98074" spans="6:6" x14ac:dyDescent="0.3">
      <c r="F98074" s="193"/>
    </row>
    <row r="98075" spans="6:6" x14ac:dyDescent="0.3">
      <c r="F98075" s="193"/>
    </row>
    <row r="98076" spans="6:6" x14ac:dyDescent="0.3">
      <c r="F98076" s="193"/>
    </row>
    <row r="98077" spans="6:6" x14ac:dyDescent="0.3">
      <c r="F98077" s="193"/>
    </row>
    <row r="98078" spans="6:6" x14ac:dyDescent="0.3">
      <c r="F98078" s="193"/>
    </row>
    <row r="98079" spans="6:6" x14ac:dyDescent="0.3">
      <c r="F98079" s="193"/>
    </row>
    <row r="98080" spans="6:6" x14ac:dyDescent="0.3">
      <c r="F98080" s="193"/>
    </row>
    <row r="98081" spans="6:6" x14ac:dyDescent="0.3">
      <c r="F98081" s="193"/>
    </row>
    <row r="98082" spans="6:6" x14ac:dyDescent="0.3">
      <c r="F98082" s="193"/>
    </row>
    <row r="98083" spans="6:6" x14ac:dyDescent="0.3">
      <c r="F98083" s="193"/>
    </row>
    <row r="98084" spans="6:6" x14ac:dyDescent="0.3">
      <c r="F98084" s="193"/>
    </row>
    <row r="98085" spans="6:6" x14ac:dyDescent="0.3">
      <c r="F98085" s="193"/>
    </row>
    <row r="98086" spans="6:6" x14ac:dyDescent="0.3">
      <c r="F98086" s="193"/>
    </row>
    <row r="98087" spans="6:6" x14ac:dyDescent="0.3">
      <c r="F98087" s="193"/>
    </row>
    <row r="98088" spans="6:6" x14ac:dyDescent="0.3">
      <c r="F98088" s="193"/>
    </row>
    <row r="98089" spans="6:6" x14ac:dyDescent="0.3">
      <c r="F98089" s="193"/>
    </row>
    <row r="98090" spans="6:6" x14ac:dyDescent="0.3">
      <c r="F98090" s="193"/>
    </row>
    <row r="98091" spans="6:6" x14ac:dyDescent="0.3">
      <c r="F98091" s="193"/>
    </row>
    <row r="98092" spans="6:6" x14ac:dyDescent="0.3">
      <c r="F98092" s="193"/>
    </row>
    <row r="98093" spans="6:6" x14ac:dyDescent="0.3">
      <c r="F98093" s="193"/>
    </row>
    <row r="98094" spans="6:6" x14ac:dyDescent="0.3">
      <c r="F98094" s="193"/>
    </row>
    <row r="98095" spans="6:6" x14ac:dyDescent="0.3">
      <c r="F98095" s="193"/>
    </row>
    <row r="98096" spans="6:6" x14ac:dyDescent="0.3">
      <c r="F98096" s="193"/>
    </row>
    <row r="98097" spans="6:6" x14ac:dyDescent="0.3">
      <c r="F98097" s="193"/>
    </row>
    <row r="98098" spans="6:6" x14ac:dyDescent="0.3">
      <c r="F98098" s="193"/>
    </row>
    <row r="98099" spans="6:6" x14ac:dyDescent="0.3">
      <c r="F98099" s="193"/>
    </row>
    <row r="98100" spans="6:6" x14ac:dyDescent="0.3">
      <c r="F98100" s="193"/>
    </row>
    <row r="98101" spans="6:6" x14ac:dyDescent="0.3">
      <c r="F98101" s="193"/>
    </row>
    <row r="98102" spans="6:6" x14ac:dyDescent="0.3">
      <c r="F98102" s="193"/>
    </row>
    <row r="98103" spans="6:6" x14ac:dyDescent="0.3">
      <c r="F98103" s="193"/>
    </row>
    <row r="98104" spans="6:6" x14ac:dyDescent="0.3">
      <c r="F98104" s="193"/>
    </row>
    <row r="98105" spans="6:6" x14ac:dyDescent="0.3">
      <c r="F98105" s="193"/>
    </row>
    <row r="98106" spans="6:6" x14ac:dyDescent="0.3">
      <c r="F98106" s="193"/>
    </row>
    <row r="98107" spans="6:6" x14ac:dyDescent="0.3">
      <c r="F98107" s="193"/>
    </row>
    <row r="98108" spans="6:6" x14ac:dyDescent="0.3">
      <c r="F98108" s="193"/>
    </row>
    <row r="98109" spans="6:6" x14ac:dyDescent="0.3">
      <c r="F98109" s="193"/>
    </row>
    <row r="98110" spans="6:6" x14ac:dyDescent="0.3">
      <c r="F98110" s="193"/>
    </row>
    <row r="98111" spans="6:6" x14ac:dyDescent="0.3">
      <c r="F98111" s="193"/>
    </row>
    <row r="98112" spans="6:6" x14ac:dyDescent="0.3">
      <c r="F98112" s="193"/>
    </row>
    <row r="98113" spans="6:6" x14ac:dyDescent="0.3">
      <c r="F98113" s="193"/>
    </row>
    <row r="98114" spans="6:6" x14ac:dyDescent="0.3">
      <c r="F98114" s="193"/>
    </row>
    <row r="98115" spans="6:6" x14ac:dyDescent="0.3">
      <c r="F98115" s="193"/>
    </row>
    <row r="98116" spans="6:6" x14ac:dyDescent="0.3">
      <c r="F98116" s="193"/>
    </row>
    <row r="98117" spans="6:6" x14ac:dyDescent="0.3">
      <c r="F98117" s="193"/>
    </row>
    <row r="98118" spans="6:6" x14ac:dyDescent="0.3">
      <c r="F98118" s="193"/>
    </row>
    <row r="98119" spans="6:6" x14ac:dyDescent="0.3">
      <c r="F98119" s="193"/>
    </row>
    <row r="98120" spans="6:6" x14ac:dyDescent="0.3">
      <c r="F98120" s="193"/>
    </row>
    <row r="98121" spans="6:6" x14ac:dyDescent="0.3">
      <c r="F98121" s="193"/>
    </row>
    <row r="98122" spans="6:6" x14ac:dyDescent="0.3">
      <c r="F98122" s="193"/>
    </row>
    <row r="98123" spans="6:6" x14ac:dyDescent="0.3">
      <c r="F98123" s="193"/>
    </row>
    <row r="98124" spans="6:6" x14ac:dyDescent="0.3">
      <c r="F98124" s="193"/>
    </row>
    <row r="98125" spans="6:6" x14ac:dyDescent="0.3">
      <c r="F98125" s="193"/>
    </row>
    <row r="98126" spans="6:6" x14ac:dyDescent="0.3">
      <c r="F98126" s="193"/>
    </row>
    <row r="98127" spans="6:6" x14ac:dyDescent="0.3">
      <c r="F98127" s="193"/>
    </row>
    <row r="98128" spans="6:6" x14ac:dyDescent="0.3">
      <c r="F98128" s="193"/>
    </row>
    <row r="98129" spans="6:6" x14ac:dyDescent="0.3">
      <c r="F98129" s="193"/>
    </row>
    <row r="98130" spans="6:6" x14ac:dyDescent="0.3">
      <c r="F98130" s="193"/>
    </row>
    <row r="98131" spans="6:6" x14ac:dyDescent="0.3">
      <c r="F98131" s="193"/>
    </row>
    <row r="98132" spans="6:6" x14ac:dyDescent="0.3">
      <c r="F98132" s="193"/>
    </row>
    <row r="98133" spans="6:6" x14ac:dyDescent="0.3">
      <c r="F98133" s="193"/>
    </row>
    <row r="98134" spans="6:6" x14ac:dyDescent="0.3">
      <c r="F98134" s="193"/>
    </row>
    <row r="98135" spans="6:6" x14ac:dyDescent="0.3">
      <c r="F98135" s="193"/>
    </row>
    <row r="98136" spans="6:6" x14ac:dyDescent="0.3">
      <c r="F98136" s="193"/>
    </row>
    <row r="98137" spans="6:6" x14ac:dyDescent="0.3">
      <c r="F98137" s="193"/>
    </row>
    <row r="98138" spans="6:6" x14ac:dyDescent="0.3">
      <c r="F98138" s="193"/>
    </row>
    <row r="98139" spans="6:6" x14ac:dyDescent="0.3">
      <c r="F98139" s="193"/>
    </row>
    <row r="98140" spans="6:6" x14ac:dyDescent="0.3">
      <c r="F98140" s="193"/>
    </row>
    <row r="98141" spans="6:6" x14ac:dyDescent="0.3">
      <c r="F98141" s="193"/>
    </row>
    <row r="98142" spans="6:6" x14ac:dyDescent="0.3">
      <c r="F98142" s="193"/>
    </row>
    <row r="98143" spans="6:6" x14ac:dyDescent="0.3">
      <c r="F98143" s="193"/>
    </row>
    <row r="98144" spans="6:6" x14ac:dyDescent="0.3">
      <c r="F98144" s="193"/>
    </row>
    <row r="98145" spans="6:6" x14ac:dyDescent="0.3">
      <c r="F98145" s="193"/>
    </row>
    <row r="98146" spans="6:6" x14ac:dyDescent="0.3">
      <c r="F98146" s="193"/>
    </row>
    <row r="98147" spans="6:6" x14ac:dyDescent="0.3">
      <c r="F98147" s="193"/>
    </row>
    <row r="98148" spans="6:6" x14ac:dyDescent="0.3">
      <c r="F98148" s="193"/>
    </row>
    <row r="98149" spans="6:6" x14ac:dyDescent="0.3">
      <c r="F98149" s="193"/>
    </row>
    <row r="98150" spans="6:6" x14ac:dyDescent="0.3">
      <c r="F98150" s="193"/>
    </row>
    <row r="98151" spans="6:6" x14ac:dyDescent="0.3">
      <c r="F98151" s="193"/>
    </row>
    <row r="98152" spans="6:6" x14ac:dyDescent="0.3">
      <c r="F98152" s="193"/>
    </row>
    <row r="98153" spans="6:6" x14ac:dyDescent="0.3">
      <c r="F98153" s="193"/>
    </row>
    <row r="98154" spans="6:6" x14ac:dyDescent="0.3">
      <c r="F98154" s="193"/>
    </row>
    <row r="98155" spans="6:6" x14ac:dyDescent="0.3">
      <c r="F98155" s="193"/>
    </row>
    <row r="98156" spans="6:6" x14ac:dyDescent="0.3">
      <c r="F98156" s="193"/>
    </row>
    <row r="98157" spans="6:6" x14ac:dyDescent="0.3">
      <c r="F98157" s="193"/>
    </row>
    <row r="98158" spans="6:6" x14ac:dyDescent="0.3">
      <c r="F98158" s="193"/>
    </row>
    <row r="98159" spans="6:6" x14ac:dyDescent="0.3">
      <c r="F98159" s="193"/>
    </row>
    <row r="98160" spans="6:6" x14ac:dyDescent="0.3">
      <c r="F98160" s="193"/>
    </row>
    <row r="98161" spans="6:6" x14ac:dyDescent="0.3">
      <c r="F98161" s="193"/>
    </row>
    <row r="98162" spans="6:6" x14ac:dyDescent="0.3">
      <c r="F98162" s="193"/>
    </row>
    <row r="98163" spans="6:6" x14ac:dyDescent="0.3">
      <c r="F98163" s="193"/>
    </row>
    <row r="98164" spans="6:6" x14ac:dyDescent="0.3">
      <c r="F98164" s="193"/>
    </row>
    <row r="98165" spans="6:6" x14ac:dyDescent="0.3">
      <c r="F98165" s="193"/>
    </row>
    <row r="98166" spans="6:6" x14ac:dyDescent="0.3">
      <c r="F98166" s="193"/>
    </row>
    <row r="98167" spans="6:6" x14ac:dyDescent="0.3">
      <c r="F98167" s="193"/>
    </row>
    <row r="98168" spans="6:6" x14ac:dyDescent="0.3">
      <c r="F98168" s="193"/>
    </row>
    <row r="98169" spans="6:6" x14ac:dyDescent="0.3">
      <c r="F98169" s="193"/>
    </row>
    <row r="98170" spans="6:6" x14ac:dyDescent="0.3">
      <c r="F98170" s="193"/>
    </row>
    <row r="98171" spans="6:6" x14ac:dyDescent="0.3">
      <c r="F98171" s="193"/>
    </row>
    <row r="98172" spans="6:6" x14ac:dyDescent="0.3">
      <c r="F98172" s="193"/>
    </row>
    <row r="98173" spans="6:6" x14ac:dyDescent="0.3">
      <c r="F98173" s="193"/>
    </row>
    <row r="98174" spans="6:6" x14ac:dyDescent="0.3">
      <c r="F98174" s="193"/>
    </row>
    <row r="98175" spans="6:6" x14ac:dyDescent="0.3">
      <c r="F98175" s="193"/>
    </row>
    <row r="98176" spans="6:6" x14ac:dyDescent="0.3">
      <c r="F98176" s="193"/>
    </row>
    <row r="98177" spans="6:6" x14ac:dyDescent="0.3">
      <c r="F98177" s="193"/>
    </row>
    <row r="98178" spans="6:6" x14ac:dyDescent="0.3">
      <c r="F98178" s="193"/>
    </row>
    <row r="98179" spans="6:6" x14ac:dyDescent="0.3">
      <c r="F98179" s="193"/>
    </row>
    <row r="98180" spans="6:6" x14ac:dyDescent="0.3">
      <c r="F98180" s="193"/>
    </row>
    <row r="98181" spans="6:6" x14ac:dyDescent="0.3">
      <c r="F98181" s="193"/>
    </row>
    <row r="98182" spans="6:6" x14ac:dyDescent="0.3">
      <c r="F98182" s="193"/>
    </row>
    <row r="98183" spans="6:6" x14ac:dyDescent="0.3">
      <c r="F98183" s="193"/>
    </row>
    <row r="98184" spans="6:6" x14ac:dyDescent="0.3">
      <c r="F98184" s="193"/>
    </row>
    <row r="98185" spans="6:6" x14ac:dyDescent="0.3">
      <c r="F98185" s="193"/>
    </row>
    <row r="98186" spans="6:6" x14ac:dyDescent="0.3">
      <c r="F98186" s="193"/>
    </row>
    <row r="98187" spans="6:6" x14ac:dyDescent="0.3">
      <c r="F98187" s="193"/>
    </row>
    <row r="98188" spans="6:6" x14ac:dyDescent="0.3">
      <c r="F98188" s="193"/>
    </row>
    <row r="98189" spans="6:6" x14ac:dyDescent="0.3">
      <c r="F98189" s="193"/>
    </row>
    <row r="98190" spans="6:6" x14ac:dyDescent="0.3">
      <c r="F98190" s="193"/>
    </row>
    <row r="98191" spans="6:6" x14ac:dyDescent="0.3">
      <c r="F98191" s="193"/>
    </row>
    <row r="98192" spans="6:6" x14ac:dyDescent="0.3">
      <c r="F98192" s="193"/>
    </row>
    <row r="98193" spans="6:6" x14ac:dyDescent="0.3">
      <c r="F98193" s="193"/>
    </row>
    <row r="98194" spans="6:6" x14ac:dyDescent="0.3">
      <c r="F98194" s="193"/>
    </row>
    <row r="98195" spans="6:6" x14ac:dyDescent="0.3">
      <c r="F98195" s="193"/>
    </row>
    <row r="98196" spans="6:6" x14ac:dyDescent="0.3">
      <c r="F98196" s="193"/>
    </row>
    <row r="98197" spans="6:6" x14ac:dyDescent="0.3">
      <c r="F98197" s="193"/>
    </row>
    <row r="98198" spans="6:6" x14ac:dyDescent="0.3">
      <c r="F98198" s="193"/>
    </row>
    <row r="98199" spans="6:6" x14ac:dyDescent="0.3">
      <c r="F98199" s="193"/>
    </row>
    <row r="98200" spans="6:6" x14ac:dyDescent="0.3">
      <c r="F98200" s="193"/>
    </row>
    <row r="98201" spans="6:6" x14ac:dyDescent="0.3">
      <c r="F98201" s="193"/>
    </row>
    <row r="98202" spans="6:6" x14ac:dyDescent="0.3">
      <c r="F98202" s="193"/>
    </row>
    <row r="98203" spans="6:6" x14ac:dyDescent="0.3">
      <c r="F98203" s="193"/>
    </row>
    <row r="98204" spans="6:6" x14ac:dyDescent="0.3">
      <c r="F98204" s="193"/>
    </row>
    <row r="98205" spans="6:6" x14ac:dyDescent="0.3">
      <c r="F98205" s="193"/>
    </row>
    <row r="98206" spans="6:6" x14ac:dyDescent="0.3">
      <c r="F98206" s="193"/>
    </row>
    <row r="98207" spans="6:6" x14ac:dyDescent="0.3">
      <c r="F98207" s="193"/>
    </row>
    <row r="98208" spans="6:6" x14ac:dyDescent="0.3">
      <c r="F98208" s="193"/>
    </row>
    <row r="98209" spans="6:6" x14ac:dyDescent="0.3">
      <c r="F98209" s="193"/>
    </row>
    <row r="98210" spans="6:6" x14ac:dyDescent="0.3">
      <c r="F98210" s="193"/>
    </row>
    <row r="98211" spans="6:6" x14ac:dyDescent="0.3">
      <c r="F98211" s="193"/>
    </row>
    <row r="98212" spans="6:6" x14ac:dyDescent="0.3">
      <c r="F98212" s="193"/>
    </row>
    <row r="98213" spans="6:6" x14ac:dyDescent="0.3">
      <c r="F98213" s="193"/>
    </row>
    <row r="98214" spans="6:6" x14ac:dyDescent="0.3">
      <c r="F98214" s="193"/>
    </row>
    <row r="98215" spans="6:6" x14ac:dyDescent="0.3">
      <c r="F98215" s="193"/>
    </row>
    <row r="98216" spans="6:6" x14ac:dyDescent="0.3">
      <c r="F98216" s="193"/>
    </row>
    <row r="98217" spans="6:6" x14ac:dyDescent="0.3">
      <c r="F98217" s="193"/>
    </row>
    <row r="98218" spans="6:6" x14ac:dyDescent="0.3">
      <c r="F98218" s="193"/>
    </row>
    <row r="98219" spans="6:6" x14ac:dyDescent="0.3">
      <c r="F98219" s="193"/>
    </row>
    <row r="98220" spans="6:6" x14ac:dyDescent="0.3">
      <c r="F98220" s="193"/>
    </row>
    <row r="98221" spans="6:6" x14ac:dyDescent="0.3">
      <c r="F98221" s="193"/>
    </row>
    <row r="98222" spans="6:6" x14ac:dyDescent="0.3">
      <c r="F98222" s="193"/>
    </row>
    <row r="98223" spans="6:6" x14ac:dyDescent="0.3">
      <c r="F98223" s="193"/>
    </row>
    <row r="98224" spans="6:6" x14ac:dyDescent="0.3">
      <c r="F98224" s="193"/>
    </row>
    <row r="98225" spans="6:6" x14ac:dyDescent="0.3">
      <c r="F98225" s="193"/>
    </row>
    <row r="98226" spans="6:6" x14ac:dyDescent="0.3">
      <c r="F98226" s="193"/>
    </row>
    <row r="98227" spans="6:6" x14ac:dyDescent="0.3">
      <c r="F98227" s="193"/>
    </row>
    <row r="98228" spans="6:6" x14ac:dyDescent="0.3">
      <c r="F98228" s="193"/>
    </row>
    <row r="98229" spans="6:6" x14ac:dyDescent="0.3">
      <c r="F98229" s="193"/>
    </row>
    <row r="98230" spans="6:6" x14ac:dyDescent="0.3">
      <c r="F98230" s="193"/>
    </row>
    <row r="98231" spans="6:6" x14ac:dyDescent="0.3">
      <c r="F98231" s="193"/>
    </row>
    <row r="98232" spans="6:6" x14ac:dyDescent="0.3">
      <c r="F98232" s="193"/>
    </row>
    <row r="98233" spans="6:6" x14ac:dyDescent="0.3">
      <c r="F98233" s="193"/>
    </row>
    <row r="98234" spans="6:6" x14ac:dyDescent="0.3">
      <c r="F98234" s="193"/>
    </row>
    <row r="98235" spans="6:6" x14ac:dyDescent="0.3">
      <c r="F98235" s="193"/>
    </row>
    <row r="98236" spans="6:6" x14ac:dyDescent="0.3">
      <c r="F98236" s="193"/>
    </row>
    <row r="98237" spans="6:6" x14ac:dyDescent="0.3">
      <c r="F98237" s="193"/>
    </row>
    <row r="98238" spans="6:6" x14ac:dyDescent="0.3">
      <c r="F98238" s="193"/>
    </row>
    <row r="98239" spans="6:6" x14ac:dyDescent="0.3">
      <c r="F98239" s="193"/>
    </row>
    <row r="98240" spans="6:6" x14ac:dyDescent="0.3">
      <c r="F98240" s="193"/>
    </row>
    <row r="98241" spans="6:6" x14ac:dyDescent="0.3">
      <c r="F98241" s="193"/>
    </row>
    <row r="98242" spans="6:6" x14ac:dyDescent="0.3">
      <c r="F98242" s="193"/>
    </row>
    <row r="98243" spans="6:6" x14ac:dyDescent="0.3">
      <c r="F98243" s="193"/>
    </row>
    <row r="98244" spans="6:6" x14ac:dyDescent="0.3">
      <c r="F98244" s="193"/>
    </row>
    <row r="98245" spans="6:6" x14ac:dyDescent="0.3">
      <c r="F98245" s="193"/>
    </row>
    <row r="98246" spans="6:6" x14ac:dyDescent="0.3">
      <c r="F98246" s="193"/>
    </row>
    <row r="98247" spans="6:6" x14ac:dyDescent="0.3">
      <c r="F98247" s="193"/>
    </row>
    <row r="98248" spans="6:6" x14ac:dyDescent="0.3">
      <c r="F98248" s="193"/>
    </row>
    <row r="98249" spans="6:6" x14ac:dyDescent="0.3">
      <c r="F98249" s="193"/>
    </row>
    <row r="98250" spans="6:6" x14ac:dyDescent="0.3">
      <c r="F98250" s="193"/>
    </row>
    <row r="98251" spans="6:6" x14ac:dyDescent="0.3">
      <c r="F98251" s="193"/>
    </row>
    <row r="98252" spans="6:6" x14ac:dyDescent="0.3">
      <c r="F98252" s="193"/>
    </row>
    <row r="98253" spans="6:6" x14ac:dyDescent="0.3">
      <c r="F98253" s="193"/>
    </row>
    <row r="98254" spans="6:6" x14ac:dyDescent="0.3">
      <c r="F98254" s="193"/>
    </row>
    <row r="98255" spans="6:6" x14ac:dyDescent="0.3">
      <c r="F98255" s="193"/>
    </row>
    <row r="98256" spans="6:6" x14ac:dyDescent="0.3">
      <c r="F98256" s="193"/>
    </row>
    <row r="98257" spans="6:6" x14ac:dyDescent="0.3">
      <c r="F98257" s="193"/>
    </row>
    <row r="98258" spans="6:6" x14ac:dyDescent="0.3">
      <c r="F98258" s="193"/>
    </row>
    <row r="98259" spans="6:6" x14ac:dyDescent="0.3">
      <c r="F98259" s="193"/>
    </row>
    <row r="98260" spans="6:6" x14ac:dyDescent="0.3">
      <c r="F98260" s="193"/>
    </row>
    <row r="98261" spans="6:6" x14ac:dyDescent="0.3">
      <c r="F98261" s="193"/>
    </row>
    <row r="98262" spans="6:6" x14ac:dyDescent="0.3">
      <c r="F98262" s="193"/>
    </row>
    <row r="98263" spans="6:6" x14ac:dyDescent="0.3">
      <c r="F98263" s="193"/>
    </row>
    <row r="98264" spans="6:6" x14ac:dyDescent="0.3">
      <c r="F98264" s="193"/>
    </row>
    <row r="98265" spans="6:6" x14ac:dyDescent="0.3">
      <c r="F98265" s="193"/>
    </row>
    <row r="98266" spans="6:6" x14ac:dyDescent="0.3">
      <c r="F98266" s="193"/>
    </row>
    <row r="98267" spans="6:6" x14ac:dyDescent="0.3">
      <c r="F98267" s="193"/>
    </row>
    <row r="98268" spans="6:6" x14ac:dyDescent="0.3">
      <c r="F98268" s="193"/>
    </row>
    <row r="98269" spans="6:6" x14ac:dyDescent="0.3">
      <c r="F98269" s="193"/>
    </row>
    <row r="98270" spans="6:6" x14ac:dyDescent="0.3">
      <c r="F98270" s="193"/>
    </row>
    <row r="98271" spans="6:6" x14ac:dyDescent="0.3">
      <c r="F98271" s="193"/>
    </row>
    <row r="98272" spans="6:6" x14ac:dyDescent="0.3">
      <c r="F98272" s="193"/>
    </row>
    <row r="98273" spans="6:6" x14ac:dyDescent="0.3">
      <c r="F98273" s="193"/>
    </row>
    <row r="98274" spans="6:6" x14ac:dyDescent="0.3">
      <c r="F98274" s="193"/>
    </row>
    <row r="98275" spans="6:6" x14ac:dyDescent="0.3">
      <c r="F98275" s="193"/>
    </row>
    <row r="98276" spans="6:6" x14ac:dyDescent="0.3">
      <c r="F98276" s="193"/>
    </row>
    <row r="98277" spans="6:6" x14ac:dyDescent="0.3">
      <c r="F98277" s="193"/>
    </row>
    <row r="98278" spans="6:6" x14ac:dyDescent="0.3">
      <c r="F98278" s="193"/>
    </row>
    <row r="98279" spans="6:6" x14ac:dyDescent="0.3">
      <c r="F98279" s="193"/>
    </row>
    <row r="98280" spans="6:6" x14ac:dyDescent="0.3">
      <c r="F98280" s="193"/>
    </row>
    <row r="98281" spans="6:6" x14ac:dyDescent="0.3">
      <c r="F98281" s="193"/>
    </row>
    <row r="98282" spans="6:6" x14ac:dyDescent="0.3">
      <c r="F98282" s="193"/>
    </row>
    <row r="98283" spans="6:6" x14ac:dyDescent="0.3">
      <c r="F98283" s="193"/>
    </row>
    <row r="98284" spans="6:6" x14ac:dyDescent="0.3">
      <c r="F98284" s="193"/>
    </row>
    <row r="98285" spans="6:6" x14ac:dyDescent="0.3">
      <c r="F98285" s="193"/>
    </row>
    <row r="98286" spans="6:6" x14ac:dyDescent="0.3">
      <c r="F98286" s="193"/>
    </row>
    <row r="98287" spans="6:6" x14ac:dyDescent="0.3">
      <c r="F98287" s="193"/>
    </row>
    <row r="98288" spans="6:6" x14ac:dyDescent="0.3">
      <c r="F98288" s="193"/>
    </row>
    <row r="98289" spans="6:6" x14ac:dyDescent="0.3">
      <c r="F98289" s="193"/>
    </row>
    <row r="98290" spans="6:6" x14ac:dyDescent="0.3">
      <c r="F98290" s="193"/>
    </row>
    <row r="98291" spans="6:6" x14ac:dyDescent="0.3">
      <c r="F98291" s="193"/>
    </row>
    <row r="98292" spans="6:6" x14ac:dyDescent="0.3">
      <c r="F98292" s="193"/>
    </row>
    <row r="98293" spans="6:6" x14ac:dyDescent="0.3">
      <c r="F98293" s="193"/>
    </row>
    <row r="98294" spans="6:6" x14ac:dyDescent="0.3">
      <c r="F98294" s="193"/>
    </row>
    <row r="98295" spans="6:6" x14ac:dyDescent="0.3">
      <c r="F98295" s="193"/>
    </row>
    <row r="98296" spans="6:6" x14ac:dyDescent="0.3">
      <c r="F98296" s="193"/>
    </row>
    <row r="98297" spans="6:6" x14ac:dyDescent="0.3">
      <c r="F98297" s="193"/>
    </row>
    <row r="98298" spans="6:6" x14ac:dyDescent="0.3">
      <c r="F98298" s="193"/>
    </row>
    <row r="98299" spans="6:6" x14ac:dyDescent="0.3">
      <c r="F98299" s="193"/>
    </row>
    <row r="98300" spans="6:6" x14ac:dyDescent="0.3">
      <c r="F98300" s="193"/>
    </row>
    <row r="98301" spans="6:6" x14ac:dyDescent="0.3">
      <c r="F98301" s="193"/>
    </row>
    <row r="98302" spans="6:6" x14ac:dyDescent="0.3">
      <c r="F98302" s="193"/>
    </row>
    <row r="98303" spans="6:6" x14ac:dyDescent="0.3">
      <c r="F98303" s="193"/>
    </row>
    <row r="98304" spans="6:6" x14ac:dyDescent="0.3">
      <c r="F98304" s="193"/>
    </row>
    <row r="98305" spans="6:6" x14ac:dyDescent="0.3">
      <c r="F98305" s="193"/>
    </row>
    <row r="98306" spans="6:6" x14ac:dyDescent="0.3">
      <c r="F98306" s="193"/>
    </row>
    <row r="98307" spans="6:6" x14ac:dyDescent="0.3">
      <c r="F98307" s="193"/>
    </row>
    <row r="98308" spans="6:6" x14ac:dyDescent="0.3">
      <c r="F98308" s="193"/>
    </row>
    <row r="98309" spans="6:6" x14ac:dyDescent="0.3">
      <c r="F98309" s="193"/>
    </row>
    <row r="98310" spans="6:6" x14ac:dyDescent="0.3">
      <c r="F98310" s="193"/>
    </row>
    <row r="98311" spans="6:6" x14ac:dyDescent="0.3">
      <c r="F98311" s="193"/>
    </row>
    <row r="98312" spans="6:6" x14ac:dyDescent="0.3">
      <c r="F98312" s="193"/>
    </row>
    <row r="98313" spans="6:6" x14ac:dyDescent="0.3">
      <c r="F98313" s="193"/>
    </row>
    <row r="98314" spans="6:6" x14ac:dyDescent="0.3">
      <c r="F98314" s="193"/>
    </row>
    <row r="98315" spans="6:6" x14ac:dyDescent="0.3">
      <c r="F98315" s="193"/>
    </row>
    <row r="98316" spans="6:6" x14ac:dyDescent="0.3">
      <c r="F98316" s="193"/>
    </row>
    <row r="98317" spans="6:6" x14ac:dyDescent="0.3">
      <c r="F98317" s="193"/>
    </row>
    <row r="98318" spans="6:6" x14ac:dyDescent="0.3">
      <c r="F98318" s="193"/>
    </row>
    <row r="98319" spans="6:6" x14ac:dyDescent="0.3">
      <c r="F98319" s="193"/>
    </row>
    <row r="98320" spans="6:6" x14ac:dyDescent="0.3">
      <c r="F98320" s="193"/>
    </row>
    <row r="98321" spans="6:6" x14ac:dyDescent="0.3">
      <c r="F98321" s="193"/>
    </row>
    <row r="98322" spans="6:6" x14ac:dyDescent="0.3">
      <c r="F98322" s="193"/>
    </row>
    <row r="98323" spans="6:6" x14ac:dyDescent="0.3">
      <c r="F98323" s="193"/>
    </row>
    <row r="98324" spans="6:6" x14ac:dyDescent="0.3">
      <c r="F98324" s="193"/>
    </row>
    <row r="98325" spans="6:6" x14ac:dyDescent="0.3">
      <c r="F98325" s="193"/>
    </row>
    <row r="98326" spans="6:6" x14ac:dyDescent="0.3">
      <c r="F98326" s="193"/>
    </row>
    <row r="98327" spans="6:6" x14ac:dyDescent="0.3">
      <c r="F98327" s="193"/>
    </row>
    <row r="98328" spans="6:6" x14ac:dyDescent="0.3">
      <c r="F98328" s="193"/>
    </row>
    <row r="98329" spans="6:6" x14ac:dyDescent="0.3">
      <c r="F98329" s="193"/>
    </row>
    <row r="98330" spans="6:6" x14ac:dyDescent="0.3">
      <c r="F98330" s="193"/>
    </row>
    <row r="98331" spans="6:6" x14ac:dyDescent="0.3">
      <c r="F98331" s="193"/>
    </row>
    <row r="98332" spans="6:6" x14ac:dyDescent="0.3">
      <c r="F98332" s="193"/>
    </row>
    <row r="98333" spans="6:6" x14ac:dyDescent="0.3">
      <c r="F98333" s="193"/>
    </row>
    <row r="98334" spans="6:6" x14ac:dyDescent="0.3">
      <c r="F98334" s="193"/>
    </row>
    <row r="98335" spans="6:6" x14ac:dyDescent="0.3">
      <c r="F98335" s="193"/>
    </row>
    <row r="98336" spans="6:6" x14ac:dyDescent="0.3">
      <c r="F98336" s="193"/>
    </row>
    <row r="98337" spans="6:6" x14ac:dyDescent="0.3">
      <c r="F98337" s="193"/>
    </row>
    <row r="98338" spans="6:6" x14ac:dyDescent="0.3">
      <c r="F98338" s="193"/>
    </row>
    <row r="98339" spans="6:6" x14ac:dyDescent="0.3">
      <c r="F98339" s="193"/>
    </row>
    <row r="98340" spans="6:6" x14ac:dyDescent="0.3">
      <c r="F98340" s="193"/>
    </row>
    <row r="98341" spans="6:6" x14ac:dyDescent="0.3">
      <c r="F98341" s="193"/>
    </row>
    <row r="98342" spans="6:6" x14ac:dyDescent="0.3">
      <c r="F98342" s="193"/>
    </row>
    <row r="98343" spans="6:6" x14ac:dyDescent="0.3">
      <c r="F98343" s="193"/>
    </row>
    <row r="98344" spans="6:6" x14ac:dyDescent="0.3">
      <c r="F98344" s="193"/>
    </row>
    <row r="98345" spans="6:6" x14ac:dyDescent="0.3">
      <c r="F98345" s="193"/>
    </row>
    <row r="98346" spans="6:6" x14ac:dyDescent="0.3">
      <c r="F98346" s="193"/>
    </row>
    <row r="98347" spans="6:6" x14ac:dyDescent="0.3">
      <c r="F98347" s="193"/>
    </row>
    <row r="98348" spans="6:6" x14ac:dyDescent="0.3">
      <c r="F98348" s="193"/>
    </row>
    <row r="98349" spans="6:6" x14ac:dyDescent="0.3">
      <c r="F98349" s="193"/>
    </row>
    <row r="98350" spans="6:6" x14ac:dyDescent="0.3">
      <c r="F98350" s="193"/>
    </row>
    <row r="98351" spans="6:6" x14ac:dyDescent="0.3">
      <c r="F98351" s="193"/>
    </row>
    <row r="98352" spans="6:6" x14ac:dyDescent="0.3">
      <c r="F98352" s="193"/>
    </row>
    <row r="98353" spans="6:6" x14ac:dyDescent="0.3">
      <c r="F98353" s="193"/>
    </row>
    <row r="98354" spans="6:6" x14ac:dyDescent="0.3">
      <c r="F98354" s="193"/>
    </row>
    <row r="98355" spans="6:6" x14ac:dyDescent="0.3">
      <c r="F98355" s="193"/>
    </row>
    <row r="98356" spans="6:6" x14ac:dyDescent="0.3">
      <c r="F98356" s="193"/>
    </row>
    <row r="98357" spans="6:6" x14ac:dyDescent="0.3">
      <c r="F98357" s="193"/>
    </row>
    <row r="98358" spans="6:6" x14ac:dyDescent="0.3">
      <c r="F98358" s="193"/>
    </row>
    <row r="98359" spans="6:6" x14ac:dyDescent="0.3">
      <c r="F98359" s="193"/>
    </row>
    <row r="98360" spans="6:6" x14ac:dyDescent="0.3">
      <c r="F98360" s="193"/>
    </row>
    <row r="98361" spans="6:6" x14ac:dyDescent="0.3">
      <c r="F98361" s="193"/>
    </row>
    <row r="98362" spans="6:6" x14ac:dyDescent="0.3">
      <c r="F98362" s="193"/>
    </row>
    <row r="98363" spans="6:6" x14ac:dyDescent="0.3">
      <c r="F98363" s="193"/>
    </row>
    <row r="98364" spans="6:6" x14ac:dyDescent="0.3">
      <c r="F98364" s="193"/>
    </row>
    <row r="98365" spans="6:6" x14ac:dyDescent="0.3">
      <c r="F98365" s="193"/>
    </row>
    <row r="98366" spans="6:6" x14ac:dyDescent="0.3">
      <c r="F98366" s="193"/>
    </row>
    <row r="98367" spans="6:6" x14ac:dyDescent="0.3">
      <c r="F98367" s="193"/>
    </row>
    <row r="98368" spans="6:6" x14ac:dyDescent="0.3">
      <c r="F98368" s="193"/>
    </row>
    <row r="98369" spans="6:6" x14ac:dyDescent="0.3">
      <c r="F98369" s="193"/>
    </row>
    <row r="98370" spans="6:6" x14ac:dyDescent="0.3">
      <c r="F98370" s="193"/>
    </row>
    <row r="98371" spans="6:6" x14ac:dyDescent="0.3">
      <c r="F98371" s="193"/>
    </row>
    <row r="98372" spans="6:6" x14ac:dyDescent="0.3">
      <c r="F98372" s="193"/>
    </row>
    <row r="98373" spans="6:6" x14ac:dyDescent="0.3">
      <c r="F98373" s="193"/>
    </row>
    <row r="98374" spans="6:6" x14ac:dyDescent="0.3">
      <c r="F98374" s="193"/>
    </row>
    <row r="98375" spans="6:6" x14ac:dyDescent="0.3">
      <c r="F98375" s="193"/>
    </row>
    <row r="98376" spans="6:6" x14ac:dyDescent="0.3">
      <c r="F98376" s="193"/>
    </row>
    <row r="98377" spans="6:6" x14ac:dyDescent="0.3">
      <c r="F98377" s="193"/>
    </row>
    <row r="98378" spans="6:6" x14ac:dyDescent="0.3">
      <c r="F98378" s="193"/>
    </row>
    <row r="98379" spans="6:6" x14ac:dyDescent="0.3">
      <c r="F98379" s="193"/>
    </row>
    <row r="98380" spans="6:6" x14ac:dyDescent="0.3">
      <c r="F98380" s="193"/>
    </row>
    <row r="98381" spans="6:6" x14ac:dyDescent="0.3">
      <c r="F98381" s="193"/>
    </row>
    <row r="98382" spans="6:6" x14ac:dyDescent="0.3">
      <c r="F98382" s="193"/>
    </row>
    <row r="98383" spans="6:6" x14ac:dyDescent="0.3">
      <c r="F98383" s="193"/>
    </row>
    <row r="98384" spans="6:6" x14ac:dyDescent="0.3">
      <c r="F98384" s="193"/>
    </row>
    <row r="98385" spans="6:6" x14ac:dyDescent="0.3">
      <c r="F98385" s="193"/>
    </row>
    <row r="98386" spans="6:6" x14ac:dyDescent="0.3">
      <c r="F98386" s="193"/>
    </row>
    <row r="98387" spans="6:6" x14ac:dyDescent="0.3">
      <c r="F98387" s="193"/>
    </row>
    <row r="98388" spans="6:6" x14ac:dyDescent="0.3">
      <c r="F98388" s="193"/>
    </row>
    <row r="98389" spans="6:6" x14ac:dyDescent="0.3">
      <c r="F98389" s="193"/>
    </row>
    <row r="98390" spans="6:6" x14ac:dyDescent="0.3">
      <c r="F98390" s="193"/>
    </row>
    <row r="98391" spans="6:6" x14ac:dyDescent="0.3">
      <c r="F98391" s="193"/>
    </row>
    <row r="98392" spans="6:6" x14ac:dyDescent="0.3">
      <c r="F98392" s="193"/>
    </row>
    <row r="98393" spans="6:6" x14ac:dyDescent="0.3">
      <c r="F98393" s="193"/>
    </row>
    <row r="98394" spans="6:6" x14ac:dyDescent="0.3">
      <c r="F98394" s="193"/>
    </row>
    <row r="98395" spans="6:6" x14ac:dyDescent="0.3">
      <c r="F98395" s="193"/>
    </row>
    <row r="98396" spans="6:6" x14ac:dyDescent="0.3">
      <c r="F98396" s="193"/>
    </row>
    <row r="98397" spans="6:6" x14ac:dyDescent="0.3">
      <c r="F98397" s="193"/>
    </row>
    <row r="98398" spans="6:6" x14ac:dyDescent="0.3">
      <c r="F98398" s="193"/>
    </row>
    <row r="98399" spans="6:6" x14ac:dyDescent="0.3">
      <c r="F98399" s="193"/>
    </row>
    <row r="98400" spans="6:6" x14ac:dyDescent="0.3">
      <c r="F98400" s="193"/>
    </row>
    <row r="98401" spans="6:6" x14ac:dyDescent="0.3">
      <c r="F98401" s="193"/>
    </row>
    <row r="98402" spans="6:6" x14ac:dyDescent="0.3">
      <c r="F98402" s="193"/>
    </row>
    <row r="98403" spans="6:6" x14ac:dyDescent="0.3">
      <c r="F98403" s="193"/>
    </row>
    <row r="98404" spans="6:6" x14ac:dyDescent="0.3">
      <c r="F98404" s="193"/>
    </row>
    <row r="98405" spans="6:6" x14ac:dyDescent="0.3">
      <c r="F98405" s="193"/>
    </row>
    <row r="98406" spans="6:6" x14ac:dyDescent="0.3">
      <c r="F98406" s="193"/>
    </row>
    <row r="98407" spans="6:6" x14ac:dyDescent="0.3">
      <c r="F98407" s="193"/>
    </row>
    <row r="98408" spans="6:6" x14ac:dyDescent="0.3">
      <c r="F98408" s="193"/>
    </row>
    <row r="98409" spans="6:6" x14ac:dyDescent="0.3">
      <c r="F98409" s="193"/>
    </row>
    <row r="98410" spans="6:6" x14ac:dyDescent="0.3">
      <c r="F98410" s="193"/>
    </row>
    <row r="98411" spans="6:6" x14ac:dyDescent="0.3">
      <c r="F98411" s="193"/>
    </row>
    <row r="98412" spans="6:6" x14ac:dyDescent="0.3">
      <c r="F98412" s="193"/>
    </row>
    <row r="98413" spans="6:6" x14ac:dyDescent="0.3">
      <c r="F98413" s="193"/>
    </row>
    <row r="98414" spans="6:6" x14ac:dyDescent="0.3">
      <c r="F98414" s="193"/>
    </row>
    <row r="98415" spans="6:6" x14ac:dyDescent="0.3">
      <c r="F98415" s="193"/>
    </row>
    <row r="98416" spans="6:6" x14ac:dyDescent="0.3">
      <c r="F98416" s="193"/>
    </row>
    <row r="98417" spans="6:6" x14ac:dyDescent="0.3">
      <c r="F98417" s="193"/>
    </row>
    <row r="98418" spans="6:6" x14ac:dyDescent="0.3">
      <c r="F98418" s="193"/>
    </row>
    <row r="98419" spans="6:6" x14ac:dyDescent="0.3">
      <c r="F98419" s="193"/>
    </row>
    <row r="98420" spans="6:6" x14ac:dyDescent="0.3">
      <c r="F98420" s="193"/>
    </row>
    <row r="98421" spans="6:6" x14ac:dyDescent="0.3">
      <c r="F98421" s="193"/>
    </row>
    <row r="98422" spans="6:6" x14ac:dyDescent="0.3">
      <c r="F98422" s="193"/>
    </row>
    <row r="98423" spans="6:6" x14ac:dyDescent="0.3">
      <c r="F98423" s="193"/>
    </row>
    <row r="98424" spans="6:6" x14ac:dyDescent="0.3">
      <c r="F98424" s="193"/>
    </row>
    <row r="98425" spans="6:6" x14ac:dyDescent="0.3">
      <c r="F98425" s="193"/>
    </row>
    <row r="98426" spans="6:6" x14ac:dyDescent="0.3">
      <c r="F98426" s="193"/>
    </row>
    <row r="98427" spans="6:6" x14ac:dyDescent="0.3">
      <c r="F98427" s="193"/>
    </row>
    <row r="98428" spans="6:6" x14ac:dyDescent="0.3">
      <c r="F98428" s="193"/>
    </row>
    <row r="98429" spans="6:6" x14ac:dyDescent="0.3">
      <c r="F98429" s="193"/>
    </row>
    <row r="98430" spans="6:6" x14ac:dyDescent="0.3">
      <c r="F98430" s="193"/>
    </row>
    <row r="98431" spans="6:6" x14ac:dyDescent="0.3">
      <c r="F98431" s="193"/>
    </row>
    <row r="98432" spans="6:6" x14ac:dyDescent="0.3">
      <c r="F98432" s="193"/>
    </row>
    <row r="98433" spans="6:6" x14ac:dyDescent="0.3">
      <c r="F98433" s="193"/>
    </row>
    <row r="98434" spans="6:6" x14ac:dyDescent="0.3">
      <c r="F98434" s="193"/>
    </row>
    <row r="98435" spans="6:6" x14ac:dyDescent="0.3">
      <c r="F98435" s="193"/>
    </row>
    <row r="98436" spans="6:6" x14ac:dyDescent="0.3">
      <c r="F98436" s="193"/>
    </row>
    <row r="98437" spans="6:6" x14ac:dyDescent="0.3">
      <c r="F98437" s="193"/>
    </row>
    <row r="98438" spans="6:6" x14ac:dyDescent="0.3">
      <c r="F98438" s="193"/>
    </row>
    <row r="98439" spans="6:6" x14ac:dyDescent="0.3">
      <c r="F98439" s="193"/>
    </row>
    <row r="98440" spans="6:6" x14ac:dyDescent="0.3">
      <c r="F98440" s="193"/>
    </row>
    <row r="98441" spans="6:6" x14ac:dyDescent="0.3">
      <c r="F98441" s="193"/>
    </row>
    <row r="98442" spans="6:6" x14ac:dyDescent="0.3">
      <c r="F98442" s="193"/>
    </row>
    <row r="98443" spans="6:6" x14ac:dyDescent="0.3">
      <c r="F98443" s="193"/>
    </row>
    <row r="98444" spans="6:6" x14ac:dyDescent="0.3">
      <c r="F98444" s="193"/>
    </row>
    <row r="98445" spans="6:6" x14ac:dyDescent="0.3">
      <c r="F98445" s="193"/>
    </row>
    <row r="98446" spans="6:6" x14ac:dyDescent="0.3">
      <c r="F98446" s="193"/>
    </row>
    <row r="98447" spans="6:6" x14ac:dyDescent="0.3">
      <c r="F98447" s="193"/>
    </row>
    <row r="98448" spans="6:6" x14ac:dyDescent="0.3">
      <c r="F98448" s="193"/>
    </row>
    <row r="98449" spans="6:6" x14ac:dyDescent="0.3">
      <c r="F98449" s="193"/>
    </row>
    <row r="98450" spans="6:6" x14ac:dyDescent="0.3">
      <c r="F98450" s="193"/>
    </row>
    <row r="98451" spans="6:6" x14ac:dyDescent="0.3">
      <c r="F98451" s="193"/>
    </row>
    <row r="98452" spans="6:6" x14ac:dyDescent="0.3">
      <c r="F98452" s="193"/>
    </row>
    <row r="98453" spans="6:6" x14ac:dyDescent="0.3">
      <c r="F98453" s="193"/>
    </row>
    <row r="98454" spans="6:6" x14ac:dyDescent="0.3">
      <c r="F98454" s="193"/>
    </row>
    <row r="98455" spans="6:6" x14ac:dyDescent="0.3">
      <c r="F98455" s="193"/>
    </row>
    <row r="98456" spans="6:6" x14ac:dyDescent="0.3">
      <c r="F98456" s="193"/>
    </row>
    <row r="98457" spans="6:6" x14ac:dyDescent="0.3">
      <c r="F98457" s="193"/>
    </row>
    <row r="98458" spans="6:6" x14ac:dyDescent="0.3">
      <c r="F98458" s="193"/>
    </row>
    <row r="98459" spans="6:6" x14ac:dyDescent="0.3">
      <c r="F98459" s="193"/>
    </row>
    <row r="98460" spans="6:6" x14ac:dyDescent="0.3">
      <c r="F98460" s="193"/>
    </row>
    <row r="98461" spans="6:6" x14ac:dyDescent="0.3">
      <c r="F98461" s="193"/>
    </row>
    <row r="98462" spans="6:6" x14ac:dyDescent="0.3">
      <c r="F98462" s="193"/>
    </row>
    <row r="98463" spans="6:6" x14ac:dyDescent="0.3">
      <c r="F98463" s="193"/>
    </row>
    <row r="98464" spans="6:6" x14ac:dyDescent="0.3">
      <c r="F98464" s="193"/>
    </row>
    <row r="98465" spans="6:6" x14ac:dyDescent="0.3">
      <c r="F98465" s="193"/>
    </row>
    <row r="98466" spans="6:6" x14ac:dyDescent="0.3">
      <c r="F98466" s="193"/>
    </row>
    <row r="98467" spans="6:6" x14ac:dyDescent="0.3">
      <c r="F98467" s="193"/>
    </row>
    <row r="98468" spans="6:6" x14ac:dyDescent="0.3">
      <c r="F98468" s="193"/>
    </row>
    <row r="98469" spans="6:6" x14ac:dyDescent="0.3">
      <c r="F98469" s="193"/>
    </row>
    <row r="98470" spans="6:6" x14ac:dyDescent="0.3">
      <c r="F98470" s="193"/>
    </row>
    <row r="98471" spans="6:6" x14ac:dyDescent="0.3">
      <c r="F98471" s="193"/>
    </row>
    <row r="98472" spans="6:6" x14ac:dyDescent="0.3">
      <c r="F98472" s="193"/>
    </row>
    <row r="98473" spans="6:6" x14ac:dyDescent="0.3">
      <c r="F98473" s="193"/>
    </row>
    <row r="98474" spans="6:6" x14ac:dyDescent="0.3">
      <c r="F98474" s="193"/>
    </row>
    <row r="98475" spans="6:6" x14ac:dyDescent="0.3">
      <c r="F98475" s="193"/>
    </row>
    <row r="98476" spans="6:6" x14ac:dyDescent="0.3">
      <c r="F98476" s="193"/>
    </row>
    <row r="98477" spans="6:6" x14ac:dyDescent="0.3">
      <c r="F98477" s="193"/>
    </row>
    <row r="98478" spans="6:6" x14ac:dyDescent="0.3">
      <c r="F98478" s="193"/>
    </row>
    <row r="98479" spans="6:6" x14ac:dyDescent="0.3">
      <c r="F98479" s="193"/>
    </row>
    <row r="98480" spans="6:6" x14ac:dyDescent="0.3">
      <c r="F98480" s="193"/>
    </row>
    <row r="98481" spans="6:6" x14ac:dyDescent="0.3">
      <c r="F98481" s="193"/>
    </row>
    <row r="98482" spans="6:6" x14ac:dyDescent="0.3">
      <c r="F98482" s="193"/>
    </row>
    <row r="98483" spans="6:6" x14ac:dyDescent="0.3">
      <c r="F98483" s="193"/>
    </row>
    <row r="98484" spans="6:6" x14ac:dyDescent="0.3">
      <c r="F98484" s="193"/>
    </row>
    <row r="98485" spans="6:6" x14ac:dyDescent="0.3">
      <c r="F98485" s="193"/>
    </row>
    <row r="98486" spans="6:6" x14ac:dyDescent="0.3">
      <c r="F98486" s="193"/>
    </row>
    <row r="98487" spans="6:6" x14ac:dyDescent="0.3">
      <c r="F98487" s="193"/>
    </row>
    <row r="98488" spans="6:6" x14ac:dyDescent="0.3">
      <c r="F98488" s="193"/>
    </row>
    <row r="98489" spans="6:6" x14ac:dyDescent="0.3">
      <c r="F98489" s="193"/>
    </row>
    <row r="98490" spans="6:6" x14ac:dyDescent="0.3">
      <c r="F98490" s="193"/>
    </row>
    <row r="98491" spans="6:6" x14ac:dyDescent="0.3">
      <c r="F98491" s="193"/>
    </row>
    <row r="98492" spans="6:6" x14ac:dyDescent="0.3">
      <c r="F98492" s="193"/>
    </row>
    <row r="98493" spans="6:6" x14ac:dyDescent="0.3">
      <c r="F98493" s="193"/>
    </row>
    <row r="98494" spans="6:6" x14ac:dyDescent="0.3">
      <c r="F98494" s="193"/>
    </row>
    <row r="98495" spans="6:6" x14ac:dyDescent="0.3">
      <c r="F98495" s="193"/>
    </row>
    <row r="98496" spans="6:6" x14ac:dyDescent="0.3">
      <c r="F98496" s="193"/>
    </row>
    <row r="98497" spans="6:6" x14ac:dyDescent="0.3">
      <c r="F98497" s="193"/>
    </row>
    <row r="98498" spans="6:6" x14ac:dyDescent="0.3">
      <c r="F98498" s="193"/>
    </row>
    <row r="98499" spans="6:6" x14ac:dyDescent="0.3">
      <c r="F98499" s="193"/>
    </row>
    <row r="98500" spans="6:6" x14ac:dyDescent="0.3">
      <c r="F98500" s="193"/>
    </row>
    <row r="98501" spans="6:6" x14ac:dyDescent="0.3">
      <c r="F98501" s="193"/>
    </row>
    <row r="98502" spans="6:6" x14ac:dyDescent="0.3">
      <c r="F98502" s="193"/>
    </row>
    <row r="98503" spans="6:6" x14ac:dyDescent="0.3">
      <c r="F98503" s="193"/>
    </row>
    <row r="98504" spans="6:6" x14ac:dyDescent="0.3">
      <c r="F98504" s="193"/>
    </row>
    <row r="98505" spans="6:6" x14ac:dyDescent="0.3">
      <c r="F98505" s="193"/>
    </row>
    <row r="98506" spans="6:6" x14ac:dyDescent="0.3">
      <c r="F98506" s="193"/>
    </row>
    <row r="98507" spans="6:6" x14ac:dyDescent="0.3">
      <c r="F98507" s="193"/>
    </row>
    <row r="98508" spans="6:6" x14ac:dyDescent="0.3">
      <c r="F98508" s="193"/>
    </row>
    <row r="98509" spans="6:6" x14ac:dyDescent="0.3">
      <c r="F98509" s="193"/>
    </row>
    <row r="98510" spans="6:6" x14ac:dyDescent="0.3">
      <c r="F98510" s="193"/>
    </row>
    <row r="98511" spans="6:6" x14ac:dyDescent="0.3">
      <c r="F98511" s="193"/>
    </row>
    <row r="98512" spans="6:6" x14ac:dyDescent="0.3">
      <c r="F98512" s="193"/>
    </row>
    <row r="98513" spans="6:6" x14ac:dyDescent="0.3">
      <c r="F98513" s="193"/>
    </row>
    <row r="98514" spans="6:6" x14ac:dyDescent="0.3">
      <c r="F98514" s="193"/>
    </row>
    <row r="98515" spans="6:6" x14ac:dyDescent="0.3">
      <c r="F98515" s="193"/>
    </row>
    <row r="98516" spans="6:6" x14ac:dyDescent="0.3">
      <c r="F98516" s="193"/>
    </row>
    <row r="98517" spans="6:6" x14ac:dyDescent="0.3">
      <c r="F98517" s="193"/>
    </row>
    <row r="98518" spans="6:6" x14ac:dyDescent="0.3">
      <c r="F98518" s="193"/>
    </row>
    <row r="98519" spans="6:6" x14ac:dyDescent="0.3">
      <c r="F98519" s="193"/>
    </row>
    <row r="98520" spans="6:6" x14ac:dyDescent="0.3">
      <c r="F98520" s="193"/>
    </row>
    <row r="98521" spans="6:6" x14ac:dyDescent="0.3">
      <c r="F98521" s="193"/>
    </row>
    <row r="98522" spans="6:6" x14ac:dyDescent="0.3">
      <c r="F98522" s="193"/>
    </row>
    <row r="98523" spans="6:6" x14ac:dyDescent="0.3">
      <c r="F98523" s="193"/>
    </row>
    <row r="98524" spans="6:6" x14ac:dyDescent="0.3">
      <c r="F98524" s="193"/>
    </row>
    <row r="98525" spans="6:6" x14ac:dyDescent="0.3">
      <c r="F98525" s="193"/>
    </row>
    <row r="98526" spans="6:6" x14ac:dyDescent="0.3">
      <c r="F98526" s="193"/>
    </row>
    <row r="98527" spans="6:6" x14ac:dyDescent="0.3">
      <c r="F98527" s="193"/>
    </row>
    <row r="98528" spans="6:6" x14ac:dyDescent="0.3">
      <c r="F98528" s="193"/>
    </row>
    <row r="98529" spans="6:6" x14ac:dyDescent="0.3">
      <c r="F98529" s="193"/>
    </row>
    <row r="98530" spans="6:6" x14ac:dyDescent="0.3">
      <c r="F98530" s="193"/>
    </row>
    <row r="98531" spans="6:6" x14ac:dyDescent="0.3">
      <c r="F98531" s="193"/>
    </row>
    <row r="98532" spans="6:6" x14ac:dyDescent="0.3">
      <c r="F98532" s="193"/>
    </row>
    <row r="98533" spans="6:6" x14ac:dyDescent="0.3">
      <c r="F98533" s="193"/>
    </row>
    <row r="98534" spans="6:6" x14ac:dyDescent="0.3">
      <c r="F98534" s="193"/>
    </row>
    <row r="98535" spans="6:6" x14ac:dyDescent="0.3">
      <c r="F98535" s="193"/>
    </row>
    <row r="98536" spans="6:6" x14ac:dyDescent="0.3">
      <c r="F98536" s="193"/>
    </row>
    <row r="98537" spans="6:6" x14ac:dyDescent="0.3">
      <c r="F98537" s="193"/>
    </row>
    <row r="98538" spans="6:6" x14ac:dyDescent="0.3">
      <c r="F98538" s="193"/>
    </row>
    <row r="98539" spans="6:6" x14ac:dyDescent="0.3">
      <c r="F98539" s="193"/>
    </row>
    <row r="98540" spans="6:6" x14ac:dyDescent="0.3">
      <c r="F98540" s="193"/>
    </row>
    <row r="98541" spans="6:6" x14ac:dyDescent="0.3">
      <c r="F98541" s="193"/>
    </row>
    <row r="98542" spans="6:6" x14ac:dyDescent="0.3">
      <c r="F98542" s="193"/>
    </row>
    <row r="98543" spans="6:6" x14ac:dyDescent="0.3">
      <c r="F98543" s="193"/>
    </row>
    <row r="98544" spans="6:6" x14ac:dyDescent="0.3">
      <c r="F98544" s="193"/>
    </row>
    <row r="98545" spans="6:6" x14ac:dyDescent="0.3">
      <c r="F98545" s="193"/>
    </row>
    <row r="98546" spans="6:6" x14ac:dyDescent="0.3">
      <c r="F98546" s="193"/>
    </row>
    <row r="98547" spans="6:6" x14ac:dyDescent="0.3">
      <c r="F98547" s="193"/>
    </row>
    <row r="98548" spans="6:6" x14ac:dyDescent="0.3">
      <c r="F98548" s="193"/>
    </row>
    <row r="98549" spans="6:6" x14ac:dyDescent="0.3">
      <c r="F98549" s="193"/>
    </row>
    <row r="98550" spans="6:6" x14ac:dyDescent="0.3">
      <c r="F98550" s="193"/>
    </row>
    <row r="98551" spans="6:6" x14ac:dyDescent="0.3">
      <c r="F98551" s="193"/>
    </row>
    <row r="98552" spans="6:6" x14ac:dyDescent="0.3">
      <c r="F98552" s="193"/>
    </row>
    <row r="98553" spans="6:6" x14ac:dyDescent="0.3">
      <c r="F98553" s="193"/>
    </row>
    <row r="98554" spans="6:6" x14ac:dyDescent="0.3">
      <c r="F98554" s="193"/>
    </row>
    <row r="98555" spans="6:6" x14ac:dyDescent="0.3">
      <c r="F98555" s="193"/>
    </row>
    <row r="98556" spans="6:6" x14ac:dyDescent="0.3">
      <c r="F98556" s="193"/>
    </row>
    <row r="98557" spans="6:6" x14ac:dyDescent="0.3">
      <c r="F98557" s="193"/>
    </row>
    <row r="98558" spans="6:6" x14ac:dyDescent="0.3">
      <c r="F98558" s="193"/>
    </row>
    <row r="98559" spans="6:6" x14ac:dyDescent="0.3">
      <c r="F98559" s="193"/>
    </row>
    <row r="98560" spans="6:6" x14ac:dyDescent="0.3">
      <c r="F98560" s="193"/>
    </row>
    <row r="98561" spans="6:6" x14ac:dyDescent="0.3">
      <c r="F98561" s="193"/>
    </row>
    <row r="98562" spans="6:6" x14ac:dyDescent="0.3">
      <c r="F98562" s="193"/>
    </row>
    <row r="98563" spans="6:6" x14ac:dyDescent="0.3">
      <c r="F98563" s="193"/>
    </row>
    <row r="98564" spans="6:6" x14ac:dyDescent="0.3">
      <c r="F98564" s="193"/>
    </row>
    <row r="98565" spans="6:6" x14ac:dyDescent="0.3">
      <c r="F98565" s="193"/>
    </row>
    <row r="98566" spans="6:6" x14ac:dyDescent="0.3">
      <c r="F98566" s="193"/>
    </row>
    <row r="98567" spans="6:6" x14ac:dyDescent="0.3">
      <c r="F98567" s="193"/>
    </row>
    <row r="98568" spans="6:6" x14ac:dyDescent="0.3">
      <c r="F98568" s="193"/>
    </row>
    <row r="98569" spans="6:6" x14ac:dyDescent="0.3">
      <c r="F98569" s="193"/>
    </row>
    <row r="98570" spans="6:6" x14ac:dyDescent="0.3">
      <c r="F98570" s="193"/>
    </row>
    <row r="98571" spans="6:6" x14ac:dyDescent="0.3">
      <c r="F98571" s="193"/>
    </row>
    <row r="98572" spans="6:6" x14ac:dyDescent="0.3">
      <c r="F98572" s="193"/>
    </row>
    <row r="98573" spans="6:6" x14ac:dyDescent="0.3">
      <c r="F98573" s="193"/>
    </row>
    <row r="98574" spans="6:6" x14ac:dyDescent="0.3">
      <c r="F98574" s="193"/>
    </row>
    <row r="98575" spans="6:6" x14ac:dyDescent="0.3">
      <c r="F98575" s="193"/>
    </row>
    <row r="98576" spans="6:6" x14ac:dyDescent="0.3">
      <c r="F98576" s="193"/>
    </row>
    <row r="98577" spans="6:6" x14ac:dyDescent="0.3">
      <c r="F98577" s="193"/>
    </row>
    <row r="98578" spans="6:6" x14ac:dyDescent="0.3">
      <c r="F98578" s="193"/>
    </row>
    <row r="98579" spans="6:6" x14ac:dyDescent="0.3">
      <c r="F98579" s="193"/>
    </row>
    <row r="98580" spans="6:6" x14ac:dyDescent="0.3">
      <c r="F98580" s="193"/>
    </row>
    <row r="98581" spans="6:6" x14ac:dyDescent="0.3">
      <c r="F98581" s="193"/>
    </row>
    <row r="98582" spans="6:6" x14ac:dyDescent="0.3">
      <c r="F98582" s="193"/>
    </row>
    <row r="98583" spans="6:6" x14ac:dyDescent="0.3">
      <c r="F98583" s="193"/>
    </row>
    <row r="98584" spans="6:6" x14ac:dyDescent="0.3">
      <c r="F98584" s="193"/>
    </row>
    <row r="98585" spans="6:6" x14ac:dyDescent="0.3">
      <c r="F98585" s="193"/>
    </row>
    <row r="98586" spans="6:6" x14ac:dyDescent="0.3">
      <c r="F98586" s="193"/>
    </row>
    <row r="98587" spans="6:6" x14ac:dyDescent="0.3">
      <c r="F98587" s="193"/>
    </row>
    <row r="98588" spans="6:6" x14ac:dyDescent="0.3">
      <c r="F98588" s="193"/>
    </row>
    <row r="98589" spans="6:6" x14ac:dyDescent="0.3">
      <c r="F98589" s="193"/>
    </row>
    <row r="98590" spans="6:6" x14ac:dyDescent="0.3">
      <c r="F98590" s="193"/>
    </row>
    <row r="98591" spans="6:6" x14ac:dyDescent="0.3">
      <c r="F98591" s="193"/>
    </row>
    <row r="98592" spans="6:6" x14ac:dyDescent="0.3">
      <c r="F98592" s="193"/>
    </row>
    <row r="98593" spans="6:6" x14ac:dyDescent="0.3">
      <c r="F98593" s="193"/>
    </row>
    <row r="98594" spans="6:6" x14ac:dyDescent="0.3">
      <c r="F98594" s="193"/>
    </row>
    <row r="98595" spans="6:6" x14ac:dyDescent="0.3">
      <c r="F98595" s="193"/>
    </row>
    <row r="98596" spans="6:6" x14ac:dyDescent="0.3">
      <c r="F98596" s="193"/>
    </row>
    <row r="98597" spans="6:6" x14ac:dyDescent="0.3">
      <c r="F98597" s="193"/>
    </row>
    <row r="98598" spans="6:6" x14ac:dyDescent="0.3">
      <c r="F98598" s="193"/>
    </row>
    <row r="98599" spans="6:6" x14ac:dyDescent="0.3">
      <c r="F98599" s="193"/>
    </row>
    <row r="98600" spans="6:6" x14ac:dyDescent="0.3">
      <c r="F98600" s="193"/>
    </row>
    <row r="98601" spans="6:6" x14ac:dyDescent="0.3">
      <c r="F98601" s="193"/>
    </row>
    <row r="98602" spans="6:6" x14ac:dyDescent="0.3">
      <c r="F98602" s="193"/>
    </row>
    <row r="98603" spans="6:6" x14ac:dyDescent="0.3">
      <c r="F98603" s="193"/>
    </row>
    <row r="98604" spans="6:6" x14ac:dyDescent="0.3">
      <c r="F98604" s="193"/>
    </row>
    <row r="98605" spans="6:6" x14ac:dyDescent="0.3">
      <c r="F98605" s="193"/>
    </row>
    <row r="98606" spans="6:6" x14ac:dyDescent="0.3">
      <c r="F98606" s="193"/>
    </row>
    <row r="98607" spans="6:6" x14ac:dyDescent="0.3">
      <c r="F98607" s="193"/>
    </row>
    <row r="98608" spans="6:6" x14ac:dyDescent="0.3">
      <c r="F98608" s="193"/>
    </row>
    <row r="98609" spans="6:6" x14ac:dyDescent="0.3">
      <c r="F98609" s="193"/>
    </row>
    <row r="98610" spans="6:6" x14ac:dyDescent="0.3">
      <c r="F98610" s="193"/>
    </row>
    <row r="98611" spans="6:6" x14ac:dyDescent="0.3">
      <c r="F98611" s="193"/>
    </row>
    <row r="98612" spans="6:6" x14ac:dyDescent="0.3">
      <c r="F98612" s="193"/>
    </row>
    <row r="98613" spans="6:6" x14ac:dyDescent="0.3">
      <c r="F98613" s="193"/>
    </row>
    <row r="98614" spans="6:6" x14ac:dyDescent="0.3">
      <c r="F98614" s="193"/>
    </row>
    <row r="98615" spans="6:6" x14ac:dyDescent="0.3">
      <c r="F98615" s="193"/>
    </row>
    <row r="98616" spans="6:6" x14ac:dyDescent="0.3">
      <c r="F98616" s="193"/>
    </row>
    <row r="98617" spans="6:6" x14ac:dyDescent="0.3">
      <c r="F98617" s="193"/>
    </row>
    <row r="98618" spans="6:6" x14ac:dyDescent="0.3">
      <c r="F98618" s="193"/>
    </row>
    <row r="98619" spans="6:6" x14ac:dyDescent="0.3">
      <c r="F98619" s="193"/>
    </row>
    <row r="98620" spans="6:6" x14ac:dyDescent="0.3">
      <c r="F98620" s="193"/>
    </row>
    <row r="98621" spans="6:6" x14ac:dyDescent="0.3">
      <c r="F98621" s="193"/>
    </row>
    <row r="98622" spans="6:6" x14ac:dyDescent="0.3">
      <c r="F98622" s="193"/>
    </row>
    <row r="98623" spans="6:6" x14ac:dyDescent="0.3">
      <c r="F98623" s="193"/>
    </row>
    <row r="98624" spans="6:6" x14ac:dyDescent="0.3">
      <c r="F98624" s="193"/>
    </row>
    <row r="98625" spans="6:6" x14ac:dyDescent="0.3">
      <c r="F98625" s="193"/>
    </row>
    <row r="98626" spans="6:6" x14ac:dyDescent="0.3">
      <c r="F98626" s="193"/>
    </row>
    <row r="98627" spans="6:6" x14ac:dyDescent="0.3">
      <c r="F98627" s="193"/>
    </row>
    <row r="98628" spans="6:6" x14ac:dyDescent="0.3">
      <c r="F98628" s="193"/>
    </row>
    <row r="98629" spans="6:6" x14ac:dyDescent="0.3">
      <c r="F98629" s="193"/>
    </row>
    <row r="98630" spans="6:6" x14ac:dyDescent="0.3">
      <c r="F98630" s="193"/>
    </row>
    <row r="98631" spans="6:6" x14ac:dyDescent="0.3">
      <c r="F98631" s="193"/>
    </row>
    <row r="98632" spans="6:6" x14ac:dyDescent="0.3">
      <c r="F98632" s="193"/>
    </row>
    <row r="98633" spans="6:6" x14ac:dyDescent="0.3">
      <c r="F98633" s="193"/>
    </row>
    <row r="98634" spans="6:6" x14ac:dyDescent="0.3">
      <c r="F98634" s="193"/>
    </row>
    <row r="98635" spans="6:6" x14ac:dyDescent="0.3">
      <c r="F98635" s="193"/>
    </row>
    <row r="98636" spans="6:6" x14ac:dyDescent="0.3">
      <c r="F98636" s="193"/>
    </row>
    <row r="98637" spans="6:6" x14ac:dyDescent="0.3">
      <c r="F98637" s="193"/>
    </row>
    <row r="98638" spans="6:6" x14ac:dyDescent="0.3">
      <c r="F98638" s="193"/>
    </row>
    <row r="98639" spans="6:6" x14ac:dyDescent="0.3">
      <c r="F98639" s="193"/>
    </row>
    <row r="98640" spans="6:6" x14ac:dyDescent="0.3">
      <c r="F98640" s="193"/>
    </row>
    <row r="98641" spans="6:6" x14ac:dyDescent="0.3">
      <c r="F98641" s="193"/>
    </row>
    <row r="98642" spans="6:6" x14ac:dyDescent="0.3">
      <c r="F98642" s="193"/>
    </row>
    <row r="98643" spans="6:6" x14ac:dyDescent="0.3">
      <c r="F98643" s="193"/>
    </row>
    <row r="98644" spans="6:6" x14ac:dyDescent="0.3">
      <c r="F98644" s="193"/>
    </row>
    <row r="98645" spans="6:6" x14ac:dyDescent="0.3">
      <c r="F98645" s="193"/>
    </row>
    <row r="98646" spans="6:6" x14ac:dyDescent="0.3">
      <c r="F98646" s="193"/>
    </row>
    <row r="98647" spans="6:6" x14ac:dyDescent="0.3">
      <c r="F98647" s="193"/>
    </row>
    <row r="98648" spans="6:6" x14ac:dyDescent="0.3">
      <c r="F98648" s="193"/>
    </row>
    <row r="98649" spans="6:6" x14ac:dyDescent="0.3">
      <c r="F98649" s="193"/>
    </row>
    <row r="98650" spans="6:6" x14ac:dyDescent="0.3">
      <c r="F98650" s="193"/>
    </row>
    <row r="98651" spans="6:6" x14ac:dyDescent="0.3">
      <c r="F98651" s="193"/>
    </row>
    <row r="98652" spans="6:6" x14ac:dyDescent="0.3">
      <c r="F98652" s="193"/>
    </row>
    <row r="98653" spans="6:6" x14ac:dyDescent="0.3">
      <c r="F98653" s="193"/>
    </row>
    <row r="98654" spans="6:6" x14ac:dyDescent="0.3">
      <c r="F98654" s="193"/>
    </row>
    <row r="98655" spans="6:6" x14ac:dyDescent="0.3">
      <c r="F98655" s="193"/>
    </row>
    <row r="98656" spans="6:6" x14ac:dyDescent="0.3">
      <c r="F98656" s="193"/>
    </row>
    <row r="98657" spans="6:6" x14ac:dyDescent="0.3">
      <c r="F98657" s="193"/>
    </row>
    <row r="98658" spans="6:6" x14ac:dyDescent="0.3">
      <c r="F98658" s="193"/>
    </row>
    <row r="98659" spans="6:6" x14ac:dyDescent="0.3">
      <c r="F98659" s="193"/>
    </row>
    <row r="98660" spans="6:6" x14ac:dyDescent="0.3">
      <c r="F98660" s="193"/>
    </row>
    <row r="98661" spans="6:6" x14ac:dyDescent="0.3">
      <c r="F98661" s="193"/>
    </row>
    <row r="98662" spans="6:6" x14ac:dyDescent="0.3">
      <c r="F98662" s="193"/>
    </row>
    <row r="98663" spans="6:6" x14ac:dyDescent="0.3">
      <c r="F98663" s="193"/>
    </row>
    <row r="98664" spans="6:6" x14ac:dyDescent="0.3">
      <c r="F98664" s="193"/>
    </row>
    <row r="98665" spans="6:6" x14ac:dyDescent="0.3">
      <c r="F98665" s="193"/>
    </row>
    <row r="98666" spans="6:6" x14ac:dyDescent="0.3">
      <c r="F98666" s="193"/>
    </row>
    <row r="98667" spans="6:6" x14ac:dyDescent="0.3">
      <c r="F98667" s="193"/>
    </row>
    <row r="98668" spans="6:6" x14ac:dyDescent="0.3">
      <c r="F98668" s="193"/>
    </row>
    <row r="98669" spans="6:6" x14ac:dyDescent="0.3">
      <c r="F98669" s="193"/>
    </row>
    <row r="98670" spans="6:6" x14ac:dyDescent="0.3">
      <c r="F98670" s="193"/>
    </row>
    <row r="98671" spans="6:6" x14ac:dyDescent="0.3">
      <c r="F98671" s="193"/>
    </row>
    <row r="98672" spans="6:6" x14ac:dyDescent="0.3">
      <c r="F98672" s="193"/>
    </row>
    <row r="98673" spans="6:6" x14ac:dyDescent="0.3">
      <c r="F98673" s="193"/>
    </row>
    <row r="98674" spans="6:6" x14ac:dyDescent="0.3">
      <c r="F98674" s="193"/>
    </row>
    <row r="98675" spans="6:6" x14ac:dyDescent="0.3">
      <c r="F98675" s="193"/>
    </row>
    <row r="98676" spans="6:6" x14ac:dyDescent="0.3">
      <c r="F98676" s="193"/>
    </row>
    <row r="98677" spans="6:6" x14ac:dyDescent="0.3">
      <c r="F98677" s="193"/>
    </row>
    <row r="98678" spans="6:6" x14ac:dyDescent="0.3">
      <c r="F98678" s="193"/>
    </row>
    <row r="98679" spans="6:6" x14ac:dyDescent="0.3">
      <c r="F98679" s="193"/>
    </row>
    <row r="98680" spans="6:6" x14ac:dyDescent="0.3">
      <c r="F98680" s="193"/>
    </row>
    <row r="98681" spans="6:6" x14ac:dyDescent="0.3">
      <c r="F98681" s="193"/>
    </row>
    <row r="98682" spans="6:6" x14ac:dyDescent="0.3">
      <c r="F98682" s="193"/>
    </row>
    <row r="98683" spans="6:6" x14ac:dyDescent="0.3">
      <c r="F98683" s="193"/>
    </row>
    <row r="98684" spans="6:6" x14ac:dyDescent="0.3">
      <c r="F98684" s="193"/>
    </row>
    <row r="98685" spans="6:6" x14ac:dyDescent="0.3">
      <c r="F98685" s="193"/>
    </row>
    <row r="98686" spans="6:6" x14ac:dyDescent="0.3">
      <c r="F98686" s="193"/>
    </row>
    <row r="98687" spans="6:6" x14ac:dyDescent="0.3">
      <c r="F98687" s="193"/>
    </row>
    <row r="98688" spans="6:6" x14ac:dyDescent="0.3">
      <c r="F98688" s="193"/>
    </row>
    <row r="98689" spans="6:6" x14ac:dyDescent="0.3">
      <c r="F98689" s="193"/>
    </row>
    <row r="98690" spans="6:6" x14ac:dyDescent="0.3">
      <c r="F98690" s="193"/>
    </row>
    <row r="98691" spans="6:6" x14ac:dyDescent="0.3">
      <c r="F98691" s="193"/>
    </row>
    <row r="98692" spans="6:6" x14ac:dyDescent="0.3">
      <c r="F98692" s="193"/>
    </row>
    <row r="98693" spans="6:6" x14ac:dyDescent="0.3">
      <c r="F98693" s="193"/>
    </row>
    <row r="98694" spans="6:6" x14ac:dyDescent="0.3">
      <c r="F98694" s="193"/>
    </row>
    <row r="98695" spans="6:6" x14ac:dyDescent="0.3">
      <c r="F98695" s="193"/>
    </row>
    <row r="98696" spans="6:6" x14ac:dyDescent="0.3">
      <c r="F98696" s="193"/>
    </row>
    <row r="98697" spans="6:6" x14ac:dyDescent="0.3">
      <c r="F98697" s="193"/>
    </row>
    <row r="98698" spans="6:6" x14ac:dyDescent="0.3">
      <c r="F98698" s="193"/>
    </row>
    <row r="98699" spans="6:6" x14ac:dyDescent="0.3">
      <c r="F98699" s="193"/>
    </row>
    <row r="98700" spans="6:6" x14ac:dyDescent="0.3">
      <c r="F98700" s="193"/>
    </row>
    <row r="98701" spans="6:6" x14ac:dyDescent="0.3">
      <c r="F98701" s="193"/>
    </row>
    <row r="98702" spans="6:6" x14ac:dyDescent="0.3">
      <c r="F98702" s="193"/>
    </row>
    <row r="98703" spans="6:6" x14ac:dyDescent="0.3">
      <c r="F98703" s="193"/>
    </row>
    <row r="98704" spans="6:6" x14ac:dyDescent="0.3">
      <c r="F98704" s="193"/>
    </row>
    <row r="98705" spans="6:6" x14ac:dyDescent="0.3">
      <c r="F98705" s="193"/>
    </row>
    <row r="98706" spans="6:6" x14ac:dyDescent="0.3">
      <c r="F98706" s="193"/>
    </row>
    <row r="98707" spans="6:6" x14ac:dyDescent="0.3">
      <c r="F98707" s="193"/>
    </row>
    <row r="98708" spans="6:6" x14ac:dyDescent="0.3">
      <c r="F98708" s="193"/>
    </row>
    <row r="98709" spans="6:6" x14ac:dyDescent="0.3">
      <c r="F98709" s="193"/>
    </row>
    <row r="98710" spans="6:6" x14ac:dyDescent="0.3">
      <c r="F98710" s="193"/>
    </row>
    <row r="98711" spans="6:6" x14ac:dyDescent="0.3">
      <c r="F98711" s="193"/>
    </row>
    <row r="98712" spans="6:6" x14ac:dyDescent="0.3">
      <c r="F98712" s="193"/>
    </row>
    <row r="98713" spans="6:6" x14ac:dyDescent="0.3">
      <c r="F98713" s="193"/>
    </row>
    <row r="98714" spans="6:6" x14ac:dyDescent="0.3">
      <c r="F98714" s="193"/>
    </row>
    <row r="98715" spans="6:6" x14ac:dyDescent="0.3">
      <c r="F98715" s="193"/>
    </row>
    <row r="98716" spans="6:6" x14ac:dyDescent="0.3">
      <c r="F98716" s="193"/>
    </row>
    <row r="98717" spans="6:6" x14ac:dyDescent="0.3">
      <c r="F98717" s="193"/>
    </row>
    <row r="98718" spans="6:6" x14ac:dyDescent="0.3">
      <c r="F98718" s="193"/>
    </row>
    <row r="98719" spans="6:6" x14ac:dyDescent="0.3">
      <c r="F98719" s="193"/>
    </row>
    <row r="98720" spans="6:6" x14ac:dyDescent="0.3">
      <c r="F98720" s="193"/>
    </row>
    <row r="98721" spans="6:6" x14ac:dyDescent="0.3">
      <c r="F98721" s="193"/>
    </row>
    <row r="98722" spans="6:6" x14ac:dyDescent="0.3">
      <c r="F98722" s="193"/>
    </row>
    <row r="98723" spans="6:6" x14ac:dyDescent="0.3">
      <c r="F98723" s="193"/>
    </row>
    <row r="98724" spans="6:6" x14ac:dyDescent="0.3">
      <c r="F98724" s="193"/>
    </row>
    <row r="98725" spans="6:6" x14ac:dyDescent="0.3">
      <c r="F98725" s="193"/>
    </row>
    <row r="98726" spans="6:6" x14ac:dyDescent="0.3">
      <c r="F98726" s="193"/>
    </row>
    <row r="98727" spans="6:6" x14ac:dyDescent="0.3">
      <c r="F98727" s="193"/>
    </row>
    <row r="98728" spans="6:6" x14ac:dyDescent="0.3">
      <c r="F98728" s="193"/>
    </row>
    <row r="98729" spans="6:6" x14ac:dyDescent="0.3">
      <c r="F98729" s="193"/>
    </row>
    <row r="98730" spans="6:6" x14ac:dyDescent="0.3">
      <c r="F98730" s="193"/>
    </row>
    <row r="98731" spans="6:6" x14ac:dyDescent="0.3">
      <c r="F98731" s="193"/>
    </row>
    <row r="98732" spans="6:6" x14ac:dyDescent="0.3">
      <c r="F98732" s="193"/>
    </row>
    <row r="98733" spans="6:6" x14ac:dyDescent="0.3">
      <c r="F98733" s="193"/>
    </row>
    <row r="98734" spans="6:6" x14ac:dyDescent="0.3">
      <c r="F98734" s="193"/>
    </row>
    <row r="98735" spans="6:6" x14ac:dyDescent="0.3">
      <c r="F98735" s="193"/>
    </row>
    <row r="98736" spans="6:6" x14ac:dyDescent="0.3">
      <c r="F98736" s="193"/>
    </row>
    <row r="98737" spans="6:6" x14ac:dyDescent="0.3">
      <c r="F98737" s="193"/>
    </row>
    <row r="98738" spans="6:6" x14ac:dyDescent="0.3">
      <c r="F98738" s="193"/>
    </row>
    <row r="98739" spans="6:6" x14ac:dyDescent="0.3">
      <c r="F98739" s="193"/>
    </row>
    <row r="98740" spans="6:6" x14ac:dyDescent="0.3">
      <c r="F98740" s="193"/>
    </row>
    <row r="98741" spans="6:6" x14ac:dyDescent="0.3">
      <c r="F98741" s="193"/>
    </row>
    <row r="98742" spans="6:6" x14ac:dyDescent="0.3">
      <c r="F98742" s="193"/>
    </row>
    <row r="98743" spans="6:6" x14ac:dyDescent="0.3">
      <c r="F98743" s="193"/>
    </row>
    <row r="98744" spans="6:6" x14ac:dyDescent="0.3">
      <c r="F98744" s="193"/>
    </row>
    <row r="98745" spans="6:6" x14ac:dyDescent="0.3">
      <c r="F98745" s="193"/>
    </row>
    <row r="98746" spans="6:6" x14ac:dyDescent="0.3">
      <c r="F98746" s="193"/>
    </row>
    <row r="98747" spans="6:6" x14ac:dyDescent="0.3">
      <c r="F98747" s="193"/>
    </row>
    <row r="98748" spans="6:6" x14ac:dyDescent="0.3">
      <c r="F98748" s="193"/>
    </row>
    <row r="98749" spans="6:6" x14ac:dyDescent="0.3">
      <c r="F98749" s="193"/>
    </row>
    <row r="98750" spans="6:6" x14ac:dyDescent="0.3">
      <c r="F98750" s="193"/>
    </row>
    <row r="98751" spans="6:6" x14ac:dyDescent="0.3">
      <c r="F98751" s="193"/>
    </row>
    <row r="98752" spans="6:6" x14ac:dyDescent="0.3">
      <c r="F98752" s="193"/>
    </row>
    <row r="98753" spans="6:6" x14ac:dyDescent="0.3">
      <c r="F98753" s="193"/>
    </row>
    <row r="98754" spans="6:6" x14ac:dyDescent="0.3">
      <c r="F98754" s="193"/>
    </row>
    <row r="98755" spans="6:6" x14ac:dyDescent="0.3">
      <c r="F98755" s="193"/>
    </row>
    <row r="98756" spans="6:6" x14ac:dyDescent="0.3">
      <c r="F98756" s="193"/>
    </row>
    <row r="98757" spans="6:6" x14ac:dyDescent="0.3">
      <c r="F98757" s="193"/>
    </row>
    <row r="98758" spans="6:6" x14ac:dyDescent="0.3">
      <c r="F98758" s="193"/>
    </row>
    <row r="98759" spans="6:6" x14ac:dyDescent="0.3">
      <c r="F98759" s="193"/>
    </row>
    <row r="98760" spans="6:6" x14ac:dyDescent="0.3">
      <c r="F98760" s="193"/>
    </row>
    <row r="98761" spans="6:6" x14ac:dyDescent="0.3">
      <c r="F98761" s="193"/>
    </row>
    <row r="98762" spans="6:6" x14ac:dyDescent="0.3">
      <c r="F98762" s="193"/>
    </row>
    <row r="98763" spans="6:6" x14ac:dyDescent="0.3">
      <c r="F98763" s="193"/>
    </row>
    <row r="98764" spans="6:6" x14ac:dyDescent="0.3">
      <c r="F98764" s="193"/>
    </row>
    <row r="98765" spans="6:6" x14ac:dyDescent="0.3">
      <c r="F98765" s="193"/>
    </row>
    <row r="98766" spans="6:6" x14ac:dyDescent="0.3">
      <c r="F98766" s="193"/>
    </row>
    <row r="98767" spans="6:6" x14ac:dyDescent="0.3">
      <c r="F98767" s="193"/>
    </row>
    <row r="98768" spans="6:6" x14ac:dyDescent="0.3">
      <c r="F98768" s="193"/>
    </row>
    <row r="98769" spans="6:6" x14ac:dyDescent="0.3">
      <c r="F98769" s="193"/>
    </row>
    <row r="98770" spans="6:6" x14ac:dyDescent="0.3">
      <c r="F98770" s="193"/>
    </row>
    <row r="98771" spans="6:6" x14ac:dyDescent="0.3">
      <c r="F98771" s="193"/>
    </row>
    <row r="98772" spans="6:6" x14ac:dyDescent="0.3">
      <c r="F98772" s="193"/>
    </row>
    <row r="98773" spans="6:6" x14ac:dyDescent="0.3">
      <c r="F98773" s="193"/>
    </row>
    <row r="98774" spans="6:6" x14ac:dyDescent="0.3">
      <c r="F98774" s="193"/>
    </row>
    <row r="98775" spans="6:6" x14ac:dyDescent="0.3">
      <c r="F98775" s="193"/>
    </row>
    <row r="98776" spans="6:6" x14ac:dyDescent="0.3">
      <c r="F98776" s="193"/>
    </row>
    <row r="98777" spans="6:6" x14ac:dyDescent="0.3">
      <c r="F98777" s="193"/>
    </row>
    <row r="98778" spans="6:6" x14ac:dyDescent="0.3">
      <c r="F98778" s="193"/>
    </row>
    <row r="98779" spans="6:6" x14ac:dyDescent="0.3">
      <c r="F98779" s="193"/>
    </row>
    <row r="98780" spans="6:6" x14ac:dyDescent="0.3">
      <c r="F98780" s="193"/>
    </row>
    <row r="98781" spans="6:6" x14ac:dyDescent="0.3">
      <c r="F98781" s="193"/>
    </row>
    <row r="98782" spans="6:6" x14ac:dyDescent="0.3">
      <c r="F98782" s="193"/>
    </row>
    <row r="98783" spans="6:6" x14ac:dyDescent="0.3">
      <c r="F98783" s="193"/>
    </row>
    <row r="98784" spans="6:6" x14ac:dyDescent="0.3">
      <c r="F98784" s="193"/>
    </row>
    <row r="98785" spans="6:6" x14ac:dyDescent="0.3">
      <c r="F98785" s="193"/>
    </row>
    <row r="98786" spans="6:6" x14ac:dyDescent="0.3">
      <c r="F98786" s="193"/>
    </row>
    <row r="98787" spans="6:6" x14ac:dyDescent="0.3">
      <c r="F98787" s="193"/>
    </row>
    <row r="98788" spans="6:6" x14ac:dyDescent="0.3">
      <c r="F98788" s="193"/>
    </row>
    <row r="98789" spans="6:6" x14ac:dyDescent="0.3">
      <c r="F98789" s="193"/>
    </row>
    <row r="98790" spans="6:6" x14ac:dyDescent="0.3">
      <c r="F98790" s="193"/>
    </row>
    <row r="98791" spans="6:6" x14ac:dyDescent="0.3">
      <c r="F98791" s="193"/>
    </row>
    <row r="98792" spans="6:6" x14ac:dyDescent="0.3">
      <c r="F98792" s="193"/>
    </row>
    <row r="98793" spans="6:6" x14ac:dyDescent="0.3">
      <c r="F98793" s="193"/>
    </row>
    <row r="98794" spans="6:6" x14ac:dyDescent="0.3">
      <c r="F98794" s="193"/>
    </row>
    <row r="98795" spans="6:6" x14ac:dyDescent="0.3">
      <c r="F98795" s="193"/>
    </row>
    <row r="98796" spans="6:6" x14ac:dyDescent="0.3">
      <c r="F98796" s="193"/>
    </row>
    <row r="98797" spans="6:6" x14ac:dyDescent="0.3">
      <c r="F98797" s="193"/>
    </row>
    <row r="98798" spans="6:6" x14ac:dyDescent="0.3">
      <c r="F98798" s="193"/>
    </row>
    <row r="98799" spans="6:6" x14ac:dyDescent="0.3">
      <c r="F98799" s="193"/>
    </row>
    <row r="98800" spans="6:6" x14ac:dyDescent="0.3">
      <c r="F98800" s="193"/>
    </row>
    <row r="98801" spans="6:6" x14ac:dyDescent="0.3">
      <c r="F98801" s="193"/>
    </row>
    <row r="98802" spans="6:6" x14ac:dyDescent="0.3">
      <c r="F98802" s="193"/>
    </row>
    <row r="98803" spans="6:6" x14ac:dyDescent="0.3">
      <c r="F98803" s="193"/>
    </row>
    <row r="98804" spans="6:6" x14ac:dyDescent="0.3">
      <c r="F98804" s="193"/>
    </row>
    <row r="98805" spans="6:6" x14ac:dyDescent="0.3">
      <c r="F98805" s="193"/>
    </row>
    <row r="98806" spans="6:6" x14ac:dyDescent="0.3">
      <c r="F98806" s="193"/>
    </row>
    <row r="98807" spans="6:6" x14ac:dyDescent="0.3">
      <c r="F98807" s="193"/>
    </row>
    <row r="98808" spans="6:6" x14ac:dyDescent="0.3">
      <c r="F98808" s="193"/>
    </row>
    <row r="98809" spans="6:6" x14ac:dyDescent="0.3">
      <c r="F98809" s="193"/>
    </row>
    <row r="98810" spans="6:6" x14ac:dyDescent="0.3">
      <c r="F98810" s="193"/>
    </row>
    <row r="98811" spans="6:6" x14ac:dyDescent="0.3">
      <c r="F98811" s="193"/>
    </row>
    <row r="98812" spans="6:6" x14ac:dyDescent="0.3">
      <c r="F98812" s="193"/>
    </row>
    <row r="98813" spans="6:6" x14ac:dyDescent="0.3">
      <c r="F98813" s="193"/>
    </row>
    <row r="98814" spans="6:6" x14ac:dyDescent="0.3">
      <c r="F98814" s="193"/>
    </row>
    <row r="98815" spans="6:6" x14ac:dyDescent="0.3">
      <c r="F98815" s="193"/>
    </row>
    <row r="98816" spans="6:6" x14ac:dyDescent="0.3">
      <c r="F98816" s="193"/>
    </row>
    <row r="98817" spans="6:6" x14ac:dyDescent="0.3">
      <c r="F98817" s="193"/>
    </row>
    <row r="98818" spans="6:6" x14ac:dyDescent="0.3">
      <c r="F98818" s="193"/>
    </row>
    <row r="98819" spans="6:6" x14ac:dyDescent="0.3">
      <c r="F98819" s="193"/>
    </row>
    <row r="98820" spans="6:6" x14ac:dyDescent="0.3">
      <c r="F98820" s="193"/>
    </row>
    <row r="98821" spans="6:6" x14ac:dyDescent="0.3">
      <c r="F98821" s="193"/>
    </row>
    <row r="98822" spans="6:6" x14ac:dyDescent="0.3">
      <c r="F98822" s="193"/>
    </row>
    <row r="98823" spans="6:6" x14ac:dyDescent="0.3">
      <c r="F98823" s="193"/>
    </row>
    <row r="98824" spans="6:6" x14ac:dyDescent="0.3">
      <c r="F98824" s="193"/>
    </row>
    <row r="98825" spans="6:6" x14ac:dyDescent="0.3">
      <c r="F98825" s="193"/>
    </row>
    <row r="98826" spans="6:6" x14ac:dyDescent="0.3">
      <c r="F98826" s="193"/>
    </row>
    <row r="98827" spans="6:6" x14ac:dyDescent="0.3">
      <c r="F98827" s="193"/>
    </row>
    <row r="98828" spans="6:6" x14ac:dyDescent="0.3">
      <c r="F98828" s="193"/>
    </row>
    <row r="98829" spans="6:6" x14ac:dyDescent="0.3">
      <c r="F98829" s="193"/>
    </row>
    <row r="98830" spans="6:6" x14ac:dyDescent="0.3">
      <c r="F98830" s="193"/>
    </row>
    <row r="98831" spans="6:6" x14ac:dyDescent="0.3">
      <c r="F98831" s="193"/>
    </row>
    <row r="98832" spans="6:6" x14ac:dyDescent="0.3">
      <c r="F98832" s="193"/>
    </row>
    <row r="98833" spans="6:6" x14ac:dyDescent="0.3">
      <c r="F98833" s="193"/>
    </row>
    <row r="98834" spans="6:6" x14ac:dyDescent="0.3">
      <c r="F98834" s="193"/>
    </row>
    <row r="98835" spans="6:6" x14ac:dyDescent="0.3">
      <c r="F98835" s="193"/>
    </row>
    <row r="98836" spans="6:6" x14ac:dyDescent="0.3">
      <c r="F98836" s="193"/>
    </row>
    <row r="98837" spans="6:6" x14ac:dyDescent="0.3">
      <c r="F98837" s="193"/>
    </row>
    <row r="98838" spans="6:6" x14ac:dyDescent="0.3">
      <c r="F98838" s="193"/>
    </row>
    <row r="98839" spans="6:6" x14ac:dyDescent="0.3">
      <c r="F98839" s="193"/>
    </row>
    <row r="98840" spans="6:6" x14ac:dyDescent="0.3">
      <c r="F98840" s="193"/>
    </row>
    <row r="98841" spans="6:6" x14ac:dyDescent="0.3">
      <c r="F98841" s="193"/>
    </row>
    <row r="98842" spans="6:6" x14ac:dyDescent="0.3">
      <c r="F98842" s="193"/>
    </row>
    <row r="98843" spans="6:6" x14ac:dyDescent="0.3">
      <c r="F98843" s="193"/>
    </row>
    <row r="98844" spans="6:6" x14ac:dyDescent="0.3">
      <c r="F98844" s="193"/>
    </row>
    <row r="98845" spans="6:6" x14ac:dyDescent="0.3">
      <c r="F98845" s="193"/>
    </row>
    <row r="98846" spans="6:6" x14ac:dyDescent="0.3">
      <c r="F98846" s="193"/>
    </row>
    <row r="98847" spans="6:6" x14ac:dyDescent="0.3">
      <c r="F98847" s="193"/>
    </row>
    <row r="98848" spans="6:6" x14ac:dyDescent="0.3">
      <c r="F98848" s="193"/>
    </row>
    <row r="98849" spans="6:6" x14ac:dyDescent="0.3">
      <c r="F98849" s="193"/>
    </row>
    <row r="98850" spans="6:6" x14ac:dyDescent="0.3">
      <c r="F98850" s="193"/>
    </row>
    <row r="98851" spans="6:6" x14ac:dyDescent="0.3">
      <c r="F98851" s="193"/>
    </row>
    <row r="98852" spans="6:6" x14ac:dyDescent="0.3">
      <c r="F98852" s="193"/>
    </row>
    <row r="98853" spans="6:6" x14ac:dyDescent="0.3">
      <c r="F98853" s="193"/>
    </row>
    <row r="98854" spans="6:6" x14ac:dyDescent="0.3">
      <c r="F98854" s="193"/>
    </row>
    <row r="98855" spans="6:6" x14ac:dyDescent="0.3">
      <c r="F98855" s="193"/>
    </row>
    <row r="98856" spans="6:6" x14ac:dyDescent="0.3">
      <c r="F98856" s="193"/>
    </row>
    <row r="98857" spans="6:6" x14ac:dyDescent="0.3">
      <c r="F98857" s="193"/>
    </row>
    <row r="98858" spans="6:6" x14ac:dyDescent="0.3">
      <c r="F98858" s="193"/>
    </row>
    <row r="98859" spans="6:6" x14ac:dyDescent="0.3">
      <c r="F98859" s="193"/>
    </row>
    <row r="98860" spans="6:6" x14ac:dyDescent="0.3">
      <c r="F98860" s="193"/>
    </row>
    <row r="98861" spans="6:6" x14ac:dyDescent="0.3">
      <c r="F98861" s="193"/>
    </row>
    <row r="98862" spans="6:6" x14ac:dyDescent="0.3">
      <c r="F98862" s="193"/>
    </row>
    <row r="98863" spans="6:6" x14ac:dyDescent="0.3">
      <c r="F98863" s="193"/>
    </row>
    <row r="98864" spans="6:6" x14ac:dyDescent="0.3">
      <c r="F98864" s="193"/>
    </row>
    <row r="98865" spans="6:6" x14ac:dyDescent="0.3">
      <c r="F98865" s="193"/>
    </row>
    <row r="98866" spans="6:6" x14ac:dyDescent="0.3">
      <c r="F98866" s="193"/>
    </row>
    <row r="98867" spans="6:6" x14ac:dyDescent="0.3">
      <c r="F98867" s="193"/>
    </row>
    <row r="98868" spans="6:6" x14ac:dyDescent="0.3">
      <c r="F98868" s="193"/>
    </row>
    <row r="98869" spans="6:6" x14ac:dyDescent="0.3">
      <c r="F98869" s="193"/>
    </row>
    <row r="98870" spans="6:6" x14ac:dyDescent="0.3">
      <c r="F98870" s="193"/>
    </row>
    <row r="98871" spans="6:6" x14ac:dyDescent="0.3">
      <c r="F98871" s="193"/>
    </row>
    <row r="98872" spans="6:6" x14ac:dyDescent="0.3">
      <c r="F98872" s="193"/>
    </row>
    <row r="98873" spans="6:6" x14ac:dyDescent="0.3">
      <c r="F98873" s="193"/>
    </row>
    <row r="98874" spans="6:6" x14ac:dyDescent="0.3">
      <c r="F98874" s="193"/>
    </row>
    <row r="98875" spans="6:6" x14ac:dyDescent="0.3">
      <c r="F98875" s="193"/>
    </row>
    <row r="98876" spans="6:6" x14ac:dyDescent="0.3">
      <c r="F98876" s="193"/>
    </row>
    <row r="98877" spans="6:6" x14ac:dyDescent="0.3">
      <c r="F98877" s="193"/>
    </row>
    <row r="98878" spans="6:6" x14ac:dyDescent="0.3">
      <c r="F98878" s="193"/>
    </row>
    <row r="98879" spans="6:6" x14ac:dyDescent="0.3">
      <c r="F98879" s="193"/>
    </row>
    <row r="98880" spans="6:6" x14ac:dyDescent="0.3">
      <c r="F98880" s="193"/>
    </row>
    <row r="98881" spans="6:6" x14ac:dyDescent="0.3">
      <c r="F98881" s="193"/>
    </row>
    <row r="98882" spans="6:6" x14ac:dyDescent="0.3">
      <c r="F98882" s="193"/>
    </row>
    <row r="98883" spans="6:6" x14ac:dyDescent="0.3">
      <c r="F98883" s="193"/>
    </row>
    <row r="98884" spans="6:6" x14ac:dyDescent="0.3">
      <c r="F98884" s="193"/>
    </row>
    <row r="98885" spans="6:6" x14ac:dyDescent="0.3">
      <c r="F98885" s="193"/>
    </row>
    <row r="98886" spans="6:6" x14ac:dyDescent="0.3">
      <c r="F98886" s="193"/>
    </row>
    <row r="98887" spans="6:6" x14ac:dyDescent="0.3">
      <c r="F98887" s="193"/>
    </row>
    <row r="98888" spans="6:6" x14ac:dyDescent="0.3">
      <c r="F98888" s="193"/>
    </row>
    <row r="98889" spans="6:6" x14ac:dyDescent="0.3">
      <c r="F98889" s="193"/>
    </row>
    <row r="98890" spans="6:6" x14ac:dyDescent="0.3">
      <c r="F98890" s="193"/>
    </row>
    <row r="98891" spans="6:6" x14ac:dyDescent="0.3">
      <c r="F98891" s="193"/>
    </row>
    <row r="98892" spans="6:6" x14ac:dyDescent="0.3">
      <c r="F98892" s="193"/>
    </row>
    <row r="98893" spans="6:6" x14ac:dyDescent="0.3">
      <c r="F98893" s="193"/>
    </row>
    <row r="98894" spans="6:6" x14ac:dyDescent="0.3">
      <c r="F98894" s="193"/>
    </row>
    <row r="98895" spans="6:6" x14ac:dyDescent="0.3">
      <c r="F98895" s="193"/>
    </row>
    <row r="98896" spans="6:6" x14ac:dyDescent="0.3">
      <c r="F98896" s="193"/>
    </row>
    <row r="98897" spans="6:6" x14ac:dyDescent="0.3">
      <c r="F98897" s="193"/>
    </row>
    <row r="98898" spans="6:6" x14ac:dyDescent="0.3">
      <c r="F98898" s="193"/>
    </row>
    <row r="98899" spans="6:6" x14ac:dyDescent="0.3">
      <c r="F98899" s="193"/>
    </row>
    <row r="98900" spans="6:6" x14ac:dyDescent="0.3">
      <c r="F98900" s="193"/>
    </row>
    <row r="98901" spans="6:6" x14ac:dyDescent="0.3">
      <c r="F98901" s="193"/>
    </row>
    <row r="98902" spans="6:6" x14ac:dyDescent="0.3">
      <c r="F98902" s="193"/>
    </row>
    <row r="98903" spans="6:6" x14ac:dyDescent="0.3">
      <c r="F98903" s="193"/>
    </row>
    <row r="98904" spans="6:6" x14ac:dyDescent="0.3">
      <c r="F98904" s="193"/>
    </row>
    <row r="98905" spans="6:6" x14ac:dyDescent="0.3">
      <c r="F98905" s="193"/>
    </row>
    <row r="98906" spans="6:6" x14ac:dyDescent="0.3">
      <c r="F98906" s="193"/>
    </row>
    <row r="98907" spans="6:6" x14ac:dyDescent="0.3">
      <c r="F98907" s="193"/>
    </row>
    <row r="98908" spans="6:6" x14ac:dyDescent="0.3">
      <c r="F98908" s="193"/>
    </row>
    <row r="98909" spans="6:6" x14ac:dyDescent="0.3">
      <c r="F98909" s="193"/>
    </row>
    <row r="98910" spans="6:6" x14ac:dyDescent="0.3">
      <c r="F98910" s="193"/>
    </row>
    <row r="98911" spans="6:6" x14ac:dyDescent="0.3">
      <c r="F98911" s="193"/>
    </row>
    <row r="98912" spans="6:6" x14ac:dyDescent="0.3">
      <c r="F98912" s="193"/>
    </row>
    <row r="98913" spans="6:6" x14ac:dyDescent="0.3">
      <c r="F98913" s="193"/>
    </row>
    <row r="98914" spans="6:6" x14ac:dyDescent="0.3">
      <c r="F98914" s="193"/>
    </row>
    <row r="98915" spans="6:6" x14ac:dyDescent="0.3">
      <c r="F98915" s="193"/>
    </row>
    <row r="98916" spans="6:6" x14ac:dyDescent="0.3">
      <c r="F98916" s="193"/>
    </row>
    <row r="98917" spans="6:6" x14ac:dyDescent="0.3">
      <c r="F98917" s="193"/>
    </row>
    <row r="98918" spans="6:6" x14ac:dyDescent="0.3">
      <c r="F98918" s="193"/>
    </row>
    <row r="98919" spans="6:6" x14ac:dyDescent="0.3">
      <c r="F98919" s="193"/>
    </row>
    <row r="98920" spans="6:6" x14ac:dyDescent="0.3">
      <c r="F98920" s="193"/>
    </row>
    <row r="98921" spans="6:6" x14ac:dyDescent="0.3">
      <c r="F98921" s="193"/>
    </row>
    <row r="98922" spans="6:6" x14ac:dyDescent="0.3">
      <c r="F98922" s="193"/>
    </row>
    <row r="98923" spans="6:6" x14ac:dyDescent="0.3">
      <c r="F98923" s="193"/>
    </row>
    <row r="98924" spans="6:6" x14ac:dyDescent="0.3">
      <c r="F98924" s="193"/>
    </row>
    <row r="98925" spans="6:6" x14ac:dyDescent="0.3">
      <c r="F98925" s="193"/>
    </row>
    <row r="98926" spans="6:6" x14ac:dyDescent="0.3">
      <c r="F98926" s="193"/>
    </row>
    <row r="98927" spans="6:6" x14ac:dyDescent="0.3">
      <c r="F98927" s="193"/>
    </row>
    <row r="98928" spans="6:6" x14ac:dyDescent="0.3">
      <c r="F98928" s="193"/>
    </row>
    <row r="98929" spans="6:6" x14ac:dyDescent="0.3">
      <c r="F98929" s="193"/>
    </row>
    <row r="98930" spans="6:6" x14ac:dyDescent="0.3">
      <c r="F98930" s="193"/>
    </row>
    <row r="98931" spans="6:6" x14ac:dyDescent="0.3">
      <c r="F98931" s="193"/>
    </row>
    <row r="98932" spans="6:6" x14ac:dyDescent="0.3">
      <c r="F98932" s="193"/>
    </row>
    <row r="98933" spans="6:6" x14ac:dyDescent="0.3">
      <c r="F98933" s="193"/>
    </row>
    <row r="98934" spans="6:6" x14ac:dyDescent="0.3">
      <c r="F98934" s="193"/>
    </row>
    <row r="98935" spans="6:6" x14ac:dyDescent="0.3">
      <c r="F98935" s="193"/>
    </row>
    <row r="98936" spans="6:6" x14ac:dyDescent="0.3">
      <c r="F98936" s="193"/>
    </row>
    <row r="98937" spans="6:6" x14ac:dyDescent="0.3">
      <c r="F98937" s="193"/>
    </row>
    <row r="98938" spans="6:6" x14ac:dyDescent="0.3">
      <c r="F98938" s="193"/>
    </row>
    <row r="98939" spans="6:6" x14ac:dyDescent="0.3">
      <c r="F98939" s="193"/>
    </row>
    <row r="98940" spans="6:6" x14ac:dyDescent="0.3">
      <c r="F98940" s="193"/>
    </row>
    <row r="98941" spans="6:6" x14ac:dyDescent="0.3">
      <c r="F98941" s="193"/>
    </row>
    <row r="98942" spans="6:6" x14ac:dyDescent="0.3">
      <c r="F98942" s="193"/>
    </row>
    <row r="98943" spans="6:6" x14ac:dyDescent="0.3">
      <c r="F98943" s="193"/>
    </row>
    <row r="98944" spans="6:6" x14ac:dyDescent="0.3">
      <c r="F98944" s="193"/>
    </row>
    <row r="98945" spans="6:6" x14ac:dyDescent="0.3">
      <c r="F98945" s="193"/>
    </row>
    <row r="98946" spans="6:6" x14ac:dyDescent="0.3">
      <c r="F98946" s="193"/>
    </row>
    <row r="98947" spans="6:6" x14ac:dyDescent="0.3">
      <c r="F98947" s="193"/>
    </row>
    <row r="98948" spans="6:6" x14ac:dyDescent="0.3">
      <c r="F98948" s="193"/>
    </row>
    <row r="98949" spans="6:6" x14ac:dyDescent="0.3">
      <c r="F98949" s="193"/>
    </row>
    <row r="98950" spans="6:6" x14ac:dyDescent="0.3">
      <c r="F98950" s="193"/>
    </row>
    <row r="98951" spans="6:6" x14ac:dyDescent="0.3">
      <c r="F98951" s="193"/>
    </row>
    <row r="98952" spans="6:6" x14ac:dyDescent="0.3">
      <c r="F98952" s="193"/>
    </row>
    <row r="98953" spans="6:6" x14ac:dyDescent="0.3">
      <c r="F98953" s="193"/>
    </row>
    <row r="98954" spans="6:6" x14ac:dyDescent="0.3">
      <c r="F98954" s="193"/>
    </row>
    <row r="98955" spans="6:6" x14ac:dyDescent="0.3">
      <c r="F98955" s="193"/>
    </row>
    <row r="98956" spans="6:6" x14ac:dyDescent="0.3">
      <c r="F98956" s="193"/>
    </row>
    <row r="98957" spans="6:6" x14ac:dyDescent="0.3">
      <c r="F98957" s="193"/>
    </row>
    <row r="98958" spans="6:6" x14ac:dyDescent="0.3">
      <c r="F98958" s="193"/>
    </row>
    <row r="98959" spans="6:6" x14ac:dyDescent="0.3">
      <c r="F98959" s="193"/>
    </row>
    <row r="98960" spans="6:6" x14ac:dyDescent="0.3">
      <c r="F98960" s="193"/>
    </row>
    <row r="98961" spans="6:6" x14ac:dyDescent="0.3">
      <c r="F98961" s="193"/>
    </row>
    <row r="98962" spans="6:6" x14ac:dyDescent="0.3">
      <c r="F98962" s="193"/>
    </row>
    <row r="98963" spans="6:6" x14ac:dyDescent="0.3">
      <c r="F98963" s="193"/>
    </row>
    <row r="98964" spans="6:6" x14ac:dyDescent="0.3">
      <c r="F98964" s="193"/>
    </row>
    <row r="98965" spans="6:6" x14ac:dyDescent="0.3">
      <c r="F98965" s="193"/>
    </row>
    <row r="98966" spans="6:6" x14ac:dyDescent="0.3">
      <c r="F98966" s="193"/>
    </row>
    <row r="98967" spans="6:6" x14ac:dyDescent="0.3">
      <c r="F98967" s="193"/>
    </row>
    <row r="98968" spans="6:6" x14ac:dyDescent="0.3">
      <c r="F98968" s="193"/>
    </row>
    <row r="98969" spans="6:6" x14ac:dyDescent="0.3">
      <c r="F98969" s="193"/>
    </row>
    <row r="98970" spans="6:6" x14ac:dyDescent="0.3">
      <c r="F98970" s="193"/>
    </row>
    <row r="98971" spans="6:6" x14ac:dyDescent="0.3">
      <c r="F98971" s="193"/>
    </row>
    <row r="98972" spans="6:6" x14ac:dyDescent="0.3">
      <c r="F98972" s="193"/>
    </row>
    <row r="98973" spans="6:6" x14ac:dyDescent="0.3">
      <c r="F98973" s="193"/>
    </row>
    <row r="98974" spans="6:6" x14ac:dyDescent="0.3">
      <c r="F98974" s="193"/>
    </row>
    <row r="98975" spans="6:6" x14ac:dyDescent="0.3">
      <c r="F98975" s="193"/>
    </row>
    <row r="98976" spans="6:6" x14ac:dyDescent="0.3">
      <c r="F98976" s="193"/>
    </row>
    <row r="98977" spans="6:6" x14ac:dyDescent="0.3">
      <c r="F98977" s="193"/>
    </row>
    <row r="98978" spans="6:6" x14ac:dyDescent="0.3">
      <c r="F98978" s="193"/>
    </row>
    <row r="98979" spans="6:6" x14ac:dyDescent="0.3">
      <c r="F98979" s="193"/>
    </row>
    <row r="98980" spans="6:6" x14ac:dyDescent="0.3">
      <c r="F98980" s="193"/>
    </row>
    <row r="98981" spans="6:6" x14ac:dyDescent="0.3">
      <c r="F98981" s="193"/>
    </row>
    <row r="98982" spans="6:6" x14ac:dyDescent="0.3">
      <c r="F98982" s="193"/>
    </row>
    <row r="98983" spans="6:6" x14ac:dyDescent="0.3">
      <c r="F98983" s="193"/>
    </row>
    <row r="98984" spans="6:6" x14ac:dyDescent="0.3">
      <c r="F98984" s="193"/>
    </row>
    <row r="98985" spans="6:6" x14ac:dyDescent="0.3">
      <c r="F98985" s="193"/>
    </row>
    <row r="98986" spans="6:6" x14ac:dyDescent="0.3">
      <c r="F98986" s="193"/>
    </row>
    <row r="98987" spans="6:6" x14ac:dyDescent="0.3">
      <c r="F98987" s="193"/>
    </row>
    <row r="98988" spans="6:6" x14ac:dyDescent="0.3">
      <c r="F98988" s="193"/>
    </row>
    <row r="98989" spans="6:6" x14ac:dyDescent="0.3">
      <c r="F98989" s="193"/>
    </row>
    <row r="98990" spans="6:6" x14ac:dyDescent="0.3">
      <c r="F98990" s="193"/>
    </row>
    <row r="98991" spans="6:6" x14ac:dyDescent="0.3">
      <c r="F98991" s="193"/>
    </row>
    <row r="98992" spans="6:6" x14ac:dyDescent="0.3">
      <c r="F98992" s="193"/>
    </row>
    <row r="98993" spans="6:6" x14ac:dyDescent="0.3">
      <c r="F98993" s="193"/>
    </row>
    <row r="98994" spans="6:6" x14ac:dyDescent="0.3">
      <c r="F98994" s="193"/>
    </row>
    <row r="98995" spans="6:6" x14ac:dyDescent="0.3">
      <c r="F98995" s="193"/>
    </row>
    <row r="98996" spans="6:6" x14ac:dyDescent="0.3">
      <c r="F98996" s="193"/>
    </row>
    <row r="98997" spans="6:6" x14ac:dyDescent="0.3">
      <c r="F98997" s="193"/>
    </row>
    <row r="98998" spans="6:6" x14ac:dyDescent="0.3">
      <c r="F98998" s="193"/>
    </row>
    <row r="98999" spans="6:6" x14ac:dyDescent="0.3">
      <c r="F98999" s="193"/>
    </row>
    <row r="99000" spans="6:6" x14ac:dyDescent="0.3">
      <c r="F99000" s="193"/>
    </row>
    <row r="99001" spans="6:6" x14ac:dyDescent="0.3">
      <c r="F99001" s="193"/>
    </row>
    <row r="99002" spans="6:6" x14ac:dyDescent="0.3">
      <c r="F99002" s="193"/>
    </row>
    <row r="99003" spans="6:6" x14ac:dyDescent="0.3">
      <c r="F99003" s="193"/>
    </row>
    <row r="99004" spans="6:6" x14ac:dyDescent="0.3">
      <c r="F99004" s="193"/>
    </row>
    <row r="99005" spans="6:6" x14ac:dyDescent="0.3">
      <c r="F99005" s="193"/>
    </row>
    <row r="99006" spans="6:6" x14ac:dyDescent="0.3">
      <c r="F99006" s="193"/>
    </row>
    <row r="99007" spans="6:6" x14ac:dyDescent="0.3">
      <c r="F99007" s="193"/>
    </row>
    <row r="99008" spans="6:6" x14ac:dyDescent="0.3">
      <c r="F99008" s="193"/>
    </row>
    <row r="99009" spans="6:6" x14ac:dyDescent="0.3">
      <c r="F99009" s="193"/>
    </row>
    <row r="99010" spans="6:6" x14ac:dyDescent="0.3">
      <c r="F99010" s="193"/>
    </row>
    <row r="99011" spans="6:6" x14ac:dyDescent="0.3">
      <c r="F99011" s="193"/>
    </row>
    <row r="99012" spans="6:6" x14ac:dyDescent="0.3">
      <c r="F99012" s="193"/>
    </row>
    <row r="99013" spans="6:6" x14ac:dyDescent="0.3">
      <c r="F99013" s="193"/>
    </row>
    <row r="99014" spans="6:6" x14ac:dyDescent="0.3">
      <c r="F99014" s="193"/>
    </row>
    <row r="99015" spans="6:6" x14ac:dyDescent="0.3">
      <c r="F99015" s="193"/>
    </row>
    <row r="99016" spans="6:6" x14ac:dyDescent="0.3">
      <c r="F99016" s="193"/>
    </row>
    <row r="99017" spans="6:6" x14ac:dyDescent="0.3">
      <c r="F99017" s="193"/>
    </row>
    <row r="99018" spans="6:6" x14ac:dyDescent="0.3">
      <c r="F99018" s="193"/>
    </row>
    <row r="99019" spans="6:6" x14ac:dyDescent="0.3">
      <c r="F99019" s="193"/>
    </row>
    <row r="99020" spans="6:6" x14ac:dyDescent="0.3">
      <c r="F99020" s="193"/>
    </row>
    <row r="99021" spans="6:6" x14ac:dyDescent="0.3">
      <c r="F99021" s="193"/>
    </row>
    <row r="99022" spans="6:6" x14ac:dyDescent="0.3">
      <c r="F99022" s="193"/>
    </row>
    <row r="99023" spans="6:6" x14ac:dyDescent="0.3">
      <c r="F99023" s="193"/>
    </row>
    <row r="99024" spans="6:6" x14ac:dyDescent="0.3">
      <c r="F99024" s="193"/>
    </row>
    <row r="99025" spans="6:6" x14ac:dyDescent="0.3">
      <c r="F99025" s="193"/>
    </row>
    <row r="99026" spans="6:6" x14ac:dyDescent="0.3">
      <c r="F99026" s="193"/>
    </row>
    <row r="99027" spans="6:6" x14ac:dyDescent="0.3">
      <c r="F99027" s="193"/>
    </row>
    <row r="99028" spans="6:6" x14ac:dyDescent="0.3">
      <c r="F99028" s="193"/>
    </row>
    <row r="99029" spans="6:6" x14ac:dyDescent="0.3">
      <c r="F99029" s="193"/>
    </row>
    <row r="99030" spans="6:6" x14ac:dyDescent="0.3">
      <c r="F99030" s="193"/>
    </row>
    <row r="99031" spans="6:6" x14ac:dyDescent="0.3">
      <c r="F99031" s="193"/>
    </row>
    <row r="99032" spans="6:6" x14ac:dyDescent="0.3">
      <c r="F99032" s="193"/>
    </row>
    <row r="99033" spans="6:6" x14ac:dyDescent="0.3">
      <c r="F99033" s="193"/>
    </row>
    <row r="99034" spans="6:6" x14ac:dyDescent="0.3">
      <c r="F99034" s="193"/>
    </row>
    <row r="99035" spans="6:6" x14ac:dyDescent="0.3">
      <c r="F99035" s="193"/>
    </row>
    <row r="99036" spans="6:6" x14ac:dyDescent="0.3">
      <c r="F99036" s="193"/>
    </row>
    <row r="99037" spans="6:6" x14ac:dyDescent="0.3">
      <c r="F99037" s="193"/>
    </row>
    <row r="99038" spans="6:6" x14ac:dyDescent="0.3">
      <c r="F99038" s="193"/>
    </row>
    <row r="99039" spans="6:6" x14ac:dyDescent="0.3">
      <c r="F99039" s="193"/>
    </row>
    <row r="99040" spans="6:6" x14ac:dyDescent="0.3">
      <c r="F99040" s="193"/>
    </row>
    <row r="99041" spans="6:6" x14ac:dyDescent="0.3">
      <c r="F99041" s="193"/>
    </row>
    <row r="99042" spans="6:6" x14ac:dyDescent="0.3">
      <c r="F99042" s="193"/>
    </row>
    <row r="99043" spans="6:6" x14ac:dyDescent="0.3">
      <c r="F99043" s="193"/>
    </row>
    <row r="99044" spans="6:6" x14ac:dyDescent="0.3">
      <c r="F99044" s="193"/>
    </row>
    <row r="99045" spans="6:6" x14ac:dyDescent="0.3">
      <c r="F99045" s="193"/>
    </row>
    <row r="99046" spans="6:6" x14ac:dyDescent="0.3">
      <c r="F99046" s="193"/>
    </row>
    <row r="99047" spans="6:6" x14ac:dyDescent="0.3">
      <c r="F99047" s="193"/>
    </row>
    <row r="99048" spans="6:6" x14ac:dyDescent="0.3">
      <c r="F99048" s="193"/>
    </row>
    <row r="99049" spans="6:6" x14ac:dyDescent="0.3">
      <c r="F99049" s="193"/>
    </row>
    <row r="99050" spans="6:6" x14ac:dyDescent="0.3">
      <c r="F99050" s="193"/>
    </row>
    <row r="99051" spans="6:6" x14ac:dyDescent="0.3">
      <c r="F99051" s="193"/>
    </row>
    <row r="99052" spans="6:6" x14ac:dyDescent="0.3">
      <c r="F99052" s="193"/>
    </row>
    <row r="99053" spans="6:6" x14ac:dyDescent="0.3">
      <c r="F99053" s="193"/>
    </row>
    <row r="99054" spans="6:6" x14ac:dyDescent="0.3">
      <c r="F99054" s="193"/>
    </row>
    <row r="99055" spans="6:6" x14ac:dyDescent="0.3">
      <c r="F99055" s="193"/>
    </row>
    <row r="99056" spans="6:6" x14ac:dyDescent="0.3">
      <c r="F99056" s="193"/>
    </row>
    <row r="99057" spans="6:6" x14ac:dyDescent="0.3">
      <c r="F99057" s="193"/>
    </row>
    <row r="99058" spans="6:6" x14ac:dyDescent="0.3">
      <c r="F99058" s="193"/>
    </row>
    <row r="99059" spans="6:6" x14ac:dyDescent="0.3">
      <c r="F99059" s="193"/>
    </row>
    <row r="99060" spans="6:6" x14ac:dyDescent="0.3">
      <c r="F99060" s="193"/>
    </row>
    <row r="99061" spans="6:6" x14ac:dyDescent="0.3">
      <c r="F99061" s="193"/>
    </row>
    <row r="99062" spans="6:6" x14ac:dyDescent="0.3">
      <c r="F99062" s="193"/>
    </row>
    <row r="99063" spans="6:6" x14ac:dyDescent="0.3">
      <c r="F99063" s="193"/>
    </row>
    <row r="99064" spans="6:6" x14ac:dyDescent="0.3">
      <c r="F99064" s="193"/>
    </row>
    <row r="99065" spans="6:6" x14ac:dyDescent="0.3">
      <c r="F99065" s="193"/>
    </row>
    <row r="99066" spans="6:6" x14ac:dyDescent="0.3">
      <c r="F99066" s="193"/>
    </row>
    <row r="99067" spans="6:6" x14ac:dyDescent="0.3">
      <c r="F99067" s="193"/>
    </row>
    <row r="99068" spans="6:6" x14ac:dyDescent="0.3">
      <c r="F99068" s="193"/>
    </row>
    <row r="99069" spans="6:6" x14ac:dyDescent="0.3">
      <c r="F99069" s="193"/>
    </row>
    <row r="99070" spans="6:6" x14ac:dyDescent="0.3">
      <c r="F99070" s="193"/>
    </row>
    <row r="99071" spans="6:6" x14ac:dyDescent="0.3">
      <c r="F99071" s="193"/>
    </row>
    <row r="99072" spans="6:6" x14ac:dyDescent="0.3">
      <c r="F99072" s="193"/>
    </row>
    <row r="99073" spans="6:6" x14ac:dyDescent="0.3">
      <c r="F99073" s="193"/>
    </row>
    <row r="99074" spans="6:6" x14ac:dyDescent="0.3">
      <c r="F99074" s="193"/>
    </row>
    <row r="99075" spans="6:6" x14ac:dyDescent="0.3">
      <c r="F99075" s="193"/>
    </row>
    <row r="99076" spans="6:6" x14ac:dyDescent="0.3">
      <c r="F99076" s="193"/>
    </row>
    <row r="99077" spans="6:6" x14ac:dyDescent="0.3">
      <c r="F99077" s="193"/>
    </row>
    <row r="99078" spans="6:6" x14ac:dyDescent="0.3">
      <c r="F99078" s="193"/>
    </row>
    <row r="99079" spans="6:6" x14ac:dyDescent="0.3">
      <c r="F99079" s="193"/>
    </row>
    <row r="99080" spans="6:6" x14ac:dyDescent="0.3">
      <c r="F99080" s="193"/>
    </row>
    <row r="99081" spans="6:6" x14ac:dyDescent="0.3">
      <c r="F99081" s="193"/>
    </row>
    <row r="99082" spans="6:6" x14ac:dyDescent="0.3">
      <c r="F99082" s="193"/>
    </row>
    <row r="99083" spans="6:6" x14ac:dyDescent="0.3">
      <c r="F99083" s="193"/>
    </row>
    <row r="99084" spans="6:6" x14ac:dyDescent="0.3">
      <c r="F99084" s="193"/>
    </row>
    <row r="99085" spans="6:6" x14ac:dyDescent="0.3">
      <c r="F99085" s="193"/>
    </row>
    <row r="99086" spans="6:6" x14ac:dyDescent="0.3">
      <c r="F99086" s="193"/>
    </row>
    <row r="99087" spans="6:6" x14ac:dyDescent="0.3">
      <c r="F99087" s="193"/>
    </row>
    <row r="99088" spans="6:6" x14ac:dyDescent="0.3">
      <c r="F99088" s="193"/>
    </row>
    <row r="99089" spans="6:6" x14ac:dyDescent="0.3">
      <c r="F99089" s="193"/>
    </row>
    <row r="99090" spans="6:6" x14ac:dyDescent="0.3">
      <c r="F99090" s="193"/>
    </row>
    <row r="99091" spans="6:6" x14ac:dyDescent="0.3">
      <c r="F99091" s="193"/>
    </row>
    <row r="99092" spans="6:6" x14ac:dyDescent="0.3">
      <c r="F99092" s="193"/>
    </row>
    <row r="99093" spans="6:6" x14ac:dyDescent="0.3">
      <c r="F99093" s="193"/>
    </row>
    <row r="99094" spans="6:6" x14ac:dyDescent="0.3">
      <c r="F99094" s="193"/>
    </row>
    <row r="99095" spans="6:6" x14ac:dyDescent="0.3">
      <c r="F99095" s="193"/>
    </row>
    <row r="99096" spans="6:6" x14ac:dyDescent="0.3">
      <c r="F99096" s="193"/>
    </row>
    <row r="99097" spans="6:6" x14ac:dyDescent="0.3">
      <c r="F99097" s="193"/>
    </row>
    <row r="99098" spans="6:6" x14ac:dyDescent="0.3">
      <c r="F99098" s="193"/>
    </row>
    <row r="99099" spans="6:6" x14ac:dyDescent="0.3">
      <c r="F99099" s="193"/>
    </row>
    <row r="99100" spans="6:6" x14ac:dyDescent="0.3">
      <c r="F99100" s="193"/>
    </row>
    <row r="99101" spans="6:6" x14ac:dyDescent="0.3">
      <c r="F99101" s="193"/>
    </row>
    <row r="99102" spans="6:6" x14ac:dyDescent="0.3">
      <c r="F99102" s="193"/>
    </row>
    <row r="99103" spans="6:6" x14ac:dyDescent="0.3">
      <c r="F99103" s="193"/>
    </row>
    <row r="99104" spans="6:6" x14ac:dyDescent="0.3">
      <c r="F99104" s="193"/>
    </row>
    <row r="99105" spans="6:6" x14ac:dyDescent="0.3">
      <c r="F99105" s="193"/>
    </row>
    <row r="99106" spans="6:6" x14ac:dyDescent="0.3">
      <c r="F99106" s="193"/>
    </row>
    <row r="99107" spans="6:6" x14ac:dyDescent="0.3">
      <c r="F99107" s="193"/>
    </row>
    <row r="99108" spans="6:6" x14ac:dyDescent="0.3">
      <c r="F99108" s="193"/>
    </row>
    <row r="99109" spans="6:6" x14ac:dyDescent="0.3">
      <c r="F99109" s="193"/>
    </row>
    <row r="99110" spans="6:6" x14ac:dyDescent="0.3">
      <c r="F99110" s="193"/>
    </row>
    <row r="99111" spans="6:6" x14ac:dyDescent="0.3">
      <c r="F99111" s="193"/>
    </row>
    <row r="99112" spans="6:6" x14ac:dyDescent="0.3">
      <c r="F99112" s="193"/>
    </row>
    <row r="99113" spans="6:6" x14ac:dyDescent="0.3">
      <c r="F99113" s="193"/>
    </row>
    <row r="99114" spans="6:6" x14ac:dyDescent="0.3">
      <c r="F99114" s="193"/>
    </row>
    <row r="99115" spans="6:6" x14ac:dyDescent="0.3">
      <c r="F99115" s="193"/>
    </row>
    <row r="99116" spans="6:6" x14ac:dyDescent="0.3">
      <c r="F99116" s="193"/>
    </row>
    <row r="99117" spans="6:6" x14ac:dyDescent="0.3">
      <c r="F99117" s="193"/>
    </row>
    <row r="99118" spans="6:6" x14ac:dyDescent="0.3">
      <c r="F99118" s="193"/>
    </row>
    <row r="99119" spans="6:6" x14ac:dyDescent="0.3">
      <c r="F99119" s="193"/>
    </row>
    <row r="99120" spans="6:6" x14ac:dyDescent="0.3">
      <c r="F99120" s="193"/>
    </row>
    <row r="99121" spans="6:6" x14ac:dyDescent="0.3">
      <c r="F99121" s="193"/>
    </row>
    <row r="99122" spans="6:6" x14ac:dyDescent="0.3">
      <c r="F99122" s="193"/>
    </row>
    <row r="99123" spans="6:6" x14ac:dyDescent="0.3">
      <c r="F99123" s="193"/>
    </row>
    <row r="99124" spans="6:6" x14ac:dyDescent="0.3">
      <c r="F99124" s="193"/>
    </row>
    <row r="99125" spans="6:6" x14ac:dyDescent="0.3">
      <c r="F99125" s="193"/>
    </row>
    <row r="99126" spans="6:6" x14ac:dyDescent="0.3">
      <c r="F99126" s="193"/>
    </row>
    <row r="99127" spans="6:6" x14ac:dyDescent="0.3">
      <c r="F99127" s="193"/>
    </row>
    <row r="99128" spans="6:6" x14ac:dyDescent="0.3">
      <c r="F99128" s="193"/>
    </row>
    <row r="99129" spans="6:6" x14ac:dyDescent="0.3">
      <c r="F99129" s="193"/>
    </row>
    <row r="99130" spans="6:6" x14ac:dyDescent="0.3">
      <c r="F99130" s="193"/>
    </row>
    <row r="99131" spans="6:6" x14ac:dyDescent="0.3">
      <c r="F99131" s="193"/>
    </row>
    <row r="99132" spans="6:6" x14ac:dyDescent="0.3">
      <c r="F99132" s="193"/>
    </row>
    <row r="99133" spans="6:6" x14ac:dyDescent="0.3">
      <c r="F99133" s="193"/>
    </row>
    <row r="99134" spans="6:6" x14ac:dyDescent="0.3">
      <c r="F99134" s="193"/>
    </row>
    <row r="99135" spans="6:6" x14ac:dyDescent="0.3">
      <c r="F99135" s="193"/>
    </row>
    <row r="99136" spans="6:6" x14ac:dyDescent="0.3">
      <c r="F99136" s="193"/>
    </row>
    <row r="99137" spans="6:6" x14ac:dyDescent="0.3">
      <c r="F99137" s="193"/>
    </row>
    <row r="99138" spans="6:6" x14ac:dyDescent="0.3">
      <c r="F99138" s="193"/>
    </row>
    <row r="99139" spans="6:6" x14ac:dyDescent="0.3">
      <c r="F99139" s="193"/>
    </row>
    <row r="99140" spans="6:6" x14ac:dyDescent="0.3">
      <c r="F99140" s="193"/>
    </row>
    <row r="99141" spans="6:6" x14ac:dyDescent="0.3">
      <c r="F99141" s="193"/>
    </row>
    <row r="99142" spans="6:6" x14ac:dyDescent="0.3">
      <c r="F99142" s="193"/>
    </row>
    <row r="99143" spans="6:6" x14ac:dyDescent="0.3">
      <c r="F99143" s="193"/>
    </row>
    <row r="99144" spans="6:6" x14ac:dyDescent="0.3">
      <c r="F99144" s="193"/>
    </row>
    <row r="99145" spans="6:6" x14ac:dyDescent="0.3">
      <c r="F99145" s="193"/>
    </row>
    <row r="99146" spans="6:6" x14ac:dyDescent="0.3">
      <c r="F99146" s="193"/>
    </row>
    <row r="99147" spans="6:6" x14ac:dyDescent="0.3">
      <c r="F99147" s="193"/>
    </row>
    <row r="99148" spans="6:6" x14ac:dyDescent="0.3">
      <c r="F99148" s="193"/>
    </row>
    <row r="99149" spans="6:6" x14ac:dyDescent="0.3">
      <c r="F99149" s="193"/>
    </row>
    <row r="99150" spans="6:6" x14ac:dyDescent="0.3">
      <c r="F99150" s="193"/>
    </row>
    <row r="99151" spans="6:6" x14ac:dyDescent="0.3">
      <c r="F99151" s="193"/>
    </row>
    <row r="99152" spans="6:6" x14ac:dyDescent="0.3">
      <c r="F99152" s="193"/>
    </row>
    <row r="99153" spans="6:6" x14ac:dyDescent="0.3">
      <c r="F99153" s="193"/>
    </row>
    <row r="99154" spans="6:6" x14ac:dyDescent="0.3">
      <c r="F99154" s="193"/>
    </row>
    <row r="99155" spans="6:6" x14ac:dyDescent="0.3">
      <c r="F99155" s="193"/>
    </row>
    <row r="99156" spans="6:6" x14ac:dyDescent="0.3">
      <c r="F99156" s="193"/>
    </row>
    <row r="99157" spans="6:6" x14ac:dyDescent="0.3">
      <c r="F99157" s="193"/>
    </row>
    <row r="99158" spans="6:6" x14ac:dyDescent="0.3">
      <c r="F99158" s="193"/>
    </row>
    <row r="99159" spans="6:6" x14ac:dyDescent="0.3">
      <c r="F99159" s="193"/>
    </row>
    <row r="99160" spans="6:6" x14ac:dyDescent="0.3">
      <c r="F99160" s="193"/>
    </row>
    <row r="99161" spans="6:6" x14ac:dyDescent="0.3">
      <c r="F99161" s="193"/>
    </row>
    <row r="99162" spans="6:6" x14ac:dyDescent="0.3">
      <c r="F99162" s="193"/>
    </row>
    <row r="99163" spans="6:6" x14ac:dyDescent="0.3">
      <c r="F99163" s="193"/>
    </row>
    <row r="99164" spans="6:6" x14ac:dyDescent="0.3">
      <c r="F99164" s="193"/>
    </row>
    <row r="99165" spans="6:6" x14ac:dyDescent="0.3">
      <c r="F99165" s="193"/>
    </row>
    <row r="99166" spans="6:6" x14ac:dyDescent="0.3">
      <c r="F99166" s="193"/>
    </row>
    <row r="99167" spans="6:6" x14ac:dyDescent="0.3">
      <c r="F99167" s="193"/>
    </row>
    <row r="99168" spans="6:6" x14ac:dyDescent="0.3">
      <c r="F99168" s="193"/>
    </row>
    <row r="99169" spans="6:6" x14ac:dyDescent="0.3">
      <c r="F99169" s="193"/>
    </row>
    <row r="99170" spans="6:6" x14ac:dyDescent="0.3">
      <c r="F99170" s="193"/>
    </row>
    <row r="99171" spans="6:6" x14ac:dyDescent="0.3">
      <c r="F99171" s="193"/>
    </row>
    <row r="99172" spans="6:6" x14ac:dyDescent="0.3">
      <c r="F99172" s="193"/>
    </row>
    <row r="99173" spans="6:6" x14ac:dyDescent="0.3">
      <c r="F99173" s="193"/>
    </row>
    <row r="99174" spans="6:6" x14ac:dyDescent="0.3">
      <c r="F99174" s="193"/>
    </row>
    <row r="99175" spans="6:6" x14ac:dyDescent="0.3">
      <c r="F99175" s="193"/>
    </row>
    <row r="99176" spans="6:6" x14ac:dyDescent="0.3">
      <c r="F99176" s="193"/>
    </row>
    <row r="99177" spans="6:6" x14ac:dyDescent="0.3">
      <c r="F99177" s="193"/>
    </row>
    <row r="99178" spans="6:6" x14ac:dyDescent="0.3">
      <c r="F99178" s="193"/>
    </row>
    <row r="99179" spans="6:6" x14ac:dyDescent="0.3">
      <c r="F99179" s="193"/>
    </row>
    <row r="99180" spans="6:6" x14ac:dyDescent="0.3">
      <c r="F99180" s="193"/>
    </row>
    <row r="99181" spans="6:6" x14ac:dyDescent="0.3">
      <c r="F99181" s="193"/>
    </row>
    <row r="99182" spans="6:6" x14ac:dyDescent="0.3">
      <c r="F99182" s="193"/>
    </row>
    <row r="99183" spans="6:6" x14ac:dyDescent="0.3">
      <c r="F99183" s="193"/>
    </row>
    <row r="99184" spans="6:6" x14ac:dyDescent="0.3">
      <c r="F99184" s="193"/>
    </row>
    <row r="99185" spans="6:6" x14ac:dyDescent="0.3">
      <c r="F99185" s="193"/>
    </row>
    <row r="99186" spans="6:6" x14ac:dyDescent="0.3">
      <c r="F99186" s="193"/>
    </row>
    <row r="99187" spans="6:6" x14ac:dyDescent="0.3">
      <c r="F99187" s="193"/>
    </row>
    <row r="99188" spans="6:6" x14ac:dyDescent="0.3">
      <c r="F99188" s="193"/>
    </row>
    <row r="99189" spans="6:6" x14ac:dyDescent="0.3">
      <c r="F99189" s="193"/>
    </row>
    <row r="99190" spans="6:6" x14ac:dyDescent="0.3">
      <c r="F99190" s="193"/>
    </row>
    <row r="99191" spans="6:6" x14ac:dyDescent="0.3">
      <c r="F99191" s="193"/>
    </row>
    <row r="99192" spans="6:6" x14ac:dyDescent="0.3">
      <c r="F99192" s="193"/>
    </row>
    <row r="99193" spans="6:6" x14ac:dyDescent="0.3">
      <c r="F99193" s="193"/>
    </row>
    <row r="99194" spans="6:6" x14ac:dyDescent="0.3">
      <c r="F99194" s="193"/>
    </row>
    <row r="99195" spans="6:6" x14ac:dyDescent="0.3">
      <c r="F99195" s="193"/>
    </row>
    <row r="99196" spans="6:6" x14ac:dyDescent="0.3">
      <c r="F99196" s="193"/>
    </row>
    <row r="99197" spans="6:6" x14ac:dyDescent="0.3">
      <c r="F99197" s="193"/>
    </row>
    <row r="99198" spans="6:6" x14ac:dyDescent="0.3">
      <c r="F99198" s="193"/>
    </row>
    <row r="99199" spans="6:6" x14ac:dyDescent="0.3">
      <c r="F99199" s="193"/>
    </row>
    <row r="99200" spans="6:6" x14ac:dyDescent="0.3">
      <c r="F99200" s="193"/>
    </row>
    <row r="99201" spans="6:6" x14ac:dyDescent="0.3">
      <c r="F99201" s="193"/>
    </row>
    <row r="99202" spans="6:6" x14ac:dyDescent="0.3">
      <c r="F99202" s="193"/>
    </row>
    <row r="99203" spans="6:6" x14ac:dyDescent="0.3">
      <c r="F99203" s="193"/>
    </row>
    <row r="99204" spans="6:6" x14ac:dyDescent="0.3">
      <c r="F99204" s="193"/>
    </row>
    <row r="99205" spans="6:6" x14ac:dyDescent="0.3">
      <c r="F99205" s="193"/>
    </row>
    <row r="99206" spans="6:6" x14ac:dyDescent="0.3">
      <c r="F99206" s="193"/>
    </row>
    <row r="99207" spans="6:6" x14ac:dyDescent="0.3">
      <c r="F99207" s="193"/>
    </row>
    <row r="99208" spans="6:6" x14ac:dyDescent="0.3">
      <c r="F99208" s="193"/>
    </row>
    <row r="99209" spans="6:6" x14ac:dyDescent="0.3">
      <c r="F99209" s="193"/>
    </row>
    <row r="99210" spans="6:6" x14ac:dyDescent="0.3">
      <c r="F99210" s="193"/>
    </row>
    <row r="99211" spans="6:6" x14ac:dyDescent="0.3">
      <c r="F99211" s="193"/>
    </row>
    <row r="99212" spans="6:6" x14ac:dyDescent="0.3">
      <c r="F99212" s="193"/>
    </row>
    <row r="99213" spans="6:6" x14ac:dyDescent="0.3">
      <c r="F99213" s="193"/>
    </row>
    <row r="99214" spans="6:6" x14ac:dyDescent="0.3">
      <c r="F99214" s="193"/>
    </row>
    <row r="99215" spans="6:6" x14ac:dyDescent="0.3">
      <c r="F99215" s="193"/>
    </row>
    <row r="99216" spans="6:6" x14ac:dyDescent="0.3">
      <c r="F99216" s="193"/>
    </row>
    <row r="99217" spans="6:6" x14ac:dyDescent="0.3">
      <c r="F99217" s="193"/>
    </row>
    <row r="99218" spans="6:6" x14ac:dyDescent="0.3">
      <c r="F99218" s="193"/>
    </row>
    <row r="99219" spans="6:6" x14ac:dyDescent="0.3">
      <c r="F99219" s="193"/>
    </row>
    <row r="99220" spans="6:6" x14ac:dyDescent="0.3">
      <c r="F99220" s="193"/>
    </row>
    <row r="99221" spans="6:6" x14ac:dyDescent="0.3">
      <c r="F99221" s="193"/>
    </row>
    <row r="99222" spans="6:6" x14ac:dyDescent="0.3">
      <c r="F99222" s="193"/>
    </row>
    <row r="99223" spans="6:6" x14ac:dyDescent="0.3">
      <c r="F99223" s="193"/>
    </row>
    <row r="99224" spans="6:6" x14ac:dyDescent="0.3">
      <c r="F99224" s="193"/>
    </row>
    <row r="99225" spans="6:6" x14ac:dyDescent="0.3">
      <c r="F99225" s="193"/>
    </row>
    <row r="99226" spans="6:6" x14ac:dyDescent="0.3">
      <c r="F99226" s="193"/>
    </row>
    <row r="99227" spans="6:6" x14ac:dyDescent="0.3">
      <c r="F99227" s="193"/>
    </row>
    <row r="99228" spans="6:6" x14ac:dyDescent="0.3">
      <c r="F99228" s="193"/>
    </row>
    <row r="99229" spans="6:6" x14ac:dyDescent="0.3">
      <c r="F99229" s="193"/>
    </row>
    <row r="99230" spans="6:6" x14ac:dyDescent="0.3">
      <c r="F99230" s="193"/>
    </row>
    <row r="99231" spans="6:6" x14ac:dyDescent="0.3">
      <c r="F99231" s="193"/>
    </row>
    <row r="99232" spans="6:6" x14ac:dyDescent="0.3">
      <c r="F99232" s="193"/>
    </row>
    <row r="99233" spans="6:6" x14ac:dyDescent="0.3">
      <c r="F99233" s="193"/>
    </row>
    <row r="99234" spans="6:6" x14ac:dyDescent="0.3">
      <c r="F99234" s="193"/>
    </row>
    <row r="99235" spans="6:6" x14ac:dyDescent="0.3">
      <c r="F99235" s="193"/>
    </row>
    <row r="99236" spans="6:6" x14ac:dyDescent="0.3">
      <c r="F99236" s="193"/>
    </row>
    <row r="99237" spans="6:6" x14ac:dyDescent="0.3">
      <c r="F99237" s="193"/>
    </row>
    <row r="99238" spans="6:6" x14ac:dyDescent="0.3">
      <c r="F99238" s="193"/>
    </row>
    <row r="99239" spans="6:6" x14ac:dyDescent="0.3">
      <c r="F99239" s="193"/>
    </row>
    <row r="99240" spans="6:6" x14ac:dyDescent="0.3">
      <c r="F99240" s="193"/>
    </row>
    <row r="99241" spans="6:6" x14ac:dyDescent="0.3">
      <c r="F99241" s="193"/>
    </row>
    <row r="99242" spans="6:6" x14ac:dyDescent="0.3">
      <c r="F99242" s="193"/>
    </row>
    <row r="99243" spans="6:6" x14ac:dyDescent="0.3">
      <c r="F99243" s="193"/>
    </row>
    <row r="99244" spans="6:6" x14ac:dyDescent="0.3">
      <c r="F99244" s="193"/>
    </row>
    <row r="99245" spans="6:6" x14ac:dyDescent="0.3">
      <c r="F99245" s="193"/>
    </row>
    <row r="99246" spans="6:6" x14ac:dyDescent="0.3">
      <c r="F99246" s="193"/>
    </row>
    <row r="99247" spans="6:6" x14ac:dyDescent="0.3">
      <c r="F99247" s="193"/>
    </row>
    <row r="99248" spans="6:6" x14ac:dyDescent="0.3">
      <c r="F99248" s="193"/>
    </row>
    <row r="99249" spans="6:6" x14ac:dyDescent="0.3">
      <c r="F99249" s="193"/>
    </row>
    <row r="99250" spans="6:6" x14ac:dyDescent="0.3">
      <c r="F99250" s="193"/>
    </row>
    <row r="99251" spans="6:6" x14ac:dyDescent="0.3">
      <c r="F99251" s="193"/>
    </row>
    <row r="99252" spans="6:6" x14ac:dyDescent="0.3">
      <c r="F99252" s="193"/>
    </row>
    <row r="99253" spans="6:6" x14ac:dyDescent="0.3">
      <c r="F99253" s="193"/>
    </row>
    <row r="99254" spans="6:6" x14ac:dyDescent="0.3">
      <c r="F99254" s="193"/>
    </row>
    <row r="99255" spans="6:6" x14ac:dyDescent="0.3">
      <c r="F99255" s="193"/>
    </row>
    <row r="99256" spans="6:6" x14ac:dyDescent="0.3">
      <c r="F99256" s="193"/>
    </row>
    <row r="99257" spans="6:6" x14ac:dyDescent="0.3">
      <c r="F99257" s="193"/>
    </row>
    <row r="99258" spans="6:6" x14ac:dyDescent="0.3">
      <c r="F99258" s="193"/>
    </row>
    <row r="99259" spans="6:6" x14ac:dyDescent="0.3">
      <c r="F99259" s="193"/>
    </row>
    <row r="99260" spans="6:6" x14ac:dyDescent="0.3">
      <c r="F99260" s="193"/>
    </row>
    <row r="99261" spans="6:6" x14ac:dyDescent="0.3">
      <c r="F99261" s="193"/>
    </row>
    <row r="99262" spans="6:6" x14ac:dyDescent="0.3">
      <c r="F99262" s="193"/>
    </row>
    <row r="99263" spans="6:6" x14ac:dyDescent="0.3">
      <c r="F99263" s="193"/>
    </row>
    <row r="99264" spans="6:6" x14ac:dyDescent="0.3">
      <c r="F99264" s="193"/>
    </row>
    <row r="99265" spans="6:6" x14ac:dyDescent="0.3">
      <c r="F99265" s="193"/>
    </row>
    <row r="99266" spans="6:6" x14ac:dyDescent="0.3">
      <c r="F99266" s="193"/>
    </row>
    <row r="99267" spans="6:6" x14ac:dyDescent="0.3">
      <c r="F99267" s="193"/>
    </row>
    <row r="99268" spans="6:6" x14ac:dyDescent="0.3">
      <c r="F99268" s="193"/>
    </row>
    <row r="99269" spans="6:6" x14ac:dyDescent="0.3">
      <c r="F99269" s="193"/>
    </row>
    <row r="99270" spans="6:6" x14ac:dyDescent="0.3">
      <c r="F99270" s="193"/>
    </row>
    <row r="99271" spans="6:6" x14ac:dyDescent="0.3">
      <c r="F99271" s="193"/>
    </row>
    <row r="99272" spans="6:6" x14ac:dyDescent="0.3">
      <c r="F99272" s="193"/>
    </row>
    <row r="99273" spans="6:6" x14ac:dyDescent="0.3">
      <c r="F99273" s="193"/>
    </row>
    <row r="99274" spans="6:6" x14ac:dyDescent="0.3">
      <c r="F99274" s="193"/>
    </row>
    <row r="99275" spans="6:6" x14ac:dyDescent="0.3">
      <c r="F99275" s="193"/>
    </row>
    <row r="99276" spans="6:6" x14ac:dyDescent="0.3">
      <c r="F99276" s="193"/>
    </row>
    <row r="99277" spans="6:6" x14ac:dyDescent="0.3">
      <c r="F99277" s="193"/>
    </row>
    <row r="99278" spans="6:6" x14ac:dyDescent="0.3">
      <c r="F99278" s="193"/>
    </row>
    <row r="99279" spans="6:6" x14ac:dyDescent="0.3">
      <c r="F99279" s="193"/>
    </row>
    <row r="99280" spans="6:6" x14ac:dyDescent="0.3">
      <c r="F99280" s="193"/>
    </row>
    <row r="99281" spans="6:6" x14ac:dyDescent="0.3">
      <c r="F99281" s="193"/>
    </row>
    <row r="99282" spans="6:6" x14ac:dyDescent="0.3">
      <c r="F99282" s="193"/>
    </row>
    <row r="99283" spans="6:6" x14ac:dyDescent="0.3">
      <c r="F99283" s="193"/>
    </row>
    <row r="99284" spans="6:6" x14ac:dyDescent="0.3">
      <c r="F99284" s="193"/>
    </row>
    <row r="99285" spans="6:6" x14ac:dyDescent="0.3">
      <c r="F99285" s="193"/>
    </row>
    <row r="99286" spans="6:6" x14ac:dyDescent="0.3">
      <c r="F99286" s="193"/>
    </row>
    <row r="99287" spans="6:6" x14ac:dyDescent="0.3">
      <c r="F99287" s="193"/>
    </row>
    <row r="99288" spans="6:6" x14ac:dyDescent="0.3">
      <c r="F99288" s="193"/>
    </row>
    <row r="99289" spans="6:6" x14ac:dyDescent="0.3">
      <c r="F99289" s="193"/>
    </row>
    <row r="99290" spans="6:6" x14ac:dyDescent="0.3">
      <c r="F99290" s="193"/>
    </row>
    <row r="99291" spans="6:6" x14ac:dyDescent="0.3">
      <c r="F99291" s="193"/>
    </row>
    <row r="99292" spans="6:6" x14ac:dyDescent="0.3">
      <c r="F99292" s="193"/>
    </row>
    <row r="99293" spans="6:6" x14ac:dyDescent="0.3">
      <c r="F99293" s="193"/>
    </row>
    <row r="99294" spans="6:6" x14ac:dyDescent="0.3">
      <c r="F99294" s="193"/>
    </row>
    <row r="99295" spans="6:6" x14ac:dyDescent="0.3">
      <c r="F99295" s="193"/>
    </row>
    <row r="99296" spans="6:6" x14ac:dyDescent="0.3">
      <c r="F99296" s="193"/>
    </row>
    <row r="99297" spans="6:6" x14ac:dyDescent="0.3">
      <c r="F99297" s="193"/>
    </row>
    <row r="99298" spans="6:6" x14ac:dyDescent="0.3">
      <c r="F99298" s="193"/>
    </row>
    <row r="99299" spans="6:6" x14ac:dyDescent="0.3">
      <c r="F99299" s="193"/>
    </row>
    <row r="99300" spans="6:6" x14ac:dyDescent="0.3">
      <c r="F99300" s="193"/>
    </row>
    <row r="99301" spans="6:6" x14ac:dyDescent="0.3">
      <c r="F99301" s="193"/>
    </row>
    <row r="99302" spans="6:6" x14ac:dyDescent="0.3">
      <c r="F99302" s="193"/>
    </row>
    <row r="99303" spans="6:6" x14ac:dyDescent="0.3">
      <c r="F99303" s="193"/>
    </row>
    <row r="99304" spans="6:6" x14ac:dyDescent="0.3">
      <c r="F99304" s="193"/>
    </row>
    <row r="99305" spans="6:6" x14ac:dyDescent="0.3">
      <c r="F99305" s="193"/>
    </row>
    <row r="99306" spans="6:6" x14ac:dyDescent="0.3">
      <c r="F99306" s="193"/>
    </row>
    <row r="99307" spans="6:6" x14ac:dyDescent="0.3">
      <c r="F99307" s="193"/>
    </row>
    <row r="99308" spans="6:6" x14ac:dyDescent="0.3">
      <c r="F99308" s="193"/>
    </row>
    <row r="99309" spans="6:6" x14ac:dyDescent="0.3">
      <c r="F99309" s="193"/>
    </row>
    <row r="99310" spans="6:6" x14ac:dyDescent="0.3">
      <c r="F99310" s="193"/>
    </row>
    <row r="99311" spans="6:6" x14ac:dyDescent="0.3">
      <c r="F99311" s="193"/>
    </row>
    <row r="99312" spans="6:6" x14ac:dyDescent="0.3">
      <c r="F99312" s="193"/>
    </row>
    <row r="99313" spans="6:6" x14ac:dyDescent="0.3">
      <c r="F99313" s="193"/>
    </row>
    <row r="99314" spans="6:6" x14ac:dyDescent="0.3">
      <c r="F99314" s="193"/>
    </row>
    <row r="99315" spans="6:6" x14ac:dyDescent="0.3">
      <c r="F99315" s="193"/>
    </row>
    <row r="99316" spans="6:6" x14ac:dyDescent="0.3">
      <c r="F99316" s="193"/>
    </row>
    <row r="99317" spans="6:6" x14ac:dyDescent="0.3">
      <c r="F99317" s="193"/>
    </row>
    <row r="99318" spans="6:6" x14ac:dyDescent="0.3">
      <c r="F99318" s="193"/>
    </row>
    <row r="99319" spans="6:6" x14ac:dyDescent="0.3">
      <c r="F99319" s="193"/>
    </row>
    <row r="99320" spans="6:6" x14ac:dyDescent="0.3">
      <c r="F99320" s="193"/>
    </row>
    <row r="99321" spans="6:6" x14ac:dyDescent="0.3">
      <c r="F99321" s="193"/>
    </row>
    <row r="99322" spans="6:6" x14ac:dyDescent="0.3">
      <c r="F99322" s="193"/>
    </row>
    <row r="99323" spans="6:6" x14ac:dyDescent="0.3">
      <c r="F99323" s="193"/>
    </row>
    <row r="99324" spans="6:6" x14ac:dyDescent="0.3">
      <c r="F99324" s="193"/>
    </row>
    <row r="99325" spans="6:6" x14ac:dyDescent="0.3">
      <c r="F99325" s="193"/>
    </row>
    <row r="99326" spans="6:6" x14ac:dyDescent="0.3">
      <c r="F99326" s="193"/>
    </row>
    <row r="99327" spans="6:6" x14ac:dyDescent="0.3">
      <c r="F99327" s="193"/>
    </row>
    <row r="99328" spans="6:6" x14ac:dyDescent="0.3">
      <c r="F99328" s="193"/>
    </row>
    <row r="99329" spans="6:6" x14ac:dyDescent="0.3">
      <c r="F99329" s="193"/>
    </row>
    <row r="99330" spans="6:6" x14ac:dyDescent="0.3">
      <c r="F99330" s="193"/>
    </row>
    <row r="99331" spans="6:6" x14ac:dyDescent="0.3">
      <c r="F99331" s="193"/>
    </row>
    <row r="99332" spans="6:6" x14ac:dyDescent="0.3">
      <c r="F99332" s="193"/>
    </row>
    <row r="99333" spans="6:6" x14ac:dyDescent="0.3">
      <c r="F99333" s="193"/>
    </row>
    <row r="99334" spans="6:6" x14ac:dyDescent="0.3">
      <c r="F99334" s="193"/>
    </row>
    <row r="99335" spans="6:6" x14ac:dyDescent="0.3">
      <c r="F99335" s="193"/>
    </row>
    <row r="99336" spans="6:6" x14ac:dyDescent="0.3">
      <c r="F99336" s="193"/>
    </row>
    <row r="99337" spans="6:6" x14ac:dyDescent="0.3">
      <c r="F99337" s="193"/>
    </row>
    <row r="99338" spans="6:6" x14ac:dyDescent="0.3">
      <c r="F99338" s="193"/>
    </row>
    <row r="99339" spans="6:6" x14ac:dyDescent="0.3">
      <c r="F99339" s="193"/>
    </row>
    <row r="99340" spans="6:6" x14ac:dyDescent="0.3">
      <c r="F99340" s="193"/>
    </row>
    <row r="99341" spans="6:6" x14ac:dyDescent="0.3">
      <c r="F99341" s="193"/>
    </row>
    <row r="99342" spans="6:6" x14ac:dyDescent="0.3">
      <c r="F99342" s="193"/>
    </row>
    <row r="99343" spans="6:6" x14ac:dyDescent="0.3">
      <c r="F99343" s="193"/>
    </row>
    <row r="99344" spans="6:6" x14ac:dyDescent="0.3">
      <c r="F99344" s="193"/>
    </row>
    <row r="99345" spans="6:6" x14ac:dyDescent="0.3">
      <c r="F99345" s="193"/>
    </row>
    <row r="99346" spans="6:6" x14ac:dyDescent="0.3">
      <c r="F99346" s="193"/>
    </row>
    <row r="99347" spans="6:6" x14ac:dyDescent="0.3">
      <c r="F99347" s="193"/>
    </row>
    <row r="99348" spans="6:6" x14ac:dyDescent="0.3">
      <c r="F99348" s="193"/>
    </row>
    <row r="99349" spans="6:6" x14ac:dyDescent="0.3">
      <c r="F99349" s="193"/>
    </row>
    <row r="99350" spans="6:6" x14ac:dyDescent="0.3">
      <c r="F99350" s="193"/>
    </row>
    <row r="99351" spans="6:6" x14ac:dyDescent="0.3">
      <c r="F99351" s="193"/>
    </row>
    <row r="99352" spans="6:6" x14ac:dyDescent="0.3">
      <c r="F99352" s="193"/>
    </row>
    <row r="99353" spans="6:6" x14ac:dyDescent="0.3">
      <c r="F99353" s="193"/>
    </row>
    <row r="99354" spans="6:6" x14ac:dyDescent="0.3">
      <c r="F99354" s="193"/>
    </row>
    <row r="99355" spans="6:6" x14ac:dyDescent="0.3">
      <c r="F99355" s="193"/>
    </row>
    <row r="99356" spans="6:6" x14ac:dyDescent="0.3">
      <c r="F99356" s="193"/>
    </row>
    <row r="99357" spans="6:6" x14ac:dyDescent="0.3">
      <c r="F99357" s="193"/>
    </row>
    <row r="99358" spans="6:6" x14ac:dyDescent="0.3">
      <c r="F99358" s="193"/>
    </row>
    <row r="99359" spans="6:6" x14ac:dyDescent="0.3">
      <c r="F99359" s="193"/>
    </row>
    <row r="99360" spans="6:6" x14ac:dyDescent="0.3">
      <c r="F99360" s="193"/>
    </row>
    <row r="99361" spans="6:6" x14ac:dyDescent="0.3">
      <c r="F99361" s="193"/>
    </row>
    <row r="99362" spans="6:6" x14ac:dyDescent="0.3">
      <c r="F99362" s="193"/>
    </row>
    <row r="99363" spans="6:6" x14ac:dyDescent="0.3">
      <c r="F99363" s="193"/>
    </row>
    <row r="99364" spans="6:6" x14ac:dyDescent="0.3">
      <c r="F99364" s="193"/>
    </row>
    <row r="99365" spans="6:6" x14ac:dyDescent="0.3">
      <c r="F99365" s="193"/>
    </row>
    <row r="99366" spans="6:6" x14ac:dyDescent="0.3">
      <c r="F99366" s="193"/>
    </row>
    <row r="99367" spans="6:6" x14ac:dyDescent="0.3">
      <c r="F99367" s="193"/>
    </row>
    <row r="99368" spans="6:6" x14ac:dyDescent="0.3">
      <c r="F99368" s="193"/>
    </row>
    <row r="99369" spans="6:6" x14ac:dyDescent="0.3">
      <c r="F99369" s="193"/>
    </row>
    <row r="99370" spans="6:6" x14ac:dyDescent="0.3">
      <c r="F99370" s="193"/>
    </row>
    <row r="99371" spans="6:6" x14ac:dyDescent="0.3">
      <c r="F99371" s="193"/>
    </row>
    <row r="99372" spans="6:6" x14ac:dyDescent="0.3">
      <c r="F99372" s="193"/>
    </row>
    <row r="99373" spans="6:6" x14ac:dyDescent="0.3">
      <c r="F99373" s="193"/>
    </row>
    <row r="99374" spans="6:6" x14ac:dyDescent="0.3">
      <c r="F99374" s="193"/>
    </row>
    <row r="99375" spans="6:6" x14ac:dyDescent="0.3">
      <c r="F99375" s="193"/>
    </row>
    <row r="99376" spans="6:6" x14ac:dyDescent="0.3">
      <c r="F99376" s="193"/>
    </row>
    <row r="99377" spans="6:6" x14ac:dyDescent="0.3">
      <c r="F99377" s="193"/>
    </row>
    <row r="99378" spans="6:6" x14ac:dyDescent="0.3">
      <c r="F99378" s="193"/>
    </row>
    <row r="99379" spans="6:6" x14ac:dyDescent="0.3">
      <c r="F99379" s="193"/>
    </row>
    <row r="99380" spans="6:6" x14ac:dyDescent="0.3">
      <c r="F99380" s="193"/>
    </row>
    <row r="99381" spans="6:6" x14ac:dyDescent="0.3">
      <c r="F99381" s="193"/>
    </row>
    <row r="99382" spans="6:6" x14ac:dyDescent="0.3">
      <c r="F99382" s="193"/>
    </row>
    <row r="99383" spans="6:6" x14ac:dyDescent="0.3">
      <c r="F99383" s="193"/>
    </row>
    <row r="99384" spans="6:6" x14ac:dyDescent="0.3">
      <c r="F99384" s="193"/>
    </row>
    <row r="99385" spans="6:6" x14ac:dyDescent="0.3">
      <c r="F99385" s="193"/>
    </row>
    <row r="99386" spans="6:6" x14ac:dyDescent="0.3">
      <c r="F99386" s="193"/>
    </row>
    <row r="99387" spans="6:6" x14ac:dyDescent="0.3">
      <c r="F99387" s="193"/>
    </row>
    <row r="99388" spans="6:6" x14ac:dyDescent="0.3">
      <c r="F99388" s="193"/>
    </row>
    <row r="99389" spans="6:6" x14ac:dyDescent="0.3">
      <c r="F99389" s="193"/>
    </row>
    <row r="99390" spans="6:6" x14ac:dyDescent="0.3">
      <c r="F99390" s="193"/>
    </row>
    <row r="99391" spans="6:6" x14ac:dyDescent="0.3">
      <c r="F99391" s="193"/>
    </row>
    <row r="99392" spans="6:6" x14ac:dyDescent="0.3">
      <c r="F99392" s="193"/>
    </row>
    <row r="99393" spans="6:6" x14ac:dyDescent="0.3">
      <c r="F99393" s="193"/>
    </row>
    <row r="99394" spans="6:6" x14ac:dyDescent="0.3">
      <c r="F99394" s="193"/>
    </row>
    <row r="99395" spans="6:6" x14ac:dyDescent="0.3">
      <c r="F99395" s="193"/>
    </row>
    <row r="99396" spans="6:6" x14ac:dyDescent="0.3">
      <c r="F99396" s="193"/>
    </row>
    <row r="99397" spans="6:6" x14ac:dyDescent="0.3">
      <c r="F99397" s="193"/>
    </row>
    <row r="99398" spans="6:6" x14ac:dyDescent="0.3">
      <c r="F99398" s="193"/>
    </row>
    <row r="99399" spans="6:6" x14ac:dyDescent="0.3">
      <c r="F99399" s="193"/>
    </row>
    <row r="99400" spans="6:6" x14ac:dyDescent="0.3">
      <c r="F99400" s="193"/>
    </row>
    <row r="99401" spans="6:6" x14ac:dyDescent="0.3">
      <c r="F99401" s="193"/>
    </row>
    <row r="99402" spans="6:6" x14ac:dyDescent="0.3">
      <c r="F99402" s="193"/>
    </row>
    <row r="99403" spans="6:6" x14ac:dyDescent="0.3">
      <c r="F99403" s="193"/>
    </row>
    <row r="99404" spans="6:6" x14ac:dyDescent="0.3">
      <c r="F99404" s="193"/>
    </row>
    <row r="99405" spans="6:6" x14ac:dyDescent="0.3">
      <c r="F99405" s="193"/>
    </row>
    <row r="99406" spans="6:6" x14ac:dyDescent="0.3">
      <c r="F99406" s="193"/>
    </row>
    <row r="99407" spans="6:6" x14ac:dyDescent="0.3">
      <c r="F99407" s="193"/>
    </row>
    <row r="99408" spans="6:6" x14ac:dyDescent="0.3">
      <c r="F99408" s="193"/>
    </row>
    <row r="99409" spans="6:6" x14ac:dyDescent="0.3">
      <c r="F99409" s="193"/>
    </row>
    <row r="99410" spans="6:6" x14ac:dyDescent="0.3">
      <c r="F99410" s="193"/>
    </row>
    <row r="99411" spans="6:6" x14ac:dyDescent="0.3">
      <c r="F99411" s="193"/>
    </row>
    <row r="99412" spans="6:6" x14ac:dyDescent="0.3">
      <c r="F99412" s="193"/>
    </row>
    <row r="99413" spans="6:6" x14ac:dyDescent="0.3">
      <c r="F99413" s="193"/>
    </row>
    <row r="99414" spans="6:6" x14ac:dyDescent="0.3">
      <c r="F99414" s="193"/>
    </row>
    <row r="99415" spans="6:6" x14ac:dyDescent="0.3">
      <c r="F99415" s="193"/>
    </row>
    <row r="99416" spans="6:6" x14ac:dyDescent="0.3">
      <c r="F99416" s="193"/>
    </row>
    <row r="99417" spans="6:6" x14ac:dyDescent="0.3">
      <c r="F99417" s="193"/>
    </row>
    <row r="99418" spans="6:6" x14ac:dyDescent="0.3">
      <c r="F99418" s="193"/>
    </row>
    <row r="99419" spans="6:6" x14ac:dyDescent="0.3">
      <c r="F99419" s="193"/>
    </row>
    <row r="99420" spans="6:6" x14ac:dyDescent="0.3">
      <c r="F99420" s="193"/>
    </row>
    <row r="99421" spans="6:6" x14ac:dyDescent="0.3">
      <c r="F99421" s="193"/>
    </row>
    <row r="99422" spans="6:6" x14ac:dyDescent="0.3">
      <c r="F99422" s="193"/>
    </row>
    <row r="99423" spans="6:6" x14ac:dyDescent="0.3">
      <c r="F99423" s="193"/>
    </row>
    <row r="99424" spans="6:6" x14ac:dyDescent="0.3">
      <c r="F99424" s="193"/>
    </row>
    <row r="99425" spans="6:6" x14ac:dyDescent="0.3">
      <c r="F99425" s="193"/>
    </row>
    <row r="99426" spans="6:6" x14ac:dyDescent="0.3">
      <c r="F99426" s="193"/>
    </row>
    <row r="99427" spans="6:6" x14ac:dyDescent="0.3">
      <c r="F99427" s="193"/>
    </row>
    <row r="99428" spans="6:6" x14ac:dyDescent="0.3">
      <c r="F99428" s="193"/>
    </row>
    <row r="99429" spans="6:6" x14ac:dyDescent="0.3">
      <c r="F99429" s="193"/>
    </row>
    <row r="99430" spans="6:6" x14ac:dyDescent="0.3">
      <c r="F99430" s="193"/>
    </row>
    <row r="99431" spans="6:6" x14ac:dyDescent="0.3">
      <c r="F99431" s="193"/>
    </row>
    <row r="99432" spans="6:6" x14ac:dyDescent="0.3">
      <c r="F99432" s="193"/>
    </row>
    <row r="99433" spans="6:6" x14ac:dyDescent="0.3">
      <c r="F99433" s="193"/>
    </row>
    <row r="99434" spans="6:6" x14ac:dyDescent="0.3">
      <c r="F99434" s="193"/>
    </row>
    <row r="99435" spans="6:6" x14ac:dyDescent="0.3">
      <c r="F99435" s="193"/>
    </row>
    <row r="99436" spans="6:6" x14ac:dyDescent="0.3">
      <c r="F99436" s="193"/>
    </row>
    <row r="99437" spans="6:6" x14ac:dyDescent="0.3">
      <c r="F99437" s="193"/>
    </row>
    <row r="99438" spans="6:6" x14ac:dyDescent="0.3">
      <c r="F99438" s="193"/>
    </row>
    <row r="99439" spans="6:6" x14ac:dyDescent="0.3">
      <c r="F99439" s="193"/>
    </row>
    <row r="99440" spans="6:6" x14ac:dyDescent="0.3">
      <c r="F99440" s="193"/>
    </row>
    <row r="99441" spans="6:6" x14ac:dyDescent="0.3">
      <c r="F99441" s="193"/>
    </row>
    <row r="99442" spans="6:6" x14ac:dyDescent="0.3">
      <c r="F99442" s="193"/>
    </row>
    <row r="99443" spans="6:6" x14ac:dyDescent="0.3">
      <c r="F99443" s="193"/>
    </row>
    <row r="99444" spans="6:6" x14ac:dyDescent="0.3">
      <c r="F99444" s="193"/>
    </row>
    <row r="99445" spans="6:6" x14ac:dyDescent="0.3">
      <c r="F99445" s="193"/>
    </row>
    <row r="99446" spans="6:6" x14ac:dyDescent="0.3">
      <c r="F99446" s="193"/>
    </row>
    <row r="99447" spans="6:6" x14ac:dyDescent="0.3">
      <c r="F99447" s="193"/>
    </row>
    <row r="99448" spans="6:6" x14ac:dyDescent="0.3">
      <c r="F99448" s="193"/>
    </row>
    <row r="99449" spans="6:6" x14ac:dyDescent="0.3">
      <c r="F99449" s="193"/>
    </row>
    <row r="99450" spans="6:6" x14ac:dyDescent="0.3">
      <c r="F99450" s="193"/>
    </row>
    <row r="99451" spans="6:6" x14ac:dyDescent="0.3">
      <c r="F99451" s="193"/>
    </row>
    <row r="99452" spans="6:6" x14ac:dyDescent="0.3">
      <c r="F99452" s="193"/>
    </row>
    <row r="99453" spans="6:6" x14ac:dyDescent="0.3">
      <c r="F99453" s="193"/>
    </row>
    <row r="99454" spans="6:6" x14ac:dyDescent="0.3">
      <c r="F99454" s="193"/>
    </row>
    <row r="99455" spans="6:6" x14ac:dyDescent="0.3">
      <c r="F99455" s="193"/>
    </row>
    <row r="99456" spans="6:6" x14ac:dyDescent="0.3">
      <c r="F99456" s="193"/>
    </row>
    <row r="99457" spans="6:6" x14ac:dyDescent="0.3">
      <c r="F99457" s="193"/>
    </row>
    <row r="99458" spans="6:6" x14ac:dyDescent="0.3">
      <c r="F99458" s="193"/>
    </row>
    <row r="99459" spans="6:6" x14ac:dyDescent="0.3">
      <c r="F99459" s="193"/>
    </row>
    <row r="99460" spans="6:6" x14ac:dyDescent="0.3">
      <c r="F99460" s="193"/>
    </row>
    <row r="99461" spans="6:6" x14ac:dyDescent="0.3">
      <c r="F99461" s="193"/>
    </row>
    <row r="99462" spans="6:6" x14ac:dyDescent="0.3">
      <c r="F99462" s="193"/>
    </row>
    <row r="99463" spans="6:6" x14ac:dyDescent="0.3">
      <c r="F99463" s="193"/>
    </row>
    <row r="99464" spans="6:6" x14ac:dyDescent="0.3">
      <c r="F99464" s="193"/>
    </row>
    <row r="99465" spans="6:6" x14ac:dyDescent="0.3">
      <c r="F99465" s="193"/>
    </row>
    <row r="99466" spans="6:6" x14ac:dyDescent="0.3">
      <c r="F99466" s="193"/>
    </row>
    <row r="99467" spans="6:6" x14ac:dyDescent="0.3">
      <c r="F99467" s="193"/>
    </row>
    <row r="99468" spans="6:6" x14ac:dyDescent="0.3">
      <c r="F99468" s="193"/>
    </row>
    <row r="99469" spans="6:6" x14ac:dyDescent="0.3">
      <c r="F99469" s="193"/>
    </row>
    <row r="99470" spans="6:6" x14ac:dyDescent="0.3">
      <c r="F99470" s="193"/>
    </row>
    <row r="99471" spans="6:6" x14ac:dyDescent="0.3">
      <c r="F99471" s="193"/>
    </row>
    <row r="99472" spans="6:6" x14ac:dyDescent="0.3">
      <c r="F99472" s="193"/>
    </row>
    <row r="99473" spans="6:6" x14ac:dyDescent="0.3">
      <c r="F99473" s="193"/>
    </row>
    <row r="99474" spans="6:6" x14ac:dyDescent="0.3">
      <c r="F99474" s="193"/>
    </row>
    <row r="99475" spans="6:6" x14ac:dyDescent="0.3">
      <c r="F99475" s="193"/>
    </row>
    <row r="99476" spans="6:6" x14ac:dyDescent="0.3">
      <c r="F99476" s="193"/>
    </row>
    <row r="99477" spans="6:6" x14ac:dyDescent="0.3">
      <c r="F99477" s="193"/>
    </row>
    <row r="99478" spans="6:6" x14ac:dyDescent="0.3">
      <c r="F99478" s="193"/>
    </row>
    <row r="99479" spans="6:6" x14ac:dyDescent="0.3">
      <c r="F99479" s="193"/>
    </row>
    <row r="99480" spans="6:6" x14ac:dyDescent="0.3">
      <c r="F99480" s="193"/>
    </row>
    <row r="99481" spans="6:6" x14ac:dyDescent="0.3">
      <c r="F99481" s="193"/>
    </row>
    <row r="99482" spans="6:6" x14ac:dyDescent="0.3">
      <c r="F99482" s="193"/>
    </row>
    <row r="99483" spans="6:6" x14ac:dyDescent="0.3">
      <c r="F99483" s="193"/>
    </row>
    <row r="99484" spans="6:6" x14ac:dyDescent="0.3">
      <c r="F99484" s="193"/>
    </row>
    <row r="99485" spans="6:6" x14ac:dyDescent="0.3">
      <c r="F99485" s="193"/>
    </row>
    <row r="99486" spans="6:6" x14ac:dyDescent="0.3">
      <c r="F99486" s="193"/>
    </row>
    <row r="99487" spans="6:6" x14ac:dyDescent="0.3">
      <c r="F99487" s="193"/>
    </row>
    <row r="99488" spans="6:6" x14ac:dyDescent="0.3">
      <c r="F99488" s="193"/>
    </row>
    <row r="99489" spans="6:6" x14ac:dyDescent="0.3">
      <c r="F99489" s="193"/>
    </row>
    <row r="99490" spans="6:6" x14ac:dyDescent="0.3">
      <c r="F99490" s="193"/>
    </row>
    <row r="99491" spans="6:6" x14ac:dyDescent="0.3">
      <c r="F99491" s="193"/>
    </row>
    <row r="99492" spans="6:6" x14ac:dyDescent="0.3">
      <c r="F99492" s="193"/>
    </row>
    <row r="99493" spans="6:6" x14ac:dyDescent="0.3">
      <c r="F99493" s="193"/>
    </row>
    <row r="99494" spans="6:6" x14ac:dyDescent="0.3">
      <c r="F99494" s="193"/>
    </row>
    <row r="99495" spans="6:6" x14ac:dyDescent="0.3">
      <c r="F99495" s="193"/>
    </row>
    <row r="99496" spans="6:6" x14ac:dyDescent="0.3">
      <c r="F99496" s="193"/>
    </row>
    <row r="99497" spans="6:6" x14ac:dyDescent="0.3">
      <c r="F99497" s="193"/>
    </row>
    <row r="99498" spans="6:6" x14ac:dyDescent="0.3">
      <c r="F99498" s="193"/>
    </row>
    <row r="99499" spans="6:6" x14ac:dyDescent="0.3">
      <c r="F99499" s="193"/>
    </row>
    <row r="99500" spans="6:6" x14ac:dyDescent="0.3">
      <c r="F99500" s="193"/>
    </row>
    <row r="99501" spans="6:6" x14ac:dyDescent="0.3">
      <c r="F99501" s="193"/>
    </row>
    <row r="99502" spans="6:6" x14ac:dyDescent="0.3">
      <c r="F99502" s="193"/>
    </row>
    <row r="99503" spans="6:6" x14ac:dyDescent="0.3">
      <c r="F99503" s="193"/>
    </row>
    <row r="99504" spans="6:6" x14ac:dyDescent="0.3">
      <c r="F99504" s="193"/>
    </row>
    <row r="99505" spans="6:6" x14ac:dyDescent="0.3">
      <c r="F99505" s="193"/>
    </row>
    <row r="99506" spans="6:6" x14ac:dyDescent="0.3">
      <c r="F99506" s="193"/>
    </row>
    <row r="99507" spans="6:6" x14ac:dyDescent="0.3">
      <c r="F99507" s="193"/>
    </row>
    <row r="99508" spans="6:6" x14ac:dyDescent="0.3">
      <c r="F99508" s="193"/>
    </row>
    <row r="99509" spans="6:6" x14ac:dyDescent="0.3">
      <c r="F99509" s="193"/>
    </row>
    <row r="99510" spans="6:6" x14ac:dyDescent="0.3">
      <c r="F99510" s="193"/>
    </row>
    <row r="99511" spans="6:6" x14ac:dyDescent="0.3">
      <c r="F99511" s="193"/>
    </row>
    <row r="99512" spans="6:6" x14ac:dyDescent="0.3">
      <c r="F99512" s="193"/>
    </row>
    <row r="99513" spans="6:6" x14ac:dyDescent="0.3">
      <c r="F99513" s="193"/>
    </row>
    <row r="99514" spans="6:6" x14ac:dyDescent="0.3">
      <c r="F99514" s="193"/>
    </row>
    <row r="99515" spans="6:6" x14ac:dyDescent="0.3">
      <c r="F99515" s="193"/>
    </row>
    <row r="99516" spans="6:6" x14ac:dyDescent="0.3">
      <c r="F99516" s="193"/>
    </row>
    <row r="99517" spans="6:6" x14ac:dyDescent="0.3">
      <c r="F99517" s="193"/>
    </row>
    <row r="99518" spans="6:6" x14ac:dyDescent="0.3">
      <c r="F99518" s="193"/>
    </row>
    <row r="99519" spans="6:6" x14ac:dyDescent="0.3">
      <c r="F99519" s="193"/>
    </row>
    <row r="99520" spans="6:6" x14ac:dyDescent="0.3">
      <c r="F99520" s="193"/>
    </row>
    <row r="99521" spans="6:6" x14ac:dyDescent="0.3">
      <c r="F99521" s="193"/>
    </row>
    <row r="99522" spans="6:6" x14ac:dyDescent="0.3">
      <c r="F99522" s="193"/>
    </row>
    <row r="99523" spans="6:6" x14ac:dyDescent="0.3">
      <c r="F99523" s="193"/>
    </row>
    <row r="99524" spans="6:6" x14ac:dyDescent="0.3">
      <c r="F99524" s="193"/>
    </row>
    <row r="99525" spans="6:6" x14ac:dyDescent="0.3">
      <c r="F99525" s="193"/>
    </row>
    <row r="99526" spans="6:6" x14ac:dyDescent="0.3">
      <c r="F99526" s="193"/>
    </row>
    <row r="99527" spans="6:6" x14ac:dyDescent="0.3">
      <c r="F99527" s="193"/>
    </row>
    <row r="99528" spans="6:6" x14ac:dyDescent="0.3">
      <c r="F99528" s="193"/>
    </row>
    <row r="99529" spans="6:6" x14ac:dyDescent="0.3">
      <c r="F99529" s="193"/>
    </row>
    <row r="99530" spans="6:6" x14ac:dyDescent="0.3">
      <c r="F99530" s="193"/>
    </row>
    <row r="99531" spans="6:6" x14ac:dyDescent="0.3">
      <c r="F99531" s="193"/>
    </row>
    <row r="99532" spans="6:6" x14ac:dyDescent="0.3">
      <c r="F99532" s="193"/>
    </row>
    <row r="99533" spans="6:6" x14ac:dyDescent="0.3">
      <c r="F99533" s="193"/>
    </row>
    <row r="99534" spans="6:6" x14ac:dyDescent="0.3">
      <c r="F99534" s="193"/>
    </row>
    <row r="99535" spans="6:6" x14ac:dyDescent="0.3">
      <c r="F99535" s="193"/>
    </row>
    <row r="99536" spans="6:6" x14ac:dyDescent="0.3">
      <c r="F99536" s="193"/>
    </row>
    <row r="99537" spans="6:6" x14ac:dyDescent="0.3">
      <c r="F99537" s="193"/>
    </row>
    <row r="99538" spans="6:6" x14ac:dyDescent="0.3">
      <c r="F99538" s="193"/>
    </row>
    <row r="99539" spans="6:6" x14ac:dyDescent="0.3">
      <c r="F99539" s="193"/>
    </row>
    <row r="99540" spans="6:6" x14ac:dyDescent="0.3">
      <c r="F99540" s="193"/>
    </row>
    <row r="99541" spans="6:6" x14ac:dyDescent="0.3">
      <c r="F99541" s="193"/>
    </row>
    <row r="99542" spans="6:6" x14ac:dyDescent="0.3">
      <c r="F99542" s="193"/>
    </row>
    <row r="99543" spans="6:6" x14ac:dyDescent="0.3">
      <c r="F99543" s="193"/>
    </row>
    <row r="99544" spans="6:6" x14ac:dyDescent="0.3">
      <c r="F99544" s="193"/>
    </row>
    <row r="99545" spans="6:6" x14ac:dyDescent="0.3">
      <c r="F99545" s="193"/>
    </row>
    <row r="99546" spans="6:6" x14ac:dyDescent="0.3">
      <c r="F99546" s="193"/>
    </row>
    <row r="99547" spans="6:6" x14ac:dyDescent="0.3">
      <c r="F99547" s="193"/>
    </row>
    <row r="99548" spans="6:6" x14ac:dyDescent="0.3">
      <c r="F99548" s="193"/>
    </row>
    <row r="99549" spans="6:6" x14ac:dyDescent="0.3">
      <c r="F99549" s="193"/>
    </row>
    <row r="99550" spans="6:6" x14ac:dyDescent="0.3">
      <c r="F99550" s="193"/>
    </row>
    <row r="99551" spans="6:6" x14ac:dyDescent="0.3">
      <c r="F99551" s="193"/>
    </row>
    <row r="99552" spans="6:6" x14ac:dyDescent="0.3">
      <c r="F99552" s="193"/>
    </row>
    <row r="99553" spans="6:6" x14ac:dyDescent="0.3">
      <c r="F99553" s="193"/>
    </row>
    <row r="99554" spans="6:6" x14ac:dyDescent="0.3">
      <c r="F99554" s="193"/>
    </row>
    <row r="99555" spans="6:6" x14ac:dyDescent="0.3">
      <c r="F99555" s="193"/>
    </row>
    <row r="99556" spans="6:6" x14ac:dyDescent="0.3">
      <c r="F99556" s="193"/>
    </row>
    <row r="99557" spans="6:6" x14ac:dyDescent="0.3">
      <c r="F99557" s="193"/>
    </row>
    <row r="99558" spans="6:6" x14ac:dyDescent="0.3">
      <c r="F99558" s="193"/>
    </row>
    <row r="99559" spans="6:6" x14ac:dyDescent="0.3">
      <c r="F99559" s="193"/>
    </row>
    <row r="99560" spans="6:6" x14ac:dyDescent="0.3">
      <c r="F99560" s="193"/>
    </row>
    <row r="99561" spans="6:6" x14ac:dyDescent="0.3">
      <c r="F99561" s="193"/>
    </row>
    <row r="99562" spans="6:6" x14ac:dyDescent="0.3">
      <c r="F99562" s="193"/>
    </row>
    <row r="99563" spans="6:6" x14ac:dyDescent="0.3">
      <c r="F99563" s="193"/>
    </row>
    <row r="99564" spans="6:6" x14ac:dyDescent="0.3">
      <c r="F99564" s="193"/>
    </row>
    <row r="99565" spans="6:6" x14ac:dyDescent="0.3">
      <c r="F99565" s="193"/>
    </row>
    <row r="99566" spans="6:6" x14ac:dyDescent="0.3">
      <c r="F99566" s="193"/>
    </row>
    <row r="99567" spans="6:6" x14ac:dyDescent="0.3">
      <c r="F99567" s="193"/>
    </row>
    <row r="99568" spans="6:6" x14ac:dyDescent="0.3">
      <c r="F99568" s="193"/>
    </row>
    <row r="99569" spans="6:6" x14ac:dyDescent="0.3">
      <c r="F99569" s="193"/>
    </row>
    <row r="99570" spans="6:6" x14ac:dyDescent="0.3">
      <c r="F99570" s="193"/>
    </row>
    <row r="99571" spans="6:6" x14ac:dyDescent="0.3">
      <c r="F99571" s="193"/>
    </row>
    <row r="99572" spans="6:6" x14ac:dyDescent="0.3">
      <c r="F99572" s="193"/>
    </row>
    <row r="99573" spans="6:6" x14ac:dyDescent="0.3">
      <c r="F99573" s="193"/>
    </row>
    <row r="99574" spans="6:6" x14ac:dyDescent="0.3">
      <c r="F99574" s="193"/>
    </row>
    <row r="99575" spans="6:6" x14ac:dyDescent="0.3">
      <c r="F99575" s="193"/>
    </row>
    <row r="99576" spans="6:6" x14ac:dyDescent="0.3">
      <c r="F99576" s="193"/>
    </row>
    <row r="99577" spans="6:6" x14ac:dyDescent="0.3">
      <c r="F99577" s="193"/>
    </row>
    <row r="99578" spans="6:6" x14ac:dyDescent="0.3">
      <c r="F99578" s="193"/>
    </row>
    <row r="99579" spans="6:6" x14ac:dyDescent="0.3">
      <c r="F99579" s="193"/>
    </row>
    <row r="99580" spans="6:6" x14ac:dyDescent="0.3">
      <c r="F99580" s="193"/>
    </row>
    <row r="99581" spans="6:6" x14ac:dyDescent="0.3">
      <c r="F99581" s="193"/>
    </row>
    <row r="99582" spans="6:6" x14ac:dyDescent="0.3">
      <c r="F99582" s="193"/>
    </row>
    <row r="99583" spans="6:6" x14ac:dyDescent="0.3">
      <c r="F99583" s="193"/>
    </row>
    <row r="99584" spans="6:6" x14ac:dyDescent="0.3">
      <c r="F99584" s="193"/>
    </row>
    <row r="99585" spans="6:6" x14ac:dyDescent="0.3">
      <c r="F99585" s="193"/>
    </row>
    <row r="99586" spans="6:6" x14ac:dyDescent="0.3">
      <c r="F99586" s="193"/>
    </row>
    <row r="99587" spans="6:6" x14ac:dyDescent="0.3">
      <c r="F99587" s="193"/>
    </row>
    <row r="99588" spans="6:6" x14ac:dyDescent="0.3">
      <c r="F99588" s="193"/>
    </row>
    <row r="99589" spans="6:6" x14ac:dyDescent="0.3">
      <c r="F99589" s="193"/>
    </row>
    <row r="99590" spans="6:6" x14ac:dyDescent="0.3">
      <c r="F99590" s="193"/>
    </row>
    <row r="99591" spans="6:6" x14ac:dyDescent="0.3">
      <c r="F99591" s="193"/>
    </row>
    <row r="99592" spans="6:6" x14ac:dyDescent="0.3">
      <c r="F99592" s="193"/>
    </row>
    <row r="99593" spans="6:6" x14ac:dyDescent="0.3">
      <c r="F99593" s="193"/>
    </row>
    <row r="99594" spans="6:6" x14ac:dyDescent="0.3">
      <c r="F99594" s="193"/>
    </row>
    <row r="99595" spans="6:6" x14ac:dyDescent="0.3">
      <c r="F99595" s="193"/>
    </row>
    <row r="99596" spans="6:6" x14ac:dyDescent="0.3">
      <c r="F99596" s="193"/>
    </row>
    <row r="99597" spans="6:6" x14ac:dyDescent="0.3">
      <c r="F99597" s="193"/>
    </row>
    <row r="99598" spans="6:6" x14ac:dyDescent="0.3">
      <c r="F99598" s="193"/>
    </row>
    <row r="99599" spans="6:6" x14ac:dyDescent="0.3">
      <c r="F99599" s="193"/>
    </row>
    <row r="99600" spans="6:6" x14ac:dyDescent="0.3">
      <c r="F99600" s="193"/>
    </row>
    <row r="99601" spans="6:6" x14ac:dyDescent="0.3">
      <c r="F99601" s="193"/>
    </row>
    <row r="99602" spans="6:6" x14ac:dyDescent="0.3">
      <c r="F99602" s="193"/>
    </row>
    <row r="99603" spans="6:6" x14ac:dyDescent="0.3">
      <c r="F99603" s="193"/>
    </row>
    <row r="99604" spans="6:6" x14ac:dyDescent="0.3">
      <c r="F99604" s="193"/>
    </row>
    <row r="99605" spans="6:6" x14ac:dyDescent="0.3">
      <c r="F99605" s="193"/>
    </row>
    <row r="99606" spans="6:6" x14ac:dyDescent="0.3">
      <c r="F99606" s="193"/>
    </row>
    <row r="99607" spans="6:6" x14ac:dyDescent="0.3">
      <c r="F99607" s="193"/>
    </row>
    <row r="99608" spans="6:6" x14ac:dyDescent="0.3">
      <c r="F99608" s="193"/>
    </row>
    <row r="99609" spans="6:6" x14ac:dyDescent="0.3">
      <c r="F99609" s="193"/>
    </row>
    <row r="99610" spans="6:6" x14ac:dyDescent="0.3">
      <c r="F99610" s="193"/>
    </row>
    <row r="99611" spans="6:6" x14ac:dyDescent="0.3">
      <c r="F99611" s="193"/>
    </row>
    <row r="99612" spans="6:6" x14ac:dyDescent="0.3">
      <c r="F99612" s="193"/>
    </row>
    <row r="99613" spans="6:6" x14ac:dyDescent="0.3">
      <c r="F99613" s="193"/>
    </row>
    <row r="99614" spans="6:6" x14ac:dyDescent="0.3">
      <c r="F99614" s="193"/>
    </row>
    <row r="99615" spans="6:6" x14ac:dyDescent="0.3">
      <c r="F99615" s="193"/>
    </row>
    <row r="99616" spans="6:6" x14ac:dyDescent="0.3">
      <c r="F99616" s="193"/>
    </row>
    <row r="99617" spans="6:6" x14ac:dyDescent="0.3">
      <c r="F99617" s="193"/>
    </row>
    <row r="99618" spans="6:6" x14ac:dyDescent="0.3">
      <c r="F99618" s="193"/>
    </row>
    <row r="99619" spans="6:6" x14ac:dyDescent="0.3">
      <c r="F99619" s="193"/>
    </row>
    <row r="99620" spans="6:6" x14ac:dyDescent="0.3">
      <c r="F99620" s="193"/>
    </row>
    <row r="99621" spans="6:6" x14ac:dyDescent="0.3">
      <c r="F99621" s="193"/>
    </row>
    <row r="99622" spans="6:6" x14ac:dyDescent="0.3">
      <c r="F99622" s="193"/>
    </row>
    <row r="99623" spans="6:6" x14ac:dyDescent="0.3">
      <c r="F99623" s="193"/>
    </row>
    <row r="99624" spans="6:6" x14ac:dyDescent="0.3">
      <c r="F99624" s="193"/>
    </row>
    <row r="99625" spans="6:6" x14ac:dyDescent="0.3">
      <c r="F99625" s="193"/>
    </row>
    <row r="99626" spans="6:6" x14ac:dyDescent="0.3">
      <c r="F99626" s="193"/>
    </row>
    <row r="99627" spans="6:6" x14ac:dyDescent="0.3">
      <c r="F99627" s="193"/>
    </row>
    <row r="99628" spans="6:6" x14ac:dyDescent="0.3">
      <c r="F99628" s="193"/>
    </row>
    <row r="99629" spans="6:6" x14ac:dyDescent="0.3">
      <c r="F99629" s="193"/>
    </row>
    <row r="99630" spans="6:6" x14ac:dyDescent="0.3">
      <c r="F99630" s="193"/>
    </row>
    <row r="99631" spans="6:6" x14ac:dyDescent="0.3">
      <c r="F99631" s="193"/>
    </row>
    <row r="99632" spans="6:6" x14ac:dyDescent="0.3">
      <c r="F99632" s="193"/>
    </row>
    <row r="99633" spans="6:6" x14ac:dyDescent="0.3">
      <c r="F99633" s="193"/>
    </row>
    <row r="99634" spans="6:6" x14ac:dyDescent="0.3">
      <c r="F99634" s="193"/>
    </row>
    <row r="99635" spans="6:6" x14ac:dyDescent="0.3">
      <c r="F99635" s="193"/>
    </row>
    <row r="99636" spans="6:6" x14ac:dyDescent="0.3">
      <c r="F99636" s="193"/>
    </row>
    <row r="99637" spans="6:6" x14ac:dyDescent="0.3">
      <c r="F99637" s="193"/>
    </row>
    <row r="99638" spans="6:6" x14ac:dyDescent="0.3">
      <c r="F99638" s="193"/>
    </row>
    <row r="99639" spans="6:6" x14ac:dyDescent="0.3">
      <c r="F99639" s="193"/>
    </row>
    <row r="99640" spans="6:6" x14ac:dyDescent="0.3">
      <c r="F99640" s="193"/>
    </row>
    <row r="99641" spans="6:6" x14ac:dyDescent="0.3">
      <c r="F99641" s="193"/>
    </row>
    <row r="99642" spans="6:6" x14ac:dyDescent="0.3">
      <c r="F99642" s="193"/>
    </row>
    <row r="99643" spans="6:6" x14ac:dyDescent="0.3">
      <c r="F99643" s="193"/>
    </row>
    <row r="99644" spans="6:6" x14ac:dyDescent="0.3">
      <c r="F99644" s="193"/>
    </row>
    <row r="99645" spans="6:6" x14ac:dyDescent="0.3">
      <c r="F99645" s="193"/>
    </row>
    <row r="99646" spans="6:6" x14ac:dyDescent="0.3">
      <c r="F99646" s="193"/>
    </row>
    <row r="99647" spans="6:6" x14ac:dyDescent="0.3">
      <c r="F99647" s="193"/>
    </row>
    <row r="99648" spans="6:6" x14ac:dyDescent="0.3">
      <c r="F99648" s="193"/>
    </row>
    <row r="99649" spans="6:6" x14ac:dyDescent="0.3">
      <c r="F99649" s="193"/>
    </row>
    <row r="99650" spans="6:6" x14ac:dyDescent="0.3">
      <c r="F99650" s="193"/>
    </row>
    <row r="99651" spans="6:6" x14ac:dyDescent="0.3">
      <c r="F99651" s="193"/>
    </row>
    <row r="99652" spans="6:6" x14ac:dyDescent="0.3">
      <c r="F99652" s="193"/>
    </row>
    <row r="99653" spans="6:6" x14ac:dyDescent="0.3">
      <c r="F99653" s="193"/>
    </row>
    <row r="99654" spans="6:6" x14ac:dyDescent="0.3">
      <c r="F99654" s="193"/>
    </row>
    <row r="99655" spans="6:6" x14ac:dyDescent="0.3">
      <c r="F99655" s="193"/>
    </row>
    <row r="99656" spans="6:6" x14ac:dyDescent="0.3">
      <c r="F99656" s="193"/>
    </row>
    <row r="99657" spans="6:6" x14ac:dyDescent="0.3">
      <c r="F99657" s="193"/>
    </row>
    <row r="99658" spans="6:6" x14ac:dyDescent="0.3">
      <c r="F99658" s="193"/>
    </row>
    <row r="99659" spans="6:6" x14ac:dyDescent="0.3">
      <c r="F99659" s="193"/>
    </row>
    <row r="99660" spans="6:6" x14ac:dyDescent="0.3">
      <c r="F99660" s="193"/>
    </row>
    <row r="99661" spans="6:6" x14ac:dyDescent="0.3">
      <c r="F99661" s="193"/>
    </row>
    <row r="99662" spans="6:6" x14ac:dyDescent="0.3">
      <c r="F99662" s="193"/>
    </row>
    <row r="99663" spans="6:6" x14ac:dyDescent="0.3">
      <c r="F99663" s="193"/>
    </row>
    <row r="99664" spans="6:6" x14ac:dyDescent="0.3">
      <c r="F99664" s="193"/>
    </row>
    <row r="99665" spans="6:6" x14ac:dyDescent="0.3">
      <c r="F99665" s="193"/>
    </row>
    <row r="99666" spans="6:6" x14ac:dyDescent="0.3">
      <c r="F99666" s="193"/>
    </row>
    <row r="99667" spans="6:6" x14ac:dyDescent="0.3">
      <c r="F99667" s="193"/>
    </row>
    <row r="99668" spans="6:6" x14ac:dyDescent="0.3">
      <c r="F99668" s="193"/>
    </row>
    <row r="99669" spans="6:6" x14ac:dyDescent="0.3">
      <c r="F99669" s="193"/>
    </row>
    <row r="99670" spans="6:6" x14ac:dyDescent="0.3">
      <c r="F99670" s="193"/>
    </row>
    <row r="99671" spans="6:6" x14ac:dyDescent="0.3">
      <c r="F99671" s="193"/>
    </row>
    <row r="99672" spans="6:6" x14ac:dyDescent="0.3">
      <c r="F99672" s="193"/>
    </row>
    <row r="99673" spans="6:6" x14ac:dyDescent="0.3">
      <c r="F99673" s="193"/>
    </row>
    <row r="99674" spans="6:6" x14ac:dyDescent="0.3">
      <c r="F99674" s="193"/>
    </row>
    <row r="99675" spans="6:6" x14ac:dyDescent="0.3">
      <c r="F99675" s="193"/>
    </row>
    <row r="99676" spans="6:6" x14ac:dyDescent="0.3">
      <c r="F99676" s="193"/>
    </row>
    <row r="99677" spans="6:6" x14ac:dyDescent="0.3">
      <c r="F99677" s="193"/>
    </row>
    <row r="99678" spans="6:6" x14ac:dyDescent="0.3">
      <c r="F99678" s="193"/>
    </row>
    <row r="99679" spans="6:6" x14ac:dyDescent="0.3">
      <c r="F99679" s="193"/>
    </row>
    <row r="99680" spans="6:6" x14ac:dyDescent="0.3">
      <c r="F99680" s="193"/>
    </row>
    <row r="99681" spans="6:6" x14ac:dyDescent="0.3">
      <c r="F99681" s="193"/>
    </row>
    <row r="99682" spans="6:6" x14ac:dyDescent="0.3">
      <c r="F99682" s="193"/>
    </row>
    <row r="99683" spans="6:6" x14ac:dyDescent="0.3">
      <c r="F99683" s="193"/>
    </row>
    <row r="99684" spans="6:6" x14ac:dyDescent="0.3">
      <c r="F99684" s="193"/>
    </row>
    <row r="99685" spans="6:6" x14ac:dyDescent="0.3">
      <c r="F99685" s="193"/>
    </row>
    <row r="99686" spans="6:6" x14ac:dyDescent="0.3">
      <c r="F99686" s="193"/>
    </row>
    <row r="99687" spans="6:6" x14ac:dyDescent="0.3">
      <c r="F99687" s="193"/>
    </row>
    <row r="99688" spans="6:6" x14ac:dyDescent="0.3">
      <c r="F99688" s="193"/>
    </row>
    <row r="99689" spans="6:6" x14ac:dyDescent="0.3">
      <c r="F99689" s="193"/>
    </row>
    <row r="99690" spans="6:6" x14ac:dyDescent="0.3">
      <c r="F99690" s="193"/>
    </row>
    <row r="99691" spans="6:6" x14ac:dyDescent="0.3">
      <c r="F99691" s="193"/>
    </row>
    <row r="99692" spans="6:6" x14ac:dyDescent="0.3">
      <c r="F99692" s="193"/>
    </row>
    <row r="99693" spans="6:6" x14ac:dyDescent="0.3">
      <c r="F99693" s="193"/>
    </row>
    <row r="99694" spans="6:6" x14ac:dyDescent="0.3">
      <c r="F99694" s="193"/>
    </row>
    <row r="99695" spans="6:6" x14ac:dyDescent="0.3">
      <c r="F99695" s="193"/>
    </row>
    <row r="99696" spans="6:6" x14ac:dyDescent="0.3">
      <c r="F99696" s="193"/>
    </row>
    <row r="99697" spans="6:6" x14ac:dyDescent="0.3">
      <c r="F99697" s="193"/>
    </row>
    <row r="99698" spans="6:6" x14ac:dyDescent="0.3">
      <c r="F99698" s="193"/>
    </row>
    <row r="99699" spans="6:6" x14ac:dyDescent="0.3">
      <c r="F99699" s="193"/>
    </row>
    <row r="99700" spans="6:6" x14ac:dyDescent="0.3">
      <c r="F99700" s="193"/>
    </row>
    <row r="99701" spans="6:6" x14ac:dyDescent="0.3">
      <c r="F99701" s="193"/>
    </row>
    <row r="99702" spans="6:6" x14ac:dyDescent="0.3">
      <c r="F99702" s="193"/>
    </row>
    <row r="99703" spans="6:6" x14ac:dyDescent="0.3">
      <c r="F99703" s="193"/>
    </row>
    <row r="99704" spans="6:6" x14ac:dyDescent="0.3">
      <c r="F99704" s="193"/>
    </row>
    <row r="99705" spans="6:6" x14ac:dyDescent="0.3">
      <c r="F99705" s="193"/>
    </row>
    <row r="99706" spans="6:6" x14ac:dyDescent="0.3">
      <c r="F99706" s="193"/>
    </row>
    <row r="99707" spans="6:6" x14ac:dyDescent="0.3">
      <c r="F99707" s="193"/>
    </row>
    <row r="99708" spans="6:6" x14ac:dyDescent="0.3">
      <c r="F99708" s="193"/>
    </row>
    <row r="99709" spans="6:6" x14ac:dyDescent="0.3">
      <c r="F99709" s="193"/>
    </row>
    <row r="99710" spans="6:6" x14ac:dyDescent="0.3">
      <c r="F99710" s="193"/>
    </row>
    <row r="99711" spans="6:6" x14ac:dyDescent="0.3">
      <c r="F99711" s="193"/>
    </row>
    <row r="99712" spans="6:6" x14ac:dyDescent="0.3">
      <c r="F99712" s="193"/>
    </row>
    <row r="99713" spans="6:6" x14ac:dyDescent="0.3">
      <c r="F99713" s="193"/>
    </row>
    <row r="99714" spans="6:6" x14ac:dyDescent="0.3">
      <c r="F99714" s="193"/>
    </row>
    <row r="99715" spans="6:6" x14ac:dyDescent="0.3">
      <c r="F99715" s="193"/>
    </row>
    <row r="99716" spans="6:6" x14ac:dyDescent="0.3">
      <c r="F99716" s="193"/>
    </row>
    <row r="99717" spans="6:6" x14ac:dyDescent="0.3">
      <c r="F99717" s="193"/>
    </row>
    <row r="99718" spans="6:6" x14ac:dyDescent="0.3">
      <c r="F99718" s="193"/>
    </row>
    <row r="99719" spans="6:6" x14ac:dyDescent="0.3">
      <c r="F99719" s="193"/>
    </row>
    <row r="99720" spans="6:6" x14ac:dyDescent="0.3">
      <c r="F99720" s="193"/>
    </row>
    <row r="99721" spans="6:6" x14ac:dyDescent="0.3">
      <c r="F99721" s="193"/>
    </row>
    <row r="99722" spans="6:6" x14ac:dyDescent="0.3">
      <c r="F99722" s="193"/>
    </row>
    <row r="99723" spans="6:6" x14ac:dyDescent="0.3">
      <c r="F99723" s="193"/>
    </row>
    <row r="99724" spans="6:6" x14ac:dyDescent="0.3">
      <c r="F99724" s="193"/>
    </row>
    <row r="99725" spans="6:6" x14ac:dyDescent="0.3">
      <c r="F99725" s="193"/>
    </row>
    <row r="99726" spans="6:6" x14ac:dyDescent="0.3">
      <c r="F99726" s="193"/>
    </row>
    <row r="99727" spans="6:6" x14ac:dyDescent="0.3">
      <c r="F99727" s="193"/>
    </row>
    <row r="99728" spans="6:6" x14ac:dyDescent="0.3">
      <c r="F99728" s="193"/>
    </row>
    <row r="99729" spans="6:6" x14ac:dyDescent="0.3">
      <c r="F99729" s="193"/>
    </row>
    <row r="99730" spans="6:6" x14ac:dyDescent="0.3">
      <c r="F99730" s="193"/>
    </row>
    <row r="99731" spans="6:6" x14ac:dyDescent="0.3">
      <c r="F99731" s="193"/>
    </row>
    <row r="99732" spans="6:6" x14ac:dyDescent="0.3">
      <c r="F99732" s="193"/>
    </row>
    <row r="99733" spans="6:6" x14ac:dyDescent="0.3">
      <c r="F99733" s="193"/>
    </row>
    <row r="99734" spans="6:6" x14ac:dyDescent="0.3">
      <c r="F99734" s="193"/>
    </row>
    <row r="99735" spans="6:6" x14ac:dyDescent="0.3">
      <c r="F99735" s="193"/>
    </row>
    <row r="99736" spans="6:6" x14ac:dyDescent="0.3">
      <c r="F99736" s="193"/>
    </row>
    <row r="99737" spans="6:6" x14ac:dyDescent="0.3">
      <c r="F99737" s="193"/>
    </row>
    <row r="99738" spans="6:6" x14ac:dyDescent="0.3">
      <c r="F99738" s="193"/>
    </row>
    <row r="99739" spans="6:6" x14ac:dyDescent="0.3">
      <c r="F99739" s="193"/>
    </row>
    <row r="99740" spans="6:6" x14ac:dyDescent="0.3">
      <c r="F99740" s="193"/>
    </row>
    <row r="99741" spans="6:6" x14ac:dyDescent="0.3">
      <c r="F99741" s="193"/>
    </row>
    <row r="99742" spans="6:6" x14ac:dyDescent="0.3">
      <c r="F99742" s="193"/>
    </row>
    <row r="99743" spans="6:6" x14ac:dyDescent="0.3">
      <c r="F99743" s="193"/>
    </row>
    <row r="99744" spans="6:6" x14ac:dyDescent="0.3">
      <c r="F99744" s="193"/>
    </row>
    <row r="99745" spans="6:6" x14ac:dyDescent="0.3">
      <c r="F99745" s="193"/>
    </row>
    <row r="99746" spans="6:6" x14ac:dyDescent="0.3">
      <c r="F99746" s="193"/>
    </row>
    <row r="99747" spans="6:6" x14ac:dyDescent="0.3">
      <c r="F99747" s="193"/>
    </row>
    <row r="99748" spans="6:6" x14ac:dyDescent="0.3">
      <c r="F99748" s="193"/>
    </row>
    <row r="99749" spans="6:6" x14ac:dyDescent="0.3">
      <c r="F99749" s="193"/>
    </row>
    <row r="99750" spans="6:6" x14ac:dyDescent="0.3">
      <c r="F99750" s="193"/>
    </row>
    <row r="99751" spans="6:6" x14ac:dyDescent="0.3">
      <c r="F99751" s="193"/>
    </row>
    <row r="99752" spans="6:6" x14ac:dyDescent="0.3">
      <c r="F99752" s="193"/>
    </row>
    <row r="99753" spans="6:6" x14ac:dyDescent="0.3">
      <c r="F99753" s="193"/>
    </row>
    <row r="99754" spans="6:6" x14ac:dyDescent="0.3">
      <c r="F99754" s="193"/>
    </row>
    <row r="99755" spans="6:6" x14ac:dyDescent="0.3">
      <c r="F99755" s="193"/>
    </row>
    <row r="99756" spans="6:6" x14ac:dyDescent="0.3">
      <c r="F99756" s="193"/>
    </row>
    <row r="99757" spans="6:6" x14ac:dyDescent="0.3">
      <c r="F99757" s="193"/>
    </row>
    <row r="99758" spans="6:6" x14ac:dyDescent="0.3">
      <c r="F99758" s="193"/>
    </row>
    <row r="99759" spans="6:6" x14ac:dyDescent="0.3">
      <c r="F99759" s="193"/>
    </row>
    <row r="99760" spans="6:6" x14ac:dyDescent="0.3">
      <c r="F99760" s="193"/>
    </row>
    <row r="99761" spans="6:6" x14ac:dyDescent="0.3">
      <c r="F99761" s="193"/>
    </row>
    <row r="99762" spans="6:6" x14ac:dyDescent="0.3">
      <c r="F99762" s="193"/>
    </row>
    <row r="99763" spans="6:6" x14ac:dyDescent="0.3">
      <c r="F99763" s="193"/>
    </row>
    <row r="99764" spans="6:6" x14ac:dyDescent="0.3">
      <c r="F99764" s="193"/>
    </row>
    <row r="99765" spans="6:6" x14ac:dyDescent="0.3">
      <c r="F99765" s="193"/>
    </row>
    <row r="99766" spans="6:6" x14ac:dyDescent="0.3">
      <c r="F99766" s="193"/>
    </row>
    <row r="99767" spans="6:6" x14ac:dyDescent="0.3">
      <c r="F99767" s="193"/>
    </row>
    <row r="99768" spans="6:6" x14ac:dyDescent="0.3">
      <c r="F99768" s="193"/>
    </row>
    <row r="99769" spans="6:6" x14ac:dyDescent="0.3">
      <c r="F99769" s="193"/>
    </row>
    <row r="99770" spans="6:6" x14ac:dyDescent="0.3">
      <c r="F99770" s="193"/>
    </row>
    <row r="99771" spans="6:6" x14ac:dyDescent="0.3">
      <c r="F99771" s="193"/>
    </row>
    <row r="99772" spans="6:6" x14ac:dyDescent="0.3">
      <c r="F99772" s="193"/>
    </row>
    <row r="99773" spans="6:6" x14ac:dyDescent="0.3">
      <c r="F99773" s="193"/>
    </row>
    <row r="99774" spans="6:6" x14ac:dyDescent="0.3">
      <c r="F99774" s="193"/>
    </row>
    <row r="99775" spans="6:6" x14ac:dyDescent="0.3">
      <c r="F99775" s="193"/>
    </row>
    <row r="99776" spans="6:6" x14ac:dyDescent="0.3">
      <c r="F99776" s="193"/>
    </row>
    <row r="99777" spans="6:6" x14ac:dyDescent="0.3">
      <c r="F99777" s="193"/>
    </row>
    <row r="99778" spans="6:6" x14ac:dyDescent="0.3">
      <c r="F99778" s="193"/>
    </row>
    <row r="99779" spans="6:6" x14ac:dyDescent="0.3">
      <c r="F99779" s="193"/>
    </row>
    <row r="99780" spans="6:6" x14ac:dyDescent="0.3">
      <c r="F99780" s="193"/>
    </row>
    <row r="99781" spans="6:6" x14ac:dyDescent="0.3">
      <c r="F99781" s="193"/>
    </row>
    <row r="99782" spans="6:6" x14ac:dyDescent="0.3">
      <c r="F99782" s="193"/>
    </row>
    <row r="99783" spans="6:6" x14ac:dyDescent="0.3">
      <c r="F99783" s="193"/>
    </row>
    <row r="99784" spans="6:6" x14ac:dyDescent="0.3">
      <c r="F99784" s="193"/>
    </row>
    <row r="99785" spans="6:6" x14ac:dyDescent="0.3">
      <c r="F99785" s="193"/>
    </row>
    <row r="99786" spans="6:6" x14ac:dyDescent="0.3">
      <c r="F99786" s="193"/>
    </row>
    <row r="99787" spans="6:6" x14ac:dyDescent="0.3">
      <c r="F99787" s="193"/>
    </row>
    <row r="99788" spans="6:6" x14ac:dyDescent="0.3">
      <c r="F99788" s="193"/>
    </row>
    <row r="99789" spans="6:6" x14ac:dyDescent="0.3">
      <c r="F99789" s="193"/>
    </row>
    <row r="99790" spans="6:6" x14ac:dyDescent="0.3">
      <c r="F99790" s="193"/>
    </row>
    <row r="99791" spans="6:6" x14ac:dyDescent="0.3">
      <c r="F99791" s="193"/>
    </row>
    <row r="99792" spans="6:6" x14ac:dyDescent="0.3">
      <c r="F99792" s="193"/>
    </row>
    <row r="99793" spans="6:6" x14ac:dyDescent="0.3">
      <c r="F99793" s="193"/>
    </row>
    <row r="99794" spans="6:6" x14ac:dyDescent="0.3">
      <c r="F99794" s="193"/>
    </row>
    <row r="99795" spans="6:6" x14ac:dyDescent="0.3">
      <c r="F99795" s="193"/>
    </row>
    <row r="99796" spans="6:6" x14ac:dyDescent="0.3">
      <c r="F99796" s="193"/>
    </row>
    <row r="99797" spans="6:6" x14ac:dyDescent="0.3">
      <c r="F99797" s="193"/>
    </row>
    <row r="99798" spans="6:6" x14ac:dyDescent="0.3">
      <c r="F99798" s="193"/>
    </row>
    <row r="99799" spans="6:6" x14ac:dyDescent="0.3">
      <c r="F99799" s="193"/>
    </row>
    <row r="99800" spans="6:6" x14ac:dyDescent="0.3">
      <c r="F99800" s="193"/>
    </row>
    <row r="99801" spans="6:6" x14ac:dyDescent="0.3">
      <c r="F99801" s="193"/>
    </row>
    <row r="99802" spans="6:6" x14ac:dyDescent="0.3">
      <c r="F99802" s="193"/>
    </row>
    <row r="99803" spans="6:6" x14ac:dyDescent="0.3">
      <c r="F99803" s="193"/>
    </row>
    <row r="99804" spans="6:6" x14ac:dyDescent="0.3">
      <c r="F99804" s="193"/>
    </row>
    <row r="99805" spans="6:6" x14ac:dyDescent="0.3">
      <c r="F99805" s="193"/>
    </row>
    <row r="99806" spans="6:6" x14ac:dyDescent="0.3">
      <c r="F99806" s="193"/>
    </row>
    <row r="99807" spans="6:6" x14ac:dyDescent="0.3">
      <c r="F99807" s="193"/>
    </row>
    <row r="99808" spans="6:6" x14ac:dyDescent="0.3">
      <c r="F99808" s="193"/>
    </row>
    <row r="99809" spans="6:6" x14ac:dyDescent="0.3">
      <c r="F99809" s="193"/>
    </row>
    <row r="99810" spans="6:6" x14ac:dyDescent="0.3">
      <c r="F99810" s="193"/>
    </row>
    <row r="99811" spans="6:6" x14ac:dyDescent="0.3">
      <c r="F99811" s="193"/>
    </row>
    <row r="99812" spans="6:6" x14ac:dyDescent="0.3">
      <c r="F99812" s="193"/>
    </row>
    <row r="99813" spans="6:6" x14ac:dyDescent="0.3">
      <c r="F99813" s="193"/>
    </row>
    <row r="99814" spans="6:6" x14ac:dyDescent="0.3">
      <c r="F99814" s="193"/>
    </row>
    <row r="99815" spans="6:6" x14ac:dyDescent="0.3">
      <c r="F99815" s="193"/>
    </row>
    <row r="99816" spans="6:6" x14ac:dyDescent="0.3">
      <c r="F99816" s="193"/>
    </row>
    <row r="99817" spans="6:6" x14ac:dyDescent="0.3">
      <c r="F99817" s="193"/>
    </row>
    <row r="99818" spans="6:6" x14ac:dyDescent="0.3">
      <c r="F99818" s="193"/>
    </row>
    <row r="99819" spans="6:6" x14ac:dyDescent="0.3">
      <c r="F99819" s="193"/>
    </row>
    <row r="99820" spans="6:6" x14ac:dyDescent="0.3">
      <c r="F99820" s="193"/>
    </row>
    <row r="99821" spans="6:6" x14ac:dyDescent="0.3">
      <c r="F99821" s="193"/>
    </row>
    <row r="99822" spans="6:6" x14ac:dyDescent="0.3">
      <c r="F99822" s="193"/>
    </row>
    <row r="99823" spans="6:6" x14ac:dyDescent="0.3">
      <c r="F99823" s="193"/>
    </row>
    <row r="99824" spans="6:6" x14ac:dyDescent="0.3">
      <c r="F99824" s="193"/>
    </row>
    <row r="99825" spans="6:6" x14ac:dyDescent="0.3">
      <c r="F99825" s="193"/>
    </row>
    <row r="99826" spans="6:6" x14ac:dyDescent="0.3">
      <c r="F99826" s="193"/>
    </row>
    <row r="99827" spans="6:6" x14ac:dyDescent="0.3">
      <c r="F99827" s="193"/>
    </row>
    <row r="99828" spans="6:6" x14ac:dyDescent="0.3">
      <c r="F99828" s="193"/>
    </row>
    <row r="99829" spans="6:6" x14ac:dyDescent="0.3">
      <c r="F99829" s="193"/>
    </row>
    <row r="99830" spans="6:6" x14ac:dyDescent="0.3">
      <c r="F99830" s="193"/>
    </row>
    <row r="99831" spans="6:6" x14ac:dyDescent="0.3">
      <c r="F99831" s="193"/>
    </row>
    <row r="99832" spans="6:6" x14ac:dyDescent="0.3">
      <c r="F99832" s="193"/>
    </row>
    <row r="99833" spans="6:6" x14ac:dyDescent="0.3">
      <c r="F99833" s="193"/>
    </row>
    <row r="99834" spans="6:6" x14ac:dyDescent="0.3">
      <c r="F99834" s="193"/>
    </row>
    <row r="99835" spans="6:6" x14ac:dyDescent="0.3">
      <c r="F99835" s="193"/>
    </row>
    <row r="99836" spans="6:6" x14ac:dyDescent="0.3">
      <c r="F99836" s="193"/>
    </row>
    <row r="99837" spans="6:6" x14ac:dyDescent="0.3">
      <c r="F99837" s="193"/>
    </row>
    <row r="99838" spans="6:6" x14ac:dyDescent="0.3">
      <c r="F99838" s="193"/>
    </row>
    <row r="99839" spans="6:6" x14ac:dyDescent="0.3">
      <c r="F99839" s="193"/>
    </row>
    <row r="99840" spans="6:6" x14ac:dyDescent="0.3">
      <c r="F99840" s="193"/>
    </row>
    <row r="99841" spans="6:6" x14ac:dyDescent="0.3">
      <c r="F99841" s="193"/>
    </row>
    <row r="99842" spans="6:6" x14ac:dyDescent="0.3">
      <c r="F99842" s="193"/>
    </row>
    <row r="99843" spans="6:6" x14ac:dyDescent="0.3">
      <c r="F99843" s="193"/>
    </row>
    <row r="99844" spans="6:6" x14ac:dyDescent="0.3">
      <c r="F99844" s="193"/>
    </row>
    <row r="99845" spans="6:6" x14ac:dyDescent="0.3">
      <c r="F99845" s="193"/>
    </row>
    <row r="99846" spans="6:6" x14ac:dyDescent="0.3">
      <c r="F99846" s="193"/>
    </row>
    <row r="99847" spans="6:6" x14ac:dyDescent="0.3">
      <c r="F99847" s="193"/>
    </row>
    <row r="99848" spans="6:6" x14ac:dyDescent="0.3">
      <c r="F99848" s="193"/>
    </row>
    <row r="99849" spans="6:6" x14ac:dyDescent="0.3">
      <c r="F99849" s="193"/>
    </row>
    <row r="99850" spans="6:6" x14ac:dyDescent="0.3">
      <c r="F99850" s="193"/>
    </row>
    <row r="99851" spans="6:6" x14ac:dyDescent="0.3">
      <c r="F99851" s="193"/>
    </row>
    <row r="99852" spans="6:6" x14ac:dyDescent="0.3">
      <c r="F99852" s="193"/>
    </row>
    <row r="99853" spans="6:6" x14ac:dyDescent="0.3">
      <c r="F99853" s="193"/>
    </row>
    <row r="99854" spans="6:6" x14ac:dyDescent="0.3">
      <c r="F99854" s="193"/>
    </row>
    <row r="99855" spans="6:6" x14ac:dyDescent="0.3">
      <c r="F99855" s="193"/>
    </row>
    <row r="99856" spans="6:6" x14ac:dyDescent="0.3">
      <c r="F99856" s="193"/>
    </row>
    <row r="99857" spans="6:6" x14ac:dyDescent="0.3">
      <c r="F99857" s="193"/>
    </row>
    <row r="99858" spans="6:6" x14ac:dyDescent="0.3">
      <c r="F99858" s="193"/>
    </row>
    <row r="99859" spans="6:6" x14ac:dyDescent="0.3">
      <c r="F99859" s="193"/>
    </row>
    <row r="99860" spans="6:6" x14ac:dyDescent="0.3">
      <c r="F99860" s="193"/>
    </row>
    <row r="99861" spans="6:6" x14ac:dyDescent="0.3">
      <c r="F99861" s="193"/>
    </row>
    <row r="99862" spans="6:6" x14ac:dyDescent="0.3">
      <c r="F99862" s="193"/>
    </row>
    <row r="99863" spans="6:6" x14ac:dyDescent="0.3">
      <c r="F99863" s="193"/>
    </row>
    <row r="99864" spans="6:6" x14ac:dyDescent="0.3">
      <c r="F99864" s="193"/>
    </row>
    <row r="99865" spans="6:6" x14ac:dyDescent="0.3">
      <c r="F99865" s="193"/>
    </row>
    <row r="99866" spans="6:6" x14ac:dyDescent="0.3">
      <c r="F99866" s="193"/>
    </row>
    <row r="99867" spans="6:6" x14ac:dyDescent="0.3">
      <c r="F99867" s="193"/>
    </row>
    <row r="99868" spans="6:6" x14ac:dyDescent="0.3">
      <c r="F99868" s="193"/>
    </row>
    <row r="99869" spans="6:6" x14ac:dyDescent="0.3">
      <c r="F99869" s="193"/>
    </row>
    <row r="99870" spans="6:6" x14ac:dyDescent="0.3">
      <c r="F99870" s="193"/>
    </row>
    <row r="99871" spans="6:6" x14ac:dyDescent="0.3">
      <c r="F99871" s="193"/>
    </row>
    <row r="99872" spans="6:6" x14ac:dyDescent="0.3">
      <c r="F99872" s="193"/>
    </row>
    <row r="99873" spans="6:6" x14ac:dyDescent="0.3">
      <c r="F99873" s="193"/>
    </row>
    <row r="99874" spans="6:6" x14ac:dyDescent="0.3">
      <c r="F99874" s="193"/>
    </row>
    <row r="99875" spans="6:6" x14ac:dyDescent="0.3">
      <c r="F99875" s="193"/>
    </row>
    <row r="99876" spans="6:6" x14ac:dyDescent="0.3">
      <c r="F99876" s="193"/>
    </row>
    <row r="99877" spans="6:6" x14ac:dyDescent="0.3">
      <c r="F99877" s="193"/>
    </row>
    <row r="99878" spans="6:6" x14ac:dyDescent="0.3">
      <c r="F99878" s="193"/>
    </row>
    <row r="99879" spans="6:6" x14ac:dyDescent="0.3">
      <c r="F99879" s="193"/>
    </row>
    <row r="99880" spans="6:6" x14ac:dyDescent="0.3">
      <c r="F99880" s="193"/>
    </row>
    <row r="99881" spans="6:6" x14ac:dyDescent="0.3">
      <c r="F99881" s="193"/>
    </row>
    <row r="99882" spans="6:6" x14ac:dyDescent="0.3">
      <c r="F99882" s="193"/>
    </row>
    <row r="99883" spans="6:6" x14ac:dyDescent="0.3">
      <c r="F99883" s="193"/>
    </row>
    <row r="99884" spans="6:6" x14ac:dyDescent="0.3">
      <c r="F99884" s="193"/>
    </row>
    <row r="99885" spans="6:6" x14ac:dyDescent="0.3">
      <c r="F99885" s="193"/>
    </row>
    <row r="99886" spans="6:6" x14ac:dyDescent="0.3">
      <c r="F99886" s="193"/>
    </row>
    <row r="99887" spans="6:6" x14ac:dyDescent="0.3">
      <c r="F99887" s="193"/>
    </row>
    <row r="99888" spans="6:6" x14ac:dyDescent="0.3">
      <c r="F99888" s="193"/>
    </row>
    <row r="99889" spans="6:6" x14ac:dyDescent="0.3">
      <c r="F99889" s="193"/>
    </row>
    <row r="99890" spans="6:6" x14ac:dyDescent="0.3">
      <c r="F99890" s="193"/>
    </row>
    <row r="99891" spans="6:6" x14ac:dyDescent="0.3">
      <c r="F99891" s="193"/>
    </row>
    <row r="99892" spans="6:6" x14ac:dyDescent="0.3">
      <c r="F99892" s="193"/>
    </row>
    <row r="99893" spans="6:6" x14ac:dyDescent="0.3">
      <c r="F99893" s="193"/>
    </row>
    <row r="99894" spans="6:6" x14ac:dyDescent="0.3">
      <c r="F99894" s="193"/>
    </row>
    <row r="99895" spans="6:6" x14ac:dyDescent="0.3">
      <c r="F99895" s="193"/>
    </row>
    <row r="99896" spans="6:6" x14ac:dyDescent="0.3">
      <c r="F99896" s="193"/>
    </row>
    <row r="99897" spans="6:6" x14ac:dyDescent="0.3">
      <c r="F99897" s="193"/>
    </row>
    <row r="99898" spans="6:6" x14ac:dyDescent="0.3">
      <c r="F99898" s="193"/>
    </row>
    <row r="99899" spans="6:6" x14ac:dyDescent="0.3">
      <c r="F99899" s="193"/>
    </row>
    <row r="99900" spans="6:6" x14ac:dyDescent="0.3">
      <c r="F99900" s="193"/>
    </row>
    <row r="99901" spans="6:6" x14ac:dyDescent="0.3">
      <c r="F99901" s="193"/>
    </row>
    <row r="99902" spans="6:6" x14ac:dyDescent="0.3">
      <c r="F99902" s="193"/>
    </row>
    <row r="99903" spans="6:6" x14ac:dyDescent="0.3">
      <c r="F99903" s="193"/>
    </row>
    <row r="99904" spans="6:6" x14ac:dyDescent="0.3">
      <c r="F99904" s="193"/>
    </row>
    <row r="99905" spans="6:6" x14ac:dyDescent="0.3">
      <c r="F99905" s="193"/>
    </row>
    <row r="99906" spans="6:6" x14ac:dyDescent="0.3">
      <c r="F99906" s="193"/>
    </row>
    <row r="99907" spans="6:6" x14ac:dyDescent="0.3">
      <c r="F99907" s="193"/>
    </row>
    <row r="99908" spans="6:6" x14ac:dyDescent="0.3">
      <c r="F99908" s="193"/>
    </row>
    <row r="99909" spans="6:6" x14ac:dyDescent="0.3">
      <c r="F99909" s="193"/>
    </row>
    <row r="99910" spans="6:6" x14ac:dyDescent="0.3">
      <c r="F99910" s="193"/>
    </row>
    <row r="99911" spans="6:6" x14ac:dyDescent="0.3">
      <c r="F99911" s="193"/>
    </row>
    <row r="99912" spans="6:6" x14ac:dyDescent="0.3">
      <c r="F99912" s="193"/>
    </row>
    <row r="99913" spans="6:6" x14ac:dyDescent="0.3">
      <c r="F99913" s="193"/>
    </row>
    <row r="99914" spans="6:6" x14ac:dyDescent="0.3">
      <c r="F99914" s="193"/>
    </row>
    <row r="99915" spans="6:6" x14ac:dyDescent="0.3">
      <c r="F99915" s="193"/>
    </row>
    <row r="99916" spans="6:6" x14ac:dyDescent="0.3">
      <c r="F99916" s="193"/>
    </row>
    <row r="99917" spans="6:6" x14ac:dyDescent="0.3">
      <c r="F99917" s="193"/>
    </row>
    <row r="99918" spans="6:6" x14ac:dyDescent="0.3">
      <c r="F99918" s="193"/>
    </row>
    <row r="99919" spans="6:6" x14ac:dyDescent="0.3">
      <c r="F99919" s="193"/>
    </row>
    <row r="99920" spans="6:6" x14ac:dyDescent="0.3">
      <c r="F99920" s="193"/>
    </row>
    <row r="99921" spans="6:6" x14ac:dyDescent="0.3">
      <c r="F99921" s="193"/>
    </row>
    <row r="99922" spans="6:6" x14ac:dyDescent="0.3">
      <c r="F99922" s="193"/>
    </row>
    <row r="99923" spans="6:6" x14ac:dyDescent="0.3">
      <c r="F99923" s="193"/>
    </row>
    <row r="99924" spans="6:6" x14ac:dyDescent="0.3">
      <c r="F99924" s="193"/>
    </row>
    <row r="99925" spans="6:6" x14ac:dyDescent="0.3">
      <c r="F99925" s="193"/>
    </row>
    <row r="99926" spans="6:6" x14ac:dyDescent="0.3">
      <c r="F99926" s="193"/>
    </row>
    <row r="99927" spans="6:6" x14ac:dyDescent="0.3">
      <c r="F99927" s="193"/>
    </row>
    <row r="99928" spans="6:6" x14ac:dyDescent="0.3">
      <c r="F99928" s="193"/>
    </row>
    <row r="99929" spans="6:6" x14ac:dyDescent="0.3">
      <c r="F99929" s="193"/>
    </row>
    <row r="99930" spans="6:6" x14ac:dyDescent="0.3">
      <c r="F99930" s="193"/>
    </row>
    <row r="99931" spans="6:6" x14ac:dyDescent="0.3">
      <c r="F99931" s="193"/>
    </row>
    <row r="99932" spans="6:6" x14ac:dyDescent="0.3">
      <c r="F99932" s="193"/>
    </row>
    <row r="99933" spans="6:6" x14ac:dyDescent="0.3">
      <c r="F99933" s="193"/>
    </row>
    <row r="99934" spans="6:6" x14ac:dyDescent="0.3">
      <c r="F99934" s="193"/>
    </row>
    <row r="99935" spans="6:6" x14ac:dyDescent="0.3">
      <c r="F99935" s="193"/>
    </row>
    <row r="99936" spans="6:6" x14ac:dyDescent="0.3">
      <c r="F99936" s="193"/>
    </row>
    <row r="99937" spans="6:6" x14ac:dyDescent="0.3">
      <c r="F99937" s="193"/>
    </row>
    <row r="99938" spans="6:6" x14ac:dyDescent="0.3">
      <c r="F99938" s="193"/>
    </row>
    <row r="99939" spans="6:6" x14ac:dyDescent="0.3">
      <c r="F99939" s="193"/>
    </row>
    <row r="99940" spans="6:6" x14ac:dyDescent="0.3">
      <c r="F99940" s="193"/>
    </row>
    <row r="99941" spans="6:6" x14ac:dyDescent="0.3">
      <c r="F99941" s="193"/>
    </row>
    <row r="99942" spans="6:6" x14ac:dyDescent="0.3">
      <c r="F99942" s="193"/>
    </row>
    <row r="99943" spans="6:6" x14ac:dyDescent="0.3">
      <c r="F99943" s="193"/>
    </row>
    <row r="99944" spans="6:6" x14ac:dyDescent="0.3">
      <c r="F99944" s="193"/>
    </row>
    <row r="99945" spans="6:6" x14ac:dyDescent="0.3">
      <c r="F99945" s="193"/>
    </row>
    <row r="99946" spans="6:6" x14ac:dyDescent="0.3">
      <c r="F99946" s="193"/>
    </row>
    <row r="99947" spans="6:6" x14ac:dyDescent="0.3">
      <c r="F99947" s="193"/>
    </row>
    <row r="99948" spans="6:6" x14ac:dyDescent="0.3">
      <c r="F99948" s="193"/>
    </row>
    <row r="99949" spans="6:6" x14ac:dyDescent="0.3">
      <c r="F99949" s="193"/>
    </row>
    <row r="99950" spans="6:6" x14ac:dyDescent="0.3">
      <c r="F99950" s="193"/>
    </row>
    <row r="99951" spans="6:6" x14ac:dyDescent="0.3">
      <c r="F99951" s="193"/>
    </row>
    <row r="99952" spans="6:6" x14ac:dyDescent="0.3">
      <c r="F99952" s="193"/>
    </row>
    <row r="99953" spans="6:6" x14ac:dyDescent="0.3">
      <c r="F99953" s="193"/>
    </row>
    <row r="99954" spans="6:6" x14ac:dyDescent="0.3">
      <c r="F99954" s="193"/>
    </row>
    <row r="99955" spans="6:6" x14ac:dyDescent="0.3">
      <c r="F99955" s="193"/>
    </row>
    <row r="99956" spans="6:6" x14ac:dyDescent="0.3">
      <c r="F99956" s="193"/>
    </row>
    <row r="99957" spans="6:6" x14ac:dyDescent="0.3">
      <c r="F99957" s="193"/>
    </row>
    <row r="99958" spans="6:6" x14ac:dyDescent="0.3">
      <c r="F99958" s="193"/>
    </row>
    <row r="99959" spans="6:6" x14ac:dyDescent="0.3">
      <c r="F99959" s="193"/>
    </row>
    <row r="99960" spans="6:6" x14ac:dyDescent="0.3">
      <c r="F99960" s="193"/>
    </row>
    <row r="99961" spans="6:6" x14ac:dyDescent="0.3">
      <c r="F99961" s="193"/>
    </row>
    <row r="99962" spans="6:6" x14ac:dyDescent="0.3">
      <c r="F99962" s="193"/>
    </row>
    <row r="99963" spans="6:6" x14ac:dyDescent="0.3">
      <c r="F99963" s="193"/>
    </row>
    <row r="99964" spans="6:6" x14ac:dyDescent="0.3">
      <c r="F99964" s="193"/>
    </row>
    <row r="99965" spans="6:6" x14ac:dyDescent="0.3">
      <c r="F99965" s="193"/>
    </row>
    <row r="99966" spans="6:6" x14ac:dyDescent="0.3">
      <c r="F99966" s="193"/>
    </row>
    <row r="99967" spans="6:6" x14ac:dyDescent="0.3">
      <c r="F99967" s="193"/>
    </row>
    <row r="99968" spans="6:6" x14ac:dyDescent="0.3">
      <c r="F99968" s="193"/>
    </row>
    <row r="99969" spans="6:6" x14ac:dyDescent="0.3">
      <c r="F99969" s="193"/>
    </row>
    <row r="99970" spans="6:6" x14ac:dyDescent="0.3">
      <c r="F99970" s="193"/>
    </row>
    <row r="99971" spans="6:6" x14ac:dyDescent="0.3">
      <c r="F99971" s="193"/>
    </row>
    <row r="99972" spans="6:6" x14ac:dyDescent="0.3">
      <c r="F99972" s="193"/>
    </row>
    <row r="99973" spans="6:6" x14ac:dyDescent="0.3">
      <c r="F99973" s="193"/>
    </row>
    <row r="99974" spans="6:6" x14ac:dyDescent="0.3">
      <c r="F99974" s="193"/>
    </row>
    <row r="99975" spans="6:6" x14ac:dyDescent="0.3">
      <c r="F99975" s="193"/>
    </row>
    <row r="99976" spans="6:6" x14ac:dyDescent="0.3">
      <c r="F99976" s="193"/>
    </row>
    <row r="99977" spans="6:6" x14ac:dyDescent="0.3">
      <c r="F99977" s="193"/>
    </row>
    <row r="99978" spans="6:6" x14ac:dyDescent="0.3">
      <c r="F99978" s="193"/>
    </row>
    <row r="99979" spans="6:6" x14ac:dyDescent="0.3">
      <c r="F99979" s="193"/>
    </row>
    <row r="99980" spans="6:6" x14ac:dyDescent="0.3">
      <c r="F99980" s="193"/>
    </row>
    <row r="99981" spans="6:6" x14ac:dyDescent="0.3">
      <c r="F99981" s="193"/>
    </row>
    <row r="99982" spans="6:6" x14ac:dyDescent="0.3">
      <c r="F99982" s="193"/>
    </row>
    <row r="99983" spans="6:6" x14ac:dyDescent="0.3">
      <c r="F99983" s="193"/>
    </row>
    <row r="99984" spans="6:6" x14ac:dyDescent="0.3">
      <c r="F99984" s="193"/>
    </row>
    <row r="99985" spans="6:6" x14ac:dyDescent="0.3">
      <c r="F99985" s="193"/>
    </row>
    <row r="99986" spans="6:6" x14ac:dyDescent="0.3">
      <c r="F99986" s="193"/>
    </row>
    <row r="99987" spans="6:6" x14ac:dyDescent="0.3">
      <c r="F99987" s="193"/>
    </row>
    <row r="99988" spans="6:6" x14ac:dyDescent="0.3">
      <c r="F99988" s="193"/>
    </row>
    <row r="99989" spans="6:6" x14ac:dyDescent="0.3">
      <c r="F99989" s="193"/>
    </row>
    <row r="99990" spans="6:6" x14ac:dyDescent="0.3">
      <c r="F99990" s="193"/>
    </row>
    <row r="99991" spans="6:6" x14ac:dyDescent="0.3">
      <c r="F99991" s="193"/>
    </row>
    <row r="99992" spans="6:6" x14ac:dyDescent="0.3">
      <c r="F99992" s="193"/>
    </row>
    <row r="99993" spans="6:6" x14ac:dyDescent="0.3">
      <c r="F99993" s="193"/>
    </row>
    <row r="99994" spans="6:6" x14ac:dyDescent="0.3">
      <c r="F99994" s="193"/>
    </row>
    <row r="99995" spans="6:6" x14ac:dyDescent="0.3">
      <c r="F99995" s="193"/>
    </row>
    <row r="99996" spans="6:6" x14ac:dyDescent="0.3">
      <c r="F99996" s="193"/>
    </row>
    <row r="99997" spans="6:6" x14ac:dyDescent="0.3">
      <c r="F99997" s="193"/>
    </row>
    <row r="99998" spans="6:6" x14ac:dyDescent="0.3">
      <c r="F99998" s="193"/>
    </row>
    <row r="99999" spans="6:6" x14ac:dyDescent="0.3">
      <c r="F99999" s="193"/>
    </row>
    <row r="100000" spans="6:6" x14ac:dyDescent="0.3">
      <c r="F100000" s="193"/>
    </row>
    <row r="100001" spans="6:6" x14ac:dyDescent="0.3">
      <c r="F100001" s="193"/>
    </row>
    <row r="100002" spans="6:6" x14ac:dyDescent="0.3">
      <c r="F100002" s="193"/>
    </row>
    <row r="100003" spans="6:6" x14ac:dyDescent="0.3">
      <c r="F100003" s="193"/>
    </row>
    <row r="100004" spans="6:6" x14ac:dyDescent="0.3">
      <c r="F100004" s="193"/>
    </row>
    <row r="100005" spans="6:6" x14ac:dyDescent="0.3">
      <c r="F100005" s="193"/>
    </row>
    <row r="100006" spans="6:6" x14ac:dyDescent="0.3">
      <c r="F100006" s="193"/>
    </row>
    <row r="100007" spans="6:6" x14ac:dyDescent="0.3">
      <c r="F100007" s="193"/>
    </row>
    <row r="100008" spans="6:6" x14ac:dyDescent="0.3">
      <c r="F100008" s="193"/>
    </row>
    <row r="100009" spans="6:6" x14ac:dyDescent="0.3">
      <c r="F100009" s="193"/>
    </row>
    <row r="100010" spans="6:6" x14ac:dyDescent="0.3">
      <c r="F100010" s="193"/>
    </row>
    <row r="100011" spans="6:6" x14ac:dyDescent="0.3">
      <c r="F100011" s="193"/>
    </row>
    <row r="100012" spans="6:6" x14ac:dyDescent="0.3">
      <c r="F100012" s="193"/>
    </row>
    <row r="100013" spans="6:6" x14ac:dyDescent="0.3">
      <c r="F100013" s="193"/>
    </row>
    <row r="100014" spans="6:6" x14ac:dyDescent="0.3">
      <c r="F100014" s="193"/>
    </row>
    <row r="100015" spans="6:6" x14ac:dyDescent="0.3">
      <c r="F100015" s="193"/>
    </row>
    <row r="100016" spans="6:6" x14ac:dyDescent="0.3">
      <c r="F100016" s="193"/>
    </row>
    <row r="100017" spans="6:6" x14ac:dyDescent="0.3">
      <c r="F100017" s="193"/>
    </row>
    <row r="100018" spans="6:6" x14ac:dyDescent="0.3">
      <c r="F100018" s="193"/>
    </row>
    <row r="100019" spans="6:6" x14ac:dyDescent="0.3">
      <c r="F100019" s="193"/>
    </row>
    <row r="100020" spans="6:6" x14ac:dyDescent="0.3">
      <c r="F100020" s="193"/>
    </row>
    <row r="100021" spans="6:6" x14ac:dyDescent="0.3">
      <c r="F100021" s="193"/>
    </row>
    <row r="100022" spans="6:6" x14ac:dyDescent="0.3">
      <c r="F100022" s="193"/>
    </row>
    <row r="100023" spans="6:6" x14ac:dyDescent="0.3">
      <c r="F100023" s="193"/>
    </row>
    <row r="100024" spans="6:6" x14ac:dyDescent="0.3">
      <c r="F100024" s="193"/>
    </row>
    <row r="100025" spans="6:6" x14ac:dyDescent="0.3">
      <c r="F100025" s="193"/>
    </row>
    <row r="100026" spans="6:6" x14ac:dyDescent="0.3">
      <c r="F100026" s="193"/>
    </row>
    <row r="100027" spans="6:6" x14ac:dyDescent="0.3">
      <c r="F100027" s="193"/>
    </row>
    <row r="100028" spans="6:6" x14ac:dyDescent="0.3">
      <c r="F100028" s="193"/>
    </row>
    <row r="100029" spans="6:6" x14ac:dyDescent="0.3">
      <c r="F100029" s="193"/>
    </row>
    <row r="100030" spans="6:6" x14ac:dyDescent="0.3">
      <c r="F100030" s="193"/>
    </row>
    <row r="100031" spans="6:6" x14ac:dyDescent="0.3">
      <c r="F100031" s="193"/>
    </row>
    <row r="100032" spans="6:6" x14ac:dyDescent="0.3">
      <c r="F100032" s="193"/>
    </row>
    <row r="100033" spans="6:6" x14ac:dyDescent="0.3">
      <c r="F100033" s="193"/>
    </row>
    <row r="100034" spans="6:6" x14ac:dyDescent="0.3">
      <c r="F100034" s="193"/>
    </row>
    <row r="100035" spans="6:6" x14ac:dyDescent="0.3">
      <c r="F100035" s="193"/>
    </row>
    <row r="100036" spans="6:6" x14ac:dyDescent="0.3">
      <c r="F100036" s="193"/>
    </row>
    <row r="100037" spans="6:6" x14ac:dyDescent="0.3">
      <c r="F100037" s="193"/>
    </row>
    <row r="100038" spans="6:6" x14ac:dyDescent="0.3">
      <c r="F100038" s="193"/>
    </row>
    <row r="100039" spans="6:6" x14ac:dyDescent="0.3">
      <c r="F100039" s="193"/>
    </row>
    <row r="100040" spans="6:6" x14ac:dyDescent="0.3">
      <c r="F100040" s="193"/>
    </row>
    <row r="100041" spans="6:6" x14ac:dyDescent="0.3">
      <c r="F100041" s="193"/>
    </row>
    <row r="100042" spans="6:6" x14ac:dyDescent="0.3">
      <c r="F100042" s="193"/>
    </row>
    <row r="100043" spans="6:6" x14ac:dyDescent="0.3">
      <c r="F100043" s="193"/>
    </row>
    <row r="100044" spans="6:6" x14ac:dyDescent="0.3">
      <c r="F100044" s="193"/>
    </row>
    <row r="100045" spans="6:6" x14ac:dyDescent="0.3">
      <c r="F100045" s="193"/>
    </row>
    <row r="100046" spans="6:6" x14ac:dyDescent="0.3">
      <c r="F100046" s="193"/>
    </row>
    <row r="100047" spans="6:6" x14ac:dyDescent="0.3">
      <c r="F100047" s="193"/>
    </row>
    <row r="100048" spans="6:6" x14ac:dyDescent="0.3">
      <c r="F100048" s="193"/>
    </row>
    <row r="100049" spans="6:6" x14ac:dyDescent="0.3">
      <c r="F100049" s="193"/>
    </row>
    <row r="100050" spans="6:6" x14ac:dyDescent="0.3">
      <c r="F100050" s="193"/>
    </row>
    <row r="100051" spans="6:6" x14ac:dyDescent="0.3">
      <c r="F100051" s="193"/>
    </row>
    <row r="100052" spans="6:6" x14ac:dyDescent="0.3">
      <c r="F100052" s="193"/>
    </row>
    <row r="100053" spans="6:6" x14ac:dyDescent="0.3">
      <c r="F100053" s="193"/>
    </row>
    <row r="100054" spans="6:6" x14ac:dyDescent="0.3">
      <c r="F100054" s="193"/>
    </row>
    <row r="100055" spans="6:6" x14ac:dyDescent="0.3">
      <c r="F100055" s="193"/>
    </row>
    <row r="100056" spans="6:6" x14ac:dyDescent="0.3">
      <c r="F100056" s="193"/>
    </row>
    <row r="100057" spans="6:6" x14ac:dyDescent="0.3">
      <c r="F100057" s="193"/>
    </row>
    <row r="100058" spans="6:6" x14ac:dyDescent="0.3">
      <c r="F100058" s="193"/>
    </row>
    <row r="100059" spans="6:6" x14ac:dyDescent="0.3">
      <c r="F100059" s="193"/>
    </row>
    <row r="100060" spans="6:6" x14ac:dyDescent="0.3">
      <c r="F100060" s="193"/>
    </row>
    <row r="100061" spans="6:6" x14ac:dyDescent="0.3">
      <c r="F100061" s="193"/>
    </row>
    <row r="100062" spans="6:6" x14ac:dyDescent="0.3">
      <c r="F100062" s="193"/>
    </row>
    <row r="100063" spans="6:6" x14ac:dyDescent="0.3">
      <c r="F100063" s="193"/>
    </row>
    <row r="100064" spans="6:6" x14ac:dyDescent="0.3">
      <c r="F100064" s="193"/>
    </row>
    <row r="100065" spans="6:6" x14ac:dyDescent="0.3">
      <c r="F100065" s="193"/>
    </row>
    <row r="100066" spans="6:6" x14ac:dyDescent="0.3">
      <c r="F100066" s="193"/>
    </row>
    <row r="100067" spans="6:6" x14ac:dyDescent="0.3">
      <c r="F100067" s="193"/>
    </row>
    <row r="100068" spans="6:6" x14ac:dyDescent="0.3">
      <c r="F100068" s="193"/>
    </row>
    <row r="100069" spans="6:6" x14ac:dyDescent="0.3">
      <c r="F100069" s="193"/>
    </row>
    <row r="100070" spans="6:6" x14ac:dyDescent="0.3">
      <c r="F100070" s="193"/>
    </row>
    <row r="100071" spans="6:6" x14ac:dyDescent="0.3">
      <c r="F100071" s="193"/>
    </row>
    <row r="100072" spans="6:6" x14ac:dyDescent="0.3">
      <c r="F100072" s="193"/>
    </row>
    <row r="100073" spans="6:6" x14ac:dyDescent="0.3">
      <c r="F100073" s="193"/>
    </row>
    <row r="100074" spans="6:6" x14ac:dyDescent="0.3">
      <c r="F100074" s="193"/>
    </row>
    <row r="100075" spans="6:6" x14ac:dyDescent="0.3">
      <c r="F100075" s="193"/>
    </row>
    <row r="100076" spans="6:6" x14ac:dyDescent="0.3">
      <c r="F100076" s="193"/>
    </row>
    <row r="100077" spans="6:6" x14ac:dyDescent="0.3">
      <c r="F100077" s="193"/>
    </row>
    <row r="100078" spans="6:6" x14ac:dyDescent="0.3">
      <c r="F100078" s="193"/>
    </row>
    <row r="100079" spans="6:6" x14ac:dyDescent="0.3">
      <c r="F100079" s="193"/>
    </row>
    <row r="100080" spans="6:6" x14ac:dyDescent="0.3">
      <c r="F100080" s="193"/>
    </row>
    <row r="100081" spans="6:6" x14ac:dyDescent="0.3">
      <c r="F100081" s="193"/>
    </row>
    <row r="100082" spans="6:6" x14ac:dyDescent="0.3">
      <c r="F100082" s="193"/>
    </row>
    <row r="100083" spans="6:6" x14ac:dyDescent="0.3">
      <c r="F100083" s="193"/>
    </row>
    <row r="100084" spans="6:6" x14ac:dyDescent="0.3">
      <c r="F100084" s="193"/>
    </row>
    <row r="100085" spans="6:6" x14ac:dyDescent="0.3">
      <c r="F100085" s="193"/>
    </row>
    <row r="100086" spans="6:6" x14ac:dyDescent="0.3">
      <c r="F100086" s="193"/>
    </row>
    <row r="100087" spans="6:6" x14ac:dyDescent="0.3">
      <c r="F100087" s="193"/>
    </row>
    <row r="100088" spans="6:6" x14ac:dyDescent="0.3">
      <c r="F100088" s="193"/>
    </row>
    <row r="100089" spans="6:6" x14ac:dyDescent="0.3">
      <c r="F100089" s="193"/>
    </row>
    <row r="100090" spans="6:6" x14ac:dyDescent="0.3">
      <c r="F100090" s="193"/>
    </row>
    <row r="100091" spans="6:6" x14ac:dyDescent="0.3">
      <c r="F100091" s="193"/>
    </row>
    <row r="100092" spans="6:6" x14ac:dyDescent="0.3">
      <c r="F100092" s="193"/>
    </row>
    <row r="100093" spans="6:6" x14ac:dyDescent="0.3">
      <c r="F100093" s="193"/>
    </row>
    <row r="100094" spans="6:6" x14ac:dyDescent="0.3">
      <c r="F100094" s="193"/>
    </row>
    <row r="100095" spans="6:6" x14ac:dyDescent="0.3">
      <c r="F100095" s="193"/>
    </row>
    <row r="100096" spans="6:6" x14ac:dyDescent="0.3">
      <c r="F100096" s="193"/>
    </row>
    <row r="100097" spans="6:6" x14ac:dyDescent="0.3">
      <c r="F100097" s="193"/>
    </row>
    <row r="100098" spans="6:6" x14ac:dyDescent="0.3">
      <c r="F100098" s="193"/>
    </row>
    <row r="100099" spans="6:6" x14ac:dyDescent="0.3">
      <c r="F100099" s="193"/>
    </row>
    <row r="100100" spans="6:6" x14ac:dyDescent="0.3">
      <c r="F100100" s="193"/>
    </row>
    <row r="100101" spans="6:6" x14ac:dyDescent="0.3">
      <c r="F100101" s="193"/>
    </row>
    <row r="100102" spans="6:6" x14ac:dyDescent="0.3">
      <c r="F100102" s="193"/>
    </row>
    <row r="100103" spans="6:6" x14ac:dyDescent="0.3">
      <c r="F100103" s="193"/>
    </row>
    <row r="100104" spans="6:6" x14ac:dyDescent="0.3">
      <c r="F100104" s="193"/>
    </row>
    <row r="100105" spans="6:6" x14ac:dyDescent="0.3">
      <c r="F100105" s="193"/>
    </row>
    <row r="100106" spans="6:6" x14ac:dyDescent="0.3">
      <c r="F100106" s="193"/>
    </row>
    <row r="100107" spans="6:6" x14ac:dyDescent="0.3">
      <c r="F100107" s="193"/>
    </row>
    <row r="100108" spans="6:6" x14ac:dyDescent="0.3">
      <c r="F100108" s="193"/>
    </row>
    <row r="100109" spans="6:6" x14ac:dyDescent="0.3">
      <c r="F100109" s="193"/>
    </row>
    <row r="100110" spans="6:6" x14ac:dyDescent="0.3">
      <c r="F100110" s="193"/>
    </row>
    <row r="100111" spans="6:6" x14ac:dyDescent="0.3">
      <c r="F100111" s="193"/>
    </row>
    <row r="100112" spans="6:6" x14ac:dyDescent="0.3">
      <c r="F100112" s="193"/>
    </row>
    <row r="100113" spans="6:6" x14ac:dyDescent="0.3">
      <c r="F100113" s="193"/>
    </row>
    <row r="100114" spans="6:6" x14ac:dyDescent="0.3">
      <c r="F100114" s="193"/>
    </row>
    <row r="100115" spans="6:6" x14ac:dyDescent="0.3">
      <c r="F100115" s="193"/>
    </row>
    <row r="100116" spans="6:6" x14ac:dyDescent="0.3">
      <c r="F100116" s="193"/>
    </row>
    <row r="100117" spans="6:6" x14ac:dyDescent="0.3">
      <c r="F100117" s="193"/>
    </row>
    <row r="100118" spans="6:6" x14ac:dyDescent="0.3">
      <c r="F100118" s="193"/>
    </row>
    <row r="100119" spans="6:6" x14ac:dyDescent="0.3">
      <c r="F100119" s="193"/>
    </row>
    <row r="100120" spans="6:6" x14ac:dyDescent="0.3">
      <c r="F100120" s="193"/>
    </row>
    <row r="100121" spans="6:6" x14ac:dyDescent="0.3">
      <c r="F100121" s="193"/>
    </row>
    <row r="100122" spans="6:6" x14ac:dyDescent="0.3">
      <c r="F100122" s="193"/>
    </row>
    <row r="100123" spans="6:6" x14ac:dyDescent="0.3">
      <c r="F100123" s="193"/>
    </row>
    <row r="100124" spans="6:6" x14ac:dyDescent="0.3">
      <c r="F100124" s="193"/>
    </row>
    <row r="100125" spans="6:6" x14ac:dyDescent="0.3">
      <c r="F100125" s="193"/>
    </row>
    <row r="100126" spans="6:6" x14ac:dyDescent="0.3">
      <c r="F100126" s="193"/>
    </row>
    <row r="100127" spans="6:6" x14ac:dyDescent="0.3">
      <c r="F100127" s="193"/>
    </row>
    <row r="100128" spans="6:6" x14ac:dyDescent="0.3">
      <c r="F100128" s="193"/>
    </row>
    <row r="100129" spans="6:6" x14ac:dyDescent="0.3">
      <c r="F100129" s="193"/>
    </row>
    <row r="100130" spans="6:6" x14ac:dyDescent="0.3">
      <c r="F100130" s="193"/>
    </row>
    <row r="100131" spans="6:6" x14ac:dyDescent="0.3">
      <c r="F100131" s="193"/>
    </row>
    <row r="100132" spans="6:6" x14ac:dyDescent="0.3">
      <c r="F100132" s="193"/>
    </row>
    <row r="100133" spans="6:6" x14ac:dyDescent="0.3">
      <c r="F100133" s="193"/>
    </row>
    <row r="100134" spans="6:6" x14ac:dyDescent="0.3">
      <c r="F100134" s="193"/>
    </row>
    <row r="100135" spans="6:6" x14ac:dyDescent="0.3">
      <c r="F100135" s="193"/>
    </row>
    <row r="100136" spans="6:6" x14ac:dyDescent="0.3">
      <c r="F100136" s="193"/>
    </row>
    <row r="100137" spans="6:6" x14ac:dyDescent="0.3">
      <c r="F100137" s="193"/>
    </row>
    <row r="100138" spans="6:6" x14ac:dyDescent="0.3">
      <c r="F100138" s="193"/>
    </row>
    <row r="100139" spans="6:6" x14ac:dyDescent="0.3">
      <c r="F100139" s="193"/>
    </row>
    <row r="100140" spans="6:6" x14ac:dyDescent="0.3">
      <c r="F100140" s="193"/>
    </row>
    <row r="100141" spans="6:6" x14ac:dyDescent="0.3">
      <c r="F100141" s="193"/>
    </row>
    <row r="100142" spans="6:6" x14ac:dyDescent="0.3">
      <c r="F100142" s="193"/>
    </row>
    <row r="100143" spans="6:6" x14ac:dyDescent="0.3">
      <c r="F100143" s="193"/>
    </row>
    <row r="100144" spans="6:6" x14ac:dyDescent="0.3">
      <c r="F100144" s="193"/>
    </row>
    <row r="100145" spans="6:6" x14ac:dyDescent="0.3">
      <c r="F100145" s="193"/>
    </row>
    <row r="100146" spans="6:6" x14ac:dyDescent="0.3">
      <c r="F100146" s="193"/>
    </row>
    <row r="100147" spans="6:6" x14ac:dyDescent="0.3">
      <c r="F100147" s="193"/>
    </row>
    <row r="100148" spans="6:6" x14ac:dyDescent="0.3">
      <c r="F100148" s="193"/>
    </row>
    <row r="100149" spans="6:6" x14ac:dyDescent="0.3">
      <c r="F100149" s="193"/>
    </row>
    <row r="100150" spans="6:6" x14ac:dyDescent="0.3">
      <c r="F100150" s="193"/>
    </row>
    <row r="100151" spans="6:6" x14ac:dyDescent="0.3">
      <c r="F100151" s="193"/>
    </row>
    <row r="100152" spans="6:6" x14ac:dyDescent="0.3">
      <c r="F100152" s="193"/>
    </row>
    <row r="100153" spans="6:6" x14ac:dyDescent="0.3">
      <c r="F100153" s="193"/>
    </row>
    <row r="100154" spans="6:6" x14ac:dyDescent="0.3">
      <c r="F100154" s="193"/>
    </row>
    <row r="100155" spans="6:6" x14ac:dyDescent="0.3">
      <c r="F100155" s="193"/>
    </row>
    <row r="100156" spans="6:6" x14ac:dyDescent="0.3">
      <c r="F100156" s="193"/>
    </row>
    <row r="100157" spans="6:6" x14ac:dyDescent="0.3">
      <c r="F100157" s="193"/>
    </row>
    <row r="100158" spans="6:6" x14ac:dyDescent="0.3">
      <c r="F100158" s="193"/>
    </row>
    <row r="100159" spans="6:6" x14ac:dyDescent="0.3">
      <c r="F100159" s="193"/>
    </row>
    <row r="100160" spans="6:6" x14ac:dyDescent="0.3">
      <c r="F100160" s="193"/>
    </row>
    <row r="100161" spans="6:6" x14ac:dyDescent="0.3">
      <c r="F100161" s="193"/>
    </row>
    <row r="100162" spans="6:6" x14ac:dyDescent="0.3">
      <c r="F100162" s="193"/>
    </row>
    <row r="100163" spans="6:6" x14ac:dyDescent="0.3">
      <c r="F100163" s="193"/>
    </row>
    <row r="100164" spans="6:6" x14ac:dyDescent="0.3">
      <c r="F100164" s="193"/>
    </row>
    <row r="100165" spans="6:6" x14ac:dyDescent="0.3">
      <c r="F100165" s="193"/>
    </row>
    <row r="100166" spans="6:6" x14ac:dyDescent="0.3">
      <c r="F100166" s="193"/>
    </row>
    <row r="100167" spans="6:6" x14ac:dyDescent="0.3">
      <c r="F100167" s="193"/>
    </row>
    <row r="100168" spans="6:6" x14ac:dyDescent="0.3">
      <c r="F100168" s="193"/>
    </row>
    <row r="100169" spans="6:6" x14ac:dyDescent="0.3">
      <c r="F100169" s="193"/>
    </row>
    <row r="100170" spans="6:6" x14ac:dyDescent="0.3">
      <c r="F100170" s="193"/>
    </row>
    <row r="100171" spans="6:6" x14ac:dyDescent="0.3">
      <c r="F100171" s="193"/>
    </row>
    <row r="100172" spans="6:6" x14ac:dyDescent="0.3">
      <c r="F100172" s="193"/>
    </row>
    <row r="100173" spans="6:6" x14ac:dyDescent="0.3">
      <c r="F100173" s="193"/>
    </row>
    <row r="100174" spans="6:6" x14ac:dyDescent="0.3">
      <c r="F100174" s="193"/>
    </row>
    <row r="100175" spans="6:6" x14ac:dyDescent="0.3">
      <c r="F100175" s="193"/>
    </row>
    <row r="100176" spans="6:6" x14ac:dyDescent="0.3">
      <c r="F100176" s="193"/>
    </row>
    <row r="100177" spans="6:6" x14ac:dyDescent="0.3">
      <c r="F100177" s="193"/>
    </row>
    <row r="100178" spans="6:6" x14ac:dyDescent="0.3">
      <c r="F100178" s="193"/>
    </row>
    <row r="100179" spans="6:6" x14ac:dyDescent="0.3">
      <c r="F100179" s="193"/>
    </row>
    <row r="100180" spans="6:6" x14ac:dyDescent="0.3">
      <c r="F100180" s="193"/>
    </row>
    <row r="100181" spans="6:6" x14ac:dyDescent="0.3">
      <c r="F100181" s="193"/>
    </row>
    <row r="100182" spans="6:6" x14ac:dyDescent="0.3">
      <c r="F100182" s="193"/>
    </row>
    <row r="100183" spans="6:6" x14ac:dyDescent="0.3">
      <c r="F100183" s="193"/>
    </row>
    <row r="100184" spans="6:6" x14ac:dyDescent="0.3">
      <c r="F100184" s="193"/>
    </row>
    <row r="100185" spans="6:6" x14ac:dyDescent="0.3">
      <c r="F100185" s="193"/>
    </row>
    <row r="100186" spans="6:6" x14ac:dyDescent="0.3">
      <c r="F100186" s="193"/>
    </row>
    <row r="100187" spans="6:6" x14ac:dyDescent="0.3">
      <c r="F100187" s="193"/>
    </row>
    <row r="100188" spans="6:6" x14ac:dyDescent="0.3">
      <c r="F100188" s="193"/>
    </row>
    <row r="100189" spans="6:6" x14ac:dyDescent="0.3">
      <c r="F100189" s="193"/>
    </row>
    <row r="100190" spans="6:6" x14ac:dyDescent="0.3">
      <c r="F100190" s="193"/>
    </row>
    <row r="100191" spans="6:6" x14ac:dyDescent="0.3">
      <c r="F100191" s="193"/>
    </row>
    <row r="100192" spans="6:6" x14ac:dyDescent="0.3">
      <c r="F100192" s="193"/>
    </row>
    <row r="100193" spans="6:6" x14ac:dyDescent="0.3">
      <c r="F100193" s="193"/>
    </row>
    <row r="100194" spans="6:6" x14ac:dyDescent="0.3">
      <c r="F100194" s="193"/>
    </row>
    <row r="100195" spans="6:6" x14ac:dyDescent="0.3">
      <c r="F100195" s="193"/>
    </row>
    <row r="100196" spans="6:6" x14ac:dyDescent="0.3">
      <c r="F100196" s="193"/>
    </row>
    <row r="100197" spans="6:6" x14ac:dyDescent="0.3">
      <c r="F100197" s="193"/>
    </row>
    <row r="100198" spans="6:6" x14ac:dyDescent="0.3">
      <c r="F100198" s="193"/>
    </row>
    <row r="100199" spans="6:6" x14ac:dyDescent="0.3">
      <c r="F100199" s="193"/>
    </row>
    <row r="100200" spans="6:6" x14ac:dyDescent="0.3">
      <c r="F100200" s="193"/>
    </row>
    <row r="100201" spans="6:6" x14ac:dyDescent="0.3">
      <c r="F100201" s="193"/>
    </row>
    <row r="100202" spans="6:6" x14ac:dyDescent="0.3">
      <c r="F100202" s="193"/>
    </row>
    <row r="100203" spans="6:6" x14ac:dyDescent="0.3">
      <c r="F100203" s="193"/>
    </row>
    <row r="100204" spans="6:6" x14ac:dyDescent="0.3">
      <c r="F100204" s="193"/>
    </row>
    <row r="100205" spans="6:6" x14ac:dyDescent="0.3">
      <c r="F100205" s="193"/>
    </row>
    <row r="100206" spans="6:6" x14ac:dyDescent="0.3">
      <c r="F100206" s="193"/>
    </row>
    <row r="100207" spans="6:6" x14ac:dyDescent="0.3">
      <c r="F100207" s="193"/>
    </row>
    <row r="100208" spans="6:6" x14ac:dyDescent="0.3">
      <c r="F100208" s="193"/>
    </row>
    <row r="100209" spans="6:6" x14ac:dyDescent="0.3">
      <c r="F100209" s="193"/>
    </row>
    <row r="100210" spans="6:6" x14ac:dyDescent="0.3">
      <c r="F100210" s="193"/>
    </row>
    <row r="100211" spans="6:6" x14ac:dyDescent="0.3">
      <c r="F100211" s="193"/>
    </row>
    <row r="100212" spans="6:6" x14ac:dyDescent="0.3">
      <c r="F100212" s="193"/>
    </row>
    <row r="100213" spans="6:6" x14ac:dyDescent="0.3">
      <c r="F100213" s="193"/>
    </row>
    <row r="100214" spans="6:6" x14ac:dyDescent="0.3">
      <c r="F100214" s="193"/>
    </row>
    <row r="100215" spans="6:6" x14ac:dyDescent="0.3">
      <c r="F100215" s="193"/>
    </row>
    <row r="100216" spans="6:6" x14ac:dyDescent="0.3">
      <c r="F100216" s="193"/>
    </row>
    <row r="100217" spans="6:6" x14ac:dyDescent="0.3">
      <c r="F100217" s="193"/>
    </row>
    <row r="100218" spans="6:6" x14ac:dyDescent="0.3">
      <c r="F100218" s="193"/>
    </row>
    <row r="100219" spans="6:6" x14ac:dyDescent="0.3">
      <c r="F100219" s="193"/>
    </row>
    <row r="100220" spans="6:6" x14ac:dyDescent="0.3">
      <c r="F100220" s="193"/>
    </row>
    <row r="100221" spans="6:6" x14ac:dyDescent="0.3">
      <c r="F100221" s="193"/>
    </row>
    <row r="100222" spans="6:6" x14ac:dyDescent="0.3">
      <c r="F100222" s="193"/>
    </row>
    <row r="100223" spans="6:6" x14ac:dyDescent="0.3">
      <c r="F100223" s="193"/>
    </row>
    <row r="100224" spans="6:6" x14ac:dyDescent="0.3">
      <c r="F100224" s="193"/>
    </row>
    <row r="100225" spans="6:6" x14ac:dyDescent="0.3">
      <c r="F100225" s="193"/>
    </row>
    <row r="100226" spans="6:6" x14ac:dyDescent="0.3">
      <c r="F100226" s="193"/>
    </row>
    <row r="100227" spans="6:6" x14ac:dyDescent="0.3">
      <c r="F100227" s="193"/>
    </row>
    <row r="100228" spans="6:6" x14ac:dyDescent="0.3">
      <c r="F100228" s="193"/>
    </row>
    <row r="100229" spans="6:6" x14ac:dyDescent="0.3">
      <c r="F100229" s="193"/>
    </row>
    <row r="100230" spans="6:6" x14ac:dyDescent="0.3">
      <c r="F100230" s="193"/>
    </row>
    <row r="100231" spans="6:6" x14ac:dyDescent="0.3">
      <c r="F100231" s="193"/>
    </row>
    <row r="100232" spans="6:6" x14ac:dyDescent="0.3">
      <c r="F100232" s="193"/>
    </row>
    <row r="100233" spans="6:6" x14ac:dyDescent="0.3">
      <c r="F100233" s="193"/>
    </row>
    <row r="100234" spans="6:6" x14ac:dyDescent="0.3">
      <c r="F100234" s="193"/>
    </row>
    <row r="100235" spans="6:6" x14ac:dyDescent="0.3">
      <c r="F100235" s="193"/>
    </row>
    <row r="100236" spans="6:6" x14ac:dyDescent="0.3">
      <c r="F100236" s="193"/>
    </row>
    <row r="100237" spans="6:6" x14ac:dyDescent="0.3">
      <c r="F100237" s="193"/>
    </row>
    <row r="100238" spans="6:6" x14ac:dyDescent="0.3">
      <c r="F100238" s="193"/>
    </row>
    <row r="100239" spans="6:6" x14ac:dyDescent="0.3">
      <c r="F100239" s="193"/>
    </row>
    <row r="100240" spans="6:6" x14ac:dyDescent="0.3">
      <c r="F100240" s="193"/>
    </row>
    <row r="100241" spans="6:6" x14ac:dyDescent="0.3">
      <c r="F100241" s="193"/>
    </row>
    <row r="100242" spans="6:6" x14ac:dyDescent="0.3">
      <c r="F100242" s="193"/>
    </row>
    <row r="100243" spans="6:6" x14ac:dyDescent="0.3">
      <c r="F100243" s="193"/>
    </row>
    <row r="100244" spans="6:6" x14ac:dyDescent="0.3">
      <c r="F100244" s="193"/>
    </row>
    <row r="100245" spans="6:6" x14ac:dyDescent="0.3">
      <c r="F100245" s="193"/>
    </row>
    <row r="100246" spans="6:6" x14ac:dyDescent="0.3">
      <c r="F100246" s="193"/>
    </row>
    <row r="100247" spans="6:6" x14ac:dyDescent="0.3">
      <c r="F100247" s="193"/>
    </row>
    <row r="100248" spans="6:6" x14ac:dyDescent="0.3">
      <c r="F100248" s="193"/>
    </row>
    <row r="100249" spans="6:6" x14ac:dyDescent="0.3">
      <c r="F100249" s="193"/>
    </row>
    <row r="100250" spans="6:6" x14ac:dyDescent="0.3">
      <c r="F100250" s="193"/>
    </row>
    <row r="100251" spans="6:6" x14ac:dyDescent="0.3">
      <c r="F100251" s="193"/>
    </row>
    <row r="100252" spans="6:6" x14ac:dyDescent="0.3">
      <c r="F100252" s="193"/>
    </row>
    <row r="100253" spans="6:6" x14ac:dyDescent="0.3">
      <c r="F100253" s="193"/>
    </row>
    <row r="100254" spans="6:6" x14ac:dyDescent="0.3">
      <c r="F100254" s="193"/>
    </row>
    <row r="100255" spans="6:6" x14ac:dyDescent="0.3">
      <c r="F100255" s="193"/>
    </row>
    <row r="100256" spans="6:6" x14ac:dyDescent="0.3">
      <c r="F100256" s="193"/>
    </row>
    <row r="100257" spans="6:6" x14ac:dyDescent="0.3">
      <c r="F100257" s="193"/>
    </row>
    <row r="100258" spans="6:6" x14ac:dyDescent="0.3">
      <c r="F100258" s="193"/>
    </row>
    <row r="100259" spans="6:6" x14ac:dyDescent="0.3">
      <c r="F100259" s="193"/>
    </row>
    <row r="100260" spans="6:6" x14ac:dyDescent="0.3">
      <c r="F100260" s="193"/>
    </row>
    <row r="100261" spans="6:6" x14ac:dyDescent="0.3">
      <c r="F100261" s="193"/>
    </row>
    <row r="100262" spans="6:6" x14ac:dyDescent="0.3">
      <c r="F100262" s="193"/>
    </row>
    <row r="100263" spans="6:6" x14ac:dyDescent="0.3">
      <c r="F100263" s="193"/>
    </row>
    <row r="100264" spans="6:6" x14ac:dyDescent="0.3">
      <c r="F100264" s="193"/>
    </row>
    <row r="100265" spans="6:6" x14ac:dyDescent="0.3">
      <c r="F100265" s="193"/>
    </row>
    <row r="100266" spans="6:6" x14ac:dyDescent="0.3">
      <c r="F100266" s="193"/>
    </row>
    <row r="100267" spans="6:6" x14ac:dyDescent="0.3">
      <c r="F100267" s="193"/>
    </row>
    <row r="100268" spans="6:6" x14ac:dyDescent="0.3">
      <c r="F100268" s="193"/>
    </row>
    <row r="100269" spans="6:6" x14ac:dyDescent="0.3">
      <c r="F100269" s="193"/>
    </row>
    <row r="100270" spans="6:6" x14ac:dyDescent="0.3">
      <c r="F100270" s="193"/>
    </row>
    <row r="100271" spans="6:6" x14ac:dyDescent="0.3">
      <c r="F100271" s="193"/>
    </row>
    <row r="100272" spans="6:6" x14ac:dyDescent="0.3">
      <c r="F100272" s="193"/>
    </row>
    <row r="100273" spans="6:6" x14ac:dyDescent="0.3">
      <c r="F100273" s="193"/>
    </row>
    <row r="100274" spans="6:6" x14ac:dyDescent="0.3">
      <c r="F100274" s="193"/>
    </row>
    <row r="100275" spans="6:6" x14ac:dyDescent="0.3">
      <c r="F100275" s="193"/>
    </row>
    <row r="100276" spans="6:6" x14ac:dyDescent="0.3">
      <c r="F100276" s="193"/>
    </row>
    <row r="100277" spans="6:6" x14ac:dyDescent="0.3">
      <c r="F100277" s="193"/>
    </row>
    <row r="100278" spans="6:6" x14ac:dyDescent="0.3">
      <c r="F100278" s="193"/>
    </row>
    <row r="100279" spans="6:6" x14ac:dyDescent="0.3">
      <c r="F100279" s="193"/>
    </row>
    <row r="100280" spans="6:6" x14ac:dyDescent="0.3">
      <c r="F100280" s="193"/>
    </row>
    <row r="100281" spans="6:6" x14ac:dyDescent="0.3">
      <c r="F100281" s="193"/>
    </row>
    <row r="100282" spans="6:6" x14ac:dyDescent="0.3">
      <c r="F100282" s="193"/>
    </row>
    <row r="100283" spans="6:6" x14ac:dyDescent="0.3">
      <c r="F100283" s="193"/>
    </row>
    <row r="100284" spans="6:6" x14ac:dyDescent="0.3">
      <c r="F100284" s="193"/>
    </row>
    <row r="100285" spans="6:6" x14ac:dyDescent="0.3">
      <c r="F100285" s="193"/>
    </row>
    <row r="100286" spans="6:6" x14ac:dyDescent="0.3">
      <c r="F100286" s="193"/>
    </row>
    <row r="100287" spans="6:6" x14ac:dyDescent="0.3">
      <c r="F100287" s="193"/>
    </row>
    <row r="100288" spans="6:6" x14ac:dyDescent="0.3">
      <c r="F100288" s="193"/>
    </row>
    <row r="100289" spans="6:6" x14ac:dyDescent="0.3">
      <c r="F100289" s="193"/>
    </row>
    <row r="100290" spans="6:6" x14ac:dyDescent="0.3">
      <c r="F100290" s="193"/>
    </row>
    <row r="100291" spans="6:6" x14ac:dyDescent="0.3">
      <c r="F100291" s="193"/>
    </row>
    <row r="100292" spans="6:6" x14ac:dyDescent="0.3">
      <c r="F100292" s="193"/>
    </row>
    <row r="100293" spans="6:6" x14ac:dyDescent="0.3">
      <c r="F100293" s="193"/>
    </row>
    <row r="100294" spans="6:6" x14ac:dyDescent="0.3">
      <c r="F100294" s="193"/>
    </row>
    <row r="100295" spans="6:6" x14ac:dyDescent="0.3">
      <c r="F100295" s="193"/>
    </row>
    <row r="100296" spans="6:6" x14ac:dyDescent="0.3">
      <c r="F100296" s="193"/>
    </row>
    <row r="100297" spans="6:6" x14ac:dyDescent="0.3">
      <c r="F100297" s="193"/>
    </row>
    <row r="100298" spans="6:6" x14ac:dyDescent="0.3">
      <c r="F100298" s="193"/>
    </row>
    <row r="100299" spans="6:6" x14ac:dyDescent="0.3">
      <c r="F100299" s="193"/>
    </row>
    <row r="100300" spans="6:6" x14ac:dyDescent="0.3">
      <c r="F100300" s="193"/>
    </row>
    <row r="100301" spans="6:6" x14ac:dyDescent="0.3">
      <c r="F100301" s="193"/>
    </row>
    <row r="100302" spans="6:6" x14ac:dyDescent="0.3">
      <c r="F100302" s="193"/>
    </row>
    <row r="100303" spans="6:6" x14ac:dyDescent="0.3">
      <c r="F100303" s="193"/>
    </row>
    <row r="100304" spans="6:6" x14ac:dyDescent="0.3">
      <c r="F100304" s="193"/>
    </row>
    <row r="100305" spans="6:6" x14ac:dyDescent="0.3">
      <c r="F100305" s="193"/>
    </row>
    <row r="100306" spans="6:6" x14ac:dyDescent="0.3">
      <c r="F100306" s="193"/>
    </row>
    <row r="100307" spans="6:6" x14ac:dyDescent="0.3">
      <c r="F100307" s="193"/>
    </row>
    <row r="100308" spans="6:6" x14ac:dyDescent="0.3">
      <c r="F100308" s="193"/>
    </row>
    <row r="100309" spans="6:6" x14ac:dyDescent="0.3">
      <c r="F100309" s="193"/>
    </row>
    <row r="100310" spans="6:6" x14ac:dyDescent="0.3">
      <c r="F100310" s="193"/>
    </row>
    <row r="100311" spans="6:6" x14ac:dyDescent="0.3">
      <c r="F100311" s="193"/>
    </row>
    <row r="100312" spans="6:6" x14ac:dyDescent="0.3">
      <c r="F100312" s="193"/>
    </row>
    <row r="100313" spans="6:6" x14ac:dyDescent="0.3">
      <c r="F100313" s="193"/>
    </row>
    <row r="100314" spans="6:6" x14ac:dyDescent="0.3">
      <c r="F100314" s="193"/>
    </row>
    <row r="100315" spans="6:6" x14ac:dyDescent="0.3">
      <c r="F100315" s="193"/>
    </row>
    <row r="100316" spans="6:6" x14ac:dyDescent="0.3">
      <c r="F100316" s="193"/>
    </row>
    <row r="100317" spans="6:6" x14ac:dyDescent="0.3">
      <c r="F100317" s="193"/>
    </row>
    <row r="100318" spans="6:6" x14ac:dyDescent="0.3">
      <c r="F100318" s="193"/>
    </row>
    <row r="100319" spans="6:6" x14ac:dyDescent="0.3">
      <c r="F100319" s="193"/>
    </row>
    <row r="100320" spans="6:6" x14ac:dyDescent="0.3">
      <c r="F100320" s="193"/>
    </row>
    <row r="100321" spans="6:6" x14ac:dyDescent="0.3">
      <c r="F100321" s="193"/>
    </row>
    <row r="100322" spans="6:6" x14ac:dyDescent="0.3">
      <c r="F100322" s="193"/>
    </row>
    <row r="100323" spans="6:6" x14ac:dyDescent="0.3">
      <c r="F100323" s="193"/>
    </row>
    <row r="100324" spans="6:6" x14ac:dyDescent="0.3">
      <c r="F100324" s="193"/>
    </row>
    <row r="100325" spans="6:6" x14ac:dyDescent="0.3">
      <c r="F100325" s="193"/>
    </row>
    <row r="100326" spans="6:6" x14ac:dyDescent="0.3">
      <c r="F100326" s="193"/>
    </row>
    <row r="100327" spans="6:6" x14ac:dyDescent="0.3">
      <c r="F100327" s="193"/>
    </row>
    <row r="100328" spans="6:6" x14ac:dyDescent="0.3">
      <c r="F100328" s="193"/>
    </row>
    <row r="100329" spans="6:6" x14ac:dyDescent="0.3">
      <c r="F100329" s="193"/>
    </row>
    <row r="100330" spans="6:6" x14ac:dyDescent="0.3">
      <c r="F100330" s="193"/>
    </row>
    <row r="100331" spans="6:6" x14ac:dyDescent="0.3">
      <c r="F100331" s="193"/>
    </row>
    <row r="100332" spans="6:6" x14ac:dyDescent="0.3">
      <c r="F100332" s="193"/>
    </row>
    <row r="100333" spans="6:6" x14ac:dyDescent="0.3">
      <c r="F100333" s="193"/>
    </row>
    <row r="100334" spans="6:6" x14ac:dyDescent="0.3">
      <c r="F100334" s="193"/>
    </row>
    <row r="100335" spans="6:6" x14ac:dyDescent="0.3">
      <c r="F100335" s="193"/>
    </row>
    <row r="100336" spans="6:6" x14ac:dyDescent="0.3">
      <c r="F100336" s="193"/>
    </row>
    <row r="100337" spans="6:6" x14ac:dyDescent="0.3">
      <c r="F100337" s="193"/>
    </row>
    <row r="100338" spans="6:6" x14ac:dyDescent="0.3">
      <c r="F100338" s="193"/>
    </row>
    <row r="100339" spans="6:6" x14ac:dyDescent="0.3">
      <c r="F100339" s="193"/>
    </row>
    <row r="100340" spans="6:6" x14ac:dyDescent="0.3">
      <c r="F100340" s="193"/>
    </row>
    <row r="100341" spans="6:6" x14ac:dyDescent="0.3">
      <c r="F100341" s="193"/>
    </row>
    <row r="100342" spans="6:6" x14ac:dyDescent="0.3">
      <c r="F100342" s="193"/>
    </row>
    <row r="100343" spans="6:6" x14ac:dyDescent="0.3">
      <c r="F100343" s="193"/>
    </row>
    <row r="100344" spans="6:6" x14ac:dyDescent="0.3">
      <c r="F100344" s="193"/>
    </row>
    <row r="100345" spans="6:6" x14ac:dyDescent="0.3">
      <c r="F100345" s="193"/>
    </row>
    <row r="100346" spans="6:6" x14ac:dyDescent="0.3">
      <c r="F100346" s="193"/>
    </row>
    <row r="100347" spans="6:6" x14ac:dyDescent="0.3">
      <c r="F100347" s="193"/>
    </row>
    <row r="100348" spans="6:6" x14ac:dyDescent="0.3">
      <c r="F100348" s="193"/>
    </row>
    <row r="100349" spans="6:6" x14ac:dyDescent="0.3">
      <c r="F100349" s="193"/>
    </row>
    <row r="100350" spans="6:6" x14ac:dyDescent="0.3">
      <c r="F100350" s="193"/>
    </row>
    <row r="100351" spans="6:6" x14ac:dyDescent="0.3">
      <c r="F100351" s="193"/>
    </row>
    <row r="100352" spans="6:6" x14ac:dyDescent="0.3">
      <c r="F100352" s="193"/>
    </row>
    <row r="100353" spans="6:6" x14ac:dyDescent="0.3">
      <c r="F100353" s="193"/>
    </row>
    <row r="100354" spans="6:6" x14ac:dyDescent="0.3">
      <c r="F100354" s="193"/>
    </row>
    <row r="100355" spans="6:6" x14ac:dyDescent="0.3">
      <c r="F100355" s="193"/>
    </row>
    <row r="100356" spans="6:6" x14ac:dyDescent="0.3">
      <c r="F100356" s="193"/>
    </row>
    <row r="100357" spans="6:6" x14ac:dyDescent="0.3">
      <c r="F100357" s="193"/>
    </row>
    <row r="100358" spans="6:6" x14ac:dyDescent="0.3">
      <c r="F100358" s="193"/>
    </row>
    <row r="100359" spans="6:6" x14ac:dyDescent="0.3">
      <c r="F100359" s="193"/>
    </row>
    <row r="100360" spans="6:6" x14ac:dyDescent="0.3">
      <c r="F100360" s="193"/>
    </row>
    <row r="100361" spans="6:6" x14ac:dyDescent="0.3">
      <c r="F100361" s="193"/>
    </row>
    <row r="100362" spans="6:6" x14ac:dyDescent="0.3">
      <c r="F100362" s="193"/>
    </row>
    <row r="100363" spans="6:6" x14ac:dyDescent="0.3">
      <c r="F100363" s="193"/>
    </row>
    <row r="100364" spans="6:6" x14ac:dyDescent="0.3">
      <c r="F100364" s="193"/>
    </row>
    <row r="100365" spans="6:6" x14ac:dyDescent="0.3">
      <c r="F100365" s="193"/>
    </row>
    <row r="100366" spans="6:6" x14ac:dyDescent="0.3">
      <c r="F100366" s="193"/>
    </row>
    <row r="100367" spans="6:6" x14ac:dyDescent="0.3">
      <c r="F100367" s="193"/>
    </row>
    <row r="100368" spans="6:6" x14ac:dyDescent="0.3">
      <c r="F100368" s="193"/>
    </row>
    <row r="100369" spans="6:6" x14ac:dyDescent="0.3">
      <c r="F100369" s="193"/>
    </row>
    <row r="100370" spans="6:6" x14ac:dyDescent="0.3">
      <c r="F100370" s="193"/>
    </row>
    <row r="100371" spans="6:6" x14ac:dyDescent="0.3">
      <c r="F100371" s="193"/>
    </row>
    <row r="100372" spans="6:6" x14ac:dyDescent="0.3">
      <c r="F100372" s="193"/>
    </row>
    <row r="100373" spans="6:6" x14ac:dyDescent="0.3">
      <c r="F100373" s="193"/>
    </row>
    <row r="100374" spans="6:6" x14ac:dyDescent="0.3">
      <c r="F100374" s="193"/>
    </row>
    <row r="100375" spans="6:6" x14ac:dyDescent="0.3">
      <c r="F100375" s="193"/>
    </row>
    <row r="100376" spans="6:6" x14ac:dyDescent="0.3">
      <c r="F100376" s="193"/>
    </row>
    <row r="100377" spans="6:6" x14ac:dyDescent="0.3">
      <c r="F100377" s="193"/>
    </row>
    <row r="100378" spans="6:6" x14ac:dyDescent="0.3">
      <c r="F100378" s="193"/>
    </row>
    <row r="100379" spans="6:6" x14ac:dyDescent="0.3">
      <c r="F100379" s="193"/>
    </row>
    <row r="100380" spans="6:6" x14ac:dyDescent="0.3">
      <c r="F100380" s="193"/>
    </row>
    <row r="100381" spans="6:6" x14ac:dyDescent="0.3">
      <c r="F100381" s="193"/>
    </row>
    <row r="100382" spans="6:6" x14ac:dyDescent="0.3">
      <c r="F100382" s="193"/>
    </row>
    <row r="100383" spans="6:6" x14ac:dyDescent="0.3">
      <c r="F100383" s="193"/>
    </row>
    <row r="100384" spans="6:6" x14ac:dyDescent="0.3">
      <c r="F100384" s="193"/>
    </row>
    <row r="100385" spans="6:6" x14ac:dyDescent="0.3">
      <c r="F100385" s="193"/>
    </row>
    <row r="100386" spans="6:6" x14ac:dyDescent="0.3">
      <c r="F100386" s="193"/>
    </row>
    <row r="100387" spans="6:6" x14ac:dyDescent="0.3">
      <c r="F100387" s="193"/>
    </row>
    <row r="100388" spans="6:6" x14ac:dyDescent="0.3">
      <c r="F100388" s="193"/>
    </row>
    <row r="100389" spans="6:6" x14ac:dyDescent="0.3">
      <c r="F100389" s="193"/>
    </row>
    <row r="100390" spans="6:6" x14ac:dyDescent="0.3">
      <c r="F100390" s="193"/>
    </row>
    <row r="100391" spans="6:6" x14ac:dyDescent="0.3">
      <c r="F100391" s="193"/>
    </row>
    <row r="100392" spans="6:6" x14ac:dyDescent="0.3">
      <c r="F100392" s="193"/>
    </row>
    <row r="100393" spans="6:6" x14ac:dyDescent="0.3">
      <c r="F100393" s="193"/>
    </row>
    <row r="100394" spans="6:6" x14ac:dyDescent="0.3">
      <c r="F100394" s="193"/>
    </row>
    <row r="100395" spans="6:6" x14ac:dyDescent="0.3">
      <c r="F100395" s="193"/>
    </row>
    <row r="100396" spans="6:6" x14ac:dyDescent="0.3">
      <c r="F100396" s="193"/>
    </row>
    <row r="100397" spans="6:6" x14ac:dyDescent="0.3">
      <c r="F100397" s="193"/>
    </row>
    <row r="100398" spans="6:6" x14ac:dyDescent="0.3">
      <c r="F100398" s="193"/>
    </row>
    <row r="100399" spans="6:6" x14ac:dyDescent="0.3">
      <c r="F100399" s="193"/>
    </row>
    <row r="100400" spans="6:6" x14ac:dyDescent="0.3">
      <c r="F100400" s="193"/>
    </row>
    <row r="100401" spans="6:6" x14ac:dyDescent="0.3">
      <c r="F100401" s="193"/>
    </row>
    <row r="100402" spans="6:6" x14ac:dyDescent="0.3">
      <c r="F100402" s="193"/>
    </row>
    <row r="100403" spans="6:6" x14ac:dyDescent="0.3">
      <c r="F100403" s="193"/>
    </row>
    <row r="100404" spans="6:6" x14ac:dyDescent="0.3">
      <c r="F100404" s="193"/>
    </row>
    <row r="100405" spans="6:6" x14ac:dyDescent="0.3">
      <c r="F100405" s="193"/>
    </row>
    <row r="100406" spans="6:6" x14ac:dyDescent="0.3">
      <c r="F100406" s="193"/>
    </row>
    <row r="100407" spans="6:6" x14ac:dyDescent="0.3">
      <c r="F100407" s="193"/>
    </row>
    <row r="100408" spans="6:6" x14ac:dyDescent="0.3">
      <c r="F100408" s="193"/>
    </row>
    <row r="100409" spans="6:6" x14ac:dyDescent="0.3">
      <c r="F100409" s="193"/>
    </row>
    <row r="100410" spans="6:6" x14ac:dyDescent="0.3">
      <c r="F100410" s="193"/>
    </row>
    <row r="100411" spans="6:6" x14ac:dyDescent="0.3">
      <c r="F100411" s="193"/>
    </row>
    <row r="100412" spans="6:6" x14ac:dyDescent="0.3">
      <c r="F100412" s="193"/>
    </row>
    <row r="100413" spans="6:6" x14ac:dyDescent="0.3">
      <c r="F100413" s="193"/>
    </row>
    <row r="100414" spans="6:6" x14ac:dyDescent="0.3">
      <c r="F100414" s="193"/>
    </row>
    <row r="100415" spans="6:6" x14ac:dyDescent="0.3">
      <c r="F100415" s="193"/>
    </row>
    <row r="100416" spans="6:6" x14ac:dyDescent="0.3">
      <c r="F100416" s="193"/>
    </row>
    <row r="100417" spans="6:6" x14ac:dyDescent="0.3">
      <c r="F100417" s="193"/>
    </row>
    <row r="100418" spans="6:6" x14ac:dyDescent="0.3">
      <c r="F100418" s="193"/>
    </row>
    <row r="100419" spans="6:6" x14ac:dyDescent="0.3">
      <c r="F100419" s="193"/>
    </row>
    <row r="100420" spans="6:6" x14ac:dyDescent="0.3">
      <c r="F100420" s="193"/>
    </row>
    <row r="100421" spans="6:6" x14ac:dyDescent="0.3">
      <c r="F100421" s="193"/>
    </row>
    <row r="100422" spans="6:6" x14ac:dyDescent="0.3">
      <c r="F100422" s="193"/>
    </row>
    <row r="100423" spans="6:6" x14ac:dyDescent="0.3">
      <c r="F100423" s="193"/>
    </row>
    <row r="100424" spans="6:6" x14ac:dyDescent="0.3">
      <c r="F100424" s="193"/>
    </row>
    <row r="100425" spans="6:6" x14ac:dyDescent="0.3">
      <c r="F100425" s="193"/>
    </row>
    <row r="100426" spans="6:6" x14ac:dyDescent="0.3">
      <c r="F100426" s="193"/>
    </row>
    <row r="100427" spans="6:6" x14ac:dyDescent="0.3">
      <c r="F100427" s="193"/>
    </row>
    <row r="100428" spans="6:6" x14ac:dyDescent="0.3">
      <c r="F100428" s="193"/>
    </row>
    <row r="100429" spans="6:6" x14ac:dyDescent="0.3">
      <c r="F100429" s="193"/>
    </row>
    <row r="100430" spans="6:6" x14ac:dyDescent="0.3">
      <c r="F100430" s="193"/>
    </row>
    <row r="100431" spans="6:6" x14ac:dyDescent="0.3">
      <c r="F100431" s="193"/>
    </row>
    <row r="100432" spans="6:6" x14ac:dyDescent="0.3">
      <c r="F100432" s="193"/>
    </row>
    <row r="100433" spans="6:6" x14ac:dyDescent="0.3">
      <c r="F100433" s="193"/>
    </row>
    <row r="100434" spans="6:6" x14ac:dyDescent="0.3">
      <c r="F100434" s="193"/>
    </row>
    <row r="100435" spans="6:6" x14ac:dyDescent="0.3">
      <c r="F100435" s="193"/>
    </row>
    <row r="100436" spans="6:6" x14ac:dyDescent="0.3">
      <c r="F100436" s="193"/>
    </row>
    <row r="100437" spans="6:6" x14ac:dyDescent="0.3">
      <c r="F100437" s="193"/>
    </row>
    <row r="100438" spans="6:6" x14ac:dyDescent="0.3">
      <c r="F100438" s="193"/>
    </row>
    <row r="100439" spans="6:6" x14ac:dyDescent="0.3">
      <c r="F100439" s="193"/>
    </row>
    <row r="100440" spans="6:6" x14ac:dyDescent="0.3">
      <c r="F100440" s="193"/>
    </row>
    <row r="100441" spans="6:6" x14ac:dyDescent="0.3">
      <c r="F100441" s="193"/>
    </row>
    <row r="100442" spans="6:6" x14ac:dyDescent="0.3">
      <c r="F100442" s="193"/>
    </row>
    <row r="100443" spans="6:6" x14ac:dyDescent="0.3">
      <c r="F100443" s="193"/>
    </row>
    <row r="100444" spans="6:6" x14ac:dyDescent="0.3">
      <c r="F100444" s="193"/>
    </row>
    <row r="100445" spans="6:6" x14ac:dyDescent="0.3">
      <c r="F100445" s="193"/>
    </row>
    <row r="100446" spans="6:6" x14ac:dyDescent="0.3">
      <c r="F100446" s="193"/>
    </row>
    <row r="100447" spans="6:6" x14ac:dyDescent="0.3">
      <c r="F100447" s="193"/>
    </row>
    <row r="100448" spans="6:6" x14ac:dyDescent="0.3">
      <c r="F100448" s="193"/>
    </row>
    <row r="100449" spans="6:6" x14ac:dyDescent="0.3">
      <c r="F100449" s="193"/>
    </row>
    <row r="100450" spans="6:6" x14ac:dyDescent="0.3">
      <c r="F100450" s="193"/>
    </row>
    <row r="100451" spans="6:6" x14ac:dyDescent="0.3">
      <c r="F100451" s="193"/>
    </row>
    <row r="100452" spans="6:6" x14ac:dyDescent="0.3">
      <c r="F100452" s="193"/>
    </row>
    <row r="100453" spans="6:6" x14ac:dyDescent="0.3">
      <c r="F100453" s="193"/>
    </row>
    <row r="100454" spans="6:6" x14ac:dyDescent="0.3">
      <c r="F100454" s="193"/>
    </row>
    <row r="100455" spans="6:6" x14ac:dyDescent="0.3">
      <c r="F100455" s="193"/>
    </row>
    <row r="100456" spans="6:6" x14ac:dyDescent="0.3">
      <c r="F100456" s="193"/>
    </row>
    <row r="100457" spans="6:6" x14ac:dyDescent="0.3">
      <c r="F100457" s="193"/>
    </row>
    <row r="100458" spans="6:6" x14ac:dyDescent="0.3">
      <c r="F100458" s="193"/>
    </row>
    <row r="100459" spans="6:6" x14ac:dyDescent="0.3">
      <c r="F100459" s="193"/>
    </row>
    <row r="100460" spans="6:6" x14ac:dyDescent="0.3">
      <c r="F100460" s="193"/>
    </row>
    <row r="100461" spans="6:6" x14ac:dyDescent="0.3">
      <c r="F100461" s="193"/>
    </row>
    <row r="100462" spans="6:6" x14ac:dyDescent="0.3">
      <c r="F100462" s="193"/>
    </row>
    <row r="100463" spans="6:6" x14ac:dyDescent="0.3">
      <c r="F100463" s="193"/>
    </row>
    <row r="100464" spans="6:6" x14ac:dyDescent="0.3">
      <c r="F100464" s="193"/>
    </row>
    <row r="100465" spans="6:6" x14ac:dyDescent="0.3">
      <c r="F100465" s="193"/>
    </row>
    <row r="100466" spans="6:6" x14ac:dyDescent="0.3">
      <c r="F100466" s="193"/>
    </row>
    <row r="100467" spans="6:6" x14ac:dyDescent="0.3">
      <c r="F100467" s="193"/>
    </row>
    <row r="100468" spans="6:6" x14ac:dyDescent="0.3">
      <c r="F100468" s="193"/>
    </row>
    <row r="100469" spans="6:6" x14ac:dyDescent="0.3">
      <c r="F100469" s="193"/>
    </row>
    <row r="100470" spans="6:6" x14ac:dyDescent="0.3">
      <c r="F100470" s="193"/>
    </row>
    <row r="100471" spans="6:6" x14ac:dyDescent="0.3">
      <c r="F100471" s="193"/>
    </row>
    <row r="100472" spans="6:6" x14ac:dyDescent="0.3">
      <c r="F100472" s="193"/>
    </row>
    <row r="100473" spans="6:6" x14ac:dyDescent="0.3">
      <c r="F100473" s="193"/>
    </row>
    <row r="100474" spans="6:6" x14ac:dyDescent="0.3">
      <c r="F100474" s="193"/>
    </row>
    <row r="100475" spans="6:6" x14ac:dyDescent="0.3">
      <c r="F100475" s="193"/>
    </row>
    <row r="100476" spans="6:6" x14ac:dyDescent="0.3">
      <c r="F100476" s="193"/>
    </row>
    <row r="100477" spans="6:6" x14ac:dyDescent="0.3">
      <c r="F100477" s="193"/>
    </row>
    <row r="100478" spans="6:6" x14ac:dyDescent="0.3">
      <c r="F100478" s="193"/>
    </row>
    <row r="100479" spans="6:6" x14ac:dyDescent="0.3">
      <c r="F100479" s="193"/>
    </row>
    <row r="100480" spans="6:6" x14ac:dyDescent="0.3">
      <c r="F100480" s="193"/>
    </row>
    <row r="100481" spans="6:6" x14ac:dyDescent="0.3">
      <c r="F100481" s="193"/>
    </row>
    <row r="100482" spans="6:6" x14ac:dyDescent="0.3">
      <c r="F100482" s="193"/>
    </row>
    <row r="100483" spans="6:6" x14ac:dyDescent="0.3">
      <c r="F100483" s="193"/>
    </row>
    <row r="100484" spans="6:6" x14ac:dyDescent="0.3">
      <c r="F100484" s="193"/>
    </row>
    <row r="100485" spans="6:6" x14ac:dyDescent="0.3">
      <c r="F100485" s="193"/>
    </row>
    <row r="100486" spans="6:6" x14ac:dyDescent="0.3">
      <c r="F100486" s="193"/>
    </row>
    <row r="100487" spans="6:6" x14ac:dyDescent="0.3">
      <c r="F100487" s="193"/>
    </row>
    <row r="100488" spans="6:6" x14ac:dyDescent="0.3">
      <c r="F100488" s="193"/>
    </row>
    <row r="100489" spans="6:6" x14ac:dyDescent="0.3">
      <c r="F100489" s="193"/>
    </row>
    <row r="100490" spans="6:6" x14ac:dyDescent="0.3">
      <c r="F100490" s="193"/>
    </row>
    <row r="100491" spans="6:6" x14ac:dyDescent="0.3">
      <c r="F100491" s="193"/>
    </row>
    <row r="100492" spans="6:6" x14ac:dyDescent="0.3">
      <c r="F100492" s="193"/>
    </row>
    <row r="100493" spans="6:6" x14ac:dyDescent="0.3">
      <c r="F100493" s="193"/>
    </row>
    <row r="100494" spans="6:6" x14ac:dyDescent="0.3">
      <c r="F100494" s="193"/>
    </row>
    <row r="100495" spans="6:6" x14ac:dyDescent="0.3">
      <c r="F100495" s="193"/>
    </row>
    <row r="100496" spans="6:6" x14ac:dyDescent="0.3">
      <c r="F100496" s="193"/>
    </row>
    <row r="100497" spans="6:6" x14ac:dyDescent="0.3">
      <c r="F100497" s="193"/>
    </row>
    <row r="100498" spans="6:6" x14ac:dyDescent="0.3">
      <c r="F100498" s="193"/>
    </row>
    <row r="100499" spans="6:6" x14ac:dyDescent="0.3">
      <c r="F100499" s="193"/>
    </row>
    <row r="100500" spans="6:6" x14ac:dyDescent="0.3">
      <c r="F100500" s="193"/>
    </row>
    <row r="100501" spans="6:6" x14ac:dyDescent="0.3">
      <c r="F100501" s="193"/>
    </row>
    <row r="100502" spans="6:6" x14ac:dyDescent="0.3">
      <c r="F100502" s="193"/>
    </row>
    <row r="100503" spans="6:6" x14ac:dyDescent="0.3">
      <c r="F100503" s="193"/>
    </row>
    <row r="100504" spans="6:6" x14ac:dyDescent="0.3">
      <c r="F100504" s="193"/>
    </row>
    <row r="100505" spans="6:6" x14ac:dyDescent="0.3">
      <c r="F100505" s="193"/>
    </row>
    <row r="100506" spans="6:6" x14ac:dyDescent="0.3">
      <c r="F100506" s="193"/>
    </row>
    <row r="100507" spans="6:6" x14ac:dyDescent="0.3">
      <c r="F100507" s="193"/>
    </row>
    <row r="100508" spans="6:6" x14ac:dyDescent="0.3">
      <c r="F100508" s="193"/>
    </row>
    <row r="100509" spans="6:6" x14ac:dyDescent="0.3">
      <c r="F100509" s="193"/>
    </row>
    <row r="100510" spans="6:6" x14ac:dyDescent="0.3">
      <c r="F100510" s="193"/>
    </row>
    <row r="100511" spans="6:6" x14ac:dyDescent="0.3">
      <c r="F100511" s="193"/>
    </row>
    <row r="100512" spans="6:6" x14ac:dyDescent="0.3">
      <c r="F100512" s="193"/>
    </row>
    <row r="100513" spans="6:6" x14ac:dyDescent="0.3">
      <c r="F100513" s="193"/>
    </row>
    <row r="100514" spans="6:6" x14ac:dyDescent="0.3">
      <c r="F100514" s="193"/>
    </row>
    <row r="100515" spans="6:6" x14ac:dyDescent="0.3">
      <c r="F100515" s="193"/>
    </row>
    <row r="100516" spans="6:6" x14ac:dyDescent="0.3">
      <c r="F100516" s="193"/>
    </row>
    <row r="100517" spans="6:6" x14ac:dyDescent="0.3">
      <c r="F100517" s="193"/>
    </row>
    <row r="100518" spans="6:6" x14ac:dyDescent="0.3">
      <c r="F100518" s="193"/>
    </row>
    <row r="100519" spans="6:6" x14ac:dyDescent="0.3">
      <c r="F100519" s="193"/>
    </row>
    <row r="100520" spans="6:6" x14ac:dyDescent="0.3">
      <c r="F100520" s="193"/>
    </row>
    <row r="100521" spans="6:6" x14ac:dyDescent="0.3">
      <c r="F100521" s="193"/>
    </row>
    <row r="100522" spans="6:6" x14ac:dyDescent="0.3">
      <c r="F100522" s="193"/>
    </row>
    <row r="100523" spans="6:6" x14ac:dyDescent="0.3">
      <c r="F100523" s="193"/>
    </row>
    <row r="100524" spans="6:6" x14ac:dyDescent="0.3">
      <c r="F100524" s="193"/>
    </row>
    <row r="100525" spans="6:6" x14ac:dyDescent="0.3">
      <c r="F100525" s="193"/>
    </row>
    <row r="100526" spans="6:6" x14ac:dyDescent="0.3">
      <c r="F100526" s="193"/>
    </row>
    <row r="100527" spans="6:6" x14ac:dyDescent="0.3">
      <c r="F100527" s="193"/>
    </row>
    <row r="100528" spans="6:6" x14ac:dyDescent="0.3">
      <c r="F100528" s="193"/>
    </row>
    <row r="100529" spans="6:6" x14ac:dyDescent="0.3">
      <c r="F100529" s="193"/>
    </row>
    <row r="100530" spans="6:6" x14ac:dyDescent="0.3">
      <c r="F100530" s="193"/>
    </row>
    <row r="100531" spans="6:6" x14ac:dyDescent="0.3">
      <c r="F100531" s="193"/>
    </row>
    <row r="100532" spans="6:6" x14ac:dyDescent="0.3">
      <c r="F100532" s="193"/>
    </row>
    <row r="100533" spans="6:6" x14ac:dyDescent="0.3">
      <c r="F100533" s="193"/>
    </row>
    <row r="100534" spans="6:6" x14ac:dyDescent="0.3">
      <c r="F100534" s="193"/>
    </row>
    <row r="100535" spans="6:6" x14ac:dyDescent="0.3">
      <c r="F100535" s="193"/>
    </row>
    <row r="100536" spans="6:6" x14ac:dyDescent="0.3">
      <c r="F100536" s="193"/>
    </row>
    <row r="100537" spans="6:6" x14ac:dyDescent="0.3">
      <c r="F100537" s="193"/>
    </row>
    <row r="100538" spans="6:6" x14ac:dyDescent="0.3">
      <c r="F100538" s="193"/>
    </row>
    <row r="100539" spans="6:6" x14ac:dyDescent="0.3">
      <c r="F100539" s="193"/>
    </row>
    <row r="100540" spans="6:6" x14ac:dyDescent="0.3">
      <c r="F100540" s="193"/>
    </row>
    <row r="100541" spans="6:6" x14ac:dyDescent="0.3">
      <c r="F100541" s="193"/>
    </row>
    <row r="100542" spans="6:6" x14ac:dyDescent="0.3">
      <c r="F100542" s="193"/>
    </row>
    <row r="100543" spans="6:6" x14ac:dyDescent="0.3">
      <c r="F100543" s="193"/>
    </row>
    <row r="100544" spans="6:6" x14ac:dyDescent="0.3">
      <c r="F100544" s="193"/>
    </row>
    <row r="100545" spans="6:6" x14ac:dyDescent="0.3">
      <c r="F100545" s="193"/>
    </row>
    <row r="100546" spans="6:6" x14ac:dyDescent="0.3">
      <c r="F100546" s="193"/>
    </row>
    <row r="100547" spans="6:6" x14ac:dyDescent="0.3">
      <c r="F100547" s="193"/>
    </row>
    <row r="100548" spans="6:6" x14ac:dyDescent="0.3">
      <c r="F100548" s="193"/>
    </row>
    <row r="100549" spans="6:6" x14ac:dyDescent="0.3">
      <c r="F100549" s="193"/>
    </row>
    <row r="100550" spans="6:6" x14ac:dyDescent="0.3">
      <c r="F100550" s="193"/>
    </row>
    <row r="100551" spans="6:6" x14ac:dyDescent="0.3">
      <c r="F100551" s="193"/>
    </row>
    <row r="100552" spans="6:6" x14ac:dyDescent="0.3">
      <c r="F100552" s="193"/>
    </row>
    <row r="100553" spans="6:6" x14ac:dyDescent="0.3">
      <c r="F100553" s="193"/>
    </row>
    <row r="100554" spans="6:6" x14ac:dyDescent="0.3">
      <c r="F100554" s="193"/>
    </row>
    <row r="100555" spans="6:6" x14ac:dyDescent="0.3">
      <c r="F100555" s="193"/>
    </row>
    <row r="100556" spans="6:6" x14ac:dyDescent="0.3">
      <c r="F100556" s="193"/>
    </row>
    <row r="100557" spans="6:6" x14ac:dyDescent="0.3">
      <c r="F100557" s="193"/>
    </row>
    <row r="100558" spans="6:6" x14ac:dyDescent="0.3">
      <c r="F100558" s="193"/>
    </row>
    <row r="100559" spans="6:6" x14ac:dyDescent="0.3">
      <c r="F100559" s="193"/>
    </row>
    <row r="100560" spans="6:6" x14ac:dyDescent="0.3">
      <c r="F100560" s="193"/>
    </row>
    <row r="100561" spans="6:6" x14ac:dyDescent="0.3">
      <c r="F100561" s="193"/>
    </row>
    <row r="100562" spans="6:6" x14ac:dyDescent="0.3">
      <c r="F100562" s="193"/>
    </row>
    <row r="100563" spans="6:6" x14ac:dyDescent="0.3">
      <c r="F100563" s="193"/>
    </row>
    <row r="100564" spans="6:6" x14ac:dyDescent="0.3">
      <c r="F100564" s="193"/>
    </row>
    <row r="100565" spans="6:6" x14ac:dyDescent="0.3">
      <c r="F100565" s="193"/>
    </row>
    <row r="100566" spans="6:6" x14ac:dyDescent="0.3">
      <c r="F100566" s="193"/>
    </row>
    <row r="100567" spans="6:6" x14ac:dyDescent="0.3">
      <c r="F100567" s="193"/>
    </row>
    <row r="100568" spans="6:6" x14ac:dyDescent="0.3">
      <c r="F100568" s="193"/>
    </row>
    <row r="100569" spans="6:6" x14ac:dyDescent="0.3">
      <c r="F100569" s="193"/>
    </row>
    <row r="100570" spans="6:6" x14ac:dyDescent="0.3">
      <c r="F100570" s="193"/>
    </row>
    <row r="100571" spans="6:6" x14ac:dyDescent="0.3">
      <c r="F100571" s="193"/>
    </row>
    <row r="100572" spans="6:6" x14ac:dyDescent="0.3">
      <c r="F100572" s="193"/>
    </row>
    <row r="100573" spans="6:6" x14ac:dyDescent="0.3">
      <c r="F100573" s="193"/>
    </row>
    <row r="100574" spans="6:6" x14ac:dyDescent="0.3">
      <c r="F100574" s="193"/>
    </row>
    <row r="100575" spans="6:6" x14ac:dyDescent="0.3">
      <c r="F100575" s="193"/>
    </row>
    <row r="100576" spans="6:6" x14ac:dyDescent="0.3">
      <c r="F100576" s="193"/>
    </row>
    <row r="100577" spans="6:6" x14ac:dyDescent="0.3">
      <c r="F100577" s="193"/>
    </row>
    <row r="100578" spans="6:6" x14ac:dyDescent="0.3">
      <c r="F100578" s="193"/>
    </row>
    <row r="100579" spans="6:6" x14ac:dyDescent="0.3">
      <c r="F100579" s="193"/>
    </row>
    <row r="100580" spans="6:6" x14ac:dyDescent="0.3">
      <c r="F100580" s="193"/>
    </row>
    <row r="100581" spans="6:6" x14ac:dyDescent="0.3">
      <c r="F100581" s="193"/>
    </row>
    <row r="100582" spans="6:6" x14ac:dyDescent="0.3">
      <c r="F100582" s="193"/>
    </row>
    <row r="100583" spans="6:6" x14ac:dyDescent="0.3">
      <c r="F100583" s="193"/>
    </row>
    <row r="100584" spans="6:6" x14ac:dyDescent="0.3">
      <c r="F100584" s="193"/>
    </row>
    <row r="100585" spans="6:6" x14ac:dyDescent="0.3">
      <c r="F100585" s="193"/>
    </row>
    <row r="100586" spans="6:6" x14ac:dyDescent="0.3">
      <c r="F100586" s="193"/>
    </row>
    <row r="100587" spans="6:6" x14ac:dyDescent="0.3">
      <c r="F100587" s="193"/>
    </row>
    <row r="100588" spans="6:6" x14ac:dyDescent="0.3">
      <c r="F100588" s="193"/>
    </row>
    <row r="100589" spans="6:6" x14ac:dyDescent="0.3">
      <c r="F100589" s="193"/>
    </row>
    <row r="100590" spans="6:6" x14ac:dyDescent="0.3">
      <c r="F100590" s="193"/>
    </row>
    <row r="100591" spans="6:6" x14ac:dyDescent="0.3">
      <c r="F100591" s="193"/>
    </row>
    <row r="100592" spans="6:6" x14ac:dyDescent="0.3">
      <c r="F100592" s="193"/>
    </row>
    <row r="100593" spans="6:6" x14ac:dyDescent="0.3">
      <c r="F100593" s="193"/>
    </row>
    <row r="100594" spans="6:6" x14ac:dyDescent="0.3">
      <c r="F100594" s="193"/>
    </row>
    <row r="100595" spans="6:6" x14ac:dyDescent="0.3">
      <c r="F100595" s="193"/>
    </row>
    <row r="100596" spans="6:6" x14ac:dyDescent="0.3">
      <c r="F100596" s="193"/>
    </row>
    <row r="100597" spans="6:6" x14ac:dyDescent="0.3">
      <c r="F100597" s="193"/>
    </row>
    <row r="100598" spans="6:6" x14ac:dyDescent="0.3">
      <c r="F100598" s="193"/>
    </row>
    <row r="100599" spans="6:6" x14ac:dyDescent="0.3">
      <c r="F100599" s="193"/>
    </row>
    <row r="100600" spans="6:6" x14ac:dyDescent="0.3">
      <c r="F100600" s="193"/>
    </row>
    <row r="100601" spans="6:6" x14ac:dyDescent="0.3">
      <c r="F100601" s="193"/>
    </row>
    <row r="100602" spans="6:6" x14ac:dyDescent="0.3">
      <c r="F100602" s="193"/>
    </row>
    <row r="100603" spans="6:6" x14ac:dyDescent="0.3">
      <c r="F100603" s="193"/>
    </row>
    <row r="100604" spans="6:6" x14ac:dyDescent="0.3">
      <c r="F100604" s="193"/>
    </row>
    <row r="100605" spans="6:6" x14ac:dyDescent="0.3">
      <c r="F100605" s="193"/>
    </row>
    <row r="100606" spans="6:6" x14ac:dyDescent="0.3">
      <c r="F100606" s="193"/>
    </row>
    <row r="100607" spans="6:6" x14ac:dyDescent="0.3">
      <c r="F100607" s="193"/>
    </row>
    <row r="100608" spans="6:6" x14ac:dyDescent="0.3">
      <c r="F100608" s="193"/>
    </row>
    <row r="100609" spans="6:6" x14ac:dyDescent="0.3">
      <c r="F100609" s="193"/>
    </row>
    <row r="100610" spans="6:6" x14ac:dyDescent="0.3">
      <c r="F100610" s="193"/>
    </row>
    <row r="100611" spans="6:6" x14ac:dyDescent="0.3">
      <c r="F100611" s="193"/>
    </row>
    <row r="100612" spans="6:6" x14ac:dyDescent="0.3">
      <c r="F100612" s="193"/>
    </row>
    <row r="100613" spans="6:6" x14ac:dyDescent="0.3">
      <c r="F100613" s="193"/>
    </row>
    <row r="100614" spans="6:6" x14ac:dyDescent="0.3">
      <c r="F100614" s="193"/>
    </row>
    <row r="100615" spans="6:6" x14ac:dyDescent="0.3">
      <c r="F100615" s="193"/>
    </row>
    <row r="100616" spans="6:6" x14ac:dyDescent="0.3">
      <c r="F100616" s="193"/>
    </row>
    <row r="100617" spans="6:6" x14ac:dyDescent="0.3">
      <c r="F100617" s="193"/>
    </row>
    <row r="100618" spans="6:6" x14ac:dyDescent="0.3">
      <c r="F100618" s="193"/>
    </row>
    <row r="100619" spans="6:6" x14ac:dyDescent="0.3">
      <c r="F100619" s="193"/>
    </row>
    <row r="100620" spans="6:6" x14ac:dyDescent="0.3">
      <c r="F100620" s="193"/>
    </row>
    <row r="100621" spans="6:6" x14ac:dyDescent="0.3">
      <c r="F100621" s="193"/>
    </row>
    <row r="100622" spans="6:6" x14ac:dyDescent="0.3">
      <c r="F100622" s="193"/>
    </row>
    <row r="100623" spans="6:6" x14ac:dyDescent="0.3">
      <c r="F100623" s="193"/>
    </row>
    <row r="100624" spans="6:6" x14ac:dyDescent="0.3">
      <c r="F100624" s="193"/>
    </row>
    <row r="100625" spans="6:6" x14ac:dyDescent="0.3">
      <c r="F100625" s="193"/>
    </row>
    <row r="100626" spans="6:6" x14ac:dyDescent="0.3">
      <c r="F100626" s="193"/>
    </row>
    <row r="100627" spans="6:6" x14ac:dyDescent="0.3">
      <c r="F100627" s="193"/>
    </row>
    <row r="100628" spans="6:6" x14ac:dyDescent="0.3">
      <c r="F100628" s="193"/>
    </row>
    <row r="100629" spans="6:6" x14ac:dyDescent="0.3">
      <c r="F100629" s="193"/>
    </row>
    <row r="100630" spans="6:6" x14ac:dyDescent="0.3">
      <c r="F100630" s="193"/>
    </row>
    <row r="100631" spans="6:6" x14ac:dyDescent="0.3">
      <c r="F100631" s="193"/>
    </row>
    <row r="100632" spans="6:6" x14ac:dyDescent="0.3">
      <c r="F100632" s="193"/>
    </row>
    <row r="100633" spans="6:6" x14ac:dyDescent="0.3">
      <c r="F100633" s="193"/>
    </row>
    <row r="100634" spans="6:6" x14ac:dyDescent="0.3">
      <c r="F100634" s="193"/>
    </row>
    <row r="100635" spans="6:6" x14ac:dyDescent="0.3">
      <c r="F100635" s="193"/>
    </row>
    <row r="100636" spans="6:6" x14ac:dyDescent="0.3">
      <c r="F100636" s="193"/>
    </row>
    <row r="100637" spans="6:6" x14ac:dyDescent="0.3">
      <c r="F100637" s="193"/>
    </row>
    <row r="100638" spans="6:6" x14ac:dyDescent="0.3">
      <c r="F100638" s="193"/>
    </row>
    <row r="100639" spans="6:6" x14ac:dyDescent="0.3">
      <c r="F100639" s="193"/>
    </row>
    <row r="100640" spans="6:6" x14ac:dyDescent="0.3">
      <c r="F100640" s="193"/>
    </row>
    <row r="100641" spans="6:6" x14ac:dyDescent="0.3">
      <c r="F100641" s="193"/>
    </row>
    <row r="100642" spans="6:6" x14ac:dyDescent="0.3">
      <c r="F100642" s="193"/>
    </row>
    <row r="100643" spans="6:6" x14ac:dyDescent="0.3">
      <c r="F100643" s="193"/>
    </row>
    <row r="100644" spans="6:6" x14ac:dyDescent="0.3">
      <c r="F100644" s="193"/>
    </row>
    <row r="100645" spans="6:6" x14ac:dyDescent="0.3">
      <c r="F100645" s="193"/>
    </row>
    <row r="100646" spans="6:6" x14ac:dyDescent="0.3">
      <c r="F100646" s="193"/>
    </row>
    <row r="100647" spans="6:6" x14ac:dyDescent="0.3">
      <c r="F100647" s="193"/>
    </row>
    <row r="100648" spans="6:6" x14ac:dyDescent="0.3">
      <c r="F100648" s="193"/>
    </row>
    <row r="100649" spans="6:6" x14ac:dyDescent="0.3">
      <c r="F100649" s="193"/>
    </row>
    <row r="100650" spans="6:6" x14ac:dyDescent="0.3">
      <c r="F100650" s="193"/>
    </row>
    <row r="100651" spans="6:6" x14ac:dyDescent="0.3">
      <c r="F100651" s="193"/>
    </row>
    <row r="100652" spans="6:6" x14ac:dyDescent="0.3">
      <c r="F100652" s="193"/>
    </row>
    <row r="100653" spans="6:6" x14ac:dyDescent="0.3">
      <c r="F100653" s="193"/>
    </row>
    <row r="100654" spans="6:6" x14ac:dyDescent="0.3">
      <c r="F100654" s="193"/>
    </row>
    <row r="100655" spans="6:6" x14ac:dyDescent="0.3">
      <c r="F100655" s="193"/>
    </row>
    <row r="100656" spans="6:6" x14ac:dyDescent="0.3">
      <c r="F100656" s="193"/>
    </row>
    <row r="100657" spans="6:6" x14ac:dyDescent="0.3">
      <c r="F100657" s="193"/>
    </row>
    <row r="100658" spans="6:6" x14ac:dyDescent="0.3">
      <c r="F100658" s="193"/>
    </row>
    <row r="100659" spans="6:6" x14ac:dyDescent="0.3">
      <c r="F100659" s="193"/>
    </row>
    <row r="100660" spans="6:6" x14ac:dyDescent="0.3">
      <c r="F100660" s="193"/>
    </row>
    <row r="100661" spans="6:6" x14ac:dyDescent="0.3">
      <c r="F100661" s="193"/>
    </row>
    <row r="100662" spans="6:6" x14ac:dyDescent="0.3">
      <c r="F100662" s="193"/>
    </row>
    <row r="100663" spans="6:6" x14ac:dyDescent="0.3">
      <c r="F100663" s="193"/>
    </row>
    <row r="100664" spans="6:6" x14ac:dyDescent="0.3">
      <c r="F100664" s="193"/>
    </row>
    <row r="100665" spans="6:6" x14ac:dyDescent="0.3">
      <c r="F100665" s="193"/>
    </row>
    <row r="100666" spans="6:6" x14ac:dyDescent="0.3">
      <c r="F100666" s="193"/>
    </row>
    <row r="100667" spans="6:6" x14ac:dyDescent="0.3">
      <c r="F100667" s="193"/>
    </row>
    <row r="100668" spans="6:6" x14ac:dyDescent="0.3">
      <c r="F100668" s="193"/>
    </row>
    <row r="100669" spans="6:6" x14ac:dyDescent="0.3">
      <c r="F100669" s="193"/>
    </row>
    <row r="100670" spans="6:6" x14ac:dyDescent="0.3">
      <c r="F100670" s="193"/>
    </row>
    <row r="100671" spans="6:6" x14ac:dyDescent="0.3">
      <c r="F100671" s="193"/>
    </row>
    <row r="100672" spans="6:6" x14ac:dyDescent="0.3">
      <c r="F100672" s="193"/>
    </row>
    <row r="100673" spans="6:6" x14ac:dyDescent="0.3">
      <c r="F100673" s="193"/>
    </row>
    <row r="100674" spans="6:6" x14ac:dyDescent="0.3">
      <c r="F100674" s="193"/>
    </row>
    <row r="100675" spans="6:6" x14ac:dyDescent="0.3">
      <c r="F100675" s="193"/>
    </row>
    <row r="100676" spans="6:6" x14ac:dyDescent="0.3">
      <c r="F100676" s="193"/>
    </row>
    <row r="100677" spans="6:6" x14ac:dyDescent="0.3">
      <c r="F100677" s="193"/>
    </row>
    <row r="100678" spans="6:6" x14ac:dyDescent="0.3">
      <c r="F100678" s="193"/>
    </row>
    <row r="100679" spans="6:6" x14ac:dyDescent="0.3">
      <c r="F100679" s="193"/>
    </row>
    <row r="100680" spans="6:6" x14ac:dyDescent="0.3">
      <c r="F100680" s="193"/>
    </row>
    <row r="100681" spans="6:6" x14ac:dyDescent="0.3">
      <c r="F100681" s="193"/>
    </row>
    <row r="100682" spans="6:6" x14ac:dyDescent="0.3">
      <c r="F100682" s="193"/>
    </row>
    <row r="100683" spans="6:6" x14ac:dyDescent="0.3">
      <c r="F100683" s="193"/>
    </row>
    <row r="100684" spans="6:6" x14ac:dyDescent="0.3">
      <c r="F100684" s="193"/>
    </row>
    <row r="100685" spans="6:6" x14ac:dyDescent="0.3">
      <c r="F100685" s="193"/>
    </row>
    <row r="100686" spans="6:6" x14ac:dyDescent="0.3">
      <c r="F100686" s="193"/>
    </row>
    <row r="100687" spans="6:6" x14ac:dyDescent="0.3">
      <c r="F100687" s="193"/>
    </row>
    <row r="100688" spans="6:6" x14ac:dyDescent="0.3">
      <c r="F100688" s="193"/>
    </row>
    <row r="100689" spans="6:6" x14ac:dyDescent="0.3">
      <c r="F100689" s="193"/>
    </row>
    <row r="100690" spans="6:6" x14ac:dyDescent="0.3">
      <c r="F100690" s="193"/>
    </row>
    <row r="100691" spans="6:6" x14ac:dyDescent="0.3">
      <c r="F100691" s="193"/>
    </row>
    <row r="100692" spans="6:6" x14ac:dyDescent="0.3">
      <c r="F100692" s="193"/>
    </row>
    <row r="100693" spans="6:6" x14ac:dyDescent="0.3">
      <c r="F100693" s="193"/>
    </row>
    <row r="100694" spans="6:6" x14ac:dyDescent="0.3">
      <c r="F100694" s="193"/>
    </row>
    <row r="100695" spans="6:6" x14ac:dyDescent="0.3">
      <c r="F100695" s="193"/>
    </row>
    <row r="100696" spans="6:6" x14ac:dyDescent="0.3">
      <c r="F100696" s="193"/>
    </row>
    <row r="100697" spans="6:6" x14ac:dyDescent="0.3">
      <c r="F100697" s="193"/>
    </row>
    <row r="100698" spans="6:6" x14ac:dyDescent="0.3">
      <c r="F100698" s="193"/>
    </row>
    <row r="100699" spans="6:6" x14ac:dyDescent="0.3">
      <c r="F100699" s="193"/>
    </row>
    <row r="100700" spans="6:6" x14ac:dyDescent="0.3">
      <c r="F100700" s="193"/>
    </row>
    <row r="100701" spans="6:6" x14ac:dyDescent="0.3">
      <c r="F100701" s="193"/>
    </row>
    <row r="100702" spans="6:6" x14ac:dyDescent="0.3">
      <c r="F100702" s="193"/>
    </row>
    <row r="100703" spans="6:6" x14ac:dyDescent="0.3">
      <c r="F100703" s="193"/>
    </row>
    <row r="100704" spans="6:6" x14ac:dyDescent="0.3">
      <c r="F100704" s="193"/>
    </row>
    <row r="100705" spans="6:6" x14ac:dyDescent="0.3">
      <c r="F100705" s="193"/>
    </row>
    <row r="100706" spans="6:6" x14ac:dyDescent="0.3">
      <c r="F100706" s="193"/>
    </row>
    <row r="100707" spans="6:6" x14ac:dyDescent="0.3">
      <c r="F100707" s="193"/>
    </row>
    <row r="100708" spans="6:6" x14ac:dyDescent="0.3">
      <c r="F100708" s="193"/>
    </row>
    <row r="100709" spans="6:6" x14ac:dyDescent="0.3">
      <c r="F100709" s="193"/>
    </row>
    <row r="100710" spans="6:6" x14ac:dyDescent="0.3">
      <c r="F100710" s="193"/>
    </row>
    <row r="100711" spans="6:6" x14ac:dyDescent="0.3">
      <c r="F100711" s="193"/>
    </row>
    <row r="100712" spans="6:6" x14ac:dyDescent="0.3">
      <c r="F100712" s="193"/>
    </row>
    <row r="100713" spans="6:6" x14ac:dyDescent="0.3">
      <c r="F100713" s="193"/>
    </row>
    <row r="100714" spans="6:6" x14ac:dyDescent="0.3">
      <c r="F100714" s="193"/>
    </row>
    <row r="100715" spans="6:6" x14ac:dyDescent="0.3">
      <c r="F100715" s="193"/>
    </row>
    <row r="100716" spans="6:6" x14ac:dyDescent="0.3">
      <c r="F100716" s="193"/>
    </row>
    <row r="100717" spans="6:6" x14ac:dyDescent="0.3">
      <c r="F100717" s="193"/>
    </row>
    <row r="100718" spans="6:6" x14ac:dyDescent="0.3">
      <c r="F100718" s="193"/>
    </row>
    <row r="100719" spans="6:6" x14ac:dyDescent="0.3">
      <c r="F100719" s="193"/>
    </row>
    <row r="100720" spans="6:6" x14ac:dyDescent="0.3">
      <c r="F100720" s="193"/>
    </row>
    <row r="100721" spans="6:6" x14ac:dyDescent="0.3">
      <c r="F100721" s="193"/>
    </row>
    <row r="100722" spans="6:6" x14ac:dyDescent="0.3">
      <c r="F100722" s="193"/>
    </row>
    <row r="100723" spans="6:6" x14ac:dyDescent="0.3">
      <c r="F100723" s="193"/>
    </row>
    <row r="100724" spans="6:6" x14ac:dyDescent="0.3">
      <c r="F100724" s="193"/>
    </row>
    <row r="100725" spans="6:6" x14ac:dyDescent="0.3">
      <c r="F100725" s="193"/>
    </row>
    <row r="100726" spans="6:6" x14ac:dyDescent="0.3">
      <c r="F100726" s="193"/>
    </row>
    <row r="100727" spans="6:6" x14ac:dyDescent="0.3">
      <c r="F100727" s="193"/>
    </row>
    <row r="100728" spans="6:6" x14ac:dyDescent="0.3">
      <c r="F100728" s="193"/>
    </row>
    <row r="100729" spans="6:6" x14ac:dyDescent="0.3">
      <c r="F100729" s="193"/>
    </row>
    <row r="100730" spans="6:6" x14ac:dyDescent="0.3">
      <c r="F100730" s="193"/>
    </row>
    <row r="100731" spans="6:6" x14ac:dyDescent="0.3">
      <c r="F100731" s="193"/>
    </row>
    <row r="100732" spans="6:6" x14ac:dyDescent="0.3">
      <c r="F100732" s="193"/>
    </row>
    <row r="100733" spans="6:6" x14ac:dyDescent="0.3">
      <c r="F100733" s="193"/>
    </row>
    <row r="100734" spans="6:6" x14ac:dyDescent="0.3">
      <c r="F100734" s="193"/>
    </row>
    <row r="100735" spans="6:6" x14ac:dyDescent="0.3">
      <c r="F100735" s="193"/>
    </row>
    <row r="100736" spans="6:6" x14ac:dyDescent="0.3">
      <c r="F100736" s="193"/>
    </row>
    <row r="100737" spans="6:6" x14ac:dyDescent="0.3">
      <c r="F100737" s="193"/>
    </row>
    <row r="100738" spans="6:6" x14ac:dyDescent="0.3">
      <c r="F100738" s="193"/>
    </row>
    <row r="100739" spans="6:6" x14ac:dyDescent="0.3">
      <c r="F100739" s="193"/>
    </row>
    <row r="100740" spans="6:6" x14ac:dyDescent="0.3">
      <c r="F100740" s="193"/>
    </row>
    <row r="100741" spans="6:6" x14ac:dyDescent="0.3">
      <c r="F100741" s="193"/>
    </row>
    <row r="100742" spans="6:6" x14ac:dyDescent="0.3">
      <c r="F100742" s="193"/>
    </row>
    <row r="100743" spans="6:6" x14ac:dyDescent="0.3">
      <c r="F100743" s="193"/>
    </row>
    <row r="100744" spans="6:6" x14ac:dyDescent="0.3">
      <c r="F100744" s="193"/>
    </row>
    <row r="100745" spans="6:6" x14ac:dyDescent="0.3">
      <c r="F100745" s="193"/>
    </row>
    <row r="100746" spans="6:6" x14ac:dyDescent="0.3">
      <c r="F100746" s="193"/>
    </row>
    <row r="100747" spans="6:6" x14ac:dyDescent="0.3">
      <c r="F100747" s="193"/>
    </row>
    <row r="100748" spans="6:6" x14ac:dyDescent="0.3">
      <c r="F100748" s="193"/>
    </row>
    <row r="100749" spans="6:6" x14ac:dyDescent="0.3">
      <c r="F100749" s="193"/>
    </row>
    <row r="100750" spans="6:6" x14ac:dyDescent="0.3">
      <c r="F100750" s="193"/>
    </row>
    <row r="100751" spans="6:6" x14ac:dyDescent="0.3">
      <c r="F100751" s="193"/>
    </row>
    <row r="100752" spans="6:6" x14ac:dyDescent="0.3">
      <c r="F100752" s="193"/>
    </row>
    <row r="100753" spans="6:6" x14ac:dyDescent="0.3">
      <c r="F100753" s="193"/>
    </row>
    <row r="100754" spans="6:6" x14ac:dyDescent="0.3">
      <c r="F100754" s="193"/>
    </row>
    <row r="100755" spans="6:6" x14ac:dyDescent="0.3">
      <c r="F100755" s="193"/>
    </row>
    <row r="100756" spans="6:6" x14ac:dyDescent="0.3">
      <c r="F100756" s="193"/>
    </row>
    <row r="100757" spans="6:6" x14ac:dyDescent="0.3">
      <c r="F100757" s="193"/>
    </row>
    <row r="100758" spans="6:6" x14ac:dyDescent="0.3">
      <c r="F100758" s="193"/>
    </row>
    <row r="100759" spans="6:6" x14ac:dyDescent="0.3">
      <c r="F100759" s="193"/>
    </row>
    <row r="100760" spans="6:6" x14ac:dyDescent="0.3">
      <c r="F100760" s="193"/>
    </row>
    <row r="100761" spans="6:6" x14ac:dyDescent="0.3">
      <c r="F100761" s="193"/>
    </row>
    <row r="100762" spans="6:6" x14ac:dyDescent="0.3">
      <c r="F100762" s="193"/>
    </row>
    <row r="100763" spans="6:6" x14ac:dyDescent="0.3">
      <c r="F100763" s="193"/>
    </row>
    <row r="100764" spans="6:6" x14ac:dyDescent="0.3">
      <c r="F100764" s="193"/>
    </row>
    <row r="100765" spans="6:6" x14ac:dyDescent="0.3">
      <c r="F100765" s="193"/>
    </row>
    <row r="100766" spans="6:6" x14ac:dyDescent="0.3">
      <c r="F100766" s="193"/>
    </row>
    <row r="100767" spans="6:6" x14ac:dyDescent="0.3">
      <c r="F100767" s="193"/>
    </row>
    <row r="100768" spans="6:6" x14ac:dyDescent="0.3">
      <c r="F100768" s="193"/>
    </row>
    <row r="100769" spans="6:6" x14ac:dyDescent="0.3">
      <c r="F100769" s="193"/>
    </row>
    <row r="100770" spans="6:6" x14ac:dyDescent="0.3">
      <c r="F100770" s="193"/>
    </row>
    <row r="100771" spans="6:6" x14ac:dyDescent="0.3">
      <c r="F100771" s="193"/>
    </row>
    <row r="100772" spans="6:6" x14ac:dyDescent="0.3">
      <c r="F100772" s="193"/>
    </row>
    <row r="100773" spans="6:6" x14ac:dyDescent="0.3">
      <c r="F100773" s="193"/>
    </row>
    <row r="100774" spans="6:6" x14ac:dyDescent="0.3">
      <c r="F100774" s="193"/>
    </row>
    <row r="100775" spans="6:6" x14ac:dyDescent="0.3">
      <c r="F100775" s="193"/>
    </row>
    <row r="100776" spans="6:6" x14ac:dyDescent="0.3">
      <c r="F100776" s="193"/>
    </row>
    <row r="100777" spans="6:6" x14ac:dyDescent="0.3">
      <c r="F100777" s="193"/>
    </row>
    <row r="100778" spans="6:6" x14ac:dyDescent="0.3">
      <c r="F100778" s="193"/>
    </row>
    <row r="100779" spans="6:6" x14ac:dyDescent="0.3">
      <c r="F100779" s="193"/>
    </row>
    <row r="100780" spans="6:6" x14ac:dyDescent="0.3">
      <c r="F100780" s="193"/>
    </row>
    <row r="100781" spans="6:6" x14ac:dyDescent="0.3">
      <c r="F100781" s="193"/>
    </row>
    <row r="100782" spans="6:6" x14ac:dyDescent="0.3">
      <c r="F100782" s="193"/>
    </row>
    <row r="100783" spans="6:6" x14ac:dyDescent="0.3">
      <c r="F100783" s="193"/>
    </row>
    <row r="100784" spans="6:6" x14ac:dyDescent="0.3">
      <c r="F100784" s="193"/>
    </row>
    <row r="100785" spans="6:6" x14ac:dyDescent="0.3">
      <c r="F100785" s="193"/>
    </row>
    <row r="100786" spans="6:6" x14ac:dyDescent="0.3">
      <c r="F100786" s="193"/>
    </row>
    <row r="100787" spans="6:6" x14ac:dyDescent="0.3">
      <c r="F100787" s="193"/>
    </row>
    <row r="100788" spans="6:6" x14ac:dyDescent="0.3">
      <c r="F100788" s="193"/>
    </row>
    <row r="100789" spans="6:6" x14ac:dyDescent="0.3">
      <c r="F100789" s="193"/>
    </row>
    <row r="100790" spans="6:6" x14ac:dyDescent="0.3">
      <c r="F100790" s="193"/>
    </row>
    <row r="100791" spans="6:6" x14ac:dyDescent="0.3">
      <c r="F100791" s="193"/>
    </row>
    <row r="100792" spans="6:6" x14ac:dyDescent="0.3">
      <c r="F100792" s="193"/>
    </row>
    <row r="100793" spans="6:6" x14ac:dyDescent="0.3">
      <c r="F100793" s="193"/>
    </row>
    <row r="100794" spans="6:6" x14ac:dyDescent="0.3">
      <c r="F100794" s="193"/>
    </row>
    <row r="100795" spans="6:6" x14ac:dyDescent="0.3">
      <c r="F100795" s="193"/>
    </row>
    <row r="100796" spans="6:6" x14ac:dyDescent="0.3">
      <c r="F100796" s="193"/>
    </row>
    <row r="100797" spans="6:6" x14ac:dyDescent="0.3">
      <c r="F100797" s="193"/>
    </row>
    <row r="100798" spans="6:6" x14ac:dyDescent="0.3">
      <c r="F100798" s="193"/>
    </row>
    <row r="100799" spans="6:6" x14ac:dyDescent="0.3">
      <c r="F100799" s="193"/>
    </row>
    <row r="100800" spans="6:6" x14ac:dyDescent="0.3">
      <c r="F100800" s="193"/>
    </row>
    <row r="100801" spans="6:6" x14ac:dyDescent="0.3">
      <c r="F100801" s="193"/>
    </row>
    <row r="100802" spans="6:6" x14ac:dyDescent="0.3">
      <c r="F100802" s="193"/>
    </row>
    <row r="100803" spans="6:6" x14ac:dyDescent="0.3">
      <c r="F100803" s="193"/>
    </row>
    <row r="100804" spans="6:6" x14ac:dyDescent="0.3">
      <c r="F100804" s="193"/>
    </row>
    <row r="100805" spans="6:6" x14ac:dyDescent="0.3">
      <c r="F100805" s="193"/>
    </row>
    <row r="100806" spans="6:6" x14ac:dyDescent="0.3">
      <c r="F100806" s="193"/>
    </row>
    <row r="100807" spans="6:6" x14ac:dyDescent="0.3">
      <c r="F100807" s="193"/>
    </row>
    <row r="100808" spans="6:6" x14ac:dyDescent="0.3">
      <c r="F100808" s="193"/>
    </row>
    <row r="100809" spans="6:6" x14ac:dyDescent="0.3">
      <c r="F100809" s="193"/>
    </row>
    <row r="100810" spans="6:6" x14ac:dyDescent="0.3">
      <c r="F100810" s="193"/>
    </row>
    <row r="100811" spans="6:6" x14ac:dyDescent="0.3">
      <c r="F100811" s="193"/>
    </row>
    <row r="100812" spans="6:6" x14ac:dyDescent="0.3">
      <c r="F100812" s="193"/>
    </row>
    <row r="100813" spans="6:6" x14ac:dyDescent="0.3">
      <c r="F100813" s="193"/>
    </row>
    <row r="100814" spans="6:6" x14ac:dyDescent="0.3">
      <c r="F100814" s="193"/>
    </row>
    <row r="100815" spans="6:6" x14ac:dyDescent="0.3">
      <c r="F100815" s="193"/>
    </row>
    <row r="100816" spans="6:6" x14ac:dyDescent="0.3">
      <c r="F100816" s="193"/>
    </row>
    <row r="100817" spans="6:6" x14ac:dyDescent="0.3">
      <c r="F100817" s="193"/>
    </row>
    <row r="100818" spans="6:6" x14ac:dyDescent="0.3">
      <c r="F100818" s="193"/>
    </row>
    <row r="100819" spans="6:6" x14ac:dyDescent="0.3">
      <c r="F100819" s="193"/>
    </row>
    <row r="100820" spans="6:6" x14ac:dyDescent="0.3">
      <c r="F100820" s="193"/>
    </row>
    <row r="100821" spans="6:6" x14ac:dyDescent="0.3">
      <c r="F100821" s="193"/>
    </row>
    <row r="100822" spans="6:6" x14ac:dyDescent="0.3">
      <c r="F100822" s="193"/>
    </row>
    <row r="100823" spans="6:6" x14ac:dyDescent="0.3">
      <c r="F100823" s="193"/>
    </row>
    <row r="100824" spans="6:6" x14ac:dyDescent="0.3">
      <c r="F100824" s="193"/>
    </row>
    <row r="100825" spans="6:6" x14ac:dyDescent="0.3">
      <c r="F100825" s="193"/>
    </row>
    <row r="100826" spans="6:6" x14ac:dyDescent="0.3">
      <c r="F100826" s="193"/>
    </row>
    <row r="100827" spans="6:6" x14ac:dyDescent="0.3">
      <c r="F100827" s="193"/>
    </row>
    <row r="100828" spans="6:6" x14ac:dyDescent="0.3">
      <c r="F100828" s="193"/>
    </row>
    <row r="100829" spans="6:6" x14ac:dyDescent="0.3">
      <c r="F100829" s="193"/>
    </row>
    <row r="100830" spans="6:6" x14ac:dyDescent="0.3">
      <c r="F100830" s="193"/>
    </row>
    <row r="100831" spans="6:6" x14ac:dyDescent="0.3">
      <c r="F100831" s="193"/>
    </row>
    <row r="100832" spans="6:6" x14ac:dyDescent="0.3">
      <c r="F100832" s="193"/>
    </row>
    <row r="100833" spans="6:6" x14ac:dyDescent="0.3">
      <c r="F100833" s="193"/>
    </row>
    <row r="100834" spans="6:6" x14ac:dyDescent="0.3">
      <c r="F100834" s="193"/>
    </row>
    <row r="100835" spans="6:6" x14ac:dyDescent="0.3">
      <c r="F100835" s="193"/>
    </row>
    <row r="100836" spans="6:6" x14ac:dyDescent="0.3">
      <c r="F100836" s="193"/>
    </row>
    <row r="100837" spans="6:6" x14ac:dyDescent="0.3">
      <c r="F100837" s="193"/>
    </row>
    <row r="100838" spans="6:6" x14ac:dyDescent="0.3">
      <c r="F100838" s="193"/>
    </row>
    <row r="100839" spans="6:6" x14ac:dyDescent="0.3">
      <c r="F100839" s="193"/>
    </row>
    <row r="100840" spans="6:6" x14ac:dyDescent="0.3">
      <c r="F100840" s="193"/>
    </row>
    <row r="100841" spans="6:6" x14ac:dyDescent="0.3">
      <c r="F100841" s="193"/>
    </row>
    <row r="100842" spans="6:6" x14ac:dyDescent="0.3">
      <c r="F100842" s="193"/>
    </row>
    <row r="100843" spans="6:6" x14ac:dyDescent="0.3">
      <c r="F100843" s="193"/>
    </row>
    <row r="100844" spans="6:6" x14ac:dyDescent="0.3">
      <c r="F100844" s="193"/>
    </row>
    <row r="100845" spans="6:6" x14ac:dyDescent="0.3">
      <c r="F100845" s="193"/>
    </row>
    <row r="100846" spans="6:6" x14ac:dyDescent="0.3">
      <c r="F100846" s="193"/>
    </row>
    <row r="100847" spans="6:6" x14ac:dyDescent="0.3">
      <c r="F100847" s="193"/>
    </row>
    <row r="100848" spans="6:6" x14ac:dyDescent="0.3">
      <c r="F100848" s="193"/>
    </row>
    <row r="100849" spans="6:6" x14ac:dyDescent="0.3">
      <c r="F100849" s="193"/>
    </row>
    <row r="100850" spans="6:6" x14ac:dyDescent="0.3">
      <c r="F100850" s="193"/>
    </row>
    <row r="100851" spans="6:6" x14ac:dyDescent="0.3">
      <c r="F100851" s="193"/>
    </row>
    <row r="100852" spans="6:6" x14ac:dyDescent="0.3">
      <c r="F100852" s="193"/>
    </row>
    <row r="100853" spans="6:6" x14ac:dyDescent="0.3">
      <c r="F100853" s="193"/>
    </row>
    <row r="100854" spans="6:6" x14ac:dyDescent="0.3">
      <c r="F100854" s="193"/>
    </row>
    <row r="100855" spans="6:6" x14ac:dyDescent="0.3">
      <c r="F100855" s="193"/>
    </row>
    <row r="100856" spans="6:6" x14ac:dyDescent="0.3">
      <c r="F100856" s="193"/>
    </row>
    <row r="100857" spans="6:6" x14ac:dyDescent="0.3">
      <c r="F100857" s="193"/>
    </row>
    <row r="100858" spans="6:6" x14ac:dyDescent="0.3">
      <c r="F100858" s="193"/>
    </row>
    <row r="100859" spans="6:6" x14ac:dyDescent="0.3">
      <c r="F100859" s="193"/>
    </row>
    <row r="100860" spans="6:6" x14ac:dyDescent="0.3">
      <c r="F100860" s="193"/>
    </row>
    <row r="100861" spans="6:6" x14ac:dyDescent="0.3">
      <c r="F100861" s="193"/>
    </row>
    <row r="100862" spans="6:6" x14ac:dyDescent="0.3">
      <c r="F100862" s="193"/>
    </row>
    <row r="100863" spans="6:6" x14ac:dyDescent="0.3">
      <c r="F100863" s="193"/>
    </row>
    <row r="100864" spans="6:6" x14ac:dyDescent="0.3">
      <c r="F100864" s="193"/>
    </row>
    <row r="100865" spans="6:6" x14ac:dyDescent="0.3">
      <c r="F100865" s="193"/>
    </row>
    <row r="100866" spans="6:6" x14ac:dyDescent="0.3">
      <c r="F100866" s="193"/>
    </row>
    <row r="100867" spans="6:6" x14ac:dyDescent="0.3">
      <c r="F100867" s="193"/>
    </row>
    <row r="100868" spans="6:6" x14ac:dyDescent="0.3">
      <c r="F100868" s="193"/>
    </row>
    <row r="100869" spans="6:6" x14ac:dyDescent="0.3">
      <c r="F100869" s="193"/>
    </row>
    <row r="100870" spans="6:6" x14ac:dyDescent="0.3">
      <c r="F100870" s="193"/>
    </row>
    <row r="100871" spans="6:6" x14ac:dyDescent="0.3">
      <c r="F100871" s="193"/>
    </row>
    <row r="100872" spans="6:6" x14ac:dyDescent="0.3">
      <c r="F100872" s="193"/>
    </row>
    <row r="100873" spans="6:6" x14ac:dyDescent="0.3">
      <c r="F100873" s="193"/>
    </row>
    <row r="100874" spans="6:6" x14ac:dyDescent="0.3">
      <c r="F100874" s="193"/>
    </row>
    <row r="100875" spans="6:6" x14ac:dyDescent="0.3">
      <c r="F100875" s="193"/>
    </row>
    <row r="100876" spans="6:6" x14ac:dyDescent="0.3">
      <c r="F100876" s="193"/>
    </row>
    <row r="100877" spans="6:6" x14ac:dyDescent="0.3">
      <c r="F100877" s="193"/>
    </row>
    <row r="100878" spans="6:6" x14ac:dyDescent="0.3">
      <c r="F100878" s="193"/>
    </row>
    <row r="100879" spans="6:6" x14ac:dyDescent="0.3">
      <c r="F100879" s="193"/>
    </row>
    <row r="100880" spans="6:6" x14ac:dyDescent="0.3">
      <c r="F100880" s="193"/>
    </row>
    <row r="100881" spans="6:6" x14ac:dyDescent="0.3">
      <c r="F100881" s="193"/>
    </row>
    <row r="100882" spans="6:6" x14ac:dyDescent="0.3">
      <c r="F100882" s="193"/>
    </row>
    <row r="100883" spans="6:6" x14ac:dyDescent="0.3">
      <c r="F100883" s="193"/>
    </row>
    <row r="100884" spans="6:6" x14ac:dyDescent="0.3">
      <c r="F100884" s="193"/>
    </row>
    <row r="100885" spans="6:6" x14ac:dyDescent="0.3">
      <c r="F100885" s="193"/>
    </row>
    <row r="100886" spans="6:6" x14ac:dyDescent="0.3">
      <c r="F100886" s="193"/>
    </row>
    <row r="100887" spans="6:6" x14ac:dyDescent="0.3">
      <c r="F100887" s="193"/>
    </row>
    <row r="100888" spans="6:6" x14ac:dyDescent="0.3">
      <c r="F100888" s="193"/>
    </row>
    <row r="100889" spans="6:6" x14ac:dyDescent="0.3">
      <c r="F100889" s="193"/>
    </row>
    <row r="100890" spans="6:6" x14ac:dyDescent="0.3">
      <c r="F100890" s="193"/>
    </row>
    <row r="100891" spans="6:6" x14ac:dyDescent="0.3">
      <c r="F100891" s="193"/>
    </row>
    <row r="100892" spans="6:6" x14ac:dyDescent="0.3">
      <c r="F100892" s="193"/>
    </row>
    <row r="100893" spans="6:6" x14ac:dyDescent="0.3">
      <c r="F100893" s="193"/>
    </row>
    <row r="100894" spans="6:6" x14ac:dyDescent="0.3">
      <c r="F100894" s="193"/>
    </row>
    <row r="100895" spans="6:6" x14ac:dyDescent="0.3">
      <c r="F100895" s="193"/>
    </row>
    <row r="100896" spans="6:6" x14ac:dyDescent="0.3">
      <c r="F100896" s="193"/>
    </row>
    <row r="100897" spans="6:6" x14ac:dyDescent="0.3">
      <c r="F100897" s="193"/>
    </row>
    <row r="100898" spans="6:6" x14ac:dyDescent="0.3">
      <c r="F100898" s="193"/>
    </row>
    <row r="100899" spans="6:6" x14ac:dyDescent="0.3">
      <c r="F100899" s="193"/>
    </row>
    <row r="100900" spans="6:6" x14ac:dyDescent="0.3">
      <c r="F100900" s="193"/>
    </row>
    <row r="100901" spans="6:6" x14ac:dyDescent="0.3">
      <c r="F100901" s="193"/>
    </row>
    <row r="100902" spans="6:6" x14ac:dyDescent="0.3">
      <c r="F100902" s="193"/>
    </row>
    <row r="100903" spans="6:6" x14ac:dyDescent="0.3">
      <c r="F100903" s="193"/>
    </row>
    <row r="100904" spans="6:6" x14ac:dyDescent="0.3">
      <c r="F100904" s="193"/>
    </row>
    <row r="100905" spans="6:6" x14ac:dyDescent="0.3">
      <c r="F100905" s="193"/>
    </row>
    <row r="100906" spans="6:6" x14ac:dyDescent="0.3">
      <c r="F100906" s="193"/>
    </row>
    <row r="100907" spans="6:6" x14ac:dyDescent="0.3">
      <c r="F100907" s="193"/>
    </row>
    <row r="100908" spans="6:6" x14ac:dyDescent="0.3">
      <c r="F100908" s="193"/>
    </row>
    <row r="100909" spans="6:6" x14ac:dyDescent="0.3">
      <c r="F100909" s="193"/>
    </row>
    <row r="100910" spans="6:6" x14ac:dyDescent="0.3">
      <c r="F100910" s="193"/>
    </row>
    <row r="100911" spans="6:6" x14ac:dyDescent="0.3">
      <c r="F100911" s="193"/>
    </row>
    <row r="100912" spans="6:6" x14ac:dyDescent="0.3">
      <c r="F100912" s="193"/>
    </row>
    <row r="100913" spans="6:6" x14ac:dyDescent="0.3">
      <c r="F100913" s="193"/>
    </row>
    <row r="100914" spans="6:6" x14ac:dyDescent="0.3">
      <c r="F100914" s="193"/>
    </row>
    <row r="100915" spans="6:6" x14ac:dyDescent="0.3">
      <c r="F100915" s="193"/>
    </row>
    <row r="100916" spans="6:6" x14ac:dyDescent="0.3">
      <c r="F100916" s="193"/>
    </row>
    <row r="100917" spans="6:6" x14ac:dyDescent="0.3">
      <c r="F100917" s="193"/>
    </row>
    <row r="100918" spans="6:6" x14ac:dyDescent="0.3">
      <c r="F100918" s="193"/>
    </row>
    <row r="100919" spans="6:6" x14ac:dyDescent="0.3">
      <c r="F100919" s="193"/>
    </row>
    <row r="100920" spans="6:6" x14ac:dyDescent="0.3">
      <c r="F100920" s="193"/>
    </row>
    <row r="100921" spans="6:6" x14ac:dyDescent="0.3">
      <c r="F100921" s="193"/>
    </row>
    <row r="100922" spans="6:6" x14ac:dyDescent="0.3">
      <c r="F100922" s="193"/>
    </row>
    <row r="100923" spans="6:6" x14ac:dyDescent="0.3">
      <c r="F100923" s="193"/>
    </row>
    <row r="100924" spans="6:6" x14ac:dyDescent="0.3">
      <c r="F100924" s="193"/>
    </row>
    <row r="100925" spans="6:6" x14ac:dyDescent="0.3">
      <c r="F100925" s="193"/>
    </row>
    <row r="100926" spans="6:6" x14ac:dyDescent="0.3">
      <c r="F100926" s="193"/>
    </row>
    <row r="100927" spans="6:6" x14ac:dyDescent="0.3">
      <c r="F100927" s="193"/>
    </row>
    <row r="100928" spans="6:6" x14ac:dyDescent="0.3">
      <c r="F100928" s="193"/>
    </row>
    <row r="100929" spans="6:6" x14ac:dyDescent="0.3">
      <c r="F100929" s="193"/>
    </row>
    <row r="100930" spans="6:6" x14ac:dyDescent="0.3">
      <c r="F100930" s="193"/>
    </row>
    <row r="100931" spans="6:6" x14ac:dyDescent="0.3">
      <c r="F100931" s="193"/>
    </row>
    <row r="100932" spans="6:6" x14ac:dyDescent="0.3">
      <c r="F100932" s="193"/>
    </row>
    <row r="100933" spans="6:6" x14ac:dyDescent="0.3">
      <c r="F100933" s="193"/>
    </row>
    <row r="100934" spans="6:6" x14ac:dyDescent="0.3">
      <c r="F100934" s="193"/>
    </row>
    <row r="100935" spans="6:6" x14ac:dyDescent="0.3">
      <c r="F100935" s="193"/>
    </row>
    <row r="100936" spans="6:6" x14ac:dyDescent="0.3">
      <c r="F100936" s="193"/>
    </row>
    <row r="100937" spans="6:6" x14ac:dyDescent="0.3">
      <c r="F100937" s="193"/>
    </row>
    <row r="100938" spans="6:6" x14ac:dyDescent="0.3">
      <c r="F100938" s="193"/>
    </row>
    <row r="100939" spans="6:6" x14ac:dyDescent="0.3">
      <c r="F100939" s="193"/>
    </row>
    <row r="100940" spans="6:6" x14ac:dyDescent="0.3">
      <c r="F100940" s="193"/>
    </row>
    <row r="100941" spans="6:6" x14ac:dyDescent="0.3">
      <c r="F100941" s="193"/>
    </row>
    <row r="100942" spans="6:6" x14ac:dyDescent="0.3">
      <c r="F100942" s="193"/>
    </row>
    <row r="100943" spans="6:6" x14ac:dyDescent="0.3">
      <c r="F100943" s="193"/>
    </row>
    <row r="100944" spans="6:6" x14ac:dyDescent="0.3">
      <c r="F100944" s="193"/>
    </row>
    <row r="100945" spans="6:6" x14ac:dyDescent="0.3">
      <c r="F100945" s="193"/>
    </row>
    <row r="100946" spans="6:6" x14ac:dyDescent="0.3">
      <c r="F100946" s="193"/>
    </row>
    <row r="100947" spans="6:6" x14ac:dyDescent="0.3">
      <c r="F100947" s="193"/>
    </row>
    <row r="100948" spans="6:6" x14ac:dyDescent="0.3">
      <c r="F100948" s="193"/>
    </row>
    <row r="100949" spans="6:6" x14ac:dyDescent="0.3">
      <c r="F100949" s="193"/>
    </row>
    <row r="100950" spans="6:6" x14ac:dyDescent="0.3">
      <c r="F100950" s="193"/>
    </row>
    <row r="100951" spans="6:6" x14ac:dyDescent="0.3">
      <c r="F100951" s="193"/>
    </row>
    <row r="100952" spans="6:6" x14ac:dyDescent="0.3">
      <c r="F100952" s="193"/>
    </row>
    <row r="100953" spans="6:6" x14ac:dyDescent="0.3">
      <c r="F100953" s="193"/>
    </row>
    <row r="100954" spans="6:6" x14ac:dyDescent="0.3">
      <c r="F100954" s="193"/>
    </row>
    <row r="100955" spans="6:6" x14ac:dyDescent="0.3">
      <c r="F100955" s="193"/>
    </row>
    <row r="100956" spans="6:6" x14ac:dyDescent="0.3">
      <c r="F100956" s="193"/>
    </row>
    <row r="100957" spans="6:6" x14ac:dyDescent="0.3">
      <c r="F100957" s="193"/>
    </row>
    <row r="100958" spans="6:6" x14ac:dyDescent="0.3">
      <c r="F100958" s="193"/>
    </row>
    <row r="100959" spans="6:6" x14ac:dyDescent="0.3">
      <c r="F100959" s="193"/>
    </row>
    <row r="100960" spans="6:6" x14ac:dyDescent="0.3">
      <c r="F100960" s="193"/>
    </row>
    <row r="100961" spans="6:6" x14ac:dyDescent="0.3">
      <c r="F100961" s="193"/>
    </row>
    <row r="100962" spans="6:6" x14ac:dyDescent="0.3">
      <c r="F100962" s="193"/>
    </row>
    <row r="100963" spans="6:6" x14ac:dyDescent="0.3">
      <c r="F100963" s="193"/>
    </row>
    <row r="100964" spans="6:6" x14ac:dyDescent="0.3">
      <c r="F100964" s="193"/>
    </row>
    <row r="100965" spans="6:6" x14ac:dyDescent="0.3">
      <c r="F100965" s="193"/>
    </row>
    <row r="100966" spans="6:6" x14ac:dyDescent="0.3">
      <c r="F100966" s="193"/>
    </row>
    <row r="100967" spans="6:6" x14ac:dyDescent="0.3">
      <c r="F100967" s="193"/>
    </row>
    <row r="100968" spans="6:6" x14ac:dyDescent="0.3">
      <c r="F100968" s="193"/>
    </row>
    <row r="100969" spans="6:6" x14ac:dyDescent="0.3">
      <c r="F100969" s="193"/>
    </row>
    <row r="100970" spans="6:6" x14ac:dyDescent="0.3">
      <c r="F100970" s="193"/>
    </row>
    <row r="100971" spans="6:6" x14ac:dyDescent="0.3">
      <c r="F100971" s="193"/>
    </row>
    <row r="100972" spans="6:6" x14ac:dyDescent="0.3">
      <c r="F100972" s="193"/>
    </row>
    <row r="100973" spans="6:6" x14ac:dyDescent="0.3">
      <c r="F100973" s="193"/>
    </row>
    <row r="100974" spans="6:6" x14ac:dyDescent="0.3">
      <c r="F100974" s="193"/>
    </row>
    <row r="100975" spans="6:6" x14ac:dyDescent="0.3">
      <c r="F100975" s="193"/>
    </row>
    <row r="100976" spans="6:6" x14ac:dyDescent="0.3">
      <c r="F100976" s="193"/>
    </row>
    <row r="100977" spans="6:6" x14ac:dyDescent="0.3">
      <c r="F100977" s="193"/>
    </row>
    <row r="100978" spans="6:6" x14ac:dyDescent="0.3">
      <c r="F100978" s="193"/>
    </row>
    <row r="100979" spans="6:6" x14ac:dyDescent="0.3">
      <c r="F100979" s="193"/>
    </row>
    <row r="100980" spans="6:6" x14ac:dyDescent="0.3">
      <c r="F100980" s="193"/>
    </row>
    <row r="100981" spans="6:6" x14ac:dyDescent="0.3">
      <c r="F100981" s="193"/>
    </row>
    <row r="100982" spans="6:6" x14ac:dyDescent="0.3">
      <c r="F100982" s="193"/>
    </row>
    <row r="100983" spans="6:6" x14ac:dyDescent="0.3">
      <c r="F100983" s="193"/>
    </row>
    <row r="100984" spans="6:6" x14ac:dyDescent="0.3">
      <c r="F100984" s="193"/>
    </row>
    <row r="100985" spans="6:6" x14ac:dyDescent="0.3">
      <c r="F100985" s="193"/>
    </row>
    <row r="100986" spans="6:6" x14ac:dyDescent="0.3">
      <c r="F100986" s="193"/>
    </row>
    <row r="100987" spans="6:6" x14ac:dyDescent="0.3">
      <c r="F100987" s="193"/>
    </row>
    <row r="100988" spans="6:6" x14ac:dyDescent="0.3">
      <c r="F100988" s="193"/>
    </row>
    <row r="100989" spans="6:6" x14ac:dyDescent="0.3">
      <c r="F100989" s="193"/>
    </row>
    <row r="100990" spans="6:6" x14ac:dyDescent="0.3">
      <c r="F100990" s="193"/>
    </row>
    <row r="100991" spans="6:6" x14ac:dyDescent="0.3">
      <c r="F100991" s="193"/>
    </row>
    <row r="100992" spans="6:6" x14ac:dyDescent="0.3">
      <c r="F100992" s="193"/>
    </row>
    <row r="100993" spans="6:6" x14ac:dyDescent="0.3">
      <c r="F100993" s="193"/>
    </row>
    <row r="100994" spans="6:6" x14ac:dyDescent="0.3">
      <c r="F100994" s="193"/>
    </row>
    <row r="100995" spans="6:6" x14ac:dyDescent="0.3">
      <c r="F100995" s="193"/>
    </row>
    <row r="100996" spans="6:6" x14ac:dyDescent="0.3">
      <c r="F100996" s="193"/>
    </row>
    <row r="100997" spans="6:6" x14ac:dyDescent="0.3">
      <c r="F100997" s="193"/>
    </row>
    <row r="100998" spans="6:6" x14ac:dyDescent="0.3">
      <c r="F100998" s="193"/>
    </row>
    <row r="100999" spans="6:6" x14ac:dyDescent="0.3">
      <c r="F100999" s="193"/>
    </row>
    <row r="101000" spans="6:6" x14ac:dyDescent="0.3">
      <c r="F101000" s="193"/>
    </row>
    <row r="101001" spans="6:6" x14ac:dyDescent="0.3">
      <c r="F101001" s="193"/>
    </row>
    <row r="101002" spans="6:6" x14ac:dyDescent="0.3">
      <c r="F101002" s="193"/>
    </row>
    <row r="101003" spans="6:6" x14ac:dyDescent="0.3">
      <c r="F101003" s="193"/>
    </row>
    <row r="101004" spans="6:6" x14ac:dyDescent="0.3">
      <c r="F101004" s="193"/>
    </row>
    <row r="101005" spans="6:6" x14ac:dyDescent="0.3">
      <c r="F101005" s="193"/>
    </row>
    <row r="101006" spans="6:6" x14ac:dyDescent="0.3">
      <c r="F101006" s="193"/>
    </row>
    <row r="101007" spans="6:6" x14ac:dyDescent="0.3">
      <c r="F101007" s="193"/>
    </row>
    <row r="101008" spans="6:6" x14ac:dyDescent="0.3">
      <c r="F101008" s="193"/>
    </row>
    <row r="101009" spans="6:6" x14ac:dyDescent="0.3">
      <c r="F101009" s="193"/>
    </row>
    <row r="101010" spans="6:6" x14ac:dyDescent="0.3">
      <c r="F101010" s="193"/>
    </row>
    <row r="101011" spans="6:6" x14ac:dyDescent="0.3">
      <c r="F101011" s="193"/>
    </row>
    <row r="101012" spans="6:6" x14ac:dyDescent="0.3">
      <c r="F101012" s="193"/>
    </row>
    <row r="101013" spans="6:6" x14ac:dyDescent="0.3">
      <c r="F101013" s="193"/>
    </row>
    <row r="101014" spans="6:6" x14ac:dyDescent="0.3">
      <c r="F101014" s="193"/>
    </row>
    <row r="101015" spans="6:6" x14ac:dyDescent="0.3">
      <c r="F101015" s="193"/>
    </row>
    <row r="101016" spans="6:6" x14ac:dyDescent="0.3">
      <c r="F101016" s="193"/>
    </row>
    <row r="101017" spans="6:6" x14ac:dyDescent="0.3">
      <c r="F101017" s="193"/>
    </row>
    <row r="101018" spans="6:6" x14ac:dyDescent="0.3">
      <c r="F101018" s="193"/>
    </row>
    <row r="101019" spans="6:6" x14ac:dyDescent="0.3">
      <c r="F101019" s="193"/>
    </row>
    <row r="101020" spans="6:6" x14ac:dyDescent="0.3">
      <c r="F101020" s="193"/>
    </row>
    <row r="101021" spans="6:6" x14ac:dyDescent="0.3">
      <c r="F101021" s="193"/>
    </row>
    <row r="101022" spans="6:6" x14ac:dyDescent="0.3">
      <c r="F101022" s="193"/>
    </row>
    <row r="101023" spans="6:6" x14ac:dyDescent="0.3">
      <c r="F101023" s="193"/>
    </row>
    <row r="101024" spans="6:6" x14ac:dyDescent="0.3">
      <c r="F101024" s="193"/>
    </row>
    <row r="101025" spans="6:6" x14ac:dyDescent="0.3">
      <c r="F101025" s="193"/>
    </row>
    <row r="101026" spans="6:6" x14ac:dyDescent="0.3">
      <c r="F101026" s="193"/>
    </row>
    <row r="101027" spans="6:6" x14ac:dyDescent="0.3">
      <c r="F101027" s="193"/>
    </row>
    <row r="101028" spans="6:6" x14ac:dyDescent="0.3">
      <c r="F101028" s="193"/>
    </row>
    <row r="101029" spans="6:6" x14ac:dyDescent="0.3">
      <c r="F101029" s="193"/>
    </row>
    <row r="101030" spans="6:6" x14ac:dyDescent="0.3">
      <c r="F101030" s="193"/>
    </row>
    <row r="101031" spans="6:6" x14ac:dyDescent="0.3">
      <c r="F101031" s="193"/>
    </row>
    <row r="101032" spans="6:6" x14ac:dyDescent="0.3">
      <c r="F101032" s="193"/>
    </row>
    <row r="101033" spans="6:6" x14ac:dyDescent="0.3">
      <c r="F101033" s="193"/>
    </row>
    <row r="101034" spans="6:6" x14ac:dyDescent="0.3">
      <c r="F101034" s="193"/>
    </row>
    <row r="101035" spans="6:6" x14ac:dyDescent="0.3">
      <c r="F101035" s="193"/>
    </row>
    <row r="101036" spans="6:6" x14ac:dyDescent="0.3">
      <c r="F101036" s="193"/>
    </row>
    <row r="101037" spans="6:6" x14ac:dyDescent="0.3">
      <c r="F101037" s="193"/>
    </row>
    <row r="101038" spans="6:6" x14ac:dyDescent="0.3">
      <c r="F101038" s="193"/>
    </row>
    <row r="101039" spans="6:6" x14ac:dyDescent="0.3">
      <c r="F101039" s="193"/>
    </row>
    <row r="101040" spans="6:6" x14ac:dyDescent="0.3">
      <c r="F101040" s="193"/>
    </row>
    <row r="101041" spans="6:6" x14ac:dyDescent="0.3">
      <c r="F101041" s="193"/>
    </row>
    <row r="101042" spans="6:6" x14ac:dyDescent="0.3">
      <c r="F101042" s="193"/>
    </row>
    <row r="101043" spans="6:6" x14ac:dyDescent="0.3">
      <c r="F101043" s="193"/>
    </row>
    <row r="101044" spans="6:6" x14ac:dyDescent="0.3">
      <c r="F101044" s="193"/>
    </row>
    <row r="101045" spans="6:6" x14ac:dyDescent="0.3">
      <c r="F101045" s="193"/>
    </row>
    <row r="101046" spans="6:6" x14ac:dyDescent="0.3">
      <c r="F101046" s="193"/>
    </row>
    <row r="101047" spans="6:6" x14ac:dyDescent="0.3">
      <c r="F101047" s="193"/>
    </row>
    <row r="101048" spans="6:6" x14ac:dyDescent="0.3">
      <c r="F101048" s="193"/>
    </row>
    <row r="101049" spans="6:6" x14ac:dyDescent="0.3">
      <c r="F101049" s="193"/>
    </row>
    <row r="101050" spans="6:6" x14ac:dyDescent="0.3">
      <c r="F101050" s="193"/>
    </row>
    <row r="101051" spans="6:6" x14ac:dyDescent="0.3">
      <c r="F101051" s="193"/>
    </row>
    <row r="101052" spans="6:6" x14ac:dyDescent="0.3">
      <c r="F101052" s="193"/>
    </row>
    <row r="101053" spans="6:6" x14ac:dyDescent="0.3">
      <c r="F101053" s="193"/>
    </row>
    <row r="101054" spans="6:6" x14ac:dyDescent="0.3">
      <c r="F101054" s="193"/>
    </row>
    <row r="101055" spans="6:6" x14ac:dyDescent="0.3">
      <c r="F101055" s="193"/>
    </row>
    <row r="101056" spans="6:6" x14ac:dyDescent="0.3">
      <c r="F101056" s="193"/>
    </row>
    <row r="101057" spans="6:6" x14ac:dyDescent="0.3">
      <c r="F101057" s="193"/>
    </row>
    <row r="101058" spans="6:6" x14ac:dyDescent="0.3">
      <c r="F101058" s="193"/>
    </row>
    <row r="101059" spans="6:6" x14ac:dyDescent="0.3">
      <c r="F101059" s="193"/>
    </row>
    <row r="101060" spans="6:6" x14ac:dyDescent="0.3">
      <c r="F101060" s="193"/>
    </row>
    <row r="101061" spans="6:6" x14ac:dyDescent="0.3">
      <c r="F101061" s="193"/>
    </row>
    <row r="101062" spans="6:6" x14ac:dyDescent="0.3">
      <c r="F101062" s="193"/>
    </row>
    <row r="101063" spans="6:6" x14ac:dyDescent="0.3">
      <c r="F101063" s="193"/>
    </row>
    <row r="101064" spans="6:6" x14ac:dyDescent="0.3">
      <c r="F101064" s="193"/>
    </row>
    <row r="101065" spans="6:6" x14ac:dyDescent="0.3">
      <c r="F101065" s="193"/>
    </row>
    <row r="101066" spans="6:6" x14ac:dyDescent="0.3">
      <c r="F101066" s="193"/>
    </row>
    <row r="101067" spans="6:6" x14ac:dyDescent="0.3">
      <c r="F101067" s="193"/>
    </row>
    <row r="101068" spans="6:6" x14ac:dyDescent="0.3">
      <c r="F101068" s="193"/>
    </row>
    <row r="101069" spans="6:6" x14ac:dyDescent="0.3">
      <c r="F101069" s="193"/>
    </row>
    <row r="101070" spans="6:6" x14ac:dyDescent="0.3">
      <c r="F101070" s="193"/>
    </row>
    <row r="101071" spans="6:6" x14ac:dyDescent="0.3">
      <c r="F101071" s="193"/>
    </row>
    <row r="101072" spans="6:6" x14ac:dyDescent="0.3">
      <c r="F101072" s="193"/>
    </row>
    <row r="101073" spans="6:6" x14ac:dyDescent="0.3">
      <c r="F101073" s="193"/>
    </row>
    <row r="101074" spans="6:6" x14ac:dyDescent="0.3">
      <c r="F101074" s="193"/>
    </row>
    <row r="101075" spans="6:6" x14ac:dyDescent="0.3">
      <c r="F101075" s="193"/>
    </row>
    <row r="101076" spans="6:6" x14ac:dyDescent="0.3">
      <c r="F101076" s="193"/>
    </row>
    <row r="101077" spans="6:6" x14ac:dyDescent="0.3">
      <c r="F101077" s="193"/>
    </row>
    <row r="101078" spans="6:6" x14ac:dyDescent="0.3">
      <c r="F101078" s="193"/>
    </row>
    <row r="101079" spans="6:6" x14ac:dyDescent="0.3">
      <c r="F101079" s="193"/>
    </row>
    <row r="101080" spans="6:6" x14ac:dyDescent="0.3">
      <c r="F101080" s="193"/>
    </row>
    <row r="101081" spans="6:6" x14ac:dyDescent="0.3">
      <c r="F101081" s="193"/>
    </row>
    <row r="101082" spans="6:6" x14ac:dyDescent="0.3">
      <c r="F101082" s="193"/>
    </row>
    <row r="101083" spans="6:6" x14ac:dyDescent="0.3">
      <c r="F101083" s="193"/>
    </row>
    <row r="101084" spans="6:6" x14ac:dyDescent="0.3">
      <c r="F101084" s="193"/>
    </row>
    <row r="101085" spans="6:6" x14ac:dyDescent="0.3">
      <c r="F101085" s="193"/>
    </row>
    <row r="101086" spans="6:6" x14ac:dyDescent="0.3">
      <c r="F101086" s="193"/>
    </row>
    <row r="101087" spans="6:6" x14ac:dyDescent="0.3">
      <c r="F101087" s="193"/>
    </row>
    <row r="101088" spans="6:6" x14ac:dyDescent="0.3">
      <c r="F101088" s="193"/>
    </row>
    <row r="101089" spans="6:6" x14ac:dyDescent="0.3">
      <c r="F101089" s="193"/>
    </row>
    <row r="101090" spans="6:6" x14ac:dyDescent="0.3">
      <c r="F101090" s="193"/>
    </row>
    <row r="101091" spans="6:6" x14ac:dyDescent="0.3">
      <c r="F101091" s="193"/>
    </row>
    <row r="101092" spans="6:6" x14ac:dyDescent="0.3">
      <c r="F101092" s="193"/>
    </row>
    <row r="101093" spans="6:6" x14ac:dyDescent="0.3">
      <c r="F101093" s="193"/>
    </row>
    <row r="101094" spans="6:6" x14ac:dyDescent="0.3">
      <c r="F101094" s="193"/>
    </row>
    <row r="101095" spans="6:6" x14ac:dyDescent="0.3">
      <c r="F101095" s="193"/>
    </row>
    <row r="101096" spans="6:6" x14ac:dyDescent="0.3">
      <c r="F101096" s="193"/>
    </row>
    <row r="101097" spans="6:6" x14ac:dyDescent="0.3">
      <c r="F101097" s="193"/>
    </row>
    <row r="101098" spans="6:6" x14ac:dyDescent="0.3">
      <c r="F101098" s="193"/>
    </row>
    <row r="101099" spans="6:6" x14ac:dyDescent="0.3">
      <c r="F101099" s="193"/>
    </row>
    <row r="101100" spans="6:6" x14ac:dyDescent="0.3">
      <c r="F101100" s="193"/>
    </row>
    <row r="101101" spans="6:6" x14ac:dyDescent="0.3">
      <c r="F101101" s="193"/>
    </row>
    <row r="101102" spans="6:6" x14ac:dyDescent="0.3">
      <c r="F101102" s="193"/>
    </row>
    <row r="101103" spans="6:6" x14ac:dyDescent="0.3">
      <c r="F101103" s="193"/>
    </row>
    <row r="101104" spans="6:6" x14ac:dyDescent="0.3">
      <c r="F101104" s="193"/>
    </row>
    <row r="101105" spans="6:6" x14ac:dyDescent="0.3">
      <c r="F101105" s="193"/>
    </row>
    <row r="101106" spans="6:6" x14ac:dyDescent="0.3">
      <c r="F101106" s="193"/>
    </row>
    <row r="101107" spans="6:6" x14ac:dyDescent="0.3">
      <c r="F101107" s="193"/>
    </row>
    <row r="101108" spans="6:6" x14ac:dyDescent="0.3">
      <c r="F101108" s="193"/>
    </row>
    <row r="101109" spans="6:6" x14ac:dyDescent="0.3">
      <c r="F101109" s="193"/>
    </row>
    <row r="101110" spans="6:6" x14ac:dyDescent="0.3">
      <c r="F101110" s="193"/>
    </row>
    <row r="101111" spans="6:6" x14ac:dyDescent="0.3">
      <c r="F101111" s="193"/>
    </row>
    <row r="101112" spans="6:6" x14ac:dyDescent="0.3">
      <c r="F101112" s="193"/>
    </row>
    <row r="101113" spans="6:6" x14ac:dyDescent="0.3">
      <c r="F101113" s="193"/>
    </row>
    <row r="101114" spans="6:6" x14ac:dyDescent="0.3">
      <c r="F101114" s="193"/>
    </row>
    <row r="101115" spans="6:6" x14ac:dyDescent="0.3">
      <c r="F101115" s="193"/>
    </row>
    <row r="101116" spans="6:6" x14ac:dyDescent="0.3">
      <c r="F101116" s="193"/>
    </row>
    <row r="101117" spans="6:6" x14ac:dyDescent="0.3">
      <c r="F101117" s="193"/>
    </row>
    <row r="101118" spans="6:6" x14ac:dyDescent="0.3">
      <c r="F101118" s="193"/>
    </row>
    <row r="101119" spans="6:6" x14ac:dyDescent="0.3">
      <c r="F101119" s="193"/>
    </row>
    <row r="101120" spans="6:6" x14ac:dyDescent="0.3">
      <c r="F101120" s="193"/>
    </row>
    <row r="101121" spans="6:6" x14ac:dyDescent="0.3">
      <c r="F101121" s="193"/>
    </row>
    <row r="101122" spans="6:6" x14ac:dyDescent="0.3">
      <c r="F101122" s="193"/>
    </row>
    <row r="101123" spans="6:6" x14ac:dyDescent="0.3">
      <c r="F101123" s="193"/>
    </row>
    <row r="101124" spans="6:6" x14ac:dyDescent="0.3">
      <c r="F101124" s="193"/>
    </row>
    <row r="101125" spans="6:6" x14ac:dyDescent="0.3">
      <c r="F101125" s="193"/>
    </row>
    <row r="101126" spans="6:6" x14ac:dyDescent="0.3">
      <c r="F101126" s="193"/>
    </row>
    <row r="101127" spans="6:6" x14ac:dyDescent="0.3">
      <c r="F101127" s="193"/>
    </row>
    <row r="101128" spans="6:6" x14ac:dyDescent="0.3">
      <c r="F101128" s="193"/>
    </row>
    <row r="101129" spans="6:6" x14ac:dyDescent="0.3">
      <c r="F101129" s="193"/>
    </row>
    <row r="101130" spans="6:6" x14ac:dyDescent="0.3">
      <c r="F101130" s="193"/>
    </row>
    <row r="101131" spans="6:6" x14ac:dyDescent="0.3">
      <c r="F101131" s="193"/>
    </row>
    <row r="101132" spans="6:6" x14ac:dyDescent="0.3">
      <c r="F101132" s="193"/>
    </row>
    <row r="101133" spans="6:6" x14ac:dyDescent="0.3">
      <c r="F101133" s="193"/>
    </row>
    <row r="101134" spans="6:6" x14ac:dyDescent="0.3">
      <c r="F101134" s="193"/>
    </row>
    <row r="101135" spans="6:6" x14ac:dyDescent="0.3">
      <c r="F101135" s="193"/>
    </row>
    <row r="101136" spans="6:6" x14ac:dyDescent="0.3">
      <c r="F101136" s="193"/>
    </row>
    <row r="101137" spans="6:6" x14ac:dyDescent="0.3">
      <c r="F101137" s="193"/>
    </row>
    <row r="101138" spans="6:6" x14ac:dyDescent="0.3">
      <c r="F101138" s="193"/>
    </row>
    <row r="101139" spans="6:6" x14ac:dyDescent="0.3">
      <c r="F101139" s="193"/>
    </row>
    <row r="101140" spans="6:6" x14ac:dyDescent="0.3">
      <c r="F101140" s="193"/>
    </row>
    <row r="101141" spans="6:6" x14ac:dyDescent="0.3">
      <c r="F101141" s="193"/>
    </row>
    <row r="101142" spans="6:6" x14ac:dyDescent="0.3">
      <c r="F101142" s="193"/>
    </row>
    <row r="101143" spans="6:6" x14ac:dyDescent="0.3">
      <c r="F101143" s="193"/>
    </row>
    <row r="101144" spans="6:6" x14ac:dyDescent="0.3">
      <c r="F101144" s="193"/>
    </row>
    <row r="101145" spans="6:6" x14ac:dyDescent="0.3">
      <c r="F101145" s="193"/>
    </row>
    <row r="101146" spans="6:6" x14ac:dyDescent="0.3">
      <c r="F101146" s="193"/>
    </row>
    <row r="101147" spans="6:6" x14ac:dyDescent="0.3">
      <c r="F101147" s="193"/>
    </row>
    <row r="101148" spans="6:6" x14ac:dyDescent="0.3">
      <c r="F101148" s="193"/>
    </row>
    <row r="101149" spans="6:6" x14ac:dyDescent="0.3">
      <c r="F101149" s="193"/>
    </row>
    <row r="101150" spans="6:6" x14ac:dyDescent="0.3">
      <c r="F101150" s="193"/>
    </row>
    <row r="101151" spans="6:6" x14ac:dyDescent="0.3">
      <c r="F101151" s="193"/>
    </row>
    <row r="101152" spans="6:6" x14ac:dyDescent="0.3">
      <c r="F101152" s="193"/>
    </row>
    <row r="101153" spans="6:6" x14ac:dyDescent="0.3">
      <c r="F101153" s="193"/>
    </row>
    <row r="101154" spans="6:6" x14ac:dyDescent="0.3">
      <c r="F101154" s="193"/>
    </row>
    <row r="101155" spans="6:6" x14ac:dyDescent="0.3">
      <c r="F101155" s="193"/>
    </row>
    <row r="101156" spans="6:6" x14ac:dyDescent="0.3">
      <c r="F101156" s="193"/>
    </row>
    <row r="101157" spans="6:6" x14ac:dyDescent="0.3">
      <c r="F101157" s="193"/>
    </row>
    <row r="101158" spans="6:6" x14ac:dyDescent="0.3">
      <c r="F101158" s="193"/>
    </row>
    <row r="101159" spans="6:6" x14ac:dyDescent="0.3">
      <c r="F101159" s="193"/>
    </row>
    <row r="101160" spans="6:6" x14ac:dyDescent="0.3">
      <c r="F101160" s="193"/>
    </row>
    <row r="101161" spans="6:6" x14ac:dyDescent="0.3">
      <c r="F101161" s="193"/>
    </row>
    <row r="101162" spans="6:6" x14ac:dyDescent="0.3">
      <c r="F101162" s="193"/>
    </row>
    <row r="101163" spans="6:6" x14ac:dyDescent="0.3">
      <c r="F101163" s="193"/>
    </row>
    <row r="101164" spans="6:6" x14ac:dyDescent="0.3">
      <c r="F101164" s="193"/>
    </row>
    <row r="101165" spans="6:6" x14ac:dyDescent="0.3">
      <c r="F101165" s="193"/>
    </row>
    <row r="101166" spans="6:6" x14ac:dyDescent="0.3">
      <c r="F101166" s="193"/>
    </row>
    <row r="101167" spans="6:6" x14ac:dyDescent="0.3">
      <c r="F101167" s="193"/>
    </row>
    <row r="101168" spans="6:6" x14ac:dyDescent="0.3">
      <c r="F101168" s="193"/>
    </row>
    <row r="101169" spans="6:6" x14ac:dyDescent="0.3">
      <c r="F101169" s="193"/>
    </row>
    <row r="101170" spans="6:6" x14ac:dyDescent="0.3">
      <c r="F101170" s="193"/>
    </row>
    <row r="101171" spans="6:6" x14ac:dyDescent="0.3">
      <c r="F101171" s="193"/>
    </row>
    <row r="101172" spans="6:6" x14ac:dyDescent="0.3">
      <c r="F101172" s="193"/>
    </row>
    <row r="101173" spans="6:6" x14ac:dyDescent="0.3">
      <c r="F101173" s="193"/>
    </row>
    <row r="101174" spans="6:6" x14ac:dyDescent="0.3">
      <c r="F101174" s="193"/>
    </row>
    <row r="101175" spans="6:6" x14ac:dyDescent="0.3">
      <c r="F101175" s="193"/>
    </row>
    <row r="101176" spans="6:6" x14ac:dyDescent="0.3">
      <c r="F101176" s="193"/>
    </row>
    <row r="101177" spans="6:6" x14ac:dyDescent="0.3">
      <c r="F101177" s="193"/>
    </row>
    <row r="101178" spans="6:6" x14ac:dyDescent="0.3">
      <c r="F101178" s="193"/>
    </row>
    <row r="101179" spans="6:6" x14ac:dyDescent="0.3">
      <c r="F101179" s="193"/>
    </row>
    <row r="101180" spans="6:6" x14ac:dyDescent="0.3">
      <c r="F101180" s="193"/>
    </row>
    <row r="101181" spans="6:6" x14ac:dyDescent="0.3">
      <c r="F101181" s="193"/>
    </row>
    <row r="101182" spans="6:6" x14ac:dyDescent="0.3">
      <c r="F101182" s="193"/>
    </row>
    <row r="101183" spans="6:6" x14ac:dyDescent="0.3">
      <c r="F101183" s="193"/>
    </row>
    <row r="101184" spans="6:6" x14ac:dyDescent="0.3">
      <c r="F101184" s="193"/>
    </row>
    <row r="101185" spans="6:6" x14ac:dyDescent="0.3">
      <c r="F101185" s="193"/>
    </row>
    <row r="101186" spans="6:6" x14ac:dyDescent="0.3">
      <c r="F101186" s="193"/>
    </row>
    <row r="101187" spans="6:6" x14ac:dyDescent="0.3">
      <c r="F101187" s="193"/>
    </row>
    <row r="101188" spans="6:6" x14ac:dyDescent="0.3">
      <c r="F101188" s="193"/>
    </row>
    <row r="101189" spans="6:6" x14ac:dyDescent="0.3">
      <c r="F101189" s="193"/>
    </row>
    <row r="101190" spans="6:6" x14ac:dyDescent="0.3">
      <c r="F101190" s="193"/>
    </row>
    <row r="101191" spans="6:6" x14ac:dyDescent="0.3">
      <c r="F101191" s="193"/>
    </row>
    <row r="101192" spans="6:6" x14ac:dyDescent="0.3">
      <c r="F101192" s="193"/>
    </row>
    <row r="101193" spans="6:6" x14ac:dyDescent="0.3">
      <c r="F101193" s="193"/>
    </row>
    <row r="101194" spans="6:6" x14ac:dyDescent="0.3">
      <c r="F101194" s="193"/>
    </row>
    <row r="101195" spans="6:6" x14ac:dyDescent="0.3">
      <c r="F101195" s="193"/>
    </row>
    <row r="101196" spans="6:6" x14ac:dyDescent="0.3">
      <c r="F101196" s="193"/>
    </row>
    <row r="101197" spans="6:6" x14ac:dyDescent="0.3">
      <c r="F101197" s="193"/>
    </row>
    <row r="101198" spans="6:6" x14ac:dyDescent="0.3">
      <c r="F101198" s="193"/>
    </row>
    <row r="101199" spans="6:6" x14ac:dyDescent="0.3">
      <c r="F101199" s="193"/>
    </row>
    <row r="101200" spans="6:6" x14ac:dyDescent="0.3">
      <c r="F101200" s="193"/>
    </row>
    <row r="101201" spans="6:6" x14ac:dyDescent="0.3">
      <c r="F101201" s="193"/>
    </row>
    <row r="101202" spans="6:6" x14ac:dyDescent="0.3">
      <c r="F101202" s="193"/>
    </row>
    <row r="101203" spans="6:6" x14ac:dyDescent="0.3">
      <c r="F101203" s="193"/>
    </row>
    <row r="101204" spans="6:6" x14ac:dyDescent="0.3">
      <c r="F101204" s="193"/>
    </row>
    <row r="101205" spans="6:6" x14ac:dyDescent="0.3">
      <c r="F101205" s="193"/>
    </row>
    <row r="101206" spans="6:6" x14ac:dyDescent="0.3">
      <c r="F101206" s="193"/>
    </row>
    <row r="101207" spans="6:6" x14ac:dyDescent="0.3">
      <c r="F101207" s="193"/>
    </row>
    <row r="101208" spans="6:6" x14ac:dyDescent="0.3">
      <c r="F101208" s="193"/>
    </row>
    <row r="101209" spans="6:6" x14ac:dyDescent="0.3">
      <c r="F101209" s="193"/>
    </row>
    <row r="101210" spans="6:6" x14ac:dyDescent="0.3">
      <c r="F101210" s="193"/>
    </row>
    <row r="101211" spans="6:6" x14ac:dyDescent="0.3">
      <c r="F101211" s="193"/>
    </row>
    <row r="101212" spans="6:6" x14ac:dyDescent="0.3">
      <c r="F101212" s="193"/>
    </row>
    <row r="101213" spans="6:6" x14ac:dyDescent="0.3">
      <c r="F101213" s="193"/>
    </row>
    <row r="101214" spans="6:6" x14ac:dyDescent="0.3">
      <c r="F101214" s="193"/>
    </row>
    <row r="101215" spans="6:6" x14ac:dyDescent="0.3">
      <c r="F101215" s="193"/>
    </row>
    <row r="101216" spans="6:6" x14ac:dyDescent="0.3">
      <c r="F101216" s="193"/>
    </row>
    <row r="101217" spans="6:6" x14ac:dyDescent="0.3">
      <c r="F101217" s="193"/>
    </row>
    <row r="101218" spans="6:6" x14ac:dyDescent="0.3">
      <c r="F101218" s="193"/>
    </row>
    <row r="101219" spans="6:6" x14ac:dyDescent="0.3">
      <c r="F101219" s="193"/>
    </row>
    <row r="101220" spans="6:6" x14ac:dyDescent="0.3">
      <c r="F101220" s="193"/>
    </row>
    <row r="101221" spans="6:6" x14ac:dyDescent="0.3">
      <c r="F101221" s="193"/>
    </row>
    <row r="101222" spans="6:6" x14ac:dyDescent="0.3">
      <c r="F101222" s="193"/>
    </row>
    <row r="101223" spans="6:6" x14ac:dyDescent="0.3">
      <c r="F101223" s="193"/>
    </row>
    <row r="101224" spans="6:6" x14ac:dyDescent="0.3">
      <c r="F101224" s="193"/>
    </row>
    <row r="101225" spans="6:6" x14ac:dyDescent="0.3">
      <c r="F101225" s="193"/>
    </row>
    <row r="101226" spans="6:6" x14ac:dyDescent="0.3">
      <c r="F101226" s="193"/>
    </row>
    <row r="101227" spans="6:6" x14ac:dyDescent="0.3">
      <c r="F101227" s="193"/>
    </row>
    <row r="101228" spans="6:6" x14ac:dyDescent="0.3">
      <c r="F101228" s="193"/>
    </row>
    <row r="101229" spans="6:6" x14ac:dyDescent="0.3">
      <c r="F101229" s="193"/>
    </row>
    <row r="101230" spans="6:6" x14ac:dyDescent="0.3">
      <c r="F101230" s="193"/>
    </row>
    <row r="101231" spans="6:6" x14ac:dyDescent="0.3">
      <c r="F101231" s="193"/>
    </row>
    <row r="101232" spans="6:6" x14ac:dyDescent="0.3">
      <c r="F101232" s="193"/>
    </row>
    <row r="101233" spans="6:6" x14ac:dyDescent="0.3">
      <c r="F101233" s="193"/>
    </row>
    <row r="101234" spans="6:6" x14ac:dyDescent="0.3">
      <c r="F101234" s="193"/>
    </row>
    <row r="101235" spans="6:6" x14ac:dyDescent="0.3">
      <c r="F101235" s="193"/>
    </row>
    <row r="101236" spans="6:6" x14ac:dyDescent="0.3">
      <c r="F101236" s="193"/>
    </row>
    <row r="101237" spans="6:6" x14ac:dyDescent="0.3">
      <c r="F101237" s="193"/>
    </row>
    <row r="101238" spans="6:6" x14ac:dyDescent="0.3">
      <c r="F101238" s="193"/>
    </row>
    <row r="101239" spans="6:6" x14ac:dyDescent="0.3">
      <c r="F101239" s="193"/>
    </row>
    <row r="101240" spans="6:6" x14ac:dyDescent="0.3">
      <c r="F101240" s="193"/>
    </row>
    <row r="101241" spans="6:6" x14ac:dyDescent="0.3">
      <c r="F101241" s="193"/>
    </row>
    <row r="101242" spans="6:6" x14ac:dyDescent="0.3">
      <c r="F101242" s="193"/>
    </row>
    <row r="101243" spans="6:6" x14ac:dyDescent="0.3">
      <c r="F101243" s="193"/>
    </row>
    <row r="101244" spans="6:6" x14ac:dyDescent="0.3">
      <c r="F101244" s="193"/>
    </row>
    <row r="101245" spans="6:6" x14ac:dyDescent="0.3">
      <c r="F101245" s="193"/>
    </row>
    <row r="101246" spans="6:6" x14ac:dyDescent="0.3">
      <c r="F101246" s="193"/>
    </row>
    <row r="101247" spans="6:6" x14ac:dyDescent="0.3">
      <c r="F101247" s="193"/>
    </row>
    <row r="101248" spans="6:6" x14ac:dyDescent="0.3">
      <c r="F101248" s="193"/>
    </row>
    <row r="101249" spans="6:6" x14ac:dyDescent="0.3">
      <c r="F101249" s="193"/>
    </row>
    <row r="101250" spans="6:6" x14ac:dyDescent="0.3">
      <c r="F101250" s="193"/>
    </row>
    <row r="101251" spans="6:6" x14ac:dyDescent="0.3">
      <c r="F101251" s="193"/>
    </row>
    <row r="101252" spans="6:6" x14ac:dyDescent="0.3">
      <c r="F101252" s="193"/>
    </row>
    <row r="101253" spans="6:6" x14ac:dyDescent="0.3">
      <c r="F101253" s="193"/>
    </row>
    <row r="101254" spans="6:6" x14ac:dyDescent="0.3">
      <c r="F101254" s="193"/>
    </row>
    <row r="101255" spans="6:6" x14ac:dyDescent="0.3">
      <c r="F101255" s="193"/>
    </row>
    <row r="101256" spans="6:6" x14ac:dyDescent="0.3">
      <c r="F101256" s="193"/>
    </row>
    <row r="101257" spans="6:6" x14ac:dyDescent="0.3">
      <c r="F101257" s="193"/>
    </row>
    <row r="101258" spans="6:6" x14ac:dyDescent="0.3">
      <c r="F101258" s="193"/>
    </row>
    <row r="101259" spans="6:6" x14ac:dyDescent="0.3">
      <c r="F101259" s="193"/>
    </row>
    <row r="101260" spans="6:6" x14ac:dyDescent="0.3">
      <c r="F101260" s="193"/>
    </row>
    <row r="101261" spans="6:6" x14ac:dyDescent="0.3">
      <c r="F101261" s="193"/>
    </row>
    <row r="101262" spans="6:6" x14ac:dyDescent="0.3">
      <c r="F101262" s="193"/>
    </row>
    <row r="101263" spans="6:6" x14ac:dyDescent="0.3">
      <c r="F101263" s="193"/>
    </row>
    <row r="101264" spans="6:6" x14ac:dyDescent="0.3">
      <c r="F101264" s="193"/>
    </row>
    <row r="101265" spans="6:6" x14ac:dyDescent="0.3">
      <c r="F101265" s="193"/>
    </row>
    <row r="101266" spans="6:6" x14ac:dyDescent="0.3">
      <c r="F101266" s="193"/>
    </row>
    <row r="101267" spans="6:6" x14ac:dyDescent="0.3">
      <c r="F101267" s="193"/>
    </row>
    <row r="101268" spans="6:6" x14ac:dyDescent="0.3">
      <c r="F101268" s="193"/>
    </row>
    <row r="101269" spans="6:6" x14ac:dyDescent="0.3">
      <c r="F101269" s="193"/>
    </row>
    <row r="101270" spans="6:6" x14ac:dyDescent="0.3">
      <c r="F101270" s="193"/>
    </row>
    <row r="101271" spans="6:6" x14ac:dyDescent="0.3">
      <c r="F101271" s="193"/>
    </row>
    <row r="101272" spans="6:6" x14ac:dyDescent="0.3">
      <c r="F101272" s="193"/>
    </row>
    <row r="101273" spans="6:6" x14ac:dyDescent="0.3">
      <c r="F101273" s="193"/>
    </row>
    <row r="101274" spans="6:6" x14ac:dyDescent="0.3">
      <c r="F101274" s="193"/>
    </row>
    <row r="101275" spans="6:6" x14ac:dyDescent="0.3">
      <c r="F101275" s="193"/>
    </row>
    <row r="101276" spans="6:6" x14ac:dyDescent="0.3">
      <c r="F101276" s="193"/>
    </row>
    <row r="101277" spans="6:6" x14ac:dyDescent="0.3">
      <c r="F101277" s="193"/>
    </row>
    <row r="101278" spans="6:6" x14ac:dyDescent="0.3">
      <c r="F101278" s="193"/>
    </row>
    <row r="101279" spans="6:6" x14ac:dyDescent="0.3">
      <c r="F101279" s="193"/>
    </row>
    <row r="101280" spans="6:6" x14ac:dyDescent="0.3">
      <c r="F101280" s="193"/>
    </row>
    <row r="101281" spans="6:6" x14ac:dyDescent="0.3">
      <c r="F101281" s="193"/>
    </row>
    <row r="101282" spans="6:6" x14ac:dyDescent="0.3">
      <c r="F101282" s="193"/>
    </row>
    <row r="101283" spans="6:6" x14ac:dyDescent="0.3">
      <c r="F101283" s="193"/>
    </row>
    <row r="101284" spans="6:6" x14ac:dyDescent="0.3">
      <c r="F101284" s="193"/>
    </row>
    <row r="101285" spans="6:6" x14ac:dyDescent="0.3">
      <c r="F101285" s="193"/>
    </row>
    <row r="101286" spans="6:6" x14ac:dyDescent="0.3">
      <c r="F101286" s="193"/>
    </row>
    <row r="101287" spans="6:6" x14ac:dyDescent="0.3">
      <c r="F101287" s="193"/>
    </row>
    <row r="101288" spans="6:6" x14ac:dyDescent="0.3">
      <c r="F101288" s="193"/>
    </row>
    <row r="101289" spans="6:6" x14ac:dyDescent="0.3">
      <c r="F101289" s="193"/>
    </row>
    <row r="101290" spans="6:6" x14ac:dyDescent="0.3">
      <c r="F101290" s="193"/>
    </row>
    <row r="101291" spans="6:6" x14ac:dyDescent="0.3">
      <c r="F101291" s="193"/>
    </row>
    <row r="101292" spans="6:6" x14ac:dyDescent="0.3">
      <c r="F101292" s="193"/>
    </row>
    <row r="101293" spans="6:6" x14ac:dyDescent="0.3">
      <c r="F101293" s="193"/>
    </row>
    <row r="101294" spans="6:6" x14ac:dyDescent="0.3">
      <c r="F101294" s="193"/>
    </row>
    <row r="101295" spans="6:6" x14ac:dyDescent="0.3">
      <c r="F101295" s="193"/>
    </row>
    <row r="101296" spans="6:6" x14ac:dyDescent="0.3">
      <c r="F101296" s="193"/>
    </row>
    <row r="101297" spans="6:6" x14ac:dyDescent="0.3">
      <c r="F101297" s="193"/>
    </row>
    <row r="101298" spans="6:6" x14ac:dyDescent="0.3">
      <c r="F101298" s="193"/>
    </row>
    <row r="101299" spans="6:6" x14ac:dyDescent="0.3">
      <c r="F101299" s="193"/>
    </row>
    <row r="101300" spans="6:6" x14ac:dyDescent="0.3">
      <c r="F101300" s="193"/>
    </row>
    <row r="101301" spans="6:6" x14ac:dyDescent="0.3">
      <c r="F101301" s="193"/>
    </row>
    <row r="101302" spans="6:6" x14ac:dyDescent="0.3">
      <c r="F101302" s="193"/>
    </row>
    <row r="101303" spans="6:6" x14ac:dyDescent="0.3">
      <c r="F101303" s="193"/>
    </row>
    <row r="101304" spans="6:6" x14ac:dyDescent="0.3">
      <c r="F101304" s="193"/>
    </row>
    <row r="101305" spans="6:6" x14ac:dyDescent="0.3">
      <c r="F101305" s="193"/>
    </row>
    <row r="101306" spans="6:6" x14ac:dyDescent="0.3">
      <c r="F101306" s="193"/>
    </row>
    <row r="101307" spans="6:6" x14ac:dyDescent="0.3">
      <c r="F101307" s="193"/>
    </row>
    <row r="101308" spans="6:6" x14ac:dyDescent="0.3">
      <c r="F101308" s="193"/>
    </row>
    <row r="101309" spans="6:6" x14ac:dyDescent="0.3">
      <c r="F101309" s="193"/>
    </row>
    <row r="101310" spans="6:6" x14ac:dyDescent="0.3">
      <c r="F101310" s="193"/>
    </row>
    <row r="101311" spans="6:6" x14ac:dyDescent="0.3">
      <c r="F101311" s="193"/>
    </row>
    <row r="101312" spans="6:6" x14ac:dyDescent="0.3">
      <c r="F101312" s="193"/>
    </row>
    <row r="101313" spans="6:6" x14ac:dyDescent="0.3">
      <c r="F101313" s="193"/>
    </row>
    <row r="101314" spans="6:6" x14ac:dyDescent="0.3">
      <c r="F101314" s="193"/>
    </row>
    <row r="101315" spans="6:6" x14ac:dyDescent="0.3">
      <c r="F101315" s="193"/>
    </row>
    <row r="101316" spans="6:6" x14ac:dyDescent="0.3">
      <c r="F101316" s="193"/>
    </row>
    <row r="101317" spans="6:6" x14ac:dyDescent="0.3">
      <c r="F101317" s="193"/>
    </row>
    <row r="101318" spans="6:6" x14ac:dyDescent="0.3">
      <c r="F101318" s="193"/>
    </row>
    <row r="101319" spans="6:6" x14ac:dyDescent="0.3">
      <c r="F101319" s="193"/>
    </row>
    <row r="101320" spans="6:6" x14ac:dyDescent="0.3">
      <c r="F101320" s="193"/>
    </row>
    <row r="101321" spans="6:6" x14ac:dyDescent="0.3">
      <c r="F101321" s="193"/>
    </row>
    <row r="101322" spans="6:6" x14ac:dyDescent="0.3">
      <c r="F101322" s="193"/>
    </row>
    <row r="101323" spans="6:6" x14ac:dyDescent="0.3">
      <c r="F101323" s="193"/>
    </row>
    <row r="101324" spans="6:6" x14ac:dyDescent="0.3">
      <c r="F101324" s="193"/>
    </row>
    <row r="101325" spans="6:6" x14ac:dyDescent="0.3">
      <c r="F101325" s="193"/>
    </row>
    <row r="101326" spans="6:6" x14ac:dyDescent="0.3">
      <c r="F101326" s="193"/>
    </row>
    <row r="101327" spans="6:6" x14ac:dyDescent="0.3">
      <c r="F101327" s="193"/>
    </row>
    <row r="101328" spans="6:6" x14ac:dyDescent="0.3">
      <c r="F101328" s="193"/>
    </row>
    <row r="101329" spans="6:6" x14ac:dyDescent="0.3">
      <c r="F101329" s="193"/>
    </row>
    <row r="101330" spans="6:6" x14ac:dyDescent="0.3">
      <c r="F101330" s="193"/>
    </row>
    <row r="101331" spans="6:6" x14ac:dyDescent="0.3">
      <c r="F101331" s="193"/>
    </row>
    <row r="101332" spans="6:6" x14ac:dyDescent="0.3">
      <c r="F101332" s="193"/>
    </row>
    <row r="101333" spans="6:6" x14ac:dyDescent="0.3">
      <c r="F101333" s="193"/>
    </row>
    <row r="101334" spans="6:6" x14ac:dyDescent="0.3">
      <c r="F101334" s="193"/>
    </row>
    <row r="101335" spans="6:6" x14ac:dyDescent="0.3">
      <c r="F101335" s="193"/>
    </row>
    <row r="101336" spans="6:6" x14ac:dyDescent="0.3">
      <c r="F101336" s="193"/>
    </row>
    <row r="101337" spans="6:6" x14ac:dyDescent="0.3">
      <c r="F101337" s="193"/>
    </row>
    <row r="101338" spans="6:6" x14ac:dyDescent="0.3">
      <c r="F101338" s="193"/>
    </row>
    <row r="101339" spans="6:6" x14ac:dyDescent="0.3">
      <c r="F101339" s="193"/>
    </row>
    <row r="101340" spans="6:6" x14ac:dyDescent="0.3">
      <c r="F101340" s="193"/>
    </row>
    <row r="101341" spans="6:6" x14ac:dyDescent="0.3">
      <c r="F101341" s="193"/>
    </row>
    <row r="101342" spans="6:6" x14ac:dyDescent="0.3">
      <c r="F101342" s="193"/>
    </row>
    <row r="101343" spans="6:6" x14ac:dyDescent="0.3">
      <c r="F101343" s="193"/>
    </row>
    <row r="101344" spans="6:6" x14ac:dyDescent="0.3">
      <c r="F101344" s="193"/>
    </row>
    <row r="101345" spans="6:6" x14ac:dyDescent="0.3">
      <c r="F101345" s="193"/>
    </row>
    <row r="101346" spans="6:6" x14ac:dyDescent="0.3">
      <c r="F101346" s="193"/>
    </row>
    <row r="101347" spans="6:6" x14ac:dyDescent="0.3">
      <c r="F101347" s="193"/>
    </row>
    <row r="101348" spans="6:6" x14ac:dyDescent="0.3">
      <c r="F101348" s="193"/>
    </row>
    <row r="101349" spans="6:6" x14ac:dyDescent="0.3">
      <c r="F101349" s="193"/>
    </row>
    <row r="101350" spans="6:6" x14ac:dyDescent="0.3">
      <c r="F101350" s="193"/>
    </row>
    <row r="101351" spans="6:6" x14ac:dyDescent="0.3">
      <c r="F101351" s="193"/>
    </row>
    <row r="101352" spans="6:6" x14ac:dyDescent="0.3">
      <c r="F101352" s="193"/>
    </row>
    <row r="101353" spans="6:6" x14ac:dyDescent="0.3">
      <c r="F101353" s="193"/>
    </row>
    <row r="101354" spans="6:6" x14ac:dyDescent="0.3">
      <c r="F101354" s="193"/>
    </row>
    <row r="101355" spans="6:6" x14ac:dyDescent="0.3">
      <c r="F101355" s="193"/>
    </row>
    <row r="101356" spans="6:6" x14ac:dyDescent="0.3">
      <c r="F101356" s="193"/>
    </row>
    <row r="101357" spans="6:6" x14ac:dyDescent="0.3">
      <c r="F101357" s="193"/>
    </row>
    <row r="101358" spans="6:6" x14ac:dyDescent="0.3">
      <c r="F101358" s="193"/>
    </row>
    <row r="101359" spans="6:6" x14ac:dyDescent="0.3">
      <c r="F101359" s="193"/>
    </row>
    <row r="101360" spans="6:6" x14ac:dyDescent="0.3">
      <c r="F101360" s="193"/>
    </row>
    <row r="101361" spans="6:6" x14ac:dyDescent="0.3">
      <c r="F101361" s="193"/>
    </row>
    <row r="101362" spans="6:6" x14ac:dyDescent="0.3">
      <c r="F101362" s="193"/>
    </row>
    <row r="101363" spans="6:6" x14ac:dyDescent="0.3">
      <c r="F101363" s="193"/>
    </row>
    <row r="101364" spans="6:6" x14ac:dyDescent="0.3">
      <c r="F101364" s="193"/>
    </row>
    <row r="101365" spans="6:6" x14ac:dyDescent="0.3">
      <c r="F101365" s="193"/>
    </row>
    <row r="101366" spans="6:6" x14ac:dyDescent="0.3">
      <c r="F101366" s="193"/>
    </row>
    <row r="101367" spans="6:6" x14ac:dyDescent="0.3">
      <c r="F101367" s="193"/>
    </row>
    <row r="101368" spans="6:6" x14ac:dyDescent="0.3">
      <c r="F101368" s="193"/>
    </row>
    <row r="101369" spans="6:6" x14ac:dyDescent="0.3">
      <c r="F101369" s="193"/>
    </row>
    <row r="101370" spans="6:6" x14ac:dyDescent="0.3">
      <c r="F101370" s="193"/>
    </row>
    <row r="101371" spans="6:6" x14ac:dyDescent="0.3">
      <c r="F101371" s="193"/>
    </row>
    <row r="101372" spans="6:6" x14ac:dyDescent="0.3">
      <c r="F101372" s="193"/>
    </row>
    <row r="101373" spans="6:6" x14ac:dyDescent="0.3">
      <c r="F101373" s="193"/>
    </row>
    <row r="101374" spans="6:6" x14ac:dyDescent="0.3">
      <c r="F101374" s="193"/>
    </row>
    <row r="101375" spans="6:6" x14ac:dyDescent="0.3">
      <c r="F101375" s="193"/>
    </row>
    <row r="101376" spans="6:6" x14ac:dyDescent="0.3">
      <c r="F101376" s="193"/>
    </row>
    <row r="101377" spans="6:6" x14ac:dyDescent="0.3">
      <c r="F101377" s="193"/>
    </row>
    <row r="101378" spans="6:6" x14ac:dyDescent="0.3">
      <c r="F101378" s="193"/>
    </row>
    <row r="101379" spans="6:6" x14ac:dyDescent="0.3">
      <c r="F101379" s="193"/>
    </row>
    <row r="101380" spans="6:6" x14ac:dyDescent="0.3">
      <c r="F101380" s="193"/>
    </row>
    <row r="101381" spans="6:6" x14ac:dyDescent="0.3">
      <c r="F101381" s="193"/>
    </row>
    <row r="101382" spans="6:6" x14ac:dyDescent="0.3">
      <c r="F101382" s="193"/>
    </row>
    <row r="101383" spans="6:6" x14ac:dyDescent="0.3">
      <c r="F101383" s="193"/>
    </row>
    <row r="101384" spans="6:6" x14ac:dyDescent="0.3">
      <c r="F101384" s="193"/>
    </row>
    <row r="101385" spans="6:6" x14ac:dyDescent="0.3">
      <c r="F101385" s="193"/>
    </row>
    <row r="101386" spans="6:6" x14ac:dyDescent="0.3">
      <c r="F101386" s="193"/>
    </row>
    <row r="101387" spans="6:6" x14ac:dyDescent="0.3">
      <c r="F101387" s="193"/>
    </row>
    <row r="101388" spans="6:6" x14ac:dyDescent="0.3">
      <c r="F101388" s="193"/>
    </row>
    <row r="101389" spans="6:6" x14ac:dyDescent="0.3">
      <c r="F101389" s="193"/>
    </row>
    <row r="101390" spans="6:6" x14ac:dyDescent="0.3">
      <c r="F101390" s="193"/>
    </row>
    <row r="101391" spans="6:6" x14ac:dyDescent="0.3">
      <c r="F101391" s="193"/>
    </row>
    <row r="101392" spans="6:6" x14ac:dyDescent="0.3">
      <c r="F101392" s="193"/>
    </row>
    <row r="101393" spans="6:6" x14ac:dyDescent="0.3">
      <c r="F101393" s="193"/>
    </row>
    <row r="101394" spans="6:6" x14ac:dyDescent="0.3">
      <c r="F101394" s="193"/>
    </row>
    <row r="101395" spans="6:6" x14ac:dyDescent="0.3">
      <c r="F101395" s="193"/>
    </row>
    <row r="101396" spans="6:6" x14ac:dyDescent="0.3">
      <c r="F101396" s="193"/>
    </row>
    <row r="101397" spans="6:6" x14ac:dyDescent="0.3">
      <c r="F101397" s="193"/>
    </row>
    <row r="101398" spans="6:6" x14ac:dyDescent="0.3">
      <c r="F101398" s="193"/>
    </row>
    <row r="101399" spans="6:6" x14ac:dyDescent="0.3">
      <c r="F101399" s="193"/>
    </row>
    <row r="101400" spans="6:6" x14ac:dyDescent="0.3">
      <c r="F101400" s="193"/>
    </row>
    <row r="101401" spans="6:6" x14ac:dyDescent="0.3">
      <c r="F101401" s="193"/>
    </row>
    <row r="101402" spans="6:6" x14ac:dyDescent="0.3">
      <c r="F101402" s="193"/>
    </row>
    <row r="101403" spans="6:6" x14ac:dyDescent="0.3">
      <c r="F101403" s="193"/>
    </row>
    <row r="101404" spans="6:6" x14ac:dyDescent="0.3">
      <c r="F101404" s="193"/>
    </row>
    <row r="101405" spans="6:6" x14ac:dyDescent="0.3">
      <c r="F101405" s="193"/>
    </row>
    <row r="101406" spans="6:6" x14ac:dyDescent="0.3">
      <c r="F101406" s="193"/>
    </row>
    <row r="101407" spans="6:6" x14ac:dyDescent="0.3">
      <c r="F101407" s="193"/>
    </row>
    <row r="101408" spans="6:6" x14ac:dyDescent="0.3">
      <c r="F101408" s="193"/>
    </row>
    <row r="101409" spans="6:6" x14ac:dyDescent="0.3">
      <c r="F101409" s="193"/>
    </row>
    <row r="101410" spans="6:6" x14ac:dyDescent="0.3">
      <c r="F101410" s="193"/>
    </row>
    <row r="101411" spans="6:6" x14ac:dyDescent="0.3">
      <c r="F101411" s="193"/>
    </row>
    <row r="101412" spans="6:6" x14ac:dyDescent="0.3">
      <c r="F101412" s="193"/>
    </row>
    <row r="101413" spans="6:6" x14ac:dyDescent="0.3">
      <c r="F101413" s="193"/>
    </row>
    <row r="101414" spans="6:6" x14ac:dyDescent="0.3">
      <c r="F101414" s="193"/>
    </row>
    <row r="101415" spans="6:6" x14ac:dyDescent="0.3">
      <c r="F101415" s="193"/>
    </row>
    <row r="101416" spans="6:6" x14ac:dyDescent="0.3">
      <c r="F101416" s="193"/>
    </row>
    <row r="101417" spans="6:6" x14ac:dyDescent="0.3">
      <c r="F101417" s="193"/>
    </row>
    <row r="101418" spans="6:6" x14ac:dyDescent="0.3">
      <c r="F101418" s="193"/>
    </row>
    <row r="101419" spans="6:6" x14ac:dyDescent="0.3">
      <c r="F101419" s="193"/>
    </row>
    <row r="101420" spans="6:6" x14ac:dyDescent="0.3">
      <c r="F101420" s="193"/>
    </row>
    <row r="101421" spans="6:6" x14ac:dyDescent="0.3">
      <c r="F101421" s="193"/>
    </row>
    <row r="101422" spans="6:6" x14ac:dyDescent="0.3">
      <c r="F101422" s="193"/>
    </row>
    <row r="101423" spans="6:6" x14ac:dyDescent="0.3">
      <c r="F101423" s="193"/>
    </row>
    <row r="101424" spans="6:6" x14ac:dyDescent="0.3">
      <c r="F101424" s="193"/>
    </row>
    <row r="101425" spans="6:6" x14ac:dyDescent="0.3">
      <c r="F101425" s="193"/>
    </row>
    <row r="101426" spans="6:6" x14ac:dyDescent="0.3">
      <c r="F101426" s="193"/>
    </row>
    <row r="101427" spans="6:6" x14ac:dyDescent="0.3">
      <c r="F101427" s="193"/>
    </row>
    <row r="101428" spans="6:6" x14ac:dyDescent="0.3">
      <c r="F101428" s="193"/>
    </row>
    <row r="101429" spans="6:6" x14ac:dyDescent="0.3">
      <c r="F101429" s="193"/>
    </row>
    <row r="101430" spans="6:6" x14ac:dyDescent="0.3">
      <c r="F101430" s="193"/>
    </row>
    <row r="101431" spans="6:6" x14ac:dyDescent="0.3">
      <c r="F101431" s="193"/>
    </row>
    <row r="101432" spans="6:6" x14ac:dyDescent="0.3">
      <c r="F101432" s="193"/>
    </row>
    <row r="101433" spans="6:6" x14ac:dyDescent="0.3">
      <c r="F101433" s="193"/>
    </row>
    <row r="101434" spans="6:6" x14ac:dyDescent="0.3">
      <c r="F101434" s="193"/>
    </row>
    <row r="101435" spans="6:6" x14ac:dyDescent="0.3">
      <c r="F101435" s="193"/>
    </row>
    <row r="101436" spans="6:6" x14ac:dyDescent="0.3">
      <c r="F101436" s="193"/>
    </row>
    <row r="101437" spans="6:6" x14ac:dyDescent="0.3">
      <c r="F101437" s="193"/>
    </row>
    <row r="101438" spans="6:6" x14ac:dyDescent="0.3">
      <c r="F101438" s="193"/>
    </row>
    <row r="101439" spans="6:6" x14ac:dyDescent="0.3">
      <c r="F101439" s="193"/>
    </row>
    <row r="101440" spans="6:6" x14ac:dyDescent="0.3">
      <c r="F101440" s="193"/>
    </row>
    <row r="101441" spans="6:6" x14ac:dyDescent="0.3">
      <c r="F101441" s="193"/>
    </row>
    <row r="101442" spans="6:6" x14ac:dyDescent="0.3">
      <c r="F101442" s="193"/>
    </row>
    <row r="101443" spans="6:6" x14ac:dyDescent="0.3">
      <c r="F101443" s="193"/>
    </row>
    <row r="101444" spans="6:6" x14ac:dyDescent="0.3">
      <c r="F101444" s="193"/>
    </row>
    <row r="101445" spans="6:6" x14ac:dyDescent="0.3">
      <c r="F101445" s="193"/>
    </row>
    <row r="101446" spans="6:6" x14ac:dyDescent="0.3">
      <c r="F101446" s="193"/>
    </row>
    <row r="101447" spans="6:6" x14ac:dyDescent="0.3">
      <c r="F101447" s="193"/>
    </row>
    <row r="101448" spans="6:6" x14ac:dyDescent="0.3">
      <c r="F101448" s="193"/>
    </row>
    <row r="101449" spans="6:6" x14ac:dyDescent="0.3">
      <c r="F101449" s="193"/>
    </row>
    <row r="101450" spans="6:6" x14ac:dyDescent="0.3">
      <c r="F101450" s="193"/>
    </row>
    <row r="101451" spans="6:6" x14ac:dyDescent="0.3">
      <c r="F101451" s="193"/>
    </row>
    <row r="101452" spans="6:6" x14ac:dyDescent="0.3">
      <c r="F101452" s="193"/>
    </row>
    <row r="101453" spans="6:6" x14ac:dyDescent="0.3">
      <c r="F101453" s="193"/>
    </row>
    <row r="101454" spans="6:6" x14ac:dyDescent="0.3">
      <c r="F101454" s="193"/>
    </row>
    <row r="101455" spans="6:6" x14ac:dyDescent="0.3">
      <c r="F101455" s="193"/>
    </row>
    <row r="101456" spans="6:6" x14ac:dyDescent="0.3">
      <c r="F101456" s="193"/>
    </row>
    <row r="101457" spans="6:6" x14ac:dyDescent="0.3">
      <c r="F101457" s="193"/>
    </row>
    <row r="101458" spans="6:6" x14ac:dyDescent="0.3">
      <c r="F101458" s="193"/>
    </row>
    <row r="101459" spans="6:6" x14ac:dyDescent="0.3">
      <c r="F101459" s="193"/>
    </row>
    <row r="101460" spans="6:6" x14ac:dyDescent="0.3">
      <c r="F101460" s="193"/>
    </row>
    <row r="101461" spans="6:6" x14ac:dyDescent="0.3">
      <c r="F101461" s="193"/>
    </row>
    <row r="101462" spans="6:6" x14ac:dyDescent="0.3">
      <c r="F101462" s="193"/>
    </row>
    <row r="101463" spans="6:6" x14ac:dyDescent="0.3">
      <c r="F101463" s="193"/>
    </row>
    <row r="101464" spans="6:6" x14ac:dyDescent="0.3">
      <c r="F101464" s="193"/>
    </row>
    <row r="101465" spans="6:6" x14ac:dyDescent="0.3">
      <c r="F101465" s="193"/>
    </row>
    <row r="101466" spans="6:6" x14ac:dyDescent="0.3">
      <c r="F101466" s="193"/>
    </row>
    <row r="101467" spans="6:6" x14ac:dyDescent="0.3">
      <c r="F101467" s="193"/>
    </row>
    <row r="101468" spans="6:6" x14ac:dyDescent="0.3">
      <c r="F101468" s="193"/>
    </row>
    <row r="101469" spans="6:6" x14ac:dyDescent="0.3">
      <c r="F101469" s="193"/>
    </row>
    <row r="101470" spans="6:6" x14ac:dyDescent="0.3">
      <c r="F101470" s="193"/>
    </row>
    <row r="101471" spans="6:6" x14ac:dyDescent="0.3">
      <c r="F101471" s="193"/>
    </row>
    <row r="101472" spans="6:6" x14ac:dyDescent="0.3">
      <c r="F101472" s="193"/>
    </row>
    <row r="101473" spans="6:6" x14ac:dyDescent="0.3">
      <c r="F101473" s="193"/>
    </row>
    <row r="101474" spans="6:6" x14ac:dyDescent="0.3">
      <c r="F101474" s="193"/>
    </row>
    <row r="101475" spans="6:6" x14ac:dyDescent="0.3">
      <c r="F101475" s="193"/>
    </row>
    <row r="101476" spans="6:6" x14ac:dyDescent="0.3">
      <c r="F101476" s="193"/>
    </row>
    <row r="101477" spans="6:6" x14ac:dyDescent="0.3">
      <c r="F101477" s="193"/>
    </row>
    <row r="101478" spans="6:6" x14ac:dyDescent="0.3">
      <c r="F101478" s="193"/>
    </row>
    <row r="101479" spans="6:6" x14ac:dyDescent="0.3">
      <c r="F101479" s="193"/>
    </row>
    <row r="101480" spans="6:6" x14ac:dyDescent="0.3">
      <c r="F101480" s="193"/>
    </row>
    <row r="101481" spans="6:6" x14ac:dyDescent="0.3">
      <c r="F101481" s="193"/>
    </row>
    <row r="101482" spans="6:6" x14ac:dyDescent="0.3">
      <c r="F101482" s="193"/>
    </row>
    <row r="101483" spans="6:6" x14ac:dyDescent="0.3">
      <c r="F101483" s="193"/>
    </row>
    <row r="101484" spans="6:6" x14ac:dyDescent="0.3">
      <c r="F101484" s="193"/>
    </row>
    <row r="101485" spans="6:6" x14ac:dyDescent="0.3">
      <c r="F101485" s="193"/>
    </row>
    <row r="101486" spans="6:6" x14ac:dyDescent="0.3">
      <c r="F101486" s="193"/>
    </row>
    <row r="101487" spans="6:6" x14ac:dyDescent="0.3">
      <c r="F101487" s="193"/>
    </row>
    <row r="101488" spans="6:6" x14ac:dyDescent="0.3">
      <c r="F101488" s="193"/>
    </row>
    <row r="101489" spans="6:6" x14ac:dyDescent="0.3">
      <c r="F101489" s="193"/>
    </row>
    <row r="101490" spans="6:6" x14ac:dyDescent="0.3">
      <c r="F101490" s="193"/>
    </row>
    <row r="101491" spans="6:6" x14ac:dyDescent="0.3">
      <c r="F101491" s="193"/>
    </row>
    <row r="101492" spans="6:6" x14ac:dyDescent="0.3">
      <c r="F101492" s="193"/>
    </row>
    <row r="101493" spans="6:6" x14ac:dyDescent="0.3">
      <c r="F101493" s="193"/>
    </row>
    <row r="101494" spans="6:6" x14ac:dyDescent="0.3">
      <c r="F101494" s="193"/>
    </row>
    <row r="101495" spans="6:6" x14ac:dyDescent="0.3">
      <c r="F101495" s="193"/>
    </row>
    <row r="101496" spans="6:6" x14ac:dyDescent="0.3">
      <c r="F101496" s="193"/>
    </row>
    <row r="101497" spans="6:6" x14ac:dyDescent="0.3">
      <c r="F101497" s="193"/>
    </row>
    <row r="101498" spans="6:6" x14ac:dyDescent="0.3">
      <c r="F101498" s="193"/>
    </row>
    <row r="101499" spans="6:6" x14ac:dyDescent="0.3">
      <c r="F101499" s="193"/>
    </row>
    <row r="101500" spans="6:6" x14ac:dyDescent="0.3">
      <c r="F101500" s="193"/>
    </row>
    <row r="101501" spans="6:6" x14ac:dyDescent="0.3">
      <c r="F101501" s="193"/>
    </row>
    <row r="101502" spans="6:6" x14ac:dyDescent="0.3">
      <c r="F101502" s="193"/>
    </row>
    <row r="101503" spans="6:6" x14ac:dyDescent="0.3">
      <c r="F101503" s="193"/>
    </row>
    <row r="101504" spans="6:6" x14ac:dyDescent="0.3">
      <c r="F101504" s="193"/>
    </row>
    <row r="101505" spans="6:6" x14ac:dyDescent="0.3">
      <c r="F101505" s="193"/>
    </row>
    <row r="101506" spans="6:6" x14ac:dyDescent="0.3">
      <c r="F101506" s="193"/>
    </row>
    <row r="101507" spans="6:6" x14ac:dyDescent="0.3">
      <c r="F101507" s="193"/>
    </row>
    <row r="101508" spans="6:6" x14ac:dyDescent="0.3">
      <c r="F101508" s="193"/>
    </row>
    <row r="101509" spans="6:6" x14ac:dyDescent="0.3">
      <c r="F101509" s="193"/>
    </row>
    <row r="101510" spans="6:6" x14ac:dyDescent="0.3">
      <c r="F101510" s="193"/>
    </row>
    <row r="101511" spans="6:6" x14ac:dyDescent="0.3">
      <c r="F101511" s="193"/>
    </row>
    <row r="101512" spans="6:6" x14ac:dyDescent="0.3">
      <c r="F101512" s="193"/>
    </row>
    <row r="101513" spans="6:6" x14ac:dyDescent="0.3">
      <c r="F101513" s="193"/>
    </row>
    <row r="101514" spans="6:6" x14ac:dyDescent="0.3">
      <c r="F101514" s="193"/>
    </row>
    <row r="101515" spans="6:6" x14ac:dyDescent="0.3">
      <c r="F101515" s="193"/>
    </row>
    <row r="101516" spans="6:6" x14ac:dyDescent="0.3">
      <c r="F101516" s="193"/>
    </row>
    <row r="101517" spans="6:6" x14ac:dyDescent="0.3">
      <c r="F101517" s="193"/>
    </row>
    <row r="101518" spans="6:6" x14ac:dyDescent="0.3">
      <c r="F101518" s="193"/>
    </row>
    <row r="101519" spans="6:6" x14ac:dyDescent="0.3">
      <c r="F101519" s="193"/>
    </row>
    <row r="101520" spans="6:6" x14ac:dyDescent="0.3">
      <c r="F101520" s="193"/>
    </row>
    <row r="101521" spans="6:6" x14ac:dyDescent="0.3">
      <c r="F101521" s="193"/>
    </row>
    <row r="101522" spans="6:6" x14ac:dyDescent="0.3">
      <c r="F101522" s="193"/>
    </row>
    <row r="101523" spans="6:6" x14ac:dyDescent="0.3">
      <c r="F101523" s="193"/>
    </row>
    <row r="101524" spans="6:6" x14ac:dyDescent="0.3">
      <c r="F101524" s="193"/>
    </row>
    <row r="101525" spans="6:6" x14ac:dyDescent="0.3">
      <c r="F101525" s="193"/>
    </row>
    <row r="101526" spans="6:6" x14ac:dyDescent="0.3">
      <c r="F101526" s="193"/>
    </row>
    <row r="101527" spans="6:6" x14ac:dyDescent="0.3">
      <c r="F101527" s="193"/>
    </row>
    <row r="101528" spans="6:6" x14ac:dyDescent="0.3">
      <c r="F101528" s="193"/>
    </row>
    <row r="101529" spans="6:6" x14ac:dyDescent="0.3">
      <c r="F101529" s="193"/>
    </row>
    <row r="101530" spans="6:6" x14ac:dyDescent="0.3">
      <c r="F101530" s="193"/>
    </row>
    <row r="101531" spans="6:6" x14ac:dyDescent="0.3">
      <c r="F101531" s="193"/>
    </row>
    <row r="101532" spans="6:6" x14ac:dyDescent="0.3">
      <c r="F101532" s="193"/>
    </row>
    <row r="101533" spans="6:6" x14ac:dyDescent="0.3">
      <c r="F101533" s="193"/>
    </row>
    <row r="101534" spans="6:6" x14ac:dyDescent="0.3">
      <c r="F101534" s="193"/>
    </row>
    <row r="101535" spans="6:6" x14ac:dyDescent="0.3">
      <c r="F101535" s="193"/>
    </row>
    <row r="101536" spans="6:6" x14ac:dyDescent="0.3">
      <c r="F101536" s="193"/>
    </row>
    <row r="101537" spans="6:6" x14ac:dyDescent="0.3">
      <c r="F101537" s="193"/>
    </row>
    <row r="101538" spans="6:6" x14ac:dyDescent="0.3">
      <c r="F101538" s="193"/>
    </row>
    <row r="101539" spans="6:6" x14ac:dyDescent="0.3">
      <c r="F101539" s="193"/>
    </row>
    <row r="101540" spans="6:6" x14ac:dyDescent="0.3">
      <c r="F101540" s="193"/>
    </row>
    <row r="101541" spans="6:6" x14ac:dyDescent="0.3">
      <c r="F101541" s="193"/>
    </row>
    <row r="101542" spans="6:6" x14ac:dyDescent="0.3">
      <c r="F101542" s="193"/>
    </row>
    <row r="101543" spans="6:6" x14ac:dyDescent="0.3">
      <c r="F101543" s="193"/>
    </row>
    <row r="101544" spans="6:6" x14ac:dyDescent="0.3">
      <c r="F101544" s="193"/>
    </row>
    <row r="101545" spans="6:6" x14ac:dyDescent="0.3">
      <c r="F101545" s="193"/>
    </row>
    <row r="101546" spans="6:6" x14ac:dyDescent="0.3">
      <c r="F101546" s="193"/>
    </row>
    <row r="101547" spans="6:6" x14ac:dyDescent="0.3">
      <c r="F101547" s="193"/>
    </row>
    <row r="101548" spans="6:6" x14ac:dyDescent="0.3">
      <c r="F101548" s="193"/>
    </row>
    <row r="101549" spans="6:6" x14ac:dyDescent="0.3">
      <c r="F101549" s="193"/>
    </row>
    <row r="101550" spans="6:6" x14ac:dyDescent="0.3">
      <c r="F101550" s="193"/>
    </row>
    <row r="101551" spans="6:6" x14ac:dyDescent="0.3">
      <c r="F101551" s="193"/>
    </row>
    <row r="101552" spans="6:6" x14ac:dyDescent="0.3">
      <c r="F101552" s="193"/>
    </row>
    <row r="101553" spans="6:6" x14ac:dyDescent="0.3">
      <c r="F101553" s="193"/>
    </row>
    <row r="101554" spans="6:6" x14ac:dyDescent="0.3">
      <c r="F101554" s="193"/>
    </row>
    <row r="101555" spans="6:6" x14ac:dyDescent="0.3">
      <c r="F101555" s="193"/>
    </row>
    <row r="101556" spans="6:6" x14ac:dyDescent="0.3">
      <c r="F101556" s="193"/>
    </row>
    <row r="101557" spans="6:6" x14ac:dyDescent="0.3">
      <c r="F101557" s="193"/>
    </row>
    <row r="101558" spans="6:6" x14ac:dyDescent="0.3">
      <c r="F101558" s="193"/>
    </row>
    <row r="101559" spans="6:6" x14ac:dyDescent="0.3">
      <c r="F101559" s="193"/>
    </row>
    <row r="101560" spans="6:6" x14ac:dyDescent="0.3">
      <c r="F101560" s="193"/>
    </row>
    <row r="101561" spans="6:6" x14ac:dyDescent="0.3">
      <c r="F101561" s="193"/>
    </row>
    <row r="101562" spans="6:6" x14ac:dyDescent="0.3">
      <c r="F101562" s="193"/>
    </row>
    <row r="101563" spans="6:6" x14ac:dyDescent="0.3">
      <c r="F101563" s="193"/>
    </row>
    <row r="101564" spans="6:6" x14ac:dyDescent="0.3">
      <c r="F101564" s="193"/>
    </row>
    <row r="101565" spans="6:6" x14ac:dyDescent="0.3">
      <c r="F101565" s="193"/>
    </row>
    <row r="101566" spans="6:6" x14ac:dyDescent="0.3">
      <c r="F101566" s="193"/>
    </row>
    <row r="101567" spans="6:6" x14ac:dyDescent="0.3">
      <c r="F101567" s="193"/>
    </row>
    <row r="101568" spans="6:6" x14ac:dyDescent="0.3">
      <c r="F101568" s="193"/>
    </row>
    <row r="101569" spans="6:6" x14ac:dyDescent="0.3">
      <c r="F101569" s="193"/>
    </row>
    <row r="101570" spans="6:6" x14ac:dyDescent="0.3">
      <c r="F101570" s="193"/>
    </row>
    <row r="101571" spans="6:6" x14ac:dyDescent="0.3">
      <c r="F101571" s="193"/>
    </row>
    <row r="101572" spans="6:6" x14ac:dyDescent="0.3">
      <c r="F101572" s="193"/>
    </row>
    <row r="101573" spans="6:6" x14ac:dyDescent="0.3">
      <c r="F101573" s="193"/>
    </row>
    <row r="101574" spans="6:6" x14ac:dyDescent="0.3">
      <c r="F101574" s="193"/>
    </row>
    <row r="101575" spans="6:6" x14ac:dyDescent="0.3">
      <c r="F101575" s="193"/>
    </row>
    <row r="101576" spans="6:6" x14ac:dyDescent="0.3">
      <c r="F101576" s="193"/>
    </row>
    <row r="101577" spans="6:6" x14ac:dyDescent="0.3">
      <c r="F101577" s="193"/>
    </row>
    <row r="101578" spans="6:6" x14ac:dyDescent="0.3">
      <c r="F101578" s="193"/>
    </row>
    <row r="101579" spans="6:6" x14ac:dyDescent="0.3">
      <c r="F101579" s="193"/>
    </row>
    <row r="101580" spans="6:6" x14ac:dyDescent="0.3">
      <c r="F101580" s="193"/>
    </row>
    <row r="101581" spans="6:6" x14ac:dyDescent="0.3">
      <c r="F101581" s="193"/>
    </row>
    <row r="101582" spans="6:6" x14ac:dyDescent="0.3">
      <c r="F101582" s="193"/>
    </row>
    <row r="101583" spans="6:6" x14ac:dyDescent="0.3">
      <c r="F101583" s="193"/>
    </row>
    <row r="101584" spans="6:6" x14ac:dyDescent="0.3">
      <c r="F101584" s="193"/>
    </row>
    <row r="101585" spans="6:6" x14ac:dyDescent="0.3">
      <c r="F101585" s="193"/>
    </row>
    <row r="101586" spans="6:6" x14ac:dyDescent="0.3">
      <c r="F101586" s="193"/>
    </row>
    <row r="101587" spans="6:6" x14ac:dyDescent="0.3">
      <c r="F101587" s="193"/>
    </row>
    <row r="101588" spans="6:6" x14ac:dyDescent="0.3">
      <c r="F101588" s="193"/>
    </row>
    <row r="101589" spans="6:6" x14ac:dyDescent="0.3">
      <c r="F101589" s="193"/>
    </row>
    <row r="101590" spans="6:6" x14ac:dyDescent="0.3">
      <c r="F101590" s="193"/>
    </row>
    <row r="101591" spans="6:6" x14ac:dyDescent="0.3">
      <c r="F101591" s="193"/>
    </row>
    <row r="101592" spans="6:6" x14ac:dyDescent="0.3">
      <c r="F101592" s="193"/>
    </row>
    <row r="101593" spans="6:6" x14ac:dyDescent="0.3">
      <c r="F101593" s="193"/>
    </row>
    <row r="101594" spans="6:6" x14ac:dyDescent="0.3">
      <c r="F101594" s="193"/>
    </row>
    <row r="101595" spans="6:6" x14ac:dyDescent="0.3">
      <c r="F101595" s="193"/>
    </row>
    <row r="101596" spans="6:6" x14ac:dyDescent="0.3">
      <c r="F101596" s="193"/>
    </row>
    <row r="101597" spans="6:6" x14ac:dyDescent="0.3">
      <c r="F101597" s="193"/>
    </row>
    <row r="101598" spans="6:6" x14ac:dyDescent="0.3">
      <c r="F101598" s="193"/>
    </row>
    <row r="101599" spans="6:6" x14ac:dyDescent="0.3">
      <c r="F101599" s="193"/>
    </row>
    <row r="101600" spans="6:6" x14ac:dyDescent="0.3">
      <c r="F101600" s="193"/>
    </row>
    <row r="101601" spans="6:6" x14ac:dyDescent="0.3">
      <c r="F101601" s="193"/>
    </row>
    <row r="101602" spans="6:6" x14ac:dyDescent="0.3">
      <c r="F101602" s="193"/>
    </row>
    <row r="101603" spans="6:6" x14ac:dyDescent="0.3">
      <c r="F101603" s="193"/>
    </row>
    <row r="101604" spans="6:6" x14ac:dyDescent="0.3">
      <c r="F101604" s="193"/>
    </row>
    <row r="101605" spans="6:6" x14ac:dyDescent="0.3">
      <c r="F101605" s="193"/>
    </row>
    <row r="101606" spans="6:6" x14ac:dyDescent="0.3">
      <c r="F101606" s="193"/>
    </row>
    <row r="101607" spans="6:6" x14ac:dyDescent="0.3">
      <c r="F101607" s="193"/>
    </row>
    <row r="101608" spans="6:6" x14ac:dyDescent="0.3">
      <c r="F101608" s="193"/>
    </row>
    <row r="101609" spans="6:6" x14ac:dyDescent="0.3">
      <c r="F101609" s="193"/>
    </row>
    <row r="101610" spans="6:6" x14ac:dyDescent="0.3">
      <c r="F101610" s="193"/>
    </row>
    <row r="101611" spans="6:6" x14ac:dyDescent="0.3">
      <c r="F101611" s="193"/>
    </row>
    <row r="101612" spans="6:6" x14ac:dyDescent="0.3">
      <c r="F101612" s="193"/>
    </row>
    <row r="101613" spans="6:6" x14ac:dyDescent="0.3">
      <c r="F101613" s="193"/>
    </row>
    <row r="101614" spans="6:6" x14ac:dyDescent="0.3">
      <c r="F101614" s="193"/>
    </row>
    <row r="101615" spans="6:6" x14ac:dyDescent="0.3">
      <c r="F101615" s="193"/>
    </row>
    <row r="101616" spans="6:6" x14ac:dyDescent="0.3">
      <c r="F101616" s="193"/>
    </row>
    <row r="101617" spans="6:6" x14ac:dyDescent="0.3">
      <c r="F101617" s="193"/>
    </row>
    <row r="101618" spans="6:6" x14ac:dyDescent="0.3">
      <c r="F101618" s="193"/>
    </row>
    <row r="101619" spans="6:6" x14ac:dyDescent="0.3">
      <c r="F101619" s="193"/>
    </row>
    <row r="101620" spans="6:6" x14ac:dyDescent="0.3">
      <c r="F101620" s="193"/>
    </row>
    <row r="101621" spans="6:6" x14ac:dyDescent="0.3">
      <c r="F101621" s="193"/>
    </row>
    <row r="101622" spans="6:6" x14ac:dyDescent="0.3">
      <c r="F101622" s="193"/>
    </row>
    <row r="101623" spans="6:6" x14ac:dyDescent="0.3">
      <c r="F101623" s="193"/>
    </row>
    <row r="101624" spans="6:6" x14ac:dyDescent="0.3">
      <c r="F101624" s="193"/>
    </row>
    <row r="101625" spans="6:6" x14ac:dyDescent="0.3">
      <c r="F101625" s="193"/>
    </row>
    <row r="101626" spans="6:6" x14ac:dyDescent="0.3">
      <c r="F101626" s="193"/>
    </row>
    <row r="101627" spans="6:6" x14ac:dyDescent="0.3">
      <c r="F101627" s="193"/>
    </row>
    <row r="101628" spans="6:6" x14ac:dyDescent="0.3">
      <c r="F101628" s="193"/>
    </row>
    <row r="101629" spans="6:6" x14ac:dyDescent="0.3">
      <c r="F101629" s="193"/>
    </row>
    <row r="101630" spans="6:6" x14ac:dyDescent="0.3">
      <c r="F101630" s="193"/>
    </row>
    <row r="101631" spans="6:6" x14ac:dyDescent="0.3">
      <c r="F101631" s="193"/>
    </row>
    <row r="101632" spans="6:6" x14ac:dyDescent="0.3">
      <c r="F101632" s="193"/>
    </row>
    <row r="101633" spans="6:6" x14ac:dyDescent="0.3">
      <c r="F101633" s="193"/>
    </row>
    <row r="101634" spans="6:6" x14ac:dyDescent="0.3">
      <c r="F101634" s="193"/>
    </row>
    <row r="101635" spans="6:6" x14ac:dyDescent="0.3">
      <c r="F101635" s="193"/>
    </row>
    <row r="101636" spans="6:6" x14ac:dyDescent="0.3">
      <c r="F101636" s="193"/>
    </row>
    <row r="101637" spans="6:6" x14ac:dyDescent="0.3">
      <c r="F101637" s="193"/>
    </row>
    <row r="101638" spans="6:6" x14ac:dyDescent="0.3">
      <c r="F101638" s="193"/>
    </row>
    <row r="101639" spans="6:6" x14ac:dyDescent="0.3">
      <c r="F101639" s="193"/>
    </row>
    <row r="101640" spans="6:6" x14ac:dyDescent="0.3">
      <c r="F101640" s="193"/>
    </row>
    <row r="101641" spans="6:6" x14ac:dyDescent="0.3">
      <c r="F101641" s="193"/>
    </row>
    <row r="101642" spans="6:6" x14ac:dyDescent="0.3">
      <c r="F101642" s="193"/>
    </row>
    <row r="101643" spans="6:6" x14ac:dyDescent="0.3">
      <c r="F101643" s="193"/>
    </row>
    <row r="101644" spans="6:6" x14ac:dyDescent="0.3">
      <c r="F101644" s="193"/>
    </row>
    <row r="101645" spans="6:6" x14ac:dyDescent="0.3">
      <c r="F101645" s="193"/>
    </row>
    <row r="101646" spans="6:6" x14ac:dyDescent="0.3">
      <c r="F101646" s="193"/>
    </row>
    <row r="101647" spans="6:6" x14ac:dyDescent="0.3">
      <c r="F101647" s="193"/>
    </row>
    <row r="101648" spans="6:6" x14ac:dyDescent="0.3">
      <c r="F101648" s="193"/>
    </row>
    <row r="101649" spans="6:6" x14ac:dyDescent="0.3">
      <c r="F101649" s="193"/>
    </row>
    <row r="101650" spans="6:6" x14ac:dyDescent="0.3">
      <c r="F101650" s="193"/>
    </row>
    <row r="101651" spans="6:6" x14ac:dyDescent="0.3">
      <c r="F101651" s="193"/>
    </row>
    <row r="101652" spans="6:6" x14ac:dyDescent="0.3">
      <c r="F101652" s="193"/>
    </row>
    <row r="101653" spans="6:6" x14ac:dyDescent="0.3">
      <c r="F101653" s="193"/>
    </row>
    <row r="101654" spans="6:6" x14ac:dyDescent="0.3">
      <c r="F101654" s="193"/>
    </row>
    <row r="101655" spans="6:6" x14ac:dyDescent="0.3">
      <c r="F101655" s="193"/>
    </row>
    <row r="101656" spans="6:6" x14ac:dyDescent="0.3">
      <c r="F101656" s="193"/>
    </row>
    <row r="101657" spans="6:6" x14ac:dyDescent="0.3">
      <c r="F101657" s="193"/>
    </row>
    <row r="101658" spans="6:6" x14ac:dyDescent="0.3">
      <c r="F101658" s="193"/>
    </row>
    <row r="101659" spans="6:6" x14ac:dyDescent="0.3">
      <c r="F101659" s="193"/>
    </row>
    <row r="101660" spans="6:6" x14ac:dyDescent="0.3">
      <c r="F101660" s="193"/>
    </row>
    <row r="101661" spans="6:6" x14ac:dyDescent="0.3">
      <c r="F101661" s="193"/>
    </row>
    <row r="101662" spans="6:6" x14ac:dyDescent="0.3">
      <c r="F101662" s="193"/>
    </row>
    <row r="101663" spans="6:6" x14ac:dyDescent="0.3">
      <c r="F101663" s="193"/>
    </row>
    <row r="101664" spans="6:6" x14ac:dyDescent="0.3">
      <c r="F101664" s="193"/>
    </row>
    <row r="101665" spans="6:6" x14ac:dyDescent="0.3">
      <c r="F101665" s="193"/>
    </row>
    <row r="101666" spans="6:6" x14ac:dyDescent="0.3">
      <c r="F101666" s="193"/>
    </row>
    <row r="101667" spans="6:6" x14ac:dyDescent="0.3">
      <c r="F101667" s="193"/>
    </row>
    <row r="101668" spans="6:6" x14ac:dyDescent="0.3">
      <c r="F101668" s="193"/>
    </row>
    <row r="101669" spans="6:6" x14ac:dyDescent="0.3">
      <c r="F101669" s="193"/>
    </row>
    <row r="101670" spans="6:6" x14ac:dyDescent="0.3">
      <c r="F101670" s="193"/>
    </row>
    <row r="101671" spans="6:6" x14ac:dyDescent="0.3">
      <c r="F101671" s="193"/>
    </row>
    <row r="101672" spans="6:6" x14ac:dyDescent="0.3">
      <c r="F101672" s="193"/>
    </row>
    <row r="101673" spans="6:6" x14ac:dyDescent="0.3">
      <c r="F101673" s="193"/>
    </row>
    <row r="101674" spans="6:6" x14ac:dyDescent="0.3">
      <c r="F101674" s="193"/>
    </row>
    <row r="101675" spans="6:6" x14ac:dyDescent="0.3">
      <c r="F101675" s="193"/>
    </row>
    <row r="101676" spans="6:6" x14ac:dyDescent="0.3">
      <c r="F101676" s="193"/>
    </row>
    <row r="101677" spans="6:6" x14ac:dyDescent="0.3">
      <c r="F101677" s="193"/>
    </row>
    <row r="101678" spans="6:6" x14ac:dyDescent="0.3">
      <c r="F101678" s="193"/>
    </row>
    <row r="101679" spans="6:6" x14ac:dyDescent="0.3">
      <c r="F101679" s="193"/>
    </row>
    <row r="101680" spans="6:6" x14ac:dyDescent="0.3">
      <c r="F101680" s="193"/>
    </row>
    <row r="101681" spans="6:6" x14ac:dyDescent="0.3">
      <c r="F101681" s="193"/>
    </row>
    <row r="101682" spans="6:6" x14ac:dyDescent="0.3">
      <c r="F101682" s="193"/>
    </row>
    <row r="101683" spans="6:6" x14ac:dyDescent="0.3">
      <c r="F101683" s="193"/>
    </row>
    <row r="101684" spans="6:6" x14ac:dyDescent="0.3">
      <c r="F101684" s="193"/>
    </row>
    <row r="101685" spans="6:6" x14ac:dyDescent="0.3">
      <c r="F101685" s="193"/>
    </row>
    <row r="101686" spans="6:6" x14ac:dyDescent="0.3">
      <c r="F101686" s="193"/>
    </row>
    <row r="101687" spans="6:6" x14ac:dyDescent="0.3">
      <c r="F101687" s="193"/>
    </row>
    <row r="101688" spans="6:6" x14ac:dyDescent="0.3">
      <c r="F101688" s="193"/>
    </row>
    <row r="101689" spans="6:6" x14ac:dyDescent="0.3">
      <c r="F101689" s="193"/>
    </row>
    <row r="101690" spans="6:6" x14ac:dyDescent="0.3">
      <c r="F101690" s="193"/>
    </row>
    <row r="101691" spans="6:6" x14ac:dyDescent="0.3">
      <c r="F101691" s="193"/>
    </row>
    <row r="101692" spans="6:6" x14ac:dyDescent="0.3">
      <c r="F101692" s="193"/>
    </row>
    <row r="101693" spans="6:6" x14ac:dyDescent="0.3">
      <c r="F101693" s="193"/>
    </row>
    <row r="101694" spans="6:6" x14ac:dyDescent="0.3">
      <c r="F101694" s="193"/>
    </row>
    <row r="101695" spans="6:6" x14ac:dyDescent="0.3">
      <c r="F101695" s="193"/>
    </row>
    <row r="101696" spans="6:6" x14ac:dyDescent="0.3">
      <c r="F101696" s="193"/>
    </row>
    <row r="101697" spans="6:6" x14ac:dyDescent="0.3">
      <c r="F101697" s="193"/>
    </row>
    <row r="101698" spans="6:6" x14ac:dyDescent="0.3">
      <c r="F101698" s="193"/>
    </row>
    <row r="101699" spans="6:6" x14ac:dyDescent="0.3">
      <c r="F101699" s="193"/>
    </row>
    <row r="101700" spans="6:6" x14ac:dyDescent="0.3">
      <c r="F101700" s="193"/>
    </row>
    <row r="101701" spans="6:6" x14ac:dyDescent="0.3">
      <c r="F101701" s="193"/>
    </row>
    <row r="101702" spans="6:6" x14ac:dyDescent="0.3">
      <c r="F101702" s="193"/>
    </row>
    <row r="101703" spans="6:6" x14ac:dyDescent="0.3">
      <c r="F101703" s="193"/>
    </row>
    <row r="101704" spans="6:6" x14ac:dyDescent="0.3">
      <c r="F101704" s="193"/>
    </row>
    <row r="101705" spans="6:6" x14ac:dyDescent="0.3">
      <c r="F101705" s="193"/>
    </row>
    <row r="101706" spans="6:6" x14ac:dyDescent="0.3">
      <c r="F101706" s="193"/>
    </row>
    <row r="101707" spans="6:6" x14ac:dyDescent="0.3">
      <c r="F101707" s="193"/>
    </row>
    <row r="101708" spans="6:6" x14ac:dyDescent="0.3">
      <c r="F101708" s="193"/>
    </row>
    <row r="101709" spans="6:6" x14ac:dyDescent="0.3">
      <c r="F101709" s="193"/>
    </row>
    <row r="101710" spans="6:6" x14ac:dyDescent="0.3">
      <c r="F101710" s="193"/>
    </row>
    <row r="101711" spans="6:6" x14ac:dyDescent="0.3">
      <c r="F101711" s="193"/>
    </row>
    <row r="101712" spans="6:6" x14ac:dyDescent="0.3">
      <c r="F101712" s="193"/>
    </row>
    <row r="101713" spans="6:6" x14ac:dyDescent="0.3">
      <c r="F101713" s="193"/>
    </row>
    <row r="101714" spans="6:6" x14ac:dyDescent="0.3">
      <c r="F101714" s="193"/>
    </row>
    <row r="101715" spans="6:6" x14ac:dyDescent="0.3">
      <c r="F101715" s="193"/>
    </row>
    <row r="101716" spans="6:6" x14ac:dyDescent="0.3">
      <c r="F101716" s="193"/>
    </row>
    <row r="101717" spans="6:6" x14ac:dyDescent="0.3">
      <c r="F101717" s="193"/>
    </row>
    <row r="101718" spans="6:6" x14ac:dyDescent="0.3">
      <c r="F101718" s="193"/>
    </row>
    <row r="101719" spans="6:6" x14ac:dyDescent="0.3">
      <c r="F101719" s="193"/>
    </row>
    <row r="101720" spans="6:6" x14ac:dyDescent="0.3">
      <c r="F101720" s="193"/>
    </row>
    <row r="101721" spans="6:6" x14ac:dyDescent="0.3">
      <c r="F101721" s="193"/>
    </row>
    <row r="101722" spans="6:6" x14ac:dyDescent="0.3">
      <c r="F101722" s="193"/>
    </row>
    <row r="101723" spans="6:6" x14ac:dyDescent="0.3">
      <c r="F101723" s="193"/>
    </row>
    <row r="101724" spans="6:6" x14ac:dyDescent="0.3">
      <c r="F101724" s="193"/>
    </row>
    <row r="101725" spans="6:6" x14ac:dyDescent="0.3">
      <c r="F101725" s="193"/>
    </row>
    <row r="101726" spans="6:6" x14ac:dyDescent="0.3">
      <c r="F101726" s="193"/>
    </row>
    <row r="101727" spans="6:6" x14ac:dyDescent="0.3">
      <c r="F101727" s="193"/>
    </row>
    <row r="101728" spans="6:6" x14ac:dyDescent="0.3">
      <c r="F101728" s="193"/>
    </row>
    <row r="101729" spans="6:6" x14ac:dyDescent="0.3">
      <c r="F101729" s="193"/>
    </row>
    <row r="101730" spans="6:6" x14ac:dyDescent="0.3">
      <c r="F101730" s="193"/>
    </row>
    <row r="101731" spans="6:6" x14ac:dyDescent="0.3">
      <c r="F101731" s="193"/>
    </row>
    <row r="101732" spans="6:6" x14ac:dyDescent="0.3">
      <c r="F101732" s="193"/>
    </row>
    <row r="101733" spans="6:6" x14ac:dyDescent="0.3">
      <c r="F101733" s="193"/>
    </row>
    <row r="101734" spans="6:6" x14ac:dyDescent="0.3">
      <c r="F101734" s="193"/>
    </row>
    <row r="101735" spans="6:6" x14ac:dyDescent="0.3">
      <c r="F101735" s="193"/>
    </row>
    <row r="101736" spans="6:6" x14ac:dyDescent="0.3">
      <c r="F101736" s="193"/>
    </row>
    <row r="101737" spans="6:6" x14ac:dyDescent="0.3">
      <c r="F101737" s="193"/>
    </row>
    <row r="101738" spans="6:6" x14ac:dyDescent="0.3">
      <c r="F101738" s="193"/>
    </row>
    <row r="101739" spans="6:6" x14ac:dyDescent="0.3">
      <c r="F101739" s="193"/>
    </row>
    <row r="101740" spans="6:6" x14ac:dyDescent="0.3">
      <c r="F101740" s="193"/>
    </row>
    <row r="101741" spans="6:6" x14ac:dyDescent="0.3">
      <c r="F101741" s="193"/>
    </row>
    <row r="101742" spans="6:6" x14ac:dyDescent="0.3">
      <c r="F101742" s="193"/>
    </row>
    <row r="101743" spans="6:6" x14ac:dyDescent="0.3">
      <c r="F101743" s="193"/>
    </row>
    <row r="101744" spans="6:6" x14ac:dyDescent="0.3">
      <c r="F101744" s="193"/>
    </row>
    <row r="101745" spans="6:6" x14ac:dyDescent="0.3">
      <c r="F101745" s="193"/>
    </row>
    <row r="101746" spans="6:6" x14ac:dyDescent="0.3">
      <c r="F101746" s="193"/>
    </row>
    <row r="101747" spans="6:6" x14ac:dyDescent="0.3">
      <c r="F101747" s="193"/>
    </row>
    <row r="101748" spans="6:6" x14ac:dyDescent="0.3">
      <c r="F101748" s="193"/>
    </row>
    <row r="101749" spans="6:6" x14ac:dyDescent="0.3">
      <c r="F101749" s="193"/>
    </row>
    <row r="101750" spans="6:6" x14ac:dyDescent="0.3">
      <c r="F101750" s="193"/>
    </row>
    <row r="101751" spans="6:6" x14ac:dyDescent="0.3">
      <c r="F101751" s="193"/>
    </row>
    <row r="101752" spans="6:6" x14ac:dyDescent="0.3">
      <c r="F101752" s="193"/>
    </row>
    <row r="101753" spans="6:6" x14ac:dyDescent="0.3">
      <c r="F101753" s="193"/>
    </row>
    <row r="101754" spans="6:6" x14ac:dyDescent="0.3">
      <c r="F101754" s="193"/>
    </row>
    <row r="101755" spans="6:6" x14ac:dyDescent="0.3">
      <c r="F101755" s="193"/>
    </row>
    <row r="101756" spans="6:6" x14ac:dyDescent="0.3">
      <c r="F101756" s="193"/>
    </row>
    <row r="101757" spans="6:6" x14ac:dyDescent="0.3">
      <c r="F101757" s="193"/>
    </row>
    <row r="101758" spans="6:6" x14ac:dyDescent="0.3">
      <c r="F101758" s="193"/>
    </row>
    <row r="101759" spans="6:6" x14ac:dyDescent="0.3">
      <c r="F101759" s="193"/>
    </row>
    <row r="101760" spans="6:6" x14ac:dyDescent="0.3">
      <c r="F101760" s="193"/>
    </row>
    <row r="101761" spans="6:6" x14ac:dyDescent="0.3">
      <c r="F101761" s="193"/>
    </row>
    <row r="101762" spans="6:6" x14ac:dyDescent="0.3">
      <c r="F101762" s="193"/>
    </row>
    <row r="101763" spans="6:6" x14ac:dyDescent="0.3">
      <c r="F101763" s="193"/>
    </row>
    <row r="101764" spans="6:6" x14ac:dyDescent="0.3">
      <c r="F101764" s="193"/>
    </row>
    <row r="101765" spans="6:6" x14ac:dyDescent="0.3">
      <c r="F101765" s="193"/>
    </row>
    <row r="101766" spans="6:6" x14ac:dyDescent="0.3">
      <c r="F101766" s="193"/>
    </row>
    <row r="101767" spans="6:6" x14ac:dyDescent="0.3">
      <c r="F101767" s="193"/>
    </row>
    <row r="101768" spans="6:6" x14ac:dyDescent="0.3">
      <c r="F101768" s="193"/>
    </row>
    <row r="101769" spans="6:6" x14ac:dyDescent="0.3">
      <c r="F101769" s="193"/>
    </row>
    <row r="101770" spans="6:6" x14ac:dyDescent="0.3">
      <c r="F101770" s="193"/>
    </row>
    <row r="101771" spans="6:6" x14ac:dyDescent="0.3">
      <c r="F101771" s="193"/>
    </row>
    <row r="101772" spans="6:6" x14ac:dyDescent="0.3">
      <c r="F101772" s="193"/>
    </row>
    <row r="101773" spans="6:6" x14ac:dyDescent="0.3">
      <c r="F101773" s="193"/>
    </row>
    <row r="101774" spans="6:6" x14ac:dyDescent="0.3">
      <c r="F101774" s="193"/>
    </row>
    <row r="101775" spans="6:6" x14ac:dyDescent="0.3">
      <c r="F101775" s="193"/>
    </row>
    <row r="101776" spans="6:6" x14ac:dyDescent="0.3">
      <c r="F101776" s="193"/>
    </row>
    <row r="101777" spans="6:6" x14ac:dyDescent="0.3">
      <c r="F101777" s="193"/>
    </row>
    <row r="101778" spans="6:6" x14ac:dyDescent="0.3">
      <c r="F101778" s="193"/>
    </row>
    <row r="101779" spans="6:6" x14ac:dyDescent="0.3">
      <c r="F101779" s="193"/>
    </row>
    <row r="101780" spans="6:6" x14ac:dyDescent="0.3">
      <c r="F101780" s="193"/>
    </row>
    <row r="101781" spans="6:6" x14ac:dyDescent="0.3">
      <c r="F101781" s="193"/>
    </row>
    <row r="101782" spans="6:6" x14ac:dyDescent="0.3">
      <c r="F101782" s="193"/>
    </row>
    <row r="101783" spans="6:6" x14ac:dyDescent="0.3">
      <c r="F101783" s="193"/>
    </row>
    <row r="101784" spans="6:6" x14ac:dyDescent="0.3">
      <c r="F101784" s="193"/>
    </row>
    <row r="101785" spans="6:6" x14ac:dyDescent="0.3">
      <c r="F101785" s="193"/>
    </row>
    <row r="101786" spans="6:6" x14ac:dyDescent="0.3">
      <c r="F101786" s="193"/>
    </row>
    <row r="101787" spans="6:6" x14ac:dyDescent="0.3">
      <c r="F101787" s="193"/>
    </row>
    <row r="101788" spans="6:6" x14ac:dyDescent="0.3">
      <c r="F101788" s="193"/>
    </row>
    <row r="101789" spans="6:6" x14ac:dyDescent="0.3">
      <c r="F101789" s="193"/>
    </row>
    <row r="101790" spans="6:6" x14ac:dyDescent="0.3">
      <c r="F101790" s="193"/>
    </row>
    <row r="101791" spans="6:6" x14ac:dyDescent="0.3">
      <c r="F101791" s="193"/>
    </row>
    <row r="101792" spans="6:6" x14ac:dyDescent="0.3">
      <c r="F101792" s="193"/>
    </row>
    <row r="101793" spans="6:6" x14ac:dyDescent="0.3">
      <c r="F101793" s="193"/>
    </row>
    <row r="101794" spans="6:6" x14ac:dyDescent="0.3">
      <c r="F101794" s="193"/>
    </row>
    <row r="101795" spans="6:6" x14ac:dyDescent="0.3">
      <c r="F101795" s="193"/>
    </row>
    <row r="101796" spans="6:6" x14ac:dyDescent="0.3">
      <c r="F101796" s="193"/>
    </row>
    <row r="101797" spans="6:6" x14ac:dyDescent="0.3">
      <c r="F101797" s="193"/>
    </row>
    <row r="101798" spans="6:6" x14ac:dyDescent="0.3">
      <c r="F101798" s="193"/>
    </row>
    <row r="101799" spans="6:6" x14ac:dyDescent="0.3">
      <c r="F101799" s="193"/>
    </row>
    <row r="101800" spans="6:6" x14ac:dyDescent="0.3">
      <c r="F101800" s="193"/>
    </row>
    <row r="101801" spans="6:6" x14ac:dyDescent="0.3">
      <c r="F101801" s="193"/>
    </row>
    <row r="101802" spans="6:6" x14ac:dyDescent="0.3">
      <c r="F101802" s="193"/>
    </row>
    <row r="101803" spans="6:6" x14ac:dyDescent="0.3">
      <c r="F101803" s="193"/>
    </row>
    <row r="101804" spans="6:6" x14ac:dyDescent="0.3">
      <c r="F101804" s="193"/>
    </row>
    <row r="101805" spans="6:6" x14ac:dyDescent="0.3">
      <c r="F101805" s="193"/>
    </row>
    <row r="101806" spans="6:6" x14ac:dyDescent="0.3">
      <c r="F101806" s="193"/>
    </row>
    <row r="101807" spans="6:6" x14ac:dyDescent="0.3">
      <c r="F101807" s="193"/>
    </row>
    <row r="101808" spans="6:6" x14ac:dyDescent="0.3">
      <c r="F101808" s="193"/>
    </row>
    <row r="101809" spans="6:6" x14ac:dyDescent="0.3">
      <c r="F101809" s="193"/>
    </row>
    <row r="101810" spans="6:6" x14ac:dyDescent="0.3">
      <c r="F101810" s="193"/>
    </row>
    <row r="101811" spans="6:6" x14ac:dyDescent="0.3">
      <c r="F101811" s="193"/>
    </row>
    <row r="101812" spans="6:6" x14ac:dyDescent="0.3">
      <c r="F101812" s="193"/>
    </row>
    <row r="101813" spans="6:6" x14ac:dyDescent="0.3">
      <c r="F101813" s="193"/>
    </row>
    <row r="101814" spans="6:6" x14ac:dyDescent="0.3">
      <c r="F101814" s="193"/>
    </row>
    <row r="101815" spans="6:6" x14ac:dyDescent="0.3">
      <c r="F101815" s="193"/>
    </row>
    <row r="101816" spans="6:6" x14ac:dyDescent="0.3">
      <c r="F101816" s="193"/>
    </row>
    <row r="101817" spans="6:6" x14ac:dyDescent="0.3">
      <c r="F101817" s="193"/>
    </row>
    <row r="101818" spans="6:6" x14ac:dyDescent="0.3">
      <c r="F101818" s="193"/>
    </row>
    <row r="101819" spans="6:6" x14ac:dyDescent="0.3">
      <c r="F101819" s="193"/>
    </row>
    <row r="101820" spans="6:6" x14ac:dyDescent="0.3">
      <c r="F101820" s="193"/>
    </row>
    <row r="101821" spans="6:6" x14ac:dyDescent="0.3">
      <c r="F101821" s="193"/>
    </row>
    <row r="101822" spans="6:6" x14ac:dyDescent="0.3">
      <c r="F101822" s="193"/>
    </row>
    <row r="101823" spans="6:6" x14ac:dyDescent="0.3">
      <c r="F101823" s="193"/>
    </row>
    <row r="101824" spans="6:6" x14ac:dyDescent="0.3">
      <c r="F101824" s="193"/>
    </row>
    <row r="101825" spans="6:6" x14ac:dyDescent="0.3">
      <c r="F101825" s="193"/>
    </row>
    <row r="101826" spans="6:6" x14ac:dyDescent="0.3">
      <c r="F101826" s="193"/>
    </row>
    <row r="101827" spans="6:6" x14ac:dyDescent="0.3">
      <c r="F101827" s="193"/>
    </row>
    <row r="101828" spans="6:6" x14ac:dyDescent="0.3">
      <c r="F101828" s="193"/>
    </row>
    <row r="101829" spans="6:6" x14ac:dyDescent="0.3">
      <c r="F101829" s="193"/>
    </row>
    <row r="101830" spans="6:6" x14ac:dyDescent="0.3">
      <c r="F101830" s="193"/>
    </row>
    <row r="101831" spans="6:6" x14ac:dyDescent="0.3">
      <c r="F101831" s="193"/>
    </row>
    <row r="101832" spans="6:6" x14ac:dyDescent="0.3">
      <c r="F101832" s="193"/>
    </row>
    <row r="101833" spans="6:6" x14ac:dyDescent="0.3">
      <c r="F101833" s="193"/>
    </row>
    <row r="101834" spans="6:6" x14ac:dyDescent="0.3">
      <c r="F101834" s="193"/>
    </row>
    <row r="101835" spans="6:6" x14ac:dyDescent="0.3">
      <c r="F101835" s="193"/>
    </row>
    <row r="101836" spans="6:6" x14ac:dyDescent="0.3">
      <c r="F101836" s="193"/>
    </row>
    <row r="101837" spans="6:6" x14ac:dyDescent="0.3">
      <c r="F101837" s="193"/>
    </row>
    <row r="101838" spans="6:6" x14ac:dyDescent="0.3">
      <c r="F101838" s="193"/>
    </row>
    <row r="101839" spans="6:6" x14ac:dyDescent="0.3">
      <c r="F101839" s="193"/>
    </row>
    <row r="101840" spans="6:6" x14ac:dyDescent="0.3">
      <c r="F101840" s="193"/>
    </row>
    <row r="101841" spans="6:6" x14ac:dyDescent="0.3">
      <c r="F101841" s="193"/>
    </row>
    <row r="101842" spans="6:6" x14ac:dyDescent="0.3">
      <c r="F101842" s="193"/>
    </row>
    <row r="101843" spans="6:6" x14ac:dyDescent="0.3">
      <c r="F101843" s="193"/>
    </row>
    <row r="101844" spans="6:6" x14ac:dyDescent="0.3">
      <c r="F101844" s="193"/>
    </row>
    <row r="101845" spans="6:6" x14ac:dyDescent="0.3">
      <c r="F101845" s="193"/>
    </row>
    <row r="101846" spans="6:6" x14ac:dyDescent="0.3">
      <c r="F101846" s="193"/>
    </row>
    <row r="101847" spans="6:6" x14ac:dyDescent="0.3">
      <c r="F101847" s="193"/>
    </row>
    <row r="101848" spans="6:6" x14ac:dyDescent="0.3">
      <c r="F101848" s="193"/>
    </row>
    <row r="101849" spans="6:6" x14ac:dyDescent="0.3">
      <c r="F101849" s="193"/>
    </row>
    <row r="101850" spans="6:6" x14ac:dyDescent="0.3">
      <c r="F101850" s="193"/>
    </row>
    <row r="101851" spans="6:6" x14ac:dyDescent="0.3">
      <c r="F101851" s="193"/>
    </row>
    <row r="101852" spans="6:6" x14ac:dyDescent="0.3">
      <c r="F101852" s="193"/>
    </row>
    <row r="101853" spans="6:6" x14ac:dyDescent="0.3">
      <c r="F101853" s="193"/>
    </row>
    <row r="101854" spans="6:6" x14ac:dyDescent="0.3">
      <c r="F101854" s="193"/>
    </row>
    <row r="101855" spans="6:6" x14ac:dyDescent="0.3">
      <c r="F101855" s="193"/>
    </row>
    <row r="101856" spans="6:6" x14ac:dyDescent="0.3">
      <c r="F101856" s="193"/>
    </row>
    <row r="101857" spans="6:6" x14ac:dyDescent="0.3">
      <c r="F101857" s="193"/>
    </row>
    <row r="101858" spans="6:6" x14ac:dyDescent="0.3">
      <c r="F101858" s="193"/>
    </row>
    <row r="101859" spans="6:6" x14ac:dyDescent="0.3">
      <c r="F101859" s="193"/>
    </row>
    <row r="101860" spans="6:6" x14ac:dyDescent="0.3">
      <c r="F101860" s="193"/>
    </row>
    <row r="101861" spans="6:6" x14ac:dyDescent="0.3">
      <c r="F101861" s="193"/>
    </row>
    <row r="101862" spans="6:6" x14ac:dyDescent="0.3">
      <c r="F101862" s="193"/>
    </row>
    <row r="101863" spans="6:6" x14ac:dyDescent="0.3">
      <c r="F101863" s="193"/>
    </row>
    <row r="101864" spans="6:6" x14ac:dyDescent="0.3">
      <c r="F101864" s="193"/>
    </row>
    <row r="101865" spans="6:6" x14ac:dyDescent="0.3">
      <c r="F101865" s="193"/>
    </row>
    <row r="101866" spans="6:6" x14ac:dyDescent="0.3">
      <c r="F101866" s="193"/>
    </row>
    <row r="101867" spans="6:6" x14ac:dyDescent="0.3">
      <c r="F101867" s="193"/>
    </row>
    <row r="101868" spans="6:6" x14ac:dyDescent="0.3">
      <c r="F101868" s="193"/>
    </row>
    <row r="101869" spans="6:6" x14ac:dyDescent="0.3">
      <c r="F101869" s="193"/>
    </row>
    <row r="101870" spans="6:6" x14ac:dyDescent="0.3">
      <c r="F101870" s="193"/>
    </row>
    <row r="101871" spans="6:6" x14ac:dyDescent="0.3">
      <c r="F101871" s="193"/>
    </row>
    <row r="101872" spans="6:6" x14ac:dyDescent="0.3">
      <c r="F101872" s="193"/>
    </row>
    <row r="101873" spans="6:6" x14ac:dyDescent="0.3">
      <c r="F101873" s="193"/>
    </row>
    <row r="101874" spans="6:6" x14ac:dyDescent="0.3">
      <c r="F101874" s="193"/>
    </row>
    <row r="101875" spans="6:6" x14ac:dyDescent="0.3">
      <c r="F101875" s="193"/>
    </row>
    <row r="101876" spans="6:6" x14ac:dyDescent="0.3">
      <c r="F101876" s="193"/>
    </row>
    <row r="101877" spans="6:6" x14ac:dyDescent="0.3">
      <c r="F101877" s="193"/>
    </row>
    <row r="101878" spans="6:6" x14ac:dyDescent="0.3">
      <c r="F101878" s="193"/>
    </row>
    <row r="101879" spans="6:6" x14ac:dyDescent="0.3">
      <c r="F101879" s="193"/>
    </row>
    <row r="101880" spans="6:6" x14ac:dyDescent="0.3">
      <c r="F101880" s="193"/>
    </row>
    <row r="101881" spans="6:6" x14ac:dyDescent="0.3">
      <c r="F101881" s="193"/>
    </row>
    <row r="101882" spans="6:6" x14ac:dyDescent="0.3">
      <c r="F101882" s="193"/>
    </row>
    <row r="101883" spans="6:6" x14ac:dyDescent="0.3">
      <c r="F101883" s="193"/>
    </row>
    <row r="101884" spans="6:6" x14ac:dyDescent="0.3">
      <c r="F101884" s="193"/>
    </row>
    <row r="101885" spans="6:6" x14ac:dyDescent="0.3">
      <c r="F101885" s="193"/>
    </row>
    <row r="101886" spans="6:6" x14ac:dyDescent="0.3">
      <c r="F101886" s="193"/>
    </row>
    <row r="101887" spans="6:6" x14ac:dyDescent="0.3">
      <c r="F101887" s="193"/>
    </row>
    <row r="101888" spans="6:6" x14ac:dyDescent="0.3">
      <c r="F101888" s="193"/>
    </row>
    <row r="101889" spans="6:6" x14ac:dyDescent="0.3">
      <c r="F101889" s="193"/>
    </row>
    <row r="101890" spans="6:6" x14ac:dyDescent="0.3">
      <c r="F101890" s="193"/>
    </row>
    <row r="101891" spans="6:6" x14ac:dyDescent="0.3">
      <c r="F101891" s="193"/>
    </row>
    <row r="101892" spans="6:6" x14ac:dyDescent="0.3">
      <c r="F101892" s="193"/>
    </row>
    <row r="101893" spans="6:6" x14ac:dyDescent="0.3">
      <c r="F101893" s="193"/>
    </row>
    <row r="101894" spans="6:6" x14ac:dyDescent="0.3">
      <c r="F101894" s="193"/>
    </row>
    <row r="101895" spans="6:6" x14ac:dyDescent="0.3">
      <c r="F101895" s="193"/>
    </row>
    <row r="101896" spans="6:6" x14ac:dyDescent="0.3">
      <c r="F101896" s="193"/>
    </row>
    <row r="101897" spans="6:6" x14ac:dyDescent="0.3">
      <c r="F101897" s="193"/>
    </row>
    <row r="101898" spans="6:6" x14ac:dyDescent="0.3">
      <c r="F101898" s="193"/>
    </row>
    <row r="101899" spans="6:6" x14ac:dyDescent="0.3">
      <c r="F101899" s="193"/>
    </row>
    <row r="101900" spans="6:6" x14ac:dyDescent="0.3">
      <c r="F101900" s="193"/>
    </row>
    <row r="101901" spans="6:6" x14ac:dyDescent="0.3">
      <c r="F101901" s="193"/>
    </row>
    <row r="101902" spans="6:6" x14ac:dyDescent="0.3">
      <c r="F101902" s="193"/>
    </row>
    <row r="101903" spans="6:6" x14ac:dyDescent="0.3">
      <c r="F101903" s="193"/>
    </row>
    <row r="101904" spans="6:6" x14ac:dyDescent="0.3">
      <c r="F101904" s="193"/>
    </row>
    <row r="101905" spans="6:6" x14ac:dyDescent="0.3">
      <c r="F101905" s="193"/>
    </row>
    <row r="101906" spans="6:6" x14ac:dyDescent="0.3">
      <c r="F101906" s="193"/>
    </row>
    <row r="101907" spans="6:6" x14ac:dyDescent="0.3">
      <c r="F101907" s="193"/>
    </row>
    <row r="101908" spans="6:6" x14ac:dyDescent="0.3">
      <c r="F101908" s="193"/>
    </row>
    <row r="101909" spans="6:6" x14ac:dyDescent="0.3">
      <c r="F101909" s="193"/>
    </row>
    <row r="101910" spans="6:6" x14ac:dyDescent="0.3">
      <c r="F101910" s="193"/>
    </row>
    <row r="101911" spans="6:6" x14ac:dyDescent="0.3">
      <c r="F101911" s="193"/>
    </row>
    <row r="101912" spans="6:6" x14ac:dyDescent="0.3">
      <c r="F101912" s="193"/>
    </row>
    <row r="101913" spans="6:6" x14ac:dyDescent="0.3">
      <c r="F101913" s="193"/>
    </row>
    <row r="101914" spans="6:6" x14ac:dyDescent="0.3">
      <c r="F101914" s="193"/>
    </row>
    <row r="101915" spans="6:6" x14ac:dyDescent="0.3">
      <c r="F101915" s="193"/>
    </row>
    <row r="101916" spans="6:6" x14ac:dyDescent="0.3">
      <c r="F101916" s="193"/>
    </row>
    <row r="101917" spans="6:6" x14ac:dyDescent="0.3">
      <c r="F101917" s="193"/>
    </row>
    <row r="101918" spans="6:6" x14ac:dyDescent="0.3">
      <c r="F101918" s="193"/>
    </row>
    <row r="101919" spans="6:6" x14ac:dyDescent="0.3">
      <c r="F101919" s="193"/>
    </row>
    <row r="101920" spans="6:6" x14ac:dyDescent="0.3">
      <c r="F101920" s="193"/>
    </row>
    <row r="101921" spans="6:6" x14ac:dyDescent="0.3">
      <c r="F101921" s="193"/>
    </row>
    <row r="101922" spans="6:6" x14ac:dyDescent="0.3">
      <c r="F101922" s="193"/>
    </row>
    <row r="101923" spans="6:6" x14ac:dyDescent="0.3">
      <c r="F101923" s="193"/>
    </row>
    <row r="101924" spans="6:6" x14ac:dyDescent="0.3">
      <c r="F101924" s="193"/>
    </row>
    <row r="101925" spans="6:6" x14ac:dyDescent="0.3">
      <c r="F101925" s="193"/>
    </row>
    <row r="101926" spans="6:6" x14ac:dyDescent="0.3">
      <c r="F101926" s="193"/>
    </row>
    <row r="101927" spans="6:6" x14ac:dyDescent="0.3">
      <c r="F101927" s="193"/>
    </row>
    <row r="101928" spans="6:6" x14ac:dyDescent="0.3">
      <c r="F101928" s="193"/>
    </row>
    <row r="101929" spans="6:6" x14ac:dyDescent="0.3">
      <c r="F101929" s="193"/>
    </row>
    <row r="101930" spans="6:6" x14ac:dyDescent="0.3">
      <c r="F101930" s="193"/>
    </row>
    <row r="101931" spans="6:6" x14ac:dyDescent="0.3">
      <c r="F101931" s="193"/>
    </row>
    <row r="101932" spans="6:6" x14ac:dyDescent="0.3">
      <c r="F101932" s="193"/>
    </row>
    <row r="101933" spans="6:6" x14ac:dyDescent="0.3">
      <c r="F101933" s="193"/>
    </row>
    <row r="101934" spans="6:6" x14ac:dyDescent="0.3">
      <c r="F101934" s="193"/>
    </row>
    <row r="101935" spans="6:6" x14ac:dyDescent="0.3">
      <c r="F101935" s="193"/>
    </row>
    <row r="101936" spans="6:6" x14ac:dyDescent="0.3">
      <c r="F101936" s="193"/>
    </row>
    <row r="101937" spans="6:6" x14ac:dyDescent="0.3">
      <c r="F101937" s="193"/>
    </row>
    <row r="101938" spans="6:6" x14ac:dyDescent="0.3">
      <c r="F101938" s="193"/>
    </row>
    <row r="101939" spans="6:6" x14ac:dyDescent="0.3">
      <c r="F101939" s="193"/>
    </row>
    <row r="101940" spans="6:6" x14ac:dyDescent="0.3">
      <c r="F101940" s="193"/>
    </row>
    <row r="101941" spans="6:6" x14ac:dyDescent="0.3">
      <c r="F101941" s="193"/>
    </row>
    <row r="101942" spans="6:6" x14ac:dyDescent="0.3">
      <c r="F101942" s="193"/>
    </row>
    <row r="101943" spans="6:6" x14ac:dyDescent="0.3">
      <c r="F101943" s="193"/>
    </row>
    <row r="101944" spans="6:6" x14ac:dyDescent="0.3">
      <c r="F101944" s="193"/>
    </row>
    <row r="101945" spans="6:6" x14ac:dyDescent="0.3">
      <c r="F101945" s="193"/>
    </row>
    <row r="101946" spans="6:6" x14ac:dyDescent="0.3">
      <c r="F101946" s="193"/>
    </row>
    <row r="101947" spans="6:6" x14ac:dyDescent="0.3">
      <c r="F101947" s="193"/>
    </row>
    <row r="101948" spans="6:6" x14ac:dyDescent="0.3">
      <c r="F101948" s="193"/>
    </row>
    <row r="101949" spans="6:6" x14ac:dyDescent="0.3">
      <c r="F101949" s="193"/>
    </row>
    <row r="101950" spans="6:6" x14ac:dyDescent="0.3">
      <c r="F101950" s="193"/>
    </row>
    <row r="101951" spans="6:6" x14ac:dyDescent="0.3">
      <c r="F101951" s="193"/>
    </row>
    <row r="101952" spans="6:6" x14ac:dyDescent="0.3">
      <c r="F101952" s="193"/>
    </row>
    <row r="101953" spans="6:6" x14ac:dyDescent="0.3">
      <c r="F101953" s="193"/>
    </row>
    <row r="101954" spans="6:6" x14ac:dyDescent="0.3">
      <c r="F101954" s="193"/>
    </row>
    <row r="101955" spans="6:6" x14ac:dyDescent="0.3">
      <c r="F101955" s="193"/>
    </row>
    <row r="101956" spans="6:6" x14ac:dyDescent="0.3">
      <c r="F101956" s="193"/>
    </row>
    <row r="101957" spans="6:6" x14ac:dyDescent="0.3">
      <c r="F101957" s="193"/>
    </row>
    <row r="101958" spans="6:6" x14ac:dyDescent="0.3">
      <c r="F101958" s="193"/>
    </row>
    <row r="101959" spans="6:6" x14ac:dyDescent="0.3">
      <c r="F101959" s="193"/>
    </row>
    <row r="101960" spans="6:6" x14ac:dyDescent="0.3">
      <c r="F101960" s="193"/>
    </row>
    <row r="101961" spans="6:6" x14ac:dyDescent="0.3">
      <c r="F101961" s="193"/>
    </row>
    <row r="101962" spans="6:6" x14ac:dyDescent="0.3">
      <c r="F101962" s="193"/>
    </row>
    <row r="101963" spans="6:6" x14ac:dyDescent="0.3">
      <c r="F101963" s="193"/>
    </row>
    <row r="101964" spans="6:6" x14ac:dyDescent="0.3">
      <c r="F101964" s="193"/>
    </row>
    <row r="101965" spans="6:6" x14ac:dyDescent="0.3">
      <c r="F101965" s="193"/>
    </row>
    <row r="101966" spans="6:6" x14ac:dyDescent="0.3">
      <c r="F101966" s="193"/>
    </row>
    <row r="101967" spans="6:6" x14ac:dyDescent="0.3">
      <c r="F101967" s="193"/>
    </row>
    <row r="101968" spans="6:6" x14ac:dyDescent="0.3">
      <c r="F101968" s="193"/>
    </row>
    <row r="101969" spans="6:6" x14ac:dyDescent="0.3">
      <c r="F101969" s="193"/>
    </row>
    <row r="101970" spans="6:6" x14ac:dyDescent="0.3">
      <c r="F101970" s="193"/>
    </row>
    <row r="101971" spans="6:6" x14ac:dyDescent="0.3">
      <c r="F101971" s="193"/>
    </row>
    <row r="101972" spans="6:6" x14ac:dyDescent="0.3">
      <c r="F101972" s="193"/>
    </row>
    <row r="101973" spans="6:6" x14ac:dyDescent="0.3">
      <c r="F101973" s="193"/>
    </row>
    <row r="101974" spans="6:6" x14ac:dyDescent="0.3">
      <c r="F101974" s="193"/>
    </row>
    <row r="101975" spans="6:6" x14ac:dyDescent="0.3">
      <c r="F101975" s="193"/>
    </row>
    <row r="101976" spans="6:6" x14ac:dyDescent="0.3">
      <c r="F101976" s="193"/>
    </row>
    <row r="101977" spans="6:6" x14ac:dyDescent="0.3">
      <c r="F101977" s="193"/>
    </row>
    <row r="101978" spans="6:6" x14ac:dyDescent="0.3">
      <c r="F101978" s="193"/>
    </row>
    <row r="101979" spans="6:6" x14ac:dyDescent="0.3">
      <c r="F101979" s="193"/>
    </row>
    <row r="101980" spans="6:6" x14ac:dyDescent="0.3">
      <c r="F101980" s="193"/>
    </row>
    <row r="101981" spans="6:6" x14ac:dyDescent="0.3">
      <c r="F101981" s="193"/>
    </row>
    <row r="101982" spans="6:6" x14ac:dyDescent="0.3">
      <c r="F101982" s="193"/>
    </row>
    <row r="101983" spans="6:6" x14ac:dyDescent="0.3">
      <c r="F101983" s="193"/>
    </row>
    <row r="101984" spans="6:6" x14ac:dyDescent="0.3">
      <c r="F101984" s="193"/>
    </row>
    <row r="101985" spans="6:6" x14ac:dyDescent="0.3">
      <c r="F101985" s="193"/>
    </row>
    <row r="101986" spans="6:6" x14ac:dyDescent="0.3">
      <c r="F101986" s="193"/>
    </row>
    <row r="101987" spans="6:6" x14ac:dyDescent="0.3">
      <c r="F101987" s="193"/>
    </row>
    <row r="101988" spans="6:6" x14ac:dyDescent="0.3">
      <c r="F101988" s="193"/>
    </row>
    <row r="101989" spans="6:6" x14ac:dyDescent="0.3">
      <c r="F101989" s="193"/>
    </row>
    <row r="101990" spans="6:6" x14ac:dyDescent="0.3">
      <c r="F101990" s="193"/>
    </row>
    <row r="101991" spans="6:6" x14ac:dyDescent="0.3">
      <c r="F101991" s="193"/>
    </row>
    <row r="101992" spans="6:6" x14ac:dyDescent="0.3">
      <c r="F101992" s="193"/>
    </row>
    <row r="101993" spans="6:6" x14ac:dyDescent="0.3">
      <c r="F101993" s="193"/>
    </row>
    <row r="101994" spans="6:6" x14ac:dyDescent="0.3">
      <c r="F101994" s="193"/>
    </row>
    <row r="101995" spans="6:6" x14ac:dyDescent="0.3">
      <c r="F101995" s="193"/>
    </row>
    <row r="101996" spans="6:6" x14ac:dyDescent="0.3">
      <c r="F101996" s="193"/>
    </row>
    <row r="101997" spans="6:6" x14ac:dyDescent="0.3">
      <c r="F101997" s="193"/>
    </row>
    <row r="101998" spans="6:6" x14ac:dyDescent="0.3">
      <c r="F101998" s="193"/>
    </row>
    <row r="101999" spans="6:6" x14ac:dyDescent="0.3">
      <c r="F101999" s="193"/>
    </row>
    <row r="102000" spans="6:6" x14ac:dyDescent="0.3">
      <c r="F102000" s="193"/>
    </row>
    <row r="102001" spans="6:6" x14ac:dyDescent="0.3">
      <c r="F102001" s="193"/>
    </row>
    <row r="102002" spans="6:6" x14ac:dyDescent="0.3">
      <c r="F102002" s="193"/>
    </row>
    <row r="102003" spans="6:6" x14ac:dyDescent="0.3">
      <c r="F102003" s="193"/>
    </row>
    <row r="102004" spans="6:6" x14ac:dyDescent="0.3">
      <c r="F102004" s="193"/>
    </row>
    <row r="102005" spans="6:6" x14ac:dyDescent="0.3">
      <c r="F102005" s="193"/>
    </row>
    <row r="102006" spans="6:6" x14ac:dyDescent="0.3">
      <c r="F102006" s="193"/>
    </row>
    <row r="102007" spans="6:6" x14ac:dyDescent="0.3">
      <c r="F102007" s="193"/>
    </row>
    <row r="102008" spans="6:6" x14ac:dyDescent="0.3">
      <c r="F102008" s="193"/>
    </row>
    <row r="102009" spans="6:6" x14ac:dyDescent="0.3">
      <c r="F102009" s="193"/>
    </row>
    <row r="102010" spans="6:6" x14ac:dyDescent="0.3">
      <c r="F102010" s="193"/>
    </row>
    <row r="102011" spans="6:6" x14ac:dyDescent="0.3">
      <c r="F102011" s="193"/>
    </row>
    <row r="102012" spans="6:6" x14ac:dyDescent="0.3">
      <c r="F102012" s="193"/>
    </row>
    <row r="102013" spans="6:6" x14ac:dyDescent="0.3">
      <c r="F102013" s="193"/>
    </row>
    <row r="102014" spans="6:6" x14ac:dyDescent="0.3">
      <c r="F102014" s="193"/>
    </row>
    <row r="102015" spans="6:6" x14ac:dyDescent="0.3">
      <c r="F102015" s="193"/>
    </row>
    <row r="102016" spans="6:6" x14ac:dyDescent="0.3">
      <c r="F102016" s="193"/>
    </row>
    <row r="102017" spans="6:6" x14ac:dyDescent="0.3">
      <c r="F102017" s="193"/>
    </row>
    <row r="102018" spans="6:6" x14ac:dyDescent="0.3">
      <c r="F102018" s="193"/>
    </row>
    <row r="102019" spans="6:6" x14ac:dyDescent="0.3">
      <c r="F102019" s="193"/>
    </row>
    <row r="102020" spans="6:6" x14ac:dyDescent="0.3">
      <c r="F102020" s="193"/>
    </row>
    <row r="102021" spans="6:6" x14ac:dyDescent="0.3">
      <c r="F102021" s="193"/>
    </row>
    <row r="102022" spans="6:6" x14ac:dyDescent="0.3">
      <c r="F102022" s="193"/>
    </row>
    <row r="102023" spans="6:6" x14ac:dyDescent="0.3">
      <c r="F102023" s="193"/>
    </row>
    <row r="102024" spans="6:6" x14ac:dyDescent="0.3">
      <c r="F102024" s="193"/>
    </row>
    <row r="102025" spans="6:6" x14ac:dyDescent="0.3">
      <c r="F102025" s="193"/>
    </row>
    <row r="102026" spans="6:6" x14ac:dyDescent="0.3">
      <c r="F102026" s="193"/>
    </row>
    <row r="102027" spans="6:6" x14ac:dyDescent="0.3">
      <c r="F102027" s="193"/>
    </row>
    <row r="102028" spans="6:6" x14ac:dyDescent="0.3">
      <c r="F102028" s="193"/>
    </row>
    <row r="102029" spans="6:6" x14ac:dyDescent="0.3">
      <c r="F102029" s="193"/>
    </row>
    <row r="102030" spans="6:6" x14ac:dyDescent="0.3">
      <c r="F102030" s="193"/>
    </row>
    <row r="102031" spans="6:6" x14ac:dyDescent="0.3">
      <c r="F102031" s="193"/>
    </row>
    <row r="102032" spans="6:6" x14ac:dyDescent="0.3">
      <c r="F102032" s="193"/>
    </row>
    <row r="102033" spans="6:6" x14ac:dyDescent="0.3">
      <c r="F102033" s="193"/>
    </row>
    <row r="102034" spans="6:6" x14ac:dyDescent="0.3">
      <c r="F102034" s="193"/>
    </row>
    <row r="102035" spans="6:6" x14ac:dyDescent="0.3">
      <c r="F102035" s="193"/>
    </row>
    <row r="102036" spans="6:6" x14ac:dyDescent="0.3">
      <c r="F102036" s="193"/>
    </row>
    <row r="102037" spans="6:6" x14ac:dyDescent="0.3">
      <c r="F102037" s="193"/>
    </row>
    <row r="102038" spans="6:6" x14ac:dyDescent="0.3">
      <c r="F102038" s="193"/>
    </row>
    <row r="102039" spans="6:6" x14ac:dyDescent="0.3">
      <c r="F102039" s="193"/>
    </row>
    <row r="102040" spans="6:6" x14ac:dyDescent="0.3">
      <c r="F102040" s="193"/>
    </row>
    <row r="102041" spans="6:6" x14ac:dyDescent="0.3">
      <c r="F102041" s="193"/>
    </row>
    <row r="102042" spans="6:6" x14ac:dyDescent="0.3">
      <c r="F102042" s="193"/>
    </row>
    <row r="102043" spans="6:6" x14ac:dyDescent="0.3">
      <c r="F102043" s="193"/>
    </row>
    <row r="102044" spans="6:6" x14ac:dyDescent="0.3">
      <c r="F102044" s="193"/>
    </row>
    <row r="102045" spans="6:6" x14ac:dyDescent="0.3">
      <c r="F102045" s="193"/>
    </row>
    <row r="102046" spans="6:6" x14ac:dyDescent="0.3">
      <c r="F102046" s="193"/>
    </row>
    <row r="102047" spans="6:6" x14ac:dyDescent="0.3">
      <c r="F102047" s="193"/>
    </row>
    <row r="102048" spans="6:6" x14ac:dyDescent="0.3">
      <c r="F102048" s="193"/>
    </row>
    <row r="102049" spans="6:6" x14ac:dyDescent="0.3">
      <c r="F102049" s="193"/>
    </row>
    <row r="102050" spans="6:6" x14ac:dyDescent="0.3">
      <c r="F102050" s="193"/>
    </row>
    <row r="102051" spans="6:6" x14ac:dyDescent="0.3">
      <c r="F102051" s="193"/>
    </row>
    <row r="102052" spans="6:6" x14ac:dyDescent="0.3">
      <c r="F102052" s="193"/>
    </row>
    <row r="102053" spans="6:6" x14ac:dyDescent="0.3">
      <c r="F102053" s="193"/>
    </row>
    <row r="102054" spans="6:6" x14ac:dyDescent="0.3">
      <c r="F102054" s="193"/>
    </row>
    <row r="102055" spans="6:6" x14ac:dyDescent="0.3">
      <c r="F102055" s="193"/>
    </row>
    <row r="102056" spans="6:6" x14ac:dyDescent="0.3">
      <c r="F102056" s="193"/>
    </row>
    <row r="102057" spans="6:6" x14ac:dyDescent="0.3">
      <c r="F102057" s="193"/>
    </row>
    <row r="102058" spans="6:6" x14ac:dyDescent="0.3">
      <c r="F102058" s="193"/>
    </row>
    <row r="102059" spans="6:6" x14ac:dyDescent="0.3">
      <c r="F102059" s="193"/>
    </row>
    <row r="102060" spans="6:6" x14ac:dyDescent="0.3">
      <c r="F102060" s="193"/>
    </row>
    <row r="102061" spans="6:6" x14ac:dyDescent="0.3">
      <c r="F102061" s="193"/>
    </row>
    <row r="102062" spans="6:6" x14ac:dyDescent="0.3">
      <c r="F102062" s="193"/>
    </row>
    <row r="102063" spans="6:6" x14ac:dyDescent="0.3">
      <c r="F102063" s="193"/>
    </row>
    <row r="102064" spans="6:6" x14ac:dyDescent="0.3">
      <c r="F102064" s="193"/>
    </row>
    <row r="102065" spans="6:6" x14ac:dyDescent="0.3">
      <c r="F102065" s="193"/>
    </row>
    <row r="102066" spans="6:6" x14ac:dyDescent="0.3">
      <c r="F102066" s="193"/>
    </row>
    <row r="102067" spans="6:6" x14ac:dyDescent="0.3">
      <c r="F102067" s="193"/>
    </row>
    <row r="102068" spans="6:6" x14ac:dyDescent="0.3">
      <c r="F102068" s="193"/>
    </row>
    <row r="102069" spans="6:6" x14ac:dyDescent="0.3">
      <c r="F102069" s="193"/>
    </row>
    <row r="102070" spans="6:6" x14ac:dyDescent="0.3">
      <c r="F102070" s="193"/>
    </row>
    <row r="102071" spans="6:6" x14ac:dyDescent="0.3">
      <c r="F102071" s="193"/>
    </row>
    <row r="102072" spans="6:6" x14ac:dyDescent="0.3">
      <c r="F102072" s="193"/>
    </row>
    <row r="102073" spans="6:6" x14ac:dyDescent="0.3">
      <c r="F102073" s="193"/>
    </row>
    <row r="102074" spans="6:6" x14ac:dyDescent="0.3">
      <c r="F102074" s="193"/>
    </row>
    <row r="102075" spans="6:6" x14ac:dyDescent="0.3">
      <c r="F102075" s="193"/>
    </row>
    <row r="102076" spans="6:6" x14ac:dyDescent="0.3">
      <c r="F102076" s="193"/>
    </row>
    <row r="102077" spans="6:6" x14ac:dyDescent="0.3">
      <c r="F102077" s="193"/>
    </row>
    <row r="102078" spans="6:6" x14ac:dyDescent="0.3">
      <c r="F102078" s="193"/>
    </row>
    <row r="102079" spans="6:6" x14ac:dyDescent="0.3">
      <c r="F102079" s="193"/>
    </row>
    <row r="102080" spans="6:6" x14ac:dyDescent="0.3">
      <c r="F102080" s="193"/>
    </row>
    <row r="102081" spans="6:6" x14ac:dyDescent="0.3">
      <c r="F102081" s="193"/>
    </row>
    <row r="102082" spans="6:6" x14ac:dyDescent="0.3">
      <c r="F102082" s="193"/>
    </row>
    <row r="102083" spans="6:6" x14ac:dyDescent="0.3">
      <c r="F102083" s="193"/>
    </row>
    <row r="102084" spans="6:6" x14ac:dyDescent="0.3">
      <c r="F102084" s="193"/>
    </row>
    <row r="102085" spans="6:6" x14ac:dyDescent="0.3">
      <c r="F102085" s="193"/>
    </row>
    <row r="102086" spans="6:6" x14ac:dyDescent="0.3">
      <c r="F102086" s="193"/>
    </row>
    <row r="102087" spans="6:6" x14ac:dyDescent="0.3">
      <c r="F102087" s="193"/>
    </row>
    <row r="102088" spans="6:6" x14ac:dyDescent="0.3">
      <c r="F102088" s="193"/>
    </row>
    <row r="102089" spans="6:6" x14ac:dyDescent="0.3">
      <c r="F102089" s="193"/>
    </row>
    <row r="102090" spans="6:6" x14ac:dyDescent="0.3">
      <c r="F102090" s="193"/>
    </row>
    <row r="102091" spans="6:6" x14ac:dyDescent="0.3">
      <c r="F102091" s="193"/>
    </row>
    <row r="102092" spans="6:6" x14ac:dyDescent="0.3">
      <c r="F102092" s="193"/>
    </row>
    <row r="102093" spans="6:6" x14ac:dyDescent="0.3">
      <c r="F102093" s="193"/>
    </row>
    <row r="102094" spans="6:6" x14ac:dyDescent="0.3">
      <c r="F102094" s="193"/>
    </row>
    <row r="102095" spans="6:6" x14ac:dyDescent="0.3">
      <c r="F102095" s="193"/>
    </row>
    <row r="102096" spans="6:6" x14ac:dyDescent="0.3">
      <c r="F102096" s="193"/>
    </row>
    <row r="102097" spans="6:6" x14ac:dyDescent="0.3">
      <c r="F102097" s="193"/>
    </row>
    <row r="102098" spans="6:6" x14ac:dyDescent="0.3">
      <c r="F102098" s="193"/>
    </row>
    <row r="102099" spans="6:6" x14ac:dyDescent="0.3">
      <c r="F102099" s="193"/>
    </row>
    <row r="102100" spans="6:6" x14ac:dyDescent="0.3">
      <c r="F102100" s="193"/>
    </row>
    <row r="102101" spans="6:6" x14ac:dyDescent="0.3">
      <c r="F102101" s="193"/>
    </row>
    <row r="102102" spans="6:6" x14ac:dyDescent="0.3">
      <c r="F102102" s="193"/>
    </row>
    <row r="102103" spans="6:6" x14ac:dyDescent="0.3">
      <c r="F102103" s="193"/>
    </row>
    <row r="102104" spans="6:6" x14ac:dyDescent="0.3">
      <c r="F102104" s="193"/>
    </row>
    <row r="102105" spans="6:6" x14ac:dyDescent="0.3">
      <c r="F102105" s="193"/>
    </row>
    <row r="102106" spans="6:6" x14ac:dyDescent="0.3">
      <c r="F102106" s="193"/>
    </row>
    <row r="102107" spans="6:6" x14ac:dyDescent="0.3">
      <c r="F102107" s="193"/>
    </row>
    <row r="102108" spans="6:6" x14ac:dyDescent="0.3">
      <c r="F102108" s="193"/>
    </row>
    <row r="102109" spans="6:6" x14ac:dyDescent="0.3">
      <c r="F102109" s="193"/>
    </row>
    <row r="102110" spans="6:6" x14ac:dyDescent="0.3">
      <c r="F102110" s="193"/>
    </row>
    <row r="102111" spans="6:6" x14ac:dyDescent="0.3">
      <c r="F102111" s="193"/>
    </row>
    <row r="102112" spans="6:6" x14ac:dyDescent="0.3">
      <c r="F102112" s="193"/>
    </row>
    <row r="102113" spans="6:6" x14ac:dyDescent="0.3">
      <c r="F102113" s="193"/>
    </row>
    <row r="102114" spans="6:6" x14ac:dyDescent="0.3">
      <c r="F102114" s="193"/>
    </row>
    <row r="102115" spans="6:6" x14ac:dyDescent="0.3">
      <c r="F102115" s="193"/>
    </row>
    <row r="102116" spans="6:6" x14ac:dyDescent="0.3">
      <c r="F102116" s="193"/>
    </row>
    <row r="102117" spans="6:6" x14ac:dyDescent="0.3">
      <c r="F102117" s="193"/>
    </row>
    <row r="102118" spans="6:6" x14ac:dyDescent="0.3">
      <c r="F102118" s="193"/>
    </row>
    <row r="102119" spans="6:6" x14ac:dyDescent="0.3">
      <c r="F102119" s="193"/>
    </row>
    <row r="102120" spans="6:6" x14ac:dyDescent="0.3">
      <c r="F102120" s="193"/>
    </row>
    <row r="102121" spans="6:6" x14ac:dyDescent="0.3">
      <c r="F102121" s="193"/>
    </row>
    <row r="102122" spans="6:6" x14ac:dyDescent="0.3">
      <c r="F102122" s="193"/>
    </row>
    <row r="102123" spans="6:6" x14ac:dyDescent="0.3">
      <c r="F102123" s="193"/>
    </row>
    <row r="102124" spans="6:6" x14ac:dyDescent="0.3">
      <c r="F102124" s="193"/>
    </row>
    <row r="102125" spans="6:6" x14ac:dyDescent="0.3">
      <c r="F102125" s="193"/>
    </row>
    <row r="102126" spans="6:6" x14ac:dyDescent="0.3">
      <c r="F102126" s="193"/>
    </row>
    <row r="102127" spans="6:6" x14ac:dyDescent="0.3">
      <c r="F102127" s="193"/>
    </row>
    <row r="102128" spans="6:6" x14ac:dyDescent="0.3">
      <c r="F102128" s="193"/>
    </row>
    <row r="102129" spans="6:6" x14ac:dyDescent="0.3">
      <c r="F102129" s="193"/>
    </row>
    <row r="102130" spans="6:6" x14ac:dyDescent="0.3">
      <c r="F102130" s="193"/>
    </row>
    <row r="102131" spans="6:6" x14ac:dyDescent="0.3">
      <c r="F102131" s="193"/>
    </row>
    <row r="102132" spans="6:6" x14ac:dyDescent="0.3">
      <c r="F102132" s="193"/>
    </row>
    <row r="102133" spans="6:6" x14ac:dyDescent="0.3">
      <c r="F102133" s="193"/>
    </row>
    <row r="102134" spans="6:6" x14ac:dyDescent="0.3">
      <c r="F102134" s="193"/>
    </row>
    <row r="102135" spans="6:6" x14ac:dyDescent="0.3">
      <c r="F102135" s="193"/>
    </row>
    <row r="102136" spans="6:6" x14ac:dyDescent="0.3">
      <c r="F102136" s="193"/>
    </row>
    <row r="102137" spans="6:6" x14ac:dyDescent="0.3">
      <c r="F102137" s="193"/>
    </row>
    <row r="102138" spans="6:6" x14ac:dyDescent="0.3">
      <c r="F102138" s="193"/>
    </row>
    <row r="102139" spans="6:6" x14ac:dyDescent="0.3">
      <c r="F102139" s="193"/>
    </row>
    <row r="102140" spans="6:6" x14ac:dyDescent="0.3">
      <c r="F102140" s="193"/>
    </row>
    <row r="102141" spans="6:6" x14ac:dyDescent="0.3">
      <c r="F102141" s="193"/>
    </row>
    <row r="102142" spans="6:6" x14ac:dyDescent="0.3">
      <c r="F102142" s="193"/>
    </row>
    <row r="102143" spans="6:6" x14ac:dyDescent="0.3">
      <c r="F102143" s="193"/>
    </row>
    <row r="102144" spans="6:6" x14ac:dyDescent="0.3">
      <c r="F102144" s="193"/>
    </row>
    <row r="102145" spans="6:6" x14ac:dyDescent="0.3">
      <c r="F102145" s="193"/>
    </row>
    <row r="102146" spans="6:6" x14ac:dyDescent="0.3">
      <c r="F102146" s="193"/>
    </row>
    <row r="102147" spans="6:6" x14ac:dyDescent="0.3">
      <c r="F102147" s="193"/>
    </row>
    <row r="102148" spans="6:6" x14ac:dyDescent="0.3">
      <c r="F102148" s="193"/>
    </row>
    <row r="102149" spans="6:6" x14ac:dyDescent="0.3">
      <c r="F102149" s="193"/>
    </row>
    <row r="102150" spans="6:6" x14ac:dyDescent="0.3">
      <c r="F102150" s="193"/>
    </row>
    <row r="102151" spans="6:6" x14ac:dyDescent="0.3">
      <c r="F102151" s="193"/>
    </row>
    <row r="102152" spans="6:6" x14ac:dyDescent="0.3">
      <c r="F102152" s="193"/>
    </row>
    <row r="102153" spans="6:6" x14ac:dyDescent="0.3">
      <c r="F102153" s="193"/>
    </row>
    <row r="102154" spans="6:6" x14ac:dyDescent="0.3">
      <c r="F102154" s="193"/>
    </row>
    <row r="102155" spans="6:6" x14ac:dyDescent="0.3">
      <c r="F102155" s="193"/>
    </row>
    <row r="102156" spans="6:6" x14ac:dyDescent="0.3">
      <c r="F102156" s="193"/>
    </row>
    <row r="102157" spans="6:6" x14ac:dyDescent="0.3">
      <c r="F102157" s="193"/>
    </row>
    <row r="102158" spans="6:6" x14ac:dyDescent="0.3">
      <c r="F102158" s="193"/>
    </row>
    <row r="102159" spans="6:6" x14ac:dyDescent="0.3">
      <c r="F102159" s="193"/>
    </row>
    <row r="102160" spans="6:6" x14ac:dyDescent="0.3">
      <c r="F102160" s="193"/>
    </row>
    <row r="102161" spans="6:6" x14ac:dyDescent="0.3">
      <c r="F102161" s="193"/>
    </row>
    <row r="102162" spans="6:6" x14ac:dyDescent="0.3">
      <c r="F102162" s="193"/>
    </row>
    <row r="102163" spans="6:6" x14ac:dyDescent="0.3">
      <c r="F102163" s="193"/>
    </row>
    <row r="102164" spans="6:6" x14ac:dyDescent="0.3">
      <c r="F102164" s="193"/>
    </row>
    <row r="102165" spans="6:6" x14ac:dyDescent="0.3">
      <c r="F102165" s="193"/>
    </row>
    <row r="102166" spans="6:6" x14ac:dyDescent="0.3">
      <c r="F102166" s="193"/>
    </row>
    <row r="102167" spans="6:6" x14ac:dyDescent="0.3">
      <c r="F102167" s="193"/>
    </row>
    <row r="102168" spans="6:6" x14ac:dyDescent="0.3">
      <c r="F102168" s="193"/>
    </row>
    <row r="102169" spans="6:6" x14ac:dyDescent="0.3">
      <c r="F102169" s="193"/>
    </row>
    <row r="102170" spans="6:6" x14ac:dyDescent="0.3">
      <c r="F102170" s="193"/>
    </row>
    <row r="102171" spans="6:6" x14ac:dyDescent="0.3">
      <c r="F102171" s="193"/>
    </row>
    <row r="102172" spans="6:6" x14ac:dyDescent="0.3">
      <c r="F102172" s="193"/>
    </row>
    <row r="102173" spans="6:6" x14ac:dyDescent="0.3">
      <c r="F102173" s="193"/>
    </row>
    <row r="102174" spans="6:6" x14ac:dyDescent="0.3">
      <c r="F102174" s="193"/>
    </row>
    <row r="102175" spans="6:6" x14ac:dyDescent="0.3">
      <c r="F102175" s="193"/>
    </row>
    <row r="102176" spans="6:6" x14ac:dyDescent="0.3">
      <c r="F102176" s="193"/>
    </row>
    <row r="102177" spans="6:6" x14ac:dyDescent="0.3">
      <c r="F102177" s="193"/>
    </row>
    <row r="102178" spans="6:6" x14ac:dyDescent="0.3">
      <c r="F102178" s="193"/>
    </row>
    <row r="102179" spans="6:6" x14ac:dyDescent="0.3">
      <c r="F102179" s="193"/>
    </row>
    <row r="102180" spans="6:6" x14ac:dyDescent="0.3">
      <c r="F102180" s="193"/>
    </row>
    <row r="102181" spans="6:6" x14ac:dyDescent="0.3">
      <c r="F102181" s="193"/>
    </row>
    <row r="102182" spans="6:6" x14ac:dyDescent="0.3">
      <c r="F102182" s="193"/>
    </row>
    <row r="102183" spans="6:6" x14ac:dyDescent="0.3">
      <c r="F102183" s="193"/>
    </row>
    <row r="102184" spans="6:6" x14ac:dyDescent="0.3">
      <c r="F102184" s="193"/>
    </row>
    <row r="102185" spans="6:6" x14ac:dyDescent="0.3">
      <c r="F102185" s="193"/>
    </row>
    <row r="102186" spans="6:6" x14ac:dyDescent="0.3">
      <c r="F102186" s="193"/>
    </row>
    <row r="102187" spans="6:6" x14ac:dyDescent="0.3">
      <c r="F102187" s="193"/>
    </row>
    <row r="102188" spans="6:6" x14ac:dyDescent="0.3">
      <c r="F102188" s="193"/>
    </row>
    <row r="102189" spans="6:6" x14ac:dyDescent="0.3">
      <c r="F102189" s="193"/>
    </row>
    <row r="102190" spans="6:6" x14ac:dyDescent="0.3">
      <c r="F102190" s="193"/>
    </row>
    <row r="102191" spans="6:6" x14ac:dyDescent="0.3">
      <c r="F102191" s="193"/>
    </row>
    <row r="102192" spans="6:6" x14ac:dyDescent="0.3">
      <c r="F102192" s="193"/>
    </row>
    <row r="102193" spans="6:6" x14ac:dyDescent="0.3">
      <c r="F102193" s="193"/>
    </row>
    <row r="102194" spans="6:6" x14ac:dyDescent="0.3">
      <c r="F102194" s="193"/>
    </row>
    <row r="102195" spans="6:6" x14ac:dyDescent="0.3">
      <c r="F102195" s="193"/>
    </row>
    <row r="102196" spans="6:6" x14ac:dyDescent="0.3">
      <c r="F102196" s="193"/>
    </row>
    <row r="102197" spans="6:6" x14ac:dyDescent="0.3">
      <c r="F102197" s="193"/>
    </row>
    <row r="102198" spans="6:6" x14ac:dyDescent="0.3">
      <c r="F102198" s="193"/>
    </row>
    <row r="102199" spans="6:6" x14ac:dyDescent="0.3">
      <c r="F102199" s="193"/>
    </row>
    <row r="102200" spans="6:6" x14ac:dyDescent="0.3">
      <c r="F102200" s="193"/>
    </row>
    <row r="102201" spans="6:6" x14ac:dyDescent="0.3">
      <c r="F102201" s="193"/>
    </row>
    <row r="102202" spans="6:6" x14ac:dyDescent="0.3">
      <c r="F102202" s="193"/>
    </row>
    <row r="102203" spans="6:6" x14ac:dyDescent="0.3">
      <c r="F102203" s="193"/>
    </row>
    <row r="102204" spans="6:6" x14ac:dyDescent="0.3">
      <c r="F102204" s="193"/>
    </row>
    <row r="102205" spans="6:6" x14ac:dyDescent="0.3">
      <c r="F102205" s="193"/>
    </row>
    <row r="102206" spans="6:6" x14ac:dyDescent="0.3">
      <c r="F102206" s="193"/>
    </row>
    <row r="102207" spans="6:6" x14ac:dyDescent="0.3">
      <c r="F102207" s="193"/>
    </row>
    <row r="102208" spans="6:6" x14ac:dyDescent="0.3">
      <c r="F102208" s="193"/>
    </row>
    <row r="102209" spans="6:6" x14ac:dyDescent="0.3">
      <c r="F102209" s="193"/>
    </row>
    <row r="102210" spans="6:6" x14ac:dyDescent="0.3">
      <c r="F102210" s="193"/>
    </row>
    <row r="102211" spans="6:6" x14ac:dyDescent="0.3">
      <c r="F102211" s="193"/>
    </row>
    <row r="102212" spans="6:6" x14ac:dyDescent="0.3">
      <c r="F102212" s="193"/>
    </row>
    <row r="102213" spans="6:6" x14ac:dyDescent="0.3">
      <c r="F102213" s="193"/>
    </row>
    <row r="102214" spans="6:6" x14ac:dyDescent="0.3">
      <c r="F102214" s="193"/>
    </row>
    <row r="102215" spans="6:6" x14ac:dyDescent="0.3">
      <c r="F102215" s="193"/>
    </row>
    <row r="102216" spans="6:6" x14ac:dyDescent="0.3">
      <c r="F102216" s="193"/>
    </row>
    <row r="102217" spans="6:6" x14ac:dyDescent="0.3">
      <c r="F102217" s="193"/>
    </row>
    <row r="102218" spans="6:6" x14ac:dyDescent="0.3">
      <c r="F102218" s="193"/>
    </row>
    <row r="102219" spans="6:6" x14ac:dyDescent="0.3">
      <c r="F102219" s="193"/>
    </row>
    <row r="102220" spans="6:6" x14ac:dyDescent="0.3">
      <c r="F102220" s="193"/>
    </row>
    <row r="102221" spans="6:6" x14ac:dyDescent="0.3">
      <c r="F102221" s="193"/>
    </row>
    <row r="102222" spans="6:6" x14ac:dyDescent="0.3">
      <c r="F102222" s="193"/>
    </row>
    <row r="102223" spans="6:6" x14ac:dyDescent="0.3">
      <c r="F102223" s="193"/>
    </row>
    <row r="102224" spans="6:6" x14ac:dyDescent="0.3">
      <c r="F102224" s="193"/>
    </row>
    <row r="102225" spans="6:6" x14ac:dyDescent="0.3">
      <c r="F102225" s="193"/>
    </row>
    <row r="102226" spans="6:6" x14ac:dyDescent="0.3">
      <c r="F102226" s="193"/>
    </row>
    <row r="102227" spans="6:6" x14ac:dyDescent="0.3">
      <c r="F102227" s="193"/>
    </row>
    <row r="102228" spans="6:6" x14ac:dyDescent="0.3">
      <c r="F102228" s="193"/>
    </row>
    <row r="102229" spans="6:6" x14ac:dyDescent="0.3">
      <c r="F102229" s="193"/>
    </row>
    <row r="102230" spans="6:6" x14ac:dyDescent="0.3">
      <c r="F102230" s="193"/>
    </row>
    <row r="102231" spans="6:6" x14ac:dyDescent="0.3">
      <c r="F102231" s="193"/>
    </row>
    <row r="102232" spans="6:6" x14ac:dyDescent="0.3">
      <c r="F102232" s="193"/>
    </row>
    <row r="102233" spans="6:6" x14ac:dyDescent="0.3">
      <c r="F102233" s="193"/>
    </row>
    <row r="102234" spans="6:6" x14ac:dyDescent="0.3">
      <c r="F102234" s="193"/>
    </row>
    <row r="102235" spans="6:6" x14ac:dyDescent="0.3">
      <c r="F102235" s="193"/>
    </row>
    <row r="102236" spans="6:6" x14ac:dyDescent="0.3">
      <c r="F102236" s="193"/>
    </row>
    <row r="102237" spans="6:6" x14ac:dyDescent="0.3">
      <c r="F102237" s="193"/>
    </row>
    <row r="102238" spans="6:6" x14ac:dyDescent="0.3">
      <c r="F102238" s="193"/>
    </row>
    <row r="102239" spans="6:6" x14ac:dyDescent="0.3">
      <c r="F102239" s="193"/>
    </row>
    <row r="102240" spans="6:6" x14ac:dyDescent="0.3">
      <c r="F102240" s="193"/>
    </row>
    <row r="102241" spans="6:6" x14ac:dyDescent="0.3">
      <c r="F102241" s="193"/>
    </row>
    <row r="102242" spans="6:6" x14ac:dyDescent="0.3">
      <c r="F102242" s="193"/>
    </row>
    <row r="102243" spans="6:6" x14ac:dyDescent="0.3">
      <c r="F102243" s="193"/>
    </row>
    <row r="102244" spans="6:6" x14ac:dyDescent="0.3">
      <c r="F102244" s="193"/>
    </row>
    <row r="102245" spans="6:6" x14ac:dyDescent="0.3">
      <c r="F102245" s="193"/>
    </row>
    <row r="102246" spans="6:6" x14ac:dyDescent="0.3">
      <c r="F102246" s="193"/>
    </row>
    <row r="102247" spans="6:6" x14ac:dyDescent="0.3">
      <c r="F102247" s="193"/>
    </row>
    <row r="102248" spans="6:6" x14ac:dyDescent="0.3">
      <c r="F102248" s="193"/>
    </row>
    <row r="102249" spans="6:6" x14ac:dyDescent="0.3">
      <c r="F102249" s="193"/>
    </row>
    <row r="102250" spans="6:6" x14ac:dyDescent="0.3">
      <c r="F102250" s="193"/>
    </row>
    <row r="102251" spans="6:6" x14ac:dyDescent="0.3">
      <c r="F102251" s="193"/>
    </row>
    <row r="102252" spans="6:6" x14ac:dyDescent="0.3">
      <c r="F102252" s="193"/>
    </row>
    <row r="102253" spans="6:6" x14ac:dyDescent="0.3">
      <c r="F102253" s="193"/>
    </row>
    <row r="102254" spans="6:6" x14ac:dyDescent="0.3">
      <c r="F102254" s="193"/>
    </row>
    <row r="102255" spans="6:6" x14ac:dyDescent="0.3">
      <c r="F102255" s="193"/>
    </row>
    <row r="102256" spans="6:6" x14ac:dyDescent="0.3">
      <c r="F102256" s="193"/>
    </row>
    <row r="102257" spans="6:6" x14ac:dyDescent="0.3">
      <c r="F102257" s="193"/>
    </row>
    <row r="102258" spans="6:6" x14ac:dyDescent="0.3">
      <c r="F102258" s="193"/>
    </row>
    <row r="102259" spans="6:6" x14ac:dyDescent="0.3">
      <c r="F102259" s="193"/>
    </row>
    <row r="102260" spans="6:6" x14ac:dyDescent="0.3">
      <c r="F102260" s="193"/>
    </row>
    <row r="102261" spans="6:6" x14ac:dyDescent="0.3">
      <c r="F102261" s="193"/>
    </row>
    <row r="102262" spans="6:6" x14ac:dyDescent="0.3">
      <c r="F102262" s="193"/>
    </row>
    <row r="102263" spans="6:6" x14ac:dyDescent="0.3">
      <c r="F102263" s="193"/>
    </row>
    <row r="102264" spans="6:6" x14ac:dyDescent="0.3">
      <c r="F102264" s="193"/>
    </row>
    <row r="102265" spans="6:6" x14ac:dyDescent="0.3">
      <c r="F102265" s="193"/>
    </row>
    <row r="102266" spans="6:6" x14ac:dyDescent="0.3">
      <c r="F102266" s="193"/>
    </row>
    <row r="102267" spans="6:6" x14ac:dyDescent="0.3">
      <c r="F102267" s="193"/>
    </row>
    <row r="102268" spans="6:6" x14ac:dyDescent="0.3">
      <c r="F102268" s="193"/>
    </row>
    <row r="102269" spans="6:6" x14ac:dyDescent="0.3">
      <c r="F102269" s="193"/>
    </row>
    <row r="102270" spans="6:6" x14ac:dyDescent="0.3">
      <c r="F102270" s="193"/>
    </row>
    <row r="102271" spans="6:6" x14ac:dyDescent="0.3">
      <c r="F102271" s="193"/>
    </row>
    <row r="102272" spans="6:6" x14ac:dyDescent="0.3">
      <c r="F102272" s="193"/>
    </row>
    <row r="102273" spans="6:6" x14ac:dyDescent="0.3">
      <c r="F102273" s="193"/>
    </row>
    <row r="102274" spans="6:6" x14ac:dyDescent="0.3">
      <c r="F102274" s="193"/>
    </row>
    <row r="102275" spans="6:6" x14ac:dyDescent="0.3">
      <c r="F102275" s="193"/>
    </row>
    <row r="102276" spans="6:6" x14ac:dyDescent="0.3">
      <c r="F102276" s="193"/>
    </row>
    <row r="102277" spans="6:6" x14ac:dyDescent="0.3">
      <c r="F102277" s="193"/>
    </row>
    <row r="102278" spans="6:6" x14ac:dyDescent="0.3">
      <c r="F102278" s="193"/>
    </row>
    <row r="102279" spans="6:6" x14ac:dyDescent="0.3">
      <c r="F102279" s="193"/>
    </row>
    <row r="102280" spans="6:6" x14ac:dyDescent="0.3">
      <c r="F102280" s="193"/>
    </row>
    <row r="102281" spans="6:6" x14ac:dyDescent="0.3">
      <c r="F102281" s="193"/>
    </row>
    <row r="102282" spans="6:6" x14ac:dyDescent="0.3">
      <c r="F102282" s="193"/>
    </row>
    <row r="102283" spans="6:6" x14ac:dyDescent="0.3">
      <c r="F102283" s="193"/>
    </row>
    <row r="102284" spans="6:6" x14ac:dyDescent="0.3">
      <c r="F102284" s="193"/>
    </row>
    <row r="102285" spans="6:6" x14ac:dyDescent="0.3">
      <c r="F102285" s="193"/>
    </row>
    <row r="102286" spans="6:6" x14ac:dyDescent="0.3">
      <c r="F102286" s="193"/>
    </row>
    <row r="102287" spans="6:6" x14ac:dyDescent="0.3">
      <c r="F102287" s="193"/>
    </row>
    <row r="102288" spans="6:6" x14ac:dyDescent="0.3">
      <c r="F102288" s="193"/>
    </row>
    <row r="102289" spans="6:6" x14ac:dyDescent="0.3">
      <c r="F102289" s="193"/>
    </row>
    <row r="102290" spans="6:6" x14ac:dyDescent="0.3">
      <c r="F102290" s="193"/>
    </row>
    <row r="102291" spans="6:6" x14ac:dyDescent="0.3">
      <c r="F102291" s="193"/>
    </row>
    <row r="102292" spans="6:6" x14ac:dyDescent="0.3">
      <c r="F102292" s="193"/>
    </row>
    <row r="102293" spans="6:6" x14ac:dyDescent="0.3">
      <c r="F102293" s="193"/>
    </row>
    <row r="102294" spans="6:6" x14ac:dyDescent="0.3">
      <c r="F102294" s="193"/>
    </row>
    <row r="102295" spans="6:6" x14ac:dyDescent="0.3">
      <c r="F102295" s="193"/>
    </row>
    <row r="102296" spans="6:6" x14ac:dyDescent="0.3">
      <c r="F102296" s="193"/>
    </row>
    <row r="102297" spans="6:6" x14ac:dyDescent="0.3">
      <c r="F102297" s="193"/>
    </row>
    <row r="102298" spans="6:6" x14ac:dyDescent="0.3">
      <c r="F102298" s="193"/>
    </row>
    <row r="102299" spans="6:6" x14ac:dyDescent="0.3">
      <c r="F102299" s="193"/>
    </row>
    <row r="102300" spans="6:6" x14ac:dyDescent="0.3">
      <c r="F102300" s="193"/>
    </row>
    <row r="102301" spans="6:6" x14ac:dyDescent="0.3">
      <c r="F102301" s="193"/>
    </row>
    <row r="102302" spans="6:6" x14ac:dyDescent="0.3">
      <c r="F102302" s="193"/>
    </row>
    <row r="102303" spans="6:6" x14ac:dyDescent="0.3">
      <c r="F102303" s="193"/>
    </row>
    <row r="102304" spans="6:6" x14ac:dyDescent="0.3">
      <c r="F102304" s="193"/>
    </row>
    <row r="102305" spans="6:6" x14ac:dyDescent="0.3">
      <c r="F102305" s="193"/>
    </row>
    <row r="102306" spans="6:6" x14ac:dyDescent="0.3">
      <c r="F102306" s="193"/>
    </row>
    <row r="102307" spans="6:6" x14ac:dyDescent="0.3">
      <c r="F102307" s="193"/>
    </row>
    <row r="102308" spans="6:6" x14ac:dyDescent="0.3">
      <c r="F102308" s="193"/>
    </row>
    <row r="102309" spans="6:6" x14ac:dyDescent="0.3">
      <c r="F102309" s="193"/>
    </row>
    <row r="102310" spans="6:6" x14ac:dyDescent="0.3">
      <c r="F102310" s="193"/>
    </row>
    <row r="102311" spans="6:6" x14ac:dyDescent="0.3">
      <c r="F102311" s="193"/>
    </row>
    <row r="102312" spans="6:6" x14ac:dyDescent="0.3">
      <c r="F102312" s="193"/>
    </row>
    <row r="102313" spans="6:6" x14ac:dyDescent="0.3">
      <c r="F102313" s="193"/>
    </row>
    <row r="102314" spans="6:6" x14ac:dyDescent="0.3">
      <c r="F102314" s="193"/>
    </row>
    <row r="102315" spans="6:6" x14ac:dyDescent="0.3">
      <c r="F102315" s="193"/>
    </row>
    <row r="102316" spans="6:6" x14ac:dyDescent="0.3">
      <c r="F102316" s="193"/>
    </row>
    <row r="102317" spans="6:6" x14ac:dyDescent="0.3">
      <c r="F102317" s="193"/>
    </row>
    <row r="102318" spans="6:6" x14ac:dyDescent="0.3">
      <c r="F102318" s="193"/>
    </row>
    <row r="102319" spans="6:6" x14ac:dyDescent="0.3">
      <c r="F102319" s="193"/>
    </row>
    <row r="102320" spans="6:6" x14ac:dyDescent="0.3">
      <c r="F102320" s="193"/>
    </row>
    <row r="102321" spans="6:6" x14ac:dyDescent="0.3">
      <c r="F102321" s="193"/>
    </row>
    <row r="102322" spans="6:6" x14ac:dyDescent="0.3">
      <c r="F102322" s="193"/>
    </row>
    <row r="102323" spans="6:6" x14ac:dyDescent="0.3">
      <c r="F102323" s="193"/>
    </row>
    <row r="102324" spans="6:6" x14ac:dyDescent="0.3">
      <c r="F102324" s="193"/>
    </row>
    <row r="102325" spans="6:6" x14ac:dyDescent="0.3">
      <c r="F102325" s="193"/>
    </row>
    <row r="102326" spans="6:6" x14ac:dyDescent="0.3">
      <c r="F102326" s="193"/>
    </row>
    <row r="102327" spans="6:6" x14ac:dyDescent="0.3">
      <c r="F102327" s="193"/>
    </row>
    <row r="102328" spans="6:6" x14ac:dyDescent="0.3">
      <c r="F102328" s="193"/>
    </row>
    <row r="102329" spans="6:6" x14ac:dyDescent="0.3">
      <c r="F102329" s="193"/>
    </row>
    <row r="102330" spans="6:6" x14ac:dyDescent="0.3">
      <c r="F102330" s="193"/>
    </row>
    <row r="102331" spans="6:6" x14ac:dyDescent="0.3">
      <c r="F102331" s="193"/>
    </row>
    <row r="102332" spans="6:6" x14ac:dyDescent="0.3">
      <c r="F102332" s="193"/>
    </row>
    <row r="102333" spans="6:6" x14ac:dyDescent="0.3">
      <c r="F102333" s="193"/>
    </row>
    <row r="102334" spans="6:6" x14ac:dyDescent="0.3">
      <c r="F102334" s="193"/>
    </row>
    <row r="102335" spans="6:6" x14ac:dyDescent="0.3">
      <c r="F102335" s="193"/>
    </row>
    <row r="102336" spans="6:6" x14ac:dyDescent="0.3">
      <c r="F102336" s="193"/>
    </row>
    <row r="102337" spans="6:6" x14ac:dyDescent="0.3">
      <c r="F102337" s="193"/>
    </row>
    <row r="102338" spans="6:6" x14ac:dyDescent="0.3">
      <c r="F102338" s="193"/>
    </row>
    <row r="102339" spans="6:6" x14ac:dyDescent="0.3">
      <c r="F102339" s="193"/>
    </row>
    <row r="102340" spans="6:6" x14ac:dyDescent="0.3">
      <c r="F102340" s="193"/>
    </row>
    <row r="102341" spans="6:6" x14ac:dyDescent="0.3">
      <c r="F102341" s="193"/>
    </row>
    <row r="102342" spans="6:6" x14ac:dyDescent="0.3">
      <c r="F102342" s="193"/>
    </row>
    <row r="102343" spans="6:6" x14ac:dyDescent="0.3">
      <c r="F102343" s="193"/>
    </row>
    <row r="102344" spans="6:6" x14ac:dyDescent="0.3">
      <c r="F102344" s="193"/>
    </row>
    <row r="102345" spans="6:6" x14ac:dyDescent="0.3">
      <c r="F102345" s="193"/>
    </row>
    <row r="102346" spans="6:6" x14ac:dyDescent="0.3">
      <c r="F102346" s="193"/>
    </row>
    <row r="102347" spans="6:6" x14ac:dyDescent="0.3">
      <c r="F102347" s="193"/>
    </row>
    <row r="102348" spans="6:6" x14ac:dyDescent="0.3">
      <c r="F102348" s="193"/>
    </row>
    <row r="102349" spans="6:6" x14ac:dyDescent="0.3">
      <c r="F102349" s="193"/>
    </row>
    <row r="102350" spans="6:6" x14ac:dyDescent="0.3">
      <c r="F102350" s="193"/>
    </row>
    <row r="102351" spans="6:6" x14ac:dyDescent="0.3">
      <c r="F102351" s="193"/>
    </row>
    <row r="102352" spans="6:6" x14ac:dyDescent="0.3">
      <c r="F102352" s="193"/>
    </row>
    <row r="102353" spans="6:6" x14ac:dyDescent="0.3">
      <c r="F102353" s="193"/>
    </row>
    <row r="102354" spans="6:6" x14ac:dyDescent="0.3">
      <c r="F102354" s="193"/>
    </row>
    <row r="102355" spans="6:6" x14ac:dyDescent="0.3">
      <c r="F102355" s="193"/>
    </row>
    <row r="102356" spans="6:6" x14ac:dyDescent="0.3">
      <c r="F102356" s="193"/>
    </row>
    <row r="102357" spans="6:6" x14ac:dyDescent="0.3">
      <c r="F102357" s="193"/>
    </row>
    <row r="102358" spans="6:6" x14ac:dyDescent="0.3">
      <c r="F102358" s="193"/>
    </row>
    <row r="102359" spans="6:6" x14ac:dyDescent="0.3">
      <c r="F102359" s="193"/>
    </row>
    <row r="102360" spans="6:6" x14ac:dyDescent="0.3">
      <c r="F102360" s="193"/>
    </row>
    <row r="102361" spans="6:6" x14ac:dyDescent="0.3">
      <c r="F102361" s="193"/>
    </row>
    <row r="102362" spans="6:6" x14ac:dyDescent="0.3">
      <c r="F102362" s="193"/>
    </row>
    <row r="102363" spans="6:6" x14ac:dyDescent="0.3">
      <c r="F102363" s="193"/>
    </row>
    <row r="102364" spans="6:6" x14ac:dyDescent="0.3">
      <c r="F102364" s="193"/>
    </row>
    <row r="102365" spans="6:6" x14ac:dyDescent="0.3">
      <c r="F102365" s="193"/>
    </row>
    <row r="102366" spans="6:6" x14ac:dyDescent="0.3">
      <c r="F102366" s="193"/>
    </row>
    <row r="102367" spans="6:6" x14ac:dyDescent="0.3">
      <c r="F102367" s="193"/>
    </row>
    <row r="102368" spans="6:6" x14ac:dyDescent="0.3">
      <c r="F102368" s="193"/>
    </row>
    <row r="102369" spans="6:6" x14ac:dyDescent="0.3">
      <c r="F102369" s="193"/>
    </row>
    <row r="102370" spans="6:6" x14ac:dyDescent="0.3">
      <c r="F102370" s="193"/>
    </row>
    <row r="102371" spans="6:6" x14ac:dyDescent="0.3">
      <c r="F102371" s="193"/>
    </row>
    <row r="102372" spans="6:6" x14ac:dyDescent="0.3">
      <c r="F102372" s="193"/>
    </row>
    <row r="102373" spans="6:6" x14ac:dyDescent="0.3">
      <c r="F102373" s="193"/>
    </row>
    <row r="102374" spans="6:6" x14ac:dyDescent="0.3">
      <c r="F102374" s="193"/>
    </row>
    <row r="102375" spans="6:6" x14ac:dyDescent="0.3">
      <c r="F102375" s="193"/>
    </row>
    <row r="102376" spans="6:6" x14ac:dyDescent="0.3">
      <c r="F102376" s="193"/>
    </row>
    <row r="102377" spans="6:6" x14ac:dyDescent="0.3">
      <c r="F102377" s="193"/>
    </row>
    <row r="102378" spans="6:6" x14ac:dyDescent="0.3">
      <c r="F102378" s="193"/>
    </row>
    <row r="102379" spans="6:6" x14ac:dyDescent="0.3">
      <c r="F102379" s="193"/>
    </row>
    <row r="102380" spans="6:6" x14ac:dyDescent="0.3">
      <c r="F102380" s="193"/>
    </row>
    <row r="102381" spans="6:6" x14ac:dyDescent="0.3">
      <c r="F102381" s="193"/>
    </row>
    <row r="102382" spans="6:6" x14ac:dyDescent="0.3">
      <c r="F102382" s="193"/>
    </row>
    <row r="102383" spans="6:6" x14ac:dyDescent="0.3">
      <c r="F102383" s="193"/>
    </row>
    <row r="102384" spans="6:6" x14ac:dyDescent="0.3">
      <c r="F102384" s="193"/>
    </row>
    <row r="102385" spans="6:6" x14ac:dyDescent="0.3">
      <c r="F102385" s="193"/>
    </row>
    <row r="102386" spans="6:6" x14ac:dyDescent="0.3">
      <c r="F102386" s="193"/>
    </row>
    <row r="102387" spans="6:6" x14ac:dyDescent="0.3">
      <c r="F102387" s="193"/>
    </row>
    <row r="102388" spans="6:6" x14ac:dyDescent="0.3">
      <c r="F102388" s="193"/>
    </row>
    <row r="102389" spans="6:6" x14ac:dyDescent="0.3">
      <c r="F102389" s="193"/>
    </row>
    <row r="102390" spans="6:6" x14ac:dyDescent="0.3">
      <c r="F102390" s="193"/>
    </row>
    <row r="102391" spans="6:6" x14ac:dyDescent="0.3">
      <c r="F102391" s="193"/>
    </row>
    <row r="102392" spans="6:6" x14ac:dyDescent="0.3">
      <c r="F102392" s="193"/>
    </row>
    <row r="102393" spans="6:6" x14ac:dyDescent="0.3">
      <c r="F102393" s="193"/>
    </row>
    <row r="102394" spans="6:6" x14ac:dyDescent="0.3">
      <c r="F102394" s="193"/>
    </row>
    <row r="102395" spans="6:6" x14ac:dyDescent="0.3">
      <c r="F102395" s="193"/>
    </row>
    <row r="102396" spans="6:6" x14ac:dyDescent="0.3">
      <c r="F102396" s="193"/>
    </row>
    <row r="102397" spans="6:6" x14ac:dyDescent="0.3">
      <c r="F102397" s="193"/>
    </row>
    <row r="102398" spans="6:6" x14ac:dyDescent="0.3">
      <c r="F102398" s="193"/>
    </row>
    <row r="102399" spans="6:6" x14ac:dyDescent="0.3">
      <c r="F102399" s="193"/>
    </row>
    <row r="102400" spans="6:6" x14ac:dyDescent="0.3">
      <c r="F102400" s="193"/>
    </row>
    <row r="102401" spans="6:6" x14ac:dyDescent="0.3">
      <c r="F102401" s="193"/>
    </row>
    <row r="102402" spans="6:6" x14ac:dyDescent="0.3">
      <c r="F102402" s="193"/>
    </row>
    <row r="102403" spans="6:6" x14ac:dyDescent="0.3">
      <c r="F102403" s="193"/>
    </row>
    <row r="102404" spans="6:6" x14ac:dyDescent="0.3">
      <c r="F102404" s="193"/>
    </row>
    <row r="102405" spans="6:6" x14ac:dyDescent="0.3">
      <c r="F102405" s="193"/>
    </row>
    <row r="102406" spans="6:6" x14ac:dyDescent="0.3">
      <c r="F102406" s="193"/>
    </row>
    <row r="102407" spans="6:6" x14ac:dyDescent="0.3">
      <c r="F102407" s="193"/>
    </row>
    <row r="102408" spans="6:6" x14ac:dyDescent="0.3">
      <c r="F102408" s="193"/>
    </row>
    <row r="102409" spans="6:6" x14ac:dyDescent="0.3">
      <c r="F102409" s="193"/>
    </row>
    <row r="102410" spans="6:6" x14ac:dyDescent="0.3">
      <c r="F102410" s="193"/>
    </row>
    <row r="102411" spans="6:6" x14ac:dyDescent="0.3">
      <c r="F102411" s="193"/>
    </row>
    <row r="102412" spans="6:6" x14ac:dyDescent="0.3">
      <c r="F102412" s="193"/>
    </row>
    <row r="102413" spans="6:6" x14ac:dyDescent="0.3">
      <c r="F102413" s="193"/>
    </row>
    <row r="102414" spans="6:6" x14ac:dyDescent="0.3">
      <c r="F102414" s="193"/>
    </row>
    <row r="102415" spans="6:6" x14ac:dyDescent="0.3">
      <c r="F102415" s="193"/>
    </row>
    <row r="102416" spans="6:6" x14ac:dyDescent="0.3">
      <c r="F102416" s="193"/>
    </row>
    <row r="102417" spans="6:6" x14ac:dyDescent="0.3">
      <c r="F102417" s="193"/>
    </row>
    <row r="102418" spans="6:6" x14ac:dyDescent="0.3">
      <c r="F102418" s="193"/>
    </row>
    <row r="102419" spans="6:6" x14ac:dyDescent="0.3">
      <c r="F102419" s="193"/>
    </row>
    <row r="102420" spans="6:6" x14ac:dyDescent="0.3">
      <c r="F102420" s="193"/>
    </row>
    <row r="102421" spans="6:6" x14ac:dyDescent="0.3">
      <c r="F102421" s="193"/>
    </row>
    <row r="102422" spans="6:6" x14ac:dyDescent="0.3">
      <c r="F102422" s="193"/>
    </row>
    <row r="102423" spans="6:6" x14ac:dyDescent="0.3">
      <c r="F102423" s="193"/>
    </row>
    <row r="102424" spans="6:6" x14ac:dyDescent="0.3">
      <c r="F102424" s="193"/>
    </row>
    <row r="102425" spans="6:6" x14ac:dyDescent="0.3">
      <c r="F102425" s="193"/>
    </row>
    <row r="102426" spans="6:6" x14ac:dyDescent="0.3">
      <c r="F102426" s="193"/>
    </row>
    <row r="102427" spans="6:6" x14ac:dyDescent="0.3">
      <c r="F102427" s="193"/>
    </row>
    <row r="102428" spans="6:6" x14ac:dyDescent="0.3">
      <c r="F102428" s="193"/>
    </row>
    <row r="102429" spans="6:6" x14ac:dyDescent="0.3">
      <c r="F102429" s="193"/>
    </row>
    <row r="102430" spans="6:6" x14ac:dyDescent="0.3">
      <c r="F102430" s="193"/>
    </row>
    <row r="102431" spans="6:6" x14ac:dyDescent="0.3">
      <c r="F102431" s="193"/>
    </row>
    <row r="102432" spans="6:6" x14ac:dyDescent="0.3">
      <c r="F102432" s="193"/>
    </row>
    <row r="102433" spans="6:6" x14ac:dyDescent="0.3">
      <c r="F102433" s="193"/>
    </row>
    <row r="102434" spans="6:6" x14ac:dyDescent="0.3">
      <c r="F102434" s="193"/>
    </row>
    <row r="102435" spans="6:6" x14ac:dyDescent="0.3">
      <c r="F102435" s="193"/>
    </row>
    <row r="102436" spans="6:6" x14ac:dyDescent="0.3">
      <c r="F102436" s="193"/>
    </row>
    <row r="102437" spans="6:6" x14ac:dyDescent="0.3">
      <c r="F102437" s="193"/>
    </row>
    <row r="102438" spans="6:6" x14ac:dyDescent="0.3">
      <c r="F102438" s="193"/>
    </row>
    <row r="102439" spans="6:6" x14ac:dyDescent="0.3">
      <c r="F102439" s="193"/>
    </row>
    <row r="102440" spans="6:6" x14ac:dyDescent="0.3">
      <c r="F102440" s="193"/>
    </row>
    <row r="102441" spans="6:6" x14ac:dyDescent="0.3">
      <c r="F102441" s="193"/>
    </row>
    <row r="102442" spans="6:6" x14ac:dyDescent="0.3">
      <c r="F102442" s="193"/>
    </row>
    <row r="102443" spans="6:6" x14ac:dyDescent="0.3">
      <c r="F102443" s="193"/>
    </row>
    <row r="102444" spans="6:6" x14ac:dyDescent="0.3">
      <c r="F102444" s="193"/>
    </row>
    <row r="102445" spans="6:6" x14ac:dyDescent="0.3">
      <c r="F102445" s="193"/>
    </row>
    <row r="102446" spans="6:6" x14ac:dyDescent="0.3">
      <c r="F102446" s="193"/>
    </row>
    <row r="102447" spans="6:6" x14ac:dyDescent="0.3">
      <c r="F102447" s="193"/>
    </row>
    <row r="102448" spans="6:6" x14ac:dyDescent="0.3">
      <c r="F102448" s="193"/>
    </row>
    <row r="102449" spans="6:6" x14ac:dyDescent="0.3">
      <c r="F102449" s="193"/>
    </row>
    <row r="102450" spans="6:6" x14ac:dyDescent="0.3">
      <c r="F102450" s="193"/>
    </row>
    <row r="102451" spans="6:6" x14ac:dyDescent="0.3">
      <c r="F102451" s="193"/>
    </row>
    <row r="102452" spans="6:6" x14ac:dyDescent="0.3">
      <c r="F102452" s="193"/>
    </row>
    <row r="102453" spans="6:6" x14ac:dyDescent="0.3">
      <c r="F102453" s="193"/>
    </row>
    <row r="102454" spans="6:6" x14ac:dyDescent="0.3">
      <c r="F102454" s="193"/>
    </row>
    <row r="102455" spans="6:6" x14ac:dyDescent="0.3">
      <c r="F102455" s="193"/>
    </row>
    <row r="102456" spans="6:6" x14ac:dyDescent="0.3">
      <c r="F102456" s="193"/>
    </row>
    <row r="102457" spans="6:6" x14ac:dyDescent="0.3">
      <c r="F102457" s="193"/>
    </row>
    <row r="102458" spans="6:6" x14ac:dyDescent="0.3">
      <c r="F102458" s="193"/>
    </row>
    <row r="102459" spans="6:6" x14ac:dyDescent="0.3">
      <c r="F102459" s="193"/>
    </row>
    <row r="102460" spans="6:6" x14ac:dyDescent="0.3">
      <c r="F102460" s="193"/>
    </row>
    <row r="102461" spans="6:6" x14ac:dyDescent="0.3">
      <c r="F102461" s="193"/>
    </row>
    <row r="102462" spans="6:6" x14ac:dyDescent="0.3">
      <c r="F102462" s="193"/>
    </row>
    <row r="102463" spans="6:6" x14ac:dyDescent="0.3">
      <c r="F102463" s="193"/>
    </row>
    <row r="102464" spans="6:6" x14ac:dyDescent="0.3">
      <c r="F102464" s="193"/>
    </row>
    <row r="102465" spans="6:6" x14ac:dyDescent="0.3">
      <c r="F102465" s="193"/>
    </row>
    <row r="102466" spans="6:6" x14ac:dyDescent="0.3">
      <c r="F102466" s="193"/>
    </row>
    <row r="102467" spans="6:6" x14ac:dyDescent="0.3">
      <c r="F102467" s="193"/>
    </row>
    <row r="102468" spans="6:6" x14ac:dyDescent="0.3">
      <c r="F102468" s="193"/>
    </row>
    <row r="102469" spans="6:6" x14ac:dyDescent="0.3">
      <c r="F102469" s="193"/>
    </row>
    <row r="102470" spans="6:6" x14ac:dyDescent="0.3">
      <c r="F102470" s="193"/>
    </row>
    <row r="102471" spans="6:6" x14ac:dyDescent="0.3">
      <c r="F102471" s="193"/>
    </row>
    <row r="102472" spans="6:6" x14ac:dyDescent="0.3">
      <c r="F102472" s="193"/>
    </row>
    <row r="102473" spans="6:6" x14ac:dyDescent="0.3">
      <c r="F102473" s="193"/>
    </row>
    <row r="102474" spans="6:6" x14ac:dyDescent="0.3">
      <c r="F102474" s="193"/>
    </row>
    <row r="102475" spans="6:6" x14ac:dyDescent="0.3">
      <c r="F102475" s="193"/>
    </row>
    <row r="102476" spans="6:6" x14ac:dyDescent="0.3">
      <c r="F102476" s="193"/>
    </row>
    <row r="102477" spans="6:6" x14ac:dyDescent="0.3">
      <c r="F102477" s="193"/>
    </row>
    <row r="102478" spans="6:6" x14ac:dyDescent="0.3">
      <c r="F102478" s="193"/>
    </row>
    <row r="102479" spans="6:6" x14ac:dyDescent="0.3">
      <c r="F102479" s="193"/>
    </row>
    <row r="102480" spans="6:6" x14ac:dyDescent="0.3">
      <c r="F102480" s="193"/>
    </row>
    <row r="102481" spans="6:6" x14ac:dyDescent="0.3">
      <c r="F102481" s="193"/>
    </row>
    <row r="102482" spans="6:6" x14ac:dyDescent="0.3">
      <c r="F102482" s="193"/>
    </row>
    <row r="102483" spans="6:6" x14ac:dyDescent="0.3">
      <c r="F102483" s="193"/>
    </row>
    <row r="102484" spans="6:6" x14ac:dyDescent="0.3">
      <c r="F102484" s="193"/>
    </row>
    <row r="102485" spans="6:6" x14ac:dyDescent="0.3">
      <c r="F102485" s="193"/>
    </row>
    <row r="102486" spans="6:6" x14ac:dyDescent="0.3">
      <c r="F102486" s="193"/>
    </row>
    <row r="102487" spans="6:6" x14ac:dyDescent="0.3">
      <c r="F102487" s="193"/>
    </row>
    <row r="102488" spans="6:6" x14ac:dyDescent="0.3">
      <c r="F102488" s="193"/>
    </row>
    <row r="102489" spans="6:6" x14ac:dyDescent="0.3">
      <c r="F102489" s="193"/>
    </row>
    <row r="102490" spans="6:6" x14ac:dyDescent="0.3">
      <c r="F102490" s="193"/>
    </row>
    <row r="102491" spans="6:6" x14ac:dyDescent="0.3">
      <c r="F102491" s="193"/>
    </row>
    <row r="102492" spans="6:6" x14ac:dyDescent="0.3">
      <c r="F102492" s="193"/>
    </row>
    <row r="102493" spans="6:6" x14ac:dyDescent="0.3">
      <c r="F102493" s="193"/>
    </row>
    <row r="102494" spans="6:6" x14ac:dyDescent="0.3">
      <c r="F102494" s="193"/>
    </row>
    <row r="102495" spans="6:6" x14ac:dyDescent="0.3">
      <c r="F102495" s="193"/>
    </row>
    <row r="102496" spans="6:6" x14ac:dyDescent="0.3">
      <c r="F102496" s="193"/>
    </row>
    <row r="102497" spans="6:6" x14ac:dyDescent="0.3">
      <c r="F102497" s="193"/>
    </row>
    <row r="102498" spans="6:6" x14ac:dyDescent="0.3">
      <c r="F102498" s="193"/>
    </row>
    <row r="102499" spans="6:6" x14ac:dyDescent="0.3">
      <c r="F102499" s="193"/>
    </row>
    <row r="102500" spans="6:6" x14ac:dyDescent="0.3">
      <c r="F102500" s="193"/>
    </row>
    <row r="102501" spans="6:6" x14ac:dyDescent="0.3">
      <c r="F102501" s="193"/>
    </row>
    <row r="102502" spans="6:6" x14ac:dyDescent="0.3">
      <c r="F102502" s="193"/>
    </row>
    <row r="102503" spans="6:6" x14ac:dyDescent="0.3">
      <c r="F102503" s="193"/>
    </row>
    <row r="102504" spans="6:6" x14ac:dyDescent="0.3">
      <c r="F102504" s="193"/>
    </row>
    <row r="102505" spans="6:6" x14ac:dyDescent="0.3">
      <c r="F102505" s="193"/>
    </row>
    <row r="102506" spans="6:6" x14ac:dyDescent="0.3">
      <c r="F102506" s="193"/>
    </row>
    <row r="102507" spans="6:6" x14ac:dyDescent="0.3">
      <c r="F102507" s="193"/>
    </row>
    <row r="102508" spans="6:6" x14ac:dyDescent="0.3">
      <c r="F102508" s="193"/>
    </row>
    <row r="102509" spans="6:6" x14ac:dyDescent="0.3">
      <c r="F102509" s="193"/>
    </row>
    <row r="102510" spans="6:6" x14ac:dyDescent="0.3">
      <c r="F102510" s="193"/>
    </row>
    <row r="102511" spans="6:6" x14ac:dyDescent="0.3">
      <c r="F102511" s="193"/>
    </row>
    <row r="102512" spans="6:6" x14ac:dyDescent="0.3">
      <c r="F102512" s="193"/>
    </row>
    <row r="102513" spans="6:6" x14ac:dyDescent="0.3">
      <c r="F102513" s="193"/>
    </row>
    <row r="102514" spans="6:6" x14ac:dyDescent="0.3">
      <c r="F102514" s="193"/>
    </row>
    <row r="102515" spans="6:6" x14ac:dyDescent="0.3">
      <c r="F102515" s="193"/>
    </row>
    <row r="102516" spans="6:6" x14ac:dyDescent="0.3">
      <c r="F102516" s="193"/>
    </row>
    <row r="102517" spans="6:6" x14ac:dyDescent="0.3">
      <c r="F102517" s="193"/>
    </row>
    <row r="102518" spans="6:6" x14ac:dyDescent="0.3">
      <c r="F102518" s="193"/>
    </row>
    <row r="102519" spans="6:6" x14ac:dyDescent="0.3">
      <c r="F102519" s="193"/>
    </row>
    <row r="102520" spans="6:6" x14ac:dyDescent="0.3">
      <c r="F102520" s="193"/>
    </row>
    <row r="102521" spans="6:6" x14ac:dyDescent="0.3">
      <c r="F102521" s="193"/>
    </row>
    <row r="102522" spans="6:6" x14ac:dyDescent="0.3">
      <c r="F102522" s="193"/>
    </row>
    <row r="102523" spans="6:6" x14ac:dyDescent="0.3">
      <c r="F102523" s="193"/>
    </row>
    <row r="102524" spans="6:6" x14ac:dyDescent="0.3">
      <c r="F102524" s="193"/>
    </row>
    <row r="102525" spans="6:6" x14ac:dyDescent="0.3">
      <c r="F102525" s="193"/>
    </row>
    <row r="102526" spans="6:6" x14ac:dyDescent="0.3">
      <c r="F102526" s="193"/>
    </row>
    <row r="102527" spans="6:6" x14ac:dyDescent="0.3">
      <c r="F102527" s="193"/>
    </row>
    <row r="102528" spans="6:6" x14ac:dyDescent="0.3">
      <c r="F102528" s="193"/>
    </row>
    <row r="102529" spans="6:6" x14ac:dyDescent="0.3">
      <c r="F102529" s="193"/>
    </row>
    <row r="102530" spans="6:6" x14ac:dyDescent="0.3">
      <c r="F102530" s="193"/>
    </row>
    <row r="102531" spans="6:6" x14ac:dyDescent="0.3">
      <c r="F102531" s="193"/>
    </row>
    <row r="102532" spans="6:6" x14ac:dyDescent="0.3">
      <c r="F102532" s="193"/>
    </row>
    <row r="102533" spans="6:6" x14ac:dyDescent="0.3">
      <c r="F102533" s="193"/>
    </row>
    <row r="102534" spans="6:6" x14ac:dyDescent="0.3">
      <c r="F102534" s="193"/>
    </row>
    <row r="102535" spans="6:6" x14ac:dyDescent="0.3">
      <c r="F102535" s="193"/>
    </row>
    <row r="102536" spans="6:6" x14ac:dyDescent="0.3">
      <c r="F102536" s="193"/>
    </row>
    <row r="102537" spans="6:6" x14ac:dyDescent="0.3">
      <c r="F102537" s="193"/>
    </row>
    <row r="102538" spans="6:6" x14ac:dyDescent="0.3">
      <c r="F102538" s="193"/>
    </row>
    <row r="102539" spans="6:6" x14ac:dyDescent="0.3">
      <c r="F102539" s="193"/>
    </row>
    <row r="102540" spans="6:6" x14ac:dyDescent="0.3">
      <c r="F102540" s="193"/>
    </row>
    <row r="102541" spans="6:6" x14ac:dyDescent="0.3">
      <c r="F102541" s="193"/>
    </row>
    <row r="102542" spans="6:6" x14ac:dyDescent="0.3">
      <c r="F102542" s="193"/>
    </row>
    <row r="102543" spans="6:6" x14ac:dyDescent="0.3">
      <c r="F102543" s="193"/>
    </row>
    <row r="102544" spans="6:6" x14ac:dyDescent="0.3">
      <c r="F102544" s="193"/>
    </row>
    <row r="102545" spans="6:6" x14ac:dyDescent="0.3">
      <c r="F102545" s="193"/>
    </row>
    <row r="102546" spans="6:6" x14ac:dyDescent="0.3">
      <c r="F102546" s="193"/>
    </row>
    <row r="102547" spans="6:6" x14ac:dyDescent="0.3">
      <c r="F102547" s="193"/>
    </row>
    <row r="102548" spans="6:6" x14ac:dyDescent="0.3">
      <c r="F102548" s="193"/>
    </row>
    <row r="102549" spans="6:6" x14ac:dyDescent="0.3">
      <c r="F102549" s="193"/>
    </row>
    <row r="102550" spans="6:6" x14ac:dyDescent="0.3">
      <c r="F102550" s="193"/>
    </row>
    <row r="102551" spans="6:6" x14ac:dyDescent="0.3">
      <c r="F102551" s="193"/>
    </row>
    <row r="102552" spans="6:6" x14ac:dyDescent="0.3">
      <c r="F102552" s="193"/>
    </row>
    <row r="102553" spans="6:6" x14ac:dyDescent="0.3">
      <c r="F102553" s="193"/>
    </row>
    <row r="102554" spans="6:6" x14ac:dyDescent="0.3">
      <c r="F102554" s="193"/>
    </row>
    <row r="102555" spans="6:6" x14ac:dyDescent="0.3">
      <c r="F102555" s="193"/>
    </row>
    <row r="102556" spans="6:6" x14ac:dyDescent="0.3">
      <c r="F102556" s="193"/>
    </row>
    <row r="102557" spans="6:6" x14ac:dyDescent="0.3">
      <c r="F102557" s="193"/>
    </row>
    <row r="102558" spans="6:6" x14ac:dyDescent="0.3">
      <c r="F102558" s="193"/>
    </row>
    <row r="102559" spans="6:6" x14ac:dyDescent="0.3">
      <c r="F102559" s="193"/>
    </row>
    <row r="102560" spans="6:6" x14ac:dyDescent="0.3">
      <c r="F102560" s="193"/>
    </row>
    <row r="102561" spans="6:6" x14ac:dyDescent="0.3">
      <c r="F102561" s="193"/>
    </row>
    <row r="102562" spans="6:6" x14ac:dyDescent="0.3">
      <c r="F102562" s="193"/>
    </row>
    <row r="102563" spans="6:6" x14ac:dyDescent="0.3">
      <c r="F102563" s="193"/>
    </row>
    <row r="102564" spans="6:6" x14ac:dyDescent="0.3">
      <c r="F102564" s="193"/>
    </row>
    <row r="102565" spans="6:6" x14ac:dyDescent="0.3">
      <c r="F102565" s="193"/>
    </row>
    <row r="102566" spans="6:6" x14ac:dyDescent="0.3">
      <c r="F102566" s="193"/>
    </row>
    <row r="102567" spans="6:6" x14ac:dyDescent="0.3">
      <c r="F102567" s="193"/>
    </row>
    <row r="102568" spans="6:6" x14ac:dyDescent="0.3">
      <c r="F102568" s="193"/>
    </row>
    <row r="102569" spans="6:6" x14ac:dyDescent="0.3">
      <c r="F102569" s="193"/>
    </row>
    <row r="102570" spans="6:6" x14ac:dyDescent="0.3">
      <c r="F102570" s="193"/>
    </row>
    <row r="102571" spans="6:6" x14ac:dyDescent="0.3">
      <c r="F102571" s="193"/>
    </row>
    <row r="102572" spans="6:6" x14ac:dyDescent="0.3">
      <c r="F102572" s="193"/>
    </row>
    <row r="102573" spans="6:6" x14ac:dyDescent="0.3">
      <c r="F102573" s="193"/>
    </row>
    <row r="102574" spans="6:6" x14ac:dyDescent="0.3">
      <c r="F102574" s="193"/>
    </row>
    <row r="102575" spans="6:6" x14ac:dyDescent="0.3">
      <c r="F102575" s="193"/>
    </row>
    <row r="102576" spans="6:6" x14ac:dyDescent="0.3">
      <c r="F102576" s="193"/>
    </row>
    <row r="102577" spans="6:6" x14ac:dyDescent="0.3">
      <c r="F102577" s="193"/>
    </row>
    <row r="102578" spans="6:6" x14ac:dyDescent="0.3">
      <c r="F102578" s="193"/>
    </row>
    <row r="102579" spans="6:6" x14ac:dyDescent="0.3">
      <c r="F102579" s="193"/>
    </row>
    <row r="102580" spans="6:6" x14ac:dyDescent="0.3">
      <c r="F102580" s="193"/>
    </row>
    <row r="102581" spans="6:6" x14ac:dyDescent="0.3">
      <c r="F102581" s="193"/>
    </row>
    <row r="102582" spans="6:6" x14ac:dyDescent="0.3">
      <c r="F102582" s="193"/>
    </row>
    <row r="102583" spans="6:6" x14ac:dyDescent="0.3">
      <c r="F102583" s="193"/>
    </row>
    <row r="102584" spans="6:6" x14ac:dyDescent="0.3">
      <c r="F102584" s="193"/>
    </row>
    <row r="102585" spans="6:6" x14ac:dyDescent="0.3">
      <c r="F102585" s="193"/>
    </row>
    <row r="102586" spans="6:6" x14ac:dyDescent="0.3">
      <c r="F102586" s="193"/>
    </row>
    <row r="102587" spans="6:6" x14ac:dyDescent="0.3">
      <c r="F102587" s="193"/>
    </row>
    <row r="102588" spans="6:6" x14ac:dyDescent="0.3">
      <c r="F102588" s="193"/>
    </row>
    <row r="102589" spans="6:6" x14ac:dyDescent="0.3">
      <c r="F102589" s="193"/>
    </row>
    <row r="102590" spans="6:6" x14ac:dyDescent="0.3">
      <c r="F102590" s="193"/>
    </row>
    <row r="102591" spans="6:6" x14ac:dyDescent="0.3">
      <c r="F102591" s="193"/>
    </row>
    <row r="102592" spans="6:6" x14ac:dyDescent="0.3">
      <c r="F102592" s="193"/>
    </row>
    <row r="102593" spans="6:6" x14ac:dyDescent="0.3">
      <c r="F102593" s="193"/>
    </row>
    <row r="102594" spans="6:6" x14ac:dyDescent="0.3">
      <c r="F102594" s="193"/>
    </row>
    <row r="102595" spans="6:6" x14ac:dyDescent="0.3">
      <c r="F102595" s="193"/>
    </row>
    <row r="102596" spans="6:6" x14ac:dyDescent="0.3">
      <c r="F102596" s="193"/>
    </row>
    <row r="102597" spans="6:6" x14ac:dyDescent="0.3">
      <c r="F102597" s="193"/>
    </row>
    <row r="102598" spans="6:6" x14ac:dyDescent="0.3">
      <c r="F102598" s="193"/>
    </row>
    <row r="102599" spans="6:6" x14ac:dyDescent="0.3">
      <c r="F102599" s="193"/>
    </row>
    <row r="102600" spans="6:6" x14ac:dyDescent="0.3">
      <c r="F102600" s="193"/>
    </row>
    <row r="102601" spans="6:6" x14ac:dyDescent="0.3">
      <c r="F102601" s="193"/>
    </row>
    <row r="102602" spans="6:6" x14ac:dyDescent="0.3">
      <c r="F102602" s="193"/>
    </row>
    <row r="102603" spans="6:6" x14ac:dyDescent="0.3">
      <c r="F102603" s="193"/>
    </row>
    <row r="102604" spans="6:6" x14ac:dyDescent="0.3">
      <c r="F102604" s="193"/>
    </row>
    <row r="102605" spans="6:6" x14ac:dyDescent="0.3">
      <c r="F102605" s="193"/>
    </row>
    <row r="102606" spans="6:6" x14ac:dyDescent="0.3">
      <c r="F102606" s="193"/>
    </row>
    <row r="102607" spans="6:6" x14ac:dyDescent="0.3">
      <c r="F102607" s="193"/>
    </row>
    <row r="102608" spans="6:6" x14ac:dyDescent="0.3">
      <c r="F102608" s="193"/>
    </row>
    <row r="102609" spans="6:6" x14ac:dyDescent="0.3">
      <c r="F102609" s="193"/>
    </row>
    <row r="102610" spans="6:6" x14ac:dyDescent="0.3">
      <c r="F102610" s="193"/>
    </row>
    <row r="102611" spans="6:6" x14ac:dyDescent="0.3">
      <c r="F102611" s="193"/>
    </row>
    <row r="102612" spans="6:6" x14ac:dyDescent="0.3">
      <c r="F102612" s="193"/>
    </row>
    <row r="102613" spans="6:6" x14ac:dyDescent="0.3">
      <c r="F102613" s="193"/>
    </row>
    <row r="102614" spans="6:6" x14ac:dyDescent="0.3">
      <c r="F102614" s="193"/>
    </row>
    <row r="102615" spans="6:6" x14ac:dyDescent="0.3">
      <c r="F102615" s="193"/>
    </row>
    <row r="102616" spans="6:6" x14ac:dyDescent="0.3">
      <c r="F102616" s="193"/>
    </row>
    <row r="102617" spans="6:6" x14ac:dyDescent="0.3">
      <c r="F102617" s="193"/>
    </row>
    <row r="102618" spans="6:6" x14ac:dyDescent="0.3">
      <c r="F102618" s="193"/>
    </row>
    <row r="102619" spans="6:6" x14ac:dyDescent="0.3">
      <c r="F102619" s="193"/>
    </row>
    <row r="102620" spans="6:6" x14ac:dyDescent="0.3">
      <c r="F102620" s="193"/>
    </row>
    <row r="102621" spans="6:6" x14ac:dyDescent="0.3">
      <c r="F102621" s="193"/>
    </row>
    <row r="102622" spans="6:6" x14ac:dyDescent="0.3">
      <c r="F102622" s="193"/>
    </row>
    <row r="102623" spans="6:6" x14ac:dyDescent="0.3">
      <c r="F102623" s="193"/>
    </row>
    <row r="102624" spans="6:6" x14ac:dyDescent="0.3">
      <c r="F102624" s="193"/>
    </row>
    <row r="102625" spans="6:6" x14ac:dyDescent="0.3">
      <c r="F102625" s="193"/>
    </row>
    <row r="102626" spans="6:6" x14ac:dyDescent="0.3">
      <c r="F102626" s="193"/>
    </row>
    <row r="102627" spans="6:6" x14ac:dyDescent="0.3">
      <c r="F102627" s="193"/>
    </row>
    <row r="102628" spans="6:6" x14ac:dyDescent="0.3">
      <c r="F102628" s="193"/>
    </row>
    <row r="102629" spans="6:6" x14ac:dyDescent="0.3">
      <c r="F102629" s="193"/>
    </row>
    <row r="102630" spans="6:6" x14ac:dyDescent="0.3">
      <c r="F102630" s="193"/>
    </row>
    <row r="102631" spans="6:6" x14ac:dyDescent="0.3">
      <c r="F102631" s="193"/>
    </row>
    <row r="102632" spans="6:6" x14ac:dyDescent="0.3">
      <c r="F102632" s="193"/>
    </row>
    <row r="102633" spans="6:6" x14ac:dyDescent="0.3">
      <c r="F102633" s="193"/>
    </row>
    <row r="102634" spans="6:6" x14ac:dyDescent="0.3">
      <c r="F102634" s="193"/>
    </row>
    <row r="102635" spans="6:6" x14ac:dyDescent="0.3">
      <c r="F102635" s="193"/>
    </row>
    <row r="102636" spans="6:6" x14ac:dyDescent="0.3">
      <c r="F102636" s="193"/>
    </row>
    <row r="102637" spans="6:6" x14ac:dyDescent="0.3">
      <c r="F102637" s="193"/>
    </row>
    <row r="102638" spans="6:6" x14ac:dyDescent="0.3">
      <c r="F102638" s="193"/>
    </row>
    <row r="102639" spans="6:6" x14ac:dyDescent="0.3">
      <c r="F102639" s="193"/>
    </row>
    <row r="102640" spans="6:6" x14ac:dyDescent="0.3">
      <c r="F102640" s="193"/>
    </row>
    <row r="102641" spans="6:6" x14ac:dyDescent="0.3">
      <c r="F102641" s="193"/>
    </row>
    <row r="102642" spans="6:6" x14ac:dyDescent="0.3">
      <c r="F102642" s="193"/>
    </row>
    <row r="102643" spans="6:6" x14ac:dyDescent="0.3">
      <c r="F102643" s="193"/>
    </row>
    <row r="102644" spans="6:6" x14ac:dyDescent="0.3">
      <c r="F102644" s="193"/>
    </row>
    <row r="102645" spans="6:6" x14ac:dyDescent="0.3">
      <c r="F102645" s="193"/>
    </row>
    <row r="102646" spans="6:6" x14ac:dyDescent="0.3">
      <c r="F102646" s="193"/>
    </row>
    <row r="102647" spans="6:6" x14ac:dyDescent="0.3">
      <c r="F102647" s="193"/>
    </row>
    <row r="102648" spans="6:6" x14ac:dyDescent="0.3">
      <c r="F102648" s="193"/>
    </row>
    <row r="102649" spans="6:6" x14ac:dyDescent="0.3">
      <c r="F102649" s="193"/>
    </row>
    <row r="102650" spans="6:6" x14ac:dyDescent="0.3">
      <c r="F102650" s="193"/>
    </row>
    <row r="102651" spans="6:6" x14ac:dyDescent="0.3">
      <c r="F102651" s="193"/>
    </row>
    <row r="102652" spans="6:6" x14ac:dyDescent="0.3">
      <c r="F102652" s="193"/>
    </row>
    <row r="102653" spans="6:6" x14ac:dyDescent="0.3">
      <c r="F102653" s="193"/>
    </row>
    <row r="102654" spans="6:6" x14ac:dyDescent="0.3">
      <c r="F102654" s="193"/>
    </row>
    <row r="102655" spans="6:6" x14ac:dyDescent="0.3">
      <c r="F102655" s="193"/>
    </row>
    <row r="102656" spans="6:6" x14ac:dyDescent="0.3">
      <c r="F102656" s="193"/>
    </row>
    <row r="102657" spans="6:6" x14ac:dyDescent="0.3">
      <c r="F102657" s="193"/>
    </row>
    <row r="102658" spans="6:6" x14ac:dyDescent="0.3">
      <c r="F102658" s="193"/>
    </row>
    <row r="102659" spans="6:6" x14ac:dyDescent="0.3">
      <c r="F102659" s="193"/>
    </row>
    <row r="102660" spans="6:6" x14ac:dyDescent="0.3">
      <c r="F102660" s="193"/>
    </row>
    <row r="102661" spans="6:6" x14ac:dyDescent="0.3">
      <c r="F102661" s="193"/>
    </row>
    <row r="102662" spans="6:6" x14ac:dyDescent="0.3">
      <c r="F102662" s="193"/>
    </row>
    <row r="102663" spans="6:6" x14ac:dyDescent="0.3">
      <c r="F102663" s="193"/>
    </row>
    <row r="102664" spans="6:6" x14ac:dyDescent="0.3">
      <c r="F102664" s="193"/>
    </row>
    <row r="102665" spans="6:6" x14ac:dyDescent="0.3">
      <c r="F102665" s="193"/>
    </row>
    <row r="102666" spans="6:6" x14ac:dyDescent="0.3">
      <c r="F102666" s="193"/>
    </row>
    <row r="102667" spans="6:6" x14ac:dyDescent="0.3">
      <c r="F102667" s="193"/>
    </row>
    <row r="102668" spans="6:6" x14ac:dyDescent="0.3">
      <c r="F102668" s="193"/>
    </row>
    <row r="102669" spans="6:6" x14ac:dyDescent="0.3">
      <c r="F102669" s="193"/>
    </row>
    <row r="102670" spans="6:6" x14ac:dyDescent="0.3">
      <c r="F102670" s="193"/>
    </row>
    <row r="102671" spans="6:6" x14ac:dyDescent="0.3">
      <c r="F102671" s="193"/>
    </row>
    <row r="102672" spans="6:6" x14ac:dyDescent="0.3">
      <c r="F102672" s="193"/>
    </row>
    <row r="102673" spans="6:6" x14ac:dyDescent="0.3">
      <c r="F102673" s="193"/>
    </row>
    <row r="102674" spans="6:6" x14ac:dyDescent="0.3">
      <c r="F102674" s="193"/>
    </row>
    <row r="102675" spans="6:6" x14ac:dyDescent="0.3">
      <c r="F102675" s="193"/>
    </row>
    <row r="102676" spans="6:6" x14ac:dyDescent="0.3">
      <c r="F102676" s="193"/>
    </row>
    <row r="102677" spans="6:6" x14ac:dyDescent="0.3">
      <c r="F102677" s="193"/>
    </row>
    <row r="102678" spans="6:6" x14ac:dyDescent="0.3">
      <c r="F102678" s="193"/>
    </row>
    <row r="102679" spans="6:6" x14ac:dyDescent="0.3">
      <c r="F102679" s="193"/>
    </row>
    <row r="102680" spans="6:6" x14ac:dyDescent="0.3">
      <c r="F102680" s="193"/>
    </row>
    <row r="102681" spans="6:6" x14ac:dyDescent="0.3">
      <c r="F102681" s="193"/>
    </row>
    <row r="102682" spans="6:6" x14ac:dyDescent="0.3">
      <c r="F102682" s="193"/>
    </row>
    <row r="102683" spans="6:6" x14ac:dyDescent="0.3">
      <c r="F102683" s="193"/>
    </row>
    <row r="102684" spans="6:6" x14ac:dyDescent="0.3">
      <c r="F102684" s="193"/>
    </row>
    <row r="102685" spans="6:6" x14ac:dyDescent="0.3">
      <c r="F102685" s="193"/>
    </row>
    <row r="102686" spans="6:6" x14ac:dyDescent="0.3">
      <c r="F102686" s="193"/>
    </row>
    <row r="102687" spans="6:6" x14ac:dyDescent="0.3">
      <c r="F102687" s="193"/>
    </row>
    <row r="102688" spans="6:6" x14ac:dyDescent="0.3">
      <c r="F102688" s="193"/>
    </row>
    <row r="102689" spans="6:6" x14ac:dyDescent="0.3">
      <c r="F102689" s="193"/>
    </row>
    <row r="102690" spans="6:6" x14ac:dyDescent="0.3">
      <c r="F102690" s="193"/>
    </row>
    <row r="102691" spans="6:6" x14ac:dyDescent="0.3">
      <c r="F102691" s="193"/>
    </row>
    <row r="102692" spans="6:6" x14ac:dyDescent="0.3">
      <c r="F102692" s="193"/>
    </row>
    <row r="102693" spans="6:6" x14ac:dyDescent="0.3">
      <c r="F102693" s="193"/>
    </row>
    <row r="102694" spans="6:6" x14ac:dyDescent="0.3">
      <c r="F102694" s="193"/>
    </row>
    <row r="102695" spans="6:6" x14ac:dyDescent="0.3">
      <c r="F102695" s="193"/>
    </row>
    <row r="102696" spans="6:6" x14ac:dyDescent="0.3">
      <c r="F102696" s="193"/>
    </row>
    <row r="102697" spans="6:6" x14ac:dyDescent="0.3">
      <c r="F102697" s="193"/>
    </row>
    <row r="102698" spans="6:6" x14ac:dyDescent="0.3">
      <c r="F102698" s="193"/>
    </row>
    <row r="102699" spans="6:6" x14ac:dyDescent="0.3">
      <c r="F102699" s="193"/>
    </row>
    <row r="102700" spans="6:6" x14ac:dyDescent="0.3">
      <c r="F102700" s="193"/>
    </row>
    <row r="102701" spans="6:6" x14ac:dyDescent="0.3">
      <c r="F102701" s="193"/>
    </row>
    <row r="102702" spans="6:6" x14ac:dyDescent="0.3">
      <c r="F102702" s="193"/>
    </row>
    <row r="102703" spans="6:6" x14ac:dyDescent="0.3">
      <c r="F102703" s="193"/>
    </row>
    <row r="102704" spans="6:6" x14ac:dyDescent="0.3">
      <c r="F102704" s="193"/>
    </row>
    <row r="102705" spans="6:6" x14ac:dyDescent="0.3">
      <c r="F102705" s="193"/>
    </row>
    <row r="102706" spans="6:6" x14ac:dyDescent="0.3">
      <c r="F102706" s="193"/>
    </row>
    <row r="102707" spans="6:6" x14ac:dyDescent="0.3">
      <c r="F102707" s="193"/>
    </row>
    <row r="102708" spans="6:6" x14ac:dyDescent="0.3">
      <c r="F102708" s="193"/>
    </row>
    <row r="102709" spans="6:6" x14ac:dyDescent="0.3">
      <c r="F102709" s="193"/>
    </row>
    <row r="102710" spans="6:6" x14ac:dyDescent="0.3">
      <c r="F102710" s="193"/>
    </row>
    <row r="102711" spans="6:6" x14ac:dyDescent="0.3">
      <c r="F102711" s="193"/>
    </row>
    <row r="102712" spans="6:6" x14ac:dyDescent="0.3">
      <c r="F102712" s="193"/>
    </row>
    <row r="102713" spans="6:6" x14ac:dyDescent="0.3">
      <c r="F102713" s="193"/>
    </row>
    <row r="102714" spans="6:6" x14ac:dyDescent="0.3">
      <c r="F102714" s="193"/>
    </row>
    <row r="102715" spans="6:6" x14ac:dyDescent="0.3">
      <c r="F102715" s="193"/>
    </row>
    <row r="102716" spans="6:6" x14ac:dyDescent="0.3">
      <c r="F102716" s="193"/>
    </row>
    <row r="102717" spans="6:6" x14ac:dyDescent="0.3">
      <c r="F102717" s="193"/>
    </row>
    <row r="102718" spans="6:6" x14ac:dyDescent="0.3">
      <c r="F102718" s="193"/>
    </row>
    <row r="102719" spans="6:6" x14ac:dyDescent="0.3">
      <c r="F102719" s="193"/>
    </row>
    <row r="102720" spans="6:6" x14ac:dyDescent="0.3">
      <c r="F102720" s="193"/>
    </row>
    <row r="102721" spans="6:6" x14ac:dyDescent="0.3">
      <c r="F102721" s="193"/>
    </row>
    <row r="102722" spans="6:6" x14ac:dyDescent="0.3">
      <c r="F102722" s="193"/>
    </row>
    <row r="102723" spans="6:6" x14ac:dyDescent="0.3">
      <c r="F102723" s="193"/>
    </row>
    <row r="102724" spans="6:6" x14ac:dyDescent="0.3">
      <c r="F102724" s="193"/>
    </row>
    <row r="102725" spans="6:6" x14ac:dyDescent="0.3">
      <c r="F102725" s="193"/>
    </row>
    <row r="102726" spans="6:6" x14ac:dyDescent="0.3">
      <c r="F102726" s="193"/>
    </row>
    <row r="102727" spans="6:6" x14ac:dyDescent="0.3">
      <c r="F102727" s="193"/>
    </row>
    <row r="102728" spans="6:6" x14ac:dyDescent="0.3">
      <c r="F102728" s="193"/>
    </row>
    <row r="102729" spans="6:6" x14ac:dyDescent="0.3">
      <c r="F102729" s="193"/>
    </row>
    <row r="102730" spans="6:6" x14ac:dyDescent="0.3">
      <c r="F102730" s="193"/>
    </row>
    <row r="102731" spans="6:6" x14ac:dyDescent="0.3">
      <c r="F102731" s="193"/>
    </row>
    <row r="102732" spans="6:6" x14ac:dyDescent="0.3">
      <c r="F102732" s="193"/>
    </row>
    <row r="102733" spans="6:6" x14ac:dyDescent="0.3">
      <c r="F102733" s="193"/>
    </row>
    <row r="102734" spans="6:6" x14ac:dyDescent="0.3">
      <c r="F102734" s="193"/>
    </row>
    <row r="102735" spans="6:6" x14ac:dyDescent="0.3">
      <c r="F102735" s="193"/>
    </row>
    <row r="102736" spans="6:6" x14ac:dyDescent="0.3">
      <c r="F102736" s="193"/>
    </row>
    <row r="102737" spans="6:6" x14ac:dyDescent="0.3">
      <c r="F102737" s="193"/>
    </row>
    <row r="102738" spans="6:6" x14ac:dyDescent="0.3">
      <c r="F102738" s="193"/>
    </row>
    <row r="102739" spans="6:6" x14ac:dyDescent="0.3">
      <c r="F102739" s="193"/>
    </row>
    <row r="102740" spans="6:6" x14ac:dyDescent="0.3">
      <c r="F102740" s="193"/>
    </row>
    <row r="102741" spans="6:6" x14ac:dyDescent="0.3">
      <c r="F102741" s="193"/>
    </row>
    <row r="102742" spans="6:6" x14ac:dyDescent="0.3">
      <c r="F102742" s="193"/>
    </row>
    <row r="102743" spans="6:6" x14ac:dyDescent="0.3">
      <c r="F102743" s="193"/>
    </row>
    <row r="102744" spans="6:6" x14ac:dyDescent="0.3">
      <c r="F102744" s="193"/>
    </row>
    <row r="102745" spans="6:6" x14ac:dyDescent="0.3">
      <c r="F102745" s="193"/>
    </row>
    <row r="102746" spans="6:6" x14ac:dyDescent="0.3">
      <c r="F102746" s="193"/>
    </row>
    <row r="102747" spans="6:6" x14ac:dyDescent="0.3">
      <c r="F102747" s="193"/>
    </row>
    <row r="102748" spans="6:6" x14ac:dyDescent="0.3">
      <c r="F102748" s="193"/>
    </row>
    <row r="102749" spans="6:6" x14ac:dyDescent="0.3">
      <c r="F102749" s="193"/>
    </row>
    <row r="102750" spans="6:6" x14ac:dyDescent="0.3">
      <c r="F102750" s="193"/>
    </row>
    <row r="102751" spans="6:6" x14ac:dyDescent="0.3">
      <c r="F102751" s="193"/>
    </row>
    <row r="102752" spans="6:6" x14ac:dyDescent="0.3">
      <c r="F102752" s="193"/>
    </row>
    <row r="102753" spans="6:6" x14ac:dyDescent="0.3">
      <c r="F102753" s="193"/>
    </row>
    <row r="102754" spans="6:6" x14ac:dyDescent="0.3">
      <c r="F102754" s="193"/>
    </row>
    <row r="102755" spans="6:6" x14ac:dyDescent="0.3">
      <c r="F102755" s="193"/>
    </row>
    <row r="102756" spans="6:6" x14ac:dyDescent="0.3">
      <c r="F102756" s="193"/>
    </row>
    <row r="102757" spans="6:6" x14ac:dyDescent="0.3">
      <c r="F102757" s="193"/>
    </row>
    <row r="102758" spans="6:6" x14ac:dyDescent="0.3">
      <c r="F102758" s="193"/>
    </row>
    <row r="102759" spans="6:6" x14ac:dyDescent="0.3">
      <c r="F102759" s="193"/>
    </row>
    <row r="102760" spans="6:6" x14ac:dyDescent="0.3">
      <c r="F102760" s="193"/>
    </row>
    <row r="102761" spans="6:6" x14ac:dyDescent="0.3">
      <c r="F102761" s="193"/>
    </row>
    <row r="102762" spans="6:6" x14ac:dyDescent="0.3">
      <c r="F102762" s="193"/>
    </row>
    <row r="102763" spans="6:6" x14ac:dyDescent="0.3">
      <c r="F102763" s="193"/>
    </row>
    <row r="102764" spans="6:6" x14ac:dyDescent="0.3">
      <c r="F102764" s="193"/>
    </row>
    <row r="102765" spans="6:6" x14ac:dyDescent="0.3">
      <c r="F102765" s="193"/>
    </row>
    <row r="102766" spans="6:6" x14ac:dyDescent="0.3">
      <c r="F102766" s="193"/>
    </row>
    <row r="102767" spans="6:6" x14ac:dyDescent="0.3">
      <c r="F102767" s="193"/>
    </row>
    <row r="102768" spans="6:6" x14ac:dyDescent="0.3">
      <c r="F102768" s="193"/>
    </row>
    <row r="102769" spans="6:6" x14ac:dyDescent="0.3">
      <c r="F102769" s="193"/>
    </row>
    <row r="102770" spans="6:6" x14ac:dyDescent="0.3">
      <c r="F102770" s="193"/>
    </row>
    <row r="102771" spans="6:6" x14ac:dyDescent="0.3">
      <c r="F102771" s="193"/>
    </row>
    <row r="102772" spans="6:6" x14ac:dyDescent="0.3">
      <c r="F102772" s="193"/>
    </row>
    <row r="102773" spans="6:6" x14ac:dyDescent="0.3">
      <c r="F102773" s="193"/>
    </row>
    <row r="102774" spans="6:6" x14ac:dyDescent="0.3">
      <c r="F102774" s="193"/>
    </row>
    <row r="102775" spans="6:6" x14ac:dyDescent="0.3">
      <c r="F102775" s="193"/>
    </row>
    <row r="102776" spans="6:6" x14ac:dyDescent="0.3">
      <c r="F102776" s="193"/>
    </row>
    <row r="102777" spans="6:6" x14ac:dyDescent="0.3">
      <c r="F102777" s="193"/>
    </row>
    <row r="102778" spans="6:6" x14ac:dyDescent="0.3">
      <c r="F102778" s="193"/>
    </row>
    <row r="102779" spans="6:6" x14ac:dyDescent="0.3">
      <c r="F102779" s="193"/>
    </row>
    <row r="102780" spans="6:6" x14ac:dyDescent="0.3">
      <c r="F102780" s="193"/>
    </row>
    <row r="102781" spans="6:6" x14ac:dyDescent="0.3">
      <c r="F102781" s="193"/>
    </row>
    <row r="102782" spans="6:6" x14ac:dyDescent="0.3">
      <c r="F102782" s="193"/>
    </row>
    <row r="102783" spans="6:6" x14ac:dyDescent="0.3">
      <c r="F102783" s="193"/>
    </row>
    <row r="102784" spans="6:6" x14ac:dyDescent="0.3">
      <c r="F102784" s="193"/>
    </row>
    <row r="102785" spans="6:6" x14ac:dyDescent="0.3">
      <c r="F102785" s="193"/>
    </row>
    <row r="102786" spans="6:6" x14ac:dyDescent="0.3">
      <c r="F102786" s="193"/>
    </row>
    <row r="102787" spans="6:6" x14ac:dyDescent="0.3">
      <c r="F102787" s="193"/>
    </row>
    <row r="102788" spans="6:6" x14ac:dyDescent="0.3">
      <c r="F102788" s="193"/>
    </row>
    <row r="102789" spans="6:6" x14ac:dyDescent="0.3">
      <c r="F102789" s="193"/>
    </row>
    <row r="102790" spans="6:6" x14ac:dyDescent="0.3">
      <c r="F102790" s="193"/>
    </row>
    <row r="102791" spans="6:6" x14ac:dyDescent="0.3">
      <c r="F102791" s="193"/>
    </row>
    <row r="102792" spans="6:6" x14ac:dyDescent="0.3">
      <c r="F102792" s="193"/>
    </row>
    <row r="102793" spans="6:6" x14ac:dyDescent="0.3">
      <c r="F102793" s="193"/>
    </row>
    <row r="102794" spans="6:6" x14ac:dyDescent="0.3">
      <c r="F102794" s="193"/>
    </row>
    <row r="102795" spans="6:6" x14ac:dyDescent="0.3">
      <c r="F102795" s="193"/>
    </row>
    <row r="102796" spans="6:6" x14ac:dyDescent="0.3">
      <c r="F102796" s="193"/>
    </row>
    <row r="102797" spans="6:6" x14ac:dyDescent="0.3">
      <c r="F102797" s="193"/>
    </row>
    <row r="102798" spans="6:6" x14ac:dyDescent="0.3">
      <c r="F102798" s="193"/>
    </row>
    <row r="102799" spans="6:6" x14ac:dyDescent="0.3">
      <c r="F102799" s="193"/>
    </row>
    <row r="102800" spans="6:6" x14ac:dyDescent="0.3">
      <c r="F102800" s="193"/>
    </row>
    <row r="102801" spans="6:6" x14ac:dyDescent="0.3">
      <c r="F102801" s="193"/>
    </row>
    <row r="102802" spans="6:6" x14ac:dyDescent="0.3">
      <c r="F102802" s="193"/>
    </row>
    <row r="102803" spans="6:6" x14ac:dyDescent="0.3">
      <c r="F102803" s="193"/>
    </row>
    <row r="102804" spans="6:6" x14ac:dyDescent="0.3">
      <c r="F102804" s="193"/>
    </row>
    <row r="102805" spans="6:6" x14ac:dyDescent="0.3">
      <c r="F102805" s="193"/>
    </row>
    <row r="102806" spans="6:6" x14ac:dyDescent="0.3">
      <c r="F102806" s="193"/>
    </row>
    <row r="102807" spans="6:6" x14ac:dyDescent="0.3">
      <c r="F102807" s="193"/>
    </row>
    <row r="102808" spans="6:6" x14ac:dyDescent="0.3">
      <c r="F102808" s="193"/>
    </row>
    <row r="102809" spans="6:6" x14ac:dyDescent="0.3">
      <c r="F102809" s="193"/>
    </row>
    <row r="102810" spans="6:6" x14ac:dyDescent="0.3">
      <c r="F102810" s="193"/>
    </row>
    <row r="102811" spans="6:6" x14ac:dyDescent="0.3">
      <c r="F102811" s="193"/>
    </row>
    <row r="102812" spans="6:6" x14ac:dyDescent="0.3">
      <c r="F102812" s="193"/>
    </row>
    <row r="102813" spans="6:6" x14ac:dyDescent="0.3">
      <c r="F102813" s="193"/>
    </row>
    <row r="102814" spans="6:6" x14ac:dyDescent="0.3">
      <c r="F102814" s="193"/>
    </row>
    <row r="102815" spans="6:6" x14ac:dyDescent="0.3">
      <c r="F102815" s="193"/>
    </row>
    <row r="102816" spans="6:6" x14ac:dyDescent="0.3">
      <c r="F102816" s="193"/>
    </row>
    <row r="102817" spans="6:6" x14ac:dyDescent="0.3">
      <c r="F102817" s="193"/>
    </row>
    <row r="102818" spans="6:6" x14ac:dyDescent="0.3">
      <c r="F102818" s="193"/>
    </row>
    <row r="102819" spans="6:6" x14ac:dyDescent="0.3">
      <c r="F102819" s="193"/>
    </row>
    <row r="102820" spans="6:6" x14ac:dyDescent="0.3">
      <c r="F102820" s="193"/>
    </row>
    <row r="102821" spans="6:6" x14ac:dyDescent="0.3">
      <c r="F102821" s="193"/>
    </row>
    <row r="102822" spans="6:6" x14ac:dyDescent="0.3">
      <c r="F102822" s="193"/>
    </row>
    <row r="102823" spans="6:6" x14ac:dyDescent="0.3">
      <c r="F102823" s="193"/>
    </row>
    <row r="102824" spans="6:6" x14ac:dyDescent="0.3">
      <c r="F102824" s="193"/>
    </row>
    <row r="102825" spans="6:6" x14ac:dyDescent="0.3">
      <c r="F102825" s="193"/>
    </row>
    <row r="102826" spans="6:6" x14ac:dyDescent="0.3">
      <c r="F102826" s="193"/>
    </row>
    <row r="102827" spans="6:6" x14ac:dyDescent="0.3">
      <c r="F102827" s="193"/>
    </row>
    <row r="102828" spans="6:6" x14ac:dyDescent="0.3">
      <c r="F102828" s="193"/>
    </row>
    <row r="102829" spans="6:6" x14ac:dyDescent="0.3">
      <c r="F102829" s="193"/>
    </row>
    <row r="102830" spans="6:6" x14ac:dyDescent="0.3">
      <c r="F102830" s="193"/>
    </row>
    <row r="102831" spans="6:6" x14ac:dyDescent="0.3">
      <c r="F102831" s="193"/>
    </row>
    <row r="102832" spans="6:6" x14ac:dyDescent="0.3">
      <c r="F102832" s="193"/>
    </row>
    <row r="102833" spans="6:6" x14ac:dyDescent="0.3">
      <c r="F102833" s="193"/>
    </row>
    <row r="102834" spans="6:6" x14ac:dyDescent="0.3">
      <c r="F102834" s="193"/>
    </row>
    <row r="102835" spans="6:6" x14ac:dyDescent="0.3">
      <c r="F102835" s="193"/>
    </row>
    <row r="102836" spans="6:6" x14ac:dyDescent="0.3">
      <c r="F102836" s="193"/>
    </row>
    <row r="102837" spans="6:6" x14ac:dyDescent="0.3">
      <c r="F102837" s="193"/>
    </row>
    <row r="102838" spans="6:6" x14ac:dyDescent="0.3">
      <c r="F102838" s="193"/>
    </row>
    <row r="102839" spans="6:6" x14ac:dyDescent="0.3">
      <c r="F102839" s="193"/>
    </row>
    <row r="102840" spans="6:6" x14ac:dyDescent="0.3">
      <c r="F102840" s="193"/>
    </row>
    <row r="102841" spans="6:6" x14ac:dyDescent="0.3">
      <c r="F102841" s="193"/>
    </row>
    <row r="102842" spans="6:6" x14ac:dyDescent="0.3">
      <c r="F102842" s="193"/>
    </row>
    <row r="102843" spans="6:6" x14ac:dyDescent="0.3">
      <c r="F102843" s="193"/>
    </row>
    <row r="102844" spans="6:6" x14ac:dyDescent="0.3">
      <c r="F102844" s="193"/>
    </row>
    <row r="102845" spans="6:6" x14ac:dyDescent="0.3">
      <c r="F102845" s="193"/>
    </row>
    <row r="102846" spans="6:6" x14ac:dyDescent="0.3">
      <c r="F102846" s="193"/>
    </row>
    <row r="102847" spans="6:6" x14ac:dyDescent="0.3">
      <c r="F102847" s="193"/>
    </row>
    <row r="102848" spans="6:6" x14ac:dyDescent="0.3">
      <c r="F102848" s="193"/>
    </row>
    <row r="102849" spans="6:6" x14ac:dyDescent="0.3">
      <c r="F102849" s="193"/>
    </row>
    <row r="102850" spans="6:6" x14ac:dyDescent="0.3">
      <c r="F102850" s="193"/>
    </row>
    <row r="102851" spans="6:6" x14ac:dyDescent="0.3">
      <c r="F102851" s="193"/>
    </row>
    <row r="102852" spans="6:6" x14ac:dyDescent="0.3">
      <c r="F102852" s="193"/>
    </row>
    <row r="102853" spans="6:6" x14ac:dyDescent="0.3">
      <c r="F102853" s="193"/>
    </row>
    <row r="102854" spans="6:6" x14ac:dyDescent="0.3">
      <c r="F102854" s="193"/>
    </row>
    <row r="102855" spans="6:6" x14ac:dyDescent="0.3">
      <c r="F102855" s="193"/>
    </row>
    <row r="102856" spans="6:6" x14ac:dyDescent="0.3">
      <c r="F102856" s="193"/>
    </row>
    <row r="102857" spans="6:6" x14ac:dyDescent="0.3">
      <c r="F102857" s="193"/>
    </row>
    <row r="102858" spans="6:6" x14ac:dyDescent="0.3">
      <c r="F102858" s="193"/>
    </row>
    <row r="102859" spans="6:6" x14ac:dyDescent="0.3">
      <c r="F102859" s="193"/>
    </row>
    <row r="102860" spans="6:6" x14ac:dyDescent="0.3">
      <c r="F102860" s="193"/>
    </row>
    <row r="102861" spans="6:6" x14ac:dyDescent="0.3">
      <c r="F102861" s="193"/>
    </row>
    <row r="102862" spans="6:6" x14ac:dyDescent="0.3">
      <c r="F102862" s="193"/>
    </row>
    <row r="102863" spans="6:6" x14ac:dyDescent="0.3">
      <c r="F102863" s="193"/>
    </row>
    <row r="102864" spans="6:6" x14ac:dyDescent="0.3">
      <c r="F102864" s="193"/>
    </row>
    <row r="102865" spans="6:6" x14ac:dyDescent="0.3">
      <c r="F102865" s="193"/>
    </row>
    <row r="102866" spans="6:6" x14ac:dyDescent="0.3">
      <c r="F102866" s="193"/>
    </row>
    <row r="102867" spans="6:6" x14ac:dyDescent="0.3">
      <c r="F102867" s="193"/>
    </row>
    <row r="102868" spans="6:6" x14ac:dyDescent="0.3">
      <c r="F102868" s="193"/>
    </row>
    <row r="102869" spans="6:6" x14ac:dyDescent="0.3">
      <c r="F102869" s="193"/>
    </row>
    <row r="102870" spans="6:6" x14ac:dyDescent="0.3">
      <c r="F102870" s="193"/>
    </row>
    <row r="102871" spans="6:6" x14ac:dyDescent="0.3">
      <c r="F102871" s="193"/>
    </row>
    <row r="102872" spans="6:6" x14ac:dyDescent="0.3">
      <c r="F102872" s="193"/>
    </row>
    <row r="102873" spans="6:6" x14ac:dyDescent="0.3">
      <c r="F102873" s="193"/>
    </row>
    <row r="102874" spans="6:6" x14ac:dyDescent="0.3">
      <c r="F102874" s="193"/>
    </row>
    <row r="102875" spans="6:6" x14ac:dyDescent="0.3">
      <c r="F102875" s="193"/>
    </row>
    <row r="102876" spans="6:6" x14ac:dyDescent="0.3">
      <c r="F102876" s="193"/>
    </row>
    <row r="102877" spans="6:6" x14ac:dyDescent="0.3">
      <c r="F102877" s="193"/>
    </row>
    <row r="102878" spans="6:6" x14ac:dyDescent="0.3">
      <c r="F102878" s="193"/>
    </row>
    <row r="102879" spans="6:6" x14ac:dyDescent="0.3">
      <c r="F102879" s="193"/>
    </row>
    <row r="102880" spans="6:6" x14ac:dyDescent="0.3">
      <c r="F102880" s="193"/>
    </row>
    <row r="102881" spans="6:6" x14ac:dyDescent="0.3">
      <c r="F102881" s="193"/>
    </row>
    <row r="102882" spans="6:6" x14ac:dyDescent="0.3">
      <c r="F102882" s="193"/>
    </row>
    <row r="102883" spans="6:6" x14ac:dyDescent="0.3">
      <c r="F102883" s="193"/>
    </row>
    <row r="102884" spans="6:6" x14ac:dyDescent="0.3">
      <c r="F102884" s="193"/>
    </row>
    <row r="102885" spans="6:6" x14ac:dyDescent="0.3">
      <c r="F102885" s="193"/>
    </row>
    <row r="102886" spans="6:6" x14ac:dyDescent="0.3">
      <c r="F102886" s="193"/>
    </row>
    <row r="102887" spans="6:6" x14ac:dyDescent="0.3">
      <c r="F102887" s="193"/>
    </row>
    <row r="102888" spans="6:6" x14ac:dyDescent="0.3">
      <c r="F102888" s="193"/>
    </row>
    <row r="102889" spans="6:6" x14ac:dyDescent="0.3">
      <c r="F102889" s="193"/>
    </row>
    <row r="102890" spans="6:6" x14ac:dyDescent="0.3">
      <c r="F102890" s="193"/>
    </row>
    <row r="102891" spans="6:6" x14ac:dyDescent="0.3">
      <c r="F102891" s="193"/>
    </row>
    <row r="102892" spans="6:6" x14ac:dyDescent="0.3">
      <c r="F102892" s="193"/>
    </row>
    <row r="102893" spans="6:6" x14ac:dyDescent="0.3">
      <c r="F102893" s="193"/>
    </row>
    <row r="102894" spans="6:6" x14ac:dyDescent="0.3">
      <c r="F102894" s="193"/>
    </row>
    <row r="102895" spans="6:6" x14ac:dyDescent="0.3">
      <c r="F102895" s="193"/>
    </row>
    <row r="102896" spans="6:6" x14ac:dyDescent="0.3">
      <c r="F102896" s="193"/>
    </row>
    <row r="102897" spans="6:6" x14ac:dyDescent="0.3">
      <c r="F102897" s="193"/>
    </row>
    <row r="102898" spans="6:6" x14ac:dyDescent="0.3">
      <c r="F102898" s="193"/>
    </row>
    <row r="102899" spans="6:6" x14ac:dyDescent="0.3">
      <c r="F102899" s="193"/>
    </row>
    <row r="102900" spans="6:6" x14ac:dyDescent="0.3">
      <c r="F102900" s="193"/>
    </row>
    <row r="102901" spans="6:6" x14ac:dyDescent="0.3">
      <c r="F102901" s="193"/>
    </row>
    <row r="102902" spans="6:6" x14ac:dyDescent="0.3">
      <c r="F102902" s="193"/>
    </row>
    <row r="102903" spans="6:6" x14ac:dyDescent="0.3">
      <c r="F102903" s="193"/>
    </row>
    <row r="102904" spans="6:6" x14ac:dyDescent="0.3">
      <c r="F102904" s="193"/>
    </row>
    <row r="102905" spans="6:6" x14ac:dyDescent="0.3">
      <c r="F102905" s="193"/>
    </row>
    <row r="102906" spans="6:6" x14ac:dyDescent="0.3">
      <c r="F102906" s="193"/>
    </row>
    <row r="102907" spans="6:6" x14ac:dyDescent="0.3">
      <c r="F102907" s="193"/>
    </row>
    <row r="102908" spans="6:6" x14ac:dyDescent="0.3">
      <c r="F102908" s="193"/>
    </row>
    <row r="102909" spans="6:6" x14ac:dyDescent="0.3">
      <c r="F102909" s="193"/>
    </row>
    <row r="102910" spans="6:6" x14ac:dyDescent="0.3">
      <c r="F102910" s="193"/>
    </row>
    <row r="102911" spans="6:6" x14ac:dyDescent="0.3">
      <c r="F102911" s="193"/>
    </row>
    <row r="102912" spans="6:6" x14ac:dyDescent="0.3">
      <c r="F102912" s="193"/>
    </row>
    <row r="102913" spans="6:6" x14ac:dyDescent="0.3">
      <c r="F102913" s="193"/>
    </row>
    <row r="102914" spans="6:6" x14ac:dyDescent="0.3">
      <c r="F102914" s="193"/>
    </row>
    <row r="102915" spans="6:6" x14ac:dyDescent="0.3">
      <c r="F102915" s="193"/>
    </row>
    <row r="102916" spans="6:6" x14ac:dyDescent="0.3">
      <c r="F102916" s="193"/>
    </row>
    <row r="102917" spans="6:6" x14ac:dyDescent="0.3">
      <c r="F102917" s="193"/>
    </row>
    <row r="102918" spans="6:6" x14ac:dyDescent="0.3">
      <c r="F102918" s="193"/>
    </row>
    <row r="102919" spans="6:6" x14ac:dyDescent="0.3">
      <c r="F102919" s="193"/>
    </row>
    <row r="102920" spans="6:6" x14ac:dyDescent="0.3">
      <c r="F102920" s="193"/>
    </row>
    <row r="102921" spans="6:6" x14ac:dyDescent="0.3">
      <c r="F102921" s="193"/>
    </row>
    <row r="102922" spans="6:6" x14ac:dyDescent="0.3">
      <c r="F102922" s="193"/>
    </row>
    <row r="102923" spans="6:6" x14ac:dyDescent="0.3">
      <c r="F102923" s="193"/>
    </row>
    <row r="102924" spans="6:6" x14ac:dyDescent="0.3">
      <c r="F102924" s="193"/>
    </row>
    <row r="102925" spans="6:6" x14ac:dyDescent="0.3">
      <c r="F102925" s="193"/>
    </row>
    <row r="102926" spans="6:6" x14ac:dyDescent="0.3">
      <c r="F102926" s="193"/>
    </row>
    <row r="102927" spans="6:6" x14ac:dyDescent="0.3">
      <c r="F102927" s="193"/>
    </row>
    <row r="102928" spans="6:6" x14ac:dyDescent="0.3">
      <c r="F102928" s="193"/>
    </row>
    <row r="102929" spans="6:6" x14ac:dyDescent="0.3">
      <c r="F102929" s="193"/>
    </row>
    <row r="102930" spans="6:6" x14ac:dyDescent="0.3">
      <c r="F102930" s="193"/>
    </row>
    <row r="102931" spans="6:6" x14ac:dyDescent="0.3">
      <c r="F102931" s="193"/>
    </row>
    <row r="102932" spans="6:6" x14ac:dyDescent="0.3">
      <c r="F102932" s="193"/>
    </row>
    <row r="102933" spans="6:6" x14ac:dyDescent="0.3">
      <c r="F102933" s="193"/>
    </row>
    <row r="102934" spans="6:6" x14ac:dyDescent="0.3">
      <c r="F102934" s="193"/>
    </row>
    <row r="102935" spans="6:6" x14ac:dyDescent="0.3">
      <c r="F102935" s="193"/>
    </row>
    <row r="102936" spans="6:6" x14ac:dyDescent="0.3">
      <c r="F102936" s="193"/>
    </row>
    <row r="102937" spans="6:6" x14ac:dyDescent="0.3">
      <c r="F102937" s="193"/>
    </row>
    <row r="102938" spans="6:6" x14ac:dyDescent="0.3">
      <c r="F102938" s="193"/>
    </row>
    <row r="102939" spans="6:6" x14ac:dyDescent="0.3">
      <c r="F102939" s="193"/>
    </row>
    <row r="102940" spans="6:6" x14ac:dyDescent="0.3">
      <c r="F102940" s="193"/>
    </row>
    <row r="102941" spans="6:6" x14ac:dyDescent="0.3">
      <c r="F102941" s="193"/>
    </row>
    <row r="102942" spans="6:6" x14ac:dyDescent="0.3">
      <c r="F102942" s="193"/>
    </row>
    <row r="102943" spans="6:6" x14ac:dyDescent="0.3">
      <c r="F102943" s="193"/>
    </row>
    <row r="102944" spans="6:6" x14ac:dyDescent="0.3">
      <c r="F102944" s="193"/>
    </row>
    <row r="102945" spans="6:6" x14ac:dyDescent="0.3">
      <c r="F102945" s="193"/>
    </row>
    <row r="102946" spans="6:6" x14ac:dyDescent="0.3">
      <c r="F102946" s="193"/>
    </row>
    <row r="102947" spans="6:6" x14ac:dyDescent="0.3">
      <c r="F102947" s="193"/>
    </row>
    <row r="102948" spans="6:6" x14ac:dyDescent="0.3">
      <c r="F102948" s="193"/>
    </row>
    <row r="102949" spans="6:6" x14ac:dyDescent="0.3">
      <c r="F102949" s="193"/>
    </row>
    <row r="102950" spans="6:6" x14ac:dyDescent="0.3">
      <c r="F102950" s="193"/>
    </row>
    <row r="102951" spans="6:6" x14ac:dyDescent="0.3">
      <c r="F102951" s="193"/>
    </row>
    <row r="102952" spans="6:6" x14ac:dyDescent="0.3">
      <c r="F102952" s="193"/>
    </row>
    <row r="102953" spans="6:6" x14ac:dyDescent="0.3">
      <c r="F102953" s="193"/>
    </row>
    <row r="102954" spans="6:6" x14ac:dyDescent="0.3">
      <c r="F102954" s="193"/>
    </row>
    <row r="102955" spans="6:6" x14ac:dyDescent="0.3">
      <c r="F102955" s="193"/>
    </row>
    <row r="102956" spans="6:6" x14ac:dyDescent="0.3">
      <c r="F102956" s="193"/>
    </row>
    <row r="102957" spans="6:6" x14ac:dyDescent="0.3">
      <c r="F102957" s="193"/>
    </row>
    <row r="102958" spans="6:6" x14ac:dyDescent="0.3">
      <c r="F102958" s="193"/>
    </row>
    <row r="102959" spans="6:6" x14ac:dyDescent="0.3">
      <c r="F102959" s="193"/>
    </row>
    <row r="102960" spans="6:6" x14ac:dyDescent="0.3">
      <c r="F102960" s="193"/>
    </row>
    <row r="102961" spans="6:6" x14ac:dyDescent="0.3">
      <c r="F102961" s="193"/>
    </row>
    <row r="102962" spans="6:6" x14ac:dyDescent="0.3">
      <c r="F102962" s="193"/>
    </row>
    <row r="102963" spans="6:6" x14ac:dyDescent="0.3">
      <c r="F102963" s="193"/>
    </row>
    <row r="102964" spans="6:6" x14ac:dyDescent="0.3">
      <c r="F102964" s="193"/>
    </row>
    <row r="102965" spans="6:6" x14ac:dyDescent="0.3">
      <c r="F102965" s="193"/>
    </row>
    <row r="102966" spans="6:6" x14ac:dyDescent="0.3">
      <c r="F102966" s="193"/>
    </row>
    <row r="102967" spans="6:6" x14ac:dyDescent="0.3">
      <c r="F102967" s="193"/>
    </row>
    <row r="102968" spans="6:6" x14ac:dyDescent="0.3">
      <c r="F102968" s="193"/>
    </row>
    <row r="102969" spans="6:6" x14ac:dyDescent="0.3">
      <c r="F102969" s="193"/>
    </row>
    <row r="102970" spans="6:6" x14ac:dyDescent="0.3">
      <c r="F102970" s="193"/>
    </row>
    <row r="102971" spans="6:6" x14ac:dyDescent="0.3">
      <c r="F102971" s="193"/>
    </row>
    <row r="102972" spans="6:6" x14ac:dyDescent="0.3">
      <c r="F102972" s="193"/>
    </row>
    <row r="102973" spans="6:6" x14ac:dyDescent="0.3">
      <c r="F102973" s="193"/>
    </row>
    <row r="102974" spans="6:6" x14ac:dyDescent="0.3">
      <c r="F102974" s="193"/>
    </row>
    <row r="102975" spans="6:6" x14ac:dyDescent="0.3">
      <c r="F102975" s="193"/>
    </row>
    <row r="102976" spans="6:6" x14ac:dyDescent="0.3">
      <c r="F102976" s="193"/>
    </row>
    <row r="102977" spans="6:6" x14ac:dyDescent="0.3">
      <c r="F102977" s="193"/>
    </row>
    <row r="102978" spans="6:6" x14ac:dyDescent="0.3">
      <c r="F102978" s="193"/>
    </row>
    <row r="102979" spans="6:6" x14ac:dyDescent="0.3">
      <c r="F102979" s="193"/>
    </row>
    <row r="102980" spans="6:6" x14ac:dyDescent="0.3">
      <c r="F102980" s="193"/>
    </row>
    <row r="102981" spans="6:6" x14ac:dyDescent="0.3">
      <c r="F102981" s="193"/>
    </row>
    <row r="102982" spans="6:6" x14ac:dyDescent="0.3">
      <c r="F102982" s="193"/>
    </row>
    <row r="102983" spans="6:6" x14ac:dyDescent="0.3">
      <c r="F102983" s="193"/>
    </row>
    <row r="102984" spans="6:6" x14ac:dyDescent="0.3">
      <c r="F102984" s="193"/>
    </row>
    <row r="102985" spans="6:6" x14ac:dyDescent="0.3">
      <c r="F102985" s="193"/>
    </row>
    <row r="102986" spans="6:6" x14ac:dyDescent="0.3">
      <c r="F102986" s="193"/>
    </row>
    <row r="102987" spans="6:6" x14ac:dyDescent="0.3">
      <c r="F102987" s="193"/>
    </row>
    <row r="102988" spans="6:6" x14ac:dyDescent="0.3">
      <c r="F102988" s="193"/>
    </row>
    <row r="102989" spans="6:6" x14ac:dyDescent="0.3">
      <c r="F102989" s="193"/>
    </row>
    <row r="102990" spans="6:6" x14ac:dyDescent="0.3">
      <c r="F102990" s="193"/>
    </row>
    <row r="102991" spans="6:6" x14ac:dyDescent="0.3">
      <c r="F102991" s="193"/>
    </row>
    <row r="102992" spans="6:6" x14ac:dyDescent="0.3">
      <c r="F102992" s="193"/>
    </row>
    <row r="102993" spans="6:6" x14ac:dyDescent="0.3">
      <c r="F102993" s="193"/>
    </row>
    <row r="102994" spans="6:6" x14ac:dyDescent="0.3">
      <c r="F102994" s="193"/>
    </row>
    <row r="102995" spans="6:6" x14ac:dyDescent="0.3">
      <c r="F102995" s="193"/>
    </row>
    <row r="102996" spans="6:6" x14ac:dyDescent="0.3">
      <c r="F102996" s="193"/>
    </row>
    <row r="102997" spans="6:6" x14ac:dyDescent="0.3">
      <c r="F102997" s="193"/>
    </row>
    <row r="102998" spans="6:6" x14ac:dyDescent="0.3">
      <c r="F102998" s="193"/>
    </row>
    <row r="102999" spans="6:6" x14ac:dyDescent="0.3">
      <c r="F102999" s="193"/>
    </row>
    <row r="103000" spans="6:6" x14ac:dyDescent="0.3">
      <c r="F103000" s="193"/>
    </row>
    <row r="103001" spans="6:6" x14ac:dyDescent="0.3">
      <c r="F103001" s="193"/>
    </row>
    <row r="103002" spans="6:6" x14ac:dyDescent="0.3">
      <c r="F103002" s="193"/>
    </row>
    <row r="103003" spans="6:6" x14ac:dyDescent="0.3">
      <c r="F103003" s="193"/>
    </row>
    <row r="103004" spans="6:6" x14ac:dyDescent="0.3">
      <c r="F103004" s="193"/>
    </row>
    <row r="103005" spans="6:6" x14ac:dyDescent="0.3">
      <c r="F103005" s="193"/>
    </row>
    <row r="103006" spans="6:6" x14ac:dyDescent="0.3">
      <c r="F103006" s="193"/>
    </row>
    <row r="103007" spans="6:6" x14ac:dyDescent="0.3">
      <c r="F103007" s="193"/>
    </row>
    <row r="103008" spans="6:6" x14ac:dyDescent="0.3">
      <c r="F103008" s="193"/>
    </row>
    <row r="103009" spans="6:6" x14ac:dyDescent="0.3">
      <c r="F103009" s="193"/>
    </row>
    <row r="103010" spans="6:6" x14ac:dyDescent="0.3">
      <c r="F103010" s="193"/>
    </row>
    <row r="103011" spans="6:6" x14ac:dyDescent="0.3">
      <c r="F103011" s="193"/>
    </row>
    <row r="103012" spans="6:6" x14ac:dyDescent="0.3">
      <c r="F103012" s="193"/>
    </row>
    <row r="103013" spans="6:6" x14ac:dyDescent="0.3">
      <c r="F103013" s="193"/>
    </row>
    <row r="103014" spans="6:6" x14ac:dyDescent="0.3">
      <c r="F103014" s="193"/>
    </row>
    <row r="103015" spans="6:6" x14ac:dyDescent="0.3">
      <c r="F103015" s="193"/>
    </row>
    <row r="103016" spans="6:6" x14ac:dyDescent="0.3">
      <c r="F103016" s="193"/>
    </row>
    <row r="103017" spans="6:6" x14ac:dyDescent="0.3">
      <c r="F103017" s="193"/>
    </row>
    <row r="103018" spans="6:6" x14ac:dyDescent="0.3">
      <c r="F103018" s="193"/>
    </row>
    <row r="103019" spans="6:6" x14ac:dyDescent="0.3">
      <c r="F103019" s="193"/>
    </row>
    <row r="103020" spans="6:6" x14ac:dyDescent="0.3">
      <c r="F103020" s="193"/>
    </row>
    <row r="103021" spans="6:6" x14ac:dyDescent="0.3">
      <c r="F103021" s="193"/>
    </row>
    <row r="103022" spans="6:6" x14ac:dyDescent="0.3">
      <c r="F103022" s="193"/>
    </row>
    <row r="103023" spans="6:6" x14ac:dyDescent="0.3">
      <c r="F103023" s="193"/>
    </row>
    <row r="103024" spans="6:6" x14ac:dyDescent="0.3">
      <c r="F103024" s="193"/>
    </row>
    <row r="103025" spans="6:6" x14ac:dyDescent="0.3">
      <c r="F103025" s="193"/>
    </row>
    <row r="103026" spans="6:6" x14ac:dyDescent="0.3">
      <c r="F103026" s="193"/>
    </row>
    <row r="103027" spans="6:6" x14ac:dyDescent="0.3">
      <c r="F103027" s="193"/>
    </row>
    <row r="103028" spans="6:6" x14ac:dyDescent="0.3">
      <c r="F103028" s="193"/>
    </row>
    <row r="103029" spans="6:6" x14ac:dyDescent="0.3">
      <c r="F103029" s="193"/>
    </row>
    <row r="103030" spans="6:6" x14ac:dyDescent="0.3">
      <c r="F103030" s="193"/>
    </row>
    <row r="103031" spans="6:6" x14ac:dyDescent="0.3">
      <c r="F103031" s="193"/>
    </row>
    <row r="103032" spans="6:6" x14ac:dyDescent="0.3">
      <c r="F103032" s="193"/>
    </row>
    <row r="103033" spans="6:6" x14ac:dyDescent="0.3">
      <c r="F103033" s="193"/>
    </row>
    <row r="103034" spans="6:6" x14ac:dyDescent="0.3">
      <c r="F103034" s="193"/>
    </row>
    <row r="103035" spans="6:6" x14ac:dyDescent="0.3">
      <c r="F103035" s="193"/>
    </row>
    <row r="103036" spans="6:6" x14ac:dyDescent="0.3">
      <c r="F103036" s="193"/>
    </row>
    <row r="103037" spans="6:6" x14ac:dyDescent="0.3">
      <c r="F103037" s="193"/>
    </row>
    <row r="103038" spans="6:6" x14ac:dyDescent="0.3">
      <c r="F103038" s="193"/>
    </row>
    <row r="103039" spans="6:6" x14ac:dyDescent="0.3">
      <c r="F103039" s="193"/>
    </row>
    <row r="103040" spans="6:6" x14ac:dyDescent="0.3">
      <c r="F103040" s="193"/>
    </row>
    <row r="103041" spans="6:6" x14ac:dyDescent="0.3">
      <c r="F103041" s="193"/>
    </row>
    <row r="103042" spans="6:6" x14ac:dyDescent="0.3">
      <c r="F103042" s="193"/>
    </row>
    <row r="103043" spans="6:6" x14ac:dyDescent="0.3">
      <c r="F103043" s="193"/>
    </row>
    <row r="103044" spans="6:6" x14ac:dyDescent="0.3">
      <c r="F103044" s="193"/>
    </row>
    <row r="103045" spans="6:6" x14ac:dyDescent="0.3">
      <c r="F103045" s="193"/>
    </row>
    <row r="103046" spans="6:6" x14ac:dyDescent="0.3">
      <c r="F103046" s="193"/>
    </row>
    <row r="103047" spans="6:6" x14ac:dyDescent="0.3">
      <c r="F103047" s="193"/>
    </row>
    <row r="103048" spans="6:6" x14ac:dyDescent="0.3">
      <c r="F103048" s="193"/>
    </row>
    <row r="103049" spans="6:6" x14ac:dyDescent="0.3">
      <c r="F103049" s="193"/>
    </row>
    <row r="103050" spans="6:6" x14ac:dyDescent="0.3">
      <c r="F103050" s="193"/>
    </row>
    <row r="103051" spans="6:6" x14ac:dyDescent="0.3">
      <c r="F103051" s="193"/>
    </row>
    <row r="103052" spans="6:6" x14ac:dyDescent="0.3">
      <c r="F103052" s="193"/>
    </row>
    <row r="103053" spans="6:6" x14ac:dyDescent="0.3">
      <c r="F103053" s="193"/>
    </row>
    <row r="103054" spans="6:6" x14ac:dyDescent="0.3">
      <c r="F103054" s="193"/>
    </row>
    <row r="103055" spans="6:6" x14ac:dyDescent="0.3">
      <c r="F103055" s="193"/>
    </row>
    <row r="103056" spans="6:6" x14ac:dyDescent="0.3">
      <c r="F103056" s="193"/>
    </row>
    <row r="103057" spans="6:6" x14ac:dyDescent="0.3">
      <c r="F103057" s="193"/>
    </row>
    <row r="103058" spans="6:6" x14ac:dyDescent="0.3">
      <c r="F103058" s="193"/>
    </row>
    <row r="103059" spans="6:6" x14ac:dyDescent="0.3">
      <c r="F103059" s="193"/>
    </row>
    <row r="103060" spans="6:6" x14ac:dyDescent="0.3">
      <c r="F103060" s="193"/>
    </row>
    <row r="103061" spans="6:6" x14ac:dyDescent="0.3">
      <c r="F103061" s="193"/>
    </row>
    <row r="103062" spans="6:6" x14ac:dyDescent="0.3">
      <c r="F103062" s="193"/>
    </row>
    <row r="103063" spans="6:6" x14ac:dyDescent="0.3">
      <c r="F103063" s="193"/>
    </row>
    <row r="103064" spans="6:6" x14ac:dyDescent="0.3">
      <c r="F103064" s="193"/>
    </row>
    <row r="103065" spans="6:6" x14ac:dyDescent="0.3">
      <c r="F103065" s="193"/>
    </row>
    <row r="103066" spans="6:6" x14ac:dyDescent="0.3">
      <c r="F103066" s="193"/>
    </row>
    <row r="103067" spans="6:6" x14ac:dyDescent="0.3">
      <c r="F103067" s="193"/>
    </row>
    <row r="103068" spans="6:6" x14ac:dyDescent="0.3">
      <c r="F103068" s="193"/>
    </row>
    <row r="103069" spans="6:6" x14ac:dyDescent="0.3">
      <c r="F103069" s="193"/>
    </row>
    <row r="103070" spans="6:6" x14ac:dyDescent="0.3">
      <c r="F103070" s="193"/>
    </row>
    <row r="103071" spans="6:6" x14ac:dyDescent="0.3">
      <c r="F103071" s="193"/>
    </row>
    <row r="103072" spans="6:6" x14ac:dyDescent="0.3">
      <c r="F103072" s="193"/>
    </row>
    <row r="103073" spans="6:6" x14ac:dyDescent="0.3">
      <c r="F103073" s="193"/>
    </row>
    <row r="103074" spans="6:6" x14ac:dyDescent="0.3">
      <c r="F103074" s="193"/>
    </row>
    <row r="103075" spans="6:6" x14ac:dyDescent="0.3">
      <c r="F103075" s="193"/>
    </row>
    <row r="103076" spans="6:6" x14ac:dyDescent="0.3">
      <c r="F103076" s="193"/>
    </row>
    <row r="103077" spans="6:6" x14ac:dyDescent="0.3">
      <c r="F103077" s="193"/>
    </row>
    <row r="103078" spans="6:6" x14ac:dyDescent="0.3">
      <c r="F103078" s="193"/>
    </row>
    <row r="103079" spans="6:6" x14ac:dyDescent="0.3">
      <c r="F103079" s="193"/>
    </row>
    <row r="103080" spans="6:6" x14ac:dyDescent="0.3">
      <c r="F103080" s="193"/>
    </row>
    <row r="103081" spans="6:6" x14ac:dyDescent="0.3">
      <c r="F103081" s="193"/>
    </row>
    <row r="103082" spans="6:6" x14ac:dyDescent="0.3">
      <c r="F103082" s="193"/>
    </row>
    <row r="103083" spans="6:6" x14ac:dyDescent="0.3">
      <c r="F103083" s="193"/>
    </row>
    <row r="103084" spans="6:6" x14ac:dyDescent="0.3">
      <c r="F103084" s="193"/>
    </row>
    <row r="103085" spans="6:6" x14ac:dyDescent="0.3">
      <c r="F103085" s="193"/>
    </row>
    <row r="103086" spans="6:6" x14ac:dyDescent="0.3">
      <c r="F103086" s="193"/>
    </row>
    <row r="103087" spans="6:6" x14ac:dyDescent="0.3">
      <c r="F103087" s="193"/>
    </row>
    <row r="103088" spans="6:6" x14ac:dyDescent="0.3">
      <c r="F103088" s="193"/>
    </row>
    <row r="103089" spans="6:6" x14ac:dyDescent="0.3">
      <c r="F103089" s="193"/>
    </row>
    <row r="103090" spans="6:6" x14ac:dyDescent="0.3">
      <c r="F103090" s="193"/>
    </row>
    <row r="103091" spans="6:6" x14ac:dyDescent="0.3">
      <c r="F103091" s="193"/>
    </row>
    <row r="103092" spans="6:6" x14ac:dyDescent="0.3">
      <c r="F103092" s="193"/>
    </row>
    <row r="103093" spans="6:6" x14ac:dyDescent="0.3">
      <c r="F103093" s="193"/>
    </row>
    <row r="103094" spans="6:6" x14ac:dyDescent="0.3">
      <c r="F103094" s="193"/>
    </row>
    <row r="103095" spans="6:6" x14ac:dyDescent="0.3">
      <c r="F103095" s="193"/>
    </row>
    <row r="103096" spans="6:6" x14ac:dyDescent="0.3">
      <c r="F103096" s="193"/>
    </row>
    <row r="103097" spans="6:6" x14ac:dyDescent="0.3">
      <c r="F103097" s="193"/>
    </row>
    <row r="103098" spans="6:6" x14ac:dyDescent="0.3">
      <c r="F103098" s="193"/>
    </row>
    <row r="103099" spans="6:6" x14ac:dyDescent="0.3">
      <c r="F103099" s="193"/>
    </row>
    <row r="103100" spans="6:6" x14ac:dyDescent="0.3">
      <c r="F103100" s="193"/>
    </row>
    <row r="103101" spans="6:6" x14ac:dyDescent="0.3">
      <c r="F103101" s="193"/>
    </row>
    <row r="103102" spans="6:6" x14ac:dyDescent="0.3">
      <c r="F103102" s="193"/>
    </row>
    <row r="103103" spans="6:6" x14ac:dyDescent="0.3">
      <c r="F103103" s="193"/>
    </row>
    <row r="103104" spans="6:6" x14ac:dyDescent="0.3">
      <c r="F103104" s="193"/>
    </row>
    <row r="103105" spans="6:6" x14ac:dyDescent="0.3">
      <c r="F103105" s="193"/>
    </row>
    <row r="103106" spans="6:6" x14ac:dyDescent="0.3">
      <c r="F103106" s="193"/>
    </row>
    <row r="103107" spans="6:6" x14ac:dyDescent="0.3">
      <c r="F103107" s="193"/>
    </row>
    <row r="103108" spans="6:6" x14ac:dyDescent="0.3">
      <c r="F103108" s="193"/>
    </row>
    <row r="103109" spans="6:6" x14ac:dyDescent="0.3">
      <c r="F103109" s="193"/>
    </row>
    <row r="103110" spans="6:6" x14ac:dyDescent="0.3">
      <c r="F103110" s="193"/>
    </row>
    <row r="103111" spans="6:6" x14ac:dyDescent="0.3">
      <c r="F103111" s="193"/>
    </row>
    <row r="103112" spans="6:6" x14ac:dyDescent="0.3">
      <c r="F103112" s="193"/>
    </row>
    <row r="103113" spans="6:6" x14ac:dyDescent="0.3">
      <c r="F103113" s="193"/>
    </row>
    <row r="103114" spans="6:6" x14ac:dyDescent="0.3">
      <c r="F103114" s="193"/>
    </row>
    <row r="103115" spans="6:6" x14ac:dyDescent="0.3">
      <c r="F103115" s="193"/>
    </row>
    <row r="103116" spans="6:6" x14ac:dyDescent="0.3">
      <c r="F103116" s="193"/>
    </row>
    <row r="103117" spans="6:6" x14ac:dyDescent="0.3">
      <c r="F103117" s="193"/>
    </row>
    <row r="103118" spans="6:6" x14ac:dyDescent="0.3">
      <c r="F103118" s="193"/>
    </row>
    <row r="103119" spans="6:6" x14ac:dyDescent="0.3">
      <c r="F103119" s="193"/>
    </row>
    <row r="103120" spans="6:6" x14ac:dyDescent="0.3">
      <c r="F103120" s="193"/>
    </row>
    <row r="103121" spans="6:6" x14ac:dyDescent="0.3">
      <c r="F103121" s="193"/>
    </row>
    <row r="103122" spans="6:6" x14ac:dyDescent="0.3">
      <c r="F103122" s="193"/>
    </row>
    <row r="103123" spans="6:6" x14ac:dyDescent="0.3">
      <c r="F103123" s="193"/>
    </row>
    <row r="103124" spans="6:6" x14ac:dyDescent="0.3">
      <c r="F103124" s="193"/>
    </row>
    <row r="103125" spans="6:6" x14ac:dyDescent="0.3">
      <c r="F103125" s="193"/>
    </row>
    <row r="103126" spans="6:6" x14ac:dyDescent="0.3">
      <c r="F103126" s="193"/>
    </row>
    <row r="103127" spans="6:6" x14ac:dyDescent="0.3">
      <c r="F103127" s="193"/>
    </row>
    <row r="103128" spans="6:6" x14ac:dyDescent="0.3">
      <c r="F103128" s="193"/>
    </row>
    <row r="103129" spans="6:6" x14ac:dyDescent="0.3">
      <c r="F103129" s="193"/>
    </row>
    <row r="103130" spans="6:6" x14ac:dyDescent="0.3">
      <c r="F103130" s="193"/>
    </row>
    <row r="103131" spans="6:6" x14ac:dyDescent="0.3">
      <c r="F103131" s="193"/>
    </row>
    <row r="103132" spans="6:6" x14ac:dyDescent="0.3">
      <c r="F103132" s="193"/>
    </row>
    <row r="103133" spans="6:6" x14ac:dyDescent="0.3">
      <c r="F103133" s="193"/>
    </row>
    <row r="103134" spans="6:6" x14ac:dyDescent="0.3">
      <c r="F103134" s="193"/>
    </row>
    <row r="103135" spans="6:6" x14ac:dyDescent="0.3">
      <c r="F103135" s="193"/>
    </row>
    <row r="103136" spans="6:6" x14ac:dyDescent="0.3">
      <c r="F103136" s="193"/>
    </row>
    <row r="103137" spans="6:6" x14ac:dyDescent="0.3">
      <c r="F103137" s="193"/>
    </row>
    <row r="103138" spans="6:6" x14ac:dyDescent="0.3">
      <c r="F103138" s="193"/>
    </row>
    <row r="103139" spans="6:6" x14ac:dyDescent="0.3">
      <c r="F103139" s="193"/>
    </row>
    <row r="103140" spans="6:6" x14ac:dyDescent="0.3">
      <c r="F103140" s="193"/>
    </row>
    <row r="103141" spans="6:6" x14ac:dyDescent="0.3">
      <c r="F103141" s="193"/>
    </row>
    <row r="103142" spans="6:6" x14ac:dyDescent="0.3">
      <c r="F103142" s="193"/>
    </row>
    <row r="103143" spans="6:6" x14ac:dyDescent="0.3">
      <c r="F103143" s="193"/>
    </row>
    <row r="103144" spans="6:6" x14ac:dyDescent="0.3">
      <c r="F103144" s="193"/>
    </row>
    <row r="103145" spans="6:6" x14ac:dyDescent="0.3">
      <c r="F103145" s="193"/>
    </row>
    <row r="103146" spans="6:6" x14ac:dyDescent="0.3">
      <c r="F103146" s="193"/>
    </row>
    <row r="103147" spans="6:6" x14ac:dyDescent="0.3">
      <c r="F103147" s="193"/>
    </row>
    <row r="103148" spans="6:6" x14ac:dyDescent="0.3">
      <c r="F103148" s="193"/>
    </row>
    <row r="103149" spans="6:6" x14ac:dyDescent="0.3">
      <c r="F103149" s="193"/>
    </row>
    <row r="103150" spans="6:6" x14ac:dyDescent="0.3">
      <c r="F103150" s="193"/>
    </row>
    <row r="103151" spans="6:6" x14ac:dyDescent="0.3">
      <c r="F103151" s="193"/>
    </row>
    <row r="103152" spans="6:6" x14ac:dyDescent="0.3">
      <c r="F103152" s="193"/>
    </row>
    <row r="103153" spans="6:6" x14ac:dyDescent="0.3">
      <c r="F103153" s="193"/>
    </row>
    <row r="103154" spans="6:6" x14ac:dyDescent="0.3">
      <c r="F103154" s="193"/>
    </row>
    <row r="103155" spans="6:6" x14ac:dyDescent="0.3">
      <c r="F103155" s="193"/>
    </row>
    <row r="103156" spans="6:6" x14ac:dyDescent="0.3">
      <c r="F103156" s="193"/>
    </row>
    <row r="103157" spans="6:6" x14ac:dyDescent="0.3">
      <c r="F103157" s="193"/>
    </row>
    <row r="103158" spans="6:6" x14ac:dyDescent="0.3">
      <c r="F103158" s="193"/>
    </row>
    <row r="103159" spans="6:6" x14ac:dyDescent="0.3">
      <c r="F103159" s="193"/>
    </row>
    <row r="103160" spans="6:6" x14ac:dyDescent="0.3">
      <c r="F103160" s="193"/>
    </row>
    <row r="103161" spans="6:6" x14ac:dyDescent="0.3">
      <c r="F103161" s="193"/>
    </row>
    <row r="103162" spans="6:6" x14ac:dyDescent="0.3">
      <c r="F103162" s="193"/>
    </row>
    <row r="103163" spans="6:6" x14ac:dyDescent="0.3">
      <c r="F103163" s="193"/>
    </row>
    <row r="103164" spans="6:6" x14ac:dyDescent="0.3">
      <c r="F103164" s="193"/>
    </row>
    <row r="103165" spans="6:6" x14ac:dyDescent="0.3">
      <c r="F103165" s="193"/>
    </row>
    <row r="103166" spans="6:6" x14ac:dyDescent="0.3">
      <c r="F103166" s="193"/>
    </row>
    <row r="103167" spans="6:6" x14ac:dyDescent="0.3">
      <c r="F103167" s="193"/>
    </row>
    <row r="103168" spans="6:6" x14ac:dyDescent="0.3">
      <c r="F103168" s="193"/>
    </row>
    <row r="103169" spans="6:6" x14ac:dyDescent="0.3">
      <c r="F103169" s="193"/>
    </row>
    <row r="103170" spans="6:6" x14ac:dyDescent="0.3">
      <c r="F103170" s="193"/>
    </row>
    <row r="103171" spans="6:6" x14ac:dyDescent="0.3">
      <c r="F103171" s="193"/>
    </row>
    <row r="103172" spans="6:6" x14ac:dyDescent="0.3">
      <c r="F103172" s="193"/>
    </row>
    <row r="103173" spans="6:6" x14ac:dyDescent="0.3">
      <c r="F103173" s="193"/>
    </row>
    <row r="103174" spans="6:6" x14ac:dyDescent="0.3">
      <c r="F103174" s="193"/>
    </row>
    <row r="103175" spans="6:6" x14ac:dyDescent="0.3">
      <c r="F103175" s="193"/>
    </row>
    <row r="103176" spans="6:6" x14ac:dyDescent="0.3">
      <c r="F103176" s="193"/>
    </row>
    <row r="103177" spans="6:6" x14ac:dyDescent="0.3">
      <c r="F103177" s="193"/>
    </row>
    <row r="103178" spans="6:6" x14ac:dyDescent="0.3">
      <c r="F103178" s="193"/>
    </row>
    <row r="103179" spans="6:6" x14ac:dyDescent="0.3">
      <c r="F103179" s="193"/>
    </row>
    <row r="103180" spans="6:6" x14ac:dyDescent="0.3">
      <c r="F103180" s="193"/>
    </row>
    <row r="103181" spans="6:6" x14ac:dyDescent="0.3">
      <c r="F103181" s="193"/>
    </row>
    <row r="103182" spans="6:6" x14ac:dyDescent="0.3">
      <c r="F103182" s="193"/>
    </row>
    <row r="103183" spans="6:6" x14ac:dyDescent="0.3">
      <c r="F103183" s="193"/>
    </row>
    <row r="103184" spans="6:6" x14ac:dyDescent="0.3">
      <c r="F103184" s="193"/>
    </row>
    <row r="103185" spans="6:6" x14ac:dyDescent="0.3">
      <c r="F103185" s="193"/>
    </row>
    <row r="103186" spans="6:6" x14ac:dyDescent="0.3">
      <c r="F103186" s="193"/>
    </row>
    <row r="103187" spans="6:6" x14ac:dyDescent="0.3">
      <c r="F103187" s="193"/>
    </row>
    <row r="103188" spans="6:6" x14ac:dyDescent="0.3">
      <c r="F103188" s="193"/>
    </row>
    <row r="103189" spans="6:6" x14ac:dyDescent="0.3">
      <c r="F103189" s="193"/>
    </row>
    <row r="103190" spans="6:6" x14ac:dyDescent="0.3">
      <c r="F103190" s="193"/>
    </row>
    <row r="103191" spans="6:6" x14ac:dyDescent="0.3">
      <c r="F103191" s="193"/>
    </row>
    <row r="103192" spans="6:6" x14ac:dyDescent="0.3">
      <c r="F103192" s="193"/>
    </row>
    <row r="103193" spans="6:6" x14ac:dyDescent="0.3">
      <c r="F103193" s="193"/>
    </row>
    <row r="103194" spans="6:6" x14ac:dyDescent="0.3">
      <c r="F103194" s="193"/>
    </row>
    <row r="103195" spans="6:6" x14ac:dyDescent="0.3">
      <c r="F103195" s="193"/>
    </row>
    <row r="103196" spans="6:6" x14ac:dyDescent="0.3">
      <c r="F103196" s="193"/>
    </row>
    <row r="103197" spans="6:6" x14ac:dyDescent="0.3">
      <c r="F103197" s="193"/>
    </row>
    <row r="103198" spans="6:6" x14ac:dyDescent="0.3">
      <c r="F103198" s="193"/>
    </row>
    <row r="103199" spans="6:6" x14ac:dyDescent="0.3">
      <c r="F103199" s="193"/>
    </row>
    <row r="103200" spans="6:6" x14ac:dyDescent="0.3">
      <c r="F103200" s="193"/>
    </row>
    <row r="103201" spans="6:6" x14ac:dyDescent="0.3">
      <c r="F103201" s="193"/>
    </row>
    <row r="103202" spans="6:6" x14ac:dyDescent="0.3">
      <c r="F103202" s="193"/>
    </row>
    <row r="103203" spans="6:6" x14ac:dyDescent="0.3">
      <c r="F103203" s="193"/>
    </row>
    <row r="103204" spans="6:6" x14ac:dyDescent="0.3">
      <c r="F103204" s="193"/>
    </row>
    <row r="103205" spans="6:6" x14ac:dyDescent="0.3">
      <c r="F103205" s="193"/>
    </row>
    <row r="103206" spans="6:6" x14ac:dyDescent="0.3">
      <c r="F103206" s="193"/>
    </row>
    <row r="103207" spans="6:6" x14ac:dyDescent="0.3">
      <c r="F103207" s="193"/>
    </row>
    <row r="103208" spans="6:6" x14ac:dyDescent="0.3">
      <c r="F103208" s="193"/>
    </row>
    <row r="103209" spans="6:6" x14ac:dyDescent="0.3">
      <c r="F103209" s="193"/>
    </row>
    <row r="103210" spans="6:6" x14ac:dyDescent="0.3">
      <c r="F103210" s="193"/>
    </row>
    <row r="103211" spans="6:6" x14ac:dyDescent="0.3">
      <c r="F103211" s="193"/>
    </row>
    <row r="103212" spans="6:6" x14ac:dyDescent="0.3">
      <c r="F103212" s="193"/>
    </row>
    <row r="103213" spans="6:6" x14ac:dyDescent="0.3">
      <c r="F103213" s="193"/>
    </row>
    <row r="103214" spans="6:6" x14ac:dyDescent="0.3">
      <c r="F103214" s="193"/>
    </row>
    <row r="103215" spans="6:6" x14ac:dyDescent="0.3">
      <c r="F103215" s="193"/>
    </row>
    <row r="103216" spans="6:6" x14ac:dyDescent="0.3">
      <c r="F103216" s="193"/>
    </row>
    <row r="103217" spans="6:6" x14ac:dyDescent="0.3">
      <c r="F103217" s="193"/>
    </row>
    <row r="103218" spans="6:6" x14ac:dyDescent="0.3">
      <c r="F103218" s="193"/>
    </row>
    <row r="103219" spans="6:6" x14ac:dyDescent="0.3">
      <c r="F103219" s="193"/>
    </row>
    <row r="103220" spans="6:6" x14ac:dyDescent="0.3">
      <c r="F103220" s="193"/>
    </row>
    <row r="103221" spans="6:6" x14ac:dyDescent="0.3">
      <c r="F103221" s="193"/>
    </row>
    <row r="103222" spans="6:6" x14ac:dyDescent="0.3">
      <c r="F103222" s="193"/>
    </row>
    <row r="103223" spans="6:6" x14ac:dyDescent="0.3">
      <c r="F103223" s="193"/>
    </row>
    <row r="103224" spans="6:6" x14ac:dyDescent="0.3">
      <c r="F103224" s="193"/>
    </row>
    <row r="103225" spans="6:6" x14ac:dyDescent="0.3">
      <c r="F103225" s="193"/>
    </row>
    <row r="103226" spans="6:6" x14ac:dyDescent="0.3">
      <c r="F103226" s="193"/>
    </row>
    <row r="103227" spans="6:6" x14ac:dyDescent="0.3">
      <c r="F103227" s="193"/>
    </row>
    <row r="103228" spans="6:6" x14ac:dyDescent="0.3">
      <c r="F103228" s="193"/>
    </row>
    <row r="103229" spans="6:6" x14ac:dyDescent="0.3">
      <c r="F103229" s="193"/>
    </row>
    <row r="103230" spans="6:6" x14ac:dyDescent="0.3">
      <c r="F103230" s="193"/>
    </row>
    <row r="103231" spans="6:6" x14ac:dyDescent="0.3">
      <c r="F103231" s="193"/>
    </row>
    <row r="103232" spans="6:6" x14ac:dyDescent="0.3">
      <c r="F103232" s="193"/>
    </row>
    <row r="103233" spans="6:6" x14ac:dyDescent="0.3">
      <c r="F103233" s="193"/>
    </row>
    <row r="103234" spans="6:6" x14ac:dyDescent="0.3">
      <c r="F103234" s="193"/>
    </row>
    <row r="103235" spans="6:6" x14ac:dyDescent="0.3">
      <c r="F103235" s="193"/>
    </row>
    <row r="103236" spans="6:6" x14ac:dyDescent="0.3">
      <c r="F103236" s="193"/>
    </row>
    <row r="103237" spans="6:6" x14ac:dyDescent="0.3">
      <c r="F103237" s="193"/>
    </row>
    <row r="103238" spans="6:6" x14ac:dyDescent="0.3">
      <c r="F103238" s="193"/>
    </row>
    <row r="103239" spans="6:6" x14ac:dyDescent="0.3">
      <c r="F103239" s="193"/>
    </row>
    <row r="103240" spans="6:6" x14ac:dyDescent="0.3">
      <c r="F103240" s="193"/>
    </row>
    <row r="103241" spans="6:6" x14ac:dyDescent="0.3">
      <c r="F103241" s="193"/>
    </row>
    <row r="103242" spans="6:6" x14ac:dyDescent="0.3">
      <c r="F103242" s="193"/>
    </row>
    <row r="103243" spans="6:6" x14ac:dyDescent="0.3">
      <c r="F103243" s="193"/>
    </row>
    <row r="103244" spans="6:6" x14ac:dyDescent="0.3">
      <c r="F103244" s="193"/>
    </row>
    <row r="103245" spans="6:6" x14ac:dyDescent="0.3">
      <c r="F103245" s="193"/>
    </row>
    <row r="103246" spans="6:6" x14ac:dyDescent="0.3">
      <c r="F103246" s="193"/>
    </row>
    <row r="103247" spans="6:6" x14ac:dyDescent="0.3">
      <c r="F103247" s="193"/>
    </row>
    <row r="103248" spans="6:6" x14ac:dyDescent="0.3">
      <c r="F103248" s="193"/>
    </row>
    <row r="103249" spans="6:6" x14ac:dyDescent="0.3">
      <c r="F103249" s="193"/>
    </row>
    <row r="103250" spans="6:6" x14ac:dyDescent="0.3">
      <c r="F103250" s="193"/>
    </row>
    <row r="103251" spans="6:6" x14ac:dyDescent="0.3">
      <c r="F103251" s="193"/>
    </row>
    <row r="103252" spans="6:6" x14ac:dyDescent="0.3">
      <c r="F103252" s="193"/>
    </row>
    <row r="103253" spans="6:6" x14ac:dyDescent="0.3">
      <c r="F103253" s="193"/>
    </row>
    <row r="103254" spans="6:6" x14ac:dyDescent="0.3">
      <c r="F103254" s="193"/>
    </row>
    <row r="103255" spans="6:6" x14ac:dyDescent="0.3">
      <c r="F103255" s="193"/>
    </row>
    <row r="103256" spans="6:6" x14ac:dyDescent="0.3">
      <c r="F103256" s="193"/>
    </row>
    <row r="103257" spans="6:6" x14ac:dyDescent="0.3">
      <c r="F103257" s="193"/>
    </row>
    <row r="103258" spans="6:6" x14ac:dyDescent="0.3">
      <c r="F103258" s="193"/>
    </row>
    <row r="103259" spans="6:6" x14ac:dyDescent="0.3">
      <c r="F103259" s="193"/>
    </row>
    <row r="103260" spans="6:6" x14ac:dyDescent="0.3">
      <c r="F103260" s="193"/>
    </row>
    <row r="103261" spans="6:6" x14ac:dyDescent="0.3">
      <c r="F103261" s="193"/>
    </row>
    <row r="103262" spans="6:6" x14ac:dyDescent="0.3">
      <c r="F103262" s="193"/>
    </row>
    <row r="103263" spans="6:6" x14ac:dyDescent="0.3">
      <c r="F103263" s="193"/>
    </row>
    <row r="103264" spans="6:6" x14ac:dyDescent="0.3">
      <c r="F103264" s="193"/>
    </row>
    <row r="103265" spans="6:6" x14ac:dyDescent="0.3">
      <c r="F103265" s="193"/>
    </row>
    <row r="103266" spans="6:6" x14ac:dyDescent="0.3">
      <c r="F103266" s="193"/>
    </row>
    <row r="103267" spans="6:6" x14ac:dyDescent="0.3">
      <c r="F103267" s="193"/>
    </row>
    <row r="103268" spans="6:6" x14ac:dyDescent="0.3">
      <c r="F103268" s="193"/>
    </row>
    <row r="103269" spans="6:6" x14ac:dyDescent="0.3">
      <c r="F103269" s="193"/>
    </row>
    <row r="103270" spans="6:6" x14ac:dyDescent="0.3">
      <c r="F103270" s="193"/>
    </row>
    <row r="103271" spans="6:6" x14ac:dyDescent="0.3">
      <c r="F103271" s="193"/>
    </row>
    <row r="103272" spans="6:6" x14ac:dyDescent="0.3">
      <c r="F103272" s="193"/>
    </row>
    <row r="103273" spans="6:6" x14ac:dyDescent="0.3">
      <c r="F103273" s="193"/>
    </row>
    <row r="103274" spans="6:6" x14ac:dyDescent="0.3">
      <c r="F103274" s="193"/>
    </row>
    <row r="103275" spans="6:6" x14ac:dyDescent="0.3">
      <c r="F103275" s="193"/>
    </row>
    <row r="103276" spans="6:6" x14ac:dyDescent="0.3">
      <c r="F103276" s="193"/>
    </row>
    <row r="103277" spans="6:6" x14ac:dyDescent="0.3">
      <c r="F103277" s="193"/>
    </row>
    <row r="103278" spans="6:6" x14ac:dyDescent="0.3">
      <c r="F103278" s="193"/>
    </row>
    <row r="103279" spans="6:6" x14ac:dyDescent="0.3">
      <c r="F103279" s="193"/>
    </row>
    <row r="103280" spans="6:6" x14ac:dyDescent="0.3">
      <c r="F103280" s="193"/>
    </row>
    <row r="103281" spans="6:6" x14ac:dyDescent="0.3">
      <c r="F103281" s="193"/>
    </row>
    <row r="103282" spans="6:6" x14ac:dyDescent="0.3">
      <c r="F103282" s="193"/>
    </row>
    <row r="103283" spans="6:6" x14ac:dyDescent="0.3">
      <c r="F103283" s="193"/>
    </row>
    <row r="103284" spans="6:6" x14ac:dyDescent="0.3">
      <c r="F103284" s="193"/>
    </row>
    <row r="103285" spans="6:6" x14ac:dyDescent="0.3">
      <c r="F103285" s="193"/>
    </row>
    <row r="103286" spans="6:6" x14ac:dyDescent="0.3">
      <c r="F103286" s="193"/>
    </row>
    <row r="103287" spans="6:6" x14ac:dyDescent="0.3">
      <c r="F103287" s="193"/>
    </row>
    <row r="103288" spans="6:6" x14ac:dyDescent="0.3">
      <c r="F103288" s="193"/>
    </row>
    <row r="103289" spans="6:6" x14ac:dyDescent="0.3">
      <c r="F103289" s="193"/>
    </row>
    <row r="103290" spans="6:6" x14ac:dyDescent="0.3">
      <c r="F103290" s="193"/>
    </row>
    <row r="103291" spans="6:6" x14ac:dyDescent="0.3">
      <c r="F103291" s="193"/>
    </row>
    <row r="103292" spans="6:6" x14ac:dyDescent="0.3">
      <c r="F103292" s="193"/>
    </row>
    <row r="103293" spans="6:6" x14ac:dyDescent="0.3">
      <c r="F103293" s="193"/>
    </row>
    <row r="103294" spans="6:6" x14ac:dyDescent="0.3">
      <c r="F103294" s="193"/>
    </row>
    <row r="103295" spans="6:6" x14ac:dyDescent="0.3">
      <c r="F103295" s="193"/>
    </row>
    <row r="103296" spans="6:6" x14ac:dyDescent="0.3">
      <c r="F103296" s="193"/>
    </row>
    <row r="103297" spans="6:6" x14ac:dyDescent="0.3">
      <c r="F103297" s="193"/>
    </row>
    <row r="103298" spans="6:6" x14ac:dyDescent="0.3">
      <c r="F103298" s="193"/>
    </row>
    <row r="103299" spans="6:6" x14ac:dyDescent="0.3">
      <c r="F103299" s="193"/>
    </row>
    <row r="103300" spans="6:6" x14ac:dyDescent="0.3">
      <c r="F103300" s="193"/>
    </row>
    <row r="103301" spans="6:6" x14ac:dyDescent="0.3">
      <c r="F103301" s="193"/>
    </row>
    <row r="103302" spans="6:6" x14ac:dyDescent="0.3">
      <c r="F103302" s="193"/>
    </row>
    <row r="103303" spans="6:6" x14ac:dyDescent="0.3">
      <c r="F103303" s="193"/>
    </row>
    <row r="103304" spans="6:6" x14ac:dyDescent="0.3">
      <c r="F103304" s="193"/>
    </row>
    <row r="103305" spans="6:6" x14ac:dyDescent="0.3">
      <c r="F103305" s="193"/>
    </row>
    <row r="103306" spans="6:6" x14ac:dyDescent="0.3">
      <c r="F103306" s="193"/>
    </row>
    <row r="103307" spans="6:6" x14ac:dyDescent="0.3">
      <c r="F103307" s="193"/>
    </row>
    <row r="103308" spans="6:6" x14ac:dyDescent="0.3">
      <c r="F103308" s="193"/>
    </row>
    <row r="103309" spans="6:6" x14ac:dyDescent="0.3">
      <c r="F103309" s="193"/>
    </row>
    <row r="103310" spans="6:6" x14ac:dyDescent="0.3">
      <c r="F103310" s="193"/>
    </row>
    <row r="103311" spans="6:6" x14ac:dyDescent="0.3">
      <c r="F103311" s="193"/>
    </row>
    <row r="103312" spans="6:6" x14ac:dyDescent="0.3">
      <c r="F103312" s="193"/>
    </row>
    <row r="103313" spans="6:6" x14ac:dyDescent="0.3">
      <c r="F103313" s="193"/>
    </row>
    <row r="103314" spans="6:6" x14ac:dyDescent="0.3">
      <c r="F103314" s="193"/>
    </row>
    <row r="103315" spans="6:6" x14ac:dyDescent="0.3">
      <c r="F103315" s="193"/>
    </row>
    <row r="103316" spans="6:6" x14ac:dyDescent="0.3">
      <c r="F103316" s="193"/>
    </row>
    <row r="103317" spans="6:6" x14ac:dyDescent="0.3">
      <c r="F103317" s="193"/>
    </row>
    <row r="103318" spans="6:6" x14ac:dyDescent="0.3">
      <c r="F103318" s="193"/>
    </row>
    <row r="103319" spans="6:6" x14ac:dyDescent="0.3">
      <c r="F103319" s="193"/>
    </row>
    <row r="103320" spans="6:6" x14ac:dyDescent="0.3">
      <c r="F103320" s="193"/>
    </row>
    <row r="103321" spans="6:6" x14ac:dyDescent="0.3">
      <c r="F103321" s="193"/>
    </row>
    <row r="103322" spans="6:6" x14ac:dyDescent="0.3">
      <c r="F103322" s="193"/>
    </row>
    <row r="103323" spans="6:6" x14ac:dyDescent="0.3">
      <c r="F103323" s="193"/>
    </row>
    <row r="103324" spans="6:6" x14ac:dyDescent="0.3">
      <c r="F103324" s="193"/>
    </row>
    <row r="103325" spans="6:6" x14ac:dyDescent="0.3">
      <c r="F103325" s="193"/>
    </row>
    <row r="103326" spans="6:6" x14ac:dyDescent="0.3">
      <c r="F103326" s="193"/>
    </row>
    <row r="103327" spans="6:6" x14ac:dyDescent="0.3">
      <c r="F103327" s="193"/>
    </row>
    <row r="103328" spans="6:6" x14ac:dyDescent="0.3">
      <c r="F103328" s="193"/>
    </row>
    <row r="103329" spans="6:6" x14ac:dyDescent="0.3">
      <c r="F103329" s="193"/>
    </row>
    <row r="103330" spans="6:6" x14ac:dyDescent="0.3">
      <c r="F103330" s="193"/>
    </row>
    <row r="103331" spans="6:6" x14ac:dyDescent="0.3">
      <c r="F103331" s="193"/>
    </row>
    <row r="103332" spans="6:6" x14ac:dyDescent="0.3">
      <c r="F103332" s="193"/>
    </row>
    <row r="103333" spans="6:6" x14ac:dyDescent="0.3">
      <c r="F103333" s="193"/>
    </row>
    <row r="103334" spans="6:6" x14ac:dyDescent="0.3">
      <c r="F103334" s="193"/>
    </row>
    <row r="103335" spans="6:6" x14ac:dyDescent="0.3">
      <c r="F103335" s="193"/>
    </row>
    <row r="103336" spans="6:6" x14ac:dyDescent="0.3">
      <c r="F103336" s="193"/>
    </row>
    <row r="103337" spans="6:6" x14ac:dyDescent="0.3">
      <c r="F103337" s="193"/>
    </row>
    <row r="103338" spans="6:6" x14ac:dyDescent="0.3">
      <c r="F103338" s="193"/>
    </row>
    <row r="103339" spans="6:6" x14ac:dyDescent="0.3">
      <c r="F103339" s="193"/>
    </row>
    <row r="103340" spans="6:6" x14ac:dyDescent="0.3">
      <c r="F103340" s="193"/>
    </row>
    <row r="103341" spans="6:6" x14ac:dyDescent="0.3">
      <c r="F103341" s="193"/>
    </row>
    <row r="103342" spans="6:6" x14ac:dyDescent="0.3">
      <c r="F103342" s="193"/>
    </row>
    <row r="103343" spans="6:6" x14ac:dyDescent="0.3">
      <c r="F103343" s="193"/>
    </row>
    <row r="103344" spans="6:6" x14ac:dyDescent="0.3">
      <c r="F103344" s="193"/>
    </row>
    <row r="103345" spans="6:6" x14ac:dyDescent="0.3">
      <c r="F103345" s="193"/>
    </row>
    <row r="103346" spans="6:6" x14ac:dyDescent="0.3">
      <c r="F103346" s="193"/>
    </row>
    <row r="103347" spans="6:6" x14ac:dyDescent="0.3">
      <c r="F103347" s="193"/>
    </row>
    <row r="103348" spans="6:6" x14ac:dyDescent="0.3">
      <c r="F103348" s="193"/>
    </row>
    <row r="103349" spans="6:6" x14ac:dyDescent="0.3">
      <c r="F103349" s="193"/>
    </row>
    <row r="103350" spans="6:6" x14ac:dyDescent="0.3">
      <c r="F103350" s="193"/>
    </row>
    <row r="103351" spans="6:6" x14ac:dyDescent="0.3">
      <c r="F103351" s="193"/>
    </row>
    <row r="103352" spans="6:6" x14ac:dyDescent="0.3">
      <c r="F103352" s="193"/>
    </row>
    <row r="103353" spans="6:6" x14ac:dyDescent="0.3">
      <c r="F103353" s="193"/>
    </row>
    <row r="103354" spans="6:6" x14ac:dyDescent="0.3">
      <c r="F103354" s="193"/>
    </row>
    <row r="103355" spans="6:6" x14ac:dyDescent="0.3">
      <c r="F103355" s="193"/>
    </row>
    <row r="103356" spans="6:6" x14ac:dyDescent="0.3">
      <c r="F103356" s="193"/>
    </row>
    <row r="103357" spans="6:6" x14ac:dyDescent="0.3">
      <c r="F103357" s="193"/>
    </row>
    <row r="103358" spans="6:6" x14ac:dyDescent="0.3">
      <c r="F103358" s="193"/>
    </row>
    <row r="103359" spans="6:6" x14ac:dyDescent="0.3">
      <c r="F103359" s="193"/>
    </row>
    <row r="103360" spans="6:6" x14ac:dyDescent="0.3">
      <c r="F103360" s="193"/>
    </row>
    <row r="103361" spans="6:6" x14ac:dyDescent="0.3">
      <c r="F103361" s="193"/>
    </row>
    <row r="103362" spans="6:6" x14ac:dyDescent="0.3">
      <c r="F103362" s="193"/>
    </row>
    <row r="103363" spans="6:6" x14ac:dyDescent="0.3">
      <c r="F103363" s="193"/>
    </row>
    <row r="103364" spans="6:6" x14ac:dyDescent="0.3">
      <c r="F103364" s="193"/>
    </row>
    <row r="103365" spans="6:6" x14ac:dyDescent="0.3">
      <c r="F103365" s="193"/>
    </row>
    <row r="103366" spans="6:6" x14ac:dyDescent="0.3">
      <c r="F103366" s="193"/>
    </row>
    <row r="103367" spans="6:6" x14ac:dyDescent="0.3">
      <c r="F103367" s="193"/>
    </row>
    <row r="103368" spans="6:6" x14ac:dyDescent="0.3">
      <c r="F103368" s="193"/>
    </row>
    <row r="103369" spans="6:6" x14ac:dyDescent="0.3">
      <c r="F103369" s="193"/>
    </row>
    <row r="103370" spans="6:6" x14ac:dyDescent="0.3">
      <c r="F103370" s="193"/>
    </row>
    <row r="103371" spans="6:6" x14ac:dyDescent="0.3">
      <c r="F103371" s="193"/>
    </row>
    <row r="103372" spans="6:6" x14ac:dyDescent="0.3">
      <c r="F103372" s="193"/>
    </row>
    <row r="103373" spans="6:6" x14ac:dyDescent="0.3">
      <c r="F103373" s="193"/>
    </row>
    <row r="103374" spans="6:6" x14ac:dyDescent="0.3">
      <c r="F103374" s="193"/>
    </row>
    <row r="103375" spans="6:6" x14ac:dyDescent="0.3">
      <c r="F103375" s="193"/>
    </row>
    <row r="103376" spans="6:6" x14ac:dyDescent="0.3">
      <c r="F103376" s="193"/>
    </row>
    <row r="103377" spans="6:6" x14ac:dyDescent="0.3">
      <c r="F103377" s="193"/>
    </row>
    <row r="103378" spans="6:6" x14ac:dyDescent="0.3">
      <c r="F103378" s="193"/>
    </row>
    <row r="103379" spans="6:6" x14ac:dyDescent="0.3">
      <c r="F103379" s="193"/>
    </row>
    <row r="103380" spans="6:6" x14ac:dyDescent="0.3">
      <c r="F103380" s="193"/>
    </row>
    <row r="103381" spans="6:6" x14ac:dyDescent="0.3">
      <c r="F103381" s="193"/>
    </row>
    <row r="103382" spans="6:6" x14ac:dyDescent="0.3">
      <c r="F103382" s="193"/>
    </row>
    <row r="103383" spans="6:6" x14ac:dyDescent="0.3">
      <c r="F103383" s="193"/>
    </row>
    <row r="103384" spans="6:6" x14ac:dyDescent="0.3">
      <c r="F103384" s="193"/>
    </row>
    <row r="103385" spans="6:6" x14ac:dyDescent="0.3">
      <c r="F103385" s="193"/>
    </row>
    <row r="103386" spans="6:6" x14ac:dyDescent="0.3">
      <c r="F103386" s="193"/>
    </row>
    <row r="103387" spans="6:6" x14ac:dyDescent="0.3">
      <c r="F103387" s="193"/>
    </row>
    <row r="103388" spans="6:6" x14ac:dyDescent="0.3">
      <c r="F103388" s="193"/>
    </row>
    <row r="103389" spans="6:6" x14ac:dyDescent="0.3">
      <c r="F103389" s="193"/>
    </row>
    <row r="103390" spans="6:6" x14ac:dyDescent="0.3">
      <c r="F103390" s="193"/>
    </row>
    <row r="103391" spans="6:6" x14ac:dyDescent="0.3">
      <c r="F103391" s="193"/>
    </row>
    <row r="103392" spans="6:6" x14ac:dyDescent="0.3">
      <c r="F103392" s="193"/>
    </row>
    <row r="103393" spans="6:6" x14ac:dyDescent="0.3">
      <c r="F103393" s="193"/>
    </row>
    <row r="103394" spans="6:6" x14ac:dyDescent="0.3">
      <c r="F103394" s="193"/>
    </row>
    <row r="103395" spans="6:6" x14ac:dyDescent="0.3">
      <c r="F103395" s="193"/>
    </row>
    <row r="103396" spans="6:6" x14ac:dyDescent="0.3">
      <c r="F103396" s="193"/>
    </row>
    <row r="103397" spans="6:6" x14ac:dyDescent="0.3">
      <c r="F103397" s="193"/>
    </row>
    <row r="103398" spans="6:6" x14ac:dyDescent="0.3">
      <c r="F103398" s="193"/>
    </row>
    <row r="103399" spans="6:6" x14ac:dyDescent="0.3">
      <c r="F103399" s="193"/>
    </row>
    <row r="103400" spans="6:6" x14ac:dyDescent="0.3">
      <c r="F103400" s="193"/>
    </row>
    <row r="103401" spans="6:6" x14ac:dyDescent="0.3">
      <c r="F103401" s="193"/>
    </row>
    <row r="103402" spans="6:6" x14ac:dyDescent="0.3">
      <c r="F103402" s="193"/>
    </row>
    <row r="103403" spans="6:6" x14ac:dyDescent="0.3">
      <c r="F103403" s="193"/>
    </row>
    <row r="103404" spans="6:6" x14ac:dyDescent="0.3">
      <c r="F103404" s="193"/>
    </row>
    <row r="103405" spans="6:6" x14ac:dyDescent="0.3">
      <c r="F103405" s="193"/>
    </row>
    <row r="103406" spans="6:6" x14ac:dyDescent="0.3">
      <c r="F103406" s="193"/>
    </row>
    <row r="103407" spans="6:6" x14ac:dyDescent="0.3">
      <c r="F103407" s="193"/>
    </row>
    <row r="103408" spans="6:6" x14ac:dyDescent="0.3">
      <c r="F103408" s="193"/>
    </row>
    <row r="103409" spans="6:6" x14ac:dyDescent="0.3">
      <c r="F103409" s="193"/>
    </row>
    <row r="103410" spans="6:6" x14ac:dyDescent="0.3">
      <c r="F103410" s="193"/>
    </row>
    <row r="103411" spans="6:6" x14ac:dyDescent="0.3">
      <c r="F103411" s="193"/>
    </row>
    <row r="103412" spans="6:6" x14ac:dyDescent="0.3">
      <c r="F103412" s="193"/>
    </row>
    <row r="103413" spans="6:6" x14ac:dyDescent="0.3">
      <c r="F103413" s="193"/>
    </row>
    <row r="103414" spans="6:6" x14ac:dyDescent="0.3">
      <c r="F103414" s="193"/>
    </row>
    <row r="103415" spans="6:6" x14ac:dyDescent="0.3">
      <c r="F103415" s="193"/>
    </row>
    <row r="103416" spans="6:6" x14ac:dyDescent="0.3">
      <c r="F103416" s="193"/>
    </row>
    <row r="103417" spans="6:6" x14ac:dyDescent="0.3">
      <c r="F103417" s="193"/>
    </row>
    <row r="103418" spans="6:6" x14ac:dyDescent="0.3">
      <c r="F103418" s="193"/>
    </row>
    <row r="103419" spans="6:6" x14ac:dyDescent="0.3">
      <c r="F103419" s="193"/>
    </row>
    <row r="103420" spans="6:6" x14ac:dyDescent="0.3">
      <c r="F103420" s="193"/>
    </row>
    <row r="103421" spans="6:6" x14ac:dyDescent="0.3">
      <c r="F103421" s="193"/>
    </row>
    <row r="103422" spans="6:6" x14ac:dyDescent="0.3">
      <c r="F103422" s="193"/>
    </row>
    <row r="103423" spans="6:6" x14ac:dyDescent="0.3">
      <c r="F103423" s="193"/>
    </row>
    <row r="103424" spans="6:6" x14ac:dyDescent="0.3">
      <c r="F103424" s="193"/>
    </row>
    <row r="103425" spans="6:6" x14ac:dyDescent="0.3">
      <c r="F103425" s="193"/>
    </row>
    <row r="103426" spans="6:6" x14ac:dyDescent="0.3">
      <c r="F103426" s="193"/>
    </row>
    <row r="103427" spans="6:6" x14ac:dyDescent="0.3">
      <c r="F103427" s="193"/>
    </row>
    <row r="103428" spans="6:6" x14ac:dyDescent="0.3">
      <c r="F103428" s="193"/>
    </row>
    <row r="103429" spans="6:6" x14ac:dyDescent="0.3">
      <c r="F103429" s="193"/>
    </row>
    <row r="103430" spans="6:6" x14ac:dyDescent="0.3">
      <c r="F103430" s="193"/>
    </row>
    <row r="103431" spans="6:6" x14ac:dyDescent="0.3">
      <c r="F103431" s="193"/>
    </row>
    <row r="103432" spans="6:6" x14ac:dyDescent="0.3">
      <c r="F103432" s="193"/>
    </row>
    <row r="103433" spans="6:6" x14ac:dyDescent="0.3">
      <c r="F103433" s="193"/>
    </row>
    <row r="103434" spans="6:6" x14ac:dyDescent="0.3">
      <c r="F103434" s="193"/>
    </row>
    <row r="103435" spans="6:6" x14ac:dyDescent="0.3">
      <c r="F103435" s="193"/>
    </row>
    <row r="103436" spans="6:6" x14ac:dyDescent="0.3">
      <c r="F103436" s="193"/>
    </row>
    <row r="103437" spans="6:6" x14ac:dyDescent="0.3">
      <c r="F103437" s="193"/>
    </row>
    <row r="103438" spans="6:6" x14ac:dyDescent="0.3">
      <c r="F103438" s="193"/>
    </row>
    <row r="103439" spans="6:6" x14ac:dyDescent="0.3">
      <c r="F103439" s="193"/>
    </row>
    <row r="103440" spans="6:6" x14ac:dyDescent="0.3">
      <c r="F103440" s="193"/>
    </row>
    <row r="103441" spans="6:6" x14ac:dyDescent="0.3">
      <c r="F103441" s="193"/>
    </row>
    <row r="103442" spans="6:6" x14ac:dyDescent="0.3">
      <c r="F103442" s="193"/>
    </row>
    <row r="103443" spans="6:6" x14ac:dyDescent="0.3">
      <c r="F103443" s="193"/>
    </row>
    <row r="103444" spans="6:6" x14ac:dyDescent="0.3">
      <c r="F103444" s="193"/>
    </row>
    <row r="103445" spans="6:6" x14ac:dyDescent="0.3">
      <c r="F103445" s="193"/>
    </row>
    <row r="103446" spans="6:6" x14ac:dyDescent="0.3">
      <c r="F103446" s="193"/>
    </row>
    <row r="103447" spans="6:6" x14ac:dyDescent="0.3">
      <c r="F103447" s="193"/>
    </row>
    <row r="103448" spans="6:6" x14ac:dyDescent="0.3">
      <c r="F103448" s="193"/>
    </row>
    <row r="103449" spans="6:6" x14ac:dyDescent="0.3">
      <c r="F103449" s="193"/>
    </row>
    <row r="103450" spans="6:6" x14ac:dyDescent="0.3">
      <c r="F103450" s="193"/>
    </row>
    <row r="103451" spans="6:6" x14ac:dyDescent="0.3">
      <c r="F103451" s="193"/>
    </row>
    <row r="103452" spans="6:6" x14ac:dyDescent="0.3">
      <c r="F103452" s="193"/>
    </row>
    <row r="103453" spans="6:6" x14ac:dyDescent="0.3">
      <c r="F103453" s="193"/>
    </row>
    <row r="103454" spans="6:6" x14ac:dyDescent="0.3">
      <c r="F103454" s="193"/>
    </row>
    <row r="103455" spans="6:6" x14ac:dyDescent="0.3">
      <c r="F103455" s="193"/>
    </row>
    <row r="103456" spans="6:6" x14ac:dyDescent="0.3">
      <c r="F103456" s="193"/>
    </row>
    <row r="103457" spans="6:6" x14ac:dyDescent="0.3">
      <c r="F103457" s="193"/>
    </row>
    <row r="103458" spans="6:6" x14ac:dyDescent="0.3">
      <c r="F103458" s="193"/>
    </row>
    <row r="103459" spans="6:6" x14ac:dyDescent="0.3">
      <c r="F103459" s="193"/>
    </row>
    <row r="103460" spans="6:6" x14ac:dyDescent="0.3">
      <c r="F103460" s="193"/>
    </row>
    <row r="103461" spans="6:6" x14ac:dyDescent="0.3">
      <c r="F103461" s="193"/>
    </row>
    <row r="103462" spans="6:6" x14ac:dyDescent="0.3">
      <c r="F103462" s="193"/>
    </row>
    <row r="103463" spans="6:6" x14ac:dyDescent="0.3">
      <c r="F103463" s="193"/>
    </row>
    <row r="103464" spans="6:6" x14ac:dyDescent="0.3">
      <c r="F103464" s="193"/>
    </row>
    <row r="103465" spans="6:6" x14ac:dyDescent="0.3">
      <c r="F103465" s="193"/>
    </row>
    <row r="103466" spans="6:6" x14ac:dyDescent="0.3">
      <c r="F103466" s="193"/>
    </row>
    <row r="103467" spans="6:6" x14ac:dyDescent="0.3">
      <c r="F103467" s="193"/>
    </row>
    <row r="103468" spans="6:6" x14ac:dyDescent="0.3">
      <c r="F103468" s="193"/>
    </row>
    <row r="103469" spans="6:6" x14ac:dyDescent="0.3">
      <c r="F103469" s="193"/>
    </row>
    <row r="103470" spans="6:6" x14ac:dyDescent="0.3">
      <c r="F103470" s="193"/>
    </row>
    <row r="103471" spans="6:6" x14ac:dyDescent="0.3">
      <c r="F103471" s="193"/>
    </row>
    <row r="103472" spans="6:6" x14ac:dyDescent="0.3">
      <c r="F103472" s="193"/>
    </row>
    <row r="103473" spans="6:6" x14ac:dyDescent="0.3">
      <c r="F103473" s="193"/>
    </row>
    <row r="103474" spans="6:6" x14ac:dyDescent="0.3">
      <c r="F103474" s="193"/>
    </row>
    <row r="103475" spans="6:6" x14ac:dyDescent="0.3">
      <c r="F103475" s="193"/>
    </row>
    <row r="103476" spans="6:6" x14ac:dyDescent="0.3">
      <c r="F103476" s="193"/>
    </row>
    <row r="103477" spans="6:6" x14ac:dyDescent="0.3">
      <c r="F103477" s="193"/>
    </row>
    <row r="103478" spans="6:6" x14ac:dyDescent="0.3">
      <c r="F103478" s="193"/>
    </row>
    <row r="103479" spans="6:6" x14ac:dyDescent="0.3">
      <c r="F103479" s="193"/>
    </row>
    <row r="103480" spans="6:6" x14ac:dyDescent="0.3">
      <c r="F103480" s="193"/>
    </row>
    <row r="103481" spans="6:6" x14ac:dyDescent="0.3">
      <c r="F103481" s="193"/>
    </row>
    <row r="103482" spans="6:6" x14ac:dyDescent="0.3">
      <c r="F103482" s="193"/>
    </row>
    <row r="103483" spans="6:6" x14ac:dyDescent="0.3">
      <c r="F103483" s="193"/>
    </row>
    <row r="103484" spans="6:6" x14ac:dyDescent="0.3">
      <c r="F103484" s="193"/>
    </row>
    <row r="103485" spans="6:6" x14ac:dyDescent="0.3">
      <c r="F103485" s="193"/>
    </row>
    <row r="103486" spans="6:6" x14ac:dyDescent="0.3">
      <c r="F103486" s="193"/>
    </row>
    <row r="103487" spans="6:6" x14ac:dyDescent="0.3">
      <c r="F103487" s="193"/>
    </row>
    <row r="103488" spans="6:6" x14ac:dyDescent="0.3">
      <c r="F103488" s="193"/>
    </row>
    <row r="103489" spans="6:6" x14ac:dyDescent="0.3">
      <c r="F103489" s="193"/>
    </row>
    <row r="103490" spans="6:6" x14ac:dyDescent="0.3">
      <c r="F103490" s="193"/>
    </row>
    <row r="103491" spans="6:6" x14ac:dyDescent="0.3">
      <c r="F103491" s="193"/>
    </row>
    <row r="103492" spans="6:6" x14ac:dyDescent="0.3">
      <c r="F103492" s="193"/>
    </row>
    <row r="103493" spans="6:6" x14ac:dyDescent="0.3">
      <c r="F103493" s="193"/>
    </row>
    <row r="103494" spans="6:6" x14ac:dyDescent="0.3">
      <c r="F103494" s="193"/>
    </row>
    <row r="103495" spans="6:6" x14ac:dyDescent="0.3">
      <c r="F103495" s="193"/>
    </row>
    <row r="103496" spans="6:6" x14ac:dyDescent="0.3">
      <c r="F103496" s="193"/>
    </row>
    <row r="103497" spans="6:6" x14ac:dyDescent="0.3">
      <c r="F103497" s="193"/>
    </row>
    <row r="103498" spans="6:6" x14ac:dyDescent="0.3">
      <c r="F103498" s="193"/>
    </row>
    <row r="103499" spans="6:6" x14ac:dyDescent="0.3">
      <c r="F103499" s="193"/>
    </row>
    <row r="103500" spans="6:6" x14ac:dyDescent="0.3">
      <c r="F103500" s="193"/>
    </row>
    <row r="103501" spans="6:6" x14ac:dyDescent="0.3">
      <c r="F103501" s="193"/>
    </row>
    <row r="103502" spans="6:6" x14ac:dyDescent="0.3">
      <c r="F103502" s="193"/>
    </row>
    <row r="103503" spans="6:6" x14ac:dyDescent="0.3">
      <c r="F103503" s="193"/>
    </row>
    <row r="103504" spans="6:6" x14ac:dyDescent="0.3">
      <c r="F103504" s="193"/>
    </row>
    <row r="103505" spans="6:6" x14ac:dyDescent="0.3">
      <c r="F103505" s="193"/>
    </row>
    <row r="103506" spans="6:6" x14ac:dyDescent="0.3">
      <c r="F103506" s="193"/>
    </row>
    <row r="103507" spans="6:6" x14ac:dyDescent="0.3">
      <c r="F103507" s="193"/>
    </row>
    <row r="103508" spans="6:6" x14ac:dyDescent="0.3">
      <c r="F103508" s="193"/>
    </row>
    <row r="103509" spans="6:6" x14ac:dyDescent="0.3">
      <c r="F103509" s="193"/>
    </row>
    <row r="103510" spans="6:6" x14ac:dyDescent="0.3">
      <c r="F103510" s="193"/>
    </row>
    <row r="103511" spans="6:6" x14ac:dyDescent="0.3">
      <c r="F103511" s="193"/>
    </row>
    <row r="103512" spans="6:6" x14ac:dyDescent="0.3">
      <c r="F103512" s="193"/>
    </row>
    <row r="103513" spans="6:6" x14ac:dyDescent="0.3">
      <c r="F103513" s="193"/>
    </row>
    <row r="103514" spans="6:6" x14ac:dyDescent="0.3">
      <c r="F103514" s="193"/>
    </row>
    <row r="103515" spans="6:6" x14ac:dyDescent="0.3">
      <c r="F103515" s="193"/>
    </row>
    <row r="103516" spans="6:6" x14ac:dyDescent="0.3">
      <c r="F103516" s="193"/>
    </row>
    <row r="103517" spans="6:6" x14ac:dyDescent="0.3">
      <c r="F103517" s="193"/>
    </row>
    <row r="103518" spans="6:6" x14ac:dyDescent="0.3">
      <c r="F103518" s="193"/>
    </row>
    <row r="103519" spans="6:6" x14ac:dyDescent="0.3">
      <c r="F103519" s="193"/>
    </row>
    <row r="103520" spans="6:6" x14ac:dyDescent="0.3">
      <c r="F103520" s="193"/>
    </row>
    <row r="103521" spans="6:6" x14ac:dyDescent="0.3">
      <c r="F103521" s="193"/>
    </row>
    <row r="103522" spans="6:6" x14ac:dyDescent="0.3">
      <c r="F103522" s="193"/>
    </row>
    <row r="103523" spans="6:6" x14ac:dyDescent="0.3">
      <c r="F103523" s="193"/>
    </row>
    <row r="103524" spans="6:6" x14ac:dyDescent="0.3">
      <c r="F103524" s="193"/>
    </row>
    <row r="103525" spans="6:6" x14ac:dyDescent="0.3">
      <c r="F103525" s="193"/>
    </row>
    <row r="103526" spans="6:6" x14ac:dyDescent="0.3">
      <c r="F103526" s="193"/>
    </row>
    <row r="103527" spans="6:6" x14ac:dyDescent="0.3">
      <c r="F103527" s="193"/>
    </row>
    <row r="103528" spans="6:6" x14ac:dyDescent="0.3">
      <c r="F103528" s="193"/>
    </row>
    <row r="103529" spans="6:6" x14ac:dyDescent="0.3">
      <c r="F103529" s="193"/>
    </row>
    <row r="103530" spans="6:6" x14ac:dyDescent="0.3">
      <c r="F103530" s="193"/>
    </row>
    <row r="103531" spans="6:6" x14ac:dyDescent="0.3">
      <c r="F103531" s="193"/>
    </row>
    <row r="103532" spans="6:6" x14ac:dyDescent="0.3">
      <c r="F103532" s="193"/>
    </row>
    <row r="103533" spans="6:6" x14ac:dyDescent="0.3">
      <c r="F103533" s="193"/>
    </row>
    <row r="103534" spans="6:6" x14ac:dyDescent="0.3">
      <c r="F103534" s="193"/>
    </row>
    <row r="103535" spans="6:6" x14ac:dyDescent="0.3">
      <c r="F103535" s="193"/>
    </row>
    <row r="103536" spans="6:6" x14ac:dyDescent="0.3">
      <c r="F103536" s="193"/>
    </row>
    <row r="103537" spans="6:6" x14ac:dyDescent="0.3">
      <c r="F103537" s="193"/>
    </row>
    <row r="103538" spans="6:6" x14ac:dyDescent="0.3">
      <c r="F103538" s="193"/>
    </row>
    <row r="103539" spans="6:6" x14ac:dyDescent="0.3">
      <c r="F103539" s="193"/>
    </row>
    <row r="103540" spans="6:6" x14ac:dyDescent="0.3">
      <c r="F103540" s="193"/>
    </row>
    <row r="103541" spans="6:6" x14ac:dyDescent="0.3">
      <c r="F103541" s="193"/>
    </row>
    <row r="103542" spans="6:6" x14ac:dyDescent="0.3">
      <c r="F103542" s="193"/>
    </row>
    <row r="103543" spans="6:6" x14ac:dyDescent="0.3">
      <c r="F103543" s="193"/>
    </row>
    <row r="103544" spans="6:6" x14ac:dyDescent="0.3">
      <c r="F103544" s="193"/>
    </row>
    <row r="103545" spans="6:6" x14ac:dyDescent="0.3">
      <c r="F103545" s="193"/>
    </row>
    <row r="103546" spans="6:6" x14ac:dyDescent="0.3">
      <c r="F103546" s="193"/>
    </row>
    <row r="103547" spans="6:6" x14ac:dyDescent="0.3">
      <c r="F103547" s="193"/>
    </row>
    <row r="103548" spans="6:6" x14ac:dyDescent="0.3">
      <c r="F103548" s="193"/>
    </row>
    <row r="103549" spans="6:6" x14ac:dyDescent="0.3">
      <c r="F103549" s="193"/>
    </row>
    <row r="103550" spans="6:6" x14ac:dyDescent="0.3">
      <c r="F103550" s="193"/>
    </row>
    <row r="103551" spans="6:6" x14ac:dyDescent="0.3">
      <c r="F103551" s="193"/>
    </row>
    <row r="103552" spans="6:6" x14ac:dyDescent="0.3">
      <c r="F103552" s="193"/>
    </row>
    <row r="103553" spans="6:6" x14ac:dyDescent="0.3">
      <c r="F103553" s="193"/>
    </row>
    <row r="103554" spans="6:6" x14ac:dyDescent="0.3">
      <c r="F103554" s="193"/>
    </row>
    <row r="103555" spans="6:6" x14ac:dyDescent="0.3">
      <c r="F103555" s="193"/>
    </row>
    <row r="103556" spans="6:6" x14ac:dyDescent="0.3">
      <c r="F103556" s="193"/>
    </row>
    <row r="103557" spans="6:6" x14ac:dyDescent="0.3">
      <c r="F103557" s="193"/>
    </row>
    <row r="103558" spans="6:6" x14ac:dyDescent="0.3">
      <c r="F103558" s="193"/>
    </row>
    <row r="103559" spans="6:6" x14ac:dyDescent="0.3">
      <c r="F103559" s="193"/>
    </row>
    <row r="103560" spans="6:6" x14ac:dyDescent="0.3">
      <c r="F103560" s="193"/>
    </row>
    <row r="103561" spans="6:6" x14ac:dyDescent="0.3">
      <c r="F103561" s="193"/>
    </row>
    <row r="103562" spans="6:6" x14ac:dyDescent="0.3">
      <c r="F103562" s="193"/>
    </row>
    <row r="103563" spans="6:6" x14ac:dyDescent="0.3">
      <c r="F103563" s="193"/>
    </row>
    <row r="103564" spans="6:6" x14ac:dyDescent="0.3">
      <c r="F103564" s="193"/>
    </row>
    <row r="103565" spans="6:6" x14ac:dyDescent="0.3">
      <c r="F103565" s="193"/>
    </row>
    <row r="103566" spans="6:6" x14ac:dyDescent="0.3">
      <c r="F103566" s="193"/>
    </row>
    <row r="103567" spans="6:6" x14ac:dyDescent="0.3">
      <c r="F103567" s="193"/>
    </row>
    <row r="103568" spans="6:6" x14ac:dyDescent="0.3">
      <c r="F103568" s="193"/>
    </row>
    <row r="103569" spans="6:6" x14ac:dyDescent="0.3">
      <c r="F103569" s="193"/>
    </row>
    <row r="103570" spans="6:6" x14ac:dyDescent="0.3">
      <c r="F103570" s="193"/>
    </row>
    <row r="103571" spans="6:6" x14ac:dyDescent="0.3">
      <c r="F103571" s="193"/>
    </row>
    <row r="103572" spans="6:6" x14ac:dyDescent="0.3">
      <c r="F103572" s="193"/>
    </row>
    <row r="103573" spans="6:6" x14ac:dyDescent="0.3">
      <c r="F103573" s="193"/>
    </row>
    <row r="103574" spans="6:6" x14ac:dyDescent="0.3">
      <c r="F103574" s="193"/>
    </row>
    <row r="103575" spans="6:6" x14ac:dyDescent="0.3">
      <c r="F103575" s="193"/>
    </row>
    <row r="103576" spans="6:6" x14ac:dyDescent="0.3">
      <c r="F103576" s="193"/>
    </row>
    <row r="103577" spans="6:6" x14ac:dyDescent="0.3">
      <c r="F103577" s="193"/>
    </row>
    <row r="103578" spans="6:6" x14ac:dyDescent="0.3">
      <c r="F103578" s="193"/>
    </row>
    <row r="103579" spans="6:6" x14ac:dyDescent="0.3">
      <c r="F103579" s="193"/>
    </row>
    <row r="103580" spans="6:6" x14ac:dyDescent="0.3">
      <c r="F103580" s="193"/>
    </row>
    <row r="103581" spans="6:6" x14ac:dyDescent="0.3">
      <c r="F103581" s="193"/>
    </row>
    <row r="103582" spans="6:6" x14ac:dyDescent="0.3">
      <c r="F103582" s="193"/>
    </row>
    <row r="103583" spans="6:6" x14ac:dyDescent="0.3">
      <c r="F103583" s="193"/>
    </row>
    <row r="103584" spans="6:6" x14ac:dyDescent="0.3">
      <c r="F103584" s="193"/>
    </row>
    <row r="103585" spans="6:6" x14ac:dyDescent="0.3">
      <c r="F103585" s="193"/>
    </row>
    <row r="103586" spans="6:6" x14ac:dyDescent="0.3">
      <c r="F103586" s="193"/>
    </row>
    <row r="103587" spans="6:6" x14ac:dyDescent="0.3">
      <c r="F103587" s="193"/>
    </row>
    <row r="103588" spans="6:6" x14ac:dyDescent="0.3">
      <c r="F103588" s="193"/>
    </row>
    <row r="103589" spans="6:6" x14ac:dyDescent="0.3">
      <c r="F103589" s="193"/>
    </row>
    <row r="103590" spans="6:6" x14ac:dyDescent="0.3">
      <c r="F103590" s="193"/>
    </row>
    <row r="103591" spans="6:6" x14ac:dyDescent="0.3">
      <c r="F103591" s="193"/>
    </row>
    <row r="103592" spans="6:6" x14ac:dyDescent="0.3">
      <c r="F103592" s="193"/>
    </row>
    <row r="103593" spans="6:6" x14ac:dyDescent="0.3">
      <c r="F103593" s="193"/>
    </row>
    <row r="103594" spans="6:6" x14ac:dyDescent="0.3">
      <c r="F103594" s="193"/>
    </row>
    <row r="103595" spans="6:6" x14ac:dyDescent="0.3">
      <c r="F103595" s="193"/>
    </row>
    <row r="103596" spans="6:6" x14ac:dyDescent="0.3">
      <c r="F103596" s="193"/>
    </row>
    <row r="103597" spans="6:6" x14ac:dyDescent="0.3">
      <c r="F103597" s="193"/>
    </row>
    <row r="103598" spans="6:6" x14ac:dyDescent="0.3">
      <c r="F103598" s="193"/>
    </row>
    <row r="103599" spans="6:6" x14ac:dyDescent="0.3">
      <c r="F103599" s="193"/>
    </row>
    <row r="103600" spans="6:6" x14ac:dyDescent="0.3">
      <c r="F103600" s="193"/>
    </row>
    <row r="103601" spans="6:6" x14ac:dyDescent="0.3">
      <c r="F103601" s="193"/>
    </row>
    <row r="103602" spans="6:6" x14ac:dyDescent="0.3">
      <c r="F103602" s="193"/>
    </row>
    <row r="103603" spans="6:6" x14ac:dyDescent="0.3">
      <c r="F103603" s="193"/>
    </row>
    <row r="103604" spans="6:6" x14ac:dyDescent="0.3">
      <c r="F103604" s="193"/>
    </row>
    <row r="103605" spans="6:6" x14ac:dyDescent="0.3">
      <c r="F103605" s="193"/>
    </row>
    <row r="103606" spans="6:6" x14ac:dyDescent="0.3">
      <c r="F103606" s="193"/>
    </row>
    <row r="103607" spans="6:6" x14ac:dyDescent="0.3">
      <c r="F103607" s="193"/>
    </row>
    <row r="103608" spans="6:6" x14ac:dyDescent="0.3">
      <c r="F103608" s="193"/>
    </row>
    <row r="103609" spans="6:6" x14ac:dyDescent="0.3">
      <c r="F103609" s="193"/>
    </row>
    <row r="103610" spans="6:6" x14ac:dyDescent="0.3">
      <c r="F103610" s="193"/>
    </row>
    <row r="103611" spans="6:6" x14ac:dyDescent="0.3">
      <c r="F103611" s="193"/>
    </row>
    <row r="103612" spans="6:6" x14ac:dyDescent="0.3">
      <c r="F103612" s="193"/>
    </row>
    <row r="103613" spans="6:6" x14ac:dyDescent="0.3">
      <c r="F103613" s="193"/>
    </row>
    <row r="103614" spans="6:6" x14ac:dyDescent="0.3">
      <c r="F103614" s="193"/>
    </row>
    <row r="103615" spans="6:6" x14ac:dyDescent="0.3">
      <c r="F103615" s="193"/>
    </row>
    <row r="103616" spans="6:6" x14ac:dyDescent="0.3">
      <c r="F103616" s="193"/>
    </row>
    <row r="103617" spans="6:6" x14ac:dyDescent="0.3">
      <c r="F103617" s="193"/>
    </row>
    <row r="103618" spans="6:6" x14ac:dyDescent="0.3">
      <c r="F103618" s="193"/>
    </row>
    <row r="103619" spans="6:6" x14ac:dyDescent="0.3">
      <c r="F103619" s="193"/>
    </row>
    <row r="103620" spans="6:6" x14ac:dyDescent="0.3">
      <c r="F103620" s="193"/>
    </row>
    <row r="103621" spans="6:6" x14ac:dyDescent="0.3">
      <c r="F103621" s="193"/>
    </row>
    <row r="103622" spans="6:6" x14ac:dyDescent="0.3">
      <c r="F103622" s="193"/>
    </row>
    <row r="103623" spans="6:6" x14ac:dyDescent="0.3">
      <c r="F103623" s="193"/>
    </row>
    <row r="103624" spans="6:6" x14ac:dyDescent="0.3">
      <c r="F103624" s="193"/>
    </row>
    <row r="103625" spans="6:6" x14ac:dyDescent="0.3">
      <c r="F103625" s="193"/>
    </row>
    <row r="103626" spans="6:6" x14ac:dyDescent="0.3">
      <c r="F103626" s="193"/>
    </row>
    <row r="103627" spans="6:6" x14ac:dyDescent="0.3">
      <c r="F103627" s="193"/>
    </row>
    <row r="103628" spans="6:6" x14ac:dyDescent="0.3">
      <c r="F103628" s="193"/>
    </row>
    <row r="103629" spans="6:6" x14ac:dyDescent="0.3">
      <c r="F103629" s="193"/>
    </row>
    <row r="103630" spans="6:6" x14ac:dyDescent="0.3">
      <c r="F103630" s="193"/>
    </row>
    <row r="103631" spans="6:6" x14ac:dyDescent="0.3">
      <c r="F103631" s="193"/>
    </row>
    <row r="103632" spans="6:6" x14ac:dyDescent="0.3">
      <c r="F103632" s="193"/>
    </row>
    <row r="103633" spans="6:6" x14ac:dyDescent="0.3">
      <c r="F103633" s="193"/>
    </row>
    <row r="103634" spans="6:6" x14ac:dyDescent="0.3">
      <c r="F103634" s="193"/>
    </row>
    <row r="103635" spans="6:6" x14ac:dyDescent="0.3">
      <c r="F103635" s="193"/>
    </row>
    <row r="103636" spans="6:6" x14ac:dyDescent="0.3">
      <c r="F103636" s="193"/>
    </row>
    <row r="103637" spans="6:6" x14ac:dyDescent="0.3">
      <c r="F103637" s="193"/>
    </row>
    <row r="103638" spans="6:6" x14ac:dyDescent="0.3">
      <c r="F103638" s="193"/>
    </row>
    <row r="103639" spans="6:6" x14ac:dyDescent="0.3">
      <c r="F103639" s="193"/>
    </row>
    <row r="103640" spans="6:6" x14ac:dyDescent="0.3">
      <c r="F103640" s="193"/>
    </row>
    <row r="103641" spans="6:6" x14ac:dyDescent="0.3">
      <c r="F103641" s="193"/>
    </row>
    <row r="103642" spans="6:6" x14ac:dyDescent="0.3">
      <c r="F103642" s="193"/>
    </row>
    <row r="103643" spans="6:6" x14ac:dyDescent="0.3">
      <c r="F103643" s="193"/>
    </row>
    <row r="103644" spans="6:6" x14ac:dyDescent="0.3">
      <c r="F103644" s="193"/>
    </row>
    <row r="103645" spans="6:6" x14ac:dyDescent="0.3">
      <c r="F103645" s="193"/>
    </row>
    <row r="103646" spans="6:6" x14ac:dyDescent="0.3">
      <c r="F103646" s="193"/>
    </row>
    <row r="103647" spans="6:6" x14ac:dyDescent="0.3">
      <c r="F103647" s="193"/>
    </row>
    <row r="103648" spans="6:6" x14ac:dyDescent="0.3">
      <c r="F103648" s="193"/>
    </row>
    <row r="103649" spans="6:6" x14ac:dyDescent="0.3">
      <c r="F103649" s="193"/>
    </row>
    <row r="103650" spans="6:6" x14ac:dyDescent="0.3">
      <c r="F103650" s="193"/>
    </row>
    <row r="103651" spans="6:6" x14ac:dyDescent="0.3">
      <c r="F103651" s="193"/>
    </row>
    <row r="103652" spans="6:6" x14ac:dyDescent="0.3">
      <c r="F103652" s="193"/>
    </row>
    <row r="103653" spans="6:6" x14ac:dyDescent="0.3">
      <c r="F103653" s="193"/>
    </row>
    <row r="103654" spans="6:6" x14ac:dyDescent="0.3">
      <c r="F103654" s="193"/>
    </row>
    <row r="103655" spans="6:6" x14ac:dyDescent="0.3">
      <c r="F103655" s="193"/>
    </row>
    <row r="103656" spans="6:6" x14ac:dyDescent="0.3">
      <c r="F103656" s="193"/>
    </row>
    <row r="103657" spans="6:6" x14ac:dyDescent="0.3">
      <c r="F103657" s="193"/>
    </row>
    <row r="103658" spans="6:6" x14ac:dyDescent="0.3">
      <c r="F103658" s="193"/>
    </row>
    <row r="103659" spans="6:6" x14ac:dyDescent="0.3">
      <c r="F103659" s="193"/>
    </row>
    <row r="103660" spans="6:6" x14ac:dyDescent="0.3">
      <c r="F103660" s="193"/>
    </row>
    <row r="103661" spans="6:6" x14ac:dyDescent="0.3">
      <c r="F103661" s="193"/>
    </row>
    <row r="103662" spans="6:6" x14ac:dyDescent="0.3">
      <c r="F103662" s="193"/>
    </row>
    <row r="103663" spans="6:6" x14ac:dyDescent="0.3">
      <c r="F103663" s="193"/>
    </row>
    <row r="103664" spans="6:6" x14ac:dyDescent="0.3">
      <c r="F103664" s="193"/>
    </row>
    <row r="103665" spans="6:6" x14ac:dyDescent="0.3">
      <c r="F103665" s="193"/>
    </row>
    <row r="103666" spans="6:6" x14ac:dyDescent="0.3">
      <c r="F103666" s="193"/>
    </row>
    <row r="103667" spans="6:6" x14ac:dyDescent="0.3">
      <c r="F103667" s="193"/>
    </row>
    <row r="103668" spans="6:6" x14ac:dyDescent="0.3">
      <c r="F103668" s="193"/>
    </row>
    <row r="103669" spans="6:6" x14ac:dyDescent="0.3">
      <c r="F103669" s="193"/>
    </row>
    <row r="103670" spans="6:6" x14ac:dyDescent="0.3">
      <c r="F103670" s="193"/>
    </row>
    <row r="103671" spans="6:6" x14ac:dyDescent="0.3">
      <c r="F103671" s="193"/>
    </row>
    <row r="103672" spans="6:6" x14ac:dyDescent="0.3">
      <c r="F103672" s="193"/>
    </row>
    <row r="103673" spans="6:6" x14ac:dyDescent="0.3">
      <c r="F103673" s="193"/>
    </row>
    <row r="103674" spans="6:6" x14ac:dyDescent="0.3">
      <c r="F103674" s="193"/>
    </row>
    <row r="103675" spans="6:6" x14ac:dyDescent="0.3">
      <c r="F103675" s="193"/>
    </row>
    <row r="103676" spans="6:6" x14ac:dyDescent="0.3">
      <c r="F103676" s="193"/>
    </row>
    <row r="103677" spans="6:6" x14ac:dyDescent="0.3">
      <c r="F103677" s="193"/>
    </row>
    <row r="103678" spans="6:6" x14ac:dyDescent="0.3">
      <c r="F103678" s="193"/>
    </row>
    <row r="103679" spans="6:6" x14ac:dyDescent="0.3">
      <c r="F103679" s="193"/>
    </row>
    <row r="103680" spans="6:6" x14ac:dyDescent="0.3">
      <c r="F103680" s="193"/>
    </row>
    <row r="103681" spans="6:6" x14ac:dyDescent="0.3">
      <c r="F103681" s="193"/>
    </row>
    <row r="103682" spans="6:6" x14ac:dyDescent="0.3">
      <c r="F103682" s="193"/>
    </row>
    <row r="103683" spans="6:6" x14ac:dyDescent="0.3">
      <c r="F103683" s="193"/>
    </row>
    <row r="103684" spans="6:6" x14ac:dyDescent="0.3">
      <c r="F103684" s="193"/>
    </row>
    <row r="103685" spans="6:6" x14ac:dyDescent="0.3">
      <c r="F103685" s="193"/>
    </row>
    <row r="103686" spans="6:6" x14ac:dyDescent="0.3">
      <c r="F103686" s="193"/>
    </row>
    <row r="103687" spans="6:6" x14ac:dyDescent="0.3">
      <c r="F103687" s="193"/>
    </row>
    <row r="103688" spans="6:6" x14ac:dyDescent="0.3">
      <c r="F103688" s="193"/>
    </row>
    <row r="103689" spans="6:6" x14ac:dyDescent="0.3">
      <c r="F103689" s="193"/>
    </row>
    <row r="103690" spans="6:6" x14ac:dyDescent="0.3">
      <c r="F103690" s="193"/>
    </row>
    <row r="103691" spans="6:6" x14ac:dyDescent="0.3">
      <c r="F103691" s="193"/>
    </row>
    <row r="103692" spans="6:6" x14ac:dyDescent="0.3">
      <c r="F103692" s="193"/>
    </row>
    <row r="103693" spans="6:6" x14ac:dyDescent="0.3">
      <c r="F103693" s="193"/>
    </row>
    <row r="103694" spans="6:6" x14ac:dyDescent="0.3">
      <c r="F103694" s="193"/>
    </row>
    <row r="103695" spans="6:6" x14ac:dyDescent="0.3">
      <c r="F103695" s="193"/>
    </row>
    <row r="103696" spans="6:6" x14ac:dyDescent="0.3">
      <c r="F103696" s="193"/>
    </row>
    <row r="103697" spans="6:6" x14ac:dyDescent="0.3">
      <c r="F103697" s="193"/>
    </row>
    <row r="103698" spans="6:6" x14ac:dyDescent="0.3">
      <c r="F103698" s="193"/>
    </row>
    <row r="103699" spans="6:6" x14ac:dyDescent="0.3">
      <c r="F103699" s="193"/>
    </row>
    <row r="103700" spans="6:6" x14ac:dyDescent="0.3">
      <c r="F103700" s="193"/>
    </row>
    <row r="103701" spans="6:6" x14ac:dyDescent="0.3">
      <c r="F103701" s="193"/>
    </row>
    <row r="103702" spans="6:6" x14ac:dyDescent="0.3">
      <c r="F103702" s="193"/>
    </row>
    <row r="103703" spans="6:6" x14ac:dyDescent="0.3">
      <c r="F103703" s="193"/>
    </row>
    <row r="103704" spans="6:6" x14ac:dyDescent="0.3">
      <c r="F103704" s="193"/>
    </row>
    <row r="103705" spans="6:6" x14ac:dyDescent="0.3">
      <c r="F103705" s="193"/>
    </row>
    <row r="103706" spans="6:6" x14ac:dyDescent="0.3">
      <c r="F103706" s="193"/>
    </row>
    <row r="103707" spans="6:6" x14ac:dyDescent="0.3">
      <c r="F103707" s="193"/>
    </row>
    <row r="103708" spans="6:6" x14ac:dyDescent="0.3">
      <c r="F103708" s="193"/>
    </row>
    <row r="103709" spans="6:6" x14ac:dyDescent="0.3">
      <c r="F103709" s="193"/>
    </row>
    <row r="103710" spans="6:6" x14ac:dyDescent="0.3">
      <c r="F103710" s="193"/>
    </row>
    <row r="103711" spans="6:6" x14ac:dyDescent="0.3">
      <c r="F103711" s="193"/>
    </row>
    <row r="103712" spans="6:6" x14ac:dyDescent="0.3">
      <c r="F103712" s="193"/>
    </row>
    <row r="103713" spans="6:6" x14ac:dyDescent="0.3">
      <c r="F103713" s="193"/>
    </row>
    <row r="103714" spans="6:6" x14ac:dyDescent="0.3">
      <c r="F103714" s="193"/>
    </row>
    <row r="103715" spans="6:6" x14ac:dyDescent="0.3">
      <c r="F103715" s="193"/>
    </row>
    <row r="103716" spans="6:6" x14ac:dyDescent="0.3">
      <c r="F103716" s="193"/>
    </row>
    <row r="103717" spans="6:6" x14ac:dyDescent="0.3">
      <c r="F103717" s="193"/>
    </row>
    <row r="103718" spans="6:6" x14ac:dyDescent="0.3">
      <c r="F103718" s="193"/>
    </row>
    <row r="103719" spans="6:6" x14ac:dyDescent="0.3">
      <c r="F103719" s="193"/>
    </row>
    <row r="103720" spans="6:6" x14ac:dyDescent="0.3">
      <c r="F103720" s="193"/>
    </row>
    <row r="103721" spans="6:6" x14ac:dyDescent="0.3">
      <c r="F103721" s="193"/>
    </row>
    <row r="103722" spans="6:6" x14ac:dyDescent="0.3">
      <c r="F103722" s="193"/>
    </row>
    <row r="103723" spans="6:6" x14ac:dyDescent="0.3">
      <c r="F103723" s="193"/>
    </row>
    <row r="103724" spans="6:6" x14ac:dyDescent="0.3">
      <c r="F103724" s="193"/>
    </row>
    <row r="103725" spans="6:6" x14ac:dyDescent="0.3">
      <c r="F103725" s="193"/>
    </row>
    <row r="103726" spans="6:6" x14ac:dyDescent="0.3">
      <c r="F103726" s="193"/>
    </row>
    <row r="103727" spans="6:6" x14ac:dyDescent="0.3">
      <c r="F103727" s="193"/>
    </row>
    <row r="103728" spans="6:6" x14ac:dyDescent="0.3">
      <c r="F103728" s="193"/>
    </row>
    <row r="103729" spans="6:6" x14ac:dyDescent="0.3">
      <c r="F103729" s="193"/>
    </row>
    <row r="103730" spans="6:6" x14ac:dyDescent="0.3">
      <c r="F103730" s="193"/>
    </row>
    <row r="103731" spans="6:6" x14ac:dyDescent="0.3">
      <c r="F103731" s="193"/>
    </row>
    <row r="103732" spans="6:6" x14ac:dyDescent="0.3">
      <c r="F103732" s="193"/>
    </row>
    <row r="103733" spans="6:6" x14ac:dyDescent="0.3">
      <c r="F103733" s="193"/>
    </row>
    <row r="103734" spans="6:6" x14ac:dyDescent="0.3">
      <c r="F103734" s="193"/>
    </row>
    <row r="103735" spans="6:6" x14ac:dyDescent="0.3">
      <c r="F103735" s="193"/>
    </row>
    <row r="103736" spans="6:6" x14ac:dyDescent="0.3">
      <c r="F103736" s="193"/>
    </row>
    <row r="103737" spans="6:6" x14ac:dyDescent="0.3">
      <c r="F103737" s="193"/>
    </row>
    <row r="103738" spans="6:6" x14ac:dyDescent="0.3">
      <c r="F103738" s="193"/>
    </row>
    <row r="103739" spans="6:6" x14ac:dyDescent="0.3">
      <c r="F103739" s="193"/>
    </row>
    <row r="103740" spans="6:6" x14ac:dyDescent="0.3">
      <c r="F103740" s="193"/>
    </row>
    <row r="103741" spans="6:6" x14ac:dyDescent="0.3">
      <c r="F103741" s="193"/>
    </row>
    <row r="103742" spans="6:6" x14ac:dyDescent="0.3">
      <c r="F103742" s="193"/>
    </row>
    <row r="103743" spans="6:6" x14ac:dyDescent="0.3">
      <c r="F103743" s="193"/>
    </row>
    <row r="103744" spans="6:6" x14ac:dyDescent="0.3">
      <c r="F103744" s="193"/>
    </row>
    <row r="103745" spans="6:6" x14ac:dyDescent="0.3">
      <c r="F103745" s="193"/>
    </row>
    <row r="103746" spans="6:6" x14ac:dyDescent="0.3">
      <c r="F103746" s="193"/>
    </row>
    <row r="103747" spans="6:6" x14ac:dyDescent="0.3">
      <c r="F103747" s="193"/>
    </row>
    <row r="103748" spans="6:6" x14ac:dyDescent="0.3">
      <c r="F103748" s="193"/>
    </row>
    <row r="103749" spans="6:6" x14ac:dyDescent="0.3">
      <c r="F103749" s="193"/>
    </row>
    <row r="103750" spans="6:6" x14ac:dyDescent="0.3">
      <c r="F103750" s="193"/>
    </row>
    <row r="103751" spans="6:6" x14ac:dyDescent="0.3">
      <c r="F103751" s="193"/>
    </row>
    <row r="103752" spans="6:6" x14ac:dyDescent="0.3">
      <c r="F103752" s="193"/>
    </row>
    <row r="103753" spans="6:6" x14ac:dyDescent="0.3">
      <c r="F103753" s="193"/>
    </row>
    <row r="103754" spans="6:6" x14ac:dyDescent="0.3">
      <c r="F103754" s="193"/>
    </row>
    <row r="103755" spans="6:6" x14ac:dyDescent="0.3">
      <c r="F103755" s="193"/>
    </row>
    <row r="103756" spans="6:6" x14ac:dyDescent="0.3">
      <c r="F103756" s="193"/>
    </row>
    <row r="103757" spans="6:6" x14ac:dyDescent="0.3">
      <c r="F103757" s="193"/>
    </row>
    <row r="103758" spans="6:6" x14ac:dyDescent="0.3">
      <c r="F103758" s="193"/>
    </row>
    <row r="103759" spans="6:6" x14ac:dyDescent="0.3">
      <c r="F103759" s="193"/>
    </row>
    <row r="103760" spans="6:6" x14ac:dyDescent="0.3">
      <c r="F103760" s="193"/>
    </row>
    <row r="103761" spans="6:6" x14ac:dyDescent="0.3">
      <c r="F103761" s="193"/>
    </row>
    <row r="103762" spans="6:6" x14ac:dyDescent="0.3">
      <c r="F103762" s="193"/>
    </row>
    <row r="103763" spans="6:6" x14ac:dyDescent="0.3">
      <c r="F103763" s="193"/>
    </row>
    <row r="103764" spans="6:6" x14ac:dyDescent="0.3">
      <c r="F103764" s="193"/>
    </row>
    <row r="103765" spans="6:6" x14ac:dyDescent="0.3">
      <c r="F103765" s="193"/>
    </row>
    <row r="103766" spans="6:6" x14ac:dyDescent="0.3">
      <c r="F103766" s="193"/>
    </row>
    <row r="103767" spans="6:6" x14ac:dyDescent="0.3">
      <c r="F103767" s="193"/>
    </row>
    <row r="103768" spans="6:6" x14ac:dyDescent="0.3">
      <c r="F103768" s="193"/>
    </row>
    <row r="103769" spans="6:6" x14ac:dyDescent="0.3">
      <c r="F103769" s="193"/>
    </row>
    <row r="103770" spans="6:6" x14ac:dyDescent="0.3">
      <c r="F103770" s="193"/>
    </row>
    <row r="103771" spans="6:6" x14ac:dyDescent="0.3">
      <c r="F103771" s="193"/>
    </row>
    <row r="103772" spans="6:6" x14ac:dyDescent="0.3">
      <c r="F103772" s="193"/>
    </row>
    <row r="103773" spans="6:6" x14ac:dyDescent="0.3">
      <c r="F103773" s="193"/>
    </row>
    <row r="103774" spans="6:6" x14ac:dyDescent="0.3">
      <c r="F103774" s="193"/>
    </row>
    <row r="103775" spans="6:6" x14ac:dyDescent="0.3">
      <c r="F103775" s="193"/>
    </row>
    <row r="103776" spans="6:6" x14ac:dyDescent="0.3">
      <c r="F103776" s="193"/>
    </row>
    <row r="103777" spans="6:6" x14ac:dyDescent="0.3">
      <c r="F103777" s="193"/>
    </row>
    <row r="103778" spans="6:6" x14ac:dyDescent="0.3">
      <c r="F103778" s="193"/>
    </row>
    <row r="103779" spans="6:6" x14ac:dyDescent="0.3">
      <c r="F103779" s="193"/>
    </row>
    <row r="103780" spans="6:6" x14ac:dyDescent="0.3">
      <c r="F103780" s="193"/>
    </row>
    <row r="103781" spans="6:6" x14ac:dyDescent="0.3">
      <c r="F103781" s="193"/>
    </row>
    <row r="103782" spans="6:6" x14ac:dyDescent="0.3">
      <c r="F103782" s="193"/>
    </row>
    <row r="103783" spans="6:6" x14ac:dyDescent="0.3">
      <c r="F103783" s="193"/>
    </row>
    <row r="103784" spans="6:6" x14ac:dyDescent="0.3">
      <c r="F103784" s="193"/>
    </row>
    <row r="103785" spans="6:6" x14ac:dyDescent="0.3">
      <c r="F103785" s="193"/>
    </row>
    <row r="103786" spans="6:6" x14ac:dyDescent="0.3">
      <c r="F103786" s="193"/>
    </row>
    <row r="103787" spans="6:6" x14ac:dyDescent="0.3">
      <c r="F103787" s="193"/>
    </row>
    <row r="103788" spans="6:6" x14ac:dyDescent="0.3">
      <c r="F103788" s="193"/>
    </row>
    <row r="103789" spans="6:6" x14ac:dyDescent="0.3">
      <c r="F103789" s="193"/>
    </row>
    <row r="103790" spans="6:6" x14ac:dyDescent="0.3">
      <c r="F103790" s="193"/>
    </row>
    <row r="103791" spans="6:6" x14ac:dyDescent="0.3">
      <c r="F103791" s="193"/>
    </row>
    <row r="103792" spans="6:6" x14ac:dyDescent="0.3">
      <c r="F103792" s="193"/>
    </row>
    <row r="103793" spans="6:6" x14ac:dyDescent="0.3">
      <c r="F103793" s="193"/>
    </row>
    <row r="103794" spans="6:6" x14ac:dyDescent="0.3">
      <c r="F103794" s="193"/>
    </row>
    <row r="103795" spans="6:6" x14ac:dyDescent="0.3">
      <c r="F103795" s="193"/>
    </row>
    <row r="103796" spans="6:6" x14ac:dyDescent="0.3">
      <c r="F103796" s="193"/>
    </row>
    <row r="103797" spans="6:6" x14ac:dyDescent="0.3">
      <c r="F103797" s="193"/>
    </row>
    <row r="103798" spans="6:6" x14ac:dyDescent="0.3">
      <c r="F103798" s="193"/>
    </row>
    <row r="103799" spans="6:6" x14ac:dyDescent="0.3">
      <c r="F103799" s="193"/>
    </row>
    <row r="103800" spans="6:6" x14ac:dyDescent="0.3">
      <c r="F103800" s="193"/>
    </row>
    <row r="103801" spans="6:6" x14ac:dyDescent="0.3">
      <c r="F103801" s="193"/>
    </row>
    <row r="103802" spans="6:6" x14ac:dyDescent="0.3">
      <c r="F103802" s="193"/>
    </row>
    <row r="103803" spans="6:6" x14ac:dyDescent="0.3">
      <c r="F103803" s="193"/>
    </row>
    <row r="103804" spans="6:6" x14ac:dyDescent="0.3">
      <c r="F103804" s="193"/>
    </row>
    <row r="103805" spans="6:6" x14ac:dyDescent="0.3">
      <c r="F103805" s="193"/>
    </row>
    <row r="103806" spans="6:6" x14ac:dyDescent="0.3">
      <c r="F103806" s="193"/>
    </row>
    <row r="103807" spans="6:6" x14ac:dyDescent="0.3">
      <c r="F103807" s="193"/>
    </row>
    <row r="103808" spans="6:6" x14ac:dyDescent="0.3">
      <c r="F103808" s="193"/>
    </row>
    <row r="103809" spans="6:6" x14ac:dyDescent="0.3">
      <c r="F103809" s="193"/>
    </row>
    <row r="103810" spans="6:6" x14ac:dyDescent="0.3">
      <c r="F103810" s="193"/>
    </row>
    <row r="103811" spans="6:6" x14ac:dyDescent="0.3">
      <c r="F103811" s="193"/>
    </row>
    <row r="103812" spans="6:6" x14ac:dyDescent="0.3">
      <c r="F103812" s="193"/>
    </row>
    <row r="103813" spans="6:6" x14ac:dyDescent="0.3">
      <c r="F103813" s="193"/>
    </row>
    <row r="103814" spans="6:6" x14ac:dyDescent="0.3">
      <c r="F103814" s="193"/>
    </row>
    <row r="103815" spans="6:6" x14ac:dyDescent="0.3">
      <c r="F103815" s="193"/>
    </row>
    <row r="103816" spans="6:6" x14ac:dyDescent="0.3">
      <c r="F103816" s="193"/>
    </row>
    <row r="103817" spans="6:6" x14ac:dyDescent="0.3">
      <c r="F103817" s="193"/>
    </row>
    <row r="103818" spans="6:6" x14ac:dyDescent="0.3">
      <c r="F103818" s="193"/>
    </row>
    <row r="103819" spans="6:6" x14ac:dyDescent="0.3">
      <c r="F103819" s="193"/>
    </row>
    <row r="103820" spans="6:6" x14ac:dyDescent="0.3">
      <c r="F103820" s="193"/>
    </row>
    <row r="103821" spans="6:6" x14ac:dyDescent="0.3">
      <c r="F103821" s="193"/>
    </row>
    <row r="103822" spans="6:6" x14ac:dyDescent="0.3">
      <c r="F103822" s="193"/>
    </row>
    <row r="103823" spans="6:6" x14ac:dyDescent="0.3">
      <c r="F103823" s="193"/>
    </row>
    <row r="103824" spans="6:6" x14ac:dyDescent="0.3">
      <c r="F103824" s="193"/>
    </row>
    <row r="103825" spans="6:6" x14ac:dyDescent="0.3">
      <c r="F103825" s="193"/>
    </row>
    <row r="103826" spans="6:6" x14ac:dyDescent="0.3">
      <c r="F103826" s="193"/>
    </row>
    <row r="103827" spans="6:6" x14ac:dyDescent="0.3">
      <c r="F103827" s="193"/>
    </row>
    <row r="103828" spans="6:6" x14ac:dyDescent="0.3">
      <c r="F103828" s="193"/>
    </row>
    <row r="103829" spans="6:6" x14ac:dyDescent="0.3">
      <c r="F103829" s="193"/>
    </row>
    <row r="103830" spans="6:6" x14ac:dyDescent="0.3">
      <c r="F103830" s="193"/>
    </row>
    <row r="103831" spans="6:6" x14ac:dyDescent="0.3">
      <c r="F103831" s="193"/>
    </row>
    <row r="103832" spans="6:6" x14ac:dyDescent="0.3">
      <c r="F103832" s="193"/>
    </row>
    <row r="103833" spans="6:6" x14ac:dyDescent="0.3">
      <c r="F103833" s="193"/>
    </row>
    <row r="103834" spans="6:6" x14ac:dyDescent="0.3">
      <c r="F103834" s="193"/>
    </row>
    <row r="103835" spans="6:6" x14ac:dyDescent="0.3">
      <c r="F103835" s="193"/>
    </row>
    <row r="103836" spans="6:6" x14ac:dyDescent="0.3">
      <c r="F103836" s="193"/>
    </row>
    <row r="103837" spans="6:6" x14ac:dyDescent="0.3">
      <c r="F103837" s="193"/>
    </row>
    <row r="103838" spans="6:6" x14ac:dyDescent="0.3">
      <c r="F103838" s="193"/>
    </row>
    <row r="103839" spans="6:6" x14ac:dyDescent="0.3">
      <c r="F103839" s="193"/>
    </row>
    <row r="103840" spans="6:6" x14ac:dyDescent="0.3">
      <c r="F103840" s="193"/>
    </row>
    <row r="103841" spans="6:6" x14ac:dyDescent="0.3">
      <c r="F103841" s="193"/>
    </row>
    <row r="103842" spans="6:6" x14ac:dyDescent="0.3">
      <c r="F103842" s="193"/>
    </row>
    <row r="103843" spans="6:6" x14ac:dyDescent="0.3">
      <c r="F103843" s="193"/>
    </row>
    <row r="103844" spans="6:6" x14ac:dyDescent="0.3">
      <c r="F103844" s="193"/>
    </row>
    <row r="103845" spans="6:6" x14ac:dyDescent="0.3">
      <c r="F103845" s="193"/>
    </row>
    <row r="103846" spans="6:6" x14ac:dyDescent="0.3">
      <c r="F103846" s="193"/>
    </row>
    <row r="103847" spans="6:6" x14ac:dyDescent="0.3">
      <c r="F103847" s="193"/>
    </row>
    <row r="103848" spans="6:6" x14ac:dyDescent="0.3">
      <c r="F103848" s="193"/>
    </row>
    <row r="103849" spans="6:6" x14ac:dyDescent="0.3">
      <c r="F103849" s="193"/>
    </row>
    <row r="103850" spans="6:6" x14ac:dyDescent="0.3">
      <c r="F103850" s="193"/>
    </row>
    <row r="103851" spans="6:6" x14ac:dyDescent="0.3">
      <c r="F103851" s="193"/>
    </row>
    <row r="103852" spans="6:6" x14ac:dyDescent="0.3">
      <c r="F103852" s="193"/>
    </row>
    <row r="103853" spans="6:6" x14ac:dyDescent="0.3">
      <c r="F103853" s="193"/>
    </row>
    <row r="103854" spans="6:6" x14ac:dyDescent="0.3">
      <c r="F103854" s="193"/>
    </row>
    <row r="103855" spans="6:6" x14ac:dyDescent="0.3">
      <c r="F103855" s="193"/>
    </row>
    <row r="103856" spans="6:6" x14ac:dyDescent="0.3">
      <c r="F103856" s="193"/>
    </row>
    <row r="103857" spans="6:6" x14ac:dyDescent="0.3">
      <c r="F103857" s="193"/>
    </row>
    <row r="103858" spans="6:6" x14ac:dyDescent="0.3">
      <c r="F103858" s="193"/>
    </row>
    <row r="103859" spans="6:6" x14ac:dyDescent="0.3">
      <c r="F103859" s="193"/>
    </row>
    <row r="103860" spans="6:6" x14ac:dyDescent="0.3">
      <c r="F103860" s="193"/>
    </row>
    <row r="103861" spans="6:6" x14ac:dyDescent="0.3">
      <c r="F103861" s="193"/>
    </row>
    <row r="103862" spans="6:6" x14ac:dyDescent="0.3">
      <c r="F103862" s="193"/>
    </row>
    <row r="103863" spans="6:6" x14ac:dyDescent="0.3">
      <c r="F103863" s="193"/>
    </row>
    <row r="103864" spans="6:6" x14ac:dyDescent="0.3">
      <c r="F103864" s="193"/>
    </row>
    <row r="103865" spans="6:6" x14ac:dyDescent="0.3">
      <c r="F103865" s="193"/>
    </row>
    <row r="103866" spans="6:6" x14ac:dyDescent="0.3">
      <c r="F103866" s="193"/>
    </row>
    <row r="103867" spans="6:6" x14ac:dyDescent="0.3">
      <c r="F103867" s="193"/>
    </row>
    <row r="103868" spans="6:6" x14ac:dyDescent="0.3">
      <c r="F103868" s="193"/>
    </row>
    <row r="103869" spans="6:6" x14ac:dyDescent="0.3">
      <c r="F103869" s="193"/>
    </row>
    <row r="103870" spans="6:6" x14ac:dyDescent="0.3">
      <c r="F103870" s="193"/>
    </row>
    <row r="103871" spans="6:6" x14ac:dyDescent="0.3">
      <c r="F103871" s="193"/>
    </row>
    <row r="103872" spans="6:6" x14ac:dyDescent="0.3">
      <c r="F103872" s="193"/>
    </row>
    <row r="103873" spans="6:6" x14ac:dyDescent="0.3">
      <c r="F103873" s="193"/>
    </row>
    <row r="103874" spans="6:6" x14ac:dyDescent="0.3">
      <c r="F103874" s="193"/>
    </row>
    <row r="103875" spans="6:6" x14ac:dyDescent="0.3">
      <c r="F103875" s="193"/>
    </row>
    <row r="103876" spans="6:6" x14ac:dyDescent="0.3">
      <c r="F103876" s="193"/>
    </row>
    <row r="103877" spans="6:6" x14ac:dyDescent="0.3">
      <c r="F103877" s="193"/>
    </row>
    <row r="103878" spans="6:6" x14ac:dyDescent="0.3">
      <c r="F103878" s="193"/>
    </row>
    <row r="103879" spans="6:6" x14ac:dyDescent="0.3">
      <c r="F103879" s="193"/>
    </row>
    <row r="103880" spans="6:6" x14ac:dyDescent="0.3">
      <c r="F103880" s="193"/>
    </row>
    <row r="103881" spans="6:6" x14ac:dyDescent="0.3">
      <c r="F103881" s="193"/>
    </row>
    <row r="103882" spans="6:6" x14ac:dyDescent="0.3">
      <c r="F103882" s="193"/>
    </row>
    <row r="103883" spans="6:6" x14ac:dyDescent="0.3">
      <c r="F103883" s="193"/>
    </row>
    <row r="103884" spans="6:6" x14ac:dyDescent="0.3">
      <c r="F103884" s="193"/>
    </row>
    <row r="103885" spans="6:6" x14ac:dyDescent="0.3">
      <c r="F103885" s="193"/>
    </row>
    <row r="103886" spans="6:6" x14ac:dyDescent="0.3">
      <c r="F103886" s="193"/>
    </row>
    <row r="103887" spans="6:6" x14ac:dyDescent="0.3">
      <c r="F103887" s="193"/>
    </row>
    <row r="103888" spans="6:6" x14ac:dyDescent="0.3">
      <c r="F103888" s="193"/>
    </row>
    <row r="103889" spans="6:6" x14ac:dyDescent="0.3">
      <c r="F103889" s="193"/>
    </row>
    <row r="103890" spans="6:6" x14ac:dyDescent="0.3">
      <c r="F103890" s="193"/>
    </row>
    <row r="103891" spans="6:6" x14ac:dyDescent="0.3">
      <c r="F103891" s="193"/>
    </row>
    <row r="103892" spans="6:6" x14ac:dyDescent="0.3">
      <c r="F103892" s="193"/>
    </row>
    <row r="103893" spans="6:6" x14ac:dyDescent="0.3">
      <c r="F103893" s="193"/>
    </row>
    <row r="103894" spans="6:6" x14ac:dyDescent="0.3">
      <c r="F103894" s="193"/>
    </row>
    <row r="103895" spans="6:6" x14ac:dyDescent="0.3">
      <c r="F103895" s="193"/>
    </row>
    <row r="103896" spans="6:6" x14ac:dyDescent="0.3">
      <c r="F103896" s="193"/>
    </row>
    <row r="103897" spans="6:6" x14ac:dyDescent="0.3">
      <c r="F103897" s="193"/>
    </row>
    <row r="103898" spans="6:6" x14ac:dyDescent="0.3">
      <c r="F103898" s="193"/>
    </row>
    <row r="103899" spans="6:6" x14ac:dyDescent="0.3">
      <c r="F103899" s="193"/>
    </row>
    <row r="103900" spans="6:6" x14ac:dyDescent="0.3">
      <c r="F103900" s="193"/>
    </row>
    <row r="103901" spans="6:6" x14ac:dyDescent="0.3">
      <c r="F103901" s="193"/>
    </row>
    <row r="103902" spans="6:6" x14ac:dyDescent="0.3">
      <c r="F103902" s="193"/>
    </row>
    <row r="103903" spans="6:6" x14ac:dyDescent="0.3">
      <c r="F103903" s="193"/>
    </row>
    <row r="103904" spans="6:6" x14ac:dyDescent="0.3">
      <c r="F103904" s="193"/>
    </row>
    <row r="103905" spans="6:6" x14ac:dyDescent="0.3">
      <c r="F103905" s="193"/>
    </row>
    <row r="103906" spans="6:6" x14ac:dyDescent="0.3">
      <c r="F103906" s="193"/>
    </row>
    <row r="103907" spans="6:6" x14ac:dyDescent="0.3">
      <c r="F103907" s="193"/>
    </row>
    <row r="103908" spans="6:6" x14ac:dyDescent="0.3">
      <c r="F103908" s="193"/>
    </row>
    <row r="103909" spans="6:6" x14ac:dyDescent="0.3">
      <c r="F103909" s="193"/>
    </row>
    <row r="103910" spans="6:6" x14ac:dyDescent="0.3">
      <c r="F103910" s="193"/>
    </row>
    <row r="103911" spans="6:6" x14ac:dyDescent="0.3">
      <c r="F103911" s="193"/>
    </row>
    <row r="103912" spans="6:6" x14ac:dyDescent="0.3">
      <c r="F103912" s="193"/>
    </row>
    <row r="103913" spans="6:6" x14ac:dyDescent="0.3">
      <c r="F103913" s="193"/>
    </row>
    <row r="103914" spans="6:6" x14ac:dyDescent="0.3">
      <c r="F103914" s="193"/>
    </row>
    <row r="103915" spans="6:6" x14ac:dyDescent="0.3">
      <c r="F103915" s="193"/>
    </row>
    <row r="103916" spans="6:6" x14ac:dyDescent="0.3">
      <c r="F103916" s="193"/>
    </row>
    <row r="103917" spans="6:6" x14ac:dyDescent="0.3">
      <c r="F103917" s="193"/>
    </row>
    <row r="103918" spans="6:6" x14ac:dyDescent="0.3">
      <c r="F103918" s="193"/>
    </row>
    <row r="103919" spans="6:6" x14ac:dyDescent="0.3">
      <c r="F103919" s="193"/>
    </row>
    <row r="103920" spans="6:6" x14ac:dyDescent="0.3">
      <c r="F103920" s="193"/>
    </row>
    <row r="103921" spans="6:6" x14ac:dyDescent="0.3">
      <c r="F103921" s="193"/>
    </row>
    <row r="103922" spans="6:6" x14ac:dyDescent="0.3">
      <c r="F103922" s="193"/>
    </row>
    <row r="103923" spans="6:6" x14ac:dyDescent="0.3">
      <c r="F103923" s="193"/>
    </row>
    <row r="103924" spans="6:6" x14ac:dyDescent="0.3">
      <c r="F103924" s="193"/>
    </row>
    <row r="103925" spans="6:6" x14ac:dyDescent="0.3">
      <c r="F103925" s="193"/>
    </row>
    <row r="103926" spans="6:6" x14ac:dyDescent="0.3">
      <c r="F103926" s="193"/>
    </row>
    <row r="103927" spans="6:6" x14ac:dyDescent="0.3">
      <c r="F103927" s="193"/>
    </row>
    <row r="103928" spans="6:6" x14ac:dyDescent="0.3">
      <c r="F103928" s="193"/>
    </row>
    <row r="103929" spans="6:6" x14ac:dyDescent="0.3">
      <c r="F103929" s="193"/>
    </row>
    <row r="103930" spans="6:6" x14ac:dyDescent="0.3">
      <c r="F103930" s="193"/>
    </row>
    <row r="103931" spans="6:6" x14ac:dyDescent="0.3">
      <c r="F103931" s="193"/>
    </row>
    <row r="103932" spans="6:6" x14ac:dyDescent="0.3">
      <c r="F103932" s="193"/>
    </row>
    <row r="103933" spans="6:6" x14ac:dyDescent="0.3">
      <c r="F103933" s="193"/>
    </row>
    <row r="103934" spans="6:6" x14ac:dyDescent="0.3">
      <c r="F103934" s="193"/>
    </row>
    <row r="103935" spans="6:6" x14ac:dyDescent="0.3">
      <c r="F103935" s="193"/>
    </row>
    <row r="103936" spans="6:6" x14ac:dyDescent="0.3">
      <c r="F103936" s="193"/>
    </row>
    <row r="103937" spans="6:6" x14ac:dyDescent="0.3">
      <c r="F103937" s="193"/>
    </row>
    <row r="103938" spans="6:6" x14ac:dyDescent="0.3">
      <c r="F103938" s="193"/>
    </row>
    <row r="103939" spans="6:6" x14ac:dyDescent="0.3">
      <c r="F103939" s="193"/>
    </row>
    <row r="103940" spans="6:6" x14ac:dyDescent="0.3">
      <c r="F103940" s="193"/>
    </row>
    <row r="103941" spans="6:6" x14ac:dyDescent="0.3">
      <c r="F103941" s="193"/>
    </row>
    <row r="103942" spans="6:6" x14ac:dyDescent="0.3">
      <c r="F103942" s="193"/>
    </row>
    <row r="103943" spans="6:6" x14ac:dyDescent="0.3">
      <c r="F103943" s="193"/>
    </row>
    <row r="103944" spans="6:6" x14ac:dyDescent="0.3">
      <c r="F103944" s="193"/>
    </row>
    <row r="103945" spans="6:6" x14ac:dyDescent="0.3">
      <c r="F103945" s="193"/>
    </row>
    <row r="103946" spans="6:6" x14ac:dyDescent="0.3">
      <c r="F103946" s="193"/>
    </row>
    <row r="103947" spans="6:6" x14ac:dyDescent="0.3">
      <c r="F103947" s="193"/>
    </row>
    <row r="103948" spans="6:6" x14ac:dyDescent="0.3">
      <c r="F103948" s="193"/>
    </row>
    <row r="103949" spans="6:6" x14ac:dyDescent="0.3">
      <c r="F103949" s="193"/>
    </row>
    <row r="103950" spans="6:6" x14ac:dyDescent="0.3">
      <c r="F103950" s="193"/>
    </row>
    <row r="103951" spans="6:6" x14ac:dyDescent="0.3">
      <c r="F103951" s="193"/>
    </row>
    <row r="103952" spans="6:6" x14ac:dyDescent="0.3">
      <c r="F103952" s="193"/>
    </row>
    <row r="103953" spans="6:6" x14ac:dyDescent="0.3">
      <c r="F103953" s="193"/>
    </row>
    <row r="103954" spans="6:6" x14ac:dyDescent="0.3">
      <c r="F103954" s="193"/>
    </row>
    <row r="103955" spans="6:6" x14ac:dyDescent="0.3">
      <c r="F103955" s="193"/>
    </row>
    <row r="103956" spans="6:6" x14ac:dyDescent="0.3">
      <c r="F103956" s="193"/>
    </row>
    <row r="103957" spans="6:6" x14ac:dyDescent="0.3">
      <c r="F103957" s="193"/>
    </row>
    <row r="103958" spans="6:6" x14ac:dyDescent="0.3">
      <c r="F103958" s="193"/>
    </row>
    <row r="103959" spans="6:6" x14ac:dyDescent="0.3">
      <c r="F103959" s="193"/>
    </row>
    <row r="103960" spans="6:6" x14ac:dyDescent="0.3">
      <c r="F103960" s="193"/>
    </row>
    <row r="103961" spans="6:6" x14ac:dyDescent="0.3">
      <c r="F103961" s="193"/>
    </row>
    <row r="103962" spans="6:6" x14ac:dyDescent="0.3">
      <c r="F103962" s="193"/>
    </row>
    <row r="103963" spans="6:6" x14ac:dyDescent="0.3">
      <c r="F103963" s="193"/>
    </row>
    <row r="103964" spans="6:6" x14ac:dyDescent="0.3">
      <c r="F103964" s="193"/>
    </row>
    <row r="103965" spans="6:6" x14ac:dyDescent="0.3">
      <c r="F103965" s="193"/>
    </row>
    <row r="103966" spans="6:6" x14ac:dyDescent="0.3">
      <c r="F103966" s="193"/>
    </row>
    <row r="103967" spans="6:6" x14ac:dyDescent="0.3">
      <c r="F103967" s="193"/>
    </row>
    <row r="103968" spans="6:6" x14ac:dyDescent="0.3">
      <c r="F103968" s="193"/>
    </row>
    <row r="103969" spans="6:6" x14ac:dyDescent="0.3">
      <c r="F103969" s="193"/>
    </row>
    <row r="103970" spans="6:6" x14ac:dyDescent="0.3">
      <c r="F103970" s="193"/>
    </row>
    <row r="103971" spans="6:6" x14ac:dyDescent="0.3">
      <c r="F103971" s="193"/>
    </row>
    <row r="103972" spans="6:6" x14ac:dyDescent="0.3">
      <c r="F103972" s="193"/>
    </row>
    <row r="103973" spans="6:6" x14ac:dyDescent="0.3">
      <c r="F103973" s="193"/>
    </row>
    <row r="103974" spans="6:6" x14ac:dyDescent="0.3">
      <c r="F103974" s="193"/>
    </row>
    <row r="103975" spans="6:6" x14ac:dyDescent="0.3">
      <c r="F103975" s="193"/>
    </row>
    <row r="103976" spans="6:6" x14ac:dyDescent="0.3">
      <c r="F103976" s="193"/>
    </row>
    <row r="103977" spans="6:6" x14ac:dyDescent="0.3">
      <c r="F103977" s="193"/>
    </row>
    <row r="103978" spans="6:6" x14ac:dyDescent="0.3">
      <c r="F103978" s="193"/>
    </row>
    <row r="103979" spans="6:6" x14ac:dyDescent="0.3">
      <c r="F103979" s="193"/>
    </row>
    <row r="103980" spans="6:6" x14ac:dyDescent="0.3">
      <c r="F103980" s="193"/>
    </row>
    <row r="103981" spans="6:6" x14ac:dyDescent="0.3">
      <c r="F103981" s="193"/>
    </row>
    <row r="103982" spans="6:6" x14ac:dyDescent="0.3">
      <c r="F103982" s="193"/>
    </row>
    <row r="103983" spans="6:6" x14ac:dyDescent="0.3">
      <c r="F103983" s="193"/>
    </row>
    <row r="103984" spans="6:6" x14ac:dyDescent="0.3">
      <c r="F103984" s="193"/>
    </row>
    <row r="103985" spans="6:6" x14ac:dyDescent="0.3">
      <c r="F103985" s="193"/>
    </row>
    <row r="103986" spans="6:6" x14ac:dyDescent="0.3">
      <c r="F103986" s="193"/>
    </row>
    <row r="103987" spans="6:6" x14ac:dyDescent="0.3">
      <c r="F103987" s="193"/>
    </row>
    <row r="103988" spans="6:6" x14ac:dyDescent="0.3">
      <c r="F103988" s="193"/>
    </row>
    <row r="103989" spans="6:6" x14ac:dyDescent="0.3">
      <c r="F103989" s="193"/>
    </row>
    <row r="103990" spans="6:6" x14ac:dyDescent="0.3">
      <c r="F103990" s="193"/>
    </row>
    <row r="103991" spans="6:6" x14ac:dyDescent="0.3">
      <c r="F103991" s="193"/>
    </row>
    <row r="103992" spans="6:6" x14ac:dyDescent="0.3">
      <c r="F103992" s="193"/>
    </row>
    <row r="103993" spans="6:6" x14ac:dyDescent="0.3">
      <c r="F103993" s="193"/>
    </row>
    <row r="103994" spans="6:6" x14ac:dyDescent="0.3">
      <c r="F103994" s="193"/>
    </row>
    <row r="103995" spans="6:6" x14ac:dyDescent="0.3">
      <c r="F103995" s="193"/>
    </row>
    <row r="103996" spans="6:6" x14ac:dyDescent="0.3">
      <c r="F103996" s="193"/>
    </row>
    <row r="103997" spans="6:6" x14ac:dyDescent="0.3">
      <c r="F103997" s="193"/>
    </row>
    <row r="103998" spans="6:6" x14ac:dyDescent="0.3">
      <c r="F103998" s="193"/>
    </row>
    <row r="103999" spans="6:6" x14ac:dyDescent="0.3">
      <c r="F103999" s="193"/>
    </row>
    <row r="104000" spans="6:6" x14ac:dyDescent="0.3">
      <c r="F104000" s="193"/>
    </row>
    <row r="104001" spans="6:6" x14ac:dyDescent="0.3">
      <c r="F104001" s="193"/>
    </row>
    <row r="104002" spans="6:6" x14ac:dyDescent="0.3">
      <c r="F104002" s="193"/>
    </row>
    <row r="104003" spans="6:6" x14ac:dyDescent="0.3">
      <c r="F104003" s="193"/>
    </row>
    <row r="104004" spans="6:6" x14ac:dyDescent="0.3">
      <c r="F104004" s="193"/>
    </row>
    <row r="104005" spans="6:6" x14ac:dyDescent="0.3">
      <c r="F104005" s="193"/>
    </row>
    <row r="104006" spans="6:6" x14ac:dyDescent="0.3">
      <c r="F104006" s="193"/>
    </row>
    <row r="104007" spans="6:6" x14ac:dyDescent="0.3">
      <c r="F104007" s="193"/>
    </row>
    <row r="104008" spans="6:6" x14ac:dyDescent="0.3">
      <c r="F104008" s="193"/>
    </row>
    <row r="104009" spans="6:6" x14ac:dyDescent="0.3">
      <c r="F104009" s="193"/>
    </row>
    <row r="104010" spans="6:6" x14ac:dyDescent="0.3">
      <c r="F104010" s="193"/>
    </row>
    <row r="104011" spans="6:6" x14ac:dyDescent="0.3">
      <c r="F104011" s="193"/>
    </row>
    <row r="104012" spans="6:6" x14ac:dyDescent="0.3">
      <c r="F104012" s="193"/>
    </row>
    <row r="104013" spans="6:6" x14ac:dyDescent="0.3">
      <c r="F104013" s="193"/>
    </row>
    <row r="104014" spans="6:6" x14ac:dyDescent="0.3">
      <c r="F104014" s="193"/>
    </row>
    <row r="104015" spans="6:6" x14ac:dyDescent="0.3">
      <c r="F104015" s="193"/>
    </row>
    <row r="104016" spans="6:6" x14ac:dyDescent="0.3">
      <c r="F104016" s="193"/>
    </row>
    <row r="104017" spans="6:6" x14ac:dyDescent="0.3">
      <c r="F104017" s="193"/>
    </row>
    <row r="104018" spans="6:6" x14ac:dyDescent="0.3">
      <c r="F104018" s="193"/>
    </row>
    <row r="104019" spans="6:6" x14ac:dyDescent="0.3">
      <c r="F104019" s="193"/>
    </row>
    <row r="104020" spans="6:6" x14ac:dyDescent="0.3">
      <c r="F104020" s="193"/>
    </row>
    <row r="104021" spans="6:6" x14ac:dyDescent="0.3">
      <c r="F104021" s="193"/>
    </row>
    <row r="104022" spans="6:6" x14ac:dyDescent="0.3">
      <c r="F104022" s="193"/>
    </row>
    <row r="104023" spans="6:6" x14ac:dyDescent="0.3">
      <c r="F104023" s="193"/>
    </row>
    <row r="104024" spans="6:6" x14ac:dyDescent="0.3">
      <c r="F104024" s="193"/>
    </row>
    <row r="104025" spans="6:6" x14ac:dyDescent="0.3">
      <c r="F104025" s="193"/>
    </row>
    <row r="104026" spans="6:6" x14ac:dyDescent="0.3">
      <c r="F104026" s="193"/>
    </row>
    <row r="104027" spans="6:6" x14ac:dyDescent="0.3">
      <c r="F104027" s="193"/>
    </row>
    <row r="104028" spans="6:6" x14ac:dyDescent="0.3">
      <c r="F104028" s="193"/>
    </row>
    <row r="104029" spans="6:6" x14ac:dyDescent="0.3">
      <c r="F104029" s="193"/>
    </row>
    <row r="104030" spans="6:6" x14ac:dyDescent="0.3">
      <c r="F104030" s="193"/>
    </row>
    <row r="104031" spans="6:6" x14ac:dyDescent="0.3">
      <c r="F104031" s="193"/>
    </row>
    <row r="104032" spans="6:6" x14ac:dyDescent="0.3">
      <c r="F104032" s="193"/>
    </row>
    <row r="104033" spans="6:6" x14ac:dyDescent="0.3">
      <c r="F104033" s="193"/>
    </row>
    <row r="104034" spans="6:6" x14ac:dyDescent="0.3">
      <c r="F104034" s="193"/>
    </row>
    <row r="104035" spans="6:6" x14ac:dyDescent="0.3">
      <c r="F104035" s="193"/>
    </row>
    <row r="104036" spans="6:6" x14ac:dyDescent="0.3">
      <c r="F104036" s="193"/>
    </row>
    <row r="104037" spans="6:6" x14ac:dyDescent="0.3">
      <c r="F104037" s="193"/>
    </row>
    <row r="104038" spans="6:6" x14ac:dyDescent="0.3">
      <c r="F104038" s="193"/>
    </row>
    <row r="104039" spans="6:6" x14ac:dyDescent="0.3">
      <c r="F104039" s="193"/>
    </row>
    <row r="104040" spans="6:6" x14ac:dyDescent="0.3">
      <c r="F104040" s="193"/>
    </row>
    <row r="104041" spans="6:6" x14ac:dyDescent="0.3">
      <c r="F104041" s="193"/>
    </row>
    <row r="104042" spans="6:6" x14ac:dyDescent="0.3">
      <c r="F104042" s="193"/>
    </row>
    <row r="104043" spans="6:6" x14ac:dyDescent="0.3">
      <c r="F104043" s="193"/>
    </row>
    <row r="104044" spans="6:6" x14ac:dyDescent="0.3">
      <c r="F104044" s="193"/>
    </row>
    <row r="104045" spans="6:6" x14ac:dyDescent="0.3">
      <c r="F104045" s="193"/>
    </row>
    <row r="104046" spans="6:6" x14ac:dyDescent="0.3">
      <c r="F104046" s="193"/>
    </row>
    <row r="104047" spans="6:6" x14ac:dyDescent="0.3">
      <c r="F104047" s="193"/>
    </row>
    <row r="104048" spans="6:6" x14ac:dyDescent="0.3">
      <c r="F104048" s="193"/>
    </row>
    <row r="104049" spans="6:6" x14ac:dyDescent="0.3">
      <c r="F104049" s="193"/>
    </row>
    <row r="104050" spans="6:6" x14ac:dyDescent="0.3">
      <c r="F104050" s="193"/>
    </row>
    <row r="104051" spans="6:6" x14ac:dyDescent="0.3">
      <c r="F104051" s="193"/>
    </row>
    <row r="104052" spans="6:6" x14ac:dyDescent="0.3">
      <c r="F104052" s="193"/>
    </row>
    <row r="104053" spans="6:6" x14ac:dyDescent="0.3">
      <c r="F104053" s="193"/>
    </row>
    <row r="104054" spans="6:6" x14ac:dyDescent="0.3">
      <c r="F104054" s="193"/>
    </row>
    <row r="104055" spans="6:6" x14ac:dyDescent="0.3">
      <c r="F104055" s="193"/>
    </row>
    <row r="104056" spans="6:6" x14ac:dyDescent="0.3">
      <c r="F104056" s="193"/>
    </row>
    <row r="104057" spans="6:6" x14ac:dyDescent="0.3">
      <c r="F104057" s="193"/>
    </row>
    <row r="104058" spans="6:6" x14ac:dyDescent="0.3">
      <c r="F104058" s="193"/>
    </row>
    <row r="104059" spans="6:6" x14ac:dyDescent="0.3">
      <c r="F104059" s="193"/>
    </row>
    <row r="104060" spans="6:6" x14ac:dyDescent="0.3">
      <c r="F104060" s="193"/>
    </row>
    <row r="104061" spans="6:6" x14ac:dyDescent="0.3">
      <c r="F104061" s="193"/>
    </row>
    <row r="104062" spans="6:6" x14ac:dyDescent="0.3">
      <c r="F104062" s="193"/>
    </row>
    <row r="104063" spans="6:6" x14ac:dyDescent="0.3">
      <c r="F104063" s="193"/>
    </row>
    <row r="104064" spans="6:6" x14ac:dyDescent="0.3">
      <c r="F104064" s="193"/>
    </row>
    <row r="104065" spans="6:6" x14ac:dyDescent="0.3">
      <c r="F104065" s="193"/>
    </row>
    <row r="104066" spans="6:6" x14ac:dyDescent="0.3">
      <c r="F104066" s="193"/>
    </row>
    <row r="104067" spans="6:6" x14ac:dyDescent="0.3">
      <c r="F104067" s="193"/>
    </row>
    <row r="104068" spans="6:6" x14ac:dyDescent="0.3">
      <c r="F104068" s="193"/>
    </row>
    <row r="104069" spans="6:6" x14ac:dyDescent="0.3">
      <c r="F104069" s="193"/>
    </row>
    <row r="104070" spans="6:6" x14ac:dyDescent="0.3">
      <c r="F104070" s="193"/>
    </row>
    <row r="104071" spans="6:6" x14ac:dyDescent="0.3">
      <c r="F104071" s="193"/>
    </row>
    <row r="104072" spans="6:6" x14ac:dyDescent="0.3">
      <c r="F104072" s="193"/>
    </row>
    <row r="104073" spans="6:6" x14ac:dyDescent="0.3">
      <c r="F104073" s="193"/>
    </row>
    <row r="104074" spans="6:6" x14ac:dyDescent="0.3">
      <c r="F104074" s="193"/>
    </row>
    <row r="104075" spans="6:6" x14ac:dyDescent="0.3">
      <c r="F104075" s="193"/>
    </row>
    <row r="104076" spans="6:6" x14ac:dyDescent="0.3">
      <c r="F104076" s="193"/>
    </row>
    <row r="104077" spans="6:6" x14ac:dyDescent="0.3">
      <c r="F104077" s="193"/>
    </row>
    <row r="104078" spans="6:6" x14ac:dyDescent="0.3">
      <c r="F104078" s="193"/>
    </row>
    <row r="104079" spans="6:6" x14ac:dyDescent="0.3">
      <c r="F104079" s="193"/>
    </row>
    <row r="104080" spans="6:6" x14ac:dyDescent="0.3">
      <c r="F104080" s="193"/>
    </row>
    <row r="104081" spans="6:6" x14ac:dyDescent="0.3">
      <c r="F104081" s="193"/>
    </row>
    <row r="104082" spans="6:6" x14ac:dyDescent="0.3">
      <c r="F104082" s="193"/>
    </row>
    <row r="104083" spans="6:6" x14ac:dyDescent="0.3">
      <c r="F104083" s="193"/>
    </row>
    <row r="104084" spans="6:6" x14ac:dyDescent="0.3">
      <c r="F104084" s="193"/>
    </row>
    <row r="104085" spans="6:6" x14ac:dyDescent="0.3">
      <c r="F104085" s="193"/>
    </row>
    <row r="104086" spans="6:6" x14ac:dyDescent="0.3">
      <c r="F104086" s="193"/>
    </row>
    <row r="104087" spans="6:6" x14ac:dyDescent="0.3">
      <c r="F104087" s="193"/>
    </row>
    <row r="104088" spans="6:6" x14ac:dyDescent="0.3">
      <c r="F104088" s="193"/>
    </row>
    <row r="104089" spans="6:6" x14ac:dyDescent="0.3">
      <c r="F104089" s="193"/>
    </row>
    <row r="104090" spans="6:6" x14ac:dyDescent="0.3">
      <c r="F104090" s="193"/>
    </row>
    <row r="104091" spans="6:6" x14ac:dyDescent="0.3">
      <c r="F104091" s="193"/>
    </row>
    <row r="104092" spans="6:6" x14ac:dyDescent="0.3">
      <c r="F104092" s="193"/>
    </row>
    <row r="104093" spans="6:6" x14ac:dyDescent="0.3">
      <c r="F104093" s="193"/>
    </row>
    <row r="104094" spans="6:6" x14ac:dyDescent="0.3">
      <c r="F104094" s="193"/>
    </row>
    <row r="104095" spans="6:6" x14ac:dyDescent="0.3">
      <c r="F104095" s="193"/>
    </row>
    <row r="104096" spans="6:6" x14ac:dyDescent="0.3">
      <c r="F104096" s="193"/>
    </row>
    <row r="104097" spans="6:6" x14ac:dyDescent="0.3">
      <c r="F104097" s="193"/>
    </row>
    <row r="104098" spans="6:6" x14ac:dyDescent="0.3">
      <c r="F104098" s="193"/>
    </row>
    <row r="104099" spans="6:6" x14ac:dyDescent="0.3">
      <c r="F104099" s="193"/>
    </row>
    <row r="104100" spans="6:6" x14ac:dyDescent="0.3">
      <c r="F104100" s="193"/>
    </row>
    <row r="104101" spans="6:6" x14ac:dyDescent="0.3">
      <c r="F104101" s="193"/>
    </row>
    <row r="104102" spans="6:6" x14ac:dyDescent="0.3">
      <c r="F104102" s="193"/>
    </row>
    <row r="104103" spans="6:6" x14ac:dyDescent="0.3">
      <c r="F104103" s="193"/>
    </row>
    <row r="104104" spans="6:6" x14ac:dyDescent="0.3">
      <c r="F104104" s="193"/>
    </row>
    <row r="104105" spans="6:6" x14ac:dyDescent="0.3">
      <c r="F104105" s="193"/>
    </row>
    <row r="104106" spans="6:6" x14ac:dyDescent="0.3">
      <c r="F104106" s="193"/>
    </row>
    <row r="104107" spans="6:6" x14ac:dyDescent="0.3">
      <c r="F104107" s="193"/>
    </row>
    <row r="104108" spans="6:6" x14ac:dyDescent="0.3">
      <c r="F104108" s="193"/>
    </row>
    <row r="104109" spans="6:6" x14ac:dyDescent="0.3">
      <c r="F104109" s="193"/>
    </row>
    <row r="104110" spans="6:6" x14ac:dyDescent="0.3">
      <c r="F104110" s="193"/>
    </row>
    <row r="104111" spans="6:6" x14ac:dyDescent="0.3">
      <c r="F104111" s="193"/>
    </row>
    <row r="104112" spans="6:6" x14ac:dyDescent="0.3">
      <c r="F104112" s="193"/>
    </row>
    <row r="104113" spans="6:6" x14ac:dyDescent="0.3">
      <c r="F104113" s="193"/>
    </row>
    <row r="104114" spans="6:6" x14ac:dyDescent="0.3">
      <c r="F104114" s="193"/>
    </row>
    <row r="104115" spans="6:6" x14ac:dyDescent="0.3">
      <c r="F104115" s="193"/>
    </row>
    <row r="104116" spans="6:6" x14ac:dyDescent="0.3">
      <c r="F104116" s="193"/>
    </row>
    <row r="104117" spans="6:6" x14ac:dyDescent="0.3">
      <c r="F104117" s="193"/>
    </row>
    <row r="104118" spans="6:6" x14ac:dyDescent="0.3">
      <c r="F104118" s="193"/>
    </row>
    <row r="104119" spans="6:6" x14ac:dyDescent="0.3">
      <c r="F104119" s="193"/>
    </row>
    <row r="104120" spans="6:6" x14ac:dyDescent="0.3">
      <c r="F104120" s="193"/>
    </row>
    <row r="104121" spans="6:6" x14ac:dyDescent="0.3">
      <c r="F104121" s="193"/>
    </row>
    <row r="104122" spans="6:6" x14ac:dyDescent="0.3">
      <c r="F104122" s="193"/>
    </row>
    <row r="104123" spans="6:6" x14ac:dyDescent="0.3">
      <c r="F104123" s="193"/>
    </row>
    <row r="104124" spans="6:6" x14ac:dyDescent="0.3">
      <c r="F104124" s="193"/>
    </row>
    <row r="104125" spans="6:6" x14ac:dyDescent="0.3">
      <c r="F104125" s="193"/>
    </row>
    <row r="104126" spans="6:6" x14ac:dyDescent="0.3">
      <c r="F104126" s="193"/>
    </row>
    <row r="104127" spans="6:6" x14ac:dyDescent="0.3">
      <c r="F104127" s="193"/>
    </row>
    <row r="104128" spans="6:6" x14ac:dyDescent="0.3">
      <c r="F104128" s="193"/>
    </row>
    <row r="104129" spans="6:6" x14ac:dyDescent="0.3">
      <c r="F104129" s="193"/>
    </row>
    <row r="104130" spans="6:6" x14ac:dyDescent="0.3">
      <c r="F104130" s="193"/>
    </row>
    <row r="104131" spans="6:6" x14ac:dyDescent="0.3">
      <c r="F104131" s="193"/>
    </row>
    <row r="104132" spans="6:6" x14ac:dyDescent="0.3">
      <c r="F104132" s="193"/>
    </row>
    <row r="104133" spans="6:6" x14ac:dyDescent="0.3">
      <c r="F104133" s="193"/>
    </row>
    <row r="104134" spans="6:6" x14ac:dyDescent="0.3">
      <c r="F104134" s="193"/>
    </row>
    <row r="104135" spans="6:6" x14ac:dyDescent="0.3">
      <c r="F104135" s="193"/>
    </row>
    <row r="104136" spans="6:6" x14ac:dyDescent="0.3">
      <c r="F104136" s="193"/>
    </row>
    <row r="104137" spans="6:6" x14ac:dyDescent="0.3">
      <c r="F104137" s="193"/>
    </row>
    <row r="104138" spans="6:6" x14ac:dyDescent="0.3">
      <c r="F104138" s="193"/>
    </row>
    <row r="104139" spans="6:6" x14ac:dyDescent="0.3">
      <c r="F104139" s="193"/>
    </row>
    <row r="104140" spans="6:6" x14ac:dyDescent="0.3">
      <c r="F104140" s="193"/>
    </row>
    <row r="104141" spans="6:6" x14ac:dyDescent="0.3">
      <c r="F104141" s="193"/>
    </row>
    <row r="104142" spans="6:6" x14ac:dyDescent="0.3">
      <c r="F104142" s="193"/>
    </row>
    <row r="104143" spans="6:6" x14ac:dyDescent="0.3">
      <c r="F104143" s="193"/>
    </row>
    <row r="104144" spans="6:6" x14ac:dyDescent="0.3">
      <c r="F104144" s="193"/>
    </row>
    <row r="104145" spans="6:6" x14ac:dyDescent="0.3">
      <c r="F104145" s="193"/>
    </row>
    <row r="104146" spans="6:6" x14ac:dyDescent="0.3">
      <c r="F104146" s="193"/>
    </row>
    <row r="104147" spans="6:6" x14ac:dyDescent="0.3">
      <c r="F104147" s="193"/>
    </row>
    <row r="104148" spans="6:6" x14ac:dyDescent="0.3">
      <c r="F104148" s="193"/>
    </row>
    <row r="104149" spans="6:6" x14ac:dyDescent="0.3">
      <c r="F104149" s="193"/>
    </row>
    <row r="104150" spans="6:6" x14ac:dyDescent="0.3">
      <c r="F104150" s="193"/>
    </row>
    <row r="104151" spans="6:6" x14ac:dyDescent="0.3">
      <c r="F104151" s="193"/>
    </row>
    <row r="104152" spans="6:6" x14ac:dyDescent="0.3">
      <c r="F104152" s="193"/>
    </row>
    <row r="104153" spans="6:6" x14ac:dyDescent="0.3">
      <c r="F104153" s="193"/>
    </row>
    <row r="104154" spans="6:6" x14ac:dyDescent="0.3">
      <c r="F104154" s="193"/>
    </row>
    <row r="104155" spans="6:6" x14ac:dyDescent="0.3">
      <c r="F104155" s="193"/>
    </row>
    <row r="104156" spans="6:6" x14ac:dyDescent="0.3">
      <c r="F104156" s="193"/>
    </row>
    <row r="104157" spans="6:6" x14ac:dyDescent="0.3">
      <c r="F104157" s="193"/>
    </row>
    <row r="104158" spans="6:6" x14ac:dyDescent="0.3">
      <c r="F104158" s="193"/>
    </row>
    <row r="104159" spans="6:6" x14ac:dyDescent="0.3">
      <c r="F104159" s="193"/>
    </row>
    <row r="104160" spans="6:6" x14ac:dyDescent="0.3">
      <c r="F104160" s="193"/>
    </row>
    <row r="104161" spans="6:6" x14ac:dyDescent="0.3">
      <c r="F104161" s="193"/>
    </row>
    <row r="104162" spans="6:6" x14ac:dyDescent="0.3">
      <c r="F104162" s="193"/>
    </row>
    <row r="104163" spans="6:6" x14ac:dyDescent="0.3">
      <c r="F104163" s="193"/>
    </row>
    <row r="104164" spans="6:6" x14ac:dyDescent="0.3">
      <c r="F104164" s="193"/>
    </row>
    <row r="104165" spans="6:6" x14ac:dyDescent="0.3">
      <c r="F104165" s="193"/>
    </row>
    <row r="104166" spans="6:6" x14ac:dyDescent="0.3">
      <c r="F104166" s="193"/>
    </row>
    <row r="104167" spans="6:6" x14ac:dyDescent="0.3">
      <c r="F104167" s="193"/>
    </row>
    <row r="104168" spans="6:6" x14ac:dyDescent="0.3">
      <c r="F104168" s="193"/>
    </row>
    <row r="104169" spans="6:6" x14ac:dyDescent="0.3">
      <c r="F104169" s="193"/>
    </row>
    <row r="104170" spans="6:6" x14ac:dyDescent="0.3">
      <c r="F104170" s="193"/>
    </row>
    <row r="104171" spans="6:6" x14ac:dyDescent="0.3">
      <c r="F104171" s="193"/>
    </row>
    <row r="104172" spans="6:6" x14ac:dyDescent="0.3">
      <c r="F104172" s="193"/>
    </row>
    <row r="104173" spans="6:6" x14ac:dyDescent="0.3">
      <c r="F104173" s="193"/>
    </row>
    <row r="104174" spans="6:6" x14ac:dyDescent="0.3">
      <c r="F104174" s="193"/>
    </row>
    <row r="104175" spans="6:6" x14ac:dyDescent="0.3">
      <c r="F104175" s="193"/>
    </row>
    <row r="104176" spans="6:6" x14ac:dyDescent="0.3">
      <c r="F104176" s="193"/>
    </row>
    <row r="104177" spans="6:6" x14ac:dyDescent="0.3">
      <c r="F104177" s="193"/>
    </row>
    <row r="104178" spans="6:6" x14ac:dyDescent="0.3">
      <c r="F104178" s="193"/>
    </row>
    <row r="104179" spans="6:6" x14ac:dyDescent="0.3">
      <c r="F104179" s="193"/>
    </row>
    <row r="104180" spans="6:6" x14ac:dyDescent="0.3">
      <c r="F104180" s="193"/>
    </row>
    <row r="104181" spans="6:6" x14ac:dyDescent="0.3">
      <c r="F104181" s="193"/>
    </row>
    <row r="104182" spans="6:6" x14ac:dyDescent="0.3">
      <c r="F104182" s="193"/>
    </row>
    <row r="104183" spans="6:6" x14ac:dyDescent="0.3">
      <c r="F104183" s="193"/>
    </row>
    <row r="104184" spans="6:6" x14ac:dyDescent="0.3">
      <c r="F104184" s="193"/>
    </row>
    <row r="104185" spans="6:6" x14ac:dyDescent="0.3">
      <c r="F104185" s="193"/>
    </row>
    <row r="104186" spans="6:6" x14ac:dyDescent="0.3">
      <c r="F104186" s="193"/>
    </row>
    <row r="104187" spans="6:6" x14ac:dyDescent="0.3">
      <c r="F104187" s="193"/>
    </row>
    <row r="104188" spans="6:6" x14ac:dyDescent="0.3">
      <c r="F104188" s="193"/>
    </row>
    <row r="104189" spans="6:6" x14ac:dyDescent="0.3">
      <c r="F104189" s="193"/>
    </row>
    <row r="104190" spans="6:6" x14ac:dyDescent="0.3">
      <c r="F104190" s="193"/>
    </row>
    <row r="104191" spans="6:6" x14ac:dyDescent="0.3">
      <c r="F104191" s="193"/>
    </row>
    <row r="104192" spans="6:6" x14ac:dyDescent="0.3">
      <c r="F104192" s="193"/>
    </row>
    <row r="104193" spans="6:6" x14ac:dyDescent="0.3">
      <c r="F104193" s="193"/>
    </row>
    <row r="104194" spans="6:6" x14ac:dyDescent="0.3">
      <c r="F104194" s="193"/>
    </row>
    <row r="104195" spans="6:6" x14ac:dyDescent="0.3">
      <c r="F104195" s="193"/>
    </row>
    <row r="104196" spans="6:6" x14ac:dyDescent="0.3">
      <c r="F104196" s="193"/>
    </row>
    <row r="104197" spans="6:6" x14ac:dyDescent="0.3">
      <c r="F104197" s="193"/>
    </row>
    <row r="104198" spans="6:6" x14ac:dyDescent="0.3">
      <c r="F104198" s="193"/>
    </row>
    <row r="104199" spans="6:6" x14ac:dyDescent="0.3">
      <c r="F104199" s="193"/>
    </row>
    <row r="104200" spans="6:6" x14ac:dyDescent="0.3">
      <c r="F104200" s="193"/>
    </row>
    <row r="104201" spans="6:6" x14ac:dyDescent="0.3">
      <c r="F104201" s="193"/>
    </row>
    <row r="104202" spans="6:6" x14ac:dyDescent="0.3">
      <c r="F104202" s="193"/>
    </row>
    <row r="104203" spans="6:6" x14ac:dyDescent="0.3">
      <c r="F104203" s="193"/>
    </row>
    <row r="104204" spans="6:6" x14ac:dyDescent="0.3">
      <c r="F104204" s="193"/>
    </row>
    <row r="104205" spans="6:6" x14ac:dyDescent="0.3">
      <c r="F104205" s="193"/>
    </row>
    <row r="104206" spans="6:6" x14ac:dyDescent="0.3">
      <c r="F104206" s="193"/>
    </row>
    <row r="104207" spans="6:6" x14ac:dyDescent="0.3">
      <c r="F104207" s="193"/>
    </row>
    <row r="104208" spans="6:6" x14ac:dyDescent="0.3">
      <c r="F104208" s="193"/>
    </row>
    <row r="104209" spans="6:6" x14ac:dyDescent="0.3">
      <c r="F104209" s="193"/>
    </row>
    <row r="104210" spans="6:6" x14ac:dyDescent="0.3">
      <c r="F104210" s="193"/>
    </row>
    <row r="104211" spans="6:6" x14ac:dyDescent="0.3">
      <c r="F104211" s="193"/>
    </row>
    <row r="104212" spans="6:6" x14ac:dyDescent="0.3">
      <c r="F104212" s="193"/>
    </row>
    <row r="104213" spans="6:6" x14ac:dyDescent="0.3">
      <c r="F104213" s="193"/>
    </row>
    <row r="104214" spans="6:6" x14ac:dyDescent="0.3">
      <c r="F104214" s="193"/>
    </row>
    <row r="104215" spans="6:6" x14ac:dyDescent="0.3">
      <c r="F104215" s="193"/>
    </row>
    <row r="104216" spans="6:6" x14ac:dyDescent="0.3">
      <c r="F104216" s="193"/>
    </row>
    <row r="104217" spans="6:6" x14ac:dyDescent="0.3">
      <c r="F104217" s="193"/>
    </row>
    <row r="104218" spans="6:6" x14ac:dyDescent="0.3">
      <c r="F104218" s="193"/>
    </row>
    <row r="104219" spans="6:6" x14ac:dyDescent="0.3">
      <c r="F104219" s="193"/>
    </row>
    <row r="104220" spans="6:6" x14ac:dyDescent="0.3">
      <c r="F104220" s="193"/>
    </row>
    <row r="104221" spans="6:6" x14ac:dyDescent="0.3">
      <c r="F104221" s="193"/>
    </row>
    <row r="104222" spans="6:6" x14ac:dyDescent="0.3">
      <c r="F104222" s="193"/>
    </row>
    <row r="104223" spans="6:6" x14ac:dyDescent="0.3">
      <c r="F104223" s="193"/>
    </row>
    <row r="104224" spans="6:6" x14ac:dyDescent="0.3">
      <c r="F104224" s="193"/>
    </row>
    <row r="104225" spans="6:6" x14ac:dyDescent="0.3">
      <c r="F104225" s="193"/>
    </row>
    <row r="104226" spans="6:6" x14ac:dyDescent="0.3">
      <c r="F104226" s="193"/>
    </row>
    <row r="104227" spans="6:6" x14ac:dyDescent="0.3">
      <c r="F104227" s="193"/>
    </row>
    <row r="104228" spans="6:6" x14ac:dyDescent="0.3">
      <c r="F104228" s="193"/>
    </row>
    <row r="104229" spans="6:6" x14ac:dyDescent="0.3">
      <c r="F104229" s="193"/>
    </row>
    <row r="104230" spans="6:6" x14ac:dyDescent="0.3">
      <c r="F104230" s="193"/>
    </row>
    <row r="104231" spans="6:6" x14ac:dyDescent="0.3">
      <c r="F104231" s="193"/>
    </row>
    <row r="104232" spans="6:6" x14ac:dyDescent="0.3">
      <c r="F104232" s="193"/>
    </row>
    <row r="104233" spans="6:6" x14ac:dyDescent="0.3">
      <c r="F104233" s="193"/>
    </row>
    <row r="104234" spans="6:6" x14ac:dyDescent="0.3">
      <c r="F104234" s="193"/>
    </row>
    <row r="104235" spans="6:6" x14ac:dyDescent="0.3">
      <c r="F104235" s="193"/>
    </row>
    <row r="104236" spans="6:6" x14ac:dyDescent="0.3">
      <c r="F104236" s="193"/>
    </row>
    <row r="104237" spans="6:6" x14ac:dyDescent="0.3">
      <c r="F104237" s="193"/>
    </row>
    <row r="104238" spans="6:6" x14ac:dyDescent="0.3">
      <c r="F104238" s="193"/>
    </row>
    <row r="104239" spans="6:6" x14ac:dyDescent="0.3">
      <c r="F104239" s="193"/>
    </row>
    <row r="104240" spans="6:6" x14ac:dyDescent="0.3">
      <c r="F104240" s="193"/>
    </row>
    <row r="104241" spans="6:6" x14ac:dyDescent="0.3">
      <c r="F104241" s="193"/>
    </row>
    <row r="104242" spans="6:6" x14ac:dyDescent="0.3">
      <c r="F104242" s="193"/>
    </row>
    <row r="104243" spans="6:6" x14ac:dyDescent="0.3">
      <c r="F104243" s="193"/>
    </row>
    <row r="104244" spans="6:6" x14ac:dyDescent="0.3">
      <c r="F104244" s="193"/>
    </row>
    <row r="104245" spans="6:6" x14ac:dyDescent="0.3">
      <c r="F104245" s="193"/>
    </row>
    <row r="104246" spans="6:6" x14ac:dyDescent="0.3">
      <c r="F104246" s="193"/>
    </row>
    <row r="104247" spans="6:6" x14ac:dyDescent="0.3">
      <c r="F104247" s="193"/>
    </row>
    <row r="104248" spans="6:6" x14ac:dyDescent="0.3">
      <c r="F104248" s="193"/>
    </row>
    <row r="104249" spans="6:6" x14ac:dyDescent="0.3">
      <c r="F104249" s="193"/>
    </row>
    <row r="104250" spans="6:6" x14ac:dyDescent="0.3">
      <c r="F104250" s="193"/>
    </row>
    <row r="104251" spans="6:6" x14ac:dyDescent="0.3">
      <c r="F104251" s="193"/>
    </row>
    <row r="104252" spans="6:6" x14ac:dyDescent="0.3">
      <c r="F104252" s="193"/>
    </row>
    <row r="104253" spans="6:6" x14ac:dyDescent="0.3">
      <c r="F104253" s="193"/>
    </row>
    <row r="104254" spans="6:6" x14ac:dyDescent="0.3">
      <c r="F104254" s="193"/>
    </row>
    <row r="104255" spans="6:6" x14ac:dyDescent="0.3">
      <c r="F104255" s="193"/>
    </row>
    <row r="104256" spans="6:6" x14ac:dyDescent="0.3">
      <c r="F104256" s="193"/>
    </row>
    <row r="104257" spans="6:6" x14ac:dyDescent="0.3">
      <c r="F104257" s="193"/>
    </row>
    <row r="104258" spans="6:6" x14ac:dyDescent="0.3">
      <c r="F104258" s="193"/>
    </row>
    <row r="104259" spans="6:6" x14ac:dyDescent="0.3">
      <c r="F104259" s="193"/>
    </row>
    <row r="104260" spans="6:6" x14ac:dyDescent="0.3">
      <c r="F104260" s="193"/>
    </row>
    <row r="104261" spans="6:6" x14ac:dyDescent="0.3">
      <c r="F104261" s="193"/>
    </row>
    <row r="104262" spans="6:6" x14ac:dyDescent="0.3">
      <c r="F104262" s="193"/>
    </row>
    <row r="104263" spans="6:6" x14ac:dyDescent="0.3">
      <c r="F104263" s="193"/>
    </row>
    <row r="104264" spans="6:6" x14ac:dyDescent="0.3">
      <c r="F104264" s="193"/>
    </row>
    <row r="104265" spans="6:6" x14ac:dyDescent="0.3">
      <c r="F104265" s="193"/>
    </row>
    <row r="104266" spans="6:6" x14ac:dyDescent="0.3">
      <c r="F104266" s="193"/>
    </row>
    <row r="104267" spans="6:6" x14ac:dyDescent="0.3">
      <c r="F104267" s="193"/>
    </row>
    <row r="104268" spans="6:6" x14ac:dyDescent="0.3">
      <c r="F104268" s="193"/>
    </row>
    <row r="104269" spans="6:6" x14ac:dyDescent="0.3">
      <c r="F104269" s="193"/>
    </row>
    <row r="104270" spans="6:6" x14ac:dyDescent="0.3">
      <c r="F104270" s="193"/>
    </row>
    <row r="104271" spans="6:6" x14ac:dyDescent="0.3">
      <c r="F104271" s="193"/>
    </row>
    <row r="104272" spans="6:6" x14ac:dyDescent="0.3">
      <c r="F104272" s="193"/>
    </row>
    <row r="104273" spans="6:6" x14ac:dyDescent="0.3">
      <c r="F104273" s="193"/>
    </row>
    <row r="104274" spans="6:6" x14ac:dyDescent="0.3">
      <c r="F104274" s="193"/>
    </row>
    <row r="104275" spans="6:6" x14ac:dyDescent="0.3">
      <c r="F104275" s="193"/>
    </row>
    <row r="104276" spans="6:6" x14ac:dyDescent="0.3">
      <c r="F104276" s="193"/>
    </row>
    <row r="104277" spans="6:6" x14ac:dyDescent="0.3">
      <c r="F104277" s="193"/>
    </row>
    <row r="104278" spans="6:6" x14ac:dyDescent="0.3">
      <c r="F104278" s="193"/>
    </row>
    <row r="104279" spans="6:6" x14ac:dyDescent="0.3">
      <c r="F104279" s="193"/>
    </row>
    <row r="104280" spans="6:6" x14ac:dyDescent="0.3">
      <c r="F104280" s="193"/>
    </row>
    <row r="104281" spans="6:6" x14ac:dyDescent="0.3">
      <c r="F104281" s="193"/>
    </row>
    <row r="104282" spans="6:6" x14ac:dyDescent="0.3">
      <c r="F104282" s="193"/>
    </row>
    <row r="104283" spans="6:6" x14ac:dyDescent="0.3">
      <c r="F104283" s="193"/>
    </row>
    <row r="104284" spans="6:6" x14ac:dyDescent="0.3">
      <c r="F104284" s="193"/>
    </row>
    <row r="104285" spans="6:6" x14ac:dyDescent="0.3">
      <c r="F104285" s="193"/>
    </row>
    <row r="104286" spans="6:6" x14ac:dyDescent="0.3">
      <c r="F104286" s="193"/>
    </row>
    <row r="104287" spans="6:6" x14ac:dyDescent="0.3">
      <c r="F104287" s="193"/>
    </row>
    <row r="104288" spans="6:6" x14ac:dyDescent="0.3">
      <c r="F104288" s="193"/>
    </row>
    <row r="104289" spans="6:6" x14ac:dyDescent="0.3">
      <c r="F104289" s="193"/>
    </row>
    <row r="104290" spans="6:6" x14ac:dyDescent="0.3">
      <c r="F104290" s="193"/>
    </row>
    <row r="104291" spans="6:6" x14ac:dyDescent="0.3">
      <c r="F104291" s="193"/>
    </row>
    <row r="104292" spans="6:6" x14ac:dyDescent="0.3">
      <c r="F104292" s="193"/>
    </row>
    <row r="104293" spans="6:6" x14ac:dyDescent="0.3">
      <c r="F104293" s="193"/>
    </row>
    <row r="104294" spans="6:6" x14ac:dyDescent="0.3">
      <c r="F104294" s="193"/>
    </row>
    <row r="104295" spans="6:6" x14ac:dyDescent="0.3">
      <c r="F104295" s="193"/>
    </row>
    <row r="104296" spans="6:6" x14ac:dyDescent="0.3">
      <c r="F104296" s="193"/>
    </row>
    <row r="104297" spans="6:6" x14ac:dyDescent="0.3">
      <c r="F104297" s="193"/>
    </row>
    <row r="104298" spans="6:6" x14ac:dyDescent="0.3">
      <c r="F104298" s="193"/>
    </row>
    <row r="104299" spans="6:6" x14ac:dyDescent="0.3">
      <c r="F104299" s="193"/>
    </row>
    <row r="104300" spans="6:6" x14ac:dyDescent="0.3">
      <c r="F104300" s="193"/>
    </row>
    <row r="104301" spans="6:6" x14ac:dyDescent="0.3">
      <c r="F104301" s="193"/>
    </row>
    <row r="104302" spans="6:6" x14ac:dyDescent="0.3">
      <c r="F104302" s="193"/>
    </row>
    <row r="104303" spans="6:6" x14ac:dyDescent="0.3">
      <c r="F104303" s="193"/>
    </row>
    <row r="104304" spans="6:6" x14ac:dyDescent="0.3">
      <c r="F104304" s="193"/>
    </row>
    <row r="104305" spans="6:6" x14ac:dyDescent="0.3">
      <c r="F104305" s="193"/>
    </row>
    <row r="104306" spans="6:6" x14ac:dyDescent="0.3">
      <c r="F104306" s="193"/>
    </row>
    <row r="104307" spans="6:6" x14ac:dyDescent="0.3">
      <c r="F104307" s="193"/>
    </row>
    <row r="104308" spans="6:6" x14ac:dyDescent="0.3">
      <c r="F104308" s="193"/>
    </row>
    <row r="104309" spans="6:6" x14ac:dyDescent="0.3">
      <c r="F104309" s="193"/>
    </row>
    <row r="104310" spans="6:6" x14ac:dyDescent="0.3">
      <c r="F104310" s="193"/>
    </row>
    <row r="104311" spans="6:6" x14ac:dyDescent="0.3">
      <c r="F104311" s="193"/>
    </row>
    <row r="104312" spans="6:6" x14ac:dyDescent="0.3">
      <c r="F104312" s="193"/>
    </row>
    <row r="104313" spans="6:6" x14ac:dyDescent="0.3">
      <c r="F104313" s="193"/>
    </row>
    <row r="104314" spans="6:6" x14ac:dyDescent="0.3">
      <c r="F104314" s="193"/>
    </row>
    <row r="104315" spans="6:6" x14ac:dyDescent="0.3">
      <c r="F104315" s="193"/>
    </row>
    <row r="104316" spans="6:6" x14ac:dyDescent="0.3">
      <c r="F104316" s="193"/>
    </row>
    <row r="104317" spans="6:6" x14ac:dyDescent="0.3">
      <c r="F104317" s="193"/>
    </row>
    <row r="104318" spans="6:6" x14ac:dyDescent="0.3">
      <c r="F104318" s="193"/>
    </row>
    <row r="104319" spans="6:6" x14ac:dyDescent="0.3">
      <c r="F104319" s="193"/>
    </row>
    <row r="104320" spans="6:6" x14ac:dyDescent="0.3">
      <c r="F104320" s="193"/>
    </row>
    <row r="104321" spans="6:6" x14ac:dyDescent="0.3">
      <c r="F104321" s="193"/>
    </row>
    <row r="104322" spans="6:6" x14ac:dyDescent="0.3">
      <c r="F104322" s="193"/>
    </row>
    <row r="104323" spans="6:6" x14ac:dyDescent="0.3">
      <c r="F104323" s="193"/>
    </row>
    <row r="104324" spans="6:6" x14ac:dyDescent="0.3">
      <c r="F104324" s="193"/>
    </row>
    <row r="104325" spans="6:6" x14ac:dyDescent="0.3">
      <c r="F104325" s="193"/>
    </row>
    <row r="104326" spans="6:6" x14ac:dyDescent="0.3">
      <c r="F104326" s="193"/>
    </row>
    <row r="104327" spans="6:6" x14ac:dyDescent="0.3">
      <c r="F104327" s="193"/>
    </row>
    <row r="104328" spans="6:6" x14ac:dyDescent="0.3">
      <c r="F104328" s="193"/>
    </row>
    <row r="104329" spans="6:6" x14ac:dyDescent="0.3">
      <c r="F104329" s="193"/>
    </row>
    <row r="104330" spans="6:6" x14ac:dyDescent="0.3">
      <c r="F104330" s="193"/>
    </row>
    <row r="104331" spans="6:6" x14ac:dyDescent="0.3">
      <c r="F104331" s="193"/>
    </row>
    <row r="104332" spans="6:6" x14ac:dyDescent="0.3">
      <c r="F104332" s="193"/>
    </row>
    <row r="104333" spans="6:6" x14ac:dyDescent="0.3">
      <c r="F104333" s="193"/>
    </row>
    <row r="104334" spans="6:6" x14ac:dyDescent="0.3">
      <c r="F104334" s="193"/>
    </row>
    <row r="104335" spans="6:6" x14ac:dyDescent="0.3">
      <c r="F104335" s="193"/>
    </row>
    <row r="104336" spans="6:6" x14ac:dyDescent="0.3">
      <c r="F104336" s="193"/>
    </row>
    <row r="104337" spans="6:6" x14ac:dyDescent="0.3">
      <c r="F104337" s="193"/>
    </row>
    <row r="104338" spans="6:6" x14ac:dyDescent="0.3">
      <c r="F104338" s="193"/>
    </row>
    <row r="104339" spans="6:6" x14ac:dyDescent="0.3">
      <c r="F104339" s="193"/>
    </row>
    <row r="104340" spans="6:6" x14ac:dyDescent="0.3">
      <c r="F104340" s="193"/>
    </row>
    <row r="104341" spans="6:6" x14ac:dyDescent="0.3">
      <c r="F104341" s="193"/>
    </row>
    <row r="104342" spans="6:6" x14ac:dyDescent="0.3">
      <c r="F104342" s="193"/>
    </row>
    <row r="104343" spans="6:6" x14ac:dyDescent="0.3">
      <c r="F104343" s="193"/>
    </row>
    <row r="104344" spans="6:6" x14ac:dyDescent="0.3">
      <c r="F104344" s="193"/>
    </row>
    <row r="104345" spans="6:6" x14ac:dyDescent="0.3">
      <c r="F104345" s="193"/>
    </row>
    <row r="104346" spans="6:6" x14ac:dyDescent="0.3">
      <c r="F104346" s="193"/>
    </row>
    <row r="104347" spans="6:6" x14ac:dyDescent="0.3">
      <c r="F104347" s="193"/>
    </row>
    <row r="104348" spans="6:6" x14ac:dyDescent="0.3">
      <c r="F104348" s="193"/>
    </row>
    <row r="104349" spans="6:6" x14ac:dyDescent="0.3">
      <c r="F104349" s="193"/>
    </row>
    <row r="104350" spans="6:6" x14ac:dyDescent="0.3">
      <c r="F104350" s="193"/>
    </row>
    <row r="104351" spans="6:6" x14ac:dyDescent="0.3">
      <c r="F104351" s="193"/>
    </row>
    <row r="104352" spans="6:6" x14ac:dyDescent="0.3">
      <c r="F104352" s="193"/>
    </row>
    <row r="104353" spans="6:6" x14ac:dyDescent="0.3">
      <c r="F104353" s="193"/>
    </row>
    <row r="104354" spans="6:6" x14ac:dyDescent="0.3">
      <c r="F104354" s="193"/>
    </row>
    <row r="104355" spans="6:6" x14ac:dyDescent="0.3">
      <c r="F104355" s="193"/>
    </row>
    <row r="104356" spans="6:6" x14ac:dyDescent="0.3">
      <c r="F104356" s="193"/>
    </row>
    <row r="104357" spans="6:6" x14ac:dyDescent="0.3">
      <c r="F104357" s="193"/>
    </row>
    <row r="104358" spans="6:6" x14ac:dyDescent="0.3">
      <c r="F104358" s="193"/>
    </row>
    <row r="104359" spans="6:6" x14ac:dyDescent="0.3">
      <c r="F104359" s="193"/>
    </row>
    <row r="104360" spans="6:6" x14ac:dyDescent="0.3">
      <c r="F104360" s="193"/>
    </row>
    <row r="104361" spans="6:6" x14ac:dyDescent="0.3">
      <c r="F104361" s="193"/>
    </row>
    <row r="104362" spans="6:6" x14ac:dyDescent="0.3">
      <c r="F104362" s="193"/>
    </row>
    <row r="104363" spans="6:6" x14ac:dyDescent="0.3">
      <c r="F104363" s="193"/>
    </row>
    <row r="104364" spans="6:6" x14ac:dyDescent="0.3">
      <c r="F104364" s="193"/>
    </row>
    <row r="104365" spans="6:6" x14ac:dyDescent="0.3">
      <c r="F104365" s="193"/>
    </row>
    <row r="104366" spans="6:6" x14ac:dyDescent="0.3">
      <c r="F104366" s="193"/>
    </row>
    <row r="104367" spans="6:6" x14ac:dyDescent="0.3">
      <c r="F104367" s="193"/>
    </row>
    <row r="104368" spans="6:6" x14ac:dyDescent="0.3">
      <c r="F104368" s="193"/>
    </row>
    <row r="104369" spans="6:6" x14ac:dyDescent="0.3">
      <c r="F104369" s="193"/>
    </row>
    <row r="104370" spans="6:6" x14ac:dyDescent="0.3">
      <c r="F104370" s="193"/>
    </row>
    <row r="104371" spans="6:6" x14ac:dyDescent="0.3">
      <c r="F104371" s="193"/>
    </row>
    <row r="104372" spans="6:6" x14ac:dyDescent="0.3">
      <c r="F104372" s="193"/>
    </row>
    <row r="104373" spans="6:6" x14ac:dyDescent="0.3">
      <c r="F104373" s="193"/>
    </row>
    <row r="104374" spans="6:6" x14ac:dyDescent="0.3">
      <c r="F104374" s="193"/>
    </row>
    <row r="104375" spans="6:6" x14ac:dyDescent="0.3">
      <c r="F104375" s="193"/>
    </row>
    <row r="104376" spans="6:6" x14ac:dyDescent="0.3">
      <c r="F104376" s="193"/>
    </row>
    <row r="104377" spans="6:6" x14ac:dyDescent="0.3">
      <c r="F104377" s="193"/>
    </row>
    <row r="104378" spans="6:6" x14ac:dyDescent="0.3">
      <c r="F104378" s="193"/>
    </row>
    <row r="104379" spans="6:6" x14ac:dyDescent="0.3">
      <c r="F104379" s="193"/>
    </row>
    <row r="104380" spans="6:6" x14ac:dyDescent="0.3">
      <c r="F104380" s="193"/>
    </row>
    <row r="104381" spans="6:6" x14ac:dyDescent="0.3">
      <c r="F104381" s="193"/>
    </row>
    <row r="104382" spans="6:6" x14ac:dyDescent="0.3">
      <c r="F104382" s="193"/>
    </row>
    <row r="104383" spans="6:6" x14ac:dyDescent="0.3">
      <c r="F104383" s="193"/>
    </row>
    <row r="104384" spans="6:6" x14ac:dyDescent="0.3">
      <c r="F104384" s="193"/>
    </row>
    <row r="104385" spans="6:6" x14ac:dyDescent="0.3">
      <c r="F104385" s="193"/>
    </row>
    <row r="104386" spans="6:6" x14ac:dyDescent="0.3">
      <c r="F104386" s="193"/>
    </row>
    <row r="104387" spans="6:6" x14ac:dyDescent="0.3">
      <c r="F104387" s="193"/>
    </row>
    <row r="104388" spans="6:6" x14ac:dyDescent="0.3">
      <c r="F104388" s="193"/>
    </row>
    <row r="104389" spans="6:6" x14ac:dyDescent="0.3">
      <c r="F104389" s="193"/>
    </row>
    <row r="104390" spans="6:6" x14ac:dyDescent="0.3">
      <c r="F104390" s="193"/>
    </row>
    <row r="104391" spans="6:6" x14ac:dyDescent="0.3">
      <c r="F104391" s="193"/>
    </row>
    <row r="104392" spans="6:6" x14ac:dyDescent="0.3">
      <c r="F104392" s="193"/>
    </row>
    <row r="104393" spans="6:6" x14ac:dyDescent="0.3">
      <c r="F104393" s="193"/>
    </row>
    <row r="104394" spans="6:6" x14ac:dyDescent="0.3">
      <c r="F104394" s="193"/>
    </row>
    <row r="104395" spans="6:6" x14ac:dyDescent="0.3">
      <c r="F104395" s="193"/>
    </row>
    <row r="104396" spans="6:6" x14ac:dyDescent="0.3">
      <c r="F104396" s="193"/>
    </row>
    <row r="104397" spans="6:6" x14ac:dyDescent="0.3">
      <c r="F104397" s="193"/>
    </row>
    <row r="104398" spans="6:6" x14ac:dyDescent="0.3">
      <c r="F104398" s="193"/>
    </row>
    <row r="104399" spans="6:6" x14ac:dyDescent="0.3">
      <c r="F104399" s="193"/>
    </row>
    <row r="104400" spans="6:6" x14ac:dyDescent="0.3">
      <c r="F104400" s="193"/>
    </row>
    <row r="104401" spans="6:6" x14ac:dyDescent="0.3">
      <c r="F104401" s="193"/>
    </row>
    <row r="104402" spans="6:6" x14ac:dyDescent="0.3">
      <c r="F104402" s="193"/>
    </row>
    <row r="104403" spans="6:6" x14ac:dyDescent="0.3">
      <c r="F104403" s="193"/>
    </row>
    <row r="104404" spans="6:6" x14ac:dyDescent="0.3">
      <c r="F104404" s="193"/>
    </row>
    <row r="104405" spans="6:6" x14ac:dyDescent="0.3">
      <c r="F104405" s="193"/>
    </row>
    <row r="104406" spans="6:6" x14ac:dyDescent="0.3">
      <c r="F104406" s="193"/>
    </row>
    <row r="104407" spans="6:6" x14ac:dyDescent="0.3">
      <c r="F104407" s="193"/>
    </row>
    <row r="104408" spans="6:6" x14ac:dyDescent="0.3">
      <c r="F104408" s="193"/>
    </row>
    <row r="104409" spans="6:6" x14ac:dyDescent="0.3">
      <c r="F104409" s="193"/>
    </row>
    <row r="104410" spans="6:6" x14ac:dyDescent="0.3">
      <c r="F104410" s="193"/>
    </row>
    <row r="104411" spans="6:6" x14ac:dyDescent="0.3">
      <c r="F104411" s="193"/>
    </row>
    <row r="104412" spans="6:6" x14ac:dyDescent="0.3">
      <c r="F104412" s="193"/>
    </row>
    <row r="104413" spans="6:6" x14ac:dyDescent="0.3">
      <c r="F104413" s="193"/>
    </row>
    <row r="104414" spans="6:6" x14ac:dyDescent="0.3">
      <c r="F104414" s="193"/>
    </row>
    <row r="104415" spans="6:6" x14ac:dyDescent="0.3">
      <c r="F104415" s="193"/>
    </row>
    <row r="104416" spans="6:6" x14ac:dyDescent="0.3">
      <c r="F104416" s="193"/>
    </row>
    <row r="104417" spans="6:6" x14ac:dyDescent="0.3">
      <c r="F104417" s="193"/>
    </row>
    <row r="104418" spans="6:6" x14ac:dyDescent="0.3">
      <c r="F104418" s="193"/>
    </row>
    <row r="104419" spans="6:6" x14ac:dyDescent="0.3">
      <c r="F104419" s="193"/>
    </row>
    <row r="104420" spans="6:6" x14ac:dyDescent="0.3">
      <c r="F104420" s="193"/>
    </row>
    <row r="104421" spans="6:6" x14ac:dyDescent="0.3">
      <c r="F104421" s="193"/>
    </row>
    <row r="104422" spans="6:6" x14ac:dyDescent="0.3">
      <c r="F104422" s="193"/>
    </row>
    <row r="104423" spans="6:6" x14ac:dyDescent="0.3">
      <c r="F104423" s="193"/>
    </row>
    <row r="104424" spans="6:6" x14ac:dyDescent="0.3">
      <c r="F104424" s="193"/>
    </row>
    <row r="104425" spans="6:6" x14ac:dyDescent="0.3">
      <c r="F104425" s="193"/>
    </row>
    <row r="104426" spans="6:6" x14ac:dyDescent="0.3">
      <c r="F104426" s="193"/>
    </row>
    <row r="104427" spans="6:6" x14ac:dyDescent="0.3">
      <c r="F104427" s="193"/>
    </row>
    <row r="104428" spans="6:6" x14ac:dyDescent="0.3">
      <c r="F104428" s="193"/>
    </row>
    <row r="104429" spans="6:6" x14ac:dyDescent="0.3">
      <c r="F104429" s="193"/>
    </row>
    <row r="104430" spans="6:6" x14ac:dyDescent="0.3">
      <c r="F104430" s="193"/>
    </row>
    <row r="104431" spans="6:6" x14ac:dyDescent="0.3">
      <c r="F104431" s="193"/>
    </row>
    <row r="104432" spans="6:6" x14ac:dyDescent="0.3">
      <c r="F104432" s="193"/>
    </row>
    <row r="104433" spans="6:6" x14ac:dyDescent="0.3">
      <c r="F104433" s="193"/>
    </row>
    <row r="104434" spans="6:6" x14ac:dyDescent="0.3">
      <c r="F104434" s="193"/>
    </row>
    <row r="104435" spans="6:6" x14ac:dyDescent="0.3">
      <c r="F104435" s="193"/>
    </row>
    <row r="104436" spans="6:6" x14ac:dyDescent="0.3">
      <c r="F104436" s="193"/>
    </row>
    <row r="104437" spans="6:6" x14ac:dyDescent="0.3">
      <c r="F104437" s="193"/>
    </row>
    <row r="104438" spans="6:6" x14ac:dyDescent="0.3">
      <c r="F104438" s="193"/>
    </row>
    <row r="104439" spans="6:6" x14ac:dyDescent="0.3">
      <c r="F104439" s="193"/>
    </row>
    <row r="104440" spans="6:6" x14ac:dyDescent="0.3">
      <c r="F104440" s="193"/>
    </row>
    <row r="104441" spans="6:6" x14ac:dyDescent="0.3">
      <c r="F104441" s="193"/>
    </row>
    <row r="104442" spans="6:6" x14ac:dyDescent="0.3">
      <c r="F104442" s="193"/>
    </row>
    <row r="104443" spans="6:6" x14ac:dyDescent="0.3">
      <c r="F104443" s="193"/>
    </row>
    <row r="104444" spans="6:6" x14ac:dyDescent="0.3">
      <c r="F104444" s="193"/>
    </row>
    <row r="104445" spans="6:6" x14ac:dyDescent="0.3">
      <c r="F104445" s="193"/>
    </row>
    <row r="104446" spans="6:6" x14ac:dyDescent="0.3">
      <c r="F104446" s="193"/>
    </row>
    <row r="104447" spans="6:6" x14ac:dyDescent="0.3">
      <c r="F104447" s="193"/>
    </row>
    <row r="104448" spans="6:6" x14ac:dyDescent="0.3">
      <c r="F104448" s="193"/>
    </row>
    <row r="104449" spans="6:6" x14ac:dyDescent="0.3">
      <c r="F104449" s="193"/>
    </row>
    <row r="104450" spans="6:6" x14ac:dyDescent="0.3">
      <c r="F104450" s="193"/>
    </row>
    <row r="104451" spans="6:6" x14ac:dyDescent="0.3">
      <c r="F104451" s="193"/>
    </row>
    <row r="104452" spans="6:6" x14ac:dyDescent="0.3">
      <c r="F104452" s="193"/>
    </row>
    <row r="104453" spans="6:6" x14ac:dyDescent="0.3">
      <c r="F104453" s="193"/>
    </row>
    <row r="104454" spans="6:6" x14ac:dyDescent="0.3">
      <c r="F104454" s="193"/>
    </row>
    <row r="104455" spans="6:6" x14ac:dyDescent="0.3">
      <c r="F104455" s="193"/>
    </row>
    <row r="104456" spans="6:6" x14ac:dyDescent="0.3">
      <c r="F104456" s="193"/>
    </row>
    <row r="104457" spans="6:6" x14ac:dyDescent="0.3">
      <c r="F104457" s="193"/>
    </row>
    <row r="104458" spans="6:6" x14ac:dyDescent="0.3">
      <c r="F104458" s="193"/>
    </row>
    <row r="104459" spans="6:6" x14ac:dyDescent="0.3">
      <c r="F104459" s="193"/>
    </row>
    <row r="104460" spans="6:6" x14ac:dyDescent="0.3">
      <c r="F104460" s="193"/>
    </row>
    <row r="104461" spans="6:6" x14ac:dyDescent="0.3">
      <c r="F104461" s="193"/>
    </row>
    <row r="104462" spans="6:6" x14ac:dyDescent="0.3">
      <c r="F104462" s="193"/>
    </row>
    <row r="104463" spans="6:6" x14ac:dyDescent="0.3">
      <c r="F104463" s="193"/>
    </row>
    <row r="104464" spans="6:6" x14ac:dyDescent="0.3">
      <c r="F104464" s="193"/>
    </row>
    <row r="104465" spans="6:6" x14ac:dyDescent="0.3">
      <c r="F104465" s="193"/>
    </row>
    <row r="104466" spans="6:6" x14ac:dyDescent="0.3">
      <c r="F104466" s="193"/>
    </row>
    <row r="104467" spans="6:6" x14ac:dyDescent="0.3">
      <c r="F104467" s="193"/>
    </row>
    <row r="104468" spans="6:6" x14ac:dyDescent="0.3">
      <c r="F104468" s="193"/>
    </row>
    <row r="104469" spans="6:6" x14ac:dyDescent="0.3">
      <c r="F104469" s="193"/>
    </row>
    <row r="104470" spans="6:6" x14ac:dyDescent="0.3">
      <c r="F104470" s="193"/>
    </row>
    <row r="104471" spans="6:6" x14ac:dyDescent="0.3">
      <c r="F104471" s="193"/>
    </row>
    <row r="104472" spans="6:6" x14ac:dyDescent="0.3">
      <c r="F104472" s="193"/>
    </row>
    <row r="104473" spans="6:6" x14ac:dyDescent="0.3">
      <c r="F104473" s="193"/>
    </row>
    <row r="104474" spans="6:6" x14ac:dyDescent="0.3">
      <c r="F104474" s="193"/>
    </row>
    <row r="104475" spans="6:6" x14ac:dyDescent="0.3">
      <c r="F104475" s="193"/>
    </row>
    <row r="104476" spans="6:6" x14ac:dyDescent="0.3">
      <c r="F104476" s="193"/>
    </row>
    <row r="104477" spans="6:6" x14ac:dyDescent="0.3">
      <c r="F104477" s="193"/>
    </row>
    <row r="104478" spans="6:6" x14ac:dyDescent="0.3">
      <c r="F104478" s="193"/>
    </row>
    <row r="104479" spans="6:6" x14ac:dyDescent="0.3">
      <c r="F104479" s="193"/>
    </row>
    <row r="104480" spans="6:6" x14ac:dyDescent="0.3">
      <c r="F104480" s="193"/>
    </row>
    <row r="104481" spans="6:6" x14ac:dyDescent="0.3">
      <c r="F104481" s="193"/>
    </row>
    <row r="104482" spans="6:6" x14ac:dyDescent="0.3">
      <c r="F104482" s="193"/>
    </row>
    <row r="104483" spans="6:6" x14ac:dyDescent="0.3">
      <c r="F104483" s="193"/>
    </row>
    <row r="104484" spans="6:6" x14ac:dyDescent="0.3">
      <c r="F104484" s="193"/>
    </row>
    <row r="104485" spans="6:6" x14ac:dyDescent="0.3">
      <c r="F104485" s="193"/>
    </row>
    <row r="104486" spans="6:6" x14ac:dyDescent="0.3">
      <c r="F104486" s="193"/>
    </row>
    <row r="104487" spans="6:6" x14ac:dyDescent="0.3">
      <c r="F104487" s="193"/>
    </row>
    <row r="104488" spans="6:6" x14ac:dyDescent="0.3">
      <c r="F104488" s="193"/>
    </row>
    <row r="104489" spans="6:6" x14ac:dyDescent="0.3">
      <c r="F104489" s="193"/>
    </row>
    <row r="104490" spans="6:6" x14ac:dyDescent="0.3">
      <c r="F104490" s="193"/>
    </row>
    <row r="104491" spans="6:6" x14ac:dyDescent="0.3">
      <c r="F104491" s="193"/>
    </row>
    <row r="104492" spans="6:6" x14ac:dyDescent="0.3">
      <c r="F104492" s="193"/>
    </row>
    <row r="104493" spans="6:6" x14ac:dyDescent="0.3">
      <c r="F104493" s="193"/>
    </row>
    <row r="104494" spans="6:6" x14ac:dyDescent="0.3">
      <c r="F104494" s="193"/>
    </row>
    <row r="104495" spans="6:6" x14ac:dyDescent="0.3">
      <c r="F104495" s="193"/>
    </row>
    <row r="104496" spans="6:6" x14ac:dyDescent="0.3">
      <c r="F104496" s="193"/>
    </row>
    <row r="104497" spans="6:6" x14ac:dyDescent="0.3">
      <c r="F104497" s="193"/>
    </row>
    <row r="104498" spans="6:6" x14ac:dyDescent="0.3">
      <c r="F104498" s="193"/>
    </row>
    <row r="104499" spans="6:6" x14ac:dyDescent="0.3">
      <c r="F104499" s="193"/>
    </row>
    <row r="104500" spans="6:6" x14ac:dyDescent="0.3">
      <c r="F104500" s="193"/>
    </row>
    <row r="104501" spans="6:6" x14ac:dyDescent="0.3">
      <c r="F104501" s="193"/>
    </row>
    <row r="104502" spans="6:6" x14ac:dyDescent="0.3">
      <c r="F104502" s="193"/>
    </row>
    <row r="104503" spans="6:6" x14ac:dyDescent="0.3">
      <c r="F104503" s="193"/>
    </row>
    <row r="104504" spans="6:6" x14ac:dyDescent="0.3">
      <c r="F104504" s="193"/>
    </row>
    <row r="104505" spans="6:6" x14ac:dyDescent="0.3">
      <c r="F104505" s="193"/>
    </row>
    <row r="104506" spans="6:6" x14ac:dyDescent="0.3">
      <c r="F104506" s="193"/>
    </row>
    <row r="104507" spans="6:6" x14ac:dyDescent="0.3">
      <c r="F104507" s="193"/>
    </row>
    <row r="104508" spans="6:6" x14ac:dyDescent="0.3">
      <c r="F104508" s="193"/>
    </row>
    <row r="104509" spans="6:6" x14ac:dyDescent="0.3">
      <c r="F104509" s="193"/>
    </row>
    <row r="104510" spans="6:6" x14ac:dyDescent="0.3">
      <c r="F104510" s="193"/>
    </row>
    <row r="104511" spans="6:6" x14ac:dyDescent="0.3">
      <c r="F104511" s="193"/>
    </row>
    <row r="104512" spans="6:6" x14ac:dyDescent="0.3">
      <c r="F104512" s="193"/>
    </row>
    <row r="104513" spans="6:6" x14ac:dyDescent="0.3">
      <c r="F104513" s="193"/>
    </row>
    <row r="104514" spans="6:6" x14ac:dyDescent="0.3">
      <c r="F104514" s="193"/>
    </row>
    <row r="104515" spans="6:6" x14ac:dyDescent="0.3">
      <c r="F104515" s="193"/>
    </row>
    <row r="104516" spans="6:6" x14ac:dyDescent="0.3">
      <c r="F104516" s="193"/>
    </row>
    <row r="104517" spans="6:6" x14ac:dyDescent="0.3">
      <c r="F104517" s="193"/>
    </row>
    <row r="104518" spans="6:6" x14ac:dyDescent="0.3">
      <c r="F104518" s="193"/>
    </row>
    <row r="104519" spans="6:6" x14ac:dyDescent="0.3">
      <c r="F104519" s="193"/>
    </row>
    <row r="104520" spans="6:6" x14ac:dyDescent="0.3">
      <c r="F104520" s="193"/>
    </row>
    <row r="104521" spans="6:6" x14ac:dyDescent="0.3">
      <c r="F104521" s="193"/>
    </row>
    <row r="104522" spans="6:6" x14ac:dyDescent="0.3">
      <c r="F104522" s="193"/>
    </row>
    <row r="104523" spans="6:6" x14ac:dyDescent="0.3">
      <c r="F104523" s="193"/>
    </row>
    <row r="104524" spans="6:6" x14ac:dyDescent="0.3">
      <c r="F104524" s="193"/>
    </row>
    <row r="104525" spans="6:6" x14ac:dyDescent="0.3">
      <c r="F104525" s="193"/>
    </row>
    <row r="104526" spans="6:6" x14ac:dyDescent="0.3">
      <c r="F104526" s="193"/>
    </row>
    <row r="104527" spans="6:6" x14ac:dyDescent="0.3">
      <c r="F104527" s="193"/>
    </row>
    <row r="104528" spans="6:6" x14ac:dyDescent="0.3">
      <c r="F104528" s="193"/>
    </row>
    <row r="104529" spans="6:6" x14ac:dyDescent="0.3">
      <c r="F104529" s="193"/>
    </row>
    <row r="104530" spans="6:6" x14ac:dyDescent="0.3">
      <c r="F104530" s="193"/>
    </row>
    <row r="104531" spans="6:6" x14ac:dyDescent="0.3">
      <c r="F104531" s="193"/>
    </row>
    <row r="104532" spans="6:6" x14ac:dyDescent="0.3">
      <c r="F104532" s="193"/>
    </row>
    <row r="104533" spans="6:6" x14ac:dyDescent="0.3">
      <c r="F104533" s="193"/>
    </row>
    <row r="104534" spans="6:6" x14ac:dyDescent="0.3">
      <c r="F104534" s="193"/>
    </row>
    <row r="104535" spans="6:6" x14ac:dyDescent="0.3">
      <c r="F104535" s="193"/>
    </row>
    <row r="104536" spans="6:6" x14ac:dyDescent="0.3">
      <c r="F104536" s="193"/>
    </row>
    <row r="104537" spans="6:6" x14ac:dyDescent="0.3">
      <c r="F104537" s="193"/>
    </row>
    <row r="104538" spans="6:6" x14ac:dyDescent="0.3">
      <c r="F104538" s="193"/>
    </row>
    <row r="104539" spans="6:6" x14ac:dyDescent="0.3">
      <c r="F104539" s="193"/>
    </row>
    <row r="104540" spans="6:6" x14ac:dyDescent="0.3">
      <c r="F104540" s="193"/>
    </row>
    <row r="104541" spans="6:6" x14ac:dyDescent="0.3">
      <c r="F104541" s="193"/>
    </row>
    <row r="104542" spans="6:6" x14ac:dyDescent="0.3">
      <c r="F104542" s="193"/>
    </row>
    <row r="104543" spans="6:6" x14ac:dyDescent="0.3">
      <c r="F104543" s="193"/>
    </row>
    <row r="104544" spans="6:6" x14ac:dyDescent="0.3">
      <c r="F104544" s="193"/>
    </row>
    <row r="104545" spans="6:6" x14ac:dyDescent="0.3">
      <c r="F104545" s="193"/>
    </row>
    <row r="104546" spans="6:6" x14ac:dyDescent="0.3">
      <c r="F104546" s="193"/>
    </row>
    <row r="104547" spans="6:6" x14ac:dyDescent="0.3">
      <c r="F104547" s="193"/>
    </row>
    <row r="104548" spans="6:6" x14ac:dyDescent="0.3">
      <c r="F104548" s="193"/>
    </row>
    <row r="104549" spans="6:6" x14ac:dyDescent="0.3">
      <c r="F104549" s="193"/>
    </row>
    <row r="104550" spans="6:6" x14ac:dyDescent="0.3">
      <c r="F104550" s="193"/>
    </row>
    <row r="104551" spans="6:6" x14ac:dyDescent="0.3">
      <c r="F104551" s="193"/>
    </row>
    <row r="104552" spans="6:6" x14ac:dyDescent="0.3">
      <c r="F104552" s="193"/>
    </row>
    <row r="104553" spans="6:6" x14ac:dyDescent="0.3">
      <c r="F104553" s="193"/>
    </row>
    <row r="104554" spans="6:6" x14ac:dyDescent="0.3">
      <c r="F104554" s="193"/>
    </row>
    <row r="104555" spans="6:6" x14ac:dyDescent="0.3">
      <c r="F104555" s="193"/>
    </row>
    <row r="104556" spans="6:6" x14ac:dyDescent="0.3">
      <c r="F104556" s="193"/>
    </row>
    <row r="104557" spans="6:6" x14ac:dyDescent="0.3">
      <c r="F104557" s="193"/>
    </row>
    <row r="104558" spans="6:6" x14ac:dyDescent="0.3">
      <c r="F104558" s="193"/>
    </row>
    <row r="104559" spans="6:6" x14ac:dyDescent="0.3">
      <c r="F104559" s="193"/>
    </row>
    <row r="104560" spans="6:6" x14ac:dyDescent="0.3">
      <c r="F104560" s="193"/>
    </row>
    <row r="104561" spans="6:6" x14ac:dyDescent="0.3">
      <c r="F104561" s="193"/>
    </row>
    <row r="104562" spans="6:6" x14ac:dyDescent="0.3">
      <c r="F104562" s="193"/>
    </row>
    <row r="104563" spans="6:6" x14ac:dyDescent="0.3">
      <c r="F104563" s="193"/>
    </row>
    <row r="104564" spans="6:6" x14ac:dyDescent="0.3">
      <c r="F104564" s="193"/>
    </row>
    <row r="104565" spans="6:6" x14ac:dyDescent="0.3">
      <c r="F104565" s="193"/>
    </row>
    <row r="104566" spans="6:6" x14ac:dyDescent="0.3">
      <c r="F104566" s="193"/>
    </row>
    <row r="104567" spans="6:6" x14ac:dyDescent="0.3">
      <c r="F104567" s="193"/>
    </row>
    <row r="104568" spans="6:6" x14ac:dyDescent="0.3">
      <c r="F104568" s="193"/>
    </row>
    <row r="104569" spans="6:6" x14ac:dyDescent="0.3">
      <c r="F104569" s="193"/>
    </row>
    <row r="104570" spans="6:6" x14ac:dyDescent="0.3">
      <c r="F104570" s="193"/>
    </row>
    <row r="104571" spans="6:6" x14ac:dyDescent="0.3">
      <c r="F104571" s="193"/>
    </row>
    <row r="104572" spans="6:6" x14ac:dyDescent="0.3">
      <c r="F104572" s="193"/>
    </row>
    <row r="104573" spans="6:6" x14ac:dyDescent="0.3">
      <c r="F104573" s="193"/>
    </row>
    <row r="104574" spans="6:6" x14ac:dyDescent="0.3">
      <c r="F104574" s="193"/>
    </row>
    <row r="104575" spans="6:6" x14ac:dyDescent="0.3">
      <c r="F104575" s="193"/>
    </row>
    <row r="104576" spans="6:6" x14ac:dyDescent="0.3">
      <c r="F104576" s="193"/>
    </row>
    <row r="104577" spans="6:6" x14ac:dyDescent="0.3">
      <c r="F104577" s="193"/>
    </row>
    <row r="104578" spans="6:6" x14ac:dyDescent="0.3">
      <c r="F104578" s="193"/>
    </row>
    <row r="104579" spans="6:6" x14ac:dyDescent="0.3">
      <c r="F104579" s="193"/>
    </row>
    <row r="104580" spans="6:6" x14ac:dyDescent="0.3">
      <c r="F104580" s="193"/>
    </row>
    <row r="104581" spans="6:6" x14ac:dyDescent="0.3">
      <c r="F104581" s="193"/>
    </row>
    <row r="104582" spans="6:6" x14ac:dyDescent="0.3">
      <c r="F104582" s="193"/>
    </row>
    <row r="104583" spans="6:6" x14ac:dyDescent="0.3">
      <c r="F104583" s="193"/>
    </row>
    <row r="104584" spans="6:6" x14ac:dyDescent="0.3">
      <c r="F104584" s="193"/>
    </row>
    <row r="104585" spans="6:6" x14ac:dyDescent="0.3">
      <c r="F104585" s="193"/>
    </row>
    <row r="104586" spans="6:6" x14ac:dyDescent="0.3">
      <c r="F104586" s="193"/>
    </row>
    <row r="104587" spans="6:6" x14ac:dyDescent="0.3">
      <c r="F104587" s="193"/>
    </row>
    <row r="104588" spans="6:6" x14ac:dyDescent="0.3">
      <c r="F104588" s="193"/>
    </row>
    <row r="104589" spans="6:6" x14ac:dyDescent="0.3">
      <c r="F104589" s="193"/>
    </row>
    <row r="104590" spans="6:6" x14ac:dyDescent="0.3">
      <c r="F104590" s="193"/>
    </row>
    <row r="104591" spans="6:6" x14ac:dyDescent="0.3">
      <c r="F104591" s="193"/>
    </row>
    <row r="104592" spans="6:6" x14ac:dyDescent="0.3">
      <c r="F104592" s="193"/>
    </row>
    <row r="104593" spans="6:6" x14ac:dyDescent="0.3">
      <c r="F104593" s="193"/>
    </row>
    <row r="104594" spans="6:6" x14ac:dyDescent="0.3">
      <c r="F104594" s="193"/>
    </row>
    <row r="104595" spans="6:6" x14ac:dyDescent="0.3">
      <c r="F104595" s="193"/>
    </row>
    <row r="104596" spans="6:6" x14ac:dyDescent="0.3">
      <c r="F104596" s="193"/>
    </row>
    <row r="104597" spans="6:6" x14ac:dyDescent="0.3">
      <c r="F104597" s="193"/>
    </row>
    <row r="104598" spans="6:6" x14ac:dyDescent="0.3">
      <c r="F104598" s="193"/>
    </row>
    <row r="104599" spans="6:6" x14ac:dyDescent="0.3">
      <c r="F104599" s="193"/>
    </row>
    <row r="104600" spans="6:6" x14ac:dyDescent="0.3">
      <c r="F104600" s="193"/>
    </row>
    <row r="104601" spans="6:6" x14ac:dyDescent="0.3">
      <c r="F104601" s="193"/>
    </row>
    <row r="104602" spans="6:6" x14ac:dyDescent="0.3">
      <c r="F104602" s="193"/>
    </row>
    <row r="104603" spans="6:6" x14ac:dyDescent="0.3">
      <c r="F104603" s="193"/>
    </row>
    <row r="104604" spans="6:6" x14ac:dyDescent="0.3">
      <c r="F104604" s="193"/>
    </row>
    <row r="104605" spans="6:6" x14ac:dyDescent="0.3">
      <c r="F104605" s="193"/>
    </row>
    <row r="104606" spans="6:6" x14ac:dyDescent="0.3">
      <c r="F104606" s="193"/>
    </row>
    <row r="104607" spans="6:6" x14ac:dyDescent="0.3">
      <c r="F104607" s="193"/>
    </row>
    <row r="104608" spans="6:6" x14ac:dyDescent="0.3">
      <c r="F104608" s="193"/>
    </row>
    <row r="104609" spans="6:6" x14ac:dyDescent="0.3">
      <c r="F104609" s="193"/>
    </row>
    <row r="104610" spans="6:6" x14ac:dyDescent="0.3">
      <c r="F104610" s="193"/>
    </row>
    <row r="104611" spans="6:6" x14ac:dyDescent="0.3">
      <c r="F104611" s="193"/>
    </row>
    <row r="104612" spans="6:6" x14ac:dyDescent="0.3">
      <c r="F104612" s="193"/>
    </row>
    <row r="104613" spans="6:6" x14ac:dyDescent="0.3">
      <c r="F104613" s="193"/>
    </row>
    <row r="104614" spans="6:6" x14ac:dyDescent="0.3">
      <c r="F104614" s="193"/>
    </row>
    <row r="104615" spans="6:6" x14ac:dyDescent="0.3">
      <c r="F104615" s="193"/>
    </row>
    <row r="104616" spans="6:6" x14ac:dyDescent="0.3">
      <c r="F104616" s="193"/>
    </row>
    <row r="104617" spans="6:6" x14ac:dyDescent="0.3">
      <c r="F104617" s="193"/>
    </row>
    <row r="104618" spans="6:6" x14ac:dyDescent="0.3">
      <c r="F104618" s="193"/>
    </row>
    <row r="104619" spans="6:6" x14ac:dyDescent="0.3">
      <c r="F104619" s="193"/>
    </row>
    <row r="104620" spans="6:6" x14ac:dyDescent="0.3">
      <c r="F104620" s="193"/>
    </row>
    <row r="104621" spans="6:6" x14ac:dyDescent="0.3">
      <c r="F104621" s="193"/>
    </row>
    <row r="104622" spans="6:6" x14ac:dyDescent="0.3">
      <c r="F104622" s="193"/>
    </row>
    <row r="104623" spans="6:6" x14ac:dyDescent="0.3">
      <c r="F104623" s="193"/>
    </row>
    <row r="104624" spans="6:6" x14ac:dyDescent="0.3">
      <c r="F104624" s="193"/>
    </row>
    <row r="104625" spans="6:6" x14ac:dyDescent="0.3">
      <c r="F104625" s="193"/>
    </row>
    <row r="104626" spans="6:6" x14ac:dyDescent="0.3">
      <c r="F104626" s="193"/>
    </row>
    <row r="104627" spans="6:6" x14ac:dyDescent="0.3">
      <c r="F104627" s="193"/>
    </row>
    <row r="104628" spans="6:6" x14ac:dyDescent="0.3">
      <c r="F104628" s="193"/>
    </row>
    <row r="104629" spans="6:6" x14ac:dyDescent="0.3">
      <c r="F104629" s="193"/>
    </row>
    <row r="104630" spans="6:6" x14ac:dyDescent="0.3">
      <c r="F104630" s="193"/>
    </row>
    <row r="104631" spans="6:6" x14ac:dyDescent="0.3">
      <c r="F104631" s="193"/>
    </row>
    <row r="104632" spans="6:6" x14ac:dyDescent="0.3">
      <c r="F104632" s="193"/>
    </row>
    <row r="104633" spans="6:6" x14ac:dyDescent="0.3">
      <c r="F104633" s="193"/>
    </row>
    <row r="104634" spans="6:6" x14ac:dyDescent="0.3">
      <c r="F104634" s="193"/>
    </row>
    <row r="104635" spans="6:6" x14ac:dyDescent="0.3">
      <c r="F104635" s="193"/>
    </row>
    <row r="104636" spans="6:6" x14ac:dyDescent="0.3">
      <c r="F104636" s="193"/>
    </row>
    <row r="104637" spans="6:6" x14ac:dyDescent="0.3">
      <c r="F104637" s="193"/>
    </row>
    <row r="104638" spans="6:6" x14ac:dyDescent="0.3">
      <c r="F104638" s="193"/>
    </row>
    <row r="104639" spans="6:6" x14ac:dyDescent="0.3">
      <c r="F104639" s="193"/>
    </row>
    <row r="104640" spans="6:6" x14ac:dyDescent="0.3">
      <c r="F104640" s="193"/>
    </row>
    <row r="104641" spans="6:6" x14ac:dyDescent="0.3">
      <c r="F104641" s="193"/>
    </row>
    <row r="104642" spans="6:6" x14ac:dyDescent="0.3">
      <c r="F104642" s="193"/>
    </row>
    <row r="104643" spans="6:6" x14ac:dyDescent="0.3">
      <c r="F104643" s="193"/>
    </row>
    <row r="104644" spans="6:6" x14ac:dyDescent="0.3">
      <c r="F104644" s="193"/>
    </row>
    <row r="104645" spans="6:6" x14ac:dyDescent="0.3">
      <c r="F104645" s="193"/>
    </row>
    <row r="104646" spans="6:6" x14ac:dyDescent="0.3">
      <c r="F104646" s="193"/>
    </row>
    <row r="104647" spans="6:6" x14ac:dyDescent="0.3">
      <c r="F104647" s="193"/>
    </row>
    <row r="104648" spans="6:6" x14ac:dyDescent="0.3">
      <c r="F104648" s="193"/>
    </row>
    <row r="104649" spans="6:6" x14ac:dyDescent="0.3">
      <c r="F104649" s="193"/>
    </row>
    <row r="104650" spans="6:6" x14ac:dyDescent="0.3">
      <c r="F104650" s="193"/>
    </row>
    <row r="104651" spans="6:6" x14ac:dyDescent="0.3">
      <c r="F104651" s="193"/>
    </row>
    <row r="104652" spans="6:6" x14ac:dyDescent="0.3">
      <c r="F104652" s="193"/>
    </row>
    <row r="104653" spans="6:6" x14ac:dyDescent="0.3">
      <c r="F104653" s="193"/>
    </row>
    <row r="104654" spans="6:6" x14ac:dyDescent="0.3">
      <c r="F104654" s="193"/>
    </row>
    <row r="104655" spans="6:6" x14ac:dyDescent="0.3">
      <c r="F104655" s="193"/>
    </row>
    <row r="104656" spans="6:6" x14ac:dyDescent="0.3">
      <c r="F104656" s="193"/>
    </row>
    <row r="104657" spans="6:6" x14ac:dyDescent="0.3">
      <c r="F104657" s="193"/>
    </row>
    <row r="104658" spans="6:6" x14ac:dyDescent="0.3">
      <c r="F104658" s="193"/>
    </row>
    <row r="104659" spans="6:6" x14ac:dyDescent="0.3">
      <c r="F104659" s="193"/>
    </row>
    <row r="104660" spans="6:6" x14ac:dyDescent="0.3">
      <c r="F104660" s="193"/>
    </row>
    <row r="104661" spans="6:6" x14ac:dyDescent="0.3">
      <c r="F104661" s="193"/>
    </row>
    <row r="104662" spans="6:6" x14ac:dyDescent="0.3">
      <c r="F104662" s="193"/>
    </row>
    <row r="104663" spans="6:6" x14ac:dyDescent="0.3">
      <c r="F104663" s="193"/>
    </row>
    <row r="104664" spans="6:6" x14ac:dyDescent="0.3">
      <c r="F104664" s="193"/>
    </row>
    <row r="104665" spans="6:6" x14ac:dyDescent="0.3">
      <c r="F104665" s="193"/>
    </row>
    <row r="104666" spans="6:6" x14ac:dyDescent="0.3">
      <c r="F104666" s="193"/>
    </row>
    <row r="104667" spans="6:6" x14ac:dyDescent="0.3">
      <c r="F104667" s="193"/>
    </row>
    <row r="104668" spans="6:6" x14ac:dyDescent="0.3">
      <c r="F104668" s="193"/>
    </row>
    <row r="104669" spans="6:6" x14ac:dyDescent="0.3">
      <c r="F104669" s="193"/>
    </row>
    <row r="104670" spans="6:6" x14ac:dyDescent="0.3">
      <c r="F104670" s="193"/>
    </row>
    <row r="104671" spans="6:6" x14ac:dyDescent="0.3">
      <c r="F104671" s="193"/>
    </row>
    <row r="104672" spans="6:6" x14ac:dyDescent="0.3">
      <c r="F104672" s="193"/>
    </row>
    <row r="104673" spans="6:6" x14ac:dyDescent="0.3">
      <c r="F104673" s="193"/>
    </row>
    <row r="104674" spans="6:6" x14ac:dyDescent="0.3">
      <c r="F104674" s="193"/>
    </row>
    <row r="104675" spans="6:6" x14ac:dyDescent="0.3">
      <c r="F104675" s="193"/>
    </row>
    <row r="104676" spans="6:6" x14ac:dyDescent="0.3">
      <c r="F104676" s="193"/>
    </row>
    <row r="104677" spans="6:6" x14ac:dyDescent="0.3">
      <c r="F104677" s="193"/>
    </row>
    <row r="104678" spans="6:6" x14ac:dyDescent="0.3">
      <c r="F104678" s="193"/>
    </row>
    <row r="104679" spans="6:6" x14ac:dyDescent="0.3">
      <c r="F104679" s="193"/>
    </row>
    <row r="104680" spans="6:6" x14ac:dyDescent="0.3">
      <c r="F104680" s="193"/>
    </row>
    <row r="104681" spans="6:6" x14ac:dyDescent="0.3">
      <c r="F104681" s="193"/>
    </row>
    <row r="104682" spans="6:6" x14ac:dyDescent="0.3">
      <c r="F104682" s="193"/>
    </row>
    <row r="104683" spans="6:6" x14ac:dyDescent="0.3">
      <c r="F104683" s="193"/>
    </row>
    <row r="104684" spans="6:6" x14ac:dyDescent="0.3">
      <c r="F104684" s="193"/>
    </row>
    <row r="104685" spans="6:6" x14ac:dyDescent="0.3">
      <c r="F104685" s="193"/>
    </row>
    <row r="104686" spans="6:6" x14ac:dyDescent="0.3">
      <c r="F104686" s="193"/>
    </row>
    <row r="104687" spans="6:6" x14ac:dyDescent="0.3">
      <c r="F104687" s="193"/>
    </row>
    <row r="104688" spans="6:6" x14ac:dyDescent="0.3">
      <c r="F104688" s="193"/>
    </row>
    <row r="104689" spans="6:6" x14ac:dyDescent="0.3">
      <c r="F104689" s="193"/>
    </row>
    <row r="104690" spans="6:6" x14ac:dyDescent="0.3">
      <c r="F104690" s="193"/>
    </row>
    <row r="104691" spans="6:6" x14ac:dyDescent="0.3">
      <c r="F104691" s="193"/>
    </row>
    <row r="104692" spans="6:6" x14ac:dyDescent="0.3">
      <c r="F104692" s="193"/>
    </row>
    <row r="104693" spans="6:6" x14ac:dyDescent="0.3">
      <c r="F104693" s="193"/>
    </row>
    <row r="104694" spans="6:6" x14ac:dyDescent="0.3">
      <c r="F104694" s="193"/>
    </row>
    <row r="104695" spans="6:6" x14ac:dyDescent="0.3">
      <c r="F104695" s="193"/>
    </row>
    <row r="104696" spans="6:6" x14ac:dyDescent="0.3">
      <c r="F104696" s="193"/>
    </row>
    <row r="104697" spans="6:6" x14ac:dyDescent="0.3">
      <c r="F104697" s="193"/>
    </row>
    <row r="104698" spans="6:6" x14ac:dyDescent="0.3">
      <c r="F104698" s="193"/>
    </row>
    <row r="104699" spans="6:6" x14ac:dyDescent="0.3">
      <c r="F104699" s="193"/>
    </row>
    <row r="104700" spans="6:6" x14ac:dyDescent="0.3">
      <c r="F104700" s="193"/>
    </row>
    <row r="104701" spans="6:6" x14ac:dyDescent="0.3">
      <c r="F104701" s="193"/>
    </row>
    <row r="104702" spans="6:6" x14ac:dyDescent="0.3">
      <c r="F104702" s="193"/>
    </row>
    <row r="104703" spans="6:6" x14ac:dyDescent="0.3">
      <c r="F104703" s="193"/>
    </row>
    <row r="104704" spans="6:6" x14ac:dyDescent="0.3">
      <c r="F104704" s="193"/>
    </row>
    <row r="104705" spans="6:6" x14ac:dyDescent="0.3">
      <c r="F104705" s="193"/>
    </row>
    <row r="104706" spans="6:6" x14ac:dyDescent="0.3">
      <c r="F104706" s="193"/>
    </row>
    <row r="104707" spans="6:6" x14ac:dyDescent="0.3">
      <c r="F104707" s="193"/>
    </row>
    <row r="104708" spans="6:6" x14ac:dyDescent="0.3">
      <c r="F104708" s="193"/>
    </row>
    <row r="104709" spans="6:6" x14ac:dyDescent="0.3">
      <c r="F104709" s="193"/>
    </row>
    <row r="104710" spans="6:6" x14ac:dyDescent="0.3">
      <c r="F104710" s="193"/>
    </row>
    <row r="104711" spans="6:6" x14ac:dyDescent="0.3">
      <c r="F104711" s="193"/>
    </row>
    <row r="104712" spans="6:6" x14ac:dyDescent="0.3">
      <c r="F104712" s="193"/>
    </row>
    <row r="104713" spans="6:6" x14ac:dyDescent="0.3">
      <c r="F104713" s="193"/>
    </row>
    <row r="104714" spans="6:6" x14ac:dyDescent="0.3">
      <c r="F104714" s="193"/>
    </row>
    <row r="104715" spans="6:6" x14ac:dyDescent="0.3">
      <c r="F104715" s="193"/>
    </row>
    <row r="104716" spans="6:6" x14ac:dyDescent="0.3">
      <c r="F104716" s="193"/>
    </row>
    <row r="104717" spans="6:6" x14ac:dyDescent="0.3">
      <c r="F104717" s="193"/>
    </row>
    <row r="104718" spans="6:6" x14ac:dyDescent="0.3">
      <c r="F104718" s="193"/>
    </row>
    <row r="104719" spans="6:6" x14ac:dyDescent="0.3">
      <c r="F104719" s="193"/>
    </row>
    <row r="104720" spans="6:6" x14ac:dyDescent="0.3">
      <c r="F104720" s="193"/>
    </row>
    <row r="104721" spans="6:6" x14ac:dyDescent="0.3">
      <c r="F104721" s="193"/>
    </row>
    <row r="104722" spans="6:6" x14ac:dyDescent="0.3">
      <c r="F104722" s="193"/>
    </row>
    <row r="104723" spans="6:6" x14ac:dyDescent="0.3">
      <c r="F104723" s="193"/>
    </row>
    <row r="104724" spans="6:6" x14ac:dyDescent="0.3">
      <c r="F104724" s="193"/>
    </row>
    <row r="104725" spans="6:6" x14ac:dyDescent="0.3">
      <c r="F104725" s="193"/>
    </row>
    <row r="104726" spans="6:6" x14ac:dyDescent="0.3">
      <c r="F104726" s="193"/>
    </row>
    <row r="104727" spans="6:6" x14ac:dyDescent="0.3">
      <c r="F104727" s="193"/>
    </row>
    <row r="104728" spans="6:6" x14ac:dyDescent="0.3">
      <c r="F104728" s="193"/>
    </row>
    <row r="104729" spans="6:6" x14ac:dyDescent="0.3">
      <c r="F104729" s="193"/>
    </row>
    <row r="104730" spans="6:6" x14ac:dyDescent="0.3">
      <c r="F104730" s="193"/>
    </row>
    <row r="104731" spans="6:6" x14ac:dyDescent="0.3">
      <c r="F104731" s="193"/>
    </row>
    <row r="104732" spans="6:6" x14ac:dyDescent="0.3">
      <c r="F104732" s="193"/>
    </row>
    <row r="104733" spans="6:6" x14ac:dyDescent="0.3">
      <c r="F104733" s="193"/>
    </row>
    <row r="104734" spans="6:6" x14ac:dyDescent="0.3">
      <c r="F104734" s="193"/>
    </row>
    <row r="104735" spans="6:6" x14ac:dyDescent="0.3">
      <c r="F104735" s="193"/>
    </row>
    <row r="104736" spans="6:6" x14ac:dyDescent="0.3">
      <c r="F104736" s="193"/>
    </row>
    <row r="104737" spans="6:6" x14ac:dyDescent="0.3">
      <c r="F104737" s="193"/>
    </row>
    <row r="104738" spans="6:6" x14ac:dyDescent="0.3">
      <c r="F104738" s="193"/>
    </row>
    <row r="104739" spans="6:6" x14ac:dyDescent="0.3">
      <c r="F104739" s="193"/>
    </row>
    <row r="104740" spans="6:6" x14ac:dyDescent="0.3">
      <c r="F104740" s="193"/>
    </row>
    <row r="104741" spans="6:6" x14ac:dyDescent="0.3">
      <c r="F104741" s="193"/>
    </row>
    <row r="104742" spans="6:6" x14ac:dyDescent="0.3">
      <c r="F104742" s="193"/>
    </row>
    <row r="104743" spans="6:6" x14ac:dyDescent="0.3">
      <c r="F104743" s="193"/>
    </row>
    <row r="104744" spans="6:6" x14ac:dyDescent="0.3">
      <c r="F104744" s="193"/>
    </row>
    <row r="104745" spans="6:6" x14ac:dyDescent="0.3">
      <c r="F104745" s="193"/>
    </row>
    <row r="104746" spans="6:6" x14ac:dyDescent="0.3">
      <c r="F104746" s="193"/>
    </row>
    <row r="104747" spans="6:6" x14ac:dyDescent="0.3">
      <c r="F104747" s="193"/>
    </row>
    <row r="104748" spans="6:6" x14ac:dyDescent="0.3">
      <c r="F104748" s="193"/>
    </row>
    <row r="104749" spans="6:6" x14ac:dyDescent="0.3">
      <c r="F104749" s="193"/>
    </row>
    <row r="104750" spans="6:6" x14ac:dyDescent="0.3">
      <c r="F104750" s="193"/>
    </row>
    <row r="104751" spans="6:6" x14ac:dyDescent="0.3">
      <c r="F104751" s="193"/>
    </row>
    <row r="104752" spans="6:6" x14ac:dyDescent="0.3">
      <c r="F104752" s="193"/>
    </row>
    <row r="104753" spans="6:6" x14ac:dyDescent="0.3">
      <c r="F104753" s="193"/>
    </row>
    <row r="104754" spans="6:6" x14ac:dyDescent="0.3">
      <c r="F104754" s="193"/>
    </row>
    <row r="104755" spans="6:6" x14ac:dyDescent="0.3">
      <c r="F104755" s="193"/>
    </row>
    <row r="104756" spans="6:6" x14ac:dyDescent="0.3">
      <c r="F104756" s="193"/>
    </row>
    <row r="104757" spans="6:6" x14ac:dyDescent="0.3">
      <c r="F104757" s="193"/>
    </row>
    <row r="104758" spans="6:6" x14ac:dyDescent="0.3">
      <c r="F104758" s="193"/>
    </row>
    <row r="104759" spans="6:6" x14ac:dyDescent="0.3">
      <c r="F104759" s="193"/>
    </row>
    <row r="104760" spans="6:6" x14ac:dyDescent="0.3">
      <c r="F104760" s="193"/>
    </row>
    <row r="104761" spans="6:6" x14ac:dyDescent="0.3">
      <c r="F104761" s="193"/>
    </row>
    <row r="104762" spans="6:6" x14ac:dyDescent="0.3">
      <c r="F104762" s="193"/>
    </row>
    <row r="104763" spans="6:6" x14ac:dyDescent="0.3">
      <c r="F104763" s="193"/>
    </row>
    <row r="104764" spans="6:6" x14ac:dyDescent="0.3">
      <c r="F104764" s="193"/>
    </row>
    <row r="104765" spans="6:6" x14ac:dyDescent="0.3">
      <c r="F104765" s="193"/>
    </row>
    <row r="104766" spans="6:6" x14ac:dyDescent="0.3">
      <c r="F104766" s="193"/>
    </row>
    <row r="104767" spans="6:6" x14ac:dyDescent="0.3">
      <c r="F104767" s="193"/>
    </row>
    <row r="104768" spans="6:6" x14ac:dyDescent="0.3">
      <c r="F104768" s="193"/>
    </row>
    <row r="104769" spans="6:6" x14ac:dyDescent="0.3">
      <c r="F104769" s="193"/>
    </row>
    <row r="104770" spans="6:6" x14ac:dyDescent="0.3">
      <c r="F104770" s="193"/>
    </row>
    <row r="104771" spans="6:6" x14ac:dyDescent="0.3">
      <c r="F104771" s="193"/>
    </row>
    <row r="104772" spans="6:6" x14ac:dyDescent="0.3">
      <c r="F104772" s="193"/>
    </row>
    <row r="104773" spans="6:6" x14ac:dyDescent="0.3">
      <c r="F104773" s="193"/>
    </row>
    <row r="104774" spans="6:6" x14ac:dyDescent="0.3">
      <c r="F104774" s="193"/>
    </row>
    <row r="104775" spans="6:6" x14ac:dyDescent="0.3">
      <c r="F104775" s="193"/>
    </row>
    <row r="104776" spans="6:6" x14ac:dyDescent="0.3">
      <c r="F104776" s="193"/>
    </row>
    <row r="104777" spans="6:6" x14ac:dyDescent="0.3">
      <c r="F104777" s="193"/>
    </row>
    <row r="104778" spans="6:6" x14ac:dyDescent="0.3">
      <c r="F104778" s="193"/>
    </row>
    <row r="104779" spans="6:6" x14ac:dyDescent="0.3">
      <c r="F104779" s="193"/>
    </row>
    <row r="104780" spans="6:6" x14ac:dyDescent="0.3">
      <c r="F104780" s="193"/>
    </row>
    <row r="104781" spans="6:6" x14ac:dyDescent="0.3">
      <c r="F104781" s="193"/>
    </row>
    <row r="104782" spans="6:6" x14ac:dyDescent="0.3">
      <c r="F104782" s="193"/>
    </row>
    <row r="104783" spans="6:6" x14ac:dyDescent="0.3">
      <c r="F104783" s="193"/>
    </row>
    <row r="104784" spans="6:6" x14ac:dyDescent="0.3">
      <c r="F104784" s="193"/>
    </row>
    <row r="104785" spans="6:6" x14ac:dyDescent="0.3">
      <c r="F104785" s="193"/>
    </row>
    <row r="104786" spans="6:6" x14ac:dyDescent="0.3">
      <c r="F104786" s="193"/>
    </row>
    <row r="104787" spans="6:6" x14ac:dyDescent="0.3">
      <c r="F104787" s="193"/>
    </row>
    <row r="104788" spans="6:6" x14ac:dyDescent="0.3">
      <c r="F104788" s="193"/>
    </row>
    <row r="104789" spans="6:6" x14ac:dyDescent="0.3">
      <c r="F104789" s="193"/>
    </row>
    <row r="104790" spans="6:6" x14ac:dyDescent="0.3">
      <c r="F104790" s="193"/>
    </row>
    <row r="104791" spans="6:6" x14ac:dyDescent="0.3">
      <c r="F104791" s="193"/>
    </row>
    <row r="104792" spans="6:6" x14ac:dyDescent="0.3">
      <c r="F104792" s="193"/>
    </row>
    <row r="104793" spans="6:6" x14ac:dyDescent="0.3">
      <c r="F104793" s="193"/>
    </row>
    <row r="104794" spans="6:6" x14ac:dyDescent="0.3">
      <c r="F104794" s="193"/>
    </row>
    <row r="104795" spans="6:6" x14ac:dyDescent="0.3">
      <c r="F104795" s="193"/>
    </row>
    <row r="104796" spans="6:6" x14ac:dyDescent="0.3">
      <c r="F104796" s="193"/>
    </row>
    <row r="104797" spans="6:6" x14ac:dyDescent="0.3">
      <c r="F104797" s="193"/>
    </row>
    <row r="104798" spans="6:6" x14ac:dyDescent="0.3">
      <c r="F104798" s="193"/>
    </row>
    <row r="104799" spans="6:6" x14ac:dyDescent="0.3">
      <c r="F104799" s="193"/>
    </row>
    <row r="104800" spans="6:6" x14ac:dyDescent="0.3">
      <c r="F104800" s="193"/>
    </row>
    <row r="104801" spans="6:6" x14ac:dyDescent="0.3">
      <c r="F104801" s="193"/>
    </row>
    <row r="104802" spans="6:6" x14ac:dyDescent="0.3">
      <c r="F104802" s="193"/>
    </row>
    <row r="104803" spans="6:6" x14ac:dyDescent="0.3">
      <c r="F104803" s="193"/>
    </row>
    <row r="104804" spans="6:6" x14ac:dyDescent="0.3">
      <c r="F104804" s="193"/>
    </row>
    <row r="104805" spans="6:6" x14ac:dyDescent="0.3">
      <c r="F104805" s="193"/>
    </row>
    <row r="104806" spans="6:6" x14ac:dyDescent="0.3">
      <c r="F104806" s="193"/>
    </row>
    <row r="104807" spans="6:6" x14ac:dyDescent="0.3">
      <c r="F104807" s="193"/>
    </row>
    <row r="104808" spans="6:6" x14ac:dyDescent="0.3">
      <c r="F104808" s="193"/>
    </row>
    <row r="104809" spans="6:6" x14ac:dyDescent="0.3">
      <c r="F104809" s="193"/>
    </row>
    <row r="104810" spans="6:6" x14ac:dyDescent="0.3">
      <c r="F104810" s="193"/>
    </row>
    <row r="104811" spans="6:6" x14ac:dyDescent="0.3">
      <c r="F104811" s="193"/>
    </row>
    <row r="104812" spans="6:6" x14ac:dyDescent="0.3">
      <c r="F104812" s="193"/>
    </row>
    <row r="104813" spans="6:6" x14ac:dyDescent="0.3">
      <c r="F104813" s="193"/>
    </row>
    <row r="104814" spans="6:6" x14ac:dyDescent="0.3">
      <c r="F104814" s="193"/>
    </row>
    <row r="104815" spans="6:6" x14ac:dyDescent="0.3">
      <c r="F104815" s="193"/>
    </row>
    <row r="104816" spans="6:6" x14ac:dyDescent="0.3">
      <c r="F104816" s="193"/>
    </row>
    <row r="104817" spans="6:6" x14ac:dyDescent="0.3">
      <c r="F104817" s="193"/>
    </row>
    <row r="104818" spans="6:6" x14ac:dyDescent="0.3">
      <c r="F104818" s="193"/>
    </row>
    <row r="104819" spans="6:6" x14ac:dyDescent="0.3">
      <c r="F104819" s="193"/>
    </row>
    <row r="104820" spans="6:6" x14ac:dyDescent="0.3">
      <c r="F104820" s="193"/>
    </row>
    <row r="104821" spans="6:6" x14ac:dyDescent="0.3">
      <c r="F104821" s="193"/>
    </row>
    <row r="104822" spans="6:6" x14ac:dyDescent="0.3">
      <c r="F104822" s="193"/>
    </row>
    <row r="104823" spans="6:6" x14ac:dyDescent="0.3">
      <c r="F104823" s="193"/>
    </row>
    <row r="104824" spans="6:6" x14ac:dyDescent="0.3">
      <c r="F104824" s="193"/>
    </row>
    <row r="104825" spans="6:6" x14ac:dyDescent="0.3">
      <c r="F104825" s="193"/>
    </row>
    <row r="104826" spans="6:6" x14ac:dyDescent="0.3">
      <c r="F104826" s="193"/>
    </row>
    <row r="104827" spans="6:6" x14ac:dyDescent="0.3">
      <c r="F104827" s="193"/>
    </row>
    <row r="104828" spans="6:6" x14ac:dyDescent="0.3">
      <c r="F104828" s="193"/>
    </row>
    <row r="104829" spans="6:6" x14ac:dyDescent="0.3">
      <c r="F104829" s="193"/>
    </row>
    <row r="104830" spans="6:6" x14ac:dyDescent="0.3">
      <c r="F104830" s="193"/>
    </row>
    <row r="104831" spans="6:6" x14ac:dyDescent="0.3">
      <c r="F104831" s="193"/>
    </row>
    <row r="104832" spans="6:6" x14ac:dyDescent="0.3">
      <c r="F104832" s="193"/>
    </row>
    <row r="104833" spans="6:6" x14ac:dyDescent="0.3">
      <c r="F104833" s="193"/>
    </row>
    <row r="104834" spans="6:6" x14ac:dyDescent="0.3">
      <c r="F104834" s="193"/>
    </row>
    <row r="104835" spans="6:6" x14ac:dyDescent="0.3">
      <c r="F104835" s="193"/>
    </row>
    <row r="104836" spans="6:6" x14ac:dyDescent="0.3">
      <c r="F104836" s="193"/>
    </row>
    <row r="104837" spans="6:6" x14ac:dyDescent="0.3">
      <c r="F104837" s="193"/>
    </row>
    <row r="104838" spans="6:6" x14ac:dyDescent="0.3">
      <c r="F104838" s="193"/>
    </row>
    <row r="104839" spans="6:6" x14ac:dyDescent="0.3">
      <c r="F104839" s="193"/>
    </row>
    <row r="104840" spans="6:6" x14ac:dyDescent="0.3">
      <c r="F104840" s="193"/>
    </row>
    <row r="104841" spans="6:6" x14ac:dyDescent="0.3">
      <c r="F104841" s="193"/>
    </row>
    <row r="104842" spans="6:6" x14ac:dyDescent="0.3">
      <c r="F104842" s="193"/>
    </row>
    <row r="104843" spans="6:6" x14ac:dyDescent="0.3">
      <c r="F104843" s="193"/>
    </row>
    <row r="104844" spans="6:6" x14ac:dyDescent="0.3">
      <c r="F104844" s="193"/>
    </row>
    <row r="104845" spans="6:6" x14ac:dyDescent="0.3">
      <c r="F104845" s="193"/>
    </row>
    <row r="104846" spans="6:6" x14ac:dyDescent="0.3">
      <c r="F104846" s="193"/>
    </row>
    <row r="104847" spans="6:6" x14ac:dyDescent="0.3">
      <c r="F104847" s="193"/>
    </row>
    <row r="104848" spans="6:6" x14ac:dyDescent="0.3">
      <c r="F104848" s="193"/>
    </row>
    <row r="104849" spans="6:6" x14ac:dyDescent="0.3">
      <c r="F104849" s="193"/>
    </row>
    <row r="104850" spans="6:6" x14ac:dyDescent="0.3">
      <c r="F104850" s="193"/>
    </row>
    <row r="104851" spans="6:6" x14ac:dyDescent="0.3">
      <c r="F104851" s="193"/>
    </row>
    <row r="104852" spans="6:6" x14ac:dyDescent="0.3">
      <c r="F104852" s="193"/>
    </row>
    <row r="104853" spans="6:6" x14ac:dyDescent="0.3">
      <c r="F104853" s="193"/>
    </row>
    <row r="104854" spans="6:6" x14ac:dyDescent="0.3">
      <c r="F104854" s="193"/>
    </row>
    <row r="104855" spans="6:6" x14ac:dyDescent="0.3">
      <c r="F104855" s="193"/>
    </row>
    <row r="104856" spans="6:6" x14ac:dyDescent="0.3">
      <c r="F104856" s="193"/>
    </row>
    <row r="104857" spans="6:6" x14ac:dyDescent="0.3">
      <c r="F104857" s="193"/>
    </row>
    <row r="104858" spans="6:6" x14ac:dyDescent="0.3">
      <c r="F104858" s="193"/>
    </row>
    <row r="104859" spans="6:6" x14ac:dyDescent="0.3">
      <c r="F104859" s="193"/>
    </row>
    <row r="104860" spans="6:6" x14ac:dyDescent="0.3">
      <c r="F104860" s="193"/>
    </row>
    <row r="104861" spans="6:6" x14ac:dyDescent="0.3">
      <c r="F104861" s="193"/>
    </row>
    <row r="104862" spans="6:6" x14ac:dyDescent="0.3">
      <c r="F104862" s="193"/>
    </row>
    <row r="104863" spans="6:6" x14ac:dyDescent="0.3">
      <c r="F104863" s="193"/>
    </row>
    <row r="104864" spans="6:6" x14ac:dyDescent="0.3">
      <c r="F104864" s="193"/>
    </row>
    <row r="104865" spans="6:6" x14ac:dyDescent="0.3">
      <c r="F104865" s="193"/>
    </row>
    <row r="104866" spans="6:6" x14ac:dyDescent="0.3">
      <c r="F104866" s="193"/>
    </row>
    <row r="104867" spans="6:6" x14ac:dyDescent="0.3">
      <c r="F104867" s="193"/>
    </row>
    <row r="104868" spans="6:6" x14ac:dyDescent="0.3">
      <c r="F104868" s="193"/>
    </row>
    <row r="104869" spans="6:6" x14ac:dyDescent="0.3">
      <c r="F104869" s="193"/>
    </row>
    <row r="104870" spans="6:6" x14ac:dyDescent="0.3">
      <c r="F104870" s="193"/>
    </row>
    <row r="104871" spans="6:6" x14ac:dyDescent="0.3">
      <c r="F104871" s="193"/>
    </row>
    <row r="104872" spans="6:6" x14ac:dyDescent="0.3">
      <c r="F104872" s="193"/>
    </row>
    <row r="104873" spans="6:6" x14ac:dyDescent="0.3">
      <c r="F104873" s="193"/>
    </row>
    <row r="104874" spans="6:6" x14ac:dyDescent="0.3">
      <c r="F104874" s="193"/>
    </row>
    <row r="104875" spans="6:6" x14ac:dyDescent="0.3">
      <c r="F104875" s="193"/>
    </row>
    <row r="104876" spans="6:6" x14ac:dyDescent="0.3">
      <c r="F104876" s="193"/>
    </row>
    <row r="104877" spans="6:6" x14ac:dyDescent="0.3">
      <c r="F104877" s="193"/>
    </row>
    <row r="104878" spans="6:6" x14ac:dyDescent="0.3">
      <c r="F104878" s="193"/>
    </row>
    <row r="104879" spans="6:6" x14ac:dyDescent="0.3">
      <c r="F104879" s="193"/>
    </row>
    <row r="104880" spans="6:6" x14ac:dyDescent="0.3">
      <c r="F104880" s="193"/>
    </row>
    <row r="104881" spans="6:6" x14ac:dyDescent="0.3">
      <c r="F104881" s="193"/>
    </row>
    <row r="104882" spans="6:6" x14ac:dyDescent="0.3">
      <c r="F104882" s="193"/>
    </row>
    <row r="104883" spans="6:6" x14ac:dyDescent="0.3">
      <c r="F104883" s="193"/>
    </row>
    <row r="104884" spans="6:6" x14ac:dyDescent="0.3">
      <c r="F104884" s="193"/>
    </row>
    <row r="104885" spans="6:6" x14ac:dyDescent="0.3">
      <c r="F104885" s="193"/>
    </row>
    <row r="104886" spans="6:6" x14ac:dyDescent="0.3">
      <c r="F104886" s="193"/>
    </row>
    <row r="104887" spans="6:6" x14ac:dyDescent="0.3">
      <c r="F104887" s="193"/>
    </row>
    <row r="104888" spans="6:6" x14ac:dyDescent="0.3">
      <c r="F104888" s="193"/>
    </row>
    <row r="104889" spans="6:6" x14ac:dyDescent="0.3">
      <c r="F104889" s="193"/>
    </row>
    <row r="104890" spans="6:6" x14ac:dyDescent="0.3">
      <c r="F104890" s="193"/>
    </row>
    <row r="104891" spans="6:6" x14ac:dyDescent="0.3">
      <c r="F104891" s="193"/>
    </row>
    <row r="104892" spans="6:6" x14ac:dyDescent="0.3">
      <c r="F104892" s="193"/>
    </row>
    <row r="104893" spans="6:6" x14ac:dyDescent="0.3">
      <c r="F104893" s="193"/>
    </row>
    <row r="104894" spans="6:6" x14ac:dyDescent="0.3">
      <c r="F104894" s="193"/>
    </row>
    <row r="104895" spans="6:6" x14ac:dyDescent="0.3">
      <c r="F104895" s="193"/>
    </row>
    <row r="104896" spans="6:6" x14ac:dyDescent="0.3">
      <c r="F104896" s="193"/>
    </row>
    <row r="104897" spans="6:6" x14ac:dyDescent="0.3">
      <c r="F104897" s="193"/>
    </row>
    <row r="104898" spans="6:6" x14ac:dyDescent="0.3">
      <c r="F104898" s="193"/>
    </row>
    <row r="104899" spans="6:6" x14ac:dyDescent="0.3">
      <c r="F104899" s="193"/>
    </row>
    <row r="104900" spans="6:6" x14ac:dyDescent="0.3">
      <c r="F104900" s="193"/>
    </row>
    <row r="104901" spans="6:6" x14ac:dyDescent="0.3">
      <c r="F104901" s="193"/>
    </row>
    <row r="104902" spans="6:6" x14ac:dyDescent="0.3">
      <c r="F104902" s="193"/>
    </row>
    <row r="104903" spans="6:6" x14ac:dyDescent="0.3">
      <c r="F104903" s="193"/>
    </row>
    <row r="104904" spans="6:6" x14ac:dyDescent="0.3">
      <c r="F104904" s="193"/>
    </row>
    <row r="104905" spans="6:6" x14ac:dyDescent="0.3">
      <c r="F104905" s="193"/>
    </row>
    <row r="104906" spans="6:6" x14ac:dyDescent="0.3">
      <c r="F104906" s="193"/>
    </row>
    <row r="104907" spans="6:6" x14ac:dyDescent="0.3">
      <c r="F104907" s="193"/>
    </row>
    <row r="104908" spans="6:6" x14ac:dyDescent="0.3">
      <c r="F104908" s="193"/>
    </row>
    <row r="104909" spans="6:6" x14ac:dyDescent="0.3">
      <c r="F104909" s="193"/>
    </row>
    <row r="104910" spans="6:6" x14ac:dyDescent="0.3">
      <c r="F104910" s="193"/>
    </row>
    <row r="104911" spans="6:6" x14ac:dyDescent="0.3">
      <c r="F104911" s="193"/>
    </row>
    <row r="104912" spans="6:6" x14ac:dyDescent="0.3">
      <c r="F104912" s="193"/>
    </row>
    <row r="104913" spans="6:6" x14ac:dyDescent="0.3">
      <c r="F104913" s="193"/>
    </row>
    <row r="104914" spans="6:6" x14ac:dyDescent="0.3">
      <c r="F104914" s="193"/>
    </row>
    <row r="104915" spans="6:6" x14ac:dyDescent="0.3">
      <c r="F104915" s="193"/>
    </row>
    <row r="104916" spans="6:6" x14ac:dyDescent="0.3">
      <c r="F104916" s="193"/>
    </row>
    <row r="104917" spans="6:6" x14ac:dyDescent="0.3">
      <c r="F104917" s="193"/>
    </row>
    <row r="104918" spans="6:6" x14ac:dyDescent="0.3">
      <c r="F104918" s="193"/>
    </row>
    <row r="104919" spans="6:6" x14ac:dyDescent="0.3">
      <c r="F104919" s="193"/>
    </row>
    <row r="104920" spans="6:6" x14ac:dyDescent="0.3">
      <c r="F104920" s="193"/>
    </row>
    <row r="104921" spans="6:6" x14ac:dyDescent="0.3">
      <c r="F104921" s="193"/>
    </row>
    <row r="104922" spans="6:6" x14ac:dyDescent="0.3">
      <c r="F104922" s="193"/>
    </row>
    <row r="104923" spans="6:6" x14ac:dyDescent="0.3">
      <c r="F104923" s="193"/>
    </row>
    <row r="104924" spans="6:6" x14ac:dyDescent="0.3">
      <c r="F104924" s="193"/>
    </row>
    <row r="104925" spans="6:6" x14ac:dyDescent="0.3">
      <c r="F104925" s="193"/>
    </row>
    <row r="104926" spans="6:6" x14ac:dyDescent="0.3">
      <c r="F104926" s="193"/>
    </row>
    <row r="104927" spans="6:6" x14ac:dyDescent="0.3">
      <c r="F104927" s="193"/>
    </row>
    <row r="104928" spans="6:6" x14ac:dyDescent="0.3">
      <c r="F104928" s="193"/>
    </row>
    <row r="104929" spans="6:6" x14ac:dyDescent="0.3">
      <c r="F104929" s="193"/>
    </row>
    <row r="104930" spans="6:6" x14ac:dyDescent="0.3">
      <c r="F104930" s="193"/>
    </row>
    <row r="104931" spans="6:6" x14ac:dyDescent="0.3">
      <c r="F104931" s="193"/>
    </row>
    <row r="104932" spans="6:6" x14ac:dyDescent="0.3">
      <c r="F104932" s="193"/>
    </row>
    <row r="104933" spans="6:6" x14ac:dyDescent="0.3">
      <c r="F104933" s="193"/>
    </row>
    <row r="104934" spans="6:6" x14ac:dyDescent="0.3">
      <c r="F104934" s="193"/>
    </row>
    <row r="104935" spans="6:6" x14ac:dyDescent="0.3">
      <c r="F104935" s="193"/>
    </row>
    <row r="104936" spans="6:6" x14ac:dyDescent="0.3">
      <c r="F104936" s="193"/>
    </row>
    <row r="104937" spans="6:6" x14ac:dyDescent="0.3">
      <c r="F104937" s="193"/>
    </row>
    <row r="104938" spans="6:6" x14ac:dyDescent="0.3">
      <c r="F104938" s="193"/>
    </row>
    <row r="104939" spans="6:6" x14ac:dyDescent="0.3">
      <c r="F104939" s="193"/>
    </row>
    <row r="104940" spans="6:6" x14ac:dyDescent="0.3">
      <c r="F104940" s="193"/>
    </row>
    <row r="104941" spans="6:6" x14ac:dyDescent="0.3">
      <c r="F104941" s="193"/>
    </row>
    <row r="104942" spans="6:6" x14ac:dyDescent="0.3">
      <c r="F104942" s="193"/>
    </row>
    <row r="104943" spans="6:6" x14ac:dyDescent="0.3">
      <c r="F104943" s="193"/>
    </row>
    <row r="104944" spans="6:6" x14ac:dyDescent="0.3">
      <c r="F104944" s="193"/>
    </row>
    <row r="104945" spans="6:6" x14ac:dyDescent="0.3">
      <c r="F104945" s="193"/>
    </row>
    <row r="104946" spans="6:6" x14ac:dyDescent="0.3">
      <c r="F104946" s="193"/>
    </row>
    <row r="104947" spans="6:6" x14ac:dyDescent="0.3">
      <c r="F104947" s="193"/>
    </row>
    <row r="104948" spans="6:6" x14ac:dyDescent="0.3">
      <c r="F104948" s="193"/>
    </row>
    <row r="104949" spans="6:6" x14ac:dyDescent="0.3">
      <c r="F104949" s="193"/>
    </row>
    <row r="104950" spans="6:6" x14ac:dyDescent="0.3">
      <c r="F104950" s="193"/>
    </row>
    <row r="104951" spans="6:6" x14ac:dyDescent="0.3">
      <c r="F104951" s="193"/>
    </row>
    <row r="104952" spans="6:6" x14ac:dyDescent="0.3">
      <c r="F104952" s="193"/>
    </row>
    <row r="104953" spans="6:6" x14ac:dyDescent="0.3">
      <c r="F104953" s="193"/>
    </row>
    <row r="104954" spans="6:6" x14ac:dyDescent="0.3">
      <c r="F104954" s="193"/>
    </row>
    <row r="104955" spans="6:6" x14ac:dyDescent="0.3">
      <c r="F104955" s="193"/>
    </row>
    <row r="104956" spans="6:6" x14ac:dyDescent="0.3">
      <c r="F104956" s="193"/>
    </row>
    <row r="104957" spans="6:6" x14ac:dyDescent="0.3">
      <c r="F104957" s="193"/>
    </row>
    <row r="104958" spans="6:6" x14ac:dyDescent="0.3">
      <c r="F104958" s="193"/>
    </row>
    <row r="104959" spans="6:6" x14ac:dyDescent="0.3">
      <c r="F104959" s="193"/>
    </row>
    <row r="104960" spans="6:6" x14ac:dyDescent="0.3">
      <c r="F104960" s="193"/>
    </row>
    <row r="104961" spans="6:6" x14ac:dyDescent="0.3">
      <c r="F104961" s="193"/>
    </row>
    <row r="104962" spans="6:6" x14ac:dyDescent="0.3">
      <c r="F104962" s="193"/>
    </row>
    <row r="104963" spans="6:6" x14ac:dyDescent="0.3">
      <c r="F104963" s="193"/>
    </row>
    <row r="104964" spans="6:6" x14ac:dyDescent="0.3">
      <c r="F104964" s="193"/>
    </row>
    <row r="104965" spans="6:6" x14ac:dyDescent="0.3">
      <c r="F104965" s="193"/>
    </row>
    <row r="104966" spans="6:6" x14ac:dyDescent="0.3">
      <c r="F104966" s="193"/>
    </row>
    <row r="104967" spans="6:6" x14ac:dyDescent="0.3">
      <c r="F104967" s="193"/>
    </row>
    <row r="104968" spans="6:6" x14ac:dyDescent="0.3">
      <c r="F104968" s="193"/>
    </row>
    <row r="104969" spans="6:6" x14ac:dyDescent="0.3">
      <c r="F104969" s="193"/>
    </row>
    <row r="104970" spans="6:6" x14ac:dyDescent="0.3">
      <c r="F104970" s="193"/>
    </row>
    <row r="104971" spans="6:6" x14ac:dyDescent="0.3">
      <c r="F104971" s="193"/>
    </row>
    <row r="104972" spans="6:6" x14ac:dyDescent="0.3">
      <c r="F104972" s="193"/>
    </row>
    <row r="104973" spans="6:6" x14ac:dyDescent="0.3">
      <c r="F104973" s="193"/>
    </row>
    <row r="104974" spans="6:6" x14ac:dyDescent="0.3">
      <c r="F104974" s="193"/>
    </row>
    <row r="104975" spans="6:6" x14ac:dyDescent="0.3">
      <c r="F104975" s="193"/>
    </row>
    <row r="104976" spans="6:6" x14ac:dyDescent="0.3">
      <c r="F104976" s="193"/>
    </row>
    <row r="104977" spans="6:6" x14ac:dyDescent="0.3">
      <c r="F104977" s="193"/>
    </row>
    <row r="104978" spans="6:6" x14ac:dyDescent="0.3">
      <c r="F104978" s="193"/>
    </row>
    <row r="104979" spans="6:6" x14ac:dyDescent="0.3">
      <c r="F104979" s="193"/>
    </row>
    <row r="104980" spans="6:6" x14ac:dyDescent="0.3">
      <c r="F104980" s="193"/>
    </row>
    <row r="104981" spans="6:6" x14ac:dyDescent="0.3">
      <c r="F104981" s="193"/>
    </row>
    <row r="104982" spans="6:6" x14ac:dyDescent="0.3">
      <c r="F104982" s="193"/>
    </row>
    <row r="104983" spans="6:6" x14ac:dyDescent="0.3">
      <c r="F104983" s="193"/>
    </row>
    <row r="104984" spans="6:6" x14ac:dyDescent="0.3">
      <c r="F104984" s="193"/>
    </row>
    <row r="104985" spans="6:6" x14ac:dyDescent="0.3">
      <c r="F104985" s="193"/>
    </row>
    <row r="104986" spans="6:6" x14ac:dyDescent="0.3">
      <c r="F104986" s="193"/>
    </row>
    <row r="104987" spans="6:6" x14ac:dyDescent="0.3">
      <c r="F104987" s="193"/>
    </row>
    <row r="104988" spans="6:6" x14ac:dyDescent="0.3">
      <c r="F104988" s="193"/>
    </row>
    <row r="104989" spans="6:6" x14ac:dyDescent="0.3">
      <c r="F104989" s="193"/>
    </row>
    <row r="104990" spans="6:6" x14ac:dyDescent="0.3">
      <c r="F104990" s="193"/>
    </row>
    <row r="104991" spans="6:6" x14ac:dyDescent="0.3">
      <c r="F104991" s="193"/>
    </row>
    <row r="104992" spans="6:6" x14ac:dyDescent="0.3">
      <c r="F104992" s="193"/>
    </row>
    <row r="104993" spans="6:6" x14ac:dyDescent="0.3">
      <c r="F104993" s="193"/>
    </row>
    <row r="104994" spans="6:6" x14ac:dyDescent="0.3">
      <c r="F104994" s="193"/>
    </row>
    <row r="104995" spans="6:6" x14ac:dyDescent="0.3">
      <c r="F104995" s="193"/>
    </row>
    <row r="104996" spans="6:6" x14ac:dyDescent="0.3">
      <c r="F104996" s="193"/>
    </row>
    <row r="104997" spans="6:6" x14ac:dyDescent="0.3">
      <c r="F104997" s="193"/>
    </row>
    <row r="104998" spans="6:6" x14ac:dyDescent="0.3">
      <c r="F104998" s="193"/>
    </row>
    <row r="104999" spans="6:6" x14ac:dyDescent="0.3">
      <c r="F104999" s="193"/>
    </row>
    <row r="105000" spans="6:6" x14ac:dyDescent="0.3">
      <c r="F105000" s="193"/>
    </row>
    <row r="105001" spans="6:6" x14ac:dyDescent="0.3">
      <c r="F105001" s="193"/>
    </row>
    <row r="105002" spans="6:6" x14ac:dyDescent="0.3">
      <c r="F105002" s="193"/>
    </row>
    <row r="105003" spans="6:6" x14ac:dyDescent="0.3">
      <c r="F105003" s="193"/>
    </row>
    <row r="105004" spans="6:6" x14ac:dyDescent="0.3">
      <c r="F105004" s="193"/>
    </row>
    <row r="105005" spans="6:6" x14ac:dyDescent="0.3">
      <c r="F105005" s="193"/>
    </row>
    <row r="105006" spans="6:6" x14ac:dyDescent="0.3">
      <c r="F105006" s="193"/>
    </row>
    <row r="105007" spans="6:6" x14ac:dyDescent="0.3">
      <c r="F105007" s="193"/>
    </row>
    <row r="105008" spans="6:6" x14ac:dyDescent="0.3">
      <c r="F105008" s="193"/>
    </row>
    <row r="105009" spans="6:6" x14ac:dyDescent="0.3">
      <c r="F105009" s="193"/>
    </row>
    <row r="105010" spans="6:6" x14ac:dyDescent="0.3">
      <c r="F105010" s="193"/>
    </row>
    <row r="105011" spans="6:6" x14ac:dyDescent="0.3">
      <c r="F105011" s="193"/>
    </row>
    <row r="105012" spans="6:6" x14ac:dyDescent="0.3">
      <c r="F105012" s="193"/>
    </row>
    <row r="105013" spans="6:6" x14ac:dyDescent="0.3">
      <c r="F105013" s="193"/>
    </row>
    <row r="105014" spans="6:6" x14ac:dyDescent="0.3">
      <c r="F105014" s="193"/>
    </row>
    <row r="105015" spans="6:6" x14ac:dyDescent="0.3">
      <c r="F105015" s="193"/>
    </row>
    <row r="105016" spans="6:6" x14ac:dyDescent="0.3">
      <c r="F105016" s="193"/>
    </row>
    <row r="105017" spans="6:6" x14ac:dyDescent="0.3">
      <c r="F105017" s="193"/>
    </row>
    <row r="105018" spans="6:6" x14ac:dyDescent="0.3">
      <c r="F105018" s="193"/>
    </row>
    <row r="105019" spans="6:6" x14ac:dyDescent="0.3">
      <c r="F105019" s="193"/>
    </row>
    <row r="105020" spans="6:6" x14ac:dyDescent="0.3">
      <c r="F105020" s="193"/>
    </row>
    <row r="105021" spans="6:6" x14ac:dyDescent="0.3">
      <c r="F105021" s="193"/>
    </row>
    <row r="105022" spans="6:6" x14ac:dyDescent="0.3">
      <c r="F105022" s="193"/>
    </row>
    <row r="105023" spans="6:6" x14ac:dyDescent="0.3">
      <c r="F105023" s="193"/>
    </row>
    <row r="105024" spans="6:6" x14ac:dyDescent="0.3">
      <c r="F105024" s="193"/>
    </row>
    <row r="105025" spans="6:6" x14ac:dyDescent="0.3">
      <c r="F105025" s="193"/>
    </row>
    <row r="105026" spans="6:6" x14ac:dyDescent="0.3">
      <c r="F105026" s="193"/>
    </row>
    <row r="105027" spans="6:6" x14ac:dyDescent="0.3">
      <c r="F105027" s="193"/>
    </row>
    <row r="105028" spans="6:6" x14ac:dyDescent="0.3">
      <c r="F105028" s="193"/>
    </row>
    <row r="105029" spans="6:6" x14ac:dyDescent="0.3">
      <c r="F105029" s="193"/>
    </row>
    <row r="105030" spans="6:6" x14ac:dyDescent="0.3">
      <c r="F105030" s="193"/>
    </row>
    <row r="105031" spans="6:6" x14ac:dyDescent="0.3">
      <c r="F105031" s="193"/>
    </row>
    <row r="105032" spans="6:6" x14ac:dyDescent="0.3">
      <c r="F105032" s="193"/>
    </row>
    <row r="105033" spans="6:6" x14ac:dyDescent="0.3">
      <c r="F105033" s="193"/>
    </row>
    <row r="105034" spans="6:6" x14ac:dyDescent="0.3">
      <c r="F105034" s="193"/>
    </row>
    <row r="105035" spans="6:6" x14ac:dyDescent="0.3">
      <c r="F105035" s="193"/>
    </row>
    <row r="105036" spans="6:6" x14ac:dyDescent="0.3">
      <c r="F105036" s="193"/>
    </row>
    <row r="105037" spans="6:6" x14ac:dyDescent="0.3">
      <c r="F105037" s="193"/>
    </row>
    <row r="105038" spans="6:6" x14ac:dyDescent="0.3">
      <c r="F105038" s="193"/>
    </row>
    <row r="105039" spans="6:6" x14ac:dyDescent="0.3">
      <c r="F105039" s="193"/>
    </row>
    <row r="105040" spans="6:6" x14ac:dyDescent="0.3">
      <c r="F105040" s="193"/>
    </row>
    <row r="105041" spans="6:6" x14ac:dyDescent="0.3">
      <c r="F105041" s="193"/>
    </row>
    <row r="105042" spans="6:6" x14ac:dyDescent="0.3">
      <c r="F105042" s="193"/>
    </row>
    <row r="105043" spans="6:6" x14ac:dyDescent="0.3">
      <c r="F105043" s="193"/>
    </row>
    <row r="105044" spans="6:6" x14ac:dyDescent="0.3">
      <c r="F105044" s="193"/>
    </row>
    <row r="105045" spans="6:6" x14ac:dyDescent="0.3">
      <c r="F105045" s="193"/>
    </row>
    <row r="105046" spans="6:6" x14ac:dyDescent="0.3">
      <c r="F105046" s="193"/>
    </row>
    <row r="105047" spans="6:6" x14ac:dyDescent="0.3">
      <c r="F105047" s="193"/>
    </row>
    <row r="105048" spans="6:6" x14ac:dyDescent="0.3">
      <c r="F105048" s="193"/>
    </row>
    <row r="105049" spans="6:6" x14ac:dyDescent="0.3">
      <c r="F105049" s="193"/>
    </row>
    <row r="105050" spans="6:6" x14ac:dyDescent="0.3">
      <c r="F105050" s="193"/>
    </row>
    <row r="105051" spans="6:6" x14ac:dyDescent="0.3">
      <c r="F105051" s="193"/>
    </row>
    <row r="105052" spans="6:6" x14ac:dyDescent="0.3">
      <c r="F105052" s="193"/>
    </row>
    <row r="105053" spans="6:6" x14ac:dyDescent="0.3">
      <c r="F105053" s="193"/>
    </row>
    <row r="105054" spans="6:6" x14ac:dyDescent="0.3">
      <c r="F105054" s="193"/>
    </row>
    <row r="105055" spans="6:6" x14ac:dyDescent="0.3">
      <c r="F105055" s="193"/>
    </row>
    <row r="105056" spans="6:6" x14ac:dyDescent="0.3">
      <c r="F105056" s="193"/>
    </row>
    <row r="105057" spans="6:6" x14ac:dyDescent="0.3">
      <c r="F105057" s="193"/>
    </row>
    <row r="105058" spans="6:6" x14ac:dyDescent="0.3">
      <c r="F105058" s="193"/>
    </row>
    <row r="105059" spans="6:6" x14ac:dyDescent="0.3">
      <c r="F105059" s="193"/>
    </row>
    <row r="105060" spans="6:6" x14ac:dyDescent="0.3">
      <c r="F105060" s="193"/>
    </row>
    <row r="105061" spans="6:6" x14ac:dyDescent="0.3">
      <c r="F105061" s="193"/>
    </row>
    <row r="105062" spans="6:6" x14ac:dyDescent="0.3">
      <c r="F105062" s="193"/>
    </row>
    <row r="105063" spans="6:6" x14ac:dyDescent="0.3">
      <c r="F105063" s="193"/>
    </row>
    <row r="105064" spans="6:6" x14ac:dyDescent="0.3">
      <c r="F105064" s="193"/>
    </row>
    <row r="105065" spans="6:6" x14ac:dyDescent="0.3">
      <c r="F105065" s="193"/>
    </row>
    <row r="105066" spans="6:6" x14ac:dyDescent="0.3">
      <c r="F105066" s="193"/>
    </row>
    <row r="105067" spans="6:6" x14ac:dyDescent="0.3">
      <c r="F105067" s="193"/>
    </row>
    <row r="105068" spans="6:6" x14ac:dyDescent="0.3">
      <c r="F105068" s="193"/>
    </row>
    <row r="105069" spans="6:6" x14ac:dyDescent="0.3">
      <c r="F105069" s="193"/>
    </row>
    <row r="105070" spans="6:6" x14ac:dyDescent="0.3">
      <c r="F105070" s="193"/>
    </row>
    <row r="105071" spans="6:6" x14ac:dyDescent="0.3">
      <c r="F105071" s="193"/>
    </row>
    <row r="105072" spans="6:6" x14ac:dyDescent="0.3">
      <c r="F105072" s="193"/>
    </row>
    <row r="105073" spans="6:6" x14ac:dyDescent="0.3">
      <c r="F105073" s="193"/>
    </row>
    <row r="105074" spans="6:6" x14ac:dyDescent="0.3">
      <c r="F105074" s="193"/>
    </row>
    <row r="105075" spans="6:6" x14ac:dyDescent="0.3">
      <c r="F105075" s="193"/>
    </row>
    <row r="105076" spans="6:6" x14ac:dyDescent="0.3">
      <c r="F105076" s="193"/>
    </row>
    <row r="105077" spans="6:6" x14ac:dyDescent="0.3">
      <c r="F105077" s="193"/>
    </row>
    <row r="105078" spans="6:6" x14ac:dyDescent="0.3">
      <c r="F105078" s="193"/>
    </row>
    <row r="105079" spans="6:6" x14ac:dyDescent="0.3">
      <c r="F105079" s="193"/>
    </row>
    <row r="105080" spans="6:6" x14ac:dyDescent="0.3">
      <c r="F105080" s="193"/>
    </row>
    <row r="105081" spans="6:6" x14ac:dyDescent="0.3">
      <c r="F105081" s="193"/>
    </row>
    <row r="105082" spans="6:6" x14ac:dyDescent="0.3">
      <c r="F105082" s="193"/>
    </row>
    <row r="105083" spans="6:6" x14ac:dyDescent="0.3">
      <c r="F105083" s="193"/>
    </row>
    <row r="105084" spans="6:6" x14ac:dyDescent="0.3">
      <c r="F105084" s="193"/>
    </row>
    <row r="105085" spans="6:6" x14ac:dyDescent="0.3">
      <c r="F105085" s="193"/>
    </row>
    <row r="105086" spans="6:6" x14ac:dyDescent="0.3">
      <c r="F105086" s="193"/>
    </row>
    <row r="105087" spans="6:6" x14ac:dyDescent="0.3">
      <c r="F105087" s="193"/>
    </row>
    <row r="105088" spans="6:6" x14ac:dyDescent="0.3">
      <c r="F105088" s="193"/>
    </row>
    <row r="105089" spans="6:6" x14ac:dyDescent="0.3">
      <c r="F105089" s="193"/>
    </row>
    <row r="105090" spans="6:6" x14ac:dyDescent="0.3">
      <c r="F105090" s="193"/>
    </row>
    <row r="105091" spans="6:6" x14ac:dyDescent="0.3">
      <c r="F105091" s="193"/>
    </row>
    <row r="105092" spans="6:6" x14ac:dyDescent="0.3">
      <c r="F105092" s="193"/>
    </row>
    <row r="105093" spans="6:6" x14ac:dyDescent="0.3">
      <c r="F105093" s="193"/>
    </row>
    <row r="105094" spans="6:6" x14ac:dyDescent="0.3">
      <c r="F105094" s="193"/>
    </row>
    <row r="105095" spans="6:6" x14ac:dyDescent="0.3">
      <c r="F105095" s="193"/>
    </row>
    <row r="105096" spans="6:6" x14ac:dyDescent="0.3">
      <c r="F105096" s="193"/>
    </row>
    <row r="105097" spans="6:6" x14ac:dyDescent="0.3">
      <c r="F105097" s="193"/>
    </row>
    <row r="105098" spans="6:6" x14ac:dyDescent="0.3">
      <c r="F105098" s="193"/>
    </row>
    <row r="105099" spans="6:6" x14ac:dyDescent="0.3">
      <c r="F105099" s="193"/>
    </row>
    <row r="105100" spans="6:6" x14ac:dyDescent="0.3">
      <c r="F105100" s="193"/>
    </row>
    <row r="105101" spans="6:6" x14ac:dyDescent="0.3">
      <c r="F105101" s="193"/>
    </row>
    <row r="105102" spans="6:6" x14ac:dyDescent="0.3">
      <c r="F105102" s="193"/>
    </row>
    <row r="105103" spans="6:6" x14ac:dyDescent="0.3">
      <c r="F105103" s="193"/>
    </row>
    <row r="105104" spans="6:6" x14ac:dyDescent="0.3">
      <c r="F105104" s="193"/>
    </row>
    <row r="105105" spans="6:6" x14ac:dyDescent="0.3">
      <c r="F105105" s="193"/>
    </row>
    <row r="105106" spans="6:6" x14ac:dyDescent="0.3">
      <c r="F105106" s="193"/>
    </row>
    <row r="105107" spans="6:6" x14ac:dyDescent="0.3">
      <c r="F105107" s="193"/>
    </row>
    <row r="105108" spans="6:6" x14ac:dyDescent="0.3">
      <c r="F105108" s="193"/>
    </row>
    <row r="105109" spans="6:6" x14ac:dyDescent="0.3">
      <c r="F105109" s="193"/>
    </row>
    <row r="105110" spans="6:6" x14ac:dyDescent="0.3">
      <c r="F105110" s="193"/>
    </row>
    <row r="105111" spans="6:6" x14ac:dyDescent="0.3">
      <c r="F105111" s="193"/>
    </row>
    <row r="105112" spans="6:6" x14ac:dyDescent="0.3">
      <c r="F105112" s="193"/>
    </row>
    <row r="105113" spans="6:6" x14ac:dyDescent="0.3">
      <c r="F105113" s="193"/>
    </row>
    <row r="105114" spans="6:6" x14ac:dyDescent="0.3">
      <c r="F105114" s="193"/>
    </row>
    <row r="105115" spans="6:6" x14ac:dyDescent="0.3">
      <c r="F105115" s="193"/>
    </row>
    <row r="105116" spans="6:6" x14ac:dyDescent="0.3">
      <c r="F105116" s="193"/>
    </row>
    <row r="105117" spans="6:6" x14ac:dyDescent="0.3">
      <c r="F105117" s="193"/>
    </row>
    <row r="105118" spans="6:6" x14ac:dyDescent="0.3">
      <c r="F105118" s="193"/>
    </row>
    <row r="105119" spans="6:6" x14ac:dyDescent="0.3">
      <c r="F105119" s="193"/>
    </row>
    <row r="105120" spans="6:6" x14ac:dyDescent="0.3">
      <c r="F105120" s="193"/>
    </row>
    <row r="105121" spans="6:6" x14ac:dyDescent="0.3">
      <c r="F105121" s="193"/>
    </row>
    <row r="105122" spans="6:6" x14ac:dyDescent="0.3">
      <c r="F105122" s="193"/>
    </row>
    <row r="105123" spans="6:6" x14ac:dyDescent="0.3">
      <c r="F105123" s="193"/>
    </row>
    <row r="105124" spans="6:6" x14ac:dyDescent="0.3">
      <c r="F105124" s="193"/>
    </row>
    <row r="105125" spans="6:6" x14ac:dyDescent="0.3">
      <c r="F105125" s="193"/>
    </row>
    <row r="105126" spans="6:6" x14ac:dyDescent="0.3">
      <c r="F105126" s="193"/>
    </row>
    <row r="105127" spans="6:6" x14ac:dyDescent="0.3">
      <c r="F105127" s="193"/>
    </row>
    <row r="105128" spans="6:6" x14ac:dyDescent="0.3">
      <c r="F105128" s="193"/>
    </row>
    <row r="105129" spans="6:6" x14ac:dyDescent="0.3">
      <c r="F105129" s="193"/>
    </row>
    <row r="105130" spans="6:6" x14ac:dyDescent="0.3">
      <c r="F105130" s="193"/>
    </row>
    <row r="105131" spans="6:6" x14ac:dyDescent="0.3">
      <c r="F105131" s="193"/>
    </row>
    <row r="105132" spans="6:6" x14ac:dyDescent="0.3">
      <c r="F105132" s="193"/>
    </row>
    <row r="105133" spans="6:6" x14ac:dyDescent="0.3">
      <c r="F105133" s="193"/>
    </row>
    <row r="105134" spans="6:6" x14ac:dyDescent="0.3">
      <c r="F105134" s="193"/>
    </row>
    <row r="105135" spans="6:6" x14ac:dyDescent="0.3">
      <c r="F105135" s="193"/>
    </row>
    <row r="105136" spans="6:6" x14ac:dyDescent="0.3">
      <c r="F105136" s="193"/>
    </row>
    <row r="105137" spans="6:6" x14ac:dyDescent="0.3">
      <c r="F105137" s="193"/>
    </row>
    <row r="105138" spans="6:6" x14ac:dyDescent="0.3">
      <c r="F105138" s="193"/>
    </row>
    <row r="105139" spans="6:6" x14ac:dyDescent="0.3">
      <c r="F105139" s="193"/>
    </row>
    <row r="105140" spans="6:6" x14ac:dyDescent="0.3">
      <c r="F105140" s="193"/>
    </row>
    <row r="105141" spans="6:6" x14ac:dyDescent="0.3">
      <c r="F105141" s="193"/>
    </row>
    <row r="105142" spans="6:6" x14ac:dyDescent="0.3">
      <c r="F105142" s="193"/>
    </row>
    <row r="105143" spans="6:6" x14ac:dyDescent="0.3">
      <c r="F105143" s="193"/>
    </row>
    <row r="105144" spans="6:6" x14ac:dyDescent="0.3">
      <c r="F105144" s="193"/>
    </row>
    <row r="105145" spans="6:6" x14ac:dyDescent="0.3">
      <c r="F105145" s="193"/>
    </row>
    <row r="105146" spans="6:6" x14ac:dyDescent="0.3">
      <c r="F105146" s="193"/>
    </row>
    <row r="105147" spans="6:6" x14ac:dyDescent="0.3">
      <c r="F105147" s="193"/>
    </row>
    <row r="105148" spans="6:6" x14ac:dyDescent="0.3">
      <c r="F105148" s="193"/>
    </row>
    <row r="105149" spans="6:6" x14ac:dyDescent="0.3">
      <c r="F105149" s="193"/>
    </row>
    <row r="105150" spans="6:6" x14ac:dyDescent="0.3">
      <c r="F105150" s="193"/>
    </row>
    <row r="105151" spans="6:6" x14ac:dyDescent="0.3">
      <c r="F105151" s="193"/>
    </row>
    <row r="105152" spans="6:6" x14ac:dyDescent="0.3">
      <c r="F105152" s="193"/>
    </row>
    <row r="105153" spans="6:6" x14ac:dyDescent="0.3">
      <c r="F105153" s="193"/>
    </row>
    <row r="105154" spans="6:6" x14ac:dyDescent="0.3">
      <c r="F105154" s="193"/>
    </row>
    <row r="105155" spans="6:6" x14ac:dyDescent="0.3">
      <c r="F105155" s="193"/>
    </row>
    <row r="105156" spans="6:6" x14ac:dyDescent="0.3">
      <c r="F105156" s="193"/>
    </row>
    <row r="105157" spans="6:6" x14ac:dyDescent="0.3">
      <c r="F105157" s="193"/>
    </row>
    <row r="105158" spans="6:6" x14ac:dyDescent="0.3">
      <c r="F105158" s="193"/>
    </row>
    <row r="105159" spans="6:6" x14ac:dyDescent="0.3">
      <c r="F105159" s="193"/>
    </row>
    <row r="105160" spans="6:6" x14ac:dyDescent="0.3">
      <c r="F105160" s="193"/>
    </row>
    <row r="105161" spans="6:6" x14ac:dyDescent="0.3">
      <c r="F105161" s="193"/>
    </row>
    <row r="105162" spans="6:6" x14ac:dyDescent="0.3">
      <c r="F105162" s="193"/>
    </row>
    <row r="105163" spans="6:6" x14ac:dyDescent="0.3">
      <c r="F105163" s="193"/>
    </row>
    <row r="105164" spans="6:6" x14ac:dyDescent="0.3">
      <c r="F105164" s="193"/>
    </row>
    <row r="105165" spans="6:6" x14ac:dyDescent="0.3">
      <c r="F105165" s="193"/>
    </row>
    <row r="105166" spans="6:6" x14ac:dyDescent="0.3">
      <c r="F105166" s="193"/>
    </row>
    <row r="105167" spans="6:6" x14ac:dyDescent="0.3">
      <c r="F105167" s="193"/>
    </row>
    <row r="105168" spans="6:6" x14ac:dyDescent="0.3">
      <c r="F105168" s="193"/>
    </row>
    <row r="105169" spans="6:6" x14ac:dyDescent="0.3">
      <c r="F105169" s="193"/>
    </row>
    <row r="105170" spans="6:6" x14ac:dyDescent="0.3">
      <c r="F105170" s="193"/>
    </row>
    <row r="105171" spans="6:6" x14ac:dyDescent="0.3">
      <c r="F105171" s="193"/>
    </row>
    <row r="105172" spans="6:6" x14ac:dyDescent="0.3">
      <c r="F105172" s="193"/>
    </row>
    <row r="105173" spans="6:6" x14ac:dyDescent="0.3">
      <c r="F105173" s="193"/>
    </row>
    <row r="105174" spans="6:6" x14ac:dyDescent="0.3">
      <c r="F105174" s="193"/>
    </row>
    <row r="105175" spans="6:6" x14ac:dyDescent="0.3">
      <c r="F105175" s="193"/>
    </row>
    <row r="105176" spans="6:6" x14ac:dyDescent="0.3">
      <c r="F105176" s="193"/>
    </row>
    <row r="105177" spans="6:6" x14ac:dyDescent="0.3">
      <c r="F105177" s="193"/>
    </row>
    <row r="105178" spans="6:6" x14ac:dyDescent="0.3">
      <c r="F105178" s="193"/>
    </row>
    <row r="105179" spans="6:6" x14ac:dyDescent="0.3">
      <c r="F105179" s="193"/>
    </row>
    <row r="105180" spans="6:6" x14ac:dyDescent="0.3">
      <c r="F105180" s="193"/>
    </row>
    <row r="105181" spans="6:6" x14ac:dyDescent="0.3">
      <c r="F105181" s="193"/>
    </row>
    <row r="105182" spans="6:6" x14ac:dyDescent="0.3">
      <c r="F105182" s="193"/>
    </row>
    <row r="105183" spans="6:6" x14ac:dyDescent="0.3">
      <c r="F105183" s="193"/>
    </row>
    <row r="105184" spans="6:6" x14ac:dyDescent="0.3">
      <c r="F105184" s="193"/>
    </row>
    <row r="105185" spans="6:6" x14ac:dyDescent="0.3">
      <c r="F105185" s="193"/>
    </row>
    <row r="105186" spans="6:6" x14ac:dyDescent="0.3">
      <c r="F105186" s="193"/>
    </row>
    <row r="105187" spans="6:6" x14ac:dyDescent="0.3">
      <c r="F105187" s="193"/>
    </row>
    <row r="105188" spans="6:6" x14ac:dyDescent="0.3">
      <c r="F105188" s="193"/>
    </row>
    <row r="105189" spans="6:6" x14ac:dyDescent="0.3">
      <c r="F105189" s="193"/>
    </row>
    <row r="105190" spans="6:6" x14ac:dyDescent="0.3">
      <c r="F105190" s="193"/>
    </row>
    <row r="105191" spans="6:6" x14ac:dyDescent="0.3">
      <c r="F105191" s="193"/>
    </row>
    <row r="105192" spans="6:6" x14ac:dyDescent="0.3">
      <c r="F105192" s="193"/>
    </row>
    <row r="105193" spans="6:6" x14ac:dyDescent="0.3">
      <c r="F105193" s="193"/>
    </row>
    <row r="105194" spans="6:6" x14ac:dyDescent="0.3">
      <c r="F105194" s="193"/>
    </row>
    <row r="105195" spans="6:6" x14ac:dyDescent="0.3">
      <c r="F105195" s="193"/>
    </row>
    <row r="105196" spans="6:6" x14ac:dyDescent="0.3">
      <c r="F105196" s="193"/>
    </row>
    <row r="105197" spans="6:6" x14ac:dyDescent="0.3">
      <c r="F105197" s="193"/>
    </row>
    <row r="105198" spans="6:6" x14ac:dyDescent="0.3">
      <c r="F105198" s="193"/>
    </row>
    <row r="105199" spans="6:6" x14ac:dyDescent="0.3">
      <c r="F105199" s="193"/>
    </row>
    <row r="105200" spans="6:6" x14ac:dyDescent="0.3">
      <c r="F105200" s="193"/>
    </row>
    <row r="105201" spans="6:6" x14ac:dyDescent="0.3">
      <c r="F105201" s="193"/>
    </row>
    <row r="105202" spans="6:6" x14ac:dyDescent="0.3">
      <c r="F105202" s="193"/>
    </row>
    <row r="105203" spans="6:6" x14ac:dyDescent="0.3">
      <c r="F105203" s="193"/>
    </row>
    <row r="105204" spans="6:6" x14ac:dyDescent="0.3">
      <c r="F105204" s="193"/>
    </row>
    <row r="105205" spans="6:6" x14ac:dyDescent="0.3">
      <c r="F105205" s="193"/>
    </row>
    <row r="105206" spans="6:6" x14ac:dyDescent="0.3">
      <c r="F105206" s="193"/>
    </row>
    <row r="105207" spans="6:6" x14ac:dyDescent="0.3">
      <c r="F105207" s="193"/>
    </row>
    <row r="105208" spans="6:6" x14ac:dyDescent="0.3">
      <c r="F105208" s="193"/>
    </row>
    <row r="105209" spans="6:6" x14ac:dyDescent="0.3">
      <c r="F105209" s="193"/>
    </row>
    <row r="105210" spans="6:6" x14ac:dyDescent="0.3">
      <c r="F105210" s="193"/>
    </row>
    <row r="105211" spans="6:6" x14ac:dyDescent="0.3">
      <c r="F105211" s="193"/>
    </row>
    <row r="105212" spans="6:6" x14ac:dyDescent="0.3">
      <c r="F105212" s="193"/>
    </row>
    <row r="105213" spans="6:6" x14ac:dyDescent="0.3">
      <c r="F105213" s="193"/>
    </row>
    <row r="105214" spans="6:6" x14ac:dyDescent="0.3">
      <c r="F105214" s="193"/>
    </row>
    <row r="105215" spans="6:6" x14ac:dyDescent="0.3">
      <c r="F105215" s="193"/>
    </row>
    <row r="105216" spans="6:6" x14ac:dyDescent="0.3">
      <c r="F105216" s="193"/>
    </row>
    <row r="105217" spans="6:6" x14ac:dyDescent="0.3">
      <c r="F105217" s="193"/>
    </row>
    <row r="105218" spans="6:6" x14ac:dyDescent="0.3">
      <c r="F105218" s="193"/>
    </row>
    <row r="105219" spans="6:6" x14ac:dyDescent="0.3">
      <c r="F105219" s="193"/>
    </row>
    <row r="105220" spans="6:6" x14ac:dyDescent="0.3">
      <c r="F105220" s="193"/>
    </row>
    <row r="105221" spans="6:6" x14ac:dyDescent="0.3">
      <c r="F105221" s="193"/>
    </row>
    <row r="105222" spans="6:6" x14ac:dyDescent="0.3">
      <c r="F105222" s="193"/>
    </row>
    <row r="105223" spans="6:6" x14ac:dyDescent="0.3">
      <c r="F105223" s="193"/>
    </row>
    <row r="105224" spans="6:6" x14ac:dyDescent="0.3">
      <c r="F105224" s="193"/>
    </row>
    <row r="105225" spans="6:6" x14ac:dyDescent="0.3">
      <c r="F105225" s="193"/>
    </row>
    <row r="105226" spans="6:6" x14ac:dyDescent="0.3">
      <c r="F105226" s="193"/>
    </row>
    <row r="105227" spans="6:6" x14ac:dyDescent="0.3">
      <c r="F105227" s="193"/>
    </row>
    <row r="105228" spans="6:6" x14ac:dyDescent="0.3">
      <c r="F105228" s="193"/>
    </row>
    <row r="105229" spans="6:6" x14ac:dyDescent="0.3">
      <c r="F105229" s="193"/>
    </row>
    <row r="105230" spans="6:6" x14ac:dyDescent="0.3">
      <c r="F105230" s="193"/>
    </row>
    <row r="105231" spans="6:6" x14ac:dyDescent="0.3">
      <c r="F105231" s="193"/>
    </row>
    <row r="105232" spans="6:6" x14ac:dyDescent="0.3">
      <c r="F105232" s="193"/>
    </row>
    <row r="105233" spans="6:6" x14ac:dyDescent="0.3">
      <c r="F105233" s="193"/>
    </row>
    <row r="105234" spans="6:6" x14ac:dyDescent="0.3">
      <c r="F105234" s="193"/>
    </row>
    <row r="105235" spans="6:6" x14ac:dyDescent="0.3">
      <c r="F105235" s="193"/>
    </row>
    <row r="105236" spans="6:6" x14ac:dyDescent="0.3">
      <c r="F105236" s="193"/>
    </row>
    <row r="105237" spans="6:6" x14ac:dyDescent="0.3">
      <c r="F105237" s="193"/>
    </row>
    <row r="105238" spans="6:6" x14ac:dyDescent="0.3">
      <c r="F105238" s="193"/>
    </row>
    <row r="105239" spans="6:6" x14ac:dyDescent="0.3">
      <c r="F105239" s="193"/>
    </row>
    <row r="105240" spans="6:6" x14ac:dyDescent="0.3">
      <c r="F105240" s="193"/>
    </row>
    <row r="105241" spans="6:6" x14ac:dyDescent="0.3">
      <c r="F105241" s="193"/>
    </row>
    <row r="105242" spans="6:6" x14ac:dyDescent="0.3">
      <c r="F105242" s="193"/>
    </row>
    <row r="105243" spans="6:6" x14ac:dyDescent="0.3">
      <c r="F105243" s="193"/>
    </row>
    <row r="105244" spans="6:6" x14ac:dyDescent="0.3">
      <c r="F105244" s="193"/>
    </row>
    <row r="105245" spans="6:6" x14ac:dyDescent="0.3">
      <c r="F105245" s="193"/>
    </row>
    <row r="105246" spans="6:6" x14ac:dyDescent="0.3">
      <c r="F105246" s="193"/>
    </row>
    <row r="105247" spans="6:6" x14ac:dyDescent="0.3">
      <c r="F105247" s="193"/>
    </row>
    <row r="105248" spans="6:6" x14ac:dyDescent="0.3">
      <c r="F105248" s="193"/>
    </row>
    <row r="105249" spans="6:6" x14ac:dyDescent="0.3">
      <c r="F105249" s="193"/>
    </row>
    <row r="105250" spans="6:6" x14ac:dyDescent="0.3">
      <c r="F105250" s="193"/>
    </row>
    <row r="105251" spans="6:6" x14ac:dyDescent="0.3">
      <c r="F105251" s="193"/>
    </row>
    <row r="105252" spans="6:6" x14ac:dyDescent="0.3">
      <c r="F105252" s="193"/>
    </row>
    <row r="105253" spans="6:6" x14ac:dyDescent="0.3">
      <c r="F105253" s="193"/>
    </row>
    <row r="105254" spans="6:6" x14ac:dyDescent="0.3">
      <c r="F105254" s="193"/>
    </row>
    <row r="105255" spans="6:6" x14ac:dyDescent="0.3">
      <c r="F105255" s="193"/>
    </row>
    <row r="105256" spans="6:6" x14ac:dyDescent="0.3">
      <c r="F105256" s="193"/>
    </row>
    <row r="105257" spans="6:6" x14ac:dyDescent="0.3">
      <c r="F105257" s="193"/>
    </row>
    <row r="105258" spans="6:6" x14ac:dyDescent="0.3">
      <c r="F105258" s="193"/>
    </row>
    <row r="105259" spans="6:6" x14ac:dyDescent="0.3">
      <c r="F105259" s="193"/>
    </row>
    <row r="105260" spans="6:6" x14ac:dyDescent="0.3">
      <c r="F105260" s="193"/>
    </row>
    <row r="105261" spans="6:6" x14ac:dyDescent="0.3">
      <c r="F105261" s="193"/>
    </row>
    <row r="105262" spans="6:6" x14ac:dyDescent="0.3">
      <c r="F105262" s="193"/>
    </row>
    <row r="105263" spans="6:6" x14ac:dyDescent="0.3">
      <c r="F105263" s="193"/>
    </row>
    <row r="105264" spans="6:6" x14ac:dyDescent="0.3">
      <c r="F105264" s="193"/>
    </row>
    <row r="105265" spans="6:6" x14ac:dyDescent="0.3">
      <c r="F105265" s="193"/>
    </row>
    <row r="105266" spans="6:6" x14ac:dyDescent="0.3">
      <c r="F105266" s="193"/>
    </row>
    <row r="105267" spans="6:6" x14ac:dyDescent="0.3">
      <c r="F105267" s="193"/>
    </row>
    <row r="105268" spans="6:6" x14ac:dyDescent="0.3">
      <c r="F105268" s="193"/>
    </row>
    <row r="105269" spans="6:6" x14ac:dyDescent="0.3">
      <c r="F105269" s="193"/>
    </row>
    <row r="105270" spans="6:6" x14ac:dyDescent="0.3">
      <c r="F105270" s="193"/>
    </row>
    <row r="105271" spans="6:6" x14ac:dyDescent="0.3">
      <c r="F105271" s="193"/>
    </row>
    <row r="105272" spans="6:6" x14ac:dyDescent="0.3">
      <c r="F105272" s="193"/>
    </row>
    <row r="105273" spans="6:6" x14ac:dyDescent="0.3">
      <c r="F105273" s="193"/>
    </row>
    <row r="105274" spans="6:6" x14ac:dyDescent="0.3">
      <c r="F105274" s="193"/>
    </row>
    <row r="105275" spans="6:6" x14ac:dyDescent="0.3">
      <c r="F105275" s="193"/>
    </row>
    <row r="105276" spans="6:6" x14ac:dyDescent="0.3">
      <c r="F105276" s="193"/>
    </row>
    <row r="105277" spans="6:6" x14ac:dyDescent="0.3">
      <c r="F105277" s="193"/>
    </row>
    <row r="105278" spans="6:6" x14ac:dyDescent="0.3">
      <c r="F105278" s="193"/>
    </row>
    <row r="105279" spans="6:6" x14ac:dyDescent="0.3">
      <c r="F105279" s="193"/>
    </row>
    <row r="105280" spans="6:6" x14ac:dyDescent="0.3">
      <c r="F105280" s="193"/>
    </row>
    <row r="105281" spans="6:6" x14ac:dyDescent="0.3">
      <c r="F105281" s="193"/>
    </row>
    <row r="105282" spans="6:6" x14ac:dyDescent="0.3">
      <c r="F105282" s="193"/>
    </row>
    <row r="105283" spans="6:6" x14ac:dyDescent="0.3">
      <c r="F105283" s="193"/>
    </row>
    <row r="105284" spans="6:6" x14ac:dyDescent="0.3">
      <c r="F105284" s="193"/>
    </row>
    <row r="105285" spans="6:6" x14ac:dyDescent="0.3">
      <c r="F105285" s="193"/>
    </row>
    <row r="105286" spans="6:6" x14ac:dyDescent="0.3">
      <c r="F105286" s="193"/>
    </row>
    <row r="105287" spans="6:6" x14ac:dyDescent="0.3">
      <c r="F105287" s="193"/>
    </row>
    <row r="105288" spans="6:6" x14ac:dyDescent="0.3">
      <c r="F105288" s="193"/>
    </row>
    <row r="105289" spans="6:6" x14ac:dyDescent="0.3">
      <c r="F105289" s="193"/>
    </row>
    <row r="105290" spans="6:6" x14ac:dyDescent="0.3">
      <c r="F105290" s="193"/>
    </row>
    <row r="105291" spans="6:6" x14ac:dyDescent="0.3">
      <c r="F105291" s="193"/>
    </row>
    <row r="105292" spans="6:6" x14ac:dyDescent="0.3">
      <c r="F105292" s="193"/>
    </row>
    <row r="105293" spans="6:6" x14ac:dyDescent="0.3">
      <c r="F105293" s="193"/>
    </row>
    <row r="105294" spans="6:6" x14ac:dyDescent="0.3">
      <c r="F105294" s="193"/>
    </row>
    <row r="105295" spans="6:6" x14ac:dyDescent="0.3">
      <c r="F105295" s="193"/>
    </row>
    <row r="105296" spans="6:6" x14ac:dyDescent="0.3">
      <c r="F105296" s="193"/>
    </row>
    <row r="105297" spans="6:6" x14ac:dyDescent="0.3">
      <c r="F105297" s="193"/>
    </row>
    <row r="105298" spans="6:6" x14ac:dyDescent="0.3">
      <c r="F105298" s="193"/>
    </row>
    <row r="105299" spans="6:6" x14ac:dyDescent="0.3">
      <c r="F105299" s="193"/>
    </row>
    <row r="105300" spans="6:6" x14ac:dyDescent="0.3">
      <c r="F105300" s="193"/>
    </row>
    <row r="105301" spans="6:6" x14ac:dyDescent="0.3">
      <c r="F105301" s="193"/>
    </row>
    <row r="105302" spans="6:6" x14ac:dyDescent="0.3">
      <c r="F105302" s="193"/>
    </row>
    <row r="105303" spans="6:6" x14ac:dyDescent="0.3">
      <c r="F105303" s="193"/>
    </row>
    <row r="105304" spans="6:6" x14ac:dyDescent="0.3">
      <c r="F105304" s="193"/>
    </row>
    <row r="105305" spans="6:6" x14ac:dyDescent="0.3">
      <c r="F105305" s="193"/>
    </row>
    <row r="105306" spans="6:6" x14ac:dyDescent="0.3">
      <c r="F105306" s="193"/>
    </row>
    <row r="105307" spans="6:6" x14ac:dyDescent="0.3">
      <c r="F105307" s="193"/>
    </row>
    <row r="105308" spans="6:6" x14ac:dyDescent="0.3">
      <c r="F105308" s="193"/>
    </row>
    <row r="105309" spans="6:6" x14ac:dyDescent="0.3">
      <c r="F105309" s="193"/>
    </row>
    <row r="105310" spans="6:6" x14ac:dyDescent="0.3">
      <c r="F105310" s="193"/>
    </row>
    <row r="105311" spans="6:6" x14ac:dyDescent="0.3">
      <c r="F105311" s="193"/>
    </row>
    <row r="105312" spans="6:6" x14ac:dyDescent="0.3">
      <c r="F105312" s="193"/>
    </row>
    <row r="105313" spans="6:6" x14ac:dyDescent="0.3">
      <c r="F105313" s="193"/>
    </row>
    <row r="105314" spans="6:6" x14ac:dyDescent="0.3">
      <c r="F105314" s="193"/>
    </row>
    <row r="105315" spans="6:6" x14ac:dyDescent="0.3">
      <c r="F105315" s="193"/>
    </row>
    <row r="105316" spans="6:6" x14ac:dyDescent="0.3">
      <c r="F105316" s="193"/>
    </row>
    <row r="105317" spans="6:6" x14ac:dyDescent="0.3">
      <c r="F105317" s="193"/>
    </row>
    <row r="105318" spans="6:6" x14ac:dyDescent="0.3">
      <c r="F105318" s="193"/>
    </row>
    <row r="105319" spans="6:6" x14ac:dyDescent="0.3">
      <c r="F105319" s="193"/>
    </row>
    <row r="105320" spans="6:6" x14ac:dyDescent="0.3">
      <c r="F105320" s="193"/>
    </row>
    <row r="105321" spans="6:6" x14ac:dyDescent="0.3">
      <c r="F105321" s="193"/>
    </row>
    <row r="105322" spans="6:6" x14ac:dyDescent="0.3">
      <c r="F105322" s="193"/>
    </row>
    <row r="105323" spans="6:6" x14ac:dyDescent="0.3">
      <c r="F105323" s="193"/>
    </row>
    <row r="105324" spans="6:6" x14ac:dyDescent="0.3">
      <c r="F105324" s="193"/>
    </row>
    <row r="105325" spans="6:6" x14ac:dyDescent="0.3">
      <c r="F105325" s="193"/>
    </row>
    <row r="105326" spans="6:6" x14ac:dyDescent="0.3">
      <c r="F105326" s="193"/>
    </row>
    <row r="105327" spans="6:6" x14ac:dyDescent="0.3">
      <c r="F105327" s="193"/>
    </row>
    <row r="105328" spans="6:6" x14ac:dyDescent="0.3">
      <c r="F105328" s="193"/>
    </row>
    <row r="105329" spans="6:6" x14ac:dyDescent="0.3">
      <c r="F105329" s="193"/>
    </row>
    <row r="105330" spans="6:6" x14ac:dyDescent="0.3">
      <c r="F105330" s="193"/>
    </row>
    <row r="105331" spans="6:6" x14ac:dyDescent="0.3">
      <c r="F105331" s="193"/>
    </row>
    <row r="105332" spans="6:6" x14ac:dyDescent="0.3">
      <c r="F105332" s="193"/>
    </row>
    <row r="105333" spans="6:6" x14ac:dyDescent="0.3">
      <c r="F105333" s="193"/>
    </row>
    <row r="105334" spans="6:6" x14ac:dyDescent="0.3">
      <c r="F105334" s="193"/>
    </row>
    <row r="105335" spans="6:6" x14ac:dyDescent="0.3">
      <c r="F105335" s="193"/>
    </row>
    <row r="105336" spans="6:6" x14ac:dyDescent="0.3">
      <c r="F105336" s="193"/>
    </row>
    <row r="105337" spans="6:6" x14ac:dyDescent="0.3">
      <c r="F105337" s="193"/>
    </row>
    <row r="105338" spans="6:6" x14ac:dyDescent="0.3">
      <c r="F105338" s="193"/>
    </row>
    <row r="105339" spans="6:6" x14ac:dyDescent="0.3">
      <c r="F105339" s="193"/>
    </row>
    <row r="105340" spans="6:6" x14ac:dyDescent="0.3">
      <c r="F105340" s="193"/>
    </row>
    <row r="105341" spans="6:6" x14ac:dyDescent="0.3">
      <c r="F105341" s="193"/>
    </row>
    <row r="105342" spans="6:6" x14ac:dyDescent="0.3">
      <c r="F105342" s="193"/>
    </row>
    <row r="105343" spans="6:6" x14ac:dyDescent="0.3">
      <c r="F105343" s="193"/>
    </row>
    <row r="105344" spans="6:6" x14ac:dyDescent="0.3">
      <c r="F105344" s="193"/>
    </row>
    <row r="105345" spans="6:6" x14ac:dyDescent="0.3">
      <c r="F105345" s="193"/>
    </row>
    <row r="105346" spans="6:6" x14ac:dyDescent="0.3">
      <c r="F105346" s="193"/>
    </row>
    <row r="105347" spans="6:6" x14ac:dyDescent="0.3">
      <c r="F105347" s="193"/>
    </row>
    <row r="105348" spans="6:6" x14ac:dyDescent="0.3">
      <c r="F105348" s="193"/>
    </row>
    <row r="105349" spans="6:6" x14ac:dyDescent="0.3">
      <c r="F105349" s="193"/>
    </row>
    <row r="105350" spans="6:6" x14ac:dyDescent="0.3">
      <c r="F105350" s="193"/>
    </row>
    <row r="105351" spans="6:6" x14ac:dyDescent="0.3">
      <c r="F105351" s="193"/>
    </row>
    <row r="105352" spans="6:6" x14ac:dyDescent="0.3">
      <c r="F105352" s="193"/>
    </row>
    <row r="105353" spans="6:6" x14ac:dyDescent="0.3">
      <c r="F105353" s="193"/>
    </row>
    <row r="105354" spans="6:6" x14ac:dyDescent="0.3">
      <c r="F105354" s="193"/>
    </row>
    <row r="105355" spans="6:6" x14ac:dyDescent="0.3">
      <c r="F105355" s="193"/>
    </row>
    <row r="105356" spans="6:6" x14ac:dyDescent="0.3">
      <c r="F105356" s="193"/>
    </row>
    <row r="105357" spans="6:6" x14ac:dyDescent="0.3">
      <c r="F105357" s="193"/>
    </row>
    <row r="105358" spans="6:6" x14ac:dyDescent="0.3">
      <c r="F105358" s="193"/>
    </row>
    <row r="105359" spans="6:6" x14ac:dyDescent="0.3">
      <c r="F105359" s="193"/>
    </row>
    <row r="105360" spans="6:6" x14ac:dyDescent="0.3">
      <c r="F105360" s="193"/>
    </row>
    <row r="105361" spans="6:6" x14ac:dyDescent="0.3">
      <c r="F105361" s="193"/>
    </row>
    <row r="105362" spans="6:6" x14ac:dyDescent="0.3">
      <c r="F105362" s="193"/>
    </row>
    <row r="105363" spans="6:6" x14ac:dyDescent="0.3">
      <c r="F105363" s="193"/>
    </row>
    <row r="105364" spans="6:6" x14ac:dyDescent="0.3">
      <c r="F105364" s="193"/>
    </row>
    <row r="105365" spans="6:6" x14ac:dyDescent="0.3">
      <c r="F105365" s="193"/>
    </row>
    <row r="105366" spans="6:6" x14ac:dyDescent="0.3">
      <c r="F105366" s="193"/>
    </row>
    <row r="105367" spans="6:6" x14ac:dyDescent="0.3">
      <c r="F105367" s="193"/>
    </row>
    <row r="105368" spans="6:6" x14ac:dyDescent="0.3">
      <c r="F105368" s="193"/>
    </row>
    <row r="105369" spans="6:6" x14ac:dyDescent="0.3">
      <c r="F105369" s="193"/>
    </row>
    <row r="105370" spans="6:6" x14ac:dyDescent="0.3">
      <c r="F105370" s="193"/>
    </row>
    <row r="105371" spans="6:6" x14ac:dyDescent="0.3">
      <c r="F105371" s="193"/>
    </row>
    <row r="105372" spans="6:6" x14ac:dyDescent="0.3">
      <c r="F105372" s="193"/>
    </row>
    <row r="105373" spans="6:6" x14ac:dyDescent="0.3">
      <c r="F105373" s="193"/>
    </row>
    <row r="105374" spans="6:6" x14ac:dyDescent="0.3">
      <c r="F105374" s="193"/>
    </row>
    <row r="105375" spans="6:6" x14ac:dyDescent="0.3">
      <c r="F105375" s="193"/>
    </row>
    <row r="105376" spans="6:6" x14ac:dyDescent="0.3">
      <c r="F105376" s="193"/>
    </row>
    <row r="105377" spans="6:6" x14ac:dyDescent="0.3">
      <c r="F105377" s="193"/>
    </row>
    <row r="105378" spans="6:6" x14ac:dyDescent="0.3">
      <c r="F105378" s="193"/>
    </row>
    <row r="105379" spans="6:6" x14ac:dyDescent="0.3">
      <c r="F105379" s="193"/>
    </row>
    <row r="105380" spans="6:6" x14ac:dyDescent="0.3">
      <c r="F105380" s="193"/>
    </row>
    <row r="105381" spans="6:6" x14ac:dyDescent="0.3">
      <c r="F105381" s="193"/>
    </row>
    <row r="105382" spans="6:6" x14ac:dyDescent="0.3">
      <c r="F105382" s="193"/>
    </row>
    <row r="105383" spans="6:6" x14ac:dyDescent="0.3">
      <c r="F105383" s="193"/>
    </row>
    <row r="105384" spans="6:6" x14ac:dyDescent="0.3">
      <c r="F105384" s="193"/>
    </row>
    <row r="105385" spans="6:6" x14ac:dyDescent="0.3">
      <c r="F105385" s="193"/>
    </row>
    <row r="105386" spans="6:6" x14ac:dyDescent="0.3">
      <c r="F105386" s="193"/>
    </row>
    <row r="105387" spans="6:6" x14ac:dyDescent="0.3">
      <c r="F105387" s="193"/>
    </row>
    <row r="105388" spans="6:6" x14ac:dyDescent="0.3">
      <c r="F105388" s="193"/>
    </row>
    <row r="105389" spans="6:6" x14ac:dyDescent="0.3">
      <c r="F105389" s="193"/>
    </row>
    <row r="105390" spans="6:6" x14ac:dyDescent="0.3">
      <c r="F105390" s="193"/>
    </row>
    <row r="105391" spans="6:6" x14ac:dyDescent="0.3">
      <c r="F105391" s="193"/>
    </row>
    <row r="105392" spans="6:6" x14ac:dyDescent="0.3">
      <c r="F105392" s="193"/>
    </row>
    <row r="105393" spans="6:6" x14ac:dyDescent="0.3">
      <c r="F105393" s="193"/>
    </row>
    <row r="105394" spans="6:6" x14ac:dyDescent="0.3">
      <c r="F105394" s="193"/>
    </row>
    <row r="105395" spans="6:6" x14ac:dyDescent="0.3">
      <c r="F105395" s="193"/>
    </row>
    <row r="105396" spans="6:6" x14ac:dyDescent="0.3">
      <c r="F105396" s="193"/>
    </row>
    <row r="105397" spans="6:6" x14ac:dyDescent="0.3">
      <c r="F105397" s="193"/>
    </row>
    <row r="105398" spans="6:6" x14ac:dyDescent="0.3">
      <c r="F105398" s="193"/>
    </row>
    <row r="105399" spans="6:6" x14ac:dyDescent="0.3">
      <c r="F105399" s="193"/>
    </row>
    <row r="105400" spans="6:6" x14ac:dyDescent="0.3">
      <c r="F105400" s="193"/>
    </row>
    <row r="105401" spans="6:6" x14ac:dyDescent="0.3">
      <c r="F105401" s="193"/>
    </row>
    <row r="105402" spans="6:6" x14ac:dyDescent="0.3">
      <c r="F105402" s="193"/>
    </row>
    <row r="105403" spans="6:6" x14ac:dyDescent="0.3">
      <c r="F105403" s="193"/>
    </row>
    <row r="105404" spans="6:6" x14ac:dyDescent="0.3">
      <c r="F105404" s="193"/>
    </row>
    <row r="105405" spans="6:6" x14ac:dyDescent="0.3">
      <c r="F105405" s="193"/>
    </row>
    <row r="105406" spans="6:6" x14ac:dyDescent="0.3">
      <c r="F105406" s="193"/>
    </row>
    <row r="105407" spans="6:6" x14ac:dyDescent="0.3">
      <c r="F105407" s="193"/>
    </row>
    <row r="105408" spans="6:6" x14ac:dyDescent="0.3">
      <c r="F105408" s="193"/>
    </row>
    <row r="105409" spans="6:6" x14ac:dyDescent="0.3">
      <c r="F105409" s="193"/>
    </row>
    <row r="105410" spans="6:6" x14ac:dyDescent="0.3">
      <c r="F105410" s="193"/>
    </row>
    <row r="105411" spans="6:6" x14ac:dyDescent="0.3">
      <c r="F105411" s="193"/>
    </row>
    <row r="105412" spans="6:6" x14ac:dyDescent="0.3">
      <c r="F105412" s="193"/>
    </row>
    <row r="105413" spans="6:6" x14ac:dyDescent="0.3">
      <c r="F105413" s="193"/>
    </row>
    <row r="105414" spans="6:6" x14ac:dyDescent="0.3">
      <c r="F105414" s="193"/>
    </row>
    <row r="105415" spans="6:6" x14ac:dyDescent="0.3">
      <c r="F105415" s="193"/>
    </row>
    <row r="105416" spans="6:6" x14ac:dyDescent="0.3">
      <c r="F105416" s="193"/>
    </row>
    <row r="105417" spans="6:6" x14ac:dyDescent="0.3">
      <c r="F105417" s="193"/>
    </row>
    <row r="105418" spans="6:6" x14ac:dyDescent="0.3">
      <c r="F105418" s="193"/>
    </row>
    <row r="105419" spans="6:6" x14ac:dyDescent="0.3">
      <c r="F105419" s="193"/>
    </row>
    <row r="105420" spans="6:6" x14ac:dyDescent="0.3">
      <c r="F105420" s="193"/>
    </row>
    <row r="105421" spans="6:6" x14ac:dyDescent="0.3">
      <c r="F105421" s="193"/>
    </row>
    <row r="105422" spans="6:6" x14ac:dyDescent="0.3">
      <c r="F105422" s="193"/>
    </row>
    <row r="105423" spans="6:6" x14ac:dyDescent="0.3">
      <c r="F105423" s="193"/>
    </row>
    <row r="105424" spans="6:6" x14ac:dyDescent="0.3">
      <c r="F105424" s="193"/>
    </row>
    <row r="105425" spans="6:6" x14ac:dyDescent="0.3">
      <c r="F105425" s="193"/>
    </row>
    <row r="105426" spans="6:6" x14ac:dyDescent="0.3">
      <c r="F105426" s="193"/>
    </row>
    <row r="105427" spans="6:6" x14ac:dyDescent="0.3">
      <c r="F105427" s="193"/>
    </row>
    <row r="105428" spans="6:6" x14ac:dyDescent="0.3">
      <c r="F105428" s="193"/>
    </row>
    <row r="105429" spans="6:6" x14ac:dyDescent="0.3">
      <c r="F105429" s="193"/>
    </row>
    <row r="105430" spans="6:6" x14ac:dyDescent="0.3">
      <c r="F105430" s="193"/>
    </row>
    <row r="105431" spans="6:6" x14ac:dyDescent="0.3">
      <c r="F105431" s="193"/>
    </row>
    <row r="105432" spans="6:6" x14ac:dyDescent="0.3">
      <c r="F105432" s="193"/>
    </row>
    <row r="105433" spans="6:6" x14ac:dyDescent="0.3">
      <c r="F105433" s="193"/>
    </row>
    <row r="105434" spans="6:6" x14ac:dyDescent="0.3">
      <c r="F105434" s="193"/>
    </row>
    <row r="105435" spans="6:6" x14ac:dyDescent="0.3">
      <c r="F105435" s="193"/>
    </row>
    <row r="105436" spans="6:6" x14ac:dyDescent="0.3">
      <c r="F105436" s="193"/>
    </row>
    <row r="105437" spans="6:6" x14ac:dyDescent="0.3">
      <c r="F105437" s="193"/>
    </row>
    <row r="105438" spans="6:6" x14ac:dyDescent="0.3">
      <c r="F105438" s="193"/>
    </row>
    <row r="105439" spans="6:6" x14ac:dyDescent="0.3">
      <c r="F105439" s="193"/>
    </row>
    <row r="105440" spans="6:6" x14ac:dyDescent="0.3">
      <c r="F105440" s="193"/>
    </row>
    <row r="105441" spans="6:6" x14ac:dyDescent="0.3">
      <c r="F105441" s="193"/>
    </row>
    <row r="105442" spans="6:6" x14ac:dyDescent="0.3">
      <c r="F105442" s="193"/>
    </row>
    <row r="105443" spans="6:6" x14ac:dyDescent="0.3">
      <c r="F105443" s="193"/>
    </row>
    <row r="105444" spans="6:6" x14ac:dyDescent="0.3">
      <c r="F105444" s="193"/>
    </row>
    <row r="105445" spans="6:6" x14ac:dyDescent="0.3">
      <c r="F105445" s="193"/>
    </row>
    <row r="105446" spans="6:6" x14ac:dyDescent="0.3">
      <c r="F105446" s="193"/>
    </row>
    <row r="105447" spans="6:6" x14ac:dyDescent="0.3">
      <c r="F105447" s="193"/>
    </row>
    <row r="105448" spans="6:6" x14ac:dyDescent="0.3">
      <c r="F105448" s="193"/>
    </row>
    <row r="105449" spans="6:6" x14ac:dyDescent="0.3">
      <c r="F105449" s="193"/>
    </row>
    <row r="105450" spans="6:6" x14ac:dyDescent="0.3">
      <c r="F105450" s="193"/>
    </row>
    <row r="105451" spans="6:6" x14ac:dyDescent="0.3">
      <c r="F105451" s="193"/>
    </row>
    <row r="105452" spans="6:6" x14ac:dyDescent="0.3">
      <c r="F105452" s="193"/>
    </row>
    <row r="105453" spans="6:6" x14ac:dyDescent="0.3">
      <c r="F105453" s="193"/>
    </row>
    <row r="105454" spans="6:6" x14ac:dyDescent="0.3">
      <c r="F105454" s="193"/>
    </row>
    <row r="105455" spans="6:6" x14ac:dyDescent="0.3">
      <c r="F105455" s="193"/>
    </row>
    <row r="105456" spans="6:6" x14ac:dyDescent="0.3">
      <c r="F105456" s="193"/>
    </row>
    <row r="105457" spans="6:6" x14ac:dyDescent="0.3">
      <c r="F105457" s="193"/>
    </row>
    <row r="105458" spans="6:6" x14ac:dyDescent="0.3">
      <c r="F105458" s="193"/>
    </row>
    <row r="105459" spans="6:6" x14ac:dyDescent="0.3">
      <c r="F105459" s="193"/>
    </row>
    <row r="105460" spans="6:6" x14ac:dyDescent="0.3">
      <c r="F105460" s="193"/>
    </row>
    <row r="105461" spans="6:6" x14ac:dyDescent="0.3">
      <c r="F105461" s="193"/>
    </row>
    <row r="105462" spans="6:6" x14ac:dyDescent="0.3">
      <c r="F105462" s="193"/>
    </row>
    <row r="105463" spans="6:6" x14ac:dyDescent="0.3">
      <c r="F105463" s="193"/>
    </row>
    <row r="105464" spans="6:6" x14ac:dyDescent="0.3">
      <c r="F105464" s="193"/>
    </row>
    <row r="105465" spans="6:6" x14ac:dyDescent="0.3">
      <c r="F105465" s="193"/>
    </row>
    <row r="105466" spans="6:6" x14ac:dyDescent="0.3">
      <c r="F105466" s="193"/>
    </row>
    <row r="105467" spans="6:6" x14ac:dyDescent="0.3">
      <c r="F105467" s="193"/>
    </row>
    <row r="105468" spans="6:6" x14ac:dyDescent="0.3">
      <c r="F105468" s="193"/>
    </row>
    <row r="105469" spans="6:6" x14ac:dyDescent="0.3">
      <c r="F105469" s="193"/>
    </row>
    <row r="105470" spans="6:6" x14ac:dyDescent="0.3">
      <c r="F105470" s="193"/>
    </row>
    <row r="105471" spans="6:6" x14ac:dyDescent="0.3">
      <c r="F105471" s="193"/>
    </row>
    <row r="105472" spans="6:6" x14ac:dyDescent="0.3">
      <c r="F105472" s="193"/>
    </row>
    <row r="105473" spans="6:6" x14ac:dyDescent="0.3">
      <c r="F105473" s="193"/>
    </row>
    <row r="105474" spans="6:6" x14ac:dyDescent="0.3">
      <c r="F105474" s="193"/>
    </row>
    <row r="105475" spans="6:6" x14ac:dyDescent="0.3">
      <c r="F105475" s="193"/>
    </row>
    <row r="105476" spans="6:6" x14ac:dyDescent="0.3">
      <c r="F105476" s="193"/>
    </row>
    <row r="105477" spans="6:6" x14ac:dyDescent="0.3">
      <c r="F105477" s="193"/>
    </row>
    <row r="105478" spans="6:6" x14ac:dyDescent="0.3">
      <c r="F105478" s="193"/>
    </row>
    <row r="105479" spans="6:6" x14ac:dyDescent="0.3">
      <c r="F105479" s="193"/>
    </row>
    <row r="105480" spans="6:6" x14ac:dyDescent="0.3">
      <c r="F105480" s="193"/>
    </row>
    <row r="105481" spans="6:6" x14ac:dyDescent="0.3">
      <c r="F105481" s="193"/>
    </row>
    <row r="105482" spans="6:6" x14ac:dyDescent="0.3">
      <c r="F105482" s="193"/>
    </row>
    <row r="105483" spans="6:6" x14ac:dyDescent="0.3">
      <c r="F105483" s="193"/>
    </row>
    <row r="105484" spans="6:6" x14ac:dyDescent="0.3">
      <c r="F105484" s="193"/>
    </row>
    <row r="105485" spans="6:6" x14ac:dyDescent="0.3">
      <c r="F105485" s="193"/>
    </row>
    <row r="105486" spans="6:6" x14ac:dyDescent="0.3">
      <c r="F105486" s="193"/>
    </row>
    <row r="105487" spans="6:6" x14ac:dyDescent="0.3">
      <c r="F105487" s="193"/>
    </row>
    <row r="105488" spans="6:6" x14ac:dyDescent="0.3">
      <c r="F105488" s="193"/>
    </row>
    <row r="105489" spans="6:6" x14ac:dyDescent="0.3">
      <c r="F105489" s="193"/>
    </row>
    <row r="105490" spans="6:6" x14ac:dyDescent="0.3">
      <c r="F105490" s="193"/>
    </row>
    <row r="105491" spans="6:6" x14ac:dyDescent="0.3">
      <c r="F105491" s="193"/>
    </row>
    <row r="105492" spans="6:6" x14ac:dyDescent="0.3">
      <c r="F105492" s="193"/>
    </row>
    <row r="105493" spans="6:6" x14ac:dyDescent="0.3">
      <c r="F105493" s="193"/>
    </row>
    <row r="105494" spans="6:6" x14ac:dyDescent="0.3">
      <c r="F105494" s="193"/>
    </row>
    <row r="105495" spans="6:6" x14ac:dyDescent="0.3">
      <c r="F105495" s="193"/>
    </row>
    <row r="105496" spans="6:6" x14ac:dyDescent="0.3">
      <c r="F105496" s="193"/>
    </row>
    <row r="105497" spans="6:6" x14ac:dyDescent="0.3">
      <c r="F105497" s="193"/>
    </row>
    <row r="105498" spans="6:6" x14ac:dyDescent="0.3">
      <c r="F105498" s="193"/>
    </row>
    <row r="105499" spans="6:6" x14ac:dyDescent="0.3">
      <c r="F105499" s="193"/>
    </row>
    <row r="105500" spans="6:6" x14ac:dyDescent="0.3">
      <c r="F105500" s="193"/>
    </row>
    <row r="105501" spans="6:6" x14ac:dyDescent="0.3">
      <c r="F105501" s="193"/>
    </row>
    <row r="105502" spans="6:6" x14ac:dyDescent="0.3">
      <c r="F105502" s="193"/>
    </row>
    <row r="105503" spans="6:6" x14ac:dyDescent="0.3">
      <c r="F105503" s="193"/>
    </row>
    <row r="105504" spans="6:6" x14ac:dyDescent="0.3">
      <c r="F105504" s="193"/>
    </row>
    <row r="105505" spans="6:6" x14ac:dyDescent="0.3">
      <c r="F105505" s="193"/>
    </row>
    <row r="105506" spans="6:6" x14ac:dyDescent="0.3">
      <c r="F105506" s="193"/>
    </row>
    <row r="105507" spans="6:6" x14ac:dyDescent="0.3">
      <c r="F105507" s="193"/>
    </row>
    <row r="105508" spans="6:6" x14ac:dyDescent="0.3">
      <c r="F105508" s="193"/>
    </row>
    <row r="105509" spans="6:6" x14ac:dyDescent="0.3">
      <c r="F105509" s="193"/>
    </row>
    <row r="105510" spans="6:6" x14ac:dyDescent="0.3">
      <c r="F105510" s="193"/>
    </row>
    <row r="105511" spans="6:6" x14ac:dyDescent="0.3">
      <c r="F105511" s="193"/>
    </row>
    <row r="105512" spans="6:6" x14ac:dyDescent="0.3">
      <c r="F105512" s="193"/>
    </row>
    <row r="105513" spans="6:6" x14ac:dyDescent="0.3">
      <c r="F105513" s="193"/>
    </row>
    <row r="105514" spans="6:6" x14ac:dyDescent="0.3">
      <c r="F105514" s="193"/>
    </row>
    <row r="105515" spans="6:6" x14ac:dyDescent="0.3">
      <c r="F105515" s="193"/>
    </row>
    <row r="105516" spans="6:6" x14ac:dyDescent="0.3">
      <c r="F105516" s="193"/>
    </row>
    <row r="105517" spans="6:6" x14ac:dyDescent="0.3">
      <c r="F105517" s="193"/>
    </row>
    <row r="105518" spans="6:6" x14ac:dyDescent="0.3">
      <c r="F105518" s="193"/>
    </row>
    <row r="105519" spans="6:6" x14ac:dyDescent="0.3">
      <c r="F105519" s="193"/>
    </row>
    <row r="105520" spans="6:6" x14ac:dyDescent="0.3">
      <c r="F105520" s="193"/>
    </row>
    <row r="105521" spans="6:6" x14ac:dyDescent="0.3">
      <c r="F105521" s="193"/>
    </row>
    <row r="105522" spans="6:6" x14ac:dyDescent="0.3">
      <c r="F105522" s="193"/>
    </row>
    <row r="105523" spans="6:6" x14ac:dyDescent="0.3">
      <c r="F105523" s="193"/>
    </row>
    <row r="105524" spans="6:6" x14ac:dyDescent="0.3">
      <c r="F105524" s="193"/>
    </row>
    <row r="105525" spans="6:6" x14ac:dyDescent="0.3">
      <c r="F105525" s="193"/>
    </row>
    <row r="105526" spans="6:6" x14ac:dyDescent="0.3">
      <c r="F105526" s="193"/>
    </row>
    <row r="105527" spans="6:6" x14ac:dyDescent="0.3">
      <c r="F105527" s="193"/>
    </row>
    <row r="105528" spans="6:6" x14ac:dyDescent="0.3">
      <c r="F105528" s="193"/>
    </row>
    <row r="105529" spans="6:6" x14ac:dyDescent="0.3">
      <c r="F105529" s="193"/>
    </row>
    <row r="105530" spans="6:6" x14ac:dyDescent="0.3">
      <c r="F105530" s="193"/>
    </row>
    <row r="105531" spans="6:6" x14ac:dyDescent="0.3">
      <c r="F105531" s="193"/>
    </row>
    <row r="105532" spans="6:6" x14ac:dyDescent="0.3">
      <c r="F105532" s="193"/>
    </row>
    <row r="105533" spans="6:6" x14ac:dyDescent="0.3">
      <c r="F105533" s="193"/>
    </row>
    <row r="105534" spans="6:6" x14ac:dyDescent="0.3">
      <c r="F105534" s="193"/>
    </row>
    <row r="105535" spans="6:6" x14ac:dyDescent="0.3">
      <c r="F105535" s="193"/>
    </row>
    <row r="105536" spans="6:6" x14ac:dyDescent="0.3">
      <c r="F105536" s="193"/>
    </row>
    <row r="105537" spans="6:6" x14ac:dyDescent="0.3">
      <c r="F105537" s="193"/>
    </row>
    <row r="105538" spans="6:6" x14ac:dyDescent="0.3">
      <c r="F105538" s="193"/>
    </row>
    <row r="105539" spans="6:6" x14ac:dyDescent="0.3">
      <c r="F105539" s="193"/>
    </row>
    <row r="105540" spans="6:6" x14ac:dyDescent="0.3">
      <c r="F105540" s="193"/>
    </row>
    <row r="105541" spans="6:6" x14ac:dyDescent="0.3">
      <c r="F105541" s="193"/>
    </row>
    <row r="105542" spans="6:6" x14ac:dyDescent="0.3">
      <c r="F105542" s="193"/>
    </row>
    <row r="105543" spans="6:6" x14ac:dyDescent="0.3">
      <c r="F105543" s="193"/>
    </row>
    <row r="105544" spans="6:6" x14ac:dyDescent="0.3">
      <c r="F105544" s="193"/>
    </row>
    <row r="105545" spans="6:6" x14ac:dyDescent="0.3">
      <c r="F105545" s="193"/>
    </row>
    <row r="105546" spans="6:6" x14ac:dyDescent="0.3">
      <c r="F105546" s="193"/>
    </row>
    <row r="105547" spans="6:6" x14ac:dyDescent="0.3">
      <c r="F105547" s="193"/>
    </row>
    <row r="105548" spans="6:6" x14ac:dyDescent="0.3">
      <c r="F105548" s="193"/>
    </row>
    <row r="105549" spans="6:6" x14ac:dyDescent="0.3">
      <c r="F105549" s="193"/>
    </row>
    <row r="105550" spans="6:6" x14ac:dyDescent="0.3">
      <c r="F105550" s="193"/>
    </row>
    <row r="105551" spans="6:6" x14ac:dyDescent="0.3">
      <c r="F105551" s="193"/>
    </row>
    <row r="105552" spans="6:6" x14ac:dyDescent="0.3">
      <c r="F105552" s="193"/>
    </row>
    <row r="105553" spans="6:6" x14ac:dyDescent="0.3">
      <c r="F105553" s="193"/>
    </row>
    <row r="105554" spans="6:6" x14ac:dyDescent="0.3">
      <c r="F105554" s="193"/>
    </row>
    <row r="105555" spans="6:6" x14ac:dyDescent="0.3">
      <c r="F105555" s="193"/>
    </row>
    <row r="105556" spans="6:6" x14ac:dyDescent="0.3">
      <c r="F105556" s="193"/>
    </row>
    <row r="105557" spans="6:6" x14ac:dyDescent="0.3">
      <c r="F105557" s="193"/>
    </row>
    <row r="105558" spans="6:6" x14ac:dyDescent="0.3">
      <c r="F105558" s="193"/>
    </row>
    <row r="105559" spans="6:6" x14ac:dyDescent="0.3">
      <c r="F105559" s="193"/>
    </row>
    <row r="105560" spans="6:6" x14ac:dyDescent="0.3">
      <c r="F105560" s="193"/>
    </row>
    <row r="105561" spans="6:6" x14ac:dyDescent="0.3">
      <c r="F105561" s="193"/>
    </row>
    <row r="105562" spans="6:6" x14ac:dyDescent="0.3">
      <c r="F105562" s="193"/>
    </row>
    <row r="105563" spans="6:6" x14ac:dyDescent="0.3">
      <c r="F105563" s="193"/>
    </row>
    <row r="105564" spans="6:6" x14ac:dyDescent="0.3">
      <c r="F105564" s="193"/>
    </row>
    <row r="105565" spans="6:6" x14ac:dyDescent="0.3">
      <c r="F105565" s="193"/>
    </row>
    <row r="105566" spans="6:6" x14ac:dyDescent="0.3">
      <c r="F105566" s="193"/>
    </row>
    <row r="105567" spans="6:6" x14ac:dyDescent="0.3">
      <c r="F105567" s="193"/>
    </row>
    <row r="105568" spans="6:6" x14ac:dyDescent="0.3">
      <c r="F105568" s="193"/>
    </row>
    <row r="105569" spans="6:6" x14ac:dyDescent="0.3">
      <c r="F105569" s="193"/>
    </row>
    <row r="105570" spans="6:6" x14ac:dyDescent="0.3">
      <c r="F105570" s="193"/>
    </row>
    <row r="105571" spans="6:6" x14ac:dyDescent="0.3">
      <c r="F105571" s="193"/>
    </row>
    <row r="105572" spans="6:6" x14ac:dyDescent="0.3">
      <c r="F105572" s="193"/>
    </row>
    <row r="105573" spans="6:6" x14ac:dyDescent="0.3">
      <c r="F105573" s="193"/>
    </row>
    <row r="105574" spans="6:6" x14ac:dyDescent="0.3">
      <c r="F105574" s="193"/>
    </row>
    <row r="105575" spans="6:6" x14ac:dyDescent="0.3">
      <c r="F105575" s="193"/>
    </row>
    <row r="105576" spans="6:6" x14ac:dyDescent="0.3">
      <c r="F105576" s="193"/>
    </row>
    <row r="105577" spans="6:6" x14ac:dyDescent="0.3">
      <c r="F105577" s="193"/>
    </row>
    <row r="105578" spans="6:6" x14ac:dyDescent="0.3">
      <c r="F105578" s="193"/>
    </row>
    <row r="105579" spans="6:6" x14ac:dyDescent="0.3">
      <c r="F105579" s="193"/>
    </row>
    <row r="105580" spans="6:6" x14ac:dyDescent="0.3">
      <c r="F105580" s="193"/>
    </row>
    <row r="105581" spans="6:6" x14ac:dyDescent="0.3">
      <c r="F105581" s="193"/>
    </row>
    <row r="105582" spans="6:6" x14ac:dyDescent="0.3">
      <c r="F105582" s="193"/>
    </row>
    <row r="105583" spans="6:6" x14ac:dyDescent="0.3">
      <c r="F105583" s="193"/>
    </row>
    <row r="105584" spans="6:6" x14ac:dyDescent="0.3">
      <c r="F105584" s="193"/>
    </row>
    <row r="105585" spans="6:6" x14ac:dyDescent="0.3">
      <c r="F105585" s="193"/>
    </row>
    <row r="105586" spans="6:6" x14ac:dyDescent="0.3">
      <c r="F105586" s="193"/>
    </row>
    <row r="105587" spans="6:6" x14ac:dyDescent="0.3">
      <c r="F105587" s="193"/>
    </row>
    <row r="105588" spans="6:6" x14ac:dyDescent="0.3">
      <c r="F105588" s="193"/>
    </row>
    <row r="105589" spans="6:6" x14ac:dyDescent="0.3">
      <c r="F105589" s="193"/>
    </row>
    <row r="105590" spans="6:6" x14ac:dyDescent="0.3">
      <c r="F105590" s="193"/>
    </row>
    <row r="105591" spans="6:6" x14ac:dyDescent="0.3">
      <c r="F105591" s="193"/>
    </row>
    <row r="105592" spans="6:6" x14ac:dyDescent="0.3">
      <c r="F105592" s="193"/>
    </row>
    <row r="105593" spans="6:6" x14ac:dyDescent="0.3">
      <c r="F105593" s="193"/>
    </row>
    <row r="105594" spans="6:6" x14ac:dyDescent="0.3">
      <c r="F105594" s="193"/>
    </row>
    <row r="105595" spans="6:6" x14ac:dyDescent="0.3">
      <c r="F105595" s="193"/>
    </row>
    <row r="105596" spans="6:6" x14ac:dyDescent="0.3">
      <c r="F105596" s="193"/>
    </row>
    <row r="105597" spans="6:6" x14ac:dyDescent="0.3">
      <c r="F105597" s="193"/>
    </row>
    <row r="105598" spans="6:6" x14ac:dyDescent="0.3">
      <c r="F105598" s="193"/>
    </row>
    <row r="105599" spans="6:6" x14ac:dyDescent="0.3">
      <c r="F105599" s="193"/>
    </row>
    <row r="105600" spans="6:6" x14ac:dyDescent="0.3">
      <c r="F105600" s="193"/>
    </row>
    <row r="105601" spans="6:6" x14ac:dyDescent="0.3">
      <c r="F105601" s="193"/>
    </row>
    <row r="105602" spans="6:6" x14ac:dyDescent="0.3">
      <c r="F105602" s="193"/>
    </row>
    <row r="105603" spans="6:6" x14ac:dyDescent="0.3">
      <c r="F105603" s="193"/>
    </row>
    <row r="105604" spans="6:6" x14ac:dyDescent="0.3">
      <c r="F105604" s="193"/>
    </row>
    <row r="105605" spans="6:6" x14ac:dyDescent="0.3">
      <c r="F105605" s="193"/>
    </row>
    <row r="105606" spans="6:6" x14ac:dyDescent="0.3">
      <c r="F105606" s="193"/>
    </row>
    <row r="105607" spans="6:6" x14ac:dyDescent="0.3">
      <c r="F105607" s="193"/>
    </row>
    <row r="105608" spans="6:6" x14ac:dyDescent="0.3">
      <c r="F105608" s="193"/>
    </row>
    <row r="105609" spans="6:6" x14ac:dyDescent="0.3">
      <c r="F105609" s="193"/>
    </row>
    <row r="105610" spans="6:6" x14ac:dyDescent="0.3">
      <c r="F105610" s="193"/>
    </row>
    <row r="105611" spans="6:6" x14ac:dyDescent="0.3">
      <c r="F105611" s="193"/>
    </row>
    <row r="105612" spans="6:6" x14ac:dyDescent="0.3">
      <c r="F105612" s="193"/>
    </row>
    <row r="105613" spans="6:6" x14ac:dyDescent="0.3">
      <c r="F105613" s="193"/>
    </row>
    <row r="105614" spans="6:6" x14ac:dyDescent="0.3">
      <c r="F105614" s="193"/>
    </row>
    <row r="105615" spans="6:6" x14ac:dyDescent="0.3">
      <c r="F105615" s="193"/>
    </row>
    <row r="105616" spans="6:6" x14ac:dyDescent="0.3">
      <c r="F105616" s="193"/>
    </row>
    <row r="105617" spans="6:6" x14ac:dyDescent="0.3">
      <c r="F105617" s="193"/>
    </row>
    <row r="105618" spans="6:6" x14ac:dyDescent="0.3">
      <c r="F105618" s="193"/>
    </row>
    <row r="105619" spans="6:6" x14ac:dyDescent="0.3">
      <c r="F105619" s="193"/>
    </row>
    <row r="105620" spans="6:6" x14ac:dyDescent="0.3">
      <c r="F105620" s="193"/>
    </row>
    <row r="105621" spans="6:6" x14ac:dyDescent="0.3">
      <c r="F105621" s="193"/>
    </row>
    <row r="105622" spans="6:6" x14ac:dyDescent="0.3">
      <c r="F105622" s="193"/>
    </row>
    <row r="105623" spans="6:6" x14ac:dyDescent="0.3">
      <c r="F105623" s="193"/>
    </row>
    <row r="105624" spans="6:6" x14ac:dyDescent="0.3">
      <c r="F105624" s="193"/>
    </row>
    <row r="105625" spans="6:6" x14ac:dyDescent="0.3">
      <c r="F105625" s="193"/>
    </row>
    <row r="105626" spans="6:6" x14ac:dyDescent="0.3">
      <c r="F105626" s="193"/>
    </row>
    <row r="105627" spans="6:6" x14ac:dyDescent="0.3">
      <c r="F105627" s="193"/>
    </row>
    <row r="105628" spans="6:6" x14ac:dyDescent="0.3">
      <c r="F105628" s="193"/>
    </row>
    <row r="105629" spans="6:6" x14ac:dyDescent="0.3">
      <c r="F105629" s="193"/>
    </row>
    <row r="105630" spans="6:6" x14ac:dyDescent="0.3">
      <c r="F105630" s="193"/>
    </row>
    <row r="105631" spans="6:6" x14ac:dyDescent="0.3">
      <c r="F105631" s="193"/>
    </row>
    <row r="105632" spans="6:6" x14ac:dyDescent="0.3">
      <c r="F105632" s="193"/>
    </row>
    <row r="105633" spans="6:6" x14ac:dyDescent="0.3">
      <c r="F105633" s="193"/>
    </row>
    <row r="105634" spans="6:6" x14ac:dyDescent="0.3">
      <c r="F105634" s="193"/>
    </row>
    <row r="105635" spans="6:6" x14ac:dyDescent="0.3">
      <c r="F105635" s="193"/>
    </row>
    <row r="105636" spans="6:6" x14ac:dyDescent="0.3">
      <c r="F105636" s="193"/>
    </row>
    <row r="105637" spans="6:6" x14ac:dyDescent="0.3">
      <c r="F105637" s="193"/>
    </row>
    <row r="105638" spans="6:6" x14ac:dyDescent="0.3">
      <c r="F105638" s="193"/>
    </row>
    <row r="105639" spans="6:6" x14ac:dyDescent="0.3">
      <c r="F105639" s="193"/>
    </row>
    <row r="105640" spans="6:6" x14ac:dyDescent="0.3">
      <c r="F105640" s="193"/>
    </row>
    <row r="105641" spans="6:6" x14ac:dyDescent="0.3">
      <c r="F105641" s="193"/>
    </row>
    <row r="105642" spans="6:6" x14ac:dyDescent="0.3">
      <c r="F105642" s="193"/>
    </row>
    <row r="105643" spans="6:6" x14ac:dyDescent="0.3">
      <c r="F105643" s="193"/>
    </row>
    <row r="105644" spans="6:6" x14ac:dyDescent="0.3">
      <c r="F105644" s="193"/>
    </row>
    <row r="105645" spans="6:6" x14ac:dyDescent="0.3">
      <c r="F105645" s="193"/>
    </row>
    <row r="105646" spans="6:6" x14ac:dyDescent="0.3">
      <c r="F105646" s="193"/>
    </row>
    <row r="105647" spans="6:6" x14ac:dyDescent="0.3">
      <c r="F105647" s="193"/>
    </row>
    <row r="105648" spans="6:6" x14ac:dyDescent="0.3">
      <c r="F105648" s="193"/>
    </row>
    <row r="105649" spans="6:6" x14ac:dyDescent="0.3">
      <c r="F105649" s="193"/>
    </row>
    <row r="105650" spans="6:6" x14ac:dyDescent="0.3">
      <c r="F105650" s="193"/>
    </row>
    <row r="105651" spans="6:6" x14ac:dyDescent="0.3">
      <c r="F105651" s="193"/>
    </row>
    <row r="105652" spans="6:6" x14ac:dyDescent="0.3">
      <c r="F105652" s="193"/>
    </row>
    <row r="105653" spans="6:6" x14ac:dyDescent="0.3">
      <c r="F105653" s="193"/>
    </row>
    <row r="105654" spans="6:6" x14ac:dyDescent="0.3">
      <c r="F105654" s="193"/>
    </row>
    <row r="105655" spans="6:6" x14ac:dyDescent="0.3">
      <c r="F105655" s="193"/>
    </row>
    <row r="105656" spans="6:6" x14ac:dyDescent="0.3">
      <c r="F105656" s="193"/>
    </row>
    <row r="105657" spans="6:6" x14ac:dyDescent="0.3">
      <c r="F105657" s="193"/>
    </row>
    <row r="105658" spans="6:6" x14ac:dyDescent="0.3">
      <c r="F105658" s="193"/>
    </row>
    <row r="105659" spans="6:6" x14ac:dyDescent="0.3">
      <c r="F105659" s="193"/>
    </row>
    <row r="105660" spans="6:6" x14ac:dyDescent="0.3">
      <c r="F105660" s="193"/>
    </row>
    <row r="105661" spans="6:6" x14ac:dyDescent="0.3">
      <c r="F105661" s="193"/>
    </row>
    <row r="105662" spans="6:6" x14ac:dyDescent="0.3">
      <c r="F105662" s="193"/>
    </row>
    <row r="105663" spans="6:6" x14ac:dyDescent="0.3">
      <c r="F105663" s="193"/>
    </row>
    <row r="105664" spans="6:6" x14ac:dyDescent="0.3">
      <c r="F105664" s="193"/>
    </row>
    <row r="105665" spans="6:6" x14ac:dyDescent="0.3">
      <c r="F105665" s="193"/>
    </row>
    <row r="105666" spans="6:6" x14ac:dyDescent="0.3">
      <c r="F105666" s="193"/>
    </row>
    <row r="105667" spans="6:6" x14ac:dyDescent="0.3">
      <c r="F105667" s="193"/>
    </row>
    <row r="105668" spans="6:6" x14ac:dyDescent="0.3">
      <c r="F105668" s="193"/>
    </row>
    <row r="105669" spans="6:6" x14ac:dyDescent="0.3">
      <c r="F105669" s="193"/>
    </row>
    <row r="105670" spans="6:6" x14ac:dyDescent="0.3">
      <c r="F105670" s="193"/>
    </row>
    <row r="105671" spans="6:6" x14ac:dyDescent="0.3">
      <c r="F105671" s="193"/>
    </row>
    <row r="105672" spans="6:6" x14ac:dyDescent="0.3">
      <c r="F105672" s="193"/>
    </row>
    <row r="105673" spans="6:6" x14ac:dyDescent="0.3">
      <c r="F105673" s="193"/>
    </row>
    <row r="105674" spans="6:6" x14ac:dyDescent="0.3">
      <c r="F105674" s="193"/>
    </row>
    <row r="105675" spans="6:6" x14ac:dyDescent="0.3">
      <c r="F105675" s="193"/>
    </row>
    <row r="105676" spans="6:6" x14ac:dyDescent="0.3">
      <c r="F105676" s="193"/>
    </row>
    <row r="105677" spans="6:6" x14ac:dyDescent="0.3">
      <c r="F105677" s="193"/>
    </row>
    <row r="105678" spans="6:6" x14ac:dyDescent="0.3">
      <c r="F105678" s="193"/>
    </row>
    <row r="105679" spans="6:6" x14ac:dyDescent="0.3">
      <c r="F105679" s="193"/>
    </row>
    <row r="105680" spans="6:6" x14ac:dyDescent="0.3">
      <c r="F105680" s="193"/>
    </row>
    <row r="105681" spans="6:6" x14ac:dyDescent="0.3">
      <c r="F105681" s="193"/>
    </row>
    <row r="105682" spans="6:6" x14ac:dyDescent="0.3">
      <c r="F105682" s="193"/>
    </row>
    <row r="105683" spans="6:6" x14ac:dyDescent="0.3">
      <c r="F105683" s="193"/>
    </row>
    <row r="105684" spans="6:6" x14ac:dyDescent="0.3">
      <c r="F105684" s="193"/>
    </row>
    <row r="105685" spans="6:6" x14ac:dyDescent="0.3">
      <c r="F105685" s="193"/>
    </row>
    <row r="105686" spans="6:6" x14ac:dyDescent="0.3">
      <c r="F105686" s="193"/>
    </row>
    <row r="105687" spans="6:6" x14ac:dyDescent="0.3">
      <c r="F105687" s="193"/>
    </row>
    <row r="105688" spans="6:6" x14ac:dyDescent="0.3">
      <c r="F105688" s="193"/>
    </row>
    <row r="105689" spans="6:6" x14ac:dyDescent="0.3">
      <c r="F105689" s="193"/>
    </row>
    <row r="105690" spans="6:6" x14ac:dyDescent="0.3">
      <c r="F105690" s="193"/>
    </row>
    <row r="105691" spans="6:6" x14ac:dyDescent="0.3">
      <c r="F105691" s="193"/>
    </row>
    <row r="105692" spans="6:6" x14ac:dyDescent="0.3">
      <c r="F105692" s="193"/>
    </row>
    <row r="105693" spans="6:6" x14ac:dyDescent="0.3">
      <c r="F105693" s="193"/>
    </row>
    <row r="105694" spans="6:6" x14ac:dyDescent="0.3">
      <c r="F105694" s="193"/>
    </row>
    <row r="105695" spans="6:6" x14ac:dyDescent="0.3">
      <c r="F105695" s="193"/>
    </row>
    <row r="105696" spans="6:6" x14ac:dyDescent="0.3">
      <c r="F105696" s="193"/>
    </row>
    <row r="105697" spans="6:6" x14ac:dyDescent="0.3">
      <c r="F105697" s="193"/>
    </row>
    <row r="105698" spans="6:6" x14ac:dyDescent="0.3">
      <c r="F105698" s="193"/>
    </row>
    <row r="105699" spans="6:6" x14ac:dyDescent="0.3">
      <c r="F105699" s="193"/>
    </row>
    <row r="105700" spans="6:6" x14ac:dyDescent="0.3">
      <c r="F105700" s="193"/>
    </row>
    <row r="105701" spans="6:6" x14ac:dyDescent="0.3">
      <c r="F105701" s="193"/>
    </row>
    <row r="105702" spans="6:6" x14ac:dyDescent="0.3">
      <c r="F105702" s="193"/>
    </row>
    <row r="105703" spans="6:6" x14ac:dyDescent="0.3">
      <c r="F105703" s="193"/>
    </row>
    <row r="105704" spans="6:6" x14ac:dyDescent="0.3">
      <c r="F105704" s="193"/>
    </row>
    <row r="105705" spans="6:6" x14ac:dyDescent="0.3">
      <c r="F105705" s="193"/>
    </row>
    <row r="105706" spans="6:6" x14ac:dyDescent="0.3">
      <c r="F105706" s="193"/>
    </row>
    <row r="105707" spans="6:6" x14ac:dyDescent="0.3">
      <c r="F105707" s="193"/>
    </row>
    <row r="105708" spans="6:6" x14ac:dyDescent="0.3">
      <c r="F105708" s="193"/>
    </row>
    <row r="105709" spans="6:6" x14ac:dyDescent="0.3">
      <c r="F105709" s="193"/>
    </row>
    <row r="105710" spans="6:6" x14ac:dyDescent="0.3">
      <c r="F105710" s="193"/>
    </row>
    <row r="105711" spans="6:6" x14ac:dyDescent="0.3">
      <c r="F105711" s="193"/>
    </row>
    <row r="105712" spans="6:6" x14ac:dyDescent="0.3">
      <c r="F105712" s="193"/>
    </row>
    <row r="105713" spans="6:6" x14ac:dyDescent="0.3">
      <c r="F105713" s="193"/>
    </row>
    <row r="105714" spans="6:6" x14ac:dyDescent="0.3">
      <c r="F105714" s="193"/>
    </row>
    <row r="105715" spans="6:6" x14ac:dyDescent="0.3">
      <c r="F105715" s="193"/>
    </row>
    <row r="105716" spans="6:6" x14ac:dyDescent="0.3">
      <c r="F105716" s="193"/>
    </row>
    <row r="105717" spans="6:6" x14ac:dyDescent="0.3">
      <c r="F105717" s="193"/>
    </row>
    <row r="105718" spans="6:6" x14ac:dyDescent="0.3">
      <c r="F105718" s="193"/>
    </row>
    <row r="105719" spans="6:6" x14ac:dyDescent="0.3">
      <c r="F105719" s="193"/>
    </row>
    <row r="105720" spans="6:6" x14ac:dyDescent="0.3">
      <c r="F105720" s="193"/>
    </row>
    <row r="105721" spans="6:6" x14ac:dyDescent="0.3">
      <c r="F105721" s="193"/>
    </row>
    <row r="105722" spans="6:6" x14ac:dyDescent="0.3">
      <c r="F105722" s="193"/>
    </row>
    <row r="105723" spans="6:6" x14ac:dyDescent="0.3">
      <c r="F105723" s="193"/>
    </row>
    <row r="105724" spans="6:6" x14ac:dyDescent="0.3">
      <c r="F105724" s="193"/>
    </row>
    <row r="105725" spans="6:6" x14ac:dyDescent="0.3">
      <c r="F105725" s="193"/>
    </row>
    <row r="105726" spans="6:6" x14ac:dyDescent="0.3">
      <c r="F105726" s="193"/>
    </row>
    <row r="105727" spans="6:6" x14ac:dyDescent="0.3">
      <c r="F105727" s="193"/>
    </row>
    <row r="105728" spans="6:6" x14ac:dyDescent="0.3">
      <c r="F105728" s="193"/>
    </row>
    <row r="105729" spans="6:6" x14ac:dyDescent="0.3">
      <c r="F105729" s="193"/>
    </row>
    <row r="105730" spans="6:6" x14ac:dyDescent="0.3">
      <c r="F105730" s="193"/>
    </row>
    <row r="105731" spans="6:6" x14ac:dyDescent="0.3">
      <c r="F105731" s="193"/>
    </row>
    <row r="105732" spans="6:6" x14ac:dyDescent="0.3">
      <c r="F105732" s="193"/>
    </row>
    <row r="105733" spans="6:6" x14ac:dyDescent="0.3">
      <c r="F105733" s="193"/>
    </row>
    <row r="105734" spans="6:6" x14ac:dyDescent="0.3">
      <c r="F105734" s="193"/>
    </row>
    <row r="105735" spans="6:6" x14ac:dyDescent="0.3">
      <c r="F105735" s="193"/>
    </row>
    <row r="105736" spans="6:6" x14ac:dyDescent="0.3">
      <c r="F105736" s="193"/>
    </row>
    <row r="105737" spans="6:6" x14ac:dyDescent="0.3">
      <c r="F105737" s="193"/>
    </row>
    <row r="105738" spans="6:6" x14ac:dyDescent="0.3">
      <c r="F105738" s="193"/>
    </row>
    <row r="105739" spans="6:6" x14ac:dyDescent="0.3">
      <c r="F105739" s="193"/>
    </row>
    <row r="105740" spans="6:6" x14ac:dyDescent="0.3">
      <c r="F105740" s="193"/>
    </row>
    <row r="105741" spans="6:6" x14ac:dyDescent="0.3">
      <c r="F105741" s="193"/>
    </row>
    <row r="105742" spans="6:6" x14ac:dyDescent="0.3">
      <c r="F105742" s="193"/>
    </row>
    <row r="105743" spans="6:6" x14ac:dyDescent="0.3">
      <c r="F105743" s="193"/>
    </row>
    <row r="105744" spans="6:6" x14ac:dyDescent="0.3">
      <c r="F105744" s="193"/>
    </row>
    <row r="105745" spans="6:6" x14ac:dyDescent="0.3">
      <c r="F105745" s="193"/>
    </row>
    <row r="105746" spans="6:6" x14ac:dyDescent="0.3">
      <c r="F105746" s="193"/>
    </row>
    <row r="105747" spans="6:6" x14ac:dyDescent="0.3">
      <c r="F105747" s="193"/>
    </row>
    <row r="105748" spans="6:6" x14ac:dyDescent="0.3">
      <c r="F105748" s="193"/>
    </row>
    <row r="105749" spans="6:6" x14ac:dyDescent="0.3">
      <c r="F105749" s="193"/>
    </row>
    <row r="105750" spans="6:6" x14ac:dyDescent="0.3">
      <c r="F105750" s="193"/>
    </row>
    <row r="105751" spans="6:6" x14ac:dyDescent="0.3">
      <c r="F105751" s="193"/>
    </row>
    <row r="105752" spans="6:6" x14ac:dyDescent="0.3">
      <c r="F105752" s="193"/>
    </row>
    <row r="105753" spans="6:6" x14ac:dyDescent="0.3">
      <c r="F105753" s="193"/>
    </row>
    <row r="105754" spans="6:6" x14ac:dyDescent="0.3">
      <c r="F105754" s="193"/>
    </row>
    <row r="105755" spans="6:6" x14ac:dyDescent="0.3">
      <c r="F105755" s="193"/>
    </row>
    <row r="105756" spans="6:6" x14ac:dyDescent="0.3">
      <c r="F105756" s="193"/>
    </row>
    <row r="105757" spans="6:6" x14ac:dyDescent="0.3">
      <c r="F105757" s="193"/>
    </row>
    <row r="105758" spans="6:6" x14ac:dyDescent="0.3">
      <c r="F105758" s="193"/>
    </row>
    <row r="105759" spans="6:6" x14ac:dyDescent="0.3">
      <c r="F105759" s="193"/>
    </row>
    <row r="105760" spans="6:6" x14ac:dyDescent="0.3">
      <c r="F105760" s="193"/>
    </row>
    <row r="105761" spans="6:6" x14ac:dyDescent="0.3">
      <c r="F105761" s="193"/>
    </row>
    <row r="105762" spans="6:6" x14ac:dyDescent="0.3">
      <c r="F105762" s="193"/>
    </row>
    <row r="105763" spans="6:6" x14ac:dyDescent="0.3">
      <c r="F105763" s="193"/>
    </row>
    <row r="105764" spans="6:6" x14ac:dyDescent="0.3">
      <c r="F105764" s="193"/>
    </row>
    <row r="105765" spans="6:6" x14ac:dyDescent="0.3">
      <c r="F105765" s="193"/>
    </row>
    <row r="105766" spans="6:6" x14ac:dyDescent="0.3">
      <c r="F105766" s="193"/>
    </row>
    <row r="105767" spans="6:6" x14ac:dyDescent="0.3">
      <c r="F105767" s="193"/>
    </row>
    <row r="105768" spans="6:6" x14ac:dyDescent="0.3">
      <c r="F105768" s="193"/>
    </row>
    <row r="105769" spans="6:6" x14ac:dyDescent="0.3">
      <c r="F105769" s="193"/>
    </row>
    <row r="105770" spans="6:6" x14ac:dyDescent="0.3">
      <c r="F105770" s="193"/>
    </row>
    <row r="105771" spans="6:6" x14ac:dyDescent="0.3">
      <c r="F105771" s="193"/>
    </row>
    <row r="105772" spans="6:6" x14ac:dyDescent="0.3">
      <c r="F105772" s="193"/>
    </row>
    <row r="105773" spans="6:6" x14ac:dyDescent="0.3">
      <c r="F105773" s="193"/>
    </row>
    <row r="105774" spans="6:6" x14ac:dyDescent="0.3">
      <c r="F105774" s="193"/>
    </row>
    <row r="105775" spans="6:6" x14ac:dyDescent="0.3">
      <c r="F105775" s="193"/>
    </row>
    <row r="105776" spans="6:6" x14ac:dyDescent="0.3">
      <c r="F105776" s="193"/>
    </row>
    <row r="105777" spans="6:6" x14ac:dyDescent="0.3">
      <c r="F105777" s="193"/>
    </row>
    <row r="105778" spans="6:6" x14ac:dyDescent="0.3">
      <c r="F105778" s="193"/>
    </row>
    <row r="105779" spans="6:6" x14ac:dyDescent="0.3">
      <c r="F105779" s="193"/>
    </row>
    <row r="105780" spans="6:6" x14ac:dyDescent="0.3">
      <c r="F105780" s="193"/>
    </row>
    <row r="105781" spans="6:6" x14ac:dyDescent="0.3">
      <c r="F105781" s="193"/>
    </row>
    <row r="105782" spans="6:6" x14ac:dyDescent="0.3">
      <c r="F105782" s="193"/>
    </row>
    <row r="105783" spans="6:6" x14ac:dyDescent="0.3">
      <c r="F105783" s="193"/>
    </row>
    <row r="105784" spans="6:6" x14ac:dyDescent="0.3">
      <c r="F105784" s="193"/>
    </row>
    <row r="105785" spans="6:6" x14ac:dyDescent="0.3">
      <c r="F105785" s="193"/>
    </row>
    <row r="105786" spans="6:6" x14ac:dyDescent="0.3">
      <c r="F105786" s="193"/>
    </row>
    <row r="105787" spans="6:6" x14ac:dyDescent="0.3">
      <c r="F105787" s="193"/>
    </row>
    <row r="105788" spans="6:6" x14ac:dyDescent="0.3">
      <c r="F105788" s="193"/>
    </row>
    <row r="105789" spans="6:6" x14ac:dyDescent="0.3">
      <c r="F105789" s="193"/>
    </row>
    <row r="105790" spans="6:6" x14ac:dyDescent="0.3">
      <c r="F105790" s="193"/>
    </row>
    <row r="105791" spans="6:6" x14ac:dyDescent="0.3">
      <c r="F105791" s="193"/>
    </row>
    <row r="105792" spans="6:6" x14ac:dyDescent="0.3">
      <c r="F105792" s="193"/>
    </row>
    <row r="105793" spans="6:6" x14ac:dyDescent="0.3">
      <c r="F105793" s="193"/>
    </row>
    <row r="105794" spans="6:6" x14ac:dyDescent="0.3">
      <c r="F105794" s="193"/>
    </row>
    <row r="105795" spans="6:6" x14ac:dyDescent="0.3">
      <c r="F105795" s="193"/>
    </row>
    <row r="105796" spans="6:6" x14ac:dyDescent="0.3">
      <c r="F105796" s="193"/>
    </row>
    <row r="105797" spans="6:6" x14ac:dyDescent="0.3">
      <c r="F105797" s="193"/>
    </row>
    <row r="105798" spans="6:6" x14ac:dyDescent="0.3">
      <c r="F105798" s="193"/>
    </row>
    <row r="105799" spans="6:6" x14ac:dyDescent="0.3">
      <c r="F105799" s="193"/>
    </row>
    <row r="105800" spans="6:6" x14ac:dyDescent="0.3">
      <c r="F105800" s="193"/>
    </row>
    <row r="105801" spans="6:6" x14ac:dyDescent="0.3">
      <c r="F105801" s="193"/>
    </row>
    <row r="105802" spans="6:6" x14ac:dyDescent="0.3">
      <c r="F105802" s="193"/>
    </row>
    <row r="105803" spans="6:6" x14ac:dyDescent="0.3">
      <c r="F105803" s="193"/>
    </row>
    <row r="105804" spans="6:6" x14ac:dyDescent="0.3">
      <c r="F105804" s="193"/>
    </row>
    <row r="105805" spans="6:6" x14ac:dyDescent="0.3">
      <c r="F105805" s="193"/>
    </row>
    <row r="105806" spans="6:6" x14ac:dyDescent="0.3">
      <c r="F105806" s="193"/>
    </row>
    <row r="105807" spans="6:6" x14ac:dyDescent="0.3">
      <c r="F105807" s="193"/>
    </row>
    <row r="105808" spans="6:6" x14ac:dyDescent="0.3">
      <c r="F105808" s="193"/>
    </row>
    <row r="105809" spans="6:6" x14ac:dyDescent="0.3">
      <c r="F105809" s="193"/>
    </row>
    <row r="105810" spans="6:6" x14ac:dyDescent="0.3">
      <c r="F105810" s="193"/>
    </row>
    <row r="105811" spans="6:6" x14ac:dyDescent="0.3">
      <c r="F105811" s="193"/>
    </row>
    <row r="105812" spans="6:6" x14ac:dyDescent="0.3">
      <c r="F105812" s="193"/>
    </row>
    <row r="105813" spans="6:6" x14ac:dyDescent="0.3">
      <c r="F105813" s="193"/>
    </row>
    <row r="105814" spans="6:6" x14ac:dyDescent="0.3">
      <c r="F105814" s="193"/>
    </row>
    <row r="105815" spans="6:6" x14ac:dyDescent="0.3">
      <c r="F105815" s="193"/>
    </row>
    <row r="105816" spans="6:6" x14ac:dyDescent="0.3">
      <c r="F105816" s="193"/>
    </row>
    <row r="105817" spans="6:6" x14ac:dyDescent="0.3">
      <c r="F105817" s="193"/>
    </row>
    <row r="105818" spans="6:6" x14ac:dyDescent="0.3">
      <c r="F105818" s="193"/>
    </row>
    <row r="105819" spans="6:6" x14ac:dyDescent="0.3">
      <c r="F105819" s="193"/>
    </row>
    <row r="105820" spans="6:6" x14ac:dyDescent="0.3">
      <c r="F105820" s="193"/>
    </row>
    <row r="105821" spans="6:6" x14ac:dyDescent="0.3">
      <c r="F105821" s="193"/>
    </row>
    <row r="105822" spans="6:6" x14ac:dyDescent="0.3">
      <c r="F105822" s="193"/>
    </row>
    <row r="105823" spans="6:6" x14ac:dyDescent="0.3">
      <c r="F105823" s="193"/>
    </row>
    <row r="105824" spans="6:6" x14ac:dyDescent="0.3">
      <c r="F105824" s="193"/>
    </row>
    <row r="105825" spans="6:6" x14ac:dyDescent="0.3">
      <c r="F105825" s="193"/>
    </row>
    <row r="105826" spans="6:6" x14ac:dyDescent="0.3">
      <c r="F105826" s="193"/>
    </row>
    <row r="105827" spans="6:6" x14ac:dyDescent="0.3">
      <c r="F105827" s="193"/>
    </row>
    <row r="105828" spans="6:6" x14ac:dyDescent="0.3">
      <c r="F105828" s="193"/>
    </row>
    <row r="105829" spans="6:6" x14ac:dyDescent="0.3">
      <c r="F105829" s="193"/>
    </row>
    <row r="105830" spans="6:6" x14ac:dyDescent="0.3">
      <c r="F105830" s="193"/>
    </row>
    <row r="105831" spans="6:6" x14ac:dyDescent="0.3">
      <c r="F105831" s="193"/>
    </row>
    <row r="105832" spans="6:6" x14ac:dyDescent="0.3">
      <c r="F105832" s="193"/>
    </row>
    <row r="105833" spans="6:6" x14ac:dyDescent="0.3">
      <c r="F105833" s="193"/>
    </row>
    <row r="105834" spans="6:6" x14ac:dyDescent="0.3">
      <c r="F105834" s="193"/>
    </row>
    <row r="105835" spans="6:6" x14ac:dyDescent="0.3">
      <c r="F105835" s="193"/>
    </row>
    <row r="105836" spans="6:6" x14ac:dyDescent="0.3">
      <c r="F105836" s="193"/>
    </row>
    <row r="105837" spans="6:6" x14ac:dyDescent="0.3">
      <c r="F105837" s="193"/>
    </row>
    <row r="105838" spans="6:6" x14ac:dyDescent="0.3">
      <c r="F105838" s="193"/>
    </row>
    <row r="105839" spans="6:6" x14ac:dyDescent="0.3">
      <c r="F105839" s="193"/>
    </row>
    <row r="105840" spans="6:6" x14ac:dyDescent="0.3">
      <c r="F105840" s="193"/>
    </row>
    <row r="105841" spans="6:6" x14ac:dyDescent="0.3">
      <c r="F105841" s="193"/>
    </row>
    <row r="105842" spans="6:6" x14ac:dyDescent="0.3">
      <c r="F105842" s="193"/>
    </row>
    <row r="105843" spans="6:6" x14ac:dyDescent="0.3">
      <c r="F105843" s="193"/>
    </row>
    <row r="105844" spans="6:6" x14ac:dyDescent="0.3">
      <c r="F105844" s="193"/>
    </row>
    <row r="105845" spans="6:6" x14ac:dyDescent="0.3">
      <c r="F105845" s="193"/>
    </row>
    <row r="105846" spans="6:6" x14ac:dyDescent="0.3">
      <c r="F105846" s="193"/>
    </row>
    <row r="105847" spans="6:6" x14ac:dyDescent="0.3">
      <c r="F105847" s="193"/>
    </row>
    <row r="105848" spans="6:6" x14ac:dyDescent="0.3">
      <c r="F105848" s="193"/>
    </row>
    <row r="105849" spans="6:6" x14ac:dyDescent="0.3">
      <c r="F105849" s="193"/>
    </row>
    <row r="105850" spans="6:6" x14ac:dyDescent="0.3">
      <c r="F105850" s="193"/>
    </row>
    <row r="105851" spans="6:6" x14ac:dyDescent="0.3">
      <c r="F105851" s="193"/>
    </row>
    <row r="105852" spans="6:6" x14ac:dyDescent="0.3">
      <c r="F105852" s="193"/>
    </row>
    <row r="105853" spans="6:6" x14ac:dyDescent="0.3">
      <c r="F105853" s="193"/>
    </row>
    <row r="105854" spans="6:6" x14ac:dyDescent="0.3">
      <c r="F105854" s="193"/>
    </row>
    <row r="105855" spans="6:6" x14ac:dyDescent="0.3">
      <c r="F105855" s="193"/>
    </row>
    <row r="105856" spans="6:6" x14ac:dyDescent="0.3">
      <c r="F105856" s="193"/>
    </row>
    <row r="105857" spans="6:6" x14ac:dyDescent="0.3">
      <c r="F105857" s="193"/>
    </row>
    <row r="105858" spans="6:6" x14ac:dyDescent="0.3">
      <c r="F105858" s="193"/>
    </row>
    <row r="105859" spans="6:6" x14ac:dyDescent="0.3">
      <c r="F105859" s="193"/>
    </row>
    <row r="105860" spans="6:6" x14ac:dyDescent="0.3">
      <c r="F105860" s="193"/>
    </row>
    <row r="105861" spans="6:6" x14ac:dyDescent="0.3">
      <c r="F105861" s="193"/>
    </row>
    <row r="105862" spans="6:6" x14ac:dyDescent="0.3">
      <c r="F105862" s="193"/>
    </row>
    <row r="105863" spans="6:6" x14ac:dyDescent="0.3">
      <c r="F105863" s="193"/>
    </row>
    <row r="105864" spans="6:6" x14ac:dyDescent="0.3">
      <c r="F105864" s="193"/>
    </row>
    <row r="105865" spans="6:6" x14ac:dyDescent="0.3">
      <c r="F105865" s="193"/>
    </row>
    <row r="105866" spans="6:6" x14ac:dyDescent="0.3">
      <c r="F105866" s="193"/>
    </row>
    <row r="105867" spans="6:6" x14ac:dyDescent="0.3">
      <c r="F105867" s="193"/>
    </row>
    <row r="105868" spans="6:6" x14ac:dyDescent="0.3">
      <c r="F105868" s="193"/>
    </row>
    <row r="105869" spans="6:6" x14ac:dyDescent="0.3">
      <c r="F105869" s="193"/>
    </row>
    <row r="105870" spans="6:6" x14ac:dyDescent="0.3">
      <c r="F105870" s="193"/>
    </row>
    <row r="105871" spans="6:6" x14ac:dyDescent="0.3">
      <c r="F105871" s="193"/>
    </row>
    <row r="105872" spans="6:6" x14ac:dyDescent="0.3">
      <c r="F105872" s="193"/>
    </row>
    <row r="105873" spans="6:6" x14ac:dyDescent="0.3">
      <c r="F105873" s="193"/>
    </row>
    <row r="105874" spans="6:6" x14ac:dyDescent="0.3">
      <c r="F105874" s="193"/>
    </row>
    <row r="105875" spans="6:6" x14ac:dyDescent="0.3">
      <c r="F105875" s="193"/>
    </row>
    <row r="105876" spans="6:6" x14ac:dyDescent="0.3">
      <c r="F105876" s="193"/>
    </row>
    <row r="105877" spans="6:6" x14ac:dyDescent="0.3">
      <c r="F105877" s="193"/>
    </row>
    <row r="105878" spans="6:6" x14ac:dyDescent="0.3">
      <c r="F105878" s="193"/>
    </row>
    <row r="105879" spans="6:6" x14ac:dyDescent="0.3">
      <c r="F105879" s="193"/>
    </row>
    <row r="105880" spans="6:6" x14ac:dyDescent="0.3">
      <c r="F105880" s="193"/>
    </row>
    <row r="105881" spans="6:6" x14ac:dyDescent="0.3">
      <c r="F105881" s="193"/>
    </row>
    <row r="105882" spans="6:6" x14ac:dyDescent="0.3">
      <c r="F105882" s="193"/>
    </row>
    <row r="105883" spans="6:6" x14ac:dyDescent="0.3">
      <c r="F105883" s="193"/>
    </row>
    <row r="105884" spans="6:6" x14ac:dyDescent="0.3">
      <c r="F105884" s="193"/>
    </row>
    <row r="105885" spans="6:6" x14ac:dyDescent="0.3">
      <c r="F105885" s="193"/>
    </row>
    <row r="105886" spans="6:6" x14ac:dyDescent="0.3">
      <c r="F105886" s="193"/>
    </row>
    <row r="105887" spans="6:6" x14ac:dyDescent="0.3">
      <c r="F105887" s="193"/>
    </row>
    <row r="105888" spans="6:6" x14ac:dyDescent="0.3">
      <c r="F105888" s="193"/>
    </row>
    <row r="105889" spans="6:6" x14ac:dyDescent="0.3">
      <c r="F105889" s="193"/>
    </row>
    <row r="105890" spans="6:6" x14ac:dyDescent="0.3">
      <c r="F105890" s="193"/>
    </row>
    <row r="105891" spans="6:6" x14ac:dyDescent="0.3">
      <c r="F105891" s="193"/>
    </row>
    <row r="105892" spans="6:6" x14ac:dyDescent="0.3">
      <c r="F105892" s="193"/>
    </row>
    <row r="105893" spans="6:6" x14ac:dyDescent="0.3">
      <c r="F105893" s="193"/>
    </row>
    <row r="105894" spans="6:6" x14ac:dyDescent="0.3">
      <c r="F105894" s="193"/>
    </row>
    <row r="105895" spans="6:6" x14ac:dyDescent="0.3">
      <c r="F105895" s="193"/>
    </row>
    <row r="105896" spans="6:6" x14ac:dyDescent="0.3">
      <c r="F105896" s="193"/>
    </row>
    <row r="105897" spans="6:6" x14ac:dyDescent="0.3">
      <c r="F105897" s="193"/>
    </row>
    <row r="105898" spans="6:6" x14ac:dyDescent="0.3">
      <c r="F105898" s="193"/>
    </row>
    <row r="105899" spans="6:6" x14ac:dyDescent="0.3">
      <c r="F105899" s="193"/>
    </row>
    <row r="105900" spans="6:6" x14ac:dyDescent="0.3">
      <c r="F105900" s="193"/>
    </row>
    <row r="105901" spans="6:6" x14ac:dyDescent="0.3">
      <c r="F105901" s="193"/>
    </row>
    <row r="105902" spans="6:6" x14ac:dyDescent="0.3">
      <c r="F105902" s="193"/>
    </row>
    <row r="105903" spans="6:6" x14ac:dyDescent="0.3">
      <c r="F105903" s="193"/>
    </row>
    <row r="105904" spans="6:6" x14ac:dyDescent="0.3">
      <c r="F105904" s="193"/>
    </row>
    <row r="105905" spans="6:6" x14ac:dyDescent="0.3">
      <c r="F105905" s="193"/>
    </row>
    <row r="105906" spans="6:6" x14ac:dyDescent="0.3">
      <c r="F105906" s="193"/>
    </row>
    <row r="105907" spans="6:6" x14ac:dyDescent="0.3">
      <c r="F105907" s="193"/>
    </row>
    <row r="105908" spans="6:6" x14ac:dyDescent="0.3">
      <c r="F105908" s="193"/>
    </row>
    <row r="105909" spans="6:6" x14ac:dyDescent="0.3">
      <c r="F105909" s="193"/>
    </row>
    <row r="105910" spans="6:6" x14ac:dyDescent="0.3">
      <c r="F105910" s="193"/>
    </row>
    <row r="105911" spans="6:6" x14ac:dyDescent="0.3">
      <c r="F105911" s="193"/>
    </row>
    <row r="105912" spans="6:6" x14ac:dyDescent="0.3">
      <c r="F105912" s="193"/>
    </row>
    <row r="105913" spans="6:6" x14ac:dyDescent="0.3">
      <c r="F105913" s="193"/>
    </row>
    <row r="105914" spans="6:6" x14ac:dyDescent="0.3">
      <c r="F105914" s="193"/>
    </row>
    <row r="105915" spans="6:6" x14ac:dyDescent="0.3">
      <c r="F105915" s="193"/>
    </row>
    <row r="105916" spans="6:6" x14ac:dyDescent="0.3">
      <c r="F105916" s="193"/>
    </row>
    <row r="105917" spans="6:6" x14ac:dyDescent="0.3">
      <c r="F105917" s="193"/>
    </row>
    <row r="105918" spans="6:6" x14ac:dyDescent="0.3">
      <c r="F105918" s="193"/>
    </row>
    <row r="105919" spans="6:6" x14ac:dyDescent="0.3">
      <c r="F105919" s="193"/>
    </row>
    <row r="105920" spans="6:6" x14ac:dyDescent="0.3">
      <c r="F105920" s="193"/>
    </row>
    <row r="105921" spans="6:6" x14ac:dyDescent="0.3">
      <c r="F105921" s="193"/>
    </row>
    <row r="105922" spans="6:6" x14ac:dyDescent="0.3">
      <c r="F105922" s="193"/>
    </row>
    <row r="105923" spans="6:6" x14ac:dyDescent="0.3">
      <c r="F105923" s="193"/>
    </row>
    <row r="105924" spans="6:6" x14ac:dyDescent="0.3">
      <c r="F105924" s="193"/>
    </row>
    <row r="105925" spans="6:6" x14ac:dyDescent="0.3">
      <c r="F105925" s="193"/>
    </row>
    <row r="105926" spans="6:6" x14ac:dyDescent="0.3">
      <c r="F105926" s="193"/>
    </row>
    <row r="105927" spans="6:6" x14ac:dyDescent="0.3">
      <c r="F105927" s="193"/>
    </row>
    <row r="105928" spans="6:6" x14ac:dyDescent="0.3">
      <c r="F105928" s="193"/>
    </row>
    <row r="105929" spans="6:6" x14ac:dyDescent="0.3">
      <c r="F105929" s="193"/>
    </row>
    <row r="105930" spans="6:6" x14ac:dyDescent="0.3">
      <c r="F105930" s="193"/>
    </row>
    <row r="105931" spans="6:6" x14ac:dyDescent="0.3">
      <c r="F105931" s="193"/>
    </row>
    <row r="105932" spans="6:6" x14ac:dyDescent="0.3">
      <c r="F105932" s="193"/>
    </row>
    <row r="105933" spans="6:6" x14ac:dyDescent="0.3">
      <c r="F105933" s="193"/>
    </row>
    <row r="105934" spans="6:6" x14ac:dyDescent="0.3">
      <c r="F105934" s="193"/>
    </row>
    <row r="105935" spans="6:6" x14ac:dyDescent="0.3">
      <c r="F105935" s="193"/>
    </row>
    <row r="105936" spans="6:6" x14ac:dyDescent="0.3">
      <c r="F105936" s="193"/>
    </row>
    <row r="105937" spans="6:6" x14ac:dyDescent="0.3">
      <c r="F105937" s="193"/>
    </row>
    <row r="105938" spans="6:6" x14ac:dyDescent="0.3">
      <c r="F105938" s="193"/>
    </row>
    <row r="105939" spans="6:6" x14ac:dyDescent="0.3">
      <c r="F105939" s="193"/>
    </row>
    <row r="105940" spans="6:6" x14ac:dyDescent="0.3">
      <c r="F105940" s="193"/>
    </row>
    <row r="105941" spans="6:6" x14ac:dyDescent="0.3">
      <c r="F105941" s="193"/>
    </row>
    <row r="105942" spans="6:6" x14ac:dyDescent="0.3">
      <c r="F105942" s="193"/>
    </row>
    <row r="105943" spans="6:6" x14ac:dyDescent="0.3">
      <c r="F105943" s="193"/>
    </row>
    <row r="105944" spans="6:6" x14ac:dyDescent="0.3">
      <c r="F105944" s="193"/>
    </row>
    <row r="105945" spans="6:6" x14ac:dyDescent="0.3">
      <c r="F105945" s="193"/>
    </row>
    <row r="105946" spans="6:6" x14ac:dyDescent="0.3">
      <c r="F105946" s="193"/>
    </row>
    <row r="105947" spans="6:6" x14ac:dyDescent="0.3">
      <c r="F105947" s="193"/>
    </row>
    <row r="105948" spans="6:6" x14ac:dyDescent="0.3">
      <c r="F105948" s="193"/>
    </row>
    <row r="105949" spans="6:6" x14ac:dyDescent="0.3">
      <c r="F105949" s="193"/>
    </row>
    <row r="105950" spans="6:6" x14ac:dyDescent="0.3">
      <c r="F105950" s="193"/>
    </row>
    <row r="105951" spans="6:6" x14ac:dyDescent="0.3">
      <c r="F105951" s="193"/>
    </row>
    <row r="105952" spans="6:6" x14ac:dyDescent="0.3">
      <c r="F105952" s="193"/>
    </row>
    <row r="105953" spans="6:6" x14ac:dyDescent="0.3">
      <c r="F105953" s="193"/>
    </row>
    <row r="105954" spans="6:6" x14ac:dyDescent="0.3">
      <c r="F105954" s="193"/>
    </row>
    <row r="105955" spans="6:6" x14ac:dyDescent="0.3">
      <c r="F105955" s="193"/>
    </row>
    <row r="105956" spans="6:6" x14ac:dyDescent="0.3">
      <c r="F105956" s="193"/>
    </row>
    <row r="105957" spans="6:6" x14ac:dyDescent="0.3">
      <c r="F105957" s="193"/>
    </row>
    <row r="105958" spans="6:6" x14ac:dyDescent="0.3">
      <c r="F105958" s="193"/>
    </row>
    <row r="105959" spans="6:6" x14ac:dyDescent="0.3">
      <c r="F105959" s="193"/>
    </row>
    <row r="105960" spans="6:6" x14ac:dyDescent="0.3">
      <c r="F105960" s="193"/>
    </row>
    <row r="105961" spans="6:6" x14ac:dyDescent="0.3">
      <c r="F105961" s="193"/>
    </row>
    <row r="105962" spans="6:6" x14ac:dyDescent="0.3">
      <c r="F105962" s="193"/>
    </row>
    <row r="105963" spans="6:6" x14ac:dyDescent="0.3">
      <c r="F105963" s="193"/>
    </row>
    <row r="105964" spans="6:6" x14ac:dyDescent="0.3">
      <c r="F105964" s="193"/>
    </row>
    <row r="105965" spans="6:6" x14ac:dyDescent="0.3">
      <c r="F105965" s="193"/>
    </row>
    <row r="105966" spans="6:6" x14ac:dyDescent="0.3">
      <c r="F105966" s="193"/>
    </row>
    <row r="105967" spans="6:6" x14ac:dyDescent="0.3">
      <c r="F105967" s="193"/>
    </row>
    <row r="105968" spans="6:6" x14ac:dyDescent="0.3">
      <c r="F105968" s="193"/>
    </row>
    <row r="105969" spans="6:6" x14ac:dyDescent="0.3">
      <c r="F105969" s="193"/>
    </row>
    <row r="105970" spans="6:6" x14ac:dyDescent="0.3">
      <c r="F105970" s="193"/>
    </row>
    <row r="105971" spans="6:6" x14ac:dyDescent="0.3">
      <c r="F105971" s="193"/>
    </row>
    <row r="105972" spans="6:6" x14ac:dyDescent="0.3">
      <c r="F105972" s="193"/>
    </row>
    <row r="105973" spans="6:6" x14ac:dyDescent="0.3">
      <c r="F105973" s="193"/>
    </row>
    <row r="105974" spans="6:6" x14ac:dyDescent="0.3">
      <c r="F105974" s="193"/>
    </row>
    <row r="105975" spans="6:6" x14ac:dyDescent="0.3">
      <c r="F105975" s="193"/>
    </row>
    <row r="105976" spans="6:6" x14ac:dyDescent="0.3">
      <c r="F105976" s="193"/>
    </row>
    <row r="105977" spans="6:6" x14ac:dyDescent="0.3">
      <c r="F105977" s="193"/>
    </row>
    <row r="105978" spans="6:6" x14ac:dyDescent="0.3">
      <c r="F105978" s="193"/>
    </row>
    <row r="105979" spans="6:6" x14ac:dyDescent="0.3">
      <c r="F105979" s="193"/>
    </row>
    <row r="105980" spans="6:6" x14ac:dyDescent="0.3">
      <c r="F105980" s="193"/>
    </row>
    <row r="105981" spans="6:6" x14ac:dyDescent="0.3">
      <c r="F105981" s="193"/>
    </row>
    <row r="105982" spans="6:6" x14ac:dyDescent="0.3">
      <c r="F105982" s="193"/>
    </row>
    <row r="105983" spans="6:6" x14ac:dyDescent="0.3">
      <c r="F105983" s="193"/>
    </row>
    <row r="105984" spans="6:6" x14ac:dyDescent="0.3">
      <c r="F105984" s="193"/>
    </row>
    <row r="105985" spans="6:6" x14ac:dyDescent="0.3">
      <c r="F105985" s="193"/>
    </row>
    <row r="105986" spans="6:6" x14ac:dyDescent="0.3">
      <c r="F105986" s="193"/>
    </row>
    <row r="105987" spans="6:6" x14ac:dyDescent="0.3">
      <c r="F105987" s="193"/>
    </row>
    <row r="105988" spans="6:6" x14ac:dyDescent="0.3">
      <c r="F105988" s="193"/>
    </row>
    <row r="105989" spans="6:6" x14ac:dyDescent="0.3">
      <c r="F105989" s="193"/>
    </row>
    <row r="105990" spans="6:6" x14ac:dyDescent="0.3">
      <c r="F105990" s="193"/>
    </row>
    <row r="105991" spans="6:6" x14ac:dyDescent="0.3">
      <c r="F105991" s="193"/>
    </row>
    <row r="105992" spans="6:6" x14ac:dyDescent="0.3">
      <c r="F105992" s="193"/>
    </row>
    <row r="105993" spans="6:6" x14ac:dyDescent="0.3">
      <c r="F105993" s="193"/>
    </row>
    <row r="105994" spans="6:6" x14ac:dyDescent="0.3">
      <c r="F105994" s="193"/>
    </row>
    <row r="105995" spans="6:6" x14ac:dyDescent="0.3">
      <c r="F105995" s="193"/>
    </row>
    <row r="105996" spans="6:6" x14ac:dyDescent="0.3">
      <c r="F105996" s="193"/>
    </row>
    <row r="105997" spans="6:6" x14ac:dyDescent="0.3">
      <c r="F105997" s="193"/>
    </row>
    <row r="105998" spans="6:6" x14ac:dyDescent="0.3">
      <c r="F105998" s="193"/>
    </row>
    <row r="105999" spans="6:6" x14ac:dyDescent="0.3">
      <c r="F105999" s="193"/>
    </row>
    <row r="106000" spans="6:6" x14ac:dyDescent="0.3">
      <c r="F106000" s="193"/>
    </row>
    <row r="106001" spans="6:6" x14ac:dyDescent="0.3">
      <c r="F106001" s="193"/>
    </row>
    <row r="106002" spans="6:6" x14ac:dyDescent="0.3">
      <c r="F106002" s="193"/>
    </row>
    <row r="106003" spans="6:6" x14ac:dyDescent="0.3">
      <c r="F106003" s="193"/>
    </row>
    <row r="106004" spans="6:6" x14ac:dyDescent="0.3">
      <c r="F106004" s="193"/>
    </row>
    <row r="106005" spans="6:6" x14ac:dyDescent="0.3">
      <c r="F106005" s="193"/>
    </row>
    <row r="106006" spans="6:6" x14ac:dyDescent="0.3">
      <c r="F106006" s="193"/>
    </row>
    <row r="106007" spans="6:6" x14ac:dyDescent="0.3">
      <c r="F106007" s="193"/>
    </row>
    <row r="106008" spans="6:6" x14ac:dyDescent="0.3">
      <c r="F106008" s="193"/>
    </row>
    <row r="106009" spans="6:6" x14ac:dyDescent="0.3">
      <c r="F106009" s="193"/>
    </row>
    <row r="106010" spans="6:6" x14ac:dyDescent="0.3">
      <c r="F106010" s="193"/>
    </row>
    <row r="106011" spans="6:6" x14ac:dyDescent="0.3">
      <c r="F106011" s="193"/>
    </row>
    <row r="106012" spans="6:6" x14ac:dyDescent="0.3">
      <c r="F106012" s="193"/>
    </row>
    <row r="106013" spans="6:6" x14ac:dyDescent="0.3">
      <c r="F106013" s="193"/>
    </row>
    <row r="106014" spans="6:6" x14ac:dyDescent="0.3">
      <c r="F106014" s="193"/>
    </row>
    <row r="106015" spans="6:6" x14ac:dyDescent="0.3">
      <c r="F106015" s="193"/>
    </row>
    <row r="106016" spans="6:6" x14ac:dyDescent="0.3">
      <c r="F106016" s="193"/>
    </row>
    <row r="106017" spans="6:6" x14ac:dyDescent="0.3">
      <c r="F106017" s="193"/>
    </row>
    <row r="106018" spans="6:6" x14ac:dyDescent="0.3">
      <c r="F106018" s="193"/>
    </row>
    <row r="106019" spans="6:6" x14ac:dyDescent="0.3">
      <c r="F106019" s="193"/>
    </row>
    <row r="106020" spans="6:6" x14ac:dyDescent="0.3">
      <c r="F106020" s="193"/>
    </row>
    <row r="106021" spans="6:6" x14ac:dyDescent="0.3">
      <c r="F106021" s="193"/>
    </row>
    <row r="106022" spans="6:6" x14ac:dyDescent="0.3">
      <c r="F106022" s="193"/>
    </row>
    <row r="106023" spans="6:6" x14ac:dyDescent="0.3">
      <c r="F106023" s="193"/>
    </row>
    <row r="106024" spans="6:6" x14ac:dyDescent="0.3">
      <c r="F106024" s="193"/>
    </row>
    <row r="106025" spans="6:6" x14ac:dyDescent="0.3">
      <c r="F106025" s="193"/>
    </row>
    <row r="106026" spans="6:6" x14ac:dyDescent="0.3">
      <c r="F106026" s="193"/>
    </row>
    <row r="106027" spans="6:6" x14ac:dyDescent="0.3">
      <c r="F106027" s="193"/>
    </row>
    <row r="106028" spans="6:6" x14ac:dyDescent="0.3">
      <c r="F106028" s="193"/>
    </row>
    <row r="106029" spans="6:6" x14ac:dyDescent="0.3">
      <c r="F106029" s="193"/>
    </row>
    <row r="106030" spans="6:6" x14ac:dyDescent="0.3">
      <c r="F106030" s="193"/>
    </row>
    <row r="106031" spans="6:6" x14ac:dyDescent="0.3">
      <c r="F106031" s="193"/>
    </row>
    <row r="106032" spans="6:6" x14ac:dyDescent="0.3">
      <c r="F106032" s="193"/>
    </row>
    <row r="106033" spans="6:6" x14ac:dyDescent="0.3">
      <c r="F106033" s="193"/>
    </row>
    <row r="106034" spans="6:6" x14ac:dyDescent="0.3">
      <c r="F106034" s="193"/>
    </row>
    <row r="106035" spans="6:6" x14ac:dyDescent="0.3">
      <c r="F106035" s="193"/>
    </row>
    <row r="106036" spans="6:6" x14ac:dyDescent="0.3">
      <c r="F106036" s="193"/>
    </row>
    <row r="106037" spans="6:6" x14ac:dyDescent="0.3">
      <c r="F106037" s="193"/>
    </row>
    <row r="106038" spans="6:6" x14ac:dyDescent="0.3">
      <c r="F106038" s="193"/>
    </row>
    <row r="106039" spans="6:6" x14ac:dyDescent="0.3">
      <c r="F106039" s="193"/>
    </row>
    <row r="106040" spans="6:6" x14ac:dyDescent="0.3">
      <c r="F106040" s="193"/>
    </row>
    <row r="106041" spans="6:6" x14ac:dyDescent="0.3">
      <c r="F106041" s="193"/>
    </row>
    <row r="106042" spans="6:6" x14ac:dyDescent="0.3">
      <c r="F106042" s="193"/>
    </row>
    <row r="106043" spans="6:6" x14ac:dyDescent="0.3">
      <c r="F106043" s="193"/>
    </row>
    <row r="106044" spans="6:6" x14ac:dyDescent="0.3">
      <c r="F106044" s="193"/>
    </row>
    <row r="106045" spans="6:6" x14ac:dyDescent="0.3">
      <c r="F106045" s="193"/>
    </row>
    <row r="106046" spans="6:6" x14ac:dyDescent="0.3">
      <c r="F106046" s="193"/>
    </row>
    <row r="106047" spans="6:6" x14ac:dyDescent="0.3">
      <c r="F106047" s="193"/>
    </row>
    <row r="106048" spans="6:6" x14ac:dyDescent="0.3">
      <c r="F106048" s="193"/>
    </row>
    <row r="106049" spans="6:6" x14ac:dyDescent="0.3">
      <c r="F106049" s="193"/>
    </row>
    <row r="106050" spans="6:6" x14ac:dyDescent="0.3">
      <c r="F106050" s="193"/>
    </row>
    <row r="106051" spans="6:6" x14ac:dyDescent="0.3">
      <c r="F106051" s="193"/>
    </row>
    <row r="106052" spans="6:6" x14ac:dyDescent="0.3">
      <c r="F106052" s="193"/>
    </row>
    <row r="106053" spans="6:6" x14ac:dyDescent="0.3">
      <c r="F106053" s="193"/>
    </row>
    <row r="106054" spans="6:6" x14ac:dyDescent="0.3">
      <c r="F106054" s="193"/>
    </row>
    <row r="106055" spans="6:6" x14ac:dyDescent="0.3">
      <c r="F106055" s="193"/>
    </row>
    <row r="106056" spans="6:6" x14ac:dyDescent="0.3">
      <c r="F106056" s="193"/>
    </row>
    <row r="106057" spans="6:6" x14ac:dyDescent="0.3">
      <c r="F106057" s="193"/>
    </row>
    <row r="106058" spans="6:6" x14ac:dyDescent="0.3">
      <c r="F106058" s="193"/>
    </row>
    <row r="106059" spans="6:6" x14ac:dyDescent="0.3">
      <c r="F106059" s="193"/>
    </row>
    <row r="106060" spans="6:6" x14ac:dyDescent="0.3">
      <c r="F106060" s="193"/>
    </row>
    <row r="106061" spans="6:6" x14ac:dyDescent="0.3">
      <c r="F106061" s="193"/>
    </row>
    <row r="106062" spans="6:6" x14ac:dyDescent="0.3">
      <c r="F106062" s="193"/>
    </row>
    <row r="106063" spans="6:6" x14ac:dyDescent="0.3">
      <c r="F106063" s="193"/>
    </row>
    <row r="106064" spans="6:6" x14ac:dyDescent="0.3">
      <c r="F106064" s="193"/>
    </row>
    <row r="106065" spans="6:6" x14ac:dyDescent="0.3">
      <c r="F106065" s="193"/>
    </row>
    <row r="106066" spans="6:6" x14ac:dyDescent="0.3">
      <c r="F106066" s="193"/>
    </row>
    <row r="106067" spans="6:6" x14ac:dyDescent="0.3">
      <c r="F106067" s="193"/>
    </row>
    <row r="106068" spans="6:6" x14ac:dyDescent="0.3">
      <c r="F106068" s="193"/>
    </row>
    <row r="106069" spans="6:6" x14ac:dyDescent="0.3">
      <c r="F106069" s="193"/>
    </row>
    <row r="106070" spans="6:6" x14ac:dyDescent="0.3">
      <c r="F106070" s="193"/>
    </row>
    <row r="106071" spans="6:6" x14ac:dyDescent="0.3">
      <c r="F106071" s="193"/>
    </row>
    <row r="106072" spans="6:6" x14ac:dyDescent="0.3">
      <c r="F106072" s="193"/>
    </row>
    <row r="106073" spans="6:6" x14ac:dyDescent="0.3">
      <c r="F106073" s="193"/>
    </row>
    <row r="106074" spans="6:6" x14ac:dyDescent="0.3">
      <c r="F106074" s="193"/>
    </row>
    <row r="106075" spans="6:6" x14ac:dyDescent="0.3">
      <c r="F106075" s="193"/>
    </row>
    <row r="106076" spans="6:6" x14ac:dyDescent="0.3">
      <c r="F106076" s="193"/>
    </row>
    <row r="106077" spans="6:6" x14ac:dyDescent="0.3">
      <c r="F106077" s="193"/>
    </row>
    <row r="106078" spans="6:6" x14ac:dyDescent="0.3">
      <c r="F106078" s="193"/>
    </row>
    <row r="106079" spans="6:6" x14ac:dyDescent="0.3">
      <c r="F106079" s="193"/>
    </row>
    <row r="106080" spans="6:6" x14ac:dyDescent="0.3">
      <c r="F106080" s="193"/>
    </row>
    <row r="106081" spans="6:6" x14ac:dyDescent="0.3">
      <c r="F106081" s="193"/>
    </row>
    <row r="106082" spans="6:6" x14ac:dyDescent="0.3">
      <c r="F106082" s="193"/>
    </row>
    <row r="106083" spans="6:6" x14ac:dyDescent="0.3">
      <c r="F106083" s="193"/>
    </row>
    <row r="106084" spans="6:6" x14ac:dyDescent="0.3">
      <c r="F106084" s="193"/>
    </row>
    <row r="106085" spans="6:6" x14ac:dyDescent="0.3">
      <c r="F106085" s="193"/>
    </row>
    <row r="106086" spans="6:6" x14ac:dyDescent="0.3">
      <c r="F106086" s="193"/>
    </row>
    <row r="106087" spans="6:6" x14ac:dyDescent="0.3">
      <c r="F106087" s="193"/>
    </row>
    <row r="106088" spans="6:6" x14ac:dyDescent="0.3">
      <c r="F106088" s="193"/>
    </row>
    <row r="106089" spans="6:6" x14ac:dyDescent="0.3">
      <c r="F106089" s="193"/>
    </row>
    <row r="106090" spans="6:6" x14ac:dyDescent="0.3">
      <c r="F106090" s="193"/>
    </row>
    <row r="106091" spans="6:6" x14ac:dyDescent="0.3">
      <c r="F106091" s="193"/>
    </row>
    <row r="106092" spans="6:6" x14ac:dyDescent="0.3">
      <c r="F106092" s="193"/>
    </row>
    <row r="106093" spans="6:6" x14ac:dyDescent="0.3">
      <c r="F106093" s="193"/>
    </row>
    <row r="106094" spans="6:6" x14ac:dyDescent="0.3">
      <c r="F106094" s="193"/>
    </row>
    <row r="106095" spans="6:6" x14ac:dyDescent="0.3">
      <c r="F106095" s="193"/>
    </row>
    <row r="106096" spans="6:6" x14ac:dyDescent="0.3">
      <c r="F106096" s="193"/>
    </row>
    <row r="106097" spans="6:6" x14ac:dyDescent="0.3">
      <c r="F106097" s="193"/>
    </row>
    <row r="106098" spans="6:6" x14ac:dyDescent="0.3">
      <c r="F106098" s="193"/>
    </row>
    <row r="106099" spans="6:6" x14ac:dyDescent="0.3">
      <c r="F106099" s="193"/>
    </row>
    <row r="106100" spans="6:6" x14ac:dyDescent="0.3">
      <c r="F106100" s="193"/>
    </row>
    <row r="106101" spans="6:6" x14ac:dyDescent="0.3">
      <c r="F106101" s="193"/>
    </row>
    <row r="106102" spans="6:6" x14ac:dyDescent="0.3">
      <c r="F106102" s="193"/>
    </row>
    <row r="106103" spans="6:6" x14ac:dyDescent="0.3">
      <c r="F106103" s="193"/>
    </row>
    <row r="106104" spans="6:6" x14ac:dyDescent="0.3">
      <c r="F106104" s="193"/>
    </row>
    <row r="106105" spans="6:6" x14ac:dyDescent="0.3">
      <c r="F106105" s="193"/>
    </row>
    <row r="106106" spans="6:6" x14ac:dyDescent="0.3">
      <c r="F106106" s="193"/>
    </row>
    <row r="106107" spans="6:6" x14ac:dyDescent="0.3">
      <c r="F106107" s="193"/>
    </row>
    <row r="106108" spans="6:6" x14ac:dyDescent="0.3">
      <c r="F106108" s="193"/>
    </row>
    <row r="106109" spans="6:6" x14ac:dyDescent="0.3">
      <c r="F106109" s="193"/>
    </row>
    <row r="106110" spans="6:6" x14ac:dyDescent="0.3">
      <c r="F106110" s="193"/>
    </row>
    <row r="106111" spans="6:6" x14ac:dyDescent="0.3">
      <c r="F106111" s="193"/>
    </row>
    <row r="106112" spans="6:6" x14ac:dyDescent="0.3">
      <c r="F106112" s="193"/>
    </row>
    <row r="106113" spans="6:6" x14ac:dyDescent="0.3">
      <c r="F106113" s="193"/>
    </row>
    <row r="106114" spans="6:6" x14ac:dyDescent="0.3">
      <c r="F106114" s="193"/>
    </row>
    <row r="106115" spans="6:6" x14ac:dyDescent="0.3">
      <c r="F106115" s="193"/>
    </row>
    <row r="106116" spans="6:6" x14ac:dyDescent="0.3">
      <c r="F106116" s="193"/>
    </row>
    <row r="106117" spans="6:6" x14ac:dyDescent="0.3">
      <c r="F106117" s="193"/>
    </row>
    <row r="106118" spans="6:6" x14ac:dyDescent="0.3">
      <c r="F106118" s="193"/>
    </row>
    <row r="106119" spans="6:6" x14ac:dyDescent="0.3">
      <c r="F106119" s="193"/>
    </row>
    <row r="106120" spans="6:6" x14ac:dyDescent="0.3">
      <c r="F106120" s="193"/>
    </row>
    <row r="106121" spans="6:6" x14ac:dyDescent="0.3">
      <c r="F106121" s="193"/>
    </row>
    <row r="106122" spans="6:6" x14ac:dyDescent="0.3">
      <c r="F106122" s="193"/>
    </row>
    <row r="106123" spans="6:6" x14ac:dyDescent="0.3">
      <c r="F106123" s="193"/>
    </row>
    <row r="106124" spans="6:6" x14ac:dyDescent="0.3">
      <c r="F106124" s="193"/>
    </row>
    <row r="106125" spans="6:6" x14ac:dyDescent="0.3">
      <c r="F106125" s="193"/>
    </row>
    <row r="106126" spans="6:6" x14ac:dyDescent="0.3">
      <c r="F106126" s="193"/>
    </row>
    <row r="106127" spans="6:6" x14ac:dyDescent="0.3">
      <c r="F106127" s="193"/>
    </row>
    <row r="106128" spans="6:6" x14ac:dyDescent="0.3">
      <c r="F106128" s="193"/>
    </row>
    <row r="106129" spans="6:6" x14ac:dyDescent="0.3">
      <c r="F106129" s="193"/>
    </row>
    <row r="106130" spans="6:6" x14ac:dyDescent="0.3">
      <c r="F106130" s="193"/>
    </row>
    <row r="106131" spans="6:6" x14ac:dyDescent="0.3">
      <c r="F106131" s="193"/>
    </row>
    <row r="106132" spans="6:6" x14ac:dyDescent="0.3">
      <c r="F106132" s="193"/>
    </row>
    <row r="106133" spans="6:6" x14ac:dyDescent="0.3">
      <c r="F106133" s="193"/>
    </row>
    <row r="106134" spans="6:6" x14ac:dyDescent="0.3">
      <c r="F106134" s="193"/>
    </row>
    <row r="106135" spans="6:6" x14ac:dyDescent="0.3">
      <c r="F106135" s="193"/>
    </row>
    <row r="106136" spans="6:6" x14ac:dyDescent="0.3">
      <c r="F106136" s="193"/>
    </row>
    <row r="106137" spans="6:6" x14ac:dyDescent="0.3">
      <c r="F106137" s="193"/>
    </row>
    <row r="106138" spans="6:6" x14ac:dyDescent="0.3">
      <c r="F106138" s="193"/>
    </row>
    <row r="106139" spans="6:6" x14ac:dyDescent="0.3">
      <c r="F106139" s="193"/>
    </row>
    <row r="106140" spans="6:6" x14ac:dyDescent="0.3">
      <c r="F106140" s="193"/>
    </row>
    <row r="106141" spans="6:6" x14ac:dyDescent="0.3">
      <c r="F106141" s="193"/>
    </row>
    <row r="106142" spans="6:6" x14ac:dyDescent="0.3">
      <c r="F106142" s="193"/>
    </row>
    <row r="106143" spans="6:6" x14ac:dyDescent="0.3">
      <c r="F106143" s="193"/>
    </row>
    <row r="106144" spans="6:6" x14ac:dyDescent="0.3">
      <c r="F106144" s="193"/>
    </row>
    <row r="106145" spans="6:6" x14ac:dyDescent="0.3">
      <c r="F106145" s="193"/>
    </row>
    <row r="106146" spans="6:6" x14ac:dyDescent="0.3">
      <c r="F106146" s="193"/>
    </row>
    <row r="106147" spans="6:6" x14ac:dyDescent="0.3">
      <c r="F106147" s="193"/>
    </row>
    <row r="106148" spans="6:6" x14ac:dyDescent="0.3">
      <c r="F106148" s="193"/>
    </row>
    <row r="106149" spans="6:6" x14ac:dyDescent="0.3">
      <c r="F106149" s="193"/>
    </row>
    <row r="106150" spans="6:6" x14ac:dyDescent="0.3">
      <c r="F106150" s="193"/>
    </row>
    <row r="106151" spans="6:6" x14ac:dyDescent="0.3">
      <c r="F106151" s="193"/>
    </row>
    <row r="106152" spans="6:6" x14ac:dyDescent="0.3">
      <c r="F106152" s="193"/>
    </row>
    <row r="106153" spans="6:6" x14ac:dyDescent="0.3">
      <c r="F106153" s="193"/>
    </row>
    <row r="106154" spans="6:6" x14ac:dyDescent="0.3">
      <c r="F106154" s="193"/>
    </row>
    <row r="106155" spans="6:6" x14ac:dyDescent="0.3">
      <c r="F106155" s="193"/>
    </row>
    <row r="106156" spans="6:6" x14ac:dyDescent="0.3">
      <c r="F106156" s="193"/>
    </row>
    <row r="106157" spans="6:6" x14ac:dyDescent="0.3">
      <c r="F106157" s="193"/>
    </row>
    <row r="106158" spans="6:6" x14ac:dyDescent="0.3">
      <c r="F106158" s="193"/>
    </row>
    <row r="106159" spans="6:6" x14ac:dyDescent="0.3">
      <c r="F106159" s="193"/>
    </row>
    <row r="106160" spans="6:6" x14ac:dyDescent="0.3">
      <c r="F106160" s="193"/>
    </row>
    <row r="106161" spans="6:6" x14ac:dyDescent="0.3">
      <c r="F106161" s="193"/>
    </row>
    <row r="106162" spans="6:6" x14ac:dyDescent="0.3">
      <c r="F106162" s="193"/>
    </row>
    <row r="106163" spans="6:6" x14ac:dyDescent="0.3">
      <c r="F106163" s="193"/>
    </row>
    <row r="106164" spans="6:6" x14ac:dyDescent="0.3">
      <c r="F106164" s="193"/>
    </row>
    <row r="106165" spans="6:6" x14ac:dyDescent="0.3">
      <c r="F106165" s="193"/>
    </row>
    <row r="106166" spans="6:6" x14ac:dyDescent="0.3">
      <c r="F106166" s="193"/>
    </row>
    <row r="106167" spans="6:6" x14ac:dyDescent="0.3">
      <c r="F106167" s="193"/>
    </row>
    <row r="106168" spans="6:6" x14ac:dyDescent="0.3">
      <c r="F106168" s="193"/>
    </row>
    <row r="106169" spans="6:6" x14ac:dyDescent="0.3">
      <c r="F106169" s="193"/>
    </row>
    <row r="106170" spans="6:6" x14ac:dyDescent="0.3">
      <c r="F106170" s="193"/>
    </row>
    <row r="106171" spans="6:6" x14ac:dyDescent="0.3">
      <c r="F106171" s="193"/>
    </row>
    <row r="106172" spans="6:6" x14ac:dyDescent="0.3">
      <c r="F106172" s="193"/>
    </row>
    <row r="106173" spans="6:6" x14ac:dyDescent="0.3">
      <c r="F106173" s="193"/>
    </row>
    <row r="106174" spans="6:6" x14ac:dyDescent="0.3">
      <c r="F106174" s="193"/>
    </row>
    <row r="106175" spans="6:6" x14ac:dyDescent="0.3">
      <c r="F106175" s="193"/>
    </row>
    <row r="106176" spans="6:6" x14ac:dyDescent="0.3">
      <c r="F106176" s="193"/>
    </row>
    <row r="106177" spans="6:6" x14ac:dyDescent="0.3">
      <c r="F106177" s="193"/>
    </row>
    <row r="106178" spans="6:6" x14ac:dyDescent="0.3">
      <c r="F106178" s="193"/>
    </row>
    <row r="106179" spans="6:6" x14ac:dyDescent="0.3">
      <c r="F106179" s="193"/>
    </row>
    <row r="106180" spans="6:6" x14ac:dyDescent="0.3">
      <c r="F106180" s="193"/>
    </row>
    <row r="106181" spans="6:6" x14ac:dyDescent="0.3">
      <c r="F106181" s="193"/>
    </row>
    <row r="106182" spans="6:6" x14ac:dyDescent="0.3">
      <c r="F106182" s="193"/>
    </row>
    <row r="106183" spans="6:6" x14ac:dyDescent="0.3">
      <c r="F106183" s="193"/>
    </row>
    <row r="106184" spans="6:6" x14ac:dyDescent="0.3">
      <c r="F106184" s="193"/>
    </row>
    <row r="106185" spans="6:6" x14ac:dyDescent="0.3">
      <c r="F106185" s="193"/>
    </row>
    <row r="106186" spans="6:6" x14ac:dyDescent="0.3">
      <c r="F106186" s="193"/>
    </row>
    <row r="106187" spans="6:6" x14ac:dyDescent="0.3">
      <c r="F106187" s="193"/>
    </row>
    <row r="106188" spans="6:6" x14ac:dyDescent="0.3">
      <c r="F106188" s="193"/>
    </row>
    <row r="106189" spans="6:6" x14ac:dyDescent="0.3">
      <c r="F106189" s="193"/>
    </row>
    <row r="106190" spans="6:6" x14ac:dyDescent="0.3">
      <c r="F106190" s="193"/>
    </row>
    <row r="106191" spans="6:6" x14ac:dyDescent="0.3">
      <c r="F106191" s="193"/>
    </row>
    <row r="106192" spans="6:6" x14ac:dyDescent="0.3">
      <c r="F106192" s="193"/>
    </row>
    <row r="106193" spans="6:6" x14ac:dyDescent="0.3">
      <c r="F106193" s="193"/>
    </row>
    <row r="106194" spans="6:6" x14ac:dyDescent="0.3">
      <c r="F106194" s="193"/>
    </row>
    <row r="106195" spans="6:6" x14ac:dyDescent="0.3">
      <c r="F106195" s="193"/>
    </row>
    <row r="106196" spans="6:6" x14ac:dyDescent="0.3">
      <c r="F106196" s="193"/>
    </row>
    <row r="106197" spans="6:6" x14ac:dyDescent="0.3">
      <c r="F106197" s="193"/>
    </row>
    <row r="106198" spans="6:6" x14ac:dyDescent="0.3">
      <c r="F106198" s="193"/>
    </row>
    <row r="106199" spans="6:6" x14ac:dyDescent="0.3">
      <c r="F106199" s="193"/>
    </row>
    <row r="106200" spans="6:6" x14ac:dyDescent="0.3">
      <c r="F106200" s="193"/>
    </row>
    <row r="106201" spans="6:6" x14ac:dyDescent="0.3">
      <c r="F106201" s="193"/>
    </row>
    <row r="106202" spans="6:6" x14ac:dyDescent="0.3">
      <c r="F106202" s="193"/>
    </row>
    <row r="106203" spans="6:6" x14ac:dyDescent="0.3">
      <c r="F106203" s="193"/>
    </row>
    <row r="106204" spans="6:6" x14ac:dyDescent="0.3">
      <c r="F106204" s="193"/>
    </row>
    <row r="106205" spans="6:6" x14ac:dyDescent="0.3">
      <c r="F106205" s="193"/>
    </row>
    <row r="106206" spans="6:6" x14ac:dyDescent="0.3">
      <c r="F106206" s="193"/>
    </row>
    <row r="106207" spans="6:6" x14ac:dyDescent="0.3">
      <c r="F106207" s="193"/>
    </row>
    <row r="106208" spans="6:6" x14ac:dyDescent="0.3">
      <c r="F106208" s="193"/>
    </row>
    <row r="106209" spans="6:6" x14ac:dyDescent="0.3">
      <c r="F106209" s="193"/>
    </row>
    <row r="106210" spans="6:6" x14ac:dyDescent="0.3">
      <c r="F106210" s="193"/>
    </row>
    <row r="106211" spans="6:6" x14ac:dyDescent="0.3">
      <c r="F106211" s="193"/>
    </row>
    <row r="106212" spans="6:6" x14ac:dyDescent="0.3">
      <c r="F106212" s="193"/>
    </row>
    <row r="106213" spans="6:6" x14ac:dyDescent="0.3">
      <c r="F106213" s="193"/>
    </row>
    <row r="106214" spans="6:6" x14ac:dyDescent="0.3">
      <c r="F106214" s="193"/>
    </row>
    <row r="106215" spans="6:6" x14ac:dyDescent="0.3">
      <c r="F106215" s="193"/>
    </row>
    <row r="106216" spans="6:6" x14ac:dyDescent="0.3">
      <c r="F106216" s="193"/>
    </row>
    <row r="106217" spans="6:6" x14ac:dyDescent="0.3">
      <c r="F106217" s="193"/>
    </row>
    <row r="106218" spans="6:6" x14ac:dyDescent="0.3">
      <c r="F106218" s="193"/>
    </row>
    <row r="106219" spans="6:6" x14ac:dyDescent="0.3">
      <c r="F106219" s="193"/>
    </row>
    <row r="106220" spans="6:6" x14ac:dyDescent="0.3">
      <c r="F106220" s="193"/>
    </row>
    <row r="106221" spans="6:6" x14ac:dyDescent="0.3">
      <c r="F106221" s="193"/>
    </row>
    <row r="106222" spans="6:6" x14ac:dyDescent="0.3">
      <c r="F106222" s="193"/>
    </row>
    <row r="106223" spans="6:6" x14ac:dyDescent="0.3">
      <c r="F106223" s="193"/>
    </row>
    <row r="106224" spans="6:6" x14ac:dyDescent="0.3">
      <c r="F106224" s="193"/>
    </row>
    <row r="106225" spans="6:6" x14ac:dyDescent="0.3">
      <c r="F106225" s="193"/>
    </row>
    <row r="106226" spans="6:6" x14ac:dyDescent="0.3">
      <c r="F106226" s="193"/>
    </row>
    <row r="106227" spans="6:6" x14ac:dyDescent="0.3">
      <c r="F106227" s="193"/>
    </row>
    <row r="106228" spans="6:6" x14ac:dyDescent="0.3">
      <c r="F106228" s="193"/>
    </row>
    <row r="106229" spans="6:6" x14ac:dyDescent="0.3">
      <c r="F106229" s="193"/>
    </row>
    <row r="106230" spans="6:6" x14ac:dyDescent="0.3">
      <c r="F106230" s="193"/>
    </row>
    <row r="106231" spans="6:6" x14ac:dyDescent="0.3">
      <c r="F106231" s="193"/>
    </row>
    <row r="106232" spans="6:6" x14ac:dyDescent="0.3">
      <c r="F106232" s="193"/>
    </row>
    <row r="106233" spans="6:6" x14ac:dyDescent="0.3">
      <c r="F106233" s="193"/>
    </row>
    <row r="106234" spans="6:6" x14ac:dyDescent="0.3">
      <c r="F106234" s="193"/>
    </row>
    <row r="106235" spans="6:6" x14ac:dyDescent="0.3">
      <c r="F106235" s="193"/>
    </row>
    <row r="106236" spans="6:6" x14ac:dyDescent="0.3">
      <c r="F106236" s="193"/>
    </row>
    <row r="106237" spans="6:6" x14ac:dyDescent="0.3">
      <c r="F106237" s="193"/>
    </row>
    <row r="106238" spans="6:6" x14ac:dyDescent="0.3">
      <c r="F106238" s="193"/>
    </row>
    <row r="106239" spans="6:6" x14ac:dyDescent="0.3">
      <c r="F106239" s="193"/>
    </row>
    <row r="106240" spans="6:6" x14ac:dyDescent="0.3">
      <c r="F106240" s="193"/>
    </row>
    <row r="106241" spans="6:6" x14ac:dyDescent="0.3">
      <c r="F106241" s="193"/>
    </row>
    <row r="106242" spans="6:6" x14ac:dyDescent="0.3">
      <c r="F106242" s="193"/>
    </row>
    <row r="106243" spans="6:6" x14ac:dyDescent="0.3">
      <c r="F106243" s="193"/>
    </row>
    <row r="106244" spans="6:6" x14ac:dyDescent="0.3">
      <c r="F106244" s="193"/>
    </row>
    <row r="106245" spans="6:6" x14ac:dyDescent="0.3">
      <c r="F106245" s="193"/>
    </row>
    <row r="106246" spans="6:6" x14ac:dyDescent="0.3">
      <c r="F106246" s="193"/>
    </row>
    <row r="106247" spans="6:6" x14ac:dyDescent="0.3">
      <c r="F106247" s="193"/>
    </row>
    <row r="106248" spans="6:6" x14ac:dyDescent="0.3">
      <c r="F106248" s="193"/>
    </row>
    <row r="106249" spans="6:6" x14ac:dyDescent="0.3">
      <c r="F106249" s="193"/>
    </row>
    <row r="106250" spans="6:6" x14ac:dyDescent="0.3">
      <c r="F106250" s="193"/>
    </row>
    <row r="106251" spans="6:6" x14ac:dyDescent="0.3">
      <c r="F106251" s="193"/>
    </row>
    <row r="106252" spans="6:6" x14ac:dyDescent="0.3">
      <c r="F106252" s="193"/>
    </row>
    <row r="106253" spans="6:6" x14ac:dyDescent="0.3">
      <c r="F106253" s="193"/>
    </row>
    <row r="106254" spans="6:6" x14ac:dyDescent="0.3">
      <c r="F106254" s="193"/>
    </row>
    <row r="106255" spans="6:6" x14ac:dyDescent="0.3">
      <c r="F106255" s="193"/>
    </row>
    <row r="106256" spans="6:6" x14ac:dyDescent="0.3">
      <c r="F106256" s="193"/>
    </row>
    <row r="106257" spans="6:6" x14ac:dyDescent="0.3">
      <c r="F106257" s="193"/>
    </row>
    <row r="106258" spans="6:6" x14ac:dyDescent="0.3">
      <c r="F106258" s="193"/>
    </row>
    <row r="106259" spans="6:6" x14ac:dyDescent="0.3">
      <c r="F106259" s="193"/>
    </row>
    <row r="106260" spans="6:6" x14ac:dyDescent="0.3">
      <c r="F106260" s="193"/>
    </row>
    <row r="106261" spans="6:6" x14ac:dyDescent="0.3">
      <c r="F106261" s="193"/>
    </row>
    <row r="106262" spans="6:6" x14ac:dyDescent="0.3">
      <c r="F106262" s="193"/>
    </row>
    <row r="106263" spans="6:6" x14ac:dyDescent="0.3">
      <c r="F106263" s="193"/>
    </row>
    <row r="106264" spans="6:6" x14ac:dyDescent="0.3">
      <c r="F106264" s="193"/>
    </row>
    <row r="106265" spans="6:6" x14ac:dyDescent="0.3">
      <c r="F106265" s="193"/>
    </row>
    <row r="106266" spans="6:6" x14ac:dyDescent="0.3">
      <c r="F106266" s="193"/>
    </row>
    <row r="106267" spans="6:6" x14ac:dyDescent="0.3">
      <c r="F106267" s="193"/>
    </row>
    <row r="106268" spans="6:6" x14ac:dyDescent="0.3">
      <c r="F106268" s="193"/>
    </row>
    <row r="106269" spans="6:6" x14ac:dyDescent="0.3">
      <c r="F106269" s="193"/>
    </row>
    <row r="106270" spans="6:6" x14ac:dyDescent="0.3">
      <c r="F106270" s="193"/>
    </row>
    <row r="106271" spans="6:6" x14ac:dyDescent="0.3">
      <c r="F106271" s="193"/>
    </row>
    <row r="106272" spans="6:6" x14ac:dyDescent="0.3">
      <c r="F106272" s="193"/>
    </row>
    <row r="106273" spans="6:6" x14ac:dyDescent="0.3">
      <c r="F106273" s="193"/>
    </row>
    <row r="106274" spans="6:6" x14ac:dyDescent="0.3">
      <c r="F106274" s="193"/>
    </row>
    <row r="106275" spans="6:6" x14ac:dyDescent="0.3">
      <c r="F106275" s="193"/>
    </row>
    <row r="106276" spans="6:6" x14ac:dyDescent="0.3">
      <c r="F106276" s="193"/>
    </row>
    <row r="106277" spans="6:6" x14ac:dyDescent="0.3">
      <c r="F106277" s="193"/>
    </row>
    <row r="106278" spans="6:6" x14ac:dyDescent="0.3">
      <c r="F106278" s="193"/>
    </row>
    <row r="106279" spans="6:6" x14ac:dyDescent="0.3">
      <c r="F106279" s="193"/>
    </row>
    <row r="106280" spans="6:6" x14ac:dyDescent="0.3">
      <c r="F106280" s="193"/>
    </row>
    <row r="106281" spans="6:6" x14ac:dyDescent="0.3">
      <c r="F106281" s="193"/>
    </row>
    <row r="106282" spans="6:6" x14ac:dyDescent="0.3">
      <c r="F106282" s="193"/>
    </row>
    <row r="106283" spans="6:6" x14ac:dyDescent="0.3">
      <c r="F106283" s="193"/>
    </row>
    <row r="106284" spans="6:6" x14ac:dyDescent="0.3">
      <c r="F106284" s="193"/>
    </row>
    <row r="106285" spans="6:6" x14ac:dyDescent="0.3">
      <c r="F106285" s="193"/>
    </row>
    <row r="106286" spans="6:6" x14ac:dyDescent="0.3">
      <c r="F106286" s="193"/>
    </row>
    <row r="106287" spans="6:6" x14ac:dyDescent="0.3">
      <c r="F106287" s="193"/>
    </row>
    <row r="106288" spans="6:6" x14ac:dyDescent="0.3">
      <c r="F106288" s="193"/>
    </row>
    <row r="106289" spans="6:6" x14ac:dyDescent="0.3">
      <c r="F106289" s="193"/>
    </row>
    <row r="106290" spans="6:6" x14ac:dyDescent="0.3">
      <c r="F106290" s="193"/>
    </row>
    <row r="106291" spans="6:6" x14ac:dyDescent="0.3">
      <c r="F106291" s="193"/>
    </row>
    <row r="106292" spans="6:6" x14ac:dyDescent="0.3">
      <c r="F106292" s="193"/>
    </row>
    <row r="106293" spans="6:6" x14ac:dyDescent="0.3">
      <c r="F106293" s="193"/>
    </row>
    <row r="106294" spans="6:6" x14ac:dyDescent="0.3">
      <c r="F106294" s="193"/>
    </row>
    <row r="106295" spans="6:6" x14ac:dyDescent="0.3">
      <c r="F106295" s="193"/>
    </row>
    <row r="106296" spans="6:6" x14ac:dyDescent="0.3">
      <c r="F106296" s="193"/>
    </row>
    <row r="106297" spans="6:6" x14ac:dyDescent="0.3">
      <c r="F106297" s="193"/>
    </row>
    <row r="106298" spans="6:6" x14ac:dyDescent="0.3">
      <c r="F106298" s="193"/>
    </row>
    <row r="106299" spans="6:6" x14ac:dyDescent="0.3">
      <c r="F106299" s="193"/>
    </row>
    <row r="106300" spans="6:6" x14ac:dyDescent="0.3">
      <c r="F106300" s="193"/>
    </row>
    <row r="106301" spans="6:6" x14ac:dyDescent="0.3">
      <c r="F106301" s="193"/>
    </row>
    <row r="106302" spans="6:6" x14ac:dyDescent="0.3">
      <c r="F106302" s="193"/>
    </row>
    <row r="106303" spans="6:6" x14ac:dyDescent="0.3">
      <c r="F106303" s="193"/>
    </row>
    <row r="106304" spans="6:6" x14ac:dyDescent="0.3">
      <c r="F106304" s="193"/>
    </row>
    <row r="106305" spans="6:6" x14ac:dyDescent="0.3">
      <c r="F106305" s="193"/>
    </row>
    <row r="106306" spans="6:6" x14ac:dyDescent="0.3">
      <c r="F106306" s="193"/>
    </row>
    <row r="106307" spans="6:6" x14ac:dyDescent="0.3">
      <c r="F106307" s="193"/>
    </row>
    <row r="106308" spans="6:6" x14ac:dyDescent="0.3">
      <c r="F106308" s="193"/>
    </row>
    <row r="106309" spans="6:6" x14ac:dyDescent="0.3">
      <c r="F106309" s="193"/>
    </row>
    <row r="106310" spans="6:6" x14ac:dyDescent="0.3">
      <c r="F106310" s="193"/>
    </row>
    <row r="106311" spans="6:6" x14ac:dyDescent="0.3">
      <c r="F106311" s="193"/>
    </row>
    <row r="106312" spans="6:6" x14ac:dyDescent="0.3">
      <c r="F106312" s="193"/>
    </row>
    <row r="106313" spans="6:6" x14ac:dyDescent="0.3">
      <c r="F106313" s="193"/>
    </row>
    <row r="106314" spans="6:6" x14ac:dyDescent="0.3">
      <c r="F106314" s="193"/>
    </row>
    <row r="106315" spans="6:6" x14ac:dyDescent="0.3">
      <c r="F106315" s="193"/>
    </row>
    <row r="106316" spans="6:6" x14ac:dyDescent="0.3">
      <c r="F106316" s="193"/>
    </row>
    <row r="106317" spans="6:6" x14ac:dyDescent="0.3">
      <c r="F106317" s="193"/>
    </row>
    <row r="106318" spans="6:6" x14ac:dyDescent="0.3">
      <c r="F106318" s="193"/>
    </row>
    <row r="106319" spans="6:6" x14ac:dyDescent="0.3">
      <c r="F106319" s="193"/>
    </row>
    <row r="106320" spans="6:6" x14ac:dyDescent="0.3">
      <c r="F106320" s="193"/>
    </row>
    <row r="106321" spans="6:6" x14ac:dyDescent="0.3">
      <c r="F106321" s="193"/>
    </row>
    <row r="106322" spans="6:6" x14ac:dyDescent="0.3">
      <c r="F106322" s="193"/>
    </row>
    <row r="106323" spans="6:6" x14ac:dyDescent="0.3">
      <c r="F106323" s="193"/>
    </row>
    <row r="106324" spans="6:6" x14ac:dyDescent="0.3">
      <c r="F106324" s="193"/>
    </row>
    <row r="106325" spans="6:6" x14ac:dyDescent="0.3">
      <c r="F106325" s="193"/>
    </row>
    <row r="106326" spans="6:6" x14ac:dyDescent="0.3">
      <c r="F106326" s="193"/>
    </row>
    <row r="106327" spans="6:6" x14ac:dyDescent="0.3">
      <c r="F106327" s="193"/>
    </row>
    <row r="106328" spans="6:6" x14ac:dyDescent="0.3">
      <c r="F106328" s="193"/>
    </row>
    <row r="106329" spans="6:6" x14ac:dyDescent="0.3">
      <c r="F106329" s="193"/>
    </row>
    <row r="106330" spans="6:6" x14ac:dyDescent="0.3">
      <c r="F106330" s="193"/>
    </row>
    <row r="106331" spans="6:6" x14ac:dyDescent="0.3">
      <c r="F106331" s="193"/>
    </row>
    <row r="106332" spans="6:6" x14ac:dyDescent="0.3">
      <c r="F106332" s="193"/>
    </row>
    <row r="106333" spans="6:6" x14ac:dyDescent="0.3">
      <c r="F106333" s="193"/>
    </row>
    <row r="106334" spans="6:6" x14ac:dyDescent="0.3">
      <c r="F106334" s="193"/>
    </row>
    <row r="106335" spans="6:6" x14ac:dyDescent="0.3">
      <c r="F106335" s="193"/>
    </row>
    <row r="106336" spans="6:6" x14ac:dyDescent="0.3">
      <c r="F106336" s="193"/>
    </row>
    <row r="106337" spans="6:6" x14ac:dyDescent="0.3">
      <c r="F106337" s="193"/>
    </row>
    <row r="106338" spans="6:6" x14ac:dyDescent="0.3">
      <c r="F106338" s="193"/>
    </row>
    <row r="106339" spans="6:6" x14ac:dyDescent="0.3">
      <c r="F106339" s="193"/>
    </row>
    <row r="106340" spans="6:6" x14ac:dyDescent="0.3">
      <c r="F106340" s="193"/>
    </row>
    <row r="106341" spans="6:6" x14ac:dyDescent="0.3">
      <c r="F106341" s="193"/>
    </row>
    <row r="106342" spans="6:6" x14ac:dyDescent="0.3">
      <c r="F106342" s="193"/>
    </row>
    <row r="106343" spans="6:6" x14ac:dyDescent="0.3">
      <c r="F106343" s="193"/>
    </row>
    <row r="106344" spans="6:6" x14ac:dyDescent="0.3">
      <c r="F106344" s="193"/>
    </row>
    <row r="106345" spans="6:6" x14ac:dyDescent="0.3">
      <c r="F106345" s="193"/>
    </row>
    <row r="106346" spans="6:6" x14ac:dyDescent="0.3">
      <c r="F106346" s="193"/>
    </row>
    <row r="106347" spans="6:6" x14ac:dyDescent="0.3">
      <c r="F106347" s="193"/>
    </row>
    <row r="106348" spans="6:6" x14ac:dyDescent="0.3">
      <c r="F106348" s="193"/>
    </row>
    <row r="106349" spans="6:6" x14ac:dyDescent="0.3">
      <c r="F106349" s="193"/>
    </row>
    <row r="106350" spans="6:6" x14ac:dyDescent="0.3">
      <c r="F106350" s="193"/>
    </row>
    <row r="106351" spans="6:6" x14ac:dyDescent="0.3">
      <c r="F106351" s="193"/>
    </row>
    <row r="106352" spans="6:6" x14ac:dyDescent="0.3">
      <c r="F106352" s="193"/>
    </row>
    <row r="106353" spans="6:6" x14ac:dyDescent="0.3">
      <c r="F106353" s="193"/>
    </row>
    <row r="106354" spans="6:6" x14ac:dyDescent="0.3">
      <c r="F106354" s="193"/>
    </row>
    <row r="106355" spans="6:6" x14ac:dyDescent="0.3">
      <c r="F106355" s="193"/>
    </row>
    <row r="106356" spans="6:6" x14ac:dyDescent="0.3">
      <c r="F106356" s="193"/>
    </row>
    <row r="106357" spans="6:6" x14ac:dyDescent="0.3">
      <c r="F106357" s="193"/>
    </row>
    <row r="106358" spans="6:6" x14ac:dyDescent="0.3">
      <c r="F106358" s="193"/>
    </row>
    <row r="106359" spans="6:6" x14ac:dyDescent="0.3">
      <c r="F106359" s="193"/>
    </row>
    <row r="106360" spans="6:6" x14ac:dyDescent="0.3">
      <c r="F106360" s="193"/>
    </row>
    <row r="106361" spans="6:6" x14ac:dyDescent="0.3">
      <c r="F106361" s="193"/>
    </row>
    <row r="106362" spans="6:6" x14ac:dyDescent="0.3">
      <c r="F106362" s="193"/>
    </row>
    <row r="106363" spans="6:6" x14ac:dyDescent="0.3">
      <c r="F106363" s="193"/>
    </row>
    <row r="106364" spans="6:6" x14ac:dyDescent="0.3">
      <c r="F106364" s="193"/>
    </row>
    <row r="106365" spans="6:6" x14ac:dyDescent="0.3">
      <c r="F106365" s="193"/>
    </row>
    <row r="106366" spans="6:6" x14ac:dyDescent="0.3">
      <c r="F106366" s="193"/>
    </row>
    <row r="106367" spans="6:6" x14ac:dyDescent="0.3">
      <c r="F106367" s="193"/>
    </row>
    <row r="106368" spans="6:6" x14ac:dyDescent="0.3">
      <c r="F106368" s="193"/>
    </row>
    <row r="106369" spans="6:6" x14ac:dyDescent="0.3">
      <c r="F106369" s="193"/>
    </row>
    <row r="106370" spans="6:6" x14ac:dyDescent="0.3">
      <c r="F106370" s="193"/>
    </row>
    <row r="106371" spans="6:6" x14ac:dyDescent="0.3">
      <c r="F106371" s="193"/>
    </row>
    <row r="106372" spans="6:6" x14ac:dyDescent="0.3">
      <c r="F106372" s="193"/>
    </row>
    <row r="106373" spans="6:6" x14ac:dyDescent="0.3">
      <c r="F106373" s="193"/>
    </row>
    <row r="106374" spans="6:6" x14ac:dyDescent="0.3">
      <c r="F106374" s="193"/>
    </row>
    <row r="106375" spans="6:6" x14ac:dyDescent="0.3">
      <c r="F106375" s="193"/>
    </row>
    <row r="106376" spans="6:6" x14ac:dyDescent="0.3">
      <c r="F106376" s="193"/>
    </row>
    <row r="106377" spans="6:6" x14ac:dyDescent="0.3">
      <c r="F106377" s="193"/>
    </row>
    <row r="106378" spans="6:6" x14ac:dyDescent="0.3">
      <c r="F106378" s="193"/>
    </row>
    <row r="106379" spans="6:6" x14ac:dyDescent="0.3">
      <c r="F106379" s="193"/>
    </row>
    <row r="106380" spans="6:6" x14ac:dyDescent="0.3">
      <c r="F106380" s="193"/>
    </row>
    <row r="106381" spans="6:6" x14ac:dyDescent="0.3">
      <c r="F106381" s="193"/>
    </row>
    <row r="106382" spans="6:6" x14ac:dyDescent="0.3">
      <c r="F106382" s="193"/>
    </row>
    <row r="106383" spans="6:6" x14ac:dyDescent="0.3">
      <c r="F106383" s="193"/>
    </row>
    <row r="106384" spans="6:6" x14ac:dyDescent="0.3">
      <c r="F106384" s="193"/>
    </row>
    <row r="106385" spans="6:6" x14ac:dyDescent="0.3">
      <c r="F106385" s="193"/>
    </row>
    <row r="106386" spans="6:6" x14ac:dyDescent="0.3">
      <c r="F106386" s="193"/>
    </row>
    <row r="106387" spans="6:6" x14ac:dyDescent="0.3">
      <c r="F106387" s="193"/>
    </row>
    <row r="106388" spans="6:6" x14ac:dyDescent="0.3">
      <c r="F106388" s="193"/>
    </row>
    <row r="106389" spans="6:6" x14ac:dyDescent="0.3">
      <c r="F106389" s="193"/>
    </row>
    <row r="106390" spans="6:6" x14ac:dyDescent="0.3">
      <c r="F106390" s="193"/>
    </row>
    <row r="106391" spans="6:6" x14ac:dyDescent="0.3">
      <c r="F106391" s="193"/>
    </row>
    <row r="106392" spans="6:6" x14ac:dyDescent="0.3">
      <c r="F106392" s="193"/>
    </row>
    <row r="106393" spans="6:6" x14ac:dyDescent="0.3">
      <c r="F106393" s="193"/>
    </row>
    <row r="106394" spans="6:6" x14ac:dyDescent="0.3">
      <c r="F106394" s="193"/>
    </row>
    <row r="106395" spans="6:6" x14ac:dyDescent="0.3">
      <c r="F106395" s="193"/>
    </row>
    <row r="106396" spans="6:6" x14ac:dyDescent="0.3">
      <c r="F106396" s="193"/>
    </row>
    <row r="106397" spans="6:6" x14ac:dyDescent="0.3">
      <c r="F106397" s="193"/>
    </row>
    <row r="106398" spans="6:6" x14ac:dyDescent="0.3">
      <c r="F106398" s="193"/>
    </row>
    <row r="106399" spans="6:6" x14ac:dyDescent="0.3">
      <c r="F106399" s="193"/>
    </row>
    <row r="106400" spans="6:6" x14ac:dyDescent="0.3">
      <c r="F106400" s="193"/>
    </row>
    <row r="106401" spans="6:6" x14ac:dyDescent="0.3">
      <c r="F106401" s="193"/>
    </row>
    <row r="106402" spans="6:6" x14ac:dyDescent="0.3">
      <c r="F106402" s="193"/>
    </row>
    <row r="106403" spans="6:6" x14ac:dyDescent="0.3">
      <c r="F106403" s="193"/>
    </row>
    <row r="106404" spans="6:6" x14ac:dyDescent="0.3">
      <c r="F106404" s="193"/>
    </row>
    <row r="106405" spans="6:6" x14ac:dyDescent="0.3">
      <c r="F106405" s="193"/>
    </row>
    <row r="106406" spans="6:6" x14ac:dyDescent="0.3">
      <c r="F106406" s="193"/>
    </row>
    <row r="106407" spans="6:6" x14ac:dyDescent="0.3">
      <c r="F106407" s="193"/>
    </row>
    <row r="106408" spans="6:6" x14ac:dyDescent="0.3">
      <c r="F106408" s="193"/>
    </row>
    <row r="106409" spans="6:6" x14ac:dyDescent="0.3">
      <c r="F106409" s="193"/>
    </row>
    <row r="106410" spans="6:6" x14ac:dyDescent="0.3">
      <c r="F106410" s="193"/>
    </row>
    <row r="106411" spans="6:6" x14ac:dyDescent="0.3">
      <c r="F106411" s="193"/>
    </row>
    <row r="106412" spans="6:6" x14ac:dyDescent="0.3">
      <c r="F106412" s="193"/>
    </row>
    <row r="106413" spans="6:6" x14ac:dyDescent="0.3">
      <c r="F106413" s="193"/>
    </row>
    <row r="106414" spans="6:6" x14ac:dyDescent="0.3">
      <c r="F106414" s="193"/>
    </row>
    <row r="106415" spans="6:6" x14ac:dyDescent="0.3">
      <c r="F106415" s="193"/>
    </row>
    <row r="106416" spans="6:6" x14ac:dyDescent="0.3">
      <c r="F106416" s="193"/>
    </row>
    <row r="106417" spans="6:6" x14ac:dyDescent="0.3">
      <c r="F106417" s="193"/>
    </row>
    <row r="106418" spans="6:6" x14ac:dyDescent="0.3">
      <c r="F106418" s="193"/>
    </row>
    <row r="106419" spans="6:6" x14ac:dyDescent="0.3">
      <c r="F106419" s="193"/>
    </row>
    <row r="106420" spans="6:6" x14ac:dyDescent="0.3">
      <c r="F106420" s="193"/>
    </row>
    <row r="106421" spans="6:6" x14ac:dyDescent="0.3">
      <c r="F106421" s="193"/>
    </row>
    <row r="106422" spans="6:6" x14ac:dyDescent="0.3">
      <c r="F106422" s="193"/>
    </row>
    <row r="106423" spans="6:6" x14ac:dyDescent="0.3">
      <c r="F106423" s="193"/>
    </row>
    <row r="106424" spans="6:6" x14ac:dyDescent="0.3">
      <c r="F106424" s="193"/>
    </row>
    <row r="106425" spans="6:6" x14ac:dyDescent="0.3">
      <c r="F106425" s="193"/>
    </row>
    <row r="106426" spans="6:6" x14ac:dyDescent="0.3">
      <c r="F106426" s="193"/>
    </row>
    <row r="106427" spans="6:6" x14ac:dyDescent="0.3">
      <c r="F106427" s="193"/>
    </row>
    <row r="106428" spans="6:6" x14ac:dyDescent="0.3">
      <c r="F106428" s="193"/>
    </row>
    <row r="106429" spans="6:6" x14ac:dyDescent="0.3">
      <c r="F106429" s="193"/>
    </row>
    <row r="106430" spans="6:6" x14ac:dyDescent="0.3">
      <c r="F106430" s="193"/>
    </row>
    <row r="106431" spans="6:6" x14ac:dyDescent="0.3">
      <c r="F106431" s="193"/>
    </row>
    <row r="106432" spans="6:6" x14ac:dyDescent="0.3">
      <c r="F106432" s="193"/>
    </row>
    <row r="106433" spans="6:6" x14ac:dyDescent="0.3">
      <c r="F106433" s="193"/>
    </row>
    <row r="106434" spans="6:6" x14ac:dyDescent="0.3">
      <c r="F106434" s="193"/>
    </row>
    <row r="106435" spans="6:6" x14ac:dyDescent="0.3">
      <c r="F106435" s="193"/>
    </row>
    <row r="106436" spans="6:6" x14ac:dyDescent="0.3">
      <c r="F106436" s="193"/>
    </row>
    <row r="106437" spans="6:6" x14ac:dyDescent="0.3">
      <c r="F106437" s="193"/>
    </row>
    <row r="106438" spans="6:6" x14ac:dyDescent="0.3">
      <c r="F106438" s="193"/>
    </row>
    <row r="106439" spans="6:6" x14ac:dyDescent="0.3">
      <c r="F106439" s="193"/>
    </row>
    <row r="106440" spans="6:6" x14ac:dyDescent="0.3">
      <c r="F106440" s="193"/>
    </row>
    <row r="106441" spans="6:6" x14ac:dyDescent="0.3">
      <c r="F106441" s="193"/>
    </row>
    <row r="106442" spans="6:6" x14ac:dyDescent="0.3">
      <c r="F106442" s="193"/>
    </row>
    <row r="106443" spans="6:6" x14ac:dyDescent="0.3">
      <c r="F106443" s="193"/>
    </row>
    <row r="106444" spans="6:6" x14ac:dyDescent="0.3">
      <c r="F106444" s="193"/>
    </row>
    <row r="106445" spans="6:6" x14ac:dyDescent="0.3">
      <c r="F106445" s="193"/>
    </row>
    <row r="106446" spans="6:6" x14ac:dyDescent="0.3">
      <c r="F106446" s="193"/>
    </row>
    <row r="106447" spans="6:6" x14ac:dyDescent="0.3">
      <c r="F106447" s="193"/>
    </row>
    <row r="106448" spans="6:6" x14ac:dyDescent="0.3">
      <c r="F106448" s="193"/>
    </row>
    <row r="106449" spans="6:6" x14ac:dyDescent="0.3">
      <c r="F106449" s="193"/>
    </row>
    <row r="106450" spans="6:6" x14ac:dyDescent="0.3">
      <c r="F106450" s="193"/>
    </row>
    <row r="106451" spans="6:6" x14ac:dyDescent="0.3">
      <c r="F106451" s="193"/>
    </row>
    <row r="106452" spans="6:6" x14ac:dyDescent="0.3">
      <c r="F106452" s="193"/>
    </row>
    <row r="106453" spans="6:6" x14ac:dyDescent="0.3">
      <c r="F106453" s="193"/>
    </row>
    <row r="106454" spans="6:6" x14ac:dyDescent="0.3">
      <c r="F106454" s="193"/>
    </row>
    <row r="106455" spans="6:6" x14ac:dyDescent="0.3">
      <c r="F106455" s="193"/>
    </row>
    <row r="106456" spans="6:6" x14ac:dyDescent="0.3">
      <c r="F106456" s="193"/>
    </row>
    <row r="106457" spans="6:6" x14ac:dyDescent="0.3">
      <c r="F106457" s="193"/>
    </row>
    <row r="106458" spans="6:6" x14ac:dyDescent="0.3">
      <c r="F106458" s="193"/>
    </row>
    <row r="106459" spans="6:6" x14ac:dyDescent="0.3">
      <c r="F106459" s="193"/>
    </row>
    <row r="106460" spans="6:6" x14ac:dyDescent="0.3">
      <c r="F106460" s="193"/>
    </row>
    <row r="106461" spans="6:6" x14ac:dyDescent="0.3">
      <c r="F106461" s="193"/>
    </row>
    <row r="106462" spans="6:6" x14ac:dyDescent="0.3">
      <c r="F106462" s="193"/>
    </row>
    <row r="106463" spans="6:6" x14ac:dyDescent="0.3">
      <c r="F106463" s="193"/>
    </row>
    <row r="106464" spans="6:6" x14ac:dyDescent="0.3">
      <c r="F106464" s="193"/>
    </row>
    <row r="106465" spans="6:6" x14ac:dyDescent="0.3">
      <c r="F106465" s="193"/>
    </row>
    <row r="106466" spans="6:6" x14ac:dyDescent="0.3">
      <c r="F106466" s="193"/>
    </row>
    <row r="106467" spans="6:6" x14ac:dyDescent="0.3">
      <c r="F106467" s="193"/>
    </row>
    <row r="106468" spans="6:6" x14ac:dyDescent="0.3">
      <c r="F106468" s="193"/>
    </row>
    <row r="106469" spans="6:6" x14ac:dyDescent="0.3">
      <c r="F106469" s="193"/>
    </row>
    <row r="106470" spans="6:6" x14ac:dyDescent="0.3">
      <c r="F106470" s="193"/>
    </row>
    <row r="106471" spans="6:6" x14ac:dyDescent="0.3">
      <c r="F106471" s="193"/>
    </row>
    <row r="106472" spans="6:6" x14ac:dyDescent="0.3">
      <c r="F106472" s="193"/>
    </row>
    <row r="106473" spans="6:6" x14ac:dyDescent="0.3">
      <c r="F106473" s="193"/>
    </row>
    <row r="106474" spans="6:6" x14ac:dyDescent="0.3">
      <c r="F106474" s="193"/>
    </row>
    <row r="106475" spans="6:6" x14ac:dyDescent="0.3">
      <c r="F106475" s="193"/>
    </row>
    <row r="106476" spans="6:6" x14ac:dyDescent="0.3">
      <c r="F106476" s="193"/>
    </row>
    <row r="106477" spans="6:6" x14ac:dyDescent="0.3">
      <c r="F106477" s="193"/>
    </row>
    <row r="106478" spans="6:6" x14ac:dyDescent="0.3">
      <c r="F106478" s="193"/>
    </row>
    <row r="106479" spans="6:6" x14ac:dyDescent="0.3">
      <c r="F106479" s="193"/>
    </row>
    <row r="106480" spans="6:6" x14ac:dyDescent="0.3">
      <c r="F106480" s="193"/>
    </row>
    <row r="106481" spans="6:6" x14ac:dyDescent="0.3">
      <c r="F106481" s="193"/>
    </row>
    <row r="106482" spans="6:6" x14ac:dyDescent="0.3">
      <c r="F106482" s="193"/>
    </row>
    <row r="106483" spans="6:6" x14ac:dyDescent="0.3">
      <c r="F106483" s="193"/>
    </row>
    <row r="106484" spans="6:6" x14ac:dyDescent="0.3">
      <c r="F106484" s="193"/>
    </row>
    <row r="106485" spans="6:6" x14ac:dyDescent="0.3">
      <c r="F106485" s="193"/>
    </row>
    <row r="106486" spans="6:6" x14ac:dyDescent="0.3">
      <c r="F106486" s="193"/>
    </row>
    <row r="106487" spans="6:6" x14ac:dyDescent="0.3">
      <c r="F106487" s="193"/>
    </row>
    <row r="106488" spans="6:6" x14ac:dyDescent="0.3">
      <c r="F106488" s="193"/>
    </row>
    <row r="106489" spans="6:6" x14ac:dyDescent="0.3">
      <c r="F106489" s="193"/>
    </row>
    <row r="106490" spans="6:6" x14ac:dyDescent="0.3">
      <c r="F106490" s="193"/>
    </row>
    <row r="106491" spans="6:6" x14ac:dyDescent="0.3">
      <c r="F106491" s="193"/>
    </row>
    <row r="106492" spans="6:6" x14ac:dyDescent="0.3">
      <c r="F106492" s="193"/>
    </row>
    <row r="106493" spans="6:6" x14ac:dyDescent="0.3">
      <c r="F106493" s="193"/>
    </row>
    <row r="106494" spans="6:6" x14ac:dyDescent="0.3">
      <c r="F106494" s="193"/>
    </row>
    <row r="106495" spans="6:6" x14ac:dyDescent="0.3">
      <c r="F106495" s="193"/>
    </row>
    <row r="106496" spans="6:6" x14ac:dyDescent="0.3">
      <c r="F106496" s="193"/>
    </row>
    <row r="106497" spans="6:6" x14ac:dyDescent="0.3">
      <c r="F106497" s="193"/>
    </row>
    <row r="106498" spans="6:6" x14ac:dyDescent="0.3">
      <c r="F106498" s="193"/>
    </row>
    <row r="106499" spans="6:6" x14ac:dyDescent="0.3">
      <c r="F106499" s="193"/>
    </row>
    <row r="106500" spans="6:6" x14ac:dyDescent="0.3">
      <c r="F106500" s="193"/>
    </row>
    <row r="106501" spans="6:6" x14ac:dyDescent="0.3">
      <c r="F106501" s="193"/>
    </row>
    <row r="106502" spans="6:6" x14ac:dyDescent="0.3">
      <c r="F106502" s="193"/>
    </row>
    <row r="106503" spans="6:6" x14ac:dyDescent="0.3">
      <c r="F106503" s="193"/>
    </row>
    <row r="106504" spans="6:6" x14ac:dyDescent="0.3">
      <c r="F106504" s="193"/>
    </row>
    <row r="106505" spans="6:6" x14ac:dyDescent="0.3">
      <c r="F106505" s="193"/>
    </row>
    <row r="106506" spans="6:6" x14ac:dyDescent="0.3">
      <c r="F106506" s="193"/>
    </row>
    <row r="106507" spans="6:6" x14ac:dyDescent="0.3">
      <c r="F106507" s="193"/>
    </row>
    <row r="106508" spans="6:6" x14ac:dyDescent="0.3">
      <c r="F106508" s="193"/>
    </row>
    <row r="106509" spans="6:6" x14ac:dyDescent="0.3">
      <c r="F106509" s="193"/>
    </row>
    <row r="106510" spans="6:6" x14ac:dyDescent="0.3">
      <c r="F106510" s="193"/>
    </row>
    <row r="106511" spans="6:6" x14ac:dyDescent="0.3">
      <c r="F106511" s="193"/>
    </row>
    <row r="106512" spans="6:6" x14ac:dyDescent="0.3">
      <c r="F106512" s="193"/>
    </row>
    <row r="106513" spans="6:6" x14ac:dyDescent="0.3">
      <c r="F106513" s="193"/>
    </row>
    <row r="106514" spans="6:6" x14ac:dyDescent="0.3">
      <c r="F106514" s="193"/>
    </row>
    <row r="106515" spans="6:6" x14ac:dyDescent="0.3">
      <c r="F106515" s="193"/>
    </row>
    <row r="106516" spans="6:6" x14ac:dyDescent="0.3">
      <c r="F106516" s="193"/>
    </row>
    <row r="106517" spans="6:6" x14ac:dyDescent="0.3">
      <c r="F106517" s="193"/>
    </row>
    <row r="106518" spans="6:6" x14ac:dyDescent="0.3">
      <c r="F106518" s="193"/>
    </row>
    <row r="106519" spans="6:6" x14ac:dyDescent="0.3">
      <c r="F106519" s="193"/>
    </row>
    <row r="106520" spans="6:6" x14ac:dyDescent="0.3">
      <c r="F106520" s="193"/>
    </row>
    <row r="106521" spans="6:6" x14ac:dyDescent="0.3">
      <c r="F106521" s="193"/>
    </row>
    <row r="106522" spans="6:6" x14ac:dyDescent="0.3">
      <c r="F106522" s="193"/>
    </row>
    <row r="106523" spans="6:6" x14ac:dyDescent="0.3">
      <c r="F106523" s="193"/>
    </row>
    <row r="106524" spans="6:6" x14ac:dyDescent="0.3">
      <c r="F106524" s="193"/>
    </row>
    <row r="106525" spans="6:6" x14ac:dyDescent="0.3">
      <c r="F106525" s="193"/>
    </row>
    <row r="106526" spans="6:6" x14ac:dyDescent="0.3">
      <c r="F106526" s="193"/>
    </row>
    <row r="106527" spans="6:6" x14ac:dyDescent="0.3">
      <c r="F106527" s="193"/>
    </row>
    <row r="106528" spans="6:6" x14ac:dyDescent="0.3">
      <c r="F106528" s="193"/>
    </row>
    <row r="106529" spans="6:6" x14ac:dyDescent="0.3">
      <c r="F106529" s="193"/>
    </row>
    <row r="106530" spans="6:6" x14ac:dyDescent="0.3">
      <c r="F106530" s="193"/>
    </row>
    <row r="106531" spans="6:6" x14ac:dyDescent="0.3">
      <c r="F106531" s="193"/>
    </row>
    <row r="106532" spans="6:6" x14ac:dyDescent="0.3">
      <c r="F106532" s="193"/>
    </row>
    <row r="106533" spans="6:6" x14ac:dyDescent="0.3">
      <c r="F106533" s="193"/>
    </row>
    <row r="106534" spans="6:6" x14ac:dyDescent="0.3">
      <c r="F106534" s="193"/>
    </row>
    <row r="106535" spans="6:6" x14ac:dyDescent="0.3">
      <c r="F106535" s="193"/>
    </row>
    <row r="106536" spans="6:6" x14ac:dyDescent="0.3">
      <c r="F106536" s="193"/>
    </row>
    <row r="106537" spans="6:6" x14ac:dyDescent="0.3">
      <c r="F106537" s="193"/>
    </row>
    <row r="106538" spans="6:6" x14ac:dyDescent="0.3">
      <c r="F106538" s="193"/>
    </row>
    <row r="106539" spans="6:6" x14ac:dyDescent="0.3">
      <c r="F106539" s="193"/>
    </row>
    <row r="106540" spans="6:6" x14ac:dyDescent="0.3">
      <c r="F106540" s="193"/>
    </row>
    <row r="106541" spans="6:6" x14ac:dyDescent="0.3">
      <c r="F106541" s="193"/>
    </row>
    <row r="106542" spans="6:6" x14ac:dyDescent="0.3">
      <c r="F106542" s="193"/>
    </row>
    <row r="106543" spans="6:6" x14ac:dyDescent="0.3">
      <c r="F106543" s="193"/>
    </row>
    <row r="106544" spans="6:6" x14ac:dyDescent="0.3">
      <c r="F106544" s="193"/>
    </row>
    <row r="106545" spans="6:6" x14ac:dyDescent="0.3">
      <c r="F106545" s="193"/>
    </row>
    <row r="106546" spans="6:6" x14ac:dyDescent="0.3">
      <c r="F106546" s="193"/>
    </row>
    <row r="106547" spans="6:6" x14ac:dyDescent="0.3">
      <c r="F106547" s="193"/>
    </row>
    <row r="106548" spans="6:6" x14ac:dyDescent="0.3">
      <c r="F106548" s="193"/>
    </row>
    <row r="106549" spans="6:6" x14ac:dyDescent="0.3">
      <c r="F106549" s="193"/>
    </row>
    <row r="106550" spans="6:6" x14ac:dyDescent="0.3">
      <c r="F106550" s="193"/>
    </row>
    <row r="106551" spans="6:6" x14ac:dyDescent="0.3">
      <c r="F106551" s="193"/>
    </row>
    <row r="106552" spans="6:6" x14ac:dyDescent="0.3">
      <c r="F106552" s="193"/>
    </row>
    <row r="106553" spans="6:6" x14ac:dyDescent="0.3">
      <c r="F106553" s="193"/>
    </row>
    <row r="106554" spans="6:6" x14ac:dyDescent="0.3">
      <c r="F106554" s="193"/>
    </row>
    <row r="106555" spans="6:6" x14ac:dyDescent="0.3">
      <c r="F106555" s="193"/>
    </row>
    <row r="106556" spans="6:6" x14ac:dyDescent="0.3">
      <c r="F106556" s="193"/>
    </row>
    <row r="106557" spans="6:6" x14ac:dyDescent="0.3">
      <c r="F106557" s="193"/>
    </row>
    <row r="106558" spans="6:6" x14ac:dyDescent="0.3">
      <c r="F106558" s="193"/>
    </row>
    <row r="106559" spans="6:6" x14ac:dyDescent="0.3">
      <c r="F106559" s="193"/>
    </row>
    <row r="106560" spans="6:6" x14ac:dyDescent="0.3">
      <c r="F106560" s="193"/>
    </row>
    <row r="106561" spans="6:6" x14ac:dyDescent="0.3">
      <c r="F106561" s="193"/>
    </row>
    <row r="106562" spans="6:6" x14ac:dyDescent="0.3">
      <c r="F106562" s="193"/>
    </row>
    <row r="106563" spans="6:6" x14ac:dyDescent="0.3">
      <c r="F106563" s="193"/>
    </row>
    <row r="106564" spans="6:6" x14ac:dyDescent="0.3">
      <c r="F106564" s="193"/>
    </row>
    <row r="106565" spans="6:6" x14ac:dyDescent="0.3">
      <c r="F106565" s="193"/>
    </row>
    <row r="106566" spans="6:6" x14ac:dyDescent="0.3">
      <c r="F106566" s="193"/>
    </row>
    <row r="106567" spans="6:6" x14ac:dyDescent="0.3">
      <c r="F106567" s="193"/>
    </row>
    <row r="106568" spans="6:6" x14ac:dyDescent="0.3">
      <c r="F106568" s="193"/>
    </row>
    <row r="106569" spans="6:6" x14ac:dyDescent="0.3">
      <c r="F106569" s="193"/>
    </row>
    <row r="106570" spans="6:6" x14ac:dyDescent="0.3">
      <c r="F106570" s="193"/>
    </row>
    <row r="106571" spans="6:6" x14ac:dyDescent="0.3">
      <c r="F106571" s="193"/>
    </row>
    <row r="106572" spans="6:6" x14ac:dyDescent="0.3">
      <c r="F106572" s="193"/>
    </row>
    <row r="106573" spans="6:6" x14ac:dyDescent="0.3">
      <c r="F106573" s="193"/>
    </row>
    <row r="106574" spans="6:6" x14ac:dyDescent="0.3">
      <c r="F106574" s="193"/>
    </row>
    <row r="106575" spans="6:6" x14ac:dyDescent="0.3">
      <c r="F106575" s="193"/>
    </row>
    <row r="106576" spans="6:6" x14ac:dyDescent="0.3">
      <c r="F106576" s="193"/>
    </row>
    <row r="106577" spans="6:6" x14ac:dyDescent="0.3">
      <c r="F106577" s="193"/>
    </row>
    <row r="106578" spans="6:6" x14ac:dyDescent="0.3">
      <c r="F106578" s="193"/>
    </row>
    <row r="106579" spans="6:6" x14ac:dyDescent="0.3">
      <c r="F106579" s="193"/>
    </row>
    <row r="106580" spans="6:6" x14ac:dyDescent="0.3">
      <c r="F106580" s="193"/>
    </row>
    <row r="106581" spans="6:6" x14ac:dyDescent="0.3">
      <c r="F106581" s="193"/>
    </row>
    <row r="106582" spans="6:6" x14ac:dyDescent="0.3">
      <c r="F106582" s="193"/>
    </row>
    <row r="106583" spans="6:6" x14ac:dyDescent="0.3">
      <c r="F106583" s="193"/>
    </row>
    <row r="106584" spans="6:6" x14ac:dyDescent="0.3">
      <c r="F106584" s="193"/>
    </row>
    <row r="106585" spans="6:6" x14ac:dyDescent="0.3">
      <c r="F106585" s="193"/>
    </row>
    <row r="106586" spans="6:6" x14ac:dyDescent="0.3">
      <c r="F106586" s="193"/>
    </row>
    <row r="106587" spans="6:6" x14ac:dyDescent="0.3">
      <c r="F106587" s="193"/>
    </row>
    <row r="106588" spans="6:6" x14ac:dyDescent="0.3">
      <c r="F106588" s="193"/>
    </row>
    <row r="106589" spans="6:6" x14ac:dyDescent="0.3">
      <c r="F106589" s="193"/>
    </row>
    <row r="106590" spans="6:6" x14ac:dyDescent="0.3">
      <c r="F106590" s="193"/>
    </row>
    <row r="106591" spans="6:6" x14ac:dyDescent="0.3">
      <c r="F106591" s="193"/>
    </row>
    <row r="106592" spans="6:6" x14ac:dyDescent="0.3">
      <c r="F106592" s="193"/>
    </row>
    <row r="106593" spans="6:6" x14ac:dyDescent="0.3">
      <c r="F106593" s="193"/>
    </row>
    <row r="106594" spans="6:6" x14ac:dyDescent="0.3">
      <c r="F106594" s="193"/>
    </row>
    <row r="106595" spans="6:6" x14ac:dyDescent="0.3">
      <c r="F106595" s="193"/>
    </row>
    <row r="106596" spans="6:6" x14ac:dyDescent="0.3">
      <c r="F106596" s="193"/>
    </row>
    <row r="106597" spans="6:6" x14ac:dyDescent="0.3">
      <c r="F106597" s="193"/>
    </row>
    <row r="106598" spans="6:6" x14ac:dyDescent="0.3">
      <c r="F106598" s="193"/>
    </row>
    <row r="106599" spans="6:6" x14ac:dyDescent="0.3">
      <c r="F106599" s="193"/>
    </row>
    <row r="106600" spans="6:6" x14ac:dyDescent="0.3">
      <c r="F106600" s="193"/>
    </row>
    <row r="106601" spans="6:6" x14ac:dyDescent="0.3">
      <c r="F106601" s="193"/>
    </row>
    <row r="106602" spans="6:6" x14ac:dyDescent="0.3">
      <c r="F106602" s="193"/>
    </row>
    <row r="106603" spans="6:6" x14ac:dyDescent="0.3">
      <c r="F106603" s="193"/>
    </row>
    <row r="106604" spans="6:6" x14ac:dyDescent="0.3">
      <c r="F106604" s="193"/>
    </row>
    <row r="106605" spans="6:6" x14ac:dyDescent="0.3">
      <c r="F106605" s="193"/>
    </row>
    <row r="106606" spans="6:6" x14ac:dyDescent="0.3">
      <c r="F106606" s="193"/>
    </row>
    <row r="106607" spans="6:6" x14ac:dyDescent="0.3">
      <c r="F106607" s="193"/>
    </row>
    <row r="106608" spans="6:6" x14ac:dyDescent="0.3">
      <c r="F106608" s="193"/>
    </row>
    <row r="106609" spans="6:6" x14ac:dyDescent="0.3">
      <c r="F106609" s="193"/>
    </row>
    <row r="106610" spans="6:6" x14ac:dyDescent="0.3">
      <c r="F106610" s="193"/>
    </row>
    <row r="106611" spans="6:6" x14ac:dyDescent="0.3">
      <c r="F106611" s="193"/>
    </row>
    <row r="106612" spans="6:6" x14ac:dyDescent="0.3">
      <c r="F106612" s="193"/>
    </row>
    <row r="106613" spans="6:6" x14ac:dyDescent="0.3">
      <c r="F106613" s="193"/>
    </row>
    <row r="106614" spans="6:6" x14ac:dyDescent="0.3">
      <c r="F106614" s="193"/>
    </row>
    <row r="106615" spans="6:6" x14ac:dyDescent="0.3">
      <c r="F106615" s="193"/>
    </row>
    <row r="106616" spans="6:6" x14ac:dyDescent="0.3">
      <c r="F106616" s="193"/>
    </row>
    <row r="106617" spans="6:6" x14ac:dyDescent="0.3">
      <c r="F106617" s="193"/>
    </row>
    <row r="106618" spans="6:6" x14ac:dyDescent="0.3">
      <c r="F106618" s="193"/>
    </row>
    <row r="106619" spans="6:6" x14ac:dyDescent="0.3">
      <c r="F106619" s="193"/>
    </row>
    <row r="106620" spans="6:6" x14ac:dyDescent="0.3">
      <c r="F106620" s="193"/>
    </row>
    <row r="106621" spans="6:6" x14ac:dyDescent="0.3">
      <c r="F106621" s="193"/>
    </row>
    <row r="106622" spans="6:6" x14ac:dyDescent="0.3">
      <c r="F106622" s="193"/>
    </row>
    <row r="106623" spans="6:6" x14ac:dyDescent="0.3">
      <c r="F106623" s="193"/>
    </row>
    <row r="106624" spans="6:6" x14ac:dyDescent="0.3">
      <c r="F106624" s="193"/>
    </row>
    <row r="106625" spans="6:6" x14ac:dyDescent="0.3">
      <c r="F106625" s="193"/>
    </row>
    <row r="106626" spans="6:6" x14ac:dyDescent="0.3">
      <c r="F106626" s="193"/>
    </row>
    <row r="106627" spans="6:6" x14ac:dyDescent="0.3">
      <c r="F106627" s="193"/>
    </row>
    <row r="106628" spans="6:6" x14ac:dyDescent="0.3">
      <c r="F106628" s="193"/>
    </row>
    <row r="106629" spans="6:6" x14ac:dyDescent="0.3">
      <c r="F106629" s="193"/>
    </row>
    <row r="106630" spans="6:6" x14ac:dyDescent="0.3">
      <c r="F106630" s="193"/>
    </row>
    <row r="106631" spans="6:6" x14ac:dyDescent="0.3">
      <c r="F106631" s="193"/>
    </row>
    <row r="106632" spans="6:6" x14ac:dyDescent="0.3">
      <c r="F106632" s="193"/>
    </row>
    <row r="106633" spans="6:6" x14ac:dyDescent="0.3">
      <c r="F106633" s="193"/>
    </row>
    <row r="106634" spans="6:6" x14ac:dyDescent="0.3">
      <c r="F106634" s="193"/>
    </row>
    <row r="106635" spans="6:6" x14ac:dyDescent="0.3">
      <c r="F106635" s="193"/>
    </row>
    <row r="106636" spans="6:6" x14ac:dyDescent="0.3">
      <c r="F106636" s="193"/>
    </row>
    <row r="106637" spans="6:6" x14ac:dyDescent="0.3">
      <c r="F106637" s="193"/>
    </row>
    <row r="106638" spans="6:6" x14ac:dyDescent="0.3">
      <c r="F106638" s="193"/>
    </row>
    <row r="106639" spans="6:6" x14ac:dyDescent="0.3">
      <c r="F106639" s="193"/>
    </row>
    <row r="106640" spans="6:6" x14ac:dyDescent="0.3">
      <c r="F106640" s="193"/>
    </row>
    <row r="106641" spans="6:6" x14ac:dyDescent="0.3">
      <c r="F106641" s="193"/>
    </row>
    <row r="106642" spans="6:6" x14ac:dyDescent="0.3">
      <c r="F106642" s="193"/>
    </row>
    <row r="106643" spans="6:6" x14ac:dyDescent="0.3">
      <c r="F106643" s="193"/>
    </row>
    <row r="106644" spans="6:6" x14ac:dyDescent="0.3">
      <c r="F106644" s="193"/>
    </row>
    <row r="106645" spans="6:6" x14ac:dyDescent="0.3">
      <c r="F106645" s="193"/>
    </row>
    <row r="106646" spans="6:6" x14ac:dyDescent="0.3">
      <c r="F106646" s="193"/>
    </row>
    <row r="106647" spans="6:6" x14ac:dyDescent="0.3">
      <c r="F106647" s="193"/>
    </row>
    <row r="106648" spans="6:6" x14ac:dyDescent="0.3">
      <c r="F106648" s="193"/>
    </row>
    <row r="106649" spans="6:6" x14ac:dyDescent="0.3">
      <c r="F106649" s="193"/>
    </row>
    <row r="106650" spans="6:6" x14ac:dyDescent="0.3">
      <c r="F106650" s="193"/>
    </row>
    <row r="106651" spans="6:6" x14ac:dyDescent="0.3">
      <c r="F106651" s="193"/>
    </row>
    <row r="106652" spans="6:6" x14ac:dyDescent="0.3">
      <c r="F106652" s="193"/>
    </row>
    <row r="106653" spans="6:6" x14ac:dyDescent="0.3">
      <c r="F106653" s="193"/>
    </row>
    <row r="106654" spans="6:6" x14ac:dyDescent="0.3">
      <c r="F106654" s="193"/>
    </row>
    <row r="106655" spans="6:6" x14ac:dyDescent="0.3">
      <c r="F106655" s="193"/>
    </row>
    <row r="106656" spans="6:6" x14ac:dyDescent="0.3">
      <c r="F106656" s="193"/>
    </row>
    <row r="106657" spans="6:6" x14ac:dyDescent="0.3">
      <c r="F106657" s="193"/>
    </row>
    <row r="106658" spans="6:6" x14ac:dyDescent="0.3">
      <c r="F106658" s="193"/>
    </row>
    <row r="106659" spans="6:6" x14ac:dyDescent="0.3">
      <c r="F106659" s="193"/>
    </row>
    <row r="106660" spans="6:6" x14ac:dyDescent="0.3">
      <c r="F106660" s="193"/>
    </row>
    <row r="106661" spans="6:6" x14ac:dyDescent="0.3">
      <c r="F106661" s="193"/>
    </row>
    <row r="106662" spans="6:6" x14ac:dyDescent="0.3">
      <c r="F106662" s="193"/>
    </row>
    <row r="106663" spans="6:6" x14ac:dyDescent="0.3">
      <c r="F106663" s="193"/>
    </row>
    <row r="106664" spans="6:6" x14ac:dyDescent="0.3">
      <c r="F106664" s="193"/>
    </row>
    <row r="106665" spans="6:6" x14ac:dyDescent="0.3">
      <c r="F106665" s="193"/>
    </row>
    <row r="106666" spans="6:6" x14ac:dyDescent="0.3">
      <c r="F106666" s="193"/>
    </row>
    <row r="106667" spans="6:6" x14ac:dyDescent="0.3">
      <c r="F106667" s="193"/>
    </row>
    <row r="106668" spans="6:6" x14ac:dyDescent="0.3">
      <c r="F106668" s="193"/>
    </row>
    <row r="106669" spans="6:6" x14ac:dyDescent="0.3">
      <c r="F106669" s="193"/>
    </row>
    <row r="106670" spans="6:6" x14ac:dyDescent="0.3">
      <c r="F106670" s="193"/>
    </row>
    <row r="106671" spans="6:6" x14ac:dyDescent="0.3">
      <c r="F106671" s="193"/>
    </row>
    <row r="106672" spans="6:6" x14ac:dyDescent="0.3">
      <c r="F106672" s="193"/>
    </row>
    <row r="106673" spans="6:6" x14ac:dyDescent="0.3">
      <c r="F106673" s="193"/>
    </row>
    <row r="106674" spans="6:6" x14ac:dyDescent="0.3">
      <c r="F106674" s="193"/>
    </row>
    <row r="106675" spans="6:6" x14ac:dyDescent="0.3">
      <c r="F106675" s="193"/>
    </row>
    <row r="106676" spans="6:6" x14ac:dyDescent="0.3">
      <c r="F106676" s="193"/>
    </row>
    <row r="106677" spans="6:6" x14ac:dyDescent="0.3">
      <c r="F106677" s="193"/>
    </row>
    <row r="106678" spans="6:6" x14ac:dyDescent="0.3">
      <c r="F106678" s="193"/>
    </row>
    <row r="106679" spans="6:6" x14ac:dyDescent="0.3">
      <c r="F106679" s="193"/>
    </row>
    <row r="106680" spans="6:6" x14ac:dyDescent="0.3">
      <c r="F106680" s="193"/>
    </row>
    <row r="106681" spans="6:6" x14ac:dyDescent="0.3">
      <c r="F106681" s="193"/>
    </row>
    <row r="106682" spans="6:6" x14ac:dyDescent="0.3">
      <c r="F106682" s="193"/>
    </row>
    <row r="106683" spans="6:6" x14ac:dyDescent="0.3">
      <c r="F106683" s="193"/>
    </row>
    <row r="106684" spans="6:6" x14ac:dyDescent="0.3">
      <c r="F106684" s="193"/>
    </row>
    <row r="106685" spans="6:6" x14ac:dyDescent="0.3">
      <c r="F106685" s="193"/>
    </row>
    <row r="106686" spans="6:6" x14ac:dyDescent="0.3">
      <c r="F106686" s="193"/>
    </row>
    <row r="106687" spans="6:6" x14ac:dyDescent="0.3">
      <c r="F106687" s="193"/>
    </row>
    <row r="106688" spans="6:6" x14ac:dyDescent="0.3">
      <c r="F106688" s="193"/>
    </row>
    <row r="106689" spans="6:6" x14ac:dyDescent="0.3">
      <c r="F106689" s="193"/>
    </row>
    <row r="106690" spans="6:6" x14ac:dyDescent="0.3">
      <c r="F106690" s="193"/>
    </row>
    <row r="106691" spans="6:6" x14ac:dyDescent="0.3">
      <c r="F106691" s="193"/>
    </row>
    <row r="106692" spans="6:6" x14ac:dyDescent="0.3">
      <c r="F106692" s="193"/>
    </row>
    <row r="106693" spans="6:6" x14ac:dyDescent="0.3">
      <c r="F106693" s="193"/>
    </row>
    <row r="106694" spans="6:6" x14ac:dyDescent="0.3">
      <c r="F106694" s="193"/>
    </row>
    <row r="106695" spans="6:6" x14ac:dyDescent="0.3">
      <c r="F106695" s="193"/>
    </row>
    <row r="106696" spans="6:6" x14ac:dyDescent="0.3">
      <c r="F106696" s="193"/>
    </row>
    <row r="106697" spans="6:6" x14ac:dyDescent="0.3">
      <c r="F106697" s="193"/>
    </row>
    <row r="106698" spans="6:6" x14ac:dyDescent="0.3">
      <c r="F106698" s="193"/>
    </row>
    <row r="106699" spans="6:6" x14ac:dyDescent="0.3">
      <c r="F106699" s="193"/>
    </row>
    <row r="106700" spans="6:6" x14ac:dyDescent="0.3">
      <c r="F106700" s="193"/>
    </row>
    <row r="106701" spans="6:6" x14ac:dyDescent="0.3">
      <c r="F106701" s="193"/>
    </row>
    <row r="106702" spans="6:6" x14ac:dyDescent="0.3">
      <c r="F106702" s="193"/>
    </row>
    <row r="106703" spans="6:6" x14ac:dyDescent="0.3">
      <c r="F106703" s="193"/>
    </row>
    <row r="106704" spans="6:6" x14ac:dyDescent="0.3">
      <c r="F106704" s="193"/>
    </row>
    <row r="106705" spans="6:6" x14ac:dyDescent="0.3">
      <c r="F106705" s="193"/>
    </row>
    <row r="106706" spans="6:6" x14ac:dyDescent="0.3">
      <c r="F106706" s="193"/>
    </row>
    <row r="106707" spans="6:6" x14ac:dyDescent="0.3">
      <c r="F106707" s="193"/>
    </row>
    <row r="106708" spans="6:6" x14ac:dyDescent="0.3">
      <c r="F106708" s="193"/>
    </row>
    <row r="106709" spans="6:6" x14ac:dyDescent="0.3">
      <c r="F106709" s="193"/>
    </row>
    <row r="106710" spans="6:6" x14ac:dyDescent="0.3">
      <c r="F106710" s="193"/>
    </row>
    <row r="106711" spans="6:6" x14ac:dyDescent="0.3">
      <c r="F106711" s="193"/>
    </row>
    <row r="106712" spans="6:6" x14ac:dyDescent="0.3">
      <c r="F106712" s="193"/>
    </row>
    <row r="106713" spans="6:6" x14ac:dyDescent="0.3">
      <c r="F106713" s="193"/>
    </row>
    <row r="106714" spans="6:6" x14ac:dyDescent="0.3">
      <c r="F106714" s="193"/>
    </row>
    <row r="106715" spans="6:6" x14ac:dyDescent="0.3">
      <c r="F106715" s="193"/>
    </row>
    <row r="106716" spans="6:6" x14ac:dyDescent="0.3">
      <c r="F106716" s="193"/>
    </row>
    <row r="106717" spans="6:6" x14ac:dyDescent="0.3">
      <c r="F106717" s="193"/>
    </row>
    <row r="106718" spans="6:6" x14ac:dyDescent="0.3">
      <c r="F106718" s="193"/>
    </row>
    <row r="106719" spans="6:6" x14ac:dyDescent="0.3">
      <c r="F106719" s="193"/>
    </row>
    <row r="106720" spans="6:6" x14ac:dyDescent="0.3">
      <c r="F106720" s="193"/>
    </row>
    <row r="106721" spans="6:6" x14ac:dyDescent="0.3">
      <c r="F106721" s="193"/>
    </row>
    <row r="106722" spans="6:6" x14ac:dyDescent="0.3">
      <c r="F106722" s="193"/>
    </row>
    <row r="106723" spans="6:6" x14ac:dyDescent="0.3">
      <c r="F106723" s="193"/>
    </row>
    <row r="106724" spans="6:6" x14ac:dyDescent="0.3">
      <c r="F106724" s="193"/>
    </row>
    <row r="106725" spans="6:6" x14ac:dyDescent="0.3">
      <c r="F106725" s="193"/>
    </row>
    <row r="106726" spans="6:6" x14ac:dyDescent="0.3">
      <c r="F106726" s="193"/>
    </row>
    <row r="106727" spans="6:6" x14ac:dyDescent="0.3">
      <c r="F106727" s="193"/>
    </row>
    <row r="106728" spans="6:6" x14ac:dyDescent="0.3">
      <c r="F106728" s="193"/>
    </row>
    <row r="106729" spans="6:6" x14ac:dyDescent="0.3">
      <c r="F106729" s="193"/>
    </row>
    <row r="106730" spans="6:6" x14ac:dyDescent="0.3">
      <c r="F106730" s="193"/>
    </row>
    <row r="106731" spans="6:6" x14ac:dyDescent="0.3">
      <c r="F106731" s="193"/>
    </row>
    <row r="106732" spans="6:6" x14ac:dyDescent="0.3">
      <c r="F106732" s="193"/>
    </row>
    <row r="106733" spans="6:6" x14ac:dyDescent="0.3">
      <c r="F106733" s="193"/>
    </row>
    <row r="106734" spans="6:6" x14ac:dyDescent="0.3">
      <c r="F106734" s="193"/>
    </row>
    <row r="106735" spans="6:6" x14ac:dyDescent="0.3">
      <c r="F106735" s="193"/>
    </row>
    <row r="106736" spans="6:6" x14ac:dyDescent="0.3">
      <c r="F106736" s="193"/>
    </row>
    <row r="106737" spans="6:6" x14ac:dyDescent="0.3">
      <c r="F106737" s="193"/>
    </row>
    <row r="106738" spans="6:6" x14ac:dyDescent="0.3">
      <c r="F106738" s="193"/>
    </row>
    <row r="106739" spans="6:6" x14ac:dyDescent="0.3">
      <c r="F106739" s="193"/>
    </row>
    <row r="106740" spans="6:6" x14ac:dyDescent="0.3">
      <c r="F106740" s="193"/>
    </row>
    <row r="106741" spans="6:6" x14ac:dyDescent="0.3">
      <c r="F106741" s="193"/>
    </row>
    <row r="106742" spans="6:6" x14ac:dyDescent="0.3">
      <c r="F106742" s="193"/>
    </row>
    <row r="106743" spans="6:6" x14ac:dyDescent="0.3">
      <c r="F106743" s="193"/>
    </row>
    <row r="106744" spans="6:6" x14ac:dyDescent="0.3">
      <c r="F106744" s="193"/>
    </row>
    <row r="106745" spans="6:6" x14ac:dyDescent="0.3">
      <c r="F106745" s="193"/>
    </row>
    <row r="106746" spans="6:6" x14ac:dyDescent="0.3">
      <c r="F106746" s="193"/>
    </row>
    <row r="106747" spans="6:6" x14ac:dyDescent="0.3">
      <c r="F106747" s="193"/>
    </row>
    <row r="106748" spans="6:6" x14ac:dyDescent="0.3">
      <c r="F106748" s="193"/>
    </row>
    <row r="106749" spans="6:6" x14ac:dyDescent="0.3">
      <c r="F106749" s="193"/>
    </row>
    <row r="106750" spans="6:6" x14ac:dyDescent="0.3">
      <c r="F106750" s="193"/>
    </row>
    <row r="106751" spans="6:6" x14ac:dyDescent="0.3">
      <c r="F106751" s="193"/>
    </row>
    <row r="106752" spans="6:6" x14ac:dyDescent="0.3">
      <c r="F106752" s="193"/>
    </row>
    <row r="106753" spans="6:6" x14ac:dyDescent="0.3">
      <c r="F106753" s="193"/>
    </row>
    <row r="106754" spans="6:6" x14ac:dyDescent="0.3">
      <c r="F106754" s="193"/>
    </row>
    <row r="106755" spans="6:6" x14ac:dyDescent="0.3">
      <c r="F106755" s="193"/>
    </row>
    <row r="106756" spans="6:6" x14ac:dyDescent="0.3">
      <c r="F106756" s="193"/>
    </row>
    <row r="106757" spans="6:6" x14ac:dyDescent="0.3">
      <c r="F106757" s="193"/>
    </row>
    <row r="106758" spans="6:6" x14ac:dyDescent="0.3">
      <c r="F106758" s="193"/>
    </row>
    <row r="106759" spans="6:6" x14ac:dyDescent="0.3">
      <c r="F106759" s="193"/>
    </row>
    <row r="106760" spans="6:6" x14ac:dyDescent="0.3">
      <c r="F106760" s="193"/>
    </row>
    <row r="106761" spans="6:6" x14ac:dyDescent="0.3">
      <c r="F106761" s="193"/>
    </row>
    <row r="106762" spans="6:6" x14ac:dyDescent="0.3">
      <c r="F106762" s="193"/>
    </row>
    <row r="106763" spans="6:6" x14ac:dyDescent="0.3">
      <c r="F106763" s="193"/>
    </row>
    <row r="106764" spans="6:6" x14ac:dyDescent="0.3">
      <c r="F106764" s="193"/>
    </row>
    <row r="106765" spans="6:6" x14ac:dyDescent="0.3">
      <c r="F106765" s="193"/>
    </row>
    <row r="106766" spans="6:6" x14ac:dyDescent="0.3">
      <c r="F106766" s="193"/>
    </row>
    <row r="106767" spans="6:6" x14ac:dyDescent="0.3">
      <c r="F106767" s="193"/>
    </row>
    <row r="106768" spans="6:6" x14ac:dyDescent="0.3">
      <c r="F106768" s="193"/>
    </row>
    <row r="106769" spans="6:6" x14ac:dyDescent="0.3">
      <c r="F106769" s="193"/>
    </row>
    <row r="106770" spans="6:6" x14ac:dyDescent="0.3">
      <c r="F106770" s="193"/>
    </row>
    <row r="106771" spans="6:6" x14ac:dyDescent="0.3">
      <c r="F106771" s="193"/>
    </row>
    <row r="106772" spans="6:6" x14ac:dyDescent="0.3">
      <c r="F106772" s="193"/>
    </row>
    <row r="106773" spans="6:6" x14ac:dyDescent="0.3">
      <c r="F106773" s="193"/>
    </row>
    <row r="106774" spans="6:6" x14ac:dyDescent="0.3">
      <c r="F106774" s="193"/>
    </row>
    <row r="106775" spans="6:6" x14ac:dyDescent="0.3">
      <c r="F106775" s="193"/>
    </row>
    <row r="106776" spans="6:6" x14ac:dyDescent="0.3">
      <c r="F106776" s="193"/>
    </row>
    <row r="106777" spans="6:6" x14ac:dyDescent="0.3">
      <c r="F106777" s="193"/>
    </row>
    <row r="106778" spans="6:6" x14ac:dyDescent="0.3">
      <c r="F106778" s="193"/>
    </row>
    <row r="106779" spans="6:6" x14ac:dyDescent="0.3">
      <c r="F106779" s="193"/>
    </row>
    <row r="106780" spans="6:6" x14ac:dyDescent="0.3">
      <c r="F106780" s="193"/>
    </row>
    <row r="106781" spans="6:6" x14ac:dyDescent="0.3">
      <c r="F106781" s="193"/>
    </row>
    <row r="106782" spans="6:6" x14ac:dyDescent="0.3">
      <c r="F106782" s="193"/>
    </row>
    <row r="106783" spans="6:6" x14ac:dyDescent="0.3">
      <c r="F106783" s="193"/>
    </row>
    <row r="106784" spans="6:6" x14ac:dyDescent="0.3">
      <c r="F106784" s="193"/>
    </row>
    <row r="106785" spans="6:6" x14ac:dyDescent="0.3">
      <c r="F106785" s="193"/>
    </row>
    <row r="106786" spans="6:6" x14ac:dyDescent="0.3">
      <c r="F106786" s="193"/>
    </row>
    <row r="106787" spans="6:6" x14ac:dyDescent="0.3">
      <c r="F106787" s="193"/>
    </row>
    <row r="106788" spans="6:6" x14ac:dyDescent="0.3">
      <c r="F106788" s="193"/>
    </row>
    <row r="106789" spans="6:6" x14ac:dyDescent="0.3">
      <c r="F106789" s="193"/>
    </row>
    <row r="106790" spans="6:6" x14ac:dyDescent="0.3">
      <c r="F106790" s="193"/>
    </row>
    <row r="106791" spans="6:6" x14ac:dyDescent="0.3">
      <c r="F106791" s="193"/>
    </row>
    <row r="106792" spans="6:6" x14ac:dyDescent="0.3">
      <c r="F106792" s="193"/>
    </row>
    <row r="106793" spans="6:6" x14ac:dyDescent="0.3">
      <c r="F106793" s="193"/>
    </row>
    <row r="106794" spans="6:6" x14ac:dyDescent="0.3">
      <c r="F106794" s="193"/>
    </row>
    <row r="106795" spans="6:6" x14ac:dyDescent="0.3">
      <c r="F106795" s="193"/>
    </row>
    <row r="106796" spans="6:6" x14ac:dyDescent="0.3">
      <c r="F106796" s="193"/>
    </row>
    <row r="106797" spans="6:6" x14ac:dyDescent="0.3">
      <c r="F106797" s="193"/>
    </row>
    <row r="106798" spans="6:6" x14ac:dyDescent="0.3">
      <c r="F106798" s="193"/>
    </row>
    <row r="106799" spans="6:6" x14ac:dyDescent="0.3">
      <c r="F106799" s="193"/>
    </row>
    <row r="106800" spans="6:6" x14ac:dyDescent="0.3">
      <c r="F106800" s="193"/>
    </row>
    <row r="106801" spans="6:6" x14ac:dyDescent="0.3">
      <c r="F106801" s="193"/>
    </row>
    <row r="106802" spans="6:6" x14ac:dyDescent="0.3">
      <c r="F106802" s="193"/>
    </row>
    <row r="106803" spans="6:6" x14ac:dyDescent="0.3">
      <c r="F106803" s="193"/>
    </row>
    <row r="106804" spans="6:6" x14ac:dyDescent="0.3">
      <c r="F106804" s="193"/>
    </row>
    <row r="106805" spans="6:6" x14ac:dyDescent="0.3">
      <c r="F106805" s="193"/>
    </row>
    <row r="106806" spans="6:6" x14ac:dyDescent="0.3">
      <c r="F106806" s="193"/>
    </row>
    <row r="106807" spans="6:6" x14ac:dyDescent="0.3">
      <c r="F106807" s="193"/>
    </row>
    <row r="106808" spans="6:6" x14ac:dyDescent="0.3">
      <c r="F106808" s="193"/>
    </row>
    <row r="106809" spans="6:6" x14ac:dyDescent="0.3">
      <c r="F106809" s="193"/>
    </row>
    <row r="106810" spans="6:6" x14ac:dyDescent="0.3">
      <c r="F106810" s="193"/>
    </row>
    <row r="106811" spans="6:6" x14ac:dyDescent="0.3">
      <c r="F106811" s="193"/>
    </row>
    <row r="106812" spans="6:6" x14ac:dyDescent="0.3">
      <c r="F106812" s="193"/>
    </row>
    <row r="106813" spans="6:6" x14ac:dyDescent="0.3">
      <c r="F106813" s="193"/>
    </row>
    <row r="106814" spans="6:6" x14ac:dyDescent="0.3">
      <c r="F106814" s="193"/>
    </row>
    <row r="106815" spans="6:6" x14ac:dyDescent="0.3">
      <c r="F106815" s="193"/>
    </row>
    <row r="106816" spans="6:6" x14ac:dyDescent="0.3">
      <c r="F106816" s="193"/>
    </row>
    <row r="106817" spans="6:6" x14ac:dyDescent="0.3">
      <c r="F106817" s="193"/>
    </row>
    <row r="106818" spans="6:6" x14ac:dyDescent="0.3">
      <c r="F106818" s="193"/>
    </row>
    <row r="106819" spans="6:6" x14ac:dyDescent="0.3">
      <c r="F106819" s="193"/>
    </row>
    <row r="106820" spans="6:6" x14ac:dyDescent="0.3">
      <c r="F106820" s="193"/>
    </row>
    <row r="106821" spans="6:6" x14ac:dyDescent="0.3">
      <c r="F106821" s="193"/>
    </row>
    <row r="106822" spans="6:6" x14ac:dyDescent="0.3">
      <c r="F106822" s="193"/>
    </row>
    <row r="106823" spans="6:6" x14ac:dyDescent="0.3">
      <c r="F106823" s="193"/>
    </row>
    <row r="106824" spans="6:6" x14ac:dyDescent="0.3">
      <c r="F106824" s="193"/>
    </row>
    <row r="106825" spans="6:6" x14ac:dyDescent="0.3">
      <c r="F106825" s="193"/>
    </row>
    <row r="106826" spans="6:6" x14ac:dyDescent="0.3">
      <c r="F106826" s="193"/>
    </row>
    <row r="106827" spans="6:6" x14ac:dyDescent="0.3">
      <c r="F106827" s="193"/>
    </row>
    <row r="106828" spans="6:6" x14ac:dyDescent="0.3">
      <c r="F106828" s="193"/>
    </row>
    <row r="106829" spans="6:6" x14ac:dyDescent="0.3">
      <c r="F106829" s="193"/>
    </row>
    <row r="106830" spans="6:6" x14ac:dyDescent="0.3">
      <c r="F106830" s="193"/>
    </row>
    <row r="106831" spans="6:6" x14ac:dyDescent="0.3">
      <c r="F106831" s="193"/>
    </row>
    <row r="106832" spans="6:6" x14ac:dyDescent="0.3">
      <c r="F106832" s="193"/>
    </row>
    <row r="106833" spans="6:6" x14ac:dyDescent="0.3">
      <c r="F106833" s="193"/>
    </row>
    <row r="106834" spans="6:6" x14ac:dyDescent="0.3">
      <c r="F106834" s="193"/>
    </row>
    <row r="106835" spans="6:6" x14ac:dyDescent="0.3">
      <c r="F106835" s="193"/>
    </row>
    <row r="106836" spans="6:6" x14ac:dyDescent="0.3">
      <c r="F106836" s="193"/>
    </row>
    <row r="106837" spans="6:6" x14ac:dyDescent="0.3">
      <c r="F106837" s="193"/>
    </row>
    <row r="106838" spans="6:6" x14ac:dyDescent="0.3">
      <c r="F106838" s="193"/>
    </row>
    <row r="106839" spans="6:6" x14ac:dyDescent="0.3">
      <c r="F106839" s="193"/>
    </row>
    <row r="106840" spans="6:6" x14ac:dyDescent="0.3">
      <c r="F106840" s="193"/>
    </row>
    <row r="106841" spans="6:6" x14ac:dyDescent="0.3">
      <c r="F106841" s="193"/>
    </row>
    <row r="106842" spans="6:6" x14ac:dyDescent="0.3">
      <c r="F106842" s="193"/>
    </row>
    <row r="106843" spans="6:6" x14ac:dyDescent="0.3">
      <c r="F106843" s="193"/>
    </row>
    <row r="106844" spans="6:6" x14ac:dyDescent="0.3">
      <c r="F106844" s="193"/>
    </row>
    <row r="106845" spans="6:6" x14ac:dyDescent="0.3">
      <c r="F106845" s="193"/>
    </row>
    <row r="106846" spans="6:6" x14ac:dyDescent="0.3">
      <c r="F106846" s="193"/>
    </row>
    <row r="106847" spans="6:6" x14ac:dyDescent="0.3">
      <c r="F106847" s="193"/>
    </row>
    <row r="106848" spans="6:6" x14ac:dyDescent="0.3">
      <c r="F106848" s="193"/>
    </row>
    <row r="106849" spans="6:6" x14ac:dyDescent="0.3">
      <c r="F106849" s="193"/>
    </row>
    <row r="106850" spans="6:6" x14ac:dyDescent="0.3">
      <c r="F106850" s="193"/>
    </row>
    <row r="106851" spans="6:6" x14ac:dyDescent="0.3">
      <c r="F106851" s="193"/>
    </row>
    <row r="106852" spans="6:6" x14ac:dyDescent="0.3">
      <c r="F106852" s="193"/>
    </row>
    <row r="106853" spans="6:6" x14ac:dyDescent="0.3">
      <c r="F106853" s="193"/>
    </row>
    <row r="106854" spans="6:6" x14ac:dyDescent="0.3">
      <c r="F106854" s="193"/>
    </row>
    <row r="106855" spans="6:6" x14ac:dyDescent="0.3">
      <c r="F106855" s="193"/>
    </row>
    <row r="106856" spans="6:6" x14ac:dyDescent="0.3">
      <c r="F106856" s="193"/>
    </row>
    <row r="106857" spans="6:6" x14ac:dyDescent="0.3">
      <c r="F106857" s="193"/>
    </row>
    <row r="106858" spans="6:6" x14ac:dyDescent="0.3">
      <c r="F106858" s="193"/>
    </row>
    <row r="106859" spans="6:6" x14ac:dyDescent="0.3">
      <c r="F106859" s="193"/>
    </row>
    <row r="106860" spans="6:6" x14ac:dyDescent="0.3">
      <c r="F106860" s="193"/>
    </row>
    <row r="106861" spans="6:6" x14ac:dyDescent="0.3">
      <c r="F106861" s="193"/>
    </row>
    <row r="106862" spans="6:6" x14ac:dyDescent="0.3">
      <c r="F106862" s="193"/>
    </row>
    <row r="106863" spans="6:6" x14ac:dyDescent="0.3">
      <c r="F106863" s="193"/>
    </row>
    <row r="106864" spans="6:6" x14ac:dyDescent="0.3">
      <c r="F106864" s="193"/>
    </row>
    <row r="106865" spans="6:6" x14ac:dyDescent="0.3">
      <c r="F106865" s="193"/>
    </row>
    <row r="106866" spans="6:6" x14ac:dyDescent="0.3">
      <c r="F106866" s="193"/>
    </row>
    <row r="106867" spans="6:6" x14ac:dyDescent="0.3">
      <c r="F106867" s="193"/>
    </row>
    <row r="106868" spans="6:6" x14ac:dyDescent="0.3">
      <c r="F106868" s="193"/>
    </row>
    <row r="106869" spans="6:6" x14ac:dyDescent="0.3">
      <c r="F106869" s="193"/>
    </row>
    <row r="106870" spans="6:6" x14ac:dyDescent="0.3">
      <c r="F106870" s="193"/>
    </row>
    <row r="106871" spans="6:6" x14ac:dyDescent="0.3">
      <c r="F106871" s="193"/>
    </row>
    <row r="106872" spans="6:6" x14ac:dyDescent="0.3">
      <c r="F106872" s="193"/>
    </row>
    <row r="106873" spans="6:6" x14ac:dyDescent="0.3">
      <c r="F106873" s="193"/>
    </row>
    <row r="106874" spans="6:6" x14ac:dyDescent="0.3">
      <c r="F106874" s="193"/>
    </row>
    <row r="106875" spans="6:6" x14ac:dyDescent="0.3">
      <c r="F106875" s="193"/>
    </row>
    <row r="106876" spans="6:6" x14ac:dyDescent="0.3">
      <c r="F106876" s="193"/>
    </row>
    <row r="106877" spans="6:6" x14ac:dyDescent="0.3">
      <c r="F106877" s="193"/>
    </row>
    <row r="106878" spans="6:6" x14ac:dyDescent="0.3">
      <c r="F106878" s="193"/>
    </row>
    <row r="106879" spans="6:6" x14ac:dyDescent="0.3">
      <c r="F106879" s="193"/>
    </row>
    <row r="106880" spans="6:6" x14ac:dyDescent="0.3">
      <c r="F106880" s="193"/>
    </row>
    <row r="106881" spans="6:6" x14ac:dyDescent="0.3">
      <c r="F106881" s="193"/>
    </row>
    <row r="106882" spans="6:6" x14ac:dyDescent="0.3">
      <c r="F106882" s="193"/>
    </row>
    <row r="106883" spans="6:6" x14ac:dyDescent="0.3">
      <c r="F106883" s="193"/>
    </row>
    <row r="106884" spans="6:6" x14ac:dyDescent="0.3">
      <c r="F106884" s="193"/>
    </row>
    <row r="106885" spans="6:6" x14ac:dyDescent="0.3">
      <c r="F106885" s="193"/>
    </row>
    <row r="106886" spans="6:6" x14ac:dyDescent="0.3">
      <c r="F106886" s="193"/>
    </row>
    <row r="106887" spans="6:6" x14ac:dyDescent="0.3">
      <c r="F106887" s="193"/>
    </row>
    <row r="106888" spans="6:6" x14ac:dyDescent="0.3">
      <c r="F106888" s="193"/>
    </row>
    <row r="106889" spans="6:6" x14ac:dyDescent="0.3">
      <c r="F106889" s="193"/>
    </row>
    <row r="106890" spans="6:6" x14ac:dyDescent="0.3">
      <c r="F106890" s="193"/>
    </row>
    <row r="106891" spans="6:6" x14ac:dyDescent="0.3">
      <c r="F106891" s="193"/>
    </row>
    <row r="106892" spans="6:6" x14ac:dyDescent="0.3">
      <c r="F106892" s="193"/>
    </row>
    <row r="106893" spans="6:6" x14ac:dyDescent="0.3">
      <c r="F106893" s="193"/>
    </row>
    <row r="106894" spans="6:6" x14ac:dyDescent="0.3">
      <c r="F106894" s="193"/>
    </row>
    <row r="106895" spans="6:6" x14ac:dyDescent="0.3">
      <c r="F106895" s="193"/>
    </row>
    <row r="106896" spans="6:6" x14ac:dyDescent="0.3">
      <c r="F106896" s="193"/>
    </row>
    <row r="106897" spans="6:6" x14ac:dyDescent="0.3">
      <c r="F106897" s="193"/>
    </row>
    <row r="106898" spans="6:6" x14ac:dyDescent="0.3">
      <c r="F106898" s="193"/>
    </row>
    <row r="106899" spans="6:6" x14ac:dyDescent="0.3">
      <c r="F106899" s="193"/>
    </row>
    <row r="106900" spans="6:6" x14ac:dyDescent="0.3">
      <c r="F106900" s="193"/>
    </row>
    <row r="106901" spans="6:6" x14ac:dyDescent="0.3">
      <c r="F106901" s="193"/>
    </row>
    <row r="106902" spans="6:6" x14ac:dyDescent="0.3">
      <c r="F106902" s="193"/>
    </row>
    <row r="106903" spans="6:6" x14ac:dyDescent="0.3">
      <c r="F106903" s="193"/>
    </row>
    <row r="106904" spans="6:6" x14ac:dyDescent="0.3">
      <c r="F106904" s="193"/>
    </row>
    <row r="106905" spans="6:6" x14ac:dyDescent="0.3">
      <c r="F106905" s="193"/>
    </row>
    <row r="106906" spans="6:6" x14ac:dyDescent="0.3">
      <c r="F106906" s="193"/>
    </row>
    <row r="106907" spans="6:6" x14ac:dyDescent="0.3">
      <c r="F106907" s="193"/>
    </row>
    <row r="106908" spans="6:6" x14ac:dyDescent="0.3">
      <c r="F106908" s="193"/>
    </row>
    <row r="106909" spans="6:6" x14ac:dyDescent="0.3">
      <c r="F106909" s="193"/>
    </row>
    <row r="106910" spans="6:6" x14ac:dyDescent="0.3">
      <c r="F106910" s="193"/>
    </row>
    <row r="106911" spans="6:6" x14ac:dyDescent="0.3">
      <c r="F106911" s="193"/>
    </row>
    <row r="106912" spans="6:6" x14ac:dyDescent="0.3">
      <c r="F106912" s="193"/>
    </row>
    <row r="106913" spans="6:6" x14ac:dyDescent="0.3">
      <c r="F106913" s="193"/>
    </row>
    <row r="106914" spans="6:6" x14ac:dyDescent="0.3">
      <c r="F106914" s="193"/>
    </row>
    <row r="106915" spans="6:6" x14ac:dyDescent="0.3">
      <c r="F106915" s="193"/>
    </row>
    <row r="106916" spans="6:6" x14ac:dyDescent="0.3">
      <c r="F106916" s="193"/>
    </row>
    <row r="106917" spans="6:6" x14ac:dyDescent="0.3">
      <c r="F106917" s="193"/>
    </row>
    <row r="106918" spans="6:6" x14ac:dyDescent="0.3">
      <c r="F106918" s="193"/>
    </row>
    <row r="106919" spans="6:6" x14ac:dyDescent="0.3">
      <c r="F106919" s="193"/>
    </row>
    <row r="106920" spans="6:6" x14ac:dyDescent="0.3">
      <c r="F106920" s="193"/>
    </row>
    <row r="106921" spans="6:6" x14ac:dyDescent="0.3">
      <c r="F106921" s="193"/>
    </row>
    <row r="106922" spans="6:6" x14ac:dyDescent="0.3">
      <c r="F106922" s="193"/>
    </row>
    <row r="106923" spans="6:6" x14ac:dyDescent="0.3">
      <c r="F106923" s="193"/>
    </row>
    <row r="106924" spans="6:6" x14ac:dyDescent="0.3">
      <c r="F106924" s="193"/>
    </row>
    <row r="106925" spans="6:6" x14ac:dyDescent="0.3">
      <c r="F106925" s="193"/>
    </row>
    <row r="106926" spans="6:6" x14ac:dyDescent="0.3">
      <c r="F106926" s="193"/>
    </row>
    <row r="106927" spans="6:6" x14ac:dyDescent="0.3">
      <c r="F106927" s="193"/>
    </row>
    <row r="106928" spans="6:6" x14ac:dyDescent="0.3">
      <c r="F106928" s="193"/>
    </row>
    <row r="106929" spans="6:6" x14ac:dyDescent="0.3">
      <c r="F106929" s="193"/>
    </row>
    <row r="106930" spans="6:6" x14ac:dyDescent="0.3">
      <c r="F106930" s="193"/>
    </row>
    <row r="106931" spans="6:6" x14ac:dyDescent="0.3">
      <c r="F106931" s="193"/>
    </row>
    <row r="106932" spans="6:6" x14ac:dyDescent="0.3">
      <c r="F106932" s="193"/>
    </row>
    <row r="106933" spans="6:6" x14ac:dyDescent="0.3">
      <c r="F106933" s="193"/>
    </row>
    <row r="106934" spans="6:6" x14ac:dyDescent="0.3">
      <c r="F106934" s="193"/>
    </row>
    <row r="106935" spans="6:6" x14ac:dyDescent="0.3">
      <c r="F106935" s="193"/>
    </row>
    <row r="106936" spans="6:6" x14ac:dyDescent="0.3">
      <c r="F106936" s="193"/>
    </row>
    <row r="106937" spans="6:6" x14ac:dyDescent="0.3">
      <c r="F106937" s="193"/>
    </row>
    <row r="106938" spans="6:6" x14ac:dyDescent="0.3">
      <c r="F106938" s="193"/>
    </row>
    <row r="106939" spans="6:6" x14ac:dyDescent="0.3">
      <c r="F106939" s="193"/>
    </row>
    <row r="106940" spans="6:6" x14ac:dyDescent="0.3">
      <c r="F106940" s="193"/>
    </row>
    <row r="106941" spans="6:6" x14ac:dyDescent="0.3">
      <c r="F106941" s="193"/>
    </row>
    <row r="106942" spans="6:6" x14ac:dyDescent="0.3">
      <c r="F106942" s="193"/>
    </row>
    <row r="106943" spans="6:6" x14ac:dyDescent="0.3">
      <c r="F106943" s="193"/>
    </row>
    <row r="106944" spans="6:6" x14ac:dyDescent="0.3">
      <c r="F106944" s="193"/>
    </row>
    <row r="106945" spans="6:6" x14ac:dyDescent="0.3">
      <c r="F106945" s="193"/>
    </row>
    <row r="106946" spans="6:6" x14ac:dyDescent="0.3">
      <c r="F106946" s="193"/>
    </row>
    <row r="106947" spans="6:6" x14ac:dyDescent="0.3">
      <c r="F106947" s="193"/>
    </row>
    <row r="106948" spans="6:6" x14ac:dyDescent="0.3">
      <c r="F106948" s="193"/>
    </row>
    <row r="106949" spans="6:6" x14ac:dyDescent="0.3">
      <c r="F106949" s="193"/>
    </row>
    <row r="106950" spans="6:6" x14ac:dyDescent="0.3">
      <c r="F106950" s="193"/>
    </row>
    <row r="106951" spans="6:6" x14ac:dyDescent="0.3">
      <c r="F106951" s="193"/>
    </row>
    <row r="106952" spans="6:6" x14ac:dyDescent="0.3">
      <c r="F106952" s="193"/>
    </row>
    <row r="106953" spans="6:6" x14ac:dyDescent="0.3">
      <c r="F106953" s="193"/>
    </row>
    <row r="106954" spans="6:6" x14ac:dyDescent="0.3">
      <c r="F106954" s="193"/>
    </row>
    <row r="106955" spans="6:6" x14ac:dyDescent="0.3">
      <c r="F106955" s="193"/>
    </row>
    <row r="106956" spans="6:6" x14ac:dyDescent="0.3">
      <c r="F106956" s="193"/>
    </row>
    <row r="106957" spans="6:6" x14ac:dyDescent="0.3">
      <c r="F106957" s="193"/>
    </row>
    <row r="106958" spans="6:6" x14ac:dyDescent="0.3">
      <c r="F106958" s="193"/>
    </row>
    <row r="106959" spans="6:6" x14ac:dyDescent="0.3">
      <c r="F106959" s="193"/>
    </row>
    <row r="106960" spans="6:6" x14ac:dyDescent="0.3">
      <c r="F106960" s="193"/>
    </row>
    <row r="106961" spans="6:6" x14ac:dyDescent="0.3">
      <c r="F106961" s="193"/>
    </row>
    <row r="106962" spans="6:6" x14ac:dyDescent="0.3">
      <c r="F106962" s="193"/>
    </row>
    <row r="106963" spans="6:6" x14ac:dyDescent="0.3">
      <c r="F106963" s="193"/>
    </row>
    <row r="106964" spans="6:6" x14ac:dyDescent="0.3">
      <c r="F106964" s="193"/>
    </row>
    <row r="106965" spans="6:6" x14ac:dyDescent="0.3">
      <c r="F106965" s="193"/>
    </row>
    <row r="106966" spans="6:6" x14ac:dyDescent="0.3">
      <c r="F106966" s="193"/>
    </row>
    <row r="106967" spans="6:6" x14ac:dyDescent="0.3">
      <c r="F106967" s="193"/>
    </row>
    <row r="106968" spans="6:6" x14ac:dyDescent="0.3">
      <c r="F106968" s="193"/>
    </row>
    <row r="106969" spans="6:6" x14ac:dyDescent="0.3">
      <c r="F106969" s="193"/>
    </row>
    <row r="106970" spans="6:6" x14ac:dyDescent="0.3">
      <c r="F106970" s="193"/>
    </row>
    <row r="106971" spans="6:6" x14ac:dyDescent="0.3">
      <c r="F106971" s="193"/>
    </row>
    <row r="106972" spans="6:6" x14ac:dyDescent="0.3">
      <c r="F106972" s="193"/>
    </row>
    <row r="106973" spans="6:6" x14ac:dyDescent="0.3">
      <c r="F106973" s="193"/>
    </row>
    <row r="106974" spans="6:6" x14ac:dyDescent="0.3">
      <c r="F106974" s="193"/>
    </row>
    <row r="106975" spans="6:6" x14ac:dyDescent="0.3">
      <c r="F106975" s="193"/>
    </row>
    <row r="106976" spans="6:6" x14ac:dyDescent="0.3">
      <c r="F106976" s="193"/>
    </row>
    <row r="106977" spans="6:6" x14ac:dyDescent="0.3">
      <c r="F106977" s="193"/>
    </row>
    <row r="106978" spans="6:6" x14ac:dyDescent="0.3">
      <c r="F106978" s="193"/>
    </row>
    <row r="106979" spans="6:6" x14ac:dyDescent="0.3">
      <c r="F106979" s="193"/>
    </row>
    <row r="106980" spans="6:6" x14ac:dyDescent="0.3">
      <c r="F106980" s="193"/>
    </row>
    <row r="106981" spans="6:6" x14ac:dyDescent="0.3">
      <c r="F106981" s="193"/>
    </row>
    <row r="106982" spans="6:6" x14ac:dyDescent="0.3">
      <c r="F106982" s="193"/>
    </row>
    <row r="106983" spans="6:6" x14ac:dyDescent="0.3">
      <c r="F106983" s="193"/>
    </row>
    <row r="106984" spans="6:6" x14ac:dyDescent="0.3">
      <c r="F106984" s="193"/>
    </row>
    <row r="106985" spans="6:6" x14ac:dyDescent="0.3">
      <c r="F106985" s="193"/>
    </row>
    <row r="106986" spans="6:6" x14ac:dyDescent="0.3">
      <c r="F106986" s="193"/>
    </row>
    <row r="106987" spans="6:6" x14ac:dyDescent="0.3">
      <c r="F106987" s="193"/>
    </row>
    <row r="106988" spans="6:6" x14ac:dyDescent="0.3">
      <c r="F106988" s="193"/>
    </row>
    <row r="106989" spans="6:6" x14ac:dyDescent="0.3">
      <c r="F106989" s="193"/>
    </row>
    <row r="106990" spans="6:6" x14ac:dyDescent="0.3">
      <c r="F106990" s="193"/>
    </row>
    <row r="106991" spans="6:6" x14ac:dyDescent="0.3">
      <c r="F106991" s="193"/>
    </row>
    <row r="106992" spans="6:6" x14ac:dyDescent="0.3">
      <c r="F106992" s="193"/>
    </row>
    <row r="106993" spans="6:6" x14ac:dyDescent="0.3">
      <c r="F106993" s="193"/>
    </row>
    <row r="106994" spans="6:6" x14ac:dyDescent="0.3">
      <c r="F106994" s="193"/>
    </row>
    <row r="106995" spans="6:6" x14ac:dyDescent="0.3">
      <c r="F106995" s="193"/>
    </row>
    <row r="106996" spans="6:6" x14ac:dyDescent="0.3">
      <c r="F106996" s="193"/>
    </row>
    <row r="106997" spans="6:6" x14ac:dyDescent="0.3">
      <c r="F106997" s="193"/>
    </row>
    <row r="106998" spans="6:6" x14ac:dyDescent="0.3">
      <c r="F106998" s="193"/>
    </row>
    <row r="106999" spans="6:6" x14ac:dyDescent="0.3">
      <c r="F106999" s="193"/>
    </row>
    <row r="107000" spans="6:6" x14ac:dyDescent="0.3">
      <c r="F107000" s="193"/>
    </row>
    <row r="107001" spans="6:6" x14ac:dyDescent="0.3">
      <c r="F107001" s="193"/>
    </row>
    <row r="107002" spans="6:6" x14ac:dyDescent="0.3">
      <c r="F107002" s="193"/>
    </row>
    <row r="107003" spans="6:6" x14ac:dyDescent="0.3">
      <c r="F107003" s="193"/>
    </row>
    <row r="107004" spans="6:6" x14ac:dyDescent="0.3">
      <c r="F107004" s="193"/>
    </row>
    <row r="107005" spans="6:6" x14ac:dyDescent="0.3">
      <c r="F107005" s="193"/>
    </row>
    <row r="107006" spans="6:6" x14ac:dyDescent="0.3">
      <c r="F107006" s="193"/>
    </row>
    <row r="107007" spans="6:6" x14ac:dyDescent="0.3">
      <c r="F107007" s="193"/>
    </row>
    <row r="107008" spans="6:6" x14ac:dyDescent="0.3">
      <c r="F107008" s="193"/>
    </row>
    <row r="107009" spans="6:6" x14ac:dyDescent="0.3">
      <c r="F107009" s="193"/>
    </row>
    <row r="107010" spans="6:6" x14ac:dyDescent="0.3">
      <c r="F107010" s="193"/>
    </row>
    <row r="107011" spans="6:6" x14ac:dyDescent="0.3">
      <c r="F107011" s="193"/>
    </row>
    <row r="107012" spans="6:6" x14ac:dyDescent="0.3">
      <c r="F107012" s="193"/>
    </row>
    <row r="107013" spans="6:6" x14ac:dyDescent="0.3">
      <c r="F107013" s="193"/>
    </row>
    <row r="107014" spans="6:6" x14ac:dyDescent="0.3">
      <c r="F107014" s="193"/>
    </row>
    <row r="107015" spans="6:6" x14ac:dyDescent="0.3">
      <c r="F107015" s="193"/>
    </row>
    <row r="107016" spans="6:6" x14ac:dyDescent="0.3">
      <c r="F107016" s="193"/>
    </row>
    <row r="107017" spans="6:6" x14ac:dyDescent="0.3">
      <c r="F107017" s="193"/>
    </row>
    <row r="107018" spans="6:6" x14ac:dyDescent="0.3">
      <c r="F107018" s="193"/>
    </row>
    <row r="107019" spans="6:6" x14ac:dyDescent="0.3">
      <c r="F107019" s="193"/>
    </row>
    <row r="107020" spans="6:6" x14ac:dyDescent="0.3">
      <c r="F107020" s="193"/>
    </row>
    <row r="107021" spans="6:6" x14ac:dyDescent="0.3">
      <c r="F107021" s="193"/>
    </row>
    <row r="107022" spans="6:6" x14ac:dyDescent="0.3">
      <c r="F107022" s="193"/>
    </row>
    <row r="107023" spans="6:6" x14ac:dyDescent="0.3">
      <c r="F107023" s="193"/>
    </row>
    <row r="107024" spans="6:6" x14ac:dyDescent="0.3">
      <c r="F107024" s="193"/>
    </row>
    <row r="107025" spans="6:6" x14ac:dyDescent="0.3">
      <c r="F107025" s="193"/>
    </row>
    <row r="107026" spans="6:6" x14ac:dyDescent="0.3">
      <c r="F107026" s="193"/>
    </row>
    <row r="107027" spans="6:6" x14ac:dyDescent="0.3">
      <c r="F107027" s="193"/>
    </row>
    <row r="107028" spans="6:6" x14ac:dyDescent="0.3">
      <c r="F107028" s="193"/>
    </row>
    <row r="107029" spans="6:6" x14ac:dyDescent="0.3">
      <c r="F107029" s="193"/>
    </row>
    <row r="107030" spans="6:6" x14ac:dyDescent="0.3">
      <c r="F107030" s="193"/>
    </row>
    <row r="107031" spans="6:6" x14ac:dyDescent="0.3">
      <c r="F107031" s="193"/>
    </row>
    <row r="107032" spans="6:6" x14ac:dyDescent="0.3">
      <c r="F107032" s="193"/>
    </row>
    <row r="107033" spans="6:6" x14ac:dyDescent="0.3">
      <c r="F107033" s="193"/>
    </row>
    <row r="107034" spans="6:6" x14ac:dyDescent="0.3">
      <c r="F107034" s="193"/>
    </row>
    <row r="107035" spans="6:6" x14ac:dyDescent="0.3">
      <c r="F107035" s="193"/>
    </row>
    <row r="107036" spans="6:6" x14ac:dyDescent="0.3">
      <c r="F107036" s="193"/>
    </row>
    <row r="107037" spans="6:6" x14ac:dyDescent="0.3">
      <c r="F107037" s="193"/>
    </row>
    <row r="107038" spans="6:6" x14ac:dyDescent="0.3">
      <c r="F107038" s="193"/>
    </row>
    <row r="107039" spans="6:6" x14ac:dyDescent="0.3">
      <c r="F107039" s="193"/>
    </row>
    <row r="107040" spans="6:6" x14ac:dyDescent="0.3">
      <c r="F107040" s="193"/>
    </row>
    <row r="107041" spans="6:6" x14ac:dyDescent="0.3">
      <c r="F107041" s="193"/>
    </row>
    <row r="107042" spans="6:6" x14ac:dyDescent="0.3">
      <c r="F107042" s="193"/>
    </row>
    <row r="107043" spans="6:6" x14ac:dyDescent="0.3">
      <c r="F107043" s="193"/>
    </row>
    <row r="107044" spans="6:6" x14ac:dyDescent="0.3">
      <c r="F107044" s="193"/>
    </row>
    <row r="107045" spans="6:6" x14ac:dyDescent="0.3">
      <c r="F107045" s="193"/>
    </row>
    <row r="107046" spans="6:6" x14ac:dyDescent="0.3">
      <c r="F107046" s="193"/>
    </row>
    <row r="107047" spans="6:6" x14ac:dyDescent="0.3">
      <c r="F107047" s="193"/>
    </row>
    <row r="107048" spans="6:6" x14ac:dyDescent="0.3">
      <c r="F107048" s="193"/>
    </row>
    <row r="107049" spans="6:6" x14ac:dyDescent="0.3">
      <c r="F107049" s="193"/>
    </row>
    <row r="107050" spans="6:6" x14ac:dyDescent="0.3">
      <c r="F107050" s="193"/>
    </row>
    <row r="107051" spans="6:6" x14ac:dyDescent="0.3">
      <c r="F107051" s="193"/>
    </row>
    <row r="107052" spans="6:6" x14ac:dyDescent="0.3">
      <c r="F107052" s="193"/>
    </row>
    <row r="107053" spans="6:6" x14ac:dyDescent="0.3">
      <c r="F107053" s="193"/>
    </row>
    <row r="107054" spans="6:6" x14ac:dyDescent="0.3">
      <c r="F107054" s="193"/>
    </row>
    <row r="107055" spans="6:6" x14ac:dyDescent="0.3">
      <c r="F107055" s="193"/>
    </row>
    <row r="107056" spans="6:6" x14ac:dyDescent="0.3">
      <c r="F107056" s="193"/>
    </row>
    <row r="107057" spans="6:6" x14ac:dyDescent="0.3">
      <c r="F107057" s="193"/>
    </row>
    <row r="107058" spans="6:6" x14ac:dyDescent="0.3">
      <c r="F107058" s="193"/>
    </row>
    <row r="107059" spans="6:6" x14ac:dyDescent="0.3">
      <c r="F107059" s="193"/>
    </row>
    <row r="107060" spans="6:6" x14ac:dyDescent="0.3">
      <c r="F107060" s="193"/>
    </row>
    <row r="107061" spans="6:6" x14ac:dyDescent="0.3">
      <c r="F107061" s="193"/>
    </row>
    <row r="107062" spans="6:6" x14ac:dyDescent="0.3">
      <c r="F107062" s="193"/>
    </row>
    <row r="107063" spans="6:6" x14ac:dyDescent="0.3">
      <c r="F107063" s="193"/>
    </row>
    <row r="107064" spans="6:6" x14ac:dyDescent="0.3">
      <c r="F107064" s="193"/>
    </row>
    <row r="107065" spans="6:6" x14ac:dyDescent="0.3">
      <c r="F107065" s="193"/>
    </row>
    <row r="107066" spans="6:6" x14ac:dyDescent="0.3">
      <c r="F107066" s="193"/>
    </row>
    <row r="107067" spans="6:6" x14ac:dyDescent="0.3">
      <c r="F107067" s="193"/>
    </row>
    <row r="107068" spans="6:6" x14ac:dyDescent="0.3">
      <c r="F107068" s="193"/>
    </row>
    <row r="107069" spans="6:6" x14ac:dyDescent="0.3">
      <c r="F107069" s="193"/>
    </row>
    <row r="107070" spans="6:6" x14ac:dyDescent="0.3">
      <c r="F107070" s="193"/>
    </row>
    <row r="107071" spans="6:6" x14ac:dyDescent="0.3">
      <c r="F107071" s="193"/>
    </row>
    <row r="107072" spans="6:6" x14ac:dyDescent="0.3">
      <c r="F107072" s="193"/>
    </row>
    <row r="107073" spans="6:6" x14ac:dyDescent="0.3">
      <c r="F107073" s="193"/>
    </row>
    <row r="107074" spans="6:6" x14ac:dyDescent="0.3">
      <c r="F107074" s="193"/>
    </row>
    <row r="107075" spans="6:6" x14ac:dyDescent="0.3">
      <c r="F107075" s="193"/>
    </row>
    <row r="107076" spans="6:6" x14ac:dyDescent="0.3">
      <c r="F107076" s="193"/>
    </row>
    <row r="107077" spans="6:6" x14ac:dyDescent="0.3">
      <c r="F107077" s="193"/>
    </row>
    <row r="107078" spans="6:6" x14ac:dyDescent="0.3">
      <c r="F107078" s="193"/>
    </row>
    <row r="107079" spans="6:6" x14ac:dyDescent="0.3">
      <c r="F107079" s="193"/>
    </row>
    <row r="107080" spans="6:6" x14ac:dyDescent="0.3">
      <c r="F107080" s="193"/>
    </row>
    <row r="107081" spans="6:6" x14ac:dyDescent="0.3">
      <c r="F107081" s="193"/>
    </row>
    <row r="107082" spans="6:6" x14ac:dyDescent="0.3">
      <c r="F107082" s="193"/>
    </row>
    <row r="107083" spans="6:6" x14ac:dyDescent="0.3">
      <c r="F107083" s="193"/>
    </row>
    <row r="107084" spans="6:6" x14ac:dyDescent="0.3">
      <c r="F107084" s="193"/>
    </row>
    <row r="107085" spans="6:6" x14ac:dyDescent="0.3">
      <c r="F107085" s="193"/>
    </row>
    <row r="107086" spans="6:6" x14ac:dyDescent="0.3">
      <c r="F107086" s="193"/>
    </row>
    <row r="107087" spans="6:6" x14ac:dyDescent="0.3">
      <c r="F107087" s="193"/>
    </row>
    <row r="107088" spans="6:6" x14ac:dyDescent="0.3">
      <c r="F107088" s="193"/>
    </row>
    <row r="107089" spans="6:6" x14ac:dyDescent="0.3">
      <c r="F107089" s="193"/>
    </row>
    <row r="107090" spans="6:6" x14ac:dyDescent="0.3">
      <c r="F107090" s="193"/>
    </row>
    <row r="107091" spans="6:6" x14ac:dyDescent="0.3">
      <c r="F107091" s="193"/>
    </row>
    <row r="107092" spans="6:6" x14ac:dyDescent="0.3">
      <c r="F107092" s="193"/>
    </row>
    <row r="107093" spans="6:6" x14ac:dyDescent="0.3">
      <c r="F107093" s="193"/>
    </row>
    <row r="107094" spans="6:6" x14ac:dyDescent="0.3">
      <c r="F107094" s="193"/>
    </row>
    <row r="107095" spans="6:6" x14ac:dyDescent="0.3">
      <c r="F107095" s="193"/>
    </row>
    <row r="107096" spans="6:6" x14ac:dyDescent="0.3">
      <c r="F107096" s="193"/>
    </row>
    <row r="107097" spans="6:6" x14ac:dyDescent="0.3">
      <c r="F107097" s="193"/>
    </row>
    <row r="107098" spans="6:6" x14ac:dyDescent="0.3">
      <c r="F107098" s="193"/>
    </row>
    <row r="107099" spans="6:6" x14ac:dyDescent="0.3">
      <c r="F107099" s="193"/>
    </row>
    <row r="107100" spans="6:6" x14ac:dyDescent="0.3">
      <c r="F107100" s="193"/>
    </row>
    <row r="107101" spans="6:6" x14ac:dyDescent="0.3">
      <c r="F107101" s="193"/>
    </row>
    <row r="107102" spans="6:6" x14ac:dyDescent="0.3">
      <c r="F107102" s="193"/>
    </row>
    <row r="107103" spans="6:6" x14ac:dyDescent="0.3">
      <c r="F107103" s="193"/>
    </row>
    <row r="107104" spans="6:6" x14ac:dyDescent="0.3">
      <c r="F107104" s="193"/>
    </row>
    <row r="107105" spans="6:6" x14ac:dyDescent="0.3">
      <c r="F107105" s="193"/>
    </row>
    <row r="107106" spans="6:6" x14ac:dyDescent="0.3">
      <c r="F107106" s="193"/>
    </row>
    <row r="107107" spans="6:6" x14ac:dyDescent="0.3">
      <c r="F107107" s="193"/>
    </row>
    <row r="107108" spans="6:6" x14ac:dyDescent="0.3">
      <c r="F107108" s="193"/>
    </row>
    <row r="107109" spans="6:6" x14ac:dyDescent="0.3">
      <c r="F107109" s="193"/>
    </row>
    <row r="107110" spans="6:6" x14ac:dyDescent="0.3">
      <c r="F107110" s="193"/>
    </row>
    <row r="107111" spans="6:6" x14ac:dyDescent="0.3">
      <c r="F107111" s="193"/>
    </row>
    <row r="107112" spans="6:6" x14ac:dyDescent="0.3">
      <c r="F107112" s="193"/>
    </row>
    <row r="107113" spans="6:6" x14ac:dyDescent="0.3">
      <c r="F107113" s="193"/>
    </row>
    <row r="107114" spans="6:6" x14ac:dyDescent="0.3">
      <c r="F107114" s="193"/>
    </row>
    <row r="107115" spans="6:6" x14ac:dyDescent="0.3">
      <c r="F107115" s="193"/>
    </row>
    <row r="107116" spans="6:6" x14ac:dyDescent="0.3">
      <c r="F107116" s="193"/>
    </row>
    <row r="107117" spans="6:6" x14ac:dyDescent="0.3">
      <c r="F107117" s="193"/>
    </row>
    <row r="107118" spans="6:6" x14ac:dyDescent="0.3">
      <c r="F107118" s="193"/>
    </row>
    <row r="107119" spans="6:6" x14ac:dyDescent="0.3">
      <c r="F107119" s="193"/>
    </row>
    <row r="107120" spans="6:6" x14ac:dyDescent="0.3">
      <c r="F107120" s="193"/>
    </row>
    <row r="107121" spans="6:6" x14ac:dyDescent="0.3">
      <c r="F107121" s="193"/>
    </row>
    <row r="107122" spans="6:6" x14ac:dyDescent="0.3">
      <c r="F107122" s="193"/>
    </row>
    <row r="107123" spans="6:6" x14ac:dyDescent="0.3">
      <c r="F107123" s="193"/>
    </row>
    <row r="107124" spans="6:6" x14ac:dyDescent="0.3">
      <c r="F107124" s="193"/>
    </row>
    <row r="107125" spans="6:6" x14ac:dyDescent="0.3">
      <c r="F107125" s="193"/>
    </row>
    <row r="107126" spans="6:6" x14ac:dyDescent="0.3">
      <c r="F107126" s="193"/>
    </row>
    <row r="107127" spans="6:6" x14ac:dyDescent="0.3">
      <c r="F107127" s="193"/>
    </row>
    <row r="107128" spans="6:6" x14ac:dyDescent="0.3">
      <c r="F107128" s="193"/>
    </row>
    <row r="107129" spans="6:6" x14ac:dyDescent="0.3">
      <c r="F107129" s="193"/>
    </row>
    <row r="107130" spans="6:6" x14ac:dyDescent="0.3">
      <c r="F107130" s="193"/>
    </row>
    <row r="107131" spans="6:6" x14ac:dyDescent="0.3">
      <c r="F107131" s="193"/>
    </row>
    <row r="107132" spans="6:6" x14ac:dyDescent="0.3">
      <c r="F107132" s="193"/>
    </row>
    <row r="107133" spans="6:6" x14ac:dyDescent="0.3">
      <c r="F107133" s="193"/>
    </row>
    <row r="107134" spans="6:6" x14ac:dyDescent="0.3">
      <c r="F107134" s="193"/>
    </row>
    <row r="107135" spans="6:6" x14ac:dyDescent="0.3">
      <c r="F107135" s="193"/>
    </row>
    <row r="107136" spans="6:6" x14ac:dyDescent="0.3">
      <c r="F107136" s="193"/>
    </row>
    <row r="107137" spans="6:6" x14ac:dyDescent="0.3">
      <c r="F107137" s="193"/>
    </row>
    <row r="107138" spans="6:6" x14ac:dyDescent="0.3">
      <c r="F107138" s="193"/>
    </row>
    <row r="107139" spans="6:6" x14ac:dyDescent="0.3">
      <c r="F107139" s="193"/>
    </row>
    <row r="107140" spans="6:6" x14ac:dyDescent="0.3">
      <c r="F107140" s="193"/>
    </row>
    <row r="107141" spans="6:6" x14ac:dyDescent="0.3">
      <c r="F107141" s="193"/>
    </row>
    <row r="107142" spans="6:6" x14ac:dyDescent="0.3">
      <c r="F107142" s="193"/>
    </row>
    <row r="107143" spans="6:6" x14ac:dyDescent="0.3">
      <c r="F107143" s="193"/>
    </row>
    <row r="107144" spans="6:6" x14ac:dyDescent="0.3">
      <c r="F107144" s="193"/>
    </row>
    <row r="107145" spans="6:6" x14ac:dyDescent="0.3">
      <c r="F107145" s="193"/>
    </row>
    <row r="107146" spans="6:6" x14ac:dyDescent="0.3">
      <c r="F107146" s="193"/>
    </row>
    <row r="107147" spans="6:6" x14ac:dyDescent="0.3">
      <c r="F107147" s="193"/>
    </row>
    <row r="107148" spans="6:6" x14ac:dyDescent="0.3">
      <c r="F107148" s="193"/>
    </row>
    <row r="107149" spans="6:6" x14ac:dyDescent="0.3">
      <c r="F107149" s="193"/>
    </row>
    <row r="107150" spans="6:6" x14ac:dyDescent="0.3">
      <c r="F107150" s="193"/>
    </row>
    <row r="107151" spans="6:6" x14ac:dyDescent="0.3">
      <c r="F107151" s="193"/>
    </row>
    <row r="107152" spans="6:6" x14ac:dyDescent="0.3">
      <c r="F107152" s="193"/>
    </row>
    <row r="107153" spans="6:6" x14ac:dyDescent="0.3">
      <c r="F107153" s="193"/>
    </row>
    <row r="107154" spans="6:6" x14ac:dyDescent="0.3">
      <c r="F107154" s="193"/>
    </row>
    <row r="107155" spans="6:6" x14ac:dyDescent="0.3">
      <c r="F107155" s="193"/>
    </row>
    <row r="107156" spans="6:6" x14ac:dyDescent="0.3">
      <c r="F107156" s="193"/>
    </row>
    <row r="107157" spans="6:6" x14ac:dyDescent="0.3">
      <c r="F107157" s="193"/>
    </row>
    <row r="107158" spans="6:6" x14ac:dyDescent="0.3">
      <c r="F107158" s="193"/>
    </row>
    <row r="107159" spans="6:6" x14ac:dyDescent="0.3">
      <c r="F107159" s="193"/>
    </row>
    <row r="107160" spans="6:6" x14ac:dyDescent="0.3">
      <c r="F107160" s="193"/>
    </row>
    <row r="107161" spans="6:6" x14ac:dyDescent="0.3">
      <c r="F107161" s="193"/>
    </row>
    <row r="107162" spans="6:6" x14ac:dyDescent="0.3">
      <c r="F107162" s="193"/>
    </row>
    <row r="107163" spans="6:6" x14ac:dyDescent="0.3">
      <c r="F107163" s="193"/>
    </row>
    <row r="107164" spans="6:6" x14ac:dyDescent="0.3">
      <c r="F107164" s="193"/>
    </row>
    <row r="107165" spans="6:6" x14ac:dyDescent="0.3">
      <c r="F107165" s="193"/>
    </row>
    <row r="107166" spans="6:6" x14ac:dyDescent="0.3">
      <c r="F107166" s="193"/>
    </row>
    <row r="107167" spans="6:6" x14ac:dyDescent="0.3">
      <c r="F107167" s="193"/>
    </row>
    <row r="107168" spans="6:6" x14ac:dyDescent="0.3">
      <c r="F107168" s="193"/>
    </row>
    <row r="107169" spans="6:6" x14ac:dyDescent="0.3">
      <c r="F107169" s="193"/>
    </row>
    <row r="107170" spans="6:6" x14ac:dyDescent="0.3">
      <c r="F107170" s="193"/>
    </row>
    <row r="107171" spans="6:6" x14ac:dyDescent="0.3">
      <c r="F107171" s="193"/>
    </row>
    <row r="107172" spans="6:6" x14ac:dyDescent="0.3">
      <c r="F107172" s="193"/>
    </row>
    <row r="107173" spans="6:6" x14ac:dyDescent="0.3">
      <c r="F107173" s="193"/>
    </row>
    <row r="107174" spans="6:6" x14ac:dyDescent="0.3">
      <c r="F107174" s="193"/>
    </row>
    <row r="107175" spans="6:6" x14ac:dyDescent="0.3">
      <c r="F107175" s="193"/>
    </row>
    <row r="107176" spans="6:6" x14ac:dyDescent="0.3">
      <c r="F107176" s="193"/>
    </row>
    <row r="107177" spans="6:6" x14ac:dyDescent="0.3">
      <c r="F107177" s="193"/>
    </row>
    <row r="107178" spans="6:6" x14ac:dyDescent="0.3">
      <c r="F107178" s="193"/>
    </row>
    <row r="107179" spans="6:6" x14ac:dyDescent="0.3">
      <c r="F107179" s="193"/>
    </row>
    <row r="107180" spans="6:6" x14ac:dyDescent="0.3">
      <c r="F107180" s="193"/>
    </row>
    <row r="107181" spans="6:6" x14ac:dyDescent="0.3">
      <c r="F107181" s="193"/>
    </row>
    <row r="107182" spans="6:6" x14ac:dyDescent="0.3">
      <c r="F107182" s="193"/>
    </row>
    <row r="107183" spans="6:6" x14ac:dyDescent="0.3">
      <c r="F107183" s="193"/>
    </row>
    <row r="107184" spans="6:6" x14ac:dyDescent="0.3">
      <c r="F107184" s="193"/>
    </row>
    <row r="107185" spans="6:6" x14ac:dyDescent="0.3">
      <c r="F107185" s="193"/>
    </row>
    <row r="107186" spans="6:6" x14ac:dyDescent="0.3">
      <c r="F107186" s="193"/>
    </row>
    <row r="107187" spans="6:6" x14ac:dyDescent="0.3">
      <c r="F107187" s="193"/>
    </row>
    <row r="107188" spans="6:6" x14ac:dyDescent="0.3">
      <c r="F107188" s="193"/>
    </row>
    <row r="107189" spans="6:6" x14ac:dyDescent="0.3">
      <c r="F107189" s="193"/>
    </row>
    <row r="107190" spans="6:6" x14ac:dyDescent="0.3">
      <c r="F107190" s="193"/>
    </row>
    <row r="107191" spans="6:6" x14ac:dyDescent="0.3">
      <c r="F107191" s="193"/>
    </row>
    <row r="107192" spans="6:6" x14ac:dyDescent="0.3">
      <c r="F107192" s="193"/>
    </row>
    <row r="107193" spans="6:6" x14ac:dyDescent="0.3">
      <c r="F107193" s="193"/>
    </row>
    <row r="107194" spans="6:6" x14ac:dyDescent="0.3">
      <c r="F107194" s="193"/>
    </row>
    <row r="107195" spans="6:6" x14ac:dyDescent="0.3">
      <c r="F107195" s="193"/>
    </row>
    <row r="107196" spans="6:6" x14ac:dyDescent="0.3">
      <c r="F107196" s="193"/>
    </row>
    <row r="107197" spans="6:6" x14ac:dyDescent="0.3">
      <c r="F107197" s="193"/>
    </row>
    <row r="107198" spans="6:6" x14ac:dyDescent="0.3">
      <c r="F107198" s="193"/>
    </row>
    <row r="107199" spans="6:6" x14ac:dyDescent="0.3">
      <c r="F107199" s="193"/>
    </row>
    <row r="107200" spans="6:6" x14ac:dyDescent="0.3">
      <c r="F107200" s="193"/>
    </row>
    <row r="107201" spans="6:6" x14ac:dyDescent="0.3">
      <c r="F107201" s="193"/>
    </row>
    <row r="107202" spans="6:6" x14ac:dyDescent="0.3">
      <c r="F107202" s="193"/>
    </row>
    <row r="107203" spans="6:6" x14ac:dyDescent="0.3">
      <c r="F107203" s="193"/>
    </row>
    <row r="107204" spans="6:6" x14ac:dyDescent="0.3">
      <c r="F107204" s="193"/>
    </row>
    <row r="107205" spans="6:6" x14ac:dyDescent="0.3">
      <c r="F107205" s="193"/>
    </row>
    <row r="107206" spans="6:6" x14ac:dyDescent="0.3">
      <c r="F107206" s="193"/>
    </row>
    <row r="107207" spans="6:6" x14ac:dyDescent="0.3">
      <c r="F107207" s="193"/>
    </row>
    <row r="107208" spans="6:6" x14ac:dyDescent="0.3">
      <c r="F107208" s="193"/>
    </row>
    <row r="107209" spans="6:6" x14ac:dyDescent="0.3">
      <c r="F107209" s="193"/>
    </row>
    <row r="107210" spans="6:6" x14ac:dyDescent="0.3">
      <c r="F107210" s="193"/>
    </row>
    <row r="107211" spans="6:6" x14ac:dyDescent="0.3">
      <c r="F107211" s="193"/>
    </row>
    <row r="107212" spans="6:6" x14ac:dyDescent="0.3">
      <c r="F107212" s="193"/>
    </row>
    <row r="107213" spans="6:6" x14ac:dyDescent="0.3">
      <c r="F107213" s="193"/>
    </row>
    <row r="107214" spans="6:6" x14ac:dyDescent="0.3">
      <c r="F107214" s="193"/>
    </row>
    <row r="107215" spans="6:6" x14ac:dyDescent="0.3">
      <c r="F107215" s="193"/>
    </row>
    <row r="107216" spans="6:6" x14ac:dyDescent="0.3">
      <c r="F107216" s="193"/>
    </row>
    <row r="107217" spans="6:6" x14ac:dyDescent="0.3">
      <c r="F107217" s="193"/>
    </row>
    <row r="107218" spans="6:6" x14ac:dyDescent="0.3">
      <c r="F107218" s="193"/>
    </row>
    <row r="107219" spans="6:6" x14ac:dyDescent="0.3">
      <c r="F107219" s="193"/>
    </row>
    <row r="107220" spans="6:6" x14ac:dyDescent="0.3">
      <c r="F107220" s="193"/>
    </row>
    <row r="107221" spans="6:6" x14ac:dyDescent="0.3">
      <c r="F107221" s="193"/>
    </row>
    <row r="107222" spans="6:6" x14ac:dyDescent="0.3">
      <c r="F107222" s="193"/>
    </row>
    <row r="107223" spans="6:6" x14ac:dyDescent="0.3">
      <c r="F107223" s="193"/>
    </row>
    <row r="107224" spans="6:6" x14ac:dyDescent="0.3">
      <c r="F107224" s="193"/>
    </row>
    <row r="107225" spans="6:6" x14ac:dyDescent="0.3">
      <c r="F107225" s="193"/>
    </row>
    <row r="107226" spans="6:6" x14ac:dyDescent="0.3">
      <c r="F107226" s="193"/>
    </row>
    <row r="107227" spans="6:6" x14ac:dyDescent="0.3">
      <c r="F107227" s="193"/>
    </row>
    <row r="107228" spans="6:6" x14ac:dyDescent="0.3">
      <c r="F107228" s="193"/>
    </row>
    <row r="107229" spans="6:6" x14ac:dyDescent="0.3">
      <c r="F107229" s="193"/>
    </row>
    <row r="107230" spans="6:6" x14ac:dyDescent="0.3">
      <c r="F107230" s="193"/>
    </row>
    <row r="107231" spans="6:6" x14ac:dyDescent="0.3">
      <c r="F107231" s="193"/>
    </row>
    <row r="107232" spans="6:6" x14ac:dyDescent="0.3">
      <c r="F107232" s="193"/>
    </row>
    <row r="107233" spans="6:6" x14ac:dyDescent="0.3">
      <c r="F107233" s="193"/>
    </row>
    <row r="107234" spans="6:6" x14ac:dyDescent="0.3">
      <c r="F107234" s="193"/>
    </row>
    <row r="107235" spans="6:6" x14ac:dyDescent="0.3">
      <c r="F107235" s="193"/>
    </row>
    <row r="107236" spans="6:6" x14ac:dyDescent="0.3">
      <c r="F107236" s="193"/>
    </row>
    <row r="107237" spans="6:6" x14ac:dyDescent="0.3">
      <c r="F107237" s="193"/>
    </row>
    <row r="107238" spans="6:6" x14ac:dyDescent="0.3">
      <c r="F107238" s="193"/>
    </row>
    <row r="107239" spans="6:6" x14ac:dyDescent="0.3">
      <c r="F107239" s="193"/>
    </row>
    <row r="107240" spans="6:6" x14ac:dyDescent="0.3">
      <c r="F107240" s="193"/>
    </row>
    <row r="107241" spans="6:6" x14ac:dyDescent="0.3">
      <c r="F107241" s="193"/>
    </row>
    <row r="107242" spans="6:6" x14ac:dyDescent="0.3">
      <c r="F107242" s="193"/>
    </row>
    <row r="107243" spans="6:6" x14ac:dyDescent="0.3">
      <c r="F107243" s="193"/>
    </row>
    <row r="107244" spans="6:6" x14ac:dyDescent="0.3">
      <c r="F107244" s="193"/>
    </row>
    <row r="107245" spans="6:6" x14ac:dyDescent="0.3">
      <c r="F107245" s="193"/>
    </row>
    <row r="107246" spans="6:6" x14ac:dyDescent="0.3">
      <c r="F107246" s="193"/>
    </row>
    <row r="107247" spans="6:6" x14ac:dyDescent="0.3">
      <c r="F107247" s="193"/>
    </row>
    <row r="107248" spans="6:6" x14ac:dyDescent="0.3">
      <c r="F107248" s="193"/>
    </row>
    <row r="107249" spans="6:6" x14ac:dyDescent="0.3">
      <c r="F107249" s="193"/>
    </row>
    <row r="107250" spans="6:6" x14ac:dyDescent="0.3">
      <c r="F107250" s="193"/>
    </row>
    <row r="107251" spans="6:6" x14ac:dyDescent="0.3">
      <c r="F107251" s="193"/>
    </row>
    <row r="107252" spans="6:6" x14ac:dyDescent="0.3">
      <c r="F107252" s="193"/>
    </row>
    <row r="107253" spans="6:6" x14ac:dyDescent="0.3">
      <c r="F107253" s="193"/>
    </row>
    <row r="107254" spans="6:6" x14ac:dyDescent="0.3">
      <c r="F107254" s="193"/>
    </row>
    <row r="107255" spans="6:6" x14ac:dyDescent="0.3">
      <c r="F107255" s="193"/>
    </row>
    <row r="107256" spans="6:6" x14ac:dyDescent="0.3">
      <c r="F107256" s="193"/>
    </row>
    <row r="107257" spans="6:6" x14ac:dyDescent="0.3">
      <c r="F107257" s="193"/>
    </row>
    <row r="107258" spans="6:6" x14ac:dyDescent="0.3">
      <c r="F107258" s="193"/>
    </row>
    <row r="107259" spans="6:6" x14ac:dyDescent="0.3">
      <c r="F107259" s="193"/>
    </row>
    <row r="107260" spans="6:6" x14ac:dyDescent="0.3">
      <c r="F107260" s="193"/>
    </row>
    <row r="107261" spans="6:6" x14ac:dyDescent="0.3">
      <c r="F107261" s="193"/>
    </row>
    <row r="107262" spans="6:6" x14ac:dyDescent="0.3">
      <c r="F107262" s="193"/>
    </row>
    <row r="107263" spans="6:6" x14ac:dyDescent="0.3">
      <c r="F107263" s="193"/>
    </row>
    <row r="107264" spans="6:6" x14ac:dyDescent="0.3">
      <c r="F107264" s="193"/>
    </row>
    <row r="107265" spans="6:6" x14ac:dyDescent="0.3">
      <c r="F107265" s="193"/>
    </row>
    <row r="107266" spans="6:6" x14ac:dyDescent="0.3">
      <c r="F107266" s="193"/>
    </row>
    <row r="107267" spans="6:6" x14ac:dyDescent="0.3">
      <c r="F107267" s="193"/>
    </row>
    <row r="107268" spans="6:6" x14ac:dyDescent="0.3">
      <c r="F107268" s="193"/>
    </row>
    <row r="107269" spans="6:6" x14ac:dyDescent="0.3">
      <c r="F107269" s="193"/>
    </row>
    <row r="107270" spans="6:6" x14ac:dyDescent="0.3">
      <c r="F107270" s="193"/>
    </row>
    <row r="107271" spans="6:6" x14ac:dyDescent="0.3">
      <c r="F107271" s="193"/>
    </row>
    <row r="107272" spans="6:6" x14ac:dyDescent="0.3">
      <c r="F107272" s="193"/>
    </row>
    <row r="107273" spans="6:6" x14ac:dyDescent="0.3">
      <c r="F107273" s="193"/>
    </row>
    <row r="107274" spans="6:6" x14ac:dyDescent="0.3">
      <c r="F107274" s="193"/>
    </row>
    <row r="107275" spans="6:6" x14ac:dyDescent="0.3">
      <c r="F107275" s="193"/>
    </row>
    <row r="107276" spans="6:6" x14ac:dyDescent="0.3">
      <c r="F107276" s="193"/>
    </row>
    <row r="107277" spans="6:6" x14ac:dyDescent="0.3">
      <c r="F107277" s="193"/>
    </row>
    <row r="107278" spans="6:6" x14ac:dyDescent="0.3">
      <c r="F107278" s="193"/>
    </row>
    <row r="107279" spans="6:6" x14ac:dyDescent="0.3">
      <c r="F107279" s="193"/>
    </row>
    <row r="107280" spans="6:6" x14ac:dyDescent="0.3">
      <c r="F107280" s="193"/>
    </row>
    <row r="107281" spans="6:6" x14ac:dyDescent="0.3">
      <c r="F107281" s="193"/>
    </row>
    <row r="107282" spans="6:6" x14ac:dyDescent="0.3">
      <c r="F107282" s="193"/>
    </row>
    <row r="107283" spans="6:6" x14ac:dyDescent="0.3">
      <c r="F107283" s="193"/>
    </row>
    <row r="107284" spans="6:6" x14ac:dyDescent="0.3">
      <c r="F107284" s="193"/>
    </row>
    <row r="107285" spans="6:6" x14ac:dyDescent="0.3">
      <c r="F107285" s="193"/>
    </row>
    <row r="107286" spans="6:6" x14ac:dyDescent="0.3">
      <c r="F107286" s="193"/>
    </row>
    <row r="107287" spans="6:6" x14ac:dyDescent="0.3">
      <c r="F107287" s="193"/>
    </row>
    <row r="107288" spans="6:6" x14ac:dyDescent="0.3">
      <c r="F107288" s="193"/>
    </row>
    <row r="107289" spans="6:6" x14ac:dyDescent="0.3">
      <c r="F107289" s="193"/>
    </row>
    <row r="107290" spans="6:6" x14ac:dyDescent="0.3">
      <c r="F107290" s="193"/>
    </row>
    <row r="107291" spans="6:6" x14ac:dyDescent="0.3">
      <c r="F107291" s="193"/>
    </row>
    <row r="107292" spans="6:6" x14ac:dyDescent="0.3">
      <c r="F107292" s="193"/>
    </row>
    <row r="107293" spans="6:6" x14ac:dyDescent="0.3">
      <c r="F107293" s="193"/>
    </row>
    <row r="107294" spans="6:6" x14ac:dyDescent="0.3">
      <c r="F107294" s="193"/>
    </row>
    <row r="107295" spans="6:6" x14ac:dyDescent="0.3">
      <c r="F107295" s="193"/>
    </row>
    <row r="107296" spans="6:6" x14ac:dyDescent="0.3">
      <c r="F107296" s="193"/>
    </row>
    <row r="107297" spans="6:6" x14ac:dyDescent="0.3">
      <c r="F107297" s="193"/>
    </row>
    <row r="107298" spans="6:6" x14ac:dyDescent="0.3">
      <c r="F107298" s="193"/>
    </row>
    <row r="107299" spans="6:6" x14ac:dyDescent="0.3">
      <c r="F107299" s="193"/>
    </row>
    <row r="107300" spans="6:6" x14ac:dyDescent="0.3">
      <c r="F107300" s="193"/>
    </row>
    <row r="107301" spans="6:6" x14ac:dyDescent="0.3">
      <c r="F107301" s="193"/>
    </row>
    <row r="107302" spans="6:6" x14ac:dyDescent="0.3">
      <c r="F107302" s="193"/>
    </row>
    <row r="107303" spans="6:6" x14ac:dyDescent="0.3">
      <c r="F107303" s="193"/>
    </row>
    <row r="107304" spans="6:6" x14ac:dyDescent="0.3">
      <c r="F107304" s="193"/>
    </row>
    <row r="107305" spans="6:6" x14ac:dyDescent="0.3">
      <c r="F107305" s="193"/>
    </row>
    <row r="107306" spans="6:6" x14ac:dyDescent="0.3">
      <c r="F107306" s="193"/>
    </row>
    <row r="107307" spans="6:6" x14ac:dyDescent="0.3">
      <c r="F107307" s="193"/>
    </row>
    <row r="107308" spans="6:6" x14ac:dyDescent="0.3">
      <c r="F107308" s="193"/>
    </row>
    <row r="107309" spans="6:6" x14ac:dyDescent="0.3">
      <c r="F107309" s="193"/>
    </row>
    <row r="107310" spans="6:6" x14ac:dyDescent="0.3">
      <c r="F107310" s="193"/>
    </row>
    <row r="107311" spans="6:6" x14ac:dyDescent="0.3">
      <c r="F107311" s="193"/>
    </row>
    <row r="107312" spans="6:6" x14ac:dyDescent="0.3">
      <c r="F107312" s="193"/>
    </row>
    <row r="107313" spans="6:6" x14ac:dyDescent="0.3">
      <c r="F107313" s="193"/>
    </row>
    <row r="107314" spans="6:6" x14ac:dyDescent="0.3">
      <c r="F107314" s="193"/>
    </row>
    <row r="107315" spans="6:6" x14ac:dyDescent="0.3">
      <c r="F107315" s="193"/>
    </row>
    <row r="107316" spans="6:6" x14ac:dyDescent="0.3">
      <c r="F107316" s="193"/>
    </row>
    <row r="107317" spans="6:6" x14ac:dyDescent="0.3">
      <c r="F107317" s="193"/>
    </row>
    <row r="107318" spans="6:6" x14ac:dyDescent="0.3">
      <c r="F107318" s="193"/>
    </row>
    <row r="107319" spans="6:6" x14ac:dyDescent="0.3">
      <c r="F107319" s="193"/>
    </row>
    <row r="107320" spans="6:6" x14ac:dyDescent="0.3">
      <c r="F107320" s="193"/>
    </row>
    <row r="107321" spans="6:6" x14ac:dyDescent="0.3">
      <c r="F107321" s="193"/>
    </row>
    <row r="107322" spans="6:6" x14ac:dyDescent="0.3">
      <c r="F107322" s="193"/>
    </row>
    <row r="107323" spans="6:6" x14ac:dyDescent="0.3">
      <c r="F107323" s="193"/>
    </row>
    <row r="107324" spans="6:6" x14ac:dyDescent="0.3">
      <c r="F107324" s="193"/>
    </row>
    <row r="107325" spans="6:6" x14ac:dyDescent="0.3">
      <c r="F107325" s="193"/>
    </row>
    <row r="107326" spans="6:6" x14ac:dyDescent="0.3">
      <c r="F107326" s="193"/>
    </row>
    <row r="107327" spans="6:6" x14ac:dyDescent="0.3">
      <c r="F107327" s="193"/>
    </row>
    <row r="107328" spans="6:6" x14ac:dyDescent="0.3">
      <c r="F107328" s="193"/>
    </row>
    <row r="107329" spans="6:6" x14ac:dyDescent="0.3">
      <c r="F107329" s="193"/>
    </row>
    <row r="107330" spans="6:6" x14ac:dyDescent="0.3">
      <c r="F107330" s="193"/>
    </row>
    <row r="107331" spans="6:6" x14ac:dyDescent="0.3">
      <c r="F107331" s="193"/>
    </row>
    <row r="107332" spans="6:6" x14ac:dyDescent="0.3">
      <c r="F107332" s="193"/>
    </row>
    <row r="107333" spans="6:6" x14ac:dyDescent="0.3">
      <c r="F107333" s="193"/>
    </row>
    <row r="107334" spans="6:6" x14ac:dyDescent="0.3">
      <c r="F107334" s="193"/>
    </row>
    <row r="107335" spans="6:6" x14ac:dyDescent="0.3">
      <c r="F107335" s="193"/>
    </row>
    <row r="107336" spans="6:6" x14ac:dyDescent="0.3">
      <c r="F107336" s="193"/>
    </row>
    <row r="107337" spans="6:6" x14ac:dyDescent="0.3">
      <c r="F107337" s="193"/>
    </row>
    <row r="107338" spans="6:6" x14ac:dyDescent="0.3">
      <c r="F107338" s="193"/>
    </row>
    <row r="107339" spans="6:6" x14ac:dyDescent="0.3">
      <c r="F107339" s="193"/>
    </row>
    <row r="107340" spans="6:6" x14ac:dyDescent="0.3">
      <c r="F107340" s="193"/>
    </row>
    <row r="107341" spans="6:6" x14ac:dyDescent="0.3">
      <c r="F107341" s="193"/>
    </row>
    <row r="107342" spans="6:6" x14ac:dyDescent="0.3">
      <c r="F107342" s="193"/>
    </row>
    <row r="107343" spans="6:6" x14ac:dyDescent="0.3">
      <c r="F107343" s="193"/>
    </row>
    <row r="107344" spans="6:6" x14ac:dyDescent="0.3">
      <c r="F107344" s="193"/>
    </row>
    <row r="107345" spans="6:6" x14ac:dyDescent="0.3">
      <c r="F107345" s="193"/>
    </row>
    <row r="107346" spans="6:6" x14ac:dyDescent="0.3">
      <c r="F107346" s="193"/>
    </row>
    <row r="107347" spans="6:6" x14ac:dyDescent="0.3">
      <c r="F107347" s="193"/>
    </row>
    <row r="107348" spans="6:6" x14ac:dyDescent="0.3">
      <c r="F107348" s="193"/>
    </row>
    <row r="107349" spans="6:6" x14ac:dyDescent="0.3">
      <c r="F107349" s="193"/>
    </row>
    <row r="107350" spans="6:6" x14ac:dyDescent="0.3">
      <c r="F107350" s="193"/>
    </row>
    <row r="107351" spans="6:6" x14ac:dyDescent="0.3">
      <c r="F107351" s="193"/>
    </row>
    <row r="107352" spans="6:6" x14ac:dyDescent="0.3">
      <c r="F107352" s="193"/>
    </row>
    <row r="107353" spans="6:6" x14ac:dyDescent="0.3">
      <c r="F107353" s="193"/>
    </row>
    <row r="107354" spans="6:6" x14ac:dyDescent="0.3">
      <c r="F107354" s="193"/>
    </row>
    <row r="107355" spans="6:6" x14ac:dyDescent="0.3">
      <c r="F107355" s="193"/>
    </row>
    <row r="107356" spans="6:6" x14ac:dyDescent="0.3">
      <c r="F107356" s="193"/>
    </row>
    <row r="107357" spans="6:6" x14ac:dyDescent="0.3">
      <c r="F107357" s="193"/>
    </row>
    <row r="107358" spans="6:6" x14ac:dyDescent="0.3">
      <c r="F107358" s="193"/>
    </row>
    <row r="107359" spans="6:6" x14ac:dyDescent="0.3">
      <c r="F107359" s="193"/>
    </row>
    <row r="107360" spans="6:6" x14ac:dyDescent="0.3">
      <c r="F107360" s="193"/>
    </row>
    <row r="107361" spans="6:6" x14ac:dyDescent="0.3">
      <c r="F107361" s="193"/>
    </row>
    <row r="107362" spans="6:6" x14ac:dyDescent="0.3">
      <c r="F107362" s="193"/>
    </row>
    <row r="107363" spans="6:6" x14ac:dyDescent="0.3">
      <c r="F107363" s="193"/>
    </row>
    <row r="107364" spans="6:6" x14ac:dyDescent="0.3">
      <c r="F107364" s="193"/>
    </row>
    <row r="107365" spans="6:6" x14ac:dyDescent="0.3">
      <c r="F107365" s="193"/>
    </row>
    <row r="107366" spans="6:6" x14ac:dyDescent="0.3">
      <c r="F107366" s="193"/>
    </row>
    <row r="107367" spans="6:6" x14ac:dyDescent="0.3">
      <c r="F107367" s="193"/>
    </row>
    <row r="107368" spans="6:6" x14ac:dyDescent="0.3">
      <c r="F107368" s="193"/>
    </row>
    <row r="107369" spans="6:6" x14ac:dyDescent="0.3">
      <c r="F107369" s="193"/>
    </row>
    <row r="107370" spans="6:6" x14ac:dyDescent="0.3">
      <c r="F107370" s="193"/>
    </row>
    <row r="107371" spans="6:6" x14ac:dyDescent="0.3">
      <c r="F107371" s="193"/>
    </row>
    <row r="107372" spans="6:6" x14ac:dyDescent="0.3">
      <c r="F107372" s="193"/>
    </row>
    <row r="107373" spans="6:6" x14ac:dyDescent="0.3">
      <c r="F107373" s="193"/>
    </row>
    <row r="107374" spans="6:6" x14ac:dyDescent="0.3">
      <c r="F107374" s="193"/>
    </row>
    <row r="107375" spans="6:6" x14ac:dyDescent="0.3">
      <c r="F107375" s="193"/>
    </row>
    <row r="107376" spans="6:6" x14ac:dyDescent="0.3">
      <c r="F107376" s="193"/>
    </row>
    <row r="107377" spans="6:6" x14ac:dyDescent="0.3">
      <c r="F107377" s="193"/>
    </row>
    <row r="107378" spans="6:6" x14ac:dyDescent="0.3">
      <c r="F107378" s="193"/>
    </row>
    <row r="107379" spans="6:6" x14ac:dyDescent="0.3">
      <c r="F107379" s="193"/>
    </row>
    <row r="107380" spans="6:6" x14ac:dyDescent="0.3">
      <c r="F107380" s="193"/>
    </row>
    <row r="107381" spans="6:6" x14ac:dyDescent="0.3">
      <c r="F107381" s="193"/>
    </row>
    <row r="107382" spans="6:6" x14ac:dyDescent="0.3">
      <c r="F107382" s="193"/>
    </row>
    <row r="107383" spans="6:6" x14ac:dyDescent="0.3">
      <c r="F107383" s="193"/>
    </row>
    <row r="107384" spans="6:6" x14ac:dyDescent="0.3">
      <c r="F107384" s="193"/>
    </row>
    <row r="107385" spans="6:6" x14ac:dyDescent="0.3">
      <c r="F107385" s="193"/>
    </row>
    <row r="107386" spans="6:6" x14ac:dyDescent="0.3">
      <c r="F107386" s="193"/>
    </row>
    <row r="107387" spans="6:6" x14ac:dyDescent="0.3">
      <c r="F107387" s="193"/>
    </row>
    <row r="107388" spans="6:6" x14ac:dyDescent="0.3">
      <c r="F107388" s="193"/>
    </row>
    <row r="107389" spans="6:6" x14ac:dyDescent="0.3">
      <c r="F107389" s="193"/>
    </row>
    <row r="107390" spans="6:6" x14ac:dyDescent="0.3">
      <c r="F107390" s="193"/>
    </row>
    <row r="107391" spans="6:6" x14ac:dyDescent="0.3">
      <c r="F107391" s="193"/>
    </row>
    <row r="107392" spans="6:6" x14ac:dyDescent="0.3">
      <c r="F107392" s="193"/>
    </row>
    <row r="107393" spans="6:6" x14ac:dyDescent="0.3">
      <c r="F107393" s="193"/>
    </row>
    <row r="107394" spans="6:6" x14ac:dyDescent="0.3">
      <c r="F107394" s="193"/>
    </row>
    <row r="107395" spans="6:6" x14ac:dyDescent="0.3">
      <c r="F107395" s="193"/>
    </row>
    <row r="107396" spans="6:6" x14ac:dyDescent="0.3">
      <c r="F107396" s="193"/>
    </row>
    <row r="107397" spans="6:6" x14ac:dyDescent="0.3">
      <c r="F107397" s="193"/>
    </row>
    <row r="107398" spans="6:6" x14ac:dyDescent="0.3">
      <c r="F107398" s="193"/>
    </row>
    <row r="107399" spans="6:6" x14ac:dyDescent="0.3">
      <c r="F107399" s="193"/>
    </row>
    <row r="107400" spans="6:6" x14ac:dyDescent="0.3">
      <c r="F107400" s="193"/>
    </row>
    <row r="107401" spans="6:6" x14ac:dyDescent="0.3">
      <c r="F107401" s="193"/>
    </row>
    <row r="107402" spans="6:6" x14ac:dyDescent="0.3">
      <c r="F107402" s="193"/>
    </row>
    <row r="107403" spans="6:6" x14ac:dyDescent="0.3">
      <c r="F107403" s="193"/>
    </row>
    <row r="107404" spans="6:6" x14ac:dyDescent="0.3">
      <c r="F107404" s="193"/>
    </row>
    <row r="107405" spans="6:6" x14ac:dyDescent="0.3">
      <c r="F107405" s="193"/>
    </row>
    <row r="107406" spans="6:6" x14ac:dyDescent="0.3">
      <c r="F107406" s="193"/>
    </row>
    <row r="107407" spans="6:6" x14ac:dyDescent="0.3">
      <c r="F107407" s="193"/>
    </row>
    <row r="107408" spans="6:6" x14ac:dyDescent="0.3">
      <c r="F107408" s="193"/>
    </row>
    <row r="107409" spans="6:6" x14ac:dyDescent="0.3">
      <c r="F107409" s="193"/>
    </row>
    <row r="107410" spans="6:6" x14ac:dyDescent="0.3">
      <c r="F107410" s="193"/>
    </row>
    <row r="107411" spans="6:6" x14ac:dyDescent="0.3">
      <c r="F107411" s="193"/>
    </row>
    <row r="107412" spans="6:6" x14ac:dyDescent="0.3">
      <c r="F107412" s="193"/>
    </row>
    <row r="107413" spans="6:6" x14ac:dyDescent="0.3">
      <c r="F107413" s="193"/>
    </row>
    <row r="107414" spans="6:6" x14ac:dyDescent="0.3">
      <c r="F107414" s="193"/>
    </row>
    <row r="107415" spans="6:6" x14ac:dyDescent="0.3">
      <c r="F107415" s="193"/>
    </row>
    <row r="107416" spans="6:6" x14ac:dyDescent="0.3">
      <c r="F107416" s="193"/>
    </row>
    <row r="107417" spans="6:6" x14ac:dyDescent="0.3">
      <c r="F107417" s="193"/>
    </row>
    <row r="107418" spans="6:6" x14ac:dyDescent="0.3">
      <c r="F107418" s="193"/>
    </row>
    <row r="107419" spans="6:6" x14ac:dyDescent="0.3">
      <c r="F107419" s="193"/>
    </row>
    <row r="107420" spans="6:6" x14ac:dyDescent="0.3">
      <c r="F107420" s="193"/>
    </row>
    <row r="107421" spans="6:6" x14ac:dyDescent="0.3">
      <c r="F107421" s="193"/>
    </row>
    <row r="107422" spans="6:6" x14ac:dyDescent="0.3">
      <c r="F107422" s="193"/>
    </row>
    <row r="107423" spans="6:6" x14ac:dyDescent="0.3">
      <c r="F107423" s="193"/>
    </row>
    <row r="107424" spans="6:6" x14ac:dyDescent="0.3">
      <c r="F107424" s="193"/>
    </row>
    <row r="107425" spans="6:6" x14ac:dyDescent="0.3">
      <c r="F107425" s="193"/>
    </row>
    <row r="107426" spans="6:6" x14ac:dyDescent="0.3">
      <c r="F107426" s="193"/>
    </row>
    <row r="107427" spans="6:6" x14ac:dyDescent="0.3">
      <c r="F107427" s="193"/>
    </row>
    <row r="107428" spans="6:6" x14ac:dyDescent="0.3">
      <c r="F107428" s="193"/>
    </row>
    <row r="107429" spans="6:6" x14ac:dyDescent="0.3">
      <c r="F107429" s="193"/>
    </row>
    <row r="107430" spans="6:6" x14ac:dyDescent="0.3">
      <c r="F107430" s="193"/>
    </row>
    <row r="107431" spans="6:6" x14ac:dyDescent="0.3">
      <c r="F107431" s="193"/>
    </row>
    <row r="107432" spans="6:6" x14ac:dyDescent="0.3">
      <c r="F107432" s="193"/>
    </row>
    <row r="107433" spans="6:6" x14ac:dyDescent="0.3">
      <c r="F107433" s="193"/>
    </row>
    <row r="107434" spans="6:6" x14ac:dyDescent="0.3">
      <c r="F107434" s="193"/>
    </row>
    <row r="107435" spans="6:6" x14ac:dyDescent="0.3">
      <c r="F107435" s="193"/>
    </row>
    <row r="107436" spans="6:6" x14ac:dyDescent="0.3">
      <c r="F107436" s="193"/>
    </row>
    <row r="107437" spans="6:6" x14ac:dyDescent="0.3">
      <c r="F107437" s="193"/>
    </row>
    <row r="107438" spans="6:6" x14ac:dyDescent="0.3">
      <c r="F107438" s="193"/>
    </row>
    <row r="107439" spans="6:6" x14ac:dyDescent="0.3">
      <c r="F107439" s="193"/>
    </row>
    <row r="107440" spans="6:6" x14ac:dyDescent="0.3">
      <c r="F107440" s="193"/>
    </row>
    <row r="107441" spans="6:6" x14ac:dyDescent="0.3">
      <c r="F107441" s="193"/>
    </row>
    <row r="107442" spans="6:6" x14ac:dyDescent="0.3">
      <c r="F107442" s="193"/>
    </row>
    <row r="107443" spans="6:6" x14ac:dyDescent="0.3">
      <c r="F107443" s="193"/>
    </row>
    <row r="107444" spans="6:6" x14ac:dyDescent="0.3">
      <c r="F107444" s="193"/>
    </row>
    <row r="107445" spans="6:6" x14ac:dyDescent="0.3">
      <c r="F107445" s="193"/>
    </row>
    <row r="107446" spans="6:6" x14ac:dyDescent="0.3">
      <c r="F107446" s="193"/>
    </row>
    <row r="107447" spans="6:6" x14ac:dyDescent="0.3">
      <c r="F107447" s="193"/>
    </row>
    <row r="107448" spans="6:6" x14ac:dyDescent="0.3">
      <c r="F107448" s="193"/>
    </row>
    <row r="107449" spans="6:6" x14ac:dyDescent="0.3">
      <c r="F107449" s="193"/>
    </row>
    <row r="107450" spans="6:6" x14ac:dyDescent="0.3">
      <c r="F107450" s="193"/>
    </row>
    <row r="107451" spans="6:6" x14ac:dyDescent="0.3">
      <c r="F107451" s="193"/>
    </row>
    <row r="107452" spans="6:6" x14ac:dyDescent="0.3">
      <c r="F107452" s="193"/>
    </row>
    <row r="107453" spans="6:6" x14ac:dyDescent="0.3">
      <c r="F107453" s="193"/>
    </row>
    <row r="107454" spans="6:6" x14ac:dyDescent="0.3">
      <c r="F107454" s="193"/>
    </row>
    <row r="107455" spans="6:6" x14ac:dyDescent="0.3">
      <c r="F107455" s="193"/>
    </row>
    <row r="107456" spans="6:6" x14ac:dyDescent="0.3">
      <c r="F107456" s="193"/>
    </row>
    <row r="107457" spans="6:6" x14ac:dyDescent="0.3">
      <c r="F107457" s="193"/>
    </row>
    <row r="107458" spans="6:6" x14ac:dyDescent="0.3">
      <c r="F107458" s="193"/>
    </row>
    <row r="107459" spans="6:6" x14ac:dyDescent="0.3">
      <c r="F107459" s="193"/>
    </row>
    <row r="107460" spans="6:6" x14ac:dyDescent="0.3">
      <c r="F107460" s="193"/>
    </row>
    <row r="107461" spans="6:6" x14ac:dyDescent="0.3">
      <c r="F107461" s="193"/>
    </row>
    <row r="107462" spans="6:6" x14ac:dyDescent="0.3">
      <c r="F107462" s="193"/>
    </row>
    <row r="107463" spans="6:6" x14ac:dyDescent="0.3">
      <c r="F107463" s="193"/>
    </row>
    <row r="107464" spans="6:6" x14ac:dyDescent="0.3">
      <c r="F107464" s="193"/>
    </row>
    <row r="107465" spans="6:6" x14ac:dyDescent="0.3">
      <c r="F107465" s="193"/>
    </row>
    <row r="107466" spans="6:6" x14ac:dyDescent="0.3">
      <c r="F107466" s="193"/>
    </row>
    <row r="107467" spans="6:6" x14ac:dyDescent="0.3">
      <c r="F107467" s="193"/>
    </row>
    <row r="107468" spans="6:6" x14ac:dyDescent="0.3">
      <c r="F107468" s="193"/>
    </row>
    <row r="107469" spans="6:6" x14ac:dyDescent="0.3">
      <c r="F107469" s="193"/>
    </row>
    <row r="107470" spans="6:6" x14ac:dyDescent="0.3">
      <c r="F107470" s="193"/>
    </row>
    <row r="107471" spans="6:6" x14ac:dyDescent="0.3">
      <c r="F107471" s="193"/>
    </row>
    <row r="107472" spans="6:6" x14ac:dyDescent="0.3">
      <c r="F107472" s="193"/>
    </row>
    <row r="107473" spans="6:6" x14ac:dyDescent="0.3">
      <c r="F107473" s="193"/>
    </row>
    <row r="107474" spans="6:6" x14ac:dyDescent="0.3">
      <c r="F107474" s="193"/>
    </row>
    <row r="107475" spans="6:6" x14ac:dyDescent="0.3">
      <c r="F107475" s="193"/>
    </row>
    <row r="107476" spans="6:6" x14ac:dyDescent="0.3">
      <c r="F107476" s="193"/>
    </row>
    <row r="107477" spans="6:6" x14ac:dyDescent="0.3">
      <c r="F107477" s="193"/>
    </row>
    <row r="107478" spans="6:6" x14ac:dyDescent="0.3">
      <c r="F107478" s="193"/>
    </row>
    <row r="107479" spans="6:6" x14ac:dyDescent="0.3">
      <c r="F107479" s="193"/>
    </row>
    <row r="107480" spans="6:6" x14ac:dyDescent="0.3">
      <c r="F107480" s="193"/>
    </row>
    <row r="107481" spans="6:6" x14ac:dyDescent="0.3">
      <c r="F107481" s="193"/>
    </row>
    <row r="107482" spans="6:6" x14ac:dyDescent="0.3">
      <c r="F107482" s="193"/>
    </row>
    <row r="107483" spans="6:6" x14ac:dyDescent="0.3">
      <c r="F107483" s="193"/>
    </row>
    <row r="107484" spans="6:6" x14ac:dyDescent="0.3">
      <c r="F107484" s="193"/>
    </row>
    <row r="107485" spans="6:6" x14ac:dyDescent="0.3">
      <c r="F107485" s="193"/>
    </row>
    <row r="107486" spans="6:6" x14ac:dyDescent="0.3">
      <c r="F107486" s="193"/>
    </row>
    <row r="107487" spans="6:6" x14ac:dyDescent="0.3">
      <c r="F107487" s="193"/>
    </row>
    <row r="107488" spans="6:6" x14ac:dyDescent="0.3">
      <c r="F107488" s="193"/>
    </row>
    <row r="107489" spans="6:6" x14ac:dyDescent="0.3">
      <c r="F107489" s="193"/>
    </row>
    <row r="107490" spans="6:6" x14ac:dyDescent="0.3">
      <c r="F107490" s="193"/>
    </row>
    <row r="107491" spans="6:6" x14ac:dyDescent="0.3">
      <c r="F107491" s="193"/>
    </row>
    <row r="107492" spans="6:6" x14ac:dyDescent="0.3">
      <c r="F107492" s="193"/>
    </row>
    <row r="107493" spans="6:6" x14ac:dyDescent="0.3">
      <c r="F107493" s="193"/>
    </row>
    <row r="107494" spans="6:6" x14ac:dyDescent="0.3">
      <c r="F107494" s="193"/>
    </row>
    <row r="107495" spans="6:6" x14ac:dyDescent="0.3">
      <c r="F107495" s="193"/>
    </row>
    <row r="107496" spans="6:6" x14ac:dyDescent="0.3">
      <c r="F107496" s="193"/>
    </row>
    <row r="107497" spans="6:6" x14ac:dyDescent="0.3">
      <c r="F107497" s="193"/>
    </row>
    <row r="107498" spans="6:6" x14ac:dyDescent="0.3">
      <c r="F107498" s="193"/>
    </row>
    <row r="107499" spans="6:6" x14ac:dyDescent="0.3">
      <c r="F107499" s="193"/>
    </row>
    <row r="107500" spans="6:6" x14ac:dyDescent="0.3">
      <c r="F107500" s="193"/>
    </row>
    <row r="107501" spans="6:6" x14ac:dyDescent="0.3">
      <c r="F107501" s="193"/>
    </row>
    <row r="107502" spans="6:6" x14ac:dyDescent="0.3">
      <c r="F107502" s="193"/>
    </row>
    <row r="107503" spans="6:6" x14ac:dyDescent="0.3">
      <c r="F107503" s="193"/>
    </row>
    <row r="107504" spans="6:6" x14ac:dyDescent="0.3">
      <c r="F107504" s="193"/>
    </row>
    <row r="107505" spans="6:6" x14ac:dyDescent="0.3">
      <c r="F107505" s="193"/>
    </row>
    <row r="107506" spans="6:6" x14ac:dyDescent="0.3">
      <c r="F107506" s="193"/>
    </row>
    <row r="107507" spans="6:6" x14ac:dyDescent="0.3">
      <c r="F107507" s="193"/>
    </row>
    <row r="107508" spans="6:6" x14ac:dyDescent="0.3">
      <c r="F107508" s="193"/>
    </row>
    <row r="107509" spans="6:6" x14ac:dyDescent="0.3">
      <c r="F107509" s="193"/>
    </row>
    <row r="107510" spans="6:6" x14ac:dyDescent="0.3">
      <c r="F107510" s="193"/>
    </row>
    <row r="107511" spans="6:6" x14ac:dyDescent="0.3">
      <c r="F107511" s="193"/>
    </row>
    <row r="107512" spans="6:6" x14ac:dyDescent="0.3">
      <c r="F107512" s="193"/>
    </row>
    <row r="107513" spans="6:6" x14ac:dyDescent="0.3">
      <c r="F107513" s="193"/>
    </row>
    <row r="107514" spans="6:6" x14ac:dyDescent="0.3">
      <c r="F107514" s="193"/>
    </row>
    <row r="107515" spans="6:6" x14ac:dyDescent="0.3">
      <c r="F107515" s="193"/>
    </row>
    <row r="107516" spans="6:6" x14ac:dyDescent="0.3">
      <c r="F107516" s="193"/>
    </row>
    <row r="107517" spans="6:6" x14ac:dyDescent="0.3">
      <c r="F107517" s="193"/>
    </row>
    <row r="107518" spans="6:6" x14ac:dyDescent="0.3">
      <c r="F107518" s="193"/>
    </row>
    <row r="107519" spans="6:6" x14ac:dyDescent="0.3">
      <c r="F107519" s="193"/>
    </row>
    <row r="107520" spans="6:6" x14ac:dyDescent="0.3">
      <c r="F107520" s="193"/>
    </row>
    <row r="107521" spans="6:6" x14ac:dyDescent="0.3">
      <c r="F107521" s="193"/>
    </row>
    <row r="107522" spans="6:6" x14ac:dyDescent="0.3">
      <c r="F107522" s="193"/>
    </row>
    <row r="107523" spans="6:6" x14ac:dyDescent="0.3">
      <c r="F107523" s="193"/>
    </row>
    <row r="107524" spans="6:6" x14ac:dyDescent="0.3">
      <c r="F107524" s="193"/>
    </row>
    <row r="107525" spans="6:6" x14ac:dyDescent="0.3">
      <c r="F107525" s="193"/>
    </row>
    <row r="107526" spans="6:6" x14ac:dyDescent="0.3">
      <c r="F107526" s="193"/>
    </row>
    <row r="107527" spans="6:6" x14ac:dyDescent="0.3">
      <c r="F107527" s="193"/>
    </row>
    <row r="107528" spans="6:6" x14ac:dyDescent="0.3">
      <c r="F107528" s="193"/>
    </row>
    <row r="107529" spans="6:6" x14ac:dyDescent="0.3">
      <c r="F107529" s="193"/>
    </row>
    <row r="107530" spans="6:6" x14ac:dyDescent="0.3">
      <c r="F107530" s="193"/>
    </row>
    <row r="107531" spans="6:6" x14ac:dyDescent="0.3">
      <c r="F107531" s="193"/>
    </row>
    <row r="107532" spans="6:6" x14ac:dyDescent="0.3">
      <c r="F107532" s="193"/>
    </row>
    <row r="107533" spans="6:6" x14ac:dyDescent="0.3">
      <c r="F107533" s="193"/>
    </row>
    <row r="107534" spans="6:6" x14ac:dyDescent="0.3">
      <c r="F107534" s="193"/>
    </row>
    <row r="107535" spans="6:6" x14ac:dyDescent="0.3">
      <c r="F107535" s="193"/>
    </row>
    <row r="107536" spans="6:6" x14ac:dyDescent="0.3">
      <c r="F107536" s="193"/>
    </row>
    <row r="107537" spans="6:6" x14ac:dyDescent="0.3">
      <c r="F107537" s="193"/>
    </row>
    <row r="107538" spans="6:6" x14ac:dyDescent="0.3">
      <c r="F107538" s="193"/>
    </row>
    <row r="107539" spans="6:6" x14ac:dyDescent="0.3">
      <c r="F107539" s="193"/>
    </row>
    <row r="107540" spans="6:6" x14ac:dyDescent="0.3">
      <c r="F107540" s="193"/>
    </row>
    <row r="107541" spans="6:6" x14ac:dyDescent="0.3">
      <c r="F107541" s="193"/>
    </row>
    <row r="107542" spans="6:6" x14ac:dyDescent="0.3">
      <c r="F107542" s="193"/>
    </row>
    <row r="107543" spans="6:6" x14ac:dyDescent="0.3">
      <c r="F107543" s="193"/>
    </row>
    <row r="107544" spans="6:6" x14ac:dyDescent="0.3">
      <c r="F107544" s="193"/>
    </row>
    <row r="107545" spans="6:6" x14ac:dyDescent="0.3">
      <c r="F107545" s="193"/>
    </row>
    <row r="107546" spans="6:6" x14ac:dyDescent="0.3">
      <c r="F107546" s="193"/>
    </row>
    <row r="107547" spans="6:6" x14ac:dyDescent="0.3">
      <c r="F107547" s="193"/>
    </row>
    <row r="107548" spans="6:6" x14ac:dyDescent="0.3">
      <c r="F107548" s="193"/>
    </row>
    <row r="107549" spans="6:6" x14ac:dyDescent="0.3">
      <c r="F107549" s="193"/>
    </row>
    <row r="107550" spans="6:6" x14ac:dyDescent="0.3">
      <c r="F107550" s="193"/>
    </row>
    <row r="107551" spans="6:6" x14ac:dyDescent="0.3">
      <c r="F107551" s="193"/>
    </row>
    <row r="107552" spans="6:6" x14ac:dyDescent="0.3">
      <c r="F107552" s="193"/>
    </row>
    <row r="107553" spans="6:6" x14ac:dyDescent="0.3">
      <c r="F107553" s="193"/>
    </row>
    <row r="107554" spans="6:6" x14ac:dyDescent="0.3">
      <c r="F107554" s="193"/>
    </row>
    <row r="107555" spans="6:6" x14ac:dyDescent="0.3">
      <c r="F107555" s="193"/>
    </row>
    <row r="107556" spans="6:6" x14ac:dyDescent="0.3">
      <c r="F107556" s="193"/>
    </row>
    <row r="107557" spans="6:6" x14ac:dyDescent="0.3">
      <c r="F107557" s="193"/>
    </row>
    <row r="107558" spans="6:6" x14ac:dyDescent="0.3">
      <c r="F107558" s="193"/>
    </row>
    <row r="107559" spans="6:6" x14ac:dyDescent="0.3">
      <c r="F107559" s="193"/>
    </row>
    <row r="107560" spans="6:6" x14ac:dyDescent="0.3">
      <c r="F107560" s="193"/>
    </row>
    <row r="107561" spans="6:6" x14ac:dyDescent="0.3">
      <c r="F107561" s="193"/>
    </row>
    <row r="107562" spans="6:6" x14ac:dyDescent="0.3">
      <c r="F107562" s="193"/>
    </row>
    <row r="107563" spans="6:6" x14ac:dyDescent="0.3">
      <c r="F107563" s="193"/>
    </row>
    <row r="107564" spans="6:6" x14ac:dyDescent="0.3">
      <c r="F107564" s="193"/>
    </row>
    <row r="107565" spans="6:6" x14ac:dyDescent="0.3">
      <c r="F107565" s="193"/>
    </row>
    <row r="107566" spans="6:6" x14ac:dyDescent="0.3">
      <c r="F107566" s="193"/>
    </row>
    <row r="107567" spans="6:6" x14ac:dyDescent="0.3">
      <c r="F107567" s="193"/>
    </row>
    <row r="107568" spans="6:6" x14ac:dyDescent="0.3">
      <c r="F107568" s="193"/>
    </row>
    <row r="107569" spans="6:6" x14ac:dyDescent="0.3">
      <c r="F107569" s="193"/>
    </row>
    <row r="107570" spans="6:6" x14ac:dyDescent="0.3">
      <c r="F107570" s="193"/>
    </row>
    <row r="107571" spans="6:6" x14ac:dyDescent="0.3">
      <c r="F107571" s="193"/>
    </row>
    <row r="107572" spans="6:6" x14ac:dyDescent="0.3">
      <c r="F107572" s="193"/>
    </row>
    <row r="107573" spans="6:6" x14ac:dyDescent="0.3">
      <c r="F107573" s="193"/>
    </row>
    <row r="107574" spans="6:6" x14ac:dyDescent="0.3">
      <c r="F107574" s="193"/>
    </row>
    <row r="107575" spans="6:6" x14ac:dyDescent="0.3">
      <c r="F107575" s="193"/>
    </row>
    <row r="107576" spans="6:6" x14ac:dyDescent="0.3">
      <c r="F107576" s="193"/>
    </row>
    <row r="107577" spans="6:6" x14ac:dyDescent="0.3">
      <c r="F107577" s="193"/>
    </row>
    <row r="107578" spans="6:6" x14ac:dyDescent="0.3">
      <c r="F107578" s="193"/>
    </row>
    <row r="107579" spans="6:6" x14ac:dyDescent="0.3">
      <c r="F107579" s="193"/>
    </row>
    <row r="107580" spans="6:6" x14ac:dyDescent="0.3">
      <c r="F107580" s="193"/>
    </row>
    <row r="107581" spans="6:6" x14ac:dyDescent="0.3">
      <c r="F107581" s="193"/>
    </row>
    <row r="107582" spans="6:6" x14ac:dyDescent="0.3">
      <c r="F107582" s="193"/>
    </row>
    <row r="107583" spans="6:6" x14ac:dyDescent="0.3">
      <c r="F107583" s="193"/>
    </row>
    <row r="107584" spans="6:6" x14ac:dyDescent="0.3">
      <c r="F107584" s="193"/>
    </row>
    <row r="107585" spans="6:6" x14ac:dyDescent="0.3">
      <c r="F107585" s="193"/>
    </row>
    <row r="107586" spans="6:6" x14ac:dyDescent="0.3">
      <c r="F107586" s="193"/>
    </row>
    <row r="107587" spans="6:6" x14ac:dyDescent="0.3">
      <c r="F107587" s="193"/>
    </row>
    <row r="107588" spans="6:6" x14ac:dyDescent="0.3">
      <c r="F107588" s="193"/>
    </row>
    <row r="107589" spans="6:6" x14ac:dyDescent="0.3">
      <c r="F107589" s="193"/>
    </row>
    <row r="107590" spans="6:6" x14ac:dyDescent="0.3">
      <c r="F107590" s="193"/>
    </row>
    <row r="107591" spans="6:6" x14ac:dyDescent="0.3">
      <c r="F107591" s="193"/>
    </row>
    <row r="107592" spans="6:6" x14ac:dyDescent="0.3">
      <c r="F107592" s="193"/>
    </row>
    <row r="107593" spans="6:6" x14ac:dyDescent="0.3">
      <c r="F107593" s="193"/>
    </row>
    <row r="107594" spans="6:6" x14ac:dyDescent="0.3">
      <c r="F107594" s="193"/>
    </row>
    <row r="107595" spans="6:6" x14ac:dyDescent="0.3">
      <c r="F107595" s="193"/>
    </row>
    <row r="107596" spans="6:6" x14ac:dyDescent="0.3">
      <c r="F107596" s="193"/>
    </row>
    <row r="107597" spans="6:6" x14ac:dyDescent="0.3">
      <c r="F107597" s="193"/>
    </row>
    <row r="107598" spans="6:6" x14ac:dyDescent="0.3">
      <c r="F107598" s="193"/>
    </row>
    <row r="107599" spans="6:6" x14ac:dyDescent="0.3">
      <c r="F107599" s="193"/>
    </row>
    <row r="107600" spans="6:6" x14ac:dyDescent="0.3">
      <c r="F107600" s="193"/>
    </row>
    <row r="107601" spans="6:6" x14ac:dyDescent="0.3">
      <c r="F107601" s="193"/>
    </row>
    <row r="107602" spans="6:6" x14ac:dyDescent="0.3">
      <c r="F107602" s="193"/>
    </row>
    <row r="107603" spans="6:6" x14ac:dyDescent="0.3">
      <c r="F107603" s="193"/>
    </row>
    <row r="107604" spans="6:6" x14ac:dyDescent="0.3">
      <c r="F107604" s="193"/>
    </row>
    <row r="107605" spans="6:6" x14ac:dyDescent="0.3">
      <c r="F107605" s="193"/>
    </row>
    <row r="107606" spans="6:6" x14ac:dyDescent="0.3">
      <c r="F107606" s="193"/>
    </row>
    <row r="107607" spans="6:6" x14ac:dyDescent="0.3">
      <c r="F107607" s="193"/>
    </row>
    <row r="107608" spans="6:6" x14ac:dyDescent="0.3">
      <c r="F107608" s="193"/>
    </row>
    <row r="107609" spans="6:6" x14ac:dyDescent="0.3">
      <c r="F107609" s="193"/>
    </row>
    <row r="107610" spans="6:6" x14ac:dyDescent="0.3">
      <c r="F107610" s="193"/>
    </row>
    <row r="107611" spans="6:6" x14ac:dyDescent="0.3">
      <c r="F107611" s="193"/>
    </row>
    <row r="107612" spans="6:6" x14ac:dyDescent="0.3">
      <c r="F107612" s="193"/>
    </row>
    <row r="107613" spans="6:6" x14ac:dyDescent="0.3">
      <c r="F107613" s="193"/>
    </row>
    <row r="107614" spans="6:6" x14ac:dyDescent="0.3">
      <c r="F107614" s="193"/>
    </row>
    <row r="107615" spans="6:6" x14ac:dyDescent="0.3">
      <c r="F107615" s="193"/>
    </row>
    <row r="107616" spans="6:6" x14ac:dyDescent="0.3">
      <c r="F107616" s="193"/>
    </row>
    <row r="107617" spans="6:6" x14ac:dyDescent="0.3">
      <c r="F107617" s="193"/>
    </row>
    <row r="107618" spans="6:6" x14ac:dyDescent="0.3">
      <c r="F107618" s="193"/>
    </row>
    <row r="107619" spans="6:6" x14ac:dyDescent="0.3">
      <c r="F107619" s="193"/>
    </row>
    <row r="107620" spans="6:6" x14ac:dyDescent="0.3">
      <c r="F107620" s="193"/>
    </row>
    <row r="107621" spans="6:6" x14ac:dyDescent="0.3">
      <c r="F107621" s="193"/>
    </row>
    <row r="107622" spans="6:6" x14ac:dyDescent="0.3">
      <c r="F107622" s="193"/>
    </row>
    <row r="107623" spans="6:6" x14ac:dyDescent="0.3">
      <c r="F107623" s="193"/>
    </row>
    <row r="107624" spans="6:6" x14ac:dyDescent="0.3">
      <c r="F107624" s="193"/>
    </row>
    <row r="107625" spans="6:6" x14ac:dyDescent="0.3">
      <c r="F107625" s="193"/>
    </row>
    <row r="107626" spans="6:6" x14ac:dyDescent="0.3">
      <c r="F107626" s="193"/>
    </row>
    <row r="107627" spans="6:6" x14ac:dyDescent="0.3">
      <c r="F107627" s="193"/>
    </row>
    <row r="107628" spans="6:6" x14ac:dyDescent="0.3">
      <c r="F107628" s="193"/>
    </row>
    <row r="107629" spans="6:6" x14ac:dyDescent="0.3">
      <c r="F107629" s="193"/>
    </row>
    <row r="107630" spans="6:6" x14ac:dyDescent="0.3">
      <c r="F107630" s="193"/>
    </row>
    <row r="107631" spans="6:6" x14ac:dyDescent="0.3">
      <c r="F107631" s="193"/>
    </row>
    <row r="107632" spans="6:6" x14ac:dyDescent="0.3">
      <c r="F107632" s="193"/>
    </row>
    <row r="107633" spans="6:6" x14ac:dyDescent="0.3">
      <c r="F107633" s="193"/>
    </row>
    <row r="107634" spans="6:6" x14ac:dyDescent="0.3">
      <c r="F107634" s="193"/>
    </row>
    <row r="107635" spans="6:6" x14ac:dyDescent="0.3">
      <c r="F107635" s="193"/>
    </row>
    <row r="107636" spans="6:6" x14ac:dyDescent="0.3">
      <c r="F107636" s="193"/>
    </row>
    <row r="107637" spans="6:6" x14ac:dyDescent="0.3">
      <c r="F107637" s="193"/>
    </row>
    <row r="107638" spans="6:6" x14ac:dyDescent="0.3">
      <c r="F107638" s="193"/>
    </row>
    <row r="107639" spans="6:6" x14ac:dyDescent="0.3">
      <c r="F107639" s="193"/>
    </row>
    <row r="107640" spans="6:6" x14ac:dyDescent="0.3">
      <c r="F107640" s="193"/>
    </row>
    <row r="107641" spans="6:6" x14ac:dyDescent="0.3">
      <c r="F107641" s="193"/>
    </row>
    <row r="107642" spans="6:6" x14ac:dyDescent="0.3">
      <c r="F107642" s="193"/>
    </row>
    <row r="107643" spans="6:6" x14ac:dyDescent="0.3">
      <c r="F107643" s="193"/>
    </row>
    <row r="107644" spans="6:6" x14ac:dyDescent="0.3">
      <c r="F107644" s="193"/>
    </row>
    <row r="107645" spans="6:6" x14ac:dyDescent="0.3">
      <c r="F107645" s="193"/>
    </row>
    <row r="107646" spans="6:6" x14ac:dyDescent="0.3">
      <c r="F107646" s="193"/>
    </row>
    <row r="107647" spans="6:6" x14ac:dyDescent="0.3">
      <c r="F107647" s="193"/>
    </row>
    <row r="107648" spans="6:6" x14ac:dyDescent="0.3">
      <c r="F107648" s="193"/>
    </row>
    <row r="107649" spans="6:6" x14ac:dyDescent="0.3">
      <c r="F107649" s="193"/>
    </row>
    <row r="107650" spans="6:6" x14ac:dyDescent="0.3">
      <c r="F107650" s="193"/>
    </row>
    <row r="107651" spans="6:6" x14ac:dyDescent="0.3">
      <c r="F107651" s="193"/>
    </row>
    <row r="107652" spans="6:6" x14ac:dyDescent="0.3">
      <c r="F107652" s="193"/>
    </row>
    <row r="107653" spans="6:6" x14ac:dyDescent="0.3">
      <c r="F107653" s="193"/>
    </row>
    <row r="107654" spans="6:6" x14ac:dyDescent="0.3">
      <c r="F107654" s="193"/>
    </row>
    <row r="107655" spans="6:6" x14ac:dyDescent="0.3">
      <c r="F107655" s="193"/>
    </row>
    <row r="107656" spans="6:6" x14ac:dyDescent="0.3">
      <c r="F107656" s="193"/>
    </row>
    <row r="107657" spans="6:6" x14ac:dyDescent="0.3">
      <c r="F107657" s="193"/>
    </row>
    <row r="107658" spans="6:6" x14ac:dyDescent="0.3">
      <c r="F107658" s="193"/>
    </row>
    <row r="107659" spans="6:6" x14ac:dyDescent="0.3">
      <c r="F107659" s="193"/>
    </row>
    <row r="107660" spans="6:6" x14ac:dyDescent="0.3">
      <c r="F107660" s="193"/>
    </row>
    <row r="107661" spans="6:6" x14ac:dyDescent="0.3">
      <c r="F107661" s="193"/>
    </row>
    <row r="107662" spans="6:6" x14ac:dyDescent="0.3">
      <c r="F107662" s="193"/>
    </row>
    <row r="107663" spans="6:6" x14ac:dyDescent="0.3">
      <c r="F107663" s="193"/>
    </row>
    <row r="107664" spans="6:6" x14ac:dyDescent="0.3">
      <c r="F107664" s="193"/>
    </row>
    <row r="107665" spans="6:6" x14ac:dyDescent="0.3">
      <c r="F107665" s="193"/>
    </row>
    <row r="107666" spans="6:6" x14ac:dyDescent="0.3">
      <c r="F107666" s="193"/>
    </row>
    <row r="107667" spans="6:6" x14ac:dyDescent="0.3">
      <c r="F107667" s="193"/>
    </row>
    <row r="107668" spans="6:6" x14ac:dyDescent="0.3">
      <c r="F107668" s="193"/>
    </row>
    <row r="107669" spans="6:6" x14ac:dyDescent="0.3">
      <c r="F107669" s="193"/>
    </row>
    <row r="107670" spans="6:6" x14ac:dyDescent="0.3">
      <c r="F107670" s="193"/>
    </row>
    <row r="107671" spans="6:6" x14ac:dyDescent="0.3">
      <c r="F107671" s="193"/>
    </row>
    <row r="107672" spans="6:6" x14ac:dyDescent="0.3">
      <c r="F107672" s="193"/>
    </row>
    <row r="107673" spans="6:6" x14ac:dyDescent="0.3">
      <c r="F107673" s="193"/>
    </row>
    <row r="107674" spans="6:6" x14ac:dyDescent="0.3">
      <c r="F107674" s="193"/>
    </row>
    <row r="107675" spans="6:6" x14ac:dyDescent="0.3">
      <c r="F107675" s="193"/>
    </row>
    <row r="107676" spans="6:6" x14ac:dyDescent="0.3">
      <c r="F107676" s="193"/>
    </row>
    <row r="107677" spans="6:6" x14ac:dyDescent="0.3">
      <c r="F107677" s="193"/>
    </row>
    <row r="107678" spans="6:6" x14ac:dyDescent="0.3">
      <c r="F107678" s="193"/>
    </row>
    <row r="107679" spans="6:6" x14ac:dyDescent="0.3">
      <c r="F107679" s="193"/>
    </row>
    <row r="107680" spans="6:6" x14ac:dyDescent="0.3">
      <c r="F107680" s="193"/>
    </row>
    <row r="107681" spans="6:6" x14ac:dyDescent="0.3">
      <c r="F107681" s="193"/>
    </row>
    <row r="107682" spans="6:6" x14ac:dyDescent="0.3">
      <c r="F107682" s="193"/>
    </row>
    <row r="107683" spans="6:6" x14ac:dyDescent="0.3">
      <c r="F107683" s="193"/>
    </row>
    <row r="107684" spans="6:6" x14ac:dyDescent="0.3">
      <c r="F107684" s="193"/>
    </row>
    <row r="107685" spans="6:6" x14ac:dyDescent="0.3">
      <c r="F107685" s="193"/>
    </row>
    <row r="107686" spans="6:6" x14ac:dyDescent="0.3">
      <c r="F107686" s="193"/>
    </row>
    <row r="107687" spans="6:6" x14ac:dyDescent="0.3">
      <c r="F107687" s="193"/>
    </row>
    <row r="107688" spans="6:6" x14ac:dyDescent="0.3">
      <c r="F107688" s="193"/>
    </row>
    <row r="107689" spans="6:6" x14ac:dyDescent="0.3">
      <c r="F107689" s="193"/>
    </row>
    <row r="107690" spans="6:6" x14ac:dyDescent="0.3">
      <c r="F107690" s="193"/>
    </row>
    <row r="107691" spans="6:6" x14ac:dyDescent="0.3">
      <c r="F107691" s="193"/>
    </row>
    <row r="107692" spans="6:6" x14ac:dyDescent="0.3">
      <c r="F107692" s="193"/>
    </row>
    <row r="107693" spans="6:6" x14ac:dyDescent="0.3">
      <c r="F107693" s="193"/>
    </row>
    <row r="107694" spans="6:6" x14ac:dyDescent="0.3">
      <c r="F107694" s="193"/>
    </row>
    <row r="107695" spans="6:6" x14ac:dyDescent="0.3">
      <c r="F107695" s="193"/>
    </row>
    <row r="107696" spans="6:6" x14ac:dyDescent="0.3">
      <c r="F107696" s="193"/>
    </row>
    <row r="107697" spans="6:6" x14ac:dyDescent="0.3">
      <c r="F107697" s="193"/>
    </row>
    <row r="107698" spans="6:6" x14ac:dyDescent="0.3">
      <c r="F107698" s="193"/>
    </row>
    <row r="107699" spans="6:6" x14ac:dyDescent="0.3">
      <c r="F107699" s="193"/>
    </row>
    <row r="107700" spans="6:6" x14ac:dyDescent="0.3">
      <c r="F107700" s="193"/>
    </row>
    <row r="107701" spans="6:6" x14ac:dyDescent="0.3">
      <c r="F107701" s="193"/>
    </row>
    <row r="107702" spans="6:6" x14ac:dyDescent="0.3">
      <c r="F107702" s="193"/>
    </row>
    <row r="107703" spans="6:6" x14ac:dyDescent="0.3">
      <c r="F107703" s="193"/>
    </row>
    <row r="107704" spans="6:6" x14ac:dyDescent="0.3">
      <c r="F107704" s="193"/>
    </row>
    <row r="107705" spans="6:6" x14ac:dyDescent="0.3">
      <c r="F107705" s="193"/>
    </row>
    <row r="107706" spans="6:6" x14ac:dyDescent="0.3">
      <c r="F107706" s="193"/>
    </row>
    <row r="107707" spans="6:6" x14ac:dyDescent="0.3">
      <c r="F107707" s="193"/>
    </row>
    <row r="107708" spans="6:6" x14ac:dyDescent="0.3">
      <c r="F107708" s="193"/>
    </row>
    <row r="107709" spans="6:6" x14ac:dyDescent="0.3">
      <c r="F107709" s="193"/>
    </row>
    <row r="107710" spans="6:6" x14ac:dyDescent="0.3">
      <c r="F107710" s="193"/>
    </row>
    <row r="107711" spans="6:6" x14ac:dyDescent="0.3">
      <c r="F107711" s="193"/>
    </row>
    <row r="107712" spans="6:6" x14ac:dyDescent="0.3">
      <c r="F107712" s="193"/>
    </row>
    <row r="107713" spans="6:6" x14ac:dyDescent="0.3">
      <c r="F107713" s="193"/>
    </row>
    <row r="107714" spans="6:6" x14ac:dyDescent="0.3">
      <c r="F107714" s="193"/>
    </row>
    <row r="107715" spans="6:6" x14ac:dyDescent="0.3">
      <c r="F107715" s="193"/>
    </row>
    <row r="107716" spans="6:6" x14ac:dyDescent="0.3">
      <c r="F107716" s="193"/>
    </row>
    <row r="107717" spans="6:6" x14ac:dyDescent="0.3">
      <c r="F107717" s="193"/>
    </row>
    <row r="107718" spans="6:6" x14ac:dyDescent="0.3">
      <c r="F107718" s="193"/>
    </row>
    <row r="107719" spans="6:6" x14ac:dyDescent="0.3">
      <c r="F107719" s="193"/>
    </row>
    <row r="107720" spans="6:6" x14ac:dyDescent="0.3">
      <c r="F107720" s="193"/>
    </row>
    <row r="107721" spans="6:6" x14ac:dyDescent="0.3">
      <c r="F107721" s="193"/>
    </row>
    <row r="107722" spans="6:6" x14ac:dyDescent="0.3">
      <c r="F107722" s="193"/>
    </row>
    <row r="107723" spans="6:6" x14ac:dyDescent="0.3">
      <c r="F107723" s="193"/>
    </row>
    <row r="107724" spans="6:6" x14ac:dyDescent="0.3">
      <c r="F107724" s="193"/>
    </row>
    <row r="107725" spans="6:6" x14ac:dyDescent="0.3">
      <c r="F107725" s="193"/>
    </row>
    <row r="107726" spans="6:6" x14ac:dyDescent="0.3">
      <c r="F107726" s="193"/>
    </row>
    <row r="107727" spans="6:6" x14ac:dyDescent="0.3">
      <c r="F107727" s="193"/>
    </row>
    <row r="107728" spans="6:6" x14ac:dyDescent="0.3">
      <c r="F107728" s="193"/>
    </row>
    <row r="107729" spans="6:6" x14ac:dyDescent="0.3">
      <c r="F107729" s="193"/>
    </row>
    <row r="107730" spans="6:6" x14ac:dyDescent="0.3">
      <c r="F107730" s="193"/>
    </row>
    <row r="107731" spans="6:6" x14ac:dyDescent="0.3">
      <c r="F107731" s="193"/>
    </row>
    <row r="107732" spans="6:6" x14ac:dyDescent="0.3">
      <c r="F107732" s="193"/>
    </row>
    <row r="107733" spans="6:6" x14ac:dyDescent="0.3">
      <c r="F107733" s="193"/>
    </row>
    <row r="107734" spans="6:6" x14ac:dyDescent="0.3">
      <c r="F107734" s="193"/>
    </row>
    <row r="107735" spans="6:6" x14ac:dyDescent="0.3">
      <c r="F107735" s="193"/>
    </row>
    <row r="107736" spans="6:6" x14ac:dyDescent="0.3">
      <c r="F107736" s="193"/>
    </row>
    <row r="107737" spans="6:6" x14ac:dyDescent="0.3">
      <c r="F107737" s="193"/>
    </row>
    <row r="107738" spans="6:6" x14ac:dyDescent="0.3">
      <c r="F107738" s="193"/>
    </row>
    <row r="107739" spans="6:6" x14ac:dyDescent="0.3">
      <c r="F107739" s="193"/>
    </row>
    <row r="107740" spans="6:6" x14ac:dyDescent="0.3">
      <c r="F107740" s="193"/>
    </row>
    <row r="107741" spans="6:6" x14ac:dyDescent="0.3">
      <c r="F107741" s="193"/>
    </row>
    <row r="107742" spans="6:6" x14ac:dyDescent="0.3">
      <c r="F107742" s="193"/>
    </row>
    <row r="107743" spans="6:6" x14ac:dyDescent="0.3">
      <c r="F107743" s="193"/>
    </row>
    <row r="107744" spans="6:6" x14ac:dyDescent="0.3">
      <c r="F107744" s="193"/>
    </row>
    <row r="107745" spans="6:6" x14ac:dyDescent="0.3">
      <c r="F107745" s="193"/>
    </row>
    <row r="107746" spans="6:6" x14ac:dyDescent="0.3">
      <c r="F107746" s="193"/>
    </row>
    <row r="107747" spans="6:6" x14ac:dyDescent="0.3">
      <c r="F107747" s="193"/>
    </row>
    <row r="107748" spans="6:6" x14ac:dyDescent="0.3">
      <c r="F107748" s="193"/>
    </row>
    <row r="107749" spans="6:6" x14ac:dyDescent="0.3">
      <c r="F107749" s="193"/>
    </row>
    <row r="107750" spans="6:6" x14ac:dyDescent="0.3">
      <c r="F107750" s="193"/>
    </row>
    <row r="107751" spans="6:6" x14ac:dyDescent="0.3">
      <c r="F107751" s="193"/>
    </row>
    <row r="107752" spans="6:6" x14ac:dyDescent="0.3">
      <c r="F107752" s="193"/>
    </row>
    <row r="107753" spans="6:6" x14ac:dyDescent="0.3">
      <c r="F107753" s="193"/>
    </row>
    <row r="107754" spans="6:6" x14ac:dyDescent="0.3">
      <c r="F107754" s="193"/>
    </row>
    <row r="107755" spans="6:6" x14ac:dyDescent="0.3">
      <c r="F107755" s="193"/>
    </row>
    <row r="107756" spans="6:6" x14ac:dyDescent="0.3">
      <c r="F107756" s="193"/>
    </row>
    <row r="107757" spans="6:6" x14ac:dyDescent="0.3">
      <c r="F107757" s="193"/>
    </row>
    <row r="107758" spans="6:6" x14ac:dyDescent="0.3">
      <c r="F107758" s="193"/>
    </row>
    <row r="107759" spans="6:6" x14ac:dyDescent="0.3">
      <c r="F107759" s="193"/>
    </row>
    <row r="107760" spans="6:6" x14ac:dyDescent="0.3">
      <c r="F107760" s="193"/>
    </row>
    <row r="107761" spans="6:6" x14ac:dyDescent="0.3">
      <c r="F107761" s="193"/>
    </row>
    <row r="107762" spans="6:6" x14ac:dyDescent="0.3">
      <c r="F107762" s="193"/>
    </row>
    <row r="107763" spans="6:6" x14ac:dyDescent="0.3">
      <c r="F107763" s="193"/>
    </row>
    <row r="107764" spans="6:6" x14ac:dyDescent="0.3">
      <c r="F107764" s="193"/>
    </row>
    <row r="107765" spans="6:6" x14ac:dyDescent="0.3">
      <c r="F107765" s="193"/>
    </row>
    <row r="107766" spans="6:6" x14ac:dyDescent="0.3">
      <c r="F107766" s="193"/>
    </row>
    <row r="107767" spans="6:6" x14ac:dyDescent="0.3">
      <c r="F107767" s="193"/>
    </row>
    <row r="107768" spans="6:6" x14ac:dyDescent="0.3">
      <c r="F107768" s="193"/>
    </row>
    <row r="107769" spans="6:6" x14ac:dyDescent="0.3">
      <c r="F107769" s="193"/>
    </row>
    <row r="107770" spans="6:6" x14ac:dyDescent="0.3">
      <c r="F107770" s="193"/>
    </row>
    <row r="107771" spans="6:6" x14ac:dyDescent="0.3">
      <c r="F107771" s="193"/>
    </row>
    <row r="107772" spans="6:6" x14ac:dyDescent="0.3">
      <c r="F107772" s="193"/>
    </row>
    <row r="107773" spans="6:6" x14ac:dyDescent="0.3">
      <c r="F107773" s="193"/>
    </row>
    <row r="107774" spans="6:6" x14ac:dyDescent="0.3">
      <c r="F107774" s="193"/>
    </row>
    <row r="107775" spans="6:6" x14ac:dyDescent="0.3">
      <c r="F107775" s="193"/>
    </row>
    <row r="107776" spans="6:6" x14ac:dyDescent="0.3">
      <c r="F107776" s="193"/>
    </row>
    <row r="107777" spans="6:6" x14ac:dyDescent="0.3">
      <c r="F107777" s="193"/>
    </row>
    <row r="107778" spans="6:6" x14ac:dyDescent="0.3">
      <c r="F107778" s="193"/>
    </row>
    <row r="107779" spans="6:6" x14ac:dyDescent="0.3">
      <c r="F107779" s="193"/>
    </row>
    <row r="107780" spans="6:6" x14ac:dyDescent="0.3">
      <c r="F107780" s="193"/>
    </row>
    <row r="107781" spans="6:6" x14ac:dyDescent="0.3">
      <c r="F107781" s="193"/>
    </row>
    <row r="107782" spans="6:6" x14ac:dyDescent="0.3">
      <c r="F107782" s="193"/>
    </row>
    <row r="107783" spans="6:6" x14ac:dyDescent="0.3">
      <c r="F107783" s="193"/>
    </row>
    <row r="107784" spans="6:6" x14ac:dyDescent="0.3">
      <c r="F107784" s="193"/>
    </row>
    <row r="107785" spans="6:6" x14ac:dyDescent="0.3">
      <c r="F107785" s="193"/>
    </row>
    <row r="107786" spans="6:6" x14ac:dyDescent="0.3">
      <c r="F107786" s="193"/>
    </row>
    <row r="107787" spans="6:6" x14ac:dyDescent="0.3">
      <c r="F107787" s="193"/>
    </row>
    <row r="107788" spans="6:6" x14ac:dyDescent="0.3">
      <c r="F107788" s="193"/>
    </row>
    <row r="107789" spans="6:6" x14ac:dyDescent="0.3">
      <c r="F107789" s="193"/>
    </row>
    <row r="107790" spans="6:6" x14ac:dyDescent="0.3">
      <c r="F107790" s="193"/>
    </row>
    <row r="107791" spans="6:6" x14ac:dyDescent="0.3">
      <c r="F107791" s="193"/>
    </row>
    <row r="107792" spans="6:6" x14ac:dyDescent="0.3">
      <c r="F107792" s="193"/>
    </row>
    <row r="107793" spans="6:6" x14ac:dyDescent="0.3">
      <c r="F107793" s="193"/>
    </row>
    <row r="107794" spans="6:6" x14ac:dyDescent="0.3">
      <c r="F107794" s="193"/>
    </row>
    <row r="107795" spans="6:6" x14ac:dyDescent="0.3">
      <c r="F107795" s="193"/>
    </row>
    <row r="107796" spans="6:6" x14ac:dyDescent="0.3">
      <c r="F107796" s="193"/>
    </row>
    <row r="107797" spans="6:6" x14ac:dyDescent="0.3">
      <c r="F107797" s="193"/>
    </row>
    <row r="107798" spans="6:6" x14ac:dyDescent="0.3">
      <c r="F107798" s="193"/>
    </row>
    <row r="107799" spans="6:6" x14ac:dyDescent="0.3">
      <c r="F107799" s="193"/>
    </row>
    <row r="107800" spans="6:6" x14ac:dyDescent="0.3">
      <c r="F107800" s="193"/>
    </row>
    <row r="107801" spans="6:6" x14ac:dyDescent="0.3">
      <c r="F107801" s="193"/>
    </row>
    <row r="107802" spans="6:6" x14ac:dyDescent="0.3">
      <c r="F107802" s="193"/>
    </row>
    <row r="107803" spans="6:6" x14ac:dyDescent="0.3">
      <c r="F107803" s="193"/>
    </row>
    <row r="107804" spans="6:6" x14ac:dyDescent="0.3">
      <c r="F107804" s="193"/>
    </row>
    <row r="107805" spans="6:6" x14ac:dyDescent="0.3">
      <c r="F107805" s="193"/>
    </row>
    <row r="107806" spans="6:6" x14ac:dyDescent="0.3">
      <c r="F107806" s="193"/>
    </row>
    <row r="107807" spans="6:6" x14ac:dyDescent="0.3">
      <c r="F107807" s="193"/>
    </row>
    <row r="107808" spans="6:6" x14ac:dyDescent="0.3">
      <c r="F107808" s="193"/>
    </row>
    <row r="107809" spans="6:6" x14ac:dyDescent="0.3">
      <c r="F107809" s="193"/>
    </row>
    <row r="107810" spans="6:6" x14ac:dyDescent="0.3">
      <c r="F107810" s="193"/>
    </row>
    <row r="107811" spans="6:6" x14ac:dyDescent="0.3">
      <c r="F107811" s="193"/>
    </row>
    <row r="107812" spans="6:6" x14ac:dyDescent="0.3">
      <c r="F107812" s="193"/>
    </row>
    <row r="107813" spans="6:6" x14ac:dyDescent="0.3">
      <c r="F107813" s="193"/>
    </row>
    <row r="107814" spans="6:6" x14ac:dyDescent="0.3">
      <c r="F107814" s="193"/>
    </row>
    <row r="107815" spans="6:6" x14ac:dyDescent="0.3">
      <c r="F107815" s="193"/>
    </row>
    <row r="107816" spans="6:6" x14ac:dyDescent="0.3">
      <c r="F107816" s="193"/>
    </row>
    <row r="107817" spans="6:6" x14ac:dyDescent="0.3">
      <c r="F107817" s="193"/>
    </row>
    <row r="107818" spans="6:6" x14ac:dyDescent="0.3">
      <c r="F107818" s="193"/>
    </row>
    <row r="107819" spans="6:6" x14ac:dyDescent="0.3">
      <c r="F107819" s="193"/>
    </row>
    <row r="107820" spans="6:6" x14ac:dyDescent="0.3">
      <c r="F107820" s="193"/>
    </row>
    <row r="107821" spans="6:6" x14ac:dyDescent="0.3">
      <c r="F107821" s="193"/>
    </row>
    <row r="107822" spans="6:6" x14ac:dyDescent="0.3">
      <c r="F107822" s="193"/>
    </row>
    <row r="107823" spans="6:6" x14ac:dyDescent="0.3">
      <c r="F107823" s="193"/>
    </row>
    <row r="107824" spans="6:6" x14ac:dyDescent="0.3">
      <c r="F107824" s="193"/>
    </row>
    <row r="107825" spans="6:6" x14ac:dyDescent="0.3">
      <c r="F107825" s="193"/>
    </row>
    <row r="107826" spans="6:6" x14ac:dyDescent="0.3">
      <c r="F107826" s="193"/>
    </row>
    <row r="107827" spans="6:6" x14ac:dyDescent="0.3">
      <c r="F107827" s="193"/>
    </row>
    <row r="107828" spans="6:6" x14ac:dyDescent="0.3">
      <c r="F107828" s="193"/>
    </row>
    <row r="107829" spans="6:6" x14ac:dyDescent="0.3">
      <c r="F107829" s="193"/>
    </row>
    <row r="107830" spans="6:6" x14ac:dyDescent="0.3">
      <c r="F107830" s="193"/>
    </row>
    <row r="107831" spans="6:6" x14ac:dyDescent="0.3">
      <c r="F107831" s="193"/>
    </row>
    <row r="107832" spans="6:6" x14ac:dyDescent="0.3">
      <c r="F107832" s="193"/>
    </row>
    <row r="107833" spans="6:6" x14ac:dyDescent="0.3">
      <c r="F107833" s="193"/>
    </row>
    <row r="107834" spans="6:6" x14ac:dyDescent="0.3">
      <c r="F107834" s="193"/>
    </row>
    <row r="107835" spans="6:6" x14ac:dyDescent="0.3">
      <c r="F107835" s="193"/>
    </row>
    <row r="107836" spans="6:6" x14ac:dyDescent="0.3">
      <c r="F107836" s="193"/>
    </row>
    <row r="107837" spans="6:6" x14ac:dyDescent="0.3">
      <c r="F107837" s="193"/>
    </row>
    <row r="107838" spans="6:6" x14ac:dyDescent="0.3">
      <c r="F107838" s="193"/>
    </row>
    <row r="107839" spans="6:6" x14ac:dyDescent="0.3">
      <c r="F107839" s="193"/>
    </row>
    <row r="107840" spans="6:6" x14ac:dyDescent="0.3">
      <c r="F107840" s="193"/>
    </row>
    <row r="107841" spans="6:6" x14ac:dyDescent="0.3">
      <c r="F107841" s="193"/>
    </row>
    <row r="107842" spans="6:6" x14ac:dyDescent="0.3">
      <c r="F107842" s="193"/>
    </row>
    <row r="107843" spans="6:6" x14ac:dyDescent="0.3">
      <c r="F107843" s="193"/>
    </row>
    <row r="107844" spans="6:6" x14ac:dyDescent="0.3">
      <c r="F107844" s="193"/>
    </row>
    <row r="107845" spans="6:6" x14ac:dyDescent="0.3">
      <c r="F107845" s="193"/>
    </row>
    <row r="107846" spans="6:6" x14ac:dyDescent="0.3">
      <c r="F107846" s="193"/>
    </row>
    <row r="107847" spans="6:6" x14ac:dyDescent="0.3">
      <c r="F107847" s="193"/>
    </row>
    <row r="107848" spans="6:6" x14ac:dyDescent="0.3">
      <c r="F107848" s="193"/>
    </row>
    <row r="107849" spans="6:6" x14ac:dyDescent="0.3">
      <c r="F107849" s="193"/>
    </row>
    <row r="107850" spans="6:6" x14ac:dyDescent="0.3">
      <c r="F107850" s="193"/>
    </row>
    <row r="107851" spans="6:6" x14ac:dyDescent="0.3">
      <c r="F107851" s="193"/>
    </row>
    <row r="107852" spans="6:6" x14ac:dyDescent="0.3">
      <c r="F107852" s="193"/>
    </row>
    <row r="107853" spans="6:6" x14ac:dyDescent="0.3">
      <c r="F107853" s="193"/>
    </row>
    <row r="107854" spans="6:6" x14ac:dyDescent="0.3">
      <c r="F107854" s="193"/>
    </row>
    <row r="107855" spans="6:6" x14ac:dyDescent="0.3">
      <c r="F107855" s="193"/>
    </row>
    <row r="107856" spans="6:6" x14ac:dyDescent="0.3">
      <c r="F107856" s="193"/>
    </row>
    <row r="107857" spans="6:6" x14ac:dyDescent="0.3">
      <c r="F107857" s="193"/>
    </row>
    <row r="107858" spans="6:6" x14ac:dyDescent="0.3">
      <c r="F107858" s="193"/>
    </row>
    <row r="107859" spans="6:6" x14ac:dyDescent="0.3">
      <c r="F107859" s="193"/>
    </row>
    <row r="107860" spans="6:6" x14ac:dyDescent="0.3">
      <c r="F107860" s="193"/>
    </row>
    <row r="107861" spans="6:6" x14ac:dyDescent="0.3">
      <c r="F107861" s="193"/>
    </row>
    <row r="107862" spans="6:6" x14ac:dyDescent="0.3">
      <c r="F107862" s="193"/>
    </row>
    <row r="107863" spans="6:6" x14ac:dyDescent="0.3">
      <c r="F107863" s="193"/>
    </row>
    <row r="107864" spans="6:6" x14ac:dyDescent="0.3">
      <c r="F107864" s="193"/>
    </row>
    <row r="107865" spans="6:6" x14ac:dyDescent="0.3">
      <c r="F107865" s="193"/>
    </row>
    <row r="107866" spans="6:6" x14ac:dyDescent="0.3">
      <c r="F107866" s="193"/>
    </row>
    <row r="107867" spans="6:6" x14ac:dyDescent="0.3">
      <c r="F107867" s="193"/>
    </row>
    <row r="107868" spans="6:6" x14ac:dyDescent="0.3">
      <c r="F107868" s="193"/>
    </row>
    <row r="107869" spans="6:6" x14ac:dyDescent="0.3">
      <c r="F107869" s="193"/>
    </row>
    <row r="107870" spans="6:6" x14ac:dyDescent="0.3">
      <c r="F107870" s="193"/>
    </row>
    <row r="107871" spans="6:6" x14ac:dyDescent="0.3">
      <c r="F107871" s="193"/>
    </row>
    <row r="107872" spans="6:6" x14ac:dyDescent="0.3">
      <c r="F107872" s="193"/>
    </row>
    <row r="107873" spans="6:6" x14ac:dyDescent="0.3">
      <c r="F107873" s="193"/>
    </row>
    <row r="107874" spans="6:6" x14ac:dyDescent="0.3">
      <c r="F107874" s="193"/>
    </row>
    <row r="107875" spans="6:6" x14ac:dyDescent="0.3">
      <c r="F107875" s="193"/>
    </row>
    <row r="107876" spans="6:6" x14ac:dyDescent="0.3">
      <c r="F107876" s="193"/>
    </row>
    <row r="107877" spans="6:6" x14ac:dyDescent="0.3">
      <c r="F107877" s="193"/>
    </row>
    <row r="107878" spans="6:6" x14ac:dyDescent="0.3">
      <c r="F107878" s="193"/>
    </row>
    <row r="107879" spans="6:6" x14ac:dyDescent="0.3">
      <c r="F107879" s="193"/>
    </row>
    <row r="107880" spans="6:6" x14ac:dyDescent="0.3">
      <c r="F107880" s="193"/>
    </row>
    <row r="107881" spans="6:6" x14ac:dyDescent="0.3">
      <c r="F107881" s="193"/>
    </row>
    <row r="107882" spans="6:6" x14ac:dyDescent="0.3">
      <c r="F107882" s="193"/>
    </row>
    <row r="107883" spans="6:6" x14ac:dyDescent="0.3">
      <c r="F107883" s="193"/>
    </row>
    <row r="107884" spans="6:6" x14ac:dyDescent="0.3">
      <c r="F107884" s="193"/>
    </row>
    <row r="107885" spans="6:6" x14ac:dyDescent="0.3">
      <c r="F107885" s="193"/>
    </row>
    <row r="107886" spans="6:6" x14ac:dyDescent="0.3">
      <c r="F107886" s="193"/>
    </row>
    <row r="107887" spans="6:6" x14ac:dyDescent="0.3">
      <c r="F107887" s="193"/>
    </row>
    <row r="107888" spans="6:6" x14ac:dyDescent="0.3">
      <c r="F107888" s="193"/>
    </row>
    <row r="107889" spans="6:6" x14ac:dyDescent="0.3">
      <c r="F107889" s="193"/>
    </row>
    <row r="107890" spans="6:6" x14ac:dyDescent="0.3">
      <c r="F107890" s="193"/>
    </row>
    <row r="107891" spans="6:6" x14ac:dyDescent="0.3">
      <c r="F107891" s="193"/>
    </row>
    <row r="107892" spans="6:6" x14ac:dyDescent="0.3">
      <c r="F107892" s="193"/>
    </row>
    <row r="107893" spans="6:6" x14ac:dyDescent="0.3">
      <c r="F107893" s="193"/>
    </row>
    <row r="107894" spans="6:6" x14ac:dyDescent="0.3">
      <c r="F107894" s="193"/>
    </row>
    <row r="107895" spans="6:6" x14ac:dyDescent="0.3">
      <c r="F107895" s="193"/>
    </row>
    <row r="107896" spans="6:6" x14ac:dyDescent="0.3">
      <c r="F107896" s="193"/>
    </row>
    <row r="107897" spans="6:6" x14ac:dyDescent="0.3">
      <c r="F107897" s="193"/>
    </row>
    <row r="107898" spans="6:6" x14ac:dyDescent="0.3">
      <c r="F107898" s="193"/>
    </row>
    <row r="107899" spans="6:6" x14ac:dyDescent="0.3">
      <c r="F107899" s="193"/>
    </row>
    <row r="107900" spans="6:6" x14ac:dyDescent="0.3">
      <c r="F107900" s="193"/>
    </row>
    <row r="107901" spans="6:6" x14ac:dyDescent="0.3">
      <c r="F107901" s="193"/>
    </row>
    <row r="107902" spans="6:6" x14ac:dyDescent="0.3">
      <c r="F107902" s="193"/>
    </row>
    <row r="107903" spans="6:6" x14ac:dyDescent="0.3">
      <c r="F107903" s="193"/>
    </row>
    <row r="107904" spans="6:6" x14ac:dyDescent="0.3">
      <c r="F107904" s="193"/>
    </row>
    <row r="107905" spans="6:6" x14ac:dyDescent="0.3">
      <c r="F107905" s="193"/>
    </row>
    <row r="107906" spans="6:6" x14ac:dyDescent="0.3">
      <c r="F107906" s="193"/>
    </row>
    <row r="107907" spans="6:6" x14ac:dyDescent="0.3">
      <c r="F107907" s="193"/>
    </row>
    <row r="107908" spans="6:6" x14ac:dyDescent="0.3">
      <c r="F107908" s="193"/>
    </row>
    <row r="107909" spans="6:6" x14ac:dyDescent="0.3">
      <c r="F107909" s="193"/>
    </row>
    <row r="107910" spans="6:6" x14ac:dyDescent="0.3">
      <c r="F107910" s="193"/>
    </row>
    <row r="107911" spans="6:6" x14ac:dyDescent="0.3">
      <c r="F107911" s="193"/>
    </row>
    <row r="107912" spans="6:6" x14ac:dyDescent="0.3">
      <c r="F107912" s="193"/>
    </row>
    <row r="107913" spans="6:6" x14ac:dyDescent="0.3">
      <c r="F107913" s="193"/>
    </row>
    <row r="107914" spans="6:6" x14ac:dyDescent="0.3">
      <c r="F107914" s="193"/>
    </row>
    <row r="107915" spans="6:6" x14ac:dyDescent="0.3">
      <c r="F107915" s="193"/>
    </row>
    <row r="107916" spans="6:6" x14ac:dyDescent="0.3">
      <c r="F107916" s="193"/>
    </row>
    <row r="107917" spans="6:6" x14ac:dyDescent="0.3">
      <c r="F107917" s="193"/>
    </row>
    <row r="107918" spans="6:6" x14ac:dyDescent="0.3">
      <c r="F107918" s="193"/>
    </row>
    <row r="107919" spans="6:6" x14ac:dyDescent="0.3">
      <c r="F107919" s="193"/>
    </row>
    <row r="107920" spans="6:6" x14ac:dyDescent="0.3">
      <c r="F107920" s="193"/>
    </row>
    <row r="107921" spans="6:6" x14ac:dyDescent="0.3">
      <c r="F107921" s="193"/>
    </row>
    <row r="107922" spans="6:6" x14ac:dyDescent="0.3">
      <c r="F107922" s="193"/>
    </row>
    <row r="107923" spans="6:6" x14ac:dyDescent="0.3">
      <c r="F107923" s="193"/>
    </row>
    <row r="107924" spans="6:6" x14ac:dyDescent="0.3">
      <c r="F107924" s="193"/>
    </row>
    <row r="107925" spans="6:6" x14ac:dyDescent="0.3">
      <c r="F107925" s="193"/>
    </row>
    <row r="107926" spans="6:6" x14ac:dyDescent="0.3">
      <c r="F107926" s="193"/>
    </row>
    <row r="107927" spans="6:6" x14ac:dyDescent="0.3">
      <c r="F107927" s="193"/>
    </row>
    <row r="107928" spans="6:6" x14ac:dyDescent="0.3">
      <c r="F107928" s="193"/>
    </row>
    <row r="107929" spans="6:6" x14ac:dyDescent="0.3">
      <c r="F107929" s="193"/>
    </row>
    <row r="107930" spans="6:6" x14ac:dyDescent="0.3">
      <c r="F107930" s="193"/>
    </row>
    <row r="107931" spans="6:6" x14ac:dyDescent="0.3">
      <c r="F107931" s="193"/>
    </row>
    <row r="107932" spans="6:6" x14ac:dyDescent="0.3">
      <c r="F107932" s="193"/>
    </row>
    <row r="107933" spans="6:6" x14ac:dyDescent="0.3">
      <c r="F107933" s="193"/>
    </row>
    <row r="107934" spans="6:6" x14ac:dyDescent="0.3">
      <c r="F107934" s="193"/>
    </row>
    <row r="107935" spans="6:6" x14ac:dyDescent="0.3">
      <c r="F107935" s="193"/>
    </row>
    <row r="107936" spans="6:6" x14ac:dyDescent="0.3">
      <c r="F107936" s="193"/>
    </row>
    <row r="107937" spans="6:6" x14ac:dyDescent="0.3">
      <c r="F107937" s="193"/>
    </row>
    <row r="107938" spans="6:6" x14ac:dyDescent="0.3">
      <c r="F107938" s="193"/>
    </row>
    <row r="107939" spans="6:6" x14ac:dyDescent="0.3">
      <c r="F107939" s="193"/>
    </row>
    <row r="107940" spans="6:6" x14ac:dyDescent="0.3">
      <c r="F107940" s="193"/>
    </row>
    <row r="107941" spans="6:6" x14ac:dyDescent="0.3">
      <c r="F107941" s="193"/>
    </row>
    <row r="107942" spans="6:6" x14ac:dyDescent="0.3">
      <c r="F107942" s="193"/>
    </row>
    <row r="107943" spans="6:6" x14ac:dyDescent="0.3">
      <c r="F107943" s="193"/>
    </row>
    <row r="107944" spans="6:6" x14ac:dyDescent="0.3">
      <c r="F107944" s="193"/>
    </row>
    <row r="107945" spans="6:6" x14ac:dyDescent="0.3">
      <c r="F107945" s="193"/>
    </row>
    <row r="107946" spans="6:6" x14ac:dyDescent="0.3">
      <c r="F107946" s="193"/>
    </row>
    <row r="107947" spans="6:6" x14ac:dyDescent="0.3">
      <c r="F107947" s="193"/>
    </row>
    <row r="107948" spans="6:6" x14ac:dyDescent="0.3">
      <c r="F107948" s="193"/>
    </row>
    <row r="107949" spans="6:6" x14ac:dyDescent="0.3">
      <c r="F107949" s="193"/>
    </row>
    <row r="107950" spans="6:6" x14ac:dyDescent="0.3">
      <c r="F107950" s="193"/>
    </row>
    <row r="107951" spans="6:6" x14ac:dyDescent="0.3">
      <c r="F107951" s="193"/>
    </row>
    <row r="107952" spans="6:6" x14ac:dyDescent="0.3">
      <c r="F107952" s="193"/>
    </row>
    <row r="107953" spans="6:6" x14ac:dyDescent="0.3">
      <c r="F107953" s="193"/>
    </row>
    <row r="107954" spans="6:6" x14ac:dyDescent="0.3">
      <c r="F107954" s="193"/>
    </row>
    <row r="107955" spans="6:6" x14ac:dyDescent="0.3">
      <c r="F107955" s="193"/>
    </row>
    <row r="107956" spans="6:6" x14ac:dyDescent="0.3">
      <c r="F107956" s="193"/>
    </row>
    <row r="107957" spans="6:6" x14ac:dyDescent="0.3">
      <c r="F107957" s="193"/>
    </row>
    <row r="107958" spans="6:6" x14ac:dyDescent="0.3">
      <c r="F107958" s="193"/>
    </row>
    <row r="107959" spans="6:6" x14ac:dyDescent="0.3">
      <c r="F107959" s="193"/>
    </row>
    <row r="107960" spans="6:6" x14ac:dyDescent="0.3">
      <c r="F107960" s="193"/>
    </row>
    <row r="107961" spans="6:6" x14ac:dyDescent="0.3">
      <c r="F107961" s="193"/>
    </row>
    <row r="107962" spans="6:6" x14ac:dyDescent="0.3">
      <c r="F107962" s="193"/>
    </row>
    <row r="107963" spans="6:6" x14ac:dyDescent="0.3">
      <c r="F107963" s="193"/>
    </row>
    <row r="107964" spans="6:6" x14ac:dyDescent="0.3">
      <c r="F107964" s="193"/>
    </row>
    <row r="107965" spans="6:6" x14ac:dyDescent="0.3">
      <c r="F107965" s="193"/>
    </row>
    <row r="107966" spans="6:6" x14ac:dyDescent="0.3">
      <c r="F107966" s="193"/>
    </row>
    <row r="107967" spans="6:6" x14ac:dyDescent="0.3">
      <c r="F107967" s="193"/>
    </row>
    <row r="107968" spans="6:6" x14ac:dyDescent="0.3">
      <c r="F107968" s="193"/>
    </row>
    <row r="107969" spans="6:6" x14ac:dyDescent="0.3">
      <c r="F107969" s="193"/>
    </row>
    <row r="107970" spans="6:6" x14ac:dyDescent="0.3">
      <c r="F107970" s="193"/>
    </row>
    <row r="107971" spans="6:6" x14ac:dyDescent="0.3">
      <c r="F107971" s="193"/>
    </row>
    <row r="107972" spans="6:6" x14ac:dyDescent="0.3">
      <c r="F107972" s="193"/>
    </row>
    <row r="107973" spans="6:6" x14ac:dyDescent="0.3">
      <c r="F107973" s="193"/>
    </row>
    <row r="107974" spans="6:6" x14ac:dyDescent="0.3">
      <c r="F107974" s="193"/>
    </row>
    <row r="107975" spans="6:6" x14ac:dyDescent="0.3">
      <c r="F107975" s="193"/>
    </row>
    <row r="107976" spans="6:6" x14ac:dyDescent="0.3">
      <c r="F107976" s="193"/>
    </row>
    <row r="107977" spans="6:6" x14ac:dyDescent="0.3">
      <c r="F107977" s="193"/>
    </row>
    <row r="107978" spans="6:6" x14ac:dyDescent="0.3">
      <c r="F107978" s="193"/>
    </row>
    <row r="107979" spans="6:6" x14ac:dyDescent="0.3">
      <c r="F107979" s="193"/>
    </row>
    <row r="107980" spans="6:6" x14ac:dyDescent="0.3">
      <c r="F107980" s="193"/>
    </row>
    <row r="107981" spans="6:6" x14ac:dyDescent="0.3">
      <c r="F107981" s="193"/>
    </row>
    <row r="107982" spans="6:6" x14ac:dyDescent="0.3">
      <c r="F107982" s="193"/>
    </row>
    <row r="107983" spans="6:6" x14ac:dyDescent="0.3">
      <c r="F107983" s="193"/>
    </row>
    <row r="107984" spans="6:6" x14ac:dyDescent="0.3">
      <c r="F107984" s="193"/>
    </row>
    <row r="107985" spans="6:6" x14ac:dyDescent="0.3">
      <c r="F107985" s="193"/>
    </row>
    <row r="107986" spans="6:6" x14ac:dyDescent="0.3">
      <c r="F107986" s="193"/>
    </row>
    <row r="107987" spans="6:6" x14ac:dyDescent="0.3">
      <c r="F107987" s="193"/>
    </row>
    <row r="107988" spans="6:6" x14ac:dyDescent="0.3">
      <c r="F107988" s="193"/>
    </row>
    <row r="107989" spans="6:6" x14ac:dyDescent="0.3">
      <c r="F107989" s="193"/>
    </row>
    <row r="107990" spans="6:6" x14ac:dyDescent="0.3">
      <c r="F107990" s="193"/>
    </row>
    <row r="107991" spans="6:6" x14ac:dyDescent="0.3">
      <c r="F107991" s="193"/>
    </row>
    <row r="107992" spans="6:6" x14ac:dyDescent="0.3">
      <c r="F107992" s="193"/>
    </row>
    <row r="107993" spans="6:6" x14ac:dyDescent="0.3">
      <c r="F107993" s="193"/>
    </row>
    <row r="107994" spans="6:6" x14ac:dyDescent="0.3">
      <c r="F107994" s="193"/>
    </row>
    <row r="107995" spans="6:6" x14ac:dyDescent="0.3">
      <c r="F107995" s="193"/>
    </row>
    <row r="107996" spans="6:6" x14ac:dyDescent="0.3">
      <c r="F107996" s="193"/>
    </row>
    <row r="107997" spans="6:6" x14ac:dyDescent="0.3">
      <c r="F107997" s="193"/>
    </row>
    <row r="107998" spans="6:6" x14ac:dyDescent="0.3">
      <c r="F107998" s="193"/>
    </row>
    <row r="107999" spans="6:6" x14ac:dyDescent="0.3">
      <c r="F107999" s="193"/>
    </row>
    <row r="108000" spans="6:6" x14ac:dyDescent="0.3">
      <c r="F108000" s="193"/>
    </row>
    <row r="108001" spans="6:6" x14ac:dyDescent="0.3">
      <c r="F108001" s="193"/>
    </row>
    <row r="108002" spans="6:6" x14ac:dyDescent="0.3">
      <c r="F108002" s="193"/>
    </row>
    <row r="108003" spans="6:6" x14ac:dyDescent="0.3">
      <c r="F108003" s="193"/>
    </row>
    <row r="108004" spans="6:6" x14ac:dyDescent="0.3">
      <c r="F108004" s="193"/>
    </row>
    <row r="108005" spans="6:6" x14ac:dyDescent="0.3">
      <c r="F108005" s="193"/>
    </row>
    <row r="108006" spans="6:6" x14ac:dyDescent="0.3">
      <c r="F108006" s="193"/>
    </row>
    <row r="108007" spans="6:6" x14ac:dyDescent="0.3">
      <c r="F108007" s="193"/>
    </row>
    <row r="108008" spans="6:6" x14ac:dyDescent="0.3">
      <c r="F108008" s="193"/>
    </row>
    <row r="108009" spans="6:6" x14ac:dyDescent="0.3">
      <c r="F108009" s="193"/>
    </row>
    <row r="108010" spans="6:6" x14ac:dyDescent="0.3">
      <c r="F108010" s="193"/>
    </row>
    <row r="108011" spans="6:6" x14ac:dyDescent="0.3">
      <c r="F108011" s="193"/>
    </row>
    <row r="108012" spans="6:6" x14ac:dyDescent="0.3">
      <c r="F108012" s="193"/>
    </row>
    <row r="108013" spans="6:6" x14ac:dyDescent="0.3">
      <c r="F108013" s="193"/>
    </row>
    <row r="108014" spans="6:6" x14ac:dyDescent="0.3">
      <c r="F108014" s="193"/>
    </row>
    <row r="108015" spans="6:6" x14ac:dyDescent="0.3">
      <c r="F108015" s="193"/>
    </row>
    <row r="108016" spans="6:6" x14ac:dyDescent="0.3">
      <c r="F108016" s="193"/>
    </row>
    <row r="108017" spans="6:6" x14ac:dyDescent="0.3">
      <c r="F108017" s="193"/>
    </row>
    <row r="108018" spans="6:6" x14ac:dyDescent="0.3">
      <c r="F108018" s="193"/>
    </row>
    <row r="108019" spans="6:6" x14ac:dyDescent="0.3">
      <c r="F108019" s="193"/>
    </row>
    <row r="108020" spans="6:6" x14ac:dyDescent="0.3">
      <c r="F108020" s="193"/>
    </row>
    <row r="108021" spans="6:6" x14ac:dyDescent="0.3">
      <c r="F108021" s="193"/>
    </row>
    <row r="108022" spans="6:6" x14ac:dyDescent="0.3">
      <c r="F108022" s="193"/>
    </row>
    <row r="108023" spans="6:6" x14ac:dyDescent="0.3">
      <c r="F108023" s="193"/>
    </row>
    <row r="108024" spans="6:6" x14ac:dyDescent="0.3">
      <c r="F108024" s="193"/>
    </row>
    <row r="108025" spans="6:6" x14ac:dyDescent="0.3">
      <c r="F108025" s="193"/>
    </row>
    <row r="108026" spans="6:6" x14ac:dyDescent="0.3">
      <c r="F108026" s="193"/>
    </row>
    <row r="108027" spans="6:6" x14ac:dyDescent="0.3">
      <c r="F108027" s="193"/>
    </row>
    <row r="108028" spans="6:6" x14ac:dyDescent="0.3">
      <c r="F108028" s="193"/>
    </row>
    <row r="108029" spans="6:6" x14ac:dyDescent="0.3">
      <c r="F108029" s="193"/>
    </row>
    <row r="108030" spans="6:6" x14ac:dyDescent="0.3">
      <c r="F108030" s="193"/>
    </row>
    <row r="108031" spans="6:6" x14ac:dyDescent="0.3">
      <c r="F108031" s="193"/>
    </row>
    <row r="108032" spans="6:6" x14ac:dyDescent="0.3">
      <c r="F108032" s="193"/>
    </row>
    <row r="108033" spans="6:6" x14ac:dyDescent="0.3">
      <c r="F108033" s="193"/>
    </row>
    <row r="108034" spans="6:6" x14ac:dyDescent="0.3">
      <c r="F108034" s="193"/>
    </row>
    <row r="108035" spans="6:6" x14ac:dyDescent="0.3">
      <c r="F108035" s="193"/>
    </row>
    <row r="108036" spans="6:6" x14ac:dyDescent="0.3">
      <c r="F108036" s="193"/>
    </row>
    <row r="108037" spans="6:6" x14ac:dyDescent="0.3">
      <c r="F108037" s="193"/>
    </row>
    <row r="108038" spans="6:6" x14ac:dyDescent="0.3">
      <c r="F108038" s="193"/>
    </row>
    <row r="108039" spans="6:6" x14ac:dyDescent="0.3">
      <c r="F108039" s="193"/>
    </row>
    <row r="108040" spans="6:6" x14ac:dyDescent="0.3">
      <c r="F108040" s="193"/>
    </row>
    <row r="108041" spans="6:6" x14ac:dyDescent="0.3">
      <c r="F108041" s="193"/>
    </row>
    <row r="108042" spans="6:6" x14ac:dyDescent="0.3">
      <c r="F108042" s="193"/>
    </row>
    <row r="108043" spans="6:6" x14ac:dyDescent="0.3">
      <c r="F108043" s="193"/>
    </row>
    <row r="108044" spans="6:6" x14ac:dyDescent="0.3">
      <c r="F108044" s="193"/>
    </row>
    <row r="108045" spans="6:6" x14ac:dyDescent="0.3">
      <c r="F108045" s="193"/>
    </row>
    <row r="108046" spans="6:6" x14ac:dyDescent="0.3">
      <c r="F108046" s="193"/>
    </row>
    <row r="108047" spans="6:6" x14ac:dyDescent="0.3">
      <c r="F108047" s="193"/>
    </row>
    <row r="108048" spans="6:6" x14ac:dyDescent="0.3">
      <c r="F108048" s="193"/>
    </row>
    <row r="108049" spans="6:6" x14ac:dyDescent="0.3">
      <c r="F108049" s="193"/>
    </row>
    <row r="108050" spans="6:6" x14ac:dyDescent="0.3">
      <c r="F108050" s="193"/>
    </row>
    <row r="108051" spans="6:6" x14ac:dyDescent="0.3">
      <c r="F108051" s="193"/>
    </row>
    <row r="108052" spans="6:6" x14ac:dyDescent="0.3">
      <c r="F108052" s="193"/>
    </row>
    <row r="108053" spans="6:6" x14ac:dyDescent="0.3">
      <c r="F108053" s="193"/>
    </row>
    <row r="108054" spans="6:6" x14ac:dyDescent="0.3">
      <c r="F108054" s="193"/>
    </row>
    <row r="108055" spans="6:6" x14ac:dyDescent="0.3">
      <c r="F108055" s="193"/>
    </row>
    <row r="108056" spans="6:6" x14ac:dyDescent="0.3">
      <c r="F108056" s="193"/>
    </row>
    <row r="108057" spans="6:6" x14ac:dyDescent="0.3">
      <c r="F108057" s="193"/>
    </row>
    <row r="108058" spans="6:6" x14ac:dyDescent="0.3">
      <c r="F108058" s="193"/>
    </row>
    <row r="108059" spans="6:6" x14ac:dyDescent="0.3">
      <c r="F108059" s="193"/>
    </row>
    <row r="108060" spans="6:6" x14ac:dyDescent="0.3">
      <c r="F108060" s="193"/>
    </row>
    <row r="108061" spans="6:6" x14ac:dyDescent="0.3">
      <c r="F108061" s="193"/>
    </row>
    <row r="108062" spans="6:6" x14ac:dyDescent="0.3">
      <c r="F108062" s="193"/>
    </row>
    <row r="108063" spans="6:6" x14ac:dyDescent="0.3">
      <c r="F108063" s="193"/>
    </row>
    <row r="108064" spans="6:6" x14ac:dyDescent="0.3">
      <c r="F108064" s="193"/>
    </row>
    <row r="108065" spans="6:6" x14ac:dyDescent="0.3">
      <c r="F108065" s="193"/>
    </row>
    <row r="108066" spans="6:6" x14ac:dyDescent="0.3">
      <c r="F108066" s="193"/>
    </row>
    <row r="108067" spans="6:6" x14ac:dyDescent="0.3">
      <c r="F108067" s="193"/>
    </row>
    <row r="108068" spans="6:6" x14ac:dyDescent="0.3">
      <c r="F108068" s="193"/>
    </row>
    <row r="108069" spans="6:6" x14ac:dyDescent="0.3">
      <c r="F108069" s="193"/>
    </row>
    <row r="108070" spans="6:6" x14ac:dyDescent="0.3">
      <c r="F108070" s="193"/>
    </row>
    <row r="108071" spans="6:6" x14ac:dyDescent="0.3">
      <c r="F108071" s="193"/>
    </row>
    <row r="108072" spans="6:6" x14ac:dyDescent="0.3">
      <c r="F108072" s="193"/>
    </row>
    <row r="108073" spans="6:6" x14ac:dyDescent="0.3">
      <c r="F108073" s="193"/>
    </row>
    <row r="108074" spans="6:6" x14ac:dyDescent="0.3">
      <c r="F108074" s="193"/>
    </row>
    <row r="108075" spans="6:6" x14ac:dyDescent="0.3">
      <c r="F108075" s="193"/>
    </row>
    <row r="108076" spans="6:6" x14ac:dyDescent="0.3">
      <c r="F108076" s="193"/>
    </row>
    <row r="108077" spans="6:6" x14ac:dyDescent="0.3">
      <c r="F108077" s="193"/>
    </row>
    <row r="108078" spans="6:6" x14ac:dyDescent="0.3">
      <c r="F108078" s="193"/>
    </row>
    <row r="108079" spans="6:6" x14ac:dyDescent="0.3">
      <c r="F108079" s="193"/>
    </row>
    <row r="108080" spans="6:6" x14ac:dyDescent="0.3">
      <c r="F108080" s="193"/>
    </row>
    <row r="108081" spans="6:6" x14ac:dyDescent="0.3">
      <c r="F108081" s="193"/>
    </row>
    <row r="108082" spans="6:6" x14ac:dyDescent="0.3">
      <c r="F108082" s="193"/>
    </row>
    <row r="108083" spans="6:6" x14ac:dyDescent="0.3">
      <c r="F108083" s="193"/>
    </row>
    <row r="108084" spans="6:6" x14ac:dyDescent="0.3">
      <c r="F108084" s="193"/>
    </row>
    <row r="108085" spans="6:6" x14ac:dyDescent="0.3">
      <c r="F108085" s="193"/>
    </row>
    <row r="108086" spans="6:6" x14ac:dyDescent="0.3">
      <c r="F108086" s="193"/>
    </row>
    <row r="108087" spans="6:6" x14ac:dyDescent="0.3">
      <c r="F108087" s="193"/>
    </row>
    <row r="108088" spans="6:6" x14ac:dyDescent="0.3">
      <c r="F108088" s="193"/>
    </row>
    <row r="108089" spans="6:6" x14ac:dyDescent="0.3">
      <c r="F108089" s="193"/>
    </row>
    <row r="108090" spans="6:6" x14ac:dyDescent="0.3">
      <c r="F108090" s="193"/>
    </row>
    <row r="108091" spans="6:6" x14ac:dyDescent="0.3">
      <c r="F108091" s="193"/>
    </row>
    <row r="108092" spans="6:6" x14ac:dyDescent="0.3">
      <c r="F108092" s="193"/>
    </row>
    <row r="108093" spans="6:6" x14ac:dyDescent="0.3">
      <c r="F108093" s="193"/>
    </row>
    <row r="108094" spans="6:6" x14ac:dyDescent="0.3">
      <c r="F108094" s="193"/>
    </row>
    <row r="108095" spans="6:6" x14ac:dyDescent="0.3">
      <c r="F108095" s="193"/>
    </row>
    <row r="108096" spans="6:6" x14ac:dyDescent="0.3">
      <c r="F108096" s="193"/>
    </row>
    <row r="108097" spans="6:6" x14ac:dyDescent="0.3">
      <c r="F108097" s="193"/>
    </row>
    <row r="108098" spans="6:6" x14ac:dyDescent="0.3">
      <c r="F108098" s="193"/>
    </row>
    <row r="108099" spans="6:6" x14ac:dyDescent="0.3">
      <c r="F108099" s="193"/>
    </row>
    <row r="108100" spans="6:6" x14ac:dyDescent="0.3">
      <c r="F108100" s="193"/>
    </row>
    <row r="108101" spans="6:6" x14ac:dyDescent="0.3">
      <c r="F108101" s="193"/>
    </row>
    <row r="108102" spans="6:6" x14ac:dyDescent="0.3">
      <c r="F108102" s="193"/>
    </row>
    <row r="108103" spans="6:6" x14ac:dyDescent="0.3">
      <c r="F108103" s="193"/>
    </row>
    <row r="108104" spans="6:6" x14ac:dyDescent="0.3">
      <c r="F108104" s="193"/>
    </row>
    <row r="108105" spans="6:6" x14ac:dyDescent="0.3">
      <c r="F108105" s="193"/>
    </row>
    <row r="108106" spans="6:6" x14ac:dyDescent="0.3">
      <c r="F108106" s="193"/>
    </row>
    <row r="108107" spans="6:6" x14ac:dyDescent="0.3">
      <c r="F108107" s="193"/>
    </row>
    <row r="108108" spans="6:6" x14ac:dyDescent="0.3">
      <c r="F108108" s="193"/>
    </row>
    <row r="108109" spans="6:6" x14ac:dyDescent="0.3">
      <c r="F108109" s="193"/>
    </row>
    <row r="108110" spans="6:6" x14ac:dyDescent="0.3">
      <c r="F108110" s="193"/>
    </row>
    <row r="108111" spans="6:6" x14ac:dyDescent="0.3">
      <c r="F108111" s="193"/>
    </row>
    <row r="108112" spans="6:6" x14ac:dyDescent="0.3">
      <c r="F108112" s="193"/>
    </row>
    <row r="108113" spans="6:6" x14ac:dyDescent="0.3">
      <c r="F108113" s="193"/>
    </row>
    <row r="108114" spans="6:6" x14ac:dyDescent="0.3">
      <c r="F108114" s="193"/>
    </row>
    <row r="108115" spans="6:6" x14ac:dyDescent="0.3">
      <c r="F108115" s="193"/>
    </row>
    <row r="108116" spans="6:6" x14ac:dyDescent="0.3">
      <c r="F108116" s="193"/>
    </row>
    <row r="108117" spans="6:6" x14ac:dyDescent="0.3">
      <c r="F108117" s="193"/>
    </row>
    <row r="108118" spans="6:6" x14ac:dyDescent="0.3">
      <c r="F108118" s="193"/>
    </row>
    <row r="108119" spans="6:6" x14ac:dyDescent="0.3">
      <c r="F108119" s="193"/>
    </row>
    <row r="108120" spans="6:6" x14ac:dyDescent="0.3">
      <c r="F108120" s="193"/>
    </row>
    <row r="108121" spans="6:6" x14ac:dyDescent="0.3">
      <c r="F108121" s="193"/>
    </row>
    <row r="108122" spans="6:6" x14ac:dyDescent="0.3">
      <c r="F108122" s="193"/>
    </row>
    <row r="108123" spans="6:6" x14ac:dyDescent="0.3">
      <c r="F108123" s="193"/>
    </row>
    <row r="108124" spans="6:6" x14ac:dyDescent="0.3">
      <c r="F108124" s="193"/>
    </row>
    <row r="108125" spans="6:6" x14ac:dyDescent="0.3">
      <c r="F108125" s="193"/>
    </row>
    <row r="108126" spans="6:6" x14ac:dyDescent="0.3">
      <c r="F108126" s="193"/>
    </row>
    <row r="108127" spans="6:6" x14ac:dyDescent="0.3">
      <c r="F108127" s="193"/>
    </row>
    <row r="108128" spans="6:6" x14ac:dyDescent="0.3">
      <c r="F108128" s="193"/>
    </row>
    <row r="108129" spans="6:6" x14ac:dyDescent="0.3">
      <c r="F108129" s="193"/>
    </row>
    <row r="108130" spans="6:6" x14ac:dyDescent="0.3">
      <c r="F108130" s="193"/>
    </row>
    <row r="108131" spans="6:6" x14ac:dyDescent="0.3">
      <c r="F108131" s="193"/>
    </row>
    <row r="108132" spans="6:6" x14ac:dyDescent="0.3">
      <c r="F108132" s="193"/>
    </row>
    <row r="108133" spans="6:6" x14ac:dyDescent="0.3">
      <c r="F108133" s="193"/>
    </row>
    <row r="108134" spans="6:6" x14ac:dyDescent="0.3">
      <c r="F108134" s="193"/>
    </row>
    <row r="108135" spans="6:6" x14ac:dyDescent="0.3">
      <c r="F108135" s="193"/>
    </row>
    <row r="108136" spans="6:6" x14ac:dyDescent="0.3">
      <c r="F108136" s="193"/>
    </row>
    <row r="108137" spans="6:6" x14ac:dyDescent="0.3">
      <c r="F108137" s="193"/>
    </row>
    <row r="108138" spans="6:6" x14ac:dyDescent="0.3">
      <c r="F108138" s="193"/>
    </row>
    <row r="108139" spans="6:6" x14ac:dyDescent="0.3">
      <c r="F108139" s="193"/>
    </row>
    <row r="108140" spans="6:6" x14ac:dyDescent="0.3">
      <c r="F108140" s="193"/>
    </row>
    <row r="108141" spans="6:6" x14ac:dyDescent="0.3">
      <c r="F108141" s="193"/>
    </row>
    <row r="108142" spans="6:6" x14ac:dyDescent="0.3">
      <c r="F108142" s="193"/>
    </row>
    <row r="108143" spans="6:6" x14ac:dyDescent="0.3">
      <c r="F108143" s="193"/>
    </row>
    <row r="108144" spans="6:6" x14ac:dyDescent="0.3">
      <c r="F108144" s="193"/>
    </row>
    <row r="108145" spans="6:6" x14ac:dyDescent="0.3">
      <c r="F108145" s="193"/>
    </row>
    <row r="108146" spans="6:6" x14ac:dyDescent="0.3">
      <c r="F108146" s="193"/>
    </row>
    <row r="108147" spans="6:6" x14ac:dyDescent="0.3">
      <c r="F108147" s="193"/>
    </row>
    <row r="108148" spans="6:6" x14ac:dyDescent="0.3">
      <c r="F108148" s="193"/>
    </row>
    <row r="108149" spans="6:6" x14ac:dyDescent="0.3">
      <c r="F108149" s="193"/>
    </row>
    <row r="108150" spans="6:6" x14ac:dyDescent="0.3">
      <c r="F108150" s="193"/>
    </row>
    <row r="108151" spans="6:6" x14ac:dyDescent="0.3">
      <c r="F108151" s="193"/>
    </row>
    <row r="108152" spans="6:6" x14ac:dyDescent="0.3">
      <c r="F108152" s="193"/>
    </row>
    <row r="108153" spans="6:6" x14ac:dyDescent="0.3">
      <c r="F108153" s="193"/>
    </row>
    <row r="108154" spans="6:6" x14ac:dyDescent="0.3">
      <c r="F108154" s="193"/>
    </row>
    <row r="108155" spans="6:6" x14ac:dyDescent="0.3">
      <c r="F108155" s="193"/>
    </row>
    <row r="108156" spans="6:6" x14ac:dyDescent="0.3">
      <c r="F108156" s="193"/>
    </row>
    <row r="108157" spans="6:6" x14ac:dyDescent="0.3">
      <c r="F108157" s="193"/>
    </row>
    <row r="108158" spans="6:6" x14ac:dyDescent="0.3">
      <c r="F108158" s="193"/>
    </row>
    <row r="108159" spans="6:6" x14ac:dyDescent="0.3">
      <c r="F108159" s="193"/>
    </row>
    <row r="108160" spans="6:6" x14ac:dyDescent="0.3">
      <c r="F108160" s="193"/>
    </row>
    <row r="108161" spans="6:6" x14ac:dyDescent="0.3">
      <c r="F108161" s="193"/>
    </row>
    <row r="108162" spans="6:6" x14ac:dyDescent="0.3">
      <c r="F108162" s="193"/>
    </row>
    <row r="108163" spans="6:6" x14ac:dyDescent="0.3">
      <c r="F108163" s="193"/>
    </row>
    <row r="108164" spans="6:6" x14ac:dyDescent="0.3">
      <c r="F108164" s="193"/>
    </row>
    <row r="108165" spans="6:6" x14ac:dyDescent="0.3">
      <c r="F108165" s="193"/>
    </row>
    <row r="108166" spans="6:6" x14ac:dyDescent="0.3">
      <c r="F108166" s="193"/>
    </row>
    <row r="108167" spans="6:6" x14ac:dyDescent="0.3">
      <c r="F108167" s="193"/>
    </row>
    <row r="108168" spans="6:6" x14ac:dyDescent="0.3">
      <c r="F108168" s="193"/>
    </row>
    <row r="108169" spans="6:6" x14ac:dyDescent="0.3">
      <c r="F108169" s="193"/>
    </row>
    <row r="108170" spans="6:6" x14ac:dyDescent="0.3">
      <c r="F108170" s="193"/>
    </row>
    <row r="108171" spans="6:6" x14ac:dyDescent="0.3">
      <c r="F108171" s="193"/>
    </row>
    <row r="108172" spans="6:6" x14ac:dyDescent="0.3">
      <c r="F108172" s="193"/>
    </row>
    <row r="108173" spans="6:6" x14ac:dyDescent="0.3">
      <c r="F108173" s="193"/>
    </row>
    <row r="108174" spans="6:6" x14ac:dyDescent="0.3">
      <c r="F108174" s="193"/>
    </row>
    <row r="108175" spans="6:6" x14ac:dyDescent="0.3">
      <c r="F108175" s="193"/>
    </row>
    <row r="108176" spans="6:6" x14ac:dyDescent="0.3">
      <c r="F108176" s="193"/>
    </row>
    <row r="108177" spans="6:6" x14ac:dyDescent="0.3">
      <c r="F108177" s="193"/>
    </row>
    <row r="108178" spans="6:6" x14ac:dyDescent="0.3">
      <c r="F108178" s="193"/>
    </row>
    <row r="108179" spans="6:6" x14ac:dyDescent="0.3">
      <c r="F108179" s="193"/>
    </row>
    <row r="108180" spans="6:6" x14ac:dyDescent="0.3">
      <c r="F108180" s="193"/>
    </row>
    <row r="108181" spans="6:6" x14ac:dyDescent="0.3">
      <c r="F108181" s="193"/>
    </row>
    <row r="108182" spans="6:6" x14ac:dyDescent="0.3">
      <c r="F108182" s="193"/>
    </row>
    <row r="108183" spans="6:6" x14ac:dyDescent="0.3">
      <c r="F108183" s="193"/>
    </row>
    <row r="108184" spans="6:6" x14ac:dyDescent="0.3">
      <c r="F108184" s="193"/>
    </row>
    <row r="108185" spans="6:6" x14ac:dyDescent="0.3">
      <c r="F108185" s="193"/>
    </row>
    <row r="108186" spans="6:6" x14ac:dyDescent="0.3">
      <c r="F108186" s="193"/>
    </row>
    <row r="108187" spans="6:6" x14ac:dyDescent="0.3">
      <c r="F108187" s="193"/>
    </row>
    <row r="108188" spans="6:6" x14ac:dyDescent="0.3">
      <c r="F108188" s="193"/>
    </row>
    <row r="108189" spans="6:6" x14ac:dyDescent="0.3">
      <c r="F108189" s="193"/>
    </row>
    <row r="108190" spans="6:6" x14ac:dyDescent="0.3">
      <c r="F108190" s="193"/>
    </row>
    <row r="108191" spans="6:6" x14ac:dyDescent="0.3">
      <c r="F108191" s="193"/>
    </row>
    <row r="108192" spans="6:6" x14ac:dyDescent="0.3">
      <c r="F108192" s="193"/>
    </row>
    <row r="108193" spans="6:6" x14ac:dyDescent="0.3">
      <c r="F108193" s="193"/>
    </row>
    <row r="108194" spans="6:6" x14ac:dyDescent="0.3">
      <c r="F108194" s="193"/>
    </row>
    <row r="108195" spans="6:6" x14ac:dyDescent="0.3">
      <c r="F108195" s="193"/>
    </row>
    <row r="108196" spans="6:6" x14ac:dyDescent="0.3">
      <c r="F108196" s="193"/>
    </row>
    <row r="108197" spans="6:6" x14ac:dyDescent="0.3">
      <c r="F108197" s="193"/>
    </row>
    <row r="108198" spans="6:6" x14ac:dyDescent="0.3">
      <c r="F108198" s="193"/>
    </row>
    <row r="108199" spans="6:6" x14ac:dyDescent="0.3">
      <c r="F108199" s="193"/>
    </row>
    <row r="108200" spans="6:6" x14ac:dyDescent="0.3">
      <c r="F108200" s="193"/>
    </row>
    <row r="108201" spans="6:6" x14ac:dyDescent="0.3">
      <c r="F108201" s="193"/>
    </row>
    <row r="108202" spans="6:6" x14ac:dyDescent="0.3">
      <c r="F108202" s="193"/>
    </row>
    <row r="108203" spans="6:6" x14ac:dyDescent="0.3">
      <c r="F108203" s="193"/>
    </row>
    <row r="108204" spans="6:6" x14ac:dyDescent="0.3">
      <c r="F108204" s="193"/>
    </row>
    <row r="108205" spans="6:6" x14ac:dyDescent="0.3">
      <c r="F108205" s="193"/>
    </row>
    <row r="108206" spans="6:6" x14ac:dyDescent="0.3">
      <c r="F108206" s="193"/>
    </row>
    <row r="108207" spans="6:6" x14ac:dyDescent="0.3">
      <c r="F108207" s="193"/>
    </row>
    <row r="108208" spans="6:6" x14ac:dyDescent="0.3">
      <c r="F108208" s="193"/>
    </row>
    <row r="108209" spans="6:6" x14ac:dyDescent="0.3">
      <c r="F108209" s="193"/>
    </row>
    <row r="108210" spans="6:6" x14ac:dyDescent="0.3">
      <c r="F108210" s="193"/>
    </row>
    <row r="108211" spans="6:6" x14ac:dyDescent="0.3">
      <c r="F108211" s="193"/>
    </row>
    <row r="108212" spans="6:6" x14ac:dyDescent="0.3">
      <c r="F108212" s="193"/>
    </row>
    <row r="108213" spans="6:6" x14ac:dyDescent="0.3">
      <c r="F108213" s="193"/>
    </row>
    <row r="108214" spans="6:6" x14ac:dyDescent="0.3">
      <c r="F108214" s="193"/>
    </row>
    <row r="108215" spans="6:6" x14ac:dyDescent="0.3">
      <c r="F108215" s="193"/>
    </row>
    <row r="108216" spans="6:6" x14ac:dyDescent="0.3">
      <c r="F108216" s="193"/>
    </row>
    <row r="108217" spans="6:6" x14ac:dyDescent="0.3">
      <c r="F108217" s="193"/>
    </row>
    <row r="108218" spans="6:6" x14ac:dyDescent="0.3">
      <c r="F108218" s="193"/>
    </row>
    <row r="108219" spans="6:6" x14ac:dyDescent="0.3">
      <c r="F108219" s="193"/>
    </row>
    <row r="108220" spans="6:6" x14ac:dyDescent="0.3">
      <c r="F108220" s="193"/>
    </row>
    <row r="108221" spans="6:6" x14ac:dyDescent="0.3">
      <c r="F108221" s="193"/>
    </row>
    <row r="108222" spans="6:6" x14ac:dyDescent="0.3">
      <c r="F108222" s="193"/>
    </row>
    <row r="108223" spans="6:6" x14ac:dyDescent="0.3">
      <c r="F108223" s="193"/>
    </row>
    <row r="108224" spans="6:6" x14ac:dyDescent="0.3">
      <c r="F108224" s="193"/>
    </row>
    <row r="108225" spans="6:6" x14ac:dyDescent="0.3">
      <c r="F108225" s="193"/>
    </row>
    <row r="108226" spans="6:6" x14ac:dyDescent="0.3">
      <c r="F108226" s="193"/>
    </row>
    <row r="108227" spans="6:6" x14ac:dyDescent="0.3">
      <c r="F108227" s="193"/>
    </row>
    <row r="108228" spans="6:6" x14ac:dyDescent="0.3">
      <c r="F108228" s="193"/>
    </row>
    <row r="108229" spans="6:6" x14ac:dyDescent="0.3">
      <c r="F108229" s="193"/>
    </row>
    <row r="108230" spans="6:6" x14ac:dyDescent="0.3">
      <c r="F108230" s="193"/>
    </row>
    <row r="108231" spans="6:6" x14ac:dyDescent="0.3">
      <c r="F108231" s="193"/>
    </row>
    <row r="108232" spans="6:6" x14ac:dyDescent="0.3">
      <c r="F108232" s="193"/>
    </row>
    <row r="108233" spans="6:6" x14ac:dyDescent="0.3">
      <c r="F108233" s="193"/>
    </row>
    <row r="108234" spans="6:6" x14ac:dyDescent="0.3">
      <c r="F108234" s="193"/>
    </row>
    <row r="108235" spans="6:6" x14ac:dyDescent="0.3">
      <c r="F108235" s="193"/>
    </row>
    <row r="108236" spans="6:6" x14ac:dyDescent="0.3">
      <c r="F108236" s="193"/>
    </row>
    <row r="108237" spans="6:6" x14ac:dyDescent="0.3">
      <c r="F108237" s="193"/>
    </row>
    <row r="108238" spans="6:6" x14ac:dyDescent="0.3">
      <c r="F108238" s="193"/>
    </row>
    <row r="108239" spans="6:6" x14ac:dyDescent="0.3">
      <c r="F108239" s="193"/>
    </row>
    <row r="108240" spans="6:6" x14ac:dyDescent="0.3">
      <c r="F108240" s="193"/>
    </row>
    <row r="108241" spans="6:6" x14ac:dyDescent="0.3">
      <c r="F108241" s="193"/>
    </row>
    <row r="108242" spans="6:6" x14ac:dyDescent="0.3">
      <c r="F108242" s="193"/>
    </row>
    <row r="108243" spans="6:6" x14ac:dyDescent="0.3">
      <c r="F108243" s="193"/>
    </row>
    <row r="108244" spans="6:6" x14ac:dyDescent="0.3">
      <c r="F108244" s="193"/>
    </row>
    <row r="108245" spans="6:6" x14ac:dyDescent="0.3">
      <c r="F108245" s="193"/>
    </row>
    <row r="108246" spans="6:6" x14ac:dyDescent="0.3">
      <c r="F108246" s="193"/>
    </row>
    <row r="108247" spans="6:6" x14ac:dyDescent="0.3">
      <c r="F108247" s="193"/>
    </row>
    <row r="108248" spans="6:6" x14ac:dyDescent="0.3">
      <c r="F108248" s="193"/>
    </row>
    <row r="108249" spans="6:6" x14ac:dyDescent="0.3">
      <c r="F108249" s="193"/>
    </row>
    <row r="108250" spans="6:6" x14ac:dyDescent="0.3">
      <c r="F108250" s="193"/>
    </row>
    <row r="108251" spans="6:6" x14ac:dyDescent="0.3">
      <c r="F108251" s="193"/>
    </row>
    <row r="108252" spans="6:6" x14ac:dyDescent="0.3">
      <c r="F108252" s="193"/>
    </row>
    <row r="108253" spans="6:6" x14ac:dyDescent="0.3">
      <c r="F108253" s="193"/>
    </row>
    <row r="108254" spans="6:6" x14ac:dyDescent="0.3">
      <c r="F108254" s="193"/>
    </row>
    <row r="108255" spans="6:6" x14ac:dyDescent="0.3">
      <c r="F108255" s="193"/>
    </row>
    <row r="108256" spans="6:6" x14ac:dyDescent="0.3">
      <c r="F108256" s="193"/>
    </row>
    <row r="108257" spans="6:6" x14ac:dyDescent="0.3">
      <c r="F108257" s="193"/>
    </row>
    <row r="108258" spans="6:6" x14ac:dyDescent="0.3">
      <c r="F108258" s="193"/>
    </row>
    <row r="108259" spans="6:6" x14ac:dyDescent="0.3">
      <c r="F108259" s="193"/>
    </row>
    <row r="108260" spans="6:6" x14ac:dyDescent="0.3">
      <c r="F108260" s="193"/>
    </row>
    <row r="108261" spans="6:6" x14ac:dyDescent="0.3">
      <c r="F108261" s="193"/>
    </row>
    <row r="108262" spans="6:6" x14ac:dyDescent="0.3">
      <c r="F108262" s="193"/>
    </row>
    <row r="108263" spans="6:6" x14ac:dyDescent="0.3">
      <c r="F108263" s="193"/>
    </row>
    <row r="108264" spans="6:6" x14ac:dyDescent="0.3">
      <c r="F108264" s="193"/>
    </row>
    <row r="108265" spans="6:6" x14ac:dyDescent="0.3">
      <c r="F108265" s="193"/>
    </row>
    <row r="108266" spans="6:6" x14ac:dyDescent="0.3">
      <c r="F108266" s="193"/>
    </row>
    <row r="108267" spans="6:6" x14ac:dyDescent="0.3">
      <c r="F108267" s="193"/>
    </row>
    <row r="108268" spans="6:6" x14ac:dyDescent="0.3">
      <c r="F108268" s="193"/>
    </row>
    <row r="108269" spans="6:6" x14ac:dyDescent="0.3">
      <c r="F108269" s="193"/>
    </row>
    <row r="108270" spans="6:6" x14ac:dyDescent="0.3">
      <c r="F108270" s="193"/>
    </row>
    <row r="108271" spans="6:6" x14ac:dyDescent="0.3">
      <c r="F108271" s="193"/>
    </row>
    <row r="108272" spans="6:6" x14ac:dyDescent="0.3">
      <c r="F108272" s="193"/>
    </row>
    <row r="108273" spans="6:6" x14ac:dyDescent="0.3">
      <c r="F108273" s="193"/>
    </row>
    <row r="108274" spans="6:6" x14ac:dyDescent="0.3">
      <c r="F108274" s="193"/>
    </row>
    <row r="108275" spans="6:6" x14ac:dyDescent="0.3">
      <c r="F108275" s="193"/>
    </row>
    <row r="108276" spans="6:6" x14ac:dyDescent="0.3">
      <c r="F108276" s="193"/>
    </row>
    <row r="108277" spans="6:6" x14ac:dyDescent="0.3">
      <c r="F108277" s="193"/>
    </row>
    <row r="108278" spans="6:6" x14ac:dyDescent="0.3">
      <c r="F108278" s="193"/>
    </row>
    <row r="108279" spans="6:6" x14ac:dyDescent="0.3">
      <c r="F108279" s="193"/>
    </row>
    <row r="108280" spans="6:6" x14ac:dyDescent="0.3">
      <c r="F108280" s="193"/>
    </row>
    <row r="108281" spans="6:6" x14ac:dyDescent="0.3">
      <c r="F108281" s="193"/>
    </row>
    <row r="108282" spans="6:6" x14ac:dyDescent="0.3">
      <c r="F108282" s="193"/>
    </row>
    <row r="108283" spans="6:6" x14ac:dyDescent="0.3">
      <c r="F108283" s="193"/>
    </row>
    <row r="108284" spans="6:6" x14ac:dyDescent="0.3">
      <c r="F108284" s="193"/>
    </row>
    <row r="108285" spans="6:6" x14ac:dyDescent="0.3">
      <c r="F108285" s="193"/>
    </row>
    <row r="108286" spans="6:6" x14ac:dyDescent="0.3">
      <c r="F108286" s="193"/>
    </row>
    <row r="108287" spans="6:6" x14ac:dyDescent="0.3">
      <c r="F108287" s="193"/>
    </row>
    <row r="108288" spans="6:6" x14ac:dyDescent="0.3">
      <c r="F108288" s="193"/>
    </row>
    <row r="108289" spans="6:6" x14ac:dyDescent="0.3">
      <c r="F108289" s="193"/>
    </row>
    <row r="108290" spans="6:6" x14ac:dyDescent="0.3">
      <c r="F108290" s="193"/>
    </row>
    <row r="108291" spans="6:6" x14ac:dyDescent="0.3">
      <c r="F108291" s="193"/>
    </row>
    <row r="108292" spans="6:6" x14ac:dyDescent="0.3">
      <c r="F108292" s="193"/>
    </row>
    <row r="108293" spans="6:6" x14ac:dyDescent="0.3">
      <c r="F108293" s="193"/>
    </row>
    <row r="108294" spans="6:6" x14ac:dyDescent="0.3">
      <c r="F108294" s="193"/>
    </row>
    <row r="108295" spans="6:6" x14ac:dyDescent="0.3">
      <c r="F108295" s="193"/>
    </row>
    <row r="108296" spans="6:6" x14ac:dyDescent="0.3">
      <c r="F108296" s="193"/>
    </row>
    <row r="108297" spans="6:6" x14ac:dyDescent="0.3">
      <c r="F108297" s="193"/>
    </row>
    <row r="108298" spans="6:6" x14ac:dyDescent="0.3">
      <c r="F108298" s="193"/>
    </row>
    <row r="108299" spans="6:6" x14ac:dyDescent="0.3">
      <c r="F108299" s="193"/>
    </row>
    <row r="108300" spans="6:6" x14ac:dyDescent="0.3">
      <c r="F108300" s="193"/>
    </row>
    <row r="108301" spans="6:6" x14ac:dyDescent="0.3">
      <c r="F108301" s="193"/>
    </row>
    <row r="108302" spans="6:6" x14ac:dyDescent="0.3">
      <c r="F108302" s="193"/>
    </row>
    <row r="108303" spans="6:6" x14ac:dyDescent="0.3">
      <c r="F108303" s="193"/>
    </row>
    <row r="108304" spans="6:6" x14ac:dyDescent="0.3">
      <c r="F108304" s="193"/>
    </row>
    <row r="108305" spans="6:6" x14ac:dyDescent="0.3">
      <c r="F108305" s="193"/>
    </row>
    <row r="108306" spans="6:6" x14ac:dyDescent="0.3">
      <c r="F108306" s="193"/>
    </row>
    <row r="108307" spans="6:6" x14ac:dyDescent="0.3">
      <c r="F108307" s="193"/>
    </row>
    <row r="108308" spans="6:6" x14ac:dyDescent="0.3">
      <c r="F108308" s="193"/>
    </row>
    <row r="108309" spans="6:6" x14ac:dyDescent="0.3">
      <c r="F108309" s="193"/>
    </row>
    <row r="108310" spans="6:6" x14ac:dyDescent="0.3">
      <c r="F108310" s="193"/>
    </row>
    <row r="108311" spans="6:6" x14ac:dyDescent="0.3">
      <c r="F108311" s="193"/>
    </row>
    <row r="108312" spans="6:6" x14ac:dyDescent="0.3">
      <c r="F108312" s="193"/>
    </row>
    <row r="108313" spans="6:6" x14ac:dyDescent="0.3">
      <c r="F108313" s="193"/>
    </row>
    <row r="108314" spans="6:6" x14ac:dyDescent="0.3">
      <c r="F108314" s="193"/>
    </row>
    <row r="108315" spans="6:6" x14ac:dyDescent="0.3">
      <c r="F108315" s="193"/>
    </row>
    <row r="108316" spans="6:6" x14ac:dyDescent="0.3">
      <c r="F108316" s="193"/>
    </row>
    <row r="108317" spans="6:6" x14ac:dyDescent="0.3">
      <c r="F108317" s="193"/>
    </row>
    <row r="108318" spans="6:6" x14ac:dyDescent="0.3">
      <c r="F108318" s="193"/>
    </row>
    <row r="108319" spans="6:6" x14ac:dyDescent="0.3">
      <c r="F108319" s="193"/>
    </row>
    <row r="108320" spans="6:6" x14ac:dyDescent="0.3">
      <c r="F108320" s="193"/>
    </row>
    <row r="108321" spans="6:6" x14ac:dyDescent="0.3">
      <c r="F108321" s="193"/>
    </row>
    <row r="108322" spans="6:6" x14ac:dyDescent="0.3">
      <c r="F108322" s="193"/>
    </row>
    <row r="108323" spans="6:6" x14ac:dyDescent="0.3">
      <c r="F108323" s="193"/>
    </row>
    <row r="108324" spans="6:6" x14ac:dyDescent="0.3">
      <c r="F108324" s="193"/>
    </row>
    <row r="108325" spans="6:6" x14ac:dyDescent="0.3">
      <c r="F108325" s="193"/>
    </row>
    <row r="108326" spans="6:6" x14ac:dyDescent="0.3">
      <c r="F108326" s="193"/>
    </row>
    <row r="108327" spans="6:6" x14ac:dyDescent="0.3">
      <c r="F108327" s="193"/>
    </row>
    <row r="108328" spans="6:6" x14ac:dyDescent="0.3">
      <c r="F108328" s="193"/>
    </row>
    <row r="108329" spans="6:6" x14ac:dyDescent="0.3">
      <c r="F108329" s="193"/>
    </row>
    <row r="108330" spans="6:6" x14ac:dyDescent="0.3">
      <c r="F108330" s="193"/>
    </row>
    <row r="108331" spans="6:6" x14ac:dyDescent="0.3">
      <c r="F108331" s="193"/>
    </row>
    <row r="108332" spans="6:6" x14ac:dyDescent="0.3">
      <c r="F108332" s="193"/>
    </row>
    <row r="108333" spans="6:6" x14ac:dyDescent="0.3">
      <c r="F108333" s="193"/>
    </row>
    <row r="108334" spans="6:6" x14ac:dyDescent="0.3">
      <c r="F108334" s="193"/>
    </row>
    <row r="108335" spans="6:6" x14ac:dyDescent="0.3">
      <c r="F108335" s="193"/>
    </row>
    <row r="108336" spans="6:6" x14ac:dyDescent="0.3">
      <c r="F108336" s="193"/>
    </row>
    <row r="108337" spans="6:6" x14ac:dyDescent="0.3">
      <c r="F108337" s="193"/>
    </row>
    <row r="108338" spans="6:6" x14ac:dyDescent="0.3">
      <c r="F108338" s="193"/>
    </row>
    <row r="108339" spans="6:6" x14ac:dyDescent="0.3">
      <c r="F108339" s="193"/>
    </row>
    <row r="108340" spans="6:6" x14ac:dyDescent="0.3">
      <c r="F108340" s="193"/>
    </row>
    <row r="108341" spans="6:6" x14ac:dyDescent="0.3">
      <c r="F108341" s="193"/>
    </row>
    <row r="108342" spans="6:6" x14ac:dyDescent="0.3">
      <c r="F108342" s="193"/>
    </row>
    <row r="108343" spans="6:6" x14ac:dyDescent="0.3">
      <c r="F108343" s="193"/>
    </row>
    <row r="108344" spans="6:6" x14ac:dyDescent="0.3">
      <c r="F108344" s="193"/>
    </row>
    <row r="108345" spans="6:6" x14ac:dyDescent="0.3">
      <c r="F108345" s="193"/>
    </row>
    <row r="108346" spans="6:6" x14ac:dyDescent="0.3">
      <c r="F108346" s="193"/>
    </row>
    <row r="108347" spans="6:6" x14ac:dyDescent="0.3">
      <c r="F108347" s="193"/>
    </row>
    <row r="108348" spans="6:6" x14ac:dyDescent="0.3">
      <c r="F108348" s="193"/>
    </row>
    <row r="108349" spans="6:6" x14ac:dyDescent="0.3">
      <c r="F108349" s="193"/>
    </row>
    <row r="108350" spans="6:6" x14ac:dyDescent="0.3">
      <c r="F108350" s="193"/>
    </row>
    <row r="108351" spans="6:6" x14ac:dyDescent="0.3">
      <c r="F108351" s="193"/>
    </row>
    <row r="108352" spans="6:6" x14ac:dyDescent="0.3">
      <c r="F108352" s="193"/>
    </row>
    <row r="108353" spans="6:6" x14ac:dyDescent="0.3">
      <c r="F108353" s="193"/>
    </row>
    <row r="108354" spans="6:6" x14ac:dyDescent="0.3">
      <c r="F108354" s="193"/>
    </row>
    <row r="108355" spans="6:6" x14ac:dyDescent="0.3">
      <c r="F108355" s="193"/>
    </row>
    <row r="108356" spans="6:6" x14ac:dyDescent="0.3">
      <c r="F108356" s="193"/>
    </row>
    <row r="108357" spans="6:6" x14ac:dyDescent="0.3">
      <c r="F108357" s="193"/>
    </row>
    <row r="108358" spans="6:6" x14ac:dyDescent="0.3">
      <c r="F108358" s="193"/>
    </row>
    <row r="108359" spans="6:6" x14ac:dyDescent="0.3">
      <c r="F108359" s="193"/>
    </row>
    <row r="108360" spans="6:6" x14ac:dyDescent="0.3">
      <c r="F108360" s="193"/>
    </row>
    <row r="108361" spans="6:6" x14ac:dyDescent="0.3">
      <c r="F108361" s="193"/>
    </row>
    <row r="108362" spans="6:6" x14ac:dyDescent="0.3">
      <c r="F108362" s="193"/>
    </row>
    <row r="108363" spans="6:6" x14ac:dyDescent="0.3">
      <c r="F108363" s="193"/>
    </row>
    <row r="108364" spans="6:6" x14ac:dyDescent="0.3">
      <c r="F108364" s="193"/>
    </row>
    <row r="108365" spans="6:6" x14ac:dyDescent="0.3">
      <c r="F108365" s="193"/>
    </row>
    <row r="108366" spans="6:6" x14ac:dyDescent="0.3">
      <c r="F108366" s="193"/>
    </row>
    <row r="108367" spans="6:6" x14ac:dyDescent="0.3">
      <c r="F108367" s="193"/>
    </row>
    <row r="108368" spans="6:6" x14ac:dyDescent="0.3">
      <c r="F108368" s="193"/>
    </row>
    <row r="108369" spans="6:6" x14ac:dyDescent="0.3">
      <c r="F108369" s="193"/>
    </row>
    <row r="108370" spans="6:6" x14ac:dyDescent="0.3">
      <c r="F108370" s="193"/>
    </row>
    <row r="108371" spans="6:6" x14ac:dyDescent="0.3">
      <c r="F108371" s="193"/>
    </row>
    <row r="108372" spans="6:6" x14ac:dyDescent="0.3">
      <c r="F108372" s="193"/>
    </row>
    <row r="108373" spans="6:6" x14ac:dyDescent="0.3">
      <c r="F108373" s="193"/>
    </row>
    <row r="108374" spans="6:6" x14ac:dyDescent="0.3">
      <c r="F108374" s="193"/>
    </row>
    <row r="108375" spans="6:6" x14ac:dyDescent="0.3">
      <c r="F108375" s="193"/>
    </row>
    <row r="108376" spans="6:6" x14ac:dyDescent="0.3">
      <c r="F108376" s="193"/>
    </row>
    <row r="108377" spans="6:6" x14ac:dyDescent="0.3">
      <c r="F108377" s="193"/>
    </row>
    <row r="108378" spans="6:6" x14ac:dyDescent="0.3">
      <c r="F108378" s="193"/>
    </row>
    <row r="108379" spans="6:6" x14ac:dyDescent="0.3">
      <c r="F108379" s="193"/>
    </row>
    <row r="108380" spans="6:6" x14ac:dyDescent="0.3">
      <c r="F108380" s="193"/>
    </row>
    <row r="108381" spans="6:6" x14ac:dyDescent="0.3">
      <c r="F108381" s="193"/>
    </row>
    <row r="108382" spans="6:6" x14ac:dyDescent="0.3">
      <c r="F108382" s="193"/>
    </row>
    <row r="108383" spans="6:6" x14ac:dyDescent="0.3">
      <c r="F108383" s="193"/>
    </row>
    <row r="108384" spans="6:6" x14ac:dyDescent="0.3">
      <c r="F108384" s="193"/>
    </row>
    <row r="108385" spans="6:6" x14ac:dyDescent="0.3">
      <c r="F108385" s="193"/>
    </row>
    <row r="108386" spans="6:6" x14ac:dyDescent="0.3">
      <c r="F108386" s="193"/>
    </row>
    <row r="108387" spans="6:6" x14ac:dyDescent="0.3">
      <c r="F108387" s="193"/>
    </row>
    <row r="108388" spans="6:6" x14ac:dyDescent="0.3">
      <c r="F108388" s="193"/>
    </row>
    <row r="108389" spans="6:6" x14ac:dyDescent="0.3">
      <c r="F108389" s="193"/>
    </row>
    <row r="108390" spans="6:6" x14ac:dyDescent="0.3">
      <c r="F108390" s="193"/>
    </row>
    <row r="108391" spans="6:6" x14ac:dyDescent="0.3">
      <c r="F108391" s="193"/>
    </row>
    <row r="108392" spans="6:6" x14ac:dyDescent="0.3">
      <c r="F108392" s="193"/>
    </row>
    <row r="108393" spans="6:6" x14ac:dyDescent="0.3">
      <c r="F108393" s="193"/>
    </row>
    <row r="108394" spans="6:6" x14ac:dyDescent="0.3">
      <c r="F108394" s="193"/>
    </row>
    <row r="108395" spans="6:6" x14ac:dyDescent="0.3">
      <c r="F108395" s="193"/>
    </row>
    <row r="108396" spans="6:6" x14ac:dyDescent="0.3">
      <c r="F108396" s="193"/>
    </row>
    <row r="108397" spans="6:6" x14ac:dyDescent="0.3">
      <c r="F108397" s="193"/>
    </row>
    <row r="108398" spans="6:6" x14ac:dyDescent="0.3">
      <c r="F108398" s="193"/>
    </row>
    <row r="108399" spans="6:6" x14ac:dyDescent="0.3">
      <c r="F108399" s="193"/>
    </row>
    <row r="108400" spans="6:6" x14ac:dyDescent="0.3">
      <c r="F108400" s="193"/>
    </row>
    <row r="108401" spans="6:6" x14ac:dyDescent="0.3">
      <c r="F108401" s="193"/>
    </row>
    <row r="108402" spans="6:6" x14ac:dyDescent="0.3">
      <c r="F108402" s="193"/>
    </row>
    <row r="108403" spans="6:6" x14ac:dyDescent="0.3">
      <c r="F108403" s="193"/>
    </row>
    <row r="108404" spans="6:6" x14ac:dyDescent="0.3">
      <c r="F108404" s="193"/>
    </row>
    <row r="108405" spans="6:6" x14ac:dyDescent="0.3">
      <c r="F108405" s="193"/>
    </row>
    <row r="108406" spans="6:6" x14ac:dyDescent="0.3">
      <c r="F108406" s="193"/>
    </row>
    <row r="108407" spans="6:6" x14ac:dyDescent="0.3">
      <c r="F108407" s="193"/>
    </row>
    <row r="108408" spans="6:6" x14ac:dyDescent="0.3">
      <c r="F108408" s="193"/>
    </row>
    <row r="108409" spans="6:6" x14ac:dyDescent="0.3">
      <c r="F108409" s="193"/>
    </row>
    <row r="108410" spans="6:6" x14ac:dyDescent="0.3">
      <c r="F108410" s="193"/>
    </row>
    <row r="108411" spans="6:6" x14ac:dyDescent="0.3">
      <c r="F108411" s="193"/>
    </row>
    <row r="108412" spans="6:6" x14ac:dyDescent="0.3">
      <c r="F108412" s="193"/>
    </row>
    <row r="108413" spans="6:6" x14ac:dyDescent="0.3">
      <c r="F108413" s="193"/>
    </row>
    <row r="108414" spans="6:6" x14ac:dyDescent="0.3">
      <c r="F108414" s="193"/>
    </row>
    <row r="108415" spans="6:6" x14ac:dyDescent="0.3">
      <c r="F108415" s="193"/>
    </row>
    <row r="108416" spans="6:6" x14ac:dyDescent="0.3">
      <c r="F108416" s="193"/>
    </row>
    <row r="108417" spans="6:6" x14ac:dyDescent="0.3">
      <c r="F108417" s="193"/>
    </row>
    <row r="108418" spans="6:6" x14ac:dyDescent="0.3">
      <c r="F108418" s="193"/>
    </row>
    <row r="108419" spans="6:6" x14ac:dyDescent="0.3">
      <c r="F108419" s="193"/>
    </row>
    <row r="108420" spans="6:6" x14ac:dyDescent="0.3">
      <c r="F108420" s="193"/>
    </row>
    <row r="108421" spans="6:6" x14ac:dyDescent="0.3">
      <c r="F108421" s="193"/>
    </row>
    <row r="108422" spans="6:6" x14ac:dyDescent="0.3">
      <c r="F108422" s="193"/>
    </row>
    <row r="108423" spans="6:6" x14ac:dyDescent="0.3">
      <c r="F108423" s="193"/>
    </row>
    <row r="108424" spans="6:6" x14ac:dyDescent="0.3">
      <c r="F108424" s="193"/>
    </row>
    <row r="108425" spans="6:6" x14ac:dyDescent="0.3">
      <c r="F108425" s="193"/>
    </row>
    <row r="108426" spans="6:6" x14ac:dyDescent="0.3">
      <c r="F108426" s="193"/>
    </row>
    <row r="108427" spans="6:6" x14ac:dyDescent="0.3">
      <c r="F108427" s="193"/>
    </row>
    <row r="108428" spans="6:6" x14ac:dyDescent="0.3">
      <c r="F108428" s="193"/>
    </row>
    <row r="108429" spans="6:6" x14ac:dyDescent="0.3">
      <c r="F108429" s="193"/>
    </row>
    <row r="108430" spans="6:6" x14ac:dyDescent="0.3">
      <c r="F108430" s="193"/>
    </row>
    <row r="108431" spans="6:6" x14ac:dyDescent="0.3">
      <c r="F108431" s="193"/>
    </row>
    <row r="108432" spans="6:6" x14ac:dyDescent="0.3">
      <c r="F108432" s="193"/>
    </row>
    <row r="108433" spans="6:6" x14ac:dyDescent="0.3">
      <c r="F108433" s="193"/>
    </row>
    <row r="108434" spans="6:6" x14ac:dyDescent="0.3">
      <c r="F108434" s="193"/>
    </row>
    <row r="108435" spans="6:6" x14ac:dyDescent="0.3">
      <c r="F108435" s="193"/>
    </row>
    <row r="108436" spans="6:6" x14ac:dyDescent="0.3">
      <c r="F108436" s="193"/>
    </row>
    <row r="108437" spans="6:6" x14ac:dyDescent="0.3">
      <c r="F108437" s="193"/>
    </row>
    <row r="108438" spans="6:6" x14ac:dyDescent="0.3">
      <c r="F108438" s="193"/>
    </row>
    <row r="108439" spans="6:6" x14ac:dyDescent="0.3">
      <c r="F108439" s="193"/>
    </row>
    <row r="108440" spans="6:6" x14ac:dyDescent="0.3">
      <c r="F108440" s="193"/>
    </row>
    <row r="108441" spans="6:6" x14ac:dyDescent="0.3">
      <c r="F108441" s="193"/>
    </row>
    <row r="108442" spans="6:6" x14ac:dyDescent="0.3">
      <c r="F108442" s="193"/>
    </row>
    <row r="108443" spans="6:6" x14ac:dyDescent="0.3">
      <c r="F108443" s="193"/>
    </row>
    <row r="108444" spans="6:6" x14ac:dyDescent="0.3">
      <c r="F108444" s="193"/>
    </row>
    <row r="108445" spans="6:6" x14ac:dyDescent="0.3">
      <c r="F108445" s="193"/>
    </row>
    <row r="108446" spans="6:6" x14ac:dyDescent="0.3">
      <c r="F108446" s="193"/>
    </row>
    <row r="108447" spans="6:6" x14ac:dyDescent="0.3">
      <c r="F108447" s="193"/>
    </row>
    <row r="108448" spans="6:6" x14ac:dyDescent="0.3">
      <c r="F108448" s="193"/>
    </row>
    <row r="108449" spans="6:6" x14ac:dyDescent="0.3">
      <c r="F108449" s="193"/>
    </row>
    <row r="108450" spans="6:6" x14ac:dyDescent="0.3">
      <c r="F108450" s="193"/>
    </row>
    <row r="108451" spans="6:6" x14ac:dyDescent="0.3">
      <c r="F108451" s="193"/>
    </row>
    <row r="108452" spans="6:6" x14ac:dyDescent="0.3">
      <c r="F108452" s="193"/>
    </row>
    <row r="108453" spans="6:6" x14ac:dyDescent="0.3">
      <c r="F108453" s="193"/>
    </row>
    <row r="108454" spans="6:6" x14ac:dyDescent="0.3">
      <c r="F108454" s="193"/>
    </row>
    <row r="108455" spans="6:6" x14ac:dyDescent="0.3">
      <c r="F108455" s="193"/>
    </row>
    <row r="108456" spans="6:6" x14ac:dyDescent="0.3">
      <c r="F108456" s="193"/>
    </row>
    <row r="108457" spans="6:6" x14ac:dyDescent="0.3">
      <c r="F108457" s="193"/>
    </row>
    <row r="108458" spans="6:6" x14ac:dyDescent="0.3">
      <c r="F108458" s="193"/>
    </row>
    <row r="108459" spans="6:6" x14ac:dyDescent="0.3">
      <c r="F108459" s="193"/>
    </row>
    <row r="108460" spans="6:6" x14ac:dyDescent="0.3">
      <c r="F108460" s="193"/>
    </row>
    <row r="108461" spans="6:6" x14ac:dyDescent="0.3">
      <c r="F108461" s="193"/>
    </row>
    <row r="108462" spans="6:6" x14ac:dyDescent="0.3">
      <c r="F108462" s="193"/>
    </row>
    <row r="108463" spans="6:6" x14ac:dyDescent="0.3">
      <c r="F108463" s="193"/>
    </row>
    <row r="108464" spans="6:6" x14ac:dyDescent="0.3">
      <c r="F108464" s="193"/>
    </row>
    <row r="108465" spans="6:6" x14ac:dyDescent="0.3">
      <c r="F108465" s="193"/>
    </row>
    <row r="108466" spans="6:6" x14ac:dyDescent="0.3">
      <c r="F108466" s="193"/>
    </row>
    <row r="108467" spans="6:6" x14ac:dyDescent="0.3">
      <c r="F108467" s="193"/>
    </row>
    <row r="108468" spans="6:6" x14ac:dyDescent="0.3">
      <c r="F108468" s="193"/>
    </row>
    <row r="108469" spans="6:6" x14ac:dyDescent="0.3">
      <c r="F108469" s="193"/>
    </row>
    <row r="108470" spans="6:6" x14ac:dyDescent="0.3">
      <c r="F108470" s="193"/>
    </row>
    <row r="108471" spans="6:6" x14ac:dyDescent="0.3">
      <c r="F108471" s="193"/>
    </row>
    <row r="108472" spans="6:6" x14ac:dyDescent="0.3">
      <c r="F108472" s="193"/>
    </row>
    <row r="108473" spans="6:6" x14ac:dyDescent="0.3">
      <c r="F108473" s="193"/>
    </row>
    <row r="108474" spans="6:6" x14ac:dyDescent="0.3">
      <c r="F108474" s="193"/>
    </row>
    <row r="108475" spans="6:6" x14ac:dyDescent="0.3">
      <c r="F108475" s="193"/>
    </row>
    <row r="108476" spans="6:6" x14ac:dyDescent="0.3">
      <c r="F108476" s="193"/>
    </row>
    <row r="108477" spans="6:6" x14ac:dyDescent="0.3">
      <c r="F108477" s="193"/>
    </row>
    <row r="108478" spans="6:6" x14ac:dyDescent="0.3">
      <c r="F108478" s="193"/>
    </row>
    <row r="108479" spans="6:6" x14ac:dyDescent="0.3">
      <c r="F108479" s="193"/>
    </row>
    <row r="108480" spans="6:6" x14ac:dyDescent="0.3">
      <c r="F108480" s="193"/>
    </row>
    <row r="108481" spans="6:6" x14ac:dyDescent="0.3">
      <c r="F108481" s="193"/>
    </row>
    <row r="108482" spans="6:6" x14ac:dyDescent="0.3">
      <c r="F108482" s="193"/>
    </row>
    <row r="108483" spans="6:6" x14ac:dyDescent="0.3">
      <c r="F108483" s="193"/>
    </row>
    <row r="108484" spans="6:6" x14ac:dyDescent="0.3">
      <c r="F108484" s="193"/>
    </row>
    <row r="108485" spans="6:6" x14ac:dyDescent="0.3">
      <c r="F108485" s="193"/>
    </row>
    <row r="108486" spans="6:6" x14ac:dyDescent="0.3">
      <c r="F108486" s="193"/>
    </row>
    <row r="108487" spans="6:6" x14ac:dyDescent="0.3">
      <c r="F108487" s="193"/>
    </row>
    <row r="108488" spans="6:6" x14ac:dyDescent="0.3">
      <c r="F108488" s="193"/>
    </row>
    <row r="108489" spans="6:6" x14ac:dyDescent="0.3">
      <c r="F108489" s="193"/>
    </row>
    <row r="108490" spans="6:6" x14ac:dyDescent="0.3">
      <c r="F108490" s="193"/>
    </row>
    <row r="108491" spans="6:6" x14ac:dyDescent="0.3">
      <c r="F108491" s="193"/>
    </row>
    <row r="108492" spans="6:6" x14ac:dyDescent="0.3">
      <c r="F108492" s="193"/>
    </row>
    <row r="108493" spans="6:6" x14ac:dyDescent="0.3">
      <c r="F108493" s="193"/>
    </row>
    <row r="108494" spans="6:6" x14ac:dyDescent="0.3">
      <c r="F108494" s="193"/>
    </row>
    <row r="108495" spans="6:6" x14ac:dyDescent="0.3">
      <c r="F108495" s="193"/>
    </row>
    <row r="108496" spans="6:6" x14ac:dyDescent="0.3">
      <c r="F108496" s="193"/>
    </row>
    <row r="108497" spans="6:6" x14ac:dyDescent="0.3">
      <c r="F108497" s="193"/>
    </row>
    <row r="108498" spans="6:6" x14ac:dyDescent="0.3">
      <c r="F108498" s="193"/>
    </row>
    <row r="108499" spans="6:6" x14ac:dyDescent="0.3">
      <c r="F108499" s="193"/>
    </row>
    <row r="108500" spans="6:6" x14ac:dyDescent="0.3">
      <c r="F108500" s="193"/>
    </row>
    <row r="108501" spans="6:6" x14ac:dyDescent="0.3">
      <c r="F108501" s="193"/>
    </row>
    <row r="108502" spans="6:6" x14ac:dyDescent="0.3">
      <c r="F108502" s="193"/>
    </row>
    <row r="108503" spans="6:6" x14ac:dyDescent="0.3">
      <c r="F108503" s="193"/>
    </row>
    <row r="108504" spans="6:6" x14ac:dyDescent="0.3">
      <c r="F108504" s="193"/>
    </row>
    <row r="108505" spans="6:6" x14ac:dyDescent="0.3">
      <c r="F108505" s="193"/>
    </row>
    <row r="108506" spans="6:6" x14ac:dyDescent="0.3">
      <c r="F108506" s="193"/>
    </row>
    <row r="108507" spans="6:6" x14ac:dyDescent="0.3">
      <c r="F108507" s="193"/>
    </row>
    <row r="108508" spans="6:6" x14ac:dyDescent="0.3">
      <c r="F108508" s="193"/>
    </row>
    <row r="108509" spans="6:6" x14ac:dyDescent="0.3">
      <c r="F108509" s="193"/>
    </row>
    <row r="108510" spans="6:6" x14ac:dyDescent="0.3">
      <c r="F108510" s="193"/>
    </row>
    <row r="108511" spans="6:6" x14ac:dyDescent="0.3">
      <c r="F108511" s="193"/>
    </row>
    <row r="108512" spans="6:6" x14ac:dyDescent="0.3">
      <c r="F108512" s="193"/>
    </row>
    <row r="108513" spans="6:6" x14ac:dyDescent="0.3">
      <c r="F108513" s="193"/>
    </row>
    <row r="108514" spans="6:6" x14ac:dyDescent="0.3">
      <c r="F108514" s="193"/>
    </row>
    <row r="108515" spans="6:6" x14ac:dyDescent="0.3">
      <c r="F108515" s="193"/>
    </row>
    <row r="108516" spans="6:6" x14ac:dyDescent="0.3">
      <c r="F108516" s="193"/>
    </row>
    <row r="108517" spans="6:6" x14ac:dyDescent="0.3">
      <c r="F108517" s="193"/>
    </row>
    <row r="108518" spans="6:6" x14ac:dyDescent="0.3">
      <c r="F108518" s="193"/>
    </row>
    <row r="108519" spans="6:6" x14ac:dyDescent="0.3">
      <c r="F108519" s="193"/>
    </row>
    <row r="108520" spans="6:6" x14ac:dyDescent="0.3">
      <c r="F108520" s="193"/>
    </row>
    <row r="108521" spans="6:6" x14ac:dyDescent="0.3">
      <c r="F108521" s="193"/>
    </row>
    <row r="108522" spans="6:6" x14ac:dyDescent="0.3">
      <c r="F108522" s="193"/>
    </row>
    <row r="108523" spans="6:6" x14ac:dyDescent="0.3">
      <c r="F108523" s="193"/>
    </row>
    <row r="108524" spans="6:6" x14ac:dyDescent="0.3">
      <c r="F108524" s="193"/>
    </row>
    <row r="108525" spans="6:6" x14ac:dyDescent="0.3">
      <c r="F108525" s="193"/>
    </row>
    <row r="108526" spans="6:6" x14ac:dyDescent="0.3">
      <c r="F108526" s="193"/>
    </row>
    <row r="108527" spans="6:6" x14ac:dyDescent="0.3">
      <c r="F108527" s="193"/>
    </row>
    <row r="108528" spans="6:6" x14ac:dyDescent="0.3">
      <c r="F108528" s="193"/>
    </row>
    <row r="108529" spans="6:6" x14ac:dyDescent="0.3">
      <c r="F108529" s="193"/>
    </row>
    <row r="108530" spans="6:6" x14ac:dyDescent="0.3">
      <c r="F108530" s="193"/>
    </row>
    <row r="108531" spans="6:6" x14ac:dyDescent="0.3">
      <c r="F108531" s="193"/>
    </row>
    <row r="108532" spans="6:6" x14ac:dyDescent="0.3">
      <c r="F108532" s="193"/>
    </row>
    <row r="108533" spans="6:6" x14ac:dyDescent="0.3">
      <c r="F108533" s="193"/>
    </row>
    <row r="108534" spans="6:6" x14ac:dyDescent="0.3">
      <c r="F108534" s="193"/>
    </row>
    <row r="108535" spans="6:6" x14ac:dyDescent="0.3">
      <c r="F108535" s="193"/>
    </row>
    <row r="108536" spans="6:6" x14ac:dyDescent="0.3">
      <c r="F108536" s="193"/>
    </row>
    <row r="108537" spans="6:6" x14ac:dyDescent="0.3">
      <c r="F108537" s="193"/>
    </row>
    <row r="108538" spans="6:6" x14ac:dyDescent="0.3">
      <c r="F108538" s="193"/>
    </row>
    <row r="108539" spans="6:6" x14ac:dyDescent="0.3">
      <c r="F108539" s="193"/>
    </row>
    <row r="108540" spans="6:6" x14ac:dyDescent="0.3">
      <c r="F108540" s="193"/>
    </row>
    <row r="108541" spans="6:6" x14ac:dyDescent="0.3">
      <c r="F108541" s="193"/>
    </row>
    <row r="108542" spans="6:6" x14ac:dyDescent="0.3">
      <c r="F108542" s="193"/>
    </row>
    <row r="108543" spans="6:6" x14ac:dyDescent="0.3">
      <c r="F108543" s="193"/>
    </row>
    <row r="108544" spans="6:6" x14ac:dyDescent="0.3">
      <c r="F108544" s="193"/>
    </row>
    <row r="108545" spans="6:6" x14ac:dyDescent="0.3">
      <c r="F108545" s="193"/>
    </row>
    <row r="108546" spans="6:6" x14ac:dyDescent="0.3">
      <c r="F108546" s="193"/>
    </row>
    <row r="108547" spans="6:6" x14ac:dyDescent="0.3">
      <c r="F108547" s="193"/>
    </row>
    <row r="108548" spans="6:6" x14ac:dyDescent="0.3">
      <c r="F108548" s="193"/>
    </row>
    <row r="108549" spans="6:6" x14ac:dyDescent="0.3">
      <c r="F108549" s="193"/>
    </row>
    <row r="108550" spans="6:6" x14ac:dyDescent="0.3">
      <c r="F108550" s="193"/>
    </row>
    <row r="108551" spans="6:6" x14ac:dyDescent="0.3">
      <c r="F108551" s="193"/>
    </row>
    <row r="108552" spans="6:6" x14ac:dyDescent="0.3">
      <c r="F108552" s="193"/>
    </row>
    <row r="108553" spans="6:6" x14ac:dyDescent="0.3">
      <c r="F108553" s="193"/>
    </row>
    <row r="108554" spans="6:6" x14ac:dyDescent="0.3">
      <c r="F108554" s="193"/>
    </row>
    <row r="108555" spans="6:6" x14ac:dyDescent="0.3">
      <c r="F108555" s="193"/>
    </row>
    <row r="108556" spans="6:6" x14ac:dyDescent="0.3">
      <c r="F108556" s="193"/>
    </row>
    <row r="108557" spans="6:6" x14ac:dyDescent="0.3">
      <c r="F108557" s="193"/>
    </row>
    <row r="108558" spans="6:6" x14ac:dyDescent="0.3">
      <c r="F108558" s="193"/>
    </row>
    <row r="108559" spans="6:6" x14ac:dyDescent="0.3">
      <c r="F108559" s="193"/>
    </row>
    <row r="108560" spans="6:6" x14ac:dyDescent="0.3">
      <c r="F108560" s="193"/>
    </row>
    <row r="108561" spans="6:6" x14ac:dyDescent="0.3">
      <c r="F108561" s="193"/>
    </row>
    <row r="108562" spans="6:6" x14ac:dyDescent="0.3">
      <c r="F108562" s="193"/>
    </row>
    <row r="108563" spans="6:6" x14ac:dyDescent="0.3">
      <c r="F108563" s="193"/>
    </row>
    <row r="108564" spans="6:6" x14ac:dyDescent="0.3">
      <c r="F108564" s="193"/>
    </row>
    <row r="108565" spans="6:6" x14ac:dyDescent="0.3">
      <c r="F108565" s="193"/>
    </row>
    <row r="108566" spans="6:6" x14ac:dyDescent="0.3">
      <c r="F108566" s="193"/>
    </row>
    <row r="108567" spans="6:6" x14ac:dyDescent="0.3">
      <c r="F108567" s="193"/>
    </row>
    <row r="108568" spans="6:6" x14ac:dyDescent="0.3">
      <c r="F108568" s="193"/>
    </row>
    <row r="108569" spans="6:6" x14ac:dyDescent="0.3">
      <c r="F108569" s="193"/>
    </row>
    <row r="108570" spans="6:6" x14ac:dyDescent="0.3">
      <c r="F108570" s="193"/>
    </row>
    <row r="108571" spans="6:6" x14ac:dyDescent="0.3">
      <c r="F108571" s="193"/>
    </row>
    <row r="108572" spans="6:6" x14ac:dyDescent="0.3">
      <c r="F108572" s="193"/>
    </row>
    <row r="108573" spans="6:6" x14ac:dyDescent="0.3">
      <c r="F108573" s="193"/>
    </row>
    <row r="108574" spans="6:6" x14ac:dyDescent="0.3">
      <c r="F108574" s="193"/>
    </row>
    <row r="108575" spans="6:6" x14ac:dyDescent="0.3">
      <c r="F108575" s="193"/>
    </row>
    <row r="108576" spans="6:6" x14ac:dyDescent="0.3">
      <c r="F108576" s="193"/>
    </row>
    <row r="108577" spans="6:6" x14ac:dyDescent="0.3">
      <c r="F108577" s="193"/>
    </row>
    <row r="108578" spans="6:6" x14ac:dyDescent="0.3">
      <c r="F108578" s="193"/>
    </row>
    <row r="108579" spans="6:6" x14ac:dyDescent="0.3">
      <c r="F108579" s="193"/>
    </row>
    <row r="108580" spans="6:6" x14ac:dyDescent="0.3">
      <c r="F108580" s="193"/>
    </row>
    <row r="108581" spans="6:6" x14ac:dyDescent="0.3">
      <c r="F108581" s="193"/>
    </row>
    <row r="108582" spans="6:6" x14ac:dyDescent="0.3">
      <c r="F108582" s="193"/>
    </row>
    <row r="108583" spans="6:6" x14ac:dyDescent="0.3">
      <c r="F108583" s="193"/>
    </row>
    <row r="108584" spans="6:6" x14ac:dyDescent="0.3">
      <c r="F108584" s="193"/>
    </row>
    <row r="108585" spans="6:6" x14ac:dyDescent="0.3">
      <c r="F108585" s="193"/>
    </row>
    <row r="108586" spans="6:6" x14ac:dyDescent="0.3">
      <c r="F108586" s="193"/>
    </row>
    <row r="108587" spans="6:6" x14ac:dyDescent="0.3">
      <c r="F108587" s="193"/>
    </row>
    <row r="108588" spans="6:6" x14ac:dyDescent="0.3">
      <c r="F108588" s="193"/>
    </row>
    <row r="108589" spans="6:6" x14ac:dyDescent="0.3">
      <c r="F108589" s="193"/>
    </row>
    <row r="108590" spans="6:6" x14ac:dyDescent="0.3">
      <c r="F108590" s="193"/>
    </row>
    <row r="108591" spans="6:6" x14ac:dyDescent="0.3">
      <c r="F108591" s="193"/>
    </row>
    <row r="108592" spans="6:6" x14ac:dyDescent="0.3">
      <c r="F108592" s="193"/>
    </row>
    <row r="108593" spans="6:6" x14ac:dyDescent="0.3">
      <c r="F108593" s="193"/>
    </row>
    <row r="108594" spans="6:6" x14ac:dyDescent="0.3">
      <c r="F108594" s="193"/>
    </row>
    <row r="108595" spans="6:6" x14ac:dyDescent="0.3">
      <c r="F108595" s="193"/>
    </row>
    <row r="108596" spans="6:6" x14ac:dyDescent="0.3">
      <c r="F108596" s="193"/>
    </row>
    <row r="108597" spans="6:6" x14ac:dyDescent="0.3">
      <c r="F108597" s="193"/>
    </row>
    <row r="108598" spans="6:6" x14ac:dyDescent="0.3">
      <c r="F108598" s="193"/>
    </row>
    <row r="108599" spans="6:6" x14ac:dyDescent="0.3">
      <c r="F108599" s="193"/>
    </row>
    <row r="108600" spans="6:6" x14ac:dyDescent="0.3">
      <c r="F108600" s="193"/>
    </row>
    <row r="108601" spans="6:6" x14ac:dyDescent="0.3">
      <c r="F108601" s="193"/>
    </row>
    <row r="108602" spans="6:6" x14ac:dyDescent="0.3">
      <c r="F108602" s="193"/>
    </row>
    <row r="108603" spans="6:6" x14ac:dyDescent="0.3">
      <c r="F108603" s="193"/>
    </row>
    <row r="108604" spans="6:6" x14ac:dyDescent="0.3">
      <c r="F108604" s="193"/>
    </row>
    <row r="108605" spans="6:6" x14ac:dyDescent="0.3">
      <c r="F108605" s="193"/>
    </row>
    <row r="108606" spans="6:6" x14ac:dyDescent="0.3">
      <c r="F108606" s="193"/>
    </row>
    <row r="108607" spans="6:6" x14ac:dyDescent="0.3">
      <c r="F108607" s="193"/>
    </row>
    <row r="108608" spans="6:6" x14ac:dyDescent="0.3">
      <c r="F108608" s="193"/>
    </row>
    <row r="108609" spans="6:6" x14ac:dyDescent="0.3">
      <c r="F108609" s="193"/>
    </row>
    <row r="108610" spans="6:6" x14ac:dyDescent="0.3">
      <c r="F108610" s="193"/>
    </row>
    <row r="108611" spans="6:6" x14ac:dyDescent="0.3">
      <c r="F108611" s="193"/>
    </row>
    <row r="108612" spans="6:6" x14ac:dyDescent="0.3">
      <c r="F108612" s="193"/>
    </row>
    <row r="108613" spans="6:6" x14ac:dyDescent="0.3">
      <c r="F108613" s="193"/>
    </row>
    <row r="108614" spans="6:6" x14ac:dyDescent="0.3">
      <c r="F108614" s="193"/>
    </row>
    <row r="108615" spans="6:6" x14ac:dyDescent="0.3">
      <c r="F108615" s="193"/>
    </row>
    <row r="108616" spans="6:6" x14ac:dyDescent="0.3">
      <c r="F108616" s="193"/>
    </row>
    <row r="108617" spans="6:6" x14ac:dyDescent="0.3">
      <c r="F108617" s="193"/>
    </row>
    <row r="108618" spans="6:6" x14ac:dyDescent="0.3">
      <c r="F108618" s="193"/>
    </row>
    <row r="108619" spans="6:6" x14ac:dyDescent="0.3">
      <c r="F108619" s="193"/>
    </row>
    <row r="108620" spans="6:6" x14ac:dyDescent="0.3">
      <c r="F108620" s="193"/>
    </row>
    <row r="108621" spans="6:6" x14ac:dyDescent="0.3">
      <c r="F108621" s="193"/>
    </row>
    <row r="108622" spans="6:6" x14ac:dyDescent="0.3">
      <c r="F108622" s="193"/>
    </row>
    <row r="108623" spans="6:6" x14ac:dyDescent="0.3">
      <c r="F108623" s="193"/>
    </row>
    <row r="108624" spans="6:6" x14ac:dyDescent="0.3">
      <c r="F108624" s="193"/>
    </row>
    <row r="108625" spans="6:6" x14ac:dyDescent="0.3">
      <c r="F108625" s="193"/>
    </row>
    <row r="108626" spans="6:6" x14ac:dyDescent="0.3">
      <c r="F108626" s="193"/>
    </row>
    <row r="108627" spans="6:6" x14ac:dyDescent="0.3">
      <c r="F108627" s="193"/>
    </row>
    <row r="108628" spans="6:6" x14ac:dyDescent="0.3">
      <c r="F108628" s="193"/>
    </row>
    <row r="108629" spans="6:6" x14ac:dyDescent="0.3">
      <c r="F108629" s="193"/>
    </row>
    <row r="108630" spans="6:6" x14ac:dyDescent="0.3">
      <c r="F108630" s="193"/>
    </row>
    <row r="108631" spans="6:6" x14ac:dyDescent="0.3">
      <c r="F108631" s="193"/>
    </row>
    <row r="108632" spans="6:6" x14ac:dyDescent="0.3">
      <c r="F108632" s="193"/>
    </row>
    <row r="108633" spans="6:6" x14ac:dyDescent="0.3">
      <c r="F108633" s="193"/>
    </row>
    <row r="108634" spans="6:6" x14ac:dyDescent="0.3">
      <c r="F108634" s="193"/>
    </row>
    <row r="108635" spans="6:6" x14ac:dyDescent="0.3">
      <c r="F108635" s="193"/>
    </row>
    <row r="108636" spans="6:6" x14ac:dyDescent="0.3">
      <c r="F108636" s="193"/>
    </row>
    <row r="108637" spans="6:6" x14ac:dyDescent="0.3">
      <c r="F108637" s="193"/>
    </row>
    <row r="108638" spans="6:6" x14ac:dyDescent="0.3">
      <c r="F108638" s="193"/>
    </row>
    <row r="108639" spans="6:6" x14ac:dyDescent="0.3">
      <c r="F108639" s="193"/>
    </row>
    <row r="108640" spans="6:6" x14ac:dyDescent="0.3">
      <c r="F108640" s="193"/>
    </row>
    <row r="108641" spans="6:6" x14ac:dyDescent="0.3">
      <c r="F108641" s="193"/>
    </row>
    <row r="108642" spans="6:6" x14ac:dyDescent="0.3">
      <c r="F108642" s="193"/>
    </row>
    <row r="108643" spans="6:6" x14ac:dyDescent="0.3">
      <c r="F108643" s="193"/>
    </row>
    <row r="108644" spans="6:6" x14ac:dyDescent="0.3">
      <c r="F108644" s="193"/>
    </row>
    <row r="108645" spans="6:6" x14ac:dyDescent="0.3">
      <c r="F108645" s="193"/>
    </row>
    <row r="108646" spans="6:6" x14ac:dyDescent="0.3">
      <c r="F108646" s="193"/>
    </row>
    <row r="108647" spans="6:6" x14ac:dyDescent="0.3">
      <c r="F108647" s="193"/>
    </row>
    <row r="108648" spans="6:6" x14ac:dyDescent="0.3">
      <c r="F108648" s="193"/>
    </row>
    <row r="108649" spans="6:6" x14ac:dyDescent="0.3">
      <c r="F108649" s="193"/>
    </row>
    <row r="108650" spans="6:6" x14ac:dyDescent="0.3">
      <c r="F108650" s="193"/>
    </row>
    <row r="108651" spans="6:6" x14ac:dyDescent="0.3">
      <c r="F108651" s="193"/>
    </row>
    <row r="108652" spans="6:6" x14ac:dyDescent="0.3">
      <c r="F108652" s="193"/>
    </row>
    <row r="108653" spans="6:6" x14ac:dyDescent="0.3">
      <c r="F108653" s="193"/>
    </row>
    <row r="108654" spans="6:6" x14ac:dyDescent="0.3">
      <c r="F108654" s="193"/>
    </row>
    <row r="108655" spans="6:6" x14ac:dyDescent="0.3">
      <c r="F108655" s="193"/>
    </row>
    <row r="108656" spans="6:6" x14ac:dyDescent="0.3">
      <c r="F108656" s="193"/>
    </row>
    <row r="108657" spans="6:6" x14ac:dyDescent="0.3">
      <c r="F108657" s="193"/>
    </row>
    <row r="108658" spans="6:6" x14ac:dyDescent="0.3">
      <c r="F108658" s="193"/>
    </row>
    <row r="108659" spans="6:6" x14ac:dyDescent="0.3">
      <c r="F108659" s="193"/>
    </row>
    <row r="108660" spans="6:6" x14ac:dyDescent="0.3">
      <c r="F108660" s="193"/>
    </row>
    <row r="108661" spans="6:6" x14ac:dyDescent="0.3">
      <c r="F108661" s="193"/>
    </row>
    <row r="108662" spans="6:6" x14ac:dyDescent="0.3">
      <c r="F108662" s="193"/>
    </row>
    <row r="108663" spans="6:6" x14ac:dyDescent="0.3">
      <c r="F108663" s="193"/>
    </row>
    <row r="108664" spans="6:6" x14ac:dyDescent="0.3">
      <c r="F108664" s="193"/>
    </row>
    <row r="108665" spans="6:6" x14ac:dyDescent="0.3">
      <c r="F108665" s="193"/>
    </row>
    <row r="108666" spans="6:6" x14ac:dyDescent="0.3">
      <c r="F108666" s="193"/>
    </row>
    <row r="108667" spans="6:6" x14ac:dyDescent="0.3">
      <c r="F108667" s="193"/>
    </row>
    <row r="108668" spans="6:6" x14ac:dyDescent="0.3">
      <c r="F108668" s="193"/>
    </row>
    <row r="108669" spans="6:6" x14ac:dyDescent="0.3">
      <c r="F108669" s="193"/>
    </row>
    <row r="108670" spans="6:6" x14ac:dyDescent="0.3">
      <c r="F108670" s="193"/>
    </row>
    <row r="108671" spans="6:6" x14ac:dyDescent="0.3">
      <c r="F108671" s="193"/>
    </row>
    <row r="108672" spans="6:6" x14ac:dyDescent="0.3">
      <c r="F108672" s="193"/>
    </row>
    <row r="108673" spans="6:6" x14ac:dyDescent="0.3">
      <c r="F108673" s="193"/>
    </row>
    <row r="108674" spans="6:6" x14ac:dyDescent="0.3">
      <c r="F108674" s="193"/>
    </row>
    <row r="108675" spans="6:6" x14ac:dyDescent="0.3">
      <c r="F108675" s="193"/>
    </row>
    <row r="108676" spans="6:6" x14ac:dyDescent="0.3">
      <c r="F108676" s="193"/>
    </row>
    <row r="108677" spans="6:6" x14ac:dyDescent="0.3">
      <c r="F108677" s="193"/>
    </row>
    <row r="108678" spans="6:6" x14ac:dyDescent="0.3">
      <c r="F108678" s="193"/>
    </row>
    <row r="108679" spans="6:6" x14ac:dyDescent="0.3">
      <c r="F108679" s="193"/>
    </row>
    <row r="108680" spans="6:6" x14ac:dyDescent="0.3">
      <c r="F108680" s="193"/>
    </row>
    <row r="108681" spans="6:6" x14ac:dyDescent="0.3">
      <c r="F108681" s="193"/>
    </row>
    <row r="108682" spans="6:6" x14ac:dyDescent="0.3">
      <c r="F108682" s="193"/>
    </row>
    <row r="108683" spans="6:6" x14ac:dyDescent="0.3">
      <c r="F108683" s="193"/>
    </row>
    <row r="108684" spans="6:6" x14ac:dyDescent="0.3">
      <c r="F108684" s="193"/>
    </row>
    <row r="108685" spans="6:6" x14ac:dyDescent="0.3">
      <c r="F108685" s="193"/>
    </row>
    <row r="108686" spans="6:6" x14ac:dyDescent="0.3">
      <c r="F108686" s="193"/>
    </row>
    <row r="108687" spans="6:6" x14ac:dyDescent="0.3">
      <c r="F108687" s="193"/>
    </row>
    <row r="108688" spans="6:6" x14ac:dyDescent="0.3">
      <c r="F108688" s="193"/>
    </row>
    <row r="108689" spans="6:6" x14ac:dyDescent="0.3">
      <c r="F108689" s="193"/>
    </row>
    <row r="108690" spans="6:6" x14ac:dyDescent="0.3">
      <c r="F108690" s="193"/>
    </row>
    <row r="108691" spans="6:6" x14ac:dyDescent="0.3">
      <c r="F108691" s="193"/>
    </row>
    <row r="108692" spans="6:6" x14ac:dyDescent="0.3">
      <c r="F108692" s="193"/>
    </row>
    <row r="108693" spans="6:6" x14ac:dyDescent="0.3">
      <c r="F108693" s="193"/>
    </row>
    <row r="108694" spans="6:6" x14ac:dyDescent="0.3">
      <c r="F108694" s="193"/>
    </row>
    <row r="108695" spans="6:6" x14ac:dyDescent="0.3">
      <c r="F108695" s="193"/>
    </row>
    <row r="108696" spans="6:6" x14ac:dyDescent="0.3">
      <c r="F108696" s="193"/>
    </row>
    <row r="108697" spans="6:6" x14ac:dyDescent="0.3">
      <c r="F108697" s="193"/>
    </row>
    <row r="108698" spans="6:6" x14ac:dyDescent="0.3">
      <c r="F108698" s="193"/>
    </row>
    <row r="108699" spans="6:6" x14ac:dyDescent="0.3">
      <c r="F108699" s="193"/>
    </row>
    <row r="108700" spans="6:6" x14ac:dyDescent="0.3">
      <c r="F108700" s="193"/>
    </row>
    <row r="108701" spans="6:6" x14ac:dyDescent="0.3">
      <c r="F108701" s="193"/>
    </row>
    <row r="108702" spans="6:6" x14ac:dyDescent="0.3">
      <c r="F108702" s="193"/>
    </row>
    <row r="108703" spans="6:6" x14ac:dyDescent="0.3">
      <c r="F108703" s="193"/>
    </row>
    <row r="108704" spans="6:6" x14ac:dyDescent="0.3">
      <c r="F108704" s="193"/>
    </row>
    <row r="108705" spans="6:6" x14ac:dyDescent="0.3">
      <c r="F108705" s="193"/>
    </row>
    <row r="108706" spans="6:6" x14ac:dyDescent="0.3">
      <c r="F108706" s="193"/>
    </row>
    <row r="108707" spans="6:6" x14ac:dyDescent="0.3">
      <c r="F108707" s="193"/>
    </row>
    <row r="108708" spans="6:6" x14ac:dyDescent="0.3">
      <c r="F108708" s="193"/>
    </row>
    <row r="108709" spans="6:6" x14ac:dyDescent="0.3">
      <c r="F108709" s="193"/>
    </row>
    <row r="108710" spans="6:6" x14ac:dyDescent="0.3">
      <c r="F108710" s="193"/>
    </row>
    <row r="108711" spans="6:6" x14ac:dyDescent="0.3">
      <c r="F108711" s="193"/>
    </row>
    <row r="108712" spans="6:6" x14ac:dyDescent="0.3">
      <c r="F108712" s="193"/>
    </row>
    <row r="108713" spans="6:6" x14ac:dyDescent="0.3">
      <c r="F108713" s="193"/>
    </row>
    <row r="108714" spans="6:6" x14ac:dyDescent="0.3">
      <c r="F108714" s="193"/>
    </row>
    <row r="108715" spans="6:6" x14ac:dyDescent="0.3">
      <c r="F108715" s="193"/>
    </row>
    <row r="108716" spans="6:6" x14ac:dyDescent="0.3">
      <c r="F108716" s="193"/>
    </row>
    <row r="108717" spans="6:6" x14ac:dyDescent="0.3">
      <c r="F108717" s="193"/>
    </row>
    <row r="108718" spans="6:6" x14ac:dyDescent="0.3">
      <c r="F108718" s="193"/>
    </row>
    <row r="108719" spans="6:6" x14ac:dyDescent="0.3">
      <c r="F108719" s="193"/>
    </row>
    <row r="108720" spans="6:6" x14ac:dyDescent="0.3">
      <c r="F108720" s="193"/>
    </row>
    <row r="108721" spans="6:6" x14ac:dyDescent="0.3">
      <c r="F108721" s="193"/>
    </row>
    <row r="108722" spans="6:6" x14ac:dyDescent="0.3">
      <c r="F108722" s="193"/>
    </row>
    <row r="108723" spans="6:6" x14ac:dyDescent="0.3">
      <c r="F108723" s="193"/>
    </row>
    <row r="108724" spans="6:6" x14ac:dyDescent="0.3">
      <c r="F108724" s="193"/>
    </row>
    <row r="108725" spans="6:6" x14ac:dyDescent="0.3">
      <c r="F108725" s="193"/>
    </row>
    <row r="108726" spans="6:6" x14ac:dyDescent="0.3">
      <c r="F108726" s="193"/>
    </row>
    <row r="108727" spans="6:6" x14ac:dyDescent="0.3">
      <c r="F108727" s="193"/>
    </row>
    <row r="108728" spans="6:6" x14ac:dyDescent="0.3">
      <c r="F108728" s="193"/>
    </row>
    <row r="108729" spans="6:6" x14ac:dyDescent="0.3">
      <c r="F108729" s="193"/>
    </row>
    <row r="108730" spans="6:6" x14ac:dyDescent="0.3">
      <c r="F108730" s="193"/>
    </row>
    <row r="108731" spans="6:6" x14ac:dyDescent="0.3">
      <c r="F108731" s="193"/>
    </row>
    <row r="108732" spans="6:6" x14ac:dyDescent="0.3">
      <c r="F108732" s="193"/>
    </row>
    <row r="108733" spans="6:6" x14ac:dyDescent="0.3">
      <c r="F108733" s="193"/>
    </row>
    <row r="108734" spans="6:6" x14ac:dyDescent="0.3">
      <c r="F108734" s="193"/>
    </row>
    <row r="108735" spans="6:6" x14ac:dyDescent="0.3">
      <c r="F108735" s="193"/>
    </row>
    <row r="108736" spans="6:6" x14ac:dyDescent="0.3">
      <c r="F108736" s="193"/>
    </row>
    <row r="108737" spans="6:6" x14ac:dyDescent="0.3">
      <c r="F108737" s="193"/>
    </row>
    <row r="108738" spans="6:6" x14ac:dyDescent="0.3">
      <c r="F108738" s="193"/>
    </row>
    <row r="108739" spans="6:6" x14ac:dyDescent="0.3">
      <c r="F108739" s="193"/>
    </row>
    <row r="108740" spans="6:6" x14ac:dyDescent="0.3">
      <c r="F108740" s="193"/>
    </row>
    <row r="108741" spans="6:6" x14ac:dyDescent="0.3">
      <c r="F108741" s="193"/>
    </row>
    <row r="108742" spans="6:6" x14ac:dyDescent="0.3">
      <c r="F108742" s="193"/>
    </row>
    <row r="108743" spans="6:6" x14ac:dyDescent="0.3">
      <c r="F108743" s="193"/>
    </row>
    <row r="108744" spans="6:6" x14ac:dyDescent="0.3">
      <c r="F108744" s="193"/>
    </row>
    <row r="108745" spans="6:6" x14ac:dyDescent="0.3">
      <c r="F108745" s="193"/>
    </row>
    <row r="108746" spans="6:6" x14ac:dyDescent="0.3">
      <c r="F108746" s="193"/>
    </row>
    <row r="108747" spans="6:6" x14ac:dyDescent="0.3">
      <c r="F108747" s="193"/>
    </row>
    <row r="108748" spans="6:6" x14ac:dyDescent="0.3">
      <c r="F108748" s="193"/>
    </row>
    <row r="108749" spans="6:6" x14ac:dyDescent="0.3">
      <c r="F108749" s="193"/>
    </row>
    <row r="108750" spans="6:6" x14ac:dyDescent="0.3">
      <c r="F108750" s="193"/>
    </row>
    <row r="108751" spans="6:6" x14ac:dyDescent="0.3">
      <c r="F108751" s="193"/>
    </row>
    <row r="108752" spans="6:6" x14ac:dyDescent="0.3">
      <c r="F108752" s="193"/>
    </row>
    <row r="108753" spans="6:6" x14ac:dyDescent="0.3">
      <c r="F108753" s="193"/>
    </row>
    <row r="108754" spans="6:6" x14ac:dyDescent="0.3">
      <c r="F108754" s="193"/>
    </row>
    <row r="108755" spans="6:6" x14ac:dyDescent="0.3">
      <c r="F108755" s="193"/>
    </row>
    <row r="108756" spans="6:6" x14ac:dyDescent="0.3">
      <c r="F108756" s="193"/>
    </row>
    <row r="108757" spans="6:6" x14ac:dyDescent="0.3">
      <c r="F108757" s="193"/>
    </row>
    <row r="108758" spans="6:6" x14ac:dyDescent="0.3">
      <c r="F108758" s="193"/>
    </row>
    <row r="108759" spans="6:6" x14ac:dyDescent="0.3">
      <c r="F108759" s="193"/>
    </row>
    <row r="108760" spans="6:6" x14ac:dyDescent="0.3">
      <c r="F108760" s="193"/>
    </row>
    <row r="108761" spans="6:6" x14ac:dyDescent="0.3">
      <c r="F108761" s="193"/>
    </row>
    <row r="108762" spans="6:6" x14ac:dyDescent="0.3">
      <c r="F108762" s="193"/>
    </row>
    <row r="108763" spans="6:6" x14ac:dyDescent="0.3">
      <c r="F108763" s="193"/>
    </row>
    <row r="108764" spans="6:6" x14ac:dyDescent="0.3">
      <c r="F108764" s="193"/>
    </row>
    <row r="108765" spans="6:6" x14ac:dyDescent="0.3">
      <c r="F108765" s="193"/>
    </row>
    <row r="108766" spans="6:6" x14ac:dyDescent="0.3">
      <c r="F108766" s="193"/>
    </row>
    <row r="108767" spans="6:6" x14ac:dyDescent="0.3">
      <c r="F108767" s="193"/>
    </row>
    <row r="108768" spans="6:6" x14ac:dyDescent="0.3">
      <c r="F108768" s="193"/>
    </row>
    <row r="108769" spans="6:6" x14ac:dyDescent="0.3">
      <c r="F108769" s="193"/>
    </row>
    <row r="108770" spans="6:6" x14ac:dyDescent="0.3">
      <c r="F108770" s="193"/>
    </row>
    <row r="108771" spans="6:6" x14ac:dyDescent="0.3">
      <c r="F108771" s="193"/>
    </row>
    <row r="108772" spans="6:6" x14ac:dyDescent="0.3">
      <c r="F108772" s="193"/>
    </row>
    <row r="108773" spans="6:6" x14ac:dyDescent="0.3">
      <c r="F108773" s="193"/>
    </row>
    <row r="108774" spans="6:6" x14ac:dyDescent="0.3">
      <c r="F108774" s="193"/>
    </row>
    <row r="108775" spans="6:6" x14ac:dyDescent="0.3">
      <c r="F108775" s="193"/>
    </row>
    <row r="108776" spans="6:6" x14ac:dyDescent="0.3">
      <c r="F108776" s="193"/>
    </row>
    <row r="108777" spans="6:6" x14ac:dyDescent="0.3">
      <c r="F108777" s="193"/>
    </row>
    <row r="108778" spans="6:6" x14ac:dyDescent="0.3">
      <c r="F108778" s="193"/>
    </row>
    <row r="108779" spans="6:6" x14ac:dyDescent="0.3">
      <c r="F108779" s="193"/>
    </row>
    <row r="108780" spans="6:6" x14ac:dyDescent="0.3">
      <c r="F108780" s="193"/>
    </row>
    <row r="108781" spans="6:6" x14ac:dyDescent="0.3">
      <c r="F108781" s="193"/>
    </row>
    <row r="108782" spans="6:6" x14ac:dyDescent="0.3">
      <c r="F108782" s="193"/>
    </row>
    <row r="108783" spans="6:6" x14ac:dyDescent="0.3">
      <c r="F108783" s="193"/>
    </row>
    <row r="108784" spans="6:6" x14ac:dyDescent="0.3">
      <c r="F108784" s="193"/>
    </row>
    <row r="108785" spans="6:6" x14ac:dyDescent="0.3">
      <c r="F108785" s="193"/>
    </row>
    <row r="108786" spans="6:6" x14ac:dyDescent="0.3">
      <c r="F108786" s="193"/>
    </row>
    <row r="108787" spans="6:6" x14ac:dyDescent="0.3">
      <c r="F108787" s="193"/>
    </row>
    <row r="108788" spans="6:6" x14ac:dyDescent="0.3">
      <c r="F108788" s="193"/>
    </row>
    <row r="108789" spans="6:6" x14ac:dyDescent="0.3">
      <c r="F108789" s="193"/>
    </row>
    <row r="108790" spans="6:6" x14ac:dyDescent="0.3">
      <c r="F108790" s="193"/>
    </row>
    <row r="108791" spans="6:6" x14ac:dyDescent="0.3">
      <c r="F108791" s="193"/>
    </row>
    <row r="108792" spans="6:6" x14ac:dyDescent="0.3">
      <c r="F108792" s="193"/>
    </row>
    <row r="108793" spans="6:6" x14ac:dyDescent="0.3">
      <c r="F108793" s="193"/>
    </row>
    <row r="108794" spans="6:6" x14ac:dyDescent="0.3">
      <c r="F108794" s="193"/>
    </row>
    <row r="108795" spans="6:6" x14ac:dyDescent="0.3">
      <c r="F108795" s="193"/>
    </row>
    <row r="108796" spans="6:6" x14ac:dyDescent="0.3">
      <c r="F108796" s="193"/>
    </row>
    <row r="108797" spans="6:6" x14ac:dyDescent="0.3">
      <c r="F108797" s="193"/>
    </row>
    <row r="108798" spans="6:6" x14ac:dyDescent="0.3">
      <c r="F108798" s="193"/>
    </row>
    <row r="108799" spans="6:6" x14ac:dyDescent="0.3">
      <c r="F108799" s="193"/>
    </row>
    <row r="108800" spans="6:6" x14ac:dyDescent="0.3">
      <c r="F108800" s="193"/>
    </row>
    <row r="108801" spans="6:6" x14ac:dyDescent="0.3">
      <c r="F108801" s="193"/>
    </row>
    <row r="108802" spans="6:6" x14ac:dyDescent="0.3">
      <c r="F108802" s="193"/>
    </row>
    <row r="108803" spans="6:6" x14ac:dyDescent="0.3">
      <c r="F108803" s="193"/>
    </row>
    <row r="108804" spans="6:6" x14ac:dyDescent="0.3">
      <c r="F108804" s="193"/>
    </row>
    <row r="108805" spans="6:6" x14ac:dyDescent="0.3">
      <c r="F108805" s="193"/>
    </row>
    <row r="108806" spans="6:6" x14ac:dyDescent="0.3">
      <c r="F108806" s="193"/>
    </row>
    <row r="108807" spans="6:6" x14ac:dyDescent="0.3">
      <c r="F108807" s="193"/>
    </row>
    <row r="108808" spans="6:6" x14ac:dyDescent="0.3">
      <c r="F108808" s="193"/>
    </row>
    <row r="108809" spans="6:6" x14ac:dyDescent="0.3">
      <c r="F108809" s="193"/>
    </row>
    <row r="108810" spans="6:6" x14ac:dyDescent="0.3">
      <c r="F108810" s="193"/>
    </row>
    <row r="108811" spans="6:6" x14ac:dyDescent="0.3">
      <c r="F108811" s="193"/>
    </row>
    <row r="108812" spans="6:6" x14ac:dyDescent="0.3">
      <c r="F108812" s="193"/>
    </row>
    <row r="108813" spans="6:6" x14ac:dyDescent="0.3">
      <c r="F108813" s="193"/>
    </row>
    <row r="108814" spans="6:6" x14ac:dyDescent="0.3">
      <c r="F108814" s="193"/>
    </row>
    <row r="108815" spans="6:6" x14ac:dyDescent="0.3">
      <c r="F108815" s="193"/>
    </row>
    <row r="108816" spans="6:6" x14ac:dyDescent="0.3">
      <c r="F108816" s="193"/>
    </row>
    <row r="108817" spans="6:6" x14ac:dyDescent="0.3">
      <c r="F108817" s="193"/>
    </row>
    <row r="108818" spans="6:6" x14ac:dyDescent="0.3">
      <c r="F108818" s="193"/>
    </row>
    <row r="108819" spans="6:6" x14ac:dyDescent="0.3">
      <c r="F108819" s="193"/>
    </row>
    <row r="108820" spans="6:6" x14ac:dyDescent="0.3">
      <c r="F108820" s="193"/>
    </row>
    <row r="108821" spans="6:6" x14ac:dyDescent="0.3">
      <c r="F108821" s="193"/>
    </row>
    <row r="108822" spans="6:6" x14ac:dyDescent="0.3">
      <c r="F108822" s="193"/>
    </row>
    <row r="108823" spans="6:6" x14ac:dyDescent="0.3">
      <c r="F108823" s="193"/>
    </row>
    <row r="108824" spans="6:6" x14ac:dyDescent="0.3">
      <c r="F108824" s="193"/>
    </row>
    <row r="108825" spans="6:6" x14ac:dyDescent="0.3">
      <c r="F108825" s="193"/>
    </row>
    <row r="108826" spans="6:6" x14ac:dyDescent="0.3">
      <c r="F108826" s="193"/>
    </row>
    <row r="108827" spans="6:6" x14ac:dyDescent="0.3">
      <c r="F108827" s="193"/>
    </row>
    <row r="108828" spans="6:6" x14ac:dyDescent="0.3">
      <c r="F108828" s="193"/>
    </row>
    <row r="108829" spans="6:6" x14ac:dyDescent="0.3">
      <c r="F108829" s="193"/>
    </row>
    <row r="108830" spans="6:6" x14ac:dyDescent="0.3">
      <c r="F108830" s="193"/>
    </row>
    <row r="108831" spans="6:6" x14ac:dyDescent="0.3">
      <c r="F108831" s="193"/>
    </row>
    <row r="108832" spans="6:6" x14ac:dyDescent="0.3">
      <c r="F108832" s="193"/>
    </row>
    <row r="108833" spans="6:6" x14ac:dyDescent="0.3">
      <c r="F108833" s="193"/>
    </row>
    <row r="108834" spans="6:6" x14ac:dyDescent="0.3">
      <c r="F108834" s="193"/>
    </row>
    <row r="108835" spans="6:6" x14ac:dyDescent="0.3">
      <c r="F108835" s="193"/>
    </row>
    <row r="108836" spans="6:6" x14ac:dyDescent="0.3">
      <c r="F108836" s="193"/>
    </row>
    <row r="108837" spans="6:6" x14ac:dyDescent="0.3">
      <c r="F108837" s="193"/>
    </row>
    <row r="108838" spans="6:6" x14ac:dyDescent="0.3">
      <c r="F108838" s="193"/>
    </row>
    <row r="108839" spans="6:6" x14ac:dyDescent="0.3">
      <c r="F108839" s="193"/>
    </row>
    <row r="108840" spans="6:6" x14ac:dyDescent="0.3">
      <c r="F108840" s="193"/>
    </row>
    <row r="108841" spans="6:6" x14ac:dyDescent="0.3">
      <c r="F108841" s="193"/>
    </row>
    <row r="108842" spans="6:6" x14ac:dyDescent="0.3">
      <c r="F108842" s="193"/>
    </row>
    <row r="108843" spans="6:6" x14ac:dyDescent="0.3">
      <c r="F108843" s="193"/>
    </row>
    <row r="108844" spans="6:6" x14ac:dyDescent="0.3">
      <c r="F108844" s="193"/>
    </row>
    <row r="108845" spans="6:6" x14ac:dyDescent="0.3">
      <c r="F108845" s="193"/>
    </row>
    <row r="108846" spans="6:6" x14ac:dyDescent="0.3">
      <c r="F108846" s="193"/>
    </row>
    <row r="108847" spans="6:6" x14ac:dyDescent="0.3">
      <c r="F108847" s="193"/>
    </row>
    <row r="108848" spans="6:6" x14ac:dyDescent="0.3">
      <c r="F108848" s="193"/>
    </row>
    <row r="108849" spans="6:6" x14ac:dyDescent="0.3">
      <c r="F108849" s="193"/>
    </row>
    <row r="108850" spans="6:6" x14ac:dyDescent="0.3">
      <c r="F108850" s="193"/>
    </row>
    <row r="108851" spans="6:6" x14ac:dyDescent="0.3">
      <c r="F108851" s="193"/>
    </row>
    <row r="108852" spans="6:6" x14ac:dyDescent="0.3">
      <c r="F108852" s="193"/>
    </row>
    <row r="108853" spans="6:6" x14ac:dyDescent="0.3">
      <c r="F108853" s="193"/>
    </row>
    <row r="108854" spans="6:6" x14ac:dyDescent="0.3">
      <c r="F108854" s="193"/>
    </row>
    <row r="108855" spans="6:6" x14ac:dyDescent="0.3">
      <c r="F108855" s="193"/>
    </row>
    <row r="108856" spans="6:6" x14ac:dyDescent="0.3">
      <c r="F108856" s="193"/>
    </row>
    <row r="108857" spans="6:6" x14ac:dyDescent="0.3">
      <c r="F108857" s="193"/>
    </row>
    <row r="108858" spans="6:6" x14ac:dyDescent="0.3">
      <c r="F108858" s="193"/>
    </row>
    <row r="108859" spans="6:6" x14ac:dyDescent="0.3">
      <c r="F108859" s="193"/>
    </row>
    <row r="108860" spans="6:6" x14ac:dyDescent="0.3">
      <c r="F108860" s="193"/>
    </row>
    <row r="108861" spans="6:6" x14ac:dyDescent="0.3">
      <c r="F108861" s="193"/>
    </row>
    <row r="108862" spans="6:6" x14ac:dyDescent="0.3">
      <c r="F108862" s="193"/>
    </row>
    <row r="108863" spans="6:6" x14ac:dyDescent="0.3">
      <c r="F108863" s="193"/>
    </row>
    <row r="108864" spans="6:6" x14ac:dyDescent="0.3">
      <c r="F108864" s="193"/>
    </row>
    <row r="108865" spans="6:6" x14ac:dyDescent="0.3">
      <c r="F108865" s="193"/>
    </row>
    <row r="108866" spans="6:6" x14ac:dyDescent="0.3">
      <c r="F108866" s="193"/>
    </row>
    <row r="108867" spans="6:6" x14ac:dyDescent="0.3">
      <c r="F108867" s="193"/>
    </row>
    <row r="108868" spans="6:6" x14ac:dyDescent="0.3">
      <c r="F108868" s="193"/>
    </row>
    <row r="108869" spans="6:6" x14ac:dyDescent="0.3">
      <c r="F108869" s="193"/>
    </row>
    <row r="108870" spans="6:6" x14ac:dyDescent="0.3">
      <c r="F108870" s="193"/>
    </row>
    <row r="108871" spans="6:6" x14ac:dyDescent="0.3">
      <c r="F108871" s="193"/>
    </row>
    <row r="108872" spans="6:6" x14ac:dyDescent="0.3">
      <c r="F108872" s="193"/>
    </row>
    <row r="108873" spans="6:6" x14ac:dyDescent="0.3">
      <c r="F108873" s="193"/>
    </row>
    <row r="108874" spans="6:6" x14ac:dyDescent="0.3">
      <c r="F108874" s="193"/>
    </row>
    <row r="108875" spans="6:6" x14ac:dyDescent="0.3">
      <c r="F108875" s="193"/>
    </row>
    <row r="108876" spans="6:6" x14ac:dyDescent="0.3">
      <c r="F108876" s="193"/>
    </row>
    <row r="108877" spans="6:6" x14ac:dyDescent="0.3">
      <c r="F108877" s="193"/>
    </row>
    <row r="108878" spans="6:6" x14ac:dyDescent="0.3">
      <c r="F108878" s="193"/>
    </row>
    <row r="108879" spans="6:6" x14ac:dyDescent="0.3">
      <c r="F108879" s="193"/>
    </row>
    <row r="108880" spans="6:6" x14ac:dyDescent="0.3">
      <c r="F108880" s="193"/>
    </row>
    <row r="108881" spans="6:6" x14ac:dyDescent="0.3">
      <c r="F108881" s="193"/>
    </row>
    <row r="108882" spans="6:6" x14ac:dyDescent="0.3">
      <c r="F108882" s="193"/>
    </row>
    <row r="108883" spans="6:6" x14ac:dyDescent="0.3">
      <c r="F108883" s="193"/>
    </row>
    <row r="108884" spans="6:6" x14ac:dyDescent="0.3">
      <c r="F108884" s="193"/>
    </row>
    <row r="108885" spans="6:6" x14ac:dyDescent="0.3">
      <c r="F108885" s="193"/>
    </row>
    <row r="108886" spans="6:6" x14ac:dyDescent="0.3">
      <c r="F108886" s="193"/>
    </row>
    <row r="108887" spans="6:6" x14ac:dyDescent="0.3">
      <c r="F108887" s="193"/>
    </row>
    <row r="108888" spans="6:6" x14ac:dyDescent="0.3">
      <c r="F108888" s="193"/>
    </row>
    <row r="108889" spans="6:6" x14ac:dyDescent="0.3">
      <c r="F108889" s="193"/>
    </row>
    <row r="108890" spans="6:6" x14ac:dyDescent="0.3">
      <c r="F108890" s="193"/>
    </row>
    <row r="108891" spans="6:6" x14ac:dyDescent="0.3">
      <c r="F108891" s="193"/>
    </row>
    <row r="108892" spans="6:6" x14ac:dyDescent="0.3">
      <c r="F108892" s="193"/>
    </row>
    <row r="108893" spans="6:6" x14ac:dyDescent="0.3">
      <c r="F108893" s="193"/>
    </row>
    <row r="108894" spans="6:6" x14ac:dyDescent="0.3">
      <c r="F108894" s="193"/>
    </row>
    <row r="108895" spans="6:6" x14ac:dyDescent="0.3">
      <c r="F108895" s="193"/>
    </row>
    <row r="108896" spans="6:6" x14ac:dyDescent="0.3">
      <c r="F108896" s="193"/>
    </row>
    <row r="108897" spans="6:6" x14ac:dyDescent="0.3">
      <c r="F108897" s="193"/>
    </row>
    <row r="108898" spans="6:6" x14ac:dyDescent="0.3">
      <c r="F108898" s="193"/>
    </row>
    <row r="108899" spans="6:6" x14ac:dyDescent="0.3">
      <c r="F108899" s="193"/>
    </row>
    <row r="108900" spans="6:6" x14ac:dyDescent="0.3">
      <c r="F108900" s="193"/>
    </row>
    <row r="108901" spans="6:6" x14ac:dyDescent="0.3">
      <c r="F108901" s="193"/>
    </row>
    <row r="108902" spans="6:6" x14ac:dyDescent="0.3">
      <c r="F108902" s="193"/>
    </row>
    <row r="108903" spans="6:6" x14ac:dyDescent="0.3">
      <c r="F108903" s="193"/>
    </row>
    <row r="108904" spans="6:6" x14ac:dyDescent="0.3">
      <c r="F108904" s="193"/>
    </row>
    <row r="108905" spans="6:6" x14ac:dyDescent="0.3">
      <c r="F108905" s="193"/>
    </row>
    <row r="108906" spans="6:6" x14ac:dyDescent="0.3">
      <c r="F108906" s="193"/>
    </row>
    <row r="108907" spans="6:6" x14ac:dyDescent="0.3">
      <c r="F108907" s="193"/>
    </row>
    <row r="108908" spans="6:6" x14ac:dyDescent="0.3">
      <c r="F108908" s="193"/>
    </row>
    <row r="108909" spans="6:6" x14ac:dyDescent="0.3">
      <c r="F108909" s="193"/>
    </row>
    <row r="108910" spans="6:6" x14ac:dyDescent="0.3">
      <c r="F108910" s="193"/>
    </row>
    <row r="108911" spans="6:6" x14ac:dyDescent="0.3">
      <c r="F108911" s="193"/>
    </row>
    <row r="108912" spans="6:6" x14ac:dyDescent="0.3">
      <c r="F108912" s="193"/>
    </row>
    <row r="108913" spans="6:6" x14ac:dyDescent="0.3">
      <c r="F108913" s="193"/>
    </row>
    <row r="108914" spans="6:6" x14ac:dyDescent="0.3">
      <c r="F108914" s="193"/>
    </row>
    <row r="108915" spans="6:6" x14ac:dyDescent="0.3">
      <c r="F108915" s="193"/>
    </row>
    <row r="108916" spans="6:6" x14ac:dyDescent="0.3">
      <c r="F108916" s="193"/>
    </row>
    <row r="108917" spans="6:6" x14ac:dyDescent="0.3">
      <c r="F108917" s="193"/>
    </row>
    <row r="108918" spans="6:6" x14ac:dyDescent="0.3">
      <c r="F108918" s="193"/>
    </row>
    <row r="108919" spans="6:6" x14ac:dyDescent="0.3">
      <c r="F108919" s="193"/>
    </row>
    <row r="108920" spans="6:6" x14ac:dyDescent="0.3">
      <c r="F108920" s="193"/>
    </row>
    <row r="108921" spans="6:6" x14ac:dyDescent="0.3">
      <c r="F108921" s="193"/>
    </row>
    <row r="108922" spans="6:6" x14ac:dyDescent="0.3">
      <c r="F108922" s="193"/>
    </row>
    <row r="108923" spans="6:6" x14ac:dyDescent="0.3">
      <c r="F108923" s="193"/>
    </row>
    <row r="108924" spans="6:6" x14ac:dyDescent="0.3">
      <c r="F108924" s="193"/>
    </row>
    <row r="108925" spans="6:6" x14ac:dyDescent="0.3">
      <c r="F108925" s="193"/>
    </row>
    <row r="108926" spans="6:6" x14ac:dyDescent="0.3">
      <c r="F108926" s="193"/>
    </row>
    <row r="108927" spans="6:6" x14ac:dyDescent="0.3">
      <c r="F108927" s="193"/>
    </row>
    <row r="108928" spans="6:6" x14ac:dyDescent="0.3">
      <c r="F108928" s="193"/>
    </row>
    <row r="108929" spans="6:6" x14ac:dyDescent="0.3">
      <c r="F108929" s="193"/>
    </row>
    <row r="108930" spans="6:6" x14ac:dyDescent="0.3">
      <c r="F108930" s="193"/>
    </row>
    <row r="108931" spans="6:6" x14ac:dyDescent="0.3">
      <c r="F108931" s="193"/>
    </row>
    <row r="108932" spans="6:6" x14ac:dyDescent="0.3">
      <c r="F108932" s="193"/>
    </row>
    <row r="108933" spans="6:6" x14ac:dyDescent="0.3">
      <c r="F108933" s="193"/>
    </row>
    <row r="108934" spans="6:6" x14ac:dyDescent="0.3">
      <c r="F108934" s="193"/>
    </row>
    <row r="108935" spans="6:6" x14ac:dyDescent="0.3">
      <c r="F108935" s="193"/>
    </row>
    <row r="108936" spans="6:6" x14ac:dyDescent="0.3">
      <c r="F108936" s="193"/>
    </row>
    <row r="108937" spans="6:6" x14ac:dyDescent="0.3">
      <c r="F108937" s="193"/>
    </row>
    <row r="108938" spans="6:6" x14ac:dyDescent="0.3">
      <c r="F108938" s="193"/>
    </row>
    <row r="108939" spans="6:6" x14ac:dyDescent="0.3">
      <c r="F108939" s="193"/>
    </row>
    <row r="108940" spans="6:6" x14ac:dyDescent="0.3">
      <c r="F108940" s="193"/>
    </row>
    <row r="108941" spans="6:6" x14ac:dyDescent="0.3">
      <c r="F108941" s="193"/>
    </row>
    <row r="108942" spans="6:6" x14ac:dyDescent="0.3">
      <c r="F108942" s="193"/>
    </row>
    <row r="108943" spans="6:6" x14ac:dyDescent="0.3">
      <c r="F108943" s="193"/>
    </row>
    <row r="108944" spans="6:6" x14ac:dyDescent="0.3">
      <c r="F108944" s="193"/>
    </row>
    <row r="108945" spans="6:6" x14ac:dyDescent="0.3">
      <c r="F108945" s="193"/>
    </row>
    <row r="108946" spans="6:6" x14ac:dyDescent="0.3">
      <c r="F108946" s="193"/>
    </row>
    <row r="108947" spans="6:6" x14ac:dyDescent="0.3">
      <c r="F108947" s="193"/>
    </row>
    <row r="108948" spans="6:6" x14ac:dyDescent="0.3">
      <c r="F108948" s="193"/>
    </row>
    <row r="108949" spans="6:6" x14ac:dyDescent="0.3">
      <c r="F108949" s="193"/>
    </row>
    <row r="108950" spans="6:6" x14ac:dyDescent="0.3">
      <c r="F108950" s="193"/>
    </row>
    <row r="108951" spans="6:6" x14ac:dyDescent="0.3">
      <c r="F108951" s="193"/>
    </row>
    <row r="108952" spans="6:6" x14ac:dyDescent="0.3">
      <c r="F108952" s="193"/>
    </row>
    <row r="108953" spans="6:6" x14ac:dyDescent="0.3">
      <c r="F108953" s="193"/>
    </row>
    <row r="108954" spans="6:6" x14ac:dyDescent="0.3">
      <c r="F108954" s="193"/>
    </row>
    <row r="108955" spans="6:6" x14ac:dyDescent="0.3">
      <c r="F108955" s="193"/>
    </row>
    <row r="108956" spans="6:6" x14ac:dyDescent="0.3">
      <c r="F108956" s="193"/>
    </row>
    <row r="108957" spans="6:6" x14ac:dyDescent="0.3">
      <c r="F108957" s="193"/>
    </row>
    <row r="108958" spans="6:6" x14ac:dyDescent="0.3">
      <c r="F108958" s="193"/>
    </row>
    <row r="108959" spans="6:6" x14ac:dyDescent="0.3">
      <c r="F108959" s="193"/>
    </row>
    <row r="108960" spans="6:6" x14ac:dyDescent="0.3">
      <c r="F108960" s="193"/>
    </row>
    <row r="108961" spans="6:6" x14ac:dyDescent="0.3">
      <c r="F108961" s="193"/>
    </row>
    <row r="108962" spans="6:6" x14ac:dyDescent="0.3">
      <c r="F108962" s="193"/>
    </row>
    <row r="108963" spans="6:6" x14ac:dyDescent="0.3">
      <c r="F108963" s="193"/>
    </row>
    <row r="108964" spans="6:6" x14ac:dyDescent="0.3">
      <c r="F108964" s="193"/>
    </row>
    <row r="108965" spans="6:6" x14ac:dyDescent="0.3">
      <c r="F108965" s="193"/>
    </row>
    <row r="108966" spans="6:6" x14ac:dyDescent="0.3">
      <c r="F108966" s="193"/>
    </row>
    <row r="108967" spans="6:6" x14ac:dyDescent="0.3">
      <c r="F108967" s="193"/>
    </row>
    <row r="108968" spans="6:6" x14ac:dyDescent="0.3">
      <c r="F108968" s="193"/>
    </row>
    <row r="108969" spans="6:6" x14ac:dyDescent="0.3">
      <c r="F108969" s="193"/>
    </row>
    <row r="108970" spans="6:6" x14ac:dyDescent="0.3">
      <c r="F108970" s="193"/>
    </row>
    <row r="108971" spans="6:6" x14ac:dyDescent="0.3">
      <c r="F108971" s="193"/>
    </row>
    <row r="108972" spans="6:6" x14ac:dyDescent="0.3">
      <c r="F108972" s="193"/>
    </row>
    <row r="108973" spans="6:6" x14ac:dyDescent="0.3">
      <c r="F108973" s="193"/>
    </row>
    <row r="108974" spans="6:6" x14ac:dyDescent="0.3">
      <c r="F108974" s="193"/>
    </row>
    <row r="108975" spans="6:6" x14ac:dyDescent="0.3">
      <c r="F108975" s="193"/>
    </row>
    <row r="108976" spans="6:6" x14ac:dyDescent="0.3">
      <c r="F108976" s="193"/>
    </row>
    <row r="108977" spans="6:6" x14ac:dyDescent="0.3">
      <c r="F108977" s="193"/>
    </row>
    <row r="108978" spans="6:6" x14ac:dyDescent="0.3">
      <c r="F108978" s="193"/>
    </row>
    <row r="108979" spans="6:6" x14ac:dyDescent="0.3">
      <c r="F108979" s="193"/>
    </row>
    <row r="108980" spans="6:6" x14ac:dyDescent="0.3">
      <c r="F108980" s="193"/>
    </row>
    <row r="108981" spans="6:6" x14ac:dyDescent="0.3">
      <c r="F108981" s="193"/>
    </row>
    <row r="108982" spans="6:6" x14ac:dyDescent="0.3">
      <c r="F108982" s="193"/>
    </row>
    <row r="108983" spans="6:6" x14ac:dyDescent="0.3">
      <c r="F108983" s="193"/>
    </row>
    <row r="108984" spans="6:6" x14ac:dyDescent="0.3">
      <c r="F108984" s="193"/>
    </row>
    <row r="108985" spans="6:6" x14ac:dyDescent="0.3">
      <c r="F108985" s="193"/>
    </row>
    <row r="108986" spans="6:6" x14ac:dyDescent="0.3">
      <c r="F108986" s="193"/>
    </row>
    <row r="108987" spans="6:6" x14ac:dyDescent="0.3">
      <c r="F108987" s="193"/>
    </row>
    <row r="108988" spans="6:6" x14ac:dyDescent="0.3">
      <c r="F108988" s="193"/>
    </row>
    <row r="108989" spans="6:6" x14ac:dyDescent="0.3">
      <c r="F108989" s="193"/>
    </row>
    <row r="108990" spans="6:6" x14ac:dyDescent="0.3">
      <c r="F108990" s="193"/>
    </row>
    <row r="108991" spans="6:6" x14ac:dyDescent="0.3">
      <c r="F108991" s="193"/>
    </row>
    <row r="108992" spans="6:6" x14ac:dyDescent="0.3">
      <c r="F108992" s="193"/>
    </row>
    <row r="108993" spans="6:6" x14ac:dyDescent="0.3">
      <c r="F108993" s="193"/>
    </row>
    <row r="108994" spans="6:6" x14ac:dyDescent="0.3">
      <c r="F108994" s="193"/>
    </row>
    <row r="108995" spans="6:6" x14ac:dyDescent="0.3">
      <c r="F108995" s="193"/>
    </row>
    <row r="108996" spans="6:6" x14ac:dyDescent="0.3">
      <c r="F108996" s="193"/>
    </row>
    <row r="108997" spans="6:6" x14ac:dyDescent="0.3">
      <c r="F108997" s="193"/>
    </row>
    <row r="108998" spans="6:6" x14ac:dyDescent="0.3">
      <c r="F108998" s="193"/>
    </row>
    <row r="108999" spans="6:6" x14ac:dyDescent="0.3">
      <c r="F108999" s="193"/>
    </row>
    <row r="109000" spans="6:6" x14ac:dyDescent="0.3">
      <c r="F109000" s="193"/>
    </row>
    <row r="109001" spans="6:6" x14ac:dyDescent="0.3">
      <c r="F109001" s="193"/>
    </row>
    <row r="109002" spans="6:6" x14ac:dyDescent="0.3">
      <c r="F109002" s="193"/>
    </row>
    <row r="109003" spans="6:6" x14ac:dyDescent="0.3">
      <c r="F109003" s="193"/>
    </row>
    <row r="109004" spans="6:6" x14ac:dyDescent="0.3">
      <c r="F109004" s="193"/>
    </row>
    <row r="109005" spans="6:6" x14ac:dyDescent="0.3">
      <c r="F109005" s="193"/>
    </row>
    <row r="109006" spans="6:6" x14ac:dyDescent="0.3">
      <c r="F109006" s="193"/>
    </row>
    <row r="109007" spans="6:6" x14ac:dyDescent="0.3">
      <c r="F109007" s="193"/>
    </row>
    <row r="109008" spans="6:6" x14ac:dyDescent="0.3">
      <c r="F109008" s="193"/>
    </row>
    <row r="109009" spans="6:6" x14ac:dyDescent="0.3">
      <c r="F109009" s="193"/>
    </row>
    <row r="109010" spans="6:6" x14ac:dyDescent="0.3">
      <c r="F109010" s="193"/>
    </row>
    <row r="109011" spans="6:6" x14ac:dyDescent="0.3">
      <c r="F109011" s="193"/>
    </row>
    <row r="109012" spans="6:6" x14ac:dyDescent="0.3">
      <c r="F109012" s="193"/>
    </row>
    <row r="109013" spans="6:6" x14ac:dyDescent="0.3">
      <c r="F109013" s="193"/>
    </row>
    <row r="109014" spans="6:6" x14ac:dyDescent="0.3">
      <c r="F109014" s="193"/>
    </row>
    <row r="109015" spans="6:6" x14ac:dyDescent="0.3">
      <c r="F109015" s="193"/>
    </row>
    <row r="109016" spans="6:6" x14ac:dyDescent="0.3">
      <c r="F109016" s="193"/>
    </row>
    <row r="109017" spans="6:6" x14ac:dyDescent="0.3">
      <c r="F109017" s="193"/>
    </row>
    <row r="109018" spans="6:6" x14ac:dyDescent="0.3">
      <c r="F109018" s="193"/>
    </row>
    <row r="109019" spans="6:6" x14ac:dyDescent="0.3">
      <c r="F109019" s="193"/>
    </row>
    <row r="109020" spans="6:6" x14ac:dyDescent="0.3">
      <c r="F109020" s="193"/>
    </row>
    <row r="109021" spans="6:6" x14ac:dyDescent="0.3">
      <c r="F109021" s="193"/>
    </row>
    <row r="109022" spans="6:6" x14ac:dyDescent="0.3">
      <c r="F109022" s="193"/>
    </row>
    <row r="109023" spans="6:6" x14ac:dyDescent="0.3">
      <c r="F109023" s="193"/>
    </row>
    <row r="109024" spans="6:6" x14ac:dyDescent="0.3">
      <c r="F109024" s="193"/>
    </row>
    <row r="109025" spans="6:6" x14ac:dyDescent="0.3">
      <c r="F109025" s="193"/>
    </row>
    <row r="109026" spans="6:6" x14ac:dyDescent="0.3">
      <c r="F109026" s="193"/>
    </row>
    <row r="109027" spans="6:6" x14ac:dyDescent="0.3">
      <c r="F109027" s="193"/>
    </row>
    <row r="109028" spans="6:6" x14ac:dyDescent="0.3">
      <c r="F109028" s="193"/>
    </row>
    <row r="109029" spans="6:6" x14ac:dyDescent="0.3">
      <c r="F109029" s="193"/>
    </row>
    <row r="109030" spans="6:6" x14ac:dyDescent="0.3">
      <c r="F109030" s="193"/>
    </row>
    <row r="109031" spans="6:6" x14ac:dyDescent="0.3">
      <c r="F109031" s="193"/>
    </row>
    <row r="109032" spans="6:6" x14ac:dyDescent="0.3">
      <c r="F109032" s="193"/>
    </row>
    <row r="109033" spans="6:6" x14ac:dyDescent="0.3">
      <c r="F109033" s="193"/>
    </row>
    <row r="109034" spans="6:6" x14ac:dyDescent="0.3">
      <c r="F109034" s="193"/>
    </row>
    <row r="109035" spans="6:6" x14ac:dyDescent="0.3">
      <c r="F109035" s="193"/>
    </row>
    <row r="109036" spans="6:6" x14ac:dyDescent="0.3">
      <c r="F109036" s="193"/>
    </row>
    <row r="109037" spans="6:6" x14ac:dyDescent="0.3">
      <c r="F109037" s="193"/>
    </row>
    <row r="109038" spans="6:6" x14ac:dyDescent="0.3">
      <c r="F109038" s="193"/>
    </row>
    <row r="109039" spans="6:6" x14ac:dyDescent="0.3">
      <c r="F109039" s="193"/>
    </row>
    <row r="109040" spans="6:6" x14ac:dyDescent="0.3">
      <c r="F109040" s="193"/>
    </row>
    <row r="109041" spans="6:6" x14ac:dyDescent="0.3">
      <c r="F109041" s="193"/>
    </row>
    <row r="109042" spans="6:6" x14ac:dyDescent="0.3">
      <c r="F109042" s="193"/>
    </row>
    <row r="109043" spans="6:6" x14ac:dyDescent="0.3">
      <c r="F109043" s="193"/>
    </row>
    <row r="109044" spans="6:6" x14ac:dyDescent="0.3">
      <c r="F109044" s="193"/>
    </row>
    <row r="109045" spans="6:6" x14ac:dyDescent="0.3">
      <c r="F109045" s="193"/>
    </row>
    <row r="109046" spans="6:6" x14ac:dyDescent="0.3">
      <c r="F109046" s="193"/>
    </row>
    <row r="109047" spans="6:6" x14ac:dyDescent="0.3">
      <c r="F109047" s="193"/>
    </row>
    <row r="109048" spans="6:6" x14ac:dyDescent="0.3">
      <c r="F109048" s="193"/>
    </row>
    <row r="109049" spans="6:6" x14ac:dyDescent="0.3">
      <c r="F109049" s="193"/>
    </row>
    <row r="109050" spans="6:6" x14ac:dyDescent="0.3">
      <c r="F109050" s="193"/>
    </row>
    <row r="109051" spans="6:6" x14ac:dyDescent="0.3">
      <c r="F109051" s="193"/>
    </row>
    <row r="109052" spans="6:6" x14ac:dyDescent="0.3">
      <c r="F109052" s="193"/>
    </row>
    <row r="109053" spans="6:6" x14ac:dyDescent="0.3">
      <c r="F109053" s="193"/>
    </row>
    <row r="109054" spans="6:6" x14ac:dyDescent="0.3">
      <c r="F109054" s="193"/>
    </row>
    <row r="109055" spans="6:6" x14ac:dyDescent="0.3">
      <c r="F109055" s="193"/>
    </row>
    <row r="109056" spans="6:6" x14ac:dyDescent="0.3">
      <c r="F109056" s="193"/>
    </row>
    <row r="109057" spans="6:6" x14ac:dyDescent="0.3">
      <c r="F109057" s="193"/>
    </row>
    <row r="109058" spans="6:6" x14ac:dyDescent="0.3">
      <c r="F109058" s="193"/>
    </row>
    <row r="109059" spans="6:6" x14ac:dyDescent="0.3">
      <c r="F109059" s="193"/>
    </row>
    <row r="109060" spans="6:6" x14ac:dyDescent="0.3">
      <c r="F109060" s="193"/>
    </row>
    <row r="109061" spans="6:6" x14ac:dyDescent="0.3">
      <c r="F109061" s="193"/>
    </row>
    <row r="109062" spans="6:6" x14ac:dyDescent="0.3">
      <c r="F109062" s="193"/>
    </row>
    <row r="109063" spans="6:6" x14ac:dyDescent="0.3">
      <c r="F109063" s="193"/>
    </row>
    <row r="109064" spans="6:6" x14ac:dyDescent="0.3">
      <c r="F109064" s="193"/>
    </row>
    <row r="109065" spans="6:6" x14ac:dyDescent="0.3">
      <c r="F109065" s="193"/>
    </row>
    <row r="109066" spans="6:6" x14ac:dyDescent="0.3">
      <c r="F109066" s="193"/>
    </row>
    <row r="109067" spans="6:6" x14ac:dyDescent="0.3">
      <c r="F109067" s="193"/>
    </row>
    <row r="109068" spans="6:6" x14ac:dyDescent="0.3">
      <c r="F109068" s="193"/>
    </row>
    <row r="109069" spans="6:6" x14ac:dyDescent="0.3">
      <c r="F109069" s="193"/>
    </row>
    <row r="109070" spans="6:6" x14ac:dyDescent="0.3">
      <c r="F109070" s="193"/>
    </row>
    <row r="109071" spans="6:6" x14ac:dyDescent="0.3">
      <c r="F109071" s="193"/>
    </row>
    <row r="109072" spans="6:6" x14ac:dyDescent="0.3">
      <c r="F109072" s="193"/>
    </row>
    <row r="109073" spans="6:6" x14ac:dyDescent="0.3">
      <c r="F109073" s="193"/>
    </row>
    <row r="109074" spans="6:6" x14ac:dyDescent="0.3">
      <c r="F109074" s="193"/>
    </row>
    <row r="109075" spans="6:6" x14ac:dyDescent="0.3">
      <c r="F109075" s="193"/>
    </row>
    <row r="109076" spans="6:6" x14ac:dyDescent="0.3">
      <c r="F109076" s="193"/>
    </row>
    <row r="109077" spans="6:6" x14ac:dyDescent="0.3">
      <c r="F109077" s="193"/>
    </row>
    <row r="109078" spans="6:6" x14ac:dyDescent="0.3">
      <c r="F109078" s="193"/>
    </row>
    <row r="109079" spans="6:6" x14ac:dyDescent="0.3">
      <c r="F109079" s="193"/>
    </row>
    <row r="109080" spans="6:6" x14ac:dyDescent="0.3">
      <c r="F109080" s="193"/>
    </row>
    <row r="109081" spans="6:6" x14ac:dyDescent="0.3">
      <c r="F109081" s="193"/>
    </row>
    <row r="109082" spans="6:6" x14ac:dyDescent="0.3">
      <c r="F109082" s="193"/>
    </row>
    <row r="109083" spans="6:6" x14ac:dyDescent="0.3">
      <c r="F109083" s="193"/>
    </row>
    <row r="109084" spans="6:6" x14ac:dyDescent="0.3">
      <c r="F109084" s="193"/>
    </row>
    <row r="109085" spans="6:6" x14ac:dyDescent="0.3">
      <c r="F109085" s="193"/>
    </row>
    <row r="109086" spans="6:6" x14ac:dyDescent="0.3">
      <c r="F109086" s="193"/>
    </row>
    <row r="109087" spans="6:6" x14ac:dyDescent="0.3">
      <c r="F109087" s="193"/>
    </row>
    <row r="109088" spans="6:6" x14ac:dyDescent="0.3">
      <c r="F109088" s="193"/>
    </row>
    <row r="109089" spans="6:6" x14ac:dyDescent="0.3">
      <c r="F109089" s="193"/>
    </row>
    <row r="109090" spans="6:6" x14ac:dyDescent="0.3">
      <c r="F109090" s="193"/>
    </row>
    <row r="109091" spans="6:6" x14ac:dyDescent="0.3">
      <c r="F109091" s="193"/>
    </row>
    <row r="109092" spans="6:6" x14ac:dyDescent="0.3">
      <c r="F109092" s="193"/>
    </row>
    <row r="109093" spans="6:6" x14ac:dyDescent="0.3">
      <c r="F109093" s="193"/>
    </row>
    <row r="109094" spans="6:6" x14ac:dyDescent="0.3">
      <c r="F109094" s="193"/>
    </row>
    <row r="109095" spans="6:6" x14ac:dyDescent="0.3">
      <c r="F109095" s="193"/>
    </row>
    <row r="109096" spans="6:6" x14ac:dyDescent="0.3">
      <c r="F109096" s="193"/>
    </row>
    <row r="109097" spans="6:6" x14ac:dyDescent="0.3">
      <c r="F109097" s="193"/>
    </row>
    <row r="109098" spans="6:6" x14ac:dyDescent="0.3">
      <c r="F109098" s="193"/>
    </row>
    <row r="109099" spans="6:6" x14ac:dyDescent="0.3">
      <c r="F109099" s="193"/>
    </row>
    <row r="109100" spans="6:6" x14ac:dyDescent="0.3">
      <c r="F109100" s="193"/>
    </row>
    <row r="109101" spans="6:6" x14ac:dyDescent="0.3">
      <c r="F109101" s="193"/>
    </row>
    <row r="109102" spans="6:6" x14ac:dyDescent="0.3">
      <c r="F109102" s="193"/>
    </row>
    <row r="109103" spans="6:6" x14ac:dyDescent="0.3">
      <c r="F109103" s="193"/>
    </row>
    <row r="109104" spans="6:6" x14ac:dyDescent="0.3">
      <c r="F109104" s="193"/>
    </row>
    <row r="109105" spans="6:6" x14ac:dyDescent="0.3">
      <c r="F109105" s="193"/>
    </row>
    <row r="109106" spans="6:6" x14ac:dyDescent="0.3">
      <c r="F109106" s="193"/>
    </row>
    <row r="109107" spans="6:6" x14ac:dyDescent="0.3">
      <c r="F109107" s="193"/>
    </row>
    <row r="109108" spans="6:6" x14ac:dyDescent="0.3">
      <c r="F109108" s="193"/>
    </row>
    <row r="109109" spans="6:6" x14ac:dyDescent="0.3">
      <c r="F109109" s="193"/>
    </row>
    <row r="109110" spans="6:6" x14ac:dyDescent="0.3">
      <c r="F109110" s="193"/>
    </row>
    <row r="109111" spans="6:6" x14ac:dyDescent="0.3">
      <c r="F109111" s="193"/>
    </row>
    <row r="109112" spans="6:6" x14ac:dyDescent="0.3">
      <c r="F109112" s="193"/>
    </row>
    <row r="109113" spans="6:6" x14ac:dyDescent="0.3">
      <c r="F109113" s="193"/>
    </row>
    <row r="109114" spans="6:6" x14ac:dyDescent="0.3">
      <c r="F109114" s="193"/>
    </row>
    <row r="109115" spans="6:6" x14ac:dyDescent="0.3">
      <c r="F109115" s="193"/>
    </row>
    <row r="109116" spans="6:6" x14ac:dyDescent="0.3">
      <c r="F109116" s="193"/>
    </row>
    <row r="109117" spans="6:6" x14ac:dyDescent="0.3">
      <c r="F109117" s="193"/>
    </row>
    <row r="109118" spans="6:6" x14ac:dyDescent="0.3">
      <c r="F109118" s="193"/>
    </row>
    <row r="109119" spans="6:6" x14ac:dyDescent="0.3">
      <c r="F109119" s="193"/>
    </row>
    <row r="109120" spans="6:6" x14ac:dyDescent="0.3">
      <c r="F109120" s="193"/>
    </row>
    <row r="109121" spans="6:6" x14ac:dyDescent="0.3">
      <c r="F109121" s="193"/>
    </row>
    <row r="109122" spans="6:6" x14ac:dyDescent="0.3">
      <c r="F109122" s="193"/>
    </row>
    <row r="109123" spans="6:6" x14ac:dyDescent="0.3">
      <c r="F109123" s="193"/>
    </row>
    <row r="109124" spans="6:6" x14ac:dyDescent="0.3">
      <c r="F109124" s="193"/>
    </row>
    <row r="109125" spans="6:6" x14ac:dyDescent="0.3">
      <c r="F109125" s="193"/>
    </row>
    <row r="109126" spans="6:6" x14ac:dyDescent="0.3">
      <c r="F109126" s="193"/>
    </row>
    <row r="109127" spans="6:6" x14ac:dyDescent="0.3">
      <c r="F109127" s="193"/>
    </row>
    <row r="109128" spans="6:6" x14ac:dyDescent="0.3">
      <c r="F109128" s="193"/>
    </row>
    <row r="109129" spans="6:6" x14ac:dyDescent="0.3">
      <c r="F109129" s="193"/>
    </row>
    <row r="109130" spans="6:6" x14ac:dyDescent="0.3">
      <c r="F109130" s="193"/>
    </row>
    <row r="109131" spans="6:6" x14ac:dyDescent="0.3">
      <c r="F109131" s="193"/>
    </row>
    <row r="109132" spans="6:6" x14ac:dyDescent="0.3">
      <c r="F109132" s="193"/>
    </row>
    <row r="109133" spans="6:6" x14ac:dyDescent="0.3">
      <c r="F109133" s="193"/>
    </row>
    <row r="109134" spans="6:6" x14ac:dyDescent="0.3">
      <c r="F109134" s="193"/>
    </row>
    <row r="109135" spans="6:6" x14ac:dyDescent="0.3">
      <c r="F109135" s="193"/>
    </row>
    <row r="109136" spans="6:6" x14ac:dyDescent="0.3">
      <c r="F109136" s="193"/>
    </row>
    <row r="109137" spans="6:6" x14ac:dyDescent="0.3">
      <c r="F109137" s="193"/>
    </row>
    <row r="109138" spans="6:6" x14ac:dyDescent="0.3">
      <c r="F109138" s="193"/>
    </row>
    <row r="109139" spans="6:6" x14ac:dyDescent="0.3">
      <c r="F109139" s="193"/>
    </row>
    <row r="109140" spans="6:6" x14ac:dyDescent="0.3">
      <c r="F109140" s="193"/>
    </row>
    <row r="109141" spans="6:6" x14ac:dyDescent="0.3">
      <c r="F109141" s="193"/>
    </row>
    <row r="109142" spans="6:6" x14ac:dyDescent="0.3">
      <c r="F109142" s="193"/>
    </row>
    <row r="109143" spans="6:6" x14ac:dyDescent="0.3">
      <c r="F109143" s="193"/>
    </row>
    <row r="109144" spans="6:6" x14ac:dyDescent="0.3">
      <c r="F109144" s="193"/>
    </row>
    <row r="109145" spans="6:6" x14ac:dyDescent="0.3">
      <c r="F109145" s="193"/>
    </row>
    <row r="109146" spans="6:6" x14ac:dyDescent="0.3">
      <c r="F109146" s="193"/>
    </row>
    <row r="109147" spans="6:6" x14ac:dyDescent="0.3">
      <c r="F109147" s="193"/>
    </row>
    <row r="109148" spans="6:6" x14ac:dyDescent="0.3">
      <c r="F109148" s="193"/>
    </row>
    <row r="109149" spans="6:6" x14ac:dyDescent="0.3">
      <c r="F109149" s="193"/>
    </row>
    <row r="109150" spans="6:6" x14ac:dyDescent="0.3">
      <c r="F109150" s="193"/>
    </row>
    <row r="109151" spans="6:6" x14ac:dyDescent="0.3">
      <c r="F109151" s="193"/>
    </row>
    <row r="109152" spans="6:6" x14ac:dyDescent="0.3">
      <c r="F109152" s="193"/>
    </row>
    <row r="109153" spans="6:6" x14ac:dyDescent="0.3">
      <c r="F109153" s="193"/>
    </row>
    <row r="109154" spans="6:6" x14ac:dyDescent="0.3">
      <c r="F109154" s="193"/>
    </row>
    <row r="109155" spans="6:6" x14ac:dyDescent="0.3">
      <c r="F109155" s="193"/>
    </row>
    <row r="109156" spans="6:6" x14ac:dyDescent="0.3">
      <c r="F109156" s="193"/>
    </row>
    <row r="109157" spans="6:6" x14ac:dyDescent="0.3">
      <c r="F109157" s="193"/>
    </row>
    <row r="109158" spans="6:6" x14ac:dyDescent="0.3">
      <c r="F109158" s="193"/>
    </row>
    <row r="109159" spans="6:6" x14ac:dyDescent="0.3">
      <c r="F109159" s="193"/>
    </row>
    <row r="109160" spans="6:6" x14ac:dyDescent="0.3">
      <c r="F109160" s="193"/>
    </row>
    <row r="109161" spans="6:6" x14ac:dyDescent="0.3">
      <c r="F109161" s="193"/>
    </row>
    <row r="109162" spans="6:6" x14ac:dyDescent="0.3">
      <c r="F109162" s="193"/>
    </row>
    <row r="109163" spans="6:6" x14ac:dyDescent="0.3">
      <c r="F109163" s="193"/>
    </row>
    <row r="109164" spans="6:6" x14ac:dyDescent="0.3">
      <c r="F109164" s="193"/>
    </row>
    <row r="109165" spans="6:6" x14ac:dyDescent="0.3">
      <c r="F109165" s="193"/>
    </row>
    <row r="109166" spans="6:6" x14ac:dyDescent="0.3">
      <c r="F109166" s="193"/>
    </row>
    <row r="109167" spans="6:6" x14ac:dyDescent="0.3">
      <c r="F109167" s="193"/>
    </row>
    <row r="109168" spans="6:6" x14ac:dyDescent="0.3">
      <c r="F109168" s="193"/>
    </row>
    <row r="109169" spans="6:6" x14ac:dyDescent="0.3">
      <c r="F109169" s="193"/>
    </row>
    <row r="109170" spans="6:6" x14ac:dyDescent="0.3">
      <c r="F109170" s="193"/>
    </row>
    <row r="109171" spans="6:6" x14ac:dyDescent="0.3">
      <c r="F109171" s="193"/>
    </row>
    <row r="109172" spans="6:6" x14ac:dyDescent="0.3">
      <c r="F109172" s="193"/>
    </row>
    <row r="109173" spans="6:6" x14ac:dyDescent="0.3">
      <c r="F109173" s="193"/>
    </row>
    <row r="109174" spans="6:6" x14ac:dyDescent="0.3">
      <c r="F109174" s="193"/>
    </row>
    <row r="109175" spans="6:6" x14ac:dyDescent="0.3">
      <c r="F109175" s="193"/>
    </row>
    <row r="109176" spans="6:6" x14ac:dyDescent="0.3">
      <c r="F109176" s="193"/>
    </row>
    <row r="109177" spans="6:6" x14ac:dyDescent="0.3">
      <c r="F109177" s="193"/>
    </row>
    <row r="109178" spans="6:6" x14ac:dyDescent="0.3">
      <c r="F109178" s="193"/>
    </row>
    <row r="109179" spans="6:6" x14ac:dyDescent="0.3">
      <c r="F109179" s="193"/>
    </row>
    <row r="109180" spans="6:6" x14ac:dyDescent="0.3">
      <c r="F109180" s="193"/>
    </row>
    <row r="109181" spans="6:6" x14ac:dyDescent="0.3">
      <c r="F109181" s="193"/>
    </row>
    <row r="109182" spans="6:6" x14ac:dyDescent="0.3">
      <c r="F109182" s="193"/>
    </row>
    <row r="109183" spans="6:6" x14ac:dyDescent="0.3">
      <c r="F109183" s="193"/>
    </row>
    <row r="109184" spans="6:6" x14ac:dyDescent="0.3">
      <c r="F109184" s="193"/>
    </row>
    <row r="109185" spans="6:6" x14ac:dyDescent="0.3">
      <c r="F109185" s="193"/>
    </row>
    <row r="109186" spans="6:6" x14ac:dyDescent="0.3">
      <c r="F109186" s="193"/>
    </row>
    <row r="109187" spans="6:6" x14ac:dyDescent="0.3">
      <c r="F109187" s="193"/>
    </row>
    <row r="109188" spans="6:6" x14ac:dyDescent="0.3">
      <c r="F109188" s="193"/>
    </row>
    <row r="109189" spans="6:6" x14ac:dyDescent="0.3">
      <c r="F109189" s="193"/>
    </row>
    <row r="109190" spans="6:6" x14ac:dyDescent="0.3">
      <c r="F109190" s="193"/>
    </row>
    <row r="109191" spans="6:6" x14ac:dyDescent="0.3">
      <c r="F109191" s="193"/>
    </row>
    <row r="109192" spans="6:6" x14ac:dyDescent="0.3">
      <c r="F109192" s="193"/>
    </row>
    <row r="109193" spans="6:6" x14ac:dyDescent="0.3">
      <c r="F109193" s="193"/>
    </row>
    <row r="109194" spans="6:6" x14ac:dyDescent="0.3">
      <c r="F109194" s="193"/>
    </row>
    <row r="109195" spans="6:6" x14ac:dyDescent="0.3">
      <c r="F109195" s="193"/>
    </row>
    <row r="109196" spans="6:6" x14ac:dyDescent="0.3">
      <c r="F109196" s="193"/>
    </row>
    <row r="109197" spans="6:6" x14ac:dyDescent="0.3">
      <c r="F109197" s="193"/>
    </row>
    <row r="109198" spans="6:6" x14ac:dyDescent="0.3">
      <c r="F109198" s="193"/>
    </row>
    <row r="109199" spans="6:6" x14ac:dyDescent="0.3">
      <c r="F109199" s="193"/>
    </row>
    <row r="109200" spans="6:6" x14ac:dyDescent="0.3">
      <c r="F109200" s="193"/>
    </row>
    <row r="109201" spans="6:6" x14ac:dyDescent="0.3">
      <c r="F109201" s="193"/>
    </row>
    <row r="109202" spans="6:6" x14ac:dyDescent="0.3">
      <c r="F109202" s="193"/>
    </row>
    <row r="109203" spans="6:6" x14ac:dyDescent="0.3">
      <c r="F109203" s="193"/>
    </row>
    <row r="109204" spans="6:6" x14ac:dyDescent="0.3">
      <c r="F109204" s="193"/>
    </row>
    <row r="109205" spans="6:6" x14ac:dyDescent="0.3">
      <c r="F109205" s="193"/>
    </row>
    <row r="109206" spans="6:6" x14ac:dyDescent="0.3">
      <c r="F109206" s="193"/>
    </row>
    <row r="109207" spans="6:6" x14ac:dyDescent="0.3">
      <c r="F109207" s="193"/>
    </row>
    <row r="109208" spans="6:6" x14ac:dyDescent="0.3">
      <c r="F109208" s="193"/>
    </row>
    <row r="109209" spans="6:6" x14ac:dyDescent="0.3">
      <c r="F109209" s="193"/>
    </row>
    <row r="109210" spans="6:6" x14ac:dyDescent="0.3">
      <c r="F109210" s="193"/>
    </row>
    <row r="109211" spans="6:6" x14ac:dyDescent="0.3">
      <c r="F109211" s="193"/>
    </row>
    <row r="109212" spans="6:6" x14ac:dyDescent="0.3">
      <c r="F109212" s="193"/>
    </row>
    <row r="109213" spans="6:6" x14ac:dyDescent="0.3">
      <c r="F109213" s="193"/>
    </row>
    <row r="109214" spans="6:6" x14ac:dyDescent="0.3">
      <c r="F109214" s="193"/>
    </row>
    <row r="109215" spans="6:6" x14ac:dyDescent="0.3">
      <c r="F109215" s="193"/>
    </row>
    <row r="109216" spans="6:6" x14ac:dyDescent="0.3">
      <c r="F109216" s="193"/>
    </row>
    <row r="109217" spans="6:6" x14ac:dyDescent="0.3">
      <c r="F109217" s="193"/>
    </row>
    <row r="109218" spans="6:6" x14ac:dyDescent="0.3">
      <c r="F109218" s="193"/>
    </row>
    <row r="109219" spans="6:6" x14ac:dyDescent="0.3">
      <c r="F109219" s="193"/>
    </row>
    <row r="109220" spans="6:6" x14ac:dyDescent="0.3">
      <c r="F109220" s="193"/>
    </row>
    <row r="109221" spans="6:6" x14ac:dyDescent="0.3">
      <c r="F109221" s="193"/>
    </row>
    <row r="109222" spans="6:6" x14ac:dyDescent="0.3">
      <c r="F109222" s="193"/>
    </row>
    <row r="109223" spans="6:6" x14ac:dyDescent="0.3">
      <c r="F109223" s="193"/>
    </row>
    <row r="109224" spans="6:6" x14ac:dyDescent="0.3">
      <c r="F109224" s="193"/>
    </row>
    <row r="109225" spans="6:6" x14ac:dyDescent="0.3">
      <c r="F109225" s="193"/>
    </row>
    <row r="109226" spans="6:6" x14ac:dyDescent="0.3">
      <c r="F109226" s="193"/>
    </row>
    <row r="109227" spans="6:6" x14ac:dyDescent="0.3">
      <c r="F109227" s="193"/>
    </row>
    <row r="109228" spans="6:6" x14ac:dyDescent="0.3">
      <c r="F109228" s="193"/>
    </row>
    <row r="109229" spans="6:6" x14ac:dyDescent="0.3">
      <c r="F109229" s="193"/>
    </row>
    <row r="109230" spans="6:6" x14ac:dyDescent="0.3">
      <c r="F109230" s="193"/>
    </row>
    <row r="109231" spans="6:6" x14ac:dyDescent="0.3">
      <c r="F109231" s="193"/>
    </row>
    <row r="109232" spans="6:6" x14ac:dyDescent="0.3">
      <c r="F109232" s="193"/>
    </row>
    <row r="109233" spans="6:6" x14ac:dyDescent="0.3">
      <c r="F109233" s="193"/>
    </row>
    <row r="109234" spans="6:6" x14ac:dyDescent="0.3">
      <c r="F109234" s="193"/>
    </row>
    <row r="109235" spans="6:6" x14ac:dyDescent="0.3">
      <c r="F109235" s="193"/>
    </row>
    <row r="109236" spans="6:6" x14ac:dyDescent="0.3">
      <c r="F109236" s="193"/>
    </row>
    <row r="109237" spans="6:6" x14ac:dyDescent="0.3">
      <c r="F109237" s="193"/>
    </row>
    <row r="109238" spans="6:6" x14ac:dyDescent="0.3">
      <c r="F109238" s="193"/>
    </row>
    <row r="109239" spans="6:6" x14ac:dyDescent="0.3">
      <c r="F109239" s="193"/>
    </row>
    <row r="109240" spans="6:6" x14ac:dyDescent="0.3">
      <c r="F109240" s="193"/>
    </row>
    <row r="109241" spans="6:6" x14ac:dyDescent="0.3">
      <c r="F109241" s="193"/>
    </row>
    <row r="109242" spans="6:6" x14ac:dyDescent="0.3">
      <c r="F109242" s="193"/>
    </row>
    <row r="109243" spans="6:6" x14ac:dyDescent="0.3">
      <c r="F109243" s="193"/>
    </row>
    <row r="109244" spans="6:6" x14ac:dyDescent="0.3">
      <c r="F109244" s="193"/>
    </row>
    <row r="109245" spans="6:6" x14ac:dyDescent="0.3">
      <c r="F109245" s="193"/>
    </row>
    <row r="109246" spans="6:6" x14ac:dyDescent="0.3">
      <c r="F109246" s="193"/>
    </row>
    <row r="109247" spans="6:6" x14ac:dyDescent="0.3">
      <c r="F109247" s="193"/>
    </row>
    <row r="109248" spans="6:6" x14ac:dyDescent="0.3">
      <c r="F109248" s="193"/>
    </row>
    <row r="109249" spans="6:6" x14ac:dyDescent="0.3">
      <c r="F109249" s="193"/>
    </row>
    <row r="109250" spans="6:6" x14ac:dyDescent="0.3">
      <c r="F109250" s="193"/>
    </row>
    <row r="109251" spans="6:6" x14ac:dyDescent="0.3">
      <c r="F109251" s="193"/>
    </row>
    <row r="109252" spans="6:6" x14ac:dyDescent="0.3">
      <c r="F109252" s="193"/>
    </row>
    <row r="109253" spans="6:6" x14ac:dyDescent="0.3">
      <c r="F109253" s="193"/>
    </row>
    <row r="109254" spans="6:6" x14ac:dyDescent="0.3">
      <c r="F109254" s="193"/>
    </row>
    <row r="109255" spans="6:6" x14ac:dyDescent="0.3">
      <c r="F109255" s="193"/>
    </row>
    <row r="109256" spans="6:6" x14ac:dyDescent="0.3">
      <c r="F109256" s="193"/>
    </row>
    <row r="109257" spans="6:6" x14ac:dyDescent="0.3">
      <c r="F109257" s="193"/>
    </row>
    <row r="109258" spans="6:6" x14ac:dyDescent="0.3">
      <c r="F109258" s="193"/>
    </row>
    <row r="109259" spans="6:6" x14ac:dyDescent="0.3">
      <c r="F109259" s="193"/>
    </row>
    <row r="109260" spans="6:6" x14ac:dyDescent="0.3">
      <c r="F109260" s="193"/>
    </row>
    <row r="109261" spans="6:6" x14ac:dyDescent="0.3">
      <c r="F109261" s="193"/>
    </row>
    <row r="109262" spans="6:6" x14ac:dyDescent="0.3">
      <c r="F109262" s="193"/>
    </row>
    <row r="109263" spans="6:6" x14ac:dyDescent="0.3">
      <c r="F109263" s="193"/>
    </row>
    <row r="109264" spans="6:6" x14ac:dyDescent="0.3">
      <c r="F109264" s="193"/>
    </row>
    <row r="109265" spans="6:6" x14ac:dyDescent="0.3">
      <c r="F109265" s="193"/>
    </row>
    <row r="109266" spans="6:6" x14ac:dyDescent="0.3">
      <c r="F109266" s="193"/>
    </row>
    <row r="109267" spans="6:6" x14ac:dyDescent="0.3">
      <c r="F109267" s="193"/>
    </row>
    <row r="109268" spans="6:6" x14ac:dyDescent="0.3">
      <c r="F109268" s="193"/>
    </row>
    <row r="109269" spans="6:6" x14ac:dyDescent="0.3">
      <c r="F109269" s="193"/>
    </row>
    <row r="109270" spans="6:6" x14ac:dyDescent="0.3">
      <c r="F109270" s="193"/>
    </row>
    <row r="109271" spans="6:6" x14ac:dyDescent="0.3">
      <c r="F109271" s="193"/>
    </row>
    <row r="109272" spans="6:6" x14ac:dyDescent="0.3">
      <c r="F109272" s="193"/>
    </row>
    <row r="109273" spans="6:6" x14ac:dyDescent="0.3">
      <c r="F109273" s="193"/>
    </row>
    <row r="109274" spans="6:6" x14ac:dyDescent="0.3">
      <c r="F109274" s="193"/>
    </row>
    <row r="109275" spans="6:6" x14ac:dyDescent="0.3">
      <c r="F109275" s="193"/>
    </row>
    <row r="109276" spans="6:6" x14ac:dyDescent="0.3">
      <c r="F109276" s="193"/>
    </row>
    <row r="109277" spans="6:6" x14ac:dyDescent="0.3">
      <c r="F109277" s="193"/>
    </row>
    <row r="109278" spans="6:6" x14ac:dyDescent="0.3">
      <c r="F109278" s="193"/>
    </row>
    <row r="109279" spans="6:6" x14ac:dyDescent="0.3">
      <c r="F109279" s="193"/>
    </row>
    <row r="109280" spans="6:6" x14ac:dyDescent="0.3">
      <c r="F109280" s="193"/>
    </row>
    <row r="109281" spans="6:6" x14ac:dyDescent="0.3">
      <c r="F109281" s="193"/>
    </row>
    <row r="109282" spans="6:6" x14ac:dyDescent="0.3">
      <c r="F109282" s="193"/>
    </row>
    <row r="109283" spans="6:6" x14ac:dyDescent="0.3">
      <c r="F109283" s="193"/>
    </row>
    <row r="109284" spans="6:6" x14ac:dyDescent="0.3">
      <c r="F109284" s="193"/>
    </row>
    <row r="109285" spans="6:6" x14ac:dyDescent="0.3">
      <c r="F109285" s="193"/>
    </row>
    <row r="109286" spans="6:6" x14ac:dyDescent="0.3">
      <c r="F109286" s="193"/>
    </row>
    <row r="109287" spans="6:6" x14ac:dyDescent="0.3">
      <c r="F109287" s="193"/>
    </row>
    <row r="109288" spans="6:6" x14ac:dyDescent="0.3">
      <c r="F109288" s="193"/>
    </row>
    <row r="109289" spans="6:6" x14ac:dyDescent="0.3">
      <c r="F109289" s="193"/>
    </row>
    <row r="109290" spans="6:6" x14ac:dyDescent="0.3">
      <c r="F109290" s="193"/>
    </row>
    <row r="109291" spans="6:6" x14ac:dyDescent="0.3">
      <c r="F109291" s="193"/>
    </row>
    <row r="109292" spans="6:6" x14ac:dyDescent="0.3">
      <c r="F109292" s="193"/>
    </row>
    <row r="109293" spans="6:6" x14ac:dyDescent="0.3">
      <c r="F109293" s="193"/>
    </row>
    <row r="109294" spans="6:6" x14ac:dyDescent="0.3">
      <c r="F109294" s="193"/>
    </row>
    <row r="109295" spans="6:6" x14ac:dyDescent="0.3">
      <c r="F109295" s="193"/>
    </row>
    <row r="109296" spans="6:6" x14ac:dyDescent="0.3">
      <c r="F109296" s="193"/>
    </row>
    <row r="109297" spans="6:6" x14ac:dyDescent="0.3">
      <c r="F109297" s="193"/>
    </row>
    <row r="109298" spans="6:6" x14ac:dyDescent="0.3">
      <c r="F109298" s="193"/>
    </row>
    <row r="109299" spans="6:6" x14ac:dyDescent="0.3">
      <c r="F109299" s="193"/>
    </row>
    <row r="109300" spans="6:6" x14ac:dyDescent="0.3">
      <c r="F109300" s="193"/>
    </row>
    <row r="109301" spans="6:6" x14ac:dyDescent="0.3">
      <c r="F109301" s="193"/>
    </row>
    <row r="109302" spans="6:6" x14ac:dyDescent="0.3">
      <c r="F109302" s="193"/>
    </row>
    <row r="109303" spans="6:6" x14ac:dyDescent="0.3">
      <c r="F109303" s="193"/>
    </row>
    <row r="109304" spans="6:6" x14ac:dyDescent="0.3">
      <c r="F109304" s="193"/>
    </row>
    <row r="109305" spans="6:6" x14ac:dyDescent="0.3">
      <c r="F109305" s="193"/>
    </row>
    <row r="109306" spans="6:6" x14ac:dyDescent="0.3">
      <c r="F109306" s="193"/>
    </row>
    <row r="109307" spans="6:6" x14ac:dyDescent="0.3">
      <c r="F109307" s="193"/>
    </row>
    <row r="109308" spans="6:6" x14ac:dyDescent="0.3">
      <c r="F109308" s="193"/>
    </row>
    <row r="109309" spans="6:6" x14ac:dyDescent="0.3">
      <c r="F109309" s="193"/>
    </row>
    <row r="109310" spans="6:6" x14ac:dyDescent="0.3">
      <c r="F109310" s="193"/>
    </row>
    <row r="109311" spans="6:6" x14ac:dyDescent="0.3">
      <c r="F109311" s="193"/>
    </row>
    <row r="109312" spans="6:6" x14ac:dyDescent="0.3">
      <c r="F109312" s="193"/>
    </row>
    <row r="109313" spans="6:6" x14ac:dyDescent="0.3">
      <c r="F109313" s="193"/>
    </row>
    <row r="109314" spans="6:6" x14ac:dyDescent="0.3">
      <c r="F109314" s="193"/>
    </row>
    <row r="109315" spans="6:6" x14ac:dyDescent="0.3">
      <c r="F109315" s="193"/>
    </row>
    <row r="109316" spans="6:6" x14ac:dyDescent="0.3">
      <c r="F109316" s="193"/>
    </row>
    <row r="109317" spans="6:6" x14ac:dyDescent="0.3">
      <c r="F109317" s="193"/>
    </row>
    <row r="109318" spans="6:6" x14ac:dyDescent="0.3">
      <c r="F109318" s="193"/>
    </row>
    <row r="109319" spans="6:6" x14ac:dyDescent="0.3">
      <c r="F109319" s="193"/>
    </row>
    <row r="109320" spans="6:6" x14ac:dyDescent="0.3">
      <c r="F109320" s="193"/>
    </row>
    <row r="109321" spans="6:6" x14ac:dyDescent="0.3">
      <c r="F109321" s="193"/>
    </row>
    <row r="109322" spans="6:6" x14ac:dyDescent="0.3">
      <c r="F109322" s="193"/>
    </row>
    <row r="109323" spans="6:6" x14ac:dyDescent="0.3">
      <c r="F109323" s="193"/>
    </row>
    <row r="109324" spans="6:6" x14ac:dyDescent="0.3">
      <c r="F109324" s="193"/>
    </row>
    <row r="109325" spans="6:6" x14ac:dyDescent="0.3">
      <c r="F109325" s="193"/>
    </row>
    <row r="109326" spans="6:6" x14ac:dyDescent="0.3">
      <c r="F109326" s="193"/>
    </row>
    <row r="109327" spans="6:6" x14ac:dyDescent="0.3">
      <c r="F109327" s="193"/>
    </row>
    <row r="109328" spans="6:6" x14ac:dyDescent="0.3">
      <c r="F109328" s="193"/>
    </row>
    <row r="109329" spans="6:6" x14ac:dyDescent="0.3">
      <c r="F109329" s="193"/>
    </row>
    <row r="109330" spans="6:6" x14ac:dyDescent="0.3">
      <c r="F109330" s="193"/>
    </row>
    <row r="109331" spans="6:6" x14ac:dyDescent="0.3">
      <c r="F109331" s="193"/>
    </row>
    <row r="109332" spans="6:6" x14ac:dyDescent="0.3">
      <c r="F109332" s="193"/>
    </row>
    <row r="109333" spans="6:6" x14ac:dyDescent="0.3">
      <c r="F109333" s="193"/>
    </row>
    <row r="109334" spans="6:6" x14ac:dyDescent="0.3">
      <c r="F109334" s="193"/>
    </row>
    <row r="109335" spans="6:6" x14ac:dyDescent="0.3">
      <c r="F109335" s="193"/>
    </row>
    <row r="109336" spans="6:6" x14ac:dyDescent="0.3">
      <c r="F109336" s="193"/>
    </row>
    <row r="109337" spans="6:6" x14ac:dyDescent="0.3">
      <c r="F109337" s="193"/>
    </row>
    <row r="109338" spans="6:6" x14ac:dyDescent="0.3">
      <c r="F109338" s="193"/>
    </row>
    <row r="109339" spans="6:6" x14ac:dyDescent="0.3">
      <c r="F109339" s="193"/>
    </row>
    <row r="109340" spans="6:6" x14ac:dyDescent="0.3">
      <c r="F109340" s="193"/>
    </row>
    <row r="109341" spans="6:6" x14ac:dyDescent="0.3">
      <c r="F109341" s="193"/>
    </row>
    <row r="109342" spans="6:6" x14ac:dyDescent="0.3">
      <c r="F109342" s="193"/>
    </row>
    <row r="109343" spans="6:6" x14ac:dyDescent="0.3">
      <c r="F109343" s="193"/>
    </row>
    <row r="109344" spans="6:6" x14ac:dyDescent="0.3">
      <c r="F109344" s="193"/>
    </row>
    <row r="109345" spans="6:6" x14ac:dyDescent="0.3">
      <c r="F109345" s="193"/>
    </row>
    <row r="109346" spans="6:6" x14ac:dyDescent="0.3">
      <c r="F109346" s="193"/>
    </row>
    <row r="109347" spans="6:6" x14ac:dyDescent="0.3">
      <c r="F109347" s="193"/>
    </row>
    <row r="109348" spans="6:6" x14ac:dyDescent="0.3">
      <c r="F109348" s="193"/>
    </row>
    <row r="109349" spans="6:6" x14ac:dyDescent="0.3">
      <c r="F109349" s="193"/>
    </row>
    <row r="109350" spans="6:6" x14ac:dyDescent="0.3">
      <c r="F109350" s="193"/>
    </row>
    <row r="109351" spans="6:6" x14ac:dyDescent="0.3">
      <c r="F109351" s="193"/>
    </row>
    <row r="109352" spans="6:6" x14ac:dyDescent="0.3">
      <c r="F109352" s="193"/>
    </row>
    <row r="109353" spans="6:6" x14ac:dyDescent="0.3">
      <c r="F109353" s="193"/>
    </row>
    <row r="109354" spans="6:6" x14ac:dyDescent="0.3">
      <c r="F109354" s="193"/>
    </row>
    <row r="109355" spans="6:6" x14ac:dyDescent="0.3">
      <c r="F109355" s="193"/>
    </row>
    <row r="109356" spans="6:6" x14ac:dyDescent="0.3">
      <c r="F109356" s="193"/>
    </row>
    <row r="109357" spans="6:6" x14ac:dyDescent="0.3">
      <c r="F109357" s="193"/>
    </row>
    <row r="109358" spans="6:6" x14ac:dyDescent="0.3">
      <c r="F109358" s="193"/>
    </row>
    <row r="109359" spans="6:6" x14ac:dyDescent="0.3">
      <c r="F109359" s="193"/>
    </row>
    <row r="109360" spans="6:6" x14ac:dyDescent="0.3">
      <c r="F109360" s="193"/>
    </row>
    <row r="109361" spans="6:6" x14ac:dyDescent="0.3">
      <c r="F109361" s="193"/>
    </row>
    <row r="109362" spans="6:6" x14ac:dyDescent="0.3">
      <c r="F109362" s="193"/>
    </row>
    <row r="109363" spans="6:6" x14ac:dyDescent="0.3">
      <c r="F109363" s="193"/>
    </row>
    <row r="109364" spans="6:6" x14ac:dyDescent="0.3">
      <c r="F109364" s="193"/>
    </row>
    <row r="109365" spans="6:6" x14ac:dyDescent="0.3">
      <c r="F109365" s="193"/>
    </row>
    <row r="109366" spans="6:6" x14ac:dyDescent="0.3">
      <c r="F109366" s="193"/>
    </row>
    <row r="109367" spans="6:6" x14ac:dyDescent="0.3">
      <c r="F109367" s="193"/>
    </row>
    <row r="109368" spans="6:6" x14ac:dyDescent="0.3">
      <c r="F109368" s="193"/>
    </row>
    <row r="109369" spans="6:6" x14ac:dyDescent="0.3">
      <c r="F109369" s="193"/>
    </row>
    <row r="109370" spans="6:6" x14ac:dyDescent="0.3">
      <c r="F109370" s="193"/>
    </row>
    <row r="109371" spans="6:6" x14ac:dyDescent="0.3">
      <c r="F109371" s="193"/>
    </row>
    <row r="109372" spans="6:6" x14ac:dyDescent="0.3">
      <c r="F109372" s="193"/>
    </row>
    <row r="109373" spans="6:6" x14ac:dyDescent="0.3">
      <c r="F109373" s="193"/>
    </row>
    <row r="109374" spans="6:6" x14ac:dyDescent="0.3">
      <c r="F109374" s="193"/>
    </row>
    <row r="109375" spans="6:6" x14ac:dyDescent="0.3">
      <c r="F109375" s="193"/>
    </row>
    <row r="109376" spans="6:6" x14ac:dyDescent="0.3">
      <c r="F109376" s="193"/>
    </row>
    <row r="109377" spans="6:6" x14ac:dyDescent="0.3">
      <c r="F109377" s="193"/>
    </row>
    <row r="109378" spans="6:6" x14ac:dyDescent="0.3">
      <c r="F109378" s="193"/>
    </row>
    <row r="109379" spans="6:6" x14ac:dyDescent="0.3">
      <c r="F109379" s="193"/>
    </row>
    <row r="109380" spans="6:6" x14ac:dyDescent="0.3">
      <c r="F109380" s="193"/>
    </row>
    <row r="109381" spans="6:6" x14ac:dyDescent="0.3">
      <c r="F109381" s="193"/>
    </row>
    <row r="109382" spans="6:6" x14ac:dyDescent="0.3">
      <c r="F109382" s="193"/>
    </row>
    <row r="109383" spans="6:6" x14ac:dyDescent="0.3">
      <c r="F109383" s="193"/>
    </row>
    <row r="109384" spans="6:6" x14ac:dyDescent="0.3">
      <c r="F109384" s="193"/>
    </row>
    <row r="109385" spans="6:6" x14ac:dyDescent="0.3">
      <c r="F109385" s="193"/>
    </row>
    <row r="109386" spans="6:6" x14ac:dyDescent="0.3">
      <c r="F109386" s="193"/>
    </row>
    <row r="109387" spans="6:6" x14ac:dyDescent="0.3">
      <c r="F109387" s="193"/>
    </row>
    <row r="109388" spans="6:6" x14ac:dyDescent="0.3">
      <c r="F109388" s="193"/>
    </row>
    <row r="109389" spans="6:6" x14ac:dyDescent="0.3">
      <c r="F109389" s="193"/>
    </row>
    <row r="109390" spans="6:6" x14ac:dyDescent="0.3">
      <c r="F109390" s="193"/>
    </row>
    <row r="109391" spans="6:6" x14ac:dyDescent="0.3">
      <c r="F109391" s="193"/>
    </row>
    <row r="109392" spans="6:6" x14ac:dyDescent="0.3">
      <c r="F109392" s="193"/>
    </row>
    <row r="109393" spans="6:6" x14ac:dyDescent="0.3">
      <c r="F109393" s="193"/>
    </row>
    <row r="109394" spans="6:6" x14ac:dyDescent="0.3">
      <c r="F109394" s="193"/>
    </row>
    <row r="109395" spans="6:6" x14ac:dyDescent="0.3">
      <c r="F109395" s="193"/>
    </row>
    <row r="109396" spans="6:6" x14ac:dyDescent="0.3">
      <c r="F109396" s="193"/>
    </row>
    <row r="109397" spans="6:6" x14ac:dyDescent="0.3">
      <c r="F109397" s="193"/>
    </row>
    <row r="109398" spans="6:6" x14ac:dyDescent="0.3">
      <c r="F109398" s="193"/>
    </row>
    <row r="109399" spans="6:6" x14ac:dyDescent="0.3">
      <c r="F109399" s="193"/>
    </row>
    <row r="109400" spans="6:6" x14ac:dyDescent="0.3">
      <c r="F109400" s="193"/>
    </row>
    <row r="109401" spans="6:6" x14ac:dyDescent="0.3">
      <c r="F109401" s="193"/>
    </row>
    <row r="109402" spans="6:6" x14ac:dyDescent="0.3">
      <c r="F109402" s="193"/>
    </row>
    <row r="109403" spans="6:6" x14ac:dyDescent="0.3">
      <c r="F109403" s="193"/>
    </row>
    <row r="109404" spans="6:6" x14ac:dyDescent="0.3">
      <c r="F109404" s="193"/>
    </row>
    <row r="109405" spans="6:6" x14ac:dyDescent="0.3">
      <c r="F109405" s="193"/>
    </row>
    <row r="109406" spans="6:6" x14ac:dyDescent="0.3">
      <c r="F109406" s="193"/>
    </row>
    <row r="109407" spans="6:6" x14ac:dyDescent="0.3">
      <c r="F109407" s="193"/>
    </row>
    <row r="109408" spans="6:6" x14ac:dyDescent="0.3">
      <c r="F109408" s="193"/>
    </row>
    <row r="109409" spans="6:6" x14ac:dyDescent="0.3">
      <c r="F109409" s="193"/>
    </row>
    <row r="109410" spans="6:6" x14ac:dyDescent="0.3">
      <c r="F109410" s="193"/>
    </row>
    <row r="109411" spans="6:6" x14ac:dyDescent="0.3">
      <c r="F109411" s="193"/>
    </row>
    <row r="109412" spans="6:6" x14ac:dyDescent="0.3">
      <c r="F109412" s="193"/>
    </row>
    <row r="109413" spans="6:6" x14ac:dyDescent="0.3">
      <c r="F109413" s="193"/>
    </row>
    <row r="109414" spans="6:6" x14ac:dyDescent="0.3">
      <c r="F109414" s="193"/>
    </row>
    <row r="109415" spans="6:6" x14ac:dyDescent="0.3">
      <c r="F109415" s="193"/>
    </row>
    <row r="109416" spans="6:6" x14ac:dyDescent="0.3">
      <c r="F109416" s="193"/>
    </row>
    <row r="109417" spans="6:6" x14ac:dyDescent="0.3">
      <c r="F109417" s="193"/>
    </row>
    <row r="109418" spans="6:6" x14ac:dyDescent="0.3">
      <c r="F109418" s="193"/>
    </row>
    <row r="109419" spans="6:6" x14ac:dyDescent="0.3">
      <c r="F109419" s="193"/>
    </row>
    <row r="109420" spans="6:6" x14ac:dyDescent="0.3">
      <c r="F109420" s="193"/>
    </row>
    <row r="109421" spans="6:6" x14ac:dyDescent="0.3">
      <c r="F109421" s="193"/>
    </row>
    <row r="109422" spans="6:6" x14ac:dyDescent="0.3">
      <c r="F109422" s="193"/>
    </row>
    <row r="109423" spans="6:6" x14ac:dyDescent="0.3">
      <c r="F109423" s="193"/>
    </row>
    <row r="109424" spans="6:6" x14ac:dyDescent="0.3">
      <c r="F109424" s="193"/>
    </row>
    <row r="109425" spans="6:6" x14ac:dyDescent="0.3">
      <c r="F109425" s="193"/>
    </row>
    <row r="109426" spans="6:6" x14ac:dyDescent="0.3">
      <c r="F109426" s="193"/>
    </row>
    <row r="109427" spans="6:6" x14ac:dyDescent="0.3">
      <c r="F109427" s="193"/>
    </row>
    <row r="109428" spans="6:6" x14ac:dyDescent="0.3">
      <c r="F109428" s="193"/>
    </row>
    <row r="109429" spans="6:6" x14ac:dyDescent="0.3">
      <c r="F109429" s="193"/>
    </row>
    <row r="109430" spans="6:6" x14ac:dyDescent="0.3">
      <c r="F109430" s="193"/>
    </row>
    <row r="109431" spans="6:6" x14ac:dyDescent="0.3">
      <c r="F109431" s="193"/>
    </row>
    <row r="109432" spans="6:6" x14ac:dyDescent="0.3">
      <c r="F109432" s="193"/>
    </row>
    <row r="109433" spans="6:6" x14ac:dyDescent="0.3">
      <c r="F109433" s="193"/>
    </row>
    <row r="109434" spans="6:6" x14ac:dyDescent="0.3">
      <c r="F109434" s="193"/>
    </row>
    <row r="109435" spans="6:6" x14ac:dyDescent="0.3">
      <c r="F109435" s="193"/>
    </row>
    <row r="109436" spans="6:6" x14ac:dyDescent="0.3">
      <c r="F109436" s="193"/>
    </row>
    <row r="109437" spans="6:6" x14ac:dyDescent="0.3">
      <c r="F109437" s="193"/>
    </row>
    <row r="109438" spans="6:6" x14ac:dyDescent="0.3">
      <c r="F109438" s="193"/>
    </row>
    <row r="109439" spans="6:6" x14ac:dyDescent="0.3">
      <c r="F109439" s="193"/>
    </row>
    <row r="109440" spans="6:6" x14ac:dyDescent="0.3">
      <c r="F109440" s="193"/>
    </row>
    <row r="109441" spans="6:6" x14ac:dyDescent="0.3">
      <c r="F109441" s="193"/>
    </row>
    <row r="109442" spans="6:6" x14ac:dyDescent="0.3">
      <c r="F109442" s="193"/>
    </row>
    <row r="109443" spans="6:6" x14ac:dyDescent="0.3">
      <c r="F109443" s="193"/>
    </row>
    <row r="109444" spans="6:6" x14ac:dyDescent="0.3">
      <c r="F109444" s="193"/>
    </row>
    <row r="109445" spans="6:6" x14ac:dyDescent="0.3">
      <c r="F109445" s="193"/>
    </row>
    <row r="109446" spans="6:6" x14ac:dyDescent="0.3">
      <c r="F109446" s="193"/>
    </row>
    <row r="109447" spans="6:6" x14ac:dyDescent="0.3">
      <c r="F109447" s="193"/>
    </row>
    <row r="109448" spans="6:6" x14ac:dyDescent="0.3">
      <c r="F109448" s="193"/>
    </row>
    <row r="109449" spans="6:6" x14ac:dyDescent="0.3">
      <c r="F109449" s="193"/>
    </row>
    <row r="109450" spans="6:6" x14ac:dyDescent="0.3">
      <c r="F109450" s="193"/>
    </row>
    <row r="109451" spans="6:6" x14ac:dyDescent="0.3">
      <c r="F109451" s="193"/>
    </row>
    <row r="109452" spans="6:6" x14ac:dyDescent="0.3">
      <c r="F109452" s="193"/>
    </row>
    <row r="109453" spans="6:6" x14ac:dyDescent="0.3">
      <c r="F109453" s="193"/>
    </row>
    <row r="109454" spans="6:6" x14ac:dyDescent="0.3">
      <c r="F109454" s="193"/>
    </row>
    <row r="109455" spans="6:6" x14ac:dyDescent="0.3">
      <c r="F109455" s="193"/>
    </row>
    <row r="109456" spans="6:6" x14ac:dyDescent="0.3">
      <c r="F109456" s="193"/>
    </row>
    <row r="109457" spans="6:6" x14ac:dyDescent="0.3">
      <c r="F109457" s="193"/>
    </row>
    <row r="109458" spans="6:6" x14ac:dyDescent="0.3">
      <c r="F109458" s="193"/>
    </row>
    <row r="109459" spans="6:6" x14ac:dyDescent="0.3">
      <c r="F109459" s="193"/>
    </row>
    <row r="109460" spans="6:6" x14ac:dyDescent="0.3">
      <c r="F109460" s="193"/>
    </row>
    <row r="109461" spans="6:6" x14ac:dyDescent="0.3">
      <c r="F109461" s="193"/>
    </row>
    <row r="109462" spans="6:6" x14ac:dyDescent="0.3">
      <c r="F109462" s="193"/>
    </row>
    <row r="109463" spans="6:6" x14ac:dyDescent="0.3">
      <c r="F109463" s="193"/>
    </row>
    <row r="109464" spans="6:6" x14ac:dyDescent="0.3">
      <c r="F109464" s="193"/>
    </row>
    <row r="109465" spans="6:6" x14ac:dyDescent="0.3">
      <c r="F109465" s="193"/>
    </row>
    <row r="109466" spans="6:6" x14ac:dyDescent="0.3">
      <c r="F109466" s="193"/>
    </row>
    <row r="109467" spans="6:6" x14ac:dyDescent="0.3">
      <c r="F109467" s="193"/>
    </row>
    <row r="109468" spans="6:6" x14ac:dyDescent="0.3">
      <c r="F109468" s="193"/>
    </row>
    <row r="109469" spans="6:6" x14ac:dyDescent="0.3">
      <c r="F109469" s="193"/>
    </row>
    <row r="109470" spans="6:6" x14ac:dyDescent="0.3">
      <c r="F109470" s="193"/>
    </row>
    <row r="109471" spans="6:6" x14ac:dyDescent="0.3">
      <c r="F109471" s="193"/>
    </row>
    <row r="109472" spans="6:6" x14ac:dyDescent="0.3">
      <c r="F109472" s="193"/>
    </row>
    <row r="109473" spans="6:6" x14ac:dyDescent="0.3">
      <c r="F109473" s="193"/>
    </row>
    <row r="109474" spans="6:6" x14ac:dyDescent="0.3">
      <c r="F109474" s="193"/>
    </row>
    <row r="109475" spans="6:6" x14ac:dyDescent="0.3">
      <c r="F109475" s="193"/>
    </row>
    <row r="109476" spans="6:6" x14ac:dyDescent="0.3">
      <c r="F109476" s="193"/>
    </row>
    <row r="109477" spans="6:6" x14ac:dyDescent="0.3">
      <c r="F109477" s="193"/>
    </row>
    <row r="109478" spans="6:6" x14ac:dyDescent="0.3">
      <c r="F109478" s="193"/>
    </row>
    <row r="109479" spans="6:6" x14ac:dyDescent="0.3">
      <c r="F109479" s="193"/>
    </row>
    <row r="109480" spans="6:6" x14ac:dyDescent="0.3">
      <c r="F109480" s="193"/>
    </row>
    <row r="109481" spans="6:6" x14ac:dyDescent="0.3">
      <c r="F109481" s="193"/>
    </row>
    <row r="109482" spans="6:6" x14ac:dyDescent="0.3">
      <c r="F109482" s="193"/>
    </row>
    <row r="109483" spans="6:6" x14ac:dyDescent="0.3">
      <c r="F109483" s="193"/>
    </row>
    <row r="109484" spans="6:6" x14ac:dyDescent="0.3">
      <c r="F109484" s="193"/>
    </row>
    <row r="109485" spans="6:6" x14ac:dyDescent="0.3">
      <c r="F109485" s="193"/>
    </row>
    <row r="109486" spans="6:6" x14ac:dyDescent="0.3">
      <c r="F109486" s="193"/>
    </row>
    <row r="109487" spans="6:6" x14ac:dyDescent="0.3">
      <c r="F109487" s="193"/>
    </row>
    <row r="109488" spans="6:6" x14ac:dyDescent="0.3">
      <c r="F109488" s="193"/>
    </row>
    <row r="109489" spans="6:6" x14ac:dyDescent="0.3">
      <c r="F109489" s="193"/>
    </row>
    <row r="109490" spans="6:6" x14ac:dyDescent="0.3">
      <c r="F109490" s="193"/>
    </row>
    <row r="109491" spans="6:6" x14ac:dyDescent="0.3">
      <c r="F109491" s="193"/>
    </row>
    <row r="109492" spans="6:6" x14ac:dyDescent="0.3">
      <c r="F109492" s="193"/>
    </row>
    <row r="109493" spans="6:6" x14ac:dyDescent="0.3">
      <c r="F109493" s="193"/>
    </row>
    <row r="109494" spans="6:6" x14ac:dyDescent="0.3">
      <c r="F109494" s="193"/>
    </row>
    <row r="109495" spans="6:6" x14ac:dyDescent="0.3">
      <c r="F109495" s="193"/>
    </row>
    <row r="109496" spans="6:6" x14ac:dyDescent="0.3">
      <c r="F109496" s="193"/>
    </row>
    <row r="109497" spans="6:6" x14ac:dyDescent="0.3">
      <c r="F109497" s="193"/>
    </row>
    <row r="109498" spans="6:6" x14ac:dyDescent="0.3">
      <c r="F109498" s="193"/>
    </row>
    <row r="109499" spans="6:6" x14ac:dyDescent="0.3">
      <c r="F109499" s="193"/>
    </row>
    <row r="109500" spans="6:6" x14ac:dyDescent="0.3">
      <c r="F109500" s="193"/>
    </row>
    <row r="109501" spans="6:6" x14ac:dyDescent="0.3">
      <c r="F109501" s="193"/>
    </row>
    <row r="109502" spans="6:6" x14ac:dyDescent="0.3">
      <c r="F109502" s="193"/>
    </row>
    <row r="109503" spans="6:6" x14ac:dyDescent="0.3">
      <c r="F109503" s="193"/>
    </row>
    <row r="109504" spans="6:6" x14ac:dyDescent="0.3">
      <c r="F109504" s="193"/>
    </row>
    <row r="109505" spans="6:6" x14ac:dyDescent="0.3">
      <c r="F109505" s="193"/>
    </row>
    <row r="109506" spans="6:6" x14ac:dyDescent="0.3">
      <c r="F109506" s="193"/>
    </row>
    <row r="109507" spans="6:6" x14ac:dyDescent="0.3">
      <c r="F109507" s="193"/>
    </row>
    <row r="109508" spans="6:6" x14ac:dyDescent="0.3">
      <c r="F109508" s="193"/>
    </row>
    <row r="109509" spans="6:6" x14ac:dyDescent="0.3">
      <c r="F109509" s="193"/>
    </row>
    <row r="109510" spans="6:6" x14ac:dyDescent="0.3">
      <c r="F109510" s="193"/>
    </row>
    <row r="109511" spans="6:6" x14ac:dyDescent="0.3">
      <c r="F109511" s="193"/>
    </row>
    <row r="109512" spans="6:6" x14ac:dyDescent="0.3">
      <c r="F109512" s="193"/>
    </row>
    <row r="109513" spans="6:6" x14ac:dyDescent="0.3">
      <c r="F109513" s="193"/>
    </row>
    <row r="109514" spans="6:6" x14ac:dyDescent="0.3">
      <c r="F109514" s="193"/>
    </row>
    <row r="109515" spans="6:6" x14ac:dyDescent="0.3">
      <c r="F109515" s="193"/>
    </row>
    <row r="109516" spans="6:6" x14ac:dyDescent="0.3">
      <c r="F109516" s="193"/>
    </row>
    <row r="109517" spans="6:6" x14ac:dyDescent="0.3">
      <c r="F109517" s="193"/>
    </row>
    <row r="109518" spans="6:6" x14ac:dyDescent="0.3">
      <c r="F109518" s="193"/>
    </row>
    <row r="109519" spans="6:6" x14ac:dyDescent="0.3">
      <c r="F109519" s="193"/>
    </row>
    <row r="109520" spans="6:6" x14ac:dyDescent="0.3">
      <c r="F109520" s="193"/>
    </row>
    <row r="109521" spans="6:6" x14ac:dyDescent="0.3">
      <c r="F109521" s="193"/>
    </row>
    <row r="109522" spans="6:6" x14ac:dyDescent="0.3">
      <c r="F109522" s="193"/>
    </row>
    <row r="109523" spans="6:6" x14ac:dyDescent="0.3">
      <c r="F109523" s="193"/>
    </row>
    <row r="109524" spans="6:6" x14ac:dyDescent="0.3">
      <c r="F109524" s="193"/>
    </row>
    <row r="109525" spans="6:6" x14ac:dyDescent="0.3">
      <c r="F109525" s="193"/>
    </row>
    <row r="109526" spans="6:6" x14ac:dyDescent="0.3">
      <c r="F109526" s="193"/>
    </row>
    <row r="109527" spans="6:6" x14ac:dyDescent="0.3">
      <c r="F109527" s="193"/>
    </row>
    <row r="109528" spans="6:6" x14ac:dyDescent="0.3">
      <c r="F109528" s="193"/>
    </row>
    <row r="109529" spans="6:6" x14ac:dyDescent="0.3">
      <c r="F109529" s="193"/>
    </row>
    <row r="109530" spans="6:6" x14ac:dyDescent="0.3">
      <c r="F109530" s="193"/>
    </row>
    <row r="109531" spans="6:6" x14ac:dyDescent="0.3">
      <c r="F109531" s="193"/>
    </row>
    <row r="109532" spans="6:6" x14ac:dyDescent="0.3">
      <c r="F109532" s="193"/>
    </row>
    <row r="109533" spans="6:6" x14ac:dyDescent="0.3">
      <c r="F109533" s="193"/>
    </row>
    <row r="109534" spans="6:6" x14ac:dyDescent="0.3">
      <c r="F109534" s="193"/>
    </row>
    <row r="109535" spans="6:6" x14ac:dyDescent="0.3">
      <c r="F109535" s="193"/>
    </row>
    <row r="109536" spans="6:6" x14ac:dyDescent="0.3">
      <c r="F109536" s="193"/>
    </row>
    <row r="109537" spans="6:6" x14ac:dyDescent="0.3">
      <c r="F109537" s="193"/>
    </row>
    <row r="109538" spans="6:6" x14ac:dyDescent="0.3">
      <c r="F109538" s="193"/>
    </row>
    <row r="109539" spans="6:6" x14ac:dyDescent="0.3">
      <c r="F109539" s="193"/>
    </row>
    <row r="109540" spans="6:6" x14ac:dyDescent="0.3">
      <c r="F109540" s="193"/>
    </row>
    <row r="109541" spans="6:6" x14ac:dyDescent="0.3">
      <c r="F109541" s="193"/>
    </row>
    <row r="109542" spans="6:6" x14ac:dyDescent="0.3">
      <c r="F109542" s="193"/>
    </row>
    <row r="109543" spans="6:6" x14ac:dyDescent="0.3">
      <c r="F109543" s="193"/>
    </row>
    <row r="109544" spans="6:6" x14ac:dyDescent="0.3">
      <c r="F109544" s="193"/>
    </row>
    <row r="109545" spans="6:6" x14ac:dyDescent="0.3">
      <c r="F109545" s="193"/>
    </row>
    <row r="109546" spans="6:6" x14ac:dyDescent="0.3">
      <c r="F109546" s="193"/>
    </row>
    <row r="109547" spans="6:6" x14ac:dyDescent="0.3">
      <c r="F109547" s="193"/>
    </row>
    <row r="109548" spans="6:6" x14ac:dyDescent="0.3">
      <c r="F109548" s="193"/>
    </row>
    <row r="109549" spans="6:6" x14ac:dyDescent="0.3">
      <c r="F109549" s="193"/>
    </row>
    <row r="109550" spans="6:6" x14ac:dyDescent="0.3">
      <c r="F109550" s="193"/>
    </row>
    <row r="109551" spans="6:6" x14ac:dyDescent="0.3">
      <c r="F109551" s="193"/>
    </row>
    <row r="109552" spans="6:6" x14ac:dyDescent="0.3">
      <c r="F109552" s="193"/>
    </row>
    <row r="109553" spans="6:6" x14ac:dyDescent="0.3">
      <c r="F109553" s="193"/>
    </row>
    <row r="109554" spans="6:6" x14ac:dyDescent="0.3">
      <c r="F109554" s="193"/>
    </row>
    <row r="109555" spans="6:6" x14ac:dyDescent="0.3">
      <c r="F109555" s="193"/>
    </row>
    <row r="109556" spans="6:6" x14ac:dyDescent="0.3">
      <c r="F109556" s="193"/>
    </row>
    <row r="109557" spans="6:6" x14ac:dyDescent="0.3">
      <c r="F109557" s="193"/>
    </row>
    <row r="109558" spans="6:6" x14ac:dyDescent="0.3">
      <c r="F109558" s="193"/>
    </row>
    <row r="109559" spans="6:6" x14ac:dyDescent="0.3">
      <c r="F109559" s="193"/>
    </row>
    <row r="109560" spans="6:6" x14ac:dyDescent="0.3">
      <c r="F109560" s="193"/>
    </row>
    <row r="109561" spans="6:6" x14ac:dyDescent="0.3">
      <c r="F109561" s="193"/>
    </row>
    <row r="109562" spans="6:6" x14ac:dyDescent="0.3">
      <c r="F109562" s="193"/>
    </row>
    <row r="109563" spans="6:6" x14ac:dyDescent="0.3">
      <c r="F109563" s="193"/>
    </row>
    <row r="109564" spans="6:6" x14ac:dyDescent="0.3">
      <c r="F109564" s="193"/>
    </row>
    <row r="109565" spans="6:6" x14ac:dyDescent="0.3">
      <c r="F109565" s="193"/>
    </row>
    <row r="109566" spans="6:6" x14ac:dyDescent="0.3">
      <c r="F109566" s="193"/>
    </row>
    <row r="109567" spans="6:6" x14ac:dyDescent="0.3">
      <c r="F109567" s="193"/>
    </row>
    <row r="109568" spans="6:6" x14ac:dyDescent="0.3">
      <c r="F109568" s="193"/>
    </row>
    <row r="109569" spans="6:6" x14ac:dyDescent="0.3">
      <c r="F109569" s="193"/>
    </row>
    <row r="109570" spans="6:6" x14ac:dyDescent="0.3">
      <c r="F109570" s="193"/>
    </row>
    <row r="109571" spans="6:6" x14ac:dyDescent="0.3">
      <c r="F109571" s="193"/>
    </row>
    <row r="109572" spans="6:6" x14ac:dyDescent="0.3">
      <c r="F109572" s="193"/>
    </row>
    <row r="109573" spans="6:6" x14ac:dyDescent="0.3">
      <c r="F109573" s="193"/>
    </row>
    <row r="109574" spans="6:6" x14ac:dyDescent="0.3">
      <c r="F109574" s="193"/>
    </row>
    <row r="109575" spans="6:6" x14ac:dyDescent="0.3">
      <c r="F109575" s="193"/>
    </row>
    <row r="109576" spans="6:6" x14ac:dyDescent="0.3">
      <c r="F109576" s="193"/>
    </row>
    <row r="109577" spans="6:6" x14ac:dyDescent="0.3">
      <c r="F109577" s="193"/>
    </row>
    <row r="109578" spans="6:6" x14ac:dyDescent="0.3">
      <c r="F109578" s="193"/>
    </row>
    <row r="109579" spans="6:6" x14ac:dyDescent="0.3">
      <c r="F109579" s="193"/>
    </row>
    <row r="109580" spans="6:6" x14ac:dyDescent="0.3">
      <c r="F109580" s="193"/>
    </row>
    <row r="109581" spans="6:6" x14ac:dyDescent="0.3">
      <c r="F109581" s="193"/>
    </row>
    <row r="109582" spans="6:6" x14ac:dyDescent="0.3">
      <c r="F109582" s="193"/>
    </row>
    <row r="109583" spans="6:6" x14ac:dyDescent="0.3">
      <c r="F109583" s="193"/>
    </row>
    <row r="109584" spans="6:6" x14ac:dyDescent="0.3">
      <c r="F109584" s="193"/>
    </row>
    <row r="109585" spans="6:6" x14ac:dyDescent="0.3">
      <c r="F109585" s="193"/>
    </row>
    <row r="109586" spans="6:6" x14ac:dyDescent="0.3">
      <c r="F109586" s="193"/>
    </row>
    <row r="109587" spans="6:6" x14ac:dyDescent="0.3">
      <c r="F109587" s="193"/>
    </row>
    <row r="109588" spans="6:6" x14ac:dyDescent="0.3">
      <c r="F109588" s="193"/>
    </row>
    <row r="109589" spans="6:6" x14ac:dyDescent="0.3">
      <c r="F109589" s="193"/>
    </row>
    <row r="109590" spans="6:6" x14ac:dyDescent="0.3">
      <c r="F109590" s="193"/>
    </row>
    <row r="109591" spans="6:6" x14ac:dyDescent="0.3">
      <c r="F109591" s="193"/>
    </row>
    <row r="109592" spans="6:6" x14ac:dyDescent="0.3">
      <c r="F109592" s="193"/>
    </row>
    <row r="109593" spans="6:6" x14ac:dyDescent="0.3">
      <c r="F109593" s="193"/>
    </row>
    <row r="109594" spans="6:6" x14ac:dyDescent="0.3">
      <c r="F109594" s="193"/>
    </row>
    <row r="109595" spans="6:6" x14ac:dyDescent="0.3">
      <c r="F109595" s="193"/>
    </row>
    <row r="109596" spans="6:6" x14ac:dyDescent="0.3">
      <c r="F109596" s="193"/>
    </row>
    <row r="109597" spans="6:6" x14ac:dyDescent="0.3">
      <c r="F109597" s="193"/>
    </row>
    <row r="109598" spans="6:6" x14ac:dyDescent="0.3">
      <c r="F109598" s="193"/>
    </row>
    <row r="109599" spans="6:6" x14ac:dyDescent="0.3">
      <c r="F109599" s="193"/>
    </row>
    <row r="109600" spans="6:6" x14ac:dyDescent="0.3">
      <c r="F109600" s="193"/>
    </row>
    <row r="109601" spans="6:6" x14ac:dyDescent="0.3">
      <c r="F109601" s="193"/>
    </row>
    <row r="109602" spans="6:6" x14ac:dyDescent="0.3">
      <c r="F109602" s="193"/>
    </row>
    <row r="109603" spans="6:6" x14ac:dyDescent="0.3">
      <c r="F109603" s="193"/>
    </row>
    <row r="109604" spans="6:6" x14ac:dyDescent="0.3">
      <c r="F109604" s="193"/>
    </row>
    <row r="109605" spans="6:6" x14ac:dyDescent="0.3">
      <c r="F109605" s="193"/>
    </row>
    <row r="109606" spans="6:6" x14ac:dyDescent="0.3">
      <c r="F109606" s="193"/>
    </row>
    <row r="109607" spans="6:6" x14ac:dyDescent="0.3">
      <c r="F109607" s="193"/>
    </row>
    <row r="109608" spans="6:6" x14ac:dyDescent="0.3">
      <c r="F109608" s="193"/>
    </row>
    <row r="109609" spans="6:6" x14ac:dyDescent="0.3">
      <c r="F109609" s="193"/>
    </row>
    <row r="109610" spans="6:6" x14ac:dyDescent="0.3">
      <c r="F109610" s="193"/>
    </row>
    <row r="109611" spans="6:6" x14ac:dyDescent="0.3">
      <c r="F109611" s="193"/>
    </row>
    <row r="109612" spans="6:6" x14ac:dyDescent="0.3">
      <c r="F109612" s="193"/>
    </row>
    <row r="109613" spans="6:6" x14ac:dyDescent="0.3">
      <c r="F109613" s="193"/>
    </row>
    <row r="109614" spans="6:6" x14ac:dyDescent="0.3">
      <c r="F109614" s="193"/>
    </row>
    <row r="109615" spans="6:6" x14ac:dyDescent="0.3">
      <c r="F109615" s="193"/>
    </row>
    <row r="109616" spans="6:6" x14ac:dyDescent="0.3">
      <c r="F109616" s="193"/>
    </row>
    <row r="109617" spans="6:6" x14ac:dyDescent="0.3">
      <c r="F109617" s="193"/>
    </row>
    <row r="109618" spans="6:6" x14ac:dyDescent="0.3">
      <c r="F109618" s="193"/>
    </row>
    <row r="109619" spans="6:6" x14ac:dyDescent="0.3">
      <c r="F109619" s="193"/>
    </row>
    <row r="109620" spans="6:6" x14ac:dyDescent="0.3">
      <c r="F109620" s="193"/>
    </row>
    <row r="109621" spans="6:6" x14ac:dyDescent="0.3">
      <c r="F109621" s="193"/>
    </row>
    <row r="109622" spans="6:6" x14ac:dyDescent="0.3">
      <c r="F109622" s="193"/>
    </row>
    <row r="109623" spans="6:6" x14ac:dyDescent="0.3">
      <c r="F109623" s="193"/>
    </row>
    <row r="109624" spans="6:6" x14ac:dyDescent="0.3">
      <c r="F109624" s="193"/>
    </row>
    <row r="109625" spans="6:6" x14ac:dyDescent="0.3">
      <c r="F109625" s="193"/>
    </row>
    <row r="109626" spans="6:6" x14ac:dyDescent="0.3">
      <c r="F109626" s="193"/>
    </row>
    <row r="109627" spans="6:6" x14ac:dyDescent="0.3">
      <c r="F109627" s="193"/>
    </row>
    <row r="109628" spans="6:6" x14ac:dyDescent="0.3">
      <c r="F109628" s="193"/>
    </row>
    <row r="109629" spans="6:6" x14ac:dyDescent="0.3">
      <c r="F109629" s="193"/>
    </row>
    <row r="109630" spans="6:6" x14ac:dyDescent="0.3">
      <c r="F109630" s="193"/>
    </row>
    <row r="109631" spans="6:6" x14ac:dyDescent="0.3">
      <c r="F109631" s="193"/>
    </row>
    <row r="109632" spans="6:6" x14ac:dyDescent="0.3">
      <c r="F109632" s="193"/>
    </row>
    <row r="109633" spans="6:6" x14ac:dyDescent="0.3">
      <c r="F109633" s="193"/>
    </row>
    <row r="109634" spans="6:6" x14ac:dyDescent="0.3">
      <c r="F109634" s="193"/>
    </row>
    <row r="109635" spans="6:6" x14ac:dyDescent="0.3">
      <c r="F109635" s="193"/>
    </row>
    <row r="109636" spans="6:6" x14ac:dyDescent="0.3">
      <c r="F109636" s="193"/>
    </row>
    <row r="109637" spans="6:6" x14ac:dyDescent="0.3">
      <c r="F109637" s="193"/>
    </row>
    <row r="109638" spans="6:6" x14ac:dyDescent="0.3">
      <c r="F109638" s="193"/>
    </row>
    <row r="109639" spans="6:6" x14ac:dyDescent="0.3">
      <c r="F109639" s="193"/>
    </row>
    <row r="109640" spans="6:6" x14ac:dyDescent="0.3">
      <c r="F109640" s="193"/>
    </row>
    <row r="109641" spans="6:6" x14ac:dyDescent="0.3">
      <c r="F109641" s="193"/>
    </row>
    <row r="109642" spans="6:6" x14ac:dyDescent="0.3">
      <c r="F109642" s="193"/>
    </row>
    <row r="109643" spans="6:6" x14ac:dyDescent="0.3">
      <c r="F109643" s="193"/>
    </row>
    <row r="109644" spans="6:6" x14ac:dyDescent="0.3">
      <c r="F109644" s="193"/>
    </row>
    <row r="109645" spans="6:6" x14ac:dyDescent="0.3">
      <c r="F109645" s="193"/>
    </row>
    <row r="109646" spans="6:6" x14ac:dyDescent="0.3">
      <c r="F109646" s="193"/>
    </row>
    <row r="109647" spans="6:6" x14ac:dyDescent="0.3">
      <c r="F109647" s="193"/>
    </row>
    <row r="109648" spans="6:6" x14ac:dyDescent="0.3">
      <c r="F109648" s="193"/>
    </row>
    <row r="109649" spans="6:6" x14ac:dyDescent="0.3">
      <c r="F109649" s="193"/>
    </row>
    <row r="109650" spans="6:6" x14ac:dyDescent="0.3">
      <c r="F109650" s="193"/>
    </row>
    <row r="109651" spans="6:6" x14ac:dyDescent="0.3">
      <c r="F109651" s="193"/>
    </row>
    <row r="109652" spans="6:6" x14ac:dyDescent="0.3">
      <c r="F109652" s="193"/>
    </row>
    <row r="109653" spans="6:6" x14ac:dyDescent="0.3">
      <c r="F109653" s="193"/>
    </row>
    <row r="109654" spans="6:6" x14ac:dyDescent="0.3">
      <c r="F109654" s="193"/>
    </row>
    <row r="109655" spans="6:6" x14ac:dyDescent="0.3">
      <c r="F109655" s="193"/>
    </row>
    <row r="109656" spans="6:6" x14ac:dyDescent="0.3">
      <c r="F109656" s="193"/>
    </row>
    <row r="109657" spans="6:6" x14ac:dyDescent="0.3">
      <c r="F109657" s="193"/>
    </row>
    <row r="109658" spans="6:6" x14ac:dyDescent="0.3">
      <c r="F109658" s="193"/>
    </row>
    <row r="109659" spans="6:6" x14ac:dyDescent="0.3">
      <c r="F109659" s="193"/>
    </row>
    <row r="109660" spans="6:6" x14ac:dyDescent="0.3">
      <c r="F109660" s="193"/>
    </row>
    <row r="109661" spans="6:6" x14ac:dyDescent="0.3">
      <c r="F109661" s="193"/>
    </row>
    <row r="109662" spans="6:6" x14ac:dyDescent="0.3">
      <c r="F109662" s="193"/>
    </row>
    <row r="109663" spans="6:6" x14ac:dyDescent="0.3">
      <c r="F109663" s="193"/>
    </row>
    <row r="109664" spans="6:6" x14ac:dyDescent="0.3">
      <c r="F109664" s="193"/>
    </row>
    <row r="109665" spans="6:6" x14ac:dyDescent="0.3">
      <c r="F109665" s="193"/>
    </row>
    <row r="109666" spans="6:6" x14ac:dyDescent="0.3">
      <c r="F109666" s="193"/>
    </row>
    <row r="109667" spans="6:6" x14ac:dyDescent="0.3">
      <c r="F109667" s="193"/>
    </row>
    <row r="109668" spans="6:6" x14ac:dyDescent="0.3">
      <c r="F109668" s="193"/>
    </row>
    <row r="109669" spans="6:6" x14ac:dyDescent="0.3">
      <c r="F109669" s="193"/>
    </row>
    <row r="109670" spans="6:6" x14ac:dyDescent="0.3">
      <c r="F109670" s="193"/>
    </row>
    <row r="109671" spans="6:6" x14ac:dyDescent="0.3">
      <c r="F109671" s="193"/>
    </row>
    <row r="109672" spans="6:6" x14ac:dyDescent="0.3">
      <c r="F109672" s="193"/>
    </row>
    <row r="109673" spans="6:6" x14ac:dyDescent="0.3">
      <c r="F109673" s="193"/>
    </row>
    <row r="109674" spans="6:6" x14ac:dyDescent="0.3">
      <c r="F109674" s="193"/>
    </row>
    <row r="109675" spans="6:6" x14ac:dyDescent="0.3">
      <c r="F109675" s="193"/>
    </row>
    <row r="109676" spans="6:6" x14ac:dyDescent="0.3">
      <c r="F109676" s="193"/>
    </row>
    <row r="109677" spans="6:6" x14ac:dyDescent="0.3">
      <c r="F109677" s="193"/>
    </row>
    <row r="109678" spans="6:6" x14ac:dyDescent="0.3">
      <c r="F109678" s="193"/>
    </row>
    <row r="109679" spans="6:6" x14ac:dyDescent="0.3">
      <c r="F109679" s="193"/>
    </row>
    <row r="109680" spans="6:6" x14ac:dyDescent="0.3">
      <c r="F109680" s="193"/>
    </row>
    <row r="109681" spans="6:6" x14ac:dyDescent="0.3">
      <c r="F109681" s="193"/>
    </row>
    <row r="109682" spans="6:6" x14ac:dyDescent="0.3">
      <c r="F109682" s="193"/>
    </row>
    <row r="109683" spans="6:6" x14ac:dyDescent="0.3">
      <c r="F109683" s="193"/>
    </row>
    <row r="109684" spans="6:6" x14ac:dyDescent="0.3">
      <c r="F109684" s="193"/>
    </row>
    <row r="109685" spans="6:6" x14ac:dyDescent="0.3">
      <c r="F109685" s="193"/>
    </row>
    <row r="109686" spans="6:6" x14ac:dyDescent="0.3">
      <c r="F109686" s="193"/>
    </row>
    <row r="109687" spans="6:6" x14ac:dyDescent="0.3">
      <c r="F109687" s="193"/>
    </row>
    <row r="109688" spans="6:6" x14ac:dyDescent="0.3">
      <c r="F109688" s="193"/>
    </row>
    <row r="109689" spans="6:6" x14ac:dyDescent="0.3">
      <c r="F109689" s="193"/>
    </row>
    <row r="109690" spans="6:6" x14ac:dyDescent="0.3">
      <c r="F109690" s="193"/>
    </row>
    <row r="109691" spans="6:6" x14ac:dyDescent="0.3">
      <c r="F109691" s="193"/>
    </row>
    <row r="109692" spans="6:6" x14ac:dyDescent="0.3">
      <c r="F109692" s="193"/>
    </row>
    <row r="109693" spans="6:6" x14ac:dyDescent="0.3">
      <c r="F109693" s="193"/>
    </row>
    <row r="109694" spans="6:6" x14ac:dyDescent="0.3">
      <c r="F109694" s="193"/>
    </row>
    <row r="109695" spans="6:6" x14ac:dyDescent="0.3">
      <c r="F109695" s="193"/>
    </row>
    <row r="109696" spans="6:6" x14ac:dyDescent="0.3">
      <c r="F109696" s="193"/>
    </row>
    <row r="109697" spans="6:6" x14ac:dyDescent="0.3">
      <c r="F109697" s="193"/>
    </row>
    <row r="109698" spans="6:6" x14ac:dyDescent="0.3">
      <c r="F109698" s="193"/>
    </row>
    <row r="109699" spans="6:6" x14ac:dyDescent="0.3">
      <c r="F109699" s="193"/>
    </row>
    <row r="109700" spans="6:6" x14ac:dyDescent="0.3">
      <c r="F109700" s="193"/>
    </row>
    <row r="109701" spans="6:6" x14ac:dyDescent="0.3">
      <c r="F109701" s="193"/>
    </row>
    <row r="109702" spans="6:6" x14ac:dyDescent="0.3">
      <c r="F109702" s="193"/>
    </row>
    <row r="109703" spans="6:6" x14ac:dyDescent="0.3">
      <c r="F109703" s="193"/>
    </row>
    <row r="109704" spans="6:6" x14ac:dyDescent="0.3">
      <c r="F109704" s="193"/>
    </row>
    <row r="109705" spans="6:6" x14ac:dyDescent="0.3">
      <c r="F109705" s="193"/>
    </row>
    <row r="109706" spans="6:6" x14ac:dyDescent="0.3">
      <c r="F109706" s="193"/>
    </row>
    <row r="109707" spans="6:6" x14ac:dyDescent="0.3">
      <c r="F109707" s="193"/>
    </row>
    <row r="109708" spans="6:6" x14ac:dyDescent="0.3">
      <c r="F109708" s="193"/>
    </row>
    <row r="109709" spans="6:6" x14ac:dyDescent="0.3">
      <c r="F109709" s="193"/>
    </row>
    <row r="109710" spans="6:6" x14ac:dyDescent="0.3">
      <c r="F109710" s="193"/>
    </row>
    <row r="109711" spans="6:6" x14ac:dyDescent="0.3">
      <c r="F109711" s="193"/>
    </row>
    <row r="109712" spans="6:6" x14ac:dyDescent="0.3">
      <c r="F109712" s="193"/>
    </row>
    <row r="109713" spans="6:6" x14ac:dyDescent="0.3">
      <c r="F109713" s="193"/>
    </row>
    <row r="109714" spans="6:6" x14ac:dyDescent="0.3">
      <c r="F109714" s="193"/>
    </row>
    <row r="109715" spans="6:6" x14ac:dyDescent="0.3">
      <c r="F109715" s="193"/>
    </row>
    <row r="109716" spans="6:6" x14ac:dyDescent="0.3">
      <c r="F109716" s="193"/>
    </row>
    <row r="109717" spans="6:6" x14ac:dyDescent="0.3">
      <c r="F109717" s="193"/>
    </row>
    <row r="109718" spans="6:6" x14ac:dyDescent="0.3">
      <c r="F109718" s="193"/>
    </row>
    <row r="109719" spans="6:6" x14ac:dyDescent="0.3">
      <c r="F109719" s="193"/>
    </row>
    <row r="109720" spans="6:6" x14ac:dyDescent="0.3">
      <c r="F109720" s="193"/>
    </row>
    <row r="109721" spans="6:6" x14ac:dyDescent="0.3">
      <c r="F109721" s="193"/>
    </row>
    <row r="109722" spans="6:6" x14ac:dyDescent="0.3">
      <c r="F109722" s="193"/>
    </row>
    <row r="109723" spans="6:6" x14ac:dyDescent="0.3">
      <c r="F109723" s="193"/>
    </row>
    <row r="109724" spans="6:6" x14ac:dyDescent="0.3">
      <c r="F109724" s="193"/>
    </row>
    <row r="109725" spans="6:6" x14ac:dyDescent="0.3">
      <c r="F109725" s="193"/>
    </row>
    <row r="109726" spans="6:6" x14ac:dyDescent="0.3">
      <c r="F109726" s="193"/>
    </row>
    <row r="109727" spans="6:6" x14ac:dyDescent="0.3">
      <c r="F109727" s="193"/>
    </row>
    <row r="109728" spans="6:6" x14ac:dyDescent="0.3">
      <c r="F109728" s="193"/>
    </row>
    <row r="109729" spans="6:6" x14ac:dyDescent="0.3">
      <c r="F109729" s="193"/>
    </row>
    <row r="109730" spans="6:6" x14ac:dyDescent="0.3">
      <c r="F109730" s="193"/>
    </row>
    <row r="109731" spans="6:6" x14ac:dyDescent="0.3">
      <c r="F109731" s="193"/>
    </row>
    <row r="109732" spans="6:6" x14ac:dyDescent="0.3">
      <c r="F109732" s="193"/>
    </row>
    <row r="109733" spans="6:6" x14ac:dyDescent="0.3">
      <c r="F109733" s="193"/>
    </row>
    <row r="109734" spans="6:6" x14ac:dyDescent="0.3">
      <c r="F109734" s="193"/>
    </row>
    <row r="109735" spans="6:6" x14ac:dyDescent="0.3">
      <c r="F109735" s="193"/>
    </row>
    <row r="109736" spans="6:6" x14ac:dyDescent="0.3">
      <c r="F109736" s="193"/>
    </row>
    <row r="109737" spans="6:6" x14ac:dyDescent="0.3">
      <c r="F109737" s="193"/>
    </row>
    <row r="109738" spans="6:6" x14ac:dyDescent="0.3">
      <c r="F109738" s="193"/>
    </row>
    <row r="109739" spans="6:6" x14ac:dyDescent="0.3">
      <c r="F109739" s="193"/>
    </row>
    <row r="109740" spans="6:6" x14ac:dyDescent="0.3">
      <c r="F109740" s="193"/>
    </row>
    <row r="109741" spans="6:6" x14ac:dyDescent="0.3">
      <c r="F109741" s="193"/>
    </row>
    <row r="109742" spans="6:6" x14ac:dyDescent="0.3">
      <c r="F109742" s="193"/>
    </row>
    <row r="109743" spans="6:6" x14ac:dyDescent="0.3">
      <c r="F109743" s="193"/>
    </row>
    <row r="109744" spans="6:6" x14ac:dyDescent="0.3">
      <c r="F109744" s="193"/>
    </row>
    <row r="109745" spans="6:6" x14ac:dyDescent="0.3">
      <c r="F109745" s="193"/>
    </row>
    <row r="109746" spans="6:6" x14ac:dyDescent="0.3">
      <c r="F109746" s="193"/>
    </row>
    <row r="109747" spans="6:6" x14ac:dyDescent="0.3">
      <c r="F109747" s="193"/>
    </row>
    <row r="109748" spans="6:6" x14ac:dyDescent="0.3">
      <c r="F109748" s="193"/>
    </row>
    <row r="109749" spans="6:6" x14ac:dyDescent="0.3">
      <c r="F109749" s="193"/>
    </row>
    <row r="109750" spans="6:6" x14ac:dyDescent="0.3">
      <c r="F109750" s="193"/>
    </row>
    <row r="109751" spans="6:6" x14ac:dyDescent="0.3">
      <c r="F109751" s="193"/>
    </row>
    <row r="109752" spans="6:6" x14ac:dyDescent="0.3">
      <c r="F109752" s="193"/>
    </row>
    <row r="109753" spans="6:6" x14ac:dyDescent="0.3">
      <c r="F109753" s="193"/>
    </row>
    <row r="109754" spans="6:6" x14ac:dyDescent="0.3">
      <c r="F109754" s="193"/>
    </row>
    <row r="109755" spans="6:6" x14ac:dyDescent="0.3">
      <c r="F109755" s="193"/>
    </row>
    <row r="109756" spans="6:6" x14ac:dyDescent="0.3">
      <c r="F109756" s="193"/>
    </row>
    <row r="109757" spans="6:6" x14ac:dyDescent="0.3">
      <c r="F109757" s="193"/>
    </row>
    <row r="109758" spans="6:6" x14ac:dyDescent="0.3">
      <c r="F109758" s="193"/>
    </row>
    <row r="109759" spans="6:6" x14ac:dyDescent="0.3">
      <c r="F109759" s="193"/>
    </row>
    <row r="109760" spans="6:6" x14ac:dyDescent="0.3">
      <c r="F109760" s="193"/>
    </row>
    <row r="109761" spans="6:6" x14ac:dyDescent="0.3">
      <c r="F109761" s="193"/>
    </row>
    <row r="109762" spans="6:6" x14ac:dyDescent="0.3">
      <c r="F109762" s="193"/>
    </row>
    <row r="109763" spans="6:6" x14ac:dyDescent="0.3">
      <c r="F109763" s="193"/>
    </row>
    <row r="109764" spans="6:6" x14ac:dyDescent="0.3">
      <c r="F109764" s="193"/>
    </row>
    <row r="109765" spans="6:6" x14ac:dyDescent="0.3">
      <c r="F109765" s="193"/>
    </row>
    <row r="109766" spans="6:6" x14ac:dyDescent="0.3">
      <c r="F109766" s="193"/>
    </row>
    <row r="109767" spans="6:6" x14ac:dyDescent="0.3">
      <c r="F109767" s="193"/>
    </row>
    <row r="109768" spans="6:6" x14ac:dyDescent="0.3">
      <c r="F109768" s="193"/>
    </row>
    <row r="109769" spans="6:6" x14ac:dyDescent="0.3">
      <c r="F109769" s="193"/>
    </row>
    <row r="109770" spans="6:6" x14ac:dyDescent="0.3">
      <c r="F109770" s="193"/>
    </row>
    <row r="109771" spans="6:6" x14ac:dyDescent="0.3">
      <c r="F109771" s="193"/>
    </row>
    <row r="109772" spans="6:6" x14ac:dyDescent="0.3">
      <c r="F109772" s="193"/>
    </row>
    <row r="109773" spans="6:6" x14ac:dyDescent="0.3">
      <c r="F109773" s="193"/>
    </row>
    <row r="109774" spans="6:6" x14ac:dyDescent="0.3">
      <c r="F109774" s="193"/>
    </row>
    <row r="109775" spans="6:6" x14ac:dyDescent="0.3">
      <c r="F109775" s="193"/>
    </row>
    <row r="109776" spans="6:6" x14ac:dyDescent="0.3">
      <c r="F109776" s="193"/>
    </row>
    <row r="109777" spans="6:6" x14ac:dyDescent="0.3">
      <c r="F109777" s="193"/>
    </row>
    <row r="109778" spans="6:6" x14ac:dyDescent="0.3">
      <c r="F109778" s="193"/>
    </row>
    <row r="109779" spans="6:6" x14ac:dyDescent="0.3">
      <c r="F109779" s="193"/>
    </row>
    <row r="109780" spans="6:6" x14ac:dyDescent="0.3">
      <c r="F109780" s="193"/>
    </row>
    <row r="109781" spans="6:6" x14ac:dyDescent="0.3">
      <c r="F109781" s="193"/>
    </row>
    <row r="109782" spans="6:6" x14ac:dyDescent="0.3">
      <c r="F109782" s="193"/>
    </row>
    <row r="109783" spans="6:6" x14ac:dyDescent="0.3">
      <c r="F109783" s="193"/>
    </row>
    <row r="109784" spans="6:6" x14ac:dyDescent="0.3">
      <c r="F109784" s="193"/>
    </row>
    <row r="109785" spans="6:6" x14ac:dyDescent="0.3">
      <c r="F109785" s="193"/>
    </row>
    <row r="109786" spans="6:6" x14ac:dyDescent="0.3">
      <c r="F109786" s="193"/>
    </row>
    <row r="109787" spans="6:6" x14ac:dyDescent="0.3">
      <c r="F109787" s="193"/>
    </row>
    <row r="109788" spans="6:6" x14ac:dyDescent="0.3">
      <c r="F109788" s="193"/>
    </row>
    <row r="109789" spans="6:6" x14ac:dyDescent="0.3">
      <c r="F109789" s="193"/>
    </row>
    <row r="109790" spans="6:6" x14ac:dyDescent="0.3">
      <c r="F109790" s="193"/>
    </row>
    <row r="109791" spans="6:6" x14ac:dyDescent="0.3">
      <c r="F109791" s="193"/>
    </row>
    <row r="109792" spans="6:6" x14ac:dyDescent="0.3">
      <c r="F109792" s="193"/>
    </row>
    <row r="109793" spans="6:6" x14ac:dyDescent="0.3">
      <c r="F109793" s="193"/>
    </row>
    <row r="109794" spans="6:6" x14ac:dyDescent="0.3">
      <c r="F109794" s="193"/>
    </row>
    <row r="109795" spans="6:6" x14ac:dyDescent="0.3">
      <c r="F109795" s="193"/>
    </row>
    <row r="109796" spans="6:6" x14ac:dyDescent="0.3">
      <c r="F109796" s="193"/>
    </row>
    <row r="109797" spans="6:6" x14ac:dyDescent="0.3">
      <c r="F109797" s="193"/>
    </row>
    <row r="109798" spans="6:6" x14ac:dyDescent="0.3">
      <c r="F109798" s="193"/>
    </row>
    <row r="109799" spans="6:6" x14ac:dyDescent="0.3">
      <c r="F109799" s="193"/>
    </row>
    <row r="109800" spans="6:6" x14ac:dyDescent="0.3">
      <c r="F109800" s="193"/>
    </row>
    <row r="109801" spans="6:6" x14ac:dyDescent="0.3">
      <c r="F109801" s="193"/>
    </row>
    <row r="109802" spans="6:6" x14ac:dyDescent="0.3">
      <c r="F109802" s="193"/>
    </row>
    <row r="109803" spans="6:6" x14ac:dyDescent="0.3">
      <c r="F109803" s="193"/>
    </row>
    <row r="109804" spans="6:6" x14ac:dyDescent="0.3">
      <c r="F109804" s="193"/>
    </row>
    <row r="109805" spans="6:6" x14ac:dyDescent="0.3">
      <c r="F109805" s="193"/>
    </row>
    <row r="109806" spans="6:6" x14ac:dyDescent="0.3">
      <c r="F109806" s="193"/>
    </row>
    <row r="109807" spans="6:6" x14ac:dyDescent="0.3">
      <c r="F109807" s="193"/>
    </row>
    <row r="109808" spans="6:6" x14ac:dyDescent="0.3">
      <c r="F109808" s="193"/>
    </row>
    <row r="109809" spans="6:6" x14ac:dyDescent="0.3">
      <c r="F109809" s="193"/>
    </row>
    <row r="109810" spans="6:6" x14ac:dyDescent="0.3">
      <c r="F109810" s="193"/>
    </row>
    <row r="109811" spans="6:6" x14ac:dyDescent="0.3">
      <c r="F109811" s="193"/>
    </row>
    <row r="109812" spans="6:6" x14ac:dyDescent="0.3">
      <c r="F109812" s="193"/>
    </row>
    <row r="109813" spans="6:6" x14ac:dyDescent="0.3">
      <c r="F109813" s="193"/>
    </row>
    <row r="109814" spans="6:6" x14ac:dyDescent="0.3">
      <c r="F109814" s="193"/>
    </row>
    <row r="109815" spans="6:6" x14ac:dyDescent="0.3">
      <c r="F109815" s="193"/>
    </row>
    <row r="109816" spans="6:6" x14ac:dyDescent="0.3">
      <c r="F109816" s="193"/>
    </row>
    <row r="109817" spans="6:6" x14ac:dyDescent="0.3">
      <c r="F109817" s="193"/>
    </row>
    <row r="109818" spans="6:6" x14ac:dyDescent="0.3">
      <c r="F109818" s="193"/>
    </row>
    <row r="109819" spans="6:6" x14ac:dyDescent="0.3">
      <c r="F109819" s="193"/>
    </row>
    <row r="109820" spans="6:6" x14ac:dyDescent="0.3">
      <c r="F109820" s="193"/>
    </row>
    <row r="109821" spans="6:6" x14ac:dyDescent="0.3">
      <c r="F109821" s="193"/>
    </row>
    <row r="109822" spans="6:6" x14ac:dyDescent="0.3">
      <c r="F109822" s="193"/>
    </row>
    <row r="109823" spans="6:6" x14ac:dyDescent="0.3">
      <c r="F109823" s="193"/>
    </row>
    <row r="109824" spans="6:6" x14ac:dyDescent="0.3">
      <c r="F109824" s="193"/>
    </row>
    <row r="109825" spans="6:6" x14ac:dyDescent="0.3">
      <c r="F109825" s="193"/>
    </row>
    <row r="109826" spans="6:6" x14ac:dyDescent="0.3">
      <c r="F109826" s="193"/>
    </row>
    <row r="109827" spans="6:6" x14ac:dyDescent="0.3">
      <c r="F109827" s="193"/>
    </row>
    <row r="109828" spans="6:6" x14ac:dyDescent="0.3">
      <c r="F109828" s="193"/>
    </row>
    <row r="109829" spans="6:6" x14ac:dyDescent="0.3">
      <c r="F109829" s="193"/>
    </row>
    <row r="109830" spans="6:6" x14ac:dyDescent="0.3">
      <c r="F109830" s="193"/>
    </row>
    <row r="109831" spans="6:6" x14ac:dyDescent="0.3">
      <c r="F109831" s="193"/>
    </row>
    <row r="109832" spans="6:6" x14ac:dyDescent="0.3">
      <c r="F109832" s="193"/>
    </row>
    <row r="109833" spans="6:6" x14ac:dyDescent="0.3">
      <c r="F109833" s="193"/>
    </row>
    <row r="109834" spans="6:6" x14ac:dyDescent="0.3">
      <c r="F109834" s="193"/>
    </row>
    <row r="109835" spans="6:6" x14ac:dyDescent="0.3">
      <c r="F109835" s="193"/>
    </row>
    <row r="109836" spans="6:6" x14ac:dyDescent="0.3">
      <c r="F109836" s="193"/>
    </row>
    <row r="109837" spans="6:6" x14ac:dyDescent="0.3">
      <c r="F109837" s="193"/>
    </row>
    <row r="109838" spans="6:6" x14ac:dyDescent="0.3">
      <c r="F109838" s="193"/>
    </row>
    <row r="109839" spans="6:6" x14ac:dyDescent="0.3">
      <c r="F109839" s="193"/>
    </row>
    <row r="109840" spans="6:6" x14ac:dyDescent="0.3">
      <c r="F109840" s="193"/>
    </row>
    <row r="109841" spans="6:6" x14ac:dyDescent="0.3">
      <c r="F109841" s="193"/>
    </row>
    <row r="109842" spans="6:6" x14ac:dyDescent="0.3">
      <c r="F109842" s="193"/>
    </row>
    <row r="109843" spans="6:6" x14ac:dyDescent="0.3">
      <c r="F109843" s="193"/>
    </row>
    <row r="109844" spans="6:6" x14ac:dyDescent="0.3">
      <c r="F109844" s="193"/>
    </row>
    <row r="109845" spans="6:6" x14ac:dyDescent="0.3">
      <c r="F109845" s="193"/>
    </row>
    <row r="109846" spans="6:6" x14ac:dyDescent="0.3">
      <c r="F109846" s="193"/>
    </row>
    <row r="109847" spans="6:6" x14ac:dyDescent="0.3">
      <c r="F109847" s="193"/>
    </row>
    <row r="109848" spans="6:6" x14ac:dyDescent="0.3">
      <c r="F109848" s="193"/>
    </row>
    <row r="109849" spans="6:6" x14ac:dyDescent="0.3">
      <c r="F109849" s="193"/>
    </row>
    <row r="109850" spans="6:6" x14ac:dyDescent="0.3">
      <c r="F109850" s="193"/>
    </row>
    <row r="109851" spans="6:6" x14ac:dyDescent="0.3">
      <c r="F109851" s="193"/>
    </row>
    <row r="109852" spans="6:6" x14ac:dyDescent="0.3">
      <c r="F109852" s="193"/>
    </row>
    <row r="109853" spans="6:6" x14ac:dyDescent="0.3">
      <c r="F109853" s="193"/>
    </row>
    <row r="109854" spans="6:6" x14ac:dyDescent="0.3">
      <c r="F109854" s="193"/>
    </row>
    <row r="109855" spans="6:6" x14ac:dyDescent="0.3">
      <c r="F109855" s="193"/>
    </row>
    <row r="109856" spans="6:6" x14ac:dyDescent="0.3">
      <c r="F109856" s="193"/>
    </row>
    <row r="109857" spans="6:6" x14ac:dyDescent="0.3">
      <c r="F109857" s="193"/>
    </row>
    <row r="109858" spans="6:6" x14ac:dyDescent="0.3">
      <c r="F109858" s="193"/>
    </row>
    <row r="109859" spans="6:6" x14ac:dyDescent="0.3">
      <c r="F109859" s="193"/>
    </row>
    <row r="109860" spans="6:6" x14ac:dyDescent="0.3">
      <c r="F109860" s="193"/>
    </row>
    <row r="109861" spans="6:6" x14ac:dyDescent="0.3">
      <c r="F109861" s="193"/>
    </row>
    <row r="109862" spans="6:6" x14ac:dyDescent="0.3">
      <c r="F109862" s="193"/>
    </row>
    <row r="109863" spans="6:6" x14ac:dyDescent="0.3">
      <c r="F109863" s="193"/>
    </row>
    <row r="109864" spans="6:6" x14ac:dyDescent="0.3">
      <c r="F109864" s="193"/>
    </row>
    <row r="109865" spans="6:6" x14ac:dyDescent="0.3">
      <c r="F109865" s="193"/>
    </row>
    <row r="109866" spans="6:6" x14ac:dyDescent="0.3">
      <c r="F109866" s="193"/>
    </row>
    <row r="109867" spans="6:6" x14ac:dyDescent="0.3">
      <c r="F109867" s="193"/>
    </row>
    <row r="109868" spans="6:6" x14ac:dyDescent="0.3">
      <c r="F109868" s="193"/>
    </row>
    <row r="109869" spans="6:6" x14ac:dyDescent="0.3">
      <c r="F109869" s="193"/>
    </row>
    <row r="109870" spans="6:6" x14ac:dyDescent="0.3">
      <c r="F109870" s="193"/>
    </row>
    <row r="109871" spans="6:6" x14ac:dyDescent="0.3">
      <c r="F109871" s="193"/>
    </row>
    <row r="109872" spans="6:6" x14ac:dyDescent="0.3">
      <c r="F109872" s="193"/>
    </row>
    <row r="109873" spans="6:6" x14ac:dyDescent="0.3">
      <c r="F109873" s="193"/>
    </row>
    <row r="109874" spans="6:6" x14ac:dyDescent="0.3">
      <c r="F109874" s="193"/>
    </row>
    <row r="109875" spans="6:6" x14ac:dyDescent="0.3">
      <c r="F109875" s="193"/>
    </row>
    <row r="109876" spans="6:6" x14ac:dyDescent="0.3">
      <c r="F109876" s="193"/>
    </row>
    <row r="109877" spans="6:6" x14ac:dyDescent="0.3">
      <c r="F109877" s="193"/>
    </row>
    <row r="109878" spans="6:6" x14ac:dyDescent="0.3">
      <c r="F109878" s="193"/>
    </row>
    <row r="109879" spans="6:6" x14ac:dyDescent="0.3">
      <c r="F109879" s="193"/>
    </row>
    <row r="109880" spans="6:6" x14ac:dyDescent="0.3">
      <c r="F109880" s="193"/>
    </row>
    <row r="109881" spans="6:6" x14ac:dyDescent="0.3">
      <c r="F109881" s="193"/>
    </row>
    <row r="109882" spans="6:6" x14ac:dyDescent="0.3">
      <c r="F109882" s="193"/>
    </row>
    <row r="109883" spans="6:6" x14ac:dyDescent="0.3">
      <c r="F109883" s="193"/>
    </row>
    <row r="109884" spans="6:6" x14ac:dyDescent="0.3">
      <c r="F109884" s="193"/>
    </row>
    <row r="109885" spans="6:6" x14ac:dyDescent="0.3">
      <c r="F109885" s="193"/>
    </row>
    <row r="109886" spans="6:6" x14ac:dyDescent="0.3">
      <c r="F109886" s="193"/>
    </row>
    <row r="109887" spans="6:6" x14ac:dyDescent="0.3">
      <c r="F109887" s="193"/>
    </row>
    <row r="109888" spans="6:6" x14ac:dyDescent="0.3">
      <c r="F109888" s="193"/>
    </row>
    <row r="109889" spans="6:6" x14ac:dyDescent="0.3">
      <c r="F109889" s="193"/>
    </row>
    <row r="109890" spans="6:6" x14ac:dyDescent="0.3">
      <c r="F109890" s="193"/>
    </row>
    <row r="109891" spans="6:6" x14ac:dyDescent="0.3">
      <c r="F109891" s="193"/>
    </row>
    <row r="109892" spans="6:6" x14ac:dyDescent="0.3">
      <c r="F109892" s="193"/>
    </row>
    <row r="109893" spans="6:6" x14ac:dyDescent="0.3">
      <c r="F109893" s="193"/>
    </row>
    <row r="109894" spans="6:6" x14ac:dyDescent="0.3">
      <c r="F109894" s="193"/>
    </row>
    <row r="109895" spans="6:6" x14ac:dyDescent="0.3">
      <c r="F109895" s="193"/>
    </row>
    <row r="109896" spans="6:6" x14ac:dyDescent="0.3">
      <c r="F109896" s="193"/>
    </row>
    <row r="109897" spans="6:6" x14ac:dyDescent="0.3">
      <c r="F109897" s="193"/>
    </row>
    <row r="109898" spans="6:6" x14ac:dyDescent="0.3">
      <c r="F109898" s="193"/>
    </row>
    <row r="109899" spans="6:6" x14ac:dyDescent="0.3">
      <c r="F109899" s="193"/>
    </row>
    <row r="109900" spans="6:6" x14ac:dyDescent="0.3">
      <c r="F109900" s="193"/>
    </row>
    <row r="109901" spans="6:6" x14ac:dyDescent="0.3">
      <c r="F109901" s="193"/>
    </row>
    <row r="109902" spans="6:6" x14ac:dyDescent="0.3">
      <c r="F109902" s="193"/>
    </row>
    <row r="109903" spans="6:6" x14ac:dyDescent="0.3">
      <c r="F109903" s="193"/>
    </row>
    <row r="109904" spans="6:6" x14ac:dyDescent="0.3">
      <c r="F109904" s="193"/>
    </row>
    <row r="109905" spans="6:6" x14ac:dyDescent="0.3">
      <c r="F109905" s="193"/>
    </row>
    <row r="109906" spans="6:6" x14ac:dyDescent="0.3">
      <c r="F109906" s="193"/>
    </row>
    <row r="109907" spans="6:6" x14ac:dyDescent="0.3">
      <c r="F109907" s="193"/>
    </row>
    <row r="109908" spans="6:6" x14ac:dyDescent="0.3">
      <c r="F109908" s="193"/>
    </row>
    <row r="109909" spans="6:6" x14ac:dyDescent="0.3">
      <c r="F109909" s="193"/>
    </row>
    <row r="109910" spans="6:6" x14ac:dyDescent="0.3">
      <c r="F109910" s="193"/>
    </row>
    <row r="109911" spans="6:6" x14ac:dyDescent="0.3">
      <c r="F109911" s="193"/>
    </row>
    <row r="109912" spans="6:6" x14ac:dyDescent="0.3">
      <c r="F109912" s="193"/>
    </row>
    <row r="109913" spans="6:6" x14ac:dyDescent="0.3">
      <c r="F109913" s="193"/>
    </row>
    <row r="109914" spans="6:6" x14ac:dyDescent="0.3">
      <c r="F109914" s="193"/>
    </row>
    <row r="109915" spans="6:6" x14ac:dyDescent="0.3">
      <c r="F109915" s="193"/>
    </row>
    <row r="109916" spans="6:6" x14ac:dyDescent="0.3">
      <c r="F109916" s="193"/>
    </row>
    <row r="109917" spans="6:6" x14ac:dyDescent="0.3">
      <c r="F109917" s="193"/>
    </row>
    <row r="109918" spans="6:6" x14ac:dyDescent="0.3">
      <c r="F109918" s="193"/>
    </row>
    <row r="109919" spans="6:6" x14ac:dyDescent="0.3">
      <c r="F109919" s="193"/>
    </row>
    <row r="109920" spans="6:6" x14ac:dyDescent="0.3">
      <c r="F109920" s="193"/>
    </row>
    <row r="109921" spans="6:6" x14ac:dyDescent="0.3">
      <c r="F109921" s="193"/>
    </row>
    <row r="109922" spans="6:6" x14ac:dyDescent="0.3">
      <c r="F109922" s="193"/>
    </row>
    <row r="109923" spans="6:6" x14ac:dyDescent="0.3">
      <c r="F109923" s="193"/>
    </row>
    <row r="109924" spans="6:6" x14ac:dyDescent="0.3">
      <c r="F109924" s="193"/>
    </row>
    <row r="109925" spans="6:6" x14ac:dyDescent="0.3">
      <c r="F109925" s="193"/>
    </row>
    <row r="109926" spans="6:6" x14ac:dyDescent="0.3">
      <c r="F109926" s="193"/>
    </row>
    <row r="109927" spans="6:6" x14ac:dyDescent="0.3">
      <c r="F109927" s="193"/>
    </row>
    <row r="109928" spans="6:6" x14ac:dyDescent="0.3">
      <c r="F109928" s="193"/>
    </row>
    <row r="109929" spans="6:6" x14ac:dyDescent="0.3">
      <c r="F109929" s="193"/>
    </row>
    <row r="109930" spans="6:6" x14ac:dyDescent="0.3">
      <c r="F109930" s="193"/>
    </row>
    <row r="109931" spans="6:6" x14ac:dyDescent="0.3">
      <c r="F109931" s="193"/>
    </row>
    <row r="109932" spans="6:6" x14ac:dyDescent="0.3">
      <c r="F109932" s="193"/>
    </row>
    <row r="109933" spans="6:6" x14ac:dyDescent="0.3">
      <c r="F109933" s="193"/>
    </row>
    <row r="109934" spans="6:6" x14ac:dyDescent="0.3">
      <c r="F109934" s="193"/>
    </row>
    <row r="109935" spans="6:6" x14ac:dyDescent="0.3">
      <c r="F109935" s="193"/>
    </row>
    <row r="109936" spans="6:6" x14ac:dyDescent="0.3">
      <c r="F109936" s="193"/>
    </row>
    <row r="109937" spans="6:6" x14ac:dyDescent="0.3">
      <c r="F109937" s="193"/>
    </row>
    <row r="109938" spans="6:6" x14ac:dyDescent="0.3">
      <c r="F109938" s="193"/>
    </row>
    <row r="109939" spans="6:6" x14ac:dyDescent="0.3">
      <c r="F109939" s="193"/>
    </row>
    <row r="109940" spans="6:6" x14ac:dyDescent="0.3">
      <c r="F109940" s="193"/>
    </row>
    <row r="109941" spans="6:6" x14ac:dyDescent="0.3">
      <c r="F109941" s="193"/>
    </row>
    <row r="109942" spans="6:6" x14ac:dyDescent="0.3">
      <c r="F109942" s="193"/>
    </row>
    <row r="109943" spans="6:6" x14ac:dyDescent="0.3">
      <c r="F109943" s="193"/>
    </row>
    <row r="109944" spans="6:6" x14ac:dyDescent="0.3">
      <c r="F109944" s="193"/>
    </row>
    <row r="109945" spans="6:6" x14ac:dyDescent="0.3">
      <c r="F109945" s="193"/>
    </row>
    <row r="109946" spans="6:6" x14ac:dyDescent="0.3">
      <c r="F109946" s="193"/>
    </row>
    <row r="109947" spans="6:6" x14ac:dyDescent="0.3">
      <c r="F109947" s="193"/>
    </row>
    <row r="109948" spans="6:6" x14ac:dyDescent="0.3">
      <c r="F109948" s="193"/>
    </row>
    <row r="109949" spans="6:6" x14ac:dyDescent="0.3">
      <c r="F109949" s="193"/>
    </row>
    <row r="109950" spans="6:6" x14ac:dyDescent="0.3">
      <c r="F109950" s="193"/>
    </row>
    <row r="109951" spans="6:6" x14ac:dyDescent="0.3">
      <c r="F109951" s="193"/>
    </row>
    <row r="109952" spans="6:6" x14ac:dyDescent="0.3">
      <c r="F109952" s="193"/>
    </row>
    <row r="109953" spans="6:6" x14ac:dyDescent="0.3">
      <c r="F109953" s="193"/>
    </row>
    <row r="109954" spans="6:6" x14ac:dyDescent="0.3">
      <c r="F109954" s="193"/>
    </row>
    <row r="109955" spans="6:6" x14ac:dyDescent="0.3">
      <c r="F109955" s="193"/>
    </row>
    <row r="109956" spans="6:6" x14ac:dyDescent="0.3">
      <c r="F109956" s="193"/>
    </row>
    <row r="109957" spans="6:6" x14ac:dyDescent="0.3">
      <c r="F109957" s="193"/>
    </row>
    <row r="109958" spans="6:6" x14ac:dyDescent="0.3">
      <c r="F109958" s="193"/>
    </row>
    <row r="109959" spans="6:6" x14ac:dyDescent="0.3">
      <c r="F109959" s="193"/>
    </row>
    <row r="109960" spans="6:6" x14ac:dyDescent="0.3">
      <c r="F109960" s="193"/>
    </row>
    <row r="109961" spans="6:6" x14ac:dyDescent="0.3">
      <c r="F109961" s="193"/>
    </row>
    <row r="109962" spans="6:6" x14ac:dyDescent="0.3">
      <c r="F109962" s="193"/>
    </row>
    <row r="109963" spans="6:6" x14ac:dyDescent="0.3">
      <c r="F109963" s="193"/>
    </row>
    <row r="109964" spans="6:6" x14ac:dyDescent="0.3">
      <c r="F109964" s="193"/>
    </row>
    <row r="109965" spans="6:6" x14ac:dyDescent="0.3">
      <c r="F109965" s="193"/>
    </row>
    <row r="109966" spans="6:6" x14ac:dyDescent="0.3">
      <c r="F109966" s="193"/>
    </row>
    <row r="109967" spans="6:6" x14ac:dyDescent="0.3">
      <c r="F109967" s="193"/>
    </row>
    <row r="109968" spans="6:6" x14ac:dyDescent="0.3">
      <c r="F109968" s="193"/>
    </row>
    <row r="109969" spans="6:6" x14ac:dyDescent="0.3">
      <c r="F109969" s="193"/>
    </row>
    <row r="109970" spans="6:6" x14ac:dyDescent="0.3">
      <c r="F109970" s="193"/>
    </row>
    <row r="109971" spans="6:6" x14ac:dyDescent="0.3">
      <c r="F109971" s="193"/>
    </row>
    <row r="109972" spans="6:6" x14ac:dyDescent="0.3">
      <c r="F109972" s="193"/>
    </row>
    <row r="109973" spans="6:6" x14ac:dyDescent="0.3">
      <c r="F109973" s="193"/>
    </row>
    <row r="109974" spans="6:6" x14ac:dyDescent="0.3">
      <c r="F109974" s="193"/>
    </row>
    <row r="109975" spans="6:6" x14ac:dyDescent="0.3">
      <c r="F109975" s="193"/>
    </row>
    <row r="109976" spans="6:6" x14ac:dyDescent="0.3">
      <c r="F109976" s="193"/>
    </row>
    <row r="109977" spans="6:6" x14ac:dyDescent="0.3">
      <c r="F109977" s="193"/>
    </row>
    <row r="109978" spans="6:6" x14ac:dyDescent="0.3">
      <c r="F109978" s="193"/>
    </row>
    <row r="109979" spans="6:6" x14ac:dyDescent="0.3">
      <c r="F109979" s="193"/>
    </row>
    <row r="109980" spans="6:6" x14ac:dyDescent="0.3">
      <c r="F109980" s="193"/>
    </row>
    <row r="109981" spans="6:6" x14ac:dyDescent="0.3">
      <c r="F109981" s="193"/>
    </row>
    <row r="109982" spans="6:6" x14ac:dyDescent="0.3">
      <c r="F109982" s="193"/>
    </row>
    <row r="109983" spans="6:6" x14ac:dyDescent="0.3">
      <c r="F109983" s="193"/>
    </row>
    <row r="109984" spans="6:6" x14ac:dyDescent="0.3">
      <c r="F109984" s="193"/>
    </row>
    <row r="109985" spans="6:6" x14ac:dyDescent="0.3">
      <c r="F109985" s="193"/>
    </row>
    <row r="109986" spans="6:6" x14ac:dyDescent="0.3">
      <c r="F109986" s="193"/>
    </row>
    <row r="109987" spans="6:6" x14ac:dyDescent="0.3">
      <c r="F109987" s="193"/>
    </row>
    <row r="109988" spans="6:6" x14ac:dyDescent="0.3">
      <c r="F109988" s="193"/>
    </row>
    <row r="109989" spans="6:6" x14ac:dyDescent="0.3">
      <c r="F109989" s="193"/>
    </row>
    <row r="109990" spans="6:6" x14ac:dyDescent="0.3">
      <c r="F109990" s="193"/>
    </row>
    <row r="109991" spans="6:6" x14ac:dyDescent="0.3">
      <c r="F109991" s="193"/>
    </row>
    <row r="109992" spans="6:6" x14ac:dyDescent="0.3">
      <c r="F109992" s="193"/>
    </row>
    <row r="109993" spans="6:6" x14ac:dyDescent="0.3">
      <c r="F109993" s="193"/>
    </row>
    <row r="109994" spans="6:6" x14ac:dyDescent="0.3">
      <c r="F109994" s="193"/>
    </row>
    <row r="109995" spans="6:6" x14ac:dyDescent="0.3">
      <c r="F109995" s="193"/>
    </row>
    <row r="109996" spans="6:6" x14ac:dyDescent="0.3">
      <c r="F109996" s="193"/>
    </row>
    <row r="109997" spans="6:6" x14ac:dyDescent="0.3">
      <c r="F109997" s="193"/>
    </row>
    <row r="109998" spans="6:6" x14ac:dyDescent="0.3">
      <c r="F109998" s="193"/>
    </row>
    <row r="109999" spans="6:6" x14ac:dyDescent="0.3">
      <c r="F109999" s="193"/>
    </row>
    <row r="110000" spans="6:6" x14ac:dyDescent="0.3">
      <c r="F110000" s="193"/>
    </row>
    <row r="110001" spans="6:6" x14ac:dyDescent="0.3">
      <c r="F110001" s="193"/>
    </row>
    <row r="110002" spans="6:6" x14ac:dyDescent="0.3">
      <c r="F110002" s="193"/>
    </row>
    <row r="110003" spans="6:6" x14ac:dyDescent="0.3">
      <c r="F110003" s="193"/>
    </row>
    <row r="110004" spans="6:6" x14ac:dyDescent="0.3">
      <c r="F110004" s="193"/>
    </row>
    <row r="110005" spans="6:6" x14ac:dyDescent="0.3">
      <c r="F110005" s="193"/>
    </row>
    <row r="110006" spans="6:6" x14ac:dyDescent="0.3">
      <c r="F110006" s="193"/>
    </row>
    <row r="110007" spans="6:6" x14ac:dyDescent="0.3">
      <c r="F110007" s="193"/>
    </row>
    <row r="110008" spans="6:6" x14ac:dyDescent="0.3">
      <c r="F110008" s="193"/>
    </row>
    <row r="110009" spans="6:6" x14ac:dyDescent="0.3">
      <c r="F110009" s="193"/>
    </row>
    <row r="110010" spans="6:6" x14ac:dyDescent="0.3">
      <c r="F110010" s="193"/>
    </row>
    <row r="110011" spans="6:6" x14ac:dyDescent="0.3">
      <c r="F110011" s="193"/>
    </row>
    <row r="110012" spans="6:6" x14ac:dyDescent="0.3">
      <c r="F110012" s="193"/>
    </row>
    <row r="110013" spans="6:6" x14ac:dyDescent="0.3">
      <c r="F110013" s="193"/>
    </row>
    <row r="110014" spans="6:6" x14ac:dyDescent="0.3">
      <c r="F110014" s="193"/>
    </row>
    <row r="110015" spans="6:6" x14ac:dyDescent="0.3">
      <c r="F110015" s="193"/>
    </row>
    <row r="110016" spans="6:6" x14ac:dyDescent="0.3">
      <c r="F110016" s="193"/>
    </row>
    <row r="110017" spans="6:6" x14ac:dyDescent="0.3">
      <c r="F110017" s="193"/>
    </row>
    <row r="110018" spans="6:6" x14ac:dyDescent="0.3">
      <c r="F110018" s="193"/>
    </row>
    <row r="110019" spans="6:6" x14ac:dyDescent="0.3">
      <c r="F110019" s="193"/>
    </row>
    <row r="110020" spans="6:6" x14ac:dyDescent="0.3">
      <c r="F110020" s="193"/>
    </row>
    <row r="110021" spans="6:6" x14ac:dyDescent="0.3">
      <c r="F110021" s="193"/>
    </row>
    <row r="110022" spans="6:6" x14ac:dyDescent="0.3">
      <c r="F110022" s="193"/>
    </row>
    <row r="110023" spans="6:6" x14ac:dyDescent="0.3">
      <c r="F110023" s="193"/>
    </row>
    <row r="110024" spans="6:6" x14ac:dyDescent="0.3">
      <c r="F110024" s="193"/>
    </row>
    <row r="110025" spans="6:6" x14ac:dyDescent="0.3">
      <c r="F110025" s="193"/>
    </row>
    <row r="110026" spans="6:6" x14ac:dyDescent="0.3">
      <c r="F110026" s="193"/>
    </row>
    <row r="110027" spans="6:6" x14ac:dyDescent="0.3">
      <c r="F110027" s="193"/>
    </row>
    <row r="110028" spans="6:6" x14ac:dyDescent="0.3">
      <c r="F110028" s="193"/>
    </row>
    <row r="110029" spans="6:6" x14ac:dyDescent="0.3">
      <c r="F110029" s="193"/>
    </row>
    <row r="110030" spans="6:6" x14ac:dyDescent="0.3">
      <c r="F110030" s="193"/>
    </row>
    <row r="110031" spans="6:6" x14ac:dyDescent="0.3">
      <c r="F110031" s="193"/>
    </row>
    <row r="110032" spans="6:6" x14ac:dyDescent="0.3">
      <c r="F110032" s="193"/>
    </row>
    <row r="110033" spans="6:6" x14ac:dyDescent="0.3">
      <c r="F110033" s="193"/>
    </row>
    <row r="110034" spans="6:6" x14ac:dyDescent="0.3">
      <c r="F110034" s="193"/>
    </row>
    <row r="110035" spans="6:6" x14ac:dyDescent="0.3">
      <c r="F110035" s="193"/>
    </row>
    <row r="110036" spans="6:6" x14ac:dyDescent="0.3">
      <c r="F110036" s="193"/>
    </row>
    <row r="110037" spans="6:6" x14ac:dyDescent="0.3">
      <c r="F110037" s="193"/>
    </row>
    <row r="110038" spans="6:6" x14ac:dyDescent="0.3">
      <c r="F110038" s="193"/>
    </row>
    <row r="110039" spans="6:6" x14ac:dyDescent="0.3">
      <c r="F110039" s="193"/>
    </row>
    <row r="110040" spans="6:6" x14ac:dyDescent="0.3">
      <c r="F110040" s="193"/>
    </row>
    <row r="110041" spans="6:6" x14ac:dyDescent="0.3">
      <c r="F110041" s="193"/>
    </row>
    <row r="110042" spans="6:6" x14ac:dyDescent="0.3">
      <c r="F110042" s="193"/>
    </row>
    <row r="110043" spans="6:6" x14ac:dyDescent="0.3">
      <c r="F110043" s="193"/>
    </row>
    <row r="110044" spans="6:6" x14ac:dyDescent="0.3">
      <c r="F110044" s="193"/>
    </row>
    <row r="110045" spans="6:6" x14ac:dyDescent="0.3">
      <c r="F110045" s="193"/>
    </row>
    <row r="110046" spans="6:6" x14ac:dyDescent="0.3">
      <c r="F110046" s="193"/>
    </row>
    <row r="110047" spans="6:6" x14ac:dyDescent="0.3">
      <c r="F110047" s="193"/>
    </row>
    <row r="110048" spans="6:6" x14ac:dyDescent="0.3">
      <c r="F110048" s="193"/>
    </row>
    <row r="110049" spans="6:6" x14ac:dyDescent="0.3">
      <c r="F110049" s="193"/>
    </row>
    <row r="110050" spans="6:6" x14ac:dyDescent="0.3">
      <c r="F110050" s="193"/>
    </row>
    <row r="110051" spans="6:6" x14ac:dyDescent="0.3">
      <c r="F110051" s="193"/>
    </row>
    <row r="110052" spans="6:6" x14ac:dyDescent="0.3">
      <c r="F110052" s="193"/>
    </row>
    <row r="110053" spans="6:6" x14ac:dyDescent="0.3">
      <c r="F110053" s="193"/>
    </row>
    <row r="110054" spans="6:6" x14ac:dyDescent="0.3">
      <c r="F110054" s="193"/>
    </row>
    <row r="110055" spans="6:6" x14ac:dyDescent="0.3">
      <c r="F110055" s="193"/>
    </row>
    <row r="110056" spans="6:6" x14ac:dyDescent="0.3">
      <c r="F110056" s="193"/>
    </row>
    <row r="110057" spans="6:6" x14ac:dyDescent="0.3">
      <c r="F110057" s="193"/>
    </row>
    <row r="110058" spans="6:6" x14ac:dyDescent="0.3">
      <c r="F110058" s="193"/>
    </row>
    <row r="110059" spans="6:6" x14ac:dyDescent="0.3">
      <c r="F110059" s="193"/>
    </row>
    <row r="110060" spans="6:6" x14ac:dyDescent="0.3">
      <c r="F110060" s="193"/>
    </row>
    <row r="110061" spans="6:6" x14ac:dyDescent="0.3">
      <c r="F110061" s="193"/>
    </row>
    <row r="110062" spans="6:6" x14ac:dyDescent="0.3">
      <c r="F110062" s="193"/>
    </row>
    <row r="110063" spans="6:6" x14ac:dyDescent="0.3">
      <c r="F110063" s="193"/>
    </row>
    <row r="110064" spans="6:6" x14ac:dyDescent="0.3">
      <c r="F110064" s="193"/>
    </row>
    <row r="110065" spans="6:6" x14ac:dyDescent="0.3">
      <c r="F110065" s="193"/>
    </row>
    <row r="110066" spans="6:6" x14ac:dyDescent="0.3">
      <c r="F110066" s="193"/>
    </row>
    <row r="110067" spans="6:6" x14ac:dyDescent="0.3">
      <c r="F110067" s="193"/>
    </row>
    <row r="110068" spans="6:6" x14ac:dyDescent="0.3">
      <c r="F110068" s="193"/>
    </row>
    <row r="110069" spans="6:6" x14ac:dyDescent="0.3">
      <c r="F110069" s="193"/>
    </row>
    <row r="110070" spans="6:6" x14ac:dyDescent="0.3">
      <c r="F110070" s="193"/>
    </row>
    <row r="110071" spans="6:6" x14ac:dyDescent="0.3">
      <c r="F110071" s="193"/>
    </row>
    <row r="110072" spans="6:6" x14ac:dyDescent="0.3">
      <c r="F110072" s="193"/>
    </row>
    <row r="110073" spans="6:6" x14ac:dyDescent="0.3">
      <c r="F110073" s="193"/>
    </row>
    <row r="110074" spans="6:6" x14ac:dyDescent="0.3">
      <c r="F110074" s="193"/>
    </row>
    <row r="110075" spans="6:6" x14ac:dyDescent="0.3">
      <c r="F110075" s="193"/>
    </row>
    <row r="110076" spans="6:6" x14ac:dyDescent="0.3">
      <c r="F110076" s="193"/>
    </row>
    <row r="110077" spans="6:6" x14ac:dyDescent="0.3">
      <c r="F110077" s="193"/>
    </row>
    <row r="110078" spans="6:6" x14ac:dyDescent="0.3">
      <c r="F110078" s="193"/>
    </row>
    <row r="110079" spans="6:6" x14ac:dyDescent="0.3">
      <c r="F110079" s="193"/>
    </row>
    <row r="110080" spans="6:6" x14ac:dyDescent="0.3">
      <c r="F110080" s="193"/>
    </row>
    <row r="110081" spans="6:6" x14ac:dyDescent="0.3">
      <c r="F110081" s="193"/>
    </row>
    <row r="110082" spans="6:6" x14ac:dyDescent="0.3">
      <c r="F110082" s="193"/>
    </row>
    <row r="110083" spans="6:6" x14ac:dyDescent="0.3">
      <c r="F110083" s="193"/>
    </row>
    <row r="110084" spans="6:6" x14ac:dyDescent="0.3">
      <c r="F110084" s="193"/>
    </row>
    <row r="110085" spans="6:6" x14ac:dyDescent="0.3">
      <c r="F110085" s="193"/>
    </row>
    <row r="110086" spans="6:6" x14ac:dyDescent="0.3">
      <c r="F110086" s="193"/>
    </row>
    <row r="110087" spans="6:6" x14ac:dyDescent="0.3">
      <c r="F110087" s="193"/>
    </row>
    <row r="110088" spans="6:6" x14ac:dyDescent="0.3">
      <c r="F110088" s="193"/>
    </row>
    <row r="110089" spans="6:6" x14ac:dyDescent="0.3">
      <c r="F110089" s="193"/>
    </row>
    <row r="110090" spans="6:6" x14ac:dyDescent="0.3">
      <c r="F110090" s="193"/>
    </row>
    <row r="110091" spans="6:6" x14ac:dyDescent="0.3">
      <c r="F110091" s="193"/>
    </row>
    <row r="110092" spans="6:6" x14ac:dyDescent="0.3">
      <c r="F110092" s="193"/>
    </row>
    <row r="110093" spans="6:6" x14ac:dyDescent="0.3">
      <c r="F110093" s="193"/>
    </row>
    <row r="110094" spans="6:6" x14ac:dyDescent="0.3">
      <c r="F110094" s="193"/>
    </row>
    <row r="110095" spans="6:6" x14ac:dyDescent="0.3">
      <c r="F110095" s="193"/>
    </row>
    <row r="110096" spans="6:6" x14ac:dyDescent="0.3">
      <c r="F110096" s="193"/>
    </row>
    <row r="110097" spans="6:6" x14ac:dyDescent="0.3">
      <c r="F110097" s="193"/>
    </row>
    <row r="110098" spans="6:6" x14ac:dyDescent="0.3">
      <c r="F110098" s="193"/>
    </row>
    <row r="110099" spans="6:6" x14ac:dyDescent="0.3">
      <c r="F110099" s="193"/>
    </row>
    <row r="110100" spans="6:6" x14ac:dyDescent="0.3">
      <c r="F110100" s="193"/>
    </row>
    <row r="110101" spans="6:6" x14ac:dyDescent="0.3">
      <c r="F110101" s="193"/>
    </row>
    <row r="110102" spans="6:6" x14ac:dyDescent="0.3">
      <c r="F110102" s="193"/>
    </row>
    <row r="110103" spans="6:6" x14ac:dyDescent="0.3">
      <c r="F110103" s="193"/>
    </row>
    <row r="110104" spans="6:6" x14ac:dyDescent="0.3">
      <c r="F110104" s="193"/>
    </row>
    <row r="110105" spans="6:6" x14ac:dyDescent="0.3">
      <c r="F110105" s="193"/>
    </row>
    <row r="110106" spans="6:6" x14ac:dyDescent="0.3">
      <c r="F110106" s="193"/>
    </row>
    <row r="110107" spans="6:6" x14ac:dyDescent="0.3">
      <c r="F110107" s="193"/>
    </row>
    <row r="110108" spans="6:6" x14ac:dyDescent="0.3">
      <c r="F110108" s="193"/>
    </row>
    <row r="110109" spans="6:6" x14ac:dyDescent="0.3">
      <c r="F110109" s="193"/>
    </row>
    <row r="110110" spans="6:6" x14ac:dyDescent="0.3">
      <c r="F110110" s="193"/>
    </row>
    <row r="110111" spans="6:6" x14ac:dyDescent="0.3">
      <c r="F110111" s="193"/>
    </row>
    <row r="110112" spans="6:6" x14ac:dyDescent="0.3">
      <c r="F110112" s="193"/>
    </row>
    <row r="110113" spans="6:6" x14ac:dyDescent="0.3">
      <c r="F110113" s="193"/>
    </row>
    <row r="110114" spans="6:6" x14ac:dyDescent="0.3">
      <c r="F110114" s="193"/>
    </row>
    <row r="110115" spans="6:6" x14ac:dyDescent="0.3">
      <c r="F110115" s="193"/>
    </row>
    <row r="110116" spans="6:6" x14ac:dyDescent="0.3">
      <c r="F110116" s="193"/>
    </row>
    <row r="110117" spans="6:6" x14ac:dyDescent="0.3">
      <c r="F110117" s="193"/>
    </row>
    <row r="110118" spans="6:6" x14ac:dyDescent="0.3">
      <c r="F110118" s="193"/>
    </row>
    <row r="110119" spans="6:6" x14ac:dyDescent="0.3">
      <c r="F110119" s="193"/>
    </row>
    <row r="110120" spans="6:6" x14ac:dyDescent="0.3">
      <c r="F110120" s="193"/>
    </row>
    <row r="110121" spans="6:6" x14ac:dyDescent="0.3">
      <c r="F110121" s="193"/>
    </row>
    <row r="110122" spans="6:6" x14ac:dyDescent="0.3">
      <c r="F110122" s="193"/>
    </row>
    <row r="110123" spans="6:6" x14ac:dyDescent="0.3">
      <c r="F110123" s="193"/>
    </row>
    <row r="110124" spans="6:6" x14ac:dyDescent="0.3">
      <c r="F110124" s="193"/>
    </row>
    <row r="110125" spans="6:6" x14ac:dyDescent="0.3">
      <c r="F110125" s="193"/>
    </row>
    <row r="110126" spans="6:6" x14ac:dyDescent="0.3">
      <c r="F110126" s="193"/>
    </row>
    <row r="110127" spans="6:6" x14ac:dyDescent="0.3">
      <c r="F110127" s="193"/>
    </row>
    <row r="110128" spans="6:6" x14ac:dyDescent="0.3">
      <c r="F110128" s="193"/>
    </row>
    <row r="110129" spans="6:6" x14ac:dyDescent="0.3">
      <c r="F110129" s="193"/>
    </row>
    <row r="110130" spans="6:6" x14ac:dyDescent="0.3">
      <c r="F110130" s="193"/>
    </row>
    <row r="110131" spans="6:6" x14ac:dyDescent="0.3">
      <c r="F110131" s="193"/>
    </row>
    <row r="110132" spans="6:6" x14ac:dyDescent="0.3">
      <c r="F110132" s="193"/>
    </row>
    <row r="110133" spans="6:6" x14ac:dyDescent="0.3">
      <c r="F110133" s="193"/>
    </row>
    <row r="110134" spans="6:6" x14ac:dyDescent="0.3">
      <c r="F110134" s="193"/>
    </row>
    <row r="110135" spans="6:6" x14ac:dyDescent="0.3">
      <c r="F110135" s="193"/>
    </row>
    <row r="110136" spans="6:6" x14ac:dyDescent="0.3">
      <c r="F110136" s="193"/>
    </row>
    <row r="110137" spans="6:6" x14ac:dyDescent="0.3">
      <c r="F110137" s="193"/>
    </row>
    <row r="110138" spans="6:6" x14ac:dyDescent="0.3">
      <c r="F110138" s="193"/>
    </row>
    <row r="110139" spans="6:6" x14ac:dyDescent="0.3">
      <c r="F110139" s="193"/>
    </row>
    <row r="110140" spans="6:6" x14ac:dyDescent="0.3">
      <c r="F110140" s="193"/>
    </row>
    <row r="110141" spans="6:6" x14ac:dyDescent="0.3">
      <c r="F110141" s="193"/>
    </row>
    <row r="110142" spans="6:6" x14ac:dyDescent="0.3">
      <c r="F110142" s="193"/>
    </row>
    <row r="110143" spans="6:6" x14ac:dyDescent="0.3">
      <c r="F110143" s="193"/>
    </row>
    <row r="110144" spans="6:6" x14ac:dyDescent="0.3">
      <c r="F110144" s="193"/>
    </row>
    <row r="110145" spans="6:6" x14ac:dyDescent="0.3">
      <c r="F110145" s="193"/>
    </row>
    <row r="110146" spans="6:6" x14ac:dyDescent="0.3">
      <c r="F110146" s="193"/>
    </row>
    <row r="110147" spans="6:6" x14ac:dyDescent="0.3">
      <c r="F110147" s="193"/>
    </row>
    <row r="110148" spans="6:6" x14ac:dyDescent="0.3">
      <c r="F110148" s="193"/>
    </row>
    <row r="110149" spans="6:6" x14ac:dyDescent="0.3">
      <c r="F110149" s="193"/>
    </row>
    <row r="110150" spans="6:6" x14ac:dyDescent="0.3">
      <c r="F110150" s="193"/>
    </row>
    <row r="110151" spans="6:6" x14ac:dyDescent="0.3">
      <c r="F110151" s="193"/>
    </row>
    <row r="110152" spans="6:6" x14ac:dyDescent="0.3">
      <c r="F110152" s="193"/>
    </row>
    <row r="110153" spans="6:6" x14ac:dyDescent="0.3">
      <c r="F110153" s="193"/>
    </row>
    <row r="110154" spans="6:6" x14ac:dyDescent="0.3">
      <c r="F110154" s="193"/>
    </row>
    <row r="110155" spans="6:6" x14ac:dyDescent="0.3">
      <c r="F110155" s="193"/>
    </row>
    <row r="110156" spans="6:6" x14ac:dyDescent="0.3">
      <c r="F110156" s="193"/>
    </row>
    <row r="110157" spans="6:6" x14ac:dyDescent="0.3">
      <c r="F110157" s="193"/>
    </row>
    <row r="110158" spans="6:6" x14ac:dyDescent="0.3">
      <c r="F110158" s="193"/>
    </row>
    <row r="110159" spans="6:6" x14ac:dyDescent="0.3">
      <c r="F110159" s="193"/>
    </row>
    <row r="110160" spans="6:6" x14ac:dyDescent="0.3">
      <c r="F110160" s="193"/>
    </row>
    <row r="110161" spans="6:6" x14ac:dyDescent="0.3">
      <c r="F110161" s="193"/>
    </row>
    <row r="110162" spans="6:6" x14ac:dyDescent="0.3">
      <c r="F110162" s="193"/>
    </row>
    <row r="110163" spans="6:6" x14ac:dyDescent="0.3">
      <c r="F110163" s="193"/>
    </row>
    <row r="110164" spans="6:6" x14ac:dyDescent="0.3">
      <c r="F110164" s="193"/>
    </row>
    <row r="110165" spans="6:6" x14ac:dyDescent="0.3">
      <c r="F110165" s="193"/>
    </row>
    <row r="110166" spans="6:6" x14ac:dyDescent="0.3">
      <c r="F110166" s="193"/>
    </row>
    <row r="110167" spans="6:6" x14ac:dyDescent="0.3">
      <c r="F110167" s="193"/>
    </row>
    <row r="110168" spans="6:6" x14ac:dyDescent="0.3">
      <c r="F110168" s="193"/>
    </row>
    <row r="110169" spans="6:6" x14ac:dyDescent="0.3">
      <c r="F110169" s="193"/>
    </row>
    <row r="110170" spans="6:6" x14ac:dyDescent="0.3">
      <c r="F110170" s="193"/>
    </row>
    <row r="110171" spans="6:6" x14ac:dyDescent="0.3">
      <c r="F110171" s="193"/>
    </row>
    <row r="110172" spans="6:6" x14ac:dyDescent="0.3">
      <c r="F110172" s="193"/>
    </row>
    <row r="110173" spans="6:6" x14ac:dyDescent="0.3">
      <c r="F110173" s="193"/>
    </row>
    <row r="110174" spans="6:6" x14ac:dyDescent="0.3">
      <c r="F110174" s="193"/>
    </row>
    <row r="110175" spans="6:6" x14ac:dyDescent="0.3">
      <c r="F110175" s="193"/>
    </row>
    <row r="110176" spans="6:6" x14ac:dyDescent="0.3">
      <c r="F110176" s="193"/>
    </row>
    <row r="110177" spans="6:6" x14ac:dyDescent="0.3">
      <c r="F110177" s="193"/>
    </row>
    <row r="110178" spans="6:6" x14ac:dyDescent="0.3">
      <c r="F110178" s="193"/>
    </row>
    <row r="110179" spans="6:6" x14ac:dyDescent="0.3">
      <c r="F110179" s="193"/>
    </row>
    <row r="110180" spans="6:6" x14ac:dyDescent="0.3">
      <c r="F110180" s="193"/>
    </row>
    <row r="110181" spans="6:6" x14ac:dyDescent="0.3">
      <c r="F110181" s="193"/>
    </row>
    <row r="110182" spans="6:6" x14ac:dyDescent="0.3">
      <c r="F110182" s="193"/>
    </row>
    <row r="110183" spans="6:6" x14ac:dyDescent="0.3">
      <c r="F110183" s="193"/>
    </row>
    <row r="110184" spans="6:6" x14ac:dyDescent="0.3">
      <c r="F110184" s="193"/>
    </row>
    <row r="110185" spans="6:6" x14ac:dyDescent="0.3">
      <c r="F110185" s="193"/>
    </row>
    <row r="110186" spans="6:6" x14ac:dyDescent="0.3">
      <c r="F110186" s="193"/>
    </row>
    <row r="110187" spans="6:6" x14ac:dyDescent="0.3">
      <c r="F110187" s="193"/>
    </row>
    <row r="110188" spans="6:6" x14ac:dyDescent="0.3">
      <c r="F110188" s="193"/>
    </row>
    <row r="110189" spans="6:6" x14ac:dyDescent="0.3">
      <c r="F110189" s="193"/>
    </row>
    <row r="110190" spans="6:6" x14ac:dyDescent="0.3">
      <c r="F110190" s="193"/>
    </row>
    <row r="110191" spans="6:6" x14ac:dyDescent="0.3">
      <c r="F110191" s="193"/>
    </row>
    <row r="110192" spans="6:6" x14ac:dyDescent="0.3">
      <c r="F110192" s="193"/>
    </row>
    <row r="110193" spans="6:6" x14ac:dyDescent="0.3">
      <c r="F110193" s="193"/>
    </row>
    <row r="110194" spans="6:6" x14ac:dyDescent="0.3">
      <c r="F110194" s="193"/>
    </row>
    <row r="110195" spans="6:6" x14ac:dyDescent="0.3">
      <c r="F110195" s="193"/>
    </row>
    <row r="110196" spans="6:6" x14ac:dyDescent="0.3">
      <c r="F110196" s="193"/>
    </row>
    <row r="110197" spans="6:6" x14ac:dyDescent="0.3">
      <c r="F110197" s="193"/>
    </row>
    <row r="110198" spans="6:6" x14ac:dyDescent="0.3">
      <c r="F110198" s="193"/>
    </row>
    <row r="110199" spans="6:6" x14ac:dyDescent="0.3">
      <c r="F110199" s="193"/>
    </row>
    <row r="110200" spans="6:6" x14ac:dyDescent="0.3">
      <c r="F110200" s="193"/>
    </row>
    <row r="110201" spans="6:6" x14ac:dyDescent="0.3">
      <c r="F110201" s="193"/>
    </row>
    <row r="110202" spans="6:6" x14ac:dyDescent="0.3">
      <c r="F110202" s="193"/>
    </row>
    <row r="110203" spans="6:6" x14ac:dyDescent="0.3">
      <c r="F110203" s="193"/>
    </row>
    <row r="110204" spans="6:6" x14ac:dyDescent="0.3">
      <c r="F110204" s="193"/>
    </row>
    <row r="110205" spans="6:6" x14ac:dyDescent="0.3">
      <c r="F110205" s="193"/>
    </row>
    <row r="110206" spans="6:6" x14ac:dyDescent="0.3">
      <c r="F110206" s="193"/>
    </row>
    <row r="110207" spans="6:6" x14ac:dyDescent="0.3">
      <c r="F110207" s="193"/>
    </row>
    <row r="110208" spans="6:6" x14ac:dyDescent="0.3">
      <c r="F110208" s="193"/>
    </row>
    <row r="110209" spans="6:6" x14ac:dyDescent="0.3">
      <c r="F110209" s="193"/>
    </row>
    <row r="110210" spans="6:6" x14ac:dyDescent="0.3">
      <c r="F110210" s="193"/>
    </row>
    <row r="110211" spans="6:6" x14ac:dyDescent="0.3">
      <c r="F110211" s="193"/>
    </row>
    <row r="110212" spans="6:6" x14ac:dyDescent="0.3">
      <c r="F110212" s="193"/>
    </row>
    <row r="110213" spans="6:6" x14ac:dyDescent="0.3">
      <c r="F110213" s="193"/>
    </row>
    <row r="110214" spans="6:6" x14ac:dyDescent="0.3">
      <c r="F110214" s="193"/>
    </row>
    <row r="110215" spans="6:6" x14ac:dyDescent="0.3">
      <c r="F110215" s="193"/>
    </row>
    <row r="110216" spans="6:6" x14ac:dyDescent="0.3">
      <c r="F110216" s="193"/>
    </row>
    <row r="110217" spans="6:6" x14ac:dyDescent="0.3">
      <c r="F110217" s="193"/>
    </row>
    <row r="110218" spans="6:6" x14ac:dyDescent="0.3">
      <c r="F110218" s="193"/>
    </row>
    <row r="110219" spans="6:6" x14ac:dyDescent="0.3">
      <c r="F110219" s="193"/>
    </row>
    <row r="110220" spans="6:6" x14ac:dyDescent="0.3">
      <c r="F110220" s="193"/>
    </row>
    <row r="110221" spans="6:6" x14ac:dyDescent="0.3">
      <c r="F110221" s="193"/>
    </row>
    <row r="110222" spans="6:6" x14ac:dyDescent="0.3">
      <c r="F110222" s="193"/>
    </row>
    <row r="110223" spans="6:6" x14ac:dyDescent="0.3">
      <c r="F110223" s="193"/>
    </row>
    <row r="110224" spans="6:6" x14ac:dyDescent="0.3">
      <c r="F110224" s="193"/>
    </row>
    <row r="110225" spans="6:6" x14ac:dyDescent="0.3">
      <c r="F110225" s="193"/>
    </row>
    <row r="110226" spans="6:6" x14ac:dyDescent="0.3">
      <c r="F110226" s="193"/>
    </row>
    <row r="110227" spans="6:6" x14ac:dyDescent="0.3">
      <c r="F110227" s="193"/>
    </row>
    <row r="110228" spans="6:6" x14ac:dyDescent="0.3">
      <c r="F110228" s="193"/>
    </row>
    <row r="110229" spans="6:6" x14ac:dyDescent="0.3">
      <c r="F110229" s="193"/>
    </row>
    <row r="110230" spans="6:6" x14ac:dyDescent="0.3">
      <c r="F110230" s="193"/>
    </row>
    <row r="110231" spans="6:6" x14ac:dyDescent="0.3">
      <c r="F110231" s="193"/>
    </row>
    <row r="110232" spans="6:6" x14ac:dyDescent="0.3">
      <c r="F110232" s="193"/>
    </row>
    <row r="110233" spans="6:6" x14ac:dyDescent="0.3">
      <c r="F110233" s="193"/>
    </row>
    <row r="110234" spans="6:6" x14ac:dyDescent="0.3">
      <c r="F110234" s="193"/>
    </row>
    <row r="110235" spans="6:6" x14ac:dyDescent="0.3">
      <c r="F110235" s="193"/>
    </row>
    <row r="110236" spans="6:6" x14ac:dyDescent="0.3">
      <c r="F110236" s="193"/>
    </row>
    <row r="110237" spans="6:6" x14ac:dyDescent="0.3">
      <c r="F110237" s="193"/>
    </row>
    <row r="110238" spans="6:6" x14ac:dyDescent="0.3">
      <c r="F110238" s="193"/>
    </row>
    <row r="110239" spans="6:6" x14ac:dyDescent="0.3">
      <c r="F110239" s="193"/>
    </row>
    <row r="110240" spans="6:6" x14ac:dyDescent="0.3">
      <c r="F110240" s="193"/>
    </row>
    <row r="110241" spans="6:6" x14ac:dyDescent="0.3">
      <c r="F110241" s="193"/>
    </row>
    <row r="110242" spans="6:6" x14ac:dyDescent="0.3">
      <c r="F110242" s="193"/>
    </row>
    <row r="110243" spans="6:6" x14ac:dyDescent="0.3">
      <c r="F110243" s="193"/>
    </row>
    <row r="110244" spans="6:6" x14ac:dyDescent="0.3">
      <c r="F110244" s="193"/>
    </row>
    <row r="110245" spans="6:6" x14ac:dyDescent="0.3">
      <c r="F110245" s="193"/>
    </row>
    <row r="110246" spans="6:6" x14ac:dyDescent="0.3">
      <c r="F110246" s="193"/>
    </row>
    <row r="110247" spans="6:6" x14ac:dyDescent="0.3">
      <c r="F110247" s="193"/>
    </row>
    <row r="110248" spans="6:6" x14ac:dyDescent="0.3">
      <c r="F110248" s="193"/>
    </row>
    <row r="110249" spans="6:6" x14ac:dyDescent="0.3">
      <c r="F110249" s="193"/>
    </row>
    <row r="110250" spans="6:6" x14ac:dyDescent="0.3">
      <c r="F110250" s="193"/>
    </row>
    <row r="110251" spans="6:6" x14ac:dyDescent="0.3">
      <c r="F110251" s="193"/>
    </row>
    <row r="110252" spans="6:6" x14ac:dyDescent="0.3">
      <c r="F110252" s="193"/>
    </row>
    <row r="110253" spans="6:6" x14ac:dyDescent="0.3">
      <c r="F110253" s="193"/>
    </row>
    <row r="110254" spans="6:6" x14ac:dyDescent="0.3">
      <c r="F110254" s="193"/>
    </row>
    <row r="110255" spans="6:6" x14ac:dyDescent="0.3">
      <c r="F110255" s="193"/>
    </row>
    <row r="110256" spans="6:6" x14ac:dyDescent="0.3">
      <c r="F110256" s="193"/>
    </row>
    <row r="110257" spans="6:6" x14ac:dyDescent="0.3">
      <c r="F110257" s="193"/>
    </row>
    <row r="110258" spans="6:6" x14ac:dyDescent="0.3">
      <c r="F110258" s="193"/>
    </row>
    <row r="110259" spans="6:6" x14ac:dyDescent="0.3">
      <c r="F110259" s="193"/>
    </row>
    <row r="110260" spans="6:6" x14ac:dyDescent="0.3">
      <c r="F110260" s="193"/>
    </row>
    <row r="110261" spans="6:6" x14ac:dyDescent="0.3">
      <c r="F110261" s="193"/>
    </row>
    <row r="110262" spans="6:6" x14ac:dyDescent="0.3">
      <c r="F110262" s="193"/>
    </row>
    <row r="110263" spans="6:6" x14ac:dyDescent="0.3">
      <c r="F110263" s="193"/>
    </row>
    <row r="110264" spans="6:6" x14ac:dyDescent="0.3">
      <c r="F110264" s="193"/>
    </row>
    <row r="110265" spans="6:6" x14ac:dyDescent="0.3">
      <c r="F110265" s="193"/>
    </row>
    <row r="110266" spans="6:6" x14ac:dyDescent="0.3">
      <c r="F110266" s="193"/>
    </row>
    <row r="110267" spans="6:6" x14ac:dyDescent="0.3">
      <c r="F110267" s="193"/>
    </row>
    <row r="110268" spans="6:6" x14ac:dyDescent="0.3">
      <c r="F110268" s="193"/>
    </row>
    <row r="110269" spans="6:6" x14ac:dyDescent="0.3">
      <c r="F110269" s="193"/>
    </row>
    <row r="110270" spans="6:6" x14ac:dyDescent="0.3">
      <c r="F110270" s="193"/>
    </row>
    <row r="110271" spans="6:6" x14ac:dyDescent="0.3">
      <c r="F110271" s="193"/>
    </row>
    <row r="110272" spans="6:6" x14ac:dyDescent="0.3">
      <c r="F110272" s="193"/>
    </row>
    <row r="110273" spans="6:6" x14ac:dyDescent="0.3">
      <c r="F110273" s="193"/>
    </row>
    <row r="110274" spans="6:6" x14ac:dyDescent="0.3">
      <c r="F110274" s="193"/>
    </row>
    <row r="110275" spans="6:6" x14ac:dyDescent="0.3">
      <c r="F110275" s="193"/>
    </row>
    <row r="110276" spans="6:6" x14ac:dyDescent="0.3">
      <c r="F110276" s="193"/>
    </row>
    <row r="110277" spans="6:6" x14ac:dyDescent="0.3">
      <c r="F110277" s="193"/>
    </row>
    <row r="110278" spans="6:6" x14ac:dyDescent="0.3">
      <c r="F110278" s="193"/>
    </row>
    <row r="110279" spans="6:6" x14ac:dyDescent="0.3">
      <c r="F110279" s="193"/>
    </row>
    <row r="110280" spans="6:6" x14ac:dyDescent="0.3">
      <c r="F110280" s="193"/>
    </row>
    <row r="110281" spans="6:6" x14ac:dyDescent="0.3">
      <c r="F110281" s="193"/>
    </row>
    <row r="110282" spans="6:6" x14ac:dyDescent="0.3">
      <c r="F110282" s="193"/>
    </row>
    <row r="110283" spans="6:6" x14ac:dyDescent="0.3">
      <c r="F110283" s="193"/>
    </row>
    <row r="110284" spans="6:6" x14ac:dyDescent="0.3">
      <c r="F110284" s="193"/>
    </row>
    <row r="110285" spans="6:6" x14ac:dyDescent="0.3">
      <c r="F110285" s="193"/>
    </row>
    <row r="110286" spans="6:6" x14ac:dyDescent="0.3">
      <c r="F110286" s="193"/>
    </row>
    <row r="110287" spans="6:6" x14ac:dyDescent="0.3">
      <c r="F110287" s="193"/>
    </row>
    <row r="110288" spans="6:6" x14ac:dyDescent="0.3">
      <c r="F110288" s="193"/>
    </row>
    <row r="110289" spans="6:6" x14ac:dyDescent="0.3">
      <c r="F110289" s="193"/>
    </row>
    <row r="110290" spans="6:6" x14ac:dyDescent="0.3">
      <c r="F110290" s="193"/>
    </row>
    <row r="110291" spans="6:6" x14ac:dyDescent="0.3">
      <c r="F110291" s="193"/>
    </row>
    <row r="110292" spans="6:6" x14ac:dyDescent="0.3">
      <c r="F110292" s="193"/>
    </row>
    <row r="110293" spans="6:6" x14ac:dyDescent="0.3">
      <c r="F110293" s="193"/>
    </row>
    <row r="110294" spans="6:6" x14ac:dyDescent="0.3">
      <c r="F110294" s="193"/>
    </row>
    <row r="110295" spans="6:6" x14ac:dyDescent="0.3">
      <c r="F110295" s="193"/>
    </row>
    <row r="110296" spans="6:6" x14ac:dyDescent="0.3">
      <c r="F110296" s="193"/>
    </row>
    <row r="110297" spans="6:6" x14ac:dyDescent="0.3">
      <c r="F110297" s="193"/>
    </row>
    <row r="110298" spans="6:6" x14ac:dyDescent="0.3">
      <c r="F110298" s="193"/>
    </row>
    <row r="110299" spans="6:6" x14ac:dyDescent="0.3">
      <c r="F110299" s="193"/>
    </row>
    <row r="110300" spans="6:6" x14ac:dyDescent="0.3">
      <c r="F110300" s="193"/>
    </row>
    <row r="110301" spans="6:6" x14ac:dyDescent="0.3">
      <c r="F110301" s="193"/>
    </row>
    <row r="110302" spans="6:6" x14ac:dyDescent="0.3">
      <c r="F110302" s="193"/>
    </row>
    <row r="110303" spans="6:6" x14ac:dyDescent="0.3">
      <c r="F110303" s="193"/>
    </row>
    <row r="110304" spans="6:6" x14ac:dyDescent="0.3">
      <c r="F110304" s="193"/>
    </row>
    <row r="110305" spans="6:6" x14ac:dyDescent="0.3">
      <c r="F110305" s="193"/>
    </row>
    <row r="110306" spans="6:6" x14ac:dyDescent="0.3">
      <c r="F110306" s="193"/>
    </row>
    <row r="110307" spans="6:6" x14ac:dyDescent="0.3">
      <c r="F110307" s="193"/>
    </row>
    <row r="110308" spans="6:6" x14ac:dyDescent="0.3">
      <c r="F110308" s="193"/>
    </row>
    <row r="110309" spans="6:6" x14ac:dyDescent="0.3">
      <c r="F110309" s="193"/>
    </row>
    <row r="110310" spans="6:6" x14ac:dyDescent="0.3">
      <c r="F110310" s="193"/>
    </row>
    <row r="110311" spans="6:6" x14ac:dyDescent="0.3">
      <c r="F110311" s="193"/>
    </row>
    <row r="110312" spans="6:6" x14ac:dyDescent="0.3">
      <c r="F110312" s="193"/>
    </row>
    <row r="110313" spans="6:6" x14ac:dyDescent="0.3">
      <c r="F110313" s="193"/>
    </row>
    <row r="110314" spans="6:6" x14ac:dyDescent="0.3">
      <c r="F110314" s="193"/>
    </row>
    <row r="110315" spans="6:6" x14ac:dyDescent="0.3">
      <c r="F110315" s="193"/>
    </row>
    <row r="110316" spans="6:6" x14ac:dyDescent="0.3">
      <c r="F110316" s="193"/>
    </row>
    <row r="110317" spans="6:6" x14ac:dyDescent="0.3">
      <c r="F110317" s="193"/>
    </row>
    <row r="110318" spans="6:6" x14ac:dyDescent="0.3">
      <c r="F110318" s="193"/>
    </row>
    <row r="110319" spans="6:6" x14ac:dyDescent="0.3">
      <c r="F110319" s="193"/>
    </row>
    <row r="110320" spans="6:6" x14ac:dyDescent="0.3">
      <c r="F110320" s="193"/>
    </row>
    <row r="110321" spans="6:6" x14ac:dyDescent="0.3">
      <c r="F110321" s="193"/>
    </row>
    <row r="110322" spans="6:6" x14ac:dyDescent="0.3">
      <c r="F110322" s="193"/>
    </row>
    <row r="110323" spans="6:6" x14ac:dyDescent="0.3">
      <c r="F110323" s="193"/>
    </row>
    <row r="110324" spans="6:6" x14ac:dyDescent="0.3">
      <c r="F110324" s="193"/>
    </row>
    <row r="110325" spans="6:6" x14ac:dyDescent="0.3">
      <c r="F110325" s="193"/>
    </row>
    <row r="110326" spans="6:6" x14ac:dyDescent="0.3">
      <c r="F110326" s="193"/>
    </row>
    <row r="110327" spans="6:6" x14ac:dyDescent="0.3">
      <c r="F110327" s="193"/>
    </row>
    <row r="110328" spans="6:6" x14ac:dyDescent="0.3">
      <c r="F110328" s="193"/>
    </row>
    <row r="110329" spans="6:6" x14ac:dyDescent="0.3">
      <c r="F110329" s="193"/>
    </row>
    <row r="110330" spans="6:6" x14ac:dyDescent="0.3">
      <c r="F110330" s="193"/>
    </row>
    <row r="110331" spans="6:6" x14ac:dyDescent="0.3">
      <c r="F110331" s="193"/>
    </row>
    <row r="110332" spans="6:6" x14ac:dyDescent="0.3">
      <c r="F110332" s="193"/>
    </row>
    <row r="110333" spans="6:6" x14ac:dyDescent="0.3">
      <c r="F110333" s="193"/>
    </row>
    <row r="110334" spans="6:6" x14ac:dyDescent="0.3">
      <c r="F110334" s="193"/>
    </row>
    <row r="110335" spans="6:6" x14ac:dyDescent="0.3">
      <c r="F110335" s="193"/>
    </row>
    <row r="110336" spans="6:6" x14ac:dyDescent="0.3">
      <c r="F110336" s="193"/>
    </row>
    <row r="110337" spans="6:6" x14ac:dyDescent="0.3">
      <c r="F110337" s="193"/>
    </row>
    <row r="110338" spans="6:6" x14ac:dyDescent="0.3">
      <c r="F110338" s="193"/>
    </row>
    <row r="110339" spans="6:6" x14ac:dyDescent="0.3">
      <c r="F110339" s="193"/>
    </row>
    <row r="110340" spans="6:6" x14ac:dyDescent="0.3">
      <c r="F110340" s="193"/>
    </row>
    <row r="110341" spans="6:6" x14ac:dyDescent="0.3">
      <c r="F110341" s="193"/>
    </row>
    <row r="110342" spans="6:6" x14ac:dyDescent="0.3">
      <c r="F110342" s="193"/>
    </row>
    <row r="110343" spans="6:6" x14ac:dyDescent="0.3">
      <c r="F110343" s="193"/>
    </row>
    <row r="110344" spans="6:6" x14ac:dyDescent="0.3">
      <c r="F110344" s="193"/>
    </row>
    <row r="110345" spans="6:6" x14ac:dyDescent="0.3">
      <c r="F110345" s="193"/>
    </row>
    <row r="110346" spans="6:6" x14ac:dyDescent="0.3">
      <c r="F110346" s="193"/>
    </row>
    <row r="110347" spans="6:6" x14ac:dyDescent="0.3">
      <c r="F110347" s="193"/>
    </row>
    <row r="110348" spans="6:6" x14ac:dyDescent="0.3">
      <c r="F110348" s="193"/>
    </row>
    <row r="110349" spans="6:6" x14ac:dyDescent="0.3">
      <c r="F110349" s="193"/>
    </row>
    <row r="110350" spans="6:6" x14ac:dyDescent="0.3">
      <c r="F110350" s="193"/>
    </row>
    <row r="110351" spans="6:6" x14ac:dyDescent="0.3">
      <c r="F110351" s="193"/>
    </row>
    <row r="110352" spans="6:6" x14ac:dyDescent="0.3">
      <c r="F110352" s="193"/>
    </row>
    <row r="110353" spans="6:6" x14ac:dyDescent="0.3">
      <c r="F110353" s="193"/>
    </row>
    <row r="110354" spans="6:6" x14ac:dyDescent="0.3">
      <c r="F110354" s="193"/>
    </row>
    <row r="110355" spans="6:6" x14ac:dyDescent="0.3">
      <c r="F110355" s="193"/>
    </row>
    <row r="110356" spans="6:6" x14ac:dyDescent="0.3">
      <c r="F110356" s="193"/>
    </row>
    <row r="110357" spans="6:6" x14ac:dyDescent="0.3">
      <c r="F110357" s="193"/>
    </row>
    <row r="110358" spans="6:6" x14ac:dyDescent="0.3">
      <c r="F110358" s="193"/>
    </row>
    <row r="110359" spans="6:6" x14ac:dyDescent="0.3">
      <c r="F110359" s="193"/>
    </row>
    <row r="110360" spans="6:6" x14ac:dyDescent="0.3">
      <c r="F110360" s="193"/>
    </row>
    <row r="110361" spans="6:6" x14ac:dyDescent="0.3">
      <c r="F110361" s="193"/>
    </row>
    <row r="110362" spans="6:6" x14ac:dyDescent="0.3">
      <c r="F110362" s="193"/>
    </row>
    <row r="110363" spans="6:6" x14ac:dyDescent="0.3">
      <c r="F110363" s="193"/>
    </row>
    <row r="110364" spans="6:6" x14ac:dyDescent="0.3">
      <c r="F110364" s="193"/>
    </row>
    <row r="110365" spans="6:6" x14ac:dyDescent="0.3">
      <c r="F110365" s="193"/>
    </row>
    <row r="110366" spans="6:6" x14ac:dyDescent="0.3">
      <c r="F110366" s="193"/>
    </row>
    <row r="110367" spans="6:6" x14ac:dyDescent="0.3">
      <c r="F110367" s="193"/>
    </row>
    <row r="110368" spans="6:6" x14ac:dyDescent="0.3">
      <c r="F110368" s="193"/>
    </row>
    <row r="110369" spans="6:6" x14ac:dyDescent="0.3">
      <c r="F110369" s="193"/>
    </row>
    <row r="110370" spans="6:6" x14ac:dyDescent="0.3">
      <c r="F110370" s="193"/>
    </row>
    <row r="110371" spans="6:6" x14ac:dyDescent="0.3">
      <c r="F110371" s="193"/>
    </row>
    <row r="110372" spans="6:6" x14ac:dyDescent="0.3">
      <c r="F110372" s="193"/>
    </row>
    <row r="110373" spans="6:6" x14ac:dyDescent="0.3">
      <c r="F110373" s="193"/>
    </row>
    <row r="110374" spans="6:6" x14ac:dyDescent="0.3">
      <c r="F110374" s="193"/>
    </row>
    <row r="110375" spans="6:6" x14ac:dyDescent="0.3">
      <c r="F110375" s="193"/>
    </row>
    <row r="110376" spans="6:6" x14ac:dyDescent="0.3">
      <c r="F110376" s="193"/>
    </row>
    <row r="110377" spans="6:6" x14ac:dyDescent="0.3">
      <c r="F110377" s="193"/>
    </row>
    <row r="110378" spans="6:6" x14ac:dyDescent="0.3">
      <c r="F110378" s="193"/>
    </row>
    <row r="110379" spans="6:6" x14ac:dyDescent="0.3">
      <c r="F110379" s="193"/>
    </row>
    <row r="110380" spans="6:6" x14ac:dyDescent="0.3">
      <c r="F110380" s="193"/>
    </row>
    <row r="110381" spans="6:6" x14ac:dyDescent="0.3">
      <c r="F110381" s="193"/>
    </row>
    <row r="110382" spans="6:6" x14ac:dyDescent="0.3">
      <c r="F110382" s="193"/>
    </row>
    <row r="110383" spans="6:6" x14ac:dyDescent="0.3">
      <c r="F110383" s="193"/>
    </row>
    <row r="110384" spans="6:6" x14ac:dyDescent="0.3">
      <c r="F110384" s="193"/>
    </row>
    <row r="110385" spans="6:6" x14ac:dyDescent="0.3">
      <c r="F110385" s="193"/>
    </row>
    <row r="110386" spans="6:6" x14ac:dyDescent="0.3">
      <c r="F110386" s="193"/>
    </row>
    <row r="110387" spans="6:6" x14ac:dyDescent="0.3">
      <c r="F110387" s="193"/>
    </row>
    <row r="110388" spans="6:6" x14ac:dyDescent="0.3">
      <c r="F110388" s="193"/>
    </row>
    <row r="110389" spans="6:6" x14ac:dyDescent="0.3">
      <c r="F110389" s="193"/>
    </row>
    <row r="110390" spans="6:6" x14ac:dyDescent="0.3">
      <c r="F110390" s="193"/>
    </row>
    <row r="110391" spans="6:6" x14ac:dyDescent="0.3">
      <c r="F110391" s="193"/>
    </row>
    <row r="110392" spans="6:6" x14ac:dyDescent="0.3">
      <c r="F110392" s="193"/>
    </row>
    <row r="110393" spans="6:6" x14ac:dyDescent="0.3">
      <c r="F110393" s="193"/>
    </row>
    <row r="110394" spans="6:6" x14ac:dyDescent="0.3">
      <c r="F110394" s="193"/>
    </row>
    <row r="110395" spans="6:6" x14ac:dyDescent="0.3">
      <c r="F110395" s="193"/>
    </row>
    <row r="110396" spans="6:6" x14ac:dyDescent="0.3">
      <c r="F110396" s="193"/>
    </row>
    <row r="110397" spans="6:6" x14ac:dyDescent="0.3">
      <c r="F110397" s="193"/>
    </row>
    <row r="110398" spans="6:6" x14ac:dyDescent="0.3">
      <c r="F110398" s="193"/>
    </row>
    <row r="110399" spans="6:6" x14ac:dyDescent="0.3">
      <c r="F110399" s="193"/>
    </row>
    <row r="110400" spans="6:6" x14ac:dyDescent="0.3">
      <c r="F110400" s="193"/>
    </row>
    <row r="110401" spans="6:6" x14ac:dyDescent="0.3">
      <c r="F110401" s="193"/>
    </row>
    <row r="110402" spans="6:6" x14ac:dyDescent="0.3">
      <c r="F110402" s="193"/>
    </row>
    <row r="110403" spans="6:6" x14ac:dyDescent="0.3">
      <c r="F110403" s="193"/>
    </row>
    <row r="110404" spans="6:6" x14ac:dyDescent="0.3">
      <c r="F110404" s="193"/>
    </row>
    <row r="110405" spans="6:6" x14ac:dyDescent="0.3">
      <c r="F110405" s="193"/>
    </row>
    <row r="110406" spans="6:6" x14ac:dyDescent="0.3">
      <c r="F110406" s="193"/>
    </row>
    <row r="110407" spans="6:6" x14ac:dyDescent="0.3">
      <c r="F110407" s="193"/>
    </row>
    <row r="110408" spans="6:6" x14ac:dyDescent="0.3">
      <c r="F110408" s="193"/>
    </row>
    <row r="110409" spans="6:6" x14ac:dyDescent="0.3">
      <c r="F110409" s="193"/>
    </row>
    <row r="110410" spans="6:6" x14ac:dyDescent="0.3">
      <c r="F110410" s="193"/>
    </row>
    <row r="110411" spans="6:6" x14ac:dyDescent="0.3">
      <c r="F110411" s="193"/>
    </row>
    <row r="110412" spans="6:6" x14ac:dyDescent="0.3">
      <c r="F110412" s="193"/>
    </row>
    <row r="110413" spans="6:6" x14ac:dyDescent="0.3">
      <c r="F110413" s="193"/>
    </row>
    <row r="110414" spans="6:6" x14ac:dyDescent="0.3">
      <c r="F110414" s="193"/>
    </row>
    <row r="110415" spans="6:6" x14ac:dyDescent="0.3">
      <c r="F110415" s="193"/>
    </row>
    <row r="110416" spans="6:6" x14ac:dyDescent="0.3">
      <c r="F110416" s="193"/>
    </row>
    <row r="110417" spans="6:6" x14ac:dyDescent="0.3">
      <c r="F110417" s="193"/>
    </row>
    <row r="110418" spans="6:6" x14ac:dyDescent="0.3">
      <c r="F110418" s="193"/>
    </row>
    <row r="110419" spans="6:6" x14ac:dyDescent="0.3">
      <c r="F110419" s="193"/>
    </row>
    <row r="110420" spans="6:6" x14ac:dyDescent="0.3">
      <c r="F110420" s="193"/>
    </row>
    <row r="110421" spans="6:6" x14ac:dyDescent="0.3">
      <c r="F110421" s="193"/>
    </row>
    <row r="110422" spans="6:6" x14ac:dyDescent="0.3">
      <c r="F110422" s="193"/>
    </row>
    <row r="110423" spans="6:6" x14ac:dyDescent="0.3">
      <c r="F110423" s="193"/>
    </row>
    <row r="110424" spans="6:6" x14ac:dyDescent="0.3">
      <c r="F110424" s="193"/>
    </row>
    <row r="110425" spans="6:6" x14ac:dyDescent="0.3">
      <c r="F110425" s="193"/>
    </row>
    <row r="110426" spans="6:6" x14ac:dyDescent="0.3">
      <c r="F110426" s="193"/>
    </row>
    <row r="110427" spans="6:6" x14ac:dyDescent="0.3">
      <c r="F110427" s="193"/>
    </row>
    <row r="110428" spans="6:6" x14ac:dyDescent="0.3">
      <c r="F110428" s="193"/>
    </row>
    <row r="110429" spans="6:6" x14ac:dyDescent="0.3">
      <c r="F110429" s="193"/>
    </row>
    <row r="110430" spans="6:6" x14ac:dyDescent="0.3">
      <c r="F110430" s="193"/>
    </row>
    <row r="110431" spans="6:6" x14ac:dyDescent="0.3">
      <c r="F110431" s="193"/>
    </row>
    <row r="110432" spans="6:6" x14ac:dyDescent="0.3">
      <c r="F110432" s="193"/>
    </row>
    <row r="110433" spans="6:6" x14ac:dyDescent="0.3">
      <c r="F110433" s="193"/>
    </row>
    <row r="110434" spans="6:6" x14ac:dyDescent="0.3">
      <c r="F110434" s="193"/>
    </row>
    <row r="110435" spans="6:6" x14ac:dyDescent="0.3">
      <c r="F110435" s="193"/>
    </row>
    <row r="110436" spans="6:6" x14ac:dyDescent="0.3">
      <c r="F110436" s="193"/>
    </row>
    <row r="110437" spans="6:6" x14ac:dyDescent="0.3">
      <c r="F110437" s="193"/>
    </row>
    <row r="110438" spans="6:6" x14ac:dyDescent="0.3">
      <c r="F110438" s="193"/>
    </row>
    <row r="110439" spans="6:6" x14ac:dyDescent="0.3">
      <c r="F110439" s="193"/>
    </row>
    <row r="110440" spans="6:6" x14ac:dyDescent="0.3">
      <c r="F110440" s="193"/>
    </row>
    <row r="110441" spans="6:6" x14ac:dyDescent="0.3">
      <c r="F110441" s="193"/>
    </row>
    <row r="110442" spans="6:6" x14ac:dyDescent="0.3">
      <c r="F110442" s="193"/>
    </row>
    <row r="110443" spans="6:6" x14ac:dyDescent="0.3">
      <c r="F110443" s="193"/>
    </row>
    <row r="110444" spans="6:6" x14ac:dyDescent="0.3">
      <c r="F110444" s="193"/>
    </row>
    <row r="110445" spans="6:6" x14ac:dyDescent="0.3">
      <c r="F110445" s="193"/>
    </row>
    <row r="110446" spans="6:6" x14ac:dyDescent="0.3">
      <c r="F110446" s="193"/>
    </row>
    <row r="110447" spans="6:6" x14ac:dyDescent="0.3">
      <c r="F110447" s="193"/>
    </row>
    <row r="110448" spans="6:6" x14ac:dyDescent="0.3">
      <c r="F110448" s="193"/>
    </row>
    <row r="110449" spans="6:6" x14ac:dyDescent="0.3">
      <c r="F110449" s="193"/>
    </row>
    <row r="110450" spans="6:6" x14ac:dyDescent="0.3">
      <c r="F110450" s="193"/>
    </row>
    <row r="110451" spans="6:6" x14ac:dyDescent="0.3">
      <c r="F110451" s="193"/>
    </row>
    <row r="110452" spans="6:6" x14ac:dyDescent="0.3">
      <c r="F110452" s="193"/>
    </row>
    <row r="110453" spans="6:6" x14ac:dyDescent="0.3">
      <c r="F110453" s="193"/>
    </row>
    <row r="110454" spans="6:6" x14ac:dyDescent="0.3">
      <c r="F110454" s="193"/>
    </row>
    <row r="110455" spans="6:6" x14ac:dyDescent="0.3">
      <c r="F110455" s="193"/>
    </row>
    <row r="110456" spans="6:6" x14ac:dyDescent="0.3">
      <c r="F110456" s="193"/>
    </row>
    <row r="110457" spans="6:6" x14ac:dyDescent="0.3">
      <c r="F110457" s="193"/>
    </row>
    <row r="110458" spans="6:6" x14ac:dyDescent="0.3">
      <c r="F110458" s="193"/>
    </row>
    <row r="110459" spans="6:6" x14ac:dyDescent="0.3">
      <c r="F110459" s="193"/>
    </row>
    <row r="110460" spans="6:6" x14ac:dyDescent="0.3">
      <c r="F110460" s="193"/>
    </row>
    <row r="110461" spans="6:6" x14ac:dyDescent="0.3">
      <c r="F110461" s="193"/>
    </row>
    <row r="110462" spans="6:6" x14ac:dyDescent="0.3">
      <c r="F110462" s="193"/>
    </row>
    <row r="110463" spans="6:6" x14ac:dyDescent="0.3">
      <c r="F110463" s="193"/>
    </row>
    <row r="110464" spans="6:6" x14ac:dyDescent="0.3">
      <c r="F110464" s="193"/>
    </row>
    <row r="110465" spans="6:6" x14ac:dyDescent="0.3">
      <c r="F110465" s="193"/>
    </row>
    <row r="110466" spans="6:6" x14ac:dyDescent="0.3">
      <c r="F110466" s="193"/>
    </row>
    <row r="110467" spans="6:6" x14ac:dyDescent="0.3">
      <c r="F110467" s="193"/>
    </row>
    <row r="110468" spans="6:6" x14ac:dyDescent="0.3">
      <c r="F110468" s="193"/>
    </row>
    <row r="110469" spans="6:6" x14ac:dyDescent="0.3">
      <c r="F110469" s="193"/>
    </row>
    <row r="110470" spans="6:6" x14ac:dyDescent="0.3">
      <c r="F110470" s="193"/>
    </row>
    <row r="110471" spans="6:6" x14ac:dyDescent="0.3">
      <c r="F110471" s="193"/>
    </row>
    <row r="110472" spans="6:6" x14ac:dyDescent="0.3">
      <c r="F110472" s="193"/>
    </row>
    <row r="110473" spans="6:6" x14ac:dyDescent="0.3">
      <c r="F110473" s="193"/>
    </row>
    <row r="110474" spans="6:6" x14ac:dyDescent="0.3">
      <c r="F110474" s="193"/>
    </row>
    <row r="110475" spans="6:6" x14ac:dyDescent="0.3">
      <c r="F110475" s="193"/>
    </row>
    <row r="110476" spans="6:6" x14ac:dyDescent="0.3">
      <c r="F110476" s="193"/>
    </row>
    <row r="110477" spans="6:6" x14ac:dyDescent="0.3">
      <c r="F110477" s="193"/>
    </row>
    <row r="110478" spans="6:6" x14ac:dyDescent="0.3">
      <c r="F110478" s="193"/>
    </row>
    <row r="110479" spans="6:6" x14ac:dyDescent="0.3">
      <c r="F110479" s="193"/>
    </row>
    <row r="110480" spans="6:6" x14ac:dyDescent="0.3">
      <c r="F110480" s="193"/>
    </row>
    <row r="110481" spans="6:6" x14ac:dyDescent="0.3">
      <c r="F110481" s="193"/>
    </row>
    <row r="110482" spans="6:6" x14ac:dyDescent="0.3">
      <c r="F110482" s="193"/>
    </row>
    <row r="110483" spans="6:6" x14ac:dyDescent="0.3">
      <c r="F110483" s="193"/>
    </row>
    <row r="110484" spans="6:6" x14ac:dyDescent="0.3">
      <c r="F110484" s="193"/>
    </row>
    <row r="110485" spans="6:6" x14ac:dyDescent="0.3">
      <c r="F110485" s="193"/>
    </row>
    <row r="110486" spans="6:6" x14ac:dyDescent="0.3">
      <c r="F110486" s="193"/>
    </row>
    <row r="110487" spans="6:6" x14ac:dyDescent="0.3">
      <c r="F110487" s="193"/>
    </row>
    <row r="110488" spans="6:6" x14ac:dyDescent="0.3">
      <c r="F110488" s="193"/>
    </row>
    <row r="110489" spans="6:6" x14ac:dyDescent="0.3">
      <c r="F110489" s="193"/>
    </row>
    <row r="110490" spans="6:6" x14ac:dyDescent="0.3">
      <c r="F110490" s="193"/>
    </row>
    <row r="110491" spans="6:6" x14ac:dyDescent="0.3">
      <c r="F110491" s="193"/>
    </row>
    <row r="110492" spans="6:6" x14ac:dyDescent="0.3">
      <c r="F110492" s="193"/>
    </row>
    <row r="110493" spans="6:6" x14ac:dyDescent="0.3">
      <c r="F110493" s="193"/>
    </row>
    <row r="110494" spans="6:6" x14ac:dyDescent="0.3">
      <c r="F110494" s="193"/>
    </row>
    <row r="110495" spans="6:6" x14ac:dyDescent="0.3">
      <c r="F110495" s="193"/>
    </row>
    <row r="110496" spans="6:6" x14ac:dyDescent="0.3">
      <c r="F110496" s="193"/>
    </row>
    <row r="110497" spans="6:6" x14ac:dyDescent="0.3">
      <c r="F110497" s="193"/>
    </row>
    <row r="110498" spans="6:6" x14ac:dyDescent="0.3">
      <c r="F110498" s="193"/>
    </row>
    <row r="110499" spans="6:6" x14ac:dyDescent="0.3">
      <c r="F110499" s="193"/>
    </row>
    <row r="110500" spans="6:6" x14ac:dyDescent="0.3">
      <c r="F110500" s="193"/>
    </row>
    <row r="110501" spans="6:6" x14ac:dyDescent="0.3">
      <c r="F110501" s="193"/>
    </row>
    <row r="110502" spans="6:6" x14ac:dyDescent="0.3">
      <c r="F110502" s="193"/>
    </row>
    <row r="110503" spans="6:6" x14ac:dyDescent="0.3">
      <c r="F110503" s="193"/>
    </row>
    <row r="110504" spans="6:6" x14ac:dyDescent="0.3">
      <c r="F110504" s="193"/>
    </row>
    <row r="110505" spans="6:6" x14ac:dyDescent="0.3">
      <c r="F110505" s="193"/>
    </row>
    <row r="110506" spans="6:6" x14ac:dyDescent="0.3">
      <c r="F110506" s="193"/>
    </row>
    <row r="110507" spans="6:6" x14ac:dyDescent="0.3">
      <c r="F110507" s="193"/>
    </row>
    <row r="110508" spans="6:6" x14ac:dyDescent="0.3">
      <c r="F110508" s="193"/>
    </row>
    <row r="110509" spans="6:6" x14ac:dyDescent="0.3">
      <c r="F110509" s="193"/>
    </row>
    <row r="110510" spans="6:6" x14ac:dyDescent="0.3">
      <c r="F110510" s="193"/>
    </row>
    <row r="110511" spans="6:6" x14ac:dyDescent="0.3">
      <c r="F110511" s="193"/>
    </row>
    <row r="110512" spans="6:6" x14ac:dyDescent="0.3">
      <c r="F110512" s="193"/>
    </row>
    <row r="110513" spans="6:6" x14ac:dyDescent="0.3">
      <c r="F110513" s="193"/>
    </row>
    <row r="110514" spans="6:6" x14ac:dyDescent="0.3">
      <c r="F110514" s="193"/>
    </row>
    <row r="110515" spans="6:6" x14ac:dyDescent="0.3">
      <c r="F110515" s="193"/>
    </row>
    <row r="110516" spans="6:6" x14ac:dyDescent="0.3">
      <c r="F110516" s="193"/>
    </row>
    <row r="110517" spans="6:6" x14ac:dyDescent="0.3">
      <c r="F110517" s="193"/>
    </row>
    <row r="110518" spans="6:6" x14ac:dyDescent="0.3">
      <c r="F110518" s="193"/>
    </row>
    <row r="110519" spans="6:6" x14ac:dyDescent="0.3">
      <c r="F110519" s="193"/>
    </row>
    <row r="110520" spans="6:6" x14ac:dyDescent="0.3">
      <c r="F110520" s="193"/>
    </row>
    <row r="110521" spans="6:6" x14ac:dyDescent="0.3">
      <c r="F110521" s="193"/>
    </row>
    <row r="110522" spans="6:6" x14ac:dyDescent="0.3">
      <c r="F110522" s="193"/>
    </row>
    <row r="110523" spans="6:6" x14ac:dyDescent="0.3">
      <c r="F110523" s="193"/>
    </row>
    <row r="110524" spans="6:6" x14ac:dyDescent="0.3">
      <c r="F110524" s="193"/>
    </row>
    <row r="110525" spans="6:6" x14ac:dyDescent="0.3">
      <c r="F110525" s="193"/>
    </row>
    <row r="110526" spans="6:6" x14ac:dyDescent="0.3">
      <c r="F110526" s="193"/>
    </row>
    <row r="110527" spans="6:6" x14ac:dyDescent="0.3">
      <c r="F110527" s="193"/>
    </row>
    <row r="110528" spans="6:6" x14ac:dyDescent="0.3">
      <c r="F110528" s="193"/>
    </row>
    <row r="110529" spans="6:6" x14ac:dyDescent="0.3">
      <c r="F110529" s="193"/>
    </row>
    <row r="110530" spans="6:6" x14ac:dyDescent="0.3">
      <c r="F110530" s="193"/>
    </row>
    <row r="110531" spans="6:6" x14ac:dyDescent="0.3">
      <c r="F110531" s="193"/>
    </row>
    <row r="110532" spans="6:6" x14ac:dyDescent="0.3">
      <c r="F110532" s="193"/>
    </row>
    <row r="110533" spans="6:6" x14ac:dyDescent="0.3">
      <c r="F110533" s="193"/>
    </row>
    <row r="110534" spans="6:6" x14ac:dyDescent="0.3">
      <c r="F110534" s="193"/>
    </row>
    <row r="110535" spans="6:6" x14ac:dyDescent="0.3">
      <c r="F110535" s="193"/>
    </row>
    <row r="110536" spans="6:6" x14ac:dyDescent="0.3">
      <c r="F110536" s="193"/>
    </row>
    <row r="110537" spans="6:6" x14ac:dyDescent="0.3">
      <c r="F110537" s="193"/>
    </row>
    <row r="110538" spans="6:6" x14ac:dyDescent="0.3">
      <c r="F110538" s="193"/>
    </row>
    <row r="110539" spans="6:6" x14ac:dyDescent="0.3">
      <c r="F110539" s="193"/>
    </row>
    <row r="110540" spans="6:6" x14ac:dyDescent="0.3">
      <c r="F110540" s="193"/>
    </row>
    <row r="110541" spans="6:6" x14ac:dyDescent="0.3">
      <c r="F110541" s="193"/>
    </row>
    <row r="110542" spans="6:6" x14ac:dyDescent="0.3">
      <c r="F110542" s="193"/>
    </row>
    <row r="110543" spans="6:6" x14ac:dyDescent="0.3">
      <c r="F110543" s="193"/>
    </row>
    <row r="110544" spans="6:6" x14ac:dyDescent="0.3">
      <c r="F110544" s="193"/>
    </row>
    <row r="110545" spans="6:6" x14ac:dyDescent="0.3">
      <c r="F110545" s="193"/>
    </row>
    <row r="110546" spans="6:6" x14ac:dyDescent="0.3">
      <c r="F110546" s="193"/>
    </row>
    <row r="110547" spans="6:6" x14ac:dyDescent="0.3">
      <c r="F110547" s="193"/>
    </row>
    <row r="110548" spans="6:6" x14ac:dyDescent="0.3">
      <c r="F110548" s="193"/>
    </row>
    <row r="110549" spans="6:6" x14ac:dyDescent="0.3">
      <c r="F110549" s="193"/>
    </row>
    <row r="110550" spans="6:6" x14ac:dyDescent="0.3">
      <c r="F110550" s="193"/>
    </row>
    <row r="110551" spans="6:6" x14ac:dyDescent="0.3">
      <c r="F110551" s="193"/>
    </row>
    <row r="110552" spans="6:6" x14ac:dyDescent="0.3">
      <c r="F110552" s="193"/>
    </row>
    <row r="110553" spans="6:6" x14ac:dyDescent="0.3">
      <c r="F110553" s="193"/>
    </row>
    <row r="110554" spans="6:6" x14ac:dyDescent="0.3">
      <c r="F110554" s="193"/>
    </row>
    <row r="110555" spans="6:6" x14ac:dyDescent="0.3">
      <c r="F110555" s="193"/>
    </row>
    <row r="110556" spans="6:6" x14ac:dyDescent="0.3">
      <c r="F110556" s="193"/>
    </row>
    <row r="110557" spans="6:6" x14ac:dyDescent="0.3">
      <c r="F110557" s="193"/>
    </row>
    <row r="110558" spans="6:6" x14ac:dyDescent="0.3">
      <c r="F110558" s="193"/>
    </row>
    <row r="110559" spans="6:6" x14ac:dyDescent="0.3">
      <c r="F110559" s="193"/>
    </row>
    <row r="110560" spans="6:6" x14ac:dyDescent="0.3">
      <c r="F110560" s="193"/>
    </row>
    <row r="110561" spans="6:6" x14ac:dyDescent="0.3">
      <c r="F110561" s="193"/>
    </row>
    <row r="110562" spans="6:6" x14ac:dyDescent="0.3">
      <c r="F110562" s="193"/>
    </row>
    <row r="110563" spans="6:6" x14ac:dyDescent="0.3">
      <c r="F110563" s="193"/>
    </row>
    <row r="110564" spans="6:6" x14ac:dyDescent="0.3">
      <c r="F110564" s="193"/>
    </row>
    <row r="110565" spans="6:6" x14ac:dyDescent="0.3">
      <c r="F110565" s="193"/>
    </row>
    <row r="110566" spans="6:6" x14ac:dyDescent="0.3">
      <c r="F110566" s="193"/>
    </row>
    <row r="110567" spans="6:6" x14ac:dyDescent="0.3">
      <c r="F110567" s="193"/>
    </row>
    <row r="110568" spans="6:6" x14ac:dyDescent="0.3">
      <c r="F110568" s="193"/>
    </row>
    <row r="110569" spans="6:6" x14ac:dyDescent="0.3">
      <c r="F110569" s="193"/>
    </row>
    <row r="110570" spans="6:6" x14ac:dyDescent="0.3">
      <c r="F110570" s="193"/>
    </row>
    <row r="110571" spans="6:6" x14ac:dyDescent="0.3">
      <c r="F110571" s="193"/>
    </row>
    <row r="110572" spans="6:6" x14ac:dyDescent="0.3">
      <c r="F110572" s="193"/>
    </row>
    <row r="110573" spans="6:6" x14ac:dyDescent="0.3">
      <c r="F110573" s="193"/>
    </row>
    <row r="110574" spans="6:6" x14ac:dyDescent="0.3">
      <c r="F110574" s="193"/>
    </row>
    <row r="110575" spans="6:6" x14ac:dyDescent="0.3">
      <c r="F110575" s="193"/>
    </row>
    <row r="110576" spans="6:6" x14ac:dyDescent="0.3">
      <c r="F110576" s="193"/>
    </row>
    <row r="110577" spans="6:6" x14ac:dyDescent="0.3">
      <c r="F110577" s="193"/>
    </row>
    <row r="110578" spans="6:6" x14ac:dyDescent="0.3">
      <c r="F110578" s="193"/>
    </row>
    <row r="110579" spans="6:6" x14ac:dyDescent="0.3">
      <c r="F110579" s="193"/>
    </row>
    <row r="110580" spans="6:6" x14ac:dyDescent="0.3">
      <c r="F110580" s="193"/>
    </row>
    <row r="110581" spans="6:6" x14ac:dyDescent="0.3">
      <c r="F110581" s="193"/>
    </row>
    <row r="110582" spans="6:6" x14ac:dyDescent="0.3">
      <c r="F110582" s="193"/>
    </row>
    <row r="110583" spans="6:6" x14ac:dyDescent="0.3">
      <c r="F110583" s="193"/>
    </row>
    <row r="110584" spans="6:6" x14ac:dyDescent="0.3">
      <c r="F110584" s="193"/>
    </row>
    <row r="110585" spans="6:6" x14ac:dyDescent="0.3">
      <c r="F110585" s="193"/>
    </row>
    <row r="110586" spans="6:6" x14ac:dyDescent="0.3">
      <c r="F110586" s="193"/>
    </row>
    <row r="110587" spans="6:6" x14ac:dyDescent="0.3">
      <c r="F110587" s="193"/>
    </row>
    <row r="110588" spans="6:6" x14ac:dyDescent="0.3">
      <c r="F110588" s="193"/>
    </row>
    <row r="110589" spans="6:6" x14ac:dyDescent="0.3">
      <c r="F110589" s="193"/>
    </row>
    <row r="110590" spans="6:6" x14ac:dyDescent="0.3">
      <c r="F110590" s="193"/>
    </row>
    <row r="110591" spans="6:6" x14ac:dyDescent="0.3">
      <c r="F110591" s="193"/>
    </row>
    <row r="110592" spans="6:6" x14ac:dyDescent="0.3">
      <c r="F110592" s="193"/>
    </row>
    <row r="110593" spans="6:6" x14ac:dyDescent="0.3">
      <c r="F110593" s="193"/>
    </row>
    <row r="110594" spans="6:6" x14ac:dyDescent="0.3">
      <c r="F110594" s="193"/>
    </row>
    <row r="110595" spans="6:6" x14ac:dyDescent="0.3">
      <c r="F110595" s="193"/>
    </row>
    <row r="110596" spans="6:6" x14ac:dyDescent="0.3">
      <c r="F110596" s="193"/>
    </row>
    <row r="110597" spans="6:6" x14ac:dyDescent="0.3">
      <c r="F110597" s="193"/>
    </row>
    <row r="110598" spans="6:6" x14ac:dyDescent="0.3">
      <c r="F110598" s="193"/>
    </row>
    <row r="110599" spans="6:6" x14ac:dyDescent="0.3">
      <c r="F110599" s="193"/>
    </row>
    <row r="110600" spans="6:6" x14ac:dyDescent="0.3">
      <c r="F110600" s="193"/>
    </row>
    <row r="110601" spans="6:6" x14ac:dyDescent="0.3">
      <c r="F110601" s="193"/>
    </row>
    <row r="110602" spans="6:6" x14ac:dyDescent="0.3">
      <c r="F110602" s="193"/>
    </row>
    <row r="110603" spans="6:6" x14ac:dyDescent="0.3">
      <c r="F110603" s="193"/>
    </row>
    <row r="110604" spans="6:6" x14ac:dyDescent="0.3">
      <c r="F110604" s="193"/>
    </row>
    <row r="110605" spans="6:6" x14ac:dyDescent="0.3">
      <c r="F110605" s="193"/>
    </row>
    <row r="110606" spans="6:6" x14ac:dyDescent="0.3">
      <c r="F110606" s="193"/>
    </row>
    <row r="110607" spans="6:6" x14ac:dyDescent="0.3">
      <c r="F110607" s="193"/>
    </row>
    <row r="110608" spans="6:6" x14ac:dyDescent="0.3">
      <c r="F110608" s="193"/>
    </row>
    <row r="110609" spans="6:6" x14ac:dyDescent="0.3">
      <c r="F110609" s="193"/>
    </row>
    <row r="110610" spans="6:6" x14ac:dyDescent="0.3">
      <c r="F110610" s="193"/>
    </row>
    <row r="110611" spans="6:6" x14ac:dyDescent="0.3">
      <c r="F110611" s="193"/>
    </row>
    <row r="110612" spans="6:6" x14ac:dyDescent="0.3">
      <c r="F110612" s="193"/>
    </row>
    <row r="110613" spans="6:6" x14ac:dyDescent="0.3">
      <c r="F110613" s="193"/>
    </row>
    <row r="110614" spans="6:6" x14ac:dyDescent="0.3">
      <c r="F110614" s="193"/>
    </row>
    <row r="110615" spans="6:6" x14ac:dyDescent="0.3">
      <c r="F110615" s="193"/>
    </row>
    <row r="110616" spans="6:6" x14ac:dyDescent="0.3">
      <c r="F110616" s="193"/>
    </row>
    <row r="110617" spans="6:6" x14ac:dyDescent="0.3">
      <c r="F110617" s="193"/>
    </row>
    <row r="110618" spans="6:6" x14ac:dyDescent="0.3">
      <c r="F110618" s="193"/>
    </row>
    <row r="110619" spans="6:6" x14ac:dyDescent="0.3">
      <c r="F110619" s="193"/>
    </row>
    <row r="110620" spans="6:6" x14ac:dyDescent="0.3">
      <c r="F110620" s="193"/>
    </row>
    <row r="110621" spans="6:6" x14ac:dyDescent="0.3">
      <c r="F110621" s="193"/>
    </row>
    <row r="110622" spans="6:6" x14ac:dyDescent="0.3">
      <c r="F110622" s="193"/>
    </row>
    <row r="110623" spans="6:6" x14ac:dyDescent="0.3">
      <c r="F110623" s="193"/>
    </row>
    <row r="110624" spans="6:6" x14ac:dyDescent="0.3">
      <c r="F110624" s="193"/>
    </row>
    <row r="110625" spans="6:6" x14ac:dyDescent="0.3">
      <c r="F110625" s="193"/>
    </row>
    <row r="110626" spans="6:6" x14ac:dyDescent="0.3">
      <c r="F110626" s="193"/>
    </row>
    <row r="110627" spans="6:6" x14ac:dyDescent="0.3">
      <c r="F110627" s="193"/>
    </row>
    <row r="110628" spans="6:6" x14ac:dyDescent="0.3">
      <c r="F110628" s="193"/>
    </row>
    <row r="110629" spans="6:6" x14ac:dyDescent="0.3">
      <c r="F110629" s="193"/>
    </row>
    <row r="110630" spans="6:6" x14ac:dyDescent="0.3">
      <c r="F110630" s="193"/>
    </row>
    <row r="110631" spans="6:6" x14ac:dyDescent="0.3">
      <c r="F110631" s="193"/>
    </row>
    <row r="110632" spans="6:6" x14ac:dyDescent="0.3">
      <c r="F110632" s="193"/>
    </row>
    <row r="110633" spans="6:6" x14ac:dyDescent="0.3">
      <c r="F110633" s="193"/>
    </row>
    <row r="110634" spans="6:6" x14ac:dyDescent="0.3">
      <c r="F110634" s="193"/>
    </row>
    <row r="110635" spans="6:6" x14ac:dyDescent="0.3">
      <c r="F110635" s="193"/>
    </row>
    <row r="110636" spans="6:6" x14ac:dyDescent="0.3">
      <c r="F110636" s="193"/>
    </row>
    <row r="110637" spans="6:6" x14ac:dyDescent="0.3">
      <c r="F110637" s="193"/>
    </row>
    <row r="110638" spans="6:6" x14ac:dyDescent="0.3">
      <c r="F110638" s="193"/>
    </row>
    <row r="110639" spans="6:6" x14ac:dyDescent="0.3">
      <c r="F110639" s="193"/>
    </row>
    <row r="110640" spans="6:6" x14ac:dyDescent="0.3">
      <c r="F110640" s="193"/>
    </row>
    <row r="110641" spans="6:6" x14ac:dyDescent="0.3">
      <c r="F110641" s="193"/>
    </row>
    <row r="110642" spans="6:6" x14ac:dyDescent="0.3">
      <c r="F110642" s="193"/>
    </row>
    <row r="110643" spans="6:6" x14ac:dyDescent="0.3">
      <c r="F110643" s="193"/>
    </row>
    <row r="110644" spans="6:6" x14ac:dyDescent="0.3">
      <c r="F110644" s="193"/>
    </row>
    <row r="110645" spans="6:6" x14ac:dyDescent="0.3">
      <c r="F110645" s="193"/>
    </row>
    <row r="110646" spans="6:6" x14ac:dyDescent="0.3">
      <c r="F110646" s="193"/>
    </row>
    <row r="110647" spans="6:6" x14ac:dyDescent="0.3">
      <c r="F110647" s="193"/>
    </row>
    <row r="110648" spans="6:6" x14ac:dyDescent="0.3">
      <c r="F110648" s="193"/>
    </row>
    <row r="110649" spans="6:6" x14ac:dyDescent="0.3">
      <c r="F110649" s="193"/>
    </row>
    <row r="110650" spans="6:6" x14ac:dyDescent="0.3">
      <c r="F110650" s="193"/>
    </row>
    <row r="110651" spans="6:6" x14ac:dyDescent="0.3">
      <c r="F110651" s="193"/>
    </row>
    <row r="110652" spans="6:6" x14ac:dyDescent="0.3">
      <c r="F110652" s="193"/>
    </row>
    <row r="110653" spans="6:6" x14ac:dyDescent="0.3">
      <c r="F110653" s="193"/>
    </row>
    <row r="110654" spans="6:6" x14ac:dyDescent="0.3">
      <c r="F110654" s="193"/>
    </row>
    <row r="110655" spans="6:6" x14ac:dyDescent="0.3">
      <c r="F110655" s="193"/>
    </row>
    <row r="110656" spans="6:6" x14ac:dyDescent="0.3">
      <c r="F110656" s="193"/>
    </row>
    <row r="110657" spans="6:6" x14ac:dyDescent="0.3">
      <c r="F110657" s="193"/>
    </row>
    <row r="110658" spans="6:6" x14ac:dyDescent="0.3">
      <c r="F110658" s="193"/>
    </row>
    <row r="110659" spans="6:6" x14ac:dyDescent="0.3">
      <c r="F110659" s="193"/>
    </row>
    <row r="110660" spans="6:6" x14ac:dyDescent="0.3">
      <c r="F110660" s="193"/>
    </row>
    <row r="110661" spans="6:6" x14ac:dyDescent="0.3">
      <c r="F110661" s="193"/>
    </row>
    <row r="110662" spans="6:6" x14ac:dyDescent="0.3">
      <c r="F110662" s="193"/>
    </row>
    <row r="110663" spans="6:6" x14ac:dyDescent="0.3">
      <c r="F110663" s="193"/>
    </row>
    <row r="110664" spans="6:6" x14ac:dyDescent="0.3">
      <c r="F110664" s="193"/>
    </row>
    <row r="110665" spans="6:6" x14ac:dyDescent="0.3">
      <c r="F110665" s="193"/>
    </row>
    <row r="110666" spans="6:6" x14ac:dyDescent="0.3">
      <c r="F110666" s="193"/>
    </row>
    <row r="110667" spans="6:6" x14ac:dyDescent="0.3">
      <c r="F110667" s="193"/>
    </row>
    <row r="110668" spans="6:6" x14ac:dyDescent="0.3">
      <c r="F110668" s="193"/>
    </row>
    <row r="110669" spans="6:6" x14ac:dyDescent="0.3">
      <c r="F110669" s="193"/>
    </row>
    <row r="110670" spans="6:6" x14ac:dyDescent="0.3">
      <c r="F110670" s="193"/>
    </row>
    <row r="110671" spans="6:6" x14ac:dyDescent="0.3">
      <c r="F110671" s="193"/>
    </row>
    <row r="110672" spans="6:6" x14ac:dyDescent="0.3">
      <c r="F110672" s="193"/>
    </row>
    <row r="110673" spans="6:6" x14ac:dyDescent="0.3">
      <c r="F110673" s="193"/>
    </row>
    <row r="110674" spans="6:6" x14ac:dyDescent="0.3">
      <c r="F110674" s="193"/>
    </row>
    <row r="110675" spans="6:6" x14ac:dyDescent="0.3">
      <c r="F110675" s="193"/>
    </row>
    <row r="110676" spans="6:6" x14ac:dyDescent="0.3">
      <c r="F110676" s="193"/>
    </row>
    <row r="110677" spans="6:6" x14ac:dyDescent="0.3">
      <c r="F110677" s="193"/>
    </row>
    <row r="110678" spans="6:6" x14ac:dyDescent="0.3">
      <c r="F110678" s="193"/>
    </row>
    <row r="110679" spans="6:6" x14ac:dyDescent="0.3">
      <c r="F110679" s="193"/>
    </row>
    <row r="110680" spans="6:6" x14ac:dyDescent="0.3">
      <c r="F110680" s="193"/>
    </row>
    <row r="110681" spans="6:6" x14ac:dyDescent="0.3">
      <c r="F110681" s="193"/>
    </row>
    <row r="110682" spans="6:6" x14ac:dyDescent="0.3">
      <c r="F110682" s="193"/>
    </row>
    <row r="110683" spans="6:6" x14ac:dyDescent="0.3">
      <c r="F110683" s="193"/>
    </row>
    <row r="110684" spans="6:6" x14ac:dyDescent="0.3">
      <c r="F110684" s="193"/>
    </row>
    <row r="110685" spans="6:6" x14ac:dyDescent="0.3">
      <c r="F110685" s="193"/>
    </row>
    <row r="110686" spans="6:6" x14ac:dyDescent="0.3">
      <c r="F110686" s="193"/>
    </row>
    <row r="110687" spans="6:6" x14ac:dyDescent="0.3">
      <c r="F110687" s="193"/>
    </row>
    <row r="110688" spans="6:6" x14ac:dyDescent="0.3">
      <c r="F110688" s="193"/>
    </row>
    <row r="110689" spans="6:6" x14ac:dyDescent="0.3">
      <c r="F110689" s="193"/>
    </row>
    <row r="110690" spans="6:6" x14ac:dyDescent="0.3">
      <c r="F110690" s="193"/>
    </row>
    <row r="110691" spans="6:6" x14ac:dyDescent="0.3">
      <c r="F110691" s="193"/>
    </row>
    <row r="110692" spans="6:6" x14ac:dyDescent="0.3">
      <c r="F110692" s="193"/>
    </row>
    <row r="110693" spans="6:6" x14ac:dyDescent="0.3">
      <c r="F110693" s="193"/>
    </row>
    <row r="110694" spans="6:6" x14ac:dyDescent="0.3">
      <c r="F110694" s="193"/>
    </row>
    <row r="110695" spans="6:6" x14ac:dyDescent="0.3">
      <c r="F110695" s="193"/>
    </row>
    <row r="110696" spans="6:6" x14ac:dyDescent="0.3">
      <c r="F110696" s="193"/>
    </row>
    <row r="110697" spans="6:6" x14ac:dyDescent="0.3">
      <c r="F110697" s="193"/>
    </row>
    <row r="110698" spans="6:6" x14ac:dyDescent="0.3">
      <c r="F110698" s="193"/>
    </row>
    <row r="110699" spans="6:6" x14ac:dyDescent="0.3">
      <c r="F110699" s="193"/>
    </row>
    <row r="110700" spans="6:6" x14ac:dyDescent="0.3">
      <c r="F110700" s="193"/>
    </row>
    <row r="110701" spans="6:6" x14ac:dyDescent="0.3">
      <c r="F110701" s="193"/>
    </row>
    <row r="110702" spans="6:6" x14ac:dyDescent="0.3">
      <c r="F110702" s="193"/>
    </row>
    <row r="110703" spans="6:6" x14ac:dyDescent="0.3">
      <c r="F110703" s="193"/>
    </row>
    <row r="110704" spans="6:6" x14ac:dyDescent="0.3">
      <c r="F110704" s="193"/>
    </row>
    <row r="110705" spans="6:6" x14ac:dyDescent="0.3">
      <c r="F110705" s="193"/>
    </row>
    <row r="110706" spans="6:6" x14ac:dyDescent="0.3">
      <c r="F110706" s="193"/>
    </row>
    <row r="110707" spans="6:6" x14ac:dyDescent="0.3">
      <c r="F110707" s="193"/>
    </row>
    <row r="110708" spans="6:6" x14ac:dyDescent="0.3">
      <c r="F110708" s="193"/>
    </row>
    <row r="110709" spans="6:6" x14ac:dyDescent="0.3">
      <c r="F110709" s="193"/>
    </row>
    <row r="110710" spans="6:6" x14ac:dyDescent="0.3">
      <c r="F110710" s="193"/>
    </row>
    <row r="110711" spans="6:6" x14ac:dyDescent="0.3">
      <c r="F110711" s="193"/>
    </row>
    <row r="110712" spans="6:6" x14ac:dyDescent="0.3">
      <c r="F110712" s="193"/>
    </row>
    <row r="110713" spans="6:6" x14ac:dyDescent="0.3">
      <c r="F110713" s="193"/>
    </row>
    <row r="110714" spans="6:6" x14ac:dyDescent="0.3">
      <c r="F110714" s="193"/>
    </row>
    <row r="110715" spans="6:6" x14ac:dyDescent="0.3">
      <c r="F110715" s="193"/>
    </row>
    <row r="110716" spans="6:6" x14ac:dyDescent="0.3">
      <c r="F110716" s="193"/>
    </row>
    <row r="110717" spans="6:6" x14ac:dyDescent="0.3">
      <c r="F110717" s="193"/>
    </row>
    <row r="110718" spans="6:6" x14ac:dyDescent="0.3">
      <c r="F110718" s="193"/>
    </row>
    <row r="110719" spans="6:6" x14ac:dyDescent="0.3">
      <c r="F110719" s="193"/>
    </row>
    <row r="110720" spans="6:6" x14ac:dyDescent="0.3">
      <c r="F110720" s="193"/>
    </row>
    <row r="110721" spans="6:6" x14ac:dyDescent="0.3">
      <c r="F110721" s="193"/>
    </row>
    <row r="110722" spans="6:6" x14ac:dyDescent="0.3">
      <c r="F110722" s="193"/>
    </row>
    <row r="110723" spans="6:6" x14ac:dyDescent="0.3">
      <c r="F110723" s="193"/>
    </row>
    <row r="110724" spans="6:6" x14ac:dyDescent="0.3">
      <c r="F110724" s="193"/>
    </row>
    <row r="110725" spans="6:6" x14ac:dyDescent="0.3">
      <c r="F110725" s="193"/>
    </row>
    <row r="110726" spans="6:6" x14ac:dyDescent="0.3">
      <c r="F110726" s="193"/>
    </row>
    <row r="110727" spans="6:6" x14ac:dyDescent="0.3">
      <c r="F110727" s="193"/>
    </row>
    <row r="110728" spans="6:6" x14ac:dyDescent="0.3">
      <c r="F110728" s="193"/>
    </row>
    <row r="110729" spans="6:6" x14ac:dyDescent="0.3">
      <c r="F110729" s="193"/>
    </row>
    <row r="110730" spans="6:6" x14ac:dyDescent="0.3">
      <c r="F110730" s="193"/>
    </row>
    <row r="110731" spans="6:6" x14ac:dyDescent="0.3">
      <c r="F110731" s="193"/>
    </row>
    <row r="110732" spans="6:6" x14ac:dyDescent="0.3">
      <c r="F110732" s="193"/>
    </row>
    <row r="110733" spans="6:6" x14ac:dyDescent="0.3">
      <c r="F110733" s="193"/>
    </row>
    <row r="110734" spans="6:6" x14ac:dyDescent="0.3">
      <c r="F110734" s="193"/>
    </row>
    <row r="110735" spans="6:6" x14ac:dyDescent="0.3">
      <c r="F110735" s="193"/>
    </row>
    <row r="110736" spans="6:6" x14ac:dyDescent="0.3">
      <c r="F110736" s="193"/>
    </row>
    <row r="110737" spans="6:6" x14ac:dyDescent="0.3">
      <c r="F110737" s="193"/>
    </row>
    <row r="110738" spans="6:6" x14ac:dyDescent="0.3">
      <c r="F110738" s="193"/>
    </row>
    <row r="110739" spans="6:6" x14ac:dyDescent="0.3">
      <c r="F110739" s="193"/>
    </row>
    <row r="110740" spans="6:6" x14ac:dyDescent="0.3">
      <c r="F110740" s="193"/>
    </row>
    <row r="110741" spans="6:6" x14ac:dyDescent="0.3">
      <c r="F110741" s="193"/>
    </row>
    <row r="110742" spans="6:6" x14ac:dyDescent="0.3">
      <c r="F110742" s="193"/>
    </row>
    <row r="110743" spans="6:6" x14ac:dyDescent="0.3">
      <c r="F110743" s="193"/>
    </row>
    <row r="110744" spans="6:6" x14ac:dyDescent="0.3">
      <c r="F110744" s="193"/>
    </row>
    <row r="110745" spans="6:6" x14ac:dyDescent="0.3">
      <c r="F110745" s="193"/>
    </row>
    <row r="110746" spans="6:6" x14ac:dyDescent="0.3">
      <c r="F110746" s="193"/>
    </row>
    <row r="110747" spans="6:6" x14ac:dyDescent="0.3">
      <c r="F110747" s="193"/>
    </row>
    <row r="110748" spans="6:6" x14ac:dyDescent="0.3">
      <c r="F110748" s="193"/>
    </row>
    <row r="110749" spans="6:6" x14ac:dyDescent="0.3">
      <c r="F110749" s="193"/>
    </row>
    <row r="110750" spans="6:6" x14ac:dyDescent="0.3">
      <c r="F110750" s="193"/>
    </row>
    <row r="110751" spans="6:6" x14ac:dyDescent="0.3">
      <c r="F110751" s="193"/>
    </row>
    <row r="110752" spans="6:6" x14ac:dyDescent="0.3">
      <c r="F110752" s="193"/>
    </row>
    <row r="110753" spans="6:6" x14ac:dyDescent="0.3">
      <c r="F110753" s="193"/>
    </row>
    <row r="110754" spans="6:6" x14ac:dyDescent="0.3">
      <c r="F110754" s="193"/>
    </row>
    <row r="110755" spans="6:6" x14ac:dyDescent="0.3">
      <c r="F110755" s="193"/>
    </row>
    <row r="110756" spans="6:6" x14ac:dyDescent="0.3">
      <c r="F110756" s="193"/>
    </row>
    <row r="110757" spans="6:6" x14ac:dyDescent="0.3">
      <c r="F110757" s="193"/>
    </row>
    <row r="110758" spans="6:6" x14ac:dyDescent="0.3">
      <c r="F110758" s="193"/>
    </row>
    <row r="110759" spans="6:6" x14ac:dyDescent="0.3">
      <c r="F110759" s="193"/>
    </row>
    <row r="110760" spans="6:6" x14ac:dyDescent="0.3">
      <c r="F110760" s="193"/>
    </row>
    <row r="110761" spans="6:6" x14ac:dyDescent="0.3">
      <c r="F110761" s="193"/>
    </row>
    <row r="110762" spans="6:6" x14ac:dyDescent="0.3">
      <c r="F110762" s="193"/>
    </row>
    <row r="110763" spans="6:6" x14ac:dyDescent="0.3">
      <c r="F110763" s="193"/>
    </row>
    <row r="110764" spans="6:6" x14ac:dyDescent="0.3">
      <c r="F110764" s="193"/>
    </row>
    <row r="110765" spans="6:6" x14ac:dyDescent="0.3">
      <c r="F110765" s="193"/>
    </row>
    <row r="110766" spans="6:6" x14ac:dyDescent="0.3">
      <c r="F110766" s="193"/>
    </row>
    <row r="110767" spans="6:6" x14ac:dyDescent="0.3">
      <c r="F110767" s="193"/>
    </row>
    <row r="110768" spans="6:6" x14ac:dyDescent="0.3">
      <c r="F110768" s="193"/>
    </row>
    <row r="110769" spans="6:6" x14ac:dyDescent="0.3">
      <c r="F110769" s="193"/>
    </row>
    <row r="110770" spans="6:6" x14ac:dyDescent="0.3">
      <c r="F110770" s="193"/>
    </row>
    <row r="110771" spans="6:6" x14ac:dyDescent="0.3">
      <c r="F110771" s="193"/>
    </row>
    <row r="110772" spans="6:6" x14ac:dyDescent="0.3">
      <c r="F110772" s="193"/>
    </row>
    <row r="110773" spans="6:6" x14ac:dyDescent="0.3">
      <c r="F110773" s="193"/>
    </row>
    <row r="110774" spans="6:6" x14ac:dyDescent="0.3">
      <c r="F110774" s="193"/>
    </row>
    <row r="110775" spans="6:6" x14ac:dyDescent="0.3">
      <c r="F110775" s="193"/>
    </row>
    <row r="110776" spans="6:6" x14ac:dyDescent="0.3">
      <c r="F110776" s="193"/>
    </row>
    <row r="110777" spans="6:6" x14ac:dyDescent="0.3">
      <c r="F110777" s="193"/>
    </row>
    <row r="110778" spans="6:6" x14ac:dyDescent="0.3">
      <c r="F110778" s="193"/>
    </row>
    <row r="110779" spans="6:6" x14ac:dyDescent="0.3">
      <c r="F110779" s="193"/>
    </row>
    <row r="110780" spans="6:6" x14ac:dyDescent="0.3">
      <c r="F110780" s="193"/>
    </row>
    <row r="110781" spans="6:6" x14ac:dyDescent="0.3">
      <c r="F110781" s="193"/>
    </row>
    <row r="110782" spans="6:6" x14ac:dyDescent="0.3">
      <c r="F110782" s="193"/>
    </row>
    <row r="110783" spans="6:6" x14ac:dyDescent="0.3">
      <c r="F110783" s="193"/>
    </row>
    <row r="110784" spans="6:6" x14ac:dyDescent="0.3">
      <c r="F110784" s="193"/>
    </row>
    <row r="110785" spans="6:6" x14ac:dyDescent="0.3">
      <c r="F110785" s="193"/>
    </row>
    <row r="110786" spans="6:6" x14ac:dyDescent="0.3">
      <c r="F110786" s="193"/>
    </row>
    <row r="110787" spans="6:6" x14ac:dyDescent="0.3">
      <c r="F110787" s="193"/>
    </row>
    <row r="110788" spans="6:6" x14ac:dyDescent="0.3">
      <c r="F110788" s="193"/>
    </row>
    <row r="110789" spans="6:6" x14ac:dyDescent="0.3">
      <c r="F110789" s="193"/>
    </row>
    <row r="110790" spans="6:6" x14ac:dyDescent="0.3">
      <c r="F110790" s="193"/>
    </row>
    <row r="110791" spans="6:6" x14ac:dyDescent="0.3">
      <c r="F110791" s="193"/>
    </row>
    <row r="110792" spans="6:6" x14ac:dyDescent="0.3">
      <c r="F110792" s="193"/>
    </row>
    <row r="110793" spans="6:6" x14ac:dyDescent="0.3">
      <c r="F110793" s="193"/>
    </row>
    <row r="110794" spans="6:6" x14ac:dyDescent="0.3">
      <c r="F110794" s="193"/>
    </row>
    <row r="110795" spans="6:6" x14ac:dyDescent="0.3">
      <c r="F110795" s="193"/>
    </row>
    <row r="110796" spans="6:6" x14ac:dyDescent="0.3">
      <c r="F110796" s="193"/>
    </row>
    <row r="110797" spans="6:6" x14ac:dyDescent="0.3">
      <c r="F110797" s="193"/>
    </row>
    <row r="110798" spans="6:6" x14ac:dyDescent="0.3">
      <c r="F110798" s="193"/>
    </row>
    <row r="110799" spans="6:6" x14ac:dyDescent="0.3">
      <c r="F110799" s="193"/>
    </row>
    <row r="110800" spans="6:6" x14ac:dyDescent="0.3">
      <c r="F110800" s="193"/>
    </row>
    <row r="110801" spans="6:6" x14ac:dyDescent="0.3">
      <c r="F110801" s="193"/>
    </row>
    <row r="110802" spans="6:6" x14ac:dyDescent="0.3">
      <c r="F110802" s="193"/>
    </row>
    <row r="110803" spans="6:6" x14ac:dyDescent="0.3">
      <c r="F110803" s="193"/>
    </row>
    <row r="110804" spans="6:6" x14ac:dyDescent="0.3">
      <c r="F110804" s="193"/>
    </row>
    <row r="110805" spans="6:6" x14ac:dyDescent="0.3">
      <c r="F110805" s="193"/>
    </row>
    <row r="110806" spans="6:6" x14ac:dyDescent="0.3">
      <c r="F110806" s="193"/>
    </row>
    <row r="110807" spans="6:6" x14ac:dyDescent="0.3">
      <c r="F110807" s="193"/>
    </row>
    <row r="110808" spans="6:6" x14ac:dyDescent="0.3">
      <c r="F110808" s="193"/>
    </row>
    <row r="110809" spans="6:6" x14ac:dyDescent="0.3">
      <c r="F110809" s="193"/>
    </row>
    <row r="110810" spans="6:6" x14ac:dyDescent="0.3">
      <c r="F110810" s="193"/>
    </row>
    <row r="110811" spans="6:6" x14ac:dyDescent="0.3">
      <c r="F110811" s="193"/>
    </row>
    <row r="110812" spans="6:6" x14ac:dyDescent="0.3">
      <c r="F110812" s="193"/>
    </row>
    <row r="110813" spans="6:6" x14ac:dyDescent="0.3">
      <c r="F110813" s="193"/>
    </row>
    <row r="110814" spans="6:6" x14ac:dyDescent="0.3">
      <c r="F110814" s="193"/>
    </row>
    <row r="110815" spans="6:6" x14ac:dyDescent="0.3">
      <c r="F110815" s="193"/>
    </row>
    <row r="110816" spans="6:6" x14ac:dyDescent="0.3">
      <c r="F110816" s="193"/>
    </row>
    <row r="110817" spans="6:6" x14ac:dyDescent="0.3">
      <c r="F110817" s="193"/>
    </row>
    <row r="110818" spans="6:6" x14ac:dyDescent="0.3">
      <c r="F110818" s="193"/>
    </row>
    <row r="110819" spans="6:6" x14ac:dyDescent="0.3">
      <c r="F110819" s="193"/>
    </row>
    <row r="110820" spans="6:6" x14ac:dyDescent="0.3">
      <c r="F110820" s="193"/>
    </row>
    <row r="110821" spans="6:6" x14ac:dyDescent="0.3">
      <c r="F110821" s="193"/>
    </row>
    <row r="110822" spans="6:6" x14ac:dyDescent="0.3">
      <c r="F110822" s="193"/>
    </row>
    <row r="110823" spans="6:6" x14ac:dyDescent="0.3">
      <c r="F110823" s="193"/>
    </row>
    <row r="110824" spans="6:6" x14ac:dyDescent="0.3">
      <c r="F110824" s="193"/>
    </row>
    <row r="110825" spans="6:6" x14ac:dyDescent="0.3">
      <c r="F110825" s="193"/>
    </row>
    <row r="110826" spans="6:6" x14ac:dyDescent="0.3">
      <c r="F110826" s="193"/>
    </row>
    <row r="110827" spans="6:6" x14ac:dyDescent="0.3">
      <c r="F110827" s="193"/>
    </row>
    <row r="110828" spans="6:6" x14ac:dyDescent="0.3">
      <c r="F110828" s="193"/>
    </row>
    <row r="110829" spans="6:6" x14ac:dyDescent="0.3">
      <c r="F110829" s="193"/>
    </row>
    <row r="110830" spans="6:6" x14ac:dyDescent="0.3">
      <c r="F110830" s="193"/>
    </row>
    <row r="110831" spans="6:6" x14ac:dyDescent="0.3">
      <c r="F110831" s="193"/>
    </row>
    <row r="110832" spans="6:6" x14ac:dyDescent="0.3">
      <c r="F110832" s="193"/>
    </row>
    <row r="110833" spans="6:6" x14ac:dyDescent="0.3">
      <c r="F110833" s="193"/>
    </row>
    <row r="110834" spans="6:6" x14ac:dyDescent="0.3">
      <c r="F110834" s="193"/>
    </row>
    <row r="110835" spans="6:6" x14ac:dyDescent="0.3">
      <c r="F110835" s="193"/>
    </row>
    <row r="110836" spans="6:6" x14ac:dyDescent="0.3">
      <c r="F110836" s="193"/>
    </row>
    <row r="110837" spans="6:6" x14ac:dyDescent="0.3">
      <c r="F110837" s="193"/>
    </row>
    <row r="110838" spans="6:6" x14ac:dyDescent="0.3">
      <c r="F110838" s="193"/>
    </row>
    <row r="110839" spans="6:6" x14ac:dyDescent="0.3">
      <c r="F110839" s="193"/>
    </row>
    <row r="110840" spans="6:6" x14ac:dyDescent="0.3">
      <c r="F110840" s="193"/>
    </row>
    <row r="110841" spans="6:6" x14ac:dyDescent="0.3">
      <c r="F110841" s="193"/>
    </row>
    <row r="110842" spans="6:6" x14ac:dyDescent="0.3">
      <c r="F110842" s="193"/>
    </row>
    <row r="110843" spans="6:6" x14ac:dyDescent="0.3">
      <c r="F110843" s="193"/>
    </row>
    <row r="110844" spans="6:6" x14ac:dyDescent="0.3">
      <c r="F110844" s="193"/>
    </row>
    <row r="110845" spans="6:6" x14ac:dyDescent="0.3">
      <c r="F110845" s="193"/>
    </row>
    <row r="110846" spans="6:6" x14ac:dyDescent="0.3">
      <c r="F110846" s="193"/>
    </row>
    <row r="110847" spans="6:6" x14ac:dyDescent="0.3">
      <c r="F110847" s="193"/>
    </row>
    <row r="110848" spans="6:6" x14ac:dyDescent="0.3">
      <c r="F110848" s="193"/>
    </row>
    <row r="110849" spans="6:6" x14ac:dyDescent="0.3">
      <c r="F110849" s="193"/>
    </row>
    <row r="110850" spans="6:6" x14ac:dyDescent="0.3">
      <c r="F110850" s="193"/>
    </row>
    <row r="110851" spans="6:6" x14ac:dyDescent="0.3">
      <c r="F110851" s="193"/>
    </row>
    <row r="110852" spans="6:6" x14ac:dyDescent="0.3">
      <c r="F110852" s="193"/>
    </row>
    <row r="110853" spans="6:6" x14ac:dyDescent="0.3">
      <c r="F110853" s="193"/>
    </row>
    <row r="110854" spans="6:6" x14ac:dyDescent="0.3">
      <c r="F110854" s="193"/>
    </row>
    <row r="110855" spans="6:6" x14ac:dyDescent="0.3">
      <c r="F110855" s="193"/>
    </row>
    <row r="110856" spans="6:6" x14ac:dyDescent="0.3">
      <c r="F110856" s="193"/>
    </row>
    <row r="110857" spans="6:6" x14ac:dyDescent="0.3">
      <c r="F110857" s="193"/>
    </row>
    <row r="110858" spans="6:6" x14ac:dyDescent="0.3">
      <c r="F110858" s="193"/>
    </row>
    <row r="110859" spans="6:6" x14ac:dyDescent="0.3">
      <c r="F110859" s="193"/>
    </row>
    <row r="110860" spans="6:6" x14ac:dyDescent="0.3">
      <c r="F110860" s="193"/>
    </row>
    <row r="110861" spans="6:6" x14ac:dyDescent="0.3">
      <c r="F110861" s="193"/>
    </row>
    <row r="110862" spans="6:6" x14ac:dyDescent="0.3">
      <c r="F110862" s="193"/>
    </row>
    <row r="110863" spans="6:6" x14ac:dyDescent="0.3">
      <c r="F110863" s="193"/>
    </row>
    <row r="110864" spans="6:6" x14ac:dyDescent="0.3">
      <c r="F110864" s="193"/>
    </row>
    <row r="110865" spans="6:6" x14ac:dyDescent="0.3">
      <c r="F110865" s="193"/>
    </row>
    <row r="110866" spans="6:6" x14ac:dyDescent="0.3">
      <c r="F110866" s="193"/>
    </row>
    <row r="110867" spans="6:6" x14ac:dyDescent="0.3">
      <c r="F110867" s="193"/>
    </row>
    <row r="110868" spans="6:6" x14ac:dyDescent="0.3">
      <c r="F110868" s="193"/>
    </row>
    <row r="110869" spans="6:6" x14ac:dyDescent="0.3">
      <c r="F110869" s="193"/>
    </row>
    <row r="110870" spans="6:6" x14ac:dyDescent="0.3">
      <c r="F110870" s="193"/>
    </row>
    <row r="110871" spans="6:6" x14ac:dyDescent="0.3">
      <c r="F110871" s="193"/>
    </row>
    <row r="110872" spans="6:6" x14ac:dyDescent="0.3">
      <c r="F110872" s="193"/>
    </row>
    <row r="110873" spans="6:6" x14ac:dyDescent="0.3">
      <c r="F110873" s="193"/>
    </row>
    <row r="110874" spans="6:6" x14ac:dyDescent="0.3">
      <c r="F110874" s="193"/>
    </row>
    <row r="110875" spans="6:6" x14ac:dyDescent="0.3">
      <c r="F110875" s="193"/>
    </row>
    <row r="110876" spans="6:6" x14ac:dyDescent="0.3">
      <c r="F110876" s="193"/>
    </row>
    <row r="110877" spans="6:6" x14ac:dyDescent="0.3">
      <c r="F110877" s="193"/>
    </row>
    <row r="110878" spans="6:6" x14ac:dyDescent="0.3">
      <c r="F110878" s="193"/>
    </row>
    <row r="110879" spans="6:6" x14ac:dyDescent="0.3">
      <c r="F110879" s="193"/>
    </row>
    <row r="110880" spans="6:6" x14ac:dyDescent="0.3">
      <c r="F110880" s="193"/>
    </row>
    <row r="110881" spans="6:6" x14ac:dyDescent="0.3">
      <c r="F110881" s="193"/>
    </row>
    <row r="110882" spans="6:6" x14ac:dyDescent="0.3">
      <c r="F110882" s="193"/>
    </row>
    <row r="110883" spans="6:6" x14ac:dyDescent="0.3">
      <c r="F110883" s="193"/>
    </row>
    <row r="110884" spans="6:6" x14ac:dyDescent="0.3">
      <c r="F110884" s="193"/>
    </row>
    <row r="110885" spans="6:6" x14ac:dyDescent="0.3">
      <c r="F110885" s="193"/>
    </row>
    <row r="110886" spans="6:6" x14ac:dyDescent="0.3">
      <c r="F110886" s="193"/>
    </row>
    <row r="110887" spans="6:6" x14ac:dyDescent="0.3">
      <c r="F110887" s="193"/>
    </row>
    <row r="110888" spans="6:6" x14ac:dyDescent="0.3">
      <c r="F110888" s="193"/>
    </row>
    <row r="110889" spans="6:6" x14ac:dyDescent="0.3">
      <c r="F110889" s="193"/>
    </row>
    <row r="110890" spans="6:6" x14ac:dyDescent="0.3">
      <c r="F110890" s="193"/>
    </row>
    <row r="110891" spans="6:6" x14ac:dyDescent="0.3">
      <c r="F110891" s="193"/>
    </row>
    <row r="110892" spans="6:6" x14ac:dyDescent="0.3">
      <c r="F110892" s="193"/>
    </row>
    <row r="110893" spans="6:6" x14ac:dyDescent="0.3">
      <c r="F110893" s="193"/>
    </row>
    <row r="110894" spans="6:6" x14ac:dyDescent="0.3">
      <c r="F110894" s="193"/>
    </row>
    <row r="110895" spans="6:6" x14ac:dyDescent="0.3">
      <c r="F110895" s="193"/>
    </row>
    <row r="110896" spans="6:6" x14ac:dyDescent="0.3">
      <c r="F110896" s="193"/>
    </row>
    <row r="110897" spans="6:6" x14ac:dyDescent="0.3">
      <c r="F110897" s="193"/>
    </row>
    <row r="110898" spans="6:6" x14ac:dyDescent="0.3">
      <c r="F110898" s="193"/>
    </row>
    <row r="110899" spans="6:6" x14ac:dyDescent="0.3">
      <c r="F110899" s="193"/>
    </row>
    <row r="110900" spans="6:6" x14ac:dyDescent="0.3">
      <c r="F110900" s="193"/>
    </row>
    <row r="110901" spans="6:6" x14ac:dyDescent="0.3">
      <c r="F110901" s="193"/>
    </row>
    <row r="110902" spans="6:6" x14ac:dyDescent="0.3">
      <c r="F110902" s="193"/>
    </row>
    <row r="110903" spans="6:6" x14ac:dyDescent="0.3">
      <c r="F110903" s="193"/>
    </row>
    <row r="110904" spans="6:6" x14ac:dyDescent="0.3">
      <c r="F110904" s="193"/>
    </row>
    <row r="110905" spans="6:6" x14ac:dyDescent="0.3">
      <c r="F110905" s="193"/>
    </row>
    <row r="110906" spans="6:6" x14ac:dyDescent="0.3">
      <c r="F110906" s="193"/>
    </row>
    <row r="110907" spans="6:6" x14ac:dyDescent="0.3">
      <c r="F110907" s="193"/>
    </row>
    <row r="110908" spans="6:6" x14ac:dyDescent="0.3">
      <c r="F110908" s="193"/>
    </row>
    <row r="110909" spans="6:6" x14ac:dyDescent="0.3">
      <c r="F110909" s="193"/>
    </row>
    <row r="110910" spans="6:6" x14ac:dyDescent="0.3">
      <c r="F110910" s="193"/>
    </row>
    <row r="110911" spans="6:6" x14ac:dyDescent="0.3">
      <c r="F110911" s="193"/>
    </row>
    <row r="110912" spans="6:6" x14ac:dyDescent="0.3">
      <c r="F110912" s="193"/>
    </row>
    <row r="110913" spans="6:6" x14ac:dyDescent="0.3">
      <c r="F110913" s="193"/>
    </row>
    <row r="110914" spans="6:6" x14ac:dyDescent="0.3">
      <c r="F110914" s="193"/>
    </row>
    <row r="110915" spans="6:6" x14ac:dyDescent="0.3">
      <c r="F110915" s="193"/>
    </row>
    <row r="110916" spans="6:6" x14ac:dyDescent="0.3">
      <c r="F110916" s="193"/>
    </row>
    <row r="110917" spans="6:6" x14ac:dyDescent="0.3">
      <c r="F110917" s="193"/>
    </row>
    <row r="110918" spans="6:6" x14ac:dyDescent="0.3">
      <c r="F110918" s="193"/>
    </row>
    <row r="110919" spans="6:6" x14ac:dyDescent="0.3">
      <c r="F110919" s="193"/>
    </row>
    <row r="110920" spans="6:6" x14ac:dyDescent="0.3">
      <c r="F110920" s="193"/>
    </row>
    <row r="110921" spans="6:6" x14ac:dyDescent="0.3">
      <c r="F110921" s="193"/>
    </row>
    <row r="110922" spans="6:6" x14ac:dyDescent="0.3">
      <c r="F110922" s="193"/>
    </row>
    <row r="110923" spans="6:6" x14ac:dyDescent="0.3">
      <c r="F110923" s="193"/>
    </row>
    <row r="110924" spans="6:6" x14ac:dyDescent="0.3">
      <c r="F110924" s="193"/>
    </row>
    <row r="110925" spans="6:6" x14ac:dyDescent="0.3">
      <c r="F110925" s="193"/>
    </row>
    <row r="110926" spans="6:6" x14ac:dyDescent="0.3">
      <c r="F110926" s="193"/>
    </row>
    <row r="110927" spans="6:6" x14ac:dyDescent="0.3">
      <c r="F110927" s="193"/>
    </row>
    <row r="110928" spans="6:6" x14ac:dyDescent="0.3">
      <c r="F110928" s="193"/>
    </row>
    <row r="110929" spans="6:6" x14ac:dyDescent="0.3">
      <c r="F110929" s="193"/>
    </row>
    <row r="110930" spans="6:6" x14ac:dyDescent="0.3">
      <c r="F110930" s="193"/>
    </row>
    <row r="110931" spans="6:6" x14ac:dyDescent="0.3">
      <c r="F110931" s="193"/>
    </row>
    <row r="110932" spans="6:6" x14ac:dyDescent="0.3">
      <c r="F110932" s="193"/>
    </row>
    <row r="110933" spans="6:6" x14ac:dyDescent="0.3">
      <c r="F110933" s="193"/>
    </row>
    <row r="110934" spans="6:6" x14ac:dyDescent="0.3">
      <c r="F110934" s="193"/>
    </row>
    <row r="110935" spans="6:6" x14ac:dyDescent="0.3">
      <c r="F110935" s="193"/>
    </row>
    <row r="110936" spans="6:6" x14ac:dyDescent="0.3">
      <c r="F110936" s="193"/>
    </row>
    <row r="110937" spans="6:6" x14ac:dyDescent="0.3">
      <c r="F110937" s="193"/>
    </row>
    <row r="110938" spans="6:6" x14ac:dyDescent="0.3">
      <c r="F110938" s="193"/>
    </row>
    <row r="110939" spans="6:6" x14ac:dyDescent="0.3">
      <c r="F110939" s="193"/>
    </row>
    <row r="110940" spans="6:6" x14ac:dyDescent="0.3">
      <c r="F110940" s="193"/>
    </row>
    <row r="110941" spans="6:6" x14ac:dyDescent="0.3">
      <c r="F110941" s="193"/>
    </row>
    <row r="110942" spans="6:6" x14ac:dyDescent="0.3">
      <c r="F110942" s="193"/>
    </row>
    <row r="110943" spans="6:6" x14ac:dyDescent="0.3">
      <c r="F110943" s="193"/>
    </row>
    <row r="110944" spans="6:6" x14ac:dyDescent="0.3">
      <c r="F110944" s="193"/>
    </row>
    <row r="110945" spans="6:6" x14ac:dyDescent="0.3">
      <c r="F110945" s="193"/>
    </row>
    <row r="110946" spans="6:6" x14ac:dyDescent="0.3">
      <c r="F110946" s="193"/>
    </row>
    <row r="110947" spans="6:6" x14ac:dyDescent="0.3">
      <c r="F110947" s="193"/>
    </row>
    <row r="110948" spans="6:6" x14ac:dyDescent="0.3">
      <c r="F110948" s="193"/>
    </row>
    <row r="110949" spans="6:6" x14ac:dyDescent="0.3">
      <c r="F110949" s="193"/>
    </row>
    <row r="110950" spans="6:6" x14ac:dyDescent="0.3">
      <c r="F110950" s="193"/>
    </row>
    <row r="110951" spans="6:6" x14ac:dyDescent="0.3">
      <c r="F110951" s="193"/>
    </row>
    <row r="110952" spans="6:6" x14ac:dyDescent="0.3">
      <c r="F110952" s="193"/>
    </row>
    <row r="110953" spans="6:6" x14ac:dyDescent="0.3">
      <c r="F110953" s="193"/>
    </row>
    <row r="110954" spans="6:6" x14ac:dyDescent="0.3">
      <c r="F110954" s="193"/>
    </row>
    <row r="110955" spans="6:6" x14ac:dyDescent="0.3">
      <c r="F110955" s="193"/>
    </row>
    <row r="110956" spans="6:6" x14ac:dyDescent="0.3">
      <c r="F110956" s="193"/>
    </row>
    <row r="110957" spans="6:6" x14ac:dyDescent="0.3">
      <c r="F110957" s="193"/>
    </row>
    <row r="110958" spans="6:6" x14ac:dyDescent="0.3">
      <c r="F110958" s="193"/>
    </row>
    <row r="110959" spans="6:6" x14ac:dyDescent="0.3">
      <c r="F110959" s="193"/>
    </row>
    <row r="110960" spans="6:6" x14ac:dyDescent="0.3">
      <c r="F110960" s="193"/>
    </row>
    <row r="110961" spans="6:6" x14ac:dyDescent="0.3">
      <c r="F110961" s="193"/>
    </row>
    <row r="110962" spans="6:6" x14ac:dyDescent="0.3">
      <c r="F110962" s="193"/>
    </row>
    <row r="110963" spans="6:6" x14ac:dyDescent="0.3">
      <c r="F110963" s="193"/>
    </row>
    <row r="110964" spans="6:6" x14ac:dyDescent="0.3">
      <c r="F110964" s="193"/>
    </row>
    <row r="110965" spans="6:6" x14ac:dyDescent="0.3">
      <c r="F110965" s="193"/>
    </row>
    <row r="110966" spans="6:6" x14ac:dyDescent="0.3">
      <c r="F110966" s="193"/>
    </row>
    <row r="110967" spans="6:6" x14ac:dyDescent="0.3">
      <c r="F110967" s="193"/>
    </row>
    <row r="110968" spans="6:6" x14ac:dyDescent="0.3">
      <c r="F110968" s="193"/>
    </row>
    <row r="110969" spans="6:6" x14ac:dyDescent="0.3">
      <c r="F110969" s="193"/>
    </row>
    <row r="110970" spans="6:6" x14ac:dyDescent="0.3">
      <c r="F110970" s="193"/>
    </row>
    <row r="110971" spans="6:6" x14ac:dyDescent="0.3">
      <c r="F110971" s="193"/>
    </row>
    <row r="110972" spans="6:6" x14ac:dyDescent="0.3">
      <c r="F110972" s="193"/>
    </row>
    <row r="110973" spans="6:6" x14ac:dyDescent="0.3">
      <c r="F110973" s="193"/>
    </row>
    <row r="110974" spans="6:6" x14ac:dyDescent="0.3">
      <c r="F110974" s="193"/>
    </row>
    <row r="110975" spans="6:6" x14ac:dyDescent="0.3">
      <c r="F110975" s="193"/>
    </row>
    <row r="110976" spans="6:6" x14ac:dyDescent="0.3">
      <c r="F110976" s="193"/>
    </row>
    <row r="110977" spans="6:6" x14ac:dyDescent="0.3">
      <c r="F110977" s="193"/>
    </row>
    <row r="110978" spans="6:6" x14ac:dyDescent="0.3">
      <c r="F110978" s="193"/>
    </row>
    <row r="110979" spans="6:6" x14ac:dyDescent="0.3">
      <c r="F110979" s="193"/>
    </row>
    <row r="110980" spans="6:6" x14ac:dyDescent="0.3">
      <c r="F110980" s="193"/>
    </row>
    <row r="110981" spans="6:6" x14ac:dyDescent="0.3">
      <c r="F110981" s="193"/>
    </row>
    <row r="110982" spans="6:6" x14ac:dyDescent="0.3">
      <c r="F110982" s="193"/>
    </row>
    <row r="110983" spans="6:6" x14ac:dyDescent="0.3">
      <c r="F110983" s="193"/>
    </row>
    <row r="110984" spans="6:6" x14ac:dyDescent="0.3">
      <c r="F110984" s="193"/>
    </row>
    <row r="110985" spans="6:6" x14ac:dyDescent="0.3">
      <c r="F110985" s="193"/>
    </row>
    <row r="110986" spans="6:6" x14ac:dyDescent="0.3">
      <c r="F110986" s="193"/>
    </row>
    <row r="110987" spans="6:6" x14ac:dyDescent="0.3">
      <c r="F110987" s="193"/>
    </row>
    <row r="110988" spans="6:6" x14ac:dyDescent="0.3">
      <c r="F110988" s="193"/>
    </row>
    <row r="110989" spans="6:6" x14ac:dyDescent="0.3">
      <c r="F110989" s="193"/>
    </row>
    <row r="110990" spans="6:6" x14ac:dyDescent="0.3">
      <c r="F110990" s="193"/>
    </row>
    <row r="110991" spans="6:6" x14ac:dyDescent="0.3">
      <c r="F110991" s="193"/>
    </row>
    <row r="110992" spans="6:6" x14ac:dyDescent="0.3">
      <c r="F110992" s="193"/>
    </row>
    <row r="110993" spans="6:6" x14ac:dyDescent="0.3">
      <c r="F110993" s="193"/>
    </row>
    <row r="110994" spans="6:6" x14ac:dyDescent="0.3">
      <c r="F110994" s="193"/>
    </row>
    <row r="110995" spans="6:6" x14ac:dyDescent="0.3">
      <c r="F110995" s="193"/>
    </row>
    <row r="110996" spans="6:6" x14ac:dyDescent="0.3">
      <c r="F110996" s="193"/>
    </row>
    <row r="110997" spans="6:6" x14ac:dyDescent="0.3">
      <c r="F110997" s="193"/>
    </row>
    <row r="110998" spans="6:6" x14ac:dyDescent="0.3">
      <c r="F110998" s="193"/>
    </row>
    <row r="110999" spans="6:6" x14ac:dyDescent="0.3">
      <c r="F110999" s="193"/>
    </row>
    <row r="111000" spans="6:6" x14ac:dyDescent="0.3">
      <c r="F111000" s="193"/>
    </row>
    <row r="111001" spans="6:6" x14ac:dyDescent="0.3">
      <c r="F111001" s="193"/>
    </row>
    <row r="111002" spans="6:6" x14ac:dyDescent="0.3">
      <c r="F111002" s="193"/>
    </row>
    <row r="111003" spans="6:6" x14ac:dyDescent="0.3">
      <c r="F111003" s="193"/>
    </row>
    <row r="111004" spans="6:6" x14ac:dyDescent="0.3">
      <c r="F111004" s="193"/>
    </row>
    <row r="111005" spans="6:6" x14ac:dyDescent="0.3">
      <c r="F111005" s="193"/>
    </row>
    <row r="111006" spans="6:6" x14ac:dyDescent="0.3">
      <c r="F111006" s="193"/>
    </row>
    <row r="111007" spans="6:6" x14ac:dyDescent="0.3">
      <c r="F111007" s="193"/>
    </row>
    <row r="111008" spans="6:6" x14ac:dyDescent="0.3">
      <c r="F111008" s="193"/>
    </row>
    <row r="111009" spans="6:6" x14ac:dyDescent="0.3">
      <c r="F111009" s="193"/>
    </row>
    <row r="111010" spans="6:6" x14ac:dyDescent="0.3">
      <c r="F111010" s="193"/>
    </row>
    <row r="111011" spans="6:6" x14ac:dyDescent="0.3">
      <c r="F111011" s="193"/>
    </row>
    <row r="111012" spans="6:6" x14ac:dyDescent="0.3">
      <c r="F111012" s="193"/>
    </row>
    <row r="111013" spans="6:6" x14ac:dyDescent="0.3">
      <c r="F111013" s="193"/>
    </row>
    <row r="111014" spans="6:6" x14ac:dyDescent="0.3">
      <c r="F111014" s="193"/>
    </row>
    <row r="111015" spans="6:6" x14ac:dyDescent="0.3">
      <c r="F111015" s="193"/>
    </row>
    <row r="111016" spans="6:6" x14ac:dyDescent="0.3">
      <c r="F111016" s="193"/>
    </row>
    <row r="111017" spans="6:6" x14ac:dyDescent="0.3">
      <c r="F111017" s="193"/>
    </row>
    <row r="111018" spans="6:6" x14ac:dyDescent="0.3">
      <c r="F111018" s="193"/>
    </row>
    <row r="111019" spans="6:6" x14ac:dyDescent="0.3">
      <c r="F111019" s="193"/>
    </row>
    <row r="111020" spans="6:6" x14ac:dyDescent="0.3">
      <c r="F111020" s="193"/>
    </row>
    <row r="111021" spans="6:6" x14ac:dyDescent="0.3">
      <c r="F111021" s="193"/>
    </row>
    <row r="111022" spans="6:6" x14ac:dyDescent="0.3">
      <c r="F111022" s="193"/>
    </row>
    <row r="111023" spans="6:6" x14ac:dyDescent="0.3">
      <c r="F111023" s="193"/>
    </row>
    <row r="111024" spans="6:6" x14ac:dyDescent="0.3">
      <c r="F111024" s="193"/>
    </row>
    <row r="111025" spans="6:6" x14ac:dyDescent="0.3">
      <c r="F111025" s="193"/>
    </row>
    <row r="111026" spans="6:6" x14ac:dyDescent="0.3">
      <c r="F111026" s="193"/>
    </row>
    <row r="111027" spans="6:6" x14ac:dyDescent="0.3">
      <c r="F111027" s="193"/>
    </row>
    <row r="111028" spans="6:6" x14ac:dyDescent="0.3">
      <c r="F111028" s="193"/>
    </row>
    <row r="111029" spans="6:6" x14ac:dyDescent="0.3">
      <c r="F111029" s="193"/>
    </row>
    <row r="111030" spans="6:6" x14ac:dyDescent="0.3">
      <c r="F111030" s="193"/>
    </row>
    <row r="111031" spans="6:6" x14ac:dyDescent="0.3">
      <c r="F111031" s="193"/>
    </row>
    <row r="111032" spans="6:6" x14ac:dyDescent="0.3">
      <c r="F111032" s="193"/>
    </row>
    <row r="111033" spans="6:6" x14ac:dyDescent="0.3">
      <c r="F111033" s="193"/>
    </row>
    <row r="111034" spans="6:6" x14ac:dyDescent="0.3">
      <c r="F111034" s="193"/>
    </row>
    <row r="111035" spans="6:6" x14ac:dyDescent="0.3">
      <c r="F111035" s="193"/>
    </row>
    <row r="111036" spans="6:6" x14ac:dyDescent="0.3">
      <c r="F111036" s="193"/>
    </row>
    <row r="111037" spans="6:6" x14ac:dyDescent="0.3">
      <c r="F111037" s="193"/>
    </row>
    <row r="111038" spans="6:6" x14ac:dyDescent="0.3">
      <c r="F111038" s="193"/>
    </row>
    <row r="111039" spans="6:6" x14ac:dyDescent="0.3">
      <c r="F111039" s="193"/>
    </row>
    <row r="111040" spans="6:6" x14ac:dyDescent="0.3">
      <c r="F111040" s="193"/>
    </row>
    <row r="111041" spans="6:6" x14ac:dyDescent="0.3">
      <c r="F111041" s="193"/>
    </row>
    <row r="111042" spans="6:6" x14ac:dyDescent="0.3">
      <c r="F111042" s="193"/>
    </row>
    <row r="111043" spans="6:6" x14ac:dyDescent="0.3">
      <c r="F111043" s="193"/>
    </row>
    <row r="111044" spans="6:6" x14ac:dyDescent="0.3">
      <c r="F111044" s="193"/>
    </row>
    <row r="111045" spans="6:6" x14ac:dyDescent="0.3">
      <c r="F111045" s="193"/>
    </row>
    <row r="111046" spans="6:6" x14ac:dyDescent="0.3">
      <c r="F111046" s="193"/>
    </row>
    <row r="111047" spans="6:6" x14ac:dyDescent="0.3">
      <c r="F111047" s="193"/>
    </row>
    <row r="111048" spans="6:6" x14ac:dyDescent="0.3">
      <c r="F111048" s="193"/>
    </row>
    <row r="111049" spans="6:6" x14ac:dyDescent="0.3">
      <c r="F111049" s="193"/>
    </row>
    <row r="111050" spans="6:6" x14ac:dyDescent="0.3">
      <c r="F111050" s="193"/>
    </row>
    <row r="111051" spans="6:6" x14ac:dyDescent="0.3">
      <c r="F111051" s="193"/>
    </row>
    <row r="111052" spans="6:6" x14ac:dyDescent="0.3">
      <c r="F111052" s="193"/>
    </row>
    <row r="111053" spans="6:6" x14ac:dyDescent="0.3">
      <c r="F111053" s="193"/>
    </row>
    <row r="111054" spans="6:6" x14ac:dyDescent="0.3">
      <c r="F111054" s="193"/>
    </row>
    <row r="111055" spans="6:6" x14ac:dyDescent="0.3">
      <c r="F111055" s="193"/>
    </row>
    <row r="111056" spans="6:6" x14ac:dyDescent="0.3">
      <c r="F111056" s="193"/>
    </row>
    <row r="111057" spans="6:6" x14ac:dyDescent="0.3">
      <c r="F111057" s="193"/>
    </row>
    <row r="111058" spans="6:6" x14ac:dyDescent="0.3">
      <c r="F111058" s="193"/>
    </row>
    <row r="111059" spans="6:6" x14ac:dyDescent="0.3">
      <c r="F111059" s="193"/>
    </row>
    <row r="111060" spans="6:6" x14ac:dyDescent="0.3">
      <c r="F111060" s="193"/>
    </row>
    <row r="111061" spans="6:6" x14ac:dyDescent="0.3">
      <c r="F111061" s="193"/>
    </row>
    <row r="111062" spans="6:6" x14ac:dyDescent="0.3">
      <c r="F111062" s="193"/>
    </row>
    <row r="111063" spans="6:6" x14ac:dyDescent="0.3">
      <c r="F111063" s="193"/>
    </row>
    <row r="111064" spans="6:6" x14ac:dyDescent="0.3">
      <c r="F111064" s="193"/>
    </row>
    <row r="111065" spans="6:6" x14ac:dyDescent="0.3">
      <c r="F111065" s="193"/>
    </row>
    <row r="111066" spans="6:6" x14ac:dyDescent="0.3">
      <c r="F111066" s="193"/>
    </row>
    <row r="111067" spans="6:6" x14ac:dyDescent="0.3">
      <c r="F111067" s="193"/>
    </row>
    <row r="111068" spans="6:6" x14ac:dyDescent="0.3">
      <c r="F111068" s="193"/>
    </row>
    <row r="111069" spans="6:6" x14ac:dyDescent="0.3">
      <c r="F111069" s="193"/>
    </row>
    <row r="111070" spans="6:6" x14ac:dyDescent="0.3">
      <c r="F111070" s="193"/>
    </row>
    <row r="111071" spans="6:6" x14ac:dyDescent="0.3">
      <c r="F111071" s="193"/>
    </row>
    <row r="111072" spans="6:6" x14ac:dyDescent="0.3">
      <c r="F111072" s="193"/>
    </row>
    <row r="111073" spans="6:6" x14ac:dyDescent="0.3">
      <c r="F111073" s="193"/>
    </row>
    <row r="111074" spans="6:6" x14ac:dyDescent="0.3">
      <c r="F111074" s="193"/>
    </row>
    <row r="111075" spans="6:6" x14ac:dyDescent="0.3">
      <c r="F111075" s="193"/>
    </row>
    <row r="111076" spans="6:6" x14ac:dyDescent="0.3">
      <c r="F111076" s="193"/>
    </row>
    <row r="111077" spans="6:6" x14ac:dyDescent="0.3">
      <c r="F111077" s="193"/>
    </row>
    <row r="111078" spans="6:6" x14ac:dyDescent="0.3">
      <c r="F111078" s="193"/>
    </row>
    <row r="111079" spans="6:6" x14ac:dyDescent="0.3">
      <c r="F111079" s="193"/>
    </row>
    <row r="111080" spans="6:6" x14ac:dyDescent="0.3">
      <c r="F111080" s="193"/>
    </row>
    <row r="111081" spans="6:6" x14ac:dyDescent="0.3">
      <c r="F111081" s="193"/>
    </row>
    <row r="111082" spans="6:6" x14ac:dyDescent="0.3">
      <c r="F111082" s="193"/>
    </row>
    <row r="111083" spans="6:6" x14ac:dyDescent="0.3">
      <c r="F111083" s="193"/>
    </row>
    <row r="111084" spans="6:6" x14ac:dyDescent="0.3">
      <c r="F111084" s="193"/>
    </row>
    <row r="111085" spans="6:6" x14ac:dyDescent="0.3">
      <c r="F111085" s="193"/>
    </row>
    <row r="111086" spans="6:6" x14ac:dyDescent="0.3">
      <c r="F111086" s="193"/>
    </row>
    <row r="111087" spans="6:6" x14ac:dyDescent="0.3">
      <c r="F111087" s="193"/>
    </row>
    <row r="111088" spans="6:6" x14ac:dyDescent="0.3">
      <c r="F111088" s="193"/>
    </row>
    <row r="111089" spans="6:6" x14ac:dyDescent="0.3">
      <c r="F111089" s="193"/>
    </row>
    <row r="111090" spans="6:6" x14ac:dyDescent="0.3">
      <c r="F111090" s="193"/>
    </row>
    <row r="111091" spans="6:6" x14ac:dyDescent="0.3">
      <c r="F111091" s="193"/>
    </row>
    <row r="111092" spans="6:6" x14ac:dyDescent="0.3">
      <c r="F111092" s="193"/>
    </row>
    <row r="111093" spans="6:6" x14ac:dyDescent="0.3">
      <c r="F111093" s="193"/>
    </row>
    <row r="111094" spans="6:6" x14ac:dyDescent="0.3">
      <c r="F111094" s="193"/>
    </row>
    <row r="111095" spans="6:6" x14ac:dyDescent="0.3">
      <c r="F111095" s="193"/>
    </row>
    <row r="111096" spans="6:6" x14ac:dyDescent="0.3">
      <c r="F111096" s="193"/>
    </row>
    <row r="111097" spans="6:6" x14ac:dyDescent="0.3">
      <c r="F111097" s="193"/>
    </row>
    <row r="111098" spans="6:6" x14ac:dyDescent="0.3">
      <c r="F111098" s="193"/>
    </row>
    <row r="111099" spans="6:6" x14ac:dyDescent="0.3">
      <c r="F111099" s="193"/>
    </row>
    <row r="111100" spans="6:6" x14ac:dyDescent="0.3">
      <c r="F111100" s="193"/>
    </row>
    <row r="111101" spans="6:6" x14ac:dyDescent="0.3">
      <c r="F111101" s="193"/>
    </row>
    <row r="111102" spans="6:6" x14ac:dyDescent="0.3">
      <c r="F111102" s="193"/>
    </row>
    <row r="111103" spans="6:6" x14ac:dyDescent="0.3">
      <c r="F111103" s="193"/>
    </row>
    <row r="111104" spans="6:6" x14ac:dyDescent="0.3">
      <c r="F111104" s="193"/>
    </row>
    <row r="111105" spans="6:6" x14ac:dyDescent="0.3">
      <c r="F111105" s="193"/>
    </row>
    <row r="111106" spans="6:6" x14ac:dyDescent="0.3">
      <c r="F111106" s="193"/>
    </row>
    <row r="111107" spans="6:6" x14ac:dyDescent="0.3">
      <c r="F111107" s="193"/>
    </row>
    <row r="111108" spans="6:6" x14ac:dyDescent="0.3">
      <c r="F111108" s="193"/>
    </row>
    <row r="111109" spans="6:6" x14ac:dyDescent="0.3">
      <c r="F111109" s="193"/>
    </row>
    <row r="111110" spans="6:6" x14ac:dyDescent="0.3">
      <c r="F111110" s="193"/>
    </row>
    <row r="111111" spans="6:6" x14ac:dyDescent="0.3">
      <c r="F111111" s="193"/>
    </row>
    <row r="111112" spans="6:6" x14ac:dyDescent="0.3">
      <c r="F111112" s="193"/>
    </row>
    <row r="111113" spans="6:6" x14ac:dyDescent="0.3">
      <c r="F111113" s="193"/>
    </row>
    <row r="111114" spans="6:6" x14ac:dyDescent="0.3">
      <c r="F111114" s="193"/>
    </row>
    <row r="111115" spans="6:6" x14ac:dyDescent="0.3">
      <c r="F111115" s="193"/>
    </row>
    <row r="111116" spans="6:6" x14ac:dyDescent="0.3">
      <c r="F111116" s="193"/>
    </row>
    <row r="111117" spans="6:6" x14ac:dyDescent="0.3">
      <c r="F111117" s="193"/>
    </row>
    <row r="111118" spans="6:6" x14ac:dyDescent="0.3">
      <c r="F111118" s="193"/>
    </row>
    <row r="111119" spans="6:6" x14ac:dyDescent="0.3">
      <c r="F111119" s="193"/>
    </row>
    <row r="111120" spans="6:6" x14ac:dyDescent="0.3">
      <c r="F111120" s="193"/>
    </row>
    <row r="111121" spans="6:6" x14ac:dyDescent="0.3">
      <c r="F111121" s="193"/>
    </row>
    <row r="111122" spans="6:6" x14ac:dyDescent="0.3">
      <c r="F111122" s="193"/>
    </row>
    <row r="111123" spans="6:6" x14ac:dyDescent="0.3">
      <c r="F111123" s="193"/>
    </row>
    <row r="111124" spans="6:6" x14ac:dyDescent="0.3">
      <c r="F111124" s="193"/>
    </row>
    <row r="111125" spans="6:6" x14ac:dyDescent="0.3">
      <c r="F111125" s="193"/>
    </row>
    <row r="111126" spans="6:6" x14ac:dyDescent="0.3">
      <c r="F111126" s="193"/>
    </row>
    <row r="111127" spans="6:6" x14ac:dyDescent="0.3">
      <c r="F111127" s="193"/>
    </row>
    <row r="111128" spans="6:6" x14ac:dyDescent="0.3">
      <c r="F111128" s="193"/>
    </row>
    <row r="111129" spans="6:6" x14ac:dyDescent="0.3">
      <c r="F111129" s="193"/>
    </row>
    <row r="111130" spans="6:6" x14ac:dyDescent="0.3">
      <c r="F111130" s="193"/>
    </row>
    <row r="111131" spans="6:6" x14ac:dyDescent="0.3">
      <c r="F111131" s="193"/>
    </row>
    <row r="111132" spans="6:6" x14ac:dyDescent="0.3">
      <c r="F111132" s="193"/>
    </row>
    <row r="111133" spans="6:6" x14ac:dyDescent="0.3">
      <c r="F111133" s="193"/>
    </row>
    <row r="111134" spans="6:6" x14ac:dyDescent="0.3">
      <c r="F111134" s="193"/>
    </row>
    <row r="111135" spans="6:6" x14ac:dyDescent="0.3">
      <c r="F111135" s="193"/>
    </row>
    <row r="111136" spans="6:6" x14ac:dyDescent="0.3">
      <c r="F111136" s="193"/>
    </row>
    <row r="111137" spans="6:6" x14ac:dyDescent="0.3">
      <c r="F111137" s="193"/>
    </row>
    <row r="111138" spans="6:6" x14ac:dyDescent="0.3">
      <c r="F111138" s="193"/>
    </row>
    <row r="111139" spans="6:6" x14ac:dyDescent="0.3">
      <c r="F111139" s="193"/>
    </row>
    <row r="111140" spans="6:6" x14ac:dyDescent="0.3">
      <c r="F111140" s="193"/>
    </row>
    <row r="111141" spans="6:6" x14ac:dyDescent="0.3">
      <c r="F111141" s="193"/>
    </row>
    <row r="111142" spans="6:6" x14ac:dyDescent="0.3">
      <c r="F111142" s="193"/>
    </row>
    <row r="111143" spans="6:6" x14ac:dyDescent="0.3">
      <c r="F111143" s="193"/>
    </row>
    <row r="111144" spans="6:6" x14ac:dyDescent="0.3">
      <c r="F111144" s="193"/>
    </row>
    <row r="111145" spans="6:6" x14ac:dyDescent="0.3">
      <c r="F111145" s="193"/>
    </row>
    <row r="111146" spans="6:6" x14ac:dyDescent="0.3">
      <c r="F111146" s="193"/>
    </row>
    <row r="111147" spans="6:6" x14ac:dyDescent="0.3">
      <c r="F111147" s="193"/>
    </row>
    <row r="111148" spans="6:6" x14ac:dyDescent="0.3">
      <c r="F111148" s="193"/>
    </row>
    <row r="111149" spans="6:6" x14ac:dyDescent="0.3">
      <c r="F111149" s="193"/>
    </row>
    <row r="111150" spans="6:6" x14ac:dyDescent="0.3">
      <c r="F111150" s="193"/>
    </row>
    <row r="111151" spans="6:6" x14ac:dyDescent="0.3">
      <c r="F111151" s="193"/>
    </row>
    <row r="111152" spans="6:6" x14ac:dyDescent="0.3">
      <c r="F111152" s="193"/>
    </row>
    <row r="111153" spans="6:6" x14ac:dyDescent="0.3">
      <c r="F111153" s="193"/>
    </row>
    <row r="111154" spans="6:6" x14ac:dyDescent="0.3">
      <c r="F111154" s="193"/>
    </row>
    <row r="111155" spans="6:6" x14ac:dyDescent="0.3">
      <c r="F111155" s="193"/>
    </row>
    <row r="111156" spans="6:6" x14ac:dyDescent="0.3">
      <c r="F111156" s="193"/>
    </row>
    <row r="111157" spans="6:6" x14ac:dyDescent="0.3">
      <c r="F111157" s="193"/>
    </row>
    <row r="111158" spans="6:6" x14ac:dyDescent="0.3">
      <c r="F111158" s="193"/>
    </row>
    <row r="111159" spans="6:6" x14ac:dyDescent="0.3">
      <c r="F111159" s="193"/>
    </row>
    <row r="111160" spans="6:6" x14ac:dyDescent="0.3">
      <c r="F111160" s="193"/>
    </row>
    <row r="111161" spans="6:6" x14ac:dyDescent="0.3">
      <c r="F111161" s="193"/>
    </row>
    <row r="111162" spans="6:6" x14ac:dyDescent="0.3">
      <c r="F111162" s="193"/>
    </row>
    <row r="111163" spans="6:6" x14ac:dyDescent="0.3">
      <c r="F111163" s="193"/>
    </row>
    <row r="111164" spans="6:6" x14ac:dyDescent="0.3">
      <c r="F111164" s="193"/>
    </row>
    <row r="111165" spans="6:6" x14ac:dyDescent="0.3">
      <c r="F111165" s="193"/>
    </row>
    <row r="111166" spans="6:6" x14ac:dyDescent="0.3">
      <c r="F111166" s="193"/>
    </row>
    <row r="111167" spans="6:6" x14ac:dyDescent="0.3">
      <c r="F111167" s="193"/>
    </row>
    <row r="111168" spans="6:6" x14ac:dyDescent="0.3">
      <c r="F111168" s="193"/>
    </row>
    <row r="111169" spans="6:6" x14ac:dyDescent="0.3">
      <c r="F111169" s="193"/>
    </row>
    <row r="111170" spans="6:6" x14ac:dyDescent="0.3">
      <c r="F111170" s="193"/>
    </row>
    <row r="111171" spans="6:6" x14ac:dyDescent="0.3">
      <c r="F111171" s="193"/>
    </row>
    <row r="111172" spans="6:6" x14ac:dyDescent="0.3">
      <c r="F111172" s="193"/>
    </row>
    <row r="111173" spans="6:6" x14ac:dyDescent="0.3">
      <c r="F111173" s="193"/>
    </row>
    <row r="111174" spans="6:6" x14ac:dyDescent="0.3">
      <c r="F111174" s="193"/>
    </row>
    <row r="111175" spans="6:6" x14ac:dyDescent="0.3">
      <c r="F111175" s="193"/>
    </row>
    <row r="111176" spans="6:6" x14ac:dyDescent="0.3">
      <c r="F111176" s="193"/>
    </row>
    <row r="111177" spans="6:6" x14ac:dyDescent="0.3">
      <c r="F111177" s="193"/>
    </row>
    <row r="111178" spans="6:6" x14ac:dyDescent="0.3">
      <c r="F111178" s="193"/>
    </row>
    <row r="111179" spans="6:6" x14ac:dyDescent="0.3">
      <c r="F111179" s="193"/>
    </row>
    <row r="111180" spans="6:6" x14ac:dyDescent="0.3">
      <c r="F111180" s="193"/>
    </row>
    <row r="111181" spans="6:6" x14ac:dyDescent="0.3">
      <c r="F111181" s="193"/>
    </row>
    <row r="111182" spans="6:6" x14ac:dyDescent="0.3">
      <c r="F111182" s="193"/>
    </row>
    <row r="111183" spans="6:6" x14ac:dyDescent="0.3">
      <c r="F111183" s="193"/>
    </row>
    <row r="111184" spans="6:6" x14ac:dyDescent="0.3">
      <c r="F111184" s="193"/>
    </row>
    <row r="111185" spans="6:6" x14ac:dyDescent="0.3">
      <c r="F111185" s="193"/>
    </row>
    <row r="111186" spans="6:6" x14ac:dyDescent="0.3">
      <c r="F111186" s="193"/>
    </row>
    <row r="111187" spans="6:6" x14ac:dyDescent="0.3">
      <c r="F111187" s="193"/>
    </row>
    <row r="111188" spans="6:6" x14ac:dyDescent="0.3">
      <c r="F111188" s="193"/>
    </row>
    <row r="111189" spans="6:6" x14ac:dyDescent="0.3">
      <c r="F111189" s="193"/>
    </row>
    <row r="111190" spans="6:6" x14ac:dyDescent="0.3">
      <c r="F111190" s="193"/>
    </row>
    <row r="111191" spans="6:6" x14ac:dyDescent="0.3">
      <c r="F111191" s="193"/>
    </row>
    <row r="111192" spans="6:6" x14ac:dyDescent="0.3">
      <c r="F111192" s="193"/>
    </row>
    <row r="111193" spans="6:6" x14ac:dyDescent="0.3">
      <c r="F111193" s="193"/>
    </row>
    <row r="111194" spans="6:6" x14ac:dyDescent="0.3">
      <c r="F111194" s="193"/>
    </row>
    <row r="111195" spans="6:6" x14ac:dyDescent="0.3">
      <c r="F111195" s="193"/>
    </row>
    <row r="111196" spans="6:6" x14ac:dyDescent="0.3">
      <c r="F111196" s="193"/>
    </row>
    <row r="111197" spans="6:6" x14ac:dyDescent="0.3">
      <c r="F111197" s="193"/>
    </row>
    <row r="111198" spans="6:6" x14ac:dyDescent="0.3">
      <c r="F111198" s="193"/>
    </row>
    <row r="111199" spans="6:6" x14ac:dyDescent="0.3">
      <c r="F111199" s="193"/>
    </row>
    <row r="111200" spans="6:6" x14ac:dyDescent="0.3">
      <c r="F111200" s="193"/>
    </row>
    <row r="111201" spans="6:6" x14ac:dyDescent="0.3">
      <c r="F111201" s="193"/>
    </row>
    <row r="111202" spans="6:6" x14ac:dyDescent="0.3">
      <c r="F111202" s="193"/>
    </row>
    <row r="111203" spans="6:6" x14ac:dyDescent="0.3">
      <c r="F111203" s="193"/>
    </row>
    <row r="111204" spans="6:6" x14ac:dyDescent="0.3">
      <c r="F111204" s="193"/>
    </row>
    <row r="111205" spans="6:6" x14ac:dyDescent="0.3">
      <c r="F111205" s="193"/>
    </row>
    <row r="111206" spans="6:6" x14ac:dyDescent="0.3">
      <c r="F111206" s="193"/>
    </row>
    <row r="111207" spans="6:6" x14ac:dyDescent="0.3">
      <c r="F111207" s="193"/>
    </row>
    <row r="111208" spans="6:6" x14ac:dyDescent="0.3">
      <c r="F111208" s="193"/>
    </row>
    <row r="111209" spans="6:6" x14ac:dyDescent="0.3">
      <c r="F111209" s="193"/>
    </row>
    <row r="111210" spans="6:6" x14ac:dyDescent="0.3">
      <c r="F111210" s="193"/>
    </row>
    <row r="111211" spans="6:6" x14ac:dyDescent="0.3">
      <c r="F111211" s="193"/>
    </row>
    <row r="111212" spans="6:6" x14ac:dyDescent="0.3">
      <c r="F111212" s="193"/>
    </row>
    <row r="111213" spans="6:6" x14ac:dyDescent="0.3">
      <c r="F111213" s="193"/>
    </row>
    <row r="111214" spans="6:6" x14ac:dyDescent="0.3">
      <c r="F111214" s="193"/>
    </row>
    <row r="111215" spans="6:6" x14ac:dyDescent="0.3">
      <c r="F111215" s="193"/>
    </row>
    <row r="111216" spans="6:6" x14ac:dyDescent="0.3">
      <c r="F111216" s="193"/>
    </row>
    <row r="111217" spans="6:6" x14ac:dyDescent="0.3">
      <c r="F111217" s="193"/>
    </row>
    <row r="111218" spans="6:6" x14ac:dyDescent="0.3">
      <c r="F111218" s="193"/>
    </row>
    <row r="111219" spans="6:6" x14ac:dyDescent="0.3">
      <c r="F111219" s="193"/>
    </row>
    <row r="111220" spans="6:6" x14ac:dyDescent="0.3">
      <c r="F111220" s="193"/>
    </row>
    <row r="111221" spans="6:6" x14ac:dyDescent="0.3">
      <c r="F111221" s="193"/>
    </row>
    <row r="111222" spans="6:6" x14ac:dyDescent="0.3">
      <c r="F111222" s="193"/>
    </row>
    <row r="111223" spans="6:6" x14ac:dyDescent="0.3">
      <c r="F111223" s="193"/>
    </row>
    <row r="111224" spans="6:6" x14ac:dyDescent="0.3">
      <c r="F111224" s="193"/>
    </row>
    <row r="111225" spans="6:6" x14ac:dyDescent="0.3">
      <c r="F111225" s="193"/>
    </row>
    <row r="111226" spans="6:6" x14ac:dyDescent="0.3">
      <c r="F111226" s="193"/>
    </row>
    <row r="111227" spans="6:6" x14ac:dyDescent="0.3">
      <c r="F111227" s="193"/>
    </row>
    <row r="111228" spans="6:6" x14ac:dyDescent="0.3">
      <c r="F111228" s="193"/>
    </row>
    <row r="111229" spans="6:6" x14ac:dyDescent="0.3">
      <c r="F111229" s="193"/>
    </row>
    <row r="111230" spans="6:6" x14ac:dyDescent="0.3">
      <c r="F111230" s="193"/>
    </row>
    <row r="111231" spans="6:6" x14ac:dyDescent="0.3">
      <c r="F111231" s="193"/>
    </row>
    <row r="111232" spans="6:6" x14ac:dyDescent="0.3">
      <c r="F111232" s="193"/>
    </row>
    <row r="111233" spans="6:6" x14ac:dyDescent="0.3">
      <c r="F111233" s="193"/>
    </row>
    <row r="111234" spans="6:6" x14ac:dyDescent="0.3">
      <c r="F111234" s="193"/>
    </row>
    <row r="111235" spans="6:6" x14ac:dyDescent="0.3">
      <c r="F111235" s="193"/>
    </row>
    <row r="111236" spans="6:6" x14ac:dyDescent="0.3">
      <c r="F111236" s="193"/>
    </row>
    <row r="111237" spans="6:6" x14ac:dyDescent="0.3">
      <c r="F111237" s="193"/>
    </row>
    <row r="111238" spans="6:6" x14ac:dyDescent="0.3">
      <c r="F111238" s="193"/>
    </row>
    <row r="111239" spans="6:6" x14ac:dyDescent="0.3">
      <c r="F111239" s="193"/>
    </row>
    <row r="111240" spans="6:6" x14ac:dyDescent="0.3">
      <c r="F111240" s="193"/>
    </row>
    <row r="111241" spans="6:6" x14ac:dyDescent="0.3">
      <c r="F111241" s="193"/>
    </row>
    <row r="111242" spans="6:6" x14ac:dyDescent="0.3">
      <c r="F111242" s="193"/>
    </row>
    <row r="111243" spans="6:6" x14ac:dyDescent="0.3">
      <c r="F111243" s="193"/>
    </row>
    <row r="111244" spans="6:6" x14ac:dyDescent="0.3">
      <c r="F111244" s="193"/>
    </row>
    <row r="111245" spans="6:6" x14ac:dyDescent="0.3">
      <c r="F111245" s="193"/>
    </row>
    <row r="111246" spans="6:6" x14ac:dyDescent="0.3">
      <c r="F111246" s="193"/>
    </row>
    <row r="111247" spans="6:6" x14ac:dyDescent="0.3">
      <c r="F111247" s="193"/>
    </row>
    <row r="111248" spans="6:6" x14ac:dyDescent="0.3">
      <c r="F111248" s="193"/>
    </row>
    <row r="111249" spans="6:6" x14ac:dyDescent="0.3">
      <c r="F111249" s="193"/>
    </row>
    <row r="111250" spans="6:6" x14ac:dyDescent="0.3">
      <c r="F111250" s="193"/>
    </row>
    <row r="111251" spans="6:6" x14ac:dyDescent="0.3">
      <c r="F111251" s="193"/>
    </row>
    <row r="111252" spans="6:6" x14ac:dyDescent="0.3">
      <c r="F111252" s="193"/>
    </row>
    <row r="111253" spans="6:6" x14ac:dyDescent="0.3">
      <c r="F111253" s="193"/>
    </row>
    <row r="111254" spans="6:6" x14ac:dyDescent="0.3">
      <c r="F111254" s="193"/>
    </row>
    <row r="111255" spans="6:6" x14ac:dyDescent="0.3">
      <c r="F111255" s="193"/>
    </row>
    <row r="111256" spans="6:6" x14ac:dyDescent="0.3">
      <c r="F111256" s="193"/>
    </row>
    <row r="111257" spans="6:6" x14ac:dyDescent="0.3">
      <c r="F111257" s="193"/>
    </row>
    <row r="111258" spans="6:6" x14ac:dyDescent="0.3">
      <c r="F111258" s="193"/>
    </row>
    <row r="111259" spans="6:6" x14ac:dyDescent="0.3">
      <c r="F111259" s="193"/>
    </row>
    <row r="111260" spans="6:6" x14ac:dyDescent="0.3">
      <c r="F111260" s="193"/>
    </row>
    <row r="111261" spans="6:6" x14ac:dyDescent="0.3">
      <c r="F111261" s="193"/>
    </row>
    <row r="111262" spans="6:6" x14ac:dyDescent="0.3">
      <c r="F111262" s="193"/>
    </row>
    <row r="111263" spans="6:6" x14ac:dyDescent="0.3">
      <c r="F111263" s="193"/>
    </row>
    <row r="111264" spans="6:6" x14ac:dyDescent="0.3">
      <c r="F111264" s="193"/>
    </row>
    <row r="111265" spans="6:6" x14ac:dyDescent="0.3">
      <c r="F111265" s="193"/>
    </row>
    <row r="111266" spans="6:6" x14ac:dyDescent="0.3">
      <c r="F111266" s="193"/>
    </row>
    <row r="111267" spans="6:6" x14ac:dyDescent="0.3">
      <c r="F111267" s="193"/>
    </row>
    <row r="111268" spans="6:6" x14ac:dyDescent="0.3">
      <c r="F111268" s="193"/>
    </row>
    <row r="111269" spans="6:6" x14ac:dyDescent="0.3">
      <c r="F111269" s="193"/>
    </row>
    <row r="111270" spans="6:6" x14ac:dyDescent="0.3">
      <c r="F111270" s="193"/>
    </row>
    <row r="111271" spans="6:6" x14ac:dyDescent="0.3">
      <c r="F111271" s="193"/>
    </row>
    <row r="111272" spans="6:6" x14ac:dyDescent="0.3">
      <c r="F111272" s="193"/>
    </row>
    <row r="111273" spans="6:6" x14ac:dyDescent="0.3">
      <c r="F111273" s="193"/>
    </row>
    <row r="111274" spans="6:6" x14ac:dyDescent="0.3">
      <c r="F111274" s="193"/>
    </row>
    <row r="111275" spans="6:6" x14ac:dyDescent="0.3">
      <c r="F111275" s="193"/>
    </row>
    <row r="111276" spans="6:6" x14ac:dyDescent="0.3">
      <c r="F111276" s="193"/>
    </row>
    <row r="111277" spans="6:6" x14ac:dyDescent="0.3">
      <c r="F111277" s="193"/>
    </row>
    <row r="111278" spans="6:6" x14ac:dyDescent="0.3">
      <c r="F111278" s="193"/>
    </row>
    <row r="111279" spans="6:6" x14ac:dyDescent="0.3">
      <c r="F111279" s="193"/>
    </row>
    <row r="111280" spans="6:6" x14ac:dyDescent="0.3">
      <c r="F111280" s="193"/>
    </row>
    <row r="111281" spans="6:6" x14ac:dyDescent="0.3">
      <c r="F111281" s="193"/>
    </row>
    <row r="111282" spans="6:6" x14ac:dyDescent="0.3">
      <c r="F111282" s="193"/>
    </row>
    <row r="111283" spans="6:6" x14ac:dyDescent="0.3">
      <c r="F111283" s="193"/>
    </row>
    <row r="111284" spans="6:6" x14ac:dyDescent="0.3">
      <c r="F111284" s="193"/>
    </row>
    <row r="111285" spans="6:6" x14ac:dyDescent="0.3">
      <c r="F111285" s="193"/>
    </row>
    <row r="111286" spans="6:6" x14ac:dyDescent="0.3">
      <c r="F111286" s="193"/>
    </row>
    <row r="111287" spans="6:6" x14ac:dyDescent="0.3">
      <c r="F111287" s="193"/>
    </row>
    <row r="111288" spans="6:6" x14ac:dyDescent="0.3">
      <c r="F111288" s="193"/>
    </row>
    <row r="111289" spans="6:6" x14ac:dyDescent="0.3">
      <c r="F111289" s="193"/>
    </row>
    <row r="111290" spans="6:6" x14ac:dyDescent="0.3">
      <c r="F111290" s="193"/>
    </row>
    <row r="111291" spans="6:6" x14ac:dyDescent="0.3">
      <c r="F111291" s="193"/>
    </row>
    <row r="111292" spans="6:6" x14ac:dyDescent="0.3">
      <c r="F111292" s="193"/>
    </row>
    <row r="111293" spans="6:6" x14ac:dyDescent="0.3">
      <c r="F111293" s="193"/>
    </row>
    <row r="111294" spans="6:6" x14ac:dyDescent="0.3">
      <c r="F111294" s="193"/>
    </row>
    <row r="111295" spans="6:6" x14ac:dyDescent="0.3">
      <c r="F111295" s="193"/>
    </row>
    <row r="111296" spans="6:6" x14ac:dyDescent="0.3">
      <c r="F111296" s="193"/>
    </row>
    <row r="111297" spans="6:6" x14ac:dyDescent="0.3">
      <c r="F111297" s="193"/>
    </row>
    <row r="111298" spans="6:6" x14ac:dyDescent="0.3">
      <c r="F111298" s="193"/>
    </row>
    <row r="111299" spans="6:6" x14ac:dyDescent="0.3">
      <c r="F111299" s="193"/>
    </row>
    <row r="111300" spans="6:6" x14ac:dyDescent="0.3">
      <c r="F111300" s="193"/>
    </row>
    <row r="111301" spans="6:6" x14ac:dyDescent="0.3">
      <c r="F111301" s="193"/>
    </row>
    <row r="111302" spans="6:6" x14ac:dyDescent="0.3">
      <c r="F111302" s="193"/>
    </row>
    <row r="111303" spans="6:6" x14ac:dyDescent="0.3">
      <c r="F111303" s="193"/>
    </row>
    <row r="111304" spans="6:6" x14ac:dyDescent="0.3">
      <c r="F111304" s="193"/>
    </row>
    <row r="111305" spans="6:6" x14ac:dyDescent="0.3">
      <c r="F111305" s="193"/>
    </row>
    <row r="111306" spans="6:6" x14ac:dyDescent="0.3">
      <c r="F111306" s="193"/>
    </row>
    <row r="111307" spans="6:6" x14ac:dyDescent="0.3">
      <c r="F111307" s="193"/>
    </row>
    <row r="111308" spans="6:6" x14ac:dyDescent="0.3">
      <c r="F111308" s="193"/>
    </row>
    <row r="111309" spans="6:6" x14ac:dyDescent="0.3">
      <c r="F111309" s="193"/>
    </row>
    <row r="111310" spans="6:6" x14ac:dyDescent="0.3">
      <c r="F111310" s="193"/>
    </row>
    <row r="111311" spans="6:6" x14ac:dyDescent="0.3">
      <c r="F111311" s="193"/>
    </row>
    <row r="111312" spans="6:6" x14ac:dyDescent="0.3">
      <c r="F111312" s="193"/>
    </row>
    <row r="111313" spans="6:6" x14ac:dyDescent="0.3">
      <c r="F111313" s="193"/>
    </row>
    <row r="111314" spans="6:6" x14ac:dyDescent="0.3">
      <c r="F111314" s="193"/>
    </row>
    <row r="111315" spans="6:6" x14ac:dyDescent="0.3">
      <c r="F111315" s="193"/>
    </row>
    <row r="111316" spans="6:6" x14ac:dyDescent="0.3">
      <c r="F111316" s="193"/>
    </row>
    <row r="111317" spans="6:6" x14ac:dyDescent="0.3">
      <c r="F111317" s="193"/>
    </row>
    <row r="111318" spans="6:6" x14ac:dyDescent="0.3">
      <c r="F111318" s="193"/>
    </row>
    <row r="111319" spans="6:6" x14ac:dyDescent="0.3">
      <c r="F111319" s="193"/>
    </row>
    <row r="111320" spans="6:6" x14ac:dyDescent="0.3">
      <c r="F111320" s="193"/>
    </row>
    <row r="111321" spans="6:6" x14ac:dyDescent="0.3">
      <c r="F111321" s="193"/>
    </row>
    <row r="111322" spans="6:6" x14ac:dyDescent="0.3">
      <c r="F111322" s="193"/>
    </row>
    <row r="111323" spans="6:6" x14ac:dyDescent="0.3">
      <c r="F111323" s="193"/>
    </row>
    <row r="111324" spans="6:6" x14ac:dyDescent="0.3">
      <c r="F111324" s="193"/>
    </row>
    <row r="111325" spans="6:6" x14ac:dyDescent="0.3">
      <c r="F111325" s="193"/>
    </row>
    <row r="111326" spans="6:6" x14ac:dyDescent="0.3">
      <c r="F111326" s="193"/>
    </row>
    <row r="111327" spans="6:6" x14ac:dyDescent="0.3">
      <c r="F111327" s="193"/>
    </row>
    <row r="111328" spans="6:6" x14ac:dyDescent="0.3">
      <c r="F111328" s="193"/>
    </row>
    <row r="111329" spans="6:6" x14ac:dyDescent="0.3">
      <c r="F111329" s="193"/>
    </row>
    <row r="111330" spans="6:6" x14ac:dyDescent="0.3">
      <c r="F111330" s="193"/>
    </row>
    <row r="111331" spans="6:6" x14ac:dyDescent="0.3">
      <c r="F111331" s="193"/>
    </row>
    <row r="111332" spans="6:6" x14ac:dyDescent="0.3">
      <c r="F111332" s="193"/>
    </row>
    <row r="111333" spans="6:6" x14ac:dyDescent="0.3">
      <c r="F111333" s="193"/>
    </row>
    <row r="111334" spans="6:6" x14ac:dyDescent="0.3">
      <c r="F111334" s="193"/>
    </row>
    <row r="111335" spans="6:6" x14ac:dyDescent="0.3">
      <c r="F111335" s="193"/>
    </row>
    <row r="111336" spans="6:6" x14ac:dyDescent="0.3">
      <c r="F111336" s="193"/>
    </row>
    <row r="111337" spans="6:6" x14ac:dyDescent="0.3">
      <c r="F111337" s="193"/>
    </row>
    <row r="111338" spans="6:6" x14ac:dyDescent="0.3">
      <c r="F111338" s="193"/>
    </row>
    <row r="111339" spans="6:6" x14ac:dyDescent="0.3">
      <c r="F111339" s="193"/>
    </row>
    <row r="111340" spans="6:6" x14ac:dyDescent="0.3">
      <c r="F111340" s="193"/>
    </row>
    <row r="111341" spans="6:6" x14ac:dyDescent="0.3">
      <c r="F111341" s="193"/>
    </row>
    <row r="111342" spans="6:6" x14ac:dyDescent="0.3">
      <c r="F111342" s="193"/>
    </row>
    <row r="111343" spans="6:6" x14ac:dyDescent="0.3">
      <c r="F111343" s="193"/>
    </row>
    <row r="111344" spans="6:6" x14ac:dyDescent="0.3">
      <c r="F111344" s="193"/>
    </row>
    <row r="111345" spans="6:6" x14ac:dyDescent="0.3">
      <c r="F111345" s="193"/>
    </row>
    <row r="111346" spans="6:6" x14ac:dyDescent="0.3">
      <c r="F111346" s="193"/>
    </row>
    <row r="111347" spans="6:6" x14ac:dyDescent="0.3">
      <c r="F111347" s="193"/>
    </row>
    <row r="111348" spans="6:6" x14ac:dyDescent="0.3">
      <c r="F111348" s="193"/>
    </row>
    <row r="111349" spans="6:6" x14ac:dyDescent="0.3">
      <c r="F111349" s="193"/>
    </row>
    <row r="111350" spans="6:6" x14ac:dyDescent="0.3">
      <c r="F111350" s="193"/>
    </row>
    <row r="111351" spans="6:6" x14ac:dyDescent="0.3">
      <c r="F111351" s="193"/>
    </row>
    <row r="111352" spans="6:6" x14ac:dyDescent="0.3">
      <c r="F111352" s="193"/>
    </row>
    <row r="111353" spans="6:6" x14ac:dyDescent="0.3">
      <c r="F111353" s="193"/>
    </row>
    <row r="111354" spans="6:6" x14ac:dyDescent="0.3">
      <c r="F111354" s="193"/>
    </row>
    <row r="111355" spans="6:6" x14ac:dyDescent="0.3">
      <c r="F111355" s="193"/>
    </row>
    <row r="111356" spans="6:6" x14ac:dyDescent="0.3">
      <c r="F111356" s="193"/>
    </row>
    <row r="111357" spans="6:6" x14ac:dyDescent="0.3">
      <c r="F111357" s="193"/>
    </row>
    <row r="111358" spans="6:6" x14ac:dyDescent="0.3">
      <c r="F111358" s="193"/>
    </row>
    <row r="111359" spans="6:6" x14ac:dyDescent="0.3">
      <c r="F111359" s="193"/>
    </row>
    <row r="111360" spans="6:6" x14ac:dyDescent="0.3">
      <c r="F111360" s="193"/>
    </row>
    <row r="111361" spans="6:6" x14ac:dyDescent="0.3">
      <c r="F111361" s="193"/>
    </row>
    <row r="111362" spans="6:6" x14ac:dyDescent="0.3">
      <c r="F111362" s="193"/>
    </row>
    <row r="111363" spans="6:6" x14ac:dyDescent="0.3">
      <c r="F111363" s="193"/>
    </row>
    <row r="111364" spans="6:6" x14ac:dyDescent="0.3">
      <c r="F111364" s="193"/>
    </row>
    <row r="111365" spans="6:6" x14ac:dyDescent="0.3">
      <c r="F111365" s="193"/>
    </row>
    <row r="111366" spans="6:6" x14ac:dyDescent="0.3">
      <c r="F111366" s="193"/>
    </row>
    <row r="111367" spans="6:6" x14ac:dyDescent="0.3">
      <c r="F111367" s="193"/>
    </row>
    <row r="111368" spans="6:6" x14ac:dyDescent="0.3">
      <c r="F111368" s="193"/>
    </row>
    <row r="111369" spans="6:6" x14ac:dyDescent="0.3">
      <c r="F111369" s="193"/>
    </row>
    <row r="111370" spans="6:6" x14ac:dyDescent="0.3">
      <c r="F111370" s="193"/>
    </row>
    <row r="111371" spans="6:6" x14ac:dyDescent="0.3">
      <c r="F111371" s="193"/>
    </row>
    <row r="111372" spans="6:6" x14ac:dyDescent="0.3">
      <c r="F111372" s="193"/>
    </row>
    <row r="111373" spans="6:6" x14ac:dyDescent="0.3">
      <c r="F111373" s="193"/>
    </row>
    <row r="111374" spans="6:6" x14ac:dyDescent="0.3">
      <c r="F111374" s="193"/>
    </row>
    <row r="111375" spans="6:6" x14ac:dyDescent="0.3">
      <c r="F111375" s="193"/>
    </row>
    <row r="111376" spans="6:6" x14ac:dyDescent="0.3">
      <c r="F111376" s="193"/>
    </row>
    <row r="111377" spans="6:6" x14ac:dyDescent="0.3">
      <c r="F111377" s="193"/>
    </row>
    <row r="111378" spans="6:6" x14ac:dyDescent="0.3">
      <c r="F111378" s="193"/>
    </row>
    <row r="111379" spans="6:6" x14ac:dyDescent="0.3">
      <c r="F111379" s="193"/>
    </row>
    <row r="111380" spans="6:6" x14ac:dyDescent="0.3">
      <c r="F111380" s="193"/>
    </row>
    <row r="111381" spans="6:6" x14ac:dyDescent="0.3">
      <c r="F111381" s="193"/>
    </row>
    <row r="111382" spans="6:6" x14ac:dyDescent="0.3">
      <c r="F111382" s="193"/>
    </row>
    <row r="111383" spans="6:6" x14ac:dyDescent="0.3">
      <c r="F111383" s="193"/>
    </row>
    <row r="111384" spans="6:6" x14ac:dyDescent="0.3">
      <c r="F111384" s="193"/>
    </row>
    <row r="111385" spans="6:6" x14ac:dyDescent="0.3">
      <c r="F111385" s="193"/>
    </row>
    <row r="111386" spans="6:6" x14ac:dyDescent="0.3">
      <c r="F111386" s="193"/>
    </row>
    <row r="111387" spans="6:6" x14ac:dyDescent="0.3">
      <c r="F111387" s="193"/>
    </row>
    <row r="111388" spans="6:6" x14ac:dyDescent="0.3">
      <c r="F111388" s="193"/>
    </row>
    <row r="111389" spans="6:6" x14ac:dyDescent="0.3">
      <c r="F111389" s="193"/>
    </row>
    <row r="111390" spans="6:6" x14ac:dyDescent="0.3">
      <c r="F111390" s="193"/>
    </row>
    <row r="111391" spans="6:6" x14ac:dyDescent="0.3">
      <c r="F111391" s="193"/>
    </row>
    <row r="111392" spans="6:6" x14ac:dyDescent="0.3">
      <c r="F111392" s="193"/>
    </row>
    <row r="111393" spans="6:6" x14ac:dyDescent="0.3">
      <c r="F111393" s="193"/>
    </row>
    <row r="111394" spans="6:6" x14ac:dyDescent="0.3">
      <c r="F111394" s="193"/>
    </row>
    <row r="111395" spans="6:6" x14ac:dyDescent="0.3">
      <c r="F111395" s="193"/>
    </row>
    <row r="111396" spans="6:6" x14ac:dyDescent="0.3">
      <c r="F111396" s="193"/>
    </row>
    <row r="111397" spans="6:6" x14ac:dyDescent="0.3">
      <c r="F111397" s="193"/>
    </row>
    <row r="111398" spans="6:6" x14ac:dyDescent="0.3">
      <c r="F111398" s="193"/>
    </row>
    <row r="111399" spans="6:6" x14ac:dyDescent="0.3">
      <c r="F111399" s="193"/>
    </row>
    <row r="111400" spans="6:6" x14ac:dyDescent="0.3">
      <c r="F111400" s="193"/>
    </row>
    <row r="111401" spans="6:6" x14ac:dyDescent="0.3">
      <c r="F111401" s="193"/>
    </row>
    <row r="111402" spans="6:6" x14ac:dyDescent="0.3">
      <c r="F111402" s="193"/>
    </row>
    <row r="111403" spans="6:6" x14ac:dyDescent="0.3">
      <c r="F111403" s="193"/>
    </row>
    <row r="111404" spans="6:6" x14ac:dyDescent="0.3">
      <c r="F111404" s="193"/>
    </row>
    <row r="111405" spans="6:6" x14ac:dyDescent="0.3">
      <c r="F111405" s="193"/>
    </row>
    <row r="111406" spans="6:6" x14ac:dyDescent="0.3">
      <c r="F111406" s="193"/>
    </row>
    <row r="111407" spans="6:6" x14ac:dyDescent="0.3">
      <c r="F111407" s="193"/>
    </row>
    <row r="111408" spans="6:6" x14ac:dyDescent="0.3">
      <c r="F111408" s="193"/>
    </row>
    <row r="111409" spans="6:6" x14ac:dyDescent="0.3">
      <c r="F111409" s="193"/>
    </row>
    <row r="111410" spans="6:6" x14ac:dyDescent="0.3">
      <c r="F111410" s="193"/>
    </row>
    <row r="111411" spans="6:6" x14ac:dyDescent="0.3">
      <c r="F111411" s="193"/>
    </row>
    <row r="111412" spans="6:6" x14ac:dyDescent="0.3">
      <c r="F111412" s="193"/>
    </row>
    <row r="111413" spans="6:6" x14ac:dyDescent="0.3">
      <c r="F111413" s="193"/>
    </row>
    <row r="111414" spans="6:6" x14ac:dyDescent="0.3">
      <c r="F111414" s="193"/>
    </row>
    <row r="111415" spans="6:6" x14ac:dyDescent="0.3">
      <c r="F111415" s="193"/>
    </row>
    <row r="111416" spans="6:6" x14ac:dyDescent="0.3">
      <c r="F111416" s="193"/>
    </row>
    <row r="111417" spans="6:6" x14ac:dyDescent="0.3">
      <c r="F111417" s="193"/>
    </row>
    <row r="111418" spans="6:6" x14ac:dyDescent="0.3">
      <c r="F111418" s="193"/>
    </row>
    <row r="111419" spans="6:6" x14ac:dyDescent="0.3">
      <c r="F111419" s="193"/>
    </row>
    <row r="111420" spans="6:6" x14ac:dyDescent="0.3">
      <c r="F111420" s="193"/>
    </row>
    <row r="111421" spans="6:6" x14ac:dyDescent="0.3">
      <c r="F111421" s="193"/>
    </row>
    <row r="111422" spans="6:6" x14ac:dyDescent="0.3">
      <c r="F111422" s="193"/>
    </row>
    <row r="111423" spans="6:6" x14ac:dyDescent="0.3">
      <c r="F111423" s="193"/>
    </row>
    <row r="111424" spans="6:6" x14ac:dyDescent="0.3">
      <c r="F111424" s="193"/>
    </row>
    <row r="111425" spans="6:6" x14ac:dyDescent="0.3">
      <c r="F111425" s="193"/>
    </row>
    <row r="111426" spans="6:6" x14ac:dyDescent="0.3">
      <c r="F111426" s="193"/>
    </row>
    <row r="111427" spans="6:6" x14ac:dyDescent="0.3">
      <c r="F111427" s="193"/>
    </row>
    <row r="111428" spans="6:6" x14ac:dyDescent="0.3">
      <c r="F111428" s="193"/>
    </row>
    <row r="111429" spans="6:6" x14ac:dyDescent="0.3">
      <c r="F111429" s="193"/>
    </row>
    <row r="111430" spans="6:6" x14ac:dyDescent="0.3">
      <c r="F111430" s="193"/>
    </row>
    <row r="111431" spans="6:6" x14ac:dyDescent="0.3">
      <c r="F111431" s="193"/>
    </row>
    <row r="111432" spans="6:6" x14ac:dyDescent="0.3">
      <c r="F111432" s="193"/>
    </row>
    <row r="111433" spans="6:6" x14ac:dyDescent="0.3">
      <c r="F111433" s="193"/>
    </row>
    <row r="111434" spans="6:6" x14ac:dyDescent="0.3">
      <c r="F111434" s="193"/>
    </row>
    <row r="111435" spans="6:6" x14ac:dyDescent="0.3">
      <c r="F111435" s="193"/>
    </row>
    <row r="111436" spans="6:6" x14ac:dyDescent="0.3">
      <c r="F111436" s="193"/>
    </row>
    <row r="111437" spans="6:6" x14ac:dyDescent="0.3">
      <c r="F111437" s="193"/>
    </row>
    <row r="111438" spans="6:6" x14ac:dyDescent="0.3">
      <c r="F111438" s="193"/>
    </row>
    <row r="111439" spans="6:6" x14ac:dyDescent="0.3">
      <c r="F111439" s="193"/>
    </row>
    <row r="111440" spans="6:6" x14ac:dyDescent="0.3">
      <c r="F111440" s="193"/>
    </row>
    <row r="111441" spans="6:6" x14ac:dyDescent="0.3">
      <c r="F111441" s="193"/>
    </row>
    <row r="111442" spans="6:6" x14ac:dyDescent="0.3">
      <c r="F111442" s="193"/>
    </row>
    <row r="111443" spans="6:6" x14ac:dyDescent="0.3">
      <c r="F111443" s="193"/>
    </row>
    <row r="111444" spans="6:6" x14ac:dyDescent="0.3">
      <c r="F111444" s="193"/>
    </row>
    <row r="111445" spans="6:6" x14ac:dyDescent="0.3">
      <c r="F111445" s="193"/>
    </row>
    <row r="111446" spans="6:6" x14ac:dyDescent="0.3">
      <c r="F111446" s="193"/>
    </row>
    <row r="111447" spans="6:6" x14ac:dyDescent="0.3">
      <c r="F111447" s="193"/>
    </row>
    <row r="111448" spans="6:6" x14ac:dyDescent="0.3">
      <c r="F111448" s="193"/>
    </row>
    <row r="111449" spans="6:6" x14ac:dyDescent="0.3">
      <c r="F111449" s="193"/>
    </row>
    <row r="111450" spans="6:6" x14ac:dyDescent="0.3">
      <c r="F111450" s="193"/>
    </row>
    <row r="111451" spans="6:6" x14ac:dyDescent="0.3">
      <c r="F111451" s="193"/>
    </row>
    <row r="111452" spans="6:6" x14ac:dyDescent="0.3">
      <c r="F111452" s="193"/>
    </row>
    <row r="111453" spans="6:6" x14ac:dyDescent="0.3">
      <c r="F111453" s="193"/>
    </row>
    <row r="111454" spans="6:6" x14ac:dyDescent="0.3">
      <c r="F111454" s="193"/>
    </row>
    <row r="111455" spans="6:6" x14ac:dyDescent="0.3">
      <c r="F111455" s="193"/>
    </row>
    <row r="111456" spans="6:6" x14ac:dyDescent="0.3">
      <c r="F111456" s="193"/>
    </row>
    <row r="111457" spans="6:6" x14ac:dyDescent="0.3">
      <c r="F111457" s="193"/>
    </row>
    <row r="111458" spans="6:6" x14ac:dyDescent="0.3">
      <c r="F111458" s="193"/>
    </row>
    <row r="111459" spans="6:6" x14ac:dyDescent="0.3">
      <c r="F111459" s="193"/>
    </row>
    <row r="111460" spans="6:6" x14ac:dyDescent="0.3">
      <c r="F111460" s="193"/>
    </row>
    <row r="111461" spans="6:6" x14ac:dyDescent="0.3">
      <c r="F111461" s="193"/>
    </row>
    <row r="111462" spans="6:6" x14ac:dyDescent="0.3">
      <c r="F111462" s="193"/>
    </row>
    <row r="111463" spans="6:6" x14ac:dyDescent="0.3">
      <c r="F111463" s="193"/>
    </row>
    <row r="111464" spans="6:6" x14ac:dyDescent="0.3">
      <c r="F111464" s="193"/>
    </row>
    <row r="111465" spans="6:6" x14ac:dyDescent="0.3">
      <c r="F111465" s="193"/>
    </row>
    <row r="111466" spans="6:6" x14ac:dyDescent="0.3">
      <c r="F111466" s="193"/>
    </row>
    <row r="111467" spans="6:6" x14ac:dyDescent="0.3">
      <c r="F111467" s="193"/>
    </row>
    <row r="111468" spans="6:6" x14ac:dyDescent="0.3">
      <c r="F111468" s="193"/>
    </row>
    <row r="111469" spans="6:6" x14ac:dyDescent="0.3">
      <c r="F111469" s="193"/>
    </row>
    <row r="111470" spans="6:6" x14ac:dyDescent="0.3">
      <c r="F111470" s="193"/>
    </row>
    <row r="111471" spans="6:6" x14ac:dyDescent="0.3">
      <c r="F111471" s="193"/>
    </row>
    <row r="111472" spans="6:6" x14ac:dyDescent="0.3">
      <c r="F111472" s="193"/>
    </row>
    <row r="111473" spans="6:6" x14ac:dyDescent="0.3">
      <c r="F111473" s="193"/>
    </row>
    <row r="111474" spans="6:6" x14ac:dyDescent="0.3">
      <c r="F111474" s="193"/>
    </row>
    <row r="111475" spans="6:6" x14ac:dyDescent="0.3">
      <c r="F111475" s="193"/>
    </row>
    <row r="111476" spans="6:6" x14ac:dyDescent="0.3">
      <c r="F111476" s="193"/>
    </row>
    <row r="111477" spans="6:6" x14ac:dyDescent="0.3">
      <c r="F111477" s="193"/>
    </row>
    <row r="111478" spans="6:6" x14ac:dyDescent="0.3">
      <c r="F111478" s="193"/>
    </row>
    <row r="111479" spans="6:6" x14ac:dyDescent="0.3">
      <c r="F111479" s="193"/>
    </row>
    <row r="111480" spans="6:6" x14ac:dyDescent="0.3">
      <c r="F111480" s="193"/>
    </row>
    <row r="111481" spans="6:6" x14ac:dyDescent="0.3">
      <c r="F111481" s="193"/>
    </row>
    <row r="111482" spans="6:6" x14ac:dyDescent="0.3">
      <c r="F111482" s="193"/>
    </row>
    <row r="111483" spans="6:6" x14ac:dyDescent="0.3">
      <c r="F111483" s="193"/>
    </row>
    <row r="111484" spans="6:6" x14ac:dyDescent="0.3">
      <c r="F111484" s="193"/>
    </row>
    <row r="111485" spans="6:6" x14ac:dyDescent="0.3">
      <c r="F111485" s="193"/>
    </row>
    <row r="111486" spans="6:6" x14ac:dyDescent="0.3">
      <c r="F111486" s="193"/>
    </row>
    <row r="111487" spans="6:6" x14ac:dyDescent="0.3">
      <c r="F111487" s="193"/>
    </row>
    <row r="111488" spans="6:6" x14ac:dyDescent="0.3">
      <c r="F111488" s="193"/>
    </row>
    <row r="111489" spans="6:6" x14ac:dyDescent="0.3">
      <c r="F111489" s="193"/>
    </row>
    <row r="111490" spans="6:6" x14ac:dyDescent="0.3">
      <c r="F111490" s="193"/>
    </row>
    <row r="111491" spans="6:6" x14ac:dyDescent="0.3">
      <c r="F111491" s="193"/>
    </row>
    <row r="111492" spans="6:6" x14ac:dyDescent="0.3">
      <c r="F111492" s="193"/>
    </row>
    <row r="111493" spans="6:6" x14ac:dyDescent="0.3">
      <c r="F111493" s="193"/>
    </row>
    <row r="111494" spans="6:6" x14ac:dyDescent="0.3">
      <c r="F111494" s="193"/>
    </row>
    <row r="111495" spans="6:6" x14ac:dyDescent="0.3">
      <c r="F111495" s="193"/>
    </row>
    <row r="111496" spans="6:6" x14ac:dyDescent="0.3">
      <c r="F111496" s="193"/>
    </row>
    <row r="111497" spans="6:6" x14ac:dyDescent="0.3">
      <c r="F111497" s="193"/>
    </row>
    <row r="111498" spans="6:6" x14ac:dyDescent="0.3">
      <c r="F111498" s="193"/>
    </row>
    <row r="111499" spans="6:6" x14ac:dyDescent="0.3">
      <c r="F111499" s="193"/>
    </row>
    <row r="111500" spans="6:6" x14ac:dyDescent="0.3">
      <c r="F111500" s="193"/>
    </row>
    <row r="111501" spans="6:6" x14ac:dyDescent="0.3">
      <c r="F111501" s="193"/>
    </row>
    <row r="111502" spans="6:6" x14ac:dyDescent="0.3">
      <c r="F111502" s="193"/>
    </row>
    <row r="111503" spans="6:6" x14ac:dyDescent="0.3">
      <c r="F111503" s="193"/>
    </row>
    <row r="111504" spans="6:6" x14ac:dyDescent="0.3">
      <c r="F111504" s="193"/>
    </row>
    <row r="111505" spans="6:6" x14ac:dyDescent="0.3">
      <c r="F111505" s="193"/>
    </row>
    <row r="111506" spans="6:6" x14ac:dyDescent="0.3">
      <c r="F111506" s="193"/>
    </row>
    <row r="111507" spans="6:6" x14ac:dyDescent="0.3">
      <c r="F111507" s="193"/>
    </row>
    <row r="111508" spans="6:6" x14ac:dyDescent="0.3">
      <c r="F111508" s="193"/>
    </row>
    <row r="111509" spans="6:6" x14ac:dyDescent="0.3">
      <c r="F111509" s="193"/>
    </row>
    <row r="111510" spans="6:6" x14ac:dyDescent="0.3">
      <c r="F111510" s="193"/>
    </row>
    <row r="111511" spans="6:6" x14ac:dyDescent="0.3">
      <c r="F111511" s="193"/>
    </row>
    <row r="111512" spans="6:6" x14ac:dyDescent="0.3">
      <c r="F111512" s="193"/>
    </row>
    <row r="111513" spans="6:6" x14ac:dyDescent="0.3">
      <c r="F111513" s="193"/>
    </row>
    <row r="111514" spans="6:6" x14ac:dyDescent="0.3">
      <c r="F111514" s="193"/>
    </row>
    <row r="111515" spans="6:6" x14ac:dyDescent="0.3">
      <c r="F111515" s="193"/>
    </row>
    <row r="111516" spans="6:6" x14ac:dyDescent="0.3">
      <c r="F111516" s="193"/>
    </row>
    <row r="111517" spans="6:6" x14ac:dyDescent="0.3">
      <c r="F111517" s="193"/>
    </row>
    <row r="111518" spans="6:6" x14ac:dyDescent="0.3">
      <c r="F111518" s="193"/>
    </row>
    <row r="111519" spans="6:6" x14ac:dyDescent="0.3">
      <c r="F111519" s="193"/>
    </row>
    <row r="111520" spans="6:6" x14ac:dyDescent="0.3">
      <c r="F111520" s="193"/>
    </row>
    <row r="111521" spans="6:6" x14ac:dyDescent="0.3">
      <c r="F111521" s="193"/>
    </row>
    <row r="111522" spans="6:6" x14ac:dyDescent="0.3">
      <c r="F111522" s="193"/>
    </row>
    <row r="111523" spans="6:6" x14ac:dyDescent="0.3">
      <c r="F111523" s="193"/>
    </row>
    <row r="111524" spans="6:6" x14ac:dyDescent="0.3">
      <c r="F111524" s="193"/>
    </row>
    <row r="111525" spans="6:6" x14ac:dyDescent="0.3">
      <c r="F111525" s="193"/>
    </row>
    <row r="111526" spans="6:6" x14ac:dyDescent="0.3">
      <c r="F111526" s="193"/>
    </row>
    <row r="111527" spans="6:6" x14ac:dyDescent="0.3">
      <c r="F111527" s="193"/>
    </row>
    <row r="111528" spans="6:6" x14ac:dyDescent="0.3">
      <c r="F111528" s="193"/>
    </row>
    <row r="111529" spans="6:6" x14ac:dyDescent="0.3">
      <c r="F111529" s="193"/>
    </row>
    <row r="111530" spans="6:6" x14ac:dyDescent="0.3">
      <c r="F111530" s="193"/>
    </row>
    <row r="111531" spans="6:6" x14ac:dyDescent="0.3">
      <c r="F111531" s="193"/>
    </row>
    <row r="111532" spans="6:6" x14ac:dyDescent="0.3">
      <c r="F111532" s="193"/>
    </row>
    <row r="111533" spans="6:6" x14ac:dyDescent="0.3">
      <c r="F111533" s="193"/>
    </row>
    <row r="111534" spans="6:6" x14ac:dyDescent="0.3">
      <c r="F111534" s="193"/>
    </row>
    <row r="111535" spans="6:6" x14ac:dyDescent="0.3">
      <c r="F111535" s="193"/>
    </row>
    <row r="111536" spans="6:6" x14ac:dyDescent="0.3">
      <c r="F111536" s="193"/>
    </row>
    <row r="111537" spans="6:6" x14ac:dyDescent="0.3">
      <c r="F111537" s="193"/>
    </row>
    <row r="111538" spans="6:6" x14ac:dyDescent="0.3">
      <c r="F111538" s="193"/>
    </row>
    <row r="111539" spans="6:6" x14ac:dyDescent="0.3">
      <c r="F111539" s="193"/>
    </row>
    <row r="111540" spans="6:6" x14ac:dyDescent="0.3">
      <c r="F111540" s="193"/>
    </row>
    <row r="111541" spans="6:6" x14ac:dyDescent="0.3">
      <c r="F111541" s="193"/>
    </row>
    <row r="111542" spans="6:6" x14ac:dyDescent="0.3">
      <c r="F111542" s="193"/>
    </row>
    <row r="111543" spans="6:6" x14ac:dyDescent="0.3">
      <c r="F111543" s="193"/>
    </row>
    <row r="111544" spans="6:6" x14ac:dyDescent="0.3">
      <c r="F111544" s="193"/>
    </row>
    <row r="111545" spans="6:6" x14ac:dyDescent="0.3">
      <c r="F111545" s="193"/>
    </row>
    <row r="111546" spans="6:6" x14ac:dyDescent="0.3">
      <c r="F111546" s="193"/>
    </row>
    <row r="111547" spans="6:6" x14ac:dyDescent="0.3">
      <c r="F111547" s="193"/>
    </row>
    <row r="111548" spans="6:6" x14ac:dyDescent="0.3">
      <c r="F111548" s="193"/>
    </row>
    <row r="111549" spans="6:6" x14ac:dyDescent="0.3">
      <c r="F111549" s="193"/>
    </row>
    <row r="111550" spans="6:6" x14ac:dyDescent="0.3">
      <c r="F111550" s="193"/>
    </row>
    <row r="111551" spans="6:6" x14ac:dyDescent="0.3">
      <c r="F111551" s="193"/>
    </row>
    <row r="111552" spans="6:6" x14ac:dyDescent="0.3">
      <c r="F111552" s="193"/>
    </row>
    <row r="111553" spans="6:6" x14ac:dyDescent="0.3">
      <c r="F111553" s="193"/>
    </row>
    <row r="111554" spans="6:6" x14ac:dyDescent="0.3">
      <c r="F111554" s="193"/>
    </row>
    <row r="111555" spans="6:6" x14ac:dyDescent="0.3">
      <c r="F111555" s="193"/>
    </row>
    <row r="111556" spans="6:6" x14ac:dyDescent="0.3">
      <c r="F111556" s="193"/>
    </row>
    <row r="111557" spans="6:6" x14ac:dyDescent="0.3">
      <c r="F111557" s="193"/>
    </row>
    <row r="111558" spans="6:6" x14ac:dyDescent="0.3">
      <c r="F111558" s="193"/>
    </row>
    <row r="111559" spans="6:6" x14ac:dyDescent="0.3">
      <c r="F111559" s="193"/>
    </row>
    <row r="111560" spans="6:6" x14ac:dyDescent="0.3">
      <c r="F111560" s="193"/>
    </row>
    <row r="111561" spans="6:6" x14ac:dyDescent="0.3">
      <c r="F111561" s="193"/>
    </row>
    <row r="111562" spans="6:6" x14ac:dyDescent="0.3">
      <c r="F111562" s="193"/>
    </row>
    <row r="111563" spans="6:6" x14ac:dyDescent="0.3">
      <c r="F111563" s="193"/>
    </row>
    <row r="111564" spans="6:6" x14ac:dyDescent="0.3">
      <c r="F111564" s="193"/>
    </row>
    <row r="111565" spans="6:6" x14ac:dyDescent="0.3">
      <c r="F111565" s="193"/>
    </row>
    <row r="111566" spans="6:6" x14ac:dyDescent="0.3">
      <c r="F111566" s="193"/>
    </row>
    <row r="111567" spans="6:6" x14ac:dyDescent="0.3">
      <c r="F111567" s="193"/>
    </row>
    <row r="111568" spans="6:6" x14ac:dyDescent="0.3">
      <c r="F111568" s="193"/>
    </row>
    <row r="111569" spans="6:6" x14ac:dyDescent="0.3">
      <c r="F111569" s="193"/>
    </row>
    <row r="111570" spans="6:6" x14ac:dyDescent="0.3">
      <c r="F111570" s="193"/>
    </row>
    <row r="111571" spans="6:6" x14ac:dyDescent="0.3">
      <c r="F111571" s="193"/>
    </row>
    <row r="111572" spans="6:6" x14ac:dyDescent="0.3">
      <c r="F111572" s="193"/>
    </row>
    <row r="111573" spans="6:6" x14ac:dyDescent="0.3">
      <c r="F111573" s="193"/>
    </row>
    <row r="111574" spans="6:6" x14ac:dyDescent="0.3">
      <c r="F111574" s="193"/>
    </row>
    <row r="111575" spans="6:6" x14ac:dyDescent="0.3">
      <c r="F111575" s="193"/>
    </row>
    <row r="111576" spans="6:6" x14ac:dyDescent="0.3">
      <c r="F111576" s="193"/>
    </row>
    <row r="111577" spans="6:6" x14ac:dyDescent="0.3">
      <c r="F111577" s="193"/>
    </row>
    <row r="111578" spans="6:6" x14ac:dyDescent="0.3">
      <c r="F111578" s="193"/>
    </row>
    <row r="111579" spans="6:6" x14ac:dyDescent="0.3">
      <c r="F111579" s="193"/>
    </row>
    <row r="111580" spans="6:6" x14ac:dyDescent="0.3">
      <c r="F111580" s="193"/>
    </row>
    <row r="111581" spans="6:6" x14ac:dyDescent="0.3">
      <c r="F111581" s="193"/>
    </row>
    <row r="111582" spans="6:6" x14ac:dyDescent="0.3">
      <c r="F111582" s="193"/>
    </row>
    <row r="111583" spans="6:6" x14ac:dyDescent="0.3">
      <c r="F111583" s="193"/>
    </row>
    <row r="111584" spans="6:6" x14ac:dyDescent="0.3">
      <c r="F111584" s="193"/>
    </row>
    <row r="111585" spans="6:6" x14ac:dyDescent="0.3">
      <c r="F111585" s="193"/>
    </row>
    <row r="111586" spans="6:6" x14ac:dyDescent="0.3">
      <c r="F111586" s="193"/>
    </row>
    <row r="111587" spans="6:6" x14ac:dyDescent="0.3">
      <c r="F111587" s="193"/>
    </row>
    <row r="111588" spans="6:6" x14ac:dyDescent="0.3">
      <c r="F111588" s="193"/>
    </row>
    <row r="111589" spans="6:6" x14ac:dyDescent="0.3">
      <c r="F111589" s="193"/>
    </row>
    <row r="111590" spans="6:6" x14ac:dyDescent="0.3">
      <c r="F111590" s="193"/>
    </row>
    <row r="111591" spans="6:6" x14ac:dyDescent="0.3">
      <c r="F111591" s="193"/>
    </row>
    <row r="111592" spans="6:6" x14ac:dyDescent="0.3">
      <c r="F111592" s="193"/>
    </row>
    <row r="111593" spans="6:6" x14ac:dyDescent="0.3">
      <c r="F111593" s="193"/>
    </row>
    <row r="111594" spans="6:6" x14ac:dyDescent="0.3">
      <c r="F111594" s="193"/>
    </row>
    <row r="111595" spans="6:6" x14ac:dyDescent="0.3">
      <c r="F111595" s="193"/>
    </row>
    <row r="111596" spans="6:6" x14ac:dyDescent="0.3">
      <c r="F111596" s="193"/>
    </row>
    <row r="111597" spans="6:6" x14ac:dyDescent="0.3">
      <c r="F111597" s="193"/>
    </row>
    <row r="111598" spans="6:6" x14ac:dyDescent="0.3">
      <c r="F111598" s="193"/>
    </row>
    <row r="111599" spans="6:6" x14ac:dyDescent="0.3">
      <c r="F111599" s="193"/>
    </row>
    <row r="111600" spans="6:6" x14ac:dyDescent="0.3">
      <c r="F111600" s="193"/>
    </row>
    <row r="111601" spans="6:6" x14ac:dyDescent="0.3">
      <c r="F111601" s="193"/>
    </row>
    <row r="111602" spans="6:6" x14ac:dyDescent="0.3">
      <c r="F111602" s="193"/>
    </row>
    <row r="111603" spans="6:6" x14ac:dyDescent="0.3">
      <c r="F111603" s="193"/>
    </row>
    <row r="111604" spans="6:6" x14ac:dyDescent="0.3">
      <c r="F111604" s="193"/>
    </row>
    <row r="111605" spans="6:6" x14ac:dyDescent="0.3">
      <c r="F111605" s="193"/>
    </row>
    <row r="111606" spans="6:6" x14ac:dyDescent="0.3">
      <c r="F111606" s="193"/>
    </row>
    <row r="111607" spans="6:6" x14ac:dyDescent="0.3">
      <c r="F111607" s="193"/>
    </row>
    <row r="111608" spans="6:6" x14ac:dyDescent="0.3">
      <c r="F111608" s="193"/>
    </row>
    <row r="111609" spans="6:6" x14ac:dyDescent="0.3">
      <c r="F111609" s="193"/>
    </row>
    <row r="111610" spans="6:6" x14ac:dyDescent="0.3">
      <c r="F111610" s="193"/>
    </row>
    <row r="111611" spans="6:6" x14ac:dyDescent="0.3">
      <c r="F111611" s="193"/>
    </row>
    <row r="111612" spans="6:6" x14ac:dyDescent="0.3">
      <c r="F111612" s="193"/>
    </row>
    <row r="111613" spans="6:6" x14ac:dyDescent="0.3">
      <c r="F111613" s="193"/>
    </row>
    <row r="111614" spans="6:6" x14ac:dyDescent="0.3">
      <c r="F111614" s="193"/>
    </row>
    <row r="111615" spans="6:6" x14ac:dyDescent="0.3">
      <c r="F111615" s="193"/>
    </row>
    <row r="111616" spans="6:6" x14ac:dyDescent="0.3">
      <c r="F111616" s="193"/>
    </row>
    <row r="111617" spans="6:6" x14ac:dyDescent="0.3">
      <c r="F111617" s="193"/>
    </row>
    <row r="111618" spans="6:6" x14ac:dyDescent="0.3">
      <c r="F111618" s="193"/>
    </row>
    <row r="111619" spans="6:6" x14ac:dyDescent="0.3">
      <c r="F111619" s="193"/>
    </row>
    <row r="111620" spans="6:6" x14ac:dyDescent="0.3">
      <c r="F111620" s="193"/>
    </row>
    <row r="111621" spans="6:6" x14ac:dyDescent="0.3">
      <c r="F111621" s="193"/>
    </row>
    <row r="111622" spans="6:6" x14ac:dyDescent="0.3">
      <c r="F111622" s="193"/>
    </row>
    <row r="111623" spans="6:6" x14ac:dyDescent="0.3">
      <c r="F111623" s="193"/>
    </row>
    <row r="111624" spans="6:6" x14ac:dyDescent="0.3">
      <c r="F111624" s="193"/>
    </row>
    <row r="111625" spans="6:6" x14ac:dyDescent="0.3">
      <c r="F111625" s="193"/>
    </row>
    <row r="111626" spans="6:6" x14ac:dyDescent="0.3">
      <c r="F111626" s="193"/>
    </row>
    <row r="111627" spans="6:6" x14ac:dyDescent="0.3">
      <c r="F111627" s="193"/>
    </row>
    <row r="111628" spans="6:6" x14ac:dyDescent="0.3">
      <c r="F111628" s="193"/>
    </row>
    <row r="111629" spans="6:6" x14ac:dyDescent="0.3">
      <c r="F111629" s="193"/>
    </row>
    <row r="111630" spans="6:6" x14ac:dyDescent="0.3">
      <c r="F111630" s="193"/>
    </row>
    <row r="111631" spans="6:6" x14ac:dyDescent="0.3">
      <c r="F111631" s="193"/>
    </row>
    <row r="111632" spans="6:6" x14ac:dyDescent="0.3">
      <c r="F111632" s="193"/>
    </row>
    <row r="111633" spans="6:6" x14ac:dyDescent="0.3">
      <c r="F111633" s="193"/>
    </row>
    <row r="111634" spans="6:6" x14ac:dyDescent="0.3">
      <c r="F111634" s="193"/>
    </row>
    <row r="111635" spans="6:6" x14ac:dyDescent="0.3">
      <c r="F111635" s="193"/>
    </row>
    <row r="111636" spans="6:6" x14ac:dyDescent="0.3">
      <c r="F111636" s="193"/>
    </row>
    <row r="111637" spans="6:6" x14ac:dyDescent="0.3">
      <c r="F111637" s="193"/>
    </row>
    <row r="111638" spans="6:6" x14ac:dyDescent="0.3">
      <c r="F111638" s="193"/>
    </row>
    <row r="111639" spans="6:6" x14ac:dyDescent="0.3">
      <c r="F111639" s="193"/>
    </row>
    <row r="111640" spans="6:6" x14ac:dyDescent="0.3">
      <c r="F111640" s="193"/>
    </row>
    <row r="111641" spans="6:6" x14ac:dyDescent="0.3">
      <c r="F111641" s="193"/>
    </row>
    <row r="111642" spans="6:6" x14ac:dyDescent="0.3">
      <c r="F111642" s="193"/>
    </row>
    <row r="111643" spans="6:6" x14ac:dyDescent="0.3">
      <c r="F111643" s="193"/>
    </row>
    <row r="111644" spans="6:6" x14ac:dyDescent="0.3">
      <c r="F111644" s="193"/>
    </row>
    <row r="111645" spans="6:6" x14ac:dyDescent="0.3">
      <c r="F111645" s="193"/>
    </row>
    <row r="111646" spans="6:6" x14ac:dyDescent="0.3">
      <c r="F111646" s="193"/>
    </row>
    <row r="111647" spans="6:6" x14ac:dyDescent="0.3">
      <c r="F111647" s="193"/>
    </row>
    <row r="111648" spans="6:6" x14ac:dyDescent="0.3">
      <c r="F111648" s="193"/>
    </row>
    <row r="111649" spans="6:6" x14ac:dyDescent="0.3">
      <c r="F111649" s="193"/>
    </row>
    <row r="111650" spans="6:6" x14ac:dyDescent="0.3">
      <c r="F111650" s="193"/>
    </row>
    <row r="111651" spans="6:6" x14ac:dyDescent="0.3">
      <c r="F111651" s="193"/>
    </row>
    <row r="111652" spans="6:6" x14ac:dyDescent="0.3">
      <c r="F111652" s="193"/>
    </row>
    <row r="111653" spans="6:6" x14ac:dyDescent="0.3">
      <c r="F111653" s="193"/>
    </row>
    <row r="111654" spans="6:6" x14ac:dyDescent="0.3">
      <c r="F111654" s="193"/>
    </row>
    <row r="111655" spans="6:6" x14ac:dyDescent="0.3">
      <c r="F111655" s="193"/>
    </row>
    <row r="111656" spans="6:6" x14ac:dyDescent="0.3">
      <c r="F111656" s="193"/>
    </row>
    <row r="111657" spans="6:6" x14ac:dyDescent="0.3">
      <c r="F111657" s="193"/>
    </row>
    <row r="111658" spans="6:6" x14ac:dyDescent="0.3">
      <c r="F111658" s="193"/>
    </row>
    <row r="111659" spans="6:6" x14ac:dyDescent="0.3">
      <c r="F111659" s="193"/>
    </row>
    <row r="111660" spans="6:6" x14ac:dyDescent="0.3">
      <c r="F111660" s="193"/>
    </row>
    <row r="111661" spans="6:6" x14ac:dyDescent="0.3">
      <c r="F111661" s="193"/>
    </row>
    <row r="111662" spans="6:6" x14ac:dyDescent="0.3">
      <c r="F111662" s="193"/>
    </row>
    <row r="111663" spans="6:6" x14ac:dyDescent="0.3">
      <c r="F111663" s="193"/>
    </row>
    <row r="111664" spans="6:6" x14ac:dyDescent="0.3">
      <c r="F111664" s="193"/>
    </row>
    <row r="111665" spans="6:6" x14ac:dyDescent="0.3">
      <c r="F111665" s="193"/>
    </row>
    <row r="111666" spans="6:6" x14ac:dyDescent="0.3">
      <c r="F111666" s="193"/>
    </row>
    <row r="111667" spans="6:6" x14ac:dyDescent="0.3">
      <c r="F111667" s="193"/>
    </row>
    <row r="111668" spans="6:6" x14ac:dyDescent="0.3">
      <c r="F111668" s="193"/>
    </row>
    <row r="111669" spans="6:6" x14ac:dyDescent="0.3">
      <c r="F111669" s="193"/>
    </row>
    <row r="111670" spans="6:6" x14ac:dyDescent="0.3">
      <c r="F111670" s="193"/>
    </row>
    <row r="111671" spans="6:6" x14ac:dyDescent="0.3">
      <c r="F111671" s="193"/>
    </row>
    <row r="111672" spans="6:6" x14ac:dyDescent="0.3">
      <c r="F111672" s="193"/>
    </row>
    <row r="111673" spans="6:6" x14ac:dyDescent="0.3">
      <c r="F111673" s="193"/>
    </row>
    <row r="111674" spans="6:6" x14ac:dyDescent="0.3">
      <c r="F111674" s="193"/>
    </row>
    <row r="111675" spans="6:6" x14ac:dyDescent="0.3">
      <c r="F111675" s="193"/>
    </row>
    <row r="111676" spans="6:6" x14ac:dyDescent="0.3">
      <c r="F111676" s="193"/>
    </row>
    <row r="111677" spans="6:6" x14ac:dyDescent="0.3">
      <c r="F111677" s="193"/>
    </row>
    <row r="111678" spans="6:6" x14ac:dyDescent="0.3">
      <c r="F111678" s="193"/>
    </row>
    <row r="111679" spans="6:6" x14ac:dyDescent="0.3">
      <c r="F111679" s="193"/>
    </row>
    <row r="111680" spans="6:6" x14ac:dyDescent="0.3">
      <c r="F111680" s="193"/>
    </row>
    <row r="111681" spans="6:6" x14ac:dyDescent="0.3">
      <c r="F111681" s="193"/>
    </row>
    <row r="111682" spans="6:6" x14ac:dyDescent="0.3">
      <c r="F111682" s="193"/>
    </row>
    <row r="111683" spans="6:6" x14ac:dyDescent="0.3">
      <c r="F111683" s="193"/>
    </row>
    <row r="111684" spans="6:6" x14ac:dyDescent="0.3">
      <c r="F111684" s="193"/>
    </row>
    <row r="111685" spans="6:6" x14ac:dyDescent="0.3">
      <c r="F111685" s="193"/>
    </row>
    <row r="111686" spans="6:6" x14ac:dyDescent="0.3">
      <c r="F111686" s="193"/>
    </row>
    <row r="111687" spans="6:6" x14ac:dyDescent="0.3">
      <c r="F111687" s="193"/>
    </row>
    <row r="111688" spans="6:6" x14ac:dyDescent="0.3">
      <c r="F111688" s="193"/>
    </row>
    <row r="111689" spans="6:6" x14ac:dyDescent="0.3">
      <c r="F111689" s="193"/>
    </row>
    <row r="111690" spans="6:6" x14ac:dyDescent="0.3">
      <c r="F111690" s="193"/>
    </row>
    <row r="111691" spans="6:6" x14ac:dyDescent="0.3">
      <c r="F111691" s="193"/>
    </row>
    <row r="111692" spans="6:6" x14ac:dyDescent="0.3">
      <c r="F111692" s="193"/>
    </row>
    <row r="111693" spans="6:6" x14ac:dyDescent="0.3">
      <c r="F111693" s="193"/>
    </row>
    <row r="111694" spans="6:6" x14ac:dyDescent="0.3">
      <c r="F111694" s="193"/>
    </row>
    <row r="111695" spans="6:6" x14ac:dyDescent="0.3">
      <c r="F111695" s="193"/>
    </row>
    <row r="111696" spans="6:6" x14ac:dyDescent="0.3">
      <c r="F111696" s="193"/>
    </row>
    <row r="111697" spans="6:6" x14ac:dyDescent="0.3">
      <c r="F111697" s="193"/>
    </row>
    <row r="111698" spans="6:6" x14ac:dyDescent="0.3">
      <c r="F111698" s="193"/>
    </row>
    <row r="111699" spans="6:6" x14ac:dyDescent="0.3">
      <c r="F111699" s="193"/>
    </row>
    <row r="111700" spans="6:6" x14ac:dyDescent="0.3">
      <c r="F111700" s="193"/>
    </row>
    <row r="111701" spans="6:6" x14ac:dyDescent="0.3">
      <c r="F111701" s="193"/>
    </row>
    <row r="111702" spans="6:6" x14ac:dyDescent="0.3">
      <c r="F111702" s="193"/>
    </row>
    <row r="111703" spans="6:6" x14ac:dyDescent="0.3">
      <c r="F111703" s="193"/>
    </row>
    <row r="111704" spans="6:6" x14ac:dyDescent="0.3">
      <c r="F111704" s="193"/>
    </row>
    <row r="111705" spans="6:6" x14ac:dyDescent="0.3">
      <c r="F111705" s="193"/>
    </row>
    <row r="111706" spans="6:6" x14ac:dyDescent="0.3">
      <c r="F111706" s="193"/>
    </row>
    <row r="111707" spans="6:6" x14ac:dyDescent="0.3">
      <c r="F111707" s="193"/>
    </row>
    <row r="111708" spans="6:6" x14ac:dyDescent="0.3">
      <c r="F111708" s="193"/>
    </row>
    <row r="111709" spans="6:6" x14ac:dyDescent="0.3">
      <c r="F111709" s="193"/>
    </row>
    <row r="111710" spans="6:6" x14ac:dyDescent="0.3">
      <c r="F111710" s="193"/>
    </row>
    <row r="111711" spans="6:6" x14ac:dyDescent="0.3">
      <c r="F111711" s="193"/>
    </row>
    <row r="111712" spans="6:6" x14ac:dyDescent="0.3">
      <c r="F111712" s="193"/>
    </row>
    <row r="111713" spans="6:6" x14ac:dyDescent="0.3">
      <c r="F111713" s="193"/>
    </row>
    <row r="111714" spans="6:6" x14ac:dyDescent="0.3">
      <c r="F111714" s="193"/>
    </row>
    <row r="111715" spans="6:6" x14ac:dyDescent="0.3">
      <c r="F111715" s="193"/>
    </row>
    <row r="111716" spans="6:6" x14ac:dyDescent="0.3">
      <c r="F111716" s="193"/>
    </row>
    <row r="111717" spans="6:6" x14ac:dyDescent="0.3">
      <c r="F111717" s="193"/>
    </row>
    <row r="111718" spans="6:6" x14ac:dyDescent="0.3">
      <c r="F111718" s="193"/>
    </row>
    <row r="111719" spans="6:6" x14ac:dyDescent="0.3">
      <c r="F111719" s="193"/>
    </row>
    <row r="111720" spans="6:6" x14ac:dyDescent="0.3">
      <c r="F111720" s="193"/>
    </row>
    <row r="111721" spans="6:6" x14ac:dyDescent="0.3">
      <c r="F111721" s="193"/>
    </row>
    <row r="111722" spans="6:6" x14ac:dyDescent="0.3">
      <c r="F111722" s="193"/>
    </row>
    <row r="111723" spans="6:6" x14ac:dyDescent="0.3">
      <c r="F111723" s="193"/>
    </row>
    <row r="111724" spans="6:6" x14ac:dyDescent="0.3">
      <c r="F111724" s="193"/>
    </row>
    <row r="111725" spans="6:6" x14ac:dyDescent="0.3">
      <c r="F111725" s="193"/>
    </row>
    <row r="111726" spans="6:6" x14ac:dyDescent="0.3">
      <c r="F111726" s="193"/>
    </row>
    <row r="111727" spans="6:6" x14ac:dyDescent="0.3">
      <c r="F111727" s="193"/>
    </row>
    <row r="111728" spans="6:6" x14ac:dyDescent="0.3">
      <c r="F111728" s="193"/>
    </row>
    <row r="111729" spans="6:6" x14ac:dyDescent="0.3">
      <c r="F111729" s="193"/>
    </row>
    <row r="111730" spans="6:6" x14ac:dyDescent="0.3">
      <c r="F111730" s="193"/>
    </row>
    <row r="111731" spans="6:6" x14ac:dyDescent="0.3">
      <c r="F111731" s="193"/>
    </row>
    <row r="111732" spans="6:6" x14ac:dyDescent="0.3">
      <c r="F111732" s="193"/>
    </row>
    <row r="111733" spans="6:6" x14ac:dyDescent="0.3">
      <c r="F111733" s="193"/>
    </row>
    <row r="111734" spans="6:6" x14ac:dyDescent="0.3">
      <c r="F111734" s="193"/>
    </row>
    <row r="111735" spans="6:6" x14ac:dyDescent="0.3">
      <c r="F111735" s="193"/>
    </row>
    <row r="111736" spans="6:6" x14ac:dyDescent="0.3">
      <c r="F111736" s="193"/>
    </row>
    <row r="111737" spans="6:6" x14ac:dyDescent="0.3">
      <c r="F111737" s="193"/>
    </row>
    <row r="111738" spans="6:6" x14ac:dyDescent="0.3">
      <c r="F111738" s="193"/>
    </row>
    <row r="111739" spans="6:6" x14ac:dyDescent="0.3">
      <c r="F111739" s="193"/>
    </row>
    <row r="111740" spans="6:6" x14ac:dyDescent="0.3">
      <c r="F111740" s="193"/>
    </row>
    <row r="111741" spans="6:6" x14ac:dyDescent="0.3">
      <c r="F111741" s="193"/>
    </row>
    <row r="111742" spans="6:6" x14ac:dyDescent="0.3">
      <c r="F111742" s="193"/>
    </row>
    <row r="111743" spans="6:6" x14ac:dyDescent="0.3">
      <c r="F111743" s="193"/>
    </row>
    <row r="111744" spans="6:6" x14ac:dyDescent="0.3">
      <c r="F111744" s="193"/>
    </row>
    <row r="111745" spans="6:6" x14ac:dyDescent="0.3">
      <c r="F111745" s="193"/>
    </row>
    <row r="111746" spans="6:6" x14ac:dyDescent="0.3">
      <c r="F111746" s="193"/>
    </row>
    <row r="111747" spans="6:6" x14ac:dyDescent="0.3">
      <c r="F111747" s="193"/>
    </row>
    <row r="111748" spans="6:6" x14ac:dyDescent="0.3">
      <c r="F111748" s="193"/>
    </row>
    <row r="111749" spans="6:6" x14ac:dyDescent="0.3">
      <c r="F111749" s="193"/>
    </row>
    <row r="111750" spans="6:6" x14ac:dyDescent="0.3">
      <c r="F111750" s="193"/>
    </row>
    <row r="111751" spans="6:6" x14ac:dyDescent="0.3">
      <c r="F111751" s="193"/>
    </row>
    <row r="111752" spans="6:6" x14ac:dyDescent="0.3">
      <c r="F111752" s="193"/>
    </row>
    <row r="111753" spans="6:6" x14ac:dyDescent="0.3">
      <c r="F111753" s="193"/>
    </row>
    <row r="111754" spans="6:6" x14ac:dyDescent="0.3">
      <c r="F111754" s="193"/>
    </row>
    <row r="111755" spans="6:6" x14ac:dyDescent="0.3">
      <c r="F111755" s="193"/>
    </row>
    <row r="111756" spans="6:6" x14ac:dyDescent="0.3">
      <c r="F111756" s="193"/>
    </row>
    <row r="111757" spans="6:6" x14ac:dyDescent="0.3">
      <c r="F111757" s="193"/>
    </row>
    <row r="111758" spans="6:6" x14ac:dyDescent="0.3">
      <c r="F111758" s="193"/>
    </row>
    <row r="111759" spans="6:6" x14ac:dyDescent="0.3">
      <c r="F111759" s="193"/>
    </row>
    <row r="111760" spans="6:6" x14ac:dyDescent="0.3">
      <c r="F111760" s="193"/>
    </row>
    <row r="111761" spans="6:6" x14ac:dyDescent="0.3">
      <c r="F111761" s="193"/>
    </row>
    <row r="111762" spans="6:6" x14ac:dyDescent="0.3">
      <c r="F111762" s="193"/>
    </row>
    <row r="111763" spans="6:6" x14ac:dyDescent="0.3">
      <c r="F111763" s="193"/>
    </row>
    <row r="111764" spans="6:6" x14ac:dyDescent="0.3">
      <c r="F111764" s="193"/>
    </row>
    <row r="111765" spans="6:6" x14ac:dyDescent="0.3">
      <c r="F111765" s="193"/>
    </row>
    <row r="111766" spans="6:6" x14ac:dyDescent="0.3">
      <c r="F111766" s="193"/>
    </row>
    <row r="111767" spans="6:6" x14ac:dyDescent="0.3">
      <c r="F111767" s="193"/>
    </row>
    <row r="111768" spans="6:6" x14ac:dyDescent="0.3">
      <c r="F111768" s="193"/>
    </row>
    <row r="111769" spans="6:6" x14ac:dyDescent="0.3">
      <c r="F111769" s="193"/>
    </row>
    <row r="111770" spans="6:6" x14ac:dyDescent="0.3">
      <c r="F111770" s="193"/>
    </row>
    <row r="111771" spans="6:6" x14ac:dyDescent="0.3">
      <c r="F111771" s="193"/>
    </row>
    <row r="111772" spans="6:6" x14ac:dyDescent="0.3">
      <c r="F111772" s="193"/>
    </row>
    <row r="111773" spans="6:6" x14ac:dyDescent="0.3">
      <c r="F111773" s="193"/>
    </row>
    <row r="111774" spans="6:6" x14ac:dyDescent="0.3">
      <c r="F111774" s="193"/>
    </row>
    <row r="111775" spans="6:6" x14ac:dyDescent="0.3">
      <c r="F111775" s="193"/>
    </row>
    <row r="111776" spans="6:6" x14ac:dyDescent="0.3">
      <c r="F111776" s="193"/>
    </row>
    <row r="111777" spans="6:6" x14ac:dyDescent="0.3">
      <c r="F111777" s="193"/>
    </row>
    <row r="111778" spans="6:6" x14ac:dyDescent="0.3">
      <c r="F111778" s="193"/>
    </row>
    <row r="111779" spans="6:6" x14ac:dyDescent="0.3">
      <c r="F111779" s="193"/>
    </row>
    <row r="111780" spans="6:6" x14ac:dyDescent="0.3">
      <c r="F111780" s="193"/>
    </row>
    <row r="111781" spans="6:6" x14ac:dyDescent="0.3">
      <c r="F111781" s="193"/>
    </row>
    <row r="111782" spans="6:6" x14ac:dyDescent="0.3">
      <c r="F111782" s="193"/>
    </row>
    <row r="111783" spans="6:6" x14ac:dyDescent="0.3">
      <c r="F111783" s="193"/>
    </row>
    <row r="111784" spans="6:6" x14ac:dyDescent="0.3">
      <c r="F111784" s="193"/>
    </row>
    <row r="111785" spans="6:6" x14ac:dyDescent="0.3">
      <c r="F111785" s="193"/>
    </row>
    <row r="111786" spans="6:6" x14ac:dyDescent="0.3">
      <c r="F111786" s="193"/>
    </row>
    <row r="111787" spans="6:6" x14ac:dyDescent="0.3">
      <c r="F111787" s="193"/>
    </row>
    <row r="111788" spans="6:6" x14ac:dyDescent="0.3">
      <c r="F111788" s="193"/>
    </row>
    <row r="111789" spans="6:6" x14ac:dyDescent="0.3">
      <c r="F111789" s="193"/>
    </row>
    <row r="111790" spans="6:6" x14ac:dyDescent="0.3">
      <c r="F111790" s="193"/>
    </row>
    <row r="111791" spans="6:6" x14ac:dyDescent="0.3">
      <c r="F111791" s="193"/>
    </row>
    <row r="111792" spans="6:6" x14ac:dyDescent="0.3">
      <c r="F111792" s="193"/>
    </row>
    <row r="111793" spans="6:6" x14ac:dyDescent="0.3">
      <c r="F111793" s="193"/>
    </row>
    <row r="111794" spans="6:6" x14ac:dyDescent="0.3">
      <c r="F111794" s="193"/>
    </row>
    <row r="111795" spans="6:6" x14ac:dyDescent="0.3">
      <c r="F111795" s="193"/>
    </row>
    <row r="111796" spans="6:6" x14ac:dyDescent="0.3">
      <c r="F111796" s="193"/>
    </row>
    <row r="111797" spans="6:6" x14ac:dyDescent="0.3">
      <c r="F111797" s="193"/>
    </row>
    <row r="111798" spans="6:6" x14ac:dyDescent="0.3">
      <c r="F111798" s="193"/>
    </row>
    <row r="111799" spans="6:6" x14ac:dyDescent="0.3">
      <c r="F111799" s="193"/>
    </row>
    <row r="111800" spans="6:6" x14ac:dyDescent="0.3">
      <c r="F111800" s="193"/>
    </row>
    <row r="111801" spans="6:6" x14ac:dyDescent="0.3">
      <c r="F111801" s="193"/>
    </row>
    <row r="111802" spans="6:6" x14ac:dyDescent="0.3">
      <c r="F111802" s="193"/>
    </row>
    <row r="111803" spans="6:6" x14ac:dyDescent="0.3">
      <c r="F111803" s="193"/>
    </row>
    <row r="111804" spans="6:6" x14ac:dyDescent="0.3">
      <c r="F111804" s="193"/>
    </row>
    <row r="111805" spans="6:6" x14ac:dyDescent="0.3">
      <c r="F111805" s="193"/>
    </row>
    <row r="111806" spans="6:6" x14ac:dyDescent="0.3">
      <c r="F111806" s="193"/>
    </row>
    <row r="111807" spans="6:6" x14ac:dyDescent="0.3">
      <c r="F111807" s="193"/>
    </row>
    <row r="111808" spans="6:6" x14ac:dyDescent="0.3">
      <c r="F111808" s="193"/>
    </row>
    <row r="111809" spans="6:6" x14ac:dyDescent="0.3">
      <c r="F111809" s="193"/>
    </row>
    <row r="111810" spans="6:6" x14ac:dyDescent="0.3">
      <c r="F111810" s="193"/>
    </row>
    <row r="111811" spans="6:6" x14ac:dyDescent="0.3">
      <c r="F111811" s="193"/>
    </row>
    <row r="111812" spans="6:6" x14ac:dyDescent="0.3">
      <c r="F111812" s="193"/>
    </row>
    <row r="111813" spans="6:6" x14ac:dyDescent="0.3">
      <c r="F111813" s="193"/>
    </row>
    <row r="111814" spans="6:6" x14ac:dyDescent="0.3">
      <c r="F111814" s="193"/>
    </row>
    <row r="111815" spans="6:6" x14ac:dyDescent="0.3">
      <c r="F111815" s="193"/>
    </row>
    <row r="111816" spans="6:6" x14ac:dyDescent="0.3">
      <c r="F111816" s="193"/>
    </row>
    <row r="111817" spans="6:6" x14ac:dyDescent="0.3">
      <c r="F111817" s="193"/>
    </row>
    <row r="111818" spans="6:6" x14ac:dyDescent="0.3">
      <c r="F111818" s="193"/>
    </row>
    <row r="111819" spans="6:6" x14ac:dyDescent="0.3">
      <c r="F111819" s="193"/>
    </row>
    <row r="111820" spans="6:6" x14ac:dyDescent="0.3">
      <c r="F111820" s="193"/>
    </row>
    <row r="111821" spans="6:6" x14ac:dyDescent="0.3">
      <c r="F111821" s="193"/>
    </row>
    <row r="111822" spans="6:6" x14ac:dyDescent="0.3">
      <c r="F111822" s="193"/>
    </row>
    <row r="111823" spans="6:6" x14ac:dyDescent="0.3">
      <c r="F111823" s="193"/>
    </row>
    <row r="111824" spans="6:6" x14ac:dyDescent="0.3">
      <c r="F111824" s="193"/>
    </row>
    <row r="111825" spans="6:6" x14ac:dyDescent="0.3">
      <c r="F111825" s="193"/>
    </row>
    <row r="111826" spans="6:6" x14ac:dyDescent="0.3">
      <c r="F111826" s="193"/>
    </row>
    <row r="111827" spans="6:6" x14ac:dyDescent="0.3">
      <c r="F111827" s="193"/>
    </row>
    <row r="111828" spans="6:6" x14ac:dyDescent="0.3">
      <c r="F111828" s="193"/>
    </row>
    <row r="111829" spans="6:6" x14ac:dyDescent="0.3">
      <c r="F111829" s="193"/>
    </row>
    <row r="111830" spans="6:6" x14ac:dyDescent="0.3">
      <c r="F111830" s="193"/>
    </row>
    <row r="111831" spans="6:6" x14ac:dyDescent="0.3">
      <c r="F111831" s="193"/>
    </row>
    <row r="111832" spans="6:6" x14ac:dyDescent="0.3">
      <c r="F111832" s="193"/>
    </row>
    <row r="111833" spans="6:6" x14ac:dyDescent="0.3">
      <c r="F111833" s="193"/>
    </row>
    <row r="111834" spans="6:6" x14ac:dyDescent="0.3">
      <c r="F111834" s="193"/>
    </row>
    <row r="111835" spans="6:6" x14ac:dyDescent="0.3">
      <c r="F111835" s="193"/>
    </row>
    <row r="111836" spans="6:6" x14ac:dyDescent="0.3">
      <c r="F111836" s="193"/>
    </row>
    <row r="111837" spans="6:6" x14ac:dyDescent="0.3">
      <c r="F111837" s="193"/>
    </row>
    <row r="111838" spans="6:6" x14ac:dyDescent="0.3">
      <c r="F111838" s="193"/>
    </row>
    <row r="111839" spans="6:6" x14ac:dyDescent="0.3">
      <c r="F111839" s="193"/>
    </row>
    <row r="111840" spans="6:6" x14ac:dyDescent="0.3">
      <c r="F111840" s="193"/>
    </row>
    <row r="111841" spans="6:6" x14ac:dyDescent="0.3">
      <c r="F111841" s="193"/>
    </row>
    <row r="111842" spans="6:6" x14ac:dyDescent="0.3">
      <c r="F111842" s="193"/>
    </row>
    <row r="111843" spans="6:6" x14ac:dyDescent="0.3">
      <c r="F111843" s="193"/>
    </row>
    <row r="111844" spans="6:6" x14ac:dyDescent="0.3">
      <c r="F111844" s="193"/>
    </row>
    <row r="111845" spans="6:6" x14ac:dyDescent="0.3">
      <c r="F111845" s="193"/>
    </row>
    <row r="111846" spans="6:6" x14ac:dyDescent="0.3">
      <c r="F111846" s="193"/>
    </row>
    <row r="111847" spans="6:6" x14ac:dyDescent="0.3">
      <c r="F111847" s="193"/>
    </row>
    <row r="111848" spans="6:6" x14ac:dyDescent="0.3">
      <c r="F111848" s="193"/>
    </row>
    <row r="111849" spans="6:6" x14ac:dyDescent="0.3">
      <c r="F111849" s="193"/>
    </row>
    <row r="111850" spans="6:6" x14ac:dyDescent="0.3">
      <c r="F111850" s="193"/>
    </row>
    <row r="111851" spans="6:6" x14ac:dyDescent="0.3">
      <c r="F111851" s="193"/>
    </row>
    <row r="111852" spans="6:6" x14ac:dyDescent="0.3">
      <c r="F111852" s="193"/>
    </row>
    <row r="111853" spans="6:6" x14ac:dyDescent="0.3">
      <c r="F111853" s="193"/>
    </row>
    <row r="111854" spans="6:6" x14ac:dyDescent="0.3">
      <c r="F111854" s="193"/>
    </row>
    <row r="111855" spans="6:6" x14ac:dyDescent="0.3">
      <c r="F111855" s="193"/>
    </row>
    <row r="111856" spans="6:6" x14ac:dyDescent="0.3">
      <c r="F111856" s="193"/>
    </row>
    <row r="111857" spans="6:6" x14ac:dyDescent="0.3">
      <c r="F111857" s="193"/>
    </row>
    <row r="111858" spans="6:6" x14ac:dyDescent="0.3">
      <c r="F111858" s="193"/>
    </row>
    <row r="111859" spans="6:6" x14ac:dyDescent="0.3">
      <c r="F111859" s="193"/>
    </row>
    <row r="111860" spans="6:6" x14ac:dyDescent="0.3">
      <c r="F111860" s="193"/>
    </row>
    <row r="111861" spans="6:6" x14ac:dyDescent="0.3">
      <c r="F111861" s="193"/>
    </row>
    <row r="111862" spans="6:6" x14ac:dyDescent="0.3">
      <c r="F111862" s="193"/>
    </row>
    <row r="111863" spans="6:6" x14ac:dyDescent="0.3">
      <c r="F111863" s="193"/>
    </row>
    <row r="111864" spans="6:6" x14ac:dyDescent="0.3">
      <c r="F111864" s="193"/>
    </row>
    <row r="111865" spans="6:6" x14ac:dyDescent="0.3">
      <c r="F111865" s="193"/>
    </row>
    <row r="111866" spans="6:6" x14ac:dyDescent="0.3">
      <c r="F111866" s="193"/>
    </row>
    <row r="111867" spans="6:6" x14ac:dyDescent="0.3">
      <c r="F111867" s="193"/>
    </row>
    <row r="111868" spans="6:6" x14ac:dyDescent="0.3">
      <c r="F111868" s="193"/>
    </row>
    <row r="111869" spans="6:6" x14ac:dyDescent="0.3">
      <c r="F111869" s="193"/>
    </row>
    <row r="111870" spans="6:6" x14ac:dyDescent="0.3">
      <c r="F111870" s="193"/>
    </row>
    <row r="111871" spans="6:6" x14ac:dyDescent="0.3">
      <c r="F111871" s="193"/>
    </row>
    <row r="111872" spans="6:6" x14ac:dyDescent="0.3">
      <c r="F111872" s="193"/>
    </row>
    <row r="111873" spans="6:6" x14ac:dyDescent="0.3">
      <c r="F111873" s="193"/>
    </row>
    <row r="111874" spans="6:6" x14ac:dyDescent="0.3">
      <c r="F111874" s="193"/>
    </row>
    <row r="111875" spans="6:6" x14ac:dyDescent="0.3">
      <c r="F111875" s="193"/>
    </row>
    <row r="111876" spans="6:6" x14ac:dyDescent="0.3">
      <c r="F111876" s="193"/>
    </row>
    <row r="111877" spans="6:6" x14ac:dyDescent="0.3">
      <c r="F111877" s="193"/>
    </row>
    <row r="111878" spans="6:6" x14ac:dyDescent="0.3">
      <c r="F111878" s="193"/>
    </row>
    <row r="111879" spans="6:6" x14ac:dyDescent="0.3">
      <c r="F111879" s="193"/>
    </row>
    <row r="111880" spans="6:6" x14ac:dyDescent="0.3">
      <c r="F111880" s="193"/>
    </row>
    <row r="111881" spans="6:6" x14ac:dyDescent="0.3">
      <c r="F111881" s="193"/>
    </row>
    <row r="111882" spans="6:6" x14ac:dyDescent="0.3">
      <c r="F111882" s="193"/>
    </row>
    <row r="111883" spans="6:6" x14ac:dyDescent="0.3">
      <c r="F111883" s="193"/>
    </row>
    <row r="111884" spans="6:6" x14ac:dyDescent="0.3">
      <c r="F111884" s="193"/>
    </row>
    <row r="111885" spans="6:6" x14ac:dyDescent="0.3">
      <c r="F111885" s="193"/>
    </row>
    <row r="111886" spans="6:6" x14ac:dyDescent="0.3">
      <c r="F111886" s="193"/>
    </row>
    <row r="111887" spans="6:6" x14ac:dyDescent="0.3">
      <c r="F111887" s="193"/>
    </row>
    <row r="111888" spans="6:6" x14ac:dyDescent="0.3">
      <c r="F111888" s="193"/>
    </row>
    <row r="111889" spans="6:6" x14ac:dyDescent="0.3">
      <c r="F111889" s="193"/>
    </row>
    <row r="111890" spans="6:6" x14ac:dyDescent="0.3">
      <c r="F111890" s="193"/>
    </row>
    <row r="111891" spans="6:6" x14ac:dyDescent="0.3">
      <c r="F111891" s="193"/>
    </row>
    <row r="111892" spans="6:6" x14ac:dyDescent="0.3">
      <c r="F111892" s="193"/>
    </row>
    <row r="111893" spans="6:6" x14ac:dyDescent="0.3">
      <c r="F111893" s="193"/>
    </row>
    <row r="111894" spans="6:6" x14ac:dyDescent="0.3">
      <c r="F111894" s="193"/>
    </row>
    <row r="111895" spans="6:6" x14ac:dyDescent="0.3">
      <c r="F111895" s="193"/>
    </row>
    <row r="111896" spans="6:6" x14ac:dyDescent="0.3">
      <c r="F111896" s="193"/>
    </row>
    <row r="111897" spans="6:6" x14ac:dyDescent="0.3">
      <c r="F111897" s="193"/>
    </row>
    <row r="111898" spans="6:6" x14ac:dyDescent="0.3">
      <c r="F111898" s="193"/>
    </row>
    <row r="111899" spans="6:6" x14ac:dyDescent="0.3">
      <c r="F111899" s="193"/>
    </row>
    <row r="111900" spans="6:6" x14ac:dyDescent="0.3">
      <c r="F111900" s="193"/>
    </row>
    <row r="111901" spans="6:6" x14ac:dyDescent="0.3">
      <c r="F111901" s="193"/>
    </row>
    <row r="111902" spans="6:6" x14ac:dyDescent="0.3">
      <c r="F111902" s="193"/>
    </row>
    <row r="111903" spans="6:6" x14ac:dyDescent="0.3">
      <c r="F111903" s="193"/>
    </row>
    <row r="111904" spans="6:6" x14ac:dyDescent="0.3">
      <c r="F111904" s="193"/>
    </row>
    <row r="111905" spans="6:6" x14ac:dyDescent="0.3">
      <c r="F111905" s="193"/>
    </row>
    <row r="111906" spans="6:6" x14ac:dyDescent="0.3">
      <c r="F111906" s="193"/>
    </row>
    <row r="111907" spans="6:6" x14ac:dyDescent="0.3">
      <c r="F111907" s="193"/>
    </row>
    <row r="111908" spans="6:6" x14ac:dyDescent="0.3">
      <c r="F111908" s="193"/>
    </row>
    <row r="111909" spans="6:6" x14ac:dyDescent="0.3">
      <c r="F111909" s="193"/>
    </row>
    <row r="111910" spans="6:6" x14ac:dyDescent="0.3">
      <c r="F111910" s="193"/>
    </row>
    <row r="111911" spans="6:6" x14ac:dyDescent="0.3">
      <c r="F111911" s="193"/>
    </row>
    <row r="111912" spans="6:6" x14ac:dyDescent="0.3">
      <c r="F111912" s="193"/>
    </row>
    <row r="111913" spans="6:6" x14ac:dyDescent="0.3">
      <c r="F111913" s="193"/>
    </row>
    <row r="111914" spans="6:6" x14ac:dyDescent="0.3">
      <c r="F111914" s="193"/>
    </row>
    <row r="111915" spans="6:6" x14ac:dyDescent="0.3">
      <c r="F111915" s="193"/>
    </row>
    <row r="111916" spans="6:6" x14ac:dyDescent="0.3">
      <c r="F111916" s="193"/>
    </row>
    <row r="111917" spans="6:6" x14ac:dyDescent="0.3">
      <c r="F111917" s="193"/>
    </row>
    <row r="111918" spans="6:6" x14ac:dyDescent="0.3">
      <c r="F111918" s="193"/>
    </row>
    <row r="111919" spans="6:6" x14ac:dyDescent="0.3">
      <c r="F111919" s="193"/>
    </row>
    <row r="111920" spans="6:6" x14ac:dyDescent="0.3">
      <c r="F111920" s="193"/>
    </row>
    <row r="111921" spans="6:6" x14ac:dyDescent="0.3">
      <c r="F111921" s="193"/>
    </row>
    <row r="111922" spans="6:6" x14ac:dyDescent="0.3">
      <c r="F111922" s="193"/>
    </row>
    <row r="111923" spans="6:6" x14ac:dyDescent="0.3">
      <c r="F111923" s="193"/>
    </row>
    <row r="111924" spans="6:6" x14ac:dyDescent="0.3">
      <c r="F111924" s="193"/>
    </row>
    <row r="111925" spans="6:6" x14ac:dyDescent="0.3">
      <c r="F111925" s="193"/>
    </row>
    <row r="111926" spans="6:6" x14ac:dyDescent="0.3">
      <c r="F111926" s="193"/>
    </row>
    <row r="111927" spans="6:6" x14ac:dyDescent="0.3">
      <c r="F111927" s="193"/>
    </row>
    <row r="111928" spans="6:6" x14ac:dyDescent="0.3">
      <c r="F111928" s="193"/>
    </row>
    <row r="111929" spans="6:6" x14ac:dyDescent="0.3">
      <c r="F111929" s="193"/>
    </row>
    <row r="111930" spans="6:6" x14ac:dyDescent="0.3">
      <c r="F111930" s="193"/>
    </row>
    <row r="111931" spans="6:6" x14ac:dyDescent="0.3">
      <c r="F111931" s="193"/>
    </row>
    <row r="111932" spans="6:6" x14ac:dyDescent="0.3">
      <c r="F111932" s="193"/>
    </row>
    <row r="111933" spans="6:6" x14ac:dyDescent="0.3">
      <c r="F111933" s="193"/>
    </row>
    <row r="111934" spans="6:6" x14ac:dyDescent="0.3">
      <c r="F111934" s="193"/>
    </row>
    <row r="111935" spans="6:6" x14ac:dyDescent="0.3">
      <c r="F111935" s="193"/>
    </row>
    <row r="111936" spans="6:6" x14ac:dyDescent="0.3">
      <c r="F111936" s="193"/>
    </row>
    <row r="111937" spans="6:6" x14ac:dyDescent="0.3">
      <c r="F111937" s="193"/>
    </row>
    <row r="111938" spans="6:6" x14ac:dyDescent="0.3">
      <c r="F111938" s="193"/>
    </row>
    <row r="111939" spans="6:6" x14ac:dyDescent="0.3">
      <c r="F111939" s="193"/>
    </row>
    <row r="111940" spans="6:6" x14ac:dyDescent="0.3">
      <c r="F111940" s="193"/>
    </row>
    <row r="111941" spans="6:6" x14ac:dyDescent="0.3">
      <c r="F111941" s="193"/>
    </row>
    <row r="111942" spans="6:6" x14ac:dyDescent="0.3">
      <c r="F111942" s="193"/>
    </row>
    <row r="111943" spans="6:6" x14ac:dyDescent="0.3">
      <c r="F111943" s="193"/>
    </row>
    <row r="111944" spans="6:6" x14ac:dyDescent="0.3">
      <c r="F111944" s="193"/>
    </row>
    <row r="111945" spans="6:6" x14ac:dyDescent="0.3">
      <c r="F111945" s="193"/>
    </row>
    <row r="111946" spans="6:6" x14ac:dyDescent="0.3">
      <c r="F111946" s="193"/>
    </row>
    <row r="111947" spans="6:6" x14ac:dyDescent="0.3">
      <c r="F111947" s="193"/>
    </row>
    <row r="111948" spans="6:6" x14ac:dyDescent="0.3">
      <c r="F111948" s="193"/>
    </row>
    <row r="111949" spans="6:6" x14ac:dyDescent="0.3">
      <c r="F111949" s="193"/>
    </row>
    <row r="111950" spans="6:6" x14ac:dyDescent="0.3">
      <c r="F111950" s="193"/>
    </row>
    <row r="111951" spans="6:6" x14ac:dyDescent="0.3">
      <c r="F111951" s="193"/>
    </row>
    <row r="111952" spans="6:6" x14ac:dyDescent="0.3">
      <c r="F111952" s="193"/>
    </row>
    <row r="111953" spans="6:6" x14ac:dyDescent="0.3">
      <c r="F111953" s="193"/>
    </row>
    <row r="111954" spans="6:6" x14ac:dyDescent="0.3">
      <c r="F111954" s="193"/>
    </row>
    <row r="111955" spans="6:6" x14ac:dyDescent="0.3">
      <c r="F111955" s="193"/>
    </row>
    <row r="111956" spans="6:6" x14ac:dyDescent="0.3">
      <c r="F111956" s="193"/>
    </row>
    <row r="111957" spans="6:6" x14ac:dyDescent="0.3">
      <c r="F111957" s="193"/>
    </row>
    <row r="111958" spans="6:6" x14ac:dyDescent="0.3">
      <c r="F111958" s="193"/>
    </row>
    <row r="111959" spans="6:6" x14ac:dyDescent="0.3">
      <c r="F111959" s="193"/>
    </row>
    <row r="111960" spans="6:6" x14ac:dyDescent="0.3">
      <c r="F111960" s="193"/>
    </row>
    <row r="111961" spans="6:6" x14ac:dyDescent="0.3">
      <c r="F111961" s="193"/>
    </row>
    <row r="111962" spans="6:6" x14ac:dyDescent="0.3">
      <c r="F111962" s="193"/>
    </row>
    <row r="111963" spans="6:6" x14ac:dyDescent="0.3">
      <c r="F111963" s="193"/>
    </row>
    <row r="111964" spans="6:6" x14ac:dyDescent="0.3">
      <c r="F111964" s="193"/>
    </row>
    <row r="111965" spans="6:6" x14ac:dyDescent="0.3">
      <c r="F111965" s="193"/>
    </row>
    <row r="111966" spans="6:6" x14ac:dyDescent="0.3">
      <c r="F111966" s="193"/>
    </row>
    <row r="111967" spans="6:6" x14ac:dyDescent="0.3">
      <c r="F111967" s="193"/>
    </row>
    <row r="111968" spans="6:6" x14ac:dyDescent="0.3">
      <c r="F111968" s="193"/>
    </row>
    <row r="111969" spans="6:6" x14ac:dyDescent="0.3">
      <c r="F111969" s="193"/>
    </row>
    <row r="111970" spans="6:6" x14ac:dyDescent="0.3">
      <c r="F111970" s="193"/>
    </row>
    <row r="111971" spans="6:6" x14ac:dyDescent="0.3">
      <c r="F111971" s="193"/>
    </row>
    <row r="111972" spans="6:6" x14ac:dyDescent="0.3">
      <c r="F111972" s="193"/>
    </row>
    <row r="111973" spans="6:6" x14ac:dyDescent="0.3">
      <c r="F111973" s="193"/>
    </row>
    <row r="111974" spans="6:6" x14ac:dyDescent="0.3">
      <c r="F111974" s="193"/>
    </row>
    <row r="111975" spans="6:6" x14ac:dyDescent="0.3">
      <c r="F111975" s="193"/>
    </row>
    <row r="111976" spans="6:6" x14ac:dyDescent="0.3">
      <c r="F111976" s="193"/>
    </row>
    <row r="111977" spans="6:6" x14ac:dyDescent="0.3">
      <c r="F111977" s="193"/>
    </row>
    <row r="111978" spans="6:6" x14ac:dyDescent="0.3">
      <c r="F111978" s="193"/>
    </row>
    <row r="111979" spans="6:6" x14ac:dyDescent="0.3">
      <c r="F111979" s="193"/>
    </row>
    <row r="111980" spans="6:6" x14ac:dyDescent="0.3">
      <c r="F111980" s="193"/>
    </row>
    <row r="111981" spans="6:6" x14ac:dyDescent="0.3">
      <c r="F111981" s="193"/>
    </row>
    <row r="111982" spans="6:6" x14ac:dyDescent="0.3">
      <c r="F111982" s="193"/>
    </row>
    <row r="111983" spans="6:6" x14ac:dyDescent="0.3">
      <c r="F111983" s="193"/>
    </row>
    <row r="111984" spans="6:6" x14ac:dyDescent="0.3">
      <c r="F111984" s="193"/>
    </row>
    <row r="111985" spans="6:6" x14ac:dyDescent="0.3">
      <c r="F111985" s="193"/>
    </row>
    <row r="111986" spans="6:6" x14ac:dyDescent="0.3">
      <c r="F111986" s="193"/>
    </row>
    <row r="111987" spans="6:6" x14ac:dyDescent="0.3">
      <c r="F111987" s="193"/>
    </row>
    <row r="111988" spans="6:6" x14ac:dyDescent="0.3">
      <c r="F111988" s="193"/>
    </row>
    <row r="111989" spans="6:6" x14ac:dyDescent="0.3">
      <c r="F111989" s="193"/>
    </row>
    <row r="111990" spans="6:6" x14ac:dyDescent="0.3">
      <c r="F111990" s="193"/>
    </row>
    <row r="111991" spans="6:6" x14ac:dyDescent="0.3">
      <c r="F111991" s="193"/>
    </row>
    <row r="111992" spans="6:6" x14ac:dyDescent="0.3">
      <c r="F111992" s="193"/>
    </row>
    <row r="111993" spans="6:6" x14ac:dyDescent="0.3">
      <c r="F111993" s="193"/>
    </row>
    <row r="111994" spans="6:6" x14ac:dyDescent="0.3">
      <c r="F111994" s="193"/>
    </row>
    <row r="111995" spans="6:6" x14ac:dyDescent="0.3">
      <c r="F111995" s="193"/>
    </row>
    <row r="111996" spans="6:6" x14ac:dyDescent="0.3">
      <c r="F111996" s="193"/>
    </row>
    <row r="111997" spans="6:6" x14ac:dyDescent="0.3">
      <c r="F111997" s="193"/>
    </row>
    <row r="111998" spans="6:6" x14ac:dyDescent="0.3">
      <c r="F111998" s="193"/>
    </row>
    <row r="111999" spans="6:6" x14ac:dyDescent="0.3">
      <c r="F111999" s="193"/>
    </row>
    <row r="112000" spans="6:6" x14ac:dyDescent="0.3">
      <c r="F112000" s="193"/>
    </row>
    <row r="112001" spans="6:6" x14ac:dyDescent="0.3">
      <c r="F112001" s="193"/>
    </row>
    <row r="112002" spans="6:6" x14ac:dyDescent="0.3">
      <c r="F112002" s="193"/>
    </row>
    <row r="112003" spans="6:6" x14ac:dyDescent="0.3">
      <c r="F112003" s="193"/>
    </row>
    <row r="112004" spans="6:6" x14ac:dyDescent="0.3">
      <c r="F112004" s="193"/>
    </row>
    <row r="112005" spans="6:6" x14ac:dyDescent="0.3">
      <c r="F112005" s="193"/>
    </row>
    <row r="112006" spans="6:6" x14ac:dyDescent="0.3">
      <c r="F112006" s="193"/>
    </row>
    <row r="112007" spans="6:6" x14ac:dyDescent="0.3">
      <c r="F112007" s="193"/>
    </row>
    <row r="112008" spans="6:6" x14ac:dyDescent="0.3">
      <c r="F112008" s="193"/>
    </row>
    <row r="112009" spans="6:6" x14ac:dyDescent="0.3">
      <c r="F112009" s="193"/>
    </row>
    <row r="112010" spans="6:6" x14ac:dyDescent="0.3">
      <c r="F112010" s="193"/>
    </row>
    <row r="112011" spans="6:6" x14ac:dyDescent="0.3">
      <c r="F112011" s="193"/>
    </row>
    <row r="112012" spans="6:6" x14ac:dyDescent="0.3">
      <c r="F112012" s="193"/>
    </row>
    <row r="112013" spans="6:6" x14ac:dyDescent="0.3">
      <c r="F112013" s="193"/>
    </row>
    <row r="112014" spans="6:6" x14ac:dyDescent="0.3">
      <c r="F112014" s="193"/>
    </row>
    <row r="112015" spans="6:6" x14ac:dyDescent="0.3">
      <c r="F112015" s="193"/>
    </row>
    <row r="112016" spans="6:6" x14ac:dyDescent="0.3">
      <c r="F112016" s="193"/>
    </row>
    <row r="112017" spans="6:6" x14ac:dyDescent="0.3">
      <c r="F112017" s="193"/>
    </row>
    <row r="112018" spans="6:6" x14ac:dyDescent="0.3">
      <c r="F112018" s="193"/>
    </row>
    <row r="112019" spans="6:6" x14ac:dyDescent="0.3">
      <c r="F112019" s="193"/>
    </row>
    <row r="112020" spans="6:6" x14ac:dyDescent="0.3">
      <c r="F112020" s="193"/>
    </row>
    <row r="112021" spans="6:6" x14ac:dyDescent="0.3">
      <c r="F112021" s="193"/>
    </row>
    <row r="112022" spans="6:6" x14ac:dyDescent="0.3">
      <c r="F112022" s="193"/>
    </row>
    <row r="112023" spans="6:6" x14ac:dyDescent="0.3">
      <c r="F112023" s="193"/>
    </row>
    <row r="112024" spans="6:6" x14ac:dyDescent="0.3">
      <c r="F112024" s="193"/>
    </row>
    <row r="112025" spans="6:6" x14ac:dyDescent="0.3">
      <c r="F112025" s="193"/>
    </row>
    <row r="112026" spans="6:6" x14ac:dyDescent="0.3">
      <c r="F112026" s="193"/>
    </row>
    <row r="112027" spans="6:6" x14ac:dyDescent="0.3">
      <c r="F112027" s="193"/>
    </row>
    <row r="112028" spans="6:6" x14ac:dyDescent="0.3">
      <c r="F112028" s="193"/>
    </row>
    <row r="112029" spans="6:6" x14ac:dyDescent="0.3">
      <c r="F112029" s="193"/>
    </row>
    <row r="112030" spans="6:6" x14ac:dyDescent="0.3">
      <c r="F112030" s="193"/>
    </row>
    <row r="112031" spans="6:6" x14ac:dyDescent="0.3">
      <c r="F112031" s="193"/>
    </row>
    <row r="112032" spans="6:6" x14ac:dyDescent="0.3">
      <c r="F112032" s="193"/>
    </row>
    <row r="112033" spans="6:6" x14ac:dyDescent="0.3">
      <c r="F112033" s="193"/>
    </row>
    <row r="112034" spans="6:6" x14ac:dyDescent="0.3">
      <c r="F112034" s="193"/>
    </row>
    <row r="112035" spans="6:6" x14ac:dyDescent="0.3">
      <c r="F112035" s="193"/>
    </row>
    <row r="112036" spans="6:6" x14ac:dyDescent="0.3">
      <c r="F112036" s="193"/>
    </row>
    <row r="112037" spans="6:6" x14ac:dyDescent="0.3">
      <c r="F112037" s="193"/>
    </row>
    <row r="112038" spans="6:6" x14ac:dyDescent="0.3">
      <c r="F112038" s="193"/>
    </row>
    <row r="112039" spans="6:6" x14ac:dyDescent="0.3">
      <c r="F112039" s="193"/>
    </row>
    <row r="112040" spans="6:6" x14ac:dyDescent="0.3">
      <c r="F112040" s="193"/>
    </row>
    <row r="112041" spans="6:6" x14ac:dyDescent="0.3">
      <c r="F112041" s="193"/>
    </row>
    <row r="112042" spans="6:6" x14ac:dyDescent="0.3">
      <c r="F112042" s="193"/>
    </row>
    <row r="112043" spans="6:6" x14ac:dyDescent="0.3">
      <c r="F112043" s="193"/>
    </row>
    <row r="112044" spans="6:6" x14ac:dyDescent="0.3">
      <c r="F112044" s="193"/>
    </row>
    <row r="112045" spans="6:6" x14ac:dyDescent="0.3">
      <c r="F112045" s="193"/>
    </row>
    <row r="112046" spans="6:6" x14ac:dyDescent="0.3">
      <c r="F112046" s="193"/>
    </row>
    <row r="112047" spans="6:6" x14ac:dyDescent="0.3">
      <c r="F112047" s="193"/>
    </row>
    <row r="112048" spans="6:6" x14ac:dyDescent="0.3">
      <c r="F112048" s="193"/>
    </row>
    <row r="112049" spans="6:6" x14ac:dyDescent="0.3">
      <c r="F112049" s="193"/>
    </row>
    <row r="112050" spans="6:6" x14ac:dyDescent="0.3">
      <c r="F112050" s="193"/>
    </row>
    <row r="112051" spans="6:6" x14ac:dyDescent="0.3">
      <c r="F112051" s="193"/>
    </row>
    <row r="112052" spans="6:6" x14ac:dyDescent="0.3">
      <c r="F112052" s="193"/>
    </row>
    <row r="112053" spans="6:6" x14ac:dyDescent="0.3">
      <c r="F112053" s="193"/>
    </row>
    <row r="112054" spans="6:6" x14ac:dyDescent="0.3">
      <c r="F112054" s="193"/>
    </row>
    <row r="112055" spans="6:6" x14ac:dyDescent="0.3">
      <c r="F112055" s="193"/>
    </row>
    <row r="112056" spans="6:6" x14ac:dyDescent="0.3">
      <c r="F112056" s="193"/>
    </row>
    <row r="112057" spans="6:6" x14ac:dyDescent="0.3">
      <c r="F112057" s="193"/>
    </row>
    <row r="112058" spans="6:6" x14ac:dyDescent="0.3">
      <c r="F112058" s="193"/>
    </row>
    <row r="112059" spans="6:6" x14ac:dyDescent="0.3">
      <c r="F112059" s="193"/>
    </row>
    <row r="112060" spans="6:6" x14ac:dyDescent="0.3">
      <c r="F112060" s="193"/>
    </row>
    <row r="112061" spans="6:6" x14ac:dyDescent="0.3">
      <c r="F112061" s="193"/>
    </row>
    <row r="112062" spans="6:6" x14ac:dyDescent="0.3">
      <c r="F112062" s="193"/>
    </row>
    <row r="112063" spans="6:6" x14ac:dyDescent="0.3">
      <c r="F112063" s="193"/>
    </row>
    <row r="112064" spans="6:6" x14ac:dyDescent="0.3">
      <c r="F112064" s="193"/>
    </row>
    <row r="112065" spans="6:6" x14ac:dyDescent="0.3">
      <c r="F112065" s="193"/>
    </row>
    <row r="112066" spans="6:6" x14ac:dyDescent="0.3">
      <c r="F112066" s="193"/>
    </row>
    <row r="112067" spans="6:6" x14ac:dyDescent="0.3">
      <c r="F112067" s="193"/>
    </row>
    <row r="112068" spans="6:6" x14ac:dyDescent="0.3">
      <c r="F112068" s="193"/>
    </row>
    <row r="112069" spans="6:6" x14ac:dyDescent="0.3">
      <c r="F112069" s="193"/>
    </row>
    <row r="112070" spans="6:6" x14ac:dyDescent="0.3">
      <c r="F112070" s="193"/>
    </row>
    <row r="112071" spans="6:6" x14ac:dyDescent="0.3">
      <c r="F112071" s="193"/>
    </row>
    <row r="112072" spans="6:6" x14ac:dyDescent="0.3">
      <c r="F112072" s="193"/>
    </row>
    <row r="112073" spans="6:6" x14ac:dyDescent="0.3">
      <c r="F112073" s="193"/>
    </row>
    <row r="112074" spans="6:6" x14ac:dyDescent="0.3">
      <c r="F112074" s="193"/>
    </row>
    <row r="112075" spans="6:6" x14ac:dyDescent="0.3">
      <c r="F112075" s="193"/>
    </row>
    <row r="112076" spans="6:6" x14ac:dyDescent="0.3">
      <c r="F112076" s="193"/>
    </row>
    <row r="112077" spans="6:6" x14ac:dyDescent="0.3">
      <c r="F112077" s="193"/>
    </row>
    <row r="112078" spans="6:6" x14ac:dyDescent="0.3">
      <c r="F112078" s="193"/>
    </row>
    <row r="112079" spans="6:6" x14ac:dyDescent="0.3">
      <c r="F112079" s="193"/>
    </row>
    <row r="112080" spans="6:6" x14ac:dyDescent="0.3">
      <c r="F112080" s="193"/>
    </row>
    <row r="112081" spans="6:6" x14ac:dyDescent="0.3">
      <c r="F112081" s="193"/>
    </row>
    <row r="112082" spans="6:6" x14ac:dyDescent="0.3">
      <c r="F112082" s="193"/>
    </row>
    <row r="112083" spans="6:6" x14ac:dyDescent="0.3">
      <c r="F112083" s="193"/>
    </row>
    <row r="112084" spans="6:6" x14ac:dyDescent="0.3">
      <c r="F112084" s="193"/>
    </row>
    <row r="112085" spans="6:6" x14ac:dyDescent="0.3">
      <c r="F112085" s="193"/>
    </row>
    <row r="112086" spans="6:6" x14ac:dyDescent="0.3">
      <c r="F112086" s="193"/>
    </row>
    <row r="112087" spans="6:6" x14ac:dyDescent="0.3">
      <c r="F112087" s="193"/>
    </row>
    <row r="112088" spans="6:6" x14ac:dyDescent="0.3">
      <c r="F112088" s="193"/>
    </row>
    <row r="112089" spans="6:6" x14ac:dyDescent="0.3">
      <c r="F112089" s="193"/>
    </row>
    <row r="112090" spans="6:6" x14ac:dyDescent="0.3">
      <c r="F112090" s="193"/>
    </row>
    <row r="112091" spans="6:6" x14ac:dyDescent="0.3">
      <c r="F112091" s="193"/>
    </row>
    <row r="112092" spans="6:6" x14ac:dyDescent="0.3">
      <c r="F112092" s="193"/>
    </row>
    <row r="112093" spans="6:6" x14ac:dyDescent="0.3">
      <c r="F112093" s="193"/>
    </row>
    <row r="112094" spans="6:6" x14ac:dyDescent="0.3">
      <c r="F112094" s="193"/>
    </row>
    <row r="112095" spans="6:6" x14ac:dyDescent="0.3">
      <c r="F112095" s="193"/>
    </row>
    <row r="112096" spans="6:6" x14ac:dyDescent="0.3">
      <c r="F112096" s="193"/>
    </row>
    <row r="112097" spans="6:6" x14ac:dyDescent="0.3">
      <c r="F112097" s="193"/>
    </row>
    <row r="112098" spans="6:6" x14ac:dyDescent="0.3">
      <c r="F112098" s="193"/>
    </row>
    <row r="112099" spans="6:6" x14ac:dyDescent="0.3">
      <c r="F112099" s="193"/>
    </row>
    <row r="112100" spans="6:6" x14ac:dyDescent="0.3">
      <c r="F112100" s="193"/>
    </row>
    <row r="112101" spans="6:6" x14ac:dyDescent="0.3">
      <c r="F112101" s="193"/>
    </row>
    <row r="112102" spans="6:6" x14ac:dyDescent="0.3">
      <c r="F112102" s="193"/>
    </row>
    <row r="112103" spans="6:6" x14ac:dyDescent="0.3">
      <c r="F112103" s="193"/>
    </row>
    <row r="112104" spans="6:6" x14ac:dyDescent="0.3">
      <c r="F112104" s="193"/>
    </row>
    <row r="112105" spans="6:6" x14ac:dyDescent="0.3">
      <c r="F112105" s="193"/>
    </row>
    <row r="112106" spans="6:6" x14ac:dyDescent="0.3">
      <c r="F112106" s="193"/>
    </row>
    <row r="112107" spans="6:6" x14ac:dyDescent="0.3">
      <c r="F112107" s="193"/>
    </row>
    <row r="112108" spans="6:6" x14ac:dyDescent="0.3">
      <c r="F112108" s="193"/>
    </row>
    <row r="112109" spans="6:6" x14ac:dyDescent="0.3">
      <c r="F112109" s="193"/>
    </row>
    <row r="112110" spans="6:6" x14ac:dyDescent="0.3">
      <c r="F112110" s="193"/>
    </row>
    <row r="112111" spans="6:6" x14ac:dyDescent="0.3">
      <c r="F112111" s="193"/>
    </row>
    <row r="112112" spans="6:6" x14ac:dyDescent="0.3">
      <c r="F112112" s="193"/>
    </row>
    <row r="112113" spans="6:6" x14ac:dyDescent="0.3">
      <c r="F112113" s="193"/>
    </row>
    <row r="112114" spans="6:6" x14ac:dyDescent="0.3">
      <c r="F112114" s="193"/>
    </row>
    <row r="112115" spans="6:6" x14ac:dyDescent="0.3">
      <c r="F112115" s="193"/>
    </row>
    <row r="112116" spans="6:6" x14ac:dyDescent="0.3">
      <c r="F112116" s="193"/>
    </row>
    <row r="112117" spans="6:6" x14ac:dyDescent="0.3">
      <c r="F112117" s="193"/>
    </row>
    <row r="112118" spans="6:6" x14ac:dyDescent="0.3">
      <c r="F112118" s="193"/>
    </row>
    <row r="112119" spans="6:6" x14ac:dyDescent="0.3">
      <c r="F112119" s="193"/>
    </row>
    <row r="112120" spans="6:6" x14ac:dyDescent="0.3">
      <c r="F112120" s="193"/>
    </row>
    <row r="112121" spans="6:6" x14ac:dyDescent="0.3">
      <c r="F112121" s="193"/>
    </row>
    <row r="112122" spans="6:6" x14ac:dyDescent="0.3">
      <c r="F112122" s="193"/>
    </row>
    <row r="112123" spans="6:6" x14ac:dyDescent="0.3">
      <c r="F112123" s="193"/>
    </row>
    <row r="112124" spans="6:6" x14ac:dyDescent="0.3">
      <c r="F112124" s="193"/>
    </row>
    <row r="112125" spans="6:6" x14ac:dyDescent="0.3">
      <c r="F112125" s="193"/>
    </row>
    <row r="112126" spans="6:6" x14ac:dyDescent="0.3">
      <c r="F112126" s="193"/>
    </row>
    <row r="112127" spans="6:6" x14ac:dyDescent="0.3">
      <c r="F112127" s="193"/>
    </row>
    <row r="112128" spans="6:6" x14ac:dyDescent="0.3">
      <c r="F112128" s="193"/>
    </row>
    <row r="112129" spans="6:6" x14ac:dyDescent="0.3">
      <c r="F112129" s="193"/>
    </row>
    <row r="112130" spans="6:6" x14ac:dyDescent="0.3">
      <c r="F112130" s="193"/>
    </row>
    <row r="112131" spans="6:6" x14ac:dyDescent="0.3">
      <c r="F112131" s="193"/>
    </row>
    <row r="112132" spans="6:6" x14ac:dyDescent="0.3">
      <c r="F112132" s="193"/>
    </row>
    <row r="112133" spans="6:6" x14ac:dyDescent="0.3">
      <c r="F112133" s="193"/>
    </row>
    <row r="112134" spans="6:6" x14ac:dyDescent="0.3">
      <c r="F112134" s="193"/>
    </row>
    <row r="112135" spans="6:6" x14ac:dyDescent="0.3">
      <c r="F112135" s="193"/>
    </row>
    <row r="112136" spans="6:6" x14ac:dyDescent="0.3">
      <c r="F112136" s="193"/>
    </row>
    <row r="112137" spans="6:6" x14ac:dyDescent="0.3">
      <c r="F112137" s="193"/>
    </row>
    <row r="112138" spans="6:6" x14ac:dyDescent="0.3">
      <c r="F112138" s="193"/>
    </row>
    <row r="112139" spans="6:6" x14ac:dyDescent="0.3">
      <c r="F112139" s="193"/>
    </row>
    <row r="112140" spans="6:6" x14ac:dyDescent="0.3">
      <c r="F112140" s="193"/>
    </row>
    <row r="112141" spans="6:6" x14ac:dyDescent="0.3">
      <c r="F112141" s="193"/>
    </row>
    <row r="112142" spans="6:6" x14ac:dyDescent="0.3">
      <c r="F112142" s="193"/>
    </row>
    <row r="112143" spans="6:6" x14ac:dyDescent="0.3">
      <c r="F112143" s="193"/>
    </row>
    <row r="112144" spans="6:6" x14ac:dyDescent="0.3">
      <c r="F112144" s="193"/>
    </row>
    <row r="112145" spans="6:6" x14ac:dyDescent="0.3">
      <c r="F112145" s="193"/>
    </row>
    <row r="112146" spans="6:6" x14ac:dyDescent="0.3">
      <c r="F112146" s="193"/>
    </row>
    <row r="112147" spans="6:6" x14ac:dyDescent="0.3">
      <c r="F112147" s="193"/>
    </row>
    <row r="112148" spans="6:6" x14ac:dyDescent="0.3">
      <c r="F112148" s="193"/>
    </row>
    <row r="112149" spans="6:6" x14ac:dyDescent="0.3">
      <c r="F112149" s="193"/>
    </row>
    <row r="112150" spans="6:6" x14ac:dyDescent="0.3">
      <c r="F112150" s="193"/>
    </row>
    <row r="112151" spans="6:6" x14ac:dyDescent="0.3">
      <c r="F112151" s="193"/>
    </row>
    <row r="112152" spans="6:6" x14ac:dyDescent="0.3">
      <c r="F112152" s="193"/>
    </row>
    <row r="112153" spans="6:6" x14ac:dyDescent="0.3">
      <c r="F112153" s="193"/>
    </row>
    <row r="112154" spans="6:6" x14ac:dyDescent="0.3">
      <c r="F112154" s="193"/>
    </row>
    <row r="112155" spans="6:6" x14ac:dyDescent="0.3">
      <c r="F112155" s="193"/>
    </row>
    <row r="112156" spans="6:6" x14ac:dyDescent="0.3">
      <c r="F112156" s="193"/>
    </row>
    <row r="112157" spans="6:6" x14ac:dyDescent="0.3">
      <c r="F112157" s="193"/>
    </row>
    <row r="112158" spans="6:6" x14ac:dyDescent="0.3">
      <c r="F112158" s="193"/>
    </row>
    <row r="112159" spans="6:6" x14ac:dyDescent="0.3">
      <c r="F112159" s="193"/>
    </row>
    <row r="112160" spans="6:6" x14ac:dyDescent="0.3">
      <c r="F112160" s="193"/>
    </row>
    <row r="112161" spans="6:6" x14ac:dyDescent="0.3">
      <c r="F112161" s="193"/>
    </row>
    <row r="112162" spans="6:6" x14ac:dyDescent="0.3">
      <c r="F112162" s="193"/>
    </row>
    <row r="112163" spans="6:6" x14ac:dyDescent="0.3">
      <c r="F112163" s="193"/>
    </row>
    <row r="112164" spans="6:6" x14ac:dyDescent="0.3">
      <c r="F112164" s="193"/>
    </row>
    <row r="112165" spans="6:6" x14ac:dyDescent="0.3">
      <c r="F112165" s="193"/>
    </row>
    <row r="112166" spans="6:6" x14ac:dyDescent="0.3">
      <c r="F112166" s="193"/>
    </row>
    <row r="112167" spans="6:6" x14ac:dyDescent="0.3">
      <c r="F112167" s="193"/>
    </row>
    <row r="112168" spans="6:6" x14ac:dyDescent="0.3">
      <c r="F112168" s="193"/>
    </row>
    <row r="112169" spans="6:6" x14ac:dyDescent="0.3">
      <c r="F112169" s="193"/>
    </row>
    <row r="112170" spans="6:6" x14ac:dyDescent="0.3">
      <c r="F112170" s="193"/>
    </row>
    <row r="112171" spans="6:6" x14ac:dyDescent="0.3">
      <c r="F112171" s="193"/>
    </row>
    <row r="112172" spans="6:6" x14ac:dyDescent="0.3">
      <c r="F112172" s="193"/>
    </row>
    <row r="112173" spans="6:6" x14ac:dyDescent="0.3">
      <c r="F112173" s="193"/>
    </row>
    <row r="112174" spans="6:6" x14ac:dyDescent="0.3">
      <c r="F112174" s="193"/>
    </row>
    <row r="112175" spans="6:6" x14ac:dyDescent="0.3">
      <c r="F112175" s="193"/>
    </row>
    <row r="112176" spans="6:6" x14ac:dyDescent="0.3">
      <c r="F112176" s="193"/>
    </row>
    <row r="112177" spans="6:6" x14ac:dyDescent="0.3">
      <c r="F112177" s="193"/>
    </row>
    <row r="112178" spans="6:6" x14ac:dyDescent="0.3">
      <c r="F112178" s="193"/>
    </row>
    <row r="112179" spans="6:6" x14ac:dyDescent="0.3">
      <c r="F112179" s="193"/>
    </row>
    <row r="112180" spans="6:6" x14ac:dyDescent="0.3">
      <c r="F112180" s="193"/>
    </row>
    <row r="112181" spans="6:6" x14ac:dyDescent="0.3">
      <c r="F112181" s="193"/>
    </row>
    <row r="112182" spans="6:6" x14ac:dyDescent="0.3">
      <c r="F112182" s="193"/>
    </row>
    <row r="112183" spans="6:6" x14ac:dyDescent="0.3">
      <c r="F112183" s="193"/>
    </row>
    <row r="112184" spans="6:6" x14ac:dyDescent="0.3">
      <c r="F112184" s="193"/>
    </row>
    <row r="112185" spans="6:6" x14ac:dyDescent="0.3">
      <c r="F112185" s="193"/>
    </row>
    <row r="112186" spans="6:6" x14ac:dyDescent="0.3">
      <c r="F112186" s="193"/>
    </row>
    <row r="112187" spans="6:6" x14ac:dyDescent="0.3">
      <c r="F112187" s="193"/>
    </row>
    <row r="112188" spans="6:6" x14ac:dyDescent="0.3">
      <c r="F112188" s="193"/>
    </row>
    <row r="112189" spans="6:6" x14ac:dyDescent="0.3">
      <c r="F112189" s="193"/>
    </row>
    <row r="112190" spans="6:6" x14ac:dyDescent="0.3">
      <c r="F112190" s="193"/>
    </row>
    <row r="112191" spans="6:6" x14ac:dyDescent="0.3">
      <c r="F112191" s="193"/>
    </row>
    <row r="112192" spans="6:6" x14ac:dyDescent="0.3">
      <c r="F112192" s="193"/>
    </row>
    <row r="112193" spans="6:6" x14ac:dyDescent="0.3">
      <c r="F112193" s="193"/>
    </row>
    <row r="112194" spans="6:6" x14ac:dyDescent="0.3">
      <c r="F112194" s="193"/>
    </row>
    <row r="112195" spans="6:6" x14ac:dyDescent="0.3">
      <c r="F112195" s="193"/>
    </row>
    <row r="112196" spans="6:6" x14ac:dyDescent="0.3">
      <c r="F112196" s="193"/>
    </row>
    <row r="112197" spans="6:6" x14ac:dyDescent="0.3">
      <c r="F112197" s="193"/>
    </row>
    <row r="112198" spans="6:6" x14ac:dyDescent="0.3">
      <c r="F112198" s="193"/>
    </row>
    <row r="112199" spans="6:6" x14ac:dyDescent="0.3">
      <c r="F112199" s="193"/>
    </row>
    <row r="112200" spans="6:6" x14ac:dyDescent="0.3">
      <c r="F112200" s="193"/>
    </row>
    <row r="112201" spans="6:6" x14ac:dyDescent="0.3">
      <c r="F112201" s="193"/>
    </row>
    <row r="112202" spans="6:6" x14ac:dyDescent="0.3">
      <c r="F112202" s="193"/>
    </row>
    <row r="112203" spans="6:6" x14ac:dyDescent="0.3">
      <c r="F112203" s="193"/>
    </row>
    <row r="112204" spans="6:6" x14ac:dyDescent="0.3">
      <c r="F112204" s="193"/>
    </row>
    <row r="112205" spans="6:6" x14ac:dyDescent="0.3">
      <c r="F112205" s="193"/>
    </row>
    <row r="112206" spans="6:6" x14ac:dyDescent="0.3">
      <c r="F112206" s="193"/>
    </row>
    <row r="112207" spans="6:6" x14ac:dyDescent="0.3">
      <c r="F112207" s="193"/>
    </row>
    <row r="112208" spans="6:6" x14ac:dyDescent="0.3">
      <c r="F112208" s="193"/>
    </row>
    <row r="112209" spans="6:6" x14ac:dyDescent="0.3">
      <c r="F112209" s="193"/>
    </row>
    <row r="112210" spans="6:6" x14ac:dyDescent="0.3">
      <c r="F112210" s="193"/>
    </row>
    <row r="112211" spans="6:6" x14ac:dyDescent="0.3">
      <c r="F112211" s="193"/>
    </row>
    <row r="112212" spans="6:6" x14ac:dyDescent="0.3">
      <c r="F112212" s="193"/>
    </row>
    <row r="112213" spans="6:6" x14ac:dyDescent="0.3">
      <c r="F112213" s="193"/>
    </row>
    <row r="112214" spans="6:6" x14ac:dyDescent="0.3">
      <c r="F112214" s="193"/>
    </row>
    <row r="112215" spans="6:6" x14ac:dyDescent="0.3">
      <c r="F112215" s="193"/>
    </row>
    <row r="112216" spans="6:6" x14ac:dyDescent="0.3">
      <c r="F112216" s="193"/>
    </row>
    <row r="112217" spans="6:6" x14ac:dyDescent="0.3">
      <c r="F112217" s="193"/>
    </row>
    <row r="112218" spans="6:6" x14ac:dyDescent="0.3">
      <c r="F112218" s="193"/>
    </row>
    <row r="112219" spans="6:6" x14ac:dyDescent="0.3">
      <c r="F112219" s="193"/>
    </row>
    <row r="112220" spans="6:6" x14ac:dyDescent="0.3">
      <c r="F112220" s="193"/>
    </row>
    <row r="112221" spans="6:6" x14ac:dyDescent="0.3">
      <c r="F112221" s="193"/>
    </row>
    <row r="112222" spans="6:6" x14ac:dyDescent="0.3">
      <c r="F112222" s="193"/>
    </row>
    <row r="112223" spans="6:6" x14ac:dyDescent="0.3">
      <c r="F112223" s="193"/>
    </row>
    <row r="112224" spans="6:6" x14ac:dyDescent="0.3">
      <c r="F112224" s="193"/>
    </row>
    <row r="112225" spans="6:6" x14ac:dyDescent="0.3">
      <c r="F112225" s="193"/>
    </row>
    <row r="112226" spans="6:6" x14ac:dyDescent="0.3">
      <c r="F112226" s="193"/>
    </row>
    <row r="112227" spans="6:6" x14ac:dyDescent="0.3">
      <c r="F112227" s="193"/>
    </row>
    <row r="112228" spans="6:6" x14ac:dyDescent="0.3">
      <c r="F112228" s="193"/>
    </row>
    <row r="112229" spans="6:6" x14ac:dyDescent="0.3">
      <c r="F112229" s="193"/>
    </row>
    <row r="112230" spans="6:6" x14ac:dyDescent="0.3">
      <c r="F112230" s="193"/>
    </row>
    <row r="112231" spans="6:6" x14ac:dyDescent="0.3">
      <c r="F112231" s="193"/>
    </row>
    <row r="112232" spans="6:6" x14ac:dyDescent="0.3">
      <c r="F112232" s="193"/>
    </row>
    <row r="112233" spans="6:6" x14ac:dyDescent="0.3">
      <c r="F112233" s="193"/>
    </row>
    <row r="112234" spans="6:6" x14ac:dyDescent="0.3">
      <c r="F112234" s="193"/>
    </row>
    <row r="112235" spans="6:6" x14ac:dyDescent="0.3">
      <c r="F112235" s="193"/>
    </row>
    <row r="112236" spans="6:6" x14ac:dyDescent="0.3">
      <c r="F112236" s="193"/>
    </row>
    <row r="112237" spans="6:6" x14ac:dyDescent="0.3">
      <c r="F112237" s="193"/>
    </row>
    <row r="112238" spans="6:6" x14ac:dyDescent="0.3">
      <c r="F112238" s="193"/>
    </row>
    <row r="112239" spans="6:6" x14ac:dyDescent="0.3">
      <c r="F112239" s="193"/>
    </row>
    <row r="112240" spans="6:6" x14ac:dyDescent="0.3">
      <c r="F112240" s="193"/>
    </row>
    <row r="112241" spans="6:6" x14ac:dyDescent="0.3">
      <c r="F112241" s="193"/>
    </row>
    <row r="112242" spans="6:6" x14ac:dyDescent="0.3">
      <c r="F112242" s="193"/>
    </row>
    <row r="112243" spans="6:6" x14ac:dyDescent="0.3">
      <c r="F112243" s="193"/>
    </row>
    <row r="112244" spans="6:6" x14ac:dyDescent="0.3">
      <c r="F112244" s="193"/>
    </row>
    <row r="112245" spans="6:6" x14ac:dyDescent="0.3">
      <c r="F112245" s="193"/>
    </row>
    <row r="112246" spans="6:6" x14ac:dyDescent="0.3">
      <c r="F112246" s="193"/>
    </row>
    <row r="112247" spans="6:6" x14ac:dyDescent="0.3">
      <c r="F112247" s="193"/>
    </row>
    <row r="112248" spans="6:6" x14ac:dyDescent="0.3">
      <c r="F112248" s="193"/>
    </row>
    <row r="112249" spans="6:6" x14ac:dyDescent="0.3">
      <c r="F112249" s="193"/>
    </row>
    <row r="112250" spans="6:6" x14ac:dyDescent="0.3">
      <c r="F112250" s="193"/>
    </row>
    <row r="112251" spans="6:6" x14ac:dyDescent="0.3">
      <c r="F112251" s="193"/>
    </row>
    <row r="112252" spans="6:6" x14ac:dyDescent="0.3">
      <c r="F112252" s="193"/>
    </row>
    <row r="112253" spans="6:6" x14ac:dyDescent="0.3">
      <c r="F112253" s="193"/>
    </row>
    <row r="112254" spans="6:6" x14ac:dyDescent="0.3">
      <c r="F112254" s="193"/>
    </row>
    <row r="112255" spans="6:6" x14ac:dyDescent="0.3">
      <c r="F112255" s="193"/>
    </row>
    <row r="112256" spans="6:6" x14ac:dyDescent="0.3">
      <c r="F112256" s="193"/>
    </row>
    <row r="112257" spans="6:6" x14ac:dyDescent="0.3">
      <c r="F112257" s="193"/>
    </row>
    <row r="112258" spans="6:6" x14ac:dyDescent="0.3">
      <c r="F112258" s="193"/>
    </row>
    <row r="112259" spans="6:6" x14ac:dyDescent="0.3">
      <c r="F112259" s="193"/>
    </row>
    <row r="112260" spans="6:6" x14ac:dyDescent="0.3">
      <c r="F112260" s="193"/>
    </row>
    <row r="112261" spans="6:6" x14ac:dyDescent="0.3">
      <c r="F112261" s="193"/>
    </row>
    <row r="112262" spans="6:6" x14ac:dyDescent="0.3">
      <c r="F112262" s="193"/>
    </row>
    <row r="112263" spans="6:6" x14ac:dyDescent="0.3">
      <c r="F112263" s="193"/>
    </row>
    <row r="112264" spans="6:6" x14ac:dyDescent="0.3">
      <c r="F112264" s="193"/>
    </row>
    <row r="112265" spans="6:6" x14ac:dyDescent="0.3">
      <c r="F112265" s="193"/>
    </row>
    <row r="112266" spans="6:6" x14ac:dyDescent="0.3">
      <c r="F112266" s="193"/>
    </row>
    <row r="112267" spans="6:6" x14ac:dyDescent="0.3">
      <c r="F112267" s="193"/>
    </row>
    <row r="112268" spans="6:6" x14ac:dyDescent="0.3">
      <c r="F112268" s="193"/>
    </row>
    <row r="112269" spans="6:6" x14ac:dyDescent="0.3">
      <c r="F112269" s="193"/>
    </row>
    <row r="112270" spans="6:6" x14ac:dyDescent="0.3">
      <c r="F112270" s="193"/>
    </row>
    <row r="112271" spans="6:6" x14ac:dyDescent="0.3">
      <c r="F112271" s="193"/>
    </row>
    <row r="112272" spans="6:6" x14ac:dyDescent="0.3">
      <c r="F112272" s="193"/>
    </row>
    <row r="112273" spans="6:6" x14ac:dyDescent="0.3">
      <c r="F112273" s="193"/>
    </row>
    <row r="112274" spans="6:6" x14ac:dyDescent="0.3">
      <c r="F112274" s="193"/>
    </row>
    <row r="112275" spans="6:6" x14ac:dyDescent="0.3">
      <c r="F112275" s="193"/>
    </row>
    <row r="112276" spans="6:6" x14ac:dyDescent="0.3">
      <c r="F112276" s="193"/>
    </row>
    <row r="112277" spans="6:6" x14ac:dyDescent="0.3">
      <c r="F112277" s="193"/>
    </row>
    <row r="112278" spans="6:6" x14ac:dyDescent="0.3">
      <c r="F112278" s="193"/>
    </row>
    <row r="112279" spans="6:6" x14ac:dyDescent="0.3">
      <c r="F112279" s="193"/>
    </row>
    <row r="112280" spans="6:6" x14ac:dyDescent="0.3">
      <c r="F112280" s="193"/>
    </row>
    <row r="112281" spans="6:6" x14ac:dyDescent="0.3">
      <c r="F112281" s="193"/>
    </row>
    <row r="112282" spans="6:6" x14ac:dyDescent="0.3">
      <c r="F112282" s="193"/>
    </row>
    <row r="112283" spans="6:6" x14ac:dyDescent="0.3">
      <c r="F112283" s="193"/>
    </row>
    <row r="112284" spans="6:6" x14ac:dyDescent="0.3">
      <c r="F112284" s="193"/>
    </row>
    <row r="112285" spans="6:6" x14ac:dyDescent="0.3">
      <c r="F112285" s="193"/>
    </row>
    <row r="112286" spans="6:6" x14ac:dyDescent="0.3">
      <c r="F112286" s="193"/>
    </row>
    <row r="112287" spans="6:6" x14ac:dyDescent="0.3">
      <c r="F112287" s="193"/>
    </row>
    <row r="112288" spans="6:6" x14ac:dyDescent="0.3">
      <c r="F112288" s="193"/>
    </row>
    <row r="112289" spans="6:6" x14ac:dyDescent="0.3">
      <c r="F112289" s="193"/>
    </row>
    <row r="112290" spans="6:6" x14ac:dyDescent="0.3">
      <c r="F112290" s="193"/>
    </row>
    <row r="112291" spans="6:6" x14ac:dyDescent="0.3">
      <c r="F112291" s="193"/>
    </row>
    <row r="112292" spans="6:6" x14ac:dyDescent="0.3">
      <c r="F112292" s="193"/>
    </row>
    <row r="112293" spans="6:6" x14ac:dyDescent="0.3">
      <c r="F112293" s="193"/>
    </row>
    <row r="112294" spans="6:6" x14ac:dyDescent="0.3">
      <c r="F112294" s="193"/>
    </row>
    <row r="112295" spans="6:6" x14ac:dyDescent="0.3">
      <c r="F112295" s="193"/>
    </row>
    <row r="112296" spans="6:6" x14ac:dyDescent="0.3">
      <c r="F112296" s="193"/>
    </row>
    <row r="112297" spans="6:6" x14ac:dyDescent="0.3">
      <c r="F112297" s="193"/>
    </row>
    <row r="112298" spans="6:6" x14ac:dyDescent="0.3">
      <c r="F112298" s="193"/>
    </row>
    <row r="112299" spans="6:6" x14ac:dyDescent="0.3">
      <c r="F112299" s="193"/>
    </row>
    <row r="112300" spans="6:6" x14ac:dyDescent="0.3">
      <c r="F112300" s="193"/>
    </row>
    <row r="112301" spans="6:6" x14ac:dyDescent="0.3">
      <c r="F112301" s="193"/>
    </row>
    <row r="112302" spans="6:6" x14ac:dyDescent="0.3">
      <c r="F112302" s="193"/>
    </row>
    <row r="112303" spans="6:6" x14ac:dyDescent="0.3">
      <c r="F112303" s="193"/>
    </row>
    <row r="112304" spans="6:6" x14ac:dyDescent="0.3">
      <c r="F112304" s="193"/>
    </row>
    <row r="112305" spans="6:6" x14ac:dyDescent="0.3">
      <c r="F112305" s="193"/>
    </row>
    <row r="112306" spans="6:6" x14ac:dyDescent="0.3">
      <c r="F112306" s="193"/>
    </row>
    <row r="112307" spans="6:6" x14ac:dyDescent="0.3">
      <c r="F112307" s="193"/>
    </row>
    <row r="112308" spans="6:6" x14ac:dyDescent="0.3">
      <c r="F112308" s="193"/>
    </row>
    <row r="112309" spans="6:6" x14ac:dyDescent="0.3">
      <c r="F112309" s="193"/>
    </row>
    <row r="112310" spans="6:6" x14ac:dyDescent="0.3">
      <c r="F112310" s="193"/>
    </row>
    <row r="112311" spans="6:6" x14ac:dyDescent="0.3">
      <c r="F112311" s="193"/>
    </row>
    <row r="112312" spans="6:6" x14ac:dyDescent="0.3">
      <c r="F112312" s="193"/>
    </row>
    <row r="112313" spans="6:6" x14ac:dyDescent="0.3">
      <c r="F112313" s="193"/>
    </row>
    <row r="112314" spans="6:6" x14ac:dyDescent="0.3">
      <c r="F112314" s="193"/>
    </row>
    <row r="112315" spans="6:6" x14ac:dyDescent="0.3">
      <c r="F112315" s="193"/>
    </row>
    <row r="112316" spans="6:6" x14ac:dyDescent="0.3">
      <c r="F112316" s="193"/>
    </row>
    <row r="112317" spans="6:6" x14ac:dyDescent="0.3">
      <c r="F112317" s="193"/>
    </row>
    <row r="112318" spans="6:6" x14ac:dyDescent="0.3">
      <c r="F112318" s="193"/>
    </row>
    <row r="112319" spans="6:6" x14ac:dyDescent="0.3">
      <c r="F112319" s="193"/>
    </row>
    <row r="112320" spans="6:6" x14ac:dyDescent="0.3">
      <c r="F112320" s="193"/>
    </row>
    <row r="112321" spans="6:6" x14ac:dyDescent="0.3">
      <c r="F112321" s="193"/>
    </row>
    <row r="112322" spans="6:6" x14ac:dyDescent="0.3">
      <c r="F112322" s="193"/>
    </row>
    <row r="112323" spans="6:6" x14ac:dyDescent="0.3">
      <c r="F112323" s="193"/>
    </row>
    <row r="112324" spans="6:6" x14ac:dyDescent="0.3">
      <c r="F112324" s="193"/>
    </row>
    <row r="112325" spans="6:6" x14ac:dyDescent="0.3">
      <c r="F112325" s="193"/>
    </row>
    <row r="112326" spans="6:6" x14ac:dyDescent="0.3">
      <c r="F112326" s="193"/>
    </row>
    <row r="112327" spans="6:6" x14ac:dyDescent="0.3">
      <c r="F112327" s="193"/>
    </row>
    <row r="112328" spans="6:6" x14ac:dyDescent="0.3">
      <c r="F112328" s="193"/>
    </row>
    <row r="112329" spans="6:6" x14ac:dyDescent="0.3">
      <c r="F112329" s="193"/>
    </row>
    <row r="112330" spans="6:6" x14ac:dyDescent="0.3">
      <c r="F112330" s="193"/>
    </row>
    <row r="112331" spans="6:6" x14ac:dyDescent="0.3">
      <c r="F112331" s="193"/>
    </row>
    <row r="112332" spans="6:6" x14ac:dyDescent="0.3">
      <c r="F112332" s="193"/>
    </row>
    <row r="112333" spans="6:6" x14ac:dyDescent="0.3">
      <c r="F112333" s="193"/>
    </row>
    <row r="112334" spans="6:6" x14ac:dyDescent="0.3">
      <c r="F112334" s="193"/>
    </row>
    <row r="112335" spans="6:6" x14ac:dyDescent="0.3">
      <c r="F112335" s="193"/>
    </row>
    <row r="112336" spans="6:6" x14ac:dyDescent="0.3">
      <c r="F112336" s="193"/>
    </row>
    <row r="112337" spans="6:6" x14ac:dyDescent="0.3">
      <c r="F112337" s="193"/>
    </row>
    <row r="112338" spans="6:6" x14ac:dyDescent="0.3">
      <c r="F112338" s="193"/>
    </row>
    <row r="112339" spans="6:6" x14ac:dyDescent="0.3">
      <c r="F112339" s="193"/>
    </row>
    <row r="112340" spans="6:6" x14ac:dyDescent="0.3">
      <c r="F112340" s="193"/>
    </row>
    <row r="112341" spans="6:6" x14ac:dyDescent="0.3">
      <c r="F112341" s="193"/>
    </row>
    <row r="112342" spans="6:6" x14ac:dyDescent="0.3">
      <c r="F112342" s="193"/>
    </row>
    <row r="112343" spans="6:6" x14ac:dyDescent="0.3">
      <c r="F112343" s="193"/>
    </row>
    <row r="112344" spans="6:6" x14ac:dyDescent="0.3">
      <c r="F112344" s="193"/>
    </row>
    <row r="112345" spans="6:6" x14ac:dyDescent="0.3">
      <c r="F112345" s="193"/>
    </row>
    <row r="112346" spans="6:6" x14ac:dyDescent="0.3">
      <c r="F112346" s="193"/>
    </row>
    <row r="112347" spans="6:6" x14ac:dyDescent="0.3">
      <c r="F112347" s="193"/>
    </row>
    <row r="112348" spans="6:6" x14ac:dyDescent="0.3">
      <c r="F112348" s="193"/>
    </row>
    <row r="112349" spans="6:6" x14ac:dyDescent="0.3">
      <c r="F112349" s="193"/>
    </row>
    <row r="112350" spans="6:6" x14ac:dyDescent="0.3">
      <c r="F112350" s="193"/>
    </row>
    <row r="112351" spans="6:6" x14ac:dyDescent="0.3">
      <c r="F112351" s="193"/>
    </row>
    <row r="112352" spans="6:6" x14ac:dyDescent="0.3">
      <c r="F112352" s="193"/>
    </row>
    <row r="112353" spans="6:6" x14ac:dyDescent="0.3">
      <c r="F112353" s="193"/>
    </row>
    <row r="112354" spans="6:6" x14ac:dyDescent="0.3">
      <c r="F112354" s="193"/>
    </row>
    <row r="112355" spans="6:6" x14ac:dyDescent="0.3">
      <c r="F112355" s="193"/>
    </row>
    <row r="112356" spans="6:6" x14ac:dyDescent="0.3">
      <c r="F112356" s="193"/>
    </row>
    <row r="112357" spans="6:6" x14ac:dyDescent="0.3">
      <c r="F112357" s="193"/>
    </row>
    <row r="112358" spans="6:6" x14ac:dyDescent="0.3">
      <c r="F112358" s="193"/>
    </row>
    <row r="112359" spans="6:6" x14ac:dyDescent="0.3">
      <c r="F112359" s="193"/>
    </row>
    <row r="112360" spans="6:6" x14ac:dyDescent="0.3">
      <c r="F112360" s="193"/>
    </row>
    <row r="112361" spans="6:6" x14ac:dyDescent="0.3">
      <c r="F112361" s="193"/>
    </row>
    <row r="112362" spans="6:6" x14ac:dyDescent="0.3">
      <c r="F112362" s="193"/>
    </row>
    <row r="112363" spans="6:6" x14ac:dyDescent="0.3">
      <c r="F112363" s="193"/>
    </row>
    <row r="112364" spans="6:6" x14ac:dyDescent="0.3">
      <c r="F112364" s="193"/>
    </row>
    <row r="112365" spans="6:6" x14ac:dyDescent="0.3">
      <c r="F112365" s="193"/>
    </row>
    <row r="112366" spans="6:6" x14ac:dyDescent="0.3">
      <c r="F112366" s="193"/>
    </row>
    <row r="112367" spans="6:6" x14ac:dyDescent="0.3">
      <c r="F112367" s="193"/>
    </row>
    <row r="112368" spans="6:6" x14ac:dyDescent="0.3">
      <c r="F112368" s="193"/>
    </row>
    <row r="112369" spans="6:6" x14ac:dyDescent="0.3">
      <c r="F112369" s="193"/>
    </row>
    <row r="112370" spans="6:6" x14ac:dyDescent="0.3">
      <c r="F112370" s="193"/>
    </row>
    <row r="112371" spans="6:6" x14ac:dyDescent="0.3">
      <c r="F112371" s="193"/>
    </row>
    <row r="112372" spans="6:6" x14ac:dyDescent="0.3">
      <c r="F112372" s="193"/>
    </row>
    <row r="112373" spans="6:6" x14ac:dyDescent="0.3">
      <c r="F112373" s="193"/>
    </row>
    <row r="112374" spans="6:6" x14ac:dyDescent="0.3">
      <c r="F112374" s="193"/>
    </row>
    <row r="112375" spans="6:6" x14ac:dyDescent="0.3">
      <c r="F112375" s="193"/>
    </row>
    <row r="112376" spans="6:6" x14ac:dyDescent="0.3">
      <c r="F112376" s="193"/>
    </row>
    <row r="112377" spans="6:6" x14ac:dyDescent="0.3">
      <c r="F112377" s="193"/>
    </row>
    <row r="112378" spans="6:6" x14ac:dyDescent="0.3">
      <c r="F112378" s="193"/>
    </row>
    <row r="112379" spans="6:6" x14ac:dyDescent="0.3">
      <c r="F112379" s="193"/>
    </row>
    <row r="112380" spans="6:6" x14ac:dyDescent="0.3">
      <c r="F112380" s="193"/>
    </row>
    <row r="112381" spans="6:6" x14ac:dyDescent="0.3">
      <c r="F112381" s="193"/>
    </row>
    <row r="112382" spans="6:6" x14ac:dyDescent="0.3">
      <c r="F112382" s="193"/>
    </row>
    <row r="112383" spans="6:6" x14ac:dyDescent="0.3">
      <c r="F112383" s="193"/>
    </row>
    <row r="112384" spans="6:6" x14ac:dyDescent="0.3">
      <c r="F112384" s="193"/>
    </row>
    <row r="112385" spans="6:6" x14ac:dyDescent="0.3">
      <c r="F112385" s="193"/>
    </row>
    <row r="112386" spans="6:6" x14ac:dyDescent="0.3">
      <c r="F112386" s="193"/>
    </row>
    <row r="112387" spans="6:6" x14ac:dyDescent="0.3">
      <c r="F112387" s="193"/>
    </row>
    <row r="112388" spans="6:6" x14ac:dyDescent="0.3">
      <c r="F112388" s="193"/>
    </row>
    <row r="112389" spans="6:6" x14ac:dyDescent="0.3">
      <c r="F112389" s="193"/>
    </row>
    <row r="112390" spans="6:6" x14ac:dyDescent="0.3">
      <c r="F112390" s="193"/>
    </row>
    <row r="112391" spans="6:6" x14ac:dyDescent="0.3">
      <c r="F112391" s="193"/>
    </row>
    <row r="112392" spans="6:6" x14ac:dyDescent="0.3">
      <c r="F112392" s="193"/>
    </row>
    <row r="112393" spans="6:6" x14ac:dyDescent="0.3">
      <c r="F112393" s="193"/>
    </row>
    <row r="112394" spans="6:6" x14ac:dyDescent="0.3">
      <c r="F112394" s="193"/>
    </row>
    <row r="112395" spans="6:6" x14ac:dyDescent="0.3">
      <c r="F112395" s="193"/>
    </row>
    <row r="112396" spans="6:6" x14ac:dyDescent="0.3">
      <c r="F112396" s="193"/>
    </row>
    <row r="112397" spans="6:6" x14ac:dyDescent="0.3">
      <c r="F112397" s="193"/>
    </row>
    <row r="112398" spans="6:6" x14ac:dyDescent="0.3">
      <c r="F112398" s="193"/>
    </row>
    <row r="112399" spans="6:6" x14ac:dyDescent="0.3">
      <c r="F112399" s="193"/>
    </row>
    <row r="112400" spans="6:6" x14ac:dyDescent="0.3">
      <c r="F112400" s="193"/>
    </row>
    <row r="112401" spans="6:6" x14ac:dyDescent="0.3">
      <c r="F112401" s="193"/>
    </row>
    <row r="112402" spans="6:6" x14ac:dyDescent="0.3">
      <c r="F112402" s="193"/>
    </row>
    <row r="112403" spans="6:6" x14ac:dyDescent="0.3">
      <c r="F112403" s="193"/>
    </row>
    <row r="112404" spans="6:6" x14ac:dyDescent="0.3">
      <c r="F112404" s="193"/>
    </row>
    <row r="112405" spans="6:6" x14ac:dyDescent="0.3">
      <c r="F112405" s="193"/>
    </row>
    <row r="112406" spans="6:6" x14ac:dyDescent="0.3">
      <c r="F112406" s="193"/>
    </row>
    <row r="112407" spans="6:6" x14ac:dyDescent="0.3">
      <c r="F112407" s="193"/>
    </row>
    <row r="112408" spans="6:6" x14ac:dyDescent="0.3">
      <c r="F112408" s="193"/>
    </row>
    <row r="112409" spans="6:6" x14ac:dyDescent="0.3">
      <c r="F112409" s="193"/>
    </row>
    <row r="112410" spans="6:6" x14ac:dyDescent="0.3">
      <c r="F112410" s="193"/>
    </row>
    <row r="112411" spans="6:6" x14ac:dyDescent="0.3">
      <c r="F112411" s="193"/>
    </row>
    <row r="112412" spans="6:6" x14ac:dyDescent="0.3">
      <c r="F112412" s="193"/>
    </row>
    <row r="112413" spans="6:6" x14ac:dyDescent="0.3">
      <c r="F112413" s="193"/>
    </row>
    <row r="112414" spans="6:6" x14ac:dyDescent="0.3">
      <c r="F112414" s="193"/>
    </row>
    <row r="112415" spans="6:6" x14ac:dyDescent="0.3">
      <c r="F112415" s="193"/>
    </row>
    <row r="112416" spans="6:6" x14ac:dyDescent="0.3">
      <c r="F112416" s="193"/>
    </row>
    <row r="112417" spans="6:6" x14ac:dyDescent="0.3">
      <c r="F112417" s="193"/>
    </row>
    <row r="112418" spans="6:6" x14ac:dyDescent="0.3">
      <c r="F112418" s="193"/>
    </row>
    <row r="112419" spans="6:6" x14ac:dyDescent="0.3">
      <c r="F112419" s="193"/>
    </row>
    <row r="112420" spans="6:6" x14ac:dyDescent="0.3">
      <c r="F112420" s="193"/>
    </row>
    <row r="112421" spans="6:6" x14ac:dyDescent="0.3">
      <c r="F112421" s="193"/>
    </row>
    <row r="112422" spans="6:6" x14ac:dyDescent="0.3">
      <c r="F112422" s="193"/>
    </row>
    <row r="112423" spans="6:6" x14ac:dyDescent="0.3">
      <c r="F112423" s="193"/>
    </row>
    <row r="112424" spans="6:6" x14ac:dyDescent="0.3">
      <c r="F112424" s="193"/>
    </row>
    <row r="112425" spans="6:6" x14ac:dyDescent="0.3">
      <c r="F112425" s="193"/>
    </row>
    <row r="112426" spans="6:6" x14ac:dyDescent="0.3">
      <c r="F112426" s="193"/>
    </row>
    <row r="112427" spans="6:6" x14ac:dyDescent="0.3">
      <c r="F112427" s="193"/>
    </row>
    <row r="112428" spans="6:6" x14ac:dyDescent="0.3">
      <c r="F112428" s="193"/>
    </row>
    <row r="112429" spans="6:6" x14ac:dyDescent="0.3">
      <c r="F112429" s="193"/>
    </row>
    <row r="112430" spans="6:6" x14ac:dyDescent="0.3">
      <c r="F112430" s="193"/>
    </row>
    <row r="112431" spans="6:6" x14ac:dyDescent="0.3">
      <c r="F112431" s="193"/>
    </row>
    <row r="112432" spans="6:6" x14ac:dyDescent="0.3">
      <c r="F112432" s="193"/>
    </row>
    <row r="112433" spans="6:6" x14ac:dyDescent="0.3">
      <c r="F112433" s="193"/>
    </row>
    <row r="112434" spans="6:6" x14ac:dyDescent="0.3">
      <c r="F112434" s="193"/>
    </row>
    <row r="112435" spans="6:6" x14ac:dyDescent="0.3">
      <c r="F112435" s="193"/>
    </row>
    <row r="112436" spans="6:6" x14ac:dyDescent="0.3">
      <c r="F112436" s="193"/>
    </row>
    <row r="112437" spans="6:6" x14ac:dyDescent="0.3">
      <c r="F112437" s="193"/>
    </row>
    <row r="112438" spans="6:6" x14ac:dyDescent="0.3">
      <c r="F112438" s="193"/>
    </row>
    <row r="112439" spans="6:6" x14ac:dyDescent="0.3">
      <c r="F112439" s="193"/>
    </row>
    <row r="112440" spans="6:6" x14ac:dyDescent="0.3">
      <c r="F112440" s="193"/>
    </row>
    <row r="112441" spans="6:6" x14ac:dyDescent="0.3">
      <c r="F112441" s="193"/>
    </row>
    <row r="112442" spans="6:6" x14ac:dyDescent="0.3">
      <c r="F112442" s="193"/>
    </row>
    <row r="112443" spans="6:6" x14ac:dyDescent="0.3">
      <c r="F112443" s="193"/>
    </row>
    <row r="112444" spans="6:6" x14ac:dyDescent="0.3">
      <c r="F112444" s="193"/>
    </row>
    <row r="112445" spans="6:6" x14ac:dyDescent="0.3">
      <c r="F112445" s="193"/>
    </row>
    <row r="112446" spans="6:6" x14ac:dyDescent="0.3">
      <c r="F112446" s="193"/>
    </row>
    <row r="112447" spans="6:6" x14ac:dyDescent="0.3">
      <c r="F112447" s="193"/>
    </row>
    <row r="112448" spans="6:6" x14ac:dyDescent="0.3">
      <c r="F112448" s="193"/>
    </row>
    <row r="112449" spans="6:6" x14ac:dyDescent="0.3">
      <c r="F112449" s="193"/>
    </row>
    <row r="112450" spans="6:6" x14ac:dyDescent="0.3">
      <c r="F112450" s="193"/>
    </row>
    <row r="112451" spans="6:6" x14ac:dyDescent="0.3">
      <c r="F112451" s="193"/>
    </row>
    <row r="112452" spans="6:6" x14ac:dyDescent="0.3">
      <c r="F112452" s="193"/>
    </row>
    <row r="112453" spans="6:6" x14ac:dyDescent="0.3">
      <c r="F112453" s="193"/>
    </row>
    <row r="112454" spans="6:6" x14ac:dyDescent="0.3">
      <c r="F112454" s="193"/>
    </row>
    <row r="112455" spans="6:6" x14ac:dyDescent="0.3">
      <c r="F112455" s="193"/>
    </row>
    <row r="112456" spans="6:6" x14ac:dyDescent="0.3">
      <c r="F112456" s="193"/>
    </row>
    <row r="112457" spans="6:6" x14ac:dyDescent="0.3">
      <c r="F112457" s="193"/>
    </row>
    <row r="112458" spans="6:6" x14ac:dyDescent="0.3">
      <c r="F112458" s="193"/>
    </row>
    <row r="112459" spans="6:6" x14ac:dyDescent="0.3">
      <c r="F112459" s="193"/>
    </row>
    <row r="112460" spans="6:6" x14ac:dyDescent="0.3">
      <c r="F112460" s="193"/>
    </row>
    <row r="112461" spans="6:6" x14ac:dyDescent="0.3">
      <c r="F112461" s="193"/>
    </row>
    <row r="112462" spans="6:6" x14ac:dyDescent="0.3">
      <c r="F112462" s="193"/>
    </row>
    <row r="112463" spans="6:6" x14ac:dyDescent="0.3">
      <c r="F112463" s="193"/>
    </row>
    <row r="112464" spans="6:6" x14ac:dyDescent="0.3">
      <c r="F112464" s="193"/>
    </row>
    <row r="112465" spans="6:6" x14ac:dyDescent="0.3">
      <c r="F112465" s="193"/>
    </row>
    <row r="112466" spans="6:6" x14ac:dyDescent="0.3">
      <c r="F112466" s="193"/>
    </row>
    <row r="112467" spans="6:6" x14ac:dyDescent="0.3">
      <c r="F112467" s="193"/>
    </row>
    <row r="112468" spans="6:6" x14ac:dyDescent="0.3">
      <c r="F112468" s="193"/>
    </row>
    <row r="112469" spans="6:6" x14ac:dyDescent="0.3">
      <c r="F112469" s="193"/>
    </row>
    <row r="112470" spans="6:6" x14ac:dyDescent="0.3">
      <c r="F112470" s="193"/>
    </row>
    <row r="112471" spans="6:6" x14ac:dyDescent="0.3">
      <c r="F112471" s="193"/>
    </row>
    <row r="112472" spans="6:6" x14ac:dyDescent="0.3">
      <c r="F112472" s="193"/>
    </row>
    <row r="112473" spans="6:6" x14ac:dyDescent="0.3">
      <c r="F112473" s="193"/>
    </row>
    <row r="112474" spans="6:6" x14ac:dyDescent="0.3">
      <c r="F112474" s="193"/>
    </row>
    <row r="112475" spans="6:6" x14ac:dyDescent="0.3">
      <c r="F112475" s="193"/>
    </row>
    <row r="112476" spans="6:6" x14ac:dyDescent="0.3">
      <c r="F112476" s="193"/>
    </row>
    <row r="112477" spans="6:6" x14ac:dyDescent="0.3">
      <c r="F112477" s="193"/>
    </row>
    <row r="112478" spans="6:6" x14ac:dyDescent="0.3">
      <c r="F112478" s="193"/>
    </row>
    <row r="112479" spans="6:6" x14ac:dyDescent="0.3">
      <c r="F112479" s="193"/>
    </row>
    <row r="112480" spans="6:6" x14ac:dyDescent="0.3">
      <c r="F112480" s="193"/>
    </row>
    <row r="112481" spans="6:6" x14ac:dyDescent="0.3">
      <c r="F112481" s="193"/>
    </row>
    <row r="112482" spans="6:6" x14ac:dyDescent="0.3">
      <c r="F112482" s="193"/>
    </row>
    <row r="112483" spans="6:6" x14ac:dyDescent="0.3">
      <c r="F112483" s="193"/>
    </row>
    <row r="112484" spans="6:6" x14ac:dyDescent="0.3">
      <c r="F112484" s="193"/>
    </row>
    <row r="112485" spans="6:6" x14ac:dyDescent="0.3">
      <c r="F112485" s="193"/>
    </row>
    <row r="112486" spans="6:6" x14ac:dyDescent="0.3">
      <c r="F112486" s="193"/>
    </row>
    <row r="112487" spans="6:6" x14ac:dyDescent="0.3">
      <c r="F112487" s="193"/>
    </row>
    <row r="112488" spans="6:6" x14ac:dyDescent="0.3">
      <c r="F112488" s="193"/>
    </row>
    <row r="112489" spans="6:6" x14ac:dyDescent="0.3">
      <c r="F112489" s="193"/>
    </row>
    <row r="112490" spans="6:6" x14ac:dyDescent="0.3">
      <c r="F112490" s="193"/>
    </row>
    <row r="112491" spans="6:6" x14ac:dyDescent="0.3">
      <c r="F112491" s="193"/>
    </row>
    <row r="112492" spans="6:6" x14ac:dyDescent="0.3">
      <c r="F112492" s="193"/>
    </row>
    <row r="112493" spans="6:6" x14ac:dyDescent="0.3">
      <c r="F112493" s="193"/>
    </row>
    <row r="112494" spans="6:6" x14ac:dyDescent="0.3">
      <c r="F112494" s="193"/>
    </row>
    <row r="112495" spans="6:6" x14ac:dyDescent="0.3">
      <c r="F112495" s="193"/>
    </row>
    <row r="112496" spans="6:6" x14ac:dyDescent="0.3">
      <c r="F112496" s="193"/>
    </row>
    <row r="112497" spans="6:6" x14ac:dyDescent="0.3">
      <c r="F112497" s="193"/>
    </row>
    <row r="112498" spans="6:6" x14ac:dyDescent="0.3">
      <c r="F112498" s="193"/>
    </row>
    <row r="112499" spans="6:6" x14ac:dyDescent="0.3">
      <c r="F112499" s="193"/>
    </row>
    <row r="112500" spans="6:6" x14ac:dyDescent="0.3">
      <c r="F112500" s="193"/>
    </row>
    <row r="112501" spans="6:6" x14ac:dyDescent="0.3">
      <c r="F112501" s="193"/>
    </row>
    <row r="112502" spans="6:6" x14ac:dyDescent="0.3">
      <c r="F112502" s="193"/>
    </row>
    <row r="112503" spans="6:6" x14ac:dyDescent="0.3">
      <c r="F112503" s="193"/>
    </row>
    <row r="112504" spans="6:6" x14ac:dyDescent="0.3">
      <c r="F112504" s="193"/>
    </row>
    <row r="112505" spans="6:6" x14ac:dyDescent="0.3">
      <c r="F112505" s="193"/>
    </row>
    <row r="112506" spans="6:6" x14ac:dyDescent="0.3">
      <c r="F112506" s="193"/>
    </row>
    <row r="112507" spans="6:6" x14ac:dyDescent="0.3">
      <c r="F112507" s="193"/>
    </row>
    <row r="112508" spans="6:6" x14ac:dyDescent="0.3">
      <c r="F112508" s="193"/>
    </row>
    <row r="112509" spans="6:6" x14ac:dyDescent="0.3">
      <c r="F112509" s="193"/>
    </row>
    <row r="112510" spans="6:6" x14ac:dyDescent="0.3">
      <c r="F112510" s="193"/>
    </row>
    <row r="112511" spans="6:6" x14ac:dyDescent="0.3">
      <c r="F112511" s="193"/>
    </row>
    <row r="112512" spans="6:6" x14ac:dyDescent="0.3">
      <c r="F112512" s="193"/>
    </row>
    <row r="112513" spans="6:6" x14ac:dyDescent="0.3">
      <c r="F112513" s="193"/>
    </row>
    <row r="112514" spans="6:6" x14ac:dyDescent="0.3">
      <c r="F112514" s="193"/>
    </row>
    <row r="112515" spans="6:6" x14ac:dyDescent="0.3">
      <c r="F112515" s="193"/>
    </row>
    <row r="112516" spans="6:6" x14ac:dyDescent="0.3">
      <c r="F112516" s="193"/>
    </row>
    <row r="112517" spans="6:6" x14ac:dyDescent="0.3">
      <c r="F112517" s="193"/>
    </row>
    <row r="112518" spans="6:6" x14ac:dyDescent="0.3">
      <c r="F112518" s="193"/>
    </row>
    <row r="112519" spans="6:6" x14ac:dyDescent="0.3">
      <c r="F112519" s="193"/>
    </row>
    <row r="112520" spans="6:6" x14ac:dyDescent="0.3">
      <c r="F112520" s="193"/>
    </row>
    <row r="112521" spans="6:6" x14ac:dyDescent="0.3">
      <c r="F112521" s="193"/>
    </row>
    <row r="112522" spans="6:6" x14ac:dyDescent="0.3">
      <c r="F112522" s="193"/>
    </row>
    <row r="112523" spans="6:6" x14ac:dyDescent="0.3">
      <c r="F112523" s="193"/>
    </row>
    <row r="112524" spans="6:6" x14ac:dyDescent="0.3">
      <c r="F112524" s="193"/>
    </row>
    <row r="112525" spans="6:6" x14ac:dyDescent="0.3">
      <c r="F112525" s="193"/>
    </row>
    <row r="112526" spans="6:6" x14ac:dyDescent="0.3">
      <c r="F112526" s="193"/>
    </row>
    <row r="112527" spans="6:6" x14ac:dyDescent="0.3">
      <c r="F112527" s="193"/>
    </row>
    <row r="112528" spans="6:6" x14ac:dyDescent="0.3">
      <c r="F112528" s="193"/>
    </row>
    <row r="112529" spans="6:6" x14ac:dyDescent="0.3">
      <c r="F112529" s="193"/>
    </row>
    <row r="112530" spans="6:6" x14ac:dyDescent="0.3">
      <c r="F112530" s="193"/>
    </row>
    <row r="112531" spans="6:6" x14ac:dyDescent="0.3">
      <c r="F112531" s="193"/>
    </row>
    <row r="112532" spans="6:6" x14ac:dyDescent="0.3">
      <c r="F112532" s="193"/>
    </row>
    <row r="112533" spans="6:6" x14ac:dyDescent="0.3">
      <c r="F112533" s="193"/>
    </row>
    <row r="112534" spans="6:6" x14ac:dyDescent="0.3">
      <c r="F112534" s="193"/>
    </row>
    <row r="112535" spans="6:6" x14ac:dyDescent="0.3">
      <c r="F112535" s="193"/>
    </row>
    <row r="112536" spans="6:6" x14ac:dyDescent="0.3">
      <c r="F112536" s="193"/>
    </row>
    <row r="112537" spans="6:6" x14ac:dyDescent="0.3">
      <c r="F112537" s="193"/>
    </row>
    <row r="112538" spans="6:6" x14ac:dyDescent="0.3">
      <c r="F112538" s="193"/>
    </row>
    <row r="112539" spans="6:6" x14ac:dyDescent="0.3">
      <c r="F112539" s="193"/>
    </row>
    <row r="112540" spans="6:6" x14ac:dyDescent="0.3">
      <c r="F112540" s="193"/>
    </row>
    <row r="112541" spans="6:6" x14ac:dyDescent="0.3">
      <c r="F112541" s="193"/>
    </row>
    <row r="112542" spans="6:6" x14ac:dyDescent="0.3">
      <c r="F112542" s="193"/>
    </row>
    <row r="112543" spans="6:6" x14ac:dyDescent="0.3">
      <c r="F112543" s="193"/>
    </row>
    <row r="112544" spans="6:6" x14ac:dyDescent="0.3">
      <c r="F112544" s="193"/>
    </row>
    <row r="112545" spans="6:6" x14ac:dyDescent="0.3">
      <c r="F112545" s="193"/>
    </row>
    <row r="112546" spans="6:6" x14ac:dyDescent="0.3">
      <c r="F112546" s="193"/>
    </row>
    <row r="112547" spans="6:6" x14ac:dyDescent="0.3">
      <c r="F112547" s="193"/>
    </row>
    <row r="112548" spans="6:6" x14ac:dyDescent="0.3">
      <c r="F112548" s="193"/>
    </row>
    <row r="112549" spans="6:6" x14ac:dyDescent="0.3">
      <c r="F112549" s="193"/>
    </row>
    <row r="112550" spans="6:6" x14ac:dyDescent="0.3">
      <c r="F112550" s="193"/>
    </row>
    <row r="112551" spans="6:6" x14ac:dyDescent="0.3">
      <c r="F112551" s="193"/>
    </row>
    <row r="112552" spans="6:6" x14ac:dyDescent="0.3">
      <c r="F112552" s="193"/>
    </row>
    <row r="112553" spans="6:6" x14ac:dyDescent="0.3">
      <c r="F112553" s="193"/>
    </row>
    <row r="112554" spans="6:6" x14ac:dyDescent="0.3">
      <c r="F112554" s="193"/>
    </row>
    <row r="112555" spans="6:6" x14ac:dyDescent="0.3">
      <c r="F112555" s="193"/>
    </row>
    <row r="112556" spans="6:6" x14ac:dyDescent="0.3">
      <c r="F112556" s="193"/>
    </row>
    <row r="112557" spans="6:6" x14ac:dyDescent="0.3">
      <c r="F112557" s="193"/>
    </row>
    <row r="112558" spans="6:6" x14ac:dyDescent="0.3">
      <c r="F112558" s="193"/>
    </row>
    <row r="112559" spans="6:6" x14ac:dyDescent="0.3">
      <c r="F112559" s="193"/>
    </row>
    <row r="112560" spans="6:6" x14ac:dyDescent="0.3">
      <c r="F112560" s="193"/>
    </row>
    <row r="112561" spans="6:6" x14ac:dyDescent="0.3">
      <c r="F112561" s="193"/>
    </row>
    <row r="112562" spans="6:6" x14ac:dyDescent="0.3">
      <c r="F112562" s="193"/>
    </row>
    <row r="112563" spans="6:6" x14ac:dyDescent="0.3">
      <c r="F112563" s="193"/>
    </row>
    <row r="112564" spans="6:6" x14ac:dyDescent="0.3">
      <c r="F112564" s="193"/>
    </row>
    <row r="112565" spans="6:6" x14ac:dyDescent="0.3">
      <c r="F112565" s="193"/>
    </row>
    <row r="112566" spans="6:6" x14ac:dyDescent="0.3">
      <c r="F112566" s="193"/>
    </row>
    <row r="112567" spans="6:6" x14ac:dyDescent="0.3">
      <c r="F112567" s="193"/>
    </row>
    <row r="112568" spans="6:6" x14ac:dyDescent="0.3">
      <c r="F112568" s="193"/>
    </row>
    <row r="112569" spans="6:6" x14ac:dyDescent="0.3">
      <c r="F112569" s="193"/>
    </row>
    <row r="112570" spans="6:6" x14ac:dyDescent="0.3">
      <c r="F112570" s="193"/>
    </row>
    <row r="112571" spans="6:6" x14ac:dyDescent="0.3">
      <c r="F112571" s="193"/>
    </row>
    <row r="112572" spans="6:6" x14ac:dyDescent="0.3">
      <c r="F112572" s="193"/>
    </row>
    <row r="112573" spans="6:6" x14ac:dyDescent="0.3">
      <c r="F112573" s="193"/>
    </row>
    <row r="112574" spans="6:6" x14ac:dyDescent="0.3">
      <c r="F112574" s="193"/>
    </row>
    <row r="112575" spans="6:6" x14ac:dyDescent="0.3">
      <c r="F112575" s="193"/>
    </row>
    <row r="112576" spans="6:6" x14ac:dyDescent="0.3">
      <c r="F112576" s="193"/>
    </row>
    <row r="112577" spans="6:6" x14ac:dyDescent="0.3">
      <c r="F112577" s="193"/>
    </row>
    <row r="112578" spans="6:6" x14ac:dyDescent="0.3">
      <c r="F112578" s="193"/>
    </row>
    <row r="112579" spans="6:6" x14ac:dyDescent="0.3">
      <c r="F112579" s="193"/>
    </row>
    <row r="112580" spans="6:6" x14ac:dyDescent="0.3">
      <c r="F112580" s="193"/>
    </row>
    <row r="112581" spans="6:6" x14ac:dyDescent="0.3">
      <c r="F112581" s="193"/>
    </row>
    <row r="112582" spans="6:6" x14ac:dyDescent="0.3">
      <c r="F112582" s="193"/>
    </row>
    <row r="112583" spans="6:6" x14ac:dyDescent="0.3">
      <c r="F112583" s="193"/>
    </row>
    <row r="112584" spans="6:6" x14ac:dyDescent="0.3">
      <c r="F112584" s="193"/>
    </row>
    <row r="112585" spans="6:6" x14ac:dyDescent="0.3">
      <c r="F112585" s="193"/>
    </row>
    <row r="112586" spans="6:6" x14ac:dyDescent="0.3">
      <c r="F112586" s="193"/>
    </row>
    <row r="112587" spans="6:6" x14ac:dyDescent="0.3">
      <c r="F112587" s="193"/>
    </row>
    <row r="112588" spans="6:6" x14ac:dyDescent="0.3">
      <c r="F112588" s="193"/>
    </row>
    <row r="112589" spans="6:6" x14ac:dyDescent="0.3">
      <c r="F112589" s="193"/>
    </row>
    <row r="112590" spans="6:6" x14ac:dyDescent="0.3">
      <c r="F112590" s="193"/>
    </row>
    <row r="112591" spans="6:6" x14ac:dyDescent="0.3">
      <c r="F112591" s="193"/>
    </row>
    <row r="112592" spans="6:6" x14ac:dyDescent="0.3">
      <c r="F112592" s="193"/>
    </row>
    <row r="112593" spans="6:6" x14ac:dyDescent="0.3">
      <c r="F112593" s="193"/>
    </row>
    <row r="112594" spans="6:6" x14ac:dyDescent="0.3">
      <c r="F112594" s="193"/>
    </row>
    <row r="112595" spans="6:6" x14ac:dyDescent="0.3">
      <c r="F112595" s="193"/>
    </row>
    <row r="112596" spans="6:6" x14ac:dyDescent="0.3">
      <c r="F112596" s="193"/>
    </row>
    <row r="112597" spans="6:6" x14ac:dyDescent="0.3">
      <c r="F112597" s="193"/>
    </row>
    <row r="112598" spans="6:6" x14ac:dyDescent="0.3">
      <c r="F112598" s="193"/>
    </row>
    <row r="112599" spans="6:6" x14ac:dyDescent="0.3">
      <c r="F112599" s="193"/>
    </row>
    <row r="112600" spans="6:6" x14ac:dyDescent="0.3">
      <c r="F112600" s="193"/>
    </row>
    <row r="112601" spans="6:6" x14ac:dyDescent="0.3">
      <c r="F112601" s="193"/>
    </row>
    <row r="112602" spans="6:6" x14ac:dyDescent="0.3">
      <c r="F112602" s="193"/>
    </row>
    <row r="112603" spans="6:6" x14ac:dyDescent="0.3">
      <c r="F112603" s="193"/>
    </row>
    <row r="112604" spans="6:6" x14ac:dyDescent="0.3">
      <c r="F112604" s="193"/>
    </row>
    <row r="112605" spans="6:6" x14ac:dyDescent="0.3">
      <c r="F112605" s="193"/>
    </row>
    <row r="112606" spans="6:6" x14ac:dyDescent="0.3">
      <c r="F112606" s="193"/>
    </row>
    <row r="112607" spans="6:6" x14ac:dyDescent="0.3">
      <c r="F112607" s="193"/>
    </row>
    <row r="112608" spans="6:6" x14ac:dyDescent="0.3">
      <c r="F112608" s="193"/>
    </row>
    <row r="112609" spans="6:6" x14ac:dyDescent="0.3">
      <c r="F112609" s="193"/>
    </row>
    <row r="112610" spans="6:6" x14ac:dyDescent="0.3">
      <c r="F112610" s="193"/>
    </row>
    <row r="112611" spans="6:6" x14ac:dyDescent="0.3">
      <c r="F112611" s="193"/>
    </row>
    <row r="112612" spans="6:6" x14ac:dyDescent="0.3">
      <c r="F112612" s="193"/>
    </row>
    <row r="112613" spans="6:6" x14ac:dyDescent="0.3">
      <c r="F112613" s="193"/>
    </row>
    <row r="112614" spans="6:6" x14ac:dyDescent="0.3">
      <c r="F112614" s="193"/>
    </row>
    <row r="112615" spans="6:6" x14ac:dyDescent="0.3">
      <c r="F112615" s="193"/>
    </row>
    <row r="112616" spans="6:6" x14ac:dyDescent="0.3">
      <c r="F112616" s="193"/>
    </row>
    <row r="112617" spans="6:6" x14ac:dyDescent="0.3">
      <c r="F112617" s="193"/>
    </row>
    <row r="112618" spans="6:6" x14ac:dyDescent="0.3">
      <c r="F112618" s="193"/>
    </row>
    <row r="112619" spans="6:6" x14ac:dyDescent="0.3">
      <c r="F112619" s="193"/>
    </row>
    <row r="112620" spans="6:6" x14ac:dyDescent="0.3">
      <c r="F112620" s="193"/>
    </row>
    <row r="112621" spans="6:6" x14ac:dyDescent="0.3">
      <c r="F112621" s="193"/>
    </row>
    <row r="112622" spans="6:6" x14ac:dyDescent="0.3">
      <c r="F112622" s="193"/>
    </row>
    <row r="112623" spans="6:6" x14ac:dyDescent="0.3">
      <c r="F112623" s="193"/>
    </row>
    <row r="112624" spans="6:6" x14ac:dyDescent="0.3">
      <c r="F112624" s="193"/>
    </row>
    <row r="112625" spans="6:6" x14ac:dyDescent="0.3">
      <c r="F112625" s="193"/>
    </row>
    <row r="112626" spans="6:6" x14ac:dyDescent="0.3">
      <c r="F112626" s="193"/>
    </row>
    <row r="112627" spans="6:6" x14ac:dyDescent="0.3">
      <c r="F112627" s="193"/>
    </row>
    <row r="112628" spans="6:6" x14ac:dyDescent="0.3">
      <c r="F112628" s="193"/>
    </row>
    <row r="112629" spans="6:6" x14ac:dyDescent="0.3">
      <c r="F112629" s="193"/>
    </row>
    <row r="112630" spans="6:6" x14ac:dyDescent="0.3">
      <c r="F112630" s="193"/>
    </row>
    <row r="112631" spans="6:6" x14ac:dyDescent="0.3">
      <c r="F112631" s="193"/>
    </row>
    <row r="112632" spans="6:6" x14ac:dyDescent="0.3">
      <c r="F112632" s="193"/>
    </row>
    <row r="112633" spans="6:6" x14ac:dyDescent="0.3">
      <c r="F112633" s="193"/>
    </row>
    <row r="112634" spans="6:6" x14ac:dyDescent="0.3">
      <c r="F112634" s="193"/>
    </row>
    <row r="112635" spans="6:6" x14ac:dyDescent="0.3">
      <c r="F112635" s="193"/>
    </row>
    <row r="112636" spans="6:6" x14ac:dyDescent="0.3">
      <c r="F112636" s="193"/>
    </row>
    <row r="112637" spans="6:6" x14ac:dyDescent="0.3">
      <c r="F112637" s="193"/>
    </row>
    <row r="112638" spans="6:6" x14ac:dyDescent="0.3">
      <c r="F112638" s="193"/>
    </row>
    <row r="112639" spans="6:6" x14ac:dyDescent="0.3">
      <c r="F112639" s="193"/>
    </row>
    <row r="112640" spans="6:6" x14ac:dyDescent="0.3">
      <c r="F112640" s="193"/>
    </row>
    <row r="112641" spans="6:6" x14ac:dyDescent="0.3">
      <c r="F112641" s="193"/>
    </row>
    <row r="112642" spans="6:6" x14ac:dyDescent="0.3">
      <c r="F112642" s="193"/>
    </row>
    <row r="112643" spans="6:6" x14ac:dyDescent="0.3">
      <c r="F112643" s="193"/>
    </row>
    <row r="112644" spans="6:6" x14ac:dyDescent="0.3">
      <c r="F112644" s="193"/>
    </row>
    <row r="112645" spans="6:6" x14ac:dyDescent="0.3">
      <c r="F112645" s="193"/>
    </row>
    <row r="112646" spans="6:6" x14ac:dyDescent="0.3">
      <c r="F112646" s="193"/>
    </row>
    <row r="112647" spans="6:6" x14ac:dyDescent="0.3">
      <c r="F112647" s="193"/>
    </row>
    <row r="112648" spans="6:6" x14ac:dyDescent="0.3">
      <c r="F112648" s="193"/>
    </row>
    <row r="112649" spans="6:6" x14ac:dyDescent="0.3">
      <c r="F112649" s="193"/>
    </row>
    <row r="112650" spans="6:6" x14ac:dyDescent="0.3">
      <c r="F112650" s="193"/>
    </row>
    <row r="112651" spans="6:6" x14ac:dyDescent="0.3">
      <c r="F112651" s="193"/>
    </row>
    <row r="112652" spans="6:6" x14ac:dyDescent="0.3">
      <c r="F112652" s="193"/>
    </row>
    <row r="112653" spans="6:6" x14ac:dyDescent="0.3">
      <c r="F112653" s="193"/>
    </row>
    <row r="112654" spans="6:6" x14ac:dyDescent="0.3">
      <c r="F112654" s="193"/>
    </row>
    <row r="112655" spans="6:6" x14ac:dyDescent="0.3">
      <c r="F112655" s="193"/>
    </row>
    <row r="112656" spans="6:6" x14ac:dyDescent="0.3">
      <c r="F112656" s="193"/>
    </row>
    <row r="112657" spans="6:6" x14ac:dyDescent="0.3">
      <c r="F112657" s="193"/>
    </row>
    <row r="112658" spans="6:6" x14ac:dyDescent="0.3">
      <c r="F112658" s="193"/>
    </row>
    <row r="112659" spans="6:6" x14ac:dyDescent="0.3">
      <c r="F112659" s="193"/>
    </row>
    <row r="112660" spans="6:6" x14ac:dyDescent="0.3">
      <c r="F112660" s="193"/>
    </row>
    <row r="112661" spans="6:6" x14ac:dyDescent="0.3">
      <c r="F112661" s="193"/>
    </row>
    <row r="112662" spans="6:6" x14ac:dyDescent="0.3">
      <c r="F112662" s="193"/>
    </row>
    <row r="112663" spans="6:6" x14ac:dyDescent="0.3">
      <c r="F112663" s="193"/>
    </row>
    <row r="112664" spans="6:6" x14ac:dyDescent="0.3">
      <c r="F112664" s="193"/>
    </row>
    <row r="112665" spans="6:6" x14ac:dyDescent="0.3">
      <c r="F112665" s="193"/>
    </row>
    <row r="112666" spans="6:6" x14ac:dyDescent="0.3">
      <c r="F112666" s="193"/>
    </row>
    <row r="112667" spans="6:6" x14ac:dyDescent="0.3">
      <c r="F112667" s="193"/>
    </row>
    <row r="112668" spans="6:6" x14ac:dyDescent="0.3">
      <c r="F112668" s="193"/>
    </row>
    <row r="112669" spans="6:6" x14ac:dyDescent="0.3">
      <c r="F112669" s="193"/>
    </row>
    <row r="112670" spans="6:6" x14ac:dyDescent="0.3">
      <c r="F112670" s="193"/>
    </row>
    <row r="112671" spans="6:6" x14ac:dyDescent="0.3">
      <c r="F112671" s="193"/>
    </row>
    <row r="112672" spans="6:6" x14ac:dyDescent="0.3">
      <c r="F112672" s="193"/>
    </row>
    <row r="112673" spans="6:6" x14ac:dyDescent="0.3">
      <c r="F112673" s="193"/>
    </row>
    <row r="112674" spans="6:6" x14ac:dyDescent="0.3">
      <c r="F112674" s="193"/>
    </row>
    <row r="112675" spans="6:6" x14ac:dyDescent="0.3">
      <c r="F112675" s="193"/>
    </row>
    <row r="112676" spans="6:6" x14ac:dyDescent="0.3">
      <c r="F112676" s="193"/>
    </row>
    <row r="112677" spans="6:6" x14ac:dyDescent="0.3">
      <c r="F112677" s="193"/>
    </row>
    <row r="112678" spans="6:6" x14ac:dyDescent="0.3">
      <c r="F112678" s="193"/>
    </row>
    <row r="112679" spans="6:6" x14ac:dyDescent="0.3">
      <c r="F112679" s="193"/>
    </row>
    <row r="112680" spans="6:6" x14ac:dyDescent="0.3">
      <c r="F112680" s="193"/>
    </row>
    <row r="112681" spans="6:6" x14ac:dyDescent="0.3">
      <c r="F112681" s="193"/>
    </row>
    <row r="112682" spans="6:6" x14ac:dyDescent="0.3">
      <c r="F112682" s="193"/>
    </row>
    <row r="112683" spans="6:6" x14ac:dyDescent="0.3">
      <c r="F112683" s="193"/>
    </row>
    <row r="112684" spans="6:6" x14ac:dyDescent="0.3">
      <c r="F112684" s="193"/>
    </row>
    <row r="112685" spans="6:6" x14ac:dyDescent="0.3">
      <c r="F112685" s="193"/>
    </row>
    <row r="112686" spans="6:6" x14ac:dyDescent="0.3">
      <c r="F112686" s="193"/>
    </row>
    <row r="112687" spans="6:6" x14ac:dyDescent="0.3">
      <c r="F112687" s="193"/>
    </row>
    <row r="112688" spans="6:6" x14ac:dyDescent="0.3">
      <c r="F112688" s="193"/>
    </row>
    <row r="112689" spans="6:6" x14ac:dyDescent="0.3">
      <c r="F112689" s="193"/>
    </row>
    <row r="112690" spans="6:6" x14ac:dyDescent="0.3">
      <c r="F112690" s="193"/>
    </row>
    <row r="112691" spans="6:6" x14ac:dyDescent="0.3">
      <c r="F112691" s="193"/>
    </row>
    <row r="112692" spans="6:6" x14ac:dyDescent="0.3">
      <c r="F112692" s="193"/>
    </row>
    <row r="112693" spans="6:6" x14ac:dyDescent="0.3">
      <c r="F112693" s="193"/>
    </row>
    <row r="112694" spans="6:6" x14ac:dyDescent="0.3">
      <c r="F112694" s="193"/>
    </row>
    <row r="112695" spans="6:6" x14ac:dyDescent="0.3">
      <c r="F112695" s="193"/>
    </row>
    <row r="112696" spans="6:6" x14ac:dyDescent="0.3">
      <c r="F112696" s="193"/>
    </row>
    <row r="112697" spans="6:6" x14ac:dyDescent="0.3">
      <c r="F112697" s="193"/>
    </row>
    <row r="112698" spans="6:6" x14ac:dyDescent="0.3">
      <c r="F112698" s="193"/>
    </row>
    <row r="112699" spans="6:6" x14ac:dyDescent="0.3">
      <c r="F112699" s="193"/>
    </row>
    <row r="112700" spans="6:6" x14ac:dyDescent="0.3">
      <c r="F112700" s="193"/>
    </row>
    <row r="112701" spans="6:6" x14ac:dyDescent="0.3">
      <c r="F112701" s="193"/>
    </row>
    <row r="112702" spans="6:6" x14ac:dyDescent="0.3">
      <c r="F112702" s="193"/>
    </row>
    <row r="112703" spans="6:6" x14ac:dyDescent="0.3">
      <c r="F112703" s="193"/>
    </row>
    <row r="112704" spans="6:6" x14ac:dyDescent="0.3">
      <c r="F112704" s="193"/>
    </row>
    <row r="112705" spans="6:6" x14ac:dyDescent="0.3">
      <c r="F112705" s="193"/>
    </row>
    <row r="112706" spans="6:6" x14ac:dyDescent="0.3">
      <c r="F112706" s="193"/>
    </row>
    <row r="112707" spans="6:6" x14ac:dyDescent="0.3">
      <c r="F112707" s="193"/>
    </row>
    <row r="112708" spans="6:6" x14ac:dyDescent="0.3">
      <c r="F112708" s="193"/>
    </row>
    <row r="112709" spans="6:6" x14ac:dyDescent="0.3">
      <c r="F112709" s="193"/>
    </row>
    <row r="112710" spans="6:6" x14ac:dyDescent="0.3">
      <c r="F112710" s="193"/>
    </row>
    <row r="112711" spans="6:6" x14ac:dyDescent="0.3">
      <c r="F112711" s="193"/>
    </row>
    <row r="112712" spans="6:6" x14ac:dyDescent="0.3">
      <c r="F112712" s="193"/>
    </row>
    <row r="112713" spans="6:6" x14ac:dyDescent="0.3">
      <c r="F112713" s="193"/>
    </row>
    <row r="112714" spans="6:6" x14ac:dyDescent="0.3">
      <c r="F112714" s="193"/>
    </row>
    <row r="112715" spans="6:6" x14ac:dyDescent="0.3">
      <c r="F112715" s="193"/>
    </row>
    <row r="112716" spans="6:6" x14ac:dyDescent="0.3">
      <c r="F112716" s="193"/>
    </row>
    <row r="112717" spans="6:6" x14ac:dyDescent="0.3">
      <c r="F112717" s="193"/>
    </row>
    <row r="112718" spans="6:6" x14ac:dyDescent="0.3">
      <c r="F112718" s="193"/>
    </row>
    <row r="112719" spans="6:6" x14ac:dyDescent="0.3">
      <c r="F112719" s="193"/>
    </row>
    <row r="112720" spans="6:6" x14ac:dyDescent="0.3">
      <c r="F112720" s="193"/>
    </row>
    <row r="112721" spans="6:6" x14ac:dyDescent="0.3">
      <c r="F112721" s="193"/>
    </row>
    <row r="112722" spans="6:6" x14ac:dyDescent="0.3">
      <c r="F112722" s="193"/>
    </row>
    <row r="112723" spans="6:6" x14ac:dyDescent="0.3">
      <c r="F112723" s="193"/>
    </row>
    <row r="112724" spans="6:6" x14ac:dyDescent="0.3">
      <c r="F112724" s="193"/>
    </row>
    <row r="112725" spans="6:6" x14ac:dyDescent="0.3">
      <c r="F112725" s="193"/>
    </row>
    <row r="112726" spans="6:6" x14ac:dyDescent="0.3">
      <c r="F112726" s="193"/>
    </row>
    <row r="112727" spans="6:6" x14ac:dyDescent="0.3">
      <c r="F112727" s="193"/>
    </row>
    <row r="112728" spans="6:6" x14ac:dyDescent="0.3">
      <c r="F112728" s="193"/>
    </row>
    <row r="112729" spans="6:6" x14ac:dyDescent="0.3">
      <c r="F112729" s="193"/>
    </row>
    <row r="112730" spans="6:6" x14ac:dyDescent="0.3">
      <c r="F112730" s="193"/>
    </row>
    <row r="112731" spans="6:6" x14ac:dyDescent="0.3">
      <c r="F112731" s="193"/>
    </row>
    <row r="112732" spans="6:6" x14ac:dyDescent="0.3">
      <c r="F112732" s="193"/>
    </row>
    <row r="112733" spans="6:6" x14ac:dyDescent="0.3">
      <c r="F112733" s="193"/>
    </row>
    <row r="112734" spans="6:6" x14ac:dyDescent="0.3">
      <c r="F112734" s="193"/>
    </row>
    <row r="112735" spans="6:6" x14ac:dyDescent="0.3">
      <c r="F112735" s="193"/>
    </row>
    <row r="112736" spans="6:6" x14ac:dyDescent="0.3">
      <c r="F112736" s="193"/>
    </row>
    <row r="112737" spans="6:6" x14ac:dyDescent="0.3">
      <c r="F112737" s="193"/>
    </row>
    <row r="112738" spans="6:6" x14ac:dyDescent="0.3">
      <c r="F112738" s="193"/>
    </row>
    <row r="112739" spans="6:6" x14ac:dyDescent="0.3">
      <c r="F112739" s="193"/>
    </row>
    <row r="112740" spans="6:6" x14ac:dyDescent="0.3">
      <c r="F112740" s="193"/>
    </row>
    <row r="112741" spans="6:6" x14ac:dyDescent="0.3">
      <c r="F112741" s="193"/>
    </row>
    <row r="112742" spans="6:6" x14ac:dyDescent="0.3">
      <c r="F112742" s="193"/>
    </row>
    <row r="112743" spans="6:6" x14ac:dyDescent="0.3">
      <c r="F112743" s="193"/>
    </row>
    <row r="112744" spans="6:6" x14ac:dyDescent="0.3">
      <c r="F112744" s="193"/>
    </row>
    <row r="112745" spans="6:6" x14ac:dyDescent="0.3">
      <c r="F112745" s="193"/>
    </row>
    <row r="112746" spans="6:6" x14ac:dyDescent="0.3">
      <c r="F112746" s="193"/>
    </row>
    <row r="112747" spans="6:6" x14ac:dyDescent="0.3">
      <c r="F112747" s="193"/>
    </row>
    <row r="112748" spans="6:6" x14ac:dyDescent="0.3">
      <c r="F112748" s="193"/>
    </row>
    <row r="112749" spans="6:6" x14ac:dyDescent="0.3">
      <c r="F112749" s="193"/>
    </row>
    <row r="112750" spans="6:6" x14ac:dyDescent="0.3">
      <c r="F112750" s="193"/>
    </row>
    <row r="112751" spans="6:6" x14ac:dyDescent="0.3">
      <c r="F112751" s="193"/>
    </row>
    <row r="112752" spans="6:6" x14ac:dyDescent="0.3">
      <c r="F112752" s="193"/>
    </row>
    <row r="112753" spans="6:6" x14ac:dyDescent="0.3">
      <c r="F112753" s="193"/>
    </row>
    <row r="112754" spans="6:6" x14ac:dyDescent="0.3">
      <c r="F112754" s="193"/>
    </row>
    <row r="112755" spans="6:6" x14ac:dyDescent="0.3">
      <c r="F112755" s="193"/>
    </row>
    <row r="112756" spans="6:6" x14ac:dyDescent="0.3">
      <c r="F112756" s="193"/>
    </row>
    <row r="112757" spans="6:6" x14ac:dyDescent="0.3">
      <c r="F112757" s="193"/>
    </row>
    <row r="112758" spans="6:6" x14ac:dyDescent="0.3">
      <c r="F112758" s="193"/>
    </row>
    <row r="112759" spans="6:6" x14ac:dyDescent="0.3">
      <c r="F112759" s="193"/>
    </row>
    <row r="112760" spans="6:6" x14ac:dyDescent="0.3">
      <c r="F112760" s="193"/>
    </row>
    <row r="112761" spans="6:6" x14ac:dyDescent="0.3">
      <c r="F112761" s="193"/>
    </row>
    <row r="112762" spans="6:6" x14ac:dyDescent="0.3">
      <c r="F112762" s="193"/>
    </row>
    <row r="112763" spans="6:6" x14ac:dyDescent="0.3">
      <c r="F112763" s="193"/>
    </row>
    <row r="112764" spans="6:6" x14ac:dyDescent="0.3">
      <c r="F112764" s="193"/>
    </row>
    <row r="112765" spans="6:6" x14ac:dyDescent="0.3">
      <c r="F112765" s="193"/>
    </row>
    <row r="112766" spans="6:6" x14ac:dyDescent="0.3">
      <c r="F112766" s="193"/>
    </row>
    <row r="112767" spans="6:6" x14ac:dyDescent="0.3">
      <c r="F112767" s="193"/>
    </row>
    <row r="112768" spans="6:6" x14ac:dyDescent="0.3">
      <c r="F112768" s="193"/>
    </row>
    <row r="112769" spans="6:6" x14ac:dyDescent="0.3">
      <c r="F112769" s="193"/>
    </row>
    <row r="112770" spans="6:6" x14ac:dyDescent="0.3">
      <c r="F112770" s="193"/>
    </row>
    <row r="112771" spans="6:6" x14ac:dyDescent="0.3">
      <c r="F112771" s="193"/>
    </row>
    <row r="112772" spans="6:6" x14ac:dyDescent="0.3">
      <c r="F112772" s="193"/>
    </row>
    <row r="112773" spans="6:6" x14ac:dyDescent="0.3">
      <c r="F112773" s="193"/>
    </row>
    <row r="112774" spans="6:6" x14ac:dyDescent="0.3">
      <c r="F112774" s="193"/>
    </row>
    <row r="112775" spans="6:6" x14ac:dyDescent="0.3">
      <c r="F112775" s="193"/>
    </row>
    <row r="112776" spans="6:6" x14ac:dyDescent="0.3">
      <c r="F112776" s="193"/>
    </row>
    <row r="112777" spans="6:6" x14ac:dyDescent="0.3">
      <c r="F112777" s="193"/>
    </row>
    <row r="112778" spans="6:6" x14ac:dyDescent="0.3">
      <c r="F112778" s="193"/>
    </row>
    <row r="112779" spans="6:6" x14ac:dyDescent="0.3">
      <c r="F112779" s="193"/>
    </row>
    <row r="112780" spans="6:6" x14ac:dyDescent="0.3">
      <c r="F112780" s="193"/>
    </row>
    <row r="112781" spans="6:6" x14ac:dyDescent="0.3">
      <c r="F112781" s="193"/>
    </row>
    <row r="112782" spans="6:6" x14ac:dyDescent="0.3">
      <c r="F112782" s="193"/>
    </row>
    <row r="112783" spans="6:6" x14ac:dyDescent="0.3">
      <c r="F112783" s="193"/>
    </row>
    <row r="112784" spans="6:6" x14ac:dyDescent="0.3">
      <c r="F112784" s="193"/>
    </row>
    <row r="112785" spans="6:6" x14ac:dyDescent="0.3">
      <c r="F112785" s="193"/>
    </row>
    <row r="112786" spans="6:6" x14ac:dyDescent="0.3">
      <c r="F112786" s="193"/>
    </row>
    <row r="112787" spans="6:6" x14ac:dyDescent="0.3">
      <c r="F112787" s="193"/>
    </row>
    <row r="112788" spans="6:6" x14ac:dyDescent="0.3">
      <c r="F112788" s="193"/>
    </row>
    <row r="112789" spans="6:6" x14ac:dyDescent="0.3">
      <c r="F112789" s="193"/>
    </row>
    <row r="112790" spans="6:6" x14ac:dyDescent="0.3">
      <c r="F112790" s="193"/>
    </row>
    <row r="112791" spans="6:6" x14ac:dyDescent="0.3">
      <c r="F112791" s="193"/>
    </row>
    <row r="112792" spans="6:6" x14ac:dyDescent="0.3">
      <c r="F112792" s="193"/>
    </row>
    <row r="112793" spans="6:6" x14ac:dyDescent="0.3">
      <c r="F112793" s="193"/>
    </row>
    <row r="112794" spans="6:6" x14ac:dyDescent="0.3">
      <c r="F112794" s="193"/>
    </row>
    <row r="112795" spans="6:6" x14ac:dyDescent="0.3">
      <c r="F112795" s="193"/>
    </row>
    <row r="112796" spans="6:6" x14ac:dyDescent="0.3">
      <c r="F112796" s="193"/>
    </row>
    <row r="112797" spans="6:6" x14ac:dyDescent="0.3">
      <c r="F112797" s="193"/>
    </row>
    <row r="112798" spans="6:6" x14ac:dyDescent="0.3">
      <c r="F112798" s="193"/>
    </row>
    <row r="112799" spans="6:6" x14ac:dyDescent="0.3">
      <c r="F112799" s="193"/>
    </row>
    <row r="112800" spans="6:6" x14ac:dyDescent="0.3">
      <c r="F112800" s="193"/>
    </row>
    <row r="112801" spans="6:6" x14ac:dyDescent="0.3">
      <c r="F112801" s="193"/>
    </row>
    <row r="112802" spans="6:6" x14ac:dyDescent="0.3">
      <c r="F112802" s="193"/>
    </row>
    <row r="112803" spans="6:6" x14ac:dyDescent="0.3">
      <c r="F112803" s="193"/>
    </row>
    <row r="112804" spans="6:6" x14ac:dyDescent="0.3">
      <c r="F112804" s="193"/>
    </row>
    <row r="112805" spans="6:6" x14ac:dyDescent="0.3">
      <c r="F112805" s="193"/>
    </row>
    <row r="112806" spans="6:6" x14ac:dyDescent="0.3">
      <c r="F112806" s="193"/>
    </row>
    <row r="112807" spans="6:6" x14ac:dyDescent="0.3">
      <c r="F112807" s="193"/>
    </row>
    <row r="112808" spans="6:6" x14ac:dyDescent="0.3">
      <c r="F112808" s="193"/>
    </row>
    <row r="112809" spans="6:6" x14ac:dyDescent="0.3">
      <c r="F112809" s="193"/>
    </row>
    <row r="112810" spans="6:6" x14ac:dyDescent="0.3">
      <c r="F112810" s="193"/>
    </row>
    <row r="112811" spans="6:6" x14ac:dyDescent="0.3">
      <c r="F112811" s="193"/>
    </row>
    <row r="112812" spans="6:6" x14ac:dyDescent="0.3">
      <c r="F112812" s="193"/>
    </row>
    <row r="112813" spans="6:6" x14ac:dyDescent="0.3">
      <c r="F112813" s="193"/>
    </row>
    <row r="112814" spans="6:6" x14ac:dyDescent="0.3">
      <c r="F112814" s="193"/>
    </row>
    <row r="112815" spans="6:6" x14ac:dyDescent="0.3">
      <c r="F112815" s="193"/>
    </row>
    <row r="112816" spans="6:6" x14ac:dyDescent="0.3">
      <c r="F112816" s="193"/>
    </row>
    <row r="112817" spans="6:6" x14ac:dyDescent="0.3">
      <c r="F112817" s="193"/>
    </row>
    <row r="112818" spans="6:6" x14ac:dyDescent="0.3">
      <c r="F112818" s="193"/>
    </row>
    <row r="112819" spans="6:6" x14ac:dyDescent="0.3">
      <c r="F112819" s="193"/>
    </row>
    <row r="112820" spans="6:6" x14ac:dyDescent="0.3">
      <c r="F112820" s="193"/>
    </row>
    <row r="112821" spans="6:6" x14ac:dyDescent="0.3">
      <c r="F112821" s="193"/>
    </row>
    <row r="112822" spans="6:6" x14ac:dyDescent="0.3">
      <c r="F112822" s="193"/>
    </row>
    <row r="112823" spans="6:6" x14ac:dyDescent="0.3">
      <c r="F112823" s="193"/>
    </row>
    <row r="112824" spans="6:6" x14ac:dyDescent="0.3">
      <c r="F112824" s="193"/>
    </row>
    <row r="112825" spans="6:6" x14ac:dyDescent="0.3">
      <c r="F112825" s="193"/>
    </row>
    <row r="112826" spans="6:6" x14ac:dyDescent="0.3">
      <c r="F112826" s="193"/>
    </row>
    <row r="112827" spans="6:6" x14ac:dyDescent="0.3">
      <c r="F112827" s="193"/>
    </row>
    <row r="112828" spans="6:6" x14ac:dyDescent="0.3">
      <c r="F112828" s="193"/>
    </row>
    <row r="112829" spans="6:6" x14ac:dyDescent="0.3">
      <c r="F112829" s="193"/>
    </row>
    <row r="112830" spans="6:6" x14ac:dyDescent="0.3">
      <c r="F112830" s="193"/>
    </row>
    <row r="112831" spans="6:6" x14ac:dyDescent="0.3">
      <c r="F112831" s="193"/>
    </row>
    <row r="112832" spans="6:6" x14ac:dyDescent="0.3">
      <c r="F112832" s="193"/>
    </row>
    <row r="112833" spans="6:6" x14ac:dyDescent="0.3">
      <c r="F112833" s="193"/>
    </row>
    <row r="112834" spans="6:6" x14ac:dyDescent="0.3">
      <c r="F112834" s="193"/>
    </row>
    <row r="112835" spans="6:6" x14ac:dyDescent="0.3">
      <c r="F112835" s="193"/>
    </row>
    <row r="112836" spans="6:6" x14ac:dyDescent="0.3">
      <c r="F112836" s="193"/>
    </row>
    <row r="112837" spans="6:6" x14ac:dyDescent="0.3">
      <c r="F112837" s="193"/>
    </row>
    <row r="112838" spans="6:6" x14ac:dyDescent="0.3">
      <c r="F112838" s="193"/>
    </row>
    <row r="112839" spans="6:6" x14ac:dyDescent="0.3">
      <c r="F112839" s="193"/>
    </row>
    <row r="112840" spans="6:6" x14ac:dyDescent="0.3">
      <c r="F112840" s="193"/>
    </row>
    <row r="112841" spans="6:6" x14ac:dyDescent="0.3">
      <c r="F112841" s="193"/>
    </row>
    <row r="112842" spans="6:6" x14ac:dyDescent="0.3">
      <c r="F112842" s="193"/>
    </row>
    <row r="112843" spans="6:6" x14ac:dyDescent="0.3">
      <c r="F112843" s="193"/>
    </row>
    <row r="112844" spans="6:6" x14ac:dyDescent="0.3">
      <c r="F112844" s="193"/>
    </row>
    <row r="112845" spans="6:6" x14ac:dyDescent="0.3">
      <c r="F112845" s="193"/>
    </row>
    <row r="112846" spans="6:6" x14ac:dyDescent="0.3">
      <c r="F112846" s="193"/>
    </row>
    <row r="112847" spans="6:6" x14ac:dyDescent="0.3">
      <c r="F112847" s="193"/>
    </row>
    <row r="112848" spans="6:6" x14ac:dyDescent="0.3">
      <c r="F112848" s="193"/>
    </row>
    <row r="112849" spans="6:6" x14ac:dyDescent="0.3">
      <c r="F112849" s="193"/>
    </row>
    <row r="112850" spans="6:6" x14ac:dyDescent="0.3">
      <c r="F112850" s="193"/>
    </row>
    <row r="112851" spans="6:6" x14ac:dyDescent="0.3">
      <c r="F112851" s="193"/>
    </row>
    <row r="112852" spans="6:6" x14ac:dyDescent="0.3">
      <c r="F112852" s="193"/>
    </row>
    <row r="112853" spans="6:6" x14ac:dyDescent="0.3">
      <c r="F112853" s="193"/>
    </row>
    <row r="112854" spans="6:6" x14ac:dyDescent="0.3">
      <c r="F112854" s="193"/>
    </row>
    <row r="112855" spans="6:6" x14ac:dyDescent="0.3">
      <c r="F112855" s="193"/>
    </row>
    <row r="112856" spans="6:6" x14ac:dyDescent="0.3">
      <c r="F112856" s="193"/>
    </row>
    <row r="112857" spans="6:6" x14ac:dyDescent="0.3">
      <c r="F112857" s="193"/>
    </row>
    <row r="112858" spans="6:6" x14ac:dyDescent="0.3">
      <c r="F112858" s="193"/>
    </row>
    <row r="112859" spans="6:6" x14ac:dyDescent="0.3">
      <c r="F112859" s="193"/>
    </row>
    <row r="112860" spans="6:6" x14ac:dyDescent="0.3">
      <c r="F112860" s="193"/>
    </row>
    <row r="112861" spans="6:6" x14ac:dyDescent="0.3">
      <c r="F112861" s="193"/>
    </row>
    <row r="112862" spans="6:6" x14ac:dyDescent="0.3">
      <c r="F112862" s="193"/>
    </row>
    <row r="112863" spans="6:6" x14ac:dyDescent="0.3">
      <c r="F112863" s="193"/>
    </row>
    <row r="112864" spans="6:6" x14ac:dyDescent="0.3">
      <c r="F112864" s="193"/>
    </row>
    <row r="112865" spans="6:6" x14ac:dyDescent="0.3">
      <c r="F112865" s="193"/>
    </row>
    <row r="112866" spans="6:6" x14ac:dyDescent="0.3">
      <c r="F112866" s="193"/>
    </row>
    <row r="112867" spans="6:6" x14ac:dyDescent="0.3">
      <c r="F112867" s="193"/>
    </row>
    <row r="112868" spans="6:6" x14ac:dyDescent="0.3">
      <c r="F112868" s="193"/>
    </row>
    <row r="112869" spans="6:6" x14ac:dyDescent="0.3">
      <c r="F112869" s="193"/>
    </row>
    <row r="112870" spans="6:6" x14ac:dyDescent="0.3">
      <c r="F112870" s="193"/>
    </row>
    <row r="112871" spans="6:6" x14ac:dyDescent="0.3">
      <c r="F112871" s="193"/>
    </row>
    <row r="112872" spans="6:6" x14ac:dyDescent="0.3">
      <c r="F112872" s="193"/>
    </row>
    <row r="112873" spans="6:6" x14ac:dyDescent="0.3">
      <c r="F112873" s="193"/>
    </row>
    <row r="112874" spans="6:6" x14ac:dyDescent="0.3">
      <c r="F112874" s="193"/>
    </row>
    <row r="112875" spans="6:6" x14ac:dyDescent="0.3">
      <c r="F112875" s="193"/>
    </row>
    <row r="112876" spans="6:6" x14ac:dyDescent="0.3">
      <c r="F112876" s="193"/>
    </row>
    <row r="112877" spans="6:6" x14ac:dyDescent="0.3">
      <c r="F112877" s="193"/>
    </row>
    <row r="112878" spans="6:6" x14ac:dyDescent="0.3">
      <c r="F112878" s="193"/>
    </row>
    <row r="112879" spans="6:6" x14ac:dyDescent="0.3">
      <c r="F112879" s="193"/>
    </row>
    <row r="112880" spans="6:6" x14ac:dyDescent="0.3">
      <c r="F112880" s="193"/>
    </row>
    <row r="112881" spans="6:6" x14ac:dyDescent="0.3">
      <c r="F112881" s="193"/>
    </row>
    <row r="112882" spans="6:6" x14ac:dyDescent="0.3">
      <c r="F112882" s="193"/>
    </row>
    <row r="112883" spans="6:6" x14ac:dyDescent="0.3">
      <c r="F112883" s="193"/>
    </row>
    <row r="112884" spans="6:6" x14ac:dyDescent="0.3">
      <c r="F112884" s="193"/>
    </row>
    <row r="112885" spans="6:6" x14ac:dyDescent="0.3">
      <c r="F112885" s="193"/>
    </row>
    <row r="112886" spans="6:6" x14ac:dyDescent="0.3">
      <c r="F112886" s="193"/>
    </row>
    <row r="112887" spans="6:6" x14ac:dyDescent="0.3">
      <c r="F112887" s="193"/>
    </row>
    <row r="112888" spans="6:6" x14ac:dyDescent="0.3">
      <c r="F112888" s="193"/>
    </row>
    <row r="112889" spans="6:6" x14ac:dyDescent="0.3">
      <c r="F112889" s="193"/>
    </row>
    <row r="112890" spans="6:6" x14ac:dyDescent="0.3">
      <c r="F112890" s="193"/>
    </row>
    <row r="112891" spans="6:6" x14ac:dyDescent="0.3">
      <c r="F112891" s="193"/>
    </row>
    <row r="112892" spans="6:6" x14ac:dyDescent="0.3">
      <c r="F112892" s="193"/>
    </row>
    <row r="112893" spans="6:6" x14ac:dyDescent="0.3">
      <c r="F112893" s="193"/>
    </row>
    <row r="112894" spans="6:6" x14ac:dyDescent="0.3">
      <c r="F112894" s="193"/>
    </row>
    <row r="112895" spans="6:6" x14ac:dyDescent="0.3">
      <c r="F112895" s="193"/>
    </row>
    <row r="112896" spans="6:6" x14ac:dyDescent="0.3">
      <c r="F112896" s="193"/>
    </row>
    <row r="112897" spans="6:6" x14ac:dyDescent="0.3">
      <c r="F112897" s="193"/>
    </row>
    <row r="112898" spans="6:6" x14ac:dyDescent="0.3">
      <c r="F112898" s="193"/>
    </row>
    <row r="112899" spans="6:6" x14ac:dyDescent="0.3">
      <c r="F112899" s="193"/>
    </row>
    <row r="112900" spans="6:6" x14ac:dyDescent="0.3">
      <c r="F112900" s="193"/>
    </row>
    <row r="112901" spans="6:6" x14ac:dyDescent="0.3">
      <c r="F112901" s="193"/>
    </row>
    <row r="112902" spans="6:6" x14ac:dyDescent="0.3">
      <c r="F112902" s="193"/>
    </row>
    <row r="112903" spans="6:6" x14ac:dyDescent="0.3">
      <c r="F112903" s="193"/>
    </row>
    <row r="112904" spans="6:6" x14ac:dyDescent="0.3">
      <c r="F112904" s="193"/>
    </row>
    <row r="112905" spans="6:6" x14ac:dyDescent="0.3">
      <c r="F112905" s="193"/>
    </row>
    <row r="112906" spans="6:6" x14ac:dyDescent="0.3">
      <c r="F112906" s="193"/>
    </row>
    <row r="112907" spans="6:6" x14ac:dyDescent="0.3">
      <c r="F112907" s="193"/>
    </row>
    <row r="112908" spans="6:6" x14ac:dyDescent="0.3">
      <c r="F112908" s="193"/>
    </row>
    <row r="112909" spans="6:6" x14ac:dyDescent="0.3">
      <c r="F112909" s="193"/>
    </row>
    <row r="112910" spans="6:6" x14ac:dyDescent="0.3">
      <c r="F112910" s="193"/>
    </row>
    <row r="112911" spans="6:6" x14ac:dyDescent="0.3">
      <c r="F112911" s="193"/>
    </row>
    <row r="112912" spans="6:6" x14ac:dyDescent="0.3">
      <c r="F112912" s="193"/>
    </row>
    <row r="112913" spans="6:6" x14ac:dyDescent="0.3">
      <c r="F112913" s="193"/>
    </row>
    <row r="112914" spans="6:6" x14ac:dyDescent="0.3">
      <c r="F112914" s="193"/>
    </row>
    <row r="112915" spans="6:6" x14ac:dyDescent="0.3">
      <c r="F112915" s="193"/>
    </row>
    <row r="112916" spans="6:6" x14ac:dyDescent="0.3">
      <c r="F112916" s="193"/>
    </row>
    <row r="112917" spans="6:6" x14ac:dyDescent="0.3">
      <c r="F112917" s="193"/>
    </row>
    <row r="112918" spans="6:6" x14ac:dyDescent="0.3">
      <c r="F112918" s="193"/>
    </row>
    <row r="112919" spans="6:6" x14ac:dyDescent="0.3">
      <c r="F112919" s="193"/>
    </row>
    <row r="112920" spans="6:6" x14ac:dyDescent="0.3">
      <c r="F112920" s="193"/>
    </row>
    <row r="112921" spans="6:6" x14ac:dyDescent="0.3">
      <c r="F112921" s="193"/>
    </row>
    <row r="112922" spans="6:6" x14ac:dyDescent="0.3">
      <c r="F112922" s="193"/>
    </row>
    <row r="112923" spans="6:6" x14ac:dyDescent="0.3">
      <c r="F112923" s="193"/>
    </row>
    <row r="112924" spans="6:6" x14ac:dyDescent="0.3">
      <c r="F112924" s="193"/>
    </row>
    <row r="112925" spans="6:6" x14ac:dyDescent="0.3">
      <c r="F112925" s="193"/>
    </row>
    <row r="112926" spans="6:6" x14ac:dyDescent="0.3">
      <c r="F112926" s="193"/>
    </row>
    <row r="112927" spans="6:6" x14ac:dyDescent="0.3">
      <c r="F112927" s="193"/>
    </row>
    <row r="112928" spans="6:6" x14ac:dyDescent="0.3">
      <c r="F112928" s="193"/>
    </row>
    <row r="112929" spans="6:6" x14ac:dyDescent="0.3">
      <c r="F112929" s="193"/>
    </row>
    <row r="112930" spans="6:6" x14ac:dyDescent="0.3">
      <c r="F112930" s="193"/>
    </row>
    <row r="112931" spans="6:6" x14ac:dyDescent="0.3">
      <c r="F112931" s="193"/>
    </row>
    <row r="112932" spans="6:6" x14ac:dyDescent="0.3">
      <c r="F112932" s="193"/>
    </row>
    <row r="112933" spans="6:6" x14ac:dyDescent="0.3">
      <c r="F112933" s="193"/>
    </row>
    <row r="112934" spans="6:6" x14ac:dyDescent="0.3">
      <c r="F112934" s="193"/>
    </row>
    <row r="112935" spans="6:6" x14ac:dyDescent="0.3">
      <c r="F112935" s="193"/>
    </row>
    <row r="112936" spans="6:6" x14ac:dyDescent="0.3">
      <c r="F112936" s="193"/>
    </row>
    <row r="112937" spans="6:6" x14ac:dyDescent="0.3">
      <c r="F112937" s="193"/>
    </row>
    <row r="112938" spans="6:6" x14ac:dyDescent="0.3">
      <c r="F112938" s="193"/>
    </row>
    <row r="112939" spans="6:6" x14ac:dyDescent="0.3">
      <c r="F112939" s="193"/>
    </row>
    <row r="112940" spans="6:6" x14ac:dyDescent="0.3">
      <c r="F112940" s="193"/>
    </row>
    <row r="112941" spans="6:6" x14ac:dyDescent="0.3">
      <c r="F112941" s="193"/>
    </row>
    <row r="112942" spans="6:6" x14ac:dyDescent="0.3">
      <c r="F112942" s="193"/>
    </row>
    <row r="112943" spans="6:6" x14ac:dyDescent="0.3">
      <c r="F112943" s="193"/>
    </row>
    <row r="112944" spans="6:6" x14ac:dyDescent="0.3">
      <c r="F112944" s="193"/>
    </row>
    <row r="112945" spans="6:6" x14ac:dyDescent="0.3">
      <c r="F112945" s="193"/>
    </row>
    <row r="112946" spans="6:6" x14ac:dyDescent="0.3">
      <c r="F112946" s="193"/>
    </row>
    <row r="112947" spans="6:6" x14ac:dyDescent="0.3">
      <c r="F112947" s="193"/>
    </row>
    <row r="112948" spans="6:6" x14ac:dyDescent="0.3">
      <c r="F112948" s="193"/>
    </row>
    <row r="112949" spans="6:6" x14ac:dyDescent="0.3">
      <c r="F112949" s="193"/>
    </row>
    <row r="112950" spans="6:6" x14ac:dyDescent="0.3">
      <c r="F112950" s="193"/>
    </row>
    <row r="112951" spans="6:6" x14ac:dyDescent="0.3">
      <c r="F112951" s="193"/>
    </row>
    <row r="112952" spans="6:6" x14ac:dyDescent="0.3">
      <c r="F112952" s="193"/>
    </row>
    <row r="112953" spans="6:6" x14ac:dyDescent="0.3">
      <c r="F112953" s="193"/>
    </row>
    <row r="112954" spans="6:6" x14ac:dyDescent="0.3">
      <c r="F112954" s="193"/>
    </row>
    <row r="112955" spans="6:6" x14ac:dyDescent="0.3">
      <c r="F112955" s="193"/>
    </row>
    <row r="112956" spans="6:6" x14ac:dyDescent="0.3">
      <c r="F112956" s="193"/>
    </row>
    <row r="112957" spans="6:6" x14ac:dyDescent="0.3">
      <c r="F112957" s="193"/>
    </row>
    <row r="112958" spans="6:6" x14ac:dyDescent="0.3">
      <c r="F112958" s="193"/>
    </row>
    <row r="112959" spans="6:6" x14ac:dyDescent="0.3">
      <c r="F112959" s="193"/>
    </row>
    <row r="112960" spans="6:6" x14ac:dyDescent="0.3">
      <c r="F112960" s="193"/>
    </row>
    <row r="112961" spans="6:6" x14ac:dyDescent="0.3">
      <c r="F112961" s="193"/>
    </row>
    <row r="112962" spans="6:6" x14ac:dyDescent="0.3">
      <c r="F112962" s="193"/>
    </row>
    <row r="112963" spans="6:6" x14ac:dyDescent="0.3">
      <c r="F112963" s="193"/>
    </row>
    <row r="112964" spans="6:6" x14ac:dyDescent="0.3">
      <c r="F112964" s="193"/>
    </row>
    <row r="112965" spans="6:6" x14ac:dyDescent="0.3">
      <c r="F112965" s="193"/>
    </row>
    <row r="112966" spans="6:6" x14ac:dyDescent="0.3">
      <c r="F112966" s="193"/>
    </row>
    <row r="112967" spans="6:6" x14ac:dyDescent="0.3">
      <c r="F112967" s="193"/>
    </row>
    <row r="112968" spans="6:6" x14ac:dyDescent="0.3">
      <c r="F112968" s="193"/>
    </row>
    <row r="112969" spans="6:6" x14ac:dyDescent="0.3">
      <c r="F112969" s="193"/>
    </row>
    <row r="112970" spans="6:6" x14ac:dyDescent="0.3">
      <c r="F112970" s="193"/>
    </row>
    <row r="112971" spans="6:6" x14ac:dyDescent="0.3">
      <c r="F112971" s="193"/>
    </row>
    <row r="112972" spans="6:6" x14ac:dyDescent="0.3">
      <c r="F112972" s="193"/>
    </row>
    <row r="112973" spans="6:6" x14ac:dyDescent="0.3">
      <c r="F112973" s="193"/>
    </row>
    <row r="112974" spans="6:6" x14ac:dyDescent="0.3">
      <c r="F112974" s="193"/>
    </row>
    <row r="112975" spans="6:6" x14ac:dyDescent="0.3">
      <c r="F112975" s="193"/>
    </row>
    <row r="112976" spans="6:6" x14ac:dyDescent="0.3">
      <c r="F112976" s="193"/>
    </row>
    <row r="112977" spans="6:6" x14ac:dyDescent="0.3">
      <c r="F112977" s="193"/>
    </row>
    <row r="112978" spans="6:6" x14ac:dyDescent="0.3">
      <c r="F112978" s="193"/>
    </row>
    <row r="112979" spans="6:6" x14ac:dyDescent="0.3">
      <c r="F112979" s="193"/>
    </row>
    <row r="112980" spans="6:6" x14ac:dyDescent="0.3">
      <c r="F112980" s="193"/>
    </row>
    <row r="112981" spans="6:6" x14ac:dyDescent="0.3">
      <c r="F112981" s="193"/>
    </row>
    <row r="112982" spans="6:6" x14ac:dyDescent="0.3">
      <c r="F112982" s="193"/>
    </row>
    <row r="112983" spans="6:6" x14ac:dyDescent="0.3">
      <c r="F112983" s="193"/>
    </row>
    <row r="112984" spans="6:6" x14ac:dyDescent="0.3">
      <c r="F112984" s="193"/>
    </row>
    <row r="112985" spans="6:6" x14ac:dyDescent="0.3">
      <c r="F112985" s="193"/>
    </row>
    <row r="112986" spans="6:6" x14ac:dyDescent="0.3">
      <c r="F112986" s="193"/>
    </row>
    <row r="112987" spans="6:6" x14ac:dyDescent="0.3">
      <c r="F112987" s="193"/>
    </row>
    <row r="112988" spans="6:6" x14ac:dyDescent="0.3">
      <c r="F112988" s="193"/>
    </row>
    <row r="112989" spans="6:6" x14ac:dyDescent="0.3">
      <c r="F112989" s="193"/>
    </row>
    <row r="112990" spans="6:6" x14ac:dyDescent="0.3">
      <c r="F112990" s="193"/>
    </row>
    <row r="112991" spans="6:6" x14ac:dyDescent="0.3">
      <c r="F112991" s="193"/>
    </row>
    <row r="112992" spans="6:6" x14ac:dyDescent="0.3">
      <c r="F112992" s="193"/>
    </row>
    <row r="112993" spans="6:6" x14ac:dyDescent="0.3">
      <c r="F112993" s="193"/>
    </row>
    <row r="112994" spans="6:6" x14ac:dyDescent="0.3">
      <c r="F112994" s="193"/>
    </row>
    <row r="112995" spans="6:6" x14ac:dyDescent="0.3">
      <c r="F112995" s="193"/>
    </row>
    <row r="112996" spans="6:6" x14ac:dyDescent="0.3">
      <c r="F112996" s="193"/>
    </row>
    <row r="112997" spans="6:6" x14ac:dyDescent="0.3">
      <c r="F112997" s="193"/>
    </row>
    <row r="112998" spans="6:6" x14ac:dyDescent="0.3">
      <c r="F112998" s="193"/>
    </row>
    <row r="112999" spans="6:6" x14ac:dyDescent="0.3">
      <c r="F112999" s="193"/>
    </row>
    <row r="113000" spans="6:6" x14ac:dyDescent="0.3">
      <c r="F113000" s="193"/>
    </row>
    <row r="113001" spans="6:6" x14ac:dyDescent="0.3">
      <c r="F113001" s="193"/>
    </row>
    <row r="113002" spans="6:6" x14ac:dyDescent="0.3">
      <c r="F113002" s="193"/>
    </row>
    <row r="113003" spans="6:6" x14ac:dyDescent="0.3">
      <c r="F113003" s="193"/>
    </row>
    <row r="113004" spans="6:6" x14ac:dyDescent="0.3">
      <c r="F113004" s="193"/>
    </row>
    <row r="113005" spans="6:6" x14ac:dyDescent="0.3">
      <c r="F113005" s="193"/>
    </row>
    <row r="113006" spans="6:6" x14ac:dyDescent="0.3">
      <c r="F113006" s="193"/>
    </row>
    <row r="113007" spans="6:6" x14ac:dyDescent="0.3">
      <c r="F113007" s="193"/>
    </row>
    <row r="113008" spans="6:6" x14ac:dyDescent="0.3">
      <c r="F113008" s="193"/>
    </row>
    <row r="113009" spans="6:6" x14ac:dyDescent="0.3">
      <c r="F113009" s="193"/>
    </row>
    <row r="113010" spans="6:6" x14ac:dyDescent="0.3">
      <c r="F113010" s="193"/>
    </row>
    <row r="113011" spans="6:6" x14ac:dyDescent="0.3">
      <c r="F113011" s="193"/>
    </row>
    <row r="113012" spans="6:6" x14ac:dyDescent="0.3">
      <c r="F113012" s="193"/>
    </row>
    <row r="113013" spans="6:6" x14ac:dyDescent="0.3">
      <c r="F113013" s="193"/>
    </row>
    <row r="113014" spans="6:6" x14ac:dyDescent="0.3">
      <c r="F113014" s="193"/>
    </row>
    <row r="113015" spans="6:6" x14ac:dyDescent="0.3">
      <c r="F113015" s="193"/>
    </row>
    <row r="113016" spans="6:6" x14ac:dyDescent="0.3">
      <c r="F113016" s="193"/>
    </row>
    <row r="113017" spans="6:6" x14ac:dyDescent="0.3">
      <c r="F113017" s="193"/>
    </row>
    <row r="113018" spans="6:6" x14ac:dyDescent="0.3">
      <c r="F113018" s="193"/>
    </row>
    <row r="113019" spans="6:6" x14ac:dyDescent="0.3">
      <c r="F113019" s="193"/>
    </row>
    <row r="113020" spans="6:6" x14ac:dyDescent="0.3">
      <c r="F113020" s="193"/>
    </row>
    <row r="113021" spans="6:6" x14ac:dyDescent="0.3">
      <c r="F113021" s="193"/>
    </row>
    <row r="113022" spans="6:6" x14ac:dyDescent="0.3">
      <c r="F113022" s="193"/>
    </row>
    <row r="113023" spans="6:6" x14ac:dyDescent="0.3">
      <c r="F113023" s="193"/>
    </row>
    <row r="113024" spans="6:6" x14ac:dyDescent="0.3">
      <c r="F113024" s="193"/>
    </row>
    <row r="113025" spans="6:6" x14ac:dyDescent="0.3">
      <c r="F113025" s="193"/>
    </row>
    <row r="113026" spans="6:6" x14ac:dyDescent="0.3">
      <c r="F113026" s="193"/>
    </row>
    <row r="113027" spans="6:6" x14ac:dyDescent="0.3">
      <c r="F113027" s="193"/>
    </row>
    <row r="113028" spans="6:6" x14ac:dyDescent="0.3">
      <c r="F113028" s="193"/>
    </row>
    <row r="113029" spans="6:6" x14ac:dyDescent="0.3">
      <c r="F113029" s="193"/>
    </row>
    <row r="113030" spans="6:6" x14ac:dyDescent="0.3">
      <c r="F113030" s="193"/>
    </row>
    <row r="113031" spans="6:6" x14ac:dyDescent="0.3">
      <c r="F113031" s="193"/>
    </row>
    <row r="113032" spans="6:6" x14ac:dyDescent="0.3">
      <c r="F113032" s="193"/>
    </row>
    <row r="113033" spans="6:6" x14ac:dyDescent="0.3">
      <c r="F113033" s="193"/>
    </row>
    <row r="113034" spans="6:6" x14ac:dyDescent="0.3">
      <c r="F113034" s="193"/>
    </row>
    <row r="113035" spans="6:6" x14ac:dyDescent="0.3">
      <c r="F113035" s="193"/>
    </row>
    <row r="113036" spans="6:6" x14ac:dyDescent="0.3">
      <c r="F113036" s="193"/>
    </row>
    <row r="113037" spans="6:6" x14ac:dyDescent="0.3">
      <c r="F113037" s="193"/>
    </row>
    <row r="113038" spans="6:6" x14ac:dyDescent="0.3">
      <c r="F113038" s="193"/>
    </row>
    <row r="113039" spans="6:6" x14ac:dyDescent="0.3">
      <c r="F113039" s="193"/>
    </row>
    <row r="113040" spans="6:6" x14ac:dyDescent="0.3">
      <c r="F113040" s="193"/>
    </row>
    <row r="113041" spans="6:6" x14ac:dyDescent="0.3">
      <c r="F113041" s="193"/>
    </row>
    <row r="113042" spans="6:6" x14ac:dyDescent="0.3">
      <c r="F113042" s="193"/>
    </row>
    <row r="113043" spans="6:6" x14ac:dyDescent="0.3">
      <c r="F113043" s="193"/>
    </row>
    <row r="113044" spans="6:6" x14ac:dyDescent="0.3">
      <c r="F113044" s="193"/>
    </row>
    <row r="113045" spans="6:6" x14ac:dyDescent="0.3">
      <c r="F113045" s="193"/>
    </row>
    <row r="113046" spans="6:6" x14ac:dyDescent="0.3">
      <c r="F113046" s="193"/>
    </row>
    <row r="113047" spans="6:6" x14ac:dyDescent="0.3">
      <c r="F113047" s="193"/>
    </row>
    <row r="113048" spans="6:6" x14ac:dyDescent="0.3">
      <c r="F113048" s="193"/>
    </row>
    <row r="113049" spans="6:6" x14ac:dyDescent="0.3">
      <c r="F113049" s="193"/>
    </row>
    <row r="113050" spans="6:6" x14ac:dyDescent="0.3">
      <c r="F113050" s="193"/>
    </row>
    <row r="113051" spans="6:6" x14ac:dyDescent="0.3">
      <c r="F113051" s="193"/>
    </row>
    <row r="113052" spans="6:6" x14ac:dyDescent="0.3">
      <c r="F113052" s="193"/>
    </row>
    <row r="113053" spans="6:6" x14ac:dyDescent="0.3">
      <c r="F113053" s="193"/>
    </row>
    <row r="113054" spans="6:6" x14ac:dyDescent="0.3">
      <c r="F113054" s="193"/>
    </row>
    <row r="113055" spans="6:6" x14ac:dyDescent="0.3">
      <c r="F113055" s="193"/>
    </row>
    <row r="113056" spans="6:6" x14ac:dyDescent="0.3">
      <c r="F113056" s="193"/>
    </row>
    <row r="113057" spans="6:6" x14ac:dyDescent="0.3">
      <c r="F113057" s="193"/>
    </row>
    <row r="113058" spans="6:6" x14ac:dyDescent="0.3">
      <c r="F113058" s="193"/>
    </row>
    <row r="113059" spans="6:6" x14ac:dyDescent="0.3">
      <c r="F113059" s="193"/>
    </row>
    <row r="113060" spans="6:6" x14ac:dyDescent="0.3">
      <c r="F113060" s="193"/>
    </row>
    <row r="113061" spans="6:6" x14ac:dyDescent="0.3">
      <c r="F113061" s="193"/>
    </row>
    <row r="113062" spans="6:6" x14ac:dyDescent="0.3">
      <c r="F113062" s="193"/>
    </row>
    <row r="113063" spans="6:6" x14ac:dyDescent="0.3">
      <c r="F113063" s="193"/>
    </row>
    <row r="113064" spans="6:6" x14ac:dyDescent="0.3">
      <c r="F113064" s="193"/>
    </row>
    <row r="113065" spans="6:6" x14ac:dyDescent="0.3">
      <c r="F113065" s="193"/>
    </row>
    <row r="113066" spans="6:6" x14ac:dyDescent="0.3">
      <c r="F113066" s="193"/>
    </row>
    <row r="113067" spans="6:6" x14ac:dyDescent="0.3">
      <c r="F113067" s="193"/>
    </row>
    <row r="113068" spans="6:6" x14ac:dyDescent="0.3">
      <c r="F113068" s="193"/>
    </row>
    <row r="113069" spans="6:6" x14ac:dyDescent="0.3">
      <c r="F113069" s="193"/>
    </row>
    <row r="113070" spans="6:6" x14ac:dyDescent="0.3">
      <c r="F113070" s="193"/>
    </row>
    <row r="113071" spans="6:6" x14ac:dyDescent="0.3">
      <c r="F113071" s="193"/>
    </row>
    <row r="113072" spans="6:6" x14ac:dyDescent="0.3">
      <c r="F113072" s="193"/>
    </row>
    <row r="113073" spans="6:6" x14ac:dyDescent="0.3">
      <c r="F113073" s="193"/>
    </row>
    <row r="113074" spans="6:6" x14ac:dyDescent="0.3">
      <c r="F113074" s="193"/>
    </row>
    <row r="113075" spans="6:6" x14ac:dyDescent="0.3">
      <c r="F113075" s="193"/>
    </row>
    <row r="113076" spans="6:6" x14ac:dyDescent="0.3">
      <c r="F113076" s="193"/>
    </row>
    <row r="113077" spans="6:6" x14ac:dyDescent="0.3">
      <c r="F113077" s="193"/>
    </row>
    <row r="113078" spans="6:6" x14ac:dyDescent="0.3">
      <c r="F113078" s="193"/>
    </row>
    <row r="113079" spans="6:6" x14ac:dyDescent="0.3">
      <c r="F113079" s="193"/>
    </row>
    <row r="113080" spans="6:6" x14ac:dyDescent="0.3">
      <c r="F113080" s="193"/>
    </row>
    <row r="113081" spans="6:6" x14ac:dyDescent="0.3">
      <c r="F113081" s="193"/>
    </row>
    <row r="113082" spans="6:6" x14ac:dyDescent="0.3">
      <c r="F113082" s="193"/>
    </row>
    <row r="113083" spans="6:6" x14ac:dyDescent="0.3">
      <c r="F113083" s="193"/>
    </row>
    <row r="113084" spans="6:6" x14ac:dyDescent="0.3">
      <c r="F113084" s="193"/>
    </row>
    <row r="113085" spans="6:6" x14ac:dyDescent="0.3">
      <c r="F113085" s="193"/>
    </row>
    <row r="113086" spans="6:6" x14ac:dyDescent="0.3">
      <c r="F113086" s="193"/>
    </row>
    <row r="113087" spans="6:6" x14ac:dyDescent="0.3">
      <c r="F113087" s="193"/>
    </row>
    <row r="113088" spans="6:6" x14ac:dyDescent="0.3">
      <c r="F113088" s="193"/>
    </row>
    <row r="113089" spans="6:6" x14ac:dyDescent="0.3">
      <c r="F113089" s="193"/>
    </row>
    <row r="113090" spans="6:6" x14ac:dyDescent="0.3">
      <c r="F113090" s="193"/>
    </row>
    <row r="113091" spans="6:6" x14ac:dyDescent="0.3">
      <c r="F113091" s="193"/>
    </row>
    <row r="113092" spans="6:6" x14ac:dyDescent="0.3">
      <c r="F113092" s="193"/>
    </row>
    <row r="113093" spans="6:6" x14ac:dyDescent="0.3">
      <c r="F113093" s="193"/>
    </row>
    <row r="113094" spans="6:6" x14ac:dyDescent="0.3">
      <c r="F113094" s="193"/>
    </row>
    <row r="113095" spans="6:6" x14ac:dyDescent="0.3">
      <c r="F113095" s="193"/>
    </row>
    <row r="113096" spans="6:6" x14ac:dyDescent="0.3">
      <c r="F113096" s="193"/>
    </row>
    <row r="113097" spans="6:6" x14ac:dyDescent="0.3">
      <c r="F113097" s="193"/>
    </row>
    <row r="113098" spans="6:6" x14ac:dyDescent="0.3">
      <c r="F113098" s="193"/>
    </row>
    <row r="113099" spans="6:6" x14ac:dyDescent="0.3">
      <c r="F113099" s="193"/>
    </row>
    <row r="113100" spans="6:6" x14ac:dyDescent="0.3">
      <c r="F113100" s="193"/>
    </row>
    <row r="113101" spans="6:6" x14ac:dyDescent="0.3">
      <c r="F113101" s="193"/>
    </row>
    <row r="113102" spans="6:6" x14ac:dyDescent="0.3">
      <c r="F113102" s="193"/>
    </row>
    <row r="113103" spans="6:6" x14ac:dyDescent="0.3">
      <c r="F113103" s="193"/>
    </row>
    <row r="113104" spans="6:6" x14ac:dyDescent="0.3">
      <c r="F113104" s="193"/>
    </row>
    <row r="113105" spans="6:6" x14ac:dyDescent="0.3">
      <c r="F113105" s="193"/>
    </row>
    <row r="113106" spans="6:6" x14ac:dyDescent="0.3">
      <c r="F113106" s="193"/>
    </row>
    <row r="113107" spans="6:6" x14ac:dyDescent="0.3">
      <c r="F113107" s="193"/>
    </row>
    <row r="113108" spans="6:6" x14ac:dyDescent="0.3">
      <c r="F113108" s="193"/>
    </row>
    <row r="113109" spans="6:6" x14ac:dyDescent="0.3">
      <c r="F113109" s="193"/>
    </row>
    <row r="113110" spans="6:6" x14ac:dyDescent="0.3">
      <c r="F113110" s="193"/>
    </row>
    <row r="113111" spans="6:6" x14ac:dyDescent="0.3">
      <c r="F113111" s="193"/>
    </row>
    <row r="113112" spans="6:6" x14ac:dyDescent="0.3">
      <c r="F113112" s="193"/>
    </row>
    <row r="113113" spans="6:6" x14ac:dyDescent="0.3">
      <c r="F113113" s="193"/>
    </row>
    <row r="113114" spans="6:6" x14ac:dyDescent="0.3">
      <c r="F113114" s="193"/>
    </row>
    <row r="113115" spans="6:6" x14ac:dyDescent="0.3">
      <c r="F113115" s="193"/>
    </row>
    <row r="113116" spans="6:6" x14ac:dyDescent="0.3">
      <c r="F113116" s="193"/>
    </row>
    <row r="113117" spans="6:6" x14ac:dyDescent="0.3">
      <c r="F113117" s="193"/>
    </row>
    <row r="113118" spans="6:6" x14ac:dyDescent="0.3">
      <c r="F113118" s="193"/>
    </row>
    <row r="113119" spans="6:6" x14ac:dyDescent="0.3">
      <c r="F113119" s="193"/>
    </row>
    <row r="113120" spans="6:6" x14ac:dyDescent="0.3">
      <c r="F113120" s="193"/>
    </row>
    <row r="113121" spans="6:6" x14ac:dyDescent="0.3">
      <c r="F113121" s="193"/>
    </row>
    <row r="113122" spans="6:6" x14ac:dyDescent="0.3">
      <c r="F113122" s="193"/>
    </row>
    <row r="113123" spans="6:6" x14ac:dyDescent="0.3">
      <c r="F113123" s="193"/>
    </row>
    <row r="113124" spans="6:6" x14ac:dyDescent="0.3">
      <c r="F113124" s="193"/>
    </row>
    <row r="113125" spans="6:6" x14ac:dyDescent="0.3">
      <c r="F113125" s="193"/>
    </row>
    <row r="113126" spans="6:6" x14ac:dyDescent="0.3">
      <c r="F113126" s="193"/>
    </row>
    <row r="113127" spans="6:6" x14ac:dyDescent="0.3">
      <c r="F113127" s="193"/>
    </row>
    <row r="113128" spans="6:6" x14ac:dyDescent="0.3">
      <c r="F113128" s="193"/>
    </row>
    <row r="113129" spans="6:6" x14ac:dyDescent="0.3">
      <c r="F113129" s="193"/>
    </row>
    <row r="113130" spans="6:6" x14ac:dyDescent="0.3">
      <c r="F113130" s="193"/>
    </row>
    <row r="113131" spans="6:6" x14ac:dyDescent="0.3">
      <c r="F113131" s="193"/>
    </row>
    <row r="113132" spans="6:6" x14ac:dyDescent="0.3">
      <c r="F113132" s="193"/>
    </row>
    <row r="113133" spans="6:6" x14ac:dyDescent="0.3">
      <c r="F113133" s="193"/>
    </row>
    <row r="113134" spans="6:6" x14ac:dyDescent="0.3">
      <c r="F113134" s="193"/>
    </row>
    <row r="113135" spans="6:6" x14ac:dyDescent="0.3">
      <c r="F113135" s="193"/>
    </row>
    <row r="113136" spans="6:6" x14ac:dyDescent="0.3">
      <c r="F113136" s="193"/>
    </row>
    <row r="113137" spans="6:6" x14ac:dyDescent="0.3">
      <c r="F113137" s="193"/>
    </row>
    <row r="113138" spans="6:6" x14ac:dyDescent="0.3">
      <c r="F113138" s="193"/>
    </row>
    <row r="113139" spans="6:6" x14ac:dyDescent="0.3">
      <c r="F113139" s="193"/>
    </row>
    <row r="113140" spans="6:6" x14ac:dyDescent="0.3">
      <c r="F113140" s="193"/>
    </row>
    <row r="113141" spans="6:6" x14ac:dyDescent="0.3">
      <c r="F113141" s="193"/>
    </row>
    <row r="113142" spans="6:6" x14ac:dyDescent="0.3">
      <c r="F113142" s="193"/>
    </row>
    <row r="113143" spans="6:6" x14ac:dyDescent="0.3">
      <c r="F113143" s="193"/>
    </row>
    <row r="113144" spans="6:6" x14ac:dyDescent="0.3">
      <c r="F113144" s="193"/>
    </row>
    <row r="113145" spans="6:6" x14ac:dyDescent="0.3">
      <c r="F113145" s="193"/>
    </row>
    <row r="113146" spans="6:6" x14ac:dyDescent="0.3">
      <c r="F113146" s="193"/>
    </row>
    <row r="113147" spans="6:6" x14ac:dyDescent="0.3">
      <c r="F113147" s="193"/>
    </row>
    <row r="113148" spans="6:6" x14ac:dyDescent="0.3">
      <c r="F113148" s="193"/>
    </row>
    <row r="113149" spans="6:6" x14ac:dyDescent="0.3">
      <c r="F113149" s="193"/>
    </row>
    <row r="113150" spans="6:6" x14ac:dyDescent="0.3">
      <c r="F113150" s="193"/>
    </row>
    <row r="113151" spans="6:6" x14ac:dyDescent="0.3">
      <c r="F113151" s="193"/>
    </row>
    <row r="113152" spans="6:6" x14ac:dyDescent="0.3">
      <c r="F113152" s="193"/>
    </row>
    <row r="113153" spans="6:6" x14ac:dyDescent="0.3">
      <c r="F113153" s="193"/>
    </row>
    <row r="113154" spans="6:6" x14ac:dyDescent="0.3">
      <c r="F113154" s="193"/>
    </row>
    <row r="113155" spans="6:6" x14ac:dyDescent="0.3">
      <c r="F113155" s="193"/>
    </row>
    <row r="113156" spans="6:6" x14ac:dyDescent="0.3">
      <c r="F113156" s="193"/>
    </row>
    <row r="113157" spans="6:6" x14ac:dyDescent="0.3">
      <c r="F113157" s="193"/>
    </row>
    <row r="113158" spans="6:6" x14ac:dyDescent="0.3">
      <c r="F113158" s="193"/>
    </row>
    <row r="113159" spans="6:6" x14ac:dyDescent="0.3">
      <c r="F113159" s="193"/>
    </row>
    <row r="113160" spans="6:6" x14ac:dyDescent="0.3">
      <c r="F113160" s="193"/>
    </row>
    <row r="113161" spans="6:6" x14ac:dyDescent="0.3">
      <c r="F113161" s="193"/>
    </row>
    <row r="113162" spans="6:6" x14ac:dyDescent="0.3">
      <c r="F113162" s="193"/>
    </row>
    <row r="113163" spans="6:6" x14ac:dyDescent="0.3">
      <c r="F113163" s="193"/>
    </row>
    <row r="113164" spans="6:6" x14ac:dyDescent="0.3">
      <c r="F113164" s="193"/>
    </row>
    <row r="113165" spans="6:6" x14ac:dyDescent="0.3">
      <c r="F113165" s="193"/>
    </row>
    <row r="113166" spans="6:6" x14ac:dyDescent="0.3">
      <c r="F113166" s="193"/>
    </row>
    <row r="113167" spans="6:6" x14ac:dyDescent="0.3">
      <c r="F113167" s="193"/>
    </row>
    <row r="113168" spans="6:6" x14ac:dyDescent="0.3">
      <c r="F113168" s="193"/>
    </row>
    <row r="113169" spans="6:6" x14ac:dyDescent="0.3">
      <c r="F113169" s="193"/>
    </row>
    <row r="113170" spans="6:6" x14ac:dyDescent="0.3">
      <c r="F113170" s="193"/>
    </row>
    <row r="113171" spans="6:6" x14ac:dyDescent="0.3">
      <c r="F113171" s="193"/>
    </row>
    <row r="113172" spans="6:6" x14ac:dyDescent="0.3">
      <c r="F113172" s="193"/>
    </row>
    <row r="113173" spans="6:6" x14ac:dyDescent="0.3">
      <c r="F113173" s="193"/>
    </row>
    <row r="113174" spans="6:6" x14ac:dyDescent="0.3">
      <c r="F113174" s="193"/>
    </row>
    <row r="113175" spans="6:6" x14ac:dyDescent="0.3">
      <c r="F113175" s="193"/>
    </row>
    <row r="113176" spans="6:6" x14ac:dyDescent="0.3">
      <c r="F113176" s="193"/>
    </row>
    <row r="113177" spans="6:6" x14ac:dyDescent="0.3">
      <c r="F113177" s="193"/>
    </row>
    <row r="113178" spans="6:6" x14ac:dyDescent="0.3">
      <c r="F113178" s="193"/>
    </row>
    <row r="113179" spans="6:6" x14ac:dyDescent="0.3">
      <c r="F113179" s="193"/>
    </row>
    <row r="113180" spans="6:6" x14ac:dyDescent="0.3">
      <c r="F113180" s="193"/>
    </row>
    <row r="113181" spans="6:6" x14ac:dyDescent="0.3">
      <c r="F113181" s="193"/>
    </row>
    <row r="113182" spans="6:6" x14ac:dyDescent="0.3">
      <c r="F113182" s="193"/>
    </row>
    <row r="113183" spans="6:6" x14ac:dyDescent="0.3">
      <c r="F113183" s="193"/>
    </row>
    <row r="113184" spans="6:6" x14ac:dyDescent="0.3">
      <c r="F113184" s="193"/>
    </row>
    <row r="113185" spans="6:6" x14ac:dyDescent="0.3">
      <c r="F113185" s="193"/>
    </row>
    <row r="113186" spans="6:6" x14ac:dyDescent="0.3">
      <c r="F113186" s="193"/>
    </row>
    <row r="113187" spans="6:6" x14ac:dyDescent="0.3">
      <c r="F113187" s="193"/>
    </row>
    <row r="113188" spans="6:6" x14ac:dyDescent="0.3">
      <c r="F113188" s="193"/>
    </row>
    <row r="113189" spans="6:6" x14ac:dyDescent="0.3">
      <c r="F113189" s="193"/>
    </row>
    <row r="113190" spans="6:6" x14ac:dyDescent="0.3">
      <c r="F113190" s="193"/>
    </row>
    <row r="113191" spans="6:6" x14ac:dyDescent="0.3">
      <c r="F113191" s="193"/>
    </row>
    <row r="113192" spans="6:6" x14ac:dyDescent="0.3">
      <c r="F113192" s="193"/>
    </row>
    <row r="113193" spans="6:6" x14ac:dyDescent="0.3">
      <c r="F113193" s="193"/>
    </row>
    <row r="113194" spans="6:6" x14ac:dyDescent="0.3">
      <c r="F113194" s="193"/>
    </row>
    <row r="113195" spans="6:6" x14ac:dyDescent="0.3">
      <c r="F113195" s="193"/>
    </row>
    <row r="113196" spans="6:6" x14ac:dyDescent="0.3">
      <c r="F113196" s="193"/>
    </row>
    <row r="113197" spans="6:6" x14ac:dyDescent="0.3">
      <c r="F113197" s="193"/>
    </row>
    <row r="113198" spans="6:6" x14ac:dyDescent="0.3">
      <c r="F113198" s="193"/>
    </row>
    <row r="113199" spans="6:6" x14ac:dyDescent="0.3">
      <c r="F113199" s="193"/>
    </row>
    <row r="113200" spans="6:6" x14ac:dyDescent="0.3">
      <c r="F113200" s="193"/>
    </row>
    <row r="113201" spans="6:6" x14ac:dyDescent="0.3">
      <c r="F113201" s="193"/>
    </row>
    <row r="113202" spans="6:6" x14ac:dyDescent="0.3">
      <c r="F113202" s="193"/>
    </row>
    <row r="113203" spans="6:6" x14ac:dyDescent="0.3">
      <c r="F113203" s="193"/>
    </row>
    <row r="113204" spans="6:6" x14ac:dyDescent="0.3">
      <c r="F113204" s="193"/>
    </row>
    <row r="113205" spans="6:6" x14ac:dyDescent="0.3">
      <c r="F113205" s="193"/>
    </row>
    <row r="113206" spans="6:6" x14ac:dyDescent="0.3">
      <c r="F113206" s="193"/>
    </row>
    <row r="113207" spans="6:6" x14ac:dyDescent="0.3">
      <c r="F113207" s="193"/>
    </row>
    <row r="113208" spans="6:6" x14ac:dyDescent="0.3">
      <c r="F113208" s="193"/>
    </row>
    <row r="113209" spans="6:6" x14ac:dyDescent="0.3">
      <c r="F113209" s="193"/>
    </row>
    <row r="113210" spans="6:6" x14ac:dyDescent="0.3">
      <c r="F113210" s="193"/>
    </row>
    <row r="113211" spans="6:6" x14ac:dyDescent="0.3">
      <c r="F113211" s="193"/>
    </row>
    <row r="113212" spans="6:6" x14ac:dyDescent="0.3">
      <c r="F113212" s="193"/>
    </row>
    <row r="113213" spans="6:6" x14ac:dyDescent="0.3">
      <c r="F113213" s="193"/>
    </row>
    <row r="113214" spans="6:6" x14ac:dyDescent="0.3">
      <c r="F113214" s="193"/>
    </row>
    <row r="113215" spans="6:6" x14ac:dyDescent="0.3">
      <c r="F113215" s="193"/>
    </row>
    <row r="113216" spans="6:6" x14ac:dyDescent="0.3">
      <c r="F113216" s="193"/>
    </row>
    <row r="113217" spans="6:6" x14ac:dyDescent="0.3">
      <c r="F113217" s="193"/>
    </row>
    <row r="113218" spans="6:6" x14ac:dyDescent="0.3">
      <c r="F113218" s="193"/>
    </row>
    <row r="113219" spans="6:6" x14ac:dyDescent="0.3">
      <c r="F113219" s="193"/>
    </row>
    <row r="113220" spans="6:6" x14ac:dyDescent="0.3">
      <c r="F113220" s="193"/>
    </row>
    <row r="113221" spans="6:6" x14ac:dyDescent="0.3">
      <c r="F113221" s="193"/>
    </row>
    <row r="113222" spans="6:6" x14ac:dyDescent="0.3">
      <c r="F113222" s="193"/>
    </row>
    <row r="113223" spans="6:6" x14ac:dyDescent="0.3">
      <c r="F113223" s="193"/>
    </row>
    <row r="113224" spans="6:6" x14ac:dyDescent="0.3">
      <c r="F113224" s="193"/>
    </row>
    <row r="113225" spans="6:6" x14ac:dyDescent="0.3">
      <c r="F113225" s="193"/>
    </row>
    <row r="113226" spans="6:6" x14ac:dyDescent="0.3">
      <c r="F113226" s="193"/>
    </row>
    <row r="113227" spans="6:6" x14ac:dyDescent="0.3">
      <c r="F113227" s="193"/>
    </row>
    <row r="113228" spans="6:6" x14ac:dyDescent="0.3">
      <c r="F113228" s="193"/>
    </row>
    <row r="113229" spans="6:6" x14ac:dyDescent="0.3">
      <c r="F113229" s="193"/>
    </row>
    <row r="113230" spans="6:6" x14ac:dyDescent="0.3">
      <c r="F113230" s="193"/>
    </row>
    <row r="113231" spans="6:6" x14ac:dyDescent="0.3">
      <c r="F113231" s="193"/>
    </row>
    <row r="113232" spans="6:6" x14ac:dyDescent="0.3">
      <c r="F113232" s="193"/>
    </row>
    <row r="113233" spans="6:6" x14ac:dyDescent="0.3">
      <c r="F113233" s="193"/>
    </row>
    <row r="113234" spans="6:6" x14ac:dyDescent="0.3">
      <c r="F113234" s="193"/>
    </row>
    <row r="113235" spans="6:6" x14ac:dyDescent="0.3">
      <c r="F113235" s="193"/>
    </row>
    <row r="113236" spans="6:6" x14ac:dyDescent="0.3">
      <c r="F113236" s="193"/>
    </row>
    <row r="113237" spans="6:6" x14ac:dyDescent="0.3">
      <c r="F113237" s="193"/>
    </row>
    <row r="113238" spans="6:6" x14ac:dyDescent="0.3">
      <c r="F113238" s="193"/>
    </row>
    <row r="113239" spans="6:6" x14ac:dyDescent="0.3">
      <c r="F113239" s="193"/>
    </row>
    <row r="113240" spans="6:6" x14ac:dyDescent="0.3">
      <c r="F113240" s="193"/>
    </row>
    <row r="113241" spans="6:6" x14ac:dyDescent="0.3">
      <c r="F113241" s="193"/>
    </row>
    <row r="113242" spans="6:6" x14ac:dyDescent="0.3">
      <c r="F113242" s="193"/>
    </row>
    <row r="113243" spans="6:6" x14ac:dyDescent="0.3">
      <c r="F113243" s="193"/>
    </row>
    <row r="113244" spans="6:6" x14ac:dyDescent="0.3">
      <c r="F113244" s="193"/>
    </row>
    <row r="113245" spans="6:6" x14ac:dyDescent="0.3">
      <c r="F113245" s="193"/>
    </row>
    <row r="113246" spans="6:6" x14ac:dyDescent="0.3">
      <c r="F113246" s="193"/>
    </row>
    <row r="113247" spans="6:6" x14ac:dyDescent="0.3">
      <c r="F113247" s="193"/>
    </row>
    <row r="113248" spans="6:6" x14ac:dyDescent="0.3">
      <c r="F113248" s="193"/>
    </row>
    <row r="113249" spans="6:6" x14ac:dyDescent="0.3">
      <c r="F113249" s="193"/>
    </row>
    <row r="113250" spans="6:6" x14ac:dyDescent="0.3">
      <c r="F113250" s="193"/>
    </row>
    <row r="113251" spans="6:6" x14ac:dyDescent="0.3">
      <c r="F113251" s="193"/>
    </row>
    <row r="113252" spans="6:6" x14ac:dyDescent="0.3">
      <c r="F113252" s="193"/>
    </row>
    <row r="113253" spans="6:6" x14ac:dyDescent="0.3">
      <c r="F113253" s="193"/>
    </row>
    <row r="113254" spans="6:6" x14ac:dyDescent="0.3">
      <c r="F113254" s="193"/>
    </row>
    <row r="113255" spans="6:6" x14ac:dyDescent="0.3">
      <c r="F113255" s="193"/>
    </row>
    <row r="113256" spans="6:6" x14ac:dyDescent="0.3">
      <c r="F113256" s="193"/>
    </row>
    <row r="113257" spans="6:6" x14ac:dyDescent="0.3">
      <c r="F113257" s="193"/>
    </row>
    <row r="113258" spans="6:6" x14ac:dyDescent="0.3">
      <c r="F113258" s="193"/>
    </row>
    <row r="113259" spans="6:6" x14ac:dyDescent="0.3">
      <c r="F113259" s="193"/>
    </row>
    <row r="113260" spans="6:6" x14ac:dyDescent="0.3">
      <c r="F113260" s="193"/>
    </row>
    <row r="113261" spans="6:6" x14ac:dyDescent="0.3">
      <c r="F113261" s="193"/>
    </row>
    <row r="113262" spans="6:6" x14ac:dyDescent="0.3">
      <c r="F113262" s="193"/>
    </row>
    <row r="113263" spans="6:6" x14ac:dyDescent="0.3">
      <c r="F113263" s="193"/>
    </row>
    <row r="113264" spans="6:6" x14ac:dyDescent="0.3">
      <c r="F113264" s="193"/>
    </row>
    <row r="113265" spans="6:6" x14ac:dyDescent="0.3">
      <c r="F113265" s="193"/>
    </row>
    <row r="113266" spans="6:6" x14ac:dyDescent="0.3">
      <c r="F113266" s="193"/>
    </row>
    <row r="113267" spans="6:6" x14ac:dyDescent="0.3">
      <c r="F113267" s="193"/>
    </row>
    <row r="113268" spans="6:6" x14ac:dyDescent="0.3">
      <c r="F113268" s="193"/>
    </row>
    <row r="113269" spans="6:6" x14ac:dyDescent="0.3">
      <c r="F113269" s="193"/>
    </row>
    <row r="113270" spans="6:6" x14ac:dyDescent="0.3">
      <c r="F113270" s="193"/>
    </row>
    <row r="113271" spans="6:6" x14ac:dyDescent="0.3">
      <c r="F113271" s="193"/>
    </row>
    <row r="113272" spans="6:6" x14ac:dyDescent="0.3">
      <c r="F113272" s="193"/>
    </row>
    <row r="113273" spans="6:6" x14ac:dyDescent="0.3">
      <c r="F113273" s="193"/>
    </row>
    <row r="113274" spans="6:6" x14ac:dyDescent="0.3">
      <c r="F113274" s="193"/>
    </row>
    <row r="113275" spans="6:6" x14ac:dyDescent="0.3">
      <c r="F113275" s="193"/>
    </row>
    <row r="113276" spans="6:6" x14ac:dyDescent="0.3">
      <c r="F113276" s="193"/>
    </row>
    <row r="113277" spans="6:6" x14ac:dyDescent="0.3">
      <c r="F113277" s="193"/>
    </row>
    <row r="113278" spans="6:6" x14ac:dyDescent="0.3">
      <c r="F113278" s="193"/>
    </row>
    <row r="113279" spans="6:6" x14ac:dyDescent="0.3">
      <c r="F113279" s="193"/>
    </row>
    <row r="113280" spans="6:6" x14ac:dyDescent="0.3">
      <c r="F113280" s="193"/>
    </row>
    <row r="113281" spans="6:6" x14ac:dyDescent="0.3">
      <c r="F113281" s="193"/>
    </row>
    <row r="113282" spans="6:6" x14ac:dyDescent="0.3">
      <c r="F113282" s="193"/>
    </row>
    <row r="113283" spans="6:6" x14ac:dyDescent="0.3">
      <c r="F113283" s="193"/>
    </row>
    <row r="113284" spans="6:6" x14ac:dyDescent="0.3">
      <c r="F113284" s="193"/>
    </row>
    <row r="113285" spans="6:6" x14ac:dyDescent="0.3">
      <c r="F113285" s="193"/>
    </row>
    <row r="113286" spans="6:6" x14ac:dyDescent="0.3">
      <c r="F113286" s="193"/>
    </row>
    <row r="113287" spans="6:6" x14ac:dyDescent="0.3">
      <c r="F113287" s="193"/>
    </row>
    <row r="113288" spans="6:6" x14ac:dyDescent="0.3">
      <c r="F113288" s="193"/>
    </row>
    <row r="113289" spans="6:6" x14ac:dyDescent="0.3">
      <c r="F113289" s="193"/>
    </row>
    <row r="113290" spans="6:6" x14ac:dyDescent="0.3">
      <c r="F113290" s="193"/>
    </row>
    <row r="113291" spans="6:6" x14ac:dyDescent="0.3">
      <c r="F113291" s="193"/>
    </row>
    <row r="113292" spans="6:6" x14ac:dyDescent="0.3">
      <c r="F113292" s="193"/>
    </row>
    <row r="113293" spans="6:6" x14ac:dyDescent="0.3">
      <c r="F113293" s="193"/>
    </row>
    <row r="113294" spans="6:6" x14ac:dyDescent="0.3">
      <c r="F113294" s="193"/>
    </row>
    <row r="113295" spans="6:6" x14ac:dyDescent="0.3">
      <c r="F113295" s="193"/>
    </row>
    <row r="113296" spans="6:6" x14ac:dyDescent="0.3">
      <c r="F113296" s="193"/>
    </row>
    <row r="113297" spans="6:6" x14ac:dyDescent="0.3">
      <c r="F113297" s="193"/>
    </row>
    <row r="113298" spans="6:6" x14ac:dyDescent="0.3">
      <c r="F113298" s="193"/>
    </row>
    <row r="113299" spans="6:6" x14ac:dyDescent="0.3">
      <c r="F113299" s="193"/>
    </row>
    <row r="113300" spans="6:6" x14ac:dyDescent="0.3">
      <c r="F113300" s="193"/>
    </row>
    <row r="113301" spans="6:6" x14ac:dyDescent="0.3">
      <c r="F113301" s="193"/>
    </row>
    <row r="113302" spans="6:6" x14ac:dyDescent="0.3">
      <c r="F113302" s="193"/>
    </row>
    <row r="113303" spans="6:6" x14ac:dyDescent="0.3">
      <c r="F113303" s="193"/>
    </row>
    <row r="113304" spans="6:6" x14ac:dyDescent="0.3">
      <c r="F113304" s="193"/>
    </row>
    <row r="113305" spans="6:6" x14ac:dyDescent="0.3">
      <c r="F113305" s="193"/>
    </row>
    <row r="113306" spans="6:6" x14ac:dyDescent="0.3">
      <c r="F113306" s="193"/>
    </row>
    <row r="113307" spans="6:6" x14ac:dyDescent="0.3">
      <c r="F113307" s="193"/>
    </row>
    <row r="113308" spans="6:6" x14ac:dyDescent="0.3">
      <c r="F113308" s="193"/>
    </row>
    <row r="113309" spans="6:6" x14ac:dyDescent="0.3">
      <c r="F113309" s="193"/>
    </row>
    <row r="113310" spans="6:6" x14ac:dyDescent="0.3">
      <c r="F113310" s="193"/>
    </row>
    <row r="113311" spans="6:6" x14ac:dyDescent="0.3">
      <c r="F113311" s="193"/>
    </row>
    <row r="113312" spans="6:6" x14ac:dyDescent="0.3">
      <c r="F113312" s="193"/>
    </row>
    <row r="113313" spans="6:6" x14ac:dyDescent="0.3">
      <c r="F113313" s="193"/>
    </row>
    <row r="113314" spans="6:6" x14ac:dyDescent="0.3">
      <c r="F113314" s="193"/>
    </row>
    <row r="113315" spans="6:6" x14ac:dyDescent="0.3">
      <c r="F113315" s="193"/>
    </row>
    <row r="113316" spans="6:6" x14ac:dyDescent="0.3">
      <c r="F113316" s="193"/>
    </row>
    <row r="113317" spans="6:6" x14ac:dyDescent="0.3">
      <c r="F113317" s="193"/>
    </row>
    <row r="113318" spans="6:6" x14ac:dyDescent="0.3">
      <c r="F113318" s="193"/>
    </row>
    <row r="113319" spans="6:6" x14ac:dyDescent="0.3">
      <c r="F113319" s="193"/>
    </row>
    <row r="113320" spans="6:6" x14ac:dyDescent="0.3">
      <c r="F113320" s="193"/>
    </row>
    <row r="113321" spans="6:6" x14ac:dyDescent="0.3">
      <c r="F113321" s="193"/>
    </row>
    <row r="113322" spans="6:6" x14ac:dyDescent="0.3">
      <c r="F113322" s="193"/>
    </row>
    <row r="113323" spans="6:6" x14ac:dyDescent="0.3">
      <c r="F113323" s="193"/>
    </row>
    <row r="113324" spans="6:6" x14ac:dyDescent="0.3">
      <c r="F113324" s="193"/>
    </row>
    <row r="113325" spans="6:6" x14ac:dyDescent="0.3">
      <c r="F113325" s="193"/>
    </row>
    <row r="113326" spans="6:6" x14ac:dyDescent="0.3">
      <c r="F113326" s="193"/>
    </row>
    <row r="113327" spans="6:6" x14ac:dyDescent="0.3">
      <c r="F113327" s="193"/>
    </row>
    <row r="113328" spans="6:6" x14ac:dyDescent="0.3">
      <c r="F113328" s="193"/>
    </row>
    <row r="113329" spans="6:6" x14ac:dyDescent="0.3">
      <c r="F113329" s="193"/>
    </row>
    <row r="113330" spans="6:6" x14ac:dyDescent="0.3">
      <c r="F113330" s="193"/>
    </row>
    <row r="113331" spans="6:6" x14ac:dyDescent="0.3">
      <c r="F113331" s="193"/>
    </row>
    <row r="113332" spans="6:6" x14ac:dyDescent="0.3">
      <c r="F113332" s="193"/>
    </row>
    <row r="113333" spans="6:6" x14ac:dyDescent="0.3">
      <c r="F113333" s="193"/>
    </row>
    <row r="113334" spans="6:6" x14ac:dyDescent="0.3">
      <c r="F113334" s="193"/>
    </row>
    <row r="113335" spans="6:6" x14ac:dyDescent="0.3">
      <c r="F113335" s="193"/>
    </row>
    <row r="113336" spans="6:6" x14ac:dyDescent="0.3">
      <c r="F113336" s="193"/>
    </row>
    <row r="113337" spans="6:6" x14ac:dyDescent="0.3">
      <c r="F113337" s="193"/>
    </row>
    <row r="113338" spans="6:6" x14ac:dyDescent="0.3">
      <c r="F113338" s="193"/>
    </row>
    <row r="113339" spans="6:6" x14ac:dyDescent="0.3">
      <c r="F113339" s="193"/>
    </row>
    <row r="113340" spans="6:6" x14ac:dyDescent="0.3">
      <c r="F113340" s="193"/>
    </row>
    <row r="113341" spans="6:6" x14ac:dyDescent="0.3">
      <c r="F113341" s="193"/>
    </row>
    <row r="113342" spans="6:6" x14ac:dyDescent="0.3">
      <c r="F113342" s="193"/>
    </row>
    <row r="113343" spans="6:6" x14ac:dyDescent="0.3">
      <c r="F113343" s="193"/>
    </row>
    <row r="113344" spans="6:6" x14ac:dyDescent="0.3">
      <c r="F113344" s="193"/>
    </row>
    <row r="113345" spans="6:6" x14ac:dyDescent="0.3">
      <c r="F113345" s="193"/>
    </row>
    <row r="113346" spans="6:6" x14ac:dyDescent="0.3">
      <c r="F113346" s="193"/>
    </row>
    <row r="113347" spans="6:6" x14ac:dyDescent="0.3">
      <c r="F113347" s="193"/>
    </row>
    <row r="113348" spans="6:6" x14ac:dyDescent="0.3">
      <c r="F113348" s="193"/>
    </row>
    <row r="113349" spans="6:6" x14ac:dyDescent="0.3">
      <c r="F113349" s="193"/>
    </row>
    <row r="113350" spans="6:6" x14ac:dyDescent="0.3">
      <c r="F113350" s="193"/>
    </row>
    <row r="113351" spans="6:6" x14ac:dyDescent="0.3">
      <c r="F113351" s="193"/>
    </row>
    <row r="113352" spans="6:6" x14ac:dyDescent="0.3">
      <c r="F113352" s="193"/>
    </row>
    <row r="113353" spans="6:6" x14ac:dyDescent="0.3">
      <c r="F113353" s="193"/>
    </row>
    <row r="113354" spans="6:6" x14ac:dyDescent="0.3">
      <c r="F113354" s="193"/>
    </row>
    <row r="113355" spans="6:6" x14ac:dyDescent="0.3">
      <c r="F113355" s="193"/>
    </row>
    <row r="113356" spans="6:6" x14ac:dyDescent="0.3">
      <c r="F113356" s="193"/>
    </row>
    <row r="113357" spans="6:6" x14ac:dyDescent="0.3">
      <c r="F113357" s="193"/>
    </row>
    <row r="113358" spans="6:6" x14ac:dyDescent="0.3">
      <c r="F113358" s="193"/>
    </row>
    <row r="113359" spans="6:6" x14ac:dyDescent="0.3">
      <c r="F113359" s="193"/>
    </row>
    <row r="113360" spans="6:6" x14ac:dyDescent="0.3">
      <c r="F113360" s="193"/>
    </row>
    <row r="113361" spans="6:6" x14ac:dyDescent="0.3">
      <c r="F113361" s="193"/>
    </row>
    <row r="113362" spans="6:6" x14ac:dyDescent="0.3">
      <c r="F113362" s="193"/>
    </row>
    <row r="113363" spans="6:6" x14ac:dyDescent="0.3">
      <c r="F113363" s="193"/>
    </row>
    <row r="113364" spans="6:6" x14ac:dyDescent="0.3">
      <c r="F113364" s="193"/>
    </row>
    <row r="113365" spans="6:6" x14ac:dyDescent="0.3">
      <c r="F113365" s="193"/>
    </row>
    <row r="113366" spans="6:6" x14ac:dyDescent="0.3">
      <c r="F113366" s="193"/>
    </row>
    <row r="113367" spans="6:6" x14ac:dyDescent="0.3">
      <c r="F113367" s="193"/>
    </row>
    <row r="113368" spans="6:6" x14ac:dyDescent="0.3">
      <c r="F113368" s="193"/>
    </row>
    <row r="113369" spans="6:6" x14ac:dyDescent="0.3">
      <c r="F113369" s="193"/>
    </row>
    <row r="113370" spans="6:6" x14ac:dyDescent="0.3">
      <c r="F113370" s="193"/>
    </row>
    <row r="113371" spans="6:6" x14ac:dyDescent="0.3">
      <c r="F113371" s="193"/>
    </row>
    <row r="113372" spans="6:6" x14ac:dyDescent="0.3">
      <c r="F113372" s="193"/>
    </row>
    <row r="113373" spans="6:6" x14ac:dyDescent="0.3">
      <c r="F113373" s="193"/>
    </row>
    <row r="113374" spans="6:6" x14ac:dyDescent="0.3">
      <c r="F113374" s="193"/>
    </row>
    <row r="113375" spans="6:6" x14ac:dyDescent="0.3">
      <c r="F113375" s="193"/>
    </row>
    <row r="113376" spans="6:6" x14ac:dyDescent="0.3">
      <c r="F113376" s="193"/>
    </row>
    <row r="113377" spans="6:6" x14ac:dyDescent="0.3">
      <c r="F113377" s="193"/>
    </row>
    <row r="113378" spans="6:6" x14ac:dyDescent="0.3">
      <c r="F113378" s="193"/>
    </row>
    <row r="113379" spans="6:6" x14ac:dyDescent="0.3">
      <c r="F113379" s="193"/>
    </row>
    <row r="113380" spans="6:6" x14ac:dyDescent="0.3">
      <c r="F113380" s="193"/>
    </row>
    <row r="113381" spans="6:6" x14ac:dyDescent="0.3">
      <c r="F113381" s="193"/>
    </row>
    <row r="113382" spans="6:6" x14ac:dyDescent="0.3">
      <c r="F113382" s="193"/>
    </row>
    <row r="113383" spans="6:6" x14ac:dyDescent="0.3">
      <c r="F113383" s="193"/>
    </row>
    <row r="113384" spans="6:6" x14ac:dyDescent="0.3">
      <c r="F113384" s="193"/>
    </row>
    <row r="113385" spans="6:6" x14ac:dyDescent="0.3">
      <c r="F113385" s="193"/>
    </row>
    <row r="113386" spans="6:6" x14ac:dyDescent="0.3">
      <c r="F113386" s="193"/>
    </row>
    <row r="113387" spans="6:6" x14ac:dyDescent="0.3">
      <c r="F113387" s="193"/>
    </row>
    <row r="113388" spans="6:6" x14ac:dyDescent="0.3">
      <c r="F113388" s="193"/>
    </row>
    <row r="113389" spans="6:6" x14ac:dyDescent="0.3">
      <c r="F113389" s="193"/>
    </row>
    <row r="113390" spans="6:6" x14ac:dyDescent="0.3">
      <c r="F113390" s="193"/>
    </row>
    <row r="113391" spans="6:6" x14ac:dyDescent="0.3">
      <c r="F113391" s="193"/>
    </row>
    <row r="113392" spans="6:6" x14ac:dyDescent="0.3">
      <c r="F113392" s="193"/>
    </row>
    <row r="113393" spans="6:6" x14ac:dyDescent="0.3">
      <c r="F113393" s="193"/>
    </row>
    <row r="113394" spans="6:6" x14ac:dyDescent="0.3">
      <c r="F113394" s="193"/>
    </row>
    <row r="113395" spans="6:6" x14ac:dyDescent="0.3">
      <c r="F113395" s="193"/>
    </row>
    <row r="113396" spans="6:6" x14ac:dyDescent="0.3">
      <c r="F113396" s="193"/>
    </row>
    <row r="113397" spans="6:6" x14ac:dyDescent="0.3">
      <c r="F113397" s="193"/>
    </row>
    <row r="113398" spans="6:6" x14ac:dyDescent="0.3">
      <c r="F113398" s="193"/>
    </row>
    <row r="113399" spans="6:6" x14ac:dyDescent="0.3">
      <c r="F113399" s="193"/>
    </row>
    <row r="113400" spans="6:6" x14ac:dyDescent="0.3">
      <c r="F113400" s="193"/>
    </row>
    <row r="113401" spans="6:6" x14ac:dyDescent="0.3">
      <c r="F113401" s="193"/>
    </row>
    <row r="113402" spans="6:6" x14ac:dyDescent="0.3">
      <c r="F113402" s="193"/>
    </row>
    <row r="113403" spans="6:6" x14ac:dyDescent="0.3">
      <c r="F113403" s="193"/>
    </row>
    <row r="113404" spans="6:6" x14ac:dyDescent="0.3">
      <c r="F113404" s="193"/>
    </row>
    <row r="113405" spans="6:6" x14ac:dyDescent="0.3">
      <c r="F113405" s="193"/>
    </row>
    <row r="113406" spans="6:6" x14ac:dyDescent="0.3">
      <c r="F113406" s="193"/>
    </row>
    <row r="113407" spans="6:6" x14ac:dyDescent="0.3">
      <c r="F113407" s="193"/>
    </row>
    <row r="113408" spans="6:6" x14ac:dyDescent="0.3">
      <c r="F113408" s="193"/>
    </row>
    <row r="113409" spans="6:6" x14ac:dyDescent="0.3">
      <c r="F113409" s="193"/>
    </row>
    <row r="113410" spans="6:6" x14ac:dyDescent="0.3">
      <c r="F113410" s="193"/>
    </row>
    <row r="113411" spans="6:6" x14ac:dyDescent="0.3">
      <c r="F113411" s="193"/>
    </row>
    <row r="113412" spans="6:6" x14ac:dyDescent="0.3">
      <c r="F113412" s="193"/>
    </row>
    <row r="113413" spans="6:6" x14ac:dyDescent="0.3">
      <c r="F113413" s="193"/>
    </row>
    <row r="113414" spans="6:6" x14ac:dyDescent="0.3">
      <c r="F113414" s="193"/>
    </row>
    <row r="113415" spans="6:6" x14ac:dyDescent="0.3">
      <c r="F113415" s="193"/>
    </row>
    <row r="113416" spans="6:6" x14ac:dyDescent="0.3">
      <c r="F113416" s="193"/>
    </row>
    <row r="113417" spans="6:6" x14ac:dyDescent="0.3">
      <c r="F113417" s="193"/>
    </row>
    <row r="113418" spans="6:6" x14ac:dyDescent="0.3">
      <c r="F113418" s="193"/>
    </row>
    <row r="113419" spans="6:6" x14ac:dyDescent="0.3">
      <c r="F113419" s="193"/>
    </row>
    <row r="113420" spans="6:6" x14ac:dyDescent="0.3">
      <c r="F113420" s="193"/>
    </row>
    <row r="113421" spans="6:6" x14ac:dyDescent="0.3">
      <c r="F113421" s="193"/>
    </row>
    <row r="113422" spans="6:6" x14ac:dyDescent="0.3">
      <c r="F113422" s="193"/>
    </row>
    <row r="113423" spans="6:6" x14ac:dyDescent="0.3">
      <c r="F113423" s="193"/>
    </row>
    <row r="113424" spans="6:6" x14ac:dyDescent="0.3">
      <c r="F113424" s="193"/>
    </row>
    <row r="113425" spans="6:6" x14ac:dyDescent="0.3">
      <c r="F113425" s="193"/>
    </row>
    <row r="113426" spans="6:6" x14ac:dyDescent="0.3">
      <c r="F113426" s="193"/>
    </row>
    <row r="113427" spans="6:6" x14ac:dyDescent="0.3">
      <c r="F113427" s="193"/>
    </row>
    <row r="113428" spans="6:6" x14ac:dyDescent="0.3">
      <c r="F113428" s="193"/>
    </row>
    <row r="113429" spans="6:6" x14ac:dyDescent="0.3">
      <c r="F113429" s="193"/>
    </row>
    <row r="113430" spans="6:6" x14ac:dyDescent="0.3">
      <c r="F113430" s="193"/>
    </row>
    <row r="113431" spans="6:6" x14ac:dyDescent="0.3">
      <c r="F113431" s="193"/>
    </row>
    <row r="113432" spans="6:6" x14ac:dyDescent="0.3">
      <c r="F113432" s="193"/>
    </row>
    <row r="113433" spans="6:6" x14ac:dyDescent="0.3">
      <c r="F113433" s="193"/>
    </row>
    <row r="113434" spans="6:6" x14ac:dyDescent="0.3">
      <c r="F113434" s="193"/>
    </row>
    <row r="113435" spans="6:6" x14ac:dyDescent="0.3">
      <c r="F113435" s="193"/>
    </row>
    <row r="113436" spans="6:6" x14ac:dyDescent="0.3">
      <c r="F113436" s="193"/>
    </row>
    <row r="113437" spans="6:6" x14ac:dyDescent="0.3">
      <c r="F113437" s="193"/>
    </row>
    <row r="113438" spans="6:6" x14ac:dyDescent="0.3">
      <c r="F113438" s="193"/>
    </row>
    <row r="113439" spans="6:6" x14ac:dyDescent="0.3">
      <c r="F113439" s="193"/>
    </row>
    <row r="113440" spans="6:6" x14ac:dyDescent="0.3">
      <c r="F113440" s="193"/>
    </row>
    <row r="113441" spans="6:6" x14ac:dyDescent="0.3">
      <c r="F113441" s="193"/>
    </row>
    <row r="113442" spans="6:6" x14ac:dyDescent="0.3">
      <c r="F113442" s="193"/>
    </row>
    <row r="113443" spans="6:6" x14ac:dyDescent="0.3">
      <c r="F113443" s="193"/>
    </row>
    <row r="113444" spans="6:6" x14ac:dyDescent="0.3">
      <c r="F113444" s="193"/>
    </row>
    <row r="113445" spans="6:6" x14ac:dyDescent="0.3">
      <c r="F113445" s="193"/>
    </row>
    <row r="113446" spans="6:6" x14ac:dyDescent="0.3">
      <c r="F113446" s="193"/>
    </row>
    <row r="113447" spans="6:6" x14ac:dyDescent="0.3">
      <c r="F113447" s="193"/>
    </row>
    <row r="113448" spans="6:6" x14ac:dyDescent="0.3">
      <c r="F113448" s="193"/>
    </row>
    <row r="113449" spans="6:6" x14ac:dyDescent="0.3">
      <c r="F113449" s="193"/>
    </row>
    <row r="113450" spans="6:6" x14ac:dyDescent="0.3">
      <c r="F113450" s="193"/>
    </row>
    <row r="113451" spans="6:6" x14ac:dyDescent="0.3">
      <c r="F113451" s="193"/>
    </row>
    <row r="113452" spans="6:6" x14ac:dyDescent="0.3">
      <c r="F113452" s="193"/>
    </row>
    <row r="113453" spans="6:6" x14ac:dyDescent="0.3">
      <c r="F113453" s="193"/>
    </row>
    <row r="113454" spans="6:6" x14ac:dyDescent="0.3">
      <c r="F113454" s="193"/>
    </row>
    <row r="113455" spans="6:6" x14ac:dyDescent="0.3">
      <c r="F113455" s="193"/>
    </row>
    <row r="113456" spans="6:6" x14ac:dyDescent="0.3">
      <c r="F113456" s="193"/>
    </row>
    <row r="113457" spans="6:6" x14ac:dyDescent="0.3">
      <c r="F113457" s="193"/>
    </row>
    <row r="113458" spans="6:6" x14ac:dyDescent="0.3">
      <c r="F113458" s="193"/>
    </row>
    <row r="113459" spans="6:6" x14ac:dyDescent="0.3">
      <c r="F113459" s="193"/>
    </row>
    <row r="113460" spans="6:6" x14ac:dyDescent="0.3">
      <c r="F113460" s="193"/>
    </row>
    <row r="113461" spans="6:6" x14ac:dyDescent="0.3">
      <c r="F113461" s="193"/>
    </row>
    <row r="113462" spans="6:6" x14ac:dyDescent="0.3">
      <c r="F113462" s="193"/>
    </row>
    <row r="113463" spans="6:6" x14ac:dyDescent="0.3">
      <c r="F113463" s="193"/>
    </row>
    <row r="113464" spans="6:6" x14ac:dyDescent="0.3">
      <c r="F113464" s="193"/>
    </row>
    <row r="113465" spans="6:6" x14ac:dyDescent="0.3">
      <c r="F113465" s="193"/>
    </row>
    <row r="113466" spans="6:6" x14ac:dyDescent="0.3">
      <c r="F113466" s="193"/>
    </row>
    <row r="113467" spans="6:6" x14ac:dyDescent="0.3">
      <c r="F113467" s="193"/>
    </row>
    <row r="113468" spans="6:6" x14ac:dyDescent="0.3">
      <c r="F113468" s="193"/>
    </row>
    <row r="113469" spans="6:6" x14ac:dyDescent="0.3">
      <c r="F113469" s="193"/>
    </row>
    <row r="113470" spans="6:6" x14ac:dyDescent="0.3">
      <c r="F113470" s="193"/>
    </row>
    <row r="113471" spans="6:6" x14ac:dyDescent="0.3">
      <c r="F113471" s="193"/>
    </row>
    <row r="113472" spans="6:6" x14ac:dyDescent="0.3">
      <c r="F113472" s="193"/>
    </row>
    <row r="113473" spans="6:6" x14ac:dyDescent="0.3">
      <c r="F113473" s="193"/>
    </row>
    <row r="113474" spans="6:6" x14ac:dyDescent="0.3">
      <c r="F113474" s="193"/>
    </row>
    <row r="113475" spans="6:6" x14ac:dyDescent="0.3">
      <c r="F113475" s="193"/>
    </row>
    <row r="113476" spans="6:6" x14ac:dyDescent="0.3">
      <c r="F113476" s="193"/>
    </row>
    <row r="113477" spans="6:6" x14ac:dyDescent="0.3">
      <c r="F113477" s="193"/>
    </row>
    <row r="113478" spans="6:6" x14ac:dyDescent="0.3">
      <c r="F113478" s="193"/>
    </row>
    <row r="113479" spans="6:6" x14ac:dyDescent="0.3">
      <c r="F113479" s="193"/>
    </row>
    <row r="113480" spans="6:6" x14ac:dyDescent="0.3">
      <c r="F113480" s="193"/>
    </row>
    <row r="113481" spans="6:6" x14ac:dyDescent="0.3">
      <c r="F113481" s="193"/>
    </row>
    <row r="113482" spans="6:6" x14ac:dyDescent="0.3">
      <c r="F113482" s="193"/>
    </row>
    <row r="113483" spans="6:6" x14ac:dyDescent="0.3">
      <c r="F113483" s="193"/>
    </row>
    <row r="113484" spans="6:6" x14ac:dyDescent="0.3">
      <c r="F113484" s="193"/>
    </row>
    <row r="113485" spans="6:6" x14ac:dyDescent="0.3">
      <c r="F113485" s="193"/>
    </row>
    <row r="113486" spans="6:6" x14ac:dyDescent="0.3">
      <c r="F113486" s="193"/>
    </row>
    <row r="113487" spans="6:6" x14ac:dyDescent="0.3">
      <c r="F113487" s="193"/>
    </row>
    <row r="113488" spans="6:6" x14ac:dyDescent="0.3">
      <c r="F113488" s="193"/>
    </row>
    <row r="113489" spans="6:6" x14ac:dyDescent="0.3">
      <c r="F113489" s="193"/>
    </row>
    <row r="113490" spans="6:6" x14ac:dyDescent="0.3">
      <c r="F113490" s="193"/>
    </row>
    <row r="113491" spans="6:6" x14ac:dyDescent="0.3">
      <c r="F113491" s="193"/>
    </row>
    <row r="113492" spans="6:6" x14ac:dyDescent="0.3">
      <c r="F113492" s="193"/>
    </row>
    <row r="113493" spans="6:6" x14ac:dyDescent="0.3">
      <c r="F113493" s="193"/>
    </row>
    <row r="113494" spans="6:6" x14ac:dyDescent="0.3">
      <c r="F113494" s="193"/>
    </row>
    <row r="113495" spans="6:6" x14ac:dyDescent="0.3">
      <c r="F113495" s="193"/>
    </row>
    <row r="113496" spans="6:6" x14ac:dyDescent="0.3">
      <c r="F113496" s="193"/>
    </row>
    <row r="113497" spans="6:6" x14ac:dyDescent="0.3">
      <c r="F113497" s="193"/>
    </row>
    <row r="113498" spans="6:6" x14ac:dyDescent="0.3">
      <c r="F113498" s="193"/>
    </row>
    <row r="113499" spans="6:6" x14ac:dyDescent="0.3">
      <c r="F113499" s="193"/>
    </row>
    <row r="113500" spans="6:6" x14ac:dyDescent="0.3">
      <c r="F113500" s="193"/>
    </row>
    <row r="113501" spans="6:6" x14ac:dyDescent="0.3">
      <c r="F113501" s="193"/>
    </row>
    <row r="113502" spans="6:6" x14ac:dyDescent="0.3">
      <c r="F113502" s="193"/>
    </row>
    <row r="113503" spans="6:6" x14ac:dyDescent="0.3">
      <c r="F113503" s="193"/>
    </row>
    <row r="113504" spans="6:6" x14ac:dyDescent="0.3">
      <c r="F113504" s="193"/>
    </row>
    <row r="113505" spans="6:6" x14ac:dyDescent="0.3">
      <c r="F113505" s="193"/>
    </row>
    <row r="113506" spans="6:6" x14ac:dyDescent="0.3">
      <c r="F113506" s="193"/>
    </row>
    <row r="113507" spans="6:6" x14ac:dyDescent="0.3">
      <c r="F113507" s="193"/>
    </row>
    <row r="113508" spans="6:6" x14ac:dyDescent="0.3">
      <c r="F113508" s="193"/>
    </row>
    <row r="113509" spans="6:6" x14ac:dyDescent="0.3">
      <c r="F113509" s="193"/>
    </row>
    <row r="113510" spans="6:6" x14ac:dyDescent="0.3">
      <c r="F113510" s="193"/>
    </row>
    <row r="113511" spans="6:6" x14ac:dyDescent="0.3">
      <c r="F113511" s="193"/>
    </row>
    <row r="113512" spans="6:6" x14ac:dyDescent="0.3">
      <c r="F113512" s="193"/>
    </row>
    <row r="113513" spans="6:6" x14ac:dyDescent="0.3">
      <c r="F113513" s="193"/>
    </row>
    <row r="113514" spans="6:6" x14ac:dyDescent="0.3">
      <c r="F113514" s="193"/>
    </row>
    <row r="113515" spans="6:6" x14ac:dyDescent="0.3">
      <c r="F113515" s="193"/>
    </row>
    <row r="113516" spans="6:6" x14ac:dyDescent="0.3">
      <c r="F113516" s="193"/>
    </row>
    <row r="113517" spans="6:6" x14ac:dyDescent="0.3">
      <c r="F113517" s="193"/>
    </row>
    <row r="113518" spans="6:6" x14ac:dyDescent="0.3">
      <c r="F113518" s="193"/>
    </row>
    <row r="113519" spans="6:6" x14ac:dyDescent="0.3">
      <c r="F113519" s="193"/>
    </row>
    <row r="113520" spans="6:6" x14ac:dyDescent="0.3">
      <c r="F113520" s="193"/>
    </row>
    <row r="113521" spans="6:6" x14ac:dyDescent="0.3">
      <c r="F113521" s="193"/>
    </row>
    <row r="113522" spans="6:6" x14ac:dyDescent="0.3">
      <c r="F113522" s="193"/>
    </row>
    <row r="113523" spans="6:6" x14ac:dyDescent="0.3">
      <c r="F113523" s="193"/>
    </row>
    <row r="113524" spans="6:6" x14ac:dyDescent="0.3">
      <c r="F113524" s="193"/>
    </row>
    <row r="113525" spans="6:6" x14ac:dyDescent="0.3">
      <c r="F113525" s="193"/>
    </row>
    <row r="113526" spans="6:6" x14ac:dyDescent="0.3">
      <c r="F113526" s="193"/>
    </row>
    <row r="113527" spans="6:6" x14ac:dyDescent="0.3">
      <c r="F113527" s="193"/>
    </row>
    <row r="113528" spans="6:6" x14ac:dyDescent="0.3">
      <c r="F113528" s="193"/>
    </row>
    <row r="113529" spans="6:6" x14ac:dyDescent="0.3">
      <c r="F113529" s="193"/>
    </row>
    <row r="113530" spans="6:6" x14ac:dyDescent="0.3">
      <c r="F113530" s="193"/>
    </row>
    <row r="113531" spans="6:6" x14ac:dyDescent="0.3">
      <c r="F113531" s="193"/>
    </row>
    <row r="113532" spans="6:6" x14ac:dyDescent="0.3">
      <c r="F113532" s="193"/>
    </row>
    <row r="113533" spans="6:6" x14ac:dyDescent="0.3">
      <c r="F113533" s="193"/>
    </row>
    <row r="113534" spans="6:6" x14ac:dyDescent="0.3">
      <c r="F113534" s="193"/>
    </row>
    <row r="113535" spans="6:6" x14ac:dyDescent="0.3">
      <c r="F113535" s="193"/>
    </row>
    <row r="113536" spans="6:6" x14ac:dyDescent="0.3">
      <c r="F113536" s="193"/>
    </row>
    <row r="113537" spans="6:6" x14ac:dyDescent="0.3">
      <c r="F113537" s="193"/>
    </row>
    <row r="113538" spans="6:6" x14ac:dyDescent="0.3">
      <c r="F113538" s="193"/>
    </row>
    <row r="113539" spans="6:6" x14ac:dyDescent="0.3">
      <c r="F113539" s="193"/>
    </row>
    <row r="113540" spans="6:6" x14ac:dyDescent="0.3">
      <c r="F113540" s="193"/>
    </row>
    <row r="113541" spans="6:6" x14ac:dyDescent="0.3">
      <c r="F113541" s="193"/>
    </row>
    <row r="113542" spans="6:6" x14ac:dyDescent="0.3">
      <c r="F113542" s="193"/>
    </row>
    <row r="113543" spans="6:6" x14ac:dyDescent="0.3">
      <c r="F113543" s="193"/>
    </row>
    <row r="113544" spans="6:6" x14ac:dyDescent="0.3">
      <c r="F113544" s="193"/>
    </row>
    <row r="113545" spans="6:6" x14ac:dyDescent="0.3">
      <c r="F113545" s="193"/>
    </row>
    <row r="113546" spans="6:6" x14ac:dyDescent="0.3">
      <c r="F113546" s="193"/>
    </row>
    <row r="113547" spans="6:6" x14ac:dyDescent="0.3">
      <c r="F113547" s="193"/>
    </row>
    <row r="113548" spans="6:6" x14ac:dyDescent="0.3">
      <c r="F113548" s="193"/>
    </row>
    <row r="113549" spans="6:6" x14ac:dyDescent="0.3">
      <c r="F113549" s="193"/>
    </row>
    <row r="113550" spans="6:6" x14ac:dyDescent="0.3">
      <c r="F113550" s="193"/>
    </row>
    <row r="113551" spans="6:6" x14ac:dyDescent="0.3">
      <c r="F113551" s="193"/>
    </row>
    <row r="113552" spans="6:6" x14ac:dyDescent="0.3">
      <c r="F113552" s="193"/>
    </row>
    <row r="113553" spans="6:6" x14ac:dyDescent="0.3">
      <c r="F113553" s="193"/>
    </row>
    <row r="113554" spans="6:6" x14ac:dyDescent="0.3">
      <c r="F113554" s="193"/>
    </row>
    <row r="113555" spans="6:6" x14ac:dyDescent="0.3">
      <c r="F113555" s="193"/>
    </row>
    <row r="113556" spans="6:6" x14ac:dyDescent="0.3">
      <c r="F113556" s="193"/>
    </row>
    <row r="113557" spans="6:6" x14ac:dyDescent="0.3">
      <c r="F113557" s="193"/>
    </row>
    <row r="113558" spans="6:6" x14ac:dyDescent="0.3">
      <c r="F113558" s="193"/>
    </row>
    <row r="113559" spans="6:6" x14ac:dyDescent="0.3">
      <c r="F113559" s="193"/>
    </row>
    <row r="113560" spans="6:6" x14ac:dyDescent="0.3">
      <c r="F113560" s="193"/>
    </row>
    <row r="113561" spans="6:6" x14ac:dyDescent="0.3">
      <c r="F113561" s="193"/>
    </row>
    <row r="113562" spans="6:6" x14ac:dyDescent="0.3">
      <c r="F113562" s="193"/>
    </row>
    <row r="113563" spans="6:6" x14ac:dyDescent="0.3">
      <c r="F113563" s="193"/>
    </row>
    <row r="113564" spans="6:6" x14ac:dyDescent="0.3">
      <c r="F113564" s="193"/>
    </row>
    <row r="113565" spans="6:6" x14ac:dyDescent="0.3">
      <c r="F113565" s="193"/>
    </row>
    <row r="113566" spans="6:6" x14ac:dyDescent="0.3">
      <c r="F113566" s="193"/>
    </row>
    <row r="113567" spans="6:6" x14ac:dyDescent="0.3">
      <c r="F113567" s="193"/>
    </row>
    <row r="113568" spans="6:6" x14ac:dyDescent="0.3">
      <c r="F113568" s="193"/>
    </row>
    <row r="113569" spans="6:6" x14ac:dyDescent="0.3">
      <c r="F113569" s="193"/>
    </row>
    <row r="113570" spans="6:6" x14ac:dyDescent="0.3">
      <c r="F113570" s="193"/>
    </row>
    <row r="113571" spans="6:6" x14ac:dyDescent="0.3">
      <c r="F113571" s="193"/>
    </row>
    <row r="113572" spans="6:6" x14ac:dyDescent="0.3">
      <c r="F113572" s="193"/>
    </row>
    <row r="113573" spans="6:6" x14ac:dyDescent="0.3">
      <c r="F113573" s="193"/>
    </row>
    <row r="113574" spans="6:6" x14ac:dyDescent="0.3">
      <c r="F113574" s="193"/>
    </row>
    <row r="113575" spans="6:6" x14ac:dyDescent="0.3">
      <c r="F113575" s="193"/>
    </row>
    <row r="113576" spans="6:6" x14ac:dyDescent="0.3">
      <c r="F113576" s="193"/>
    </row>
    <row r="113577" spans="6:6" x14ac:dyDescent="0.3">
      <c r="F113577" s="193"/>
    </row>
    <row r="113578" spans="6:6" x14ac:dyDescent="0.3">
      <c r="F113578" s="193"/>
    </row>
    <row r="113579" spans="6:6" x14ac:dyDescent="0.3">
      <c r="F113579" s="193"/>
    </row>
    <row r="113580" spans="6:6" x14ac:dyDescent="0.3">
      <c r="F113580" s="193"/>
    </row>
    <row r="113581" spans="6:6" x14ac:dyDescent="0.3">
      <c r="F113581" s="193"/>
    </row>
    <row r="113582" spans="6:6" x14ac:dyDescent="0.3">
      <c r="F113582" s="193"/>
    </row>
    <row r="113583" spans="6:6" x14ac:dyDescent="0.3">
      <c r="F113583" s="193"/>
    </row>
    <row r="113584" spans="6:6" x14ac:dyDescent="0.3">
      <c r="F113584" s="193"/>
    </row>
    <row r="113585" spans="6:6" x14ac:dyDescent="0.3">
      <c r="F113585" s="193"/>
    </row>
    <row r="113586" spans="6:6" x14ac:dyDescent="0.3">
      <c r="F113586" s="193"/>
    </row>
    <row r="113587" spans="6:6" x14ac:dyDescent="0.3">
      <c r="F113587" s="193"/>
    </row>
    <row r="113588" spans="6:6" x14ac:dyDescent="0.3">
      <c r="F113588" s="193"/>
    </row>
    <row r="113589" spans="6:6" x14ac:dyDescent="0.3">
      <c r="F113589" s="193"/>
    </row>
    <row r="113590" spans="6:6" x14ac:dyDescent="0.3">
      <c r="F113590" s="193"/>
    </row>
    <row r="113591" spans="6:6" x14ac:dyDescent="0.3">
      <c r="F113591" s="193"/>
    </row>
    <row r="113592" spans="6:6" x14ac:dyDescent="0.3">
      <c r="F113592" s="193"/>
    </row>
    <row r="113593" spans="6:6" x14ac:dyDescent="0.3">
      <c r="F113593" s="193"/>
    </row>
    <row r="113594" spans="6:6" x14ac:dyDescent="0.3">
      <c r="F113594" s="193"/>
    </row>
    <row r="113595" spans="6:6" x14ac:dyDescent="0.3">
      <c r="F113595" s="193"/>
    </row>
    <row r="113596" spans="6:6" x14ac:dyDescent="0.3">
      <c r="F113596" s="193"/>
    </row>
    <row r="113597" spans="6:6" x14ac:dyDescent="0.3">
      <c r="F113597" s="193"/>
    </row>
    <row r="113598" spans="6:6" x14ac:dyDescent="0.3">
      <c r="F113598" s="193"/>
    </row>
    <row r="113599" spans="6:6" x14ac:dyDescent="0.3">
      <c r="F113599" s="193"/>
    </row>
    <row r="113600" spans="6:6" x14ac:dyDescent="0.3">
      <c r="F113600" s="193"/>
    </row>
    <row r="113601" spans="6:6" x14ac:dyDescent="0.3">
      <c r="F113601" s="193"/>
    </row>
    <row r="113602" spans="6:6" x14ac:dyDescent="0.3">
      <c r="F113602" s="193"/>
    </row>
    <row r="113603" spans="6:6" x14ac:dyDescent="0.3">
      <c r="F113603" s="193"/>
    </row>
    <row r="113604" spans="6:6" x14ac:dyDescent="0.3">
      <c r="F113604" s="193"/>
    </row>
    <row r="113605" spans="6:6" x14ac:dyDescent="0.3">
      <c r="F113605" s="193"/>
    </row>
    <row r="113606" spans="6:6" x14ac:dyDescent="0.3">
      <c r="F113606" s="193"/>
    </row>
    <row r="113607" spans="6:6" x14ac:dyDescent="0.3">
      <c r="F113607" s="193"/>
    </row>
    <row r="113608" spans="6:6" x14ac:dyDescent="0.3">
      <c r="F113608" s="193"/>
    </row>
    <row r="113609" spans="6:6" x14ac:dyDescent="0.3">
      <c r="F113609" s="193"/>
    </row>
    <row r="113610" spans="6:6" x14ac:dyDescent="0.3">
      <c r="F113610" s="193"/>
    </row>
    <row r="113611" spans="6:6" x14ac:dyDescent="0.3">
      <c r="F113611" s="193"/>
    </row>
    <row r="113612" spans="6:6" x14ac:dyDescent="0.3">
      <c r="F113612" s="193"/>
    </row>
    <row r="113613" spans="6:6" x14ac:dyDescent="0.3">
      <c r="F113613" s="193"/>
    </row>
    <row r="113614" spans="6:6" x14ac:dyDescent="0.3">
      <c r="F113614" s="193"/>
    </row>
    <row r="113615" spans="6:6" x14ac:dyDescent="0.3">
      <c r="F113615" s="193"/>
    </row>
    <row r="113616" spans="6:6" x14ac:dyDescent="0.3">
      <c r="F113616" s="193"/>
    </row>
    <row r="113617" spans="6:6" x14ac:dyDescent="0.3">
      <c r="F113617" s="193"/>
    </row>
    <row r="113618" spans="6:6" x14ac:dyDescent="0.3">
      <c r="F113618" s="193"/>
    </row>
    <row r="113619" spans="6:6" x14ac:dyDescent="0.3">
      <c r="F113619" s="193"/>
    </row>
    <row r="113620" spans="6:6" x14ac:dyDescent="0.3">
      <c r="F113620" s="193"/>
    </row>
    <row r="113621" spans="6:6" x14ac:dyDescent="0.3">
      <c r="F113621" s="193"/>
    </row>
    <row r="113622" spans="6:6" x14ac:dyDescent="0.3">
      <c r="F113622" s="193"/>
    </row>
    <row r="113623" spans="6:6" x14ac:dyDescent="0.3">
      <c r="F113623" s="193"/>
    </row>
    <row r="113624" spans="6:6" x14ac:dyDescent="0.3">
      <c r="F113624" s="193"/>
    </row>
    <row r="113625" spans="6:6" x14ac:dyDescent="0.3">
      <c r="F113625" s="193"/>
    </row>
    <row r="113626" spans="6:6" x14ac:dyDescent="0.3">
      <c r="F113626" s="193"/>
    </row>
    <row r="113627" spans="6:6" x14ac:dyDescent="0.3">
      <c r="F113627" s="193"/>
    </row>
    <row r="113628" spans="6:6" x14ac:dyDescent="0.3">
      <c r="F113628" s="193"/>
    </row>
    <row r="113629" spans="6:6" x14ac:dyDescent="0.3">
      <c r="F113629" s="193"/>
    </row>
    <row r="113630" spans="6:6" x14ac:dyDescent="0.3">
      <c r="F113630" s="193"/>
    </row>
    <row r="113631" spans="6:6" x14ac:dyDescent="0.3">
      <c r="F113631" s="193"/>
    </row>
    <row r="113632" spans="6:6" x14ac:dyDescent="0.3">
      <c r="F113632" s="193"/>
    </row>
    <row r="113633" spans="6:6" x14ac:dyDescent="0.3">
      <c r="F113633" s="193"/>
    </row>
    <row r="113634" spans="6:6" x14ac:dyDescent="0.3">
      <c r="F113634" s="193"/>
    </row>
    <row r="113635" spans="6:6" x14ac:dyDescent="0.3">
      <c r="F113635" s="193"/>
    </row>
    <row r="113636" spans="6:6" x14ac:dyDescent="0.3">
      <c r="F113636" s="193"/>
    </row>
    <row r="113637" spans="6:6" x14ac:dyDescent="0.3">
      <c r="F113637" s="193"/>
    </row>
    <row r="113638" spans="6:6" x14ac:dyDescent="0.3">
      <c r="F113638" s="193"/>
    </row>
    <row r="113639" spans="6:6" x14ac:dyDescent="0.3">
      <c r="F113639" s="193"/>
    </row>
    <row r="113640" spans="6:6" x14ac:dyDescent="0.3">
      <c r="F113640" s="193"/>
    </row>
    <row r="113641" spans="6:6" x14ac:dyDescent="0.3">
      <c r="F113641" s="193"/>
    </row>
    <row r="113642" spans="6:6" x14ac:dyDescent="0.3">
      <c r="F113642" s="193"/>
    </row>
    <row r="113643" spans="6:6" x14ac:dyDescent="0.3">
      <c r="F113643" s="193"/>
    </row>
    <row r="113644" spans="6:6" x14ac:dyDescent="0.3">
      <c r="F113644" s="193"/>
    </row>
    <row r="113645" spans="6:6" x14ac:dyDescent="0.3">
      <c r="F113645" s="193"/>
    </row>
    <row r="113646" spans="6:6" x14ac:dyDescent="0.3">
      <c r="F113646" s="193"/>
    </row>
    <row r="113647" spans="6:6" x14ac:dyDescent="0.3">
      <c r="F113647" s="193"/>
    </row>
    <row r="113648" spans="6:6" x14ac:dyDescent="0.3">
      <c r="F113648" s="193"/>
    </row>
    <row r="113649" spans="6:6" x14ac:dyDescent="0.3">
      <c r="F113649" s="193"/>
    </row>
    <row r="113650" spans="6:6" x14ac:dyDescent="0.3">
      <c r="F113650" s="193"/>
    </row>
    <row r="113651" spans="6:6" x14ac:dyDescent="0.3">
      <c r="F113651" s="193"/>
    </row>
    <row r="113652" spans="6:6" x14ac:dyDescent="0.3">
      <c r="F113652" s="193"/>
    </row>
    <row r="113653" spans="6:6" x14ac:dyDescent="0.3">
      <c r="F113653" s="193"/>
    </row>
    <row r="113654" spans="6:6" x14ac:dyDescent="0.3">
      <c r="F113654" s="193"/>
    </row>
    <row r="113655" spans="6:6" x14ac:dyDescent="0.3">
      <c r="F113655" s="193"/>
    </row>
    <row r="113656" spans="6:6" x14ac:dyDescent="0.3">
      <c r="F113656" s="193"/>
    </row>
    <row r="113657" spans="6:6" x14ac:dyDescent="0.3">
      <c r="F113657" s="193"/>
    </row>
    <row r="113658" spans="6:6" x14ac:dyDescent="0.3">
      <c r="F113658" s="193"/>
    </row>
    <row r="113659" spans="6:6" x14ac:dyDescent="0.3">
      <c r="F113659" s="193"/>
    </row>
    <row r="113660" spans="6:6" x14ac:dyDescent="0.3">
      <c r="F113660" s="193"/>
    </row>
    <row r="113661" spans="6:6" x14ac:dyDescent="0.3">
      <c r="F113661" s="193"/>
    </row>
    <row r="113662" spans="6:6" x14ac:dyDescent="0.3">
      <c r="F113662" s="193"/>
    </row>
    <row r="113663" spans="6:6" x14ac:dyDescent="0.3">
      <c r="F113663" s="193"/>
    </row>
    <row r="113664" spans="6:6" x14ac:dyDescent="0.3">
      <c r="F113664" s="193"/>
    </row>
    <row r="113665" spans="6:6" x14ac:dyDescent="0.3">
      <c r="F113665" s="193"/>
    </row>
    <row r="113666" spans="6:6" x14ac:dyDescent="0.3">
      <c r="F113666" s="193"/>
    </row>
    <row r="113667" spans="6:6" x14ac:dyDescent="0.3">
      <c r="F113667" s="193"/>
    </row>
    <row r="113668" spans="6:6" x14ac:dyDescent="0.3">
      <c r="F113668" s="193"/>
    </row>
    <row r="113669" spans="6:6" x14ac:dyDescent="0.3">
      <c r="F113669" s="193"/>
    </row>
    <row r="113670" spans="6:6" x14ac:dyDescent="0.3">
      <c r="F113670" s="193"/>
    </row>
    <row r="113671" spans="6:6" x14ac:dyDescent="0.3">
      <c r="F113671" s="193"/>
    </row>
    <row r="113672" spans="6:6" x14ac:dyDescent="0.3">
      <c r="F113672" s="193"/>
    </row>
    <row r="113673" spans="6:6" x14ac:dyDescent="0.3">
      <c r="F113673" s="193"/>
    </row>
    <row r="113674" spans="6:6" x14ac:dyDescent="0.3">
      <c r="F113674" s="193"/>
    </row>
    <row r="113675" spans="6:6" x14ac:dyDescent="0.3">
      <c r="F113675" s="193"/>
    </row>
    <row r="113676" spans="6:6" x14ac:dyDescent="0.3">
      <c r="F113676" s="193"/>
    </row>
    <row r="113677" spans="6:6" x14ac:dyDescent="0.3">
      <c r="F113677" s="193"/>
    </row>
    <row r="113678" spans="6:6" x14ac:dyDescent="0.3">
      <c r="F113678" s="193"/>
    </row>
    <row r="113679" spans="6:6" x14ac:dyDescent="0.3">
      <c r="F113679" s="193"/>
    </row>
    <row r="113680" spans="6:6" x14ac:dyDescent="0.3">
      <c r="F113680" s="193"/>
    </row>
    <row r="113681" spans="6:6" x14ac:dyDescent="0.3">
      <c r="F113681" s="193"/>
    </row>
    <row r="113682" spans="6:6" x14ac:dyDescent="0.3">
      <c r="F113682" s="193"/>
    </row>
    <row r="113683" spans="6:6" x14ac:dyDescent="0.3">
      <c r="F113683" s="193"/>
    </row>
    <row r="113684" spans="6:6" x14ac:dyDescent="0.3">
      <c r="F113684" s="193"/>
    </row>
    <row r="113685" spans="6:6" x14ac:dyDescent="0.3">
      <c r="F113685" s="193"/>
    </row>
    <row r="113686" spans="6:6" x14ac:dyDescent="0.3">
      <c r="F113686" s="193"/>
    </row>
    <row r="113687" spans="6:6" x14ac:dyDescent="0.3">
      <c r="F113687" s="193"/>
    </row>
    <row r="113688" spans="6:6" x14ac:dyDescent="0.3">
      <c r="F113688" s="193"/>
    </row>
    <row r="113689" spans="6:6" x14ac:dyDescent="0.3">
      <c r="F113689" s="193"/>
    </row>
    <row r="113690" spans="6:6" x14ac:dyDescent="0.3">
      <c r="F113690" s="193"/>
    </row>
    <row r="113691" spans="6:6" x14ac:dyDescent="0.3">
      <c r="F113691" s="193"/>
    </row>
    <row r="113692" spans="6:6" x14ac:dyDescent="0.3">
      <c r="F113692" s="193"/>
    </row>
    <row r="113693" spans="6:6" x14ac:dyDescent="0.3">
      <c r="F113693" s="193"/>
    </row>
    <row r="113694" spans="6:6" x14ac:dyDescent="0.3">
      <c r="F113694" s="193"/>
    </row>
    <row r="113695" spans="6:6" x14ac:dyDescent="0.3">
      <c r="F113695" s="193"/>
    </row>
    <row r="113696" spans="6:6" x14ac:dyDescent="0.3">
      <c r="F113696" s="193"/>
    </row>
    <row r="113697" spans="6:6" x14ac:dyDescent="0.3">
      <c r="F113697" s="193"/>
    </row>
    <row r="113698" spans="6:6" x14ac:dyDescent="0.3">
      <c r="F113698" s="193"/>
    </row>
    <row r="113699" spans="6:6" x14ac:dyDescent="0.3">
      <c r="F113699" s="193"/>
    </row>
    <row r="113700" spans="6:6" x14ac:dyDescent="0.3">
      <c r="F113700" s="193"/>
    </row>
    <row r="113701" spans="6:6" x14ac:dyDescent="0.3">
      <c r="F113701" s="193"/>
    </row>
    <row r="113702" spans="6:6" x14ac:dyDescent="0.3">
      <c r="F113702" s="193"/>
    </row>
    <row r="113703" spans="6:6" x14ac:dyDescent="0.3">
      <c r="F113703" s="193"/>
    </row>
    <row r="113704" spans="6:6" x14ac:dyDescent="0.3">
      <c r="F113704" s="193"/>
    </row>
    <row r="113705" spans="6:6" x14ac:dyDescent="0.3">
      <c r="F113705" s="193"/>
    </row>
    <row r="113706" spans="6:6" x14ac:dyDescent="0.3">
      <c r="F113706" s="193"/>
    </row>
    <row r="113707" spans="6:6" x14ac:dyDescent="0.3">
      <c r="F113707" s="193"/>
    </row>
    <row r="113708" spans="6:6" x14ac:dyDescent="0.3">
      <c r="F113708" s="193"/>
    </row>
    <row r="113709" spans="6:6" x14ac:dyDescent="0.3">
      <c r="F113709" s="193"/>
    </row>
    <row r="113710" spans="6:6" x14ac:dyDescent="0.3">
      <c r="F113710" s="193"/>
    </row>
    <row r="113711" spans="6:6" x14ac:dyDescent="0.3">
      <c r="F113711" s="193"/>
    </row>
    <row r="113712" spans="6:6" x14ac:dyDescent="0.3">
      <c r="F113712" s="193"/>
    </row>
    <row r="113713" spans="6:6" x14ac:dyDescent="0.3">
      <c r="F113713" s="193"/>
    </row>
    <row r="113714" spans="6:6" x14ac:dyDescent="0.3">
      <c r="F113714" s="193"/>
    </row>
    <row r="113715" spans="6:6" x14ac:dyDescent="0.3">
      <c r="F113715" s="193"/>
    </row>
    <row r="113716" spans="6:6" x14ac:dyDescent="0.3">
      <c r="F113716" s="193"/>
    </row>
    <row r="113717" spans="6:6" x14ac:dyDescent="0.3">
      <c r="F113717" s="193"/>
    </row>
    <row r="113718" spans="6:6" x14ac:dyDescent="0.3">
      <c r="F113718" s="193"/>
    </row>
    <row r="113719" spans="6:6" x14ac:dyDescent="0.3">
      <c r="F113719" s="193"/>
    </row>
    <row r="113720" spans="6:6" x14ac:dyDescent="0.3">
      <c r="F113720" s="193"/>
    </row>
    <row r="113721" spans="6:6" x14ac:dyDescent="0.3">
      <c r="F113721" s="193"/>
    </row>
    <row r="113722" spans="6:6" x14ac:dyDescent="0.3">
      <c r="F113722" s="193"/>
    </row>
    <row r="113723" spans="6:6" x14ac:dyDescent="0.3">
      <c r="F113723" s="193"/>
    </row>
    <row r="113724" spans="6:6" x14ac:dyDescent="0.3">
      <c r="F113724" s="193"/>
    </row>
    <row r="113725" spans="6:6" x14ac:dyDescent="0.3">
      <c r="F113725" s="193"/>
    </row>
    <row r="113726" spans="6:6" x14ac:dyDescent="0.3">
      <c r="F113726" s="193"/>
    </row>
    <row r="113727" spans="6:6" x14ac:dyDescent="0.3">
      <c r="F113727" s="193"/>
    </row>
    <row r="113728" spans="6:6" x14ac:dyDescent="0.3">
      <c r="F113728" s="193"/>
    </row>
    <row r="113729" spans="6:6" x14ac:dyDescent="0.3">
      <c r="F113729" s="193"/>
    </row>
    <row r="113730" spans="6:6" x14ac:dyDescent="0.3">
      <c r="F113730" s="193"/>
    </row>
    <row r="113731" spans="6:6" x14ac:dyDescent="0.3">
      <c r="F113731" s="193"/>
    </row>
    <row r="113732" spans="6:6" x14ac:dyDescent="0.3">
      <c r="F113732" s="193"/>
    </row>
    <row r="113733" spans="6:6" x14ac:dyDescent="0.3">
      <c r="F113733" s="193"/>
    </row>
    <row r="113734" spans="6:6" x14ac:dyDescent="0.3">
      <c r="F113734" s="193"/>
    </row>
    <row r="113735" spans="6:6" x14ac:dyDescent="0.3">
      <c r="F113735" s="193"/>
    </row>
    <row r="113736" spans="6:6" x14ac:dyDescent="0.3">
      <c r="F113736" s="193"/>
    </row>
    <row r="113737" spans="6:6" x14ac:dyDescent="0.3">
      <c r="F113737" s="193"/>
    </row>
    <row r="113738" spans="6:6" x14ac:dyDescent="0.3">
      <c r="F113738" s="193"/>
    </row>
    <row r="113739" spans="6:6" x14ac:dyDescent="0.3">
      <c r="F113739" s="193"/>
    </row>
    <row r="113740" spans="6:6" x14ac:dyDescent="0.3">
      <c r="F113740" s="193"/>
    </row>
    <row r="113741" spans="6:6" x14ac:dyDescent="0.3">
      <c r="F113741" s="193"/>
    </row>
    <row r="113742" spans="6:6" x14ac:dyDescent="0.3">
      <c r="F113742" s="193"/>
    </row>
    <row r="113743" spans="6:6" x14ac:dyDescent="0.3">
      <c r="F113743" s="193"/>
    </row>
    <row r="113744" spans="6:6" x14ac:dyDescent="0.3">
      <c r="F113744" s="193"/>
    </row>
    <row r="113745" spans="6:6" x14ac:dyDescent="0.3">
      <c r="F113745" s="193"/>
    </row>
    <row r="113746" spans="6:6" x14ac:dyDescent="0.3">
      <c r="F113746" s="193"/>
    </row>
    <row r="113747" spans="6:6" x14ac:dyDescent="0.3">
      <c r="F113747" s="193"/>
    </row>
    <row r="113748" spans="6:6" x14ac:dyDescent="0.3">
      <c r="F113748" s="193"/>
    </row>
    <row r="113749" spans="6:6" x14ac:dyDescent="0.3">
      <c r="F113749" s="193"/>
    </row>
    <row r="113750" spans="6:6" x14ac:dyDescent="0.3">
      <c r="F113750" s="193"/>
    </row>
    <row r="113751" spans="6:6" x14ac:dyDescent="0.3">
      <c r="F113751" s="193"/>
    </row>
    <row r="113752" spans="6:6" x14ac:dyDescent="0.3">
      <c r="F113752" s="193"/>
    </row>
    <row r="113753" spans="6:6" x14ac:dyDescent="0.3">
      <c r="F113753" s="193"/>
    </row>
    <row r="113754" spans="6:6" x14ac:dyDescent="0.3">
      <c r="F113754" s="193"/>
    </row>
    <row r="113755" spans="6:6" x14ac:dyDescent="0.3">
      <c r="F113755" s="193"/>
    </row>
    <row r="113756" spans="6:6" x14ac:dyDescent="0.3">
      <c r="F113756" s="193"/>
    </row>
    <row r="113757" spans="6:6" x14ac:dyDescent="0.3">
      <c r="F113757" s="193"/>
    </row>
    <row r="113758" spans="6:6" x14ac:dyDescent="0.3">
      <c r="F113758" s="193"/>
    </row>
    <row r="113759" spans="6:6" x14ac:dyDescent="0.3">
      <c r="F113759" s="193"/>
    </row>
    <row r="113760" spans="6:6" x14ac:dyDescent="0.3">
      <c r="F113760" s="193"/>
    </row>
    <row r="113761" spans="6:6" x14ac:dyDescent="0.3">
      <c r="F113761" s="193"/>
    </row>
    <row r="113762" spans="6:6" x14ac:dyDescent="0.3">
      <c r="F113762" s="193"/>
    </row>
    <row r="113763" spans="6:6" x14ac:dyDescent="0.3">
      <c r="F113763" s="193"/>
    </row>
    <row r="113764" spans="6:6" x14ac:dyDescent="0.3">
      <c r="F113764" s="193"/>
    </row>
    <row r="113765" spans="6:6" x14ac:dyDescent="0.3">
      <c r="F113765" s="193"/>
    </row>
    <row r="113766" spans="6:6" x14ac:dyDescent="0.3">
      <c r="F113766" s="193"/>
    </row>
    <row r="113767" spans="6:6" x14ac:dyDescent="0.3">
      <c r="F113767" s="193"/>
    </row>
    <row r="113768" spans="6:6" x14ac:dyDescent="0.3">
      <c r="F113768" s="193"/>
    </row>
    <row r="113769" spans="6:6" x14ac:dyDescent="0.3">
      <c r="F113769" s="193"/>
    </row>
    <row r="113770" spans="6:6" x14ac:dyDescent="0.3">
      <c r="F113770" s="193"/>
    </row>
    <row r="113771" spans="6:6" x14ac:dyDescent="0.3">
      <c r="F113771" s="193"/>
    </row>
    <row r="113772" spans="6:6" x14ac:dyDescent="0.3">
      <c r="F113772" s="193"/>
    </row>
    <row r="113773" spans="6:6" x14ac:dyDescent="0.3">
      <c r="F113773" s="193"/>
    </row>
    <row r="113774" spans="6:6" x14ac:dyDescent="0.3">
      <c r="F113774" s="193"/>
    </row>
    <row r="113775" spans="6:6" x14ac:dyDescent="0.3">
      <c r="F113775" s="193"/>
    </row>
    <row r="113776" spans="6:6" x14ac:dyDescent="0.3">
      <c r="F113776" s="193"/>
    </row>
    <row r="113777" spans="6:6" x14ac:dyDescent="0.3">
      <c r="F113777" s="193"/>
    </row>
    <row r="113778" spans="6:6" x14ac:dyDescent="0.3">
      <c r="F113778" s="193"/>
    </row>
    <row r="113779" spans="6:6" x14ac:dyDescent="0.3">
      <c r="F113779" s="193"/>
    </row>
    <row r="113780" spans="6:6" x14ac:dyDescent="0.3">
      <c r="F113780" s="193"/>
    </row>
    <row r="113781" spans="6:6" x14ac:dyDescent="0.3">
      <c r="F113781" s="193"/>
    </row>
    <row r="113782" spans="6:6" x14ac:dyDescent="0.3">
      <c r="F113782" s="193"/>
    </row>
    <row r="113783" spans="6:6" x14ac:dyDescent="0.3">
      <c r="F113783" s="193"/>
    </row>
    <row r="113784" spans="6:6" x14ac:dyDescent="0.3">
      <c r="F113784" s="193"/>
    </row>
    <row r="113785" spans="6:6" x14ac:dyDescent="0.3">
      <c r="F113785" s="193"/>
    </row>
    <row r="113786" spans="6:6" x14ac:dyDescent="0.3">
      <c r="F113786" s="193"/>
    </row>
    <row r="113787" spans="6:6" x14ac:dyDescent="0.3">
      <c r="F113787" s="193"/>
    </row>
    <row r="113788" spans="6:6" x14ac:dyDescent="0.3">
      <c r="F113788" s="193"/>
    </row>
    <row r="113789" spans="6:6" x14ac:dyDescent="0.3">
      <c r="F113789" s="193"/>
    </row>
    <row r="113790" spans="6:6" x14ac:dyDescent="0.3">
      <c r="F113790" s="193"/>
    </row>
    <row r="113791" spans="6:6" x14ac:dyDescent="0.3">
      <c r="F113791" s="193"/>
    </row>
    <row r="113792" spans="6:6" x14ac:dyDescent="0.3">
      <c r="F113792" s="193"/>
    </row>
    <row r="113793" spans="6:6" x14ac:dyDescent="0.3">
      <c r="F113793" s="193"/>
    </row>
    <row r="113794" spans="6:6" x14ac:dyDescent="0.3">
      <c r="F113794" s="193"/>
    </row>
    <row r="113795" spans="6:6" x14ac:dyDescent="0.3">
      <c r="F113795" s="193"/>
    </row>
    <row r="113796" spans="6:6" x14ac:dyDescent="0.3">
      <c r="F113796" s="193"/>
    </row>
    <row r="113797" spans="6:6" x14ac:dyDescent="0.3">
      <c r="F113797" s="193"/>
    </row>
    <row r="113798" spans="6:6" x14ac:dyDescent="0.3">
      <c r="F113798" s="193"/>
    </row>
    <row r="113799" spans="6:6" x14ac:dyDescent="0.3">
      <c r="F113799" s="193"/>
    </row>
    <row r="113800" spans="6:6" x14ac:dyDescent="0.3">
      <c r="F113800" s="193"/>
    </row>
    <row r="113801" spans="6:6" x14ac:dyDescent="0.3">
      <c r="F113801" s="193"/>
    </row>
    <row r="113802" spans="6:6" x14ac:dyDescent="0.3">
      <c r="F113802" s="193"/>
    </row>
    <row r="113803" spans="6:6" x14ac:dyDescent="0.3">
      <c r="F113803" s="193"/>
    </row>
    <row r="113804" spans="6:6" x14ac:dyDescent="0.3">
      <c r="F113804" s="193"/>
    </row>
    <row r="113805" spans="6:6" x14ac:dyDescent="0.3">
      <c r="F113805" s="193"/>
    </row>
    <row r="113806" spans="6:6" x14ac:dyDescent="0.3">
      <c r="F113806" s="193"/>
    </row>
    <row r="113807" spans="6:6" x14ac:dyDescent="0.3">
      <c r="F113807" s="193"/>
    </row>
    <row r="113808" spans="6:6" x14ac:dyDescent="0.3">
      <c r="F113808" s="193"/>
    </row>
    <row r="113809" spans="6:6" x14ac:dyDescent="0.3">
      <c r="F113809" s="193"/>
    </row>
    <row r="113810" spans="6:6" x14ac:dyDescent="0.3">
      <c r="F113810" s="193"/>
    </row>
    <row r="113811" spans="6:6" x14ac:dyDescent="0.3">
      <c r="F113811" s="193"/>
    </row>
    <row r="113812" spans="6:6" x14ac:dyDescent="0.3">
      <c r="F113812" s="193"/>
    </row>
    <row r="113813" spans="6:6" x14ac:dyDescent="0.3">
      <c r="F113813" s="193"/>
    </row>
    <row r="113814" spans="6:6" x14ac:dyDescent="0.3">
      <c r="F113814" s="193"/>
    </row>
    <row r="113815" spans="6:6" x14ac:dyDescent="0.3">
      <c r="F113815" s="193"/>
    </row>
    <row r="113816" spans="6:6" x14ac:dyDescent="0.3">
      <c r="F113816" s="193"/>
    </row>
    <row r="113817" spans="6:6" x14ac:dyDescent="0.3">
      <c r="F113817" s="193"/>
    </row>
    <row r="113818" spans="6:6" x14ac:dyDescent="0.3">
      <c r="F113818" s="193"/>
    </row>
    <row r="113819" spans="6:6" x14ac:dyDescent="0.3">
      <c r="F113819" s="193"/>
    </row>
    <row r="113820" spans="6:6" x14ac:dyDescent="0.3">
      <c r="F113820" s="193"/>
    </row>
    <row r="113821" spans="6:6" x14ac:dyDescent="0.3">
      <c r="F113821" s="193"/>
    </row>
    <row r="113822" spans="6:6" x14ac:dyDescent="0.3">
      <c r="F113822" s="193"/>
    </row>
    <row r="113823" spans="6:6" x14ac:dyDescent="0.3">
      <c r="F113823" s="193"/>
    </row>
    <row r="113824" spans="6:6" x14ac:dyDescent="0.3">
      <c r="F113824" s="193"/>
    </row>
    <row r="113825" spans="6:6" x14ac:dyDescent="0.3">
      <c r="F113825" s="193"/>
    </row>
    <row r="113826" spans="6:6" x14ac:dyDescent="0.3">
      <c r="F113826" s="193"/>
    </row>
    <row r="113827" spans="6:6" x14ac:dyDescent="0.3">
      <c r="F113827" s="193"/>
    </row>
    <row r="113828" spans="6:6" x14ac:dyDescent="0.3">
      <c r="F113828" s="193"/>
    </row>
    <row r="113829" spans="6:6" x14ac:dyDescent="0.3">
      <c r="F113829" s="193"/>
    </row>
    <row r="113830" spans="6:6" x14ac:dyDescent="0.3">
      <c r="F113830" s="193"/>
    </row>
    <row r="113831" spans="6:6" x14ac:dyDescent="0.3">
      <c r="F113831" s="193"/>
    </row>
    <row r="113832" spans="6:6" x14ac:dyDescent="0.3">
      <c r="F113832" s="193"/>
    </row>
    <row r="113833" spans="6:6" x14ac:dyDescent="0.3">
      <c r="F113833" s="193"/>
    </row>
    <row r="113834" spans="6:6" x14ac:dyDescent="0.3">
      <c r="F113834" s="193"/>
    </row>
    <row r="113835" spans="6:6" x14ac:dyDescent="0.3">
      <c r="F113835" s="193"/>
    </row>
    <row r="113836" spans="6:6" x14ac:dyDescent="0.3">
      <c r="F113836" s="193"/>
    </row>
    <row r="113837" spans="6:6" x14ac:dyDescent="0.3">
      <c r="F113837" s="193"/>
    </row>
    <row r="113838" spans="6:6" x14ac:dyDescent="0.3">
      <c r="F113838" s="193"/>
    </row>
    <row r="113839" spans="6:6" x14ac:dyDescent="0.3">
      <c r="F113839" s="193"/>
    </row>
    <row r="113840" spans="6:6" x14ac:dyDescent="0.3">
      <c r="F113840" s="193"/>
    </row>
    <row r="113841" spans="6:6" x14ac:dyDescent="0.3">
      <c r="F113841" s="193"/>
    </row>
    <row r="113842" spans="6:6" x14ac:dyDescent="0.3">
      <c r="F113842" s="193"/>
    </row>
    <row r="113843" spans="6:6" x14ac:dyDescent="0.3">
      <c r="F113843" s="193"/>
    </row>
    <row r="113844" spans="6:6" x14ac:dyDescent="0.3">
      <c r="F113844" s="193"/>
    </row>
    <row r="113845" spans="6:6" x14ac:dyDescent="0.3">
      <c r="F113845" s="193"/>
    </row>
    <row r="113846" spans="6:6" x14ac:dyDescent="0.3">
      <c r="F113846" s="193"/>
    </row>
    <row r="113847" spans="6:6" x14ac:dyDescent="0.3">
      <c r="F113847" s="193"/>
    </row>
    <row r="113848" spans="6:6" x14ac:dyDescent="0.3">
      <c r="F113848" s="193"/>
    </row>
    <row r="113849" spans="6:6" x14ac:dyDescent="0.3">
      <c r="F113849" s="193"/>
    </row>
    <row r="113850" spans="6:6" x14ac:dyDescent="0.3">
      <c r="F113850" s="193"/>
    </row>
    <row r="113851" spans="6:6" x14ac:dyDescent="0.3">
      <c r="F113851" s="193"/>
    </row>
    <row r="113852" spans="6:6" x14ac:dyDescent="0.3">
      <c r="F113852" s="193"/>
    </row>
    <row r="113853" spans="6:6" x14ac:dyDescent="0.3">
      <c r="F113853" s="193"/>
    </row>
    <row r="113854" spans="6:6" x14ac:dyDescent="0.3">
      <c r="F113854" s="193"/>
    </row>
    <row r="113855" spans="6:6" x14ac:dyDescent="0.3">
      <c r="F113855" s="193"/>
    </row>
    <row r="113856" spans="6:6" x14ac:dyDescent="0.3">
      <c r="F113856" s="193"/>
    </row>
    <row r="113857" spans="6:6" x14ac:dyDescent="0.3">
      <c r="F113857" s="193"/>
    </row>
    <row r="113858" spans="6:6" x14ac:dyDescent="0.3">
      <c r="F113858" s="193"/>
    </row>
    <row r="113859" spans="6:6" x14ac:dyDescent="0.3">
      <c r="F113859" s="193"/>
    </row>
    <row r="113860" spans="6:6" x14ac:dyDescent="0.3">
      <c r="F113860" s="193"/>
    </row>
    <row r="113861" spans="6:6" x14ac:dyDescent="0.3">
      <c r="F113861" s="193"/>
    </row>
    <row r="113862" spans="6:6" x14ac:dyDescent="0.3">
      <c r="F113862" s="193"/>
    </row>
    <row r="113863" spans="6:6" x14ac:dyDescent="0.3">
      <c r="F113863" s="193"/>
    </row>
    <row r="113864" spans="6:6" x14ac:dyDescent="0.3">
      <c r="F113864" s="193"/>
    </row>
    <row r="113865" spans="6:6" x14ac:dyDescent="0.3">
      <c r="F113865" s="193"/>
    </row>
    <row r="113866" spans="6:6" x14ac:dyDescent="0.3">
      <c r="F113866" s="193"/>
    </row>
    <row r="113867" spans="6:6" x14ac:dyDescent="0.3">
      <c r="F113867" s="193"/>
    </row>
    <row r="113868" spans="6:6" x14ac:dyDescent="0.3">
      <c r="F113868" s="193"/>
    </row>
    <row r="113869" spans="6:6" x14ac:dyDescent="0.3">
      <c r="F113869" s="193"/>
    </row>
    <row r="113870" spans="6:6" x14ac:dyDescent="0.3">
      <c r="F113870" s="193"/>
    </row>
    <row r="113871" spans="6:6" x14ac:dyDescent="0.3">
      <c r="F113871" s="193"/>
    </row>
    <row r="113872" spans="6:6" x14ac:dyDescent="0.3">
      <c r="F113872" s="193"/>
    </row>
    <row r="113873" spans="6:6" x14ac:dyDescent="0.3">
      <c r="F113873" s="193"/>
    </row>
    <row r="113874" spans="6:6" x14ac:dyDescent="0.3">
      <c r="F113874" s="193"/>
    </row>
    <row r="113875" spans="6:6" x14ac:dyDescent="0.3">
      <c r="F113875" s="193"/>
    </row>
    <row r="113876" spans="6:6" x14ac:dyDescent="0.3">
      <c r="F113876" s="193"/>
    </row>
    <row r="113877" spans="6:6" x14ac:dyDescent="0.3">
      <c r="F113877" s="193"/>
    </row>
    <row r="113878" spans="6:6" x14ac:dyDescent="0.3">
      <c r="F113878" s="193"/>
    </row>
    <row r="113879" spans="6:6" x14ac:dyDescent="0.3">
      <c r="F113879" s="193"/>
    </row>
    <row r="113880" spans="6:6" x14ac:dyDescent="0.3">
      <c r="F113880" s="193"/>
    </row>
    <row r="113881" spans="6:6" x14ac:dyDescent="0.3">
      <c r="F113881" s="193"/>
    </row>
    <row r="113882" spans="6:6" x14ac:dyDescent="0.3">
      <c r="F113882" s="193"/>
    </row>
    <row r="113883" spans="6:6" x14ac:dyDescent="0.3">
      <c r="F113883" s="193"/>
    </row>
    <row r="113884" spans="6:6" x14ac:dyDescent="0.3">
      <c r="F113884" s="193"/>
    </row>
    <row r="113885" spans="6:6" x14ac:dyDescent="0.3">
      <c r="F113885" s="193"/>
    </row>
    <row r="113886" spans="6:6" x14ac:dyDescent="0.3">
      <c r="F113886" s="193"/>
    </row>
    <row r="113887" spans="6:6" x14ac:dyDescent="0.3">
      <c r="F113887" s="193"/>
    </row>
    <row r="113888" spans="6:6" x14ac:dyDescent="0.3">
      <c r="F113888" s="193"/>
    </row>
    <row r="113889" spans="6:6" x14ac:dyDescent="0.3">
      <c r="F113889" s="193"/>
    </row>
    <row r="113890" spans="6:6" x14ac:dyDescent="0.3">
      <c r="F113890" s="193"/>
    </row>
    <row r="113891" spans="6:6" x14ac:dyDescent="0.3">
      <c r="F113891" s="193"/>
    </row>
    <row r="113892" spans="6:6" x14ac:dyDescent="0.3">
      <c r="F113892" s="193"/>
    </row>
    <row r="113893" spans="6:6" x14ac:dyDescent="0.3">
      <c r="F113893" s="193"/>
    </row>
    <row r="113894" spans="6:6" x14ac:dyDescent="0.3">
      <c r="F113894" s="193"/>
    </row>
    <row r="113895" spans="6:6" x14ac:dyDescent="0.3">
      <c r="F113895" s="193"/>
    </row>
    <row r="113896" spans="6:6" x14ac:dyDescent="0.3">
      <c r="F113896" s="193"/>
    </row>
    <row r="113897" spans="6:6" x14ac:dyDescent="0.3">
      <c r="F113897" s="193"/>
    </row>
    <row r="113898" spans="6:6" x14ac:dyDescent="0.3">
      <c r="F113898" s="193"/>
    </row>
    <row r="113899" spans="6:6" x14ac:dyDescent="0.3">
      <c r="F113899" s="193"/>
    </row>
    <row r="113900" spans="6:6" x14ac:dyDescent="0.3">
      <c r="F113900" s="193"/>
    </row>
    <row r="113901" spans="6:6" x14ac:dyDescent="0.3">
      <c r="F113901" s="193"/>
    </row>
    <row r="113902" spans="6:6" x14ac:dyDescent="0.3">
      <c r="F113902" s="193"/>
    </row>
    <row r="113903" spans="6:6" x14ac:dyDescent="0.3">
      <c r="F113903" s="193"/>
    </row>
    <row r="113904" spans="6:6" x14ac:dyDescent="0.3">
      <c r="F113904" s="193"/>
    </row>
    <row r="113905" spans="6:6" x14ac:dyDescent="0.3">
      <c r="F113905" s="193"/>
    </row>
    <row r="113906" spans="6:6" x14ac:dyDescent="0.3">
      <c r="F113906" s="193"/>
    </row>
    <row r="113907" spans="6:6" x14ac:dyDescent="0.3">
      <c r="F113907" s="193"/>
    </row>
    <row r="113908" spans="6:6" x14ac:dyDescent="0.3">
      <c r="F113908" s="193"/>
    </row>
    <row r="113909" spans="6:6" x14ac:dyDescent="0.3">
      <c r="F113909" s="193"/>
    </row>
    <row r="113910" spans="6:6" x14ac:dyDescent="0.3">
      <c r="F113910" s="193"/>
    </row>
    <row r="113911" spans="6:6" x14ac:dyDescent="0.3">
      <c r="F113911" s="193"/>
    </row>
    <row r="113912" spans="6:6" x14ac:dyDescent="0.3">
      <c r="F113912" s="193"/>
    </row>
    <row r="113913" spans="6:6" x14ac:dyDescent="0.3">
      <c r="F113913" s="193"/>
    </row>
    <row r="113914" spans="6:6" x14ac:dyDescent="0.3">
      <c r="F113914" s="193"/>
    </row>
    <row r="113915" spans="6:6" x14ac:dyDescent="0.3">
      <c r="F113915" s="193"/>
    </row>
    <row r="113916" spans="6:6" x14ac:dyDescent="0.3">
      <c r="F113916" s="193"/>
    </row>
    <row r="113917" spans="6:6" x14ac:dyDescent="0.3">
      <c r="F113917" s="193"/>
    </row>
    <row r="113918" spans="6:6" x14ac:dyDescent="0.3">
      <c r="F113918" s="193"/>
    </row>
    <row r="113919" spans="6:6" x14ac:dyDescent="0.3">
      <c r="F113919" s="193"/>
    </row>
    <row r="113920" spans="6:6" x14ac:dyDescent="0.3">
      <c r="F113920" s="193"/>
    </row>
    <row r="113921" spans="6:6" x14ac:dyDescent="0.3">
      <c r="F113921" s="193"/>
    </row>
    <row r="113922" spans="6:6" x14ac:dyDescent="0.3">
      <c r="F113922" s="193"/>
    </row>
    <row r="113923" spans="6:6" x14ac:dyDescent="0.3">
      <c r="F113923" s="193"/>
    </row>
    <row r="113924" spans="6:6" x14ac:dyDescent="0.3">
      <c r="F113924" s="193"/>
    </row>
    <row r="113925" spans="6:6" x14ac:dyDescent="0.3">
      <c r="F113925" s="193"/>
    </row>
    <row r="113926" spans="6:6" x14ac:dyDescent="0.3">
      <c r="F113926" s="193"/>
    </row>
    <row r="113927" spans="6:6" x14ac:dyDescent="0.3">
      <c r="F113927" s="193"/>
    </row>
    <row r="113928" spans="6:6" x14ac:dyDescent="0.3">
      <c r="F113928" s="193"/>
    </row>
    <row r="113929" spans="6:6" x14ac:dyDescent="0.3">
      <c r="F113929" s="193"/>
    </row>
    <row r="113930" spans="6:6" x14ac:dyDescent="0.3">
      <c r="F113930" s="193"/>
    </row>
    <row r="113931" spans="6:6" x14ac:dyDescent="0.3">
      <c r="F113931" s="193"/>
    </row>
    <row r="113932" spans="6:6" x14ac:dyDescent="0.3">
      <c r="F113932" s="193"/>
    </row>
    <row r="113933" spans="6:6" x14ac:dyDescent="0.3">
      <c r="F113933" s="193"/>
    </row>
    <row r="113934" spans="6:6" x14ac:dyDescent="0.3">
      <c r="F113934" s="193"/>
    </row>
    <row r="113935" spans="6:6" x14ac:dyDescent="0.3">
      <c r="F113935" s="193"/>
    </row>
    <row r="113936" spans="6:6" x14ac:dyDescent="0.3">
      <c r="F113936" s="193"/>
    </row>
    <row r="113937" spans="6:6" x14ac:dyDescent="0.3">
      <c r="F113937" s="193"/>
    </row>
    <row r="113938" spans="6:6" x14ac:dyDescent="0.3">
      <c r="F113938" s="193"/>
    </row>
    <row r="113939" spans="6:6" x14ac:dyDescent="0.3">
      <c r="F113939" s="193"/>
    </row>
    <row r="113940" spans="6:6" x14ac:dyDescent="0.3">
      <c r="F113940" s="193"/>
    </row>
    <row r="113941" spans="6:6" x14ac:dyDescent="0.3">
      <c r="F113941" s="193"/>
    </row>
    <row r="113942" spans="6:6" x14ac:dyDescent="0.3">
      <c r="F113942" s="193"/>
    </row>
    <row r="113943" spans="6:6" x14ac:dyDescent="0.3">
      <c r="F113943" s="193"/>
    </row>
    <row r="113944" spans="6:6" x14ac:dyDescent="0.3">
      <c r="F113944" s="193"/>
    </row>
    <row r="113945" spans="6:6" x14ac:dyDescent="0.3">
      <c r="F113945" s="193"/>
    </row>
    <row r="113946" spans="6:6" x14ac:dyDescent="0.3">
      <c r="F113946" s="193"/>
    </row>
    <row r="113947" spans="6:6" x14ac:dyDescent="0.3">
      <c r="F113947" s="193"/>
    </row>
    <row r="113948" spans="6:6" x14ac:dyDescent="0.3">
      <c r="F113948" s="193"/>
    </row>
    <row r="113949" spans="6:6" x14ac:dyDescent="0.3">
      <c r="F113949" s="193"/>
    </row>
    <row r="113950" spans="6:6" x14ac:dyDescent="0.3">
      <c r="F113950" s="193"/>
    </row>
    <row r="113951" spans="6:6" x14ac:dyDescent="0.3">
      <c r="F113951" s="193"/>
    </row>
    <row r="113952" spans="6:6" x14ac:dyDescent="0.3">
      <c r="F113952" s="193"/>
    </row>
    <row r="113953" spans="6:6" x14ac:dyDescent="0.3">
      <c r="F113953" s="193"/>
    </row>
    <row r="113954" spans="6:6" x14ac:dyDescent="0.3">
      <c r="F113954" s="193"/>
    </row>
    <row r="113955" spans="6:6" x14ac:dyDescent="0.3">
      <c r="F113955" s="193"/>
    </row>
    <row r="113956" spans="6:6" x14ac:dyDescent="0.3">
      <c r="F113956" s="193"/>
    </row>
    <row r="113957" spans="6:6" x14ac:dyDescent="0.3">
      <c r="F113957" s="193"/>
    </row>
    <row r="113958" spans="6:6" x14ac:dyDescent="0.3">
      <c r="F113958" s="193"/>
    </row>
    <row r="113959" spans="6:6" x14ac:dyDescent="0.3">
      <c r="F113959" s="193"/>
    </row>
    <row r="113960" spans="6:6" x14ac:dyDescent="0.3">
      <c r="F113960" s="193"/>
    </row>
    <row r="113961" spans="6:6" x14ac:dyDescent="0.3">
      <c r="F113961" s="193"/>
    </row>
    <row r="113962" spans="6:6" x14ac:dyDescent="0.3">
      <c r="F113962" s="193"/>
    </row>
    <row r="113963" spans="6:6" x14ac:dyDescent="0.3">
      <c r="F113963" s="193"/>
    </row>
    <row r="113964" spans="6:6" x14ac:dyDescent="0.3">
      <c r="F113964" s="193"/>
    </row>
    <row r="113965" spans="6:6" x14ac:dyDescent="0.3">
      <c r="F113965" s="193"/>
    </row>
    <row r="113966" spans="6:6" x14ac:dyDescent="0.3">
      <c r="F113966" s="193"/>
    </row>
    <row r="113967" spans="6:6" x14ac:dyDescent="0.3">
      <c r="F113967" s="193"/>
    </row>
    <row r="113968" spans="6:6" x14ac:dyDescent="0.3">
      <c r="F113968" s="193"/>
    </row>
    <row r="113969" spans="6:6" x14ac:dyDescent="0.3">
      <c r="F113969" s="193"/>
    </row>
    <row r="113970" spans="6:6" x14ac:dyDescent="0.3">
      <c r="F113970" s="193"/>
    </row>
    <row r="113971" spans="6:6" x14ac:dyDescent="0.3">
      <c r="F113971" s="193"/>
    </row>
    <row r="113972" spans="6:6" x14ac:dyDescent="0.3">
      <c r="F113972" s="193"/>
    </row>
    <row r="113973" spans="6:6" x14ac:dyDescent="0.3">
      <c r="F113973" s="193"/>
    </row>
    <row r="113974" spans="6:6" x14ac:dyDescent="0.3">
      <c r="F113974" s="193"/>
    </row>
    <row r="113975" spans="6:6" x14ac:dyDescent="0.3">
      <c r="F113975" s="193"/>
    </row>
    <row r="113976" spans="6:6" x14ac:dyDescent="0.3">
      <c r="F113976" s="193"/>
    </row>
    <row r="113977" spans="6:6" x14ac:dyDescent="0.3">
      <c r="F113977" s="193"/>
    </row>
    <row r="113978" spans="6:6" x14ac:dyDescent="0.3">
      <c r="F113978" s="193"/>
    </row>
    <row r="113979" spans="6:6" x14ac:dyDescent="0.3">
      <c r="F113979" s="193"/>
    </row>
    <row r="113980" spans="6:6" x14ac:dyDescent="0.3">
      <c r="F113980" s="193"/>
    </row>
    <row r="113981" spans="6:6" x14ac:dyDescent="0.3">
      <c r="F113981" s="193"/>
    </row>
    <row r="113982" spans="6:6" x14ac:dyDescent="0.3">
      <c r="F113982" s="193"/>
    </row>
    <row r="113983" spans="6:6" x14ac:dyDescent="0.3">
      <c r="F113983" s="193"/>
    </row>
    <row r="113984" spans="6:6" x14ac:dyDescent="0.3">
      <c r="F113984" s="193"/>
    </row>
    <row r="113985" spans="6:6" x14ac:dyDescent="0.3">
      <c r="F113985" s="193"/>
    </row>
    <row r="113986" spans="6:6" x14ac:dyDescent="0.3">
      <c r="F113986" s="193"/>
    </row>
    <row r="113987" spans="6:6" x14ac:dyDescent="0.3">
      <c r="F113987" s="193"/>
    </row>
    <row r="113988" spans="6:6" x14ac:dyDescent="0.3">
      <c r="F113988" s="193"/>
    </row>
    <row r="113989" spans="6:6" x14ac:dyDescent="0.3">
      <c r="F113989" s="193"/>
    </row>
    <row r="113990" spans="6:6" x14ac:dyDescent="0.3">
      <c r="F113990" s="193"/>
    </row>
    <row r="113991" spans="6:6" x14ac:dyDescent="0.3">
      <c r="F113991" s="193"/>
    </row>
    <row r="113992" spans="6:6" x14ac:dyDescent="0.3">
      <c r="F113992" s="193"/>
    </row>
    <row r="113993" spans="6:6" x14ac:dyDescent="0.3">
      <c r="F113993" s="193"/>
    </row>
    <row r="113994" spans="6:6" x14ac:dyDescent="0.3">
      <c r="F113994" s="193"/>
    </row>
    <row r="113995" spans="6:6" x14ac:dyDescent="0.3">
      <c r="F113995" s="193"/>
    </row>
    <row r="113996" spans="6:6" x14ac:dyDescent="0.3">
      <c r="F113996" s="193"/>
    </row>
    <row r="113997" spans="6:6" x14ac:dyDescent="0.3">
      <c r="F113997" s="193"/>
    </row>
    <row r="113998" spans="6:6" x14ac:dyDescent="0.3">
      <c r="F113998" s="193"/>
    </row>
    <row r="113999" spans="6:6" x14ac:dyDescent="0.3">
      <c r="F113999" s="193"/>
    </row>
    <row r="114000" spans="6:6" x14ac:dyDescent="0.3">
      <c r="F114000" s="193"/>
    </row>
    <row r="114001" spans="6:6" x14ac:dyDescent="0.3">
      <c r="F114001" s="193"/>
    </row>
    <row r="114002" spans="6:6" x14ac:dyDescent="0.3">
      <c r="F114002" s="193"/>
    </row>
    <row r="114003" spans="6:6" x14ac:dyDescent="0.3">
      <c r="F114003" s="193"/>
    </row>
    <row r="114004" spans="6:6" x14ac:dyDescent="0.3">
      <c r="F114004" s="193"/>
    </row>
    <row r="114005" spans="6:6" x14ac:dyDescent="0.3">
      <c r="F114005" s="193"/>
    </row>
    <row r="114006" spans="6:6" x14ac:dyDescent="0.3">
      <c r="F114006" s="193"/>
    </row>
    <row r="114007" spans="6:6" x14ac:dyDescent="0.3">
      <c r="F114007" s="193"/>
    </row>
    <row r="114008" spans="6:6" x14ac:dyDescent="0.3">
      <c r="F114008" s="193"/>
    </row>
    <row r="114009" spans="6:6" x14ac:dyDescent="0.3">
      <c r="F114009" s="193"/>
    </row>
    <row r="114010" spans="6:6" x14ac:dyDescent="0.3">
      <c r="F114010" s="193"/>
    </row>
    <row r="114011" spans="6:6" x14ac:dyDescent="0.3">
      <c r="F114011" s="193"/>
    </row>
    <row r="114012" spans="6:6" x14ac:dyDescent="0.3">
      <c r="F114012" s="193"/>
    </row>
    <row r="114013" spans="6:6" x14ac:dyDescent="0.3">
      <c r="F114013" s="193"/>
    </row>
    <row r="114014" spans="6:6" x14ac:dyDescent="0.3">
      <c r="F114014" s="193"/>
    </row>
    <row r="114015" spans="6:6" x14ac:dyDescent="0.3">
      <c r="F114015" s="193"/>
    </row>
    <row r="114016" spans="6:6" x14ac:dyDescent="0.3">
      <c r="F114016" s="193"/>
    </row>
    <row r="114017" spans="6:6" x14ac:dyDescent="0.3">
      <c r="F114017" s="193"/>
    </row>
    <row r="114018" spans="6:6" x14ac:dyDescent="0.3">
      <c r="F114018" s="193"/>
    </row>
    <row r="114019" spans="6:6" x14ac:dyDescent="0.3">
      <c r="F114019" s="193"/>
    </row>
    <row r="114020" spans="6:6" x14ac:dyDescent="0.3">
      <c r="F114020" s="193"/>
    </row>
    <row r="114021" spans="6:6" x14ac:dyDescent="0.3">
      <c r="F114021" s="193"/>
    </row>
    <row r="114022" spans="6:6" x14ac:dyDescent="0.3">
      <c r="F114022" s="193"/>
    </row>
    <row r="114023" spans="6:6" x14ac:dyDescent="0.3">
      <c r="F114023" s="193"/>
    </row>
    <row r="114024" spans="6:6" x14ac:dyDescent="0.3">
      <c r="F114024" s="193"/>
    </row>
    <row r="114025" spans="6:6" x14ac:dyDescent="0.3">
      <c r="F114025" s="193"/>
    </row>
    <row r="114026" spans="6:6" x14ac:dyDescent="0.3">
      <c r="F114026" s="193"/>
    </row>
    <row r="114027" spans="6:6" x14ac:dyDescent="0.3">
      <c r="F114027" s="193"/>
    </row>
    <row r="114028" spans="6:6" x14ac:dyDescent="0.3">
      <c r="F114028" s="193"/>
    </row>
    <row r="114029" spans="6:6" x14ac:dyDescent="0.3">
      <c r="F114029" s="193"/>
    </row>
    <row r="114030" spans="6:6" x14ac:dyDescent="0.3">
      <c r="F114030" s="193"/>
    </row>
    <row r="114031" spans="6:6" x14ac:dyDescent="0.3">
      <c r="F114031" s="193"/>
    </row>
    <row r="114032" spans="6:6" x14ac:dyDescent="0.3">
      <c r="F114032" s="193"/>
    </row>
    <row r="114033" spans="6:6" x14ac:dyDescent="0.3">
      <c r="F114033" s="193"/>
    </row>
    <row r="114034" spans="6:6" x14ac:dyDescent="0.3">
      <c r="F114034" s="193"/>
    </row>
    <row r="114035" spans="6:6" x14ac:dyDescent="0.3">
      <c r="F114035" s="193"/>
    </row>
    <row r="114036" spans="6:6" x14ac:dyDescent="0.3">
      <c r="F114036" s="193"/>
    </row>
    <row r="114037" spans="6:6" x14ac:dyDescent="0.3">
      <c r="F114037" s="193"/>
    </row>
    <row r="114038" spans="6:6" x14ac:dyDescent="0.3">
      <c r="F114038" s="193"/>
    </row>
    <row r="114039" spans="6:6" x14ac:dyDescent="0.3">
      <c r="F114039" s="193"/>
    </row>
    <row r="114040" spans="6:6" x14ac:dyDescent="0.3">
      <c r="F114040" s="193"/>
    </row>
    <row r="114041" spans="6:6" x14ac:dyDescent="0.3">
      <c r="F114041" s="193"/>
    </row>
    <row r="114042" spans="6:6" x14ac:dyDescent="0.3">
      <c r="F114042" s="193"/>
    </row>
    <row r="114043" spans="6:6" x14ac:dyDescent="0.3">
      <c r="F114043" s="193"/>
    </row>
    <row r="114044" spans="6:6" x14ac:dyDescent="0.3">
      <c r="F114044" s="193"/>
    </row>
    <row r="114045" spans="6:6" x14ac:dyDescent="0.3">
      <c r="F114045" s="193"/>
    </row>
    <row r="114046" spans="6:6" x14ac:dyDescent="0.3">
      <c r="F114046" s="193"/>
    </row>
    <row r="114047" spans="6:6" x14ac:dyDescent="0.3">
      <c r="F114047" s="193"/>
    </row>
    <row r="114048" spans="6:6" x14ac:dyDescent="0.3">
      <c r="F114048" s="193"/>
    </row>
    <row r="114049" spans="6:6" x14ac:dyDescent="0.3">
      <c r="F114049" s="193"/>
    </row>
    <row r="114050" spans="6:6" x14ac:dyDescent="0.3">
      <c r="F114050" s="193"/>
    </row>
    <row r="114051" spans="6:6" x14ac:dyDescent="0.3">
      <c r="F114051" s="193"/>
    </row>
    <row r="114052" spans="6:6" x14ac:dyDescent="0.3">
      <c r="F114052" s="193"/>
    </row>
    <row r="114053" spans="6:6" x14ac:dyDescent="0.3">
      <c r="F114053" s="193"/>
    </row>
    <row r="114054" spans="6:6" x14ac:dyDescent="0.3">
      <c r="F114054" s="193"/>
    </row>
    <row r="114055" spans="6:6" x14ac:dyDescent="0.3">
      <c r="F114055" s="193"/>
    </row>
    <row r="114056" spans="6:6" x14ac:dyDescent="0.3">
      <c r="F114056" s="193"/>
    </row>
    <row r="114057" spans="6:6" x14ac:dyDescent="0.3">
      <c r="F114057" s="193"/>
    </row>
    <row r="114058" spans="6:6" x14ac:dyDescent="0.3">
      <c r="F114058" s="193"/>
    </row>
    <row r="114059" spans="6:6" x14ac:dyDescent="0.3">
      <c r="F114059" s="193"/>
    </row>
    <row r="114060" spans="6:6" x14ac:dyDescent="0.3">
      <c r="F114060" s="193"/>
    </row>
    <row r="114061" spans="6:6" x14ac:dyDescent="0.3">
      <c r="F114061" s="193"/>
    </row>
    <row r="114062" spans="6:6" x14ac:dyDescent="0.3">
      <c r="F114062" s="193"/>
    </row>
    <row r="114063" spans="6:6" x14ac:dyDescent="0.3">
      <c r="F114063" s="193"/>
    </row>
    <row r="114064" spans="6:6" x14ac:dyDescent="0.3">
      <c r="F114064" s="193"/>
    </row>
    <row r="114065" spans="6:6" x14ac:dyDescent="0.3">
      <c r="F114065" s="193"/>
    </row>
    <row r="114066" spans="6:6" x14ac:dyDescent="0.3">
      <c r="F114066" s="193"/>
    </row>
    <row r="114067" spans="6:6" x14ac:dyDescent="0.3">
      <c r="F114067" s="193"/>
    </row>
    <row r="114068" spans="6:6" x14ac:dyDescent="0.3">
      <c r="F114068" s="193"/>
    </row>
    <row r="114069" spans="6:6" x14ac:dyDescent="0.3">
      <c r="F114069" s="193"/>
    </row>
    <row r="114070" spans="6:6" x14ac:dyDescent="0.3">
      <c r="F114070" s="193"/>
    </row>
    <row r="114071" spans="6:6" x14ac:dyDescent="0.3">
      <c r="F114071" s="193"/>
    </row>
    <row r="114072" spans="6:6" x14ac:dyDescent="0.3">
      <c r="F114072" s="193"/>
    </row>
    <row r="114073" spans="6:6" x14ac:dyDescent="0.3">
      <c r="F114073" s="193"/>
    </row>
    <row r="114074" spans="6:6" x14ac:dyDescent="0.3">
      <c r="F114074" s="193"/>
    </row>
    <row r="114075" spans="6:6" x14ac:dyDescent="0.3">
      <c r="F114075" s="193"/>
    </row>
    <row r="114076" spans="6:6" x14ac:dyDescent="0.3">
      <c r="F114076" s="193"/>
    </row>
    <row r="114077" spans="6:6" x14ac:dyDescent="0.3">
      <c r="F114077" s="193"/>
    </row>
    <row r="114078" spans="6:6" x14ac:dyDescent="0.3">
      <c r="F114078" s="193"/>
    </row>
    <row r="114079" spans="6:6" x14ac:dyDescent="0.3">
      <c r="F114079" s="193"/>
    </row>
    <row r="114080" spans="6:6" x14ac:dyDescent="0.3">
      <c r="F114080" s="193"/>
    </row>
    <row r="114081" spans="6:6" x14ac:dyDescent="0.3">
      <c r="F114081" s="193"/>
    </row>
    <row r="114082" spans="6:6" x14ac:dyDescent="0.3">
      <c r="F114082" s="193"/>
    </row>
    <row r="114083" spans="6:6" x14ac:dyDescent="0.3">
      <c r="F114083" s="193"/>
    </row>
    <row r="114084" spans="6:6" x14ac:dyDescent="0.3">
      <c r="F114084" s="193"/>
    </row>
    <row r="114085" spans="6:6" x14ac:dyDescent="0.3">
      <c r="F114085" s="193"/>
    </row>
    <row r="114086" spans="6:6" x14ac:dyDescent="0.3">
      <c r="F114086" s="193"/>
    </row>
    <row r="114087" spans="6:6" x14ac:dyDescent="0.3">
      <c r="F114087" s="193"/>
    </row>
    <row r="114088" spans="6:6" x14ac:dyDescent="0.3">
      <c r="F114088" s="193"/>
    </row>
    <row r="114089" spans="6:6" x14ac:dyDescent="0.3">
      <c r="F114089" s="193"/>
    </row>
    <row r="114090" spans="6:6" x14ac:dyDescent="0.3">
      <c r="F114090" s="193"/>
    </row>
    <row r="114091" spans="6:6" x14ac:dyDescent="0.3">
      <c r="F114091" s="193"/>
    </row>
    <row r="114092" spans="6:6" x14ac:dyDescent="0.3">
      <c r="F114092" s="193"/>
    </row>
    <row r="114093" spans="6:6" x14ac:dyDescent="0.3">
      <c r="F114093" s="193"/>
    </row>
    <row r="114094" spans="6:6" x14ac:dyDescent="0.3">
      <c r="F114094" s="193"/>
    </row>
    <row r="114095" spans="6:6" x14ac:dyDescent="0.3">
      <c r="F114095" s="193"/>
    </row>
    <row r="114096" spans="6:6" x14ac:dyDescent="0.3">
      <c r="F114096" s="193"/>
    </row>
    <row r="114097" spans="6:6" x14ac:dyDescent="0.3">
      <c r="F114097" s="193"/>
    </row>
    <row r="114098" spans="6:6" x14ac:dyDescent="0.3">
      <c r="F114098" s="193"/>
    </row>
    <row r="114099" spans="6:6" x14ac:dyDescent="0.3">
      <c r="F114099" s="193"/>
    </row>
    <row r="114100" spans="6:6" x14ac:dyDescent="0.3">
      <c r="F114100" s="193"/>
    </row>
    <row r="114101" spans="6:6" x14ac:dyDescent="0.3">
      <c r="F114101" s="193"/>
    </row>
    <row r="114102" spans="6:6" x14ac:dyDescent="0.3">
      <c r="F114102" s="193"/>
    </row>
    <row r="114103" spans="6:6" x14ac:dyDescent="0.3">
      <c r="F114103" s="193"/>
    </row>
    <row r="114104" spans="6:6" x14ac:dyDescent="0.3">
      <c r="F114104" s="193"/>
    </row>
    <row r="114105" spans="6:6" x14ac:dyDescent="0.3">
      <c r="F114105" s="193"/>
    </row>
    <row r="114106" spans="6:6" x14ac:dyDescent="0.3">
      <c r="F114106" s="193"/>
    </row>
    <row r="114107" spans="6:6" x14ac:dyDescent="0.3">
      <c r="F114107" s="193"/>
    </row>
    <row r="114108" spans="6:6" x14ac:dyDescent="0.3">
      <c r="F114108" s="193"/>
    </row>
    <row r="114109" spans="6:6" x14ac:dyDescent="0.3">
      <c r="F114109" s="193"/>
    </row>
    <row r="114110" spans="6:6" x14ac:dyDescent="0.3">
      <c r="F114110" s="193"/>
    </row>
    <row r="114111" spans="6:6" x14ac:dyDescent="0.3">
      <c r="F114111" s="193"/>
    </row>
    <row r="114112" spans="6:6" x14ac:dyDescent="0.3">
      <c r="F114112" s="193"/>
    </row>
    <row r="114113" spans="6:6" x14ac:dyDescent="0.3">
      <c r="F114113" s="193"/>
    </row>
    <row r="114114" spans="6:6" x14ac:dyDescent="0.3">
      <c r="F114114" s="193"/>
    </row>
    <row r="114115" spans="6:6" x14ac:dyDescent="0.3">
      <c r="F114115" s="193"/>
    </row>
    <row r="114116" spans="6:6" x14ac:dyDescent="0.3">
      <c r="F114116" s="193"/>
    </row>
    <row r="114117" spans="6:6" x14ac:dyDescent="0.3">
      <c r="F114117" s="193"/>
    </row>
    <row r="114118" spans="6:6" x14ac:dyDescent="0.3">
      <c r="F114118" s="193"/>
    </row>
    <row r="114119" spans="6:6" x14ac:dyDescent="0.3">
      <c r="F114119" s="193"/>
    </row>
    <row r="114120" spans="6:6" x14ac:dyDescent="0.3">
      <c r="F114120" s="193"/>
    </row>
    <row r="114121" spans="6:6" x14ac:dyDescent="0.3">
      <c r="F114121" s="193"/>
    </row>
    <row r="114122" spans="6:6" x14ac:dyDescent="0.3">
      <c r="F114122" s="193"/>
    </row>
    <row r="114123" spans="6:6" x14ac:dyDescent="0.3">
      <c r="F114123" s="193"/>
    </row>
    <row r="114124" spans="6:6" x14ac:dyDescent="0.3">
      <c r="F114124" s="193"/>
    </row>
    <row r="114125" spans="6:6" x14ac:dyDescent="0.3">
      <c r="F114125" s="193"/>
    </row>
    <row r="114126" spans="6:6" x14ac:dyDescent="0.3">
      <c r="F114126" s="193"/>
    </row>
    <row r="114127" spans="6:6" x14ac:dyDescent="0.3">
      <c r="F114127" s="193"/>
    </row>
    <row r="114128" spans="6:6" x14ac:dyDescent="0.3">
      <c r="F114128" s="193"/>
    </row>
    <row r="114129" spans="6:6" x14ac:dyDescent="0.3">
      <c r="F114129" s="193"/>
    </row>
    <row r="114130" spans="6:6" x14ac:dyDescent="0.3">
      <c r="F114130" s="193"/>
    </row>
    <row r="114131" spans="6:6" x14ac:dyDescent="0.3">
      <c r="F114131" s="193"/>
    </row>
    <row r="114132" spans="6:6" x14ac:dyDescent="0.3">
      <c r="F114132" s="193"/>
    </row>
    <row r="114133" spans="6:6" x14ac:dyDescent="0.3">
      <c r="F114133" s="193"/>
    </row>
    <row r="114134" spans="6:6" x14ac:dyDescent="0.3">
      <c r="F114134" s="193"/>
    </row>
    <row r="114135" spans="6:6" x14ac:dyDescent="0.3">
      <c r="F114135" s="193"/>
    </row>
    <row r="114136" spans="6:6" x14ac:dyDescent="0.3">
      <c r="F114136" s="193"/>
    </row>
    <row r="114137" spans="6:6" x14ac:dyDescent="0.3">
      <c r="F114137" s="193"/>
    </row>
    <row r="114138" spans="6:6" x14ac:dyDescent="0.3">
      <c r="F114138" s="193"/>
    </row>
    <row r="114139" spans="6:6" x14ac:dyDescent="0.3">
      <c r="F114139" s="193"/>
    </row>
    <row r="114140" spans="6:6" x14ac:dyDescent="0.3">
      <c r="F114140" s="193"/>
    </row>
    <row r="114141" spans="6:6" x14ac:dyDescent="0.3">
      <c r="F114141" s="193"/>
    </row>
    <row r="114142" spans="6:6" x14ac:dyDescent="0.3">
      <c r="F114142" s="193"/>
    </row>
    <row r="114143" spans="6:6" x14ac:dyDescent="0.3">
      <c r="F114143" s="193"/>
    </row>
    <row r="114144" spans="6:6" x14ac:dyDescent="0.3">
      <c r="F114144" s="193"/>
    </row>
    <row r="114145" spans="6:6" x14ac:dyDescent="0.3">
      <c r="F114145" s="193"/>
    </row>
    <row r="114146" spans="6:6" x14ac:dyDescent="0.3">
      <c r="F114146" s="193"/>
    </row>
    <row r="114147" spans="6:6" x14ac:dyDescent="0.3">
      <c r="F114147" s="193"/>
    </row>
    <row r="114148" spans="6:6" x14ac:dyDescent="0.3">
      <c r="F114148" s="193"/>
    </row>
    <row r="114149" spans="6:6" x14ac:dyDescent="0.3">
      <c r="F114149" s="193"/>
    </row>
    <row r="114150" spans="6:6" x14ac:dyDescent="0.3">
      <c r="F114150" s="193"/>
    </row>
    <row r="114151" spans="6:6" x14ac:dyDescent="0.3">
      <c r="F114151" s="193"/>
    </row>
    <row r="114152" spans="6:6" x14ac:dyDescent="0.3">
      <c r="F114152" s="193"/>
    </row>
    <row r="114153" spans="6:6" x14ac:dyDescent="0.3">
      <c r="F114153" s="193"/>
    </row>
    <row r="114154" spans="6:6" x14ac:dyDescent="0.3">
      <c r="F114154" s="193"/>
    </row>
    <row r="114155" spans="6:6" x14ac:dyDescent="0.3">
      <c r="F114155" s="193"/>
    </row>
    <row r="114156" spans="6:6" x14ac:dyDescent="0.3">
      <c r="F114156" s="193"/>
    </row>
    <row r="114157" spans="6:6" x14ac:dyDescent="0.3">
      <c r="F114157" s="193"/>
    </row>
    <row r="114158" spans="6:6" x14ac:dyDescent="0.3">
      <c r="F114158" s="193"/>
    </row>
    <row r="114159" spans="6:6" x14ac:dyDescent="0.3">
      <c r="F114159" s="193"/>
    </row>
    <row r="114160" spans="6:6" x14ac:dyDescent="0.3">
      <c r="F114160" s="193"/>
    </row>
    <row r="114161" spans="6:6" x14ac:dyDescent="0.3">
      <c r="F114161" s="193"/>
    </row>
    <row r="114162" spans="6:6" x14ac:dyDescent="0.3">
      <c r="F114162" s="193"/>
    </row>
    <row r="114163" spans="6:6" x14ac:dyDescent="0.3">
      <c r="F114163" s="193"/>
    </row>
    <row r="114164" spans="6:6" x14ac:dyDescent="0.3">
      <c r="F114164" s="193"/>
    </row>
    <row r="114165" spans="6:6" x14ac:dyDescent="0.3">
      <c r="F114165" s="193"/>
    </row>
    <row r="114166" spans="6:6" x14ac:dyDescent="0.3">
      <c r="F114166" s="193"/>
    </row>
    <row r="114167" spans="6:6" x14ac:dyDescent="0.3">
      <c r="F114167" s="193"/>
    </row>
    <row r="114168" spans="6:6" x14ac:dyDescent="0.3">
      <c r="F114168" s="193"/>
    </row>
    <row r="114169" spans="6:6" x14ac:dyDescent="0.3">
      <c r="F114169" s="193"/>
    </row>
    <row r="114170" spans="6:6" x14ac:dyDescent="0.3">
      <c r="F114170" s="193"/>
    </row>
    <row r="114171" spans="6:6" x14ac:dyDescent="0.3">
      <c r="F114171" s="193"/>
    </row>
    <row r="114172" spans="6:6" x14ac:dyDescent="0.3">
      <c r="F114172" s="193"/>
    </row>
    <row r="114173" spans="6:6" x14ac:dyDescent="0.3">
      <c r="F114173" s="193"/>
    </row>
    <row r="114174" spans="6:6" x14ac:dyDescent="0.3">
      <c r="F114174" s="193"/>
    </row>
    <row r="114175" spans="6:6" x14ac:dyDescent="0.3">
      <c r="F114175" s="193"/>
    </row>
    <row r="114176" spans="6:6" x14ac:dyDescent="0.3">
      <c r="F114176" s="193"/>
    </row>
    <row r="114177" spans="6:6" x14ac:dyDescent="0.3">
      <c r="F114177" s="193"/>
    </row>
    <row r="114178" spans="6:6" x14ac:dyDescent="0.3">
      <c r="F114178" s="193"/>
    </row>
    <row r="114179" spans="6:6" x14ac:dyDescent="0.3">
      <c r="F114179" s="193"/>
    </row>
    <row r="114180" spans="6:6" x14ac:dyDescent="0.3">
      <c r="F114180" s="193"/>
    </row>
    <row r="114181" spans="6:6" x14ac:dyDescent="0.3">
      <c r="F114181" s="193"/>
    </row>
    <row r="114182" spans="6:6" x14ac:dyDescent="0.3">
      <c r="F114182" s="193"/>
    </row>
    <row r="114183" spans="6:6" x14ac:dyDescent="0.3">
      <c r="F114183" s="193"/>
    </row>
    <row r="114184" spans="6:6" x14ac:dyDescent="0.3">
      <c r="F114184" s="193"/>
    </row>
    <row r="114185" spans="6:6" x14ac:dyDescent="0.3">
      <c r="F114185" s="193"/>
    </row>
    <row r="114186" spans="6:6" x14ac:dyDescent="0.3">
      <c r="F114186" s="193"/>
    </row>
    <row r="114187" spans="6:6" x14ac:dyDescent="0.3">
      <c r="F114187" s="193"/>
    </row>
    <row r="114188" spans="6:6" x14ac:dyDescent="0.3">
      <c r="F114188" s="193"/>
    </row>
    <row r="114189" spans="6:6" x14ac:dyDescent="0.3">
      <c r="F114189" s="193"/>
    </row>
    <row r="114190" spans="6:6" x14ac:dyDescent="0.3">
      <c r="F114190" s="193"/>
    </row>
    <row r="114191" spans="6:6" x14ac:dyDescent="0.3">
      <c r="F114191" s="193"/>
    </row>
    <row r="114192" spans="6:6" x14ac:dyDescent="0.3">
      <c r="F114192" s="193"/>
    </row>
    <row r="114193" spans="6:6" x14ac:dyDescent="0.3">
      <c r="F114193" s="193"/>
    </row>
    <row r="114194" spans="6:6" x14ac:dyDescent="0.3">
      <c r="F114194" s="193"/>
    </row>
    <row r="114195" spans="6:6" x14ac:dyDescent="0.3">
      <c r="F114195" s="193"/>
    </row>
    <row r="114196" spans="6:6" x14ac:dyDescent="0.3">
      <c r="F114196" s="193"/>
    </row>
    <row r="114197" spans="6:6" x14ac:dyDescent="0.3">
      <c r="F114197" s="193"/>
    </row>
    <row r="114198" spans="6:6" x14ac:dyDescent="0.3">
      <c r="F114198" s="193"/>
    </row>
    <row r="114199" spans="6:6" x14ac:dyDescent="0.3">
      <c r="F114199" s="193"/>
    </row>
    <row r="114200" spans="6:6" x14ac:dyDescent="0.3">
      <c r="F114200" s="193"/>
    </row>
    <row r="114201" spans="6:6" x14ac:dyDescent="0.3">
      <c r="F114201" s="193"/>
    </row>
    <row r="114202" spans="6:6" x14ac:dyDescent="0.3">
      <c r="F114202" s="193"/>
    </row>
    <row r="114203" spans="6:6" x14ac:dyDescent="0.3">
      <c r="F114203" s="193"/>
    </row>
    <row r="114204" spans="6:6" x14ac:dyDescent="0.3">
      <c r="F114204" s="193"/>
    </row>
    <row r="114205" spans="6:6" x14ac:dyDescent="0.3">
      <c r="F114205" s="193"/>
    </row>
    <row r="114206" spans="6:6" x14ac:dyDescent="0.3">
      <c r="F114206" s="193"/>
    </row>
    <row r="114207" spans="6:6" x14ac:dyDescent="0.3">
      <c r="F114207" s="193"/>
    </row>
    <row r="114208" spans="6:6" x14ac:dyDescent="0.3">
      <c r="F114208" s="193"/>
    </row>
    <row r="114209" spans="6:6" x14ac:dyDescent="0.3">
      <c r="F114209" s="193"/>
    </row>
    <row r="114210" spans="6:6" x14ac:dyDescent="0.3">
      <c r="F114210" s="193"/>
    </row>
    <row r="114211" spans="6:6" x14ac:dyDescent="0.3">
      <c r="F114211" s="193"/>
    </row>
    <row r="114212" spans="6:6" x14ac:dyDescent="0.3">
      <c r="F114212" s="193"/>
    </row>
    <row r="114213" spans="6:6" x14ac:dyDescent="0.3">
      <c r="F114213" s="193"/>
    </row>
    <row r="114214" spans="6:6" x14ac:dyDescent="0.3">
      <c r="F114214" s="193"/>
    </row>
    <row r="114215" spans="6:6" x14ac:dyDescent="0.3">
      <c r="F114215" s="193"/>
    </row>
    <row r="114216" spans="6:6" x14ac:dyDescent="0.3">
      <c r="F114216" s="193"/>
    </row>
    <row r="114217" spans="6:6" x14ac:dyDescent="0.3">
      <c r="F114217" s="193"/>
    </row>
    <row r="114218" spans="6:6" x14ac:dyDescent="0.3">
      <c r="F114218" s="193"/>
    </row>
    <row r="114219" spans="6:6" x14ac:dyDescent="0.3">
      <c r="F114219" s="193"/>
    </row>
    <row r="114220" spans="6:6" x14ac:dyDescent="0.3">
      <c r="F114220" s="193"/>
    </row>
    <row r="114221" spans="6:6" x14ac:dyDescent="0.3">
      <c r="F114221" s="193"/>
    </row>
    <row r="114222" spans="6:6" x14ac:dyDescent="0.3">
      <c r="F114222" s="193"/>
    </row>
    <row r="114223" spans="6:6" x14ac:dyDescent="0.3">
      <c r="F114223" s="193"/>
    </row>
    <row r="114224" spans="6:6" x14ac:dyDescent="0.3">
      <c r="F114224" s="193"/>
    </row>
    <row r="114225" spans="6:6" x14ac:dyDescent="0.3">
      <c r="F114225" s="193"/>
    </row>
    <row r="114226" spans="6:6" x14ac:dyDescent="0.3">
      <c r="F114226" s="193"/>
    </row>
    <row r="114227" spans="6:6" x14ac:dyDescent="0.3">
      <c r="F114227" s="193"/>
    </row>
    <row r="114228" spans="6:6" x14ac:dyDescent="0.3">
      <c r="F114228" s="193"/>
    </row>
    <row r="114229" spans="6:6" x14ac:dyDescent="0.3">
      <c r="F114229" s="193"/>
    </row>
    <row r="114230" spans="6:6" x14ac:dyDescent="0.3">
      <c r="F114230" s="193"/>
    </row>
    <row r="114231" spans="6:6" x14ac:dyDescent="0.3">
      <c r="F114231" s="193"/>
    </row>
    <row r="114232" spans="6:6" x14ac:dyDescent="0.3">
      <c r="F114232" s="193"/>
    </row>
    <row r="114233" spans="6:6" x14ac:dyDescent="0.3">
      <c r="F114233" s="193"/>
    </row>
    <row r="114234" spans="6:6" x14ac:dyDescent="0.3">
      <c r="F114234" s="193"/>
    </row>
    <row r="114235" spans="6:6" x14ac:dyDescent="0.3">
      <c r="F114235" s="193"/>
    </row>
    <row r="114236" spans="6:6" x14ac:dyDescent="0.3">
      <c r="F114236" s="193"/>
    </row>
    <row r="114237" spans="6:6" x14ac:dyDescent="0.3">
      <c r="F114237" s="193"/>
    </row>
    <row r="114238" spans="6:6" x14ac:dyDescent="0.3">
      <c r="F114238" s="193"/>
    </row>
    <row r="114239" spans="6:6" x14ac:dyDescent="0.3">
      <c r="F114239" s="193"/>
    </row>
    <row r="114240" spans="6:6" x14ac:dyDescent="0.3">
      <c r="F114240" s="193"/>
    </row>
    <row r="114241" spans="6:6" x14ac:dyDescent="0.3">
      <c r="F114241" s="193"/>
    </row>
    <row r="114242" spans="6:6" x14ac:dyDescent="0.3">
      <c r="F114242" s="193"/>
    </row>
    <row r="114243" spans="6:6" x14ac:dyDescent="0.3">
      <c r="F114243" s="193"/>
    </row>
    <row r="114244" spans="6:6" x14ac:dyDescent="0.3">
      <c r="F114244" s="193"/>
    </row>
    <row r="114245" spans="6:6" x14ac:dyDescent="0.3">
      <c r="F114245" s="193"/>
    </row>
    <row r="114246" spans="6:6" x14ac:dyDescent="0.3">
      <c r="F114246" s="193"/>
    </row>
    <row r="114247" spans="6:6" x14ac:dyDescent="0.3">
      <c r="F114247" s="193"/>
    </row>
    <row r="114248" spans="6:6" x14ac:dyDescent="0.3">
      <c r="F114248" s="193"/>
    </row>
    <row r="114249" spans="6:6" x14ac:dyDescent="0.3">
      <c r="F114249" s="193"/>
    </row>
    <row r="114250" spans="6:6" x14ac:dyDescent="0.3">
      <c r="F114250" s="193"/>
    </row>
    <row r="114251" spans="6:6" x14ac:dyDescent="0.3">
      <c r="F114251" s="193"/>
    </row>
    <row r="114252" spans="6:6" x14ac:dyDescent="0.3">
      <c r="F114252" s="193"/>
    </row>
    <row r="114253" spans="6:6" x14ac:dyDescent="0.3">
      <c r="F114253" s="193"/>
    </row>
    <row r="114254" spans="6:6" x14ac:dyDescent="0.3">
      <c r="F114254" s="193"/>
    </row>
    <row r="114255" spans="6:6" x14ac:dyDescent="0.3">
      <c r="F114255" s="193"/>
    </row>
    <row r="114256" spans="6:6" x14ac:dyDescent="0.3">
      <c r="F114256" s="193"/>
    </row>
    <row r="114257" spans="6:6" x14ac:dyDescent="0.3">
      <c r="F114257" s="193"/>
    </row>
    <row r="114258" spans="6:6" x14ac:dyDescent="0.3">
      <c r="F114258" s="193"/>
    </row>
    <row r="114259" spans="6:6" x14ac:dyDescent="0.3">
      <c r="F114259" s="193"/>
    </row>
    <row r="114260" spans="6:6" x14ac:dyDescent="0.3">
      <c r="F114260" s="193"/>
    </row>
    <row r="114261" spans="6:6" x14ac:dyDescent="0.3">
      <c r="F114261" s="193"/>
    </row>
    <row r="114262" spans="6:6" x14ac:dyDescent="0.3">
      <c r="F114262" s="193"/>
    </row>
    <row r="114263" spans="6:6" x14ac:dyDescent="0.3">
      <c r="F114263" s="193"/>
    </row>
    <row r="114264" spans="6:6" x14ac:dyDescent="0.3">
      <c r="F114264" s="193"/>
    </row>
    <row r="114265" spans="6:6" x14ac:dyDescent="0.3">
      <c r="F114265" s="193"/>
    </row>
    <row r="114266" spans="6:6" x14ac:dyDescent="0.3">
      <c r="F114266" s="193"/>
    </row>
    <row r="114267" spans="6:6" x14ac:dyDescent="0.3">
      <c r="F114267" s="193"/>
    </row>
    <row r="114268" spans="6:6" x14ac:dyDescent="0.3">
      <c r="F114268" s="193"/>
    </row>
    <row r="114269" spans="6:6" x14ac:dyDescent="0.3">
      <c r="F114269" s="193"/>
    </row>
    <row r="114270" spans="6:6" x14ac:dyDescent="0.3">
      <c r="F114270" s="193"/>
    </row>
    <row r="114271" spans="6:6" x14ac:dyDescent="0.3">
      <c r="F114271" s="193"/>
    </row>
    <row r="114272" spans="6:6" x14ac:dyDescent="0.3">
      <c r="F114272" s="193"/>
    </row>
    <row r="114273" spans="6:6" x14ac:dyDescent="0.3">
      <c r="F114273" s="193"/>
    </row>
    <row r="114274" spans="6:6" x14ac:dyDescent="0.3">
      <c r="F114274" s="193"/>
    </row>
    <row r="114275" spans="6:6" x14ac:dyDescent="0.3">
      <c r="F114275" s="193"/>
    </row>
    <row r="114276" spans="6:6" x14ac:dyDescent="0.3">
      <c r="F114276" s="193"/>
    </row>
    <row r="114277" spans="6:6" x14ac:dyDescent="0.3">
      <c r="F114277" s="193"/>
    </row>
    <row r="114278" spans="6:6" x14ac:dyDescent="0.3">
      <c r="F114278" s="193"/>
    </row>
    <row r="114279" spans="6:6" x14ac:dyDescent="0.3">
      <c r="F114279" s="193"/>
    </row>
    <row r="114280" spans="6:6" x14ac:dyDescent="0.3">
      <c r="F114280" s="193"/>
    </row>
    <row r="114281" spans="6:6" x14ac:dyDescent="0.3">
      <c r="F114281" s="193"/>
    </row>
    <row r="114282" spans="6:6" x14ac:dyDescent="0.3">
      <c r="F114282" s="193"/>
    </row>
    <row r="114283" spans="6:6" x14ac:dyDescent="0.3">
      <c r="F114283" s="193"/>
    </row>
    <row r="114284" spans="6:6" x14ac:dyDescent="0.3">
      <c r="F114284" s="193"/>
    </row>
    <row r="114285" spans="6:6" x14ac:dyDescent="0.3">
      <c r="F114285" s="193"/>
    </row>
    <row r="114286" spans="6:6" x14ac:dyDescent="0.3">
      <c r="F114286" s="193"/>
    </row>
    <row r="114287" spans="6:6" x14ac:dyDescent="0.3">
      <c r="F114287" s="193"/>
    </row>
    <row r="114288" spans="6:6" x14ac:dyDescent="0.3">
      <c r="F114288" s="193"/>
    </row>
    <row r="114289" spans="6:6" x14ac:dyDescent="0.3">
      <c r="F114289" s="193"/>
    </row>
    <row r="114290" spans="6:6" x14ac:dyDescent="0.3">
      <c r="F114290" s="193"/>
    </row>
    <row r="114291" spans="6:6" x14ac:dyDescent="0.3">
      <c r="F114291" s="193"/>
    </row>
    <row r="114292" spans="6:6" x14ac:dyDescent="0.3">
      <c r="F114292" s="193"/>
    </row>
    <row r="114293" spans="6:6" x14ac:dyDescent="0.3">
      <c r="F114293" s="193"/>
    </row>
    <row r="114294" spans="6:6" x14ac:dyDescent="0.3">
      <c r="F114294" s="193"/>
    </row>
    <row r="114295" spans="6:6" x14ac:dyDescent="0.3">
      <c r="F114295" s="193"/>
    </row>
    <row r="114296" spans="6:6" x14ac:dyDescent="0.3">
      <c r="F114296" s="193"/>
    </row>
    <row r="114297" spans="6:6" x14ac:dyDescent="0.3">
      <c r="F114297" s="193"/>
    </row>
    <row r="114298" spans="6:6" x14ac:dyDescent="0.3">
      <c r="F114298" s="193"/>
    </row>
    <row r="114299" spans="6:6" x14ac:dyDescent="0.3">
      <c r="F114299" s="193"/>
    </row>
    <row r="114300" spans="6:6" x14ac:dyDescent="0.3">
      <c r="F114300" s="193"/>
    </row>
    <row r="114301" spans="6:6" x14ac:dyDescent="0.3">
      <c r="F114301" s="193"/>
    </row>
    <row r="114302" spans="6:6" x14ac:dyDescent="0.3">
      <c r="F114302" s="193"/>
    </row>
    <row r="114303" spans="6:6" x14ac:dyDescent="0.3">
      <c r="F114303" s="193"/>
    </row>
    <row r="114304" spans="6:6" x14ac:dyDescent="0.3">
      <c r="F114304" s="193"/>
    </row>
    <row r="114305" spans="6:6" x14ac:dyDescent="0.3">
      <c r="F114305" s="193"/>
    </row>
    <row r="114306" spans="6:6" x14ac:dyDescent="0.3">
      <c r="F114306" s="193"/>
    </row>
    <row r="114307" spans="6:6" x14ac:dyDescent="0.3">
      <c r="F114307" s="193"/>
    </row>
    <row r="114308" spans="6:6" x14ac:dyDescent="0.3">
      <c r="F114308" s="193"/>
    </row>
    <row r="114309" spans="6:6" x14ac:dyDescent="0.3">
      <c r="F114309" s="193"/>
    </row>
    <row r="114310" spans="6:6" x14ac:dyDescent="0.3">
      <c r="F114310" s="193"/>
    </row>
    <row r="114311" spans="6:6" x14ac:dyDescent="0.3">
      <c r="F114311" s="193"/>
    </row>
    <row r="114312" spans="6:6" x14ac:dyDescent="0.3">
      <c r="F114312" s="193"/>
    </row>
    <row r="114313" spans="6:6" x14ac:dyDescent="0.3">
      <c r="F114313" s="193"/>
    </row>
    <row r="114314" spans="6:6" x14ac:dyDescent="0.3">
      <c r="F114314" s="193"/>
    </row>
    <row r="114315" spans="6:6" x14ac:dyDescent="0.3">
      <c r="F114315" s="193"/>
    </row>
    <row r="114316" spans="6:6" x14ac:dyDescent="0.3">
      <c r="F114316" s="193"/>
    </row>
    <row r="114317" spans="6:6" x14ac:dyDescent="0.3">
      <c r="F114317" s="193"/>
    </row>
    <row r="114318" spans="6:6" x14ac:dyDescent="0.3">
      <c r="F114318" s="193"/>
    </row>
    <row r="114319" spans="6:6" x14ac:dyDescent="0.3">
      <c r="F114319" s="193"/>
    </row>
    <row r="114320" spans="6:6" x14ac:dyDescent="0.3">
      <c r="F114320" s="193"/>
    </row>
    <row r="114321" spans="6:6" x14ac:dyDescent="0.3">
      <c r="F114321" s="193"/>
    </row>
    <row r="114322" spans="6:6" x14ac:dyDescent="0.3">
      <c r="F114322" s="193"/>
    </row>
    <row r="114323" spans="6:6" x14ac:dyDescent="0.3">
      <c r="F114323" s="193"/>
    </row>
    <row r="114324" spans="6:6" x14ac:dyDescent="0.3">
      <c r="F114324" s="193"/>
    </row>
    <row r="114325" spans="6:6" x14ac:dyDescent="0.3">
      <c r="F114325" s="193"/>
    </row>
    <row r="114326" spans="6:6" x14ac:dyDescent="0.3">
      <c r="F114326" s="193"/>
    </row>
    <row r="114327" spans="6:6" x14ac:dyDescent="0.3">
      <c r="F114327" s="193"/>
    </row>
    <row r="114328" spans="6:6" x14ac:dyDescent="0.3">
      <c r="F114328" s="193"/>
    </row>
    <row r="114329" spans="6:6" x14ac:dyDescent="0.3">
      <c r="F114329" s="193"/>
    </row>
    <row r="114330" spans="6:6" x14ac:dyDescent="0.3">
      <c r="F114330" s="193"/>
    </row>
    <row r="114331" spans="6:6" x14ac:dyDescent="0.3">
      <c r="F114331" s="193"/>
    </row>
    <row r="114332" spans="6:6" x14ac:dyDescent="0.3">
      <c r="F114332" s="193"/>
    </row>
    <row r="114333" spans="6:6" x14ac:dyDescent="0.3">
      <c r="F114333" s="193"/>
    </row>
    <row r="114334" spans="6:6" x14ac:dyDescent="0.3">
      <c r="F114334" s="193"/>
    </row>
    <row r="114335" spans="6:6" x14ac:dyDescent="0.3">
      <c r="F114335" s="193"/>
    </row>
    <row r="114336" spans="6:6" x14ac:dyDescent="0.3">
      <c r="F114336" s="193"/>
    </row>
    <row r="114337" spans="6:6" x14ac:dyDescent="0.3">
      <c r="F114337" s="193"/>
    </row>
    <row r="114338" spans="6:6" x14ac:dyDescent="0.3">
      <c r="F114338" s="193"/>
    </row>
    <row r="114339" spans="6:6" x14ac:dyDescent="0.3">
      <c r="F114339" s="193"/>
    </row>
    <row r="114340" spans="6:6" x14ac:dyDescent="0.3">
      <c r="F114340" s="193"/>
    </row>
    <row r="114341" spans="6:6" x14ac:dyDescent="0.3">
      <c r="F114341" s="193"/>
    </row>
    <row r="114342" spans="6:6" x14ac:dyDescent="0.3">
      <c r="F114342" s="193"/>
    </row>
    <row r="114343" spans="6:6" x14ac:dyDescent="0.3">
      <c r="F114343" s="193"/>
    </row>
    <row r="114344" spans="6:6" x14ac:dyDescent="0.3">
      <c r="F114344" s="193"/>
    </row>
    <row r="114345" spans="6:6" x14ac:dyDescent="0.3">
      <c r="F114345" s="193"/>
    </row>
    <row r="114346" spans="6:6" x14ac:dyDescent="0.3">
      <c r="F114346" s="193"/>
    </row>
    <row r="114347" spans="6:6" x14ac:dyDescent="0.3">
      <c r="F114347" s="193"/>
    </row>
    <row r="114348" spans="6:6" x14ac:dyDescent="0.3">
      <c r="F114348" s="193"/>
    </row>
    <row r="114349" spans="6:6" x14ac:dyDescent="0.3">
      <c r="F114349" s="193"/>
    </row>
    <row r="114350" spans="6:6" x14ac:dyDescent="0.3">
      <c r="F114350" s="193"/>
    </row>
    <row r="114351" spans="6:6" x14ac:dyDescent="0.3">
      <c r="F114351" s="193"/>
    </row>
    <row r="114352" spans="6:6" x14ac:dyDescent="0.3">
      <c r="F114352" s="193"/>
    </row>
    <row r="114353" spans="6:6" x14ac:dyDescent="0.3">
      <c r="F114353" s="193"/>
    </row>
    <row r="114354" spans="6:6" x14ac:dyDescent="0.3">
      <c r="F114354" s="193"/>
    </row>
    <row r="114355" spans="6:6" x14ac:dyDescent="0.3">
      <c r="F114355" s="193"/>
    </row>
    <row r="114356" spans="6:6" x14ac:dyDescent="0.3">
      <c r="F114356" s="193"/>
    </row>
    <row r="114357" spans="6:6" x14ac:dyDescent="0.3">
      <c r="F114357" s="193"/>
    </row>
    <row r="114358" spans="6:6" x14ac:dyDescent="0.3">
      <c r="F114358" s="193"/>
    </row>
    <row r="114359" spans="6:6" x14ac:dyDescent="0.3">
      <c r="F114359" s="193"/>
    </row>
    <row r="114360" spans="6:6" x14ac:dyDescent="0.3">
      <c r="F114360" s="193"/>
    </row>
    <row r="114361" spans="6:6" x14ac:dyDescent="0.3">
      <c r="F114361" s="193"/>
    </row>
    <row r="114362" spans="6:6" x14ac:dyDescent="0.3">
      <c r="F114362" s="193"/>
    </row>
    <row r="114363" spans="6:6" x14ac:dyDescent="0.3">
      <c r="F114363" s="193"/>
    </row>
    <row r="114364" spans="6:6" x14ac:dyDescent="0.3">
      <c r="F114364" s="193"/>
    </row>
    <row r="114365" spans="6:6" x14ac:dyDescent="0.3">
      <c r="F114365" s="193"/>
    </row>
    <row r="114366" spans="6:6" x14ac:dyDescent="0.3">
      <c r="F114366" s="193"/>
    </row>
    <row r="114367" spans="6:6" x14ac:dyDescent="0.3">
      <c r="F114367" s="193"/>
    </row>
    <row r="114368" spans="6:6" x14ac:dyDescent="0.3">
      <c r="F114368" s="193"/>
    </row>
    <row r="114369" spans="6:6" x14ac:dyDescent="0.3">
      <c r="F114369" s="193"/>
    </row>
    <row r="114370" spans="6:6" x14ac:dyDescent="0.3">
      <c r="F114370" s="193"/>
    </row>
    <row r="114371" spans="6:6" x14ac:dyDescent="0.3">
      <c r="F114371" s="193"/>
    </row>
    <row r="114372" spans="6:6" x14ac:dyDescent="0.3">
      <c r="F114372" s="193"/>
    </row>
    <row r="114373" spans="6:6" x14ac:dyDescent="0.3">
      <c r="F114373" s="193"/>
    </row>
    <row r="114374" spans="6:6" x14ac:dyDescent="0.3">
      <c r="F114374" s="193"/>
    </row>
    <row r="114375" spans="6:6" x14ac:dyDescent="0.3">
      <c r="F114375" s="193"/>
    </row>
    <row r="114376" spans="6:6" x14ac:dyDescent="0.3">
      <c r="F114376" s="193"/>
    </row>
    <row r="114377" spans="6:6" x14ac:dyDescent="0.3">
      <c r="F114377" s="193"/>
    </row>
    <row r="114378" spans="6:6" x14ac:dyDescent="0.3">
      <c r="F114378" s="193"/>
    </row>
    <row r="114379" spans="6:6" x14ac:dyDescent="0.3">
      <c r="F114379" s="193"/>
    </row>
    <row r="114380" spans="6:6" x14ac:dyDescent="0.3">
      <c r="F114380" s="193"/>
    </row>
    <row r="114381" spans="6:6" x14ac:dyDescent="0.3">
      <c r="F114381" s="193"/>
    </row>
    <row r="114382" spans="6:6" x14ac:dyDescent="0.3">
      <c r="F114382" s="193"/>
    </row>
    <row r="114383" spans="6:6" x14ac:dyDescent="0.3">
      <c r="F114383" s="193"/>
    </row>
    <row r="114384" spans="6:6" x14ac:dyDescent="0.3">
      <c r="F114384" s="193"/>
    </row>
    <row r="114385" spans="6:6" x14ac:dyDescent="0.3">
      <c r="F114385" s="193"/>
    </row>
    <row r="114386" spans="6:6" x14ac:dyDescent="0.3">
      <c r="F114386" s="193"/>
    </row>
    <row r="114387" spans="6:6" x14ac:dyDescent="0.3">
      <c r="F114387" s="193"/>
    </row>
    <row r="114388" spans="6:6" x14ac:dyDescent="0.3">
      <c r="F114388" s="193"/>
    </row>
    <row r="114389" spans="6:6" x14ac:dyDescent="0.3">
      <c r="F114389" s="193"/>
    </row>
    <row r="114390" spans="6:6" x14ac:dyDescent="0.3">
      <c r="F114390" s="193"/>
    </row>
    <row r="114391" spans="6:6" x14ac:dyDescent="0.3">
      <c r="F114391" s="193"/>
    </row>
    <row r="114392" spans="6:6" x14ac:dyDescent="0.3">
      <c r="F114392" s="193"/>
    </row>
    <row r="114393" spans="6:6" x14ac:dyDescent="0.3">
      <c r="F114393" s="193"/>
    </row>
    <row r="114394" spans="6:6" x14ac:dyDescent="0.3">
      <c r="F114394" s="193"/>
    </row>
    <row r="114395" spans="6:6" x14ac:dyDescent="0.3">
      <c r="F114395" s="193"/>
    </row>
    <row r="114396" spans="6:6" x14ac:dyDescent="0.3">
      <c r="F114396" s="193"/>
    </row>
    <row r="114397" spans="6:6" x14ac:dyDescent="0.3">
      <c r="F114397" s="193"/>
    </row>
    <row r="114398" spans="6:6" x14ac:dyDescent="0.3">
      <c r="F114398" s="193"/>
    </row>
    <row r="114399" spans="6:6" x14ac:dyDescent="0.3">
      <c r="F114399" s="193"/>
    </row>
    <row r="114400" spans="6:6" x14ac:dyDescent="0.3">
      <c r="F114400" s="193"/>
    </row>
    <row r="114401" spans="6:6" x14ac:dyDescent="0.3">
      <c r="F114401" s="193"/>
    </row>
    <row r="114402" spans="6:6" x14ac:dyDescent="0.3">
      <c r="F114402" s="193"/>
    </row>
    <row r="114403" spans="6:6" x14ac:dyDescent="0.3">
      <c r="F114403" s="193"/>
    </row>
    <row r="114404" spans="6:6" x14ac:dyDescent="0.3">
      <c r="F114404" s="193"/>
    </row>
    <row r="114405" spans="6:6" x14ac:dyDescent="0.3">
      <c r="F114405" s="193"/>
    </row>
    <row r="114406" spans="6:6" x14ac:dyDescent="0.3">
      <c r="F114406" s="193"/>
    </row>
    <row r="114407" spans="6:6" x14ac:dyDescent="0.3">
      <c r="F114407" s="193"/>
    </row>
    <row r="114408" spans="6:6" x14ac:dyDescent="0.3">
      <c r="F114408" s="193"/>
    </row>
    <row r="114409" spans="6:6" x14ac:dyDescent="0.3">
      <c r="F114409" s="193"/>
    </row>
    <row r="114410" spans="6:6" x14ac:dyDescent="0.3">
      <c r="F114410" s="193"/>
    </row>
    <row r="114411" spans="6:6" x14ac:dyDescent="0.3">
      <c r="F114411" s="193"/>
    </row>
    <row r="114412" spans="6:6" x14ac:dyDescent="0.3">
      <c r="F114412" s="193"/>
    </row>
    <row r="114413" spans="6:6" x14ac:dyDescent="0.3">
      <c r="F114413" s="193"/>
    </row>
    <row r="114414" spans="6:6" x14ac:dyDescent="0.3">
      <c r="F114414" s="193"/>
    </row>
    <row r="114415" spans="6:6" x14ac:dyDescent="0.3">
      <c r="F114415" s="193"/>
    </row>
    <row r="114416" spans="6:6" x14ac:dyDescent="0.3">
      <c r="F114416" s="193"/>
    </row>
    <row r="114417" spans="6:6" x14ac:dyDescent="0.3">
      <c r="F114417" s="193"/>
    </row>
    <row r="114418" spans="6:6" x14ac:dyDescent="0.3">
      <c r="F114418" s="193"/>
    </row>
    <row r="114419" spans="6:6" x14ac:dyDescent="0.3">
      <c r="F114419" s="193"/>
    </row>
    <row r="114420" spans="6:6" x14ac:dyDescent="0.3">
      <c r="F114420" s="193"/>
    </row>
    <row r="114421" spans="6:6" x14ac:dyDescent="0.3">
      <c r="F114421" s="193"/>
    </row>
    <row r="114422" spans="6:6" x14ac:dyDescent="0.3">
      <c r="F114422" s="193"/>
    </row>
    <row r="114423" spans="6:6" x14ac:dyDescent="0.3">
      <c r="F114423" s="193"/>
    </row>
    <row r="114424" spans="6:6" x14ac:dyDescent="0.3">
      <c r="F114424" s="193"/>
    </row>
    <row r="114425" spans="6:6" x14ac:dyDescent="0.3">
      <c r="F114425" s="193"/>
    </row>
    <row r="114426" spans="6:6" x14ac:dyDescent="0.3">
      <c r="F114426" s="193"/>
    </row>
    <row r="114427" spans="6:6" x14ac:dyDescent="0.3">
      <c r="F114427" s="193"/>
    </row>
    <row r="114428" spans="6:6" x14ac:dyDescent="0.3">
      <c r="F114428" s="193"/>
    </row>
    <row r="114429" spans="6:6" x14ac:dyDescent="0.3">
      <c r="F114429" s="193"/>
    </row>
    <row r="114430" spans="6:6" x14ac:dyDescent="0.3">
      <c r="F114430" s="193"/>
    </row>
    <row r="114431" spans="6:6" x14ac:dyDescent="0.3">
      <c r="F114431" s="193"/>
    </row>
    <row r="114432" spans="6:6" x14ac:dyDescent="0.3">
      <c r="F114432" s="193"/>
    </row>
    <row r="114433" spans="6:6" x14ac:dyDescent="0.3">
      <c r="F114433" s="193"/>
    </row>
    <row r="114434" spans="6:6" x14ac:dyDescent="0.3">
      <c r="F114434" s="193"/>
    </row>
    <row r="114435" spans="6:6" x14ac:dyDescent="0.3">
      <c r="F114435" s="193"/>
    </row>
    <row r="114436" spans="6:6" x14ac:dyDescent="0.3">
      <c r="F114436" s="193"/>
    </row>
    <row r="114437" spans="6:6" x14ac:dyDescent="0.3">
      <c r="F114437" s="193"/>
    </row>
    <row r="114438" spans="6:6" x14ac:dyDescent="0.3">
      <c r="F114438" s="193"/>
    </row>
    <row r="114439" spans="6:6" x14ac:dyDescent="0.3">
      <c r="F114439" s="193"/>
    </row>
    <row r="114440" spans="6:6" x14ac:dyDescent="0.3">
      <c r="F114440" s="193"/>
    </row>
    <row r="114441" spans="6:6" x14ac:dyDescent="0.3">
      <c r="F114441" s="193"/>
    </row>
    <row r="114442" spans="6:6" x14ac:dyDescent="0.3">
      <c r="F114442" s="193"/>
    </row>
    <row r="114443" spans="6:6" x14ac:dyDescent="0.3">
      <c r="F114443" s="193"/>
    </row>
    <row r="114444" spans="6:6" x14ac:dyDescent="0.3">
      <c r="F114444" s="193"/>
    </row>
    <row r="114445" spans="6:6" x14ac:dyDescent="0.3">
      <c r="F114445" s="193"/>
    </row>
    <row r="114446" spans="6:6" x14ac:dyDescent="0.3">
      <c r="F114446" s="193"/>
    </row>
    <row r="114447" spans="6:6" x14ac:dyDescent="0.3">
      <c r="F114447" s="193"/>
    </row>
    <row r="114448" spans="6:6" x14ac:dyDescent="0.3">
      <c r="F114448" s="193"/>
    </row>
    <row r="114449" spans="6:6" x14ac:dyDescent="0.3">
      <c r="F114449" s="193"/>
    </row>
    <row r="114450" spans="6:6" x14ac:dyDescent="0.3">
      <c r="F114450" s="193"/>
    </row>
    <row r="114451" spans="6:6" x14ac:dyDescent="0.3">
      <c r="F114451" s="193"/>
    </row>
    <row r="114452" spans="6:6" x14ac:dyDescent="0.3">
      <c r="F114452" s="193"/>
    </row>
    <row r="114453" spans="6:6" x14ac:dyDescent="0.3">
      <c r="F114453" s="193"/>
    </row>
    <row r="114454" spans="6:6" x14ac:dyDescent="0.3">
      <c r="F114454" s="193"/>
    </row>
    <row r="114455" spans="6:6" x14ac:dyDescent="0.3">
      <c r="F114455" s="193"/>
    </row>
    <row r="114456" spans="6:6" x14ac:dyDescent="0.3">
      <c r="F114456" s="193"/>
    </row>
    <row r="114457" spans="6:6" x14ac:dyDescent="0.3">
      <c r="F114457" s="193"/>
    </row>
    <row r="114458" spans="6:6" x14ac:dyDescent="0.3">
      <c r="F114458" s="193"/>
    </row>
    <row r="114459" spans="6:6" x14ac:dyDescent="0.3">
      <c r="F114459" s="193"/>
    </row>
    <row r="114460" spans="6:6" x14ac:dyDescent="0.3">
      <c r="F114460" s="193"/>
    </row>
    <row r="114461" spans="6:6" x14ac:dyDescent="0.3">
      <c r="F114461" s="193"/>
    </row>
    <row r="114462" spans="6:6" x14ac:dyDescent="0.3">
      <c r="F114462" s="193"/>
    </row>
    <row r="114463" spans="6:6" x14ac:dyDescent="0.3">
      <c r="F114463" s="193"/>
    </row>
    <row r="114464" spans="6:6" x14ac:dyDescent="0.3">
      <c r="F114464" s="193"/>
    </row>
    <row r="114465" spans="6:6" x14ac:dyDescent="0.3">
      <c r="F114465" s="193"/>
    </row>
    <row r="114466" spans="6:6" x14ac:dyDescent="0.3">
      <c r="F114466" s="193"/>
    </row>
    <row r="114467" spans="6:6" x14ac:dyDescent="0.3">
      <c r="F114467" s="193"/>
    </row>
    <row r="114468" spans="6:6" x14ac:dyDescent="0.3">
      <c r="F114468" s="193"/>
    </row>
    <row r="114469" spans="6:6" x14ac:dyDescent="0.3">
      <c r="F114469" s="193"/>
    </row>
    <row r="114470" spans="6:6" x14ac:dyDescent="0.3">
      <c r="F114470" s="193"/>
    </row>
    <row r="114471" spans="6:6" x14ac:dyDescent="0.3">
      <c r="F114471" s="193"/>
    </row>
    <row r="114472" spans="6:6" x14ac:dyDescent="0.3">
      <c r="F114472" s="193"/>
    </row>
    <row r="114473" spans="6:6" x14ac:dyDescent="0.3">
      <c r="F114473" s="193"/>
    </row>
    <row r="114474" spans="6:6" x14ac:dyDescent="0.3">
      <c r="F114474" s="193"/>
    </row>
    <row r="114475" spans="6:6" x14ac:dyDescent="0.3">
      <c r="F114475" s="193"/>
    </row>
    <row r="114476" spans="6:6" x14ac:dyDescent="0.3">
      <c r="F114476" s="193"/>
    </row>
    <row r="114477" spans="6:6" x14ac:dyDescent="0.3">
      <c r="F114477" s="193"/>
    </row>
    <row r="114478" spans="6:6" x14ac:dyDescent="0.3">
      <c r="F114478" s="193"/>
    </row>
    <row r="114479" spans="6:6" x14ac:dyDescent="0.3">
      <c r="F114479" s="193"/>
    </row>
    <row r="114480" spans="6:6" x14ac:dyDescent="0.3">
      <c r="F114480" s="193"/>
    </row>
    <row r="114481" spans="6:6" x14ac:dyDescent="0.3">
      <c r="F114481" s="193"/>
    </row>
    <row r="114482" spans="6:6" x14ac:dyDescent="0.3">
      <c r="F114482" s="193"/>
    </row>
    <row r="114483" spans="6:6" x14ac:dyDescent="0.3">
      <c r="F114483" s="193"/>
    </row>
    <row r="114484" spans="6:6" x14ac:dyDescent="0.3">
      <c r="F114484" s="193"/>
    </row>
    <row r="114485" spans="6:6" x14ac:dyDescent="0.3">
      <c r="F114485" s="193"/>
    </row>
    <row r="114486" spans="6:6" x14ac:dyDescent="0.3">
      <c r="F114486" s="193"/>
    </row>
    <row r="114487" spans="6:6" x14ac:dyDescent="0.3">
      <c r="F114487" s="193"/>
    </row>
    <row r="114488" spans="6:6" x14ac:dyDescent="0.3">
      <c r="F114488" s="193"/>
    </row>
    <row r="114489" spans="6:6" x14ac:dyDescent="0.3">
      <c r="F114489" s="193"/>
    </row>
    <row r="114490" spans="6:6" x14ac:dyDescent="0.3">
      <c r="F114490" s="193"/>
    </row>
    <row r="114491" spans="6:6" x14ac:dyDescent="0.3">
      <c r="F114491" s="193"/>
    </row>
    <row r="114492" spans="6:6" x14ac:dyDescent="0.3">
      <c r="F114492" s="193"/>
    </row>
    <row r="114493" spans="6:6" x14ac:dyDescent="0.3">
      <c r="F114493" s="193"/>
    </row>
    <row r="114494" spans="6:6" x14ac:dyDescent="0.3">
      <c r="F114494" s="193"/>
    </row>
    <row r="114495" spans="6:6" x14ac:dyDescent="0.3">
      <c r="F114495" s="193"/>
    </row>
    <row r="114496" spans="6:6" x14ac:dyDescent="0.3">
      <c r="F114496" s="193"/>
    </row>
    <row r="114497" spans="6:6" x14ac:dyDescent="0.3">
      <c r="F114497" s="193"/>
    </row>
    <row r="114498" spans="6:6" x14ac:dyDescent="0.3">
      <c r="F114498" s="193"/>
    </row>
    <row r="114499" spans="6:6" x14ac:dyDescent="0.3">
      <c r="F114499" s="193"/>
    </row>
    <row r="114500" spans="6:6" x14ac:dyDescent="0.3">
      <c r="F114500" s="193"/>
    </row>
    <row r="114501" spans="6:6" x14ac:dyDescent="0.3">
      <c r="F114501" s="193"/>
    </row>
    <row r="114502" spans="6:6" x14ac:dyDescent="0.3">
      <c r="F114502" s="193"/>
    </row>
    <row r="114503" spans="6:6" x14ac:dyDescent="0.3">
      <c r="F114503" s="193"/>
    </row>
    <row r="114504" spans="6:6" x14ac:dyDescent="0.3">
      <c r="F114504" s="193"/>
    </row>
    <row r="114505" spans="6:6" x14ac:dyDescent="0.3">
      <c r="F114505" s="193"/>
    </row>
    <row r="114506" spans="6:6" x14ac:dyDescent="0.3">
      <c r="F114506" s="193"/>
    </row>
    <row r="114507" spans="6:6" x14ac:dyDescent="0.3">
      <c r="F114507" s="193"/>
    </row>
    <row r="114508" spans="6:6" x14ac:dyDescent="0.3">
      <c r="F114508" s="193"/>
    </row>
    <row r="114509" spans="6:6" x14ac:dyDescent="0.3">
      <c r="F114509" s="193"/>
    </row>
    <row r="114510" spans="6:6" x14ac:dyDescent="0.3">
      <c r="F114510" s="193"/>
    </row>
    <row r="114511" spans="6:6" x14ac:dyDescent="0.3">
      <c r="F114511" s="193"/>
    </row>
    <row r="114512" spans="6:6" x14ac:dyDescent="0.3">
      <c r="F114512" s="193"/>
    </row>
    <row r="114513" spans="6:6" x14ac:dyDescent="0.3">
      <c r="F114513" s="193"/>
    </row>
    <row r="114514" spans="6:6" x14ac:dyDescent="0.3">
      <c r="F114514" s="193"/>
    </row>
    <row r="114515" spans="6:6" x14ac:dyDescent="0.3">
      <c r="F114515" s="193"/>
    </row>
    <row r="114516" spans="6:6" x14ac:dyDescent="0.3">
      <c r="F114516" s="193"/>
    </row>
    <row r="114517" spans="6:6" x14ac:dyDescent="0.3">
      <c r="F114517" s="193"/>
    </row>
    <row r="114518" spans="6:6" x14ac:dyDescent="0.3">
      <c r="F114518" s="193"/>
    </row>
    <row r="114519" spans="6:6" x14ac:dyDescent="0.3">
      <c r="F114519" s="193"/>
    </row>
    <row r="114520" spans="6:6" x14ac:dyDescent="0.3">
      <c r="F114520" s="193"/>
    </row>
    <row r="114521" spans="6:6" x14ac:dyDescent="0.3">
      <c r="F114521" s="193"/>
    </row>
    <row r="114522" spans="6:6" x14ac:dyDescent="0.3">
      <c r="F114522" s="193"/>
    </row>
    <row r="114523" spans="6:6" x14ac:dyDescent="0.3">
      <c r="F114523" s="193"/>
    </row>
    <row r="114524" spans="6:6" x14ac:dyDescent="0.3">
      <c r="F114524" s="193"/>
    </row>
    <row r="114525" spans="6:6" x14ac:dyDescent="0.3">
      <c r="F114525" s="193"/>
    </row>
    <row r="114526" spans="6:6" x14ac:dyDescent="0.3">
      <c r="F114526" s="193"/>
    </row>
    <row r="114527" spans="6:6" x14ac:dyDescent="0.3">
      <c r="F114527" s="193"/>
    </row>
    <row r="114528" spans="6:6" x14ac:dyDescent="0.3">
      <c r="F114528" s="193"/>
    </row>
    <row r="114529" spans="6:6" x14ac:dyDescent="0.3">
      <c r="F114529" s="193"/>
    </row>
    <row r="114530" spans="6:6" x14ac:dyDescent="0.3">
      <c r="F114530" s="193"/>
    </row>
    <row r="114531" spans="6:6" x14ac:dyDescent="0.3">
      <c r="F114531" s="193"/>
    </row>
    <row r="114532" spans="6:6" x14ac:dyDescent="0.3">
      <c r="F114532" s="193"/>
    </row>
    <row r="114533" spans="6:6" x14ac:dyDescent="0.3">
      <c r="F114533" s="193"/>
    </row>
    <row r="114534" spans="6:6" x14ac:dyDescent="0.3">
      <c r="F114534" s="193"/>
    </row>
    <row r="114535" spans="6:6" x14ac:dyDescent="0.3">
      <c r="F114535" s="193"/>
    </row>
    <row r="114536" spans="6:6" x14ac:dyDescent="0.3">
      <c r="F114536" s="193"/>
    </row>
    <row r="114537" spans="6:6" x14ac:dyDescent="0.3">
      <c r="F114537" s="193"/>
    </row>
    <row r="114538" spans="6:6" x14ac:dyDescent="0.3">
      <c r="F114538" s="193"/>
    </row>
    <row r="114539" spans="6:6" x14ac:dyDescent="0.3">
      <c r="F114539" s="193"/>
    </row>
    <row r="114540" spans="6:6" x14ac:dyDescent="0.3">
      <c r="F114540" s="193"/>
    </row>
    <row r="114541" spans="6:6" x14ac:dyDescent="0.3">
      <c r="F114541" s="193"/>
    </row>
    <row r="114542" spans="6:6" x14ac:dyDescent="0.3">
      <c r="F114542" s="193"/>
    </row>
    <row r="114543" spans="6:6" x14ac:dyDescent="0.3">
      <c r="F114543" s="193"/>
    </row>
    <row r="114544" spans="6:6" x14ac:dyDescent="0.3">
      <c r="F114544" s="193"/>
    </row>
    <row r="114545" spans="6:6" x14ac:dyDescent="0.3">
      <c r="F114545" s="193"/>
    </row>
    <row r="114546" spans="6:6" x14ac:dyDescent="0.3">
      <c r="F114546" s="193"/>
    </row>
    <row r="114547" spans="6:6" x14ac:dyDescent="0.3">
      <c r="F114547" s="193"/>
    </row>
    <row r="114548" spans="6:6" x14ac:dyDescent="0.3">
      <c r="F114548" s="193"/>
    </row>
    <row r="114549" spans="6:6" x14ac:dyDescent="0.3">
      <c r="F114549" s="193"/>
    </row>
    <row r="114550" spans="6:6" x14ac:dyDescent="0.3">
      <c r="F114550" s="193"/>
    </row>
    <row r="114551" spans="6:6" x14ac:dyDescent="0.3">
      <c r="F114551" s="193"/>
    </row>
    <row r="114552" spans="6:6" x14ac:dyDescent="0.3">
      <c r="F114552" s="193"/>
    </row>
    <row r="114553" spans="6:6" x14ac:dyDescent="0.3">
      <c r="F114553" s="193"/>
    </row>
    <row r="114554" spans="6:6" x14ac:dyDescent="0.3">
      <c r="F114554" s="193"/>
    </row>
    <row r="114555" spans="6:6" x14ac:dyDescent="0.3">
      <c r="F114555" s="193"/>
    </row>
    <row r="114556" spans="6:6" x14ac:dyDescent="0.3">
      <c r="F114556" s="193"/>
    </row>
    <row r="114557" spans="6:6" x14ac:dyDescent="0.3">
      <c r="F114557" s="193"/>
    </row>
    <row r="114558" spans="6:6" x14ac:dyDescent="0.3">
      <c r="F114558" s="193"/>
    </row>
    <row r="114559" spans="6:6" x14ac:dyDescent="0.3">
      <c r="F114559" s="193"/>
    </row>
    <row r="114560" spans="6:6" x14ac:dyDescent="0.3">
      <c r="F114560" s="193"/>
    </row>
    <row r="114561" spans="6:6" x14ac:dyDescent="0.3">
      <c r="F114561" s="193"/>
    </row>
    <row r="114562" spans="6:6" x14ac:dyDescent="0.3">
      <c r="F114562" s="193"/>
    </row>
    <row r="114563" spans="6:6" x14ac:dyDescent="0.3">
      <c r="F114563" s="193"/>
    </row>
    <row r="114564" spans="6:6" x14ac:dyDescent="0.3">
      <c r="F114564" s="193"/>
    </row>
    <row r="114565" spans="6:6" x14ac:dyDescent="0.3">
      <c r="F114565" s="193"/>
    </row>
    <row r="114566" spans="6:6" x14ac:dyDescent="0.3">
      <c r="F114566" s="193"/>
    </row>
    <row r="114567" spans="6:6" x14ac:dyDescent="0.3">
      <c r="F114567" s="193"/>
    </row>
    <row r="114568" spans="6:6" x14ac:dyDescent="0.3">
      <c r="F114568" s="193"/>
    </row>
    <row r="114569" spans="6:6" x14ac:dyDescent="0.3">
      <c r="F114569" s="193"/>
    </row>
    <row r="114570" spans="6:6" x14ac:dyDescent="0.3">
      <c r="F114570" s="193"/>
    </row>
    <row r="114571" spans="6:6" x14ac:dyDescent="0.3">
      <c r="F114571" s="193"/>
    </row>
    <row r="114572" spans="6:6" x14ac:dyDescent="0.3">
      <c r="F114572" s="193"/>
    </row>
    <row r="114573" spans="6:6" x14ac:dyDescent="0.3">
      <c r="F114573" s="193"/>
    </row>
    <row r="114574" spans="6:6" x14ac:dyDescent="0.3">
      <c r="F114574" s="193"/>
    </row>
    <row r="114575" spans="6:6" x14ac:dyDescent="0.3">
      <c r="F114575" s="193"/>
    </row>
    <row r="114576" spans="6:6" x14ac:dyDescent="0.3">
      <c r="F114576" s="193"/>
    </row>
    <row r="114577" spans="6:6" x14ac:dyDescent="0.3">
      <c r="F114577" s="193"/>
    </row>
    <row r="114578" spans="6:6" x14ac:dyDescent="0.3">
      <c r="F114578" s="193"/>
    </row>
    <row r="114579" spans="6:6" x14ac:dyDescent="0.3">
      <c r="F114579" s="193"/>
    </row>
    <row r="114580" spans="6:6" x14ac:dyDescent="0.3">
      <c r="F114580" s="193"/>
    </row>
    <row r="114581" spans="6:6" x14ac:dyDescent="0.3">
      <c r="F114581" s="193"/>
    </row>
    <row r="114582" spans="6:6" x14ac:dyDescent="0.3">
      <c r="F114582" s="193"/>
    </row>
    <row r="114583" spans="6:6" x14ac:dyDescent="0.3">
      <c r="F114583" s="193"/>
    </row>
    <row r="114584" spans="6:6" x14ac:dyDescent="0.3">
      <c r="F114584" s="193"/>
    </row>
    <row r="114585" spans="6:6" x14ac:dyDescent="0.3">
      <c r="F114585" s="193"/>
    </row>
    <row r="114586" spans="6:6" x14ac:dyDescent="0.3">
      <c r="F114586" s="193"/>
    </row>
    <row r="114587" spans="6:6" x14ac:dyDescent="0.3">
      <c r="F114587" s="193"/>
    </row>
    <row r="114588" spans="6:6" x14ac:dyDescent="0.3">
      <c r="F114588" s="193"/>
    </row>
    <row r="114589" spans="6:6" x14ac:dyDescent="0.3">
      <c r="F114589" s="193"/>
    </row>
    <row r="114590" spans="6:6" x14ac:dyDescent="0.3">
      <c r="F114590" s="193"/>
    </row>
    <row r="114591" spans="6:6" x14ac:dyDescent="0.3">
      <c r="F114591" s="193"/>
    </row>
    <row r="114592" spans="6:6" x14ac:dyDescent="0.3">
      <c r="F114592" s="193"/>
    </row>
    <row r="114593" spans="6:6" x14ac:dyDescent="0.3">
      <c r="F114593" s="193"/>
    </row>
    <row r="114594" spans="6:6" x14ac:dyDescent="0.3">
      <c r="F114594" s="193"/>
    </row>
    <row r="114595" spans="6:6" x14ac:dyDescent="0.3">
      <c r="F114595" s="193"/>
    </row>
    <row r="114596" spans="6:6" x14ac:dyDescent="0.3">
      <c r="F114596" s="193"/>
    </row>
    <row r="114597" spans="6:6" x14ac:dyDescent="0.3">
      <c r="F114597" s="193"/>
    </row>
    <row r="114598" spans="6:6" x14ac:dyDescent="0.3">
      <c r="F114598" s="193"/>
    </row>
    <row r="114599" spans="6:6" x14ac:dyDescent="0.3">
      <c r="F114599" s="193"/>
    </row>
    <row r="114600" spans="6:6" x14ac:dyDescent="0.3">
      <c r="F114600" s="193"/>
    </row>
    <row r="114601" spans="6:6" x14ac:dyDescent="0.3">
      <c r="F114601" s="193"/>
    </row>
    <row r="114602" spans="6:6" x14ac:dyDescent="0.3">
      <c r="F114602" s="193"/>
    </row>
    <row r="114603" spans="6:6" x14ac:dyDescent="0.3">
      <c r="F114603" s="193"/>
    </row>
    <row r="114604" spans="6:6" x14ac:dyDescent="0.3">
      <c r="F114604" s="193"/>
    </row>
    <row r="114605" spans="6:6" x14ac:dyDescent="0.3">
      <c r="F114605" s="193"/>
    </row>
    <row r="114606" spans="6:6" x14ac:dyDescent="0.3">
      <c r="F114606" s="193"/>
    </row>
    <row r="114607" spans="6:6" x14ac:dyDescent="0.3">
      <c r="F114607" s="193"/>
    </row>
    <row r="114608" spans="6:6" x14ac:dyDescent="0.3">
      <c r="F114608" s="193"/>
    </row>
    <row r="114609" spans="6:6" x14ac:dyDescent="0.3">
      <c r="F114609" s="193"/>
    </row>
    <row r="114610" spans="6:6" x14ac:dyDescent="0.3">
      <c r="F114610" s="193"/>
    </row>
    <row r="114611" spans="6:6" x14ac:dyDescent="0.3">
      <c r="F114611" s="193"/>
    </row>
    <row r="114612" spans="6:6" x14ac:dyDescent="0.3">
      <c r="F114612" s="193"/>
    </row>
    <row r="114613" spans="6:6" x14ac:dyDescent="0.3">
      <c r="F114613" s="193"/>
    </row>
    <row r="114614" spans="6:6" x14ac:dyDescent="0.3">
      <c r="F114614" s="193"/>
    </row>
    <row r="114615" spans="6:6" x14ac:dyDescent="0.3">
      <c r="F114615" s="193"/>
    </row>
    <row r="114616" spans="6:6" x14ac:dyDescent="0.3">
      <c r="F114616" s="193"/>
    </row>
    <row r="114617" spans="6:6" x14ac:dyDescent="0.3">
      <c r="F114617" s="193"/>
    </row>
    <row r="114618" spans="6:6" x14ac:dyDescent="0.3">
      <c r="F114618" s="193"/>
    </row>
    <row r="114619" spans="6:6" x14ac:dyDescent="0.3">
      <c r="F114619" s="193"/>
    </row>
    <row r="114620" spans="6:6" x14ac:dyDescent="0.3">
      <c r="F114620" s="193"/>
    </row>
    <row r="114621" spans="6:6" x14ac:dyDescent="0.3">
      <c r="F114621" s="193"/>
    </row>
    <row r="114622" spans="6:6" x14ac:dyDescent="0.3">
      <c r="F114622" s="193"/>
    </row>
    <row r="114623" spans="6:6" x14ac:dyDescent="0.3">
      <c r="F114623" s="193"/>
    </row>
    <row r="114624" spans="6:6" x14ac:dyDescent="0.3">
      <c r="F114624" s="193"/>
    </row>
    <row r="114625" spans="6:6" x14ac:dyDescent="0.3">
      <c r="F114625" s="193"/>
    </row>
    <row r="114626" spans="6:6" x14ac:dyDescent="0.3">
      <c r="F114626" s="193"/>
    </row>
    <row r="114627" spans="6:6" x14ac:dyDescent="0.3">
      <c r="F114627" s="193"/>
    </row>
    <row r="114628" spans="6:6" x14ac:dyDescent="0.3">
      <c r="F114628" s="193"/>
    </row>
    <row r="114629" spans="6:6" x14ac:dyDescent="0.3">
      <c r="F114629" s="193"/>
    </row>
    <row r="114630" spans="6:6" x14ac:dyDescent="0.3">
      <c r="F114630" s="193"/>
    </row>
    <row r="114631" spans="6:6" x14ac:dyDescent="0.3">
      <c r="F114631" s="193"/>
    </row>
    <row r="114632" spans="6:6" x14ac:dyDescent="0.3">
      <c r="F114632" s="193"/>
    </row>
    <row r="114633" spans="6:6" x14ac:dyDescent="0.3">
      <c r="F114633" s="193"/>
    </row>
    <row r="114634" spans="6:6" x14ac:dyDescent="0.3">
      <c r="F114634" s="193"/>
    </row>
    <row r="114635" spans="6:6" x14ac:dyDescent="0.3">
      <c r="F114635" s="193"/>
    </row>
    <row r="114636" spans="6:6" x14ac:dyDescent="0.3">
      <c r="F114636" s="193"/>
    </row>
    <row r="114637" spans="6:6" x14ac:dyDescent="0.3">
      <c r="F114637" s="193"/>
    </row>
    <row r="114638" spans="6:6" x14ac:dyDescent="0.3">
      <c r="F114638" s="193"/>
    </row>
    <row r="114639" spans="6:6" x14ac:dyDescent="0.3">
      <c r="F114639" s="193"/>
    </row>
    <row r="114640" spans="6:6" x14ac:dyDescent="0.3">
      <c r="F114640" s="193"/>
    </row>
    <row r="114641" spans="6:6" x14ac:dyDescent="0.3">
      <c r="F114641" s="193"/>
    </row>
    <row r="114642" spans="6:6" x14ac:dyDescent="0.3">
      <c r="F114642" s="193"/>
    </row>
    <row r="114643" spans="6:6" x14ac:dyDescent="0.3">
      <c r="F114643" s="193"/>
    </row>
    <row r="114644" spans="6:6" x14ac:dyDescent="0.3">
      <c r="F114644" s="193"/>
    </row>
    <row r="114645" spans="6:6" x14ac:dyDescent="0.3">
      <c r="F114645" s="193"/>
    </row>
    <row r="114646" spans="6:6" x14ac:dyDescent="0.3">
      <c r="F114646" s="193"/>
    </row>
    <row r="114647" spans="6:6" x14ac:dyDescent="0.3">
      <c r="F114647" s="193"/>
    </row>
    <row r="114648" spans="6:6" x14ac:dyDescent="0.3">
      <c r="F114648" s="193"/>
    </row>
    <row r="114649" spans="6:6" x14ac:dyDescent="0.3">
      <c r="F114649" s="193"/>
    </row>
    <row r="114650" spans="6:6" x14ac:dyDescent="0.3">
      <c r="F114650" s="193"/>
    </row>
    <row r="114651" spans="6:6" x14ac:dyDescent="0.3">
      <c r="F114651" s="193"/>
    </row>
    <row r="114652" spans="6:6" x14ac:dyDescent="0.3">
      <c r="F114652" s="193"/>
    </row>
    <row r="114653" spans="6:6" x14ac:dyDescent="0.3">
      <c r="F114653" s="193"/>
    </row>
    <row r="114654" spans="6:6" x14ac:dyDescent="0.3">
      <c r="F114654" s="193"/>
    </row>
    <row r="114655" spans="6:6" x14ac:dyDescent="0.3">
      <c r="F114655" s="193"/>
    </row>
    <row r="114656" spans="6:6" x14ac:dyDescent="0.3">
      <c r="F114656" s="193"/>
    </row>
    <row r="114657" spans="6:6" x14ac:dyDescent="0.3">
      <c r="F114657" s="193"/>
    </row>
    <row r="114658" spans="6:6" x14ac:dyDescent="0.3">
      <c r="F114658" s="193"/>
    </row>
    <row r="114659" spans="6:6" x14ac:dyDescent="0.3">
      <c r="F114659" s="193"/>
    </row>
    <row r="114660" spans="6:6" x14ac:dyDescent="0.3">
      <c r="F114660" s="193"/>
    </row>
    <row r="114661" spans="6:6" x14ac:dyDescent="0.3">
      <c r="F114661" s="193"/>
    </row>
    <row r="114662" spans="6:6" x14ac:dyDescent="0.3">
      <c r="F114662" s="193"/>
    </row>
    <row r="114663" spans="6:6" x14ac:dyDescent="0.3">
      <c r="F114663" s="193"/>
    </row>
    <row r="114664" spans="6:6" x14ac:dyDescent="0.3">
      <c r="F114664" s="193"/>
    </row>
    <row r="114665" spans="6:6" x14ac:dyDescent="0.3">
      <c r="F114665" s="193"/>
    </row>
    <row r="114666" spans="6:6" x14ac:dyDescent="0.3">
      <c r="F114666" s="193"/>
    </row>
    <row r="114667" spans="6:6" x14ac:dyDescent="0.3">
      <c r="F114667" s="193"/>
    </row>
    <row r="114668" spans="6:6" x14ac:dyDescent="0.3">
      <c r="F114668" s="193"/>
    </row>
    <row r="114669" spans="6:6" x14ac:dyDescent="0.3">
      <c r="F114669" s="193"/>
    </row>
    <row r="114670" spans="6:6" x14ac:dyDescent="0.3">
      <c r="F114670" s="193"/>
    </row>
    <row r="114671" spans="6:6" x14ac:dyDescent="0.3">
      <c r="F114671" s="193"/>
    </row>
    <row r="114672" spans="6:6" x14ac:dyDescent="0.3">
      <c r="F114672" s="193"/>
    </row>
    <row r="114673" spans="6:6" x14ac:dyDescent="0.3">
      <c r="F114673" s="193"/>
    </row>
    <row r="114674" spans="6:6" x14ac:dyDescent="0.3">
      <c r="F114674" s="193"/>
    </row>
    <row r="114675" spans="6:6" x14ac:dyDescent="0.3">
      <c r="F114675" s="193"/>
    </row>
    <row r="114676" spans="6:6" x14ac:dyDescent="0.3">
      <c r="F114676" s="193"/>
    </row>
    <row r="114677" spans="6:6" x14ac:dyDescent="0.3">
      <c r="F114677" s="193"/>
    </row>
    <row r="114678" spans="6:6" x14ac:dyDescent="0.3">
      <c r="F114678" s="193"/>
    </row>
    <row r="114679" spans="6:6" x14ac:dyDescent="0.3">
      <c r="F114679" s="193"/>
    </row>
    <row r="114680" spans="6:6" x14ac:dyDescent="0.3">
      <c r="F114680" s="193"/>
    </row>
    <row r="114681" spans="6:6" x14ac:dyDescent="0.3">
      <c r="F114681" s="193"/>
    </row>
    <row r="114682" spans="6:6" x14ac:dyDescent="0.3">
      <c r="F114682" s="193"/>
    </row>
    <row r="114683" spans="6:6" x14ac:dyDescent="0.3">
      <c r="F114683" s="193"/>
    </row>
    <row r="114684" spans="6:6" x14ac:dyDescent="0.3">
      <c r="F114684" s="193"/>
    </row>
    <row r="114685" spans="6:6" x14ac:dyDescent="0.3">
      <c r="F114685" s="193"/>
    </row>
    <row r="114686" spans="6:6" x14ac:dyDescent="0.3">
      <c r="F114686" s="193"/>
    </row>
    <row r="114687" spans="6:6" x14ac:dyDescent="0.3">
      <c r="F114687" s="193"/>
    </row>
    <row r="114688" spans="6:6" x14ac:dyDescent="0.3">
      <c r="F114688" s="193"/>
    </row>
    <row r="114689" spans="6:6" x14ac:dyDescent="0.3">
      <c r="F114689" s="193"/>
    </row>
    <row r="114690" spans="6:6" x14ac:dyDescent="0.3">
      <c r="F114690" s="193"/>
    </row>
    <row r="114691" spans="6:6" x14ac:dyDescent="0.3">
      <c r="F114691" s="193"/>
    </row>
    <row r="114692" spans="6:6" x14ac:dyDescent="0.3">
      <c r="F114692" s="193"/>
    </row>
    <row r="114693" spans="6:6" x14ac:dyDescent="0.3">
      <c r="F114693" s="193"/>
    </row>
    <row r="114694" spans="6:6" x14ac:dyDescent="0.3">
      <c r="F114694" s="193"/>
    </row>
    <row r="114695" spans="6:6" x14ac:dyDescent="0.3">
      <c r="F114695" s="193"/>
    </row>
    <row r="114696" spans="6:6" x14ac:dyDescent="0.3">
      <c r="F114696" s="193"/>
    </row>
    <row r="114697" spans="6:6" x14ac:dyDescent="0.3">
      <c r="F114697" s="193"/>
    </row>
    <row r="114698" spans="6:6" x14ac:dyDescent="0.3">
      <c r="F114698" s="193"/>
    </row>
    <row r="114699" spans="6:6" x14ac:dyDescent="0.3">
      <c r="F114699" s="193"/>
    </row>
    <row r="114700" spans="6:6" x14ac:dyDescent="0.3">
      <c r="F114700" s="193"/>
    </row>
    <row r="114701" spans="6:6" x14ac:dyDescent="0.3">
      <c r="F114701" s="193"/>
    </row>
    <row r="114702" spans="6:6" x14ac:dyDescent="0.3">
      <c r="F114702" s="193"/>
    </row>
    <row r="114703" spans="6:6" x14ac:dyDescent="0.3">
      <c r="F114703" s="193"/>
    </row>
    <row r="114704" spans="6:6" x14ac:dyDescent="0.3">
      <c r="F114704" s="193"/>
    </row>
    <row r="114705" spans="6:6" x14ac:dyDescent="0.3">
      <c r="F114705" s="193"/>
    </row>
    <row r="114706" spans="6:6" x14ac:dyDescent="0.3">
      <c r="F114706" s="193"/>
    </row>
    <row r="114707" spans="6:6" x14ac:dyDescent="0.3">
      <c r="F114707" s="193"/>
    </row>
    <row r="114708" spans="6:6" x14ac:dyDescent="0.3">
      <c r="F114708" s="193"/>
    </row>
    <row r="114709" spans="6:6" x14ac:dyDescent="0.3">
      <c r="F114709" s="193"/>
    </row>
    <row r="114710" spans="6:6" x14ac:dyDescent="0.3">
      <c r="F114710" s="193"/>
    </row>
    <row r="114711" spans="6:6" x14ac:dyDescent="0.3">
      <c r="F114711" s="193"/>
    </row>
    <row r="114712" spans="6:6" x14ac:dyDescent="0.3">
      <c r="F114712" s="193"/>
    </row>
    <row r="114713" spans="6:6" x14ac:dyDescent="0.3">
      <c r="F114713" s="193"/>
    </row>
    <row r="114714" spans="6:6" x14ac:dyDescent="0.3">
      <c r="F114714" s="193"/>
    </row>
    <row r="114715" spans="6:6" x14ac:dyDescent="0.3">
      <c r="F114715" s="193"/>
    </row>
    <row r="114716" spans="6:6" x14ac:dyDescent="0.3">
      <c r="F114716" s="193"/>
    </row>
    <row r="114717" spans="6:6" x14ac:dyDescent="0.3">
      <c r="F114717" s="193"/>
    </row>
    <row r="114718" spans="6:6" x14ac:dyDescent="0.3">
      <c r="F114718" s="193"/>
    </row>
    <row r="114719" spans="6:6" x14ac:dyDescent="0.3">
      <c r="F114719" s="193"/>
    </row>
    <row r="114720" spans="6:6" x14ac:dyDescent="0.3">
      <c r="F114720" s="193"/>
    </row>
    <row r="114721" spans="6:6" x14ac:dyDescent="0.3">
      <c r="F114721" s="193"/>
    </row>
    <row r="114722" spans="6:6" x14ac:dyDescent="0.3">
      <c r="F114722" s="193"/>
    </row>
    <row r="114723" spans="6:6" x14ac:dyDescent="0.3">
      <c r="F114723" s="193"/>
    </row>
    <row r="114724" spans="6:6" x14ac:dyDescent="0.3">
      <c r="F114724" s="193"/>
    </row>
    <row r="114725" spans="6:6" x14ac:dyDescent="0.3">
      <c r="F114725" s="193"/>
    </row>
    <row r="114726" spans="6:6" x14ac:dyDescent="0.3">
      <c r="F114726" s="193"/>
    </row>
    <row r="114727" spans="6:6" x14ac:dyDescent="0.3">
      <c r="F114727" s="193"/>
    </row>
    <row r="114728" spans="6:6" x14ac:dyDescent="0.3">
      <c r="F114728" s="193"/>
    </row>
    <row r="114729" spans="6:6" x14ac:dyDescent="0.3">
      <c r="F114729" s="193"/>
    </row>
    <row r="114730" spans="6:6" x14ac:dyDescent="0.3">
      <c r="F114730" s="193"/>
    </row>
    <row r="114731" spans="6:6" x14ac:dyDescent="0.3">
      <c r="F114731" s="193"/>
    </row>
    <row r="114732" spans="6:6" x14ac:dyDescent="0.3">
      <c r="F114732" s="193"/>
    </row>
    <row r="114733" spans="6:6" x14ac:dyDescent="0.3">
      <c r="F114733" s="193"/>
    </row>
    <row r="114734" spans="6:6" x14ac:dyDescent="0.3">
      <c r="F114734" s="193"/>
    </row>
    <row r="114735" spans="6:6" x14ac:dyDescent="0.3">
      <c r="F114735" s="193"/>
    </row>
    <row r="114736" spans="6:6" x14ac:dyDescent="0.3">
      <c r="F114736" s="193"/>
    </row>
    <row r="114737" spans="6:6" x14ac:dyDescent="0.3">
      <c r="F114737" s="193"/>
    </row>
    <row r="114738" spans="6:6" x14ac:dyDescent="0.3">
      <c r="F114738" s="193"/>
    </row>
    <row r="114739" spans="6:6" x14ac:dyDescent="0.3">
      <c r="F114739" s="193"/>
    </row>
    <row r="114740" spans="6:6" x14ac:dyDescent="0.3">
      <c r="F114740" s="193"/>
    </row>
    <row r="114741" spans="6:6" x14ac:dyDescent="0.3">
      <c r="F114741" s="193"/>
    </row>
    <row r="114742" spans="6:6" x14ac:dyDescent="0.3">
      <c r="F114742" s="193"/>
    </row>
    <row r="114743" spans="6:6" x14ac:dyDescent="0.3">
      <c r="F114743" s="193"/>
    </row>
    <row r="114744" spans="6:6" x14ac:dyDescent="0.3">
      <c r="F114744" s="193"/>
    </row>
    <row r="114745" spans="6:6" x14ac:dyDescent="0.3">
      <c r="F114745" s="193"/>
    </row>
    <row r="114746" spans="6:6" x14ac:dyDescent="0.3">
      <c r="F114746" s="193"/>
    </row>
    <row r="114747" spans="6:6" x14ac:dyDescent="0.3">
      <c r="F114747" s="193"/>
    </row>
    <row r="114748" spans="6:6" x14ac:dyDescent="0.3">
      <c r="F114748" s="193"/>
    </row>
    <row r="114749" spans="6:6" x14ac:dyDescent="0.3">
      <c r="F114749" s="193"/>
    </row>
    <row r="114750" spans="6:6" x14ac:dyDescent="0.3">
      <c r="F114750" s="193"/>
    </row>
    <row r="114751" spans="6:6" x14ac:dyDescent="0.3">
      <c r="F114751" s="193"/>
    </row>
    <row r="114752" spans="6:6" x14ac:dyDescent="0.3">
      <c r="F114752" s="193"/>
    </row>
    <row r="114753" spans="6:6" x14ac:dyDescent="0.3">
      <c r="F114753" s="193"/>
    </row>
    <row r="114754" spans="6:6" x14ac:dyDescent="0.3">
      <c r="F114754" s="193"/>
    </row>
    <row r="114755" spans="6:6" x14ac:dyDescent="0.3">
      <c r="F114755" s="193"/>
    </row>
    <row r="114756" spans="6:6" x14ac:dyDescent="0.3">
      <c r="F114756" s="193"/>
    </row>
    <row r="114757" spans="6:6" x14ac:dyDescent="0.3">
      <c r="F114757" s="193"/>
    </row>
    <row r="114758" spans="6:6" x14ac:dyDescent="0.3">
      <c r="F114758" s="193"/>
    </row>
    <row r="114759" spans="6:6" x14ac:dyDescent="0.3">
      <c r="F114759" s="193"/>
    </row>
    <row r="114760" spans="6:6" x14ac:dyDescent="0.3">
      <c r="F114760" s="193"/>
    </row>
    <row r="114761" spans="6:6" x14ac:dyDescent="0.3">
      <c r="F114761" s="193"/>
    </row>
    <row r="114762" spans="6:6" x14ac:dyDescent="0.3">
      <c r="F114762" s="193"/>
    </row>
    <row r="114763" spans="6:6" x14ac:dyDescent="0.3">
      <c r="F114763" s="193"/>
    </row>
    <row r="114764" spans="6:6" x14ac:dyDescent="0.3">
      <c r="F114764" s="193"/>
    </row>
    <row r="114765" spans="6:6" x14ac:dyDescent="0.3">
      <c r="F114765" s="193"/>
    </row>
    <row r="114766" spans="6:6" x14ac:dyDescent="0.3">
      <c r="F114766" s="193"/>
    </row>
    <row r="114767" spans="6:6" x14ac:dyDescent="0.3">
      <c r="F114767" s="193"/>
    </row>
    <row r="114768" spans="6:6" x14ac:dyDescent="0.3">
      <c r="F114768" s="193"/>
    </row>
    <row r="114769" spans="6:6" x14ac:dyDescent="0.3">
      <c r="F114769" s="193"/>
    </row>
    <row r="114770" spans="6:6" x14ac:dyDescent="0.3">
      <c r="F114770" s="193"/>
    </row>
    <row r="114771" spans="6:6" x14ac:dyDescent="0.3">
      <c r="F114771" s="193"/>
    </row>
    <row r="114772" spans="6:6" x14ac:dyDescent="0.3">
      <c r="F114772" s="193"/>
    </row>
    <row r="114773" spans="6:6" x14ac:dyDescent="0.3">
      <c r="F114773" s="193"/>
    </row>
    <row r="114774" spans="6:6" x14ac:dyDescent="0.3">
      <c r="F114774" s="193"/>
    </row>
    <row r="114775" spans="6:6" x14ac:dyDescent="0.3">
      <c r="F114775" s="193"/>
    </row>
    <row r="114776" spans="6:6" x14ac:dyDescent="0.3">
      <c r="F114776" s="193"/>
    </row>
    <row r="114777" spans="6:6" x14ac:dyDescent="0.3">
      <c r="F114777" s="193"/>
    </row>
    <row r="114778" spans="6:6" x14ac:dyDescent="0.3">
      <c r="F114778" s="193"/>
    </row>
    <row r="114779" spans="6:6" x14ac:dyDescent="0.3">
      <c r="F114779" s="193"/>
    </row>
    <row r="114780" spans="6:6" x14ac:dyDescent="0.3">
      <c r="F114780" s="193"/>
    </row>
    <row r="114781" spans="6:6" x14ac:dyDescent="0.3">
      <c r="F114781" s="193"/>
    </row>
    <row r="114782" spans="6:6" x14ac:dyDescent="0.3">
      <c r="F114782" s="193"/>
    </row>
    <row r="114783" spans="6:6" x14ac:dyDescent="0.3">
      <c r="F114783" s="193"/>
    </row>
    <row r="114784" spans="6:6" x14ac:dyDescent="0.3">
      <c r="F114784" s="193"/>
    </row>
    <row r="114785" spans="6:6" x14ac:dyDescent="0.3">
      <c r="F114785" s="193"/>
    </row>
    <row r="114786" spans="6:6" x14ac:dyDescent="0.3">
      <c r="F114786" s="193"/>
    </row>
    <row r="114787" spans="6:6" x14ac:dyDescent="0.3">
      <c r="F114787" s="193"/>
    </row>
    <row r="114788" spans="6:6" x14ac:dyDescent="0.3">
      <c r="F114788" s="193"/>
    </row>
    <row r="114789" spans="6:6" x14ac:dyDescent="0.3">
      <c r="F114789" s="193"/>
    </row>
    <row r="114790" spans="6:6" x14ac:dyDescent="0.3">
      <c r="F114790" s="193"/>
    </row>
    <row r="114791" spans="6:6" x14ac:dyDescent="0.3">
      <c r="F114791" s="193"/>
    </row>
    <row r="114792" spans="6:6" x14ac:dyDescent="0.3">
      <c r="F114792" s="193"/>
    </row>
    <row r="114793" spans="6:6" x14ac:dyDescent="0.3">
      <c r="F114793" s="193"/>
    </row>
    <row r="114794" spans="6:6" x14ac:dyDescent="0.3">
      <c r="F114794" s="193"/>
    </row>
    <row r="114795" spans="6:6" x14ac:dyDescent="0.3">
      <c r="F114795" s="193"/>
    </row>
    <row r="114796" spans="6:6" x14ac:dyDescent="0.3">
      <c r="F114796" s="193"/>
    </row>
    <row r="114797" spans="6:6" x14ac:dyDescent="0.3">
      <c r="F114797" s="193"/>
    </row>
    <row r="114798" spans="6:6" x14ac:dyDescent="0.3">
      <c r="F114798" s="193"/>
    </row>
    <row r="114799" spans="6:6" x14ac:dyDescent="0.3">
      <c r="F114799" s="193"/>
    </row>
    <row r="114800" spans="6:6" x14ac:dyDescent="0.3">
      <c r="F114800" s="193"/>
    </row>
    <row r="114801" spans="6:6" x14ac:dyDescent="0.3">
      <c r="F114801" s="193"/>
    </row>
    <row r="114802" spans="6:6" x14ac:dyDescent="0.3">
      <c r="F114802" s="193"/>
    </row>
    <row r="114803" spans="6:6" x14ac:dyDescent="0.3">
      <c r="F114803" s="193"/>
    </row>
    <row r="114804" spans="6:6" x14ac:dyDescent="0.3">
      <c r="F114804" s="193"/>
    </row>
    <row r="114805" spans="6:6" x14ac:dyDescent="0.3">
      <c r="F114805" s="193"/>
    </row>
    <row r="114806" spans="6:6" x14ac:dyDescent="0.3">
      <c r="F114806" s="193"/>
    </row>
    <row r="114807" spans="6:6" x14ac:dyDescent="0.3">
      <c r="F114807" s="193"/>
    </row>
    <row r="114808" spans="6:6" x14ac:dyDescent="0.3">
      <c r="F114808" s="193"/>
    </row>
    <row r="114809" spans="6:6" x14ac:dyDescent="0.3">
      <c r="F114809" s="193"/>
    </row>
    <row r="114810" spans="6:6" x14ac:dyDescent="0.3">
      <c r="F114810" s="193"/>
    </row>
    <row r="114811" spans="6:6" x14ac:dyDescent="0.3">
      <c r="F114811" s="193"/>
    </row>
    <row r="114812" spans="6:6" x14ac:dyDescent="0.3">
      <c r="F114812" s="193"/>
    </row>
    <row r="114813" spans="6:6" x14ac:dyDescent="0.3">
      <c r="F114813" s="193"/>
    </row>
    <row r="114814" spans="6:6" x14ac:dyDescent="0.3">
      <c r="F114814" s="193"/>
    </row>
    <row r="114815" spans="6:6" x14ac:dyDescent="0.3">
      <c r="F114815" s="193"/>
    </row>
    <row r="114816" spans="6:6" x14ac:dyDescent="0.3">
      <c r="F114816" s="193"/>
    </row>
    <row r="114817" spans="6:6" x14ac:dyDescent="0.3">
      <c r="F114817" s="193"/>
    </row>
    <row r="114818" spans="6:6" x14ac:dyDescent="0.3">
      <c r="F114818" s="193"/>
    </row>
    <row r="114819" spans="6:6" x14ac:dyDescent="0.3">
      <c r="F114819" s="193"/>
    </row>
    <row r="114820" spans="6:6" x14ac:dyDescent="0.3">
      <c r="F114820" s="193"/>
    </row>
    <row r="114821" spans="6:6" x14ac:dyDescent="0.3">
      <c r="F114821" s="193"/>
    </row>
    <row r="114822" spans="6:6" x14ac:dyDescent="0.3">
      <c r="F114822" s="193"/>
    </row>
    <row r="114823" spans="6:6" x14ac:dyDescent="0.3">
      <c r="F114823" s="193"/>
    </row>
    <row r="114824" spans="6:6" x14ac:dyDescent="0.3">
      <c r="F114824" s="193"/>
    </row>
    <row r="114825" spans="6:6" x14ac:dyDescent="0.3">
      <c r="F114825" s="193"/>
    </row>
    <row r="114826" spans="6:6" x14ac:dyDescent="0.3">
      <c r="F114826" s="193"/>
    </row>
    <row r="114827" spans="6:6" x14ac:dyDescent="0.3">
      <c r="F114827" s="193"/>
    </row>
    <row r="114828" spans="6:6" x14ac:dyDescent="0.3">
      <c r="F114828" s="193"/>
    </row>
    <row r="114829" spans="6:6" x14ac:dyDescent="0.3">
      <c r="F114829" s="193"/>
    </row>
    <row r="114830" spans="6:6" x14ac:dyDescent="0.3">
      <c r="F114830" s="193"/>
    </row>
    <row r="114831" spans="6:6" x14ac:dyDescent="0.3">
      <c r="F114831" s="193"/>
    </row>
    <row r="114832" spans="6:6" x14ac:dyDescent="0.3">
      <c r="F114832" s="193"/>
    </row>
    <row r="114833" spans="6:6" x14ac:dyDescent="0.3">
      <c r="F114833" s="193"/>
    </row>
    <row r="114834" spans="6:6" x14ac:dyDescent="0.3">
      <c r="F114834" s="193"/>
    </row>
    <row r="114835" spans="6:6" x14ac:dyDescent="0.3">
      <c r="F114835" s="193"/>
    </row>
    <row r="114836" spans="6:6" x14ac:dyDescent="0.3">
      <c r="F114836" s="193"/>
    </row>
    <row r="114837" spans="6:6" x14ac:dyDescent="0.3">
      <c r="F114837" s="193"/>
    </row>
    <row r="114838" spans="6:6" x14ac:dyDescent="0.3">
      <c r="F114838" s="193"/>
    </row>
    <row r="114839" spans="6:6" x14ac:dyDescent="0.3">
      <c r="F114839" s="193"/>
    </row>
    <row r="114840" spans="6:6" x14ac:dyDescent="0.3">
      <c r="F114840" s="193"/>
    </row>
    <row r="114841" spans="6:6" x14ac:dyDescent="0.3">
      <c r="F114841" s="193"/>
    </row>
    <row r="114842" spans="6:6" x14ac:dyDescent="0.3">
      <c r="F114842" s="193"/>
    </row>
    <row r="114843" spans="6:6" x14ac:dyDescent="0.3">
      <c r="F114843" s="193"/>
    </row>
    <row r="114844" spans="6:6" x14ac:dyDescent="0.3">
      <c r="F114844" s="193"/>
    </row>
    <row r="114845" spans="6:6" x14ac:dyDescent="0.3">
      <c r="F114845" s="193"/>
    </row>
    <row r="114846" spans="6:6" x14ac:dyDescent="0.3">
      <c r="F114846" s="193"/>
    </row>
    <row r="114847" spans="6:6" x14ac:dyDescent="0.3">
      <c r="F114847" s="193"/>
    </row>
    <row r="114848" spans="6:6" x14ac:dyDescent="0.3">
      <c r="F114848" s="193"/>
    </row>
    <row r="114849" spans="6:6" x14ac:dyDescent="0.3">
      <c r="F114849" s="193"/>
    </row>
    <row r="114850" spans="6:6" x14ac:dyDescent="0.3">
      <c r="F114850" s="193"/>
    </row>
    <row r="114851" spans="6:6" x14ac:dyDescent="0.3">
      <c r="F114851" s="193"/>
    </row>
    <row r="114852" spans="6:6" x14ac:dyDescent="0.3">
      <c r="F114852" s="193"/>
    </row>
    <row r="114853" spans="6:6" x14ac:dyDescent="0.3">
      <c r="F114853" s="193"/>
    </row>
    <row r="114854" spans="6:6" x14ac:dyDescent="0.3">
      <c r="F114854" s="193"/>
    </row>
    <row r="114855" spans="6:6" x14ac:dyDescent="0.3">
      <c r="F114855" s="193"/>
    </row>
    <row r="114856" spans="6:6" x14ac:dyDescent="0.3">
      <c r="F114856" s="193"/>
    </row>
    <row r="114857" spans="6:6" x14ac:dyDescent="0.3">
      <c r="F114857" s="193"/>
    </row>
    <row r="114858" spans="6:6" x14ac:dyDescent="0.3">
      <c r="F114858" s="193"/>
    </row>
    <row r="114859" spans="6:6" x14ac:dyDescent="0.3">
      <c r="F114859" s="193"/>
    </row>
    <row r="114860" spans="6:6" x14ac:dyDescent="0.3">
      <c r="F114860" s="193"/>
    </row>
    <row r="114861" spans="6:6" x14ac:dyDescent="0.3">
      <c r="F114861" s="193"/>
    </row>
    <row r="114862" spans="6:6" x14ac:dyDescent="0.3">
      <c r="F114862" s="193"/>
    </row>
    <row r="114863" spans="6:6" x14ac:dyDescent="0.3">
      <c r="F114863" s="193"/>
    </row>
    <row r="114864" spans="6:6" x14ac:dyDescent="0.3">
      <c r="F114864" s="193"/>
    </row>
    <row r="114865" spans="6:6" x14ac:dyDescent="0.3">
      <c r="F114865" s="193"/>
    </row>
    <row r="114866" spans="6:6" x14ac:dyDescent="0.3">
      <c r="F114866" s="193"/>
    </row>
    <row r="114867" spans="6:6" x14ac:dyDescent="0.3">
      <c r="F114867" s="193"/>
    </row>
    <row r="114868" spans="6:6" x14ac:dyDescent="0.3">
      <c r="F114868" s="193"/>
    </row>
    <row r="114869" spans="6:6" x14ac:dyDescent="0.3">
      <c r="F114869" s="193"/>
    </row>
    <row r="114870" spans="6:6" x14ac:dyDescent="0.3">
      <c r="F114870" s="193"/>
    </row>
    <row r="114871" spans="6:6" x14ac:dyDescent="0.3">
      <c r="F114871" s="193"/>
    </row>
    <row r="114872" spans="6:6" x14ac:dyDescent="0.3">
      <c r="F114872" s="193"/>
    </row>
    <row r="114873" spans="6:6" x14ac:dyDescent="0.3">
      <c r="F114873" s="193"/>
    </row>
    <row r="114874" spans="6:6" x14ac:dyDescent="0.3">
      <c r="F114874" s="193"/>
    </row>
    <row r="114875" spans="6:6" x14ac:dyDescent="0.3">
      <c r="F114875" s="193"/>
    </row>
    <row r="114876" spans="6:6" x14ac:dyDescent="0.3">
      <c r="F114876" s="193"/>
    </row>
    <row r="114877" spans="6:6" x14ac:dyDescent="0.3">
      <c r="F114877" s="193"/>
    </row>
    <row r="114878" spans="6:6" x14ac:dyDescent="0.3">
      <c r="F114878" s="193"/>
    </row>
    <row r="114879" spans="6:6" x14ac:dyDescent="0.3">
      <c r="F114879" s="193"/>
    </row>
    <row r="114880" spans="6:6" x14ac:dyDescent="0.3">
      <c r="F114880" s="193"/>
    </row>
    <row r="114881" spans="6:6" x14ac:dyDescent="0.3">
      <c r="F114881" s="193"/>
    </row>
    <row r="114882" spans="6:6" x14ac:dyDescent="0.3">
      <c r="F114882" s="193"/>
    </row>
    <row r="114883" spans="6:6" x14ac:dyDescent="0.3">
      <c r="F114883" s="193"/>
    </row>
    <row r="114884" spans="6:6" x14ac:dyDescent="0.3">
      <c r="F114884" s="193"/>
    </row>
    <row r="114885" spans="6:6" x14ac:dyDescent="0.3">
      <c r="F114885" s="193"/>
    </row>
    <row r="114886" spans="6:6" x14ac:dyDescent="0.3">
      <c r="F114886" s="193"/>
    </row>
    <row r="114887" spans="6:6" x14ac:dyDescent="0.3">
      <c r="F114887" s="193"/>
    </row>
    <row r="114888" spans="6:6" x14ac:dyDescent="0.3">
      <c r="F114888" s="193"/>
    </row>
    <row r="114889" spans="6:6" x14ac:dyDescent="0.3">
      <c r="F114889" s="193"/>
    </row>
    <row r="114890" spans="6:6" x14ac:dyDescent="0.3">
      <c r="F114890" s="193"/>
    </row>
    <row r="114891" spans="6:6" x14ac:dyDescent="0.3">
      <c r="F114891" s="193"/>
    </row>
    <row r="114892" spans="6:6" x14ac:dyDescent="0.3">
      <c r="F114892" s="193"/>
    </row>
    <row r="114893" spans="6:6" x14ac:dyDescent="0.3">
      <c r="F114893" s="193"/>
    </row>
    <row r="114894" spans="6:6" x14ac:dyDescent="0.3">
      <c r="F114894" s="193"/>
    </row>
    <row r="114895" spans="6:6" x14ac:dyDescent="0.3">
      <c r="F114895" s="193"/>
    </row>
    <row r="114896" spans="6:6" x14ac:dyDescent="0.3">
      <c r="F114896" s="193"/>
    </row>
    <row r="114897" spans="6:6" x14ac:dyDescent="0.3">
      <c r="F114897" s="193"/>
    </row>
    <row r="114898" spans="6:6" x14ac:dyDescent="0.3">
      <c r="F114898" s="193"/>
    </row>
    <row r="114899" spans="6:6" x14ac:dyDescent="0.3">
      <c r="F114899" s="193"/>
    </row>
    <row r="114900" spans="6:6" x14ac:dyDescent="0.3">
      <c r="F114900" s="193"/>
    </row>
    <row r="114901" spans="6:6" x14ac:dyDescent="0.3">
      <c r="F114901" s="193"/>
    </row>
    <row r="114902" spans="6:6" x14ac:dyDescent="0.3">
      <c r="F114902" s="193"/>
    </row>
    <row r="114903" spans="6:6" x14ac:dyDescent="0.3">
      <c r="F114903" s="193"/>
    </row>
    <row r="114904" spans="6:6" x14ac:dyDescent="0.3">
      <c r="F114904" s="193"/>
    </row>
    <row r="114905" spans="6:6" x14ac:dyDescent="0.3">
      <c r="F114905" s="193"/>
    </row>
    <row r="114906" spans="6:6" x14ac:dyDescent="0.3">
      <c r="F114906" s="193"/>
    </row>
    <row r="114907" spans="6:6" x14ac:dyDescent="0.3">
      <c r="F114907" s="193"/>
    </row>
    <row r="114908" spans="6:6" x14ac:dyDescent="0.3">
      <c r="F114908" s="193"/>
    </row>
    <row r="114909" spans="6:6" x14ac:dyDescent="0.3">
      <c r="F114909" s="193"/>
    </row>
    <row r="114910" spans="6:6" x14ac:dyDescent="0.3">
      <c r="F114910" s="193"/>
    </row>
    <row r="114911" spans="6:6" x14ac:dyDescent="0.3">
      <c r="F114911" s="193"/>
    </row>
    <row r="114912" spans="6:6" x14ac:dyDescent="0.3">
      <c r="F114912" s="193"/>
    </row>
    <row r="114913" spans="6:6" x14ac:dyDescent="0.3">
      <c r="F114913" s="193"/>
    </row>
    <row r="114914" spans="6:6" x14ac:dyDescent="0.3">
      <c r="F114914" s="193"/>
    </row>
    <row r="114915" spans="6:6" x14ac:dyDescent="0.3">
      <c r="F114915" s="193"/>
    </row>
    <row r="114916" spans="6:6" x14ac:dyDescent="0.3">
      <c r="F114916" s="193"/>
    </row>
    <row r="114917" spans="6:6" x14ac:dyDescent="0.3">
      <c r="F114917" s="193"/>
    </row>
    <row r="114918" spans="6:6" x14ac:dyDescent="0.3">
      <c r="F114918" s="193"/>
    </row>
    <row r="114919" spans="6:6" x14ac:dyDescent="0.3">
      <c r="F114919" s="193"/>
    </row>
    <row r="114920" spans="6:6" x14ac:dyDescent="0.3">
      <c r="F114920" s="193"/>
    </row>
    <row r="114921" spans="6:6" x14ac:dyDescent="0.3">
      <c r="F114921" s="193"/>
    </row>
    <row r="114922" spans="6:6" x14ac:dyDescent="0.3">
      <c r="F114922" s="193"/>
    </row>
    <row r="114923" spans="6:6" x14ac:dyDescent="0.3">
      <c r="F114923" s="193"/>
    </row>
    <row r="114924" spans="6:6" x14ac:dyDescent="0.3">
      <c r="F114924" s="193"/>
    </row>
    <row r="114925" spans="6:6" x14ac:dyDescent="0.3">
      <c r="F114925" s="193"/>
    </row>
    <row r="114926" spans="6:6" x14ac:dyDescent="0.3">
      <c r="F114926" s="193"/>
    </row>
    <row r="114927" spans="6:6" x14ac:dyDescent="0.3">
      <c r="F114927" s="193"/>
    </row>
    <row r="114928" spans="6:6" x14ac:dyDescent="0.3">
      <c r="F114928" s="193"/>
    </row>
    <row r="114929" spans="6:6" x14ac:dyDescent="0.3">
      <c r="F114929" s="193"/>
    </row>
    <row r="114930" spans="6:6" x14ac:dyDescent="0.3">
      <c r="F114930" s="193"/>
    </row>
    <row r="114931" spans="6:6" x14ac:dyDescent="0.3">
      <c r="F114931" s="193"/>
    </row>
    <row r="114932" spans="6:6" x14ac:dyDescent="0.3">
      <c r="F114932" s="193"/>
    </row>
    <row r="114933" spans="6:6" x14ac:dyDescent="0.3">
      <c r="F114933" s="193"/>
    </row>
    <row r="114934" spans="6:6" x14ac:dyDescent="0.3">
      <c r="F114934" s="193"/>
    </row>
    <row r="114935" spans="6:6" x14ac:dyDescent="0.3">
      <c r="F114935" s="193"/>
    </row>
    <row r="114936" spans="6:6" x14ac:dyDescent="0.3">
      <c r="F114936" s="193"/>
    </row>
    <row r="114937" spans="6:6" x14ac:dyDescent="0.3">
      <c r="F114937" s="193"/>
    </row>
    <row r="114938" spans="6:6" x14ac:dyDescent="0.3">
      <c r="F114938" s="193"/>
    </row>
    <row r="114939" spans="6:6" x14ac:dyDescent="0.3">
      <c r="F114939" s="193"/>
    </row>
    <row r="114940" spans="6:6" x14ac:dyDescent="0.3">
      <c r="F114940" s="193"/>
    </row>
    <row r="114941" spans="6:6" x14ac:dyDescent="0.3">
      <c r="F114941" s="193"/>
    </row>
    <row r="114942" spans="6:6" x14ac:dyDescent="0.3">
      <c r="F114942" s="193"/>
    </row>
    <row r="114943" spans="6:6" x14ac:dyDescent="0.3">
      <c r="F114943" s="193"/>
    </row>
    <row r="114944" spans="6:6" x14ac:dyDescent="0.3">
      <c r="F114944" s="193"/>
    </row>
    <row r="114945" spans="6:6" x14ac:dyDescent="0.3">
      <c r="F114945" s="193"/>
    </row>
    <row r="114946" spans="6:6" x14ac:dyDescent="0.3">
      <c r="F114946" s="193"/>
    </row>
    <row r="114947" spans="6:6" x14ac:dyDescent="0.3">
      <c r="F114947" s="193"/>
    </row>
    <row r="114948" spans="6:6" x14ac:dyDescent="0.3">
      <c r="F114948" s="193"/>
    </row>
    <row r="114949" spans="6:6" x14ac:dyDescent="0.3">
      <c r="F114949" s="193"/>
    </row>
    <row r="114950" spans="6:6" x14ac:dyDescent="0.3">
      <c r="F114950" s="193"/>
    </row>
    <row r="114951" spans="6:6" x14ac:dyDescent="0.3">
      <c r="F114951" s="193"/>
    </row>
    <row r="114952" spans="6:6" x14ac:dyDescent="0.3">
      <c r="F114952" s="193"/>
    </row>
    <row r="114953" spans="6:6" x14ac:dyDescent="0.3">
      <c r="F114953" s="193"/>
    </row>
    <row r="114954" spans="6:6" x14ac:dyDescent="0.3">
      <c r="F114954" s="193"/>
    </row>
    <row r="114955" spans="6:6" x14ac:dyDescent="0.3">
      <c r="F114955" s="193"/>
    </row>
    <row r="114956" spans="6:6" x14ac:dyDescent="0.3">
      <c r="F114956" s="193"/>
    </row>
    <row r="114957" spans="6:6" x14ac:dyDescent="0.3">
      <c r="F114957" s="193"/>
    </row>
    <row r="114958" spans="6:6" x14ac:dyDescent="0.3">
      <c r="F114958" s="193"/>
    </row>
    <row r="114959" spans="6:6" x14ac:dyDescent="0.3">
      <c r="F114959" s="193"/>
    </row>
    <row r="114960" spans="6:6" x14ac:dyDescent="0.3">
      <c r="F114960" s="193"/>
    </row>
    <row r="114961" spans="6:6" x14ac:dyDescent="0.3">
      <c r="F114961" s="193"/>
    </row>
    <row r="114962" spans="6:6" x14ac:dyDescent="0.3">
      <c r="F114962" s="193"/>
    </row>
    <row r="114963" spans="6:6" x14ac:dyDescent="0.3">
      <c r="F114963" s="193"/>
    </row>
    <row r="114964" spans="6:6" x14ac:dyDescent="0.3">
      <c r="F114964" s="193"/>
    </row>
    <row r="114965" spans="6:6" x14ac:dyDescent="0.3">
      <c r="F114965" s="193"/>
    </row>
    <row r="114966" spans="6:6" x14ac:dyDescent="0.3">
      <c r="F114966" s="193"/>
    </row>
    <row r="114967" spans="6:6" x14ac:dyDescent="0.3">
      <c r="F114967" s="193"/>
    </row>
    <row r="114968" spans="6:6" x14ac:dyDescent="0.3">
      <c r="F114968" s="193"/>
    </row>
    <row r="114969" spans="6:6" x14ac:dyDescent="0.3">
      <c r="F114969" s="193"/>
    </row>
    <row r="114970" spans="6:6" x14ac:dyDescent="0.3">
      <c r="F114970" s="193"/>
    </row>
    <row r="114971" spans="6:6" x14ac:dyDescent="0.3">
      <c r="F114971" s="193"/>
    </row>
    <row r="114972" spans="6:6" x14ac:dyDescent="0.3">
      <c r="F114972" s="193"/>
    </row>
    <row r="114973" spans="6:6" x14ac:dyDescent="0.3">
      <c r="F114973" s="193"/>
    </row>
    <row r="114974" spans="6:6" x14ac:dyDescent="0.3">
      <c r="F114974" s="193"/>
    </row>
    <row r="114975" spans="6:6" x14ac:dyDescent="0.3">
      <c r="F114975" s="193"/>
    </row>
    <row r="114976" spans="6:6" x14ac:dyDescent="0.3">
      <c r="F114976" s="193"/>
    </row>
    <row r="114977" spans="6:6" x14ac:dyDescent="0.3">
      <c r="F114977" s="193"/>
    </row>
    <row r="114978" spans="6:6" x14ac:dyDescent="0.3">
      <c r="F114978" s="193"/>
    </row>
    <row r="114979" spans="6:6" x14ac:dyDescent="0.3">
      <c r="F114979" s="193"/>
    </row>
    <row r="114980" spans="6:6" x14ac:dyDescent="0.3">
      <c r="F114980" s="193"/>
    </row>
    <row r="114981" spans="6:6" x14ac:dyDescent="0.3">
      <c r="F114981" s="193"/>
    </row>
    <row r="114982" spans="6:6" x14ac:dyDescent="0.3">
      <c r="F114982" s="193"/>
    </row>
    <row r="114983" spans="6:6" x14ac:dyDescent="0.3">
      <c r="F114983" s="193"/>
    </row>
    <row r="114984" spans="6:6" x14ac:dyDescent="0.3">
      <c r="F114984" s="193"/>
    </row>
    <row r="114985" spans="6:6" x14ac:dyDescent="0.3">
      <c r="F114985" s="193"/>
    </row>
    <row r="114986" spans="6:6" x14ac:dyDescent="0.3">
      <c r="F114986" s="193"/>
    </row>
    <row r="114987" spans="6:6" x14ac:dyDescent="0.3">
      <c r="F114987" s="193"/>
    </row>
    <row r="114988" spans="6:6" x14ac:dyDescent="0.3">
      <c r="F114988" s="193"/>
    </row>
    <row r="114989" spans="6:6" x14ac:dyDescent="0.3">
      <c r="F114989" s="193"/>
    </row>
    <row r="114990" spans="6:6" x14ac:dyDescent="0.3">
      <c r="F114990" s="193"/>
    </row>
    <row r="114991" spans="6:6" x14ac:dyDescent="0.3">
      <c r="F114991" s="193"/>
    </row>
    <row r="114992" spans="6:6" x14ac:dyDescent="0.3">
      <c r="F114992" s="193"/>
    </row>
    <row r="114993" spans="6:6" x14ac:dyDescent="0.3">
      <c r="F114993" s="193"/>
    </row>
    <row r="114994" spans="6:6" x14ac:dyDescent="0.3">
      <c r="F114994" s="193"/>
    </row>
    <row r="114995" spans="6:6" x14ac:dyDescent="0.3">
      <c r="F114995" s="193"/>
    </row>
    <row r="114996" spans="6:6" x14ac:dyDescent="0.3">
      <c r="F114996" s="193"/>
    </row>
    <row r="114997" spans="6:6" x14ac:dyDescent="0.3">
      <c r="F114997" s="193"/>
    </row>
    <row r="114998" spans="6:6" x14ac:dyDescent="0.3">
      <c r="F114998" s="193"/>
    </row>
    <row r="114999" spans="6:6" x14ac:dyDescent="0.3">
      <c r="F114999" s="193"/>
    </row>
    <row r="115000" spans="6:6" x14ac:dyDescent="0.3">
      <c r="F115000" s="193"/>
    </row>
    <row r="115001" spans="6:6" x14ac:dyDescent="0.3">
      <c r="F115001" s="193"/>
    </row>
    <row r="115002" spans="6:6" x14ac:dyDescent="0.3">
      <c r="F115002" s="193"/>
    </row>
    <row r="115003" spans="6:6" x14ac:dyDescent="0.3">
      <c r="F115003" s="193"/>
    </row>
    <row r="115004" spans="6:6" x14ac:dyDescent="0.3">
      <c r="F115004" s="193"/>
    </row>
    <row r="115005" spans="6:6" x14ac:dyDescent="0.3">
      <c r="F115005" s="193"/>
    </row>
    <row r="115006" spans="6:6" x14ac:dyDescent="0.3">
      <c r="F115006" s="193"/>
    </row>
    <row r="115007" spans="6:6" x14ac:dyDescent="0.3">
      <c r="F115007" s="193"/>
    </row>
    <row r="115008" spans="6:6" x14ac:dyDescent="0.3">
      <c r="F115008" s="193"/>
    </row>
    <row r="115009" spans="6:6" x14ac:dyDescent="0.3">
      <c r="F115009" s="193"/>
    </row>
    <row r="115010" spans="6:6" x14ac:dyDescent="0.3">
      <c r="F115010" s="193"/>
    </row>
    <row r="115011" spans="6:6" x14ac:dyDescent="0.3">
      <c r="F115011" s="193"/>
    </row>
    <row r="115012" spans="6:6" x14ac:dyDescent="0.3">
      <c r="F115012" s="193"/>
    </row>
    <row r="115013" spans="6:6" x14ac:dyDescent="0.3">
      <c r="F115013" s="193"/>
    </row>
    <row r="115014" spans="6:6" x14ac:dyDescent="0.3">
      <c r="F115014" s="193"/>
    </row>
    <row r="115015" spans="6:6" x14ac:dyDescent="0.3">
      <c r="F115015" s="193"/>
    </row>
    <row r="115016" spans="6:6" x14ac:dyDescent="0.3">
      <c r="F115016" s="193"/>
    </row>
    <row r="115017" spans="6:6" x14ac:dyDescent="0.3">
      <c r="F115017" s="193"/>
    </row>
    <row r="115018" spans="6:6" x14ac:dyDescent="0.3">
      <c r="F115018" s="193"/>
    </row>
    <row r="115019" spans="6:6" x14ac:dyDescent="0.3">
      <c r="F115019" s="193"/>
    </row>
    <row r="115020" spans="6:6" x14ac:dyDescent="0.3">
      <c r="F115020" s="193"/>
    </row>
    <row r="115021" spans="6:6" x14ac:dyDescent="0.3">
      <c r="F115021" s="193"/>
    </row>
    <row r="115022" spans="6:6" x14ac:dyDescent="0.3">
      <c r="F115022" s="193"/>
    </row>
    <row r="115023" spans="6:6" x14ac:dyDescent="0.3">
      <c r="F115023" s="193"/>
    </row>
    <row r="115024" spans="6:6" x14ac:dyDescent="0.3">
      <c r="F115024" s="193"/>
    </row>
    <row r="115025" spans="6:6" x14ac:dyDescent="0.3">
      <c r="F115025" s="193"/>
    </row>
    <row r="115026" spans="6:6" x14ac:dyDescent="0.3">
      <c r="F115026" s="193"/>
    </row>
    <row r="115027" spans="6:6" x14ac:dyDescent="0.3">
      <c r="F115027" s="193"/>
    </row>
    <row r="115028" spans="6:6" x14ac:dyDescent="0.3">
      <c r="F115028" s="193"/>
    </row>
    <row r="115029" spans="6:6" x14ac:dyDescent="0.3">
      <c r="F115029" s="193"/>
    </row>
    <row r="115030" spans="6:6" x14ac:dyDescent="0.3">
      <c r="F115030" s="193"/>
    </row>
    <row r="115031" spans="6:6" x14ac:dyDescent="0.3">
      <c r="F115031" s="193"/>
    </row>
    <row r="115032" spans="6:6" x14ac:dyDescent="0.3">
      <c r="F115032" s="193"/>
    </row>
    <row r="115033" spans="6:6" x14ac:dyDescent="0.3">
      <c r="F115033" s="193"/>
    </row>
    <row r="115034" spans="6:6" x14ac:dyDescent="0.3">
      <c r="F115034" s="193"/>
    </row>
    <row r="115035" spans="6:6" x14ac:dyDescent="0.3">
      <c r="F115035" s="193"/>
    </row>
    <row r="115036" spans="6:6" x14ac:dyDescent="0.3">
      <c r="F115036" s="193"/>
    </row>
    <row r="115037" spans="6:6" x14ac:dyDescent="0.3">
      <c r="F115037" s="193"/>
    </row>
    <row r="115038" spans="6:6" x14ac:dyDescent="0.3">
      <c r="F115038" s="193"/>
    </row>
    <row r="115039" spans="6:6" x14ac:dyDescent="0.3">
      <c r="F115039" s="193"/>
    </row>
    <row r="115040" spans="6:6" x14ac:dyDescent="0.3">
      <c r="F115040" s="193"/>
    </row>
    <row r="115041" spans="6:6" x14ac:dyDescent="0.3">
      <c r="F115041" s="193"/>
    </row>
    <row r="115042" spans="6:6" x14ac:dyDescent="0.3">
      <c r="F115042" s="193"/>
    </row>
    <row r="115043" spans="6:6" x14ac:dyDescent="0.3">
      <c r="F115043" s="193"/>
    </row>
    <row r="115044" spans="6:6" x14ac:dyDescent="0.3">
      <c r="F115044" s="193"/>
    </row>
    <row r="115045" spans="6:6" x14ac:dyDescent="0.3">
      <c r="F115045" s="193"/>
    </row>
    <row r="115046" spans="6:6" x14ac:dyDescent="0.3">
      <c r="F115046" s="193"/>
    </row>
    <row r="115047" spans="6:6" x14ac:dyDescent="0.3">
      <c r="F115047" s="193"/>
    </row>
    <row r="115048" spans="6:6" x14ac:dyDescent="0.3">
      <c r="F115048" s="193"/>
    </row>
    <row r="115049" spans="6:6" x14ac:dyDescent="0.3">
      <c r="F115049" s="193"/>
    </row>
    <row r="115050" spans="6:6" x14ac:dyDescent="0.3">
      <c r="F115050" s="193"/>
    </row>
    <row r="115051" spans="6:6" x14ac:dyDescent="0.3">
      <c r="F115051" s="193"/>
    </row>
    <row r="115052" spans="6:6" x14ac:dyDescent="0.3">
      <c r="F115052" s="193"/>
    </row>
    <row r="115053" spans="6:6" x14ac:dyDescent="0.3">
      <c r="F115053" s="193"/>
    </row>
    <row r="115054" spans="6:6" x14ac:dyDescent="0.3">
      <c r="F115054" s="193"/>
    </row>
    <row r="115055" spans="6:6" x14ac:dyDescent="0.3">
      <c r="F115055" s="193"/>
    </row>
    <row r="115056" spans="6:6" x14ac:dyDescent="0.3">
      <c r="F115056" s="193"/>
    </row>
    <row r="115057" spans="6:6" x14ac:dyDescent="0.3">
      <c r="F115057" s="193"/>
    </row>
    <row r="115058" spans="6:6" x14ac:dyDescent="0.3">
      <c r="F115058" s="193"/>
    </row>
    <row r="115059" spans="6:6" x14ac:dyDescent="0.3">
      <c r="F115059" s="193"/>
    </row>
    <row r="115060" spans="6:6" x14ac:dyDescent="0.3">
      <c r="F115060" s="193"/>
    </row>
    <row r="115061" spans="6:6" x14ac:dyDescent="0.3">
      <c r="F115061" s="193"/>
    </row>
    <row r="115062" spans="6:6" x14ac:dyDescent="0.3">
      <c r="F115062" s="193"/>
    </row>
    <row r="115063" spans="6:6" x14ac:dyDescent="0.3">
      <c r="F115063" s="193"/>
    </row>
    <row r="115064" spans="6:6" x14ac:dyDescent="0.3">
      <c r="F115064" s="193"/>
    </row>
    <row r="115065" spans="6:6" x14ac:dyDescent="0.3">
      <c r="F115065" s="193"/>
    </row>
    <row r="115066" spans="6:6" x14ac:dyDescent="0.3">
      <c r="F115066" s="193"/>
    </row>
    <row r="115067" spans="6:6" x14ac:dyDescent="0.3">
      <c r="F115067" s="193"/>
    </row>
    <row r="115068" spans="6:6" x14ac:dyDescent="0.3">
      <c r="F115068" s="193"/>
    </row>
    <row r="115069" spans="6:6" x14ac:dyDescent="0.3">
      <c r="F115069" s="193"/>
    </row>
    <row r="115070" spans="6:6" x14ac:dyDescent="0.3">
      <c r="F115070" s="193"/>
    </row>
    <row r="115071" spans="6:6" x14ac:dyDescent="0.3">
      <c r="F115071" s="193"/>
    </row>
    <row r="115072" spans="6:6" x14ac:dyDescent="0.3">
      <c r="F115072" s="193"/>
    </row>
    <row r="115073" spans="6:6" x14ac:dyDescent="0.3">
      <c r="F115073" s="193"/>
    </row>
    <row r="115074" spans="6:6" x14ac:dyDescent="0.3">
      <c r="F115074" s="193"/>
    </row>
    <row r="115075" spans="6:6" x14ac:dyDescent="0.3">
      <c r="F115075" s="193"/>
    </row>
    <row r="115076" spans="6:6" x14ac:dyDescent="0.3">
      <c r="F115076" s="193"/>
    </row>
    <row r="115077" spans="6:6" x14ac:dyDescent="0.3">
      <c r="F115077" s="193"/>
    </row>
    <row r="115078" spans="6:6" x14ac:dyDescent="0.3">
      <c r="F115078" s="193"/>
    </row>
    <row r="115079" spans="6:6" x14ac:dyDescent="0.3">
      <c r="F115079" s="193"/>
    </row>
    <row r="115080" spans="6:6" x14ac:dyDescent="0.3">
      <c r="F115080" s="193"/>
    </row>
    <row r="115081" spans="6:6" x14ac:dyDescent="0.3">
      <c r="F115081" s="193"/>
    </row>
    <row r="115082" spans="6:6" x14ac:dyDescent="0.3">
      <c r="F115082" s="193"/>
    </row>
    <row r="115083" spans="6:6" x14ac:dyDescent="0.3">
      <c r="F115083" s="193"/>
    </row>
    <row r="115084" spans="6:6" x14ac:dyDescent="0.3">
      <c r="F115084" s="193"/>
    </row>
    <row r="115085" spans="6:6" x14ac:dyDescent="0.3">
      <c r="F115085" s="193"/>
    </row>
    <row r="115086" spans="6:6" x14ac:dyDescent="0.3">
      <c r="F115086" s="193"/>
    </row>
    <row r="115087" spans="6:6" x14ac:dyDescent="0.3">
      <c r="F115087" s="193"/>
    </row>
    <row r="115088" spans="6:6" x14ac:dyDescent="0.3">
      <c r="F115088" s="193"/>
    </row>
    <row r="115089" spans="6:6" x14ac:dyDescent="0.3">
      <c r="F115089" s="193"/>
    </row>
    <row r="115090" spans="6:6" x14ac:dyDescent="0.3">
      <c r="F115090" s="193"/>
    </row>
    <row r="115091" spans="6:6" x14ac:dyDescent="0.3">
      <c r="F115091" s="193"/>
    </row>
    <row r="115092" spans="6:6" x14ac:dyDescent="0.3">
      <c r="F115092" s="193"/>
    </row>
    <row r="115093" spans="6:6" x14ac:dyDescent="0.3">
      <c r="F115093" s="193"/>
    </row>
    <row r="115094" spans="6:6" x14ac:dyDescent="0.3">
      <c r="F115094" s="193"/>
    </row>
    <row r="115095" spans="6:6" x14ac:dyDescent="0.3">
      <c r="F115095" s="193"/>
    </row>
    <row r="115096" spans="6:6" x14ac:dyDescent="0.3">
      <c r="F115096" s="193"/>
    </row>
    <row r="115097" spans="6:6" x14ac:dyDescent="0.3">
      <c r="F115097" s="193"/>
    </row>
    <row r="115098" spans="6:6" x14ac:dyDescent="0.3">
      <c r="F115098" s="193"/>
    </row>
    <row r="115099" spans="6:6" x14ac:dyDescent="0.3">
      <c r="F115099" s="193"/>
    </row>
    <row r="115100" spans="6:6" x14ac:dyDescent="0.3">
      <c r="F115100" s="193"/>
    </row>
    <row r="115101" spans="6:6" x14ac:dyDescent="0.3">
      <c r="F115101" s="193"/>
    </row>
    <row r="115102" spans="6:6" x14ac:dyDescent="0.3">
      <c r="F115102" s="193"/>
    </row>
    <row r="115103" spans="6:6" x14ac:dyDescent="0.3">
      <c r="F115103" s="193"/>
    </row>
    <row r="115104" spans="6:6" x14ac:dyDescent="0.3">
      <c r="F115104" s="193"/>
    </row>
    <row r="115105" spans="6:6" x14ac:dyDescent="0.3">
      <c r="F115105" s="193"/>
    </row>
    <row r="115106" spans="6:6" x14ac:dyDescent="0.3">
      <c r="F115106" s="193"/>
    </row>
    <row r="115107" spans="6:6" x14ac:dyDescent="0.3">
      <c r="F115107" s="193"/>
    </row>
    <row r="115108" spans="6:6" x14ac:dyDescent="0.3">
      <c r="F115108" s="193"/>
    </row>
    <row r="115109" spans="6:6" x14ac:dyDescent="0.3">
      <c r="F115109" s="193"/>
    </row>
    <row r="115110" spans="6:6" x14ac:dyDescent="0.3">
      <c r="F115110" s="193"/>
    </row>
    <row r="115111" spans="6:6" x14ac:dyDescent="0.3">
      <c r="F115111" s="193"/>
    </row>
    <row r="115112" spans="6:6" x14ac:dyDescent="0.3">
      <c r="F115112" s="193"/>
    </row>
    <row r="115113" spans="6:6" x14ac:dyDescent="0.3">
      <c r="F115113" s="193"/>
    </row>
    <row r="115114" spans="6:6" x14ac:dyDescent="0.3">
      <c r="F115114" s="193"/>
    </row>
    <row r="115115" spans="6:6" x14ac:dyDescent="0.3">
      <c r="F115115" s="193"/>
    </row>
    <row r="115116" spans="6:6" x14ac:dyDescent="0.3">
      <c r="F115116" s="193"/>
    </row>
    <row r="115117" spans="6:6" x14ac:dyDescent="0.3">
      <c r="F115117" s="193"/>
    </row>
    <row r="115118" spans="6:6" x14ac:dyDescent="0.3">
      <c r="F115118" s="193"/>
    </row>
    <row r="115119" spans="6:6" x14ac:dyDescent="0.3">
      <c r="F115119" s="193"/>
    </row>
    <row r="115120" spans="6:6" x14ac:dyDescent="0.3">
      <c r="F115120" s="193"/>
    </row>
    <row r="115121" spans="6:6" x14ac:dyDescent="0.3">
      <c r="F115121" s="193"/>
    </row>
    <row r="115122" spans="6:6" x14ac:dyDescent="0.3">
      <c r="F115122" s="193"/>
    </row>
    <row r="115123" spans="6:6" x14ac:dyDescent="0.3">
      <c r="F115123" s="193"/>
    </row>
    <row r="115124" spans="6:6" x14ac:dyDescent="0.3">
      <c r="F115124" s="193"/>
    </row>
    <row r="115125" spans="6:6" x14ac:dyDescent="0.3">
      <c r="F115125" s="193"/>
    </row>
    <row r="115126" spans="6:6" x14ac:dyDescent="0.3">
      <c r="F115126" s="193"/>
    </row>
    <row r="115127" spans="6:6" x14ac:dyDescent="0.3">
      <c r="F115127" s="193"/>
    </row>
    <row r="115128" spans="6:6" x14ac:dyDescent="0.3">
      <c r="F115128" s="193"/>
    </row>
    <row r="115129" spans="6:6" x14ac:dyDescent="0.3">
      <c r="F115129" s="193"/>
    </row>
    <row r="115130" spans="6:6" x14ac:dyDescent="0.3">
      <c r="F115130" s="193"/>
    </row>
    <row r="115131" spans="6:6" x14ac:dyDescent="0.3">
      <c r="F115131" s="193"/>
    </row>
    <row r="115132" spans="6:6" x14ac:dyDescent="0.3">
      <c r="F115132" s="193"/>
    </row>
    <row r="115133" spans="6:6" x14ac:dyDescent="0.3">
      <c r="F115133" s="193"/>
    </row>
    <row r="115134" spans="6:6" x14ac:dyDescent="0.3">
      <c r="F115134" s="193"/>
    </row>
    <row r="115135" spans="6:6" x14ac:dyDescent="0.3">
      <c r="F115135" s="193"/>
    </row>
    <row r="115136" spans="6:6" x14ac:dyDescent="0.3">
      <c r="F115136" s="193"/>
    </row>
    <row r="115137" spans="6:6" x14ac:dyDescent="0.3">
      <c r="F115137" s="193"/>
    </row>
    <row r="115138" spans="6:6" x14ac:dyDescent="0.3">
      <c r="F115138" s="193"/>
    </row>
    <row r="115139" spans="6:6" x14ac:dyDescent="0.3">
      <c r="F115139" s="193"/>
    </row>
    <row r="115140" spans="6:6" x14ac:dyDescent="0.3">
      <c r="F115140" s="193"/>
    </row>
    <row r="115141" spans="6:6" x14ac:dyDescent="0.3">
      <c r="F115141" s="193"/>
    </row>
    <row r="115142" spans="6:6" x14ac:dyDescent="0.3">
      <c r="F115142" s="193"/>
    </row>
    <row r="115143" spans="6:6" x14ac:dyDescent="0.3">
      <c r="F115143" s="193"/>
    </row>
    <row r="115144" spans="6:6" x14ac:dyDescent="0.3">
      <c r="F115144" s="193"/>
    </row>
    <row r="115145" spans="6:6" x14ac:dyDescent="0.3">
      <c r="F115145" s="193"/>
    </row>
    <row r="115146" spans="6:6" x14ac:dyDescent="0.3">
      <c r="F115146" s="193"/>
    </row>
    <row r="115147" spans="6:6" x14ac:dyDescent="0.3">
      <c r="F115147" s="193"/>
    </row>
    <row r="115148" spans="6:6" x14ac:dyDescent="0.3">
      <c r="F115148" s="193"/>
    </row>
    <row r="115149" spans="6:6" x14ac:dyDescent="0.3">
      <c r="F115149" s="193"/>
    </row>
    <row r="115150" spans="6:6" x14ac:dyDescent="0.3">
      <c r="F115150" s="193"/>
    </row>
    <row r="115151" spans="6:6" x14ac:dyDescent="0.3">
      <c r="F115151" s="193"/>
    </row>
    <row r="115152" spans="6:6" x14ac:dyDescent="0.3">
      <c r="F115152" s="193"/>
    </row>
    <row r="115153" spans="6:6" x14ac:dyDescent="0.3">
      <c r="F115153" s="193"/>
    </row>
    <row r="115154" spans="6:6" x14ac:dyDescent="0.3">
      <c r="F115154" s="193"/>
    </row>
    <row r="115155" spans="6:6" x14ac:dyDescent="0.3">
      <c r="F115155" s="193"/>
    </row>
    <row r="115156" spans="6:6" x14ac:dyDescent="0.3">
      <c r="F115156" s="193"/>
    </row>
    <row r="115157" spans="6:6" x14ac:dyDescent="0.3">
      <c r="F115157" s="193"/>
    </row>
    <row r="115158" spans="6:6" x14ac:dyDescent="0.3">
      <c r="F115158" s="193"/>
    </row>
    <row r="115159" spans="6:6" x14ac:dyDescent="0.3">
      <c r="F115159" s="193"/>
    </row>
    <row r="115160" spans="6:6" x14ac:dyDescent="0.3">
      <c r="F115160" s="193"/>
    </row>
    <row r="115161" spans="6:6" x14ac:dyDescent="0.3">
      <c r="F115161" s="193"/>
    </row>
    <row r="115162" spans="6:6" x14ac:dyDescent="0.3">
      <c r="F115162" s="193"/>
    </row>
    <row r="115163" spans="6:6" x14ac:dyDescent="0.3">
      <c r="F115163" s="193"/>
    </row>
    <row r="115164" spans="6:6" x14ac:dyDescent="0.3">
      <c r="F115164" s="193"/>
    </row>
    <row r="115165" spans="6:6" x14ac:dyDescent="0.3">
      <c r="F115165" s="193"/>
    </row>
    <row r="115166" spans="6:6" x14ac:dyDescent="0.3">
      <c r="F115166" s="193"/>
    </row>
    <row r="115167" spans="6:6" x14ac:dyDescent="0.3">
      <c r="F115167" s="193"/>
    </row>
    <row r="115168" spans="6:6" x14ac:dyDescent="0.3">
      <c r="F115168" s="193"/>
    </row>
    <row r="115169" spans="6:6" x14ac:dyDescent="0.3">
      <c r="F115169" s="193"/>
    </row>
    <row r="115170" spans="6:6" x14ac:dyDescent="0.3">
      <c r="F115170" s="193"/>
    </row>
    <row r="115171" spans="6:6" x14ac:dyDescent="0.3">
      <c r="F115171" s="193"/>
    </row>
    <row r="115172" spans="6:6" x14ac:dyDescent="0.3">
      <c r="F115172" s="193"/>
    </row>
    <row r="115173" spans="6:6" x14ac:dyDescent="0.3">
      <c r="F115173" s="193"/>
    </row>
    <row r="115174" spans="6:6" x14ac:dyDescent="0.3">
      <c r="F115174" s="193"/>
    </row>
    <row r="115175" spans="6:6" x14ac:dyDescent="0.3">
      <c r="F115175" s="193"/>
    </row>
    <row r="115176" spans="6:6" x14ac:dyDescent="0.3">
      <c r="F115176" s="193"/>
    </row>
    <row r="115177" spans="6:6" x14ac:dyDescent="0.3">
      <c r="F115177" s="193"/>
    </row>
    <row r="115178" spans="6:6" x14ac:dyDescent="0.3">
      <c r="F115178" s="193"/>
    </row>
    <row r="115179" spans="6:6" x14ac:dyDescent="0.3">
      <c r="F115179" s="193"/>
    </row>
    <row r="115180" spans="6:6" x14ac:dyDescent="0.3">
      <c r="F115180" s="193"/>
    </row>
    <row r="115181" spans="6:6" x14ac:dyDescent="0.3">
      <c r="F115181" s="193"/>
    </row>
    <row r="115182" spans="6:6" x14ac:dyDescent="0.3">
      <c r="F115182" s="193"/>
    </row>
    <row r="115183" spans="6:6" x14ac:dyDescent="0.3">
      <c r="F115183" s="193"/>
    </row>
    <row r="115184" spans="6:6" x14ac:dyDescent="0.3">
      <c r="F115184" s="193"/>
    </row>
    <row r="115185" spans="6:6" x14ac:dyDescent="0.3">
      <c r="F115185" s="193"/>
    </row>
    <row r="115186" spans="6:6" x14ac:dyDescent="0.3">
      <c r="F115186" s="193"/>
    </row>
    <row r="115187" spans="6:6" x14ac:dyDescent="0.3">
      <c r="F115187" s="193"/>
    </row>
    <row r="115188" spans="6:6" x14ac:dyDescent="0.3">
      <c r="F115188" s="193"/>
    </row>
    <row r="115189" spans="6:6" x14ac:dyDescent="0.3">
      <c r="F115189" s="193"/>
    </row>
    <row r="115190" spans="6:6" x14ac:dyDescent="0.3">
      <c r="F115190" s="193"/>
    </row>
    <row r="115191" spans="6:6" x14ac:dyDescent="0.3">
      <c r="F115191" s="193"/>
    </row>
    <row r="115192" spans="6:6" x14ac:dyDescent="0.3">
      <c r="F115192" s="193"/>
    </row>
    <row r="115193" spans="6:6" x14ac:dyDescent="0.3">
      <c r="F115193" s="193"/>
    </row>
    <row r="115194" spans="6:6" x14ac:dyDescent="0.3">
      <c r="F115194" s="193"/>
    </row>
    <row r="115195" spans="6:6" x14ac:dyDescent="0.3">
      <c r="F115195" s="193"/>
    </row>
    <row r="115196" spans="6:6" x14ac:dyDescent="0.3">
      <c r="F115196" s="193"/>
    </row>
    <row r="115197" spans="6:6" x14ac:dyDescent="0.3">
      <c r="F115197" s="193"/>
    </row>
    <row r="115198" spans="6:6" x14ac:dyDescent="0.3">
      <c r="F115198" s="193"/>
    </row>
    <row r="115199" spans="6:6" x14ac:dyDescent="0.3">
      <c r="F115199" s="193"/>
    </row>
    <row r="115200" spans="6:6" x14ac:dyDescent="0.3">
      <c r="F115200" s="193"/>
    </row>
    <row r="115201" spans="6:6" x14ac:dyDescent="0.3">
      <c r="F115201" s="193"/>
    </row>
    <row r="115202" spans="6:6" x14ac:dyDescent="0.3">
      <c r="F115202" s="193"/>
    </row>
    <row r="115203" spans="6:6" x14ac:dyDescent="0.3">
      <c r="F115203" s="193"/>
    </row>
    <row r="115204" spans="6:6" x14ac:dyDescent="0.3">
      <c r="F115204" s="193"/>
    </row>
    <row r="115205" spans="6:6" x14ac:dyDescent="0.3">
      <c r="F115205" s="193"/>
    </row>
    <row r="115206" spans="6:6" x14ac:dyDescent="0.3">
      <c r="F115206" s="193"/>
    </row>
    <row r="115207" spans="6:6" x14ac:dyDescent="0.3">
      <c r="F115207" s="193"/>
    </row>
    <row r="115208" spans="6:6" x14ac:dyDescent="0.3">
      <c r="F115208" s="193"/>
    </row>
    <row r="115209" spans="6:6" x14ac:dyDescent="0.3">
      <c r="F115209" s="193"/>
    </row>
    <row r="115210" spans="6:6" x14ac:dyDescent="0.3">
      <c r="F115210" s="193"/>
    </row>
    <row r="115211" spans="6:6" x14ac:dyDescent="0.3">
      <c r="F115211" s="193"/>
    </row>
    <row r="115212" spans="6:6" x14ac:dyDescent="0.3">
      <c r="F115212" s="193"/>
    </row>
    <row r="115213" spans="6:6" x14ac:dyDescent="0.3">
      <c r="F115213" s="193"/>
    </row>
    <row r="115214" spans="6:6" x14ac:dyDescent="0.3">
      <c r="F115214" s="193"/>
    </row>
    <row r="115215" spans="6:6" x14ac:dyDescent="0.3">
      <c r="F115215" s="193"/>
    </row>
    <row r="115216" spans="6:6" x14ac:dyDescent="0.3">
      <c r="F115216" s="193"/>
    </row>
    <row r="115217" spans="6:6" x14ac:dyDescent="0.3">
      <c r="F115217" s="193"/>
    </row>
    <row r="115218" spans="6:6" x14ac:dyDescent="0.3">
      <c r="F115218" s="193"/>
    </row>
    <row r="115219" spans="6:6" x14ac:dyDescent="0.3">
      <c r="F115219" s="193"/>
    </row>
    <row r="115220" spans="6:6" x14ac:dyDescent="0.3">
      <c r="F115220" s="193"/>
    </row>
    <row r="115221" spans="6:6" x14ac:dyDescent="0.3">
      <c r="F115221" s="193"/>
    </row>
    <row r="115222" spans="6:6" x14ac:dyDescent="0.3">
      <c r="F115222" s="193"/>
    </row>
    <row r="115223" spans="6:6" x14ac:dyDescent="0.3">
      <c r="F115223" s="193"/>
    </row>
    <row r="115224" spans="6:6" x14ac:dyDescent="0.3">
      <c r="F115224" s="193"/>
    </row>
    <row r="115225" spans="6:6" x14ac:dyDescent="0.3">
      <c r="F115225" s="193"/>
    </row>
    <row r="115226" spans="6:6" x14ac:dyDescent="0.3">
      <c r="F115226" s="193"/>
    </row>
    <row r="115227" spans="6:6" x14ac:dyDescent="0.3">
      <c r="F115227" s="193"/>
    </row>
    <row r="115228" spans="6:6" x14ac:dyDescent="0.3">
      <c r="F115228" s="193"/>
    </row>
    <row r="115229" spans="6:6" x14ac:dyDescent="0.3">
      <c r="F115229" s="193"/>
    </row>
    <row r="115230" spans="6:6" x14ac:dyDescent="0.3">
      <c r="F115230" s="193"/>
    </row>
    <row r="115231" spans="6:6" x14ac:dyDescent="0.3">
      <c r="F115231" s="193"/>
    </row>
    <row r="115232" spans="6:6" x14ac:dyDescent="0.3">
      <c r="F115232" s="193"/>
    </row>
    <row r="115233" spans="6:6" x14ac:dyDescent="0.3">
      <c r="F115233" s="193"/>
    </row>
    <row r="115234" spans="6:6" x14ac:dyDescent="0.3">
      <c r="F115234" s="193"/>
    </row>
    <row r="115235" spans="6:6" x14ac:dyDescent="0.3">
      <c r="F115235" s="193"/>
    </row>
    <row r="115236" spans="6:6" x14ac:dyDescent="0.3">
      <c r="F115236" s="193"/>
    </row>
    <row r="115237" spans="6:6" x14ac:dyDescent="0.3">
      <c r="F115237" s="193"/>
    </row>
    <row r="115238" spans="6:6" x14ac:dyDescent="0.3">
      <c r="F115238" s="193"/>
    </row>
    <row r="115239" spans="6:6" x14ac:dyDescent="0.3">
      <c r="F115239" s="193"/>
    </row>
    <row r="115240" spans="6:6" x14ac:dyDescent="0.3">
      <c r="F115240" s="193"/>
    </row>
    <row r="115241" spans="6:6" x14ac:dyDescent="0.3">
      <c r="F115241" s="193"/>
    </row>
    <row r="115242" spans="6:6" x14ac:dyDescent="0.3">
      <c r="F115242" s="193"/>
    </row>
    <row r="115243" spans="6:6" x14ac:dyDescent="0.3">
      <c r="F115243" s="193"/>
    </row>
    <row r="115244" spans="6:6" x14ac:dyDescent="0.3">
      <c r="F115244" s="193"/>
    </row>
    <row r="115245" spans="6:6" x14ac:dyDescent="0.3">
      <c r="F115245" s="193"/>
    </row>
    <row r="115246" spans="6:6" x14ac:dyDescent="0.3">
      <c r="F115246" s="193"/>
    </row>
    <row r="115247" spans="6:6" x14ac:dyDescent="0.3">
      <c r="F115247" s="193"/>
    </row>
    <row r="115248" spans="6:6" x14ac:dyDescent="0.3">
      <c r="F115248" s="193"/>
    </row>
    <row r="115249" spans="6:6" x14ac:dyDescent="0.3">
      <c r="F115249" s="193"/>
    </row>
    <row r="115250" spans="6:6" x14ac:dyDescent="0.3">
      <c r="F115250" s="193"/>
    </row>
    <row r="115251" spans="6:6" x14ac:dyDescent="0.3">
      <c r="F115251" s="193"/>
    </row>
    <row r="115252" spans="6:6" x14ac:dyDescent="0.3">
      <c r="F115252" s="193"/>
    </row>
    <row r="115253" spans="6:6" x14ac:dyDescent="0.3">
      <c r="F115253" s="193"/>
    </row>
    <row r="115254" spans="6:6" x14ac:dyDescent="0.3">
      <c r="F115254" s="193"/>
    </row>
    <row r="115255" spans="6:6" x14ac:dyDescent="0.3">
      <c r="F115255" s="193"/>
    </row>
    <row r="115256" spans="6:6" x14ac:dyDescent="0.3">
      <c r="F115256" s="193"/>
    </row>
    <row r="115257" spans="6:6" x14ac:dyDescent="0.3">
      <c r="F115257" s="193"/>
    </row>
    <row r="115258" spans="6:6" x14ac:dyDescent="0.3">
      <c r="F115258" s="193"/>
    </row>
    <row r="115259" spans="6:6" x14ac:dyDescent="0.3">
      <c r="F115259" s="193"/>
    </row>
    <row r="115260" spans="6:6" x14ac:dyDescent="0.3">
      <c r="F115260" s="193"/>
    </row>
    <row r="115261" spans="6:6" x14ac:dyDescent="0.3">
      <c r="F115261" s="193"/>
    </row>
    <row r="115262" spans="6:6" x14ac:dyDescent="0.3">
      <c r="F115262" s="193"/>
    </row>
    <row r="115263" spans="6:6" x14ac:dyDescent="0.3">
      <c r="F115263" s="193"/>
    </row>
    <row r="115264" spans="6:6" x14ac:dyDescent="0.3">
      <c r="F115264" s="193"/>
    </row>
    <row r="115265" spans="6:6" x14ac:dyDescent="0.3">
      <c r="F115265" s="193"/>
    </row>
    <row r="115266" spans="6:6" x14ac:dyDescent="0.3">
      <c r="F115266" s="193"/>
    </row>
    <row r="115267" spans="6:6" x14ac:dyDescent="0.3">
      <c r="F115267" s="193"/>
    </row>
    <row r="115268" spans="6:6" x14ac:dyDescent="0.3">
      <c r="F115268" s="193"/>
    </row>
    <row r="115269" spans="6:6" x14ac:dyDescent="0.3">
      <c r="F115269" s="193"/>
    </row>
    <row r="115270" spans="6:6" x14ac:dyDescent="0.3">
      <c r="F115270" s="193"/>
    </row>
    <row r="115271" spans="6:6" x14ac:dyDescent="0.3">
      <c r="F115271" s="193"/>
    </row>
    <row r="115272" spans="6:6" x14ac:dyDescent="0.3">
      <c r="F115272" s="193"/>
    </row>
    <row r="115273" spans="6:6" x14ac:dyDescent="0.3">
      <c r="F115273" s="193"/>
    </row>
    <row r="115274" spans="6:6" x14ac:dyDescent="0.3">
      <c r="F115274" s="193"/>
    </row>
    <row r="115275" spans="6:6" x14ac:dyDescent="0.3">
      <c r="F115275" s="193"/>
    </row>
    <row r="115276" spans="6:6" x14ac:dyDescent="0.3">
      <c r="F115276" s="193"/>
    </row>
    <row r="115277" spans="6:6" x14ac:dyDescent="0.3">
      <c r="F115277" s="193"/>
    </row>
    <row r="115278" spans="6:6" x14ac:dyDescent="0.3">
      <c r="F115278" s="193"/>
    </row>
    <row r="115279" spans="6:6" x14ac:dyDescent="0.3">
      <c r="F115279" s="193"/>
    </row>
    <row r="115280" spans="6:6" x14ac:dyDescent="0.3">
      <c r="F115280" s="193"/>
    </row>
    <row r="115281" spans="6:6" x14ac:dyDescent="0.3">
      <c r="F115281" s="193"/>
    </row>
    <row r="115282" spans="6:6" x14ac:dyDescent="0.3">
      <c r="F115282" s="193"/>
    </row>
    <row r="115283" spans="6:6" x14ac:dyDescent="0.3">
      <c r="F115283" s="193"/>
    </row>
    <row r="115284" spans="6:6" x14ac:dyDescent="0.3">
      <c r="F115284" s="193"/>
    </row>
    <row r="115285" spans="6:6" x14ac:dyDescent="0.3">
      <c r="F115285" s="193"/>
    </row>
    <row r="115286" spans="6:6" x14ac:dyDescent="0.3">
      <c r="F115286" s="193"/>
    </row>
    <row r="115287" spans="6:6" x14ac:dyDescent="0.3">
      <c r="F115287" s="193"/>
    </row>
    <row r="115288" spans="6:6" x14ac:dyDescent="0.3">
      <c r="F115288" s="193"/>
    </row>
    <row r="115289" spans="6:6" x14ac:dyDescent="0.3">
      <c r="F115289" s="193"/>
    </row>
    <row r="115290" spans="6:6" x14ac:dyDescent="0.3">
      <c r="F115290" s="193"/>
    </row>
    <row r="115291" spans="6:6" x14ac:dyDescent="0.3">
      <c r="F115291" s="193"/>
    </row>
    <row r="115292" spans="6:6" x14ac:dyDescent="0.3">
      <c r="F115292" s="193"/>
    </row>
    <row r="115293" spans="6:6" x14ac:dyDescent="0.3">
      <c r="F115293" s="193"/>
    </row>
    <row r="115294" spans="6:6" x14ac:dyDescent="0.3">
      <c r="F115294" s="193"/>
    </row>
    <row r="115295" spans="6:6" x14ac:dyDescent="0.3">
      <c r="F115295" s="193"/>
    </row>
    <row r="115296" spans="6:6" x14ac:dyDescent="0.3">
      <c r="F115296" s="193"/>
    </row>
    <row r="115297" spans="6:6" x14ac:dyDescent="0.3">
      <c r="F115297" s="193"/>
    </row>
    <row r="115298" spans="6:6" x14ac:dyDescent="0.3">
      <c r="F115298" s="193"/>
    </row>
    <row r="115299" spans="6:6" x14ac:dyDescent="0.3">
      <c r="F115299" s="193"/>
    </row>
    <row r="115300" spans="6:6" x14ac:dyDescent="0.3">
      <c r="F115300" s="193"/>
    </row>
    <row r="115301" spans="6:6" x14ac:dyDescent="0.3">
      <c r="F115301" s="193"/>
    </row>
    <row r="115302" spans="6:6" x14ac:dyDescent="0.3">
      <c r="F115302" s="193"/>
    </row>
    <row r="115303" spans="6:6" x14ac:dyDescent="0.3">
      <c r="F115303" s="193"/>
    </row>
    <row r="115304" spans="6:6" x14ac:dyDescent="0.3">
      <c r="F115304" s="193"/>
    </row>
    <row r="115305" spans="6:6" x14ac:dyDescent="0.3">
      <c r="F115305" s="193"/>
    </row>
    <row r="115306" spans="6:6" x14ac:dyDescent="0.3">
      <c r="F115306" s="193"/>
    </row>
    <row r="115307" spans="6:6" x14ac:dyDescent="0.3">
      <c r="F115307" s="193"/>
    </row>
    <row r="115308" spans="6:6" x14ac:dyDescent="0.3">
      <c r="F115308" s="193"/>
    </row>
    <row r="115309" spans="6:6" x14ac:dyDescent="0.3">
      <c r="F115309" s="193"/>
    </row>
    <row r="115310" spans="6:6" x14ac:dyDescent="0.3">
      <c r="F115310" s="193"/>
    </row>
    <row r="115311" spans="6:6" x14ac:dyDescent="0.3">
      <c r="F115311" s="193"/>
    </row>
    <row r="115312" spans="6:6" x14ac:dyDescent="0.3">
      <c r="F115312" s="193"/>
    </row>
    <row r="115313" spans="6:6" x14ac:dyDescent="0.3">
      <c r="F115313" s="193"/>
    </row>
    <row r="115314" spans="6:6" x14ac:dyDescent="0.3">
      <c r="F115314" s="193"/>
    </row>
    <row r="115315" spans="6:6" x14ac:dyDescent="0.3">
      <c r="F115315" s="193"/>
    </row>
    <row r="115316" spans="6:6" x14ac:dyDescent="0.3">
      <c r="F115316" s="193"/>
    </row>
    <row r="115317" spans="6:6" x14ac:dyDescent="0.3">
      <c r="F115317" s="193"/>
    </row>
    <row r="115318" spans="6:6" x14ac:dyDescent="0.3">
      <c r="F115318" s="193"/>
    </row>
    <row r="115319" spans="6:6" x14ac:dyDescent="0.3">
      <c r="F115319" s="193"/>
    </row>
    <row r="115320" spans="6:6" x14ac:dyDescent="0.3">
      <c r="F115320" s="193"/>
    </row>
    <row r="115321" spans="6:6" x14ac:dyDescent="0.3">
      <c r="F115321" s="193"/>
    </row>
    <row r="115322" spans="6:6" x14ac:dyDescent="0.3">
      <c r="F115322" s="193"/>
    </row>
    <row r="115323" spans="6:6" x14ac:dyDescent="0.3">
      <c r="F115323" s="193"/>
    </row>
    <row r="115324" spans="6:6" x14ac:dyDescent="0.3">
      <c r="F115324" s="193"/>
    </row>
    <row r="115325" spans="6:6" x14ac:dyDescent="0.3">
      <c r="F115325" s="193"/>
    </row>
    <row r="115326" spans="6:6" x14ac:dyDescent="0.3">
      <c r="F115326" s="193"/>
    </row>
    <row r="115327" spans="6:6" x14ac:dyDescent="0.3">
      <c r="F115327" s="193"/>
    </row>
    <row r="115328" spans="6:6" x14ac:dyDescent="0.3">
      <c r="F115328" s="193"/>
    </row>
    <row r="115329" spans="6:6" x14ac:dyDescent="0.3">
      <c r="F115329" s="193"/>
    </row>
    <row r="115330" spans="6:6" x14ac:dyDescent="0.3">
      <c r="F115330" s="193"/>
    </row>
    <row r="115331" spans="6:6" x14ac:dyDescent="0.3">
      <c r="F115331" s="193"/>
    </row>
    <row r="115332" spans="6:6" x14ac:dyDescent="0.3">
      <c r="F115332" s="193"/>
    </row>
    <row r="115333" spans="6:6" x14ac:dyDescent="0.3">
      <c r="F115333" s="193"/>
    </row>
    <row r="115334" spans="6:6" x14ac:dyDescent="0.3">
      <c r="F115334" s="193"/>
    </row>
    <row r="115335" spans="6:6" x14ac:dyDescent="0.3">
      <c r="F115335" s="193"/>
    </row>
    <row r="115336" spans="6:6" x14ac:dyDescent="0.3">
      <c r="F115336" s="193"/>
    </row>
    <row r="115337" spans="6:6" x14ac:dyDescent="0.3">
      <c r="F115337" s="193"/>
    </row>
    <row r="115338" spans="6:6" x14ac:dyDescent="0.3">
      <c r="F115338" s="193"/>
    </row>
    <row r="115339" spans="6:6" x14ac:dyDescent="0.3">
      <c r="F115339" s="193"/>
    </row>
    <row r="115340" spans="6:6" x14ac:dyDescent="0.3">
      <c r="F115340" s="193"/>
    </row>
    <row r="115341" spans="6:6" x14ac:dyDescent="0.3">
      <c r="F115341" s="193"/>
    </row>
    <row r="115342" spans="6:6" x14ac:dyDescent="0.3">
      <c r="F115342" s="193"/>
    </row>
    <row r="115343" spans="6:6" x14ac:dyDescent="0.3">
      <c r="F115343" s="193"/>
    </row>
    <row r="115344" spans="6:6" x14ac:dyDescent="0.3">
      <c r="F115344" s="193"/>
    </row>
    <row r="115345" spans="6:6" x14ac:dyDescent="0.3">
      <c r="F115345" s="193"/>
    </row>
    <row r="115346" spans="6:6" x14ac:dyDescent="0.3">
      <c r="F115346" s="193"/>
    </row>
    <row r="115347" spans="6:6" x14ac:dyDescent="0.3">
      <c r="F115347" s="193"/>
    </row>
    <row r="115348" spans="6:6" x14ac:dyDescent="0.3">
      <c r="F115348" s="193"/>
    </row>
    <row r="115349" spans="6:6" x14ac:dyDescent="0.3">
      <c r="F115349" s="193"/>
    </row>
    <row r="115350" spans="6:6" x14ac:dyDescent="0.3">
      <c r="F115350" s="193"/>
    </row>
    <row r="115351" spans="6:6" x14ac:dyDescent="0.3">
      <c r="F115351" s="193"/>
    </row>
    <row r="115352" spans="6:6" x14ac:dyDescent="0.3">
      <c r="F115352" s="193"/>
    </row>
    <row r="115353" spans="6:6" x14ac:dyDescent="0.3">
      <c r="F115353" s="193"/>
    </row>
    <row r="115354" spans="6:6" x14ac:dyDescent="0.3">
      <c r="F115354" s="193"/>
    </row>
    <row r="115355" spans="6:6" x14ac:dyDescent="0.3">
      <c r="F115355" s="193"/>
    </row>
    <row r="115356" spans="6:6" x14ac:dyDescent="0.3">
      <c r="F115356" s="193"/>
    </row>
    <row r="115357" spans="6:6" x14ac:dyDescent="0.3">
      <c r="F115357" s="193"/>
    </row>
    <row r="115358" spans="6:6" x14ac:dyDescent="0.3">
      <c r="F115358" s="193"/>
    </row>
    <row r="115359" spans="6:6" x14ac:dyDescent="0.3">
      <c r="F115359" s="193"/>
    </row>
    <row r="115360" spans="6:6" x14ac:dyDescent="0.3">
      <c r="F115360" s="193"/>
    </row>
    <row r="115361" spans="6:6" x14ac:dyDescent="0.3">
      <c r="F115361" s="193"/>
    </row>
    <row r="115362" spans="6:6" x14ac:dyDescent="0.3">
      <c r="F115362" s="193"/>
    </row>
    <row r="115363" spans="6:6" x14ac:dyDescent="0.3">
      <c r="F115363" s="193"/>
    </row>
    <row r="115364" spans="6:6" x14ac:dyDescent="0.3">
      <c r="F115364" s="193"/>
    </row>
    <row r="115365" spans="6:6" x14ac:dyDescent="0.3">
      <c r="F115365" s="193"/>
    </row>
    <row r="115366" spans="6:6" x14ac:dyDescent="0.3">
      <c r="F115366" s="193"/>
    </row>
    <row r="115367" spans="6:6" x14ac:dyDescent="0.3">
      <c r="F115367" s="193"/>
    </row>
    <row r="115368" spans="6:6" x14ac:dyDescent="0.3">
      <c r="F115368" s="193"/>
    </row>
    <row r="115369" spans="6:6" x14ac:dyDescent="0.3">
      <c r="F115369" s="193"/>
    </row>
    <row r="115370" spans="6:6" x14ac:dyDescent="0.3">
      <c r="F115370" s="193"/>
    </row>
    <row r="115371" spans="6:6" x14ac:dyDescent="0.3">
      <c r="F115371" s="193"/>
    </row>
    <row r="115372" spans="6:6" x14ac:dyDescent="0.3">
      <c r="F115372" s="193"/>
    </row>
    <row r="115373" spans="6:6" x14ac:dyDescent="0.3">
      <c r="F115373" s="193"/>
    </row>
    <row r="115374" spans="6:6" x14ac:dyDescent="0.3">
      <c r="F115374" s="193"/>
    </row>
    <row r="115375" spans="6:6" x14ac:dyDescent="0.3">
      <c r="F115375" s="193"/>
    </row>
    <row r="115376" spans="6:6" x14ac:dyDescent="0.3">
      <c r="F115376" s="193"/>
    </row>
    <row r="115377" spans="6:6" x14ac:dyDescent="0.3">
      <c r="F115377" s="193"/>
    </row>
    <row r="115378" spans="6:6" x14ac:dyDescent="0.3">
      <c r="F115378" s="193"/>
    </row>
    <row r="115379" spans="6:6" x14ac:dyDescent="0.3">
      <c r="F115379" s="193"/>
    </row>
    <row r="115380" spans="6:6" x14ac:dyDescent="0.3">
      <c r="F115380" s="193"/>
    </row>
    <row r="115381" spans="6:6" x14ac:dyDescent="0.3">
      <c r="F115381" s="193"/>
    </row>
    <row r="115382" spans="6:6" x14ac:dyDescent="0.3">
      <c r="F115382" s="193"/>
    </row>
    <row r="115383" spans="6:6" x14ac:dyDescent="0.3">
      <c r="F115383" s="193"/>
    </row>
    <row r="115384" spans="6:6" x14ac:dyDescent="0.3">
      <c r="F115384" s="193"/>
    </row>
    <row r="115385" spans="6:6" x14ac:dyDescent="0.3">
      <c r="F115385" s="193"/>
    </row>
    <row r="115386" spans="6:6" x14ac:dyDescent="0.3">
      <c r="F115386" s="193"/>
    </row>
    <row r="115387" spans="6:6" x14ac:dyDescent="0.3">
      <c r="F115387" s="193"/>
    </row>
    <row r="115388" spans="6:6" x14ac:dyDescent="0.3">
      <c r="F115388" s="193"/>
    </row>
    <row r="115389" spans="6:6" x14ac:dyDescent="0.3">
      <c r="F115389" s="193"/>
    </row>
    <row r="115390" spans="6:6" x14ac:dyDescent="0.3">
      <c r="F115390" s="193"/>
    </row>
    <row r="115391" spans="6:6" x14ac:dyDescent="0.3">
      <c r="F115391" s="193"/>
    </row>
    <row r="115392" spans="6:6" x14ac:dyDescent="0.3">
      <c r="F115392" s="193"/>
    </row>
    <row r="115393" spans="6:6" x14ac:dyDescent="0.3">
      <c r="F115393" s="193"/>
    </row>
    <row r="115394" spans="6:6" x14ac:dyDescent="0.3">
      <c r="F115394" s="193"/>
    </row>
    <row r="115395" spans="6:6" x14ac:dyDescent="0.3">
      <c r="F115395" s="193"/>
    </row>
    <row r="115396" spans="6:6" x14ac:dyDescent="0.3">
      <c r="F115396" s="193"/>
    </row>
    <row r="115397" spans="6:6" x14ac:dyDescent="0.3">
      <c r="F115397" s="193"/>
    </row>
    <row r="115398" spans="6:6" x14ac:dyDescent="0.3">
      <c r="F115398" s="193"/>
    </row>
    <row r="115399" spans="6:6" x14ac:dyDescent="0.3">
      <c r="F115399" s="193"/>
    </row>
    <row r="115400" spans="6:6" x14ac:dyDescent="0.3">
      <c r="F115400" s="193"/>
    </row>
    <row r="115401" spans="6:6" x14ac:dyDescent="0.3">
      <c r="F115401" s="193"/>
    </row>
    <row r="115402" spans="6:6" x14ac:dyDescent="0.3">
      <c r="F115402" s="193"/>
    </row>
    <row r="115403" spans="6:6" x14ac:dyDescent="0.3">
      <c r="F115403" s="193"/>
    </row>
    <row r="115404" spans="6:6" x14ac:dyDescent="0.3">
      <c r="F115404" s="193"/>
    </row>
    <row r="115405" spans="6:6" x14ac:dyDescent="0.3">
      <c r="F115405" s="193"/>
    </row>
    <row r="115406" spans="6:6" x14ac:dyDescent="0.3">
      <c r="F115406" s="193"/>
    </row>
    <row r="115407" spans="6:6" x14ac:dyDescent="0.3">
      <c r="F115407" s="193"/>
    </row>
    <row r="115408" spans="6:6" x14ac:dyDescent="0.3">
      <c r="F115408" s="193"/>
    </row>
    <row r="115409" spans="6:6" x14ac:dyDescent="0.3">
      <c r="F115409" s="193"/>
    </row>
    <row r="115410" spans="6:6" x14ac:dyDescent="0.3">
      <c r="F115410" s="193"/>
    </row>
    <row r="115411" spans="6:6" x14ac:dyDescent="0.3">
      <c r="F115411" s="193"/>
    </row>
    <row r="115412" spans="6:6" x14ac:dyDescent="0.3">
      <c r="F115412" s="193"/>
    </row>
    <row r="115413" spans="6:6" x14ac:dyDescent="0.3">
      <c r="F115413" s="193"/>
    </row>
    <row r="115414" spans="6:6" x14ac:dyDescent="0.3">
      <c r="F115414" s="193"/>
    </row>
    <row r="115415" spans="6:6" x14ac:dyDescent="0.3">
      <c r="F115415" s="193"/>
    </row>
    <row r="115416" spans="6:6" x14ac:dyDescent="0.3">
      <c r="F115416" s="193"/>
    </row>
    <row r="115417" spans="6:6" x14ac:dyDescent="0.3">
      <c r="F115417" s="193"/>
    </row>
    <row r="115418" spans="6:6" x14ac:dyDescent="0.3">
      <c r="F115418" s="193"/>
    </row>
    <row r="115419" spans="6:6" x14ac:dyDescent="0.3">
      <c r="F115419" s="193"/>
    </row>
    <row r="115420" spans="6:6" x14ac:dyDescent="0.3">
      <c r="F115420" s="193"/>
    </row>
    <row r="115421" spans="6:6" x14ac:dyDescent="0.3">
      <c r="F115421" s="193"/>
    </row>
    <row r="115422" spans="6:6" x14ac:dyDescent="0.3">
      <c r="F115422" s="193"/>
    </row>
    <row r="115423" spans="6:6" x14ac:dyDescent="0.3">
      <c r="F115423" s="193"/>
    </row>
    <row r="115424" spans="6:6" x14ac:dyDescent="0.3">
      <c r="F115424" s="193"/>
    </row>
    <row r="115425" spans="6:6" x14ac:dyDescent="0.3">
      <c r="F115425" s="193"/>
    </row>
    <row r="115426" spans="6:6" x14ac:dyDescent="0.3">
      <c r="F115426" s="193"/>
    </row>
    <row r="115427" spans="6:6" x14ac:dyDescent="0.3">
      <c r="F115427" s="193"/>
    </row>
    <row r="115428" spans="6:6" x14ac:dyDescent="0.3">
      <c r="F115428" s="193"/>
    </row>
    <row r="115429" spans="6:6" x14ac:dyDescent="0.3">
      <c r="F115429" s="193"/>
    </row>
    <row r="115430" spans="6:6" x14ac:dyDescent="0.3">
      <c r="F115430" s="193"/>
    </row>
    <row r="115431" spans="6:6" x14ac:dyDescent="0.3">
      <c r="F115431" s="193"/>
    </row>
    <row r="115432" spans="6:6" x14ac:dyDescent="0.3">
      <c r="F115432" s="193"/>
    </row>
    <row r="115433" spans="6:6" x14ac:dyDescent="0.3">
      <c r="F115433" s="193"/>
    </row>
    <row r="115434" spans="6:6" x14ac:dyDescent="0.3">
      <c r="F115434" s="193"/>
    </row>
    <row r="115435" spans="6:6" x14ac:dyDescent="0.3">
      <c r="F115435" s="193"/>
    </row>
    <row r="115436" spans="6:6" x14ac:dyDescent="0.3">
      <c r="F115436" s="193"/>
    </row>
    <row r="115437" spans="6:6" x14ac:dyDescent="0.3">
      <c r="F115437" s="193"/>
    </row>
    <row r="115438" spans="6:6" x14ac:dyDescent="0.3">
      <c r="F115438" s="193"/>
    </row>
    <row r="115439" spans="6:6" x14ac:dyDescent="0.3">
      <c r="F115439" s="193"/>
    </row>
    <row r="115440" spans="6:6" x14ac:dyDescent="0.3">
      <c r="F115440" s="193"/>
    </row>
    <row r="115441" spans="6:6" x14ac:dyDescent="0.3">
      <c r="F115441" s="193"/>
    </row>
    <row r="115442" spans="6:6" x14ac:dyDescent="0.3">
      <c r="F115442" s="193"/>
    </row>
    <row r="115443" spans="6:6" x14ac:dyDescent="0.3">
      <c r="F115443" s="193"/>
    </row>
    <row r="115444" spans="6:6" x14ac:dyDescent="0.3">
      <c r="F115444" s="193"/>
    </row>
    <row r="115445" spans="6:6" x14ac:dyDescent="0.3">
      <c r="F115445" s="193"/>
    </row>
    <row r="115446" spans="6:6" x14ac:dyDescent="0.3">
      <c r="F115446" s="193"/>
    </row>
    <row r="115447" spans="6:6" x14ac:dyDescent="0.3">
      <c r="F115447" s="193"/>
    </row>
    <row r="115448" spans="6:6" x14ac:dyDescent="0.3">
      <c r="F115448" s="193"/>
    </row>
    <row r="115449" spans="6:6" x14ac:dyDescent="0.3">
      <c r="F115449" s="193"/>
    </row>
    <row r="115450" spans="6:6" x14ac:dyDescent="0.3">
      <c r="F115450" s="193"/>
    </row>
    <row r="115451" spans="6:6" x14ac:dyDescent="0.3">
      <c r="F115451" s="193"/>
    </row>
    <row r="115452" spans="6:6" x14ac:dyDescent="0.3">
      <c r="F115452" s="193"/>
    </row>
    <row r="115453" spans="6:6" x14ac:dyDescent="0.3">
      <c r="F115453" s="193"/>
    </row>
    <row r="115454" spans="6:6" x14ac:dyDescent="0.3">
      <c r="F115454" s="193"/>
    </row>
    <row r="115455" spans="6:6" x14ac:dyDescent="0.3">
      <c r="F115455" s="193"/>
    </row>
    <row r="115456" spans="6:6" x14ac:dyDescent="0.3">
      <c r="F115456" s="193"/>
    </row>
    <row r="115457" spans="6:6" x14ac:dyDescent="0.3">
      <c r="F115457" s="193"/>
    </row>
    <row r="115458" spans="6:6" x14ac:dyDescent="0.3">
      <c r="F115458" s="193"/>
    </row>
    <row r="115459" spans="6:6" x14ac:dyDescent="0.3">
      <c r="F115459" s="193"/>
    </row>
    <row r="115460" spans="6:6" x14ac:dyDescent="0.3">
      <c r="F115460" s="193"/>
    </row>
    <row r="115461" spans="6:6" x14ac:dyDescent="0.3">
      <c r="F115461" s="193"/>
    </row>
    <row r="115462" spans="6:6" x14ac:dyDescent="0.3">
      <c r="F115462" s="193"/>
    </row>
    <row r="115463" spans="6:6" x14ac:dyDescent="0.3">
      <c r="F115463" s="193"/>
    </row>
    <row r="115464" spans="6:6" x14ac:dyDescent="0.3">
      <c r="F115464" s="193"/>
    </row>
    <row r="115465" spans="6:6" x14ac:dyDescent="0.3">
      <c r="F115465" s="193"/>
    </row>
    <row r="115466" spans="6:6" x14ac:dyDescent="0.3">
      <c r="F115466" s="193"/>
    </row>
    <row r="115467" spans="6:6" x14ac:dyDescent="0.3">
      <c r="F115467" s="193"/>
    </row>
    <row r="115468" spans="6:6" x14ac:dyDescent="0.3">
      <c r="F115468" s="193"/>
    </row>
    <row r="115469" spans="6:6" x14ac:dyDescent="0.3">
      <c r="F115469" s="193"/>
    </row>
    <row r="115470" spans="6:6" x14ac:dyDescent="0.3">
      <c r="F115470" s="193"/>
    </row>
    <row r="115471" spans="6:6" x14ac:dyDescent="0.3">
      <c r="F115471" s="193"/>
    </row>
    <row r="115472" spans="6:6" x14ac:dyDescent="0.3">
      <c r="F115472" s="193"/>
    </row>
    <row r="115473" spans="6:6" x14ac:dyDescent="0.3">
      <c r="F115473" s="193"/>
    </row>
    <row r="115474" spans="6:6" x14ac:dyDescent="0.3">
      <c r="F115474" s="193"/>
    </row>
    <row r="115475" spans="6:6" x14ac:dyDescent="0.3">
      <c r="F115475" s="193"/>
    </row>
    <row r="115476" spans="6:6" x14ac:dyDescent="0.3">
      <c r="F115476" s="193"/>
    </row>
    <row r="115477" spans="6:6" x14ac:dyDescent="0.3">
      <c r="F115477" s="193"/>
    </row>
    <row r="115478" spans="6:6" x14ac:dyDescent="0.3">
      <c r="F115478" s="193"/>
    </row>
    <row r="115479" spans="6:6" x14ac:dyDescent="0.3">
      <c r="F115479" s="193"/>
    </row>
    <row r="115480" spans="6:6" x14ac:dyDescent="0.3">
      <c r="F115480" s="193"/>
    </row>
    <row r="115481" spans="6:6" x14ac:dyDescent="0.3">
      <c r="F115481" s="193"/>
    </row>
    <row r="115482" spans="6:6" x14ac:dyDescent="0.3">
      <c r="F115482" s="193"/>
    </row>
    <row r="115483" spans="6:6" x14ac:dyDescent="0.3">
      <c r="F115483" s="193"/>
    </row>
    <row r="115484" spans="6:6" x14ac:dyDescent="0.3">
      <c r="F115484" s="193"/>
    </row>
    <row r="115485" spans="6:6" x14ac:dyDescent="0.3">
      <c r="F115485" s="193"/>
    </row>
    <row r="115486" spans="6:6" x14ac:dyDescent="0.3">
      <c r="F115486" s="193"/>
    </row>
    <row r="115487" spans="6:6" x14ac:dyDescent="0.3">
      <c r="F115487" s="193"/>
    </row>
    <row r="115488" spans="6:6" x14ac:dyDescent="0.3">
      <c r="F115488" s="193"/>
    </row>
    <row r="115489" spans="6:6" x14ac:dyDescent="0.3">
      <c r="F115489" s="193"/>
    </row>
    <row r="115490" spans="6:6" x14ac:dyDescent="0.3">
      <c r="F115490" s="193"/>
    </row>
    <row r="115491" spans="6:6" x14ac:dyDescent="0.3">
      <c r="F115491" s="193"/>
    </row>
    <row r="115492" spans="6:6" x14ac:dyDescent="0.3">
      <c r="F115492" s="193"/>
    </row>
    <row r="115493" spans="6:6" x14ac:dyDescent="0.3">
      <c r="F115493" s="193"/>
    </row>
    <row r="115494" spans="6:6" x14ac:dyDescent="0.3">
      <c r="F115494" s="193"/>
    </row>
    <row r="115495" spans="6:6" x14ac:dyDescent="0.3">
      <c r="F115495" s="193"/>
    </row>
    <row r="115496" spans="6:6" x14ac:dyDescent="0.3">
      <c r="F115496" s="193"/>
    </row>
    <row r="115497" spans="6:6" x14ac:dyDescent="0.3">
      <c r="F115497" s="193"/>
    </row>
    <row r="115498" spans="6:6" x14ac:dyDescent="0.3">
      <c r="F115498" s="193"/>
    </row>
    <row r="115499" spans="6:6" x14ac:dyDescent="0.3">
      <c r="F115499" s="193"/>
    </row>
    <row r="115500" spans="6:6" x14ac:dyDescent="0.3">
      <c r="F115500" s="193"/>
    </row>
    <row r="115501" spans="6:6" x14ac:dyDescent="0.3">
      <c r="F115501" s="193"/>
    </row>
    <row r="115502" spans="6:6" x14ac:dyDescent="0.3">
      <c r="F115502" s="193"/>
    </row>
    <row r="115503" spans="6:6" x14ac:dyDescent="0.3">
      <c r="F115503" s="193"/>
    </row>
    <row r="115504" spans="6:6" x14ac:dyDescent="0.3">
      <c r="F115504" s="193"/>
    </row>
    <row r="115505" spans="6:6" x14ac:dyDescent="0.3">
      <c r="F115505" s="193"/>
    </row>
    <row r="115506" spans="6:6" x14ac:dyDescent="0.3">
      <c r="F115506" s="193"/>
    </row>
    <row r="115507" spans="6:6" x14ac:dyDescent="0.3">
      <c r="F115507" s="193"/>
    </row>
    <row r="115508" spans="6:6" x14ac:dyDescent="0.3">
      <c r="F115508" s="193"/>
    </row>
    <row r="115509" spans="6:6" x14ac:dyDescent="0.3">
      <c r="F115509" s="193"/>
    </row>
    <row r="115510" spans="6:6" x14ac:dyDescent="0.3">
      <c r="F115510" s="193"/>
    </row>
    <row r="115511" spans="6:6" x14ac:dyDescent="0.3">
      <c r="F115511" s="193"/>
    </row>
    <row r="115512" spans="6:6" x14ac:dyDescent="0.3">
      <c r="F115512" s="193"/>
    </row>
    <row r="115513" spans="6:6" x14ac:dyDescent="0.3">
      <c r="F115513" s="193"/>
    </row>
    <row r="115514" spans="6:6" x14ac:dyDescent="0.3">
      <c r="F115514" s="193"/>
    </row>
    <row r="115515" spans="6:6" x14ac:dyDescent="0.3">
      <c r="F115515" s="193"/>
    </row>
    <row r="115516" spans="6:6" x14ac:dyDescent="0.3">
      <c r="F115516" s="193"/>
    </row>
    <row r="115517" spans="6:6" x14ac:dyDescent="0.3">
      <c r="F115517" s="193"/>
    </row>
    <row r="115518" spans="6:6" x14ac:dyDescent="0.3">
      <c r="F115518" s="193"/>
    </row>
    <row r="115519" spans="6:6" x14ac:dyDescent="0.3">
      <c r="F115519" s="193"/>
    </row>
    <row r="115520" spans="6:6" x14ac:dyDescent="0.3">
      <c r="F115520" s="193"/>
    </row>
    <row r="115521" spans="6:6" x14ac:dyDescent="0.3">
      <c r="F115521" s="193"/>
    </row>
    <row r="115522" spans="6:6" x14ac:dyDescent="0.3">
      <c r="F115522" s="193"/>
    </row>
    <row r="115523" spans="6:6" x14ac:dyDescent="0.3">
      <c r="F115523" s="193"/>
    </row>
    <row r="115524" spans="6:6" x14ac:dyDescent="0.3">
      <c r="F115524" s="193"/>
    </row>
    <row r="115525" spans="6:6" x14ac:dyDescent="0.3">
      <c r="F115525" s="193"/>
    </row>
    <row r="115526" spans="6:6" x14ac:dyDescent="0.3">
      <c r="F115526" s="193"/>
    </row>
    <row r="115527" spans="6:6" x14ac:dyDescent="0.3">
      <c r="F115527" s="193"/>
    </row>
    <row r="115528" spans="6:6" x14ac:dyDescent="0.3">
      <c r="F115528" s="193"/>
    </row>
    <row r="115529" spans="6:6" x14ac:dyDescent="0.3">
      <c r="F115529" s="193"/>
    </row>
    <row r="115530" spans="6:6" x14ac:dyDescent="0.3">
      <c r="F115530" s="193"/>
    </row>
    <row r="115531" spans="6:6" x14ac:dyDescent="0.3">
      <c r="F115531" s="193"/>
    </row>
    <row r="115532" spans="6:6" x14ac:dyDescent="0.3">
      <c r="F115532" s="193"/>
    </row>
    <row r="115533" spans="6:6" x14ac:dyDescent="0.3">
      <c r="F115533" s="193"/>
    </row>
    <row r="115534" spans="6:6" x14ac:dyDescent="0.3">
      <c r="F115534" s="193"/>
    </row>
    <row r="115535" spans="6:6" x14ac:dyDescent="0.3">
      <c r="F115535" s="193"/>
    </row>
    <row r="115536" spans="6:6" x14ac:dyDescent="0.3">
      <c r="F115536" s="193"/>
    </row>
    <row r="115537" spans="6:6" x14ac:dyDescent="0.3">
      <c r="F115537" s="193"/>
    </row>
    <row r="115538" spans="6:6" x14ac:dyDescent="0.3">
      <c r="F115538" s="193"/>
    </row>
    <row r="115539" spans="6:6" x14ac:dyDescent="0.3">
      <c r="F115539" s="193"/>
    </row>
    <row r="115540" spans="6:6" x14ac:dyDescent="0.3">
      <c r="F115540" s="193"/>
    </row>
    <row r="115541" spans="6:6" x14ac:dyDescent="0.3">
      <c r="F115541" s="193"/>
    </row>
    <row r="115542" spans="6:6" x14ac:dyDescent="0.3">
      <c r="F115542" s="193"/>
    </row>
    <row r="115543" spans="6:6" x14ac:dyDescent="0.3">
      <c r="F115543" s="193"/>
    </row>
    <row r="115544" spans="6:6" x14ac:dyDescent="0.3">
      <c r="F115544" s="193"/>
    </row>
    <row r="115545" spans="6:6" x14ac:dyDescent="0.3">
      <c r="F115545" s="193"/>
    </row>
    <row r="115546" spans="6:6" x14ac:dyDescent="0.3">
      <c r="F115546" s="193"/>
    </row>
    <row r="115547" spans="6:6" x14ac:dyDescent="0.3">
      <c r="F115547" s="193"/>
    </row>
    <row r="115548" spans="6:6" x14ac:dyDescent="0.3">
      <c r="F115548" s="193"/>
    </row>
    <row r="115549" spans="6:6" x14ac:dyDescent="0.3">
      <c r="F115549" s="193"/>
    </row>
    <row r="115550" spans="6:6" x14ac:dyDescent="0.3">
      <c r="F115550" s="193"/>
    </row>
    <row r="115551" spans="6:6" x14ac:dyDescent="0.3">
      <c r="F115551" s="193"/>
    </row>
    <row r="115552" spans="6:6" x14ac:dyDescent="0.3">
      <c r="F115552" s="193"/>
    </row>
    <row r="115553" spans="6:6" x14ac:dyDescent="0.3">
      <c r="F115553" s="193"/>
    </row>
    <row r="115554" spans="6:6" x14ac:dyDescent="0.3">
      <c r="F115554" s="193"/>
    </row>
    <row r="115555" spans="6:6" x14ac:dyDescent="0.3">
      <c r="F115555" s="193"/>
    </row>
    <row r="115556" spans="6:6" x14ac:dyDescent="0.3">
      <c r="F115556" s="193"/>
    </row>
    <row r="115557" spans="6:6" x14ac:dyDescent="0.3">
      <c r="F115557" s="193"/>
    </row>
    <row r="115558" spans="6:6" x14ac:dyDescent="0.3">
      <c r="F115558" s="193"/>
    </row>
    <row r="115559" spans="6:6" x14ac:dyDescent="0.3">
      <c r="F115559" s="193"/>
    </row>
    <row r="115560" spans="6:6" x14ac:dyDescent="0.3">
      <c r="F115560" s="193"/>
    </row>
    <row r="115561" spans="6:6" x14ac:dyDescent="0.3">
      <c r="F115561" s="193"/>
    </row>
    <row r="115562" spans="6:6" x14ac:dyDescent="0.3">
      <c r="F115562" s="193"/>
    </row>
    <row r="115563" spans="6:6" x14ac:dyDescent="0.3">
      <c r="F115563" s="193"/>
    </row>
    <row r="115564" spans="6:6" x14ac:dyDescent="0.3">
      <c r="F115564" s="193"/>
    </row>
    <row r="115565" spans="6:6" x14ac:dyDescent="0.3">
      <c r="F115565" s="193"/>
    </row>
    <row r="115566" spans="6:6" x14ac:dyDescent="0.3">
      <c r="F115566" s="193"/>
    </row>
    <row r="115567" spans="6:6" x14ac:dyDescent="0.3">
      <c r="F115567" s="193"/>
    </row>
    <row r="115568" spans="6:6" x14ac:dyDescent="0.3">
      <c r="F115568" s="193"/>
    </row>
    <row r="115569" spans="6:6" x14ac:dyDescent="0.3">
      <c r="F115569" s="193"/>
    </row>
    <row r="115570" spans="6:6" x14ac:dyDescent="0.3">
      <c r="F115570" s="193"/>
    </row>
    <row r="115571" spans="6:6" x14ac:dyDescent="0.3">
      <c r="F115571" s="193"/>
    </row>
    <row r="115572" spans="6:6" x14ac:dyDescent="0.3">
      <c r="F115572" s="193"/>
    </row>
    <row r="115573" spans="6:6" x14ac:dyDescent="0.3">
      <c r="F115573" s="193"/>
    </row>
    <row r="115574" spans="6:6" x14ac:dyDescent="0.3">
      <c r="F115574" s="193"/>
    </row>
    <row r="115575" spans="6:6" x14ac:dyDescent="0.3">
      <c r="F115575" s="193"/>
    </row>
    <row r="115576" spans="6:6" x14ac:dyDescent="0.3">
      <c r="F115576" s="193"/>
    </row>
    <row r="115577" spans="6:6" x14ac:dyDescent="0.3">
      <c r="F115577" s="193"/>
    </row>
    <row r="115578" spans="6:6" x14ac:dyDescent="0.3">
      <c r="F115578" s="193"/>
    </row>
    <row r="115579" spans="6:6" x14ac:dyDescent="0.3">
      <c r="F115579" s="193"/>
    </row>
    <row r="115580" spans="6:6" x14ac:dyDescent="0.3">
      <c r="F115580" s="193"/>
    </row>
    <row r="115581" spans="6:6" x14ac:dyDescent="0.3">
      <c r="F115581" s="193"/>
    </row>
    <row r="115582" spans="6:6" x14ac:dyDescent="0.3">
      <c r="F115582" s="193"/>
    </row>
    <row r="115583" spans="6:6" x14ac:dyDescent="0.3">
      <c r="F115583" s="193"/>
    </row>
    <row r="115584" spans="6:6" x14ac:dyDescent="0.3">
      <c r="F115584" s="193"/>
    </row>
    <row r="115585" spans="6:6" x14ac:dyDescent="0.3">
      <c r="F115585" s="193"/>
    </row>
    <row r="115586" spans="6:6" x14ac:dyDescent="0.3">
      <c r="F115586" s="193"/>
    </row>
    <row r="115587" spans="6:6" x14ac:dyDescent="0.3">
      <c r="F115587" s="193"/>
    </row>
    <row r="115588" spans="6:6" x14ac:dyDescent="0.3">
      <c r="F115588" s="193"/>
    </row>
    <row r="115589" spans="6:6" x14ac:dyDescent="0.3">
      <c r="F115589" s="193"/>
    </row>
    <row r="115590" spans="6:6" x14ac:dyDescent="0.3">
      <c r="F115590" s="193"/>
    </row>
    <row r="115591" spans="6:6" x14ac:dyDescent="0.3">
      <c r="F115591" s="193"/>
    </row>
    <row r="115592" spans="6:6" x14ac:dyDescent="0.3">
      <c r="F115592" s="193"/>
    </row>
    <row r="115593" spans="6:6" x14ac:dyDescent="0.3">
      <c r="F115593" s="193"/>
    </row>
    <row r="115594" spans="6:6" x14ac:dyDescent="0.3">
      <c r="F115594" s="193"/>
    </row>
    <row r="115595" spans="6:6" x14ac:dyDescent="0.3">
      <c r="F115595" s="193"/>
    </row>
    <row r="115596" spans="6:6" x14ac:dyDescent="0.3">
      <c r="F115596" s="193"/>
    </row>
    <row r="115597" spans="6:6" x14ac:dyDescent="0.3">
      <c r="F115597" s="193"/>
    </row>
    <row r="115598" spans="6:6" x14ac:dyDescent="0.3">
      <c r="F115598" s="193"/>
    </row>
    <row r="115599" spans="6:6" x14ac:dyDescent="0.3">
      <c r="F115599" s="193"/>
    </row>
    <row r="115600" spans="6:6" x14ac:dyDescent="0.3">
      <c r="F115600" s="193"/>
    </row>
    <row r="115601" spans="6:6" x14ac:dyDescent="0.3">
      <c r="F115601" s="193"/>
    </row>
    <row r="115602" spans="6:6" x14ac:dyDescent="0.3">
      <c r="F115602" s="193"/>
    </row>
    <row r="115603" spans="6:6" x14ac:dyDescent="0.3">
      <c r="F115603" s="193"/>
    </row>
    <row r="115604" spans="6:6" x14ac:dyDescent="0.3">
      <c r="F115604" s="193"/>
    </row>
    <row r="115605" spans="6:6" x14ac:dyDescent="0.3">
      <c r="F115605" s="193"/>
    </row>
    <row r="115606" spans="6:6" x14ac:dyDescent="0.3">
      <c r="F115606" s="193"/>
    </row>
    <row r="115607" spans="6:6" x14ac:dyDescent="0.3">
      <c r="F115607" s="193"/>
    </row>
    <row r="115608" spans="6:6" x14ac:dyDescent="0.3">
      <c r="F115608" s="193"/>
    </row>
    <row r="115609" spans="6:6" x14ac:dyDescent="0.3">
      <c r="F115609" s="193"/>
    </row>
    <row r="115610" spans="6:6" x14ac:dyDescent="0.3">
      <c r="F115610" s="193"/>
    </row>
    <row r="115611" spans="6:6" x14ac:dyDescent="0.3">
      <c r="F115611" s="193"/>
    </row>
    <row r="115612" spans="6:6" x14ac:dyDescent="0.3">
      <c r="F115612" s="193"/>
    </row>
    <row r="115613" spans="6:6" x14ac:dyDescent="0.3">
      <c r="F115613" s="193"/>
    </row>
    <row r="115614" spans="6:6" x14ac:dyDescent="0.3">
      <c r="F115614" s="193"/>
    </row>
    <row r="115615" spans="6:6" x14ac:dyDescent="0.3">
      <c r="F115615" s="193"/>
    </row>
    <row r="115616" spans="6:6" x14ac:dyDescent="0.3">
      <c r="F115616" s="193"/>
    </row>
    <row r="115617" spans="6:6" x14ac:dyDescent="0.3">
      <c r="F115617" s="193"/>
    </row>
    <row r="115618" spans="6:6" x14ac:dyDescent="0.3">
      <c r="F115618" s="193"/>
    </row>
    <row r="115619" spans="6:6" x14ac:dyDescent="0.3">
      <c r="F115619" s="193"/>
    </row>
    <row r="115620" spans="6:6" x14ac:dyDescent="0.3">
      <c r="F115620" s="193"/>
    </row>
    <row r="115621" spans="6:6" x14ac:dyDescent="0.3">
      <c r="F115621" s="193"/>
    </row>
    <row r="115622" spans="6:6" x14ac:dyDescent="0.3">
      <c r="F115622" s="193"/>
    </row>
    <row r="115623" spans="6:6" x14ac:dyDescent="0.3">
      <c r="F115623" s="193"/>
    </row>
    <row r="115624" spans="6:6" x14ac:dyDescent="0.3">
      <c r="F115624" s="193"/>
    </row>
    <row r="115625" spans="6:6" x14ac:dyDescent="0.3">
      <c r="F115625" s="193"/>
    </row>
    <row r="115626" spans="6:6" x14ac:dyDescent="0.3">
      <c r="F115626" s="193"/>
    </row>
    <row r="115627" spans="6:6" x14ac:dyDescent="0.3">
      <c r="F115627" s="193"/>
    </row>
    <row r="115628" spans="6:6" x14ac:dyDescent="0.3">
      <c r="F115628" s="193"/>
    </row>
    <row r="115629" spans="6:6" x14ac:dyDescent="0.3">
      <c r="F115629" s="193"/>
    </row>
    <row r="115630" spans="6:6" x14ac:dyDescent="0.3">
      <c r="F115630" s="193"/>
    </row>
    <row r="115631" spans="6:6" x14ac:dyDescent="0.3">
      <c r="F115631" s="193"/>
    </row>
    <row r="115632" spans="6:6" x14ac:dyDescent="0.3">
      <c r="F115632" s="193"/>
    </row>
    <row r="115633" spans="6:6" x14ac:dyDescent="0.3">
      <c r="F115633" s="193"/>
    </row>
    <row r="115634" spans="6:6" x14ac:dyDescent="0.3">
      <c r="F115634" s="193"/>
    </row>
    <row r="115635" spans="6:6" x14ac:dyDescent="0.3">
      <c r="F115635" s="193"/>
    </row>
    <row r="115636" spans="6:6" x14ac:dyDescent="0.3">
      <c r="F115636" s="193"/>
    </row>
    <row r="115637" spans="6:6" x14ac:dyDescent="0.3">
      <c r="F115637" s="193"/>
    </row>
    <row r="115638" spans="6:6" x14ac:dyDescent="0.3">
      <c r="F115638" s="193"/>
    </row>
    <row r="115639" spans="6:6" x14ac:dyDescent="0.3">
      <c r="F115639" s="193"/>
    </row>
    <row r="115640" spans="6:6" x14ac:dyDescent="0.3">
      <c r="F115640" s="193"/>
    </row>
    <row r="115641" spans="6:6" x14ac:dyDescent="0.3">
      <c r="F115641" s="193"/>
    </row>
    <row r="115642" spans="6:6" x14ac:dyDescent="0.3">
      <c r="F115642" s="193"/>
    </row>
    <row r="115643" spans="6:6" x14ac:dyDescent="0.3">
      <c r="F115643" s="193"/>
    </row>
    <row r="115644" spans="6:6" x14ac:dyDescent="0.3">
      <c r="F115644" s="193"/>
    </row>
    <row r="115645" spans="6:6" x14ac:dyDescent="0.3">
      <c r="F115645" s="193"/>
    </row>
    <row r="115646" spans="6:6" x14ac:dyDescent="0.3">
      <c r="F115646" s="193"/>
    </row>
    <row r="115647" spans="6:6" x14ac:dyDescent="0.3">
      <c r="F115647" s="193"/>
    </row>
    <row r="115648" spans="6:6" x14ac:dyDescent="0.3">
      <c r="F115648" s="193"/>
    </row>
    <row r="115649" spans="6:6" x14ac:dyDescent="0.3">
      <c r="F115649" s="193"/>
    </row>
    <row r="115650" spans="6:6" x14ac:dyDescent="0.3">
      <c r="F115650" s="193"/>
    </row>
    <row r="115651" spans="6:6" x14ac:dyDescent="0.3">
      <c r="F115651" s="193"/>
    </row>
    <row r="115652" spans="6:6" x14ac:dyDescent="0.3">
      <c r="F115652" s="193"/>
    </row>
    <row r="115653" spans="6:6" x14ac:dyDescent="0.3">
      <c r="F115653" s="193"/>
    </row>
    <row r="115654" spans="6:6" x14ac:dyDescent="0.3">
      <c r="F115654" s="193"/>
    </row>
    <row r="115655" spans="6:6" x14ac:dyDescent="0.3">
      <c r="F115655" s="193"/>
    </row>
    <row r="115656" spans="6:6" x14ac:dyDescent="0.3">
      <c r="F115656" s="193"/>
    </row>
    <row r="115657" spans="6:6" x14ac:dyDescent="0.3">
      <c r="F115657" s="193"/>
    </row>
    <row r="115658" spans="6:6" x14ac:dyDescent="0.3">
      <c r="F115658" s="193"/>
    </row>
    <row r="115659" spans="6:6" x14ac:dyDescent="0.3">
      <c r="F115659" s="193"/>
    </row>
    <row r="115660" spans="6:6" x14ac:dyDescent="0.3">
      <c r="F115660" s="193"/>
    </row>
    <row r="115661" spans="6:6" x14ac:dyDescent="0.3">
      <c r="F115661" s="193"/>
    </row>
    <row r="115662" spans="6:6" x14ac:dyDescent="0.3">
      <c r="F115662" s="193"/>
    </row>
    <row r="115663" spans="6:6" x14ac:dyDescent="0.3">
      <c r="F115663" s="193"/>
    </row>
    <row r="115664" spans="6:6" x14ac:dyDescent="0.3">
      <c r="F115664" s="193"/>
    </row>
    <row r="115665" spans="6:6" x14ac:dyDescent="0.3">
      <c r="F115665" s="193"/>
    </row>
    <row r="115666" spans="6:6" x14ac:dyDescent="0.3">
      <c r="F115666" s="193"/>
    </row>
    <row r="115667" spans="6:6" x14ac:dyDescent="0.3">
      <c r="F115667" s="193"/>
    </row>
    <row r="115668" spans="6:6" x14ac:dyDescent="0.3">
      <c r="F115668" s="193"/>
    </row>
    <row r="115669" spans="6:6" x14ac:dyDescent="0.3">
      <c r="F115669" s="193"/>
    </row>
    <row r="115670" spans="6:6" x14ac:dyDescent="0.3">
      <c r="F115670" s="193"/>
    </row>
    <row r="115671" spans="6:6" x14ac:dyDescent="0.3">
      <c r="F115671" s="193"/>
    </row>
    <row r="115672" spans="6:6" x14ac:dyDescent="0.3">
      <c r="F115672" s="193"/>
    </row>
    <row r="115673" spans="6:6" x14ac:dyDescent="0.3">
      <c r="F115673" s="193"/>
    </row>
    <row r="115674" spans="6:6" x14ac:dyDescent="0.3">
      <c r="F115674" s="193"/>
    </row>
    <row r="115675" spans="6:6" x14ac:dyDescent="0.3">
      <c r="F115675" s="193"/>
    </row>
    <row r="115676" spans="6:6" x14ac:dyDescent="0.3">
      <c r="F115676" s="193"/>
    </row>
    <row r="115677" spans="6:6" x14ac:dyDescent="0.3">
      <c r="F115677" s="193"/>
    </row>
    <row r="115678" spans="6:6" x14ac:dyDescent="0.3">
      <c r="F115678" s="193"/>
    </row>
    <row r="115679" spans="6:6" x14ac:dyDescent="0.3">
      <c r="F115679" s="193"/>
    </row>
    <row r="115680" spans="6:6" x14ac:dyDescent="0.3">
      <c r="F115680" s="193"/>
    </row>
    <row r="115681" spans="6:6" x14ac:dyDescent="0.3">
      <c r="F115681" s="193"/>
    </row>
    <row r="115682" spans="6:6" x14ac:dyDescent="0.3">
      <c r="F115682" s="193"/>
    </row>
    <row r="115683" spans="6:6" x14ac:dyDescent="0.3">
      <c r="F115683" s="193"/>
    </row>
    <row r="115684" spans="6:6" x14ac:dyDescent="0.3">
      <c r="F115684" s="193"/>
    </row>
    <row r="115685" spans="6:6" x14ac:dyDescent="0.3">
      <c r="F115685" s="193"/>
    </row>
    <row r="115686" spans="6:6" x14ac:dyDescent="0.3">
      <c r="F115686" s="193"/>
    </row>
    <row r="115687" spans="6:6" x14ac:dyDescent="0.3">
      <c r="F115687" s="193"/>
    </row>
    <row r="115688" spans="6:6" x14ac:dyDescent="0.3">
      <c r="F115688" s="193"/>
    </row>
    <row r="115689" spans="6:6" x14ac:dyDescent="0.3">
      <c r="F115689" s="193"/>
    </row>
    <row r="115690" spans="6:6" x14ac:dyDescent="0.3">
      <c r="F115690" s="193"/>
    </row>
    <row r="115691" spans="6:6" x14ac:dyDescent="0.3">
      <c r="F115691" s="193"/>
    </row>
    <row r="115692" spans="6:6" x14ac:dyDescent="0.3">
      <c r="F115692" s="193"/>
    </row>
    <row r="115693" spans="6:6" x14ac:dyDescent="0.3">
      <c r="F115693" s="193"/>
    </row>
    <row r="115694" spans="6:6" x14ac:dyDescent="0.3">
      <c r="F115694" s="193"/>
    </row>
    <row r="115695" spans="6:6" x14ac:dyDescent="0.3">
      <c r="F115695" s="193"/>
    </row>
    <row r="115696" spans="6:6" x14ac:dyDescent="0.3">
      <c r="F115696" s="193"/>
    </row>
    <row r="115697" spans="6:6" x14ac:dyDescent="0.3">
      <c r="F115697" s="193"/>
    </row>
    <row r="115698" spans="6:6" x14ac:dyDescent="0.3">
      <c r="F115698" s="193"/>
    </row>
    <row r="115699" spans="6:6" x14ac:dyDescent="0.3">
      <c r="F115699" s="193"/>
    </row>
    <row r="115700" spans="6:6" x14ac:dyDescent="0.3">
      <c r="F115700" s="193"/>
    </row>
    <row r="115701" spans="6:6" x14ac:dyDescent="0.3">
      <c r="F115701" s="193"/>
    </row>
    <row r="115702" spans="6:6" x14ac:dyDescent="0.3">
      <c r="F115702" s="193"/>
    </row>
    <row r="115703" spans="6:6" x14ac:dyDescent="0.3">
      <c r="F115703" s="193"/>
    </row>
    <row r="115704" spans="6:6" x14ac:dyDescent="0.3">
      <c r="F115704" s="193"/>
    </row>
    <row r="115705" spans="6:6" x14ac:dyDescent="0.3">
      <c r="F115705" s="193"/>
    </row>
    <row r="115706" spans="6:6" x14ac:dyDescent="0.3">
      <c r="F115706" s="193"/>
    </row>
    <row r="115707" spans="6:6" x14ac:dyDescent="0.3">
      <c r="F115707" s="193"/>
    </row>
    <row r="115708" spans="6:6" x14ac:dyDescent="0.3">
      <c r="F115708" s="193"/>
    </row>
    <row r="115709" spans="6:6" x14ac:dyDescent="0.3">
      <c r="F115709" s="193"/>
    </row>
    <row r="115710" spans="6:6" x14ac:dyDescent="0.3">
      <c r="F115710" s="193"/>
    </row>
    <row r="115711" spans="6:6" x14ac:dyDescent="0.3">
      <c r="F115711" s="193"/>
    </row>
    <row r="115712" spans="6:6" x14ac:dyDescent="0.3">
      <c r="F115712" s="193"/>
    </row>
    <row r="115713" spans="6:6" x14ac:dyDescent="0.3">
      <c r="F115713" s="193"/>
    </row>
    <row r="115714" spans="6:6" x14ac:dyDescent="0.3">
      <c r="F115714" s="193"/>
    </row>
    <row r="115715" spans="6:6" x14ac:dyDescent="0.3">
      <c r="F115715" s="193"/>
    </row>
    <row r="115716" spans="6:6" x14ac:dyDescent="0.3">
      <c r="F115716" s="193"/>
    </row>
    <row r="115717" spans="6:6" x14ac:dyDescent="0.3">
      <c r="F115717" s="193"/>
    </row>
    <row r="115718" spans="6:6" x14ac:dyDescent="0.3">
      <c r="F115718" s="193"/>
    </row>
    <row r="115719" spans="6:6" x14ac:dyDescent="0.3">
      <c r="F115719" s="193"/>
    </row>
    <row r="115720" spans="6:6" x14ac:dyDescent="0.3">
      <c r="F115720" s="193"/>
    </row>
    <row r="115721" spans="6:6" x14ac:dyDescent="0.3">
      <c r="F115721" s="193"/>
    </row>
    <row r="115722" spans="6:6" x14ac:dyDescent="0.3">
      <c r="F115722" s="193"/>
    </row>
    <row r="115723" spans="6:6" x14ac:dyDescent="0.3">
      <c r="F115723" s="193"/>
    </row>
    <row r="115724" spans="6:6" x14ac:dyDescent="0.3">
      <c r="F115724" s="193"/>
    </row>
    <row r="115725" spans="6:6" x14ac:dyDescent="0.3">
      <c r="F115725" s="193"/>
    </row>
    <row r="115726" spans="6:6" x14ac:dyDescent="0.3">
      <c r="F115726" s="193"/>
    </row>
    <row r="115727" spans="6:6" x14ac:dyDescent="0.3">
      <c r="F115727" s="193"/>
    </row>
    <row r="115728" spans="6:6" x14ac:dyDescent="0.3">
      <c r="F115728" s="193"/>
    </row>
    <row r="115729" spans="6:6" x14ac:dyDescent="0.3">
      <c r="F115729" s="193"/>
    </row>
    <row r="115730" spans="6:6" x14ac:dyDescent="0.3">
      <c r="F115730" s="193"/>
    </row>
    <row r="115731" spans="6:6" x14ac:dyDescent="0.3">
      <c r="F115731" s="193"/>
    </row>
    <row r="115732" spans="6:6" x14ac:dyDescent="0.3">
      <c r="F115732" s="193"/>
    </row>
    <row r="115733" spans="6:6" x14ac:dyDescent="0.3">
      <c r="F115733" s="193"/>
    </row>
    <row r="115734" spans="6:6" x14ac:dyDescent="0.3">
      <c r="F115734" s="193"/>
    </row>
    <row r="115735" spans="6:6" x14ac:dyDescent="0.3">
      <c r="F115735" s="193"/>
    </row>
    <row r="115736" spans="6:6" x14ac:dyDescent="0.3">
      <c r="F115736" s="193"/>
    </row>
    <row r="115737" spans="6:6" x14ac:dyDescent="0.3">
      <c r="F115737" s="193"/>
    </row>
    <row r="115738" spans="6:6" x14ac:dyDescent="0.3">
      <c r="F115738" s="193"/>
    </row>
    <row r="115739" spans="6:6" x14ac:dyDescent="0.3">
      <c r="F115739" s="193"/>
    </row>
    <row r="115740" spans="6:6" x14ac:dyDescent="0.3">
      <c r="F115740" s="193"/>
    </row>
    <row r="115741" spans="6:6" x14ac:dyDescent="0.3">
      <c r="F115741" s="193"/>
    </row>
    <row r="115742" spans="6:6" x14ac:dyDescent="0.3">
      <c r="F115742" s="193"/>
    </row>
    <row r="115743" spans="6:6" x14ac:dyDescent="0.3">
      <c r="F115743" s="193"/>
    </row>
    <row r="115744" spans="6:6" x14ac:dyDescent="0.3">
      <c r="F115744" s="193"/>
    </row>
    <row r="115745" spans="6:6" x14ac:dyDescent="0.3">
      <c r="F115745" s="193"/>
    </row>
    <row r="115746" spans="6:6" x14ac:dyDescent="0.3">
      <c r="F115746" s="193"/>
    </row>
    <row r="115747" spans="6:6" x14ac:dyDescent="0.3">
      <c r="F115747" s="193"/>
    </row>
    <row r="115748" spans="6:6" x14ac:dyDescent="0.3">
      <c r="F115748" s="193"/>
    </row>
    <row r="115749" spans="6:6" x14ac:dyDescent="0.3">
      <c r="F115749" s="193"/>
    </row>
    <row r="115750" spans="6:6" x14ac:dyDescent="0.3">
      <c r="F115750" s="193"/>
    </row>
    <row r="115751" spans="6:6" x14ac:dyDescent="0.3">
      <c r="F115751" s="193"/>
    </row>
    <row r="115752" spans="6:6" x14ac:dyDescent="0.3">
      <c r="F115752" s="193"/>
    </row>
    <row r="115753" spans="6:6" x14ac:dyDescent="0.3">
      <c r="F115753" s="193"/>
    </row>
    <row r="115754" spans="6:6" x14ac:dyDescent="0.3">
      <c r="F115754" s="193"/>
    </row>
    <row r="115755" spans="6:6" x14ac:dyDescent="0.3">
      <c r="F115755" s="193"/>
    </row>
    <row r="115756" spans="6:6" x14ac:dyDescent="0.3">
      <c r="F115756" s="193"/>
    </row>
    <row r="115757" spans="6:6" x14ac:dyDescent="0.3">
      <c r="F115757" s="193"/>
    </row>
    <row r="115758" spans="6:6" x14ac:dyDescent="0.3">
      <c r="F115758" s="193"/>
    </row>
    <row r="115759" spans="6:6" x14ac:dyDescent="0.3">
      <c r="F115759" s="193"/>
    </row>
    <row r="115760" spans="6:6" x14ac:dyDescent="0.3">
      <c r="F115760" s="193"/>
    </row>
    <row r="115761" spans="6:6" x14ac:dyDescent="0.3">
      <c r="F115761" s="193"/>
    </row>
    <row r="115762" spans="6:6" x14ac:dyDescent="0.3">
      <c r="F115762" s="193"/>
    </row>
    <row r="115763" spans="6:6" x14ac:dyDescent="0.3">
      <c r="F115763" s="193"/>
    </row>
    <row r="115764" spans="6:6" x14ac:dyDescent="0.3">
      <c r="F115764" s="193"/>
    </row>
    <row r="115765" spans="6:6" x14ac:dyDescent="0.3">
      <c r="F115765" s="193"/>
    </row>
    <row r="115766" spans="6:6" x14ac:dyDescent="0.3">
      <c r="F115766" s="193"/>
    </row>
    <row r="115767" spans="6:6" x14ac:dyDescent="0.3">
      <c r="F115767" s="193"/>
    </row>
    <row r="115768" spans="6:6" x14ac:dyDescent="0.3">
      <c r="F115768" s="193"/>
    </row>
    <row r="115769" spans="6:6" x14ac:dyDescent="0.3">
      <c r="F115769" s="193"/>
    </row>
    <row r="115770" spans="6:6" x14ac:dyDescent="0.3">
      <c r="F115770" s="193"/>
    </row>
    <row r="115771" spans="6:6" x14ac:dyDescent="0.3">
      <c r="F115771" s="193"/>
    </row>
    <row r="115772" spans="6:6" x14ac:dyDescent="0.3">
      <c r="F115772" s="193"/>
    </row>
    <row r="115773" spans="6:6" x14ac:dyDescent="0.3">
      <c r="F115773" s="193"/>
    </row>
    <row r="115774" spans="6:6" x14ac:dyDescent="0.3">
      <c r="F115774" s="193"/>
    </row>
    <row r="115775" spans="6:6" x14ac:dyDescent="0.3">
      <c r="F115775" s="193"/>
    </row>
    <row r="115776" spans="6:6" x14ac:dyDescent="0.3">
      <c r="F115776" s="193"/>
    </row>
    <row r="115777" spans="6:6" x14ac:dyDescent="0.3">
      <c r="F115777" s="193"/>
    </row>
    <row r="115778" spans="6:6" x14ac:dyDescent="0.3">
      <c r="F115778" s="193"/>
    </row>
    <row r="115779" spans="6:6" x14ac:dyDescent="0.3">
      <c r="F115779" s="193"/>
    </row>
    <row r="115780" spans="6:6" x14ac:dyDescent="0.3">
      <c r="F115780" s="193"/>
    </row>
    <row r="115781" spans="6:6" x14ac:dyDescent="0.3">
      <c r="F115781" s="193"/>
    </row>
    <row r="115782" spans="6:6" x14ac:dyDescent="0.3">
      <c r="F115782" s="193"/>
    </row>
    <row r="115783" spans="6:6" x14ac:dyDescent="0.3">
      <c r="F115783" s="193"/>
    </row>
    <row r="115784" spans="6:6" x14ac:dyDescent="0.3">
      <c r="F115784" s="193"/>
    </row>
    <row r="115785" spans="6:6" x14ac:dyDescent="0.3">
      <c r="F115785" s="193"/>
    </row>
    <row r="115786" spans="6:6" x14ac:dyDescent="0.3">
      <c r="F115786" s="193"/>
    </row>
    <row r="115787" spans="6:6" x14ac:dyDescent="0.3">
      <c r="F115787" s="193"/>
    </row>
    <row r="115788" spans="6:6" x14ac:dyDescent="0.3">
      <c r="F115788" s="193"/>
    </row>
    <row r="115789" spans="6:6" x14ac:dyDescent="0.3">
      <c r="F115789" s="193"/>
    </row>
    <row r="115790" spans="6:6" x14ac:dyDescent="0.3">
      <c r="F115790" s="193"/>
    </row>
    <row r="115791" spans="6:6" x14ac:dyDescent="0.3">
      <c r="F115791" s="193"/>
    </row>
    <row r="115792" spans="6:6" x14ac:dyDescent="0.3">
      <c r="F115792" s="193"/>
    </row>
    <row r="115793" spans="6:6" x14ac:dyDescent="0.3">
      <c r="F115793" s="193"/>
    </row>
    <row r="115794" spans="6:6" x14ac:dyDescent="0.3">
      <c r="F115794" s="193"/>
    </row>
    <row r="115795" spans="6:6" x14ac:dyDescent="0.3">
      <c r="F115795" s="193"/>
    </row>
    <row r="115796" spans="6:6" x14ac:dyDescent="0.3">
      <c r="F115796" s="193"/>
    </row>
    <row r="115797" spans="6:6" x14ac:dyDescent="0.3">
      <c r="F115797" s="193"/>
    </row>
    <row r="115798" spans="6:6" x14ac:dyDescent="0.3">
      <c r="F115798" s="193"/>
    </row>
    <row r="115799" spans="6:6" x14ac:dyDescent="0.3">
      <c r="F115799" s="193"/>
    </row>
    <row r="115800" spans="6:6" x14ac:dyDescent="0.3">
      <c r="F115800" s="193"/>
    </row>
    <row r="115801" spans="6:6" x14ac:dyDescent="0.3">
      <c r="F115801" s="193"/>
    </row>
    <row r="115802" spans="6:6" x14ac:dyDescent="0.3">
      <c r="F115802" s="193"/>
    </row>
    <row r="115803" spans="6:6" x14ac:dyDescent="0.3">
      <c r="F115803" s="193"/>
    </row>
    <row r="115804" spans="6:6" x14ac:dyDescent="0.3">
      <c r="F115804" s="193"/>
    </row>
    <row r="115805" spans="6:6" x14ac:dyDescent="0.3">
      <c r="F115805" s="193"/>
    </row>
    <row r="115806" spans="6:6" x14ac:dyDescent="0.3">
      <c r="F115806" s="193"/>
    </row>
    <row r="115807" spans="6:6" x14ac:dyDescent="0.3">
      <c r="F115807" s="193"/>
    </row>
    <row r="115808" spans="6:6" x14ac:dyDescent="0.3">
      <c r="F115808" s="193"/>
    </row>
    <row r="115809" spans="6:6" x14ac:dyDescent="0.3">
      <c r="F115809" s="193"/>
    </row>
    <row r="115810" spans="6:6" x14ac:dyDescent="0.3">
      <c r="F115810" s="193"/>
    </row>
    <row r="115811" spans="6:6" x14ac:dyDescent="0.3">
      <c r="F115811" s="193"/>
    </row>
    <row r="115812" spans="6:6" x14ac:dyDescent="0.3">
      <c r="F115812" s="193"/>
    </row>
    <row r="115813" spans="6:6" x14ac:dyDescent="0.3">
      <c r="F115813" s="193"/>
    </row>
    <row r="115814" spans="6:6" x14ac:dyDescent="0.3">
      <c r="F115814" s="193"/>
    </row>
    <row r="115815" spans="6:6" x14ac:dyDescent="0.3">
      <c r="F115815" s="193"/>
    </row>
    <row r="115816" spans="6:6" x14ac:dyDescent="0.3">
      <c r="F115816" s="193"/>
    </row>
    <row r="115817" spans="6:6" x14ac:dyDescent="0.3">
      <c r="F115817" s="193"/>
    </row>
    <row r="115818" spans="6:6" x14ac:dyDescent="0.3">
      <c r="F115818" s="193"/>
    </row>
    <row r="115819" spans="6:6" x14ac:dyDescent="0.3">
      <c r="F115819" s="193"/>
    </row>
    <row r="115820" spans="6:6" x14ac:dyDescent="0.3">
      <c r="F115820" s="193"/>
    </row>
    <row r="115821" spans="6:6" x14ac:dyDescent="0.3">
      <c r="F115821" s="193"/>
    </row>
    <row r="115822" spans="6:6" x14ac:dyDescent="0.3">
      <c r="F115822" s="193"/>
    </row>
    <row r="115823" spans="6:6" x14ac:dyDescent="0.3">
      <c r="F115823" s="193"/>
    </row>
    <row r="115824" spans="6:6" x14ac:dyDescent="0.3">
      <c r="F115824" s="193"/>
    </row>
    <row r="115825" spans="6:6" x14ac:dyDescent="0.3">
      <c r="F115825" s="193"/>
    </row>
    <row r="115826" spans="6:6" x14ac:dyDescent="0.3">
      <c r="F115826" s="193"/>
    </row>
    <row r="115827" spans="6:6" x14ac:dyDescent="0.3">
      <c r="F115827" s="193"/>
    </row>
    <row r="115828" spans="6:6" x14ac:dyDescent="0.3">
      <c r="F115828" s="193"/>
    </row>
    <row r="115829" spans="6:6" x14ac:dyDescent="0.3">
      <c r="F115829" s="193"/>
    </row>
    <row r="115830" spans="6:6" x14ac:dyDescent="0.3">
      <c r="F115830" s="193"/>
    </row>
    <row r="115831" spans="6:6" x14ac:dyDescent="0.3">
      <c r="F115831" s="193"/>
    </row>
    <row r="115832" spans="6:6" x14ac:dyDescent="0.3">
      <c r="F115832" s="193"/>
    </row>
    <row r="115833" spans="6:6" x14ac:dyDescent="0.3">
      <c r="F115833" s="193"/>
    </row>
    <row r="115834" spans="6:6" x14ac:dyDescent="0.3">
      <c r="F115834" s="193"/>
    </row>
    <row r="115835" spans="6:6" x14ac:dyDescent="0.3">
      <c r="F115835" s="193"/>
    </row>
    <row r="115836" spans="6:6" x14ac:dyDescent="0.3">
      <c r="F115836" s="193"/>
    </row>
    <row r="115837" spans="6:6" x14ac:dyDescent="0.3">
      <c r="F115837" s="193"/>
    </row>
    <row r="115838" spans="6:6" x14ac:dyDescent="0.3">
      <c r="F115838" s="193"/>
    </row>
    <row r="115839" spans="6:6" x14ac:dyDescent="0.3">
      <c r="F115839" s="193"/>
    </row>
    <row r="115840" spans="6:6" x14ac:dyDescent="0.3">
      <c r="F115840" s="193"/>
    </row>
    <row r="115841" spans="6:6" x14ac:dyDescent="0.3">
      <c r="F115841" s="193"/>
    </row>
    <row r="115842" spans="6:6" x14ac:dyDescent="0.3">
      <c r="F115842" s="193"/>
    </row>
    <row r="115843" spans="6:6" x14ac:dyDescent="0.3">
      <c r="F115843" s="193"/>
    </row>
    <row r="115844" spans="6:6" x14ac:dyDescent="0.3">
      <c r="F115844" s="193"/>
    </row>
    <row r="115845" spans="6:6" x14ac:dyDescent="0.3">
      <c r="F115845" s="193"/>
    </row>
    <row r="115846" spans="6:6" x14ac:dyDescent="0.3">
      <c r="F115846" s="193"/>
    </row>
    <row r="115847" spans="6:6" x14ac:dyDescent="0.3">
      <c r="F115847" s="193"/>
    </row>
    <row r="115848" spans="6:6" x14ac:dyDescent="0.3">
      <c r="F115848" s="193"/>
    </row>
    <row r="115849" spans="6:6" x14ac:dyDescent="0.3">
      <c r="F115849" s="193"/>
    </row>
    <row r="115850" spans="6:6" x14ac:dyDescent="0.3">
      <c r="F115850" s="193"/>
    </row>
    <row r="115851" spans="6:6" x14ac:dyDescent="0.3">
      <c r="F115851" s="193"/>
    </row>
    <row r="115852" spans="6:6" x14ac:dyDescent="0.3">
      <c r="F115852" s="193"/>
    </row>
    <row r="115853" spans="6:6" x14ac:dyDescent="0.3">
      <c r="F115853" s="193"/>
    </row>
    <row r="115854" spans="6:6" x14ac:dyDescent="0.3">
      <c r="F115854" s="193"/>
    </row>
    <row r="115855" spans="6:6" x14ac:dyDescent="0.3">
      <c r="F115855" s="193"/>
    </row>
    <row r="115856" spans="6:6" x14ac:dyDescent="0.3">
      <c r="F115856" s="193"/>
    </row>
    <row r="115857" spans="6:6" x14ac:dyDescent="0.3">
      <c r="F115857" s="193"/>
    </row>
    <row r="115858" spans="6:6" x14ac:dyDescent="0.3">
      <c r="F115858" s="193"/>
    </row>
    <row r="115859" spans="6:6" x14ac:dyDescent="0.3">
      <c r="F115859" s="193"/>
    </row>
    <row r="115860" spans="6:6" x14ac:dyDescent="0.3">
      <c r="F115860" s="193"/>
    </row>
    <row r="115861" spans="6:6" x14ac:dyDescent="0.3">
      <c r="F115861" s="193"/>
    </row>
    <row r="115862" spans="6:6" x14ac:dyDescent="0.3">
      <c r="F115862" s="193"/>
    </row>
    <row r="115863" spans="6:6" x14ac:dyDescent="0.3">
      <c r="F115863" s="193"/>
    </row>
    <row r="115864" spans="6:6" x14ac:dyDescent="0.3">
      <c r="F115864" s="193"/>
    </row>
    <row r="115865" spans="6:6" x14ac:dyDescent="0.3">
      <c r="F115865" s="193"/>
    </row>
    <row r="115866" spans="6:6" x14ac:dyDescent="0.3">
      <c r="F115866" s="193"/>
    </row>
    <row r="115867" spans="6:6" x14ac:dyDescent="0.3">
      <c r="F115867" s="193"/>
    </row>
    <row r="115868" spans="6:6" x14ac:dyDescent="0.3">
      <c r="F115868" s="193"/>
    </row>
    <row r="115869" spans="6:6" x14ac:dyDescent="0.3">
      <c r="F115869" s="193"/>
    </row>
    <row r="115870" spans="6:6" x14ac:dyDescent="0.3">
      <c r="F115870" s="193"/>
    </row>
    <row r="115871" spans="6:6" x14ac:dyDescent="0.3">
      <c r="F115871" s="193"/>
    </row>
    <row r="115872" spans="6:6" x14ac:dyDescent="0.3">
      <c r="F115872" s="193"/>
    </row>
    <row r="115873" spans="6:6" x14ac:dyDescent="0.3">
      <c r="F115873" s="193"/>
    </row>
    <row r="115874" spans="6:6" x14ac:dyDescent="0.3">
      <c r="F115874" s="193"/>
    </row>
    <row r="115875" spans="6:6" x14ac:dyDescent="0.3">
      <c r="F115875" s="193"/>
    </row>
    <row r="115876" spans="6:6" x14ac:dyDescent="0.3">
      <c r="F115876" s="193"/>
    </row>
    <row r="115877" spans="6:6" x14ac:dyDescent="0.3">
      <c r="F115877" s="193"/>
    </row>
    <row r="115878" spans="6:6" x14ac:dyDescent="0.3">
      <c r="F115878" s="193"/>
    </row>
    <row r="115879" spans="6:6" x14ac:dyDescent="0.3">
      <c r="F115879" s="193"/>
    </row>
    <row r="115880" spans="6:6" x14ac:dyDescent="0.3">
      <c r="F115880" s="193"/>
    </row>
    <row r="115881" spans="6:6" x14ac:dyDescent="0.3">
      <c r="F115881" s="193"/>
    </row>
    <row r="115882" spans="6:6" x14ac:dyDescent="0.3">
      <c r="F115882" s="193"/>
    </row>
    <row r="115883" spans="6:6" x14ac:dyDescent="0.3">
      <c r="F115883" s="193"/>
    </row>
    <row r="115884" spans="6:6" x14ac:dyDescent="0.3">
      <c r="F115884" s="193"/>
    </row>
    <row r="115885" spans="6:6" x14ac:dyDescent="0.3">
      <c r="F115885" s="193"/>
    </row>
    <row r="115886" spans="6:6" x14ac:dyDescent="0.3">
      <c r="F115886" s="193"/>
    </row>
    <row r="115887" spans="6:6" x14ac:dyDescent="0.3">
      <c r="F115887" s="193"/>
    </row>
    <row r="115888" spans="6:6" x14ac:dyDescent="0.3">
      <c r="F115888" s="193"/>
    </row>
    <row r="115889" spans="6:6" x14ac:dyDescent="0.3">
      <c r="F115889" s="193"/>
    </row>
    <row r="115890" spans="6:6" x14ac:dyDescent="0.3">
      <c r="F115890" s="193"/>
    </row>
    <row r="115891" spans="6:6" x14ac:dyDescent="0.3">
      <c r="F115891" s="193"/>
    </row>
    <row r="115892" spans="6:6" x14ac:dyDescent="0.3">
      <c r="F115892" s="193"/>
    </row>
    <row r="115893" spans="6:6" x14ac:dyDescent="0.3">
      <c r="F115893" s="193"/>
    </row>
    <row r="115894" spans="6:6" x14ac:dyDescent="0.3">
      <c r="F115894" s="193"/>
    </row>
    <row r="115895" spans="6:6" x14ac:dyDescent="0.3">
      <c r="F115895" s="193"/>
    </row>
    <row r="115896" spans="6:6" x14ac:dyDescent="0.3">
      <c r="F115896" s="193"/>
    </row>
    <row r="115897" spans="6:6" x14ac:dyDescent="0.3">
      <c r="F115897" s="193"/>
    </row>
    <row r="115898" spans="6:6" x14ac:dyDescent="0.3">
      <c r="F115898" s="193"/>
    </row>
    <row r="115899" spans="6:6" x14ac:dyDescent="0.3">
      <c r="F115899" s="193"/>
    </row>
    <row r="115900" spans="6:6" x14ac:dyDescent="0.3">
      <c r="F115900" s="193"/>
    </row>
    <row r="115901" spans="6:6" x14ac:dyDescent="0.3">
      <c r="F115901" s="193"/>
    </row>
    <row r="115902" spans="6:6" x14ac:dyDescent="0.3">
      <c r="F115902" s="193"/>
    </row>
    <row r="115903" spans="6:6" x14ac:dyDescent="0.3">
      <c r="F115903" s="193"/>
    </row>
    <row r="115904" spans="6:6" x14ac:dyDescent="0.3">
      <c r="F115904" s="193"/>
    </row>
    <row r="115905" spans="6:6" x14ac:dyDescent="0.3">
      <c r="F115905" s="193"/>
    </row>
    <row r="115906" spans="6:6" x14ac:dyDescent="0.3">
      <c r="F115906" s="193"/>
    </row>
    <row r="115907" spans="6:6" x14ac:dyDescent="0.3">
      <c r="F115907" s="193"/>
    </row>
    <row r="115908" spans="6:6" x14ac:dyDescent="0.3">
      <c r="F115908" s="193"/>
    </row>
    <row r="115909" spans="6:6" x14ac:dyDescent="0.3">
      <c r="F115909" s="193"/>
    </row>
    <row r="115910" spans="6:6" x14ac:dyDescent="0.3">
      <c r="F115910" s="193"/>
    </row>
    <row r="115911" spans="6:6" x14ac:dyDescent="0.3">
      <c r="F115911" s="193"/>
    </row>
    <row r="115912" spans="6:6" x14ac:dyDescent="0.3">
      <c r="F115912" s="193"/>
    </row>
    <row r="115913" spans="6:6" x14ac:dyDescent="0.3">
      <c r="F115913" s="193"/>
    </row>
    <row r="115914" spans="6:6" x14ac:dyDescent="0.3">
      <c r="F115914" s="193"/>
    </row>
    <row r="115915" spans="6:6" x14ac:dyDescent="0.3">
      <c r="F115915" s="193"/>
    </row>
    <row r="115916" spans="6:6" x14ac:dyDescent="0.3">
      <c r="F115916" s="193"/>
    </row>
    <row r="115917" spans="6:6" x14ac:dyDescent="0.3">
      <c r="F115917" s="193"/>
    </row>
    <row r="115918" spans="6:6" x14ac:dyDescent="0.3">
      <c r="F115918" s="193"/>
    </row>
    <row r="115919" spans="6:6" x14ac:dyDescent="0.3">
      <c r="F115919" s="193"/>
    </row>
    <row r="115920" spans="6:6" x14ac:dyDescent="0.3">
      <c r="F115920" s="193"/>
    </row>
    <row r="115921" spans="6:6" x14ac:dyDescent="0.3">
      <c r="F115921" s="193"/>
    </row>
    <row r="115922" spans="6:6" x14ac:dyDescent="0.3">
      <c r="F115922" s="193"/>
    </row>
    <row r="115923" spans="6:6" x14ac:dyDescent="0.3">
      <c r="F115923" s="193"/>
    </row>
    <row r="115924" spans="6:6" x14ac:dyDescent="0.3">
      <c r="F115924" s="193"/>
    </row>
    <row r="115925" spans="6:6" x14ac:dyDescent="0.3">
      <c r="F115925" s="193"/>
    </row>
    <row r="115926" spans="6:6" x14ac:dyDescent="0.3">
      <c r="F115926" s="193"/>
    </row>
    <row r="115927" spans="6:6" x14ac:dyDescent="0.3">
      <c r="F115927" s="193"/>
    </row>
    <row r="115928" spans="6:6" x14ac:dyDescent="0.3">
      <c r="F115928" s="193"/>
    </row>
    <row r="115929" spans="6:6" x14ac:dyDescent="0.3">
      <c r="F115929" s="193"/>
    </row>
    <row r="115930" spans="6:6" x14ac:dyDescent="0.3">
      <c r="F115930" s="193"/>
    </row>
    <row r="115931" spans="6:6" x14ac:dyDescent="0.3">
      <c r="F115931" s="193"/>
    </row>
    <row r="115932" spans="6:6" x14ac:dyDescent="0.3">
      <c r="F115932" s="193"/>
    </row>
    <row r="115933" spans="6:6" x14ac:dyDescent="0.3">
      <c r="F115933" s="193"/>
    </row>
    <row r="115934" spans="6:6" x14ac:dyDescent="0.3">
      <c r="F115934" s="193"/>
    </row>
    <row r="115935" spans="6:6" x14ac:dyDescent="0.3">
      <c r="F115935" s="193"/>
    </row>
    <row r="115936" spans="6:6" x14ac:dyDescent="0.3">
      <c r="F115936" s="193"/>
    </row>
    <row r="115937" spans="6:6" x14ac:dyDescent="0.3">
      <c r="F115937" s="193"/>
    </row>
    <row r="115938" spans="6:6" x14ac:dyDescent="0.3">
      <c r="F115938" s="193"/>
    </row>
    <row r="115939" spans="6:6" x14ac:dyDescent="0.3">
      <c r="F115939" s="193"/>
    </row>
    <row r="115940" spans="6:6" x14ac:dyDescent="0.3">
      <c r="F115940" s="193"/>
    </row>
    <row r="115941" spans="6:6" x14ac:dyDescent="0.3">
      <c r="F115941" s="193"/>
    </row>
    <row r="115942" spans="6:6" x14ac:dyDescent="0.3">
      <c r="F115942" s="193"/>
    </row>
    <row r="115943" spans="6:6" x14ac:dyDescent="0.3">
      <c r="F115943" s="193"/>
    </row>
    <row r="115944" spans="6:6" x14ac:dyDescent="0.3">
      <c r="F115944" s="193"/>
    </row>
    <row r="115945" spans="6:6" x14ac:dyDescent="0.3">
      <c r="F115945" s="193"/>
    </row>
    <row r="115946" spans="6:6" x14ac:dyDescent="0.3">
      <c r="F115946" s="193"/>
    </row>
    <row r="115947" spans="6:6" x14ac:dyDescent="0.3">
      <c r="F115947" s="193"/>
    </row>
    <row r="115948" spans="6:6" x14ac:dyDescent="0.3">
      <c r="F115948" s="193"/>
    </row>
    <row r="115949" spans="6:6" x14ac:dyDescent="0.3">
      <c r="F115949" s="193"/>
    </row>
    <row r="115950" spans="6:6" x14ac:dyDescent="0.3">
      <c r="F115950" s="193"/>
    </row>
    <row r="115951" spans="6:6" x14ac:dyDescent="0.3">
      <c r="F115951" s="193"/>
    </row>
    <row r="115952" spans="6:6" x14ac:dyDescent="0.3">
      <c r="F115952" s="193"/>
    </row>
    <row r="115953" spans="6:6" x14ac:dyDescent="0.3">
      <c r="F115953" s="193"/>
    </row>
    <row r="115954" spans="6:6" x14ac:dyDescent="0.3">
      <c r="F115954" s="193"/>
    </row>
    <row r="115955" spans="6:6" x14ac:dyDescent="0.3">
      <c r="F115955" s="193"/>
    </row>
    <row r="115956" spans="6:6" x14ac:dyDescent="0.3">
      <c r="F115956" s="193"/>
    </row>
    <row r="115957" spans="6:6" x14ac:dyDescent="0.3">
      <c r="F115957" s="193"/>
    </row>
    <row r="115958" spans="6:6" x14ac:dyDescent="0.3">
      <c r="F115958" s="193"/>
    </row>
    <row r="115959" spans="6:6" x14ac:dyDescent="0.3">
      <c r="F115959" s="193"/>
    </row>
    <row r="115960" spans="6:6" x14ac:dyDescent="0.3">
      <c r="F115960" s="193"/>
    </row>
    <row r="115961" spans="6:6" x14ac:dyDescent="0.3">
      <c r="F115961" s="193"/>
    </row>
    <row r="115962" spans="6:6" x14ac:dyDescent="0.3">
      <c r="F115962" s="193"/>
    </row>
    <row r="115963" spans="6:6" x14ac:dyDescent="0.3">
      <c r="F115963" s="193"/>
    </row>
    <row r="115964" spans="6:6" x14ac:dyDescent="0.3">
      <c r="F115964" s="193"/>
    </row>
    <row r="115965" spans="6:6" x14ac:dyDescent="0.3">
      <c r="F115965" s="193"/>
    </row>
    <row r="115966" spans="6:6" x14ac:dyDescent="0.3">
      <c r="F115966" s="193"/>
    </row>
    <row r="115967" spans="6:6" x14ac:dyDescent="0.3">
      <c r="F115967" s="193"/>
    </row>
    <row r="115968" spans="6:6" x14ac:dyDescent="0.3">
      <c r="F115968" s="193"/>
    </row>
    <row r="115969" spans="6:6" x14ac:dyDescent="0.3">
      <c r="F115969" s="193"/>
    </row>
    <row r="115970" spans="6:6" x14ac:dyDescent="0.3">
      <c r="F115970" s="193"/>
    </row>
    <row r="115971" spans="6:6" x14ac:dyDescent="0.3">
      <c r="F115971" s="193"/>
    </row>
    <row r="115972" spans="6:6" x14ac:dyDescent="0.3">
      <c r="F115972" s="193"/>
    </row>
    <row r="115973" spans="6:6" x14ac:dyDescent="0.3">
      <c r="F115973" s="193"/>
    </row>
    <row r="115974" spans="6:6" x14ac:dyDescent="0.3">
      <c r="F115974" s="193"/>
    </row>
    <row r="115975" spans="6:6" x14ac:dyDescent="0.3">
      <c r="F115975" s="193"/>
    </row>
    <row r="115976" spans="6:6" x14ac:dyDescent="0.3">
      <c r="F115976" s="193"/>
    </row>
    <row r="115977" spans="6:6" x14ac:dyDescent="0.3">
      <c r="F115977" s="193"/>
    </row>
    <row r="115978" spans="6:6" x14ac:dyDescent="0.3">
      <c r="F115978" s="193"/>
    </row>
    <row r="115979" spans="6:6" x14ac:dyDescent="0.3">
      <c r="F115979" s="193"/>
    </row>
    <row r="115980" spans="6:6" x14ac:dyDescent="0.3">
      <c r="F115980" s="193"/>
    </row>
    <row r="115981" spans="6:6" x14ac:dyDescent="0.3">
      <c r="F115981" s="193"/>
    </row>
    <row r="115982" spans="6:6" x14ac:dyDescent="0.3">
      <c r="F115982" s="193"/>
    </row>
    <row r="115983" spans="6:6" x14ac:dyDescent="0.3">
      <c r="F115983" s="193"/>
    </row>
    <row r="115984" spans="6:6" x14ac:dyDescent="0.3">
      <c r="F115984" s="193"/>
    </row>
    <row r="115985" spans="6:6" x14ac:dyDescent="0.3">
      <c r="F115985" s="193"/>
    </row>
    <row r="115986" spans="6:6" x14ac:dyDescent="0.3">
      <c r="F115986" s="193"/>
    </row>
    <row r="115987" spans="6:6" x14ac:dyDescent="0.3">
      <c r="F115987" s="193"/>
    </row>
    <row r="115988" spans="6:6" x14ac:dyDescent="0.3">
      <c r="F115988" s="193"/>
    </row>
    <row r="115989" spans="6:6" x14ac:dyDescent="0.3">
      <c r="F115989" s="193"/>
    </row>
    <row r="115990" spans="6:6" x14ac:dyDescent="0.3">
      <c r="F115990" s="193"/>
    </row>
    <row r="115991" spans="6:6" x14ac:dyDescent="0.3">
      <c r="F115991" s="193"/>
    </row>
    <row r="115992" spans="6:6" x14ac:dyDescent="0.3">
      <c r="F115992" s="193"/>
    </row>
    <row r="115993" spans="6:6" x14ac:dyDescent="0.3">
      <c r="F115993" s="193"/>
    </row>
    <row r="115994" spans="6:6" x14ac:dyDescent="0.3">
      <c r="F115994" s="193"/>
    </row>
    <row r="115995" spans="6:6" x14ac:dyDescent="0.3">
      <c r="F115995" s="193"/>
    </row>
    <row r="115996" spans="6:6" x14ac:dyDescent="0.3">
      <c r="F115996" s="193"/>
    </row>
    <row r="115997" spans="6:6" x14ac:dyDescent="0.3">
      <c r="F115997" s="193"/>
    </row>
    <row r="115998" spans="6:6" x14ac:dyDescent="0.3">
      <c r="F115998" s="193"/>
    </row>
    <row r="115999" spans="6:6" x14ac:dyDescent="0.3">
      <c r="F115999" s="193"/>
    </row>
    <row r="116000" spans="6:6" x14ac:dyDescent="0.3">
      <c r="F116000" s="193"/>
    </row>
    <row r="116001" spans="6:6" x14ac:dyDescent="0.3">
      <c r="F116001" s="193"/>
    </row>
    <row r="116002" spans="6:6" x14ac:dyDescent="0.3">
      <c r="F116002" s="193"/>
    </row>
    <row r="116003" spans="6:6" x14ac:dyDescent="0.3">
      <c r="F116003" s="193"/>
    </row>
    <row r="116004" spans="6:6" x14ac:dyDescent="0.3">
      <c r="F116004" s="193"/>
    </row>
    <row r="116005" spans="6:6" x14ac:dyDescent="0.3">
      <c r="F116005" s="193"/>
    </row>
    <row r="116006" spans="6:6" x14ac:dyDescent="0.3">
      <c r="F116006" s="193"/>
    </row>
    <row r="116007" spans="6:6" x14ac:dyDescent="0.3">
      <c r="F116007" s="193"/>
    </row>
    <row r="116008" spans="6:6" x14ac:dyDescent="0.3">
      <c r="F116008" s="193"/>
    </row>
    <row r="116009" spans="6:6" x14ac:dyDescent="0.3">
      <c r="F116009" s="193"/>
    </row>
    <row r="116010" spans="6:6" x14ac:dyDescent="0.3">
      <c r="F116010" s="193"/>
    </row>
    <row r="116011" spans="6:6" x14ac:dyDescent="0.3">
      <c r="F116011" s="193"/>
    </row>
    <row r="116012" spans="6:6" x14ac:dyDescent="0.3">
      <c r="F116012" s="193"/>
    </row>
    <row r="116013" spans="6:6" x14ac:dyDescent="0.3">
      <c r="F116013" s="193"/>
    </row>
    <row r="116014" spans="6:6" x14ac:dyDescent="0.3">
      <c r="F116014" s="193"/>
    </row>
    <row r="116015" spans="6:6" x14ac:dyDescent="0.3">
      <c r="F116015" s="193"/>
    </row>
    <row r="116016" spans="6:6" x14ac:dyDescent="0.3">
      <c r="F116016" s="193"/>
    </row>
    <row r="116017" spans="6:6" x14ac:dyDescent="0.3">
      <c r="F116017" s="193"/>
    </row>
    <row r="116018" spans="6:6" x14ac:dyDescent="0.3">
      <c r="F116018" s="193"/>
    </row>
    <row r="116019" spans="6:6" x14ac:dyDescent="0.3">
      <c r="F116019" s="193"/>
    </row>
    <row r="116020" spans="6:6" x14ac:dyDescent="0.3">
      <c r="F116020" s="193"/>
    </row>
    <row r="116021" spans="6:6" x14ac:dyDescent="0.3">
      <c r="F116021" s="193"/>
    </row>
    <row r="116022" spans="6:6" x14ac:dyDescent="0.3">
      <c r="F116022" s="193"/>
    </row>
    <row r="116023" spans="6:6" x14ac:dyDescent="0.3">
      <c r="F116023" s="193"/>
    </row>
    <row r="116024" spans="6:6" x14ac:dyDescent="0.3">
      <c r="F116024" s="193"/>
    </row>
    <row r="116025" spans="6:6" x14ac:dyDescent="0.3">
      <c r="F116025" s="193"/>
    </row>
    <row r="116026" spans="6:6" x14ac:dyDescent="0.3">
      <c r="F116026" s="193"/>
    </row>
    <row r="116027" spans="6:6" x14ac:dyDescent="0.3">
      <c r="F116027" s="193"/>
    </row>
    <row r="116028" spans="6:6" x14ac:dyDescent="0.3">
      <c r="F116028" s="193"/>
    </row>
    <row r="116029" spans="6:6" x14ac:dyDescent="0.3">
      <c r="F116029" s="193"/>
    </row>
    <row r="116030" spans="6:6" x14ac:dyDescent="0.3">
      <c r="F116030" s="193"/>
    </row>
    <row r="116031" spans="6:6" x14ac:dyDescent="0.3">
      <c r="F116031" s="193"/>
    </row>
    <row r="116032" spans="6:6" x14ac:dyDescent="0.3">
      <c r="F116032" s="193"/>
    </row>
    <row r="116033" spans="6:6" x14ac:dyDescent="0.3">
      <c r="F116033" s="193"/>
    </row>
    <row r="116034" spans="6:6" x14ac:dyDescent="0.3">
      <c r="F116034" s="193"/>
    </row>
    <row r="116035" spans="6:6" x14ac:dyDescent="0.3">
      <c r="F116035" s="193"/>
    </row>
    <row r="116036" spans="6:6" x14ac:dyDescent="0.3">
      <c r="F116036" s="193"/>
    </row>
    <row r="116037" spans="6:6" x14ac:dyDescent="0.3">
      <c r="F116037" s="193"/>
    </row>
    <row r="116038" spans="6:6" x14ac:dyDescent="0.3">
      <c r="F116038" s="193"/>
    </row>
    <row r="116039" spans="6:6" x14ac:dyDescent="0.3">
      <c r="F116039" s="193"/>
    </row>
    <row r="116040" spans="6:6" x14ac:dyDescent="0.3">
      <c r="F116040" s="193"/>
    </row>
    <row r="116041" spans="6:6" x14ac:dyDescent="0.3">
      <c r="F116041" s="193"/>
    </row>
    <row r="116042" spans="6:6" x14ac:dyDescent="0.3">
      <c r="F116042" s="193"/>
    </row>
    <row r="116043" spans="6:6" x14ac:dyDescent="0.3">
      <c r="F116043" s="193"/>
    </row>
    <row r="116044" spans="6:6" x14ac:dyDescent="0.3">
      <c r="F116044" s="193"/>
    </row>
    <row r="116045" spans="6:6" x14ac:dyDescent="0.3">
      <c r="F116045" s="193"/>
    </row>
    <row r="116046" spans="6:6" x14ac:dyDescent="0.3">
      <c r="F116046" s="193"/>
    </row>
    <row r="116047" spans="6:6" x14ac:dyDescent="0.3">
      <c r="F116047" s="193"/>
    </row>
    <row r="116048" spans="6:6" x14ac:dyDescent="0.3">
      <c r="F116048" s="193"/>
    </row>
    <row r="116049" spans="6:6" x14ac:dyDescent="0.3">
      <c r="F116049" s="193"/>
    </row>
    <row r="116050" spans="6:6" x14ac:dyDescent="0.3">
      <c r="F116050" s="193"/>
    </row>
    <row r="116051" spans="6:6" x14ac:dyDescent="0.3">
      <c r="F116051" s="193"/>
    </row>
    <row r="116052" spans="6:6" x14ac:dyDescent="0.3">
      <c r="F116052" s="193"/>
    </row>
    <row r="116053" spans="6:6" x14ac:dyDescent="0.3">
      <c r="F116053" s="193"/>
    </row>
    <row r="116054" spans="6:6" x14ac:dyDescent="0.3">
      <c r="F116054" s="193"/>
    </row>
    <row r="116055" spans="6:6" x14ac:dyDescent="0.3">
      <c r="F116055" s="193"/>
    </row>
    <row r="116056" spans="6:6" x14ac:dyDescent="0.3">
      <c r="F116056" s="193"/>
    </row>
    <row r="116057" spans="6:6" x14ac:dyDescent="0.3">
      <c r="F116057" s="193"/>
    </row>
    <row r="116058" spans="6:6" x14ac:dyDescent="0.3">
      <c r="F116058" s="193"/>
    </row>
    <row r="116059" spans="6:6" x14ac:dyDescent="0.3">
      <c r="F116059" s="193"/>
    </row>
    <row r="116060" spans="6:6" x14ac:dyDescent="0.3">
      <c r="F116060" s="193"/>
    </row>
    <row r="116061" spans="6:6" x14ac:dyDescent="0.3">
      <c r="F116061" s="193"/>
    </row>
    <row r="116062" spans="6:6" x14ac:dyDescent="0.3">
      <c r="F116062" s="193"/>
    </row>
    <row r="116063" spans="6:6" x14ac:dyDescent="0.3">
      <c r="F116063" s="193"/>
    </row>
    <row r="116064" spans="6:6" x14ac:dyDescent="0.3">
      <c r="F116064" s="193"/>
    </row>
    <row r="116065" spans="6:6" x14ac:dyDescent="0.3">
      <c r="F116065" s="193"/>
    </row>
    <row r="116066" spans="6:6" x14ac:dyDescent="0.3">
      <c r="F116066" s="193"/>
    </row>
    <row r="116067" spans="6:6" x14ac:dyDescent="0.3">
      <c r="F116067" s="193"/>
    </row>
    <row r="116068" spans="6:6" x14ac:dyDescent="0.3">
      <c r="F116068" s="193"/>
    </row>
    <row r="116069" spans="6:6" x14ac:dyDescent="0.3">
      <c r="F116069" s="193"/>
    </row>
    <row r="116070" spans="6:6" x14ac:dyDescent="0.3">
      <c r="F116070" s="193"/>
    </row>
    <row r="116071" spans="6:6" x14ac:dyDescent="0.3">
      <c r="F116071" s="193"/>
    </row>
    <row r="116072" spans="6:6" x14ac:dyDescent="0.3">
      <c r="F116072" s="193"/>
    </row>
    <row r="116073" spans="6:6" x14ac:dyDescent="0.3">
      <c r="F116073" s="193"/>
    </row>
    <row r="116074" spans="6:6" x14ac:dyDescent="0.3">
      <c r="F116074" s="193"/>
    </row>
    <row r="116075" spans="6:6" x14ac:dyDescent="0.3">
      <c r="F116075" s="193"/>
    </row>
    <row r="116076" spans="6:6" x14ac:dyDescent="0.3">
      <c r="F116076" s="193"/>
    </row>
    <row r="116077" spans="6:6" x14ac:dyDescent="0.3">
      <c r="F116077" s="193"/>
    </row>
    <row r="116078" spans="6:6" x14ac:dyDescent="0.3">
      <c r="F116078" s="193"/>
    </row>
    <row r="116079" spans="6:6" x14ac:dyDescent="0.3">
      <c r="F116079" s="193"/>
    </row>
    <row r="116080" spans="6:6" x14ac:dyDescent="0.3">
      <c r="F116080" s="193"/>
    </row>
    <row r="116081" spans="6:6" x14ac:dyDescent="0.3">
      <c r="F116081" s="193"/>
    </row>
    <row r="116082" spans="6:6" x14ac:dyDescent="0.3">
      <c r="F116082" s="193"/>
    </row>
    <row r="116083" spans="6:6" x14ac:dyDescent="0.3">
      <c r="F116083" s="193"/>
    </row>
    <row r="116084" spans="6:6" x14ac:dyDescent="0.3">
      <c r="F116084" s="193"/>
    </row>
    <row r="116085" spans="6:6" x14ac:dyDescent="0.3">
      <c r="F116085" s="193"/>
    </row>
    <row r="116086" spans="6:6" x14ac:dyDescent="0.3">
      <c r="F116086" s="193"/>
    </row>
    <row r="116087" spans="6:6" x14ac:dyDescent="0.3">
      <c r="F116087" s="193"/>
    </row>
    <row r="116088" spans="6:6" x14ac:dyDescent="0.3">
      <c r="F116088" s="193"/>
    </row>
    <row r="116089" spans="6:6" x14ac:dyDescent="0.3">
      <c r="F116089" s="193"/>
    </row>
    <row r="116090" spans="6:6" x14ac:dyDescent="0.3">
      <c r="F116090" s="193"/>
    </row>
    <row r="116091" spans="6:6" x14ac:dyDescent="0.3">
      <c r="F116091" s="193"/>
    </row>
    <row r="116092" spans="6:6" x14ac:dyDescent="0.3">
      <c r="F116092" s="193"/>
    </row>
    <row r="116093" spans="6:6" x14ac:dyDescent="0.3">
      <c r="F116093" s="193"/>
    </row>
    <row r="116094" spans="6:6" x14ac:dyDescent="0.3">
      <c r="F116094" s="193"/>
    </row>
    <row r="116095" spans="6:6" x14ac:dyDescent="0.3">
      <c r="F116095" s="193"/>
    </row>
    <row r="116096" spans="6:6" x14ac:dyDescent="0.3">
      <c r="F116096" s="193"/>
    </row>
    <row r="116097" spans="6:6" x14ac:dyDescent="0.3">
      <c r="F116097" s="193"/>
    </row>
    <row r="116098" spans="6:6" x14ac:dyDescent="0.3">
      <c r="F116098" s="193"/>
    </row>
    <row r="116099" spans="6:6" x14ac:dyDescent="0.3">
      <c r="F116099" s="193"/>
    </row>
    <row r="116100" spans="6:6" x14ac:dyDescent="0.3">
      <c r="F116100" s="193"/>
    </row>
    <row r="116101" spans="6:6" x14ac:dyDescent="0.3">
      <c r="F116101" s="193"/>
    </row>
    <row r="116102" spans="6:6" x14ac:dyDescent="0.3">
      <c r="F116102" s="193"/>
    </row>
    <row r="116103" spans="6:6" x14ac:dyDescent="0.3">
      <c r="F116103" s="193"/>
    </row>
    <row r="116104" spans="6:6" x14ac:dyDescent="0.3">
      <c r="F116104" s="193"/>
    </row>
    <row r="116105" spans="6:6" x14ac:dyDescent="0.3">
      <c r="F116105" s="193"/>
    </row>
    <row r="116106" spans="6:6" x14ac:dyDescent="0.3">
      <c r="F116106" s="193"/>
    </row>
    <row r="116107" spans="6:6" x14ac:dyDescent="0.3">
      <c r="F116107" s="193"/>
    </row>
    <row r="116108" spans="6:6" x14ac:dyDescent="0.3">
      <c r="F116108" s="193"/>
    </row>
    <row r="116109" spans="6:6" x14ac:dyDescent="0.3">
      <c r="F116109" s="193"/>
    </row>
    <row r="116110" spans="6:6" x14ac:dyDescent="0.3">
      <c r="F116110" s="193"/>
    </row>
    <row r="116111" spans="6:6" x14ac:dyDescent="0.3">
      <c r="F116111" s="193"/>
    </row>
    <row r="116112" spans="6:6" x14ac:dyDescent="0.3">
      <c r="F116112" s="193"/>
    </row>
    <row r="116113" spans="6:6" x14ac:dyDescent="0.3">
      <c r="F116113" s="193"/>
    </row>
    <row r="116114" spans="6:6" x14ac:dyDescent="0.3">
      <c r="F116114" s="193"/>
    </row>
    <row r="116115" spans="6:6" x14ac:dyDescent="0.3">
      <c r="F116115" s="193"/>
    </row>
    <row r="116116" spans="6:6" x14ac:dyDescent="0.3">
      <c r="F116116" s="193"/>
    </row>
    <row r="116117" spans="6:6" x14ac:dyDescent="0.3">
      <c r="F116117" s="193"/>
    </row>
    <row r="116118" spans="6:6" x14ac:dyDescent="0.3">
      <c r="F116118" s="193"/>
    </row>
    <row r="116119" spans="6:6" x14ac:dyDescent="0.3">
      <c r="F116119" s="193"/>
    </row>
    <row r="116120" spans="6:6" x14ac:dyDescent="0.3">
      <c r="F116120" s="193"/>
    </row>
    <row r="116121" spans="6:6" x14ac:dyDescent="0.3">
      <c r="F116121" s="193"/>
    </row>
    <row r="116122" spans="6:6" x14ac:dyDescent="0.3">
      <c r="F116122" s="193"/>
    </row>
    <row r="116123" spans="6:6" x14ac:dyDescent="0.3">
      <c r="F116123" s="193"/>
    </row>
    <row r="116124" spans="6:6" x14ac:dyDescent="0.3">
      <c r="F116124" s="193"/>
    </row>
    <row r="116125" spans="6:6" x14ac:dyDescent="0.3">
      <c r="F116125" s="193"/>
    </row>
    <row r="116126" spans="6:6" x14ac:dyDescent="0.3">
      <c r="F116126" s="193"/>
    </row>
    <row r="116127" spans="6:6" x14ac:dyDescent="0.3">
      <c r="F116127" s="193"/>
    </row>
    <row r="116128" spans="6:6" x14ac:dyDescent="0.3">
      <c r="F116128" s="193"/>
    </row>
    <row r="116129" spans="6:6" x14ac:dyDescent="0.3">
      <c r="F116129" s="193"/>
    </row>
    <row r="116130" spans="6:6" x14ac:dyDescent="0.3">
      <c r="F116130" s="193"/>
    </row>
    <row r="116131" spans="6:6" x14ac:dyDescent="0.3">
      <c r="F116131" s="193"/>
    </row>
    <row r="116132" spans="6:6" x14ac:dyDescent="0.3">
      <c r="F116132" s="193"/>
    </row>
    <row r="116133" spans="6:6" x14ac:dyDescent="0.3">
      <c r="F116133" s="193"/>
    </row>
    <row r="116134" spans="6:6" x14ac:dyDescent="0.3">
      <c r="F116134" s="193"/>
    </row>
    <row r="116135" spans="6:6" x14ac:dyDescent="0.3">
      <c r="F116135" s="193"/>
    </row>
    <row r="116136" spans="6:6" x14ac:dyDescent="0.3">
      <c r="F116136" s="193"/>
    </row>
    <row r="116137" spans="6:6" x14ac:dyDescent="0.3">
      <c r="F116137" s="193"/>
    </row>
    <row r="116138" spans="6:6" x14ac:dyDescent="0.3">
      <c r="F116138" s="193"/>
    </row>
    <row r="116139" spans="6:6" x14ac:dyDescent="0.3">
      <c r="F116139" s="193"/>
    </row>
    <row r="116140" spans="6:6" x14ac:dyDescent="0.3">
      <c r="F116140" s="193"/>
    </row>
    <row r="116141" spans="6:6" x14ac:dyDescent="0.3">
      <c r="F116141" s="193"/>
    </row>
    <row r="116142" spans="6:6" x14ac:dyDescent="0.3">
      <c r="F116142" s="193"/>
    </row>
    <row r="116143" spans="6:6" x14ac:dyDescent="0.3">
      <c r="F116143" s="193"/>
    </row>
    <row r="116144" spans="6:6" x14ac:dyDescent="0.3">
      <c r="F116144" s="193"/>
    </row>
    <row r="116145" spans="6:6" x14ac:dyDescent="0.3">
      <c r="F116145" s="193"/>
    </row>
    <row r="116146" spans="6:6" x14ac:dyDescent="0.3">
      <c r="F116146" s="193"/>
    </row>
    <row r="116147" spans="6:6" x14ac:dyDescent="0.3">
      <c r="F116147" s="193"/>
    </row>
    <row r="116148" spans="6:6" x14ac:dyDescent="0.3">
      <c r="F116148" s="193"/>
    </row>
    <row r="116149" spans="6:6" x14ac:dyDescent="0.3">
      <c r="F116149" s="193"/>
    </row>
    <row r="116150" spans="6:6" x14ac:dyDescent="0.3">
      <c r="F116150" s="193"/>
    </row>
    <row r="116151" spans="6:6" x14ac:dyDescent="0.3">
      <c r="F116151" s="193"/>
    </row>
    <row r="116152" spans="6:6" x14ac:dyDescent="0.3">
      <c r="F116152" s="193"/>
    </row>
    <row r="116153" spans="6:6" x14ac:dyDescent="0.3">
      <c r="F116153" s="193"/>
    </row>
    <row r="116154" spans="6:6" x14ac:dyDescent="0.3">
      <c r="F116154" s="193"/>
    </row>
    <row r="116155" spans="6:6" x14ac:dyDescent="0.3">
      <c r="F116155" s="193"/>
    </row>
    <row r="116156" spans="6:6" x14ac:dyDescent="0.3">
      <c r="F116156" s="193"/>
    </row>
    <row r="116157" spans="6:6" x14ac:dyDescent="0.3">
      <c r="F116157" s="193"/>
    </row>
    <row r="116158" spans="6:6" x14ac:dyDescent="0.3">
      <c r="F116158" s="193"/>
    </row>
    <row r="116159" spans="6:6" x14ac:dyDescent="0.3">
      <c r="F116159" s="193"/>
    </row>
    <row r="116160" spans="6:6" x14ac:dyDescent="0.3">
      <c r="F116160" s="193"/>
    </row>
    <row r="116161" spans="6:6" x14ac:dyDescent="0.3">
      <c r="F116161" s="193"/>
    </row>
    <row r="116162" spans="6:6" x14ac:dyDescent="0.3">
      <c r="F116162" s="193"/>
    </row>
    <row r="116163" spans="6:6" x14ac:dyDescent="0.3">
      <c r="F116163" s="193"/>
    </row>
    <row r="116164" spans="6:6" x14ac:dyDescent="0.3">
      <c r="F116164" s="193"/>
    </row>
    <row r="116165" spans="6:6" x14ac:dyDescent="0.3">
      <c r="F116165" s="193"/>
    </row>
    <row r="116166" spans="6:6" x14ac:dyDescent="0.3">
      <c r="F116166" s="193"/>
    </row>
    <row r="116167" spans="6:6" x14ac:dyDescent="0.3">
      <c r="F116167" s="193"/>
    </row>
    <row r="116168" spans="6:6" x14ac:dyDescent="0.3">
      <c r="F116168" s="193"/>
    </row>
    <row r="116169" spans="6:6" x14ac:dyDescent="0.3">
      <c r="F116169" s="193"/>
    </row>
    <row r="116170" spans="6:6" x14ac:dyDescent="0.3">
      <c r="F116170" s="193"/>
    </row>
    <row r="116171" spans="6:6" x14ac:dyDescent="0.3">
      <c r="F116171" s="193"/>
    </row>
    <row r="116172" spans="6:6" x14ac:dyDescent="0.3">
      <c r="F116172" s="193"/>
    </row>
    <row r="116173" spans="6:6" x14ac:dyDescent="0.3">
      <c r="F116173" s="193"/>
    </row>
    <row r="116174" spans="6:6" x14ac:dyDescent="0.3">
      <c r="F116174" s="193"/>
    </row>
    <row r="116175" spans="6:6" x14ac:dyDescent="0.3">
      <c r="F116175" s="193"/>
    </row>
    <row r="116176" spans="6:6" x14ac:dyDescent="0.3">
      <c r="F116176" s="193"/>
    </row>
    <row r="116177" spans="6:6" x14ac:dyDescent="0.3">
      <c r="F116177" s="193"/>
    </row>
    <row r="116178" spans="6:6" x14ac:dyDescent="0.3">
      <c r="F116178" s="193"/>
    </row>
    <row r="116179" spans="6:6" x14ac:dyDescent="0.3">
      <c r="F116179" s="193"/>
    </row>
    <row r="116180" spans="6:6" x14ac:dyDescent="0.3">
      <c r="F116180" s="193"/>
    </row>
    <row r="116181" spans="6:6" x14ac:dyDescent="0.3">
      <c r="F116181" s="193"/>
    </row>
    <row r="116182" spans="6:6" x14ac:dyDescent="0.3">
      <c r="F116182" s="193"/>
    </row>
    <row r="116183" spans="6:6" x14ac:dyDescent="0.3">
      <c r="F116183" s="193"/>
    </row>
    <row r="116184" spans="6:6" x14ac:dyDescent="0.3">
      <c r="F116184" s="193"/>
    </row>
    <row r="116185" spans="6:6" x14ac:dyDescent="0.3">
      <c r="F116185" s="193"/>
    </row>
    <row r="116186" spans="6:6" x14ac:dyDescent="0.3">
      <c r="F116186" s="193"/>
    </row>
    <row r="116187" spans="6:6" x14ac:dyDescent="0.3">
      <c r="F116187" s="193"/>
    </row>
    <row r="116188" spans="6:6" x14ac:dyDescent="0.3">
      <c r="F116188" s="193"/>
    </row>
    <row r="116189" spans="6:6" x14ac:dyDescent="0.3">
      <c r="F116189" s="193"/>
    </row>
    <row r="116190" spans="6:6" x14ac:dyDescent="0.3">
      <c r="F116190" s="193"/>
    </row>
    <row r="116191" spans="6:6" x14ac:dyDescent="0.3">
      <c r="F116191" s="193"/>
    </row>
    <row r="116192" spans="6:6" x14ac:dyDescent="0.3">
      <c r="F116192" s="193"/>
    </row>
    <row r="116193" spans="6:6" x14ac:dyDescent="0.3">
      <c r="F116193" s="193"/>
    </row>
    <row r="116194" spans="6:6" x14ac:dyDescent="0.3">
      <c r="F116194" s="193"/>
    </row>
    <row r="116195" spans="6:6" x14ac:dyDescent="0.3">
      <c r="F116195" s="193"/>
    </row>
    <row r="116196" spans="6:6" x14ac:dyDescent="0.3">
      <c r="F116196" s="193"/>
    </row>
    <row r="116197" spans="6:6" x14ac:dyDescent="0.3">
      <c r="F116197" s="193"/>
    </row>
    <row r="116198" spans="6:6" x14ac:dyDescent="0.3">
      <c r="F116198" s="193"/>
    </row>
    <row r="116199" spans="6:6" x14ac:dyDescent="0.3">
      <c r="F116199" s="193"/>
    </row>
    <row r="116200" spans="6:6" x14ac:dyDescent="0.3">
      <c r="F116200" s="193"/>
    </row>
    <row r="116201" spans="6:6" x14ac:dyDescent="0.3">
      <c r="F116201" s="193"/>
    </row>
    <row r="116202" spans="6:6" x14ac:dyDescent="0.3">
      <c r="F116202" s="193"/>
    </row>
    <row r="116203" spans="6:6" x14ac:dyDescent="0.3">
      <c r="F116203" s="193"/>
    </row>
    <row r="116204" spans="6:6" x14ac:dyDescent="0.3">
      <c r="F116204" s="193"/>
    </row>
    <row r="116205" spans="6:6" x14ac:dyDescent="0.3">
      <c r="F116205" s="193"/>
    </row>
    <row r="116206" spans="6:6" x14ac:dyDescent="0.3">
      <c r="F116206" s="193"/>
    </row>
    <row r="116207" spans="6:6" x14ac:dyDescent="0.3">
      <c r="F116207" s="193"/>
    </row>
    <row r="116208" spans="6:6" x14ac:dyDescent="0.3">
      <c r="F116208" s="193"/>
    </row>
    <row r="116209" spans="6:6" x14ac:dyDescent="0.3">
      <c r="F116209" s="193"/>
    </row>
    <row r="116210" spans="6:6" x14ac:dyDescent="0.3">
      <c r="F116210" s="193"/>
    </row>
    <row r="116211" spans="6:6" x14ac:dyDescent="0.3">
      <c r="F116211" s="193"/>
    </row>
    <row r="116212" spans="6:6" x14ac:dyDescent="0.3">
      <c r="F116212" s="193"/>
    </row>
    <row r="116213" spans="6:6" x14ac:dyDescent="0.3">
      <c r="F116213" s="193"/>
    </row>
    <row r="116214" spans="6:6" x14ac:dyDescent="0.3">
      <c r="F116214" s="193"/>
    </row>
    <row r="116215" spans="6:6" x14ac:dyDescent="0.3">
      <c r="F116215" s="193"/>
    </row>
    <row r="116216" spans="6:6" x14ac:dyDescent="0.3">
      <c r="F116216" s="193"/>
    </row>
    <row r="116217" spans="6:6" x14ac:dyDescent="0.3">
      <c r="F116217" s="193"/>
    </row>
    <row r="116218" spans="6:6" x14ac:dyDescent="0.3">
      <c r="F116218" s="193"/>
    </row>
    <row r="116219" spans="6:6" x14ac:dyDescent="0.3">
      <c r="F116219" s="193"/>
    </row>
    <row r="116220" spans="6:6" x14ac:dyDescent="0.3">
      <c r="F116220" s="193"/>
    </row>
    <row r="116221" spans="6:6" x14ac:dyDescent="0.3">
      <c r="F116221" s="193"/>
    </row>
    <row r="116222" spans="6:6" x14ac:dyDescent="0.3">
      <c r="F116222" s="193"/>
    </row>
    <row r="116223" spans="6:6" x14ac:dyDescent="0.3">
      <c r="F116223" s="193"/>
    </row>
    <row r="116224" spans="6:6" x14ac:dyDescent="0.3">
      <c r="F116224" s="193"/>
    </row>
    <row r="116225" spans="6:6" x14ac:dyDescent="0.3">
      <c r="F116225" s="193"/>
    </row>
    <row r="116226" spans="6:6" x14ac:dyDescent="0.3">
      <c r="F116226" s="193"/>
    </row>
    <row r="116227" spans="6:6" x14ac:dyDescent="0.3">
      <c r="F116227" s="193"/>
    </row>
    <row r="116228" spans="6:6" x14ac:dyDescent="0.3">
      <c r="F116228" s="193"/>
    </row>
    <row r="116229" spans="6:6" x14ac:dyDescent="0.3">
      <c r="F116229" s="193"/>
    </row>
    <row r="116230" spans="6:6" x14ac:dyDescent="0.3">
      <c r="F116230" s="193"/>
    </row>
    <row r="116231" spans="6:6" x14ac:dyDescent="0.3">
      <c r="F116231" s="193"/>
    </row>
    <row r="116232" spans="6:6" x14ac:dyDescent="0.3">
      <c r="F116232" s="193"/>
    </row>
    <row r="116233" spans="6:6" x14ac:dyDescent="0.3">
      <c r="F116233" s="193"/>
    </row>
    <row r="116234" spans="6:6" x14ac:dyDescent="0.3">
      <c r="F116234" s="193"/>
    </row>
    <row r="116235" spans="6:6" x14ac:dyDescent="0.3">
      <c r="F116235" s="193"/>
    </row>
    <row r="116236" spans="6:6" x14ac:dyDescent="0.3">
      <c r="F116236" s="193"/>
    </row>
    <row r="116237" spans="6:6" x14ac:dyDescent="0.3">
      <c r="F116237" s="193"/>
    </row>
    <row r="116238" spans="6:6" x14ac:dyDescent="0.3">
      <c r="F116238" s="193"/>
    </row>
    <row r="116239" spans="6:6" x14ac:dyDescent="0.3">
      <c r="F116239" s="193"/>
    </row>
    <row r="116240" spans="6:6" x14ac:dyDescent="0.3">
      <c r="F116240" s="193"/>
    </row>
    <row r="116241" spans="6:6" x14ac:dyDescent="0.3">
      <c r="F116241" s="193"/>
    </row>
    <row r="116242" spans="6:6" x14ac:dyDescent="0.3">
      <c r="F116242" s="193"/>
    </row>
    <row r="116243" spans="6:6" x14ac:dyDescent="0.3">
      <c r="F116243" s="193"/>
    </row>
    <row r="116244" spans="6:6" x14ac:dyDescent="0.3">
      <c r="F116244" s="193"/>
    </row>
    <row r="116245" spans="6:6" x14ac:dyDescent="0.3">
      <c r="F116245" s="193"/>
    </row>
    <row r="116246" spans="6:6" x14ac:dyDescent="0.3">
      <c r="F116246" s="193"/>
    </row>
    <row r="116247" spans="6:6" x14ac:dyDescent="0.3">
      <c r="F116247" s="193"/>
    </row>
    <row r="116248" spans="6:6" x14ac:dyDescent="0.3">
      <c r="F116248" s="193"/>
    </row>
    <row r="116249" spans="6:6" x14ac:dyDescent="0.3">
      <c r="F116249" s="193"/>
    </row>
    <row r="116250" spans="6:6" x14ac:dyDescent="0.3">
      <c r="F116250" s="193"/>
    </row>
    <row r="116251" spans="6:6" x14ac:dyDescent="0.3">
      <c r="F116251" s="193"/>
    </row>
    <row r="116252" spans="6:6" x14ac:dyDescent="0.3">
      <c r="F116252" s="193"/>
    </row>
    <row r="116253" spans="6:6" x14ac:dyDescent="0.3">
      <c r="F116253" s="193"/>
    </row>
    <row r="116254" spans="6:6" x14ac:dyDescent="0.3">
      <c r="F116254" s="193"/>
    </row>
    <row r="116255" spans="6:6" x14ac:dyDescent="0.3">
      <c r="F116255" s="193"/>
    </row>
    <row r="116256" spans="6:6" x14ac:dyDescent="0.3">
      <c r="F116256" s="193"/>
    </row>
    <row r="116257" spans="6:6" x14ac:dyDescent="0.3">
      <c r="F116257" s="193"/>
    </row>
    <row r="116258" spans="6:6" x14ac:dyDescent="0.3">
      <c r="F116258" s="193"/>
    </row>
    <row r="116259" spans="6:6" x14ac:dyDescent="0.3">
      <c r="F116259" s="193"/>
    </row>
    <row r="116260" spans="6:6" x14ac:dyDescent="0.3">
      <c r="F116260" s="193"/>
    </row>
    <row r="116261" spans="6:6" x14ac:dyDescent="0.3">
      <c r="F116261" s="193"/>
    </row>
    <row r="116262" spans="6:6" x14ac:dyDescent="0.3">
      <c r="F116262" s="193"/>
    </row>
    <row r="116263" spans="6:6" x14ac:dyDescent="0.3">
      <c r="F116263" s="193"/>
    </row>
    <row r="116264" spans="6:6" x14ac:dyDescent="0.3">
      <c r="F116264" s="193"/>
    </row>
    <row r="116265" spans="6:6" x14ac:dyDescent="0.3">
      <c r="F116265" s="193"/>
    </row>
    <row r="116266" spans="6:6" x14ac:dyDescent="0.3">
      <c r="F116266" s="193"/>
    </row>
    <row r="116267" spans="6:6" x14ac:dyDescent="0.3">
      <c r="F116267" s="193"/>
    </row>
    <row r="116268" spans="6:6" x14ac:dyDescent="0.3">
      <c r="F116268" s="193"/>
    </row>
    <row r="116269" spans="6:6" x14ac:dyDescent="0.3">
      <c r="F116269" s="193"/>
    </row>
    <row r="116270" spans="6:6" x14ac:dyDescent="0.3">
      <c r="F116270" s="193"/>
    </row>
    <row r="116271" spans="6:6" x14ac:dyDescent="0.3">
      <c r="F116271" s="193"/>
    </row>
    <row r="116272" spans="6:6" x14ac:dyDescent="0.3">
      <c r="F116272" s="193"/>
    </row>
    <row r="116273" spans="6:6" x14ac:dyDescent="0.3">
      <c r="F116273" s="193"/>
    </row>
    <row r="116274" spans="6:6" x14ac:dyDescent="0.3">
      <c r="F116274" s="193"/>
    </row>
    <row r="116275" spans="6:6" x14ac:dyDescent="0.3">
      <c r="F116275" s="193"/>
    </row>
    <row r="116276" spans="6:6" x14ac:dyDescent="0.3">
      <c r="F116276" s="193"/>
    </row>
    <row r="116277" spans="6:6" x14ac:dyDescent="0.3">
      <c r="F116277" s="193"/>
    </row>
    <row r="116278" spans="6:6" x14ac:dyDescent="0.3">
      <c r="F116278" s="193"/>
    </row>
    <row r="116279" spans="6:6" x14ac:dyDescent="0.3">
      <c r="F116279" s="193"/>
    </row>
    <row r="116280" spans="6:6" x14ac:dyDescent="0.3">
      <c r="F116280" s="193"/>
    </row>
    <row r="116281" spans="6:6" x14ac:dyDescent="0.3">
      <c r="F116281" s="193"/>
    </row>
    <row r="116282" spans="6:6" x14ac:dyDescent="0.3">
      <c r="F116282" s="193"/>
    </row>
    <row r="116283" spans="6:6" x14ac:dyDescent="0.3">
      <c r="F116283" s="193"/>
    </row>
    <row r="116284" spans="6:6" x14ac:dyDescent="0.3">
      <c r="F116284" s="193"/>
    </row>
    <row r="116285" spans="6:6" x14ac:dyDescent="0.3">
      <c r="F116285" s="193"/>
    </row>
    <row r="116286" spans="6:6" x14ac:dyDescent="0.3">
      <c r="F116286" s="193"/>
    </row>
    <row r="116287" spans="6:6" x14ac:dyDescent="0.3">
      <c r="F116287" s="193"/>
    </row>
    <row r="116288" spans="6:6" x14ac:dyDescent="0.3">
      <c r="F116288" s="193"/>
    </row>
    <row r="116289" spans="6:6" x14ac:dyDescent="0.3">
      <c r="F116289" s="193"/>
    </row>
    <row r="116290" spans="6:6" x14ac:dyDescent="0.3">
      <c r="F116290" s="193"/>
    </row>
    <row r="116291" spans="6:6" x14ac:dyDescent="0.3">
      <c r="F116291" s="193"/>
    </row>
    <row r="116292" spans="6:6" x14ac:dyDescent="0.3">
      <c r="F116292" s="193"/>
    </row>
    <row r="116293" spans="6:6" x14ac:dyDescent="0.3">
      <c r="F116293" s="193"/>
    </row>
    <row r="116294" spans="6:6" x14ac:dyDescent="0.3">
      <c r="F116294" s="193"/>
    </row>
    <row r="116295" spans="6:6" x14ac:dyDescent="0.3">
      <c r="F116295" s="193"/>
    </row>
    <row r="116296" spans="6:6" x14ac:dyDescent="0.3">
      <c r="F116296" s="193"/>
    </row>
    <row r="116297" spans="6:6" x14ac:dyDescent="0.3">
      <c r="F116297" s="193"/>
    </row>
    <row r="116298" spans="6:6" x14ac:dyDescent="0.3">
      <c r="F116298" s="193"/>
    </row>
    <row r="116299" spans="6:6" x14ac:dyDescent="0.3">
      <c r="F116299" s="193"/>
    </row>
    <row r="116300" spans="6:6" x14ac:dyDescent="0.3">
      <c r="F116300" s="193"/>
    </row>
    <row r="116301" spans="6:6" x14ac:dyDescent="0.3">
      <c r="F116301" s="193"/>
    </row>
    <row r="116302" spans="6:6" x14ac:dyDescent="0.3">
      <c r="F116302" s="193"/>
    </row>
    <row r="116303" spans="6:6" x14ac:dyDescent="0.3">
      <c r="F116303" s="193"/>
    </row>
    <row r="116304" spans="6:6" x14ac:dyDescent="0.3">
      <c r="F116304" s="193"/>
    </row>
    <row r="116305" spans="6:6" x14ac:dyDescent="0.3">
      <c r="F116305" s="193"/>
    </row>
    <row r="116306" spans="6:6" x14ac:dyDescent="0.3">
      <c r="F116306" s="193"/>
    </row>
    <row r="116307" spans="6:6" x14ac:dyDescent="0.3">
      <c r="F116307" s="193"/>
    </row>
    <row r="116308" spans="6:6" x14ac:dyDescent="0.3">
      <c r="F116308" s="193"/>
    </row>
    <row r="116309" spans="6:6" x14ac:dyDescent="0.3">
      <c r="F116309" s="193"/>
    </row>
    <row r="116310" spans="6:6" x14ac:dyDescent="0.3">
      <c r="F116310" s="193"/>
    </row>
    <row r="116311" spans="6:6" x14ac:dyDescent="0.3">
      <c r="F116311" s="193"/>
    </row>
    <row r="116312" spans="6:6" x14ac:dyDescent="0.3">
      <c r="F116312" s="193"/>
    </row>
    <row r="116313" spans="6:6" x14ac:dyDescent="0.3">
      <c r="F116313" s="193"/>
    </row>
    <row r="116314" spans="6:6" x14ac:dyDescent="0.3">
      <c r="F116314" s="193"/>
    </row>
    <row r="116315" spans="6:6" x14ac:dyDescent="0.3">
      <c r="F116315" s="193"/>
    </row>
    <row r="116316" spans="6:6" x14ac:dyDescent="0.3">
      <c r="F116316" s="193"/>
    </row>
    <row r="116317" spans="6:6" x14ac:dyDescent="0.3">
      <c r="F116317" s="193"/>
    </row>
    <row r="116318" spans="6:6" x14ac:dyDescent="0.3">
      <c r="F116318" s="193"/>
    </row>
    <row r="116319" spans="6:6" x14ac:dyDescent="0.3">
      <c r="F116319" s="193"/>
    </row>
    <row r="116320" spans="6:6" x14ac:dyDescent="0.3">
      <c r="F116320" s="193"/>
    </row>
    <row r="116321" spans="6:6" x14ac:dyDescent="0.3">
      <c r="F116321" s="193"/>
    </row>
    <row r="116322" spans="6:6" x14ac:dyDescent="0.3">
      <c r="F116322" s="193"/>
    </row>
    <row r="116323" spans="6:6" x14ac:dyDescent="0.3">
      <c r="F116323" s="193"/>
    </row>
    <row r="116324" spans="6:6" x14ac:dyDescent="0.3">
      <c r="F116324" s="193"/>
    </row>
    <row r="116325" spans="6:6" x14ac:dyDescent="0.3">
      <c r="F116325" s="193"/>
    </row>
    <row r="116326" spans="6:6" x14ac:dyDescent="0.3">
      <c r="F116326" s="193"/>
    </row>
    <row r="116327" spans="6:6" x14ac:dyDescent="0.3">
      <c r="F116327" s="193"/>
    </row>
    <row r="116328" spans="6:6" x14ac:dyDescent="0.3">
      <c r="F116328" s="193"/>
    </row>
    <row r="116329" spans="6:6" x14ac:dyDescent="0.3">
      <c r="F116329" s="193"/>
    </row>
    <row r="116330" spans="6:6" x14ac:dyDescent="0.3">
      <c r="F116330" s="193"/>
    </row>
    <row r="116331" spans="6:6" x14ac:dyDescent="0.3">
      <c r="F116331" s="193"/>
    </row>
    <row r="116332" spans="6:6" x14ac:dyDescent="0.3">
      <c r="F116332" s="193"/>
    </row>
    <row r="116333" spans="6:6" x14ac:dyDescent="0.3">
      <c r="F116333" s="193"/>
    </row>
    <row r="116334" spans="6:6" x14ac:dyDescent="0.3">
      <c r="F116334" s="193"/>
    </row>
    <row r="116335" spans="6:6" x14ac:dyDescent="0.3">
      <c r="F116335" s="193"/>
    </row>
    <row r="116336" spans="6:6" x14ac:dyDescent="0.3">
      <c r="F116336" s="193"/>
    </row>
    <row r="116337" spans="6:6" x14ac:dyDescent="0.3">
      <c r="F116337" s="193"/>
    </row>
    <row r="116338" spans="6:6" x14ac:dyDescent="0.3">
      <c r="F116338" s="193"/>
    </row>
    <row r="116339" spans="6:6" x14ac:dyDescent="0.3">
      <c r="F116339" s="193"/>
    </row>
    <row r="116340" spans="6:6" x14ac:dyDescent="0.3">
      <c r="F116340" s="193"/>
    </row>
    <row r="116341" spans="6:6" x14ac:dyDescent="0.3">
      <c r="F116341" s="193"/>
    </row>
    <row r="116342" spans="6:6" x14ac:dyDescent="0.3">
      <c r="F116342" s="193"/>
    </row>
    <row r="116343" spans="6:6" x14ac:dyDescent="0.3">
      <c r="F116343" s="193"/>
    </row>
    <row r="116344" spans="6:6" x14ac:dyDescent="0.3">
      <c r="F116344" s="193"/>
    </row>
    <row r="116345" spans="6:6" x14ac:dyDescent="0.3">
      <c r="F116345" s="193"/>
    </row>
    <row r="116346" spans="6:6" x14ac:dyDescent="0.3">
      <c r="F116346" s="193"/>
    </row>
    <row r="116347" spans="6:6" x14ac:dyDescent="0.3">
      <c r="F116347" s="193"/>
    </row>
    <row r="116348" spans="6:6" x14ac:dyDescent="0.3">
      <c r="F116348" s="193"/>
    </row>
    <row r="116349" spans="6:6" x14ac:dyDescent="0.3">
      <c r="F116349" s="193"/>
    </row>
    <row r="116350" spans="6:6" x14ac:dyDescent="0.3">
      <c r="F116350" s="193"/>
    </row>
    <row r="116351" spans="6:6" x14ac:dyDescent="0.3">
      <c r="F116351" s="193"/>
    </row>
    <row r="116352" spans="6:6" x14ac:dyDescent="0.3">
      <c r="F116352" s="193"/>
    </row>
    <row r="116353" spans="6:6" x14ac:dyDescent="0.3">
      <c r="F116353" s="193"/>
    </row>
    <row r="116354" spans="6:6" x14ac:dyDescent="0.3">
      <c r="F116354" s="193"/>
    </row>
    <row r="116355" spans="6:6" x14ac:dyDescent="0.3">
      <c r="F116355" s="193"/>
    </row>
    <row r="116356" spans="6:6" x14ac:dyDescent="0.3">
      <c r="F116356" s="193"/>
    </row>
    <row r="116357" spans="6:6" x14ac:dyDescent="0.3">
      <c r="F116357" s="193"/>
    </row>
    <row r="116358" spans="6:6" x14ac:dyDescent="0.3">
      <c r="F116358" s="193"/>
    </row>
    <row r="116359" spans="6:6" x14ac:dyDescent="0.3">
      <c r="F116359" s="193"/>
    </row>
    <row r="116360" spans="6:6" x14ac:dyDescent="0.3">
      <c r="F116360" s="193"/>
    </row>
    <row r="116361" spans="6:6" x14ac:dyDescent="0.3">
      <c r="F116361" s="193"/>
    </row>
    <row r="116362" spans="6:6" x14ac:dyDescent="0.3">
      <c r="F116362" s="193"/>
    </row>
    <row r="116363" spans="6:6" x14ac:dyDescent="0.3">
      <c r="F116363" s="193"/>
    </row>
    <row r="116364" spans="6:6" x14ac:dyDescent="0.3">
      <c r="F116364" s="193"/>
    </row>
    <row r="116365" spans="6:6" x14ac:dyDescent="0.3">
      <c r="F116365" s="193"/>
    </row>
    <row r="116366" spans="6:6" x14ac:dyDescent="0.3">
      <c r="F116366" s="193"/>
    </row>
    <row r="116367" spans="6:6" x14ac:dyDescent="0.3">
      <c r="F116367" s="193"/>
    </row>
    <row r="116368" spans="6:6" x14ac:dyDescent="0.3">
      <c r="F116368" s="193"/>
    </row>
    <row r="116369" spans="6:6" x14ac:dyDescent="0.3">
      <c r="F116369" s="193"/>
    </row>
    <row r="116370" spans="6:6" x14ac:dyDescent="0.3">
      <c r="F116370" s="193"/>
    </row>
    <row r="116371" spans="6:6" x14ac:dyDescent="0.3">
      <c r="F116371" s="193"/>
    </row>
    <row r="116372" spans="6:6" x14ac:dyDescent="0.3">
      <c r="F116372" s="193"/>
    </row>
    <row r="116373" spans="6:6" x14ac:dyDescent="0.3">
      <c r="F116373" s="193"/>
    </row>
    <row r="116374" spans="6:6" x14ac:dyDescent="0.3">
      <c r="F116374" s="193"/>
    </row>
    <row r="116375" spans="6:6" x14ac:dyDescent="0.3">
      <c r="F116375" s="193"/>
    </row>
    <row r="116376" spans="6:6" x14ac:dyDescent="0.3">
      <c r="F116376" s="193"/>
    </row>
    <row r="116377" spans="6:6" x14ac:dyDescent="0.3">
      <c r="F116377" s="193"/>
    </row>
    <row r="116378" spans="6:6" x14ac:dyDescent="0.3">
      <c r="F116378" s="193"/>
    </row>
    <row r="116379" spans="6:6" x14ac:dyDescent="0.3">
      <c r="F116379" s="193"/>
    </row>
    <row r="116380" spans="6:6" x14ac:dyDescent="0.3">
      <c r="F116380" s="193"/>
    </row>
    <row r="116381" spans="6:6" x14ac:dyDescent="0.3">
      <c r="F116381" s="193"/>
    </row>
    <row r="116382" spans="6:6" x14ac:dyDescent="0.3">
      <c r="F116382" s="193"/>
    </row>
    <row r="116383" spans="6:6" x14ac:dyDescent="0.3">
      <c r="F116383" s="193"/>
    </row>
    <row r="116384" spans="6:6" x14ac:dyDescent="0.3">
      <c r="F116384" s="193"/>
    </row>
    <row r="116385" spans="6:6" x14ac:dyDescent="0.3">
      <c r="F116385" s="193"/>
    </row>
    <row r="116386" spans="6:6" x14ac:dyDescent="0.3">
      <c r="F116386" s="193"/>
    </row>
    <row r="116387" spans="6:6" x14ac:dyDescent="0.3">
      <c r="F116387" s="193"/>
    </row>
    <row r="116388" spans="6:6" x14ac:dyDescent="0.3">
      <c r="F116388" s="193"/>
    </row>
    <row r="116389" spans="6:6" x14ac:dyDescent="0.3">
      <c r="F116389" s="193"/>
    </row>
    <row r="116390" spans="6:6" x14ac:dyDescent="0.3">
      <c r="F116390" s="193"/>
    </row>
    <row r="116391" spans="6:6" x14ac:dyDescent="0.3">
      <c r="F116391" s="193"/>
    </row>
    <row r="116392" spans="6:6" x14ac:dyDescent="0.3">
      <c r="F116392" s="193"/>
    </row>
    <row r="116393" spans="6:6" x14ac:dyDescent="0.3">
      <c r="F116393" s="193"/>
    </row>
    <row r="116394" spans="6:6" x14ac:dyDescent="0.3">
      <c r="F116394" s="193"/>
    </row>
    <row r="116395" spans="6:6" x14ac:dyDescent="0.3">
      <c r="F116395" s="193"/>
    </row>
    <row r="116396" spans="6:6" x14ac:dyDescent="0.3">
      <c r="F116396" s="193"/>
    </row>
    <row r="116397" spans="6:6" x14ac:dyDescent="0.3">
      <c r="F116397" s="193"/>
    </row>
    <row r="116398" spans="6:6" x14ac:dyDescent="0.3">
      <c r="F116398" s="193"/>
    </row>
    <row r="116399" spans="6:6" x14ac:dyDescent="0.3">
      <c r="F116399" s="193"/>
    </row>
    <row r="116400" spans="6:6" x14ac:dyDescent="0.3">
      <c r="F116400" s="193"/>
    </row>
    <row r="116401" spans="6:6" x14ac:dyDescent="0.3">
      <c r="F116401" s="193"/>
    </row>
    <row r="116402" spans="6:6" x14ac:dyDescent="0.3">
      <c r="F116402" s="193"/>
    </row>
    <row r="116403" spans="6:6" x14ac:dyDescent="0.3">
      <c r="F116403" s="193"/>
    </row>
    <row r="116404" spans="6:6" x14ac:dyDescent="0.3">
      <c r="F116404" s="193"/>
    </row>
    <row r="116405" spans="6:6" x14ac:dyDescent="0.3">
      <c r="F116405" s="193"/>
    </row>
    <row r="116406" spans="6:6" x14ac:dyDescent="0.3">
      <c r="F116406" s="193"/>
    </row>
  </sheetData>
  <sheetProtection algorithmName="SHA-512" hashValue="QAjAEYHDhEpxfFerlgkjwNEkYomP3NJ3qMGldqwgC55WCnk/Tu1JqEnbyaSqOL6bVA4f7CeZYRrnbf8qZB1qbw==" saltValue="kcLIjrWS3y6DgEuYN6qSow==" spinCount="100000" sheet="1" objects="1" scenarios="1" autoFilter="0"/>
  <autoFilter ref="A4:F19" xr:uid="{F060DD77-8F83-B443-A8F2-B6873D3EDEDF}"/>
  <mergeCells count="1">
    <mergeCell ref="A2:F2"/>
  </mergeCells>
  <dataValidations count="2">
    <dataValidation type="list" allowBlank="1" showInputMessage="1" showErrorMessage="1" sqref="D5:D80001" xr:uid="{25481540-90DA-C84B-AF57-62C60EB79248}">
      <formula1>INDIRECT(C5)</formula1>
    </dataValidation>
    <dataValidation type="list" allowBlank="1" showInputMessage="1" showErrorMessage="1" sqref="A5:A80001" xr:uid="{B2E1DFE4-7B53-3E49-AF4B-7736EFA1393E}">
      <formula1>Años</formula1>
    </dataValidation>
  </dataValidations>
  <hyperlinks>
    <hyperlink ref="A1" location="Planificación!A1" display="Atrás" xr:uid="{8FC90A99-1D44-B04A-A28A-CC0047EB6AA5}"/>
  </hyperlinks>
  <pageMargins left="0.7" right="0.7" top="0.75" bottom="0.75" header="0.3" footer="0.3"/>
  <pageSetup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5D41604B-BF2E-B141-A045-C783433CDB7E}">
          <x14:formula1>
            <xm:f>'1'!$Z$4:$AG$4</xm:f>
          </x14:formula1>
          <xm:sqref>C5:C80001</xm:sqref>
        </x14:dataValidation>
        <x14:dataValidation type="list" allowBlank="1" showInputMessage="1" showErrorMessage="1" xr:uid="{B7095035-5403-A14F-AE31-29D1F43BB9E4}">
          <x14:formula1>
            <xm:f>'1'!$W$5:$W$45</xm:f>
          </x14:formula1>
          <xm:sqref>B5:B80001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03F99-D482-482F-80CE-3FAB457661B5}">
  <sheetPr codeName="Hoja18">
    <pageSetUpPr fitToPage="1"/>
  </sheetPr>
  <dimension ref="A1:M197"/>
  <sheetViews>
    <sheetView showGridLines="0" zoomScale="80" zoomScaleNormal="80" workbookViewId="0">
      <pane xSplit="1" ySplit="4" topLeftCell="B5" activePane="bottomRight" state="frozen"/>
      <selection pane="topRight" activeCell="C5" sqref="C5"/>
      <selection pane="bottomLeft" activeCell="C5" sqref="C5"/>
      <selection pane="bottomRight" activeCell="B7" sqref="B7"/>
    </sheetView>
  </sheetViews>
  <sheetFormatPr baseColWidth="10" defaultColWidth="11" defaultRowHeight="17.25" x14ac:dyDescent="0.3"/>
  <cols>
    <col min="1" max="1" width="52" style="4" customWidth="1"/>
    <col min="2" max="13" width="20.125" style="4" customWidth="1"/>
    <col min="14" max="16384" width="11" style="4"/>
  </cols>
  <sheetData>
    <row r="1" spans="1:13" ht="45" customHeight="1" x14ac:dyDescent="0.3">
      <c r="A1" s="132" t="s">
        <v>21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</row>
    <row r="2" spans="1:13" ht="50.1" customHeight="1" x14ac:dyDescent="0.3">
      <c r="A2" s="462" t="str">
        <f>CONCATENATE("Planificación financiera ",Up," | Proyección ",Año_Inicial," - ",Año_Inicial+11)</f>
        <v>Planificación financiera  | Proyección 2023 - 2034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</row>
    <row r="3" spans="1:13" ht="8.1" customHeight="1" x14ac:dyDescent="0.3">
      <c r="A3" s="218"/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</row>
    <row r="4" spans="1:13" s="228" customFormat="1" ht="18.75" x14ac:dyDescent="0.3">
      <c r="A4" s="224"/>
      <c r="B4" s="225">
        <f>Año_Inicial</f>
        <v>2023</v>
      </c>
      <c r="C4" s="226">
        <f>B4+1</f>
        <v>2024</v>
      </c>
      <c r="D4" s="226">
        <f t="shared" ref="D4:M4" si="0">C4+1</f>
        <v>2025</v>
      </c>
      <c r="E4" s="226">
        <f t="shared" si="0"/>
        <v>2026</v>
      </c>
      <c r="F4" s="226">
        <f t="shared" si="0"/>
        <v>2027</v>
      </c>
      <c r="G4" s="226">
        <f t="shared" si="0"/>
        <v>2028</v>
      </c>
      <c r="H4" s="226">
        <f t="shared" si="0"/>
        <v>2029</v>
      </c>
      <c r="I4" s="226">
        <f t="shared" si="0"/>
        <v>2030</v>
      </c>
      <c r="J4" s="226">
        <f t="shared" si="0"/>
        <v>2031</v>
      </c>
      <c r="K4" s="226">
        <f t="shared" si="0"/>
        <v>2032</v>
      </c>
      <c r="L4" s="226">
        <f t="shared" si="0"/>
        <v>2033</v>
      </c>
      <c r="M4" s="227">
        <f t="shared" si="0"/>
        <v>2034</v>
      </c>
    </row>
    <row r="5" spans="1:13" ht="38.25" customHeight="1" x14ac:dyDescent="0.3">
      <c r="A5" s="230" t="s">
        <v>4521</v>
      </c>
      <c r="B5" s="339">
        <f t="shared" ref="B5:M5" si="1">SUM(B7:B9)</f>
        <v>0</v>
      </c>
      <c r="C5" s="339">
        <f t="shared" si="1"/>
        <v>0</v>
      </c>
      <c r="D5" s="339">
        <f t="shared" si="1"/>
        <v>0</v>
      </c>
      <c r="E5" s="339">
        <f t="shared" si="1"/>
        <v>0</v>
      </c>
      <c r="F5" s="339">
        <f t="shared" si="1"/>
        <v>0</v>
      </c>
      <c r="G5" s="339">
        <f t="shared" si="1"/>
        <v>0</v>
      </c>
      <c r="H5" s="339">
        <f t="shared" si="1"/>
        <v>0</v>
      </c>
      <c r="I5" s="339">
        <f t="shared" si="1"/>
        <v>0</v>
      </c>
      <c r="J5" s="339">
        <f t="shared" si="1"/>
        <v>0</v>
      </c>
      <c r="K5" s="339">
        <f t="shared" si="1"/>
        <v>0</v>
      </c>
      <c r="L5" s="339">
        <f t="shared" si="1"/>
        <v>0</v>
      </c>
      <c r="M5" s="340">
        <f t="shared" si="1"/>
        <v>0</v>
      </c>
    </row>
    <row r="6" spans="1:13" s="229" customFormat="1" ht="38.1" customHeight="1" x14ac:dyDescent="0.3">
      <c r="A6" s="337" t="s">
        <v>4522</v>
      </c>
      <c r="B6" s="377">
        <f>'11'!B7</f>
        <v>70</v>
      </c>
      <c r="C6" s="333">
        <f>'12'!B7</f>
        <v>0</v>
      </c>
      <c r="D6" s="338">
        <f>'13'!B7</f>
        <v>0</v>
      </c>
      <c r="E6" s="333">
        <f>'14'!B7</f>
        <v>0</v>
      </c>
      <c r="F6" s="333">
        <f>'15'!B7</f>
        <v>0</v>
      </c>
      <c r="G6" s="333">
        <f>'16'!B7</f>
        <v>0</v>
      </c>
      <c r="H6" s="333">
        <f>'17'!B7</f>
        <v>0</v>
      </c>
      <c r="I6" s="333">
        <f>'18'!B7</f>
        <v>0</v>
      </c>
      <c r="J6" s="333">
        <f>'19'!B7</f>
        <v>0</v>
      </c>
      <c r="K6" s="333">
        <f>'20'!B7</f>
        <v>0</v>
      </c>
      <c r="L6" s="333">
        <f>'21'!B7</f>
        <v>0</v>
      </c>
      <c r="M6" s="333">
        <f>'22'!B7</f>
        <v>0</v>
      </c>
    </row>
    <row r="7" spans="1:13" s="229" customFormat="1" ht="38.1" customHeight="1" x14ac:dyDescent="0.3">
      <c r="A7" s="12" t="str">
        <f>CONCATENATE("Ventas de café de primera:  ", P_Primera *100,"%")</f>
        <v>Ventas de café de primera:  0%</v>
      </c>
      <c r="B7" s="378">
        <f>'11'!B8</f>
        <v>0</v>
      </c>
      <c r="C7" s="336">
        <f>'12'!B8</f>
        <v>0</v>
      </c>
      <c r="D7" s="336">
        <f>'13'!B8</f>
        <v>0</v>
      </c>
      <c r="E7" s="336">
        <f>'14'!B8</f>
        <v>0</v>
      </c>
      <c r="F7" s="336">
        <f>'15'!B8</f>
        <v>0</v>
      </c>
      <c r="G7" s="336">
        <f>'16'!B8</f>
        <v>0</v>
      </c>
      <c r="H7" s="336">
        <f>'17'!B8</f>
        <v>0</v>
      </c>
      <c r="I7" s="336">
        <f>'18'!B8</f>
        <v>0</v>
      </c>
      <c r="J7" s="336">
        <f>'19'!B8</f>
        <v>0</v>
      </c>
      <c r="K7" s="336">
        <f>'20'!B8</f>
        <v>0</v>
      </c>
      <c r="L7" s="336">
        <f>'21'!B8</f>
        <v>0</v>
      </c>
      <c r="M7" s="336">
        <f>'22'!B8</f>
        <v>0</v>
      </c>
    </row>
    <row r="8" spans="1:13" s="229" customFormat="1" ht="38.1" customHeight="1" x14ac:dyDescent="0.3">
      <c r="A8" s="12" t="str">
        <f>CONCATENATE("Ventas de café de segunda:  ", P_Segunda*100,"% ")</f>
        <v xml:space="preserve">Ventas de café de segunda:  0% </v>
      </c>
      <c r="B8" s="378">
        <f>'11'!B9</f>
        <v>0</v>
      </c>
      <c r="C8" s="336">
        <f>'12'!B9</f>
        <v>0</v>
      </c>
      <c r="D8" s="336">
        <f>'13'!B9</f>
        <v>0</v>
      </c>
      <c r="E8" s="336">
        <f>'14'!B9</f>
        <v>0</v>
      </c>
      <c r="F8" s="336">
        <f>'15'!B9</f>
        <v>0</v>
      </c>
      <c r="G8" s="336">
        <f>'16'!B9</f>
        <v>0</v>
      </c>
      <c r="H8" s="336">
        <f>'17'!B9</f>
        <v>0</v>
      </c>
      <c r="I8" s="336">
        <f>'18'!B9</f>
        <v>0</v>
      </c>
      <c r="J8" s="336">
        <f>'19'!B9</f>
        <v>0</v>
      </c>
      <c r="K8" s="336">
        <f>'20'!B9</f>
        <v>0</v>
      </c>
      <c r="L8" s="336">
        <f>'21'!B9</f>
        <v>0</v>
      </c>
      <c r="M8" s="336">
        <f>'22'!B9</f>
        <v>0</v>
      </c>
    </row>
    <row r="9" spans="1:13" s="229" customFormat="1" ht="38.1" customHeight="1" x14ac:dyDescent="0.3">
      <c r="A9" s="12" t="str">
        <f>CONCATENATE("Ventas de café de calidades inferiores:  ", P_Inferior*100,"% ")</f>
        <v xml:space="preserve">Ventas de café de calidades inferiores:  0% </v>
      </c>
      <c r="B9" s="379">
        <f>'11'!B10</f>
        <v>0</v>
      </c>
      <c r="C9" s="336">
        <f>'12'!B10</f>
        <v>0</v>
      </c>
      <c r="D9" s="336">
        <f>'13'!B10</f>
        <v>0</v>
      </c>
      <c r="E9" s="336">
        <f>'14'!B10</f>
        <v>0</v>
      </c>
      <c r="F9" s="336">
        <f>'15'!B10</f>
        <v>0</v>
      </c>
      <c r="G9" s="336">
        <f>'16'!B10</f>
        <v>0</v>
      </c>
      <c r="H9" s="336">
        <f>'17'!B10</f>
        <v>0</v>
      </c>
      <c r="I9" s="336">
        <f>'18'!B10</f>
        <v>0</v>
      </c>
      <c r="J9" s="336">
        <f>'19'!B10</f>
        <v>0</v>
      </c>
      <c r="K9" s="336">
        <f>'20'!B10</f>
        <v>0</v>
      </c>
      <c r="L9" s="336">
        <f>'21'!B10</f>
        <v>0</v>
      </c>
      <c r="M9" s="336">
        <f>'22'!B10</f>
        <v>0</v>
      </c>
    </row>
    <row r="10" spans="1:13" ht="38.1" customHeight="1" x14ac:dyDescent="0.3">
      <c r="A10" s="341" t="s">
        <v>4523</v>
      </c>
      <c r="B10" s="382">
        <f t="shared" ref="B10:M10" si="2">_xlfn.AGGREGATE(9,6,B11:B18)</f>
        <v>0</v>
      </c>
      <c r="C10" s="383">
        <f t="shared" si="2"/>
        <v>0</v>
      </c>
      <c r="D10" s="383">
        <f t="shared" si="2"/>
        <v>0</v>
      </c>
      <c r="E10" s="383">
        <f t="shared" si="2"/>
        <v>0</v>
      </c>
      <c r="F10" s="383">
        <f t="shared" si="2"/>
        <v>0</v>
      </c>
      <c r="G10" s="383">
        <f t="shared" si="2"/>
        <v>0</v>
      </c>
      <c r="H10" s="383">
        <f t="shared" si="2"/>
        <v>0</v>
      </c>
      <c r="I10" s="383">
        <f t="shared" si="2"/>
        <v>0</v>
      </c>
      <c r="J10" s="383">
        <f>_xlfn.AGGREGATE(9,6,J11:J18)</f>
        <v>0</v>
      </c>
      <c r="K10" s="383">
        <f t="shared" si="2"/>
        <v>0</v>
      </c>
      <c r="L10" s="383">
        <f t="shared" si="2"/>
        <v>0</v>
      </c>
      <c r="M10" s="384">
        <f t="shared" si="2"/>
        <v>0</v>
      </c>
    </row>
    <row r="11" spans="1:13" ht="38.1" customHeight="1" x14ac:dyDescent="0.3">
      <c r="A11" s="342" t="str">
        <f>CONCATENATE("Plantaciones con producción de ",ROUND('3'!L5,1)," qq Cereza por ",UMs)</f>
        <v>Plantaciones con producción de 350 qq Cereza por Manzana</v>
      </c>
      <c r="B11" s="385">
        <f>SUM('11'!CI14:CI38)</f>
        <v>0</v>
      </c>
      <c r="C11" s="386">
        <f>SUM('12'!CI14:CI38)</f>
        <v>0</v>
      </c>
      <c r="D11" s="265">
        <f>SUM('13'!CI14:CI38)</f>
        <v>0</v>
      </c>
      <c r="E11" s="251">
        <f>SUM('14'!CI14:CI38)*Inflación_4</f>
        <v>0</v>
      </c>
      <c r="F11" s="251">
        <f>SUM('15'!CI14:CI38)*Inflación_5</f>
        <v>0</v>
      </c>
      <c r="G11" s="251">
        <f>SUM('16'!CI14:CI38)*Inflación_6</f>
        <v>0</v>
      </c>
      <c r="H11" s="251">
        <f>SUM('17'!CI14:CI38)*Inflación_7</f>
        <v>0</v>
      </c>
      <c r="I11" s="251">
        <f>SUM('18'!CI14:CI38)*Inflación_8</f>
        <v>0</v>
      </c>
      <c r="J11" s="251">
        <f>SUM('19'!CI14:CI38)*Inflación_9</f>
        <v>0</v>
      </c>
      <c r="K11" s="251">
        <f>SUM('20'!CI14:CI38)*Inflación_10</f>
        <v>0</v>
      </c>
      <c r="L11" s="251">
        <f>SUM('21'!CI14:CI38)*Inflación_11</f>
        <v>0</v>
      </c>
      <c r="M11" s="251">
        <f>SUM('22'!CI14:CI38)*Inflación_12</f>
        <v>0</v>
      </c>
    </row>
    <row r="12" spans="1:13" ht="38.1" customHeight="1" x14ac:dyDescent="0.3">
      <c r="A12" s="343" t="str">
        <f>CONCATENATE("Plantaciones con producción de ",ROUND('3'!L6,1)," qq Cereza por ",UMs)</f>
        <v>Plantaciones con producción de 244.7 qq Cereza por Manzana</v>
      </c>
      <c r="B12" s="385">
        <f>SUM('11'!CJ14:CJ38)</f>
        <v>0</v>
      </c>
      <c r="C12" s="386">
        <f>SUM('12'!CJ14:CJ38)</f>
        <v>0</v>
      </c>
      <c r="D12" s="265">
        <f>SUM('13'!CJ14:CJ38)</f>
        <v>0</v>
      </c>
      <c r="E12" s="251">
        <f>SUM('14'!CJ14:CJ38)*Inflación_4</f>
        <v>0</v>
      </c>
      <c r="F12" s="251">
        <f>SUM('15'!CJ14:CJ38)*Inflación_5</f>
        <v>0</v>
      </c>
      <c r="G12" s="251">
        <f>SUM('16'!CJ14:CJ38)*Inflación_6</f>
        <v>0</v>
      </c>
      <c r="H12" s="251">
        <f>SUM('17'!CJ14:CJ38)*Inflación_7</f>
        <v>0</v>
      </c>
      <c r="I12" s="251">
        <f>SUM('18'!CJ14:CJ38)*Inflación_8</f>
        <v>0</v>
      </c>
      <c r="J12" s="251">
        <f>SUM('19'!CJ14:CJ38)*Inflación_9</f>
        <v>0</v>
      </c>
      <c r="K12" s="251">
        <f>SUM('20'!CJ14:CJ38)*Inflación_10</f>
        <v>0</v>
      </c>
      <c r="L12" s="251">
        <f>SUM('21'!CJ14:CJ38)*Inflación_11</f>
        <v>0</v>
      </c>
      <c r="M12" s="251">
        <f>SUM('22'!CJ14:CJ38)*Inflación_12</f>
        <v>0</v>
      </c>
    </row>
    <row r="13" spans="1:13" ht="38.1" customHeight="1" x14ac:dyDescent="0.3">
      <c r="A13" s="343" t="str">
        <f>CONCATENATE("Plantaciones con producción de ",ROUND('3'!L7,1)," qq Cereza por ",UMs)</f>
        <v>Plantaciones con producción de 139.7 qq Cereza por Manzana</v>
      </c>
      <c r="B13" s="385">
        <f>SUM('11'!CK14:CK38)</f>
        <v>0</v>
      </c>
      <c r="C13" s="386">
        <f>SUM('12'!CK14:CK38)</f>
        <v>0</v>
      </c>
      <c r="D13" s="265">
        <f>SUM('13'!CK14:CK38)</f>
        <v>0</v>
      </c>
      <c r="E13" s="251">
        <f>SUM('14'!CK14:CK38)*Inflación_4</f>
        <v>0</v>
      </c>
      <c r="F13" s="251">
        <f>SUM('15'!CK14:CK38)*Inflación_5</f>
        <v>0</v>
      </c>
      <c r="G13" s="251">
        <f>SUM('16'!CK14:CK38)*Inflación_6</f>
        <v>0</v>
      </c>
      <c r="H13" s="251">
        <f>SUM('17'!CK14:CK38)*Inflación_7</f>
        <v>0</v>
      </c>
      <c r="I13" s="251">
        <f>SUM('18'!CK14:CK38)*Inflación_8</f>
        <v>0</v>
      </c>
      <c r="J13" s="251">
        <f>SUM('19'!CK14:CK38)*Inflación_9</f>
        <v>0</v>
      </c>
      <c r="K13" s="251">
        <f>SUM('20'!CK14:CK38)*Inflación_10</f>
        <v>0</v>
      </c>
      <c r="L13" s="251">
        <f>SUM('21'!CK14:CK38)*Inflación_11</f>
        <v>0</v>
      </c>
      <c r="M13" s="251">
        <f>SUM('22'!CK14:CK38)*Inflación_12</f>
        <v>0</v>
      </c>
    </row>
    <row r="14" spans="1:13" ht="38.1" customHeight="1" x14ac:dyDescent="0.3">
      <c r="A14" s="343" t="str">
        <f>CONCATENATE("Plantaciones con producción de ",ROUND('3'!L8,1)," qq Cereza por ",UMs)</f>
        <v>Plantaciones con producción de 174.7 qq Cereza por Manzana</v>
      </c>
      <c r="B14" s="385">
        <f>SUM('11'!CL14:CL38)</f>
        <v>0</v>
      </c>
      <c r="C14" s="386">
        <f>SUM('12'!CL14:CL38)</f>
        <v>0</v>
      </c>
      <c r="D14" s="265">
        <f>SUM('13'!CL14:CL38)</f>
        <v>0</v>
      </c>
      <c r="E14" s="251">
        <f>SUM('14'!CL14:CL38)</f>
        <v>0</v>
      </c>
      <c r="F14" s="251">
        <f>SUM('15'!CL14:CL38)</f>
        <v>0</v>
      </c>
      <c r="G14" s="251">
        <f>SUM('16'!CL14:CL38)</f>
        <v>0</v>
      </c>
      <c r="H14" s="251">
        <f>SUM('17'!CL14:CL38)</f>
        <v>0</v>
      </c>
      <c r="I14" s="251">
        <f>SUM('18'!CL14:CL38)</f>
        <v>0</v>
      </c>
      <c r="J14" s="251">
        <f>SUM('19'!CL14:CL38)</f>
        <v>0</v>
      </c>
      <c r="K14" s="251">
        <f>SUM('20'!CL14:CL38)</f>
        <v>0</v>
      </c>
      <c r="L14" s="251">
        <f>SUM('21'!CL14:CL38)</f>
        <v>0</v>
      </c>
      <c r="M14" s="251">
        <f>SUM('22'!CL14:CL38)</f>
        <v>0</v>
      </c>
    </row>
    <row r="15" spans="1:13" ht="38.1" customHeight="1" x14ac:dyDescent="0.3">
      <c r="A15" s="334" t="s">
        <v>4524</v>
      </c>
      <c r="B15" s="385">
        <f>SUM('11'!CM14:CM38)</f>
        <v>0</v>
      </c>
      <c r="C15" s="386">
        <f>SUM('12'!CM14:CM38)</f>
        <v>0</v>
      </c>
      <c r="D15" s="265">
        <f>SUM('13'!CM14:CM38)</f>
        <v>0</v>
      </c>
      <c r="E15" s="251">
        <f>SUM('14'!CM14:CM38)</f>
        <v>0</v>
      </c>
      <c r="F15" s="251">
        <f>SUM('15'!CM14:CM38)</f>
        <v>0</v>
      </c>
      <c r="G15" s="251">
        <f>SUM('16'!CM14:CM38)</f>
        <v>0</v>
      </c>
      <c r="H15" s="251">
        <f>SUM('17'!CM14:CM38)</f>
        <v>0</v>
      </c>
      <c r="I15" s="251">
        <f>SUM('18'!CM14:CM38)</f>
        <v>0</v>
      </c>
      <c r="J15" s="251">
        <f>SUM('19'!CM14:CM38)</f>
        <v>0</v>
      </c>
      <c r="K15" s="251">
        <f>SUM('20'!CM14:CM38)</f>
        <v>0</v>
      </c>
      <c r="L15" s="251">
        <f>SUM('21'!CM14:CM38)</f>
        <v>0</v>
      </c>
      <c r="M15" s="251">
        <f>SUM('22'!CM14:CM38)</f>
        <v>0</v>
      </c>
    </row>
    <row r="16" spans="1:13" ht="38.1" customHeight="1" x14ac:dyDescent="0.3">
      <c r="A16" s="334" t="s">
        <v>4525</v>
      </c>
      <c r="B16" s="385">
        <f>SUM('11'!CN14:CN38)</f>
        <v>0</v>
      </c>
      <c r="C16" s="386">
        <f>SUM('12'!CN14:CN39)</f>
        <v>0</v>
      </c>
      <c r="D16" s="265">
        <f>SUM('13'!CN14:CN38)</f>
        <v>0</v>
      </c>
      <c r="E16" s="251">
        <f>SUM('14'!CN14:CN38)</f>
        <v>0</v>
      </c>
      <c r="F16" s="251">
        <f>SUM('15'!CN14:CN38)</f>
        <v>0</v>
      </c>
      <c r="G16" s="251">
        <f>SUM('16'!CN14:CN38)</f>
        <v>0</v>
      </c>
      <c r="H16" s="251">
        <f>SUM('17'!CN14:CN38)</f>
        <v>0</v>
      </c>
      <c r="I16" s="251">
        <f>SUM('18'!CN14:CN38)</f>
        <v>0</v>
      </c>
      <c r="J16" s="251">
        <f>SUM('19'!CN14:CN38)</f>
        <v>0</v>
      </c>
      <c r="K16" s="251">
        <f>SUM('20'!CN14:CN38)</f>
        <v>0</v>
      </c>
      <c r="L16" s="251">
        <f>SUM('21'!CN14:CN38)</f>
        <v>0</v>
      </c>
      <c r="M16" s="251">
        <f>SUM('22'!CN14:CN38)</f>
        <v>0</v>
      </c>
    </row>
    <row r="17" spans="1:13" ht="38.1" customHeight="1" x14ac:dyDescent="0.3">
      <c r="A17" s="334" t="s">
        <v>4526</v>
      </c>
      <c r="B17" s="385">
        <f>Admin_1</f>
        <v>0</v>
      </c>
      <c r="C17" s="386">
        <f>Admin_2*Inflación_2</f>
        <v>0</v>
      </c>
      <c r="D17" s="265">
        <f>Admin_3*Inflación_3</f>
        <v>0</v>
      </c>
      <c r="E17" s="251">
        <f>Admin_4*Inflación_4</f>
        <v>0</v>
      </c>
      <c r="F17" s="251">
        <f>Admin_5*Inflación_5</f>
        <v>0</v>
      </c>
      <c r="G17" s="251">
        <f>Admin_6*Inflación_6</f>
        <v>0</v>
      </c>
      <c r="H17" s="251">
        <f>Admin_7*Inflación_7</f>
        <v>0</v>
      </c>
      <c r="I17" s="251">
        <f>Admin_8*Inflación_8</f>
        <v>0</v>
      </c>
      <c r="J17" s="251">
        <f>Admin_9*Inflación_9</f>
        <v>0</v>
      </c>
      <c r="K17" s="251">
        <f>Admin_10*Inflación_10</f>
        <v>0</v>
      </c>
      <c r="L17" s="251">
        <f>Admin_11*Inflación_11</f>
        <v>0</v>
      </c>
      <c r="M17" s="251">
        <f>Admin_12*Inflación_12</f>
        <v>0</v>
      </c>
    </row>
    <row r="18" spans="1:13" ht="38.1" customHeight="1" x14ac:dyDescent="0.3">
      <c r="A18" s="344" t="s">
        <v>4527</v>
      </c>
      <c r="B18" s="385" t="e">
        <f>'11'!B40+'11'!B41</f>
        <v>#DIV/0!</v>
      </c>
      <c r="C18" s="386" t="e">
        <f>('12'!B40+'12'!B41)</f>
        <v>#DIV/0!</v>
      </c>
      <c r="D18" s="387" t="e">
        <f>('13'!B40+'13'!B41)</f>
        <v>#DIV/0!</v>
      </c>
      <c r="E18" s="335" t="e">
        <f>('14'!B40+'14'!B41)</f>
        <v>#DIV/0!</v>
      </c>
      <c r="F18" s="335" t="e">
        <f>('15'!B40+'15'!B41)</f>
        <v>#DIV/0!</v>
      </c>
      <c r="G18" s="335" t="e">
        <f>('16'!B40+'16'!B41)</f>
        <v>#DIV/0!</v>
      </c>
      <c r="H18" s="335" t="e">
        <f>('17'!B40+'17'!B41)</f>
        <v>#DIV/0!</v>
      </c>
      <c r="I18" s="335" t="e">
        <f>('18'!B40+'18'!B41)</f>
        <v>#DIV/0!</v>
      </c>
      <c r="J18" s="335" t="e">
        <f>('19'!B40+'19'!B41)</f>
        <v>#DIV/0!</v>
      </c>
      <c r="K18" s="335" t="e">
        <f>('20'!B40+'20'!B41)</f>
        <v>#DIV/0!</v>
      </c>
      <c r="L18" s="335" t="e">
        <f>('21'!B40+'21'!B41)</f>
        <v>#DIV/0!</v>
      </c>
      <c r="M18" s="335" t="e">
        <f>('22'!B40+'22'!B41)</f>
        <v>#DIV/0!</v>
      </c>
    </row>
    <row r="19" spans="1:13" ht="38.1" customHeight="1" x14ac:dyDescent="0.3">
      <c r="A19" s="234" t="s">
        <v>4528</v>
      </c>
      <c r="B19" s="388">
        <f t="shared" ref="B19:M19" si="3">B5-B10</f>
        <v>0</v>
      </c>
      <c r="C19" s="388">
        <f t="shared" si="3"/>
        <v>0</v>
      </c>
      <c r="D19" s="388">
        <f t="shared" si="3"/>
        <v>0</v>
      </c>
      <c r="E19" s="388">
        <f t="shared" si="3"/>
        <v>0</v>
      </c>
      <c r="F19" s="388">
        <f t="shared" si="3"/>
        <v>0</v>
      </c>
      <c r="G19" s="388">
        <f t="shared" si="3"/>
        <v>0</v>
      </c>
      <c r="H19" s="388">
        <f t="shared" si="3"/>
        <v>0</v>
      </c>
      <c r="I19" s="388">
        <f t="shared" si="3"/>
        <v>0</v>
      </c>
      <c r="J19" s="388">
        <f t="shared" si="3"/>
        <v>0</v>
      </c>
      <c r="K19" s="388">
        <f t="shared" si="3"/>
        <v>0</v>
      </c>
      <c r="L19" s="388">
        <f t="shared" si="3"/>
        <v>0</v>
      </c>
      <c r="M19" s="389">
        <f t="shared" si="3"/>
        <v>0</v>
      </c>
    </row>
    <row r="20" spans="1:13" ht="38.1" customHeight="1" x14ac:dyDescent="0.3">
      <c r="A20" s="231" t="s">
        <v>4529</v>
      </c>
      <c r="B20" s="390">
        <f>SUMIF('8'!$A$5:$A$30,'10'!$B$4,'8'!$C$5:$C$30)</f>
        <v>0</v>
      </c>
      <c r="C20" s="390">
        <f>(SUMIF('8'!$A$5:$A$30,'10'!C$4,'8'!$C$5:$C$30))*Inflación_2</f>
        <v>0</v>
      </c>
      <c r="D20" s="390">
        <f>(SUMIF('8'!$A$5:$A$30,'10'!D$4,'8'!$C$5:$C$30))*Inflación_3</f>
        <v>0</v>
      </c>
      <c r="E20" s="390">
        <f>(SUMIF('8'!$A$5:$A$30,'10'!E$4,'8'!$C$5:$C$30))*Inflación_4</f>
        <v>0</v>
      </c>
      <c r="F20" s="390">
        <f>(SUMIF('8'!$A$5:$A$30,'10'!F$4,'8'!$C$5:$C$30))*Inflación_5</f>
        <v>0</v>
      </c>
      <c r="G20" s="390">
        <f>(SUMIF('8'!$A$5:$A$30,'10'!G$4,'8'!$C$5:$C$30))*Inflación_6</f>
        <v>0</v>
      </c>
      <c r="H20" s="390">
        <f>(SUMIF('8'!$A$5:$A$30,'10'!H$4,'8'!$C$5:$C$30))*Inflación_7</f>
        <v>0</v>
      </c>
      <c r="I20" s="390">
        <f>(SUMIF('8'!$A$5:$A$30,'10'!I$4,'8'!$C$5:$C$30))*Inflación_8</f>
        <v>0</v>
      </c>
      <c r="J20" s="390">
        <f>(SUMIF('8'!$A$5:$A$30,'10'!J$4,'8'!$C$5:$C$30))*Inflación_9</f>
        <v>0</v>
      </c>
      <c r="K20" s="390">
        <f>(SUMIF('8'!$A$5:$A$30,'10'!K$4,'8'!$C$5:$C$30))*Inflación_10</f>
        <v>0</v>
      </c>
      <c r="L20" s="390">
        <f>(SUMIF('8'!$A$5:$A$30,'10'!L$4,'8'!$C$5:$C$30))*Inflación_11</f>
        <v>0</v>
      </c>
      <c r="M20" s="265">
        <f>(SUMIF('8'!$A$5:$A$30,'10'!M$4,'8'!$C$5:$C$30))*Inflación_12</f>
        <v>0</v>
      </c>
    </row>
    <row r="21" spans="1:13" ht="38.1" customHeight="1" x14ac:dyDescent="0.3">
      <c r="A21" s="233" t="s">
        <v>4530</v>
      </c>
      <c r="B21" s="391">
        <f>B19-B20</f>
        <v>0</v>
      </c>
      <c r="C21" s="391">
        <f t="shared" ref="C21:M21" si="4">C19-C20</f>
        <v>0</v>
      </c>
      <c r="D21" s="391">
        <f t="shared" si="4"/>
        <v>0</v>
      </c>
      <c r="E21" s="391">
        <f t="shared" si="4"/>
        <v>0</v>
      </c>
      <c r="F21" s="391">
        <f t="shared" si="4"/>
        <v>0</v>
      </c>
      <c r="G21" s="391">
        <f t="shared" si="4"/>
        <v>0</v>
      </c>
      <c r="H21" s="391">
        <f t="shared" si="4"/>
        <v>0</v>
      </c>
      <c r="I21" s="391">
        <f t="shared" si="4"/>
        <v>0</v>
      </c>
      <c r="J21" s="391">
        <f t="shared" si="4"/>
        <v>0</v>
      </c>
      <c r="K21" s="391">
        <f t="shared" si="4"/>
        <v>0</v>
      </c>
      <c r="L21" s="391">
        <f t="shared" si="4"/>
        <v>0</v>
      </c>
      <c r="M21" s="391">
        <f t="shared" si="4"/>
        <v>0</v>
      </c>
    </row>
    <row r="22" spans="1:13" ht="38.1" customHeight="1" x14ac:dyDescent="0.3">
      <c r="A22" s="231" t="s">
        <v>4531</v>
      </c>
      <c r="B22" s="392">
        <f>'4'!B25</f>
        <v>0</v>
      </c>
      <c r="C22" s="393">
        <f>'4'!$B46*Inflación_2</f>
        <v>0</v>
      </c>
      <c r="D22" s="393">
        <f>'4'!$B67*Inflación_3</f>
        <v>0</v>
      </c>
      <c r="E22" s="393">
        <f>'4'!$B88*Inflación_4</f>
        <v>0</v>
      </c>
      <c r="F22" s="393">
        <f>'4'!$B109*Inflación_5</f>
        <v>0</v>
      </c>
      <c r="G22" s="393">
        <f>'4'!$B130*Inflación_6</f>
        <v>0</v>
      </c>
      <c r="H22" s="393">
        <f>'4'!$B151*Inflación_7</f>
        <v>0</v>
      </c>
      <c r="I22" s="393">
        <f>'4'!$B172*Inflación_8</f>
        <v>0</v>
      </c>
      <c r="J22" s="393">
        <f>'4'!$B193*Inflación_9</f>
        <v>0</v>
      </c>
      <c r="K22" s="393">
        <f>'4'!$B214*Inflación_10</f>
        <v>0</v>
      </c>
      <c r="L22" s="393">
        <f>'4'!$B235*Inflación_11</f>
        <v>0</v>
      </c>
      <c r="M22" s="393">
        <f>'4'!$B256*Inflación_12</f>
        <v>0</v>
      </c>
    </row>
    <row r="23" spans="1:13" ht="38.1" customHeight="1" x14ac:dyDescent="0.3">
      <c r="A23" s="231" t="s">
        <v>4532</v>
      </c>
      <c r="B23" s="265">
        <f>IF(Financiamiento="Si",F52,0)</f>
        <v>0</v>
      </c>
      <c r="C23" s="251">
        <f>IF(Financiamiento="Si",$F53,0)*Inflación_2</f>
        <v>0</v>
      </c>
      <c r="D23" s="251">
        <f>IF(Financiamiento="Si",$F54,0)*Inflación_3</f>
        <v>0</v>
      </c>
      <c r="E23" s="251">
        <f>IF(Financiamiento="Si",$F55,0)*Inflación_4</f>
        <v>0</v>
      </c>
      <c r="F23" s="251">
        <f>IF(Financiamiento="Si",$F56,0)*Inflación_5</f>
        <v>0</v>
      </c>
      <c r="G23" s="251">
        <f>IF(Financiamiento="Si",$F57,0)*Inflación_6</f>
        <v>0</v>
      </c>
      <c r="H23" s="251">
        <f>IF(Financiamiento="Si",$F58,0)*Inflación_7</f>
        <v>0</v>
      </c>
      <c r="I23" s="251">
        <f>IF(Financiamiento="Si",$F59,0)*Inflación_8</f>
        <v>0</v>
      </c>
      <c r="J23" s="251">
        <f>IF(Financiamiento="Si",$F60,0)*Inflación_9</f>
        <v>0</v>
      </c>
      <c r="K23" s="251">
        <f>IF(Financiamiento="Si",$F61,0)*Inflación_10</f>
        <v>0</v>
      </c>
      <c r="L23" s="251">
        <f>IF(Financiamiento="Si",$F62,0)*Inflación_11</f>
        <v>0</v>
      </c>
      <c r="M23" s="251">
        <f>IF(Financiamiento="Si",$F63,0)*Inflación_12</f>
        <v>0</v>
      </c>
    </row>
    <row r="24" spans="1:13" ht="38.1" customHeight="1" x14ac:dyDescent="0.3">
      <c r="A24" s="232" t="s">
        <v>4533</v>
      </c>
      <c r="B24" s="387">
        <f>IF(Financiamiento="Si",$G52,0)</f>
        <v>0</v>
      </c>
      <c r="C24" s="335">
        <f>IF(Financiamiento="Si",$G53,0)*Inflación_2</f>
        <v>0</v>
      </c>
      <c r="D24" s="335">
        <f>IF(Financiamiento="Si",$G54,0)*Inflación_3</f>
        <v>0</v>
      </c>
      <c r="E24" s="335">
        <f>IF(Financiamiento="Si",$G55,0)*Inflación_4</f>
        <v>0</v>
      </c>
      <c r="F24" s="335">
        <f>IF(Financiamiento="Si",$G56,0)*Inflación_5</f>
        <v>0</v>
      </c>
      <c r="G24" s="335">
        <f>IF(Financiamiento="Si",$G57,0)*Inflación_6</f>
        <v>0</v>
      </c>
      <c r="H24" s="335">
        <f>IF(Financiamiento="Si",$G58,0)*Inflación_7</f>
        <v>0</v>
      </c>
      <c r="I24" s="335">
        <f>IF(Financiamiento="Si",$G59,0)*Inflación_8</f>
        <v>0</v>
      </c>
      <c r="J24" s="335">
        <f>IF(Financiamiento="Si",$G60,0)*Inflación_9</f>
        <v>0</v>
      </c>
      <c r="K24" s="335">
        <f>IF(Financiamiento="Si",$G61,0)*Inflación_10</f>
        <v>0</v>
      </c>
      <c r="L24" s="335">
        <f>IF(Financiamiento="Si",$G62,0)*Inflación_11</f>
        <v>0</v>
      </c>
      <c r="M24" s="335">
        <f>IF(Financiamiento="Si",$G63,0)*Inflación_12</f>
        <v>0</v>
      </c>
    </row>
    <row r="25" spans="1:13" ht="38.1" customHeight="1" x14ac:dyDescent="0.3">
      <c r="A25" s="234" t="s">
        <v>4534</v>
      </c>
      <c r="B25" s="394">
        <f>B21-B22-B23-B24</f>
        <v>0</v>
      </c>
      <c r="C25" s="394">
        <f t="shared" ref="C25:M25" si="5">C21-C22-C23-C24</f>
        <v>0</v>
      </c>
      <c r="D25" s="394">
        <f t="shared" si="5"/>
        <v>0</v>
      </c>
      <c r="E25" s="394">
        <f t="shared" si="5"/>
        <v>0</v>
      </c>
      <c r="F25" s="394">
        <f t="shared" si="5"/>
        <v>0</v>
      </c>
      <c r="G25" s="394">
        <f t="shared" si="5"/>
        <v>0</v>
      </c>
      <c r="H25" s="394">
        <f t="shared" si="5"/>
        <v>0</v>
      </c>
      <c r="I25" s="394">
        <f t="shared" si="5"/>
        <v>0</v>
      </c>
      <c r="J25" s="394">
        <f t="shared" si="5"/>
        <v>0</v>
      </c>
      <c r="K25" s="394">
        <f t="shared" si="5"/>
        <v>0</v>
      </c>
      <c r="L25" s="394">
        <f t="shared" si="5"/>
        <v>0</v>
      </c>
      <c r="M25" s="394">
        <f t="shared" si="5"/>
        <v>0</v>
      </c>
    </row>
    <row r="26" spans="1:13" s="12" customFormat="1" ht="18" customHeight="1" x14ac:dyDescent="0.3">
      <c r="A26" s="235" t="s">
        <v>4535</v>
      </c>
      <c r="B26" s="395">
        <v>0.13</v>
      </c>
      <c r="C26" s="236"/>
      <c r="D26" s="236"/>
      <c r="E26" s="236"/>
      <c r="F26" s="236"/>
      <c r="G26" s="236"/>
      <c r="H26" s="236"/>
      <c r="I26" s="236"/>
      <c r="J26" s="236"/>
      <c r="K26" s="236"/>
      <c r="L26" s="236"/>
      <c r="M26" s="236"/>
    </row>
    <row r="27" spans="1:13" s="12" customFormat="1" ht="18" customHeight="1" x14ac:dyDescent="0.3">
      <c r="A27" s="235" t="s">
        <v>4536</v>
      </c>
      <c r="B27" s="396">
        <v>3</v>
      </c>
      <c r="C27" s="236"/>
      <c r="D27" s="236"/>
      <c r="E27" s="236"/>
      <c r="F27" s="236"/>
      <c r="G27" s="236"/>
      <c r="H27" s="236"/>
      <c r="I27" s="236"/>
      <c r="J27" s="236"/>
      <c r="K27" s="236"/>
      <c r="L27" s="236"/>
      <c r="M27" s="236"/>
    </row>
    <row r="28" spans="1:13" s="12" customFormat="1" ht="18" customHeight="1" x14ac:dyDescent="0.3">
      <c r="A28" s="235" t="s">
        <v>4537</v>
      </c>
      <c r="B28" s="237">
        <f>NPV(Tasa,B21:M21)</f>
        <v>0</v>
      </c>
      <c r="C28" s="236"/>
      <c r="D28" s="236"/>
      <c r="E28" s="236"/>
      <c r="F28" s="236"/>
      <c r="G28" s="236"/>
      <c r="H28" s="236"/>
      <c r="I28" s="236"/>
      <c r="J28" s="236"/>
      <c r="K28" s="236"/>
      <c r="L28" s="236"/>
      <c r="M28" s="236"/>
    </row>
    <row r="29" spans="1:13" s="12" customFormat="1" ht="18" customHeight="1" x14ac:dyDescent="0.3">
      <c r="A29" s="235" t="s">
        <v>4538</v>
      </c>
      <c r="B29" s="238" t="e">
        <f>IRR(B25:M25,Tasa)</f>
        <v>#NUM!</v>
      </c>
      <c r="C29" s="236"/>
      <c r="D29" s="236"/>
      <c r="E29" s="236"/>
      <c r="F29" s="236"/>
      <c r="G29" s="236"/>
      <c r="H29" s="236"/>
      <c r="I29" s="236"/>
      <c r="J29" s="236"/>
      <c r="K29" s="236"/>
      <c r="L29" s="236"/>
      <c r="M29" s="236"/>
    </row>
    <row r="31" spans="1:13" x14ac:dyDescent="0.3">
      <c r="D31" s="239"/>
    </row>
    <row r="32" spans="1:13" x14ac:dyDescent="0.3">
      <c r="A32" s="240"/>
    </row>
    <row r="49" spans="1:11" ht="18" thickBot="1" x14ac:dyDescent="0.35">
      <c r="A49" s="241"/>
    </row>
    <row r="50" spans="1:11" ht="24.95" customHeight="1" thickBot="1" x14ac:dyDescent="0.35">
      <c r="A50" s="242"/>
      <c r="D50" s="243" t="s">
        <v>4539</v>
      </c>
      <c r="E50" s="244"/>
      <c r="F50" s="244"/>
      <c r="G50" s="244"/>
      <c r="H50" s="245"/>
    </row>
    <row r="51" spans="1:11" ht="21.95" customHeight="1" thickBot="1" x14ac:dyDescent="0.35">
      <c r="A51" s="246" t="s">
        <v>4540</v>
      </c>
      <c r="B51" s="380" t="s">
        <v>4549</v>
      </c>
      <c r="D51" s="397" t="s">
        <v>231</v>
      </c>
      <c r="E51" s="398" t="s">
        <v>4542</v>
      </c>
      <c r="F51" s="398" t="s">
        <v>4543</v>
      </c>
      <c r="G51" s="398" t="s">
        <v>4544</v>
      </c>
      <c r="H51" s="399" t="s">
        <v>4545</v>
      </c>
    </row>
    <row r="52" spans="1:11" x14ac:dyDescent="0.3">
      <c r="A52" s="247" t="s">
        <v>4546</v>
      </c>
      <c r="B52" s="248" t="s">
        <v>4547</v>
      </c>
      <c r="C52" s="5">
        <v>1</v>
      </c>
      <c r="D52" s="400">
        <v>1</v>
      </c>
      <c r="E52" s="401" t="str">
        <f>IF(Financiamiento="Si",B53-F52,"")</f>
        <v/>
      </c>
      <c r="F52" s="401">
        <f>IF(Gracia=0,IF(D52=0,0,Financiado/Plazo),0)</f>
        <v>0</v>
      </c>
      <c r="G52" s="401">
        <f t="shared" ref="G52:G63" si="6">IFERROR(E52*Tasa,0)</f>
        <v>0</v>
      </c>
      <c r="H52" s="402">
        <f>G52+F52</f>
        <v>0</v>
      </c>
    </row>
    <row r="53" spans="1:11" ht="20.100000000000001" customHeight="1" x14ac:dyDescent="0.3">
      <c r="A53" s="250" t="s">
        <v>4520</v>
      </c>
      <c r="B53" s="381"/>
      <c r="C53" s="5">
        <v>2</v>
      </c>
      <c r="D53" s="77">
        <v>2</v>
      </c>
      <c r="E53" s="249">
        <f>IF(Financiamiento="Si",E52-F53,0)</f>
        <v>0</v>
      </c>
      <c r="F53" s="249">
        <f>IF(Gracia&gt;1,0,IF(D53=0,0,Financiado/(Plazo-Gracia)))</f>
        <v>0</v>
      </c>
      <c r="G53" s="249">
        <f t="shared" si="6"/>
        <v>0</v>
      </c>
      <c r="H53" s="79">
        <f t="shared" ref="H53:H63" si="7">G53+F53</f>
        <v>0</v>
      </c>
    </row>
    <row r="54" spans="1:11" ht="20.100000000000001" customHeight="1" x14ac:dyDescent="0.3">
      <c r="A54" s="247" t="s">
        <v>4548</v>
      </c>
      <c r="B54" s="380"/>
      <c r="C54" s="5">
        <v>3</v>
      </c>
      <c r="D54" s="77">
        <f>IF(Plazo&gt;2,3,0)</f>
        <v>0</v>
      </c>
      <c r="E54" s="249" t="str">
        <f>IF(Financiamiento="Si",E53,"")</f>
        <v/>
      </c>
      <c r="F54" s="249">
        <f>IF(Gracia&gt;2,0,IF(D54=0,0,Financiado/(Plazo-Gracia)))</f>
        <v>0</v>
      </c>
      <c r="G54" s="249">
        <f t="shared" si="6"/>
        <v>0</v>
      </c>
      <c r="H54" s="79">
        <f>G54+F54</f>
        <v>0</v>
      </c>
      <c r="K54" s="239"/>
    </row>
    <row r="55" spans="1:11" x14ac:dyDescent="0.3">
      <c r="C55" s="5">
        <v>4</v>
      </c>
      <c r="D55" s="77">
        <f>IF(Plazo&gt;3,4,0)</f>
        <v>0</v>
      </c>
      <c r="E55" s="249">
        <f t="shared" ref="E55:E62" si="8">IF(Financiamiento="Si",IF(D55&gt;0,E54-F54,0),0)</f>
        <v>0</v>
      </c>
      <c r="F55" s="249">
        <f>IF(Gracia&gt;3,0,IF(D55=0,0,Financiado/(Plazo-Gracia)))</f>
        <v>0</v>
      </c>
      <c r="G55" s="249">
        <f t="shared" si="6"/>
        <v>0</v>
      </c>
      <c r="H55" s="79">
        <f t="shared" si="7"/>
        <v>0</v>
      </c>
    </row>
    <row r="56" spans="1:11" x14ac:dyDescent="0.3">
      <c r="B56" s="300">
        <f>SUM(F52:F63)</f>
        <v>0</v>
      </c>
      <c r="C56" s="5">
        <v>5</v>
      </c>
      <c r="D56" s="77">
        <f>IF(Plazo&gt;4,5,0)</f>
        <v>0</v>
      </c>
      <c r="E56" s="249">
        <f t="shared" si="8"/>
        <v>0</v>
      </c>
      <c r="F56" s="249">
        <f>IF(Gracia&gt;4,0,IF(D56=0,0,Financiado/(Plazo-Gracia)))</f>
        <v>0</v>
      </c>
      <c r="G56" s="249">
        <f t="shared" si="6"/>
        <v>0</v>
      </c>
      <c r="H56" s="79">
        <f t="shared" si="7"/>
        <v>0</v>
      </c>
    </row>
    <row r="57" spans="1:11" x14ac:dyDescent="0.3">
      <c r="B57" s="249"/>
      <c r="C57" s="5">
        <v>6</v>
      </c>
      <c r="D57" s="77">
        <f>IF(Plazo&gt;5,6,0)</f>
        <v>0</v>
      </c>
      <c r="E57" s="249">
        <f t="shared" si="8"/>
        <v>0</v>
      </c>
      <c r="F57" s="249">
        <f>IF(Gracia&gt;5,0,IF(D57=0,0,Financiado/(Plazo-Gracia)))</f>
        <v>0</v>
      </c>
      <c r="G57" s="249">
        <f t="shared" si="6"/>
        <v>0</v>
      </c>
      <c r="H57" s="79">
        <f t="shared" si="7"/>
        <v>0</v>
      </c>
    </row>
    <row r="58" spans="1:11" x14ac:dyDescent="0.3">
      <c r="B58" s="249"/>
      <c r="C58" s="5">
        <v>7</v>
      </c>
      <c r="D58" s="77">
        <f>IF(Plazo&gt;6,7,0)</f>
        <v>0</v>
      </c>
      <c r="E58" s="249">
        <f t="shared" si="8"/>
        <v>0</v>
      </c>
      <c r="F58" s="249">
        <f>IF(Gracia&gt;6,0,IF(D58=0,0,Financiado/(Plazo-Gracia)))</f>
        <v>0</v>
      </c>
      <c r="G58" s="249">
        <f t="shared" si="6"/>
        <v>0</v>
      </c>
      <c r="H58" s="79">
        <f t="shared" si="7"/>
        <v>0</v>
      </c>
    </row>
    <row r="59" spans="1:11" x14ac:dyDescent="0.3">
      <c r="B59" s="249"/>
      <c r="C59" s="5">
        <v>8</v>
      </c>
      <c r="D59" s="77">
        <f>IF(Plazo&gt;7,8,0)</f>
        <v>0</v>
      </c>
      <c r="E59" s="249">
        <f t="shared" si="8"/>
        <v>0</v>
      </c>
      <c r="F59" s="249">
        <f>IF(Gracia&gt;7,0,IF(D59=0,0,Financiado/(Plazo-Gracia)))</f>
        <v>0</v>
      </c>
      <c r="G59" s="249">
        <f t="shared" si="6"/>
        <v>0</v>
      </c>
      <c r="H59" s="79">
        <f t="shared" si="7"/>
        <v>0</v>
      </c>
    </row>
    <row r="60" spans="1:11" x14ac:dyDescent="0.3">
      <c r="B60" s="249"/>
      <c r="C60" s="5">
        <v>9</v>
      </c>
      <c r="D60" s="77">
        <f>IF(Plazo&gt;8,9,0)</f>
        <v>0</v>
      </c>
      <c r="E60" s="249">
        <f t="shared" si="8"/>
        <v>0</v>
      </c>
      <c r="F60" s="249">
        <f>IF(Gracia&gt;8,0,IF(D60=0,0,Financiado/(Plazo-Gracia)))</f>
        <v>0</v>
      </c>
      <c r="G60" s="249">
        <f t="shared" si="6"/>
        <v>0</v>
      </c>
      <c r="H60" s="79">
        <f t="shared" si="7"/>
        <v>0</v>
      </c>
    </row>
    <row r="61" spans="1:11" x14ac:dyDescent="0.3">
      <c r="B61" s="249"/>
      <c r="C61" s="5">
        <v>10</v>
      </c>
      <c r="D61" s="77">
        <f>IF(Plazo&gt;9,10,0)</f>
        <v>0</v>
      </c>
      <c r="E61" s="249">
        <f t="shared" si="8"/>
        <v>0</v>
      </c>
      <c r="F61" s="249">
        <f>IF(Gracia&gt;9,0,IF(D61=0,0,Financiado/(Plazo-Gracia)))</f>
        <v>0</v>
      </c>
      <c r="G61" s="249">
        <f t="shared" si="6"/>
        <v>0</v>
      </c>
      <c r="H61" s="79">
        <f t="shared" si="7"/>
        <v>0</v>
      </c>
    </row>
    <row r="62" spans="1:11" x14ac:dyDescent="0.3">
      <c r="B62" s="249"/>
      <c r="C62" s="5">
        <v>11</v>
      </c>
      <c r="D62" s="77">
        <f>IF(Plazo&gt;10,11,0)</f>
        <v>0</v>
      </c>
      <c r="E62" s="249">
        <f t="shared" si="8"/>
        <v>0</v>
      </c>
      <c r="F62" s="249">
        <f>IF(Gracia&gt;10,0,IF(D62=0,0,Financiado/(Plazo-Gracia)))</f>
        <v>0</v>
      </c>
      <c r="G62" s="249">
        <f t="shared" si="6"/>
        <v>0</v>
      </c>
      <c r="H62" s="79">
        <f t="shared" si="7"/>
        <v>0</v>
      </c>
    </row>
    <row r="63" spans="1:11" ht="18" thickBot="1" x14ac:dyDescent="0.35">
      <c r="B63" s="249"/>
      <c r="C63" s="5">
        <v>12</v>
      </c>
      <c r="D63" s="80">
        <f>IF(Plazo&gt;11,12,0)</f>
        <v>0</v>
      </c>
      <c r="E63" s="252">
        <f>IF(Financiamiento="Si",IF(D63&gt;0,E62-F62,0),0)</f>
        <v>0</v>
      </c>
      <c r="F63" s="252">
        <f>IF(Gracia&gt;111,0,IF(D63=0,0,Financiado/(Plazo-Gracia)))</f>
        <v>0</v>
      </c>
      <c r="G63" s="252">
        <f t="shared" si="6"/>
        <v>0</v>
      </c>
      <c r="H63" s="82">
        <f t="shared" si="7"/>
        <v>0</v>
      </c>
    </row>
    <row r="64" spans="1:11" x14ac:dyDescent="0.3">
      <c r="B64" s="249"/>
      <c r="C64" s="5" t="s">
        <v>4541</v>
      </c>
      <c r="D64" s="5">
        <v>9</v>
      </c>
    </row>
    <row r="65" spans="2:8" x14ac:dyDescent="0.3">
      <c r="B65" s="249"/>
      <c r="C65" s="5" t="s">
        <v>4549</v>
      </c>
      <c r="D65" s="5"/>
    </row>
    <row r="66" spans="2:8" x14ac:dyDescent="0.3">
      <c r="B66" s="249"/>
      <c r="D66" s="5">
        <v>11</v>
      </c>
      <c r="G66" s="249"/>
      <c r="H66" s="253"/>
    </row>
    <row r="67" spans="2:8" x14ac:dyDescent="0.3">
      <c r="D67" s="5">
        <v>12</v>
      </c>
      <c r="G67" s="249"/>
      <c r="H67" s="253"/>
    </row>
    <row r="68" spans="2:8" x14ac:dyDescent="0.3">
      <c r="G68" s="249"/>
      <c r="H68" s="253"/>
    </row>
    <row r="69" spans="2:8" x14ac:dyDescent="0.3">
      <c r="G69" s="249"/>
      <c r="H69" s="253"/>
    </row>
    <row r="70" spans="2:8" x14ac:dyDescent="0.3">
      <c r="G70" s="249"/>
      <c r="H70" s="253"/>
    </row>
    <row r="71" spans="2:8" x14ac:dyDescent="0.3">
      <c r="G71" s="249"/>
      <c r="H71" s="253"/>
    </row>
    <row r="72" spans="2:8" x14ac:dyDescent="0.3">
      <c r="G72" s="249"/>
      <c r="H72" s="253"/>
    </row>
    <row r="73" spans="2:8" x14ac:dyDescent="0.3">
      <c r="G73" s="249"/>
      <c r="H73" s="253"/>
    </row>
    <row r="74" spans="2:8" x14ac:dyDescent="0.3">
      <c r="G74" s="249"/>
      <c r="H74" s="253"/>
    </row>
    <row r="75" spans="2:8" x14ac:dyDescent="0.3">
      <c r="G75" s="249"/>
      <c r="H75" s="253"/>
    </row>
    <row r="76" spans="2:8" x14ac:dyDescent="0.3">
      <c r="G76" s="249"/>
      <c r="H76" s="253"/>
    </row>
    <row r="77" spans="2:8" x14ac:dyDescent="0.3">
      <c r="G77" s="249"/>
      <c r="H77" s="253"/>
    </row>
    <row r="78" spans="2:8" x14ac:dyDescent="0.3">
      <c r="G78" s="249"/>
      <c r="H78" s="253"/>
    </row>
    <row r="79" spans="2:8" x14ac:dyDescent="0.3">
      <c r="G79" s="249"/>
      <c r="H79" s="253"/>
    </row>
    <row r="80" spans="2:8" x14ac:dyDescent="0.3">
      <c r="G80" s="249"/>
      <c r="H80" s="253"/>
    </row>
    <row r="81" spans="7:8" x14ac:dyDescent="0.3">
      <c r="G81" s="249"/>
      <c r="H81" s="253"/>
    </row>
    <row r="82" spans="7:8" x14ac:dyDescent="0.3">
      <c r="G82" s="249"/>
      <c r="H82" s="253"/>
    </row>
    <row r="83" spans="7:8" x14ac:dyDescent="0.3">
      <c r="G83" s="249"/>
      <c r="H83" s="253"/>
    </row>
    <row r="84" spans="7:8" x14ac:dyDescent="0.3">
      <c r="G84" s="249"/>
      <c r="H84" s="253"/>
    </row>
    <row r="85" spans="7:8" x14ac:dyDescent="0.3">
      <c r="G85" s="249"/>
      <c r="H85" s="253"/>
    </row>
    <row r="86" spans="7:8" x14ac:dyDescent="0.3">
      <c r="G86" s="249"/>
      <c r="H86" s="253"/>
    </row>
    <row r="87" spans="7:8" x14ac:dyDescent="0.3">
      <c r="G87" s="249"/>
      <c r="H87" s="253"/>
    </row>
    <row r="88" spans="7:8" x14ac:dyDescent="0.3">
      <c r="G88" s="249"/>
      <c r="H88" s="253"/>
    </row>
    <row r="89" spans="7:8" x14ac:dyDescent="0.3">
      <c r="G89" s="249"/>
      <c r="H89" s="253"/>
    </row>
    <row r="90" spans="7:8" x14ac:dyDescent="0.3">
      <c r="G90" s="249"/>
      <c r="H90" s="253"/>
    </row>
    <row r="91" spans="7:8" x14ac:dyDescent="0.3">
      <c r="G91" s="249"/>
      <c r="H91" s="253"/>
    </row>
    <row r="92" spans="7:8" x14ac:dyDescent="0.3">
      <c r="G92" s="249"/>
      <c r="H92" s="253"/>
    </row>
    <row r="93" spans="7:8" x14ac:dyDescent="0.3">
      <c r="G93" s="249"/>
      <c r="H93" s="253"/>
    </row>
    <row r="94" spans="7:8" x14ac:dyDescent="0.3">
      <c r="G94" s="249"/>
      <c r="H94" s="253"/>
    </row>
    <row r="95" spans="7:8" x14ac:dyDescent="0.3">
      <c r="G95" s="249"/>
      <c r="H95" s="253"/>
    </row>
    <row r="96" spans="7:8" x14ac:dyDescent="0.3">
      <c r="G96" s="249"/>
      <c r="H96" s="253"/>
    </row>
    <row r="97" spans="7:8" x14ac:dyDescent="0.3">
      <c r="G97" s="249"/>
      <c r="H97" s="253"/>
    </row>
    <row r="98" spans="7:8" x14ac:dyDescent="0.3">
      <c r="G98" s="249"/>
      <c r="H98" s="253"/>
    </row>
    <row r="99" spans="7:8" x14ac:dyDescent="0.3">
      <c r="G99" s="249"/>
      <c r="H99" s="253"/>
    </row>
    <row r="100" spans="7:8" x14ac:dyDescent="0.3">
      <c r="G100" s="249"/>
      <c r="H100" s="253"/>
    </row>
    <row r="101" spans="7:8" x14ac:dyDescent="0.3">
      <c r="G101" s="249"/>
      <c r="H101" s="253"/>
    </row>
    <row r="102" spans="7:8" x14ac:dyDescent="0.3">
      <c r="G102" s="249"/>
      <c r="H102" s="253"/>
    </row>
    <row r="103" spans="7:8" x14ac:dyDescent="0.3">
      <c r="G103" s="249"/>
      <c r="H103" s="253"/>
    </row>
    <row r="104" spans="7:8" x14ac:dyDescent="0.3">
      <c r="G104" s="249"/>
      <c r="H104" s="253"/>
    </row>
    <row r="105" spans="7:8" x14ac:dyDescent="0.3">
      <c r="G105" s="249"/>
      <c r="H105" s="253"/>
    </row>
    <row r="106" spans="7:8" x14ac:dyDescent="0.3">
      <c r="G106" s="249"/>
      <c r="H106" s="253"/>
    </row>
    <row r="107" spans="7:8" x14ac:dyDescent="0.3">
      <c r="G107" s="249"/>
      <c r="H107" s="253"/>
    </row>
    <row r="108" spans="7:8" x14ac:dyDescent="0.3">
      <c r="G108" s="249"/>
      <c r="H108" s="253"/>
    </row>
    <row r="109" spans="7:8" x14ac:dyDescent="0.3">
      <c r="G109" s="249"/>
      <c r="H109" s="253"/>
    </row>
    <row r="110" spans="7:8" x14ac:dyDescent="0.3">
      <c r="G110" s="249"/>
      <c r="H110" s="253"/>
    </row>
    <row r="111" spans="7:8" x14ac:dyDescent="0.3">
      <c r="G111" s="249"/>
      <c r="H111" s="253"/>
    </row>
    <row r="112" spans="7:8" x14ac:dyDescent="0.3">
      <c r="G112" s="249"/>
      <c r="H112" s="253"/>
    </row>
    <row r="113" spans="7:8" x14ac:dyDescent="0.3">
      <c r="G113" s="249"/>
      <c r="H113" s="253"/>
    </row>
    <row r="114" spans="7:8" x14ac:dyDescent="0.3">
      <c r="G114" s="249"/>
      <c r="H114" s="253"/>
    </row>
    <row r="115" spans="7:8" x14ac:dyDescent="0.3">
      <c r="G115" s="249"/>
      <c r="H115" s="253"/>
    </row>
    <row r="116" spans="7:8" x14ac:dyDescent="0.3">
      <c r="G116" s="249"/>
      <c r="H116" s="253"/>
    </row>
    <row r="117" spans="7:8" x14ac:dyDescent="0.3">
      <c r="G117" s="249"/>
      <c r="H117" s="253"/>
    </row>
    <row r="118" spans="7:8" x14ac:dyDescent="0.3">
      <c r="G118" s="249"/>
      <c r="H118" s="253"/>
    </row>
    <row r="119" spans="7:8" x14ac:dyDescent="0.3">
      <c r="G119" s="249"/>
      <c r="H119" s="253"/>
    </row>
    <row r="120" spans="7:8" x14ac:dyDescent="0.3">
      <c r="G120" s="249"/>
      <c r="H120" s="253"/>
    </row>
    <row r="121" spans="7:8" x14ac:dyDescent="0.3">
      <c r="G121" s="249"/>
      <c r="H121" s="253"/>
    </row>
    <row r="122" spans="7:8" x14ac:dyDescent="0.3">
      <c r="G122" s="249"/>
      <c r="H122" s="253"/>
    </row>
    <row r="123" spans="7:8" x14ac:dyDescent="0.3">
      <c r="G123" s="249"/>
      <c r="H123" s="253"/>
    </row>
    <row r="124" spans="7:8" x14ac:dyDescent="0.3">
      <c r="G124" s="249"/>
      <c r="H124" s="253"/>
    </row>
    <row r="125" spans="7:8" x14ac:dyDescent="0.3">
      <c r="G125" s="249"/>
      <c r="H125" s="253"/>
    </row>
    <row r="126" spans="7:8" x14ac:dyDescent="0.3">
      <c r="G126" s="249"/>
      <c r="H126" s="253"/>
    </row>
    <row r="127" spans="7:8" x14ac:dyDescent="0.3">
      <c r="G127" s="249"/>
      <c r="H127" s="253"/>
    </row>
    <row r="128" spans="7:8" x14ac:dyDescent="0.3">
      <c r="G128" s="249"/>
      <c r="H128" s="253"/>
    </row>
    <row r="129" spans="7:8" x14ac:dyDescent="0.3">
      <c r="G129" s="249"/>
      <c r="H129" s="253"/>
    </row>
    <row r="130" spans="7:8" x14ac:dyDescent="0.3">
      <c r="G130" s="249"/>
      <c r="H130" s="253"/>
    </row>
    <row r="131" spans="7:8" x14ac:dyDescent="0.3">
      <c r="G131" s="249"/>
      <c r="H131" s="253"/>
    </row>
    <row r="132" spans="7:8" x14ac:dyDescent="0.3">
      <c r="G132" s="249"/>
      <c r="H132" s="253"/>
    </row>
    <row r="133" spans="7:8" x14ac:dyDescent="0.3">
      <c r="G133" s="249"/>
      <c r="H133" s="253"/>
    </row>
    <row r="134" spans="7:8" x14ac:dyDescent="0.3">
      <c r="G134" s="249"/>
      <c r="H134" s="253"/>
    </row>
    <row r="135" spans="7:8" x14ac:dyDescent="0.3">
      <c r="G135" s="249"/>
      <c r="H135" s="253"/>
    </row>
    <row r="136" spans="7:8" x14ac:dyDescent="0.3">
      <c r="G136" s="249"/>
      <c r="H136" s="253"/>
    </row>
    <row r="137" spans="7:8" x14ac:dyDescent="0.3">
      <c r="G137" s="249"/>
      <c r="H137" s="253"/>
    </row>
    <row r="138" spans="7:8" x14ac:dyDescent="0.3">
      <c r="G138" s="249"/>
      <c r="H138" s="253"/>
    </row>
    <row r="139" spans="7:8" x14ac:dyDescent="0.3">
      <c r="G139" s="249"/>
      <c r="H139" s="253"/>
    </row>
    <row r="140" spans="7:8" x14ac:dyDescent="0.3">
      <c r="G140" s="249"/>
      <c r="H140" s="253"/>
    </row>
    <row r="141" spans="7:8" x14ac:dyDescent="0.3">
      <c r="G141" s="249"/>
      <c r="H141" s="253"/>
    </row>
    <row r="142" spans="7:8" x14ac:dyDescent="0.3">
      <c r="G142" s="249"/>
      <c r="H142" s="253"/>
    </row>
    <row r="143" spans="7:8" x14ac:dyDescent="0.3">
      <c r="G143" s="249"/>
      <c r="H143" s="253"/>
    </row>
    <row r="144" spans="7:8" x14ac:dyDescent="0.3">
      <c r="G144" s="249"/>
      <c r="H144" s="253"/>
    </row>
    <row r="145" spans="7:8" x14ac:dyDescent="0.3">
      <c r="G145" s="249"/>
      <c r="H145" s="253"/>
    </row>
    <row r="146" spans="7:8" x14ac:dyDescent="0.3">
      <c r="G146" s="249"/>
      <c r="H146" s="253"/>
    </row>
    <row r="147" spans="7:8" x14ac:dyDescent="0.3">
      <c r="G147" s="249"/>
      <c r="H147" s="253"/>
    </row>
    <row r="148" spans="7:8" x14ac:dyDescent="0.3">
      <c r="G148" s="249"/>
      <c r="H148" s="253"/>
    </row>
    <row r="149" spans="7:8" x14ac:dyDescent="0.3">
      <c r="G149" s="249"/>
      <c r="H149" s="253"/>
    </row>
    <row r="150" spans="7:8" x14ac:dyDescent="0.3">
      <c r="G150" s="249"/>
      <c r="H150" s="253"/>
    </row>
    <row r="151" spans="7:8" x14ac:dyDescent="0.3">
      <c r="G151" s="249"/>
      <c r="H151" s="253"/>
    </row>
    <row r="152" spans="7:8" x14ac:dyDescent="0.3">
      <c r="G152" s="249"/>
      <c r="H152" s="253"/>
    </row>
    <row r="153" spans="7:8" x14ac:dyDescent="0.3">
      <c r="G153" s="249"/>
      <c r="H153" s="253"/>
    </row>
    <row r="154" spans="7:8" x14ac:dyDescent="0.3">
      <c r="G154" s="249"/>
      <c r="H154" s="253"/>
    </row>
    <row r="155" spans="7:8" x14ac:dyDescent="0.3">
      <c r="G155" s="249"/>
      <c r="H155" s="253"/>
    </row>
    <row r="156" spans="7:8" x14ac:dyDescent="0.3">
      <c r="G156" s="249"/>
      <c r="H156" s="253"/>
    </row>
    <row r="157" spans="7:8" x14ac:dyDescent="0.3">
      <c r="G157" s="249"/>
      <c r="H157" s="253"/>
    </row>
    <row r="158" spans="7:8" x14ac:dyDescent="0.3">
      <c r="G158" s="249"/>
      <c r="H158" s="253"/>
    </row>
    <row r="159" spans="7:8" x14ac:dyDescent="0.3">
      <c r="G159" s="249"/>
      <c r="H159" s="253"/>
    </row>
    <row r="160" spans="7:8" x14ac:dyDescent="0.3">
      <c r="G160" s="249"/>
      <c r="H160" s="253"/>
    </row>
    <row r="161" spans="7:8" x14ac:dyDescent="0.3">
      <c r="G161" s="249"/>
      <c r="H161" s="253"/>
    </row>
    <row r="162" spans="7:8" x14ac:dyDescent="0.3">
      <c r="G162" s="249"/>
      <c r="H162" s="253"/>
    </row>
    <row r="163" spans="7:8" x14ac:dyDescent="0.3">
      <c r="G163" s="249"/>
      <c r="H163" s="253"/>
    </row>
    <row r="164" spans="7:8" x14ac:dyDescent="0.3">
      <c r="G164" s="249"/>
      <c r="H164" s="253"/>
    </row>
    <row r="165" spans="7:8" x14ac:dyDescent="0.3">
      <c r="G165" s="249"/>
      <c r="H165" s="253"/>
    </row>
    <row r="166" spans="7:8" x14ac:dyDescent="0.3">
      <c r="G166" s="249"/>
      <c r="H166" s="253"/>
    </row>
    <row r="167" spans="7:8" x14ac:dyDescent="0.3">
      <c r="G167" s="249"/>
      <c r="H167" s="253"/>
    </row>
    <row r="168" spans="7:8" x14ac:dyDescent="0.3">
      <c r="G168" s="249"/>
      <c r="H168" s="253"/>
    </row>
    <row r="169" spans="7:8" x14ac:dyDescent="0.3">
      <c r="G169" s="249"/>
      <c r="H169" s="253"/>
    </row>
    <row r="170" spans="7:8" x14ac:dyDescent="0.3">
      <c r="G170" s="249"/>
      <c r="H170" s="253"/>
    </row>
    <row r="171" spans="7:8" x14ac:dyDescent="0.3">
      <c r="G171" s="249"/>
      <c r="H171" s="253"/>
    </row>
    <row r="172" spans="7:8" x14ac:dyDescent="0.3">
      <c r="G172" s="249"/>
      <c r="H172" s="253"/>
    </row>
    <row r="173" spans="7:8" x14ac:dyDescent="0.3">
      <c r="G173" s="249"/>
      <c r="H173" s="253"/>
    </row>
    <row r="174" spans="7:8" x14ac:dyDescent="0.3">
      <c r="G174" s="249"/>
      <c r="H174" s="253"/>
    </row>
    <row r="175" spans="7:8" x14ac:dyDescent="0.3">
      <c r="G175" s="249"/>
      <c r="H175" s="253"/>
    </row>
    <row r="176" spans="7:8" x14ac:dyDescent="0.3">
      <c r="G176" s="249"/>
      <c r="H176" s="253"/>
    </row>
    <row r="177" spans="7:8" x14ac:dyDescent="0.3">
      <c r="G177" s="249"/>
      <c r="H177" s="253"/>
    </row>
    <row r="178" spans="7:8" x14ac:dyDescent="0.3">
      <c r="G178" s="249"/>
      <c r="H178" s="253"/>
    </row>
    <row r="179" spans="7:8" x14ac:dyDescent="0.3">
      <c r="G179" s="249"/>
      <c r="H179" s="253"/>
    </row>
    <row r="180" spans="7:8" x14ac:dyDescent="0.3">
      <c r="G180" s="249"/>
      <c r="H180" s="253"/>
    </row>
    <row r="181" spans="7:8" x14ac:dyDescent="0.3">
      <c r="G181" s="249"/>
      <c r="H181" s="253"/>
    </row>
    <row r="182" spans="7:8" x14ac:dyDescent="0.3">
      <c r="G182" s="249"/>
      <c r="H182" s="253"/>
    </row>
    <row r="183" spans="7:8" x14ac:dyDescent="0.3">
      <c r="G183" s="249"/>
      <c r="H183" s="253"/>
    </row>
    <row r="184" spans="7:8" x14ac:dyDescent="0.3">
      <c r="G184" s="249"/>
      <c r="H184" s="253"/>
    </row>
    <row r="185" spans="7:8" x14ac:dyDescent="0.3">
      <c r="G185" s="249"/>
      <c r="H185" s="253"/>
    </row>
    <row r="186" spans="7:8" x14ac:dyDescent="0.3">
      <c r="G186" s="249"/>
      <c r="H186" s="253"/>
    </row>
    <row r="187" spans="7:8" x14ac:dyDescent="0.3">
      <c r="G187" s="249"/>
      <c r="H187" s="253"/>
    </row>
    <row r="188" spans="7:8" x14ac:dyDescent="0.3">
      <c r="G188" s="249"/>
      <c r="H188" s="253"/>
    </row>
    <row r="189" spans="7:8" x14ac:dyDescent="0.3">
      <c r="G189" s="249"/>
      <c r="H189" s="253"/>
    </row>
    <row r="190" spans="7:8" x14ac:dyDescent="0.3">
      <c r="G190" s="249"/>
      <c r="H190" s="253"/>
    </row>
    <row r="191" spans="7:8" x14ac:dyDescent="0.3">
      <c r="G191" s="249"/>
      <c r="H191" s="253"/>
    </row>
    <row r="192" spans="7:8" x14ac:dyDescent="0.3">
      <c r="G192" s="249"/>
      <c r="H192" s="253"/>
    </row>
    <row r="193" spans="7:8" x14ac:dyDescent="0.3">
      <c r="G193" s="249"/>
      <c r="H193" s="253"/>
    </row>
    <row r="194" spans="7:8" x14ac:dyDescent="0.3">
      <c r="G194" s="249"/>
      <c r="H194" s="253"/>
    </row>
    <row r="195" spans="7:8" x14ac:dyDescent="0.3">
      <c r="G195" s="249"/>
      <c r="H195" s="253"/>
    </row>
    <row r="196" spans="7:8" x14ac:dyDescent="0.3">
      <c r="G196" s="249"/>
      <c r="H196" s="253"/>
    </row>
    <row r="197" spans="7:8" x14ac:dyDescent="0.3">
      <c r="G197" s="249"/>
      <c r="H197" s="253"/>
    </row>
  </sheetData>
  <sheetProtection algorithmName="SHA-512" hashValue="JPgspG64sf6f2l8t1QMtWtaym8i0BW2kYX1opFRMM627d2rOZtG7jCmXtGG/7E+gsXkt/53/oQxnKHkGIZyl4g==" saltValue="C1fk9HtNBev6l8YGtZUwZw==" spinCount="100000" sheet="1" objects="1" scenarios="1"/>
  <mergeCells count="1">
    <mergeCell ref="A2:M2"/>
  </mergeCells>
  <phoneticPr fontId="4" type="noConversion"/>
  <dataValidations count="2">
    <dataValidation type="list" allowBlank="1" showInputMessage="1" showErrorMessage="1" sqref="B51" xr:uid="{C18213DB-720E-5043-8439-0342FB6C82E1}">
      <formula1>$C$64:$C$65</formula1>
    </dataValidation>
    <dataValidation type="list" allowBlank="1" showInputMessage="1" showErrorMessage="1" sqref="B54" xr:uid="{15D56305-E7C9-974D-81BB-800A46798308}">
      <formula1>$C$52:$C$63</formula1>
    </dataValidation>
  </dataValidations>
  <hyperlinks>
    <hyperlink ref="A1" location="Inicio!C12" display="Regresar" xr:uid="{E1EBE507-ED54-2343-B165-00CBF19D8458}"/>
    <hyperlink ref="A1:C1" location="Planificación!A1" display="Regresar" xr:uid="{4D966274-0927-AB4F-B305-2F2F4FF8853B}"/>
    <hyperlink ref="A1:M1" location="Inicio!C12" display="Regresar" xr:uid="{ED11E853-55AA-4C1E-8197-D9293C14BEB3}"/>
  </hyperlinks>
  <pageMargins left="0.70866141732283472" right="0.70866141732283472" top="0.74803149606299213" bottom="0.74803149606299213" header="0.31496062992125984" footer="0.31496062992125984"/>
  <pageSetup scale="4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276C4C-0156-7F42-99BD-95AAC49F270E}">
  <sheetPr codeName="Hoja2"/>
  <dimension ref="A1:CP50"/>
  <sheetViews>
    <sheetView showGridLines="0" zoomScale="65" zoomScaleNormal="50" workbookViewId="0">
      <pane xSplit="1" ySplit="5" topLeftCell="B6" activePane="bottomRight" state="frozen"/>
      <selection pane="topRight" activeCell="A12" sqref="A12:D12"/>
      <selection pane="bottomLeft" activeCell="A12" sqref="A12:D12"/>
      <selection pane="bottomRight" activeCell="D6" sqref="D6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132" t="s">
        <v>21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132"/>
      <c r="CI1" s="85"/>
      <c r="CJ1" s="85"/>
      <c r="CK1" s="85"/>
      <c r="CL1" s="85"/>
      <c r="CM1" s="85"/>
      <c r="CN1" s="85"/>
      <c r="CO1" s="85"/>
    </row>
    <row r="2" spans="1:93" s="59" customFormat="1" ht="50.1" customHeight="1" thickBot="1" x14ac:dyDescent="0.3">
      <c r="A2" s="480" t="str">
        <f>CONCATENATE("Planificación financiera ",Up," | Presupuesto y ejecución ",Año_Inicial)</f>
        <v>Planificación financiera  | Presupuesto y ejecución 2023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|70 qq por Mz.</v>
      </c>
      <c r="B7" s="96">
        <f>SUM(CI7:CN7)</f>
        <v>70</v>
      </c>
      <c r="C7" s="96" t="e">
        <f>C40/CUI_Corte</f>
        <v>#DIV/0!</v>
      </c>
      <c r="D7" s="96" t="e">
        <f>C7-B7</f>
        <v>#DIV/0!</v>
      </c>
      <c r="E7" s="475"/>
      <c r="F7" s="97">
        <f>P_A1_L1</f>
        <v>70</v>
      </c>
      <c r="G7" s="96" t="e">
        <f>G40/CUI_Corte</f>
        <v>#DIV/0!</v>
      </c>
      <c r="H7" s="97">
        <f>P_A1_L2</f>
        <v>0</v>
      </c>
      <c r="I7" s="96" t="e">
        <f>I40/CUI_Corte</f>
        <v>#DIV/0!</v>
      </c>
      <c r="J7" s="97">
        <f>P_A1_L3</f>
        <v>0</v>
      </c>
      <c r="K7" s="96" t="e">
        <f>K40/CUI_Corte</f>
        <v>#DIV/0!</v>
      </c>
      <c r="L7" s="97">
        <f>P_A1_L4</f>
        <v>0</v>
      </c>
      <c r="M7" s="96" t="e">
        <f>M40/CUI_Corte</f>
        <v>#DIV/0!</v>
      </c>
      <c r="N7" s="97">
        <f>P_A1_L5</f>
        <v>0</v>
      </c>
      <c r="O7" s="96" t="e">
        <f>O40/CUI_Corte</f>
        <v>#DIV/0!</v>
      </c>
      <c r="P7" s="97">
        <f>P_A1_L6</f>
        <v>0</v>
      </c>
      <c r="Q7" s="96" t="e">
        <f>Q40/CUI_Corte</f>
        <v>#DIV/0!</v>
      </c>
      <c r="R7" s="97">
        <f>P_A1_L7</f>
        <v>0</v>
      </c>
      <c r="S7" s="96" t="e">
        <f>S40/CUI_Corte</f>
        <v>#DIV/0!</v>
      </c>
      <c r="T7" s="97">
        <f>P_A1_L8</f>
        <v>0</v>
      </c>
      <c r="U7" s="96" t="e">
        <f>U40/CUI_Corte</f>
        <v>#DIV/0!</v>
      </c>
      <c r="V7" s="97">
        <f>P_A1_L9</f>
        <v>0</v>
      </c>
      <c r="W7" s="96" t="e">
        <f>W40/CUI_Corte</f>
        <v>#DIV/0!</v>
      </c>
      <c r="X7" s="97">
        <f>P_A1_L10</f>
        <v>0</v>
      </c>
      <c r="Y7" s="96" t="e">
        <f>Y40/CUI_Corte</f>
        <v>#DIV/0!</v>
      </c>
      <c r="Z7" s="97">
        <f>P_A1_L11</f>
        <v>0</v>
      </c>
      <c r="AA7" s="96" t="e">
        <f>AA40/CUI_Corte</f>
        <v>#DIV/0!</v>
      </c>
      <c r="AB7" s="97">
        <f>P_A1_L12</f>
        <v>0</v>
      </c>
      <c r="AC7" s="96" t="e">
        <f>AC40/CUI_Corte</f>
        <v>#DIV/0!</v>
      </c>
      <c r="AD7" s="97">
        <f>P_A1_L13</f>
        <v>0</v>
      </c>
      <c r="AE7" s="96" t="e">
        <f>AE40/CUI_Corte</f>
        <v>#DIV/0!</v>
      </c>
      <c r="AF7" s="97">
        <f>P_A1_L14</f>
        <v>0</v>
      </c>
      <c r="AG7" s="96" t="e">
        <f>AG40/CUI_Corte</f>
        <v>#DIV/0!</v>
      </c>
      <c r="AH7" s="97">
        <f>P_A1_L15</f>
        <v>0</v>
      </c>
      <c r="AI7" s="96" t="e">
        <f>AI40/CUI_Corte</f>
        <v>#DIV/0!</v>
      </c>
      <c r="AJ7" s="97">
        <f>P_A1_L16</f>
        <v>0</v>
      </c>
      <c r="AK7" s="96" t="e">
        <f>AK40/CUI_Corte</f>
        <v>#DIV/0!</v>
      </c>
      <c r="AL7" s="97">
        <f>P_A1_L17</f>
        <v>0</v>
      </c>
      <c r="AM7" s="96" t="e">
        <f>AM40/CUI_Corte</f>
        <v>#DIV/0!</v>
      </c>
      <c r="AN7" s="97">
        <f>P_A1_L18</f>
        <v>0</v>
      </c>
      <c r="AO7" s="96" t="e">
        <f>AO40/CUI_Corte</f>
        <v>#DIV/0!</v>
      </c>
      <c r="AP7" s="97">
        <f>P_A1_L19</f>
        <v>0</v>
      </c>
      <c r="AQ7" s="96" t="e">
        <f>AQ40/CUI_Corte</f>
        <v>#DIV/0!</v>
      </c>
      <c r="AR7" s="97">
        <f>P_A1_L20</f>
        <v>0</v>
      </c>
      <c r="AS7" s="96" t="e">
        <f>AS40/CUI_Corte</f>
        <v>#DIV/0!</v>
      </c>
      <c r="AT7" s="97">
        <f>P_A1_L21</f>
        <v>0</v>
      </c>
      <c r="AU7" s="96" t="e">
        <f>AU40/CUI_Corte</f>
        <v>#DIV/0!</v>
      </c>
      <c r="AV7" s="97">
        <f>P_A1_L22</f>
        <v>0</v>
      </c>
      <c r="AW7" s="96" t="e">
        <f>AW40/CUI_Corte</f>
        <v>#DIV/0!</v>
      </c>
      <c r="AX7" s="97">
        <f>P_A1_L23</f>
        <v>0</v>
      </c>
      <c r="AY7" s="96" t="e">
        <f>AY40/CUI_Corte</f>
        <v>#DIV/0!</v>
      </c>
      <c r="AZ7" s="97">
        <f>P_A1_L24</f>
        <v>0</v>
      </c>
      <c r="BA7" s="96" t="e">
        <f>BA40/CUI_Corte</f>
        <v>#DIV/0!</v>
      </c>
      <c r="BB7" s="97">
        <f>P_A1_L25</f>
        <v>0</v>
      </c>
      <c r="BC7" s="96" t="e">
        <f>BC40/CUI_Corte</f>
        <v>#DIV/0!</v>
      </c>
      <c r="BD7" s="97">
        <f>P_A1_L26</f>
        <v>0</v>
      </c>
      <c r="BE7" s="96" t="e">
        <f>BE40/CUI_Corte</f>
        <v>#DIV/0!</v>
      </c>
      <c r="BF7" s="97">
        <f>P_A1_L27</f>
        <v>0</v>
      </c>
      <c r="BG7" s="96" t="e">
        <f>BG40/CUI_Corte</f>
        <v>#DIV/0!</v>
      </c>
      <c r="BH7" s="97">
        <f>P_A1_L28</f>
        <v>0</v>
      </c>
      <c r="BI7" s="96" t="e">
        <f>BI40/CUI_Corte</f>
        <v>#DIV/0!</v>
      </c>
      <c r="BJ7" s="97">
        <f>P_A1_L29</f>
        <v>0</v>
      </c>
      <c r="BK7" s="96" t="e">
        <f>BK40/CUI_Corte</f>
        <v>#DIV/0!</v>
      </c>
      <c r="BL7" s="97">
        <f>P_A1_L30</f>
        <v>0</v>
      </c>
      <c r="BM7" s="96" t="e">
        <f>BM40/CUI_Corte</f>
        <v>#DIV/0!</v>
      </c>
      <c r="BN7" s="97">
        <f>P_A1_L31</f>
        <v>0</v>
      </c>
      <c r="BO7" s="96" t="e">
        <f>BO40/CUI_Corte</f>
        <v>#DIV/0!</v>
      </c>
      <c r="BP7" s="97">
        <f>P_A1_L32</f>
        <v>0</v>
      </c>
      <c r="BQ7" s="96" t="e">
        <f>BQ40/CUI_Corte</f>
        <v>#DIV/0!</v>
      </c>
      <c r="BR7" s="97">
        <f>P_A1_L33</f>
        <v>0</v>
      </c>
      <c r="BS7" s="96" t="e">
        <f>BS40/CUI_Corte</f>
        <v>#DIV/0!</v>
      </c>
      <c r="BT7" s="97">
        <f>P_A1_L34</f>
        <v>0</v>
      </c>
      <c r="BU7" s="96" t="e">
        <f>BU40/CUI_Corte</f>
        <v>#DIV/0!</v>
      </c>
      <c r="BV7" s="97">
        <f>P_A1_L35</f>
        <v>0</v>
      </c>
      <c r="BW7" s="96" t="e">
        <f>BW40/CUI_Corte</f>
        <v>#DIV/0!</v>
      </c>
      <c r="BX7" s="97">
        <f>P_A1_L36</f>
        <v>0</v>
      </c>
      <c r="BY7" s="96" t="e">
        <f>BY40/CUI_Corte</f>
        <v>#DIV/0!</v>
      </c>
      <c r="BZ7" s="97">
        <f>P_A1_L37</f>
        <v>0</v>
      </c>
      <c r="CA7" s="96" t="e">
        <f>CA40/CUI_Corte</f>
        <v>#DIV/0!</v>
      </c>
      <c r="CB7" s="97">
        <f>P_A1_L38</f>
        <v>0</v>
      </c>
      <c r="CC7" s="96" t="e">
        <f>CC40/CUI_Corte</f>
        <v>#DIV/0!</v>
      </c>
      <c r="CD7" s="97">
        <f>P_A1_L39</f>
        <v>0</v>
      </c>
      <c r="CE7" s="96" t="e">
        <f>CE40/CUI_Corte</f>
        <v>#DIV/0!</v>
      </c>
      <c r="CF7" s="97">
        <f>P_A1_L40</f>
        <v>0</v>
      </c>
      <c r="CG7" s="96" t="e">
        <f>CG40/CUI_Corte</f>
        <v>#DIV/0!</v>
      </c>
      <c r="CH7" s="473"/>
      <c r="CI7" s="96">
        <f>(IF(Diseño="Bloque",Bloque_A1_A,Surco_A1_A)/100)</f>
        <v>0</v>
      </c>
      <c r="CJ7" s="96">
        <f>(IF(Diseño="Bloque",Bloque_A1_B,Surco_A1_B)/100)</f>
        <v>0</v>
      </c>
      <c r="CK7" s="96">
        <f>(IF(Diseño="Bloque",Bloque_A1_C,Surco_A1_C)/100)</f>
        <v>0</v>
      </c>
      <c r="CL7" s="96">
        <f>(IF(Diseño="Bloque",Bloque_A1_D,Surco_A1_D)/100)</f>
        <v>70</v>
      </c>
      <c r="CM7" s="96"/>
      <c r="CN7" s="96">
        <f>(IF(Diseño="Bloque",Bloque_A1_Y,Surco_A1_Y)/100)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",Precio_A1,".00")</f>
        <v>Ventas de café de primera:  0% | Q. 150.00</v>
      </c>
      <c r="B8" s="100">
        <f t="shared" ref="B8:C8" si="0">B7*P_Primera*Precio_A1</f>
        <v>0</v>
      </c>
      <c r="C8" s="100" t="e">
        <f t="shared" si="0"/>
        <v>#DIV/0!</v>
      </c>
      <c r="D8" s="100" t="e">
        <f>C8-B8</f>
        <v>#DIV/0!</v>
      </c>
      <c r="E8" s="475"/>
      <c r="F8" s="101">
        <f>P_A1_L1*P_Primera*Precio_A1</f>
        <v>0</v>
      </c>
      <c r="G8" s="100" t="e">
        <f t="shared" ref="G8:I8" si="1">G7*P_Primera*Precio_A1</f>
        <v>#DIV/0!</v>
      </c>
      <c r="H8" s="101">
        <f>P_A1_L2*P_Primera*Precio_A1</f>
        <v>0</v>
      </c>
      <c r="I8" s="100" t="e">
        <f t="shared" si="1"/>
        <v>#DIV/0!</v>
      </c>
      <c r="J8" s="101">
        <f>P_A1_L3*P_Primera*Precio_A1</f>
        <v>0</v>
      </c>
      <c r="K8" s="100" t="e">
        <f t="shared" ref="K8:M8" si="2">K7*P_Primera*Precio_A1</f>
        <v>#DIV/0!</v>
      </c>
      <c r="L8" s="101">
        <f>P_A1_L4*P_Primera*Precio_A1</f>
        <v>0</v>
      </c>
      <c r="M8" s="100" t="e">
        <f t="shared" si="2"/>
        <v>#DIV/0!</v>
      </c>
      <c r="N8" s="101">
        <f>P_A1_L5*P_Primera*Precio_A1</f>
        <v>0</v>
      </c>
      <c r="O8" s="100" t="e">
        <f t="shared" ref="O8:Q8" si="3">O7*P_Primera*Precio_A1</f>
        <v>#DIV/0!</v>
      </c>
      <c r="P8" s="101">
        <f>P_A1_L6*P_Primera*Precio_A1</f>
        <v>0</v>
      </c>
      <c r="Q8" s="100" t="e">
        <f t="shared" si="3"/>
        <v>#DIV/0!</v>
      </c>
      <c r="R8" s="101">
        <f>P_A1_L7*P_Primera*Precio_A1</f>
        <v>0</v>
      </c>
      <c r="S8" s="100" t="e">
        <f t="shared" ref="S8:U8" si="4">S7*P_Primera*Precio_A1</f>
        <v>#DIV/0!</v>
      </c>
      <c r="T8" s="101">
        <f>P_A1_L8*P_Primera*Precio_A1</f>
        <v>0</v>
      </c>
      <c r="U8" s="100" t="e">
        <f t="shared" si="4"/>
        <v>#DIV/0!</v>
      </c>
      <c r="V8" s="101">
        <f>P_A1_L9*P_Primera*Precio_A1</f>
        <v>0</v>
      </c>
      <c r="W8" s="100" t="e">
        <f t="shared" ref="W8:Y8" si="5">W7*P_Primera*Precio_A1</f>
        <v>#DIV/0!</v>
      </c>
      <c r="X8" s="101">
        <f>P_A1_L10*P_Primera*Precio_A1</f>
        <v>0</v>
      </c>
      <c r="Y8" s="100" t="e">
        <f t="shared" si="5"/>
        <v>#DIV/0!</v>
      </c>
      <c r="Z8" s="101">
        <f>P_A1_L11*P_Primera*Precio_A1</f>
        <v>0</v>
      </c>
      <c r="AA8" s="100" t="e">
        <f t="shared" ref="AA8:AC8" si="6">AA7*P_Primera*Precio_A1</f>
        <v>#DIV/0!</v>
      </c>
      <c r="AB8" s="101">
        <f>P_A1_L12*P_Primera*Precio_A1</f>
        <v>0</v>
      </c>
      <c r="AC8" s="100" t="e">
        <f t="shared" si="6"/>
        <v>#DIV/0!</v>
      </c>
      <c r="AD8" s="101">
        <f>P_A1_L13*P_Primera*Precio_A1</f>
        <v>0</v>
      </c>
      <c r="AE8" s="100" t="e">
        <f t="shared" ref="AE8:AG8" si="7">AE7*P_Primera*Precio_A1</f>
        <v>#DIV/0!</v>
      </c>
      <c r="AF8" s="101">
        <f>P_A1_L14*P_Primera*Precio_A1</f>
        <v>0</v>
      </c>
      <c r="AG8" s="100" t="e">
        <f t="shared" si="7"/>
        <v>#DIV/0!</v>
      </c>
      <c r="AH8" s="101">
        <f>P_A1_L15*P_Primera*Precio_A1</f>
        <v>0</v>
      </c>
      <c r="AI8" s="100" t="e">
        <f t="shared" ref="AI8:AK8" si="8">AI7*P_Primera*Precio_A1</f>
        <v>#DIV/0!</v>
      </c>
      <c r="AJ8" s="101">
        <f>P_A1_L16*P_Primera*Precio_A1</f>
        <v>0</v>
      </c>
      <c r="AK8" s="100" t="e">
        <f t="shared" si="8"/>
        <v>#DIV/0!</v>
      </c>
      <c r="AL8" s="101">
        <f>P_A1_L17*P_Primera*Precio_A1</f>
        <v>0</v>
      </c>
      <c r="AM8" s="100" t="e">
        <f t="shared" ref="AM8:AO8" si="9">AM7*P_Primera*Precio_A1</f>
        <v>#DIV/0!</v>
      </c>
      <c r="AN8" s="101">
        <f>P_A1_L18*P_Primera*Precio_A1</f>
        <v>0</v>
      </c>
      <c r="AO8" s="100" t="e">
        <f t="shared" si="9"/>
        <v>#DIV/0!</v>
      </c>
      <c r="AP8" s="101">
        <f>P_A1_L19*P_Primera*Precio_A1</f>
        <v>0</v>
      </c>
      <c r="AQ8" s="100" t="e">
        <f t="shared" ref="AQ8:AS8" si="10">AQ7*P_Primera*Precio_A1</f>
        <v>#DIV/0!</v>
      </c>
      <c r="AR8" s="101">
        <f>P_A1_L20*P_Primera*Precio_A1</f>
        <v>0</v>
      </c>
      <c r="AS8" s="100" t="e">
        <f t="shared" si="10"/>
        <v>#DIV/0!</v>
      </c>
      <c r="AT8" s="101">
        <f>P_A1_L21*P_Primera*Precio_A1</f>
        <v>0</v>
      </c>
      <c r="AU8" s="100" t="e">
        <f t="shared" ref="AU8:AW8" si="11">AU7*P_Primera*Precio_A1</f>
        <v>#DIV/0!</v>
      </c>
      <c r="AV8" s="101">
        <f>P_A1_L22*P_Primera*Precio_A1</f>
        <v>0</v>
      </c>
      <c r="AW8" s="100" t="e">
        <f t="shared" si="11"/>
        <v>#DIV/0!</v>
      </c>
      <c r="AX8" s="101">
        <f>P_A1_L23*P_Primera*Precio_A1</f>
        <v>0</v>
      </c>
      <c r="AY8" s="100" t="e">
        <f t="shared" ref="AY8:BA8" si="12">AY7*P_Primera*Precio_A1</f>
        <v>#DIV/0!</v>
      </c>
      <c r="AZ8" s="101">
        <f>P_A1_L24*P_Primera*Precio_A1</f>
        <v>0</v>
      </c>
      <c r="BA8" s="100" t="e">
        <f t="shared" si="12"/>
        <v>#DIV/0!</v>
      </c>
      <c r="BB8" s="101">
        <f>P_A1_L25*P_Primera*Precio_A1</f>
        <v>0</v>
      </c>
      <c r="BC8" s="100" t="e">
        <f t="shared" ref="BC8:BE8" si="13">BC7*P_Primera*Precio_A1</f>
        <v>#DIV/0!</v>
      </c>
      <c r="BD8" s="101">
        <f>P_A1_L26*P_Primera*Precio_A1</f>
        <v>0</v>
      </c>
      <c r="BE8" s="100" t="e">
        <f t="shared" si="13"/>
        <v>#DIV/0!</v>
      </c>
      <c r="BF8" s="101">
        <f>P_A1_L27*P_Primera*Precio_A1</f>
        <v>0</v>
      </c>
      <c r="BG8" s="100" t="e">
        <f t="shared" ref="BG8:BI8" si="14">BG7*P_Primera*Precio_A1</f>
        <v>#DIV/0!</v>
      </c>
      <c r="BH8" s="101">
        <f>P_A1_L28*P_Primera*Precio_A1</f>
        <v>0</v>
      </c>
      <c r="BI8" s="100" t="e">
        <f t="shared" si="14"/>
        <v>#DIV/0!</v>
      </c>
      <c r="BJ8" s="101">
        <f>P_A1_L29*P_Primera*Precio_A1</f>
        <v>0</v>
      </c>
      <c r="BK8" s="100" t="e">
        <f t="shared" ref="BK8:BM8" si="15">BK7*P_Primera*Precio_A1</f>
        <v>#DIV/0!</v>
      </c>
      <c r="BL8" s="101">
        <f>P_A1_L30*P_Primera*Precio_A1</f>
        <v>0</v>
      </c>
      <c r="BM8" s="100" t="e">
        <f t="shared" si="15"/>
        <v>#DIV/0!</v>
      </c>
      <c r="BN8" s="101">
        <f>P_A1_L31*P_Primera*Precio_A1</f>
        <v>0</v>
      </c>
      <c r="BO8" s="100" t="e">
        <f t="shared" ref="BO8:BQ8" si="16">BO7*P_Primera*Precio_A1</f>
        <v>#DIV/0!</v>
      </c>
      <c r="BP8" s="101">
        <f>P_A1_L32*P_Primera*Precio_A1</f>
        <v>0</v>
      </c>
      <c r="BQ8" s="100" t="e">
        <f t="shared" si="16"/>
        <v>#DIV/0!</v>
      </c>
      <c r="BR8" s="101">
        <f>P_A1_L33*P_Primera*Precio_A1</f>
        <v>0</v>
      </c>
      <c r="BS8" s="100" t="e">
        <f t="shared" ref="BS8:BU8" si="17">BS7*P_Primera*Precio_A1</f>
        <v>#DIV/0!</v>
      </c>
      <c r="BT8" s="101">
        <f>P_A1_L34*P_Primera*Precio_A1</f>
        <v>0</v>
      </c>
      <c r="BU8" s="100" t="e">
        <f t="shared" si="17"/>
        <v>#DIV/0!</v>
      </c>
      <c r="BV8" s="101">
        <f>P_A1_L35*P_Primera*Precio_A1</f>
        <v>0</v>
      </c>
      <c r="BW8" s="100" t="e">
        <f t="shared" ref="BW8:BY8" si="18">BW7*P_Primera*Precio_A1</f>
        <v>#DIV/0!</v>
      </c>
      <c r="BX8" s="101">
        <f>P_A1_L36*P_Primera*Precio_A1</f>
        <v>0</v>
      </c>
      <c r="BY8" s="100" t="e">
        <f t="shared" si="18"/>
        <v>#DIV/0!</v>
      </c>
      <c r="BZ8" s="101">
        <f>P_A1_L37*P_Primera*Precio_A1</f>
        <v>0</v>
      </c>
      <c r="CA8" s="100" t="e">
        <f t="shared" ref="CA8:CC8" si="19">CA7*P_Primera*Precio_A1</f>
        <v>#DIV/0!</v>
      </c>
      <c r="CB8" s="101">
        <f>P_A1_L38*P_Primera*Precio_A1</f>
        <v>0</v>
      </c>
      <c r="CC8" s="100" t="e">
        <f t="shared" si="19"/>
        <v>#DIV/0!</v>
      </c>
      <c r="CD8" s="101">
        <f>P_A1_L39*P_Primera*Precio_A1</f>
        <v>0</v>
      </c>
      <c r="CE8" s="100" t="e">
        <f t="shared" ref="CE8:CG8" si="20">CE7*P_Primera*Precio_A1</f>
        <v>#DIV/0!</v>
      </c>
      <c r="CF8" s="101">
        <f>P_A1_L40*P_Primera*Precio_A1</f>
        <v>0</v>
      </c>
      <c r="CG8" s="100" t="e">
        <f t="shared" si="20"/>
        <v>#DIV/0!</v>
      </c>
      <c r="CH8" s="473"/>
      <c r="CI8" s="101">
        <f>CI7*P_Primera*Precio_A1</f>
        <v>0</v>
      </c>
      <c r="CJ8" s="101">
        <f>CJ7*P_Primera*Precio_A1</f>
        <v>0</v>
      </c>
      <c r="CK8" s="101">
        <f>CK7*P_Primera*Precio_A1</f>
        <v>0</v>
      </c>
      <c r="CL8" s="101">
        <f>CL7*P_Primera*Precio_A1</f>
        <v>0</v>
      </c>
      <c r="CM8" s="101"/>
      <c r="CN8" s="101">
        <f>CN7*P_Primera*Precio_A1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 t="shared" ref="B9:C9" si="21">B7*P_Segunda*Segunda</f>
        <v>0</v>
      </c>
      <c r="C9" s="100" t="e">
        <f t="shared" si="21"/>
        <v>#DIV/0!</v>
      </c>
      <c r="D9" s="100" t="e">
        <f t="shared" ref="D9:D11" si="22">C9-B9</f>
        <v>#DIV/0!</v>
      </c>
      <c r="E9" s="475"/>
      <c r="F9" s="101">
        <f>P_A1_L1*P_Segunda*Segunda</f>
        <v>0</v>
      </c>
      <c r="G9" s="100" t="e">
        <f t="shared" ref="G9:I9" si="23">G7*P_Segunda*Segunda</f>
        <v>#DIV/0!</v>
      </c>
      <c r="H9" s="101">
        <f>P_A1_L2*P_Segunda*Segunda</f>
        <v>0</v>
      </c>
      <c r="I9" s="100" t="e">
        <f t="shared" si="23"/>
        <v>#DIV/0!</v>
      </c>
      <c r="J9" s="101">
        <f>P_A1_L3*P_Segunda*Segunda</f>
        <v>0</v>
      </c>
      <c r="K9" s="100" t="e">
        <f t="shared" ref="K9:M9" si="24">K7*P_Segunda*Segunda</f>
        <v>#DIV/0!</v>
      </c>
      <c r="L9" s="101">
        <f>P_A1_L4*P_Segunda*Segunda</f>
        <v>0</v>
      </c>
      <c r="M9" s="100" t="e">
        <f t="shared" si="24"/>
        <v>#DIV/0!</v>
      </c>
      <c r="N9" s="101">
        <f>P_A1_L5*P_Segunda*Segunda</f>
        <v>0</v>
      </c>
      <c r="O9" s="100" t="e">
        <f t="shared" ref="O9:Q9" si="25">O7*P_Segunda*Segunda</f>
        <v>#DIV/0!</v>
      </c>
      <c r="P9" s="101">
        <f>P_A1_L6*P_Segunda*Segunda</f>
        <v>0</v>
      </c>
      <c r="Q9" s="100" t="e">
        <f t="shared" si="25"/>
        <v>#DIV/0!</v>
      </c>
      <c r="R9" s="101">
        <f>P_A1_L7*P_Segunda*Segunda</f>
        <v>0</v>
      </c>
      <c r="S9" s="100" t="e">
        <f t="shared" ref="S9:U9" si="26">S7*P_Segunda*Segunda</f>
        <v>#DIV/0!</v>
      </c>
      <c r="T9" s="101">
        <f>P_A1_L8*P_Segunda*Segunda</f>
        <v>0</v>
      </c>
      <c r="U9" s="100" t="e">
        <f t="shared" si="26"/>
        <v>#DIV/0!</v>
      </c>
      <c r="V9" s="101">
        <f>P_A1_L9*P_Segunda*Segunda</f>
        <v>0</v>
      </c>
      <c r="W9" s="100" t="e">
        <f t="shared" ref="W9:Y9" si="27">W7*P_Segunda*Segunda</f>
        <v>#DIV/0!</v>
      </c>
      <c r="X9" s="101">
        <f>P_A1_L10*P_Segunda*Segunda</f>
        <v>0</v>
      </c>
      <c r="Y9" s="100" t="e">
        <f t="shared" si="27"/>
        <v>#DIV/0!</v>
      </c>
      <c r="Z9" s="101">
        <f>P_A1_L11*P_Segunda*Segunda</f>
        <v>0</v>
      </c>
      <c r="AA9" s="100" t="e">
        <f t="shared" ref="AA9:AC9" si="28">AA7*P_Segunda*Segunda</f>
        <v>#DIV/0!</v>
      </c>
      <c r="AB9" s="101">
        <f>P_A1_L12*P_Segunda*Segunda</f>
        <v>0</v>
      </c>
      <c r="AC9" s="100" t="e">
        <f t="shared" si="28"/>
        <v>#DIV/0!</v>
      </c>
      <c r="AD9" s="101">
        <f>P_A1_L13*P_Segunda*Segunda</f>
        <v>0</v>
      </c>
      <c r="AE9" s="100" t="e">
        <f t="shared" ref="AE9:AG9" si="29">AE7*P_Segunda*Segunda</f>
        <v>#DIV/0!</v>
      </c>
      <c r="AF9" s="101">
        <f>P_A1_L14*P_Segunda*Segunda</f>
        <v>0</v>
      </c>
      <c r="AG9" s="100" t="e">
        <f t="shared" si="29"/>
        <v>#DIV/0!</v>
      </c>
      <c r="AH9" s="101">
        <f>P_A1_L15*P_Segunda*Segunda</f>
        <v>0</v>
      </c>
      <c r="AI9" s="100" t="e">
        <f t="shared" ref="AI9:AK9" si="30">AI7*P_Segunda*Segunda</f>
        <v>#DIV/0!</v>
      </c>
      <c r="AJ9" s="101">
        <f>P_A1_L16*P_Segunda*Segunda</f>
        <v>0</v>
      </c>
      <c r="AK9" s="100" t="e">
        <f t="shared" si="30"/>
        <v>#DIV/0!</v>
      </c>
      <c r="AL9" s="101">
        <f>P_A1_L17*P_Segunda*Segunda</f>
        <v>0</v>
      </c>
      <c r="AM9" s="100" t="e">
        <f t="shared" ref="AM9:AO9" si="31">AM7*P_Segunda*Segunda</f>
        <v>#DIV/0!</v>
      </c>
      <c r="AN9" s="101">
        <f>P_A1_L18*P_Segunda*Segunda</f>
        <v>0</v>
      </c>
      <c r="AO9" s="100" t="e">
        <f t="shared" si="31"/>
        <v>#DIV/0!</v>
      </c>
      <c r="AP9" s="101">
        <f>P_A1_L19*P_Segunda*Segunda</f>
        <v>0</v>
      </c>
      <c r="AQ9" s="100" t="e">
        <f t="shared" ref="AQ9:AS9" si="32">AQ7*P_Segunda*Segunda</f>
        <v>#DIV/0!</v>
      </c>
      <c r="AR9" s="101">
        <f>P_A1_L20*P_Segunda*Segunda</f>
        <v>0</v>
      </c>
      <c r="AS9" s="100" t="e">
        <f t="shared" si="32"/>
        <v>#DIV/0!</v>
      </c>
      <c r="AT9" s="101">
        <f>P_A1_L21*P_Segunda*Segunda</f>
        <v>0</v>
      </c>
      <c r="AU9" s="100" t="e">
        <f t="shared" ref="AU9:AW9" si="33">AU7*P_Segunda*Segunda</f>
        <v>#DIV/0!</v>
      </c>
      <c r="AV9" s="101">
        <f>P_A1_L22*P_Segunda*Segunda</f>
        <v>0</v>
      </c>
      <c r="AW9" s="100" t="e">
        <f t="shared" si="33"/>
        <v>#DIV/0!</v>
      </c>
      <c r="AX9" s="101">
        <f>P_A1_L23*P_Segunda*Segunda</f>
        <v>0</v>
      </c>
      <c r="AY9" s="100" t="e">
        <f t="shared" ref="AY9:BA9" si="34">AY7*P_Segunda*Segunda</f>
        <v>#DIV/0!</v>
      </c>
      <c r="AZ9" s="101">
        <f>P_A1_L24*P_Segunda*Segunda</f>
        <v>0</v>
      </c>
      <c r="BA9" s="100" t="e">
        <f t="shared" si="34"/>
        <v>#DIV/0!</v>
      </c>
      <c r="BB9" s="101">
        <f>P_A1_L25*P_Segunda*Segunda</f>
        <v>0</v>
      </c>
      <c r="BC9" s="100" t="e">
        <f t="shared" ref="BC9:BE9" si="35">BC7*P_Segunda*Segunda</f>
        <v>#DIV/0!</v>
      </c>
      <c r="BD9" s="101">
        <f>P_A1_L26*P_Segunda*Segunda</f>
        <v>0</v>
      </c>
      <c r="BE9" s="100" t="e">
        <f t="shared" si="35"/>
        <v>#DIV/0!</v>
      </c>
      <c r="BF9" s="101">
        <f>P_A1_L27*P_Segunda*Segunda</f>
        <v>0</v>
      </c>
      <c r="BG9" s="100" t="e">
        <f t="shared" ref="BG9:BI9" si="36">BG7*P_Segunda*Segunda</f>
        <v>#DIV/0!</v>
      </c>
      <c r="BH9" s="101">
        <f>P_A1_L28*P_Segunda*Segunda</f>
        <v>0</v>
      </c>
      <c r="BI9" s="100" t="e">
        <f t="shared" si="36"/>
        <v>#DIV/0!</v>
      </c>
      <c r="BJ9" s="101">
        <f>P_A1_L29*P_Segunda*Segunda</f>
        <v>0</v>
      </c>
      <c r="BK9" s="100" t="e">
        <f t="shared" ref="BK9:BM9" si="37">BK7*P_Segunda*Segunda</f>
        <v>#DIV/0!</v>
      </c>
      <c r="BL9" s="101">
        <f>P_A1_L30*P_Segunda*Segunda</f>
        <v>0</v>
      </c>
      <c r="BM9" s="100" t="e">
        <f t="shared" si="37"/>
        <v>#DIV/0!</v>
      </c>
      <c r="BN9" s="101">
        <f>P_A1_L31*P_Segunda*Segunda</f>
        <v>0</v>
      </c>
      <c r="BO9" s="100" t="e">
        <f t="shared" ref="BO9:BQ9" si="38">BO7*P_Segunda*Segunda</f>
        <v>#DIV/0!</v>
      </c>
      <c r="BP9" s="101">
        <f>P_A1_L32*P_Segunda*Segunda</f>
        <v>0</v>
      </c>
      <c r="BQ9" s="100" t="e">
        <f t="shared" si="38"/>
        <v>#DIV/0!</v>
      </c>
      <c r="BR9" s="101">
        <f>P_A1_L33*P_Segunda*Segunda</f>
        <v>0</v>
      </c>
      <c r="BS9" s="100" t="e">
        <f t="shared" ref="BS9:BU9" si="39">BS7*P_Segunda*Segunda</f>
        <v>#DIV/0!</v>
      </c>
      <c r="BT9" s="101">
        <f>P_A1_L34*P_Segunda*Segunda</f>
        <v>0</v>
      </c>
      <c r="BU9" s="100" t="e">
        <f t="shared" si="39"/>
        <v>#DIV/0!</v>
      </c>
      <c r="BV9" s="101">
        <f>P_A1_L35*P_Segunda*Segunda</f>
        <v>0</v>
      </c>
      <c r="BW9" s="100" t="e">
        <f t="shared" ref="BW9:BY9" si="40">BW7*P_Segunda*Segunda</f>
        <v>#DIV/0!</v>
      </c>
      <c r="BX9" s="101">
        <f>P_A1_L36*P_Segunda*Segunda</f>
        <v>0</v>
      </c>
      <c r="BY9" s="100" t="e">
        <f t="shared" si="40"/>
        <v>#DIV/0!</v>
      </c>
      <c r="BZ9" s="101">
        <f>P_A1_L37*P_Segunda*Segunda</f>
        <v>0</v>
      </c>
      <c r="CA9" s="100" t="e">
        <f t="shared" ref="CA9:CC9" si="41">CA7*P_Segunda*Segunda</f>
        <v>#DIV/0!</v>
      </c>
      <c r="CB9" s="101">
        <f>P_A1_L38*P_Segunda*Segunda</f>
        <v>0</v>
      </c>
      <c r="CC9" s="100" t="e">
        <f t="shared" si="41"/>
        <v>#DIV/0!</v>
      </c>
      <c r="CD9" s="101">
        <f>P_A1_L39*P_Segunda*Segunda</f>
        <v>0</v>
      </c>
      <c r="CE9" s="100" t="e">
        <f t="shared" ref="CE9:CG9" si="42">CE7*P_Segunda*Segunda</f>
        <v>#DIV/0!</v>
      </c>
      <c r="CF9" s="101">
        <f>P_A1_L40*P_Segunda*Segunda</f>
        <v>0</v>
      </c>
      <c r="CG9" s="100" t="e">
        <f t="shared" si="42"/>
        <v>#DIV/0!</v>
      </c>
      <c r="CH9" s="473"/>
      <c r="CI9" s="101">
        <f>CI7*P_Segunda*Segunda</f>
        <v>0</v>
      </c>
      <c r="CJ9" s="101">
        <f>CJ7*P_Segunda*Segunda</f>
        <v>0</v>
      </c>
      <c r="CK9" s="101">
        <f>CK7*P_Segunda*Segunda</f>
        <v>0</v>
      </c>
      <c r="CL9" s="101">
        <f>CL7*P_Segunda*Segunda</f>
        <v>0</v>
      </c>
      <c r="CM9" s="101"/>
      <c r="CN9" s="101">
        <f>CN7*P_Segunda*Segunda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 t="shared" ref="B10:C10" si="43">B7*P_Inferior*Inferior</f>
        <v>0</v>
      </c>
      <c r="C10" s="100" t="e">
        <f t="shared" si="43"/>
        <v>#DIV/0!</v>
      </c>
      <c r="D10" s="100" t="e">
        <f t="shared" si="22"/>
        <v>#DIV/0!</v>
      </c>
      <c r="E10" s="475"/>
      <c r="F10" s="101">
        <f>P_A1_L1*P_Inferior*Inferior</f>
        <v>0</v>
      </c>
      <c r="G10" s="100" t="e">
        <f t="shared" ref="G10:I10" si="44">G7*P_Inferior*Inferior</f>
        <v>#DIV/0!</v>
      </c>
      <c r="H10" s="101">
        <f>P_A1_L2*P_Inferior*Inferior</f>
        <v>0</v>
      </c>
      <c r="I10" s="100" t="e">
        <f t="shared" si="44"/>
        <v>#DIV/0!</v>
      </c>
      <c r="J10" s="101">
        <f>P_A1_L3*P_Inferior*Inferior</f>
        <v>0</v>
      </c>
      <c r="K10" s="100" t="e">
        <f t="shared" ref="K10:M10" si="45">K7*P_Inferior*Inferior</f>
        <v>#DIV/0!</v>
      </c>
      <c r="L10" s="101">
        <f>P_A1_L4*P_Inferior*Inferior</f>
        <v>0</v>
      </c>
      <c r="M10" s="100" t="e">
        <f t="shared" si="45"/>
        <v>#DIV/0!</v>
      </c>
      <c r="N10" s="101">
        <f>P_A1_L5*P_Inferior*Inferior</f>
        <v>0</v>
      </c>
      <c r="O10" s="100" t="e">
        <f t="shared" ref="O10:Q10" si="46">O7*P_Inferior*Inferior</f>
        <v>#DIV/0!</v>
      </c>
      <c r="P10" s="101">
        <f>P_A1_L6*P_Inferior*Inferior</f>
        <v>0</v>
      </c>
      <c r="Q10" s="100" t="e">
        <f t="shared" si="46"/>
        <v>#DIV/0!</v>
      </c>
      <c r="R10" s="101">
        <f>P_A1_L7*P_Inferior*Inferior</f>
        <v>0</v>
      </c>
      <c r="S10" s="100" t="e">
        <f t="shared" ref="S10:U10" si="47">S7*P_Inferior*Inferior</f>
        <v>#DIV/0!</v>
      </c>
      <c r="T10" s="101">
        <f>P_A1_L8*P_Inferior*Inferior</f>
        <v>0</v>
      </c>
      <c r="U10" s="100" t="e">
        <f t="shared" si="47"/>
        <v>#DIV/0!</v>
      </c>
      <c r="V10" s="101">
        <f>P_A1_L9*P_Inferior*Inferior</f>
        <v>0</v>
      </c>
      <c r="W10" s="100" t="e">
        <f t="shared" ref="W10:Y10" si="48">W7*P_Inferior*Inferior</f>
        <v>#DIV/0!</v>
      </c>
      <c r="X10" s="101">
        <f>P_A1_L10*P_Inferior*Inferior</f>
        <v>0</v>
      </c>
      <c r="Y10" s="100" t="e">
        <f t="shared" si="48"/>
        <v>#DIV/0!</v>
      </c>
      <c r="Z10" s="101">
        <f>P_A1_L11*P_Inferior*Inferior</f>
        <v>0</v>
      </c>
      <c r="AA10" s="100" t="e">
        <f t="shared" ref="AA10:AC10" si="49">AA7*P_Inferior*Inferior</f>
        <v>#DIV/0!</v>
      </c>
      <c r="AB10" s="101">
        <f>P_A1_L12*P_Inferior*Inferior</f>
        <v>0</v>
      </c>
      <c r="AC10" s="100" t="e">
        <f t="shared" si="49"/>
        <v>#DIV/0!</v>
      </c>
      <c r="AD10" s="101">
        <f>P_A1_L13*P_Inferior*Inferior</f>
        <v>0</v>
      </c>
      <c r="AE10" s="100" t="e">
        <f t="shared" ref="AE10:AG10" si="50">AE7*P_Inferior*Inferior</f>
        <v>#DIV/0!</v>
      </c>
      <c r="AF10" s="101">
        <f>P_A1_L14*P_Inferior*Inferior</f>
        <v>0</v>
      </c>
      <c r="AG10" s="100" t="e">
        <f t="shared" si="50"/>
        <v>#DIV/0!</v>
      </c>
      <c r="AH10" s="101">
        <f>P_A1_L15*P_Inferior*Inferior</f>
        <v>0</v>
      </c>
      <c r="AI10" s="100" t="e">
        <f t="shared" ref="AI10:AK10" si="51">AI7*P_Inferior*Inferior</f>
        <v>#DIV/0!</v>
      </c>
      <c r="AJ10" s="101">
        <f>P_A1_L16*P_Inferior*Inferior</f>
        <v>0</v>
      </c>
      <c r="AK10" s="100" t="e">
        <f t="shared" si="51"/>
        <v>#DIV/0!</v>
      </c>
      <c r="AL10" s="101">
        <f>P_A1_L17*P_Inferior*Inferior</f>
        <v>0</v>
      </c>
      <c r="AM10" s="100" t="e">
        <f t="shared" ref="AM10:AO10" si="52">AM7*P_Inferior*Inferior</f>
        <v>#DIV/0!</v>
      </c>
      <c r="AN10" s="101">
        <f>P_A1_L18*P_Inferior*Inferior</f>
        <v>0</v>
      </c>
      <c r="AO10" s="100" t="e">
        <f t="shared" si="52"/>
        <v>#DIV/0!</v>
      </c>
      <c r="AP10" s="101">
        <f>P_A1_L19*P_Inferior*Inferior</f>
        <v>0</v>
      </c>
      <c r="AQ10" s="100" t="e">
        <f t="shared" ref="AQ10:AS10" si="53">AQ7*P_Inferior*Inferior</f>
        <v>#DIV/0!</v>
      </c>
      <c r="AR10" s="101">
        <f>P_A1_L20*P_Inferior*Inferior</f>
        <v>0</v>
      </c>
      <c r="AS10" s="100" t="e">
        <f t="shared" si="53"/>
        <v>#DIV/0!</v>
      </c>
      <c r="AT10" s="101">
        <f>P_A1_L21*P_Inferior*Inferior</f>
        <v>0</v>
      </c>
      <c r="AU10" s="100" t="e">
        <f t="shared" ref="AU10:AW10" si="54">AU7*P_Inferior*Inferior</f>
        <v>#DIV/0!</v>
      </c>
      <c r="AV10" s="101">
        <f>P_A1_L22*P_Inferior*Inferior</f>
        <v>0</v>
      </c>
      <c r="AW10" s="100" t="e">
        <f t="shared" si="54"/>
        <v>#DIV/0!</v>
      </c>
      <c r="AX10" s="101">
        <f>P_A1_L23*P_Inferior*Inferior</f>
        <v>0</v>
      </c>
      <c r="AY10" s="100" t="e">
        <f t="shared" ref="AY10:BA10" si="55">AY7*P_Inferior*Inferior</f>
        <v>#DIV/0!</v>
      </c>
      <c r="AZ10" s="101">
        <f>P_A1_L24*P_Inferior*Inferior</f>
        <v>0</v>
      </c>
      <c r="BA10" s="100" t="e">
        <f t="shared" si="55"/>
        <v>#DIV/0!</v>
      </c>
      <c r="BB10" s="101">
        <f>P_A1_L25*P_Inferior*Inferior</f>
        <v>0</v>
      </c>
      <c r="BC10" s="100" t="e">
        <f t="shared" ref="BC10:BE10" si="56">BC7*P_Inferior*Inferior</f>
        <v>#DIV/0!</v>
      </c>
      <c r="BD10" s="101">
        <f>P_A1_L26*P_Inferior*Inferior</f>
        <v>0</v>
      </c>
      <c r="BE10" s="100" t="e">
        <f t="shared" si="56"/>
        <v>#DIV/0!</v>
      </c>
      <c r="BF10" s="101">
        <f>P_A1_L27*P_Inferior*Inferior</f>
        <v>0</v>
      </c>
      <c r="BG10" s="100" t="e">
        <f t="shared" ref="BG10:BI10" si="57">BG7*P_Inferior*Inferior</f>
        <v>#DIV/0!</v>
      </c>
      <c r="BH10" s="101">
        <f>P_A1_L28*P_Inferior*Inferior</f>
        <v>0</v>
      </c>
      <c r="BI10" s="100" t="e">
        <f t="shared" si="57"/>
        <v>#DIV/0!</v>
      </c>
      <c r="BJ10" s="101">
        <f>P_A1_L29*P_Inferior*Inferior</f>
        <v>0</v>
      </c>
      <c r="BK10" s="100" t="e">
        <f t="shared" ref="BK10:BM10" si="58">BK7*P_Inferior*Inferior</f>
        <v>#DIV/0!</v>
      </c>
      <c r="BL10" s="101">
        <f>P_A1_L30*P_Inferior*Inferior</f>
        <v>0</v>
      </c>
      <c r="BM10" s="100" t="e">
        <f t="shared" si="58"/>
        <v>#DIV/0!</v>
      </c>
      <c r="BN10" s="101">
        <f>P_A1_L31*P_Inferior*Inferior</f>
        <v>0</v>
      </c>
      <c r="BO10" s="100" t="e">
        <f t="shared" ref="BO10:BQ10" si="59">BO7*P_Inferior*Inferior</f>
        <v>#DIV/0!</v>
      </c>
      <c r="BP10" s="101">
        <f>P_A1_L32*P_Inferior*Inferior</f>
        <v>0</v>
      </c>
      <c r="BQ10" s="100" t="e">
        <f t="shared" si="59"/>
        <v>#DIV/0!</v>
      </c>
      <c r="BR10" s="101">
        <f>P_A1_L33*P_Inferior*Inferior</f>
        <v>0</v>
      </c>
      <c r="BS10" s="100" t="e">
        <f t="shared" ref="BS10:BU10" si="60">BS7*P_Inferior*Inferior</f>
        <v>#DIV/0!</v>
      </c>
      <c r="BT10" s="101">
        <f>P_A1_L34*P_Inferior*Inferior</f>
        <v>0</v>
      </c>
      <c r="BU10" s="100" t="e">
        <f t="shared" si="60"/>
        <v>#DIV/0!</v>
      </c>
      <c r="BV10" s="101">
        <f>P_A1_L35*P_Inferior*Inferior</f>
        <v>0</v>
      </c>
      <c r="BW10" s="100" t="e">
        <f t="shared" ref="BW10:BY10" si="61">BW7*P_Inferior*Inferior</f>
        <v>#DIV/0!</v>
      </c>
      <c r="BX10" s="101">
        <f>P_A1_L36*P_Inferior*Inferior</f>
        <v>0</v>
      </c>
      <c r="BY10" s="100" t="e">
        <f t="shared" si="61"/>
        <v>#DIV/0!</v>
      </c>
      <c r="BZ10" s="101">
        <f>P_A1_L37*P_Inferior*Inferior</f>
        <v>0</v>
      </c>
      <c r="CA10" s="100" t="e">
        <f t="shared" ref="CA10:CC10" si="62">CA7*P_Inferior*Inferior</f>
        <v>#DIV/0!</v>
      </c>
      <c r="CB10" s="101">
        <f>P_A1_L38*P_Inferior*Inferior</f>
        <v>0</v>
      </c>
      <c r="CC10" s="100" t="e">
        <f t="shared" si="62"/>
        <v>#DIV/0!</v>
      </c>
      <c r="CD10" s="101">
        <f>P_A1_L39*P_Inferior*Inferior</f>
        <v>0</v>
      </c>
      <c r="CE10" s="100" t="e">
        <f t="shared" ref="CE10:CG10" si="63">CE7*P_Inferior*Inferior</f>
        <v>#DIV/0!</v>
      </c>
      <c r="CF10" s="101">
        <f>P_A1_L40*P_Inferior*Inferior</f>
        <v>0</v>
      </c>
      <c r="CG10" s="100" t="e">
        <f t="shared" si="63"/>
        <v>#DIV/0!</v>
      </c>
      <c r="CH10" s="473"/>
      <c r="CI10" s="101">
        <f>CI7*P_Inferior*Inferior</f>
        <v>0</v>
      </c>
      <c r="CJ10" s="101">
        <f>CJ7*P_Inferior*Inferior</f>
        <v>0</v>
      </c>
      <c r="CK10" s="101">
        <f>CK7*P_Inferior*Inferior</f>
        <v>0</v>
      </c>
      <c r="CL10" s="101">
        <f>CL7*P_Inferior*Inferior</f>
        <v>0</v>
      </c>
      <c r="CM10" s="101"/>
      <c r="CN10" s="101">
        <f>CN7*P_Inferior*Inferior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22"/>
        <v>#DIV/0!</v>
      </c>
      <c r="E11" s="475"/>
      <c r="F11" s="104">
        <f t="shared" ref="F11:AK11" si="64">SUM(F8:F10)</f>
        <v>0</v>
      </c>
      <c r="G11" s="104" t="e">
        <f t="shared" si="64"/>
        <v>#DIV/0!</v>
      </c>
      <c r="H11" s="104">
        <f t="shared" si="64"/>
        <v>0</v>
      </c>
      <c r="I11" s="104" t="e">
        <f t="shared" si="64"/>
        <v>#DIV/0!</v>
      </c>
      <c r="J11" s="104">
        <f t="shared" si="64"/>
        <v>0</v>
      </c>
      <c r="K11" s="104" t="e">
        <f t="shared" si="64"/>
        <v>#DIV/0!</v>
      </c>
      <c r="L11" s="104">
        <f t="shared" si="64"/>
        <v>0</v>
      </c>
      <c r="M11" s="104" t="e">
        <f t="shared" si="64"/>
        <v>#DIV/0!</v>
      </c>
      <c r="N11" s="104">
        <f t="shared" si="64"/>
        <v>0</v>
      </c>
      <c r="O11" s="104" t="e">
        <f t="shared" si="64"/>
        <v>#DIV/0!</v>
      </c>
      <c r="P11" s="104">
        <f t="shared" si="64"/>
        <v>0</v>
      </c>
      <c r="Q11" s="104" t="e">
        <f t="shared" si="64"/>
        <v>#DIV/0!</v>
      </c>
      <c r="R11" s="104">
        <f t="shared" si="64"/>
        <v>0</v>
      </c>
      <c r="S11" s="104" t="e">
        <f t="shared" si="64"/>
        <v>#DIV/0!</v>
      </c>
      <c r="T11" s="104">
        <f t="shared" si="64"/>
        <v>0</v>
      </c>
      <c r="U11" s="104" t="e">
        <f t="shared" si="64"/>
        <v>#DIV/0!</v>
      </c>
      <c r="V11" s="104">
        <f t="shared" si="64"/>
        <v>0</v>
      </c>
      <c r="W11" s="104" t="e">
        <f t="shared" si="64"/>
        <v>#DIV/0!</v>
      </c>
      <c r="X11" s="104">
        <f t="shared" si="64"/>
        <v>0</v>
      </c>
      <c r="Y11" s="104" t="e">
        <f t="shared" si="64"/>
        <v>#DIV/0!</v>
      </c>
      <c r="Z11" s="104">
        <f t="shared" si="64"/>
        <v>0</v>
      </c>
      <c r="AA11" s="104" t="e">
        <f t="shared" si="64"/>
        <v>#DIV/0!</v>
      </c>
      <c r="AB11" s="104">
        <f t="shared" si="64"/>
        <v>0</v>
      </c>
      <c r="AC11" s="104" t="e">
        <f t="shared" si="64"/>
        <v>#DIV/0!</v>
      </c>
      <c r="AD11" s="104">
        <f t="shared" si="64"/>
        <v>0</v>
      </c>
      <c r="AE11" s="104" t="e">
        <f t="shared" si="64"/>
        <v>#DIV/0!</v>
      </c>
      <c r="AF11" s="104">
        <f t="shared" si="64"/>
        <v>0</v>
      </c>
      <c r="AG11" s="104" t="e">
        <f t="shared" si="64"/>
        <v>#DIV/0!</v>
      </c>
      <c r="AH11" s="104">
        <f t="shared" si="64"/>
        <v>0</v>
      </c>
      <c r="AI11" s="104" t="e">
        <f t="shared" si="64"/>
        <v>#DIV/0!</v>
      </c>
      <c r="AJ11" s="104">
        <f t="shared" si="64"/>
        <v>0</v>
      </c>
      <c r="AK11" s="104" t="e">
        <f t="shared" si="64"/>
        <v>#DIV/0!</v>
      </c>
      <c r="AL11" s="104">
        <f t="shared" ref="AL11:BQ11" si="65">SUM(AL8:AL10)</f>
        <v>0</v>
      </c>
      <c r="AM11" s="104" t="e">
        <f t="shared" si="65"/>
        <v>#DIV/0!</v>
      </c>
      <c r="AN11" s="104">
        <f t="shared" si="65"/>
        <v>0</v>
      </c>
      <c r="AO11" s="104" t="e">
        <f t="shared" si="65"/>
        <v>#DIV/0!</v>
      </c>
      <c r="AP11" s="104">
        <f t="shared" si="65"/>
        <v>0</v>
      </c>
      <c r="AQ11" s="104" t="e">
        <f t="shared" si="65"/>
        <v>#DIV/0!</v>
      </c>
      <c r="AR11" s="104">
        <f t="shared" si="65"/>
        <v>0</v>
      </c>
      <c r="AS11" s="104" t="e">
        <f t="shared" si="65"/>
        <v>#DIV/0!</v>
      </c>
      <c r="AT11" s="104">
        <f t="shared" si="65"/>
        <v>0</v>
      </c>
      <c r="AU11" s="104" t="e">
        <f t="shared" si="65"/>
        <v>#DIV/0!</v>
      </c>
      <c r="AV11" s="104">
        <f t="shared" si="65"/>
        <v>0</v>
      </c>
      <c r="AW11" s="104" t="e">
        <f t="shared" si="65"/>
        <v>#DIV/0!</v>
      </c>
      <c r="AX11" s="104">
        <f t="shared" si="65"/>
        <v>0</v>
      </c>
      <c r="AY11" s="104" t="e">
        <f t="shared" si="65"/>
        <v>#DIV/0!</v>
      </c>
      <c r="AZ11" s="104">
        <f t="shared" si="65"/>
        <v>0</v>
      </c>
      <c r="BA11" s="104" t="e">
        <f t="shared" si="65"/>
        <v>#DIV/0!</v>
      </c>
      <c r="BB11" s="104">
        <f t="shared" si="65"/>
        <v>0</v>
      </c>
      <c r="BC11" s="104" t="e">
        <f t="shared" si="65"/>
        <v>#DIV/0!</v>
      </c>
      <c r="BD11" s="104">
        <f t="shared" si="65"/>
        <v>0</v>
      </c>
      <c r="BE11" s="104" t="e">
        <f t="shared" si="65"/>
        <v>#DIV/0!</v>
      </c>
      <c r="BF11" s="104">
        <f t="shared" si="65"/>
        <v>0</v>
      </c>
      <c r="BG11" s="104" t="e">
        <f t="shared" si="65"/>
        <v>#DIV/0!</v>
      </c>
      <c r="BH11" s="104">
        <f t="shared" si="65"/>
        <v>0</v>
      </c>
      <c r="BI11" s="104" t="e">
        <f t="shared" si="65"/>
        <v>#DIV/0!</v>
      </c>
      <c r="BJ11" s="104">
        <f t="shared" si="65"/>
        <v>0</v>
      </c>
      <c r="BK11" s="104" t="e">
        <f t="shared" si="65"/>
        <v>#DIV/0!</v>
      </c>
      <c r="BL11" s="104">
        <f t="shared" si="65"/>
        <v>0</v>
      </c>
      <c r="BM11" s="104" t="e">
        <f t="shared" si="65"/>
        <v>#DIV/0!</v>
      </c>
      <c r="BN11" s="104">
        <f t="shared" si="65"/>
        <v>0</v>
      </c>
      <c r="BO11" s="104" t="e">
        <f t="shared" si="65"/>
        <v>#DIV/0!</v>
      </c>
      <c r="BP11" s="104">
        <f t="shared" si="65"/>
        <v>0</v>
      </c>
      <c r="BQ11" s="104" t="e">
        <f t="shared" si="65"/>
        <v>#DIV/0!</v>
      </c>
      <c r="BR11" s="104">
        <f t="shared" ref="BR11:CG11" si="66">SUM(BR8:BR10)</f>
        <v>0</v>
      </c>
      <c r="BS11" s="104" t="e">
        <f t="shared" si="66"/>
        <v>#DIV/0!</v>
      </c>
      <c r="BT11" s="104">
        <f t="shared" si="66"/>
        <v>0</v>
      </c>
      <c r="BU11" s="104" t="e">
        <f t="shared" si="66"/>
        <v>#DIV/0!</v>
      </c>
      <c r="BV11" s="104">
        <f t="shared" si="66"/>
        <v>0</v>
      </c>
      <c r="BW11" s="104" t="e">
        <f t="shared" si="66"/>
        <v>#DIV/0!</v>
      </c>
      <c r="BX11" s="104">
        <f t="shared" si="66"/>
        <v>0</v>
      </c>
      <c r="BY11" s="104" t="e">
        <f t="shared" si="66"/>
        <v>#DIV/0!</v>
      </c>
      <c r="BZ11" s="104">
        <f t="shared" si="66"/>
        <v>0</v>
      </c>
      <c r="CA11" s="104" t="e">
        <f t="shared" si="66"/>
        <v>#DIV/0!</v>
      </c>
      <c r="CB11" s="104">
        <f t="shared" si="66"/>
        <v>0</v>
      </c>
      <c r="CC11" s="104" t="e">
        <f t="shared" si="66"/>
        <v>#DIV/0!</v>
      </c>
      <c r="CD11" s="104">
        <f t="shared" si="66"/>
        <v>0</v>
      </c>
      <c r="CE11" s="104" t="e">
        <f t="shared" si="66"/>
        <v>#DIV/0!</v>
      </c>
      <c r="CF11" s="104">
        <f t="shared" si="66"/>
        <v>0</v>
      </c>
      <c r="CG11" s="104" t="e">
        <f t="shared" si="66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SUMIFS('9'!$E:$E,'9'!$A:$A,Año_Inicial,'9'!$D:$D,"Poda")</f>
        <v>0</v>
      </c>
      <c r="D14" s="100">
        <f t="shared" ref="D14:D44" si="67">C14-B14</f>
        <v>0</v>
      </c>
      <c r="E14" s="473"/>
      <c r="F14" s="101">
        <f>(A1_A_L1*Poda_A)+(A1_B_L1*Poda_B)+(A1_C_L1*Poda_C)+(A1_D_L1*Poda_D)+(A1_Y_L1*Poda_Y)</f>
        <v>0</v>
      </c>
      <c r="G14" s="101">
        <f>SUMIFS('9'!$E:$E,'9'!$A:$A,Año_Inicial,'9'!$B:$B,'11'!F$4,'9'!$D:$D,"Poda")</f>
        <v>0</v>
      </c>
      <c r="H14" s="101">
        <f>(A1_A_L2*Poda_A)+(A1_B_L2*Poda_B)+(A1_C_L2*Poda_C)+(A1_D_L2*Poda_D)+(A1_Y_L2*Poda_Y)</f>
        <v>0</v>
      </c>
      <c r="I14" s="101">
        <f>SUMIFS('9'!$E:$E,'9'!$A:$A,Año_Inicial,'9'!$B:$B,'11'!H$4,'9'!$D:$D,"Poda")</f>
        <v>0</v>
      </c>
      <c r="J14" s="101">
        <f>(A1_A_L3*Poda_A)+(A1_B_L3*Poda_B)+(A1_C_L3*Poda_C)+(A1_D_L3*Poda_D)+(A1_Y_L3*Poda_Y)</f>
        <v>0</v>
      </c>
      <c r="K14" s="101">
        <f>SUMIFS('9'!$E:$E,'9'!$A:$A,Año_Inicial,'9'!$B:$B,'11'!J$4,'9'!$D:$D,"Poda")</f>
        <v>0</v>
      </c>
      <c r="L14" s="101">
        <f>(A1_A_L4*Poda_A)+(A1_B_L4*Poda_B)+(A1_C_L4*Poda_C)+(A1_D_L4*Poda_D)+(A1_Y_L4*Poda_Y)</f>
        <v>0</v>
      </c>
      <c r="M14" s="101">
        <f>SUMIFS('9'!$E:$E,'9'!$A:$A,Año_Inicial,'9'!$B:$B,'11'!L$4,'9'!$D:$D,"Poda")</f>
        <v>0</v>
      </c>
      <c r="N14" s="101">
        <f>(A1_A_L5*Poda_A)+(A1_B_L5*Poda_B)+(A1_C_L5*Poda_C)+(A1_D_L5*Poda_D)+(A1_Y_L5*Poda_Y)</f>
        <v>0</v>
      </c>
      <c r="O14" s="101">
        <f>SUMIFS('9'!$E:$E,'9'!$A:$A,Año_Inicial,'9'!$B:$B,'11'!N$4,'9'!$D:$D,"Poda")</f>
        <v>0</v>
      </c>
      <c r="P14" s="101">
        <f>(A1_A_L6*Poda_A)+(A1_B_L6*Poda_B)+(A1_C_L6*Poda_C)+(A1_D_L6*Poda_D)+(A1_Y_L6*Poda_Y)</f>
        <v>0</v>
      </c>
      <c r="Q14" s="101">
        <f>SUMIFS('9'!$E:$E,'9'!$A:$A,Año_Inicial,'9'!$B:$B,'11'!P$4,'9'!$D:$D,"Poda")</f>
        <v>0</v>
      </c>
      <c r="R14" s="101">
        <f>(A1_A_L7*Poda_A)+(A1_B_L7*Poda_B)+(A1_C_L7*Poda_C)+(A1_D_L7*Poda_D)+(A1_Y_L7*Poda_Y)</f>
        <v>0</v>
      </c>
      <c r="S14" s="101">
        <f>SUMIFS('9'!$E:$E,'9'!$A:$A,Año_Inicial,'9'!$B:$B,'11'!R$4,'9'!$D:$D,"Poda")</f>
        <v>0</v>
      </c>
      <c r="T14" s="101">
        <f>(A1_A_L8*Poda_A)+(A1_B_L8*Poda_B)+(A1_C_L8*Poda_C)+(A1_D_L8*Poda_D)+(A1_Y_L8*Poda_Y)</f>
        <v>0</v>
      </c>
      <c r="U14" s="101">
        <f>SUMIFS('9'!$E:$E,'9'!$A:$A,Año_Inicial,'9'!$B:$B,'11'!T$4,'9'!$D:$D,"Poda")</f>
        <v>0</v>
      </c>
      <c r="V14" s="101">
        <f>(A1_A_L9*Poda_A)+(A1_B_L9*Poda_B)+(A1_C_L9*Poda_C)+(A1_D_L9*Poda_D)+(A1_Y_L9*Poda_Y)</f>
        <v>0</v>
      </c>
      <c r="W14" s="101">
        <f>SUMIFS('9'!$E:$E,'9'!$A:$A,Año_Inicial,'9'!$B:$B,'11'!V$4,'9'!$D:$D,"Poda")</f>
        <v>0</v>
      </c>
      <c r="X14" s="101">
        <f>(A1_A_L10*Poda_A)+(A1_B_L10*Poda_B)+(A1_C_L10*Poda_C)+(A1_D_L10*Poda_D)+(A1_Y_L10*Poda_Y)</f>
        <v>0</v>
      </c>
      <c r="Y14" s="101">
        <f>SUMIFS('9'!$E:$E,'9'!$A:$A,Año_Inicial,'9'!$B:$B,'11'!X$4,'9'!$D:$D,"Poda")</f>
        <v>0</v>
      </c>
      <c r="Z14" s="101">
        <f>(A1_A_L11*Poda_A)+(A1_B_L11*Poda_B)+(A1_C_L11*Poda_C)+(A1_D_L11*Poda_D)+(A1_Y_L11*Poda_Y)</f>
        <v>0</v>
      </c>
      <c r="AA14" s="101">
        <f>SUMIFS('9'!$E:$E,'9'!$A:$A,Año_Inicial,'9'!$B:$B,'11'!Z$4,'9'!$D:$D,"Poda")</f>
        <v>0</v>
      </c>
      <c r="AB14" s="101">
        <f>(A1_A_L12*Poda_A)+(A1_B_L12*Poda_B)+(A1_C_L12*Poda_C)+(A1_D_L12*Poda_D)+(A1_Y_L12*Poda_Y)</f>
        <v>0</v>
      </c>
      <c r="AC14" s="101">
        <f>SUMIFS('9'!$E:$E,'9'!$A:$A,Año_Inicial,'9'!$B:$B,'11'!AB$4,'9'!$D:$D,"Poda")</f>
        <v>0</v>
      </c>
      <c r="AD14" s="101">
        <f>(A1_A_L13*Poda_A)+(A1_B_L13*Poda_B)+(A1_C_L13*Poda_C)+(A1_D_L13*Poda_D)+(A1_Y_L13*Poda_Y)</f>
        <v>0</v>
      </c>
      <c r="AE14" s="101">
        <f>SUMIFS('9'!$E:$E,'9'!$A:$A,Año_Inicial,'9'!$B:$B,'11'!AD$4,'9'!$D:$D,"Poda")</f>
        <v>0</v>
      </c>
      <c r="AF14" s="101">
        <f>(A1_A_L14*Poda_A)+(A1_B_L14*Poda_B)+(A1_C_L14*Poda_C)+(A1_D_L14*Poda_D)+(A1_Y_L14*Poda_Y)</f>
        <v>0</v>
      </c>
      <c r="AG14" s="101">
        <f>SUMIFS('9'!$E:$E,'9'!$A:$A,Año_Inicial,'9'!$B:$B,'11'!AF$4,'9'!$D:$D,"Poda")</f>
        <v>0</v>
      </c>
      <c r="AH14" s="101">
        <f>(A1_A_L15*Poda_A)+(A1_B_L15*Poda_B)+(A1_C_L15*Poda_C)+(A1_D_L15*Poda_D)+(A1_Y_L15*Poda_Y)</f>
        <v>0</v>
      </c>
      <c r="AI14" s="101">
        <f>SUMIFS('9'!$E:$E,'9'!$A:$A,Año_Inicial,'9'!$B:$B,'11'!AH$4,'9'!$D:$D,"Poda")</f>
        <v>0</v>
      </c>
      <c r="AJ14" s="101">
        <f>(A1_A_L16*Poda_A)+(A1_B_L16*Poda_B)+(A1_C_L16*Poda_C)+(A1_D_L16*Poda_D)+(A1_Y_L16*Poda_Y)</f>
        <v>0</v>
      </c>
      <c r="AK14" s="101">
        <f>SUMIFS('9'!$E:$E,'9'!$A:$A,Año_Inicial,'9'!$B:$B,'11'!AJ$4,'9'!$D:$D,"Poda")</f>
        <v>0</v>
      </c>
      <c r="AL14" s="101">
        <f>(A1_A_L17*Poda_A)+(A1_B_L17*Poda_B)+(A1_C_L17*Poda_C)+(A1_D_L17*Poda_D)+(A1_Y_L17*Poda_Y)</f>
        <v>0</v>
      </c>
      <c r="AM14" s="101">
        <f>SUMIFS('9'!$E:$E,'9'!$A:$A,Año_Inicial,'9'!$B:$B,'11'!AL$4,'9'!$D:$D,"Poda")</f>
        <v>0</v>
      </c>
      <c r="AN14" s="101">
        <f>(A1_A_L18*Poda_A)+(A1_B_L18*Poda_B)+(A1_C_L18*Poda_C)+(A1_D_L18*Poda_D)+(A1_Y_L18*Poda_Y)</f>
        <v>0</v>
      </c>
      <c r="AO14" s="101">
        <f>SUMIFS('9'!$E:$E,'9'!$A:$A,Año_Inicial,'9'!$B:$B,'11'!AN$4,'9'!$D:$D,"Poda")</f>
        <v>0</v>
      </c>
      <c r="AP14" s="101">
        <f>(A1_A_L19*Poda_A)+(A1_B_L19*Poda_B)+(A1_C_L19*Poda_C)+(A1_D_L19*Poda_D)+(A1_Y_L19*Poda_Y)</f>
        <v>0</v>
      </c>
      <c r="AQ14" s="101">
        <f>SUMIFS('9'!$E:$E,'9'!$A:$A,Año_Inicial,'9'!$B:$B,'11'!AP$4,'9'!$D:$D,"Poda")</f>
        <v>0</v>
      </c>
      <c r="AR14" s="101">
        <f>(A1_A_L20*Poda_A)+(A1_B_L20*Poda_B)+(A1_C_L20*Poda_C)+(A1_D_L20*Poda_D)+(A1_Y_L20*Poda_Y)</f>
        <v>0</v>
      </c>
      <c r="AS14" s="101">
        <f>SUMIFS('9'!$E:$E,'9'!$A:$A,Año_Inicial,'9'!$B:$B,'11'!AR$4,'9'!$D:$D,"Poda")</f>
        <v>0</v>
      </c>
      <c r="AT14" s="101">
        <f>(A1_A_L21*Poda_A)+(A1_B_L21*Poda_B)+(A1_C_L21*Poda_C)+(A1_D_L21*Poda_D)+(A1_Y_L21*Poda_Y)</f>
        <v>0</v>
      </c>
      <c r="AU14" s="101">
        <f>SUMIFS('9'!$E:$E,'9'!$A:$A,Año_Inicial,'9'!$B:$B,'11'!AT$4,'9'!$D:$D,"Poda")</f>
        <v>0</v>
      </c>
      <c r="AV14" s="101">
        <f>(A1_A_L22*Poda_A)+(A1_B_L22*Poda_B)+(A1_C_L22*Poda_C)+(A1_D_L22*Poda_D)+(A1_Y_L22*Poda_Y)</f>
        <v>0</v>
      </c>
      <c r="AW14" s="101">
        <f>SUMIFS('9'!$E:$E,'9'!$A:$A,Año_Inicial,'9'!$B:$B,'11'!AV$4,'9'!$D:$D,"Poda")</f>
        <v>0</v>
      </c>
      <c r="AX14" s="101">
        <f>(A1_A_L23*Poda_A)+(A1_B_L23*Poda_B)+(A1_C_L23*Poda_C)+(A1_D_L23*Poda_D)+(A1_Y_L23*Poda_Y)</f>
        <v>0</v>
      </c>
      <c r="AY14" s="101">
        <f>SUMIFS('9'!$E:$E,'9'!$A:$A,Año_Inicial,'9'!$B:$B,'11'!AX$4,'9'!$D:$D,"Poda")</f>
        <v>0</v>
      </c>
      <c r="AZ14" s="101">
        <f>(A1_A_L24*Poda_A)+(A1_B_L24*Poda_B)+(A1_C_L24*Poda_C)+(A1_D_L24*Poda_D)+(A1_Y_L24*Poda_Y)</f>
        <v>0</v>
      </c>
      <c r="BA14" s="101">
        <f>SUMIFS('9'!$E:$E,'9'!$A:$A,Año_Inicial,'9'!$B:$B,'11'!AZ$4,'9'!$D:$D,"Poda")</f>
        <v>0</v>
      </c>
      <c r="BB14" s="101">
        <f>(A1_A_L25*Poda_A)+(A1_B_L25*Poda_B)+(A1_C_L25*Poda_C)+(A1_D_L25*Poda_D)+(A1_Y_L25*Poda_Y)</f>
        <v>0</v>
      </c>
      <c r="BC14" s="101">
        <f>SUMIFS('9'!$E:$E,'9'!$A:$A,Año_Inicial,'9'!$B:$B,'11'!BB$4,'9'!$D:$D,"Poda")</f>
        <v>0</v>
      </c>
      <c r="BD14" s="101">
        <f>(A1_A_L26*Poda_A)+(A1_B_L26*Poda_B)+(A1_C_L26*Poda_C)+(A1_D_L26*Poda_D)+(A1_Y_L26*Poda_Y)</f>
        <v>0</v>
      </c>
      <c r="BE14" s="101">
        <f>SUMIFS('9'!$E:$E,'9'!$A:$A,Año_Inicial,'9'!$B:$B,'11'!BD$4,'9'!$D:$D,"Poda")</f>
        <v>0</v>
      </c>
      <c r="BF14" s="101">
        <f>(A1_A_L27*Poda_A)+(A1_B_L27*Poda_B)+(A1_C_L27*Poda_C)+(A1_D_L27*Poda_D)+(A1_Y_L27*Poda_Y)</f>
        <v>0</v>
      </c>
      <c r="BG14" s="101">
        <f>SUMIFS('9'!$E:$E,'9'!$A:$A,Año_Inicial,'9'!$B:$B,'11'!BF$4,'9'!$D:$D,"Poda")</f>
        <v>0</v>
      </c>
      <c r="BH14" s="101">
        <f>(A1_A_L28*Poda_A)+(A1_B_L28*Poda_B)+(A1_C_L28*Poda_C)+(A1_D_L28*Poda_D)+(A1_Y_L28*Poda_Y)</f>
        <v>0</v>
      </c>
      <c r="BI14" s="101">
        <f>SUMIFS('9'!$E:$E,'9'!$A:$A,Año_Inicial,'9'!$B:$B,'11'!BH$4,'9'!$D:$D,"Poda")</f>
        <v>0</v>
      </c>
      <c r="BJ14" s="101">
        <f>(A1_A_L29*Poda_A)+(A1_B_L29*Poda_B)+(A1_C_L29*Poda_C)+(A1_D_L29*Poda_D)+(A1_Y_L29*Poda_Y)</f>
        <v>0</v>
      </c>
      <c r="BK14" s="101">
        <f>SUMIFS('9'!$E:$E,'9'!$A:$A,Año_Inicial,'9'!$B:$B,'11'!BJ$4,'9'!$D:$D,"Poda")</f>
        <v>0</v>
      </c>
      <c r="BL14" s="101">
        <f>(A1_A_L30*Poda_A)+(A1_B_L30*Poda_B)+(A1_C_L30*Poda_C)+(A1_D_L30*Poda_D)+(A1_Y_L30*Poda_Y)</f>
        <v>0</v>
      </c>
      <c r="BM14" s="101">
        <f>SUMIFS('9'!$E:$E,'9'!$A:$A,Año_Inicial,'9'!$B:$B,'11'!BL$4,'9'!$D:$D,"Poda")</f>
        <v>0</v>
      </c>
      <c r="BN14" s="101">
        <f>(A1_A_L31*Poda_A)+(A1_B_L31*Poda_B)+(A1_C_L31*Poda_C)+(A1_D_L31*Poda_D)+(A1_Y_L31*Poda_Y)</f>
        <v>0</v>
      </c>
      <c r="BO14" s="101">
        <f>SUMIFS('9'!$E:$E,'9'!$A:$A,Año_Inicial,'9'!$B:$B,'11'!BN$4,'9'!$D:$D,"Poda")</f>
        <v>0</v>
      </c>
      <c r="BP14" s="101">
        <f>(A1_A_L32*Poda_A)+(A1_B_L32*Poda_B)+(A1_C_L32*Poda_C)+(A1_D_L32*Poda_D)+(A1_Y_L32*Poda_Y)</f>
        <v>0</v>
      </c>
      <c r="BQ14" s="101">
        <f>SUMIFS('9'!$E:$E,'9'!$A:$A,Año_Inicial,'9'!$B:$B,'11'!BP$4,'9'!$D:$D,"Poda")</f>
        <v>0</v>
      </c>
      <c r="BR14" s="101">
        <f>(A1_A_L33*Poda_A)+(A1_B_L33*Poda_B)+(A1_C_L33*Poda_C)+(A1_D_L33*Poda_D)+(A1_Y_L33*Poda_Y)</f>
        <v>0</v>
      </c>
      <c r="BS14" s="101">
        <f>SUMIFS('9'!$E:$E,'9'!$A:$A,Año_Inicial,'9'!$B:$B,'11'!BR$4,'9'!$D:$D,"Poda")</f>
        <v>0</v>
      </c>
      <c r="BT14" s="101">
        <f>(A1_A_L34*Poda_A)+(A1_B_L34*Poda_B)+(A1_C_L34*Poda_C)+(A1_D_L34*Poda_D)+(A1_Y_L34*Poda_Y)</f>
        <v>0</v>
      </c>
      <c r="BU14" s="101">
        <f>SUMIFS('9'!$E:$E,'9'!$A:$A,Año_Inicial,'9'!$B:$B,'11'!BT$4,'9'!$D:$D,"Poda")</f>
        <v>0</v>
      </c>
      <c r="BV14" s="101">
        <f>(A1_A_L35*Poda_A)+(A1_B_L35*Poda_B)+(A1_C_L35*Poda_C)+(A1_D_L35*Poda_D)+(A1_Y_L35*Poda_Y)</f>
        <v>0</v>
      </c>
      <c r="BW14" s="101">
        <f>SUMIFS('9'!$E:$E,'9'!$A:$A,Año_Inicial,'9'!$B:$B,'11'!BV$4,'9'!$D:$D,"Poda")</f>
        <v>0</v>
      </c>
      <c r="BX14" s="101">
        <f>(A1_A_L36*Poda_A)+(A1_B_L36*Poda_B)+(A1_C_L36*Poda_C)+(A1_D_L36*Poda_D)+(A1_Y_L36*Poda_Y)</f>
        <v>0</v>
      </c>
      <c r="BY14" s="101">
        <f>SUMIFS('9'!$E:$E,'9'!$A:$A,Año_Inicial,'9'!$B:$B,'11'!BX$4,'9'!$D:$D,"Poda")</f>
        <v>0</v>
      </c>
      <c r="BZ14" s="101">
        <f>(A1_A_L37*Poda_A)+(A1_B_L37*Poda_B)+(A1_C_L37*Poda_C)+(A1_D_L37*Poda_D)+(A1_Y_L37*Poda_Y)</f>
        <v>0</v>
      </c>
      <c r="CA14" s="101">
        <f>SUMIFS('9'!$E:$E,'9'!$A:$A,Año_Inicial,'9'!$B:$B,'11'!BZ$4,'9'!$D:$D,"Poda")</f>
        <v>0</v>
      </c>
      <c r="CB14" s="101">
        <f>(A1_A_L38*Poda_A)+(A1_B_L38*Poda_B)+(A1_C_L38*Poda_C)+(A1_D_L38*Poda_D)+(A1_Y_L38*Poda_Y)</f>
        <v>0</v>
      </c>
      <c r="CC14" s="101">
        <f>SUMIFS('9'!$E:$E,'9'!$A:$A,Año_Inicial,'9'!$B:$B,'11'!CB$4,'9'!$D:$D,"Poda")</f>
        <v>0</v>
      </c>
      <c r="CD14" s="101">
        <f>(A1_A_L39*Poda_A)+(A1_B_L39*Poda_B)+(A1_C_L39*Poda_C)+(A1_D_L39*Poda_D)+(A1_Y_L39*Poda_Y)</f>
        <v>0</v>
      </c>
      <c r="CE14" s="101">
        <f>SUMIFS('9'!$E:$E,'9'!$A:$A,Año_Inicial,'9'!$B:$B,'11'!CD$4,'9'!$D:$D,"Poda")</f>
        <v>0</v>
      </c>
      <c r="CF14" s="101">
        <f>(A1_A_L40*Poda_A)+(A1_B_L40*Poda_B)+(A1_C_L40*Poda_C)+(A1_D_L40*Poda_D)+(A1_Y_L40*Poda_Y)</f>
        <v>0</v>
      </c>
      <c r="CG14" s="101">
        <f>SUMIFS('9'!$E:$E,'9'!$A:$A,Año_Inicial,'9'!$B:$B,'11'!CF$4,'9'!$D:$D,"Poda")</f>
        <v>0</v>
      </c>
      <c r="CH14" s="473"/>
      <c r="CI14" s="101">
        <f>Plantas_A_A1*Poda_A</f>
        <v>0</v>
      </c>
      <c r="CJ14" s="101">
        <f>Plantas_B_A1*Poda_B</f>
        <v>0</v>
      </c>
      <c r="CK14" s="101">
        <f>Plantas_C_A1*Poda_C</f>
        <v>0</v>
      </c>
      <c r="CL14" s="101">
        <f>Plantas_D_A1*Poda_D</f>
        <v>0</v>
      </c>
      <c r="CM14" s="101"/>
      <c r="CN14" s="101">
        <f>Plantas_Y_A1*Poda_Y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SUMIFS('9'!$E:$E,'9'!$A:$A,Año_Inicial,'9'!$D:$D,"Deshije")</f>
        <v>0</v>
      </c>
      <c r="D15" s="100">
        <f t="shared" si="67"/>
        <v>0</v>
      </c>
      <c r="E15" s="473"/>
      <c r="F15" s="101">
        <f>(A1_A_L1*Deshije_A)+(A1_B_L1*Deshije_B)+(A1_C_L1*Deshije_C)+(A1_D_L1*Deshije_D)+(A1_Y_L1*Deshije_Y)</f>
        <v>0</v>
      </c>
      <c r="G15" s="101">
        <f>SUMIFS('9'!$E:$E,'9'!$A:$A,Año_Inicial,'9'!$B:$B,'11'!F$4,'9'!$D:$D,"Deshije")</f>
        <v>0</v>
      </c>
      <c r="H15" s="101">
        <f>(A1_A_L2*Deshije_A)+(A1_B_L2*Deshije_B)+(A1_C_L2*Deshije_C)+(A1_D_L2*Deshije_D)+(A1_Y_L2*Deshije_Y)</f>
        <v>0</v>
      </c>
      <c r="I15" s="101">
        <f>SUMIFS('9'!$E:$E,'9'!$A:$A,Año_Inicial,'9'!$B:$B,'11'!H$4,'9'!$D:$D,"Deshije")</f>
        <v>0</v>
      </c>
      <c r="J15" s="101">
        <f>(A1_A_L3*Deshije_A)+(A1_B_L3*Deshije_B)+(A1_C_L3*Deshije_C)+(A1_D_L3*Deshije_D)+(A1_Y_L3*Deshije_Y)</f>
        <v>0</v>
      </c>
      <c r="K15" s="101">
        <f>SUMIFS('9'!$E:$E,'9'!$A:$A,Año_Inicial,'9'!$B:$B,'11'!J$4,'9'!$D:$D,"Deshije")</f>
        <v>0</v>
      </c>
      <c r="L15" s="101">
        <f>(A1_A_L4*Deshije_A)+(A1_B_L4*Deshije_B)+(A1_C_L4*Deshije_C)+(A1_D_L4*Deshije_D)+(A1_Y_L4*Deshije_Y)</f>
        <v>0</v>
      </c>
      <c r="M15" s="101">
        <f>SUMIFS('9'!$E:$E,'9'!$A:$A,Año_Inicial,'9'!$B:$B,'11'!L$4,'9'!$D:$D,"Deshije")</f>
        <v>0</v>
      </c>
      <c r="N15" s="101">
        <f>(A1_A_L5*Deshije_A)+(A1_B_L5*Deshije_B)+(A1_C_L5*Deshije_C)+(A1_D_L5*Deshije_D)+(A1_Y_L5*Deshije_Y)</f>
        <v>0</v>
      </c>
      <c r="O15" s="101">
        <f>SUMIFS('9'!$E:$E,'9'!$A:$A,Año_Inicial,'9'!$B:$B,'11'!N$4,'9'!$D:$D,"Deshije")</f>
        <v>0</v>
      </c>
      <c r="P15" s="101">
        <f>(A1_A_L6*Deshije_A)+(A1_B_L6*Deshije_B)+(A1_C_L6*Deshije_C)+(A1_D_L6*Deshije_D)+(A1_Y_L6*Deshije_Y)</f>
        <v>0</v>
      </c>
      <c r="Q15" s="101">
        <f>SUMIFS('9'!$E:$E,'9'!$A:$A,Año_Inicial,'9'!$B:$B,'11'!P$4,'9'!$D:$D,"Deshije")</f>
        <v>0</v>
      </c>
      <c r="R15" s="101">
        <f>(A1_A_L7*Deshije_A)+(A1_B_L7*Deshije_B)+(A1_C_L7*Deshije_C)+(A1_D_L7*Deshije_D)+(A1_Y_L7*Deshije_Y)</f>
        <v>0</v>
      </c>
      <c r="S15" s="101">
        <f>SUMIFS('9'!$E:$E,'9'!$A:$A,Año_Inicial,'9'!$B:$B,'11'!R$4,'9'!$D:$D,"Deshije")</f>
        <v>0</v>
      </c>
      <c r="T15" s="101">
        <f>(A1_A_L8*Deshije_A)+(A1_B_L8*Deshije_B)+(A1_C_L8*Deshije_C)+(A1_D_L8*Deshije_D)+(A1_Y_L8*Deshije_Y)</f>
        <v>0</v>
      </c>
      <c r="U15" s="101">
        <f>SUMIFS('9'!$E:$E,'9'!$A:$A,Año_Inicial,'9'!$B:$B,'11'!T$4,'9'!$D:$D,"Deshije")</f>
        <v>0</v>
      </c>
      <c r="V15" s="101">
        <f>(A1_A_L9*Deshije_A)+(A1_B_L9*Deshije_B)+(A1_C_L9*Deshije_C)+(A1_D_L9*Deshije_D)+(A1_Y_L9*Deshije_Y)</f>
        <v>0</v>
      </c>
      <c r="W15" s="101">
        <f>SUMIFS('9'!$E:$E,'9'!$A:$A,Año_Inicial,'9'!$B:$B,'11'!V$4,'9'!$D:$D,"Deshije")</f>
        <v>0</v>
      </c>
      <c r="X15" s="101">
        <f>(A1_A_L10*Deshije_A)+(A1_B_L10*Deshije_B)+(A1_C_L10*Deshije_C)+(A1_D_L10*Deshije_D)+(A1_Y_L10*Deshije_Y)</f>
        <v>0</v>
      </c>
      <c r="Y15" s="101">
        <f>SUMIFS('9'!$E:$E,'9'!$A:$A,Año_Inicial,'9'!$B:$B,'11'!X$4,'9'!$D:$D,"Deshije")</f>
        <v>0</v>
      </c>
      <c r="Z15" s="101">
        <f>(A1_A_L11*Deshije_A)+(A1_B_L11*Deshije_B)+(A1_C_L11*Deshije_C)+(A1_D_L11*Deshije_D)+(A1_Y_L11*Deshije_Y)</f>
        <v>0</v>
      </c>
      <c r="AA15" s="101">
        <f>SUMIFS('9'!$E:$E,'9'!$A:$A,Año_Inicial,'9'!$B:$B,'11'!Z$4,'9'!$D:$D,"Deshije")</f>
        <v>0</v>
      </c>
      <c r="AB15" s="101">
        <f>(A1_A_L12*Deshije_A)+(A1_B_L12*Deshije_B)+(A1_C_L12*Deshije_C)+(A1_D_L12*Deshije_D)+(A1_Y_L12*Deshije_Y)</f>
        <v>0</v>
      </c>
      <c r="AC15" s="101">
        <f>SUMIFS('9'!$E:$E,'9'!$A:$A,Año_Inicial,'9'!$B:$B,'11'!AB$4,'9'!$D:$D,"Deshije")</f>
        <v>0</v>
      </c>
      <c r="AD15" s="101">
        <f>(A1_A_L13*Deshije_A)+(A1_B_L13*Deshije_B)+(A1_C_L13*Deshije_C)+(A1_D_L13*Deshije_D)+(A1_Y_L13*Deshije_Y)</f>
        <v>0</v>
      </c>
      <c r="AE15" s="101">
        <f>SUMIFS('9'!$E:$E,'9'!$A:$A,Año_Inicial,'9'!$B:$B,'11'!AD$4,'9'!$D:$D,"Deshije")</f>
        <v>0</v>
      </c>
      <c r="AF15" s="101">
        <f>(A1_A_L14*Deshije_A)+(A1_B_L14*Deshije_B)+(A1_C_L14*Deshije_C)+(A1_D_L14*Deshije_D)+(A1_Y_L14*Deshije_Y)</f>
        <v>0</v>
      </c>
      <c r="AG15" s="101">
        <f>SUMIFS('9'!$E:$E,'9'!$A:$A,Año_Inicial,'9'!$B:$B,'11'!AF$4,'9'!$D:$D,"Deshije")</f>
        <v>0</v>
      </c>
      <c r="AH15" s="101">
        <f>(A1_A_L15*Deshije_A)+(A1_B_L15*Deshije_B)+(A1_C_L15*Deshije_C)+(A1_D_L15*Deshije_D)+(A1_Y_L15*Deshije_Y)</f>
        <v>0</v>
      </c>
      <c r="AI15" s="101">
        <f>SUMIFS('9'!$E:$E,'9'!$A:$A,Año_Inicial,'9'!$B:$B,'11'!AH$4,'9'!$D:$D,"Deshije")</f>
        <v>0</v>
      </c>
      <c r="AJ15" s="101">
        <f>(A1_A_L16*Deshije_A)+(A1_B_L16*Deshije_B)+(A1_C_L16*Deshije_C)+(A1_D_L16*Deshije_D)+(A1_Y_L16*Deshije_Y)</f>
        <v>0</v>
      </c>
      <c r="AK15" s="101">
        <f>SUMIFS('9'!$E:$E,'9'!$A:$A,Año_Inicial,'9'!$B:$B,'11'!AJ$4,'9'!$D:$D,"Deshije")</f>
        <v>0</v>
      </c>
      <c r="AL15" s="101">
        <f>(A1_A_L17*Deshije_A)+(A1_B_L17*Deshije_B)+(A1_C_L17*Deshije_C)+(A1_D_L17*Deshije_D)+(A1_Y_L17*Deshije_Y)</f>
        <v>0</v>
      </c>
      <c r="AM15" s="101">
        <f>SUMIFS('9'!$E:$E,'9'!$A:$A,Año_Inicial,'9'!$B:$B,'11'!AL$4,'9'!$D:$D,"Deshije")</f>
        <v>0</v>
      </c>
      <c r="AN15" s="101">
        <f>(A1_A_L18*Deshije_A)+(A1_B_L18*Deshije_B)+(A1_C_L18*Deshije_C)+(A1_D_L18*Deshije_D)+(A1_Y_L18*Deshije_Y)</f>
        <v>0</v>
      </c>
      <c r="AO15" s="101">
        <f>SUMIFS('9'!$E:$E,'9'!$A:$A,Año_Inicial,'9'!$B:$B,'11'!AN$4,'9'!$D:$D,"Deshije")</f>
        <v>0</v>
      </c>
      <c r="AP15" s="101">
        <f>(A1_A_L19*Deshije_A)+(A1_B_L19*Deshije_B)+(A1_C_L19*Deshije_C)+(A1_D_L19*Deshije_D)+(A1_Y_L19*Deshije_Y)</f>
        <v>0</v>
      </c>
      <c r="AQ15" s="101">
        <f>SUMIFS('9'!$E:$E,'9'!$A:$A,Año_Inicial,'9'!$B:$B,'11'!AP$4,'9'!$D:$D,"Deshije")</f>
        <v>0</v>
      </c>
      <c r="AR15" s="101">
        <f>(A1_A_L20*Deshije_A)+(A1_B_L20*Deshije_B)+(A1_C_L20*Deshije_C)+(A1_D_L20*Deshije_D)+(A1_Y_L20*Deshije_Y)</f>
        <v>0</v>
      </c>
      <c r="AS15" s="101">
        <f>SUMIFS('9'!$E:$E,'9'!$A:$A,Año_Inicial,'9'!$B:$B,'11'!AR$4,'9'!$D:$D,"Deshije")</f>
        <v>0</v>
      </c>
      <c r="AT15" s="101">
        <f>(A1_A_L21*Deshije_A)+(A1_B_L21*Deshije_B)+(A1_C_L21*Deshije_C)+(A1_D_L21*Deshije_D)+(A1_Y_L21*Deshije_Y)</f>
        <v>0</v>
      </c>
      <c r="AU15" s="101">
        <f>SUMIFS('9'!$E:$E,'9'!$A:$A,Año_Inicial,'9'!$B:$B,'11'!AT$4,'9'!$D:$D,"Deshije")</f>
        <v>0</v>
      </c>
      <c r="AV15" s="101">
        <f>(A1_A_L22*Deshije_A)+(A1_B_L22*Deshije_B)+(A1_C_L22*Deshije_C)+(A1_D_L22*Deshije_D)+(A1_Y_L22*Deshije_Y)</f>
        <v>0</v>
      </c>
      <c r="AW15" s="101">
        <f>SUMIFS('9'!$E:$E,'9'!$A:$A,Año_Inicial,'9'!$B:$B,'11'!AV$4,'9'!$D:$D,"Deshije")</f>
        <v>0</v>
      </c>
      <c r="AX15" s="101">
        <f>(A1_A_L23*Deshije_A)+(A1_B_L23*Deshije_B)+(A1_C_L23*Deshije_C)+(A1_D_L23*Deshije_D)+(A1_Y_L23*Deshije_Y)</f>
        <v>0</v>
      </c>
      <c r="AY15" s="101">
        <f>SUMIFS('9'!$E:$E,'9'!$A:$A,Año_Inicial,'9'!$B:$B,'11'!AX$4,'9'!$D:$D,"Deshije")</f>
        <v>0</v>
      </c>
      <c r="AZ15" s="101">
        <f>(A1_A_L24*Deshije_A)+(A1_B_L24*Deshije_B)+(A1_C_L24*Deshije_C)+(A1_D_L24*Deshije_D)+(A1_Y_L24*Deshije_Y)</f>
        <v>0</v>
      </c>
      <c r="BA15" s="101">
        <f>SUMIFS('9'!$E:$E,'9'!$A:$A,Año_Inicial,'9'!$B:$B,'11'!AZ$4,'9'!$D:$D,"Deshije")</f>
        <v>0</v>
      </c>
      <c r="BB15" s="101">
        <f>(A1_A_L25*Deshije_A)+(A1_B_L25*Deshije_B)+(A1_C_L25*Deshije_C)+(A1_D_L25*Deshije_D)+(A1_Y_L25*Deshije_Y)</f>
        <v>0</v>
      </c>
      <c r="BC15" s="101">
        <f>SUMIFS('9'!$E:$E,'9'!$A:$A,Año_Inicial,'9'!$B:$B,'11'!BB$4,'9'!$D:$D,"Deshije")</f>
        <v>0</v>
      </c>
      <c r="BD15" s="101">
        <f>(A1_A_L26*Deshije_A)+(A1_B_L26*Deshije_B)+(A1_C_L26*Deshije_C)+(A1_D_L26*Deshije_D)+(A1_Y_L26*Deshije_Y)</f>
        <v>0</v>
      </c>
      <c r="BE15" s="101">
        <f>SUMIFS('9'!$E:$E,'9'!$A:$A,Año_Inicial,'9'!$B:$B,'11'!BD$4,'9'!$D:$D,"Deshije")</f>
        <v>0</v>
      </c>
      <c r="BF15" s="101">
        <f>(A1_A_L27*Deshije_A)+(A1_B_L27*Deshije_B)+(A1_C_L27*Deshije_C)+(A1_D_L27*Deshije_D)+(A1_Y_L27*Deshije_Y)</f>
        <v>0</v>
      </c>
      <c r="BG15" s="101">
        <f>SUMIFS('9'!$E:$E,'9'!$A:$A,Año_Inicial,'9'!$B:$B,'11'!BF$4,'9'!$D:$D,"Deshije")</f>
        <v>0</v>
      </c>
      <c r="BH15" s="101">
        <f>(A1_A_L28*Deshije_A)+(A1_B_L28*Deshije_B)+(A1_C_L28*Deshije_C)+(A1_D_L28*Deshije_D)+(A1_Y_L28*Deshije_Y)</f>
        <v>0</v>
      </c>
      <c r="BI15" s="101">
        <f>SUMIFS('9'!$E:$E,'9'!$A:$A,Año_Inicial,'9'!$B:$B,'11'!BH$4,'9'!$D:$D,"Deshije")</f>
        <v>0</v>
      </c>
      <c r="BJ15" s="101">
        <f>(A1_A_L29*Deshije_A)+(A1_B_L29*Deshije_B)+(A1_C_L29*Deshije_C)+(A1_D_L29*Deshije_D)+(A1_Y_L29*Deshije_Y)</f>
        <v>0</v>
      </c>
      <c r="BK15" s="101">
        <f>SUMIFS('9'!$E:$E,'9'!$A:$A,Año_Inicial,'9'!$B:$B,'11'!BJ$4,'9'!$D:$D,"Deshije")</f>
        <v>0</v>
      </c>
      <c r="BL15" s="101">
        <f>(A1_A_L30*Deshije_A)+(A1_B_L30*Deshije_B)+(A1_C_L30*Deshije_C)+(A1_D_L30*Deshije_D)+(A1_Y_L30*Deshije_Y)</f>
        <v>0</v>
      </c>
      <c r="BM15" s="101">
        <f>SUMIFS('9'!$E:$E,'9'!$A:$A,Año_Inicial,'9'!$B:$B,'11'!BL$4,'9'!$D:$D,"Deshije")</f>
        <v>0</v>
      </c>
      <c r="BN15" s="101">
        <f>(A1_A_L31*Deshije_A)+(A1_B_L31*Deshije_B)+(A1_C_L31*Deshije_C)+(A1_D_L31*Deshije_D)+(A1_Y_L31*Deshije_Y)</f>
        <v>0</v>
      </c>
      <c r="BO15" s="101">
        <f>SUMIFS('9'!$E:$E,'9'!$A:$A,Año_Inicial,'9'!$B:$B,'11'!BN$4,'9'!$D:$D,"Deshije")</f>
        <v>0</v>
      </c>
      <c r="BP15" s="101">
        <f>(A1_A_L32*Deshije_A)+(A1_B_L32*Deshije_B)+(A1_C_L32*Deshije_C)+(A1_D_L32*Deshije_D)+(A1_Y_L32*Deshije_Y)</f>
        <v>0</v>
      </c>
      <c r="BQ15" s="101">
        <f>SUMIFS('9'!$E:$E,'9'!$A:$A,Año_Inicial,'9'!$B:$B,'11'!BP$4,'9'!$D:$D,"Deshije")</f>
        <v>0</v>
      </c>
      <c r="BR15" s="101">
        <f>(A1_A_L33*Deshije_A)+(A1_B_L33*Deshije_B)+(A1_C_L33*Deshije_C)+(A1_D_L33*Deshije_D)+(A1_Y_L33*Deshije_Y)</f>
        <v>0</v>
      </c>
      <c r="BS15" s="101">
        <f>SUMIFS('9'!$E:$E,'9'!$A:$A,Año_Inicial,'9'!$B:$B,'11'!BR$4,'9'!$D:$D,"Deshije")</f>
        <v>0</v>
      </c>
      <c r="BT15" s="101">
        <f>(A1_A_L34*Deshije_A)+(A1_B_L34*Deshije_B)+(A1_C_L34*Deshije_C)+(A1_D_L34*Deshije_D)+(A1_Y_L34*Deshije_Y)</f>
        <v>0</v>
      </c>
      <c r="BU15" s="101">
        <f>SUMIFS('9'!$E:$E,'9'!$A:$A,Año_Inicial,'9'!$B:$B,'11'!BT$4,'9'!$D:$D,"Deshije")</f>
        <v>0</v>
      </c>
      <c r="BV15" s="101">
        <f>(A1_A_L35*Deshije_A)+(A1_B_L35*Deshije_B)+(A1_C_L35*Deshije_C)+(A1_D_L35*Deshije_D)+(A1_Y_L35*Deshije_Y)</f>
        <v>0</v>
      </c>
      <c r="BW15" s="101">
        <f>SUMIFS('9'!$E:$E,'9'!$A:$A,Año_Inicial,'9'!$B:$B,'11'!BV$4,'9'!$D:$D,"Deshije")</f>
        <v>0</v>
      </c>
      <c r="BX15" s="101">
        <f>(A1_A_L36*Deshije_A)+(A1_B_L36*Deshije_B)+(A1_C_L36*Deshije_C)+(A1_D_L36*Deshije_D)+(A1_Y_L36*Deshije_Y)</f>
        <v>0</v>
      </c>
      <c r="BY15" s="101">
        <f>SUMIFS('9'!$E:$E,'9'!$A:$A,Año_Inicial,'9'!$B:$B,'11'!BX$4,'9'!$D:$D,"Deshije")</f>
        <v>0</v>
      </c>
      <c r="BZ15" s="101">
        <f>(A1_A_L37*Deshije_A)+(A1_B_L37*Deshije_B)+(A1_C_L37*Deshije_C)+(A1_D_L37*Deshije_D)+(A1_Y_L37*Deshije_Y)</f>
        <v>0</v>
      </c>
      <c r="CA15" s="101">
        <f>SUMIFS('9'!$E:$E,'9'!$A:$A,Año_Inicial,'9'!$B:$B,'11'!BZ$4,'9'!$D:$D,"Deshije")</f>
        <v>0</v>
      </c>
      <c r="CB15" s="101">
        <f>(A1_A_L38*Deshije_A)+(A1_B_L38*Deshije_B)+(A1_C_L38*Deshije_C)+(A1_D_L38*Deshije_D)+(A1_Y_L38*Deshije_Y)</f>
        <v>0</v>
      </c>
      <c r="CC15" s="101">
        <f>SUMIFS('9'!$E:$E,'9'!$A:$A,Año_Inicial,'9'!$B:$B,'11'!CB$4,'9'!$D:$D,"Deshije")</f>
        <v>0</v>
      </c>
      <c r="CD15" s="101">
        <f>(A1_A_L39*Deshije_A)+(A1_B_L39*Deshije_B)+(A1_C_L39*Deshije_C)+(A1_D_L39*Deshije_D)+(A1_Y_L39*Deshije_Y)</f>
        <v>0</v>
      </c>
      <c r="CE15" s="101">
        <f>SUMIFS('9'!$E:$E,'9'!$A:$A,Año_Inicial,'9'!$B:$B,'11'!CD$4,'9'!$D:$D,"Deshije")</f>
        <v>0</v>
      </c>
      <c r="CF15" s="101">
        <f>(A1_A_L40*Deshije_A)+(A1_B_L40*Deshije_B)+(A1_C_L40*Deshije_C)+(A1_D_L40*Deshije_D)+(A1_Y_L40*Deshije_Y)</f>
        <v>0</v>
      </c>
      <c r="CG15" s="101">
        <f>SUMIFS('9'!$E:$E,'9'!$A:$A,Año_Inicial,'9'!$B:$B,'11'!CF$4,'9'!$D:$D,"Deshije")</f>
        <v>0</v>
      </c>
      <c r="CH15" s="473"/>
      <c r="CI15" s="101">
        <f>Plantas_A_A1*Deshije_A</f>
        <v>0</v>
      </c>
      <c r="CJ15" s="101">
        <f>Plantas_B_A1*Deshije_B</f>
        <v>0</v>
      </c>
      <c r="CK15" s="101">
        <f>Plantas_C_A1*Deshije_C</f>
        <v>0</v>
      </c>
      <c r="CL15" s="101">
        <f>Plantas_D_A1*Deshije_D</f>
        <v>0</v>
      </c>
      <c r="CM15" s="101"/>
      <c r="CN15" s="101">
        <f>Plantas_Y_A1*Deshije_Y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68">SUM(CI17:CN17)</f>
        <v>0</v>
      </c>
      <c r="C17" s="101">
        <f>SUMIFS('9'!$E:$E,'9'!$A:$A,Año_Inicial,'9'!$D:$D,"Aplicación de fertilizante")</f>
        <v>0</v>
      </c>
      <c r="D17" s="100">
        <f t="shared" si="67"/>
        <v>0</v>
      </c>
      <c r="E17" s="473"/>
      <c r="F17" s="101">
        <f>(A1_A_L1*Nutrición_A)+(A1_B_L1*Nutrición_B)+(A1_C_L1*Nutrición_C)+(A1_D_L1*Nutrición_D)+(A1_Y_L1*Nutrición_Y)</f>
        <v>0</v>
      </c>
      <c r="G17" s="101">
        <f>SUMIFS('9'!$E:$E,'9'!$A:$A,Año_Inicial,'9'!$B:$B,'11'!F$4,'9'!$D:$D,"Aplicación de fertilizante")</f>
        <v>0</v>
      </c>
      <c r="H17" s="101">
        <f>(A1_A_L2*Nutrición_A)+(A1_B_L2*Nutrición_B)+(A1_C_L2*Nutrición_C)+(A1_D_L2*Nutrición_D)+(A1_Y_L2*Nutrición_Y)</f>
        <v>0</v>
      </c>
      <c r="I17" s="101">
        <f>SUMIFS('9'!$E:$E,'9'!$A:$A,Año_Inicial,'9'!$B:$B,'11'!H$4,'9'!$D:$D,"Aplicación de fertilizante")</f>
        <v>0</v>
      </c>
      <c r="J17" s="101">
        <f>(A1_A_L3*Nutrición_A)+(A1_B_L3*Nutrición_B)+(A1_C_L3*Nutrición_C)+(A1_D_L3*Nutrición_D)+(A1_Y_L3*Nutrición_Y)</f>
        <v>0</v>
      </c>
      <c r="K17" s="101">
        <f>SUMIFS('9'!$E:$E,'9'!$A:$A,Año_Inicial,'9'!$B:$B,'11'!J$4,'9'!$D:$D,"Aplicación de fertilizante")</f>
        <v>0</v>
      </c>
      <c r="L17" s="101">
        <f>(A1_A_L4*Nutrición_A)+(A1_B_L4*Nutrición_B)+(A1_C_L4*Nutrición_C)+(A1_D_L4*Nutrición_D)+(A1_Y_L4*Nutrición_Y)</f>
        <v>0</v>
      </c>
      <c r="M17" s="101">
        <f>SUMIFS('9'!$E:$E,'9'!$A:$A,Año_Inicial,'9'!$B:$B,'11'!L$4,'9'!$D:$D,"Aplicación de fertilizante")</f>
        <v>0</v>
      </c>
      <c r="N17" s="101">
        <f>(A1_A_L5*Nutrición_A)+(A1_B_L5*Nutrición_B)+(A1_C_L5*Nutrición_C)+(A1_D_L5*Nutrición_D)+(A1_Y_L5*Nutrición_Y)</f>
        <v>0</v>
      </c>
      <c r="O17" s="101">
        <f>SUMIFS('9'!$E:$E,'9'!$A:$A,Año_Inicial,'9'!$B:$B,'11'!N$4,'9'!$D:$D,"Aplicación de fertilizante")</f>
        <v>0</v>
      </c>
      <c r="P17" s="101">
        <f>(A1_A_L6*Nutrición_A)+(A1_B_L6*Nutrición_B)+(A1_C_L6*Nutrición_C)+(A1_D_L6*Nutrición_D)+(A1_Y_L6*Nutrición_Y)</f>
        <v>0</v>
      </c>
      <c r="Q17" s="101">
        <f>SUMIFS('9'!$E:$E,'9'!$A:$A,Año_Inicial,'9'!$B:$B,'11'!P$4,'9'!$D:$D,"Aplicación de fertilizante")</f>
        <v>0</v>
      </c>
      <c r="R17" s="101">
        <f>(A1_A_L7*Nutrición_A)+(A1_B_L7*Nutrición_B)+(A1_C_L7*Nutrición_C)+(A1_D_L7*Nutrición_D)+(A1_Y_L7*Nutrición_Y)</f>
        <v>0</v>
      </c>
      <c r="S17" s="101">
        <f>SUMIFS('9'!$E:$E,'9'!$A:$A,Año_Inicial,'9'!$B:$B,'11'!R$4,'9'!$D:$D,"Aplicación de fertilizante")</f>
        <v>0</v>
      </c>
      <c r="T17" s="101">
        <f>(A1_A_L8*Nutrición_A)+(A1_B_L8*Nutrición_B)+(A1_C_L8*Nutrición_C)+(A1_D_L8*Nutrición_D)+(A1_Y_L8*Nutrición_Y)</f>
        <v>0</v>
      </c>
      <c r="U17" s="101">
        <f>SUMIFS('9'!$E:$E,'9'!$A:$A,Año_Inicial,'9'!$B:$B,'11'!T$4,'9'!$D:$D,"Aplicación de fertilizante")</f>
        <v>0</v>
      </c>
      <c r="V17" s="101">
        <f>(A1_A_L9*Nutrición_A)+(A1_B_L9*Nutrición_B)+(A1_C_L9*Nutrición_C)+(A1_D_L9*Nutrición_D)+(A1_Y_L9*Nutrición_Y)</f>
        <v>0</v>
      </c>
      <c r="W17" s="101">
        <f>SUMIFS('9'!$E:$E,'9'!$A:$A,Año_Inicial,'9'!$B:$B,'11'!V$4,'9'!$D:$D,"Aplicación de fertilizante")</f>
        <v>0</v>
      </c>
      <c r="X17" s="101">
        <f>(A1_A_L10*Nutrición_A)+(A1_B_L10*Nutrición_B)+(A1_C_L10*Nutrición_C)+(A1_D_L10*Nutrición_D)+(A1_Y_L10*Nutrición_Y)</f>
        <v>0</v>
      </c>
      <c r="Y17" s="101">
        <f>SUMIFS('9'!$E:$E,'9'!$A:$A,Año_Inicial,'9'!$B:$B,'11'!X$4,'9'!$D:$D,"Aplicación de fertilizante")</f>
        <v>0</v>
      </c>
      <c r="Z17" s="101">
        <f>(A1_A_L11*Nutrición_A)+(A1_B_L11*Nutrición_B)+(A1_C_L11*Nutrición_C)+(A1_D_L11*Nutrición_D)+(A1_Y_L11*Nutrición_Y)</f>
        <v>0</v>
      </c>
      <c r="AA17" s="101">
        <f>SUMIFS('9'!$E:$E,'9'!$A:$A,Año_Inicial,'9'!$B:$B,'11'!Z$4,'9'!$D:$D,"Aplicación de fertilizante")</f>
        <v>0</v>
      </c>
      <c r="AB17" s="101">
        <f>(A1_A_L12*Nutrición_A)+(A1_B_L12*Nutrición_B)+(A1_C_L12*Nutrición_C)+(A1_D_L12*Nutrición_D)+(A1_Y_L12*Nutrición_Y)</f>
        <v>0</v>
      </c>
      <c r="AC17" s="101">
        <f>SUMIFS('9'!$E:$E,'9'!$A:$A,Año_Inicial,'9'!$B:$B,'11'!AB$4,'9'!$D:$D,"Aplicación de fertilizante")</f>
        <v>0</v>
      </c>
      <c r="AD17" s="101">
        <f>(A1_A_L13*Nutrición_A)+(A1_B_L13*Nutrición_B)+(A1_C_L13*Nutrición_C)+(A1_D_L13*Nutrición_D)+(A1_Y_L13*Nutrición_Y)</f>
        <v>0</v>
      </c>
      <c r="AE17" s="101">
        <f>SUMIFS('9'!$E:$E,'9'!$A:$A,Año_Inicial,'9'!$B:$B,'11'!AD$4,'9'!$D:$D,"Aplicación de fertilizante")</f>
        <v>0</v>
      </c>
      <c r="AF17" s="101">
        <f>(A1_A_L14*Nutrición_A)+(A1_B_L14*Nutrición_B)+(A1_C_L14*Nutrición_C)+(A1_D_L14*Nutrición_D)+(A1_Y_L14*Nutrición_Y)</f>
        <v>0</v>
      </c>
      <c r="AG17" s="101">
        <f>SUMIFS('9'!$E:$E,'9'!$A:$A,Año_Inicial,'9'!$B:$B,'11'!AF$4,'9'!$D:$D,"Aplicación de fertilizante")</f>
        <v>0</v>
      </c>
      <c r="AH17" s="101">
        <f>(A1_A_L15*Nutrición_A)+(A1_B_L15*Nutrición_B)+(A1_C_L15*Nutrición_C)+(A1_D_L15*Nutrición_D)+(A1_Y_L15*Nutrición_Y)</f>
        <v>0</v>
      </c>
      <c r="AI17" s="101">
        <f>SUMIFS('9'!$E:$E,'9'!$A:$A,Año_Inicial,'9'!$B:$B,'11'!AH$4,'9'!$D:$D,"Aplicación de fertilizante")</f>
        <v>0</v>
      </c>
      <c r="AJ17" s="101">
        <f>(A1_A_L16*Nutrición_A)+(A1_B_L16*Nutrición_B)+(A1_C_L16*Nutrición_C)+(A1_D_L16*Nutrición_D)+(A1_Y_L16*Nutrición_Y)</f>
        <v>0</v>
      </c>
      <c r="AK17" s="101">
        <f>SUMIFS('9'!$E:$E,'9'!$A:$A,Año_Inicial,'9'!$B:$B,'11'!AJ$4,'9'!$D:$D,"Aplicación de fertilizante")</f>
        <v>0</v>
      </c>
      <c r="AL17" s="101">
        <f>(A1_A_L17*Nutrición_A)+(A1_B_L17*Nutrición_B)+(A1_C_L17*Nutrición_C)+(A1_D_L17*Nutrición_D)+(A1_Y_L17*Nutrición_Y)</f>
        <v>0</v>
      </c>
      <c r="AM17" s="101">
        <f>SUMIFS('9'!$E:$E,'9'!$A:$A,Año_Inicial,'9'!$B:$B,'11'!AL$4,'9'!$D:$D,"Aplicación de fertilizante")</f>
        <v>0</v>
      </c>
      <c r="AN17" s="101">
        <f>(A1_A_L18*Nutrición_A)+(A1_B_L18*Nutrición_B)+(A1_C_L18*Nutrición_C)+(A1_D_L18*Nutrición_D)+(A1_Y_L18*Nutrición_Y)</f>
        <v>0</v>
      </c>
      <c r="AO17" s="101">
        <f>SUMIFS('9'!$E:$E,'9'!$A:$A,Año_Inicial,'9'!$B:$B,'11'!AN$4,'9'!$D:$D,"Aplicación de fertilizante")</f>
        <v>0</v>
      </c>
      <c r="AP17" s="101">
        <f>(A1_A_L19*Nutrición_A)+(A1_B_L19*Nutrición_B)+(A1_C_L19*Nutrición_C)+(A1_D_L19*Nutrición_D)+(A1_Y_L19*Nutrición_Y)</f>
        <v>0</v>
      </c>
      <c r="AQ17" s="101">
        <f>SUMIFS('9'!$E:$E,'9'!$A:$A,Año_Inicial,'9'!$B:$B,'11'!AP$4,'9'!$D:$D,"Aplicación de fertilizante")</f>
        <v>0</v>
      </c>
      <c r="AR17" s="101">
        <f>(A1_A_L20*Nutrición_A)+(A1_B_L20*Nutrición_B)+(A1_C_L20*Nutrición_C)+(A1_D_L20*Nutrición_D)+(A1_Y_L20*Nutrición_Y)</f>
        <v>0</v>
      </c>
      <c r="AS17" s="101">
        <f>SUMIFS('9'!$E:$E,'9'!$A:$A,Año_Inicial,'9'!$B:$B,'11'!AR$4,'9'!$D:$D,"Aplicación de fertilizante")</f>
        <v>0</v>
      </c>
      <c r="AT17" s="101">
        <f>(A1_A_L21*Nutrición_A)+(A1_B_L21*Nutrición_B)+(A1_C_L21*Nutrición_C)+(A1_D_L21*Nutrición_D)+(A1_Y_L21*Nutrición_Y)</f>
        <v>0</v>
      </c>
      <c r="AU17" s="101">
        <f>SUMIFS('9'!$E:$E,'9'!$A:$A,Año_Inicial,'9'!$B:$B,'11'!AT$4,'9'!$D:$D,"Aplicación de fertilizante")</f>
        <v>0</v>
      </c>
      <c r="AV17" s="101">
        <f>(A1_A_L22*Nutrición_A)+(A1_B_L22*Nutrición_B)+(A1_C_L22*Nutrición_C)+(A1_D_L22*Nutrición_D)+(A1_Y_L22*Nutrición_Y)</f>
        <v>0</v>
      </c>
      <c r="AW17" s="101">
        <f>SUMIFS('9'!$E:$E,'9'!$A:$A,Año_Inicial,'9'!$B:$B,'11'!AV$4,'9'!$D:$D,"Aplicación de fertilizante")</f>
        <v>0</v>
      </c>
      <c r="AX17" s="101">
        <f>(A1_A_L23*Nutrición_A)+(A1_B_L23*Nutrición_B)+(A1_C_L23*Nutrición_C)+(A1_D_L23*Nutrición_D)+(A1_Y_L23*Nutrición_Y)</f>
        <v>0</v>
      </c>
      <c r="AY17" s="101">
        <f>SUMIFS('9'!$E:$E,'9'!$A:$A,Año_Inicial,'9'!$B:$B,'11'!AX$4,'9'!$D:$D,"Aplicación de fertilizante")</f>
        <v>0</v>
      </c>
      <c r="AZ17" s="101">
        <f>(A1_A_L24*Nutrición_A)+(A1_B_L24*Nutrición_B)+(A1_C_L24*Nutrición_C)+(A1_D_L24*Nutrición_D)+(A1_Y_L24*Nutrición_Y)</f>
        <v>0</v>
      </c>
      <c r="BA17" s="101">
        <f>SUMIFS('9'!$E:$E,'9'!$A:$A,Año_Inicial,'9'!$B:$B,'11'!AZ$4,'9'!$D:$D,"Aplicación de fertilizante")</f>
        <v>0</v>
      </c>
      <c r="BB17" s="101">
        <f>(A1_A_L25*Nutrición_A)+(A1_B_L25*Nutrición_B)+(A1_C_L25*Nutrición_C)+(A1_D_L25*Nutrición_D)+(A1_Y_L25*Nutrición_Y)</f>
        <v>0</v>
      </c>
      <c r="BC17" s="101">
        <f>SUMIFS('9'!$E:$E,'9'!$A:$A,Año_Inicial,'9'!$B:$B,'11'!BB$4,'9'!$D:$D,"Aplicación de fertilizante")</f>
        <v>0</v>
      </c>
      <c r="BD17" s="101">
        <f>(A1_A_L26*Nutrición_A)+(A1_B_L26*Nutrición_B)+(A1_C_L26*Nutrición_C)+(A1_D_L26*Nutrición_D)+(A1_Y_L26*Nutrición_Y)</f>
        <v>0</v>
      </c>
      <c r="BE17" s="101">
        <f>SUMIFS('9'!$E:$E,'9'!$A:$A,Año_Inicial,'9'!$B:$B,'11'!BD$4,'9'!$D:$D,"Aplicación de fertilizante")</f>
        <v>0</v>
      </c>
      <c r="BF17" s="101">
        <f>(A1_A_L27*Nutrición_A)+(A1_B_L27*Nutrición_B)+(A1_C_L27*Nutrición_C)+(A1_D_L27*Nutrición_D)+(A1_Y_L27*Nutrición_Y)</f>
        <v>0</v>
      </c>
      <c r="BG17" s="101">
        <f>SUMIFS('9'!$E:$E,'9'!$A:$A,Año_Inicial,'9'!$B:$B,'11'!BF$4,'9'!$D:$D,"Aplicación de fertilizante")</f>
        <v>0</v>
      </c>
      <c r="BH17" s="101">
        <f>(A1_A_L28*Nutrición_A)+(A1_B_L28*Nutrición_B)+(A1_C_L28*Nutrición_C)+(A1_D_L28*Nutrición_D)+(A1_Y_L28*Nutrición_Y)</f>
        <v>0</v>
      </c>
      <c r="BI17" s="101">
        <f>SUMIFS('9'!$E:$E,'9'!$A:$A,Año_Inicial,'9'!$B:$B,'11'!BH$4,'9'!$D:$D,"Aplicación de fertilizante")</f>
        <v>0</v>
      </c>
      <c r="BJ17" s="101">
        <f>(A1_A_L29*Nutrición_A)+(A1_B_L29*Nutrición_B)+(A1_C_L29*Nutrición_C)+(A1_D_L29*Nutrición_D)+(A1_Y_L29*Nutrición_Y)</f>
        <v>0</v>
      </c>
      <c r="BK17" s="101">
        <f>SUMIFS('9'!$E:$E,'9'!$A:$A,Año_Inicial,'9'!$B:$B,'11'!BJ$4,'9'!$D:$D,"Aplicación de fertilizante")</f>
        <v>0</v>
      </c>
      <c r="BL17" s="101">
        <f>(A1_A_L30*Nutrición_A)+(A1_B_L30*Nutrición_B)+(A1_C_L30*Nutrición_C)+(A1_D_L30*Nutrición_D)+(A1_Y_L30*Nutrición_Y)</f>
        <v>0</v>
      </c>
      <c r="BM17" s="101">
        <f>SUMIFS('9'!$E:$E,'9'!$A:$A,Año_Inicial,'9'!$B:$B,'11'!BL$4,'9'!$D:$D,"Aplicación de fertilizante")</f>
        <v>0</v>
      </c>
      <c r="BN17" s="101">
        <f>(A1_A_L31*Nutrición_A)+(A1_B_L31*Nutrición_B)+(A1_C_L31*Nutrición_C)+(A1_D_L31*Nutrición_D)+(A1_Y_L31*Nutrición_Y)</f>
        <v>0</v>
      </c>
      <c r="BO17" s="101">
        <f>SUMIFS('9'!$E:$E,'9'!$A:$A,Año_Inicial,'9'!$B:$B,'11'!BN$4,'9'!$D:$D,"Aplicación de fertilizante")</f>
        <v>0</v>
      </c>
      <c r="BP17" s="101">
        <f>(A1_A_L32*Nutrición_A)+(A1_B_L32*Nutrición_B)+(A1_C_L32*Nutrición_C)+(A1_D_L32*Nutrición_D)+(A1_Y_L32*Nutrición_Y)</f>
        <v>0</v>
      </c>
      <c r="BQ17" s="101">
        <f>SUMIFS('9'!$E:$E,'9'!$A:$A,Año_Inicial,'9'!$B:$B,'11'!BP$4,'9'!$D:$D,"Aplicación de fertilizante")</f>
        <v>0</v>
      </c>
      <c r="BR17" s="101">
        <f>(A1_A_L33*Nutrición_A)+(A1_B_L33*Nutrición_B)+(A1_C_L33*Nutrición_C)+(A1_D_L33*Nutrición_D)+(A1_Y_L33*Nutrición_Y)</f>
        <v>0</v>
      </c>
      <c r="BS17" s="101">
        <f>SUMIFS('9'!$E:$E,'9'!$A:$A,Año_Inicial,'9'!$B:$B,'11'!BR$4,'9'!$D:$D,"Aplicación de fertilizante")</f>
        <v>0</v>
      </c>
      <c r="BT17" s="101">
        <f>(A1_A_L34*Nutrición_A)+(A1_B_L34*Nutrición_B)+(A1_C_L34*Nutrición_C)+(A1_D_L34*Nutrición_D)+(A1_Y_L34*Nutrición_Y)</f>
        <v>0</v>
      </c>
      <c r="BU17" s="101">
        <f>SUMIFS('9'!$E:$E,'9'!$A:$A,Año_Inicial,'9'!$B:$B,'11'!BT$4,'9'!$D:$D,"Aplicación de fertilizante")</f>
        <v>0</v>
      </c>
      <c r="BV17" s="101">
        <f>(A1_A_L35*Nutrición_A)+(A1_B_L35*Nutrición_B)+(A1_C_L35*Nutrición_C)+(A1_D_L35*Nutrición_D)+(A1_Y_L35*Nutrición_Y)</f>
        <v>0</v>
      </c>
      <c r="BW17" s="101">
        <f>SUMIFS('9'!$E:$E,'9'!$A:$A,Año_Inicial,'9'!$B:$B,'11'!BV$4,'9'!$D:$D,"Aplicación de fertilizante")</f>
        <v>0</v>
      </c>
      <c r="BX17" s="101">
        <f>(A1_A_L36*Nutrición_A)+(A1_B_L36*Nutrición_B)+(A1_C_L36*Nutrición_C)+(A1_D_L36*Nutrición_D)+(A1_Y_L36*Nutrición_Y)</f>
        <v>0</v>
      </c>
      <c r="BY17" s="101">
        <f>SUMIFS('9'!$E:$E,'9'!$A:$A,Año_Inicial,'9'!$B:$B,'11'!BX$4,'9'!$D:$D,"Aplicación de fertilizante")</f>
        <v>0</v>
      </c>
      <c r="BZ17" s="101">
        <f>(A1_A_L37*Nutrición_A)+(A1_B_L37*Nutrición_B)+(A1_C_L37*Nutrición_C)+(A1_D_L37*Nutrición_D)+(A1_Y_L37*Nutrición_Y)</f>
        <v>0</v>
      </c>
      <c r="CA17" s="101">
        <f>SUMIFS('9'!$E:$E,'9'!$A:$A,Año_Inicial,'9'!$B:$B,'11'!BZ$4,'9'!$D:$D,"Aplicación de fertilizante")</f>
        <v>0</v>
      </c>
      <c r="CB17" s="101">
        <f>(A1_A_L38*Nutrición_A)+(A1_B_L38*Nutrición_B)+(A1_C_L38*Nutrición_C)+(A1_D_L38*Nutrición_D)+(A1_Y_L38*Nutrición_Y)</f>
        <v>0</v>
      </c>
      <c r="CC17" s="101">
        <f>SUMIFS('9'!$E:$E,'9'!$A:$A,Año_Inicial,'9'!$B:$B,'11'!CB$4,'9'!$D:$D,"Aplicación de fertilizante")</f>
        <v>0</v>
      </c>
      <c r="CD17" s="101">
        <f>(A1_A_L39*Nutrición_A)+(A1_B_L39*Nutrición_B)+(A1_C_L39*Nutrición_C)+(A1_D_L39*Nutrición_D)+(A1_Y_L39*Nutrición_Y)</f>
        <v>0</v>
      </c>
      <c r="CE17" s="101">
        <f>SUMIFS('9'!$E:$E,'9'!$A:$A,Año_Inicial,'9'!$B:$B,'11'!CD$4,'9'!$D:$D,"Aplicación de fertilizante")</f>
        <v>0</v>
      </c>
      <c r="CF17" s="101">
        <f>(A1_A_L40*Nutrición_A)+(A1_B_L40*Nutrición_B)+(A1_C_L40*Nutrición_C)+(A1_D_L40*Nutrición_D)+(A1_Y_L40*Nutrición_Y)</f>
        <v>0</v>
      </c>
      <c r="CG17" s="101">
        <f>SUMIFS('9'!$E:$E,'9'!$A:$A,Año_Inicial,'9'!$B:$B,'11'!CF$4,'9'!$D:$D,"Aplicación de fertilizante")</f>
        <v>0</v>
      </c>
      <c r="CH17" s="473"/>
      <c r="CI17" s="101">
        <f>Plantas_A_A1*Nutrición_A</f>
        <v>0</v>
      </c>
      <c r="CJ17" s="101">
        <f>Plantas_B_A1*Nutrición_B</f>
        <v>0</v>
      </c>
      <c r="CK17" s="101">
        <f>Plantas_C_A1*Nutrición_C</f>
        <v>0</v>
      </c>
      <c r="CL17" s="101">
        <f>Plantas_D_A1*Nutrición_D</f>
        <v>0</v>
      </c>
      <c r="CM17" s="101"/>
      <c r="CN17" s="101">
        <f>Plantas_Y_A1*Nutrición_Y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68"/>
        <v>0</v>
      </c>
      <c r="C18" s="101">
        <f>SUMIFS('9'!$E:$E,'9'!$A:$A,Año_Inicial,'9'!$D:$D,"Aplicación de enmiendas")</f>
        <v>0</v>
      </c>
      <c r="D18" s="100">
        <f t="shared" si="67"/>
        <v>0</v>
      </c>
      <c r="E18" s="473"/>
      <c r="F18" s="101">
        <f>(A1_A_L1*Enmienda_A)+(A1_B_L1*Enmienda_B)+(A1_C_L1*Enmienda_C)+(A1_D_L1*Enmienda_D)+(A1_Y_L1*Enmienda_Y)</f>
        <v>0</v>
      </c>
      <c r="G18" s="101">
        <f>SUMIFS('9'!$E:$E,'9'!$A:$A,Año_Inicial,'9'!$B:$B,'11'!F$4,'9'!$D:$D,"Aplicación de enmiendas")</f>
        <v>0</v>
      </c>
      <c r="H18" s="101">
        <f>(A1_A_L2*Enmienda_A)+(A1_B_L2*Enmienda_B)+(A1_C_L2*Enmienda_C)+(A1_D_L2*Enmienda_D)+(A1_Y_L2*Enmienda_Y)</f>
        <v>0</v>
      </c>
      <c r="I18" s="101">
        <f>SUMIFS('9'!$E:$E,'9'!$A:$A,Año_Inicial,'9'!$B:$B,'11'!H$4,'9'!$D:$D,"Aplicación de enmiendas")</f>
        <v>0</v>
      </c>
      <c r="J18" s="101">
        <f>(A1_A_L3*Enmienda_A)+(A1_B_L3*Enmienda_B)+(A1_C_L3*Enmienda_C)+(A1_D_L3*Enmienda_D)+(A1_Y_L3*Enmienda_Y)</f>
        <v>0</v>
      </c>
      <c r="K18" s="101">
        <f>SUMIFS('9'!$E:$E,'9'!$A:$A,Año_Inicial,'9'!$B:$B,'11'!J$4,'9'!$D:$D,"Aplicación de enmiendas")</f>
        <v>0</v>
      </c>
      <c r="L18" s="101">
        <f>(A1_A_L4*Enmienda_A)+(A1_B_L4*Enmienda_B)+(A1_C_L4*Enmienda_C)+(A1_D_L4*Enmienda_D)+(A1_Y_L4*Enmienda_Y)</f>
        <v>0</v>
      </c>
      <c r="M18" s="101">
        <f>SUMIFS('9'!$E:$E,'9'!$A:$A,Año_Inicial,'9'!$B:$B,'11'!L$4,'9'!$D:$D,"Aplicación de enmiendas")</f>
        <v>0</v>
      </c>
      <c r="N18" s="101">
        <f>(A1_A_L5*Enmienda_A)+(A1_B_L5*Enmienda_B)+(A1_C_L5*Enmienda_C)+(A1_D_L5*Enmienda_D)+(A1_Y_L5*Enmienda_Y)</f>
        <v>0</v>
      </c>
      <c r="O18" s="101">
        <f>SUMIFS('9'!$E:$E,'9'!$A:$A,Año_Inicial,'9'!$B:$B,'11'!N$4,'9'!$D:$D,"Aplicación de enmiendas")</f>
        <v>0</v>
      </c>
      <c r="P18" s="101">
        <f>(A1_A_L6*Enmienda_A)+(A1_B_L6*Enmienda_B)+(A1_C_L6*Enmienda_C)+(A1_D_L6*Enmienda_D)+(A1_Y_L6*Enmienda_Y)</f>
        <v>0</v>
      </c>
      <c r="Q18" s="101">
        <f>SUMIFS('9'!$E:$E,'9'!$A:$A,Año_Inicial,'9'!$B:$B,'11'!P$4,'9'!$D:$D,"Aplicación de enmiendas")</f>
        <v>0</v>
      </c>
      <c r="R18" s="101">
        <f>(A1_A_L7*Enmienda_A)+(A1_B_L7*Enmienda_B)+(A1_C_L7*Enmienda_C)+(A1_D_L7*Enmienda_D)+(A1_Y_L7*Enmienda_Y)</f>
        <v>0</v>
      </c>
      <c r="S18" s="101">
        <f>SUMIFS('9'!$E:$E,'9'!$A:$A,Año_Inicial,'9'!$B:$B,'11'!R$4,'9'!$D:$D,"Aplicación de enmiendas")</f>
        <v>0</v>
      </c>
      <c r="T18" s="101">
        <f>(A1_A_L8*Enmienda_A)+(A1_B_L8*Enmienda_B)+(A1_C_L8*Enmienda_C)+(A1_D_L8*Enmienda_D)+(A1_Y_L8*Enmienda_Y)</f>
        <v>0</v>
      </c>
      <c r="U18" s="101">
        <f>SUMIFS('9'!$E:$E,'9'!$A:$A,Año_Inicial,'9'!$B:$B,'11'!T$4,'9'!$D:$D,"Aplicación de enmiendas")</f>
        <v>0</v>
      </c>
      <c r="V18" s="101">
        <f>(A1_A_L9*Enmienda_A)+(A1_B_L9*Enmienda_B)+(A1_C_L9*Enmienda_C)+(A1_D_L9*Enmienda_D)+(A1_Y_L9*Enmienda_Y)</f>
        <v>0</v>
      </c>
      <c r="W18" s="101">
        <f>SUMIFS('9'!$E:$E,'9'!$A:$A,Año_Inicial,'9'!$B:$B,'11'!V$4,'9'!$D:$D,"Aplicación de enmiendas")</f>
        <v>0</v>
      </c>
      <c r="X18" s="101">
        <f>(A1_A_L10*Enmienda_A)+(A1_B_L10*Enmienda_B)+(A1_C_L10*Enmienda_C)+(A1_D_L10*Enmienda_D)+(A1_Y_L10*Enmienda_Y)</f>
        <v>0</v>
      </c>
      <c r="Y18" s="101">
        <f>SUMIFS('9'!$E:$E,'9'!$A:$A,Año_Inicial,'9'!$B:$B,'11'!X$4,'9'!$D:$D,"Aplicación de enmiendas")</f>
        <v>0</v>
      </c>
      <c r="Z18" s="101">
        <f>(A1_A_L11*Enmienda_A)+(A1_B_L11*Enmienda_B)+(A1_C_L11*Enmienda_C)+(A1_D_L11*Enmienda_D)+(A1_Y_L11*Enmienda_Y)</f>
        <v>0</v>
      </c>
      <c r="AA18" s="101">
        <f>SUMIFS('9'!$E:$E,'9'!$A:$A,Año_Inicial,'9'!$B:$B,'11'!Z$4,'9'!$D:$D,"Aplicación de enmiendas")</f>
        <v>0</v>
      </c>
      <c r="AB18" s="101">
        <f>(A1_A_L12*Enmienda_A)+(A1_B_L12*Enmienda_B)+(A1_C_L12*Enmienda_C)+(A1_D_L12*Enmienda_D)+(A1_Y_L12*Enmienda_Y)</f>
        <v>0</v>
      </c>
      <c r="AC18" s="101">
        <f>SUMIFS('9'!$E:$E,'9'!$A:$A,Año_Inicial,'9'!$B:$B,'11'!AB$4,'9'!$D:$D,"Aplicación de enmiendas")</f>
        <v>0</v>
      </c>
      <c r="AD18" s="101">
        <f>(A1_A_L13*Enmienda_A)+(A1_B_L13*Enmienda_B)+(A1_C_L13*Enmienda_C)+(A1_D_L13*Enmienda_D)+(A1_Y_L13*Enmienda_Y)</f>
        <v>0</v>
      </c>
      <c r="AE18" s="101">
        <f>SUMIFS('9'!$E:$E,'9'!$A:$A,Año_Inicial,'9'!$B:$B,'11'!AD$4,'9'!$D:$D,"Aplicación de enmiendas")</f>
        <v>0</v>
      </c>
      <c r="AF18" s="101">
        <f>(A1_A_L14*Enmienda_A)+(A1_B_L14*Enmienda_B)+(A1_C_L14*Enmienda_C)+(A1_D_L14*Enmienda_D)+(A1_Y_L14*Enmienda_Y)</f>
        <v>0</v>
      </c>
      <c r="AG18" s="101">
        <f>SUMIFS('9'!$E:$E,'9'!$A:$A,Año_Inicial,'9'!$B:$B,'11'!AF$4,'9'!$D:$D,"Aplicación de enmiendas")</f>
        <v>0</v>
      </c>
      <c r="AH18" s="101">
        <f>(A1_A_L15*Enmienda_A)+(A1_B_L15*Enmienda_B)+(A1_C_L15*Enmienda_C)+(A1_D_L15*Enmienda_D)+(A1_Y_L15*Enmienda_Y)</f>
        <v>0</v>
      </c>
      <c r="AI18" s="101">
        <f>SUMIFS('9'!$E:$E,'9'!$A:$A,Año_Inicial,'9'!$B:$B,'11'!AH$4,'9'!$D:$D,"Aplicación de enmiendas")</f>
        <v>0</v>
      </c>
      <c r="AJ18" s="101">
        <f>(A1_A_L16*Enmienda_A)+(A1_B_L16*Enmienda_B)+(A1_C_L16*Enmienda_C)+(A1_D_L16*Enmienda_D)+(A1_Y_L16*Enmienda_Y)</f>
        <v>0</v>
      </c>
      <c r="AK18" s="101">
        <f>SUMIFS('9'!$E:$E,'9'!$A:$A,Año_Inicial,'9'!$B:$B,'11'!AJ$4,'9'!$D:$D,"Aplicación de enmiendas")</f>
        <v>0</v>
      </c>
      <c r="AL18" s="101">
        <f>(A1_A_L17*Enmienda_A)+(A1_B_L17*Enmienda_B)+(A1_C_L17*Enmienda_C)+(A1_D_L17*Enmienda_D)+(A1_Y_L17*Enmienda_Y)</f>
        <v>0</v>
      </c>
      <c r="AM18" s="101">
        <f>SUMIFS('9'!$E:$E,'9'!$A:$A,Año_Inicial,'9'!$B:$B,'11'!AL$4,'9'!$D:$D,"Aplicación de enmiendas")</f>
        <v>0</v>
      </c>
      <c r="AN18" s="101">
        <f>(A1_A_L18*Enmienda_A)+(A1_B_L18*Enmienda_B)+(A1_C_L18*Enmienda_C)+(A1_D_L18*Enmienda_D)+(A1_Y_L18*Enmienda_Y)</f>
        <v>0</v>
      </c>
      <c r="AO18" s="101">
        <f>SUMIFS('9'!$E:$E,'9'!$A:$A,Año_Inicial,'9'!$B:$B,'11'!AN$4,'9'!$D:$D,"Aplicación de enmiendas")</f>
        <v>0</v>
      </c>
      <c r="AP18" s="101">
        <f>(A1_A_L19*Enmienda_A)+(A1_B_L19*Enmienda_B)+(A1_C_L19*Enmienda_C)+(A1_D_L19*Enmienda_D)+(A1_Y_L19*Enmienda_Y)</f>
        <v>0</v>
      </c>
      <c r="AQ18" s="101">
        <f>SUMIFS('9'!$E:$E,'9'!$A:$A,Año_Inicial,'9'!$B:$B,'11'!AP$4,'9'!$D:$D,"Aplicación de enmiendas")</f>
        <v>0</v>
      </c>
      <c r="AR18" s="101">
        <f>(A1_A_L20*Enmienda_A)+(A1_B_L20*Enmienda_B)+(A1_C_L20*Enmienda_C)+(A1_D_L20*Enmienda_D)+(A1_Y_L20*Enmienda_Y)</f>
        <v>0</v>
      </c>
      <c r="AS18" s="101">
        <f>SUMIFS('9'!$E:$E,'9'!$A:$A,Año_Inicial,'9'!$B:$B,'11'!AR$4,'9'!$D:$D,"Aplicación de enmiendas")</f>
        <v>0</v>
      </c>
      <c r="AT18" s="101">
        <f>(A1_A_L21*Enmienda_A)+(A1_B_L21*Enmienda_B)+(A1_C_L21*Enmienda_C)+(A1_D_L21*Enmienda_D)+(A1_Y_L21*Enmienda_Y)</f>
        <v>0</v>
      </c>
      <c r="AU18" s="101">
        <f>SUMIFS('9'!$E:$E,'9'!$A:$A,Año_Inicial,'9'!$B:$B,'11'!AT$4,'9'!$D:$D,"Aplicación de enmiendas")</f>
        <v>0</v>
      </c>
      <c r="AV18" s="101">
        <f>(A1_A_L22*Enmienda_A)+(A1_B_L22*Enmienda_B)+(A1_C_L22*Enmienda_C)+(A1_D_L22*Enmienda_D)+(A1_Y_L22*Enmienda_Y)</f>
        <v>0</v>
      </c>
      <c r="AW18" s="101">
        <f>SUMIFS('9'!$E:$E,'9'!$A:$A,Año_Inicial,'9'!$B:$B,'11'!AV$4,'9'!$D:$D,"Aplicación de enmiendas")</f>
        <v>0</v>
      </c>
      <c r="AX18" s="101">
        <f>(A1_A_L23*Enmienda_A)+(A1_B_L23*Enmienda_B)+(A1_C_L23*Enmienda_C)+(A1_D_L23*Enmienda_D)+(A1_Y_L23*Enmienda_Y)</f>
        <v>0</v>
      </c>
      <c r="AY18" s="101">
        <f>SUMIFS('9'!$E:$E,'9'!$A:$A,Año_Inicial,'9'!$B:$B,'11'!AX$4,'9'!$D:$D,"Aplicación de enmiendas")</f>
        <v>0</v>
      </c>
      <c r="AZ18" s="101">
        <f>(A1_A_L24*Enmienda_A)+(A1_B_L24*Enmienda_B)+(A1_C_L24*Enmienda_C)+(A1_D_L24*Enmienda_D)+(A1_Y_L24*Enmienda_Y)</f>
        <v>0</v>
      </c>
      <c r="BA18" s="101">
        <f>SUMIFS('9'!$E:$E,'9'!$A:$A,Año_Inicial,'9'!$B:$B,'11'!AZ$4,'9'!$D:$D,"Aplicación de enmiendas")</f>
        <v>0</v>
      </c>
      <c r="BB18" s="101">
        <f>(A1_A_L25*Enmienda_A)+(A1_B_L25*Enmienda_B)+(A1_C_L25*Enmienda_C)+(A1_D_L25*Enmienda_D)+(A1_Y_L25*Enmienda_Y)</f>
        <v>0</v>
      </c>
      <c r="BC18" s="101">
        <f>SUMIFS('9'!$E:$E,'9'!$A:$A,Año_Inicial,'9'!$B:$B,'11'!BB$4,'9'!$D:$D,"Aplicación de enmiendas")</f>
        <v>0</v>
      </c>
      <c r="BD18" s="101">
        <f>(A1_A_L26*Enmienda_A)+(A1_B_L26*Enmienda_B)+(A1_C_L26*Enmienda_C)+(A1_D_L26*Enmienda_D)+(A1_Y_L26*Enmienda_Y)</f>
        <v>0</v>
      </c>
      <c r="BE18" s="101">
        <f>SUMIFS('9'!$E:$E,'9'!$A:$A,Año_Inicial,'9'!$B:$B,'11'!BD$4,'9'!$D:$D,"Aplicación de enmiendas")</f>
        <v>0</v>
      </c>
      <c r="BF18" s="101">
        <f>(A1_A_L27*Enmienda_A)+(A1_B_L27*Enmienda_B)+(A1_C_L27*Enmienda_C)+(A1_D_L27*Enmienda_D)+(A1_Y_L27*Enmienda_Y)</f>
        <v>0</v>
      </c>
      <c r="BG18" s="101">
        <f>SUMIFS('9'!$E:$E,'9'!$A:$A,Año_Inicial,'9'!$B:$B,'11'!BF$4,'9'!$D:$D,"Aplicación de enmiendas")</f>
        <v>0</v>
      </c>
      <c r="BH18" s="101">
        <f>(A1_A_L28*Enmienda_A)+(A1_B_L28*Enmienda_B)+(A1_C_L28*Enmienda_C)+(A1_D_L28*Enmienda_D)+(A1_Y_L28*Enmienda_Y)</f>
        <v>0</v>
      </c>
      <c r="BI18" s="101">
        <f>SUMIFS('9'!$E:$E,'9'!$A:$A,Año_Inicial,'9'!$B:$B,'11'!BH$4,'9'!$D:$D,"Aplicación de enmiendas")</f>
        <v>0</v>
      </c>
      <c r="BJ18" s="101">
        <f>(A1_A_L29*Enmienda_A)+(A1_B_L29*Enmienda_B)+(A1_C_L29*Enmienda_C)+(A1_D_L29*Enmienda_D)+(A1_Y_L29*Enmienda_Y)</f>
        <v>0</v>
      </c>
      <c r="BK18" s="101">
        <f>SUMIFS('9'!$E:$E,'9'!$A:$A,Año_Inicial,'9'!$B:$B,'11'!BJ$4,'9'!$D:$D,"Aplicación de enmiendas")</f>
        <v>0</v>
      </c>
      <c r="BL18" s="101">
        <f>(A1_A_L30*Enmienda_A)+(A1_B_L30*Enmienda_B)+(A1_C_L30*Enmienda_C)+(A1_D_L30*Enmienda_D)+(A1_Y_L30*Enmienda_Y)</f>
        <v>0</v>
      </c>
      <c r="BM18" s="101">
        <f>SUMIFS('9'!$E:$E,'9'!$A:$A,Año_Inicial,'9'!$B:$B,'11'!BL$4,'9'!$D:$D,"Aplicación de enmiendas")</f>
        <v>0</v>
      </c>
      <c r="BN18" s="101">
        <f>(A1_A_L31*Enmienda_A)+(A1_B_L31*Enmienda_B)+(A1_C_L31*Enmienda_C)+(A1_D_L31*Enmienda_D)+(A1_Y_L31*Enmienda_Y)</f>
        <v>0</v>
      </c>
      <c r="BO18" s="101">
        <f>SUMIFS('9'!$E:$E,'9'!$A:$A,Año_Inicial,'9'!$B:$B,'11'!BN$4,'9'!$D:$D,"Aplicación de enmiendas")</f>
        <v>0</v>
      </c>
      <c r="BP18" s="101">
        <f>(A1_A_L32*Enmienda_A)+(A1_B_L32*Enmienda_B)+(A1_C_L32*Enmienda_C)+(A1_D_L32*Enmienda_D)+(A1_Y_L32*Enmienda_Y)</f>
        <v>0</v>
      </c>
      <c r="BQ18" s="101">
        <f>SUMIFS('9'!$E:$E,'9'!$A:$A,Año_Inicial,'9'!$B:$B,'11'!BP$4,'9'!$D:$D,"Aplicación de enmiendas")</f>
        <v>0</v>
      </c>
      <c r="BR18" s="101">
        <f>(A1_A_L33*Enmienda_A)+(A1_B_L33*Enmienda_B)+(A1_C_L33*Enmienda_C)+(A1_D_L33*Enmienda_D)+(A1_Y_L33*Enmienda_Y)</f>
        <v>0</v>
      </c>
      <c r="BS18" s="101">
        <f>SUMIFS('9'!$E:$E,'9'!$A:$A,Año_Inicial,'9'!$B:$B,'11'!BR$4,'9'!$D:$D,"Aplicación de enmiendas")</f>
        <v>0</v>
      </c>
      <c r="BT18" s="101">
        <f>(A1_A_L34*Enmienda_A)+(A1_B_L34*Enmienda_B)+(A1_C_L34*Enmienda_C)+(A1_D_L34*Enmienda_D)+(A1_Y_L34*Enmienda_Y)</f>
        <v>0</v>
      </c>
      <c r="BU18" s="101">
        <f>SUMIFS('9'!$E:$E,'9'!$A:$A,Año_Inicial,'9'!$B:$B,'11'!BT$4,'9'!$D:$D,"Aplicación de enmiendas")</f>
        <v>0</v>
      </c>
      <c r="BV18" s="101">
        <f>(A1_A_L35*Enmienda_A)+(A1_B_L35*Enmienda_B)+(A1_C_L35*Enmienda_C)+(A1_D_L35*Enmienda_D)+(A1_Y_L35*Enmienda_Y)</f>
        <v>0</v>
      </c>
      <c r="BW18" s="101">
        <f>SUMIFS('9'!$E:$E,'9'!$A:$A,Año_Inicial,'9'!$B:$B,'11'!BV$4,'9'!$D:$D,"Aplicación de enmiendas")</f>
        <v>0</v>
      </c>
      <c r="BX18" s="101">
        <f>(A1_A_L36*Enmienda_A)+(A1_B_L36*Enmienda_B)+(A1_C_L36*Enmienda_C)+(A1_D_L36*Enmienda_D)+(A1_Y_L36*Enmienda_Y)</f>
        <v>0</v>
      </c>
      <c r="BY18" s="101">
        <f>SUMIFS('9'!$E:$E,'9'!$A:$A,Año_Inicial,'9'!$B:$B,'11'!BX$4,'9'!$D:$D,"Aplicación de enmiendas")</f>
        <v>0</v>
      </c>
      <c r="BZ18" s="101">
        <f>(A1_A_L37*Enmienda_A)+(A1_B_L37*Enmienda_B)+(A1_C_L37*Enmienda_C)+(A1_D_L37*Enmienda_D)+(A1_Y_L37*Enmienda_Y)</f>
        <v>0</v>
      </c>
      <c r="CA18" s="101">
        <f>SUMIFS('9'!$E:$E,'9'!$A:$A,Año_Inicial,'9'!$B:$B,'11'!BZ$4,'9'!$D:$D,"Aplicación de enmiendas")</f>
        <v>0</v>
      </c>
      <c r="CB18" s="101">
        <f>(A1_A_L38*Enmienda_A)+(A1_B_L38*Enmienda_B)+(A1_C_L38*Enmienda_C)+(A1_D_L38*Enmienda_D)+(A1_Y_L38*Enmienda_Y)</f>
        <v>0</v>
      </c>
      <c r="CC18" s="101">
        <f>SUMIFS('9'!$E:$E,'9'!$A:$A,Año_Inicial,'9'!$B:$B,'11'!CB$4,'9'!$D:$D,"Aplicación de enmiendas")</f>
        <v>0</v>
      </c>
      <c r="CD18" s="101">
        <f>(A1_A_L39*Enmienda_A)+(A1_B_L39*Enmienda_B)+(A1_C_L39*Enmienda_C)+(A1_D_L39*Enmienda_D)+(A1_Y_L39*Enmienda_Y)</f>
        <v>0</v>
      </c>
      <c r="CE18" s="101">
        <f>SUMIFS('9'!$E:$E,'9'!$A:$A,Año_Inicial,'9'!$B:$B,'11'!CD$4,'9'!$D:$D,"Aplicación de enmiendas")</f>
        <v>0</v>
      </c>
      <c r="CF18" s="101">
        <f>(A1_A_L40*Enmienda_A)+(A1_B_L40*Enmienda_B)+(A1_C_L40*Enmienda_C)+(A1_D_L40*Enmienda_D)+(A1_Y_L40*Enmienda_Y)</f>
        <v>0</v>
      </c>
      <c r="CG18" s="101">
        <f>SUMIFS('9'!$E:$E,'9'!$A:$A,Año_Inicial,'9'!$B:$B,'11'!CF$4,'9'!$D:$D,"Aplicación de enmiendas")</f>
        <v>0</v>
      </c>
      <c r="CH18" s="473"/>
      <c r="CI18" s="101">
        <f>Plantas_A_A1*Enmienda_A</f>
        <v>0</v>
      </c>
      <c r="CJ18" s="101">
        <f>Plantas_B_A1*Enmienda_B</f>
        <v>0</v>
      </c>
      <c r="CK18" s="101">
        <f>Plantas_C_A1*Enmienda_C</f>
        <v>0</v>
      </c>
      <c r="CL18" s="101">
        <f>Plantas_D_A1*Enmienda_D</f>
        <v>0</v>
      </c>
      <c r="CM18" s="101"/>
      <c r="CN18" s="101">
        <f>Plantas_Y_A1*Enmienda_Y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68"/>
        <v>0</v>
      </c>
      <c r="C19" s="101">
        <f>SUMIFS('9'!$E:$E,'9'!$A:$A,Año_Inicial,'9'!$D:$D,"Fertilizante químico")</f>
        <v>0</v>
      </c>
      <c r="D19" s="100">
        <f t="shared" si="67"/>
        <v>0</v>
      </c>
      <c r="E19" s="473"/>
      <c r="F19" s="101">
        <f>(A1_A_L1*Fertilizante_A)+(A1_B_L1*Fertilizante_B)+(A1_C_L1*Fertilizante_C)+(A1_D_L1*Fertilizante_D)+(A1_Y_L1*Fertilizante_Y)</f>
        <v>0</v>
      </c>
      <c r="G19" s="101">
        <f>SUMIFS('9'!$E:$E,'9'!$A:$A,Año_Inicial,'9'!$B:$B,'11'!F$4,'9'!$D:$D,"Fertilizante químico")</f>
        <v>0</v>
      </c>
      <c r="H19" s="101">
        <f>(A1_A_L2*Fertilizante_A)+(A1_B_L2*Fertilizante_B)+(A1_C_L2*Fertilizante_C)+(A1_D_L2*Fertilizante_D)+(A1_Y_L2*Fertilizante_Y)</f>
        <v>0</v>
      </c>
      <c r="I19" s="101">
        <f>SUMIFS('9'!$E:$E,'9'!$A:$A,Año_Inicial,'9'!$B:$B,'11'!H$4,'9'!$D:$D,"Fertilizante químico")</f>
        <v>0</v>
      </c>
      <c r="J19" s="101">
        <f>(A1_A_L3*Fertilizante_A)+(A1_B_L3*Fertilizante_B)+(A1_C_L3*Fertilizante_C)+(A1_D_L3*Fertilizante_D)+(A1_Y_L3*Fertilizante_Y)</f>
        <v>0</v>
      </c>
      <c r="K19" s="101">
        <f>SUMIFS('9'!$E:$E,'9'!$A:$A,Año_Inicial,'9'!$B:$B,'11'!J$4,'9'!$D:$D,"Fertilizante químico")</f>
        <v>0</v>
      </c>
      <c r="L19" s="101">
        <f>(A1_A_L4*Fertilizante_A)+(A1_B_L4*Fertilizante_B)+(A1_C_L4*Fertilizante_C)+(A1_D_L4*Fertilizante_D)+(A1_Y_L4*Fertilizante_Y)</f>
        <v>0</v>
      </c>
      <c r="M19" s="101">
        <f>SUMIFS('9'!$E:$E,'9'!$A:$A,Año_Inicial,'9'!$B:$B,'11'!L$4,'9'!$D:$D,"Fertilizante químico")</f>
        <v>0</v>
      </c>
      <c r="N19" s="101">
        <f>(A1_A_L5*Fertilizante_A)+(A1_B_L5*Fertilizante_B)+(A1_C_L5*Fertilizante_C)+(A1_D_L5*Fertilizante_D)+(A1_Y_L5*Fertilizante_Y)</f>
        <v>0</v>
      </c>
      <c r="O19" s="101">
        <f>SUMIFS('9'!$E:$E,'9'!$A:$A,Año_Inicial,'9'!$B:$B,'11'!N$4,'9'!$D:$D,"Fertilizante químico")</f>
        <v>0</v>
      </c>
      <c r="P19" s="101">
        <f>(A1_A_L6*Fertilizante_A)+(A1_B_L6*Fertilizante_B)+(A1_C_L6*Fertilizante_C)+(A1_D_L6*Fertilizante_D)+(A1_Y_L6*Fertilizante_Y)</f>
        <v>0</v>
      </c>
      <c r="Q19" s="101">
        <f>SUMIFS('9'!$E:$E,'9'!$A:$A,Año_Inicial,'9'!$B:$B,'11'!P$4,'9'!$D:$D,"Fertilizante químico")</f>
        <v>0</v>
      </c>
      <c r="R19" s="101">
        <f>(A1_A_L7*Fertilizante_A)+(A1_B_L7*Fertilizante_B)+(A1_C_L7*Fertilizante_C)+(A1_D_L7*Fertilizante_D)+(A1_Y_L7*Fertilizante_Y)</f>
        <v>0</v>
      </c>
      <c r="S19" s="101">
        <f>SUMIFS('9'!$E:$E,'9'!$A:$A,Año_Inicial,'9'!$B:$B,'11'!R$4,'9'!$D:$D,"Fertilizante químico")</f>
        <v>0</v>
      </c>
      <c r="T19" s="101">
        <f>(A1_A_L8*Fertilizante_A)+(A1_B_L8*Fertilizante_B)+(A1_C_L8*Fertilizante_C)+(A1_D_L8*Fertilizante_D)+(A1_Y_L8*Fertilizante_Y)</f>
        <v>0</v>
      </c>
      <c r="U19" s="101">
        <f>SUMIFS('9'!$E:$E,'9'!$A:$A,Año_Inicial,'9'!$B:$B,'11'!T$4,'9'!$D:$D,"Fertilizante químico")</f>
        <v>0</v>
      </c>
      <c r="V19" s="101">
        <f>(A1_A_L9*Fertilizante_A)+(A1_B_L9*Fertilizante_B)+(A1_C_L9*Fertilizante_C)+(A1_D_L9*Fertilizante_D)+(A1_Y_L9*Fertilizante_Y)</f>
        <v>0</v>
      </c>
      <c r="W19" s="101">
        <f>SUMIFS('9'!$E:$E,'9'!$A:$A,Año_Inicial,'9'!$B:$B,'11'!V$4,'9'!$D:$D,"Fertilizante químico")</f>
        <v>0</v>
      </c>
      <c r="X19" s="101">
        <f>(A1_A_L10*Fertilizante_A)+(A1_B_L10*Fertilizante_B)+(A1_C_L10*Fertilizante_C)+(A1_D_L10*Fertilizante_D)+(A1_Y_L10*Fertilizante_Y)</f>
        <v>0</v>
      </c>
      <c r="Y19" s="101">
        <f>SUMIFS('9'!$E:$E,'9'!$A:$A,Año_Inicial,'9'!$B:$B,'11'!X$4,'9'!$D:$D,"Fertilizante químico")</f>
        <v>0</v>
      </c>
      <c r="Z19" s="101">
        <f>(A1_A_L11*Fertilizante_A)+(A1_B_L11*Fertilizante_B)+(A1_C_L11*Fertilizante_C)+(A1_D_L11*Fertilizante_D)+(A1_Y_L11*Fertilizante_Y)</f>
        <v>0</v>
      </c>
      <c r="AA19" s="101">
        <f>SUMIFS('9'!$E:$E,'9'!$A:$A,Año_Inicial,'9'!$B:$B,'11'!Z$4,'9'!$D:$D,"Fertilizante químico")</f>
        <v>0</v>
      </c>
      <c r="AB19" s="101">
        <f>(A1_A_L12*Fertilizante_A)+(A1_B_L12*Fertilizante_B)+(A1_C_L12*Fertilizante_C)+(A1_D_L12*Fertilizante_D)+(A1_Y_L12*Fertilizante_Y)</f>
        <v>0</v>
      </c>
      <c r="AC19" s="101">
        <f>SUMIFS('9'!$E:$E,'9'!$A:$A,Año_Inicial,'9'!$B:$B,'11'!AB$4,'9'!$D:$D,"Fertilizante químico")</f>
        <v>0</v>
      </c>
      <c r="AD19" s="101">
        <f>(A1_A_L13*Fertilizante_A)+(A1_B_L13*Fertilizante_B)+(A1_C_L13*Fertilizante_C)+(A1_D_L13*Fertilizante_D)+(A1_Y_L13*Fertilizante_Y)</f>
        <v>0</v>
      </c>
      <c r="AE19" s="101">
        <f>SUMIFS('9'!$E:$E,'9'!$A:$A,Año_Inicial,'9'!$B:$B,'11'!AD$4,'9'!$D:$D,"Fertilizante químico")</f>
        <v>0</v>
      </c>
      <c r="AF19" s="101">
        <f>(A1_A_L14*Fertilizante_A)+(A1_B_L14*Fertilizante_B)+(A1_C_L14*Fertilizante_C)+(A1_D_L14*Fertilizante_D)+(A1_Y_L14*Fertilizante_Y)</f>
        <v>0</v>
      </c>
      <c r="AG19" s="101">
        <f>SUMIFS('9'!$E:$E,'9'!$A:$A,Año_Inicial,'9'!$B:$B,'11'!AF$4,'9'!$D:$D,"Fertilizante químico")</f>
        <v>0</v>
      </c>
      <c r="AH19" s="101">
        <f>(A1_A_L15*Fertilizante_A)+(A1_B_L15*Fertilizante_B)+(A1_C_L15*Fertilizante_C)+(A1_D_L15*Fertilizante_D)+(A1_Y_L15*Fertilizante_Y)</f>
        <v>0</v>
      </c>
      <c r="AI19" s="101">
        <f>SUMIFS('9'!$E:$E,'9'!$A:$A,Año_Inicial,'9'!$B:$B,'11'!AH$4,'9'!$D:$D,"Fertilizante químico")</f>
        <v>0</v>
      </c>
      <c r="AJ19" s="101">
        <f>(A1_A_L16*Fertilizante_A)+(A1_B_L16*Fertilizante_B)+(A1_C_L16*Fertilizante_C)+(A1_D_L16*Fertilizante_D)+(A1_Y_L16*Fertilizante_Y)</f>
        <v>0</v>
      </c>
      <c r="AK19" s="101">
        <f>SUMIFS('9'!$E:$E,'9'!$A:$A,Año_Inicial,'9'!$B:$B,'11'!AJ$4,'9'!$D:$D,"Fertilizante químico")</f>
        <v>0</v>
      </c>
      <c r="AL19" s="101">
        <f>(A1_A_L17*Fertilizante_A)+(A1_B_L17*Fertilizante_B)+(A1_C_L17*Fertilizante_C)+(A1_D_L17*Fertilizante_D)+(A1_Y_L17*Fertilizante_Y)</f>
        <v>0</v>
      </c>
      <c r="AM19" s="101">
        <f>SUMIFS('9'!$E:$E,'9'!$A:$A,Año_Inicial,'9'!$B:$B,'11'!AL$4,'9'!$D:$D,"Fertilizante químico")</f>
        <v>0</v>
      </c>
      <c r="AN19" s="101">
        <f>(A1_A_L18*Fertilizante_A)+(A1_B_L18*Fertilizante_B)+(A1_C_L18*Fertilizante_C)+(A1_D_L18*Fertilizante_D)+(A1_Y_L18*Fertilizante_Y)</f>
        <v>0</v>
      </c>
      <c r="AO19" s="101">
        <f>SUMIFS('9'!$E:$E,'9'!$A:$A,Año_Inicial,'9'!$B:$B,'11'!AN$4,'9'!$D:$D,"Fertilizante químico")</f>
        <v>0</v>
      </c>
      <c r="AP19" s="101">
        <f>(A1_A_L19*Fertilizante_A)+(A1_B_L19*Fertilizante_B)+(A1_C_L19*Fertilizante_C)+(A1_D_L19*Fertilizante_D)+(A1_Y_L19*Fertilizante_Y)</f>
        <v>0</v>
      </c>
      <c r="AQ19" s="101">
        <f>SUMIFS('9'!$E:$E,'9'!$A:$A,Año_Inicial,'9'!$B:$B,'11'!AP$4,'9'!$D:$D,"Fertilizante químico")</f>
        <v>0</v>
      </c>
      <c r="AR19" s="101">
        <f>(A1_A_L20*Fertilizante_A)+(A1_B_L20*Fertilizante_B)+(A1_C_L20*Fertilizante_C)+(A1_D_L20*Fertilizante_D)+(A1_Y_L20*Fertilizante_Y)</f>
        <v>0</v>
      </c>
      <c r="AS19" s="101">
        <f>SUMIFS('9'!$E:$E,'9'!$A:$A,Año_Inicial,'9'!$B:$B,'11'!AR$4,'9'!$D:$D,"Fertilizante químico")</f>
        <v>0</v>
      </c>
      <c r="AT19" s="101">
        <f>(A1_A_L21*Fertilizante_A)+(A1_B_L21*Fertilizante_B)+(A1_C_L21*Fertilizante_C)+(A1_D_L21*Fertilizante_D)+(A1_Y_L21*Fertilizante_Y)</f>
        <v>0</v>
      </c>
      <c r="AU19" s="101">
        <f>SUMIFS('9'!$E:$E,'9'!$A:$A,Año_Inicial,'9'!$B:$B,'11'!AT$4,'9'!$D:$D,"Fertilizante químico")</f>
        <v>0</v>
      </c>
      <c r="AV19" s="101">
        <f>(A1_A_L22*Fertilizante_A)+(A1_B_L22*Fertilizante_B)+(A1_C_L22*Fertilizante_C)+(A1_D_L22*Fertilizante_D)+(A1_Y_L22*Fertilizante_Y)</f>
        <v>0</v>
      </c>
      <c r="AW19" s="101">
        <f>SUMIFS('9'!$E:$E,'9'!$A:$A,Año_Inicial,'9'!$B:$B,'11'!AV$4,'9'!$D:$D,"Fertilizante químico")</f>
        <v>0</v>
      </c>
      <c r="AX19" s="101">
        <f>(A1_A_L23*Fertilizante_A)+(A1_B_L23*Fertilizante_B)+(A1_C_L23*Fertilizante_C)+(A1_D_L23*Fertilizante_D)+(A1_Y_L23*Fertilizante_Y)</f>
        <v>0</v>
      </c>
      <c r="AY19" s="101">
        <f>SUMIFS('9'!$E:$E,'9'!$A:$A,Año_Inicial,'9'!$B:$B,'11'!AX$4,'9'!$D:$D,"Fertilizante químico")</f>
        <v>0</v>
      </c>
      <c r="AZ19" s="101">
        <f>(A1_A_L24*Fertilizante_A)+(A1_B_L24*Fertilizante_B)+(A1_C_L24*Fertilizante_C)+(A1_D_L24*Fertilizante_D)+(A1_Y_L24*Fertilizante_Y)</f>
        <v>0</v>
      </c>
      <c r="BA19" s="101">
        <f>SUMIFS('9'!$E:$E,'9'!$A:$A,Año_Inicial,'9'!$B:$B,'11'!AZ$4,'9'!$D:$D,"Fertilizante químico")</f>
        <v>0</v>
      </c>
      <c r="BB19" s="101">
        <f>(A1_A_L25*Fertilizante_A)+(A1_B_L25*Fertilizante_B)+(A1_C_L25*Fertilizante_C)+(A1_D_L25*Fertilizante_D)+(A1_Y_L25*Fertilizante_Y)</f>
        <v>0</v>
      </c>
      <c r="BC19" s="101">
        <f>SUMIFS('9'!$E:$E,'9'!$A:$A,Año_Inicial,'9'!$B:$B,'11'!BB$4,'9'!$D:$D,"Fertilizante químico")</f>
        <v>0</v>
      </c>
      <c r="BD19" s="101">
        <f>(A1_A_L26*Fertilizante_A)+(A1_B_L26*Fertilizante_B)+(A1_C_L26*Fertilizante_C)+(A1_D_L26*Fertilizante_D)+(A1_Y_L26*Fertilizante_Y)</f>
        <v>0</v>
      </c>
      <c r="BE19" s="101">
        <f>SUMIFS('9'!$E:$E,'9'!$A:$A,Año_Inicial,'9'!$B:$B,'11'!BD$4,'9'!$D:$D,"Fertilizante químico")</f>
        <v>0</v>
      </c>
      <c r="BF19" s="101">
        <f>(A1_A_L27*Fertilizante_A)+(A1_B_L27*Fertilizante_B)+(A1_C_L27*Fertilizante_C)+(A1_D_L27*Fertilizante_D)+(A1_Y_L27*Fertilizante_Y)</f>
        <v>0</v>
      </c>
      <c r="BG19" s="101">
        <f>SUMIFS('9'!$E:$E,'9'!$A:$A,Año_Inicial,'9'!$B:$B,'11'!BF$4,'9'!$D:$D,"Fertilizante químico")</f>
        <v>0</v>
      </c>
      <c r="BH19" s="101">
        <f>(A1_A_L28*Fertilizante_A)+(A1_B_L28*Fertilizante_B)+(A1_C_L28*Fertilizante_C)+(A1_D_L28*Fertilizante_D)+(A1_Y_L28*Fertilizante_Y)</f>
        <v>0</v>
      </c>
      <c r="BI19" s="101">
        <f>SUMIFS('9'!$E:$E,'9'!$A:$A,Año_Inicial,'9'!$B:$B,'11'!BH$4,'9'!$D:$D,"Fertilizante químico")</f>
        <v>0</v>
      </c>
      <c r="BJ19" s="101">
        <f>(A1_A_L29*Fertilizante_A)+(A1_B_L29*Fertilizante_B)+(A1_C_L29*Fertilizante_C)+(A1_D_L29*Fertilizante_D)+(A1_Y_L29*Fertilizante_Y)</f>
        <v>0</v>
      </c>
      <c r="BK19" s="101">
        <f>SUMIFS('9'!$E:$E,'9'!$A:$A,Año_Inicial,'9'!$B:$B,'11'!BJ$4,'9'!$D:$D,"Fertilizante químico")</f>
        <v>0</v>
      </c>
      <c r="BL19" s="101">
        <f>(A1_A_L30*Fertilizante_A)+(A1_B_L30*Fertilizante_B)+(A1_C_L30*Fertilizante_C)+(A1_D_L30*Fertilizante_D)+(A1_Y_L30*Fertilizante_Y)</f>
        <v>0</v>
      </c>
      <c r="BM19" s="101">
        <f>SUMIFS('9'!$E:$E,'9'!$A:$A,Año_Inicial,'9'!$B:$B,'11'!BL$4,'9'!$D:$D,"Fertilizante químico")</f>
        <v>0</v>
      </c>
      <c r="BN19" s="101">
        <f>(A1_A_L31*Fertilizante_A)+(A1_B_L31*Fertilizante_B)+(A1_C_L31*Fertilizante_C)+(A1_D_L31*Fertilizante_D)+(A1_Y_L31*Fertilizante_Y)</f>
        <v>0</v>
      </c>
      <c r="BO19" s="101">
        <f>SUMIFS('9'!$E:$E,'9'!$A:$A,Año_Inicial,'9'!$B:$B,'11'!BN$4,'9'!$D:$D,"Fertilizante químico")</f>
        <v>0</v>
      </c>
      <c r="BP19" s="101">
        <f>(A1_A_L32*Fertilizante_A)+(A1_B_L32*Fertilizante_B)+(A1_C_L32*Fertilizante_C)+(A1_D_L32*Fertilizante_D)+(A1_Y_L32*Fertilizante_Y)</f>
        <v>0</v>
      </c>
      <c r="BQ19" s="101">
        <f>SUMIFS('9'!$E:$E,'9'!$A:$A,Año_Inicial,'9'!$B:$B,'11'!BP$4,'9'!$D:$D,"Fertilizante químico")</f>
        <v>0</v>
      </c>
      <c r="BR19" s="101">
        <f>(A1_A_L33*Fertilizante_A)+(A1_B_L33*Fertilizante_B)+(A1_C_L33*Fertilizante_C)+(A1_D_L33*Fertilizante_D)+(A1_Y_L33*Fertilizante_Y)</f>
        <v>0</v>
      </c>
      <c r="BS19" s="101">
        <f>SUMIFS('9'!$E:$E,'9'!$A:$A,Año_Inicial,'9'!$B:$B,'11'!BR$4,'9'!$D:$D,"Fertilizante químico")</f>
        <v>0</v>
      </c>
      <c r="BT19" s="101">
        <f>(A1_A_L34*Fertilizante_A)+(A1_B_L34*Fertilizante_B)+(A1_C_L34*Fertilizante_C)+(A1_D_L34*Fertilizante_D)+(A1_Y_L34*Fertilizante_Y)</f>
        <v>0</v>
      </c>
      <c r="BU19" s="101">
        <f>SUMIFS('9'!$E:$E,'9'!$A:$A,Año_Inicial,'9'!$B:$B,'11'!BT$4,'9'!$D:$D,"Fertilizante químico")</f>
        <v>0</v>
      </c>
      <c r="BV19" s="101">
        <f>(A1_A_L35*Fertilizante_A)+(A1_B_L35*Fertilizante_B)+(A1_C_L35*Fertilizante_C)+(A1_D_L35*Fertilizante_D)+(A1_Y_L35*Fertilizante_Y)</f>
        <v>0</v>
      </c>
      <c r="BW19" s="101">
        <f>SUMIFS('9'!$E:$E,'9'!$A:$A,Año_Inicial,'9'!$B:$B,'11'!BV$4,'9'!$D:$D,"Fertilizante químico")</f>
        <v>0</v>
      </c>
      <c r="BX19" s="101">
        <f>(A1_A_L36*Fertilizante_A)+(A1_B_L36*Fertilizante_B)+(A1_C_L36*Fertilizante_C)+(A1_D_L36*Fertilizante_D)+(A1_Y_L36*Fertilizante_Y)</f>
        <v>0</v>
      </c>
      <c r="BY19" s="101">
        <f>SUMIFS('9'!$E:$E,'9'!$A:$A,Año_Inicial,'9'!$B:$B,'11'!BX$4,'9'!$D:$D,"Fertilizante químico")</f>
        <v>0</v>
      </c>
      <c r="BZ19" s="101">
        <f>(A1_A_L37*Fertilizante_A)+(A1_B_L37*Fertilizante_B)+(A1_C_L37*Fertilizante_C)+(A1_D_L37*Fertilizante_D)+(A1_Y_L37*Fertilizante_Y)</f>
        <v>0</v>
      </c>
      <c r="CA19" s="101">
        <f>SUMIFS('9'!$E:$E,'9'!$A:$A,Año_Inicial,'9'!$B:$B,'11'!BZ$4,'9'!$D:$D,"Fertilizante químico")</f>
        <v>0</v>
      </c>
      <c r="CB19" s="101">
        <f>(A1_A_L38*Fertilizante_A)+(A1_B_L38*Fertilizante_B)+(A1_C_L38*Fertilizante_C)+(A1_D_L38*Fertilizante_D)+(A1_Y_L38*Fertilizante_Y)</f>
        <v>0</v>
      </c>
      <c r="CC19" s="101">
        <f>SUMIFS('9'!$E:$E,'9'!$A:$A,Año_Inicial,'9'!$B:$B,'11'!CB$4,'9'!$D:$D,"Fertilizante químico")</f>
        <v>0</v>
      </c>
      <c r="CD19" s="101">
        <f>(A1_A_L39*Fertilizante_A)+(A1_B_L39*Fertilizante_B)+(A1_C_L39*Fertilizante_C)+(A1_D_L39*Fertilizante_D)+(A1_Y_L39*Fertilizante_Y)</f>
        <v>0</v>
      </c>
      <c r="CE19" s="101">
        <f>SUMIFS('9'!$E:$E,'9'!$A:$A,Año_Inicial,'9'!$B:$B,'11'!CD$4,'9'!$D:$D,"Fertilizante químico")</f>
        <v>0</v>
      </c>
      <c r="CF19" s="101">
        <f>(A1_A_L40*Fertilizante_A)+(A1_B_L40*Fertilizante_B)+(A1_C_L40*Fertilizante_C)+(A1_D_L40*Fertilizante_D)+(A1_Y_L40*Fertilizante_Y)</f>
        <v>0</v>
      </c>
      <c r="CG19" s="101">
        <f>SUMIFS('9'!$E:$E,'9'!$A:$A,Año_Inicial,'9'!$B:$B,'11'!CF$4,'9'!$D:$D,"Fertilizante químico")</f>
        <v>0</v>
      </c>
      <c r="CH19" s="473"/>
      <c r="CI19" s="101">
        <f>Plantas_A_A1*Fertilizante_A</f>
        <v>0</v>
      </c>
      <c r="CJ19" s="101">
        <f>Plantas_B_A1*Fertilizante_B</f>
        <v>0</v>
      </c>
      <c r="CK19" s="101">
        <f>Plantas_C_A1*Fertilizante_C</f>
        <v>0</v>
      </c>
      <c r="CL19" s="101">
        <f>Plantas_D_A1*Fertilizante_D</f>
        <v>0</v>
      </c>
      <c r="CM19" s="101"/>
      <c r="CN19" s="101">
        <f>Plantas_Y_A1*Fertilizante_Y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68"/>
        <v>0</v>
      </c>
      <c r="C20" s="101">
        <f>SUMIFS('9'!$E:$E,'9'!$A:$A,Año_Inicial,'9'!$D:$D,"Material de enmienda")</f>
        <v>0</v>
      </c>
      <c r="D20" s="100">
        <f t="shared" si="67"/>
        <v>0</v>
      </c>
      <c r="E20" s="473"/>
      <c r="F20" s="101">
        <f>(A1_A_L1*Enmiendas_A)+(A1_B_L1*Enmiendas_B)+(A1_C_L1*Enmiendas_C)+(A1_D_L1*Enmiendas_D)+(A1_Y_L1*Enmiendas_Y)</f>
        <v>0</v>
      </c>
      <c r="G20" s="101">
        <f>SUMIFS('9'!$E:$E,'9'!$A:$A,Año_Inicial,'9'!$B:$B,'11'!F$4,'9'!$D:$D,"Material de enmienda")</f>
        <v>0</v>
      </c>
      <c r="H20" s="101">
        <f>(A1_A_L2*Enmiendas_A)+(A1_B_L2*Enmiendas_B)+(A1_C_L2*Enmiendas_C)+(A1_D_L2*Enmiendas_D)+(A1_Y_L2*Enmiendas_Y)</f>
        <v>0</v>
      </c>
      <c r="I20" s="101">
        <f>SUMIFS('9'!$E:$E,'9'!$A:$A,Año_Inicial,'9'!$B:$B,'11'!H$4,'9'!$D:$D,"Material de enmienda")</f>
        <v>0</v>
      </c>
      <c r="J20" s="101">
        <f>(A1_A_L3*Enmiendas_A)+(A1_B_L3*Enmiendas_B)+(A1_C_L3*Enmiendas_C)+(A1_D_L3*Enmiendas_D)+(A1_Y_L3*Enmiendas_Y)</f>
        <v>0</v>
      </c>
      <c r="K20" s="101">
        <f>SUMIFS('9'!$E:$E,'9'!$A:$A,Año_Inicial,'9'!$B:$B,'11'!J$4,'9'!$D:$D,"Material de enmienda")</f>
        <v>0</v>
      </c>
      <c r="L20" s="101">
        <f>(A1_A_L4*Enmiendas_A)+(A1_B_L4*Enmiendas_B)+(A1_C_L4*Enmiendas_C)+(A1_D_L4*Enmiendas_D)+(A1_Y_L4*Enmiendas_Y)</f>
        <v>0</v>
      </c>
      <c r="M20" s="101">
        <f>SUMIFS('9'!$E:$E,'9'!$A:$A,Año_Inicial,'9'!$B:$B,'11'!L$4,'9'!$D:$D,"Material de enmienda")</f>
        <v>0</v>
      </c>
      <c r="N20" s="101">
        <f>(A1_A_L5*Enmiendas_A)+(A1_B_L5*Enmiendas_B)+(A1_C_L5*Enmiendas_C)+(A1_D_L5*Enmiendas_D)+(A1_Y_L5*Enmiendas_Y)</f>
        <v>0</v>
      </c>
      <c r="O20" s="101">
        <f>SUMIFS('9'!$E:$E,'9'!$A:$A,Año_Inicial,'9'!$B:$B,'11'!N$4,'9'!$D:$D,"Material de enmienda")</f>
        <v>0</v>
      </c>
      <c r="P20" s="101">
        <f>(A1_A_L6*Enmiendas_A)+(A1_B_L6*Enmiendas_B)+(A1_C_L6*Enmiendas_C)+(A1_D_L6*Enmiendas_D)+(A1_Y_L6*Enmiendas_Y)</f>
        <v>0</v>
      </c>
      <c r="Q20" s="101">
        <f>SUMIFS('9'!$E:$E,'9'!$A:$A,Año_Inicial,'9'!$B:$B,'11'!P$4,'9'!$D:$D,"Material de enmienda")</f>
        <v>0</v>
      </c>
      <c r="R20" s="101">
        <f>(A1_A_L7*Enmiendas_A)+(A1_B_L7*Enmiendas_B)+(A1_C_L7*Enmiendas_C)+(A1_D_L7*Enmiendas_D)+(A1_Y_L7*Enmiendas_Y)</f>
        <v>0</v>
      </c>
      <c r="S20" s="101">
        <f>SUMIFS('9'!$E:$E,'9'!$A:$A,Año_Inicial,'9'!$B:$B,'11'!R$4,'9'!$D:$D,"Material de enmienda")</f>
        <v>0</v>
      </c>
      <c r="T20" s="101">
        <f>(A1_A_L8*Enmiendas_A)+(A1_B_L8*Enmiendas_B)+(A1_C_L8*Enmiendas_C)+(A1_D_L8*Enmiendas_D)+(A1_Y_L8*Enmiendas_Y)</f>
        <v>0</v>
      </c>
      <c r="U20" s="101">
        <f>SUMIFS('9'!$E:$E,'9'!$A:$A,Año_Inicial,'9'!$B:$B,'11'!T$4,'9'!$D:$D,"Material de enmienda")</f>
        <v>0</v>
      </c>
      <c r="V20" s="101">
        <f>(A1_A_L9*Enmiendas_A)+(A1_B_L9*Enmiendas_B)+(A1_C_L9*Enmiendas_C)+(A1_D_L9*Enmiendas_D)+(A1_Y_L9*Enmiendas_Y)</f>
        <v>0</v>
      </c>
      <c r="W20" s="101">
        <f>SUMIFS('9'!$E:$E,'9'!$A:$A,Año_Inicial,'9'!$B:$B,'11'!V$4,'9'!$D:$D,"Material de enmienda")</f>
        <v>0</v>
      </c>
      <c r="X20" s="101">
        <f>(A1_A_L10*Enmiendas_A)+(A1_B_L10*Enmiendas_B)+(A1_C_L10*Enmiendas_C)+(A1_D_L10*Enmiendas_D)+(A1_Y_L10*Enmiendas_Y)</f>
        <v>0</v>
      </c>
      <c r="Y20" s="101">
        <f>SUMIFS('9'!$E:$E,'9'!$A:$A,Año_Inicial,'9'!$B:$B,'11'!X$4,'9'!$D:$D,"Material de enmienda")</f>
        <v>0</v>
      </c>
      <c r="Z20" s="101">
        <f>(A1_A_L11*Enmiendas_A)+(A1_B_L11*Enmiendas_B)+(A1_C_L11*Enmiendas_C)+(A1_D_L11*Enmiendas_D)+(A1_Y_L11*Enmiendas_Y)</f>
        <v>0</v>
      </c>
      <c r="AA20" s="101">
        <f>SUMIFS('9'!$E:$E,'9'!$A:$A,Año_Inicial,'9'!$B:$B,'11'!Z$4,'9'!$D:$D,"Material de enmienda")</f>
        <v>0</v>
      </c>
      <c r="AB20" s="101">
        <f>(A1_A_L12*Enmiendas_A)+(A1_B_L12*Enmiendas_B)+(A1_C_L12*Enmiendas_C)+(A1_D_L12*Enmiendas_D)+(A1_Y_L12*Enmiendas_Y)</f>
        <v>0</v>
      </c>
      <c r="AC20" s="101">
        <f>SUMIFS('9'!$E:$E,'9'!$A:$A,Año_Inicial,'9'!$B:$B,'11'!AB$4,'9'!$D:$D,"Material de enmienda")</f>
        <v>0</v>
      </c>
      <c r="AD20" s="101">
        <f>(A1_A_L13*Enmiendas_A)+(A1_B_L13*Enmiendas_B)+(A1_C_L13*Enmiendas_C)+(A1_D_L13*Enmiendas_D)+(A1_Y_L13*Enmiendas_Y)</f>
        <v>0</v>
      </c>
      <c r="AE20" s="101">
        <f>SUMIFS('9'!$E:$E,'9'!$A:$A,Año_Inicial,'9'!$B:$B,'11'!AD$4,'9'!$D:$D,"Material de enmienda")</f>
        <v>0</v>
      </c>
      <c r="AF20" s="101">
        <f>(A1_A_L14*Enmiendas_A)+(A1_B_L14*Enmiendas_B)+(A1_C_L14*Enmiendas_C)+(A1_D_L14*Enmiendas_D)+(A1_Y_L14*Enmiendas_Y)</f>
        <v>0</v>
      </c>
      <c r="AG20" s="101">
        <f>SUMIFS('9'!$E:$E,'9'!$A:$A,Año_Inicial,'9'!$B:$B,'11'!AF$4,'9'!$D:$D,"Material de enmienda")</f>
        <v>0</v>
      </c>
      <c r="AH20" s="101">
        <f>(A1_A_L15*Enmiendas_A)+(A1_B_L15*Enmiendas_B)+(A1_C_L15*Enmiendas_C)+(A1_D_L15*Enmiendas_D)+(A1_Y_L15*Enmiendas_Y)</f>
        <v>0</v>
      </c>
      <c r="AI20" s="101">
        <f>SUMIFS('9'!$E:$E,'9'!$A:$A,Año_Inicial,'9'!$B:$B,'11'!AH$4,'9'!$D:$D,"Material de enmienda")</f>
        <v>0</v>
      </c>
      <c r="AJ20" s="101">
        <f>(A1_A_L16*Enmiendas_A)+(A1_B_L16*Enmiendas_B)+(A1_C_L16*Enmiendas_C)+(A1_D_L16*Enmiendas_D)+(A1_Y_L16*Enmiendas_Y)</f>
        <v>0</v>
      </c>
      <c r="AK20" s="101">
        <f>SUMIFS('9'!$E:$E,'9'!$A:$A,Año_Inicial,'9'!$B:$B,'11'!AJ$4,'9'!$D:$D,"Material de enmienda")</f>
        <v>0</v>
      </c>
      <c r="AL20" s="101">
        <f>(A1_A_L17*Enmiendas_A)+(A1_B_L17*Enmiendas_B)+(A1_C_L17*Enmiendas_C)+(A1_D_L17*Enmiendas_D)+(A1_Y_L17*Enmiendas_Y)</f>
        <v>0</v>
      </c>
      <c r="AM20" s="101">
        <f>SUMIFS('9'!$E:$E,'9'!$A:$A,Año_Inicial,'9'!$B:$B,'11'!AL$4,'9'!$D:$D,"Material de enmienda")</f>
        <v>0</v>
      </c>
      <c r="AN20" s="101">
        <f>(A1_A_L18*Enmiendas_A)+(A1_B_L18*Enmiendas_B)+(A1_C_L18*Enmiendas_C)+(A1_D_L18*Enmiendas_D)+(A1_Y_L18*Enmiendas_Y)</f>
        <v>0</v>
      </c>
      <c r="AO20" s="101">
        <f>SUMIFS('9'!$E:$E,'9'!$A:$A,Año_Inicial,'9'!$B:$B,'11'!AN$4,'9'!$D:$D,"Material de enmienda")</f>
        <v>0</v>
      </c>
      <c r="AP20" s="101">
        <f>(A1_A_L19*Enmiendas_A)+(A1_B_L19*Enmiendas_B)+(A1_C_L19*Enmiendas_C)+(A1_D_L19*Enmiendas_D)+(A1_Y_L19*Enmiendas_Y)</f>
        <v>0</v>
      </c>
      <c r="AQ20" s="101">
        <f>SUMIFS('9'!$E:$E,'9'!$A:$A,Año_Inicial,'9'!$B:$B,'11'!AP$4,'9'!$D:$D,"Material de enmienda")</f>
        <v>0</v>
      </c>
      <c r="AR20" s="101">
        <f>(A1_A_L20*Enmiendas_A)+(A1_B_L20*Enmiendas_B)+(A1_C_L20*Enmiendas_C)+(A1_D_L20*Enmiendas_D)+(A1_Y_L20*Enmiendas_Y)</f>
        <v>0</v>
      </c>
      <c r="AS20" s="101">
        <f>SUMIFS('9'!$E:$E,'9'!$A:$A,Año_Inicial,'9'!$B:$B,'11'!AR$4,'9'!$D:$D,"Material de enmienda")</f>
        <v>0</v>
      </c>
      <c r="AT20" s="101">
        <f>(A1_A_L21*Enmiendas_A)+(A1_B_L21*Enmiendas_B)+(A1_C_L21*Enmiendas_C)+(A1_D_L21*Enmiendas_D)+(A1_Y_L21*Enmiendas_Y)</f>
        <v>0</v>
      </c>
      <c r="AU20" s="101">
        <f>SUMIFS('9'!$E:$E,'9'!$A:$A,Año_Inicial,'9'!$B:$B,'11'!AT$4,'9'!$D:$D,"Material de enmienda")</f>
        <v>0</v>
      </c>
      <c r="AV20" s="101">
        <f>(A1_A_L22*Enmiendas_A)+(A1_B_L22*Enmiendas_B)+(A1_C_L22*Enmiendas_C)+(A1_D_L22*Enmiendas_D)+(A1_Y_L22*Enmiendas_Y)</f>
        <v>0</v>
      </c>
      <c r="AW20" s="101">
        <f>SUMIFS('9'!$E:$E,'9'!$A:$A,Año_Inicial,'9'!$B:$B,'11'!AV$4,'9'!$D:$D,"Material de enmienda")</f>
        <v>0</v>
      </c>
      <c r="AX20" s="101">
        <f>(A1_A_L23*Enmiendas_A)+(A1_B_L23*Enmiendas_B)+(A1_C_L23*Enmiendas_C)+(A1_D_L23*Enmiendas_D)+(A1_Y_L23*Enmiendas_Y)</f>
        <v>0</v>
      </c>
      <c r="AY20" s="101">
        <f>SUMIFS('9'!$E:$E,'9'!$A:$A,Año_Inicial,'9'!$B:$B,'11'!AX$4,'9'!$D:$D,"Material de enmienda")</f>
        <v>0</v>
      </c>
      <c r="AZ20" s="101">
        <f>(A1_A_L24*Enmiendas_A)+(A1_B_L24*Enmiendas_B)+(A1_C_L24*Enmiendas_C)+(A1_D_L24*Enmiendas_D)+(A1_Y_L24*Enmiendas_Y)</f>
        <v>0</v>
      </c>
      <c r="BA20" s="101">
        <f>SUMIFS('9'!$E:$E,'9'!$A:$A,Año_Inicial,'9'!$B:$B,'11'!AZ$4,'9'!$D:$D,"Material de enmienda")</f>
        <v>0</v>
      </c>
      <c r="BB20" s="101">
        <f>(A1_A_L25*Enmiendas_A)+(A1_B_L25*Enmiendas_B)+(A1_C_L25*Enmiendas_C)+(A1_D_L25*Enmiendas_D)+(A1_Y_L25*Enmiendas_Y)</f>
        <v>0</v>
      </c>
      <c r="BC20" s="101">
        <f>SUMIFS('9'!$E:$E,'9'!$A:$A,Año_Inicial,'9'!$B:$B,'11'!BB$4,'9'!$D:$D,"Material de enmienda")</f>
        <v>0</v>
      </c>
      <c r="BD20" s="101">
        <f>(A1_A_L26*Enmiendas_A)+(A1_B_L26*Enmiendas_B)+(A1_C_L26*Enmiendas_C)+(A1_D_L26*Enmiendas_D)+(A1_Y_L26*Enmiendas_Y)</f>
        <v>0</v>
      </c>
      <c r="BE20" s="101">
        <f>SUMIFS('9'!$E:$E,'9'!$A:$A,Año_Inicial,'9'!$B:$B,'11'!BD$4,'9'!$D:$D,"Material de enmienda")</f>
        <v>0</v>
      </c>
      <c r="BF20" s="101">
        <f>(A1_A_L27*Enmiendas_A)+(A1_B_L27*Enmiendas_B)+(A1_C_L27*Enmiendas_C)+(A1_D_L27*Enmiendas_D)+(A1_Y_L27*Enmiendas_Y)</f>
        <v>0</v>
      </c>
      <c r="BG20" s="101">
        <f>SUMIFS('9'!$E:$E,'9'!$A:$A,Año_Inicial,'9'!$B:$B,'11'!BF$4,'9'!$D:$D,"Material de enmienda")</f>
        <v>0</v>
      </c>
      <c r="BH20" s="101">
        <f>(A1_A_L28*Enmiendas_A)+(A1_B_L28*Enmiendas_B)+(A1_C_L28*Enmiendas_C)+(A1_D_L28*Enmiendas_D)+(A1_Y_L28*Enmiendas_Y)</f>
        <v>0</v>
      </c>
      <c r="BI20" s="101">
        <f>SUMIFS('9'!$E:$E,'9'!$A:$A,Año_Inicial,'9'!$B:$B,'11'!BH$4,'9'!$D:$D,"Material de enmienda")</f>
        <v>0</v>
      </c>
      <c r="BJ20" s="101">
        <f>(A1_A_L29*Enmiendas_A)+(A1_B_L29*Enmiendas_B)+(A1_C_L29*Enmiendas_C)+(A1_D_L29*Enmiendas_D)+(A1_Y_L29*Enmiendas_Y)</f>
        <v>0</v>
      </c>
      <c r="BK20" s="101">
        <f>SUMIFS('9'!$E:$E,'9'!$A:$A,Año_Inicial,'9'!$B:$B,'11'!BJ$4,'9'!$D:$D,"Material de enmienda")</f>
        <v>0</v>
      </c>
      <c r="BL20" s="101">
        <f>(A1_A_L30*Enmiendas_A)+(A1_B_L30*Enmiendas_B)+(A1_C_L30*Enmiendas_C)+(A1_D_L30*Enmiendas_D)+(A1_Y_L30*Enmiendas_Y)</f>
        <v>0</v>
      </c>
      <c r="BM20" s="101">
        <f>SUMIFS('9'!$E:$E,'9'!$A:$A,Año_Inicial,'9'!$B:$B,'11'!BL$4,'9'!$D:$D,"Material de enmienda")</f>
        <v>0</v>
      </c>
      <c r="BN20" s="101">
        <f>(A1_A_L31*Enmiendas_A)+(A1_B_L31*Enmiendas_B)+(A1_C_L31*Enmiendas_C)+(A1_D_L31*Enmiendas_D)+(A1_Y_L31*Enmiendas_Y)</f>
        <v>0</v>
      </c>
      <c r="BO20" s="101">
        <f>SUMIFS('9'!$E:$E,'9'!$A:$A,Año_Inicial,'9'!$B:$B,'11'!BN$4,'9'!$D:$D,"Material de enmienda")</f>
        <v>0</v>
      </c>
      <c r="BP20" s="101">
        <f>(A1_A_L32*Enmiendas_A)+(A1_B_L32*Enmiendas_B)+(A1_C_L32*Enmiendas_C)+(A1_D_L32*Enmiendas_D)+(A1_Y_L32*Enmiendas_Y)</f>
        <v>0</v>
      </c>
      <c r="BQ20" s="101">
        <f>SUMIFS('9'!$E:$E,'9'!$A:$A,Año_Inicial,'9'!$B:$B,'11'!BP$4,'9'!$D:$D,"Material de enmienda")</f>
        <v>0</v>
      </c>
      <c r="BR20" s="101">
        <f>(A1_A_L33*Enmiendas_A)+(A1_B_L33*Enmiendas_B)+(A1_C_L33*Enmiendas_C)+(A1_D_L33*Enmiendas_D)+(A1_Y_L33*Enmiendas_Y)</f>
        <v>0</v>
      </c>
      <c r="BS20" s="101">
        <f>SUMIFS('9'!$E:$E,'9'!$A:$A,Año_Inicial,'9'!$B:$B,'11'!BR$4,'9'!$D:$D,"Material de enmienda")</f>
        <v>0</v>
      </c>
      <c r="BT20" s="101">
        <f>(A1_A_L34*Enmiendas_A)+(A1_B_L34*Enmiendas_B)+(A1_C_L34*Enmiendas_C)+(A1_D_L34*Enmiendas_D)+(A1_Y_L34*Enmiendas_Y)</f>
        <v>0</v>
      </c>
      <c r="BU20" s="101">
        <f>SUMIFS('9'!$E:$E,'9'!$A:$A,Año_Inicial,'9'!$B:$B,'11'!BT$4,'9'!$D:$D,"Material de enmienda")</f>
        <v>0</v>
      </c>
      <c r="BV20" s="101">
        <f>(A1_A_L35*Enmiendas_A)+(A1_B_L35*Enmiendas_B)+(A1_C_L35*Enmiendas_C)+(A1_D_L35*Enmiendas_D)+(A1_Y_L35*Enmiendas_Y)</f>
        <v>0</v>
      </c>
      <c r="BW20" s="101">
        <f>SUMIFS('9'!$E:$E,'9'!$A:$A,Año_Inicial,'9'!$B:$B,'11'!BV$4,'9'!$D:$D,"Material de enmienda")</f>
        <v>0</v>
      </c>
      <c r="BX20" s="101">
        <f>(A1_A_L36*Enmiendas_A)+(A1_B_L36*Enmiendas_B)+(A1_C_L36*Enmiendas_C)+(A1_D_L36*Enmiendas_D)+(A1_Y_L36*Enmiendas_Y)</f>
        <v>0</v>
      </c>
      <c r="BY20" s="101">
        <f>SUMIFS('9'!$E:$E,'9'!$A:$A,Año_Inicial,'9'!$B:$B,'11'!BX$4,'9'!$D:$D,"Material de enmienda")</f>
        <v>0</v>
      </c>
      <c r="BZ20" s="101">
        <f>(A1_A_L37*Enmiendas_A)+(A1_B_L37*Enmiendas_B)+(A1_C_L37*Enmiendas_C)+(A1_D_L37*Enmiendas_D)+(A1_Y_L37*Enmiendas_Y)</f>
        <v>0</v>
      </c>
      <c r="CA20" s="101">
        <f>SUMIFS('9'!$E:$E,'9'!$A:$A,Año_Inicial,'9'!$B:$B,'11'!BZ$4,'9'!$D:$D,"Material de enmienda")</f>
        <v>0</v>
      </c>
      <c r="CB20" s="101">
        <f>(A1_A_L38*Enmiendas_A)+(A1_B_L38*Enmiendas_B)+(A1_C_L38*Enmiendas_C)+(A1_D_L38*Enmiendas_D)+(A1_Y_L38*Enmiendas_Y)</f>
        <v>0</v>
      </c>
      <c r="CC20" s="101">
        <f>SUMIFS('9'!$E:$E,'9'!$A:$A,Año_Inicial,'9'!$B:$B,'11'!CB$4,'9'!$D:$D,"Material de enmienda")</f>
        <v>0</v>
      </c>
      <c r="CD20" s="101">
        <f>(A1_A_L39*Enmiendas_A)+(A1_B_L39*Enmiendas_B)+(A1_C_L39*Enmiendas_C)+(A1_D_L39*Enmiendas_D)+(A1_Y_L39*Enmiendas_Y)</f>
        <v>0</v>
      </c>
      <c r="CE20" s="101">
        <f>SUMIFS('9'!$E:$E,'9'!$A:$A,Año_Inicial,'9'!$B:$B,'11'!CD$4,'9'!$D:$D,"Material de enmienda")</f>
        <v>0</v>
      </c>
      <c r="CF20" s="101">
        <f>(A1_A_L40*Enmiendas_A)+(A1_B_L40*Enmiendas_B)+(A1_C_L40*Enmiendas_C)+(A1_D_L40*Enmiendas_D)+(A1_Y_L40*Enmiendas_Y)</f>
        <v>0</v>
      </c>
      <c r="CG20" s="101">
        <f>SUMIFS('9'!$E:$E,'9'!$A:$A,Año_Inicial,'9'!$B:$B,'11'!CF$4,'9'!$D:$D,"Material de enmienda")</f>
        <v>0</v>
      </c>
      <c r="CH20" s="473"/>
      <c r="CI20" s="101">
        <f>Plantas_A_A1*Enmiendas_A</f>
        <v>0</v>
      </c>
      <c r="CJ20" s="101">
        <f>Plantas_B_A1*Enmiendas_B</f>
        <v>0</v>
      </c>
      <c r="CK20" s="101">
        <f>Plantas_C_A1*Enmiendas_C</f>
        <v>0</v>
      </c>
      <c r="CL20" s="101">
        <f>Plantas_D_A1*Enmiendas_D</f>
        <v>0</v>
      </c>
      <c r="CM20" s="101"/>
      <c r="CN20" s="101">
        <f>Plantas_Y_A1*Enmiendas_Y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68"/>
        <v>0</v>
      </c>
      <c r="C22" s="101">
        <f>SUMIFS('9'!$E:$E,'9'!$A:$A,Año_Inicial,'9'!$D:$D,"Aplicación de herbicida")</f>
        <v>0</v>
      </c>
      <c r="D22" s="100">
        <f t="shared" si="67"/>
        <v>0</v>
      </c>
      <c r="E22" s="473"/>
      <c r="F22" s="101">
        <f>(A1_A_L1*Malezas_A)+(A1_B_L1*Malezas_B)+(A1_C_L1*Malezas_C)+(A1_D_L1*Malezas_D)+(A1_Y_L1*Malezas_Y)</f>
        <v>0</v>
      </c>
      <c r="G22" s="101">
        <f>SUMIFS('9'!$E:$E,'9'!$A:$A,Año_Inicial,'9'!$B:$B,'11'!F$4,'9'!$D:$D,"Aplicación de herbicida")</f>
        <v>0</v>
      </c>
      <c r="H22" s="101">
        <f>(A1_A_L2*Malezas_A)+(A1_B_L2*Malezas_B)+(A1_C_L2*Malezas_C)+(A1_D_L2*Malezas_D)+(A1_Y_L2*Malezas_Y)</f>
        <v>0</v>
      </c>
      <c r="I22" s="101">
        <f>SUMIFS('9'!$E:$E,'9'!$A:$A,Año_Inicial,'9'!$B:$B,'11'!H$4,'9'!$D:$D,"Aplicación de herbicida")</f>
        <v>0</v>
      </c>
      <c r="J22" s="101">
        <f>(A1_A_L3*Malezas_A)+(A1_B_L3*Malezas_B)+(A1_C_L3*Malezas_C)+(A1_D_L3*Malezas_D)+(A1_Y_L3*Malezas_Y)</f>
        <v>0</v>
      </c>
      <c r="K22" s="101">
        <f>SUMIFS('9'!$E:$E,'9'!$A:$A,Año_Inicial,'9'!$B:$B,'11'!J$4,'9'!$D:$D,"Aplicación de herbicida")</f>
        <v>0</v>
      </c>
      <c r="L22" s="101">
        <f>(A1_A_L4*Malezas_A)+(A1_B_L4*Malezas_B)+(A1_C_L4*Malezas_C)+(A1_D_L4*Malezas_D)+(A1_Y_L4*Malezas_Y)</f>
        <v>0</v>
      </c>
      <c r="M22" s="101">
        <f>SUMIFS('9'!$E:$E,'9'!$A:$A,Año_Inicial,'9'!$B:$B,'11'!L$4,'9'!$D:$D,"Aplicación de herbicida")</f>
        <v>0</v>
      </c>
      <c r="N22" s="101">
        <f>(A1_A_L5*Malezas_A)+(A1_B_L5*Malezas_B)+(A1_C_L5*Malezas_C)+(A1_D_L5*Malezas_D)+(A1_Y_L5*Malezas_Y)</f>
        <v>0</v>
      </c>
      <c r="O22" s="101">
        <f>SUMIFS('9'!$E:$E,'9'!$A:$A,Año_Inicial,'9'!$B:$B,'11'!N$4,'9'!$D:$D,"Aplicación de herbicida")</f>
        <v>0</v>
      </c>
      <c r="P22" s="101">
        <f>(A1_A_L6*Malezas_A)+(A1_B_L6*Malezas_B)+(A1_C_L6*Malezas_C)+(A1_D_L6*Malezas_D)+(A1_Y_L6*Malezas_Y)</f>
        <v>0</v>
      </c>
      <c r="Q22" s="101">
        <f>SUMIFS('9'!$E:$E,'9'!$A:$A,Año_Inicial,'9'!$B:$B,'11'!P$4,'9'!$D:$D,"Aplicación de herbicida")</f>
        <v>0</v>
      </c>
      <c r="R22" s="101">
        <f>(A1_A_L7*Malezas_A)+(A1_B_L7*Malezas_B)+(A1_C_L7*Malezas_C)+(A1_D_L7*Malezas_D)+(A1_Y_L7*Malezas_Y)</f>
        <v>0</v>
      </c>
      <c r="S22" s="101">
        <f>SUMIFS('9'!$E:$E,'9'!$A:$A,Año_Inicial,'9'!$B:$B,'11'!R$4,'9'!$D:$D,"Aplicación de herbicida")</f>
        <v>0</v>
      </c>
      <c r="T22" s="101">
        <f>(A1_A_L8*Malezas_A)+(A1_B_L8*Malezas_B)+(A1_C_L8*Malezas_C)+(A1_D_L8*Malezas_D)+(A1_Y_L8*Malezas_Y)</f>
        <v>0</v>
      </c>
      <c r="U22" s="101">
        <f>SUMIFS('9'!$E:$E,'9'!$A:$A,Año_Inicial,'9'!$B:$B,'11'!T$4,'9'!$D:$D,"Aplicación de herbicida")</f>
        <v>0</v>
      </c>
      <c r="V22" s="101">
        <f>(A1_A_L9*Malezas_A)+(A1_B_L9*Malezas_B)+(A1_C_L9*Malezas_C)+(A1_D_L9*Malezas_D)+(A1_Y_L9*Malezas_Y)</f>
        <v>0</v>
      </c>
      <c r="W22" s="101">
        <f>SUMIFS('9'!$E:$E,'9'!$A:$A,Año_Inicial,'9'!$B:$B,'11'!V$4,'9'!$D:$D,"Aplicación de herbicida")</f>
        <v>0</v>
      </c>
      <c r="X22" s="101">
        <f>(A1_A_L10*Malezas_A)+(A1_B_L10*Malezas_B)+(A1_C_L10*Malezas_C)+(A1_D_L10*Malezas_D)+(A1_Y_L10*Malezas_Y)</f>
        <v>0</v>
      </c>
      <c r="Y22" s="101">
        <f>SUMIFS('9'!$E:$E,'9'!$A:$A,Año_Inicial,'9'!$B:$B,'11'!X$4,'9'!$D:$D,"Aplicación de herbicida")</f>
        <v>0</v>
      </c>
      <c r="Z22" s="101">
        <f>(A1_A_L11*Malezas_A)+(A1_B_L11*Malezas_B)+(A1_C_L11*Malezas_C)+(A1_D_L11*Malezas_D)+(A1_Y_L11*Malezas_Y)</f>
        <v>0</v>
      </c>
      <c r="AA22" s="101">
        <f>SUMIFS('9'!$E:$E,'9'!$A:$A,Año_Inicial,'9'!$B:$B,'11'!Z$4,'9'!$D:$D,"Aplicación de herbicida")</f>
        <v>0</v>
      </c>
      <c r="AB22" s="101">
        <f>(A1_A_L12*Malezas_A)+(A1_B_L12*Malezas_B)+(A1_C_L12*Malezas_C)+(A1_D_L12*Malezas_D)+(A1_Y_L12*Malezas_Y)</f>
        <v>0</v>
      </c>
      <c r="AC22" s="101">
        <f>SUMIFS('9'!$E:$E,'9'!$A:$A,Año_Inicial,'9'!$B:$B,'11'!AB$4,'9'!$D:$D,"Aplicación de herbicida")</f>
        <v>0</v>
      </c>
      <c r="AD22" s="101">
        <f>(A1_A_L13*Malezas_A)+(A1_B_L13*Malezas_B)+(A1_C_L13*Malezas_C)+(A1_D_L13*Malezas_D)+(A1_Y_L13*Malezas_Y)</f>
        <v>0</v>
      </c>
      <c r="AE22" s="101">
        <f>SUMIFS('9'!$E:$E,'9'!$A:$A,Año_Inicial,'9'!$B:$B,'11'!AD$4,'9'!$D:$D,"Aplicación de herbicida")</f>
        <v>0</v>
      </c>
      <c r="AF22" s="101">
        <f>(A1_A_L14*Malezas_A)+(A1_B_L14*Malezas_B)+(A1_C_L14*Malezas_C)+(A1_D_L14*Malezas_D)+(A1_Y_L14*Malezas_Y)</f>
        <v>0</v>
      </c>
      <c r="AG22" s="101">
        <f>SUMIFS('9'!$E:$E,'9'!$A:$A,Año_Inicial,'9'!$B:$B,'11'!AF$4,'9'!$D:$D,"Aplicación de herbicida")</f>
        <v>0</v>
      </c>
      <c r="AH22" s="101">
        <f>(A1_A_L15*Malezas_A)+(A1_B_L15*Malezas_B)+(A1_C_L15*Malezas_C)+(A1_D_L15*Malezas_D)+(A1_Y_L15*Malezas_Y)</f>
        <v>0</v>
      </c>
      <c r="AI22" s="101">
        <f>SUMIFS('9'!$E:$E,'9'!$A:$A,Año_Inicial,'9'!$B:$B,'11'!AH$4,'9'!$D:$D,"Aplicación de herbicida")</f>
        <v>0</v>
      </c>
      <c r="AJ22" s="101">
        <f>(A1_A_L16*Malezas_A)+(A1_B_L16*Malezas_B)+(A1_C_L16*Malezas_C)+(A1_D_L16*Malezas_D)+(A1_Y_L16*Malezas_Y)</f>
        <v>0</v>
      </c>
      <c r="AK22" s="101">
        <f>SUMIFS('9'!$E:$E,'9'!$A:$A,Año_Inicial,'9'!$B:$B,'11'!AJ$4,'9'!$D:$D,"Aplicación de herbicida")</f>
        <v>0</v>
      </c>
      <c r="AL22" s="101">
        <f>(A1_A_L17*Malezas_A)+(A1_B_L17*Malezas_B)+(A1_C_L17*Malezas_C)+(A1_D_L17*Malezas_D)+(A1_Y_L17*Malezas_Y)</f>
        <v>0</v>
      </c>
      <c r="AM22" s="101">
        <f>SUMIFS('9'!$E:$E,'9'!$A:$A,Año_Inicial,'9'!$B:$B,'11'!AL$4,'9'!$D:$D,"Aplicación de herbicida")</f>
        <v>0</v>
      </c>
      <c r="AN22" s="101">
        <f>(A1_A_L18*Malezas_A)+(A1_B_L18*Malezas_B)+(A1_C_L18*Malezas_C)+(A1_D_L18*Malezas_D)+(A1_Y_L18*Malezas_Y)</f>
        <v>0</v>
      </c>
      <c r="AO22" s="101">
        <f>SUMIFS('9'!$E:$E,'9'!$A:$A,Año_Inicial,'9'!$B:$B,'11'!AN$4,'9'!$D:$D,"Aplicación de herbicida")</f>
        <v>0</v>
      </c>
      <c r="AP22" s="101">
        <f>(A1_A_L19*Malezas_A)+(A1_B_L19*Malezas_B)+(A1_C_L19*Malezas_C)+(A1_D_L19*Malezas_D)+(A1_Y_L19*Malezas_Y)</f>
        <v>0</v>
      </c>
      <c r="AQ22" s="101">
        <f>SUMIFS('9'!$E:$E,'9'!$A:$A,Año_Inicial,'9'!$B:$B,'11'!AP$4,'9'!$D:$D,"Aplicación de herbicida")</f>
        <v>0</v>
      </c>
      <c r="AR22" s="101">
        <f>(A1_A_L20*Malezas_A)+(A1_B_L20*Malezas_B)+(A1_C_L20*Malezas_C)+(A1_D_L20*Malezas_D)+(A1_Y_L20*Malezas_Y)</f>
        <v>0</v>
      </c>
      <c r="AS22" s="101">
        <f>SUMIFS('9'!$E:$E,'9'!$A:$A,Año_Inicial,'9'!$B:$B,'11'!AR$4,'9'!$D:$D,"Aplicación de herbicida")</f>
        <v>0</v>
      </c>
      <c r="AT22" s="101">
        <f>(A1_A_L21*Malezas_A)+(A1_B_L21*Malezas_B)+(A1_C_L21*Malezas_C)+(A1_D_L21*Malezas_D)+(A1_Y_L21*Malezas_Y)</f>
        <v>0</v>
      </c>
      <c r="AU22" s="101">
        <f>SUMIFS('9'!$E:$E,'9'!$A:$A,Año_Inicial,'9'!$B:$B,'11'!AT$4,'9'!$D:$D,"Aplicación de herbicida")</f>
        <v>0</v>
      </c>
      <c r="AV22" s="101">
        <f>(A1_A_L22*Malezas_A)+(A1_B_L22*Malezas_B)+(A1_C_L22*Malezas_C)+(A1_D_L22*Malezas_D)+(A1_Y_L22*Malezas_Y)</f>
        <v>0</v>
      </c>
      <c r="AW22" s="101">
        <f>SUMIFS('9'!$E:$E,'9'!$A:$A,Año_Inicial,'9'!$B:$B,'11'!AV$4,'9'!$D:$D,"Aplicación de herbicida")</f>
        <v>0</v>
      </c>
      <c r="AX22" s="101">
        <f>(A1_A_L23*Malezas_A)+(A1_B_L23*Malezas_B)+(A1_C_L23*Malezas_C)+(A1_D_L23*Malezas_D)+(A1_Y_L23*Malezas_Y)</f>
        <v>0</v>
      </c>
      <c r="AY22" s="101">
        <f>SUMIFS('9'!$E:$E,'9'!$A:$A,Año_Inicial,'9'!$B:$B,'11'!AX$4,'9'!$D:$D,"Aplicación de herbicida")</f>
        <v>0</v>
      </c>
      <c r="AZ22" s="101">
        <f>(A1_A_L24*Malezas_A)+(A1_B_L24*Malezas_B)+(A1_C_L24*Malezas_C)+(A1_D_L24*Malezas_D)+(A1_Y_L24*Malezas_Y)</f>
        <v>0</v>
      </c>
      <c r="BA22" s="101">
        <f>SUMIFS('9'!$E:$E,'9'!$A:$A,Año_Inicial,'9'!$B:$B,'11'!AZ$4,'9'!$D:$D,"Aplicación de herbicida")</f>
        <v>0</v>
      </c>
      <c r="BB22" s="101">
        <f>(A1_A_L25*Malezas_A)+(A1_B_L25*Malezas_B)+(A1_C_L25*Malezas_C)+(A1_D_L25*Malezas_D)+(A1_Y_L25*Malezas_Y)</f>
        <v>0</v>
      </c>
      <c r="BC22" s="101">
        <f>SUMIFS('9'!$E:$E,'9'!$A:$A,Año_Inicial,'9'!$B:$B,'11'!BB$4,'9'!$D:$D,"Aplicación de herbicida")</f>
        <v>0</v>
      </c>
      <c r="BD22" s="101">
        <f>(A1_A_L26*Malezas_A)+(A1_B_L26*Malezas_B)+(A1_C_L26*Malezas_C)+(A1_D_L26*Malezas_D)+(A1_Y_L26*Malezas_Y)</f>
        <v>0</v>
      </c>
      <c r="BE22" s="101">
        <f>SUMIFS('9'!$E:$E,'9'!$A:$A,Año_Inicial,'9'!$B:$B,'11'!BD$4,'9'!$D:$D,"Aplicación de herbicida")</f>
        <v>0</v>
      </c>
      <c r="BF22" s="101">
        <f>(A1_A_L27*Malezas_A)+(A1_B_L27*Malezas_B)+(A1_C_L27*Malezas_C)+(A1_D_L27*Malezas_D)+(A1_Y_L27*Malezas_Y)</f>
        <v>0</v>
      </c>
      <c r="BG22" s="101">
        <f>SUMIFS('9'!$E:$E,'9'!$A:$A,Año_Inicial,'9'!$B:$B,'11'!BF$4,'9'!$D:$D,"Aplicación de herbicida")</f>
        <v>0</v>
      </c>
      <c r="BH22" s="101">
        <f>(A1_A_L28*Malezas_A)+(A1_B_L28*Malezas_B)+(A1_C_L28*Malezas_C)+(A1_D_L28*Malezas_D)+(A1_Y_L28*Malezas_Y)</f>
        <v>0</v>
      </c>
      <c r="BI22" s="101">
        <f>SUMIFS('9'!$E:$E,'9'!$A:$A,Año_Inicial,'9'!$B:$B,'11'!BH$4,'9'!$D:$D,"Aplicación de herbicida")</f>
        <v>0</v>
      </c>
      <c r="BJ22" s="101">
        <f>(A1_A_L29*Malezas_A)+(A1_B_L29*Malezas_B)+(A1_C_L29*Malezas_C)+(A1_D_L29*Malezas_D)+(A1_Y_L29*Malezas_Y)</f>
        <v>0</v>
      </c>
      <c r="BK22" s="101">
        <f>SUMIFS('9'!$E:$E,'9'!$A:$A,Año_Inicial,'9'!$B:$B,'11'!BJ$4,'9'!$D:$D,"Aplicación de herbicida")</f>
        <v>0</v>
      </c>
      <c r="BL22" s="101">
        <f>(A1_A_L30*Malezas_A)+(A1_B_L30*Malezas_B)+(A1_C_L30*Malezas_C)+(A1_D_L30*Malezas_D)+(A1_Y_L30*Malezas_Y)</f>
        <v>0</v>
      </c>
      <c r="BM22" s="101">
        <f>SUMIFS('9'!$E:$E,'9'!$A:$A,Año_Inicial,'9'!$B:$B,'11'!BL$4,'9'!$D:$D,"Aplicación de herbicida")</f>
        <v>0</v>
      </c>
      <c r="BN22" s="101">
        <f>(A1_A_L31*Malezas_A)+(A1_B_L31*Malezas_B)+(A1_C_L31*Malezas_C)+(A1_D_L31*Malezas_D)+(A1_Y_L31*Malezas_Y)</f>
        <v>0</v>
      </c>
      <c r="BO22" s="101">
        <f>SUMIFS('9'!$E:$E,'9'!$A:$A,Año_Inicial,'9'!$B:$B,'11'!BN$4,'9'!$D:$D,"Aplicación de herbicida")</f>
        <v>0</v>
      </c>
      <c r="BP22" s="101">
        <f>(A1_A_L32*Malezas_A)+(A1_B_L32*Malezas_B)+(A1_C_L32*Malezas_C)+(A1_D_L32*Malezas_D)+(A1_Y_L32*Malezas_Y)</f>
        <v>0</v>
      </c>
      <c r="BQ22" s="101">
        <f>SUMIFS('9'!$E:$E,'9'!$A:$A,Año_Inicial,'9'!$B:$B,'11'!BP$4,'9'!$D:$D,"Aplicación de herbicida")</f>
        <v>0</v>
      </c>
      <c r="BR22" s="101">
        <f>(A1_A_L33*Malezas_A)+(A1_B_L33*Malezas_B)+(A1_C_L33*Malezas_C)+(A1_D_L33*Malezas_D)+(A1_Y_L33*Malezas_Y)</f>
        <v>0</v>
      </c>
      <c r="BS22" s="101">
        <f>SUMIFS('9'!$E:$E,'9'!$A:$A,Año_Inicial,'9'!$B:$B,'11'!BR$4,'9'!$D:$D,"Aplicación de herbicida")</f>
        <v>0</v>
      </c>
      <c r="BT22" s="101">
        <f>(A1_A_L34*Malezas_A)+(A1_B_L34*Malezas_B)+(A1_C_L34*Malezas_C)+(A1_D_L34*Malezas_D)+(A1_Y_L34*Malezas_Y)</f>
        <v>0</v>
      </c>
      <c r="BU22" s="101">
        <f>SUMIFS('9'!$E:$E,'9'!$A:$A,Año_Inicial,'9'!$B:$B,'11'!BT$4,'9'!$D:$D,"Aplicación de herbicida")</f>
        <v>0</v>
      </c>
      <c r="BV22" s="101">
        <f>(A1_A_L35*Malezas_A)+(A1_B_L35*Malezas_B)+(A1_C_L35*Malezas_C)+(A1_D_L35*Malezas_D)+(A1_Y_L35*Malezas_Y)</f>
        <v>0</v>
      </c>
      <c r="BW22" s="101">
        <f>SUMIFS('9'!$E:$E,'9'!$A:$A,Año_Inicial,'9'!$B:$B,'11'!BV$4,'9'!$D:$D,"Aplicación de herbicida")</f>
        <v>0</v>
      </c>
      <c r="BX22" s="101">
        <f>(A1_A_L36*Malezas_A)+(A1_B_L36*Malezas_B)+(A1_C_L36*Malezas_C)+(A1_D_L36*Malezas_D)+(A1_Y_L36*Malezas_Y)</f>
        <v>0</v>
      </c>
      <c r="BY22" s="101">
        <f>SUMIFS('9'!$E:$E,'9'!$A:$A,Año_Inicial,'9'!$B:$B,'11'!BX$4,'9'!$D:$D,"Aplicación de herbicida")</f>
        <v>0</v>
      </c>
      <c r="BZ22" s="101">
        <f>(A1_A_L37*Malezas_A)+(A1_B_L37*Malezas_B)+(A1_C_L37*Malezas_C)+(A1_D_L37*Malezas_D)+(A1_Y_L37*Malezas_Y)</f>
        <v>0</v>
      </c>
      <c r="CA22" s="101">
        <f>SUMIFS('9'!$E:$E,'9'!$A:$A,Año_Inicial,'9'!$B:$B,'11'!BZ$4,'9'!$D:$D,"Aplicación de herbicida")</f>
        <v>0</v>
      </c>
      <c r="CB22" s="101">
        <f>(A1_A_L38*Malezas_A)+(A1_B_L38*Malezas_B)+(A1_C_L38*Malezas_C)+(A1_D_L38*Malezas_D)+(A1_Y_L38*Malezas_Y)</f>
        <v>0</v>
      </c>
      <c r="CC22" s="101">
        <f>SUMIFS('9'!$E:$E,'9'!$A:$A,Año_Inicial,'9'!$B:$B,'11'!CB$4,'9'!$D:$D,"Aplicación de herbicida")</f>
        <v>0</v>
      </c>
      <c r="CD22" s="101">
        <f>(A1_A_L39*Malezas_A)+(A1_B_L39*Malezas_B)+(A1_C_L39*Malezas_C)+(A1_D_L39*Malezas_D)+(A1_Y_L39*Malezas_Y)</f>
        <v>0</v>
      </c>
      <c r="CE22" s="101">
        <f>SUMIFS('9'!$E:$E,'9'!$A:$A,Año_Inicial,'9'!$B:$B,'11'!CD$4,'9'!$D:$D,"Aplicación de herbicida")</f>
        <v>0</v>
      </c>
      <c r="CF22" s="101">
        <f>(A1_A_L40*Malezas_A)+(A1_B_L40*Malezas_B)+(A1_C_L40*Malezas_C)+(A1_D_L40*Malezas_D)+(A1_Y_L40*Malezas_Y)</f>
        <v>0</v>
      </c>
      <c r="CG22" s="101">
        <f>SUMIFS('9'!$E:$E,'9'!$A:$A,Año_Inicial,'9'!$B:$B,'11'!CF$4,'9'!$D:$D,"Aplicación de herbicida")</f>
        <v>0</v>
      </c>
      <c r="CH22" s="473"/>
      <c r="CI22" s="101">
        <f>Plantas_A_A1*Malezas_A</f>
        <v>0</v>
      </c>
      <c r="CJ22" s="101">
        <f>Plantas_B_A1*Malezas_B</f>
        <v>0</v>
      </c>
      <c r="CK22" s="101">
        <f>Plantas_C_A1*Malezas_C</f>
        <v>0</v>
      </c>
      <c r="CL22" s="101">
        <f>Plantas_D_A1*Malezas_D</f>
        <v>0</v>
      </c>
      <c r="CM22" s="101"/>
      <c r="CN22" s="101">
        <f>Plantas_Y_A1*Malezas_Y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68"/>
        <v>0</v>
      </c>
      <c r="C23" s="101">
        <f>SUMIFS('9'!$E:$E,'9'!$A:$A,Año_Inicial,'9'!$D:$D,"Limpias manuales")</f>
        <v>0</v>
      </c>
      <c r="D23" s="100">
        <f t="shared" si="67"/>
        <v>0</v>
      </c>
      <c r="E23" s="473"/>
      <c r="F23" s="101">
        <f>(A1_A_L1*Limpias_A)+(A1_B_L1*Limpias_B)+(A1_C_L1*Limpias_C)+(A1_D_L1*Limpias_D)+(A1_Y_L1*Limpias_Y)</f>
        <v>0</v>
      </c>
      <c r="G23" s="101">
        <f>SUMIFS('9'!$E:$E,'9'!$A:$A,Año_Inicial,'9'!$B:$B,'11'!F$4,'9'!$D:$D,"Limpias manuales")</f>
        <v>0</v>
      </c>
      <c r="H23" s="101">
        <f>(A1_A_L2*Limpias_A)+(A1_B_L2*Limpias_B)+(A1_C_L2*Limpias_C)+(A1_D_L2*Limpias_D)+(A1_Y_L2*Limpias_Y)</f>
        <v>0</v>
      </c>
      <c r="I23" s="101">
        <f>SUMIFS('9'!$E:$E,'9'!$A:$A,Año_Inicial,'9'!$B:$B,'11'!H$4,'9'!$D:$D,"Limpias manuales")</f>
        <v>0</v>
      </c>
      <c r="J23" s="101">
        <f>(A1_A_L3*Limpias_A)+(A1_B_L3*Limpias_B)+(A1_C_L3*Limpias_C)+(A1_D_L3*Limpias_D)+(A1_Y_L3*Limpias_Y)</f>
        <v>0</v>
      </c>
      <c r="K23" s="101">
        <f>SUMIFS('9'!$E:$E,'9'!$A:$A,Año_Inicial,'9'!$B:$B,'11'!J$4,'9'!$D:$D,"Limpias manuales")</f>
        <v>0</v>
      </c>
      <c r="L23" s="101">
        <f>(A1_A_L4*Limpias_A)+(A1_B_L4*Limpias_B)+(A1_C_L4*Limpias_C)+(A1_D_L4*Limpias_D)+(A1_Y_L4*Limpias_Y)</f>
        <v>0</v>
      </c>
      <c r="M23" s="101">
        <f>SUMIFS('9'!$E:$E,'9'!$A:$A,Año_Inicial,'9'!$B:$B,'11'!L$4,'9'!$D:$D,"Limpias manuales")</f>
        <v>0</v>
      </c>
      <c r="N23" s="101">
        <f>(A1_A_L5*Limpias_A)+(A1_B_L5*Limpias_B)+(A1_C_L5*Limpias_C)+(A1_D_L5*Limpias_D)+(A1_Y_L5*Limpias_Y)</f>
        <v>0</v>
      </c>
      <c r="O23" s="101">
        <f>SUMIFS('9'!$E:$E,'9'!$A:$A,Año_Inicial,'9'!$B:$B,'11'!N$4,'9'!$D:$D,"Limpias manuales")</f>
        <v>0</v>
      </c>
      <c r="P23" s="101">
        <f>(A1_A_L6*Limpias_A)+(A1_B_L6*Limpias_B)+(A1_C_L6*Limpias_C)+(A1_D_L6*Limpias_D)+(A1_Y_L6*Limpias_Y)</f>
        <v>0</v>
      </c>
      <c r="Q23" s="101">
        <f>SUMIFS('9'!$E:$E,'9'!$A:$A,Año_Inicial,'9'!$B:$B,'11'!P$4,'9'!$D:$D,"Limpias manuales")</f>
        <v>0</v>
      </c>
      <c r="R23" s="101">
        <f>(A1_A_L7*Limpias_A)+(A1_B_L7*Limpias_B)+(A1_C_L7*Limpias_C)+(A1_D_L7*Limpias_D)+(A1_Y_L7*Limpias_Y)</f>
        <v>0</v>
      </c>
      <c r="S23" s="101">
        <f>SUMIFS('9'!$E:$E,'9'!$A:$A,Año_Inicial,'9'!$B:$B,'11'!R$4,'9'!$D:$D,"Limpias manuales")</f>
        <v>0</v>
      </c>
      <c r="T23" s="101">
        <f>(A1_A_L8*Limpias_A)+(A1_B_L8*Limpias_B)+(A1_C_L8*Limpias_C)+(A1_D_L8*Limpias_D)+(A1_Y_L8*Limpias_Y)</f>
        <v>0</v>
      </c>
      <c r="U23" s="101">
        <f>SUMIFS('9'!$E:$E,'9'!$A:$A,Año_Inicial,'9'!$B:$B,'11'!T$4,'9'!$D:$D,"Limpias manuales")</f>
        <v>0</v>
      </c>
      <c r="V23" s="101">
        <f>(A1_A_L9*Limpias_A)+(A1_B_L9*Limpias_B)+(A1_C_L9*Limpias_C)+(A1_D_L9*Limpias_D)+(A1_Y_L9*Limpias_Y)</f>
        <v>0</v>
      </c>
      <c r="W23" s="101">
        <f>SUMIFS('9'!$E:$E,'9'!$A:$A,Año_Inicial,'9'!$B:$B,'11'!V$4,'9'!$D:$D,"Limpias manuales")</f>
        <v>0</v>
      </c>
      <c r="X23" s="101">
        <f>(A1_A_L10*Limpias_A)+(A1_B_L10*Limpias_B)+(A1_C_L10*Limpias_C)+(A1_D_L10*Limpias_D)+(A1_Y_L10*Limpias_Y)</f>
        <v>0</v>
      </c>
      <c r="Y23" s="101">
        <f>SUMIFS('9'!$E:$E,'9'!$A:$A,Año_Inicial,'9'!$B:$B,'11'!X$4,'9'!$D:$D,"Limpias manuales")</f>
        <v>0</v>
      </c>
      <c r="Z23" s="101">
        <f>(A1_A_L11*Limpias_A)+(A1_B_L11*Limpias_B)+(A1_C_L11*Limpias_C)+(A1_D_L11*Limpias_D)+(A1_Y_L11*Limpias_Y)</f>
        <v>0</v>
      </c>
      <c r="AA23" s="101">
        <f>SUMIFS('9'!$E:$E,'9'!$A:$A,Año_Inicial,'9'!$B:$B,'11'!Z$4,'9'!$D:$D,"Limpias manuales")</f>
        <v>0</v>
      </c>
      <c r="AB23" s="101">
        <f>(A1_A_L12*Limpias_A)+(A1_B_L12*Limpias_B)+(A1_C_L12*Limpias_C)+(A1_D_L12*Limpias_D)+(A1_Y_L12*Limpias_Y)</f>
        <v>0</v>
      </c>
      <c r="AC23" s="101">
        <f>SUMIFS('9'!$E:$E,'9'!$A:$A,Año_Inicial,'9'!$B:$B,'11'!AB$4,'9'!$D:$D,"Limpias manuales")</f>
        <v>0</v>
      </c>
      <c r="AD23" s="101">
        <f>(A1_A_L13*Limpias_A)+(A1_B_L13*Limpias_B)+(A1_C_L13*Limpias_C)+(A1_D_L13*Limpias_D)+(A1_Y_L13*Limpias_Y)</f>
        <v>0</v>
      </c>
      <c r="AE23" s="101">
        <f>SUMIFS('9'!$E:$E,'9'!$A:$A,Año_Inicial,'9'!$B:$B,'11'!AD$4,'9'!$D:$D,"Limpias manuales")</f>
        <v>0</v>
      </c>
      <c r="AF23" s="101">
        <f>(A1_A_L14*Limpias_A)+(A1_B_L14*Limpias_B)+(A1_C_L14*Limpias_C)+(A1_D_L14*Limpias_D)+(A1_Y_L14*Limpias_Y)</f>
        <v>0</v>
      </c>
      <c r="AG23" s="101">
        <f>SUMIFS('9'!$E:$E,'9'!$A:$A,Año_Inicial,'9'!$B:$B,'11'!AF$4,'9'!$D:$D,"Limpias manuales")</f>
        <v>0</v>
      </c>
      <c r="AH23" s="101">
        <f>(A1_A_L15*Limpias_A)+(A1_B_L15*Limpias_B)+(A1_C_L15*Limpias_C)+(A1_D_L15*Limpias_D)+(A1_Y_L15*Limpias_Y)</f>
        <v>0</v>
      </c>
      <c r="AI23" s="101">
        <f>SUMIFS('9'!$E:$E,'9'!$A:$A,Año_Inicial,'9'!$B:$B,'11'!AH$4,'9'!$D:$D,"Limpias manuales")</f>
        <v>0</v>
      </c>
      <c r="AJ23" s="101">
        <f>(A1_A_L16*Limpias_A)+(A1_B_L16*Limpias_B)+(A1_C_L16*Limpias_C)+(A1_D_L16*Limpias_D)+(A1_Y_L16*Limpias_Y)</f>
        <v>0</v>
      </c>
      <c r="AK23" s="101">
        <f>SUMIFS('9'!$E:$E,'9'!$A:$A,Año_Inicial,'9'!$B:$B,'11'!AJ$4,'9'!$D:$D,"Limpias manuales")</f>
        <v>0</v>
      </c>
      <c r="AL23" s="101">
        <f>(A1_A_L17*Limpias_A)+(A1_B_L17*Limpias_B)+(A1_C_L17*Limpias_C)+(A1_D_L17*Limpias_D)+(A1_Y_L17*Limpias_Y)</f>
        <v>0</v>
      </c>
      <c r="AM23" s="101">
        <f>SUMIFS('9'!$E:$E,'9'!$A:$A,Año_Inicial,'9'!$B:$B,'11'!AL$4,'9'!$D:$D,"Limpias manuales")</f>
        <v>0</v>
      </c>
      <c r="AN23" s="101">
        <f>(A1_A_L18*Limpias_A)+(A1_B_L18*Limpias_B)+(A1_C_L18*Limpias_C)+(A1_D_L18*Limpias_D)+(A1_Y_L18*Limpias_Y)</f>
        <v>0</v>
      </c>
      <c r="AO23" s="101">
        <f>SUMIFS('9'!$E:$E,'9'!$A:$A,Año_Inicial,'9'!$B:$B,'11'!AN$4,'9'!$D:$D,"Limpias manuales")</f>
        <v>0</v>
      </c>
      <c r="AP23" s="101">
        <f>(A1_A_L19*Limpias_A)+(A1_B_L19*Limpias_B)+(A1_C_L19*Limpias_C)+(A1_D_L19*Limpias_D)+(A1_Y_L19*Limpias_Y)</f>
        <v>0</v>
      </c>
      <c r="AQ23" s="101">
        <f>SUMIFS('9'!$E:$E,'9'!$A:$A,Año_Inicial,'9'!$B:$B,'11'!AP$4,'9'!$D:$D,"Limpias manuales")</f>
        <v>0</v>
      </c>
      <c r="AR23" s="101">
        <f>(A1_A_L20*Limpias_A)+(A1_B_L20*Limpias_B)+(A1_C_L20*Limpias_C)+(A1_D_L20*Limpias_D)+(A1_Y_L20*Limpias_Y)</f>
        <v>0</v>
      </c>
      <c r="AS23" s="101">
        <f>SUMIFS('9'!$E:$E,'9'!$A:$A,Año_Inicial,'9'!$B:$B,'11'!AR$4,'9'!$D:$D,"Limpias manuales")</f>
        <v>0</v>
      </c>
      <c r="AT23" s="101">
        <f>(A1_A_L21*Limpias_A)+(A1_B_L21*Limpias_B)+(A1_C_L21*Limpias_C)+(A1_D_L21*Limpias_D)+(A1_Y_L21*Limpias_Y)</f>
        <v>0</v>
      </c>
      <c r="AU23" s="101">
        <f>SUMIFS('9'!$E:$E,'9'!$A:$A,Año_Inicial,'9'!$B:$B,'11'!AT$4,'9'!$D:$D,"Limpias manuales")</f>
        <v>0</v>
      </c>
      <c r="AV23" s="101">
        <f>(A1_A_L22*Limpias_A)+(A1_B_L22*Limpias_B)+(A1_C_L22*Limpias_C)+(A1_D_L22*Limpias_D)+(A1_Y_L22*Limpias_Y)</f>
        <v>0</v>
      </c>
      <c r="AW23" s="101">
        <f>SUMIFS('9'!$E:$E,'9'!$A:$A,Año_Inicial,'9'!$B:$B,'11'!AV$4,'9'!$D:$D,"Limpias manuales")</f>
        <v>0</v>
      </c>
      <c r="AX23" s="101">
        <f>(A1_A_L23*Limpias_A)+(A1_B_L23*Limpias_B)+(A1_C_L23*Limpias_C)+(A1_D_L23*Limpias_D)+(A1_Y_L23*Limpias_Y)</f>
        <v>0</v>
      </c>
      <c r="AY23" s="101">
        <f>SUMIFS('9'!$E:$E,'9'!$A:$A,Año_Inicial,'9'!$B:$B,'11'!AX$4,'9'!$D:$D,"Limpias manuales")</f>
        <v>0</v>
      </c>
      <c r="AZ23" s="101">
        <f>(A1_A_L24*Limpias_A)+(A1_B_L24*Limpias_B)+(A1_C_L24*Limpias_C)+(A1_D_L24*Limpias_D)+(A1_Y_L24*Limpias_Y)</f>
        <v>0</v>
      </c>
      <c r="BA23" s="101">
        <f>SUMIFS('9'!$E:$E,'9'!$A:$A,Año_Inicial,'9'!$B:$B,'11'!AZ$4,'9'!$D:$D,"Limpias manuales")</f>
        <v>0</v>
      </c>
      <c r="BB23" s="101">
        <f>(A1_A_L25*Limpias_A)+(A1_B_L25*Limpias_B)+(A1_C_L25*Limpias_C)+(A1_D_L25*Limpias_D)+(A1_Y_L25*Limpias_Y)</f>
        <v>0</v>
      </c>
      <c r="BC23" s="101">
        <f>SUMIFS('9'!$E:$E,'9'!$A:$A,Año_Inicial,'9'!$B:$B,'11'!BB$4,'9'!$D:$D,"Limpias manuales")</f>
        <v>0</v>
      </c>
      <c r="BD23" s="101">
        <f>(A1_A_L26*Limpias_A)+(A1_B_L26*Limpias_B)+(A1_C_L26*Limpias_C)+(A1_D_L26*Limpias_D)+(A1_Y_L26*Limpias_Y)</f>
        <v>0</v>
      </c>
      <c r="BE23" s="101">
        <f>SUMIFS('9'!$E:$E,'9'!$A:$A,Año_Inicial,'9'!$B:$B,'11'!BD$4,'9'!$D:$D,"Limpias manuales")</f>
        <v>0</v>
      </c>
      <c r="BF23" s="101">
        <f>(A1_A_L27*Limpias_A)+(A1_B_L27*Limpias_B)+(A1_C_L27*Limpias_C)+(A1_D_L27*Limpias_D)+(A1_Y_L27*Limpias_Y)</f>
        <v>0</v>
      </c>
      <c r="BG23" s="101">
        <f>SUMIFS('9'!$E:$E,'9'!$A:$A,Año_Inicial,'9'!$B:$B,'11'!BF$4,'9'!$D:$D,"Limpias manuales")</f>
        <v>0</v>
      </c>
      <c r="BH23" s="101">
        <f>(A1_A_L28*Limpias_A)+(A1_B_L28*Limpias_B)+(A1_C_L28*Limpias_C)+(A1_D_L28*Limpias_D)+(A1_Y_L28*Limpias_Y)</f>
        <v>0</v>
      </c>
      <c r="BI23" s="101">
        <f>SUMIFS('9'!$E:$E,'9'!$A:$A,Año_Inicial,'9'!$B:$B,'11'!BH$4,'9'!$D:$D,"Limpias manuales")</f>
        <v>0</v>
      </c>
      <c r="BJ23" s="101">
        <f>(A1_A_L29*Limpias_A)+(A1_B_L29*Limpias_B)+(A1_C_L29*Limpias_C)+(A1_D_L29*Limpias_D)+(A1_Y_L29*Limpias_Y)</f>
        <v>0</v>
      </c>
      <c r="BK23" s="101">
        <f>SUMIFS('9'!$E:$E,'9'!$A:$A,Año_Inicial,'9'!$B:$B,'11'!BJ$4,'9'!$D:$D,"Limpias manuales")</f>
        <v>0</v>
      </c>
      <c r="BL23" s="101">
        <f>(A1_A_L30*Limpias_A)+(A1_B_L30*Limpias_B)+(A1_C_L30*Limpias_C)+(A1_D_L30*Limpias_D)+(A1_Y_L30*Limpias_Y)</f>
        <v>0</v>
      </c>
      <c r="BM23" s="101">
        <f>SUMIFS('9'!$E:$E,'9'!$A:$A,Año_Inicial,'9'!$B:$B,'11'!BL$4,'9'!$D:$D,"Limpias manuales")</f>
        <v>0</v>
      </c>
      <c r="BN23" s="101">
        <f>(A1_A_L31*Limpias_A)+(A1_B_L31*Limpias_B)+(A1_C_L31*Limpias_C)+(A1_D_L31*Limpias_D)+(A1_Y_L31*Limpias_Y)</f>
        <v>0</v>
      </c>
      <c r="BO23" s="101">
        <f>SUMIFS('9'!$E:$E,'9'!$A:$A,Año_Inicial,'9'!$B:$B,'11'!BN$4,'9'!$D:$D,"Limpias manuales")</f>
        <v>0</v>
      </c>
      <c r="BP23" s="101">
        <f>(A1_A_L32*Limpias_A)+(A1_B_L32*Limpias_B)+(A1_C_L32*Limpias_C)+(A1_D_L32*Limpias_D)+(A1_Y_L32*Limpias_Y)</f>
        <v>0</v>
      </c>
      <c r="BQ23" s="101">
        <f>SUMIFS('9'!$E:$E,'9'!$A:$A,Año_Inicial,'9'!$B:$B,'11'!BP$4,'9'!$D:$D,"Limpias manuales")</f>
        <v>0</v>
      </c>
      <c r="BR23" s="101">
        <f>(A1_A_L33*Limpias_A)+(A1_B_L33*Limpias_B)+(A1_C_L33*Limpias_C)+(A1_D_L33*Limpias_D)+(A1_Y_L33*Limpias_Y)</f>
        <v>0</v>
      </c>
      <c r="BS23" s="101">
        <f>SUMIFS('9'!$E:$E,'9'!$A:$A,Año_Inicial,'9'!$B:$B,'11'!BR$4,'9'!$D:$D,"Limpias manuales")</f>
        <v>0</v>
      </c>
      <c r="BT23" s="101">
        <f>(A1_A_L34*Limpias_A)+(A1_B_L34*Limpias_B)+(A1_C_L34*Limpias_C)+(A1_D_L34*Limpias_D)+(A1_Y_L34*Limpias_Y)</f>
        <v>0</v>
      </c>
      <c r="BU23" s="101">
        <f>SUMIFS('9'!$E:$E,'9'!$A:$A,Año_Inicial,'9'!$B:$B,'11'!BT$4,'9'!$D:$D,"Limpias manuales")</f>
        <v>0</v>
      </c>
      <c r="BV23" s="101">
        <f>(A1_A_L35*Limpias_A)+(A1_B_L35*Limpias_B)+(A1_C_L35*Limpias_C)+(A1_D_L35*Limpias_D)+(A1_Y_L35*Limpias_Y)</f>
        <v>0</v>
      </c>
      <c r="BW23" s="101">
        <f>SUMIFS('9'!$E:$E,'9'!$A:$A,Año_Inicial,'9'!$B:$B,'11'!BV$4,'9'!$D:$D,"Limpias manuales")</f>
        <v>0</v>
      </c>
      <c r="BX23" s="101">
        <f>(A1_A_L36*Limpias_A)+(A1_B_L36*Limpias_B)+(A1_C_L36*Limpias_C)+(A1_D_L36*Limpias_D)+(A1_Y_L36*Limpias_Y)</f>
        <v>0</v>
      </c>
      <c r="BY23" s="101">
        <f>SUMIFS('9'!$E:$E,'9'!$A:$A,Año_Inicial,'9'!$B:$B,'11'!BX$4,'9'!$D:$D,"Limpias manuales")</f>
        <v>0</v>
      </c>
      <c r="BZ23" s="101">
        <f>(A1_A_L37*Limpias_A)+(A1_B_L37*Limpias_B)+(A1_C_L37*Limpias_C)+(A1_D_L37*Limpias_D)+(A1_Y_L37*Limpias_Y)</f>
        <v>0</v>
      </c>
      <c r="CA23" s="101">
        <f>SUMIFS('9'!$E:$E,'9'!$A:$A,Año_Inicial,'9'!$B:$B,'11'!BZ$4,'9'!$D:$D,"Limpias manuales")</f>
        <v>0</v>
      </c>
      <c r="CB23" s="101">
        <f>(A1_A_L38*Limpias_A)+(A1_B_L38*Limpias_B)+(A1_C_L38*Limpias_C)+(A1_D_L38*Limpias_D)+(A1_Y_L38*Limpias_Y)</f>
        <v>0</v>
      </c>
      <c r="CC23" s="101">
        <f>SUMIFS('9'!$E:$E,'9'!$A:$A,Año_Inicial,'9'!$B:$B,'11'!CB$4,'9'!$D:$D,"Limpias manuales")</f>
        <v>0</v>
      </c>
      <c r="CD23" s="101">
        <f>(A1_A_L39*Limpias_A)+(A1_B_L39*Limpias_B)+(A1_C_L39*Limpias_C)+(A1_D_L39*Limpias_D)+(A1_Y_L39*Limpias_Y)</f>
        <v>0</v>
      </c>
      <c r="CE23" s="101">
        <f>SUMIFS('9'!$E:$E,'9'!$A:$A,Año_Inicial,'9'!$B:$B,'11'!CD$4,'9'!$D:$D,"Limpias manuales")</f>
        <v>0</v>
      </c>
      <c r="CF23" s="101">
        <f>(A1_A_L40*Limpias_A)+(A1_B_L40*Limpias_B)+(A1_C_L40*Limpias_C)+(A1_D_L40*Limpias_D)+(A1_Y_L40*Limpias_Y)</f>
        <v>0</v>
      </c>
      <c r="CG23" s="101">
        <f>SUMIFS('9'!$E:$E,'9'!$A:$A,Año_Inicial,'9'!$B:$B,'11'!CF$4,'9'!$D:$D,"Limpias manuales")</f>
        <v>0</v>
      </c>
      <c r="CH23" s="473"/>
      <c r="CI23" s="101">
        <f>Plantas_A_A1*Limpias_A</f>
        <v>0</v>
      </c>
      <c r="CJ23" s="101">
        <f>Plantas_B_A1*Limpias_B</f>
        <v>0</v>
      </c>
      <c r="CK23" s="101">
        <f>Plantas_C_A1*Limpias_C</f>
        <v>0</v>
      </c>
      <c r="CL23" s="101">
        <f>Plantas_D_A1*Limpias_D</f>
        <v>0</v>
      </c>
      <c r="CM23" s="101"/>
      <c r="CN23" s="101">
        <f>Plantas_Y_A1*Limpias_Y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68"/>
        <v>0</v>
      </c>
      <c r="C24" s="101">
        <f>SUMIFS('9'!$E:$E,'9'!$A:$A,Año_Inicial,'9'!$D:$D,"Herbicida")</f>
        <v>0</v>
      </c>
      <c r="D24" s="100">
        <f t="shared" si="67"/>
        <v>0</v>
      </c>
      <c r="E24" s="473"/>
      <c r="F24" s="101">
        <f>(A1_A_L1*Herbicida_A)+(A1_B_L1*Herbicida_B)+(A1_C_L1*Herbicida_C)+(A1_D_L1*Herbicida_D)+(A1_Y_L1*Herbicida_Y)</f>
        <v>0</v>
      </c>
      <c r="G24" s="101">
        <f>SUMIFS('9'!$E:$E,'9'!$A:$A,Año_Inicial,'9'!$B:$B,'11'!F$4,'9'!$D:$D,"Herbicida")</f>
        <v>0</v>
      </c>
      <c r="H24" s="101">
        <f>(A1_A_L2*Herbicida_A)+(A1_B_L2*Herbicida_B)+(A1_C_L2*Herbicida_C)+(A1_D_L2*Herbicida_D)+(A1_Y_L2*Herbicida_Y)</f>
        <v>0</v>
      </c>
      <c r="I24" s="101">
        <f>SUMIFS('9'!$E:$E,'9'!$A:$A,Año_Inicial,'9'!$B:$B,'11'!H$4,'9'!$D:$D,"Herbicida")</f>
        <v>0</v>
      </c>
      <c r="J24" s="101">
        <f>(A1_A_L3*Herbicida_A)+(A1_B_L3*Herbicida_B)+(A1_C_L3*Herbicida_C)+(A1_D_L3*Herbicida_D)+(A1_Y_L3*Herbicida_Y)</f>
        <v>0</v>
      </c>
      <c r="K24" s="101">
        <f>SUMIFS('9'!$E:$E,'9'!$A:$A,Año_Inicial,'9'!$B:$B,'11'!J$4,'9'!$D:$D,"Herbicida")</f>
        <v>0</v>
      </c>
      <c r="L24" s="101">
        <f>(A1_A_L4*Herbicida_A)+(A1_B_L4*Herbicida_B)+(A1_C_L4*Herbicida_C)+(A1_D_L4*Herbicida_D)+(A1_Y_L4*Herbicida_Y)</f>
        <v>0</v>
      </c>
      <c r="M24" s="101">
        <f>SUMIFS('9'!$E:$E,'9'!$A:$A,Año_Inicial,'9'!$B:$B,'11'!L$4,'9'!$D:$D,"Herbicida")</f>
        <v>0</v>
      </c>
      <c r="N24" s="101">
        <f>(A1_A_L5*Herbicida_A)+(A1_B_L5*Herbicida_B)+(A1_C_L5*Herbicida_C)+(A1_D_L5*Herbicida_D)+(A1_Y_L5*Herbicida_Y)</f>
        <v>0</v>
      </c>
      <c r="O24" s="101">
        <f>SUMIFS('9'!$E:$E,'9'!$A:$A,Año_Inicial,'9'!$B:$B,'11'!N$4,'9'!$D:$D,"Herbicida")</f>
        <v>0</v>
      </c>
      <c r="P24" s="101">
        <f>(A1_A_L6*Herbicida_A)+(A1_B_L6*Herbicida_B)+(A1_C_L6*Herbicida_C)+(A1_D_L6*Herbicida_D)+(A1_Y_L6*Herbicida_Y)</f>
        <v>0</v>
      </c>
      <c r="Q24" s="101">
        <f>SUMIFS('9'!$E:$E,'9'!$A:$A,Año_Inicial,'9'!$B:$B,'11'!P$4,'9'!$D:$D,"Herbicida")</f>
        <v>0</v>
      </c>
      <c r="R24" s="101">
        <f>(A1_A_L7*Herbicida_A)+(A1_B_L7*Herbicida_B)+(A1_C_L7*Herbicida_C)+(A1_D_L7*Herbicida_D)+(A1_Y_L7*Herbicida_Y)</f>
        <v>0</v>
      </c>
      <c r="S24" s="101">
        <f>SUMIFS('9'!$E:$E,'9'!$A:$A,Año_Inicial,'9'!$B:$B,'11'!R$4,'9'!$D:$D,"Herbicida")</f>
        <v>0</v>
      </c>
      <c r="T24" s="101">
        <f>(A1_A_L8*Herbicida_A)+(A1_B_L8*Herbicida_B)+(A1_C_L8*Herbicida_C)+(A1_D_L8*Herbicida_D)+(A1_Y_L8*Herbicida_Y)</f>
        <v>0</v>
      </c>
      <c r="U24" s="101">
        <f>SUMIFS('9'!$E:$E,'9'!$A:$A,Año_Inicial,'9'!$B:$B,'11'!T$4,'9'!$D:$D,"Herbicida")</f>
        <v>0</v>
      </c>
      <c r="V24" s="101">
        <f>(A1_A_L9*Herbicida_A)+(A1_B_L9*Herbicida_B)+(A1_C_L9*Herbicida_C)+(A1_D_L9*Herbicida_D)+(A1_Y_L9*Herbicida_Y)</f>
        <v>0</v>
      </c>
      <c r="W24" s="101">
        <f>SUMIFS('9'!$E:$E,'9'!$A:$A,Año_Inicial,'9'!$B:$B,'11'!V$4,'9'!$D:$D,"Herbicida")</f>
        <v>0</v>
      </c>
      <c r="X24" s="101">
        <f>(A1_A_L10*Herbicida_A)+(A1_B_L10*Herbicida_B)+(A1_C_L10*Herbicida_C)+(A1_D_L10*Herbicida_D)+(A1_Y_L10*Herbicida_Y)</f>
        <v>0</v>
      </c>
      <c r="Y24" s="101">
        <f>SUMIFS('9'!$E:$E,'9'!$A:$A,Año_Inicial,'9'!$B:$B,'11'!X$4,'9'!$D:$D,"Herbicida")</f>
        <v>0</v>
      </c>
      <c r="Z24" s="101">
        <f>(A1_A_L11*Herbicida_A)+(A1_B_L11*Herbicida_B)+(A1_C_L11*Herbicida_C)+(A1_D_L11*Herbicida_D)+(A1_Y_L11*Herbicida_Y)</f>
        <v>0</v>
      </c>
      <c r="AA24" s="101">
        <f>SUMIFS('9'!$E:$E,'9'!$A:$A,Año_Inicial,'9'!$B:$B,'11'!Z$4,'9'!$D:$D,"Herbicida")</f>
        <v>0</v>
      </c>
      <c r="AB24" s="101">
        <f>(A1_A_L12*Herbicida_A)+(A1_B_L12*Herbicida_B)+(A1_C_L12*Herbicida_C)+(A1_D_L12*Herbicida_D)+(A1_Y_L12*Herbicida_Y)</f>
        <v>0</v>
      </c>
      <c r="AC24" s="101">
        <f>SUMIFS('9'!$E:$E,'9'!$A:$A,Año_Inicial,'9'!$B:$B,'11'!AB$4,'9'!$D:$D,"Herbicida")</f>
        <v>0</v>
      </c>
      <c r="AD24" s="101">
        <f>(A1_A_L13*Herbicida_A)+(A1_B_L13*Herbicida_B)+(A1_C_L13*Herbicida_C)+(A1_D_L13*Herbicida_D)+(A1_Y_L13*Herbicida_Y)</f>
        <v>0</v>
      </c>
      <c r="AE24" s="101">
        <f>SUMIFS('9'!$E:$E,'9'!$A:$A,Año_Inicial,'9'!$B:$B,'11'!AD$4,'9'!$D:$D,"Herbicida")</f>
        <v>0</v>
      </c>
      <c r="AF24" s="101">
        <f>(A1_A_L14*Herbicida_A)+(A1_B_L14*Herbicida_B)+(A1_C_L14*Herbicida_C)+(A1_D_L14*Herbicida_D)+(A1_Y_L14*Herbicida_Y)</f>
        <v>0</v>
      </c>
      <c r="AG24" s="101">
        <f>SUMIFS('9'!$E:$E,'9'!$A:$A,Año_Inicial,'9'!$B:$B,'11'!AF$4,'9'!$D:$D,"Herbicida")</f>
        <v>0</v>
      </c>
      <c r="AH24" s="101">
        <f>(A1_A_L15*Herbicida_A)+(A1_B_L15*Herbicida_B)+(A1_C_L15*Herbicida_C)+(A1_D_L15*Herbicida_D)+(A1_Y_L15*Herbicida_Y)</f>
        <v>0</v>
      </c>
      <c r="AI24" s="101">
        <f>SUMIFS('9'!$E:$E,'9'!$A:$A,Año_Inicial,'9'!$B:$B,'11'!AH$4,'9'!$D:$D,"Herbicida")</f>
        <v>0</v>
      </c>
      <c r="AJ24" s="101">
        <f>(A1_A_L16*Herbicida_A)+(A1_B_L16*Herbicida_B)+(A1_C_L16*Herbicida_C)+(A1_D_L16*Herbicida_D)+(A1_Y_L16*Herbicida_Y)</f>
        <v>0</v>
      </c>
      <c r="AK24" s="101">
        <f>SUMIFS('9'!$E:$E,'9'!$A:$A,Año_Inicial,'9'!$B:$B,'11'!AJ$4,'9'!$D:$D,"Herbicida")</f>
        <v>0</v>
      </c>
      <c r="AL24" s="101">
        <f>(A1_A_L17*Herbicida_A)+(A1_B_L17*Herbicida_B)+(A1_C_L17*Herbicida_C)+(A1_D_L17*Herbicida_D)+(A1_Y_L17*Herbicida_Y)</f>
        <v>0</v>
      </c>
      <c r="AM24" s="101">
        <f>SUMIFS('9'!$E:$E,'9'!$A:$A,Año_Inicial,'9'!$B:$B,'11'!AL$4,'9'!$D:$D,"Herbicida")</f>
        <v>0</v>
      </c>
      <c r="AN24" s="101">
        <f>(A1_A_L18*Herbicida_A)+(A1_B_L18*Herbicida_B)+(A1_C_L18*Herbicida_C)+(A1_D_L18*Herbicida_D)+(A1_Y_L18*Herbicida_Y)</f>
        <v>0</v>
      </c>
      <c r="AO24" s="101">
        <f>SUMIFS('9'!$E:$E,'9'!$A:$A,Año_Inicial,'9'!$B:$B,'11'!AN$4,'9'!$D:$D,"Herbicida")</f>
        <v>0</v>
      </c>
      <c r="AP24" s="101">
        <f>(A1_A_L19*Herbicida_A)+(A1_B_L19*Herbicida_B)+(A1_C_L19*Herbicida_C)+(A1_D_L19*Herbicida_D)+(A1_Y_L19*Herbicida_Y)</f>
        <v>0</v>
      </c>
      <c r="AQ24" s="101">
        <f>SUMIFS('9'!$E:$E,'9'!$A:$A,Año_Inicial,'9'!$B:$B,'11'!AP$4,'9'!$D:$D,"Herbicida")</f>
        <v>0</v>
      </c>
      <c r="AR24" s="101">
        <f>(A1_A_L20*Herbicida_A)+(A1_B_L20*Herbicida_B)+(A1_C_L20*Herbicida_C)+(A1_D_L20*Herbicida_D)+(A1_Y_L20*Herbicida_Y)</f>
        <v>0</v>
      </c>
      <c r="AS24" s="101">
        <f>SUMIFS('9'!$E:$E,'9'!$A:$A,Año_Inicial,'9'!$B:$B,'11'!AR$4,'9'!$D:$D,"Herbicida")</f>
        <v>0</v>
      </c>
      <c r="AT24" s="101">
        <f>(A1_A_L21*Herbicida_A)+(A1_B_L21*Herbicida_B)+(A1_C_L21*Herbicida_C)+(A1_D_L21*Herbicida_D)+(A1_Y_L21*Herbicida_Y)</f>
        <v>0</v>
      </c>
      <c r="AU24" s="101">
        <f>SUMIFS('9'!$E:$E,'9'!$A:$A,Año_Inicial,'9'!$B:$B,'11'!AT$4,'9'!$D:$D,"Herbicida")</f>
        <v>0</v>
      </c>
      <c r="AV24" s="101">
        <f>(A1_A_L22*Herbicida_A)+(A1_B_L22*Herbicida_B)+(A1_C_L22*Herbicida_C)+(A1_D_L22*Herbicida_D)+(A1_Y_L22*Herbicida_Y)</f>
        <v>0</v>
      </c>
      <c r="AW24" s="101">
        <f>SUMIFS('9'!$E:$E,'9'!$A:$A,Año_Inicial,'9'!$B:$B,'11'!AV$4,'9'!$D:$D,"Herbicida")</f>
        <v>0</v>
      </c>
      <c r="AX24" s="101">
        <f>(A1_A_L23*Herbicida_A)+(A1_B_L23*Herbicida_B)+(A1_C_L23*Herbicida_C)+(A1_D_L23*Herbicida_D)+(A1_Y_L23*Herbicida_Y)</f>
        <v>0</v>
      </c>
      <c r="AY24" s="101">
        <f>SUMIFS('9'!$E:$E,'9'!$A:$A,Año_Inicial,'9'!$B:$B,'11'!AX$4,'9'!$D:$D,"Herbicida")</f>
        <v>0</v>
      </c>
      <c r="AZ24" s="101">
        <f>(A1_A_L24*Herbicida_A)+(A1_B_L24*Herbicida_B)+(A1_C_L24*Herbicida_C)+(A1_D_L24*Herbicida_D)+(A1_Y_L24*Herbicida_Y)</f>
        <v>0</v>
      </c>
      <c r="BA24" s="101">
        <f>SUMIFS('9'!$E:$E,'9'!$A:$A,Año_Inicial,'9'!$B:$B,'11'!AZ$4,'9'!$D:$D,"Herbicida")</f>
        <v>0</v>
      </c>
      <c r="BB24" s="101">
        <f>(A1_A_L25*Herbicida_A)+(A1_B_L25*Herbicida_B)+(A1_C_L25*Herbicida_C)+(A1_D_L25*Herbicida_D)+(A1_Y_L25*Herbicida_Y)</f>
        <v>0</v>
      </c>
      <c r="BC24" s="101">
        <f>SUMIFS('9'!$E:$E,'9'!$A:$A,Año_Inicial,'9'!$B:$B,'11'!BB$4,'9'!$D:$D,"Herbicida")</f>
        <v>0</v>
      </c>
      <c r="BD24" s="101">
        <f>(A1_A_L26*Herbicida_A)+(A1_B_L26*Herbicida_B)+(A1_C_L26*Herbicida_C)+(A1_D_L26*Herbicida_D)+(A1_Y_L26*Herbicida_Y)</f>
        <v>0</v>
      </c>
      <c r="BE24" s="101">
        <f>SUMIFS('9'!$E:$E,'9'!$A:$A,Año_Inicial,'9'!$B:$B,'11'!BD$4,'9'!$D:$D,"Herbicida")</f>
        <v>0</v>
      </c>
      <c r="BF24" s="101">
        <f>(A1_A_L27*Herbicida_A)+(A1_B_L27*Herbicida_B)+(A1_C_L27*Herbicida_C)+(A1_D_L27*Herbicida_D)+(A1_Y_L27*Herbicida_Y)</f>
        <v>0</v>
      </c>
      <c r="BG24" s="101">
        <f>SUMIFS('9'!$E:$E,'9'!$A:$A,Año_Inicial,'9'!$B:$B,'11'!BF$4,'9'!$D:$D,"Herbicida")</f>
        <v>0</v>
      </c>
      <c r="BH24" s="101">
        <f>(A1_A_L28*Herbicida_A)+(A1_B_L28*Herbicida_B)+(A1_C_L28*Herbicida_C)+(A1_D_L28*Herbicida_D)+(A1_Y_L28*Herbicida_Y)</f>
        <v>0</v>
      </c>
      <c r="BI24" s="101">
        <f>SUMIFS('9'!$E:$E,'9'!$A:$A,Año_Inicial,'9'!$B:$B,'11'!BH$4,'9'!$D:$D,"Herbicida")</f>
        <v>0</v>
      </c>
      <c r="BJ24" s="101">
        <f>(A1_A_L29*Herbicida_A)+(A1_B_L29*Herbicida_B)+(A1_C_L29*Herbicida_C)+(A1_D_L29*Herbicida_D)+(A1_Y_L29*Herbicida_Y)</f>
        <v>0</v>
      </c>
      <c r="BK24" s="101">
        <f>SUMIFS('9'!$E:$E,'9'!$A:$A,Año_Inicial,'9'!$B:$B,'11'!BJ$4,'9'!$D:$D,"Herbicida")</f>
        <v>0</v>
      </c>
      <c r="BL24" s="101">
        <f>(A1_A_L30*Herbicida_A)+(A1_B_L30*Herbicida_B)+(A1_C_L30*Herbicida_C)+(A1_D_L30*Herbicida_D)+(A1_Y_L30*Herbicida_Y)</f>
        <v>0</v>
      </c>
      <c r="BM24" s="101">
        <f>SUMIFS('9'!$E:$E,'9'!$A:$A,Año_Inicial,'9'!$B:$B,'11'!BL$4,'9'!$D:$D,"Herbicida")</f>
        <v>0</v>
      </c>
      <c r="BN24" s="101">
        <f>(A1_A_L31*Herbicida_A)+(A1_B_L31*Herbicida_B)+(A1_C_L31*Herbicida_C)+(A1_D_L31*Herbicida_D)+(A1_Y_L31*Herbicida_Y)</f>
        <v>0</v>
      </c>
      <c r="BO24" s="101">
        <f>SUMIFS('9'!$E:$E,'9'!$A:$A,Año_Inicial,'9'!$B:$B,'11'!BN$4,'9'!$D:$D,"Herbicida")</f>
        <v>0</v>
      </c>
      <c r="BP24" s="101">
        <f>(A1_A_L32*Herbicida_A)+(A1_B_L32*Herbicida_B)+(A1_C_L32*Herbicida_C)+(A1_D_L32*Herbicida_D)+(A1_Y_L32*Herbicida_Y)</f>
        <v>0</v>
      </c>
      <c r="BQ24" s="101">
        <f>SUMIFS('9'!$E:$E,'9'!$A:$A,Año_Inicial,'9'!$B:$B,'11'!BP$4,'9'!$D:$D,"Herbicida")</f>
        <v>0</v>
      </c>
      <c r="BR24" s="101">
        <f>(A1_A_L33*Herbicida_A)+(A1_B_L33*Herbicida_B)+(A1_C_L33*Herbicida_C)+(A1_D_L33*Herbicida_D)+(A1_Y_L33*Herbicida_Y)</f>
        <v>0</v>
      </c>
      <c r="BS24" s="101">
        <f>SUMIFS('9'!$E:$E,'9'!$A:$A,Año_Inicial,'9'!$B:$B,'11'!BR$4,'9'!$D:$D,"Herbicida")</f>
        <v>0</v>
      </c>
      <c r="BT24" s="101">
        <f>(A1_A_L34*Herbicida_A)+(A1_B_L34*Herbicida_B)+(A1_C_L34*Herbicida_C)+(A1_D_L34*Herbicida_D)+(A1_Y_L34*Herbicida_Y)</f>
        <v>0</v>
      </c>
      <c r="BU24" s="101">
        <f>SUMIFS('9'!$E:$E,'9'!$A:$A,Año_Inicial,'9'!$B:$B,'11'!BT$4,'9'!$D:$D,"Herbicida")</f>
        <v>0</v>
      </c>
      <c r="BV24" s="101">
        <f>(A1_A_L35*Herbicida_A)+(A1_B_L35*Herbicida_B)+(A1_C_L35*Herbicida_C)+(A1_D_L35*Herbicida_D)+(A1_Y_L35*Herbicida_Y)</f>
        <v>0</v>
      </c>
      <c r="BW24" s="101">
        <f>SUMIFS('9'!$E:$E,'9'!$A:$A,Año_Inicial,'9'!$B:$B,'11'!BV$4,'9'!$D:$D,"Herbicida")</f>
        <v>0</v>
      </c>
      <c r="BX24" s="101">
        <f>(A1_A_L36*Herbicida_A)+(A1_B_L36*Herbicida_B)+(A1_C_L36*Herbicida_C)+(A1_D_L36*Herbicida_D)+(A1_Y_L36*Herbicida_Y)</f>
        <v>0</v>
      </c>
      <c r="BY24" s="101">
        <f>SUMIFS('9'!$E:$E,'9'!$A:$A,Año_Inicial,'9'!$B:$B,'11'!BX$4,'9'!$D:$D,"Herbicida")</f>
        <v>0</v>
      </c>
      <c r="BZ24" s="101">
        <f>(A1_A_L37*Herbicida_A)+(A1_B_L37*Herbicida_B)+(A1_C_L37*Herbicida_C)+(A1_D_L37*Herbicida_D)+(A1_Y_L37*Herbicida_Y)</f>
        <v>0</v>
      </c>
      <c r="CA24" s="101">
        <f>SUMIFS('9'!$E:$E,'9'!$A:$A,Año_Inicial,'9'!$B:$B,'11'!BZ$4,'9'!$D:$D,"Herbicida")</f>
        <v>0</v>
      </c>
      <c r="CB24" s="101">
        <f>(A1_A_L38*Herbicida_A)+(A1_B_L38*Herbicida_B)+(A1_C_L38*Herbicida_C)+(A1_D_L38*Herbicida_D)+(A1_Y_L38*Herbicida_Y)</f>
        <v>0</v>
      </c>
      <c r="CC24" s="101">
        <f>SUMIFS('9'!$E:$E,'9'!$A:$A,Año_Inicial,'9'!$B:$B,'11'!CB$4,'9'!$D:$D,"Herbicida")</f>
        <v>0</v>
      </c>
      <c r="CD24" s="101">
        <f>(A1_A_L39*Herbicida_A)+(A1_B_L39*Herbicida_B)+(A1_C_L39*Herbicida_C)+(A1_D_L39*Herbicida_D)+(A1_Y_L39*Herbicida_Y)</f>
        <v>0</v>
      </c>
      <c r="CE24" s="101">
        <f>SUMIFS('9'!$E:$E,'9'!$A:$A,Año_Inicial,'9'!$B:$B,'11'!CD$4,'9'!$D:$D,"Herbicida")</f>
        <v>0</v>
      </c>
      <c r="CF24" s="101">
        <f>(A1_A_L40*Herbicida_A)+(A1_B_L40*Herbicida_B)+(A1_C_L40*Herbicida_C)+(A1_D_L40*Herbicida_D)+(A1_Y_L40*Herbicida_Y)</f>
        <v>0</v>
      </c>
      <c r="CG24" s="101">
        <f>SUMIFS('9'!$E:$E,'9'!$A:$A,Año_Inicial,'9'!$B:$B,'11'!CF$4,'9'!$D:$D,"Herbicida")</f>
        <v>0</v>
      </c>
      <c r="CH24" s="473"/>
      <c r="CI24" s="101">
        <f>Plantas_A_A1*Herbicida_A</f>
        <v>0</v>
      </c>
      <c r="CJ24" s="101">
        <f>Plantas_B_A1*Herbicida_B</f>
        <v>0</v>
      </c>
      <c r="CK24" s="101">
        <f>Plantas_C_A1*Herbicida_C</f>
        <v>0</v>
      </c>
      <c r="CL24" s="101">
        <f>Plantas_D_A1*Herbicida_D</f>
        <v>0</v>
      </c>
      <c r="CM24" s="101"/>
      <c r="CN24" s="101">
        <f>Plantas_Y_A1*Herbicida_Y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68"/>
        <v>0</v>
      </c>
      <c r="C26" s="101">
        <f>SUMIFS('9'!$E:$E,'9'!$A:$A,Año_Inicial,'9'!$D:$D,"Prevención de plagas")</f>
        <v>0</v>
      </c>
      <c r="D26" s="100">
        <f t="shared" si="67"/>
        <v>0</v>
      </c>
      <c r="E26" s="473"/>
      <c r="F26" s="101">
        <f>(A1_A_L1*Plagas_A)+(A1_B_L1*Plagas_B)+(A1_C_L1*Plagas_C)+(A1_D_L1*Plagas_D)+(A1_Y_L1*Plagas_Y)</f>
        <v>0</v>
      </c>
      <c r="G26" s="101">
        <f>SUMIFS('9'!$E:$E,'9'!$A:$A,Año_Inicial,'9'!$B:$B,'11'!F$4,'9'!$D:$D,"Prevención de plagas")</f>
        <v>0</v>
      </c>
      <c r="H26" s="101">
        <f>(A1_A_L2*Plagas_A)+(A1_B_L2*Plagas_B)+(A1_C_L2*Plagas_C)+(A1_D_L2*Plagas_D)+(A1_Y_L2*Plagas_Y)</f>
        <v>0</v>
      </c>
      <c r="I26" s="101">
        <f>SUMIFS('9'!$E:$E,'9'!$A:$A,Año_Inicial,'9'!$B:$B,'11'!H$4,'9'!$D:$D,"Prevención de plagas")</f>
        <v>0</v>
      </c>
      <c r="J26" s="101">
        <f>(A1_A_L3*Plagas_A)+(A1_B_L3*Plagas_B)+(A1_C_L3*Plagas_C)+(A1_D_L3*Plagas_D)+(A1_Y_L3*Plagas_Y)</f>
        <v>0</v>
      </c>
      <c r="K26" s="101">
        <f>SUMIFS('9'!$E:$E,'9'!$A:$A,Año_Inicial,'9'!$B:$B,'11'!J$4,'9'!$D:$D,"Prevención de plagas")</f>
        <v>0</v>
      </c>
      <c r="L26" s="101">
        <f>(A1_A_L4*Plagas_A)+(A1_B_L4*Plagas_B)+(A1_C_L4*Plagas_C)+(A1_D_L4*Plagas_D)+(A1_Y_L4*Plagas_Y)</f>
        <v>0</v>
      </c>
      <c r="M26" s="101">
        <f>SUMIFS('9'!$E:$E,'9'!$A:$A,Año_Inicial,'9'!$B:$B,'11'!L$4,'9'!$D:$D,"Prevención de plagas")</f>
        <v>0</v>
      </c>
      <c r="N26" s="101">
        <f>(A1_A_L5*Plagas_A)+(A1_B_L5*Plagas_B)+(A1_C_L5*Plagas_C)+(A1_D_L5*Plagas_D)+(A1_Y_L5*Plagas_Y)</f>
        <v>0</v>
      </c>
      <c r="O26" s="101">
        <f>SUMIFS('9'!$E:$E,'9'!$A:$A,Año_Inicial,'9'!$B:$B,'11'!N$4,'9'!$D:$D,"Prevención de plagas")</f>
        <v>0</v>
      </c>
      <c r="P26" s="101">
        <f>(A1_A_L6*Plagas_A)+(A1_B_L6*Plagas_B)+(A1_C_L6*Plagas_C)+(A1_D_L6*Plagas_D)+(A1_Y_L6*Plagas_Y)</f>
        <v>0</v>
      </c>
      <c r="Q26" s="101">
        <f>SUMIFS('9'!$E:$E,'9'!$A:$A,Año_Inicial,'9'!$B:$B,'11'!P$4,'9'!$D:$D,"Prevención de plagas")</f>
        <v>0</v>
      </c>
      <c r="R26" s="101">
        <f>(A1_A_L7*Plagas_A)+(A1_B_L7*Plagas_B)+(A1_C_L7*Plagas_C)+(A1_D_L7*Plagas_D)+(A1_Y_L7*Plagas_Y)</f>
        <v>0</v>
      </c>
      <c r="S26" s="101">
        <f>SUMIFS('9'!$E:$E,'9'!$A:$A,Año_Inicial,'9'!$B:$B,'11'!R$4,'9'!$D:$D,"Prevención de plagas")</f>
        <v>0</v>
      </c>
      <c r="T26" s="101">
        <f>(A1_A_L8*Plagas_A)+(A1_B_L8*Plagas_B)+(A1_C_L8*Plagas_C)+(A1_D_L8*Plagas_D)+(A1_Y_L8*Plagas_Y)</f>
        <v>0</v>
      </c>
      <c r="U26" s="101">
        <f>SUMIFS('9'!$E:$E,'9'!$A:$A,Año_Inicial,'9'!$B:$B,'11'!T$4,'9'!$D:$D,"Prevención de plagas")</f>
        <v>0</v>
      </c>
      <c r="V26" s="101">
        <f>(A1_A_L9*Plagas_A)+(A1_B_L9*Plagas_B)+(A1_C_L9*Plagas_C)+(A1_D_L9*Plagas_D)+(A1_Y_L9*Plagas_Y)</f>
        <v>0</v>
      </c>
      <c r="W26" s="101">
        <f>SUMIFS('9'!$E:$E,'9'!$A:$A,Año_Inicial,'9'!$B:$B,'11'!V$4,'9'!$D:$D,"Prevención de plagas")</f>
        <v>0</v>
      </c>
      <c r="X26" s="101">
        <f>(A1_A_L10*Plagas_A)+(A1_B_L10*Plagas_B)+(A1_C_L10*Plagas_C)+(A1_D_L10*Plagas_D)+(A1_Y_L10*Plagas_Y)</f>
        <v>0</v>
      </c>
      <c r="Y26" s="101">
        <f>SUMIFS('9'!$E:$E,'9'!$A:$A,Año_Inicial,'9'!$B:$B,'11'!X$4,'9'!$D:$D,"Prevención de plagas")</f>
        <v>0</v>
      </c>
      <c r="Z26" s="101">
        <f>(A1_A_L11*Plagas_A)+(A1_B_L11*Plagas_B)+(A1_C_L11*Plagas_C)+(A1_D_L11*Plagas_D)+(A1_Y_L11*Plagas_Y)</f>
        <v>0</v>
      </c>
      <c r="AA26" s="101">
        <f>SUMIFS('9'!$E:$E,'9'!$A:$A,Año_Inicial,'9'!$B:$B,'11'!Z$4,'9'!$D:$D,"Prevención de plagas")</f>
        <v>0</v>
      </c>
      <c r="AB26" s="101">
        <f>(A1_A_L12*Plagas_A)+(A1_B_L12*Plagas_B)+(A1_C_L12*Plagas_C)+(A1_D_L12*Plagas_D)+(A1_Y_L12*Plagas_Y)</f>
        <v>0</v>
      </c>
      <c r="AC26" s="101">
        <f>SUMIFS('9'!$E:$E,'9'!$A:$A,Año_Inicial,'9'!$B:$B,'11'!AB$4,'9'!$D:$D,"Prevención de plagas")</f>
        <v>0</v>
      </c>
      <c r="AD26" s="101">
        <f>(A1_A_L13*Plagas_A)+(A1_B_L13*Plagas_B)+(A1_C_L13*Plagas_C)+(A1_D_L13*Plagas_D)+(A1_Y_L13*Plagas_Y)</f>
        <v>0</v>
      </c>
      <c r="AE26" s="101">
        <f>SUMIFS('9'!$E:$E,'9'!$A:$A,Año_Inicial,'9'!$B:$B,'11'!AD$4,'9'!$D:$D,"Prevención de plagas")</f>
        <v>0</v>
      </c>
      <c r="AF26" s="101">
        <f>(A1_A_L14*Plagas_A)+(A1_B_L14*Plagas_B)+(A1_C_L14*Plagas_C)+(A1_D_L14*Plagas_D)+(A1_Y_L14*Plagas_Y)</f>
        <v>0</v>
      </c>
      <c r="AG26" s="101">
        <f>SUMIFS('9'!$E:$E,'9'!$A:$A,Año_Inicial,'9'!$B:$B,'11'!AF$4,'9'!$D:$D,"Prevención de plagas")</f>
        <v>0</v>
      </c>
      <c r="AH26" s="101">
        <f>(A1_A_L15*Plagas_A)+(A1_B_L15*Plagas_B)+(A1_C_L15*Plagas_C)+(A1_D_L15*Plagas_D)+(A1_Y_L15*Plagas_Y)</f>
        <v>0</v>
      </c>
      <c r="AI26" s="101">
        <f>SUMIFS('9'!$E:$E,'9'!$A:$A,Año_Inicial,'9'!$B:$B,'11'!AH$4,'9'!$D:$D,"Prevención de plagas")</f>
        <v>0</v>
      </c>
      <c r="AJ26" s="101">
        <f>(A1_A_L16*Plagas_A)+(A1_B_L16*Plagas_B)+(A1_C_L16*Plagas_C)+(A1_D_L16*Plagas_D)+(A1_Y_L16*Plagas_Y)</f>
        <v>0</v>
      </c>
      <c r="AK26" s="101">
        <f>SUMIFS('9'!$E:$E,'9'!$A:$A,Año_Inicial,'9'!$B:$B,'11'!AJ$4,'9'!$D:$D,"Prevención de plagas")</f>
        <v>0</v>
      </c>
      <c r="AL26" s="101">
        <f>(A1_A_L17*Plagas_A)+(A1_B_L17*Plagas_B)+(A1_C_L17*Plagas_C)+(A1_D_L17*Plagas_D)+(A1_Y_L17*Plagas_Y)</f>
        <v>0</v>
      </c>
      <c r="AM26" s="101">
        <f>SUMIFS('9'!$E:$E,'9'!$A:$A,Año_Inicial,'9'!$B:$B,'11'!AL$4,'9'!$D:$D,"Prevención de plagas")</f>
        <v>0</v>
      </c>
      <c r="AN26" s="101">
        <f>(A1_A_L18*Plagas_A)+(A1_B_L18*Plagas_B)+(A1_C_L18*Plagas_C)+(A1_D_L18*Plagas_D)+(A1_Y_L18*Plagas_Y)</f>
        <v>0</v>
      </c>
      <c r="AO26" s="101">
        <f>SUMIFS('9'!$E:$E,'9'!$A:$A,Año_Inicial,'9'!$B:$B,'11'!AN$4,'9'!$D:$D,"Prevención de plagas")</f>
        <v>0</v>
      </c>
      <c r="AP26" s="101">
        <f>(A1_A_L19*Plagas_A)+(A1_B_L19*Plagas_B)+(A1_C_L19*Plagas_C)+(A1_D_L19*Plagas_D)+(A1_Y_L19*Plagas_Y)</f>
        <v>0</v>
      </c>
      <c r="AQ26" s="101">
        <f>SUMIFS('9'!$E:$E,'9'!$A:$A,Año_Inicial,'9'!$B:$B,'11'!AP$4,'9'!$D:$D,"Prevención de plagas")</f>
        <v>0</v>
      </c>
      <c r="AR26" s="101">
        <f>(A1_A_L20*Plagas_A)+(A1_B_L20*Plagas_B)+(A1_C_L20*Plagas_C)+(A1_D_L20*Plagas_D)+(A1_Y_L20*Plagas_Y)</f>
        <v>0</v>
      </c>
      <c r="AS26" s="101">
        <f>SUMIFS('9'!$E:$E,'9'!$A:$A,Año_Inicial,'9'!$B:$B,'11'!AR$4,'9'!$D:$D,"Prevención de plagas")</f>
        <v>0</v>
      </c>
      <c r="AT26" s="101">
        <f>(A1_A_L21*Plagas_A)+(A1_B_L21*Plagas_B)+(A1_C_L21*Plagas_C)+(A1_D_L21*Plagas_D)+(A1_Y_L21*Plagas_Y)</f>
        <v>0</v>
      </c>
      <c r="AU26" s="101">
        <f>SUMIFS('9'!$E:$E,'9'!$A:$A,Año_Inicial,'9'!$B:$B,'11'!AT$4,'9'!$D:$D,"Prevención de plagas")</f>
        <v>0</v>
      </c>
      <c r="AV26" s="101">
        <f>(A1_A_L22*Plagas_A)+(A1_B_L22*Plagas_B)+(A1_C_L22*Plagas_C)+(A1_D_L22*Plagas_D)+(A1_Y_L22*Plagas_Y)</f>
        <v>0</v>
      </c>
      <c r="AW26" s="101">
        <f>SUMIFS('9'!$E:$E,'9'!$A:$A,Año_Inicial,'9'!$B:$B,'11'!AV$4,'9'!$D:$D,"Prevención de plagas")</f>
        <v>0</v>
      </c>
      <c r="AX26" s="101">
        <f>(A1_A_L23*Plagas_A)+(A1_B_L23*Plagas_B)+(A1_C_L23*Plagas_C)+(A1_D_L23*Plagas_D)+(A1_Y_L23*Plagas_Y)</f>
        <v>0</v>
      </c>
      <c r="AY26" s="101">
        <f>SUMIFS('9'!$E:$E,'9'!$A:$A,Año_Inicial,'9'!$B:$B,'11'!AX$4,'9'!$D:$D,"Prevención de plagas")</f>
        <v>0</v>
      </c>
      <c r="AZ26" s="101">
        <f>(A1_A_L24*Plagas_A)+(A1_B_L24*Plagas_B)+(A1_C_L24*Plagas_C)+(A1_D_L24*Plagas_D)+(A1_Y_L24*Plagas_Y)</f>
        <v>0</v>
      </c>
      <c r="BA26" s="101">
        <f>SUMIFS('9'!$E:$E,'9'!$A:$A,Año_Inicial,'9'!$B:$B,'11'!AZ$4,'9'!$D:$D,"Prevención de plagas")</f>
        <v>0</v>
      </c>
      <c r="BB26" s="101">
        <f>(A1_A_L25*Plagas_A)+(A1_B_L25*Plagas_B)+(A1_C_L25*Plagas_C)+(A1_D_L25*Plagas_D)+(A1_Y_L25*Plagas_Y)</f>
        <v>0</v>
      </c>
      <c r="BC26" s="101">
        <f>SUMIFS('9'!$E:$E,'9'!$A:$A,Año_Inicial,'9'!$B:$B,'11'!BB$4,'9'!$D:$D,"Prevención de plagas")</f>
        <v>0</v>
      </c>
      <c r="BD26" s="101">
        <f>(A1_A_L26*Plagas_A)+(A1_B_L26*Plagas_B)+(A1_C_L26*Plagas_C)+(A1_D_L26*Plagas_D)+(A1_Y_L26*Plagas_Y)</f>
        <v>0</v>
      </c>
      <c r="BE26" s="101">
        <f>SUMIFS('9'!$E:$E,'9'!$A:$A,Año_Inicial,'9'!$B:$B,'11'!BD$4,'9'!$D:$D,"Prevención de plagas")</f>
        <v>0</v>
      </c>
      <c r="BF26" s="101">
        <f>(A1_A_L27*Plagas_A)+(A1_B_L27*Plagas_B)+(A1_C_L27*Plagas_C)+(A1_D_L27*Plagas_D)+(A1_Y_L27*Plagas_Y)</f>
        <v>0</v>
      </c>
      <c r="BG26" s="101">
        <f>SUMIFS('9'!$E:$E,'9'!$A:$A,Año_Inicial,'9'!$B:$B,'11'!BF$4,'9'!$D:$D,"Prevención de plagas")</f>
        <v>0</v>
      </c>
      <c r="BH26" s="101">
        <f>(A1_A_L28*Plagas_A)+(A1_B_L28*Plagas_B)+(A1_C_L28*Plagas_C)+(A1_D_L28*Plagas_D)+(A1_Y_L28*Plagas_Y)</f>
        <v>0</v>
      </c>
      <c r="BI26" s="101">
        <f>SUMIFS('9'!$E:$E,'9'!$A:$A,Año_Inicial,'9'!$B:$B,'11'!BH$4,'9'!$D:$D,"Prevención de plagas")</f>
        <v>0</v>
      </c>
      <c r="BJ26" s="101">
        <f>(A1_A_L29*Plagas_A)+(A1_B_L29*Plagas_B)+(A1_C_L29*Plagas_C)+(A1_D_L29*Plagas_D)+(A1_Y_L29*Plagas_Y)</f>
        <v>0</v>
      </c>
      <c r="BK26" s="101">
        <f>SUMIFS('9'!$E:$E,'9'!$A:$A,Año_Inicial,'9'!$B:$B,'11'!BJ$4,'9'!$D:$D,"Prevención de plagas")</f>
        <v>0</v>
      </c>
      <c r="BL26" s="101">
        <f>(A1_A_L30*Plagas_A)+(A1_B_L30*Plagas_B)+(A1_C_L30*Plagas_C)+(A1_D_L30*Plagas_D)+(A1_Y_L30*Plagas_Y)</f>
        <v>0</v>
      </c>
      <c r="BM26" s="101">
        <f>SUMIFS('9'!$E:$E,'9'!$A:$A,Año_Inicial,'9'!$B:$B,'11'!BL$4,'9'!$D:$D,"Prevención de plagas")</f>
        <v>0</v>
      </c>
      <c r="BN26" s="101">
        <f>(A1_A_L31*Plagas_A)+(A1_B_L31*Plagas_B)+(A1_C_L31*Plagas_C)+(A1_D_L31*Plagas_D)+(A1_Y_L31*Plagas_Y)</f>
        <v>0</v>
      </c>
      <c r="BO26" s="101">
        <f>SUMIFS('9'!$E:$E,'9'!$A:$A,Año_Inicial,'9'!$B:$B,'11'!BN$4,'9'!$D:$D,"Prevención de plagas")</f>
        <v>0</v>
      </c>
      <c r="BP26" s="101">
        <f>(A1_A_L32*Plagas_A)+(A1_B_L32*Plagas_B)+(A1_C_L32*Plagas_C)+(A1_D_L32*Plagas_D)+(A1_Y_L32*Plagas_Y)</f>
        <v>0</v>
      </c>
      <c r="BQ26" s="101">
        <f>SUMIFS('9'!$E:$E,'9'!$A:$A,Año_Inicial,'9'!$B:$B,'11'!BP$4,'9'!$D:$D,"Prevención de plagas")</f>
        <v>0</v>
      </c>
      <c r="BR26" s="101">
        <f>(A1_A_L33*Plagas_A)+(A1_B_L33*Plagas_B)+(A1_C_L33*Plagas_C)+(A1_D_L33*Plagas_D)+(A1_Y_L33*Plagas_Y)</f>
        <v>0</v>
      </c>
      <c r="BS26" s="101">
        <f>SUMIFS('9'!$E:$E,'9'!$A:$A,Año_Inicial,'9'!$B:$B,'11'!BR$4,'9'!$D:$D,"Prevención de plagas")</f>
        <v>0</v>
      </c>
      <c r="BT26" s="101">
        <f>(A1_A_L34*Plagas_A)+(A1_B_L34*Plagas_B)+(A1_C_L34*Plagas_C)+(A1_D_L34*Plagas_D)+(A1_Y_L34*Plagas_Y)</f>
        <v>0</v>
      </c>
      <c r="BU26" s="101">
        <f>SUMIFS('9'!$E:$E,'9'!$A:$A,Año_Inicial,'9'!$B:$B,'11'!BT$4,'9'!$D:$D,"Prevención de plagas")</f>
        <v>0</v>
      </c>
      <c r="BV26" s="101">
        <f>(A1_A_L35*Plagas_A)+(A1_B_L35*Plagas_B)+(A1_C_L35*Plagas_C)+(A1_D_L35*Plagas_D)+(A1_Y_L35*Plagas_Y)</f>
        <v>0</v>
      </c>
      <c r="BW26" s="101">
        <f>SUMIFS('9'!$E:$E,'9'!$A:$A,Año_Inicial,'9'!$B:$B,'11'!BV$4,'9'!$D:$D,"Prevención de plagas")</f>
        <v>0</v>
      </c>
      <c r="BX26" s="101">
        <f>(A1_A_L36*Plagas_A)+(A1_B_L36*Plagas_B)+(A1_C_L36*Plagas_C)+(A1_D_L36*Plagas_D)+(A1_Y_L36*Plagas_Y)</f>
        <v>0</v>
      </c>
      <c r="BY26" s="101">
        <f>SUMIFS('9'!$E:$E,'9'!$A:$A,Año_Inicial,'9'!$B:$B,'11'!BX$4,'9'!$D:$D,"Prevención de plagas")</f>
        <v>0</v>
      </c>
      <c r="BZ26" s="101">
        <f>(A1_A_L37*Plagas_A)+(A1_B_L37*Plagas_B)+(A1_C_L37*Plagas_C)+(A1_D_L37*Plagas_D)+(A1_Y_L37*Plagas_Y)</f>
        <v>0</v>
      </c>
      <c r="CA26" s="101">
        <f>SUMIFS('9'!$E:$E,'9'!$A:$A,Año_Inicial,'9'!$B:$B,'11'!BZ$4,'9'!$D:$D,"Prevención de plagas")</f>
        <v>0</v>
      </c>
      <c r="CB26" s="101">
        <f>(A1_A_L38*Plagas_A)+(A1_B_L38*Plagas_B)+(A1_C_L38*Plagas_C)+(A1_D_L38*Plagas_D)+(A1_Y_L38*Plagas_Y)</f>
        <v>0</v>
      </c>
      <c r="CC26" s="101">
        <f>SUMIFS('9'!$E:$E,'9'!$A:$A,Año_Inicial,'9'!$B:$B,'11'!CB$4,'9'!$D:$D,"Prevención de plagas")</f>
        <v>0</v>
      </c>
      <c r="CD26" s="101">
        <f>(A1_A_L39*Plagas_A)+(A1_B_L39*Plagas_B)+(A1_C_L39*Plagas_C)+(A1_D_L39*Plagas_D)+(A1_Y_L39*Plagas_Y)</f>
        <v>0</v>
      </c>
      <c r="CE26" s="101">
        <f>SUMIFS('9'!$E:$E,'9'!$A:$A,Año_Inicial,'9'!$B:$B,'11'!CD$4,'9'!$D:$D,"Prevención de plagas")</f>
        <v>0</v>
      </c>
      <c r="CF26" s="101">
        <f>(A1_A_L40*Plagas_A)+(A1_B_L40*Plagas_B)+(A1_C_L40*Plagas_C)+(A1_D_L40*Plagas_D)+(A1_Y_L40*Plagas_Y)</f>
        <v>0</v>
      </c>
      <c r="CG26" s="101">
        <f>SUMIFS('9'!$E:$E,'9'!$A:$A,Año_Inicial,'9'!$B:$B,'11'!CF$4,'9'!$D:$D,"Prevención de plagas")</f>
        <v>0</v>
      </c>
      <c r="CH26" s="473"/>
      <c r="CI26" s="101">
        <f>Plantas_A_A1*Plagas_A</f>
        <v>0</v>
      </c>
      <c r="CJ26" s="101">
        <f>Plantas_B_A1*Plagas_B</f>
        <v>0</v>
      </c>
      <c r="CK26" s="101">
        <f>Plantas_C_A1*Plagas_C</f>
        <v>0</v>
      </c>
      <c r="CL26" s="101">
        <f>Plantas_D_A1*Plagas_D</f>
        <v>0</v>
      </c>
      <c r="CM26" s="101"/>
      <c r="CN26" s="101">
        <f>Plantas_Y_A1*Plagas_Y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68"/>
        <v>0</v>
      </c>
      <c r="C27" s="101">
        <f>SUMIFS('9'!$E:$E,'9'!$A:$A,Año_Inicial,'9'!$D:$D,"Insecticida")</f>
        <v>0</v>
      </c>
      <c r="D27" s="100">
        <f t="shared" si="67"/>
        <v>0</v>
      </c>
      <c r="E27" s="473"/>
      <c r="F27" s="101">
        <f>(A1_A_L1*Insecticida_A)+(A1_B_L1*Insecticida_B)+(A1_C_L1*Insecticida_C)+(A1_D_L1*Insecticida_D)+(A1_Y_L1*Insecticida_Y)</f>
        <v>0</v>
      </c>
      <c r="G27" s="101">
        <f>SUMIFS('9'!$E:$E,'9'!$A:$A,Año_Inicial,'9'!$B:$B,'11'!F$4,'9'!$D:$D,"Insecticida")</f>
        <v>0</v>
      </c>
      <c r="H27" s="101">
        <f>(A1_A_L2*Insecticida_A)+(A1_B_L2*Insecticida_B)+(A1_C_L2*Insecticida_C)+(A1_D_L2*Insecticida_D)+(A1_Y_L2*Insecticida_Y)</f>
        <v>0</v>
      </c>
      <c r="I27" s="101">
        <f>SUMIFS('9'!$E:$E,'9'!$A:$A,Año_Inicial,'9'!$B:$B,'11'!H$4,'9'!$D:$D,"Insecticida")</f>
        <v>0</v>
      </c>
      <c r="J27" s="101">
        <f>(A1_A_L3*Insecticida_A)+(A1_B_L3*Insecticida_B)+(A1_C_L3*Insecticida_C)+(A1_D_L3*Insecticida_D)+(A1_Y_L3*Insecticida_Y)</f>
        <v>0</v>
      </c>
      <c r="K27" s="101">
        <f>SUMIFS('9'!$E:$E,'9'!$A:$A,Año_Inicial,'9'!$B:$B,'11'!J$4,'9'!$D:$D,"Insecticida")</f>
        <v>0</v>
      </c>
      <c r="L27" s="101">
        <f>(A1_A_L4*Insecticida_A)+(A1_B_L4*Insecticida_B)+(A1_C_L4*Insecticida_C)+(A1_D_L4*Insecticida_D)+(A1_Y_L4*Insecticida_Y)</f>
        <v>0</v>
      </c>
      <c r="M27" s="101">
        <f>SUMIFS('9'!$E:$E,'9'!$A:$A,Año_Inicial,'9'!$B:$B,'11'!L$4,'9'!$D:$D,"Insecticida")</f>
        <v>0</v>
      </c>
      <c r="N27" s="101">
        <f>(A1_A_L5*Insecticida_A)+(A1_B_L5*Insecticida_B)+(A1_C_L5*Insecticida_C)+(A1_D_L5*Insecticida_D)+(A1_Y_L5*Insecticida_Y)</f>
        <v>0</v>
      </c>
      <c r="O27" s="101">
        <f>SUMIFS('9'!$E:$E,'9'!$A:$A,Año_Inicial,'9'!$B:$B,'11'!N$4,'9'!$D:$D,"Insecticida")</f>
        <v>0</v>
      </c>
      <c r="P27" s="101">
        <f>(A1_A_L6*Insecticida_A)+(A1_B_L6*Insecticida_B)+(A1_C_L6*Insecticida_C)+(A1_D_L6*Insecticida_D)+(A1_Y_L6*Insecticida_Y)</f>
        <v>0</v>
      </c>
      <c r="Q27" s="101">
        <f>SUMIFS('9'!$E:$E,'9'!$A:$A,Año_Inicial,'9'!$B:$B,'11'!P$4,'9'!$D:$D,"Insecticida")</f>
        <v>0</v>
      </c>
      <c r="R27" s="101">
        <f>(A1_A_L7*Insecticida_A)+(A1_B_L7*Insecticida_B)+(A1_C_L7*Insecticida_C)+(A1_D_L7*Insecticida_D)+(A1_Y_L7*Insecticida_Y)</f>
        <v>0</v>
      </c>
      <c r="S27" s="101">
        <f>SUMIFS('9'!$E:$E,'9'!$A:$A,Año_Inicial,'9'!$B:$B,'11'!R$4,'9'!$D:$D,"Insecticida")</f>
        <v>0</v>
      </c>
      <c r="T27" s="101">
        <f>(A1_A_L8*Insecticida_A)+(A1_B_L8*Insecticida_B)+(A1_C_L8*Insecticida_C)+(A1_D_L8*Insecticida_D)+(A1_Y_L8*Insecticida_Y)</f>
        <v>0</v>
      </c>
      <c r="U27" s="101">
        <f>SUMIFS('9'!$E:$E,'9'!$A:$A,Año_Inicial,'9'!$B:$B,'11'!T$4,'9'!$D:$D,"Insecticida")</f>
        <v>0</v>
      </c>
      <c r="V27" s="101">
        <f>(A1_A_L9*Insecticida_A)+(A1_B_L9*Insecticida_B)+(A1_C_L9*Insecticida_C)+(A1_D_L9*Insecticida_D)+(A1_Y_L9*Insecticida_Y)</f>
        <v>0</v>
      </c>
      <c r="W27" s="101">
        <f>SUMIFS('9'!$E:$E,'9'!$A:$A,Año_Inicial,'9'!$B:$B,'11'!V$4,'9'!$D:$D,"Insecticida")</f>
        <v>0</v>
      </c>
      <c r="X27" s="101">
        <f>(A1_A_L10*Insecticida_A)+(A1_B_L10*Insecticida_B)+(A1_C_L10*Insecticida_C)+(A1_D_L10*Insecticida_D)+(A1_Y_L10*Insecticida_Y)</f>
        <v>0</v>
      </c>
      <c r="Y27" s="101">
        <f>SUMIFS('9'!$E:$E,'9'!$A:$A,Año_Inicial,'9'!$B:$B,'11'!X$4,'9'!$D:$D,"Insecticida")</f>
        <v>0</v>
      </c>
      <c r="Z27" s="101">
        <f>(A1_A_L11*Insecticida_A)+(A1_B_L11*Insecticida_B)+(A1_C_L11*Insecticida_C)+(A1_D_L11*Insecticida_D)+(A1_Y_L11*Insecticida_Y)</f>
        <v>0</v>
      </c>
      <c r="AA27" s="101">
        <f>SUMIFS('9'!$E:$E,'9'!$A:$A,Año_Inicial,'9'!$B:$B,'11'!Z$4,'9'!$D:$D,"Insecticida")</f>
        <v>0</v>
      </c>
      <c r="AB27" s="101">
        <f>(A1_A_L12*Insecticida_A)+(A1_B_L12*Insecticida_B)+(A1_C_L12*Insecticida_C)+(A1_D_L12*Insecticida_D)+(A1_Y_L12*Insecticida_Y)</f>
        <v>0</v>
      </c>
      <c r="AC27" s="101">
        <f>SUMIFS('9'!$E:$E,'9'!$A:$A,Año_Inicial,'9'!$B:$B,'11'!AB$4,'9'!$D:$D,"Insecticida")</f>
        <v>0</v>
      </c>
      <c r="AD27" s="101">
        <f>(A1_A_L13*Insecticida_A)+(A1_B_L13*Insecticida_B)+(A1_C_L13*Insecticida_C)+(A1_D_L13*Insecticida_D)+(A1_Y_L13*Insecticida_Y)</f>
        <v>0</v>
      </c>
      <c r="AE27" s="101">
        <f>SUMIFS('9'!$E:$E,'9'!$A:$A,Año_Inicial,'9'!$B:$B,'11'!AD$4,'9'!$D:$D,"Insecticida")</f>
        <v>0</v>
      </c>
      <c r="AF27" s="101">
        <f>(A1_A_L14*Insecticida_A)+(A1_B_L14*Insecticida_B)+(A1_C_L14*Insecticida_C)+(A1_D_L14*Insecticida_D)+(A1_Y_L14*Insecticida_Y)</f>
        <v>0</v>
      </c>
      <c r="AG27" s="101">
        <f>SUMIFS('9'!$E:$E,'9'!$A:$A,Año_Inicial,'9'!$B:$B,'11'!AF$4,'9'!$D:$D,"Insecticida")</f>
        <v>0</v>
      </c>
      <c r="AH27" s="101">
        <f>(A1_A_L15*Insecticida_A)+(A1_B_L15*Insecticida_B)+(A1_C_L15*Insecticida_C)+(A1_D_L15*Insecticida_D)+(A1_Y_L15*Insecticida_Y)</f>
        <v>0</v>
      </c>
      <c r="AI27" s="101">
        <f>SUMIFS('9'!$E:$E,'9'!$A:$A,Año_Inicial,'9'!$B:$B,'11'!AH$4,'9'!$D:$D,"Insecticida")</f>
        <v>0</v>
      </c>
      <c r="AJ27" s="101">
        <f>(A1_A_L16*Insecticida_A)+(A1_B_L16*Insecticida_B)+(A1_C_L16*Insecticida_C)+(A1_D_L16*Insecticida_D)+(A1_Y_L16*Insecticida_Y)</f>
        <v>0</v>
      </c>
      <c r="AK27" s="101">
        <f>SUMIFS('9'!$E:$E,'9'!$A:$A,Año_Inicial,'9'!$B:$B,'11'!AJ$4,'9'!$D:$D,"Insecticida")</f>
        <v>0</v>
      </c>
      <c r="AL27" s="101">
        <f>(A1_A_L17*Insecticida_A)+(A1_B_L17*Insecticida_B)+(A1_C_L17*Insecticida_C)+(A1_D_L17*Insecticida_D)+(A1_Y_L17*Insecticida_Y)</f>
        <v>0</v>
      </c>
      <c r="AM27" s="101">
        <f>SUMIFS('9'!$E:$E,'9'!$A:$A,Año_Inicial,'9'!$B:$B,'11'!AL$4,'9'!$D:$D,"Insecticida")</f>
        <v>0</v>
      </c>
      <c r="AN27" s="101">
        <f>(A1_A_L18*Insecticida_A)+(A1_B_L18*Insecticida_B)+(A1_C_L18*Insecticida_C)+(A1_D_L18*Insecticida_D)+(A1_Y_L18*Insecticida_Y)</f>
        <v>0</v>
      </c>
      <c r="AO27" s="101">
        <f>SUMIFS('9'!$E:$E,'9'!$A:$A,Año_Inicial,'9'!$B:$B,'11'!AN$4,'9'!$D:$D,"Insecticida")</f>
        <v>0</v>
      </c>
      <c r="AP27" s="101">
        <f>(A1_A_L19*Insecticida_A)+(A1_B_L19*Insecticida_B)+(A1_C_L19*Insecticida_C)+(A1_D_L19*Insecticida_D)+(A1_Y_L19*Insecticida_Y)</f>
        <v>0</v>
      </c>
      <c r="AQ27" s="101">
        <f>SUMIFS('9'!$E:$E,'9'!$A:$A,Año_Inicial,'9'!$B:$B,'11'!AP$4,'9'!$D:$D,"Insecticida")</f>
        <v>0</v>
      </c>
      <c r="AR27" s="101">
        <f>(A1_A_L20*Insecticida_A)+(A1_B_L20*Insecticida_B)+(A1_C_L20*Insecticida_C)+(A1_D_L20*Insecticida_D)+(A1_Y_L20*Insecticida_Y)</f>
        <v>0</v>
      </c>
      <c r="AS27" s="101">
        <f>SUMIFS('9'!$E:$E,'9'!$A:$A,Año_Inicial,'9'!$B:$B,'11'!AR$4,'9'!$D:$D,"Insecticida")</f>
        <v>0</v>
      </c>
      <c r="AT27" s="101">
        <f>(A1_A_L21*Insecticida_A)+(A1_B_L21*Insecticida_B)+(A1_C_L21*Insecticida_C)+(A1_D_L21*Insecticida_D)+(A1_Y_L21*Insecticida_Y)</f>
        <v>0</v>
      </c>
      <c r="AU27" s="101">
        <f>SUMIFS('9'!$E:$E,'9'!$A:$A,Año_Inicial,'9'!$B:$B,'11'!AT$4,'9'!$D:$D,"Insecticida")</f>
        <v>0</v>
      </c>
      <c r="AV27" s="101">
        <f>(A1_A_L22*Insecticida_A)+(A1_B_L22*Insecticida_B)+(A1_C_L22*Insecticida_C)+(A1_D_L22*Insecticida_D)+(A1_Y_L22*Insecticida_Y)</f>
        <v>0</v>
      </c>
      <c r="AW27" s="101">
        <f>SUMIFS('9'!$E:$E,'9'!$A:$A,Año_Inicial,'9'!$B:$B,'11'!AV$4,'9'!$D:$D,"Insecticida")</f>
        <v>0</v>
      </c>
      <c r="AX27" s="101">
        <f>(A1_A_L23*Insecticida_A)+(A1_B_L23*Insecticida_B)+(A1_C_L23*Insecticida_C)+(A1_D_L23*Insecticida_D)+(A1_Y_L23*Insecticida_Y)</f>
        <v>0</v>
      </c>
      <c r="AY27" s="101">
        <f>SUMIFS('9'!$E:$E,'9'!$A:$A,Año_Inicial,'9'!$B:$B,'11'!AX$4,'9'!$D:$D,"Insecticida")</f>
        <v>0</v>
      </c>
      <c r="AZ27" s="101">
        <f>(A1_A_L24*Insecticida_A)+(A1_B_L24*Insecticida_B)+(A1_C_L24*Insecticida_C)+(A1_D_L24*Insecticida_D)+(A1_Y_L24*Insecticida_Y)</f>
        <v>0</v>
      </c>
      <c r="BA27" s="101">
        <f>SUMIFS('9'!$E:$E,'9'!$A:$A,Año_Inicial,'9'!$B:$B,'11'!AZ$4,'9'!$D:$D,"Insecticida")</f>
        <v>0</v>
      </c>
      <c r="BB27" s="101">
        <f>(A1_A_L25*Insecticida_A)+(A1_B_L25*Insecticida_B)+(A1_C_L25*Insecticida_C)+(A1_D_L25*Insecticida_D)+(A1_Y_L25*Insecticida_Y)</f>
        <v>0</v>
      </c>
      <c r="BC27" s="101">
        <f>SUMIFS('9'!$E:$E,'9'!$A:$A,Año_Inicial,'9'!$B:$B,'11'!BB$4,'9'!$D:$D,"Insecticida")</f>
        <v>0</v>
      </c>
      <c r="BD27" s="101">
        <f>(A1_A_L26*Insecticida_A)+(A1_B_L26*Insecticida_B)+(A1_C_L26*Insecticida_C)+(A1_D_L26*Insecticida_D)+(A1_Y_L26*Insecticida_Y)</f>
        <v>0</v>
      </c>
      <c r="BE27" s="101">
        <f>SUMIFS('9'!$E:$E,'9'!$A:$A,Año_Inicial,'9'!$B:$B,'11'!BD$4,'9'!$D:$D,"Insecticida")</f>
        <v>0</v>
      </c>
      <c r="BF27" s="101">
        <f>(A1_A_L27*Insecticida_A)+(A1_B_L27*Insecticida_B)+(A1_C_L27*Insecticida_C)+(A1_D_L27*Insecticida_D)+(A1_Y_L27*Insecticida_Y)</f>
        <v>0</v>
      </c>
      <c r="BG27" s="101">
        <f>SUMIFS('9'!$E:$E,'9'!$A:$A,Año_Inicial,'9'!$B:$B,'11'!BF$4,'9'!$D:$D,"Insecticida")</f>
        <v>0</v>
      </c>
      <c r="BH27" s="101">
        <f>(A1_A_L28*Insecticida_A)+(A1_B_L28*Insecticida_B)+(A1_C_L28*Insecticida_C)+(A1_D_L28*Insecticida_D)+(A1_Y_L28*Insecticida_Y)</f>
        <v>0</v>
      </c>
      <c r="BI27" s="101">
        <f>SUMIFS('9'!$E:$E,'9'!$A:$A,Año_Inicial,'9'!$B:$B,'11'!BH$4,'9'!$D:$D,"Insecticida")</f>
        <v>0</v>
      </c>
      <c r="BJ27" s="101">
        <f>(A1_A_L29*Insecticida_A)+(A1_B_L29*Insecticida_B)+(A1_C_L29*Insecticida_C)+(A1_D_L29*Insecticida_D)+(A1_Y_L29*Insecticida_Y)</f>
        <v>0</v>
      </c>
      <c r="BK27" s="101">
        <f>SUMIFS('9'!$E:$E,'9'!$A:$A,Año_Inicial,'9'!$B:$B,'11'!BJ$4,'9'!$D:$D,"Insecticida")</f>
        <v>0</v>
      </c>
      <c r="BL27" s="101">
        <f>(A1_A_L30*Insecticida_A)+(A1_B_L30*Insecticida_B)+(A1_C_L30*Insecticida_C)+(A1_D_L30*Insecticida_D)+(A1_Y_L30*Insecticida_Y)</f>
        <v>0</v>
      </c>
      <c r="BM27" s="101">
        <f>SUMIFS('9'!$E:$E,'9'!$A:$A,Año_Inicial,'9'!$B:$B,'11'!BL$4,'9'!$D:$D,"Insecticida")</f>
        <v>0</v>
      </c>
      <c r="BN27" s="101">
        <f>(A1_A_L31*Insecticida_A)+(A1_B_L31*Insecticida_B)+(A1_C_L31*Insecticida_C)+(A1_D_L31*Insecticida_D)+(A1_Y_L31*Insecticida_Y)</f>
        <v>0</v>
      </c>
      <c r="BO27" s="101">
        <f>SUMIFS('9'!$E:$E,'9'!$A:$A,Año_Inicial,'9'!$B:$B,'11'!BN$4,'9'!$D:$D,"Insecticida")</f>
        <v>0</v>
      </c>
      <c r="BP27" s="101">
        <f>(A1_A_L32*Insecticida_A)+(A1_B_L32*Insecticida_B)+(A1_C_L32*Insecticida_C)+(A1_D_L32*Insecticida_D)+(A1_Y_L32*Insecticida_Y)</f>
        <v>0</v>
      </c>
      <c r="BQ27" s="101">
        <f>SUMIFS('9'!$E:$E,'9'!$A:$A,Año_Inicial,'9'!$B:$B,'11'!BP$4,'9'!$D:$D,"Insecticida")</f>
        <v>0</v>
      </c>
      <c r="BR27" s="101">
        <f>(A1_A_L33*Insecticida_A)+(A1_B_L33*Insecticida_B)+(A1_C_L33*Insecticida_C)+(A1_D_L33*Insecticida_D)+(A1_Y_L33*Insecticida_Y)</f>
        <v>0</v>
      </c>
      <c r="BS27" s="101">
        <f>SUMIFS('9'!$E:$E,'9'!$A:$A,Año_Inicial,'9'!$B:$B,'11'!BR$4,'9'!$D:$D,"Insecticida")</f>
        <v>0</v>
      </c>
      <c r="BT27" s="101">
        <f>(A1_A_L34*Insecticida_A)+(A1_B_L34*Insecticida_B)+(A1_C_L34*Insecticida_C)+(A1_D_L34*Insecticida_D)+(A1_Y_L34*Insecticida_Y)</f>
        <v>0</v>
      </c>
      <c r="BU27" s="101">
        <f>SUMIFS('9'!$E:$E,'9'!$A:$A,Año_Inicial,'9'!$B:$B,'11'!BT$4,'9'!$D:$D,"Insecticida")</f>
        <v>0</v>
      </c>
      <c r="BV27" s="101">
        <f>(A1_A_L35*Insecticida_A)+(A1_B_L35*Insecticida_B)+(A1_C_L35*Insecticida_C)+(A1_D_L35*Insecticida_D)+(A1_Y_L35*Insecticida_Y)</f>
        <v>0</v>
      </c>
      <c r="BW27" s="101">
        <f>SUMIFS('9'!$E:$E,'9'!$A:$A,Año_Inicial,'9'!$B:$B,'11'!BV$4,'9'!$D:$D,"Insecticida")</f>
        <v>0</v>
      </c>
      <c r="BX27" s="101">
        <f>(A1_A_L36*Insecticida_A)+(A1_B_L36*Insecticida_B)+(A1_C_L36*Insecticida_C)+(A1_D_L36*Insecticida_D)+(A1_Y_L36*Insecticida_Y)</f>
        <v>0</v>
      </c>
      <c r="BY27" s="101">
        <f>SUMIFS('9'!$E:$E,'9'!$A:$A,Año_Inicial,'9'!$B:$B,'11'!BX$4,'9'!$D:$D,"Insecticida")</f>
        <v>0</v>
      </c>
      <c r="BZ27" s="101">
        <f>(A1_A_L37*Insecticida_A)+(A1_B_L37*Insecticida_B)+(A1_C_L37*Insecticida_C)+(A1_D_L37*Insecticida_D)+(A1_Y_L37*Insecticida_Y)</f>
        <v>0</v>
      </c>
      <c r="CA27" s="101">
        <f>SUMIFS('9'!$E:$E,'9'!$A:$A,Año_Inicial,'9'!$B:$B,'11'!BZ$4,'9'!$D:$D,"Insecticida")</f>
        <v>0</v>
      </c>
      <c r="CB27" s="101">
        <f>(A1_A_L38*Insecticida_A)+(A1_B_L38*Insecticida_B)+(A1_C_L38*Insecticida_C)+(A1_D_L38*Insecticida_D)+(A1_Y_L38*Insecticida_Y)</f>
        <v>0</v>
      </c>
      <c r="CC27" s="101">
        <f>SUMIFS('9'!$E:$E,'9'!$A:$A,Año_Inicial,'9'!$B:$B,'11'!CB$4,'9'!$D:$D,"Insecticida")</f>
        <v>0</v>
      </c>
      <c r="CD27" s="101">
        <f>(A1_A_L39*Insecticida_A)+(A1_B_L39*Insecticida_B)+(A1_C_L39*Insecticida_C)+(A1_D_L39*Insecticida_D)+(A1_Y_L39*Insecticida_Y)</f>
        <v>0</v>
      </c>
      <c r="CE27" s="101">
        <f>SUMIFS('9'!$E:$E,'9'!$A:$A,Año_Inicial,'9'!$B:$B,'11'!CD$4,'9'!$D:$D,"Insecticida")</f>
        <v>0</v>
      </c>
      <c r="CF27" s="101">
        <f>(A1_A_L40*Insecticida_A)+(A1_B_L40*Insecticida_B)+(A1_C_L40*Insecticida_C)+(A1_D_L40*Insecticida_D)+(A1_Y_L40*Insecticida_Y)</f>
        <v>0</v>
      </c>
      <c r="CG27" s="101">
        <f>SUMIFS('9'!$E:$E,'9'!$A:$A,Año_Inicial,'9'!$B:$B,'11'!CF$4,'9'!$D:$D,"Insecticida")</f>
        <v>0</v>
      </c>
      <c r="CH27" s="473"/>
      <c r="CI27" s="101">
        <f>Plantas_A_A1*Insecticida_A</f>
        <v>0</v>
      </c>
      <c r="CJ27" s="101">
        <f>Plantas_B_A1*Insecticida_B</f>
        <v>0</v>
      </c>
      <c r="CK27" s="101">
        <f>Plantas_C_A1*Insecticida_C</f>
        <v>0</v>
      </c>
      <c r="CL27" s="101">
        <f>Plantas_D_A1*Insecticida_D</f>
        <v>0</v>
      </c>
      <c r="CM27" s="101"/>
      <c r="CN27" s="101">
        <f>Plantas_Y_A1*Insecticida_Y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68"/>
        <v>0</v>
      </c>
      <c r="C29" s="101">
        <f>SUMIFS('9'!$E:$E,'9'!$A:$A,Año_Inicial,'9'!$D:$D,"Prevención de enfermedades")</f>
        <v>0</v>
      </c>
      <c r="D29" s="100">
        <f t="shared" si="67"/>
        <v>0</v>
      </c>
      <c r="E29" s="473"/>
      <c r="F29" s="101">
        <f>(A1_A_L1*Enfermedades_A)+(A1_B_L1*Enfermedades_B)+(A1_C_L1*Enfermedades_C)+(A1_D_L1*Enfermedades_D)+(A1_Y_L1*Enfermedades_Y)</f>
        <v>0</v>
      </c>
      <c r="G29" s="101">
        <f>SUMIFS('9'!$E:$E,'9'!$A:$A,Año_Inicial,'9'!$B:$B,'11'!F$4,'9'!$D:$D,"Prevención de enfermedades")</f>
        <v>0</v>
      </c>
      <c r="H29" s="101">
        <f>(A1_A_L2*Enfermedades_A)+(A1_B_L2*Enfermedades_B)+(A1_C_L2*Enfermedades_C)+(A1_D_L2*Enfermedades_D)+(A1_Y_L2*Enfermedades_Y)</f>
        <v>0</v>
      </c>
      <c r="I29" s="101">
        <f>SUMIFS('9'!$E:$E,'9'!$A:$A,Año_Inicial,'9'!$B:$B,'11'!H$4,'9'!$D:$D,"Prevención de enfermedades")</f>
        <v>0</v>
      </c>
      <c r="J29" s="101">
        <f>(A1_A_L3*Enfermedades_A)+(A1_B_L3*Enfermedades_B)+(A1_C_L3*Enfermedades_C)+(A1_D_L3*Enfermedades_D)+(A1_Y_L3*Enfermedades_Y)</f>
        <v>0</v>
      </c>
      <c r="K29" s="101">
        <f>SUMIFS('9'!$E:$E,'9'!$A:$A,Año_Inicial,'9'!$B:$B,'11'!J$4,'9'!$D:$D,"Prevención de enfermedades")</f>
        <v>0</v>
      </c>
      <c r="L29" s="101">
        <f>(A1_A_L4*Enfermedades_A)+(A1_B_L4*Enfermedades_B)+(A1_C_L4*Enfermedades_C)+(A1_D_L4*Enfermedades_D)+(A1_Y_L4*Enfermedades_Y)</f>
        <v>0</v>
      </c>
      <c r="M29" s="101">
        <f>SUMIFS('9'!$E:$E,'9'!$A:$A,Año_Inicial,'9'!$B:$B,'11'!L$4,'9'!$D:$D,"Prevención de enfermedades")</f>
        <v>0</v>
      </c>
      <c r="N29" s="101">
        <f>(A1_A_L5*Enfermedades_A)+(A1_B_L5*Enfermedades_B)+(A1_C_L5*Enfermedades_C)+(A1_D_L5*Enfermedades_D)+(A1_Y_L5*Enfermedades_Y)</f>
        <v>0</v>
      </c>
      <c r="O29" s="101">
        <f>SUMIFS('9'!$E:$E,'9'!$A:$A,Año_Inicial,'9'!$B:$B,'11'!N$4,'9'!$D:$D,"Prevención de enfermedades")</f>
        <v>0</v>
      </c>
      <c r="P29" s="101">
        <f>(A1_A_L6*Enfermedades_A)+(A1_B_L6*Enfermedades_B)+(A1_C_L6*Enfermedades_C)+(A1_D_L6*Enfermedades_D)+(A1_Y_L6*Enfermedades_Y)</f>
        <v>0</v>
      </c>
      <c r="Q29" s="101">
        <f>SUMIFS('9'!$E:$E,'9'!$A:$A,Año_Inicial,'9'!$B:$B,'11'!P$4,'9'!$D:$D,"Prevención de enfermedades")</f>
        <v>0</v>
      </c>
      <c r="R29" s="101">
        <f>(A1_A_L7*Enfermedades_A)+(A1_B_L7*Enfermedades_B)+(A1_C_L7*Enfermedades_C)+(A1_D_L7*Enfermedades_D)+(A1_Y_L7*Enfermedades_Y)</f>
        <v>0</v>
      </c>
      <c r="S29" s="101">
        <f>SUMIFS('9'!$E:$E,'9'!$A:$A,Año_Inicial,'9'!$B:$B,'11'!R$4,'9'!$D:$D,"Prevención de enfermedades")</f>
        <v>0</v>
      </c>
      <c r="T29" s="101">
        <f>(A1_A_L8*Enfermedades_A)+(A1_B_L8*Enfermedades_B)+(A1_C_L8*Enfermedades_C)+(A1_D_L8*Enfermedades_D)+(A1_Y_L8*Enfermedades_Y)</f>
        <v>0</v>
      </c>
      <c r="U29" s="101">
        <f>SUMIFS('9'!$E:$E,'9'!$A:$A,Año_Inicial,'9'!$B:$B,'11'!T$4,'9'!$D:$D,"Prevención de enfermedades")</f>
        <v>0</v>
      </c>
      <c r="V29" s="101">
        <f>(A1_A_L9*Enfermedades_A)+(A1_B_L9*Enfermedades_B)+(A1_C_L9*Enfermedades_C)+(A1_D_L9*Enfermedades_D)+(A1_Y_L9*Enfermedades_Y)</f>
        <v>0</v>
      </c>
      <c r="W29" s="101">
        <f>SUMIFS('9'!$E:$E,'9'!$A:$A,Año_Inicial,'9'!$B:$B,'11'!V$4,'9'!$D:$D,"Prevención de enfermedades")</f>
        <v>0</v>
      </c>
      <c r="X29" s="101">
        <f>(A1_A_L10*Enfermedades_A)+(A1_B_L10*Enfermedades_B)+(A1_C_L10*Enfermedades_C)+(A1_D_L10*Enfermedades_D)+(A1_Y_L10*Enfermedades_Y)</f>
        <v>0</v>
      </c>
      <c r="Y29" s="101">
        <f>SUMIFS('9'!$E:$E,'9'!$A:$A,Año_Inicial,'9'!$B:$B,'11'!X$4,'9'!$D:$D,"Prevención de enfermedades")</f>
        <v>0</v>
      </c>
      <c r="Z29" s="101">
        <f>(A1_A_L11*Enfermedades_A)+(A1_B_L11*Enfermedades_B)+(A1_C_L11*Enfermedades_C)+(A1_D_L11*Enfermedades_D)+(A1_Y_L11*Enfermedades_Y)</f>
        <v>0</v>
      </c>
      <c r="AA29" s="101">
        <f>SUMIFS('9'!$E:$E,'9'!$A:$A,Año_Inicial,'9'!$B:$B,'11'!Z$4,'9'!$D:$D,"Prevención de enfermedades")</f>
        <v>0</v>
      </c>
      <c r="AB29" s="101">
        <f>(A1_A_L12*Enfermedades_A)+(A1_B_L12*Enfermedades_B)+(A1_C_L12*Enfermedades_C)+(A1_D_L12*Enfermedades_D)+(A1_Y_L12*Enfermedades_Y)</f>
        <v>0</v>
      </c>
      <c r="AC29" s="101">
        <f>SUMIFS('9'!$E:$E,'9'!$A:$A,Año_Inicial,'9'!$B:$B,'11'!AB$4,'9'!$D:$D,"Prevención de enfermedades")</f>
        <v>0</v>
      </c>
      <c r="AD29" s="101">
        <f>(A1_A_L13*Enfermedades_A)+(A1_B_L13*Enfermedades_B)+(A1_C_L13*Enfermedades_C)+(A1_D_L13*Enfermedades_D)+(A1_Y_L13*Enfermedades_Y)</f>
        <v>0</v>
      </c>
      <c r="AE29" s="101">
        <f>SUMIFS('9'!$E:$E,'9'!$A:$A,Año_Inicial,'9'!$B:$B,'11'!AD$4,'9'!$D:$D,"Prevención de enfermedades")</f>
        <v>0</v>
      </c>
      <c r="AF29" s="101">
        <f>(A1_A_L14*Enfermedades_A)+(A1_B_L14*Enfermedades_B)+(A1_C_L14*Enfermedades_C)+(A1_D_L14*Enfermedades_D)+(A1_Y_L14*Enfermedades_Y)</f>
        <v>0</v>
      </c>
      <c r="AG29" s="101">
        <f>SUMIFS('9'!$E:$E,'9'!$A:$A,Año_Inicial,'9'!$B:$B,'11'!AF$4,'9'!$D:$D,"Prevención de enfermedades")</f>
        <v>0</v>
      </c>
      <c r="AH29" s="101">
        <f>(A1_A_L15*Enfermedades_A)+(A1_B_L15*Enfermedades_B)+(A1_C_L15*Enfermedades_C)+(A1_D_L15*Enfermedades_D)+(A1_Y_L15*Enfermedades_Y)</f>
        <v>0</v>
      </c>
      <c r="AI29" s="101">
        <f>SUMIFS('9'!$E:$E,'9'!$A:$A,Año_Inicial,'9'!$B:$B,'11'!AH$4,'9'!$D:$D,"Prevención de enfermedades")</f>
        <v>0</v>
      </c>
      <c r="AJ29" s="101">
        <f>(A1_A_L16*Enfermedades_A)+(A1_B_L16*Enfermedades_B)+(A1_C_L16*Enfermedades_C)+(A1_D_L16*Enfermedades_D)+(A1_Y_L16*Enfermedades_Y)</f>
        <v>0</v>
      </c>
      <c r="AK29" s="101">
        <f>SUMIFS('9'!$E:$E,'9'!$A:$A,Año_Inicial,'9'!$B:$B,'11'!AJ$4,'9'!$D:$D,"Prevención de enfermedades")</f>
        <v>0</v>
      </c>
      <c r="AL29" s="101">
        <f>(A1_A_L17*Enfermedades_A)+(A1_B_L17*Enfermedades_B)+(A1_C_L17*Enfermedades_C)+(A1_D_L17*Enfermedades_D)+(A1_Y_L17*Enfermedades_Y)</f>
        <v>0</v>
      </c>
      <c r="AM29" s="101">
        <f>SUMIFS('9'!$E:$E,'9'!$A:$A,Año_Inicial,'9'!$B:$B,'11'!AL$4,'9'!$D:$D,"Prevención de enfermedades")</f>
        <v>0</v>
      </c>
      <c r="AN29" s="101">
        <f>(A1_A_L18*Enfermedades_A)+(A1_B_L18*Enfermedades_B)+(A1_C_L18*Enfermedades_C)+(A1_D_L18*Enfermedades_D)+(A1_Y_L18*Enfermedades_Y)</f>
        <v>0</v>
      </c>
      <c r="AO29" s="101">
        <f>SUMIFS('9'!$E:$E,'9'!$A:$A,Año_Inicial,'9'!$B:$B,'11'!AN$4,'9'!$D:$D,"Prevención de enfermedades")</f>
        <v>0</v>
      </c>
      <c r="AP29" s="101">
        <f>(A1_A_L19*Enfermedades_A)+(A1_B_L19*Enfermedades_B)+(A1_C_L19*Enfermedades_C)+(A1_D_L19*Enfermedades_D)+(A1_Y_L19*Enfermedades_Y)</f>
        <v>0</v>
      </c>
      <c r="AQ29" s="101">
        <f>SUMIFS('9'!$E:$E,'9'!$A:$A,Año_Inicial,'9'!$B:$B,'11'!AP$4,'9'!$D:$D,"Prevención de enfermedades")</f>
        <v>0</v>
      </c>
      <c r="AR29" s="101">
        <f>(A1_A_L20*Enfermedades_A)+(A1_B_L20*Enfermedades_B)+(A1_C_L20*Enfermedades_C)+(A1_D_L20*Enfermedades_D)+(A1_Y_L20*Enfermedades_Y)</f>
        <v>0</v>
      </c>
      <c r="AS29" s="101">
        <f>SUMIFS('9'!$E:$E,'9'!$A:$A,Año_Inicial,'9'!$B:$B,'11'!AR$4,'9'!$D:$D,"Prevención de enfermedades")</f>
        <v>0</v>
      </c>
      <c r="AT29" s="101">
        <f>(A1_A_L21*Enfermedades_A)+(A1_B_L21*Enfermedades_B)+(A1_C_L21*Enfermedades_C)+(A1_D_L21*Enfermedades_D)+(A1_Y_L21*Enfermedades_Y)</f>
        <v>0</v>
      </c>
      <c r="AU29" s="101">
        <f>SUMIFS('9'!$E:$E,'9'!$A:$A,Año_Inicial,'9'!$B:$B,'11'!AT$4,'9'!$D:$D,"Prevención de enfermedades")</f>
        <v>0</v>
      </c>
      <c r="AV29" s="101">
        <f>(A1_A_L22*Enfermedades_A)+(A1_B_L22*Enfermedades_B)+(A1_C_L22*Enfermedades_C)+(A1_D_L22*Enfermedades_D)+(A1_Y_L22*Enfermedades_Y)</f>
        <v>0</v>
      </c>
      <c r="AW29" s="101">
        <f>SUMIFS('9'!$E:$E,'9'!$A:$A,Año_Inicial,'9'!$B:$B,'11'!AV$4,'9'!$D:$D,"Prevención de enfermedades")</f>
        <v>0</v>
      </c>
      <c r="AX29" s="101">
        <f>(A1_A_L23*Enfermedades_A)+(A1_B_L23*Enfermedades_B)+(A1_C_L23*Enfermedades_C)+(A1_D_L23*Enfermedades_D)+(A1_Y_L23*Enfermedades_Y)</f>
        <v>0</v>
      </c>
      <c r="AY29" s="101">
        <f>SUMIFS('9'!$E:$E,'9'!$A:$A,Año_Inicial,'9'!$B:$B,'11'!AX$4,'9'!$D:$D,"Prevención de enfermedades")</f>
        <v>0</v>
      </c>
      <c r="AZ29" s="101">
        <f>(A1_A_L24*Enfermedades_A)+(A1_B_L24*Enfermedades_B)+(A1_C_L24*Enfermedades_C)+(A1_D_L24*Enfermedades_D)+(A1_Y_L24*Enfermedades_Y)</f>
        <v>0</v>
      </c>
      <c r="BA29" s="101">
        <f>SUMIFS('9'!$E:$E,'9'!$A:$A,Año_Inicial,'9'!$B:$B,'11'!AZ$4,'9'!$D:$D,"Prevención de enfermedades")</f>
        <v>0</v>
      </c>
      <c r="BB29" s="101">
        <f>(A1_A_L25*Enfermedades_A)+(A1_B_L25*Enfermedades_B)+(A1_C_L25*Enfermedades_C)+(A1_D_L25*Enfermedades_D)+(A1_Y_L25*Enfermedades_Y)</f>
        <v>0</v>
      </c>
      <c r="BC29" s="101">
        <f>SUMIFS('9'!$E:$E,'9'!$A:$A,Año_Inicial,'9'!$B:$B,'11'!BB$4,'9'!$D:$D,"Prevención de enfermedades")</f>
        <v>0</v>
      </c>
      <c r="BD29" s="101">
        <f>(A1_A_L26*Enfermedades_A)+(A1_B_L26*Enfermedades_B)+(A1_C_L26*Enfermedades_C)+(A1_D_L26*Enfermedades_D)+(A1_Y_L26*Enfermedades_Y)</f>
        <v>0</v>
      </c>
      <c r="BE29" s="101">
        <f>SUMIFS('9'!$E:$E,'9'!$A:$A,Año_Inicial,'9'!$B:$B,'11'!BD$4,'9'!$D:$D,"Prevención de enfermedades")</f>
        <v>0</v>
      </c>
      <c r="BF29" s="101">
        <f>(A1_A_L27*Enfermedades_A)+(A1_B_L27*Enfermedades_B)+(A1_C_L27*Enfermedades_C)+(A1_D_L27*Enfermedades_D)+(A1_Y_L27*Enfermedades_Y)</f>
        <v>0</v>
      </c>
      <c r="BG29" s="101">
        <f>SUMIFS('9'!$E:$E,'9'!$A:$A,Año_Inicial,'9'!$B:$B,'11'!BF$4,'9'!$D:$D,"Prevención de enfermedades")</f>
        <v>0</v>
      </c>
      <c r="BH29" s="101">
        <f>(A1_A_L28*Enfermedades_A)+(A1_B_L28*Enfermedades_B)+(A1_C_L28*Enfermedades_C)+(A1_D_L28*Enfermedades_D)+(A1_Y_L28*Enfermedades_Y)</f>
        <v>0</v>
      </c>
      <c r="BI29" s="101">
        <f>SUMIFS('9'!$E:$E,'9'!$A:$A,Año_Inicial,'9'!$B:$B,'11'!BH$4,'9'!$D:$D,"Prevención de enfermedades")</f>
        <v>0</v>
      </c>
      <c r="BJ29" s="101">
        <f>(A1_A_L29*Enfermedades_A)+(A1_B_L29*Enfermedades_B)+(A1_C_L29*Enfermedades_C)+(A1_D_L29*Enfermedades_D)+(A1_Y_L29*Enfermedades_Y)</f>
        <v>0</v>
      </c>
      <c r="BK29" s="101">
        <f>SUMIFS('9'!$E:$E,'9'!$A:$A,Año_Inicial,'9'!$B:$B,'11'!BJ$4,'9'!$D:$D,"Prevención de enfermedades")</f>
        <v>0</v>
      </c>
      <c r="BL29" s="101">
        <f>(A1_A_L30*Enfermedades_A)+(A1_B_L30*Enfermedades_B)+(A1_C_L30*Enfermedades_C)+(A1_D_L30*Enfermedades_D)+(A1_Y_L30*Enfermedades_Y)</f>
        <v>0</v>
      </c>
      <c r="BM29" s="101">
        <f>SUMIFS('9'!$E:$E,'9'!$A:$A,Año_Inicial,'9'!$B:$B,'11'!BL$4,'9'!$D:$D,"Prevención de enfermedades")</f>
        <v>0</v>
      </c>
      <c r="BN29" s="101">
        <f>(A1_A_L31*Enfermedades_A)+(A1_B_L31*Enfermedades_B)+(A1_C_L31*Enfermedades_C)+(A1_D_L31*Enfermedades_D)+(A1_Y_L31*Enfermedades_Y)</f>
        <v>0</v>
      </c>
      <c r="BO29" s="101">
        <f>SUMIFS('9'!$E:$E,'9'!$A:$A,Año_Inicial,'9'!$B:$B,'11'!BN$4,'9'!$D:$D,"Prevención de enfermedades")</f>
        <v>0</v>
      </c>
      <c r="BP29" s="101">
        <f>(A1_A_L32*Enfermedades_A)+(A1_B_L32*Enfermedades_B)+(A1_C_L32*Enfermedades_C)+(A1_D_L32*Enfermedades_D)+(A1_Y_L32*Enfermedades_Y)</f>
        <v>0</v>
      </c>
      <c r="BQ29" s="101">
        <f>SUMIFS('9'!$E:$E,'9'!$A:$A,Año_Inicial,'9'!$B:$B,'11'!BP$4,'9'!$D:$D,"Prevención de enfermedades")</f>
        <v>0</v>
      </c>
      <c r="BR29" s="101">
        <f>(A1_A_L33*Enfermedades_A)+(A1_B_L33*Enfermedades_B)+(A1_C_L33*Enfermedades_C)+(A1_D_L33*Enfermedades_D)+(A1_Y_L33*Enfermedades_Y)</f>
        <v>0</v>
      </c>
      <c r="BS29" s="101">
        <f>SUMIFS('9'!$E:$E,'9'!$A:$A,Año_Inicial,'9'!$B:$B,'11'!BR$4,'9'!$D:$D,"Prevención de enfermedades")</f>
        <v>0</v>
      </c>
      <c r="BT29" s="101">
        <f>(A1_A_L34*Enfermedades_A)+(A1_B_L34*Enfermedades_B)+(A1_C_L34*Enfermedades_C)+(A1_D_L34*Enfermedades_D)+(A1_Y_L34*Enfermedades_Y)</f>
        <v>0</v>
      </c>
      <c r="BU29" s="101">
        <f>SUMIFS('9'!$E:$E,'9'!$A:$A,Año_Inicial,'9'!$B:$B,'11'!BT$4,'9'!$D:$D,"Prevención de enfermedades")</f>
        <v>0</v>
      </c>
      <c r="BV29" s="101">
        <f>(A1_A_L35*Enfermedades_A)+(A1_B_L35*Enfermedades_B)+(A1_C_L35*Enfermedades_C)+(A1_D_L35*Enfermedades_D)+(A1_Y_L35*Enfermedades_Y)</f>
        <v>0</v>
      </c>
      <c r="BW29" s="101">
        <f>SUMIFS('9'!$E:$E,'9'!$A:$A,Año_Inicial,'9'!$B:$B,'11'!BV$4,'9'!$D:$D,"Prevención de enfermedades")</f>
        <v>0</v>
      </c>
      <c r="BX29" s="101">
        <f>(A1_A_L36*Enfermedades_A)+(A1_B_L36*Enfermedades_B)+(A1_C_L36*Enfermedades_C)+(A1_D_L36*Enfermedades_D)+(A1_Y_L36*Enfermedades_Y)</f>
        <v>0</v>
      </c>
      <c r="BY29" s="101">
        <f>SUMIFS('9'!$E:$E,'9'!$A:$A,Año_Inicial,'9'!$B:$B,'11'!BX$4,'9'!$D:$D,"Prevención de enfermedades")</f>
        <v>0</v>
      </c>
      <c r="BZ29" s="101">
        <f>(A1_A_L37*Enfermedades_A)+(A1_B_L37*Enfermedades_B)+(A1_C_L37*Enfermedades_C)+(A1_D_L37*Enfermedades_D)+(A1_Y_L37*Enfermedades_Y)</f>
        <v>0</v>
      </c>
      <c r="CA29" s="101">
        <f>SUMIFS('9'!$E:$E,'9'!$A:$A,Año_Inicial,'9'!$B:$B,'11'!BZ$4,'9'!$D:$D,"Prevención de enfermedades")</f>
        <v>0</v>
      </c>
      <c r="CB29" s="101">
        <f>(A1_A_L38*Enfermedades_A)+(A1_B_L38*Enfermedades_B)+(A1_C_L38*Enfermedades_C)+(A1_D_L38*Enfermedades_D)+(A1_Y_L38*Enfermedades_Y)</f>
        <v>0</v>
      </c>
      <c r="CC29" s="101">
        <f>SUMIFS('9'!$E:$E,'9'!$A:$A,Año_Inicial,'9'!$B:$B,'11'!CB$4,'9'!$D:$D,"Prevención de enfermedades")</f>
        <v>0</v>
      </c>
      <c r="CD29" s="101">
        <f>(A1_A_L39*Enfermedades_A)+(A1_B_L39*Enfermedades_B)+(A1_C_L39*Enfermedades_C)+(A1_D_L39*Enfermedades_D)+(A1_Y_L39*Enfermedades_Y)</f>
        <v>0</v>
      </c>
      <c r="CE29" s="101">
        <f>SUMIFS('9'!$E:$E,'9'!$A:$A,Año_Inicial,'9'!$B:$B,'11'!CD$4,'9'!$D:$D,"Prevención de enfermedades")</f>
        <v>0</v>
      </c>
      <c r="CF29" s="101">
        <f>(A1_A_L40*Enfermedades_A)+(A1_B_L40*Enfermedades_B)+(A1_C_L40*Enfermedades_C)+(A1_D_L40*Enfermedades_D)+(A1_Y_L40*Enfermedades_Y)</f>
        <v>0</v>
      </c>
      <c r="CG29" s="101">
        <f>SUMIFS('9'!$E:$E,'9'!$A:$A,Año_Inicial,'9'!$B:$B,'11'!CF$4,'9'!$D:$D,"Prevención de enfermedades")</f>
        <v>0</v>
      </c>
      <c r="CH29" s="473"/>
      <c r="CI29" s="101">
        <f>Plantas_A_A1*Enfermedades_A</f>
        <v>0</v>
      </c>
      <c r="CJ29" s="101">
        <f>Plantas_B_A1*Enfermedades_B</f>
        <v>0</v>
      </c>
      <c r="CK29" s="101">
        <f>Plantas_C_A1*Enfermedades_C</f>
        <v>0</v>
      </c>
      <c r="CL29" s="101">
        <f>Plantas_D_A1*Enfermedades_D</f>
        <v>0</v>
      </c>
      <c r="CM29" s="101"/>
      <c r="CN29" s="101">
        <f>Plantas_Y_A1*Enfermedades_Y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68"/>
        <v>0</v>
      </c>
      <c r="C30" s="101">
        <f>SUMIFS('9'!$E:$E,'9'!$A:$A,Año_Inicial,'9'!$D:$D,"Fungicida")</f>
        <v>0</v>
      </c>
      <c r="D30" s="100">
        <f t="shared" si="67"/>
        <v>0</v>
      </c>
      <c r="E30" s="473"/>
      <c r="F30" s="101">
        <f>(A1_A_L1*Fungicida_A)+(A1_B_L1*Fungicida_B)+(A1_C_L1*Fungicida_C)+(A1_D_L1*Fungicida_D)+(A1_Y_L1*Fungicida_Y)</f>
        <v>0</v>
      </c>
      <c r="G30" s="101">
        <f>SUMIFS('9'!$E:$E,'9'!$A:$A,Año_Inicial,'9'!$B:$B,'11'!F$4,'9'!$D:$D,"Fungicida")</f>
        <v>0</v>
      </c>
      <c r="H30" s="101">
        <f>(A1_A_L2*Fungicida_A)+(A1_B_L2*Fungicida_B)+(A1_C_L2*Fungicida_C)+(A1_D_L2*Fungicida_D)+(A1_Y_L2*Fungicida_Y)</f>
        <v>0</v>
      </c>
      <c r="I30" s="101">
        <f>SUMIFS('9'!$E:$E,'9'!$A:$A,Año_Inicial,'9'!$B:$B,'11'!H$4,'9'!$D:$D,"Fungicida")</f>
        <v>0</v>
      </c>
      <c r="J30" s="101">
        <f>(A1_A_L3*Fungicida_A)+(A1_B_L3*Fungicida_B)+(A1_C_L3*Fungicida_C)+(A1_D_L3*Fungicida_D)+(A1_Y_L3*Fungicida_Y)</f>
        <v>0</v>
      </c>
      <c r="K30" s="101">
        <f>SUMIFS('9'!$E:$E,'9'!$A:$A,Año_Inicial,'9'!$B:$B,'11'!J$4,'9'!$D:$D,"Fungicida")</f>
        <v>0</v>
      </c>
      <c r="L30" s="101">
        <f>(A1_A_L4*Fungicida_A)+(A1_B_L4*Fungicida_B)+(A1_C_L4*Fungicida_C)+(A1_D_L4*Fungicida_D)+(A1_Y_L4*Fungicida_Y)</f>
        <v>0</v>
      </c>
      <c r="M30" s="101">
        <f>SUMIFS('9'!$E:$E,'9'!$A:$A,Año_Inicial,'9'!$B:$B,'11'!L$4,'9'!$D:$D,"Fungicida")</f>
        <v>0</v>
      </c>
      <c r="N30" s="101">
        <f>(A1_A_L5*Fungicida_A)+(A1_B_L5*Fungicida_B)+(A1_C_L5*Fungicida_C)+(A1_D_L5*Fungicida_D)+(A1_Y_L5*Fungicida_Y)</f>
        <v>0</v>
      </c>
      <c r="O30" s="101">
        <f>SUMIFS('9'!$E:$E,'9'!$A:$A,Año_Inicial,'9'!$B:$B,'11'!N$4,'9'!$D:$D,"Fungicida")</f>
        <v>0</v>
      </c>
      <c r="P30" s="101">
        <f>(A1_A_L6*Fungicida_A)+(A1_B_L6*Fungicida_B)+(A1_C_L6*Fungicida_C)+(A1_D_L6*Fungicida_D)+(A1_Y_L6*Fungicida_Y)</f>
        <v>0</v>
      </c>
      <c r="Q30" s="101">
        <f>SUMIFS('9'!$E:$E,'9'!$A:$A,Año_Inicial,'9'!$B:$B,'11'!P$4,'9'!$D:$D,"Fungicida")</f>
        <v>0</v>
      </c>
      <c r="R30" s="101">
        <f>(A1_A_L7*Fungicida_A)+(A1_B_L7*Fungicida_B)+(A1_C_L7*Fungicida_C)+(A1_D_L7*Fungicida_D)+(A1_Y_L7*Fungicida_Y)</f>
        <v>0</v>
      </c>
      <c r="S30" s="101">
        <f>SUMIFS('9'!$E:$E,'9'!$A:$A,Año_Inicial,'9'!$B:$B,'11'!R$4,'9'!$D:$D,"Fungicida")</f>
        <v>0</v>
      </c>
      <c r="T30" s="101">
        <f>(A1_A_L8*Fungicida_A)+(A1_B_L8*Fungicida_B)+(A1_C_L8*Fungicida_C)+(A1_D_L8*Fungicida_D)+(A1_Y_L8*Fungicida_Y)</f>
        <v>0</v>
      </c>
      <c r="U30" s="101">
        <f>SUMIFS('9'!$E:$E,'9'!$A:$A,Año_Inicial,'9'!$B:$B,'11'!T$4,'9'!$D:$D,"Fungicida")</f>
        <v>0</v>
      </c>
      <c r="V30" s="101">
        <f>(A1_A_L9*Fungicida_A)+(A1_B_L9*Fungicida_B)+(A1_C_L9*Fungicida_C)+(A1_D_L9*Fungicida_D)+(A1_Y_L9*Fungicida_Y)</f>
        <v>0</v>
      </c>
      <c r="W30" s="101">
        <f>SUMIFS('9'!$E:$E,'9'!$A:$A,Año_Inicial,'9'!$B:$B,'11'!V$4,'9'!$D:$D,"Fungicida")</f>
        <v>0</v>
      </c>
      <c r="X30" s="101">
        <f>(A1_A_L10*Fungicida_A)+(A1_B_L10*Fungicida_B)+(A1_C_L10*Fungicida_C)+(A1_D_L10*Fungicida_D)+(A1_Y_L10*Fungicida_Y)</f>
        <v>0</v>
      </c>
      <c r="Y30" s="101">
        <f>SUMIFS('9'!$E:$E,'9'!$A:$A,Año_Inicial,'9'!$B:$B,'11'!X$4,'9'!$D:$D,"Fungicida")</f>
        <v>0</v>
      </c>
      <c r="Z30" s="101">
        <f>(A1_A_L11*Fungicida_A)+(A1_B_L11*Fungicida_B)+(A1_C_L11*Fungicida_C)+(A1_D_L11*Fungicida_D)+(A1_Y_L11*Fungicida_Y)</f>
        <v>0</v>
      </c>
      <c r="AA30" s="101">
        <f>SUMIFS('9'!$E:$E,'9'!$A:$A,Año_Inicial,'9'!$B:$B,'11'!Z$4,'9'!$D:$D,"Fungicida")</f>
        <v>0</v>
      </c>
      <c r="AB30" s="101">
        <f>(A1_A_L12*Fungicida_A)+(A1_B_L12*Fungicida_B)+(A1_C_L12*Fungicida_C)+(A1_D_L12*Fungicida_D)+(A1_Y_L12*Fungicida_Y)</f>
        <v>0</v>
      </c>
      <c r="AC30" s="101">
        <f>SUMIFS('9'!$E:$E,'9'!$A:$A,Año_Inicial,'9'!$B:$B,'11'!AB$4,'9'!$D:$D,"Fungicida")</f>
        <v>0</v>
      </c>
      <c r="AD30" s="101">
        <f>(A1_A_L13*Fungicida_A)+(A1_B_L13*Fungicida_B)+(A1_C_L13*Fungicida_C)+(A1_D_L13*Fungicida_D)+(A1_Y_L13*Fungicida_Y)</f>
        <v>0</v>
      </c>
      <c r="AE30" s="101">
        <f>SUMIFS('9'!$E:$E,'9'!$A:$A,Año_Inicial,'9'!$B:$B,'11'!AD$4,'9'!$D:$D,"Fungicida")</f>
        <v>0</v>
      </c>
      <c r="AF30" s="101">
        <f>(A1_A_L14*Fungicida_A)+(A1_B_L14*Fungicida_B)+(A1_C_L14*Fungicida_C)+(A1_D_L14*Fungicida_D)+(A1_Y_L14*Fungicida_Y)</f>
        <v>0</v>
      </c>
      <c r="AG30" s="101">
        <f>SUMIFS('9'!$E:$E,'9'!$A:$A,Año_Inicial,'9'!$B:$B,'11'!AF$4,'9'!$D:$D,"Fungicida")</f>
        <v>0</v>
      </c>
      <c r="AH30" s="101">
        <f>(A1_A_L15*Fungicida_A)+(A1_B_L15*Fungicida_B)+(A1_C_L15*Fungicida_C)+(A1_D_L15*Fungicida_D)+(A1_Y_L15*Fungicida_Y)</f>
        <v>0</v>
      </c>
      <c r="AI30" s="101">
        <f>SUMIFS('9'!$E:$E,'9'!$A:$A,Año_Inicial,'9'!$B:$B,'11'!AH$4,'9'!$D:$D,"Fungicida")</f>
        <v>0</v>
      </c>
      <c r="AJ30" s="101">
        <f>(A1_A_L16*Fungicida_A)+(A1_B_L16*Fungicida_B)+(A1_C_L16*Fungicida_C)+(A1_D_L16*Fungicida_D)+(A1_Y_L16*Fungicida_Y)</f>
        <v>0</v>
      </c>
      <c r="AK30" s="101">
        <f>SUMIFS('9'!$E:$E,'9'!$A:$A,Año_Inicial,'9'!$B:$B,'11'!AJ$4,'9'!$D:$D,"Fungicida")</f>
        <v>0</v>
      </c>
      <c r="AL30" s="101">
        <f>(A1_A_L17*Fungicida_A)+(A1_B_L17*Fungicida_B)+(A1_C_L17*Fungicida_C)+(A1_D_L17*Fungicida_D)+(A1_Y_L17*Fungicida_Y)</f>
        <v>0</v>
      </c>
      <c r="AM30" s="101">
        <f>SUMIFS('9'!$E:$E,'9'!$A:$A,Año_Inicial,'9'!$B:$B,'11'!AL$4,'9'!$D:$D,"Fungicida")</f>
        <v>0</v>
      </c>
      <c r="AN30" s="101">
        <f>(A1_A_L18*Fungicida_A)+(A1_B_L18*Fungicida_B)+(A1_C_L18*Fungicida_C)+(A1_D_L18*Fungicida_D)+(A1_Y_L18*Fungicida_Y)</f>
        <v>0</v>
      </c>
      <c r="AO30" s="101">
        <f>SUMIFS('9'!$E:$E,'9'!$A:$A,Año_Inicial,'9'!$B:$B,'11'!AN$4,'9'!$D:$D,"Fungicida")</f>
        <v>0</v>
      </c>
      <c r="AP30" s="101">
        <f>(A1_A_L19*Fungicida_A)+(A1_B_L19*Fungicida_B)+(A1_C_L19*Fungicida_C)+(A1_D_L19*Fungicida_D)+(A1_Y_L19*Fungicida_Y)</f>
        <v>0</v>
      </c>
      <c r="AQ30" s="101">
        <f>SUMIFS('9'!$E:$E,'9'!$A:$A,Año_Inicial,'9'!$B:$B,'11'!AP$4,'9'!$D:$D,"Fungicida")</f>
        <v>0</v>
      </c>
      <c r="AR30" s="101">
        <f>(A1_A_L20*Fungicida_A)+(A1_B_L20*Fungicida_B)+(A1_C_L20*Fungicida_C)+(A1_D_L20*Fungicida_D)+(A1_Y_L20*Fungicida_Y)</f>
        <v>0</v>
      </c>
      <c r="AS30" s="101">
        <f>SUMIFS('9'!$E:$E,'9'!$A:$A,Año_Inicial,'9'!$B:$B,'11'!AR$4,'9'!$D:$D,"Fungicida")</f>
        <v>0</v>
      </c>
      <c r="AT30" s="101">
        <f>(A1_A_L21*Fungicida_A)+(A1_B_L21*Fungicida_B)+(A1_C_L21*Fungicida_C)+(A1_D_L21*Fungicida_D)+(A1_Y_L21*Fungicida_Y)</f>
        <v>0</v>
      </c>
      <c r="AU30" s="101">
        <f>SUMIFS('9'!$E:$E,'9'!$A:$A,Año_Inicial,'9'!$B:$B,'11'!AT$4,'9'!$D:$D,"Fungicida")</f>
        <v>0</v>
      </c>
      <c r="AV30" s="101">
        <f>(A1_A_L22*Fungicida_A)+(A1_B_L22*Fungicida_B)+(A1_C_L22*Fungicida_C)+(A1_D_L22*Fungicida_D)+(A1_Y_L22*Fungicida_Y)</f>
        <v>0</v>
      </c>
      <c r="AW30" s="101">
        <f>SUMIFS('9'!$E:$E,'9'!$A:$A,Año_Inicial,'9'!$B:$B,'11'!AV$4,'9'!$D:$D,"Fungicida")</f>
        <v>0</v>
      </c>
      <c r="AX30" s="101">
        <f>(A1_A_L23*Fungicida_A)+(A1_B_L23*Fungicida_B)+(A1_C_L23*Fungicida_C)+(A1_D_L23*Fungicida_D)+(A1_Y_L23*Fungicida_Y)</f>
        <v>0</v>
      </c>
      <c r="AY30" s="101">
        <f>SUMIFS('9'!$E:$E,'9'!$A:$A,Año_Inicial,'9'!$B:$B,'11'!AX$4,'9'!$D:$D,"Fungicida")</f>
        <v>0</v>
      </c>
      <c r="AZ30" s="101">
        <f>(A1_A_L24*Fungicida_A)+(A1_B_L24*Fungicida_B)+(A1_C_L24*Fungicida_C)+(A1_D_L24*Fungicida_D)+(A1_Y_L24*Fungicida_Y)</f>
        <v>0</v>
      </c>
      <c r="BA30" s="101">
        <f>SUMIFS('9'!$E:$E,'9'!$A:$A,Año_Inicial,'9'!$B:$B,'11'!AZ$4,'9'!$D:$D,"Fungicida")</f>
        <v>0</v>
      </c>
      <c r="BB30" s="101">
        <f>(A1_A_L25*Fungicida_A)+(A1_B_L25*Fungicida_B)+(A1_C_L25*Fungicida_C)+(A1_D_L25*Fungicida_D)+(A1_Y_L25*Fungicida_Y)</f>
        <v>0</v>
      </c>
      <c r="BC30" s="101">
        <f>SUMIFS('9'!$E:$E,'9'!$A:$A,Año_Inicial,'9'!$B:$B,'11'!BB$4,'9'!$D:$D,"Fungicida")</f>
        <v>0</v>
      </c>
      <c r="BD30" s="101">
        <f>(A1_A_L26*Fungicida_A)+(A1_B_L26*Fungicida_B)+(A1_C_L26*Fungicida_C)+(A1_D_L26*Fungicida_D)+(A1_Y_L26*Fungicida_Y)</f>
        <v>0</v>
      </c>
      <c r="BE30" s="101">
        <f>SUMIFS('9'!$E:$E,'9'!$A:$A,Año_Inicial,'9'!$B:$B,'11'!BD$4,'9'!$D:$D,"Fungicida")</f>
        <v>0</v>
      </c>
      <c r="BF30" s="101">
        <f>(A1_A_L27*Fungicida_A)+(A1_B_L27*Fungicida_B)+(A1_C_L27*Fungicida_C)+(A1_D_L27*Fungicida_D)+(A1_Y_L27*Fungicida_Y)</f>
        <v>0</v>
      </c>
      <c r="BG30" s="101">
        <f>SUMIFS('9'!$E:$E,'9'!$A:$A,Año_Inicial,'9'!$B:$B,'11'!BF$4,'9'!$D:$D,"Fungicida")</f>
        <v>0</v>
      </c>
      <c r="BH30" s="101">
        <f>(A1_A_L28*Fungicida_A)+(A1_B_L28*Fungicida_B)+(A1_C_L28*Fungicida_C)+(A1_D_L28*Fungicida_D)+(A1_Y_L28*Fungicida_Y)</f>
        <v>0</v>
      </c>
      <c r="BI30" s="101">
        <f>SUMIFS('9'!$E:$E,'9'!$A:$A,Año_Inicial,'9'!$B:$B,'11'!BH$4,'9'!$D:$D,"Fungicida")</f>
        <v>0</v>
      </c>
      <c r="BJ30" s="101">
        <f>(A1_A_L29*Fungicida_A)+(A1_B_L29*Fungicida_B)+(A1_C_L29*Fungicida_C)+(A1_D_L29*Fungicida_D)+(A1_Y_L29*Fungicida_Y)</f>
        <v>0</v>
      </c>
      <c r="BK30" s="101">
        <f>SUMIFS('9'!$E:$E,'9'!$A:$A,Año_Inicial,'9'!$B:$B,'11'!BJ$4,'9'!$D:$D,"Fungicida")</f>
        <v>0</v>
      </c>
      <c r="BL30" s="101">
        <f>(A1_A_L30*Fungicida_A)+(A1_B_L30*Fungicida_B)+(A1_C_L30*Fungicida_C)+(A1_D_L30*Fungicida_D)+(A1_Y_L30*Fungicida_Y)</f>
        <v>0</v>
      </c>
      <c r="BM30" s="101">
        <f>SUMIFS('9'!$E:$E,'9'!$A:$A,Año_Inicial,'9'!$B:$B,'11'!BL$4,'9'!$D:$D,"Fungicida")</f>
        <v>0</v>
      </c>
      <c r="BN30" s="101">
        <f>(A1_A_L31*Fungicida_A)+(A1_B_L31*Fungicida_B)+(A1_C_L31*Fungicida_C)+(A1_D_L31*Fungicida_D)+(A1_Y_L31*Fungicida_Y)</f>
        <v>0</v>
      </c>
      <c r="BO30" s="101">
        <f>SUMIFS('9'!$E:$E,'9'!$A:$A,Año_Inicial,'9'!$B:$B,'11'!BN$4,'9'!$D:$D,"Fungicida")</f>
        <v>0</v>
      </c>
      <c r="BP30" s="101">
        <f>(A1_A_L32*Fungicida_A)+(A1_B_L32*Fungicida_B)+(A1_C_L32*Fungicida_C)+(A1_D_L32*Fungicida_D)+(A1_Y_L32*Fungicida_Y)</f>
        <v>0</v>
      </c>
      <c r="BQ30" s="101">
        <f>SUMIFS('9'!$E:$E,'9'!$A:$A,Año_Inicial,'9'!$B:$B,'11'!BP$4,'9'!$D:$D,"Fungicida")</f>
        <v>0</v>
      </c>
      <c r="BR30" s="101">
        <f>(A1_A_L33*Fungicida_A)+(A1_B_L33*Fungicida_B)+(A1_C_L33*Fungicida_C)+(A1_D_L33*Fungicida_D)+(A1_Y_L33*Fungicida_Y)</f>
        <v>0</v>
      </c>
      <c r="BS30" s="101">
        <f>SUMIFS('9'!$E:$E,'9'!$A:$A,Año_Inicial,'9'!$B:$B,'11'!BR$4,'9'!$D:$D,"Fungicida")</f>
        <v>0</v>
      </c>
      <c r="BT30" s="101">
        <f>(A1_A_L34*Fungicida_A)+(A1_B_L34*Fungicida_B)+(A1_C_L34*Fungicida_C)+(A1_D_L34*Fungicida_D)+(A1_Y_L34*Fungicida_Y)</f>
        <v>0</v>
      </c>
      <c r="BU30" s="101">
        <f>SUMIFS('9'!$E:$E,'9'!$A:$A,Año_Inicial,'9'!$B:$B,'11'!BT$4,'9'!$D:$D,"Fungicida")</f>
        <v>0</v>
      </c>
      <c r="BV30" s="101">
        <f>(A1_A_L35*Fungicida_A)+(A1_B_L35*Fungicida_B)+(A1_C_L35*Fungicida_C)+(A1_D_L35*Fungicida_D)+(A1_Y_L35*Fungicida_Y)</f>
        <v>0</v>
      </c>
      <c r="BW30" s="101">
        <f>SUMIFS('9'!$E:$E,'9'!$A:$A,Año_Inicial,'9'!$B:$B,'11'!BV$4,'9'!$D:$D,"Fungicida")</f>
        <v>0</v>
      </c>
      <c r="BX30" s="101">
        <f>(A1_A_L36*Fungicida_A)+(A1_B_L36*Fungicida_B)+(A1_C_L36*Fungicida_C)+(A1_D_L36*Fungicida_D)+(A1_Y_L36*Fungicida_Y)</f>
        <v>0</v>
      </c>
      <c r="BY30" s="101">
        <f>SUMIFS('9'!$E:$E,'9'!$A:$A,Año_Inicial,'9'!$B:$B,'11'!BX$4,'9'!$D:$D,"Fungicida")</f>
        <v>0</v>
      </c>
      <c r="BZ30" s="101">
        <f>(A1_A_L37*Fungicida_A)+(A1_B_L37*Fungicida_B)+(A1_C_L37*Fungicida_C)+(A1_D_L37*Fungicida_D)+(A1_Y_L37*Fungicida_Y)</f>
        <v>0</v>
      </c>
      <c r="CA30" s="101">
        <f>SUMIFS('9'!$E:$E,'9'!$A:$A,Año_Inicial,'9'!$B:$B,'11'!BZ$4,'9'!$D:$D,"Fungicida")</f>
        <v>0</v>
      </c>
      <c r="CB30" s="101">
        <f>(A1_A_L38*Fungicida_A)+(A1_B_L38*Fungicida_B)+(A1_C_L38*Fungicida_C)+(A1_D_L38*Fungicida_D)+(A1_Y_L38*Fungicida_Y)</f>
        <v>0</v>
      </c>
      <c r="CC30" s="101">
        <f>SUMIFS('9'!$E:$E,'9'!$A:$A,Año_Inicial,'9'!$B:$B,'11'!CB$4,'9'!$D:$D,"Fungicida")</f>
        <v>0</v>
      </c>
      <c r="CD30" s="101">
        <f>(A1_A_L39*Fungicida_A)+(A1_B_L39*Fungicida_B)+(A1_C_L39*Fungicida_C)+(A1_D_L39*Fungicida_D)+(A1_Y_L39*Fungicida_Y)</f>
        <v>0</v>
      </c>
      <c r="CE30" s="101">
        <f>SUMIFS('9'!$E:$E,'9'!$A:$A,Año_Inicial,'9'!$B:$B,'11'!CD$4,'9'!$D:$D,"Fungicida")</f>
        <v>0</v>
      </c>
      <c r="CF30" s="101">
        <f>(A1_A_L40*Fungicida_A)+(A1_B_L40*Fungicida_B)+(A1_C_L40*Fungicida_C)+(A1_D_L40*Fungicida_D)+(A1_Y_L40*Fungicida_Y)</f>
        <v>0</v>
      </c>
      <c r="CG30" s="101">
        <f>SUMIFS('9'!$E:$E,'9'!$A:$A,Año_Inicial,'9'!$B:$B,'11'!CF$4,'9'!$D:$D,"Fungicida")</f>
        <v>0</v>
      </c>
      <c r="CH30" s="473"/>
      <c r="CI30" s="101">
        <f>Plantas_A_A1*Fungicida_A</f>
        <v>0</v>
      </c>
      <c r="CJ30" s="101">
        <f>Plantas_B_A1*Fungicida_B</f>
        <v>0</v>
      </c>
      <c r="CK30" s="101">
        <f>Plantas_C_A1*Fungicida_C</f>
        <v>0</v>
      </c>
      <c r="CL30" s="101">
        <f>Plantas_D_A1*Fungicida_D</f>
        <v>0</v>
      </c>
      <c r="CM30" s="101"/>
      <c r="CN30" s="101">
        <f>Plantas_Y_A1*Fungicida_Y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68"/>
        <v>0</v>
      </c>
      <c r="C32" s="101">
        <f>SUMIFS('9'!$E:$E,'9'!$A:$A,Año_Inicial,'9'!$D:$D,"Manejo de sombra")</f>
        <v>0</v>
      </c>
      <c r="D32" s="100">
        <f t="shared" si="67"/>
        <v>0</v>
      </c>
      <c r="E32" s="473"/>
      <c r="F32" s="101">
        <f>(A1_A_L1*Sombra_A)+(A1_B_L1*Sombra_B)+(A1_C_L1*Sombra_C)+(A1_D_L1*Sombra_D)+(A1_Y_L1*Sombra_Y)</f>
        <v>0</v>
      </c>
      <c r="G32" s="101">
        <f>SUMIFS('9'!$E:$E,'9'!$A:$A,Año_Inicial,'9'!$B:$B,'11'!F$4,'9'!$D:$D,"Manejo de sombra")</f>
        <v>0</v>
      </c>
      <c r="H32" s="101">
        <f>(A1_A_L2*Sombra_A)+(A1_B_L2*Sombra_B)+(A1_C_L2*Sombra_C)+(A1_D_L2*Sombra_D)+(A1_Y_L2*Sombra_Y)</f>
        <v>0</v>
      </c>
      <c r="I32" s="101">
        <f>SUMIFS('9'!$E:$E,'9'!$A:$A,Año_Inicial,'9'!$B:$B,'11'!H$4,'9'!$D:$D,"Manejo de sombra")</f>
        <v>0</v>
      </c>
      <c r="J32" s="101">
        <f>(A1_A_L3*Sombra_A)+(A1_B_L3*Sombra_B)+(A1_C_L3*Sombra_C)+(A1_D_L3*Sombra_D)+(A1_Y_L3*Sombra_Y)</f>
        <v>0</v>
      </c>
      <c r="K32" s="101">
        <f>SUMIFS('9'!$E:$E,'9'!$A:$A,Año_Inicial,'9'!$B:$B,'11'!J$4,'9'!$D:$D,"Manejo de sombra")</f>
        <v>0</v>
      </c>
      <c r="L32" s="101">
        <f>(A1_A_L4*Sombra_A)+(A1_B_L4*Sombra_B)+(A1_C_L4*Sombra_C)+(A1_D_L4*Sombra_D)+(A1_Y_L4*Sombra_Y)</f>
        <v>0</v>
      </c>
      <c r="M32" s="101">
        <f>SUMIFS('9'!$E:$E,'9'!$A:$A,Año_Inicial,'9'!$B:$B,'11'!L$4,'9'!$D:$D,"Manejo de sombra")</f>
        <v>0</v>
      </c>
      <c r="N32" s="101">
        <f>(A1_A_L5*Sombra_A)+(A1_B_L5*Sombra_B)+(A1_C_L5*Sombra_C)+(A1_D_L5*Sombra_D)+(A1_Y_L5*Sombra_Y)</f>
        <v>0</v>
      </c>
      <c r="O32" s="101">
        <f>SUMIFS('9'!$E:$E,'9'!$A:$A,Año_Inicial,'9'!$B:$B,'11'!N$4,'9'!$D:$D,"Manejo de sombra")</f>
        <v>0</v>
      </c>
      <c r="P32" s="101">
        <f>(A1_A_L6*Sombra_A)+(A1_B_L6*Sombra_B)+(A1_C_L6*Sombra_C)+(A1_D_L6*Sombra_D)+(A1_Y_L6*Sombra_Y)</f>
        <v>0</v>
      </c>
      <c r="Q32" s="101">
        <f>SUMIFS('9'!$E:$E,'9'!$A:$A,Año_Inicial,'9'!$B:$B,'11'!P$4,'9'!$D:$D,"Manejo de sombra")</f>
        <v>0</v>
      </c>
      <c r="R32" s="101">
        <f>(A1_A_L7*Sombra_A)+(A1_B_L7*Sombra_B)+(A1_C_L7*Sombra_C)+(A1_D_L7*Sombra_D)+(A1_Y_L7*Sombra_Y)</f>
        <v>0</v>
      </c>
      <c r="S32" s="101">
        <f>SUMIFS('9'!$E:$E,'9'!$A:$A,Año_Inicial,'9'!$B:$B,'11'!R$4,'9'!$D:$D,"Manejo de sombra")</f>
        <v>0</v>
      </c>
      <c r="T32" s="101">
        <f>(A1_A_L8*Sombra_A)+(A1_B_L8*Sombra_B)+(A1_C_L8*Sombra_C)+(A1_D_L8*Sombra_D)+(A1_Y_L8*Sombra_Y)</f>
        <v>0</v>
      </c>
      <c r="U32" s="101">
        <f>SUMIFS('9'!$E:$E,'9'!$A:$A,Año_Inicial,'9'!$B:$B,'11'!T$4,'9'!$D:$D,"Manejo de sombra")</f>
        <v>0</v>
      </c>
      <c r="V32" s="101">
        <f>(A1_A_L9*Sombra_A)+(A1_B_L9*Sombra_B)+(A1_C_L9*Sombra_C)+(A1_D_L9*Sombra_D)+(A1_Y_L9*Sombra_Y)</f>
        <v>0</v>
      </c>
      <c r="W32" s="101">
        <f>SUMIFS('9'!$E:$E,'9'!$A:$A,Año_Inicial,'9'!$B:$B,'11'!V$4,'9'!$D:$D,"Manejo de sombra")</f>
        <v>0</v>
      </c>
      <c r="X32" s="101">
        <f>(A1_A_L10*Sombra_A)+(A1_B_L10*Sombra_B)+(A1_C_L10*Sombra_C)+(A1_D_L10*Sombra_D)+(A1_Y_L10*Sombra_Y)</f>
        <v>0</v>
      </c>
      <c r="Y32" s="101">
        <f>SUMIFS('9'!$E:$E,'9'!$A:$A,Año_Inicial,'9'!$B:$B,'11'!X$4,'9'!$D:$D,"Manejo de sombra")</f>
        <v>0</v>
      </c>
      <c r="Z32" s="101">
        <f>(A1_A_L11*Sombra_A)+(A1_B_L11*Sombra_B)+(A1_C_L11*Sombra_C)+(A1_D_L11*Sombra_D)+(A1_Y_L11*Sombra_Y)</f>
        <v>0</v>
      </c>
      <c r="AA32" s="101">
        <f>SUMIFS('9'!$E:$E,'9'!$A:$A,Año_Inicial,'9'!$B:$B,'11'!Z$4,'9'!$D:$D,"Manejo de sombra")</f>
        <v>0</v>
      </c>
      <c r="AB32" s="101">
        <f>(A1_A_L12*Sombra_A)+(A1_B_L12*Sombra_B)+(A1_C_L12*Sombra_C)+(A1_D_L12*Sombra_D)+(A1_Y_L12*Sombra_Y)</f>
        <v>0</v>
      </c>
      <c r="AC32" s="101">
        <f>SUMIFS('9'!$E:$E,'9'!$A:$A,Año_Inicial,'9'!$B:$B,'11'!AB$4,'9'!$D:$D,"Manejo de sombra")</f>
        <v>0</v>
      </c>
      <c r="AD32" s="101">
        <f>(A1_A_L13*Sombra_A)+(A1_B_L13*Sombra_B)+(A1_C_L13*Sombra_C)+(A1_D_L13*Sombra_D)+(A1_Y_L13*Sombra_Y)</f>
        <v>0</v>
      </c>
      <c r="AE32" s="101">
        <f>SUMIFS('9'!$E:$E,'9'!$A:$A,Año_Inicial,'9'!$B:$B,'11'!AD$4,'9'!$D:$D,"Manejo de sombra")</f>
        <v>0</v>
      </c>
      <c r="AF32" s="101">
        <f>(A1_A_L14*Sombra_A)+(A1_B_L14*Sombra_B)+(A1_C_L14*Sombra_C)+(A1_D_L14*Sombra_D)+(A1_Y_L14*Sombra_Y)</f>
        <v>0</v>
      </c>
      <c r="AG32" s="101">
        <f>SUMIFS('9'!$E:$E,'9'!$A:$A,Año_Inicial,'9'!$B:$B,'11'!AF$4,'9'!$D:$D,"Manejo de sombra")</f>
        <v>0</v>
      </c>
      <c r="AH32" s="101">
        <f>(A1_A_L15*Sombra_A)+(A1_B_L15*Sombra_B)+(A1_C_L15*Sombra_C)+(A1_D_L15*Sombra_D)+(A1_Y_L15*Sombra_Y)</f>
        <v>0</v>
      </c>
      <c r="AI32" s="101">
        <f>SUMIFS('9'!$E:$E,'9'!$A:$A,Año_Inicial,'9'!$B:$B,'11'!AH$4,'9'!$D:$D,"Manejo de sombra")</f>
        <v>0</v>
      </c>
      <c r="AJ32" s="101">
        <f>(A1_A_L16*Sombra_A)+(A1_B_L16*Sombra_B)+(A1_C_L16*Sombra_C)+(A1_D_L16*Sombra_D)+(A1_Y_L16*Sombra_Y)</f>
        <v>0</v>
      </c>
      <c r="AK32" s="101">
        <f>SUMIFS('9'!$E:$E,'9'!$A:$A,Año_Inicial,'9'!$B:$B,'11'!AJ$4,'9'!$D:$D,"Manejo de sombra")</f>
        <v>0</v>
      </c>
      <c r="AL32" s="101">
        <f>(A1_A_L17*Sombra_A)+(A1_B_L17*Sombra_B)+(A1_C_L17*Sombra_C)+(A1_D_L17*Sombra_D)+(A1_Y_L17*Sombra_Y)</f>
        <v>0</v>
      </c>
      <c r="AM32" s="101">
        <f>SUMIFS('9'!$E:$E,'9'!$A:$A,Año_Inicial,'9'!$B:$B,'11'!AL$4,'9'!$D:$D,"Manejo de sombra")</f>
        <v>0</v>
      </c>
      <c r="AN32" s="101">
        <f>(A1_A_L18*Sombra_A)+(A1_B_L18*Sombra_B)+(A1_C_L18*Sombra_C)+(A1_D_L18*Sombra_D)+(A1_Y_L18*Sombra_Y)</f>
        <v>0</v>
      </c>
      <c r="AO32" s="101">
        <f>SUMIFS('9'!$E:$E,'9'!$A:$A,Año_Inicial,'9'!$B:$B,'11'!AN$4,'9'!$D:$D,"Manejo de sombra")</f>
        <v>0</v>
      </c>
      <c r="AP32" s="101">
        <f>(A1_A_L19*Sombra_A)+(A1_B_L19*Sombra_B)+(A1_C_L19*Sombra_C)+(A1_D_L19*Sombra_D)+(A1_Y_L19*Sombra_Y)</f>
        <v>0</v>
      </c>
      <c r="AQ32" s="101">
        <f>SUMIFS('9'!$E:$E,'9'!$A:$A,Año_Inicial,'9'!$B:$B,'11'!AP$4,'9'!$D:$D,"Manejo de sombra")</f>
        <v>0</v>
      </c>
      <c r="AR32" s="101">
        <f>(A1_A_L20*Sombra_A)+(A1_B_L20*Sombra_B)+(A1_C_L20*Sombra_C)+(A1_D_L20*Sombra_D)+(A1_Y_L20*Sombra_Y)</f>
        <v>0</v>
      </c>
      <c r="AS32" s="101">
        <f>SUMIFS('9'!$E:$E,'9'!$A:$A,Año_Inicial,'9'!$B:$B,'11'!AR$4,'9'!$D:$D,"Manejo de sombra")</f>
        <v>0</v>
      </c>
      <c r="AT32" s="101">
        <f>(A1_A_L21*Sombra_A)+(A1_B_L21*Sombra_B)+(A1_C_L21*Sombra_C)+(A1_D_L21*Sombra_D)+(A1_Y_L21*Sombra_Y)</f>
        <v>0</v>
      </c>
      <c r="AU32" s="101">
        <f>SUMIFS('9'!$E:$E,'9'!$A:$A,Año_Inicial,'9'!$B:$B,'11'!AT$4,'9'!$D:$D,"Manejo de sombra")</f>
        <v>0</v>
      </c>
      <c r="AV32" s="101">
        <f>(A1_A_L22*Sombra_A)+(A1_B_L22*Sombra_B)+(A1_C_L22*Sombra_C)+(A1_D_L22*Sombra_D)+(A1_Y_L22*Sombra_Y)</f>
        <v>0</v>
      </c>
      <c r="AW32" s="101">
        <f>SUMIFS('9'!$E:$E,'9'!$A:$A,Año_Inicial,'9'!$B:$B,'11'!AV$4,'9'!$D:$D,"Manejo de sombra")</f>
        <v>0</v>
      </c>
      <c r="AX32" s="101">
        <f>(A1_A_L23*Sombra_A)+(A1_B_L23*Sombra_B)+(A1_C_L23*Sombra_C)+(A1_D_L23*Sombra_D)+(A1_Y_L23*Sombra_Y)</f>
        <v>0</v>
      </c>
      <c r="AY32" s="101">
        <f>SUMIFS('9'!$E:$E,'9'!$A:$A,Año_Inicial,'9'!$B:$B,'11'!AX$4,'9'!$D:$D,"Manejo de sombra")</f>
        <v>0</v>
      </c>
      <c r="AZ32" s="101">
        <f>(A1_A_L24*Sombra_A)+(A1_B_L24*Sombra_B)+(A1_C_L24*Sombra_C)+(A1_D_L24*Sombra_D)+(A1_Y_L24*Sombra_Y)</f>
        <v>0</v>
      </c>
      <c r="BA32" s="101">
        <f>SUMIFS('9'!$E:$E,'9'!$A:$A,Año_Inicial,'9'!$B:$B,'11'!AZ$4,'9'!$D:$D,"Manejo de sombra")</f>
        <v>0</v>
      </c>
      <c r="BB32" s="101">
        <f>(A1_A_L25*Sombra_A)+(A1_B_L25*Sombra_B)+(A1_C_L25*Sombra_C)+(A1_D_L25*Sombra_D)+(A1_Y_L25*Sombra_Y)</f>
        <v>0</v>
      </c>
      <c r="BC32" s="101">
        <f>SUMIFS('9'!$E:$E,'9'!$A:$A,Año_Inicial,'9'!$B:$B,'11'!BB$4,'9'!$D:$D,"Manejo de sombra")</f>
        <v>0</v>
      </c>
      <c r="BD32" s="101">
        <f>(A1_A_L26*Sombra_A)+(A1_B_L26*Sombra_B)+(A1_C_L26*Sombra_C)+(A1_D_L26*Sombra_D)+(A1_Y_L26*Sombra_Y)</f>
        <v>0</v>
      </c>
      <c r="BE32" s="101">
        <f>SUMIFS('9'!$E:$E,'9'!$A:$A,Año_Inicial,'9'!$B:$B,'11'!BD$4,'9'!$D:$D,"Manejo de sombra")</f>
        <v>0</v>
      </c>
      <c r="BF32" s="101">
        <f>(A1_A_L27*Sombra_A)+(A1_B_L27*Sombra_B)+(A1_C_L27*Sombra_C)+(A1_D_L27*Sombra_D)+(A1_Y_L27*Sombra_Y)</f>
        <v>0</v>
      </c>
      <c r="BG32" s="101">
        <f>SUMIFS('9'!$E:$E,'9'!$A:$A,Año_Inicial,'9'!$B:$B,'11'!BF$4,'9'!$D:$D,"Manejo de sombra")</f>
        <v>0</v>
      </c>
      <c r="BH32" s="101">
        <f>(A1_A_L28*Sombra_A)+(A1_B_L28*Sombra_B)+(A1_C_L28*Sombra_C)+(A1_D_L28*Sombra_D)+(A1_Y_L28*Sombra_Y)</f>
        <v>0</v>
      </c>
      <c r="BI32" s="101">
        <f>SUMIFS('9'!$E:$E,'9'!$A:$A,Año_Inicial,'9'!$B:$B,'11'!BH$4,'9'!$D:$D,"Manejo de sombra")</f>
        <v>0</v>
      </c>
      <c r="BJ32" s="101">
        <f>(A1_A_L29*Sombra_A)+(A1_B_L29*Sombra_B)+(A1_C_L29*Sombra_C)+(A1_D_L29*Sombra_D)+(A1_Y_L29*Sombra_Y)</f>
        <v>0</v>
      </c>
      <c r="BK32" s="101">
        <f>SUMIFS('9'!$E:$E,'9'!$A:$A,Año_Inicial,'9'!$B:$B,'11'!BJ$4,'9'!$D:$D,"Manejo de sombra")</f>
        <v>0</v>
      </c>
      <c r="BL32" s="101">
        <f>(A1_A_L30*Sombra_A)+(A1_B_L30*Sombra_B)+(A1_C_L30*Sombra_C)+(A1_D_L30*Sombra_D)+(A1_Y_L30*Sombra_Y)</f>
        <v>0</v>
      </c>
      <c r="BM32" s="101">
        <f>SUMIFS('9'!$E:$E,'9'!$A:$A,Año_Inicial,'9'!$B:$B,'11'!BL$4,'9'!$D:$D,"Manejo de sombra")</f>
        <v>0</v>
      </c>
      <c r="BN32" s="101">
        <f>(A1_A_L31*Sombra_A)+(A1_B_L31*Sombra_B)+(A1_C_L31*Sombra_C)+(A1_D_L31*Sombra_D)+(A1_Y_L31*Sombra_Y)</f>
        <v>0</v>
      </c>
      <c r="BO32" s="101">
        <f>SUMIFS('9'!$E:$E,'9'!$A:$A,Año_Inicial,'9'!$B:$B,'11'!BN$4,'9'!$D:$D,"Manejo de sombra")</f>
        <v>0</v>
      </c>
      <c r="BP32" s="101">
        <f>(A1_A_L32*Sombra_A)+(A1_B_L32*Sombra_B)+(A1_C_L32*Sombra_C)+(A1_D_L32*Sombra_D)+(A1_Y_L32*Sombra_Y)</f>
        <v>0</v>
      </c>
      <c r="BQ32" s="101">
        <f>SUMIFS('9'!$E:$E,'9'!$A:$A,Año_Inicial,'9'!$B:$B,'11'!BP$4,'9'!$D:$D,"Manejo de sombra")</f>
        <v>0</v>
      </c>
      <c r="BR32" s="101">
        <f>(A1_A_L33*Sombra_A)+(A1_B_L33*Sombra_B)+(A1_C_L33*Sombra_C)+(A1_D_L33*Sombra_D)+(A1_Y_L33*Sombra_Y)</f>
        <v>0</v>
      </c>
      <c r="BS32" s="101">
        <f>SUMIFS('9'!$E:$E,'9'!$A:$A,Año_Inicial,'9'!$B:$B,'11'!BR$4,'9'!$D:$D,"Manejo de sombra")</f>
        <v>0</v>
      </c>
      <c r="BT32" s="101">
        <f>(A1_A_L34*Sombra_A)+(A1_B_L34*Sombra_B)+(A1_C_L34*Sombra_C)+(A1_D_L34*Sombra_D)+(A1_Y_L34*Sombra_Y)</f>
        <v>0</v>
      </c>
      <c r="BU32" s="101">
        <f>SUMIFS('9'!$E:$E,'9'!$A:$A,Año_Inicial,'9'!$B:$B,'11'!BT$4,'9'!$D:$D,"Manejo de sombra")</f>
        <v>0</v>
      </c>
      <c r="BV32" s="101">
        <f>(A1_A_L35*Sombra_A)+(A1_B_L35*Sombra_B)+(A1_C_L35*Sombra_C)+(A1_D_L35*Sombra_D)+(A1_Y_L35*Sombra_Y)</f>
        <v>0</v>
      </c>
      <c r="BW32" s="101">
        <f>SUMIFS('9'!$E:$E,'9'!$A:$A,Año_Inicial,'9'!$B:$B,'11'!BV$4,'9'!$D:$D,"Manejo de sombra")</f>
        <v>0</v>
      </c>
      <c r="BX32" s="101">
        <f>(A1_A_L36*Sombra_A)+(A1_B_L36*Sombra_B)+(A1_C_L36*Sombra_C)+(A1_D_L36*Sombra_D)+(A1_Y_L36*Sombra_Y)</f>
        <v>0</v>
      </c>
      <c r="BY32" s="101">
        <f>SUMIFS('9'!$E:$E,'9'!$A:$A,Año_Inicial,'9'!$B:$B,'11'!BX$4,'9'!$D:$D,"Manejo de sombra")</f>
        <v>0</v>
      </c>
      <c r="BZ32" s="101">
        <f>(A1_A_L37*Sombra_A)+(A1_B_L37*Sombra_B)+(A1_C_L37*Sombra_C)+(A1_D_L37*Sombra_D)+(A1_Y_L37*Sombra_Y)</f>
        <v>0</v>
      </c>
      <c r="CA32" s="101">
        <f>SUMIFS('9'!$E:$E,'9'!$A:$A,Año_Inicial,'9'!$B:$B,'11'!BZ$4,'9'!$D:$D,"Manejo de sombra")</f>
        <v>0</v>
      </c>
      <c r="CB32" s="101">
        <f>(A1_A_L38*Sombra_A)+(A1_B_L38*Sombra_B)+(A1_C_L38*Sombra_C)+(A1_D_L38*Sombra_D)+(A1_Y_L38*Sombra_Y)</f>
        <v>0</v>
      </c>
      <c r="CC32" s="101">
        <f>SUMIFS('9'!$E:$E,'9'!$A:$A,Año_Inicial,'9'!$B:$B,'11'!CB$4,'9'!$D:$D,"Manejo de sombra")</f>
        <v>0</v>
      </c>
      <c r="CD32" s="101">
        <f>(A1_A_L39*Sombra_A)+(A1_B_L39*Sombra_B)+(A1_C_L39*Sombra_C)+(A1_D_L39*Sombra_D)+(A1_Y_L39*Sombra_Y)</f>
        <v>0</v>
      </c>
      <c r="CE32" s="101">
        <f>SUMIFS('9'!$E:$E,'9'!$A:$A,Año_Inicial,'9'!$B:$B,'11'!CD$4,'9'!$D:$D,"Manejo de sombra")</f>
        <v>0</v>
      </c>
      <c r="CF32" s="101">
        <f>(A1_A_L40*Sombra_A)+(A1_B_L40*Sombra_B)+(A1_C_L40*Sombra_C)+(A1_D_L40*Sombra_D)+(A1_Y_L40*Sombra_Y)</f>
        <v>0</v>
      </c>
      <c r="CG32" s="101">
        <f>SUMIFS('9'!$E:$E,'9'!$A:$A,Año_Inicial,'9'!$B:$B,'11'!CF$4,'9'!$D:$D,"Manejo de sombra")</f>
        <v>0</v>
      </c>
      <c r="CH32" s="473"/>
      <c r="CI32" s="101">
        <f>Plantas_A_A1*Sombra_A</f>
        <v>0</v>
      </c>
      <c r="CJ32" s="101">
        <f>Plantas_B_A1*Sombra_B</f>
        <v>0</v>
      </c>
      <c r="CK32" s="101">
        <f>Plantas_C_A1*Sombra_C</f>
        <v>0</v>
      </c>
      <c r="CL32" s="101">
        <f>Plantas_D_A1*Sombra_D</f>
        <v>0</v>
      </c>
      <c r="CM32" s="101"/>
      <c r="CN32" s="101">
        <f>Plantas_Y_A1*Sombra_Y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68"/>
        <v>0</v>
      </c>
      <c r="C33" s="101">
        <f>SUMIFS('9'!$E:$E,'9'!$A:$A,Año_Inicial,'9'!$D:$D,"Conservación de suelos")</f>
        <v>0</v>
      </c>
      <c r="D33" s="100">
        <f t="shared" si="67"/>
        <v>0</v>
      </c>
      <c r="E33" s="473"/>
      <c r="F33" s="101">
        <f>(A1_A_L1*Conservación_A)+(A1_B_L1*Conservación_B)+(A1_C_L1*Conservación_C)+(A1_D_L1*Conservación_D)+(A1_Y_L1*Conservación_Y)</f>
        <v>0</v>
      </c>
      <c r="G33" s="101">
        <f>SUMIFS('9'!$E:$E,'9'!$A:$A,Año_Inicial,'9'!$B:$B,'11'!F$4,'9'!$D:$D,"Conservación de suelos")</f>
        <v>0</v>
      </c>
      <c r="H33" s="101">
        <f>(A1_A_L2*Conservación_A)+(A1_B_L2*Conservación_B)+(A1_C_L2*Conservación_C)+(A1_D_L2*Conservación_D)+(A1_Y_L2*Conservación_Y)</f>
        <v>0</v>
      </c>
      <c r="I33" s="101">
        <f>SUMIFS('9'!$E:$E,'9'!$A:$A,Año_Inicial,'9'!$B:$B,'11'!H$4,'9'!$D:$D,"Conservación de suelos")</f>
        <v>0</v>
      </c>
      <c r="J33" s="101">
        <f>(A1_A_L3*Conservación_A)+(A1_B_L3*Conservación_B)+(A1_C_L3*Conservación_C)+(A1_D_L3*Conservación_D)+(A1_Y_L3*Conservación_Y)</f>
        <v>0</v>
      </c>
      <c r="K33" s="101">
        <f>SUMIFS('9'!$E:$E,'9'!$A:$A,Año_Inicial,'9'!$B:$B,'11'!J$4,'9'!$D:$D,"Conservación de suelos")</f>
        <v>0</v>
      </c>
      <c r="L33" s="101">
        <f>(A1_A_L4*Conservación_A)+(A1_B_L4*Conservación_B)+(A1_C_L4*Conservación_C)+(A1_D_L4*Conservación_D)+(A1_Y_L4*Conservación_Y)</f>
        <v>0</v>
      </c>
      <c r="M33" s="101">
        <f>SUMIFS('9'!$E:$E,'9'!$A:$A,Año_Inicial,'9'!$B:$B,'11'!L$4,'9'!$D:$D,"Conservación de suelos")</f>
        <v>0</v>
      </c>
      <c r="N33" s="101">
        <f>(A1_A_L5*Conservación_A)+(A1_B_L5*Conservación_B)+(A1_C_L5*Conservación_C)+(A1_D_L5*Conservación_D)+(A1_Y_L5*Conservación_Y)</f>
        <v>0</v>
      </c>
      <c r="O33" s="101">
        <f>SUMIFS('9'!$E:$E,'9'!$A:$A,Año_Inicial,'9'!$B:$B,'11'!N$4,'9'!$D:$D,"Conservación de suelos")</f>
        <v>0</v>
      </c>
      <c r="P33" s="101">
        <f>(A1_A_L6*Conservación_A)+(A1_B_L6*Conservación_B)+(A1_C_L6*Conservación_C)+(A1_D_L6*Conservación_D)+(A1_Y_L6*Conservación_Y)</f>
        <v>0</v>
      </c>
      <c r="Q33" s="101">
        <f>SUMIFS('9'!$E:$E,'9'!$A:$A,Año_Inicial,'9'!$B:$B,'11'!P$4,'9'!$D:$D,"Conservación de suelos")</f>
        <v>0</v>
      </c>
      <c r="R33" s="101">
        <f>(A1_A_L7*Conservación_A)+(A1_B_L7*Conservación_B)+(A1_C_L7*Conservación_C)+(A1_D_L7*Conservación_D)+(A1_Y_L7*Conservación_Y)</f>
        <v>0</v>
      </c>
      <c r="S33" s="101">
        <f>SUMIFS('9'!$E:$E,'9'!$A:$A,Año_Inicial,'9'!$B:$B,'11'!R$4,'9'!$D:$D,"Conservación de suelos")</f>
        <v>0</v>
      </c>
      <c r="T33" s="101">
        <f>(A1_A_L8*Conservación_A)+(A1_B_L8*Conservación_B)+(A1_C_L8*Conservación_C)+(A1_D_L8*Conservación_D)+(A1_Y_L8*Conservación_Y)</f>
        <v>0</v>
      </c>
      <c r="U33" s="101">
        <f>SUMIFS('9'!$E:$E,'9'!$A:$A,Año_Inicial,'9'!$B:$B,'11'!T$4,'9'!$D:$D,"Conservación de suelos")</f>
        <v>0</v>
      </c>
      <c r="V33" s="101">
        <f>(A1_A_L9*Conservación_A)+(A1_B_L9*Conservación_B)+(A1_C_L9*Conservación_C)+(A1_D_L9*Conservación_D)+(A1_Y_L9*Conservación_Y)</f>
        <v>0</v>
      </c>
      <c r="W33" s="101">
        <f>SUMIFS('9'!$E:$E,'9'!$A:$A,Año_Inicial,'9'!$B:$B,'11'!V$4,'9'!$D:$D,"Conservación de suelos")</f>
        <v>0</v>
      </c>
      <c r="X33" s="101">
        <f>(A1_A_L10*Conservación_A)+(A1_B_L10*Conservación_B)+(A1_C_L10*Conservación_C)+(A1_D_L10*Conservación_D)+(A1_Y_L10*Conservación_Y)</f>
        <v>0</v>
      </c>
      <c r="Y33" s="101">
        <f>SUMIFS('9'!$E:$E,'9'!$A:$A,Año_Inicial,'9'!$B:$B,'11'!X$4,'9'!$D:$D,"Conservación de suelos")</f>
        <v>0</v>
      </c>
      <c r="Z33" s="101">
        <f>(A1_A_L11*Conservación_A)+(A1_B_L11*Conservación_B)+(A1_C_L11*Conservación_C)+(A1_D_L11*Conservación_D)+(A1_Y_L11*Conservación_Y)</f>
        <v>0</v>
      </c>
      <c r="AA33" s="101">
        <f>SUMIFS('9'!$E:$E,'9'!$A:$A,Año_Inicial,'9'!$B:$B,'11'!Z$4,'9'!$D:$D,"Conservación de suelos")</f>
        <v>0</v>
      </c>
      <c r="AB33" s="101">
        <f>(A1_A_L12*Conservación_A)+(A1_B_L12*Conservación_B)+(A1_C_L12*Conservación_C)+(A1_D_L12*Conservación_D)+(A1_Y_L12*Conservación_Y)</f>
        <v>0</v>
      </c>
      <c r="AC33" s="101">
        <f>SUMIFS('9'!$E:$E,'9'!$A:$A,Año_Inicial,'9'!$B:$B,'11'!AB$4,'9'!$D:$D,"Conservación de suelos")</f>
        <v>0</v>
      </c>
      <c r="AD33" s="101">
        <f>(A1_A_L13*Conservación_A)+(A1_B_L13*Conservación_B)+(A1_C_L13*Conservación_C)+(A1_D_L13*Conservación_D)+(A1_Y_L13*Conservación_Y)</f>
        <v>0</v>
      </c>
      <c r="AE33" s="101">
        <f>SUMIFS('9'!$E:$E,'9'!$A:$A,Año_Inicial,'9'!$B:$B,'11'!AD$4,'9'!$D:$D,"Conservación de suelos")</f>
        <v>0</v>
      </c>
      <c r="AF33" s="101">
        <f>(A1_A_L14*Conservación_A)+(A1_B_L14*Conservación_B)+(A1_C_L14*Conservación_C)+(A1_D_L14*Conservación_D)+(A1_Y_L14*Conservación_Y)</f>
        <v>0</v>
      </c>
      <c r="AG33" s="101">
        <f>SUMIFS('9'!$E:$E,'9'!$A:$A,Año_Inicial,'9'!$B:$B,'11'!AF$4,'9'!$D:$D,"Conservación de suelos")</f>
        <v>0</v>
      </c>
      <c r="AH33" s="101">
        <f>(A1_A_L15*Conservación_A)+(A1_B_L15*Conservación_B)+(A1_C_L15*Conservación_C)+(A1_D_L15*Conservación_D)+(A1_Y_L15*Conservación_Y)</f>
        <v>0</v>
      </c>
      <c r="AI33" s="101">
        <f>SUMIFS('9'!$E:$E,'9'!$A:$A,Año_Inicial,'9'!$B:$B,'11'!AH$4,'9'!$D:$D,"Conservación de suelos")</f>
        <v>0</v>
      </c>
      <c r="AJ33" s="101">
        <f>(A1_A_L16*Conservación_A)+(A1_B_L16*Conservación_B)+(A1_C_L16*Conservación_C)+(A1_D_L16*Conservación_D)+(A1_Y_L16*Conservación_Y)</f>
        <v>0</v>
      </c>
      <c r="AK33" s="101">
        <f>SUMIFS('9'!$E:$E,'9'!$A:$A,Año_Inicial,'9'!$B:$B,'11'!AJ$4,'9'!$D:$D,"Conservación de suelos")</f>
        <v>0</v>
      </c>
      <c r="AL33" s="101">
        <f>(A1_A_L17*Conservación_A)+(A1_B_L17*Conservación_B)+(A1_C_L17*Conservación_C)+(A1_D_L17*Conservación_D)+(A1_Y_L17*Conservación_Y)</f>
        <v>0</v>
      </c>
      <c r="AM33" s="101">
        <f>SUMIFS('9'!$E:$E,'9'!$A:$A,Año_Inicial,'9'!$B:$B,'11'!AL$4,'9'!$D:$D,"Conservación de suelos")</f>
        <v>0</v>
      </c>
      <c r="AN33" s="101">
        <f>(A1_A_L18*Conservación_A)+(A1_B_L18*Conservación_B)+(A1_C_L18*Conservación_C)+(A1_D_L18*Conservación_D)+(A1_Y_L18*Conservación_Y)</f>
        <v>0</v>
      </c>
      <c r="AO33" s="101">
        <f>SUMIFS('9'!$E:$E,'9'!$A:$A,Año_Inicial,'9'!$B:$B,'11'!AN$4,'9'!$D:$D,"Conservación de suelos")</f>
        <v>0</v>
      </c>
      <c r="AP33" s="101">
        <f>(A1_A_L19*Conservación_A)+(A1_B_L19*Conservación_B)+(A1_C_L19*Conservación_C)+(A1_D_L19*Conservación_D)+(A1_Y_L19*Conservación_Y)</f>
        <v>0</v>
      </c>
      <c r="AQ33" s="101">
        <f>SUMIFS('9'!$E:$E,'9'!$A:$A,Año_Inicial,'9'!$B:$B,'11'!AP$4,'9'!$D:$D,"Conservación de suelos")</f>
        <v>0</v>
      </c>
      <c r="AR33" s="101">
        <f>(A1_A_L20*Conservación_A)+(A1_B_L20*Conservación_B)+(A1_C_L20*Conservación_C)+(A1_D_L20*Conservación_D)+(A1_Y_L20*Conservación_Y)</f>
        <v>0</v>
      </c>
      <c r="AS33" s="101">
        <f>SUMIFS('9'!$E:$E,'9'!$A:$A,Año_Inicial,'9'!$B:$B,'11'!AR$4,'9'!$D:$D,"Conservación de suelos")</f>
        <v>0</v>
      </c>
      <c r="AT33" s="101">
        <f>(A1_A_L21*Conservación_A)+(A1_B_L21*Conservación_B)+(A1_C_L21*Conservación_C)+(A1_D_L21*Conservación_D)+(A1_Y_L21*Conservación_Y)</f>
        <v>0</v>
      </c>
      <c r="AU33" s="101">
        <f>SUMIFS('9'!$E:$E,'9'!$A:$A,Año_Inicial,'9'!$B:$B,'11'!AT$4,'9'!$D:$D,"Conservación de suelos")</f>
        <v>0</v>
      </c>
      <c r="AV33" s="101">
        <f>(A1_A_L22*Conservación_A)+(A1_B_L22*Conservación_B)+(A1_C_L22*Conservación_C)+(A1_D_L22*Conservación_D)+(A1_Y_L22*Conservación_Y)</f>
        <v>0</v>
      </c>
      <c r="AW33" s="101">
        <f>SUMIFS('9'!$E:$E,'9'!$A:$A,Año_Inicial,'9'!$B:$B,'11'!AV$4,'9'!$D:$D,"Conservación de suelos")</f>
        <v>0</v>
      </c>
      <c r="AX33" s="101">
        <f>(A1_A_L23*Conservación_A)+(A1_B_L23*Conservación_B)+(A1_C_L23*Conservación_C)+(A1_D_L23*Conservación_D)+(A1_Y_L23*Conservación_Y)</f>
        <v>0</v>
      </c>
      <c r="AY33" s="101">
        <f>SUMIFS('9'!$E:$E,'9'!$A:$A,Año_Inicial,'9'!$B:$B,'11'!AX$4,'9'!$D:$D,"Conservación de suelos")</f>
        <v>0</v>
      </c>
      <c r="AZ33" s="101">
        <f>(A1_A_L24*Conservación_A)+(A1_B_L24*Conservación_B)+(A1_C_L24*Conservación_C)+(A1_D_L24*Conservación_D)+(A1_Y_L24*Conservación_Y)</f>
        <v>0</v>
      </c>
      <c r="BA33" s="101">
        <f>SUMIFS('9'!$E:$E,'9'!$A:$A,Año_Inicial,'9'!$B:$B,'11'!AZ$4,'9'!$D:$D,"Conservación de suelos")</f>
        <v>0</v>
      </c>
      <c r="BB33" s="101">
        <f>(A1_A_L25*Conservación_A)+(A1_B_L25*Conservación_B)+(A1_C_L25*Conservación_C)+(A1_D_L25*Conservación_D)+(A1_Y_L25*Conservación_Y)</f>
        <v>0</v>
      </c>
      <c r="BC33" s="101">
        <f>SUMIFS('9'!$E:$E,'9'!$A:$A,Año_Inicial,'9'!$B:$B,'11'!BB$4,'9'!$D:$D,"Conservación de suelos")</f>
        <v>0</v>
      </c>
      <c r="BD33" s="101">
        <f>(A1_A_L26*Conservación_A)+(A1_B_L26*Conservación_B)+(A1_C_L26*Conservación_C)+(A1_D_L26*Conservación_D)+(A1_Y_L26*Conservación_Y)</f>
        <v>0</v>
      </c>
      <c r="BE33" s="101">
        <f>SUMIFS('9'!$E:$E,'9'!$A:$A,Año_Inicial,'9'!$B:$B,'11'!BD$4,'9'!$D:$D,"Conservación de suelos")</f>
        <v>0</v>
      </c>
      <c r="BF33" s="101">
        <f>(A1_A_L27*Conservación_A)+(A1_B_L27*Conservación_B)+(A1_C_L27*Conservación_C)+(A1_D_L27*Conservación_D)+(A1_Y_L27*Conservación_Y)</f>
        <v>0</v>
      </c>
      <c r="BG33" s="101">
        <f>SUMIFS('9'!$E:$E,'9'!$A:$A,Año_Inicial,'9'!$B:$B,'11'!BF$4,'9'!$D:$D,"Conservación de suelos")</f>
        <v>0</v>
      </c>
      <c r="BH33" s="101">
        <f>(A1_A_L28*Conservación_A)+(A1_B_L28*Conservación_B)+(A1_C_L28*Conservación_C)+(A1_D_L28*Conservación_D)+(A1_Y_L28*Conservación_Y)</f>
        <v>0</v>
      </c>
      <c r="BI33" s="101">
        <f>SUMIFS('9'!$E:$E,'9'!$A:$A,Año_Inicial,'9'!$B:$B,'11'!BH$4,'9'!$D:$D,"Conservación de suelos")</f>
        <v>0</v>
      </c>
      <c r="BJ33" s="101">
        <f>(A1_A_L29*Conservación_A)+(A1_B_L29*Conservación_B)+(A1_C_L29*Conservación_C)+(A1_D_L29*Conservación_D)+(A1_Y_L29*Conservación_Y)</f>
        <v>0</v>
      </c>
      <c r="BK33" s="101">
        <f>SUMIFS('9'!$E:$E,'9'!$A:$A,Año_Inicial,'9'!$B:$B,'11'!BJ$4,'9'!$D:$D,"Conservación de suelos")</f>
        <v>0</v>
      </c>
      <c r="BL33" s="101">
        <f>(A1_A_L30*Conservación_A)+(A1_B_L30*Conservación_B)+(A1_C_L30*Conservación_C)+(A1_D_L30*Conservación_D)+(A1_Y_L30*Conservación_Y)</f>
        <v>0</v>
      </c>
      <c r="BM33" s="101">
        <f>SUMIFS('9'!$E:$E,'9'!$A:$A,Año_Inicial,'9'!$B:$B,'11'!BL$4,'9'!$D:$D,"Conservación de suelos")</f>
        <v>0</v>
      </c>
      <c r="BN33" s="101">
        <f>(A1_A_L31*Conservación_A)+(A1_B_L31*Conservación_B)+(A1_C_L31*Conservación_C)+(A1_D_L31*Conservación_D)+(A1_Y_L31*Conservación_Y)</f>
        <v>0</v>
      </c>
      <c r="BO33" s="101">
        <f>SUMIFS('9'!$E:$E,'9'!$A:$A,Año_Inicial,'9'!$B:$B,'11'!BN$4,'9'!$D:$D,"Conservación de suelos")</f>
        <v>0</v>
      </c>
      <c r="BP33" s="101">
        <f>(A1_A_L32*Conservación_A)+(A1_B_L32*Conservación_B)+(A1_C_L32*Conservación_C)+(A1_D_L32*Conservación_D)+(A1_Y_L32*Conservación_Y)</f>
        <v>0</v>
      </c>
      <c r="BQ33" s="101">
        <f>SUMIFS('9'!$E:$E,'9'!$A:$A,Año_Inicial,'9'!$B:$B,'11'!BP$4,'9'!$D:$D,"Conservación de suelos")</f>
        <v>0</v>
      </c>
      <c r="BR33" s="101">
        <f>(A1_A_L33*Conservación_A)+(A1_B_L33*Conservación_B)+(A1_C_L33*Conservación_C)+(A1_D_L33*Conservación_D)+(A1_Y_L33*Conservación_Y)</f>
        <v>0</v>
      </c>
      <c r="BS33" s="101">
        <f>SUMIFS('9'!$E:$E,'9'!$A:$A,Año_Inicial,'9'!$B:$B,'11'!BR$4,'9'!$D:$D,"Conservación de suelos")</f>
        <v>0</v>
      </c>
      <c r="BT33" s="101">
        <f>(A1_A_L34*Conservación_A)+(A1_B_L34*Conservación_B)+(A1_C_L34*Conservación_C)+(A1_D_L34*Conservación_D)+(A1_Y_L34*Conservación_Y)</f>
        <v>0</v>
      </c>
      <c r="BU33" s="101">
        <f>SUMIFS('9'!$E:$E,'9'!$A:$A,Año_Inicial,'9'!$B:$B,'11'!BT$4,'9'!$D:$D,"Conservación de suelos")</f>
        <v>0</v>
      </c>
      <c r="BV33" s="101">
        <f>(A1_A_L35*Conservación_A)+(A1_B_L35*Conservación_B)+(A1_C_L35*Conservación_C)+(A1_D_L35*Conservación_D)+(A1_Y_L35*Conservación_Y)</f>
        <v>0</v>
      </c>
      <c r="BW33" s="101">
        <f>SUMIFS('9'!$E:$E,'9'!$A:$A,Año_Inicial,'9'!$B:$B,'11'!BV$4,'9'!$D:$D,"Conservación de suelos")</f>
        <v>0</v>
      </c>
      <c r="BX33" s="101">
        <f>(A1_A_L36*Conservación_A)+(A1_B_L36*Conservación_B)+(A1_C_L36*Conservación_C)+(A1_D_L36*Conservación_D)+(A1_Y_L36*Conservación_Y)</f>
        <v>0</v>
      </c>
      <c r="BY33" s="101">
        <f>SUMIFS('9'!$E:$E,'9'!$A:$A,Año_Inicial,'9'!$B:$B,'11'!BX$4,'9'!$D:$D,"Conservación de suelos")</f>
        <v>0</v>
      </c>
      <c r="BZ33" s="101">
        <f>(A1_A_L37*Conservación_A)+(A1_B_L37*Conservación_B)+(A1_C_L37*Conservación_C)+(A1_D_L37*Conservación_D)+(A1_Y_L37*Conservación_Y)</f>
        <v>0</v>
      </c>
      <c r="CA33" s="101">
        <f>SUMIFS('9'!$E:$E,'9'!$A:$A,Año_Inicial,'9'!$B:$B,'11'!BZ$4,'9'!$D:$D,"Conservación de suelos")</f>
        <v>0</v>
      </c>
      <c r="CB33" s="101">
        <f>(A1_A_L38*Conservación_A)+(A1_B_L38*Conservación_B)+(A1_C_L38*Conservación_C)+(A1_D_L38*Conservación_D)+(A1_Y_L38*Conservación_Y)</f>
        <v>0</v>
      </c>
      <c r="CC33" s="101">
        <f>SUMIFS('9'!$E:$E,'9'!$A:$A,Año_Inicial,'9'!$B:$B,'11'!CB$4,'9'!$D:$D,"Conservación de suelos")</f>
        <v>0</v>
      </c>
      <c r="CD33" s="101">
        <f>(A1_A_L39*Conservación_A)+(A1_B_L39*Conservación_B)+(A1_C_L39*Conservación_C)+(A1_D_L39*Conservación_D)+(A1_Y_L39*Conservación_Y)</f>
        <v>0</v>
      </c>
      <c r="CE33" s="101">
        <f>SUMIFS('9'!$E:$E,'9'!$A:$A,Año_Inicial,'9'!$B:$B,'11'!CD$4,'9'!$D:$D,"Conservación de suelos")</f>
        <v>0</v>
      </c>
      <c r="CF33" s="101">
        <f>(A1_A_L40*Conservación_A)+(A1_B_L40*Conservación_B)+(A1_C_L40*Conservación_C)+(A1_D_L40*Conservación_D)+(A1_Y_L40*Conservación_Y)</f>
        <v>0</v>
      </c>
      <c r="CG33" s="101">
        <f>SUMIFS('9'!$E:$E,'9'!$A:$A,Año_Inicial,'9'!$B:$B,'11'!CF$4,'9'!$D:$D,"Conservación de suelos")</f>
        <v>0</v>
      </c>
      <c r="CH33" s="473"/>
      <c r="CI33" s="101">
        <f>Plantas_A_A1*Conservación_A</f>
        <v>0</v>
      </c>
      <c r="CJ33" s="101">
        <f>Plantas_B_A1*Conservación_B</f>
        <v>0</v>
      </c>
      <c r="CK33" s="101">
        <f>Plantas_C_A1*Conservación_C</f>
        <v>0</v>
      </c>
      <c r="CL33" s="101">
        <f>Plantas_D_A1*Conservación_D</f>
        <v>0</v>
      </c>
      <c r="CM33" s="101"/>
      <c r="CN33" s="101">
        <f>Plantas_Y_A1*Conservación_Y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68"/>
        <v>0</v>
      </c>
      <c r="C34" s="101">
        <f>SUMIFS('9'!$E:$E,'9'!$A:$A,Año_Inicial,'9'!$D:$D,"Otras actividades")</f>
        <v>0</v>
      </c>
      <c r="D34" s="100">
        <f t="shared" si="67"/>
        <v>0</v>
      </c>
      <c r="E34" s="473"/>
      <c r="F34" s="101">
        <f>(A1_A_L1*Otras_A)+(A1_B_L1*Otras_B)+(A1_C_L1*Otras_C)+(A1_D_L1*Otras_D)+(A1_Y_L1*Otras_Y)</f>
        <v>0</v>
      </c>
      <c r="G34" s="101">
        <f>SUMIFS('9'!$E:$E,'9'!$A:$A,Año_Inicial,'9'!$B:$B,'11'!F$4,'9'!$D:$D,"Otras actividades")</f>
        <v>0</v>
      </c>
      <c r="H34" s="101">
        <f>(A1_A_L2*Otras_A)+(A1_B_L2*Otras_B)+(A1_C_L2*Otras_C)+(A1_D_L2*Otras_D)+(A1_Y_L2*Otras_Y)</f>
        <v>0</v>
      </c>
      <c r="I34" s="101">
        <f>SUMIFS('9'!$E:$E,'9'!$A:$A,Año_Inicial,'9'!$B:$B,'11'!H$4,'9'!$D:$D,"Otras actividades")</f>
        <v>0</v>
      </c>
      <c r="J34" s="101">
        <f>(A1_A_L3*Otras_A)+(A1_B_L3*Otras_B)+(A1_C_L3*Otras_C)+(A1_D_L3*Otras_D)+(A1_Y_L3*Otras_Y)</f>
        <v>0</v>
      </c>
      <c r="K34" s="101">
        <f>SUMIFS('9'!$E:$E,'9'!$A:$A,Año_Inicial,'9'!$B:$B,'11'!J$4,'9'!$D:$D,"Otras actividades")</f>
        <v>0</v>
      </c>
      <c r="L34" s="101">
        <f>(A1_A_L4*Otras_A)+(A1_B_L4*Otras_B)+(A1_C_L4*Otras_C)+(A1_D_L4*Otras_D)+(A1_Y_L4*Otras_Y)</f>
        <v>0</v>
      </c>
      <c r="M34" s="101">
        <f>SUMIFS('9'!$E:$E,'9'!$A:$A,Año_Inicial,'9'!$B:$B,'11'!L$4,'9'!$D:$D,"Otras actividades")</f>
        <v>0</v>
      </c>
      <c r="N34" s="101">
        <f>(A1_A_L5*Otras_A)+(A1_B_L5*Otras_B)+(A1_C_L5*Otras_C)+(A1_D_L5*Otras_D)+(A1_Y_L5*Otras_Y)</f>
        <v>0</v>
      </c>
      <c r="O34" s="101">
        <f>SUMIFS('9'!$E:$E,'9'!$A:$A,Año_Inicial,'9'!$B:$B,'11'!N$4,'9'!$D:$D,"Otras actividades")</f>
        <v>0</v>
      </c>
      <c r="P34" s="101">
        <f>(A1_A_L6*Otras_A)+(A1_B_L6*Otras_B)+(A1_C_L6*Otras_C)+(A1_D_L6*Otras_D)+(A1_Y_L6*Otras_Y)</f>
        <v>0</v>
      </c>
      <c r="Q34" s="101">
        <f>SUMIFS('9'!$E:$E,'9'!$A:$A,Año_Inicial,'9'!$B:$B,'11'!P$4,'9'!$D:$D,"Otras actividades")</f>
        <v>0</v>
      </c>
      <c r="R34" s="101">
        <f>(A1_A_L7*Otras_A)+(A1_B_L7*Otras_B)+(A1_C_L7*Otras_C)+(A1_D_L7*Otras_D)+(A1_Y_L7*Otras_Y)</f>
        <v>0</v>
      </c>
      <c r="S34" s="101">
        <f>SUMIFS('9'!$E:$E,'9'!$A:$A,Año_Inicial,'9'!$B:$B,'11'!R$4,'9'!$D:$D,"Otras actividades")</f>
        <v>0</v>
      </c>
      <c r="T34" s="101">
        <f>(A1_A_L8*Otras_A)+(A1_B_L8*Otras_B)+(A1_C_L8*Otras_C)+(A1_D_L8*Otras_D)+(A1_Y_L8*Otras_Y)</f>
        <v>0</v>
      </c>
      <c r="U34" s="101">
        <f>SUMIFS('9'!$E:$E,'9'!$A:$A,Año_Inicial,'9'!$B:$B,'11'!T$4,'9'!$D:$D,"Otras actividades")</f>
        <v>0</v>
      </c>
      <c r="V34" s="101">
        <f>(A1_A_L9*Otras_A)+(A1_B_L9*Otras_B)+(A1_C_L9*Otras_C)+(A1_D_L9*Otras_D)+(A1_Y_L9*Otras_Y)</f>
        <v>0</v>
      </c>
      <c r="W34" s="101">
        <f>SUMIFS('9'!$E:$E,'9'!$A:$A,Año_Inicial,'9'!$B:$B,'11'!V$4,'9'!$D:$D,"Otras actividades")</f>
        <v>0</v>
      </c>
      <c r="X34" s="101">
        <f>(A1_A_L10*Otras_A)+(A1_B_L10*Otras_B)+(A1_C_L10*Otras_C)+(A1_D_L10*Otras_D)+(A1_Y_L10*Otras_Y)</f>
        <v>0</v>
      </c>
      <c r="Y34" s="101">
        <f>SUMIFS('9'!$E:$E,'9'!$A:$A,Año_Inicial,'9'!$B:$B,'11'!X$4,'9'!$D:$D,"Otras actividades")</f>
        <v>0</v>
      </c>
      <c r="Z34" s="101">
        <f>(A1_A_L11*Otras_A)+(A1_B_L11*Otras_B)+(A1_C_L11*Otras_C)+(A1_D_L11*Otras_D)+(A1_Y_L11*Otras_Y)</f>
        <v>0</v>
      </c>
      <c r="AA34" s="101">
        <f>SUMIFS('9'!$E:$E,'9'!$A:$A,Año_Inicial,'9'!$B:$B,'11'!Z$4,'9'!$D:$D,"Otras actividades")</f>
        <v>0</v>
      </c>
      <c r="AB34" s="101">
        <f>(A1_A_L12*Otras_A)+(A1_B_L12*Otras_B)+(A1_C_L12*Otras_C)+(A1_D_L12*Otras_D)+(A1_Y_L12*Otras_Y)</f>
        <v>0</v>
      </c>
      <c r="AC34" s="101">
        <f>SUMIFS('9'!$E:$E,'9'!$A:$A,Año_Inicial,'9'!$B:$B,'11'!AB$4,'9'!$D:$D,"Otras actividades")</f>
        <v>0</v>
      </c>
      <c r="AD34" s="101">
        <f>(A1_A_L13*Otras_A)+(A1_B_L13*Otras_B)+(A1_C_L13*Otras_C)+(A1_D_L13*Otras_D)+(A1_Y_L13*Otras_Y)</f>
        <v>0</v>
      </c>
      <c r="AE34" s="101">
        <f>SUMIFS('9'!$E:$E,'9'!$A:$A,Año_Inicial,'9'!$B:$B,'11'!AD$4,'9'!$D:$D,"Otras actividades")</f>
        <v>0</v>
      </c>
      <c r="AF34" s="101">
        <f>(A1_A_L14*Otras_A)+(A1_B_L14*Otras_B)+(A1_C_L14*Otras_C)+(A1_D_L14*Otras_D)+(A1_Y_L14*Otras_Y)</f>
        <v>0</v>
      </c>
      <c r="AG34" s="101">
        <f>SUMIFS('9'!$E:$E,'9'!$A:$A,Año_Inicial,'9'!$B:$B,'11'!AF$4,'9'!$D:$D,"Otras actividades")</f>
        <v>0</v>
      </c>
      <c r="AH34" s="101">
        <f>(A1_A_L15*Otras_A)+(A1_B_L15*Otras_B)+(A1_C_L15*Otras_C)+(A1_D_L15*Otras_D)+(A1_Y_L15*Otras_Y)</f>
        <v>0</v>
      </c>
      <c r="AI34" s="101">
        <f>SUMIFS('9'!$E:$E,'9'!$A:$A,Año_Inicial,'9'!$B:$B,'11'!AH$4,'9'!$D:$D,"Otras actividades")</f>
        <v>0</v>
      </c>
      <c r="AJ34" s="101">
        <f>(A1_A_L16*Otras_A)+(A1_B_L16*Otras_B)+(A1_C_L16*Otras_C)+(A1_D_L16*Otras_D)+(A1_Y_L16*Otras_Y)</f>
        <v>0</v>
      </c>
      <c r="AK34" s="101">
        <f>SUMIFS('9'!$E:$E,'9'!$A:$A,Año_Inicial,'9'!$B:$B,'11'!AJ$4,'9'!$D:$D,"Otras actividades")</f>
        <v>0</v>
      </c>
      <c r="AL34" s="101">
        <f>(A1_A_L17*Otras_A)+(A1_B_L17*Otras_B)+(A1_C_L17*Otras_C)+(A1_D_L17*Otras_D)+(A1_Y_L17*Otras_Y)</f>
        <v>0</v>
      </c>
      <c r="AM34" s="101">
        <f>SUMIFS('9'!$E:$E,'9'!$A:$A,Año_Inicial,'9'!$B:$B,'11'!AL$4,'9'!$D:$D,"Otras actividades")</f>
        <v>0</v>
      </c>
      <c r="AN34" s="101">
        <f>(A1_A_L18*Otras_A)+(A1_B_L18*Otras_B)+(A1_C_L18*Otras_C)+(A1_D_L18*Otras_D)+(A1_Y_L18*Otras_Y)</f>
        <v>0</v>
      </c>
      <c r="AO34" s="101">
        <f>SUMIFS('9'!$E:$E,'9'!$A:$A,Año_Inicial,'9'!$B:$B,'11'!AN$4,'9'!$D:$D,"Otras actividades")</f>
        <v>0</v>
      </c>
      <c r="AP34" s="101">
        <f>(A1_A_L19*Otras_A)+(A1_B_L19*Otras_B)+(A1_C_L19*Otras_C)+(A1_D_L19*Otras_D)+(A1_Y_L19*Otras_Y)</f>
        <v>0</v>
      </c>
      <c r="AQ34" s="101">
        <f>SUMIFS('9'!$E:$E,'9'!$A:$A,Año_Inicial,'9'!$B:$B,'11'!AP$4,'9'!$D:$D,"Otras actividades")</f>
        <v>0</v>
      </c>
      <c r="AR34" s="101">
        <f>(A1_A_L20*Otras_A)+(A1_B_L20*Otras_B)+(A1_C_L20*Otras_C)+(A1_D_L20*Otras_D)+(A1_Y_L20*Otras_Y)</f>
        <v>0</v>
      </c>
      <c r="AS34" s="101">
        <f>SUMIFS('9'!$E:$E,'9'!$A:$A,Año_Inicial,'9'!$B:$B,'11'!AR$4,'9'!$D:$D,"Otras actividades")</f>
        <v>0</v>
      </c>
      <c r="AT34" s="101">
        <f>(A1_A_L21*Otras_A)+(A1_B_L21*Otras_B)+(A1_C_L21*Otras_C)+(A1_D_L21*Otras_D)+(A1_Y_L21*Otras_Y)</f>
        <v>0</v>
      </c>
      <c r="AU34" s="101">
        <f>SUMIFS('9'!$E:$E,'9'!$A:$A,Año_Inicial,'9'!$B:$B,'11'!AT$4,'9'!$D:$D,"Otras actividades")</f>
        <v>0</v>
      </c>
      <c r="AV34" s="101">
        <f>(A1_A_L22*Otras_A)+(A1_B_L22*Otras_B)+(A1_C_L22*Otras_C)+(A1_D_L22*Otras_D)+(A1_Y_L22*Otras_Y)</f>
        <v>0</v>
      </c>
      <c r="AW34" s="101">
        <f>SUMIFS('9'!$E:$E,'9'!$A:$A,Año_Inicial,'9'!$B:$B,'11'!AV$4,'9'!$D:$D,"Otras actividades")</f>
        <v>0</v>
      </c>
      <c r="AX34" s="101">
        <f>(A1_A_L23*Otras_A)+(A1_B_L23*Otras_B)+(A1_C_L23*Otras_C)+(A1_D_L23*Otras_D)+(A1_Y_L23*Otras_Y)</f>
        <v>0</v>
      </c>
      <c r="AY34" s="101">
        <f>SUMIFS('9'!$E:$E,'9'!$A:$A,Año_Inicial,'9'!$B:$B,'11'!AX$4,'9'!$D:$D,"Otras actividades")</f>
        <v>0</v>
      </c>
      <c r="AZ34" s="101">
        <f>(A1_A_L24*Otras_A)+(A1_B_L24*Otras_B)+(A1_C_L24*Otras_C)+(A1_D_L24*Otras_D)+(A1_Y_L24*Otras_Y)</f>
        <v>0</v>
      </c>
      <c r="BA34" s="101">
        <f>SUMIFS('9'!$E:$E,'9'!$A:$A,Año_Inicial,'9'!$B:$B,'11'!AZ$4,'9'!$D:$D,"Otras actividades")</f>
        <v>0</v>
      </c>
      <c r="BB34" s="101">
        <f>(A1_A_L25*Otras_A)+(A1_B_L25*Otras_B)+(A1_C_L25*Otras_C)+(A1_D_L25*Otras_D)+(A1_Y_L25*Otras_Y)</f>
        <v>0</v>
      </c>
      <c r="BC34" s="101">
        <f>SUMIFS('9'!$E:$E,'9'!$A:$A,Año_Inicial,'9'!$B:$B,'11'!BB$4,'9'!$D:$D,"Otras actividades")</f>
        <v>0</v>
      </c>
      <c r="BD34" s="101">
        <f>(A1_A_L26*Otras_A)+(A1_B_L26*Otras_B)+(A1_C_L26*Otras_C)+(A1_D_L26*Otras_D)+(A1_Y_L26*Otras_Y)</f>
        <v>0</v>
      </c>
      <c r="BE34" s="101">
        <f>SUMIFS('9'!$E:$E,'9'!$A:$A,Año_Inicial,'9'!$B:$B,'11'!BD$4,'9'!$D:$D,"Otras actividades")</f>
        <v>0</v>
      </c>
      <c r="BF34" s="101">
        <f>(A1_A_L27*Otras_A)+(A1_B_L27*Otras_B)+(A1_C_L27*Otras_C)+(A1_D_L27*Otras_D)+(A1_Y_L27*Otras_Y)</f>
        <v>0</v>
      </c>
      <c r="BG34" s="101">
        <f>SUMIFS('9'!$E:$E,'9'!$A:$A,Año_Inicial,'9'!$B:$B,'11'!BF$4,'9'!$D:$D,"Otras actividades")</f>
        <v>0</v>
      </c>
      <c r="BH34" s="101">
        <f>(A1_A_L28*Otras_A)+(A1_B_L28*Otras_B)+(A1_C_L28*Otras_C)+(A1_D_L28*Otras_D)+(A1_Y_L28*Otras_Y)</f>
        <v>0</v>
      </c>
      <c r="BI34" s="101">
        <f>SUMIFS('9'!$E:$E,'9'!$A:$A,Año_Inicial,'9'!$B:$B,'11'!BH$4,'9'!$D:$D,"Otras actividades")</f>
        <v>0</v>
      </c>
      <c r="BJ34" s="101">
        <f>(A1_A_L29*Otras_A)+(A1_B_L29*Otras_B)+(A1_C_L29*Otras_C)+(A1_D_L29*Otras_D)+(A1_Y_L29*Otras_Y)</f>
        <v>0</v>
      </c>
      <c r="BK34" s="101">
        <f>SUMIFS('9'!$E:$E,'9'!$A:$A,Año_Inicial,'9'!$B:$B,'11'!BJ$4,'9'!$D:$D,"Otras actividades")</f>
        <v>0</v>
      </c>
      <c r="BL34" s="101">
        <f>(A1_A_L30*Otras_A)+(A1_B_L30*Otras_B)+(A1_C_L30*Otras_C)+(A1_D_L30*Otras_D)+(A1_Y_L30*Otras_Y)</f>
        <v>0</v>
      </c>
      <c r="BM34" s="101">
        <f>SUMIFS('9'!$E:$E,'9'!$A:$A,Año_Inicial,'9'!$B:$B,'11'!BL$4,'9'!$D:$D,"Otras actividades")</f>
        <v>0</v>
      </c>
      <c r="BN34" s="101">
        <f>(A1_A_L31*Otras_A)+(A1_B_L31*Otras_B)+(A1_C_L31*Otras_C)+(A1_D_L31*Otras_D)+(A1_Y_L31*Otras_Y)</f>
        <v>0</v>
      </c>
      <c r="BO34" s="101">
        <f>SUMIFS('9'!$E:$E,'9'!$A:$A,Año_Inicial,'9'!$B:$B,'11'!BN$4,'9'!$D:$D,"Otras actividades")</f>
        <v>0</v>
      </c>
      <c r="BP34" s="101">
        <f>(A1_A_L32*Otras_A)+(A1_B_L32*Otras_B)+(A1_C_L32*Otras_C)+(A1_D_L32*Otras_D)+(A1_Y_L32*Otras_Y)</f>
        <v>0</v>
      </c>
      <c r="BQ34" s="101">
        <f>SUMIFS('9'!$E:$E,'9'!$A:$A,Año_Inicial,'9'!$B:$B,'11'!BP$4,'9'!$D:$D,"Otras actividades")</f>
        <v>0</v>
      </c>
      <c r="BR34" s="101">
        <f>(A1_A_L33*Otras_A)+(A1_B_L33*Otras_B)+(A1_C_L33*Otras_C)+(A1_D_L33*Otras_D)+(A1_Y_L33*Otras_Y)</f>
        <v>0</v>
      </c>
      <c r="BS34" s="101">
        <f>SUMIFS('9'!$E:$E,'9'!$A:$A,Año_Inicial,'9'!$B:$B,'11'!BR$4,'9'!$D:$D,"Otras actividades")</f>
        <v>0</v>
      </c>
      <c r="BT34" s="101">
        <f>(A1_A_L34*Otras_A)+(A1_B_L34*Otras_B)+(A1_C_L34*Otras_C)+(A1_D_L34*Otras_D)+(A1_Y_L34*Otras_Y)</f>
        <v>0</v>
      </c>
      <c r="BU34" s="101">
        <f>SUMIFS('9'!$E:$E,'9'!$A:$A,Año_Inicial,'9'!$B:$B,'11'!BT$4,'9'!$D:$D,"Otras actividades")</f>
        <v>0</v>
      </c>
      <c r="BV34" s="101">
        <f>(A1_A_L35*Otras_A)+(A1_B_L35*Otras_B)+(A1_C_L35*Otras_C)+(A1_D_L35*Otras_D)+(A1_Y_L35*Otras_Y)</f>
        <v>0</v>
      </c>
      <c r="BW34" s="101">
        <f>SUMIFS('9'!$E:$E,'9'!$A:$A,Año_Inicial,'9'!$B:$B,'11'!BV$4,'9'!$D:$D,"Otras actividades")</f>
        <v>0</v>
      </c>
      <c r="BX34" s="101">
        <f>(A1_A_L36*Otras_A)+(A1_B_L36*Otras_B)+(A1_C_L36*Otras_C)+(A1_D_L36*Otras_D)+(A1_Y_L36*Otras_Y)</f>
        <v>0</v>
      </c>
      <c r="BY34" s="101">
        <f>SUMIFS('9'!$E:$E,'9'!$A:$A,Año_Inicial,'9'!$B:$B,'11'!BX$4,'9'!$D:$D,"Otras actividades")</f>
        <v>0</v>
      </c>
      <c r="BZ34" s="101">
        <f>(A1_A_L37*Otras_A)+(A1_B_L37*Otras_B)+(A1_C_L37*Otras_C)+(A1_D_L37*Otras_D)+(A1_Y_L37*Otras_Y)</f>
        <v>0</v>
      </c>
      <c r="CA34" s="101">
        <f>SUMIFS('9'!$E:$E,'9'!$A:$A,Año_Inicial,'9'!$B:$B,'11'!BZ$4,'9'!$D:$D,"Otras actividades")</f>
        <v>0</v>
      </c>
      <c r="CB34" s="101">
        <f>(A1_A_L38*Otras_A)+(A1_B_L38*Otras_B)+(A1_C_L38*Otras_C)+(A1_D_L38*Otras_D)+(A1_Y_L38*Otras_Y)</f>
        <v>0</v>
      </c>
      <c r="CC34" s="101">
        <f>SUMIFS('9'!$E:$E,'9'!$A:$A,Año_Inicial,'9'!$B:$B,'11'!CB$4,'9'!$D:$D,"Otras actividades")</f>
        <v>0</v>
      </c>
      <c r="CD34" s="101">
        <f>(A1_A_L39*Otras_A)+(A1_B_L39*Otras_B)+(A1_C_L39*Otras_C)+(A1_D_L39*Otras_D)+(A1_Y_L39*Otras_Y)</f>
        <v>0</v>
      </c>
      <c r="CE34" s="101">
        <f>SUMIFS('9'!$E:$E,'9'!$A:$A,Año_Inicial,'9'!$B:$B,'11'!CD$4,'9'!$D:$D,"Otras actividades")</f>
        <v>0</v>
      </c>
      <c r="CF34" s="101">
        <f>(A1_A_L40*Otras_A)+(A1_B_L40*Otras_B)+(A1_C_L40*Otras_C)+(A1_D_L40*Otras_D)+(A1_Y_L40*Otras_Y)</f>
        <v>0</v>
      </c>
      <c r="CG34" s="101">
        <f>SUMIFS('9'!$E:$E,'9'!$A:$A,Año_Inicial,'9'!$B:$B,'11'!CF$4,'9'!$D:$D,"Otras actividades")</f>
        <v>0</v>
      </c>
      <c r="CH34" s="473"/>
      <c r="CI34" s="101">
        <f>Plantas_A_A1*Otras_A</f>
        <v>0</v>
      </c>
      <c r="CJ34" s="101">
        <f>Plantas_B_A1*Otras_B</f>
        <v>0</v>
      </c>
      <c r="CK34" s="101">
        <f>Plantas_C_A1*Otras_C</f>
        <v>0</v>
      </c>
      <c r="CL34" s="101">
        <f>Plantas_D_A1*Otras_D</f>
        <v>0</v>
      </c>
      <c r="CM34" s="101"/>
      <c r="CN34" s="101">
        <f>Plantas_Y_A1*Otras_Y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68"/>
        <v>0</v>
      </c>
      <c r="C35" s="101">
        <f>SUMIFS('9'!$E:$E,'9'!$A:$A,Año_Inicial,'9'!$D:$D,"Coadyuvantes")</f>
        <v>0</v>
      </c>
      <c r="D35" s="100">
        <f t="shared" si="67"/>
        <v>0</v>
      </c>
      <c r="E35" s="473"/>
      <c r="F35" s="101">
        <f>(A1_A_L1*Coad_A)+(A1_B_L1*Coad_B)+(A1_C_L1*Coad_C)+(A1_D_L1*Coad_D)+(A1_Y_L1*Coad_Y)</f>
        <v>0</v>
      </c>
      <c r="G35" s="101">
        <f>SUMIFS('9'!$E:$E,'9'!$A:$A,Año_Inicial,'9'!$B:$B,'11'!F$4,'9'!$D:$D,"Coadyuvantes")</f>
        <v>0</v>
      </c>
      <c r="H35" s="101">
        <f>(A1_A_L2*Coad_A)+(A1_B_L2*Coad_B)+(A1_C_L2*Coad_C)+(A1_D_L2*Coad_D)+(A1_Y_L2*Coad_Y)</f>
        <v>0</v>
      </c>
      <c r="I35" s="101">
        <f>SUMIFS('9'!$E:$E,'9'!$A:$A,Año_Inicial,'9'!$B:$B,'11'!H$4,'9'!$D:$D,"Coadyuvantes")</f>
        <v>0</v>
      </c>
      <c r="J35" s="101">
        <f>(A1_A_L3*Coad_A)+(A1_B_L3*Coad_B)+(A1_C_L3*Coad_C)+(A1_D_L3*Coad_D)+(A1_Y_L3*Coad_Y)</f>
        <v>0</v>
      </c>
      <c r="K35" s="101">
        <f>SUMIFS('9'!$E:$E,'9'!$A:$A,Año_Inicial,'9'!$B:$B,'11'!J$4,'9'!$D:$D,"Coadyuvantes")</f>
        <v>0</v>
      </c>
      <c r="L35" s="101">
        <f>(A1_A_L4*Coad_A)+(A1_B_L4*Coad_B)+(A1_C_L4*Coad_C)+(A1_D_L4*Coad_D)+(A1_Y_L4*Coad_Y)</f>
        <v>0</v>
      </c>
      <c r="M35" s="101">
        <f>SUMIFS('9'!$E:$E,'9'!$A:$A,Año_Inicial,'9'!$B:$B,'11'!L$4,'9'!$D:$D,"Coadyuvantes")</f>
        <v>0</v>
      </c>
      <c r="N35" s="101">
        <f>(A1_A_L5*Coad_A)+(A1_B_L5*Coad_B)+(A1_C_L5*Coad_C)+(A1_D_L5*Coad_D)+(A1_Y_L5*Coad_Y)</f>
        <v>0</v>
      </c>
      <c r="O35" s="101">
        <f>SUMIFS('9'!$E:$E,'9'!$A:$A,Año_Inicial,'9'!$B:$B,'11'!N$4,'9'!$D:$D,"Coadyuvantes")</f>
        <v>0</v>
      </c>
      <c r="P35" s="101">
        <f>(A1_A_L6*Coad_A)+(A1_B_L6*Coad_B)+(A1_C_L6*Coad_C)+(A1_D_L6*Coad_D)+(A1_Y_L6*Coad_Y)</f>
        <v>0</v>
      </c>
      <c r="Q35" s="101">
        <f>SUMIFS('9'!$E:$E,'9'!$A:$A,Año_Inicial,'9'!$B:$B,'11'!P$4,'9'!$D:$D,"Coadyuvantes")</f>
        <v>0</v>
      </c>
      <c r="R35" s="101">
        <f>(A1_A_L7*Coad_A)+(A1_B_L7*Coad_B)+(A1_C_L7*Coad_C)+(A1_D_L7*Coad_D)+(A1_Y_L7*Coad_Y)</f>
        <v>0</v>
      </c>
      <c r="S35" s="101">
        <f>SUMIFS('9'!$E:$E,'9'!$A:$A,Año_Inicial,'9'!$B:$B,'11'!R$4,'9'!$D:$D,"Coadyuvantes")</f>
        <v>0</v>
      </c>
      <c r="T35" s="101">
        <f>(A1_A_L8*Coad_A)+(A1_B_L8*Coad_B)+(A1_C_L8*Coad_C)+(A1_D_L8*Coad_D)+(A1_Y_L8*Coad_Y)</f>
        <v>0</v>
      </c>
      <c r="U35" s="101">
        <f>SUMIFS('9'!$E:$E,'9'!$A:$A,Año_Inicial,'9'!$B:$B,'11'!T$4,'9'!$D:$D,"Coadyuvantes")</f>
        <v>0</v>
      </c>
      <c r="V35" s="101">
        <f>(A1_A_L9*Coad_A)+(A1_B_L9*Coad_B)+(A1_C_L9*Coad_C)+(A1_D_L9*Coad_D)+(A1_Y_L9*Coad_Y)</f>
        <v>0</v>
      </c>
      <c r="W35" s="101">
        <f>SUMIFS('9'!$E:$E,'9'!$A:$A,Año_Inicial,'9'!$B:$B,'11'!V$4,'9'!$D:$D,"Coadyuvantes")</f>
        <v>0</v>
      </c>
      <c r="X35" s="101">
        <f>(A1_A_L10*Coad_A)+(A1_B_L10*Coad_B)+(A1_C_L10*Coad_C)+(A1_D_L10*Coad_D)+(A1_Y_L10*Coad_Y)</f>
        <v>0</v>
      </c>
      <c r="Y35" s="101">
        <f>SUMIFS('9'!$E:$E,'9'!$A:$A,Año_Inicial,'9'!$B:$B,'11'!X$4,'9'!$D:$D,"Coadyuvantes")</f>
        <v>0</v>
      </c>
      <c r="Z35" s="101">
        <f>(A1_A_L11*Coad_A)+(A1_B_L11*Coad_B)+(A1_C_L11*Coad_C)+(A1_D_L11*Coad_D)+(A1_Y_L11*Coad_Y)</f>
        <v>0</v>
      </c>
      <c r="AA35" s="101">
        <f>SUMIFS('9'!$E:$E,'9'!$A:$A,Año_Inicial,'9'!$B:$B,'11'!Z$4,'9'!$D:$D,"Coadyuvantes")</f>
        <v>0</v>
      </c>
      <c r="AB35" s="101">
        <f>(A1_A_L12*Coad_A)+(A1_B_L12*Coad_B)+(A1_C_L12*Coad_C)+(A1_D_L12*Coad_D)+(A1_Y_L12*Coad_Y)</f>
        <v>0</v>
      </c>
      <c r="AC35" s="101">
        <f>SUMIFS('9'!$E:$E,'9'!$A:$A,Año_Inicial,'9'!$B:$B,'11'!AB$4,'9'!$D:$D,"Coadyuvantes")</f>
        <v>0</v>
      </c>
      <c r="AD35" s="101">
        <f>(A1_A_L13*Coad_A)+(A1_B_L13*Coad_B)+(A1_C_L13*Coad_C)+(A1_D_L13*Coad_D)+(A1_Y_L13*Coad_Y)</f>
        <v>0</v>
      </c>
      <c r="AE35" s="101">
        <f>SUMIFS('9'!$E:$E,'9'!$A:$A,Año_Inicial,'9'!$B:$B,'11'!AD$4,'9'!$D:$D,"Coadyuvantes")</f>
        <v>0</v>
      </c>
      <c r="AF35" s="101">
        <f>(A1_A_L14*Coad_A)+(A1_B_L14*Coad_B)+(A1_C_L14*Coad_C)+(A1_D_L14*Coad_D)+(A1_Y_L14*Coad_Y)</f>
        <v>0</v>
      </c>
      <c r="AG35" s="101">
        <f>SUMIFS('9'!$E:$E,'9'!$A:$A,Año_Inicial,'9'!$B:$B,'11'!AF$4,'9'!$D:$D,"Coadyuvantes")</f>
        <v>0</v>
      </c>
      <c r="AH35" s="101">
        <f>(A1_A_L15*Coad_A)+(A1_B_L15*Coad_B)+(A1_C_L15*Coad_C)+(A1_D_L15*Coad_D)+(A1_Y_L15*Coad_Y)</f>
        <v>0</v>
      </c>
      <c r="AI35" s="101">
        <f>SUMIFS('9'!$E:$E,'9'!$A:$A,Año_Inicial,'9'!$B:$B,'11'!AH$4,'9'!$D:$D,"Coadyuvantes")</f>
        <v>0</v>
      </c>
      <c r="AJ35" s="101">
        <f>(A1_A_L16*Coad_A)+(A1_B_L16*Coad_B)+(A1_C_L16*Coad_C)+(A1_D_L16*Coad_D)+(A1_Y_L16*Coad_Y)</f>
        <v>0</v>
      </c>
      <c r="AK35" s="101">
        <f>SUMIFS('9'!$E:$E,'9'!$A:$A,Año_Inicial,'9'!$B:$B,'11'!AJ$4,'9'!$D:$D,"Coadyuvantes")</f>
        <v>0</v>
      </c>
      <c r="AL35" s="101">
        <f>(A1_A_L17*Coad_A)+(A1_B_L17*Coad_B)+(A1_C_L17*Coad_C)+(A1_D_L17*Coad_D)+(A1_Y_L17*Coad_Y)</f>
        <v>0</v>
      </c>
      <c r="AM35" s="101">
        <f>SUMIFS('9'!$E:$E,'9'!$A:$A,Año_Inicial,'9'!$B:$B,'11'!AL$4,'9'!$D:$D,"Coadyuvantes")</f>
        <v>0</v>
      </c>
      <c r="AN35" s="101">
        <f>(A1_A_L18*Coad_A)+(A1_B_L18*Coad_B)+(A1_C_L18*Coad_C)+(A1_D_L18*Coad_D)+(A1_Y_L18*Coad_Y)</f>
        <v>0</v>
      </c>
      <c r="AO35" s="101">
        <f>SUMIFS('9'!$E:$E,'9'!$A:$A,Año_Inicial,'9'!$B:$B,'11'!AN$4,'9'!$D:$D,"Coadyuvantes")</f>
        <v>0</v>
      </c>
      <c r="AP35" s="101">
        <f>(A1_A_L19*Coad_A)+(A1_B_L19*Coad_B)+(A1_C_L19*Coad_C)+(A1_D_L19*Coad_D)+(A1_Y_L19*Coad_Y)</f>
        <v>0</v>
      </c>
      <c r="AQ35" s="101">
        <f>SUMIFS('9'!$E:$E,'9'!$A:$A,Año_Inicial,'9'!$B:$B,'11'!AP$4,'9'!$D:$D,"Coadyuvantes")</f>
        <v>0</v>
      </c>
      <c r="AR35" s="101">
        <f>(A1_A_L20*Coad_A)+(A1_B_L20*Coad_B)+(A1_C_L20*Coad_C)+(A1_D_L20*Coad_D)+(A1_Y_L20*Coad_Y)</f>
        <v>0</v>
      </c>
      <c r="AS35" s="101">
        <f>SUMIFS('9'!$E:$E,'9'!$A:$A,Año_Inicial,'9'!$B:$B,'11'!AR$4,'9'!$D:$D,"Coadyuvantes")</f>
        <v>0</v>
      </c>
      <c r="AT35" s="101">
        <f>(A1_A_L21*Coad_A)+(A1_B_L21*Coad_B)+(A1_C_L21*Coad_C)+(A1_D_L21*Coad_D)+(A1_Y_L21*Coad_Y)</f>
        <v>0</v>
      </c>
      <c r="AU35" s="101">
        <f>SUMIFS('9'!$E:$E,'9'!$A:$A,Año_Inicial,'9'!$B:$B,'11'!AT$4,'9'!$D:$D,"Coadyuvantes")</f>
        <v>0</v>
      </c>
      <c r="AV35" s="101">
        <f>(A1_A_L22*Coad_A)+(A1_B_L22*Coad_B)+(A1_C_L22*Coad_C)+(A1_D_L22*Coad_D)+(A1_Y_L22*Coad_Y)</f>
        <v>0</v>
      </c>
      <c r="AW35" s="101">
        <f>SUMIFS('9'!$E:$E,'9'!$A:$A,Año_Inicial,'9'!$B:$B,'11'!AV$4,'9'!$D:$D,"Coadyuvantes")</f>
        <v>0</v>
      </c>
      <c r="AX35" s="101">
        <f>(A1_A_L23*Coad_A)+(A1_B_L23*Coad_B)+(A1_C_L23*Coad_C)+(A1_D_L23*Coad_D)+(A1_Y_L23*Coad_Y)</f>
        <v>0</v>
      </c>
      <c r="AY35" s="101">
        <f>SUMIFS('9'!$E:$E,'9'!$A:$A,Año_Inicial,'9'!$B:$B,'11'!AX$4,'9'!$D:$D,"Coadyuvantes")</f>
        <v>0</v>
      </c>
      <c r="AZ35" s="101">
        <f>(A1_A_L24*Coad_A)+(A1_B_L24*Coad_B)+(A1_C_L24*Coad_C)+(A1_D_L24*Coad_D)+(A1_Y_L24*Coad_Y)</f>
        <v>0</v>
      </c>
      <c r="BA35" s="101">
        <f>SUMIFS('9'!$E:$E,'9'!$A:$A,Año_Inicial,'9'!$B:$B,'11'!AZ$4,'9'!$D:$D,"Coadyuvantes")</f>
        <v>0</v>
      </c>
      <c r="BB35" s="101">
        <f>(A1_A_L25*Coad_A)+(A1_B_L25*Coad_B)+(A1_C_L25*Coad_C)+(A1_D_L25*Coad_D)+(A1_Y_L25*Coad_Y)</f>
        <v>0</v>
      </c>
      <c r="BC35" s="101">
        <f>SUMIFS('9'!$E:$E,'9'!$A:$A,Año_Inicial,'9'!$B:$B,'11'!BB$4,'9'!$D:$D,"Coadyuvantes")</f>
        <v>0</v>
      </c>
      <c r="BD35" s="101">
        <f>(A1_A_L26*Coad_A)+(A1_B_L26*Coad_B)+(A1_C_L26*Coad_C)+(A1_D_L26*Coad_D)+(A1_Y_L26*Coad_Y)</f>
        <v>0</v>
      </c>
      <c r="BE35" s="101">
        <f>SUMIFS('9'!$E:$E,'9'!$A:$A,Año_Inicial,'9'!$B:$B,'11'!BD$4,'9'!$D:$D,"Coadyuvantes")</f>
        <v>0</v>
      </c>
      <c r="BF35" s="101">
        <f>(A1_A_L27*Coad_A)+(A1_B_L27*Coad_B)+(A1_C_L27*Coad_C)+(A1_D_L27*Coad_D)+(A1_Y_L27*Coad_Y)</f>
        <v>0</v>
      </c>
      <c r="BG35" s="101">
        <f>SUMIFS('9'!$E:$E,'9'!$A:$A,Año_Inicial,'9'!$B:$B,'11'!BF$4,'9'!$D:$D,"Coadyuvantes")</f>
        <v>0</v>
      </c>
      <c r="BH35" s="101">
        <f>(A1_A_L28*Coad_A)+(A1_B_L28*Coad_B)+(A1_C_L28*Coad_C)+(A1_D_L28*Coad_D)+(A1_Y_L28*Coad_Y)</f>
        <v>0</v>
      </c>
      <c r="BI35" s="101">
        <f>SUMIFS('9'!$E:$E,'9'!$A:$A,Año_Inicial,'9'!$B:$B,'11'!BH$4,'9'!$D:$D,"Coadyuvantes")</f>
        <v>0</v>
      </c>
      <c r="BJ35" s="101">
        <f>(A1_A_L29*Coad_A)+(A1_B_L29*Coad_B)+(A1_C_L29*Coad_C)+(A1_D_L29*Coad_D)+(A1_Y_L29*Coad_Y)</f>
        <v>0</v>
      </c>
      <c r="BK35" s="101">
        <f>SUMIFS('9'!$E:$E,'9'!$A:$A,Año_Inicial,'9'!$B:$B,'11'!BJ$4,'9'!$D:$D,"Coadyuvantes")</f>
        <v>0</v>
      </c>
      <c r="BL35" s="101">
        <f>(A1_A_L30*Coad_A)+(A1_B_L30*Coad_B)+(A1_C_L30*Coad_C)+(A1_D_L30*Coad_D)+(A1_Y_L30*Coad_Y)</f>
        <v>0</v>
      </c>
      <c r="BM35" s="101">
        <f>SUMIFS('9'!$E:$E,'9'!$A:$A,Año_Inicial,'9'!$B:$B,'11'!BL$4,'9'!$D:$D,"Coadyuvantes")</f>
        <v>0</v>
      </c>
      <c r="BN35" s="101">
        <f>(A1_A_L31*Coad_A)+(A1_B_L31*Coad_B)+(A1_C_L31*Coad_C)+(A1_D_L31*Coad_D)+(A1_Y_L31*Coad_Y)</f>
        <v>0</v>
      </c>
      <c r="BO35" s="101">
        <f>SUMIFS('9'!$E:$E,'9'!$A:$A,Año_Inicial,'9'!$B:$B,'11'!BN$4,'9'!$D:$D,"Coadyuvantes")</f>
        <v>0</v>
      </c>
      <c r="BP35" s="101">
        <f>(A1_A_L32*Coad_A)+(A1_B_L32*Coad_B)+(A1_C_L32*Coad_C)+(A1_D_L32*Coad_D)+(A1_Y_L32*Coad_Y)</f>
        <v>0</v>
      </c>
      <c r="BQ35" s="101">
        <f>SUMIFS('9'!$E:$E,'9'!$A:$A,Año_Inicial,'9'!$B:$B,'11'!BP$4,'9'!$D:$D,"Coadyuvantes")</f>
        <v>0</v>
      </c>
      <c r="BR35" s="101">
        <f>(A1_A_L33*Coad_A)+(A1_B_L33*Coad_B)+(A1_C_L33*Coad_C)+(A1_D_L33*Coad_D)+(A1_Y_L33*Coad_Y)</f>
        <v>0</v>
      </c>
      <c r="BS35" s="101">
        <f>SUMIFS('9'!$E:$E,'9'!$A:$A,Año_Inicial,'9'!$B:$B,'11'!BR$4,'9'!$D:$D,"Coadyuvantes")</f>
        <v>0</v>
      </c>
      <c r="BT35" s="101">
        <f>(A1_A_L34*Coad_A)+(A1_B_L34*Coad_B)+(A1_C_L34*Coad_C)+(A1_D_L34*Coad_D)+(A1_Y_L34*Coad_Y)</f>
        <v>0</v>
      </c>
      <c r="BU35" s="101">
        <f>SUMIFS('9'!$E:$E,'9'!$A:$A,Año_Inicial,'9'!$B:$B,'11'!BT$4,'9'!$D:$D,"Coadyuvantes")</f>
        <v>0</v>
      </c>
      <c r="BV35" s="101">
        <f>(A1_A_L35*Coad_A)+(A1_B_L35*Coad_B)+(A1_C_L35*Coad_C)+(A1_D_L35*Coad_D)+(A1_Y_L35*Coad_Y)</f>
        <v>0</v>
      </c>
      <c r="BW35" s="101">
        <f>SUMIFS('9'!$E:$E,'9'!$A:$A,Año_Inicial,'9'!$B:$B,'11'!BV$4,'9'!$D:$D,"Coadyuvantes")</f>
        <v>0</v>
      </c>
      <c r="BX35" s="101">
        <f>(A1_A_L36*Coad_A)+(A1_B_L36*Coad_B)+(A1_C_L36*Coad_C)+(A1_D_L36*Coad_D)+(A1_Y_L36*Coad_Y)</f>
        <v>0</v>
      </c>
      <c r="BY35" s="101">
        <f>SUMIFS('9'!$E:$E,'9'!$A:$A,Año_Inicial,'9'!$B:$B,'11'!BX$4,'9'!$D:$D,"Coadyuvantes")</f>
        <v>0</v>
      </c>
      <c r="BZ35" s="101">
        <f>(A1_A_L37*Coad_A)+(A1_B_L37*Coad_B)+(A1_C_L37*Coad_C)+(A1_D_L37*Coad_D)+(A1_Y_L37*Coad_Y)</f>
        <v>0</v>
      </c>
      <c r="CA35" s="101">
        <f>SUMIFS('9'!$E:$E,'9'!$A:$A,Año_Inicial,'9'!$B:$B,'11'!BZ$4,'9'!$D:$D,"Coadyuvantes")</f>
        <v>0</v>
      </c>
      <c r="CB35" s="101">
        <f>(A1_A_L38*Coad_A)+(A1_B_L38*Coad_B)+(A1_C_L38*Coad_C)+(A1_D_L38*Coad_D)+(A1_Y_L38*Coad_Y)</f>
        <v>0</v>
      </c>
      <c r="CC35" s="101">
        <f>SUMIFS('9'!$E:$E,'9'!$A:$A,Año_Inicial,'9'!$B:$B,'11'!CB$4,'9'!$D:$D,"Coadyuvantes")</f>
        <v>0</v>
      </c>
      <c r="CD35" s="101">
        <f>(A1_A_L39*Coad_A)+(A1_B_L39*Coad_B)+(A1_C_L39*Coad_C)+(A1_D_L39*Coad_D)+(A1_Y_L39*Coad_Y)</f>
        <v>0</v>
      </c>
      <c r="CE35" s="101">
        <f>SUMIFS('9'!$E:$E,'9'!$A:$A,Año_Inicial,'9'!$B:$B,'11'!CD$4,'9'!$D:$D,"Coadyuvantes")</f>
        <v>0</v>
      </c>
      <c r="CF35" s="101">
        <f>(A1_A_L40*Coad_A)+(A1_B_L40*Coad_B)+(A1_C_L40*Coad_C)+(A1_D_L40*Coad_D)+(A1_Y_L40*Coad_Y)</f>
        <v>0</v>
      </c>
      <c r="CG35" s="101">
        <f>SUMIFS('9'!$E:$E,'9'!$A:$A,Año_Inicial,'9'!$B:$B,'11'!CF$4,'9'!$D:$D,"Coadyuvantes")</f>
        <v>0</v>
      </c>
      <c r="CH35" s="473"/>
      <c r="CI35" s="101">
        <f>Plantas_A_A1*Coad_A</f>
        <v>0</v>
      </c>
      <c r="CJ35" s="101">
        <f>Plantas_B_A1*Coad_B</f>
        <v>0</v>
      </c>
      <c r="CK35" s="101">
        <f>Plantas_C_A1*Coad_C</f>
        <v>0</v>
      </c>
      <c r="CL35" s="101">
        <f>Plantas_D_A1*Coad_D</f>
        <v>0</v>
      </c>
      <c r="CM35" s="101"/>
      <c r="CN35" s="101">
        <f>Plantas_Y_A1*Coad_Y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68"/>
        <v>0</v>
      </c>
      <c r="C36" s="101">
        <f>SUMIFS('9'!$E:$E,'9'!$A:$A,Año_Inicial,'9'!$D:$D,"Otro insumo 1*")</f>
        <v>0</v>
      </c>
      <c r="D36" s="100">
        <f t="shared" si="67"/>
        <v>0</v>
      </c>
      <c r="E36" s="473"/>
      <c r="F36" s="101">
        <f>(A1_A_L1*Otro1_A)+(A1_B_L1*Otro1_B)+(A1_C_L1*Otro1_C)+(A1_D_L1*Otro1_D)+(A1_Y_L1*Otro1_Y)</f>
        <v>0</v>
      </c>
      <c r="G36" s="101">
        <f>SUMIFS('9'!$E:$E,'9'!$A:$A,Año_Inicial,'9'!$B:$B,'11'!F$4,'9'!$D:$D,"Otro insumo 1*")</f>
        <v>0</v>
      </c>
      <c r="H36" s="101">
        <f>(A1_A_L2*Otro1_A)+(A1_B_L2*Otro1_B)+(A1_C_L2*Otro1_C)+(A1_D_L2*Otro1_D)+(A1_Y_L2*Otro1_Y)</f>
        <v>0</v>
      </c>
      <c r="I36" s="101">
        <f>SUMIFS('9'!$E:$E,'9'!$A:$A,Año_Inicial,'9'!$B:$B,'11'!H$4,'9'!$D:$D,"Otro insumo 1*")</f>
        <v>0</v>
      </c>
      <c r="J36" s="101">
        <f>(A1_A_L3*Otro1_A)+(A1_B_L3*Otro1_B)+(A1_C_L3*Otro1_C)+(A1_D_L3*Otro1_D)+(A1_Y_L3*Otro1_Y)</f>
        <v>0</v>
      </c>
      <c r="K36" s="101">
        <f>SUMIFS('9'!$E:$E,'9'!$A:$A,Año_Inicial,'9'!$B:$B,'11'!J$4,'9'!$D:$D,"Otro insumo 1*")</f>
        <v>0</v>
      </c>
      <c r="L36" s="101">
        <f>(A1_A_L4*Otro1_A)+(A1_B_L4*Otro1_B)+(A1_C_L4*Otro1_C)+(A1_D_L4*Otro1_D)+(A1_Y_L4*Otro1_Y)</f>
        <v>0</v>
      </c>
      <c r="M36" s="101">
        <f>SUMIFS('9'!$E:$E,'9'!$A:$A,Año_Inicial,'9'!$B:$B,'11'!L$4,'9'!$D:$D,"Otro insumo 1*")</f>
        <v>0</v>
      </c>
      <c r="N36" s="101">
        <f>(A1_A_L5*Otro1_A)+(A1_B_L5*Otro1_B)+(A1_C_L5*Otro1_C)+(A1_D_L5*Otro1_D)+(A1_Y_L5*Otro1_Y)</f>
        <v>0</v>
      </c>
      <c r="O36" s="101">
        <f>SUMIFS('9'!$E:$E,'9'!$A:$A,Año_Inicial,'9'!$B:$B,'11'!N$4,'9'!$D:$D,"Otro insumo 1*")</f>
        <v>0</v>
      </c>
      <c r="P36" s="101">
        <f>(A1_A_L6*Otro1_A)+(A1_B_L6*Otro1_B)+(A1_C_L6*Otro1_C)+(A1_D_L6*Otro1_D)+(A1_Y_L6*Otro1_Y)</f>
        <v>0</v>
      </c>
      <c r="Q36" s="101">
        <f>SUMIFS('9'!$E:$E,'9'!$A:$A,Año_Inicial,'9'!$B:$B,'11'!P$4,'9'!$D:$D,"Otro insumo 1*")</f>
        <v>0</v>
      </c>
      <c r="R36" s="101">
        <f>(A1_A_L7*Otro1_A)+(A1_B_L7*Otro1_B)+(A1_C_L7*Otro1_C)+(A1_D_L7*Otro1_D)+(A1_Y_L7*Otro1_Y)</f>
        <v>0</v>
      </c>
      <c r="S36" s="101">
        <f>SUMIFS('9'!$E:$E,'9'!$A:$A,Año_Inicial,'9'!$B:$B,'11'!R$4,'9'!$D:$D,"Otro insumo 1*")</f>
        <v>0</v>
      </c>
      <c r="T36" s="101">
        <f>(A1_A_L8*Otro1_A)+(A1_B_L8*Otro1_B)+(A1_C_L8*Otro1_C)+(A1_D_L8*Otro1_D)+(A1_Y_L8*Otro1_Y)</f>
        <v>0</v>
      </c>
      <c r="U36" s="101">
        <f>SUMIFS('9'!$E:$E,'9'!$A:$A,Año_Inicial,'9'!$B:$B,'11'!T$4,'9'!$D:$D,"Otro insumo 1*")</f>
        <v>0</v>
      </c>
      <c r="V36" s="101">
        <f>(A1_A_L9*Otro1_A)+(A1_B_L9*Otro1_B)+(A1_C_L9*Otro1_C)+(A1_D_L9*Otro1_D)+(A1_Y_L9*Otro1_Y)</f>
        <v>0</v>
      </c>
      <c r="W36" s="101">
        <f>SUMIFS('9'!$E:$E,'9'!$A:$A,Año_Inicial,'9'!$B:$B,'11'!V$4,'9'!$D:$D,"Otro insumo 1*")</f>
        <v>0</v>
      </c>
      <c r="X36" s="101">
        <f>(A1_A_L10*Otro1_A)+(A1_B_L10*Otro1_B)+(A1_C_L10*Otro1_C)+(A1_D_L10*Otro1_D)+(A1_Y_L10*Otro1_Y)</f>
        <v>0</v>
      </c>
      <c r="Y36" s="101">
        <f>SUMIFS('9'!$E:$E,'9'!$A:$A,Año_Inicial,'9'!$B:$B,'11'!X$4,'9'!$D:$D,"Otro insumo 1*")</f>
        <v>0</v>
      </c>
      <c r="Z36" s="101">
        <f>(A1_A_L11*Otro1_A)+(A1_B_L11*Otro1_B)+(A1_C_L11*Otro1_C)+(A1_D_L11*Otro1_D)+(A1_Y_L11*Otro1_Y)</f>
        <v>0</v>
      </c>
      <c r="AA36" s="101">
        <f>SUMIFS('9'!$E:$E,'9'!$A:$A,Año_Inicial,'9'!$B:$B,'11'!Z$4,'9'!$D:$D,"Otro insumo 1*")</f>
        <v>0</v>
      </c>
      <c r="AB36" s="101">
        <f>(A1_A_L12*Otro1_A)+(A1_B_L12*Otro1_B)+(A1_C_L12*Otro1_C)+(A1_D_L12*Otro1_D)+(A1_Y_L12*Otro1_Y)</f>
        <v>0</v>
      </c>
      <c r="AC36" s="101">
        <f>SUMIFS('9'!$E:$E,'9'!$A:$A,Año_Inicial,'9'!$B:$B,'11'!AB$4,'9'!$D:$D,"Otro insumo 1*")</f>
        <v>0</v>
      </c>
      <c r="AD36" s="101">
        <f>(A1_A_L13*Otro1_A)+(A1_B_L13*Otro1_B)+(A1_C_L13*Otro1_C)+(A1_D_L13*Otro1_D)+(A1_Y_L13*Otro1_Y)</f>
        <v>0</v>
      </c>
      <c r="AE36" s="101">
        <f>SUMIFS('9'!$E:$E,'9'!$A:$A,Año_Inicial,'9'!$B:$B,'11'!AD$4,'9'!$D:$D,"Otro insumo 1*")</f>
        <v>0</v>
      </c>
      <c r="AF36" s="101">
        <f>(A1_A_L14*Otro1_A)+(A1_B_L14*Otro1_B)+(A1_C_L14*Otro1_C)+(A1_D_L14*Otro1_D)+(A1_Y_L14*Otro1_Y)</f>
        <v>0</v>
      </c>
      <c r="AG36" s="101">
        <f>SUMIFS('9'!$E:$E,'9'!$A:$A,Año_Inicial,'9'!$B:$B,'11'!AF$4,'9'!$D:$D,"Otro insumo 1*")</f>
        <v>0</v>
      </c>
      <c r="AH36" s="101">
        <f>(A1_A_L15*Otro1_A)+(A1_B_L15*Otro1_B)+(A1_C_L15*Otro1_C)+(A1_D_L15*Otro1_D)+(A1_Y_L15*Otro1_Y)</f>
        <v>0</v>
      </c>
      <c r="AI36" s="101">
        <f>SUMIFS('9'!$E:$E,'9'!$A:$A,Año_Inicial,'9'!$B:$B,'11'!AH$4,'9'!$D:$D,"Otro insumo 1*")</f>
        <v>0</v>
      </c>
      <c r="AJ36" s="101">
        <f>(A1_A_L16*Otro1_A)+(A1_B_L16*Otro1_B)+(A1_C_L16*Otro1_C)+(A1_D_L16*Otro1_D)+(A1_Y_L16*Otro1_Y)</f>
        <v>0</v>
      </c>
      <c r="AK36" s="101">
        <f>SUMIFS('9'!$E:$E,'9'!$A:$A,Año_Inicial,'9'!$B:$B,'11'!AJ$4,'9'!$D:$D,"Otro insumo 1*")</f>
        <v>0</v>
      </c>
      <c r="AL36" s="101">
        <f>(A1_A_L17*Otro1_A)+(A1_B_L17*Otro1_B)+(A1_C_L17*Otro1_C)+(A1_D_L17*Otro1_D)+(A1_Y_L17*Otro1_Y)</f>
        <v>0</v>
      </c>
      <c r="AM36" s="101">
        <f>SUMIFS('9'!$E:$E,'9'!$A:$A,Año_Inicial,'9'!$B:$B,'11'!AL$4,'9'!$D:$D,"Otro insumo 1*")</f>
        <v>0</v>
      </c>
      <c r="AN36" s="101">
        <f>(A1_A_L18*Otro1_A)+(A1_B_L18*Otro1_B)+(A1_C_L18*Otro1_C)+(A1_D_L18*Otro1_D)+(A1_Y_L18*Otro1_Y)</f>
        <v>0</v>
      </c>
      <c r="AO36" s="101">
        <f>SUMIFS('9'!$E:$E,'9'!$A:$A,Año_Inicial,'9'!$B:$B,'11'!AN$4,'9'!$D:$D,"Otro insumo 1*")</f>
        <v>0</v>
      </c>
      <c r="AP36" s="101">
        <f>(A1_A_L19*Otro1_A)+(A1_B_L19*Otro1_B)+(A1_C_L19*Otro1_C)+(A1_D_L19*Otro1_D)+(A1_Y_L19*Otro1_Y)</f>
        <v>0</v>
      </c>
      <c r="AQ36" s="101">
        <f>SUMIFS('9'!$E:$E,'9'!$A:$A,Año_Inicial,'9'!$B:$B,'11'!AP$4,'9'!$D:$D,"Otro insumo 1*")</f>
        <v>0</v>
      </c>
      <c r="AR36" s="101">
        <f>(A1_A_L20*Otro1_A)+(A1_B_L20*Otro1_B)+(A1_C_L20*Otro1_C)+(A1_D_L20*Otro1_D)+(A1_Y_L20*Otro1_Y)</f>
        <v>0</v>
      </c>
      <c r="AS36" s="101">
        <f>SUMIFS('9'!$E:$E,'9'!$A:$A,Año_Inicial,'9'!$B:$B,'11'!AR$4,'9'!$D:$D,"Otro insumo 1*")</f>
        <v>0</v>
      </c>
      <c r="AT36" s="101">
        <f>(A1_A_L21*Otro1_A)+(A1_B_L21*Otro1_B)+(A1_C_L21*Otro1_C)+(A1_D_L21*Otro1_D)+(A1_Y_L21*Otro1_Y)</f>
        <v>0</v>
      </c>
      <c r="AU36" s="101">
        <f>SUMIFS('9'!$E:$E,'9'!$A:$A,Año_Inicial,'9'!$B:$B,'11'!AT$4,'9'!$D:$D,"Otro insumo 1*")</f>
        <v>0</v>
      </c>
      <c r="AV36" s="101">
        <f>(A1_A_L22*Otro1_A)+(A1_B_L22*Otro1_B)+(A1_C_L22*Otro1_C)+(A1_D_L22*Otro1_D)+(A1_Y_L22*Otro1_Y)</f>
        <v>0</v>
      </c>
      <c r="AW36" s="101">
        <f>SUMIFS('9'!$E:$E,'9'!$A:$A,Año_Inicial,'9'!$B:$B,'11'!AV$4,'9'!$D:$D,"Otro insumo 1*")</f>
        <v>0</v>
      </c>
      <c r="AX36" s="101">
        <f>(A1_A_L23*Otro1_A)+(A1_B_L23*Otro1_B)+(A1_C_L23*Otro1_C)+(A1_D_L23*Otro1_D)+(A1_Y_L23*Otro1_Y)</f>
        <v>0</v>
      </c>
      <c r="AY36" s="101">
        <f>SUMIFS('9'!$E:$E,'9'!$A:$A,Año_Inicial,'9'!$B:$B,'11'!AX$4,'9'!$D:$D,"Otro insumo 1*")</f>
        <v>0</v>
      </c>
      <c r="AZ36" s="101">
        <f>(A1_A_L24*Otro1_A)+(A1_B_L24*Otro1_B)+(A1_C_L24*Otro1_C)+(A1_D_L24*Otro1_D)+(A1_Y_L24*Otro1_Y)</f>
        <v>0</v>
      </c>
      <c r="BA36" s="101">
        <f>SUMIFS('9'!$E:$E,'9'!$A:$A,Año_Inicial,'9'!$B:$B,'11'!AZ$4,'9'!$D:$D,"Otro insumo 1*")</f>
        <v>0</v>
      </c>
      <c r="BB36" s="101">
        <f>(A1_A_L25*Otro1_A)+(A1_B_L25*Otro1_B)+(A1_C_L25*Otro1_C)+(A1_D_L25*Otro1_D)+(A1_Y_L25*Otro1_Y)</f>
        <v>0</v>
      </c>
      <c r="BC36" s="101">
        <f>SUMIFS('9'!$E:$E,'9'!$A:$A,Año_Inicial,'9'!$B:$B,'11'!BB$4,'9'!$D:$D,"Otro insumo 1*")</f>
        <v>0</v>
      </c>
      <c r="BD36" s="101">
        <f>(A1_A_L26*Otro1_A)+(A1_B_L26*Otro1_B)+(A1_C_L26*Otro1_C)+(A1_D_L26*Otro1_D)+(A1_Y_L26*Otro1_Y)</f>
        <v>0</v>
      </c>
      <c r="BE36" s="101">
        <f>SUMIFS('9'!$E:$E,'9'!$A:$A,Año_Inicial,'9'!$B:$B,'11'!BD$4,'9'!$D:$D,"Otro insumo 1*")</f>
        <v>0</v>
      </c>
      <c r="BF36" s="101">
        <f>(A1_A_L27*Otro1_A)+(A1_B_L27*Otro1_B)+(A1_C_L27*Otro1_C)+(A1_D_L27*Otro1_D)+(A1_Y_L27*Otro1_Y)</f>
        <v>0</v>
      </c>
      <c r="BG36" s="101">
        <f>SUMIFS('9'!$E:$E,'9'!$A:$A,Año_Inicial,'9'!$B:$B,'11'!BF$4,'9'!$D:$D,"Otro insumo 1*")</f>
        <v>0</v>
      </c>
      <c r="BH36" s="101">
        <f>(A1_A_L28*Otro1_A)+(A1_B_L28*Otro1_B)+(A1_C_L28*Otro1_C)+(A1_D_L28*Otro1_D)+(A1_Y_L28*Otro1_Y)</f>
        <v>0</v>
      </c>
      <c r="BI36" s="101">
        <f>SUMIFS('9'!$E:$E,'9'!$A:$A,Año_Inicial,'9'!$B:$B,'11'!BH$4,'9'!$D:$D,"Otro insumo 1*")</f>
        <v>0</v>
      </c>
      <c r="BJ36" s="101">
        <f>(A1_A_L29*Otro1_A)+(A1_B_L29*Otro1_B)+(A1_C_L29*Otro1_C)+(A1_D_L29*Otro1_D)+(A1_Y_L29*Otro1_Y)</f>
        <v>0</v>
      </c>
      <c r="BK36" s="101">
        <f>SUMIFS('9'!$E:$E,'9'!$A:$A,Año_Inicial,'9'!$B:$B,'11'!BJ$4,'9'!$D:$D,"Otro insumo 1*")</f>
        <v>0</v>
      </c>
      <c r="BL36" s="101">
        <f>(A1_A_L30*Otro1_A)+(A1_B_L30*Otro1_B)+(A1_C_L30*Otro1_C)+(A1_D_L30*Otro1_D)+(A1_Y_L30*Otro1_Y)</f>
        <v>0</v>
      </c>
      <c r="BM36" s="101">
        <f>SUMIFS('9'!$E:$E,'9'!$A:$A,Año_Inicial,'9'!$B:$B,'11'!BL$4,'9'!$D:$D,"Otro insumo 1*")</f>
        <v>0</v>
      </c>
      <c r="BN36" s="101">
        <f>(A1_A_L31*Otro1_A)+(A1_B_L31*Otro1_B)+(A1_C_L31*Otro1_C)+(A1_D_L31*Otro1_D)+(A1_Y_L31*Otro1_Y)</f>
        <v>0</v>
      </c>
      <c r="BO36" s="101">
        <f>SUMIFS('9'!$E:$E,'9'!$A:$A,Año_Inicial,'9'!$B:$B,'11'!BN$4,'9'!$D:$D,"Otro insumo 1*")</f>
        <v>0</v>
      </c>
      <c r="BP36" s="101">
        <f>(A1_A_L32*Otro1_A)+(A1_B_L32*Otro1_B)+(A1_C_L32*Otro1_C)+(A1_D_L32*Otro1_D)+(A1_Y_L32*Otro1_Y)</f>
        <v>0</v>
      </c>
      <c r="BQ36" s="101">
        <f>SUMIFS('9'!$E:$E,'9'!$A:$A,Año_Inicial,'9'!$B:$B,'11'!BP$4,'9'!$D:$D,"Otro insumo 1*")</f>
        <v>0</v>
      </c>
      <c r="BR36" s="101">
        <f>(A1_A_L33*Otro1_A)+(A1_B_L33*Otro1_B)+(A1_C_L33*Otro1_C)+(A1_D_L33*Otro1_D)+(A1_Y_L33*Otro1_Y)</f>
        <v>0</v>
      </c>
      <c r="BS36" s="101">
        <f>SUMIFS('9'!$E:$E,'9'!$A:$A,Año_Inicial,'9'!$B:$B,'11'!BR$4,'9'!$D:$D,"Otro insumo 1*")</f>
        <v>0</v>
      </c>
      <c r="BT36" s="101">
        <f>(A1_A_L34*Otro1_A)+(A1_B_L34*Otro1_B)+(A1_C_L34*Otro1_C)+(A1_D_L34*Otro1_D)+(A1_Y_L34*Otro1_Y)</f>
        <v>0</v>
      </c>
      <c r="BU36" s="101">
        <f>SUMIFS('9'!$E:$E,'9'!$A:$A,Año_Inicial,'9'!$B:$B,'11'!BT$4,'9'!$D:$D,"Otro insumo 1*")</f>
        <v>0</v>
      </c>
      <c r="BV36" s="101">
        <f>(A1_A_L35*Otro1_A)+(A1_B_L35*Otro1_B)+(A1_C_L35*Otro1_C)+(A1_D_L35*Otro1_D)+(A1_Y_L35*Otro1_Y)</f>
        <v>0</v>
      </c>
      <c r="BW36" s="101">
        <f>SUMIFS('9'!$E:$E,'9'!$A:$A,Año_Inicial,'9'!$B:$B,'11'!BV$4,'9'!$D:$D,"Otro insumo 1*")</f>
        <v>0</v>
      </c>
      <c r="BX36" s="101">
        <f>(A1_A_L36*Otro1_A)+(A1_B_L36*Otro1_B)+(A1_C_L36*Otro1_C)+(A1_D_L36*Otro1_D)+(A1_Y_L36*Otro1_Y)</f>
        <v>0</v>
      </c>
      <c r="BY36" s="101">
        <f>SUMIFS('9'!$E:$E,'9'!$A:$A,Año_Inicial,'9'!$B:$B,'11'!BX$4,'9'!$D:$D,"Otro insumo 1*")</f>
        <v>0</v>
      </c>
      <c r="BZ36" s="101">
        <f>(A1_A_L37*Otro1_A)+(A1_B_L37*Otro1_B)+(A1_C_L37*Otro1_C)+(A1_D_L37*Otro1_D)+(A1_Y_L37*Otro1_Y)</f>
        <v>0</v>
      </c>
      <c r="CA36" s="101">
        <f>SUMIFS('9'!$E:$E,'9'!$A:$A,Año_Inicial,'9'!$B:$B,'11'!BZ$4,'9'!$D:$D,"Otro insumo 1*")</f>
        <v>0</v>
      </c>
      <c r="CB36" s="101">
        <f>(A1_A_L38*Otro1_A)+(A1_B_L38*Otro1_B)+(A1_C_L38*Otro1_C)+(A1_D_L38*Otro1_D)+(A1_Y_L38*Otro1_Y)</f>
        <v>0</v>
      </c>
      <c r="CC36" s="101">
        <f>SUMIFS('9'!$E:$E,'9'!$A:$A,Año_Inicial,'9'!$B:$B,'11'!CB$4,'9'!$D:$D,"Otro insumo 1*")</f>
        <v>0</v>
      </c>
      <c r="CD36" s="101">
        <f>(A1_A_L39*Otro1_A)+(A1_B_L39*Otro1_B)+(A1_C_L39*Otro1_C)+(A1_D_L39*Otro1_D)+(A1_Y_L39*Otro1_Y)</f>
        <v>0</v>
      </c>
      <c r="CE36" s="101">
        <f>SUMIFS('9'!$E:$E,'9'!$A:$A,Año_Inicial,'9'!$B:$B,'11'!CD$4,'9'!$D:$D,"Otro insumo 1*")</f>
        <v>0</v>
      </c>
      <c r="CF36" s="101">
        <f>(A1_A_L40*Otro1_A)+(A1_B_L40*Otro1_B)+(A1_C_L40*Otro1_C)+(A1_D_L40*Otro1_D)+(A1_Y_L40*Otro1_Y)</f>
        <v>0</v>
      </c>
      <c r="CG36" s="101">
        <f>SUMIFS('9'!$E:$E,'9'!$A:$A,Año_Inicial,'9'!$B:$B,'11'!CF$4,'9'!$D:$D,"Otro insumo 1*")</f>
        <v>0</v>
      </c>
      <c r="CH36" s="473"/>
      <c r="CI36" s="101">
        <f>Plantas_A_A1*Otro1_A</f>
        <v>0</v>
      </c>
      <c r="CJ36" s="101">
        <f>Plantas_B_A1*Otro1_B</f>
        <v>0</v>
      </c>
      <c r="CK36" s="101">
        <f>Plantas_C_A1*Otro1_C</f>
        <v>0</v>
      </c>
      <c r="CL36" s="101">
        <f>Plantas_D_A1*Otro1_D</f>
        <v>0</v>
      </c>
      <c r="CM36" s="101"/>
      <c r="CN36" s="101">
        <f>Plantas_Y_A1*Otro1_Y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68"/>
        <v>0</v>
      </c>
      <c r="C37" s="101">
        <f>SUMIFS('9'!$E:$E,'9'!$A:$A,Año_Inicial,'9'!$D:$D,"Otro insumo 2*")</f>
        <v>0</v>
      </c>
      <c r="D37" s="100">
        <f t="shared" si="67"/>
        <v>0</v>
      </c>
      <c r="E37" s="473"/>
      <c r="F37" s="101">
        <f>(A1_A_L1*Otro2_A)+(A1_B_L1*Otro2_B)+(A1_C_L1*Otro2_C)+(A1_D_L1*Otro2_D)+(A1_Y_L1*Otro2_Y)</f>
        <v>0</v>
      </c>
      <c r="G37" s="101">
        <f>SUMIFS('9'!$E:$E,'9'!$A:$A,Año_Inicial,'9'!$B:$B,'11'!F$4,'9'!$D:$D,"Otro insumo 2*")</f>
        <v>0</v>
      </c>
      <c r="H37" s="101">
        <f>(A1_A_L2*Otro2_A)+(A1_B_L2*Otro2_B)+(A1_C_L2*Otro2_C)+(A1_D_L2*Otro2_D)+(A1_Y_L2*Otro2_Y)</f>
        <v>0</v>
      </c>
      <c r="I37" s="101">
        <f>SUMIFS('9'!$E:$E,'9'!$A:$A,Año_Inicial,'9'!$B:$B,'11'!H$4,'9'!$D:$D,"Otro insumo 2*")</f>
        <v>0</v>
      </c>
      <c r="J37" s="101">
        <f>(A1_A_L3*Otro2_A)+(A1_B_L3*Otro2_B)+(A1_C_L3*Otro2_C)+(A1_D_L3*Otro2_D)+(A1_Y_L3*Otro2_Y)</f>
        <v>0</v>
      </c>
      <c r="K37" s="101">
        <f>SUMIFS('9'!$E:$E,'9'!$A:$A,Año_Inicial,'9'!$B:$B,'11'!J$4,'9'!$D:$D,"Otro insumo 2*")</f>
        <v>0</v>
      </c>
      <c r="L37" s="101">
        <f>(A1_A_L4*Otro2_A)+(A1_B_L4*Otro2_B)+(A1_C_L4*Otro2_C)+(A1_D_L4*Otro2_D)+(A1_Y_L4*Otro2_Y)</f>
        <v>0</v>
      </c>
      <c r="M37" s="101">
        <f>SUMIFS('9'!$E:$E,'9'!$A:$A,Año_Inicial,'9'!$B:$B,'11'!L$4,'9'!$D:$D,"Otro insumo 2*")</f>
        <v>0</v>
      </c>
      <c r="N37" s="101">
        <f>(A1_A_L5*Otro2_A)+(A1_B_L5*Otro2_B)+(A1_C_L5*Otro2_C)+(A1_D_L5*Otro2_D)+(A1_Y_L5*Otro2_Y)</f>
        <v>0</v>
      </c>
      <c r="O37" s="101">
        <f>SUMIFS('9'!$E:$E,'9'!$A:$A,Año_Inicial,'9'!$B:$B,'11'!N$4,'9'!$D:$D,"Otro insumo 2*")</f>
        <v>0</v>
      </c>
      <c r="P37" s="101">
        <f>(A1_A_L6*Otro2_A)+(A1_B_L6*Otro2_B)+(A1_C_L6*Otro2_C)+(A1_D_L6*Otro2_D)+(A1_Y_L6*Otro2_Y)</f>
        <v>0</v>
      </c>
      <c r="Q37" s="101">
        <f>SUMIFS('9'!$E:$E,'9'!$A:$A,Año_Inicial,'9'!$B:$B,'11'!P$4,'9'!$D:$D,"Otro insumo 2*")</f>
        <v>0</v>
      </c>
      <c r="R37" s="101">
        <f>(A1_A_L7*Otro2_A)+(A1_B_L7*Otro2_B)+(A1_C_L7*Otro2_C)+(A1_D_L7*Otro2_D)+(A1_Y_L7*Otro2_Y)</f>
        <v>0</v>
      </c>
      <c r="S37" s="101">
        <f>SUMIFS('9'!$E:$E,'9'!$A:$A,Año_Inicial,'9'!$B:$B,'11'!R$4,'9'!$D:$D,"Otro insumo 2*")</f>
        <v>0</v>
      </c>
      <c r="T37" s="101">
        <f>(A1_A_L8*Otro2_A)+(A1_B_L8*Otro2_B)+(A1_C_L8*Otro2_C)+(A1_D_L8*Otro2_D)+(A1_Y_L8*Otro2_Y)</f>
        <v>0</v>
      </c>
      <c r="U37" s="101">
        <f>SUMIFS('9'!$E:$E,'9'!$A:$A,Año_Inicial,'9'!$B:$B,'11'!T$4,'9'!$D:$D,"Otro insumo 2*")</f>
        <v>0</v>
      </c>
      <c r="V37" s="101">
        <f>(A1_A_L9*Otro2_A)+(A1_B_L9*Otro2_B)+(A1_C_L9*Otro2_C)+(A1_D_L9*Otro2_D)+(A1_Y_L9*Otro2_Y)</f>
        <v>0</v>
      </c>
      <c r="W37" s="101">
        <f>SUMIFS('9'!$E:$E,'9'!$A:$A,Año_Inicial,'9'!$B:$B,'11'!V$4,'9'!$D:$D,"Otro insumo 2*")</f>
        <v>0</v>
      </c>
      <c r="X37" s="101">
        <f>(A1_A_L10*Otro2_A)+(A1_B_L10*Otro2_B)+(A1_C_L10*Otro2_C)+(A1_D_L10*Otro2_D)+(A1_Y_L10*Otro2_Y)</f>
        <v>0</v>
      </c>
      <c r="Y37" s="101">
        <f>SUMIFS('9'!$E:$E,'9'!$A:$A,Año_Inicial,'9'!$B:$B,'11'!X$4,'9'!$D:$D,"Otro insumo 2*")</f>
        <v>0</v>
      </c>
      <c r="Z37" s="101">
        <f>(A1_A_L11*Otro2_A)+(A1_B_L11*Otro2_B)+(A1_C_L11*Otro2_C)+(A1_D_L11*Otro2_D)+(A1_Y_L11*Otro2_Y)</f>
        <v>0</v>
      </c>
      <c r="AA37" s="101">
        <f>SUMIFS('9'!$E:$E,'9'!$A:$A,Año_Inicial,'9'!$B:$B,'11'!Z$4,'9'!$D:$D,"Otro insumo 2*")</f>
        <v>0</v>
      </c>
      <c r="AB37" s="101">
        <f>(A1_A_L12*Otro2_A)+(A1_B_L12*Otro2_B)+(A1_C_L12*Otro2_C)+(A1_D_L12*Otro2_D)+(A1_Y_L12*Otro2_Y)</f>
        <v>0</v>
      </c>
      <c r="AC37" s="101">
        <f>SUMIFS('9'!$E:$E,'9'!$A:$A,Año_Inicial,'9'!$B:$B,'11'!AB$4,'9'!$D:$D,"Otro insumo 2*")</f>
        <v>0</v>
      </c>
      <c r="AD37" s="101">
        <f>(A1_A_L13*Otro2_A)+(A1_B_L13*Otro2_B)+(A1_C_L13*Otro2_C)+(A1_D_L13*Otro2_D)+(A1_Y_L13*Otro2_Y)</f>
        <v>0</v>
      </c>
      <c r="AE37" s="101">
        <f>SUMIFS('9'!$E:$E,'9'!$A:$A,Año_Inicial,'9'!$B:$B,'11'!AD$4,'9'!$D:$D,"Otro insumo 2*")</f>
        <v>0</v>
      </c>
      <c r="AF37" s="101">
        <f>(A1_A_L14*Otro2_A)+(A1_B_L14*Otro2_B)+(A1_C_L14*Otro2_C)+(A1_D_L14*Otro2_D)+(A1_Y_L14*Otro2_Y)</f>
        <v>0</v>
      </c>
      <c r="AG37" s="101">
        <f>SUMIFS('9'!$E:$E,'9'!$A:$A,Año_Inicial,'9'!$B:$B,'11'!AF$4,'9'!$D:$D,"Otro insumo 2*")</f>
        <v>0</v>
      </c>
      <c r="AH37" s="101">
        <f>(A1_A_L15*Otro2_A)+(A1_B_L15*Otro2_B)+(A1_C_L15*Otro2_C)+(A1_D_L15*Otro2_D)+(A1_Y_L15*Otro2_Y)</f>
        <v>0</v>
      </c>
      <c r="AI37" s="101">
        <f>SUMIFS('9'!$E:$E,'9'!$A:$A,Año_Inicial,'9'!$B:$B,'11'!AH$4,'9'!$D:$D,"Otro insumo 2*")</f>
        <v>0</v>
      </c>
      <c r="AJ37" s="101">
        <f>(A1_A_L16*Otro2_A)+(A1_B_L16*Otro2_B)+(A1_C_L16*Otro2_C)+(A1_D_L16*Otro2_D)+(A1_Y_L16*Otro2_Y)</f>
        <v>0</v>
      </c>
      <c r="AK37" s="101">
        <f>SUMIFS('9'!$E:$E,'9'!$A:$A,Año_Inicial,'9'!$B:$B,'11'!AJ$4,'9'!$D:$D,"Otro insumo 2*")</f>
        <v>0</v>
      </c>
      <c r="AL37" s="101">
        <f>(A1_A_L17*Otro2_A)+(A1_B_L17*Otro2_B)+(A1_C_L17*Otro2_C)+(A1_D_L17*Otro2_D)+(A1_Y_L17*Otro2_Y)</f>
        <v>0</v>
      </c>
      <c r="AM37" s="101">
        <f>SUMIFS('9'!$E:$E,'9'!$A:$A,Año_Inicial,'9'!$B:$B,'11'!AL$4,'9'!$D:$D,"Otro insumo 2*")</f>
        <v>0</v>
      </c>
      <c r="AN37" s="101">
        <f>(A1_A_L18*Otro2_A)+(A1_B_L18*Otro2_B)+(A1_C_L18*Otro2_C)+(A1_D_L18*Otro2_D)+(A1_Y_L18*Otro2_Y)</f>
        <v>0</v>
      </c>
      <c r="AO37" s="101">
        <f>SUMIFS('9'!$E:$E,'9'!$A:$A,Año_Inicial,'9'!$B:$B,'11'!AN$4,'9'!$D:$D,"Otro insumo 2*")</f>
        <v>0</v>
      </c>
      <c r="AP37" s="101">
        <f>(A1_A_L19*Otro2_A)+(A1_B_L19*Otro2_B)+(A1_C_L19*Otro2_C)+(A1_D_L19*Otro2_D)+(A1_Y_L19*Otro2_Y)</f>
        <v>0</v>
      </c>
      <c r="AQ37" s="101">
        <f>SUMIFS('9'!$E:$E,'9'!$A:$A,Año_Inicial,'9'!$B:$B,'11'!AP$4,'9'!$D:$D,"Otro insumo 2*")</f>
        <v>0</v>
      </c>
      <c r="AR37" s="101">
        <f>(A1_A_L20*Otro2_A)+(A1_B_L20*Otro2_B)+(A1_C_L20*Otro2_C)+(A1_D_L20*Otro2_D)+(A1_Y_L20*Otro2_Y)</f>
        <v>0</v>
      </c>
      <c r="AS37" s="101">
        <f>SUMIFS('9'!$E:$E,'9'!$A:$A,Año_Inicial,'9'!$B:$B,'11'!AR$4,'9'!$D:$D,"Otro insumo 2*")</f>
        <v>0</v>
      </c>
      <c r="AT37" s="101">
        <f>(A1_A_L21*Otro2_A)+(A1_B_L21*Otro2_B)+(A1_C_L21*Otro2_C)+(A1_D_L21*Otro2_D)+(A1_Y_L21*Otro2_Y)</f>
        <v>0</v>
      </c>
      <c r="AU37" s="101">
        <f>SUMIFS('9'!$E:$E,'9'!$A:$A,Año_Inicial,'9'!$B:$B,'11'!AT$4,'9'!$D:$D,"Otro insumo 2*")</f>
        <v>0</v>
      </c>
      <c r="AV37" s="101">
        <f>(A1_A_L22*Otro2_A)+(A1_B_L22*Otro2_B)+(A1_C_L22*Otro2_C)+(A1_D_L22*Otro2_D)+(A1_Y_L22*Otro2_Y)</f>
        <v>0</v>
      </c>
      <c r="AW37" s="101">
        <f>SUMIFS('9'!$E:$E,'9'!$A:$A,Año_Inicial,'9'!$B:$B,'11'!AV$4,'9'!$D:$D,"Otro insumo 2*")</f>
        <v>0</v>
      </c>
      <c r="AX37" s="101">
        <f>(A1_A_L23*Otro2_A)+(A1_B_L23*Otro2_B)+(A1_C_L23*Otro2_C)+(A1_D_L23*Otro2_D)+(A1_Y_L23*Otro2_Y)</f>
        <v>0</v>
      </c>
      <c r="AY37" s="101">
        <f>SUMIFS('9'!$E:$E,'9'!$A:$A,Año_Inicial,'9'!$B:$B,'11'!AX$4,'9'!$D:$D,"Otro insumo 2*")</f>
        <v>0</v>
      </c>
      <c r="AZ37" s="101">
        <f>(A1_A_L24*Otro2_A)+(A1_B_L24*Otro2_B)+(A1_C_L24*Otro2_C)+(A1_D_L24*Otro2_D)+(A1_Y_L24*Otro2_Y)</f>
        <v>0</v>
      </c>
      <c r="BA37" s="101">
        <f>SUMIFS('9'!$E:$E,'9'!$A:$A,Año_Inicial,'9'!$B:$B,'11'!AZ$4,'9'!$D:$D,"Otro insumo 2*")</f>
        <v>0</v>
      </c>
      <c r="BB37" s="101">
        <f>(A1_A_L25*Otro2_A)+(A1_B_L25*Otro2_B)+(A1_C_L25*Otro2_C)+(A1_D_L25*Otro2_D)+(A1_Y_L25*Otro2_Y)</f>
        <v>0</v>
      </c>
      <c r="BC37" s="101">
        <f>SUMIFS('9'!$E:$E,'9'!$A:$A,Año_Inicial,'9'!$B:$B,'11'!BB$4,'9'!$D:$D,"Otro insumo 2*")</f>
        <v>0</v>
      </c>
      <c r="BD37" s="101">
        <f>(A1_A_L26*Otro2_A)+(A1_B_L26*Otro2_B)+(A1_C_L26*Otro2_C)+(A1_D_L26*Otro2_D)+(A1_Y_L26*Otro2_Y)</f>
        <v>0</v>
      </c>
      <c r="BE37" s="101">
        <f>SUMIFS('9'!$E:$E,'9'!$A:$A,Año_Inicial,'9'!$B:$B,'11'!BD$4,'9'!$D:$D,"Otro insumo 2*")</f>
        <v>0</v>
      </c>
      <c r="BF37" s="101">
        <f>(A1_A_L27*Otro2_A)+(A1_B_L27*Otro2_B)+(A1_C_L27*Otro2_C)+(A1_D_L27*Otro2_D)+(A1_Y_L27*Otro2_Y)</f>
        <v>0</v>
      </c>
      <c r="BG37" s="101">
        <f>SUMIFS('9'!$E:$E,'9'!$A:$A,Año_Inicial,'9'!$B:$B,'11'!BF$4,'9'!$D:$D,"Otro insumo 2*")</f>
        <v>0</v>
      </c>
      <c r="BH37" s="101">
        <f>(A1_A_L28*Otro2_A)+(A1_B_L28*Otro2_B)+(A1_C_L28*Otro2_C)+(A1_D_L28*Otro2_D)+(A1_Y_L28*Otro2_Y)</f>
        <v>0</v>
      </c>
      <c r="BI37" s="101">
        <f>SUMIFS('9'!$E:$E,'9'!$A:$A,Año_Inicial,'9'!$B:$B,'11'!BH$4,'9'!$D:$D,"Otro insumo 2*")</f>
        <v>0</v>
      </c>
      <c r="BJ37" s="101">
        <f>(A1_A_L29*Otro2_A)+(A1_B_L29*Otro2_B)+(A1_C_L29*Otro2_C)+(A1_D_L29*Otro2_D)+(A1_Y_L29*Otro2_Y)</f>
        <v>0</v>
      </c>
      <c r="BK37" s="101">
        <f>SUMIFS('9'!$E:$E,'9'!$A:$A,Año_Inicial,'9'!$B:$B,'11'!BJ$4,'9'!$D:$D,"Otro insumo 2*")</f>
        <v>0</v>
      </c>
      <c r="BL37" s="101">
        <f>(A1_A_L30*Otro2_A)+(A1_B_L30*Otro2_B)+(A1_C_L30*Otro2_C)+(A1_D_L30*Otro2_D)+(A1_Y_L30*Otro2_Y)</f>
        <v>0</v>
      </c>
      <c r="BM37" s="101">
        <f>SUMIFS('9'!$E:$E,'9'!$A:$A,Año_Inicial,'9'!$B:$B,'11'!BL$4,'9'!$D:$D,"Otro insumo 2*")</f>
        <v>0</v>
      </c>
      <c r="BN37" s="101">
        <f>(A1_A_L31*Otro2_A)+(A1_B_L31*Otro2_B)+(A1_C_L31*Otro2_C)+(A1_D_L31*Otro2_D)+(A1_Y_L31*Otro2_Y)</f>
        <v>0</v>
      </c>
      <c r="BO37" s="101">
        <f>SUMIFS('9'!$E:$E,'9'!$A:$A,Año_Inicial,'9'!$B:$B,'11'!BN$4,'9'!$D:$D,"Otro insumo 2*")</f>
        <v>0</v>
      </c>
      <c r="BP37" s="101">
        <f>(A1_A_L32*Otro2_A)+(A1_B_L32*Otro2_B)+(A1_C_L32*Otro2_C)+(A1_D_L32*Otro2_D)+(A1_Y_L32*Otro2_Y)</f>
        <v>0</v>
      </c>
      <c r="BQ37" s="101">
        <f>SUMIFS('9'!$E:$E,'9'!$A:$A,Año_Inicial,'9'!$B:$B,'11'!BP$4,'9'!$D:$D,"Otro insumo 2*")</f>
        <v>0</v>
      </c>
      <c r="BR37" s="101">
        <f>(A1_A_L33*Otro2_A)+(A1_B_L33*Otro2_B)+(A1_C_L33*Otro2_C)+(A1_D_L33*Otro2_D)+(A1_Y_L33*Otro2_Y)</f>
        <v>0</v>
      </c>
      <c r="BS37" s="101">
        <f>SUMIFS('9'!$E:$E,'9'!$A:$A,Año_Inicial,'9'!$B:$B,'11'!BR$4,'9'!$D:$D,"Otro insumo 2*")</f>
        <v>0</v>
      </c>
      <c r="BT37" s="101">
        <f>(A1_A_L34*Otro2_A)+(A1_B_L34*Otro2_B)+(A1_C_L34*Otro2_C)+(A1_D_L34*Otro2_D)+(A1_Y_L34*Otro2_Y)</f>
        <v>0</v>
      </c>
      <c r="BU37" s="101">
        <f>SUMIFS('9'!$E:$E,'9'!$A:$A,Año_Inicial,'9'!$B:$B,'11'!BT$4,'9'!$D:$D,"Otro insumo 2*")</f>
        <v>0</v>
      </c>
      <c r="BV37" s="101">
        <f>(A1_A_L35*Otro2_A)+(A1_B_L35*Otro2_B)+(A1_C_L35*Otro2_C)+(A1_D_L35*Otro2_D)+(A1_Y_L35*Otro2_Y)</f>
        <v>0</v>
      </c>
      <c r="BW37" s="101">
        <f>SUMIFS('9'!$E:$E,'9'!$A:$A,Año_Inicial,'9'!$B:$B,'11'!BV$4,'9'!$D:$D,"Otro insumo 2*")</f>
        <v>0</v>
      </c>
      <c r="BX37" s="101">
        <f>(A1_A_L36*Otro2_A)+(A1_B_L36*Otro2_B)+(A1_C_L36*Otro2_C)+(A1_D_L36*Otro2_D)+(A1_Y_L36*Otro2_Y)</f>
        <v>0</v>
      </c>
      <c r="BY37" s="101">
        <f>SUMIFS('9'!$E:$E,'9'!$A:$A,Año_Inicial,'9'!$B:$B,'11'!BX$4,'9'!$D:$D,"Otro insumo 2*")</f>
        <v>0</v>
      </c>
      <c r="BZ37" s="101">
        <f>(A1_A_L37*Otro2_A)+(A1_B_L37*Otro2_B)+(A1_C_L37*Otro2_C)+(A1_D_L37*Otro2_D)+(A1_Y_L37*Otro2_Y)</f>
        <v>0</v>
      </c>
      <c r="CA37" s="101">
        <f>SUMIFS('9'!$E:$E,'9'!$A:$A,Año_Inicial,'9'!$B:$B,'11'!BZ$4,'9'!$D:$D,"Otro insumo 2*")</f>
        <v>0</v>
      </c>
      <c r="CB37" s="101">
        <f>(A1_A_L38*Otro2_A)+(A1_B_L38*Otro2_B)+(A1_C_L38*Otro2_C)+(A1_D_L38*Otro2_D)+(A1_Y_L38*Otro2_Y)</f>
        <v>0</v>
      </c>
      <c r="CC37" s="101">
        <f>SUMIFS('9'!$E:$E,'9'!$A:$A,Año_Inicial,'9'!$B:$B,'11'!CB$4,'9'!$D:$D,"Otro insumo 2*")</f>
        <v>0</v>
      </c>
      <c r="CD37" s="101">
        <f>(A1_A_L39*Otro2_A)+(A1_B_L39*Otro2_B)+(A1_C_L39*Otro2_C)+(A1_D_L39*Otro2_D)+(A1_Y_L39*Otro2_Y)</f>
        <v>0</v>
      </c>
      <c r="CE37" s="101">
        <f>SUMIFS('9'!$E:$E,'9'!$A:$A,Año_Inicial,'9'!$B:$B,'11'!CD$4,'9'!$D:$D,"Otro insumo 2*")</f>
        <v>0</v>
      </c>
      <c r="CF37" s="101">
        <f>(A1_A_L40*Otro2_A)+(A1_B_L40*Otro2_B)+(A1_C_L40*Otro2_C)+(A1_D_L40*Otro2_D)+(A1_Y_L40*Otro2_Y)</f>
        <v>0</v>
      </c>
      <c r="CG37" s="101">
        <f>SUMIFS('9'!$E:$E,'9'!$A:$A,Año_Inicial,'9'!$B:$B,'11'!CF$4,'9'!$D:$D,"Otro insumo 2*")</f>
        <v>0</v>
      </c>
      <c r="CH37" s="473"/>
      <c r="CI37" s="101">
        <f>Plantas_A_A1*Otro2_A</f>
        <v>0</v>
      </c>
      <c r="CJ37" s="101">
        <f>Plantas_B_A1*Otro2_B</f>
        <v>0</v>
      </c>
      <c r="CK37" s="101">
        <f>Plantas_C_A1*Otro2_C</f>
        <v>0</v>
      </c>
      <c r="CL37" s="101">
        <f>Plantas_D_A1*Otro2_D</f>
        <v>0</v>
      </c>
      <c r="CM37" s="101"/>
      <c r="CN37" s="101">
        <f>Plantas_Y_A1*Otro2_Y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68"/>
        <v>0</v>
      </c>
      <c r="C38" s="101">
        <f>SUMIFS('9'!$E:$E,'9'!$A:$A,Año_Inicial,'9'!$D:$D,"Otro insumo 3*")</f>
        <v>0</v>
      </c>
      <c r="D38" s="100">
        <f t="shared" si="67"/>
        <v>0</v>
      </c>
      <c r="E38" s="473"/>
      <c r="F38" s="101">
        <f>(A1_A_L1*Otro3_A)+(A1_B_L1*Otro3_B)+(A1_C_L1*Otro3_C)+(A1_D_L1*Otro3_D)+(A1_Y_L1*Otro3_Y)</f>
        <v>0</v>
      </c>
      <c r="G38" s="101">
        <f>SUMIFS('9'!$E:$E,'9'!$A:$A,Año_Inicial,'9'!$B:$B,'11'!F$4,'9'!$D:$D,"Otro insumo 3*")</f>
        <v>0</v>
      </c>
      <c r="H38" s="101">
        <f>(A1_A_L2*Otro3_A)+(A1_B_L2*Otro3_B)+(A1_C_L2*Otro3_C)+(A1_D_L2*Otro3_D)+(A1_Y_L2*Otro3_Y)</f>
        <v>0</v>
      </c>
      <c r="I38" s="101">
        <f>SUMIFS('9'!$E:$E,'9'!$A:$A,Año_Inicial,'9'!$B:$B,'11'!H$4,'9'!$D:$D,"Otro insumo 3*")</f>
        <v>0</v>
      </c>
      <c r="J38" s="101">
        <f>(A1_A_L3*Otro3_A)+(A1_B_L3*Otro3_B)+(A1_C_L3*Otro3_C)+(A1_D_L3*Otro3_D)+(A1_Y_L3*Otro3_Y)</f>
        <v>0</v>
      </c>
      <c r="K38" s="101">
        <f>SUMIFS('9'!$E:$E,'9'!$A:$A,Año_Inicial,'9'!$B:$B,'11'!J$4,'9'!$D:$D,"Otro insumo 3*")</f>
        <v>0</v>
      </c>
      <c r="L38" s="101">
        <f>(A1_A_L4*Otro3_A)+(A1_B_L4*Otro3_B)+(A1_C_L4*Otro3_C)+(A1_D_L4*Otro3_D)+(A1_Y_L4*Otro3_Y)</f>
        <v>0</v>
      </c>
      <c r="M38" s="101">
        <f>SUMIFS('9'!$E:$E,'9'!$A:$A,Año_Inicial,'9'!$B:$B,'11'!L$4,'9'!$D:$D,"Otro insumo 3*")</f>
        <v>0</v>
      </c>
      <c r="N38" s="101">
        <f>(A1_A_L5*Otro3_A)+(A1_B_L5*Otro3_B)+(A1_C_L5*Otro3_C)+(A1_D_L5*Otro3_D)+(A1_Y_L5*Otro3_Y)</f>
        <v>0</v>
      </c>
      <c r="O38" s="101">
        <f>SUMIFS('9'!$E:$E,'9'!$A:$A,Año_Inicial,'9'!$B:$B,'11'!N$4,'9'!$D:$D,"Otro insumo 3*")</f>
        <v>0</v>
      </c>
      <c r="P38" s="101">
        <f>(A1_A_L6*Otro3_A)+(A1_B_L6*Otro3_B)+(A1_C_L6*Otro3_C)+(A1_D_L6*Otro3_D)+(A1_Y_L6*Otro3_Y)</f>
        <v>0</v>
      </c>
      <c r="Q38" s="101">
        <f>SUMIFS('9'!$E:$E,'9'!$A:$A,Año_Inicial,'9'!$B:$B,'11'!P$4,'9'!$D:$D,"Otro insumo 3*")</f>
        <v>0</v>
      </c>
      <c r="R38" s="101">
        <f>(A1_A_L7*Otro3_A)+(A1_B_L7*Otro3_B)+(A1_C_L7*Otro3_C)+(A1_D_L7*Otro3_D)+(A1_Y_L7*Otro3_Y)</f>
        <v>0</v>
      </c>
      <c r="S38" s="101">
        <f>SUMIFS('9'!$E:$E,'9'!$A:$A,Año_Inicial,'9'!$B:$B,'11'!R$4,'9'!$D:$D,"Otro insumo 3*")</f>
        <v>0</v>
      </c>
      <c r="T38" s="101">
        <f>(A1_A_L8*Otro3_A)+(A1_B_L8*Otro3_B)+(A1_C_L8*Otro3_C)+(A1_D_L8*Otro3_D)+(A1_Y_L8*Otro3_Y)</f>
        <v>0</v>
      </c>
      <c r="U38" s="101">
        <f>SUMIFS('9'!$E:$E,'9'!$A:$A,Año_Inicial,'9'!$B:$B,'11'!T$4,'9'!$D:$D,"Otro insumo 3*")</f>
        <v>0</v>
      </c>
      <c r="V38" s="101">
        <f>(A1_A_L9*Otro3_A)+(A1_B_L9*Otro3_B)+(A1_C_L9*Otro3_C)+(A1_D_L9*Otro3_D)+(A1_Y_L9*Otro3_Y)</f>
        <v>0</v>
      </c>
      <c r="W38" s="101">
        <f>SUMIFS('9'!$E:$E,'9'!$A:$A,Año_Inicial,'9'!$B:$B,'11'!V$4,'9'!$D:$D,"Otro insumo 3*")</f>
        <v>0</v>
      </c>
      <c r="X38" s="101">
        <f>(A1_A_L10*Otro3_A)+(A1_B_L10*Otro3_B)+(A1_C_L10*Otro3_C)+(A1_D_L10*Otro3_D)+(A1_Y_L10*Otro3_Y)</f>
        <v>0</v>
      </c>
      <c r="Y38" s="101">
        <f>SUMIFS('9'!$E:$E,'9'!$A:$A,Año_Inicial,'9'!$B:$B,'11'!X$4,'9'!$D:$D,"Otro insumo 3*")</f>
        <v>0</v>
      </c>
      <c r="Z38" s="101">
        <f>(A1_A_L11*Otro3_A)+(A1_B_L11*Otro3_B)+(A1_C_L11*Otro3_C)+(A1_D_L11*Otro3_D)+(A1_Y_L11*Otro3_Y)</f>
        <v>0</v>
      </c>
      <c r="AA38" s="101">
        <f>SUMIFS('9'!$E:$E,'9'!$A:$A,Año_Inicial,'9'!$B:$B,'11'!Z$4,'9'!$D:$D,"Otro insumo 3*")</f>
        <v>0</v>
      </c>
      <c r="AB38" s="101">
        <f>(A1_A_L12*Otro3_A)+(A1_B_L12*Otro3_B)+(A1_C_L12*Otro3_C)+(A1_D_L12*Otro3_D)+(A1_Y_L12*Otro3_Y)</f>
        <v>0</v>
      </c>
      <c r="AC38" s="101">
        <f>SUMIFS('9'!$E:$E,'9'!$A:$A,Año_Inicial,'9'!$B:$B,'11'!AB$4,'9'!$D:$D,"Otro insumo 3*")</f>
        <v>0</v>
      </c>
      <c r="AD38" s="101">
        <f>(A1_A_L13*Otro3_A)+(A1_B_L13*Otro3_B)+(A1_C_L13*Otro3_C)+(A1_D_L13*Otro3_D)+(A1_Y_L13*Otro3_Y)</f>
        <v>0</v>
      </c>
      <c r="AE38" s="101">
        <f>SUMIFS('9'!$E:$E,'9'!$A:$A,Año_Inicial,'9'!$B:$B,'11'!AD$4,'9'!$D:$D,"Otro insumo 3*")</f>
        <v>0</v>
      </c>
      <c r="AF38" s="101">
        <f>(A1_A_L14*Otro3_A)+(A1_B_L14*Otro3_B)+(A1_C_L14*Otro3_C)+(A1_D_L14*Otro3_D)+(A1_Y_L14*Otro3_Y)</f>
        <v>0</v>
      </c>
      <c r="AG38" s="101">
        <f>SUMIFS('9'!$E:$E,'9'!$A:$A,Año_Inicial,'9'!$B:$B,'11'!AF$4,'9'!$D:$D,"Otro insumo 3*")</f>
        <v>0</v>
      </c>
      <c r="AH38" s="101">
        <f>(A1_A_L15*Otro3_A)+(A1_B_L15*Otro3_B)+(A1_C_L15*Otro3_C)+(A1_D_L15*Otro3_D)+(A1_Y_L15*Otro3_Y)</f>
        <v>0</v>
      </c>
      <c r="AI38" s="101">
        <f>SUMIFS('9'!$E:$E,'9'!$A:$A,Año_Inicial,'9'!$B:$B,'11'!AH$4,'9'!$D:$D,"Otro insumo 3*")</f>
        <v>0</v>
      </c>
      <c r="AJ38" s="101">
        <f>(A1_A_L16*Otro3_A)+(A1_B_L16*Otro3_B)+(A1_C_L16*Otro3_C)+(A1_D_L16*Otro3_D)+(A1_Y_L16*Otro3_Y)</f>
        <v>0</v>
      </c>
      <c r="AK38" s="101">
        <f>SUMIFS('9'!$E:$E,'9'!$A:$A,Año_Inicial,'9'!$B:$B,'11'!AJ$4,'9'!$D:$D,"Otro insumo 3*")</f>
        <v>0</v>
      </c>
      <c r="AL38" s="101">
        <f>(A1_A_L17*Otro3_A)+(A1_B_L17*Otro3_B)+(A1_C_L17*Otro3_C)+(A1_D_L17*Otro3_D)+(A1_Y_L17*Otro3_Y)</f>
        <v>0</v>
      </c>
      <c r="AM38" s="101">
        <f>SUMIFS('9'!$E:$E,'9'!$A:$A,Año_Inicial,'9'!$B:$B,'11'!AL$4,'9'!$D:$D,"Otro insumo 3*")</f>
        <v>0</v>
      </c>
      <c r="AN38" s="101">
        <f>(A1_A_L18*Otro3_A)+(A1_B_L18*Otro3_B)+(A1_C_L18*Otro3_C)+(A1_D_L18*Otro3_D)+(A1_Y_L18*Otro3_Y)</f>
        <v>0</v>
      </c>
      <c r="AO38" s="101">
        <f>SUMIFS('9'!$E:$E,'9'!$A:$A,Año_Inicial,'9'!$B:$B,'11'!AN$4,'9'!$D:$D,"Otro insumo 3*")</f>
        <v>0</v>
      </c>
      <c r="AP38" s="101">
        <f>(A1_A_L19*Otro3_A)+(A1_B_L19*Otro3_B)+(A1_C_L19*Otro3_C)+(A1_D_L19*Otro3_D)+(A1_Y_L19*Otro3_Y)</f>
        <v>0</v>
      </c>
      <c r="AQ38" s="101">
        <f>SUMIFS('9'!$E:$E,'9'!$A:$A,Año_Inicial,'9'!$B:$B,'11'!AP$4,'9'!$D:$D,"Otro insumo 3*")</f>
        <v>0</v>
      </c>
      <c r="AR38" s="101">
        <f>(A1_A_L20*Otro3_A)+(A1_B_L20*Otro3_B)+(A1_C_L20*Otro3_C)+(A1_D_L20*Otro3_D)+(A1_Y_L20*Otro3_Y)</f>
        <v>0</v>
      </c>
      <c r="AS38" s="101">
        <f>SUMIFS('9'!$E:$E,'9'!$A:$A,Año_Inicial,'9'!$B:$B,'11'!AR$4,'9'!$D:$D,"Otro insumo 3*")</f>
        <v>0</v>
      </c>
      <c r="AT38" s="101">
        <f>(A1_A_L21*Otro3_A)+(A1_B_L21*Otro3_B)+(A1_C_L21*Otro3_C)+(A1_D_L21*Otro3_D)+(A1_Y_L21*Otro3_Y)</f>
        <v>0</v>
      </c>
      <c r="AU38" s="101">
        <f>SUMIFS('9'!$E:$E,'9'!$A:$A,Año_Inicial,'9'!$B:$B,'11'!AT$4,'9'!$D:$D,"Otro insumo 3*")</f>
        <v>0</v>
      </c>
      <c r="AV38" s="101">
        <f>(A1_A_L22*Otro3_A)+(A1_B_L22*Otro3_B)+(A1_C_L22*Otro3_C)+(A1_D_L22*Otro3_D)+(A1_Y_L22*Otro3_Y)</f>
        <v>0</v>
      </c>
      <c r="AW38" s="101">
        <f>SUMIFS('9'!$E:$E,'9'!$A:$A,Año_Inicial,'9'!$B:$B,'11'!AV$4,'9'!$D:$D,"Otro insumo 3*")</f>
        <v>0</v>
      </c>
      <c r="AX38" s="101">
        <f>(A1_A_L23*Otro3_A)+(A1_B_L23*Otro3_B)+(A1_C_L23*Otro3_C)+(A1_D_L23*Otro3_D)+(A1_Y_L23*Otro3_Y)</f>
        <v>0</v>
      </c>
      <c r="AY38" s="101">
        <f>SUMIFS('9'!$E:$E,'9'!$A:$A,Año_Inicial,'9'!$B:$B,'11'!AX$4,'9'!$D:$D,"Otro insumo 3*")</f>
        <v>0</v>
      </c>
      <c r="AZ38" s="101">
        <f>(A1_A_L24*Otro3_A)+(A1_B_L24*Otro3_B)+(A1_C_L24*Otro3_C)+(A1_D_L24*Otro3_D)+(A1_Y_L24*Otro3_Y)</f>
        <v>0</v>
      </c>
      <c r="BA38" s="101">
        <f>SUMIFS('9'!$E:$E,'9'!$A:$A,Año_Inicial,'9'!$B:$B,'11'!AZ$4,'9'!$D:$D,"Otro insumo 3*")</f>
        <v>0</v>
      </c>
      <c r="BB38" s="101">
        <f>(A1_A_L25*Otro3_A)+(A1_B_L25*Otro3_B)+(A1_C_L25*Otro3_C)+(A1_D_L25*Otro3_D)+(A1_Y_L25*Otro3_Y)</f>
        <v>0</v>
      </c>
      <c r="BC38" s="101">
        <f>SUMIFS('9'!$E:$E,'9'!$A:$A,Año_Inicial,'9'!$B:$B,'11'!BB$4,'9'!$D:$D,"Otro insumo 3*")</f>
        <v>0</v>
      </c>
      <c r="BD38" s="101">
        <f>(A1_A_L26*Otro3_A)+(A1_B_L26*Otro3_B)+(A1_C_L26*Otro3_C)+(A1_D_L26*Otro3_D)+(A1_Y_L26*Otro3_Y)</f>
        <v>0</v>
      </c>
      <c r="BE38" s="101">
        <f>SUMIFS('9'!$E:$E,'9'!$A:$A,Año_Inicial,'9'!$B:$B,'11'!BD$4,'9'!$D:$D,"Otro insumo 3*")</f>
        <v>0</v>
      </c>
      <c r="BF38" s="101">
        <f>(A1_A_L27*Otro3_A)+(A1_B_L27*Otro3_B)+(A1_C_L27*Otro3_C)+(A1_D_L27*Otro3_D)+(A1_Y_L27*Otro3_Y)</f>
        <v>0</v>
      </c>
      <c r="BG38" s="101">
        <f>SUMIFS('9'!$E:$E,'9'!$A:$A,Año_Inicial,'9'!$B:$B,'11'!BF$4,'9'!$D:$D,"Otro insumo 3*")</f>
        <v>0</v>
      </c>
      <c r="BH38" s="101">
        <f>(A1_A_L28*Otro3_A)+(A1_B_L28*Otro3_B)+(A1_C_L28*Otro3_C)+(A1_D_L28*Otro3_D)+(A1_Y_L28*Otro3_Y)</f>
        <v>0</v>
      </c>
      <c r="BI38" s="101">
        <f>SUMIFS('9'!$E:$E,'9'!$A:$A,Año_Inicial,'9'!$B:$B,'11'!BH$4,'9'!$D:$D,"Otro insumo 3*")</f>
        <v>0</v>
      </c>
      <c r="BJ38" s="101">
        <f>(A1_A_L29*Otro3_A)+(A1_B_L29*Otro3_B)+(A1_C_L29*Otro3_C)+(A1_D_L29*Otro3_D)+(A1_Y_L29*Otro3_Y)</f>
        <v>0</v>
      </c>
      <c r="BK38" s="101">
        <f>SUMIFS('9'!$E:$E,'9'!$A:$A,Año_Inicial,'9'!$B:$B,'11'!BJ$4,'9'!$D:$D,"Otro insumo 3*")</f>
        <v>0</v>
      </c>
      <c r="BL38" s="101">
        <f>(A1_A_L30*Otro3_A)+(A1_B_L30*Otro3_B)+(A1_C_L30*Otro3_C)+(A1_D_L30*Otro3_D)+(A1_Y_L30*Otro3_Y)</f>
        <v>0</v>
      </c>
      <c r="BM38" s="101">
        <f>SUMIFS('9'!$E:$E,'9'!$A:$A,Año_Inicial,'9'!$B:$B,'11'!BL$4,'9'!$D:$D,"Otro insumo 3*")</f>
        <v>0</v>
      </c>
      <c r="BN38" s="101">
        <f>(A1_A_L31*Otro3_A)+(A1_B_L31*Otro3_B)+(A1_C_L31*Otro3_C)+(A1_D_L31*Otro3_D)+(A1_Y_L31*Otro3_Y)</f>
        <v>0</v>
      </c>
      <c r="BO38" s="101">
        <f>SUMIFS('9'!$E:$E,'9'!$A:$A,Año_Inicial,'9'!$B:$B,'11'!BN$4,'9'!$D:$D,"Otro insumo 3*")</f>
        <v>0</v>
      </c>
      <c r="BP38" s="101">
        <f>(A1_A_L32*Otro3_A)+(A1_B_L32*Otro3_B)+(A1_C_L32*Otro3_C)+(A1_D_L32*Otro3_D)+(A1_Y_L32*Otro3_Y)</f>
        <v>0</v>
      </c>
      <c r="BQ38" s="101">
        <f>SUMIFS('9'!$E:$E,'9'!$A:$A,Año_Inicial,'9'!$B:$B,'11'!BP$4,'9'!$D:$D,"Otro insumo 3*")</f>
        <v>0</v>
      </c>
      <c r="BR38" s="101">
        <f>(A1_A_L33*Otro3_A)+(A1_B_L33*Otro3_B)+(A1_C_L33*Otro3_C)+(A1_D_L33*Otro3_D)+(A1_Y_L33*Otro3_Y)</f>
        <v>0</v>
      </c>
      <c r="BS38" s="101">
        <f>SUMIFS('9'!$E:$E,'9'!$A:$A,Año_Inicial,'9'!$B:$B,'11'!BR$4,'9'!$D:$D,"Otro insumo 3*")</f>
        <v>0</v>
      </c>
      <c r="BT38" s="101">
        <f>(A1_A_L34*Otro3_A)+(A1_B_L34*Otro3_B)+(A1_C_L34*Otro3_C)+(A1_D_L34*Otro3_D)+(A1_Y_L34*Otro3_Y)</f>
        <v>0</v>
      </c>
      <c r="BU38" s="101">
        <f>SUMIFS('9'!$E:$E,'9'!$A:$A,Año_Inicial,'9'!$B:$B,'11'!BT$4,'9'!$D:$D,"Otro insumo 3*")</f>
        <v>0</v>
      </c>
      <c r="BV38" s="101">
        <f>(A1_A_L35*Otro3_A)+(A1_B_L35*Otro3_B)+(A1_C_L35*Otro3_C)+(A1_D_L35*Otro3_D)+(A1_Y_L35*Otro3_Y)</f>
        <v>0</v>
      </c>
      <c r="BW38" s="101">
        <f>SUMIFS('9'!$E:$E,'9'!$A:$A,Año_Inicial,'9'!$B:$B,'11'!BV$4,'9'!$D:$D,"Otro insumo 3*")</f>
        <v>0</v>
      </c>
      <c r="BX38" s="101">
        <f>(A1_A_L36*Otro3_A)+(A1_B_L36*Otro3_B)+(A1_C_L36*Otro3_C)+(A1_D_L36*Otro3_D)+(A1_Y_L36*Otro3_Y)</f>
        <v>0</v>
      </c>
      <c r="BY38" s="101">
        <f>SUMIFS('9'!$E:$E,'9'!$A:$A,Año_Inicial,'9'!$B:$B,'11'!BX$4,'9'!$D:$D,"Otro insumo 3*")</f>
        <v>0</v>
      </c>
      <c r="BZ38" s="101">
        <f>(A1_A_L37*Otro3_A)+(A1_B_L37*Otro3_B)+(A1_C_L37*Otro3_C)+(A1_D_L37*Otro3_D)+(A1_Y_L37*Otro3_Y)</f>
        <v>0</v>
      </c>
      <c r="CA38" s="101">
        <f>SUMIFS('9'!$E:$E,'9'!$A:$A,Año_Inicial,'9'!$B:$B,'11'!BZ$4,'9'!$D:$D,"Otro insumo 3*")</f>
        <v>0</v>
      </c>
      <c r="CB38" s="101">
        <f>(A1_A_L38*Otro3_A)+(A1_B_L38*Otro3_B)+(A1_C_L38*Otro3_C)+(A1_D_L38*Otro3_D)+(A1_Y_L38*Otro3_Y)</f>
        <v>0</v>
      </c>
      <c r="CC38" s="101">
        <f>SUMIFS('9'!$E:$E,'9'!$A:$A,Año_Inicial,'9'!$B:$B,'11'!CB$4,'9'!$D:$D,"Otro insumo 3*")</f>
        <v>0</v>
      </c>
      <c r="CD38" s="101">
        <f>(A1_A_L39*Otro3_A)+(A1_B_L39*Otro3_B)+(A1_C_L39*Otro3_C)+(A1_D_L39*Otro3_D)+(A1_Y_L39*Otro3_Y)</f>
        <v>0</v>
      </c>
      <c r="CE38" s="101">
        <f>SUMIFS('9'!$E:$E,'9'!$A:$A,Año_Inicial,'9'!$B:$B,'11'!CD$4,'9'!$D:$D,"Otro insumo 3*")</f>
        <v>0</v>
      </c>
      <c r="CF38" s="101">
        <f>(A1_A_L40*Otro3_A)+(A1_B_L40*Otro3_B)+(A1_C_L40*Otro3_C)+(A1_D_L40*Otro3_D)+(A1_Y_L40*Otro3_Y)</f>
        <v>0</v>
      </c>
      <c r="CG38" s="101">
        <f>SUMIFS('9'!$E:$E,'9'!$A:$A,Año_Inicial,'9'!$B:$B,'11'!CF$4,'9'!$D:$D,"Otro insumo 3*")</f>
        <v>0</v>
      </c>
      <c r="CH38" s="473"/>
      <c r="CI38" s="101">
        <f>Plantas_A_A1*Otro3_A</f>
        <v>0</v>
      </c>
      <c r="CJ38" s="101">
        <f>Plantas_B_A1*Otro3_B</f>
        <v>0</v>
      </c>
      <c r="CK38" s="101">
        <f>Plantas_C_A1*Otro3_C</f>
        <v>0</v>
      </c>
      <c r="CL38" s="101">
        <f>Plantas_D_A1*Otro3_D</f>
        <v>0</v>
      </c>
      <c r="CM38" s="101"/>
      <c r="CN38" s="101">
        <f>Plantas_Y_A1*Otro3_Y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68"/>
        <v>0</v>
      </c>
      <c r="C40" s="101">
        <f>SUMIFS('9'!$E:$E,'9'!$A:$A,Año_Inicial,'9'!$D:$D,"Corte")</f>
        <v>0</v>
      </c>
      <c r="D40" s="100">
        <f t="shared" si="67"/>
        <v>0</v>
      </c>
      <c r="E40" s="473"/>
      <c r="F40" s="101">
        <f>P_A1_L1*CUI_Corte</f>
        <v>0</v>
      </c>
      <c r="G40" s="101">
        <f>SUMIFS('9'!$E:$E,'9'!$A:$A,Año_Inicial,'9'!$B:$B,'11'!F$4,'9'!$D:$D,"Corte")</f>
        <v>0</v>
      </c>
      <c r="H40" s="101">
        <f>P_A1_L2*CUI_Corte</f>
        <v>0</v>
      </c>
      <c r="I40" s="101">
        <f>SUMIFS('9'!$E:$E,'9'!$A:$A,Año_Inicial,'9'!$B:$B,'11'!H$4,'9'!$D:$D,"Corte")</f>
        <v>0</v>
      </c>
      <c r="J40" s="101">
        <f>P_A1_L3*CUI_Corte</f>
        <v>0</v>
      </c>
      <c r="K40" s="101">
        <f>SUMIFS('9'!$E:$E,'9'!$A:$A,Año_Inicial,'9'!$B:$B,'11'!J$4,'9'!$D:$D,"Corte")</f>
        <v>0</v>
      </c>
      <c r="L40" s="101">
        <f>P_A1_L4*CUI_Corte</f>
        <v>0</v>
      </c>
      <c r="M40" s="101">
        <f>SUMIFS('9'!$E:$E,'9'!$A:$A,Año_Inicial,'9'!$B:$B,'11'!L$4,'9'!$D:$D,"Corte")</f>
        <v>0</v>
      </c>
      <c r="N40" s="101">
        <f>P_A1_L5*CUI_Corte</f>
        <v>0</v>
      </c>
      <c r="O40" s="101">
        <f>SUMIFS('9'!$E:$E,'9'!$A:$A,Año_Inicial,'9'!$B:$B,'11'!N$4,'9'!$D:$D,"Corte")</f>
        <v>0</v>
      </c>
      <c r="P40" s="101">
        <f>P_A1_L6*CUI_Corte</f>
        <v>0</v>
      </c>
      <c r="Q40" s="101">
        <f>SUMIFS('9'!$E:$E,'9'!$A:$A,Año_Inicial,'9'!$B:$B,'11'!P$4,'9'!$D:$D,"Corte")</f>
        <v>0</v>
      </c>
      <c r="R40" s="101">
        <f>P_A1_L7*CUI_Corte</f>
        <v>0</v>
      </c>
      <c r="S40" s="101">
        <f>SUMIFS('9'!$E:$E,'9'!$A:$A,Año_Inicial,'9'!$B:$B,'11'!R$4,'9'!$D:$D,"Corte")</f>
        <v>0</v>
      </c>
      <c r="T40" s="101">
        <f>P_A1_L8*CUI_Corte</f>
        <v>0</v>
      </c>
      <c r="U40" s="101">
        <f>SUMIFS('9'!$E:$E,'9'!$A:$A,Año_Inicial,'9'!$B:$B,'11'!T$4,'9'!$D:$D,"Corte")</f>
        <v>0</v>
      </c>
      <c r="V40" s="101">
        <f>P_A1_L9*CUI_Corte</f>
        <v>0</v>
      </c>
      <c r="W40" s="101">
        <f>SUMIFS('9'!$E:$E,'9'!$A:$A,Año_Inicial,'9'!$B:$B,'11'!V$4,'9'!$D:$D,"Corte")</f>
        <v>0</v>
      </c>
      <c r="X40" s="101">
        <f>P_A1_L10*CUI_Corte</f>
        <v>0</v>
      </c>
      <c r="Y40" s="101">
        <f>SUMIFS('9'!$E:$E,'9'!$A:$A,Año_Inicial,'9'!$B:$B,'11'!X$4,'9'!$D:$D,"Corte")</f>
        <v>0</v>
      </c>
      <c r="Z40" s="101">
        <f>P_A1_L11*CUI_Corte</f>
        <v>0</v>
      </c>
      <c r="AA40" s="101">
        <f>SUMIFS('9'!$E:$E,'9'!$A:$A,Año_Inicial,'9'!$B:$B,'11'!Z$4,'9'!$D:$D,"Corte")</f>
        <v>0</v>
      </c>
      <c r="AB40" s="101">
        <f>P_A1_L12*CUI_Corte</f>
        <v>0</v>
      </c>
      <c r="AC40" s="101">
        <f>SUMIFS('9'!$E:$E,'9'!$A:$A,Año_Inicial,'9'!$B:$B,'11'!AB$4,'9'!$D:$D,"Corte")</f>
        <v>0</v>
      </c>
      <c r="AD40" s="101">
        <f>P_A1_L13*CUI_Corte</f>
        <v>0</v>
      </c>
      <c r="AE40" s="101">
        <f>SUMIFS('9'!$E:$E,'9'!$A:$A,Año_Inicial,'9'!$B:$B,'11'!AD$4,'9'!$D:$D,"Corte")</f>
        <v>0</v>
      </c>
      <c r="AF40" s="101">
        <f>P_A1_L14*CUI_Corte</f>
        <v>0</v>
      </c>
      <c r="AG40" s="101">
        <f>SUMIFS('9'!$E:$E,'9'!$A:$A,Año_Inicial,'9'!$B:$B,'11'!AF$4,'9'!$D:$D,"Corte")</f>
        <v>0</v>
      </c>
      <c r="AH40" s="101">
        <f>P_A1_L15*CUI_Corte</f>
        <v>0</v>
      </c>
      <c r="AI40" s="101">
        <f>SUMIFS('9'!$E:$E,'9'!$A:$A,Año_Inicial,'9'!$B:$B,'11'!AH$4,'9'!$D:$D,"Corte")</f>
        <v>0</v>
      </c>
      <c r="AJ40" s="101">
        <f>P_A1_L16*CUI_Corte</f>
        <v>0</v>
      </c>
      <c r="AK40" s="101">
        <f>SUMIFS('9'!$E:$E,'9'!$A:$A,Año_Inicial,'9'!$B:$B,'11'!AJ$4,'9'!$D:$D,"Corte")</f>
        <v>0</v>
      </c>
      <c r="AL40" s="101">
        <f>P_A1_L17*CUI_Corte</f>
        <v>0</v>
      </c>
      <c r="AM40" s="101">
        <f>SUMIFS('9'!$E:$E,'9'!$A:$A,Año_Inicial,'9'!$B:$B,'11'!AL$4,'9'!$D:$D,"Corte")</f>
        <v>0</v>
      </c>
      <c r="AN40" s="101">
        <f>P_A1_L18*CUI_Corte</f>
        <v>0</v>
      </c>
      <c r="AO40" s="101">
        <f>SUMIFS('9'!$E:$E,'9'!$A:$A,Año_Inicial,'9'!$B:$B,'11'!AN$4,'9'!$D:$D,"Corte")</f>
        <v>0</v>
      </c>
      <c r="AP40" s="101">
        <f>P_A1_L19*CUI_Corte</f>
        <v>0</v>
      </c>
      <c r="AQ40" s="101">
        <f>SUMIFS('9'!$E:$E,'9'!$A:$A,Año_Inicial,'9'!$B:$B,'11'!AP$4,'9'!$D:$D,"Corte")</f>
        <v>0</v>
      </c>
      <c r="AR40" s="101">
        <f>P_A1_L20*CUI_Corte</f>
        <v>0</v>
      </c>
      <c r="AS40" s="101">
        <f>SUMIFS('9'!$E:$E,'9'!$A:$A,Año_Inicial,'9'!$B:$B,'11'!AR$4,'9'!$D:$D,"Corte")</f>
        <v>0</v>
      </c>
      <c r="AT40" s="101">
        <f>P_A1_L21*CUI_Corte</f>
        <v>0</v>
      </c>
      <c r="AU40" s="101">
        <f>SUMIFS('9'!$E:$E,'9'!$A:$A,Año_Inicial,'9'!$B:$B,'11'!AT$4,'9'!$D:$D,"Corte")</f>
        <v>0</v>
      </c>
      <c r="AV40" s="101">
        <f>P_A1_L22*CUI_Corte</f>
        <v>0</v>
      </c>
      <c r="AW40" s="101">
        <f>SUMIFS('9'!$E:$E,'9'!$A:$A,Año_Inicial,'9'!$B:$B,'11'!AV$4,'9'!$D:$D,"Corte")</f>
        <v>0</v>
      </c>
      <c r="AX40" s="101">
        <f>P_A1_L23*CUI_Corte</f>
        <v>0</v>
      </c>
      <c r="AY40" s="101">
        <f>SUMIFS('9'!$E:$E,'9'!$A:$A,Año_Inicial,'9'!$B:$B,'11'!AX$4,'9'!$D:$D,"Corte")</f>
        <v>0</v>
      </c>
      <c r="AZ40" s="101">
        <f>P_A1_L24*CUI_Corte</f>
        <v>0</v>
      </c>
      <c r="BA40" s="101">
        <f>SUMIFS('9'!$E:$E,'9'!$A:$A,Año_Inicial,'9'!$B:$B,'11'!AZ$4,'9'!$D:$D,"Corte")</f>
        <v>0</v>
      </c>
      <c r="BB40" s="101">
        <f>P_A1_L25*CUI_Corte</f>
        <v>0</v>
      </c>
      <c r="BC40" s="101">
        <f>SUMIFS('9'!$E:$E,'9'!$A:$A,Año_Inicial,'9'!$B:$B,'11'!BB$4,'9'!$D:$D,"Corte")</f>
        <v>0</v>
      </c>
      <c r="BD40" s="101">
        <f>P_A1_L26*CUI_Corte</f>
        <v>0</v>
      </c>
      <c r="BE40" s="101">
        <f>SUMIFS('9'!$E:$E,'9'!$A:$A,Año_Inicial,'9'!$B:$B,'11'!BD$4,'9'!$D:$D,"Corte")</f>
        <v>0</v>
      </c>
      <c r="BF40" s="101">
        <f>P_A1_L27*CUI_Corte</f>
        <v>0</v>
      </c>
      <c r="BG40" s="101">
        <f>SUMIFS('9'!$E:$E,'9'!$A:$A,Año_Inicial,'9'!$B:$B,'11'!BF$4,'9'!$D:$D,"Corte")</f>
        <v>0</v>
      </c>
      <c r="BH40" s="101">
        <f>P_A1_L28*CUI_Corte</f>
        <v>0</v>
      </c>
      <c r="BI40" s="101">
        <f>SUMIFS('9'!$E:$E,'9'!$A:$A,Año_Inicial,'9'!$B:$B,'11'!BH$4,'9'!$D:$D,"Corte")</f>
        <v>0</v>
      </c>
      <c r="BJ40" s="101">
        <f>P_A1_L29*CUI_Corte</f>
        <v>0</v>
      </c>
      <c r="BK40" s="101">
        <f>SUMIFS('9'!$E:$E,'9'!$A:$A,Año_Inicial,'9'!$B:$B,'11'!BJ$4,'9'!$D:$D,"Corte")</f>
        <v>0</v>
      </c>
      <c r="BL40" s="101">
        <f>P_A1_L30*CUI_Corte</f>
        <v>0</v>
      </c>
      <c r="BM40" s="101">
        <f>SUMIFS('9'!$E:$E,'9'!$A:$A,Año_Inicial,'9'!$B:$B,'11'!BL$4,'9'!$D:$D,"Corte")</f>
        <v>0</v>
      </c>
      <c r="BN40" s="101">
        <f>P_A1_L31*CUI_Corte</f>
        <v>0</v>
      </c>
      <c r="BO40" s="101">
        <f>SUMIFS('9'!$E:$E,'9'!$A:$A,Año_Inicial,'9'!$B:$B,'11'!BN$4,'9'!$D:$D,"Corte")</f>
        <v>0</v>
      </c>
      <c r="BP40" s="101">
        <f>P_A1_L32*CUI_Corte</f>
        <v>0</v>
      </c>
      <c r="BQ40" s="101">
        <f>SUMIFS('9'!$E:$E,'9'!$A:$A,Año_Inicial,'9'!$B:$B,'11'!BP$4,'9'!$D:$D,"Corte")</f>
        <v>0</v>
      </c>
      <c r="BR40" s="101">
        <f>P_A1_L33*CUI_Corte</f>
        <v>0</v>
      </c>
      <c r="BS40" s="101">
        <f>SUMIFS('9'!$E:$E,'9'!$A:$A,Año_Inicial,'9'!$B:$B,'11'!BR$4,'9'!$D:$D,"Corte")</f>
        <v>0</v>
      </c>
      <c r="BT40" s="101">
        <f>P_A1_L34*CUI_Corte</f>
        <v>0</v>
      </c>
      <c r="BU40" s="101">
        <f>SUMIFS('9'!$E:$E,'9'!$A:$A,Año_Inicial,'9'!$B:$B,'11'!BT$4,'9'!$D:$D,"Corte")</f>
        <v>0</v>
      </c>
      <c r="BV40" s="101">
        <f>P_A1_L35*CUI_Corte</f>
        <v>0</v>
      </c>
      <c r="BW40" s="101">
        <f>SUMIFS('9'!$E:$E,'9'!$A:$A,Año_Inicial,'9'!$B:$B,'11'!BV$4,'9'!$D:$D,"Corte")</f>
        <v>0</v>
      </c>
      <c r="BX40" s="101">
        <f>P_A1_L36*CUI_Corte</f>
        <v>0</v>
      </c>
      <c r="BY40" s="101">
        <f>SUMIFS('9'!$E:$E,'9'!$A:$A,Año_Inicial,'9'!$B:$B,'11'!BX$4,'9'!$D:$D,"Corte")</f>
        <v>0</v>
      </c>
      <c r="BZ40" s="101">
        <f>P_A1_L37*CUI_Corte</f>
        <v>0</v>
      </c>
      <c r="CA40" s="101">
        <f>SUMIFS('9'!$E:$E,'9'!$A:$A,Año_Inicial,'9'!$B:$B,'11'!BZ$4,'9'!$D:$D,"Corte")</f>
        <v>0</v>
      </c>
      <c r="CB40" s="101">
        <f>P_A1_L38*CUI_Corte</f>
        <v>0</v>
      </c>
      <c r="CC40" s="101">
        <f>SUMIFS('9'!$E:$E,'9'!$A:$A,Año_Inicial,'9'!$B:$B,'11'!CB$4,'9'!$D:$D,"Corte")</f>
        <v>0</v>
      </c>
      <c r="CD40" s="101">
        <f>P_A1_L39*CUI_Corte</f>
        <v>0</v>
      </c>
      <c r="CE40" s="101">
        <f>SUMIFS('9'!$E:$E,'9'!$A:$A,Año_Inicial,'9'!$B:$B,'11'!CD$4,'9'!$D:$D,"Corte")</f>
        <v>0</v>
      </c>
      <c r="CF40" s="101">
        <f>P_A1_L40*CUI_Corte</f>
        <v>0</v>
      </c>
      <c r="CG40" s="101">
        <f>SUMIFS('9'!$E:$E,'9'!$A:$A,Año_Inicial,'9'!$B:$B,'11'!CF$4,'9'!$D:$D,"Corte")</f>
        <v>0</v>
      </c>
      <c r="CH40" s="473"/>
      <c r="CI40" s="101">
        <f>CI7*CUI_Corte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SUMIFS('9'!$E:$E,'9'!$A:$A,Año_Inicial,'9'!$D:$D,"Beneficiado")</f>
        <v>0</v>
      </c>
      <c r="D41" s="100" t="e">
        <f t="shared" si="67"/>
        <v>#DIV/0!</v>
      </c>
      <c r="E41" s="473"/>
      <c r="F41" s="101">
        <f>(P_A1_L1/5)*CUI_Poscosecha</f>
        <v>0</v>
      </c>
      <c r="G41" s="101">
        <f>SUMIFS('9'!$E:$E,'9'!$A:$A,Año_Inicial,'9'!$B:$B,'11'!F$4,'9'!$D:$D,"Beneficiado")</f>
        <v>0</v>
      </c>
      <c r="H41" s="101">
        <f>(P_A1_L2/5)*CUI_Poscosecha</f>
        <v>0</v>
      </c>
      <c r="I41" s="101">
        <f>SUMIFS('9'!$E:$E,'9'!$A:$A,Año_Inicial,'9'!$B:$B,'11'!H$4,'9'!$D:$D,"Beneficiado")</f>
        <v>0</v>
      </c>
      <c r="J41" s="101">
        <f>(P_A1_L3/5)*CUI_Poscosecha</f>
        <v>0</v>
      </c>
      <c r="K41" s="101">
        <f>SUMIFS('9'!$E:$E,'9'!$A:$A,Año_Inicial,'9'!$B:$B,'11'!J$4,'9'!$D:$D,"Beneficiado")</f>
        <v>0</v>
      </c>
      <c r="L41" s="101">
        <f>(P_A1_L4/5)*CUI_Poscosecha</f>
        <v>0</v>
      </c>
      <c r="M41" s="101">
        <f>SUMIFS('9'!$E:$E,'9'!$A:$A,Año_Inicial,'9'!$B:$B,'11'!L$4,'9'!$D:$D,"Beneficiado")</f>
        <v>0</v>
      </c>
      <c r="N41" s="101">
        <f>(P_A1_L5/5)*CUI_Poscosecha</f>
        <v>0</v>
      </c>
      <c r="O41" s="101">
        <f>SUMIFS('9'!$E:$E,'9'!$A:$A,Año_Inicial,'9'!$B:$B,'11'!N$4,'9'!$D:$D,"Beneficiado")</f>
        <v>0</v>
      </c>
      <c r="P41" s="101">
        <f>(P_A1_L6/5)*CUI_Poscosecha</f>
        <v>0</v>
      </c>
      <c r="Q41" s="101">
        <f>SUMIFS('9'!$E:$E,'9'!$A:$A,Año_Inicial,'9'!$B:$B,'11'!P$4,'9'!$D:$D,"Beneficiado")</f>
        <v>0</v>
      </c>
      <c r="R41" s="101">
        <f>(P_A1_L7/5)*CUI_Poscosecha</f>
        <v>0</v>
      </c>
      <c r="S41" s="101">
        <f>SUMIFS('9'!$E:$E,'9'!$A:$A,Año_Inicial,'9'!$B:$B,'11'!R$4,'9'!$D:$D,"Beneficiado")</f>
        <v>0</v>
      </c>
      <c r="T41" s="101">
        <f>(P_A1_L8/5)*CUI_Poscosecha</f>
        <v>0</v>
      </c>
      <c r="U41" s="101">
        <f>SUMIFS('9'!$E:$E,'9'!$A:$A,Año_Inicial,'9'!$B:$B,'11'!T$4,'9'!$D:$D,"Beneficiado")</f>
        <v>0</v>
      </c>
      <c r="V41" s="101">
        <f>(P_A1_L9/5)*CUI_Poscosecha</f>
        <v>0</v>
      </c>
      <c r="W41" s="101">
        <f>SUMIFS('9'!$E:$E,'9'!$A:$A,Año_Inicial,'9'!$B:$B,'11'!V$4,'9'!$D:$D,"Beneficiado")</f>
        <v>0</v>
      </c>
      <c r="X41" s="101">
        <f>(P_A1_L10/5)*CUI_Poscosecha</f>
        <v>0</v>
      </c>
      <c r="Y41" s="101">
        <f>SUMIFS('9'!$E:$E,'9'!$A:$A,Año_Inicial,'9'!$B:$B,'11'!X$4,'9'!$D:$D,"Beneficiado")</f>
        <v>0</v>
      </c>
      <c r="Z41" s="101">
        <f>(P_A1_L11/5)*CUI_Poscosecha</f>
        <v>0</v>
      </c>
      <c r="AA41" s="101">
        <f>SUMIFS('9'!$E:$E,'9'!$A:$A,Año_Inicial,'9'!$B:$B,'11'!Z$4,'9'!$D:$D,"Beneficiado")</f>
        <v>0</v>
      </c>
      <c r="AB41" s="101">
        <f>(P_A1_L12/5)*CUI_Poscosecha</f>
        <v>0</v>
      </c>
      <c r="AC41" s="101">
        <f>SUMIFS('9'!$E:$E,'9'!$A:$A,Año_Inicial,'9'!$B:$B,'11'!AB$4,'9'!$D:$D,"Beneficiado")</f>
        <v>0</v>
      </c>
      <c r="AD41" s="101">
        <f>(P_A1_L13/5)*CUI_Poscosecha</f>
        <v>0</v>
      </c>
      <c r="AE41" s="101">
        <f>SUMIFS('9'!$E:$E,'9'!$A:$A,Año_Inicial,'9'!$B:$B,'11'!AD$4,'9'!$D:$D,"Beneficiado")</f>
        <v>0</v>
      </c>
      <c r="AF41" s="101">
        <f>(P_A1_L14/5)*CUI_Poscosecha</f>
        <v>0</v>
      </c>
      <c r="AG41" s="101">
        <f>SUMIFS('9'!$E:$E,'9'!$A:$A,Año_Inicial,'9'!$B:$B,'11'!AF$4,'9'!$D:$D,"Beneficiado")</f>
        <v>0</v>
      </c>
      <c r="AH41" s="101">
        <f>(P_A1_L15/5)*CUI_Poscosecha</f>
        <v>0</v>
      </c>
      <c r="AI41" s="101">
        <f>SUMIFS('9'!$E:$E,'9'!$A:$A,Año_Inicial,'9'!$B:$B,'11'!AH$4,'9'!$D:$D,"Beneficiado")</f>
        <v>0</v>
      </c>
      <c r="AJ41" s="101">
        <f>(P_A1_L16/5)*CUI_Poscosecha</f>
        <v>0</v>
      </c>
      <c r="AK41" s="101">
        <f>SUMIFS('9'!$E:$E,'9'!$A:$A,Año_Inicial,'9'!$B:$B,'11'!AJ$4,'9'!$D:$D,"Beneficiado")</f>
        <v>0</v>
      </c>
      <c r="AL41" s="101">
        <f>(P_A1_L17/5)*CUI_Poscosecha</f>
        <v>0</v>
      </c>
      <c r="AM41" s="101">
        <f>SUMIFS('9'!$E:$E,'9'!$A:$A,Año_Inicial,'9'!$B:$B,'11'!AL$4,'9'!$D:$D,"Beneficiado")</f>
        <v>0</v>
      </c>
      <c r="AN41" s="101">
        <f>(P_A1_L18/5)*CUI_Poscosecha</f>
        <v>0</v>
      </c>
      <c r="AO41" s="101">
        <f>SUMIFS('9'!$E:$E,'9'!$A:$A,Año_Inicial,'9'!$B:$B,'11'!AN$4,'9'!$D:$D,"Beneficiado")</f>
        <v>0</v>
      </c>
      <c r="AP41" s="101">
        <f>(P_A1_L19/5)*CUI_Poscosecha</f>
        <v>0</v>
      </c>
      <c r="AQ41" s="101">
        <f>SUMIFS('9'!$E:$E,'9'!$A:$A,Año_Inicial,'9'!$B:$B,'11'!AP$4,'9'!$D:$D,"Beneficiado")</f>
        <v>0</v>
      </c>
      <c r="AR41" s="101">
        <f>(P_A1_L20/5)*CUI_Poscosecha</f>
        <v>0</v>
      </c>
      <c r="AS41" s="101">
        <f>SUMIFS('9'!$E:$E,'9'!$A:$A,Año_Inicial,'9'!$B:$B,'11'!AR$4,'9'!$D:$D,"Beneficiado")</f>
        <v>0</v>
      </c>
      <c r="AT41" s="101">
        <f>(P_A1_L21/5)*CUI_Poscosecha</f>
        <v>0</v>
      </c>
      <c r="AU41" s="101">
        <f>SUMIFS('9'!$E:$E,'9'!$A:$A,Año_Inicial,'9'!$B:$B,'11'!AT$4,'9'!$D:$D,"Beneficiado")</f>
        <v>0</v>
      </c>
      <c r="AV41" s="101">
        <f>(P_A1_L22/5)*CUI_Poscosecha</f>
        <v>0</v>
      </c>
      <c r="AW41" s="101">
        <f>SUMIFS('9'!$E:$E,'9'!$A:$A,Año_Inicial,'9'!$B:$B,'11'!AV$4,'9'!$D:$D,"Beneficiado")</f>
        <v>0</v>
      </c>
      <c r="AX41" s="101">
        <f>(P_A1_L23/5)*CUI_Poscosecha</f>
        <v>0</v>
      </c>
      <c r="AY41" s="101">
        <f>SUMIFS('9'!$E:$E,'9'!$A:$A,Año_Inicial,'9'!$B:$B,'11'!AX$4,'9'!$D:$D,"Beneficiado")</f>
        <v>0</v>
      </c>
      <c r="AZ41" s="101">
        <f>(P_A1_L24/5)*CUI_Poscosecha</f>
        <v>0</v>
      </c>
      <c r="BA41" s="101">
        <f>SUMIFS('9'!$E:$E,'9'!$A:$A,Año_Inicial,'9'!$B:$B,'11'!AZ$4,'9'!$D:$D,"Beneficiado")</f>
        <v>0</v>
      </c>
      <c r="BB41" s="101">
        <f>(P_A1_L25/5)*CUI_Poscosecha</f>
        <v>0</v>
      </c>
      <c r="BC41" s="101">
        <f>SUMIFS('9'!$E:$E,'9'!$A:$A,Año_Inicial,'9'!$B:$B,'11'!BB$4,'9'!$D:$D,"Beneficiado")</f>
        <v>0</v>
      </c>
      <c r="BD41" s="101">
        <f>(P_A1_L26/5)*CUI_Poscosecha</f>
        <v>0</v>
      </c>
      <c r="BE41" s="101">
        <f>SUMIFS('9'!$E:$E,'9'!$A:$A,Año_Inicial,'9'!$B:$B,'11'!BD$4,'9'!$D:$D,"Beneficiado")</f>
        <v>0</v>
      </c>
      <c r="BF41" s="101">
        <f>(P_A1_L27/5)*CUI_Poscosecha</f>
        <v>0</v>
      </c>
      <c r="BG41" s="101">
        <f>SUMIFS('9'!$E:$E,'9'!$A:$A,Año_Inicial,'9'!$B:$B,'11'!BF$4,'9'!$D:$D,"Beneficiado")</f>
        <v>0</v>
      </c>
      <c r="BH41" s="101">
        <f>(P_A1_L28/5)*CUI_Poscosecha</f>
        <v>0</v>
      </c>
      <c r="BI41" s="101">
        <f>SUMIFS('9'!$E:$E,'9'!$A:$A,Año_Inicial,'9'!$B:$B,'11'!BH$4,'9'!$D:$D,"Beneficiado")</f>
        <v>0</v>
      </c>
      <c r="BJ41" s="101">
        <f>(P_A1_L29/5)*CUI_Poscosecha</f>
        <v>0</v>
      </c>
      <c r="BK41" s="101">
        <f>SUMIFS('9'!$E:$E,'9'!$A:$A,Año_Inicial,'9'!$B:$B,'11'!BJ$4,'9'!$D:$D,"Beneficiado")</f>
        <v>0</v>
      </c>
      <c r="BL41" s="101">
        <f>(P_A1_L30/5)*CUI_Poscosecha</f>
        <v>0</v>
      </c>
      <c r="BM41" s="101">
        <f>SUMIFS('9'!$E:$E,'9'!$A:$A,Año_Inicial,'9'!$B:$B,'11'!BL$4,'9'!$D:$D,"Beneficiado")</f>
        <v>0</v>
      </c>
      <c r="BN41" s="101">
        <f>(P_A1_L31/5)*CUI_Poscosecha</f>
        <v>0</v>
      </c>
      <c r="BO41" s="101">
        <f>SUMIFS('9'!$E:$E,'9'!$A:$A,Año_Inicial,'9'!$B:$B,'11'!BN$4,'9'!$D:$D,"Beneficiado")</f>
        <v>0</v>
      </c>
      <c r="BP41" s="101">
        <f>(P_A1_L32/5)*CUI_Poscosecha</f>
        <v>0</v>
      </c>
      <c r="BQ41" s="101">
        <f>SUMIFS('9'!$E:$E,'9'!$A:$A,Año_Inicial,'9'!$B:$B,'11'!BP$4,'9'!$D:$D,"Beneficiado")</f>
        <v>0</v>
      </c>
      <c r="BR41" s="101">
        <f>(P_A1_L33/5)*CUI_Poscosecha</f>
        <v>0</v>
      </c>
      <c r="BS41" s="101">
        <f>SUMIFS('9'!$E:$E,'9'!$A:$A,Año_Inicial,'9'!$B:$B,'11'!BR$4,'9'!$D:$D,"Beneficiado")</f>
        <v>0</v>
      </c>
      <c r="BT41" s="101">
        <f>(P_A1_L34/5)*CUI_Poscosecha</f>
        <v>0</v>
      </c>
      <c r="BU41" s="101">
        <f>SUMIFS('9'!$E:$E,'9'!$A:$A,Año_Inicial,'9'!$B:$B,'11'!BT$4,'9'!$D:$D,"Beneficiado")</f>
        <v>0</v>
      </c>
      <c r="BV41" s="101">
        <f>(P_A1_L35/5)*CUI_Poscosecha</f>
        <v>0</v>
      </c>
      <c r="BW41" s="101">
        <f>SUMIFS('9'!$E:$E,'9'!$A:$A,Año_Inicial,'9'!$B:$B,'11'!BV$4,'9'!$D:$D,"Beneficiado")</f>
        <v>0</v>
      </c>
      <c r="BX41" s="101">
        <f>(P_A1_L36/5)*CUI_Poscosecha</f>
        <v>0</v>
      </c>
      <c r="BY41" s="101">
        <f>SUMIFS('9'!$E:$E,'9'!$A:$A,Año_Inicial,'9'!$B:$B,'11'!BX$4,'9'!$D:$D,"Beneficiado")</f>
        <v>0</v>
      </c>
      <c r="BZ41" s="101">
        <f>(P_A1_L37/5)*CUI_Poscosecha</f>
        <v>0</v>
      </c>
      <c r="CA41" s="101">
        <f>SUMIFS('9'!$E:$E,'9'!$A:$A,Año_Inicial,'9'!$B:$B,'11'!BZ$4,'9'!$D:$D,"Beneficiado")</f>
        <v>0</v>
      </c>
      <c r="CB41" s="101">
        <f>(P_A1_L38/5)*CUI_Poscosecha</f>
        <v>0</v>
      </c>
      <c r="CC41" s="101">
        <f>SUMIFS('9'!$E:$E,'9'!$A:$A,Año_Inicial,'9'!$B:$B,'11'!CB$4,'9'!$D:$D,"Beneficiado")</f>
        <v>0</v>
      </c>
      <c r="CD41" s="101">
        <f>(P_A1_L39/5)*CUI_Poscosecha</f>
        <v>0</v>
      </c>
      <c r="CE41" s="101">
        <f>SUMIFS('9'!$E:$E,'9'!$A:$A,Año_Inicial,'9'!$B:$B,'11'!CD$4,'9'!$D:$D,"Beneficiado")</f>
        <v>0</v>
      </c>
      <c r="CF41" s="101">
        <f>(P_A1_L40/5)*CUI_Poscosecha</f>
        <v>0</v>
      </c>
      <c r="CG41" s="101">
        <f>SUMIFS('9'!$E:$E,'9'!$A:$A,Año_Inicial,'9'!$B:$B,'11'!CF$4,'9'!$D:$D,"Beneficiado")</f>
        <v>0</v>
      </c>
      <c r="CH41" s="473"/>
      <c r="CI41" s="101" t="e">
        <f>(CI7/Pergo)*CUI_Poscosecha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SUMIFS('9'!$E:$E,'9'!$A:$A,Año_Inicial,'9'!$C:$C,"Renovación")</f>
        <v>0</v>
      </c>
      <c r="D43" s="100">
        <f t="shared" si="67"/>
        <v>0</v>
      </c>
      <c r="E43" s="473"/>
      <c r="F43" s="101">
        <f>A1_Z_L1*Planta_Z</f>
        <v>0</v>
      </c>
      <c r="G43" s="101">
        <f>SUMIFS('9'!$E:$E,'9'!$A:$A,Año_Inicial,'9'!$B:$B,'11'!F$4,'9'!$C:$C,"Renovación")</f>
        <v>0</v>
      </c>
      <c r="H43" s="101">
        <f>A1_Z_L2*Planta_Z</f>
        <v>0</v>
      </c>
      <c r="I43" s="101">
        <f>SUMIFS('9'!$E:$E,'9'!$A:$A,Año_Inicial,'9'!$B:$B,'11'!H$4,'9'!$C:$C,"Renovación")</f>
        <v>0</v>
      </c>
      <c r="J43" s="101">
        <f>A1_Z_L3*Planta_Z</f>
        <v>0</v>
      </c>
      <c r="K43" s="101">
        <f>SUMIFS('9'!$E:$E,'9'!$A:$A,Año_Inicial,'9'!$B:$B,'11'!J$4,'9'!$C:$C,"Renovación")</f>
        <v>0</v>
      </c>
      <c r="L43" s="101">
        <f>A1_Z_L4*Planta_Z</f>
        <v>0</v>
      </c>
      <c r="M43" s="101">
        <f>SUMIFS('9'!$E:$E,'9'!$A:$A,Año_Inicial,'9'!$B:$B,'11'!L$4,'9'!$C:$C,"Renovación")</f>
        <v>0</v>
      </c>
      <c r="N43" s="101">
        <f>A1_Z_L5*Planta_Z</f>
        <v>0</v>
      </c>
      <c r="O43" s="101">
        <f>SUMIFS('9'!$E:$E,'9'!$A:$A,Año_Inicial,'9'!$B:$B,'11'!N$4,'9'!$C:$C,"Renovación")</f>
        <v>0</v>
      </c>
      <c r="P43" s="101">
        <f>A1_Z_L6*Planta_Z</f>
        <v>0</v>
      </c>
      <c r="Q43" s="101">
        <f>SUMIFS('9'!$E:$E,'9'!$A:$A,Año_Inicial,'9'!$B:$B,'11'!P$4,'9'!$C:$C,"Renovación")</f>
        <v>0</v>
      </c>
      <c r="R43" s="101">
        <f>A1_Z_L7*Planta_Z</f>
        <v>0</v>
      </c>
      <c r="S43" s="101">
        <f>SUMIFS('9'!$E:$E,'9'!$A:$A,Año_Inicial,'9'!$B:$B,'11'!R$4,'9'!$C:$C,"Renovación")</f>
        <v>0</v>
      </c>
      <c r="T43" s="101">
        <f>A1_Z_L8*Planta_Z</f>
        <v>0</v>
      </c>
      <c r="U43" s="101">
        <f>SUMIFS('9'!$E:$E,'9'!$A:$A,Año_Inicial,'9'!$B:$B,'11'!T$4,'9'!$C:$C,"Renovación")</f>
        <v>0</v>
      </c>
      <c r="V43" s="101">
        <f>A1_Z_L9*Planta_Z</f>
        <v>0</v>
      </c>
      <c r="W43" s="101">
        <f>SUMIFS('9'!$E:$E,'9'!$A:$A,Año_Inicial,'9'!$B:$B,'11'!V$4,'9'!$C:$C,"Renovación")</f>
        <v>0</v>
      </c>
      <c r="X43" s="101">
        <f>A1_Z_L10*Planta_Z</f>
        <v>0</v>
      </c>
      <c r="Y43" s="101">
        <f>SUMIFS('9'!$E:$E,'9'!$A:$A,Año_Inicial,'9'!$B:$B,'11'!X$4,'9'!$C:$C,"Renovación")</f>
        <v>0</v>
      </c>
      <c r="Z43" s="101">
        <f>A1_Z_L11*Planta_Z</f>
        <v>0</v>
      </c>
      <c r="AA43" s="101">
        <f>SUMIFS('9'!$E:$E,'9'!$A:$A,Año_Inicial,'9'!$B:$B,'11'!Z$4,'9'!$C:$C,"Renovación")</f>
        <v>0</v>
      </c>
      <c r="AB43" s="101">
        <f>A1_Z_L12*Planta_Z</f>
        <v>0</v>
      </c>
      <c r="AC43" s="101">
        <f>SUMIFS('9'!$E:$E,'9'!$A:$A,Año_Inicial,'9'!$B:$B,'11'!AB$4,'9'!$C:$C,"Renovación")</f>
        <v>0</v>
      </c>
      <c r="AD43" s="101">
        <f>A1_Z_L13*Planta_Z</f>
        <v>0</v>
      </c>
      <c r="AE43" s="101">
        <f>SUMIFS('9'!$E:$E,'9'!$A:$A,Año_Inicial,'9'!$B:$B,'11'!AD$4,'9'!$C:$C,"Renovación")</f>
        <v>0</v>
      </c>
      <c r="AF43" s="101">
        <f>A1_Z_L14*Planta_Z</f>
        <v>0</v>
      </c>
      <c r="AG43" s="101">
        <f>SUMIFS('9'!$E:$E,'9'!$A:$A,Año_Inicial,'9'!$B:$B,'11'!AF$4,'9'!$C:$C,"Renovación")</f>
        <v>0</v>
      </c>
      <c r="AH43" s="101">
        <f>A1_Z_L15*Planta_Z</f>
        <v>0</v>
      </c>
      <c r="AI43" s="101">
        <f>SUMIFS('9'!$E:$E,'9'!$A:$A,Año_Inicial,'9'!$B:$B,'11'!AH$4,'9'!$C:$C,"Renovación")</f>
        <v>0</v>
      </c>
      <c r="AJ43" s="101">
        <f>A1_Z_L16*Planta_Z</f>
        <v>0</v>
      </c>
      <c r="AK43" s="101">
        <f>SUMIFS('9'!$E:$E,'9'!$A:$A,Año_Inicial,'9'!$B:$B,'11'!AJ$4,'9'!$C:$C,"Renovación")</f>
        <v>0</v>
      </c>
      <c r="AL43" s="101">
        <f>A1_Z_L17*Planta_Z</f>
        <v>0</v>
      </c>
      <c r="AM43" s="101">
        <f>SUMIFS('9'!$E:$E,'9'!$A:$A,Año_Inicial,'9'!$B:$B,'11'!AL$4,'9'!$C:$C,"Renovación")</f>
        <v>0</v>
      </c>
      <c r="AN43" s="101">
        <f>A1_Z_L18*Planta_Z</f>
        <v>0</v>
      </c>
      <c r="AO43" s="101">
        <f>SUMIFS('9'!$E:$E,'9'!$A:$A,Año_Inicial,'9'!$B:$B,'11'!AN$4,'9'!$C:$C,"Renovación")</f>
        <v>0</v>
      </c>
      <c r="AP43" s="101">
        <f>A1_Z_L19*Planta_Z</f>
        <v>0</v>
      </c>
      <c r="AQ43" s="101">
        <f>SUMIFS('9'!$E:$E,'9'!$A:$A,Año_Inicial,'9'!$B:$B,'11'!AP$4,'9'!$C:$C,"Renovación")</f>
        <v>0</v>
      </c>
      <c r="AR43" s="101">
        <f>A1_Z_L20*Planta_Z</f>
        <v>0</v>
      </c>
      <c r="AS43" s="101">
        <f>SUMIFS('9'!$E:$E,'9'!$A:$A,Año_Inicial,'9'!$B:$B,'11'!AR$4,'9'!$C:$C,"Renovación")</f>
        <v>0</v>
      </c>
      <c r="AT43" s="101">
        <f>A1_Z_L21*Planta_Z</f>
        <v>0</v>
      </c>
      <c r="AU43" s="101">
        <f>SUMIFS('9'!$E:$E,'9'!$A:$A,Año_Inicial,'9'!$B:$B,'11'!AT$4,'9'!$C:$C,"Renovación")</f>
        <v>0</v>
      </c>
      <c r="AV43" s="101">
        <f>A1_Z_L22*Planta_Z</f>
        <v>0</v>
      </c>
      <c r="AW43" s="101">
        <f>SUMIFS('9'!$E:$E,'9'!$A:$A,Año_Inicial,'9'!$B:$B,'11'!AV$4,'9'!$C:$C,"Renovación")</f>
        <v>0</v>
      </c>
      <c r="AX43" s="101">
        <f>A1_Z_L23*Planta_Z</f>
        <v>0</v>
      </c>
      <c r="AY43" s="101">
        <f>SUMIFS('9'!$E:$E,'9'!$A:$A,Año_Inicial,'9'!$B:$B,'11'!AX$4,'9'!$C:$C,"Renovación")</f>
        <v>0</v>
      </c>
      <c r="AZ43" s="101">
        <f>A1_Z_L24*Planta_Z</f>
        <v>0</v>
      </c>
      <c r="BA43" s="101">
        <f>SUMIFS('9'!$E:$E,'9'!$A:$A,Año_Inicial,'9'!$B:$B,'11'!AZ$4,'9'!$C:$C,"Renovación")</f>
        <v>0</v>
      </c>
      <c r="BB43" s="101">
        <f>A1_Z_L25*Planta_Z</f>
        <v>0</v>
      </c>
      <c r="BC43" s="101">
        <f>SUMIFS('9'!$E:$E,'9'!$A:$A,Año_Inicial,'9'!$B:$B,'11'!BB$4,'9'!$C:$C,"Renovación")</f>
        <v>0</v>
      </c>
      <c r="BD43" s="101">
        <f>A1_Z_L26*Planta_Z</f>
        <v>0</v>
      </c>
      <c r="BE43" s="101">
        <f>SUMIFS('9'!$E:$E,'9'!$A:$A,Año_Inicial,'9'!$B:$B,'11'!BD$4,'9'!$C:$C,"Renovación")</f>
        <v>0</v>
      </c>
      <c r="BF43" s="101">
        <f>A1_Z_L27*Planta_Z</f>
        <v>0</v>
      </c>
      <c r="BG43" s="101">
        <f>SUMIFS('9'!$E:$E,'9'!$A:$A,Año_Inicial,'9'!$B:$B,'11'!BF$4,'9'!$C:$C,"Renovación")</f>
        <v>0</v>
      </c>
      <c r="BH43" s="101">
        <f>A1_Z_L28*Planta_Z</f>
        <v>0</v>
      </c>
      <c r="BI43" s="101">
        <f>SUMIFS('9'!$E:$E,'9'!$A:$A,Año_Inicial,'9'!$B:$B,'11'!BH$4,'9'!$C:$C,"Renovación")</f>
        <v>0</v>
      </c>
      <c r="BJ43" s="101">
        <f>A1_Z_L29*Planta_Z</f>
        <v>0</v>
      </c>
      <c r="BK43" s="101">
        <f>SUMIFS('9'!$E:$E,'9'!$A:$A,Año_Inicial,'9'!$B:$B,'11'!BJ$4,'9'!$C:$C,"Renovación")</f>
        <v>0</v>
      </c>
      <c r="BL43" s="101">
        <f>A1_Z_L30*Planta_Z</f>
        <v>0</v>
      </c>
      <c r="BM43" s="101">
        <f>SUMIFS('9'!$E:$E,'9'!$A:$A,Año_Inicial,'9'!$B:$B,'11'!BL$4,'9'!$C:$C,"Renovación")</f>
        <v>0</v>
      </c>
      <c r="BN43" s="101">
        <f>A1_Z_L31*Planta_Z</f>
        <v>0</v>
      </c>
      <c r="BO43" s="101">
        <f>SUMIFS('9'!$E:$E,'9'!$A:$A,Año_Inicial,'9'!$B:$B,'11'!BN$4,'9'!$C:$C,"Renovación")</f>
        <v>0</v>
      </c>
      <c r="BP43" s="101">
        <f>A1_Z_L32*Planta_Z</f>
        <v>0</v>
      </c>
      <c r="BQ43" s="101">
        <f>SUMIFS('9'!$E:$E,'9'!$A:$A,Año_Inicial,'9'!$B:$B,'11'!BP$4,'9'!$C:$C,"Renovación")</f>
        <v>0</v>
      </c>
      <c r="BR43" s="101">
        <f>A1_Z_L33*Planta_Z</f>
        <v>0</v>
      </c>
      <c r="BS43" s="101">
        <f>SUMIFS('9'!$E:$E,'9'!$A:$A,Año_Inicial,'9'!$B:$B,'11'!BR$4,'9'!$C:$C,"Renovación")</f>
        <v>0</v>
      </c>
      <c r="BT43" s="101">
        <f>A1_Z_L34*Planta_Z</f>
        <v>0</v>
      </c>
      <c r="BU43" s="101">
        <f>SUMIFS('9'!$E:$E,'9'!$A:$A,Año_Inicial,'9'!$B:$B,'11'!BT$4,'9'!$C:$C,"Renovación")</f>
        <v>0</v>
      </c>
      <c r="BV43" s="101">
        <f>A1_Z_L35*Planta_Z</f>
        <v>0</v>
      </c>
      <c r="BW43" s="101">
        <f>SUMIFS('9'!$E:$E,'9'!$A:$A,Año_Inicial,'9'!$B:$B,'11'!BV$4,'9'!$C:$C,"Renovación")</f>
        <v>0</v>
      </c>
      <c r="BX43" s="101">
        <f>A1_Z_L36*Planta_Z</f>
        <v>0</v>
      </c>
      <c r="BY43" s="101">
        <f>SUMIFS('9'!$E:$E,'9'!$A:$A,Año_Inicial,'9'!$B:$B,'11'!BX$4,'9'!$C:$C,"Renovación")</f>
        <v>0</v>
      </c>
      <c r="BZ43" s="101">
        <f>A1_Z_L37*Planta_Z</f>
        <v>0</v>
      </c>
      <c r="CA43" s="101">
        <f>SUMIFS('9'!$E:$E,'9'!$A:$A,Año_Inicial,'9'!$B:$B,'11'!BZ$4,'9'!$C:$C,"Renovación")</f>
        <v>0</v>
      </c>
      <c r="CB43" s="101">
        <f>A1_Z_L38*Planta_Z</f>
        <v>0</v>
      </c>
      <c r="CC43" s="101">
        <f>SUMIFS('9'!$E:$E,'9'!$A:$A,Año_Inicial,'9'!$B:$B,'11'!CB$4,'9'!$C:$C,"Renovación")</f>
        <v>0</v>
      </c>
      <c r="CD43" s="101">
        <f>A1_Z_L39*Planta_Z</f>
        <v>0</v>
      </c>
      <c r="CE43" s="101">
        <f>SUMIFS('9'!$E:$E,'9'!$A:$A,Año_Inicial,'9'!$B:$B,'11'!CD$4,'9'!$C:$C,"Renovación")</f>
        <v>0</v>
      </c>
      <c r="CF43" s="101">
        <f>A1_Z_L40*Planta_Z</f>
        <v>0</v>
      </c>
      <c r="CG43" s="101">
        <f>SUMIFS('9'!$E:$E,'9'!$A:$A,Año_Inicial,'9'!$B:$B,'11'!CF$4,'9'!$C:$C,"Renovación")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Plantas_Z_A1*Planta_Z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Admin_1</f>
        <v>0</v>
      </c>
      <c r="C44" s="101">
        <f>SUMIFS('9'!$E:$E,'9'!$A:$A,Año_Inicial,'9'!$C:$C,"Gastos_administrativos")</f>
        <v>0</v>
      </c>
      <c r="D44" s="100">
        <f t="shared" si="67"/>
        <v>0</v>
      </c>
      <c r="E44" s="473"/>
      <c r="F44" s="101">
        <f>($B44/$B47)*F47</f>
        <v>0</v>
      </c>
      <c r="G44" s="101">
        <f>($C44/$B47)*F47</f>
        <v>0</v>
      </c>
      <c r="H44" s="101">
        <f>($B44/$B47)*H47</f>
        <v>0</v>
      </c>
      <c r="I44" s="101">
        <f>($C44/$B47)*H47</f>
        <v>0</v>
      </c>
      <c r="J44" s="101">
        <f>($B44/$B47)*J47</f>
        <v>0</v>
      </c>
      <c r="K44" s="101">
        <f>($C44/$B47)*J47</f>
        <v>0</v>
      </c>
      <c r="L44" s="101">
        <f>($B44/$B47)*L47</f>
        <v>0</v>
      </c>
      <c r="M44" s="101">
        <f>($C44/$B47)*L47</f>
        <v>0</v>
      </c>
      <c r="N44" s="101">
        <f>($B44/$B47)*N47</f>
        <v>0</v>
      </c>
      <c r="O44" s="101">
        <f>($C44/$B47)*N47</f>
        <v>0</v>
      </c>
      <c r="P44" s="101">
        <f>($B44/$B47)*P47</f>
        <v>0</v>
      </c>
      <c r="Q44" s="101">
        <f>($C44/$B47)*P47</f>
        <v>0</v>
      </c>
      <c r="R44" s="101">
        <f>($B44/$B47)*R47</f>
        <v>0</v>
      </c>
      <c r="S44" s="101">
        <f>($C44/$B47)*R47</f>
        <v>0</v>
      </c>
      <c r="T44" s="101">
        <f>($B44/$B47)*T47</f>
        <v>0</v>
      </c>
      <c r="U44" s="101">
        <f>($C44/$B47)*T47</f>
        <v>0</v>
      </c>
      <c r="V44" s="101">
        <f>($B44/$B47)*V47</f>
        <v>0</v>
      </c>
      <c r="W44" s="101">
        <f>($C44/$B47)*V47</f>
        <v>0</v>
      </c>
      <c r="X44" s="101">
        <f>($B44/$B47)*X47</f>
        <v>0</v>
      </c>
      <c r="Y44" s="101">
        <f>($C44/$B47)*X47</f>
        <v>0</v>
      </c>
      <c r="Z44" s="101">
        <f>($B44/$B47)*Z47</f>
        <v>0</v>
      </c>
      <c r="AA44" s="101">
        <f>($C44/$B47)*Z47</f>
        <v>0</v>
      </c>
      <c r="AB44" s="101">
        <f>($B44/$B47)*AB47</f>
        <v>0</v>
      </c>
      <c r="AC44" s="101">
        <f>($C44/$B47)*AB47</f>
        <v>0</v>
      </c>
      <c r="AD44" s="101">
        <f>($B44/$B47)*AD47</f>
        <v>0</v>
      </c>
      <c r="AE44" s="101">
        <f>($C44/$B47)*AD47</f>
        <v>0</v>
      </c>
      <c r="AF44" s="101">
        <f>($B44/$B47)*AF47</f>
        <v>0</v>
      </c>
      <c r="AG44" s="101">
        <f>($C44/$B47)*AF47</f>
        <v>0</v>
      </c>
      <c r="AH44" s="101">
        <f>($B44/$B47)*AH47</f>
        <v>0</v>
      </c>
      <c r="AI44" s="101">
        <f>($C44/$B47)*AH47</f>
        <v>0</v>
      </c>
      <c r="AJ44" s="101">
        <f>($B44/$B47)*AJ47</f>
        <v>0</v>
      </c>
      <c r="AK44" s="101">
        <f>($C44/$B47)*AJ47</f>
        <v>0</v>
      </c>
      <c r="AL44" s="101">
        <f>($B44/$B47)*AL47</f>
        <v>0</v>
      </c>
      <c r="AM44" s="101">
        <f>($C44/$B47)*AL47</f>
        <v>0</v>
      </c>
      <c r="AN44" s="101">
        <f>($B44/$B47)*AN47</f>
        <v>0</v>
      </c>
      <c r="AO44" s="101">
        <f>($C44/$B47)*AN47</f>
        <v>0</v>
      </c>
      <c r="AP44" s="101">
        <f>($B44/$B47)*AP47</f>
        <v>0</v>
      </c>
      <c r="AQ44" s="101">
        <f>($C44/$B47)*AP47</f>
        <v>0</v>
      </c>
      <c r="AR44" s="101">
        <f>($B44/$B47)*AR47</f>
        <v>0</v>
      </c>
      <c r="AS44" s="101">
        <f>($C44/$B47)*AR47</f>
        <v>0</v>
      </c>
      <c r="AT44" s="101">
        <f>($B44/$B47)*AT47</f>
        <v>0</v>
      </c>
      <c r="AU44" s="101">
        <f>($C44/$B47)*AT47</f>
        <v>0</v>
      </c>
      <c r="AV44" s="101">
        <f>($B44/$B47)*AV47</f>
        <v>0</v>
      </c>
      <c r="AW44" s="101">
        <f>($C44/$B47)*AV47</f>
        <v>0</v>
      </c>
      <c r="AX44" s="101">
        <f>($B44/$B47)*AX47</f>
        <v>0</v>
      </c>
      <c r="AY44" s="101">
        <f>($C44/$B47)*AX47</f>
        <v>0</v>
      </c>
      <c r="AZ44" s="101">
        <f>($B44/$B47)*AZ47</f>
        <v>0</v>
      </c>
      <c r="BA44" s="101">
        <f>($C44/$B47)*AZ47</f>
        <v>0</v>
      </c>
      <c r="BB44" s="101">
        <f>($B44/$B47)*BB47</f>
        <v>0</v>
      </c>
      <c r="BC44" s="101">
        <f>($C44/$B47)*BB47</f>
        <v>0</v>
      </c>
      <c r="BD44" s="101">
        <f>($B44/$B47)*BD47</f>
        <v>0</v>
      </c>
      <c r="BE44" s="101">
        <f>($C44/$B47)*BD47</f>
        <v>0</v>
      </c>
      <c r="BF44" s="101">
        <f>($B44/$B47)*BF47</f>
        <v>0</v>
      </c>
      <c r="BG44" s="101">
        <f>($C44/$B47)*BF47</f>
        <v>0</v>
      </c>
      <c r="BH44" s="101">
        <f>($B44/$B47)*BH47</f>
        <v>0</v>
      </c>
      <c r="BI44" s="101">
        <f>($C44/$B47)*BH47</f>
        <v>0</v>
      </c>
      <c r="BJ44" s="101">
        <f>($B44/$B47)*BJ47</f>
        <v>0</v>
      </c>
      <c r="BK44" s="101">
        <f>($C44/$B47)*BJ47</f>
        <v>0</v>
      </c>
      <c r="BL44" s="101">
        <f>($B44/$B47)*BL47</f>
        <v>0</v>
      </c>
      <c r="BM44" s="101">
        <f>($C44/$B47)*BL47</f>
        <v>0</v>
      </c>
      <c r="BN44" s="101">
        <f>($B44/$B47)*BN47</f>
        <v>0</v>
      </c>
      <c r="BO44" s="101">
        <f>($C44/$B47)*BN47</f>
        <v>0</v>
      </c>
      <c r="BP44" s="101">
        <f>($B44/$B47)*BP47</f>
        <v>0</v>
      </c>
      <c r="BQ44" s="101">
        <f>($C44/$B47)*BP47</f>
        <v>0</v>
      </c>
      <c r="BR44" s="101">
        <f>($B44/$B47)*BR47</f>
        <v>0</v>
      </c>
      <c r="BS44" s="101">
        <f>($C44/$B47)*BR47</f>
        <v>0</v>
      </c>
      <c r="BT44" s="101">
        <f>($B44/$B47)*BT47</f>
        <v>0</v>
      </c>
      <c r="BU44" s="101">
        <f>($C44/$B47)*BT47</f>
        <v>0</v>
      </c>
      <c r="BV44" s="101">
        <f>($B44/$B47)*BV47</f>
        <v>0</v>
      </c>
      <c r="BW44" s="101">
        <f>($C44/$B47)*BV47</f>
        <v>0</v>
      </c>
      <c r="BX44" s="101">
        <f>($B44/$B47)*BX47</f>
        <v>0</v>
      </c>
      <c r="BY44" s="101">
        <f>($C44/$B47)*BX47</f>
        <v>0</v>
      </c>
      <c r="BZ44" s="101">
        <f>($B44/$B47)*BZ47</f>
        <v>0</v>
      </c>
      <c r="CA44" s="101">
        <f>($C44/$B47)*BZ47</f>
        <v>0</v>
      </c>
      <c r="CB44" s="101">
        <f>($B44/$B47)*CB47</f>
        <v>0</v>
      </c>
      <c r="CC44" s="101">
        <f>($C44/$B47)*CB47</f>
        <v>0</v>
      </c>
      <c r="CD44" s="101">
        <f>($B44/$B47)*CD47</f>
        <v>0</v>
      </c>
      <c r="CE44" s="101">
        <f>($C44/$B47)*CD47</f>
        <v>0</v>
      </c>
      <c r="CF44" s="101">
        <f>($B44/$B47)*CF47</f>
        <v>0</v>
      </c>
      <c r="CG44" s="101">
        <f>($C44/$B47)*CF47</f>
        <v>0</v>
      </c>
      <c r="CH44" s="473"/>
      <c r="CI44" s="101">
        <f t="shared" ref="CI44:CO44" si="69">($B44/$B47)*CI47</f>
        <v>0</v>
      </c>
      <c r="CJ44" s="101">
        <f t="shared" si="69"/>
        <v>0</v>
      </c>
      <c r="CK44" s="101">
        <f t="shared" si="69"/>
        <v>0</v>
      </c>
      <c r="CL44" s="101">
        <f t="shared" si="69"/>
        <v>0</v>
      </c>
      <c r="CM44" s="101">
        <f t="shared" si="69"/>
        <v>0</v>
      </c>
      <c r="CN44" s="101">
        <f t="shared" si="69"/>
        <v>0</v>
      </c>
      <c r="CO44" s="102">
        <f t="shared" si="69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AK45" si="70">SUM(F14:F44)</f>
        <v>0</v>
      </c>
      <c r="G45" s="104">
        <f t="shared" si="70"/>
        <v>0</v>
      </c>
      <c r="H45" s="104">
        <f t="shared" si="70"/>
        <v>0</v>
      </c>
      <c r="I45" s="104">
        <f t="shared" si="70"/>
        <v>0</v>
      </c>
      <c r="J45" s="104">
        <f t="shared" si="70"/>
        <v>0</v>
      </c>
      <c r="K45" s="104">
        <f t="shared" si="70"/>
        <v>0</v>
      </c>
      <c r="L45" s="104">
        <f t="shared" si="70"/>
        <v>0</v>
      </c>
      <c r="M45" s="104">
        <f t="shared" si="70"/>
        <v>0</v>
      </c>
      <c r="N45" s="104">
        <f t="shared" si="70"/>
        <v>0</v>
      </c>
      <c r="O45" s="104">
        <f t="shared" si="70"/>
        <v>0</v>
      </c>
      <c r="P45" s="104">
        <f t="shared" si="70"/>
        <v>0</v>
      </c>
      <c r="Q45" s="104">
        <f t="shared" si="70"/>
        <v>0</v>
      </c>
      <c r="R45" s="104">
        <f t="shared" si="70"/>
        <v>0</v>
      </c>
      <c r="S45" s="104">
        <f t="shared" si="70"/>
        <v>0</v>
      </c>
      <c r="T45" s="104">
        <f t="shared" si="70"/>
        <v>0</v>
      </c>
      <c r="U45" s="104">
        <f t="shared" si="70"/>
        <v>0</v>
      </c>
      <c r="V45" s="104">
        <f t="shared" si="70"/>
        <v>0</v>
      </c>
      <c r="W45" s="104">
        <f t="shared" si="70"/>
        <v>0</v>
      </c>
      <c r="X45" s="104">
        <f t="shared" si="70"/>
        <v>0</v>
      </c>
      <c r="Y45" s="104">
        <f t="shared" si="70"/>
        <v>0</v>
      </c>
      <c r="Z45" s="104">
        <f t="shared" si="70"/>
        <v>0</v>
      </c>
      <c r="AA45" s="104">
        <f t="shared" si="70"/>
        <v>0</v>
      </c>
      <c r="AB45" s="104">
        <f t="shared" si="70"/>
        <v>0</v>
      </c>
      <c r="AC45" s="104">
        <f t="shared" si="70"/>
        <v>0</v>
      </c>
      <c r="AD45" s="104">
        <f t="shared" si="70"/>
        <v>0</v>
      </c>
      <c r="AE45" s="104">
        <f t="shared" si="70"/>
        <v>0</v>
      </c>
      <c r="AF45" s="104">
        <f t="shared" si="70"/>
        <v>0</v>
      </c>
      <c r="AG45" s="104">
        <f t="shared" si="70"/>
        <v>0</v>
      </c>
      <c r="AH45" s="104">
        <f t="shared" si="70"/>
        <v>0</v>
      </c>
      <c r="AI45" s="104">
        <f t="shared" si="70"/>
        <v>0</v>
      </c>
      <c r="AJ45" s="104">
        <f t="shared" si="70"/>
        <v>0</v>
      </c>
      <c r="AK45" s="104">
        <f t="shared" si="70"/>
        <v>0</v>
      </c>
      <c r="AL45" s="104">
        <f t="shared" ref="AL45:BQ45" si="71">SUM(AL14:AL44)</f>
        <v>0</v>
      </c>
      <c r="AM45" s="104">
        <f t="shared" si="71"/>
        <v>0</v>
      </c>
      <c r="AN45" s="104">
        <f t="shared" si="71"/>
        <v>0</v>
      </c>
      <c r="AO45" s="104">
        <f t="shared" si="71"/>
        <v>0</v>
      </c>
      <c r="AP45" s="104">
        <f t="shared" si="71"/>
        <v>0</v>
      </c>
      <c r="AQ45" s="104">
        <f t="shared" si="71"/>
        <v>0</v>
      </c>
      <c r="AR45" s="104">
        <f t="shared" si="71"/>
        <v>0</v>
      </c>
      <c r="AS45" s="104">
        <f t="shared" si="71"/>
        <v>0</v>
      </c>
      <c r="AT45" s="104">
        <f t="shared" si="71"/>
        <v>0</v>
      </c>
      <c r="AU45" s="104">
        <f t="shared" si="71"/>
        <v>0</v>
      </c>
      <c r="AV45" s="104">
        <f t="shared" si="71"/>
        <v>0</v>
      </c>
      <c r="AW45" s="104">
        <f t="shared" si="71"/>
        <v>0</v>
      </c>
      <c r="AX45" s="104">
        <f t="shared" si="71"/>
        <v>0</v>
      </c>
      <c r="AY45" s="104">
        <f t="shared" si="71"/>
        <v>0</v>
      </c>
      <c r="AZ45" s="104">
        <f t="shared" si="71"/>
        <v>0</v>
      </c>
      <c r="BA45" s="104">
        <f t="shared" si="71"/>
        <v>0</v>
      </c>
      <c r="BB45" s="104">
        <f t="shared" si="71"/>
        <v>0</v>
      </c>
      <c r="BC45" s="104">
        <f t="shared" si="71"/>
        <v>0</v>
      </c>
      <c r="BD45" s="104">
        <f t="shared" si="71"/>
        <v>0</v>
      </c>
      <c r="BE45" s="104">
        <f t="shared" si="71"/>
        <v>0</v>
      </c>
      <c r="BF45" s="104">
        <f t="shared" si="71"/>
        <v>0</v>
      </c>
      <c r="BG45" s="104">
        <f t="shared" si="71"/>
        <v>0</v>
      </c>
      <c r="BH45" s="104">
        <f t="shared" si="71"/>
        <v>0</v>
      </c>
      <c r="BI45" s="104">
        <f t="shared" si="71"/>
        <v>0</v>
      </c>
      <c r="BJ45" s="104">
        <f t="shared" si="71"/>
        <v>0</v>
      </c>
      <c r="BK45" s="104">
        <f t="shared" si="71"/>
        <v>0</v>
      </c>
      <c r="BL45" s="104">
        <f t="shared" si="71"/>
        <v>0</v>
      </c>
      <c r="BM45" s="104">
        <f t="shared" si="71"/>
        <v>0</v>
      </c>
      <c r="BN45" s="104">
        <f t="shared" si="71"/>
        <v>0</v>
      </c>
      <c r="BO45" s="104">
        <f t="shared" si="71"/>
        <v>0</v>
      </c>
      <c r="BP45" s="104">
        <f t="shared" si="71"/>
        <v>0</v>
      </c>
      <c r="BQ45" s="104">
        <f t="shared" si="71"/>
        <v>0</v>
      </c>
      <c r="BR45" s="104">
        <f t="shared" ref="BR45:CG45" si="72">SUM(BR14:BR44)</f>
        <v>0</v>
      </c>
      <c r="BS45" s="104">
        <f t="shared" si="72"/>
        <v>0</v>
      </c>
      <c r="BT45" s="104">
        <f t="shared" si="72"/>
        <v>0</v>
      </c>
      <c r="BU45" s="104">
        <f t="shared" si="72"/>
        <v>0</v>
      </c>
      <c r="BV45" s="104">
        <f t="shared" si="72"/>
        <v>0</v>
      </c>
      <c r="BW45" s="104">
        <f t="shared" si="72"/>
        <v>0</v>
      </c>
      <c r="BX45" s="104">
        <f t="shared" si="72"/>
        <v>0</v>
      </c>
      <c r="BY45" s="104">
        <f t="shared" si="72"/>
        <v>0</v>
      </c>
      <c r="BZ45" s="104">
        <f t="shared" si="72"/>
        <v>0</v>
      </c>
      <c r="CA45" s="104">
        <f t="shared" si="72"/>
        <v>0</v>
      </c>
      <c r="CB45" s="104">
        <f t="shared" si="72"/>
        <v>0</v>
      </c>
      <c r="CC45" s="104">
        <f t="shared" si="72"/>
        <v>0</v>
      </c>
      <c r="CD45" s="104">
        <f t="shared" si="72"/>
        <v>0</v>
      </c>
      <c r="CE45" s="104">
        <f t="shared" si="72"/>
        <v>0</v>
      </c>
      <c r="CF45" s="104">
        <f t="shared" si="72"/>
        <v>0</v>
      </c>
      <c r="CG45" s="104">
        <f t="shared" si="72"/>
        <v>0</v>
      </c>
      <c r="CH45" s="473"/>
      <c r="CI45" s="104" t="e">
        <f t="shared" ref="CI45:CN45" si="73">SUM(CI14:CI44)</f>
        <v>#DIV/0!</v>
      </c>
      <c r="CJ45" s="104" t="e">
        <f t="shared" si="73"/>
        <v>#DIV/0!</v>
      </c>
      <c r="CK45" s="104" t="e">
        <f t="shared" si="73"/>
        <v>#DIV/0!</v>
      </c>
      <c r="CL45" s="104" t="e">
        <f t="shared" si="73"/>
        <v>#DIV/0!</v>
      </c>
      <c r="CM45" s="104">
        <f t="shared" si="73"/>
        <v>0</v>
      </c>
      <c r="CN45" s="104" t="e">
        <f t="shared" si="73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AK46" si="74">F11-F45</f>
        <v>0</v>
      </c>
      <c r="G46" s="161" t="e">
        <f t="shared" si="74"/>
        <v>#DIV/0!</v>
      </c>
      <c r="H46" s="161">
        <f t="shared" si="74"/>
        <v>0</v>
      </c>
      <c r="I46" s="161" t="e">
        <f t="shared" si="74"/>
        <v>#DIV/0!</v>
      </c>
      <c r="J46" s="161">
        <f t="shared" si="74"/>
        <v>0</v>
      </c>
      <c r="K46" s="161" t="e">
        <f t="shared" si="74"/>
        <v>#DIV/0!</v>
      </c>
      <c r="L46" s="161">
        <f t="shared" si="74"/>
        <v>0</v>
      </c>
      <c r="M46" s="161" t="e">
        <f t="shared" si="74"/>
        <v>#DIV/0!</v>
      </c>
      <c r="N46" s="161">
        <f t="shared" si="74"/>
        <v>0</v>
      </c>
      <c r="O46" s="161" t="e">
        <f t="shared" si="74"/>
        <v>#DIV/0!</v>
      </c>
      <c r="P46" s="161">
        <f t="shared" si="74"/>
        <v>0</v>
      </c>
      <c r="Q46" s="161" t="e">
        <f t="shared" si="74"/>
        <v>#DIV/0!</v>
      </c>
      <c r="R46" s="161">
        <f t="shared" si="74"/>
        <v>0</v>
      </c>
      <c r="S46" s="161" t="e">
        <f t="shared" si="74"/>
        <v>#DIV/0!</v>
      </c>
      <c r="T46" s="161">
        <f t="shared" si="74"/>
        <v>0</v>
      </c>
      <c r="U46" s="161" t="e">
        <f t="shared" si="74"/>
        <v>#DIV/0!</v>
      </c>
      <c r="V46" s="161">
        <f t="shared" si="74"/>
        <v>0</v>
      </c>
      <c r="W46" s="161" t="e">
        <f t="shared" si="74"/>
        <v>#DIV/0!</v>
      </c>
      <c r="X46" s="161">
        <f t="shared" si="74"/>
        <v>0</v>
      </c>
      <c r="Y46" s="161" t="e">
        <f t="shared" si="74"/>
        <v>#DIV/0!</v>
      </c>
      <c r="Z46" s="161">
        <f t="shared" si="74"/>
        <v>0</v>
      </c>
      <c r="AA46" s="161" t="e">
        <f t="shared" si="74"/>
        <v>#DIV/0!</v>
      </c>
      <c r="AB46" s="161">
        <f t="shared" si="74"/>
        <v>0</v>
      </c>
      <c r="AC46" s="161" t="e">
        <f t="shared" si="74"/>
        <v>#DIV/0!</v>
      </c>
      <c r="AD46" s="161">
        <f t="shared" si="74"/>
        <v>0</v>
      </c>
      <c r="AE46" s="161" t="e">
        <f t="shared" si="74"/>
        <v>#DIV/0!</v>
      </c>
      <c r="AF46" s="161">
        <f t="shared" si="74"/>
        <v>0</v>
      </c>
      <c r="AG46" s="161" t="e">
        <f t="shared" si="74"/>
        <v>#DIV/0!</v>
      </c>
      <c r="AH46" s="161">
        <f t="shared" si="74"/>
        <v>0</v>
      </c>
      <c r="AI46" s="161" t="e">
        <f t="shared" si="74"/>
        <v>#DIV/0!</v>
      </c>
      <c r="AJ46" s="161">
        <f t="shared" si="74"/>
        <v>0</v>
      </c>
      <c r="AK46" s="161" t="e">
        <f t="shared" si="74"/>
        <v>#DIV/0!</v>
      </c>
      <c r="AL46" s="161">
        <f t="shared" ref="AL46:BQ46" si="75">AL11-AL45</f>
        <v>0</v>
      </c>
      <c r="AM46" s="161" t="e">
        <f t="shared" si="75"/>
        <v>#DIV/0!</v>
      </c>
      <c r="AN46" s="161">
        <f t="shared" si="75"/>
        <v>0</v>
      </c>
      <c r="AO46" s="161" t="e">
        <f t="shared" si="75"/>
        <v>#DIV/0!</v>
      </c>
      <c r="AP46" s="161">
        <f t="shared" si="75"/>
        <v>0</v>
      </c>
      <c r="AQ46" s="161" t="e">
        <f t="shared" si="75"/>
        <v>#DIV/0!</v>
      </c>
      <c r="AR46" s="161">
        <f t="shared" si="75"/>
        <v>0</v>
      </c>
      <c r="AS46" s="161" t="e">
        <f t="shared" si="75"/>
        <v>#DIV/0!</v>
      </c>
      <c r="AT46" s="161">
        <f t="shared" si="75"/>
        <v>0</v>
      </c>
      <c r="AU46" s="161" t="e">
        <f t="shared" si="75"/>
        <v>#DIV/0!</v>
      </c>
      <c r="AV46" s="161">
        <f t="shared" si="75"/>
        <v>0</v>
      </c>
      <c r="AW46" s="161" t="e">
        <f t="shared" si="75"/>
        <v>#DIV/0!</v>
      </c>
      <c r="AX46" s="161">
        <f t="shared" si="75"/>
        <v>0</v>
      </c>
      <c r="AY46" s="161" t="e">
        <f t="shared" si="75"/>
        <v>#DIV/0!</v>
      </c>
      <c r="AZ46" s="161">
        <f t="shared" si="75"/>
        <v>0</v>
      </c>
      <c r="BA46" s="161" t="e">
        <f t="shared" si="75"/>
        <v>#DIV/0!</v>
      </c>
      <c r="BB46" s="161">
        <f t="shared" si="75"/>
        <v>0</v>
      </c>
      <c r="BC46" s="161" t="e">
        <f t="shared" si="75"/>
        <v>#DIV/0!</v>
      </c>
      <c r="BD46" s="161">
        <f t="shared" si="75"/>
        <v>0</v>
      </c>
      <c r="BE46" s="161" t="e">
        <f t="shared" si="75"/>
        <v>#DIV/0!</v>
      </c>
      <c r="BF46" s="161">
        <f t="shared" si="75"/>
        <v>0</v>
      </c>
      <c r="BG46" s="161" t="e">
        <f t="shared" si="75"/>
        <v>#DIV/0!</v>
      </c>
      <c r="BH46" s="161">
        <f t="shared" si="75"/>
        <v>0</v>
      </c>
      <c r="BI46" s="161" t="e">
        <f t="shared" si="75"/>
        <v>#DIV/0!</v>
      </c>
      <c r="BJ46" s="161">
        <f t="shared" si="75"/>
        <v>0</v>
      </c>
      <c r="BK46" s="161" t="e">
        <f t="shared" si="75"/>
        <v>#DIV/0!</v>
      </c>
      <c r="BL46" s="161">
        <f t="shared" si="75"/>
        <v>0</v>
      </c>
      <c r="BM46" s="161" t="e">
        <f t="shared" si="75"/>
        <v>#DIV/0!</v>
      </c>
      <c r="BN46" s="161">
        <f t="shared" si="75"/>
        <v>0</v>
      </c>
      <c r="BO46" s="161" t="e">
        <f t="shared" si="75"/>
        <v>#DIV/0!</v>
      </c>
      <c r="BP46" s="161">
        <f t="shared" si="75"/>
        <v>0</v>
      </c>
      <c r="BQ46" s="161" t="e">
        <f t="shared" si="75"/>
        <v>#DIV/0!</v>
      </c>
      <c r="BR46" s="161">
        <f t="shared" ref="BR46:CG46" si="76">BR11-BR45</f>
        <v>0</v>
      </c>
      <c r="BS46" s="161" t="e">
        <f t="shared" si="76"/>
        <v>#DIV/0!</v>
      </c>
      <c r="BT46" s="161">
        <f t="shared" si="76"/>
        <v>0</v>
      </c>
      <c r="BU46" s="161" t="e">
        <f t="shared" si="76"/>
        <v>#DIV/0!</v>
      </c>
      <c r="BV46" s="161">
        <f t="shared" si="76"/>
        <v>0</v>
      </c>
      <c r="BW46" s="161" t="e">
        <f t="shared" si="76"/>
        <v>#DIV/0!</v>
      </c>
      <c r="BX46" s="161">
        <f t="shared" si="76"/>
        <v>0</v>
      </c>
      <c r="BY46" s="161" t="e">
        <f t="shared" si="76"/>
        <v>#DIV/0!</v>
      </c>
      <c r="BZ46" s="161">
        <f t="shared" si="76"/>
        <v>0</v>
      </c>
      <c r="CA46" s="161" t="e">
        <f t="shared" si="76"/>
        <v>#DIV/0!</v>
      </c>
      <c r="CB46" s="161">
        <f t="shared" si="76"/>
        <v>0</v>
      </c>
      <c r="CC46" s="161" t="e">
        <f t="shared" si="76"/>
        <v>#DIV/0!</v>
      </c>
      <c r="CD46" s="161">
        <f t="shared" si="76"/>
        <v>0</v>
      </c>
      <c r="CE46" s="161" t="e">
        <f t="shared" si="76"/>
        <v>#DIV/0!</v>
      </c>
      <c r="CF46" s="161">
        <f t="shared" si="76"/>
        <v>0</v>
      </c>
      <c r="CG46" s="161" t="e">
        <f t="shared" si="76"/>
        <v>#DIV/0!</v>
      </c>
      <c r="CH46" s="473"/>
      <c r="CI46" s="161" t="e">
        <f t="shared" ref="CI46:CO46" si="77">CI11-CI45</f>
        <v>#DIV/0!</v>
      </c>
      <c r="CJ46" s="161" t="e">
        <f t="shared" si="77"/>
        <v>#DIV/0!</v>
      </c>
      <c r="CK46" s="161" t="e">
        <f t="shared" si="77"/>
        <v>#DIV/0!</v>
      </c>
      <c r="CL46" s="161" t="e">
        <f t="shared" si="77"/>
        <v>#DIV/0!</v>
      </c>
      <c r="CM46" s="161">
        <f t="shared" si="77"/>
        <v>0</v>
      </c>
      <c r="CN46" s="161" t="e">
        <f t="shared" si="77"/>
        <v>#DIV/0!</v>
      </c>
      <c r="CO46" s="162">
        <f t="shared" si="77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A1_A_L1+A1_B_L1+A1_C_L1+A1_D_L1+A1_Y_L1+A1_Z_L1+A1_X_L1</f>
        <v>7000</v>
      </c>
      <c r="G47" s="479"/>
      <c r="H47" s="478">
        <f>A1_A_L2+A1_B_L2+A1_C_L2+A1_D_L2+A1_Y_L2+A1_Z_L2+A1_X_L2</f>
        <v>0</v>
      </c>
      <c r="I47" s="479"/>
      <c r="J47" s="478">
        <f>A1_A_L3+A1_B_L3+A1_C_L3+A1_D_L3+A1_Y_L3+A1_Z_L3+A1_X_L3</f>
        <v>0</v>
      </c>
      <c r="K47" s="479"/>
      <c r="L47" s="478">
        <f>A1_A_L4+A1_B_L4+A1_C_L4+A1_D_L4+A1_Y_L4+A1_Z_L4+A1_X_L4</f>
        <v>0</v>
      </c>
      <c r="M47" s="479"/>
      <c r="N47" s="478">
        <f>A1_A_L5+A1_B_L5+A1_C_L5+A1_D_L5+A1_Y_L5+A1_Z_L5+A1_X_L5</f>
        <v>0</v>
      </c>
      <c r="O47" s="479"/>
      <c r="P47" s="478">
        <f>A1_A_L6+A1_B_L6+A1_C_L6+A1_D_L6+A1_Y_L6+A1_Z_L6+A1_X_L6</f>
        <v>0</v>
      </c>
      <c r="Q47" s="479"/>
      <c r="R47" s="478">
        <f>A1_A_L7+A1_B_L7+A1_C_L7+A1_D_L7+A1_Y_L7+A1_Z_L7+A1_X_L7</f>
        <v>0</v>
      </c>
      <c r="S47" s="479"/>
      <c r="T47" s="478">
        <f>A1_A_L8+A1_B_L8+A1_C_L8+A1_D_L8+A1_Y_L8+A1_Z_L8+A1_X_L8</f>
        <v>0</v>
      </c>
      <c r="U47" s="479"/>
      <c r="V47" s="478">
        <f>A1_A_L9+A1_B_L9+A1_C_L9+A1_D_L9+A1_Y_L9+A1_Z_L9+A1_X_L9</f>
        <v>0</v>
      </c>
      <c r="W47" s="479"/>
      <c r="X47" s="478">
        <f>A1_A_L10+A1_B_L10+A1_C_L10+A1_D_L10+A1_Y_L10+A1_Z_L10+A1_X_L10</f>
        <v>0</v>
      </c>
      <c r="Y47" s="479"/>
      <c r="Z47" s="478">
        <f>A1_A_L11+A1_B_L11+A1_C_L11+A1_D_L11+A1_Y_L11+A1_Z_L11+A1_X_L11</f>
        <v>0</v>
      </c>
      <c r="AA47" s="479"/>
      <c r="AB47" s="478">
        <f>A1_A_L12+A1_B_L12+A1_C_L12+A1_D_L12+A1_Y_L12+A1_Z_L12+A1_X_L12</f>
        <v>0</v>
      </c>
      <c r="AC47" s="479"/>
      <c r="AD47" s="478">
        <f>A1_A_L13+A1_B_L13+A1_C_L13+A1_D_L13+A1_Y_L13+A1_Z_L13+A1_X_L13</f>
        <v>0</v>
      </c>
      <c r="AE47" s="479"/>
      <c r="AF47" s="478">
        <f>A1_A_L14+A1_B_L14+A1_C_L14+A1_D_L14+A1_Y_L14+A1_Z_L14+A1_X_L14</f>
        <v>0</v>
      </c>
      <c r="AG47" s="479"/>
      <c r="AH47" s="478">
        <f>A1_A_L15+A1_B_L15+A1_C_L15+A1_D_L15+A1_Y_L15+A1_Z_L15+A1_X_L15</f>
        <v>0</v>
      </c>
      <c r="AI47" s="479"/>
      <c r="AJ47" s="478">
        <f>A1_A_L16+A1_B_L16+A1_C_L16+A1_D_L16+A1_Y_L16+A1_Z_L16+A1_X_L16</f>
        <v>0</v>
      </c>
      <c r="AK47" s="479"/>
      <c r="AL47" s="478">
        <f>A1_A_L17+A1_B_L17+A1_C_L17+A1_D_L17+A1_Y_L17+A1_Z_L17+A1_X_L17</f>
        <v>0</v>
      </c>
      <c r="AM47" s="479"/>
      <c r="AN47" s="478">
        <f>A1_A_L18+A1_B_L18+A1_C_L18+A1_D_L18+A1_Y_L18+A1_Z_L18+A1_X_L18</f>
        <v>0</v>
      </c>
      <c r="AO47" s="479"/>
      <c r="AP47" s="478">
        <f>A1_A_L19+A1_B_L19+A1_C_L19+A1_D_L19+A1_Y_L19+A1_Z_L19+A1_X_L19</f>
        <v>0</v>
      </c>
      <c r="AQ47" s="479"/>
      <c r="AR47" s="478">
        <f>A1_A_L20+A1_B_L20+A1_C_L20+A1_D_L20+A1_Y_L20+A1_Z_L20+A1_X_L20</f>
        <v>0</v>
      </c>
      <c r="AS47" s="479"/>
      <c r="AT47" s="478">
        <f>A1_A_L21+A1_B_L21+A1_C_L21+A1_D_L21+A1_Y_L21+A1_Z_L21+A1_X_L21</f>
        <v>0</v>
      </c>
      <c r="AU47" s="479"/>
      <c r="AV47" s="478">
        <f>A1_A_L22+A1_B_L22+A1_C_L22+A1_D_L22+A1_Y_L22+A1_Z_L22+A1_X_L22</f>
        <v>0</v>
      </c>
      <c r="AW47" s="479"/>
      <c r="AX47" s="478">
        <f>A1_A_L23+A1_B_L23+A1_C_L23+A1_D_L23+A1_Y_L23+A1_Z_L23+A1_X_L23</f>
        <v>0</v>
      </c>
      <c r="AY47" s="479"/>
      <c r="AZ47" s="478">
        <f>A1_A_L24+A1_B_L24+A1_C_L24+A1_D_L24+A1_Y_L24+A1_Z_L24+A1_X_L24</f>
        <v>0</v>
      </c>
      <c r="BA47" s="479"/>
      <c r="BB47" s="478">
        <f>A1_A_L25+A1_B_L25+A1_C_L25+A1_D_L25+A1_Y_L25+A1_Z_L25+A1_X_L25</f>
        <v>0</v>
      </c>
      <c r="BC47" s="479"/>
      <c r="BD47" s="478">
        <f>A1_A_L26+A1_B_L26+A1_C_L26+A1_D_L26+A1_Y_L26+A1_Z_L26+A1_X_L26</f>
        <v>0</v>
      </c>
      <c r="BE47" s="479"/>
      <c r="BF47" s="478">
        <f>A1_A_L27+A1_B_L27+A1_C_L27+A1_D_L27+A1_Y_L27+A1_Z_L27+A1_X_L27</f>
        <v>0</v>
      </c>
      <c r="BG47" s="479"/>
      <c r="BH47" s="478">
        <f>A1_A_L28+A1_B_L28+A1_C_L28+A1_D_L28+A1_Y_L28+A1_Z_L28+A1_X_L28</f>
        <v>0</v>
      </c>
      <c r="BI47" s="479"/>
      <c r="BJ47" s="478">
        <f>A1_A_L29+A1_B_L29+A1_C_L29+A1_D_L29+A1_Y_L29+A1_Z_L29+A1_X_L29</f>
        <v>0</v>
      </c>
      <c r="BK47" s="479"/>
      <c r="BL47" s="478">
        <f>A1_A_L30+A1_B_L30+A1_C_L30+A1_D_L30+A1_Y_L30+A1_Z_L30+A1_X_L30</f>
        <v>0</v>
      </c>
      <c r="BM47" s="479"/>
      <c r="BN47" s="478">
        <f>A1_A_L31+A1_B_L31+A1_C_L31+A1_D_L31+A1_Y_L31+A1_Z_L31+A1_X_L31</f>
        <v>0</v>
      </c>
      <c r="BO47" s="479"/>
      <c r="BP47" s="478">
        <f>A1_A_L32+A1_B_L32+A1_C_L32+A1_D_L32+A1_Y_L32+A1_Z_L32+A1_X_L32</f>
        <v>0</v>
      </c>
      <c r="BQ47" s="479"/>
      <c r="BR47" s="478">
        <f>A1_A_L33+A1_B_L33+A1_C_L33+A1_D_L33+A1_Y_L33+A1_Z_L33+A1_X_L33</f>
        <v>0</v>
      </c>
      <c r="BS47" s="479"/>
      <c r="BT47" s="478">
        <f>A1_A_L34+A1_B_L34+A1_C_L34+A1_D_L34+A1_Y_L34+A1_Z_L34+A1_X_L34</f>
        <v>0</v>
      </c>
      <c r="BU47" s="479"/>
      <c r="BV47" s="478">
        <f>A1_A_L35+A1_B_L35+A1_C_L35+A1_D_L35+A1_Y_L35+A1_Z_L35+A1_X_L35</f>
        <v>0</v>
      </c>
      <c r="BW47" s="479"/>
      <c r="BX47" s="478">
        <f>A1_A_L36+A1_B_L36+A1_C_L36+A1_D_L36+A1_Y_L36+A1_Z_L36+A1_X_L36</f>
        <v>0</v>
      </c>
      <c r="BY47" s="479"/>
      <c r="BZ47" s="478">
        <f>A1_A_L37+A1_B_L37+A1_C_L37+A1_D_L37+A1_Y_L37+A1_Z_L37+A1_X_L37</f>
        <v>0</v>
      </c>
      <c r="CA47" s="479"/>
      <c r="CB47" s="478">
        <f>A1_A_L38+A1_B_L38+A1_C_L38+A1_D_L38+A1_Y_L38+A1_Z_L38+A1_X_L38</f>
        <v>0</v>
      </c>
      <c r="CC47" s="479"/>
      <c r="CD47" s="478">
        <f>A1_A_L39+A1_B_L39+A1_C_L39+A1_D_L39+A1_Y_L39+A1_Z_L39+A1_X_L39</f>
        <v>0</v>
      </c>
      <c r="CE47" s="479"/>
      <c r="CF47" s="478">
        <f>A1_A_L40+A1_B_L40+A1_C_L40+A1_D_L40+A1_Y_L40+A1_Z_L40+A1_X_L40</f>
        <v>0</v>
      </c>
      <c r="CG47" s="479"/>
      <c r="CH47" s="473"/>
      <c r="CI47" s="118">
        <f>Plantas_A_A1</f>
        <v>0</v>
      </c>
      <c r="CJ47" s="119">
        <f>Plantas_B_A1</f>
        <v>0</v>
      </c>
      <c r="CK47" s="119">
        <f>Plantas_C_A1</f>
        <v>0</v>
      </c>
      <c r="CL47" s="119">
        <f>Plantas_D_A1</f>
        <v>7000</v>
      </c>
      <c r="CM47" s="119">
        <f>Plantas_Z_A1</f>
        <v>0</v>
      </c>
      <c r="CN47" s="119">
        <f>Plantas_Y_A1</f>
        <v>0</v>
      </c>
      <c r="CO47" s="120">
        <f>Plantas_X_A1</f>
        <v>0</v>
      </c>
    </row>
    <row r="48" spans="1:93" s="103" customFormat="1" ht="39.950000000000003" customHeight="1" thickBot="1" x14ac:dyDescent="0.35">
      <c r="A48" s="121" t="s">
        <v>93</v>
      </c>
      <c r="B48" s="122" t="e">
        <f>B45/(B7/6.25)</f>
        <v>#DIV/0!</v>
      </c>
      <c r="C48" s="123">
        <f>C45/(B7/6.25)</f>
        <v>0</v>
      </c>
      <c r="D48" s="124" t="e">
        <f>B48-C48</f>
        <v>#DIV/0!</v>
      </c>
      <c r="E48" s="473"/>
      <c r="F48" s="123">
        <f>F45/(F7/6.25)</f>
        <v>0</v>
      </c>
      <c r="G48" s="123">
        <f>G45/(F7/6.25)</f>
        <v>0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78">CI7-CI13</f>
        <v>0</v>
      </c>
      <c r="CJ48" s="123">
        <f t="shared" si="78"/>
        <v>0</v>
      </c>
      <c r="CK48" s="123">
        <f t="shared" si="78"/>
        <v>0</v>
      </c>
      <c r="CL48" s="123">
        <f t="shared" si="78"/>
        <v>70</v>
      </c>
      <c r="CM48" s="123">
        <f t="shared" si="78"/>
        <v>0</v>
      </c>
      <c r="CN48" s="123">
        <f t="shared" si="78"/>
        <v>0</v>
      </c>
      <c r="CO48" s="124">
        <f t="shared" si="78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Ewqir8fx9Ku575ZKS8nnRWSgEIaLR9iUBGY6K/OKdec17yc3KnYF9w6t6LIZY6VgdJCZVuFkoCXaeTZaGRQPdg==" saltValue="N5a7AUCJ5PVcOocUyXk+KA==" spinCount="100000" sheet="1" objects="1" scenarios="1" formatColumns="0"/>
  <mergeCells count="86">
    <mergeCell ref="A2:D2"/>
    <mergeCell ref="J4:K4"/>
    <mergeCell ref="J47:K47"/>
    <mergeCell ref="L47:M47"/>
    <mergeCell ref="N47:O47"/>
    <mergeCell ref="L4:M4"/>
    <mergeCell ref="N4:O4"/>
    <mergeCell ref="B47:C47"/>
    <mergeCell ref="F47:G47"/>
    <mergeCell ref="H47:I47"/>
    <mergeCell ref="B4:C4"/>
    <mergeCell ref="F4:G4"/>
    <mergeCell ref="H4:I4"/>
    <mergeCell ref="V47:W47"/>
    <mergeCell ref="V4:W4"/>
    <mergeCell ref="X4:Y4"/>
    <mergeCell ref="X47:Y47"/>
    <mergeCell ref="Z47:AA47"/>
    <mergeCell ref="Z4:AA4"/>
    <mergeCell ref="P4:Q4"/>
    <mergeCell ref="P47:Q47"/>
    <mergeCell ref="R47:S47"/>
    <mergeCell ref="R4:S4"/>
    <mergeCell ref="T4:U4"/>
    <mergeCell ref="T47:U47"/>
    <mergeCell ref="AH4:AI4"/>
    <mergeCell ref="AH47:AI47"/>
    <mergeCell ref="AJ47:AK47"/>
    <mergeCell ref="AJ4:AK4"/>
    <mergeCell ref="AL4:AM4"/>
    <mergeCell ref="AL47:AM47"/>
    <mergeCell ref="AB4:AC4"/>
    <mergeCell ref="AD4:AE4"/>
    <mergeCell ref="AB47:AC47"/>
    <mergeCell ref="AD47:AE47"/>
    <mergeCell ref="AF47:AG47"/>
    <mergeCell ref="AF4:AG4"/>
    <mergeCell ref="AT47:AU47"/>
    <mergeCell ref="AT4:AU4"/>
    <mergeCell ref="AV4:AW4"/>
    <mergeCell ref="AV47:AW47"/>
    <mergeCell ref="AX47:AY47"/>
    <mergeCell ref="AX4:AY4"/>
    <mergeCell ref="AN4:AO4"/>
    <mergeCell ref="AN47:AO47"/>
    <mergeCell ref="AP4:AQ4"/>
    <mergeCell ref="AP47:AQ47"/>
    <mergeCell ref="AR4:AS4"/>
    <mergeCell ref="AR47:AS47"/>
    <mergeCell ref="BT47:BU47"/>
    <mergeCell ref="BT4:BU4"/>
    <mergeCell ref="BV4:BW4"/>
    <mergeCell ref="BV47:BW47"/>
    <mergeCell ref="AZ4:BA4"/>
    <mergeCell ref="AZ47:BA47"/>
    <mergeCell ref="BB47:BC47"/>
    <mergeCell ref="BB4:BC4"/>
    <mergeCell ref="BD4:BE4"/>
    <mergeCell ref="BD47:BE47"/>
    <mergeCell ref="BF47:BG47"/>
    <mergeCell ref="BF4:BG4"/>
    <mergeCell ref="BH4:BI4"/>
    <mergeCell ref="BH47:BI47"/>
    <mergeCell ref="BJ47:BK47"/>
    <mergeCell ref="BJ4:BK4"/>
    <mergeCell ref="BN47:BO47"/>
    <mergeCell ref="BP47:BQ47"/>
    <mergeCell ref="BP4:BQ4"/>
    <mergeCell ref="BR4:BS4"/>
    <mergeCell ref="BR47:BS47"/>
    <mergeCell ref="CH4:CH49"/>
    <mergeCell ref="E4:E49"/>
    <mergeCell ref="A50:C50"/>
    <mergeCell ref="CD4:CE4"/>
    <mergeCell ref="CD47:CE47"/>
    <mergeCell ref="CF47:CG47"/>
    <mergeCell ref="CF4:CG4"/>
    <mergeCell ref="BX47:BY47"/>
    <mergeCell ref="BX4:BY4"/>
    <mergeCell ref="BZ4:CA4"/>
    <mergeCell ref="BZ47:CA47"/>
    <mergeCell ref="CB47:CC47"/>
    <mergeCell ref="CB4:CC4"/>
    <mergeCell ref="BL4:BM4"/>
    <mergeCell ref="BL47:BM47"/>
    <mergeCell ref="BN4:BO4"/>
  </mergeCells>
  <hyperlinks>
    <hyperlink ref="CH1" location="Inicio!A15" display="Regresar" xr:uid="{797E8EAE-0755-0F4F-9DB0-96FF246C737A}"/>
    <hyperlink ref="A1" location="Inicio!A13" display="Regresar" xr:uid="{C48590FC-6C1D-49EF-90B6-0FC038D55D6E}"/>
  </hyperlinks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3C8509-B580-9147-B5A5-F2C872CABB13}">
  <sheetPr codeName="Hoja9"/>
  <dimension ref="A1:CP50"/>
  <sheetViews>
    <sheetView showGridLines="0" zoomScale="60" zoomScaleNormal="60" workbookViewId="0">
      <pane xSplit="1" ySplit="5" topLeftCell="B43" activePane="bottomRight" state="frozen"/>
      <selection pane="topRight" activeCell="CJ14" sqref="CJ14"/>
      <selection pane="bottomLeft" activeCell="CJ14" sqref="CJ14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5">
      <c r="A1" s="374" t="s">
        <v>21</v>
      </c>
      <c r="B1" s="223"/>
      <c r="C1" s="223"/>
      <c r="D1" s="223"/>
      <c r="E1" s="223"/>
      <c r="F1" s="223"/>
      <c r="G1" s="223"/>
      <c r="H1" s="223"/>
      <c r="I1" s="223"/>
      <c r="J1" s="223"/>
      <c r="K1" s="223"/>
      <c r="L1" s="223"/>
      <c r="M1" s="223"/>
      <c r="N1" s="223"/>
      <c r="O1" s="223"/>
      <c r="P1" s="223"/>
      <c r="Q1" s="223"/>
      <c r="R1" s="223"/>
      <c r="S1" s="223"/>
      <c r="T1" s="223"/>
      <c r="U1" s="223"/>
      <c r="V1" s="223"/>
      <c r="W1" s="223"/>
      <c r="X1" s="223"/>
      <c r="Y1" s="223"/>
      <c r="Z1" s="223"/>
      <c r="AA1" s="223"/>
      <c r="AB1" s="223"/>
      <c r="AC1" s="223"/>
      <c r="AD1" s="223"/>
      <c r="AE1" s="223"/>
      <c r="AF1" s="223"/>
      <c r="AG1" s="223"/>
      <c r="AH1" s="223"/>
      <c r="AI1" s="223"/>
      <c r="AJ1" s="223"/>
      <c r="AK1" s="223"/>
      <c r="AL1" s="223"/>
      <c r="AM1" s="223"/>
      <c r="AN1" s="223"/>
      <c r="AO1" s="223"/>
      <c r="AP1" s="223"/>
      <c r="AQ1" s="223"/>
      <c r="AR1" s="223"/>
      <c r="AS1" s="223"/>
      <c r="AT1" s="223"/>
      <c r="AU1" s="223"/>
      <c r="AV1" s="223"/>
      <c r="AW1" s="223"/>
      <c r="AX1" s="223"/>
      <c r="AY1" s="223"/>
      <c r="AZ1" s="223"/>
      <c r="BA1" s="223"/>
      <c r="BB1" s="223"/>
      <c r="BC1" s="223"/>
      <c r="BD1" s="223"/>
      <c r="BE1" s="223"/>
      <c r="BF1" s="223"/>
      <c r="BG1" s="223"/>
      <c r="BH1" s="223"/>
      <c r="BI1" s="223"/>
      <c r="BJ1" s="223"/>
      <c r="BK1" s="223"/>
      <c r="BL1" s="223"/>
      <c r="BM1" s="223"/>
      <c r="BN1" s="223"/>
      <c r="BO1" s="223"/>
      <c r="BP1" s="223"/>
      <c r="BQ1" s="223"/>
      <c r="BR1" s="223"/>
      <c r="BS1" s="223"/>
      <c r="BT1" s="223"/>
      <c r="BU1" s="223"/>
      <c r="BV1" s="223"/>
      <c r="BW1" s="223"/>
      <c r="BX1" s="223"/>
      <c r="BY1" s="223"/>
      <c r="BZ1" s="223"/>
      <c r="CA1" s="223"/>
      <c r="CB1" s="223"/>
      <c r="CC1" s="223"/>
      <c r="CD1" s="223"/>
      <c r="CE1" s="223"/>
      <c r="CF1" s="223"/>
      <c r="CG1" s="223"/>
      <c r="CH1" s="217"/>
      <c r="CI1" s="223"/>
      <c r="CJ1" s="223"/>
      <c r="CK1" s="223"/>
      <c r="CL1" s="223"/>
      <c r="CM1" s="223"/>
      <c r="CN1" s="223"/>
      <c r="CO1" s="223"/>
    </row>
    <row r="2" spans="1:93" s="59" customFormat="1" ht="50.1" customHeight="1" thickBot="1" x14ac:dyDescent="0.3">
      <c r="A2" s="480" t="str">
        <f>CONCATENATE("Planificación financiera ",Up," | Presupuesto y ejecución ",Año_Inicial+1)</f>
        <v>Planificación financiera  | Presupuesto y ejecución 2024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88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89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89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89"/>
      <c r="F7" s="97">
        <f>P_A2_L1</f>
        <v>0</v>
      </c>
      <c r="G7" s="96" t="e">
        <f>G40/CUI_Corte</f>
        <v>#DIV/0!</v>
      </c>
      <c r="H7" s="97">
        <f>P_A2_L2</f>
        <v>0</v>
      </c>
      <c r="I7" s="96" t="e">
        <f>I40/CUI_Corte</f>
        <v>#DIV/0!</v>
      </c>
      <c r="J7" s="97">
        <f>P_A2_L3</f>
        <v>0</v>
      </c>
      <c r="K7" s="96" t="e">
        <f>K40/CUI_Corte</f>
        <v>#DIV/0!</v>
      </c>
      <c r="L7" s="97">
        <f>P_A2_L4</f>
        <v>0</v>
      </c>
      <c r="M7" s="96" t="e">
        <f>M40/CUI_Corte</f>
        <v>#DIV/0!</v>
      </c>
      <c r="N7" s="97">
        <f>P_A2_L5</f>
        <v>0</v>
      </c>
      <c r="O7" s="96" t="e">
        <f>O40/CUI_Corte</f>
        <v>#DIV/0!</v>
      </c>
      <c r="P7" s="97">
        <f>P_A2_L6</f>
        <v>0</v>
      </c>
      <c r="Q7" s="96" t="e">
        <f>Q40/CUI_Corte</f>
        <v>#DIV/0!</v>
      </c>
      <c r="R7" s="97">
        <f>P_A2_L7</f>
        <v>0</v>
      </c>
      <c r="S7" s="96" t="e">
        <f>S40/CUI_Corte</f>
        <v>#DIV/0!</v>
      </c>
      <c r="T7" s="97">
        <f>P_A2_L8</f>
        <v>0</v>
      </c>
      <c r="U7" s="96" t="e">
        <f>U40/CUI_Corte</f>
        <v>#DIV/0!</v>
      </c>
      <c r="V7" s="97">
        <f>P_A2_L9</f>
        <v>0</v>
      </c>
      <c r="W7" s="96" t="e">
        <f>W40/CUI_Corte</f>
        <v>#DIV/0!</v>
      </c>
      <c r="X7" s="97">
        <f>P_A2_L10</f>
        <v>0</v>
      </c>
      <c r="Y7" s="96" t="e">
        <f>Y40/CUI_Corte</f>
        <v>#DIV/0!</v>
      </c>
      <c r="Z7" s="97">
        <f>P_A2_L11</f>
        <v>0</v>
      </c>
      <c r="AA7" s="96" t="e">
        <f>AA40/CUI_Corte</f>
        <v>#DIV/0!</v>
      </c>
      <c r="AB7" s="97">
        <f>P_A2_L12</f>
        <v>0</v>
      </c>
      <c r="AC7" s="96" t="e">
        <f>AC40/CUI_Corte</f>
        <v>#DIV/0!</v>
      </c>
      <c r="AD7" s="97">
        <f>P_A2_L13</f>
        <v>0</v>
      </c>
      <c r="AE7" s="96" t="e">
        <f>AE40/CUI_Corte</f>
        <v>#DIV/0!</v>
      </c>
      <c r="AF7" s="97">
        <f>P_A2_L14</f>
        <v>0</v>
      </c>
      <c r="AG7" s="96" t="e">
        <f>AG40/CUI_Corte</f>
        <v>#DIV/0!</v>
      </c>
      <c r="AH7" s="97">
        <f>P_A2_L15</f>
        <v>0</v>
      </c>
      <c r="AI7" s="96" t="e">
        <f>AI40/CUI_Corte</f>
        <v>#DIV/0!</v>
      </c>
      <c r="AJ7" s="97">
        <f>P_A2_L16</f>
        <v>0</v>
      </c>
      <c r="AK7" s="96" t="e">
        <f>AK40/CUI_Corte</f>
        <v>#DIV/0!</v>
      </c>
      <c r="AL7" s="97">
        <f>P_A2_L17</f>
        <v>0</v>
      </c>
      <c r="AM7" s="96" t="e">
        <f>AM40/CUI_Corte</f>
        <v>#DIV/0!</v>
      </c>
      <c r="AN7" s="97">
        <f>P_A2_L18</f>
        <v>0</v>
      </c>
      <c r="AO7" s="96" t="e">
        <f>AO40/CUI_Corte</f>
        <v>#DIV/0!</v>
      </c>
      <c r="AP7" s="97">
        <f>P_A2_L19</f>
        <v>0</v>
      </c>
      <c r="AQ7" s="96" t="e">
        <f>AQ40/CUI_Corte</f>
        <v>#DIV/0!</v>
      </c>
      <c r="AR7" s="97">
        <f>P_A2_L20</f>
        <v>0</v>
      </c>
      <c r="AS7" s="96" t="e">
        <f>AS40/CUI_Corte</f>
        <v>#DIV/0!</v>
      </c>
      <c r="AT7" s="97">
        <f>P_A2_L21</f>
        <v>0</v>
      </c>
      <c r="AU7" s="96" t="e">
        <f>AU40/CUI_Corte</f>
        <v>#DIV/0!</v>
      </c>
      <c r="AV7" s="97">
        <f>P_A2_L22</f>
        <v>0</v>
      </c>
      <c r="AW7" s="96" t="e">
        <f>AW40/CUI_Corte</f>
        <v>#DIV/0!</v>
      </c>
      <c r="AX7" s="97">
        <f>P_A2_L23</f>
        <v>0</v>
      </c>
      <c r="AY7" s="96" t="e">
        <f>AY40/CUI_Corte</f>
        <v>#DIV/0!</v>
      </c>
      <c r="AZ7" s="97">
        <f>P_A2_L24</f>
        <v>0</v>
      </c>
      <c r="BA7" s="96" t="e">
        <f>BA40/CUI_Corte</f>
        <v>#DIV/0!</v>
      </c>
      <c r="BB7" s="97">
        <f>P_A2_L25</f>
        <v>0</v>
      </c>
      <c r="BC7" s="96" t="e">
        <f>BC40/CUI_Corte</f>
        <v>#DIV/0!</v>
      </c>
      <c r="BD7" s="97">
        <f>P_A2_L26</f>
        <v>0</v>
      </c>
      <c r="BE7" s="96" t="e">
        <f>BE40/CUI_Corte</f>
        <v>#DIV/0!</v>
      </c>
      <c r="BF7" s="97">
        <f>P_A2_L27</f>
        <v>0</v>
      </c>
      <c r="BG7" s="96" t="e">
        <f>BG40/CUI_Corte</f>
        <v>#DIV/0!</v>
      </c>
      <c r="BH7" s="97">
        <f>P_A2_L28</f>
        <v>0</v>
      </c>
      <c r="BI7" s="96" t="e">
        <f>BI40/CUI_Corte</f>
        <v>#DIV/0!</v>
      </c>
      <c r="BJ7" s="97">
        <f>P_A2_L29</f>
        <v>0</v>
      </c>
      <c r="BK7" s="96" t="e">
        <f>BK40/CUI_Corte</f>
        <v>#DIV/0!</v>
      </c>
      <c r="BL7" s="97">
        <f>P_A2_L30</f>
        <v>0</v>
      </c>
      <c r="BM7" s="96" t="e">
        <f>BM40/CUI_Corte</f>
        <v>#DIV/0!</v>
      </c>
      <c r="BN7" s="97">
        <f>P_A2_L31</f>
        <v>0</v>
      </c>
      <c r="BO7" s="96" t="e">
        <f>BO40/CUI_Corte</f>
        <v>#DIV/0!</v>
      </c>
      <c r="BP7" s="97">
        <f>P_A2_L32</f>
        <v>0</v>
      </c>
      <c r="BQ7" s="96" t="e">
        <f>BQ40/CUI_Corte</f>
        <v>#DIV/0!</v>
      </c>
      <c r="BR7" s="97">
        <f>P_A2_L33</f>
        <v>0</v>
      </c>
      <c r="BS7" s="96" t="e">
        <f>BS40/CUI_Corte</f>
        <v>#DIV/0!</v>
      </c>
      <c r="BT7" s="97">
        <f>P_A2_L34</f>
        <v>0</v>
      </c>
      <c r="BU7" s="96" t="e">
        <f>BU40/CUI_Corte</f>
        <v>#DIV/0!</v>
      </c>
      <c r="BV7" s="97">
        <f>P_A2_L35</f>
        <v>0</v>
      </c>
      <c r="BW7" s="96" t="e">
        <f>BW40/CUI_Corte</f>
        <v>#DIV/0!</v>
      </c>
      <c r="BX7" s="97">
        <f>P_A2_L36</f>
        <v>0</v>
      </c>
      <c r="BY7" s="96" t="e">
        <f>BY40/CUI_Corte</f>
        <v>#DIV/0!</v>
      </c>
      <c r="BZ7" s="97">
        <f>P_A2_L37</f>
        <v>0</v>
      </c>
      <c r="CA7" s="96" t="e">
        <f>CA40/CUI_Corte</f>
        <v>#DIV/0!</v>
      </c>
      <c r="CB7" s="97">
        <f>P_A2_L38</f>
        <v>0</v>
      </c>
      <c r="CC7" s="96" t="e">
        <f>CC40/CUI_Corte</f>
        <v>#DIV/0!</v>
      </c>
      <c r="CD7" s="97">
        <f>P_A2_L39</f>
        <v>0</v>
      </c>
      <c r="CE7" s="96" t="e">
        <f>CE40/CUI_Corte</f>
        <v>#DIV/0!</v>
      </c>
      <c r="CF7" s="97">
        <f>P_A2_L40</f>
        <v>0</v>
      </c>
      <c r="CG7" s="96" t="e">
        <f>CG40/CUI_Corte</f>
        <v>#DIV/0!</v>
      </c>
      <c r="CH7" s="473"/>
      <c r="CI7" s="96">
        <f>(IF(Diseño="Bloque",Bloque_A2_A,Surco_A2_A)/100)</f>
        <v>0</v>
      </c>
      <c r="CJ7" s="96">
        <f>(IF(Diseño="Bloque",Bloque_A2_B,Surco_A2_B)/100)</f>
        <v>0</v>
      </c>
      <c r="CK7" s="96">
        <f>(IF(Diseño="Bloque",Bloque_A2_C,Surco_A2_C)/100)</f>
        <v>0</v>
      </c>
      <c r="CL7" s="96">
        <f>(IF(Diseño="Bloque",Bloque_A2_D,Surco_A2_D)/100)</f>
        <v>0</v>
      </c>
      <c r="CM7" s="96"/>
      <c r="CN7" s="96">
        <f>(IF(Diseño="Bloque",Bloque_A2_Y,Surco_A2_Y)/100)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",Precio_A2,".00")</f>
        <v>Ventas de café de primera:  0% | Q. .00</v>
      </c>
      <c r="B8" s="100">
        <f>B7*P_Primera*Precio_A2*Inflación_2</f>
        <v>0</v>
      </c>
      <c r="C8" s="100" t="e">
        <f>C7*P_Primera*Precio_A2</f>
        <v>#DIV/0!</v>
      </c>
      <c r="D8" s="100" t="e">
        <f>C8-B8</f>
        <v>#DIV/0!</v>
      </c>
      <c r="E8" s="489"/>
      <c r="F8" s="101">
        <f>P_A2_L1*P_Primera*Precio_A2*Inflación_2</f>
        <v>0</v>
      </c>
      <c r="G8" s="100" t="e">
        <f>G7*P_Primera*Precio_A2</f>
        <v>#DIV/0!</v>
      </c>
      <c r="H8" s="101">
        <f>P_A2_L2*P_Primera*Precio_A2*Inflación_2</f>
        <v>0</v>
      </c>
      <c r="I8" s="100" t="e">
        <f>I7*P_Primera*Precio_A2</f>
        <v>#DIV/0!</v>
      </c>
      <c r="J8" s="101">
        <f>P_A2_L3*P_Primera*Precio_A2*Inflación_2</f>
        <v>0</v>
      </c>
      <c r="K8" s="100" t="e">
        <f>K7*P_Primera*Precio_A2</f>
        <v>#DIV/0!</v>
      </c>
      <c r="L8" s="101">
        <f>P_A2_L4*P_Primera*Precio_A2*Inflación_2</f>
        <v>0</v>
      </c>
      <c r="M8" s="100" t="e">
        <f>M7*P_Primera*Precio_A2</f>
        <v>#DIV/0!</v>
      </c>
      <c r="N8" s="101">
        <f>P_A2_L5*P_Primera*Precio_A2*Inflación_2</f>
        <v>0</v>
      </c>
      <c r="O8" s="100" t="e">
        <f>O7*P_Primera*Precio_A2</f>
        <v>#DIV/0!</v>
      </c>
      <c r="P8" s="101">
        <f>P_A2_L6*P_Primera*Precio_A2*Inflación_2</f>
        <v>0</v>
      </c>
      <c r="Q8" s="100" t="e">
        <f>Q7*P_Primera*Precio_A2</f>
        <v>#DIV/0!</v>
      </c>
      <c r="R8" s="101">
        <f>P_A2_L7*P_Primera*Precio_A2*Inflación_2</f>
        <v>0</v>
      </c>
      <c r="S8" s="100" t="e">
        <f>S7*P_Primera*Precio_A2</f>
        <v>#DIV/0!</v>
      </c>
      <c r="T8" s="101">
        <f>P_A2_L8*P_Primera*Precio_A2*Inflación_2</f>
        <v>0</v>
      </c>
      <c r="U8" s="100" t="e">
        <f>U7*P_Primera*Precio_A2</f>
        <v>#DIV/0!</v>
      </c>
      <c r="V8" s="101">
        <f>P_A2_L9*P_Primera*Precio_A2*Inflación_2</f>
        <v>0</v>
      </c>
      <c r="W8" s="100" t="e">
        <f>W7*P_Primera*Precio_A2</f>
        <v>#DIV/0!</v>
      </c>
      <c r="X8" s="101">
        <f>P_A2_L10*P_Primera*Precio_A2*Inflación_2</f>
        <v>0</v>
      </c>
      <c r="Y8" s="100" t="e">
        <f>Y7*P_Primera*Precio_A2</f>
        <v>#DIV/0!</v>
      </c>
      <c r="Z8" s="101">
        <f>P_A2_L11*P_Primera*Precio_A2*Inflación_2</f>
        <v>0</v>
      </c>
      <c r="AA8" s="100" t="e">
        <f>AA7*P_Primera*Precio_A2</f>
        <v>#DIV/0!</v>
      </c>
      <c r="AB8" s="101">
        <f>P_A2_L12*P_Primera*Precio_A2*Inflación_2</f>
        <v>0</v>
      </c>
      <c r="AC8" s="100" t="e">
        <f>AC7*P_Primera*Precio_A2</f>
        <v>#DIV/0!</v>
      </c>
      <c r="AD8" s="101">
        <f>P_A2_L13*P_Primera*Precio_A2*Inflación_2</f>
        <v>0</v>
      </c>
      <c r="AE8" s="100" t="e">
        <f>AE7*P_Primera*Precio_A2</f>
        <v>#DIV/0!</v>
      </c>
      <c r="AF8" s="101">
        <f>P_A2_L14*P_Primera*Precio_A2*Inflación_2</f>
        <v>0</v>
      </c>
      <c r="AG8" s="100" t="e">
        <f>AG7*P_Primera*Precio_A2</f>
        <v>#DIV/0!</v>
      </c>
      <c r="AH8" s="101">
        <f>P_A2_L15*P_Primera*Precio_A2*Inflación_2</f>
        <v>0</v>
      </c>
      <c r="AI8" s="100" t="e">
        <f>AI7*P_Primera*Precio_A2</f>
        <v>#DIV/0!</v>
      </c>
      <c r="AJ8" s="101">
        <f>P_A2_L16*P_Primera*Precio_A2*Inflación_2</f>
        <v>0</v>
      </c>
      <c r="AK8" s="100" t="e">
        <f>AK7*P_Primera*Precio_A2</f>
        <v>#DIV/0!</v>
      </c>
      <c r="AL8" s="101">
        <f>P_A2_L17*P_Primera*Precio_A2*Inflación_2</f>
        <v>0</v>
      </c>
      <c r="AM8" s="100" t="e">
        <f>AM7*P_Primera*Precio_A2</f>
        <v>#DIV/0!</v>
      </c>
      <c r="AN8" s="101">
        <f>P_A2_L18*P_Primera*Precio_A2*Inflación_2</f>
        <v>0</v>
      </c>
      <c r="AO8" s="100" t="e">
        <f>AO7*P_Primera*Precio_A2</f>
        <v>#DIV/0!</v>
      </c>
      <c r="AP8" s="101">
        <f>P_A2_L19*P_Primera*Precio_A2*Inflación_2</f>
        <v>0</v>
      </c>
      <c r="AQ8" s="100" t="e">
        <f>AQ7*P_Primera*Precio_A2</f>
        <v>#DIV/0!</v>
      </c>
      <c r="AR8" s="101">
        <f>P_A2_L20*P_Primera*Precio_A2*Inflación_2</f>
        <v>0</v>
      </c>
      <c r="AS8" s="100" t="e">
        <f>AS7*P_Primera*Precio_A2</f>
        <v>#DIV/0!</v>
      </c>
      <c r="AT8" s="101">
        <f>P_A2_L21*P_Primera*Precio_A2*Inflación_2</f>
        <v>0</v>
      </c>
      <c r="AU8" s="100" t="e">
        <f>AU7*P_Primera*Precio_A2</f>
        <v>#DIV/0!</v>
      </c>
      <c r="AV8" s="101">
        <f>P_A2_L22*P_Primera*Precio_A2*Inflación_2</f>
        <v>0</v>
      </c>
      <c r="AW8" s="100" t="e">
        <f>AW7*P_Primera*Precio_A2</f>
        <v>#DIV/0!</v>
      </c>
      <c r="AX8" s="101">
        <f>P_A2_L23*P_Primera*Precio_A2*Inflación_2</f>
        <v>0</v>
      </c>
      <c r="AY8" s="100" t="e">
        <f>AY7*P_Primera*Precio_A2</f>
        <v>#DIV/0!</v>
      </c>
      <c r="AZ8" s="101">
        <f>P_A2_L24*P_Primera*Precio_A2*Inflación_2</f>
        <v>0</v>
      </c>
      <c r="BA8" s="100" t="e">
        <f>BA7*P_Primera*Precio_A2</f>
        <v>#DIV/0!</v>
      </c>
      <c r="BB8" s="101">
        <f>P_A2_L25*P_Primera*Precio_A2*Inflación_2</f>
        <v>0</v>
      </c>
      <c r="BC8" s="100" t="e">
        <f>BC7*P_Primera*Precio_A2</f>
        <v>#DIV/0!</v>
      </c>
      <c r="BD8" s="101">
        <f>P_A2_L26*P_Primera*Precio_A2*Inflación_2</f>
        <v>0</v>
      </c>
      <c r="BE8" s="100" t="e">
        <f>BE7*P_Primera*Precio_A2</f>
        <v>#DIV/0!</v>
      </c>
      <c r="BF8" s="101">
        <f>P_A2_L27*P_Primera*Precio_A2*Inflación_2</f>
        <v>0</v>
      </c>
      <c r="BG8" s="100" t="e">
        <f>BG7*P_Primera*Precio_A2</f>
        <v>#DIV/0!</v>
      </c>
      <c r="BH8" s="101">
        <f>P_A2_L28*P_Primera*Precio_A2*Inflación_2</f>
        <v>0</v>
      </c>
      <c r="BI8" s="100" t="e">
        <f>BI7*P_Primera*Precio_A2</f>
        <v>#DIV/0!</v>
      </c>
      <c r="BJ8" s="101">
        <f>P_A2_L29*P_Primera*Precio_A2*Inflación_2</f>
        <v>0</v>
      </c>
      <c r="BK8" s="100" t="e">
        <f>BK7*P_Primera*Precio_A2</f>
        <v>#DIV/0!</v>
      </c>
      <c r="BL8" s="101">
        <f>P_A2_L30*P_Primera*Precio_A2*Inflación_2</f>
        <v>0</v>
      </c>
      <c r="BM8" s="100" t="e">
        <f>BM7*P_Primera*Precio_A2</f>
        <v>#DIV/0!</v>
      </c>
      <c r="BN8" s="101">
        <f>P_A2_L31*P_Primera*Precio_A2*Inflación_2</f>
        <v>0</v>
      </c>
      <c r="BO8" s="100" t="e">
        <f>BO7*P_Primera*Precio_A2</f>
        <v>#DIV/0!</v>
      </c>
      <c r="BP8" s="101">
        <f>P_A2_L32*P_Primera*Precio_A2*Inflación_2</f>
        <v>0</v>
      </c>
      <c r="BQ8" s="100" t="e">
        <f>BQ7*P_Primera*Precio_A2</f>
        <v>#DIV/0!</v>
      </c>
      <c r="BR8" s="101">
        <f>P_A2_L33*P_Primera*Precio_A2*Inflación_2</f>
        <v>0</v>
      </c>
      <c r="BS8" s="100" t="e">
        <f>BS7*P_Primera*Precio_A2</f>
        <v>#DIV/0!</v>
      </c>
      <c r="BT8" s="101">
        <f>P_A2_L34*P_Primera*Precio_A2*Inflación_2</f>
        <v>0</v>
      </c>
      <c r="BU8" s="100" t="e">
        <f>BU7*P_Primera*Precio_A2</f>
        <v>#DIV/0!</v>
      </c>
      <c r="BV8" s="101">
        <f>P_A2_L35*P_Primera*Precio_A2*Inflación_2</f>
        <v>0</v>
      </c>
      <c r="BW8" s="100" t="e">
        <f>BW7*P_Primera*Precio_A2</f>
        <v>#DIV/0!</v>
      </c>
      <c r="BX8" s="101">
        <f>P_A2_L36*P_Primera*Precio_A2*Inflación_2</f>
        <v>0</v>
      </c>
      <c r="BY8" s="100" t="e">
        <f>BY7*P_Primera*Precio_A2</f>
        <v>#DIV/0!</v>
      </c>
      <c r="BZ8" s="101">
        <f>P_A2_L37*P_Primera*Precio_A2*Inflación_2</f>
        <v>0</v>
      </c>
      <c r="CA8" s="100" t="e">
        <f>CA7*P_Primera*Precio_A2</f>
        <v>#DIV/0!</v>
      </c>
      <c r="CB8" s="101">
        <f>P_A2_L38*P_Primera*Precio_A2*Inflación_2</f>
        <v>0</v>
      </c>
      <c r="CC8" s="100" t="e">
        <f>CC7*P_Primera*Precio_A2</f>
        <v>#DIV/0!</v>
      </c>
      <c r="CD8" s="101">
        <f>P_A2_L39*P_Primera*Precio_A2*Inflación_2</f>
        <v>0</v>
      </c>
      <c r="CE8" s="100" t="e">
        <f>CE7*P_Primera*Precio_A2</f>
        <v>#DIV/0!</v>
      </c>
      <c r="CF8" s="101">
        <f>P_A2_L40*P_Primera*Precio_A2*Inflación_2</f>
        <v>0</v>
      </c>
      <c r="CG8" s="100" t="e">
        <f>CG7*P_Primera*Precio_A2</f>
        <v>#DIV/0!</v>
      </c>
      <c r="CH8" s="473"/>
      <c r="CI8" s="101">
        <f>CI7*P_Primera*Precio_A2*Inflación_2</f>
        <v>0</v>
      </c>
      <c r="CJ8" s="101">
        <f>CJ7*P_Primera*Precio_A2*Inflación_2</f>
        <v>0</v>
      </c>
      <c r="CK8" s="101">
        <f>CK7*P_Primera*Precio_A2*Inflación_2</f>
        <v>0</v>
      </c>
      <c r="CL8" s="101">
        <f>CL7*P_Primera*Precio_A2*Inflación_2</f>
        <v>0</v>
      </c>
      <c r="CM8" s="101"/>
      <c r="CN8" s="101">
        <f>CN7*P_Primera*Precio_A2*Inflación_2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B7*P_Segunda*Segunda*Inflación_2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89"/>
      <c r="F9" s="101">
        <f>P_A2_L1*P_Segunda*Segunda*Inflación_2</f>
        <v>0</v>
      </c>
      <c r="G9" s="100" t="e">
        <f t="shared" ref="G9" si="2">G7*P_Segunda*Segunda</f>
        <v>#DIV/0!</v>
      </c>
      <c r="H9" s="101">
        <f>P_A2_L2*P_Segunda*Segunda*Inflación_2</f>
        <v>0</v>
      </c>
      <c r="I9" s="100" t="e">
        <f>I7*P_Segunda*Segunda</f>
        <v>#DIV/0!</v>
      </c>
      <c r="J9" s="101">
        <f>P_A2_L3*P_Segunda*Segunda*Inflación_2</f>
        <v>0</v>
      </c>
      <c r="K9" s="100" t="e">
        <f t="shared" ref="K9" si="3">K7*P_Segunda*Segunda</f>
        <v>#DIV/0!</v>
      </c>
      <c r="L9" s="101">
        <f>P_A2_L4*P_Segunda*Segunda*Inflación_2</f>
        <v>0</v>
      </c>
      <c r="M9" s="100" t="e">
        <f>M7*P_Segunda*Segunda</f>
        <v>#DIV/0!</v>
      </c>
      <c r="N9" s="101">
        <f>P_A2_L5*P_Segunda*Segunda*Inflación_2</f>
        <v>0</v>
      </c>
      <c r="O9" s="100" t="e">
        <f t="shared" ref="O9:Q9" si="4">O7*P_Segunda*Segunda</f>
        <v>#DIV/0!</v>
      </c>
      <c r="P9" s="101">
        <f>P_A2_L6*P_Segunda*Segunda*Inflación_2</f>
        <v>0</v>
      </c>
      <c r="Q9" s="100" t="e">
        <f t="shared" si="4"/>
        <v>#DIV/0!</v>
      </c>
      <c r="R9" s="101">
        <f>P_A2_L7*P_Segunda*Segunda*Inflación_2</f>
        <v>0</v>
      </c>
      <c r="S9" s="100" t="e">
        <f t="shared" ref="S9:U9" si="5">S7*P_Segunda*Segunda</f>
        <v>#DIV/0!</v>
      </c>
      <c r="T9" s="101">
        <f>P_A2_L8*P_Segunda*Segunda*Inflación_2</f>
        <v>0</v>
      </c>
      <c r="U9" s="100" t="e">
        <f t="shared" si="5"/>
        <v>#DIV/0!</v>
      </c>
      <c r="V9" s="101">
        <f>P_A2_L9*P_Segunda*Segunda*Inflación_2</f>
        <v>0</v>
      </c>
      <c r="W9" s="100" t="e">
        <f t="shared" ref="W9:Y9" si="6">W7*P_Segunda*Segunda</f>
        <v>#DIV/0!</v>
      </c>
      <c r="X9" s="101">
        <f>P_A2_L10*P_Segunda*Segunda*Inflación_2</f>
        <v>0</v>
      </c>
      <c r="Y9" s="100" t="e">
        <f t="shared" si="6"/>
        <v>#DIV/0!</v>
      </c>
      <c r="Z9" s="101">
        <f>P_A2_L11*P_Segunda*Segunda*Inflación_2</f>
        <v>0</v>
      </c>
      <c r="AA9" s="100" t="e">
        <f t="shared" ref="AA9:AC9" si="7">AA7*P_Segunda*Segunda</f>
        <v>#DIV/0!</v>
      </c>
      <c r="AB9" s="101">
        <f>P_A2_L12*P_Segunda*Segunda*Inflación_2</f>
        <v>0</v>
      </c>
      <c r="AC9" s="100" t="e">
        <f t="shared" si="7"/>
        <v>#DIV/0!</v>
      </c>
      <c r="AD9" s="101">
        <f>P_A2_L13*P_Segunda*Segunda*Inflación_2</f>
        <v>0</v>
      </c>
      <c r="AE9" s="100" t="e">
        <f t="shared" ref="AE9:AG9" si="8">AE7*P_Segunda*Segunda</f>
        <v>#DIV/0!</v>
      </c>
      <c r="AF9" s="101">
        <f>P_A2_L14*P_Segunda*Segunda*Inflación_2</f>
        <v>0</v>
      </c>
      <c r="AG9" s="100" t="e">
        <f t="shared" si="8"/>
        <v>#DIV/0!</v>
      </c>
      <c r="AH9" s="101">
        <f>P_A2_L15*P_Segunda*Segunda*Inflación_2</f>
        <v>0</v>
      </c>
      <c r="AI9" s="100" t="e">
        <f t="shared" ref="AI9:AK9" si="9">AI7*P_Segunda*Segunda</f>
        <v>#DIV/0!</v>
      </c>
      <c r="AJ9" s="101">
        <f>P_A2_L16*P_Segunda*Segunda*Inflación_2</f>
        <v>0</v>
      </c>
      <c r="AK9" s="100" t="e">
        <f t="shared" si="9"/>
        <v>#DIV/0!</v>
      </c>
      <c r="AL9" s="101">
        <f>P_A2_L17*P_Segunda*Segunda*Inflación_2</f>
        <v>0</v>
      </c>
      <c r="AM9" s="100" t="e">
        <f t="shared" ref="AM9:AO9" si="10">AM7*P_Segunda*Segunda</f>
        <v>#DIV/0!</v>
      </c>
      <c r="AN9" s="101">
        <f>P_A2_L18*P_Segunda*Segunda*Inflación_2</f>
        <v>0</v>
      </c>
      <c r="AO9" s="100" t="e">
        <f t="shared" si="10"/>
        <v>#DIV/0!</v>
      </c>
      <c r="AP9" s="101">
        <f>P_A2_L19*P_Segunda*Segunda*Inflación_2</f>
        <v>0</v>
      </c>
      <c r="AQ9" s="100" t="e">
        <f t="shared" ref="AQ9:AS9" si="11">AQ7*P_Segunda*Segunda</f>
        <v>#DIV/0!</v>
      </c>
      <c r="AR9" s="101">
        <f>P_A2_L20*P_Segunda*Segunda*Inflación_2</f>
        <v>0</v>
      </c>
      <c r="AS9" s="100" t="e">
        <f t="shared" si="11"/>
        <v>#DIV/0!</v>
      </c>
      <c r="AT9" s="101">
        <f>P_A2_L21*P_Segunda*Segunda*Inflación_2</f>
        <v>0</v>
      </c>
      <c r="AU9" s="100" t="e">
        <f t="shared" ref="AU9:AW9" si="12">AU7*P_Segunda*Segunda</f>
        <v>#DIV/0!</v>
      </c>
      <c r="AV9" s="101">
        <f>P_A2_L22*P_Segunda*Segunda*Inflación_2</f>
        <v>0</v>
      </c>
      <c r="AW9" s="100" t="e">
        <f t="shared" si="12"/>
        <v>#DIV/0!</v>
      </c>
      <c r="AX9" s="101">
        <f>P_A2_L23*P_Segunda*Segunda*Inflación_2</f>
        <v>0</v>
      </c>
      <c r="AY9" s="100" t="e">
        <f t="shared" ref="AY9:BA9" si="13">AY7*P_Segunda*Segunda</f>
        <v>#DIV/0!</v>
      </c>
      <c r="AZ9" s="101">
        <f>P_A2_L24*P_Segunda*Segunda*Inflación_2</f>
        <v>0</v>
      </c>
      <c r="BA9" s="100" t="e">
        <f t="shared" si="13"/>
        <v>#DIV/0!</v>
      </c>
      <c r="BB9" s="101">
        <f>P_A2_L25*P_Segunda*Segunda*Inflación_2</f>
        <v>0</v>
      </c>
      <c r="BC9" s="100" t="e">
        <f t="shared" ref="BC9:BE9" si="14">BC7*P_Segunda*Segunda</f>
        <v>#DIV/0!</v>
      </c>
      <c r="BD9" s="101">
        <f>P_A2_L26*P_Segunda*Segunda*Inflación_2</f>
        <v>0</v>
      </c>
      <c r="BE9" s="100" t="e">
        <f t="shared" si="14"/>
        <v>#DIV/0!</v>
      </c>
      <c r="BF9" s="101">
        <f>P_A2_L27*P_Segunda*Segunda*Inflación_2</f>
        <v>0</v>
      </c>
      <c r="BG9" s="100" t="e">
        <f t="shared" ref="BG9:BI9" si="15">BG7*P_Segunda*Segunda</f>
        <v>#DIV/0!</v>
      </c>
      <c r="BH9" s="101">
        <f>P_A2_L28*P_Segunda*Segunda*Inflación_2</f>
        <v>0</v>
      </c>
      <c r="BI9" s="100" t="e">
        <f t="shared" si="15"/>
        <v>#DIV/0!</v>
      </c>
      <c r="BJ9" s="101">
        <f>P_A2_L29*P_Segunda*Segunda*Inflación_2</f>
        <v>0</v>
      </c>
      <c r="BK9" s="100" t="e">
        <f t="shared" ref="BK9:BM9" si="16">BK7*P_Segunda*Segunda</f>
        <v>#DIV/0!</v>
      </c>
      <c r="BL9" s="101">
        <f>P_A2_L30*P_Segunda*Segunda*Inflación_2</f>
        <v>0</v>
      </c>
      <c r="BM9" s="100" t="e">
        <f t="shared" si="16"/>
        <v>#DIV/0!</v>
      </c>
      <c r="BN9" s="101">
        <f>P_A2_L31*P_Segunda*Segunda*Inflación_2</f>
        <v>0</v>
      </c>
      <c r="BO9" s="100" t="e">
        <f t="shared" ref="BO9:BQ9" si="17">BO7*P_Segunda*Segunda</f>
        <v>#DIV/0!</v>
      </c>
      <c r="BP9" s="101">
        <f>P_A2_L32*P_Segunda*Segunda*Inflación_2</f>
        <v>0</v>
      </c>
      <c r="BQ9" s="100" t="e">
        <f t="shared" si="17"/>
        <v>#DIV/0!</v>
      </c>
      <c r="BR9" s="101">
        <f>P_A2_L33*P_Segunda*Segunda*Inflación_2</f>
        <v>0</v>
      </c>
      <c r="BS9" s="100" t="e">
        <f t="shared" ref="BS9:BU9" si="18">BS7*P_Segunda*Segunda</f>
        <v>#DIV/0!</v>
      </c>
      <c r="BT9" s="101">
        <f>P_A2_L34*P_Segunda*Segunda*Inflación_2</f>
        <v>0</v>
      </c>
      <c r="BU9" s="100" t="e">
        <f t="shared" si="18"/>
        <v>#DIV/0!</v>
      </c>
      <c r="BV9" s="101">
        <f>P_A2_L35*P_Segunda*Segunda*Inflación_2</f>
        <v>0</v>
      </c>
      <c r="BW9" s="100" t="e">
        <f t="shared" ref="BW9:BY9" si="19">BW7*P_Segunda*Segunda</f>
        <v>#DIV/0!</v>
      </c>
      <c r="BX9" s="101">
        <f>P_A2_L36*P_Segunda*Segunda*Inflación_2</f>
        <v>0</v>
      </c>
      <c r="BY9" s="100" t="e">
        <f t="shared" si="19"/>
        <v>#DIV/0!</v>
      </c>
      <c r="BZ9" s="101">
        <f>P_A2_L37*P_Segunda*Segunda*Inflación_2</f>
        <v>0</v>
      </c>
      <c r="CA9" s="100" t="e">
        <f t="shared" ref="CA9:CC9" si="20">CA7*P_Segunda*Segunda</f>
        <v>#DIV/0!</v>
      </c>
      <c r="CB9" s="101">
        <f>P_A2_L38*P_Segunda*Segunda*Inflación_2</f>
        <v>0</v>
      </c>
      <c r="CC9" s="100" t="e">
        <f t="shared" si="20"/>
        <v>#DIV/0!</v>
      </c>
      <c r="CD9" s="101">
        <f>P_A2_L39*P_Segunda*Segunda*Inflación_2</f>
        <v>0</v>
      </c>
      <c r="CE9" s="100" t="e">
        <f t="shared" ref="CE9:CG9" si="21">CE7*P_Segunda*Segunda</f>
        <v>#DIV/0!</v>
      </c>
      <c r="CF9" s="101">
        <f>P_A2_L40*P_Segunda*Segunda*Inflación_2</f>
        <v>0</v>
      </c>
      <c r="CG9" s="100" t="e">
        <f t="shared" si="21"/>
        <v>#DIV/0!</v>
      </c>
      <c r="CH9" s="473"/>
      <c r="CI9" s="101">
        <f>CI7*P_Segunda*Segunda*Inflación_2</f>
        <v>0</v>
      </c>
      <c r="CJ9" s="101">
        <f>CJ7*P_Segunda*Segunda*Inflación_2</f>
        <v>0</v>
      </c>
      <c r="CK9" s="101">
        <f>CK7*P_Segunda*Segunda*Inflación_2</f>
        <v>0</v>
      </c>
      <c r="CL9" s="101">
        <f>CL7*P_Segunda*Segunda*Inflación_2</f>
        <v>0</v>
      </c>
      <c r="CM9" s="101"/>
      <c r="CN9" s="101">
        <f>CN7*P_Segunda*Segunda*Inflación_2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B7*P_Inferior*Inferior*Inflación_2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89"/>
      <c r="F10" s="101">
        <f>P_A2_L1*P_Inferior*Inferior*Inflación_2</f>
        <v>0</v>
      </c>
      <c r="G10" s="100" t="e">
        <f t="shared" ref="G10" si="23">G7*P_Inferior*Inferior</f>
        <v>#DIV/0!</v>
      </c>
      <c r="H10" s="101">
        <f>P_A2_L2*P_Inferior*Inferior*Inflación_2</f>
        <v>0</v>
      </c>
      <c r="I10" s="100" t="e">
        <f>I7*P_Inferior*Inferior</f>
        <v>#DIV/0!</v>
      </c>
      <c r="J10" s="101">
        <f>P_A2_L3*P_Inferior*Inferior*Inflación_2</f>
        <v>0</v>
      </c>
      <c r="K10" s="100" t="e">
        <f t="shared" ref="K10" si="24">K7*P_Inferior*Inferior</f>
        <v>#DIV/0!</v>
      </c>
      <c r="L10" s="101">
        <f>P_A2_L4*P_Inferior*Inferior*Inflación_2</f>
        <v>0</v>
      </c>
      <c r="M10" s="100" t="e">
        <f>M7*P_Inferior*Inferior</f>
        <v>#DIV/0!</v>
      </c>
      <c r="N10" s="101">
        <f>P_A2_L5*P_Inferior*Inferior*Inflación_2</f>
        <v>0</v>
      </c>
      <c r="O10" s="100" t="e">
        <f t="shared" ref="O10:Q10" si="25">O7*P_Inferior*Inferior</f>
        <v>#DIV/0!</v>
      </c>
      <c r="P10" s="101">
        <f>P_A2_L6*P_Inferior*Inferior*Inflación_2</f>
        <v>0</v>
      </c>
      <c r="Q10" s="100" t="e">
        <f t="shared" si="25"/>
        <v>#DIV/0!</v>
      </c>
      <c r="R10" s="101">
        <f>P_A2_L7*P_Inferior*Inferior*Inflación_2</f>
        <v>0</v>
      </c>
      <c r="S10" s="100" t="e">
        <f t="shared" ref="S10:U10" si="26">S7*P_Inferior*Inferior</f>
        <v>#DIV/0!</v>
      </c>
      <c r="T10" s="101">
        <f>P_A2_L8*P_Inferior*Inferior*Inflación_2</f>
        <v>0</v>
      </c>
      <c r="U10" s="100" t="e">
        <f t="shared" si="26"/>
        <v>#DIV/0!</v>
      </c>
      <c r="V10" s="101">
        <f>P_A2_L9*P_Inferior*Inferior*Inflación_2</f>
        <v>0</v>
      </c>
      <c r="W10" s="100" t="e">
        <f t="shared" ref="W10:Y10" si="27">W7*P_Inferior*Inferior</f>
        <v>#DIV/0!</v>
      </c>
      <c r="X10" s="101">
        <f>P_A2_L10*P_Inferior*Inferior*Inflación_2</f>
        <v>0</v>
      </c>
      <c r="Y10" s="100" t="e">
        <f t="shared" si="27"/>
        <v>#DIV/0!</v>
      </c>
      <c r="Z10" s="101">
        <f>P_A2_L11*P_Inferior*Inferior*Inflación_2</f>
        <v>0</v>
      </c>
      <c r="AA10" s="100" t="e">
        <f t="shared" ref="AA10:AC10" si="28">AA7*P_Inferior*Inferior</f>
        <v>#DIV/0!</v>
      </c>
      <c r="AB10" s="101">
        <f>P_A2_L12*P_Inferior*Inferior*Inflación_2</f>
        <v>0</v>
      </c>
      <c r="AC10" s="100" t="e">
        <f t="shared" si="28"/>
        <v>#DIV/0!</v>
      </c>
      <c r="AD10" s="101">
        <f>P_A2_L13*P_Inferior*Inferior*Inflación_2</f>
        <v>0</v>
      </c>
      <c r="AE10" s="100" t="e">
        <f t="shared" ref="AE10:AG10" si="29">AE7*P_Inferior*Inferior</f>
        <v>#DIV/0!</v>
      </c>
      <c r="AF10" s="101">
        <f>P_A2_L14*P_Inferior*Inferior*Inflación_2</f>
        <v>0</v>
      </c>
      <c r="AG10" s="100" t="e">
        <f t="shared" si="29"/>
        <v>#DIV/0!</v>
      </c>
      <c r="AH10" s="101">
        <f>P_A2_L15*P_Inferior*Inferior*Inflación_2</f>
        <v>0</v>
      </c>
      <c r="AI10" s="100" t="e">
        <f t="shared" ref="AI10:AK10" si="30">AI7*P_Inferior*Inferior</f>
        <v>#DIV/0!</v>
      </c>
      <c r="AJ10" s="101">
        <f>P_A2_L16*P_Inferior*Inferior*Inflación_2</f>
        <v>0</v>
      </c>
      <c r="AK10" s="100" t="e">
        <f t="shared" si="30"/>
        <v>#DIV/0!</v>
      </c>
      <c r="AL10" s="101">
        <f>P_A2_L17*P_Inferior*Inferior*Inflación_2</f>
        <v>0</v>
      </c>
      <c r="AM10" s="100" t="e">
        <f t="shared" ref="AM10:AO10" si="31">AM7*P_Inferior*Inferior</f>
        <v>#DIV/0!</v>
      </c>
      <c r="AN10" s="101">
        <f>P_A2_L18*P_Inferior*Inferior*Inflación_2</f>
        <v>0</v>
      </c>
      <c r="AO10" s="100" t="e">
        <f t="shared" si="31"/>
        <v>#DIV/0!</v>
      </c>
      <c r="AP10" s="101">
        <f>P_A2_L19*P_Inferior*Inferior*Inflación_2</f>
        <v>0</v>
      </c>
      <c r="AQ10" s="100" t="e">
        <f t="shared" ref="AQ10:AS10" si="32">AQ7*P_Inferior*Inferior</f>
        <v>#DIV/0!</v>
      </c>
      <c r="AR10" s="101">
        <f>P_A2_L20*P_Inferior*Inferior*Inflación_2</f>
        <v>0</v>
      </c>
      <c r="AS10" s="100" t="e">
        <f t="shared" si="32"/>
        <v>#DIV/0!</v>
      </c>
      <c r="AT10" s="101">
        <f>P_A2_L21*P_Inferior*Inferior*Inflación_2</f>
        <v>0</v>
      </c>
      <c r="AU10" s="100" t="e">
        <f t="shared" ref="AU10:AW10" si="33">AU7*P_Inferior*Inferior</f>
        <v>#DIV/0!</v>
      </c>
      <c r="AV10" s="101">
        <f>P_A2_L22*P_Inferior*Inferior*Inflación_2</f>
        <v>0</v>
      </c>
      <c r="AW10" s="100" t="e">
        <f t="shared" si="33"/>
        <v>#DIV/0!</v>
      </c>
      <c r="AX10" s="101">
        <f>P_A2_L23*P_Inferior*Inferior*Inflación_2</f>
        <v>0</v>
      </c>
      <c r="AY10" s="100" t="e">
        <f t="shared" ref="AY10:BA10" si="34">AY7*P_Inferior*Inferior</f>
        <v>#DIV/0!</v>
      </c>
      <c r="AZ10" s="101">
        <f>P_A2_L24*P_Inferior*Inferior*Inflación_2</f>
        <v>0</v>
      </c>
      <c r="BA10" s="100" t="e">
        <f t="shared" si="34"/>
        <v>#DIV/0!</v>
      </c>
      <c r="BB10" s="101">
        <f>P_A2_L25*P_Inferior*Inferior*Inflación_2</f>
        <v>0</v>
      </c>
      <c r="BC10" s="100" t="e">
        <f t="shared" ref="BC10:BE10" si="35">BC7*P_Inferior*Inferior</f>
        <v>#DIV/0!</v>
      </c>
      <c r="BD10" s="101">
        <f>P_A2_L26*P_Inferior*Inferior*Inflación_2</f>
        <v>0</v>
      </c>
      <c r="BE10" s="100" t="e">
        <f t="shared" si="35"/>
        <v>#DIV/0!</v>
      </c>
      <c r="BF10" s="101">
        <f>P_A2_L27*P_Inferior*Inferior*Inflación_2</f>
        <v>0</v>
      </c>
      <c r="BG10" s="100" t="e">
        <f t="shared" ref="BG10:BI10" si="36">BG7*P_Inferior*Inferior</f>
        <v>#DIV/0!</v>
      </c>
      <c r="BH10" s="101">
        <f>P_A2_L28*P_Inferior*Inferior*Inflación_2</f>
        <v>0</v>
      </c>
      <c r="BI10" s="100" t="e">
        <f t="shared" si="36"/>
        <v>#DIV/0!</v>
      </c>
      <c r="BJ10" s="101">
        <f>P_A2_L29*P_Inferior*Inferior*Inflación_2</f>
        <v>0</v>
      </c>
      <c r="BK10" s="100" t="e">
        <f t="shared" ref="BK10:BM10" si="37">BK7*P_Inferior*Inferior</f>
        <v>#DIV/0!</v>
      </c>
      <c r="BL10" s="101">
        <f>P_A2_L30*P_Inferior*Inferior*Inflación_2</f>
        <v>0</v>
      </c>
      <c r="BM10" s="100" t="e">
        <f t="shared" si="37"/>
        <v>#DIV/0!</v>
      </c>
      <c r="BN10" s="101">
        <f>P_A2_L31*P_Inferior*Inferior*Inflación_2</f>
        <v>0</v>
      </c>
      <c r="BO10" s="100" t="e">
        <f t="shared" ref="BO10:BQ10" si="38">BO7*P_Inferior*Inferior</f>
        <v>#DIV/0!</v>
      </c>
      <c r="BP10" s="101">
        <f>P_A2_L32*P_Inferior*Inferior*Inflación_2</f>
        <v>0</v>
      </c>
      <c r="BQ10" s="100" t="e">
        <f t="shared" si="38"/>
        <v>#DIV/0!</v>
      </c>
      <c r="BR10" s="101">
        <f>P_A2_L33*P_Inferior*Inferior*Inflación_2</f>
        <v>0</v>
      </c>
      <c r="BS10" s="100" t="e">
        <f t="shared" ref="BS10:BU10" si="39">BS7*P_Inferior*Inferior</f>
        <v>#DIV/0!</v>
      </c>
      <c r="BT10" s="101">
        <f>P_A2_L34*P_Inferior*Inferior*Inflación_2</f>
        <v>0</v>
      </c>
      <c r="BU10" s="100" t="e">
        <f t="shared" si="39"/>
        <v>#DIV/0!</v>
      </c>
      <c r="BV10" s="101">
        <f>P_A2_L35*P_Inferior*Inferior*Inflación_2</f>
        <v>0</v>
      </c>
      <c r="BW10" s="100" t="e">
        <f t="shared" ref="BW10:BY10" si="40">BW7*P_Inferior*Inferior</f>
        <v>#DIV/0!</v>
      </c>
      <c r="BX10" s="101">
        <f>P_A2_L36*P_Inferior*Inferior*Inflación_2</f>
        <v>0</v>
      </c>
      <c r="BY10" s="100" t="e">
        <f t="shared" si="40"/>
        <v>#DIV/0!</v>
      </c>
      <c r="BZ10" s="101">
        <f>P_A2_L37*P_Inferior*Inferior*Inflación_2</f>
        <v>0</v>
      </c>
      <c r="CA10" s="100" t="e">
        <f t="shared" ref="CA10:CC10" si="41">CA7*P_Inferior*Inferior</f>
        <v>#DIV/0!</v>
      </c>
      <c r="CB10" s="101">
        <f>P_A2_L38*P_Inferior*Inferior*Inflación_2</f>
        <v>0</v>
      </c>
      <c r="CC10" s="100" t="e">
        <f t="shared" si="41"/>
        <v>#DIV/0!</v>
      </c>
      <c r="CD10" s="101">
        <f>P_A2_L39*P_Inferior*Inferior*Inflación_2</f>
        <v>0</v>
      </c>
      <c r="CE10" s="100" t="e">
        <f t="shared" ref="CE10:CG10" si="42">CE7*P_Inferior*Inferior</f>
        <v>#DIV/0!</v>
      </c>
      <c r="CF10" s="101">
        <f>P_A2_L40*P_Inferior*Inferior*Inflación_2</f>
        <v>0</v>
      </c>
      <c r="CG10" s="100" t="e">
        <f t="shared" si="42"/>
        <v>#DIV/0!</v>
      </c>
      <c r="CH10" s="473"/>
      <c r="CI10" s="101">
        <f>CI7*P_Inferior*Inferior*Inflación_2</f>
        <v>0</v>
      </c>
      <c r="CJ10" s="101">
        <f>CJ7*P_Inferior*Inferior*Inflación_2</f>
        <v>0</v>
      </c>
      <c r="CK10" s="101">
        <f>CK7*P_Inferior*Inferior*Inflación_2</f>
        <v>0</v>
      </c>
      <c r="CL10" s="101">
        <f>CL7*P_Inferior*Inferior*Inflación_2</f>
        <v>0</v>
      </c>
      <c r="CM10" s="101"/>
      <c r="CN10" s="101">
        <f>CN7*P_Inferior*Inferior*Inflación_2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89"/>
      <c r="F11" s="104">
        <f t="shared" ref="F11:AK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ref="AL11:BQ11" si="44">SUM(AL8:AL10)</f>
        <v>0</v>
      </c>
      <c r="AM11" s="104" t="e">
        <f t="shared" si="44"/>
        <v>#DIV/0!</v>
      </c>
      <c r="AN11" s="104">
        <f t="shared" si="44"/>
        <v>0</v>
      </c>
      <c r="AO11" s="104" t="e">
        <f t="shared" si="44"/>
        <v>#DIV/0!</v>
      </c>
      <c r="AP11" s="104">
        <f t="shared" si="44"/>
        <v>0</v>
      </c>
      <c r="AQ11" s="104" t="e">
        <f t="shared" si="44"/>
        <v>#DIV/0!</v>
      </c>
      <c r="AR11" s="104">
        <f t="shared" si="44"/>
        <v>0</v>
      </c>
      <c r="AS11" s="104" t="e">
        <f t="shared" si="44"/>
        <v>#DIV/0!</v>
      </c>
      <c r="AT11" s="104">
        <f t="shared" si="44"/>
        <v>0</v>
      </c>
      <c r="AU11" s="104" t="e">
        <f t="shared" si="44"/>
        <v>#DIV/0!</v>
      </c>
      <c r="AV11" s="104">
        <f t="shared" si="44"/>
        <v>0</v>
      </c>
      <c r="AW11" s="104" t="e">
        <f t="shared" si="44"/>
        <v>#DIV/0!</v>
      </c>
      <c r="AX11" s="104">
        <f t="shared" si="44"/>
        <v>0</v>
      </c>
      <c r="AY11" s="104" t="e">
        <f t="shared" si="44"/>
        <v>#DIV/0!</v>
      </c>
      <c r="AZ11" s="104">
        <f t="shared" si="44"/>
        <v>0</v>
      </c>
      <c r="BA11" s="104" t="e">
        <f t="shared" si="44"/>
        <v>#DIV/0!</v>
      </c>
      <c r="BB11" s="104">
        <f t="shared" si="44"/>
        <v>0</v>
      </c>
      <c r="BC11" s="104" t="e">
        <f t="shared" si="44"/>
        <v>#DIV/0!</v>
      </c>
      <c r="BD11" s="104">
        <f t="shared" si="44"/>
        <v>0</v>
      </c>
      <c r="BE11" s="104" t="e">
        <f t="shared" si="44"/>
        <v>#DIV/0!</v>
      </c>
      <c r="BF11" s="104">
        <f t="shared" si="44"/>
        <v>0</v>
      </c>
      <c r="BG11" s="104" t="e">
        <f t="shared" si="44"/>
        <v>#DIV/0!</v>
      </c>
      <c r="BH11" s="104">
        <f t="shared" si="44"/>
        <v>0</v>
      </c>
      <c r="BI11" s="104" t="e">
        <f t="shared" si="44"/>
        <v>#DIV/0!</v>
      </c>
      <c r="BJ11" s="104">
        <f t="shared" si="44"/>
        <v>0</v>
      </c>
      <c r="BK11" s="104" t="e">
        <f t="shared" si="44"/>
        <v>#DIV/0!</v>
      </c>
      <c r="BL11" s="104">
        <f t="shared" si="44"/>
        <v>0</v>
      </c>
      <c r="BM11" s="104" t="e">
        <f t="shared" si="44"/>
        <v>#DIV/0!</v>
      </c>
      <c r="BN11" s="104">
        <f t="shared" si="44"/>
        <v>0</v>
      </c>
      <c r="BO11" s="104" t="e">
        <f t="shared" si="44"/>
        <v>#DIV/0!</v>
      </c>
      <c r="BP11" s="104">
        <f t="shared" si="44"/>
        <v>0</v>
      </c>
      <c r="BQ11" s="104" t="e">
        <f t="shared" si="44"/>
        <v>#DIV/0!</v>
      </c>
      <c r="BR11" s="104">
        <f t="shared" ref="BR11:CG11" si="45">SUM(BR8:BR10)</f>
        <v>0</v>
      </c>
      <c r="BS11" s="104" t="e">
        <f t="shared" si="45"/>
        <v>#DIV/0!</v>
      </c>
      <c r="BT11" s="104">
        <f t="shared" si="45"/>
        <v>0</v>
      </c>
      <c r="BU11" s="104" t="e">
        <f t="shared" si="45"/>
        <v>#DIV/0!</v>
      </c>
      <c r="BV11" s="104">
        <f t="shared" si="45"/>
        <v>0</v>
      </c>
      <c r="BW11" s="104" t="e">
        <f t="shared" si="45"/>
        <v>#DIV/0!</v>
      </c>
      <c r="BX11" s="104">
        <f t="shared" si="45"/>
        <v>0</v>
      </c>
      <c r="BY11" s="104" t="e">
        <f t="shared" si="45"/>
        <v>#DIV/0!</v>
      </c>
      <c r="BZ11" s="104">
        <f t="shared" si="45"/>
        <v>0</v>
      </c>
      <c r="CA11" s="104" t="e">
        <f t="shared" si="45"/>
        <v>#DIV/0!</v>
      </c>
      <c r="CB11" s="104">
        <f t="shared" si="45"/>
        <v>0</v>
      </c>
      <c r="CC11" s="104" t="e">
        <f t="shared" si="45"/>
        <v>#DIV/0!</v>
      </c>
      <c r="CD11" s="104">
        <f t="shared" si="45"/>
        <v>0</v>
      </c>
      <c r="CE11" s="104" t="e">
        <f t="shared" si="45"/>
        <v>#DIV/0!</v>
      </c>
      <c r="CF11" s="104">
        <f t="shared" si="45"/>
        <v>0</v>
      </c>
      <c r="CG11" s="104" t="e">
        <f t="shared" si="45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89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90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SUMIFS('9'!$E:$E,'9'!$A:$A,Año_Inicial+1,'9'!$D:$D,"Poda")</f>
        <v>0</v>
      </c>
      <c r="D14" s="100">
        <f t="shared" ref="D14:D44" si="46">C14-B14</f>
        <v>0</v>
      </c>
      <c r="E14" s="490"/>
      <c r="F14" s="101">
        <f>((A2_A_L1*Poda_A)+(A2_B_L1*Poda_B)+(A2_C_L1*Poda_C)+(A2_D_L1*Poda_D)+(A2_Y_L1*Poda_Y))*Inflación_2</f>
        <v>0</v>
      </c>
      <c r="G14" s="101">
        <f>SUMIFS('9'!$E:$E,'9'!$A:$A,Año_Inicial+1,'9'!$B:$B,'12'!F$4,'9'!$D:$D,"Poda")</f>
        <v>0</v>
      </c>
      <c r="H14" s="101">
        <f>((A2_A_L2*Poda_A)+(A2_B_L2*Poda_B)+(A2_C_L2*Poda_C)+(A2_D_L2*Poda_D)+(A2_Y_L2*Poda_Y))*Inflación_2</f>
        <v>0</v>
      </c>
      <c r="I14" s="101">
        <f>SUMIFS('9'!$E:$E,'9'!$A:$A,Año_Inicial+1,'9'!$B:$B,'12'!H$4,'9'!$D:$D,"Poda")</f>
        <v>0</v>
      </c>
      <c r="J14" s="101">
        <f>((A2_A_L3*Poda_A)+(A2_B_L3*Poda_B)+(A2_C_L3*Poda_C)+(A2_D_L3*Poda_D)+(A2_Y_L3*Poda_Y))*Inflación_2</f>
        <v>0</v>
      </c>
      <c r="K14" s="101">
        <f>SUMIFS('9'!$E:$E,'9'!$A:$A,Año_Inicial+1,'9'!$B:$B,'12'!J$4,'9'!$D:$D,"Poda")</f>
        <v>0</v>
      </c>
      <c r="L14" s="101">
        <f>((A2_A_L4*Poda_A)+(A2_B_L4*Poda_B)+(A2_C_L4*Poda_C)+(A2_D_L4*Poda_D)+(A2_Y_L4*Poda_Y))*Inflación_2</f>
        <v>0</v>
      </c>
      <c r="M14" s="101">
        <f>SUMIFS('9'!$E:$E,'9'!$A:$A,Año_Inicial+1,'9'!$B:$B,'12'!L$4,'9'!$D:$D,"Poda")</f>
        <v>0</v>
      </c>
      <c r="N14" s="101">
        <f>((A2_A_L5*Poda_A)+(A2_B_L5*Poda_B)+(A2_C_L5*Poda_C)+(A2_D_L5*Poda_D)+(A2_Y_L5*Poda_Y))*Inflación_2</f>
        <v>0</v>
      </c>
      <c r="O14" s="101">
        <f>SUMIFS('9'!$E:$E,'9'!$A:$A,Año_Inicial+1,'9'!$B:$B,'12'!N$4,'9'!$D:$D,"Poda")</f>
        <v>0</v>
      </c>
      <c r="P14" s="101">
        <f>((A2_A_L6*Poda_A)+(A2_B_L6*Poda_B)+(A2_C_L6*Poda_C)+(A2_D_L6*Poda_D)+(A2_Y_L6*Poda_Y))*Inflación_2</f>
        <v>0</v>
      </c>
      <c r="Q14" s="101">
        <f>SUMIFS('9'!$E:$E,'9'!$A:$A,Año_Inicial+1,'9'!$B:$B,'12'!P$4,'9'!$D:$D,"Poda")</f>
        <v>0</v>
      </c>
      <c r="R14" s="101">
        <f>((A2_A_L7*Poda_A)+(A2_B_L7*Poda_B)+(A2_C_L7*Poda_C)+(A2_D_L7*Poda_D)+(A2_Y_L7*Poda_Y))*Inflación_2</f>
        <v>0</v>
      </c>
      <c r="S14" s="101">
        <f>SUMIFS('9'!$E:$E,'9'!$A:$A,Año_Inicial+1,'9'!$B:$B,'12'!R$4,'9'!$D:$D,"Poda")</f>
        <v>0</v>
      </c>
      <c r="T14" s="101">
        <f>((A2_A_L8*Poda_A)+(A2_B_L8*Poda_B)+(A2_C_L8*Poda_C)+(A2_D_L8*Poda_D)+(A2_Y_L8*Poda_Y))*Inflación_2</f>
        <v>0</v>
      </c>
      <c r="U14" s="101">
        <f>SUMIFS('9'!$E:$E,'9'!$A:$A,Año_Inicial+1,'9'!$B:$B,'12'!T$4,'9'!$D:$D,"Poda")</f>
        <v>0</v>
      </c>
      <c r="V14" s="101">
        <f>((A2_A_L9*Poda_A)+(A2_B_L9*Poda_B)+(A2_C_L9*Poda_C)+(A2_D_L9*Poda_D)+(A2_Y_L9*Poda_Y))*Inflación_2</f>
        <v>0</v>
      </c>
      <c r="W14" s="101">
        <f>SUMIFS('9'!$E:$E,'9'!$A:$A,Año_Inicial+1,'9'!$B:$B,'12'!V$4,'9'!$D:$D,"Poda")</f>
        <v>0</v>
      </c>
      <c r="X14" s="101">
        <f>((A2_A_L10*Poda_A)+(A2_B_L10*Poda_B)+(A2_C_L10*Poda_C)+(A2_D_L10*Poda_D)+(A2_Y_L10*Poda_Y))*Inflación_2</f>
        <v>0</v>
      </c>
      <c r="Y14" s="101">
        <f>SUMIFS('9'!$E:$E,'9'!$A:$A,Año_Inicial+1,'9'!$B:$B,'12'!X$4,'9'!$D:$D,"Poda")</f>
        <v>0</v>
      </c>
      <c r="Z14" s="101">
        <f>((A2_A_L11*Poda_A)+(A2_B_L11*Poda_B)+(A2_C_L11*Poda_C)+(A2_D_L11*Poda_D)+(A2_Y_L11*Poda_Y))*Inflación_2</f>
        <v>0</v>
      </c>
      <c r="AA14" s="101">
        <f>SUMIFS('9'!$E:$E,'9'!$A:$A,Año_Inicial+1,'9'!$B:$B,'12'!Z$4,'9'!$D:$D,"Poda")</f>
        <v>0</v>
      </c>
      <c r="AB14" s="101">
        <f>((A2_A_L12*Poda_A)+(A2_B_L12*Poda_B)+(A2_C_L12*Poda_C)+(A2_D_L12*Poda_D)+(A2_Y_L12*Poda_Y))*Inflación_2</f>
        <v>0</v>
      </c>
      <c r="AC14" s="101">
        <f>SUMIFS('9'!$E:$E,'9'!$A:$A,Año_Inicial+1,'9'!$B:$B,'12'!AB$4,'9'!$D:$D,"Poda")</f>
        <v>0</v>
      </c>
      <c r="AD14" s="101">
        <f>((A2_A_L13*Poda_A)+(A2_B_L13*Poda_B)+(A2_C_L13*Poda_C)+(A2_D_L13*Poda_D)+(A2_Y_L13*Poda_Y))*Inflación_2</f>
        <v>0</v>
      </c>
      <c r="AE14" s="101">
        <f>SUMIFS('9'!$E:$E,'9'!$A:$A,Año_Inicial+1,'9'!$B:$B,'12'!AD$4,'9'!$D:$D,"Poda")</f>
        <v>0</v>
      </c>
      <c r="AF14" s="101">
        <f>((A2_A_L14*Poda_A)+(A2_B_L14*Poda_B)+(A2_C_L14*Poda_C)+(A2_D_L14*Poda_D)+(A2_Y_L14*Poda_Y))*Inflación_2</f>
        <v>0</v>
      </c>
      <c r="AG14" s="101">
        <f>SUMIFS('9'!$E:$E,'9'!$A:$A,Año_Inicial+1,'9'!$B:$B,'12'!AF$4,'9'!$D:$D,"Poda")</f>
        <v>0</v>
      </c>
      <c r="AH14" s="101">
        <f>((A2_A_L15*Poda_A)+(A2_B_L15*Poda_B)+(A2_C_L15*Poda_C)+(A2_D_L15*Poda_D)+(A2_Y_L15*Poda_Y))*Inflación_2</f>
        <v>0</v>
      </c>
      <c r="AI14" s="101">
        <f>SUMIFS('9'!$E:$E,'9'!$A:$A,Año_Inicial+1,'9'!$B:$B,'12'!AH$4,'9'!$D:$D,"Poda")</f>
        <v>0</v>
      </c>
      <c r="AJ14" s="101">
        <f>((A2_A_L16*Poda_A)+(A2_B_L16*Poda_B)+(A2_C_L16*Poda_C)+(A2_D_L16*Poda_D)+(A2_Y_L16*Poda_Y))*Inflación_2</f>
        <v>0</v>
      </c>
      <c r="AK14" s="101">
        <f>SUMIFS('9'!$E:$E,'9'!$A:$A,Año_Inicial+1,'9'!$B:$B,'12'!AJ$4,'9'!$D:$D,"Poda")</f>
        <v>0</v>
      </c>
      <c r="AL14" s="101">
        <f>((A2_A_L17*Poda_A)+(A2_B_L17*Poda_B)+(A2_C_L17*Poda_C)+(A2_D_L17*Poda_D)+(A2_Y_L17*Poda_Y))*Inflación_2</f>
        <v>0</v>
      </c>
      <c r="AM14" s="101">
        <f>SUMIFS('9'!$E:$E,'9'!$A:$A,Año_Inicial+1,'9'!$B:$B,'12'!AL$4,'9'!$D:$D,"Poda")</f>
        <v>0</v>
      </c>
      <c r="AN14" s="101">
        <f>((A2_A_L18*Poda_A)+(A2_B_L18*Poda_B)+(A2_C_L18*Poda_C)+(A2_D_L18*Poda_D)+(A2_Y_L18*Poda_Y))*Inflación_2</f>
        <v>0</v>
      </c>
      <c r="AO14" s="101">
        <f>SUMIFS('9'!$E:$E,'9'!$A:$A,Año_Inicial+1,'9'!$B:$B,'12'!AN$4,'9'!$D:$D,"Poda")</f>
        <v>0</v>
      </c>
      <c r="AP14" s="101">
        <f>((A2_A_L19*Poda_A)+(A2_B_L19*Poda_B)+(A2_C_L19*Poda_C)+(A2_D_L19*Poda_D)+(A2_Y_L19*Poda_Y))*Inflación_2</f>
        <v>0</v>
      </c>
      <c r="AQ14" s="101">
        <f>SUMIFS('9'!$E:$E,'9'!$A:$A,Año_Inicial+1,'9'!$B:$B,'12'!AP$4,'9'!$D:$D,"Poda")</f>
        <v>0</v>
      </c>
      <c r="AR14" s="101">
        <f>((A2_A_L20*Poda_A)+(A2_B_L20*Poda_B)+(A2_C_L20*Poda_C)+(A2_D_L20*Poda_D)+(A2_Y_L20*Poda_Y))*Inflación_2</f>
        <v>0</v>
      </c>
      <c r="AS14" s="101">
        <f>SUMIFS('9'!$E:$E,'9'!$A:$A,Año_Inicial+1,'9'!$B:$B,'12'!AR$4,'9'!$D:$D,"Poda")</f>
        <v>0</v>
      </c>
      <c r="AT14" s="101">
        <f>((A2_A_L21*Poda_A)+(A2_B_L21*Poda_B)+(A2_C_L21*Poda_C)+(A2_D_L21*Poda_D)+(A2_Y_L21*Poda_Y))*Inflación_2</f>
        <v>0</v>
      </c>
      <c r="AU14" s="101">
        <f>SUMIFS('9'!$E:$E,'9'!$A:$A,Año_Inicial+1,'9'!$B:$B,'12'!AT$4,'9'!$D:$D,"Poda")</f>
        <v>0</v>
      </c>
      <c r="AV14" s="101">
        <f>((A2_A_L22*Poda_A)+(A2_B_L22*Poda_B)+(A2_C_L22*Poda_C)+(A2_D_L22*Poda_D)+(A2_Y_L22*Poda_Y))*Inflación_2</f>
        <v>0</v>
      </c>
      <c r="AW14" s="101">
        <f>SUMIFS('9'!$E:$E,'9'!$A:$A,Año_Inicial+1,'9'!$B:$B,'12'!AV$4,'9'!$D:$D,"Poda")</f>
        <v>0</v>
      </c>
      <c r="AX14" s="101">
        <f>((A2_A_L23*Poda_A)+(A2_B_L23*Poda_B)+(A2_C_L23*Poda_C)+(A2_D_L23*Poda_D)+(A2_Y_L23*Poda_Y))*Inflación_2</f>
        <v>0</v>
      </c>
      <c r="AY14" s="101">
        <f>SUMIFS('9'!$E:$E,'9'!$A:$A,Año_Inicial+1,'9'!$B:$B,'12'!AX$4,'9'!$D:$D,"Poda")</f>
        <v>0</v>
      </c>
      <c r="AZ14" s="101">
        <f>((A2_A_L24*Poda_A)+(A2_B_L24*Poda_B)+(A2_C_L24*Poda_C)+(A2_D_L24*Poda_D)+(A2_Y_L24*Poda_Y))*Inflación_2</f>
        <v>0</v>
      </c>
      <c r="BA14" s="101">
        <f>SUMIFS('9'!$E:$E,'9'!$A:$A,Año_Inicial+1,'9'!$B:$B,'12'!AZ$4,'9'!$D:$D,"Poda")</f>
        <v>0</v>
      </c>
      <c r="BB14" s="101">
        <f>((A2_A_L25*Poda_A)+(A2_B_L25*Poda_B)+(A2_C_L25*Poda_C)+(A2_D_L25*Poda_D)+(A2_Y_L25*Poda_Y))*Inflación_2</f>
        <v>0</v>
      </c>
      <c r="BC14" s="101">
        <f>SUMIFS('9'!$E:$E,'9'!$A:$A,Año_Inicial+1,'9'!$B:$B,'12'!BB$4,'9'!$D:$D,"Poda")</f>
        <v>0</v>
      </c>
      <c r="BD14" s="101">
        <f>((A2_A_L26*Poda_A)+(A2_B_L26*Poda_B)+(A2_C_L26*Poda_C)+(A2_D_L26*Poda_D)+(A2_Y_L26*Poda_Y))*Inflación_2</f>
        <v>0</v>
      </c>
      <c r="BE14" s="101">
        <f>SUMIFS('9'!$E:$E,'9'!$A:$A,Año_Inicial+1,'9'!$B:$B,'12'!BD$4,'9'!$D:$D,"Poda")</f>
        <v>0</v>
      </c>
      <c r="BF14" s="101">
        <f>((A2_A_L27*Poda_A)+(A2_B_L27*Poda_B)+(A2_C_L27*Poda_C)+(A2_D_L27*Poda_D)+(A2_Y_L27*Poda_Y))*Inflación_2</f>
        <v>0</v>
      </c>
      <c r="BG14" s="101">
        <f>SUMIFS('9'!$E:$E,'9'!$A:$A,Año_Inicial+1,'9'!$B:$B,'12'!BF$4,'9'!$D:$D,"Poda")</f>
        <v>0</v>
      </c>
      <c r="BH14" s="101">
        <f>((A2_A_L28*Poda_A)+(A2_B_L28*Poda_B)+(A2_C_L28*Poda_C)+(A2_D_L28*Poda_D)+(A2_Y_L28*Poda_Y))*Inflación_2</f>
        <v>0</v>
      </c>
      <c r="BI14" s="101">
        <f>SUMIFS('9'!$E:$E,'9'!$A:$A,Año_Inicial+1,'9'!$B:$B,'12'!BH$4,'9'!$D:$D,"Poda")</f>
        <v>0</v>
      </c>
      <c r="BJ14" s="101">
        <f>((A2_A_L29*Poda_A)+(A2_B_L29*Poda_B)+(A2_C_L29*Poda_C)+(A2_D_L29*Poda_D)+(A2_Y_L29*Poda_Y))*Inflación_2</f>
        <v>0</v>
      </c>
      <c r="BK14" s="101">
        <f>SUMIFS('9'!$E:$E,'9'!$A:$A,Año_Inicial+1,'9'!$B:$B,'12'!BJ$4,'9'!$D:$D,"Poda")</f>
        <v>0</v>
      </c>
      <c r="BL14" s="101">
        <f>((A2_A_L30*Poda_A)+(A2_B_L30*Poda_B)+(A2_C_L30*Poda_C)+(A2_D_L30*Poda_D)+(A2_Y_L30*Poda_Y))*Inflación_2</f>
        <v>0</v>
      </c>
      <c r="BM14" s="101">
        <f>SUMIFS('9'!$E:$E,'9'!$A:$A,Año_Inicial+1,'9'!$B:$B,'12'!BL$4,'9'!$D:$D,"Poda")</f>
        <v>0</v>
      </c>
      <c r="BN14" s="101">
        <f>((A2_A_L31*Poda_A)+(A2_B_L31*Poda_B)+(A2_C_L31*Poda_C)+(A2_D_L31*Poda_D)+(A2_Y_L31*Poda_Y))*Inflación_2</f>
        <v>0</v>
      </c>
      <c r="BO14" s="101">
        <f>SUMIFS('9'!$E:$E,'9'!$A:$A,Año_Inicial+1,'9'!$B:$B,'12'!BN$4,'9'!$D:$D,"Poda")</f>
        <v>0</v>
      </c>
      <c r="BP14" s="101">
        <f>((A2_A_L32*Poda_A)+(A2_B_L32*Poda_B)+(A2_C_L32*Poda_C)+(A2_D_L32*Poda_D)+(A2_Y_L32*Poda_Y))*Inflación_2</f>
        <v>0</v>
      </c>
      <c r="BQ14" s="101">
        <f>SUMIFS('9'!$E:$E,'9'!$A:$A,Año_Inicial+1,'9'!$B:$B,'12'!BP$4,'9'!$D:$D,"Poda")</f>
        <v>0</v>
      </c>
      <c r="BR14" s="101">
        <f>((A2_A_L33*Poda_A)+(A2_B_L33*Poda_B)+(A2_C_L33*Poda_C)+(A2_D_L33*Poda_D)+(A2_Y_L33*Poda_Y))*Inflación_2</f>
        <v>0</v>
      </c>
      <c r="BS14" s="101">
        <f>SUMIFS('9'!$E:$E,'9'!$A:$A,Año_Inicial+1,'9'!$B:$B,'12'!BR$4,'9'!$D:$D,"Poda")</f>
        <v>0</v>
      </c>
      <c r="BT14" s="101">
        <f>((A2_A_L34*Poda_A)+(A2_B_L34*Poda_B)+(A2_C_L34*Poda_C)+(A2_D_L34*Poda_D)+(A2_Y_L34*Poda_Y))*Inflación_2</f>
        <v>0</v>
      </c>
      <c r="BU14" s="101">
        <f>SUMIFS('9'!$E:$E,'9'!$A:$A,Año_Inicial+1,'9'!$B:$B,'12'!BT$4,'9'!$D:$D,"Poda")</f>
        <v>0</v>
      </c>
      <c r="BV14" s="101">
        <f>((A2_A_L35*Poda_A)+(A2_B_L35*Poda_B)+(A2_C_L35*Poda_C)+(A2_D_L35*Poda_D)+(A2_Y_L35*Poda_Y))*Inflación_2</f>
        <v>0</v>
      </c>
      <c r="BW14" s="101">
        <f>SUMIFS('9'!$E:$E,'9'!$A:$A,Año_Inicial+1,'9'!$B:$B,'12'!BV$4,'9'!$D:$D,"Poda")</f>
        <v>0</v>
      </c>
      <c r="BX14" s="101">
        <f>((A2_A_L36*Poda_A)+(A2_B_L36*Poda_B)+(A2_C_L36*Poda_C)+(A2_D_L36*Poda_D)+(A2_Y_L36*Poda_Y))*Inflación_2</f>
        <v>0</v>
      </c>
      <c r="BY14" s="101">
        <f>SUMIFS('9'!$E:$E,'9'!$A:$A,Año_Inicial+1,'9'!$B:$B,'12'!BX$4,'9'!$D:$D,"Poda")</f>
        <v>0</v>
      </c>
      <c r="BZ14" s="101">
        <f>((A2_A_L37*Poda_A)+(A2_B_L37*Poda_B)+(A2_C_L37*Poda_C)+(A2_D_L37*Poda_D)+(A2_Y_L37*Poda_Y))*Inflación_2</f>
        <v>0</v>
      </c>
      <c r="CA14" s="101">
        <f>SUMIFS('9'!$E:$E,'9'!$A:$A,Año_Inicial+1,'9'!$B:$B,'12'!BZ$4,'9'!$D:$D,"Poda")</f>
        <v>0</v>
      </c>
      <c r="CB14" s="101">
        <f>((A2_A_L38*Poda_A)+(A2_B_L38*Poda_B)+(A2_C_L38*Poda_C)+(A2_D_L38*Poda_D)+(A2_Y_L38*Poda_Y))*Inflación_2</f>
        <v>0</v>
      </c>
      <c r="CC14" s="101">
        <f>SUMIFS('9'!$E:$E,'9'!$A:$A,Año_Inicial+1,'9'!$B:$B,'12'!CB$4,'9'!$D:$D,"Poda")</f>
        <v>0</v>
      </c>
      <c r="CD14" s="101">
        <f>((A2_A_L39*Poda_A)+(A2_B_L39*Poda_B)+(A2_C_L39*Poda_C)+(A2_D_L39*Poda_D)+(A2_Y_L39*Poda_Y))*Inflación_2</f>
        <v>0</v>
      </c>
      <c r="CE14" s="101">
        <f>SUMIFS('9'!$E:$E,'9'!$A:$A,Año_Inicial+1,'9'!$B:$B,'12'!CD$4,'9'!$D:$D,"Poda")</f>
        <v>0</v>
      </c>
      <c r="CF14" s="101">
        <f>((A2_A_L40*Poda_A)+(A2_B_L40*Poda_B)+(A2_C_L40*Poda_C)+(A2_D_L40*Poda_D)+(A2_Y_L40*Poda_Y))*Inflación_2</f>
        <v>0</v>
      </c>
      <c r="CG14" s="101">
        <f>SUMIFS('9'!$E:$E,'9'!$A:$A,Año_Inicial+1,'9'!$B:$B,'12'!CF$4,'9'!$D:$D,"Poda")</f>
        <v>0</v>
      </c>
      <c r="CH14" s="473"/>
      <c r="CI14" s="101">
        <f>Plantas_A_A2*Poda_A*Inflación_2</f>
        <v>0</v>
      </c>
      <c r="CJ14" s="101">
        <f>Plantas_B_A2*Poda_B</f>
        <v>0</v>
      </c>
      <c r="CK14" s="101">
        <f>Plantas_C_A2*Poda_C</f>
        <v>0</v>
      </c>
      <c r="CL14" s="101">
        <f>Plantas_D_A2*Poda_D</f>
        <v>0</v>
      </c>
      <c r="CM14" s="101"/>
      <c r="CN14" s="101">
        <f>Plantas_Y_A2*Poda_Y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SUMIFS('9'!$E:$E,'9'!$A:$A,Año_Inicial+1,'9'!$D:$D,"Deshije")</f>
        <v>0</v>
      </c>
      <c r="D15" s="100">
        <f t="shared" si="46"/>
        <v>0</v>
      </c>
      <c r="E15" s="490"/>
      <c r="F15" s="101">
        <f>((A2_A_L1*Deshije_A)+(A2_B_L1*Deshije_B)+(A2_C_L1*Deshije_C)+(A2_D_L1*Deshije_D)+(A2_Y_L1*Deshije_Y))*Inflación_2</f>
        <v>0</v>
      </c>
      <c r="G15" s="101">
        <f>SUMIFS('9'!$E:$E,'9'!$A:$A,Año_Inicial+1,'9'!$B:$B,'12'!F$4,'9'!$D:$D,"Deshije")</f>
        <v>0</v>
      </c>
      <c r="H15" s="101">
        <f>((A2_A_L2*Deshije_A)+(A2_B_L2*Deshije_B)+(A2_C_L2*Deshije_C)+(A2_D_L2*Deshije_D)+(A2_Y_L2*Deshije_Y))*Inflación_2</f>
        <v>0</v>
      </c>
      <c r="I15" s="101">
        <f>SUMIFS('9'!$E:$E,'9'!$A:$A,Año_Inicial+1,'9'!$B:$B,'12'!H$4,'9'!$D:$D,"Deshije")</f>
        <v>0</v>
      </c>
      <c r="J15" s="101">
        <f>((A2_A_L3*Deshije_A)+(A2_B_L3*Deshije_B)+(A2_C_L3*Deshije_C)+(A2_D_L3*Deshije_D)+(A2_Y_L3*Deshije_Y))*Inflación_2</f>
        <v>0</v>
      </c>
      <c r="K15" s="101">
        <f>SUMIFS('9'!$E:$E,'9'!$A:$A,Año_Inicial+1,'9'!$B:$B,'12'!J$4,'9'!$D:$D,"Deshije")</f>
        <v>0</v>
      </c>
      <c r="L15" s="101">
        <f>((A2_A_L4*Deshije_A)+(A2_B_L4*Deshije_B)+(A2_C_L4*Deshije_C)+(A2_D_L4*Deshije_D)+(A2_Y_L4*Deshije_Y))*Inflación_2</f>
        <v>0</v>
      </c>
      <c r="M15" s="101">
        <f>SUMIFS('9'!$E:$E,'9'!$A:$A,Año_Inicial+1,'9'!$B:$B,'12'!L$4,'9'!$D:$D,"Deshije")</f>
        <v>0</v>
      </c>
      <c r="N15" s="101">
        <f>((A2_A_L5*Deshije_A)+(A2_B_L5*Deshije_B)+(A2_C_L5*Deshije_C)+(A2_D_L5*Deshije_D)+(A2_Y_L5*Deshije_Y))*Inflación_2</f>
        <v>0</v>
      </c>
      <c r="O15" s="101">
        <f>SUMIFS('9'!$E:$E,'9'!$A:$A,Año_Inicial+1,'9'!$B:$B,'12'!N$4,'9'!$D:$D,"Deshije")</f>
        <v>0</v>
      </c>
      <c r="P15" s="101">
        <f>((A2_A_L6*Deshije_A)+(A2_B_L6*Deshije_B)+(A2_C_L6*Deshije_C)+(A2_D_L6*Deshije_D)+(A2_Y_L6*Deshije_Y))*Inflación_2</f>
        <v>0</v>
      </c>
      <c r="Q15" s="101">
        <f>SUMIFS('9'!$E:$E,'9'!$A:$A,Año_Inicial+1,'9'!$B:$B,'12'!P$4,'9'!$D:$D,"Deshije")</f>
        <v>0</v>
      </c>
      <c r="R15" s="101">
        <f>((A2_A_L7*Deshije_A)+(A2_B_L7*Deshije_B)+(A2_C_L7*Deshije_C)+(A2_D_L7*Deshije_D)+(A2_Y_L7*Deshije_Y))*Inflación_2</f>
        <v>0</v>
      </c>
      <c r="S15" s="101">
        <f>SUMIFS('9'!$E:$E,'9'!$A:$A,Año_Inicial+1,'9'!$B:$B,'12'!R$4,'9'!$D:$D,"Deshije")</f>
        <v>0</v>
      </c>
      <c r="T15" s="101">
        <f>((A2_A_L8*Deshije_A)+(A2_B_L8*Deshije_B)+(A2_C_L8*Deshije_C)+(A2_D_L8*Deshije_D)+(A2_Y_L8*Deshije_Y))*Inflación_2</f>
        <v>0</v>
      </c>
      <c r="U15" s="101">
        <f>SUMIFS('9'!$E:$E,'9'!$A:$A,Año_Inicial+1,'9'!$B:$B,'12'!T$4,'9'!$D:$D,"Deshije")</f>
        <v>0</v>
      </c>
      <c r="V15" s="101">
        <f>((A2_A_L9*Deshije_A)+(A2_B_L9*Deshije_B)+(A2_C_L9*Deshije_C)+(A2_D_L9*Deshije_D)+(A2_Y_L9*Deshije_Y))*Inflación_2</f>
        <v>0</v>
      </c>
      <c r="W15" s="101">
        <f>SUMIFS('9'!$E:$E,'9'!$A:$A,Año_Inicial+1,'9'!$B:$B,'12'!V$4,'9'!$D:$D,"Deshije")</f>
        <v>0</v>
      </c>
      <c r="X15" s="101">
        <f>((A2_A_L10*Deshije_A)+(A2_B_L10*Deshije_B)+(A2_C_L10*Deshije_C)+(A2_D_L10*Deshije_D)+(A2_Y_L10*Deshije_Y))*Inflación_2</f>
        <v>0</v>
      </c>
      <c r="Y15" s="101">
        <f>SUMIFS('9'!$E:$E,'9'!$A:$A,Año_Inicial+1,'9'!$B:$B,'12'!X$4,'9'!$D:$D,"Deshije")</f>
        <v>0</v>
      </c>
      <c r="Z15" s="101">
        <f>((A2_A_L11*Deshije_A)+(A2_B_L11*Deshije_B)+(A2_C_L11*Deshije_C)+(A2_D_L11*Deshije_D)+(A2_Y_L11*Deshije_Y))*Inflación_2</f>
        <v>0</v>
      </c>
      <c r="AA15" s="101">
        <f>SUMIFS('9'!$E:$E,'9'!$A:$A,Año_Inicial+1,'9'!$B:$B,'12'!Z$4,'9'!$D:$D,"Deshije")</f>
        <v>0</v>
      </c>
      <c r="AB15" s="101">
        <f>((A2_A_L12*Deshije_A)+(A2_B_L12*Deshije_B)+(A2_C_L12*Deshije_C)+(A2_D_L12*Deshije_D)+(A2_Y_L12*Deshije_Y))*Inflación_2</f>
        <v>0</v>
      </c>
      <c r="AC15" s="101">
        <f>SUMIFS('9'!$E:$E,'9'!$A:$A,Año_Inicial+1,'9'!$B:$B,'12'!AB$4,'9'!$D:$D,"Deshije")</f>
        <v>0</v>
      </c>
      <c r="AD15" s="101">
        <f>((A2_A_L13*Deshije_A)+(A2_B_L13*Deshije_B)+(A2_C_L13*Deshije_C)+(A2_D_L13*Deshije_D)+(A2_Y_L13*Deshije_Y))*Inflación_2</f>
        <v>0</v>
      </c>
      <c r="AE15" s="101">
        <f>SUMIFS('9'!$E:$E,'9'!$A:$A,Año_Inicial+1,'9'!$B:$B,'12'!AD$4,'9'!$D:$D,"Deshije")</f>
        <v>0</v>
      </c>
      <c r="AF15" s="101">
        <f>((A2_A_L14*Deshije_A)+(A2_B_L14*Deshije_B)+(A2_C_L14*Deshije_C)+(A2_D_L14*Deshije_D)+(A2_Y_L14*Deshije_Y))*Inflación_2</f>
        <v>0</v>
      </c>
      <c r="AG15" s="101">
        <f>SUMIFS('9'!$E:$E,'9'!$A:$A,Año_Inicial+1,'9'!$B:$B,'12'!AF$4,'9'!$D:$D,"Deshije")</f>
        <v>0</v>
      </c>
      <c r="AH15" s="101">
        <f>((A2_A_L15*Deshije_A)+(A2_B_L15*Deshije_B)+(A2_C_L15*Deshije_C)+(A2_D_L15*Deshije_D)+(A2_Y_L15*Deshije_Y))*Inflación_2</f>
        <v>0</v>
      </c>
      <c r="AI15" s="101">
        <f>SUMIFS('9'!$E:$E,'9'!$A:$A,Año_Inicial+1,'9'!$B:$B,'12'!AH$4,'9'!$D:$D,"Deshije")</f>
        <v>0</v>
      </c>
      <c r="AJ15" s="101">
        <f>((A2_A_L16*Deshije_A)+(A2_B_L16*Deshije_B)+(A2_C_L16*Deshije_C)+(A2_D_L16*Deshije_D)+(A2_Y_L16*Deshije_Y))*Inflación_2</f>
        <v>0</v>
      </c>
      <c r="AK15" s="101">
        <f>SUMIFS('9'!$E:$E,'9'!$A:$A,Año_Inicial+1,'9'!$B:$B,'12'!AJ$4,'9'!$D:$D,"Deshije")</f>
        <v>0</v>
      </c>
      <c r="AL15" s="101">
        <f>((A2_A_L17*Deshije_A)+(A2_B_L17*Deshije_B)+(A2_C_L17*Deshije_C)+(A2_D_L17*Deshije_D)+(A2_Y_L17*Deshije_Y))*Inflación_2</f>
        <v>0</v>
      </c>
      <c r="AM15" s="101">
        <f>SUMIFS('9'!$E:$E,'9'!$A:$A,Año_Inicial+1,'9'!$B:$B,'12'!AL$4,'9'!$D:$D,"Deshije")</f>
        <v>0</v>
      </c>
      <c r="AN15" s="101">
        <f>((A2_A_L18*Deshije_A)+(A2_B_L18*Deshije_B)+(A2_C_L18*Deshije_C)+(A2_D_L18*Deshije_D)+(A2_Y_L18*Deshije_Y))*Inflación_2</f>
        <v>0</v>
      </c>
      <c r="AO15" s="101">
        <f>SUMIFS('9'!$E:$E,'9'!$A:$A,Año_Inicial+1,'9'!$B:$B,'12'!AN$4,'9'!$D:$D,"Deshije")</f>
        <v>0</v>
      </c>
      <c r="AP15" s="101">
        <f>((A2_A_L19*Deshije_A)+(A2_B_L19*Deshije_B)+(A2_C_L19*Deshije_C)+(A2_D_L19*Deshije_D)+(A2_Y_L19*Deshije_Y))*Inflación_2</f>
        <v>0</v>
      </c>
      <c r="AQ15" s="101">
        <f>SUMIFS('9'!$E:$E,'9'!$A:$A,Año_Inicial+1,'9'!$B:$B,'12'!AP$4,'9'!$D:$D,"Deshije")</f>
        <v>0</v>
      </c>
      <c r="AR15" s="101">
        <f>((A2_A_L20*Deshije_A)+(A2_B_L20*Deshije_B)+(A2_C_L20*Deshije_C)+(A2_D_L20*Deshije_D)+(A2_Y_L20*Deshije_Y))*Inflación_2</f>
        <v>0</v>
      </c>
      <c r="AS15" s="101">
        <f>SUMIFS('9'!$E:$E,'9'!$A:$A,Año_Inicial+1,'9'!$B:$B,'12'!AR$4,'9'!$D:$D,"Deshije")</f>
        <v>0</v>
      </c>
      <c r="AT15" s="101">
        <f>((A2_A_L21*Deshije_A)+(A2_B_L21*Deshije_B)+(A2_C_L21*Deshije_C)+(A2_D_L21*Deshije_D)+(A2_Y_L21*Deshije_Y))*Inflación_2</f>
        <v>0</v>
      </c>
      <c r="AU15" s="101">
        <f>SUMIFS('9'!$E:$E,'9'!$A:$A,Año_Inicial+1,'9'!$B:$B,'12'!AT$4,'9'!$D:$D,"Deshije")</f>
        <v>0</v>
      </c>
      <c r="AV15" s="101">
        <f>((A2_A_L22*Deshije_A)+(A2_B_L22*Deshije_B)+(A2_C_L22*Deshije_C)+(A2_D_L22*Deshije_D)+(A2_Y_L22*Deshije_Y))*Inflación_2</f>
        <v>0</v>
      </c>
      <c r="AW15" s="101">
        <f>SUMIFS('9'!$E:$E,'9'!$A:$A,Año_Inicial+1,'9'!$B:$B,'12'!AV$4,'9'!$D:$D,"Deshije")</f>
        <v>0</v>
      </c>
      <c r="AX15" s="101">
        <f>((A2_A_L23*Deshije_A)+(A2_B_L23*Deshije_B)+(A2_C_L23*Deshije_C)+(A2_D_L23*Deshije_D)+(A2_Y_L23*Deshije_Y))*Inflación_2</f>
        <v>0</v>
      </c>
      <c r="AY15" s="101">
        <f>SUMIFS('9'!$E:$E,'9'!$A:$A,Año_Inicial+1,'9'!$B:$B,'12'!AX$4,'9'!$D:$D,"Deshije")</f>
        <v>0</v>
      </c>
      <c r="AZ15" s="101">
        <f>((A2_A_L24*Deshije_A)+(A2_B_L24*Deshije_B)+(A2_C_L24*Deshije_C)+(A2_D_L24*Deshije_D)+(A2_Y_L24*Deshije_Y))*Inflación_2</f>
        <v>0</v>
      </c>
      <c r="BA15" s="101">
        <f>SUMIFS('9'!$E:$E,'9'!$A:$A,Año_Inicial+1,'9'!$B:$B,'12'!AZ$4,'9'!$D:$D,"Deshije")</f>
        <v>0</v>
      </c>
      <c r="BB15" s="101">
        <f>((A2_A_L25*Deshije_A)+(A2_B_L25*Deshije_B)+(A2_C_L25*Deshije_C)+(A2_D_L25*Deshije_D)+(A2_Y_L25*Deshije_Y))*Inflación_2</f>
        <v>0</v>
      </c>
      <c r="BC15" s="101">
        <f>SUMIFS('9'!$E:$E,'9'!$A:$A,Año_Inicial+1,'9'!$B:$B,'12'!BB$4,'9'!$D:$D,"Deshije")</f>
        <v>0</v>
      </c>
      <c r="BD15" s="101">
        <f>((A2_A_L26*Deshije_A)+(A2_B_L26*Deshije_B)+(A2_C_L26*Deshije_C)+(A2_D_L26*Deshije_D)+(A2_Y_L26*Deshije_Y))*Inflación_2</f>
        <v>0</v>
      </c>
      <c r="BE15" s="101">
        <f>SUMIFS('9'!$E:$E,'9'!$A:$A,Año_Inicial+1,'9'!$B:$B,'12'!BD$4,'9'!$D:$D,"Deshije")</f>
        <v>0</v>
      </c>
      <c r="BF15" s="101">
        <f>((A2_A_L27*Deshije_A)+(A2_B_L27*Deshije_B)+(A2_C_L27*Deshije_C)+(A2_D_L27*Deshije_D)+(A2_Y_L27*Deshije_Y))*Inflación_2</f>
        <v>0</v>
      </c>
      <c r="BG15" s="101">
        <f>SUMIFS('9'!$E:$E,'9'!$A:$A,Año_Inicial+1,'9'!$B:$B,'12'!BF$4,'9'!$D:$D,"Deshije")</f>
        <v>0</v>
      </c>
      <c r="BH15" s="101">
        <f>((A2_A_L28*Deshije_A)+(A2_B_L28*Deshije_B)+(A2_C_L28*Deshije_C)+(A2_D_L28*Deshije_D)+(A2_Y_L28*Deshije_Y))*Inflación_2</f>
        <v>0</v>
      </c>
      <c r="BI15" s="101">
        <f>SUMIFS('9'!$E:$E,'9'!$A:$A,Año_Inicial+1,'9'!$B:$B,'12'!BH$4,'9'!$D:$D,"Deshije")</f>
        <v>0</v>
      </c>
      <c r="BJ15" s="101">
        <f>((A2_A_L29*Deshije_A)+(A2_B_L29*Deshije_B)+(A2_C_L29*Deshije_C)+(A2_D_L29*Deshije_D)+(A2_Y_L29*Deshije_Y))*Inflación_2</f>
        <v>0</v>
      </c>
      <c r="BK15" s="101">
        <f>SUMIFS('9'!$E:$E,'9'!$A:$A,Año_Inicial+1,'9'!$B:$B,'12'!BJ$4,'9'!$D:$D,"Deshije")</f>
        <v>0</v>
      </c>
      <c r="BL15" s="101">
        <f>((A2_A_L30*Deshije_A)+(A2_B_L30*Deshije_B)+(A2_C_L30*Deshije_C)+(A2_D_L30*Deshije_D)+(A2_Y_L30*Deshije_Y))*Inflación_2</f>
        <v>0</v>
      </c>
      <c r="BM15" s="101">
        <f>SUMIFS('9'!$E:$E,'9'!$A:$A,Año_Inicial+1,'9'!$B:$B,'12'!BL$4,'9'!$D:$D,"Deshije")</f>
        <v>0</v>
      </c>
      <c r="BN15" s="101">
        <f>((A2_A_L31*Deshije_A)+(A2_B_L31*Deshije_B)+(A2_C_L31*Deshije_C)+(A2_D_L31*Deshije_D)+(A2_Y_L31*Deshije_Y))*Inflación_2</f>
        <v>0</v>
      </c>
      <c r="BO15" s="101">
        <f>SUMIFS('9'!$E:$E,'9'!$A:$A,Año_Inicial+1,'9'!$B:$B,'12'!BN$4,'9'!$D:$D,"Deshije")</f>
        <v>0</v>
      </c>
      <c r="BP15" s="101">
        <f>((A2_A_L32*Deshije_A)+(A2_B_L32*Deshije_B)+(A2_C_L32*Deshije_C)+(A2_D_L32*Deshije_D)+(A2_Y_L32*Deshije_Y))*Inflación_2</f>
        <v>0</v>
      </c>
      <c r="BQ15" s="101">
        <f>SUMIFS('9'!$E:$E,'9'!$A:$A,Año_Inicial+1,'9'!$B:$B,'12'!BP$4,'9'!$D:$D,"Deshije")</f>
        <v>0</v>
      </c>
      <c r="BR15" s="101">
        <f>((A2_A_L33*Deshije_A)+(A2_B_L33*Deshije_B)+(A2_C_L33*Deshije_C)+(A2_D_L33*Deshije_D)+(A2_Y_L33*Deshije_Y))*Inflación_2</f>
        <v>0</v>
      </c>
      <c r="BS15" s="101">
        <f>SUMIFS('9'!$E:$E,'9'!$A:$A,Año_Inicial+1,'9'!$B:$B,'12'!BR$4,'9'!$D:$D,"Deshije")</f>
        <v>0</v>
      </c>
      <c r="BT15" s="101">
        <f>((A2_A_L34*Deshije_A)+(A2_B_L34*Deshije_B)+(A2_C_L34*Deshije_C)+(A2_D_L34*Deshije_D)+(A2_Y_L34*Deshije_Y))*Inflación_2</f>
        <v>0</v>
      </c>
      <c r="BU15" s="101">
        <f>SUMIFS('9'!$E:$E,'9'!$A:$A,Año_Inicial+1,'9'!$B:$B,'12'!BT$4,'9'!$D:$D,"Deshije")</f>
        <v>0</v>
      </c>
      <c r="BV15" s="101">
        <f>((A2_A_L35*Deshije_A)+(A2_B_L35*Deshije_B)+(A2_C_L35*Deshije_C)+(A2_D_L35*Deshije_D)+(A2_Y_L35*Deshije_Y))*Inflación_2</f>
        <v>0</v>
      </c>
      <c r="BW15" s="101">
        <f>SUMIFS('9'!$E:$E,'9'!$A:$A,Año_Inicial+1,'9'!$B:$B,'12'!BV$4,'9'!$D:$D,"Deshije")</f>
        <v>0</v>
      </c>
      <c r="BX15" s="101">
        <f>((A2_A_L36*Deshije_A)+(A2_B_L36*Deshije_B)+(A2_C_L36*Deshije_C)+(A2_D_L36*Deshije_D)+(A2_Y_L36*Deshije_Y))*Inflación_2</f>
        <v>0</v>
      </c>
      <c r="BY15" s="101">
        <f>SUMIFS('9'!$E:$E,'9'!$A:$A,Año_Inicial+1,'9'!$B:$B,'12'!BX$4,'9'!$D:$D,"Deshije")</f>
        <v>0</v>
      </c>
      <c r="BZ15" s="101">
        <f>((A2_A_L37*Deshije_A)+(A2_B_L37*Deshije_B)+(A2_C_L37*Deshije_C)+(A2_D_L37*Deshije_D)+(A2_Y_L37*Deshije_Y))*Inflación_2</f>
        <v>0</v>
      </c>
      <c r="CA15" s="101">
        <f>SUMIFS('9'!$E:$E,'9'!$A:$A,Año_Inicial+1,'9'!$B:$B,'12'!BZ$4,'9'!$D:$D,"Deshije")</f>
        <v>0</v>
      </c>
      <c r="CB15" s="101">
        <f>((A2_A_L38*Deshije_A)+(A2_B_L38*Deshije_B)+(A2_C_L38*Deshije_C)+(A2_D_L38*Deshije_D)+(A2_Y_L38*Deshije_Y))*Inflación_2</f>
        <v>0</v>
      </c>
      <c r="CC15" s="101">
        <f>SUMIFS('9'!$E:$E,'9'!$A:$A,Año_Inicial+1,'9'!$B:$B,'12'!CB$4,'9'!$D:$D,"Deshije")</f>
        <v>0</v>
      </c>
      <c r="CD15" s="101">
        <f>((A2_A_L39*Deshije_A)+(A2_B_L39*Deshije_B)+(A2_C_L39*Deshije_C)+(A2_D_L39*Deshije_D)+(A2_Y_L39*Deshije_Y))*Inflación_2</f>
        <v>0</v>
      </c>
      <c r="CE15" s="101">
        <f>SUMIFS('9'!$E:$E,'9'!$A:$A,Año_Inicial+1,'9'!$B:$B,'12'!CD$4,'9'!$D:$D,"Deshije")</f>
        <v>0</v>
      </c>
      <c r="CF15" s="101">
        <f>((A2_A_L40*Deshije_A)+(A2_B_L40*Deshije_B)+(A2_C_L40*Deshije_C)+(A2_D_L40*Deshije_D)+(A2_Y_L40*Deshije_Y))*Inflación_2</f>
        <v>0</v>
      </c>
      <c r="CG15" s="101">
        <f>SUMIFS('9'!$E:$E,'9'!$A:$A,Año_Inicial+1,'9'!$B:$B,'12'!CF$4,'9'!$D:$D,"Deshije")</f>
        <v>0</v>
      </c>
      <c r="CH15" s="473"/>
      <c r="CI15" s="101">
        <f>Plantas_A_A2*Deshije_A*Inflación_2</f>
        <v>0</v>
      </c>
      <c r="CJ15" s="101">
        <f>Plantas_B_A2*Deshije_B</f>
        <v>0</v>
      </c>
      <c r="CK15" s="101">
        <f>Plantas_C_A2*Deshije_C</f>
        <v>0</v>
      </c>
      <c r="CL15" s="101">
        <f>Plantas_D_A2*Deshije_D</f>
        <v>0</v>
      </c>
      <c r="CM15" s="101"/>
      <c r="CN15" s="101">
        <f>Plantas_Y_A2*Deshije_Y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90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7">SUM(CI17:CN17)</f>
        <v>0</v>
      </c>
      <c r="C17" s="101">
        <f>SUMIFS('9'!$E:$E,'9'!$A:$A,Año_Inicial+1,'9'!$D:$D,"Aplicación de fertilizante")</f>
        <v>0</v>
      </c>
      <c r="D17" s="100">
        <f t="shared" si="46"/>
        <v>0</v>
      </c>
      <c r="E17" s="490"/>
      <c r="F17" s="101">
        <f>((A2_A_L1*Nutrición_A)+(A2_B_L1*Nutrición_B)+(A2_C_L1*Nutrición_C)+(A2_D_L1*Nutrición_D)+(A2_Y_L1*Nutrición_Y))*Inflación_2</f>
        <v>0</v>
      </c>
      <c r="G17" s="101">
        <f>SUMIFS('9'!$E:$E,'9'!$A:$A,Año_Inicial+1,'9'!$B:$B,'12'!F$4,'9'!$D:$D,"Aplicación de fertilizante")</f>
        <v>0</v>
      </c>
      <c r="H17" s="101">
        <f>((A2_A_L2*Nutrición_A)+(A2_B_L2*Nutrición_B)+(A2_C_L2*Nutrición_C)+(A2_D_L2*Nutrición_D)+(A2_Y_L2*Nutrición_Y))*Inflación_2</f>
        <v>0</v>
      </c>
      <c r="I17" s="101">
        <f>SUMIFS('9'!$E:$E,'9'!$A:$A,Año_Inicial+1,'9'!$B:$B,'12'!H$4,'9'!$D:$D,"Aplicación de fertilizante")</f>
        <v>0</v>
      </c>
      <c r="J17" s="101">
        <f>((A2_A_L3*Nutrición_A)+(A2_B_L3*Nutrición_B)+(A2_C_L3*Nutrición_C)+(A2_D_L3*Nutrición_D)+(A2_Y_L3*Nutrición_Y))*Inflación_2</f>
        <v>0</v>
      </c>
      <c r="K17" s="101">
        <f>SUMIFS('9'!$E:$E,'9'!$A:$A,Año_Inicial+1,'9'!$B:$B,'12'!J$4,'9'!$D:$D,"Aplicación de fertilizante")</f>
        <v>0</v>
      </c>
      <c r="L17" s="101">
        <f>((A2_A_L4*Nutrición_A)+(A2_B_L4*Nutrición_B)+(A2_C_L4*Nutrición_C)+(A2_D_L4*Nutrición_D)+(A2_Y_L4*Nutrición_Y))*Inflación_2</f>
        <v>0</v>
      </c>
      <c r="M17" s="101">
        <f>SUMIFS('9'!$E:$E,'9'!$A:$A,Año_Inicial+1,'9'!$B:$B,'12'!L$4,'9'!$D:$D,"Aplicación de fertilizante")</f>
        <v>0</v>
      </c>
      <c r="N17" s="101">
        <f>((A2_A_L5*Nutrición_A)+(A2_B_L5*Nutrición_B)+(A2_C_L5*Nutrición_C)+(A2_D_L5*Nutrición_D)+(A2_Y_L5*Nutrición_Y))*Inflación_2</f>
        <v>0</v>
      </c>
      <c r="O17" s="101">
        <f>SUMIFS('9'!$E:$E,'9'!$A:$A,Año_Inicial+1,'9'!$B:$B,'12'!N$4,'9'!$D:$D,"Aplicación de fertilizante")</f>
        <v>0</v>
      </c>
      <c r="P17" s="101">
        <f>((A2_A_L6*Nutrición_A)+(A2_B_L6*Nutrición_B)+(A2_C_L6*Nutrición_C)+(A2_D_L6*Nutrición_D)+(A2_Y_L6*Nutrición_Y))*Inflación_2</f>
        <v>0</v>
      </c>
      <c r="Q17" s="101">
        <f>SUMIFS('9'!$E:$E,'9'!$A:$A,Año_Inicial+1,'9'!$B:$B,'12'!P$4,'9'!$D:$D,"Aplicación de fertilizante")</f>
        <v>0</v>
      </c>
      <c r="R17" s="101">
        <f>((A2_A_L7*Nutrición_A)+(A2_B_L7*Nutrición_B)+(A2_C_L7*Nutrición_C)+(A2_D_L7*Nutrición_D)+(A2_Y_L7*Nutrición_Y))*Inflación_2</f>
        <v>0</v>
      </c>
      <c r="S17" s="101">
        <f>SUMIFS('9'!$E:$E,'9'!$A:$A,Año_Inicial+1,'9'!$B:$B,'12'!R$4,'9'!$D:$D,"Aplicación de fertilizante")</f>
        <v>0</v>
      </c>
      <c r="T17" s="101">
        <f>((A2_A_L8*Nutrición_A)+(A2_B_L8*Nutrición_B)+(A2_C_L8*Nutrición_C)+(A2_D_L8*Nutrición_D)+(A2_Y_L8*Nutrición_Y))*Inflación_2</f>
        <v>0</v>
      </c>
      <c r="U17" s="101">
        <f>SUMIFS('9'!$E:$E,'9'!$A:$A,Año_Inicial+1,'9'!$B:$B,'12'!T$4,'9'!$D:$D,"Aplicación de fertilizante")</f>
        <v>0</v>
      </c>
      <c r="V17" s="101">
        <f>((A2_A_L9*Nutrición_A)+(A2_B_L9*Nutrición_B)+(A2_C_L9*Nutrición_C)+(A2_D_L9*Nutrición_D)+(A2_Y_L9*Nutrición_Y))*Inflación_2</f>
        <v>0</v>
      </c>
      <c r="W17" s="101">
        <f>SUMIFS('9'!$E:$E,'9'!$A:$A,Año_Inicial+1,'9'!$B:$B,'12'!V$4,'9'!$D:$D,"Aplicación de fertilizante")</f>
        <v>0</v>
      </c>
      <c r="X17" s="101">
        <f>((A2_A_L10*Nutrición_A)+(A2_B_L10*Nutrición_B)+(A2_C_L10*Nutrición_C)+(A2_D_L10*Nutrición_D)+(A2_Y_L10*Nutrición_Y))*Inflación_2</f>
        <v>0</v>
      </c>
      <c r="Y17" s="101">
        <f>SUMIFS('9'!$E:$E,'9'!$A:$A,Año_Inicial+1,'9'!$B:$B,'12'!X$4,'9'!$D:$D,"Aplicación de fertilizante")</f>
        <v>0</v>
      </c>
      <c r="Z17" s="101">
        <f>((A2_A_L11*Nutrición_A)+(A2_B_L11*Nutrición_B)+(A2_C_L11*Nutrición_C)+(A2_D_L11*Nutrición_D)+(A2_Y_L11*Nutrición_Y))*Inflación_2</f>
        <v>0</v>
      </c>
      <c r="AA17" s="101">
        <f>SUMIFS('9'!$E:$E,'9'!$A:$A,Año_Inicial+1,'9'!$B:$B,'12'!Z$4,'9'!$D:$D,"Aplicación de fertilizante")</f>
        <v>0</v>
      </c>
      <c r="AB17" s="101">
        <f>((A2_A_L12*Nutrición_A)+(A2_B_L12*Nutrición_B)+(A2_C_L12*Nutrición_C)+(A2_D_L12*Nutrición_D)+(A2_Y_L12*Nutrición_Y))*Inflación_2</f>
        <v>0</v>
      </c>
      <c r="AC17" s="101">
        <f>SUMIFS('9'!$E:$E,'9'!$A:$A,Año_Inicial+1,'9'!$B:$B,'12'!AB$4,'9'!$D:$D,"Aplicación de fertilizante")</f>
        <v>0</v>
      </c>
      <c r="AD17" s="101">
        <f>((A2_A_L13*Nutrición_A)+(A2_B_L13*Nutrición_B)+(A2_C_L13*Nutrición_C)+(A2_D_L13*Nutrición_D)+(A2_Y_L13*Nutrición_Y))*Inflación_2</f>
        <v>0</v>
      </c>
      <c r="AE17" s="101">
        <f>SUMIFS('9'!$E:$E,'9'!$A:$A,Año_Inicial+1,'9'!$B:$B,'12'!AD$4,'9'!$D:$D,"Aplicación de fertilizante")</f>
        <v>0</v>
      </c>
      <c r="AF17" s="101">
        <f>((A2_A_L14*Nutrición_A)+(A2_B_L14*Nutrición_B)+(A2_C_L14*Nutrición_C)+(A2_D_L14*Nutrición_D)+(A2_Y_L14*Nutrición_Y))*Inflación_2</f>
        <v>0</v>
      </c>
      <c r="AG17" s="101">
        <f>SUMIFS('9'!$E:$E,'9'!$A:$A,Año_Inicial+1,'9'!$B:$B,'12'!AF$4,'9'!$D:$D,"Aplicación de fertilizante")</f>
        <v>0</v>
      </c>
      <c r="AH17" s="101">
        <f>((A2_A_L15*Nutrición_A)+(A2_B_L15*Nutrición_B)+(A2_C_L15*Nutrición_C)+(A2_D_L15*Nutrición_D)+(A2_Y_L15*Nutrición_Y))*Inflación_2</f>
        <v>0</v>
      </c>
      <c r="AI17" s="101">
        <f>SUMIFS('9'!$E:$E,'9'!$A:$A,Año_Inicial+1,'9'!$B:$B,'12'!AH$4,'9'!$D:$D,"Aplicación de fertilizante")</f>
        <v>0</v>
      </c>
      <c r="AJ17" s="101">
        <f>((A2_A_L16*Nutrición_A)+(A2_B_L16*Nutrición_B)+(A2_C_L16*Nutrición_C)+(A2_D_L16*Nutrición_D)+(A2_Y_L16*Nutrición_Y))*Inflación_2</f>
        <v>0</v>
      </c>
      <c r="AK17" s="101">
        <f>SUMIFS('9'!$E:$E,'9'!$A:$A,Año_Inicial+1,'9'!$B:$B,'12'!AJ$4,'9'!$D:$D,"Aplicación de fertilizante")</f>
        <v>0</v>
      </c>
      <c r="AL17" s="101">
        <f>((A2_A_L17*Nutrición_A)+(A2_B_L17*Nutrición_B)+(A2_C_L17*Nutrición_C)+(A2_D_L17*Nutrición_D)+(A2_Y_L17*Nutrición_Y))*Inflación_2</f>
        <v>0</v>
      </c>
      <c r="AM17" s="101">
        <f>SUMIFS('9'!$E:$E,'9'!$A:$A,Año_Inicial+1,'9'!$B:$B,'12'!AL$4,'9'!$D:$D,"Aplicación de fertilizante")</f>
        <v>0</v>
      </c>
      <c r="AN17" s="101">
        <f>((A2_A_L18*Nutrición_A)+(A2_B_L18*Nutrición_B)+(A2_C_L18*Nutrición_C)+(A2_D_L18*Nutrición_D)+(A2_Y_L18*Nutrición_Y))*Inflación_2</f>
        <v>0</v>
      </c>
      <c r="AO17" s="101">
        <f>SUMIFS('9'!$E:$E,'9'!$A:$A,Año_Inicial+1,'9'!$B:$B,'12'!AN$4,'9'!$D:$D,"Aplicación de fertilizante")</f>
        <v>0</v>
      </c>
      <c r="AP17" s="101">
        <f>((A2_A_L19*Nutrición_A)+(A2_B_L19*Nutrición_B)+(A2_C_L19*Nutrición_C)+(A2_D_L19*Nutrición_D)+(A2_Y_L19*Nutrición_Y))*Inflación_2</f>
        <v>0</v>
      </c>
      <c r="AQ17" s="101">
        <f>SUMIFS('9'!$E:$E,'9'!$A:$A,Año_Inicial+1,'9'!$B:$B,'12'!AP$4,'9'!$D:$D,"Aplicación de fertilizante")</f>
        <v>0</v>
      </c>
      <c r="AR17" s="101">
        <f>((A2_A_L20*Nutrición_A)+(A2_B_L20*Nutrición_B)+(A2_C_L20*Nutrición_C)+(A2_D_L20*Nutrición_D)+(A2_Y_L20*Nutrición_Y))*Inflación_2</f>
        <v>0</v>
      </c>
      <c r="AS17" s="101">
        <f>SUMIFS('9'!$E:$E,'9'!$A:$A,Año_Inicial+1,'9'!$B:$B,'12'!AR$4,'9'!$D:$D,"Aplicación de fertilizante")</f>
        <v>0</v>
      </c>
      <c r="AT17" s="101">
        <f>((A2_A_L21*Nutrición_A)+(A2_B_L21*Nutrición_B)+(A2_C_L21*Nutrición_C)+(A2_D_L21*Nutrición_D)+(A2_Y_L21*Nutrición_Y))*Inflación_2</f>
        <v>0</v>
      </c>
      <c r="AU17" s="101">
        <f>SUMIFS('9'!$E:$E,'9'!$A:$A,Año_Inicial+1,'9'!$B:$B,'12'!AT$4,'9'!$D:$D,"Aplicación de fertilizante")</f>
        <v>0</v>
      </c>
      <c r="AV17" s="101">
        <f>((A2_A_L22*Nutrición_A)+(A2_B_L22*Nutrición_B)+(A2_C_L22*Nutrición_C)+(A2_D_L22*Nutrición_D)+(A2_Y_L22*Nutrición_Y))*Inflación_2</f>
        <v>0</v>
      </c>
      <c r="AW17" s="101">
        <f>SUMIFS('9'!$E:$E,'9'!$A:$A,Año_Inicial+1,'9'!$B:$B,'12'!AV$4,'9'!$D:$D,"Aplicación de fertilizante")</f>
        <v>0</v>
      </c>
      <c r="AX17" s="101">
        <f>((A2_A_L23*Nutrición_A)+(A2_B_L23*Nutrición_B)+(A2_C_L23*Nutrición_C)+(A2_D_L23*Nutrición_D)+(A2_Y_L23*Nutrición_Y))*Inflación_2</f>
        <v>0</v>
      </c>
      <c r="AY17" s="101">
        <f>SUMIFS('9'!$E:$E,'9'!$A:$A,Año_Inicial+1,'9'!$B:$B,'12'!AX$4,'9'!$D:$D,"Aplicación de fertilizante")</f>
        <v>0</v>
      </c>
      <c r="AZ17" s="101">
        <f>((A2_A_L24*Nutrición_A)+(A2_B_L24*Nutrición_B)+(A2_C_L24*Nutrición_C)+(A2_D_L24*Nutrición_D)+(A2_Y_L24*Nutrición_Y))*Inflación_2</f>
        <v>0</v>
      </c>
      <c r="BA17" s="101">
        <f>SUMIFS('9'!$E:$E,'9'!$A:$A,Año_Inicial+1,'9'!$B:$B,'12'!AZ$4,'9'!$D:$D,"Aplicación de fertilizante")</f>
        <v>0</v>
      </c>
      <c r="BB17" s="101">
        <f>((A2_A_L25*Nutrición_A)+(A2_B_L25*Nutrición_B)+(A2_C_L25*Nutrición_C)+(A2_D_L25*Nutrición_D)+(A2_Y_L25*Nutrición_Y))*Inflación_2</f>
        <v>0</v>
      </c>
      <c r="BC17" s="101">
        <f>SUMIFS('9'!$E:$E,'9'!$A:$A,Año_Inicial+1,'9'!$B:$B,'12'!BB$4,'9'!$D:$D,"Aplicación de fertilizante")</f>
        <v>0</v>
      </c>
      <c r="BD17" s="101">
        <f>((A2_A_L26*Nutrición_A)+(A2_B_L26*Nutrición_B)+(A2_C_L26*Nutrición_C)+(A2_D_L26*Nutrición_D)+(A2_Y_L26*Nutrición_Y))*Inflación_2</f>
        <v>0</v>
      </c>
      <c r="BE17" s="101">
        <f>SUMIFS('9'!$E:$E,'9'!$A:$A,Año_Inicial+1,'9'!$B:$B,'12'!BD$4,'9'!$D:$D,"Aplicación de fertilizante")</f>
        <v>0</v>
      </c>
      <c r="BF17" s="101">
        <f>((A2_A_L27*Nutrición_A)+(A2_B_L27*Nutrición_B)+(A2_C_L27*Nutrición_C)+(A2_D_L27*Nutrición_D)+(A2_Y_L27*Nutrición_Y))*Inflación_2</f>
        <v>0</v>
      </c>
      <c r="BG17" s="101">
        <f>SUMIFS('9'!$E:$E,'9'!$A:$A,Año_Inicial+1,'9'!$B:$B,'12'!BF$4,'9'!$D:$D,"Aplicación de fertilizante")</f>
        <v>0</v>
      </c>
      <c r="BH17" s="101">
        <f>((A2_A_L28*Nutrición_A)+(A2_B_L28*Nutrición_B)+(A2_C_L28*Nutrición_C)+(A2_D_L28*Nutrición_D)+(A2_Y_L28*Nutrición_Y))*Inflación_2</f>
        <v>0</v>
      </c>
      <c r="BI17" s="101">
        <f>SUMIFS('9'!$E:$E,'9'!$A:$A,Año_Inicial+1,'9'!$B:$B,'12'!BH$4,'9'!$D:$D,"Aplicación de fertilizante")</f>
        <v>0</v>
      </c>
      <c r="BJ17" s="101">
        <f>((A2_A_L29*Nutrición_A)+(A2_B_L29*Nutrición_B)+(A2_C_L29*Nutrición_C)+(A2_D_L29*Nutrición_D)+(A2_Y_L29*Nutrición_Y))*Inflación_2</f>
        <v>0</v>
      </c>
      <c r="BK17" s="101">
        <f>SUMIFS('9'!$E:$E,'9'!$A:$A,Año_Inicial+1,'9'!$B:$B,'12'!BJ$4,'9'!$D:$D,"Aplicación de fertilizante")</f>
        <v>0</v>
      </c>
      <c r="BL17" s="101">
        <f>((A2_A_L30*Nutrición_A)+(A2_B_L30*Nutrición_B)+(A2_C_L30*Nutrición_C)+(A2_D_L30*Nutrición_D)+(A2_Y_L30*Nutrición_Y))*Inflación_2</f>
        <v>0</v>
      </c>
      <c r="BM17" s="101">
        <f>SUMIFS('9'!$E:$E,'9'!$A:$A,Año_Inicial+1,'9'!$B:$B,'12'!BL$4,'9'!$D:$D,"Aplicación de fertilizante")</f>
        <v>0</v>
      </c>
      <c r="BN17" s="101">
        <f>((A2_A_L31*Nutrición_A)+(A2_B_L31*Nutrición_B)+(A2_C_L31*Nutrición_C)+(A2_D_L31*Nutrición_D)+(A2_Y_L31*Nutrición_Y))*Inflación_2</f>
        <v>0</v>
      </c>
      <c r="BO17" s="101">
        <f>SUMIFS('9'!$E:$E,'9'!$A:$A,Año_Inicial+1,'9'!$B:$B,'12'!BN$4,'9'!$D:$D,"Aplicación de fertilizante")</f>
        <v>0</v>
      </c>
      <c r="BP17" s="101">
        <f>((A2_A_L32*Nutrición_A)+(A2_B_L32*Nutrición_B)+(A2_C_L32*Nutrición_C)+(A2_D_L32*Nutrición_D)+(A2_Y_L32*Nutrición_Y))*Inflación_2</f>
        <v>0</v>
      </c>
      <c r="BQ17" s="101">
        <f>SUMIFS('9'!$E:$E,'9'!$A:$A,Año_Inicial+1,'9'!$B:$B,'12'!BP$4,'9'!$D:$D,"Aplicación de fertilizante")</f>
        <v>0</v>
      </c>
      <c r="BR17" s="101">
        <f>((A2_A_L33*Nutrición_A)+(A2_B_L33*Nutrición_B)+(A2_C_L33*Nutrición_C)+(A2_D_L33*Nutrición_D)+(A2_Y_L33*Nutrición_Y))*Inflación_2</f>
        <v>0</v>
      </c>
      <c r="BS17" s="101">
        <f>SUMIFS('9'!$E:$E,'9'!$A:$A,Año_Inicial+1,'9'!$B:$B,'12'!BR$4,'9'!$D:$D,"Aplicación de fertilizante")</f>
        <v>0</v>
      </c>
      <c r="BT17" s="101">
        <f>((A2_A_L34*Nutrición_A)+(A2_B_L34*Nutrición_B)+(A2_C_L34*Nutrición_C)+(A2_D_L34*Nutrición_D)+(A2_Y_L34*Nutrición_Y))*Inflación_2</f>
        <v>0</v>
      </c>
      <c r="BU17" s="101">
        <f>SUMIFS('9'!$E:$E,'9'!$A:$A,Año_Inicial+1,'9'!$B:$B,'12'!BT$4,'9'!$D:$D,"Aplicación de fertilizante")</f>
        <v>0</v>
      </c>
      <c r="BV17" s="101">
        <f>((A2_A_L35*Nutrición_A)+(A2_B_L35*Nutrición_B)+(A2_C_L35*Nutrición_C)+(A2_D_L35*Nutrición_D)+(A2_Y_L35*Nutrición_Y))*Inflación_2</f>
        <v>0</v>
      </c>
      <c r="BW17" s="101">
        <f>SUMIFS('9'!$E:$E,'9'!$A:$A,Año_Inicial+1,'9'!$B:$B,'12'!BV$4,'9'!$D:$D,"Aplicación de fertilizante")</f>
        <v>0</v>
      </c>
      <c r="BX17" s="101">
        <f>((A2_A_L36*Nutrición_A)+(A2_B_L36*Nutrición_B)+(A2_C_L36*Nutrición_C)+(A2_D_L36*Nutrición_D)+(A2_Y_L36*Nutrición_Y))*Inflación_2</f>
        <v>0</v>
      </c>
      <c r="BY17" s="101">
        <f>SUMIFS('9'!$E:$E,'9'!$A:$A,Año_Inicial+1,'9'!$B:$B,'12'!BX$4,'9'!$D:$D,"Aplicación de fertilizante")</f>
        <v>0</v>
      </c>
      <c r="BZ17" s="101">
        <f>((A2_A_L37*Nutrición_A)+(A2_B_L37*Nutrición_B)+(A2_C_L37*Nutrición_C)+(A2_D_L37*Nutrición_D)+(A2_Y_L37*Nutrición_Y))*Inflación_2</f>
        <v>0</v>
      </c>
      <c r="CA17" s="101">
        <f>SUMIFS('9'!$E:$E,'9'!$A:$A,Año_Inicial+1,'9'!$B:$B,'12'!BZ$4,'9'!$D:$D,"Aplicación de fertilizante")</f>
        <v>0</v>
      </c>
      <c r="CB17" s="101">
        <f>((A2_A_L38*Nutrición_A)+(A2_B_L38*Nutrición_B)+(A2_C_L38*Nutrición_C)+(A2_D_L38*Nutrición_D)+(A2_Y_L38*Nutrición_Y))*Inflación_2</f>
        <v>0</v>
      </c>
      <c r="CC17" s="101">
        <f>SUMIFS('9'!$E:$E,'9'!$A:$A,Año_Inicial+1,'9'!$B:$B,'12'!CB$4,'9'!$D:$D,"Aplicación de fertilizante")</f>
        <v>0</v>
      </c>
      <c r="CD17" s="101">
        <f>((A2_A_L39*Nutrición_A)+(A2_B_L39*Nutrición_B)+(A2_C_L39*Nutrición_C)+(A2_D_L39*Nutrición_D)+(A2_Y_L39*Nutrición_Y))*Inflación_2</f>
        <v>0</v>
      </c>
      <c r="CE17" s="101">
        <f>SUMIFS('9'!$E:$E,'9'!$A:$A,Año_Inicial+1,'9'!$B:$B,'12'!CD$4,'9'!$D:$D,"Aplicación de fertilizante")</f>
        <v>0</v>
      </c>
      <c r="CF17" s="101">
        <f>((A2_A_L40*Nutrición_A)+(A2_B_L40*Nutrición_B)+(A2_C_L40*Nutrición_C)+(A2_D_L40*Nutrición_D)+(A2_Y_L40*Nutrición_Y))*Inflación_2</f>
        <v>0</v>
      </c>
      <c r="CG17" s="101">
        <f>SUMIFS('9'!$E:$E,'9'!$A:$A,Año_Inicial+1,'9'!$B:$B,'12'!CF$4,'9'!$D:$D,"Aplicación de fertilizante")</f>
        <v>0</v>
      </c>
      <c r="CH17" s="473"/>
      <c r="CI17" s="101">
        <f>Plantas_A_A2*Nutrición_A*Inflación_2</f>
        <v>0</v>
      </c>
      <c r="CJ17" s="101">
        <f>Plantas_B_A2*Nutrición_B</f>
        <v>0</v>
      </c>
      <c r="CK17" s="101">
        <f>Plantas_C_A2*Nutrición_C</f>
        <v>0</v>
      </c>
      <c r="CL17" s="101">
        <f>Plantas_D_A2*Nutrición_D</f>
        <v>0</v>
      </c>
      <c r="CM17" s="101"/>
      <c r="CN17" s="101">
        <f>Plantas_Y_A2*Nutrición_Y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7"/>
        <v>0</v>
      </c>
      <c r="C18" s="101">
        <f>SUMIFS('9'!$E:$E,'9'!$A:$A,Año_Inicial+1,'9'!$D:$D,"Aplicación de enmiendas")</f>
        <v>0</v>
      </c>
      <c r="D18" s="100">
        <f t="shared" si="46"/>
        <v>0</v>
      </c>
      <c r="E18" s="490"/>
      <c r="F18" s="101">
        <f>((A2_A_L1*Enmienda_A)+(A2_B_L1*Enmienda_B)+(A2_C_L1*Enmienda_C)+(A2_D_L1*Enmienda_D)+(A2_Y_L1*Enmienda_Y))*Inflación_2</f>
        <v>0</v>
      </c>
      <c r="G18" s="101">
        <f>SUMIFS('9'!$E:$E,'9'!$A:$A,Año_Inicial+1,'9'!$B:$B,'12'!F$4,'9'!$D:$D,"Aplicación de enmiendas")</f>
        <v>0</v>
      </c>
      <c r="H18" s="101">
        <f>((A2_A_L2*Enmienda_A)+(A2_B_L2*Enmienda_B)+(A2_C_L2*Enmienda_C)+(A2_D_L2*Enmienda_D)+(A2_Y_L2*Enmienda_Y))*Inflación_2</f>
        <v>0</v>
      </c>
      <c r="I18" s="101">
        <f>SUMIFS('9'!$E:$E,'9'!$A:$A,Año_Inicial+1,'9'!$B:$B,'12'!H$4,'9'!$D:$D,"Aplicación de enmiendas")</f>
        <v>0</v>
      </c>
      <c r="J18" s="101">
        <f>((A2_A_L3*Enmienda_A)+(A2_B_L3*Enmienda_B)+(A2_C_L3*Enmienda_C)+(A2_D_L3*Enmienda_D)+(A2_Y_L3*Enmienda_Y))*Inflación_2</f>
        <v>0</v>
      </c>
      <c r="K18" s="101">
        <f>SUMIFS('9'!$E:$E,'9'!$A:$A,Año_Inicial+1,'9'!$B:$B,'12'!J$4,'9'!$D:$D,"Aplicación de enmiendas")</f>
        <v>0</v>
      </c>
      <c r="L18" s="101">
        <f>((A2_A_L4*Enmienda_A)+(A2_B_L4*Enmienda_B)+(A2_C_L4*Enmienda_C)+(A2_D_L4*Enmienda_D)+(A2_Y_L4*Enmienda_Y))*Inflación_2</f>
        <v>0</v>
      </c>
      <c r="M18" s="101">
        <f>SUMIFS('9'!$E:$E,'9'!$A:$A,Año_Inicial+1,'9'!$B:$B,'12'!L$4,'9'!$D:$D,"Aplicación de enmiendas")</f>
        <v>0</v>
      </c>
      <c r="N18" s="101">
        <f>((A2_A_L5*Enmienda_A)+(A2_B_L5*Enmienda_B)+(A2_C_L5*Enmienda_C)+(A2_D_L5*Enmienda_D)+(A2_Y_L5*Enmienda_Y))*Inflación_2</f>
        <v>0</v>
      </c>
      <c r="O18" s="101">
        <f>SUMIFS('9'!$E:$E,'9'!$A:$A,Año_Inicial+1,'9'!$B:$B,'12'!N$4,'9'!$D:$D,"Aplicación de enmiendas")</f>
        <v>0</v>
      </c>
      <c r="P18" s="101">
        <f>((A2_A_L6*Enmienda_A)+(A2_B_L6*Enmienda_B)+(A2_C_L6*Enmienda_C)+(A2_D_L6*Enmienda_D)+(A2_Y_L6*Enmienda_Y))*Inflación_2</f>
        <v>0</v>
      </c>
      <c r="Q18" s="101">
        <f>SUMIFS('9'!$E:$E,'9'!$A:$A,Año_Inicial+1,'9'!$B:$B,'12'!P$4,'9'!$D:$D,"Aplicación de enmiendas")</f>
        <v>0</v>
      </c>
      <c r="R18" s="101">
        <f>((A2_A_L7*Enmienda_A)+(A2_B_L7*Enmienda_B)+(A2_C_L7*Enmienda_C)+(A2_D_L7*Enmienda_D)+(A2_Y_L7*Enmienda_Y))*Inflación_2</f>
        <v>0</v>
      </c>
      <c r="S18" s="101">
        <f>SUMIFS('9'!$E:$E,'9'!$A:$A,Año_Inicial+1,'9'!$B:$B,'12'!R$4,'9'!$D:$D,"Aplicación de enmiendas")</f>
        <v>0</v>
      </c>
      <c r="T18" s="101">
        <f>((A2_A_L8*Enmienda_A)+(A2_B_L8*Enmienda_B)+(A2_C_L8*Enmienda_C)+(A2_D_L8*Enmienda_D)+(A2_Y_L8*Enmienda_Y))*Inflación_2</f>
        <v>0</v>
      </c>
      <c r="U18" s="101">
        <f>SUMIFS('9'!$E:$E,'9'!$A:$A,Año_Inicial+1,'9'!$B:$B,'12'!T$4,'9'!$D:$D,"Aplicación de enmiendas")</f>
        <v>0</v>
      </c>
      <c r="V18" s="101">
        <f>((A2_A_L9*Enmienda_A)+(A2_B_L9*Enmienda_B)+(A2_C_L9*Enmienda_C)+(A2_D_L9*Enmienda_D)+(A2_Y_L9*Enmienda_Y))*Inflación_2</f>
        <v>0</v>
      </c>
      <c r="W18" s="101">
        <f>SUMIFS('9'!$E:$E,'9'!$A:$A,Año_Inicial+1,'9'!$B:$B,'12'!V$4,'9'!$D:$D,"Aplicación de enmiendas")</f>
        <v>0</v>
      </c>
      <c r="X18" s="101">
        <f>((A2_A_L10*Enmienda_A)+(A2_B_L10*Enmienda_B)+(A2_C_L10*Enmienda_C)+(A2_D_L10*Enmienda_D)+(A2_Y_L10*Enmienda_Y))*Inflación_2</f>
        <v>0</v>
      </c>
      <c r="Y18" s="101">
        <f>SUMIFS('9'!$E:$E,'9'!$A:$A,Año_Inicial+1,'9'!$B:$B,'12'!X$4,'9'!$D:$D,"Aplicación de enmiendas")</f>
        <v>0</v>
      </c>
      <c r="Z18" s="101">
        <f>((A2_A_L11*Enmienda_A)+(A2_B_L11*Enmienda_B)+(A2_C_L11*Enmienda_C)+(A2_D_L11*Enmienda_D)+(A2_Y_L11*Enmienda_Y))*Inflación_2</f>
        <v>0</v>
      </c>
      <c r="AA18" s="101">
        <f>SUMIFS('9'!$E:$E,'9'!$A:$A,Año_Inicial+1,'9'!$B:$B,'12'!Z$4,'9'!$D:$D,"Aplicación de enmiendas")</f>
        <v>0</v>
      </c>
      <c r="AB18" s="101">
        <f>((A2_A_L12*Enmienda_A)+(A2_B_L12*Enmienda_B)+(A2_C_L12*Enmienda_C)+(A2_D_L12*Enmienda_D)+(A2_Y_L12*Enmienda_Y))*Inflación_2</f>
        <v>0</v>
      </c>
      <c r="AC18" s="101">
        <f>SUMIFS('9'!$E:$E,'9'!$A:$A,Año_Inicial+1,'9'!$B:$B,'12'!AB$4,'9'!$D:$D,"Aplicación de enmiendas")</f>
        <v>0</v>
      </c>
      <c r="AD18" s="101">
        <f>((A2_A_L13*Enmienda_A)+(A2_B_L13*Enmienda_B)+(A2_C_L13*Enmienda_C)+(A2_D_L13*Enmienda_D)+(A2_Y_L13*Enmienda_Y))*Inflación_2</f>
        <v>0</v>
      </c>
      <c r="AE18" s="101">
        <f>SUMIFS('9'!$E:$E,'9'!$A:$A,Año_Inicial+1,'9'!$B:$B,'12'!AD$4,'9'!$D:$D,"Aplicación de enmiendas")</f>
        <v>0</v>
      </c>
      <c r="AF18" s="101">
        <f>((A2_A_L14*Enmienda_A)+(A2_B_L14*Enmienda_B)+(A2_C_L14*Enmienda_C)+(A2_D_L14*Enmienda_D)+(A2_Y_L14*Enmienda_Y))*Inflación_2</f>
        <v>0</v>
      </c>
      <c r="AG18" s="101">
        <f>SUMIFS('9'!$E:$E,'9'!$A:$A,Año_Inicial+1,'9'!$B:$B,'12'!AF$4,'9'!$D:$D,"Aplicación de enmiendas")</f>
        <v>0</v>
      </c>
      <c r="AH18" s="101">
        <f>((A2_A_L15*Enmienda_A)+(A2_B_L15*Enmienda_B)+(A2_C_L15*Enmienda_C)+(A2_D_L15*Enmienda_D)+(A2_Y_L15*Enmienda_Y))*Inflación_2</f>
        <v>0</v>
      </c>
      <c r="AI18" s="101">
        <f>SUMIFS('9'!$E:$E,'9'!$A:$A,Año_Inicial+1,'9'!$B:$B,'12'!AH$4,'9'!$D:$D,"Aplicación de enmiendas")</f>
        <v>0</v>
      </c>
      <c r="AJ18" s="101">
        <f>((A2_A_L16*Enmienda_A)+(A2_B_L16*Enmienda_B)+(A2_C_L16*Enmienda_C)+(A2_D_L16*Enmienda_D)+(A2_Y_L16*Enmienda_Y))*Inflación_2</f>
        <v>0</v>
      </c>
      <c r="AK18" s="101">
        <f>SUMIFS('9'!$E:$E,'9'!$A:$A,Año_Inicial+1,'9'!$B:$B,'12'!AJ$4,'9'!$D:$D,"Aplicación de enmiendas")</f>
        <v>0</v>
      </c>
      <c r="AL18" s="101">
        <f>((A2_A_L17*Enmienda_A)+(A2_B_L17*Enmienda_B)+(A2_C_L17*Enmienda_C)+(A2_D_L17*Enmienda_D)+(A2_Y_L17*Enmienda_Y))*Inflación_2</f>
        <v>0</v>
      </c>
      <c r="AM18" s="101">
        <f>SUMIFS('9'!$E:$E,'9'!$A:$A,Año_Inicial+1,'9'!$B:$B,'12'!AL$4,'9'!$D:$D,"Aplicación de enmiendas")</f>
        <v>0</v>
      </c>
      <c r="AN18" s="101">
        <f>((A2_A_L18*Enmienda_A)+(A2_B_L18*Enmienda_B)+(A2_C_L18*Enmienda_C)+(A2_D_L18*Enmienda_D)+(A2_Y_L18*Enmienda_Y))*Inflación_2</f>
        <v>0</v>
      </c>
      <c r="AO18" s="101">
        <f>SUMIFS('9'!$E:$E,'9'!$A:$A,Año_Inicial+1,'9'!$B:$B,'12'!AN$4,'9'!$D:$D,"Aplicación de enmiendas")</f>
        <v>0</v>
      </c>
      <c r="AP18" s="101">
        <f>((A2_A_L19*Enmienda_A)+(A2_B_L19*Enmienda_B)+(A2_C_L19*Enmienda_C)+(A2_D_L19*Enmienda_D)+(A2_Y_L19*Enmienda_Y))*Inflación_2</f>
        <v>0</v>
      </c>
      <c r="AQ18" s="101">
        <f>SUMIFS('9'!$E:$E,'9'!$A:$A,Año_Inicial+1,'9'!$B:$B,'12'!AP$4,'9'!$D:$D,"Aplicación de enmiendas")</f>
        <v>0</v>
      </c>
      <c r="AR18" s="101">
        <f>((A2_A_L20*Enmienda_A)+(A2_B_L20*Enmienda_B)+(A2_C_L20*Enmienda_C)+(A2_D_L20*Enmienda_D)+(A2_Y_L20*Enmienda_Y))*Inflación_2</f>
        <v>0</v>
      </c>
      <c r="AS18" s="101">
        <f>SUMIFS('9'!$E:$E,'9'!$A:$A,Año_Inicial+1,'9'!$B:$B,'12'!AR$4,'9'!$D:$D,"Aplicación de enmiendas")</f>
        <v>0</v>
      </c>
      <c r="AT18" s="101">
        <f>((A2_A_L21*Enmienda_A)+(A2_B_L21*Enmienda_B)+(A2_C_L21*Enmienda_C)+(A2_D_L21*Enmienda_D)+(A2_Y_L21*Enmienda_Y))*Inflación_2</f>
        <v>0</v>
      </c>
      <c r="AU18" s="101">
        <f>SUMIFS('9'!$E:$E,'9'!$A:$A,Año_Inicial+1,'9'!$B:$B,'12'!AT$4,'9'!$D:$D,"Aplicación de enmiendas")</f>
        <v>0</v>
      </c>
      <c r="AV18" s="101">
        <f>((A2_A_L22*Enmienda_A)+(A2_B_L22*Enmienda_B)+(A2_C_L22*Enmienda_C)+(A2_D_L22*Enmienda_D)+(A2_Y_L22*Enmienda_Y))*Inflación_2</f>
        <v>0</v>
      </c>
      <c r="AW18" s="101">
        <f>SUMIFS('9'!$E:$E,'9'!$A:$A,Año_Inicial+1,'9'!$B:$B,'12'!AV$4,'9'!$D:$D,"Aplicación de enmiendas")</f>
        <v>0</v>
      </c>
      <c r="AX18" s="101">
        <f>((A2_A_L23*Enmienda_A)+(A2_B_L23*Enmienda_B)+(A2_C_L23*Enmienda_C)+(A2_D_L23*Enmienda_D)+(A2_Y_L23*Enmienda_Y))*Inflación_2</f>
        <v>0</v>
      </c>
      <c r="AY18" s="101">
        <f>SUMIFS('9'!$E:$E,'9'!$A:$A,Año_Inicial+1,'9'!$B:$B,'12'!AX$4,'9'!$D:$D,"Aplicación de enmiendas")</f>
        <v>0</v>
      </c>
      <c r="AZ18" s="101">
        <f>((A2_A_L24*Enmienda_A)+(A2_B_L24*Enmienda_B)+(A2_C_L24*Enmienda_C)+(A2_D_L24*Enmienda_D)+(A2_Y_L24*Enmienda_Y))*Inflación_2</f>
        <v>0</v>
      </c>
      <c r="BA18" s="101">
        <f>SUMIFS('9'!$E:$E,'9'!$A:$A,Año_Inicial+1,'9'!$B:$B,'12'!AZ$4,'9'!$D:$D,"Aplicación de enmiendas")</f>
        <v>0</v>
      </c>
      <c r="BB18" s="101">
        <f>((A2_A_L25*Enmienda_A)+(A2_B_L25*Enmienda_B)+(A2_C_L25*Enmienda_C)+(A2_D_L25*Enmienda_D)+(A2_Y_L25*Enmienda_Y))*Inflación_2</f>
        <v>0</v>
      </c>
      <c r="BC18" s="101">
        <f>SUMIFS('9'!$E:$E,'9'!$A:$A,Año_Inicial+1,'9'!$B:$B,'12'!BB$4,'9'!$D:$D,"Aplicación de enmiendas")</f>
        <v>0</v>
      </c>
      <c r="BD18" s="101">
        <f>((A2_A_L26*Enmienda_A)+(A2_B_L26*Enmienda_B)+(A2_C_L26*Enmienda_C)+(A2_D_L26*Enmienda_D)+(A2_Y_L26*Enmienda_Y))*Inflación_2</f>
        <v>0</v>
      </c>
      <c r="BE18" s="101">
        <f>SUMIFS('9'!$E:$E,'9'!$A:$A,Año_Inicial+1,'9'!$B:$B,'12'!BD$4,'9'!$D:$D,"Aplicación de enmiendas")</f>
        <v>0</v>
      </c>
      <c r="BF18" s="101">
        <f>((A2_A_L27*Enmienda_A)+(A2_B_L27*Enmienda_B)+(A2_C_L27*Enmienda_C)+(A2_D_L27*Enmienda_D)+(A2_Y_L27*Enmienda_Y))*Inflación_2</f>
        <v>0</v>
      </c>
      <c r="BG18" s="101">
        <f>SUMIFS('9'!$E:$E,'9'!$A:$A,Año_Inicial+1,'9'!$B:$B,'12'!BF$4,'9'!$D:$D,"Aplicación de enmiendas")</f>
        <v>0</v>
      </c>
      <c r="BH18" s="101">
        <f>((A2_A_L28*Enmienda_A)+(A2_B_L28*Enmienda_B)+(A2_C_L28*Enmienda_C)+(A2_D_L28*Enmienda_D)+(A2_Y_L28*Enmienda_Y))*Inflación_2</f>
        <v>0</v>
      </c>
      <c r="BI18" s="101">
        <f>SUMIFS('9'!$E:$E,'9'!$A:$A,Año_Inicial+1,'9'!$B:$B,'12'!BH$4,'9'!$D:$D,"Aplicación de enmiendas")</f>
        <v>0</v>
      </c>
      <c r="BJ18" s="101">
        <f>((A2_A_L29*Enmienda_A)+(A2_B_L29*Enmienda_B)+(A2_C_L29*Enmienda_C)+(A2_D_L29*Enmienda_D)+(A2_Y_L29*Enmienda_Y))*Inflación_2</f>
        <v>0</v>
      </c>
      <c r="BK18" s="101">
        <f>SUMIFS('9'!$E:$E,'9'!$A:$A,Año_Inicial+1,'9'!$B:$B,'12'!BJ$4,'9'!$D:$D,"Aplicación de enmiendas")</f>
        <v>0</v>
      </c>
      <c r="BL18" s="101">
        <f>((A2_A_L30*Enmienda_A)+(A2_B_L30*Enmienda_B)+(A2_C_L30*Enmienda_C)+(A2_D_L30*Enmienda_D)+(A2_Y_L30*Enmienda_Y))*Inflación_2</f>
        <v>0</v>
      </c>
      <c r="BM18" s="101">
        <f>SUMIFS('9'!$E:$E,'9'!$A:$A,Año_Inicial+1,'9'!$B:$B,'12'!BL$4,'9'!$D:$D,"Aplicación de enmiendas")</f>
        <v>0</v>
      </c>
      <c r="BN18" s="101">
        <f>((A2_A_L31*Enmienda_A)+(A2_B_L31*Enmienda_B)+(A2_C_L31*Enmienda_C)+(A2_D_L31*Enmienda_D)+(A2_Y_L31*Enmienda_Y))*Inflación_2</f>
        <v>0</v>
      </c>
      <c r="BO18" s="101">
        <f>SUMIFS('9'!$E:$E,'9'!$A:$A,Año_Inicial+1,'9'!$B:$B,'12'!BN$4,'9'!$D:$D,"Aplicación de enmiendas")</f>
        <v>0</v>
      </c>
      <c r="BP18" s="101">
        <f>((A2_A_L32*Enmienda_A)+(A2_B_L32*Enmienda_B)+(A2_C_L32*Enmienda_C)+(A2_D_L32*Enmienda_D)+(A2_Y_L32*Enmienda_Y))*Inflación_2</f>
        <v>0</v>
      </c>
      <c r="BQ18" s="101">
        <f>SUMIFS('9'!$E:$E,'9'!$A:$A,Año_Inicial+1,'9'!$B:$B,'12'!BP$4,'9'!$D:$D,"Aplicación de enmiendas")</f>
        <v>0</v>
      </c>
      <c r="BR18" s="101">
        <f>((A2_A_L33*Enmienda_A)+(A2_B_L33*Enmienda_B)+(A2_C_L33*Enmienda_C)+(A2_D_L33*Enmienda_D)+(A2_Y_L33*Enmienda_Y))*Inflación_2</f>
        <v>0</v>
      </c>
      <c r="BS18" s="101">
        <f>SUMIFS('9'!$E:$E,'9'!$A:$A,Año_Inicial+1,'9'!$B:$B,'12'!BR$4,'9'!$D:$D,"Aplicación de enmiendas")</f>
        <v>0</v>
      </c>
      <c r="BT18" s="101">
        <f>((A2_A_L34*Enmienda_A)+(A2_B_L34*Enmienda_B)+(A2_C_L34*Enmienda_C)+(A2_D_L34*Enmienda_D)+(A2_Y_L34*Enmienda_Y))*Inflación_2</f>
        <v>0</v>
      </c>
      <c r="BU18" s="101">
        <f>SUMIFS('9'!$E:$E,'9'!$A:$A,Año_Inicial+1,'9'!$B:$B,'12'!BT$4,'9'!$D:$D,"Aplicación de enmiendas")</f>
        <v>0</v>
      </c>
      <c r="BV18" s="101">
        <f>((A2_A_L35*Enmienda_A)+(A2_B_L35*Enmienda_B)+(A2_C_L35*Enmienda_C)+(A2_D_L35*Enmienda_D)+(A2_Y_L35*Enmienda_Y))*Inflación_2</f>
        <v>0</v>
      </c>
      <c r="BW18" s="101">
        <f>SUMIFS('9'!$E:$E,'9'!$A:$A,Año_Inicial+1,'9'!$B:$B,'12'!BV$4,'9'!$D:$D,"Aplicación de enmiendas")</f>
        <v>0</v>
      </c>
      <c r="BX18" s="101">
        <f>((A2_A_L36*Enmienda_A)+(A2_B_L36*Enmienda_B)+(A2_C_L36*Enmienda_C)+(A2_D_L36*Enmienda_D)+(A2_Y_L36*Enmienda_Y))*Inflación_2</f>
        <v>0</v>
      </c>
      <c r="BY18" s="101">
        <f>SUMIFS('9'!$E:$E,'9'!$A:$A,Año_Inicial+1,'9'!$B:$B,'12'!BX$4,'9'!$D:$D,"Aplicación de enmiendas")</f>
        <v>0</v>
      </c>
      <c r="BZ18" s="101">
        <f>((A2_A_L37*Enmienda_A)+(A2_B_L37*Enmienda_B)+(A2_C_L37*Enmienda_C)+(A2_D_L37*Enmienda_D)+(A2_Y_L37*Enmienda_Y))*Inflación_2</f>
        <v>0</v>
      </c>
      <c r="CA18" s="101">
        <f>SUMIFS('9'!$E:$E,'9'!$A:$A,Año_Inicial+1,'9'!$B:$B,'12'!BZ$4,'9'!$D:$D,"Aplicación de enmiendas")</f>
        <v>0</v>
      </c>
      <c r="CB18" s="101">
        <f>((A2_A_L38*Enmienda_A)+(A2_B_L38*Enmienda_B)+(A2_C_L38*Enmienda_C)+(A2_D_L38*Enmienda_D)+(A2_Y_L38*Enmienda_Y))*Inflación_2</f>
        <v>0</v>
      </c>
      <c r="CC18" s="101">
        <f>SUMIFS('9'!$E:$E,'9'!$A:$A,Año_Inicial+1,'9'!$B:$B,'12'!CB$4,'9'!$D:$D,"Aplicación de enmiendas")</f>
        <v>0</v>
      </c>
      <c r="CD18" s="101">
        <f>((A2_A_L39*Enmienda_A)+(A2_B_L39*Enmienda_B)+(A2_C_L39*Enmienda_C)+(A2_D_L39*Enmienda_D)+(A2_Y_L39*Enmienda_Y))*Inflación_2</f>
        <v>0</v>
      </c>
      <c r="CE18" s="101">
        <f>SUMIFS('9'!$E:$E,'9'!$A:$A,Año_Inicial+1,'9'!$B:$B,'12'!CD$4,'9'!$D:$D,"Aplicación de enmiendas")</f>
        <v>0</v>
      </c>
      <c r="CF18" s="101">
        <f>((A2_A_L40*Enmienda_A)+(A2_B_L40*Enmienda_B)+(A2_C_L40*Enmienda_C)+(A2_D_L40*Enmienda_D)+(A2_Y_L40*Enmienda_Y))*Inflación_2</f>
        <v>0</v>
      </c>
      <c r="CG18" s="101">
        <f>SUMIFS('9'!$E:$E,'9'!$A:$A,Año_Inicial+1,'9'!$B:$B,'12'!CF$4,'9'!$D:$D,"Aplicación de enmiendas")</f>
        <v>0</v>
      </c>
      <c r="CH18" s="473"/>
      <c r="CI18" s="101">
        <f>Plantas_A_A2*Enmienda_A*Inflación_2</f>
        <v>0</v>
      </c>
      <c r="CJ18" s="101">
        <f>Plantas_B_A2*Enmienda_B</f>
        <v>0</v>
      </c>
      <c r="CK18" s="101">
        <f>Plantas_C_A2*Enmienda_C</f>
        <v>0</v>
      </c>
      <c r="CL18" s="101">
        <f>Plantas_D_A2*Enmienda_D</f>
        <v>0</v>
      </c>
      <c r="CM18" s="101"/>
      <c r="CN18" s="101">
        <f>Plantas_Y_A2*Enmienda_Y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7"/>
        <v>0</v>
      </c>
      <c r="C19" s="101">
        <f>SUMIFS('9'!$E:$E,'9'!$A:$A,Año_Inicial+1,'9'!$D:$D,"Fertilizante químico")</f>
        <v>0</v>
      </c>
      <c r="D19" s="100">
        <f t="shared" si="46"/>
        <v>0</v>
      </c>
      <c r="E19" s="490"/>
      <c r="F19" s="101">
        <f>((A2_A_L1*Fertilizante_A)+(A2_B_L1*Fertilizante_B)+(A2_C_L1*Fertilizante_C)+(A2_D_L1*Fertilizante_D)+(A2_Y_L1*Fertilizante_Y))*Inflación_2</f>
        <v>0</v>
      </c>
      <c r="G19" s="101">
        <f>SUMIFS('9'!$E:$E,'9'!$A:$A,Año_Inicial+1,'9'!$B:$B,'12'!F$4,'9'!$D:$D,"Fertilizante químico")</f>
        <v>0</v>
      </c>
      <c r="H19" s="101">
        <f>((A2_A_L2*Fertilizante_A)+(A2_B_L2*Fertilizante_B)+(A2_C_L2*Fertilizante_C)+(A2_D_L2*Fertilizante_D)+(A2_Y_L2*Fertilizante_Y))*Inflación_2</f>
        <v>0</v>
      </c>
      <c r="I19" s="101">
        <f>SUMIFS('9'!$E:$E,'9'!$A:$A,Año_Inicial+1,'9'!$B:$B,'12'!H$4,'9'!$D:$D,"Fertilizante químico")</f>
        <v>0</v>
      </c>
      <c r="J19" s="101">
        <f>((A2_A_L3*Fertilizante_A)+(A2_B_L3*Fertilizante_B)+(A2_C_L3*Fertilizante_C)+(A2_D_L3*Fertilizante_D)+(A2_Y_L3*Fertilizante_Y))*Inflación_2</f>
        <v>0</v>
      </c>
      <c r="K19" s="101">
        <f>SUMIFS('9'!$E:$E,'9'!$A:$A,Año_Inicial+1,'9'!$B:$B,'12'!J$4,'9'!$D:$D,"Fertilizante químico")</f>
        <v>0</v>
      </c>
      <c r="L19" s="101">
        <f>((A2_A_L4*Fertilizante_A)+(A2_B_L4*Fertilizante_B)+(A2_C_L4*Fertilizante_C)+(A2_D_L4*Fertilizante_D)+(A2_Y_L4*Fertilizante_Y))*Inflación_2</f>
        <v>0</v>
      </c>
      <c r="M19" s="101">
        <f>SUMIFS('9'!$E:$E,'9'!$A:$A,Año_Inicial+1,'9'!$B:$B,'12'!L$4,'9'!$D:$D,"Fertilizante químico")</f>
        <v>0</v>
      </c>
      <c r="N19" s="101">
        <f>((A2_A_L5*Fertilizante_A)+(A2_B_L5*Fertilizante_B)+(A2_C_L5*Fertilizante_C)+(A2_D_L5*Fertilizante_D)+(A2_Y_L5*Fertilizante_Y))*Inflación_2</f>
        <v>0</v>
      </c>
      <c r="O19" s="101">
        <f>SUMIFS('9'!$E:$E,'9'!$A:$A,Año_Inicial+1,'9'!$B:$B,'12'!N$4,'9'!$D:$D,"Fertilizante químico")</f>
        <v>0</v>
      </c>
      <c r="P19" s="101">
        <f>((A2_A_L6*Fertilizante_A)+(A2_B_L6*Fertilizante_B)+(A2_C_L6*Fertilizante_C)+(A2_D_L6*Fertilizante_D)+(A2_Y_L6*Fertilizante_Y))*Inflación_2</f>
        <v>0</v>
      </c>
      <c r="Q19" s="101">
        <f>SUMIFS('9'!$E:$E,'9'!$A:$A,Año_Inicial+1,'9'!$B:$B,'12'!P$4,'9'!$D:$D,"Fertilizante químico")</f>
        <v>0</v>
      </c>
      <c r="R19" s="101">
        <f>((A2_A_L7*Fertilizante_A)+(A2_B_L7*Fertilizante_B)+(A2_C_L7*Fertilizante_C)+(A2_D_L7*Fertilizante_D)+(A2_Y_L7*Fertilizante_Y))*Inflación_2</f>
        <v>0</v>
      </c>
      <c r="S19" s="101">
        <f>SUMIFS('9'!$E:$E,'9'!$A:$A,Año_Inicial+1,'9'!$B:$B,'12'!R$4,'9'!$D:$D,"Fertilizante químico")</f>
        <v>0</v>
      </c>
      <c r="T19" s="101">
        <f>((A2_A_L8*Fertilizante_A)+(A2_B_L8*Fertilizante_B)+(A2_C_L8*Fertilizante_C)+(A2_D_L8*Fertilizante_D)+(A2_Y_L8*Fertilizante_Y))*Inflación_2</f>
        <v>0</v>
      </c>
      <c r="U19" s="101">
        <f>SUMIFS('9'!$E:$E,'9'!$A:$A,Año_Inicial+1,'9'!$B:$B,'12'!T$4,'9'!$D:$D,"Fertilizante químico")</f>
        <v>0</v>
      </c>
      <c r="V19" s="101">
        <f>((A2_A_L9*Fertilizante_A)+(A2_B_L9*Fertilizante_B)+(A2_C_L9*Fertilizante_C)+(A2_D_L9*Fertilizante_D)+(A2_Y_L9*Fertilizante_Y))*Inflación_2</f>
        <v>0</v>
      </c>
      <c r="W19" s="101">
        <f>SUMIFS('9'!$E:$E,'9'!$A:$A,Año_Inicial+1,'9'!$B:$B,'12'!V$4,'9'!$D:$D,"Fertilizante químico")</f>
        <v>0</v>
      </c>
      <c r="X19" s="101">
        <f>((A2_A_L10*Fertilizante_A)+(A2_B_L10*Fertilizante_B)+(A2_C_L10*Fertilizante_C)+(A2_D_L10*Fertilizante_D)+(A2_Y_L10*Fertilizante_Y))*Inflación_2</f>
        <v>0</v>
      </c>
      <c r="Y19" s="101">
        <f>SUMIFS('9'!$E:$E,'9'!$A:$A,Año_Inicial+1,'9'!$B:$B,'12'!X$4,'9'!$D:$D,"Fertilizante químico")</f>
        <v>0</v>
      </c>
      <c r="Z19" s="101">
        <f>((A2_A_L11*Fertilizante_A)+(A2_B_L11*Fertilizante_B)+(A2_C_L11*Fertilizante_C)+(A2_D_L11*Fertilizante_D)+(A2_Y_L11*Fertilizante_Y))*Inflación_2</f>
        <v>0</v>
      </c>
      <c r="AA19" s="101">
        <f>SUMIFS('9'!$E:$E,'9'!$A:$A,Año_Inicial+1,'9'!$B:$B,'12'!Z$4,'9'!$D:$D,"Fertilizante químico")</f>
        <v>0</v>
      </c>
      <c r="AB19" s="101">
        <f>((A2_A_L12*Fertilizante_A)+(A2_B_L12*Fertilizante_B)+(A2_C_L12*Fertilizante_C)+(A2_D_L12*Fertilizante_D)+(A2_Y_L12*Fertilizante_Y))*Inflación_2</f>
        <v>0</v>
      </c>
      <c r="AC19" s="101">
        <f>SUMIFS('9'!$E:$E,'9'!$A:$A,Año_Inicial+1,'9'!$B:$B,'12'!AB$4,'9'!$D:$D,"Fertilizante químico")</f>
        <v>0</v>
      </c>
      <c r="AD19" s="101">
        <f>((A2_A_L13*Fertilizante_A)+(A2_B_L13*Fertilizante_B)+(A2_C_L13*Fertilizante_C)+(A2_D_L13*Fertilizante_D)+(A2_Y_L13*Fertilizante_Y))*Inflación_2</f>
        <v>0</v>
      </c>
      <c r="AE19" s="101">
        <f>SUMIFS('9'!$E:$E,'9'!$A:$A,Año_Inicial+1,'9'!$B:$B,'12'!AD$4,'9'!$D:$D,"Fertilizante químico")</f>
        <v>0</v>
      </c>
      <c r="AF19" s="101">
        <f>((A2_A_L14*Fertilizante_A)+(A2_B_L14*Fertilizante_B)+(A2_C_L14*Fertilizante_C)+(A2_D_L14*Fertilizante_D)+(A2_Y_L14*Fertilizante_Y))*Inflación_2</f>
        <v>0</v>
      </c>
      <c r="AG19" s="101">
        <f>SUMIFS('9'!$E:$E,'9'!$A:$A,Año_Inicial+1,'9'!$B:$B,'12'!AF$4,'9'!$D:$D,"Fertilizante químico")</f>
        <v>0</v>
      </c>
      <c r="AH19" s="101">
        <f>((A2_A_L15*Fertilizante_A)+(A2_B_L15*Fertilizante_B)+(A2_C_L15*Fertilizante_C)+(A2_D_L15*Fertilizante_D)+(A2_Y_L15*Fertilizante_Y))*Inflación_2</f>
        <v>0</v>
      </c>
      <c r="AI19" s="101">
        <f>SUMIFS('9'!$E:$E,'9'!$A:$A,Año_Inicial+1,'9'!$B:$B,'12'!AH$4,'9'!$D:$D,"Fertilizante químico")</f>
        <v>0</v>
      </c>
      <c r="AJ19" s="101">
        <f>((A2_A_L16*Fertilizante_A)+(A2_B_L16*Fertilizante_B)+(A2_C_L16*Fertilizante_C)+(A2_D_L16*Fertilizante_D)+(A2_Y_L16*Fertilizante_Y))*Inflación_2</f>
        <v>0</v>
      </c>
      <c r="AK19" s="101">
        <f>SUMIFS('9'!$E:$E,'9'!$A:$A,Año_Inicial+1,'9'!$B:$B,'12'!AJ$4,'9'!$D:$D,"Fertilizante químico")</f>
        <v>0</v>
      </c>
      <c r="AL19" s="101">
        <f>((A2_A_L17*Fertilizante_A)+(A2_B_L17*Fertilizante_B)+(A2_C_L17*Fertilizante_C)+(A2_D_L17*Fertilizante_D)+(A2_Y_L17*Fertilizante_Y))*Inflación_2</f>
        <v>0</v>
      </c>
      <c r="AM19" s="101">
        <f>SUMIFS('9'!$E:$E,'9'!$A:$A,Año_Inicial+1,'9'!$B:$B,'12'!AL$4,'9'!$D:$D,"Fertilizante químico")</f>
        <v>0</v>
      </c>
      <c r="AN19" s="101">
        <f>((A2_A_L18*Fertilizante_A)+(A2_B_L18*Fertilizante_B)+(A2_C_L18*Fertilizante_C)+(A2_D_L18*Fertilizante_D)+(A2_Y_L18*Fertilizante_Y))*Inflación_2</f>
        <v>0</v>
      </c>
      <c r="AO19" s="101">
        <f>SUMIFS('9'!$E:$E,'9'!$A:$A,Año_Inicial+1,'9'!$B:$B,'12'!AN$4,'9'!$D:$D,"Fertilizante químico")</f>
        <v>0</v>
      </c>
      <c r="AP19" s="101">
        <f>((A2_A_L19*Fertilizante_A)+(A2_B_L19*Fertilizante_B)+(A2_C_L19*Fertilizante_C)+(A2_D_L19*Fertilizante_D)+(A2_Y_L19*Fertilizante_Y))*Inflación_2</f>
        <v>0</v>
      </c>
      <c r="AQ19" s="101">
        <f>SUMIFS('9'!$E:$E,'9'!$A:$A,Año_Inicial+1,'9'!$B:$B,'12'!AP$4,'9'!$D:$D,"Fertilizante químico")</f>
        <v>0</v>
      </c>
      <c r="AR19" s="101">
        <f>((A2_A_L20*Fertilizante_A)+(A2_B_L20*Fertilizante_B)+(A2_C_L20*Fertilizante_C)+(A2_D_L20*Fertilizante_D)+(A2_Y_L20*Fertilizante_Y))*Inflación_2</f>
        <v>0</v>
      </c>
      <c r="AS19" s="101">
        <f>SUMIFS('9'!$E:$E,'9'!$A:$A,Año_Inicial+1,'9'!$B:$B,'12'!AR$4,'9'!$D:$D,"Fertilizante químico")</f>
        <v>0</v>
      </c>
      <c r="AT19" s="101">
        <f>((A2_A_L21*Fertilizante_A)+(A2_B_L21*Fertilizante_B)+(A2_C_L21*Fertilizante_C)+(A2_D_L21*Fertilizante_D)+(A2_Y_L21*Fertilizante_Y))*Inflación_2</f>
        <v>0</v>
      </c>
      <c r="AU19" s="101">
        <f>SUMIFS('9'!$E:$E,'9'!$A:$A,Año_Inicial+1,'9'!$B:$B,'12'!AT$4,'9'!$D:$D,"Fertilizante químico")</f>
        <v>0</v>
      </c>
      <c r="AV19" s="101">
        <f>((A2_A_L22*Fertilizante_A)+(A2_B_L22*Fertilizante_B)+(A2_C_L22*Fertilizante_C)+(A2_D_L22*Fertilizante_D)+(A2_Y_L22*Fertilizante_Y))*Inflación_2</f>
        <v>0</v>
      </c>
      <c r="AW19" s="101">
        <f>SUMIFS('9'!$E:$E,'9'!$A:$A,Año_Inicial+1,'9'!$B:$B,'12'!AV$4,'9'!$D:$D,"Fertilizante químico")</f>
        <v>0</v>
      </c>
      <c r="AX19" s="101">
        <f>((A2_A_L23*Fertilizante_A)+(A2_B_L23*Fertilizante_B)+(A2_C_L23*Fertilizante_C)+(A2_D_L23*Fertilizante_D)+(A2_Y_L23*Fertilizante_Y))*Inflación_2</f>
        <v>0</v>
      </c>
      <c r="AY19" s="101">
        <f>SUMIFS('9'!$E:$E,'9'!$A:$A,Año_Inicial+1,'9'!$B:$B,'12'!AX$4,'9'!$D:$D,"Fertilizante químico")</f>
        <v>0</v>
      </c>
      <c r="AZ19" s="101">
        <f>((A2_A_L24*Fertilizante_A)+(A2_B_L24*Fertilizante_B)+(A2_C_L24*Fertilizante_C)+(A2_D_L24*Fertilizante_D)+(A2_Y_L24*Fertilizante_Y))*Inflación_2</f>
        <v>0</v>
      </c>
      <c r="BA19" s="101">
        <f>SUMIFS('9'!$E:$E,'9'!$A:$A,Año_Inicial+1,'9'!$B:$B,'12'!AZ$4,'9'!$D:$D,"Fertilizante químico")</f>
        <v>0</v>
      </c>
      <c r="BB19" s="101">
        <f>((A2_A_L25*Fertilizante_A)+(A2_B_L25*Fertilizante_B)+(A2_C_L25*Fertilizante_C)+(A2_D_L25*Fertilizante_D)+(A2_Y_L25*Fertilizante_Y))*Inflación_2</f>
        <v>0</v>
      </c>
      <c r="BC19" s="101">
        <f>SUMIFS('9'!$E:$E,'9'!$A:$A,Año_Inicial+1,'9'!$B:$B,'12'!BB$4,'9'!$D:$D,"Fertilizante químico")</f>
        <v>0</v>
      </c>
      <c r="BD19" s="101">
        <f>((A2_A_L26*Fertilizante_A)+(A2_B_L26*Fertilizante_B)+(A2_C_L26*Fertilizante_C)+(A2_D_L26*Fertilizante_D)+(A2_Y_L26*Fertilizante_Y))*Inflación_2</f>
        <v>0</v>
      </c>
      <c r="BE19" s="101">
        <f>SUMIFS('9'!$E:$E,'9'!$A:$A,Año_Inicial+1,'9'!$B:$B,'12'!BD$4,'9'!$D:$D,"Fertilizante químico")</f>
        <v>0</v>
      </c>
      <c r="BF19" s="101">
        <f>((A2_A_L27*Fertilizante_A)+(A2_B_L27*Fertilizante_B)+(A2_C_L27*Fertilizante_C)+(A2_D_L27*Fertilizante_D)+(A2_Y_L27*Fertilizante_Y))*Inflación_2</f>
        <v>0</v>
      </c>
      <c r="BG19" s="101">
        <f>SUMIFS('9'!$E:$E,'9'!$A:$A,Año_Inicial+1,'9'!$B:$B,'12'!BF$4,'9'!$D:$D,"Fertilizante químico")</f>
        <v>0</v>
      </c>
      <c r="BH19" s="101">
        <f>((A2_A_L28*Fertilizante_A)+(A2_B_L28*Fertilizante_B)+(A2_C_L28*Fertilizante_C)+(A2_D_L28*Fertilizante_D)+(A2_Y_L28*Fertilizante_Y))*Inflación_2</f>
        <v>0</v>
      </c>
      <c r="BI19" s="101">
        <f>SUMIFS('9'!$E:$E,'9'!$A:$A,Año_Inicial+1,'9'!$B:$B,'12'!BH$4,'9'!$D:$D,"Fertilizante químico")</f>
        <v>0</v>
      </c>
      <c r="BJ19" s="101">
        <f>((A2_A_L29*Fertilizante_A)+(A2_B_L29*Fertilizante_B)+(A2_C_L29*Fertilizante_C)+(A2_D_L29*Fertilizante_D)+(A2_Y_L29*Fertilizante_Y))*Inflación_2</f>
        <v>0</v>
      </c>
      <c r="BK19" s="101">
        <f>SUMIFS('9'!$E:$E,'9'!$A:$A,Año_Inicial+1,'9'!$B:$B,'12'!BJ$4,'9'!$D:$D,"Fertilizante químico")</f>
        <v>0</v>
      </c>
      <c r="BL19" s="101">
        <f>((A2_A_L30*Fertilizante_A)+(A2_B_L30*Fertilizante_B)+(A2_C_L30*Fertilizante_C)+(A2_D_L30*Fertilizante_D)+(A2_Y_L30*Fertilizante_Y))*Inflación_2</f>
        <v>0</v>
      </c>
      <c r="BM19" s="101">
        <f>SUMIFS('9'!$E:$E,'9'!$A:$A,Año_Inicial+1,'9'!$B:$B,'12'!BL$4,'9'!$D:$D,"Fertilizante químico")</f>
        <v>0</v>
      </c>
      <c r="BN19" s="101">
        <f>((A2_A_L31*Fertilizante_A)+(A2_B_L31*Fertilizante_B)+(A2_C_L31*Fertilizante_C)+(A2_D_L31*Fertilizante_D)+(A2_Y_L31*Fertilizante_Y))*Inflación_2</f>
        <v>0</v>
      </c>
      <c r="BO19" s="101">
        <f>SUMIFS('9'!$E:$E,'9'!$A:$A,Año_Inicial+1,'9'!$B:$B,'12'!BN$4,'9'!$D:$D,"Fertilizante químico")</f>
        <v>0</v>
      </c>
      <c r="BP19" s="101">
        <f>((A2_A_L32*Fertilizante_A)+(A2_B_L32*Fertilizante_B)+(A2_C_L32*Fertilizante_C)+(A2_D_L32*Fertilizante_D)+(A2_Y_L32*Fertilizante_Y))*Inflación_2</f>
        <v>0</v>
      </c>
      <c r="BQ19" s="101">
        <f>SUMIFS('9'!$E:$E,'9'!$A:$A,Año_Inicial+1,'9'!$B:$B,'12'!BP$4,'9'!$D:$D,"Fertilizante químico")</f>
        <v>0</v>
      </c>
      <c r="BR19" s="101">
        <f>((A2_A_L33*Fertilizante_A)+(A2_B_L33*Fertilizante_B)+(A2_C_L33*Fertilizante_C)+(A2_D_L33*Fertilizante_D)+(A2_Y_L33*Fertilizante_Y))*Inflación_2</f>
        <v>0</v>
      </c>
      <c r="BS19" s="101">
        <f>SUMIFS('9'!$E:$E,'9'!$A:$A,Año_Inicial+1,'9'!$B:$B,'12'!BR$4,'9'!$D:$D,"Fertilizante químico")</f>
        <v>0</v>
      </c>
      <c r="BT19" s="101">
        <f>((A2_A_L34*Fertilizante_A)+(A2_B_L34*Fertilizante_B)+(A2_C_L34*Fertilizante_C)+(A2_D_L34*Fertilizante_D)+(A2_Y_L34*Fertilizante_Y))*Inflación_2</f>
        <v>0</v>
      </c>
      <c r="BU19" s="101">
        <f>SUMIFS('9'!$E:$E,'9'!$A:$A,Año_Inicial+1,'9'!$B:$B,'12'!BT$4,'9'!$D:$D,"Fertilizante químico")</f>
        <v>0</v>
      </c>
      <c r="BV19" s="101">
        <f>((A2_A_L35*Fertilizante_A)+(A2_B_L35*Fertilizante_B)+(A2_C_L35*Fertilizante_C)+(A2_D_L35*Fertilizante_D)+(A2_Y_L35*Fertilizante_Y))*Inflación_2</f>
        <v>0</v>
      </c>
      <c r="BW19" s="101">
        <f>SUMIFS('9'!$E:$E,'9'!$A:$A,Año_Inicial+1,'9'!$B:$B,'12'!BV$4,'9'!$D:$D,"Fertilizante químico")</f>
        <v>0</v>
      </c>
      <c r="BX19" s="101">
        <f>((A2_A_L36*Fertilizante_A)+(A2_B_L36*Fertilizante_B)+(A2_C_L36*Fertilizante_C)+(A2_D_L36*Fertilizante_D)+(A2_Y_L36*Fertilizante_Y))*Inflación_2</f>
        <v>0</v>
      </c>
      <c r="BY19" s="101">
        <f>SUMIFS('9'!$E:$E,'9'!$A:$A,Año_Inicial+1,'9'!$B:$B,'12'!BX$4,'9'!$D:$D,"Fertilizante químico")</f>
        <v>0</v>
      </c>
      <c r="BZ19" s="101">
        <f>((A2_A_L37*Fertilizante_A)+(A2_B_L37*Fertilizante_B)+(A2_C_L37*Fertilizante_C)+(A2_D_L37*Fertilizante_D)+(A2_Y_L37*Fertilizante_Y))*Inflación_2</f>
        <v>0</v>
      </c>
      <c r="CA19" s="101">
        <f>SUMIFS('9'!$E:$E,'9'!$A:$A,Año_Inicial+1,'9'!$B:$B,'12'!BZ$4,'9'!$D:$D,"Fertilizante químico")</f>
        <v>0</v>
      </c>
      <c r="CB19" s="101">
        <f>((A2_A_L38*Fertilizante_A)+(A2_B_L38*Fertilizante_B)+(A2_C_L38*Fertilizante_C)+(A2_D_L38*Fertilizante_D)+(A2_Y_L38*Fertilizante_Y))*Inflación_2</f>
        <v>0</v>
      </c>
      <c r="CC19" s="101">
        <f>SUMIFS('9'!$E:$E,'9'!$A:$A,Año_Inicial+1,'9'!$B:$B,'12'!CB$4,'9'!$D:$D,"Fertilizante químico")</f>
        <v>0</v>
      </c>
      <c r="CD19" s="101">
        <f>((A2_A_L39*Fertilizante_A)+(A2_B_L39*Fertilizante_B)+(A2_C_L39*Fertilizante_C)+(A2_D_L39*Fertilizante_D)+(A2_Y_L39*Fertilizante_Y))*Inflación_2</f>
        <v>0</v>
      </c>
      <c r="CE19" s="101">
        <f>SUMIFS('9'!$E:$E,'9'!$A:$A,Año_Inicial+1,'9'!$B:$B,'12'!CD$4,'9'!$D:$D,"Fertilizante químico")</f>
        <v>0</v>
      </c>
      <c r="CF19" s="101">
        <f>((A2_A_L40*Fertilizante_A)+(A2_B_L40*Fertilizante_B)+(A2_C_L40*Fertilizante_C)+(A2_D_L40*Fertilizante_D)+(A2_Y_L40*Fertilizante_Y))*Inflación_2</f>
        <v>0</v>
      </c>
      <c r="CG19" s="101">
        <f>SUMIFS('9'!$E:$E,'9'!$A:$A,Año_Inicial+1,'9'!$B:$B,'12'!CF$4,'9'!$D:$D,"Fertilizante químico")</f>
        <v>0</v>
      </c>
      <c r="CH19" s="473"/>
      <c r="CI19" s="101">
        <f>Plantas_A_A2*Fertilizante_A*Inflación_2</f>
        <v>0</v>
      </c>
      <c r="CJ19" s="101">
        <f>Plantas_B_A2*Fertilizante_B</f>
        <v>0</v>
      </c>
      <c r="CK19" s="101">
        <f>Plantas_C_A2*Fertilizante_C</f>
        <v>0</v>
      </c>
      <c r="CL19" s="101">
        <f>Plantas_D_A2*Fertilizante_D</f>
        <v>0</v>
      </c>
      <c r="CM19" s="101"/>
      <c r="CN19" s="101">
        <f>Plantas_Y_A2*Fertilizante_Y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7"/>
        <v>0</v>
      </c>
      <c r="C20" s="101">
        <f>SUMIFS('9'!$E:$E,'9'!$A:$A,Año_Inicial+1,'9'!$D:$D,"Material de enmienda")</f>
        <v>0</v>
      </c>
      <c r="D20" s="100">
        <f t="shared" si="46"/>
        <v>0</v>
      </c>
      <c r="E20" s="490"/>
      <c r="F20" s="101">
        <f>((A2_A_L1*Enmiendas_A)+(A2_B_L1*Enmiendas_B)+(A2_C_L1*Enmiendas_C)+(A2_D_L1*Enmiendas_D)+(A2_Y_L1*Enmiendas_Y))*Inflación_2</f>
        <v>0</v>
      </c>
      <c r="G20" s="101">
        <f>SUMIFS('9'!$E:$E,'9'!$A:$A,Año_Inicial+1,'9'!$B:$B,'12'!F$4,'9'!$D:$D,"Material de enmienda")</f>
        <v>0</v>
      </c>
      <c r="H20" s="101">
        <f>((A2_A_L2*Enmiendas_A)+(A2_B_L2*Enmiendas_B)+(A2_C_L2*Enmiendas_C)+(A2_D_L2*Enmiendas_D)+(A2_Y_L2*Enmiendas_Y))*Inflación_2</f>
        <v>0</v>
      </c>
      <c r="I20" s="101">
        <f>SUMIFS('9'!$E:$E,'9'!$A:$A,Año_Inicial+1,'9'!$B:$B,'12'!H$4,'9'!$D:$D,"Material de enmienda")</f>
        <v>0</v>
      </c>
      <c r="J20" s="101">
        <f>((A2_A_L3*Enmiendas_A)+(A2_B_L3*Enmiendas_B)+(A2_C_L3*Enmiendas_C)+(A2_D_L3*Enmiendas_D)+(A2_Y_L3*Enmiendas_Y))*Inflación_2</f>
        <v>0</v>
      </c>
      <c r="K20" s="101">
        <f>SUMIFS('9'!$E:$E,'9'!$A:$A,Año_Inicial+1,'9'!$B:$B,'12'!J$4,'9'!$D:$D,"Material de enmienda")</f>
        <v>0</v>
      </c>
      <c r="L20" s="101">
        <f>((A2_A_L4*Enmiendas_A)+(A2_B_L4*Enmiendas_B)+(A2_C_L4*Enmiendas_C)+(A2_D_L4*Enmiendas_D)+(A2_Y_L4*Enmiendas_Y))*Inflación_2</f>
        <v>0</v>
      </c>
      <c r="M20" s="101">
        <f>SUMIFS('9'!$E:$E,'9'!$A:$A,Año_Inicial+1,'9'!$B:$B,'12'!L$4,'9'!$D:$D,"Material de enmienda")</f>
        <v>0</v>
      </c>
      <c r="N20" s="101">
        <f>((A2_A_L5*Enmiendas_A)+(A2_B_L5*Enmiendas_B)+(A2_C_L5*Enmiendas_C)+(A2_D_L5*Enmiendas_D)+(A2_Y_L5*Enmiendas_Y))*Inflación_2</f>
        <v>0</v>
      </c>
      <c r="O20" s="101">
        <f>SUMIFS('9'!$E:$E,'9'!$A:$A,Año_Inicial+1,'9'!$B:$B,'12'!N$4,'9'!$D:$D,"Material de enmienda")</f>
        <v>0</v>
      </c>
      <c r="P20" s="101">
        <f>((A2_A_L6*Enmiendas_A)+(A2_B_L6*Enmiendas_B)+(A2_C_L6*Enmiendas_C)+(A2_D_L6*Enmiendas_D)+(A2_Y_L6*Enmiendas_Y))*Inflación_2</f>
        <v>0</v>
      </c>
      <c r="Q20" s="101">
        <f>SUMIFS('9'!$E:$E,'9'!$A:$A,Año_Inicial+1,'9'!$B:$B,'12'!P$4,'9'!$D:$D,"Material de enmienda")</f>
        <v>0</v>
      </c>
      <c r="R20" s="101">
        <f>((A2_A_L7*Enmiendas_A)+(A2_B_L7*Enmiendas_B)+(A2_C_L7*Enmiendas_C)+(A2_D_L7*Enmiendas_D)+(A2_Y_L7*Enmiendas_Y))*Inflación_2</f>
        <v>0</v>
      </c>
      <c r="S20" s="101">
        <f>SUMIFS('9'!$E:$E,'9'!$A:$A,Año_Inicial+1,'9'!$B:$B,'12'!R$4,'9'!$D:$D,"Material de enmienda")</f>
        <v>0</v>
      </c>
      <c r="T20" s="101">
        <f>((A2_A_L8*Enmiendas_A)+(A2_B_L8*Enmiendas_B)+(A2_C_L8*Enmiendas_C)+(A2_D_L8*Enmiendas_D)+(A2_Y_L8*Enmiendas_Y))*Inflación_2</f>
        <v>0</v>
      </c>
      <c r="U20" s="101">
        <f>SUMIFS('9'!$E:$E,'9'!$A:$A,Año_Inicial+1,'9'!$B:$B,'12'!T$4,'9'!$D:$D,"Material de enmienda")</f>
        <v>0</v>
      </c>
      <c r="V20" s="101">
        <f>((A2_A_L9*Enmiendas_A)+(A2_B_L9*Enmiendas_B)+(A2_C_L9*Enmiendas_C)+(A2_D_L9*Enmiendas_D)+(A2_Y_L9*Enmiendas_Y))*Inflación_2</f>
        <v>0</v>
      </c>
      <c r="W20" s="101">
        <f>SUMIFS('9'!$E:$E,'9'!$A:$A,Año_Inicial+1,'9'!$B:$B,'12'!V$4,'9'!$D:$D,"Material de enmienda")</f>
        <v>0</v>
      </c>
      <c r="X20" s="101">
        <f>((A2_A_L10*Enmiendas_A)+(A2_B_L10*Enmiendas_B)+(A2_C_L10*Enmiendas_C)+(A2_D_L10*Enmiendas_D)+(A2_Y_L10*Enmiendas_Y))*Inflación_2</f>
        <v>0</v>
      </c>
      <c r="Y20" s="101">
        <f>SUMIFS('9'!$E:$E,'9'!$A:$A,Año_Inicial+1,'9'!$B:$B,'12'!X$4,'9'!$D:$D,"Material de enmienda")</f>
        <v>0</v>
      </c>
      <c r="Z20" s="101">
        <f>((A2_A_L11*Enmiendas_A)+(A2_B_L11*Enmiendas_B)+(A2_C_L11*Enmiendas_C)+(A2_D_L11*Enmiendas_D)+(A2_Y_L11*Enmiendas_Y))*Inflación_2</f>
        <v>0</v>
      </c>
      <c r="AA20" s="101">
        <f>SUMIFS('9'!$E:$E,'9'!$A:$A,Año_Inicial+1,'9'!$B:$B,'12'!Z$4,'9'!$D:$D,"Material de enmienda")</f>
        <v>0</v>
      </c>
      <c r="AB20" s="101">
        <f>((A2_A_L12*Enmiendas_A)+(A2_B_L12*Enmiendas_B)+(A2_C_L12*Enmiendas_C)+(A2_D_L12*Enmiendas_D)+(A2_Y_L12*Enmiendas_Y))*Inflación_2</f>
        <v>0</v>
      </c>
      <c r="AC20" s="101">
        <f>SUMIFS('9'!$E:$E,'9'!$A:$A,Año_Inicial+1,'9'!$B:$B,'12'!AB$4,'9'!$D:$D,"Material de enmienda")</f>
        <v>0</v>
      </c>
      <c r="AD20" s="101">
        <f>((A2_A_L13*Enmiendas_A)+(A2_B_L13*Enmiendas_B)+(A2_C_L13*Enmiendas_C)+(A2_D_L13*Enmiendas_D)+(A2_Y_L13*Enmiendas_Y))*Inflación_2</f>
        <v>0</v>
      </c>
      <c r="AE20" s="101">
        <f>SUMIFS('9'!$E:$E,'9'!$A:$A,Año_Inicial+1,'9'!$B:$B,'12'!AD$4,'9'!$D:$D,"Material de enmienda")</f>
        <v>0</v>
      </c>
      <c r="AF20" s="101">
        <f>((A2_A_L14*Enmiendas_A)+(A2_B_L14*Enmiendas_B)+(A2_C_L14*Enmiendas_C)+(A2_D_L14*Enmiendas_D)+(A2_Y_L14*Enmiendas_Y))*Inflación_2</f>
        <v>0</v>
      </c>
      <c r="AG20" s="101">
        <f>SUMIFS('9'!$E:$E,'9'!$A:$A,Año_Inicial+1,'9'!$B:$B,'12'!AF$4,'9'!$D:$D,"Material de enmienda")</f>
        <v>0</v>
      </c>
      <c r="AH20" s="101">
        <f>((A2_A_L15*Enmiendas_A)+(A2_B_L15*Enmiendas_B)+(A2_C_L15*Enmiendas_C)+(A2_D_L15*Enmiendas_D)+(A2_Y_L15*Enmiendas_Y))*Inflación_2</f>
        <v>0</v>
      </c>
      <c r="AI20" s="101">
        <f>SUMIFS('9'!$E:$E,'9'!$A:$A,Año_Inicial+1,'9'!$B:$B,'12'!AH$4,'9'!$D:$D,"Material de enmienda")</f>
        <v>0</v>
      </c>
      <c r="AJ20" s="101">
        <f>((A2_A_L16*Enmiendas_A)+(A2_B_L16*Enmiendas_B)+(A2_C_L16*Enmiendas_C)+(A2_D_L16*Enmiendas_D)+(A2_Y_L16*Enmiendas_Y))*Inflación_2</f>
        <v>0</v>
      </c>
      <c r="AK20" s="101">
        <f>SUMIFS('9'!$E:$E,'9'!$A:$A,Año_Inicial+1,'9'!$B:$B,'12'!AJ$4,'9'!$D:$D,"Material de enmienda")</f>
        <v>0</v>
      </c>
      <c r="AL20" s="101">
        <f>((A2_A_L17*Enmiendas_A)+(A2_B_L17*Enmiendas_B)+(A2_C_L17*Enmiendas_C)+(A2_D_L17*Enmiendas_D)+(A2_Y_L17*Enmiendas_Y))*Inflación_2</f>
        <v>0</v>
      </c>
      <c r="AM20" s="101">
        <f>SUMIFS('9'!$E:$E,'9'!$A:$A,Año_Inicial+1,'9'!$B:$B,'12'!AL$4,'9'!$D:$D,"Material de enmienda")</f>
        <v>0</v>
      </c>
      <c r="AN20" s="101">
        <f>((A2_A_L18*Enmiendas_A)+(A2_B_L18*Enmiendas_B)+(A2_C_L18*Enmiendas_C)+(A2_D_L18*Enmiendas_D)+(A2_Y_L18*Enmiendas_Y))*Inflación_2</f>
        <v>0</v>
      </c>
      <c r="AO20" s="101">
        <f>SUMIFS('9'!$E:$E,'9'!$A:$A,Año_Inicial+1,'9'!$B:$B,'12'!AN$4,'9'!$D:$D,"Material de enmienda")</f>
        <v>0</v>
      </c>
      <c r="AP20" s="101">
        <f>((A2_A_L19*Enmiendas_A)+(A2_B_L19*Enmiendas_B)+(A2_C_L19*Enmiendas_C)+(A2_D_L19*Enmiendas_D)+(A2_Y_L19*Enmiendas_Y))*Inflación_2</f>
        <v>0</v>
      </c>
      <c r="AQ20" s="101">
        <f>SUMIFS('9'!$E:$E,'9'!$A:$A,Año_Inicial+1,'9'!$B:$B,'12'!AP$4,'9'!$D:$D,"Material de enmienda")</f>
        <v>0</v>
      </c>
      <c r="AR20" s="101">
        <f>((A2_A_L20*Enmiendas_A)+(A2_B_L20*Enmiendas_B)+(A2_C_L20*Enmiendas_C)+(A2_D_L20*Enmiendas_D)+(A2_Y_L20*Enmiendas_Y))*Inflación_2</f>
        <v>0</v>
      </c>
      <c r="AS20" s="101">
        <f>SUMIFS('9'!$E:$E,'9'!$A:$A,Año_Inicial+1,'9'!$B:$B,'12'!AR$4,'9'!$D:$D,"Material de enmienda")</f>
        <v>0</v>
      </c>
      <c r="AT20" s="101">
        <f>((A2_A_L21*Enmiendas_A)+(A2_B_L21*Enmiendas_B)+(A2_C_L21*Enmiendas_C)+(A2_D_L21*Enmiendas_D)+(A2_Y_L21*Enmiendas_Y))*Inflación_2</f>
        <v>0</v>
      </c>
      <c r="AU20" s="101">
        <f>SUMIFS('9'!$E:$E,'9'!$A:$A,Año_Inicial+1,'9'!$B:$B,'12'!AT$4,'9'!$D:$D,"Material de enmienda")</f>
        <v>0</v>
      </c>
      <c r="AV20" s="101">
        <f>((A2_A_L22*Enmiendas_A)+(A2_B_L22*Enmiendas_B)+(A2_C_L22*Enmiendas_C)+(A2_D_L22*Enmiendas_D)+(A2_Y_L22*Enmiendas_Y))*Inflación_2</f>
        <v>0</v>
      </c>
      <c r="AW20" s="101">
        <f>SUMIFS('9'!$E:$E,'9'!$A:$A,Año_Inicial+1,'9'!$B:$B,'12'!AV$4,'9'!$D:$D,"Material de enmienda")</f>
        <v>0</v>
      </c>
      <c r="AX20" s="101">
        <f>((A2_A_L23*Enmiendas_A)+(A2_B_L23*Enmiendas_B)+(A2_C_L23*Enmiendas_C)+(A2_D_L23*Enmiendas_D)+(A2_Y_L23*Enmiendas_Y))*Inflación_2</f>
        <v>0</v>
      </c>
      <c r="AY20" s="101">
        <f>SUMIFS('9'!$E:$E,'9'!$A:$A,Año_Inicial+1,'9'!$B:$B,'12'!AX$4,'9'!$D:$D,"Material de enmienda")</f>
        <v>0</v>
      </c>
      <c r="AZ20" s="101">
        <f>((A2_A_L24*Enmiendas_A)+(A2_B_L24*Enmiendas_B)+(A2_C_L24*Enmiendas_C)+(A2_D_L24*Enmiendas_D)+(A2_Y_L24*Enmiendas_Y))*Inflación_2</f>
        <v>0</v>
      </c>
      <c r="BA20" s="101">
        <f>SUMIFS('9'!$E:$E,'9'!$A:$A,Año_Inicial+1,'9'!$B:$B,'12'!AZ$4,'9'!$D:$D,"Material de enmienda")</f>
        <v>0</v>
      </c>
      <c r="BB20" s="101">
        <f>((A2_A_L25*Enmiendas_A)+(A2_B_L25*Enmiendas_B)+(A2_C_L25*Enmiendas_C)+(A2_D_L25*Enmiendas_D)+(A2_Y_L25*Enmiendas_Y))*Inflación_2</f>
        <v>0</v>
      </c>
      <c r="BC20" s="101">
        <f>SUMIFS('9'!$E:$E,'9'!$A:$A,Año_Inicial+1,'9'!$B:$B,'12'!BB$4,'9'!$D:$D,"Material de enmienda")</f>
        <v>0</v>
      </c>
      <c r="BD20" s="101">
        <f>((A2_A_L26*Enmiendas_A)+(A2_B_L26*Enmiendas_B)+(A2_C_L26*Enmiendas_C)+(A2_D_L26*Enmiendas_D)+(A2_Y_L26*Enmiendas_Y))*Inflación_2</f>
        <v>0</v>
      </c>
      <c r="BE20" s="101">
        <f>SUMIFS('9'!$E:$E,'9'!$A:$A,Año_Inicial+1,'9'!$B:$B,'12'!BD$4,'9'!$D:$D,"Material de enmienda")</f>
        <v>0</v>
      </c>
      <c r="BF20" s="101">
        <f>((A2_A_L27*Enmiendas_A)+(A2_B_L27*Enmiendas_B)+(A2_C_L27*Enmiendas_C)+(A2_D_L27*Enmiendas_D)+(A2_Y_L27*Enmiendas_Y))*Inflación_2</f>
        <v>0</v>
      </c>
      <c r="BG20" s="101">
        <f>SUMIFS('9'!$E:$E,'9'!$A:$A,Año_Inicial+1,'9'!$B:$B,'12'!BF$4,'9'!$D:$D,"Material de enmienda")</f>
        <v>0</v>
      </c>
      <c r="BH20" s="101">
        <f>((A2_A_L28*Enmiendas_A)+(A2_B_L28*Enmiendas_B)+(A2_C_L28*Enmiendas_C)+(A2_D_L28*Enmiendas_D)+(A2_Y_L28*Enmiendas_Y))*Inflación_2</f>
        <v>0</v>
      </c>
      <c r="BI20" s="101">
        <f>SUMIFS('9'!$E:$E,'9'!$A:$A,Año_Inicial+1,'9'!$B:$B,'12'!BH$4,'9'!$D:$D,"Material de enmienda")</f>
        <v>0</v>
      </c>
      <c r="BJ20" s="101">
        <f>((A2_A_L29*Enmiendas_A)+(A2_B_L29*Enmiendas_B)+(A2_C_L29*Enmiendas_C)+(A2_D_L29*Enmiendas_D)+(A2_Y_L29*Enmiendas_Y))*Inflación_2</f>
        <v>0</v>
      </c>
      <c r="BK20" s="101">
        <f>SUMIFS('9'!$E:$E,'9'!$A:$A,Año_Inicial+1,'9'!$B:$B,'12'!BJ$4,'9'!$D:$D,"Material de enmienda")</f>
        <v>0</v>
      </c>
      <c r="BL20" s="101">
        <f>((A2_A_L30*Enmiendas_A)+(A2_B_L30*Enmiendas_B)+(A2_C_L30*Enmiendas_C)+(A2_D_L30*Enmiendas_D)+(A2_Y_L30*Enmiendas_Y))*Inflación_2</f>
        <v>0</v>
      </c>
      <c r="BM20" s="101">
        <f>SUMIFS('9'!$E:$E,'9'!$A:$A,Año_Inicial+1,'9'!$B:$B,'12'!BL$4,'9'!$D:$D,"Material de enmienda")</f>
        <v>0</v>
      </c>
      <c r="BN20" s="101">
        <f>((A2_A_L31*Enmiendas_A)+(A2_B_L31*Enmiendas_B)+(A2_C_L31*Enmiendas_C)+(A2_D_L31*Enmiendas_D)+(A2_Y_L31*Enmiendas_Y))*Inflación_2</f>
        <v>0</v>
      </c>
      <c r="BO20" s="101">
        <f>SUMIFS('9'!$E:$E,'9'!$A:$A,Año_Inicial+1,'9'!$B:$B,'12'!BN$4,'9'!$D:$D,"Material de enmienda")</f>
        <v>0</v>
      </c>
      <c r="BP20" s="101">
        <f>((A2_A_L32*Enmiendas_A)+(A2_B_L32*Enmiendas_B)+(A2_C_L32*Enmiendas_C)+(A2_D_L32*Enmiendas_D)+(A2_Y_L32*Enmiendas_Y))*Inflación_2</f>
        <v>0</v>
      </c>
      <c r="BQ20" s="101">
        <f>SUMIFS('9'!$E:$E,'9'!$A:$A,Año_Inicial+1,'9'!$B:$B,'12'!BP$4,'9'!$D:$D,"Material de enmienda")</f>
        <v>0</v>
      </c>
      <c r="BR20" s="101">
        <f>((A2_A_L33*Enmiendas_A)+(A2_B_L33*Enmiendas_B)+(A2_C_L33*Enmiendas_C)+(A2_D_L33*Enmiendas_D)+(A2_Y_L33*Enmiendas_Y))*Inflación_2</f>
        <v>0</v>
      </c>
      <c r="BS20" s="101">
        <f>SUMIFS('9'!$E:$E,'9'!$A:$A,Año_Inicial+1,'9'!$B:$B,'12'!BR$4,'9'!$D:$D,"Material de enmienda")</f>
        <v>0</v>
      </c>
      <c r="BT20" s="101">
        <f>((A2_A_L34*Enmiendas_A)+(A2_B_L34*Enmiendas_B)+(A2_C_L34*Enmiendas_C)+(A2_D_L34*Enmiendas_D)+(A2_Y_L34*Enmiendas_Y))*Inflación_2</f>
        <v>0</v>
      </c>
      <c r="BU20" s="101">
        <f>SUMIFS('9'!$E:$E,'9'!$A:$A,Año_Inicial+1,'9'!$B:$B,'12'!BT$4,'9'!$D:$D,"Material de enmienda")</f>
        <v>0</v>
      </c>
      <c r="BV20" s="101">
        <f>((A2_A_L35*Enmiendas_A)+(A2_B_L35*Enmiendas_B)+(A2_C_L35*Enmiendas_C)+(A2_D_L35*Enmiendas_D)+(A2_Y_L35*Enmiendas_Y))*Inflación_2</f>
        <v>0</v>
      </c>
      <c r="BW20" s="101">
        <f>SUMIFS('9'!$E:$E,'9'!$A:$A,Año_Inicial+1,'9'!$B:$B,'12'!BV$4,'9'!$D:$D,"Material de enmienda")</f>
        <v>0</v>
      </c>
      <c r="BX20" s="101">
        <f>((A2_A_L36*Enmiendas_A)+(A2_B_L36*Enmiendas_B)+(A2_C_L36*Enmiendas_C)+(A2_D_L36*Enmiendas_D)+(A2_Y_L36*Enmiendas_Y))*Inflación_2</f>
        <v>0</v>
      </c>
      <c r="BY20" s="101">
        <f>SUMIFS('9'!$E:$E,'9'!$A:$A,Año_Inicial+1,'9'!$B:$B,'12'!BX$4,'9'!$D:$D,"Material de enmienda")</f>
        <v>0</v>
      </c>
      <c r="BZ20" s="101">
        <f>((A2_A_L37*Enmiendas_A)+(A2_B_L37*Enmiendas_B)+(A2_C_L37*Enmiendas_C)+(A2_D_L37*Enmiendas_D)+(A2_Y_L37*Enmiendas_Y))*Inflación_2</f>
        <v>0</v>
      </c>
      <c r="CA20" s="101">
        <f>SUMIFS('9'!$E:$E,'9'!$A:$A,Año_Inicial+1,'9'!$B:$B,'12'!BZ$4,'9'!$D:$D,"Material de enmienda")</f>
        <v>0</v>
      </c>
      <c r="CB20" s="101">
        <f>((A2_A_L38*Enmiendas_A)+(A2_B_L38*Enmiendas_B)+(A2_C_L38*Enmiendas_C)+(A2_D_L38*Enmiendas_D)+(A2_Y_L38*Enmiendas_Y))*Inflación_2</f>
        <v>0</v>
      </c>
      <c r="CC20" s="101">
        <f>SUMIFS('9'!$E:$E,'9'!$A:$A,Año_Inicial+1,'9'!$B:$B,'12'!CB$4,'9'!$D:$D,"Material de enmienda")</f>
        <v>0</v>
      </c>
      <c r="CD20" s="101">
        <f>((A2_A_L39*Enmiendas_A)+(A2_B_L39*Enmiendas_B)+(A2_C_L39*Enmiendas_C)+(A2_D_L39*Enmiendas_D)+(A2_Y_L39*Enmiendas_Y))*Inflación_2</f>
        <v>0</v>
      </c>
      <c r="CE20" s="101">
        <f>SUMIFS('9'!$E:$E,'9'!$A:$A,Año_Inicial+1,'9'!$B:$B,'12'!CD$4,'9'!$D:$D,"Material de enmienda")</f>
        <v>0</v>
      </c>
      <c r="CF20" s="101">
        <f>((A2_A_L40*Enmiendas_A)+(A2_B_L40*Enmiendas_B)+(A2_C_L40*Enmiendas_C)+(A2_D_L40*Enmiendas_D)+(A2_Y_L40*Enmiendas_Y))*Inflación_2</f>
        <v>0</v>
      </c>
      <c r="CG20" s="101">
        <f>SUMIFS('9'!$E:$E,'9'!$A:$A,Año_Inicial+1,'9'!$B:$B,'12'!CF$4,'9'!$D:$D,"Material de enmienda")</f>
        <v>0</v>
      </c>
      <c r="CH20" s="473"/>
      <c r="CI20" s="101">
        <f>Plantas_A_A2*Enmiendas_A*Inflación_2</f>
        <v>0</v>
      </c>
      <c r="CJ20" s="101">
        <f>Plantas_B_A2*Enmiendas_B</f>
        <v>0</v>
      </c>
      <c r="CK20" s="101">
        <f>Plantas_C_A2*Enmiendas_C</f>
        <v>0</v>
      </c>
      <c r="CL20" s="101">
        <f>Plantas_D_A2*Enmiendas_D</f>
        <v>0</v>
      </c>
      <c r="CM20" s="101"/>
      <c r="CN20" s="101">
        <f>Plantas_Y_A2*Enmiendas_Y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90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7"/>
        <v>0</v>
      </c>
      <c r="C22" s="101">
        <f>SUMIFS('9'!$E:$E,'9'!$A:$A,Año_Inicial+1,'9'!$D:$D,"Aplicación de herbicida")</f>
        <v>0</v>
      </c>
      <c r="D22" s="100">
        <f t="shared" si="46"/>
        <v>0</v>
      </c>
      <c r="E22" s="490"/>
      <c r="F22" s="101">
        <f>((A2_A_L1*Malezas_A)+(A2_B_L1*Malezas_B)+(A2_C_L1*Malezas_C)+(A2_D_L1*Malezas_D)+(A2_Y_L1*Malezas_Y))*Inflación_2</f>
        <v>0</v>
      </c>
      <c r="G22" s="101">
        <f>SUMIFS('9'!$E:$E,'9'!$A:$A,Año_Inicial+1,'9'!$B:$B,'12'!F$4,'9'!$D:$D,"Aplicación de herbicida")</f>
        <v>0</v>
      </c>
      <c r="H22" s="101">
        <f>((A2_A_L2*Malezas_A)+(A2_B_L2*Malezas_B)+(A2_C_L2*Malezas_C)+(A2_D_L2*Malezas_D)+(A2_Y_L2*Malezas_Y))*Inflación_2</f>
        <v>0</v>
      </c>
      <c r="I22" s="101">
        <f>SUMIFS('9'!$E:$E,'9'!$A:$A,Año_Inicial+1,'9'!$B:$B,'12'!H$4,'9'!$D:$D,"Aplicación de herbicida")</f>
        <v>0</v>
      </c>
      <c r="J22" s="101">
        <f>((A2_A_L3*Malezas_A)+(A2_B_L3*Malezas_B)+(A2_C_L3*Malezas_C)+(A2_D_L3*Malezas_D)+(A2_Y_L3*Malezas_Y))*Inflación_2</f>
        <v>0</v>
      </c>
      <c r="K22" s="101">
        <f>SUMIFS('9'!$E:$E,'9'!$A:$A,Año_Inicial+1,'9'!$B:$B,'12'!J$4,'9'!$D:$D,"Aplicación de herbicida")</f>
        <v>0</v>
      </c>
      <c r="L22" s="101">
        <f>((A2_A_L4*Malezas_A)+(A2_B_L4*Malezas_B)+(A2_C_L4*Malezas_C)+(A2_D_L4*Malezas_D)+(A2_Y_L4*Malezas_Y))*Inflación_2</f>
        <v>0</v>
      </c>
      <c r="M22" s="101">
        <f>SUMIFS('9'!$E:$E,'9'!$A:$A,Año_Inicial+1,'9'!$B:$B,'12'!L$4,'9'!$D:$D,"Aplicación de herbicida")</f>
        <v>0</v>
      </c>
      <c r="N22" s="101">
        <f>((A2_A_L5*Malezas_A)+(A2_B_L5*Malezas_B)+(A2_C_L5*Malezas_C)+(A2_D_L5*Malezas_D)+(A2_Y_L5*Malezas_Y))*Inflación_2</f>
        <v>0</v>
      </c>
      <c r="O22" s="101">
        <f>SUMIFS('9'!$E:$E,'9'!$A:$A,Año_Inicial+1,'9'!$B:$B,'12'!N$4,'9'!$D:$D,"Aplicación de herbicida")</f>
        <v>0</v>
      </c>
      <c r="P22" s="101">
        <f>((A2_A_L6*Malezas_A)+(A2_B_L6*Malezas_B)+(A2_C_L6*Malezas_C)+(A2_D_L6*Malezas_D)+(A2_Y_L6*Malezas_Y))*Inflación_2</f>
        <v>0</v>
      </c>
      <c r="Q22" s="101">
        <f>SUMIFS('9'!$E:$E,'9'!$A:$A,Año_Inicial+1,'9'!$B:$B,'12'!P$4,'9'!$D:$D,"Aplicación de herbicida")</f>
        <v>0</v>
      </c>
      <c r="R22" s="101">
        <f>((A2_A_L7*Malezas_A)+(A2_B_L7*Malezas_B)+(A2_C_L7*Malezas_C)+(A2_D_L7*Malezas_D)+(A2_Y_L7*Malezas_Y))*Inflación_2</f>
        <v>0</v>
      </c>
      <c r="S22" s="101">
        <f>SUMIFS('9'!$E:$E,'9'!$A:$A,Año_Inicial+1,'9'!$B:$B,'12'!R$4,'9'!$D:$D,"Aplicación de herbicida")</f>
        <v>0</v>
      </c>
      <c r="T22" s="101">
        <f>((A2_A_L8*Malezas_A)+(A2_B_L8*Malezas_B)+(A2_C_L8*Malezas_C)+(A2_D_L8*Malezas_D)+(A2_Y_L8*Malezas_Y))*Inflación_2</f>
        <v>0</v>
      </c>
      <c r="U22" s="101">
        <f>SUMIFS('9'!$E:$E,'9'!$A:$A,Año_Inicial+1,'9'!$B:$B,'12'!T$4,'9'!$D:$D,"Aplicación de herbicida")</f>
        <v>0</v>
      </c>
      <c r="V22" s="101">
        <f>((A2_A_L9*Malezas_A)+(A2_B_L9*Malezas_B)+(A2_C_L9*Malezas_C)+(A2_D_L9*Malezas_D)+(A2_Y_L9*Malezas_Y))*Inflación_2</f>
        <v>0</v>
      </c>
      <c r="W22" s="101">
        <f>SUMIFS('9'!$E:$E,'9'!$A:$A,Año_Inicial+1,'9'!$B:$B,'12'!V$4,'9'!$D:$D,"Aplicación de herbicida")</f>
        <v>0</v>
      </c>
      <c r="X22" s="101">
        <f>((A2_A_L10*Malezas_A)+(A2_B_L10*Malezas_B)+(A2_C_L10*Malezas_C)+(A2_D_L10*Malezas_D)+(A2_Y_L10*Malezas_Y))*Inflación_2</f>
        <v>0</v>
      </c>
      <c r="Y22" s="101">
        <f>SUMIFS('9'!$E:$E,'9'!$A:$A,Año_Inicial+1,'9'!$B:$B,'12'!X$4,'9'!$D:$D,"Aplicación de herbicida")</f>
        <v>0</v>
      </c>
      <c r="Z22" s="101">
        <f>((A2_A_L11*Malezas_A)+(A2_B_L11*Malezas_B)+(A2_C_L11*Malezas_C)+(A2_D_L11*Malezas_D)+(A2_Y_L11*Malezas_Y))*Inflación_2</f>
        <v>0</v>
      </c>
      <c r="AA22" s="101">
        <f>SUMIFS('9'!$E:$E,'9'!$A:$A,Año_Inicial+1,'9'!$B:$B,'12'!Z$4,'9'!$D:$D,"Aplicación de herbicida")</f>
        <v>0</v>
      </c>
      <c r="AB22" s="101">
        <f>((A2_A_L12*Malezas_A)+(A2_B_L12*Malezas_B)+(A2_C_L12*Malezas_C)+(A2_D_L12*Malezas_D)+(A2_Y_L12*Malezas_Y))*Inflación_2</f>
        <v>0</v>
      </c>
      <c r="AC22" s="101">
        <f>SUMIFS('9'!$E:$E,'9'!$A:$A,Año_Inicial+1,'9'!$B:$B,'12'!AB$4,'9'!$D:$D,"Aplicación de herbicida")</f>
        <v>0</v>
      </c>
      <c r="AD22" s="101">
        <f>((A2_A_L13*Malezas_A)+(A2_B_L13*Malezas_B)+(A2_C_L13*Malezas_C)+(A2_D_L13*Malezas_D)+(A2_Y_L13*Malezas_Y))*Inflación_2</f>
        <v>0</v>
      </c>
      <c r="AE22" s="101">
        <f>SUMIFS('9'!$E:$E,'9'!$A:$A,Año_Inicial+1,'9'!$B:$B,'12'!AD$4,'9'!$D:$D,"Aplicación de herbicida")</f>
        <v>0</v>
      </c>
      <c r="AF22" s="101">
        <f>((A2_A_L14*Malezas_A)+(A2_B_L14*Malezas_B)+(A2_C_L14*Malezas_C)+(A2_D_L14*Malezas_D)+(A2_Y_L14*Malezas_Y))*Inflación_2</f>
        <v>0</v>
      </c>
      <c r="AG22" s="101">
        <f>SUMIFS('9'!$E:$E,'9'!$A:$A,Año_Inicial+1,'9'!$B:$B,'12'!AF$4,'9'!$D:$D,"Aplicación de herbicida")</f>
        <v>0</v>
      </c>
      <c r="AH22" s="101">
        <f>((A2_A_L15*Malezas_A)+(A2_B_L15*Malezas_B)+(A2_C_L15*Malezas_C)+(A2_D_L15*Malezas_D)+(A2_Y_L15*Malezas_Y))*Inflación_2</f>
        <v>0</v>
      </c>
      <c r="AI22" s="101">
        <f>SUMIFS('9'!$E:$E,'9'!$A:$A,Año_Inicial+1,'9'!$B:$B,'12'!AH$4,'9'!$D:$D,"Aplicación de herbicida")</f>
        <v>0</v>
      </c>
      <c r="AJ22" s="101">
        <f>((A2_A_L16*Malezas_A)+(A2_B_L16*Malezas_B)+(A2_C_L16*Malezas_C)+(A2_D_L16*Malezas_D)+(A2_Y_L16*Malezas_Y))*Inflación_2</f>
        <v>0</v>
      </c>
      <c r="AK22" s="101">
        <f>SUMIFS('9'!$E:$E,'9'!$A:$A,Año_Inicial+1,'9'!$B:$B,'12'!AJ$4,'9'!$D:$D,"Aplicación de herbicida")</f>
        <v>0</v>
      </c>
      <c r="AL22" s="101">
        <f>((A2_A_L17*Malezas_A)+(A2_B_L17*Malezas_B)+(A2_C_L17*Malezas_C)+(A2_D_L17*Malezas_D)+(A2_Y_L17*Malezas_Y))*Inflación_2</f>
        <v>0</v>
      </c>
      <c r="AM22" s="101">
        <f>SUMIFS('9'!$E:$E,'9'!$A:$A,Año_Inicial+1,'9'!$B:$B,'12'!AL$4,'9'!$D:$D,"Aplicación de herbicida")</f>
        <v>0</v>
      </c>
      <c r="AN22" s="101">
        <f>((A2_A_L18*Malezas_A)+(A2_B_L18*Malezas_B)+(A2_C_L18*Malezas_C)+(A2_D_L18*Malezas_D)+(A2_Y_L18*Malezas_Y))*Inflación_2</f>
        <v>0</v>
      </c>
      <c r="AO22" s="101">
        <f>SUMIFS('9'!$E:$E,'9'!$A:$A,Año_Inicial+1,'9'!$B:$B,'12'!AN$4,'9'!$D:$D,"Aplicación de herbicida")</f>
        <v>0</v>
      </c>
      <c r="AP22" s="101">
        <f>((A2_A_L19*Malezas_A)+(A2_B_L19*Malezas_B)+(A2_C_L19*Malezas_C)+(A2_D_L19*Malezas_D)+(A2_Y_L19*Malezas_Y))*Inflación_2</f>
        <v>0</v>
      </c>
      <c r="AQ22" s="101">
        <f>SUMIFS('9'!$E:$E,'9'!$A:$A,Año_Inicial+1,'9'!$B:$B,'12'!AP$4,'9'!$D:$D,"Aplicación de herbicida")</f>
        <v>0</v>
      </c>
      <c r="AR22" s="101">
        <f>((A2_A_L20*Malezas_A)+(A2_B_L20*Malezas_B)+(A2_C_L20*Malezas_C)+(A2_D_L20*Malezas_D)+(A2_Y_L20*Malezas_Y))*Inflación_2</f>
        <v>0</v>
      </c>
      <c r="AS22" s="101">
        <f>SUMIFS('9'!$E:$E,'9'!$A:$A,Año_Inicial+1,'9'!$B:$B,'12'!AR$4,'9'!$D:$D,"Aplicación de herbicida")</f>
        <v>0</v>
      </c>
      <c r="AT22" s="101">
        <f>((A2_A_L21*Malezas_A)+(A2_B_L21*Malezas_B)+(A2_C_L21*Malezas_C)+(A2_D_L21*Malezas_D)+(A2_Y_L21*Malezas_Y))*Inflación_2</f>
        <v>0</v>
      </c>
      <c r="AU22" s="101">
        <f>SUMIFS('9'!$E:$E,'9'!$A:$A,Año_Inicial+1,'9'!$B:$B,'12'!AT$4,'9'!$D:$D,"Aplicación de herbicida")</f>
        <v>0</v>
      </c>
      <c r="AV22" s="101">
        <f>((A2_A_L22*Malezas_A)+(A2_B_L22*Malezas_B)+(A2_C_L22*Malezas_C)+(A2_D_L22*Malezas_D)+(A2_Y_L22*Malezas_Y))*Inflación_2</f>
        <v>0</v>
      </c>
      <c r="AW22" s="101">
        <f>SUMIFS('9'!$E:$E,'9'!$A:$A,Año_Inicial+1,'9'!$B:$B,'12'!AV$4,'9'!$D:$D,"Aplicación de herbicida")</f>
        <v>0</v>
      </c>
      <c r="AX22" s="101">
        <f>((A2_A_L23*Malezas_A)+(A2_B_L23*Malezas_B)+(A2_C_L23*Malezas_C)+(A2_D_L23*Malezas_D)+(A2_Y_L23*Malezas_Y))*Inflación_2</f>
        <v>0</v>
      </c>
      <c r="AY22" s="101">
        <f>SUMIFS('9'!$E:$E,'9'!$A:$A,Año_Inicial+1,'9'!$B:$B,'12'!AX$4,'9'!$D:$D,"Aplicación de herbicida")</f>
        <v>0</v>
      </c>
      <c r="AZ22" s="101">
        <f>((A2_A_L24*Malezas_A)+(A2_B_L24*Malezas_B)+(A2_C_L24*Malezas_C)+(A2_D_L24*Malezas_D)+(A2_Y_L24*Malezas_Y))*Inflación_2</f>
        <v>0</v>
      </c>
      <c r="BA22" s="101">
        <f>SUMIFS('9'!$E:$E,'9'!$A:$A,Año_Inicial+1,'9'!$B:$B,'12'!AZ$4,'9'!$D:$D,"Aplicación de herbicida")</f>
        <v>0</v>
      </c>
      <c r="BB22" s="101">
        <f>((A2_A_L25*Malezas_A)+(A2_B_L25*Malezas_B)+(A2_C_L25*Malezas_C)+(A2_D_L25*Malezas_D)+(A2_Y_L25*Malezas_Y))*Inflación_2</f>
        <v>0</v>
      </c>
      <c r="BC22" s="101">
        <f>SUMIFS('9'!$E:$E,'9'!$A:$A,Año_Inicial+1,'9'!$B:$B,'12'!BB$4,'9'!$D:$D,"Aplicación de herbicida")</f>
        <v>0</v>
      </c>
      <c r="BD22" s="101">
        <f>((A2_A_L26*Malezas_A)+(A2_B_L26*Malezas_B)+(A2_C_L26*Malezas_C)+(A2_D_L26*Malezas_D)+(A2_Y_L26*Malezas_Y))*Inflación_2</f>
        <v>0</v>
      </c>
      <c r="BE22" s="101">
        <f>SUMIFS('9'!$E:$E,'9'!$A:$A,Año_Inicial+1,'9'!$B:$B,'12'!BD$4,'9'!$D:$D,"Aplicación de herbicida")</f>
        <v>0</v>
      </c>
      <c r="BF22" s="101">
        <f>((A2_A_L27*Malezas_A)+(A2_B_L27*Malezas_B)+(A2_C_L27*Malezas_C)+(A2_D_L27*Malezas_D)+(A2_Y_L27*Malezas_Y))*Inflación_2</f>
        <v>0</v>
      </c>
      <c r="BG22" s="101">
        <f>SUMIFS('9'!$E:$E,'9'!$A:$A,Año_Inicial+1,'9'!$B:$B,'12'!BF$4,'9'!$D:$D,"Aplicación de herbicida")</f>
        <v>0</v>
      </c>
      <c r="BH22" s="101">
        <f>((A2_A_L28*Malezas_A)+(A2_B_L28*Malezas_B)+(A2_C_L28*Malezas_C)+(A2_D_L28*Malezas_D)+(A2_Y_L28*Malezas_Y))*Inflación_2</f>
        <v>0</v>
      </c>
      <c r="BI22" s="101">
        <f>SUMIFS('9'!$E:$E,'9'!$A:$A,Año_Inicial+1,'9'!$B:$B,'12'!BH$4,'9'!$D:$D,"Aplicación de herbicida")</f>
        <v>0</v>
      </c>
      <c r="BJ22" s="101">
        <f>((A2_A_L29*Malezas_A)+(A2_B_L29*Malezas_B)+(A2_C_L29*Malezas_C)+(A2_D_L29*Malezas_D)+(A2_Y_L29*Malezas_Y))*Inflación_2</f>
        <v>0</v>
      </c>
      <c r="BK22" s="101">
        <f>SUMIFS('9'!$E:$E,'9'!$A:$A,Año_Inicial+1,'9'!$B:$B,'12'!BJ$4,'9'!$D:$D,"Aplicación de herbicida")</f>
        <v>0</v>
      </c>
      <c r="BL22" s="101">
        <f>((A2_A_L30*Malezas_A)+(A2_B_L30*Malezas_B)+(A2_C_L30*Malezas_C)+(A2_D_L30*Malezas_D)+(A2_Y_L30*Malezas_Y))*Inflación_2</f>
        <v>0</v>
      </c>
      <c r="BM22" s="101">
        <f>SUMIFS('9'!$E:$E,'9'!$A:$A,Año_Inicial+1,'9'!$B:$B,'12'!BL$4,'9'!$D:$D,"Aplicación de herbicida")</f>
        <v>0</v>
      </c>
      <c r="BN22" s="101">
        <f>((A2_A_L31*Malezas_A)+(A2_B_L31*Malezas_B)+(A2_C_L31*Malezas_C)+(A2_D_L31*Malezas_D)+(A2_Y_L31*Malezas_Y))*Inflación_2</f>
        <v>0</v>
      </c>
      <c r="BO22" s="101">
        <f>SUMIFS('9'!$E:$E,'9'!$A:$A,Año_Inicial+1,'9'!$B:$B,'12'!BN$4,'9'!$D:$D,"Aplicación de herbicida")</f>
        <v>0</v>
      </c>
      <c r="BP22" s="101">
        <f>((A2_A_L32*Malezas_A)+(A2_B_L32*Malezas_B)+(A2_C_L32*Malezas_C)+(A2_D_L32*Malezas_D)+(A2_Y_L32*Malezas_Y))*Inflación_2</f>
        <v>0</v>
      </c>
      <c r="BQ22" s="101">
        <f>SUMIFS('9'!$E:$E,'9'!$A:$A,Año_Inicial+1,'9'!$B:$B,'12'!BP$4,'9'!$D:$D,"Aplicación de herbicida")</f>
        <v>0</v>
      </c>
      <c r="BR22" s="101">
        <f>((A2_A_L33*Malezas_A)+(A2_B_L33*Malezas_B)+(A2_C_L33*Malezas_C)+(A2_D_L33*Malezas_D)+(A2_Y_L33*Malezas_Y))*Inflación_2</f>
        <v>0</v>
      </c>
      <c r="BS22" s="101">
        <f>SUMIFS('9'!$E:$E,'9'!$A:$A,Año_Inicial+1,'9'!$B:$B,'12'!BR$4,'9'!$D:$D,"Aplicación de herbicida")</f>
        <v>0</v>
      </c>
      <c r="BT22" s="101">
        <f>((A2_A_L34*Malezas_A)+(A2_B_L34*Malezas_B)+(A2_C_L34*Malezas_C)+(A2_D_L34*Malezas_D)+(A2_Y_L34*Malezas_Y))*Inflación_2</f>
        <v>0</v>
      </c>
      <c r="BU22" s="101">
        <f>SUMIFS('9'!$E:$E,'9'!$A:$A,Año_Inicial+1,'9'!$B:$B,'12'!BT$4,'9'!$D:$D,"Aplicación de herbicida")</f>
        <v>0</v>
      </c>
      <c r="BV22" s="101">
        <f>((A2_A_L35*Malezas_A)+(A2_B_L35*Malezas_B)+(A2_C_L35*Malezas_C)+(A2_D_L35*Malezas_D)+(A2_Y_L35*Malezas_Y))*Inflación_2</f>
        <v>0</v>
      </c>
      <c r="BW22" s="101">
        <f>SUMIFS('9'!$E:$E,'9'!$A:$A,Año_Inicial+1,'9'!$B:$B,'12'!BV$4,'9'!$D:$D,"Aplicación de herbicida")</f>
        <v>0</v>
      </c>
      <c r="BX22" s="101">
        <f>((A2_A_L36*Malezas_A)+(A2_B_L36*Malezas_B)+(A2_C_L36*Malezas_C)+(A2_D_L36*Malezas_D)+(A2_Y_L36*Malezas_Y))*Inflación_2</f>
        <v>0</v>
      </c>
      <c r="BY22" s="101">
        <f>SUMIFS('9'!$E:$E,'9'!$A:$A,Año_Inicial+1,'9'!$B:$B,'12'!BX$4,'9'!$D:$D,"Aplicación de herbicida")</f>
        <v>0</v>
      </c>
      <c r="BZ22" s="101">
        <f>((A2_A_L37*Malezas_A)+(A2_B_L37*Malezas_B)+(A2_C_L37*Malezas_C)+(A2_D_L37*Malezas_D)+(A2_Y_L37*Malezas_Y))*Inflación_2</f>
        <v>0</v>
      </c>
      <c r="CA22" s="101">
        <f>SUMIFS('9'!$E:$E,'9'!$A:$A,Año_Inicial+1,'9'!$B:$B,'12'!BZ$4,'9'!$D:$D,"Aplicación de herbicida")</f>
        <v>0</v>
      </c>
      <c r="CB22" s="101">
        <f>((A2_A_L38*Malezas_A)+(A2_B_L38*Malezas_B)+(A2_C_L38*Malezas_C)+(A2_D_L38*Malezas_D)+(A2_Y_L38*Malezas_Y))*Inflación_2</f>
        <v>0</v>
      </c>
      <c r="CC22" s="101">
        <f>SUMIFS('9'!$E:$E,'9'!$A:$A,Año_Inicial+1,'9'!$B:$B,'12'!CB$4,'9'!$D:$D,"Aplicación de herbicida")</f>
        <v>0</v>
      </c>
      <c r="CD22" s="101">
        <f>((A2_A_L39*Malezas_A)+(A2_B_L39*Malezas_B)+(A2_C_L39*Malezas_C)+(A2_D_L39*Malezas_D)+(A2_Y_L39*Malezas_Y))*Inflación_2</f>
        <v>0</v>
      </c>
      <c r="CE22" s="101">
        <f>SUMIFS('9'!$E:$E,'9'!$A:$A,Año_Inicial+1,'9'!$B:$B,'12'!CD$4,'9'!$D:$D,"Aplicación de herbicida")</f>
        <v>0</v>
      </c>
      <c r="CF22" s="101">
        <f>((A2_A_L40*Malezas_A)+(A2_B_L40*Malezas_B)+(A2_C_L40*Malezas_C)+(A2_D_L40*Malezas_D)+(A2_Y_L40*Malezas_Y))*Inflación_2</f>
        <v>0</v>
      </c>
      <c r="CG22" s="101">
        <f>SUMIFS('9'!$E:$E,'9'!$A:$A,Año_Inicial+1,'9'!$B:$B,'12'!CF$4,'9'!$D:$D,"Aplicación de herbicida")</f>
        <v>0</v>
      </c>
      <c r="CH22" s="473"/>
      <c r="CI22" s="101">
        <f>Plantas_A_A2*Malezas_A*Inflación_2</f>
        <v>0</v>
      </c>
      <c r="CJ22" s="101">
        <f>Plantas_B_A2*Malezas_B</f>
        <v>0</v>
      </c>
      <c r="CK22" s="101">
        <f>Plantas_C_A2*Malezas_C</f>
        <v>0</v>
      </c>
      <c r="CL22" s="101">
        <f>Plantas_D_A2*Malezas_D</f>
        <v>0</v>
      </c>
      <c r="CM22" s="101"/>
      <c r="CN22" s="101">
        <f>Plantas_Y_A2*Malezas_Y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7"/>
        <v>0</v>
      </c>
      <c r="C23" s="101">
        <f>SUMIFS('9'!$E:$E,'9'!$A:$A,Año_Inicial+1,'9'!$D:$D,"Limpias manuales")</f>
        <v>0</v>
      </c>
      <c r="D23" s="100">
        <f t="shared" si="46"/>
        <v>0</v>
      </c>
      <c r="E23" s="490"/>
      <c r="F23" s="101">
        <f>((A2_A_L1*Limpias_A)+(A2_B_L1*Limpias_B)+(A2_C_L1*Limpias_C)+(A2_D_L1*Limpias_D)+(A2_Y_L1*Limpias_Y))*Inflación_2</f>
        <v>0</v>
      </c>
      <c r="G23" s="101">
        <f>SUMIFS('9'!$E:$E,'9'!$A:$A,Año_Inicial+1,'9'!$B:$B,'12'!F$4,'9'!$D:$D,"Limpias manuales")</f>
        <v>0</v>
      </c>
      <c r="H23" s="101">
        <f>((A2_A_L2*Limpias_A)+(A2_B_L2*Limpias_B)+(A2_C_L2*Limpias_C)+(A2_D_L2*Limpias_D)+(A2_Y_L2*Limpias_Y))*Inflación_2</f>
        <v>0</v>
      </c>
      <c r="I23" s="101">
        <f>SUMIFS('9'!$E:$E,'9'!$A:$A,Año_Inicial+1,'9'!$B:$B,'12'!H$4,'9'!$D:$D,"Limpias manuales")</f>
        <v>0</v>
      </c>
      <c r="J23" s="101">
        <f>((A2_A_L3*Limpias_A)+(A2_B_L3*Limpias_B)+(A2_C_L3*Limpias_C)+(A2_D_L3*Limpias_D)+(A2_Y_L3*Limpias_Y))*Inflación_2</f>
        <v>0</v>
      </c>
      <c r="K23" s="101">
        <f>SUMIFS('9'!$E:$E,'9'!$A:$A,Año_Inicial+1,'9'!$B:$B,'12'!J$4,'9'!$D:$D,"Limpias manuales")</f>
        <v>0</v>
      </c>
      <c r="L23" s="101">
        <f>((A2_A_L4*Limpias_A)+(A2_B_L4*Limpias_B)+(A2_C_L4*Limpias_C)+(A2_D_L4*Limpias_D)+(A2_Y_L4*Limpias_Y))*Inflación_2</f>
        <v>0</v>
      </c>
      <c r="M23" s="101">
        <f>SUMIFS('9'!$E:$E,'9'!$A:$A,Año_Inicial+1,'9'!$B:$B,'12'!L$4,'9'!$D:$D,"Limpias manuales")</f>
        <v>0</v>
      </c>
      <c r="N23" s="101">
        <f>((A2_A_L5*Limpias_A)+(A2_B_L5*Limpias_B)+(A2_C_L5*Limpias_C)+(A2_D_L5*Limpias_D)+(A2_Y_L5*Limpias_Y))*Inflación_2</f>
        <v>0</v>
      </c>
      <c r="O23" s="101">
        <f>SUMIFS('9'!$E:$E,'9'!$A:$A,Año_Inicial+1,'9'!$B:$B,'12'!N$4,'9'!$D:$D,"Limpias manuales")</f>
        <v>0</v>
      </c>
      <c r="P23" s="101">
        <f>((A2_A_L6*Limpias_A)+(A2_B_L6*Limpias_B)+(A2_C_L6*Limpias_C)+(A2_D_L6*Limpias_D)+(A2_Y_L6*Limpias_Y))*Inflación_2</f>
        <v>0</v>
      </c>
      <c r="Q23" s="101">
        <f>SUMIFS('9'!$E:$E,'9'!$A:$A,Año_Inicial+1,'9'!$B:$B,'12'!P$4,'9'!$D:$D,"Limpias manuales")</f>
        <v>0</v>
      </c>
      <c r="R23" s="101">
        <f>((A2_A_L7*Limpias_A)+(A2_B_L7*Limpias_B)+(A2_C_L7*Limpias_C)+(A2_D_L7*Limpias_D)+(A2_Y_L7*Limpias_Y))*Inflación_2</f>
        <v>0</v>
      </c>
      <c r="S23" s="101">
        <f>SUMIFS('9'!$E:$E,'9'!$A:$A,Año_Inicial+1,'9'!$B:$B,'12'!R$4,'9'!$D:$D,"Limpias manuales")</f>
        <v>0</v>
      </c>
      <c r="T23" s="101">
        <f>((A2_A_L8*Limpias_A)+(A2_B_L8*Limpias_B)+(A2_C_L8*Limpias_C)+(A2_D_L8*Limpias_D)+(A2_Y_L8*Limpias_Y))*Inflación_2</f>
        <v>0</v>
      </c>
      <c r="U23" s="101">
        <f>SUMIFS('9'!$E:$E,'9'!$A:$A,Año_Inicial+1,'9'!$B:$B,'12'!T$4,'9'!$D:$D,"Limpias manuales")</f>
        <v>0</v>
      </c>
      <c r="V23" s="101">
        <f>((A2_A_L9*Limpias_A)+(A2_B_L9*Limpias_B)+(A2_C_L9*Limpias_C)+(A2_D_L9*Limpias_D)+(A2_Y_L9*Limpias_Y))*Inflación_2</f>
        <v>0</v>
      </c>
      <c r="W23" s="101">
        <f>SUMIFS('9'!$E:$E,'9'!$A:$A,Año_Inicial+1,'9'!$B:$B,'12'!V$4,'9'!$D:$D,"Limpias manuales")</f>
        <v>0</v>
      </c>
      <c r="X23" s="101">
        <f>((A2_A_L10*Limpias_A)+(A2_B_L10*Limpias_B)+(A2_C_L10*Limpias_C)+(A2_D_L10*Limpias_D)+(A2_Y_L10*Limpias_Y))*Inflación_2</f>
        <v>0</v>
      </c>
      <c r="Y23" s="101">
        <f>SUMIFS('9'!$E:$E,'9'!$A:$A,Año_Inicial+1,'9'!$B:$B,'12'!X$4,'9'!$D:$D,"Limpias manuales")</f>
        <v>0</v>
      </c>
      <c r="Z23" s="101">
        <f>((A2_A_L11*Limpias_A)+(A2_B_L11*Limpias_B)+(A2_C_L11*Limpias_C)+(A2_D_L11*Limpias_D)+(A2_Y_L11*Limpias_Y))*Inflación_2</f>
        <v>0</v>
      </c>
      <c r="AA23" s="101">
        <f>SUMIFS('9'!$E:$E,'9'!$A:$A,Año_Inicial+1,'9'!$B:$B,'12'!Z$4,'9'!$D:$D,"Limpias manuales")</f>
        <v>0</v>
      </c>
      <c r="AB23" s="101">
        <f>((A2_A_L12*Limpias_A)+(A2_B_L12*Limpias_B)+(A2_C_L12*Limpias_C)+(A2_D_L12*Limpias_D)+(A2_Y_L12*Limpias_Y))*Inflación_2</f>
        <v>0</v>
      </c>
      <c r="AC23" s="101">
        <f>SUMIFS('9'!$E:$E,'9'!$A:$A,Año_Inicial+1,'9'!$B:$B,'12'!AB$4,'9'!$D:$D,"Limpias manuales")</f>
        <v>0</v>
      </c>
      <c r="AD23" s="101">
        <f>((A2_A_L13*Limpias_A)+(A2_B_L13*Limpias_B)+(A2_C_L13*Limpias_C)+(A2_D_L13*Limpias_D)+(A2_Y_L13*Limpias_Y))*Inflación_2</f>
        <v>0</v>
      </c>
      <c r="AE23" s="101">
        <f>SUMIFS('9'!$E:$E,'9'!$A:$A,Año_Inicial+1,'9'!$B:$B,'12'!AD$4,'9'!$D:$D,"Limpias manuales")</f>
        <v>0</v>
      </c>
      <c r="AF23" s="101">
        <f>((A2_A_L14*Limpias_A)+(A2_B_L14*Limpias_B)+(A2_C_L14*Limpias_C)+(A2_D_L14*Limpias_D)+(A2_Y_L14*Limpias_Y))*Inflación_2</f>
        <v>0</v>
      </c>
      <c r="AG23" s="101">
        <f>SUMIFS('9'!$E:$E,'9'!$A:$A,Año_Inicial+1,'9'!$B:$B,'12'!AF$4,'9'!$D:$D,"Limpias manuales")</f>
        <v>0</v>
      </c>
      <c r="AH23" s="101">
        <f>((A2_A_L15*Limpias_A)+(A2_B_L15*Limpias_B)+(A2_C_L15*Limpias_C)+(A2_D_L15*Limpias_D)+(A2_Y_L15*Limpias_Y))*Inflación_2</f>
        <v>0</v>
      </c>
      <c r="AI23" s="101">
        <f>SUMIFS('9'!$E:$E,'9'!$A:$A,Año_Inicial+1,'9'!$B:$B,'12'!AH$4,'9'!$D:$D,"Limpias manuales")</f>
        <v>0</v>
      </c>
      <c r="AJ23" s="101">
        <f>((A2_A_L16*Limpias_A)+(A2_B_L16*Limpias_B)+(A2_C_L16*Limpias_C)+(A2_D_L16*Limpias_D)+(A2_Y_L16*Limpias_Y))*Inflación_2</f>
        <v>0</v>
      </c>
      <c r="AK23" s="101">
        <f>SUMIFS('9'!$E:$E,'9'!$A:$A,Año_Inicial+1,'9'!$B:$B,'12'!AJ$4,'9'!$D:$D,"Limpias manuales")</f>
        <v>0</v>
      </c>
      <c r="AL23" s="101">
        <f>((A2_A_L17*Limpias_A)+(A2_B_L17*Limpias_B)+(A2_C_L17*Limpias_C)+(A2_D_L17*Limpias_D)+(A2_Y_L17*Limpias_Y))*Inflación_2</f>
        <v>0</v>
      </c>
      <c r="AM23" s="101">
        <f>SUMIFS('9'!$E:$E,'9'!$A:$A,Año_Inicial+1,'9'!$B:$B,'12'!AL$4,'9'!$D:$D,"Limpias manuales")</f>
        <v>0</v>
      </c>
      <c r="AN23" s="101">
        <f>((A2_A_L18*Limpias_A)+(A2_B_L18*Limpias_B)+(A2_C_L18*Limpias_C)+(A2_D_L18*Limpias_D)+(A2_Y_L18*Limpias_Y))*Inflación_2</f>
        <v>0</v>
      </c>
      <c r="AO23" s="101">
        <f>SUMIFS('9'!$E:$E,'9'!$A:$A,Año_Inicial+1,'9'!$B:$B,'12'!AN$4,'9'!$D:$D,"Limpias manuales")</f>
        <v>0</v>
      </c>
      <c r="AP23" s="101">
        <f>((A2_A_L19*Limpias_A)+(A2_B_L19*Limpias_B)+(A2_C_L19*Limpias_C)+(A2_D_L19*Limpias_D)+(A2_Y_L19*Limpias_Y))*Inflación_2</f>
        <v>0</v>
      </c>
      <c r="AQ23" s="101">
        <f>SUMIFS('9'!$E:$E,'9'!$A:$A,Año_Inicial+1,'9'!$B:$B,'12'!AP$4,'9'!$D:$D,"Limpias manuales")</f>
        <v>0</v>
      </c>
      <c r="AR23" s="101">
        <f>((A2_A_L20*Limpias_A)+(A2_B_L20*Limpias_B)+(A2_C_L20*Limpias_C)+(A2_D_L20*Limpias_D)+(A2_Y_L20*Limpias_Y))*Inflación_2</f>
        <v>0</v>
      </c>
      <c r="AS23" s="101">
        <f>SUMIFS('9'!$E:$E,'9'!$A:$A,Año_Inicial+1,'9'!$B:$B,'12'!AR$4,'9'!$D:$D,"Limpias manuales")</f>
        <v>0</v>
      </c>
      <c r="AT23" s="101">
        <f>((A2_A_L21*Limpias_A)+(A2_B_L21*Limpias_B)+(A2_C_L21*Limpias_C)+(A2_D_L21*Limpias_D)+(A2_Y_L21*Limpias_Y))*Inflación_2</f>
        <v>0</v>
      </c>
      <c r="AU23" s="101">
        <f>SUMIFS('9'!$E:$E,'9'!$A:$A,Año_Inicial+1,'9'!$B:$B,'12'!AT$4,'9'!$D:$D,"Limpias manuales")</f>
        <v>0</v>
      </c>
      <c r="AV23" s="101">
        <f>((A2_A_L22*Limpias_A)+(A2_B_L22*Limpias_B)+(A2_C_L22*Limpias_C)+(A2_D_L22*Limpias_D)+(A2_Y_L22*Limpias_Y))*Inflación_2</f>
        <v>0</v>
      </c>
      <c r="AW23" s="101">
        <f>SUMIFS('9'!$E:$E,'9'!$A:$A,Año_Inicial+1,'9'!$B:$B,'12'!AV$4,'9'!$D:$D,"Limpias manuales")</f>
        <v>0</v>
      </c>
      <c r="AX23" s="101">
        <f>((A2_A_L23*Limpias_A)+(A2_B_L23*Limpias_B)+(A2_C_L23*Limpias_C)+(A2_D_L23*Limpias_D)+(A2_Y_L23*Limpias_Y))*Inflación_2</f>
        <v>0</v>
      </c>
      <c r="AY23" s="101">
        <f>SUMIFS('9'!$E:$E,'9'!$A:$A,Año_Inicial+1,'9'!$B:$B,'12'!AX$4,'9'!$D:$D,"Limpias manuales")</f>
        <v>0</v>
      </c>
      <c r="AZ23" s="101">
        <f>((A2_A_L24*Limpias_A)+(A2_B_L24*Limpias_B)+(A2_C_L24*Limpias_C)+(A2_D_L24*Limpias_D)+(A2_Y_L24*Limpias_Y))*Inflación_2</f>
        <v>0</v>
      </c>
      <c r="BA23" s="101">
        <f>SUMIFS('9'!$E:$E,'9'!$A:$A,Año_Inicial+1,'9'!$B:$B,'12'!AZ$4,'9'!$D:$D,"Limpias manuales")</f>
        <v>0</v>
      </c>
      <c r="BB23" s="101">
        <f>((A2_A_L25*Limpias_A)+(A2_B_L25*Limpias_B)+(A2_C_L25*Limpias_C)+(A2_D_L25*Limpias_D)+(A2_Y_L25*Limpias_Y))*Inflación_2</f>
        <v>0</v>
      </c>
      <c r="BC23" s="101">
        <f>SUMIFS('9'!$E:$E,'9'!$A:$A,Año_Inicial+1,'9'!$B:$B,'12'!BB$4,'9'!$D:$D,"Limpias manuales")</f>
        <v>0</v>
      </c>
      <c r="BD23" s="101">
        <f>((A2_A_L26*Limpias_A)+(A2_B_L26*Limpias_B)+(A2_C_L26*Limpias_C)+(A2_D_L26*Limpias_D)+(A2_Y_L26*Limpias_Y))*Inflación_2</f>
        <v>0</v>
      </c>
      <c r="BE23" s="101">
        <f>SUMIFS('9'!$E:$E,'9'!$A:$A,Año_Inicial+1,'9'!$B:$B,'12'!BD$4,'9'!$D:$D,"Limpias manuales")</f>
        <v>0</v>
      </c>
      <c r="BF23" s="101">
        <f>((A2_A_L27*Limpias_A)+(A2_B_L27*Limpias_B)+(A2_C_L27*Limpias_C)+(A2_D_L27*Limpias_D)+(A2_Y_L27*Limpias_Y))*Inflación_2</f>
        <v>0</v>
      </c>
      <c r="BG23" s="101">
        <f>SUMIFS('9'!$E:$E,'9'!$A:$A,Año_Inicial+1,'9'!$B:$B,'12'!BF$4,'9'!$D:$D,"Limpias manuales")</f>
        <v>0</v>
      </c>
      <c r="BH23" s="101">
        <f>((A2_A_L28*Limpias_A)+(A2_B_L28*Limpias_B)+(A2_C_L28*Limpias_C)+(A2_D_L28*Limpias_D)+(A2_Y_L28*Limpias_Y))*Inflación_2</f>
        <v>0</v>
      </c>
      <c r="BI23" s="101">
        <f>SUMIFS('9'!$E:$E,'9'!$A:$A,Año_Inicial+1,'9'!$B:$B,'12'!BH$4,'9'!$D:$D,"Limpias manuales")</f>
        <v>0</v>
      </c>
      <c r="BJ23" s="101">
        <f>((A2_A_L29*Limpias_A)+(A2_B_L29*Limpias_B)+(A2_C_L29*Limpias_C)+(A2_D_L29*Limpias_D)+(A2_Y_L29*Limpias_Y))*Inflación_2</f>
        <v>0</v>
      </c>
      <c r="BK23" s="101">
        <f>SUMIFS('9'!$E:$E,'9'!$A:$A,Año_Inicial+1,'9'!$B:$B,'12'!BJ$4,'9'!$D:$D,"Limpias manuales")</f>
        <v>0</v>
      </c>
      <c r="BL23" s="101">
        <f>((A2_A_L30*Limpias_A)+(A2_B_L30*Limpias_B)+(A2_C_L30*Limpias_C)+(A2_D_L30*Limpias_D)+(A2_Y_L30*Limpias_Y))*Inflación_2</f>
        <v>0</v>
      </c>
      <c r="BM23" s="101">
        <f>SUMIFS('9'!$E:$E,'9'!$A:$A,Año_Inicial+1,'9'!$B:$B,'12'!BL$4,'9'!$D:$D,"Limpias manuales")</f>
        <v>0</v>
      </c>
      <c r="BN23" s="101">
        <f>((A2_A_L31*Limpias_A)+(A2_B_L31*Limpias_B)+(A2_C_L31*Limpias_C)+(A2_D_L31*Limpias_D)+(A2_Y_L31*Limpias_Y))*Inflación_2</f>
        <v>0</v>
      </c>
      <c r="BO23" s="101">
        <f>SUMIFS('9'!$E:$E,'9'!$A:$A,Año_Inicial+1,'9'!$B:$B,'12'!BN$4,'9'!$D:$D,"Limpias manuales")</f>
        <v>0</v>
      </c>
      <c r="BP23" s="101">
        <f>((A2_A_L32*Limpias_A)+(A2_B_L32*Limpias_B)+(A2_C_L32*Limpias_C)+(A2_D_L32*Limpias_D)+(A2_Y_L32*Limpias_Y))*Inflación_2</f>
        <v>0</v>
      </c>
      <c r="BQ23" s="101">
        <f>SUMIFS('9'!$E:$E,'9'!$A:$A,Año_Inicial+1,'9'!$B:$B,'12'!BP$4,'9'!$D:$D,"Limpias manuales")</f>
        <v>0</v>
      </c>
      <c r="BR23" s="101">
        <f>((A2_A_L33*Limpias_A)+(A2_B_L33*Limpias_B)+(A2_C_L33*Limpias_C)+(A2_D_L33*Limpias_D)+(A2_Y_L33*Limpias_Y))*Inflación_2</f>
        <v>0</v>
      </c>
      <c r="BS23" s="101">
        <f>SUMIFS('9'!$E:$E,'9'!$A:$A,Año_Inicial+1,'9'!$B:$B,'12'!BR$4,'9'!$D:$D,"Limpias manuales")</f>
        <v>0</v>
      </c>
      <c r="BT23" s="101">
        <f>((A2_A_L34*Limpias_A)+(A2_B_L34*Limpias_B)+(A2_C_L34*Limpias_C)+(A2_D_L34*Limpias_D)+(A2_Y_L34*Limpias_Y))*Inflación_2</f>
        <v>0</v>
      </c>
      <c r="BU23" s="101">
        <f>SUMIFS('9'!$E:$E,'9'!$A:$A,Año_Inicial+1,'9'!$B:$B,'12'!BT$4,'9'!$D:$D,"Limpias manuales")</f>
        <v>0</v>
      </c>
      <c r="BV23" s="101">
        <f>((A2_A_L35*Limpias_A)+(A2_B_L35*Limpias_B)+(A2_C_L35*Limpias_C)+(A2_D_L35*Limpias_D)+(A2_Y_L35*Limpias_Y))*Inflación_2</f>
        <v>0</v>
      </c>
      <c r="BW23" s="101">
        <f>SUMIFS('9'!$E:$E,'9'!$A:$A,Año_Inicial+1,'9'!$B:$B,'12'!BV$4,'9'!$D:$D,"Limpias manuales")</f>
        <v>0</v>
      </c>
      <c r="BX23" s="101">
        <f>((A2_A_L36*Limpias_A)+(A2_B_L36*Limpias_B)+(A2_C_L36*Limpias_C)+(A2_D_L36*Limpias_D)+(A2_Y_L36*Limpias_Y))*Inflación_2</f>
        <v>0</v>
      </c>
      <c r="BY23" s="101">
        <f>SUMIFS('9'!$E:$E,'9'!$A:$A,Año_Inicial+1,'9'!$B:$B,'12'!BX$4,'9'!$D:$D,"Limpias manuales")</f>
        <v>0</v>
      </c>
      <c r="BZ23" s="101">
        <f>((A2_A_L37*Limpias_A)+(A2_B_L37*Limpias_B)+(A2_C_L37*Limpias_C)+(A2_D_L37*Limpias_D)+(A2_Y_L37*Limpias_Y))*Inflación_2</f>
        <v>0</v>
      </c>
      <c r="CA23" s="101">
        <f>SUMIFS('9'!$E:$E,'9'!$A:$A,Año_Inicial+1,'9'!$B:$B,'12'!BZ$4,'9'!$D:$D,"Limpias manuales")</f>
        <v>0</v>
      </c>
      <c r="CB23" s="101">
        <f>((A2_A_L38*Limpias_A)+(A2_B_L38*Limpias_B)+(A2_C_L38*Limpias_C)+(A2_D_L38*Limpias_D)+(A2_Y_L38*Limpias_Y))*Inflación_2</f>
        <v>0</v>
      </c>
      <c r="CC23" s="101">
        <f>SUMIFS('9'!$E:$E,'9'!$A:$A,Año_Inicial+1,'9'!$B:$B,'12'!CB$4,'9'!$D:$D,"Limpias manuales")</f>
        <v>0</v>
      </c>
      <c r="CD23" s="101">
        <f>((A2_A_L39*Limpias_A)+(A2_B_L39*Limpias_B)+(A2_C_L39*Limpias_C)+(A2_D_L39*Limpias_D)+(A2_Y_L39*Limpias_Y))*Inflación_2</f>
        <v>0</v>
      </c>
      <c r="CE23" s="101">
        <f>SUMIFS('9'!$E:$E,'9'!$A:$A,Año_Inicial+1,'9'!$B:$B,'12'!CD$4,'9'!$D:$D,"Limpias manuales")</f>
        <v>0</v>
      </c>
      <c r="CF23" s="101">
        <f>((A2_A_L40*Limpias_A)+(A2_B_L40*Limpias_B)+(A2_C_L40*Limpias_C)+(A2_D_L40*Limpias_D)+(A2_Y_L40*Limpias_Y))*Inflación_2</f>
        <v>0</v>
      </c>
      <c r="CG23" s="101">
        <f>SUMIFS('9'!$E:$E,'9'!$A:$A,Año_Inicial+1,'9'!$B:$B,'12'!CF$4,'9'!$D:$D,"Limpias manuales")</f>
        <v>0</v>
      </c>
      <c r="CH23" s="473"/>
      <c r="CI23" s="101">
        <f>Plantas_A_A2*Limpias_A*Inflación_2</f>
        <v>0</v>
      </c>
      <c r="CJ23" s="101">
        <f>Plantas_B_A2*Limpias_B</f>
        <v>0</v>
      </c>
      <c r="CK23" s="101">
        <f>Plantas_C_A2*Limpias_C</f>
        <v>0</v>
      </c>
      <c r="CL23" s="101">
        <f>Plantas_D_A2*Limpias_D</f>
        <v>0</v>
      </c>
      <c r="CM23" s="101"/>
      <c r="CN23" s="101">
        <f>Plantas_Y_A2*Limpias_Y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7"/>
        <v>0</v>
      </c>
      <c r="C24" s="101">
        <f>SUMIFS('9'!$E:$E,'9'!$A:$A,Año_Inicial+1,'9'!$D:$D,"Herbicida")</f>
        <v>0</v>
      </c>
      <c r="D24" s="100">
        <f t="shared" si="46"/>
        <v>0</v>
      </c>
      <c r="E24" s="490"/>
      <c r="F24" s="101">
        <f>((A2_A_L1*Herbicida_A)+(A2_B_L1*Herbicida_B)+(A2_C_L1*Herbicida_C)+(A2_D_L1*Herbicida_D)+(A2_Y_L1*Herbicida_Y))*Inflación_2</f>
        <v>0</v>
      </c>
      <c r="G24" s="101">
        <f>SUMIFS('9'!$E:$E,'9'!$A:$A,Año_Inicial+1,'9'!$B:$B,'12'!F$4,'9'!$D:$D,"Herbicida")</f>
        <v>0</v>
      </c>
      <c r="H24" s="101">
        <f>((A2_A_L2*Herbicida_A)+(A2_B_L2*Herbicida_B)+(A2_C_L2*Herbicida_C)+(A2_D_L2*Herbicida_D)+(A2_Y_L2*Herbicida_Y))*Inflación_2</f>
        <v>0</v>
      </c>
      <c r="I24" s="101">
        <f>SUMIFS('9'!$E:$E,'9'!$A:$A,Año_Inicial+1,'9'!$B:$B,'12'!H$4,'9'!$D:$D,"Herbicida")</f>
        <v>0</v>
      </c>
      <c r="J24" s="101">
        <f>((A2_A_L3*Herbicida_A)+(A2_B_L3*Herbicida_B)+(A2_C_L3*Herbicida_C)+(A2_D_L3*Herbicida_D)+(A2_Y_L3*Herbicida_Y))*Inflación_2</f>
        <v>0</v>
      </c>
      <c r="K24" s="101">
        <f>SUMIFS('9'!$E:$E,'9'!$A:$A,Año_Inicial+1,'9'!$B:$B,'12'!J$4,'9'!$D:$D,"Herbicida")</f>
        <v>0</v>
      </c>
      <c r="L24" s="101">
        <f>((A2_A_L4*Herbicida_A)+(A2_B_L4*Herbicida_B)+(A2_C_L4*Herbicida_C)+(A2_D_L4*Herbicida_D)+(A2_Y_L4*Herbicida_Y))*Inflación_2</f>
        <v>0</v>
      </c>
      <c r="M24" s="101">
        <f>SUMIFS('9'!$E:$E,'9'!$A:$A,Año_Inicial+1,'9'!$B:$B,'12'!L$4,'9'!$D:$D,"Herbicida")</f>
        <v>0</v>
      </c>
      <c r="N24" s="101">
        <f>((A2_A_L5*Herbicida_A)+(A2_B_L5*Herbicida_B)+(A2_C_L5*Herbicida_C)+(A2_D_L5*Herbicida_D)+(A2_Y_L5*Herbicida_Y))*Inflación_2</f>
        <v>0</v>
      </c>
      <c r="O24" s="101">
        <f>SUMIFS('9'!$E:$E,'9'!$A:$A,Año_Inicial+1,'9'!$B:$B,'12'!N$4,'9'!$D:$D,"Herbicida")</f>
        <v>0</v>
      </c>
      <c r="P24" s="101">
        <f>((A2_A_L6*Herbicida_A)+(A2_B_L6*Herbicida_B)+(A2_C_L6*Herbicida_C)+(A2_D_L6*Herbicida_D)+(A2_Y_L6*Herbicida_Y))*Inflación_2</f>
        <v>0</v>
      </c>
      <c r="Q24" s="101">
        <f>SUMIFS('9'!$E:$E,'9'!$A:$A,Año_Inicial+1,'9'!$B:$B,'12'!P$4,'9'!$D:$D,"Herbicida")</f>
        <v>0</v>
      </c>
      <c r="R24" s="101">
        <f>((A2_A_L7*Herbicida_A)+(A2_B_L7*Herbicida_B)+(A2_C_L7*Herbicida_C)+(A2_D_L7*Herbicida_D)+(A2_Y_L7*Herbicida_Y))*Inflación_2</f>
        <v>0</v>
      </c>
      <c r="S24" s="101">
        <f>SUMIFS('9'!$E:$E,'9'!$A:$A,Año_Inicial+1,'9'!$B:$B,'12'!R$4,'9'!$D:$D,"Herbicida")</f>
        <v>0</v>
      </c>
      <c r="T24" s="101">
        <f>((A2_A_L8*Herbicida_A)+(A2_B_L8*Herbicida_B)+(A2_C_L8*Herbicida_C)+(A2_D_L8*Herbicida_D)+(A2_Y_L8*Herbicida_Y))*Inflación_2</f>
        <v>0</v>
      </c>
      <c r="U24" s="101">
        <f>SUMIFS('9'!$E:$E,'9'!$A:$A,Año_Inicial+1,'9'!$B:$B,'12'!T$4,'9'!$D:$D,"Herbicida")</f>
        <v>0</v>
      </c>
      <c r="V24" s="101">
        <f>((A2_A_L9*Herbicida_A)+(A2_B_L9*Herbicida_B)+(A2_C_L9*Herbicida_C)+(A2_D_L9*Herbicida_D)+(A2_Y_L9*Herbicida_Y))*Inflación_2</f>
        <v>0</v>
      </c>
      <c r="W24" s="101">
        <f>SUMIFS('9'!$E:$E,'9'!$A:$A,Año_Inicial+1,'9'!$B:$B,'12'!V$4,'9'!$D:$D,"Herbicida")</f>
        <v>0</v>
      </c>
      <c r="X24" s="101">
        <f>((A2_A_L10*Herbicida_A)+(A2_B_L10*Herbicida_B)+(A2_C_L10*Herbicida_C)+(A2_D_L10*Herbicida_D)+(A2_Y_L10*Herbicida_Y))*Inflación_2</f>
        <v>0</v>
      </c>
      <c r="Y24" s="101">
        <f>SUMIFS('9'!$E:$E,'9'!$A:$A,Año_Inicial+1,'9'!$B:$B,'12'!X$4,'9'!$D:$D,"Herbicida")</f>
        <v>0</v>
      </c>
      <c r="Z24" s="101">
        <f>((A2_A_L11*Herbicida_A)+(A2_B_L11*Herbicida_B)+(A2_C_L11*Herbicida_C)+(A2_D_L11*Herbicida_D)+(A2_Y_L11*Herbicida_Y))*Inflación_2</f>
        <v>0</v>
      </c>
      <c r="AA24" s="101">
        <f>SUMIFS('9'!$E:$E,'9'!$A:$A,Año_Inicial+1,'9'!$B:$B,'12'!Z$4,'9'!$D:$D,"Herbicida")</f>
        <v>0</v>
      </c>
      <c r="AB24" s="101">
        <f>((A2_A_L12*Herbicida_A)+(A2_B_L12*Herbicida_B)+(A2_C_L12*Herbicida_C)+(A2_D_L12*Herbicida_D)+(A2_Y_L12*Herbicida_Y))*Inflación_2</f>
        <v>0</v>
      </c>
      <c r="AC24" s="101">
        <f>SUMIFS('9'!$E:$E,'9'!$A:$A,Año_Inicial+1,'9'!$B:$B,'12'!AB$4,'9'!$D:$D,"Herbicida")</f>
        <v>0</v>
      </c>
      <c r="AD24" s="101">
        <f>((A2_A_L13*Herbicida_A)+(A2_B_L13*Herbicida_B)+(A2_C_L13*Herbicida_C)+(A2_D_L13*Herbicida_D)+(A2_Y_L13*Herbicida_Y))*Inflación_2</f>
        <v>0</v>
      </c>
      <c r="AE24" s="101">
        <f>SUMIFS('9'!$E:$E,'9'!$A:$A,Año_Inicial+1,'9'!$B:$B,'12'!AD$4,'9'!$D:$D,"Herbicida")</f>
        <v>0</v>
      </c>
      <c r="AF24" s="101">
        <f>((A2_A_L14*Herbicida_A)+(A2_B_L14*Herbicida_B)+(A2_C_L14*Herbicida_C)+(A2_D_L14*Herbicida_D)+(A2_Y_L14*Herbicida_Y))*Inflación_2</f>
        <v>0</v>
      </c>
      <c r="AG24" s="101">
        <f>SUMIFS('9'!$E:$E,'9'!$A:$A,Año_Inicial+1,'9'!$B:$B,'12'!AF$4,'9'!$D:$D,"Herbicida")</f>
        <v>0</v>
      </c>
      <c r="AH24" s="101">
        <f>((A2_A_L15*Herbicida_A)+(A2_B_L15*Herbicida_B)+(A2_C_L15*Herbicida_C)+(A2_D_L15*Herbicida_D)+(A2_Y_L15*Herbicida_Y))*Inflación_2</f>
        <v>0</v>
      </c>
      <c r="AI24" s="101">
        <f>SUMIFS('9'!$E:$E,'9'!$A:$A,Año_Inicial+1,'9'!$B:$B,'12'!AH$4,'9'!$D:$D,"Herbicida")</f>
        <v>0</v>
      </c>
      <c r="AJ24" s="101">
        <f>((A2_A_L16*Herbicida_A)+(A2_B_L16*Herbicida_B)+(A2_C_L16*Herbicida_C)+(A2_D_L16*Herbicida_D)+(A2_Y_L16*Herbicida_Y))*Inflación_2</f>
        <v>0</v>
      </c>
      <c r="AK24" s="101">
        <f>SUMIFS('9'!$E:$E,'9'!$A:$A,Año_Inicial+1,'9'!$B:$B,'12'!AJ$4,'9'!$D:$D,"Herbicida")</f>
        <v>0</v>
      </c>
      <c r="AL24" s="101">
        <f>((A2_A_L17*Herbicida_A)+(A2_B_L17*Herbicida_B)+(A2_C_L17*Herbicida_C)+(A2_D_L17*Herbicida_D)+(A2_Y_L17*Herbicida_Y))*Inflación_2</f>
        <v>0</v>
      </c>
      <c r="AM24" s="101">
        <f>SUMIFS('9'!$E:$E,'9'!$A:$A,Año_Inicial+1,'9'!$B:$B,'12'!AL$4,'9'!$D:$D,"Herbicida")</f>
        <v>0</v>
      </c>
      <c r="AN24" s="101">
        <f>((A2_A_L18*Herbicida_A)+(A2_B_L18*Herbicida_B)+(A2_C_L18*Herbicida_C)+(A2_D_L18*Herbicida_D)+(A2_Y_L18*Herbicida_Y))*Inflación_2</f>
        <v>0</v>
      </c>
      <c r="AO24" s="101">
        <f>SUMIFS('9'!$E:$E,'9'!$A:$A,Año_Inicial+1,'9'!$B:$B,'12'!AN$4,'9'!$D:$D,"Herbicida")</f>
        <v>0</v>
      </c>
      <c r="AP24" s="101">
        <f>((A2_A_L19*Herbicida_A)+(A2_B_L19*Herbicida_B)+(A2_C_L19*Herbicida_C)+(A2_D_L19*Herbicida_D)+(A2_Y_L19*Herbicida_Y))*Inflación_2</f>
        <v>0</v>
      </c>
      <c r="AQ24" s="101">
        <f>SUMIFS('9'!$E:$E,'9'!$A:$A,Año_Inicial+1,'9'!$B:$B,'12'!AP$4,'9'!$D:$D,"Herbicida")</f>
        <v>0</v>
      </c>
      <c r="AR24" s="101">
        <f>((A2_A_L20*Herbicida_A)+(A2_B_L20*Herbicida_B)+(A2_C_L20*Herbicida_C)+(A2_D_L20*Herbicida_D)+(A2_Y_L20*Herbicida_Y))*Inflación_2</f>
        <v>0</v>
      </c>
      <c r="AS24" s="101">
        <f>SUMIFS('9'!$E:$E,'9'!$A:$A,Año_Inicial+1,'9'!$B:$B,'12'!AR$4,'9'!$D:$D,"Herbicida")</f>
        <v>0</v>
      </c>
      <c r="AT24" s="101">
        <f>((A2_A_L21*Herbicida_A)+(A2_B_L21*Herbicida_B)+(A2_C_L21*Herbicida_C)+(A2_D_L21*Herbicida_D)+(A2_Y_L21*Herbicida_Y))*Inflación_2</f>
        <v>0</v>
      </c>
      <c r="AU24" s="101">
        <f>SUMIFS('9'!$E:$E,'9'!$A:$A,Año_Inicial+1,'9'!$B:$B,'12'!AT$4,'9'!$D:$D,"Herbicida")</f>
        <v>0</v>
      </c>
      <c r="AV24" s="101">
        <f>((A2_A_L22*Herbicida_A)+(A2_B_L22*Herbicida_B)+(A2_C_L22*Herbicida_C)+(A2_D_L22*Herbicida_D)+(A2_Y_L22*Herbicida_Y))*Inflación_2</f>
        <v>0</v>
      </c>
      <c r="AW24" s="101">
        <f>SUMIFS('9'!$E:$E,'9'!$A:$A,Año_Inicial+1,'9'!$B:$B,'12'!AV$4,'9'!$D:$D,"Herbicida")</f>
        <v>0</v>
      </c>
      <c r="AX24" s="101">
        <f>((A2_A_L23*Herbicida_A)+(A2_B_L23*Herbicida_B)+(A2_C_L23*Herbicida_C)+(A2_D_L23*Herbicida_D)+(A2_Y_L23*Herbicida_Y))*Inflación_2</f>
        <v>0</v>
      </c>
      <c r="AY24" s="101">
        <f>SUMIFS('9'!$E:$E,'9'!$A:$A,Año_Inicial+1,'9'!$B:$B,'12'!AX$4,'9'!$D:$D,"Herbicida")</f>
        <v>0</v>
      </c>
      <c r="AZ24" s="101">
        <f>((A2_A_L24*Herbicida_A)+(A2_B_L24*Herbicida_B)+(A2_C_L24*Herbicida_C)+(A2_D_L24*Herbicida_D)+(A2_Y_L24*Herbicida_Y))*Inflación_2</f>
        <v>0</v>
      </c>
      <c r="BA24" s="101">
        <f>SUMIFS('9'!$E:$E,'9'!$A:$A,Año_Inicial+1,'9'!$B:$B,'12'!AZ$4,'9'!$D:$D,"Herbicida")</f>
        <v>0</v>
      </c>
      <c r="BB24" s="101">
        <f>((A2_A_L25*Herbicida_A)+(A2_B_L25*Herbicida_B)+(A2_C_L25*Herbicida_C)+(A2_D_L25*Herbicida_D)+(A2_Y_L25*Herbicida_Y))*Inflación_2</f>
        <v>0</v>
      </c>
      <c r="BC24" s="101">
        <f>SUMIFS('9'!$E:$E,'9'!$A:$A,Año_Inicial+1,'9'!$B:$B,'12'!BB$4,'9'!$D:$D,"Herbicida")</f>
        <v>0</v>
      </c>
      <c r="BD24" s="101">
        <f>((A2_A_L26*Herbicida_A)+(A2_B_L26*Herbicida_B)+(A2_C_L26*Herbicida_C)+(A2_D_L26*Herbicida_D)+(A2_Y_L26*Herbicida_Y))*Inflación_2</f>
        <v>0</v>
      </c>
      <c r="BE24" s="101">
        <f>SUMIFS('9'!$E:$E,'9'!$A:$A,Año_Inicial+1,'9'!$B:$B,'12'!BD$4,'9'!$D:$D,"Herbicida")</f>
        <v>0</v>
      </c>
      <c r="BF24" s="101">
        <f>((A2_A_L27*Herbicida_A)+(A2_B_L27*Herbicida_B)+(A2_C_L27*Herbicida_C)+(A2_D_L27*Herbicida_D)+(A2_Y_L27*Herbicida_Y))*Inflación_2</f>
        <v>0</v>
      </c>
      <c r="BG24" s="101">
        <f>SUMIFS('9'!$E:$E,'9'!$A:$A,Año_Inicial+1,'9'!$B:$B,'12'!BF$4,'9'!$D:$D,"Herbicida")</f>
        <v>0</v>
      </c>
      <c r="BH24" s="101">
        <f>((A2_A_L28*Herbicida_A)+(A2_B_L28*Herbicida_B)+(A2_C_L28*Herbicida_C)+(A2_D_L28*Herbicida_D)+(A2_Y_L28*Herbicida_Y))*Inflación_2</f>
        <v>0</v>
      </c>
      <c r="BI24" s="101">
        <f>SUMIFS('9'!$E:$E,'9'!$A:$A,Año_Inicial+1,'9'!$B:$B,'12'!BH$4,'9'!$D:$D,"Herbicida")</f>
        <v>0</v>
      </c>
      <c r="BJ24" s="101">
        <f>((A2_A_L29*Herbicida_A)+(A2_B_L29*Herbicida_B)+(A2_C_L29*Herbicida_C)+(A2_D_L29*Herbicida_D)+(A2_Y_L29*Herbicida_Y))*Inflación_2</f>
        <v>0</v>
      </c>
      <c r="BK24" s="101">
        <f>SUMIFS('9'!$E:$E,'9'!$A:$A,Año_Inicial+1,'9'!$B:$B,'12'!BJ$4,'9'!$D:$D,"Herbicida")</f>
        <v>0</v>
      </c>
      <c r="BL24" s="101">
        <f>((A2_A_L30*Herbicida_A)+(A2_B_L30*Herbicida_B)+(A2_C_L30*Herbicida_C)+(A2_D_L30*Herbicida_D)+(A2_Y_L30*Herbicida_Y))*Inflación_2</f>
        <v>0</v>
      </c>
      <c r="BM24" s="101">
        <f>SUMIFS('9'!$E:$E,'9'!$A:$A,Año_Inicial+1,'9'!$B:$B,'12'!BL$4,'9'!$D:$D,"Herbicida")</f>
        <v>0</v>
      </c>
      <c r="BN24" s="101">
        <f>((A2_A_L31*Herbicida_A)+(A2_B_L31*Herbicida_B)+(A2_C_L31*Herbicida_C)+(A2_D_L31*Herbicida_D)+(A2_Y_L31*Herbicida_Y))*Inflación_2</f>
        <v>0</v>
      </c>
      <c r="BO24" s="101">
        <f>SUMIFS('9'!$E:$E,'9'!$A:$A,Año_Inicial+1,'9'!$B:$B,'12'!BN$4,'9'!$D:$D,"Herbicida")</f>
        <v>0</v>
      </c>
      <c r="BP24" s="101">
        <f>((A2_A_L32*Herbicida_A)+(A2_B_L32*Herbicida_B)+(A2_C_L32*Herbicida_C)+(A2_D_L32*Herbicida_D)+(A2_Y_L32*Herbicida_Y))*Inflación_2</f>
        <v>0</v>
      </c>
      <c r="BQ24" s="101">
        <f>SUMIFS('9'!$E:$E,'9'!$A:$A,Año_Inicial+1,'9'!$B:$B,'12'!BP$4,'9'!$D:$D,"Herbicida")</f>
        <v>0</v>
      </c>
      <c r="BR24" s="101">
        <f>((A2_A_L33*Herbicida_A)+(A2_B_L33*Herbicida_B)+(A2_C_L33*Herbicida_C)+(A2_D_L33*Herbicida_D)+(A2_Y_L33*Herbicida_Y))*Inflación_2</f>
        <v>0</v>
      </c>
      <c r="BS24" s="101">
        <f>SUMIFS('9'!$E:$E,'9'!$A:$A,Año_Inicial+1,'9'!$B:$B,'12'!BR$4,'9'!$D:$D,"Herbicida")</f>
        <v>0</v>
      </c>
      <c r="BT24" s="101">
        <f>((A2_A_L34*Herbicida_A)+(A2_B_L34*Herbicida_B)+(A2_C_L34*Herbicida_C)+(A2_D_L34*Herbicida_D)+(A2_Y_L34*Herbicida_Y))*Inflación_2</f>
        <v>0</v>
      </c>
      <c r="BU24" s="101">
        <f>SUMIFS('9'!$E:$E,'9'!$A:$A,Año_Inicial+1,'9'!$B:$B,'12'!BT$4,'9'!$D:$D,"Herbicida")</f>
        <v>0</v>
      </c>
      <c r="BV24" s="101">
        <f>((A2_A_L35*Herbicida_A)+(A2_B_L35*Herbicida_B)+(A2_C_L35*Herbicida_C)+(A2_D_L35*Herbicida_D)+(A2_Y_L35*Herbicida_Y))*Inflación_2</f>
        <v>0</v>
      </c>
      <c r="BW24" s="101">
        <f>SUMIFS('9'!$E:$E,'9'!$A:$A,Año_Inicial+1,'9'!$B:$B,'12'!BV$4,'9'!$D:$D,"Herbicida")</f>
        <v>0</v>
      </c>
      <c r="BX24" s="101">
        <f>((A2_A_L36*Herbicida_A)+(A2_B_L36*Herbicida_B)+(A2_C_L36*Herbicida_C)+(A2_D_L36*Herbicida_D)+(A2_Y_L36*Herbicida_Y))*Inflación_2</f>
        <v>0</v>
      </c>
      <c r="BY24" s="101">
        <f>SUMIFS('9'!$E:$E,'9'!$A:$A,Año_Inicial+1,'9'!$B:$B,'12'!BX$4,'9'!$D:$D,"Herbicida")</f>
        <v>0</v>
      </c>
      <c r="BZ24" s="101">
        <f>((A2_A_L37*Herbicida_A)+(A2_B_L37*Herbicida_B)+(A2_C_L37*Herbicida_C)+(A2_D_L37*Herbicida_D)+(A2_Y_L37*Herbicida_Y))*Inflación_2</f>
        <v>0</v>
      </c>
      <c r="CA24" s="101">
        <f>SUMIFS('9'!$E:$E,'9'!$A:$A,Año_Inicial+1,'9'!$B:$B,'12'!BZ$4,'9'!$D:$D,"Herbicida")</f>
        <v>0</v>
      </c>
      <c r="CB24" s="101">
        <f>((A2_A_L38*Herbicida_A)+(A2_B_L38*Herbicida_B)+(A2_C_L38*Herbicida_C)+(A2_D_L38*Herbicida_D)+(A2_Y_L38*Herbicida_Y))*Inflación_2</f>
        <v>0</v>
      </c>
      <c r="CC24" s="101">
        <f>SUMIFS('9'!$E:$E,'9'!$A:$A,Año_Inicial+1,'9'!$B:$B,'12'!CB$4,'9'!$D:$D,"Herbicida")</f>
        <v>0</v>
      </c>
      <c r="CD24" s="101">
        <f>((A2_A_L39*Herbicida_A)+(A2_B_L39*Herbicida_B)+(A2_C_L39*Herbicida_C)+(A2_D_L39*Herbicida_D)+(A2_Y_L39*Herbicida_Y))*Inflación_2</f>
        <v>0</v>
      </c>
      <c r="CE24" s="101">
        <f>SUMIFS('9'!$E:$E,'9'!$A:$A,Año_Inicial+1,'9'!$B:$B,'12'!CD$4,'9'!$D:$D,"Herbicida")</f>
        <v>0</v>
      </c>
      <c r="CF24" s="101">
        <f>((A2_A_L40*Herbicida_A)+(A2_B_L40*Herbicida_B)+(A2_C_L40*Herbicida_C)+(A2_D_L40*Herbicida_D)+(A2_Y_L40*Herbicida_Y))*Inflación_2</f>
        <v>0</v>
      </c>
      <c r="CG24" s="101">
        <f>SUMIFS('9'!$E:$E,'9'!$A:$A,Año_Inicial+1,'9'!$B:$B,'12'!CF$4,'9'!$D:$D,"Herbicida")</f>
        <v>0</v>
      </c>
      <c r="CH24" s="473"/>
      <c r="CI24" s="101">
        <f>Plantas_A_A2*Herbicida_A*Inflación_2</f>
        <v>0</v>
      </c>
      <c r="CJ24" s="101">
        <f>Plantas_B_A2*Herbicida_B</f>
        <v>0</v>
      </c>
      <c r="CK24" s="101">
        <f>Plantas_C_A2*Herbicida_C</f>
        <v>0</v>
      </c>
      <c r="CL24" s="101">
        <f>Plantas_D_A2*Herbicida_D</f>
        <v>0</v>
      </c>
      <c r="CM24" s="101"/>
      <c r="CN24" s="101">
        <f>Plantas_Y_A2*Herbicida_Y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90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7"/>
        <v>0</v>
      </c>
      <c r="C26" s="101">
        <f>SUMIFS('9'!$E:$E,'9'!$A:$A,Año_Inicial+1,'9'!$D:$D,"Prevención de plagas")</f>
        <v>0</v>
      </c>
      <c r="D26" s="100">
        <f t="shared" si="46"/>
        <v>0</v>
      </c>
      <c r="E26" s="490"/>
      <c r="F26" s="101">
        <f>((A2_A_L1*Plagas_A)+(A2_B_L1*Plagas_B)+(A2_C_L1*Plagas_C)+(A2_D_L1*Plagas_D)+(A2_Y_L1*Plagas_Y))*Inflación_2</f>
        <v>0</v>
      </c>
      <c r="G26" s="101">
        <f>SUMIFS('9'!$E:$E,'9'!$A:$A,Año_Inicial+1,'9'!$B:$B,'12'!F$4,'9'!$D:$D,"Prevención de plagas")</f>
        <v>0</v>
      </c>
      <c r="H26" s="101">
        <f>((A2_A_L2*Plagas_A)+(A2_B_L2*Plagas_B)+(A2_C_L2*Plagas_C)+(A2_D_L2*Plagas_D)+(A2_Y_L2*Plagas_Y))*Inflación_2</f>
        <v>0</v>
      </c>
      <c r="I26" s="101">
        <f>SUMIFS('9'!$E:$E,'9'!$A:$A,Año_Inicial+1,'9'!$B:$B,'12'!H$4,'9'!$D:$D,"Prevención de plagas")</f>
        <v>0</v>
      </c>
      <c r="J26" s="101">
        <f>((A2_A_L3*Plagas_A)+(A2_B_L3*Plagas_B)+(A2_C_L3*Plagas_C)+(A2_D_L3*Plagas_D)+(A2_Y_L3*Plagas_Y))*Inflación_2</f>
        <v>0</v>
      </c>
      <c r="K26" s="101">
        <f>SUMIFS('9'!$E:$E,'9'!$A:$A,Año_Inicial+1,'9'!$B:$B,'12'!J$4,'9'!$D:$D,"Prevención de plagas")</f>
        <v>0</v>
      </c>
      <c r="L26" s="101">
        <f>((A2_A_L4*Plagas_A)+(A2_B_L4*Plagas_B)+(A2_C_L4*Plagas_C)+(A2_D_L4*Plagas_D)+(A2_Y_L4*Plagas_Y))*Inflación_2</f>
        <v>0</v>
      </c>
      <c r="M26" s="101">
        <f>SUMIFS('9'!$E:$E,'9'!$A:$A,Año_Inicial+1,'9'!$B:$B,'12'!L$4,'9'!$D:$D,"Prevención de plagas")</f>
        <v>0</v>
      </c>
      <c r="N26" s="101">
        <f>((A2_A_L5*Plagas_A)+(A2_B_L5*Plagas_B)+(A2_C_L5*Plagas_C)+(A2_D_L5*Plagas_D)+(A2_Y_L5*Plagas_Y))*Inflación_2</f>
        <v>0</v>
      </c>
      <c r="O26" s="101">
        <f>SUMIFS('9'!$E:$E,'9'!$A:$A,Año_Inicial+1,'9'!$B:$B,'12'!N$4,'9'!$D:$D,"Prevención de plagas")</f>
        <v>0</v>
      </c>
      <c r="P26" s="101">
        <f>((A2_A_L6*Plagas_A)+(A2_B_L6*Plagas_B)+(A2_C_L6*Plagas_C)+(A2_D_L6*Plagas_D)+(A2_Y_L6*Plagas_Y))*Inflación_2</f>
        <v>0</v>
      </c>
      <c r="Q26" s="101">
        <f>SUMIFS('9'!$E:$E,'9'!$A:$A,Año_Inicial+1,'9'!$B:$B,'12'!P$4,'9'!$D:$D,"Prevención de plagas")</f>
        <v>0</v>
      </c>
      <c r="R26" s="101">
        <f>((A2_A_L7*Plagas_A)+(A2_B_L7*Plagas_B)+(A2_C_L7*Plagas_C)+(A2_D_L7*Plagas_D)+(A2_Y_L7*Plagas_Y))*Inflación_2</f>
        <v>0</v>
      </c>
      <c r="S26" s="101">
        <f>SUMIFS('9'!$E:$E,'9'!$A:$A,Año_Inicial+1,'9'!$B:$B,'12'!R$4,'9'!$D:$D,"Prevención de plagas")</f>
        <v>0</v>
      </c>
      <c r="T26" s="101">
        <f>((A2_A_L8*Plagas_A)+(A2_B_L8*Plagas_B)+(A2_C_L8*Plagas_C)+(A2_D_L8*Plagas_D)+(A2_Y_L8*Plagas_Y))*Inflación_2</f>
        <v>0</v>
      </c>
      <c r="U26" s="101">
        <f>SUMIFS('9'!$E:$E,'9'!$A:$A,Año_Inicial+1,'9'!$B:$B,'12'!T$4,'9'!$D:$D,"Prevención de plagas")</f>
        <v>0</v>
      </c>
      <c r="V26" s="101">
        <f>((A2_A_L9*Plagas_A)+(A2_B_L9*Plagas_B)+(A2_C_L9*Plagas_C)+(A2_D_L9*Plagas_D)+(A2_Y_L9*Plagas_Y))*Inflación_2</f>
        <v>0</v>
      </c>
      <c r="W26" s="101">
        <f>SUMIFS('9'!$E:$E,'9'!$A:$A,Año_Inicial+1,'9'!$B:$B,'12'!V$4,'9'!$D:$D,"Prevención de plagas")</f>
        <v>0</v>
      </c>
      <c r="X26" s="101">
        <f>((A2_A_L10*Plagas_A)+(A2_B_L10*Plagas_B)+(A2_C_L10*Plagas_C)+(A2_D_L10*Plagas_D)+(A2_Y_L10*Plagas_Y))*Inflación_2</f>
        <v>0</v>
      </c>
      <c r="Y26" s="101">
        <f>SUMIFS('9'!$E:$E,'9'!$A:$A,Año_Inicial+1,'9'!$B:$B,'12'!X$4,'9'!$D:$D,"Prevención de plagas")</f>
        <v>0</v>
      </c>
      <c r="Z26" s="101">
        <f>((A2_A_L11*Plagas_A)+(A2_B_L11*Plagas_B)+(A2_C_L11*Plagas_C)+(A2_D_L11*Plagas_D)+(A2_Y_L11*Plagas_Y))*Inflación_2</f>
        <v>0</v>
      </c>
      <c r="AA26" s="101">
        <f>SUMIFS('9'!$E:$E,'9'!$A:$A,Año_Inicial+1,'9'!$B:$B,'12'!Z$4,'9'!$D:$D,"Prevención de plagas")</f>
        <v>0</v>
      </c>
      <c r="AB26" s="101">
        <f>((A2_A_L12*Plagas_A)+(A2_B_L12*Plagas_B)+(A2_C_L12*Plagas_C)+(A2_D_L12*Plagas_D)+(A2_Y_L12*Plagas_Y))*Inflación_2</f>
        <v>0</v>
      </c>
      <c r="AC26" s="101">
        <f>SUMIFS('9'!$E:$E,'9'!$A:$A,Año_Inicial+1,'9'!$B:$B,'12'!AB$4,'9'!$D:$D,"Prevención de plagas")</f>
        <v>0</v>
      </c>
      <c r="AD26" s="101">
        <f>((A2_A_L13*Plagas_A)+(A2_B_L13*Plagas_B)+(A2_C_L13*Plagas_C)+(A2_D_L13*Plagas_D)+(A2_Y_L13*Plagas_Y))*Inflación_2</f>
        <v>0</v>
      </c>
      <c r="AE26" s="101">
        <f>SUMIFS('9'!$E:$E,'9'!$A:$A,Año_Inicial+1,'9'!$B:$B,'12'!AD$4,'9'!$D:$D,"Prevención de plagas")</f>
        <v>0</v>
      </c>
      <c r="AF26" s="101">
        <f>((A2_A_L14*Plagas_A)+(A2_B_L14*Plagas_B)+(A2_C_L14*Plagas_C)+(A2_D_L14*Plagas_D)+(A2_Y_L14*Plagas_Y))*Inflación_2</f>
        <v>0</v>
      </c>
      <c r="AG26" s="101">
        <f>SUMIFS('9'!$E:$E,'9'!$A:$A,Año_Inicial+1,'9'!$B:$B,'12'!AF$4,'9'!$D:$D,"Prevención de plagas")</f>
        <v>0</v>
      </c>
      <c r="AH26" s="101">
        <f>((A2_A_L15*Plagas_A)+(A2_B_L15*Plagas_B)+(A2_C_L15*Plagas_C)+(A2_D_L15*Plagas_D)+(A2_Y_L15*Plagas_Y))*Inflación_2</f>
        <v>0</v>
      </c>
      <c r="AI26" s="101">
        <f>SUMIFS('9'!$E:$E,'9'!$A:$A,Año_Inicial+1,'9'!$B:$B,'12'!AH$4,'9'!$D:$D,"Prevención de plagas")</f>
        <v>0</v>
      </c>
      <c r="AJ26" s="101">
        <f>((A2_A_L16*Plagas_A)+(A2_B_L16*Plagas_B)+(A2_C_L16*Plagas_C)+(A2_D_L16*Plagas_D)+(A2_Y_L16*Plagas_Y))*Inflación_2</f>
        <v>0</v>
      </c>
      <c r="AK26" s="101">
        <f>SUMIFS('9'!$E:$E,'9'!$A:$A,Año_Inicial+1,'9'!$B:$B,'12'!AJ$4,'9'!$D:$D,"Prevención de plagas")</f>
        <v>0</v>
      </c>
      <c r="AL26" s="101">
        <f>((A2_A_L17*Plagas_A)+(A2_B_L17*Plagas_B)+(A2_C_L17*Plagas_C)+(A2_D_L17*Plagas_D)+(A2_Y_L17*Plagas_Y))*Inflación_2</f>
        <v>0</v>
      </c>
      <c r="AM26" s="101">
        <f>SUMIFS('9'!$E:$E,'9'!$A:$A,Año_Inicial+1,'9'!$B:$B,'12'!AL$4,'9'!$D:$D,"Prevención de plagas")</f>
        <v>0</v>
      </c>
      <c r="AN26" s="101">
        <f>((A2_A_L18*Plagas_A)+(A2_B_L18*Plagas_B)+(A2_C_L18*Plagas_C)+(A2_D_L18*Plagas_D)+(A2_Y_L18*Plagas_Y))*Inflación_2</f>
        <v>0</v>
      </c>
      <c r="AO26" s="101">
        <f>SUMIFS('9'!$E:$E,'9'!$A:$A,Año_Inicial+1,'9'!$B:$B,'12'!AN$4,'9'!$D:$D,"Prevención de plagas")</f>
        <v>0</v>
      </c>
      <c r="AP26" s="101">
        <f>((A2_A_L19*Plagas_A)+(A2_B_L19*Plagas_B)+(A2_C_L19*Plagas_C)+(A2_D_L19*Plagas_D)+(A2_Y_L19*Plagas_Y))*Inflación_2</f>
        <v>0</v>
      </c>
      <c r="AQ26" s="101">
        <f>SUMIFS('9'!$E:$E,'9'!$A:$A,Año_Inicial+1,'9'!$B:$B,'12'!AP$4,'9'!$D:$D,"Prevención de plagas")</f>
        <v>0</v>
      </c>
      <c r="AR26" s="101">
        <f>((A2_A_L20*Plagas_A)+(A2_B_L20*Plagas_B)+(A2_C_L20*Plagas_C)+(A2_D_L20*Plagas_D)+(A2_Y_L20*Plagas_Y))*Inflación_2</f>
        <v>0</v>
      </c>
      <c r="AS26" s="101">
        <f>SUMIFS('9'!$E:$E,'9'!$A:$A,Año_Inicial+1,'9'!$B:$B,'12'!AR$4,'9'!$D:$D,"Prevención de plagas")</f>
        <v>0</v>
      </c>
      <c r="AT26" s="101">
        <f>((A2_A_L21*Plagas_A)+(A2_B_L21*Plagas_B)+(A2_C_L21*Plagas_C)+(A2_D_L21*Plagas_D)+(A2_Y_L21*Plagas_Y))*Inflación_2</f>
        <v>0</v>
      </c>
      <c r="AU26" s="101">
        <f>SUMIFS('9'!$E:$E,'9'!$A:$A,Año_Inicial+1,'9'!$B:$B,'12'!AT$4,'9'!$D:$D,"Prevención de plagas")</f>
        <v>0</v>
      </c>
      <c r="AV26" s="101">
        <f>((A2_A_L22*Plagas_A)+(A2_B_L22*Plagas_B)+(A2_C_L22*Plagas_C)+(A2_D_L22*Plagas_D)+(A2_Y_L22*Plagas_Y))*Inflación_2</f>
        <v>0</v>
      </c>
      <c r="AW26" s="101">
        <f>SUMIFS('9'!$E:$E,'9'!$A:$A,Año_Inicial+1,'9'!$B:$B,'12'!AV$4,'9'!$D:$D,"Prevención de plagas")</f>
        <v>0</v>
      </c>
      <c r="AX26" s="101">
        <f>((A2_A_L23*Plagas_A)+(A2_B_L23*Plagas_B)+(A2_C_L23*Plagas_C)+(A2_D_L23*Plagas_D)+(A2_Y_L23*Plagas_Y))*Inflación_2</f>
        <v>0</v>
      </c>
      <c r="AY26" s="101">
        <f>SUMIFS('9'!$E:$E,'9'!$A:$A,Año_Inicial+1,'9'!$B:$B,'12'!AX$4,'9'!$D:$D,"Prevención de plagas")</f>
        <v>0</v>
      </c>
      <c r="AZ26" s="101">
        <f>((A2_A_L24*Plagas_A)+(A2_B_L24*Plagas_B)+(A2_C_L24*Plagas_C)+(A2_D_L24*Plagas_D)+(A2_Y_L24*Plagas_Y))*Inflación_2</f>
        <v>0</v>
      </c>
      <c r="BA26" s="101">
        <f>SUMIFS('9'!$E:$E,'9'!$A:$A,Año_Inicial+1,'9'!$B:$B,'12'!AZ$4,'9'!$D:$D,"Prevención de plagas")</f>
        <v>0</v>
      </c>
      <c r="BB26" s="101">
        <f>((A2_A_L25*Plagas_A)+(A2_B_L25*Plagas_B)+(A2_C_L25*Plagas_C)+(A2_D_L25*Plagas_D)+(A2_Y_L25*Plagas_Y))*Inflación_2</f>
        <v>0</v>
      </c>
      <c r="BC26" s="101">
        <f>SUMIFS('9'!$E:$E,'9'!$A:$A,Año_Inicial+1,'9'!$B:$B,'12'!BB$4,'9'!$D:$D,"Prevención de plagas")</f>
        <v>0</v>
      </c>
      <c r="BD26" s="101">
        <f>((A2_A_L26*Plagas_A)+(A2_B_L26*Plagas_B)+(A2_C_L26*Plagas_C)+(A2_D_L26*Plagas_D)+(A2_Y_L26*Plagas_Y))*Inflación_2</f>
        <v>0</v>
      </c>
      <c r="BE26" s="101">
        <f>SUMIFS('9'!$E:$E,'9'!$A:$A,Año_Inicial+1,'9'!$B:$B,'12'!BD$4,'9'!$D:$D,"Prevención de plagas")</f>
        <v>0</v>
      </c>
      <c r="BF26" s="101">
        <f>((A2_A_L27*Plagas_A)+(A2_B_L27*Plagas_B)+(A2_C_L27*Plagas_C)+(A2_D_L27*Plagas_D)+(A2_Y_L27*Plagas_Y))*Inflación_2</f>
        <v>0</v>
      </c>
      <c r="BG26" s="101">
        <f>SUMIFS('9'!$E:$E,'9'!$A:$A,Año_Inicial+1,'9'!$B:$B,'12'!BF$4,'9'!$D:$D,"Prevención de plagas")</f>
        <v>0</v>
      </c>
      <c r="BH26" s="101">
        <f>((A2_A_L28*Plagas_A)+(A2_B_L28*Plagas_B)+(A2_C_L28*Plagas_C)+(A2_D_L28*Plagas_D)+(A2_Y_L28*Plagas_Y))*Inflación_2</f>
        <v>0</v>
      </c>
      <c r="BI26" s="101">
        <f>SUMIFS('9'!$E:$E,'9'!$A:$A,Año_Inicial+1,'9'!$B:$B,'12'!BH$4,'9'!$D:$D,"Prevención de plagas")</f>
        <v>0</v>
      </c>
      <c r="BJ26" s="101">
        <f>((A2_A_L29*Plagas_A)+(A2_B_L29*Plagas_B)+(A2_C_L29*Plagas_C)+(A2_D_L29*Plagas_D)+(A2_Y_L29*Plagas_Y))*Inflación_2</f>
        <v>0</v>
      </c>
      <c r="BK26" s="101">
        <f>SUMIFS('9'!$E:$E,'9'!$A:$A,Año_Inicial+1,'9'!$B:$B,'12'!BJ$4,'9'!$D:$D,"Prevención de plagas")</f>
        <v>0</v>
      </c>
      <c r="BL26" s="101">
        <f>((A2_A_L30*Plagas_A)+(A2_B_L30*Plagas_B)+(A2_C_L30*Plagas_C)+(A2_D_L30*Plagas_D)+(A2_Y_L30*Plagas_Y))*Inflación_2</f>
        <v>0</v>
      </c>
      <c r="BM26" s="101">
        <f>SUMIFS('9'!$E:$E,'9'!$A:$A,Año_Inicial+1,'9'!$B:$B,'12'!BL$4,'9'!$D:$D,"Prevención de plagas")</f>
        <v>0</v>
      </c>
      <c r="BN26" s="101">
        <f>((A2_A_L31*Plagas_A)+(A2_B_L31*Plagas_B)+(A2_C_L31*Plagas_C)+(A2_D_L31*Plagas_D)+(A2_Y_L31*Plagas_Y))*Inflación_2</f>
        <v>0</v>
      </c>
      <c r="BO26" s="101">
        <f>SUMIFS('9'!$E:$E,'9'!$A:$A,Año_Inicial+1,'9'!$B:$B,'12'!BN$4,'9'!$D:$D,"Prevención de plagas")</f>
        <v>0</v>
      </c>
      <c r="BP26" s="101">
        <f>((A2_A_L32*Plagas_A)+(A2_B_L32*Plagas_B)+(A2_C_L32*Plagas_C)+(A2_D_L32*Plagas_D)+(A2_Y_L32*Plagas_Y))*Inflación_2</f>
        <v>0</v>
      </c>
      <c r="BQ26" s="101">
        <f>SUMIFS('9'!$E:$E,'9'!$A:$A,Año_Inicial+1,'9'!$B:$B,'12'!BP$4,'9'!$D:$D,"Prevención de plagas")</f>
        <v>0</v>
      </c>
      <c r="BR26" s="101">
        <f>((A2_A_L33*Plagas_A)+(A2_B_L33*Plagas_B)+(A2_C_L33*Plagas_C)+(A2_D_L33*Plagas_D)+(A2_Y_L33*Plagas_Y))*Inflación_2</f>
        <v>0</v>
      </c>
      <c r="BS26" s="101">
        <f>SUMIFS('9'!$E:$E,'9'!$A:$A,Año_Inicial+1,'9'!$B:$B,'12'!BR$4,'9'!$D:$D,"Prevención de plagas")</f>
        <v>0</v>
      </c>
      <c r="BT26" s="101">
        <f>((A2_A_L34*Plagas_A)+(A2_B_L34*Plagas_B)+(A2_C_L34*Plagas_C)+(A2_D_L34*Plagas_D)+(A2_Y_L34*Plagas_Y))*Inflación_2</f>
        <v>0</v>
      </c>
      <c r="BU26" s="101">
        <f>SUMIFS('9'!$E:$E,'9'!$A:$A,Año_Inicial+1,'9'!$B:$B,'12'!BT$4,'9'!$D:$D,"Prevención de plagas")</f>
        <v>0</v>
      </c>
      <c r="BV26" s="101">
        <f>((A2_A_L35*Plagas_A)+(A2_B_L35*Plagas_B)+(A2_C_L35*Plagas_C)+(A2_D_L35*Plagas_D)+(A2_Y_L35*Plagas_Y))*Inflación_2</f>
        <v>0</v>
      </c>
      <c r="BW26" s="101">
        <f>SUMIFS('9'!$E:$E,'9'!$A:$A,Año_Inicial+1,'9'!$B:$B,'12'!BV$4,'9'!$D:$D,"Prevención de plagas")</f>
        <v>0</v>
      </c>
      <c r="BX26" s="101">
        <f>((A2_A_L36*Plagas_A)+(A2_B_L36*Plagas_B)+(A2_C_L36*Plagas_C)+(A2_D_L36*Plagas_D)+(A2_Y_L36*Plagas_Y))*Inflación_2</f>
        <v>0</v>
      </c>
      <c r="BY26" s="101">
        <f>SUMIFS('9'!$E:$E,'9'!$A:$A,Año_Inicial+1,'9'!$B:$B,'12'!BX$4,'9'!$D:$D,"Prevención de plagas")</f>
        <v>0</v>
      </c>
      <c r="BZ26" s="101">
        <f>((A2_A_L37*Plagas_A)+(A2_B_L37*Plagas_B)+(A2_C_L37*Plagas_C)+(A2_D_L37*Plagas_D)+(A2_Y_L37*Plagas_Y))*Inflación_2</f>
        <v>0</v>
      </c>
      <c r="CA26" s="101">
        <f>SUMIFS('9'!$E:$E,'9'!$A:$A,Año_Inicial+1,'9'!$B:$B,'12'!BZ$4,'9'!$D:$D,"Prevención de plagas")</f>
        <v>0</v>
      </c>
      <c r="CB26" s="101">
        <f>((A2_A_L38*Plagas_A)+(A2_B_L38*Plagas_B)+(A2_C_L38*Plagas_C)+(A2_D_L38*Plagas_D)+(A2_Y_L38*Plagas_Y))*Inflación_2</f>
        <v>0</v>
      </c>
      <c r="CC26" s="101">
        <f>SUMIFS('9'!$E:$E,'9'!$A:$A,Año_Inicial+1,'9'!$B:$B,'12'!CB$4,'9'!$D:$D,"Prevención de plagas")</f>
        <v>0</v>
      </c>
      <c r="CD26" s="101">
        <f>((A2_A_L39*Plagas_A)+(A2_B_L39*Plagas_B)+(A2_C_L39*Plagas_C)+(A2_D_L39*Plagas_D)+(A2_Y_L39*Plagas_Y))*Inflación_2</f>
        <v>0</v>
      </c>
      <c r="CE26" s="101">
        <f>SUMIFS('9'!$E:$E,'9'!$A:$A,Año_Inicial+1,'9'!$B:$B,'12'!CD$4,'9'!$D:$D,"Prevención de plagas")</f>
        <v>0</v>
      </c>
      <c r="CF26" s="101">
        <f>((A2_A_L40*Plagas_A)+(A2_B_L40*Plagas_B)+(A2_C_L40*Plagas_C)+(A2_D_L40*Plagas_D)+(A2_Y_L40*Plagas_Y))*Inflación_2</f>
        <v>0</v>
      </c>
      <c r="CG26" s="101">
        <f>SUMIFS('9'!$E:$E,'9'!$A:$A,Año_Inicial+1,'9'!$B:$B,'12'!CF$4,'9'!$D:$D,"Prevención de plagas")</f>
        <v>0</v>
      </c>
      <c r="CH26" s="473"/>
      <c r="CI26" s="101">
        <f>Plantas_A_A2*Plagas_A*Inflación_2</f>
        <v>0</v>
      </c>
      <c r="CJ26" s="101">
        <f>Plantas_B_A2*Plagas_B</f>
        <v>0</v>
      </c>
      <c r="CK26" s="101">
        <f>Plantas_C_A2*Plagas_C</f>
        <v>0</v>
      </c>
      <c r="CL26" s="101">
        <f>Plantas_D_A2*Plagas_D</f>
        <v>0</v>
      </c>
      <c r="CM26" s="101"/>
      <c r="CN26" s="101">
        <f>Plantas_Y_A2*Plagas_Y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7"/>
        <v>0</v>
      </c>
      <c r="C27" s="101">
        <f>SUMIFS('9'!$E:$E,'9'!$A:$A,Año_Inicial+1,'9'!$D:$D,"Insecticida")</f>
        <v>0</v>
      </c>
      <c r="D27" s="100">
        <f t="shared" si="46"/>
        <v>0</v>
      </c>
      <c r="E27" s="490"/>
      <c r="F27" s="101">
        <f>((A2_A_L1*Insecticida_A)+(A2_B_L1*Insecticida_B)+(A2_C_L1*Insecticida_C)+(A2_D_L1*Insecticida_D)+(A2_Y_L1*Insecticida_Y))*Inflación_2</f>
        <v>0</v>
      </c>
      <c r="G27" s="101">
        <f>SUMIFS('9'!$E:$E,'9'!$A:$A,Año_Inicial+1,'9'!$B:$B,'12'!F$4,'9'!$D:$D,"Insecticida")</f>
        <v>0</v>
      </c>
      <c r="H27" s="101">
        <f>((A2_A_L2*Insecticida_A)+(A2_B_L2*Insecticida_B)+(A2_C_L2*Insecticida_C)+(A2_D_L2*Insecticida_D)+(A2_Y_L2*Insecticida_Y))*Inflación_2</f>
        <v>0</v>
      </c>
      <c r="I27" s="101">
        <f>SUMIFS('9'!$E:$E,'9'!$A:$A,Año_Inicial+1,'9'!$B:$B,'12'!H$4,'9'!$D:$D,"Insecticida")</f>
        <v>0</v>
      </c>
      <c r="J27" s="101">
        <f>((A2_A_L3*Insecticida_A)+(A2_B_L3*Insecticida_B)+(A2_C_L3*Insecticida_C)+(A2_D_L3*Insecticida_D)+(A2_Y_L3*Insecticida_Y))*Inflación_2</f>
        <v>0</v>
      </c>
      <c r="K27" s="101">
        <f>SUMIFS('9'!$E:$E,'9'!$A:$A,Año_Inicial+1,'9'!$B:$B,'12'!J$4,'9'!$D:$D,"Insecticida")</f>
        <v>0</v>
      </c>
      <c r="L27" s="101">
        <f>((A2_A_L4*Insecticida_A)+(A2_B_L4*Insecticida_B)+(A2_C_L4*Insecticida_C)+(A2_D_L4*Insecticida_D)+(A2_Y_L4*Insecticida_Y))*Inflación_2</f>
        <v>0</v>
      </c>
      <c r="M27" s="101">
        <f>SUMIFS('9'!$E:$E,'9'!$A:$A,Año_Inicial+1,'9'!$B:$B,'12'!L$4,'9'!$D:$D,"Insecticida")</f>
        <v>0</v>
      </c>
      <c r="N27" s="101">
        <f>((A2_A_L5*Insecticida_A)+(A2_B_L5*Insecticida_B)+(A2_C_L5*Insecticida_C)+(A2_D_L5*Insecticida_D)+(A2_Y_L5*Insecticida_Y))*Inflación_2</f>
        <v>0</v>
      </c>
      <c r="O27" s="101">
        <f>SUMIFS('9'!$E:$E,'9'!$A:$A,Año_Inicial+1,'9'!$B:$B,'12'!N$4,'9'!$D:$D,"Insecticida")</f>
        <v>0</v>
      </c>
      <c r="P27" s="101">
        <f>((A2_A_L6*Insecticida_A)+(A2_B_L6*Insecticida_B)+(A2_C_L6*Insecticida_C)+(A2_D_L6*Insecticida_D)+(A2_Y_L6*Insecticida_Y))*Inflación_2</f>
        <v>0</v>
      </c>
      <c r="Q27" s="101">
        <f>SUMIFS('9'!$E:$E,'9'!$A:$A,Año_Inicial+1,'9'!$B:$B,'12'!P$4,'9'!$D:$D,"Insecticida")</f>
        <v>0</v>
      </c>
      <c r="R27" s="101">
        <f>((A2_A_L7*Insecticida_A)+(A2_B_L7*Insecticida_B)+(A2_C_L7*Insecticida_C)+(A2_D_L7*Insecticida_D)+(A2_Y_L7*Insecticida_Y))*Inflación_2</f>
        <v>0</v>
      </c>
      <c r="S27" s="101">
        <f>SUMIFS('9'!$E:$E,'9'!$A:$A,Año_Inicial+1,'9'!$B:$B,'12'!R$4,'9'!$D:$D,"Insecticida")</f>
        <v>0</v>
      </c>
      <c r="T27" s="101">
        <f>((A2_A_L8*Insecticida_A)+(A2_B_L8*Insecticida_B)+(A2_C_L8*Insecticida_C)+(A2_D_L8*Insecticida_D)+(A2_Y_L8*Insecticida_Y))*Inflación_2</f>
        <v>0</v>
      </c>
      <c r="U27" s="101">
        <f>SUMIFS('9'!$E:$E,'9'!$A:$A,Año_Inicial+1,'9'!$B:$B,'12'!T$4,'9'!$D:$D,"Insecticida")</f>
        <v>0</v>
      </c>
      <c r="V27" s="101">
        <f>((A2_A_L9*Insecticida_A)+(A2_B_L9*Insecticida_B)+(A2_C_L9*Insecticida_C)+(A2_D_L9*Insecticida_D)+(A2_Y_L9*Insecticida_Y))*Inflación_2</f>
        <v>0</v>
      </c>
      <c r="W27" s="101">
        <f>SUMIFS('9'!$E:$E,'9'!$A:$A,Año_Inicial+1,'9'!$B:$B,'12'!V$4,'9'!$D:$D,"Insecticida")</f>
        <v>0</v>
      </c>
      <c r="X27" s="101">
        <f>((A2_A_L10*Insecticida_A)+(A2_B_L10*Insecticida_B)+(A2_C_L10*Insecticida_C)+(A2_D_L10*Insecticida_D)+(A2_Y_L10*Insecticida_Y))*Inflación_2</f>
        <v>0</v>
      </c>
      <c r="Y27" s="101">
        <f>SUMIFS('9'!$E:$E,'9'!$A:$A,Año_Inicial+1,'9'!$B:$B,'12'!X$4,'9'!$D:$D,"Insecticida")</f>
        <v>0</v>
      </c>
      <c r="Z27" s="101">
        <f>((A2_A_L11*Insecticida_A)+(A2_B_L11*Insecticida_B)+(A2_C_L11*Insecticida_C)+(A2_D_L11*Insecticida_D)+(A2_Y_L11*Insecticida_Y))*Inflación_2</f>
        <v>0</v>
      </c>
      <c r="AA27" s="101">
        <f>SUMIFS('9'!$E:$E,'9'!$A:$A,Año_Inicial+1,'9'!$B:$B,'12'!Z$4,'9'!$D:$D,"Insecticida")</f>
        <v>0</v>
      </c>
      <c r="AB27" s="101">
        <f>((A2_A_L12*Insecticida_A)+(A2_B_L12*Insecticida_B)+(A2_C_L12*Insecticida_C)+(A2_D_L12*Insecticida_D)+(A2_Y_L12*Insecticida_Y))*Inflación_2</f>
        <v>0</v>
      </c>
      <c r="AC27" s="101">
        <f>SUMIFS('9'!$E:$E,'9'!$A:$A,Año_Inicial+1,'9'!$B:$B,'12'!AB$4,'9'!$D:$D,"Insecticida")</f>
        <v>0</v>
      </c>
      <c r="AD27" s="101">
        <f>((A2_A_L13*Insecticida_A)+(A2_B_L13*Insecticida_B)+(A2_C_L13*Insecticida_C)+(A2_D_L13*Insecticida_D)+(A2_Y_L13*Insecticida_Y))*Inflación_2</f>
        <v>0</v>
      </c>
      <c r="AE27" s="101">
        <f>SUMIFS('9'!$E:$E,'9'!$A:$A,Año_Inicial+1,'9'!$B:$B,'12'!AD$4,'9'!$D:$D,"Insecticida")</f>
        <v>0</v>
      </c>
      <c r="AF27" s="101">
        <f>((A2_A_L14*Insecticida_A)+(A2_B_L14*Insecticida_B)+(A2_C_L14*Insecticida_C)+(A2_D_L14*Insecticida_D)+(A2_Y_L14*Insecticida_Y))*Inflación_2</f>
        <v>0</v>
      </c>
      <c r="AG27" s="101">
        <f>SUMIFS('9'!$E:$E,'9'!$A:$A,Año_Inicial+1,'9'!$B:$B,'12'!AF$4,'9'!$D:$D,"Insecticida")</f>
        <v>0</v>
      </c>
      <c r="AH27" s="101">
        <f>((A2_A_L15*Insecticida_A)+(A2_B_L15*Insecticida_B)+(A2_C_L15*Insecticida_C)+(A2_D_L15*Insecticida_D)+(A2_Y_L15*Insecticida_Y))*Inflación_2</f>
        <v>0</v>
      </c>
      <c r="AI27" s="101">
        <f>SUMIFS('9'!$E:$E,'9'!$A:$A,Año_Inicial+1,'9'!$B:$B,'12'!AH$4,'9'!$D:$D,"Insecticida")</f>
        <v>0</v>
      </c>
      <c r="AJ27" s="101">
        <f>((A2_A_L16*Insecticida_A)+(A2_B_L16*Insecticida_B)+(A2_C_L16*Insecticida_C)+(A2_D_L16*Insecticida_D)+(A2_Y_L16*Insecticida_Y))*Inflación_2</f>
        <v>0</v>
      </c>
      <c r="AK27" s="101">
        <f>SUMIFS('9'!$E:$E,'9'!$A:$A,Año_Inicial+1,'9'!$B:$B,'12'!AJ$4,'9'!$D:$D,"Insecticida")</f>
        <v>0</v>
      </c>
      <c r="AL27" s="101">
        <f>((A2_A_L17*Insecticida_A)+(A2_B_L17*Insecticida_B)+(A2_C_L17*Insecticida_C)+(A2_D_L17*Insecticida_D)+(A2_Y_L17*Insecticida_Y))*Inflación_2</f>
        <v>0</v>
      </c>
      <c r="AM27" s="101">
        <f>SUMIFS('9'!$E:$E,'9'!$A:$A,Año_Inicial+1,'9'!$B:$B,'12'!AL$4,'9'!$D:$D,"Insecticida")</f>
        <v>0</v>
      </c>
      <c r="AN27" s="101">
        <f>((A2_A_L18*Insecticida_A)+(A2_B_L18*Insecticida_B)+(A2_C_L18*Insecticida_C)+(A2_D_L18*Insecticida_D)+(A2_Y_L18*Insecticida_Y))*Inflación_2</f>
        <v>0</v>
      </c>
      <c r="AO27" s="101">
        <f>SUMIFS('9'!$E:$E,'9'!$A:$A,Año_Inicial+1,'9'!$B:$B,'12'!AN$4,'9'!$D:$D,"Insecticida")</f>
        <v>0</v>
      </c>
      <c r="AP27" s="101">
        <f>((A2_A_L19*Insecticida_A)+(A2_B_L19*Insecticida_B)+(A2_C_L19*Insecticida_C)+(A2_D_L19*Insecticida_D)+(A2_Y_L19*Insecticida_Y))*Inflación_2</f>
        <v>0</v>
      </c>
      <c r="AQ27" s="101">
        <f>SUMIFS('9'!$E:$E,'9'!$A:$A,Año_Inicial+1,'9'!$B:$B,'12'!AP$4,'9'!$D:$D,"Insecticida")</f>
        <v>0</v>
      </c>
      <c r="AR27" s="101">
        <f>((A2_A_L20*Insecticida_A)+(A2_B_L20*Insecticida_B)+(A2_C_L20*Insecticida_C)+(A2_D_L20*Insecticida_D)+(A2_Y_L20*Insecticida_Y))*Inflación_2</f>
        <v>0</v>
      </c>
      <c r="AS27" s="101">
        <f>SUMIFS('9'!$E:$E,'9'!$A:$A,Año_Inicial+1,'9'!$B:$B,'12'!AR$4,'9'!$D:$D,"Insecticida")</f>
        <v>0</v>
      </c>
      <c r="AT27" s="101">
        <f>((A2_A_L21*Insecticida_A)+(A2_B_L21*Insecticida_B)+(A2_C_L21*Insecticida_C)+(A2_D_L21*Insecticida_D)+(A2_Y_L21*Insecticida_Y))*Inflación_2</f>
        <v>0</v>
      </c>
      <c r="AU27" s="101">
        <f>SUMIFS('9'!$E:$E,'9'!$A:$A,Año_Inicial+1,'9'!$B:$B,'12'!AT$4,'9'!$D:$D,"Insecticida")</f>
        <v>0</v>
      </c>
      <c r="AV27" s="101">
        <f>((A2_A_L22*Insecticida_A)+(A2_B_L22*Insecticida_B)+(A2_C_L22*Insecticida_C)+(A2_D_L22*Insecticida_D)+(A2_Y_L22*Insecticida_Y))*Inflación_2</f>
        <v>0</v>
      </c>
      <c r="AW27" s="101">
        <f>SUMIFS('9'!$E:$E,'9'!$A:$A,Año_Inicial+1,'9'!$B:$B,'12'!AV$4,'9'!$D:$D,"Insecticida")</f>
        <v>0</v>
      </c>
      <c r="AX27" s="101">
        <f>((A2_A_L23*Insecticida_A)+(A2_B_L23*Insecticida_B)+(A2_C_L23*Insecticida_C)+(A2_D_L23*Insecticida_D)+(A2_Y_L23*Insecticida_Y))*Inflación_2</f>
        <v>0</v>
      </c>
      <c r="AY27" s="101">
        <f>SUMIFS('9'!$E:$E,'9'!$A:$A,Año_Inicial+1,'9'!$B:$B,'12'!AX$4,'9'!$D:$D,"Insecticida")</f>
        <v>0</v>
      </c>
      <c r="AZ27" s="101">
        <f>((A2_A_L24*Insecticida_A)+(A2_B_L24*Insecticida_B)+(A2_C_L24*Insecticida_C)+(A2_D_L24*Insecticida_D)+(A2_Y_L24*Insecticida_Y))*Inflación_2</f>
        <v>0</v>
      </c>
      <c r="BA27" s="101">
        <f>SUMIFS('9'!$E:$E,'9'!$A:$A,Año_Inicial+1,'9'!$B:$B,'12'!AZ$4,'9'!$D:$D,"Insecticida")</f>
        <v>0</v>
      </c>
      <c r="BB27" s="101">
        <f>((A2_A_L25*Insecticida_A)+(A2_B_L25*Insecticida_B)+(A2_C_L25*Insecticida_C)+(A2_D_L25*Insecticida_D)+(A2_Y_L25*Insecticida_Y))*Inflación_2</f>
        <v>0</v>
      </c>
      <c r="BC27" s="101">
        <f>SUMIFS('9'!$E:$E,'9'!$A:$A,Año_Inicial+1,'9'!$B:$B,'12'!BB$4,'9'!$D:$D,"Insecticida")</f>
        <v>0</v>
      </c>
      <c r="BD27" s="101">
        <f>((A2_A_L26*Insecticida_A)+(A2_B_L26*Insecticida_B)+(A2_C_L26*Insecticida_C)+(A2_D_L26*Insecticida_D)+(A2_Y_L26*Insecticida_Y))*Inflación_2</f>
        <v>0</v>
      </c>
      <c r="BE27" s="101">
        <f>SUMIFS('9'!$E:$E,'9'!$A:$A,Año_Inicial+1,'9'!$B:$B,'12'!BD$4,'9'!$D:$D,"Insecticida")</f>
        <v>0</v>
      </c>
      <c r="BF27" s="101">
        <f>((A2_A_L27*Insecticida_A)+(A2_B_L27*Insecticida_B)+(A2_C_L27*Insecticida_C)+(A2_D_L27*Insecticida_D)+(A2_Y_L27*Insecticida_Y))*Inflación_2</f>
        <v>0</v>
      </c>
      <c r="BG27" s="101">
        <f>SUMIFS('9'!$E:$E,'9'!$A:$A,Año_Inicial+1,'9'!$B:$B,'12'!BF$4,'9'!$D:$D,"Insecticida")</f>
        <v>0</v>
      </c>
      <c r="BH27" s="101">
        <f>((A2_A_L28*Insecticida_A)+(A2_B_L28*Insecticida_B)+(A2_C_L28*Insecticida_C)+(A2_D_L28*Insecticida_D)+(A2_Y_L28*Insecticida_Y))*Inflación_2</f>
        <v>0</v>
      </c>
      <c r="BI27" s="101">
        <f>SUMIFS('9'!$E:$E,'9'!$A:$A,Año_Inicial+1,'9'!$B:$B,'12'!BH$4,'9'!$D:$D,"Insecticida")</f>
        <v>0</v>
      </c>
      <c r="BJ27" s="101">
        <f>((A2_A_L29*Insecticida_A)+(A2_B_L29*Insecticida_B)+(A2_C_L29*Insecticida_C)+(A2_D_L29*Insecticida_D)+(A2_Y_L29*Insecticida_Y))*Inflación_2</f>
        <v>0</v>
      </c>
      <c r="BK27" s="101">
        <f>SUMIFS('9'!$E:$E,'9'!$A:$A,Año_Inicial+1,'9'!$B:$B,'12'!BJ$4,'9'!$D:$D,"Insecticida")</f>
        <v>0</v>
      </c>
      <c r="BL27" s="101">
        <f>((A2_A_L30*Insecticida_A)+(A2_B_L30*Insecticida_B)+(A2_C_L30*Insecticida_C)+(A2_D_L30*Insecticida_D)+(A2_Y_L30*Insecticida_Y))*Inflación_2</f>
        <v>0</v>
      </c>
      <c r="BM27" s="101">
        <f>SUMIFS('9'!$E:$E,'9'!$A:$A,Año_Inicial+1,'9'!$B:$B,'12'!BL$4,'9'!$D:$D,"Insecticida")</f>
        <v>0</v>
      </c>
      <c r="BN27" s="101">
        <f>((A2_A_L31*Insecticida_A)+(A2_B_L31*Insecticida_B)+(A2_C_L31*Insecticida_C)+(A2_D_L31*Insecticida_D)+(A2_Y_L31*Insecticida_Y))*Inflación_2</f>
        <v>0</v>
      </c>
      <c r="BO27" s="101">
        <f>SUMIFS('9'!$E:$E,'9'!$A:$A,Año_Inicial+1,'9'!$B:$B,'12'!BN$4,'9'!$D:$D,"Insecticida")</f>
        <v>0</v>
      </c>
      <c r="BP27" s="101">
        <f>((A2_A_L32*Insecticida_A)+(A2_B_L32*Insecticida_B)+(A2_C_L32*Insecticida_C)+(A2_D_L32*Insecticida_D)+(A2_Y_L32*Insecticida_Y))*Inflación_2</f>
        <v>0</v>
      </c>
      <c r="BQ27" s="101">
        <f>SUMIFS('9'!$E:$E,'9'!$A:$A,Año_Inicial+1,'9'!$B:$B,'12'!BP$4,'9'!$D:$D,"Insecticida")</f>
        <v>0</v>
      </c>
      <c r="BR27" s="101">
        <f>((A2_A_L33*Insecticida_A)+(A2_B_L33*Insecticida_B)+(A2_C_L33*Insecticida_C)+(A2_D_L33*Insecticida_D)+(A2_Y_L33*Insecticida_Y))*Inflación_2</f>
        <v>0</v>
      </c>
      <c r="BS27" s="101">
        <f>SUMIFS('9'!$E:$E,'9'!$A:$A,Año_Inicial+1,'9'!$B:$B,'12'!BR$4,'9'!$D:$D,"Insecticida")</f>
        <v>0</v>
      </c>
      <c r="BT27" s="101">
        <f>((A2_A_L34*Insecticida_A)+(A2_B_L34*Insecticida_B)+(A2_C_L34*Insecticida_C)+(A2_D_L34*Insecticida_D)+(A2_Y_L34*Insecticida_Y))*Inflación_2</f>
        <v>0</v>
      </c>
      <c r="BU27" s="101">
        <f>SUMIFS('9'!$E:$E,'9'!$A:$A,Año_Inicial+1,'9'!$B:$B,'12'!BT$4,'9'!$D:$D,"Insecticida")</f>
        <v>0</v>
      </c>
      <c r="BV27" s="101">
        <f>((A2_A_L35*Insecticida_A)+(A2_B_L35*Insecticida_B)+(A2_C_L35*Insecticida_C)+(A2_D_L35*Insecticida_D)+(A2_Y_L35*Insecticida_Y))*Inflación_2</f>
        <v>0</v>
      </c>
      <c r="BW27" s="101">
        <f>SUMIFS('9'!$E:$E,'9'!$A:$A,Año_Inicial+1,'9'!$B:$B,'12'!BV$4,'9'!$D:$D,"Insecticida")</f>
        <v>0</v>
      </c>
      <c r="BX27" s="101">
        <f>((A2_A_L36*Insecticida_A)+(A2_B_L36*Insecticida_B)+(A2_C_L36*Insecticida_C)+(A2_D_L36*Insecticida_D)+(A2_Y_L36*Insecticida_Y))*Inflación_2</f>
        <v>0</v>
      </c>
      <c r="BY27" s="101">
        <f>SUMIFS('9'!$E:$E,'9'!$A:$A,Año_Inicial+1,'9'!$B:$B,'12'!BX$4,'9'!$D:$D,"Insecticida")</f>
        <v>0</v>
      </c>
      <c r="BZ27" s="101">
        <f>((A2_A_L37*Insecticida_A)+(A2_B_L37*Insecticida_B)+(A2_C_L37*Insecticida_C)+(A2_D_L37*Insecticida_D)+(A2_Y_L37*Insecticida_Y))*Inflación_2</f>
        <v>0</v>
      </c>
      <c r="CA27" s="101">
        <f>SUMIFS('9'!$E:$E,'9'!$A:$A,Año_Inicial+1,'9'!$B:$B,'12'!BZ$4,'9'!$D:$D,"Insecticida")</f>
        <v>0</v>
      </c>
      <c r="CB27" s="101">
        <f>((A2_A_L38*Insecticida_A)+(A2_B_L38*Insecticida_B)+(A2_C_L38*Insecticida_C)+(A2_D_L38*Insecticida_D)+(A2_Y_L38*Insecticida_Y))*Inflación_2</f>
        <v>0</v>
      </c>
      <c r="CC27" s="101">
        <f>SUMIFS('9'!$E:$E,'9'!$A:$A,Año_Inicial+1,'9'!$B:$B,'12'!CB$4,'9'!$D:$D,"Insecticida")</f>
        <v>0</v>
      </c>
      <c r="CD27" s="101">
        <f>((A2_A_L39*Insecticida_A)+(A2_B_L39*Insecticida_B)+(A2_C_L39*Insecticida_C)+(A2_D_L39*Insecticida_D)+(A2_Y_L39*Insecticida_Y))*Inflación_2</f>
        <v>0</v>
      </c>
      <c r="CE27" s="101">
        <f>SUMIFS('9'!$E:$E,'9'!$A:$A,Año_Inicial+1,'9'!$B:$B,'12'!CD$4,'9'!$D:$D,"Insecticida")</f>
        <v>0</v>
      </c>
      <c r="CF27" s="101">
        <f>((A2_A_L40*Insecticida_A)+(A2_B_L40*Insecticida_B)+(A2_C_L40*Insecticida_C)+(A2_D_L40*Insecticida_D)+(A2_Y_L40*Insecticida_Y))*Inflación_2</f>
        <v>0</v>
      </c>
      <c r="CG27" s="101">
        <f>SUMIFS('9'!$E:$E,'9'!$A:$A,Año_Inicial+1,'9'!$B:$B,'12'!CF$4,'9'!$D:$D,"Insecticida")</f>
        <v>0</v>
      </c>
      <c r="CH27" s="473"/>
      <c r="CI27" s="101">
        <f>Plantas_A_A2*Insecticida_A*Inflación_2</f>
        <v>0</v>
      </c>
      <c r="CJ27" s="101">
        <f>Plantas_B_A2*Insecticida_B</f>
        <v>0</v>
      </c>
      <c r="CK27" s="101">
        <f>Plantas_C_A2*Insecticida_C</f>
        <v>0</v>
      </c>
      <c r="CL27" s="101">
        <f>Plantas_D_A2*Insecticida_D</f>
        <v>0</v>
      </c>
      <c r="CM27" s="101"/>
      <c r="CN27" s="101">
        <f>Plantas_Y_A2*Insecticida_Y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90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7"/>
        <v>0</v>
      </c>
      <c r="C29" s="101">
        <f>SUMIFS('9'!$E:$E,'9'!$A:$A,Año_Inicial+1,'9'!$D:$D,"Prevención de enfermedades")</f>
        <v>0</v>
      </c>
      <c r="D29" s="100">
        <f t="shared" si="46"/>
        <v>0</v>
      </c>
      <c r="E29" s="490"/>
      <c r="F29" s="101">
        <f>((A2_A_L1*Enfermedades_A)+(A2_B_L1*Enfermedades_B)+(A2_C_L1*Enfermedades_C)+(A2_D_L1*Enfermedades_D)+(A2_Y_L1*Enfermedades_Y))*Inflación_2</f>
        <v>0</v>
      </c>
      <c r="G29" s="101">
        <f>SUMIFS('9'!$E:$E,'9'!$A:$A,Año_Inicial+1,'9'!$B:$B,'12'!F$4,'9'!$D:$D,"Prevención de enfermedades")</f>
        <v>0</v>
      </c>
      <c r="H29" s="101">
        <f>((A2_A_L2*Enfermedades_A)+(A2_B_L2*Enfermedades_B)+(A2_C_L2*Enfermedades_C)+(A2_D_L2*Enfermedades_D)+(A2_Y_L2*Enfermedades_Y))*Inflación_2</f>
        <v>0</v>
      </c>
      <c r="I29" s="101">
        <f>SUMIFS('9'!$E:$E,'9'!$A:$A,Año_Inicial+1,'9'!$B:$B,'12'!H$4,'9'!$D:$D,"Prevención de enfermedades")</f>
        <v>0</v>
      </c>
      <c r="J29" s="101">
        <f>((A2_A_L3*Enfermedades_A)+(A2_B_L3*Enfermedades_B)+(A2_C_L3*Enfermedades_C)+(A2_D_L3*Enfermedades_D)+(A2_Y_L3*Enfermedades_Y))*Inflación_2</f>
        <v>0</v>
      </c>
      <c r="K29" s="101">
        <f>SUMIFS('9'!$E:$E,'9'!$A:$A,Año_Inicial+1,'9'!$B:$B,'12'!J$4,'9'!$D:$D,"Prevención de enfermedades")</f>
        <v>0</v>
      </c>
      <c r="L29" s="101">
        <f>((A2_A_L4*Enfermedades_A)+(A2_B_L4*Enfermedades_B)+(A2_C_L4*Enfermedades_C)+(A2_D_L4*Enfermedades_D)+(A2_Y_L4*Enfermedades_Y))*Inflación_2</f>
        <v>0</v>
      </c>
      <c r="M29" s="101">
        <f>SUMIFS('9'!$E:$E,'9'!$A:$A,Año_Inicial+1,'9'!$B:$B,'12'!L$4,'9'!$D:$D,"Prevención de enfermedades")</f>
        <v>0</v>
      </c>
      <c r="N29" s="101">
        <f>((A2_A_L5*Enfermedades_A)+(A2_B_L5*Enfermedades_B)+(A2_C_L5*Enfermedades_C)+(A2_D_L5*Enfermedades_D)+(A2_Y_L5*Enfermedades_Y))*Inflación_2</f>
        <v>0</v>
      </c>
      <c r="O29" s="101">
        <f>SUMIFS('9'!$E:$E,'9'!$A:$A,Año_Inicial+1,'9'!$B:$B,'12'!N$4,'9'!$D:$D,"Prevención de enfermedades")</f>
        <v>0</v>
      </c>
      <c r="P29" s="101">
        <f>((A2_A_L6*Enfermedades_A)+(A2_B_L6*Enfermedades_B)+(A2_C_L6*Enfermedades_C)+(A2_D_L6*Enfermedades_D)+(A2_Y_L6*Enfermedades_Y))*Inflación_2</f>
        <v>0</v>
      </c>
      <c r="Q29" s="101">
        <f>SUMIFS('9'!$E:$E,'9'!$A:$A,Año_Inicial+1,'9'!$B:$B,'12'!P$4,'9'!$D:$D,"Prevención de enfermedades")</f>
        <v>0</v>
      </c>
      <c r="R29" s="101">
        <f>((A2_A_L7*Enfermedades_A)+(A2_B_L7*Enfermedades_B)+(A2_C_L7*Enfermedades_C)+(A2_D_L7*Enfermedades_D)+(A2_Y_L7*Enfermedades_Y))*Inflación_2</f>
        <v>0</v>
      </c>
      <c r="S29" s="101">
        <f>SUMIFS('9'!$E:$E,'9'!$A:$A,Año_Inicial+1,'9'!$B:$B,'12'!R$4,'9'!$D:$D,"Prevención de enfermedades")</f>
        <v>0</v>
      </c>
      <c r="T29" s="101">
        <f>((A2_A_L8*Enfermedades_A)+(A2_B_L8*Enfermedades_B)+(A2_C_L8*Enfermedades_C)+(A2_D_L8*Enfermedades_D)+(A2_Y_L8*Enfermedades_Y))*Inflación_2</f>
        <v>0</v>
      </c>
      <c r="U29" s="101">
        <f>SUMIFS('9'!$E:$E,'9'!$A:$A,Año_Inicial+1,'9'!$B:$B,'12'!T$4,'9'!$D:$D,"Prevención de enfermedades")</f>
        <v>0</v>
      </c>
      <c r="V29" s="101">
        <f>((A2_A_L9*Enfermedades_A)+(A2_B_L9*Enfermedades_B)+(A2_C_L9*Enfermedades_C)+(A2_D_L9*Enfermedades_D)+(A2_Y_L9*Enfermedades_Y))*Inflación_2</f>
        <v>0</v>
      </c>
      <c r="W29" s="101">
        <f>SUMIFS('9'!$E:$E,'9'!$A:$A,Año_Inicial+1,'9'!$B:$B,'12'!V$4,'9'!$D:$D,"Prevención de enfermedades")</f>
        <v>0</v>
      </c>
      <c r="X29" s="101">
        <f>((A2_A_L10*Enfermedades_A)+(A2_B_L10*Enfermedades_B)+(A2_C_L10*Enfermedades_C)+(A2_D_L10*Enfermedades_D)+(A2_Y_L10*Enfermedades_Y))*Inflación_2</f>
        <v>0</v>
      </c>
      <c r="Y29" s="101">
        <f>SUMIFS('9'!$E:$E,'9'!$A:$A,Año_Inicial+1,'9'!$B:$B,'12'!X$4,'9'!$D:$D,"Prevención de enfermedades")</f>
        <v>0</v>
      </c>
      <c r="Z29" s="101">
        <f>((A2_A_L11*Enfermedades_A)+(A2_B_L11*Enfermedades_B)+(A2_C_L11*Enfermedades_C)+(A2_D_L11*Enfermedades_D)+(A2_Y_L11*Enfermedades_Y))*Inflación_2</f>
        <v>0</v>
      </c>
      <c r="AA29" s="101">
        <f>SUMIFS('9'!$E:$E,'9'!$A:$A,Año_Inicial+1,'9'!$B:$B,'12'!Z$4,'9'!$D:$D,"Prevención de enfermedades")</f>
        <v>0</v>
      </c>
      <c r="AB29" s="101">
        <f>((A2_A_L12*Enfermedades_A)+(A2_B_L12*Enfermedades_B)+(A2_C_L12*Enfermedades_C)+(A2_D_L12*Enfermedades_D)+(A2_Y_L12*Enfermedades_Y))*Inflación_2</f>
        <v>0</v>
      </c>
      <c r="AC29" s="101">
        <f>SUMIFS('9'!$E:$E,'9'!$A:$A,Año_Inicial+1,'9'!$B:$B,'12'!AB$4,'9'!$D:$D,"Prevención de enfermedades")</f>
        <v>0</v>
      </c>
      <c r="AD29" s="101">
        <f>((A2_A_L13*Enfermedades_A)+(A2_B_L13*Enfermedades_B)+(A2_C_L13*Enfermedades_C)+(A2_D_L13*Enfermedades_D)+(A2_Y_L13*Enfermedades_Y))*Inflación_2</f>
        <v>0</v>
      </c>
      <c r="AE29" s="101">
        <f>SUMIFS('9'!$E:$E,'9'!$A:$A,Año_Inicial+1,'9'!$B:$B,'12'!AD$4,'9'!$D:$D,"Prevención de enfermedades")</f>
        <v>0</v>
      </c>
      <c r="AF29" s="101">
        <f>((A2_A_L14*Enfermedades_A)+(A2_B_L14*Enfermedades_B)+(A2_C_L14*Enfermedades_C)+(A2_D_L14*Enfermedades_D)+(A2_Y_L14*Enfermedades_Y))*Inflación_2</f>
        <v>0</v>
      </c>
      <c r="AG29" s="101">
        <f>SUMIFS('9'!$E:$E,'9'!$A:$A,Año_Inicial+1,'9'!$B:$B,'12'!AF$4,'9'!$D:$D,"Prevención de enfermedades")</f>
        <v>0</v>
      </c>
      <c r="AH29" s="101">
        <f>((A2_A_L15*Enfermedades_A)+(A2_B_L15*Enfermedades_B)+(A2_C_L15*Enfermedades_C)+(A2_D_L15*Enfermedades_D)+(A2_Y_L15*Enfermedades_Y))*Inflación_2</f>
        <v>0</v>
      </c>
      <c r="AI29" s="101">
        <f>SUMIFS('9'!$E:$E,'9'!$A:$A,Año_Inicial+1,'9'!$B:$B,'12'!AH$4,'9'!$D:$D,"Prevención de enfermedades")</f>
        <v>0</v>
      </c>
      <c r="AJ29" s="101">
        <f>((A2_A_L16*Enfermedades_A)+(A2_B_L16*Enfermedades_B)+(A2_C_L16*Enfermedades_C)+(A2_D_L16*Enfermedades_D)+(A2_Y_L16*Enfermedades_Y))*Inflación_2</f>
        <v>0</v>
      </c>
      <c r="AK29" s="101">
        <f>SUMIFS('9'!$E:$E,'9'!$A:$A,Año_Inicial+1,'9'!$B:$B,'12'!AJ$4,'9'!$D:$D,"Prevención de enfermedades")</f>
        <v>0</v>
      </c>
      <c r="AL29" s="101">
        <f>((A2_A_L17*Enfermedades_A)+(A2_B_L17*Enfermedades_B)+(A2_C_L17*Enfermedades_C)+(A2_D_L17*Enfermedades_D)+(A2_Y_L17*Enfermedades_Y))*Inflación_2</f>
        <v>0</v>
      </c>
      <c r="AM29" s="101">
        <f>SUMIFS('9'!$E:$E,'9'!$A:$A,Año_Inicial+1,'9'!$B:$B,'12'!AL$4,'9'!$D:$D,"Prevención de enfermedades")</f>
        <v>0</v>
      </c>
      <c r="AN29" s="101">
        <f>((A2_A_L18*Enfermedades_A)+(A2_B_L18*Enfermedades_B)+(A2_C_L18*Enfermedades_C)+(A2_D_L18*Enfermedades_D)+(A2_Y_L18*Enfermedades_Y))*Inflación_2</f>
        <v>0</v>
      </c>
      <c r="AO29" s="101">
        <f>SUMIFS('9'!$E:$E,'9'!$A:$A,Año_Inicial+1,'9'!$B:$B,'12'!AN$4,'9'!$D:$D,"Prevención de enfermedades")</f>
        <v>0</v>
      </c>
      <c r="AP29" s="101">
        <f>((A2_A_L19*Enfermedades_A)+(A2_B_L19*Enfermedades_B)+(A2_C_L19*Enfermedades_C)+(A2_D_L19*Enfermedades_D)+(A2_Y_L19*Enfermedades_Y))*Inflación_2</f>
        <v>0</v>
      </c>
      <c r="AQ29" s="101">
        <f>SUMIFS('9'!$E:$E,'9'!$A:$A,Año_Inicial+1,'9'!$B:$B,'12'!AP$4,'9'!$D:$D,"Prevención de enfermedades")</f>
        <v>0</v>
      </c>
      <c r="AR29" s="101">
        <f>((A2_A_L20*Enfermedades_A)+(A2_B_L20*Enfermedades_B)+(A2_C_L20*Enfermedades_C)+(A2_D_L20*Enfermedades_D)+(A2_Y_L20*Enfermedades_Y))*Inflación_2</f>
        <v>0</v>
      </c>
      <c r="AS29" s="101">
        <f>SUMIFS('9'!$E:$E,'9'!$A:$A,Año_Inicial+1,'9'!$B:$B,'12'!AR$4,'9'!$D:$D,"Prevención de enfermedades")</f>
        <v>0</v>
      </c>
      <c r="AT29" s="101">
        <f>((A2_A_L21*Enfermedades_A)+(A2_B_L21*Enfermedades_B)+(A2_C_L21*Enfermedades_C)+(A2_D_L21*Enfermedades_D)+(A2_Y_L21*Enfermedades_Y))*Inflación_2</f>
        <v>0</v>
      </c>
      <c r="AU29" s="101">
        <f>SUMIFS('9'!$E:$E,'9'!$A:$A,Año_Inicial+1,'9'!$B:$B,'12'!AT$4,'9'!$D:$D,"Prevención de enfermedades")</f>
        <v>0</v>
      </c>
      <c r="AV29" s="101">
        <f>((A2_A_L22*Enfermedades_A)+(A2_B_L22*Enfermedades_B)+(A2_C_L22*Enfermedades_C)+(A2_D_L22*Enfermedades_D)+(A2_Y_L22*Enfermedades_Y))*Inflación_2</f>
        <v>0</v>
      </c>
      <c r="AW29" s="101">
        <f>SUMIFS('9'!$E:$E,'9'!$A:$A,Año_Inicial+1,'9'!$B:$B,'12'!AV$4,'9'!$D:$D,"Prevención de enfermedades")</f>
        <v>0</v>
      </c>
      <c r="AX29" s="101">
        <f>((A2_A_L23*Enfermedades_A)+(A2_B_L23*Enfermedades_B)+(A2_C_L23*Enfermedades_C)+(A2_D_L23*Enfermedades_D)+(A2_Y_L23*Enfermedades_Y))*Inflación_2</f>
        <v>0</v>
      </c>
      <c r="AY29" s="101">
        <f>SUMIFS('9'!$E:$E,'9'!$A:$A,Año_Inicial+1,'9'!$B:$B,'12'!AX$4,'9'!$D:$D,"Prevención de enfermedades")</f>
        <v>0</v>
      </c>
      <c r="AZ29" s="101">
        <f>((A2_A_L24*Enfermedades_A)+(A2_B_L24*Enfermedades_B)+(A2_C_L24*Enfermedades_C)+(A2_D_L24*Enfermedades_D)+(A2_Y_L24*Enfermedades_Y))*Inflación_2</f>
        <v>0</v>
      </c>
      <c r="BA29" s="101">
        <f>SUMIFS('9'!$E:$E,'9'!$A:$A,Año_Inicial+1,'9'!$B:$B,'12'!AZ$4,'9'!$D:$D,"Prevención de enfermedades")</f>
        <v>0</v>
      </c>
      <c r="BB29" s="101">
        <f>((A2_A_L25*Enfermedades_A)+(A2_B_L25*Enfermedades_B)+(A2_C_L25*Enfermedades_C)+(A2_D_L25*Enfermedades_D)+(A2_Y_L25*Enfermedades_Y))*Inflación_2</f>
        <v>0</v>
      </c>
      <c r="BC29" s="101">
        <f>SUMIFS('9'!$E:$E,'9'!$A:$A,Año_Inicial+1,'9'!$B:$B,'12'!BB$4,'9'!$D:$D,"Prevención de enfermedades")</f>
        <v>0</v>
      </c>
      <c r="BD29" s="101">
        <f>((A2_A_L26*Enfermedades_A)+(A2_B_L26*Enfermedades_B)+(A2_C_L26*Enfermedades_C)+(A2_D_L26*Enfermedades_D)+(A2_Y_L26*Enfermedades_Y))*Inflación_2</f>
        <v>0</v>
      </c>
      <c r="BE29" s="101">
        <f>SUMIFS('9'!$E:$E,'9'!$A:$A,Año_Inicial+1,'9'!$B:$B,'12'!BD$4,'9'!$D:$D,"Prevención de enfermedades")</f>
        <v>0</v>
      </c>
      <c r="BF29" s="101">
        <f>((A2_A_L27*Enfermedades_A)+(A2_B_L27*Enfermedades_B)+(A2_C_L27*Enfermedades_C)+(A2_D_L27*Enfermedades_D)+(A2_Y_L27*Enfermedades_Y))*Inflación_2</f>
        <v>0</v>
      </c>
      <c r="BG29" s="101">
        <f>SUMIFS('9'!$E:$E,'9'!$A:$A,Año_Inicial+1,'9'!$B:$B,'12'!BF$4,'9'!$D:$D,"Prevención de enfermedades")</f>
        <v>0</v>
      </c>
      <c r="BH29" s="101">
        <f>((A2_A_L28*Enfermedades_A)+(A2_B_L28*Enfermedades_B)+(A2_C_L28*Enfermedades_C)+(A2_D_L28*Enfermedades_D)+(A2_Y_L28*Enfermedades_Y))*Inflación_2</f>
        <v>0</v>
      </c>
      <c r="BI29" s="101">
        <f>SUMIFS('9'!$E:$E,'9'!$A:$A,Año_Inicial+1,'9'!$B:$B,'12'!BH$4,'9'!$D:$D,"Prevención de enfermedades")</f>
        <v>0</v>
      </c>
      <c r="BJ29" s="101">
        <f>((A2_A_L29*Enfermedades_A)+(A2_B_L29*Enfermedades_B)+(A2_C_L29*Enfermedades_C)+(A2_D_L29*Enfermedades_D)+(A2_Y_L29*Enfermedades_Y))*Inflación_2</f>
        <v>0</v>
      </c>
      <c r="BK29" s="101">
        <f>SUMIFS('9'!$E:$E,'9'!$A:$A,Año_Inicial+1,'9'!$B:$B,'12'!BJ$4,'9'!$D:$D,"Prevención de enfermedades")</f>
        <v>0</v>
      </c>
      <c r="BL29" s="101">
        <f>((A2_A_L30*Enfermedades_A)+(A2_B_L30*Enfermedades_B)+(A2_C_L30*Enfermedades_C)+(A2_D_L30*Enfermedades_D)+(A2_Y_L30*Enfermedades_Y))*Inflación_2</f>
        <v>0</v>
      </c>
      <c r="BM29" s="101">
        <f>SUMIFS('9'!$E:$E,'9'!$A:$A,Año_Inicial+1,'9'!$B:$B,'12'!BL$4,'9'!$D:$D,"Prevención de enfermedades")</f>
        <v>0</v>
      </c>
      <c r="BN29" s="101">
        <f>((A2_A_L31*Enfermedades_A)+(A2_B_L31*Enfermedades_B)+(A2_C_L31*Enfermedades_C)+(A2_D_L31*Enfermedades_D)+(A2_Y_L31*Enfermedades_Y))*Inflación_2</f>
        <v>0</v>
      </c>
      <c r="BO29" s="101">
        <f>SUMIFS('9'!$E:$E,'9'!$A:$A,Año_Inicial+1,'9'!$B:$B,'12'!BN$4,'9'!$D:$D,"Prevención de enfermedades")</f>
        <v>0</v>
      </c>
      <c r="BP29" s="101">
        <f>((A2_A_L32*Enfermedades_A)+(A2_B_L32*Enfermedades_B)+(A2_C_L32*Enfermedades_C)+(A2_D_L32*Enfermedades_D)+(A2_Y_L32*Enfermedades_Y))*Inflación_2</f>
        <v>0</v>
      </c>
      <c r="BQ29" s="101">
        <f>SUMIFS('9'!$E:$E,'9'!$A:$A,Año_Inicial+1,'9'!$B:$B,'12'!BP$4,'9'!$D:$D,"Prevención de enfermedades")</f>
        <v>0</v>
      </c>
      <c r="BR29" s="101">
        <f>((A2_A_L33*Enfermedades_A)+(A2_B_L33*Enfermedades_B)+(A2_C_L33*Enfermedades_C)+(A2_D_L33*Enfermedades_D)+(A2_Y_L33*Enfermedades_Y))*Inflación_2</f>
        <v>0</v>
      </c>
      <c r="BS29" s="101">
        <f>SUMIFS('9'!$E:$E,'9'!$A:$A,Año_Inicial+1,'9'!$B:$B,'12'!BR$4,'9'!$D:$D,"Prevención de enfermedades")</f>
        <v>0</v>
      </c>
      <c r="BT29" s="101">
        <f>((A2_A_L34*Enfermedades_A)+(A2_B_L34*Enfermedades_B)+(A2_C_L34*Enfermedades_C)+(A2_D_L34*Enfermedades_D)+(A2_Y_L34*Enfermedades_Y))*Inflación_2</f>
        <v>0</v>
      </c>
      <c r="BU29" s="101">
        <f>SUMIFS('9'!$E:$E,'9'!$A:$A,Año_Inicial+1,'9'!$B:$B,'12'!BT$4,'9'!$D:$D,"Prevención de enfermedades")</f>
        <v>0</v>
      </c>
      <c r="BV29" s="101">
        <f>((A2_A_L35*Enfermedades_A)+(A2_B_L35*Enfermedades_B)+(A2_C_L35*Enfermedades_C)+(A2_D_L35*Enfermedades_D)+(A2_Y_L35*Enfermedades_Y))*Inflación_2</f>
        <v>0</v>
      </c>
      <c r="BW29" s="101">
        <f>SUMIFS('9'!$E:$E,'9'!$A:$A,Año_Inicial+1,'9'!$B:$B,'12'!BV$4,'9'!$D:$D,"Prevención de enfermedades")</f>
        <v>0</v>
      </c>
      <c r="BX29" s="101">
        <f>((A2_A_L36*Enfermedades_A)+(A2_B_L36*Enfermedades_B)+(A2_C_L36*Enfermedades_C)+(A2_D_L36*Enfermedades_D)+(A2_Y_L36*Enfermedades_Y))*Inflación_2</f>
        <v>0</v>
      </c>
      <c r="BY29" s="101">
        <f>SUMIFS('9'!$E:$E,'9'!$A:$A,Año_Inicial+1,'9'!$B:$B,'12'!BX$4,'9'!$D:$D,"Prevención de enfermedades")</f>
        <v>0</v>
      </c>
      <c r="BZ29" s="101">
        <f>((A2_A_L37*Enfermedades_A)+(A2_B_L37*Enfermedades_B)+(A2_C_L37*Enfermedades_C)+(A2_D_L37*Enfermedades_D)+(A2_Y_L37*Enfermedades_Y))*Inflación_2</f>
        <v>0</v>
      </c>
      <c r="CA29" s="101">
        <f>SUMIFS('9'!$E:$E,'9'!$A:$A,Año_Inicial+1,'9'!$B:$B,'12'!BZ$4,'9'!$D:$D,"Prevención de enfermedades")</f>
        <v>0</v>
      </c>
      <c r="CB29" s="101">
        <f>((A2_A_L38*Enfermedades_A)+(A2_B_L38*Enfermedades_B)+(A2_C_L38*Enfermedades_C)+(A2_D_L38*Enfermedades_D)+(A2_Y_L38*Enfermedades_Y))*Inflación_2</f>
        <v>0</v>
      </c>
      <c r="CC29" s="101">
        <f>SUMIFS('9'!$E:$E,'9'!$A:$A,Año_Inicial+1,'9'!$B:$B,'12'!CB$4,'9'!$D:$D,"Prevención de enfermedades")</f>
        <v>0</v>
      </c>
      <c r="CD29" s="101">
        <f>((A2_A_L39*Enfermedades_A)+(A2_B_L39*Enfermedades_B)+(A2_C_L39*Enfermedades_C)+(A2_D_L39*Enfermedades_D)+(A2_Y_L39*Enfermedades_Y))*Inflación_2</f>
        <v>0</v>
      </c>
      <c r="CE29" s="101">
        <f>SUMIFS('9'!$E:$E,'9'!$A:$A,Año_Inicial+1,'9'!$B:$B,'12'!CD$4,'9'!$D:$D,"Prevención de enfermedades")</f>
        <v>0</v>
      </c>
      <c r="CF29" s="101">
        <f>((A2_A_L40*Enfermedades_A)+(A2_B_L40*Enfermedades_B)+(A2_C_L40*Enfermedades_C)+(A2_D_L40*Enfermedades_D)+(A2_Y_L40*Enfermedades_Y))*Inflación_2</f>
        <v>0</v>
      </c>
      <c r="CG29" s="101">
        <f>SUMIFS('9'!$E:$E,'9'!$A:$A,Año_Inicial+1,'9'!$B:$B,'12'!CF$4,'9'!$D:$D,"Prevención de enfermedades")</f>
        <v>0</v>
      </c>
      <c r="CH29" s="473"/>
      <c r="CI29" s="101">
        <f>Plantas_A_A2*Enfermedades_A*Inflación_2</f>
        <v>0</v>
      </c>
      <c r="CJ29" s="101">
        <f>Plantas_B_A2*Enfermedades_B</f>
        <v>0</v>
      </c>
      <c r="CK29" s="101">
        <f>Plantas_C_A2*Enfermedades_C</f>
        <v>0</v>
      </c>
      <c r="CL29" s="101">
        <f>Plantas_D_A2*Enfermedades_D</f>
        <v>0</v>
      </c>
      <c r="CM29" s="101"/>
      <c r="CN29" s="101">
        <f>Plantas_Y_A2*Enfermedades_Y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7"/>
        <v>0</v>
      </c>
      <c r="C30" s="101">
        <f>SUMIFS('9'!$E:$E,'9'!$A:$A,Año_Inicial+1,'9'!$D:$D,"Fungicida")</f>
        <v>0</v>
      </c>
      <c r="D30" s="100">
        <f t="shared" si="46"/>
        <v>0</v>
      </c>
      <c r="E30" s="490"/>
      <c r="F30" s="101">
        <f>((A2_A_L1*Fungicida_A)+(A2_B_L1*Fungicida_B)+(A2_C_L1*Fungicida_C)+(A2_D_L1*Fungicida_D)+(A2_Y_L1*Fungicida_Y))*Inflación_2</f>
        <v>0</v>
      </c>
      <c r="G30" s="101">
        <f>SUMIFS('9'!$E:$E,'9'!$A:$A,Año_Inicial+1,'9'!$B:$B,'12'!F$4,'9'!$D:$D,"Fungicida")</f>
        <v>0</v>
      </c>
      <c r="H30" s="101">
        <f>((A2_A_L2*Fungicida_A)+(A2_B_L2*Fungicida_B)+(A2_C_L2*Fungicida_C)+(A2_D_L2*Fungicida_D)+(A2_Y_L2*Fungicida_Y))*Inflación_2</f>
        <v>0</v>
      </c>
      <c r="I30" s="101">
        <f>SUMIFS('9'!$E:$E,'9'!$A:$A,Año_Inicial+1,'9'!$B:$B,'12'!H$4,'9'!$D:$D,"Fungicida")</f>
        <v>0</v>
      </c>
      <c r="J30" s="101">
        <f>((A2_A_L3*Fungicida_A)+(A2_B_L3*Fungicida_B)+(A2_C_L3*Fungicida_C)+(A2_D_L3*Fungicida_D)+(A2_Y_L3*Fungicida_Y))*Inflación_2</f>
        <v>0</v>
      </c>
      <c r="K30" s="101">
        <f>SUMIFS('9'!$E:$E,'9'!$A:$A,Año_Inicial+1,'9'!$B:$B,'12'!J$4,'9'!$D:$D,"Fungicida")</f>
        <v>0</v>
      </c>
      <c r="L30" s="101">
        <f>((A2_A_L4*Fungicida_A)+(A2_B_L4*Fungicida_B)+(A2_C_L4*Fungicida_C)+(A2_D_L4*Fungicida_D)+(A2_Y_L4*Fungicida_Y))*Inflación_2</f>
        <v>0</v>
      </c>
      <c r="M30" s="101">
        <f>SUMIFS('9'!$E:$E,'9'!$A:$A,Año_Inicial+1,'9'!$B:$B,'12'!L$4,'9'!$D:$D,"Fungicida")</f>
        <v>0</v>
      </c>
      <c r="N30" s="101">
        <f>((A2_A_L5*Fungicida_A)+(A2_B_L5*Fungicida_B)+(A2_C_L5*Fungicida_C)+(A2_D_L5*Fungicida_D)+(A2_Y_L5*Fungicida_Y))*Inflación_2</f>
        <v>0</v>
      </c>
      <c r="O30" s="101">
        <f>SUMIFS('9'!$E:$E,'9'!$A:$A,Año_Inicial+1,'9'!$B:$B,'12'!N$4,'9'!$D:$D,"Fungicida")</f>
        <v>0</v>
      </c>
      <c r="P30" s="101">
        <f>((A2_A_L6*Fungicida_A)+(A2_B_L6*Fungicida_B)+(A2_C_L6*Fungicida_C)+(A2_D_L6*Fungicida_D)+(A2_Y_L6*Fungicida_Y))*Inflación_2</f>
        <v>0</v>
      </c>
      <c r="Q30" s="101">
        <f>SUMIFS('9'!$E:$E,'9'!$A:$A,Año_Inicial+1,'9'!$B:$B,'12'!P$4,'9'!$D:$D,"Fungicida")</f>
        <v>0</v>
      </c>
      <c r="R30" s="101">
        <f>((A2_A_L7*Fungicida_A)+(A2_B_L7*Fungicida_B)+(A2_C_L7*Fungicida_C)+(A2_D_L7*Fungicida_D)+(A2_Y_L7*Fungicida_Y))*Inflación_2</f>
        <v>0</v>
      </c>
      <c r="S30" s="101">
        <f>SUMIFS('9'!$E:$E,'9'!$A:$A,Año_Inicial+1,'9'!$B:$B,'12'!R$4,'9'!$D:$D,"Fungicida")</f>
        <v>0</v>
      </c>
      <c r="T30" s="101">
        <f>((A2_A_L8*Fungicida_A)+(A2_B_L8*Fungicida_B)+(A2_C_L8*Fungicida_C)+(A2_D_L8*Fungicida_D)+(A2_Y_L8*Fungicida_Y))*Inflación_2</f>
        <v>0</v>
      </c>
      <c r="U30" s="101">
        <f>SUMIFS('9'!$E:$E,'9'!$A:$A,Año_Inicial+1,'9'!$B:$B,'12'!T$4,'9'!$D:$D,"Fungicida")</f>
        <v>0</v>
      </c>
      <c r="V30" s="101">
        <f>((A2_A_L9*Fungicida_A)+(A2_B_L9*Fungicida_B)+(A2_C_L9*Fungicida_C)+(A2_D_L9*Fungicida_D)+(A2_Y_L9*Fungicida_Y))*Inflación_2</f>
        <v>0</v>
      </c>
      <c r="W30" s="101">
        <f>SUMIFS('9'!$E:$E,'9'!$A:$A,Año_Inicial+1,'9'!$B:$B,'12'!V$4,'9'!$D:$D,"Fungicida")</f>
        <v>0</v>
      </c>
      <c r="X30" s="101">
        <f>((A2_A_L10*Fungicida_A)+(A2_B_L10*Fungicida_B)+(A2_C_L10*Fungicida_C)+(A2_D_L10*Fungicida_D)+(A2_Y_L10*Fungicida_Y))*Inflación_2</f>
        <v>0</v>
      </c>
      <c r="Y30" s="101">
        <f>SUMIFS('9'!$E:$E,'9'!$A:$A,Año_Inicial+1,'9'!$B:$B,'12'!X$4,'9'!$D:$D,"Fungicida")</f>
        <v>0</v>
      </c>
      <c r="Z30" s="101">
        <f>((A2_A_L11*Fungicida_A)+(A2_B_L11*Fungicida_B)+(A2_C_L11*Fungicida_C)+(A2_D_L11*Fungicida_D)+(A2_Y_L11*Fungicida_Y))*Inflación_2</f>
        <v>0</v>
      </c>
      <c r="AA30" s="101">
        <f>SUMIFS('9'!$E:$E,'9'!$A:$A,Año_Inicial+1,'9'!$B:$B,'12'!Z$4,'9'!$D:$D,"Fungicida")</f>
        <v>0</v>
      </c>
      <c r="AB30" s="101">
        <f>((A2_A_L12*Fungicida_A)+(A2_B_L12*Fungicida_B)+(A2_C_L12*Fungicida_C)+(A2_D_L12*Fungicida_D)+(A2_Y_L12*Fungicida_Y))*Inflación_2</f>
        <v>0</v>
      </c>
      <c r="AC30" s="101">
        <f>SUMIFS('9'!$E:$E,'9'!$A:$A,Año_Inicial+1,'9'!$B:$B,'12'!AB$4,'9'!$D:$D,"Fungicida")</f>
        <v>0</v>
      </c>
      <c r="AD30" s="101">
        <f>((A2_A_L13*Fungicida_A)+(A2_B_L13*Fungicida_B)+(A2_C_L13*Fungicida_C)+(A2_D_L13*Fungicida_D)+(A2_Y_L13*Fungicida_Y))*Inflación_2</f>
        <v>0</v>
      </c>
      <c r="AE30" s="101">
        <f>SUMIFS('9'!$E:$E,'9'!$A:$A,Año_Inicial+1,'9'!$B:$B,'12'!AD$4,'9'!$D:$D,"Fungicida")</f>
        <v>0</v>
      </c>
      <c r="AF30" s="101">
        <f>((A2_A_L14*Fungicida_A)+(A2_B_L14*Fungicida_B)+(A2_C_L14*Fungicida_C)+(A2_D_L14*Fungicida_D)+(A2_Y_L14*Fungicida_Y))*Inflación_2</f>
        <v>0</v>
      </c>
      <c r="AG30" s="101">
        <f>SUMIFS('9'!$E:$E,'9'!$A:$A,Año_Inicial+1,'9'!$B:$B,'12'!AF$4,'9'!$D:$D,"Fungicida")</f>
        <v>0</v>
      </c>
      <c r="AH30" s="101">
        <f>((A2_A_L15*Fungicida_A)+(A2_B_L15*Fungicida_B)+(A2_C_L15*Fungicida_C)+(A2_D_L15*Fungicida_D)+(A2_Y_L15*Fungicida_Y))*Inflación_2</f>
        <v>0</v>
      </c>
      <c r="AI30" s="101">
        <f>SUMIFS('9'!$E:$E,'9'!$A:$A,Año_Inicial+1,'9'!$B:$B,'12'!AH$4,'9'!$D:$D,"Fungicida")</f>
        <v>0</v>
      </c>
      <c r="AJ30" s="101">
        <f>((A2_A_L16*Fungicida_A)+(A2_B_L16*Fungicida_B)+(A2_C_L16*Fungicida_C)+(A2_D_L16*Fungicida_D)+(A2_Y_L16*Fungicida_Y))*Inflación_2</f>
        <v>0</v>
      </c>
      <c r="AK30" s="101">
        <f>SUMIFS('9'!$E:$E,'9'!$A:$A,Año_Inicial+1,'9'!$B:$B,'12'!AJ$4,'9'!$D:$D,"Fungicida")</f>
        <v>0</v>
      </c>
      <c r="AL30" s="101">
        <f>((A2_A_L17*Fungicida_A)+(A2_B_L17*Fungicida_B)+(A2_C_L17*Fungicida_C)+(A2_D_L17*Fungicida_D)+(A2_Y_L17*Fungicida_Y))*Inflación_2</f>
        <v>0</v>
      </c>
      <c r="AM30" s="101">
        <f>SUMIFS('9'!$E:$E,'9'!$A:$A,Año_Inicial+1,'9'!$B:$B,'12'!AL$4,'9'!$D:$D,"Fungicida")</f>
        <v>0</v>
      </c>
      <c r="AN30" s="101">
        <f>((A2_A_L18*Fungicida_A)+(A2_B_L18*Fungicida_B)+(A2_C_L18*Fungicida_C)+(A2_D_L18*Fungicida_D)+(A2_Y_L18*Fungicida_Y))*Inflación_2</f>
        <v>0</v>
      </c>
      <c r="AO30" s="101">
        <f>SUMIFS('9'!$E:$E,'9'!$A:$A,Año_Inicial+1,'9'!$B:$B,'12'!AN$4,'9'!$D:$D,"Fungicida")</f>
        <v>0</v>
      </c>
      <c r="AP30" s="101">
        <f>((A2_A_L19*Fungicida_A)+(A2_B_L19*Fungicida_B)+(A2_C_L19*Fungicida_C)+(A2_D_L19*Fungicida_D)+(A2_Y_L19*Fungicida_Y))*Inflación_2</f>
        <v>0</v>
      </c>
      <c r="AQ30" s="101">
        <f>SUMIFS('9'!$E:$E,'9'!$A:$A,Año_Inicial+1,'9'!$B:$B,'12'!AP$4,'9'!$D:$D,"Fungicida")</f>
        <v>0</v>
      </c>
      <c r="AR30" s="101">
        <f>((A2_A_L20*Fungicida_A)+(A2_B_L20*Fungicida_B)+(A2_C_L20*Fungicida_C)+(A2_D_L20*Fungicida_D)+(A2_Y_L20*Fungicida_Y))*Inflación_2</f>
        <v>0</v>
      </c>
      <c r="AS30" s="101">
        <f>SUMIFS('9'!$E:$E,'9'!$A:$A,Año_Inicial+1,'9'!$B:$B,'12'!AR$4,'9'!$D:$D,"Fungicida")</f>
        <v>0</v>
      </c>
      <c r="AT30" s="101">
        <f>((A2_A_L21*Fungicida_A)+(A2_B_L21*Fungicida_B)+(A2_C_L21*Fungicida_C)+(A2_D_L21*Fungicida_D)+(A2_Y_L21*Fungicida_Y))*Inflación_2</f>
        <v>0</v>
      </c>
      <c r="AU30" s="101">
        <f>SUMIFS('9'!$E:$E,'9'!$A:$A,Año_Inicial+1,'9'!$B:$B,'12'!AT$4,'9'!$D:$D,"Fungicida")</f>
        <v>0</v>
      </c>
      <c r="AV30" s="101">
        <f>((A2_A_L22*Fungicida_A)+(A2_B_L22*Fungicida_B)+(A2_C_L22*Fungicida_C)+(A2_D_L22*Fungicida_D)+(A2_Y_L22*Fungicida_Y))*Inflación_2</f>
        <v>0</v>
      </c>
      <c r="AW30" s="101">
        <f>SUMIFS('9'!$E:$E,'9'!$A:$A,Año_Inicial+1,'9'!$B:$B,'12'!AV$4,'9'!$D:$D,"Fungicida")</f>
        <v>0</v>
      </c>
      <c r="AX30" s="101">
        <f>((A2_A_L23*Fungicida_A)+(A2_B_L23*Fungicida_B)+(A2_C_L23*Fungicida_C)+(A2_D_L23*Fungicida_D)+(A2_Y_L23*Fungicida_Y))*Inflación_2</f>
        <v>0</v>
      </c>
      <c r="AY30" s="101">
        <f>SUMIFS('9'!$E:$E,'9'!$A:$A,Año_Inicial+1,'9'!$B:$B,'12'!AX$4,'9'!$D:$D,"Fungicida")</f>
        <v>0</v>
      </c>
      <c r="AZ30" s="101">
        <f>((A2_A_L24*Fungicida_A)+(A2_B_L24*Fungicida_B)+(A2_C_L24*Fungicida_C)+(A2_D_L24*Fungicida_D)+(A2_Y_L24*Fungicida_Y))*Inflación_2</f>
        <v>0</v>
      </c>
      <c r="BA30" s="101">
        <f>SUMIFS('9'!$E:$E,'9'!$A:$A,Año_Inicial+1,'9'!$B:$B,'12'!AZ$4,'9'!$D:$D,"Fungicida")</f>
        <v>0</v>
      </c>
      <c r="BB30" s="101">
        <f>((A2_A_L25*Fungicida_A)+(A2_B_L25*Fungicida_B)+(A2_C_L25*Fungicida_C)+(A2_D_L25*Fungicida_D)+(A2_Y_L25*Fungicida_Y))*Inflación_2</f>
        <v>0</v>
      </c>
      <c r="BC30" s="101">
        <f>SUMIFS('9'!$E:$E,'9'!$A:$A,Año_Inicial+1,'9'!$B:$B,'12'!BB$4,'9'!$D:$D,"Fungicida")</f>
        <v>0</v>
      </c>
      <c r="BD30" s="101">
        <f>((A2_A_L26*Fungicida_A)+(A2_B_L26*Fungicida_B)+(A2_C_L26*Fungicida_C)+(A2_D_L26*Fungicida_D)+(A2_Y_L26*Fungicida_Y))*Inflación_2</f>
        <v>0</v>
      </c>
      <c r="BE30" s="101">
        <f>SUMIFS('9'!$E:$E,'9'!$A:$A,Año_Inicial+1,'9'!$B:$B,'12'!BD$4,'9'!$D:$D,"Fungicida")</f>
        <v>0</v>
      </c>
      <c r="BF30" s="101">
        <f>((A2_A_L27*Fungicida_A)+(A2_B_L27*Fungicida_B)+(A2_C_L27*Fungicida_C)+(A2_D_L27*Fungicida_D)+(A2_Y_L27*Fungicida_Y))*Inflación_2</f>
        <v>0</v>
      </c>
      <c r="BG30" s="101">
        <f>SUMIFS('9'!$E:$E,'9'!$A:$A,Año_Inicial+1,'9'!$B:$B,'12'!BF$4,'9'!$D:$D,"Fungicida")</f>
        <v>0</v>
      </c>
      <c r="BH30" s="101">
        <f>((A2_A_L28*Fungicida_A)+(A2_B_L28*Fungicida_B)+(A2_C_L28*Fungicida_C)+(A2_D_L28*Fungicida_D)+(A2_Y_L28*Fungicida_Y))*Inflación_2</f>
        <v>0</v>
      </c>
      <c r="BI30" s="101">
        <f>SUMIFS('9'!$E:$E,'9'!$A:$A,Año_Inicial+1,'9'!$B:$B,'12'!BH$4,'9'!$D:$D,"Fungicida")</f>
        <v>0</v>
      </c>
      <c r="BJ30" s="101">
        <f>((A2_A_L29*Fungicida_A)+(A2_B_L29*Fungicida_B)+(A2_C_L29*Fungicida_C)+(A2_D_L29*Fungicida_D)+(A2_Y_L29*Fungicida_Y))*Inflación_2</f>
        <v>0</v>
      </c>
      <c r="BK30" s="101">
        <f>SUMIFS('9'!$E:$E,'9'!$A:$A,Año_Inicial+1,'9'!$B:$B,'12'!BJ$4,'9'!$D:$D,"Fungicida")</f>
        <v>0</v>
      </c>
      <c r="BL30" s="101">
        <f>((A2_A_L30*Fungicida_A)+(A2_B_L30*Fungicida_B)+(A2_C_L30*Fungicida_C)+(A2_D_L30*Fungicida_D)+(A2_Y_L30*Fungicida_Y))*Inflación_2</f>
        <v>0</v>
      </c>
      <c r="BM30" s="101">
        <f>SUMIFS('9'!$E:$E,'9'!$A:$A,Año_Inicial+1,'9'!$B:$B,'12'!BL$4,'9'!$D:$D,"Fungicida")</f>
        <v>0</v>
      </c>
      <c r="BN30" s="101">
        <f>((A2_A_L31*Fungicida_A)+(A2_B_L31*Fungicida_B)+(A2_C_L31*Fungicida_C)+(A2_D_L31*Fungicida_D)+(A2_Y_L31*Fungicida_Y))*Inflación_2</f>
        <v>0</v>
      </c>
      <c r="BO30" s="101">
        <f>SUMIFS('9'!$E:$E,'9'!$A:$A,Año_Inicial+1,'9'!$B:$B,'12'!BN$4,'9'!$D:$D,"Fungicida")</f>
        <v>0</v>
      </c>
      <c r="BP30" s="101">
        <f>((A2_A_L32*Fungicida_A)+(A2_B_L32*Fungicida_B)+(A2_C_L32*Fungicida_C)+(A2_D_L32*Fungicida_D)+(A2_Y_L32*Fungicida_Y))*Inflación_2</f>
        <v>0</v>
      </c>
      <c r="BQ30" s="101">
        <f>SUMIFS('9'!$E:$E,'9'!$A:$A,Año_Inicial+1,'9'!$B:$B,'12'!BP$4,'9'!$D:$D,"Fungicida")</f>
        <v>0</v>
      </c>
      <c r="BR30" s="101">
        <f>((A2_A_L33*Fungicida_A)+(A2_B_L33*Fungicida_B)+(A2_C_L33*Fungicida_C)+(A2_D_L33*Fungicida_D)+(A2_Y_L33*Fungicida_Y))*Inflación_2</f>
        <v>0</v>
      </c>
      <c r="BS30" s="101">
        <f>SUMIFS('9'!$E:$E,'9'!$A:$A,Año_Inicial+1,'9'!$B:$B,'12'!BR$4,'9'!$D:$D,"Fungicida")</f>
        <v>0</v>
      </c>
      <c r="BT30" s="101">
        <f>((A2_A_L34*Fungicida_A)+(A2_B_L34*Fungicida_B)+(A2_C_L34*Fungicida_C)+(A2_D_L34*Fungicida_D)+(A2_Y_L34*Fungicida_Y))*Inflación_2</f>
        <v>0</v>
      </c>
      <c r="BU30" s="101">
        <f>SUMIFS('9'!$E:$E,'9'!$A:$A,Año_Inicial+1,'9'!$B:$B,'12'!BT$4,'9'!$D:$D,"Fungicida")</f>
        <v>0</v>
      </c>
      <c r="BV30" s="101">
        <f>((A2_A_L35*Fungicida_A)+(A2_B_L35*Fungicida_B)+(A2_C_L35*Fungicida_C)+(A2_D_L35*Fungicida_D)+(A2_Y_L35*Fungicida_Y))*Inflación_2</f>
        <v>0</v>
      </c>
      <c r="BW30" s="101">
        <f>SUMIFS('9'!$E:$E,'9'!$A:$A,Año_Inicial+1,'9'!$B:$B,'12'!BV$4,'9'!$D:$D,"Fungicida")</f>
        <v>0</v>
      </c>
      <c r="BX30" s="101">
        <f>((A2_A_L36*Fungicida_A)+(A2_B_L36*Fungicida_B)+(A2_C_L36*Fungicida_C)+(A2_D_L36*Fungicida_D)+(A2_Y_L36*Fungicida_Y))*Inflación_2</f>
        <v>0</v>
      </c>
      <c r="BY30" s="101">
        <f>SUMIFS('9'!$E:$E,'9'!$A:$A,Año_Inicial+1,'9'!$B:$B,'12'!BX$4,'9'!$D:$D,"Fungicida")</f>
        <v>0</v>
      </c>
      <c r="BZ30" s="101">
        <f>((A2_A_L37*Fungicida_A)+(A2_B_L37*Fungicida_B)+(A2_C_L37*Fungicida_C)+(A2_D_L37*Fungicida_D)+(A2_Y_L37*Fungicida_Y))*Inflación_2</f>
        <v>0</v>
      </c>
      <c r="CA30" s="101">
        <f>SUMIFS('9'!$E:$E,'9'!$A:$A,Año_Inicial+1,'9'!$B:$B,'12'!BZ$4,'9'!$D:$D,"Fungicida")</f>
        <v>0</v>
      </c>
      <c r="CB30" s="101">
        <f>((A2_A_L38*Fungicida_A)+(A2_B_L38*Fungicida_B)+(A2_C_L38*Fungicida_C)+(A2_D_L38*Fungicida_D)+(A2_Y_L38*Fungicida_Y))*Inflación_2</f>
        <v>0</v>
      </c>
      <c r="CC30" s="101">
        <f>SUMIFS('9'!$E:$E,'9'!$A:$A,Año_Inicial+1,'9'!$B:$B,'12'!CB$4,'9'!$D:$D,"Fungicida")</f>
        <v>0</v>
      </c>
      <c r="CD30" s="101">
        <f>((A2_A_L39*Fungicida_A)+(A2_B_L39*Fungicida_B)+(A2_C_L39*Fungicida_C)+(A2_D_L39*Fungicida_D)+(A2_Y_L39*Fungicida_Y))*Inflación_2</f>
        <v>0</v>
      </c>
      <c r="CE30" s="101">
        <f>SUMIFS('9'!$E:$E,'9'!$A:$A,Año_Inicial+1,'9'!$B:$B,'12'!CD$4,'9'!$D:$D,"Fungicida")</f>
        <v>0</v>
      </c>
      <c r="CF30" s="101">
        <f>((A2_A_L40*Fungicida_A)+(A2_B_L40*Fungicida_B)+(A2_C_L40*Fungicida_C)+(A2_D_L40*Fungicida_D)+(A2_Y_L40*Fungicida_Y))*Inflación_2</f>
        <v>0</v>
      </c>
      <c r="CG30" s="101">
        <f>SUMIFS('9'!$E:$E,'9'!$A:$A,Año_Inicial+1,'9'!$B:$B,'12'!CF$4,'9'!$D:$D,"Fungicida")</f>
        <v>0</v>
      </c>
      <c r="CH30" s="473"/>
      <c r="CI30" s="101">
        <f>Plantas_A_A2*Fungicida_A*Inflación_2</f>
        <v>0</v>
      </c>
      <c r="CJ30" s="101">
        <f>Plantas_B_A2*Fungicida_B</f>
        <v>0</v>
      </c>
      <c r="CK30" s="101">
        <f>Plantas_C_A2*Fungicida_C</f>
        <v>0</v>
      </c>
      <c r="CL30" s="101">
        <f>Plantas_D_A2*Fungicida_D</f>
        <v>0</v>
      </c>
      <c r="CM30" s="101"/>
      <c r="CN30" s="101">
        <f>Plantas_Y_A2*Fungicida_Y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90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7"/>
        <v>0</v>
      </c>
      <c r="C32" s="101">
        <f>SUMIFS('9'!$E:$E,'9'!$A:$A,Año_Inicial+1,'9'!$D:$D,"Manejo de sombra")</f>
        <v>0</v>
      </c>
      <c r="D32" s="100">
        <f t="shared" si="46"/>
        <v>0</v>
      </c>
      <c r="E32" s="490"/>
      <c r="F32" s="101">
        <f>((A2_A_L1*Sombra_A)+(A2_B_L1*Sombra_B)+(A2_C_L1*Sombra_C)+(A2_D_L1*Sombra_D)+(A2_Y_L1*Sombra_Y))*Inflación_2</f>
        <v>0</v>
      </c>
      <c r="G32" s="101">
        <f>SUMIFS('9'!$E:$E,'9'!$A:$A,Año_Inicial+1,'9'!$B:$B,'12'!F$4,'9'!$D:$D,"Manejo de sombra")</f>
        <v>0</v>
      </c>
      <c r="H32" s="101">
        <f>((A2_A_L2*Sombra_A)+(A2_B_L2*Sombra_B)+(A2_C_L2*Sombra_C)+(A2_D_L2*Sombra_D)+(A2_Y_L2*Sombra_Y))*Inflación_2</f>
        <v>0</v>
      </c>
      <c r="I32" s="101">
        <f>SUMIFS('9'!$E:$E,'9'!$A:$A,Año_Inicial+1,'9'!$B:$B,'12'!H$4,'9'!$D:$D,"Manejo de sombra")</f>
        <v>0</v>
      </c>
      <c r="J32" s="101">
        <f>((A2_A_L3*Sombra_A)+(A2_B_L3*Sombra_B)+(A2_C_L3*Sombra_C)+(A2_D_L3*Sombra_D)+(A2_Y_L3*Sombra_Y))*Inflación_2</f>
        <v>0</v>
      </c>
      <c r="K32" s="101">
        <f>SUMIFS('9'!$E:$E,'9'!$A:$A,Año_Inicial+1,'9'!$B:$B,'12'!J$4,'9'!$D:$D,"Manejo de sombra")</f>
        <v>0</v>
      </c>
      <c r="L32" s="101">
        <f>((A2_A_L4*Sombra_A)+(A2_B_L4*Sombra_B)+(A2_C_L4*Sombra_C)+(A2_D_L4*Sombra_D)+(A2_Y_L4*Sombra_Y))*Inflación_2</f>
        <v>0</v>
      </c>
      <c r="M32" s="101">
        <f>SUMIFS('9'!$E:$E,'9'!$A:$A,Año_Inicial+1,'9'!$B:$B,'12'!L$4,'9'!$D:$D,"Manejo de sombra")</f>
        <v>0</v>
      </c>
      <c r="N32" s="101">
        <f>((A2_A_L5*Sombra_A)+(A2_B_L5*Sombra_B)+(A2_C_L5*Sombra_C)+(A2_D_L5*Sombra_D)+(A2_Y_L5*Sombra_Y))*Inflación_2</f>
        <v>0</v>
      </c>
      <c r="O32" s="101">
        <f>SUMIFS('9'!$E:$E,'9'!$A:$A,Año_Inicial+1,'9'!$B:$B,'12'!N$4,'9'!$D:$D,"Manejo de sombra")</f>
        <v>0</v>
      </c>
      <c r="P32" s="101">
        <f>((A2_A_L6*Sombra_A)+(A2_B_L6*Sombra_B)+(A2_C_L6*Sombra_C)+(A2_D_L6*Sombra_D)+(A2_Y_L6*Sombra_Y))*Inflación_2</f>
        <v>0</v>
      </c>
      <c r="Q32" s="101">
        <f>SUMIFS('9'!$E:$E,'9'!$A:$A,Año_Inicial+1,'9'!$B:$B,'12'!P$4,'9'!$D:$D,"Manejo de sombra")</f>
        <v>0</v>
      </c>
      <c r="R32" s="101">
        <f>((A2_A_L7*Sombra_A)+(A2_B_L7*Sombra_B)+(A2_C_L7*Sombra_C)+(A2_D_L7*Sombra_D)+(A2_Y_L7*Sombra_Y))*Inflación_2</f>
        <v>0</v>
      </c>
      <c r="S32" s="101">
        <f>SUMIFS('9'!$E:$E,'9'!$A:$A,Año_Inicial+1,'9'!$B:$B,'12'!R$4,'9'!$D:$D,"Manejo de sombra")</f>
        <v>0</v>
      </c>
      <c r="T32" s="101">
        <f>((A2_A_L8*Sombra_A)+(A2_B_L8*Sombra_B)+(A2_C_L8*Sombra_C)+(A2_D_L8*Sombra_D)+(A2_Y_L8*Sombra_Y))*Inflación_2</f>
        <v>0</v>
      </c>
      <c r="U32" s="101">
        <f>SUMIFS('9'!$E:$E,'9'!$A:$A,Año_Inicial+1,'9'!$B:$B,'12'!T$4,'9'!$D:$D,"Manejo de sombra")</f>
        <v>0</v>
      </c>
      <c r="V32" s="101">
        <f>((A2_A_L9*Sombra_A)+(A2_B_L9*Sombra_B)+(A2_C_L9*Sombra_C)+(A2_D_L9*Sombra_D)+(A2_Y_L9*Sombra_Y))*Inflación_2</f>
        <v>0</v>
      </c>
      <c r="W32" s="101">
        <f>SUMIFS('9'!$E:$E,'9'!$A:$A,Año_Inicial+1,'9'!$B:$B,'12'!V$4,'9'!$D:$D,"Manejo de sombra")</f>
        <v>0</v>
      </c>
      <c r="X32" s="101">
        <f>((A2_A_L10*Sombra_A)+(A2_B_L10*Sombra_B)+(A2_C_L10*Sombra_C)+(A2_D_L10*Sombra_D)+(A2_Y_L10*Sombra_Y))*Inflación_2</f>
        <v>0</v>
      </c>
      <c r="Y32" s="101">
        <f>SUMIFS('9'!$E:$E,'9'!$A:$A,Año_Inicial+1,'9'!$B:$B,'12'!X$4,'9'!$D:$D,"Manejo de sombra")</f>
        <v>0</v>
      </c>
      <c r="Z32" s="101">
        <f>((A2_A_L11*Sombra_A)+(A2_B_L11*Sombra_B)+(A2_C_L11*Sombra_C)+(A2_D_L11*Sombra_D)+(A2_Y_L11*Sombra_Y))*Inflación_2</f>
        <v>0</v>
      </c>
      <c r="AA32" s="101">
        <f>SUMIFS('9'!$E:$E,'9'!$A:$A,Año_Inicial+1,'9'!$B:$B,'12'!Z$4,'9'!$D:$D,"Manejo de sombra")</f>
        <v>0</v>
      </c>
      <c r="AB32" s="101">
        <f>((A2_A_L12*Sombra_A)+(A2_B_L12*Sombra_B)+(A2_C_L12*Sombra_C)+(A2_D_L12*Sombra_D)+(A2_Y_L12*Sombra_Y))*Inflación_2</f>
        <v>0</v>
      </c>
      <c r="AC32" s="101">
        <f>SUMIFS('9'!$E:$E,'9'!$A:$A,Año_Inicial+1,'9'!$B:$B,'12'!AB$4,'9'!$D:$D,"Manejo de sombra")</f>
        <v>0</v>
      </c>
      <c r="AD32" s="101">
        <f>((A2_A_L13*Sombra_A)+(A2_B_L13*Sombra_B)+(A2_C_L13*Sombra_C)+(A2_D_L13*Sombra_D)+(A2_Y_L13*Sombra_Y))*Inflación_2</f>
        <v>0</v>
      </c>
      <c r="AE32" s="101">
        <f>SUMIFS('9'!$E:$E,'9'!$A:$A,Año_Inicial+1,'9'!$B:$B,'12'!AD$4,'9'!$D:$D,"Manejo de sombra")</f>
        <v>0</v>
      </c>
      <c r="AF32" s="101">
        <f>((A2_A_L14*Sombra_A)+(A2_B_L14*Sombra_B)+(A2_C_L14*Sombra_C)+(A2_D_L14*Sombra_D)+(A2_Y_L14*Sombra_Y))*Inflación_2</f>
        <v>0</v>
      </c>
      <c r="AG32" s="101">
        <f>SUMIFS('9'!$E:$E,'9'!$A:$A,Año_Inicial+1,'9'!$B:$B,'12'!AF$4,'9'!$D:$D,"Manejo de sombra")</f>
        <v>0</v>
      </c>
      <c r="AH32" s="101">
        <f>((A2_A_L15*Sombra_A)+(A2_B_L15*Sombra_B)+(A2_C_L15*Sombra_C)+(A2_D_L15*Sombra_D)+(A2_Y_L15*Sombra_Y))*Inflación_2</f>
        <v>0</v>
      </c>
      <c r="AI32" s="101">
        <f>SUMIFS('9'!$E:$E,'9'!$A:$A,Año_Inicial+1,'9'!$B:$B,'12'!AH$4,'9'!$D:$D,"Manejo de sombra")</f>
        <v>0</v>
      </c>
      <c r="AJ32" s="101">
        <f>((A2_A_L16*Sombra_A)+(A2_B_L16*Sombra_B)+(A2_C_L16*Sombra_C)+(A2_D_L16*Sombra_D)+(A2_Y_L16*Sombra_Y))*Inflación_2</f>
        <v>0</v>
      </c>
      <c r="AK32" s="101">
        <f>SUMIFS('9'!$E:$E,'9'!$A:$A,Año_Inicial+1,'9'!$B:$B,'12'!AJ$4,'9'!$D:$D,"Manejo de sombra")</f>
        <v>0</v>
      </c>
      <c r="AL32" s="101">
        <f>((A2_A_L17*Sombra_A)+(A2_B_L17*Sombra_B)+(A2_C_L17*Sombra_C)+(A2_D_L17*Sombra_D)+(A2_Y_L17*Sombra_Y))*Inflación_2</f>
        <v>0</v>
      </c>
      <c r="AM32" s="101">
        <f>SUMIFS('9'!$E:$E,'9'!$A:$A,Año_Inicial+1,'9'!$B:$B,'12'!AL$4,'9'!$D:$D,"Manejo de sombra")</f>
        <v>0</v>
      </c>
      <c r="AN32" s="101">
        <f>((A2_A_L18*Sombra_A)+(A2_B_L18*Sombra_B)+(A2_C_L18*Sombra_C)+(A2_D_L18*Sombra_D)+(A2_Y_L18*Sombra_Y))*Inflación_2</f>
        <v>0</v>
      </c>
      <c r="AO32" s="101">
        <f>SUMIFS('9'!$E:$E,'9'!$A:$A,Año_Inicial+1,'9'!$B:$B,'12'!AN$4,'9'!$D:$D,"Manejo de sombra")</f>
        <v>0</v>
      </c>
      <c r="AP32" s="101">
        <f>((A2_A_L19*Sombra_A)+(A2_B_L19*Sombra_B)+(A2_C_L19*Sombra_C)+(A2_D_L19*Sombra_D)+(A2_Y_L19*Sombra_Y))*Inflación_2</f>
        <v>0</v>
      </c>
      <c r="AQ32" s="101">
        <f>SUMIFS('9'!$E:$E,'9'!$A:$A,Año_Inicial+1,'9'!$B:$B,'12'!AP$4,'9'!$D:$D,"Manejo de sombra")</f>
        <v>0</v>
      </c>
      <c r="AR32" s="101">
        <f>((A2_A_L20*Sombra_A)+(A2_B_L20*Sombra_B)+(A2_C_L20*Sombra_C)+(A2_D_L20*Sombra_D)+(A2_Y_L20*Sombra_Y))*Inflación_2</f>
        <v>0</v>
      </c>
      <c r="AS32" s="101">
        <f>SUMIFS('9'!$E:$E,'9'!$A:$A,Año_Inicial+1,'9'!$B:$B,'12'!AR$4,'9'!$D:$D,"Manejo de sombra")</f>
        <v>0</v>
      </c>
      <c r="AT32" s="101">
        <f>((A2_A_L21*Sombra_A)+(A2_B_L21*Sombra_B)+(A2_C_L21*Sombra_C)+(A2_D_L21*Sombra_D)+(A2_Y_L21*Sombra_Y))*Inflación_2</f>
        <v>0</v>
      </c>
      <c r="AU32" s="101">
        <f>SUMIFS('9'!$E:$E,'9'!$A:$A,Año_Inicial+1,'9'!$B:$B,'12'!AT$4,'9'!$D:$D,"Manejo de sombra")</f>
        <v>0</v>
      </c>
      <c r="AV32" s="101">
        <f>((A2_A_L22*Sombra_A)+(A2_B_L22*Sombra_B)+(A2_C_L22*Sombra_C)+(A2_D_L22*Sombra_D)+(A2_Y_L22*Sombra_Y))*Inflación_2</f>
        <v>0</v>
      </c>
      <c r="AW32" s="101">
        <f>SUMIFS('9'!$E:$E,'9'!$A:$A,Año_Inicial+1,'9'!$B:$B,'12'!AV$4,'9'!$D:$D,"Manejo de sombra")</f>
        <v>0</v>
      </c>
      <c r="AX32" s="101">
        <f>((A2_A_L23*Sombra_A)+(A2_B_L23*Sombra_B)+(A2_C_L23*Sombra_C)+(A2_D_L23*Sombra_D)+(A2_Y_L23*Sombra_Y))*Inflación_2</f>
        <v>0</v>
      </c>
      <c r="AY32" s="101">
        <f>SUMIFS('9'!$E:$E,'9'!$A:$A,Año_Inicial+1,'9'!$B:$B,'12'!AX$4,'9'!$D:$D,"Manejo de sombra")</f>
        <v>0</v>
      </c>
      <c r="AZ32" s="101">
        <f>((A2_A_L24*Sombra_A)+(A2_B_L24*Sombra_B)+(A2_C_L24*Sombra_C)+(A2_D_L24*Sombra_D)+(A2_Y_L24*Sombra_Y))*Inflación_2</f>
        <v>0</v>
      </c>
      <c r="BA32" s="101">
        <f>SUMIFS('9'!$E:$E,'9'!$A:$A,Año_Inicial+1,'9'!$B:$B,'12'!AZ$4,'9'!$D:$D,"Manejo de sombra")</f>
        <v>0</v>
      </c>
      <c r="BB32" s="101">
        <f>((A2_A_L25*Sombra_A)+(A2_B_L25*Sombra_B)+(A2_C_L25*Sombra_C)+(A2_D_L25*Sombra_D)+(A2_Y_L25*Sombra_Y))*Inflación_2</f>
        <v>0</v>
      </c>
      <c r="BC32" s="101">
        <f>SUMIFS('9'!$E:$E,'9'!$A:$A,Año_Inicial+1,'9'!$B:$B,'12'!BB$4,'9'!$D:$D,"Manejo de sombra")</f>
        <v>0</v>
      </c>
      <c r="BD32" s="101">
        <f>((A2_A_L26*Sombra_A)+(A2_B_L26*Sombra_B)+(A2_C_L26*Sombra_C)+(A2_D_L26*Sombra_D)+(A2_Y_L26*Sombra_Y))*Inflación_2</f>
        <v>0</v>
      </c>
      <c r="BE32" s="101">
        <f>SUMIFS('9'!$E:$E,'9'!$A:$A,Año_Inicial+1,'9'!$B:$B,'12'!BD$4,'9'!$D:$D,"Manejo de sombra")</f>
        <v>0</v>
      </c>
      <c r="BF32" s="101">
        <f>((A2_A_L27*Sombra_A)+(A2_B_L27*Sombra_B)+(A2_C_L27*Sombra_C)+(A2_D_L27*Sombra_D)+(A2_Y_L27*Sombra_Y))*Inflación_2</f>
        <v>0</v>
      </c>
      <c r="BG32" s="101">
        <f>SUMIFS('9'!$E:$E,'9'!$A:$A,Año_Inicial+1,'9'!$B:$B,'12'!BF$4,'9'!$D:$D,"Manejo de sombra")</f>
        <v>0</v>
      </c>
      <c r="BH32" s="101">
        <f>((A2_A_L28*Sombra_A)+(A2_B_L28*Sombra_B)+(A2_C_L28*Sombra_C)+(A2_D_L28*Sombra_D)+(A2_Y_L28*Sombra_Y))*Inflación_2</f>
        <v>0</v>
      </c>
      <c r="BI32" s="101">
        <f>SUMIFS('9'!$E:$E,'9'!$A:$A,Año_Inicial+1,'9'!$B:$B,'12'!BH$4,'9'!$D:$D,"Manejo de sombra")</f>
        <v>0</v>
      </c>
      <c r="BJ32" s="101">
        <f>((A2_A_L29*Sombra_A)+(A2_B_L29*Sombra_B)+(A2_C_L29*Sombra_C)+(A2_D_L29*Sombra_D)+(A2_Y_L29*Sombra_Y))*Inflación_2</f>
        <v>0</v>
      </c>
      <c r="BK32" s="101">
        <f>SUMIFS('9'!$E:$E,'9'!$A:$A,Año_Inicial+1,'9'!$B:$B,'12'!BJ$4,'9'!$D:$D,"Manejo de sombra")</f>
        <v>0</v>
      </c>
      <c r="BL32" s="101">
        <f>((A2_A_L30*Sombra_A)+(A2_B_L30*Sombra_B)+(A2_C_L30*Sombra_C)+(A2_D_L30*Sombra_D)+(A2_Y_L30*Sombra_Y))*Inflación_2</f>
        <v>0</v>
      </c>
      <c r="BM32" s="101">
        <f>SUMIFS('9'!$E:$E,'9'!$A:$A,Año_Inicial+1,'9'!$B:$B,'12'!BL$4,'9'!$D:$D,"Manejo de sombra")</f>
        <v>0</v>
      </c>
      <c r="BN32" s="101">
        <f>((A2_A_L31*Sombra_A)+(A2_B_L31*Sombra_B)+(A2_C_L31*Sombra_C)+(A2_D_L31*Sombra_D)+(A2_Y_L31*Sombra_Y))*Inflación_2</f>
        <v>0</v>
      </c>
      <c r="BO32" s="101">
        <f>SUMIFS('9'!$E:$E,'9'!$A:$A,Año_Inicial+1,'9'!$B:$B,'12'!BN$4,'9'!$D:$D,"Manejo de sombra")</f>
        <v>0</v>
      </c>
      <c r="BP32" s="101">
        <f>((A2_A_L32*Sombra_A)+(A2_B_L32*Sombra_B)+(A2_C_L32*Sombra_C)+(A2_D_L32*Sombra_D)+(A2_Y_L32*Sombra_Y))*Inflación_2</f>
        <v>0</v>
      </c>
      <c r="BQ32" s="101">
        <f>SUMIFS('9'!$E:$E,'9'!$A:$A,Año_Inicial+1,'9'!$B:$B,'12'!BP$4,'9'!$D:$D,"Manejo de sombra")</f>
        <v>0</v>
      </c>
      <c r="BR32" s="101">
        <f>((A2_A_L33*Sombra_A)+(A2_B_L33*Sombra_B)+(A2_C_L33*Sombra_C)+(A2_D_L33*Sombra_D)+(A2_Y_L33*Sombra_Y))*Inflación_2</f>
        <v>0</v>
      </c>
      <c r="BS32" s="101">
        <f>SUMIFS('9'!$E:$E,'9'!$A:$A,Año_Inicial+1,'9'!$B:$B,'12'!BR$4,'9'!$D:$D,"Manejo de sombra")</f>
        <v>0</v>
      </c>
      <c r="BT32" s="101">
        <f>((A2_A_L34*Sombra_A)+(A2_B_L34*Sombra_B)+(A2_C_L34*Sombra_C)+(A2_D_L34*Sombra_D)+(A2_Y_L34*Sombra_Y))*Inflación_2</f>
        <v>0</v>
      </c>
      <c r="BU32" s="101">
        <f>SUMIFS('9'!$E:$E,'9'!$A:$A,Año_Inicial+1,'9'!$B:$B,'12'!BT$4,'9'!$D:$D,"Manejo de sombra")</f>
        <v>0</v>
      </c>
      <c r="BV32" s="101">
        <f>((A2_A_L35*Sombra_A)+(A2_B_L35*Sombra_B)+(A2_C_L35*Sombra_C)+(A2_D_L35*Sombra_D)+(A2_Y_L35*Sombra_Y))*Inflación_2</f>
        <v>0</v>
      </c>
      <c r="BW32" s="101">
        <f>SUMIFS('9'!$E:$E,'9'!$A:$A,Año_Inicial+1,'9'!$B:$B,'12'!BV$4,'9'!$D:$D,"Manejo de sombra")</f>
        <v>0</v>
      </c>
      <c r="BX32" s="101">
        <f>((A2_A_L36*Sombra_A)+(A2_B_L36*Sombra_B)+(A2_C_L36*Sombra_C)+(A2_D_L36*Sombra_D)+(A2_Y_L36*Sombra_Y))*Inflación_2</f>
        <v>0</v>
      </c>
      <c r="BY32" s="101">
        <f>SUMIFS('9'!$E:$E,'9'!$A:$A,Año_Inicial+1,'9'!$B:$B,'12'!BX$4,'9'!$D:$D,"Manejo de sombra")</f>
        <v>0</v>
      </c>
      <c r="BZ32" s="101">
        <f>((A2_A_L37*Sombra_A)+(A2_B_L37*Sombra_B)+(A2_C_L37*Sombra_C)+(A2_D_L37*Sombra_D)+(A2_Y_L37*Sombra_Y))*Inflación_2</f>
        <v>0</v>
      </c>
      <c r="CA32" s="101">
        <f>SUMIFS('9'!$E:$E,'9'!$A:$A,Año_Inicial+1,'9'!$B:$B,'12'!BZ$4,'9'!$D:$D,"Manejo de sombra")</f>
        <v>0</v>
      </c>
      <c r="CB32" s="101">
        <f>((A2_A_L38*Sombra_A)+(A2_B_L38*Sombra_B)+(A2_C_L38*Sombra_C)+(A2_D_L38*Sombra_D)+(A2_Y_L38*Sombra_Y))*Inflación_2</f>
        <v>0</v>
      </c>
      <c r="CC32" s="101">
        <f>SUMIFS('9'!$E:$E,'9'!$A:$A,Año_Inicial+1,'9'!$B:$B,'12'!CB$4,'9'!$D:$D,"Manejo de sombra")</f>
        <v>0</v>
      </c>
      <c r="CD32" s="101">
        <f>((A2_A_L39*Sombra_A)+(A2_B_L39*Sombra_B)+(A2_C_L39*Sombra_C)+(A2_D_L39*Sombra_D)+(A2_Y_L39*Sombra_Y))*Inflación_2</f>
        <v>0</v>
      </c>
      <c r="CE32" s="101">
        <f>SUMIFS('9'!$E:$E,'9'!$A:$A,Año_Inicial+1,'9'!$B:$B,'12'!CD$4,'9'!$D:$D,"Manejo de sombra")</f>
        <v>0</v>
      </c>
      <c r="CF32" s="101">
        <f>((A2_A_L40*Sombra_A)+(A2_B_L40*Sombra_B)+(A2_C_L40*Sombra_C)+(A2_D_L40*Sombra_D)+(A2_Y_L40*Sombra_Y))*Inflación_2</f>
        <v>0</v>
      </c>
      <c r="CG32" s="101">
        <f>SUMIFS('9'!$E:$E,'9'!$A:$A,Año_Inicial+1,'9'!$B:$B,'12'!CF$4,'9'!$D:$D,"Manejo de sombra")</f>
        <v>0</v>
      </c>
      <c r="CH32" s="473"/>
      <c r="CI32" s="101">
        <f>Plantas_A_A2*Sombra_A*Inflación_2</f>
        <v>0</v>
      </c>
      <c r="CJ32" s="101">
        <f>Plantas_B_A2*Sombra_B</f>
        <v>0</v>
      </c>
      <c r="CK32" s="101">
        <f>Plantas_C_A2*Sombra_C</f>
        <v>0</v>
      </c>
      <c r="CL32" s="101">
        <f>Plantas_D_A2*Sombra_D</f>
        <v>0</v>
      </c>
      <c r="CM32" s="101"/>
      <c r="CN32" s="101">
        <f>Plantas_Y_A2*Sombra_Y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7"/>
        <v>0</v>
      </c>
      <c r="C33" s="101">
        <f>SUMIFS('9'!$E:$E,'9'!$A:$A,Año_Inicial+1,'9'!$D:$D,"Conservación de suelos")</f>
        <v>0</v>
      </c>
      <c r="D33" s="100">
        <f t="shared" si="46"/>
        <v>0</v>
      </c>
      <c r="E33" s="490"/>
      <c r="F33" s="101">
        <f>((A2_A_L1*Conservación_A)+(A2_B_L1*Conservación_B)+(A2_C_L1*Conservación_C)+(A2_D_L1*Conservación_D)+(A2_Y_L1*Conservación_Y))*Inflación_2</f>
        <v>0</v>
      </c>
      <c r="G33" s="101">
        <f>SUMIFS('9'!$E:$E,'9'!$A:$A,Año_Inicial+1,'9'!$B:$B,'12'!F$4,'9'!$D:$D,"Conservación de suelos")</f>
        <v>0</v>
      </c>
      <c r="H33" s="101">
        <f>((A2_A_L2*Conservación_A)+(A2_B_L2*Conservación_B)+(A2_C_L2*Conservación_C)+(A2_D_L2*Conservación_D)+(A2_Y_L2*Conservación_Y))*Inflación_2</f>
        <v>0</v>
      </c>
      <c r="I33" s="101">
        <f>SUMIFS('9'!$E:$E,'9'!$A:$A,Año_Inicial+1,'9'!$B:$B,'12'!H$4,'9'!$D:$D,"Conservación de suelos")</f>
        <v>0</v>
      </c>
      <c r="J33" s="101">
        <f>((A2_A_L3*Conservación_A)+(A2_B_L3*Conservación_B)+(A2_C_L3*Conservación_C)+(A2_D_L3*Conservación_D)+(A2_Y_L3*Conservación_Y))*Inflación_2</f>
        <v>0</v>
      </c>
      <c r="K33" s="101">
        <f>SUMIFS('9'!$E:$E,'9'!$A:$A,Año_Inicial+1,'9'!$B:$B,'12'!J$4,'9'!$D:$D,"Conservación de suelos")</f>
        <v>0</v>
      </c>
      <c r="L33" s="101">
        <f>((A2_A_L4*Conservación_A)+(A2_B_L4*Conservación_B)+(A2_C_L4*Conservación_C)+(A2_D_L4*Conservación_D)+(A2_Y_L4*Conservación_Y))*Inflación_2</f>
        <v>0</v>
      </c>
      <c r="M33" s="101">
        <f>SUMIFS('9'!$E:$E,'9'!$A:$A,Año_Inicial+1,'9'!$B:$B,'12'!L$4,'9'!$D:$D,"Conservación de suelos")</f>
        <v>0</v>
      </c>
      <c r="N33" s="101">
        <f>((A2_A_L5*Conservación_A)+(A2_B_L5*Conservación_B)+(A2_C_L5*Conservación_C)+(A2_D_L5*Conservación_D)+(A2_Y_L5*Conservación_Y))*Inflación_2</f>
        <v>0</v>
      </c>
      <c r="O33" s="101">
        <f>SUMIFS('9'!$E:$E,'9'!$A:$A,Año_Inicial+1,'9'!$B:$B,'12'!N$4,'9'!$D:$D,"Conservación de suelos")</f>
        <v>0</v>
      </c>
      <c r="P33" s="101">
        <f>((A2_A_L6*Conservación_A)+(A2_B_L6*Conservación_B)+(A2_C_L6*Conservación_C)+(A2_D_L6*Conservación_D)+(A2_Y_L6*Conservación_Y))*Inflación_2</f>
        <v>0</v>
      </c>
      <c r="Q33" s="101">
        <f>SUMIFS('9'!$E:$E,'9'!$A:$A,Año_Inicial+1,'9'!$B:$B,'12'!P$4,'9'!$D:$D,"Conservación de suelos")</f>
        <v>0</v>
      </c>
      <c r="R33" s="101">
        <f>((A2_A_L7*Conservación_A)+(A2_B_L7*Conservación_B)+(A2_C_L7*Conservación_C)+(A2_D_L7*Conservación_D)+(A2_Y_L7*Conservación_Y))*Inflación_2</f>
        <v>0</v>
      </c>
      <c r="S33" s="101">
        <f>SUMIFS('9'!$E:$E,'9'!$A:$A,Año_Inicial+1,'9'!$B:$B,'12'!R$4,'9'!$D:$D,"Conservación de suelos")</f>
        <v>0</v>
      </c>
      <c r="T33" s="101">
        <f>((A2_A_L8*Conservación_A)+(A2_B_L8*Conservación_B)+(A2_C_L8*Conservación_C)+(A2_D_L8*Conservación_D)+(A2_Y_L8*Conservación_Y))*Inflación_2</f>
        <v>0</v>
      </c>
      <c r="U33" s="101">
        <f>SUMIFS('9'!$E:$E,'9'!$A:$A,Año_Inicial+1,'9'!$B:$B,'12'!T$4,'9'!$D:$D,"Conservación de suelos")</f>
        <v>0</v>
      </c>
      <c r="V33" s="101">
        <f>((A2_A_L9*Conservación_A)+(A2_B_L9*Conservación_B)+(A2_C_L9*Conservación_C)+(A2_D_L9*Conservación_D)+(A2_Y_L9*Conservación_Y))*Inflación_2</f>
        <v>0</v>
      </c>
      <c r="W33" s="101">
        <f>SUMIFS('9'!$E:$E,'9'!$A:$A,Año_Inicial+1,'9'!$B:$B,'12'!V$4,'9'!$D:$D,"Conservación de suelos")</f>
        <v>0</v>
      </c>
      <c r="X33" s="101">
        <f>((A2_A_L10*Conservación_A)+(A2_B_L10*Conservación_B)+(A2_C_L10*Conservación_C)+(A2_D_L10*Conservación_D)+(A2_Y_L10*Conservación_Y))*Inflación_2</f>
        <v>0</v>
      </c>
      <c r="Y33" s="101">
        <f>SUMIFS('9'!$E:$E,'9'!$A:$A,Año_Inicial+1,'9'!$B:$B,'12'!X$4,'9'!$D:$D,"Conservación de suelos")</f>
        <v>0</v>
      </c>
      <c r="Z33" s="101">
        <f>((A2_A_L11*Conservación_A)+(A2_B_L11*Conservación_B)+(A2_C_L11*Conservación_C)+(A2_D_L11*Conservación_D)+(A2_Y_L11*Conservación_Y))*Inflación_2</f>
        <v>0</v>
      </c>
      <c r="AA33" s="101">
        <f>SUMIFS('9'!$E:$E,'9'!$A:$A,Año_Inicial+1,'9'!$B:$B,'12'!Z$4,'9'!$D:$D,"Conservación de suelos")</f>
        <v>0</v>
      </c>
      <c r="AB33" s="101">
        <f>((A2_A_L12*Conservación_A)+(A2_B_L12*Conservación_B)+(A2_C_L12*Conservación_C)+(A2_D_L12*Conservación_D)+(A2_Y_L12*Conservación_Y))*Inflación_2</f>
        <v>0</v>
      </c>
      <c r="AC33" s="101">
        <f>SUMIFS('9'!$E:$E,'9'!$A:$A,Año_Inicial+1,'9'!$B:$B,'12'!AB$4,'9'!$D:$D,"Conservación de suelos")</f>
        <v>0</v>
      </c>
      <c r="AD33" s="101">
        <f>((A2_A_L13*Conservación_A)+(A2_B_L13*Conservación_B)+(A2_C_L13*Conservación_C)+(A2_D_L13*Conservación_D)+(A2_Y_L13*Conservación_Y))*Inflación_2</f>
        <v>0</v>
      </c>
      <c r="AE33" s="101">
        <f>SUMIFS('9'!$E:$E,'9'!$A:$A,Año_Inicial+1,'9'!$B:$B,'12'!AD$4,'9'!$D:$D,"Conservación de suelos")</f>
        <v>0</v>
      </c>
      <c r="AF33" s="101">
        <f>((A2_A_L14*Conservación_A)+(A2_B_L14*Conservación_B)+(A2_C_L14*Conservación_C)+(A2_D_L14*Conservación_D)+(A2_Y_L14*Conservación_Y))*Inflación_2</f>
        <v>0</v>
      </c>
      <c r="AG33" s="101">
        <f>SUMIFS('9'!$E:$E,'9'!$A:$A,Año_Inicial+1,'9'!$B:$B,'12'!AF$4,'9'!$D:$D,"Conservación de suelos")</f>
        <v>0</v>
      </c>
      <c r="AH33" s="101">
        <f>((A2_A_L15*Conservación_A)+(A2_B_L15*Conservación_B)+(A2_C_L15*Conservación_C)+(A2_D_L15*Conservación_D)+(A2_Y_L15*Conservación_Y))*Inflación_2</f>
        <v>0</v>
      </c>
      <c r="AI33" s="101">
        <f>SUMIFS('9'!$E:$E,'9'!$A:$A,Año_Inicial+1,'9'!$B:$B,'12'!AH$4,'9'!$D:$D,"Conservación de suelos")</f>
        <v>0</v>
      </c>
      <c r="AJ33" s="101">
        <f>((A2_A_L16*Conservación_A)+(A2_B_L16*Conservación_B)+(A2_C_L16*Conservación_C)+(A2_D_L16*Conservación_D)+(A2_Y_L16*Conservación_Y))*Inflación_2</f>
        <v>0</v>
      </c>
      <c r="AK33" s="101">
        <f>SUMIFS('9'!$E:$E,'9'!$A:$A,Año_Inicial+1,'9'!$B:$B,'12'!AJ$4,'9'!$D:$D,"Conservación de suelos")</f>
        <v>0</v>
      </c>
      <c r="AL33" s="101">
        <f>((A2_A_L17*Conservación_A)+(A2_B_L17*Conservación_B)+(A2_C_L17*Conservación_C)+(A2_D_L17*Conservación_D)+(A2_Y_L17*Conservación_Y))*Inflación_2</f>
        <v>0</v>
      </c>
      <c r="AM33" s="101">
        <f>SUMIFS('9'!$E:$E,'9'!$A:$A,Año_Inicial+1,'9'!$B:$B,'12'!AL$4,'9'!$D:$D,"Conservación de suelos")</f>
        <v>0</v>
      </c>
      <c r="AN33" s="101">
        <f>((A2_A_L18*Conservación_A)+(A2_B_L18*Conservación_B)+(A2_C_L18*Conservación_C)+(A2_D_L18*Conservación_D)+(A2_Y_L18*Conservación_Y))*Inflación_2</f>
        <v>0</v>
      </c>
      <c r="AO33" s="101">
        <f>SUMIFS('9'!$E:$E,'9'!$A:$A,Año_Inicial+1,'9'!$B:$B,'12'!AN$4,'9'!$D:$D,"Conservación de suelos")</f>
        <v>0</v>
      </c>
      <c r="AP33" s="101">
        <f>((A2_A_L19*Conservación_A)+(A2_B_L19*Conservación_B)+(A2_C_L19*Conservación_C)+(A2_D_L19*Conservación_D)+(A2_Y_L19*Conservación_Y))*Inflación_2</f>
        <v>0</v>
      </c>
      <c r="AQ33" s="101">
        <f>SUMIFS('9'!$E:$E,'9'!$A:$A,Año_Inicial+1,'9'!$B:$B,'12'!AP$4,'9'!$D:$D,"Conservación de suelos")</f>
        <v>0</v>
      </c>
      <c r="AR33" s="101">
        <f>((A2_A_L20*Conservación_A)+(A2_B_L20*Conservación_B)+(A2_C_L20*Conservación_C)+(A2_D_L20*Conservación_D)+(A2_Y_L20*Conservación_Y))*Inflación_2</f>
        <v>0</v>
      </c>
      <c r="AS33" s="101">
        <f>SUMIFS('9'!$E:$E,'9'!$A:$A,Año_Inicial+1,'9'!$B:$B,'12'!AR$4,'9'!$D:$D,"Conservación de suelos")</f>
        <v>0</v>
      </c>
      <c r="AT33" s="101">
        <f>((A2_A_L21*Conservación_A)+(A2_B_L21*Conservación_B)+(A2_C_L21*Conservación_C)+(A2_D_L21*Conservación_D)+(A2_Y_L21*Conservación_Y))*Inflación_2</f>
        <v>0</v>
      </c>
      <c r="AU33" s="101">
        <f>SUMIFS('9'!$E:$E,'9'!$A:$A,Año_Inicial+1,'9'!$B:$B,'12'!AT$4,'9'!$D:$D,"Conservación de suelos")</f>
        <v>0</v>
      </c>
      <c r="AV33" s="101">
        <f>((A2_A_L22*Conservación_A)+(A2_B_L22*Conservación_B)+(A2_C_L22*Conservación_C)+(A2_D_L22*Conservación_D)+(A2_Y_L22*Conservación_Y))*Inflación_2</f>
        <v>0</v>
      </c>
      <c r="AW33" s="101">
        <f>SUMIFS('9'!$E:$E,'9'!$A:$A,Año_Inicial+1,'9'!$B:$B,'12'!AV$4,'9'!$D:$D,"Conservación de suelos")</f>
        <v>0</v>
      </c>
      <c r="AX33" s="101">
        <f>((A2_A_L23*Conservación_A)+(A2_B_L23*Conservación_B)+(A2_C_L23*Conservación_C)+(A2_D_L23*Conservación_D)+(A2_Y_L23*Conservación_Y))*Inflación_2</f>
        <v>0</v>
      </c>
      <c r="AY33" s="101">
        <f>SUMIFS('9'!$E:$E,'9'!$A:$A,Año_Inicial+1,'9'!$B:$B,'12'!AX$4,'9'!$D:$D,"Conservación de suelos")</f>
        <v>0</v>
      </c>
      <c r="AZ33" s="101">
        <f>((A2_A_L24*Conservación_A)+(A2_B_L24*Conservación_B)+(A2_C_L24*Conservación_C)+(A2_D_L24*Conservación_D)+(A2_Y_L24*Conservación_Y))*Inflación_2</f>
        <v>0</v>
      </c>
      <c r="BA33" s="101">
        <f>SUMIFS('9'!$E:$E,'9'!$A:$A,Año_Inicial+1,'9'!$B:$B,'12'!AZ$4,'9'!$D:$D,"Conservación de suelos")</f>
        <v>0</v>
      </c>
      <c r="BB33" s="101">
        <f>((A2_A_L25*Conservación_A)+(A2_B_L25*Conservación_B)+(A2_C_L25*Conservación_C)+(A2_D_L25*Conservación_D)+(A2_Y_L25*Conservación_Y))*Inflación_2</f>
        <v>0</v>
      </c>
      <c r="BC33" s="101">
        <f>SUMIFS('9'!$E:$E,'9'!$A:$A,Año_Inicial+1,'9'!$B:$B,'12'!BB$4,'9'!$D:$D,"Conservación de suelos")</f>
        <v>0</v>
      </c>
      <c r="BD33" s="101">
        <f>((A2_A_L26*Conservación_A)+(A2_B_L26*Conservación_B)+(A2_C_L26*Conservación_C)+(A2_D_L26*Conservación_D)+(A2_Y_L26*Conservación_Y))*Inflación_2</f>
        <v>0</v>
      </c>
      <c r="BE33" s="101">
        <f>SUMIFS('9'!$E:$E,'9'!$A:$A,Año_Inicial+1,'9'!$B:$B,'12'!BD$4,'9'!$D:$D,"Conservación de suelos")</f>
        <v>0</v>
      </c>
      <c r="BF33" s="101">
        <f>((A2_A_L27*Conservación_A)+(A2_B_L27*Conservación_B)+(A2_C_L27*Conservación_C)+(A2_D_L27*Conservación_D)+(A2_Y_L27*Conservación_Y))*Inflación_2</f>
        <v>0</v>
      </c>
      <c r="BG33" s="101">
        <f>SUMIFS('9'!$E:$E,'9'!$A:$A,Año_Inicial+1,'9'!$B:$B,'12'!BF$4,'9'!$D:$D,"Conservación de suelos")</f>
        <v>0</v>
      </c>
      <c r="BH33" s="101">
        <f>((A2_A_L28*Conservación_A)+(A2_B_L28*Conservación_B)+(A2_C_L28*Conservación_C)+(A2_D_L28*Conservación_D)+(A2_Y_L28*Conservación_Y))*Inflación_2</f>
        <v>0</v>
      </c>
      <c r="BI33" s="101">
        <f>SUMIFS('9'!$E:$E,'9'!$A:$A,Año_Inicial+1,'9'!$B:$B,'12'!BH$4,'9'!$D:$D,"Conservación de suelos")</f>
        <v>0</v>
      </c>
      <c r="BJ33" s="101">
        <f>((A2_A_L29*Conservación_A)+(A2_B_L29*Conservación_B)+(A2_C_L29*Conservación_C)+(A2_D_L29*Conservación_D)+(A2_Y_L29*Conservación_Y))*Inflación_2</f>
        <v>0</v>
      </c>
      <c r="BK33" s="101">
        <f>SUMIFS('9'!$E:$E,'9'!$A:$A,Año_Inicial+1,'9'!$B:$B,'12'!BJ$4,'9'!$D:$D,"Conservación de suelos")</f>
        <v>0</v>
      </c>
      <c r="BL33" s="101">
        <f>((A2_A_L30*Conservación_A)+(A2_B_L30*Conservación_B)+(A2_C_L30*Conservación_C)+(A2_D_L30*Conservación_D)+(A2_Y_L30*Conservación_Y))*Inflación_2</f>
        <v>0</v>
      </c>
      <c r="BM33" s="101">
        <f>SUMIFS('9'!$E:$E,'9'!$A:$A,Año_Inicial+1,'9'!$B:$B,'12'!BL$4,'9'!$D:$D,"Conservación de suelos")</f>
        <v>0</v>
      </c>
      <c r="BN33" s="101">
        <f>((A2_A_L31*Conservación_A)+(A2_B_L31*Conservación_B)+(A2_C_L31*Conservación_C)+(A2_D_L31*Conservación_D)+(A2_Y_L31*Conservación_Y))*Inflación_2</f>
        <v>0</v>
      </c>
      <c r="BO33" s="101">
        <f>SUMIFS('9'!$E:$E,'9'!$A:$A,Año_Inicial+1,'9'!$B:$B,'12'!BN$4,'9'!$D:$D,"Conservación de suelos")</f>
        <v>0</v>
      </c>
      <c r="BP33" s="101">
        <f>((A2_A_L32*Conservación_A)+(A2_B_L32*Conservación_B)+(A2_C_L32*Conservación_C)+(A2_D_L32*Conservación_D)+(A2_Y_L32*Conservación_Y))*Inflación_2</f>
        <v>0</v>
      </c>
      <c r="BQ33" s="101">
        <f>SUMIFS('9'!$E:$E,'9'!$A:$A,Año_Inicial+1,'9'!$B:$B,'12'!BP$4,'9'!$D:$D,"Conservación de suelos")</f>
        <v>0</v>
      </c>
      <c r="BR33" s="101">
        <f>((A2_A_L33*Conservación_A)+(A2_B_L33*Conservación_B)+(A2_C_L33*Conservación_C)+(A2_D_L33*Conservación_D)+(A2_Y_L33*Conservación_Y))*Inflación_2</f>
        <v>0</v>
      </c>
      <c r="BS33" s="101">
        <f>SUMIFS('9'!$E:$E,'9'!$A:$A,Año_Inicial+1,'9'!$B:$B,'12'!BR$4,'9'!$D:$D,"Conservación de suelos")</f>
        <v>0</v>
      </c>
      <c r="BT33" s="101">
        <f>((A2_A_L34*Conservación_A)+(A2_B_L34*Conservación_B)+(A2_C_L34*Conservación_C)+(A2_D_L34*Conservación_D)+(A2_Y_L34*Conservación_Y))*Inflación_2</f>
        <v>0</v>
      </c>
      <c r="BU33" s="101">
        <f>SUMIFS('9'!$E:$E,'9'!$A:$A,Año_Inicial+1,'9'!$B:$B,'12'!BT$4,'9'!$D:$D,"Conservación de suelos")</f>
        <v>0</v>
      </c>
      <c r="BV33" s="101">
        <f>((A2_A_L35*Conservación_A)+(A2_B_L35*Conservación_B)+(A2_C_L35*Conservación_C)+(A2_D_L35*Conservación_D)+(A2_Y_L35*Conservación_Y))*Inflación_2</f>
        <v>0</v>
      </c>
      <c r="BW33" s="101">
        <f>SUMIFS('9'!$E:$E,'9'!$A:$A,Año_Inicial+1,'9'!$B:$B,'12'!BV$4,'9'!$D:$D,"Conservación de suelos")</f>
        <v>0</v>
      </c>
      <c r="BX33" s="101">
        <f>((A2_A_L36*Conservación_A)+(A2_B_L36*Conservación_B)+(A2_C_L36*Conservación_C)+(A2_D_L36*Conservación_D)+(A2_Y_L36*Conservación_Y))*Inflación_2</f>
        <v>0</v>
      </c>
      <c r="BY33" s="101">
        <f>SUMIFS('9'!$E:$E,'9'!$A:$A,Año_Inicial+1,'9'!$B:$B,'12'!BX$4,'9'!$D:$D,"Conservación de suelos")</f>
        <v>0</v>
      </c>
      <c r="BZ33" s="101">
        <f>((A2_A_L37*Conservación_A)+(A2_B_L37*Conservación_B)+(A2_C_L37*Conservación_C)+(A2_D_L37*Conservación_D)+(A2_Y_L37*Conservación_Y))*Inflación_2</f>
        <v>0</v>
      </c>
      <c r="CA33" s="101">
        <f>SUMIFS('9'!$E:$E,'9'!$A:$A,Año_Inicial+1,'9'!$B:$B,'12'!BZ$4,'9'!$D:$D,"Conservación de suelos")</f>
        <v>0</v>
      </c>
      <c r="CB33" s="101">
        <f>((A2_A_L38*Conservación_A)+(A2_B_L38*Conservación_B)+(A2_C_L38*Conservación_C)+(A2_D_L38*Conservación_D)+(A2_Y_L38*Conservación_Y))*Inflación_2</f>
        <v>0</v>
      </c>
      <c r="CC33" s="101">
        <f>SUMIFS('9'!$E:$E,'9'!$A:$A,Año_Inicial+1,'9'!$B:$B,'12'!CB$4,'9'!$D:$D,"Conservación de suelos")</f>
        <v>0</v>
      </c>
      <c r="CD33" s="101">
        <f>((A2_A_L39*Conservación_A)+(A2_B_L39*Conservación_B)+(A2_C_L39*Conservación_C)+(A2_D_L39*Conservación_D)+(A2_Y_L39*Conservación_Y))*Inflación_2</f>
        <v>0</v>
      </c>
      <c r="CE33" s="101">
        <f>SUMIFS('9'!$E:$E,'9'!$A:$A,Año_Inicial+1,'9'!$B:$B,'12'!CD$4,'9'!$D:$D,"Conservación de suelos")</f>
        <v>0</v>
      </c>
      <c r="CF33" s="101">
        <f>((A2_A_L40*Conservación_A)+(A2_B_L40*Conservación_B)+(A2_C_L40*Conservación_C)+(A2_D_L40*Conservación_D)+(A2_Y_L40*Conservación_Y))*Inflación_2</f>
        <v>0</v>
      </c>
      <c r="CG33" s="101">
        <f>SUMIFS('9'!$E:$E,'9'!$A:$A,Año_Inicial+1,'9'!$B:$B,'12'!CF$4,'9'!$D:$D,"Conservación de suelos")</f>
        <v>0</v>
      </c>
      <c r="CH33" s="473"/>
      <c r="CI33" s="101">
        <f>Plantas_A_A2*Conservación_A*Inflación_2</f>
        <v>0</v>
      </c>
      <c r="CJ33" s="101">
        <f>Plantas_B_A2*Conservación_B</f>
        <v>0</v>
      </c>
      <c r="CK33" s="101">
        <f>Plantas_C_A2*Conservación_C</f>
        <v>0</v>
      </c>
      <c r="CL33" s="101">
        <f>Plantas_D_A2*Conservación_D</f>
        <v>0</v>
      </c>
      <c r="CM33" s="101"/>
      <c r="CN33" s="101">
        <f>Plantas_Y_A2*Conservación_Y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7"/>
        <v>0</v>
      </c>
      <c r="C34" s="101">
        <f>SUMIFS('9'!$E:$E,'9'!$A:$A,Año_Inicial+1,'9'!$D:$D,"Otras actividades")</f>
        <v>0</v>
      </c>
      <c r="D34" s="100">
        <f t="shared" si="46"/>
        <v>0</v>
      </c>
      <c r="E34" s="490"/>
      <c r="F34" s="101">
        <f>((A2_A_L1*Otras_A)+(A2_B_L1*Otras_B)+(A2_C_L1*Otras_C)+(A2_D_L1*Otras_D)+(A2_Y_L1*Otras_Y))*Inflación_2</f>
        <v>0</v>
      </c>
      <c r="G34" s="101">
        <f>SUMIFS('9'!$E:$E,'9'!$A:$A,Año_Inicial+1,'9'!$B:$B,'12'!F$4,'9'!$D:$D,"Otras actividades")</f>
        <v>0</v>
      </c>
      <c r="H34" s="101">
        <f>((A2_A_L2*Otras_A)+(A2_B_L2*Otras_B)+(A2_C_L2*Otras_C)+(A2_D_L2*Otras_D)+(A2_Y_L2*Otras_Y))*Inflación_2</f>
        <v>0</v>
      </c>
      <c r="I34" s="101">
        <f>SUMIFS('9'!$E:$E,'9'!$A:$A,Año_Inicial+1,'9'!$B:$B,'12'!H$4,'9'!$D:$D,"Otras actividades")</f>
        <v>0</v>
      </c>
      <c r="J34" s="101">
        <f>((A2_A_L3*Otras_A)+(A2_B_L3*Otras_B)+(A2_C_L3*Otras_C)+(A2_D_L3*Otras_D)+(A2_Y_L3*Otras_Y))*Inflación_2</f>
        <v>0</v>
      </c>
      <c r="K34" s="101">
        <f>SUMIFS('9'!$E:$E,'9'!$A:$A,Año_Inicial+1,'9'!$B:$B,'12'!J$4,'9'!$D:$D,"Otras actividades")</f>
        <v>0</v>
      </c>
      <c r="L34" s="101">
        <f>((A2_A_L4*Otras_A)+(A2_B_L4*Otras_B)+(A2_C_L4*Otras_C)+(A2_D_L4*Otras_D)+(A2_Y_L4*Otras_Y))*Inflación_2</f>
        <v>0</v>
      </c>
      <c r="M34" s="101">
        <f>SUMIFS('9'!$E:$E,'9'!$A:$A,Año_Inicial+1,'9'!$B:$B,'12'!L$4,'9'!$D:$D,"Otras actividades")</f>
        <v>0</v>
      </c>
      <c r="N34" s="101">
        <f>((A2_A_L5*Otras_A)+(A2_B_L5*Otras_B)+(A2_C_L5*Otras_C)+(A2_D_L5*Otras_D)+(A2_Y_L5*Otras_Y))*Inflación_2</f>
        <v>0</v>
      </c>
      <c r="O34" s="101">
        <f>SUMIFS('9'!$E:$E,'9'!$A:$A,Año_Inicial+1,'9'!$B:$B,'12'!N$4,'9'!$D:$D,"Otras actividades")</f>
        <v>0</v>
      </c>
      <c r="P34" s="101">
        <f>((A2_A_L6*Otras_A)+(A2_B_L6*Otras_B)+(A2_C_L6*Otras_C)+(A2_D_L6*Otras_D)+(A2_Y_L6*Otras_Y))*Inflación_2</f>
        <v>0</v>
      </c>
      <c r="Q34" s="101">
        <f>SUMIFS('9'!$E:$E,'9'!$A:$A,Año_Inicial+1,'9'!$B:$B,'12'!P$4,'9'!$D:$D,"Otras actividades")</f>
        <v>0</v>
      </c>
      <c r="R34" s="101">
        <f>((A2_A_L7*Otras_A)+(A2_B_L7*Otras_B)+(A2_C_L7*Otras_C)+(A2_D_L7*Otras_D)+(A2_Y_L7*Otras_Y))*Inflación_2</f>
        <v>0</v>
      </c>
      <c r="S34" s="101">
        <f>SUMIFS('9'!$E:$E,'9'!$A:$A,Año_Inicial+1,'9'!$B:$B,'12'!R$4,'9'!$D:$D,"Otras actividades")</f>
        <v>0</v>
      </c>
      <c r="T34" s="101">
        <f>((A2_A_L8*Otras_A)+(A2_B_L8*Otras_B)+(A2_C_L8*Otras_C)+(A2_D_L8*Otras_D)+(A2_Y_L8*Otras_Y))*Inflación_2</f>
        <v>0</v>
      </c>
      <c r="U34" s="101">
        <f>SUMIFS('9'!$E:$E,'9'!$A:$A,Año_Inicial+1,'9'!$B:$B,'12'!T$4,'9'!$D:$D,"Otras actividades")</f>
        <v>0</v>
      </c>
      <c r="V34" s="101">
        <f>((A2_A_L9*Otras_A)+(A2_B_L9*Otras_B)+(A2_C_L9*Otras_C)+(A2_D_L9*Otras_D)+(A2_Y_L9*Otras_Y))*Inflación_2</f>
        <v>0</v>
      </c>
      <c r="W34" s="101">
        <f>SUMIFS('9'!$E:$E,'9'!$A:$A,Año_Inicial+1,'9'!$B:$B,'12'!V$4,'9'!$D:$D,"Otras actividades")</f>
        <v>0</v>
      </c>
      <c r="X34" s="101">
        <f>((A2_A_L10*Otras_A)+(A2_B_L10*Otras_B)+(A2_C_L10*Otras_C)+(A2_D_L10*Otras_D)+(A2_Y_L10*Otras_Y))*Inflación_2</f>
        <v>0</v>
      </c>
      <c r="Y34" s="101">
        <f>SUMIFS('9'!$E:$E,'9'!$A:$A,Año_Inicial+1,'9'!$B:$B,'12'!X$4,'9'!$D:$D,"Otras actividades")</f>
        <v>0</v>
      </c>
      <c r="Z34" s="101">
        <f>((A2_A_L11*Otras_A)+(A2_B_L11*Otras_B)+(A2_C_L11*Otras_C)+(A2_D_L11*Otras_D)+(A2_Y_L11*Otras_Y))*Inflación_2</f>
        <v>0</v>
      </c>
      <c r="AA34" s="101">
        <f>SUMIFS('9'!$E:$E,'9'!$A:$A,Año_Inicial+1,'9'!$B:$B,'12'!Z$4,'9'!$D:$D,"Otras actividades")</f>
        <v>0</v>
      </c>
      <c r="AB34" s="101">
        <f>((A2_A_L12*Otras_A)+(A2_B_L12*Otras_B)+(A2_C_L12*Otras_C)+(A2_D_L12*Otras_D)+(A2_Y_L12*Otras_Y))*Inflación_2</f>
        <v>0</v>
      </c>
      <c r="AC34" s="101">
        <f>SUMIFS('9'!$E:$E,'9'!$A:$A,Año_Inicial+1,'9'!$B:$B,'12'!AB$4,'9'!$D:$D,"Otras actividades")</f>
        <v>0</v>
      </c>
      <c r="AD34" s="101">
        <f>((A2_A_L13*Otras_A)+(A2_B_L13*Otras_B)+(A2_C_L13*Otras_C)+(A2_D_L13*Otras_D)+(A2_Y_L13*Otras_Y))*Inflación_2</f>
        <v>0</v>
      </c>
      <c r="AE34" s="101">
        <f>SUMIFS('9'!$E:$E,'9'!$A:$A,Año_Inicial+1,'9'!$B:$B,'12'!AD$4,'9'!$D:$D,"Otras actividades")</f>
        <v>0</v>
      </c>
      <c r="AF34" s="101">
        <f>((A2_A_L14*Otras_A)+(A2_B_L14*Otras_B)+(A2_C_L14*Otras_C)+(A2_D_L14*Otras_D)+(A2_Y_L14*Otras_Y))*Inflación_2</f>
        <v>0</v>
      </c>
      <c r="AG34" s="101">
        <f>SUMIFS('9'!$E:$E,'9'!$A:$A,Año_Inicial+1,'9'!$B:$B,'12'!AF$4,'9'!$D:$D,"Otras actividades")</f>
        <v>0</v>
      </c>
      <c r="AH34" s="101">
        <f>((A2_A_L15*Otras_A)+(A2_B_L15*Otras_B)+(A2_C_L15*Otras_C)+(A2_D_L15*Otras_D)+(A2_Y_L15*Otras_Y))*Inflación_2</f>
        <v>0</v>
      </c>
      <c r="AI34" s="101">
        <f>SUMIFS('9'!$E:$E,'9'!$A:$A,Año_Inicial+1,'9'!$B:$B,'12'!AH$4,'9'!$D:$D,"Otras actividades")</f>
        <v>0</v>
      </c>
      <c r="AJ34" s="101">
        <f>((A2_A_L16*Otras_A)+(A2_B_L16*Otras_B)+(A2_C_L16*Otras_C)+(A2_D_L16*Otras_D)+(A2_Y_L16*Otras_Y))*Inflación_2</f>
        <v>0</v>
      </c>
      <c r="AK34" s="101">
        <f>SUMIFS('9'!$E:$E,'9'!$A:$A,Año_Inicial+1,'9'!$B:$B,'12'!AJ$4,'9'!$D:$D,"Otras actividades")</f>
        <v>0</v>
      </c>
      <c r="AL34" s="101">
        <f>((A2_A_L17*Otras_A)+(A2_B_L17*Otras_B)+(A2_C_L17*Otras_C)+(A2_D_L17*Otras_D)+(A2_Y_L17*Otras_Y))*Inflación_2</f>
        <v>0</v>
      </c>
      <c r="AM34" s="101">
        <f>SUMIFS('9'!$E:$E,'9'!$A:$A,Año_Inicial+1,'9'!$B:$B,'12'!AL$4,'9'!$D:$D,"Otras actividades")</f>
        <v>0</v>
      </c>
      <c r="AN34" s="101">
        <f>((A2_A_L18*Otras_A)+(A2_B_L18*Otras_B)+(A2_C_L18*Otras_C)+(A2_D_L18*Otras_D)+(A2_Y_L18*Otras_Y))*Inflación_2</f>
        <v>0</v>
      </c>
      <c r="AO34" s="101">
        <f>SUMIFS('9'!$E:$E,'9'!$A:$A,Año_Inicial+1,'9'!$B:$B,'12'!AN$4,'9'!$D:$D,"Otras actividades")</f>
        <v>0</v>
      </c>
      <c r="AP34" s="101">
        <f>((A2_A_L19*Otras_A)+(A2_B_L19*Otras_B)+(A2_C_L19*Otras_C)+(A2_D_L19*Otras_D)+(A2_Y_L19*Otras_Y))*Inflación_2</f>
        <v>0</v>
      </c>
      <c r="AQ34" s="101">
        <f>SUMIFS('9'!$E:$E,'9'!$A:$A,Año_Inicial+1,'9'!$B:$B,'12'!AP$4,'9'!$D:$D,"Otras actividades")</f>
        <v>0</v>
      </c>
      <c r="AR34" s="101">
        <f>((A2_A_L20*Otras_A)+(A2_B_L20*Otras_B)+(A2_C_L20*Otras_C)+(A2_D_L20*Otras_D)+(A2_Y_L20*Otras_Y))*Inflación_2</f>
        <v>0</v>
      </c>
      <c r="AS34" s="101">
        <f>SUMIFS('9'!$E:$E,'9'!$A:$A,Año_Inicial+1,'9'!$B:$B,'12'!AR$4,'9'!$D:$D,"Otras actividades")</f>
        <v>0</v>
      </c>
      <c r="AT34" s="101">
        <f>((A2_A_L21*Otras_A)+(A2_B_L21*Otras_B)+(A2_C_L21*Otras_C)+(A2_D_L21*Otras_D)+(A2_Y_L21*Otras_Y))*Inflación_2</f>
        <v>0</v>
      </c>
      <c r="AU34" s="101">
        <f>SUMIFS('9'!$E:$E,'9'!$A:$A,Año_Inicial+1,'9'!$B:$B,'12'!AT$4,'9'!$D:$D,"Otras actividades")</f>
        <v>0</v>
      </c>
      <c r="AV34" s="101">
        <f>((A2_A_L22*Otras_A)+(A2_B_L22*Otras_B)+(A2_C_L22*Otras_C)+(A2_D_L22*Otras_D)+(A2_Y_L22*Otras_Y))*Inflación_2</f>
        <v>0</v>
      </c>
      <c r="AW34" s="101">
        <f>SUMIFS('9'!$E:$E,'9'!$A:$A,Año_Inicial+1,'9'!$B:$B,'12'!AV$4,'9'!$D:$D,"Otras actividades")</f>
        <v>0</v>
      </c>
      <c r="AX34" s="101">
        <f>((A2_A_L23*Otras_A)+(A2_B_L23*Otras_B)+(A2_C_L23*Otras_C)+(A2_D_L23*Otras_D)+(A2_Y_L23*Otras_Y))*Inflación_2</f>
        <v>0</v>
      </c>
      <c r="AY34" s="101">
        <f>SUMIFS('9'!$E:$E,'9'!$A:$A,Año_Inicial+1,'9'!$B:$B,'12'!AX$4,'9'!$D:$D,"Otras actividades")</f>
        <v>0</v>
      </c>
      <c r="AZ34" s="101">
        <f>((A2_A_L24*Otras_A)+(A2_B_L24*Otras_B)+(A2_C_L24*Otras_C)+(A2_D_L24*Otras_D)+(A2_Y_L24*Otras_Y))*Inflación_2</f>
        <v>0</v>
      </c>
      <c r="BA34" s="101">
        <f>SUMIFS('9'!$E:$E,'9'!$A:$A,Año_Inicial+1,'9'!$B:$B,'12'!AZ$4,'9'!$D:$D,"Otras actividades")</f>
        <v>0</v>
      </c>
      <c r="BB34" s="101">
        <f>((A2_A_L25*Otras_A)+(A2_B_L25*Otras_B)+(A2_C_L25*Otras_C)+(A2_D_L25*Otras_D)+(A2_Y_L25*Otras_Y))*Inflación_2</f>
        <v>0</v>
      </c>
      <c r="BC34" s="101">
        <f>SUMIFS('9'!$E:$E,'9'!$A:$A,Año_Inicial+1,'9'!$B:$B,'12'!BB$4,'9'!$D:$D,"Otras actividades")</f>
        <v>0</v>
      </c>
      <c r="BD34" s="101">
        <f>((A2_A_L26*Otras_A)+(A2_B_L26*Otras_B)+(A2_C_L26*Otras_C)+(A2_D_L26*Otras_D)+(A2_Y_L26*Otras_Y))*Inflación_2</f>
        <v>0</v>
      </c>
      <c r="BE34" s="101">
        <f>SUMIFS('9'!$E:$E,'9'!$A:$A,Año_Inicial+1,'9'!$B:$B,'12'!BD$4,'9'!$D:$D,"Otras actividades")</f>
        <v>0</v>
      </c>
      <c r="BF34" s="101">
        <f>((A2_A_L27*Otras_A)+(A2_B_L27*Otras_B)+(A2_C_L27*Otras_C)+(A2_D_L27*Otras_D)+(A2_Y_L27*Otras_Y))*Inflación_2</f>
        <v>0</v>
      </c>
      <c r="BG34" s="101">
        <f>SUMIFS('9'!$E:$E,'9'!$A:$A,Año_Inicial+1,'9'!$B:$B,'12'!BF$4,'9'!$D:$D,"Otras actividades")</f>
        <v>0</v>
      </c>
      <c r="BH34" s="101">
        <f>((A2_A_L28*Otras_A)+(A2_B_L28*Otras_B)+(A2_C_L28*Otras_C)+(A2_D_L28*Otras_D)+(A2_Y_L28*Otras_Y))*Inflación_2</f>
        <v>0</v>
      </c>
      <c r="BI34" s="101">
        <f>SUMIFS('9'!$E:$E,'9'!$A:$A,Año_Inicial+1,'9'!$B:$B,'12'!BH$4,'9'!$D:$D,"Otras actividades")</f>
        <v>0</v>
      </c>
      <c r="BJ34" s="101">
        <f>((A2_A_L29*Otras_A)+(A2_B_L29*Otras_B)+(A2_C_L29*Otras_C)+(A2_D_L29*Otras_D)+(A2_Y_L29*Otras_Y))*Inflación_2</f>
        <v>0</v>
      </c>
      <c r="BK34" s="101">
        <f>SUMIFS('9'!$E:$E,'9'!$A:$A,Año_Inicial+1,'9'!$B:$B,'12'!BJ$4,'9'!$D:$D,"Otras actividades")</f>
        <v>0</v>
      </c>
      <c r="BL34" s="101">
        <f>((A2_A_L30*Otras_A)+(A2_B_L30*Otras_B)+(A2_C_L30*Otras_C)+(A2_D_L30*Otras_D)+(A2_Y_L30*Otras_Y))*Inflación_2</f>
        <v>0</v>
      </c>
      <c r="BM34" s="101">
        <f>SUMIFS('9'!$E:$E,'9'!$A:$A,Año_Inicial+1,'9'!$B:$B,'12'!BL$4,'9'!$D:$D,"Otras actividades")</f>
        <v>0</v>
      </c>
      <c r="BN34" s="101">
        <f>((A2_A_L31*Otras_A)+(A2_B_L31*Otras_B)+(A2_C_L31*Otras_C)+(A2_D_L31*Otras_D)+(A2_Y_L31*Otras_Y))*Inflación_2</f>
        <v>0</v>
      </c>
      <c r="BO34" s="101">
        <f>SUMIFS('9'!$E:$E,'9'!$A:$A,Año_Inicial+1,'9'!$B:$B,'12'!BN$4,'9'!$D:$D,"Otras actividades")</f>
        <v>0</v>
      </c>
      <c r="BP34" s="101">
        <f>((A2_A_L32*Otras_A)+(A2_B_L32*Otras_B)+(A2_C_L32*Otras_C)+(A2_D_L32*Otras_D)+(A2_Y_L32*Otras_Y))*Inflación_2</f>
        <v>0</v>
      </c>
      <c r="BQ34" s="101">
        <f>SUMIFS('9'!$E:$E,'9'!$A:$A,Año_Inicial+1,'9'!$B:$B,'12'!BP$4,'9'!$D:$D,"Otras actividades")</f>
        <v>0</v>
      </c>
      <c r="BR34" s="101">
        <f>((A2_A_L33*Otras_A)+(A2_B_L33*Otras_B)+(A2_C_L33*Otras_C)+(A2_D_L33*Otras_D)+(A2_Y_L33*Otras_Y))*Inflación_2</f>
        <v>0</v>
      </c>
      <c r="BS34" s="101">
        <f>SUMIFS('9'!$E:$E,'9'!$A:$A,Año_Inicial+1,'9'!$B:$B,'12'!BR$4,'9'!$D:$D,"Otras actividades")</f>
        <v>0</v>
      </c>
      <c r="BT34" s="101">
        <f>((A2_A_L34*Otras_A)+(A2_B_L34*Otras_B)+(A2_C_L34*Otras_C)+(A2_D_L34*Otras_D)+(A2_Y_L34*Otras_Y))*Inflación_2</f>
        <v>0</v>
      </c>
      <c r="BU34" s="101">
        <f>SUMIFS('9'!$E:$E,'9'!$A:$A,Año_Inicial+1,'9'!$B:$B,'12'!BT$4,'9'!$D:$D,"Otras actividades")</f>
        <v>0</v>
      </c>
      <c r="BV34" s="101">
        <f>((A2_A_L35*Otras_A)+(A2_B_L35*Otras_B)+(A2_C_L35*Otras_C)+(A2_D_L35*Otras_D)+(A2_Y_L35*Otras_Y))*Inflación_2</f>
        <v>0</v>
      </c>
      <c r="BW34" s="101">
        <f>SUMIFS('9'!$E:$E,'9'!$A:$A,Año_Inicial+1,'9'!$B:$B,'12'!BV$4,'9'!$D:$D,"Otras actividades")</f>
        <v>0</v>
      </c>
      <c r="BX34" s="101">
        <f>((A2_A_L36*Otras_A)+(A2_B_L36*Otras_B)+(A2_C_L36*Otras_C)+(A2_D_L36*Otras_D)+(A2_Y_L36*Otras_Y))*Inflación_2</f>
        <v>0</v>
      </c>
      <c r="BY34" s="101">
        <f>SUMIFS('9'!$E:$E,'9'!$A:$A,Año_Inicial+1,'9'!$B:$B,'12'!BX$4,'9'!$D:$D,"Otras actividades")</f>
        <v>0</v>
      </c>
      <c r="BZ34" s="101">
        <f>((A2_A_L37*Otras_A)+(A2_B_L37*Otras_B)+(A2_C_L37*Otras_C)+(A2_D_L37*Otras_D)+(A2_Y_L37*Otras_Y))*Inflación_2</f>
        <v>0</v>
      </c>
      <c r="CA34" s="101">
        <f>SUMIFS('9'!$E:$E,'9'!$A:$A,Año_Inicial+1,'9'!$B:$B,'12'!BZ$4,'9'!$D:$D,"Otras actividades")</f>
        <v>0</v>
      </c>
      <c r="CB34" s="101">
        <f>((A2_A_L38*Otras_A)+(A2_B_L38*Otras_B)+(A2_C_L38*Otras_C)+(A2_D_L38*Otras_D)+(A2_Y_L38*Otras_Y))*Inflación_2</f>
        <v>0</v>
      </c>
      <c r="CC34" s="101">
        <f>SUMIFS('9'!$E:$E,'9'!$A:$A,Año_Inicial+1,'9'!$B:$B,'12'!CB$4,'9'!$D:$D,"Otras actividades")</f>
        <v>0</v>
      </c>
      <c r="CD34" s="101">
        <f>((A2_A_L39*Otras_A)+(A2_B_L39*Otras_B)+(A2_C_L39*Otras_C)+(A2_D_L39*Otras_D)+(A2_Y_L39*Otras_Y))*Inflación_2</f>
        <v>0</v>
      </c>
      <c r="CE34" s="101">
        <f>SUMIFS('9'!$E:$E,'9'!$A:$A,Año_Inicial+1,'9'!$B:$B,'12'!CD$4,'9'!$D:$D,"Otras actividades")</f>
        <v>0</v>
      </c>
      <c r="CF34" s="101">
        <f>((A2_A_L40*Otras_A)+(A2_B_L40*Otras_B)+(A2_C_L40*Otras_C)+(A2_D_L40*Otras_D)+(A2_Y_L40*Otras_Y))*Inflación_2</f>
        <v>0</v>
      </c>
      <c r="CG34" s="101">
        <f>SUMIFS('9'!$E:$E,'9'!$A:$A,Año_Inicial+1,'9'!$B:$B,'12'!CF$4,'9'!$D:$D,"Otras actividades")</f>
        <v>0</v>
      </c>
      <c r="CH34" s="473"/>
      <c r="CI34" s="101">
        <f>Plantas_A_A2*Otras_A*Inflación_2</f>
        <v>0</v>
      </c>
      <c r="CJ34" s="101">
        <f>Plantas_B_A2*Otras_B</f>
        <v>0</v>
      </c>
      <c r="CK34" s="101">
        <f>Plantas_C_A2*Otras_C</f>
        <v>0</v>
      </c>
      <c r="CL34" s="101">
        <f>Plantas_D_A2*Otras_D</f>
        <v>0</v>
      </c>
      <c r="CM34" s="101"/>
      <c r="CN34" s="101">
        <f>Plantas_Y_A2*Otras_Y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7"/>
        <v>0</v>
      </c>
      <c r="C35" s="101">
        <f>SUMIFS('9'!$E:$E,'9'!$A:$A,Año_Inicial+1,'9'!$D:$D,"Coadyuvantes")</f>
        <v>0</v>
      </c>
      <c r="D35" s="100">
        <f t="shared" si="46"/>
        <v>0</v>
      </c>
      <c r="E35" s="490"/>
      <c r="F35" s="101">
        <f>((A2_A_L1*Coad_A)+(A2_B_L1*Coad_B)+(A2_C_L1*Coad_C)+(A2_D_L1*Coad_D)+(A2_Y_L1*Coad_Y))*Inflación_2</f>
        <v>0</v>
      </c>
      <c r="G35" s="101">
        <f>SUMIFS('9'!$E:$E,'9'!$A:$A,Año_Inicial+1,'9'!$B:$B,'12'!F$4,'9'!$D:$D,"Coadyuvantes")</f>
        <v>0</v>
      </c>
      <c r="H35" s="101">
        <f>((A2_A_L2*Coad_A)+(A2_B_L2*Coad_B)+(A2_C_L2*Coad_C)+(A2_D_L2*Coad_D)+(A2_Y_L2*Coad_Y))*Inflación_2</f>
        <v>0</v>
      </c>
      <c r="I35" s="101">
        <f>SUMIFS('9'!$E:$E,'9'!$A:$A,Año_Inicial+1,'9'!$B:$B,'12'!H$4,'9'!$D:$D,"Coadyuvantes")</f>
        <v>0</v>
      </c>
      <c r="J35" s="101">
        <f>((A2_A_L3*Coad_A)+(A2_B_L3*Coad_B)+(A2_C_L3*Coad_C)+(A2_D_L3*Coad_D)+(A2_Y_L3*Coad_Y))*Inflación_2</f>
        <v>0</v>
      </c>
      <c r="K35" s="101">
        <f>SUMIFS('9'!$E:$E,'9'!$A:$A,Año_Inicial+1,'9'!$B:$B,'12'!J$4,'9'!$D:$D,"Coadyuvantes")</f>
        <v>0</v>
      </c>
      <c r="L35" s="101">
        <f>((A2_A_L4*Coad_A)+(A2_B_L4*Coad_B)+(A2_C_L4*Coad_C)+(A2_D_L4*Coad_D)+(A2_Y_L4*Coad_Y))*Inflación_2</f>
        <v>0</v>
      </c>
      <c r="M35" s="101">
        <f>SUMIFS('9'!$E:$E,'9'!$A:$A,Año_Inicial+1,'9'!$B:$B,'12'!L$4,'9'!$D:$D,"Coadyuvantes")</f>
        <v>0</v>
      </c>
      <c r="N35" s="101">
        <f>((A2_A_L5*Coad_A)+(A2_B_L5*Coad_B)+(A2_C_L5*Coad_C)+(A2_D_L5*Coad_D)+(A2_Y_L5*Coad_Y))*Inflación_2</f>
        <v>0</v>
      </c>
      <c r="O35" s="101">
        <f>SUMIFS('9'!$E:$E,'9'!$A:$A,Año_Inicial+1,'9'!$B:$B,'12'!N$4,'9'!$D:$D,"Coadyuvantes")</f>
        <v>0</v>
      </c>
      <c r="P35" s="101">
        <f>((A2_A_L6*Coad_A)+(A2_B_L6*Coad_B)+(A2_C_L6*Coad_C)+(A2_D_L6*Coad_D)+(A2_Y_L6*Coad_Y))*Inflación_2</f>
        <v>0</v>
      </c>
      <c r="Q35" s="101">
        <f>SUMIFS('9'!$E:$E,'9'!$A:$A,Año_Inicial+1,'9'!$B:$B,'12'!P$4,'9'!$D:$D,"Coadyuvantes")</f>
        <v>0</v>
      </c>
      <c r="R35" s="101">
        <f>((A2_A_L7*Coad_A)+(A2_B_L7*Coad_B)+(A2_C_L7*Coad_C)+(A2_D_L7*Coad_D)+(A2_Y_L7*Coad_Y))*Inflación_2</f>
        <v>0</v>
      </c>
      <c r="S35" s="101">
        <f>SUMIFS('9'!$E:$E,'9'!$A:$A,Año_Inicial+1,'9'!$B:$B,'12'!R$4,'9'!$D:$D,"Coadyuvantes")</f>
        <v>0</v>
      </c>
      <c r="T35" s="101">
        <f>((A2_A_L8*Coad_A)+(A2_B_L8*Coad_B)+(A2_C_L8*Coad_C)+(A2_D_L8*Coad_D)+(A2_Y_L8*Coad_Y))*Inflación_2</f>
        <v>0</v>
      </c>
      <c r="U35" s="101">
        <f>SUMIFS('9'!$E:$E,'9'!$A:$A,Año_Inicial+1,'9'!$B:$B,'12'!T$4,'9'!$D:$D,"Coadyuvantes")</f>
        <v>0</v>
      </c>
      <c r="V35" s="101">
        <f>((A2_A_L9*Coad_A)+(A2_B_L9*Coad_B)+(A2_C_L9*Coad_C)+(A2_D_L9*Coad_D)+(A2_Y_L9*Coad_Y))*Inflación_2</f>
        <v>0</v>
      </c>
      <c r="W35" s="101">
        <f>SUMIFS('9'!$E:$E,'9'!$A:$A,Año_Inicial+1,'9'!$B:$B,'12'!V$4,'9'!$D:$D,"Coadyuvantes")</f>
        <v>0</v>
      </c>
      <c r="X35" s="101">
        <f>((A2_A_L10*Coad_A)+(A2_B_L10*Coad_B)+(A2_C_L10*Coad_C)+(A2_D_L10*Coad_D)+(A2_Y_L10*Coad_Y))*Inflación_2</f>
        <v>0</v>
      </c>
      <c r="Y35" s="101">
        <f>SUMIFS('9'!$E:$E,'9'!$A:$A,Año_Inicial+1,'9'!$B:$B,'12'!X$4,'9'!$D:$D,"Coadyuvantes")</f>
        <v>0</v>
      </c>
      <c r="Z35" s="101">
        <f>((A2_A_L11*Coad_A)+(A2_B_L11*Coad_B)+(A2_C_L11*Coad_C)+(A2_D_L11*Coad_D)+(A2_Y_L11*Coad_Y))*Inflación_2</f>
        <v>0</v>
      </c>
      <c r="AA35" s="101">
        <f>SUMIFS('9'!$E:$E,'9'!$A:$A,Año_Inicial+1,'9'!$B:$B,'12'!Z$4,'9'!$D:$D,"Coadyuvantes")</f>
        <v>0</v>
      </c>
      <c r="AB35" s="101">
        <f>((A2_A_L12*Coad_A)+(A2_B_L12*Coad_B)+(A2_C_L12*Coad_C)+(A2_D_L12*Coad_D)+(A2_Y_L12*Coad_Y))*Inflación_2</f>
        <v>0</v>
      </c>
      <c r="AC35" s="101">
        <f>SUMIFS('9'!$E:$E,'9'!$A:$A,Año_Inicial+1,'9'!$B:$B,'12'!AB$4,'9'!$D:$D,"Coadyuvantes")</f>
        <v>0</v>
      </c>
      <c r="AD35" s="101">
        <f>((A2_A_L13*Coad_A)+(A2_B_L13*Coad_B)+(A2_C_L13*Coad_C)+(A2_D_L13*Coad_D)+(A2_Y_L13*Coad_Y))*Inflación_2</f>
        <v>0</v>
      </c>
      <c r="AE35" s="101">
        <f>SUMIFS('9'!$E:$E,'9'!$A:$A,Año_Inicial+1,'9'!$B:$B,'12'!AD$4,'9'!$D:$D,"Coadyuvantes")</f>
        <v>0</v>
      </c>
      <c r="AF35" s="101">
        <f>((A2_A_L14*Coad_A)+(A2_B_L14*Coad_B)+(A2_C_L14*Coad_C)+(A2_D_L14*Coad_D)+(A2_Y_L14*Coad_Y))*Inflación_2</f>
        <v>0</v>
      </c>
      <c r="AG35" s="101">
        <f>SUMIFS('9'!$E:$E,'9'!$A:$A,Año_Inicial+1,'9'!$B:$B,'12'!AF$4,'9'!$D:$D,"Coadyuvantes")</f>
        <v>0</v>
      </c>
      <c r="AH35" s="101">
        <f>((A2_A_L15*Coad_A)+(A2_B_L15*Coad_B)+(A2_C_L15*Coad_C)+(A2_D_L15*Coad_D)+(A2_Y_L15*Coad_Y))*Inflación_2</f>
        <v>0</v>
      </c>
      <c r="AI35" s="101">
        <f>SUMIFS('9'!$E:$E,'9'!$A:$A,Año_Inicial+1,'9'!$B:$B,'12'!AH$4,'9'!$D:$D,"Coadyuvantes")</f>
        <v>0</v>
      </c>
      <c r="AJ35" s="101">
        <f>((A2_A_L16*Coad_A)+(A2_B_L16*Coad_B)+(A2_C_L16*Coad_C)+(A2_D_L16*Coad_D)+(A2_Y_L16*Coad_Y))*Inflación_2</f>
        <v>0</v>
      </c>
      <c r="AK35" s="101">
        <f>SUMIFS('9'!$E:$E,'9'!$A:$A,Año_Inicial+1,'9'!$B:$B,'12'!AJ$4,'9'!$D:$D,"Coadyuvantes")</f>
        <v>0</v>
      </c>
      <c r="AL35" s="101">
        <f>((A2_A_L17*Coad_A)+(A2_B_L17*Coad_B)+(A2_C_L17*Coad_C)+(A2_D_L17*Coad_D)+(A2_Y_L17*Coad_Y))*Inflación_2</f>
        <v>0</v>
      </c>
      <c r="AM35" s="101">
        <f>SUMIFS('9'!$E:$E,'9'!$A:$A,Año_Inicial+1,'9'!$B:$B,'12'!AL$4,'9'!$D:$D,"Coadyuvantes")</f>
        <v>0</v>
      </c>
      <c r="AN35" s="101">
        <f>((A2_A_L18*Coad_A)+(A2_B_L18*Coad_B)+(A2_C_L18*Coad_C)+(A2_D_L18*Coad_D)+(A2_Y_L18*Coad_Y))*Inflación_2</f>
        <v>0</v>
      </c>
      <c r="AO35" s="101">
        <f>SUMIFS('9'!$E:$E,'9'!$A:$A,Año_Inicial+1,'9'!$B:$B,'12'!AN$4,'9'!$D:$D,"Coadyuvantes")</f>
        <v>0</v>
      </c>
      <c r="AP35" s="101">
        <f>((A2_A_L19*Coad_A)+(A2_B_L19*Coad_B)+(A2_C_L19*Coad_C)+(A2_D_L19*Coad_D)+(A2_Y_L19*Coad_Y))*Inflación_2</f>
        <v>0</v>
      </c>
      <c r="AQ35" s="101">
        <f>SUMIFS('9'!$E:$E,'9'!$A:$A,Año_Inicial+1,'9'!$B:$B,'12'!AP$4,'9'!$D:$D,"Coadyuvantes")</f>
        <v>0</v>
      </c>
      <c r="AR35" s="101">
        <f>((A2_A_L20*Coad_A)+(A2_B_L20*Coad_B)+(A2_C_L20*Coad_C)+(A2_D_L20*Coad_D)+(A2_Y_L20*Coad_Y))*Inflación_2</f>
        <v>0</v>
      </c>
      <c r="AS35" s="101">
        <f>SUMIFS('9'!$E:$E,'9'!$A:$A,Año_Inicial+1,'9'!$B:$B,'12'!AR$4,'9'!$D:$D,"Coadyuvantes")</f>
        <v>0</v>
      </c>
      <c r="AT35" s="101">
        <f>((A2_A_L21*Coad_A)+(A2_B_L21*Coad_B)+(A2_C_L21*Coad_C)+(A2_D_L21*Coad_D)+(A2_Y_L21*Coad_Y))*Inflación_2</f>
        <v>0</v>
      </c>
      <c r="AU35" s="101">
        <f>SUMIFS('9'!$E:$E,'9'!$A:$A,Año_Inicial+1,'9'!$B:$B,'12'!AT$4,'9'!$D:$D,"Coadyuvantes")</f>
        <v>0</v>
      </c>
      <c r="AV35" s="101">
        <f>((A2_A_L22*Coad_A)+(A2_B_L22*Coad_B)+(A2_C_L22*Coad_C)+(A2_D_L22*Coad_D)+(A2_Y_L22*Coad_Y))*Inflación_2</f>
        <v>0</v>
      </c>
      <c r="AW35" s="101">
        <f>SUMIFS('9'!$E:$E,'9'!$A:$A,Año_Inicial+1,'9'!$B:$B,'12'!AV$4,'9'!$D:$D,"Coadyuvantes")</f>
        <v>0</v>
      </c>
      <c r="AX35" s="101">
        <f>((A2_A_L23*Coad_A)+(A2_B_L23*Coad_B)+(A2_C_L23*Coad_C)+(A2_D_L23*Coad_D)+(A2_Y_L23*Coad_Y))*Inflación_2</f>
        <v>0</v>
      </c>
      <c r="AY35" s="101">
        <f>SUMIFS('9'!$E:$E,'9'!$A:$A,Año_Inicial+1,'9'!$B:$B,'12'!AX$4,'9'!$D:$D,"Coadyuvantes")</f>
        <v>0</v>
      </c>
      <c r="AZ35" s="101">
        <f>((A2_A_L24*Coad_A)+(A2_B_L24*Coad_B)+(A2_C_L24*Coad_C)+(A2_D_L24*Coad_D)+(A2_Y_L24*Coad_Y))*Inflación_2</f>
        <v>0</v>
      </c>
      <c r="BA35" s="101">
        <f>SUMIFS('9'!$E:$E,'9'!$A:$A,Año_Inicial+1,'9'!$B:$B,'12'!AZ$4,'9'!$D:$D,"Coadyuvantes")</f>
        <v>0</v>
      </c>
      <c r="BB35" s="101">
        <f>((A2_A_L25*Coad_A)+(A2_B_L25*Coad_B)+(A2_C_L25*Coad_C)+(A2_D_L25*Coad_D)+(A2_Y_L25*Coad_Y))*Inflación_2</f>
        <v>0</v>
      </c>
      <c r="BC35" s="101">
        <f>SUMIFS('9'!$E:$E,'9'!$A:$A,Año_Inicial+1,'9'!$B:$B,'12'!BB$4,'9'!$D:$D,"Coadyuvantes")</f>
        <v>0</v>
      </c>
      <c r="BD35" s="101">
        <f>((A2_A_L26*Coad_A)+(A2_B_L26*Coad_B)+(A2_C_L26*Coad_C)+(A2_D_L26*Coad_D)+(A2_Y_L26*Coad_Y))*Inflación_2</f>
        <v>0</v>
      </c>
      <c r="BE35" s="101">
        <f>SUMIFS('9'!$E:$E,'9'!$A:$A,Año_Inicial+1,'9'!$B:$B,'12'!BD$4,'9'!$D:$D,"Coadyuvantes")</f>
        <v>0</v>
      </c>
      <c r="BF35" s="101">
        <f>((A2_A_L27*Coad_A)+(A2_B_L27*Coad_B)+(A2_C_L27*Coad_C)+(A2_D_L27*Coad_D)+(A2_Y_L27*Coad_Y))*Inflación_2</f>
        <v>0</v>
      </c>
      <c r="BG35" s="101">
        <f>SUMIFS('9'!$E:$E,'9'!$A:$A,Año_Inicial+1,'9'!$B:$B,'12'!BF$4,'9'!$D:$D,"Coadyuvantes")</f>
        <v>0</v>
      </c>
      <c r="BH35" s="101">
        <f>((A2_A_L28*Coad_A)+(A2_B_L28*Coad_B)+(A2_C_L28*Coad_C)+(A2_D_L28*Coad_D)+(A2_Y_L28*Coad_Y))*Inflación_2</f>
        <v>0</v>
      </c>
      <c r="BI35" s="101">
        <f>SUMIFS('9'!$E:$E,'9'!$A:$A,Año_Inicial+1,'9'!$B:$B,'12'!BH$4,'9'!$D:$D,"Coadyuvantes")</f>
        <v>0</v>
      </c>
      <c r="BJ35" s="101">
        <f>((A2_A_L29*Coad_A)+(A2_B_L29*Coad_B)+(A2_C_L29*Coad_C)+(A2_D_L29*Coad_D)+(A2_Y_L29*Coad_Y))*Inflación_2</f>
        <v>0</v>
      </c>
      <c r="BK35" s="101">
        <f>SUMIFS('9'!$E:$E,'9'!$A:$A,Año_Inicial+1,'9'!$B:$B,'12'!BJ$4,'9'!$D:$D,"Coadyuvantes")</f>
        <v>0</v>
      </c>
      <c r="BL35" s="101">
        <f>((A2_A_L30*Coad_A)+(A2_B_L30*Coad_B)+(A2_C_L30*Coad_C)+(A2_D_L30*Coad_D)+(A2_Y_L30*Coad_Y))*Inflación_2</f>
        <v>0</v>
      </c>
      <c r="BM35" s="101">
        <f>SUMIFS('9'!$E:$E,'9'!$A:$A,Año_Inicial+1,'9'!$B:$B,'12'!BL$4,'9'!$D:$D,"Coadyuvantes")</f>
        <v>0</v>
      </c>
      <c r="BN35" s="101">
        <f>((A2_A_L31*Coad_A)+(A2_B_L31*Coad_B)+(A2_C_L31*Coad_C)+(A2_D_L31*Coad_D)+(A2_Y_L31*Coad_Y))*Inflación_2</f>
        <v>0</v>
      </c>
      <c r="BO35" s="101">
        <f>SUMIFS('9'!$E:$E,'9'!$A:$A,Año_Inicial+1,'9'!$B:$B,'12'!BN$4,'9'!$D:$D,"Coadyuvantes")</f>
        <v>0</v>
      </c>
      <c r="BP35" s="101">
        <f>((A2_A_L32*Coad_A)+(A2_B_L32*Coad_B)+(A2_C_L32*Coad_C)+(A2_D_L32*Coad_D)+(A2_Y_L32*Coad_Y))*Inflación_2</f>
        <v>0</v>
      </c>
      <c r="BQ35" s="101">
        <f>SUMIFS('9'!$E:$E,'9'!$A:$A,Año_Inicial+1,'9'!$B:$B,'12'!BP$4,'9'!$D:$D,"Coadyuvantes")</f>
        <v>0</v>
      </c>
      <c r="BR35" s="101">
        <f>((A2_A_L33*Coad_A)+(A2_B_L33*Coad_B)+(A2_C_L33*Coad_C)+(A2_D_L33*Coad_D)+(A2_Y_L33*Coad_Y))*Inflación_2</f>
        <v>0</v>
      </c>
      <c r="BS35" s="101">
        <f>SUMIFS('9'!$E:$E,'9'!$A:$A,Año_Inicial+1,'9'!$B:$B,'12'!BR$4,'9'!$D:$D,"Coadyuvantes")</f>
        <v>0</v>
      </c>
      <c r="BT35" s="101">
        <f>((A2_A_L34*Coad_A)+(A2_B_L34*Coad_B)+(A2_C_L34*Coad_C)+(A2_D_L34*Coad_D)+(A2_Y_L34*Coad_Y))*Inflación_2</f>
        <v>0</v>
      </c>
      <c r="BU35" s="101">
        <f>SUMIFS('9'!$E:$E,'9'!$A:$A,Año_Inicial+1,'9'!$B:$B,'12'!BT$4,'9'!$D:$D,"Coadyuvantes")</f>
        <v>0</v>
      </c>
      <c r="BV35" s="101">
        <f>((A2_A_L35*Coad_A)+(A2_B_L35*Coad_B)+(A2_C_L35*Coad_C)+(A2_D_L35*Coad_D)+(A2_Y_L35*Coad_Y))*Inflación_2</f>
        <v>0</v>
      </c>
      <c r="BW35" s="101">
        <f>SUMIFS('9'!$E:$E,'9'!$A:$A,Año_Inicial+1,'9'!$B:$B,'12'!BV$4,'9'!$D:$D,"Coadyuvantes")</f>
        <v>0</v>
      </c>
      <c r="BX35" s="101">
        <f>((A2_A_L36*Coad_A)+(A2_B_L36*Coad_B)+(A2_C_L36*Coad_C)+(A2_D_L36*Coad_D)+(A2_Y_L36*Coad_Y))*Inflación_2</f>
        <v>0</v>
      </c>
      <c r="BY35" s="101">
        <f>SUMIFS('9'!$E:$E,'9'!$A:$A,Año_Inicial+1,'9'!$B:$B,'12'!BX$4,'9'!$D:$D,"Coadyuvantes")</f>
        <v>0</v>
      </c>
      <c r="BZ35" s="101">
        <f>((A2_A_L37*Coad_A)+(A2_B_L37*Coad_B)+(A2_C_L37*Coad_C)+(A2_D_L37*Coad_D)+(A2_Y_L37*Coad_Y))*Inflación_2</f>
        <v>0</v>
      </c>
      <c r="CA35" s="101">
        <f>SUMIFS('9'!$E:$E,'9'!$A:$A,Año_Inicial+1,'9'!$B:$B,'12'!BZ$4,'9'!$D:$D,"Coadyuvantes")</f>
        <v>0</v>
      </c>
      <c r="CB35" s="101">
        <f>((A2_A_L38*Coad_A)+(A2_B_L38*Coad_B)+(A2_C_L38*Coad_C)+(A2_D_L38*Coad_D)+(A2_Y_L38*Coad_Y))*Inflación_2</f>
        <v>0</v>
      </c>
      <c r="CC35" s="101">
        <f>SUMIFS('9'!$E:$E,'9'!$A:$A,Año_Inicial+1,'9'!$B:$B,'12'!CB$4,'9'!$D:$D,"Coadyuvantes")</f>
        <v>0</v>
      </c>
      <c r="CD35" s="101">
        <f>((A2_A_L39*Coad_A)+(A2_B_L39*Coad_B)+(A2_C_L39*Coad_C)+(A2_D_L39*Coad_D)+(A2_Y_L39*Coad_Y))*Inflación_2</f>
        <v>0</v>
      </c>
      <c r="CE35" s="101">
        <f>SUMIFS('9'!$E:$E,'9'!$A:$A,Año_Inicial+1,'9'!$B:$B,'12'!CD$4,'9'!$D:$D,"Coadyuvantes")</f>
        <v>0</v>
      </c>
      <c r="CF35" s="101">
        <f>((A2_A_L40*Coad_A)+(A2_B_L40*Coad_B)+(A2_C_L40*Coad_C)+(A2_D_L40*Coad_D)+(A2_Y_L40*Coad_Y))*Inflación_2</f>
        <v>0</v>
      </c>
      <c r="CG35" s="101">
        <f>SUMIFS('9'!$E:$E,'9'!$A:$A,Año_Inicial+1,'9'!$B:$B,'12'!CF$4,'9'!$D:$D,"Coadyuvantes")</f>
        <v>0</v>
      </c>
      <c r="CH35" s="473"/>
      <c r="CI35" s="101">
        <f>Plantas_A_A2*Coad_A*Inflación_2</f>
        <v>0</v>
      </c>
      <c r="CJ35" s="101">
        <f>Plantas_B_A2*Coad_B</f>
        <v>0</v>
      </c>
      <c r="CK35" s="101">
        <f>Plantas_C_A2*Coad_C</f>
        <v>0</v>
      </c>
      <c r="CL35" s="101">
        <f>Plantas_D_A2*Coad_D</f>
        <v>0</v>
      </c>
      <c r="CM35" s="101"/>
      <c r="CN35" s="101">
        <f>Plantas_Y_A2*Coad_Y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7"/>
        <v>0</v>
      </c>
      <c r="C36" s="101">
        <f>SUMIFS('9'!$E:$E,'9'!$A:$A,Año_Inicial+1,'9'!$D:$D,"Otro insumo 1*")</f>
        <v>0</v>
      </c>
      <c r="D36" s="100">
        <f t="shared" si="46"/>
        <v>0</v>
      </c>
      <c r="E36" s="490"/>
      <c r="F36" s="101">
        <f>((A2_A_L1*Otro1_A)+(A2_B_L1*Otro1_B)+(A2_C_L1*Otro1_C)+(A2_D_L1*Otro1_D)+(A2_Y_L1*Otro1_Y))*Inflación_2</f>
        <v>0</v>
      </c>
      <c r="G36" s="101">
        <f>SUMIFS('9'!$E:$E,'9'!$A:$A,Año_Inicial+1,'9'!$B:$B,'12'!F$4,'9'!$D:$D,"Otro insumo 1*")</f>
        <v>0</v>
      </c>
      <c r="H36" s="101">
        <f>((A2_A_L2*Otro1_A)+(A2_B_L2*Otro1_B)+(A2_C_L2*Otro1_C)+(A2_D_L2*Otro1_D)+(A2_Y_L2*Otro1_Y))*Inflación_2</f>
        <v>0</v>
      </c>
      <c r="I36" s="101">
        <f>SUMIFS('9'!$E:$E,'9'!$A:$A,Año_Inicial+1,'9'!$B:$B,'12'!H$4,'9'!$D:$D,"Otro insumo 1*")</f>
        <v>0</v>
      </c>
      <c r="J36" s="101">
        <f>((A2_A_L3*Otro1_A)+(A2_B_L3*Otro1_B)+(A2_C_L3*Otro1_C)+(A2_D_L3*Otro1_D)+(A2_Y_L3*Otro1_Y))*Inflación_2</f>
        <v>0</v>
      </c>
      <c r="K36" s="101">
        <f>SUMIFS('9'!$E:$E,'9'!$A:$A,Año_Inicial+1,'9'!$B:$B,'12'!J$4,'9'!$D:$D,"Otro insumo 1*")</f>
        <v>0</v>
      </c>
      <c r="L36" s="101">
        <f>((A2_A_L4*Otro1_A)+(A2_B_L4*Otro1_B)+(A2_C_L4*Otro1_C)+(A2_D_L4*Otro1_D)+(A2_Y_L4*Otro1_Y))*Inflación_2</f>
        <v>0</v>
      </c>
      <c r="M36" s="101">
        <f>SUMIFS('9'!$E:$E,'9'!$A:$A,Año_Inicial+1,'9'!$B:$B,'12'!L$4,'9'!$D:$D,"Otro insumo 1*")</f>
        <v>0</v>
      </c>
      <c r="N36" s="101">
        <f>((A2_A_L5*Otro1_A)+(A2_B_L5*Otro1_B)+(A2_C_L5*Otro1_C)+(A2_D_L5*Otro1_D)+(A2_Y_L5*Otro1_Y))*Inflación_2</f>
        <v>0</v>
      </c>
      <c r="O36" s="101">
        <f>SUMIFS('9'!$E:$E,'9'!$A:$A,Año_Inicial+1,'9'!$B:$B,'12'!N$4,'9'!$D:$D,"Otro insumo 1*")</f>
        <v>0</v>
      </c>
      <c r="P36" s="101">
        <f>((A2_A_L6*Otro1_A)+(A2_B_L6*Otro1_B)+(A2_C_L6*Otro1_C)+(A2_D_L6*Otro1_D)+(A2_Y_L6*Otro1_Y))*Inflación_2</f>
        <v>0</v>
      </c>
      <c r="Q36" s="101">
        <f>SUMIFS('9'!$E:$E,'9'!$A:$A,Año_Inicial+1,'9'!$B:$B,'12'!P$4,'9'!$D:$D,"Otro insumo 1*")</f>
        <v>0</v>
      </c>
      <c r="R36" s="101">
        <f>((A2_A_L7*Otro1_A)+(A2_B_L7*Otro1_B)+(A2_C_L7*Otro1_C)+(A2_D_L7*Otro1_D)+(A2_Y_L7*Otro1_Y))*Inflación_2</f>
        <v>0</v>
      </c>
      <c r="S36" s="101">
        <f>SUMIFS('9'!$E:$E,'9'!$A:$A,Año_Inicial+1,'9'!$B:$B,'12'!R$4,'9'!$D:$D,"Otro insumo 1*")</f>
        <v>0</v>
      </c>
      <c r="T36" s="101">
        <f>((A2_A_L8*Otro1_A)+(A2_B_L8*Otro1_B)+(A2_C_L8*Otro1_C)+(A2_D_L8*Otro1_D)+(A2_Y_L8*Otro1_Y))*Inflación_2</f>
        <v>0</v>
      </c>
      <c r="U36" s="101">
        <f>SUMIFS('9'!$E:$E,'9'!$A:$A,Año_Inicial+1,'9'!$B:$B,'12'!T$4,'9'!$D:$D,"Otro insumo 1*")</f>
        <v>0</v>
      </c>
      <c r="V36" s="101">
        <f>((A2_A_L9*Otro1_A)+(A2_B_L9*Otro1_B)+(A2_C_L9*Otro1_C)+(A2_D_L9*Otro1_D)+(A2_Y_L9*Otro1_Y))*Inflación_2</f>
        <v>0</v>
      </c>
      <c r="W36" s="101">
        <f>SUMIFS('9'!$E:$E,'9'!$A:$A,Año_Inicial+1,'9'!$B:$B,'12'!V$4,'9'!$D:$D,"Otro insumo 1*")</f>
        <v>0</v>
      </c>
      <c r="X36" s="101">
        <f>((A2_A_L10*Otro1_A)+(A2_B_L10*Otro1_B)+(A2_C_L10*Otro1_C)+(A2_D_L10*Otro1_D)+(A2_Y_L10*Otro1_Y))*Inflación_2</f>
        <v>0</v>
      </c>
      <c r="Y36" s="101">
        <f>SUMIFS('9'!$E:$E,'9'!$A:$A,Año_Inicial+1,'9'!$B:$B,'12'!X$4,'9'!$D:$D,"Otro insumo 1*")</f>
        <v>0</v>
      </c>
      <c r="Z36" s="101">
        <f>((A2_A_L11*Otro1_A)+(A2_B_L11*Otro1_B)+(A2_C_L11*Otro1_C)+(A2_D_L11*Otro1_D)+(A2_Y_L11*Otro1_Y))*Inflación_2</f>
        <v>0</v>
      </c>
      <c r="AA36" s="101">
        <f>SUMIFS('9'!$E:$E,'9'!$A:$A,Año_Inicial+1,'9'!$B:$B,'12'!Z$4,'9'!$D:$D,"Otro insumo 1*")</f>
        <v>0</v>
      </c>
      <c r="AB36" s="101">
        <f>((A2_A_L12*Otro1_A)+(A2_B_L12*Otro1_B)+(A2_C_L12*Otro1_C)+(A2_D_L12*Otro1_D)+(A2_Y_L12*Otro1_Y))*Inflación_2</f>
        <v>0</v>
      </c>
      <c r="AC36" s="101">
        <f>SUMIFS('9'!$E:$E,'9'!$A:$A,Año_Inicial+1,'9'!$B:$B,'12'!AB$4,'9'!$D:$D,"Otro insumo 1*")</f>
        <v>0</v>
      </c>
      <c r="AD36" s="101">
        <f>((A2_A_L13*Otro1_A)+(A2_B_L13*Otro1_B)+(A2_C_L13*Otro1_C)+(A2_D_L13*Otro1_D)+(A2_Y_L13*Otro1_Y))*Inflación_2</f>
        <v>0</v>
      </c>
      <c r="AE36" s="101">
        <f>SUMIFS('9'!$E:$E,'9'!$A:$A,Año_Inicial+1,'9'!$B:$B,'12'!AD$4,'9'!$D:$D,"Otro insumo 1*")</f>
        <v>0</v>
      </c>
      <c r="AF36" s="101">
        <f>((A2_A_L14*Otro1_A)+(A2_B_L14*Otro1_B)+(A2_C_L14*Otro1_C)+(A2_D_L14*Otro1_D)+(A2_Y_L14*Otro1_Y))*Inflación_2</f>
        <v>0</v>
      </c>
      <c r="AG36" s="101">
        <f>SUMIFS('9'!$E:$E,'9'!$A:$A,Año_Inicial+1,'9'!$B:$B,'12'!AF$4,'9'!$D:$D,"Otro insumo 1*")</f>
        <v>0</v>
      </c>
      <c r="AH36" s="101">
        <f>((A2_A_L15*Otro1_A)+(A2_B_L15*Otro1_B)+(A2_C_L15*Otro1_C)+(A2_D_L15*Otro1_D)+(A2_Y_L15*Otro1_Y))*Inflación_2</f>
        <v>0</v>
      </c>
      <c r="AI36" s="101">
        <f>SUMIFS('9'!$E:$E,'9'!$A:$A,Año_Inicial+1,'9'!$B:$B,'12'!AH$4,'9'!$D:$D,"Otro insumo 1*")</f>
        <v>0</v>
      </c>
      <c r="AJ36" s="101">
        <f>((A2_A_L16*Otro1_A)+(A2_B_L16*Otro1_B)+(A2_C_L16*Otro1_C)+(A2_D_L16*Otro1_D)+(A2_Y_L16*Otro1_Y))*Inflación_2</f>
        <v>0</v>
      </c>
      <c r="AK36" s="101">
        <f>SUMIFS('9'!$E:$E,'9'!$A:$A,Año_Inicial+1,'9'!$B:$B,'12'!AJ$4,'9'!$D:$D,"Otro insumo 1*")</f>
        <v>0</v>
      </c>
      <c r="AL36" s="101">
        <f>((A2_A_L17*Otro1_A)+(A2_B_L17*Otro1_B)+(A2_C_L17*Otro1_C)+(A2_D_L17*Otro1_D)+(A2_Y_L17*Otro1_Y))*Inflación_2</f>
        <v>0</v>
      </c>
      <c r="AM36" s="101">
        <f>SUMIFS('9'!$E:$E,'9'!$A:$A,Año_Inicial+1,'9'!$B:$B,'12'!AL$4,'9'!$D:$D,"Otro insumo 1*")</f>
        <v>0</v>
      </c>
      <c r="AN36" s="101">
        <f>((A2_A_L18*Otro1_A)+(A2_B_L18*Otro1_B)+(A2_C_L18*Otro1_C)+(A2_D_L18*Otro1_D)+(A2_Y_L18*Otro1_Y))*Inflación_2</f>
        <v>0</v>
      </c>
      <c r="AO36" s="101">
        <f>SUMIFS('9'!$E:$E,'9'!$A:$A,Año_Inicial+1,'9'!$B:$B,'12'!AN$4,'9'!$D:$D,"Otro insumo 1*")</f>
        <v>0</v>
      </c>
      <c r="AP36" s="101">
        <f>((A2_A_L19*Otro1_A)+(A2_B_L19*Otro1_B)+(A2_C_L19*Otro1_C)+(A2_D_L19*Otro1_D)+(A2_Y_L19*Otro1_Y))*Inflación_2</f>
        <v>0</v>
      </c>
      <c r="AQ36" s="101">
        <f>SUMIFS('9'!$E:$E,'9'!$A:$A,Año_Inicial+1,'9'!$B:$B,'12'!AP$4,'9'!$D:$D,"Otro insumo 1*")</f>
        <v>0</v>
      </c>
      <c r="AR36" s="101">
        <f>((A2_A_L20*Otro1_A)+(A2_B_L20*Otro1_B)+(A2_C_L20*Otro1_C)+(A2_D_L20*Otro1_D)+(A2_Y_L20*Otro1_Y))*Inflación_2</f>
        <v>0</v>
      </c>
      <c r="AS36" s="101">
        <f>SUMIFS('9'!$E:$E,'9'!$A:$A,Año_Inicial+1,'9'!$B:$B,'12'!AR$4,'9'!$D:$D,"Otro insumo 1*")</f>
        <v>0</v>
      </c>
      <c r="AT36" s="101">
        <f>((A2_A_L21*Otro1_A)+(A2_B_L21*Otro1_B)+(A2_C_L21*Otro1_C)+(A2_D_L21*Otro1_D)+(A2_Y_L21*Otro1_Y))*Inflación_2</f>
        <v>0</v>
      </c>
      <c r="AU36" s="101">
        <f>SUMIFS('9'!$E:$E,'9'!$A:$A,Año_Inicial+1,'9'!$B:$B,'12'!AT$4,'9'!$D:$D,"Otro insumo 1*")</f>
        <v>0</v>
      </c>
      <c r="AV36" s="101">
        <f>((A2_A_L22*Otro1_A)+(A2_B_L22*Otro1_B)+(A2_C_L22*Otro1_C)+(A2_D_L22*Otro1_D)+(A2_Y_L22*Otro1_Y))*Inflación_2</f>
        <v>0</v>
      </c>
      <c r="AW36" s="101">
        <f>SUMIFS('9'!$E:$E,'9'!$A:$A,Año_Inicial+1,'9'!$B:$B,'12'!AV$4,'9'!$D:$D,"Otro insumo 1*")</f>
        <v>0</v>
      </c>
      <c r="AX36" s="101">
        <f>((A2_A_L23*Otro1_A)+(A2_B_L23*Otro1_B)+(A2_C_L23*Otro1_C)+(A2_D_L23*Otro1_D)+(A2_Y_L23*Otro1_Y))*Inflación_2</f>
        <v>0</v>
      </c>
      <c r="AY36" s="101">
        <f>SUMIFS('9'!$E:$E,'9'!$A:$A,Año_Inicial+1,'9'!$B:$B,'12'!AX$4,'9'!$D:$D,"Otro insumo 1*")</f>
        <v>0</v>
      </c>
      <c r="AZ36" s="101">
        <f>((A2_A_L24*Otro1_A)+(A2_B_L24*Otro1_B)+(A2_C_L24*Otro1_C)+(A2_D_L24*Otro1_D)+(A2_Y_L24*Otro1_Y))*Inflación_2</f>
        <v>0</v>
      </c>
      <c r="BA36" s="101">
        <f>SUMIFS('9'!$E:$E,'9'!$A:$A,Año_Inicial+1,'9'!$B:$B,'12'!AZ$4,'9'!$D:$D,"Otro insumo 1*")</f>
        <v>0</v>
      </c>
      <c r="BB36" s="101">
        <f>((A2_A_L25*Otro1_A)+(A2_B_L25*Otro1_B)+(A2_C_L25*Otro1_C)+(A2_D_L25*Otro1_D)+(A2_Y_L25*Otro1_Y))*Inflación_2</f>
        <v>0</v>
      </c>
      <c r="BC36" s="101">
        <f>SUMIFS('9'!$E:$E,'9'!$A:$A,Año_Inicial+1,'9'!$B:$B,'12'!BB$4,'9'!$D:$D,"Otro insumo 1*")</f>
        <v>0</v>
      </c>
      <c r="BD36" s="101">
        <f>((A2_A_L26*Otro1_A)+(A2_B_L26*Otro1_B)+(A2_C_L26*Otro1_C)+(A2_D_L26*Otro1_D)+(A2_Y_L26*Otro1_Y))*Inflación_2</f>
        <v>0</v>
      </c>
      <c r="BE36" s="101">
        <f>SUMIFS('9'!$E:$E,'9'!$A:$A,Año_Inicial+1,'9'!$B:$B,'12'!BD$4,'9'!$D:$D,"Otro insumo 1*")</f>
        <v>0</v>
      </c>
      <c r="BF36" s="101">
        <f>((A2_A_L27*Otro1_A)+(A2_B_L27*Otro1_B)+(A2_C_L27*Otro1_C)+(A2_D_L27*Otro1_D)+(A2_Y_L27*Otro1_Y))*Inflación_2</f>
        <v>0</v>
      </c>
      <c r="BG36" s="101">
        <f>SUMIFS('9'!$E:$E,'9'!$A:$A,Año_Inicial+1,'9'!$B:$B,'12'!BF$4,'9'!$D:$D,"Otro insumo 1*")</f>
        <v>0</v>
      </c>
      <c r="BH36" s="101">
        <f>((A2_A_L28*Otro1_A)+(A2_B_L28*Otro1_B)+(A2_C_L28*Otro1_C)+(A2_D_L28*Otro1_D)+(A2_Y_L28*Otro1_Y))*Inflación_2</f>
        <v>0</v>
      </c>
      <c r="BI36" s="101">
        <f>SUMIFS('9'!$E:$E,'9'!$A:$A,Año_Inicial+1,'9'!$B:$B,'12'!BH$4,'9'!$D:$D,"Otro insumo 1*")</f>
        <v>0</v>
      </c>
      <c r="BJ36" s="101">
        <f>((A2_A_L29*Otro1_A)+(A2_B_L29*Otro1_B)+(A2_C_L29*Otro1_C)+(A2_D_L29*Otro1_D)+(A2_Y_L29*Otro1_Y))*Inflación_2</f>
        <v>0</v>
      </c>
      <c r="BK36" s="101">
        <f>SUMIFS('9'!$E:$E,'9'!$A:$A,Año_Inicial+1,'9'!$B:$B,'12'!BJ$4,'9'!$D:$D,"Otro insumo 1*")</f>
        <v>0</v>
      </c>
      <c r="BL36" s="101">
        <f>((A2_A_L30*Otro1_A)+(A2_B_L30*Otro1_B)+(A2_C_L30*Otro1_C)+(A2_D_L30*Otro1_D)+(A2_Y_L30*Otro1_Y))*Inflación_2</f>
        <v>0</v>
      </c>
      <c r="BM36" s="101">
        <f>SUMIFS('9'!$E:$E,'9'!$A:$A,Año_Inicial+1,'9'!$B:$B,'12'!BL$4,'9'!$D:$D,"Otro insumo 1*")</f>
        <v>0</v>
      </c>
      <c r="BN36" s="101">
        <f>((A2_A_L31*Otro1_A)+(A2_B_L31*Otro1_B)+(A2_C_L31*Otro1_C)+(A2_D_L31*Otro1_D)+(A2_Y_L31*Otro1_Y))*Inflación_2</f>
        <v>0</v>
      </c>
      <c r="BO36" s="101">
        <f>SUMIFS('9'!$E:$E,'9'!$A:$A,Año_Inicial+1,'9'!$B:$B,'12'!BN$4,'9'!$D:$D,"Otro insumo 1*")</f>
        <v>0</v>
      </c>
      <c r="BP36" s="101">
        <f>((A2_A_L32*Otro1_A)+(A2_B_L32*Otro1_B)+(A2_C_L32*Otro1_C)+(A2_D_L32*Otro1_D)+(A2_Y_L32*Otro1_Y))*Inflación_2</f>
        <v>0</v>
      </c>
      <c r="BQ36" s="101">
        <f>SUMIFS('9'!$E:$E,'9'!$A:$A,Año_Inicial+1,'9'!$B:$B,'12'!BP$4,'9'!$D:$D,"Otro insumo 1*")</f>
        <v>0</v>
      </c>
      <c r="BR36" s="101">
        <f>((A2_A_L33*Otro1_A)+(A2_B_L33*Otro1_B)+(A2_C_L33*Otro1_C)+(A2_D_L33*Otro1_D)+(A2_Y_L33*Otro1_Y))*Inflación_2</f>
        <v>0</v>
      </c>
      <c r="BS36" s="101">
        <f>SUMIFS('9'!$E:$E,'9'!$A:$A,Año_Inicial+1,'9'!$B:$B,'12'!BR$4,'9'!$D:$D,"Otro insumo 1*")</f>
        <v>0</v>
      </c>
      <c r="BT36" s="101">
        <f>((A2_A_L34*Otro1_A)+(A2_B_L34*Otro1_B)+(A2_C_L34*Otro1_C)+(A2_D_L34*Otro1_D)+(A2_Y_L34*Otro1_Y))*Inflación_2</f>
        <v>0</v>
      </c>
      <c r="BU36" s="101">
        <f>SUMIFS('9'!$E:$E,'9'!$A:$A,Año_Inicial+1,'9'!$B:$B,'12'!BT$4,'9'!$D:$D,"Otro insumo 1*")</f>
        <v>0</v>
      </c>
      <c r="BV36" s="101">
        <f>((A2_A_L35*Otro1_A)+(A2_B_L35*Otro1_B)+(A2_C_L35*Otro1_C)+(A2_D_L35*Otro1_D)+(A2_Y_L35*Otro1_Y))*Inflación_2</f>
        <v>0</v>
      </c>
      <c r="BW36" s="101">
        <f>SUMIFS('9'!$E:$E,'9'!$A:$A,Año_Inicial+1,'9'!$B:$B,'12'!BV$4,'9'!$D:$D,"Otro insumo 1*")</f>
        <v>0</v>
      </c>
      <c r="BX36" s="101">
        <f>((A2_A_L36*Otro1_A)+(A2_B_L36*Otro1_B)+(A2_C_L36*Otro1_C)+(A2_D_L36*Otro1_D)+(A2_Y_L36*Otro1_Y))*Inflación_2</f>
        <v>0</v>
      </c>
      <c r="BY36" s="101">
        <f>SUMIFS('9'!$E:$E,'9'!$A:$A,Año_Inicial+1,'9'!$B:$B,'12'!BX$4,'9'!$D:$D,"Otro insumo 1*")</f>
        <v>0</v>
      </c>
      <c r="BZ36" s="101">
        <f>((A2_A_L37*Otro1_A)+(A2_B_L37*Otro1_B)+(A2_C_L37*Otro1_C)+(A2_D_L37*Otro1_D)+(A2_Y_L37*Otro1_Y))*Inflación_2</f>
        <v>0</v>
      </c>
      <c r="CA36" s="101">
        <f>SUMIFS('9'!$E:$E,'9'!$A:$A,Año_Inicial+1,'9'!$B:$B,'12'!BZ$4,'9'!$D:$D,"Otro insumo 1*")</f>
        <v>0</v>
      </c>
      <c r="CB36" s="101">
        <f>((A2_A_L38*Otro1_A)+(A2_B_L38*Otro1_B)+(A2_C_L38*Otro1_C)+(A2_D_L38*Otro1_D)+(A2_Y_L38*Otro1_Y))*Inflación_2</f>
        <v>0</v>
      </c>
      <c r="CC36" s="101">
        <f>SUMIFS('9'!$E:$E,'9'!$A:$A,Año_Inicial+1,'9'!$B:$B,'12'!CB$4,'9'!$D:$D,"Otro insumo 1*")</f>
        <v>0</v>
      </c>
      <c r="CD36" s="101">
        <f>((A2_A_L39*Otro1_A)+(A2_B_L39*Otro1_B)+(A2_C_L39*Otro1_C)+(A2_D_L39*Otro1_D)+(A2_Y_L39*Otro1_Y))*Inflación_2</f>
        <v>0</v>
      </c>
      <c r="CE36" s="101">
        <f>SUMIFS('9'!$E:$E,'9'!$A:$A,Año_Inicial+1,'9'!$B:$B,'12'!CD$4,'9'!$D:$D,"Otro insumo 1*")</f>
        <v>0</v>
      </c>
      <c r="CF36" s="101">
        <f>((A2_A_L40*Otro1_A)+(A2_B_L40*Otro1_B)+(A2_C_L40*Otro1_C)+(A2_D_L40*Otro1_D)+(A2_Y_L40*Otro1_Y))*Inflación_2</f>
        <v>0</v>
      </c>
      <c r="CG36" s="101">
        <f>SUMIFS('9'!$E:$E,'9'!$A:$A,Año_Inicial+1,'9'!$B:$B,'12'!CF$4,'9'!$D:$D,"Otro insumo 1*")</f>
        <v>0</v>
      </c>
      <c r="CH36" s="473"/>
      <c r="CI36" s="101">
        <f>Plantas_A_A2*Otro1_A*Inflación_2</f>
        <v>0</v>
      </c>
      <c r="CJ36" s="101">
        <f>Plantas_B_A2*Otro1_B</f>
        <v>0</v>
      </c>
      <c r="CK36" s="101">
        <f>Plantas_C_A2*Otro1_C</f>
        <v>0</v>
      </c>
      <c r="CL36" s="101">
        <f>Plantas_D_A2*Otro1_D</f>
        <v>0</v>
      </c>
      <c r="CM36" s="101"/>
      <c r="CN36" s="101">
        <f>Plantas_Y_A2*Otro1_Y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7"/>
        <v>0</v>
      </c>
      <c r="C37" s="101">
        <f>SUMIFS('9'!$E:$E,'9'!$A:$A,Año_Inicial+1,'9'!$D:$D,"Otro insumo 2*")</f>
        <v>0</v>
      </c>
      <c r="D37" s="100">
        <f t="shared" si="46"/>
        <v>0</v>
      </c>
      <c r="E37" s="490"/>
      <c r="F37" s="101">
        <f>((A2_A_L1*Otro2_A)+(A2_B_L1*Otro2_B)+(A2_C_L1*Otro2_C)+(A2_D_L1*Otro2_D)+(A2_Y_L1*Otro2_Y))*Inflación_2</f>
        <v>0</v>
      </c>
      <c r="G37" s="101">
        <f>SUMIFS('9'!$E:$E,'9'!$A:$A,Año_Inicial+1,'9'!$B:$B,'12'!F$4,'9'!$D:$D,"Otro insumo 2*")</f>
        <v>0</v>
      </c>
      <c r="H37" s="101">
        <f>((A2_A_L2*Otro2_A)+(A2_B_L2*Otro2_B)+(A2_C_L2*Otro2_C)+(A2_D_L2*Otro2_D)+(A2_Y_L2*Otro2_Y))*Inflación_2</f>
        <v>0</v>
      </c>
      <c r="I37" s="101">
        <f>SUMIFS('9'!$E:$E,'9'!$A:$A,Año_Inicial+1,'9'!$B:$B,'12'!H$4,'9'!$D:$D,"Otro insumo 2*")</f>
        <v>0</v>
      </c>
      <c r="J37" s="101">
        <f>((A2_A_L3*Otro2_A)+(A2_B_L3*Otro2_B)+(A2_C_L3*Otro2_C)+(A2_D_L3*Otro2_D)+(A2_Y_L3*Otro2_Y))*Inflación_2</f>
        <v>0</v>
      </c>
      <c r="K37" s="101">
        <f>SUMIFS('9'!$E:$E,'9'!$A:$A,Año_Inicial+1,'9'!$B:$B,'12'!J$4,'9'!$D:$D,"Otro insumo 2*")</f>
        <v>0</v>
      </c>
      <c r="L37" s="101">
        <f>((A2_A_L4*Otro2_A)+(A2_B_L4*Otro2_B)+(A2_C_L4*Otro2_C)+(A2_D_L4*Otro2_D)+(A2_Y_L4*Otro2_Y))*Inflación_2</f>
        <v>0</v>
      </c>
      <c r="M37" s="101">
        <f>SUMIFS('9'!$E:$E,'9'!$A:$A,Año_Inicial+1,'9'!$B:$B,'12'!L$4,'9'!$D:$D,"Otro insumo 2*")</f>
        <v>0</v>
      </c>
      <c r="N37" s="101">
        <f>((A2_A_L5*Otro2_A)+(A2_B_L5*Otro2_B)+(A2_C_L5*Otro2_C)+(A2_D_L5*Otro2_D)+(A2_Y_L5*Otro2_Y))*Inflación_2</f>
        <v>0</v>
      </c>
      <c r="O37" s="101">
        <f>SUMIFS('9'!$E:$E,'9'!$A:$A,Año_Inicial+1,'9'!$B:$B,'12'!N$4,'9'!$D:$D,"Otro insumo 2*")</f>
        <v>0</v>
      </c>
      <c r="P37" s="101">
        <f>((A2_A_L6*Otro2_A)+(A2_B_L6*Otro2_B)+(A2_C_L6*Otro2_C)+(A2_D_L6*Otro2_D)+(A2_Y_L6*Otro2_Y))*Inflación_2</f>
        <v>0</v>
      </c>
      <c r="Q37" s="101">
        <f>SUMIFS('9'!$E:$E,'9'!$A:$A,Año_Inicial+1,'9'!$B:$B,'12'!P$4,'9'!$D:$D,"Otro insumo 2*")</f>
        <v>0</v>
      </c>
      <c r="R37" s="101">
        <f>((A2_A_L7*Otro2_A)+(A2_B_L7*Otro2_B)+(A2_C_L7*Otro2_C)+(A2_D_L7*Otro2_D)+(A2_Y_L7*Otro2_Y))*Inflación_2</f>
        <v>0</v>
      </c>
      <c r="S37" s="101">
        <f>SUMIFS('9'!$E:$E,'9'!$A:$A,Año_Inicial+1,'9'!$B:$B,'12'!R$4,'9'!$D:$D,"Otro insumo 2*")</f>
        <v>0</v>
      </c>
      <c r="T37" s="101">
        <f>((A2_A_L8*Otro2_A)+(A2_B_L8*Otro2_B)+(A2_C_L8*Otro2_C)+(A2_D_L8*Otro2_D)+(A2_Y_L8*Otro2_Y))*Inflación_2</f>
        <v>0</v>
      </c>
      <c r="U37" s="101">
        <f>SUMIFS('9'!$E:$E,'9'!$A:$A,Año_Inicial+1,'9'!$B:$B,'12'!T$4,'9'!$D:$D,"Otro insumo 2*")</f>
        <v>0</v>
      </c>
      <c r="V37" s="101">
        <f>((A2_A_L9*Otro2_A)+(A2_B_L9*Otro2_B)+(A2_C_L9*Otro2_C)+(A2_D_L9*Otro2_D)+(A2_Y_L9*Otro2_Y))*Inflación_2</f>
        <v>0</v>
      </c>
      <c r="W37" s="101">
        <f>SUMIFS('9'!$E:$E,'9'!$A:$A,Año_Inicial+1,'9'!$B:$B,'12'!V$4,'9'!$D:$D,"Otro insumo 2*")</f>
        <v>0</v>
      </c>
      <c r="X37" s="101">
        <f>((A2_A_L10*Otro2_A)+(A2_B_L10*Otro2_B)+(A2_C_L10*Otro2_C)+(A2_D_L10*Otro2_D)+(A2_Y_L10*Otro2_Y))*Inflación_2</f>
        <v>0</v>
      </c>
      <c r="Y37" s="101">
        <f>SUMIFS('9'!$E:$E,'9'!$A:$A,Año_Inicial+1,'9'!$B:$B,'12'!X$4,'9'!$D:$D,"Otro insumo 2*")</f>
        <v>0</v>
      </c>
      <c r="Z37" s="101">
        <f>((A2_A_L11*Otro2_A)+(A2_B_L11*Otro2_B)+(A2_C_L11*Otro2_C)+(A2_D_L11*Otro2_D)+(A2_Y_L11*Otro2_Y))*Inflación_2</f>
        <v>0</v>
      </c>
      <c r="AA37" s="101">
        <f>SUMIFS('9'!$E:$E,'9'!$A:$A,Año_Inicial+1,'9'!$B:$B,'12'!Z$4,'9'!$D:$D,"Otro insumo 2*")</f>
        <v>0</v>
      </c>
      <c r="AB37" s="101">
        <f>((A2_A_L12*Otro2_A)+(A2_B_L12*Otro2_B)+(A2_C_L12*Otro2_C)+(A2_D_L12*Otro2_D)+(A2_Y_L12*Otro2_Y))*Inflación_2</f>
        <v>0</v>
      </c>
      <c r="AC37" s="101">
        <f>SUMIFS('9'!$E:$E,'9'!$A:$A,Año_Inicial+1,'9'!$B:$B,'12'!AB$4,'9'!$D:$D,"Otro insumo 2*")</f>
        <v>0</v>
      </c>
      <c r="AD37" s="101">
        <f>((A2_A_L13*Otro2_A)+(A2_B_L13*Otro2_B)+(A2_C_L13*Otro2_C)+(A2_D_L13*Otro2_D)+(A2_Y_L13*Otro2_Y))*Inflación_2</f>
        <v>0</v>
      </c>
      <c r="AE37" s="101">
        <f>SUMIFS('9'!$E:$E,'9'!$A:$A,Año_Inicial+1,'9'!$B:$B,'12'!AD$4,'9'!$D:$D,"Otro insumo 2*")</f>
        <v>0</v>
      </c>
      <c r="AF37" s="101">
        <f>((A2_A_L14*Otro2_A)+(A2_B_L14*Otro2_B)+(A2_C_L14*Otro2_C)+(A2_D_L14*Otro2_D)+(A2_Y_L14*Otro2_Y))*Inflación_2</f>
        <v>0</v>
      </c>
      <c r="AG37" s="101">
        <f>SUMIFS('9'!$E:$E,'9'!$A:$A,Año_Inicial+1,'9'!$B:$B,'12'!AF$4,'9'!$D:$D,"Otro insumo 2*")</f>
        <v>0</v>
      </c>
      <c r="AH37" s="101">
        <f>((A2_A_L15*Otro2_A)+(A2_B_L15*Otro2_B)+(A2_C_L15*Otro2_C)+(A2_D_L15*Otro2_D)+(A2_Y_L15*Otro2_Y))*Inflación_2</f>
        <v>0</v>
      </c>
      <c r="AI37" s="101">
        <f>SUMIFS('9'!$E:$E,'9'!$A:$A,Año_Inicial+1,'9'!$B:$B,'12'!AH$4,'9'!$D:$D,"Otro insumo 2*")</f>
        <v>0</v>
      </c>
      <c r="AJ37" s="101">
        <f>((A2_A_L16*Otro2_A)+(A2_B_L16*Otro2_B)+(A2_C_L16*Otro2_C)+(A2_D_L16*Otro2_D)+(A2_Y_L16*Otro2_Y))*Inflación_2</f>
        <v>0</v>
      </c>
      <c r="AK37" s="101">
        <f>SUMIFS('9'!$E:$E,'9'!$A:$A,Año_Inicial+1,'9'!$B:$B,'12'!AJ$4,'9'!$D:$D,"Otro insumo 2*")</f>
        <v>0</v>
      </c>
      <c r="AL37" s="101">
        <f>((A2_A_L17*Otro2_A)+(A2_B_L17*Otro2_B)+(A2_C_L17*Otro2_C)+(A2_D_L17*Otro2_D)+(A2_Y_L17*Otro2_Y))*Inflación_2</f>
        <v>0</v>
      </c>
      <c r="AM37" s="101">
        <f>SUMIFS('9'!$E:$E,'9'!$A:$A,Año_Inicial+1,'9'!$B:$B,'12'!AL$4,'9'!$D:$D,"Otro insumo 2*")</f>
        <v>0</v>
      </c>
      <c r="AN37" s="101">
        <f>((A2_A_L18*Otro2_A)+(A2_B_L18*Otro2_B)+(A2_C_L18*Otro2_C)+(A2_D_L18*Otro2_D)+(A2_Y_L18*Otro2_Y))*Inflación_2</f>
        <v>0</v>
      </c>
      <c r="AO37" s="101">
        <f>SUMIFS('9'!$E:$E,'9'!$A:$A,Año_Inicial+1,'9'!$B:$B,'12'!AN$4,'9'!$D:$D,"Otro insumo 2*")</f>
        <v>0</v>
      </c>
      <c r="AP37" s="101">
        <f>((A2_A_L19*Otro2_A)+(A2_B_L19*Otro2_B)+(A2_C_L19*Otro2_C)+(A2_D_L19*Otro2_D)+(A2_Y_L19*Otro2_Y))*Inflación_2</f>
        <v>0</v>
      </c>
      <c r="AQ37" s="101">
        <f>SUMIFS('9'!$E:$E,'9'!$A:$A,Año_Inicial+1,'9'!$B:$B,'12'!AP$4,'9'!$D:$D,"Otro insumo 2*")</f>
        <v>0</v>
      </c>
      <c r="AR37" s="101">
        <f>((A2_A_L20*Otro2_A)+(A2_B_L20*Otro2_B)+(A2_C_L20*Otro2_C)+(A2_D_L20*Otro2_D)+(A2_Y_L20*Otro2_Y))*Inflación_2</f>
        <v>0</v>
      </c>
      <c r="AS37" s="101">
        <f>SUMIFS('9'!$E:$E,'9'!$A:$A,Año_Inicial+1,'9'!$B:$B,'12'!AR$4,'9'!$D:$D,"Otro insumo 2*")</f>
        <v>0</v>
      </c>
      <c r="AT37" s="101">
        <f>((A2_A_L21*Otro2_A)+(A2_B_L21*Otro2_B)+(A2_C_L21*Otro2_C)+(A2_D_L21*Otro2_D)+(A2_Y_L21*Otro2_Y))*Inflación_2</f>
        <v>0</v>
      </c>
      <c r="AU37" s="101">
        <f>SUMIFS('9'!$E:$E,'9'!$A:$A,Año_Inicial+1,'9'!$B:$B,'12'!AT$4,'9'!$D:$D,"Otro insumo 2*")</f>
        <v>0</v>
      </c>
      <c r="AV37" s="101">
        <f>((A2_A_L22*Otro2_A)+(A2_B_L22*Otro2_B)+(A2_C_L22*Otro2_C)+(A2_D_L22*Otro2_D)+(A2_Y_L22*Otro2_Y))*Inflación_2</f>
        <v>0</v>
      </c>
      <c r="AW37" s="101">
        <f>SUMIFS('9'!$E:$E,'9'!$A:$A,Año_Inicial+1,'9'!$B:$B,'12'!AV$4,'9'!$D:$D,"Otro insumo 2*")</f>
        <v>0</v>
      </c>
      <c r="AX37" s="101">
        <f>((A2_A_L23*Otro2_A)+(A2_B_L23*Otro2_B)+(A2_C_L23*Otro2_C)+(A2_D_L23*Otro2_D)+(A2_Y_L23*Otro2_Y))*Inflación_2</f>
        <v>0</v>
      </c>
      <c r="AY37" s="101">
        <f>SUMIFS('9'!$E:$E,'9'!$A:$A,Año_Inicial+1,'9'!$B:$B,'12'!AX$4,'9'!$D:$D,"Otro insumo 2*")</f>
        <v>0</v>
      </c>
      <c r="AZ37" s="101">
        <f>((A2_A_L24*Otro2_A)+(A2_B_L24*Otro2_B)+(A2_C_L24*Otro2_C)+(A2_D_L24*Otro2_D)+(A2_Y_L24*Otro2_Y))*Inflación_2</f>
        <v>0</v>
      </c>
      <c r="BA37" s="101">
        <f>SUMIFS('9'!$E:$E,'9'!$A:$A,Año_Inicial+1,'9'!$B:$B,'12'!AZ$4,'9'!$D:$D,"Otro insumo 2*")</f>
        <v>0</v>
      </c>
      <c r="BB37" s="101">
        <f>((A2_A_L25*Otro2_A)+(A2_B_L25*Otro2_B)+(A2_C_L25*Otro2_C)+(A2_D_L25*Otro2_D)+(A2_Y_L25*Otro2_Y))*Inflación_2</f>
        <v>0</v>
      </c>
      <c r="BC37" s="101">
        <f>SUMIFS('9'!$E:$E,'9'!$A:$A,Año_Inicial+1,'9'!$B:$B,'12'!BB$4,'9'!$D:$D,"Otro insumo 2*")</f>
        <v>0</v>
      </c>
      <c r="BD37" s="101">
        <f>((A2_A_L26*Otro2_A)+(A2_B_L26*Otro2_B)+(A2_C_L26*Otro2_C)+(A2_D_L26*Otro2_D)+(A2_Y_L26*Otro2_Y))*Inflación_2</f>
        <v>0</v>
      </c>
      <c r="BE37" s="101">
        <f>SUMIFS('9'!$E:$E,'9'!$A:$A,Año_Inicial+1,'9'!$B:$B,'12'!BD$4,'9'!$D:$D,"Otro insumo 2*")</f>
        <v>0</v>
      </c>
      <c r="BF37" s="101">
        <f>((A2_A_L27*Otro2_A)+(A2_B_L27*Otro2_B)+(A2_C_L27*Otro2_C)+(A2_D_L27*Otro2_D)+(A2_Y_L27*Otro2_Y))*Inflación_2</f>
        <v>0</v>
      </c>
      <c r="BG37" s="101">
        <f>SUMIFS('9'!$E:$E,'9'!$A:$A,Año_Inicial+1,'9'!$B:$B,'12'!BF$4,'9'!$D:$D,"Otro insumo 2*")</f>
        <v>0</v>
      </c>
      <c r="BH37" s="101">
        <f>((A2_A_L28*Otro2_A)+(A2_B_L28*Otro2_B)+(A2_C_L28*Otro2_C)+(A2_D_L28*Otro2_D)+(A2_Y_L28*Otro2_Y))*Inflación_2</f>
        <v>0</v>
      </c>
      <c r="BI37" s="101">
        <f>SUMIFS('9'!$E:$E,'9'!$A:$A,Año_Inicial+1,'9'!$B:$B,'12'!BH$4,'9'!$D:$D,"Otro insumo 2*")</f>
        <v>0</v>
      </c>
      <c r="BJ37" s="101">
        <f>((A2_A_L29*Otro2_A)+(A2_B_L29*Otro2_B)+(A2_C_L29*Otro2_C)+(A2_D_L29*Otro2_D)+(A2_Y_L29*Otro2_Y))*Inflación_2</f>
        <v>0</v>
      </c>
      <c r="BK37" s="101">
        <f>SUMIFS('9'!$E:$E,'9'!$A:$A,Año_Inicial+1,'9'!$B:$B,'12'!BJ$4,'9'!$D:$D,"Otro insumo 2*")</f>
        <v>0</v>
      </c>
      <c r="BL37" s="101">
        <f>((A2_A_L30*Otro2_A)+(A2_B_L30*Otro2_B)+(A2_C_L30*Otro2_C)+(A2_D_L30*Otro2_D)+(A2_Y_L30*Otro2_Y))*Inflación_2</f>
        <v>0</v>
      </c>
      <c r="BM37" s="101">
        <f>SUMIFS('9'!$E:$E,'9'!$A:$A,Año_Inicial+1,'9'!$B:$B,'12'!BL$4,'9'!$D:$D,"Otro insumo 2*")</f>
        <v>0</v>
      </c>
      <c r="BN37" s="101">
        <f>((A2_A_L31*Otro2_A)+(A2_B_L31*Otro2_B)+(A2_C_L31*Otro2_C)+(A2_D_L31*Otro2_D)+(A2_Y_L31*Otro2_Y))*Inflación_2</f>
        <v>0</v>
      </c>
      <c r="BO37" s="101">
        <f>SUMIFS('9'!$E:$E,'9'!$A:$A,Año_Inicial+1,'9'!$B:$B,'12'!BN$4,'9'!$D:$D,"Otro insumo 2*")</f>
        <v>0</v>
      </c>
      <c r="BP37" s="101">
        <f>((A2_A_L32*Otro2_A)+(A2_B_L32*Otro2_B)+(A2_C_L32*Otro2_C)+(A2_D_L32*Otro2_D)+(A2_Y_L32*Otro2_Y))*Inflación_2</f>
        <v>0</v>
      </c>
      <c r="BQ37" s="101">
        <f>SUMIFS('9'!$E:$E,'9'!$A:$A,Año_Inicial+1,'9'!$B:$B,'12'!BP$4,'9'!$D:$D,"Otro insumo 2*")</f>
        <v>0</v>
      </c>
      <c r="BR37" s="101">
        <f>((A2_A_L33*Otro2_A)+(A2_B_L33*Otro2_B)+(A2_C_L33*Otro2_C)+(A2_D_L33*Otro2_D)+(A2_Y_L33*Otro2_Y))*Inflación_2</f>
        <v>0</v>
      </c>
      <c r="BS37" s="101">
        <f>SUMIFS('9'!$E:$E,'9'!$A:$A,Año_Inicial+1,'9'!$B:$B,'12'!BR$4,'9'!$D:$D,"Otro insumo 2*")</f>
        <v>0</v>
      </c>
      <c r="BT37" s="101">
        <f>((A2_A_L34*Otro2_A)+(A2_B_L34*Otro2_B)+(A2_C_L34*Otro2_C)+(A2_D_L34*Otro2_D)+(A2_Y_L34*Otro2_Y))*Inflación_2</f>
        <v>0</v>
      </c>
      <c r="BU37" s="101">
        <f>SUMIFS('9'!$E:$E,'9'!$A:$A,Año_Inicial+1,'9'!$B:$B,'12'!BT$4,'9'!$D:$D,"Otro insumo 2*")</f>
        <v>0</v>
      </c>
      <c r="BV37" s="101">
        <f>((A2_A_L35*Otro2_A)+(A2_B_L35*Otro2_B)+(A2_C_L35*Otro2_C)+(A2_D_L35*Otro2_D)+(A2_Y_L35*Otro2_Y))*Inflación_2</f>
        <v>0</v>
      </c>
      <c r="BW37" s="101">
        <f>SUMIFS('9'!$E:$E,'9'!$A:$A,Año_Inicial+1,'9'!$B:$B,'12'!BV$4,'9'!$D:$D,"Otro insumo 2*")</f>
        <v>0</v>
      </c>
      <c r="BX37" s="101">
        <f>((A2_A_L36*Otro2_A)+(A2_B_L36*Otro2_B)+(A2_C_L36*Otro2_C)+(A2_D_L36*Otro2_D)+(A2_Y_L36*Otro2_Y))*Inflación_2</f>
        <v>0</v>
      </c>
      <c r="BY37" s="101">
        <f>SUMIFS('9'!$E:$E,'9'!$A:$A,Año_Inicial+1,'9'!$B:$B,'12'!BX$4,'9'!$D:$D,"Otro insumo 2*")</f>
        <v>0</v>
      </c>
      <c r="BZ37" s="101">
        <f>((A2_A_L37*Otro2_A)+(A2_B_L37*Otro2_B)+(A2_C_L37*Otro2_C)+(A2_D_L37*Otro2_D)+(A2_Y_L37*Otro2_Y))*Inflación_2</f>
        <v>0</v>
      </c>
      <c r="CA37" s="101">
        <f>SUMIFS('9'!$E:$E,'9'!$A:$A,Año_Inicial+1,'9'!$B:$B,'12'!BZ$4,'9'!$D:$D,"Otro insumo 2*")</f>
        <v>0</v>
      </c>
      <c r="CB37" s="101">
        <f>((A2_A_L38*Otro2_A)+(A2_B_L38*Otro2_B)+(A2_C_L38*Otro2_C)+(A2_D_L38*Otro2_D)+(A2_Y_L38*Otro2_Y))*Inflación_2</f>
        <v>0</v>
      </c>
      <c r="CC37" s="101">
        <f>SUMIFS('9'!$E:$E,'9'!$A:$A,Año_Inicial+1,'9'!$B:$B,'12'!CB$4,'9'!$D:$D,"Otro insumo 2*")</f>
        <v>0</v>
      </c>
      <c r="CD37" s="101">
        <f>((A2_A_L39*Otro2_A)+(A2_B_L39*Otro2_B)+(A2_C_L39*Otro2_C)+(A2_D_L39*Otro2_D)+(A2_Y_L39*Otro2_Y))*Inflación_2</f>
        <v>0</v>
      </c>
      <c r="CE37" s="101">
        <f>SUMIFS('9'!$E:$E,'9'!$A:$A,Año_Inicial+1,'9'!$B:$B,'12'!CD$4,'9'!$D:$D,"Otro insumo 2*")</f>
        <v>0</v>
      </c>
      <c r="CF37" s="101">
        <f>((A2_A_L40*Otro2_A)+(A2_B_L40*Otro2_B)+(A2_C_L40*Otro2_C)+(A2_D_L40*Otro2_D)+(A2_Y_L40*Otro2_Y))*Inflación_2</f>
        <v>0</v>
      </c>
      <c r="CG37" s="101">
        <f>SUMIFS('9'!$E:$E,'9'!$A:$A,Año_Inicial+1,'9'!$B:$B,'12'!CF$4,'9'!$D:$D,"Otro insumo 2*")</f>
        <v>0</v>
      </c>
      <c r="CH37" s="473"/>
      <c r="CI37" s="101">
        <f>Plantas_A_A2*Otro2_A*Inflación_2</f>
        <v>0</v>
      </c>
      <c r="CJ37" s="101">
        <f>Plantas_B_A2*Otro2_B</f>
        <v>0</v>
      </c>
      <c r="CK37" s="101">
        <f>Plantas_C_A2*Otro2_C</f>
        <v>0</v>
      </c>
      <c r="CL37" s="101">
        <f>Plantas_D_A2*Otro2_D</f>
        <v>0</v>
      </c>
      <c r="CM37" s="101"/>
      <c r="CN37" s="101">
        <f>Plantas_Y_A2*Otro2_Y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7"/>
        <v>0</v>
      </c>
      <c r="C38" s="101">
        <f>SUMIFS('9'!$E:$E,'9'!$A:$A,Año_Inicial+1,'9'!$D:$D,"Otro insumo 3*")</f>
        <v>0</v>
      </c>
      <c r="D38" s="100">
        <f t="shared" si="46"/>
        <v>0</v>
      </c>
      <c r="E38" s="490"/>
      <c r="F38" s="101">
        <f>((A2_A_L1*Otro3_A)+(A2_B_L1*Otro3_B)+(A2_C_L1*Otro3_C)+(A2_D_L1*Otro3_D)+(A2_Y_L1*Otro3_Y))*Inflación_2</f>
        <v>0</v>
      </c>
      <c r="G38" s="101">
        <f>SUMIFS('9'!$E:$E,'9'!$A:$A,Año_Inicial+1,'9'!$B:$B,'12'!F$4,'9'!$D:$D,"Otro insumo 3*")</f>
        <v>0</v>
      </c>
      <c r="H38" s="101">
        <f>((A2_A_L2*Otro3_A)+(A2_B_L2*Otro3_B)+(A2_C_L2*Otro3_C)+(A2_D_L2*Otro3_D)+(A2_Y_L2*Otro3_Y))*Inflación_2</f>
        <v>0</v>
      </c>
      <c r="I38" s="101">
        <f>SUMIFS('9'!$E:$E,'9'!$A:$A,Año_Inicial+1,'9'!$B:$B,'12'!H$4,'9'!$D:$D,"Otro insumo 3*")</f>
        <v>0</v>
      </c>
      <c r="J38" s="101">
        <f>((A2_A_L3*Otro3_A)+(A2_B_L3*Otro3_B)+(A2_C_L3*Otro3_C)+(A2_D_L3*Otro3_D)+(A2_Y_L3*Otro3_Y))*Inflación_2</f>
        <v>0</v>
      </c>
      <c r="K38" s="101">
        <f>SUMIFS('9'!$E:$E,'9'!$A:$A,Año_Inicial+1,'9'!$B:$B,'12'!J$4,'9'!$D:$D,"Otro insumo 3*")</f>
        <v>0</v>
      </c>
      <c r="L38" s="101">
        <f>((A2_A_L4*Otro3_A)+(A2_B_L4*Otro3_B)+(A2_C_L4*Otro3_C)+(A2_D_L4*Otro3_D)+(A2_Y_L4*Otro3_Y))*Inflación_2</f>
        <v>0</v>
      </c>
      <c r="M38" s="101">
        <f>SUMIFS('9'!$E:$E,'9'!$A:$A,Año_Inicial+1,'9'!$B:$B,'12'!L$4,'9'!$D:$D,"Otro insumo 3*")</f>
        <v>0</v>
      </c>
      <c r="N38" s="101">
        <f>((A2_A_L5*Otro3_A)+(A2_B_L5*Otro3_B)+(A2_C_L5*Otro3_C)+(A2_D_L5*Otro3_D)+(A2_Y_L5*Otro3_Y))*Inflación_2</f>
        <v>0</v>
      </c>
      <c r="O38" s="101">
        <f>SUMIFS('9'!$E:$E,'9'!$A:$A,Año_Inicial+1,'9'!$B:$B,'12'!N$4,'9'!$D:$D,"Otro insumo 3*")</f>
        <v>0</v>
      </c>
      <c r="P38" s="101">
        <f>((A2_A_L6*Otro3_A)+(A2_B_L6*Otro3_B)+(A2_C_L6*Otro3_C)+(A2_D_L6*Otro3_D)+(A2_Y_L6*Otro3_Y))*Inflación_2</f>
        <v>0</v>
      </c>
      <c r="Q38" s="101">
        <f>SUMIFS('9'!$E:$E,'9'!$A:$A,Año_Inicial+1,'9'!$B:$B,'12'!P$4,'9'!$D:$D,"Otro insumo 3*")</f>
        <v>0</v>
      </c>
      <c r="R38" s="101">
        <f>((A2_A_L7*Otro3_A)+(A2_B_L7*Otro3_B)+(A2_C_L7*Otro3_C)+(A2_D_L7*Otro3_D)+(A2_Y_L7*Otro3_Y))*Inflación_2</f>
        <v>0</v>
      </c>
      <c r="S38" s="101">
        <f>SUMIFS('9'!$E:$E,'9'!$A:$A,Año_Inicial+1,'9'!$B:$B,'12'!R$4,'9'!$D:$D,"Otro insumo 3*")</f>
        <v>0</v>
      </c>
      <c r="T38" s="101">
        <f>((A2_A_L8*Otro3_A)+(A2_B_L8*Otro3_B)+(A2_C_L8*Otro3_C)+(A2_D_L8*Otro3_D)+(A2_Y_L8*Otro3_Y))*Inflación_2</f>
        <v>0</v>
      </c>
      <c r="U38" s="101">
        <f>SUMIFS('9'!$E:$E,'9'!$A:$A,Año_Inicial+1,'9'!$B:$B,'12'!T$4,'9'!$D:$D,"Otro insumo 3*")</f>
        <v>0</v>
      </c>
      <c r="V38" s="101">
        <f>((A2_A_L9*Otro3_A)+(A2_B_L9*Otro3_B)+(A2_C_L9*Otro3_C)+(A2_D_L9*Otro3_D)+(A2_Y_L9*Otro3_Y))*Inflación_2</f>
        <v>0</v>
      </c>
      <c r="W38" s="101">
        <f>SUMIFS('9'!$E:$E,'9'!$A:$A,Año_Inicial+1,'9'!$B:$B,'12'!V$4,'9'!$D:$D,"Otro insumo 3*")</f>
        <v>0</v>
      </c>
      <c r="X38" s="101">
        <f>((A2_A_L10*Otro3_A)+(A2_B_L10*Otro3_B)+(A2_C_L10*Otro3_C)+(A2_D_L10*Otro3_D)+(A2_Y_L10*Otro3_Y))*Inflación_2</f>
        <v>0</v>
      </c>
      <c r="Y38" s="101">
        <f>SUMIFS('9'!$E:$E,'9'!$A:$A,Año_Inicial+1,'9'!$B:$B,'12'!X$4,'9'!$D:$D,"Otro insumo 3*")</f>
        <v>0</v>
      </c>
      <c r="Z38" s="101">
        <f>((A2_A_L11*Otro3_A)+(A2_B_L11*Otro3_B)+(A2_C_L11*Otro3_C)+(A2_D_L11*Otro3_D)+(A2_Y_L11*Otro3_Y))*Inflación_2</f>
        <v>0</v>
      </c>
      <c r="AA38" s="101">
        <f>SUMIFS('9'!$E:$E,'9'!$A:$A,Año_Inicial+1,'9'!$B:$B,'12'!Z$4,'9'!$D:$D,"Otro insumo 3*")</f>
        <v>0</v>
      </c>
      <c r="AB38" s="101">
        <f>((A2_A_L12*Otro3_A)+(A2_B_L12*Otro3_B)+(A2_C_L12*Otro3_C)+(A2_D_L12*Otro3_D)+(A2_Y_L12*Otro3_Y))*Inflación_2</f>
        <v>0</v>
      </c>
      <c r="AC38" s="101">
        <f>SUMIFS('9'!$E:$E,'9'!$A:$A,Año_Inicial+1,'9'!$B:$B,'12'!AB$4,'9'!$D:$D,"Otro insumo 3*")</f>
        <v>0</v>
      </c>
      <c r="AD38" s="101">
        <f>((A2_A_L13*Otro3_A)+(A2_B_L13*Otro3_B)+(A2_C_L13*Otro3_C)+(A2_D_L13*Otro3_D)+(A2_Y_L13*Otro3_Y))*Inflación_2</f>
        <v>0</v>
      </c>
      <c r="AE38" s="101">
        <f>SUMIFS('9'!$E:$E,'9'!$A:$A,Año_Inicial+1,'9'!$B:$B,'12'!AD$4,'9'!$D:$D,"Otro insumo 3*")</f>
        <v>0</v>
      </c>
      <c r="AF38" s="101">
        <f>((A2_A_L14*Otro3_A)+(A2_B_L14*Otro3_B)+(A2_C_L14*Otro3_C)+(A2_D_L14*Otro3_D)+(A2_Y_L14*Otro3_Y))*Inflación_2</f>
        <v>0</v>
      </c>
      <c r="AG38" s="101">
        <f>SUMIFS('9'!$E:$E,'9'!$A:$A,Año_Inicial+1,'9'!$B:$B,'12'!AF$4,'9'!$D:$D,"Otro insumo 3*")</f>
        <v>0</v>
      </c>
      <c r="AH38" s="101">
        <f>((A2_A_L15*Otro3_A)+(A2_B_L15*Otro3_B)+(A2_C_L15*Otro3_C)+(A2_D_L15*Otro3_D)+(A2_Y_L15*Otro3_Y))*Inflación_2</f>
        <v>0</v>
      </c>
      <c r="AI38" s="101">
        <f>SUMIFS('9'!$E:$E,'9'!$A:$A,Año_Inicial+1,'9'!$B:$B,'12'!AH$4,'9'!$D:$D,"Otro insumo 3*")</f>
        <v>0</v>
      </c>
      <c r="AJ38" s="101">
        <f>((A2_A_L16*Otro3_A)+(A2_B_L16*Otro3_B)+(A2_C_L16*Otro3_C)+(A2_D_L16*Otro3_D)+(A2_Y_L16*Otro3_Y))*Inflación_2</f>
        <v>0</v>
      </c>
      <c r="AK38" s="101">
        <f>SUMIFS('9'!$E:$E,'9'!$A:$A,Año_Inicial+1,'9'!$B:$B,'12'!AJ$4,'9'!$D:$D,"Otro insumo 3*")</f>
        <v>0</v>
      </c>
      <c r="AL38" s="101">
        <f>((A2_A_L17*Otro3_A)+(A2_B_L17*Otro3_B)+(A2_C_L17*Otro3_C)+(A2_D_L17*Otro3_D)+(A2_Y_L17*Otro3_Y))*Inflación_2</f>
        <v>0</v>
      </c>
      <c r="AM38" s="101">
        <f>SUMIFS('9'!$E:$E,'9'!$A:$A,Año_Inicial+1,'9'!$B:$B,'12'!AL$4,'9'!$D:$D,"Otro insumo 3*")</f>
        <v>0</v>
      </c>
      <c r="AN38" s="101">
        <f>((A2_A_L18*Otro3_A)+(A2_B_L18*Otro3_B)+(A2_C_L18*Otro3_C)+(A2_D_L18*Otro3_D)+(A2_Y_L18*Otro3_Y))*Inflación_2</f>
        <v>0</v>
      </c>
      <c r="AO38" s="101">
        <f>SUMIFS('9'!$E:$E,'9'!$A:$A,Año_Inicial+1,'9'!$B:$B,'12'!AN$4,'9'!$D:$D,"Otro insumo 3*")</f>
        <v>0</v>
      </c>
      <c r="AP38" s="101">
        <f>((A2_A_L19*Otro3_A)+(A2_B_L19*Otro3_B)+(A2_C_L19*Otro3_C)+(A2_D_L19*Otro3_D)+(A2_Y_L19*Otro3_Y))*Inflación_2</f>
        <v>0</v>
      </c>
      <c r="AQ38" s="101">
        <f>SUMIFS('9'!$E:$E,'9'!$A:$A,Año_Inicial+1,'9'!$B:$B,'12'!AP$4,'9'!$D:$D,"Otro insumo 3*")</f>
        <v>0</v>
      </c>
      <c r="AR38" s="101">
        <f>((A2_A_L20*Otro3_A)+(A2_B_L20*Otro3_B)+(A2_C_L20*Otro3_C)+(A2_D_L20*Otro3_D)+(A2_Y_L20*Otro3_Y))*Inflación_2</f>
        <v>0</v>
      </c>
      <c r="AS38" s="101">
        <f>SUMIFS('9'!$E:$E,'9'!$A:$A,Año_Inicial+1,'9'!$B:$B,'12'!AR$4,'9'!$D:$D,"Otro insumo 3*")</f>
        <v>0</v>
      </c>
      <c r="AT38" s="101">
        <f>((A2_A_L21*Otro3_A)+(A2_B_L21*Otro3_B)+(A2_C_L21*Otro3_C)+(A2_D_L21*Otro3_D)+(A2_Y_L21*Otro3_Y))*Inflación_2</f>
        <v>0</v>
      </c>
      <c r="AU38" s="101">
        <f>SUMIFS('9'!$E:$E,'9'!$A:$A,Año_Inicial+1,'9'!$B:$B,'12'!AT$4,'9'!$D:$D,"Otro insumo 3*")</f>
        <v>0</v>
      </c>
      <c r="AV38" s="101">
        <f>((A2_A_L22*Otro3_A)+(A2_B_L22*Otro3_B)+(A2_C_L22*Otro3_C)+(A2_D_L22*Otro3_D)+(A2_Y_L22*Otro3_Y))*Inflación_2</f>
        <v>0</v>
      </c>
      <c r="AW38" s="101">
        <f>SUMIFS('9'!$E:$E,'9'!$A:$A,Año_Inicial+1,'9'!$B:$B,'12'!AV$4,'9'!$D:$D,"Otro insumo 3*")</f>
        <v>0</v>
      </c>
      <c r="AX38" s="101">
        <f>((A2_A_L23*Otro3_A)+(A2_B_L23*Otro3_B)+(A2_C_L23*Otro3_C)+(A2_D_L23*Otro3_D)+(A2_Y_L23*Otro3_Y))*Inflación_2</f>
        <v>0</v>
      </c>
      <c r="AY38" s="101">
        <f>SUMIFS('9'!$E:$E,'9'!$A:$A,Año_Inicial+1,'9'!$B:$B,'12'!AX$4,'9'!$D:$D,"Otro insumo 3*")</f>
        <v>0</v>
      </c>
      <c r="AZ38" s="101">
        <f>((A2_A_L24*Otro3_A)+(A2_B_L24*Otro3_B)+(A2_C_L24*Otro3_C)+(A2_D_L24*Otro3_D)+(A2_Y_L24*Otro3_Y))*Inflación_2</f>
        <v>0</v>
      </c>
      <c r="BA38" s="101">
        <f>SUMIFS('9'!$E:$E,'9'!$A:$A,Año_Inicial+1,'9'!$B:$B,'12'!AZ$4,'9'!$D:$D,"Otro insumo 3*")</f>
        <v>0</v>
      </c>
      <c r="BB38" s="101">
        <f>((A2_A_L25*Otro3_A)+(A2_B_L25*Otro3_B)+(A2_C_L25*Otro3_C)+(A2_D_L25*Otro3_D)+(A2_Y_L25*Otro3_Y))*Inflación_2</f>
        <v>0</v>
      </c>
      <c r="BC38" s="101">
        <f>SUMIFS('9'!$E:$E,'9'!$A:$A,Año_Inicial+1,'9'!$B:$B,'12'!BB$4,'9'!$D:$D,"Otro insumo 3*")</f>
        <v>0</v>
      </c>
      <c r="BD38" s="101">
        <f>((A2_A_L26*Otro3_A)+(A2_B_L26*Otro3_B)+(A2_C_L26*Otro3_C)+(A2_D_L26*Otro3_D)+(A2_Y_L26*Otro3_Y))*Inflación_2</f>
        <v>0</v>
      </c>
      <c r="BE38" s="101">
        <f>SUMIFS('9'!$E:$E,'9'!$A:$A,Año_Inicial+1,'9'!$B:$B,'12'!BD$4,'9'!$D:$D,"Otro insumo 3*")</f>
        <v>0</v>
      </c>
      <c r="BF38" s="101">
        <f>((A2_A_L27*Otro3_A)+(A2_B_L27*Otro3_B)+(A2_C_L27*Otro3_C)+(A2_D_L27*Otro3_D)+(A2_Y_L27*Otro3_Y))*Inflación_2</f>
        <v>0</v>
      </c>
      <c r="BG38" s="101">
        <f>SUMIFS('9'!$E:$E,'9'!$A:$A,Año_Inicial+1,'9'!$B:$B,'12'!BF$4,'9'!$D:$D,"Otro insumo 3*")</f>
        <v>0</v>
      </c>
      <c r="BH38" s="101">
        <f>((A2_A_L28*Otro3_A)+(A2_B_L28*Otro3_B)+(A2_C_L28*Otro3_C)+(A2_D_L28*Otro3_D)+(A2_Y_L28*Otro3_Y))*Inflación_2</f>
        <v>0</v>
      </c>
      <c r="BI38" s="101">
        <f>SUMIFS('9'!$E:$E,'9'!$A:$A,Año_Inicial+1,'9'!$B:$B,'12'!BH$4,'9'!$D:$D,"Otro insumo 3*")</f>
        <v>0</v>
      </c>
      <c r="BJ38" s="101">
        <f>((A2_A_L29*Otro3_A)+(A2_B_L29*Otro3_B)+(A2_C_L29*Otro3_C)+(A2_D_L29*Otro3_D)+(A2_Y_L29*Otro3_Y))*Inflación_2</f>
        <v>0</v>
      </c>
      <c r="BK38" s="101">
        <f>SUMIFS('9'!$E:$E,'9'!$A:$A,Año_Inicial+1,'9'!$B:$B,'12'!BJ$4,'9'!$D:$D,"Otro insumo 3*")</f>
        <v>0</v>
      </c>
      <c r="BL38" s="101">
        <f>((A2_A_L30*Otro3_A)+(A2_B_L30*Otro3_B)+(A2_C_L30*Otro3_C)+(A2_D_L30*Otro3_D)+(A2_Y_L30*Otro3_Y))*Inflación_2</f>
        <v>0</v>
      </c>
      <c r="BM38" s="101">
        <f>SUMIFS('9'!$E:$E,'9'!$A:$A,Año_Inicial+1,'9'!$B:$B,'12'!BL$4,'9'!$D:$D,"Otro insumo 3*")</f>
        <v>0</v>
      </c>
      <c r="BN38" s="101">
        <f>((A2_A_L31*Otro3_A)+(A2_B_L31*Otro3_B)+(A2_C_L31*Otro3_C)+(A2_D_L31*Otro3_D)+(A2_Y_L31*Otro3_Y))*Inflación_2</f>
        <v>0</v>
      </c>
      <c r="BO38" s="101">
        <f>SUMIFS('9'!$E:$E,'9'!$A:$A,Año_Inicial+1,'9'!$B:$B,'12'!BN$4,'9'!$D:$D,"Otro insumo 3*")</f>
        <v>0</v>
      </c>
      <c r="BP38" s="101">
        <f>((A2_A_L32*Otro3_A)+(A2_B_L32*Otro3_B)+(A2_C_L32*Otro3_C)+(A2_D_L32*Otro3_D)+(A2_Y_L32*Otro3_Y))*Inflación_2</f>
        <v>0</v>
      </c>
      <c r="BQ38" s="101">
        <f>SUMIFS('9'!$E:$E,'9'!$A:$A,Año_Inicial+1,'9'!$B:$B,'12'!BP$4,'9'!$D:$D,"Otro insumo 3*")</f>
        <v>0</v>
      </c>
      <c r="BR38" s="101">
        <f>((A2_A_L33*Otro3_A)+(A2_B_L33*Otro3_B)+(A2_C_L33*Otro3_C)+(A2_D_L33*Otro3_D)+(A2_Y_L33*Otro3_Y))*Inflación_2</f>
        <v>0</v>
      </c>
      <c r="BS38" s="101">
        <f>SUMIFS('9'!$E:$E,'9'!$A:$A,Año_Inicial+1,'9'!$B:$B,'12'!BR$4,'9'!$D:$D,"Otro insumo 3*")</f>
        <v>0</v>
      </c>
      <c r="BT38" s="101">
        <f>((A2_A_L34*Otro3_A)+(A2_B_L34*Otro3_B)+(A2_C_L34*Otro3_C)+(A2_D_L34*Otro3_D)+(A2_Y_L34*Otro3_Y))*Inflación_2</f>
        <v>0</v>
      </c>
      <c r="BU38" s="101">
        <f>SUMIFS('9'!$E:$E,'9'!$A:$A,Año_Inicial+1,'9'!$B:$B,'12'!BT$4,'9'!$D:$D,"Otro insumo 3*")</f>
        <v>0</v>
      </c>
      <c r="BV38" s="101">
        <f>((A2_A_L35*Otro3_A)+(A2_B_L35*Otro3_B)+(A2_C_L35*Otro3_C)+(A2_D_L35*Otro3_D)+(A2_Y_L35*Otro3_Y))*Inflación_2</f>
        <v>0</v>
      </c>
      <c r="BW38" s="101">
        <f>SUMIFS('9'!$E:$E,'9'!$A:$A,Año_Inicial+1,'9'!$B:$B,'12'!BV$4,'9'!$D:$D,"Otro insumo 3*")</f>
        <v>0</v>
      </c>
      <c r="BX38" s="101">
        <f>((A2_A_L36*Otro3_A)+(A2_B_L36*Otro3_B)+(A2_C_L36*Otro3_C)+(A2_D_L36*Otro3_D)+(A2_Y_L36*Otro3_Y))*Inflación_2</f>
        <v>0</v>
      </c>
      <c r="BY38" s="101">
        <f>SUMIFS('9'!$E:$E,'9'!$A:$A,Año_Inicial+1,'9'!$B:$B,'12'!BX$4,'9'!$D:$D,"Otro insumo 3*")</f>
        <v>0</v>
      </c>
      <c r="BZ38" s="101">
        <f>((A2_A_L37*Otro3_A)+(A2_B_L37*Otro3_B)+(A2_C_L37*Otro3_C)+(A2_D_L37*Otro3_D)+(A2_Y_L37*Otro3_Y))*Inflación_2</f>
        <v>0</v>
      </c>
      <c r="CA38" s="101">
        <f>SUMIFS('9'!$E:$E,'9'!$A:$A,Año_Inicial+1,'9'!$B:$B,'12'!BZ$4,'9'!$D:$D,"Otro insumo 3*")</f>
        <v>0</v>
      </c>
      <c r="CB38" s="101">
        <f>((A2_A_L38*Otro3_A)+(A2_B_L38*Otro3_B)+(A2_C_L38*Otro3_C)+(A2_D_L38*Otro3_D)+(A2_Y_L38*Otro3_Y))*Inflación_2</f>
        <v>0</v>
      </c>
      <c r="CC38" s="101">
        <f>SUMIFS('9'!$E:$E,'9'!$A:$A,Año_Inicial+1,'9'!$B:$B,'12'!CB$4,'9'!$D:$D,"Otro insumo 3*")</f>
        <v>0</v>
      </c>
      <c r="CD38" s="101">
        <f>((A2_A_L39*Otro3_A)+(A2_B_L39*Otro3_B)+(A2_C_L39*Otro3_C)+(A2_D_L39*Otro3_D)+(A2_Y_L39*Otro3_Y))*Inflación_2</f>
        <v>0</v>
      </c>
      <c r="CE38" s="101">
        <f>SUMIFS('9'!$E:$E,'9'!$A:$A,Año_Inicial+1,'9'!$B:$B,'12'!CD$4,'9'!$D:$D,"Otro insumo 3*")</f>
        <v>0</v>
      </c>
      <c r="CF38" s="101">
        <f>((A2_A_L40*Otro3_A)+(A2_B_L40*Otro3_B)+(A2_C_L40*Otro3_C)+(A2_D_L40*Otro3_D)+(A2_Y_L40*Otro3_Y))*Inflación_2</f>
        <v>0</v>
      </c>
      <c r="CG38" s="101">
        <f>SUMIFS('9'!$E:$E,'9'!$A:$A,Año_Inicial+1,'9'!$B:$B,'12'!CF$4,'9'!$D:$D,"Otro insumo 3*")</f>
        <v>0</v>
      </c>
      <c r="CH38" s="473"/>
      <c r="CI38" s="101">
        <f>Plantas_A_A2*Otro3_A*Inflación_2</f>
        <v>0</v>
      </c>
      <c r="CJ38" s="101">
        <f>Plantas_B_A2*Otro3_B</f>
        <v>0</v>
      </c>
      <c r="CK38" s="101">
        <f>Plantas_C_A2*Otro3_C</f>
        <v>0</v>
      </c>
      <c r="CL38" s="101">
        <f>Plantas_D_A2*Otro3_D</f>
        <v>0</v>
      </c>
      <c r="CM38" s="101"/>
      <c r="CN38" s="101">
        <f>Plantas_Y_A2*Otro3_Y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90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7"/>
        <v>0</v>
      </c>
      <c r="C40" s="101">
        <f>SUMIFS('9'!$E:$E,'9'!$A:$A,Año_Inicial+1,'9'!$D:$D,"Corte")</f>
        <v>0</v>
      </c>
      <c r="D40" s="100">
        <f t="shared" si="46"/>
        <v>0</v>
      </c>
      <c r="E40" s="490"/>
      <c r="F40" s="101">
        <f>P_A2_L1*CUI_Corte*Inflación_2</f>
        <v>0</v>
      </c>
      <c r="G40" s="101">
        <f>SUMIFS('9'!$E:$E,'9'!$A:$A,Año_Inicial+1,'9'!$B:$B,'12'!F$4,'9'!$D:$D,"Corte")</f>
        <v>0</v>
      </c>
      <c r="H40" s="101">
        <f>P_A2_L2*CUI_Corte*Inflación_2</f>
        <v>0</v>
      </c>
      <c r="I40" s="101">
        <f>SUMIFS('9'!$E:$E,'9'!$A:$A,Año_Inicial+1,'9'!$B:$B,'12'!H$4,'9'!$D:$D,"Corte")</f>
        <v>0</v>
      </c>
      <c r="J40" s="101">
        <f>P_A2_L3*CUI_Corte*Inflación_2</f>
        <v>0</v>
      </c>
      <c r="K40" s="101">
        <f>SUMIFS('9'!$E:$E,'9'!$A:$A,Año_Inicial+1,'9'!$B:$B,'12'!J$4,'9'!$D:$D,"Corte")</f>
        <v>0</v>
      </c>
      <c r="L40" s="101">
        <f>P_A2_L4*CUI_Corte*Inflación_2</f>
        <v>0</v>
      </c>
      <c r="M40" s="101">
        <f>SUMIFS('9'!$E:$E,'9'!$A:$A,Año_Inicial+1,'9'!$B:$B,'12'!L$4,'9'!$D:$D,"Corte")</f>
        <v>0</v>
      </c>
      <c r="N40" s="101">
        <f>P_A2_L5*CUI_Corte*Inflación_2</f>
        <v>0</v>
      </c>
      <c r="O40" s="101">
        <f>SUMIFS('9'!$E:$E,'9'!$A:$A,Año_Inicial+1,'9'!$B:$B,'12'!N$4,'9'!$D:$D,"Corte")</f>
        <v>0</v>
      </c>
      <c r="P40" s="101">
        <f>P_A2_L6*CUI_Corte*Inflación_2</f>
        <v>0</v>
      </c>
      <c r="Q40" s="101">
        <f>SUMIFS('9'!$E:$E,'9'!$A:$A,Año_Inicial+1,'9'!$B:$B,'12'!P$4,'9'!$D:$D,"Corte")</f>
        <v>0</v>
      </c>
      <c r="R40" s="101">
        <f>P_A2_L7*CUI_Corte*Inflación_2</f>
        <v>0</v>
      </c>
      <c r="S40" s="101">
        <f>SUMIFS('9'!$E:$E,'9'!$A:$A,Año_Inicial+1,'9'!$B:$B,'12'!R$4,'9'!$D:$D,"Corte")</f>
        <v>0</v>
      </c>
      <c r="T40" s="101">
        <f>P_A2_L8*CUI_Corte*Inflación_2</f>
        <v>0</v>
      </c>
      <c r="U40" s="101">
        <f>SUMIFS('9'!$E:$E,'9'!$A:$A,Año_Inicial+1,'9'!$B:$B,'12'!T$4,'9'!$D:$D,"Corte")</f>
        <v>0</v>
      </c>
      <c r="V40" s="101">
        <f>P_A2_L9*CUI_Corte*Inflación_2</f>
        <v>0</v>
      </c>
      <c r="W40" s="101">
        <f>SUMIFS('9'!$E:$E,'9'!$A:$A,Año_Inicial+1,'9'!$B:$B,'12'!V$4,'9'!$D:$D,"Corte")</f>
        <v>0</v>
      </c>
      <c r="X40" s="101">
        <f>P_A2_L10*CUI_Corte*Inflación_2</f>
        <v>0</v>
      </c>
      <c r="Y40" s="101">
        <f>SUMIFS('9'!$E:$E,'9'!$A:$A,Año_Inicial+1,'9'!$B:$B,'12'!X$4,'9'!$D:$D,"Corte")</f>
        <v>0</v>
      </c>
      <c r="Z40" s="101">
        <f>P_A2_L11*CUI_Corte*Inflación_2</f>
        <v>0</v>
      </c>
      <c r="AA40" s="101">
        <f>SUMIFS('9'!$E:$E,'9'!$A:$A,Año_Inicial+1,'9'!$B:$B,'12'!Z$4,'9'!$D:$D,"Corte")</f>
        <v>0</v>
      </c>
      <c r="AB40" s="101">
        <f>P_A2_L12*CUI_Corte*Inflación_2</f>
        <v>0</v>
      </c>
      <c r="AC40" s="101">
        <f>SUMIFS('9'!$E:$E,'9'!$A:$A,Año_Inicial+1,'9'!$B:$B,'12'!AB$4,'9'!$D:$D,"Corte")</f>
        <v>0</v>
      </c>
      <c r="AD40" s="101">
        <f>P_A2_L13*CUI_Corte*Inflación_2</f>
        <v>0</v>
      </c>
      <c r="AE40" s="101">
        <f>SUMIFS('9'!$E:$E,'9'!$A:$A,Año_Inicial+1,'9'!$B:$B,'12'!AD$4,'9'!$D:$D,"Corte")</f>
        <v>0</v>
      </c>
      <c r="AF40" s="101">
        <f>P_A2_L14*CUI_Corte*Inflación_2</f>
        <v>0</v>
      </c>
      <c r="AG40" s="101">
        <f>SUMIFS('9'!$E:$E,'9'!$A:$A,Año_Inicial+1,'9'!$B:$B,'12'!AF$4,'9'!$D:$D,"Corte")</f>
        <v>0</v>
      </c>
      <c r="AH40" s="101">
        <f>P_A2_L15*CUI_Corte*Inflación_2</f>
        <v>0</v>
      </c>
      <c r="AI40" s="101">
        <f>SUMIFS('9'!$E:$E,'9'!$A:$A,Año_Inicial+1,'9'!$B:$B,'12'!AH$4,'9'!$D:$D,"Corte")</f>
        <v>0</v>
      </c>
      <c r="AJ40" s="101">
        <f>P_A2_L16*CUI_Corte*Inflación_2</f>
        <v>0</v>
      </c>
      <c r="AK40" s="101">
        <f>SUMIFS('9'!$E:$E,'9'!$A:$A,Año_Inicial+1,'9'!$B:$B,'12'!AJ$4,'9'!$D:$D,"Corte")</f>
        <v>0</v>
      </c>
      <c r="AL40" s="101">
        <f>P_A2_L17*CUI_Corte*Inflación_2</f>
        <v>0</v>
      </c>
      <c r="AM40" s="101">
        <f>SUMIFS('9'!$E:$E,'9'!$A:$A,Año_Inicial+1,'9'!$B:$B,'12'!AL$4,'9'!$D:$D,"Corte")</f>
        <v>0</v>
      </c>
      <c r="AN40" s="101">
        <f>P_A2_L18*CUI_Corte*Inflación_2</f>
        <v>0</v>
      </c>
      <c r="AO40" s="101">
        <f>SUMIFS('9'!$E:$E,'9'!$A:$A,Año_Inicial+1,'9'!$B:$B,'12'!AN$4,'9'!$D:$D,"Corte")</f>
        <v>0</v>
      </c>
      <c r="AP40" s="101">
        <f>P_A2_L19*CUI_Corte*Inflación_2</f>
        <v>0</v>
      </c>
      <c r="AQ40" s="101">
        <f>SUMIFS('9'!$E:$E,'9'!$A:$A,Año_Inicial+1,'9'!$B:$B,'12'!AP$4,'9'!$D:$D,"Corte")</f>
        <v>0</v>
      </c>
      <c r="AR40" s="101">
        <f>P_A2_L20*CUI_Corte*Inflación_2</f>
        <v>0</v>
      </c>
      <c r="AS40" s="101">
        <f>SUMIFS('9'!$E:$E,'9'!$A:$A,Año_Inicial+1,'9'!$B:$B,'12'!AR$4,'9'!$D:$D,"Corte")</f>
        <v>0</v>
      </c>
      <c r="AT40" s="101">
        <f>P_A2_L21*CUI_Corte*Inflación_2</f>
        <v>0</v>
      </c>
      <c r="AU40" s="101">
        <f>SUMIFS('9'!$E:$E,'9'!$A:$A,Año_Inicial+1,'9'!$B:$B,'12'!AT$4,'9'!$D:$D,"Corte")</f>
        <v>0</v>
      </c>
      <c r="AV40" s="101">
        <f>P_A2_L22*CUI_Corte*Inflación_2</f>
        <v>0</v>
      </c>
      <c r="AW40" s="101">
        <f>SUMIFS('9'!$E:$E,'9'!$A:$A,Año_Inicial+1,'9'!$B:$B,'12'!AV$4,'9'!$D:$D,"Corte")</f>
        <v>0</v>
      </c>
      <c r="AX40" s="101">
        <f>P_A2_L23*CUI_Corte*Inflación_2</f>
        <v>0</v>
      </c>
      <c r="AY40" s="101">
        <f>SUMIFS('9'!$E:$E,'9'!$A:$A,Año_Inicial+1,'9'!$B:$B,'12'!AX$4,'9'!$D:$D,"Corte")</f>
        <v>0</v>
      </c>
      <c r="AZ40" s="101">
        <f>P_A2_L24*CUI_Corte*Inflación_2</f>
        <v>0</v>
      </c>
      <c r="BA40" s="101">
        <f>SUMIFS('9'!$E:$E,'9'!$A:$A,Año_Inicial+1,'9'!$B:$B,'12'!AZ$4,'9'!$D:$D,"Corte")</f>
        <v>0</v>
      </c>
      <c r="BB40" s="101">
        <f>P_A2_L25*CUI_Corte*Inflación_2</f>
        <v>0</v>
      </c>
      <c r="BC40" s="101">
        <f>SUMIFS('9'!$E:$E,'9'!$A:$A,Año_Inicial+1,'9'!$B:$B,'12'!BB$4,'9'!$D:$D,"Corte")</f>
        <v>0</v>
      </c>
      <c r="BD40" s="101">
        <f>P_A2_L26*CUI_Corte*Inflación_2</f>
        <v>0</v>
      </c>
      <c r="BE40" s="101">
        <f>SUMIFS('9'!$E:$E,'9'!$A:$A,Año_Inicial+1,'9'!$B:$B,'12'!BD$4,'9'!$D:$D,"Corte")</f>
        <v>0</v>
      </c>
      <c r="BF40" s="101">
        <f>P_A2_L27*CUI_Corte*Inflación_2</f>
        <v>0</v>
      </c>
      <c r="BG40" s="101">
        <f>SUMIFS('9'!$E:$E,'9'!$A:$A,Año_Inicial+1,'9'!$B:$B,'12'!BF$4,'9'!$D:$D,"Corte")</f>
        <v>0</v>
      </c>
      <c r="BH40" s="101">
        <f>P_A2_L28*CUI_Corte*Inflación_2</f>
        <v>0</v>
      </c>
      <c r="BI40" s="101">
        <f>SUMIFS('9'!$E:$E,'9'!$A:$A,Año_Inicial+1,'9'!$B:$B,'12'!BH$4,'9'!$D:$D,"Corte")</f>
        <v>0</v>
      </c>
      <c r="BJ40" s="101">
        <f>P_A2_L29*CUI_Corte*Inflación_2</f>
        <v>0</v>
      </c>
      <c r="BK40" s="101">
        <f>SUMIFS('9'!$E:$E,'9'!$A:$A,Año_Inicial+1,'9'!$B:$B,'12'!BJ$4,'9'!$D:$D,"Corte")</f>
        <v>0</v>
      </c>
      <c r="BL40" s="101">
        <f>P_A2_L30*CUI_Corte*Inflación_2</f>
        <v>0</v>
      </c>
      <c r="BM40" s="101">
        <f>SUMIFS('9'!$E:$E,'9'!$A:$A,Año_Inicial+1,'9'!$B:$B,'12'!BL$4,'9'!$D:$D,"Corte")</f>
        <v>0</v>
      </c>
      <c r="BN40" s="101">
        <f>P_A2_L31*CUI_Corte*Inflación_2</f>
        <v>0</v>
      </c>
      <c r="BO40" s="101">
        <f>SUMIFS('9'!$E:$E,'9'!$A:$A,Año_Inicial+1,'9'!$B:$B,'12'!BN$4,'9'!$D:$D,"Corte")</f>
        <v>0</v>
      </c>
      <c r="BP40" s="101">
        <f>P_A2_L32*CUI_Corte*Inflación_2</f>
        <v>0</v>
      </c>
      <c r="BQ40" s="101">
        <f>SUMIFS('9'!$E:$E,'9'!$A:$A,Año_Inicial+1,'9'!$B:$B,'12'!BP$4,'9'!$D:$D,"Corte")</f>
        <v>0</v>
      </c>
      <c r="BR40" s="101">
        <f>P_A2_L33*CUI_Corte*Inflación_2</f>
        <v>0</v>
      </c>
      <c r="BS40" s="101">
        <f>SUMIFS('9'!$E:$E,'9'!$A:$A,Año_Inicial+1,'9'!$B:$B,'12'!BR$4,'9'!$D:$D,"Corte")</f>
        <v>0</v>
      </c>
      <c r="BT40" s="101">
        <f>P_A2_L34*CUI_Corte*Inflación_2</f>
        <v>0</v>
      </c>
      <c r="BU40" s="101">
        <f>SUMIFS('9'!$E:$E,'9'!$A:$A,Año_Inicial+1,'9'!$B:$B,'12'!BT$4,'9'!$D:$D,"Corte")</f>
        <v>0</v>
      </c>
      <c r="BV40" s="101">
        <f>P_A2_L35*CUI_Corte*Inflación_2</f>
        <v>0</v>
      </c>
      <c r="BW40" s="101">
        <f>SUMIFS('9'!$E:$E,'9'!$A:$A,Año_Inicial+1,'9'!$B:$B,'12'!BV$4,'9'!$D:$D,"Corte")</f>
        <v>0</v>
      </c>
      <c r="BX40" s="101">
        <f>P_A2_L36*CUI_Corte*Inflación_2</f>
        <v>0</v>
      </c>
      <c r="BY40" s="101">
        <f>SUMIFS('9'!$E:$E,'9'!$A:$A,Año_Inicial+1,'9'!$B:$B,'12'!BX$4,'9'!$D:$D,"Corte")</f>
        <v>0</v>
      </c>
      <c r="BZ40" s="101">
        <f>P_A2_L37*CUI_Corte*Inflación_2</f>
        <v>0</v>
      </c>
      <c r="CA40" s="101">
        <f>SUMIFS('9'!$E:$E,'9'!$A:$A,Año_Inicial+1,'9'!$B:$B,'12'!BZ$4,'9'!$D:$D,"Corte")</f>
        <v>0</v>
      </c>
      <c r="CB40" s="101">
        <f>P_A2_L38*CUI_Corte*Inflación_2</f>
        <v>0</v>
      </c>
      <c r="CC40" s="101">
        <f>SUMIFS('9'!$E:$E,'9'!$A:$A,Año_Inicial+1,'9'!$B:$B,'12'!CB$4,'9'!$D:$D,"Corte")</f>
        <v>0</v>
      </c>
      <c r="CD40" s="101">
        <f>P_A2_L39*CUI_Corte*Inflación_2</f>
        <v>0</v>
      </c>
      <c r="CE40" s="101">
        <f>SUMIFS('9'!$E:$E,'9'!$A:$A,Año_Inicial+1,'9'!$B:$B,'12'!CD$4,'9'!$D:$D,"Corte")</f>
        <v>0</v>
      </c>
      <c r="CF40" s="101">
        <f>P_A2_L40*CUI_Corte*Inflación_2</f>
        <v>0</v>
      </c>
      <c r="CG40" s="101">
        <f>SUMIFS('9'!$E:$E,'9'!$A:$A,Año_Inicial+1,'9'!$B:$B,'12'!CF$4,'9'!$D:$D,"Corte")</f>
        <v>0</v>
      </c>
      <c r="CH40" s="473"/>
      <c r="CI40" s="101">
        <f>CI7*CUI_Corte*Inflación_2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SUMIFS('9'!$E:$E,'9'!$A:$A,Año_Inicial+1,'9'!$D:$D,"Beneficiado")</f>
        <v>0</v>
      </c>
      <c r="D41" s="100" t="e">
        <f t="shared" si="46"/>
        <v>#DIV/0!</v>
      </c>
      <c r="E41" s="490"/>
      <c r="F41" s="101">
        <f>(P_A2_L1/5)*CUI_Poscosecha*Inflación_2</f>
        <v>0</v>
      </c>
      <c r="G41" s="101">
        <f>SUMIFS('9'!$E:$E,'9'!$A:$A,Año_Inicial+1,'9'!$B:$B,'12'!F$4,'9'!$D:$D,"Beneficiado")</f>
        <v>0</v>
      </c>
      <c r="H41" s="101">
        <f>(P_A2_L2/5)*CUI_Poscosecha*Inflación_2</f>
        <v>0</v>
      </c>
      <c r="I41" s="101">
        <f>SUMIFS('9'!$E:$E,'9'!$A:$A,Año_Inicial+1,'9'!$B:$B,'12'!H$4,'9'!$D:$D,"Beneficiado")</f>
        <v>0</v>
      </c>
      <c r="J41" s="101">
        <f>(P_A2_L3/5)*CUI_Poscosecha*Inflación_2</f>
        <v>0</v>
      </c>
      <c r="K41" s="101">
        <f>SUMIFS('9'!$E:$E,'9'!$A:$A,Año_Inicial+1,'9'!$B:$B,'12'!J$4,'9'!$D:$D,"Beneficiado")</f>
        <v>0</v>
      </c>
      <c r="L41" s="101">
        <f>(P_A2_L4/5)*CUI_Poscosecha*Inflación_2</f>
        <v>0</v>
      </c>
      <c r="M41" s="101">
        <f>SUMIFS('9'!$E:$E,'9'!$A:$A,Año_Inicial+1,'9'!$B:$B,'12'!L$4,'9'!$D:$D,"Beneficiado")</f>
        <v>0</v>
      </c>
      <c r="N41" s="101">
        <f>(P_A2_L5/5)*CUI_Poscosecha*Inflación_2</f>
        <v>0</v>
      </c>
      <c r="O41" s="101">
        <f>SUMIFS('9'!$E:$E,'9'!$A:$A,Año_Inicial+1,'9'!$B:$B,'12'!N$4,'9'!$D:$D,"Beneficiado")</f>
        <v>0</v>
      </c>
      <c r="P41" s="101">
        <f>(P_A2_L6/5)*CUI_Poscosecha*Inflación_2</f>
        <v>0</v>
      </c>
      <c r="Q41" s="101">
        <f>SUMIFS('9'!$E:$E,'9'!$A:$A,Año_Inicial+1,'9'!$B:$B,'12'!P$4,'9'!$D:$D,"Beneficiado")</f>
        <v>0</v>
      </c>
      <c r="R41" s="101">
        <f>(P_A2_L7/5)*CUI_Poscosecha*Inflación_2</f>
        <v>0</v>
      </c>
      <c r="S41" s="101">
        <f>SUMIFS('9'!$E:$E,'9'!$A:$A,Año_Inicial+1,'9'!$B:$B,'12'!R$4,'9'!$D:$D,"Beneficiado")</f>
        <v>0</v>
      </c>
      <c r="T41" s="101">
        <f>(P_A2_L8/5)*CUI_Poscosecha*Inflación_2</f>
        <v>0</v>
      </c>
      <c r="U41" s="101">
        <f>SUMIFS('9'!$E:$E,'9'!$A:$A,Año_Inicial+1,'9'!$B:$B,'12'!T$4,'9'!$D:$D,"Beneficiado")</f>
        <v>0</v>
      </c>
      <c r="V41" s="101">
        <f>(P_A2_L9/5)*CUI_Poscosecha*Inflación_2</f>
        <v>0</v>
      </c>
      <c r="W41" s="101">
        <f>SUMIFS('9'!$E:$E,'9'!$A:$A,Año_Inicial+1,'9'!$B:$B,'12'!V$4,'9'!$D:$D,"Beneficiado")</f>
        <v>0</v>
      </c>
      <c r="X41" s="101">
        <f>(P_A2_L10/5)*CUI_Poscosecha*Inflación_2</f>
        <v>0</v>
      </c>
      <c r="Y41" s="101">
        <f>SUMIFS('9'!$E:$E,'9'!$A:$A,Año_Inicial+1,'9'!$B:$B,'12'!X$4,'9'!$D:$D,"Beneficiado")</f>
        <v>0</v>
      </c>
      <c r="Z41" s="101">
        <f>(P_A2_L11/5)*CUI_Poscosecha*Inflación_2</f>
        <v>0</v>
      </c>
      <c r="AA41" s="101">
        <f>SUMIFS('9'!$E:$E,'9'!$A:$A,Año_Inicial+1,'9'!$B:$B,'12'!Z$4,'9'!$D:$D,"Beneficiado")</f>
        <v>0</v>
      </c>
      <c r="AB41" s="101">
        <f>(P_A2_L12/5)*CUI_Poscosecha*Inflación_2</f>
        <v>0</v>
      </c>
      <c r="AC41" s="101">
        <f>SUMIFS('9'!$E:$E,'9'!$A:$A,Año_Inicial+1,'9'!$B:$B,'12'!AB$4,'9'!$D:$D,"Beneficiado")</f>
        <v>0</v>
      </c>
      <c r="AD41" s="101">
        <f>(P_A2_L13/5)*CUI_Poscosecha*Inflación_2</f>
        <v>0</v>
      </c>
      <c r="AE41" s="101">
        <f>SUMIFS('9'!$E:$E,'9'!$A:$A,Año_Inicial+1,'9'!$B:$B,'12'!AD$4,'9'!$D:$D,"Beneficiado")</f>
        <v>0</v>
      </c>
      <c r="AF41" s="101">
        <f>(P_A2_L14/5)*CUI_Poscosecha*Inflación_2</f>
        <v>0</v>
      </c>
      <c r="AG41" s="101">
        <f>SUMIFS('9'!$E:$E,'9'!$A:$A,Año_Inicial+1,'9'!$B:$B,'12'!AF$4,'9'!$D:$D,"Beneficiado")</f>
        <v>0</v>
      </c>
      <c r="AH41" s="101">
        <f>(P_A2_L15/5)*CUI_Poscosecha*Inflación_2</f>
        <v>0</v>
      </c>
      <c r="AI41" s="101">
        <f>SUMIFS('9'!$E:$E,'9'!$A:$A,Año_Inicial+1,'9'!$B:$B,'12'!AH$4,'9'!$D:$D,"Beneficiado")</f>
        <v>0</v>
      </c>
      <c r="AJ41" s="101">
        <f>(P_A2_L16/5)*CUI_Poscosecha*Inflación_2</f>
        <v>0</v>
      </c>
      <c r="AK41" s="101">
        <f>SUMIFS('9'!$E:$E,'9'!$A:$A,Año_Inicial+1,'9'!$B:$B,'12'!AJ$4,'9'!$D:$D,"Beneficiado")</f>
        <v>0</v>
      </c>
      <c r="AL41" s="101">
        <f>(P_A2_L17/5)*CUI_Poscosecha*Inflación_2</f>
        <v>0</v>
      </c>
      <c r="AM41" s="101">
        <f>SUMIFS('9'!$E:$E,'9'!$A:$A,Año_Inicial+1,'9'!$B:$B,'12'!AL$4,'9'!$D:$D,"Beneficiado")</f>
        <v>0</v>
      </c>
      <c r="AN41" s="101">
        <f>(P_A2_L18/5)*CUI_Poscosecha*Inflación_2</f>
        <v>0</v>
      </c>
      <c r="AO41" s="101">
        <f>SUMIFS('9'!$E:$E,'9'!$A:$A,Año_Inicial+1,'9'!$B:$B,'12'!AN$4,'9'!$D:$D,"Beneficiado")</f>
        <v>0</v>
      </c>
      <c r="AP41" s="101">
        <f>(P_A2_L19/5)*CUI_Poscosecha*Inflación_2</f>
        <v>0</v>
      </c>
      <c r="AQ41" s="101">
        <f>SUMIFS('9'!$E:$E,'9'!$A:$A,Año_Inicial+1,'9'!$B:$B,'12'!AP$4,'9'!$D:$D,"Beneficiado")</f>
        <v>0</v>
      </c>
      <c r="AR41" s="101">
        <f>(P_A2_L20/5)*CUI_Poscosecha*Inflación_2</f>
        <v>0</v>
      </c>
      <c r="AS41" s="101">
        <f>SUMIFS('9'!$E:$E,'9'!$A:$A,Año_Inicial+1,'9'!$B:$B,'12'!AR$4,'9'!$D:$D,"Beneficiado")</f>
        <v>0</v>
      </c>
      <c r="AT41" s="101">
        <f>(P_A2_L21/5)*CUI_Poscosecha*Inflación_2</f>
        <v>0</v>
      </c>
      <c r="AU41" s="101">
        <f>SUMIFS('9'!$E:$E,'9'!$A:$A,Año_Inicial+1,'9'!$B:$B,'12'!AT$4,'9'!$D:$D,"Beneficiado")</f>
        <v>0</v>
      </c>
      <c r="AV41" s="101">
        <f>(P_A2_L22/5)*CUI_Poscosecha*Inflación_2</f>
        <v>0</v>
      </c>
      <c r="AW41" s="101">
        <f>SUMIFS('9'!$E:$E,'9'!$A:$A,Año_Inicial+1,'9'!$B:$B,'12'!AV$4,'9'!$D:$D,"Beneficiado")</f>
        <v>0</v>
      </c>
      <c r="AX41" s="101">
        <f>(P_A2_L23/5)*CUI_Poscosecha*Inflación_2</f>
        <v>0</v>
      </c>
      <c r="AY41" s="101">
        <f>SUMIFS('9'!$E:$E,'9'!$A:$A,Año_Inicial+1,'9'!$B:$B,'12'!AX$4,'9'!$D:$D,"Beneficiado")</f>
        <v>0</v>
      </c>
      <c r="AZ41" s="101">
        <f>(P_A2_L24/5)*CUI_Poscosecha*Inflación_2</f>
        <v>0</v>
      </c>
      <c r="BA41" s="101">
        <f>SUMIFS('9'!$E:$E,'9'!$A:$A,Año_Inicial+1,'9'!$B:$B,'12'!AZ$4,'9'!$D:$D,"Beneficiado")</f>
        <v>0</v>
      </c>
      <c r="BB41" s="101">
        <f>(P_A2_L25/5)*CUI_Poscosecha*Inflación_2</f>
        <v>0</v>
      </c>
      <c r="BC41" s="101">
        <f>SUMIFS('9'!$E:$E,'9'!$A:$A,Año_Inicial+1,'9'!$B:$B,'12'!BB$4,'9'!$D:$D,"Beneficiado")</f>
        <v>0</v>
      </c>
      <c r="BD41" s="101">
        <f>(P_A2_L26/5)*CUI_Poscosecha*Inflación_2</f>
        <v>0</v>
      </c>
      <c r="BE41" s="101">
        <f>SUMIFS('9'!$E:$E,'9'!$A:$A,Año_Inicial+1,'9'!$B:$B,'12'!BD$4,'9'!$D:$D,"Beneficiado")</f>
        <v>0</v>
      </c>
      <c r="BF41" s="101">
        <f>(P_A2_L27/5)*CUI_Poscosecha*Inflación_2</f>
        <v>0</v>
      </c>
      <c r="BG41" s="101">
        <f>SUMIFS('9'!$E:$E,'9'!$A:$A,Año_Inicial+1,'9'!$B:$B,'12'!BF$4,'9'!$D:$D,"Beneficiado")</f>
        <v>0</v>
      </c>
      <c r="BH41" s="101">
        <f>(P_A2_L28/5)*CUI_Poscosecha*Inflación_2</f>
        <v>0</v>
      </c>
      <c r="BI41" s="101">
        <f>SUMIFS('9'!$E:$E,'9'!$A:$A,Año_Inicial+1,'9'!$B:$B,'12'!BH$4,'9'!$D:$D,"Beneficiado")</f>
        <v>0</v>
      </c>
      <c r="BJ41" s="101">
        <f>(P_A2_L29/5)*CUI_Poscosecha*Inflación_2</f>
        <v>0</v>
      </c>
      <c r="BK41" s="101">
        <f>SUMIFS('9'!$E:$E,'9'!$A:$A,Año_Inicial+1,'9'!$B:$B,'12'!BJ$4,'9'!$D:$D,"Beneficiado")</f>
        <v>0</v>
      </c>
      <c r="BL41" s="101">
        <f>(P_A2_L30/5)*CUI_Poscosecha*Inflación_2</f>
        <v>0</v>
      </c>
      <c r="BM41" s="101">
        <f>SUMIFS('9'!$E:$E,'9'!$A:$A,Año_Inicial+1,'9'!$B:$B,'12'!BL$4,'9'!$D:$D,"Beneficiado")</f>
        <v>0</v>
      </c>
      <c r="BN41" s="101">
        <f>(P_A2_L31/5)*CUI_Poscosecha*Inflación_2</f>
        <v>0</v>
      </c>
      <c r="BO41" s="101">
        <f>SUMIFS('9'!$E:$E,'9'!$A:$A,Año_Inicial+1,'9'!$B:$B,'12'!BN$4,'9'!$D:$D,"Beneficiado")</f>
        <v>0</v>
      </c>
      <c r="BP41" s="101">
        <f>(P_A2_L32/5)*CUI_Poscosecha*Inflación_2</f>
        <v>0</v>
      </c>
      <c r="BQ41" s="101">
        <f>SUMIFS('9'!$E:$E,'9'!$A:$A,Año_Inicial+1,'9'!$B:$B,'12'!BP$4,'9'!$D:$D,"Beneficiado")</f>
        <v>0</v>
      </c>
      <c r="BR41" s="101">
        <f>(P_A2_L33/5)*CUI_Poscosecha*Inflación_2</f>
        <v>0</v>
      </c>
      <c r="BS41" s="101">
        <f>SUMIFS('9'!$E:$E,'9'!$A:$A,Año_Inicial+1,'9'!$B:$B,'12'!BR$4,'9'!$D:$D,"Beneficiado")</f>
        <v>0</v>
      </c>
      <c r="BT41" s="101">
        <f>(P_A2_L34/5)*CUI_Poscosecha*Inflación_2</f>
        <v>0</v>
      </c>
      <c r="BU41" s="101">
        <f>SUMIFS('9'!$E:$E,'9'!$A:$A,Año_Inicial+1,'9'!$B:$B,'12'!BT$4,'9'!$D:$D,"Beneficiado")</f>
        <v>0</v>
      </c>
      <c r="BV41" s="101">
        <f>(P_A2_L35/5)*CUI_Poscosecha*Inflación_2</f>
        <v>0</v>
      </c>
      <c r="BW41" s="101">
        <f>SUMIFS('9'!$E:$E,'9'!$A:$A,Año_Inicial+1,'9'!$B:$B,'12'!BV$4,'9'!$D:$D,"Beneficiado")</f>
        <v>0</v>
      </c>
      <c r="BX41" s="101">
        <f>(P_A2_L36/5)*CUI_Poscosecha*Inflación_2</f>
        <v>0</v>
      </c>
      <c r="BY41" s="101">
        <f>SUMIFS('9'!$E:$E,'9'!$A:$A,Año_Inicial+1,'9'!$B:$B,'12'!BX$4,'9'!$D:$D,"Beneficiado")</f>
        <v>0</v>
      </c>
      <c r="BZ41" s="101">
        <f>(P_A2_L37/5)*CUI_Poscosecha*Inflación_2</f>
        <v>0</v>
      </c>
      <c r="CA41" s="101">
        <f>SUMIFS('9'!$E:$E,'9'!$A:$A,Año_Inicial+1,'9'!$B:$B,'12'!BZ$4,'9'!$D:$D,"Beneficiado")</f>
        <v>0</v>
      </c>
      <c r="CB41" s="101">
        <f>(P_A2_L38/5)*CUI_Poscosecha*Inflación_2</f>
        <v>0</v>
      </c>
      <c r="CC41" s="101">
        <f>SUMIFS('9'!$E:$E,'9'!$A:$A,Año_Inicial+1,'9'!$B:$B,'12'!CB$4,'9'!$D:$D,"Beneficiado")</f>
        <v>0</v>
      </c>
      <c r="CD41" s="101">
        <f>(P_A2_L39/5)*CUI_Poscosecha*Inflación_2</f>
        <v>0</v>
      </c>
      <c r="CE41" s="101">
        <f>SUMIFS('9'!$E:$E,'9'!$A:$A,Año_Inicial+1,'9'!$B:$B,'12'!CD$4,'9'!$D:$D,"Beneficiado")</f>
        <v>0</v>
      </c>
      <c r="CF41" s="101">
        <f>(P_A2_L40/5)*CUI_Poscosecha*Inflación_2</f>
        <v>0</v>
      </c>
      <c r="CG41" s="101">
        <f>SUMIFS('9'!$E:$E,'9'!$A:$A,Año_Inicial+1,'9'!$B:$B,'12'!CF$4,'9'!$D:$D,"Beneficiado")</f>
        <v>0</v>
      </c>
      <c r="CH41" s="473"/>
      <c r="CI41" s="101" t="e">
        <f>(CI7/Pergo)*CUI_Poscosecha*Inflación_2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90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SUMIFS('9'!$E:$E,'9'!$A:$A,Año_Inicial+1,'9'!$C:$C,"Renovación")</f>
        <v>0</v>
      </c>
      <c r="D43" s="100">
        <f t="shared" si="46"/>
        <v>0</v>
      </c>
      <c r="E43" s="490"/>
      <c r="F43" s="101">
        <f>A2_Z_L1*Planta_Z*Inflación_2</f>
        <v>0</v>
      </c>
      <c r="G43" s="101">
        <f>SUMIFS('9'!$E:$E,'9'!$A:$A,Año_Inicial+1,'9'!$B:$B,'12'!F$4,'9'!$C:$C,"Renovación")</f>
        <v>0</v>
      </c>
      <c r="H43" s="101">
        <f>A2_Z_L2*Planta_Z*Inflación_2</f>
        <v>0</v>
      </c>
      <c r="I43" s="101">
        <f>SUMIFS('9'!$E:$E,'9'!$A:$A,Año_Inicial+1,'9'!$B:$B,'12'!H$4,'9'!$C:$C,"Renovación")</f>
        <v>0</v>
      </c>
      <c r="J43" s="101">
        <f>A2_Z_L3*Planta_Z*Inflación_2</f>
        <v>0</v>
      </c>
      <c r="K43" s="101">
        <f>SUMIFS('9'!$E:$E,'9'!$A:$A,Año_Inicial+1,'9'!$B:$B,'12'!J$4,'9'!$C:$C,"Renovación")</f>
        <v>0</v>
      </c>
      <c r="L43" s="101">
        <f>A2_Z_L4*Planta_Z*Inflación_2</f>
        <v>0</v>
      </c>
      <c r="M43" s="101">
        <f>SUMIFS('9'!$E:$E,'9'!$A:$A,Año_Inicial+1,'9'!$B:$B,'12'!L$4,'9'!$C:$C,"Renovación")</f>
        <v>0</v>
      </c>
      <c r="N43" s="101">
        <f>A2_Z_L5*Planta_Z*Inflación_2</f>
        <v>0</v>
      </c>
      <c r="O43" s="101">
        <f>SUMIFS('9'!$E:$E,'9'!$A:$A,Año_Inicial+1,'9'!$B:$B,'12'!N$4,'9'!$C:$C,"Renovación")</f>
        <v>0</v>
      </c>
      <c r="P43" s="101">
        <f>A2_Z_L6*Planta_Z*Inflación_2</f>
        <v>0</v>
      </c>
      <c r="Q43" s="101">
        <f>SUMIFS('9'!$E:$E,'9'!$A:$A,Año_Inicial+1,'9'!$B:$B,'12'!P$4,'9'!$C:$C,"Renovación")</f>
        <v>0</v>
      </c>
      <c r="R43" s="101">
        <f>A2_Z_L7*Planta_Z*Inflación_2</f>
        <v>0</v>
      </c>
      <c r="S43" s="101">
        <f>SUMIFS('9'!$E:$E,'9'!$A:$A,Año_Inicial+1,'9'!$B:$B,'12'!R$4,'9'!$C:$C,"Renovación")</f>
        <v>0</v>
      </c>
      <c r="T43" s="101">
        <f>A2_Z_L8*Planta_Z*Inflación_2</f>
        <v>0</v>
      </c>
      <c r="U43" s="101">
        <f>SUMIFS('9'!$E:$E,'9'!$A:$A,Año_Inicial+1,'9'!$B:$B,'12'!T$4,'9'!$C:$C,"Renovación")</f>
        <v>0</v>
      </c>
      <c r="V43" s="101">
        <f>A2_Z_L9*Planta_Z*Inflación_2</f>
        <v>0</v>
      </c>
      <c r="W43" s="101">
        <f>SUMIFS('9'!$E:$E,'9'!$A:$A,Año_Inicial+1,'9'!$B:$B,'12'!V$4,'9'!$C:$C,"Renovación")</f>
        <v>0</v>
      </c>
      <c r="X43" s="101">
        <f>A2_Z_L10*Planta_Z*Inflación_2</f>
        <v>0</v>
      </c>
      <c r="Y43" s="101">
        <f>SUMIFS('9'!$E:$E,'9'!$A:$A,Año_Inicial+1,'9'!$B:$B,'12'!X$4,'9'!$C:$C,"Renovación")</f>
        <v>0</v>
      </c>
      <c r="Z43" s="101">
        <f>A2_Z_L11*Planta_Z*Inflación_2</f>
        <v>0</v>
      </c>
      <c r="AA43" s="101">
        <f>SUMIFS('9'!$E:$E,'9'!$A:$A,Año_Inicial+1,'9'!$B:$B,'12'!Z$4,'9'!$C:$C,"Renovación")</f>
        <v>0</v>
      </c>
      <c r="AB43" s="101">
        <f>A2_Z_L12*Planta_Z*Inflación_2</f>
        <v>0</v>
      </c>
      <c r="AC43" s="101">
        <f>SUMIFS('9'!$E:$E,'9'!$A:$A,Año_Inicial+1,'9'!$B:$B,'12'!AB$4,'9'!$C:$C,"Renovación")</f>
        <v>0</v>
      </c>
      <c r="AD43" s="101">
        <f>A2_Z_L13*Planta_Z*Inflación_2</f>
        <v>0</v>
      </c>
      <c r="AE43" s="101">
        <f>SUMIFS('9'!$E:$E,'9'!$A:$A,Año_Inicial+1,'9'!$B:$B,'12'!AD$4,'9'!$C:$C,"Renovación")</f>
        <v>0</v>
      </c>
      <c r="AF43" s="101">
        <f>A2_Z_L14*Planta_Z*Inflación_2</f>
        <v>0</v>
      </c>
      <c r="AG43" s="101">
        <f>SUMIFS('9'!$E:$E,'9'!$A:$A,Año_Inicial+1,'9'!$B:$B,'12'!AF$4,'9'!$C:$C,"Renovación")</f>
        <v>0</v>
      </c>
      <c r="AH43" s="101">
        <f>A2_Z_L15*Planta_Z*Inflación_2</f>
        <v>0</v>
      </c>
      <c r="AI43" s="101">
        <f>SUMIFS('9'!$E:$E,'9'!$A:$A,Año_Inicial+1,'9'!$B:$B,'12'!AH$4,'9'!$C:$C,"Renovación")</f>
        <v>0</v>
      </c>
      <c r="AJ43" s="101">
        <f>A2_Z_L16*Planta_Z*Inflación_2</f>
        <v>0</v>
      </c>
      <c r="AK43" s="101">
        <f>SUMIFS('9'!$E:$E,'9'!$A:$A,Año_Inicial+1,'9'!$B:$B,'12'!AJ$4,'9'!$C:$C,"Renovación")</f>
        <v>0</v>
      </c>
      <c r="AL43" s="101">
        <f>A2_Z_L17*Planta_Z*Inflación_2</f>
        <v>0</v>
      </c>
      <c r="AM43" s="101">
        <f>SUMIFS('9'!$E:$E,'9'!$A:$A,Año_Inicial+1,'9'!$B:$B,'12'!AL$4,'9'!$C:$C,"Renovación")</f>
        <v>0</v>
      </c>
      <c r="AN43" s="101">
        <f>A2_Z_L18*Planta_Z*Inflación_2</f>
        <v>0</v>
      </c>
      <c r="AO43" s="101">
        <f>SUMIFS('9'!$E:$E,'9'!$A:$A,Año_Inicial+1,'9'!$B:$B,'12'!AN$4,'9'!$C:$C,"Renovación")</f>
        <v>0</v>
      </c>
      <c r="AP43" s="101">
        <f>A2_Z_L19*Planta_Z*Inflación_2</f>
        <v>0</v>
      </c>
      <c r="AQ43" s="101">
        <f>SUMIFS('9'!$E:$E,'9'!$A:$A,Año_Inicial+1,'9'!$B:$B,'12'!AP$4,'9'!$C:$C,"Renovación")</f>
        <v>0</v>
      </c>
      <c r="AR43" s="101">
        <f>A2_Z_L20*Planta_Z*Inflación_2</f>
        <v>0</v>
      </c>
      <c r="AS43" s="101">
        <f>SUMIFS('9'!$E:$E,'9'!$A:$A,Año_Inicial+1,'9'!$B:$B,'12'!AR$4,'9'!$C:$C,"Renovación")</f>
        <v>0</v>
      </c>
      <c r="AT43" s="101">
        <f>A2_Z_L21*Planta_Z*Inflación_2</f>
        <v>0</v>
      </c>
      <c r="AU43" s="101">
        <f>SUMIFS('9'!$E:$E,'9'!$A:$A,Año_Inicial+1,'9'!$B:$B,'12'!AT$4,'9'!$C:$C,"Renovación")</f>
        <v>0</v>
      </c>
      <c r="AV43" s="101">
        <f>A2_Z_L22*Planta_Z*Inflación_2</f>
        <v>0</v>
      </c>
      <c r="AW43" s="101">
        <f>SUMIFS('9'!$E:$E,'9'!$A:$A,Año_Inicial+1,'9'!$B:$B,'12'!AV$4,'9'!$C:$C,"Renovación")</f>
        <v>0</v>
      </c>
      <c r="AX43" s="101">
        <f>A2_Z_L23*Planta_Z*Inflación_2</f>
        <v>0</v>
      </c>
      <c r="AY43" s="101">
        <f>SUMIFS('9'!$E:$E,'9'!$A:$A,Año_Inicial+1,'9'!$B:$B,'12'!AX$4,'9'!$C:$C,"Renovación")</f>
        <v>0</v>
      </c>
      <c r="AZ43" s="101">
        <f>A2_Z_L24*Planta_Z*Inflación_2</f>
        <v>0</v>
      </c>
      <c r="BA43" s="101">
        <f>SUMIFS('9'!$E:$E,'9'!$A:$A,Año_Inicial+1,'9'!$B:$B,'12'!AZ$4,'9'!$C:$C,"Renovación")</f>
        <v>0</v>
      </c>
      <c r="BB43" s="101">
        <f>A2_Z_L25*Planta_Z*Inflación_2</f>
        <v>0</v>
      </c>
      <c r="BC43" s="101">
        <f>SUMIFS('9'!$E:$E,'9'!$A:$A,Año_Inicial+1,'9'!$B:$B,'12'!BB$4,'9'!$C:$C,"Renovación")</f>
        <v>0</v>
      </c>
      <c r="BD43" s="101">
        <f>A2_Z_L26*Planta_Z*Inflación_2</f>
        <v>0</v>
      </c>
      <c r="BE43" s="101">
        <f>SUMIFS('9'!$E:$E,'9'!$A:$A,Año_Inicial+1,'9'!$B:$B,'12'!BD$4,'9'!$C:$C,"Renovación")</f>
        <v>0</v>
      </c>
      <c r="BF43" s="101">
        <f>A2_Z_L27*Planta_Z*Inflación_2</f>
        <v>0</v>
      </c>
      <c r="BG43" s="101">
        <f>SUMIFS('9'!$E:$E,'9'!$A:$A,Año_Inicial+1,'9'!$B:$B,'12'!BF$4,'9'!$C:$C,"Renovación")</f>
        <v>0</v>
      </c>
      <c r="BH43" s="101">
        <f>A2_Z_L28*Planta_Z*Inflación_2</f>
        <v>0</v>
      </c>
      <c r="BI43" s="101">
        <f>SUMIFS('9'!$E:$E,'9'!$A:$A,Año_Inicial+1,'9'!$B:$B,'12'!BH$4,'9'!$C:$C,"Renovación")</f>
        <v>0</v>
      </c>
      <c r="BJ43" s="101">
        <f>A2_Z_L29*Planta_Z*Inflación_2</f>
        <v>0</v>
      </c>
      <c r="BK43" s="101">
        <f>SUMIFS('9'!$E:$E,'9'!$A:$A,Año_Inicial+1,'9'!$B:$B,'12'!BJ$4,'9'!$C:$C,"Renovación")</f>
        <v>0</v>
      </c>
      <c r="BL43" s="101">
        <f>A2_Z_L30*Planta_Z*Inflación_2</f>
        <v>0</v>
      </c>
      <c r="BM43" s="101">
        <f>SUMIFS('9'!$E:$E,'9'!$A:$A,Año_Inicial+1,'9'!$B:$B,'12'!BL$4,'9'!$C:$C,"Renovación")</f>
        <v>0</v>
      </c>
      <c r="BN43" s="101">
        <f>A2_Z_L31*Planta_Z*Inflación_2</f>
        <v>0</v>
      </c>
      <c r="BO43" s="101">
        <f>SUMIFS('9'!$E:$E,'9'!$A:$A,Año_Inicial+1,'9'!$B:$B,'12'!BN$4,'9'!$C:$C,"Renovación")</f>
        <v>0</v>
      </c>
      <c r="BP43" s="101">
        <f>A2_Z_L32*Planta_Z*Inflación_2</f>
        <v>0</v>
      </c>
      <c r="BQ43" s="101">
        <f>SUMIFS('9'!$E:$E,'9'!$A:$A,Año_Inicial+1,'9'!$B:$B,'12'!BP$4,'9'!$C:$C,"Renovación")</f>
        <v>0</v>
      </c>
      <c r="BR43" s="101">
        <f>A2_Z_L33*Planta_Z*Inflación_2</f>
        <v>0</v>
      </c>
      <c r="BS43" s="101">
        <f>SUMIFS('9'!$E:$E,'9'!$A:$A,Año_Inicial+1,'9'!$B:$B,'12'!BR$4,'9'!$C:$C,"Renovación")</f>
        <v>0</v>
      </c>
      <c r="BT43" s="101">
        <f>A2_Z_L34*Planta_Z*Inflación_2</f>
        <v>0</v>
      </c>
      <c r="BU43" s="101">
        <f>SUMIFS('9'!$E:$E,'9'!$A:$A,Año_Inicial+1,'9'!$B:$B,'12'!BT$4,'9'!$C:$C,"Renovación")</f>
        <v>0</v>
      </c>
      <c r="BV43" s="101">
        <f>A2_Z_L35*Planta_Z*Inflación_2</f>
        <v>0</v>
      </c>
      <c r="BW43" s="101">
        <f>SUMIFS('9'!$E:$E,'9'!$A:$A,Año_Inicial+1,'9'!$B:$B,'12'!BV$4,'9'!$C:$C,"Renovación")</f>
        <v>0</v>
      </c>
      <c r="BX43" s="101">
        <f>A2_Z_L36*Planta_Z*Inflación_2</f>
        <v>0</v>
      </c>
      <c r="BY43" s="101">
        <f>SUMIFS('9'!$E:$E,'9'!$A:$A,Año_Inicial+1,'9'!$B:$B,'12'!BX$4,'9'!$C:$C,"Renovación")</f>
        <v>0</v>
      </c>
      <c r="BZ43" s="101">
        <f>A2_Z_L37*Planta_Z*Inflación_2</f>
        <v>0</v>
      </c>
      <c r="CA43" s="101">
        <f>SUMIFS('9'!$E:$E,'9'!$A:$A,Año_Inicial+1,'9'!$B:$B,'12'!BZ$4,'9'!$C:$C,"Renovación")</f>
        <v>0</v>
      </c>
      <c r="CB43" s="101">
        <f>A2_Z_L38*Planta_Z*Inflación_2</f>
        <v>0</v>
      </c>
      <c r="CC43" s="101">
        <f>SUMIFS('9'!$E:$E,'9'!$A:$A,Año_Inicial+1,'9'!$B:$B,'12'!CB$4,'9'!$C:$C,"Renovación")</f>
        <v>0</v>
      </c>
      <c r="CD43" s="101">
        <f>A2_Z_L39*Planta_Z*Inflación_2</f>
        <v>0</v>
      </c>
      <c r="CE43" s="101">
        <f>SUMIFS('9'!$E:$E,'9'!$A:$A,Año_Inicial+1,'9'!$B:$B,'12'!CD$4,'9'!$C:$C,"Renovación")</f>
        <v>0</v>
      </c>
      <c r="CF43" s="101">
        <f>A2_Z_L40*Planta_Z*Inflación_2</f>
        <v>0</v>
      </c>
      <c r="CG43" s="101">
        <f>SUMIFS('9'!$E:$E,'9'!$A:$A,Año_Inicial+1,'9'!$B:$B,'12'!CF$4,'9'!$C:$C,"Renovación")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(Plantas_Z_A2*Planta_Z)*Inflación_2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Admin_2*Inflación_2</f>
        <v>0</v>
      </c>
      <c r="C44" s="101">
        <f>SUMIFS('9'!$E:$E,'9'!$A:$A,Año_Inicial+1,'9'!$C:$C,"Gastos_administrativos")</f>
        <v>0</v>
      </c>
      <c r="D44" s="100">
        <f t="shared" si="46"/>
        <v>0</v>
      </c>
      <c r="E44" s="490"/>
      <c r="F44" s="101">
        <f>($B44/$B47)*F47*Inflación_2</f>
        <v>0</v>
      </c>
      <c r="G44" s="101">
        <f>($C44/$B47)*F47</f>
        <v>0</v>
      </c>
      <c r="H44" s="101">
        <f>($B44/$B47)*H47*Inflación_2</f>
        <v>0</v>
      </c>
      <c r="I44" s="101">
        <f>($C44/$B47)*H47</f>
        <v>0</v>
      </c>
      <c r="J44" s="101">
        <f>($B44/$B47)*J47*Inflación_2</f>
        <v>0</v>
      </c>
      <c r="K44" s="101">
        <f>($C44/$B47)*J47</f>
        <v>0</v>
      </c>
      <c r="L44" s="101">
        <f>($B44/$B47)*L47*Inflación_2</f>
        <v>0</v>
      </c>
      <c r="M44" s="101">
        <f>($C44/$B47)*L47</f>
        <v>0</v>
      </c>
      <c r="N44" s="101">
        <f>($B44/$B47)*N47*Inflación_2</f>
        <v>0</v>
      </c>
      <c r="O44" s="101">
        <f>($C44/$B47)*N47</f>
        <v>0</v>
      </c>
      <c r="P44" s="101">
        <f>($B44/$B47)*P47*Inflación_2</f>
        <v>0</v>
      </c>
      <c r="Q44" s="101">
        <f>($C44/$B47)*P47</f>
        <v>0</v>
      </c>
      <c r="R44" s="101">
        <f>($B44/$B47)*R47*Inflación_2</f>
        <v>0</v>
      </c>
      <c r="S44" s="101">
        <f>($C44/$B47)*R47</f>
        <v>0</v>
      </c>
      <c r="T44" s="101">
        <f>($B44/$B47)*T47*Inflación_2</f>
        <v>0</v>
      </c>
      <c r="U44" s="101">
        <f>($C44/$B47)*T47</f>
        <v>0</v>
      </c>
      <c r="V44" s="101">
        <f>($B44/$B47)*V47*Inflación_2</f>
        <v>0</v>
      </c>
      <c r="W44" s="101">
        <f>($C44/$B47)*V47</f>
        <v>0</v>
      </c>
      <c r="X44" s="101">
        <f>($B44/$B47)*X47*Inflación_2</f>
        <v>0</v>
      </c>
      <c r="Y44" s="101">
        <f>($C44/$B47)*X47</f>
        <v>0</v>
      </c>
      <c r="Z44" s="101">
        <f>($B44/$B47)*Z47*Inflación_2</f>
        <v>0</v>
      </c>
      <c r="AA44" s="101">
        <f>($C44/$B47)*Z47</f>
        <v>0</v>
      </c>
      <c r="AB44" s="101">
        <f>($B44/$B47)*AB47*Inflación_2</f>
        <v>0</v>
      </c>
      <c r="AC44" s="101">
        <f>($C44/$B47)*AB47</f>
        <v>0</v>
      </c>
      <c r="AD44" s="101">
        <f>($B44/$B47)*AD47*Inflación_2</f>
        <v>0</v>
      </c>
      <c r="AE44" s="101">
        <f>($C44/$B47)*AD47</f>
        <v>0</v>
      </c>
      <c r="AF44" s="101">
        <f>($B44/$B47)*AF47*Inflación_2</f>
        <v>0</v>
      </c>
      <c r="AG44" s="101">
        <f>($C44/$B47)*AF47</f>
        <v>0</v>
      </c>
      <c r="AH44" s="101">
        <f>($B44/$B47)*AH47*Inflación_2</f>
        <v>0</v>
      </c>
      <c r="AI44" s="101">
        <f>($C44/$B47)*AH47</f>
        <v>0</v>
      </c>
      <c r="AJ44" s="101">
        <f>($B44/$B47)*AJ47*Inflación_2</f>
        <v>0</v>
      </c>
      <c r="AK44" s="101">
        <f>($C44/$B47)*AJ47</f>
        <v>0</v>
      </c>
      <c r="AL44" s="101">
        <f>($B44/$B47)*AL47*Inflación_2</f>
        <v>0</v>
      </c>
      <c r="AM44" s="101">
        <f>($C44/$B47)*AL47</f>
        <v>0</v>
      </c>
      <c r="AN44" s="101">
        <f>($B44/$B47)*AN47*Inflación_2</f>
        <v>0</v>
      </c>
      <c r="AO44" s="101">
        <f>($C44/$B47)*AN47</f>
        <v>0</v>
      </c>
      <c r="AP44" s="101">
        <f>($B44/$B47)*AP47*Inflación_2</f>
        <v>0</v>
      </c>
      <c r="AQ44" s="101">
        <f>($C44/$B47)*AP47</f>
        <v>0</v>
      </c>
      <c r="AR44" s="101">
        <f>($B44/$B47)*AR47*Inflación_2</f>
        <v>0</v>
      </c>
      <c r="AS44" s="101">
        <f>($C44/$B47)*AR47</f>
        <v>0</v>
      </c>
      <c r="AT44" s="101">
        <f>($B44/$B47)*AT47*Inflación_2</f>
        <v>0</v>
      </c>
      <c r="AU44" s="101">
        <f>($C44/$B47)*AT47</f>
        <v>0</v>
      </c>
      <c r="AV44" s="101">
        <f>($B44/$B47)*AV47*Inflación_2</f>
        <v>0</v>
      </c>
      <c r="AW44" s="101">
        <f>($C44/$B47)*AV47</f>
        <v>0</v>
      </c>
      <c r="AX44" s="101">
        <f>($B44/$B47)*AX47*Inflación_2</f>
        <v>0</v>
      </c>
      <c r="AY44" s="101">
        <f>($C44/$B47)*AX47</f>
        <v>0</v>
      </c>
      <c r="AZ44" s="101">
        <f>($B44/$B47)*AZ47*Inflación_2</f>
        <v>0</v>
      </c>
      <c r="BA44" s="101">
        <f>($C44/$B47)*AZ47</f>
        <v>0</v>
      </c>
      <c r="BB44" s="101">
        <f>($B44/$B47)*BB47*Inflación_2</f>
        <v>0</v>
      </c>
      <c r="BC44" s="101">
        <f>($C44/$B47)*BB47</f>
        <v>0</v>
      </c>
      <c r="BD44" s="101">
        <f>($B44/$B47)*BD47*Inflación_2</f>
        <v>0</v>
      </c>
      <c r="BE44" s="101">
        <f>($C44/$B47)*BD47</f>
        <v>0</v>
      </c>
      <c r="BF44" s="101">
        <f>($B44/$B47)*BF47*Inflación_2</f>
        <v>0</v>
      </c>
      <c r="BG44" s="101">
        <f>($C44/$B47)*BF47</f>
        <v>0</v>
      </c>
      <c r="BH44" s="101">
        <f>($B44/$B47)*BH47*Inflación_2</f>
        <v>0</v>
      </c>
      <c r="BI44" s="101">
        <f>($C44/$B47)*BH47</f>
        <v>0</v>
      </c>
      <c r="BJ44" s="101">
        <f>($B44/$B47)*BJ47*Inflación_2</f>
        <v>0</v>
      </c>
      <c r="BK44" s="101">
        <f>($C44/$B47)*BJ47</f>
        <v>0</v>
      </c>
      <c r="BL44" s="101">
        <f>($B44/$B47)*BL47*Inflación_2</f>
        <v>0</v>
      </c>
      <c r="BM44" s="101">
        <f>($C44/$B47)*BL47</f>
        <v>0</v>
      </c>
      <c r="BN44" s="101">
        <f>($B44/$B47)*BN47*Inflación_2</f>
        <v>0</v>
      </c>
      <c r="BO44" s="101">
        <f>($C44/$B47)*BN47</f>
        <v>0</v>
      </c>
      <c r="BP44" s="101">
        <f>($B44/$B47)*BP47*Inflación_2</f>
        <v>0</v>
      </c>
      <c r="BQ44" s="101">
        <f>($C44/$B47)*BP47</f>
        <v>0</v>
      </c>
      <c r="BR44" s="101">
        <f>($B44/$B47)*BR47*Inflación_2</f>
        <v>0</v>
      </c>
      <c r="BS44" s="101">
        <f>($C44/$B47)*BR47</f>
        <v>0</v>
      </c>
      <c r="BT44" s="101">
        <f>($B44/$B47)*BT47*Inflación_2</f>
        <v>0</v>
      </c>
      <c r="BU44" s="101">
        <f>($C44/$B47)*BT47</f>
        <v>0</v>
      </c>
      <c r="BV44" s="101">
        <f>($B44/$B47)*BV47*Inflación_2</f>
        <v>0</v>
      </c>
      <c r="BW44" s="101">
        <f>($C44/$B47)*BV47</f>
        <v>0</v>
      </c>
      <c r="BX44" s="101">
        <f>($B44/$B47)*BX47*Inflación_2</f>
        <v>0</v>
      </c>
      <c r="BY44" s="101">
        <f>($C44/$B47)*BX47</f>
        <v>0</v>
      </c>
      <c r="BZ44" s="101">
        <f>($B44/$B47)*BZ47*Inflación_2</f>
        <v>0</v>
      </c>
      <c r="CA44" s="101">
        <f>($C44/$B47)*BZ47</f>
        <v>0</v>
      </c>
      <c r="CB44" s="101">
        <f>($B44/$B47)*CB47*Inflación_2</f>
        <v>0</v>
      </c>
      <c r="CC44" s="101">
        <f>($C44/$B47)*CB47</f>
        <v>0</v>
      </c>
      <c r="CD44" s="101">
        <f>($B44/$B47)*CD47*Inflación_2</f>
        <v>0</v>
      </c>
      <c r="CE44" s="101">
        <f>($C44/$B47)*CD47</f>
        <v>0</v>
      </c>
      <c r="CF44" s="101">
        <f>($B44/$B47)*CF47*Inflación_2</f>
        <v>0</v>
      </c>
      <c r="CG44" s="101">
        <f>($C44/$B47)*CF47</f>
        <v>0</v>
      </c>
      <c r="CH44" s="473"/>
      <c r="CI44" s="101">
        <f t="shared" ref="CI44:CO44" si="48">($B44/$B47)*CI47</f>
        <v>0</v>
      </c>
      <c r="CJ44" s="101">
        <f t="shared" si="48"/>
        <v>0</v>
      </c>
      <c r="CK44" s="101">
        <f t="shared" si="48"/>
        <v>0</v>
      </c>
      <c r="CL44" s="101">
        <f t="shared" si="48"/>
        <v>0</v>
      </c>
      <c r="CM44" s="101">
        <f t="shared" si="48"/>
        <v>0</v>
      </c>
      <c r="CN44" s="101">
        <f t="shared" si="48"/>
        <v>0</v>
      </c>
      <c r="CO44" s="102">
        <f t="shared" si="48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90"/>
      <c r="F45" s="104">
        <f t="shared" ref="F45:AK45" si="49">SUM(F14:F44)</f>
        <v>0</v>
      </c>
      <c r="G45" s="104">
        <f t="shared" si="49"/>
        <v>0</v>
      </c>
      <c r="H45" s="104">
        <f t="shared" ref="H45:J45" si="50">SUM(H14:H44)</f>
        <v>0</v>
      </c>
      <c r="I45" s="104">
        <f t="shared" si="49"/>
        <v>0</v>
      </c>
      <c r="J45" s="104">
        <f t="shared" si="50"/>
        <v>0</v>
      </c>
      <c r="K45" s="104">
        <f t="shared" si="49"/>
        <v>0</v>
      </c>
      <c r="L45" s="104">
        <f t="shared" si="49"/>
        <v>0</v>
      </c>
      <c r="M45" s="104">
        <f t="shared" si="49"/>
        <v>0</v>
      </c>
      <c r="N45" s="104">
        <f t="shared" ref="N45:P45" si="51">SUM(N14:N44)</f>
        <v>0</v>
      </c>
      <c r="O45" s="104">
        <f t="shared" si="49"/>
        <v>0</v>
      </c>
      <c r="P45" s="104">
        <f t="shared" si="51"/>
        <v>0</v>
      </c>
      <c r="Q45" s="104">
        <f t="shared" si="49"/>
        <v>0</v>
      </c>
      <c r="R45" s="104">
        <f t="shared" si="49"/>
        <v>0</v>
      </c>
      <c r="S45" s="104">
        <f t="shared" si="49"/>
        <v>0</v>
      </c>
      <c r="T45" s="104">
        <f t="shared" ref="T45:V45" si="52">SUM(T14:T44)</f>
        <v>0</v>
      </c>
      <c r="U45" s="104">
        <f t="shared" si="49"/>
        <v>0</v>
      </c>
      <c r="V45" s="104">
        <f t="shared" si="52"/>
        <v>0</v>
      </c>
      <c r="W45" s="104">
        <f t="shared" si="49"/>
        <v>0</v>
      </c>
      <c r="X45" s="104">
        <f t="shared" si="49"/>
        <v>0</v>
      </c>
      <c r="Y45" s="104">
        <f t="shared" si="49"/>
        <v>0</v>
      </c>
      <c r="Z45" s="104">
        <f t="shared" ref="Z45:AB45" si="53">SUM(Z14:Z44)</f>
        <v>0</v>
      </c>
      <c r="AA45" s="104">
        <f t="shared" si="49"/>
        <v>0</v>
      </c>
      <c r="AB45" s="104">
        <f t="shared" si="53"/>
        <v>0</v>
      </c>
      <c r="AC45" s="104">
        <f t="shared" si="49"/>
        <v>0</v>
      </c>
      <c r="AD45" s="104">
        <f t="shared" si="49"/>
        <v>0</v>
      </c>
      <c r="AE45" s="104">
        <f t="shared" si="49"/>
        <v>0</v>
      </c>
      <c r="AF45" s="104">
        <f t="shared" ref="AF45:AH45" si="54">SUM(AF14:AF44)</f>
        <v>0</v>
      </c>
      <c r="AG45" s="104">
        <f t="shared" si="49"/>
        <v>0</v>
      </c>
      <c r="AH45" s="104">
        <f t="shared" si="54"/>
        <v>0</v>
      </c>
      <c r="AI45" s="104">
        <f t="shared" si="49"/>
        <v>0</v>
      </c>
      <c r="AJ45" s="104">
        <f t="shared" si="49"/>
        <v>0</v>
      </c>
      <c r="AK45" s="104">
        <f t="shared" si="49"/>
        <v>0</v>
      </c>
      <c r="AL45" s="104">
        <f t="shared" ref="AL45:AN45" si="55">SUM(AL14:AL44)</f>
        <v>0</v>
      </c>
      <c r="AM45" s="104">
        <f t="shared" ref="AM45:BQ45" si="56">SUM(AM14:AM44)</f>
        <v>0</v>
      </c>
      <c r="AN45" s="104">
        <f t="shared" si="55"/>
        <v>0</v>
      </c>
      <c r="AO45" s="104">
        <f t="shared" si="56"/>
        <v>0</v>
      </c>
      <c r="AP45" s="104">
        <f t="shared" si="56"/>
        <v>0</v>
      </c>
      <c r="AQ45" s="104">
        <f t="shared" si="56"/>
        <v>0</v>
      </c>
      <c r="AR45" s="104">
        <f t="shared" ref="AR45:AT45" si="57">SUM(AR14:AR44)</f>
        <v>0</v>
      </c>
      <c r="AS45" s="104">
        <f t="shared" si="56"/>
        <v>0</v>
      </c>
      <c r="AT45" s="104">
        <f t="shared" si="57"/>
        <v>0</v>
      </c>
      <c r="AU45" s="104">
        <f t="shared" si="56"/>
        <v>0</v>
      </c>
      <c r="AV45" s="104">
        <f t="shared" si="56"/>
        <v>0</v>
      </c>
      <c r="AW45" s="104">
        <f t="shared" si="56"/>
        <v>0</v>
      </c>
      <c r="AX45" s="104">
        <f t="shared" ref="AX45:AZ45" si="58">SUM(AX14:AX44)</f>
        <v>0</v>
      </c>
      <c r="AY45" s="104">
        <f t="shared" si="56"/>
        <v>0</v>
      </c>
      <c r="AZ45" s="104">
        <f t="shared" si="58"/>
        <v>0</v>
      </c>
      <c r="BA45" s="104">
        <f t="shared" si="56"/>
        <v>0</v>
      </c>
      <c r="BB45" s="104">
        <f t="shared" si="56"/>
        <v>0</v>
      </c>
      <c r="BC45" s="104">
        <f t="shared" si="56"/>
        <v>0</v>
      </c>
      <c r="BD45" s="104">
        <f t="shared" ref="BD45:BF45" si="59">SUM(BD14:BD44)</f>
        <v>0</v>
      </c>
      <c r="BE45" s="104">
        <f t="shared" si="56"/>
        <v>0</v>
      </c>
      <c r="BF45" s="104">
        <f t="shared" si="59"/>
        <v>0</v>
      </c>
      <c r="BG45" s="104">
        <f t="shared" si="56"/>
        <v>0</v>
      </c>
      <c r="BH45" s="104">
        <f t="shared" si="56"/>
        <v>0</v>
      </c>
      <c r="BI45" s="104">
        <f t="shared" si="56"/>
        <v>0</v>
      </c>
      <c r="BJ45" s="104">
        <f t="shared" ref="BJ45:BL45" si="60">SUM(BJ14:BJ44)</f>
        <v>0</v>
      </c>
      <c r="BK45" s="104">
        <f t="shared" si="56"/>
        <v>0</v>
      </c>
      <c r="BL45" s="104">
        <f t="shared" si="60"/>
        <v>0</v>
      </c>
      <c r="BM45" s="104">
        <f t="shared" si="56"/>
        <v>0</v>
      </c>
      <c r="BN45" s="104">
        <f t="shared" si="56"/>
        <v>0</v>
      </c>
      <c r="BO45" s="104">
        <f t="shared" si="56"/>
        <v>0</v>
      </c>
      <c r="BP45" s="104">
        <f t="shared" ref="BP45:BR45" si="61">SUM(BP14:BP44)</f>
        <v>0</v>
      </c>
      <c r="BQ45" s="104">
        <f t="shared" si="56"/>
        <v>0</v>
      </c>
      <c r="BR45" s="104">
        <f t="shared" si="61"/>
        <v>0</v>
      </c>
      <c r="BS45" s="104">
        <f t="shared" ref="BS45:CG45" si="62">SUM(BS14:BS44)</f>
        <v>0</v>
      </c>
      <c r="BT45" s="104">
        <f t="shared" si="62"/>
        <v>0</v>
      </c>
      <c r="BU45" s="104">
        <f t="shared" si="62"/>
        <v>0</v>
      </c>
      <c r="BV45" s="104">
        <f t="shared" ref="BV45:BX45" si="63">SUM(BV14:BV44)</f>
        <v>0</v>
      </c>
      <c r="BW45" s="104">
        <f t="shared" si="62"/>
        <v>0</v>
      </c>
      <c r="BX45" s="104">
        <f t="shared" si="63"/>
        <v>0</v>
      </c>
      <c r="BY45" s="104">
        <f t="shared" si="62"/>
        <v>0</v>
      </c>
      <c r="BZ45" s="104">
        <f t="shared" si="62"/>
        <v>0</v>
      </c>
      <c r="CA45" s="104">
        <f t="shared" si="62"/>
        <v>0</v>
      </c>
      <c r="CB45" s="104">
        <f t="shared" ref="CB45:CD45" si="64">SUM(CB14:CB44)</f>
        <v>0</v>
      </c>
      <c r="CC45" s="104">
        <f t="shared" si="62"/>
        <v>0</v>
      </c>
      <c r="CD45" s="104">
        <f t="shared" si="64"/>
        <v>0</v>
      </c>
      <c r="CE45" s="104">
        <f t="shared" si="62"/>
        <v>0</v>
      </c>
      <c r="CF45" s="104">
        <f t="shared" si="62"/>
        <v>0</v>
      </c>
      <c r="CG45" s="104">
        <f t="shared" si="62"/>
        <v>0</v>
      </c>
      <c r="CH45" s="473"/>
      <c r="CI45" s="104" t="e">
        <f t="shared" ref="CI45:CN45" si="65">SUM(CI14:CI44)</f>
        <v>#DIV/0!</v>
      </c>
      <c r="CJ45" s="104" t="e">
        <f t="shared" si="65"/>
        <v>#DIV/0!</v>
      </c>
      <c r="CK45" s="104" t="e">
        <f t="shared" si="65"/>
        <v>#DIV/0!</v>
      </c>
      <c r="CL45" s="104" t="e">
        <f t="shared" si="65"/>
        <v>#DIV/0!</v>
      </c>
      <c r="CM45" s="104">
        <f t="shared" si="65"/>
        <v>0</v>
      </c>
      <c r="CN45" s="104" t="e">
        <f t="shared" si="65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90"/>
      <c r="F46" s="161">
        <f t="shared" ref="F46:AK46" si="66">F11-F45</f>
        <v>0</v>
      </c>
      <c r="G46" s="161" t="e">
        <f t="shared" si="66"/>
        <v>#DIV/0!</v>
      </c>
      <c r="H46" s="161">
        <f t="shared" si="66"/>
        <v>0</v>
      </c>
      <c r="I46" s="161" t="e">
        <f t="shared" si="66"/>
        <v>#DIV/0!</v>
      </c>
      <c r="J46" s="161">
        <f t="shared" si="66"/>
        <v>0</v>
      </c>
      <c r="K46" s="161" t="e">
        <f t="shared" si="66"/>
        <v>#DIV/0!</v>
      </c>
      <c r="L46" s="161">
        <f t="shared" si="66"/>
        <v>0</v>
      </c>
      <c r="M46" s="161" t="e">
        <f t="shared" si="66"/>
        <v>#DIV/0!</v>
      </c>
      <c r="N46" s="161">
        <f t="shared" si="66"/>
        <v>0</v>
      </c>
      <c r="O46" s="161" t="e">
        <f t="shared" si="66"/>
        <v>#DIV/0!</v>
      </c>
      <c r="P46" s="161">
        <f t="shared" si="66"/>
        <v>0</v>
      </c>
      <c r="Q46" s="161" t="e">
        <f t="shared" si="66"/>
        <v>#DIV/0!</v>
      </c>
      <c r="R46" s="161">
        <f t="shared" si="66"/>
        <v>0</v>
      </c>
      <c r="S46" s="161" t="e">
        <f t="shared" si="66"/>
        <v>#DIV/0!</v>
      </c>
      <c r="T46" s="161">
        <f t="shared" si="66"/>
        <v>0</v>
      </c>
      <c r="U46" s="161" t="e">
        <f t="shared" si="66"/>
        <v>#DIV/0!</v>
      </c>
      <c r="V46" s="161">
        <f t="shared" si="66"/>
        <v>0</v>
      </c>
      <c r="W46" s="161" t="e">
        <f t="shared" si="66"/>
        <v>#DIV/0!</v>
      </c>
      <c r="X46" s="161">
        <f t="shared" si="66"/>
        <v>0</v>
      </c>
      <c r="Y46" s="161" t="e">
        <f t="shared" si="66"/>
        <v>#DIV/0!</v>
      </c>
      <c r="Z46" s="161">
        <f t="shared" si="66"/>
        <v>0</v>
      </c>
      <c r="AA46" s="161" t="e">
        <f t="shared" si="66"/>
        <v>#DIV/0!</v>
      </c>
      <c r="AB46" s="161">
        <f t="shared" si="66"/>
        <v>0</v>
      </c>
      <c r="AC46" s="161" t="e">
        <f t="shared" si="66"/>
        <v>#DIV/0!</v>
      </c>
      <c r="AD46" s="161">
        <f t="shared" si="66"/>
        <v>0</v>
      </c>
      <c r="AE46" s="161" t="e">
        <f t="shared" si="66"/>
        <v>#DIV/0!</v>
      </c>
      <c r="AF46" s="161">
        <f t="shared" si="66"/>
        <v>0</v>
      </c>
      <c r="AG46" s="161" t="e">
        <f t="shared" si="66"/>
        <v>#DIV/0!</v>
      </c>
      <c r="AH46" s="161">
        <f t="shared" si="66"/>
        <v>0</v>
      </c>
      <c r="AI46" s="161" t="e">
        <f t="shared" si="66"/>
        <v>#DIV/0!</v>
      </c>
      <c r="AJ46" s="161">
        <f t="shared" si="66"/>
        <v>0</v>
      </c>
      <c r="AK46" s="161" t="e">
        <f t="shared" si="66"/>
        <v>#DIV/0!</v>
      </c>
      <c r="AL46" s="161">
        <f t="shared" ref="AL46:BQ46" si="67">AL11-AL45</f>
        <v>0</v>
      </c>
      <c r="AM46" s="161" t="e">
        <f t="shared" si="67"/>
        <v>#DIV/0!</v>
      </c>
      <c r="AN46" s="161">
        <f t="shared" si="67"/>
        <v>0</v>
      </c>
      <c r="AO46" s="161" t="e">
        <f t="shared" si="67"/>
        <v>#DIV/0!</v>
      </c>
      <c r="AP46" s="161">
        <f t="shared" si="67"/>
        <v>0</v>
      </c>
      <c r="AQ46" s="161" t="e">
        <f t="shared" si="67"/>
        <v>#DIV/0!</v>
      </c>
      <c r="AR46" s="161">
        <f t="shared" si="67"/>
        <v>0</v>
      </c>
      <c r="AS46" s="161" t="e">
        <f t="shared" si="67"/>
        <v>#DIV/0!</v>
      </c>
      <c r="AT46" s="161">
        <f t="shared" si="67"/>
        <v>0</v>
      </c>
      <c r="AU46" s="161" t="e">
        <f t="shared" si="67"/>
        <v>#DIV/0!</v>
      </c>
      <c r="AV46" s="161">
        <f t="shared" si="67"/>
        <v>0</v>
      </c>
      <c r="AW46" s="161" t="e">
        <f t="shared" si="67"/>
        <v>#DIV/0!</v>
      </c>
      <c r="AX46" s="161">
        <f t="shared" si="67"/>
        <v>0</v>
      </c>
      <c r="AY46" s="161" t="e">
        <f t="shared" si="67"/>
        <v>#DIV/0!</v>
      </c>
      <c r="AZ46" s="161">
        <f t="shared" si="67"/>
        <v>0</v>
      </c>
      <c r="BA46" s="161" t="e">
        <f t="shared" si="67"/>
        <v>#DIV/0!</v>
      </c>
      <c r="BB46" s="161">
        <f t="shared" si="67"/>
        <v>0</v>
      </c>
      <c r="BC46" s="161" t="e">
        <f t="shared" si="67"/>
        <v>#DIV/0!</v>
      </c>
      <c r="BD46" s="161">
        <f t="shared" si="67"/>
        <v>0</v>
      </c>
      <c r="BE46" s="161" t="e">
        <f t="shared" si="67"/>
        <v>#DIV/0!</v>
      </c>
      <c r="BF46" s="161">
        <f t="shared" si="67"/>
        <v>0</v>
      </c>
      <c r="BG46" s="161" t="e">
        <f t="shared" si="67"/>
        <v>#DIV/0!</v>
      </c>
      <c r="BH46" s="161">
        <f t="shared" si="67"/>
        <v>0</v>
      </c>
      <c r="BI46" s="161" t="e">
        <f t="shared" si="67"/>
        <v>#DIV/0!</v>
      </c>
      <c r="BJ46" s="161">
        <f t="shared" si="67"/>
        <v>0</v>
      </c>
      <c r="BK46" s="161" t="e">
        <f t="shared" si="67"/>
        <v>#DIV/0!</v>
      </c>
      <c r="BL46" s="161">
        <f t="shared" si="67"/>
        <v>0</v>
      </c>
      <c r="BM46" s="161" t="e">
        <f t="shared" si="67"/>
        <v>#DIV/0!</v>
      </c>
      <c r="BN46" s="161">
        <f t="shared" si="67"/>
        <v>0</v>
      </c>
      <c r="BO46" s="161" t="e">
        <f t="shared" si="67"/>
        <v>#DIV/0!</v>
      </c>
      <c r="BP46" s="161">
        <f t="shared" si="67"/>
        <v>0</v>
      </c>
      <c r="BQ46" s="161" t="e">
        <f t="shared" si="67"/>
        <v>#DIV/0!</v>
      </c>
      <c r="BR46" s="161">
        <f t="shared" ref="BR46:CG46" si="68">BR11-BR45</f>
        <v>0</v>
      </c>
      <c r="BS46" s="161" t="e">
        <f t="shared" si="68"/>
        <v>#DIV/0!</v>
      </c>
      <c r="BT46" s="161">
        <f t="shared" si="68"/>
        <v>0</v>
      </c>
      <c r="BU46" s="161" t="e">
        <f t="shared" si="68"/>
        <v>#DIV/0!</v>
      </c>
      <c r="BV46" s="161">
        <f t="shared" si="68"/>
        <v>0</v>
      </c>
      <c r="BW46" s="161" t="e">
        <f t="shared" si="68"/>
        <v>#DIV/0!</v>
      </c>
      <c r="BX46" s="161">
        <f t="shared" si="68"/>
        <v>0</v>
      </c>
      <c r="BY46" s="161" t="e">
        <f t="shared" si="68"/>
        <v>#DIV/0!</v>
      </c>
      <c r="BZ46" s="161">
        <f t="shared" si="68"/>
        <v>0</v>
      </c>
      <c r="CA46" s="161" t="e">
        <f t="shared" si="68"/>
        <v>#DIV/0!</v>
      </c>
      <c r="CB46" s="161">
        <f t="shared" si="68"/>
        <v>0</v>
      </c>
      <c r="CC46" s="161" t="e">
        <f t="shared" si="68"/>
        <v>#DIV/0!</v>
      </c>
      <c r="CD46" s="161">
        <f t="shared" si="68"/>
        <v>0</v>
      </c>
      <c r="CE46" s="161" t="e">
        <f t="shared" si="68"/>
        <v>#DIV/0!</v>
      </c>
      <c r="CF46" s="161">
        <f t="shared" si="68"/>
        <v>0</v>
      </c>
      <c r="CG46" s="161" t="e">
        <f t="shared" si="68"/>
        <v>#DIV/0!</v>
      </c>
      <c r="CH46" s="473"/>
      <c r="CI46" s="161" t="e">
        <f t="shared" ref="CI46:CO46" si="69">CI11-CI45</f>
        <v>#DIV/0!</v>
      </c>
      <c r="CJ46" s="161" t="e">
        <f t="shared" si="69"/>
        <v>#DIV/0!</v>
      </c>
      <c r="CK46" s="161" t="e">
        <f t="shared" si="69"/>
        <v>#DIV/0!</v>
      </c>
      <c r="CL46" s="161" t="e">
        <f t="shared" si="69"/>
        <v>#DIV/0!</v>
      </c>
      <c r="CM46" s="161">
        <f t="shared" si="69"/>
        <v>0</v>
      </c>
      <c r="CN46" s="161" t="e">
        <f t="shared" si="69"/>
        <v>#DIV/0!</v>
      </c>
      <c r="CO46" s="162">
        <f t="shared" si="69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90"/>
      <c r="F47" s="484">
        <f>A2_A_L1+A2_B_L1+A2_C_L1+A2_D_L1+A2_Y_L1+A2_Z_L1+A2_X_L1</f>
        <v>7000</v>
      </c>
      <c r="G47" s="479"/>
      <c r="H47" s="478">
        <f>A2_A_L2+A2_B_L2+A2_C_L2+A2_D_L2+A2_Y_L2+A2_Z_L2+A2_X_L2</f>
        <v>0</v>
      </c>
      <c r="I47" s="479"/>
      <c r="J47" s="478">
        <f>A2_A_L3+A2_B_L3+A2_C_L3+A2_D_L3+A2_Y_L3+A2_Z_L3+A2_X_L3</f>
        <v>0</v>
      </c>
      <c r="K47" s="479"/>
      <c r="L47" s="478">
        <f>A2_A_L4+A2_B_L4+A2_C_L4+A2_D_L4+A2_Y_L4+A2_Z_L4+A2_X_L4</f>
        <v>0</v>
      </c>
      <c r="M47" s="479"/>
      <c r="N47" s="478">
        <f>A2_A_L5+A2_B_L5+A2_C_L5+A2_D_L5+A2_Y_L5+A2_Z_L5+A2_X_L5</f>
        <v>0</v>
      </c>
      <c r="O47" s="479"/>
      <c r="P47" s="478">
        <f>A2_A_L6+A2_B_L6+A2_C_L6+A2_D_L6+A2_Y_L6+A2_Z_L6+A2_X_L6</f>
        <v>0</v>
      </c>
      <c r="Q47" s="479"/>
      <c r="R47" s="478">
        <f>A2_A_L7+A2_B_L7+A2_C_L7+A2_D_L7+A2_Y_L7+A2_Z_L7+A2_X_L7</f>
        <v>0</v>
      </c>
      <c r="S47" s="479"/>
      <c r="T47" s="478">
        <f>A2_A_L8+A2_B_L8+A2_C_L8+A2_D_L8+A2_Y_L8+A2_Z_L8+A2_X_L8</f>
        <v>0</v>
      </c>
      <c r="U47" s="479"/>
      <c r="V47" s="478">
        <f>A2_A_L9+A2_B_L9+A2_C_L9+A2_D_L9+A2_Y_L9+A2_Z_L9+A2_X_L9</f>
        <v>0</v>
      </c>
      <c r="W47" s="479"/>
      <c r="X47" s="478">
        <f>A2_A_L10+A2_B_L10+A2_C_L10+A2_D_L10+A2_Y_L10+A2_Z_L10+A2_X_L10</f>
        <v>0</v>
      </c>
      <c r="Y47" s="479"/>
      <c r="Z47" s="478">
        <f>A2_A_L11+A2_B_L11+A2_C_L11+A2_D_L11+A2_Y_L11+A2_Z_L11+A2_X_L11</f>
        <v>0</v>
      </c>
      <c r="AA47" s="479"/>
      <c r="AB47" s="478">
        <f>A2_A_L12+A2_B_L12+A2_C_L12+A2_D_L12+A2_Y_L12+A2_Z_L12+A2_X_L12</f>
        <v>0</v>
      </c>
      <c r="AC47" s="479"/>
      <c r="AD47" s="478">
        <f>A2_A_L13+A2_B_L13+A2_C_L13+A2_D_L13+A2_Y_L13+A2_Z_L13+A2_X_L13</f>
        <v>0</v>
      </c>
      <c r="AE47" s="479"/>
      <c r="AF47" s="478">
        <f>A2_A_L14+A2_B_L14+A2_C_L14+A2_D_L14+A2_Y_L14+A2_Z_L14+A2_X_L14</f>
        <v>0</v>
      </c>
      <c r="AG47" s="479"/>
      <c r="AH47" s="478">
        <f>A2_A_L15+A2_B_L15+A2_C_L15+A2_D_L15+A2_Y_L15+A2_Z_L15+A2_X_L15</f>
        <v>0</v>
      </c>
      <c r="AI47" s="479"/>
      <c r="AJ47" s="478">
        <f>A2_A_L16+A2_B_L16+A2_C_L16+A2_D_L16+A2_Y_L16+A2_Z_L16+A2_X_L16</f>
        <v>0</v>
      </c>
      <c r="AK47" s="479"/>
      <c r="AL47" s="478">
        <f>A2_A_L17+A2_B_L17+A2_C_L17+A2_D_L17+A2_Y_L17+A2_Z_L17+A2_X_L17</f>
        <v>0</v>
      </c>
      <c r="AM47" s="479"/>
      <c r="AN47" s="478">
        <f>A2_A_L18+A2_B_L18+A2_C_L18+A2_D_L18+A2_Y_L18+A2_Z_L18+A2_X_L18</f>
        <v>0</v>
      </c>
      <c r="AO47" s="479"/>
      <c r="AP47" s="478">
        <f>A2_A_L19+A2_B_L19+A2_C_L19+A2_D_L19+A2_Y_L19+A2_Z_L19+A2_X_L19</f>
        <v>0</v>
      </c>
      <c r="AQ47" s="479"/>
      <c r="AR47" s="478">
        <f>A2_A_L20+A2_B_L20+A2_C_L20+A2_D_L20+A2_Y_L20+A2_Z_L20+A2_X_L20</f>
        <v>0</v>
      </c>
      <c r="AS47" s="479"/>
      <c r="AT47" s="478">
        <f>A2_A_L21+A2_B_L21+A2_C_L21+A2_D_L21+A2_Y_L21+A2_Z_L21+A2_X_L21</f>
        <v>0</v>
      </c>
      <c r="AU47" s="479"/>
      <c r="AV47" s="478">
        <f>A2_A_L22+A2_B_L22+A2_C_L22+A2_D_L22+A2_Y_L22+A2_Z_L22+A2_X_L22</f>
        <v>0</v>
      </c>
      <c r="AW47" s="479"/>
      <c r="AX47" s="478">
        <f>A2_A_L23+A2_B_L23+A2_C_L23+A2_D_L23+A2_Y_L23+A2_Z_L23+A2_X_L23</f>
        <v>0</v>
      </c>
      <c r="AY47" s="479"/>
      <c r="AZ47" s="478">
        <f>A2_A_L24+A2_B_L24+A2_C_L24+A2_D_L24+A2_Y_L24+A2_Z_L24+A2_X_L24</f>
        <v>0</v>
      </c>
      <c r="BA47" s="479"/>
      <c r="BB47" s="478">
        <f>A2_A_L25+A2_B_L25+A2_C_L25+A2_D_L25+A2_Y_L25+A2_Z_L25+A2_X_L25</f>
        <v>0</v>
      </c>
      <c r="BC47" s="479"/>
      <c r="BD47" s="478">
        <f>A2_A_L26+A2_B_L26+A2_C_L26+A2_D_L26+A2_Y_L26+A2_Z_L26+A2_X_L26</f>
        <v>0</v>
      </c>
      <c r="BE47" s="479"/>
      <c r="BF47" s="478">
        <f>A2_A_L27+A2_B_L27+A2_C_L27+A2_D_L27+A2_Y_L27+A2_Z_L27+A2_X_L27</f>
        <v>0</v>
      </c>
      <c r="BG47" s="479"/>
      <c r="BH47" s="478">
        <f>A2_A_L28+A2_B_L28+A2_C_L28+A2_D_L28+A2_Y_L28+A2_Z_L28+A2_X_L28</f>
        <v>0</v>
      </c>
      <c r="BI47" s="479"/>
      <c r="BJ47" s="478">
        <f>A2_A_L29+A2_B_L29+A2_C_L29+A2_D_L29+A2_Y_L29+A2_Z_L29+A2_X_L29</f>
        <v>0</v>
      </c>
      <c r="BK47" s="479"/>
      <c r="BL47" s="478">
        <f>A2_A_L30+A2_B_L30+A2_C_L30+A2_D_L30+A2_Y_L30+A2_Z_L30+A2_X_L30</f>
        <v>0</v>
      </c>
      <c r="BM47" s="479"/>
      <c r="BN47" s="478">
        <f>A2_A_L31+A2_B_L31+A2_C_L31+A2_D_L31+A2_Y_L31+A2_Z_L31+A2_X_L31</f>
        <v>0</v>
      </c>
      <c r="BO47" s="479"/>
      <c r="BP47" s="478">
        <f>A2_A_L32+A2_B_L32+A2_C_L32+A2_D_L32+A2_Y_L32+A2_Z_L32+A2_X_L32</f>
        <v>0</v>
      </c>
      <c r="BQ47" s="479"/>
      <c r="BR47" s="478">
        <f>A2_A_L33+A2_B_L33+A2_C_L33+A2_D_L33+A2_Y_L33+A2_Z_L33+A2_X_L33</f>
        <v>0</v>
      </c>
      <c r="BS47" s="479"/>
      <c r="BT47" s="478">
        <f>A2_A_L34+A2_B_L34+A2_C_L34+A2_D_L34+A2_Y_L34+A2_Z_L34+A2_X_L34</f>
        <v>0</v>
      </c>
      <c r="BU47" s="479"/>
      <c r="BV47" s="478">
        <f>A2_A_L35+A2_B_L35+A2_C_L35+A2_D_L35+A2_Y_L35+A2_Z_L35+A2_X_L35</f>
        <v>0</v>
      </c>
      <c r="BW47" s="479"/>
      <c r="BX47" s="478">
        <f>A2_A_L36+A2_B_L36+A2_C_L36+A2_D_L36+A2_Y_L36+A2_Z_L36+A2_X_L36</f>
        <v>0</v>
      </c>
      <c r="BY47" s="479"/>
      <c r="BZ47" s="478">
        <f>A2_A_L37+A2_B_L37+A2_C_L37+A2_D_L37+A2_Y_L37+A2_Z_L37+A2_X_L37</f>
        <v>0</v>
      </c>
      <c r="CA47" s="479"/>
      <c r="CB47" s="478">
        <f>A2_A_L38+A2_B_L38+A2_C_L38+A2_D_L38+A2_Y_L38+A2_Z_L38+A2_X_L38</f>
        <v>0</v>
      </c>
      <c r="CC47" s="479"/>
      <c r="CD47" s="478">
        <f>A2_A_L39+A2_B_L39+A2_C_L39+A2_D_L39+A2_Y_L39+A2_Z_L39+A2_X_L39</f>
        <v>0</v>
      </c>
      <c r="CE47" s="479"/>
      <c r="CF47" s="478">
        <f>A2_A_L40+A2_B_L40+A2_C_L40+A2_D_L40+A2_Y_L40+A2_Z_L40+A2_X_L40</f>
        <v>0</v>
      </c>
      <c r="CG47" s="479"/>
      <c r="CH47" s="473"/>
      <c r="CI47" s="118">
        <f>Plantas_A_A2</f>
        <v>0</v>
      </c>
      <c r="CJ47" s="119">
        <f>Plantas_B_A2</f>
        <v>0</v>
      </c>
      <c r="CK47" s="119">
        <f>Plantas_C_A2</f>
        <v>0</v>
      </c>
      <c r="CL47" s="119">
        <f>Plantas_D_A2</f>
        <v>7000</v>
      </c>
      <c r="CM47" s="119">
        <f>Plantas_Z_A2</f>
        <v>0</v>
      </c>
      <c r="CN47" s="119">
        <f>Plantas_Y_A2</f>
        <v>0</v>
      </c>
      <c r="CO47" s="120">
        <f>Plantas_X_A2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90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70">CI7-CI13</f>
        <v>0</v>
      </c>
      <c r="CJ48" s="123">
        <f t="shared" si="70"/>
        <v>0</v>
      </c>
      <c r="CK48" s="123">
        <f t="shared" si="70"/>
        <v>0</v>
      </c>
      <c r="CL48" s="123">
        <f t="shared" si="70"/>
        <v>0</v>
      </c>
      <c r="CM48" s="123">
        <f t="shared" si="70"/>
        <v>0</v>
      </c>
      <c r="CN48" s="123">
        <f t="shared" si="70"/>
        <v>0</v>
      </c>
      <c r="CO48" s="124">
        <f t="shared" si="70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91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sAAFepE1Lu/YpZBEtxTRGeu0Nc5hI92KtqilHzuKu5MJHmE4dcptClzRH49CbTzrbY2p+B7BC/JavvfH7nIziQ==" saltValue="vGBCcfR9t9b4vsYb2ltFcA==" spinCount="100000" sheet="1" formatColumns="0"/>
  <mergeCells count="86"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D4:CE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F4:CG4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AF47:AG47"/>
    <mergeCell ref="AH47:AI47"/>
    <mergeCell ref="AJ47:AK47"/>
    <mergeCell ref="AL47:AM47"/>
    <mergeCell ref="AN47:AO47"/>
    <mergeCell ref="AP47:AQ47"/>
    <mergeCell ref="BH47:BI47"/>
    <mergeCell ref="BJ47:BK47"/>
    <mergeCell ref="T47:U47"/>
    <mergeCell ref="V47:W47"/>
    <mergeCell ref="X47:Y47"/>
    <mergeCell ref="Z47:AA47"/>
    <mergeCell ref="AB47:AC47"/>
    <mergeCell ref="AZ47:BA47"/>
    <mergeCell ref="BB47:BC47"/>
    <mergeCell ref="AD47:AE47"/>
    <mergeCell ref="BD47:BE47"/>
    <mergeCell ref="BF47:BG47"/>
    <mergeCell ref="A50:C50"/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L47:BM47"/>
    <mergeCell ref="BN47:BO47"/>
    <mergeCell ref="AR47:AS47"/>
    <mergeCell ref="AT47:AU47"/>
    <mergeCell ref="AV47:AW47"/>
    <mergeCell ref="AX47:AY47"/>
  </mergeCells>
  <hyperlinks>
    <hyperlink ref="CH1" location="Inicio!A15" display="Regresar" xr:uid="{DFA8A16F-81E4-45B0-8F78-15D13DCD36D3}"/>
    <hyperlink ref="A1" location="Inicio!C13" display="Regresar" xr:uid="{09BB525A-79D5-4332-866A-211716D6C83B}"/>
  </hyperlinks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C767C-226F-8D4A-9C48-FF7AA6F2B9F9}">
  <sheetPr codeName="Hoja13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A8" sqref="A8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137" t="s">
        <v>21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AZ1" s="134"/>
      <c r="BA1" s="134"/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5"/>
      <c r="CI1" s="134"/>
      <c r="CJ1" s="134"/>
      <c r="CK1" s="134"/>
      <c r="CL1" s="134"/>
      <c r="CM1" s="134"/>
      <c r="CN1" s="134"/>
      <c r="CO1" s="136"/>
    </row>
    <row r="2" spans="1:93" s="59" customFormat="1" ht="50.1" customHeight="1" thickBot="1" x14ac:dyDescent="0.3">
      <c r="A2" s="480" t="str">
        <f>CONCATENATE("Planificación financiera ",Up," | Presupuesto y ejecución ",Año_Inicial+2)</f>
        <v>Planificación financiera  | Presupuesto y ejecución 2025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88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89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89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89"/>
      <c r="F7" s="97">
        <f>P_A3_L1</f>
        <v>0</v>
      </c>
      <c r="G7" s="96" t="e">
        <f>G40/CUI_Corte</f>
        <v>#DIV/0!</v>
      </c>
      <c r="H7" s="97">
        <f>P_A3_L2</f>
        <v>0</v>
      </c>
      <c r="I7" s="96" t="e">
        <f>I40/CUI_Corte</f>
        <v>#DIV/0!</v>
      </c>
      <c r="J7" s="97">
        <f>P_A3_L3</f>
        <v>0</v>
      </c>
      <c r="K7" s="96" t="e">
        <f>K40/CUI_Corte</f>
        <v>#DIV/0!</v>
      </c>
      <c r="L7" s="97">
        <f>P_A3_L4</f>
        <v>0</v>
      </c>
      <c r="M7" s="96" t="e">
        <f>M40/CUI_Corte</f>
        <v>#DIV/0!</v>
      </c>
      <c r="N7" s="97">
        <f>P_A3_L5</f>
        <v>0</v>
      </c>
      <c r="O7" s="96" t="e">
        <f>O40/CUI_Corte</f>
        <v>#DIV/0!</v>
      </c>
      <c r="P7" s="97">
        <f>P_A3_L6</f>
        <v>0</v>
      </c>
      <c r="Q7" s="96" t="e">
        <f>Q40/CUI_Corte</f>
        <v>#DIV/0!</v>
      </c>
      <c r="R7" s="97">
        <f>P_A3_L7</f>
        <v>0</v>
      </c>
      <c r="S7" s="96" t="e">
        <f>S40/CUI_Corte</f>
        <v>#DIV/0!</v>
      </c>
      <c r="T7" s="97">
        <f>P_A3_L8</f>
        <v>0</v>
      </c>
      <c r="U7" s="96" t="e">
        <f>U40/CUI_Corte</f>
        <v>#DIV/0!</v>
      </c>
      <c r="V7" s="97">
        <f>P_A3_L9</f>
        <v>0</v>
      </c>
      <c r="W7" s="96" t="e">
        <f>W40/CUI_Corte</f>
        <v>#DIV/0!</v>
      </c>
      <c r="X7" s="97">
        <f>P_A3_L10</f>
        <v>0</v>
      </c>
      <c r="Y7" s="96" t="e">
        <f>Y40/CUI_Corte</f>
        <v>#DIV/0!</v>
      </c>
      <c r="Z7" s="97">
        <f>P_A3_L11</f>
        <v>0</v>
      </c>
      <c r="AA7" s="96" t="e">
        <f>AA40/CUI_Corte</f>
        <v>#DIV/0!</v>
      </c>
      <c r="AB7" s="97">
        <f>P_A3_L12</f>
        <v>0</v>
      </c>
      <c r="AC7" s="96" t="e">
        <f>AC40/CUI_Corte</f>
        <v>#DIV/0!</v>
      </c>
      <c r="AD7" s="97">
        <f>P_A3_L13</f>
        <v>0</v>
      </c>
      <c r="AE7" s="96" t="e">
        <f>AE40/CUI_Corte</f>
        <v>#DIV/0!</v>
      </c>
      <c r="AF7" s="97">
        <f>P_A3_L14</f>
        <v>0</v>
      </c>
      <c r="AG7" s="96" t="e">
        <f>AG40/CUI_Corte</f>
        <v>#DIV/0!</v>
      </c>
      <c r="AH7" s="97">
        <f>P_A3_L15</f>
        <v>0</v>
      </c>
      <c r="AI7" s="96" t="e">
        <f>AI40/CUI_Corte</f>
        <v>#DIV/0!</v>
      </c>
      <c r="AJ7" s="97">
        <f>P_A3_L16</f>
        <v>0</v>
      </c>
      <c r="AK7" s="96" t="e">
        <f>AK40/CUI_Corte</f>
        <v>#DIV/0!</v>
      </c>
      <c r="AL7" s="97">
        <f>P_A3_L17</f>
        <v>0</v>
      </c>
      <c r="AM7" s="96" t="e">
        <f>AM40/CUI_Corte</f>
        <v>#DIV/0!</v>
      </c>
      <c r="AN7" s="97">
        <f>P_A3_L18</f>
        <v>0</v>
      </c>
      <c r="AO7" s="96" t="e">
        <f>AO40/CUI_Corte</f>
        <v>#DIV/0!</v>
      </c>
      <c r="AP7" s="97">
        <f>P_A3_L19</f>
        <v>0</v>
      </c>
      <c r="AQ7" s="96" t="e">
        <f>AQ40/CUI_Corte</f>
        <v>#DIV/0!</v>
      </c>
      <c r="AR7" s="97">
        <f>P_A3_L20</f>
        <v>0</v>
      </c>
      <c r="AS7" s="96" t="e">
        <f>AS40/CUI_Corte</f>
        <v>#DIV/0!</v>
      </c>
      <c r="AT7" s="97">
        <f>P_A3_L21</f>
        <v>0</v>
      </c>
      <c r="AU7" s="96" t="e">
        <f>AU40/CUI_Corte</f>
        <v>#DIV/0!</v>
      </c>
      <c r="AV7" s="97">
        <f>P_A3_L22</f>
        <v>0</v>
      </c>
      <c r="AW7" s="96" t="e">
        <f>AW40/CUI_Corte</f>
        <v>#DIV/0!</v>
      </c>
      <c r="AX7" s="97">
        <f>P_A3_L23</f>
        <v>0</v>
      </c>
      <c r="AY7" s="96" t="e">
        <f>AY40/CUI_Corte</f>
        <v>#DIV/0!</v>
      </c>
      <c r="AZ7" s="97">
        <f>P_A3_L24</f>
        <v>0</v>
      </c>
      <c r="BA7" s="96" t="e">
        <f>BA40/CUI_Corte</f>
        <v>#DIV/0!</v>
      </c>
      <c r="BB7" s="97">
        <f>P_A3_L25</f>
        <v>0</v>
      </c>
      <c r="BC7" s="96" t="e">
        <f>BC40/CUI_Corte</f>
        <v>#DIV/0!</v>
      </c>
      <c r="BD7" s="97">
        <f>P_A3_L26</f>
        <v>0</v>
      </c>
      <c r="BE7" s="96" t="e">
        <f>BE40/CUI_Corte</f>
        <v>#DIV/0!</v>
      </c>
      <c r="BF7" s="97">
        <f>P_A3_L27</f>
        <v>0</v>
      </c>
      <c r="BG7" s="96" t="e">
        <f>BG40/CUI_Corte</f>
        <v>#DIV/0!</v>
      </c>
      <c r="BH7" s="97">
        <f>P_A3_L28</f>
        <v>0</v>
      </c>
      <c r="BI7" s="96" t="e">
        <f>BI40/CUI_Corte</f>
        <v>#DIV/0!</v>
      </c>
      <c r="BJ7" s="97">
        <f>P_A3_L29</f>
        <v>0</v>
      </c>
      <c r="BK7" s="96" t="e">
        <f>BK40/CUI_Corte</f>
        <v>#DIV/0!</v>
      </c>
      <c r="BL7" s="97">
        <f>P_A3_L30</f>
        <v>0</v>
      </c>
      <c r="BM7" s="96" t="e">
        <f>BM40/CUI_Corte</f>
        <v>#DIV/0!</v>
      </c>
      <c r="BN7" s="97">
        <f>P_A3_L31</f>
        <v>0</v>
      </c>
      <c r="BO7" s="96" t="e">
        <f>BO40/CUI_Corte</f>
        <v>#DIV/0!</v>
      </c>
      <c r="BP7" s="97">
        <f>P_A3_L32</f>
        <v>0</v>
      </c>
      <c r="BQ7" s="96" t="e">
        <f>BQ40/CUI_Corte</f>
        <v>#DIV/0!</v>
      </c>
      <c r="BR7" s="97">
        <f>P_A3_L33</f>
        <v>0</v>
      </c>
      <c r="BS7" s="96" t="e">
        <f>BS40/CUI_Corte</f>
        <v>#DIV/0!</v>
      </c>
      <c r="BT7" s="97">
        <f>P_A3_L34</f>
        <v>0</v>
      </c>
      <c r="BU7" s="96" t="e">
        <f>BU40/CUI_Corte</f>
        <v>#DIV/0!</v>
      </c>
      <c r="BV7" s="97">
        <f>P_A3_L35</f>
        <v>0</v>
      </c>
      <c r="BW7" s="96" t="e">
        <f>BW40/CUI_Corte</f>
        <v>#DIV/0!</v>
      </c>
      <c r="BX7" s="97">
        <f>P_A3_L36</f>
        <v>0</v>
      </c>
      <c r="BY7" s="96" t="e">
        <f>BY40/CUI_Corte</f>
        <v>#DIV/0!</v>
      </c>
      <c r="BZ7" s="97">
        <f>P_A3_L37</f>
        <v>0</v>
      </c>
      <c r="CA7" s="96" t="e">
        <f>CA40/CUI_Corte</f>
        <v>#DIV/0!</v>
      </c>
      <c r="CB7" s="97">
        <f>P_A3_L38</f>
        <v>0</v>
      </c>
      <c r="CC7" s="96" t="e">
        <f>CC40/CUI_Corte</f>
        <v>#DIV/0!</v>
      </c>
      <c r="CD7" s="97">
        <f>P_A3_L39</f>
        <v>0</v>
      </c>
      <c r="CE7" s="96" t="e">
        <f>CE40/CUI_Corte</f>
        <v>#DIV/0!</v>
      </c>
      <c r="CF7" s="97">
        <f>P_A3_L40</f>
        <v>0</v>
      </c>
      <c r="CG7" s="96" t="e">
        <f>CG40/CUI_Corte</f>
        <v>#DIV/0!</v>
      </c>
      <c r="CH7" s="473"/>
      <c r="CI7" s="96">
        <f>(IF(Diseño="Bloque",Bloque_A3_A,Surco_A3_A)/100)</f>
        <v>0</v>
      </c>
      <c r="CJ7" s="96">
        <f>(IF(Diseño="Bloque",Bloque_A3_B,Surco_A3_B)/100)</f>
        <v>0</v>
      </c>
      <c r="CK7" s="96">
        <f>(IF(Diseño="Bloque",Bloque_A3_C,Surco_A3_C)/100)</f>
        <v>0</v>
      </c>
      <c r="CL7" s="96">
        <f>(IF(Diseño="Bloque",Bloque_A3_D,Surco_A3_D)/100)</f>
        <v>0</v>
      </c>
      <c r="CM7" s="96"/>
      <c r="CN7" s="96">
        <f>(IF(Diseño="Bloque",Bloque_A3_Y,Surco_A3_Y)/100)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",Precio_A3,".00")</f>
        <v>Ventas de café de primera:  0% | Q. .00</v>
      </c>
      <c r="B8" s="100">
        <f>B7*P_Primera*Precio_A3*Inflación_3</f>
        <v>0</v>
      </c>
      <c r="C8" s="100" t="e">
        <f>C7*P_Primera*Precio_A3</f>
        <v>#DIV/0!</v>
      </c>
      <c r="D8" s="100" t="e">
        <f>C8-B8</f>
        <v>#DIV/0!</v>
      </c>
      <c r="E8" s="489"/>
      <c r="F8" s="101">
        <f>P_A3_L1*P_Primera*Precio_A3*Inflación_3</f>
        <v>0</v>
      </c>
      <c r="G8" s="100" t="e">
        <f>G7*P_Primera*Precio_A3</f>
        <v>#DIV/0!</v>
      </c>
      <c r="H8" s="101">
        <f>P_A3_L2*P_Primera*Precio_A3*Inflación_3</f>
        <v>0</v>
      </c>
      <c r="I8" s="100" t="e">
        <f>I7*P_Primera*Precio_A3</f>
        <v>#DIV/0!</v>
      </c>
      <c r="J8" s="101">
        <f>P_A3_L3*P_Primera*Precio_A3*Inflación_3</f>
        <v>0</v>
      </c>
      <c r="K8" s="100" t="e">
        <f>K7*P_Primera*Precio_A3</f>
        <v>#DIV/0!</v>
      </c>
      <c r="L8" s="101">
        <f>P_A3_L4*P_Primera*Precio_A3*Inflación_3</f>
        <v>0</v>
      </c>
      <c r="M8" s="100" t="e">
        <f>M7*P_Primera*Precio_A3</f>
        <v>#DIV/0!</v>
      </c>
      <c r="N8" s="101">
        <f>P_A3_L5*P_Primera*Precio_A3*Inflación_3</f>
        <v>0</v>
      </c>
      <c r="O8" s="100" t="e">
        <f>O7*P_Primera*Precio_A3</f>
        <v>#DIV/0!</v>
      </c>
      <c r="P8" s="101">
        <f>P_A3_L6*P_Primera*Precio_A3*Inflación_3</f>
        <v>0</v>
      </c>
      <c r="Q8" s="100" t="e">
        <f>Q7*P_Primera*Precio_A3</f>
        <v>#DIV/0!</v>
      </c>
      <c r="R8" s="101">
        <f>P_A3_L7*P_Primera*Precio_A3*Inflación_3</f>
        <v>0</v>
      </c>
      <c r="S8" s="100" t="e">
        <f>S7*P_Primera*Precio_A3</f>
        <v>#DIV/0!</v>
      </c>
      <c r="T8" s="101">
        <f>P_A3_L8*P_Primera*Precio_A3*Inflación_3</f>
        <v>0</v>
      </c>
      <c r="U8" s="100" t="e">
        <f>U7*P_Primera*Precio_A3</f>
        <v>#DIV/0!</v>
      </c>
      <c r="V8" s="101">
        <f>P_A3_L9*P_Primera*Precio_A3*Inflación_3</f>
        <v>0</v>
      </c>
      <c r="W8" s="100" t="e">
        <f>W7*P_Primera*Precio_A3</f>
        <v>#DIV/0!</v>
      </c>
      <c r="X8" s="101">
        <f>P_A3_L10*P_Primera*Precio_A3*Inflación_3</f>
        <v>0</v>
      </c>
      <c r="Y8" s="100" t="e">
        <f>Y7*P_Primera*Precio_A3</f>
        <v>#DIV/0!</v>
      </c>
      <c r="Z8" s="101">
        <f>P_A3_L11*P_Primera*Precio_A3*Inflación_3</f>
        <v>0</v>
      </c>
      <c r="AA8" s="100" t="e">
        <f>AA7*P_Primera*Precio_A3</f>
        <v>#DIV/0!</v>
      </c>
      <c r="AB8" s="101">
        <f>P_A3_L12*P_Primera*Precio_A3*Inflación_3</f>
        <v>0</v>
      </c>
      <c r="AC8" s="100" t="e">
        <f>AC7*P_Primera*Precio_A3</f>
        <v>#DIV/0!</v>
      </c>
      <c r="AD8" s="101">
        <f>P_A3_L13*P_Primera*Precio_A3*Inflación_3</f>
        <v>0</v>
      </c>
      <c r="AE8" s="100" t="e">
        <f>AE7*P_Primera*Precio_A3</f>
        <v>#DIV/0!</v>
      </c>
      <c r="AF8" s="101">
        <f>P_A3_L14*P_Primera*Precio_A3*Inflación_3</f>
        <v>0</v>
      </c>
      <c r="AG8" s="100" t="e">
        <f>AG7*P_Primera*Precio_A3</f>
        <v>#DIV/0!</v>
      </c>
      <c r="AH8" s="101">
        <f>P_A3_L15*P_Primera*Precio_A3*Inflación_3</f>
        <v>0</v>
      </c>
      <c r="AI8" s="100" t="e">
        <f>AI7*P_Primera*Precio_A3</f>
        <v>#DIV/0!</v>
      </c>
      <c r="AJ8" s="101">
        <f>P_A3_L16*P_Primera*Precio_A3*Inflación_3</f>
        <v>0</v>
      </c>
      <c r="AK8" s="100" t="e">
        <f>AK7*P_Primera*Precio_A3</f>
        <v>#DIV/0!</v>
      </c>
      <c r="AL8" s="101">
        <f>P_A3_L17*P_Primera*Precio_A3*Inflación_3</f>
        <v>0</v>
      </c>
      <c r="AM8" s="100" t="e">
        <f>AM7*P_Primera*Precio_A3</f>
        <v>#DIV/0!</v>
      </c>
      <c r="AN8" s="101">
        <f>P_A3_L18*P_Primera*Precio_A3*Inflación_3</f>
        <v>0</v>
      </c>
      <c r="AO8" s="100" t="e">
        <f>AO7*P_Primera*Precio_A3</f>
        <v>#DIV/0!</v>
      </c>
      <c r="AP8" s="101">
        <f>P_A3_L19*P_Primera*Precio_A3*Inflación_3</f>
        <v>0</v>
      </c>
      <c r="AQ8" s="100" t="e">
        <f>AQ7*P_Primera*Precio_A3</f>
        <v>#DIV/0!</v>
      </c>
      <c r="AR8" s="101">
        <f>P_A3_L20*P_Primera*Precio_A3*Inflación_3</f>
        <v>0</v>
      </c>
      <c r="AS8" s="100" t="e">
        <f>AS7*P_Primera*Precio_A3</f>
        <v>#DIV/0!</v>
      </c>
      <c r="AT8" s="101">
        <f>P_A3_L21*P_Primera*Precio_A3*Inflación_3</f>
        <v>0</v>
      </c>
      <c r="AU8" s="100" t="e">
        <f>AU7*P_Primera*Precio_A3</f>
        <v>#DIV/0!</v>
      </c>
      <c r="AV8" s="101">
        <f>P_A3_L22*P_Primera*Precio_A3*Inflación_3</f>
        <v>0</v>
      </c>
      <c r="AW8" s="100" t="e">
        <f>AW7*P_Primera*Precio_A3</f>
        <v>#DIV/0!</v>
      </c>
      <c r="AX8" s="101">
        <f>P_A3_L23*P_Primera*Precio_A3*Inflación_3</f>
        <v>0</v>
      </c>
      <c r="AY8" s="100" t="e">
        <f>AY7*P_Primera*Precio_A3</f>
        <v>#DIV/0!</v>
      </c>
      <c r="AZ8" s="101">
        <f>P_A3_L24*P_Primera*Precio_A3*Inflación_3</f>
        <v>0</v>
      </c>
      <c r="BA8" s="100" t="e">
        <f>BA7*P_Primera*Precio_A3</f>
        <v>#DIV/0!</v>
      </c>
      <c r="BB8" s="101">
        <f>P_A3_L25*P_Primera*Precio_A3*Inflación_3</f>
        <v>0</v>
      </c>
      <c r="BC8" s="100" t="e">
        <f>BC7*P_Primera*Precio_A3</f>
        <v>#DIV/0!</v>
      </c>
      <c r="BD8" s="101">
        <f>P_A3_L26*P_Primera*Precio_A3*Inflación_3</f>
        <v>0</v>
      </c>
      <c r="BE8" s="100" t="e">
        <f>BE7*P_Primera*Precio_A3</f>
        <v>#DIV/0!</v>
      </c>
      <c r="BF8" s="101">
        <f>P_A3_L27*P_Primera*Precio_A3*Inflación_3</f>
        <v>0</v>
      </c>
      <c r="BG8" s="100" t="e">
        <f>BG7*P_Primera*Precio_A3</f>
        <v>#DIV/0!</v>
      </c>
      <c r="BH8" s="101">
        <f>P_A3_L28*P_Primera*Precio_A3*Inflación_3</f>
        <v>0</v>
      </c>
      <c r="BI8" s="100" t="e">
        <f>BI7*P_Primera*Precio_A3</f>
        <v>#DIV/0!</v>
      </c>
      <c r="BJ8" s="101">
        <f>P_A3_L29*P_Primera*Precio_A3*Inflación_3</f>
        <v>0</v>
      </c>
      <c r="BK8" s="100" t="e">
        <f>BK7*P_Primera*Precio_A3</f>
        <v>#DIV/0!</v>
      </c>
      <c r="BL8" s="101">
        <f>P_A3_L30*P_Primera*Precio_A3*Inflación_3</f>
        <v>0</v>
      </c>
      <c r="BM8" s="100" t="e">
        <f>BM7*P_Primera*Precio_A3</f>
        <v>#DIV/0!</v>
      </c>
      <c r="BN8" s="101">
        <f>P_A3_L31*P_Primera*Precio_A3*Inflación_3</f>
        <v>0</v>
      </c>
      <c r="BO8" s="100" t="e">
        <f>BO7*P_Primera*Precio_A3</f>
        <v>#DIV/0!</v>
      </c>
      <c r="BP8" s="101">
        <f>P_A3_L32*P_Primera*Precio_A3*Inflación_3</f>
        <v>0</v>
      </c>
      <c r="BQ8" s="100" t="e">
        <f>BQ7*P_Primera*Precio_A3</f>
        <v>#DIV/0!</v>
      </c>
      <c r="BR8" s="101">
        <f>P_A3_L33*P_Primera*Precio_A3*Inflación_3</f>
        <v>0</v>
      </c>
      <c r="BS8" s="100" t="e">
        <f>BS7*P_Primera*Precio_A3</f>
        <v>#DIV/0!</v>
      </c>
      <c r="BT8" s="101">
        <f>P_A3_L34*P_Primera*Precio_A3*Inflación_3</f>
        <v>0</v>
      </c>
      <c r="BU8" s="100" t="e">
        <f>BU7*P_Primera*Precio_A3</f>
        <v>#DIV/0!</v>
      </c>
      <c r="BV8" s="101">
        <f>P_A3_L35*P_Primera*Precio_A3*Inflación_3</f>
        <v>0</v>
      </c>
      <c r="BW8" s="100" t="e">
        <f>BW7*P_Primera*Precio_A3</f>
        <v>#DIV/0!</v>
      </c>
      <c r="BX8" s="101">
        <f>P_A3_L36*P_Primera*Precio_A3*Inflación_3</f>
        <v>0</v>
      </c>
      <c r="BY8" s="100" t="e">
        <f>BY7*P_Primera*Precio_A3</f>
        <v>#DIV/0!</v>
      </c>
      <c r="BZ8" s="101">
        <f>P_A3_L37*P_Primera*Precio_A3*Inflación_3</f>
        <v>0</v>
      </c>
      <c r="CA8" s="100" t="e">
        <f>CA7*P_Primera*Precio_A3</f>
        <v>#DIV/0!</v>
      </c>
      <c r="CB8" s="101">
        <f>P_A3_L38*P_Primera*Precio_A3*Inflación_3</f>
        <v>0</v>
      </c>
      <c r="CC8" s="100" t="e">
        <f>CC7*P_Primera*Precio_A3</f>
        <v>#DIV/0!</v>
      </c>
      <c r="CD8" s="101">
        <f>P_A3_L39*P_Primera*Precio_A3*Inflación_3</f>
        <v>0</v>
      </c>
      <c r="CE8" s="100" t="e">
        <f>CE7*P_Primera*Precio_A3</f>
        <v>#DIV/0!</v>
      </c>
      <c r="CF8" s="101">
        <f>P_A3_L40*P_Primera*Precio_A3*Inflación_3</f>
        <v>0</v>
      </c>
      <c r="CG8" s="100" t="e">
        <f>CG7*P_Primera*Precio_A3</f>
        <v>#DIV/0!</v>
      </c>
      <c r="CH8" s="473"/>
      <c r="CI8" s="101">
        <f>CI7*P_Primera*Precio_A3*Inflación_3</f>
        <v>0</v>
      </c>
      <c r="CJ8" s="101">
        <f>CJ7*P_Primera*Precio_A3*Inflación_3</f>
        <v>0</v>
      </c>
      <c r="CK8" s="101">
        <f>CK7*P_Primera*Precio_A3*Inflación_3</f>
        <v>0</v>
      </c>
      <c r="CL8" s="101">
        <f>CL7*P_Primera*Precio_A3*Inflación_3</f>
        <v>0</v>
      </c>
      <c r="CM8" s="101"/>
      <c r="CN8" s="101">
        <f>CN7*P_Primera*Precio_A3*Inflación_3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B7*P_Segunda*Segunda*Inflación_3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89"/>
      <c r="F9" s="101">
        <f>P_A3_L1*P_Segunda*Segunda*Inflación_3</f>
        <v>0</v>
      </c>
      <c r="G9" s="100" t="e">
        <f t="shared" ref="G9" si="2">G7*P_Segunda*Segunda</f>
        <v>#DIV/0!</v>
      </c>
      <c r="H9" s="101">
        <f>P_A3_L2*P_Segunda*Segunda*Inflación_3</f>
        <v>0</v>
      </c>
      <c r="I9" s="100" t="e">
        <f>I7*P_Segunda*Segunda</f>
        <v>#DIV/0!</v>
      </c>
      <c r="J9" s="101">
        <f>P_A3_L3*P_Segunda*Segunda*Inflación_3</f>
        <v>0</v>
      </c>
      <c r="K9" s="100" t="e">
        <f t="shared" ref="K9" si="3">K7*P_Segunda*Segunda</f>
        <v>#DIV/0!</v>
      </c>
      <c r="L9" s="101">
        <f>P_A3_L4*P_Segunda*Segunda*Inflación_3</f>
        <v>0</v>
      </c>
      <c r="M9" s="100" t="e">
        <f>M7*P_Segunda*Segunda</f>
        <v>#DIV/0!</v>
      </c>
      <c r="N9" s="101">
        <f>P_A3_L5*P_Segunda*Segunda*Inflación_3</f>
        <v>0</v>
      </c>
      <c r="O9" s="100" t="e">
        <f t="shared" ref="O9:Q9" si="4">O7*P_Segunda*Segunda</f>
        <v>#DIV/0!</v>
      </c>
      <c r="P9" s="101">
        <f>P_A3_L6*P_Segunda*Segunda*Inflación_3</f>
        <v>0</v>
      </c>
      <c r="Q9" s="100" t="e">
        <f t="shared" si="4"/>
        <v>#DIV/0!</v>
      </c>
      <c r="R9" s="101">
        <f>P_A3_L7*P_Segunda*Segunda*Inflación_3</f>
        <v>0</v>
      </c>
      <c r="S9" s="100" t="e">
        <f t="shared" ref="S9:U9" si="5">S7*P_Segunda*Segunda</f>
        <v>#DIV/0!</v>
      </c>
      <c r="T9" s="101">
        <f>P_A3_L8*P_Segunda*Segunda*Inflación_3</f>
        <v>0</v>
      </c>
      <c r="U9" s="100" t="e">
        <f t="shared" si="5"/>
        <v>#DIV/0!</v>
      </c>
      <c r="V9" s="101">
        <f>P_A3_L9*P_Segunda*Segunda*Inflación_3</f>
        <v>0</v>
      </c>
      <c r="W9" s="100" t="e">
        <f t="shared" ref="W9:Y9" si="6">W7*P_Segunda*Segunda</f>
        <v>#DIV/0!</v>
      </c>
      <c r="X9" s="101">
        <f>P_A3_L10*P_Segunda*Segunda*Inflación_3</f>
        <v>0</v>
      </c>
      <c r="Y9" s="100" t="e">
        <f t="shared" si="6"/>
        <v>#DIV/0!</v>
      </c>
      <c r="Z9" s="101">
        <f>P_A3_L11*P_Segunda*Segunda*Inflación_3</f>
        <v>0</v>
      </c>
      <c r="AA9" s="100" t="e">
        <f t="shared" ref="AA9:AC9" si="7">AA7*P_Segunda*Segunda</f>
        <v>#DIV/0!</v>
      </c>
      <c r="AB9" s="101">
        <f>P_A3_L12*P_Segunda*Segunda*Inflación_3</f>
        <v>0</v>
      </c>
      <c r="AC9" s="100" t="e">
        <f t="shared" si="7"/>
        <v>#DIV/0!</v>
      </c>
      <c r="AD9" s="101">
        <f>P_A3_L13*P_Segunda*Segunda*Inflación_3</f>
        <v>0</v>
      </c>
      <c r="AE9" s="100" t="e">
        <f t="shared" ref="AE9:AG9" si="8">AE7*P_Segunda*Segunda</f>
        <v>#DIV/0!</v>
      </c>
      <c r="AF9" s="101">
        <f>P_A3_L14*P_Segunda*Segunda*Inflación_3</f>
        <v>0</v>
      </c>
      <c r="AG9" s="100" t="e">
        <f t="shared" si="8"/>
        <v>#DIV/0!</v>
      </c>
      <c r="AH9" s="101">
        <f>P_A3_L15*P_Segunda*Segunda*Inflación_3</f>
        <v>0</v>
      </c>
      <c r="AI9" s="100" t="e">
        <f t="shared" ref="AI9:AK9" si="9">AI7*P_Segunda*Segunda</f>
        <v>#DIV/0!</v>
      </c>
      <c r="AJ9" s="101">
        <f>P_A3_L16*P_Segunda*Segunda*Inflación_3</f>
        <v>0</v>
      </c>
      <c r="AK9" s="100" t="e">
        <f t="shared" si="9"/>
        <v>#DIV/0!</v>
      </c>
      <c r="AL9" s="101">
        <f>P_A3_L17*P_Segunda*Segunda*Inflación_3</f>
        <v>0</v>
      </c>
      <c r="AM9" s="100" t="e">
        <f t="shared" ref="AM9:AO9" si="10">AM7*P_Segunda*Segunda</f>
        <v>#DIV/0!</v>
      </c>
      <c r="AN9" s="101">
        <f>P_A3_L18*P_Segunda*Segunda*Inflación_3</f>
        <v>0</v>
      </c>
      <c r="AO9" s="100" t="e">
        <f t="shared" si="10"/>
        <v>#DIV/0!</v>
      </c>
      <c r="AP9" s="101">
        <f>P_A3_L19*P_Segunda*Segunda*Inflación_3</f>
        <v>0</v>
      </c>
      <c r="AQ9" s="100" t="e">
        <f t="shared" ref="AQ9:AS9" si="11">AQ7*P_Segunda*Segunda</f>
        <v>#DIV/0!</v>
      </c>
      <c r="AR9" s="101">
        <f>P_A3_L20*P_Segunda*Segunda*Inflación_3</f>
        <v>0</v>
      </c>
      <c r="AS9" s="100" t="e">
        <f t="shared" si="11"/>
        <v>#DIV/0!</v>
      </c>
      <c r="AT9" s="101">
        <f>P_A3_L21*P_Segunda*Segunda*Inflación_3</f>
        <v>0</v>
      </c>
      <c r="AU9" s="100" t="e">
        <f t="shared" ref="AU9:AW9" si="12">AU7*P_Segunda*Segunda</f>
        <v>#DIV/0!</v>
      </c>
      <c r="AV9" s="101">
        <f>P_A3_L22*P_Segunda*Segunda*Inflación_3</f>
        <v>0</v>
      </c>
      <c r="AW9" s="100" t="e">
        <f t="shared" si="12"/>
        <v>#DIV/0!</v>
      </c>
      <c r="AX9" s="101">
        <f>P_A3_L23*P_Segunda*Segunda*Inflación_3</f>
        <v>0</v>
      </c>
      <c r="AY9" s="100" t="e">
        <f t="shared" ref="AY9:BA9" si="13">AY7*P_Segunda*Segunda</f>
        <v>#DIV/0!</v>
      </c>
      <c r="AZ9" s="101">
        <f>P_A3_L24*P_Segunda*Segunda*Inflación_3</f>
        <v>0</v>
      </c>
      <c r="BA9" s="100" t="e">
        <f t="shared" si="13"/>
        <v>#DIV/0!</v>
      </c>
      <c r="BB9" s="101">
        <f>P_A3_L25*P_Segunda*Segunda*Inflación_3</f>
        <v>0</v>
      </c>
      <c r="BC9" s="100" t="e">
        <f t="shared" ref="BC9:BE9" si="14">BC7*P_Segunda*Segunda</f>
        <v>#DIV/0!</v>
      </c>
      <c r="BD9" s="101">
        <f>P_A3_L26*P_Segunda*Segunda*Inflación_3</f>
        <v>0</v>
      </c>
      <c r="BE9" s="100" t="e">
        <f t="shared" si="14"/>
        <v>#DIV/0!</v>
      </c>
      <c r="BF9" s="101">
        <f>P_A3_L27*P_Segunda*Segunda*Inflación_3</f>
        <v>0</v>
      </c>
      <c r="BG9" s="100" t="e">
        <f t="shared" ref="BG9:BI9" si="15">BG7*P_Segunda*Segunda</f>
        <v>#DIV/0!</v>
      </c>
      <c r="BH9" s="101">
        <f>P_A3_L28*P_Segunda*Segunda*Inflación_3</f>
        <v>0</v>
      </c>
      <c r="BI9" s="100" t="e">
        <f t="shared" si="15"/>
        <v>#DIV/0!</v>
      </c>
      <c r="BJ9" s="101">
        <f>P_A3_L29*P_Segunda*Segunda*Inflación_3</f>
        <v>0</v>
      </c>
      <c r="BK9" s="100" t="e">
        <f t="shared" ref="BK9:BM9" si="16">BK7*P_Segunda*Segunda</f>
        <v>#DIV/0!</v>
      </c>
      <c r="BL9" s="101">
        <f>P_A3_L30*P_Segunda*Segunda*Inflación_3</f>
        <v>0</v>
      </c>
      <c r="BM9" s="100" t="e">
        <f t="shared" si="16"/>
        <v>#DIV/0!</v>
      </c>
      <c r="BN9" s="101">
        <f>P_A3_L31*P_Segunda*Segunda*Inflación_3</f>
        <v>0</v>
      </c>
      <c r="BO9" s="100" t="e">
        <f t="shared" ref="BO9:BQ9" si="17">BO7*P_Segunda*Segunda</f>
        <v>#DIV/0!</v>
      </c>
      <c r="BP9" s="101">
        <f>P_A3_L32*P_Segunda*Segunda*Inflación_3</f>
        <v>0</v>
      </c>
      <c r="BQ9" s="100" t="e">
        <f t="shared" si="17"/>
        <v>#DIV/0!</v>
      </c>
      <c r="BR9" s="101">
        <f>P_A3_L33*P_Segunda*Segunda*Inflación_3</f>
        <v>0</v>
      </c>
      <c r="BS9" s="100" t="e">
        <f t="shared" ref="BS9:BU9" si="18">BS7*P_Segunda*Segunda</f>
        <v>#DIV/0!</v>
      </c>
      <c r="BT9" s="101">
        <f>P_A3_L34*P_Segunda*Segunda*Inflación_3</f>
        <v>0</v>
      </c>
      <c r="BU9" s="100" t="e">
        <f t="shared" si="18"/>
        <v>#DIV/0!</v>
      </c>
      <c r="BV9" s="101">
        <f>P_A3_L35*P_Segunda*Segunda*Inflación_3</f>
        <v>0</v>
      </c>
      <c r="BW9" s="100" t="e">
        <f t="shared" ref="BW9:BY9" si="19">BW7*P_Segunda*Segunda</f>
        <v>#DIV/0!</v>
      </c>
      <c r="BX9" s="101">
        <f>P_A3_L36*P_Segunda*Segunda*Inflación_3</f>
        <v>0</v>
      </c>
      <c r="BY9" s="100" t="e">
        <f t="shared" si="19"/>
        <v>#DIV/0!</v>
      </c>
      <c r="BZ9" s="101">
        <f>P_A3_L37*P_Segunda*Segunda*Inflación_3</f>
        <v>0</v>
      </c>
      <c r="CA9" s="100" t="e">
        <f t="shared" ref="CA9:CC9" si="20">CA7*P_Segunda*Segunda</f>
        <v>#DIV/0!</v>
      </c>
      <c r="CB9" s="101">
        <f>P_A3_L38*P_Segunda*Segunda*Inflación_3</f>
        <v>0</v>
      </c>
      <c r="CC9" s="100" t="e">
        <f t="shared" si="20"/>
        <v>#DIV/0!</v>
      </c>
      <c r="CD9" s="101">
        <f>P_A3_L39*P_Segunda*Segunda*Inflación_3</f>
        <v>0</v>
      </c>
      <c r="CE9" s="100" t="e">
        <f t="shared" ref="CE9:CG9" si="21">CE7*P_Segunda*Segunda</f>
        <v>#DIV/0!</v>
      </c>
      <c r="CF9" s="101">
        <f>P_A3_L40*P_Segunda*Segunda*Inflación_3</f>
        <v>0</v>
      </c>
      <c r="CG9" s="100" t="e">
        <f t="shared" si="21"/>
        <v>#DIV/0!</v>
      </c>
      <c r="CH9" s="473"/>
      <c r="CI9" s="101">
        <f>CI7*P_Segunda*Segunda*Inflación_3</f>
        <v>0</v>
      </c>
      <c r="CJ9" s="101">
        <f>CJ7*P_Segunda*Segunda*Inflación_3</f>
        <v>0</v>
      </c>
      <c r="CK9" s="101">
        <f>CK7*P_Segunda*Segunda*Inflación_3</f>
        <v>0</v>
      </c>
      <c r="CL9" s="101">
        <f>CL7*P_Segunda*Segunda*Inflación_3</f>
        <v>0</v>
      </c>
      <c r="CM9" s="101"/>
      <c r="CN9" s="101">
        <f>CN7*P_Segunda*Segunda*Inflación_3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B7*P_Inferior*Inferior*Inflación_3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89"/>
      <c r="F10" s="101">
        <f>P_A3_L1*P_Inferior*Inferior*Inflación_3</f>
        <v>0</v>
      </c>
      <c r="G10" s="100" t="e">
        <f t="shared" ref="G10" si="23">G7*P_Inferior*Inferior</f>
        <v>#DIV/0!</v>
      </c>
      <c r="H10" s="101">
        <f>P_A3_L2*P_Inferior*Inferior*Inflación_3</f>
        <v>0</v>
      </c>
      <c r="I10" s="100" t="e">
        <f>I7*P_Inferior*Inferior</f>
        <v>#DIV/0!</v>
      </c>
      <c r="J10" s="101">
        <f>P_A3_L3*P_Inferior*Inferior*Inflación_3</f>
        <v>0</v>
      </c>
      <c r="K10" s="100" t="e">
        <f t="shared" ref="K10" si="24">K7*P_Inferior*Inferior</f>
        <v>#DIV/0!</v>
      </c>
      <c r="L10" s="101">
        <f>P_A3_L4*P_Inferior*Inferior*Inflación_3</f>
        <v>0</v>
      </c>
      <c r="M10" s="100" t="e">
        <f>M7*P_Inferior*Inferior</f>
        <v>#DIV/0!</v>
      </c>
      <c r="N10" s="101">
        <f>P_A3_L5*P_Inferior*Inferior*Inflación_3</f>
        <v>0</v>
      </c>
      <c r="O10" s="100" t="e">
        <f t="shared" ref="O10:Q10" si="25">O7*P_Inferior*Inferior</f>
        <v>#DIV/0!</v>
      </c>
      <c r="P10" s="101">
        <f>P_A3_L6*P_Inferior*Inferior*Inflación_3</f>
        <v>0</v>
      </c>
      <c r="Q10" s="100" t="e">
        <f t="shared" si="25"/>
        <v>#DIV/0!</v>
      </c>
      <c r="R10" s="101">
        <f>P_A3_L7*P_Inferior*Inferior*Inflación_3</f>
        <v>0</v>
      </c>
      <c r="S10" s="100" t="e">
        <f t="shared" ref="S10:U10" si="26">S7*P_Inferior*Inferior</f>
        <v>#DIV/0!</v>
      </c>
      <c r="T10" s="101">
        <f>P_A3_L8*P_Inferior*Inferior*Inflación_3</f>
        <v>0</v>
      </c>
      <c r="U10" s="100" t="e">
        <f t="shared" si="26"/>
        <v>#DIV/0!</v>
      </c>
      <c r="V10" s="101">
        <f>P_A3_L9*P_Inferior*Inferior*Inflación_3</f>
        <v>0</v>
      </c>
      <c r="W10" s="100" t="e">
        <f t="shared" ref="W10:Y10" si="27">W7*P_Inferior*Inferior</f>
        <v>#DIV/0!</v>
      </c>
      <c r="X10" s="101">
        <f>P_A3_L10*P_Inferior*Inferior*Inflación_3</f>
        <v>0</v>
      </c>
      <c r="Y10" s="100" t="e">
        <f t="shared" si="27"/>
        <v>#DIV/0!</v>
      </c>
      <c r="Z10" s="101">
        <f>P_A3_L11*P_Inferior*Inferior*Inflación_3</f>
        <v>0</v>
      </c>
      <c r="AA10" s="100" t="e">
        <f t="shared" ref="AA10:AC10" si="28">AA7*P_Inferior*Inferior</f>
        <v>#DIV/0!</v>
      </c>
      <c r="AB10" s="101">
        <f>P_A3_L12*P_Inferior*Inferior*Inflación_3</f>
        <v>0</v>
      </c>
      <c r="AC10" s="100" t="e">
        <f t="shared" si="28"/>
        <v>#DIV/0!</v>
      </c>
      <c r="AD10" s="101">
        <f>P_A3_L13*P_Inferior*Inferior*Inflación_3</f>
        <v>0</v>
      </c>
      <c r="AE10" s="100" t="e">
        <f t="shared" ref="AE10:AG10" si="29">AE7*P_Inferior*Inferior</f>
        <v>#DIV/0!</v>
      </c>
      <c r="AF10" s="101">
        <f>P_A3_L14*P_Inferior*Inferior*Inflación_3</f>
        <v>0</v>
      </c>
      <c r="AG10" s="100" t="e">
        <f t="shared" si="29"/>
        <v>#DIV/0!</v>
      </c>
      <c r="AH10" s="101">
        <f>P_A3_L15*P_Inferior*Inferior*Inflación_3</f>
        <v>0</v>
      </c>
      <c r="AI10" s="100" t="e">
        <f t="shared" ref="AI10:AK10" si="30">AI7*P_Inferior*Inferior</f>
        <v>#DIV/0!</v>
      </c>
      <c r="AJ10" s="101">
        <f>P_A3_L16*P_Inferior*Inferior*Inflación_3</f>
        <v>0</v>
      </c>
      <c r="AK10" s="100" t="e">
        <f t="shared" si="30"/>
        <v>#DIV/0!</v>
      </c>
      <c r="AL10" s="101">
        <f>P_A3_L17*P_Inferior*Inferior*Inflación_3</f>
        <v>0</v>
      </c>
      <c r="AM10" s="100" t="e">
        <f t="shared" ref="AM10:AO10" si="31">AM7*P_Inferior*Inferior</f>
        <v>#DIV/0!</v>
      </c>
      <c r="AN10" s="101">
        <f>P_A3_L18*P_Inferior*Inferior*Inflación_3</f>
        <v>0</v>
      </c>
      <c r="AO10" s="100" t="e">
        <f t="shared" si="31"/>
        <v>#DIV/0!</v>
      </c>
      <c r="AP10" s="101">
        <f>P_A3_L19*P_Inferior*Inferior*Inflación_3</f>
        <v>0</v>
      </c>
      <c r="AQ10" s="100" t="e">
        <f t="shared" ref="AQ10:AS10" si="32">AQ7*P_Inferior*Inferior</f>
        <v>#DIV/0!</v>
      </c>
      <c r="AR10" s="101">
        <f>P_A3_L20*P_Inferior*Inferior*Inflación_3</f>
        <v>0</v>
      </c>
      <c r="AS10" s="100" t="e">
        <f t="shared" si="32"/>
        <v>#DIV/0!</v>
      </c>
      <c r="AT10" s="101">
        <f>P_A3_L21*P_Inferior*Inferior*Inflación_3</f>
        <v>0</v>
      </c>
      <c r="AU10" s="100" t="e">
        <f t="shared" ref="AU10:AW10" si="33">AU7*P_Inferior*Inferior</f>
        <v>#DIV/0!</v>
      </c>
      <c r="AV10" s="101">
        <f>P_A3_L22*P_Inferior*Inferior*Inflación_3</f>
        <v>0</v>
      </c>
      <c r="AW10" s="100" t="e">
        <f t="shared" si="33"/>
        <v>#DIV/0!</v>
      </c>
      <c r="AX10" s="101">
        <f>P_A3_L23*P_Inferior*Inferior*Inflación_3</f>
        <v>0</v>
      </c>
      <c r="AY10" s="100" t="e">
        <f t="shared" ref="AY10:BA10" si="34">AY7*P_Inferior*Inferior</f>
        <v>#DIV/0!</v>
      </c>
      <c r="AZ10" s="101">
        <f>P_A3_L24*P_Inferior*Inferior*Inflación_3</f>
        <v>0</v>
      </c>
      <c r="BA10" s="100" t="e">
        <f t="shared" si="34"/>
        <v>#DIV/0!</v>
      </c>
      <c r="BB10" s="101">
        <f>P_A3_L25*P_Inferior*Inferior*Inflación_3</f>
        <v>0</v>
      </c>
      <c r="BC10" s="100" t="e">
        <f t="shared" ref="BC10:BE10" si="35">BC7*P_Inferior*Inferior</f>
        <v>#DIV/0!</v>
      </c>
      <c r="BD10" s="101">
        <f>P_A3_L26*P_Inferior*Inferior*Inflación_3</f>
        <v>0</v>
      </c>
      <c r="BE10" s="100" t="e">
        <f t="shared" si="35"/>
        <v>#DIV/0!</v>
      </c>
      <c r="BF10" s="101">
        <f>P_A3_L27*P_Inferior*Inferior*Inflación_3</f>
        <v>0</v>
      </c>
      <c r="BG10" s="100" t="e">
        <f t="shared" ref="BG10:BI10" si="36">BG7*P_Inferior*Inferior</f>
        <v>#DIV/0!</v>
      </c>
      <c r="BH10" s="101">
        <f>P_A3_L28*P_Inferior*Inferior*Inflación_3</f>
        <v>0</v>
      </c>
      <c r="BI10" s="100" t="e">
        <f t="shared" si="36"/>
        <v>#DIV/0!</v>
      </c>
      <c r="BJ10" s="101">
        <f>P_A3_L29*P_Inferior*Inferior*Inflación_3</f>
        <v>0</v>
      </c>
      <c r="BK10" s="100" t="e">
        <f t="shared" ref="BK10:BM10" si="37">BK7*P_Inferior*Inferior</f>
        <v>#DIV/0!</v>
      </c>
      <c r="BL10" s="101">
        <f>P_A3_L30*P_Inferior*Inferior*Inflación_3</f>
        <v>0</v>
      </c>
      <c r="BM10" s="100" t="e">
        <f t="shared" si="37"/>
        <v>#DIV/0!</v>
      </c>
      <c r="BN10" s="101">
        <f>P_A3_L31*P_Inferior*Inferior*Inflación_3</f>
        <v>0</v>
      </c>
      <c r="BO10" s="100" t="e">
        <f t="shared" ref="BO10:BQ10" si="38">BO7*P_Inferior*Inferior</f>
        <v>#DIV/0!</v>
      </c>
      <c r="BP10" s="101">
        <f>P_A3_L32*P_Inferior*Inferior*Inflación_3</f>
        <v>0</v>
      </c>
      <c r="BQ10" s="100" t="e">
        <f t="shared" si="38"/>
        <v>#DIV/0!</v>
      </c>
      <c r="BR10" s="101">
        <f>P_A3_L33*P_Inferior*Inferior*Inflación_3</f>
        <v>0</v>
      </c>
      <c r="BS10" s="100" t="e">
        <f t="shared" ref="BS10:BU10" si="39">BS7*P_Inferior*Inferior</f>
        <v>#DIV/0!</v>
      </c>
      <c r="BT10" s="101">
        <f>P_A3_L34*P_Inferior*Inferior*Inflación_3</f>
        <v>0</v>
      </c>
      <c r="BU10" s="100" t="e">
        <f t="shared" si="39"/>
        <v>#DIV/0!</v>
      </c>
      <c r="BV10" s="101">
        <f>P_A3_L35*P_Inferior*Inferior*Inflación_3</f>
        <v>0</v>
      </c>
      <c r="BW10" s="100" t="e">
        <f t="shared" ref="BW10:BY10" si="40">BW7*P_Inferior*Inferior</f>
        <v>#DIV/0!</v>
      </c>
      <c r="BX10" s="101">
        <f>P_A3_L36*P_Inferior*Inferior*Inflación_3</f>
        <v>0</v>
      </c>
      <c r="BY10" s="100" t="e">
        <f t="shared" si="40"/>
        <v>#DIV/0!</v>
      </c>
      <c r="BZ10" s="101">
        <f>P_A3_L37*P_Inferior*Inferior*Inflación_3</f>
        <v>0</v>
      </c>
      <c r="CA10" s="100" t="e">
        <f t="shared" ref="CA10:CC10" si="41">CA7*P_Inferior*Inferior</f>
        <v>#DIV/0!</v>
      </c>
      <c r="CB10" s="101">
        <f>P_A3_L38*P_Inferior*Inferior*Inflación_3</f>
        <v>0</v>
      </c>
      <c r="CC10" s="100" t="e">
        <f t="shared" si="41"/>
        <v>#DIV/0!</v>
      </c>
      <c r="CD10" s="101">
        <f>P_A3_L39*P_Inferior*Inferior*Inflación_3</f>
        <v>0</v>
      </c>
      <c r="CE10" s="100" t="e">
        <f t="shared" ref="CE10:CG10" si="42">CE7*P_Inferior*Inferior</f>
        <v>#DIV/0!</v>
      </c>
      <c r="CF10" s="101">
        <f>P_A3_L40*P_Inferior*Inferior*Inflación_3</f>
        <v>0</v>
      </c>
      <c r="CG10" s="100" t="e">
        <f t="shared" si="42"/>
        <v>#DIV/0!</v>
      </c>
      <c r="CH10" s="473"/>
      <c r="CI10" s="101">
        <f>CI7*P_Inferior*Inferior*Inflación_3</f>
        <v>0</v>
      </c>
      <c r="CJ10" s="101">
        <f>CJ7*P_Inferior*Inferior*Inflación_3</f>
        <v>0</v>
      </c>
      <c r="CK10" s="101">
        <f>CK7*P_Inferior*Inferior*Inflación_3</f>
        <v>0</v>
      </c>
      <c r="CL10" s="101">
        <f>CL7*P_Inferior*Inferior*Inflación_3</f>
        <v>0</v>
      </c>
      <c r="CM10" s="101"/>
      <c r="CN10" s="101">
        <f>CN7*P_Inferior*Inferior*Inflación_3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89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89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90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SUMIFS('9'!$E:$E,'9'!$A:$A,Año_Inicial+2,'9'!$D:$D,"Poda")</f>
        <v>0</v>
      </c>
      <c r="D14" s="100">
        <f t="shared" ref="D14:D44" si="45">C14-B14</f>
        <v>0</v>
      </c>
      <c r="E14" s="490"/>
      <c r="F14" s="101">
        <f>((A3_A_L1*Poda_A)+(A3_B_L1*Poda_B)+(A3_C_L1*Poda_C)+(A3_D_L1*Poda_D)+(A3_Y_L1*Poda_Y))*Inflación_3</f>
        <v>0</v>
      </c>
      <c r="G14" s="101">
        <f>SUMIFS('9'!$E:$E,'9'!$A:$A,Año_Inicial+2,'9'!$B:$B,'12'!F$4,'9'!$D:$D,"Poda")</f>
        <v>0</v>
      </c>
      <c r="H14" s="101">
        <f>((A3_A_L2*Poda_A)+(A3_B_L2*Poda_B)+(A3_C_L2*Poda_C)+(A3_D_L2*Poda_D)+(A3_Y_L2*Poda_Y))*Inflación_3</f>
        <v>0</v>
      </c>
      <c r="I14" s="101">
        <f>SUMIFS('9'!$E:$E,'9'!$A:$A,Año_Inicial+2,'9'!$B:$B,'12'!H$4,'9'!$D:$D,"Poda")</f>
        <v>0</v>
      </c>
      <c r="J14" s="101">
        <f>((A3_A_L3*Poda_A)+(A3_B_L3*Poda_B)+(A3_C_L3*Poda_C)+(A3_D_L3*Poda_D)+(A3_Y_L3*Poda_Y))*Inflación_3</f>
        <v>0</v>
      </c>
      <c r="K14" s="101">
        <f>SUMIFS('9'!$E:$E,'9'!$A:$A,Año_Inicial+2,'9'!$B:$B,'12'!J$4,'9'!$D:$D,"Poda")</f>
        <v>0</v>
      </c>
      <c r="L14" s="101">
        <f>((A3_A_L4*Poda_A)+(A3_B_L4*Poda_B)+(A3_C_L4*Poda_C)+(A3_D_L4*Poda_D)+(A3_Y_L4*Poda_Y))*Inflación_3</f>
        <v>0</v>
      </c>
      <c r="M14" s="101">
        <f>SUMIFS('9'!$E:$E,'9'!$A:$A,Año_Inicial+2,'9'!$B:$B,'12'!L$4,'9'!$D:$D,"Poda")</f>
        <v>0</v>
      </c>
      <c r="N14" s="101">
        <f>((A3_A_L5*Poda_A)+(A3_B_L5*Poda_B)+(A3_C_L5*Poda_C)+(A3_D_L5*Poda_D)+(A3_Y_L5*Poda_Y))*Inflación_3</f>
        <v>0</v>
      </c>
      <c r="O14" s="101">
        <f>SUMIFS('9'!$E:$E,'9'!$A:$A,Año_Inicial+2,'9'!$B:$B,'12'!N$4,'9'!$D:$D,"Poda")</f>
        <v>0</v>
      </c>
      <c r="P14" s="101">
        <f>((A3_A_L6*Poda_A)+(A3_B_L6*Poda_B)+(A3_C_L6*Poda_C)+(A3_D_L6*Poda_D)+(A3_Y_L6*Poda_Y))*Inflación_3</f>
        <v>0</v>
      </c>
      <c r="Q14" s="101">
        <f>SUMIFS('9'!$E:$E,'9'!$A:$A,Año_Inicial+2,'9'!$B:$B,'12'!P$4,'9'!$D:$D,"Poda")</f>
        <v>0</v>
      </c>
      <c r="R14" s="101">
        <f>((A3_A_L7*Poda_A)+(A3_B_L7*Poda_B)+(A3_C_L7*Poda_C)+(A3_D_L7*Poda_D)+(A3_Y_L7*Poda_Y))*Inflación_3</f>
        <v>0</v>
      </c>
      <c r="S14" s="101">
        <f>SUMIFS('9'!$E:$E,'9'!$A:$A,Año_Inicial+2,'9'!$B:$B,'12'!R$4,'9'!$D:$D,"Poda")</f>
        <v>0</v>
      </c>
      <c r="T14" s="101">
        <f>((A3_A_L8*Poda_A)+(A3_B_L8*Poda_B)+(A3_C_L8*Poda_C)+(A3_D_L8*Poda_D)+(A3_Y_L8*Poda_Y))*Inflación_3</f>
        <v>0</v>
      </c>
      <c r="U14" s="101">
        <f>SUMIFS('9'!$E:$E,'9'!$A:$A,Año_Inicial+2,'9'!$B:$B,'12'!T$4,'9'!$D:$D,"Poda")</f>
        <v>0</v>
      </c>
      <c r="V14" s="101">
        <f>((A3_A_L9*Poda_A)+(A3_B_L9*Poda_B)+(A3_C_L9*Poda_C)+(A3_D_L9*Poda_D)+(A3_Y_L9*Poda_Y))*Inflación_3</f>
        <v>0</v>
      </c>
      <c r="W14" s="101">
        <f>SUMIFS('9'!$E:$E,'9'!$A:$A,Año_Inicial+2,'9'!$B:$B,'12'!V$4,'9'!$D:$D,"Poda")</f>
        <v>0</v>
      </c>
      <c r="X14" s="101">
        <f>((A3_A_L10*Poda_A)+(A3_B_L10*Poda_B)+(A3_C_L10*Poda_C)+(A3_D_L10*Poda_D)+(A3_Y_L10*Poda_Y))*Inflación_3</f>
        <v>0</v>
      </c>
      <c r="Y14" s="101">
        <f>SUMIFS('9'!$E:$E,'9'!$A:$A,Año_Inicial+2,'9'!$B:$B,'12'!X$4,'9'!$D:$D,"Poda")</f>
        <v>0</v>
      </c>
      <c r="Z14" s="101">
        <f>((A3_A_L11*Poda_A)+(A3_B_L11*Poda_B)+(A3_C_L11*Poda_C)+(A3_D_L11*Poda_D)+(A3_Y_L11*Poda_Y))*Inflación_3</f>
        <v>0</v>
      </c>
      <c r="AA14" s="101">
        <f>SUMIFS('9'!$E:$E,'9'!$A:$A,Año_Inicial+2,'9'!$B:$B,'12'!Z$4,'9'!$D:$D,"Poda")</f>
        <v>0</v>
      </c>
      <c r="AB14" s="101">
        <f>((A3_A_L12*Poda_A)+(A3_B_L12*Poda_B)+(A3_C_L12*Poda_C)+(A3_D_L12*Poda_D)+(A3_Y_L12*Poda_Y))*Inflación_3</f>
        <v>0</v>
      </c>
      <c r="AC14" s="101">
        <f>SUMIFS('9'!$E:$E,'9'!$A:$A,Año_Inicial+2,'9'!$B:$B,'12'!AB$4,'9'!$D:$D,"Poda")</f>
        <v>0</v>
      </c>
      <c r="AD14" s="101">
        <f>((A3_A_L13*Poda_A)+(A3_B_L13*Poda_B)+(A3_C_L13*Poda_C)+(A3_D_L13*Poda_D)+(A3_Y_L13*Poda_Y))*Inflación_3</f>
        <v>0</v>
      </c>
      <c r="AE14" s="101">
        <f>SUMIFS('9'!$E:$E,'9'!$A:$A,Año_Inicial+2,'9'!$B:$B,'12'!AD$4,'9'!$D:$D,"Poda")</f>
        <v>0</v>
      </c>
      <c r="AF14" s="101">
        <f>((A3_A_L14*Poda_A)+(A3_B_L14*Poda_B)+(A3_C_L14*Poda_C)+(A3_D_L14*Poda_D)+(A3_Y_L14*Poda_Y))*Inflación_3</f>
        <v>0</v>
      </c>
      <c r="AG14" s="101">
        <f>SUMIFS('9'!$E:$E,'9'!$A:$A,Año_Inicial+2,'9'!$B:$B,'12'!AF$4,'9'!$D:$D,"Poda")</f>
        <v>0</v>
      </c>
      <c r="AH14" s="101">
        <f>((A3_A_L15*Poda_A)+(A3_B_L15*Poda_B)+(A3_C_L15*Poda_C)+(A3_D_L15*Poda_D)+(A3_Y_L15*Poda_Y))*Inflación_3</f>
        <v>0</v>
      </c>
      <c r="AI14" s="101">
        <f>SUMIFS('9'!$E:$E,'9'!$A:$A,Año_Inicial+2,'9'!$B:$B,'12'!AH$4,'9'!$D:$D,"Poda")</f>
        <v>0</v>
      </c>
      <c r="AJ14" s="101">
        <f>((A3_A_L16*Poda_A)+(A3_B_L16*Poda_B)+(A3_C_L16*Poda_C)+(A3_D_L16*Poda_D)+(A3_Y_L16*Poda_Y))*Inflación_3</f>
        <v>0</v>
      </c>
      <c r="AK14" s="101">
        <f>SUMIFS('9'!$E:$E,'9'!$A:$A,Año_Inicial+2,'9'!$B:$B,'12'!AJ$4,'9'!$D:$D,"Poda")</f>
        <v>0</v>
      </c>
      <c r="AL14" s="101">
        <f>((A3_A_L17*Poda_A)+(A3_B_L17*Poda_B)+(A3_C_L17*Poda_C)+(A3_D_L17*Poda_D)+(A3_Y_L17*Poda_Y))*Inflación_3</f>
        <v>0</v>
      </c>
      <c r="AM14" s="101">
        <f>SUMIFS('9'!$E:$E,'9'!$A:$A,Año_Inicial+2,'9'!$B:$B,'12'!AL$4,'9'!$D:$D,"Poda")</f>
        <v>0</v>
      </c>
      <c r="AN14" s="101">
        <f>((A3_A_L18*Poda_A)+(A3_B_L18*Poda_B)+(A3_C_L18*Poda_C)+(A3_D_L18*Poda_D)+(A3_Y_L18*Poda_Y))*Inflación_3</f>
        <v>0</v>
      </c>
      <c r="AO14" s="101">
        <f>SUMIFS('9'!$E:$E,'9'!$A:$A,Año_Inicial+2,'9'!$B:$B,'12'!AN$4,'9'!$D:$D,"Poda")</f>
        <v>0</v>
      </c>
      <c r="AP14" s="101">
        <f>((A3_A_L19*Poda_A)+(A3_B_L19*Poda_B)+(A3_C_L19*Poda_C)+(A3_D_L19*Poda_D)+(A3_Y_L19*Poda_Y))*Inflación_3</f>
        <v>0</v>
      </c>
      <c r="AQ14" s="101">
        <f>SUMIFS('9'!$E:$E,'9'!$A:$A,Año_Inicial+2,'9'!$B:$B,'12'!AP$4,'9'!$D:$D,"Poda")</f>
        <v>0</v>
      </c>
      <c r="AR14" s="101">
        <f>((A3_A_L20*Poda_A)+(A3_B_L20*Poda_B)+(A3_C_L20*Poda_C)+(A3_D_L20*Poda_D)+(A3_Y_L20*Poda_Y))*Inflación_3</f>
        <v>0</v>
      </c>
      <c r="AS14" s="101">
        <f>SUMIFS('9'!$E:$E,'9'!$A:$A,Año_Inicial+2,'9'!$B:$B,'12'!AR$4,'9'!$D:$D,"Poda")</f>
        <v>0</v>
      </c>
      <c r="AT14" s="101">
        <f>((A3_A_L21*Poda_A)+(A3_B_L21*Poda_B)+(A3_C_L21*Poda_C)+(A3_D_L21*Poda_D)+(A3_Y_L21*Poda_Y))*Inflación_3</f>
        <v>0</v>
      </c>
      <c r="AU14" s="101">
        <f>SUMIFS('9'!$E:$E,'9'!$A:$A,Año_Inicial+2,'9'!$B:$B,'12'!AT$4,'9'!$D:$D,"Poda")</f>
        <v>0</v>
      </c>
      <c r="AV14" s="101">
        <f>((A3_A_L22*Poda_A)+(A3_B_L22*Poda_B)+(A3_C_L22*Poda_C)+(A3_D_L22*Poda_D)+(A3_Y_L22*Poda_Y))*Inflación_3</f>
        <v>0</v>
      </c>
      <c r="AW14" s="101">
        <f>SUMIFS('9'!$E:$E,'9'!$A:$A,Año_Inicial+2,'9'!$B:$B,'12'!AV$4,'9'!$D:$D,"Poda")</f>
        <v>0</v>
      </c>
      <c r="AX14" s="101">
        <f>((A3_A_L23*Poda_A)+(A3_B_L23*Poda_B)+(A3_C_L23*Poda_C)+(A3_D_L23*Poda_D)+(A3_Y_L23*Poda_Y))*Inflación_3</f>
        <v>0</v>
      </c>
      <c r="AY14" s="101">
        <f>SUMIFS('9'!$E:$E,'9'!$A:$A,Año_Inicial+2,'9'!$B:$B,'12'!AX$4,'9'!$D:$D,"Poda")</f>
        <v>0</v>
      </c>
      <c r="AZ14" s="101">
        <f>((A3_A_L24*Poda_A)+(A3_B_L24*Poda_B)+(A3_C_L24*Poda_C)+(A3_D_L24*Poda_D)+(A3_Y_L24*Poda_Y))*Inflación_3</f>
        <v>0</v>
      </c>
      <c r="BA14" s="101">
        <f>SUMIFS('9'!$E:$E,'9'!$A:$A,Año_Inicial+2,'9'!$B:$B,'12'!AZ$4,'9'!$D:$D,"Poda")</f>
        <v>0</v>
      </c>
      <c r="BB14" s="101">
        <f>((A3_A_L25*Poda_A)+(A3_B_L25*Poda_B)+(A3_C_L25*Poda_C)+(A3_D_L25*Poda_D)+(A3_Y_L25*Poda_Y))*Inflación_3</f>
        <v>0</v>
      </c>
      <c r="BC14" s="101">
        <f>SUMIFS('9'!$E:$E,'9'!$A:$A,Año_Inicial+2,'9'!$B:$B,'12'!BB$4,'9'!$D:$D,"Poda")</f>
        <v>0</v>
      </c>
      <c r="BD14" s="101">
        <f>((A3_A_L26*Poda_A)+(A3_B_L26*Poda_B)+(A3_C_L26*Poda_C)+(A3_D_L26*Poda_D)+(A3_Y_L26*Poda_Y))*Inflación_3</f>
        <v>0</v>
      </c>
      <c r="BE14" s="101">
        <f>SUMIFS('9'!$E:$E,'9'!$A:$A,Año_Inicial+2,'9'!$B:$B,'12'!BD$4,'9'!$D:$D,"Poda")</f>
        <v>0</v>
      </c>
      <c r="BF14" s="101">
        <f>((A3_A_L27*Poda_A)+(A3_B_L27*Poda_B)+(A3_C_L27*Poda_C)+(A3_D_L27*Poda_D)+(A3_Y_L27*Poda_Y))*Inflación_3</f>
        <v>0</v>
      </c>
      <c r="BG14" s="101">
        <f>SUMIFS('9'!$E:$E,'9'!$A:$A,Año_Inicial+2,'9'!$B:$B,'12'!BF$4,'9'!$D:$D,"Poda")</f>
        <v>0</v>
      </c>
      <c r="BH14" s="101">
        <f>((A3_A_L28*Poda_A)+(A3_B_L28*Poda_B)+(A3_C_L28*Poda_C)+(A3_D_L28*Poda_D)+(A3_Y_L28*Poda_Y))*Inflación_3</f>
        <v>0</v>
      </c>
      <c r="BI14" s="101">
        <f>SUMIFS('9'!$E:$E,'9'!$A:$A,Año_Inicial+2,'9'!$B:$B,'12'!BH$4,'9'!$D:$D,"Poda")</f>
        <v>0</v>
      </c>
      <c r="BJ14" s="101">
        <f>((A3_A_L29*Poda_A)+(A3_B_L29*Poda_B)+(A3_C_L29*Poda_C)+(A3_D_L29*Poda_D)+(A3_Y_L29*Poda_Y))*Inflación_3</f>
        <v>0</v>
      </c>
      <c r="BK14" s="101">
        <f>SUMIFS('9'!$E:$E,'9'!$A:$A,Año_Inicial+2,'9'!$B:$B,'12'!BJ$4,'9'!$D:$D,"Poda")</f>
        <v>0</v>
      </c>
      <c r="BL14" s="101">
        <f>((A3_A_L30*Poda_A)+(A3_B_L30*Poda_B)+(A3_C_L30*Poda_C)+(A3_D_L30*Poda_D)+(A3_Y_L30*Poda_Y))*Inflación_3</f>
        <v>0</v>
      </c>
      <c r="BM14" s="101">
        <f>SUMIFS('9'!$E:$E,'9'!$A:$A,Año_Inicial+2,'9'!$B:$B,'12'!BL$4,'9'!$D:$D,"Poda")</f>
        <v>0</v>
      </c>
      <c r="BN14" s="101">
        <f>((A3_A_L31*Poda_A)+(A3_B_L31*Poda_B)+(A3_C_L31*Poda_C)+(A3_D_L31*Poda_D)+(A3_Y_L31*Poda_Y))*Inflación_3</f>
        <v>0</v>
      </c>
      <c r="BO14" s="101">
        <f>SUMIFS('9'!$E:$E,'9'!$A:$A,Año_Inicial+2,'9'!$B:$B,'12'!BN$4,'9'!$D:$D,"Poda")</f>
        <v>0</v>
      </c>
      <c r="BP14" s="101">
        <f>((A3_A_L32*Poda_A)+(A3_B_L32*Poda_B)+(A3_C_L32*Poda_C)+(A3_D_L32*Poda_D)+(A3_Y_L32*Poda_Y))*Inflación_3</f>
        <v>0</v>
      </c>
      <c r="BQ14" s="101">
        <f>SUMIFS('9'!$E:$E,'9'!$A:$A,Año_Inicial+2,'9'!$B:$B,'12'!BP$4,'9'!$D:$D,"Poda")</f>
        <v>0</v>
      </c>
      <c r="BR14" s="101">
        <f>((A3_A_L33*Poda_A)+(A3_B_L33*Poda_B)+(A3_C_L33*Poda_C)+(A3_D_L33*Poda_D)+(A3_Y_L33*Poda_Y))*Inflación_3</f>
        <v>0</v>
      </c>
      <c r="BS14" s="101">
        <f>SUMIFS('9'!$E:$E,'9'!$A:$A,Año_Inicial+2,'9'!$B:$B,'12'!BR$4,'9'!$D:$D,"Poda")</f>
        <v>0</v>
      </c>
      <c r="BT14" s="101">
        <f>((A3_A_L34*Poda_A)+(A3_B_L34*Poda_B)+(A3_C_L34*Poda_C)+(A3_D_L34*Poda_D)+(A3_Y_L34*Poda_Y))*Inflación_3</f>
        <v>0</v>
      </c>
      <c r="BU14" s="101">
        <f>SUMIFS('9'!$E:$E,'9'!$A:$A,Año_Inicial+2,'9'!$B:$B,'12'!BT$4,'9'!$D:$D,"Poda")</f>
        <v>0</v>
      </c>
      <c r="BV14" s="101">
        <f>((A3_A_L35*Poda_A)+(A3_B_L35*Poda_B)+(A3_C_L35*Poda_C)+(A3_D_L35*Poda_D)+(A3_Y_L35*Poda_Y))*Inflación_3</f>
        <v>0</v>
      </c>
      <c r="BW14" s="101">
        <f>SUMIFS('9'!$E:$E,'9'!$A:$A,Año_Inicial+2,'9'!$B:$B,'12'!BV$4,'9'!$D:$D,"Poda")</f>
        <v>0</v>
      </c>
      <c r="BX14" s="101">
        <f>((A3_A_L36*Poda_A)+(A3_B_L36*Poda_B)+(A3_C_L36*Poda_C)+(A3_D_L36*Poda_D)+(A3_Y_L36*Poda_Y))*Inflación_3</f>
        <v>0</v>
      </c>
      <c r="BY14" s="101">
        <f>SUMIFS('9'!$E:$E,'9'!$A:$A,Año_Inicial+2,'9'!$B:$B,'12'!BX$4,'9'!$D:$D,"Poda")</f>
        <v>0</v>
      </c>
      <c r="BZ14" s="101">
        <f>((A3_A_L37*Poda_A)+(A3_B_L37*Poda_B)+(A3_C_L37*Poda_C)+(A3_D_L37*Poda_D)+(A3_Y_L37*Poda_Y))*Inflación_3</f>
        <v>0</v>
      </c>
      <c r="CA14" s="101">
        <f>SUMIFS('9'!$E:$E,'9'!$A:$A,Año_Inicial+2,'9'!$B:$B,'12'!BZ$4,'9'!$D:$D,"Poda")</f>
        <v>0</v>
      </c>
      <c r="CB14" s="101">
        <f>((A3_A_L38*Poda_A)+(A3_B_L38*Poda_B)+(A3_C_L38*Poda_C)+(A3_D_L38*Poda_D)+(A3_Y_L38*Poda_Y))*Inflación_3</f>
        <v>0</v>
      </c>
      <c r="CC14" s="101">
        <f>SUMIFS('9'!$E:$E,'9'!$A:$A,Año_Inicial+2,'9'!$B:$B,'12'!CB$4,'9'!$D:$D,"Poda")</f>
        <v>0</v>
      </c>
      <c r="CD14" s="101">
        <f>((A3_A_L39*Poda_A)+(A3_B_L39*Poda_B)+(A3_C_L39*Poda_C)+(A3_D_L39*Poda_D)+(A3_Y_L39*Poda_Y))*Inflación_3</f>
        <v>0</v>
      </c>
      <c r="CE14" s="101">
        <f>SUMIFS('9'!$E:$E,'9'!$A:$A,Año_Inicial+2,'9'!$B:$B,'12'!CD$4,'9'!$D:$D,"Poda")</f>
        <v>0</v>
      </c>
      <c r="CF14" s="101">
        <f>((A3_A_L40*Poda_A)+(A3_B_L40*Poda_B)+(A3_C_L40*Poda_C)+(A3_D_L40*Poda_D)+(A3_Y_L40*Poda_Y))*Inflación_3</f>
        <v>0</v>
      </c>
      <c r="CG14" s="101">
        <f>SUMIFS('9'!$E:$E,'9'!$A:$A,Año_Inicial+2,'9'!$B:$B,'12'!CF$4,'9'!$D:$D,"Poda")</f>
        <v>0</v>
      </c>
      <c r="CH14" s="473"/>
      <c r="CI14" s="101">
        <f>Plantas_A_A3*Poda_A*Inflación_3</f>
        <v>0</v>
      </c>
      <c r="CJ14" s="101">
        <f>Plantas_B_A3*Poda_B</f>
        <v>0</v>
      </c>
      <c r="CK14" s="101">
        <f>Plantas_C_A3*Poda_C</f>
        <v>0</v>
      </c>
      <c r="CL14" s="101">
        <f>Plantas_D_A3*Poda_D</f>
        <v>0</v>
      </c>
      <c r="CM14" s="101"/>
      <c r="CN14" s="101">
        <f>Plantas_Y_A3*Poda_Y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SUMIFS('9'!$E:$E,'9'!$A:$A,Año_Inicial+2,'9'!$D:$D,"Deshije")</f>
        <v>0</v>
      </c>
      <c r="D15" s="100">
        <f t="shared" si="45"/>
        <v>0</v>
      </c>
      <c r="E15" s="490"/>
      <c r="F15" s="101">
        <f>((A3_A_L1*Deshije_A)+(A3_B_L1*Deshije_B)+(A3_C_L1*Deshije_C)+(A3_D_L1*Deshije_D)+(A3_Y_L1*Deshije_Y))*Inflación_3</f>
        <v>0</v>
      </c>
      <c r="G15" s="101">
        <f>SUMIFS('9'!$E:$E,'9'!$A:$A,Año_Inicial+2,'9'!$B:$B,'12'!F$4,'9'!$D:$D,"Deshije")</f>
        <v>0</v>
      </c>
      <c r="H15" s="101">
        <f>((A3_A_L2*Deshije_A)+(A3_B_L2*Deshije_B)+(A3_C_L2*Deshije_C)+(A3_D_L2*Deshije_D)+(A3_Y_L2*Deshije_Y))*Inflación_3</f>
        <v>0</v>
      </c>
      <c r="I15" s="101">
        <f>SUMIFS('9'!$E:$E,'9'!$A:$A,Año_Inicial+2,'9'!$B:$B,'12'!H$4,'9'!$D:$D,"Deshije")</f>
        <v>0</v>
      </c>
      <c r="J15" s="101">
        <f>((A3_A_L3*Deshije_A)+(A3_B_L3*Deshije_B)+(A3_C_L3*Deshije_C)+(A3_D_L3*Deshije_D)+(A3_Y_L3*Deshije_Y))*Inflación_3</f>
        <v>0</v>
      </c>
      <c r="K15" s="101">
        <f>SUMIFS('9'!$E:$E,'9'!$A:$A,Año_Inicial+2,'9'!$B:$B,'12'!J$4,'9'!$D:$D,"Deshije")</f>
        <v>0</v>
      </c>
      <c r="L15" s="101">
        <f>((A3_A_L4*Deshije_A)+(A3_B_L4*Deshije_B)+(A3_C_L4*Deshije_C)+(A3_D_L4*Deshije_D)+(A3_Y_L4*Deshije_Y))*Inflación_3</f>
        <v>0</v>
      </c>
      <c r="M15" s="101">
        <f>SUMIFS('9'!$E:$E,'9'!$A:$A,Año_Inicial+2,'9'!$B:$B,'12'!L$4,'9'!$D:$D,"Deshije")</f>
        <v>0</v>
      </c>
      <c r="N15" s="101">
        <f>((A3_A_L5*Deshije_A)+(A3_B_L5*Deshije_B)+(A3_C_L5*Deshije_C)+(A3_D_L5*Deshije_D)+(A3_Y_L5*Deshije_Y))*Inflación_3</f>
        <v>0</v>
      </c>
      <c r="O15" s="101">
        <f>SUMIFS('9'!$E:$E,'9'!$A:$A,Año_Inicial+2,'9'!$B:$B,'12'!N$4,'9'!$D:$D,"Deshije")</f>
        <v>0</v>
      </c>
      <c r="P15" s="101">
        <f>((A3_A_L6*Deshije_A)+(A3_B_L6*Deshije_B)+(A3_C_L6*Deshije_C)+(A3_D_L6*Deshije_D)+(A3_Y_L6*Deshije_Y))*Inflación_3</f>
        <v>0</v>
      </c>
      <c r="Q15" s="101">
        <f>SUMIFS('9'!$E:$E,'9'!$A:$A,Año_Inicial+2,'9'!$B:$B,'12'!P$4,'9'!$D:$D,"Deshije")</f>
        <v>0</v>
      </c>
      <c r="R15" s="101">
        <f>((A3_A_L7*Deshije_A)+(A3_B_L7*Deshije_B)+(A3_C_L7*Deshije_C)+(A3_D_L7*Deshije_D)+(A3_Y_L7*Deshije_Y))*Inflación_3</f>
        <v>0</v>
      </c>
      <c r="S15" s="101">
        <f>SUMIFS('9'!$E:$E,'9'!$A:$A,Año_Inicial+2,'9'!$B:$B,'12'!R$4,'9'!$D:$D,"Deshije")</f>
        <v>0</v>
      </c>
      <c r="T15" s="101">
        <f>((A3_A_L8*Deshije_A)+(A3_B_L8*Deshije_B)+(A3_C_L8*Deshije_C)+(A3_D_L8*Deshije_D)+(A3_Y_L8*Deshije_Y))*Inflación_3</f>
        <v>0</v>
      </c>
      <c r="U15" s="101">
        <f>SUMIFS('9'!$E:$E,'9'!$A:$A,Año_Inicial+2,'9'!$B:$B,'12'!T$4,'9'!$D:$D,"Deshije")</f>
        <v>0</v>
      </c>
      <c r="V15" s="101">
        <f>((A3_A_L9*Deshije_A)+(A3_B_L9*Deshije_B)+(A3_C_L9*Deshije_C)+(A3_D_L9*Deshije_D)+(A3_Y_L9*Deshije_Y))*Inflación_3</f>
        <v>0</v>
      </c>
      <c r="W15" s="101">
        <f>SUMIFS('9'!$E:$E,'9'!$A:$A,Año_Inicial+2,'9'!$B:$B,'12'!V$4,'9'!$D:$D,"Deshije")</f>
        <v>0</v>
      </c>
      <c r="X15" s="101">
        <f>((A3_A_L10*Deshije_A)+(A3_B_L10*Deshije_B)+(A3_C_L10*Deshije_C)+(A3_D_L10*Deshije_D)+(A3_Y_L10*Deshije_Y))*Inflación_3</f>
        <v>0</v>
      </c>
      <c r="Y15" s="101">
        <f>SUMIFS('9'!$E:$E,'9'!$A:$A,Año_Inicial+2,'9'!$B:$B,'12'!X$4,'9'!$D:$D,"Deshije")</f>
        <v>0</v>
      </c>
      <c r="Z15" s="101">
        <f>((A3_A_L11*Deshije_A)+(A3_B_L11*Deshije_B)+(A3_C_L11*Deshije_C)+(A3_D_L11*Deshije_D)+(A3_Y_L11*Deshije_Y))*Inflación_3</f>
        <v>0</v>
      </c>
      <c r="AA15" s="101">
        <f>SUMIFS('9'!$E:$E,'9'!$A:$A,Año_Inicial+2,'9'!$B:$B,'12'!Z$4,'9'!$D:$D,"Deshije")</f>
        <v>0</v>
      </c>
      <c r="AB15" s="101">
        <f>((A3_A_L12*Deshije_A)+(A3_B_L12*Deshije_B)+(A3_C_L12*Deshije_C)+(A3_D_L12*Deshije_D)+(A3_Y_L12*Deshije_Y))*Inflación_3</f>
        <v>0</v>
      </c>
      <c r="AC15" s="101">
        <f>SUMIFS('9'!$E:$E,'9'!$A:$A,Año_Inicial+2,'9'!$B:$B,'12'!AB$4,'9'!$D:$D,"Deshije")</f>
        <v>0</v>
      </c>
      <c r="AD15" s="101">
        <f>((A3_A_L13*Deshije_A)+(A3_B_L13*Deshije_B)+(A3_C_L13*Deshije_C)+(A3_D_L13*Deshije_D)+(A3_Y_L13*Deshije_Y))*Inflación_3</f>
        <v>0</v>
      </c>
      <c r="AE15" s="101">
        <f>SUMIFS('9'!$E:$E,'9'!$A:$A,Año_Inicial+2,'9'!$B:$B,'12'!AD$4,'9'!$D:$D,"Deshije")</f>
        <v>0</v>
      </c>
      <c r="AF15" s="101">
        <f>((A3_A_L14*Deshije_A)+(A3_B_L14*Deshije_B)+(A3_C_L14*Deshije_C)+(A3_D_L14*Deshije_D)+(A3_Y_L14*Deshije_Y))*Inflación_3</f>
        <v>0</v>
      </c>
      <c r="AG15" s="101">
        <f>SUMIFS('9'!$E:$E,'9'!$A:$A,Año_Inicial+2,'9'!$B:$B,'12'!AF$4,'9'!$D:$D,"Deshije")</f>
        <v>0</v>
      </c>
      <c r="AH15" s="101">
        <f>((A3_A_L15*Deshije_A)+(A3_B_L15*Deshije_B)+(A3_C_L15*Deshije_C)+(A3_D_L15*Deshije_D)+(A3_Y_L15*Deshije_Y))*Inflación_3</f>
        <v>0</v>
      </c>
      <c r="AI15" s="101">
        <f>SUMIFS('9'!$E:$E,'9'!$A:$A,Año_Inicial+2,'9'!$B:$B,'12'!AH$4,'9'!$D:$D,"Deshije")</f>
        <v>0</v>
      </c>
      <c r="AJ15" s="101">
        <f>((A3_A_L16*Deshije_A)+(A3_B_L16*Deshije_B)+(A3_C_L16*Deshije_C)+(A3_D_L16*Deshije_D)+(A3_Y_L16*Deshije_Y))*Inflación_3</f>
        <v>0</v>
      </c>
      <c r="AK15" s="101">
        <f>SUMIFS('9'!$E:$E,'9'!$A:$A,Año_Inicial+2,'9'!$B:$B,'12'!AJ$4,'9'!$D:$D,"Deshije")</f>
        <v>0</v>
      </c>
      <c r="AL15" s="101">
        <f>((A3_A_L17*Deshije_A)+(A3_B_L17*Deshije_B)+(A3_C_L17*Deshije_C)+(A3_D_L17*Deshije_D)+(A3_Y_L17*Deshije_Y))*Inflación_3</f>
        <v>0</v>
      </c>
      <c r="AM15" s="101">
        <f>SUMIFS('9'!$E:$E,'9'!$A:$A,Año_Inicial+2,'9'!$B:$B,'12'!AL$4,'9'!$D:$D,"Deshije")</f>
        <v>0</v>
      </c>
      <c r="AN15" s="101">
        <f>((A3_A_L18*Deshije_A)+(A3_B_L18*Deshije_B)+(A3_C_L18*Deshije_C)+(A3_D_L18*Deshije_D)+(A3_Y_L18*Deshije_Y))*Inflación_3</f>
        <v>0</v>
      </c>
      <c r="AO15" s="101">
        <f>SUMIFS('9'!$E:$E,'9'!$A:$A,Año_Inicial+2,'9'!$B:$B,'12'!AN$4,'9'!$D:$D,"Deshije")</f>
        <v>0</v>
      </c>
      <c r="AP15" s="101">
        <f>((A3_A_L19*Deshije_A)+(A3_B_L19*Deshije_B)+(A3_C_L19*Deshije_C)+(A3_D_L19*Deshije_D)+(A3_Y_L19*Deshije_Y))*Inflación_3</f>
        <v>0</v>
      </c>
      <c r="AQ15" s="101">
        <f>SUMIFS('9'!$E:$E,'9'!$A:$A,Año_Inicial+2,'9'!$B:$B,'12'!AP$4,'9'!$D:$D,"Deshije")</f>
        <v>0</v>
      </c>
      <c r="AR15" s="101">
        <f>((A3_A_L20*Deshije_A)+(A3_B_L20*Deshije_B)+(A3_C_L20*Deshije_C)+(A3_D_L20*Deshije_D)+(A3_Y_L20*Deshije_Y))*Inflación_3</f>
        <v>0</v>
      </c>
      <c r="AS15" s="101">
        <f>SUMIFS('9'!$E:$E,'9'!$A:$A,Año_Inicial+2,'9'!$B:$B,'12'!AR$4,'9'!$D:$D,"Deshije")</f>
        <v>0</v>
      </c>
      <c r="AT15" s="101">
        <f>((A3_A_L21*Deshije_A)+(A3_B_L21*Deshije_B)+(A3_C_L21*Deshije_C)+(A3_D_L21*Deshije_D)+(A3_Y_L21*Deshije_Y))*Inflación_3</f>
        <v>0</v>
      </c>
      <c r="AU15" s="101">
        <f>SUMIFS('9'!$E:$E,'9'!$A:$A,Año_Inicial+2,'9'!$B:$B,'12'!AT$4,'9'!$D:$D,"Deshije")</f>
        <v>0</v>
      </c>
      <c r="AV15" s="101">
        <f>((A3_A_L22*Deshije_A)+(A3_B_L22*Deshije_B)+(A3_C_L22*Deshije_C)+(A3_D_L22*Deshije_D)+(A3_Y_L22*Deshije_Y))*Inflación_3</f>
        <v>0</v>
      </c>
      <c r="AW15" s="101">
        <f>SUMIFS('9'!$E:$E,'9'!$A:$A,Año_Inicial+2,'9'!$B:$B,'12'!AV$4,'9'!$D:$D,"Deshije")</f>
        <v>0</v>
      </c>
      <c r="AX15" s="101">
        <f>((A3_A_L23*Deshije_A)+(A3_B_L23*Deshije_B)+(A3_C_L23*Deshije_C)+(A3_D_L23*Deshije_D)+(A3_Y_L23*Deshije_Y))*Inflación_3</f>
        <v>0</v>
      </c>
      <c r="AY15" s="101">
        <f>SUMIFS('9'!$E:$E,'9'!$A:$A,Año_Inicial+2,'9'!$B:$B,'12'!AX$4,'9'!$D:$D,"Deshije")</f>
        <v>0</v>
      </c>
      <c r="AZ15" s="101">
        <f>((A3_A_L24*Deshije_A)+(A3_B_L24*Deshije_B)+(A3_C_L24*Deshije_C)+(A3_D_L24*Deshije_D)+(A3_Y_L24*Deshije_Y))*Inflación_3</f>
        <v>0</v>
      </c>
      <c r="BA15" s="101">
        <f>SUMIFS('9'!$E:$E,'9'!$A:$A,Año_Inicial+2,'9'!$B:$B,'12'!AZ$4,'9'!$D:$D,"Deshije")</f>
        <v>0</v>
      </c>
      <c r="BB15" s="101">
        <f>((A3_A_L25*Deshije_A)+(A3_B_L25*Deshije_B)+(A3_C_L25*Deshije_C)+(A3_D_L25*Deshije_D)+(A3_Y_L25*Deshije_Y))*Inflación_3</f>
        <v>0</v>
      </c>
      <c r="BC15" s="101">
        <f>SUMIFS('9'!$E:$E,'9'!$A:$A,Año_Inicial+2,'9'!$B:$B,'12'!BB$4,'9'!$D:$D,"Deshije")</f>
        <v>0</v>
      </c>
      <c r="BD15" s="101">
        <f>((A3_A_L26*Deshije_A)+(A3_B_L26*Deshije_B)+(A3_C_L26*Deshije_C)+(A3_D_L26*Deshije_D)+(A3_Y_L26*Deshije_Y))*Inflación_3</f>
        <v>0</v>
      </c>
      <c r="BE15" s="101">
        <f>SUMIFS('9'!$E:$E,'9'!$A:$A,Año_Inicial+2,'9'!$B:$B,'12'!BD$4,'9'!$D:$D,"Deshije")</f>
        <v>0</v>
      </c>
      <c r="BF15" s="101">
        <f>((A3_A_L27*Deshije_A)+(A3_B_L27*Deshije_B)+(A3_C_L27*Deshije_C)+(A3_D_L27*Deshije_D)+(A3_Y_L27*Deshije_Y))*Inflación_3</f>
        <v>0</v>
      </c>
      <c r="BG15" s="101">
        <f>SUMIFS('9'!$E:$E,'9'!$A:$A,Año_Inicial+2,'9'!$B:$B,'12'!BF$4,'9'!$D:$D,"Deshije")</f>
        <v>0</v>
      </c>
      <c r="BH15" s="101">
        <f>((A3_A_L28*Deshije_A)+(A3_B_L28*Deshije_B)+(A3_C_L28*Deshije_C)+(A3_D_L28*Deshije_D)+(A3_Y_L28*Deshije_Y))*Inflación_3</f>
        <v>0</v>
      </c>
      <c r="BI15" s="101">
        <f>SUMIFS('9'!$E:$E,'9'!$A:$A,Año_Inicial+2,'9'!$B:$B,'12'!BH$4,'9'!$D:$D,"Deshije")</f>
        <v>0</v>
      </c>
      <c r="BJ15" s="101">
        <f>((A3_A_L29*Deshije_A)+(A3_B_L29*Deshije_B)+(A3_C_L29*Deshije_C)+(A3_D_L29*Deshije_D)+(A3_Y_L29*Deshije_Y))*Inflación_3</f>
        <v>0</v>
      </c>
      <c r="BK15" s="101">
        <f>SUMIFS('9'!$E:$E,'9'!$A:$A,Año_Inicial+2,'9'!$B:$B,'12'!BJ$4,'9'!$D:$D,"Deshije")</f>
        <v>0</v>
      </c>
      <c r="BL15" s="101">
        <f>((A3_A_L30*Deshije_A)+(A3_B_L30*Deshije_B)+(A3_C_L30*Deshije_C)+(A3_D_L30*Deshije_D)+(A3_Y_L30*Deshije_Y))*Inflación_3</f>
        <v>0</v>
      </c>
      <c r="BM15" s="101">
        <f>SUMIFS('9'!$E:$E,'9'!$A:$A,Año_Inicial+2,'9'!$B:$B,'12'!BL$4,'9'!$D:$D,"Deshije")</f>
        <v>0</v>
      </c>
      <c r="BN15" s="101">
        <f>((A3_A_L31*Deshije_A)+(A3_B_L31*Deshije_B)+(A3_C_L31*Deshije_C)+(A3_D_L31*Deshije_D)+(A3_Y_L31*Deshije_Y))*Inflación_3</f>
        <v>0</v>
      </c>
      <c r="BO15" s="101">
        <f>SUMIFS('9'!$E:$E,'9'!$A:$A,Año_Inicial+2,'9'!$B:$B,'12'!BN$4,'9'!$D:$D,"Deshije")</f>
        <v>0</v>
      </c>
      <c r="BP15" s="101">
        <f>((A3_A_L32*Deshije_A)+(A3_B_L32*Deshije_B)+(A3_C_L32*Deshije_C)+(A3_D_L32*Deshije_D)+(A3_Y_L32*Deshije_Y))*Inflación_3</f>
        <v>0</v>
      </c>
      <c r="BQ15" s="101">
        <f>SUMIFS('9'!$E:$E,'9'!$A:$A,Año_Inicial+2,'9'!$B:$B,'12'!BP$4,'9'!$D:$D,"Deshije")</f>
        <v>0</v>
      </c>
      <c r="BR15" s="101">
        <f>((A3_A_L33*Deshije_A)+(A3_B_L33*Deshije_B)+(A3_C_L33*Deshije_C)+(A3_D_L33*Deshije_D)+(A3_Y_L33*Deshije_Y))*Inflación_3</f>
        <v>0</v>
      </c>
      <c r="BS15" s="101">
        <f>SUMIFS('9'!$E:$E,'9'!$A:$A,Año_Inicial+2,'9'!$B:$B,'12'!BR$4,'9'!$D:$D,"Deshije")</f>
        <v>0</v>
      </c>
      <c r="BT15" s="101">
        <f>((A3_A_L34*Deshije_A)+(A3_B_L34*Deshije_B)+(A3_C_L34*Deshije_C)+(A3_D_L34*Deshije_D)+(A3_Y_L34*Deshije_Y))*Inflación_3</f>
        <v>0</v>
      </c>
      <c r="BU15" s="101">
        <f>SUMIFS('9'!$E:$E,'9'!$A:$A,Año_Inicial+2,'9'!$B:$B,'12'!BT$4,'9'!$D:$D,"Deshije")</f>
        <v>0</v>
      </c>
      <c r="BV15" s="101">
        <f>((A3_A_L35*Deshije_A)+(A3_B_L35*Deshije_B)+(A3_C_L35*Deshije_C)+(A3_D_L35*Deshije_D)+(A3_Y_L35*Deshije_Y))*Inflación_3</f>
        <v>0</v>
      </c>
      <c r="BW15" s="101">
        <f>SUMIFS('9'!$E:$E,'9'!$A:$A,Año_Inicial+2,'9'!$B:$B,'12'!BV$4,'9'!$D:$D,"Deshije")</f>
        <v>0</v>
      </c>
      <c r="BX15" s="101">
        <f>((A3_A_L36*Deshije_A)+(A3_B_L36*Deshije_B)+(A3_C_L36*Deshije_C)+(A3_D_L36*Deshije_D)+(A3_Y_L36*Deshije_Y))*Inflación_3</f>
        <v>0</v>
      </c>
      <c r="BY15" s="101">
        <f>SUMIFS('9'!$E:$E,'9'!$A:$A,Año_Inicial+2,'9'!$B:$B,'12'!BX$4,'9'!$D:$D,"Deshije")</f>
        <v>0</v>
      </c>
      <c r="BZ15" s="101">
        <f>((A3_A_L37*Deshije_A)+(A3_B_L37*Deshije_B)+(A3_C_L37*Deshije_C)+(A3_D_L37*Deshije_D)+(A3_Y_L37*Deshije_Y))*Inflación_3</f>
        <v>0</v>
      </c>
      <c r="CA15" s="101">
        <f>SUMIFS('9'!$E:$E,'9'!$A:$A,Año_Inicial+2,'9'!$B:$B,'12'!BZ$4,'9'!$D:$D,"Deshije")</f>
        <v>0</v>
      </c>
      <c r="CB15" s="101">
        <f>((A3_A_L38*Deshije_A)+(A3_B_L38*Deshije_B)+(A3_C_L38*Deshije_C)+(A3_D_L38*Deshije_D)+(A3_Y_L38*Deshije_Y))*Inflación_3</f>
        <v>0</v>
      </c>
      <c r="CC15" s="101">
        <f>SUMIFS('9'!$E:$E,'9'!$A:$A,Año_Inicial+2,'9'!$B:$B,'12'!CB$4,'9'!$D:$D,"Deshije")</f>
        <v>0</v>
      </c>
      <c r="CD15" s="101">
        <f>((A3_A_L39*Deshije_A)+(A3_B_L39*Deshije_B)+(A3_C_L39*Deshije_C)+(A3_D_L39*Deshije_D)+(A3_Y_L39*Deshije_Y))*Inflación_3</f>
        <v>0</v>
      </c>
      <c r="CE15" s="101">
        <f>SUMIFS('9'!$E:$E,'9'!$A:$A,Año_Inicial+2,'9'!$B:$B,'12'!CD$4,'9'!$D:$D,"Deshije")</f>
        <v>0</v>
      </c>
      <c r="CF15" s="101">
        <f>((A3_A_L40*Deshije_A)+(A3_B_L40*Deshije_B)+(A3_C_L40*Deshije_C)+(A3_D_L40*Deshije_D)+(A3_Y_L40*Deshije_Y))*Inflación_3</f>
        <v>0</v>
      </c>
      <c r="CG15" s="101">
        <f>SUMIFS('9'!$E:$E,'9'!$A:$A,Año_Inicial+2,'9'!$B:$B,'12'!CF$4,'9'!$D:$D,"Deshije")</f>
        <v>0</v>
      </c>
      <c r="CH15" s="473"/>
      <c r="CI15" s="101">
        <f>Plantas_A_A3*Deshije_A*Inflación_3</f>
        <v>0</v>
      </c>
      <c r="CJ15" s="101">
        <f>Plantas_B_A3*Deshije_B</f>
        <v>0</v>
      </c>
      <c r="CK15" s="101">
        <f>Plantas_C_A3*Deshije_C</f>
        <v>0</v>
      </c>
      <c r="CL15" s="101">
        <f>Plantas_D_A3*Deshije_D</f>
        <v>0</v>
      </c>
      <c r="CM15" s="101"/>
      <c r="CN15" s="101">
        <f>Plantas_Y_A3*Deshije_Y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90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SUMIFS('9'!$E:$E,'9'!$A:$A,Año_Inicial+2,'9'!$D:$D,"Aplicación de fertilizante")</f>
        <v>0</v>
      </c>
      <c r="D17" s="100">
        <f t="shared" si="45"/>
        <v>0</v>
      </c>
      <c r="E17" s="490"/>
      <c r="F17" s="101">
        <f>((A3_A_L1*Nutrición_A)+(A3_B_L1*Nutrición_B)+(A3_C_L1*Nutrición_C)+(A3_D_L1*Nutrición_D)+(A3_Y_L1*Nutrición_Y))*Inflación_3</f>
        <v>0</v>
      </c>
      <c r="G17" s="101">
        <f>SUMIFS('9'!$E:$E,'9'!$A:$A,Año_Inicial+2,'9'!$B:$B,'12'!F$4,'9'!$D:$D,"Aplicación de fertilizante")</f>
        <v>0</v>
      </c>
      <c r="H17" s="101">
        <f>((A3_A_L2*Nutrición_A)+(A3_B_L2*Nutrición_B)+(A3_C_L2*Nutrición_C)+(A3_D_L2*Nutrición_D)+(A3_Y_L2*Nutrición_Y))*Inflación_3</f>
        <v>0</v>
      </c>
      <c r="I17" s="101">
        <f>SUMIFS('9'!$E:$E,'9'!$A:$A,Año_Inicial+2,'9'!$B:$B,'12'!H$4,'9'!$D:$D,"Aplicación de fertilizante")</f>
        <v>0</v>
      </c>
      <c r="J17" s="101">
        <f>((A3_A_L3*Nutrición_A)+(A3_B_L3*Nutrición_B)+(A3_C_L3*Nutrición_C)+(A3_D_L3*Nutrición_D)+(A3_Y_L3*Nutrición_Y))*Inflación_3</f>
        <v>0</v>
      </c>
      <c r="K17" s="101">
        <f>SUMIFS('9'!$E:$E,'9'!$A:$A,Año_Inicial+2,'9'!$B:$B,'12'!J$4,'9'!$D:$D,"Aplicación de fertilizante")</f>
        <v>0</v>
      </c>
      <c r="L17" s="101">
        <f>((A3_A_L4*Nutrición_A)+(A3_B_L4*Nutrición_B)+(A3_C_L4*Nutrición_C)+(A3_D_L4*Nutrición_D)+(A3_Y_L4*Nutrición_Y))*Inflación_3</f>
        <v>0</v>
      </c>
      <c r="M17" s="101">
        <f>SUMIFS('9'!$E:$E,'9'!$A:$A,Año_Inicial+2,'9'!$B:$B,'12'!L$4,'9'!$D:$D,"Aplicación de fertilizante")</f>
        <v>0</v>
      </c>
      <c r="N17" s="101">
        <f>((A3_A_L5*Nutrición_A)+(A3_B_L5*Nutrición_B)+(A3_C_L5*Nutrición_C)+(A3_D_L5*Nutrición_D)+(A3_Y_L5*Nutrición_Y))*Inflación_3</f>
        <v>0</v>
      </c>
      <c r="O17" s="101">
        <f>SUMIFS('9'!$E:$E,'9'!$A:$A,Año_Inicial+2,'9'!$B:$B,'12'!N$4,'9'!$D:$D,"Aplicación de fertilizante")</f>
        <v>0</v>
      </c>
      <c r="P17" s="101">
        <f>((A3_A_L6*Nutrición_A)+(A3_B_L6*Nutrición_B)+(A3_C_L6*Nutrición_C)+(A3_D_L6*Nutrición_D)+(A3_Y_L6*Nutrición_Y))*Inflación_3</f>
        <v>0</v>
      </c>
      <c r="Q17" s="101">
        <f>SUMIFS('9'!$E:$E,'9'!$A:$A,Año_Inicial+2,'9'!$B:$B,'12'!P$4,'9'!$D:$D,"Aplicación de fertilizante")</f>
        <v>0</v>
      </c>
      <c r="R17" s="101">
        <f>((A3_A_L7*Nutrición_A)+(A3_B_L7*Nutrición_B)+(A3_C_L7*Nutrición_C)+(A3_D_L7*Nutrición_D)+(A3_Y_L7*Nutrición_Y))*Inflación_3</f>
        <v>0</v>
      </c>
      <c r="S17" s="101">
        <f>SUMIFS('9'!$E:$E,'9'!$A:$A,Año_Inicial+2,'9'!$B:$B,'12'!R$4,'9'!$D:$D,"Aplicación de fertilizante")</f>
        <v>0</v>
      </c>
      <c r="T17" s="101">
        <f>((A3_A_L8*Nutrición_A)+(A3_B_L8*Nutrición_B)+(A3_C_L8*Nutrición_C)+(A3_D_L8*Nutrición_D)+(A3_Y_L8*Nutrición_Y))*Inflación_3</f>
        <v>0</v>
      </c>
      <c r="U17" s="101">
        <f>SUMIFS('9'!$E:$E,'9'!$A:$A,Año_Inicial+2,'9'!$B:$B,'12'!T$4,'9'!$D:$D,"Aplicación de fertilizante")</f>
        <v>0</v>
      </c>
      <c r="V17" s="101">
        <f>((A3_A_L9*Nutrición_A)+(A3_B_L9*Nutrición_B)+(A3_C_L9*Nutrición_C)+(A3_D_L9*Nutrición_D)+(A3_Y_L9*Nutrición_Y))*Inflación_3</f>
        <v>0</v>
      </c>
      <c r="W17" s="101">
        <f>SUMIFS('9'!$E:$E,'9'!$A:$A,Año_Inicial+2,'9'!$B:$B,'12'!V$4,'9'!$D:$D,"Aplicación de fertilizante")</f>
        <v>0</v>
      </c>
      <c r="X17" s="101">
        <f>((A3_A_L10*Nutrición_A)+(A3_B_L10*Nutrición_B)+(A3_C_L10*Nutrición_C)+(A3_D_L10*Nutrición_D)+(A3_Y_L10*Nutrición_Y))*Inflación_3</f>
        <v>0</v>
      </c>
      <c r="Y17" s="101">
        <f>SUMIFS('9'!$E:$E,'9'!$A:$A,Año_Inicial+2,'9'!$B:$B,'12'!X$4,'9'!$D:$D,"Aplicación de fertilizante")</f>
        <v>0</v>
      </c>
      <c r="Z17" s="101">
        <f>((A3_A_L11*Nutrición_A)+(A3_B_L11*Nutrición_B)+(A3_C_L11*Nutrición_C)+(A3_D_L11*Nutrición_D)+(A3_Y_L11*Nutrición_Y))*Inflación_3</f>
        <v>0</v>
      </c>
      <c r="AA17" s="101">
        <f>SUMIFS('9'!$E:$E,'9'!$A:$A,Año_Inicial+2,'9'!$B:$B,'12'!Z$4,'9'!$D:$D,"Aplicación de fertilizante")</f>
        <v>0</v>
      </c>
      <c r="AB17" s="101">
        <f>((A3_A_L12*Nutrición_A)+(A3_B_L12*Nutrición_B)+(A3_C_L12*Nutrición_C)+(A3_D_L12*Nutrición_D)+(A3_Y_L12*Nutrición_Y))*Inflación_3</f>
        <v>0</v>
      </c>
      <c r="AC17" s="101">
        <f>SUMIFS('9'!$E:$E,'9'!$A:$A,Año_Inicial+2,'9'!$B:$B,'12'!AB$4,'9'!$D:$D,"Aplicación de fertilizante")</f>
        <v>0</v>
      </c>
      <c r="AD17" s="101">
        <f>((A3_A_L13*Nutrición_A)+(A3_B_L13*Nutrición_B)+(A3_C_L13*Nutrición_C)+(A3_D_L13*Nutrición_D)+(A3_Y_L13*Nutrición_Y))*Inflación_3</f>
        <v>0</v>
      </c>
      <c r="AE17" s="101">
        <f>SUMIFS('9'!$E:$E,'9'!$A:$A,Año_Inicial+2,'9'!$B:$B,'12'!AD$4,'9'!$D:$D,"Aplicación de fertilizante")</f>
        <v>0</v>
      </c>
      <c r="AF17" s="101">
        <f>((A3_A_L14*Nutrición_A)+(A3_B_L14*Nutrición_B)+(A3_C_L14*Nutrición_C)+(A3_D_L14*Nutrición_D)+(A3_Y_L14*Nutrición_Y))*Inflación_3</f>
        <v>0</v>
      </c>
      <c r="AG17" s="101">
        <f>SUMIFS('9'!$E:$E,'9'!$A:$A,Año_Inicial+2,'9'!$B:$B,'12'!AF$4,'9'!$D:$D,"Aplicación de fertilizante")</f>
        <v>0</v>
      </c>
      <c r="AH17" s="101">
        <f>((A3_A_L15*Nutrición_A)+(A3_B_L15*Nutrición_B)+(A3_C_L15*Nutrición_C)+(A3_D_L15*Nutrición_D)+(A3_Y_L15*Nutrición_Y))*Inflación_3</f>
        <v>0</v>
      </c>
      <c r="AI17" s="101">
        <f>SUMIFS('9'!$E:$E,'9'!$A:$A,Año_Inicial+2,'9'!$B:$B,'12'!AH$4,'9'!$D:$D,"Aplicación de fertilizante")</f>
        <v>0</v>
      </c>
      <c r="AJ17" s="101">
        <f>((A3_A_L16*Nutrición_A)+(A3_B_L16*Nutrición_B)+(A3_C_L16*Nutrición_C)+(A3_D_L16*Nutrición_D)+(A3_Y_L16*Nutrición_Y))*Inflación_3</f>
        <v>0</v>
      </c>
      <c r="AK17" s="101">
        <f>SUMIFS('9'!$E:$E,'9'!$A:$A,Año_Inicial+2,'9'!$B:$B,'12'!AJ$4,'9'!$D:$D,"Aplicación de fertilizante")</f>
        <v>0</v>
      </c>
      <c r="AL17" s="101">
        <f>((A3_A_L17*Nutrición_A)+(A3_B_L17*Nutrición_B)+(A3_C_L17*Nutrición_C)+(A3_D_L17*Nutrición_D)+(A3_Y_L17*Nutrición_Y))*Inflación_3</f>
        <v>0</v>
      </c>
      <c r="AM17" s="101">
        <f>SUMIFS('9'!$E:$E,'9'!$A:$A,Año_Inicial+2,'9'!$B:$B,'12'!AL$4,'9'!$D:$D,"Aplicación de fertilizante")</f>
        <v>0</v>
      </c>
      <c r="AN17" s="101">
        <f>((A3_A_L18*Nutrición_A)+(A3_B_L18*Nutrición_B)+(A3_C_L18*Nutrición_C)+(A3_D_L18*Nutrición_D)+(A3_Y_L18*Nutrición_Y))*Inflación_3</f>
        <v>0</v>
      </c>
      <c r="AO17" s="101">
        <f>SUMIFS('9'!$E:$E,'9'!$A:$A,Año_Inicial+2,'9'!$B:$B,'12'!AN$4,'9'!$D:$D,"Aplicación de fertilizante")</f>
        <v>0</v>
      </c>
      <c r="AP17" s="101">
        <f>((A3_A_L19*Nutrición_A)+(A3_B_L19*Nutrición_B)+(A3_C_L19*Nutrición_C)+(A3_D_L19*Nutrición_D)+(A3_Y_L19*Nutrición_Y))*Inflación_3</f>
        <v>0</v>
      </c>
      <c r="AQ17" s="101">
        <f>SUMIFS('9'!$E:$E,'9'!$A:$A,Año_Inicial+2,'9'!$B:$B,'12'!AP$4,'9'!$D:$D,"Aplicación de fertilizante")</f>
        <v>0</v>
      </c>
      <c r="AR17" s="101">
        <f>((A3_A_L20*Nutrición_A)+(A3_B_L20*Nutrición_B)+(A3_C_L20*Nutrición_C)+(A3_D_L20*Nutrición_D)+(A3_Y_L20*Nutrición_Y))*Inflación_3</f>
        <v>0</v>
      </c>
      <c r="AS17" s="101">
        <f>SUMIFS('9'!$E:$E,'9'!$A:$A,Año_Inicial+2,'9'!$B:$B,'12'!AR$4,'9'!$D:$D,"Aplicación de fertilizante")</f>
        <v>0</v>
      </c>
      <c r="AT17" s="101">
        <f>((A3_A_L21*Nutrición_A)+(A3_B_L21*Nutrición_B)+(A3_C_L21*Nutrición_C)+(A3_D_L21*Nutrición_D)+(A3_Y_L21*Nutrición_Y))*Inflación_3</f>
        <v>0</v>
      </c>
      <c r="AU17" s="101">
        <f>SUMIFS('9'!$E:$E,'9'!$A:$A,Año_Inicial+2,'9'!$B:$B,'12'!AT$4,'9'!$D:$D,"Aplicación de fertilizante")</f>
        <v>0</v>
      </c>
      <c r="AV17" s="101">
        <f>((A3_A_L22*Nutrición_A)+(A3_B_L22*Nutrición_B)+(A3_C_L22*Nutrición_C)+(A3_D_L22*Nutrición_D)+(A3_Y_L22*Nutrición_Y))*Inflación_3</f>
        <v>0</v>
      </c>
      <c r="AW17" s="101">
        <f>SUMIFS('9'!$E:$E,'9'!$A:$A,Año_Inicial+2,'9'!$B:$B,'12'!AV$4,'9'!$D:$D,"Aplicación de fertilizante")</f>
        <v>0</v>
      </c>
      <c r="AX17" s="101">
        <f>((A3_A_L23*Nutrición_A)+(A3_B_L23*Nutrición_B)+(A3_C_L23*Nutrición_C)+(A3_D_L23*Nutrición_D)+(A3_Y_L23*Nutrición_Y))*Inflación_3</f>
        <v>0</v>
      </c>
      <c r="AY17" s="101">
        <f>SUMIFS('9'!$E:$E,'9'!$A:$A,Año_Inicial+2,'9'!$B:$B,'12'!AX$4,'9'!$D:$D,"Aplicación de fertilizante")</f>
        <v>0</v>
      </c>
      <c r="AZ17" s="101">
        <f>((A3_A_L24*Nutrición_A)+(A3_B_L24*Nutrición_B)+(A3_C_L24*Nutrición_C)+(A3_D_L24*Nutrición_D)+(A3_Y_L24*Nutrición_Y))*Inflación_3</f>
        <v>0</v>
      </c>
      <c r="BA17" s="101">
        <f>SUMIFS('9'!$E:$E,'9'!$A:$A,Año_Inicial+2,'9'!$B:$B,'12'!AZ$4,'9'!$D:$D,"Aplicación de fertilizante")</f>
        <v>0</v>
      </c>
      <c r="BB17" s="101">
        <f>((A3_A_L25*Nutrición_A)+(A3_B_L25*Nutrición_B)+(A3_C_L25*Nutrición_C)+(A3_D_L25*Nutrición_D)+(A3_Y_L25*Nutrición_Y))*Inflación_3</f>
        <v>0</v>
      </c>
      <c r="BC17" s="101">
        <f>SUMIFS('9'!$E:$E,'9'!$A:$A,Año_Inicial+2,'9'!$B:$B,'12'!BB$4,'9'!$D:$D,"Aplicación de fertilizante")</f>
        <v>0</v>
      </c>
      <c r="BD17" s="101">
        <f>((A3_A_L26*Nutrición_A)+(A3_B_L26*Nutrición_B)+(A3_C_L26*Nutrición_C)+(A3_D_L26*Nutrición_D)+(A3_Y_L26*Nutrición_Y))*Inflación_3</f>
        <v>0</v>
      </c>
      <c r="BE17" s="101">
        <f>SUMIFS('9'!$E:$E,'9'!$A:$A,Año_Inicial+2,'9'!$B:$B,'12'!BD$4,'9'!$D:$D,"Aplicación de fertilizante")</f>
        <v>0</v>
      </c>
      <c r="BF17" s="101">
        <f>((A3_A_L27*Nutrición_A)+(A3_B_L27*Nutrición_B)+(A3_C_L27*Nutrición_C)+(A3_D_L27*Nutrición_D)+(A3_Y_L27*Nutrición_Y))*Inflación_3</f>
        <v>0</v>
      </c>
      <c r="BG17" s="101">
        <f>SUMIFS('9'!$E:$E,'9'!$A:$A,Año_Inicial+2,'9'!$B:$B,'12'!BF$4,'9'!$D:$D,"Aplicación de fertilizante")</f>
        <v>0</v>
      </c>
      <c r="BH17" s="101">
        <f>((A3_A_L28*Nutrición_A)+(A3_B_L28*Nutrición_B)+(A3_C_L28*Nutrición_C)+(A3_D_L28*Nutrición_D)+(A3_Y_L28*Nutrición_Y))*Inflación_3</f>
        <v>0</v>
      </c>
      <c r="BI17" s="101">
        <f>SUMIFS('9'!$E:$E,'9'!$A:$A,Año_Inicial+2,'9'!$B:$B,'12'!BH$4,'9'!$D:$D,"Aplicación de fertilizante")</f>
        <v>0</v>
      </c>
      <c r="BJ17" s="101">
        <f>((A3_A_L29*Nutrición_A)+(A3_B_L29*Nutrición_B)+(A3_C_L29*Nutrición_C)+(A3_D_L29*Nutrición_D)+(A3_Y_L29*Nutrición_Y))*Inflación_3</f>
        <v>0</v>
      </c>
      <c r="BK17" s="101">
        <f>SUMIFS('9'!$E:$E,'9'!$A:$A,Año_Inicial+2,'9'!$B:$B,'12'!BJ$4,'9'!$D:$D,"Aplicación de fertilizante")</f>
        <v>0</v>
      </c>
      <c r="BL17" s="101">
        <f>((A3_A_L30*Nutrición_A)+(A3_B_L30*Nutrición_B)+(A3_C_L30*Nutrición_C)+(A3_D_L30*Nutrición_D)+(A3_Y_L30*Nutrición_Y))*Inflación_3</f>
        <v>0</v>
      </c>
      <c r="BM17" s="101">
        <f>SUMIFS('9'!$E:$E,'9'!$A:$A,Año_Inicial+2,'9'!$B:$B,'12'!BL$4,'9'!$D:$D,"Aplicación de fertilizante")</f>
        <v>0</v>
      </c>
      <c r="BN17" s="101">
        <f>((A3_A_L31*Nutrición_A)+(A3_B_L31*Nutrición_B)+(A3_C_L31*Nutrición_C)+(A3_D_L31*Nutrición_D)+(A3_Y_L31*Nutrición_Y))*Inflación_3</f>
        <v>0</v>
      </c>
      <c r="BO17" s="101">
        <f>SUMIFS('9'!$E:$E,'9'!$A:$A,Año_Inicial+2,'9'!$B:$B,'12'!BN$4,'9'!$D:$D,"Aplicación de fertilizante")</f>
        <v>0</v>
      </c>
      <c r="BP17" s="101">
        <f>((A3_A_L32*Nutrición_A)+(A3_B_L32*Nutrición_B)+(A3_C_L32*Nutrición_C)+(A3_D_L32*Nutrición_D)+(A3_Y_L32*Nutrición_Y))*Inflación_3</f>
        <v>0</v>
      </c>
      <c r="BQ17" s="101">
        <f>SUMIFS('9'!$E:$E,'9'!$A:$A,Año_Inicial+2,'9'!$B:$B,'12'!BP$4,'9'!$D:$D,"Aplicación de fertilizante")</f>
        <v>0</v>
      </c>
      <c r="BR17" s="101">
        <f>((A3_A_L33*Nutrición_A)+(A3_B_L33*Nutrición_B)+(A3_C_L33*Nutrición_C)+(A3_D_L33*Nutrición_D)+(A3_Y_L33*Nutrición_Y))*Inflación_3</f>
        <v>0</v>
      </c>
      <c r="BS17" s="101">
        <f>SUMIFS('9'!$E:$E,'9'!$A:$A,Año_Inicial+2,'9'!$B:$B,'12'!BR$4,'9'!$D:$D,"Aplicación de fertilizante")</f>
        <v>0</v>
      </c>
      <c r="BT17" s="101">
        <f>((A3_A_L34*Nutrición_A)+(A3_B_L34*Nutrición_B)+(A3_C_L34*Nutrición_C)+(A3_D_L34*Nutrición_D)+(A3_Y_L34*Nutrición_Y))*Inflación_3</f>
        <v>0</v>
      </c>
      <c r="BU17" s="101">
        <f>SUMIFS('9'!$E:$E,'9'!$A:$A,Año_Inicial+2,'9'!$B:$B,'12'!BT$4,'9'!$D:$D,"Aplicación de fertilizante")</f>
        <v>0</v>
      </c>
      <c r="BV17" s="101">
        <f>((A3_A_L35*Nutrición_A)+(A3_B_L35*Nutrición_B)+(A3_C_L35*Nutrición_C)+(A3_D_L35*Nutrición_D)+(A3_Y_L35*Nutrición_Y))*Inflación_3</f>
        <v>0</v>
      </c>
      <c r="BW17" s="101">
        <f>SUMIFS('9'!$E:$E,'9'!$A:$A,Año_Inicial+2,'9'!$B:$B,'12'!BV$4,'9'!$D:$D,"Aplicación de fertilizante")</f>
        <v>0</v>
      </c>
      <c r="BX17" s="101">
        <f>((A3_A_L36*Nutrición_A)+(A3_B_L36*Nutrición_B)+(A3_C_L36*Nutrición_C)+(A3_D_L36*Nutrición_D)+(A3_Y_L36*Nutrición_Y))*Inflación_3</f>
        <v>0</v>
      </c>
      <c r="BY17" s="101">
        <f>SUMIFS('9'!$E:$E,'9'!$A:$A,Año_Inicial+2,'9'!$B:$B,'12'!BX$4,'9'!$D:$D,"Aplicación de fertilizante")</f>
        <v>0</v>
      </c>
      <c r="BZ17" s="101">
        <f>((A3_A_L37*Nutrición_A)+(A3_B_L37*Nutrición_B)+(A3_C_L37*Nutrición_C)+(A3_D_L37*Nutrición_D)+(A3_Y_L37*Nutrición_Y))*Inflación_3</f>
        <v>0</v>
      </c>
      <c r="CA17" s="101">
        <f>SUMIFS('9'!$E:$E,'9'!$A:$A,Año_Inicial+2,'9'!$B:$B,'12'!BZ$4,'9'!$D:$D,"Aplicación de fertilizante")</f>
        <v>0</v>
      </c>
      <c r="CB17" s="101">
        <f>((A3_A_L38*Nutrición_A)+(A3_B_L38*Nutrición_B)+(A3_C_L38*Nutrición_C)+(A3_D_L38*Nutrición_D)+(A3_Y_L38*Nutrición_Y))*Inflación_3</f>
        <v>0</v>
      </c>
      <c r="CC17" s="101">
        <f>SUMIFS('9'!$E:$E,'9'!$A:$A,Año_Inicial+2,'9'!$B:$B,'12'!CB$4,'9'!$D:$D,"Aplicación de fertilizante")</f>
        <v>0</v>
      </c>
      <c r="CD17" s="101">
        <f>((A3_A_L39*Nutrición_A)+(A3_B_L39*Nutrición_B)+(A3_C_L39*Nutrición_C)+(A3_D_L39*Nutrición_D)+(A3_Y_L39*Nutrición_Y))*Inflación_3</f>
        <v>0</v>
      </c>
      <c r="CE17" s="101">
        <f>SUMIFS('9'!$E:$E,'9'!$A:$A,Año_Inicial+2,'9'!$B:$B,'12'!CD$4,'9'!$D:$D,"Aplicación de fertilizante")</f>
        <v>0</v>
      </c>
      <c r="CF17" s="101">
        <f>((A3_A_L40*Nutrición_A)+(A3_B_L40*Nutrición_B)+(A3_C_L40*Nutrición_C)+(A3_D_L40*Nutrición_D)+(A3_Y_L40*Nutrición_Y))*Inflación_3</f>
        <v>0</v>
      </c>
      <c r="CG17" s="101">
        <f>SUMIFS('9'!$E:$E,'9'!$A:$A,Año_Inicial+2,'9'!$B:$B,'12'!CF$4,'9'!$D:$D,"Aplicación de fertilizante")</f>
        <v>0</v>
      </c>
      <c r="CH17" s="473"/>
      <c r="CI17" s="101">
        <f>Plantas_A_A3*Nutrición_A*Inflación_3</f>
        <v>0</v>
      </c>
      <c r="CJ17" s="101">
        <f>Plantas_B_A3*Nutrición_B</f>
        <v>0</v>
      </c>
      <c r="CK17" s="101">
        <f>Plantas_C_A3*Nutrición_C</f>
        <v>0</v>
      </c>
      <c r="CL17" s="101">
        <f>Plantas_D_A3*Nutrición_D</f>
        <v>0</v>
      </c>
      <c r="CM17" s="101"/>
      <c r="CN17" s="101">
        <f>Plantas_Y_A3*Nutrición_Y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SUMIFS('9'!$E:$E,'9'!$A:$A,Año_Inicial+2,'9'!$D:$D,"Aplicación de enmiendas")</f>
        <v>0</v>
      </c>
      <c r="D18" s="100">
        <f t="shared" si="45"/>
        <v>0</v>
      </c>
      <c r="E18" s="490"/>
      <c r="F18" s="101">
        <f>((A3_A_L1*Enmienda_A)+(A3_B_L1*Enmienda_B)+(A3_C_L1*Enmienda_C)+(A3_D_L1*Enmienda_D)+(A3_Y_L1*Enmienda_Y))*Inflación_3</f>
        <v>0</v>
      </c>
      <c r="G18" s="101">
        <f>SUMIFS('9'!$E:$E,'9'!$A:$A,Año_Inicial+2,'9'!$B:$B,'12'!F$4,'9'!$D:$D,"Aplicación de enmiendas")</f>
        <v>0</v>
      </c>
      <c r="H18" s="101">
        <f>((A3_A_L2*Enmienda_A)+(A3_B_L2*Enmienda_B)+(A3_C_L2*Enmienda_C)+(A3_D_L2*Enmienda_D)+(A3_Y_L2*Enmienda_Y))*Inflación_3</f>
        <v>0</v>
      </c>
      <c r="I18" s="101">
        <f>SUMIFS('9'!$E:$E,'9'!$A:$A,Año_Inicial+2,'9'!$B:$B,'12'!H$4,'9'!$D:$D,"Aplicación de enmiendas")</f>
        <v>0</v>
      </c>
      <c r="J18" s="101">
        <f>((A3_A_L3*Enmienda_A)+(A3_B_L3*Enmienda_B)+(A3_C_L3*Enmienda_C)+(A3_D_L3*Enmienda_D)+(A3_Y_L3*Enmienda_Y))*Inflación_3</f>
        <v>0</v>
      </c>
      <c r="K18" s="101">
        <f>SUMIFS('9'!$E:$E,'9'!$A:$A,Año_Inicial+2,'9'!$B:$B,'12'!J$4,'9'!$D:$D,"Aplicación de enmiendas")</f>
        <v>0</v>
      </c>
      <c r="L18" s="101">
        <f>((A3_A_L4*Enmienda_A)+(A3_B_L4*Enmienda_B)+(A3_C_L4*Enmienda_C)+(A3_D_L4*Enmienda_D)+(A3_Y_L4*Enmienda_Y))*Inflación_3</f>
        <v>0</v>
      </c>
      <c r="M18" s="101">
        <f>SUMIFS('9'!$E:$E,'9'!$A:$A,Año_Inicial+2,'9'!$B:$B,'12'!L$4,'9'!$D:$D,"Aplicación de enmiendas")</f>
        <v>0</v>
      </c>
      <c r="N18" s="101">
        <f>((A3_A_L5*Enmienda_A)+(A3_B_L5*Enmienda_B)+(A3_C_L5*Enmienda_C)+(A3_D_L5*Enmienda_D)+(A3_Y_L5*Enmienda_Y))*Inflación_3</f>
        <v>0</v>
      </c>
      <c r="O18" s="101">
        <f>SUMIFS('9'!$E:$E,'9'!$A:$A,Año_Inicial+2,'9'!$B:$B,'12'!N$4,'9'!$D:$D,"Aplicación de enmiendas")</f>
        <v>0</v>
      </c>
      <c r="P18" s="101">
        <f>((A3_A_L6*Enmienda_A)+(A3_B_L6*Enmienda_B)+(A3_C_L6*Enmienda_C)+(A3_D_L6*Enmienda_D)+(A3_Y_L6*Enmienda_Y))*Inflación_3</f>
        <v>0</v>
      </c>
      <c r="Q18" s="101">
        <f>SUMIFS('9'!$E:$E,'9'!$A:$A,Año_Inicial+2,'9'!$B:$B,'12'!P$4,'9'!$D:$D,"Aplicación de enmiendas")</f>
        <v>0</v>
      </c>
      <c r="R18" s="101">
        <f>((A3_A_L7*Enmienda_A)+(A3_B_L7*Enmienda_B)+(A3_C_L7*Enmienda_C)+(A3_D_L7*Enmienda_D)+(A3_Y_L7*Enmienda_Y))*Inflación_3</f>
        <v>0</v>
      </c>
      <c r="S18" s="101">
        <f>SUMIFS('9'!$E:$E,'9'!$A:$A,Año_Inicial+2,'9'!$B:$B,'12'!R$4,'9'!$D:$D,"Aplicación de enmiendas")</f>
        <v>0</v>
      </c>
      <c r="T18" s="101">
        <f>((A3_A_L8*Enmienda_A)+(A3_B_L8*Enmienda_B)+(A3_C_L8*Enmienda_C)+(A3_D_L8*Enmienda_D)+(A3_Y_L8*Enmienda_Y))*Inflación_3</f>
        <v>0</v>
      </c>
      <c r="U18" s="101">
        <f>SUMIFS('9'!$E:$E,'9'!$A:$A,Año_Inicial+2,'9'!$B:$B,'12'!T$4,'9'!$D:$D,"Aplicación de enmiendas")</f>
        <v>0</v>
      </c>
      <c r="V18" s="101">
        <f>((A3_A_L9*Enmienda_A)+(A3_B_L9*Enmienda_B)+(A3_C_L9*Enmienda_C)+(A3_D_L9*Enmienda_D)+(A3_Y_L9*Enmienda_Y))*Inflación_3</f>
        <v>0</v>
      </c>
      <c r="W18" s="101">
        <f>SUMIFS('9'!$E:$E,'9'!$A:$A,Año_Inicial+2,'9'!$B:$B,'12'!V$4,'9'!$D:$D,"Aplicación de enmiendas")</f>
        <v>0</v>
      </c>
      <c r="X18" s="101">
        <f>((A3_A_L10*Enmienda_A)+(A3_B_L10*Enmienda_B)+(A3_C_L10*Enmienda_C)+(A3_D_L10*Enmienda_D)+(A3_Y_L10*Enmienda_Y))*Inflación_3</f>
        <v>0</v>
      </c>
      <c r="Y18" s="101">
        <f>SUMIFS('9'!$E:$E,'9'!$A:$A,Año_Inicial+2,'9'!$B:$B,'12'!X$4,'9'!$D:$D,"Aplicación de enmiendas")</f>
        <v>0</v>
      </c>
      <c r="Z18" s="101">
        <f>((A3_A_L11*Enmienda_A)+(A3_B_L11*Enmienda_B)+(A3_C_L11*Enmienda_C)+(A3_D_L11*Enmienda_D)+(A3_Y_L11*Enmienda_Y))*Inflación_3</f>
        <v>0</v>
      </c>
      <c r="AA18" s="101">
        <f>SUMIFS('9'!$E:$E,'9'!$A:$A,Año_Inicial+2,'9'!$B:$B,'12'!Z$4,'9'!$D:$D,"Aplicación de enmiendas")</f>
        <v>0</v>
      </c>
      <c r="AB18" s="101">
        <f>((A3_A_L12*Enmienda_A)+(A3_B_L12*Enmienda_B)+(A3_C_L12*Enmienda_C)+(A3_D_L12*Enmienda_D)+(A3_Y_L12*Enmienda_Y))*Inflación_3</f>
        <v>0</v>
      </c>
      <c r="AC18" s="101">
        <f>SUMIFS('9'!$E:$E,'9'!$A:$A,Año_Inicial+2,'9'!$B:$B,'12'!AB$4,'9'!$D:$D,"Aplicación de enmiendas")</f>
        <v>0</v>
      </c>
      <c r="AD18" s="101">
        <f>((A3_A_L13*Enmienda_A)+(A3_B_L13*Enmienda_B)+(A3_C_L13*Enmienda_C)+(A3_D_L13*Enmienda_D)+(A3_Y_L13*Enmienda_Y))*Inflación_3</f>
        <v>0</v>
      </c>
      <c r="AE18" s="101">
        <f>SUMIFS('9'!$E:$E,'9'!$A:$A,Año_Inicial+2,'9'!$B:$B,'12'!AD$4,'9'!$D:$D,"Aplicación de enmiendas")</f>
        <v>0</v>
      </c>
      <c r="AF18" s="101">
        <f>((A3_A_L14*Enmienda_A)+(A3_B_L14*Enmienda_B)+(A3_C_L14*Enmienda_C)+(A3_D_L14*Enmienda_D)+(A3_Y_L14*Enmienda_Y))*Inflación_3</f>
        <v>0</v>
      </c>
      <c r="AG18" s="101">
        <f>SUMIFS('9'!$E:$E,'9'!$A:$A,Año_Inicial+2,'9'!$B:$B,'12'!AF$4,'9'!$D:$D,"Aplicación de enmiendas")</f>
        <v>0</v>
      </c>
      <c r="AH18" s="101">
        <f>((A3_A_L15*Enmienda_A)+(A3_B_L15*Enmienda_B)+(A3_C_L15*Enmienda_C)+(A3_D_L15*Enmienda_D)+(A3_Y_L15*Enmienda_Y))*Inflación_3</f>
        <v>0</v>
      </c>
      <c r="AI18" s="101">
        <f>SUMIFS('9'!$E:$E,'9'!$A:$A,Año_Inicial+2,'9'!$B:$B,'12'!AH$4,'9'!$D:$D,"Aplicación de enmiendas")</f>
        <v>0</v>
      </c>
      <c r="AJ18" s="101">
        <f>((A3_A_L16*Enmienda_A)+(A3_B_L16*Enmienda_B)+(A3_C_L16*Enmienda_C)+(A3_D_L16*Enmienda_D)+(A3_Y_L16*Enmienda_Y))*Inflación_3</f>
        <v>0</v>
      </c>
      <c r="AK18" s="101">
        <f>SUMIFS('9'!$E:$E,'9'!$A:$A,Año_Inicial+2,'9'!$B:$B,'12'!AJ$4,'9'!$D:$D,"Aplicación de enmiendas")</f>
        <v>0</v>
      </c>
      <c r="AL18" s="101">
        <f>((A3_A_L17*Enmienda_A)+(A3_B_L17*Enmienda_B)+(A3_C_L17*Enmienda_C)+(A3_D_L17*Enmienda_D)+(A3_Y_L17*Enmienda_Y))*Inflación_3</f>
        <v>0</v>
      </c>
      <c r="AM18" s="101">
        <f>SUMIFS('9'!$E:$E,'9'!$A:$A,Año_Inicial+2,'9'!$B:$B,'12'!AL$4,'9'!$D:$D,"Aplicación de enmiendas")</f>
        <v>0</v>
      </c>
      <c r="AN18" s="101">
        <f>((A3_A_L18*Enmienda_A)+(A3_B_L18*Enmienda_B)+(A3_C_L18*Enmienda_C)+(A3_D_L18*Enmienda_D)+(A3_Y_L18*Enmienda_Y))*Inflación_3</f>
        <v>0</v>
      </c>
      <c r="AO18" s="101">
        <f>SUMIFS('9'!$E:$E,'9'!$A:$A,Año_Inicial+2,'9'!$B:$B,'12'!AN$4,'9'!$D:$D,"Aplicación de enmiendas")</f>
        <v>0</v>
      </c>
      <c r="AP18" s="101">
        <f>((A3_A_L19*Enmienda_A)+(A3_B_L19*Enmienda_B)+(A3_C_L19*Enmienda_C)+(A3_D_L19*Enmienda_D)+(A3_Y_L19*Enmienda_Y))*Inflación_3</f>
        <v>0</v>
      </c>
      <c r="AQ18" s="101">
        <f>SUMIFS('9'!$E:$E,'9'!$A:$A,Año_Inicial+2,'9'!$B:$B,'12'!AP$4,'9'!$D:$D,"Aplicación de enmiendas")</f>
        <v>0</v>
      </c>
      <c r="AR18" s="101">
        <f>((A3_A_L20*Enmienda_A)+(A3_B_L20*Enmienda_B)+(A3_C_L20*Enmienda_C)+(A3_D_L20*Enmienda_D)+(A3_Y_L20*Enmienda_Y))*Inflación_3</f>
        <v>0</v>
      </c>
      <c r="AS18" s="101">
        <f>SUMIFS('9'!$E:$E,'9'!$A:$A,Año_Inicial+2,'9'!$B:$B,'12'!AR$4,'9'!$D:$D,"Aplicación de enmiendas")</f>
        <v>0</v>
      </c>
      <c r="AT18" s="101">
        <f>((A3_A_L21*Enmienda_A)+(A3_B_L21*Enmienda_B)+(A3_C_L21*Enmienda_C)+(A3_D_L21*Enmienda_D)+(A3_Y_L21*Enmienda_Y))*Inflación_3</f>
        <v>0</v>
      </c>
      <c r="AU18" s="101">
        <f>SUMIFS('9'!$E:$E,'9'!$A:$A,Año_Inicial+2,'9'!$B:$B,'12'!AT$4,'9'!$D:$D,"Aplicación de enmiendas")</f>
        <v>0</v>
      </c>
      <c r="AV18" s="101">
        <f>((A3_A_L22*Enmienda_A)+(A3_B_L22*Enmienda_B)+(A3_C_L22*Enmienda_C)+(A3_D_L22*Enmienda_D)+(A3_Y_L22*Enmienda_Y))*Inflación_3</f>
        <v>0</v>
      </c>
      <c r="AW18" s="101">
        <f>SUMIFS('9'!$E:$E,'9'!$A:$A,Año_Inicial+2,'9'!$B:$B,'12'!AV$4,'9'!$D:$D,"Aplicación de enmiendas")</f>
        <v>0</v>
      </c>
      <c r="AX18" s="101">
        <f>((A3_A_L23*Enmienda_A)+(A3_B_L23*Enmienda_B)+(A3_C_L23*Enmienda_C)+(A3_D_L23*Enmienda_D)+(A3_Y_L23*Enmienda_Y))*Inflación_3</f>
        <v>0</v>
      </c>
      <c r="AY18" s="101">
        <f>SUMIFS('9'!$E:$E,'9'!$A:$A,Año_Inicial+2,'9'!$B:$B,'12'!AX$4,'9'!$D:$D,"Aplicación de enmiendas")</f>
        <v>0</v>
      </c>
      <c r="AZ18" s="101">
        <f>((A3_A_L24*Enmienda_A)+(A3_B_L24*Enmienda_B)+(A3_C_L24*Enmienda_C)+(A3_D_L24*Enmienda_D)+(A3_Y_L24*Enmienda_Y))*Inflación_3</f>
        <v>0</v>
      </c>
      <c r="BA18" s="101">
        <f>SUMIFS('9'!$E:$E,'9'!$A:$A,Año_Inicial+2,'9'!$B:$B,'12'!AZ$4,'9'!$D:$D,"Aplicación de enmiendas")</f>
        <v>0</v>
      </c>
      <c r="BB18" s="101">
        <f>((A3_A_L25*Enmienda_A)+(A3_B_L25*Enmienda_B)+(A3_C_L25*Enmienda_C)+(A3_D_L25*Enmienda_D)+(A3_Y_L25*Enmienda_Y))*Inflación_3</f>
        <v>0</v>
      </c>
      <c r="BC18" s="101">
        <f>SUMIFS('9'!$E:$E,'9'!$A:$A,Año_Inicial+2,'9'!$B:$B,'12'!BB$4,'9'!$D:$D,"Aplicación de enmiendas")</f>
        <v>0</v>
      </c>
      <c r="BD18" s="101">
        <f>((A3_A_L26*Enmienda_A)+(A3_B_L26*Enmienda_B)+(A3_C_L26*Enmienda_C)+(A3_D_L26*Enmienda_D)+(A3_Y_L26*Enmienda_Y))*Inflación_3</f>
        <v>0</v>
      </c>
      <c r="BE18" s="101">
        <f>SUMIFS('9'!$E:$E,'9'!$A:$A,Año_Inicial+2,'9'!$B:$B,'12'!BD$4,'9'!$D:$D,"Aplicación de enmiendas")</f>
        <v>0</v>
      </c>
      <c r="BF18" s="101">
        <f>((A3_A_L27*Enmienda_A)+(A3_B_L27*Enmienda_B)+(A3_C_L27*Enmienda_C)+(A3_D_L27*Enmienda_D)+(A3_Y_L27*Enmienda_Y))*Inflación_3</f>
        <v>0</v>
      </c>
      <c r="BG18" s="101">
        <f>SUMIFS('9'!$E:$E,'9'!$A:$A,Año_Inicial+2,'9'!$B:$B,'12'!BF$4,'9'!$D:$D,"Aplicación de enmiendas")</f>
        <v>0</v>
      </c>
      <c r="BH18" s="101">
        <f>((A3_A_L28*Enmienda_A)+(A3_B_L28*Enmienda_B)+(A3_C_L28*Enmienda_C)+(A3_D_L28*Enmienda_D)+(A3_Y_L28*Enmienda_Y))*Inflación_3</f>
        <v>0</v>
      </c>
      <c r="BI18" s="101">
        <f>SUMIFS('9'!$E:$E,'9'!$A:$A,Año_Inicial+2,'9'!$B:$B,'12'!BH$4,'9'!$D:$D,"Aplicación de enmiendas")</f>
        <v>0</v>
      </c>
      <c r="BJ18" s="101">
        <f>((A3_A_L29*Enmienda_A)+(A3_B_L29*Enmienda_B)+(A3_C_L29*Enmienda_C)+(A3_D_L29*Enmienda_D)+(A3_Y_L29*Enmienda_Y))*Inflación_3</f>
        <v>0</v>
      </c>
      <c r="BK18" s="101">
        <f>SUMIFS('9'!$E:$E,'9'!$A:$A,Año_Inicial+2,'9'!$B:$B,'12'!BJ$4,'9'!$D:$D,"Aplicación de enmiendas")</f>
        <v>0</v>
      </c>
      <c r="BL18" s="101">
        <f>((A3_A_L30*Enmienda_A)+(A3_B_L30*Enmienda_B)+(A3_C_L30*Enmienda_C)+(A3_D_L30*Enmienda_D)+(A3_Y_L30*Enmienda_Y))*Inflación_3</f>
        <v>0</v>
      </c>
      <c r="BM18" s="101">
        <f>SUMIFS('9'!$E:$E,'9'!$A:$A,Año_Inicial+2,'9'!$B:$B,'12'!BL$4,'9'!$D:$D,"Aplicación de enmiendas")</f>
        <v>0</v>
      </c>
      <c r="BN18" s="101">
        <f>((A3_A_L31*Enmienda_A)+(A3_B_L31*Enmienda_B)+(A3_C_L31*Enmienda_C)+(A3_D_L31*Enmienda_D)+(A3_Y_L31*Enmienda_Y))*Inflación_3</f>
        <v>0</v>
      </c>
      <c r="BO18" s="101">
        <f>SUMIFS('9'!$E:$E,'9'!$A:$A,Año_Inicial+2,'9'!$B:$B,'12'!BN$4,'9'!$D:$D,"Aplicación de enmiendas")</f>
        <v>0</v>
      </c>
      <c r="BP18" s="101">
        <f>((A3_A_L32*Enmienda_A)+(A3_B_L32*Enmienda_B)+(A3_C_L32*Enmienda_C)+(A3_D_L32*Enmienda_D)+(A3_Y_L32*Enmienda_Y))*Inflación_3</f>
        <v>0</v>
      </c>
      <c r="BQ18" s="101">
        <f>SUMIFS('9'!$E:$E,'9'!$A:$A,Año_Inicial+2,'9'!$B:$B,'12'!BP$4,'9'!$D:$D,"Aplicación de enmiendas")</f>
        <v>0</v>
      </c>
      <c r="BR18" s="101">
        <f>((A3_A_L33*Enmienda_A)+(A3_B_L33*Enmienda_B)+(A3_C_L33*Enmienda_C)+(A3_D_L33*Enmienda_D)+(A3_Y_L33*Enmienda_Y))*Inflación_3</f>
        <v>0</v>
      </c>
      <c r="BS18" s="101">
        <f>SUMIFS('9'!$E:$E,'9'!$A:$A,Año_Inicial+2,'9'!$B:$B,'12'!BR$4,'9'!$D:$D,"Aplicación de enmiendas")</f>
        <v>0</v>
      </c>
      <c r="BT18" s="101">
        <f>((A3_A_L34*Enmienda_A)+(A3_B_L34*Enmienda_B)+(A3_C_L34*Enmienda_C)+(A3_D_L34*Enmienda_D)+(A3_Y_L34*Enmienda_Y))*Inflación_3</f>
        <v>0</v>
      </c>
      <c r="BU18" s="101">
        <f>SUMIFS('9'!$E:$E,'9'!$A:$A,Año_Inicial+2,'9'!$B:$B,'12'!BT$4,'9'!$D:$D,"Aplicación de enmiendas")</f>
        <v>0</v>
      </c>
      <c r="BV18" s="101">
        <f>((A3_A_L35*Enmienda_A)+(A3_B_L35*Enmienda_B)+(A3_C_L35*Enmienda_C)+(A3_D_L35*Enmienda_D)+(A3_Y_L35*Enmienda_Y))*Inflación_3</f>
        <v>0</v>
      </c>
      <c r="BW18" s="101">
        <f>SUMIFS('9'!$E:$E,'9'!$A:$A,Año_Inicial+2,'9'!$B:$B,'12'!BV$4,'9'!$D:$D,"Aplicación de enmiendas")</f>
        <v>0</v>
      </c>
      <c r="BX18" s="101">
        <f>((A3_A_L36*Enmienda_A)+(A3_B_L36*Enmienda_B)+(A3_C_L36*Enmienda_C)+(A3_D_L36*Enmienda_D)+(A3_Y_L36*Enmienda_Y))*Inflación_3</f>
        <v>0</v>
      </c>
      <c r="BY18" s="101">
        <f>SUMIFS('9'!$E:$E,'9'!$A:$A,Año_Inicial+2,'9'!$B:$B,'12'!BX$4,'9'!$D:$D,"Aplicación de enmiendas")</f>
        <v>0</v>
      </c>
      <c r="BZ18" s="101">
        <f>((A3_A_L37*Enmienda_A)+(A3_B_L37*Enmienda_B)+(A3_C_L37*Enmienda_C)+(A3_D_L37*Enmienda_D)+(A3_Y_L37*Enmienda_Y))*Inflación_3</f>
        <v>0</v>
      </c>
      <c r="CA18" s="101">
        <f>SUMIFS('9'!$E:$E,'9'!$A:$A,Año_Inicial+2,'9'!$B:$B,'12'!BZ$4,'9'!$D:$D,"Aplicación de enmiendas")</f>
        <v>0</v>
      </c>
      <c r="CB18" s="101">
        <f>((A3_A_L38*Enmienda_A)+(A3_B_L38*Enmienda_B)+(A3_C_L38*Enmienda_C)+(A3_D_L38*Enmienda_D)+(A3_Y_L38*Enmienda_Y))*Inflación_3</f>
        <v>0</v>
      </c>
      <c r="CC18" s="101">
        <f>SUMIFS('9'!$E:$E,'9'!$A:$A,Año_Inicial+2,'9'!$B:$B,'12'!CB$4,'9'!$D:$D,"Aplicación de enmiendas")</f>
        <v>0</v>
      </c>
      <c r="CD18" s="101">
        <f>((A3_A_L39*Enmienda_A)+(A3_B_L39*Enmienda_B)+(A3_C_L39*Enmienda_C)+(A3_D_L39*Enmienda_D)+(A3_Y_L39*Enmienda_Y))*Inflación_3</f>
        <v>0</v>
      </c>
      <c r="CE18" s="101">
        <f>SUMIFS('9'!$E:$E,'9'!$A:$A,Año_Inicial+2,'9'!$B:$B,'12'!CD$4,'9'!$D:$D,"Aplicación de enmiendas")</f>
        <v>0</v>
      </c>
      <c r="CF18" s="101">
        <f>((A3_A_L40*Enmienda_A)+(A3_B_L40*Enmienda_B)+(A3_C_L40*Enmienda_C)+(A3_D_L40*Enmienda_D)+(A3_Y_L40*Enmienda_Y))*Inflación_3</f>
        <v>0</v>
      </c>
      <c r="CG18" s="101">
        <f>SUMIFS('9'!$E:$E,'9'!$A:$A,Año_Inicial+2,'9'!$B:$B,'12'!CF$4,'9'!$D:$D,"Aplicación de enmiendas")</f>
        <v>0</v>
      </c>
      <c r="CH18" s="473"/>
      <c r="CI18" s="101">
        <f>Plantas_A_A3*Enmienda_A*Inflación_3</f>
        <v>0</v>
      </c>
      <c r="CJ18" s="101">
        <f>Plantas_B_A3*Enmienda_B</f>
        <v>0</v>
      </c>
      <c r="CK18" s="101">
        <f>Plantas_C_A3*Enmienda_C</f>
        <v>0</v>
      </c>
      <c r="CL18" s="101">
        <f>Plantas_D_A3*Enmienda_D</f>
        <v>0</v>
      </c>
      <c r="CM18" s="101"/>
      <c r="CN18" s="101">
        <f>Plantas_Y_A3*Enmienda_Y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SUMIFS('9'!$E:$E,'9'!$A:$A,Año_Inicial+2,'9'!$D:$D,"Fertilizante químico")</f>
        <v>0</v>
      </c>
      <c r="D19" s="100">
        <f t="shared" si="45"/>
        <v>0</v>
      </c>
      <c r="E19" s="490"/>
      <c r="F19" s="101">
        <f>((A3_A_L1*Fertilizante_A)+(A3_B_L1*Fertilizante_B)+(A3_C_L1*Fertilizante_C)+(A3_D_L1*Fertilizante_D)+(A3_Y_L1*Fertilizante_Y))*Inflación_3</f>
        <v>0</v>
      </c>
      <c r="G19" s="101">
        <f>SUMIFS('9'!$E:$E,'9'!$A:$A,Año_Inicial+2,'9'!$B:$B,'12'!F$4,'9'!$D:$D,"Fertilizante químico")</f>
        <v>0</v>
      </c>
      <c r="H19" s="101">
        <f>((A3_A_L2*Fertilizante_A)+(A3_B_L2*Fertilizante_B)+(A3_C_L2*Fertilizante_C)+(A3_D_L2*Fertilizante_D)+(A3_Y_L2*Fertilizante_Y))*Inflación_3</f>
        <v>0</v>
      </c>
      <c r="I19" s="101">
        <f>SUMIFS('9'!$E:$E,'9'!$A:$A,Año_Inicial+2,'9'!$B:$B,'12'!H$4,'9'!$D:$D,"Fertilizante químico")</f>
        <v>0</v>
      </c>
      <c r="J19" s="101">
        <f>((A3_A_L3*Fertilizante_A)+(A3_B_L3*Fertilizante_B)+(A3_C_L3*Fertilizante_C)+(A3_D_L3*Fertilizante_D)+(A3_Y_L3*Fertilizante_Y))*Inflación_3</f>
        <v>0</v>
      </c>
      <c r="K19" s="101">
        <f>SUMIFS('9'!$E:$E,'9'!$A:$A,Año_Inicial+2,'9'!$B:$B,'12'!J$4,'9'!$D:$D,"Fertilizante químico")</f>
        <v>0</v>
      </c>
      <c r="L19" s="101">
        <f>((A3_A_L4*Fertilizante_A)+(A3_B_L4*Fertilizante_B)+(A3_C_L4*Fertilizante_C)+(A3_D_L4*Fertilizante_D)+(A3_Y_L4*Fertilizante_Y))*Inflación_3</f>
        <v>0</v>
      </c>
      <c r="M19" s="101">
        <f>SUMIFS('9'!$E:$E,'9'!$A:$A,Año_Inicial+2,'9'!$B:$B,'12'!L$4,'9'!$D:$D,"Fertilizante químico")</f>
        <v>0</v>
      </c>
      <c r="N19" s="101">
        <f>((A3_A_L5*Fertilizante_A)+(A3_B_L5*Fertilizante_B)+(A3_C_L5*Fertilizante_C)+(A3_D_L5*Fertilizante_D)+(A3_Y_L5*Fertilizante_Y))*Inflación_3</f>
        <v>0</v>
      </c>
      <c r="O19" s="101">
        <f>SUMIFS('9'!$E:$E,'9'!$A:$A,Año_Inicial+2,'9'!$B:$B,'12'!N$4,'9'!$D:$D,"Fertilizante químico")</f>
        <v>0</v>
      </c>
      <c r="P19" s="101">
        <f>((A3_A_L6*Fertilizante_A)+(A3_B_L6*Fertilizante_B)+(A3_C_L6*Fertilizante_C)+(A3_D_L6*Fertilizante_D)+(A3_Y_L6*Fertilizante_Y))*Inflación_3</f>
        <v>0</v>
      </c>
      <c r="Q19" s="101">
        <f>SUMIFS('9'!$E:$E,'9'!$A:$A,Año_Inicial+2,'9'!$B:$B,'12'!P$4,'9'!$D:$D,"Fertilizante químico")</f>
        <v>0</v>
      </c>
      <c r="R19" s="101">
        <f>((A3_A_L7*Fertilizante_A)+(A3_B_L7*Fertilizante_B)+(A3_C_L7*Fertilizante_C)+(A3_D_L7*Fertilizante_D)+(A3_Y_L7*Fertilizante_Y))*Inflación_3</f>
        <v>0</v>
      </c>
      <c r="S19" s="101">
        <f>SUMIFS('9'!$E:$E,'9'!$A:$A,Año_Inicial+2,'9'!$B:$B,'12'!R$4,'9'!$D:$D,"Fertilizante químico")</f>
        <v>0</v>
      </c>
      <c r="T19" s="101">
        <f>((A3_A_L8*Fertilizante_A)+(A3_B_L8*Fertilizante_B)+(A3_C_L8*Fertilizante_C)+(A3_D_L8*Fertilizante_D)+(A3_Y_L8*Fertilizante_Y))*Inflación_3</f>
        <v>0</v>
      </c>
      <c r="U19" s="101">
        <f>SUMIFS('9'!$E:$E,'9'!$A:$A,Año_Inicial+2,'9'!$B:$B,'12'!T$4,'9'!$D:$D,"Fertilizante químico")</f>
        <v>0</v>
      </c>
      <c r="V19" s="101">
        <f>((A3_A_L9*Fertilizante_A)+(A3_B_L9*Fertilizante_B)+(A3_C_L9*Fertilizante_C)+(A3_D_L9*Fertilizante_D)+(A3_Y_L9*Fertilizante_Y))*Inflación_3</f>
        <v>0</v>
      </c>
      <c r="W19" s="101">
        <f>SUMIFS('9'!$E:$E,'9'!$A:$A,Año_Inicial+2,'9'!$B:$B,'12'!V$4,'9'!$D:$D,"Fertilizante químico")</f>
        <v>0</v>
      </c>
      <c r="X19" s="101">
        <f>((A3_A_L10*Fertilizante_A)+(A3_B_L10*Fertilizante_B)+(A3_C_L10*Fertilizante_C)+(A3_D_L10*Fertilizante_D)+(A3_Y_L10*Fertilizante_Y))*Inflación_3</f>
        <v>0</v>
      </c>
      <c r="Y19" s="101">
        <f>SUMIFS('9'!$E:$E,'9'!$A:$A,Año_Inicial+2,'9'!$B:$B,'12'!X$4,'9'!$D:$D,"Fertilizante químico")</f>
        <v>0</v>
      </c>
      <c r="Z19" s="101">
        <f>((A3_A_L11*Fertilizante_A)+(A3_B_L11*Fertilizante_B)+(A3_C_L11*Fertilizante_C)+(A3_D_L11*Fertilizante_D)+(A3_Y_L11*Fertilizante_Y))*Inflación_3</f>
        <v>0</v>
      </c>
      <c r="AA19" s="101">
        <f>SUMIFS('9'!$E:$E,'9'!$A:$A,Año_Inicial+2,'9'!$B:$B,'12'!Z$4,'9'!$D:$D,"Fertilizante químico")</f>
        <v>0</v>
      </c>
      <c r="AB19" s="101">
        <f>((A3_A_L12*Fertilizante_A)+(A3_B_L12*Fertilizante_B)+(A3_C_L12*Fertilizante_C)+(A3_D_L12*Fertilizante_D)+(A3_Y_L12*Fertilizante_Y))*Inflación_3</f>
        <v>0</v>
      </c>
      <c r="AC19" s="101">
        <f>SUMIFS('9'!$E:$E,'9'!$A:$A,Año_Inicial+2,'9'!$B:$B,'12'!AB$4,'9'!$D:$D,"Fertilizante químico")</f>
        <v>0</v>
      </c>
      <c r="AD19" s="101">
        <f>((A3_A_L13*Fertilizante_A)+(A3_B_L13*Fertilizante_B)+(A3_C_L13*Fertilizante_C)+(A3_D_L13*Fertilizante_D)+(A3_Y_L13*Fertilizante_Y))*Inflación_3</f>
        <v>0</v>
      </c>
      <c r="AE19" s="101">
        <f>SUMIFS('9'!$E:$E,'9'!$A:$A,Año_Inicial+2,'9'!$B:$B,'12'!AD$4,'9'!$D:$D,"Fertilizante químico")</f>
        <v>0</v>
      </c>
      <c r="AF19" s="101">
        <f>((A3_A_L14*Fertilizante_A)+(A3_B_L14*Fertilizante_B)+(A3_C_L14*Fertilizante_C)+(A3_D_L14*Fertilizante_D)+(A3_Y_L14*Fertilizante_Y))*Inflación_3</f>
        <v>0</v>
      </c>
      <c r="AG19" s="101">
        <f>SUMIFS('9'!$E:$E,'9'!$A:$A,Año_Inicial+2,'9'!$B:$B,'12'!AF$4,'9'!$D:$D,"Fertilizante químico")</f>
        <v>0</v>
      </c>
      <c r="AH19" s="101">
        <f>((A3_A_L15*Fertilizante_A)+(A3_B_L15*Fertilizante_B)+(A3_C_L15*Fertilizante_C)+(A3_D_L15*Fertilizante_D)+(A3_Y_L15*Fertilizante_Y))*Inflación_3</f>
        <v>0</v>
      </c>
      <c r="AI19" s="101">
        <f>SUMIFS('9'!$E:$E,'9'!$A:$A,Año_Inicial+2,'9'!$B:$B,'12'!AH$4,'9'!$D:$D,"Fertilizante químico")</f>
        <v>0</v>
      </c>
      <c r="AJ19" s="101">
        <f>((A3_A_L16*Fertilizante_A)+(A3_B_L16*Fertilizante_B)+(A3_C_L16*Fertilizante_C)+(A3_D_L16*Fertilizante_D)+(A3_Y_L16*Fertilizante_Y))*Inflación_3</f>
        <v>0</v>
      </c>
      <c r="AK19" s="101">
        <f>SUMIFS('9'!$E:$E,'9'!$A:$A,Año_Inicial+2,'9'!$B:$B,'12'!AJ$4,'9'!$D:$D,"Fertilizante químico")</f>
        <v>0</v>
      </c>
      <c r="AL19" s="101">
        <f>((A3_A_L17*Fertilizante_A)+(A3_B_L17*Fertilizante_B)+(A3_C_L17*Fertilizante_C)+(A3_D_L17*Fertilizante_D)+(A3_Y_L17*Fertilizante_Y))*Inflación_3</f>
        <v>0</v>
      </c>
      <c r="AM19" s="101">
        <f>SUMIFS('9'!$E:$E,'9'!$A:$A,Año_Inicial+2,'9'!$B:$B,'12'!AL$4,'9'!$D:$D,"Fertilizante químico")</f>
        <v>0</v>
      </c>
      <c r="AN19" s="101">
        <f>((A3_A_L18*Fertilizante_A)+(A3_B_L18*Fertilizante_B)+(A3_C_L18*Fertilizante_C)+(A3_D_L18*Fertilizante_D)+(A3_Y_L18*Fertilizante_Y))*Inflación_3</f>
        <v>0</v>
      </c>
      <c r="AO19" s="101">
        <f>SUMIFS('9'!$E:$E,'9'!$A:$A,Año_Inicial+2,'9'!$B:$B,'12'!AN$4,'9'!$D:$D,"Fertilizante químico")</f>
        <v>0</v>
      </c>
      <c r="AP19" s="101">
        <f>((A3_A_L19*Fertilizante_A)+(A3_B_L19*Fertilizante_B)+(A3_C_L19*Fertilizante_C)+(A3_D_L19*Fertilizante_D)+(A3_Y_L19*Fertilizante_Y))*Inflación_3</f>
        <v>0</v>
      </c>
      <c r="AQ19" s="101">
        <f>SUMIFS('9'!$E:$E,'9'!$A:$A,Año_Inicial+2,'9'!$B:$B,'12'!AP$4,'9'!$D:$D,"Fertilizante químico")</f>
        <v>0</v>
      </c>
      <c r="AR19" s="101">
        <f>((A3_A_L20*Fertilizante_A)+(A3_B_L20*Fertilizante_B)+(A3_C_L20*Fertilizante_C)+(A3_D_L20*Fertilizante_D)+(A3_Y_L20*Fertilizante_Y))*Inflación_3</f>
        <v>0</v>
      </c>
      <c r="AS19" s="101">
        <f>SUMIFS('9'!$E:$E,'9'!$A:$A,Año_Inicial+2,'9'!$B:$B,'12'!AR$4,'9'!$D:$D,"Fertilizante químico")</f>
        <v>0</v>
      </c>
      <c r="AT19" s="101">
        <f>((A3_A_L21*Fertilizante_A)+(A3_B_L21*Fertilizante_B)+(A3_C_L21*Fertilizante_C)+(A3_D_L21*Fertilizante_D)+(A3_Y_L21*Fertilizante_Y))*Inflación_3</f>
        <v>0</v>
      </c>
      <c r="AU19" s="101">
        <f>SUMIFS('9'!$E:$E,'9'!$A:$A,Año_Inicial+2,'9'!$B:$B,'12'!AT$4,'9'!$D:$D,"Fertilizante químico")</f>
        <v>0</v>
      </c>
      <c r="AV19" s="101">
        <f>((A3_A_L22*Fertilizante_A)+(A3_B_L22*Fertilizante_B)+(A3_C_L22*Fertilizante_C)+(A3_D_L22*Fertilizante_D)+(A3_Y_L22*Fertilizante_Y))*Inflación_3</f>
        <v>0</v>
      </c>
      <c r="AW19" s="101">
        <f>SUMIFS('9'!$E:$E,'9'!$A:$A,Año_Inicial+2,'9'!$B:$B,'12'!AV$4,'9'!$D:$D,"Fertilizante químico")</f>
        <v>0</v>
      </c>
      <c r="AX19" s="101">
        <f>((A3_A_L23*Fertilizante_A)+(A3_B_L23*Fertilizante_B)+(A3_C_L23*Fertilizante_C)+(A3_D_L23*Fertilizante_D)+(A3_Y_L23*Fertilizante_Y))*Inflación_3</f>
        <v>0</v>
      </c>
      <c r="AY19" s="101">
        <f>SUMIFS('9'!$E:$E,'9'!$A:$A,Año_Inicial+2,'9'!$B:$B,'12'!AX$4,'9'!$D:$D,"Fertilizante químico")</f>
        <v>0</v>
      </c>
      <c r="AZ19" s="101">
        <f>((A3_A_L24*Fertilizante_A)+(A3_B_L24*Fertilizante_B)+(A3_C_L24*Fertilizante_C)+(A3_D_L24*Fertilizante_D)+(A3_Y_L24*Fertilizante_Y))*Inflación_3</f>
        <v>0</v>
      </c>
      <c r="BA19" s="101">
        <f>SUMIFS('9'!$E:$E,'9'!$A:$A,Año_Inicial+2,'9'!$B:$B,'12'!AZ$4,'9'!$D:$D,"Fertilizante químico")</f>
        <v>0</v>
      </c>
      <c r="BB19" s="101">
        <f>((A3_A_L25*Fertilizante_A)+(A3_B_L25*Fertilizante_B)+(A3_C_L25*Fertilizante_C)+(A3_D_L25*Fertilizante_D)+(A3_Y_L25*Fertilizante_Y))*Inflación_3</f>
        <v>0</v>
      </c>
      <c r="BC19" s="101">
        <f>SUMIFS('9'!$E:$E,'9'!$A:$A,Año_Inicial+2,'9'!$B:$B,'12'!BB$4,'9'!$D:$D,"Fertilizante químico")</f>
        <v>0</v>
      </c>
      <c r="BD19" s="101">
        <f>((A3_A_L26*Fertilizante_A)+(A3_B_L26*Fertilizante_B)+(A3_C_L26*Fertilizante_C)+(A3_D_L26*Fertilizante_D)+(A3_Y_L26*Fertilizante_Y))*Inflación_3</f>
        <v>0</v>
      </c>
      <c r="BE19" s="101">
        <f>SUMIFS('9'!$E:$E,'9'!$A:$A,Año_Inicial+2,'9'!$B:$B,'12'!BD$4,'9'!$D:$D,"Fertilizante químico")</f>
        <v>0</v>
      </c>
      <c r="BF19" s="101">
        <f>((A3_A_L27*Fertilizante_A)+(A3_B_L27*Fertilizante_B)+(A3_C_L27*Fertilizante_C)+(A3_D_L27*Fertilizante_D)+(A3_Y_L27*Fertilizante_Y))*Inflación_3</f>
        <v>0</v>
      </c>
      <c r="BG19" s="101">
        <f>SUMIFS('9'!$E:$E,'9'!$A:$A,Año_Inicial+2,'9'!$B:$B,'12'!BF$4,'9'!$D:$D,"Fertilizante químico")</f>
        <v>0</v>
      </c>
      <c r="BH19" s="101">
        <f>((A3_A_L28*Fertilizante_A)+(A3_B_L28*Fertilizante_B)+(A3_C_L28*Fertilizante_C)+(A3_D_L28*Fertilizante_D)+(A3_Y_L28*Fertilizante_Y))*Inflación_3</f>
        <v>0</v>
      </c>
      <c r="BI19" s="101">
        <f>SUMIFS('9'!$E:$E,'9'!$A:$A,Año_Inicial+2,'9'!$B:$B,'12'!BH$4,'9'!$D:$D,"Fertilizante químico")</f>
        <v>0</v>
      </c>
      <c r="BJ19" s="101">
        <f>((A3_A_L29*Fertilizante_A)+(A3_B_L29*Fertilizante_B)+(A3_C_L29*Fertilizante_C)+(A3_D_L29*Fertilizante_D)+(A3_Y_L29*Fertilizante_Y))*Inflación_3</f>
        <v>0</v>
      </c>
      <c r="BK19" s="101">
        <f>SUMIFS('9'!$E:$E,'9'!$A:$A,Año_Inicial+2,'9'!$B:$B,'12'!BJ$4,'9'!$D:$D,"Fertilizante químico")</f>
        <v>0</v>
      </c>
      <c r="BL19" s="101">
        <f>((A3_A_L30*Fertilizante_A)+(A3_B_L30*Fertilizante_B)+(A3_C_L30*Fertilizante_C)+(A3_D_L30*Fertilizante_D)+(A3_Y_L30*Fertilizante_Y))*Inflación_3</f>
        <v>0</v>
      </c>
      <c r="BM19" s="101">
        <f>SUMIFS('9'!$E:$E,'9'!$A:$A,Año_Inicial+2,'9'!$B:$B,'12'!BL$4,'9'!$D:$D,"Fertilizante químico")</f>
        <v>0</v>
      </c>
      <c r="BN19" s="101">
        <f>((A3_A_L31*Fertilizante_A)+(A3_B_L31*Fertilizante_B)+(A3_C_L31*Fertilizante_C)+(A3_D_L31*Fertilizante_D)+(A3_Y_L31*Fertilizante_Y))*Inflación_3</f>
        <v>0</v>
      </c>
      <c r="BO19" s="101">
        <f>SUMIFS('9'!$E:$E,'9'!$A:$A,Año_Inicial+2,'9'!$B:$B,'12'!BN$4,'9'!$D:$D,"Fertilizante químico")</f>
        <v>0</v>
      </c>
      <c r="BP19" s="101">
        <f>((A3_A_L32*Fertilizante_A)+(A3_B_L32*Fertilizante_B)+(A3_C_L32*Fertilizante_C)+(A3_D_L32*Fertilizante_D)+(A3_Y_L32*Fertilizante_Y))*Inflación_3</f>
        <v>0</v>
      </c>
      <c r="BQ19" s="101">
        <f>SUMIFS('9'!$E:$E,'9'!$A:$A,Año_Inicial+2,'9'!$B:$B,'12'!BP$4,'9'!$D:$D,"Fertilizante químico")</f>
        <v>0</v>
      </c>
      <c r="BR19" s="101">
        <f>((A3_A_L33*Fertilizante_A)+(A3_B_L33*Fertilizante_B)+(A3_C_L33*Fertilizante_C)+(A3_D_L33*Fertilizante_D)+(A3_Y_L33*Fertilizante_Y))*Inflación_3</f>
        <v>0</v>
      </c>
      <c r="BS19" s="101">
        <f>SUMIFS('9'!$E:$E,'9'!$A:$A,Año_Inicial+2,'9'!$B:$B,'12'!BR$4,'9'!$D:$D,"Fertilizante químico")</f>
        <v>0</v>
      </c>
      <c r="BT19" s="101">
        <f>((A3_A_L34*Fertilizante_A)+(A3_B_L34*Fertilizante_B)+(A3_C_L34*Fertilizante_C)+(A3_D_L34*Fertilizante_D)+(A3_Y_L34*Fertilizante_Y))*Inflación_3</f>
        <v>0</v>
      </c>
      <c r="BU19" s="101">
        <f>SUMIFS('9'!$E:$E,'9'!$A:$A,Año_Inicial+2,'9'!$B:$B,'12'!BT$4,'9'!$D:$D,"Fertilizante químico")</f>
        <v>0</v>
      </c>
      <c r="BV19" s="101">
        <f>((A3_A_L35*Fertilizante_A)+(A3_B_L35*Fertilizante_B)+(A3_C_L35*Fertilizante_C)+(A3_D_L35*Fertilizante_D)+(A3_Y_L35*Fertilizante_Y))*Inflación_3</f>
        <v>0</v>
      </c>
      <c r="BW19" s="101">
        <f>SUMIFS('9'!$E:$E,'9'!$A:$A,Año_Inicial+2,'9'!$B:$B,'12'!BV$4,'9'!$D:$D,"Fertilizante químico")</f>
        <v>0</v>
      </c>
      <c r="BX19" s="101">
        <f>((A3_A_L36*Fertilizante_A)+(A3_B_L36*Fertilizante_B)+(A3_C_L36*Fertilizante_C)+(A3_D_L36*Fertilizante_D)+(A3_Y_L36*Fertilizante_Y))*Inflación_3</f>
        <v>0</v>
      </c>
      <c r="BY19" s="101">
        <f>SUMIFS('9'!$E:$E,'9'!$A:$A,Año_Inicial+2,'9'!$B:$B,'12'!BX$4,'9'!$D:$D,"Fertilizante químico")</f>
        <v>0</v>
      </c>
      <c r="BZ19" s="101">
        <f>((A3_A_L37*Fertilizante_A)+(A3_B_L37*Fertilizante_B)+(A3_C_L37*Fertilizante_C)+(A3_D_L37*Fertilizante_D)+(A3_Y_L37*Fertilizante_Y))*Inflación_3</f>
        <v>0</v>
      </c>
      <c r="CA19" s="101">
        <f>SUMIFS('9'!$E:$E,'9'!$A:$A,Año_Inicial+2,'9'!$B:$B,'12'!BZ$4,'9'!$D:$D,"Fertilizante químico")</f>
        <v>0</v>
      </c>
      <c r="CB19" s="101">
        <f>((A3_A_L38*Fertilizante_A)+(A3_B_L38*Fertilizante_B)+(A3_C_L38*Fertilizante_C)+(A3_D_L38*Fertilizante_D)+(A3_Y_L38*Fertilizante_Y))*Inflación_3</f>
        <v>0</v>
      </c>
      <c r="CC19" s="101">
        <f>SUMIFS('9'!$E:$E,'9'!$A:$A,Año_Inicial+2,'9'!$B:$B,'12'!CB$4,'9'!$D:$D,"Fertilizante químico")</f>
        <v>0</v>
      </c>
      <c r="CD19" s="101">
        <f>((A3_A_L39*Fertilizante_A)+(A3_B_L39*Fertilizante_B)+(A3_C_L39*Fertilizante_C)+(A3_D_L39*Fertilizante_D)+(A3_Y_L39*Fertilizante_Y))*Inflación_3</f>
        <v>0</v>
      </c>
      <c r="CE19" s="101">
        <f>SUMIFS('9'!$E:$E,'9'!$A:$A,Año_Inicial+2,'9'!$B:$B,'12'!CD$4,'9'!$D:$D,"Fertilizante químico")</f>
        <v>0</v>
      </c>
      <c r="CF19" s="101">
        <f>((A3_A_L40*Fertilizante_A)+(A3_B_L40*Fertilizante_B)+(A3_C_L40*Fertilizante_C)+(A3_D_L40*Fertilizante_D)+(A3_Y_L40*Fertilizante_Y))*Inflación_3</f>
        <v>0</v>
      </c>
      <c r="CG19" s="101">
        <f>SUMIFS('9'!$E:$E,'9'!$A:$A,Año_Inicial+2,'9'!$B:$B,'12'!CF$4,'9'!$D:$D,"Fertilizante químico")</f>
        <v>0</v>
      </c>
      <c r="CH19" s="473"/>
      <c r="CI19" s="101">
        <f>Plantas_A_A3*Fertilizante_A*Inflación_3</f>
        <v>0</v>
      </c>
      <c r="CJ19" s="101">
        <f>Plantas_B_A3*Fertilizante_B</f>
        <v>0</v>
      </c>
      <c r="CK19" s="101">
        <f>Plantas_C_A3*Fertilizante_C</f>
        <v>0</v>
      </c>
      <c r="CL19" s="101">
        <f>Plantas_D_A3*Fertilizante_D</f>
        <v>0</v>
      </c>
      <c r="CM19" s="101"/>
      <c r="CN19" s="101">
        <f>Plantas_Y_A3*Fertilizante_Y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SUMIFS('9'!$E:$E,'9'!$A:$A,Año_Inicial+2,'9'!$D:$D,"Material de enmienda")</f>
        <v>0</v>
      </c>
      <c r="D20" s="100">
        <f t="shared" si="45"/>
        <v>0</v>
      </c>
      <c r="E20" s="490"/>
      <c r="F20" s="101">
        <f>((A3_A_L1*Enmiendas_A)+(A3_B_L1*Enmiendas_B)+(A3_C_L1*Enmiendas_C)+(A3_D_L1*Enmiendas_D)+(A3_Y_L1*Enmiendas_Y))*Inflación_3</f>
        <v>0</v>
      </c>
      <c r="G20" s="101">
        <f>SUMIFS('9'!$E:$E,'9'!$A:$A,Año_Inicial+2,'9'!$B:$B,'12'!F$4,'9'!$D:$D,"Material de enmienda")</f>
        <v>0</v>
      </c>
      <c r="H20" s="101">
        <f>((A3_A_L2*Enmiendas_A)+(A3_B_L2*Enmiendas_B)+(A3_C_L2*Enmiendas_C)+(A3_D_L2*Enmiendas_D)+(A3_Y_L2*Enmiendas_Y))*Inflación_3</f>
        <v>0</v>
      </c>
      <c r="I20" s="101">
        <f>SUMIFS('9'!$E:$E,'9'!$A:$A,Año_Inicial+2,'9'!$B:$B,'12'!H$4,'9'!$D:$D,"Material de enmienda")</f>
        <v>0</v>
      </c>
      <c r="J20" s="101">
        <f>((A3_A_L3*Enmiendas_A)+(A3_B_L3*Enmiendas_B)+(A3_C_L3*Enmiendas_C)+(A3_D_L3*Enmiendas_D)+(A3_Y_L3*Enmiendas_Y))*Inflación_3</f>
        <v>0</v>
      </c>
      <c r="K20" s="101">
        <f>SUMIFS('9'!$E:$E,'9'!$A:$A,Año_Inicial+2,'9'!$B:$B,'12'!J$4,'9'!$D:$D,"Material de enmienda")</f>
        <v>0</v>
      </c>
      <c r="L20" s="101">
        <f>((A3_A_L4*Enmiendas_A)+(A3_B_L4*Enmiendas_B)+(A3_C_L4*Enmiendas_C)+(A3_D_L4*Enmiendas_D)+(A3_Y_L4*Enmiendas_Y))*Inflación_3</f>
        <v>0</v>
      </c>
      <c r="M20" s="101">
        <f>SUMIFS('9'!$E:$E,'9'!$A:$A,Año_Inicial+2,'9'!$B:$B,'12'!L$4,'9'!$D:$D,"Material de enmienda")</f>
        <v>0</v>
      </c>
      <c r="N20" s="101">
        <f>((A3_A_L5*Enmiendas_A)+(A3_B_L5*Enmiendas_B)+(A3_C_L5*Enmiendas_C)+(A3_D_L5*Enmiendas_D)+(A3_Y_L5*Enmiendas_Y))*Inflación_3</f>
        <v>0</v>
      </c>
      <c r="O20" s="101">
        <f>SUMIFS('9'!$E:$E,'9'!$A:$A,Año_Inicial+2,'9'!$B:$B,'12'!N$4,'9'!$D:$D,"Material de enmienda")</f>
        <v>0</v>
      </c>
      <c r="P20" s="101">
        <f>((A3_A_L6*Enmiendas_A)+(A3_B_L6*Enmiendas_B)+(A3_C_L6*Enmiendas_C)+(A3_D_L6*Enmiendas_D)+(A3_Y_L6*Enmiendas_Y))*Inflación_3</f>
        <v>0</v>
      </c>
      <c r="Q20" s="101">
        <f>SUMIFS('9'!$E:$E,'9'!$A:$A,Año_Inicial+2,'9'!$B:$B,'12'!P$4,'9'!$D:$D,"Material de enmienda")</f>
        <v>0</v>
      </c>
      <c r="R20" s="101">
        <f>((A3_A_L7*Enmiendas_A)+(A3_B_L7*Enmiendas_B)+(A3_C_L7*Enmiendas_C)+(A3_D_L7*Enmiendas_D)+(A3_Y_L7*Enmiendas_Y))*Inflación_3</f>
        <v>0</v>
      </c>
      <c r="S20" s="101">
        <f>SUMIFS('9'!$E:$E,'9'!$A:$A,Año_Inicial+2,'9'!$B:$B,'12'!R$4,'9'!$D:$D,"Material de enmienda")</f>
        <v>0</v>
      </c>
      <c r="T20" s="101">
        <f>((A3_A_L8*Enmiendas_A)+(A3_B_L8*Enmiendas_B)+(A3_C_L8*Enmiendas_C)+(A3_D_L8*Enmiendas_D)+(A3_Y_L8*Enmiendas_Y))*Inflación_3</f>
        <v>0</v>
      </c>
      <c r="U20" s="101">
        <f>SUMIFS('9'!$E:$E,'9'!$A:$A,Año_Inicial+2,'9'!$B:$B,'12'!T$4,'9'!$D:$D,"Material de enmienda")</f>
        <v>0</v>
      </c>
      <c r="V20" s="101">
        <f>((A3_A_L9*Enmiendas_A)+(A3_B_L9*Enmiendas_B)+(A3_C_L9*Enmiendas_C)+(A3_D_L9*Enmiendas_D)+(A3_Y_L9*Enmiendas_Y))*Inflación_3</f>
        <v>0</v>
      </c>
      <c r="W20" s="101">
        <f>SUMIFS('9'!$E:$E,'9'!$A:$A,Año_Inicial+2,'9'!$B:$B,'12'!V$4,'9'!$D:$D,"Material de enmienda")</f>
        <v>0</v>
      </c>
      <c r="X20" s="101">
        <f>((A3_A_L10*Enmiendas_A)+(A3_B_L10*Enmiendas_B)+(A3_C_L10*Enmiendas_C)+(A3_D_L10*Enmiendas_D)+(A3_Y_L10*Enmiendas_Y))*Inflación_3</f>
        <v>0</v>
      </c>
      <c r="Y20" s="101">
        <f>SUMIFS('9'!$E:$E,'9'!$A:$A,Año_Inicial+2,'9'!$B:$B,'12'!X$4,'9'!$D:$D,"Material de enmienda")</f>
        <v>0</v>
      </c>
      <c r="Z20" s="101">
        <f>((A3_A_L11*Enmiendas_A)+(A3_B_L11*Enmiendas_B)+(A3_C_L11*Enmiendas_C)+(A3_D_L11*Enmiendas_D)+(A3_Y_L11*Enmiendas_Y))*Inflación_3</f>
        <v>0</v>
      </c>
      <c r="AA20" s="101">
        <f>SUMIFS('9'!$E:$E,'9'!$A:$A,Año_Inicial+2,'9'!$B:$B,'12'!Z$4,'9'!$D:$D,"Material de enmienda")</f>
        <v>0</v>
      </c>
      <c r="AB20" s="101">
        <f>((A3_A_L12*Enmiendas_A)+(A3_B_L12*Enmiendas_B)+(A3_C_L12*Enmiendas_C)+(A3_D_L12*Enmiendas_D)+(A3_Y_L12*Enmiendas_Y))*Inflación_3</f>
        <v>0</v>
      </c>
      <c r="AC20" s="101">
        <f>SUMIFS('9'!$E:$E,'9'!$A:$A,Año_Inicial+2,'9'!$B:$B,'12'!AB$4,'9'!$D:$D,"Material de enmienda")</f>
        <v>0</v>
      </c>
      <c r="AD20" s="101">
        <f>((A3_A_L13*Enmiendas_A)+(A3_B_L13*Enmiendas_B)+(A3_C_L13*Enmiendas_C)+(A3_D_L13*Enmiendas_D)+(A3_Y_L13*Enmiendas_Y))*Inflación_3</f>
        <v>0</v>
      </c>
      <c r="AE20" s="101">
        <f>SUMIFS('9'!$E:$E,'9'!$A:$A,Año_Inicial+2,'9'!$B:$B,'12'!AD$4,'9'!$D:$D,"Material de enmienda")</f>
        <v>0</v>
      </c>
      <c r="AF20" s="101">
        <f>((A3_A_L14*Enmiendas_A)+(A3_B_L14*Enmiendas_B)+(A3_C_L14*Enmiendas_C)+(A3_D_L14*Enmiendas_D)+(A3_Y_L14*Enmiendas_Y))*Inflación_3</f>
        <v>0</v>
      </c>
      <c r="AG20" s="101">
        <f>SUMIFS('9'!$E:$E,'9'!$A:$A,Año_Inicial+2,'9'!$B:$B,'12'!AF$4,'9'!$D:$D,"Material de enmienda")</f>
        <v>0</v>
      </c>
      <c r="AH20" s="101">
        <f>((A3_A_L15*Enmiendas_A)+(A3_B_L15*Enmiendas_B)+(A3_C_L15*Enmiendas_C)+(A3_D_L15*Enmiendas_D)+(A3_Y_L15*Enmiendas_Y))*Inflación_3</f>
        <v>0</v>
      </c>
      <c r="AI20" s="101">
        <f>SUMIFS('9'!$E:$E,'9'!$A:$A,Año_Inicial+2,'9'!$B:$B,'12'!AH$4,'9'!$D:$D,"Material de enmienda")</f>
        <v>0</v>
      </c>
      <c r="AJ20" s="101">
        <f>((A3_A_L16*Enmiendas_A)+(A3_B_L16*Enmiendas_B)+(A3_C_L16*Enmiendas_C)+(A3_D_L16*Enmiendas_D)+(A3_Y_L16*Enmiendas_Y))*Inflación_3</f>
        <v>0</v>
      </c>
      <c r="AK20" s="101">
        <f>SUMIFS('9'!$E:$E,'9'!$A:$A,Año_Inicial+2,'9'!$B:$B,'12'!AJ$4,'9'!$D:$D,"Material de enmienda")</f>
        <v>0</v>
      </c>
      <c r="AL20" s="101">
        <f>((A3_A_L17*Enmiendas_A)+(A3_B_L17*Enmiendas_B)+(A3_C_L17*Enmiendas_C)+(A3_D_L17*Enmiendas_D)+(A3_Y_L17*Enmiendas_Y))*Inflación_3</f>
        <v>0</v>
      </c>
      <c r="AM20" s="101">
        <f>SUMIFS('9'!$E:$E,'9'!$A:$A,Año_Inicial+2,'9'!$B:$B,'12'!AL$4,'9'!$D:$D,"Material de enmienda")</f>
        <v>0</v>
      </c>
      <c r="AN20" s="101">
        <f>((A3_A_L18*Enmiendas_A)+(A3_B_L18*Enmiendas_B)+(A3_C_L18*Enmiendas_C)+(A3_D_L18*Enmiendas_D)+(A3_Y_L18*Enmiendas_Y))*Inflación_3</f>
        <v>0</v>
      </c>
      <c r="AO20" s="101">
        <f>SUMIFS('9'!$E:$E,'9'!$A:$A,Año_Inicial+2,'9'!$B:$B,'12'!AN$4,'9'!$D:$D,"Material de enmienda")</f>
        <v>0</v>
      </c>
      <c r="AP20" s="101">
        <f>((A3_A_L19*Enmiendas_A)+(A3_B_L19*Enmiendas_B)+(A3_C_L19*Enmiendas_C)+(A3_D_L19*Enmiendas_D)+(A3_Y_L19*Enmiendas_Y))*Inflación_3</f>
        <v>0</v>
      </c>
      <c r="AQ20" s="101">
        <f>SUMIFS('9'!$E:$E,'9'!$A:$A,Año_Inicial+2,'9'!$B:$B,'12'!AP$4,'9'!$D:$D,"Material de enmienda")</f>
        <v>0</v>
      </c>
      <c r="AR20" s="101">
        <f>((A3_A_L20*Enmiendas_A)+(A3_B_L20*Enmiendas_B)+(A3_C_L20*Enmiendas_C)+(A3_D_L20*Enmiendas_D)+(A3_Y_L20*Enmiendas_Y))*Inflación_3</f>
        <v>0</v>
      </c>
      <c r="AS20" s="101">
        <f>SUMIFS('9'!$E:$E,'9'!$A:$A,Año_Inicial+2,'9'!$B:$B,'12'!AR$4,'9'!$D:$D,"Material de enmienda")</f>
        <v>0</v>
      </c>
      <c r="AT20" s="101">
        <f>((A3_A_L21*Enmiendas_A)+(A3_B_L21*Enmiendas_B)+(A3_C_L21*Enmiendas_C)+(A3_D_L21*Enmiendas_D)+(A3_Y_L21*Enmiendas_Y))*Inflación_3</f>
        <v>0</v>
      </c>
      <c r="AU20" s="101">
        <f>SUMIFS('9'!$E:$E,'9'!$A:$A,Año_Inicial+2,'9'!$B:$B,'12'!AT$4,'9'!$D:$D,"Material de enmienda")</f>
        <v>0</v>
      </c>
      <c r="AV20" s="101">
        <f>((A3_A_L22*Enmiendas_A)+(A3_B_L22*Enmiendas_B)+(A3_C_L22*Enmiendas_C)+(A3_D_L22*Enmiendas_D)+(A3_Y_L22*Enmiendas_Y))*Inflación_3</f>
        <v>0</v>
      </c>
      <c r="AW20" s="101">
        <f>SUMIFS('9'!$E:$E,'9'!$A:$A,Año_Inicial+2,'9'!$B:$B,'12'!AV$4,'9'!$D:$D,"Material de enmienda")</f>
        <v>0</v>
      </c>
      <c r="AX20" s="101">
        <f>((A3_A_L23*Enmiendas_A)+(A3_B_L23*Enmiendas_B)+(A3_C_L23*Enmiendas_C)+(A3_D_L23*Enmiendas_D)+(A3_Y_L23*Enmiendas_Y))*Inflación_3</f>
        <v>0</v>
      </c>
      <c r="AY20" s="101">
        <f>SUMIFS('9'!$E:$E,'9'!$A:$A,Año_Inicial+2,'9'!$B:$B,'12'!AX$4,'9'!$D:$D,"Material de enmienda")</f>
        <v>0</v>
      </c>
      <c r="AZ20" s="101">
        <f>((A3_A_L24*Enmiendas_A)+(A3_B_L24*Enmiendas_B)+(A3_C_L24*Enmiendas_C)+(A3_D_L24*Enmiendas_D)+(A3_Y_L24*Enmiendas_Y))*Inflación_3</f>
        <v>0</v>
      </c>
      <c r="BA20" s="101">
        <f>SUMIFS('9'!$E:$E,'9'!$A:$A,Año_Inicial+2,'9'!$B:$B,'12'!AZ$4,'9'!$D:$D,"Material de enmienda")</f>
        <v>0</v>
      </c>
      <c r="BB20" s="101">
        <f>((A3_A_L25*Enmiendas_A)+(A3_B_L25*Enmiendas_B)+(A3_C_L25*Enmiendas_C)+(A3_D_L25*Enmiendas_D)+(A3_Y_L25*Enmiendas_Y))*Inflación_3</f>
        <v>0</v>
      </c>
      <c r="BC20" s="101">
        <f>SUMIFS('9'!$E:$E,'9'!$A:$A,Año_Inicial+2,'9'!$B:$B,'12'!BB$4,'9'!$D:$D,"Material de enmienda")</f>
        <v>0</v>
      </c>
      <c r="BD20" s="101">
        <f>((A3_A_L26*Enmiendas_A)+(A3_B_L26*Enmiendas_B)+(A3_C_L26*Enmiendas_C)+(A3_D_L26*Enmiendas_D)+(A3_Y_L26*Enmiendas_Y))*Inflación_3</f>
        <v>0</v>
      </c>
      <c r="BE20" s="101">
        <f>SUMIFS('9'!$E:$E,'9'!$A:$A,Año_Inicial+2,'9'!$B:$B,'12'!BD$4,'9'!$D:$D,"Material de enmienda")</f>
        <v>0</v>
      </c>
      <c r="BF20" s="101">
        <f>((A3_A_L27*Enmiendas_A)+(A3_B_L27*Enmiendas_B)+(A3_C_L27*Enmiendas_C)+(A3_D_L27*Enmiendas_D)+(A3_Y_L27*Enmiendas_Y))*Inflación_3</f>
        <v>0</v>
      </c>
      <c r="BG20" s="101">
        <f>SUMIFS('9'!$E:$E,'9'!$A:$A,Año_Inicial+2,'9'!$B:$B,'12'!BF$4,'9'!$D:$D,"Material de enmienda")</f>
        <v>0</v>
      </c>
      <c r="BH20" s="101">
        <f>((A3_A_L28*Enmiendas_A)+(A3_B_L28*Enmiendas_B)+(A3_C_L28*Enmiendas_C)+(A3_D_L28*Enmiendas_D)+(A3_Y_L28*Enmiendas_Y))*Inflación_3</f>
        <v>0</v>
      </c>
      <c r="BI20" s="101">
        <f>SUMIFS('9'!$E:$E,'9'!$A:$A,Año_Inicial+2,'9'!$B:$B,'12'!BH$4,'9'!$D:$D,"Material de enmienda")</f>
        <v>0</v>
      </c>
      <c r="BJ20" s="101">
        <f>((A3_A_L29*Enmiendas_A)+(A3_B_L29*Enmiendas_B)+(A3_C_L29*Enmiendas_C)+(A3_D_L29*Enmiendas_D)+(A3_Y_L29*Enmiendas_Y))*Inflación_3</f>
        <v>0</v>
      </c>
      <c r="BK20" s="101">
        <f>SUMIFS('9'!$E:$E,'9'!$A:$A,Año_Inicial+2,'9'!$B:$B,'12'!BJ$4,'9'!$D:$D,"Material de enmienda")</f>
        <v>0</v>
      </c>
      <c r="BL20" s="101">
        <f>((A3_A_L30*Enmiendas_A)+(A3_B_L30*Enmiendas_B)+(A3_C_L30*Enmiendas_C)+(A3_D_L30*Enmiendas_D)+(A3_Y_L30*Enmiendas_Y))*Inflación_3</f>
        <v>0</v>
      </c>
      <c r="BM20" s="101">
        <f>SUMIFS('9'!$E:$E,'9'!$A:$A,Año_Inicial+2,'9'!$B:$B,'12'!BL$4,'9'!$D:$D,"Material de enmienda")</f>
        <v>0</v>
      </c>
      <c r="BN20" s="101">
        <f>((A3_A_L31*Enmiendas_A)+(A3_B_L31*Enmiendas_B)+(A3_C_L31*Enmiendas_C)+(A3_D_L31*Enmiendas_D)+(A3_Y_L31*Enmiendas_Y))*Inflación_3</f>
        <v>0</v>
      </c>
      <c r="BO20" s="101">
        <f>SUMIFS('9'!$E:$E,'9'!$A:$A,Año_Inicial+2,'9'!$B:$B,'12'!BN$4,'9'!$D:$D,"Material de enmienda")</f>
        <v>0</v>
      </c>
      <c r="BP20" s="101">
        <f>((A3_A_L32*Enmiendas_A)+(A3_B_L32*Enmiendas_B)+(A3_C_L32*Enmiendas_C)+(A3_D_L32*Enmiendas_D)+(A3_Y_L32*Enmiendas_Y))*Inflación_3</f>
        <v>0</v>
      </c>
      <c r="BQ20" s="101">
        <f>SUMIFS('9'!$E:$E,'9'!$A:$A,Año_Inicial+2,'9'!$B:$B,'12'!BP$4,'9'!$D:$D,"Material de enmienda")</f>
        <v>0</v>
      </c>
      <c r="BR20" s="101">
        <f>((A3_A_L33*Enmiendas_A)+(A3_B_L33*Enmiendas_B)+(A3_C_L33*Enmiendas_C)+(A3_D_L33*Enmiendas_D)+(A3_Y_L33*Enmiendas_Y))*Inflación_3</f>
        <v>0</v>
      </c>
      <c r="BS20" s="101">
        <f>SUMIFS('9'!$E:$E,'9'!$A:$A,Año_Inicial+2,'9'!$B:$B,'12'!BR$4,'9'!$D:$D,"Material de enmienda")</f>
        <v>0</v>
      </c>
      <c r="BT20" s="101">
        <f>((A3_A_L34*Enmiendas_A)+(A3_B_L34*Enmiendas_B)+(A3_C_L34*Enmiendas_C)+(A3_D_L34*Enmiendas_D)+(A3_Y_L34*Enmiendas_Y))*Inflación_3</f>
        <v>0</v>
      </c>
      <c r="BU20" s="101">
        <f>SUMIFS('9'!$E:$E,'9'!$A:$A,Año_Inicial+2,'9'!$B:$B,'12'!BT$4,'9'!$D:$D,"Material de enmienda")</f>
        <v>0</v>
      </c>
      <c r="BV20" s="101">
        <f>((A3_A_L35*Enmiendas_A)+(A3_B_L35*Enmiendas_B)+(A3_C_L35*Enmiendas_C)+(A3_D_L35*Enmiendas_D)+(A3_Y_L35*Enmiendas_Y))*Inflación_3</f>
        <v>0</v>
      </c>
      <c r="BW20" s="101">
        <f>SUMIFS('9'!$E:$E,'9'!$A:$A,Año_Inicial+2,'9'!$B:$B,'12'!BV$4,'9'!$D:$D,"Material de enmienda")</f>
        <v>0</v>
      </c>
      <c r="BX20" s="101">
        <f>((A3_A_L36*Enmiendas_A)+(A3_B_L36*Enmiendas_B)+(A3_C_L36*Enmiendas_C)+(A3_D_L36*Enmiendas_D)+(A3_Y_L36*Enmiendas_Y))*Inflación_3</f>
        <v>0</v>
      </c>
      <c r="BY20" s="101">
        <f>SUMIFS('9'!$E:$E,'9'!$A:$A,Año_Inicial+2,'9'!$B:$B,'12'!BX$4,'9'!$D:$D,"Material de enmienda")</f>
        <v>0</v>
      </c>
      <c r="BZ20" s="101">
        <f>((A3_A_L37*Enmiendas_A)+(A3_B_L37*Enmiendas_B)+(A3_C_L37*Enmiendas_C)+(A3_D_L37*Enmiendas_D)+(A3_Y_L37*Enmiendas_Y))*Inflación_3</f>
        <v>0</v>
      </c>
      <c r="CA20" s="101">
        <f>SUMIFS('9'!$E:$E,'9'!$A:$A,Año_Inicial+2,'9'!$B:$B,'12'!BZ$4,'9'!$D:$D,"Material de enmienda")</f>
        <v>0</v>
      </c>
      <c r="CB20" s="101">
        <f>((A3_A_L38*Enmiendas_A)+(A3_B_L38*Enmiendas_B)+(A3_C_L38*Enmiendas_C)+(A3_D_L38*Enmiendas_D)+(A3_Y_L38*Enmiendas_Y))*Inflación_3</f>
        <v>0</v>
      </c>
      <c r="CC20" s="101">
        <f>SUMIFS('9'!$E:$E,'9'!$A:$A,Año_Inicial+2,'9'!$B:$B,'12'!CB$4,'9'!$D:$D,"Material de enmienda")</f>
        <v>0</v>
      </c>
      <c r="CD20" s="101">
        <f>((A3_A_L39*Enmiendas_A)+(A3_B_L39*Enmiendas_B)+(A3_C_L39*Enmiendas_C)+(A3_D_L39*Enmiendas_D)+(A3_Y_L39*Enmiendas_Y))*Inflación_3</f>
        <v>0</v>
      </c>
      <c r="CE20" s="101">
        <f>SUMIFS('9'!$E:$E,'9'!$A:$A,Año_Inicial+2,'9'!$B:$B,'12'!CD$4,'9'!$D:$D,"Material de enmienda")</f>
        <v>0</v>
      </c>
      <c r="CF20" s="101">
        <f>((A3_A_L40*Enmiendas_A)+(A3_B_L40*Enmiendas_B)+(A3_C_L40*Enmiendas_C)+(A3_D_L40*Enmiendas_D)+(A3_Y_L40*Enmiendas_Y))*Inflación_3</f>
        <v>0</v>
      </c>
      <c r="CG20" s="101">
        <f>SUMIFS('9'!$E:$E,'9'!$A:$A,Año_Inicial+2,'9'!$B:$B,'12'!CF$4,'9'!$D:$D,"Material de enmienda")</f>
        <v>0</v>
      </c>
      <c r="CH20" s="473"/>
      <c r="CI20" s="101">
        <f>Plantas_A_A3*Enmiendas_A*Inflación_3</f>
        <v>0</v>
      </c>
      <c r="CJ20" s="101">
        <f>Plantas_B_A3*Enmiendas_B</f>
        <v>0</v>
      </c>
      <c r="CK20" s="101">
        <f>Plantas_C_A3*Enmiendas_C</f>
        <v>0</v>
      </c>
      <c r="CL20" s="101">
        <f>Plantas_D_A3*Enmiendas_D</f>
        <v>0</v>
      </c>
      <c r="CM20" s="101"/>
      <c r="CN20" s="101">
        <f>Plantas_Y_A3*Enmiendas_Y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90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SUMIFS('9'!$E:$E,'9'!$A:$A,Año_Inicial+2,'9'!$D:$D,"Aplicación de herbicida")</f>
        <v>0</v>
      </c>
      <c r="D22" s="100">
        <f t="shared" si="45"/>
        <v>0</v>
      </c>
      <c r="E22" s="490"/>
      <c r="F22" s="101">
        <f>((A3_A_L1*Malezas_A)+(A3_B_L1*Malezas_B)+(A3_C_L1*Malezas_C)+(A3_D_L1*Malezas_D)+(A3_Y_L1*Malezas_Y))*Inflación_3</f>
        <v>0</v>
      </c>
      <c r="G22" s="101">
        <f>SUMIFS('9'!$E:$E,'9'!$A:$A,Año_Inicial+2,'9'!$B:$B,'12'!F$4,'9'!$D:$D,"Aplicación de herbicida")</f>
        <v>0</v>
      </c>
      <c r="H22" s="101">
        <f>((A3_A_L2*Malezas_A)+(A3_B_L2*Malezas_B)+(A3_C_L2*Malezas_C)+(A3_D_L2*Malezas_D)+(A3_Y_L2*Malezas_Y))*Inflación_3</f>
        <v>0</v>
      </c>
      <c r="I22" s="101">
        <f>SUMIFS('9'!$E:$E,'9'!$A:$A,Año_Inicial+2,'9'!$B:$B,'12'!H$4,'9'!$D:$D,"Aplicación de herbicida")</f>
        <v>0</v>
      </c>
      <c r="J22" s="101">
        <f>((A3_A_L3*Malezas_A)+(A3_B_L3*Malezas_B)+(A3_C_L3*Malezas_C)+(A3_D_L3*Malezas_D)+(A3_Y_L3*Malezas_Y))*Inflación_3</f>
        <v>0</v>
      </c>
      <c r="K22" s="101">
        <f>SUMIFS('9'!$E:$E,'9'!$A:$A,Año_Inicial+2,'9'!$B:$B,'12'!J$4,'9'!$D:$D,"Aplicación de herbicida")</f>
        <v>0</v>
      </c>
      <c r="L22" s="101">
        <f>((A3_A_L4*Malezas_A)+(A3_B_L4*Malezas_B)+(A3_C_L4*Malezas_C)+(A3_D_L4*Malezas_D)+(A3_Y_L4*Malezas_Y))*Inflación_3</f>
        <v>0</v>
      </c>
      <c r="M22" s="101">
        <f>SUMIFS('9'!$E:$E,'9'!$A:$A,Año_Inicial+2,'9'!$B:$B,'12'!L$4,'9'!$D:$D,"Aplicación de herbicida")</f>
        <v>0</v>
      </c>
      <c r="N22" s="101">
        <f>((A3_A_L5*Malezas_A)+(A3_B_L5*Malezas_B)+(A3_C_L5*Malezas_C)+(A3_D_L5*Malezas_D)+(A3_Y_L5*Malezas_Y))*Inflación_3</f>
        <v>0</v>
      </c>
      <c r="O22" s="101">
        <f>SUMIFS('9'!$E:$E,'9'!$A:$A,Año_Inicial+2,'9'!$B:$B,'12'!N$4,'9'!$D:$D,"Aplicación de herbicida")</f>
        <v>0</v>
      </c>
      <c r="P22" s="101">
        <f>((A3_A_L6*Malezas_A)+(A3_B_L6*Malezas_B)+(A3_C_L6*Malezas_C)+(A3_D_L6*Malezas_D)+(A3_Y_L6*Malezas_Y))*Inflación_3</f>
        <v>0</v>
      </c>
      <c r="Q22" s="101">
        <f>SUMIFS('9'!$E:$E,'9'!$A:$A,Año_Inicial+2,'9'!$B:$B,'12'!P$4,'9'!$D:$D,"Aplicación de herbicida")</f>
        <v>0</v>
      </c>
      <c r="R22" s="101">
        <f>((A3_A_L7*Malezas_A)+(A3_B_L7*Malezas_B)+(A3_C_L7*Malezas_C)+(A3_D_L7*Malezas_D)+(A3_Y_L7*Malezas_Y))*Inflación_3</f>
        <v>0</v>
      </c>
      <c r="S22" s="101">
        <f>SUMIFS('9'!$E:$E,'9'!$A:$A,Año_Inicial+2,'9'!$B:$B,'12'!R$4,'9'!$D:$D,"Aplicación de herbicida")</f>
        <v>0</v>
      </c>
      <c r="T22" s="101">
        <f>((A3_A_L8*Malezas_A)+(A3_B_L8*Malezas_B)+(A3_C_L8*Malezas_C)+(A3_D_L8*Malezas_D)+(A3_Y_L8*Malezas_Y))*Inflación_3</f>
        <v>0</v>
      </c>
      <c r="U22" s="101">
        <f>SUMIFS('9'!$E:$E,'9'!$A:$A,Año_Inicial+2,'9'!$B:$B,'12'!T$4,'9'!$D:$D,"Aplicación de herbicida")</f>
        <v>0</v>
      </c>
      <c r="V22" s="101">
        <f>((A3_A_L9*Malezas_A)+(A3_B_L9*Malezas_B)+(A3_C_L9*Malezas_C)+(A3_D_L9*Malezas_D)+(A3_Y_L9*Malezas_Y))*Inflación_3</f>
        <v>0</v>
      </c>
      <c r="W22" s="101">
        <f>SUMIFS('9'!$E:$E,'9'!$A:$A,Año_Inicial+2,'9'!$B:$B,'12'!V$4,'9'!$D:$D,"Aplicación de herbicida")</f>
        <v>0</v>
      </c>
      <c r="X22" s="101">
        <f>((A3_A_L10*Malezas_A)+(A3_B_L10*Malezas_B)+(A3_C_L10*Malezas_C)+(A3_D_L10*Malezas_D)+(A3_Y_L10*Malezas_Y))*Inflación_3</f>
        <v>0</v>
      </c>
      <c r="Y22" s="101">
        <f>SUMIFS('9'!$E:$E,'9'!$A:$A,Año_Inicial+2,'9'!$B:$B,'12'!X$4,'9'!$D:$D,"Aplicación de herbicida")</f>
        <v>0</v>
      </c>
      <c r="Z22" s="101">
        <f>((A3_A_L11*Malezas_A)+(A3_B_L11*Malezas_B)+(A3_C_L11*Malezas_C)+(A3_D_L11*Malezas_D)+(A3_Y_L11*Malezas_Y))*Inflación_3</f>
        <v>0</v>
      </c>
      <c r="AA22" s="101">
        <f>SUMIFS('9'!$E:$E,'9'!$A:$A,Año_Inicial+2,'9'!$B:$B,'12'!Z$4,'9'!$D:$D,"Aplicación de herbicida")</f>
        <v>0</v>
      </c>
      <c r="AB22" s="101">
        <f>((A3_A_L12*Malezas_A)+(A3_B_L12*Malezas_B)+(A3_C_L12*Malezas_C)+(A3_D_L12*Malezas_D)+(A3_Y_L12*Malezas_Y))*Inflación_3</f>
        <v>0</v>
      </c>
      <c r="AC22" s="101">
        <f>SUMIFS('9'!$E:$E,'9'!$A:$A,Año_Inicial+2,'9'!$B:$B,'12'!AB$4,'9'!$D:$D,"Aplicación de herbicida")</f>
        <v>0</v>
      </c>
      <c r="AD22" s="101">
        <f>((A3_A_L13*Malezas_A)+(A3_B_L13*Malezas_B)+(A3_C_L13*Malezas_C)+(A3_D_L13*Malezas_D)+(A3_Y_L13*Malezas_Y))*Inflación_3</f>
        <v>0</v>
      </c>
      <c r="AE22" s="101">
        <f>SUMIFS('9'!$E:$E,'9'!$A:$A,Año_Inicial+2,'9'!$B:$B,'12'!AD$4,'9'!$D:$D,"Aplicación de herbicida")</f>
        <v>0</v>
      </c>
      <c r="AF22" s="101">
        <f>((A3_A_L14*Malezas_A)+(A3_B_L14*Malezas_B)+(A3_C_L14*Malezas_C)+(A3_D_L14*Malezas_D)+(A3_Y_L14*Malezas_Y))*Inflación_3</f>
        <v>0</v>
      </c>
      <c r="AG22" s="101">
        <f>SUMIFS('9'!$E:$E,'9'!$A:$A,Año_Inicial+2,'9'!$B:$B,'12'!AF$4,'9'!$D:$D,"Aplicación de herbicida")</f>
        <v>0</v>
      </c>
      <c r="AH22" s="101">
        <f>((A3_A_L15*Malezas_A)+(A3_B_L15*Malezas_B)+(A3_C_L15*Malezas_C)+(A3_D_L15*Malezas_D)+(A3_Y_L15*Malezas_Y))*Inflación_3</f>
        <v>0</v>
      </c>
      <c r="AI22" s="101">
        <f>SUMIFS('9'!$E:$E,'9'!$A:$A,Año_Inicial+2,'9'!$B:$B,'12'!AH$4,'9'!$D:$D,"Aplicación de herbicida")</f>
        <v>0</v>
      </c>
      <c r="AJ22" s="101">
        <f>((A3_A_L16*Malezas_A)+(A3_B_L16*Malezas_B)+(A3_C_L16*Malezas_C)+(A3_D_L16*Malezas_D)+(A3_Y_L16*Malezas_Y))*Inflación_3</f>
        <v>0</v>
      </c>
      <c r="AK22" s="101">
        <f>SUMIFS('9'!$E:$E,'9'!$A:$A,Año_Inicial+2,'9'!$B:$B,'12'!AJ$4,'9'!$D:$D,"Aplicación de herbicida")</f>
        <v>0</v>
      </c>
      <c r="AL22" s="101">
        <f>((A3_A_L17*Malezas_A)+(A3_B_L17*Malezas_B)+(A3_C_L17*Malezas_C)+(A3_D_L17*Malezas_D)+(A3_Y_L17*Malezas_Y))*Inflación_3</f>
        <v>0</v>
      </c>
      <c r="AM22" s="101">
        <f>SUMIFS('9'!$E:$E,'9'!$A:$A,Año_Inicial+2,'9'!$B:$B,'12'!AL$4,'9'!$D:$D,"Aplicación de herbicida")</f>
        <v>0</v>
      </c>
      <c r="AN22" s="101">
        <f>((A3_A_L18*Malezas_A)+(A3_B_L18*Malezas_B)+(A3_C_L18*Malezas_C)+(A3_D_L18*Malezas_D)+(A3_Y_L18*Malezas_Y))*Inflación_3</f>
        <v>0</v>
      </c>
      <c r="AO22" s="101">
        <f>SUMIFS('9'!$E:$E,'9'!$A:$A,Año_Inicial+2,'9'!$B:$B,'12'!AN$4,'9'!$D:$D,"Aplicación de herbicida")</f>
        <v>0</v>
      </c>
      <c r="AP22" s="101">
        <f>((A3_A_L19*Malezas_A)+(A3_B_L19*Malezas_B)+(A3_C_L19*Malezas_C)+(A3_D_L19*Malezas_D)+(A3_Y_L19*Malezas_Y))*Inflación_3</f>
        <v>0</v>
      </c>
      <c r="AQ22" s="101">
        <f>SUMIFS('9'!$E:$E,'9'!$A:$A,Año_Inicial+2,'9'!$B:$B,'12'!AP$4,'9'!$D:$D,"Aplicación de herbicida")</f>
        <v>0</v>
      </c>
      <c r="AR22" s="101">
        <f>((A3_A_L20*Malezas_A)+(A3_B_L20*Malezas_B)+(A3_C_L20*Malezas_C)+(A3_D_L20*Malezas_D)+(A3_Y_L20*Malezas_Y))*Inflación_3</f>
        <v>0</v>
      </c>
      <c r="AS22" s="101">
        <f>SUMIFS('9'!$E:$E,'9'!$A:$A,Año_Inicial+2,'9'!$B:$B,'12'!AR$4,'9'!$D:$D,"Aplicación de herbicida")</f>
        <v>0</v>
      </c>
      <c r="AT22" s="101">
        <f>((A3_A_L21*Malezas_A)+(A3_B_L21*Malezas_B)+(A3_C_L21*Malezas_C)+(A3_D_L21*Malezas_D)+(A3_Y_L21*Malezas_Y))*Inflación_3</f>
        <v>0</v>
      </c>
      <c r="AU22" s="101">
        <f>SUMIFS('9'!$E:$E,'9'!$A:$A,Año_Inicial+2,'9'!$B:$B,'12'!AT$4,'9'!$D:$D,"Aplicación de herbicida")</f>
        <v>0</v>
      </c>
      <c r="AV22" s="101">
        <f>((A3_A_L22*Malezas_A)+(A3_B_L22*Malezas_B)+(A3_C_L22*Malezas_C)+(A3_D_L22*Malezas_D)+(A3_Y_L22*Malezas_Y))*Inflación_3</f>
        <v>0</v>
      </c>
      <c r="AW22" s="101">
        <f>SUMIFS('9'!$E:$E,'9'!$A:$A,Año_Inicial+2,'9'!$B:$B,'12'!AV$4,'9'!$D:$D,"Aplicación de herbicida")</f>
        <v>0</v>
      </c>
      <c r="AX22" s="101">
        <f>((A3_A_L23*Malezas_A)+(A3_B_L23*Malezas_B)+(A3_C_L23*Malezas_C)+(A3_D_L23*Malezas_D)+(A3_Y_L23*Malezas_Y))*Inflación_3</f>
        <v>0</v>
      </c>
      <c r="AY22" s="101">
        <f>SUMIFS('9'!$E:$E,'9'!$A:$A,Año_Inicial+2,'9'!$B:$B,'12'!AX$4,'9'!$D:$D,"Aplicación de herbicida")</f>
        <v>0</v>
      </c>
      <c r="AZ22" s="101">
        <f>((A3_A_L24*Malezas_A)+(A3_B_L24*Malezas_B)+(A3_C_L24*Malezas_C)+(A3_D_L24*Malezas_D)+(A3_Y_L24*Malezas_Y))*Inflación_3</f>
        <v>0</v>
      </c>
      <c r="BA22" s="101">
        <f>SUMIFS('9'!$E:$E,'9'!$A:$A,Año_Inicial+2,'9'!$B:$B,'12'!AZ$4,'9'!$D:$D,"Aplicación de herbicida")</f>
        <v>0</v>
      </c>
      <c r="BB22" s="101">
        <f>((A3_A_L25*Malezas_A)+(A3_B_L25*Malezas_B)+(A3_C_L25*Malezas_C)+(A3_D_L25*Malezas_D)+(A3_Y_L25*Malezas_Y))*Inflación_3</f>
        <v>0</v>
      </c>
      <c r="BC22" s="101">
        <f>SUMIFS('9'!$E:$E,'9'!$A:$A,Año_Inicial+2,'9'!$B:$B,'12'!BB$4,'9'!$D:$D,"Aplicación de herbicida")</f>
        <v>0</v>
      </c>
      <c r="BD22" s="101">
        <f>((A3_A_L26*Malezas_A)+(A3_B_L26*Malezas_B)+(A3_C_L26*Malezas_C)+(A3_D_L26*Malezas_D)+(A3_Y_L26*Malezas_Y))*Inflación_3</f>
        <v>0</v>
      </c>
      <c r="BE22" s="101">
        <f>SUMIFS('9'!$E:$E,'9'!$A:$A,Año_Inicial+2,'9'!$B:$B,'12'!BD$4,'9'!$D:$D,"Aplicación de herbicida")</f>
        <v>0</v>
      </c>
      <c r="BF22" s="101">
        <f>((A3_A_L27*Malezas_A)+(A3_B_L27*Malezas_B)+(A3_C_L27*Malezas_C)+(A3_D_L27*Malezas_D)+(A3_Y_L27*Malezas_Y))*Inflación_3</f>
        <v>0</v>
      </c>
      <c r="BG22" s="101">
        <f>SUMIFS('9'!$E:$E,'9'!$A:$A,Año_Inicial+2,'9'!$B:$B,'12'!BF$4,'9'!$D:$D,"Aplicación de herbicida")</f>
        <v>0</v>
      </c>
      <c r="BH22" s="101">
        <f>((A3_A_L28*Malezas_A)+(A3_B_L28*Malezas_B)+(A3_C_L28*Malezas_C)+(A3_D_L28*Malezas_D)+(A3_Y_L28*Malezas_Y))*Inflación_3</f>
        <v>0</v>
      </c>
      <c r="BI22" s="101">
        <f>SUMIFS('9'!$E:$E,'9'!$A:$A,Año_Inicial+2,'9'!$B:$B,'12'!BH$4,'9'!$D:$D,"Aplicación de herbicida")</f>
        <v>0</v>
      </c>
      <c r="BJ22" s="101">
        <f>((A3_A_L29*Malezas_A)+(A3_B_L29*Malezas_B)+(A3_C_L29*Malezas_C)+(A3_D_L29*Malezas_D)+(A3_Y_L29*Malezas_Y))*Inflación_3</f>
        <v>0</v>
      </c>
      <c r="BK22" s="101">
        <f>SUMIFS('9'!$E:$E,'9'!$A:$A,Año_Inicial+2,'9'!$B:$B,'12'!BJ$4,'9'!$D:$D,"Aplicación de herbicida")</f>
        <v>0</v>
      </c>
      <c r="BL22" s="101">
        <f>((A3_A_L30*Malezas_A)+(A3_B_L30*Malezas_B)+(A3_C_L30*Malezas_C)+(A3_D_L30*Malezas_D)+(A3_Y_L30*Malezas_Y))*Inflación_3</f>
        <v>0</v>
      </c>
      <c r="BM22" s="101">
        <f>SUMIFS('9'!$E:$E,'9'!$A:$A,Año_Inicial+2,'9'!$B:$B,'12'!BL$4,'9'!$D:$D,"Aplicación de herbicida")</f>
        <v>0</v>
      </c>
      <c r="BN22" s="101">
        <f>((A3_A_L31*Malezas_A)+(A3_B_L31*Malezas_B)+(A3_C_L31*Malezas_C)+(A3_D_L31*Malezas_D)+(A3_Y_L31*Malezas_Y))*Inflación_3</f>
        <v>0</v>
      </c>
      <c r="BO22" s="101">
        <f>SUMIFS('9'!$E:$E,'9'!$A:$A,Año_Inicial+2,'9'!$B:$B,'12'!BN$4,'9'!$D:$D,"Aplicación de herbicida")</f>
        <v>0</v>
      </c>
      <c r="BP22" s="101">
        <f>((A3_A_L32*Malezas_A)+(A3_B_L32*Malezas_B)+(A3_C_L32*Malezas_C)+(A3_D_L32*Malezas_D)+(A3_Y_L32*Malezas_Y))*Inflación_3</f>
        <v>0</v>
      </c>
      <c r="BQ22" s="101">
        <f>SUMIFS('9'!$E:$E,'9'!$A:$A,Año_Inicial+2,'9'!$B:$B,'12'!BP$4,'9'!$D:$D,"Aplicación de herbicida")</f>
        <v>0</v>
      </c>
      <c r="BR22" s="101">
        <f>((A3_A_L33*Malezas_A)+(A3_B_L33*Malezas_B)+(A3_C_L33*Malezas_C)+(A3_D_L33*Malezas_D)+(A3_Y_L33*Malezas_Y))*Inflación_3</f>
        <v>0</v>
      </c>
      <c r="BS22" s="101">
        <f>SUMIFS('9'!$E:$E,'9'!$A:$A,Año_Inicial+2,'9'!$B:$B,'12'!BR$4,'9'!$D:$D,"Aplicación de herbicida")</f>
        <v>0</v>
      </c>
      <c r="BT22" s="101">
        <f>((A3_A_L34*Malezas_A)+(A3_B_L34*Malezas_B)+(A3_C_L34*Malezas_C)+(A3_D_L34*Malezas_D)+(A3_Y_L34*Malezas_Y))*Inflación_3</f>
        <v>0</v>
      </c>
      <c r="BU22" s="101">
        <f>SUMIFS('9'!$E:$E,'9'!$A:$A,Año_Inicial+2,'9'!$B:$B,'12'!BT$4,'9'!$D:$D,"Aplicación de herbicida")</f>
        <v>0</v>
      </c>
      <c r="BV22" s="101">
        <f>((A3_A_L35*Malezas_A)+(A3_B_L35*Malezas_B)+(A3_C_L35*Malezas_C)+(A3_D_L35*Malezas_D)+(A3_Y_L35*Malezas_Y))*Inflación_3</f>
        <v>0</v>
      </c>
      <c r="BW22" s="101">
        <f>SUMIFS('9'!$E:$E,'9'!$A:$A,Año_Inicial+2,'9'!$B:$B,'12'!BV$4,'9'!$D:$D,"Aplicación de herbicida")</f>
        <v>0</v>
      </c>
      <c r="BX22" s="101">
        <f>((A3_A_L36*Malezas_A)+(A3_B_L36*Malezas_B)+(A3_C_L36*Malezas_C)+(A3_D_L36*Malezas_D)+(A3_Y_L36*Malezas_Y))*Inflación_3</f>
        <v>0</v>
      </c>
      <c r="BY22" s="101">
        <f>SUMIFS('9'!$E:$E,'9'!$A:$A,Año_Inicial+2,'9'!$B:$B,'12'!BX$4,'9'!$D:$D,"Aplicación de herbicida")</f>
        <v>0</v>
      </c>
      <c r="BZ22" s="101">
        <f>((A3_A_L37*Malezas_A)+(A3_B_L37*Malezas_B)+(A3_C_L37*Malezas_C)+(A3_D_L37*Malezas_D)+(A3_Y_L37*Malezas_Y))*Inflación_3</f>
        <v>0</v>
      </c>
      <c r="CA22" s="101">
        <f>SUMIFS('9'!$E:$E,'9'!$A:$A,Año_Inicial+2,'9'!$B:$B,'12'!BZ$4,'9'!$D:$D,"Aplicación de herbicida")</f>
        <v>0</v>
      </c>
      <c r="CB22" s="101">
        <f>((A3_A_L38*Malezas_A)+(A3_B_L38*Malezas_B)+(A3_C_L38*Malezas_C)+(A3_D_L38*Malezas_D)+(A3_Y_L38*Malezas_Y))*Inflación_3</f>
        <v>0</v>
      </c>
      <c r="CC22" s="101">
        <f>SUMIFS('9'!$E:$E,'9'!$A:$A,Año_Inicial+2,'9'!$B:$B,'12'!CB$4,'9'!$D:$D,"Aplicación de herbicida")</f>
        <v>0</v>
      </c>
      <c r="CD22" s="101">
        <f>((A3_A_L39*Malezas_A)+(A3_B_L39*Malezas_B)+(A3_C_L39*Malezas_C)+(A3_D_L39*Malezas_D)+(A3_Y_L39*Malezas_Y))*Inflación_3</f>
        <v>0</v>
      </c>
      <c r="CE22" s="101">
        <f>SUMIFS('9'!$E:$E,'9'!$A:$A,Año_Inicial+2,'9'!$B:$B,'12'!CD$4,'9'!$D:$D,"Aplicación de herbicida")</f>
        <v>0</v>
      </c>
      <c r="CF22" s="101">
        <f>((A3_A_L40*Malezas_A)+(A3_B_L40*Malezas_B)+(A3_C_L40*Malezas_C)+(A3_D_L40*Malezas_D)+(A3_Y_L40*Malezas_Y))*Inflación_3</f>
        <v>0</v>
      </c>
      <c r="CG22" s="101">
        <f>SUMIFS('9'!$E:$E,'9'!$A:$A,Año_Inicial+2,'9'!$B:$B,'12'!CF$4,'9'!$D:$D,"Aplicación de herbicida")</f>
        <v>0</v>
      </c>
      <c r="CH22" s="473"/>
      <c r="CI22" s="101">
        <f>Plantas_A_A3*Malezas_A*Inflación_3</f>
        <v>0</v>
      </c>
      <c r="CJ22" s="101">
        <f>Plantas_B_A3*Malezas_B</f>
        <v>0</v>
      </c>
      <c r="CK22" s="101">
        <f>Plantas_C_A3*Malezas_C</f>
        <v>0</v>
      </c>
      <c r="CL22" s="101">
        <f>Plantas_D_A3*Malezas_D</f>
        <v>0</v>
      </c>
      <c r="CM22" s="101"/>
      <c r="CN22" s="101">
        <f>Plantas_Y_A3*Malezas_Y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SUMIFS('9'!$E:$E,'9'!$A:$A,Año_Inicial+2,'9'!$D:$D,"Limpias manuales")</f>
        <v>0</v>
      </c>
      <c r="D23" s="100">
        <f t="shared" si="45"/>
        <v>0</v>
      </c>
      <c r="E23" s="490"/>
      <c r="F23" s="101">
        <f>((A3_A_L1*Limpias_A)+(A3_B_L1*Limpias_B)+(A3_C_L1*Limpias_C)+(A3_D_L1*Limpias_D)+(A3_Y_L1*Limpias_Y))*Inflación_3</f>
        <v>0</v>
      </c>
      <c r="G23" s="101">
        <f>SUMIFS('9'!$E:$E,'9'!$A:$A,Año_Inicial+2,'9'!$B:$B,'12'!F$4,'9'!$D:$D,"Limpias manuales")</f>
        <v>0</v>
      </c>
      <c r="H23" s="101">
        <f>((A3_A_L2*Limpias_A)+(A3_B_L2*Limpias_B)+(A3_C_L2*Limpias_C)+(A3_D_L2*Limpias_D)+(A3_Y_L2*Limpias_Y))*Inflación_3</f>
        <v>0</v>
      </c>
      <c r="I23" s="101">
        <f>SUMIFS('9'!$E:$E,'9'!$A:$A,Año_Inicial+2,'9'!$B:$B,'12'!H$4,'9'!$D:$D,"Limpias manuales")</f>
        <v>0</v>
      </c>
      <c r="J23" s="101">
        <f>((A3_A_L3*Limpias_A)+(A3_B_L3*Limpias_B)+(A3_C_L3*Limpias_C)+(A3_D_L3*Limpias_D)+(A3_Y_L3*Limpias_Y))*Inflación_3</f>
        <v>0</v>
      </c>
      <c r="K23" s="101">
        <f>SUMIFS('9'!$E:$E,'9'!$A:$A,Año_Inicial+2,'9'!$B:$B,'12'!J$4,'9'!$D:$D,"Limpias manuales")</f>
        <v>0</v>
      </c>
      <c r="L23" s="101">
        <f>((A3_A_L4*Limpias_A)+(A3_B_L4*Limpias_B)+(A3_C_L4*Limpias_C)+(A3_D_L4*Limpias_D)+(A3_Y_L4*Limpias_Y))*Inflación_3</f>
        <v>0</v>
      </c>
      <c r="M23" s="101">
        <f>SUMIFS('9'!$E:$E,'9'!$A:$A,Año_Inicial+2,'9'!$B:$B,'12'!L$4,'9'!$D:$D,"Limpias manuales")</f>
        <v>0</v>
      </c>
      <c r="N23" s="101">
        <f>((A3_A_L5*Limpias_A)+(A3_B_L5*Limpias_B)+(A3_C_L5*Limpias_C)+(A3_D_L5*Limpias_D)+(A3_Y_L5*Limpias_Y))*Inflación_3</f>
        <v>0</v>
      </c>
      <c r="O23" s="101">
        <f>SUMIFS('9'!$E:$E,'9'!$A:$A,Año_Inicial+2,'9'!$B:$B,'12'!N$4,'9'!$D:$D,"Limpias manuales")</f>
        <v>0</v>
      </c>
      <c r="P23" s="101">
        <f>((A3_A_L6*Limpias_A)+(A3_B_L6*Limpias_B)+(A3_C_L6*Limpias_C)+(A3_D_L6*Limpias_D)+(A3_Y_L6*Limpias_Y))*Inflación_3</f>
        <v>0</v>
      </c>
      <c r="Q23" s="101">
        <f>SUMIFS('9'!$E:$E,'9'!$A:$A,Año_Inicial+2,'9'!$B:$B,'12'!P$4,'9'!$D:$D,"Limpias manuales")</f>
        <v>0</v>
      </c>
      <c r="R23" s="101">
        <f>((A3_A_L7*Limpias_A)+(A3_B_L7*Limpias_B)+(A3_C_L7*Limpias_C)+(A3_D_L7*Limpias_D)+(A3_Y_L7*Limpias_Y))*Inflación_3</f>
        <v>0</v>
      </c>
      <c r="S23" s="101">
        <f>SUMIFS('9'!$E:$E,'9'!$A:$A,Año_Inicial+2,'9'!$B:$B,'12'!R$4,'9'!$D:$D,"Limpias manuales")</f>
        <v>0</v>
      </c>
      <c r="T23" s="101">
        <f>((A3_A_L8*Limpias_A)+(A3_B_L8*Limpias_B)+(A3_C_L8*Limpias_C)+(A3_D_L8*Limpias_D)+(A3_Y_L8*Limpias_Y))*Inflación_3</f>
        <v>0</v>
      </c>
      <c r="U23" s="101">
        <f>SUMIFS('9'!$E:$E,'9'!$A:$A,Año_Inicial+2,'9'!$B:$B,'12'!T$4,'9'!$D:$D,"Limpias manuales")</f>
        <v>0</v>
      </c>
      <c r="V23" s="101">
        <f>((A3_A_L9*Limpias_A)+(A3_B_L9*Limpias_B)+(A3_C_L9*Limpias_C)+(A3_D_L9*Limpias_D)+(A3_Y_L9*Limpias_Y))*Inflación_3</f>
        <v>0</v>
      </c>
      <c r="W23" s="101">
        <f>SUMIFS('9'!$E:$E,'9'!$A:$A,Año_Inicial+2,'9'!$B:$B,'12'!V$4,'9'!$D:$D,"Limpias manuales")</f>
        <v>0</v>
      </c>
      <c r="X23" s="101">
        <f>((A3_A_L10*Limpias_A)+(A3_B_L10*Limpias_B)+(A3_C_L10*Limpias_C)+(A3_D_L10*Limpias_D)+(A3_Y_L10*Limpias_Y))*Inflación_3</f>
        <v>0</v>
      </c>
      <c r="Y23" s="101">
        <f>SUMIFS('9'!$E:$E,'9'!$A:$A,Año_Inicial+2,'9'!$B:$B,'12'!X$4,'9'!$D:$D,"Limpias manuales")</f>
        <v>0</v>
      </c>
      <c r="Z23" s="101">
        <f>((A3_A_L11*Limpias_A)+(A3_B_L11*Limpias_B)+(A3_C_L11*Limpias_C)+(A3_D_L11*Limpias_D)+(A3_Y_L11*Limpias_Y))*Inflación_3</f>
        <v>0</v>
      </c>
      <c r="AA23" s="101">
        <f>SUMIFS('9'!$E:$E,'9'!$A:$A,Año_Inicial+2,'9'!$B:$B,'12'!Z$4,'9'!$D:$D,"Limpias manuales")</f>
        <v>0</v>
      </c>
      <c r="AB23" s="101">
        <f>((A3_A_L12*Limpias_A)+(A3_B_L12*Limpias_B)+(A3_C_L12*Limpias_C)+(A3_D_L12*Limpias_D)+(A3_Y_L12*Limpias_Y))*Inflación_3</f>
        <v>0</v>
      </c>
      <c r="AC23" s="101">
        <f>SUMIFS('9'!$E:$E,'9'!$A:$A,Año_Inicial+2,'9'!$B:$B,'12'!AB$4,'9'!$D:$D,"Limpias manuales")</f>
        <v>0</v>
      </c>
      <c r="AD23" s="101">
        <f>((A3_A_L13*Limpias_A)+(A3_B_L13*Limpias_B)+(A3_C_L13*Limpias_C)+(A3_D_L13*Limpias_D)+(A3_Y_L13*Limpias_Y))*Inflación_3</f>
        <v>0</v>
      </c>
      <c r="AE23" s="101">
        <f>SUMIFS('9'!$E:$E,'9'!$A:$A,Año_Inicial+2,'9'!$B:$B,'12'!AD$4,'9'!$D:$D,"Limpias manuales")</f>
        <v>0</v>
      </c>
      <c r="AF23" s="101">
        <f>((A3_A_L14*Limpias_A)+(A3_B_L14*Limpias_B)+(A3_C_L14*Limpias_C)+(A3_D_L14*Limpias_D)+(A3_Y_L14*Limpias_Y))*Inflación_3</f>
        <v>0</v>
      </c>
      <c r="AG23" s="101">
        <f>SUMIFS('9'!$E:$E,'9'!$A:$A,Año_Inicial+2,'9'!$B:$B,'12'!AF$4,'9'!$D:$D,"Limpias manuales")</f>
        <v>0</v>
      </c>
      <c r="AH23" s="101">
        <f>((A3_A_L15*Limpias_A)+(A3_B_L15*Limpias_B)+(A3_C_L15*Limpias_C)+(A3_D_L15*Limpias_D)+(A3_Y_L15*Limpias_Y))*Inflación_3</f>
        <v>0</v>
      </c>
      <c r="AI23" s="101">
        <f>SUMIFS('9'!$E:$E,'9'!$A:$A,Año_Inicial+2,'9'!$B:$B,'12'!AH$4,'9'!$D:$D,"Limpias manuales")</f>
        <v>0</v>
      </c>
      <c r="AJ23" s="101">
        <f>((A3_A_L16*Limpias_A)+(A3_B_L16*Limpias_B)+(A3_C_L16*Limpias_C)+(A3_D_L16*Limpias_D)+(A3_Y_L16*Limpias_Y))*Inflación_3</f>
        <v>0</v>
      </c>
      <c r="AK23" s="101">
        <f>SUMIFS('9'!$E:$E,'9'!$A:$A,Año_Inicial+2,'9'!$B:$B,'12'!AJ$4,'9'!$D:$D,"Limpias manuales")</f>
        <v>0</v>
      </c>
      <c r="AL23" s="101">
        <f>((A3_A_L17*Limpias_A)+(A3_B_L17*Limpias_B)+(A3_C_L17*Limpias_C)+(A3_D_L17*Limpias_D)+(A3_Y_L17*Limpias_Y))*Inflación_3</f>
        <v>0</v>
      </c>
      <c r="AM23" s="101">
        <f>SUMIFS('9'!$E:$E,'9'!$A:$A,Año_Inicial+2,'9'!$B:$B,'12'!AL$4,'9'!$D:$D,"Limpias manuales")</f>
        <v>0</v>
      </c>
      <c r="AN23" s="101">
        <f>((A3_A_L18*Limpias_A)+(A3_B_L18*Limpias_B)+(A3_C_L18*Limpias_C)+(A3_D_L18*Limpias_D)+(A3_Y_L18*Limpias_Y))*Inflación_3</f>
        <v>0</v>
      </c>
      <c r="AO23" s="101">
        <f>SUMIFS('9'!$E:$E,'9'!$A:$A,Año_Inicial+2,'9'!$B:$B,'12'!AN$4,'9'!$D:$D,"Limpias manuales")</f>
        <v>0</v>
      </c>
      <c r="AP23" s="101">
        <f>((A3_A_L19*Limpias_A)+(A3_B_L19*Limpias_B)+(A3_C_L19*Limpias_C)+(A3_D_L19*Limpias_D)+(A3_Y_L19*Limpias_Y))*Inflación_3</f>
        <v>0</v>
      </c>
      <c r="AQ23" s="101">
        <f>SUMIFS('9'!$E:$E,'9'!$A:$A,Año_Inicial+2,'9'!$B:$B,'12'!AP$4,'9'!$D:$D,"Limpias manuales")</f>
        <v>0</v>
      </c>
      <c r="AR23" s="101">
        <f>((A3_A_L20*Limpias_A)+(A3_B_L20*Limpias_B)+(A3_C_L20*Limpias_C)+(A3_D_L20*Limpias_D)+(A3_Y_L20*Limpias_Y))*Inflación_3</f>
        <v>0</v>
      </c>
      <c r="AS23" s="101">
        <f>SUMIFS('9'!$E:$E,'9'!$A:$A,Año_Inicial+2,'9'!$B:$B,'12'!AR$4,'9'!$D:$D,"Limpias manuales")</f>
        <v>0</v>
      </c>
      <c r="AT23" s="101">
        <f>((A3_A_L21*Limpias_A)+(A3_B_L21*Limpias_B)+(A3_C_L21*Limpias_C)+(A3_D_L21*Limpias_D)+(A3_Y_L21*Limpias_Y))*Inflación_3</f>
        <v>0</v>
      </c>
      <c r="AU23" s="101">
        <f>SUMIFS('9'!$E:$E,'9'!$A:$A,Año_Inicial+2,'9'!$B:$B,'12'!AT$4,'9'!$D:$D,"Limpias manuales")</f>
        <v>0</v>
      </c>
      <c r="AV23" s="101">
        <f>((A3_A_L22*Limpias_A)+(A3_B_L22*Limpias_B)+(A3_C_L22*Limpias_C)+(A3_D_L22*Limpias_D)+(A3_Y_L22*Limpias_Y))*Inflación_3</f>
        <v>0</v>
      </c>
      <c r="AW23" s="101">
        <f>SUMIFS('9'!$E:$E,'9'!$A:$A,Año_Inicial+2,'9'!$B:$B,'12'!AV$4,'9'!$D:$D,"Limpias manuales")</f>
        <v>0</v>
      </c>
      <c r="AX23" s="101">
        <f>((A3_A_L23*Limpias_A)+(A3_B_L23*Limpias_B)+(A3_C_L23*Limpias_C)+(A3_D_L23*Limpias_D)+(A3_Y_L23*Limpias_Y))*Inflación_3</f>
        <v>0</v>
      </c>
      <c r="AY23" s="101">
        <f>SUMIFS('9'!$E:$E,'9'!$A:$A,Año_Inicial+2,'9'!$B:$B,'12'!AX$4,'9'!$D:$D,"Limpias manuales")</f>
        <v>0</v>
      </c>
      <c r="AZ23" s="101">
        <f>((A3_A_L24*Limpias_A)+(A3_B_L24*Limpias_B)+(A3_C_L24*Limpias_C)+(A3_D_L24*Limpias_D)+(A3_Y_L24*Limpias_Y))*Inflación_3</f>
        <v>0</v>
      </c>
      <c r="BA23" s="101">
        <f>SUMIFS('9'!$E:$E,'9'!$A:$A,Año_Inicial+2,'9'!$B:$B,'12'!AZ$4,'9'!$D:$D,"Limpias manuales")</f>
        <v>0</v>
      </c>
      <c r="BB23" s="101">
        <f>((A3_A_L25*Limpias_A)+(A3_B_L25*Limpias_B)+(A3_C_L25*Limpias_C)+(A3_D_L25*Limpias_D)+(A3_Y_L25*Limpias_Y))*Inflación_3</f>
        <v>0</v>
      </c>
      <c r="BC23" s="101">
        <f>SUMIFS('9'!$E:$E,'9'!$A:$A,Año_Inicial+2,'9'!$B:$B,'12'!BB$4,'9'!$D:$D,"Limpias manuales")</f>
        <v>0</v>
      </c>
      <c r="BD23" s="101">
        <f>((A3_A_L26*Limpias_A)+(A3_B_L26*Limpias_B)+(A3_C_L26*Limpias_C)+(A3_D_L26*Limpias_D)+(A3_Y_L26*Limpias_Y))*Inflación_3</f>
        <v>0</v>
      </c>
      <c r="BE23" s="101">
        <f>SUMIFS('9'!$E:$E,'9'!$A:$A,Año_Inicial+2,'9'!$B:$B,'12'!BD$4,'9'!$D:$D,"Limpias manuales")</f>
        <v>0</v>
      </c>
      <c r="BF23" s="101">
        <f>((A3_A_L27*Limpias_A)+(A3_B_L27*Limpias_B)+(A3_C_L27*Limpias_C)+(A3_D_L27*Limpias_D)+(A3_Y_L27*Limpias_Y))*Inflación_3</f>
        <v>0</v>
      </c>
      <c r="BG23" s="101">
        <f>SUMIFS('9'!$E:$E,'9'!$A:$A,Año_Inicial+2,'9'!$B:$B,'12'!BF$4,'9'!$D:$D,"Limpias manuales")</f>
        <v>0</v>
      </c>
      <c r="BH23" s="101">
        <f>((A3_A_L28*Limpias_A)+(A3_B_L28*Limpias_B)+(A3_C_L28*Limpias_C)+(A3_D_L28*Limpias_D)+(A3_Y_L28*Limpias_Y))*Inflación_3</f>
        <v>0</v>
      </c>
      <c r="BI23" s="101">
        <f>SUMIFS('9'!$E:$E,'9'!$A:$A,Año_Inicial+2,'9'!$B:$B,'12'!BH$4,'9'!$D:$D,"Limpias manuales")</f>
        <v>0</v>
      </c>
      <c r="BJ23" s="101">
        <f>((A3_A_L29*Limpias_A)+(A3_B_L29*Limpias_B)+(A3_C_L29*Limpias_C)+(A3_D_L29*Limpias_D)+(A3_Y_L29*Limpias_Y))*Inflación_3</f>
        <v>0</v>
      </c>
      <c r="BK23" s="101">
        <f>SUMIFS('9'!$E:$E,'9'!$A:$A,Año_Inicial+2,'9'!$B:$B,'12'!BJ$4,'9'!$D:$D,"Limpias manuales")</f>
        <v>0</v>
      </c>
      <c r="BL23" s="101">
        <f>((A3_A_L30*Limpias_A)+(A3_B_L30*Limpias_B)+(A3_C_L30*Limpias_C)+(A3_D_L30*Limpias_D)+(A3_Y_L30*Limpias_Y))*Inflación_3</f>
        <v>0</v>
      </c>
      <c r="BM23" s="101">
        <f>SUMIFS('9'!$E:$E,'9'!$A:$A,Año_Inicial+2,'9'!$B:$B,'12'!BL$4,'9'!$D:$D,"Limpias manuales")</f>
        <v>0</v>
      </c>
      <c r="BN23" s="101">
        <f>((A3_A_L31*Limpias_A)+(A3_B_L31*Limpias_B)+(A3_C_L31*Limpias_C)+(A3_D_L31*Limpias_D)+(A3_Y_L31*Limpias_Y))*Inflación_3</f>
        <v>0</v>
      </c>
      <c r="BO23" s="101">
        <f>SUMIFS('9'!$E:$E,'9'!$A:$A,Año_Inicial+2,'9'!$B:$B,'12'!BN$4,'9'!$D:$D,"Limpias manuales")</f>
        <v>0</v>
      </c>
      <c r="BP23" s="101">
        <f>((A3_A_L32*Limpias_A)+(A3_B_L32*Limpias_B)+(A3_C_L32*Limpias_C)+(A3_D_L32*Limpias_D)+(A3_Y_L32*Limpias_Y))*Inflación_3</f>
        <v>0</v>
      </c>
      <c r="BQ23" s="101">
        <f>SUMIFS('9'!$E:$E,'9'!$A:$A,Año_Inicial+2,'9'!$B:$B,'12'!BP$4,'9'!$D:$D,"Limpias manuales")</f>
        <v>0</v>
      </c>
      <c r="BR23" s="101">
        <f>((A3_A_L33*Limpias_A)+(A3_B_L33*Limpias_B)+(A3_C_L33*Limpias_C)+(A3_D_L33*Limpias_D)+(A3_Y_L33*Limpias_Y))*Inflación_3</f>
        <v>0</v>
      </c>
      <c r="BS23" s="101">
        <f>SUMIFS('9'!$E:$E,'9'!$A:$A,Año_Inicial+2,'9'!$B:$B,'12'!BR$4,'9'!$D:$D,"Limpias manuales")</f>
        <v>0</v>
      </c>
      <c r="BT23" s="101">
        <f>((A3_A_L34*Limpias_A)+(A3_B_L34*Limpias_B)+(A3_C_L34*Limpias_C)+(A3_D_L34*Limpias_D)+(A3_Y_L34*Limpias_Y))*Inflación_3</f>
        <v>0</v>
      </c>
      <c r="BU23" s="101">
        <f>SUMIFS('9'!$E:$E,'9'!$A:$A,Año_Inicial+2,'9'!$B:$B,'12'!BT$4,'9'!$D:$D,"Limpias manuales")</f>
        <v>0</v>
      </c>
      <c r="BV23" s="101">
        <f>((A3_A_L35*Limpias_A)+(A3_B_L35*Limpias_B)+(A3_C_L35*Limpias_C)+(A3_D_L35*Limpias_D)+(A3_Y_L35*Limpias_Y))*Inflación_3</f>
        <v>0</v>
      </c>
      <c r="BW23" s="101">
        <f>SUMIFS('9'!$E:$E,'9'!$A:$A,Año_Inicial+2,'9'!$B:$B,'12'!BV$4,'9'!$D:$D,"Limpias manuales")</f>
        <v>0</v>
      </c>
      <c r="BX23" s="101">
        <f>((A3_A_L36*Limpias_A)+(A3_B_L36*Limpias_B)+(A3_C_L36*Limpias_C)+(A3_D_L36*Limpias_D)+(A3_Y_L36*Limpias_Y))*Inflación_3</f>
        <v>0</v>
      </c>
      <c r="BY23" s="101">
        <f>SUMIFS('9'!$E:$E,'9'!$A:$A,Año_Inicial+2,'9'!$B:$B,'12'!BX$4,'9'!$D:$D,"Limpias manuales")</f>
        <v>0</v>
      </c>
      <c r="BZ23" s="101">
        <f>((A3_A_L37*Limpias_A)+(A3_B_L37*Limpias_B)+(A3_C_L37*Limpias_C)+(A3_D_L37*Limpias_D)+(A3_Y_L37*Limpias_Y))*Inflación_3</f>
        <v>0</v>
      </c>
      <c r="CA23" s="101">
        <f>SUMIFS('9'!$E:$E,'9'!$A:$A,Año_Inicial+2,'9'!$B:$B,'12'!BZ$4,'9'!$D:$D,"Limpias manuales")</f>
        <v>0</v>
      </c>
      <c r="CB23" s="101">
        <f>((A3_A_L38*Limpias_A)+(A3_B_L38*Limpias_B)+(A3_C_L38*Limpias_C)+(A3_D_L38*Limpias_D)+(A3_Y_L38*Limpias_Y))*Inflación_3</f>
        <v>0</v>
      </c>
      <c r="CC23" s="101">
        <f>SUMIFS('9'!$E:$E,'9'!$A:$A,Año_Inicial+2,'9'!$B:$B,'12'!CB$4,'9'!$D:$D,"Limpias manuales")</f>
        <v>0</v>
      </c>
      <c r="CD23" s="101">
        <f>((A3_A_L39*Limpias_A)+(A3_B_L39*Limpias_B)+(A3_C_L39*Limpias_C)+(A3_D_L39*Limpias_D)+(A3_Y_L39*Limpias_Y))*Inflación_3</f>
        <v>0</v>
      </c>
      <c r="CE23" s="101">
        <f>SUMIFS('9'!$E:$E,'9'!$A:$A,Año_Inicial+2,'9'!$B:$B,'12'!CD$4,'9'!$D:$D,"Limpias manuales")</f>
        <v>0</v>
      </c>
      <c r="CF23" s="101">
        <f>((A3_A_L40*Limpias_A)+(A3_B_L40*Limpias_B)+(A3_C_L40*Limpias_C)+(A3_D_L40*Limpias_D)+(A3_Y_L40*Limpias_Y))*Inflación_3</f>
        <v>0</v>
      </c>
      <c r="CG23" s="101">
        <f>SUMIFS('9'!$E:$E,'9'!$A:$A,Año_Inicial+2,'9'!$B:$B,'12'!CF$4,'9'!$D:$D,"Limpias manuales")</f>
        <v>0</v>
      </c>
      <c r="CH23" s="473"/>
      <c r="CI23" s="101">
        <f>Plantas_A_A3*Limpias_A*Inflación_3</f>
        <v>0</v>
      </c>
      <c r="CJ23" s="101">
        <f>Plantas_B_A3*Limpias_B</f>
        <v>0</v>
      </c>
      <c r="CK23" s="101">
        <f>Plantas_C_A3*Limpias_C</f>
        <v>0</v>
      </c>
      <c r="CL23" s="101">
        <f>Plantas_D_A3*Limpias_D</f>
        <v>0</v>
      </c>
      <c r="CM23" s="101"/>
      <c r="CN23" s="101">
        <f>Plantas_Y_A3*Limpias_Y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SUMIFS('9'!$E:$E,'9'!$A:$A,Año_Inicial+2,'9'!$D:$D,"Herbicida")</f>
        <v>0</v>
      </c>
      <c r="D24" s="100">
        <f t="shared" si="45"/>
        <v>0</v>
      </c>
      <c r="E24" s="490"/>
      <c r="F24" s="101">
        <f>((A3_A_L1*Herbicida_A)+(A3_B_L1*Herbicida_B)+(A3_C_L1*Herbicida_C)+(A3_D_L1*Herbicida_D)+(A3_Y_L1*Herbicida_Y))*Inflación_3</f>
        <v>0</v>
      </c>
      <c r="G24" s="101">
        <f>SUMIFS('9'!$E:$E,'9'!$A:$A,Año_Inicial+2,'9'!$B:$B,'12'!F$4,'9'!$D:$D,"Herbicida")</f>
        <v>0</v>
      </c>
      <c r="H24" s="101">
        <f>((A3_A_L2*Herbicida_A)+(A3_B_L2*Herbicida_B)+(A3_C_L2*Herbicida_C)+(A3_D_L2*Herbicida_D)+(A3_Y_L2*Herbicida_Y))*Inflación_3</f>
        <v>0</v>
      </c>
      <c r="I24" s="101">
        <f>SUMIFS('9'!$E:$E,'9'!$A:$A,Año_Inicial+2,'9'!$B:$B,'12'!H$4,'9'!$D:$D,"Herbicida")</f>
        <v>0</v>
      </c>
      <c r="J24" s="101">
        <f>((A3_A_L3*Herbicida_A)+(A3_B_L3*Herbicida_B)+(A3_C_L3*Herbicida_C)+(A3_D_L3*Herbicida_D)+(A3_Y_L3*Herbicida_Y))*Inflación_3</f>
        <v>0</v>
      </c>
      <c r="K24" s="101">
        <f>SUMIFS('9'!$E:$E,'9'!$A:$A,Año_Inicial+2,'9'!$B:$B,'12'!J$4,'9'!$D:$D,"Herbicida")</f>
        <v>0</v>
      </c>
      <c r="L24" s="101">
        <f>((A3_A_L4*Herbicida_A)+(A3_B_L4*Herbicida_B)+(A3_C_L4*Herbicida_C)+(A3_D_L4*Herbicida_D)+(A3_Y_L4*Herbicida_Y))*Inflación_3</f>
        <v>0</v>
      </c>
      <c r="M24" s="101">
        <f>SUMIFS('9'!$E:$E,'9'!$A:$A,Año_Inicial+2,'9'!$B:$B,'12'!L$4,'9'!$D:$D,"Herbicida")</f>
        <v>0</v>
      </c>
      <c r="N24" s="101">
        <f>((A3_A_L5*Herbicida_A)+(A3_B_L5*Herbicida_B)+(A3_C_L5*Herbicida_C)+(A3_D_L5*Herbicida_D)+(A3_Y_L5*Herbicida_Y))*Inflación_3</f>
        <v>0</v>
      </c>
      <c r="O24" s="101">
        <f>SUMIFS('9'!$E:$E,'9'!$A:$A,Año_Inicial+2,'9'!$B:$B,'12'!N$4,'9'!$D:$D,"Herbicida")</f>
        <v>0</v>
      </c>
      <c r="P24" s="101">
        <f>((A3_A_L6*Herbicida_A)+(A3_B_L6*Herbicida_B)+(A3_C_L6*Herbicida_C)+(A3_D_L6*Herbicida_D)+(A3_Y_L6*Herbicida_Y))*Inflación_3</f>
        <v>0</v>
      </c>
      <c r="Q24" s="101">
        <f>SUMIFS('9'!$E:$E,'9'!$A:$A,Año_Inicial+2,'9'!$B:$B,'12'!P$4,'9'!$D:$D,"Herbicida")</f>
        <v>0</v>
      </c>
      <c r="R24" s="101">
        <f>((A3_A_L7*Herbicida_A)+(A3_B_L7*Herbicida_B)+(A3_C_L7*Herbicida_C)+(A3_D_L7*Herbicida_D)+(A3_Y_L7*Herbicida_Y))*Inflación_3</f>
        <v>0</v>
      </c>
      <c r="S24" s="101">
        <f>SUMIFS('9'!$E:$E,'9'!$A:$A,Año_Inicial+2,'9'!$B:$B,'12'!R$4,'9'!$D:$D,"Herbicida")</f>
        <v>0</v>
      </c>
      <c r="T24" s="101">
        <f>((A3_A_L8*Herbicida_A)+(A3_B_L8*Herbicida_B)+(A3_C_L8*Herbicida_C)+(A3_D_L8*Herbicida_D)+(A3_Y_L8*Herbicida_Y))*Inflación_3</f>
        <v>0</v>
      </c>
      <c r="U24" s="101">
        <f>SUMIFS('9'!$E:$E,'9'!$A:$A,Año_Inicial+2,'9'!$B:$B,'12'!T$4,'9'!$D:$D,"Herbicida")</f>
        <v>0</v>
      </c>
      <c r="V24" s="101">
        <f>((A3_A_L9*Herbicida_A)+(A3_B_L9*Herbicida_B)+(A3_C_L9*Herbicida_C)+(A3_D_L9*Herbicida_D)+(A3_Y_L9*Herbicida_Y))*Inflación_3</f>
        <v>0</v>
      </c>
      <c r="W24" s="101">
        <f>SUMIFS('9'!$E:$E,'9'!$A:$A,Año_Inicial+2,'9'!$B:$B,'12'!V$4,'9'!$D:$D,"Herbicida")</f>
        <v>0</v>
      </c>
      <c r="X24" s="101">
        <f>((A3_A_L10*Herbicida_A)+(A3_B_L10*Herbicida_B)+(A3_C_L10*Herbicida_C)+(A3_D_L10*Herbicida_D)+(A3_Y_L10*Herbicida_Y))*Inflación_3</f>
        <v>0</v>
      </c>
      <c r="Y24" s="101">
        <f>SUMIFS('9'!$E:$E,'9'!$A:$A,Año_Inicial+2,'9'!$B:$B,'12'!X$4,'9'!$D:$D,"Herbicida")</f>
        <v>0</v>
      </c>
      <c r="Z24" s="101">
        <f>((A3_A_L11*Herbicida_A)+(A3_B_L11*Herbicida_B)+(A3_C_L11*Herbicida_C)+(A3_D_L11*Herbicida_D)+(A3_Y_L11*Herbicida_Y))*Inflación_3</f>
        <v>0</v>
      </c>
      <c r="AA24" s="101">
        <f>SUMIFS('9'!$E:$E,'9'!$A:$A,Año_Inicial+2,'9'!$B:$B,'12'!Z$4,'9'!$D:$D,"Herbicida")</f>
        <v>0</v>
      </c>
      <c r="AB24" s="101">
        <f>((A3_A_L12*Herbicida_A)+(A3_B_L12*Herbicida_B)+(A3_C_L12*Herbicida_C)+(A3_D_L12*Herbicida_D)+(A3_Y_L12*Herbicida_Y))*Inflación_3</f>
        <v>0</v>
      </c>
      <c r="AC24" s="101">
        <f>SUMIFS('9'!$E:$E,'9'!$A:$A,Año_Inicial+2,'9'!$B:$B,'12'!AB$4,'9'!$D:$D,"Herbicida")</f>
        <v>0</v>
      </c>
      <c r="AD24" s="101">
        <f>((A3_A_L13*Herbicida_A)+(A3_B_L13*Herbicida_B)+(A3_C_L13*Herbicida_C)+(A3_D_L13*Herbicida_D)+(A3_Y_L13*Herbicida_Y))*Inflación_3</f>
        <v>0</v>
      </c>
      <c r="AE24" s="101">
        <f>SUMIFS('9'!$E:$E,'9'!$A:$A,Año_Inicial+2,'9'!$B:$B,'12'!AD$4,'9'!$D:$D,"Herbicida")</f>
        <v>0</v>
      </c>
      <c r="AF24" s="101">
        <f>((A3_A_L14*Herbicida_A)+(A3_B_L14*Herbicida_B)+(A3_C_L14*Herbicida_C)+(A3_D_L14*Herbicida_D)+(A3_Y_L14*Herbicida_Y))*Inflación_3</f>
        <v>0</v>
      </c>
      <c r="AG24" s="101">
        <f>SUMIFS('9'!$E:$E,'9'!$A:$A,Año_Inicial+2,'9'!$B:$B,'12'!AF$4,'9'!$D:$D,"Herbicida")</f>
        <v>0</v>
      </c>
      <c r="AH24" s="101">
        <f>((A3_A_L15*Herbicida_A)+(A3_B_L15*Herbicida_B)+(A3_C_L15*Herbicida_C)+(A3_D_L15*Herbicida_D)+(A3_Y_L15*Herbicida_Y))*Inflación_3</f>
        <v>0</v>
      </c>
      <c r="AI24" s="101">
        <f>SUMIFS('9'!$E:$E,'9'!$A:$A,Año_Inicial+2,'9'!$B:$B,'12'!AH$4,'9'!$D:$D,"Herbicida")</f>
        <v>0</v>
      </c>
      <c r="AJ24" s="101">
        <f>((A3_A_L16*Herbicida_A)+(A3_B_L16*Herbicida_B)+(A3_C_L16*Herbicida_C)+(A3_D_L16*Herbicida_D)+(A3_Y_L16*Herbicida_Y))*Inflación_3</f>
        <v>0</v>
      </c>
      <c r="AK24" s="101">
        <f>SUMIFS('9'!$E:$E,'9'!$A:$A,Año_Inicial+2,'9'!$B:$B,'12'!AJ$4,'9'!$D:$D,"Herbicida")</f>
        <v>0</v>
      </c>
      <c r="AL24" s="101">
        <f>((A3_A_L17*Herbicida_A)+(A3_B_L17*Herbicida_B)+(A3_C_L17*Herbicida_C)+(A3_D_L17*Herbicida_D)+(A3_Y_L17*Herbicida_Y))*Inflación_3</f>
        <v>0</v>
      </c>
      <c r="AM24" s="101">
        <f>SUMIFS('9'!$E:$E,'9'!$A:$A,Año_Inicial+2,'9'!$B:$B,'12'!AL$4,'9'!$D:$D,"Herbicida")</f>
        <v>0</v>
      </c>
      <c r="AN24" s="101">
        <f>((A3_A_L18*Herbicida_A)+(A3_B_L18*Herbicida_B)+(A3_C_L18*Herbicida_C)+(A3_D_L18*Herbicida_D)+(A3_Y_L18*Herbicida_Y))*Inflación_3</f>
        <v>0</v>
      </c>
      <c r="AO24" s="101">
        <f>SUMIFS('9'!$E:$E,'9'!$A:$A,Año_Inicial+2,'9'!$B:$B,'12'!AN$4,'9'!$D:$D,"Herbicida")</f>
        <v>0</v>
      </c>
      <c r="AP24" s="101">
        <f>((A3_A_L19*Herbicida_A)+(A3_B_L19*Herbicida_B)+(A3_C_L19*Herbicida_C)+(A3_D_L19*Herbicida_D)+(A3_Y_L19*Herbicida_Y))*Inflación_3</f>
        <v>0</v>
      </c>
      <c r="AQ24" s="101">
        <f>SUMIFS('9'!$E:$E,'9'!$A:$A,Año_Inicial+2,'9'!$B:$B,'12'!AP$4,'9'!$D:$D,"Herbicida")</f>
        <v>0</v>
      </c>
      <c r="AR24" s="101">
        <f>((A3_A_L20*Herbicida_A)+(A3_B_L20*Herbicida_B)+(A3_C_L20*Herbicida_C)+(A3_D_L20*Herbicida_D)+(A3_Y_L20*Herbicida_Y))*Inflación_3</f>
        <v>0</v>
      </c>
      <c r="AS24" s="101">
        <f>SUMIFS('9'!$E:$E,'9'!$A:$A,Año_Inicial+2,'9'!$B:$B,'12'!AR$4,'9'!$D:$D,"Herbicida")</f>
        <v>0</v>
      </c>
      <c r="AT24" s="101">
        <f>((A3_A_L21*Herbicida_A)+(A3_B_L21*Herbicida_B)+(A3_C_L21*Herbicida_C)+(A3_D_L21*Herbicida_D)+(A3_Y_L21*Herbicida_Y))*Inflación_3</f>
        <v>0</v>
      </c>
      <c r="AU24" s="101">
        <f>SUMIFS('9'!$E:$E,'9'!$A:$A,Año_Inicial+2,'9'!$B:$B,'12'!AT$4,'9'!$D:$D,"Herbicida")</f>
        <v>0</v>
      </c>
      <c r="AV24" s="101">
        <f>((A3_A_L22*Herbicida_A)+(A3_B_L22*Herbicida_B)+(A3_C_L22*Herbicida_C)+(A3_D_L22*Herbicida_D)+(A3_Y_L22*Herbicida_Y))*Inflación_3</f>
        <v>0</v>
      </c>
      <c r="AW24" s="101">
        <f>SUMIFS('9'!$E:$E,'9'!$A:$A,Año_Inicial+2,'9'!$B:$B,'12'!AV$4,'9'!$D:$D,"Herbicida")</f>
        <v>0</v>
      </c>
      <c r="AX24" s="101">
        <f>((A3_A_L23*Herbicida_A)+(A3_B_L23*Herbicida_B)+(A3_C_L23*Herbicida_C)+(A3_D_L23*Herbicida_D)+(A3_Y_L23*Herbicida_Y))*Inflación_3</f>
        <v>0</v>
      </c>
      <c r="AY24" s="101">
        <f>SUMIFS('9'!$E:$E,'9'!$A:$A,Año_Inicial+2,'9'!$B:$B,'12'!AX$4,'9'!$D:$D,"Herbicida")</f>
        <v>0</v>
      </c>
      <c r="AZ24" s="101">
        <f>((A3_A_L24*Herbicida_A)+(A3_B_L24*Herbicida_B)+(A3_C_L24*Herbicida_C)+(A3_D_L24*Herbicida_D)+(A3_Y_L24*Herbicida_Y))*Inflación_3</f>
        <v>0</v>
      </c>
      <c r="BA24" s="101">
        <f>SUMIFS('9'!$E:$E,'9'!$A:$A,Año_Inicial+2,'9'!$B:$B,'12'!AZ$4,'9'!$D:$D,"Herbicida")</f>
        <v>0</v>
      </c>
      <c r="BB24" s="101">
        <f>((A3_A_L25*Herbicida_A)+(A3_B_L25*Herbicida_B)+(A3_C_L25*Herbicida_C)+(A3_D_L25*Herbicida_D)+(A3_Y_L25*Herbicida_Y))*Inflación_3</f>
        <v>0</v>
      </c>
      <c r="BC24" s="101">
        <f>SUMIFS('9'!$E:$E,'9'!$A:$A,Año_Inicial+2,'9'!$B:$B,'12'!BB$4,'9'!$D:$D,"Herbicida")</f>
        <v>0</v>
      </c>
      <c r="BD24" s="101">
        <f>((A3_A_L26*Herbicida_A)+(A3_B_L26*Herbicida_B)+(A3_C_L26*Herbicida_C)+(A3_D_L26*Herbicida_D)+(A3_Y_L26*Herbicida_Y))*Inflación_3</f>
        <v>0</v>
      </c>
      <c r="BE24" s="101">
        <f>SUMIFS('9'!$E:$E,'9'!$A:$A,Año_Inicial+2,'9'!$B:$B,'12'!BD$4,'9'!$D:$D,"Herbicida")</f>
        <v>0</v>
      </c>
      <c r="BF24" s="101">
        <f>((A3_A_L27*Herbicida_A)+(A3_B_L27*Herbicida_B)+(A3_C_L27*Herbicida_C)+(A3_D_L27*Herbicida_D)+(A3_Y_L27*Herbicida_Y))*Inflación_3</f>
        <v>0</v>
      </c>
      <c r="BG24" s="101">
        <f>SUMIFS('9'!$E:$E,'9'!$A:$A,Año_Inicial+2,'9'!$B:$B,'12'!BF$4,'9'!$D:$D,"Herbicida")</f>
        <v>0</v>
      </c>
      <c r="BH24" s="101">
        <f>((A3_A_L28*Herbicida_A)+(A3_B_L28*Herbicida_B)+(A3_C_L28*Herbicida_C)+(A3_D_L28*Herbicida_D)+(A3_Y_L28*Herbicida_Y))*Inflación_3</f>
        <v>0</v>
      </c>
      <c r="BI24" s="101">
        <f>SUMIFS('9'!$E:$E,'9'!$A:$A,Año_Inicial+2,'9'!$B:$B,'12'!BH$4,'9'!$D:$D,"Herbicida")</f>
        <v>0</v>
      </c>
      <c r="BJ24" s="101">
        <f>((A3_A_L29*Herbicida_A)+(A3_B_L29*Herbicida_B)+(A3_C_L29*Herbicida_C)+(A3_D_L29*Herbicida_D)+(A3_Y_L29*Herbicida_Y))*Inflación_3</f>
        <v>0</v>
      </c>
      <c r="BK24" s="101">
        <f>SUMIFS('9'!$E:$E,'9'!$A:$A,Año_Inicial+2,'9'!$B:$B,'12'!BJ$4,'9'!$D:$D,"Herbicida")</f>
        <v>0</v>
      </c>
      <c r="BL24" s="101">
        <f>((A3_A_L30*Herbicida_A)+(A3_B_L30*Herbicida_B)+(A3_C_L30*Herbicida_C)+(A3_D_L30*Herbicida_D)+(A3_Y_L30*Herbicida_Y))*Inflación_3</f>
        <v>0</v>
      </c>
      <c r="BM24" s="101">
        <f>SUMIFS('9'!$E:$E,'9'!$A:$A,Año_Inicial+2,'9'!$B:$B,'12'!BL$4,'9'!$D:$D,"Herbicida")</f>
        <v>0</v>
      </c>
      <c r="BN24" s="101">
        <f>((A3_A_L31*Herbicida_A)+(A3_B_L31*Herbicida_B)+(A3_C_L31*Herbicida_C)+(A3_D_L31*Herbicida_D)+(A3_Y_L31*Herbicida_Y))*Inflación_3</f>
        <v>0</v>
      </c>
      <c r="BO24" s="101">
        <f>SUMIFS('9'!$E:$E,'9'!$A:$A,Año_Inicial+2,'9'!$B:$B,'12'!BN$4,'9'!$D:$D,"Herbicida")</f>
        <v>0</v>
      </c>
      <c r="BP24" s="101">
        <f>((A3_A_L32*Herbicida_A)+(A3_B_L32*Herbicida_B)+(A3_C_L32*Herbicida_C)+(A3_D_L32*Herbicida_D)+(A3_Y_L32*Herbicida_Y))*Inflación_3</f>
        <v>0</v>
      </c>
      <c r="BQ24" s="101">
        <f>SUMIFS('9'!$E:$E,'9'!$A:$A,Año_Inicial+2,'9'!$B:$B,'12'!BP$4,'9'!$D:$D,"Herbicida")</f>
        <v>0</v>
      </c>
      <c r="BR24" s="101">
        <f>((A3_A_L33*Herbicida_A)+(A3_B_L33*Herbicida_B)+(A3_C_L33*Herbicida_C)+(A3_D_L33*Herbicida_D)+(A3_Y_L33*Herbicida_Y))*Inflación_3</f>
        <v>0</v>
      </c>
      <c r="BS24" s="101">
        <f>SUMIFS('9'!$E:$E,'9'!$A:$A,Año_Inicial+2,'9'!$B:$B,'12'!BR$4,'9'!$D:$D,"Herbicida")</f>
        <v>0</v>
      </c>
      <c r="BT24" s="101">
        <f>((A3_A_L34*Herbicida_A)+(A3_B_L34*Herbicida_B)+(A3_C_L34*Herbicida_C)+(A3_D_L34*Herbicida_D)+(A3_Y_L34*Herbicida_Y))*Inflación_3</f>
        <v>0</v>
      </c>
      <c r="BU24" s="101">
        <f>SUMIFS('9'!$E:$E,'9'!$A:$A,Año_Inicial+2,'9'!$B:$B,'12'!BT$4,'9'!$D:$D,"Herbicida")</f>
        <v>0</v>
      </c>
      <c r="BV24" s="101">
        <f>((A3_A_L35*Herbicida_A)+(A3_B_L35*Herbicida_B)+(A3_C_L35*Herbicida_C)+(A3_D_L35*Herbicida_D)+(A3_Y_L35*Herbicida_Y))*Inflación_3</f>
        <v>0</v>
      </c>
      <c r="BW24" s="101">
        <f>SUMIFS('9'!$E:$E,'9'!$A:$A,Año_Inicial+2,'9'!$B:$B,'12'!BV$4,'9'!$D:$D,"Herbicida")</f>
        <v>0</v>
      </c>
      <c r="BX24" s="101">
        <f>((A3_A_L36*Herbicida_A)+(A3_B_L36*Herbicida_B)+(A3_C_L36*Herbicida_C)+(A3_D_L36*Herbicida_D)+(A3_Y_L36*Herbicida_Y))*Inflación_3</f>
        <v>0</v>
      </c>
      <c r="BY24" s="101">
        <f>SUMIFS('9'!$E:$E,'9'!$A:$A,Año_Inicial+2,'9'!$B:$B,'12'!BX$4,'9'!$D:$D,"Herbicida")</f>
        <v>0</v>
      </c>
      <c r="BZ24" s="101">
        <f>((A3_A_L37*Herbicida_A)+(A3_B_L37*Herbicida_B)+(A3_C_L37*Herbicida_C)+(A3_D_L37*Herbicida_D)+(A3_Y_L37*Herbicida_Y))*Inflación_3</f>
        <v>0</v>
      </c>
      <c r="CA24" s="101">
        <f>SUMIFS('9'!$E:$E,'9'!$A:$A,Año_Inicial+2,'9'!$B:$B,'12'!BZ$4,'9'!$D:$D,"Herbicida")</f>
        <v>0</v>
      </c>
      <c r="CB24" s="101">
        <f>((A3_A_L38*Herbicida_A)+(A3_B_L38*Herbicida_B)+(A3_C_L38*Herbicida_C)+(A3_D_L38*Herbicida_D)+(A3_Y_L38*Herbicida_Y))*Inflación_3</f>
        <v>0</v>
      </c>
      <c r="CC24" s="101">
        <f>SUMIFS('9'!$E:$E,'9'!$A:$A,Año_Inicial+2,'9'!$B:$B,'12'!CB$4,'9'!$D:$D,"Herbicida")</f>
        <v>0</v>
      </c>
      <c r="CD24" s="101">
        <f>((A3_A_L39*Herbicida_A)+(A3_B_L39*Herbicida_B)+(A3_C_L39*Herbicida_C)+(A3_D_L39*Herbicida_D)+(A3_Y_L39*Herbicida_Y))*Inflación_3</f>
        <v>0</v>
      </c>
      <c r="CE24" s="101">
        <f>SUMIFS('9'!$E:$E,'9'!$A:$A,Año_Inicial+2,'9'!$B:$B,'12'!CD$4,'9'!$D:$D,"Herbicida")</f>
        <v>0</v>
      </c>
      <c r="CF24" s="101">
        <f>((A3_A_L40*Herbicida_A)+(A3_B_L40*Herbicida_B)+(A3_C_L40*Herbicida_C)+(A3_D_L40*Herbicida_D)+(A3_Y_L40*Herbicida_Y))*Inflación_3</f>
        <v>0</v>
      </c>
      <c r="CG24" s="101">
        <f>SUMIFS('9'!$E:$E,'9'!$A:$A,Año_Inicial+2,'9'!$B:$B,'12'!CF$4,'9'!$D:$D,"Herbicida")</f>
        <v>0</v>
      </c>
      <c r="CH24" s="473"/>
      <c r="CI24" s="101">
        <f>Plantas_A_A3*Herbicida_A*Inflación_3</f>
        <v>0</v>
      </c>
      <c r="CJ24" s="101">
        <f>Plantas_B_A3*Herbicida_B</f>
        <v>0</v>
      </c>
      <c r="CK24" s="101">
        <f>Plantas_C_A3*Herbicida_C</f>
        <v>0</v>
      </c>
      <c r="CL24" s="101">
        <f>Plantas_D_A3*Herbicida_D</f>
        <v>0</v>
      </c>
      <c r="CM24" s="101"/>
      <c r="CN24" s="101">
        <f>Plantas_Y_A3*Herbicida_Y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90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SUMIFS('9'!$E:$E,'9'!$A:$A,Año_Inicial+2,'9'!$D:$D,"Prevención de plagas")</f>
        <v>0</v>
      </c>
      <c r="D26" s="100">
        <f t="shared" si="45"/>
        <v>0</v>
      </c>
      <c r="E26" s="490"/>
      <c r="F26" s="101">
        <f>((A3_A_L1*Plagas_A)+(A3_B_L1*Plagas_B)+(A3_C_L1*Plagas_C)+(A3_D_L1*Plagas_D)+(A3_Y_L1*Plagas_Y))*Inflación_3</f>
        <v>0</v>
      </c>
      <c r="G26" s="101">
        <f>SUMIFS('9'!$E:$E,'9'!$A:$A,Año_Inicial+2,'9'!$B:$B,'12'!F$4,'9'!$D:$D,"Prevención de plagas")</f>
        <v>0</v>
      </c>
      <c r="H26" s="101">
        <f>((A3_A_L2*Plagas_A)+(A3_B_L2*Plagas_B)+(A3_C_L2*Plagas_C)+(A3_D_L2*Plagas_D)+(A3_Y_L2*Plagas_Y))*Inflación_3</f>
        <v>0</v>
      </c>
      <c r="I26" s="101">
        <f>SUMIFS('9'!$E:$E,'9'!$A:$A,Año_Inicial+2,'9'!$B:$B,'12'!H$4,'9'!$D:$D,"Prevención de plagas")</f>
        <v>0</v>
      </c>
      <c r="J26" s="101">
        <f>((A3_A_L3*Plagas_A)+(A3_B_L3*Plagas_B)+(A3_C_L3*Plagas_C)+(A3_D_L3*Plagas_D)+(A3_Y_L3*Plagas_Y))*Inflación_3</f>
        <v>0</v>
      </c>
      <c r="K26" s="101">
        <f>SUMIFS('9'!$E:$E,'9'!$A:$A,Año_Inicial+2,'9'!$B:$B,'12'!J$4,'9'!$D:$D,"Prevención de plagas")</f>
        <v>0</v>
      </c>
      <c r="L26" s="101">
        <f>((A3_A_L4*Plagas_A)+(A3_B_L4*Plagas_B)+(A3_C_L4*Plagas_C)+(A3_D_L4*Plagas_D)+(A3_Y_L4*Plagas_Y))*Inflación_3</f>
        <v>0</v>
      </c>
      <c r="M26" s="101">
        <f>SUMIFS('9'!$E:$E,'9'!$A:$A,Año_Inicial+2,'9'!$B:$B,'12'!L$4,'9'!$D:$D,"Prevención de plagas")</f>
        <v>0</v>
      </c>
      <c r="N26" s="101">
        <f>((A3_A_L5*Plagas_A)+(A3_B_L5*Plagas_B)+(A3_C_L5*Plagas_C)+(A3_D_L5*Plagas_D)+(A3_Y_L5*Plagas_Y))*Inflación_3</f>
        <v>0</v>
      </c>
      <c r="O26" s="101">
        <f>SUMIFS('9'!$E:$E,'9'!$A:$A,Año_Inicial+2,'9'!$B:$B,'12'!N$4,'9'!$D:$D,"Prevención de plagas")</f>
        <v>0</v>
      </c>
      <c r="P26" s="101">
        <f>((A3_A_L6*Plagas_A)+(A3_B_L6*Plagas_B)+(A3_C_L6*Plagas_C)+(A3_D_L6*Plagas_D)+(A3_Y_L6*Plagas_Y))*Inflación_3</f>
        <v>0</v>
      </c>
      <c r="Q26" s="101">
        <f>SUMIFS('9'!$E:$E,'9'!$A:$A,Año_Inicial+2,'9'!$B:$B,'12'!P$4,'9'!$D:$D,"Prevención de plagas")</f>
        <v>0</v>
      </c>
      <c r="R26" s="101">
        <f>((A3_A_L7*Plagas_A)+(A3_B_L7*Plagas_B)+(A3_C_L7*Plagas_C)+(A3_D_L7*Plagas_D)+(A3_Y_L7*Plagas_Y))*Inflación_3</f>
        <v>0</v>
      </c>
      <c r="S26" s="101">
        <f>SUMIFS('9'!$E:$E,'9'!$A:$A,Año_Inicial+2,'9'!$B:$B,'12'!R$4,'9'!$D:$D,"Prevención de plagas")</f>
        <v>0</v>
      </c>
      <c r="T26" s="101">
        <f>((A3_A_L8*Plagas_A)+(A3_B_L8*Plagas_B)+(A3_C_L8*Plagas_C)+(A3_D_L8*Plagas_D)+(A3_Y_L8*Plagas_Y))*Inflación_3</f>
        <v>0</v>
      </c>
      <c r="U26" s="101">
        <f>SUMIFS('9'!$E:$E,'9'!$A:$A,Año_Inicial+2,'9'!$B:$B,'12'!T$4,'9'!$D:$D,"Prevención de plagas")</f>
        <v>0</v>
      </c>
      <c r="V26" s="101">
        <f>((A3_A_L9*Plagas_A)+(A3_B_L9*Plagas_B)+(A3_C_L9*Plagas_C)+(A3_D_L9*Plagas_D)+(A3_Y_L9*Plagas_Y))*Inflación_3</f>
        <v>0</v>
      </c>
      <c r="W26" s="101">
        <f>SUMIFS('9'!$E:$E,'9'!$A:$A,Año_Inicial+2,'9'!$B:$B,'12'!V$4,'9'!$D:$D,"Prevención de plagas")</f>
        <v>0</v>
      </c>
      <c r="X26" s="101">
        <f>((A3_A_L10*Plagas_A)+(A3_B_L10*Plagas_B)+(A3_C_L10*Plagas_C)+(A3_D_L10*Plagas_D)+(A3_Y_L10*Plagas_Y))*Inflación_3</f>
        <v>0</v>
      </c>
      <c r="Y26" s="101">
        <f>SUMIFS('9'!$E:$E,'9'!$A:$A,Año_Inicial+2,'9'!$B:$B,'12'!X$4,'9'!$D:$D,"Prevención de plagas")</f>
        <v>0</v>
      </c>
      <c r="Z26" s="101">
        <f>((A3_A_L11*Plagas_A)+(A3_B_L11*Plagas_B)+(A3_C_L11*Plagas_C)+(A3_D_L11*Plagas_D)+(A3_Y_L11*Plagas_Y))*Inflación_3</f>
        <v>0</v>
      </c>
      <c r="AA26" s="101">
        <f>SUMIFS('9'!$E:$E,'9'!$A:$A,Año_Inicial+2,'9'!$B:$B,'12'!Z$4,'9'!$D:$D,"Prevención de plagas")</f>
        <v>0</v>
      </c>
      <c r="AB26" s="101">
        <f>((A3_A_L12*Plagas_A)+(A3_B_L12*Plagas_B)+(A3_C_L12*Plagas_C)+(A3_D_L12*Plagas_D)+(A3_Y_L12*Plagas_Y))*Inflación_3</f>
        <v>0</v>
      </c>
      <c r="AC26" s="101">
        <f>SUMIFS('9'!$E:$E,'9'!$A:$A,Año_Inicial+2,'9'!$B:$B,'12'!AB$4,'9'!$D:$D,"Prevención de plagas")</f>
        <v>0</v>
      </c>
      <c r="AD26" s="101">
        <f>((A3_A_L13*Plagas_A)+(A3_B_L13*Plagas_B)+(A3_C_L13*Plagas_C)+(A3_D_L13*Plagas_D)+(A3_Y_L13*Plagas_Y))*Inflación_3</f>
        <v>0</v>
      </c>
      <c r="AE26" s="101">
        <f>SUMIFS('9'!$E:$E,'9'!$A:$A,Año_Inicial+2,'9'!$B:$B,'12'!AD$4,'9'!$D:$D,"Prevención de plagas")</f>
        <v>0</v>
      </c>
      <c r="AF26" s="101">
        <f>((A3_A_L14*Plagas_A)+(A3_B_L14*Plagas_B)+(A3_C_L14*Plagas_C)+(A3_D_L14*Plagas_D)+(A3_Y_L14*Plagas_Y))*Inflación_3</f>
        <v>0</v>
      </c>
      <c r="AG26" s="101">
        <f>SUMIFS('9'!$E:$E,'9'!$A:$A,Año_Inicial+2,'9'!$B:$B,'12'!AF$4,'9'!$D:$D,"Prevención de plagas")</f>
        <v>0</v>
      </c>
      <c r="AH26" s="101">
        <f>((A3_A_L15*Plagas_A)+(A3_B_L15*Plagas_B)+(A3_C_L15*Plagas_C)+(A3_D_L15*Plagas_D)+(A3_Y_L15*Plagas_Y))*Inflación_3</f>
        <v>0</v>
      </c>
      <c r="AI26" s="101">
        <f>SUMIFS('9'!$E:$E,'9'!$A:$A,Año_Inicial+2,'9'!$B:$B,'12'!AH$4,'9'!$D:$D,"Prevención de plagas")</f>
        <v>0</v>
      </c>
      <c r="AJ26" s="101">
        <f>((A3_A_L16*Plagas_A)+(A3_B_L16*Plagas_B)+(A3_C_L16*Plagas_C)+(A3_D_L16*Plagas_D)+(A3_Y_L16*Plagas_Y))*Inflación_3</f>
        <v>0</v>
      </c>
      <c r="AK26" s="101">
        <f>SUMIFS('9'!$E:$E,'9'!$A:$A,Año_Inicial+2,'9'!$B:$B,'12'!AJ$4,'9'!$D:$D,"Prevención de plagas")</f>
        <v>0</v>
      </c>
      <c r="AL26" s="101">
        <f>((A3_A_L17*Plagas_A)+(A3_B_L17*Plagas_B)+(A3_C_L17*Plagas_C)+(A3_D_L17*Plagas_D)+(A3_Y_L17*Plagas_Y))*Inflación_3</f>
        <v>0</v>
      </c>
      <c r="AM26" s="101">
        <f>SUMIFS('9'!$E:$E,'9'!$A:$A,Año_Inicial+2,'9'!$B:$B,'12'!AL$4,'9'!$D:$D,"Prevención de plagas")</f>
        <v>0</v>
      </c>
      <c r="AN26" s="101">
        <f>((A3_A_L18*Plagas_A)+(A3_B_L18*Plagas_B)+(A3_C_L18*Plagas_C)+(A3_D_L18*Plagas_D)+(A3_Y_L18*Plagas_Y))*Inflación_3</f>
        <v>0</v>
      </c>
      <c r="AO26" s="101">
        <f>SUMIFS('9'!$E:$E,'9'!$A:$A,Año_Inicial+2,'9'!$B:$B,'12'!AN$4,'9'!$D:$D,"Prevención de plagas")</f>
        <v>0</v>
      </c>
      <c r="AP26" s="101">
        <f>((A3_A_L19*Plagas_A)+(A3_B_L19*Plagas_B)+(A3_C_L19*Plagas_C)+(A3_D_L19*Plagas_D)+(A3_Y_L19*Plagas_Y))*Inflación_3</f>
        <v>0</v>
      </c>
      <c r="AQ26" s="101">
        <f>SUMIFS('9'!$E:$E,'9'!$A:$A,Año_Inicial+2,'9'!$B:$B,'12'!AP$4,'9'!$D:$D,"Prevención de plagas")</f>
        <v>0</v>
      </c>
      <c r="AR26" s="101">
        <f>((A3_A_L20*Plagas_A)+(A3_B_L20*Plagas_B)+(A3_C_L20*Plagas_C)+(A3_D_L20*Plagas_D)+(A3_Y_L20*Plagas_Y))*Inflación_3</f>
        <v>0</v>
      </c>
      <c r="AS26" s="101">
        <f>SUMIFS('9'!$E:$E,'9'!$A:$A,Año_Inicial+2,'9'!$B:$B,'12'!AR$4,'9'!$D:$D,"Prevención de plagas")</f>
        <v>0</v>
      </c>
      <c r="AT26" s="101">
        <f>((A3_A_L21*Plagas_A)+(A3_B_L21*Plagas_B)+(A3_C_L21*Plagas_C)+(A3_D_L21*Plagas_D)+(A3_Y_L21*Plagas_Y))*Inflación_3</f>
        <v>0</v>
      </c>
      <c r="AU26" s="101">
        <f>SUMIFS('9'!$E:$E,'9'!$A:$A,Año_Inicial+2,'9'!$B:$B,'12'!AT$4,'9'!$D:$D,"Prevención de plagas")</f>
        <v>0</v>
      </c>
      <c r="AV26" s="101">
        <f>((A3_A_L22*Plagas_A)+(A3_B_L22*Plagas_B)+(A3_C_L22*Plagas_C)+(A3_D_L22*Plagas_D)+(A3_Y_L22*Plagas_Y))*Inflación_3</f>
        <v>0</v>
      </c>
      <c r="AW26" s="101">
        <f>SUMIFS('9'!$E:$E,'9'!$A:$A,Año_Inicial+2,'9'!$B:$B,'12'!AV$4,'9'!$D:$D,"Prevención de plagas")</f>
        <v>0</v>
      </c>
      <c r="AX26" s="101">
        <f>((A3_A_L23*Plagas_A)+(A3_B_L23*Plagas_B)+(A3_C_L23*Plagas_C)+(A3_D_L23*Plagas_D)+(A3_Y_L23*Plagas_Y))*Inflación_3</f>
        <v>0</v>
      </c>
      <c r="AY26" s="101">
        <f>SUMIFS('9'!$E:$E,'9'!$A:$A,Año_Inicial+2,'9'!$B:$B,'12'!AX$4,'9'!$D:$D,"Prevención de plagas")</f>
        <v>0</v>
      </c>
      <c r="AZ26" s="101">
        <f>((A3_A_L24*Plagas_A)+(A3_B_L24*Plagas_B)+(A3_C_L24*Plagas_C)+(A3_D_L24*Plagas_D)+(A3_Y_L24*Plagas_Y))*Inflación_3</f>
        <v>0</v>
      </c>
      <c r="BA26" s="101">
        <f>SUMIFS('9'!$E:$E,'9'!$A:$A,Año_Inicial+2,'9'!$B:$B,'12'!AZ$4,'9'!$D:$D,"Prevención de plagas")</f>
        <v>0</v>
      </c>
      <c r="BB26" s="101">
        <f>((A3_A_L25*Plagas_A)+(A3_B_L25*Plagas_B)+(A3_C_L25*Plagas_C)+(A3_D_L25*Plagas_D)+(A3_Y_L25*Plagas_Y))*Inflación_3</f>
        <v>0</v>
      </c>
      <c r="BC26" s="101">
        <f>SUMIFS('9'!$E:$E,'9'!$A:$A,Año_Inicial+2,'9'!$B:$B,'12'!BB$4,'9'!$D:$D,"Prevención de plagas")</f>
        <v>0</v>
      </c>
      <c r="BD26" s="101">
        <f>((A3_A_L26*Plagas_A)+(A3_B_L26*Plagas_B)+(A3_C_L26*Plagas_C)+(A3_D_L26*Plagas_D)+(A3_Y_L26*Plagas_Y))*Inflación_3</f>
        <v>0</v>
      </c>
      <c r="BE26" s="101">
        <f>SUMIFS('9'!$E:$E,'9'!$A:$A,Año_Inicial+2,'9'!$B:$B,'12'!BD$4,'9'!$D:$D,"Prevención de plagas")</f>
        <v>0</v>
      </c>
      <c r="BF26" s="101">
        <f>((A3_A_L27*Plagas_A)+(A3_B_L27*Plagas_B)+(A3_C_L27*Plagas_C)+(A3_D_L27*Plagas_D)+(A3_Y_L27*Plagas_Y))*Inflación_3</f>
        <v>0</v>
      </c>
      <c r="BG26" s="101">
        <f>SUMIFS('9'!$E:$E,'9'!$A:$A,Año_Inicial+2,'9'!$B:$B,'12'!BF$4,'9'!$D:$D,"Prevención de plagas")</f>
        <v>0</v>
      </c>
      <c r="BH26" s="101">
        <f>((A3_A_L28*Plagas_A)+(A3_B_L28*Plagas_B)+(A3_C_L28*Plagas_C)+(A3_D_L28*Plagas_D)+(A3_Y_L28*Plagas_Y))*Inflación_3</f>
        <v>0</v>
      </c>
      <c r="BI26" s="101">
        <f>SUMIFS('9'!$E:$E,'9'!$A:$A,Año_Inicial+2,'9'!$B:$B,'12'!BH$4,'9'!$D:$D,"Prevención de plagas")</f>
        <v>0</v>
      </c>
      <c r="BJ26" s="101">
        <f>((A3_A_L29*Plagas_A)+(A3_B_L29*Plagas_B)+(A3_C_L29*Plagas_C)+(A3_D_L29*Plagas_D)+(A3_Y_L29*Plagas_Y))*Inflación_3</f>
        <v>0</v>
      </c>
      <c r="BK26" s="101">
        <f>SUMIFS('9'!$E:$E,'9'!$A:$A,Año_Inicial+2,'9'!$B:$B,'12'!BJ$4,'9'!$D:$D,"Prevención de plagas")</f>
        <v>0</v>
      </c>
      <c r="BL26" s="101">
        <f>((A3_A_L30*Plagas_A)+(A3_B_L30*Plagas_B)+(A3_C_L30*Plagas_C)+(A3_D_L30*Plagas_D)+(A3_Y_L30*Plagas_Y))*Inflación_3</f>
        <v>0</v>
      </c>
      <c r="BM26" s="101">
        <f>SUMIFS('9'!$E:$E,'9'!$A:$A,Año_Inicial+2,'9'!$B:$B,'12'!BL$4,'9'!$D:$D,"Prevención de plagas")</f>
        <v>0</v>
      </c>
      <c r="BN26" s="101">
        <f>((A3_A_L31*Plagas_A)+(A3_B_L31*Plagas_B)+(A3_C_L31*Plagas_C)+(A3_D_L31*Plagas_D)+(A3_Y_L31*Plagas_Y))*Inflación_3</f>
        <v>0</v>
      </c>
      <c r="BO26" s="101">
        <f>SUMIFS('9'!$E:$E,'9'!$A:$A,Año_Inicial+2,'9'!$B:$B,'12'!BN$4,'9'!$D:$D,"Prevención de plagas")</f>
        <v>0</v>
      </c>
      <c r="BP26" s="101">
        <f>((A3_A_L32*Plagas_A)+(A3_B_L32*Plagas_B)+(A3_C_L32*Plagas_C)+(A3_D_L32*Plagas_D)+(A3_Y_L32*Plagas_Y))*Inflación_3</f>
        <v>0</v>
      </c>
      <c r="BQ26" s="101">
        <f>SUMIFS('9'!$E:$E,'9'!$A:$A,Año_Inicial+2,'9'!$B:$B,'12'!BP$4,'9'!$D:$D,"Prevención de plagas")</f>
        <v>0</v>
      </c>
      <c r="BR26" s="101">
        <f>((A3_A_L33*Plagas_A)+(A3_B_L33*Plagas_B)+(A3_C_L33*Plagas_C)+(A3_D_L33*Plagas_D)+(A3_Y_L33*Plagas_Y))*Inflación_3</f>
        <v>0</v>
      </c>
      <c r="BS26" s="101">
        <f>SUMIFS('9'!$E:$E,'9'!$A:$A,Año_Inicial+2,'9'!$B:$B,'12'!BR$4,'9'!$D:$D,"Prevención de plagas")</f>
        <v>0</v>
      </c>
      <c r="BT26" s="101">
        <f>((A3_A_L34*Plagas_A)+(A3_B_L34*Plagas_B)+(A3_C_L34*Plagas_C)+(A3_D_L34*Plagas_D)+(A3_Y_L34*Plagas_Y))*Inflación_3</f>
        <v>0</v>
      </c>
      <c r="BU26" s="101">
        <f>SUMIFS('9'!$E:$E,'9'!$A:$A,Año_Inicial+2,'9'!$B:$B,'12'!BT$4,'9'!$D:$D,"Prevención de plagas")</f>
        <v>0</v>
      </c>
      <c r="BV26" s="101">
        <f>((A3_A_L35*Plagas_A)+(A3_B_L35*Plagas_B)+(A3_C_L35*Plagas_C)+(A3_D_L35*Plagas_D)+(A3_Y_L35*Plagas_Y))*Inflación_3</f>
        <v>0</v>
      </c>
      <c r="BW26" s="101">
        <f>SUMIFS('9'!$E:$E,'9'!$A:$A,Año_Inicial+2,'9'!$B:$B,'12'!BV$4,'9'!$D:$D,"Prevención de plagas")</f>
        <v>0</v>
      </c>
      <c r="BX26" s="101">
        <f>((A3_A_L36*Plagas_A)+(A3_B_L36*Plagas_B)+(A3_C_L36*Plagas_C)+(A3_D_L36*Plagas_D)+(A3_Y_L36*Plagas_Y))*Inflación_3</f>
        <v>0</v>
      </c>
      <c r="BY26" s="101">
        <f>SUMIFS('9'!$E:$E,'9'!$A:$A,Año_Inicial+2,'9'!$B:$B,'12'!BX$4,'9'!$D:$D,"Prevención de plagas")</f>
        <v>0</v>
      </c>
      <c r="BZ26" s="101">
        <f>((A3_A_L37*Plagas_A)+(A3_B_L37*Plagas_B)+(A3_C_L37*Plagas_C)+(A3_D_L37*Plagas_D)+(A3_Y_L37*Plagas_Y))*Inflación_3</f>
        <v>0</v>
      </c>
      <c r="CA26" s="101">
        <f>SUMIFS('9'!$E:$E,'9'!$A:$A,Año_Inicial+2,'9'!$B:$B,'12'!BZ$4,'9'!$D:$D,"Prevención de plagas")</f>
        <v>0</v>
      </c>
      <c r="CB26" s="101">
        <f>((A3_A_L38*Plagas_A)+(A3_B_L38*Plagas_B)+(A3_C_L38*Plagas_C)+(A3_D_L38*Plagas_D)+(A3_Y_L38*Plagas_Y))*Inflación_3</f>
        <v>0</v>
      </c>
      <c r="CC26" s="101">
        <f>SUMIFS('9'!$E:$E,'9'!$A:$A,Año_Inicial+2,'9'!$B:$B,'12'!CB$4,'9'!$D:$D,"Prevención de plagas")</f>
        <v>0</v>
      </c>
      <c r="CD26" s="101">
        <f>((A3_A_L39*Plagas_A)+(A3_B_L39*Plagas_B)+(A3_C_L39*Plagas_C)+(A3_D_L39*Plagas_D)+(A3_Y_L39*Plagas_Y))*Inflación_3</f>
        <v>0</v>
      </c>
      <c r="CE26" s="101">
        <f>SUMIFS('9'!$E:$E,'9'!$A:$A,Año_Inicial+2,'9'!$B:$B,'12'!CD$4,'9'!$D:$D,"Prevención de plagas")</f>
        <v>0</v>
      </c>
      <c r="CF26" s="101">
        <f>((A3_A_L40*Plagas_A)+(A3_B_L40*Plagas_B)+(A3_C_L40*Plagas_C)+(A3_D_L40*Plagas_D)+(A3_Y_L40*Plagas_Y))*Inflación_3</f>
        <v>0</v>
      </c>
      <c r="CG26" s="101">
        <f>SUMIFS('9'!$E:$E,'9'!$A:$A,Año_Inicial+2,'9'!$B:$B,'12'!CF$4,'9'!$D:$D,"Prevención de plagas")</f>
        <v>0</v>
      </c>
      <c r="CH26" s="473"/>
      <c r="CI26" s="101">
        <f>Plantas_A_A3*Plagas_A*Inflación_3</f>
        <v>0</v>
      </c>
      <c r="CJ26" s="101">
        <f>Plantas_B_A3*Plagas_B</f>
        <v>0</v>
      </c>
      <c r="CK26" s="101">
        <f>Plantas_C_A3*Plagas_C</f>
        <v>0</v>
      </c>
      <c r="CL26" s="101">
        <f>Plantas_D_A3*Plagas_D</f>
        <v>0</v>
      </c>
      <c r="CM26" s="101"/>
      <c r="CN26" s="101">
        <f>Plantas_Y_A3*Plagas_Y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SUMIFS('9'!$E:$E,'9'!$A:$A,Año_Inicial+2,'9'!$D:$D,"Insecticida")</f>
        <v>0</v>
      </c>
      <c r="D27" s="100">
        <f t="shared" si="45"/>
        <v>0</v>
      </c>
      <c r="E27" s="490"/>
      <c r="F27" s="101">
        <f>((A3_A_L1*Insecticida_A)+(A3_B_L1*Insecticida_B)+(A3_C_L1*Insecticida_C)+(A3_D_L1*Insecticida_D)+(A3_Y_L1*Insecticida_Y))*Inflación_3</f>
        <v>0</v>
      </c>
      <c r="G27" s="101">
        <f>SUMIFS('9'!$E:$E,'9'!$A:$A,Año_Inicial+2,'9'!$B:$B,'12'!F$4,'9'!$D:$D,"Insecticida")</f>
        <v>0</v>
      </c>
      <c r="H27" s="101">
        <f>((A3_A_L2*Insecticida_A)+(A3_B_L2*Insecticida_B)+(A3_C_L2*Insecticida_C)+(A3_D_L2*Insecticida_D)+(A3_Y_L2*Insecticida_Y))*Inflación_3</f>
        <v>0</v>
      </c>
      <c r="I27" s="101">
        <f>SUMIFS('9'!$E:$E,'9'!$A:$A,Año_Inicial+2,'9'!$B:$B,'12'!H$4,'9'!$D:$D,"Insecticida")</f>
        <v>0</v>
      </c>
      <c r="J27" s="101">
        <f>((A3_A_L3*Insecticida_A)+(A3_B_L3*Insecticida_B)+(A3_C_L3*Insecticida_C)+(A3_D_L3*Insecticida_D)+(A3_Y_L3*Insecticida_Y))*Inflación_3</f>
        <v>0</v>
      </c>
      <c r="K27" s="101">
        <f>SUMIFS('9'!$E:$E,'9'!$A:$A,Año_Inicial+2,'9'!$B:$B,'12'!J$4,'9'!$D:$D,"Insecticida")</f>
        <v>0</v>
      </c>
      <c r="L27" s="101">
        <f>((A3_A_L4*Insecticida_A)+(A3_B_L4*Insecticida_B)+(A3_C_L4*Insecticida_C)+(A3_D_L4*Insecticida_D)+(A3_Y_L4*Insecticida_Y))*Inflación_3</f>
        <v>0</v>
      </c>
      <c r="M27" s="101">
        <f>SUMIFS('9'!$E:$E,'9'!$A:$A,Año_Inicial+2,'9'!$B:$B,'12'!L$4,'9'!$D:$D,"Insecticida")</f>
        <v>0</v>
      </c>
      <c r="N27" s="101">
        <f>((A3_A_L5*Insecticida_A)+(A3_B_L5*Insecticida_B)+(A3_C_L5*Insecticida_C)+(A3_D_L5*Insecticida_D)+(A3_Y_L5*Insecticida_Y))*Inflación_3</f>
        <v>0</v>
      </c>
      <c r="O27" s="101">
        <f>SUMIFS('9'!$E:$E,'9'!$A:$A,Año_Inicial+2,'9'!$B:$B,'12'!N$4,'9'!$D:$D,"Insecticida")</f>
        <v>0</v>
      </c>
      <c r="P27" s="101">
        <f>((A3_A_L6*Insecticida_A)+(A3_B_L6*Insecticida_B)+(A3_C_L6*Insecticida_C)+(A3_D_L6*Insecticida_D)+(A3_Y_L6*Insecticida_Y))*Inflación_3</f>
        <v>0</v>
      </c>
      <c r="Q27" s="101">
        <f>SUMIFS('9'!$E:$E,'9'!$A:$A,Año_Inicial+2,'9'!$B:$B,'12'!P$4,'9'!$D:$D,"Insecticida")</f>
        <v>0</v>
      </c>
      <c r="R27" s="101">
        <f>((A3_A_L7*Insecticida_A)+(A3_B_L7*Insecticida_B)+(A3_C_L7*Insecticida_C)+(A3_D_L7*Insecticida_D)+(A3_Y_L7*Insecticida_Y))*Inflación_3</f>
        <v>0</v>
      </c>
      <c r="S27" s="101">
        <f>SUMIFS('9'!$E:$E,'9'!$A:$A,Año_Inicial+2,'9'!$B:$B,'12'!R$4,'9'!$D:$D,"Insecticida")</f>
        <v>0</v>
      </c>
      <c r="T27" s="101">
        <f>((A3_A_L8*Insecticida_A)+(A3_B_L8*Insecticida_B)+(A3_C_L8*Insecticida_C)+(A3_D_L8*Insecticida_D)+(A3_Y_L8*Insecticida_Y))*Inflación_3</f>
        <v>0</v>
      </c>
      <c r="U27" s="101">
        <f>SUMIFS('9'!$E:$E,'9'!$A:$A,Año_Inicial+2,'9'!$B:$B,'12'!T$4,'9'!$D:$D,"Insecticida")</f>
        <v>0</v>
      </c>
      <c r="V27" s="101">
        <f>((A3_A_L9*Insecticida_A)+(A3_B_L9*Insecticida_B)+(A3_C_L9*Insecticida_C)+(A3_D_L9*Insecticida_D)+(A3_Y_L9*Insecticida_Y))*Inflación_3</f>
        <v>0</v>
      </c>
      <c r="W27" s="101">
        <f>SUMIFS('9'!$E:$E,'9'!$A:$A,Año_Inicial+2,'9'!$B:$B,'12'!V$4,'9'!$D:$D,"Insecticida")</f>
        <v>0</v>
      </c>
      <c r="X27" s="101">
        <f>((A3_A_L10*Insecticida_A)+(A3_B_L10*Insecticida_B)+(A3_C_L10*Insecticida_C)+(A3_D_L10*Insecticida_D)+(A3_Y_L10*Insecticida_Y))*Inflación_3</f>
        <v>0</v>
      </c>
      <c r="Y27" s="101">
        <f>SUMIFS('9'!$E:$E,'9'!$A:$A,Año_Inicial+2,'9'!$B:$B,'12'!X$4,'9'!$D:$D,"Insecticida")</f>
        <v>0</v>
      </c>
      <c r="Z27" s="101">
        <f>((A3_A_L11*Insecticida_A)+(A3_B_L11*Insecticida_B)+(A3_C_L11*Insecticida_C)+(A3_D_L11*Insecticida_D)+(A3_Y_L11*Insecticida_Y))*Inflación_3</f>
        <v>0</v>
      </c>
      <c r="AA27" s="101">
        <f>SUMIFS('9'!$E:$E,'9'!$A:$A,Año_Inicial+2,'9'!$B:$B,'12'!Z$4,'9'!$D:$D,"Insecticida")</f>
        <v>0</v>
      </c>
      <c r="AB27" s="101">
        <f>((A3_A_L12*Insecticida_A)+(A3_B_L12*Insecticida_B)+(A3_C_L12*Insecticida_C)+(A3_D_L12*Insecticida_D)+(A3_Y_L12*Insecticida_Y))*Inflación_3</f>
        <v>0</v>
      </c>
      <c r="AC27" s="101">
        <f>SUMIFS('9'!$E:$E,'9'!$A:$A,Año_Inicial+2,'9'!$B:$B,'12'!AB$4,'9'!$D:$D,"Insecticida")</f>
        <v>0</v>
      </c>
      <c r="AD27" s="101">
        <f>((A3_A_L13*Insecticida_A)+(A3_B_L13*Insecticida_B)+(A3_C_L13*Insecticida_C)+(A3_D_L13*Insecticida_D)+(A3_Y_L13*Insecticida_Y))*Inflación_3</f>
        <v>0</v>
      </c>
      <c r="AE27" s="101">
        <f>SUMIFS('9'!$E:$E,'9'!$A:$A,Año_Inicial+2,'9'!$B:$B,'12'!AD$4,'9'!$D:$D,"Insecticida")</f>
        <v>0</v>
      </c>
      <c r="AF27" s="101">
        <f>((A3_A_L14*Insecticida_A)+(A3_B_L14*Insecticida_B)+(A3_C_L14*Insecticida_C)+(A3_D_L14*Insecticida_D)+(A3_Y_L14*Insecticida_Y))*Inflación_3</f>
        <v>0</v>
      </c>
      <c r="AG27" s="101">
        <f>SUMIFS('9'!$E:$E,'9'!$A:$A,Año_Inicial+2,'9'!$B:$B,'12'!AF$4,'9'!$D:$D,"Insecticida")</f>
        <v>0</v>
      </c>
      <c r="AH27" s="101">
        <f>((A3_A_L15*Insecticida_A)+(A3_B_L15*Insecticida_B)+(A3_C_L15*Insecticida_C)+(A3_D_L15*Insecticida_D)+(A3_Y_L15*Insecticida_Y))*Inflación_3</f>
        <v>0</v>
      </c>
      <c r="AI27" s="101">
        <f>SUMIFS('9'!$E:$E,'9'!$A:$A,Año_Inicial+2,'9'!$B:$B,'12'!AH$4,'9'!$D:$D,"Insecticida")</f>
        <v>0</v>
      </c>
      <c r="AJ27" s="101">
        <f>((A3_A_L16*Insecticida_A)+(A3_B_L16*Insecticida_B)+(A3_C_L16*Insecticida_C)+(A3_D_L16*Insecticida_D)+(A3_Y_L16*Insecticida_Y))*Inflación_3</f>
        <v>0</v>
      </c>
      <c r="AK27" s="101">
        <f>SUMIFS('9'!$E:$E,'9'!$A:$A,Año_Inicial+2,'9'!$B:$B,'12'!AJ$4,'9'!$D:$D,"Insecticida")</f>
        <v>0</v>
      </c>
      <c r="AL27" s="101">
        <f>((A3_A_L17*Insecticida_A)+(A3_B_L17*Insecticida_B)+(A3_C_L17*Insecticida_C)+(A3_D_L17*Insecticida_D)+(A3_Y_L17*Insecticida_Y))*Inflación_3</f>
        <v>0</v>
      </c>
      <c r="AM27" s="101">
        <f>SUMIFS('9'!$E:$E,'9'!$A:$A,Año_Inicial+2,'9'!$B:$B,'12'!AL$4,'9'!$D:$D,"Insecticida")</f>
        <v>0</v>
      </c>
      <c r="AN27" s="101">
        <f>((A3_A_L18*Insecticida_A)+(A3_B_L18*Insecticida_B)+(A3_C_L18*Insecticida_C)+(A3_D_L18*Insecticida_D)+(A3_Y_L18*Insecticida_Y))*Inflación_3</f>
        <v>0</v>
      </c>
      <c r="AO27" s="101">
        <f>SUMIFS('9'!$E:$E,'9'!$A:$A,Año_Inicial+2,'9'!$B:$B,'12'!AN$4,'9'!$D:$D,"Insecticida")</f>
        <v>0</v>
      </c>
      <c r="AP27" s="101">
        <f>((A3_A_L19*Insecticida_A)+(A3_B_L19*Insecticida_B)+(A3_C_L19*Insecticida_C)+(A3_D_L19*Insecticida_D)+(A3_Y_L19*Insecticida_Y))*Inflación_3</f>
        <v>0</v>
      </c>
      <c r="AQ27" s="101">
        <f>SUMIFS('9'!$E:$E,'9'!$A:$A,Año_Inicial+2,'9'!$B:$B,'12'!AP$4,'9'!$D:$D,"Insecticida")</f>
        <v>0</v>
      </c>
      <c r="AR27" s="101">
        <f>((A3_A_L20*Insecticida_A)+(A3_B_L20*Insecticida_B)+(A3_C_L20*Insecticida_C)+(A3_D_L20*Insecticida_D)+(A3_Y_L20*Insecticida_Y))*Inflación_3</f>
        <v>0</v>
      </c>
      <c r="AS27" s="101">
        <f>SUMIFS('9'!$E:$E,'9'!$A:$A,Año_Inicial+2,'9'!$B:$B,'12'!AR$4,'9'!$D:$D,"Insecticida")</f>
        <v>0</v>
      </c>
      <c r="AT27" s="101">
        <f>((A3_A_L21*Insecticida_A)+(A3_B_L21*Insecticida_B)+(A3_C_L21*Insecticida_C)+(A3_D_L21*Insecticida_D)+(A3_Y_L21*Insecticida_Y))*Inflación_3</f>
        <v>0</v>
      </c>
      <c r="AU27" s="101">
        <f>SUMIFS('9'!$E:$E,'9'!$A:$A,Año_Inicial+2,'9'!$B:$B,'12'!AT$4,'9'!$D:$D,"Insecticida")</f>
        <v>0</v>
      </c>
      <c r="AV27" s="101">
        <f>((A3_A_L22*Insecticida_A)+(A3_B_L22*Insecticida_B)+(A3_C_L22*Insecticida_C)+(A3_D_L22*Insecticida_D)+(A3_Y_L22*Insecticida_Y))*Inflación_3</f>
        <v>0</v>
      </c>
      <c r="AW27" s="101">
        <f>SUMIFS('9'!$E:$E,'9'!$A:$A,Año_Inicial+2,'9'!$B:$B,'12'!AV$4,'9'!$D:$D,"Insecticida")</f>
        <v>0</v>
      </c>
      <c r="AX27" s="101">
        <f>((A3_A_L23*Insecticida_A)+(A3_B_L23*Insecticida_B)+(A3_C_L23*Insecticida_C)+(A3_D_L23*Insecticida_D)+(A3_Y_L23*Insecticida_Y))*Inflación_3</f>
        <v>0</v>
      </c>
      <c r="AY27" s="101">
        <f>SUMIFS('9'!$E:$E,'9'!$A:$A,Año_Inicial+2,'9'!$B:$B,'12'!AX$4,'9'!$D:$D,"Insecticida")</f>
        <v>0</v>
      </c>
      <c r="AZ27" s="101">
        <f>((A3_A_L24*Insecticida_A)+(A3_B_L24*Insecticida_B)+(A3_C_L24*Insecticida_C)+(A3_D_L24*Insecticida_D)+(A3_Y_L24*Insecticida_Y))*Inflación_3</f>
        <v>0</v>
      </c>
      <c r="BA27" s="101">
        <f>SUMIFS('9'!$E:$E,'9'!$A:$A,Año_Inicial+2,'9'!$B:$B,'12'!AZ$4,'9'!$D:$D,"Insecticida")</f>
        <v>0</v>
      </c>
      <c r="BB27" s="101">
        <f>((A3_A_L25*Insecticida_A)+(A3_B_L25*Insecticida_B)+(A3_C_L25*Insecticida_C)+(A3_D_L25*Insecticida_D)+(A3_Y_L25*Insecticida_Y))*Inflación_3</f>
        <v>0</v>
      </c>
      <c r="BC27" s="101">
        <f>SUMIFS('9'!$E:$E,'9'!$A:$A,Año_Inicial+2,'9'!$B:$B,'12'!BB$4,'9'!$D:$D,"Insecticida")</f>
        <v>0</v>
      </c>
      <c r="BD27" s="101">
        <f>((A3_A_L26*Insecticida_A)+(A3_B_L26*Insecticida_B)+(A3_C_L26*Insecticida_C)+(A3_D_L26*Insecticida_D)+(A3_Y_L26*Insecticida_Y))*Inflación_3</f>
        <v>0</v>
      </c>
      <c r="BE27" s="101">
        <f>SUMIFS('9'!$E:$E,'9'!$A:$A,Año_Inicial+2,'9'!$B:$B,'12'!BD$4,'9'!$D:$D,"Insecticida")</f>
        <v>0</v>
      </c>
      <c r="BF27" s="101">
        <f>((A3_A_L27*Insecticida_A)+(A3_B_L27*Insecticida_B)+(A3_C_L27*Insecticida_C)+(A3_D_L27*Insecticida_D)+(A3_Y_L27*Insecticida_Y))*Inflación_3</f>
        <v>0</v>
      </c>
      <c r="BG27" s="101">
        <f>SUMIFS('9'!$E:$E,'9'!$A:$A,Año_Inicial+2,'9'!$B:$B,'12'!BF$4,'9'!$D:$D,"Insecticida")</f>
        <v>0</v>
      </c>
      <c r="BH27" s="101">
        <f>((A3_A_L28*Insecticida_A)+(A3_B_L28*Insecticida_B)+(A3_C_L28*Insecticida_C)+(A3_D_L28*Insecticida_D)+(A3_Y_L28*Insecticida_Y))*Inflación_3</f>
        <v>0</v>
      </c>
      <c r="BI27" s="101">
        <f>SUMIFS('9'!$E:$E,'9'!$A:$A,Año_Inicial+2,'9'!$B:$B,'12'!BH$4,'9'!$D:$D,"Insecticida")</f>
        <v>0</v>
      </c>
      <c r="BJ27" s="101">
        <f>((A3_A_L29*Insecticida_A)+(A3_B_L29*Insecticida_B)+(A3_C_L29*Insecticida_C)+(A3_D_L29*Insecticida_D)+(A3_Y_L29*Insecticida_Y))*Inflación_3</f>
        <v>0</v>
      </c>
      <c r="BK27" s="101">
        <f>SUMIFS('9'!$E:$E,'9'!$A:$A,Año_Inicial+2,'9'!$B:$B,'12'!BJ$4,'9'!$D:$D,"Insecticida")</f>
        <v>0</v>
      </c>
      <c r="BL27" s="101">
        <f>((A3_A_L30*Insecticida_A)+(A3_B_L30*Insecticida_B)+(A3_C_L30*Insecticida_C)+(A3_D_L30*Insecticida_D)+(A3_Y_L30*Insecticida_Y))*Inflación_3</f>
        <v>0</v>
      </c>
      <c r="BM27" s="101">
        <f>SUMIFS('9'!$E:$E,'9'!$A:$A,Año_Inicial+2,'9'!$B:$B,'12'!BL$4,'9'!$D:$D,"Insecticida")</f>
        <v>0</v>
      </c>
      <c r="BN27" s="101">
        <f>((A3_A_L31*Insecticida_A)+(A3_B_L31*Insecticida_B)+(A3_C_L31*Insecticida_C)+(A3_D_L31*Insecticida_D)+(A3_Y_L31*Insecticida_Y))*Inflación_3</f>
        <v>0</v>
      </c>
      <c r="BO27" s="101">
        <f>SUMIFS('9'!$E:$E,'9'!$A:$A,Año_Inicial+2,'9'!$B:$B,'12'!BN$4,'9'!$D:$D,"Insecticida")</f>
        <v>0</v>
      </c>
      <c r="BP27" s="101">
        <f>((A3_A_L32*Insecticida_A)+(A3_B_L32*Insecticida_B)+(A3_C_L32*Insecticida_C)+(A3_D_L32*Insecticida_D)+(A3_Y_L32*Insecticida_Y))*Inflación_3</f>
        <v>0</v>
      </c>
      <c r="BQ27" s="101">
        <f>SUMIFS('9'!$E:$E,'9'!$A:$A,Año_Inicial+2,'9'!$B:$B,'12'!BP$4,'9'!$D:$D,"Insecticida")</f>
        <v>0</v>
      </c>
      <c r="BR27" s="101">
        <f>((A3_A_L33*Insecticida_A)+(A3_B_L33*Insecticida_B)+(A3_C_L33*Insecticida_C)+(A3_D_L33*Insecticida_D)+(A3_Y_L33*Insecticida_Y))*Inflación_3</f>
        <v>0</v>
      </c>
      <c r="BS27" s="101">
        <f>SUMIFS('9'!$E:$E,'9'!$A:$A,Año_Inicial+2,'9'!$B:$B,'12'!BR$4,'9'!$D:$D,"Insecticida")</f>
        <v>0</v>
      </c>
      <c r="BT27" s="101">
        <f>((A3_A_L34*Insecticida_A)+(A3_B_L34*Insecticida_B)+(A3_C_L34*Insecticida_C)+(A3_D_L34*Insecticida_D)+(A3_Y_L34*Insecticida_Y))*Inflación_3</f>
        <v>0</v>
      </c>
      <c r="BU27" s="101">
        <f>SUMIFS('9'!$E:$E,'9'!$A:$A,Año_Inicial+2,'9'!$B:$B,'12'!BT$4,'9'!$D:$D,"Insecticida")</f>
        <v>0</v>
      </c>
      <c r="BV27" s="101">
        <f>((A3_A_L35*Insecticida_A)+(A3_B_L35*Insecticida_B)+(A3_C_L35*Insecticida_C)+(A3_D_L35*Insecticida_D)+(A3_Y_L35*Insecticida_Y))*Inflación_3</f>
        <v>0</v>
      </c>
      <c r="BW27" s="101">
        <f>SUMIFS('9'!$E:$E,'9'!$A:$A,Año_Inicial+2,'9'!$B:$B,'12'!BV$4,'9'!$D:$D,"Insecticida")</f>
        <v>0</v>
      </c>
      <c r="BX27" s="101">
        <f>((A3_A_L36*Insecticida_A)+(A3_B_L36*Insecticida_B)+(A3_C_L36*Insecticida_C)+(A3_D_L36*Insecticida_D)+(A3_Y_L36*Insecticida_Y))*Inflación_3</f>
        <v>0</v>
      </c>
      <c r="BY27" s="101">
        <f>SUMIFS('9'!$E:$E,'9'!$A:$A,Año_Inicial+2,'9'!$B:$B,'12'!BX$4,'9'!$D:$D,"Insecticida")</f>
        <v>0</v>
      </c>
      <c r="BZ27" s="101">
        <f>((A3_A_L37*Insecticida_A)+(A3_B_L37*Insecticida_B)+(A3_C_L37*Insecticida_C)+(A3_D_L37*Insecticida_D)+(A3_Y_L37*Insecticida_Y))*Inflación_3</f>
        <v>0</v>
      </c>
      <c r="CA27" s="101">
        <f>SUMIFS('9'!$E:$E,'9'!$A:$A,Año_Inicial+2,'9'!$B:$B,'12'!BZ$4,'9'!$D:$D,"Insecticida")</f>
        <v>0</v>
      </c>
      <c r="CB27" s="101">
        <f>((A3_A_L38*Insecticida_A)+(A3_B_L38*Insecticida_B)+(A3_C_L38*Insecticida_C)+(A3_D_L38*Insecticida_D)+(A3_Y_L38*Insecticida_Y))*Inflación_3</f>
        <v>0</v>
      </c>
      <c r="CC27" s="101">
        <f>SUMIFS('9'!$E:$E,'9'!$A:$A,Año_Inicial+2,'9'!$B:$B,'12'!CB$4,'9'!$D:$D,"Insecticida")</f>
        <v>0</v>
      </c>
      <c r="CD27" s="101">
        <f>((A3_A_L39*Insecticida_A)+(A3_B_L39*Insecticida_B)+(A3_C_L39*Insecticida_C)+(A3_D_L39*Insecticida_D)+(A3_Y_L39*Insecticida_Y))*Inflación_3</f>
        <v>0</v>
      </c>
      <c r="CE27" s="101">
        <f>SUMIFS('9'!$E:$E,'9'!$A:$A,Año_Inicial+2,'9'!$B:$B,'12'!CD$4,'9'!$D:$D,"Insecticida")</f>
        <v>0</v>
      </c>
      <c r="CF27" s="101">
        <f>((A3_A_L40*Insecticida_A)+(A3_B_L40*Insecticida_B)+(A3_C_L40*Insecticida_C)+(A3_D_L40*Insecticida_D)+(A3_Y_L40*Insecticida_Y))*Inflación_3</f>
        <v>0</v>
      </c>
      <c r="CG27" s="101">
        <f>SUMIFS('9'!$E:$E,'9'!$A:$A,Año_Inicial+2,'9'!$B:$B,'12'!CF$4,'9'!$D:$D,"Insecticida")</f>
        <v>0</v>
      </c>
      <c r="CH27" s="473"/>
      <c r="CI27" s="101">
        <f>Plantas_A_A3*Insecticida_A*Inflación_3</f>
        <v>0</v>
      </c>
      <c r="CJ27" s="101">
        <f>Plantas_B_A3*Insecticida_B</f>
        <v>0</v>
      </c>
      <c r="CK27" s="101">
        <f>Plantas_C_A3*Insecticida_C</f>
        <v>0</v>
      </c>
      <c r="CL27" s="101">
        <f>Plantas_D_A3*Insecticida_D</f>
        <v>0</v>
      </c>
      <c r="CM27" s="101"/>
      <c r="CN27" s="101">
        <f>Plantas_Y_A3*Insecticida_Y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90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SUMIFS('9'!$E:$E,'9'!$A:$A,Año_Inicial+2,'9'!$D:$D,"Prevención de enfermedades")</f>
        <v>0</v>
      </c>
      <c r="D29" s="100">
        <f t="shared" si="45"/>
        <v>0</v>
      </c>
      <c r="E29" s="490"/>
      <c r="F29" s="101">
        <f>((A3_A_L1*Enfermedades_A)+(A3_B_L1*Enfermedades_B)+(A3_C_L1*Enfermedades_C)+(A3_D_L1*Enfermedades_D)+(A3_Y_L1*Enfermedades_Y))*Inflación_3</f>
        <v>0</v>
      </c>
      <c r="G29" s="101">
        <f>SUMIFS('9'!$E:$E,'9'!$A:$A,Año_Inicial+2,'9'!$B:$B,'12'!F$4,'9'!$D:$D,"Prevención de enfermedades")</f>
        <v>0</v>
      </c>
      <c r="H29" s="101">
        <f>((A3_A_L2*Enfermedades_A)+(A3_B_L2*Enfermedades_B)+(A3_C_L2*Enfermedades_C)+(A3_D_L2*Enfermedades_D)+(A3_Y_L2*Enfermedades_Y))*Inflación_3</f>
        <v>0</v>
      </c>
      <c r="I29" s="101">
        <f>SUMIFS('9'!$E:$E,'9'!$A:$A,Año_Inicial+2,'9'!$B:$B,'12'!H$4,'9'!$D:$D,"Prevención de enfermedades")</f>
        <v>0</v>
      </c>
      <c r="J29" s="101">
        <f>((A3_A_L3*Enfermedades_A)+(A3_B_L3*Enfermedades_B)+(A3_C_L3*Enfermedades_C)+(A3_D_L3*Enfermedades_D)+(A3_Y_L3*Enfermedades_Y))*Inflación_3</f>
        <v>0</v>
      </c>
      <c r="K29" s="101">
        <f>SUMIFS('9'!$E:$E,'9'!$A:$A,Año_Inicial+2,'9'!$B:$B,'12'!J$4,'9'!$D:$D,"Prevención de enfermedades")</f>
        <v>0</v>
      </c>
      <c r="L29" s="101">
        <f>((A3_A_L4*Enfermedades_A)+(A3_B_L4*Enfermedades_B)+(A3_C_L4*Enfermedades_C)+(A3_D_L4*Enfermedades_D)+(A3_Y_L4*Enfermedades_Y))*Inflación_3</f>
        <v>0</v>
      </c>
      <c r="M29" s="101">
        <f>SUMIFS('9'!$E:$E,'9'!$A:$A,Año_Inicial+2,'9'!$B:$B,'12'!L$4,'9'!$D:$D,"Prevención de enfermedades")</f>
        <v>0</v>
      </c>
      <c r="N29" s="101">
        <f>((A3_A_L5*Enfermedades_A)+(A3_B_L5*Enfermedades_B)+(A3_C_L5*Enfermedades_C)+(A3_D_L5*Enfermedades_D)+(A3_Y_L5*Enfermedades_Y))*Inflación_3</f>
        <v>0</v>
      </c>
      <c r="O29" s="101">
        <f>SUMIFS('9'!$E:$E,'9'!$A:$A,Año_Inicial+2,'9'!$B:$B,'12'!N$4,'9'!$D:$D,"Prevención de enfermedades")</f>
        <v>0</v>
      </c>
      <c r="P29" s="101">
        <f>((A3_A_L6*Enfermedades_A)+(A3_B_L6*Enfermedades_B)+(A3_C_L6*Enfermedades_C)+(A3_D_L6*Enfermedades_D)+(A3_Y_L6*Enfermedades_Y))*Inflación_3</f>
        <v>0</v>
      </c>
      <c r="Q29" s="101">
        <f>SUMIFS('9'!$E:$E,'9'!$A:$A,Año_Inicial+2,'9'!$B:$B,'12'!P$4,'9'!$D:$D,"Prevención de enfermedades")</f>
        <v>0</v>
      </c>
      <c r="R29" s="101">
        <f>((A3_A_L7*Enfermedades_A)+(A3_B_L7*Enfermedades_B)+(A3_C_L7*Enfermedades_C)+(A3_D_L7*Enfermedades_D)+(A3_Y_L7*Enfermedades_Y))*Inflación_3</f>
        <v>0</v>
      </c>
      <c r="S29" s="101">
        <f>SUMIFS('9'!$E:$E,'9'!$A:$A,Año_Inicial+2,'9'!$B:$B,'12'!R$4,'9'!$D:$D,"Prevención de enfermedades")</f>
        <v>0</v>
      </c>
      <c r="T29" s="101">
        <f>((A3_A_L8*Enfermedades_A)+(A3_B_L8*Enfermedades_B)+(A3_C_L8*Enfermedades_C)+(A3_D_L8*Enfermedades_D)+(A3_Y_L8*Enfermedades_Y))*Inflación_3</f>
        <v>0</v>
      </c>
      <c r="U29" s="101">
        <f>SUMIFS('9'!$E:$E,'9'!$A:$A,Año_Inicial+2,'9'!$B:$B,'12'!T$4,'9'!$D:$D,"Prevención de enfermedades")</f>
        <v>0</v>
      </c>
      <c r="V29" s="101">
        <f>((A3_A_L9*Enfermedades_A)+(A3_B_L9*Enfermedades_B)+(A3_C_L9*Enfermedades_C)+(A3_D_L9*Enfermedades_D)+(A3_Y_L9*Enfermedades_Y))*Inflación_3</f>
        <v>0</v>
      </c>
      <c r="W29" s="101">
        <f>SUMIFS('9'!$E:$E,'9'!$A:$A,Año_Inicial+2,'9'!$B:$B,'12'!V$4,'9'!$D:$D,"Prevención de enfermedades")</f>
        <v>0</v>
      </c>
      <c r="X29" s="101">
        <f>((A3_A_L10*Enfermedades_A)+(A3_B_L10*Enfermedades_B)+(A3_C_L10*Enfermedades_C)+(A3_D_L10*Enfermedades_D)+(A3_Y_L10*Enfermedades_Y))*Inflación_3</f>
        <v>0</v>
      </c>
      <c r="Y29" s="101">
        <f>SUMIFS('9'!$E:$E,'9'!$A:$A,Año_Inicial+2,'9'!$B:$B,'12'!X$4,'9'!$D:$D,"Prevención de enfermedades")</f>
        <v>0</v>
      </c>
      <c r="Z29" s="101">
        <f>((A3_A_L11*Enfermedades_A)+(A3_B_L11*Enfermedades_B)+(A3_C_L11*Enfermedades_C)+(A3_D_L11*Enfermedades_D)+(A3_Y_L11*Enfermedades_Y))*Inflación_3</f>
        <v>0</v>
      </c>
      <c r="AA29" s="101">
        <f>SUMIFS('9'!$E:$E,'9'!$A:$A,Año_Inicial+2,'9'!$B:$B,'12'!Z$4,'9'!$D:$D,"Prevención de enfermedades")</f>
        <v>0</v>
      </c>
      <c r="AB29" s="101">
        <f>((A3_A_L12*Enfermedades_A)+(A3_B_L12*Enfermedades_B)+(A3_C_L12*Enfermedades_C)+(A3_D_L12*Enfermedades_D)+(A3_Y_L12*Enfermedades_Y))*Inflación_3</f>
        <v>0</v>
      </c>
      <c r="AC29" s="101">
        <f>SUMIFS('9'!$E:$E,'9'!$A:$A,Año_Inicial+2,'9'!$B:$B,'12'!AB$4,'9'!$D:$D,"Prevención de enfermedades")</f>
        <v>0</v>
      </c>
      <c r="AD29" s="101">
        <f>((A3_A_L13*Enfermedades_A)+(A3_B_L13*Enfermedades_B)+(A3_C_L13*Enfermedades_C)+(A3_D_L13*Enfermedades_D)+(A3_Y_L13*Enfermedades_Y))*Inflación_3</f>
        <v>0</v>
      </c>
      <c r="AE29" s="101">
        <f>SUMIFS('9'!$E:$E,'9'!$A:$A,Año_Inicial+2,'9'!$B:$B,'12'!AD$4,'9'!$D:$D,"Prevención de enfermedades")</f>
        <v>0</v>
      </c>
      <c r="AF29" s="101">
        <f>((A3_A_L14*Enfermedades_A)+(A3_B_L14*Enfermedades_B)+(A3_C_L14*Enfermedades_C)+(A3_D_L14*Enfermedades_D)+(A3_Y_L14*Enfermedades_Y))*Inflación_3</f>
        <v>0</v>
      </c>
      <c r="AG29" s="101">
        <f>SUMIFS('9'!$E:$E,'9'!$A:$A,Año_Inicial+2,'9'!$B:$B,'12'!AF$4,'9'!$D:$D,"Prevención de enfermedades")</f>
        <v>0</v>
      </c>
      <c r="AH29" s="101">
        <f>((A3_A_L15*Enfermedades_A)+(A3_B_L15*Enfermedades_B)+(A3_C_L15*Enfermedades_C)+(A3_D_L15*Enfermedades_D)+(A3_Y_L15*Enfermedades_Y))*Inflación_3</f>
        <v>0</v>
      </c>
      <c r="AI29" s="101">
        <f>SUMIFS('9'!$E:$E,'9'!$A:$A,Año_Inicial+2,'9'!$B:$B,'12'!AH$4,'9'!$D:$D,"Prevención de enfermedades")</f>
        <v>0</v>
      </c>
      <c r="AJ29" s="101">
        <f>((A3_A_L16*Enfermedades_A)+(A3_B_L16*Enfermedades_B)+(A3_C_L16*Enfermedades_C)+(A3_D_L16*Enfermedades_D)+(A3_Y_L16*Enfermedades_Y))*Inflación_3</f>
        <v>0</v>
      </c>
      <c r="AK29" s="101">
        <f>SUMIFS('9'!$E:$E,'9'!$A:$A,Año_Inicial+2,'9'!$B:$B,'12'!AJ$4,'9'!$D:$D,"Prevención de enfermedades")</f>
        <v>0</v>
      </c>
      <c r="AL29" s="101">
        <f>((A3_A_L17*Enfermedades_A)+(A3_B_L17*Enfermedades_B)+(A3_C_L17*Enfermedades_C)+(A3_D_L17*Enfermedades_D)+(A3_Y_L17*Enfermedades_Y))*Inflación_3</f>
        <v>0</v>
      </c>
      <c r="AM29" s="101">
        <f>SUMIFS('9'!$E:$E,'9'!$A:$A,Año_Inicial+2,'9'!$B:$B,'12'!AL$4,'9'!$D:$D,"Prevención de enfermedades")</f>
        <v>0</v>
      </c>
      <c r="AN29" s="101">
        <f>((A3_A_L18*Enfermedades_A)+(A3_B_L18*Enfermedades_B)+(A3_C_L18*Enfermedades_C)+(A3_D_L18*Enfermedades_D)+(A3_Y_L18*Enfermedades_Y))*Inflación_3</f>
        <v>0</v>
      </c>
      <c r="AO29" s="101">
        <f>SUMIFS('9'!$E:$E,'9'!$A:$A,Año_Inicial+2,'9'!$B:$B,'12'!AN$4,'9'!$D:$D,"Prevención de enfermedades")</f>
        <v>0</v>
      </c>
      <c r="AP29" s="101">
        <f>((A3_A_L19*Enfermedades_A)+(A3_B_L19*Enfermedades_B)+(A3_C_L19*Enfermedades_C)+(A3_D_L19*Enfermedades_D)+(A3_Y_L19*Enfermedades_Y))*Inflación_3</f>
        <v>0</v>
      </c>
      <c r="AQ29" s="101">
        <f>SUMIFS('9'!$E:$E,'9'!$A:$A,Año_Inicial+2,'9'!$B:$B,'12'!AP$4,'9'!$D:$D,"Prevención de enfermedades")</f>
        <v>0</v>
      </c>
      <c r="AR29" s="101">
        <f>((A3_A_L20*Enfermedades_A)+(A3_B_L20*Enfermedades_B)+(A3_C_L20*Enfermedades_C)+(A3_D_L20*Enfermedades_D)+(A3_Y_L20*Enfermedades_Y))*Inflación_3</f>
        <v>0</v>
      </c>
      <c r="AS29" s="101">
        <f>SUMIFS('9'!$E:$E,'9'!$A:$A,Año_Inicial+2,'9'!$B:$B,'12'!AR$4,'9'!$D:$D,"Prevención de enfermedades")</f>
        <v>0</v>
      </c>
      <c r="AT29" s="101">
        <f>((A3_A_L21*Enfermedades_A)+(A3_B_L21*Enfermedades_B)+(A3_C_L21*Enfermedades_C)+(A3_D_L21*Enfermedades_D)+(A3_Y_L21*Enfermedades_Y))*Inflación_3</f>
        <v>0</v>
      </c>
      <c r="AU29" s="101">
        <f>SUMIFS('9'!$E:$E,'9'!$A:$A,Año_Inicial+2,'9'!$B:$B,'12'!AT$4,'9'!$D:$D,"Prevención de enfermedades")</f>
        <v>0</v>
      </c>
      <c r="AV29" s="101">
        <f>((A3_A_L22*Enfermedades_A)+(A3_B_L22*Enfermedades_B)+(A3_C_L22*Enfermedades_C)+(A3_D_L22*Enfermedades_D)+(A3_Y_L22*Enfermedades_Y))*Inflación_3</f>
        <v>0</v>
      </c>
      <c r="AW29" s="101">
        <f>SUMIFS('9'!$E:$E,'9'!$A:$A,Año_Inicial+2,'9'!$B:$B,'12'!AV$4,'9'!$D:$D,"Prevención de enfermedades")</f>
        <v>0</v>
      </c>
      <c r="AX29" s="101">
        <f>((A3_A_L23*Enfermedades_A)+(A3_B_L23*Enfermedades_B)+(A3_C_L23*Enfermedades_C)+(A3_D_L23*Enfermedades_D)+(A3_Y_L23*Enfermedades_Y))*Inflación_3</f>
        <v>0</v>
      </c>
      <c r="AY29" s="101">
        <f>SUMIFS('9'!$E:$E,'9'!$A:$A,Año_Inicial+2,'9'!$B:$B,'12'!AX$4,'9'!$D:$D,"Prevención de enfermedades")</f>
        <v>0</v>
      </c>
      <c r="AZ29" s="101">
        <f>((A3_A_L24*Enfermedades_A)+(A3_B_L24*Enfermedades_B)+(A3_C_L24*Enfermedades_C)+(A3_D_L24*Enfermedades_D)+(A3_Y_L24*Enfermedades_Y))*Inflación_3</f>
        <v>0</v>
      </c>
      <c r="BA29" s="101">
        <f>SUMIFS('9'!$E:$E,'9'!$A:$A,Año_Inicial+2,'9'!$B:$B,'12'!AZ$4,'9'!$D:$D,"Prevención de enfermedades")</f>
        <v>0</v>
      </c>
      <c r="BB29" s="101">
        <f>((A3_A_L25*Enfermedades_A)+(A3_B_L25*Enfermedades_B)+(A3_C_L25*Enfermedades_C)+(A3_D_L25*Enfermedades_D)+(A3_Y_L25*Enfermedades_Y))*Inflación_3</f>
        <v>0</v>
      </c>
      <c r="BC29" s="101">
        <f>SUMIFS('9'!$E:$E,'9'!$A:$A,Año_Inicial+2,'9'!$B:$B,'12'!BB$4,'9'!$D:$D,"Prevención de enfermedades")</f>
        <v>0</v>
      </c>
      <c r="BD29" s="101">
        <f>((A3_A_L26*Enfermedades_A)+(A3_B_L26*Enfermedades_B)+(A3_C_L26*Enfermedades_C)+(A3_D_L26*Enfermedades_D)+(A3_Y_L26*Enfermedades_Y))*Inflación_3</f>
        <v>0</v>
      </c>
      <c r="BE29" s="101">
        <f>SUMIFS('9'!$E:$E,'9'!$A:$A,Año_Inicial+2,'9'!$B:$B,'12'!BD$4,'9'!$D:$D,"Prevención de enfermedades")</f>
        <v>0</v>
      </c>
      <c r="BF29" s="101">
        <f>((A3_A_L27*Enfermedades_A)+(A3_B_L27*Enfermedades_B)+(A3_C_L27*Enfermedades_C)+(A3_D_L27*Enfermedades_D)+(A3_Y_L27*Enfermedades_Y))*Inflación_3</f>
        <v>0</v>
      </c>
      <c r="BG29" s="101">
        <f>SUMIFS('9'!$E:$E,'9'!$A:$A,Año_Inicial+2,'9'!$B:$B,'12'!BF$4,'9'!$D:$D,"Prevención de enfermedades")</f>
        <v>0</v>
      </c>
      <c r="BH29" s="101">
        <f>((A3_A_L28*Enfermedades_A)+(A3_B_L28*Enfermedades_B)+(A3_C_L28*Enfermedades_C)+(A3_D_L28*Enfermedades_D)+(A3_Y_L28*Enfermedades_Y))*Inflación_3</f>
        <v>0</v>
      </c>
      <c r="BI29" s="101">
        <f>SUMIFS('9'!$E:$E,'9'!$A:$A,Año_Inicial+2,'9'!$B:$B,'12'!BH$4,'9'!$D:$D,"Prevención de enfermedades")</f>
        <v>0</v>
      </c>
      <c r="BJ29" s="101">
        <f>((A3_A_L29*Enfermedades_A)+(A3_B_L29*Enfermedades_B)+(A3_C_L29*Enfermedades_C)+(A3_D_L29*Enfermedades_D)+(A3_Y_L29*Enfermedades_Y))*Inflación_3</f>
        <v>0</v>
      </c>
      <c r="BK29" s="101">
        <f>SUMIFS('9'!$E:$E,'9'!$A:$A,Año_Inicial+2,'9'!$B:$B,'12'!BJ$4,'9'!$D:$D,"Prevención de enfermedades")</f>
        <v>0</v>
      </c>
      <c r="BL29" s="101">
        <f>((A3_A_L30*Enfermedades_A)+(A3_B_L30*Enfermedades_B)+(A3_C_L30*Enfermedades_C)+(A3_D_L30*Enfermedades_D)+(A3_Y_L30*Enfermedades_Y))*Inflación_3</f>
        <v>0</v>
      </c>
      <c r="BM29" s="101">
        <f>SUMIFS('9'!$E:$E,'9'!$A:$A,Año_Inicial+2,'9'!$B:$B,'12'!BL$4,'9'!$D:$D,"Prevención de enfermedades")</f>
        <v>0</v>
      </c>
      <c r="BN29" s="101">
        <f>((A3_A_L31*Enfermedades_A)+(A3_B_L31*Enfermedades_B)+(A3_C_L31*Enfermedades_C)+(A3_D_L31*Enfermedades_D)+(A3_Y_L31*Enfermedades_Y))*Inflación_3</f>
        <v>0</v>
      </c>
      <c r="BO29" s="101">
        <f>SUMIFS('9'!$E:$E,'9'!$A:$A,Año_Inicial+2,'9'!$B:$B,'12'!BN$4,'9'!$D:$D,"Prevención de enfermedades")</f>
        <v>0</v>
      </c>
      <c r="BP29" s="101">
        <f>((A3_A_L32*Enfermedades_A)+(A3_B_L32*Enfermedades_B)+(A3_C_L32*Enfermedades_C)+(A3_D_L32*Enfermedades_D)+(A3_Y_L32*Enfermedades_Y))*Inflación_3</f>
        <v>0</v>
      </c>
      <c r="BQ29" s="101">
        <f>SUMIFS('9'!$E:$E,'9'!$A:$A,Año_Inicial+2,'9'!$B:$B,'12'!BP$4,'9'!$D:$D,"Prevención de enfermedades")</f>
        <v>0</v>
      </c>
      <c r="BR29" s="101">
        <f>((A3_A_L33*Enfermedades_A)+(A3_B_L33*Enfermedades_B)+(A3_C_L33*Enfermedades_C)+(A3_D_L33*Enfermedades_D)+(A3_Y_L33*Enfermedades_Y))*Inflación_3</f>
        <v>0</v>
      </c>
      <c r="BS29" s="101">
        <f>SUMIFS('9'!$E:$E,'9'!$A:$A,Año_Inicial+2,'9'!$B:$B,'12'!BR$4,'9'!$D:$D,"Prevención de enfermedades")</f>
        <v>0</v>
      </c>
      <c r="BT29" s="101">
        <f>((A3_A_L34*Enfermedades_A)+(A3_B_L34*Enfermedades_B)+(A3_C_L34*Enfermedades_C)+(A3_D_L34*Enfermedades_D)+(A3_Y_L34*Enfermedades_Y))*Inflación_3</f>
        <v>0</v>
      </c>
      <c r="BU29" s="101">
        <f>SUMIFS('9'!$E:$E,'9'!$A:$A,Año_Inicial+2,'9'!$B:$B,'12'!BT$4,'9'!$D:$D,"Prevención de enfermedades")</f>
        <v>0</v>
      </c>
      <c r="BV29" s="101">
        <f>((A3_A_L35*Enfermedades_A)+(A3_B_L35*Enfermedades_B)+(A3_C_L35*Enfermedades_C)+(A3_D_L35*Enfermedades_D)+(A3_Y_L35*Enfermedades_Y))*Inflación_3</f>
        <v>0</v>
      </c>
      <c r="BW29" s="101">
        <f>SUMIFS('9'!$E:$E,'9'!$A:$A,Año_Inicial+2,'9'!$B:$B,'12'!BV$4,'9'!$D:$D,"Prevención de enfermedades")</f>
        <v>0</v>
      </c>
      <c r="BX29" s="101">
        <f>((A3_A_L36*Enfermedades_A)+(A3_B_L36*Enfermedades_B)+(A3_C_L36*Enfermedades_C)+(A3_D_L36*Enfermedades_D)+(A3_Y_L36*Enfermedades_Y))*Inflación_3</f>
        <v>0</v>
      </c>
      <c r="BY29" s="101">
        <f>SUMIFS('9'!$E:$E,'9'!$A:$A,Año_Inicial+2,'9'!$B:$B,'12'!BX$4,'9'!$D:$D,"Prevención de enfermedades")</f>
        <v>0</v>
      </c>
      <c r="BZ29" s="101">
        <f>((A3_A_L37*Enfermedades_A)+(A3_B_L37*Enfermedades_B)+(A3_C_L37*Enfermedades_C)+(A3_D_L37*Enfermedades_D)+(A3_Y_L37*Enfermedades_Y))*Inflación_3</f>
        <v>0</v>
      </c>
      <c r="CA29" s="101">
        <f>SUMIFS('9'!$E:$E,'9'!$A:$A,Año_Inicial+2,'9'!$B:$B,'12'!BZ$4,'9'!$D:$D,"Prevención de enfermedades")</f>
        <v>0</v>
      </c>
      <c r="CB29" s="101">
        <f>((A3_A_L38*Enfermedades_A)+(A3_B_L38*Enfermedades_B)+(A3_C_L38*Enfermedades_C)+(A3_D_L38*Enfermedades_D)+(A3_Y_L38*Enfermedades_Y))*Inflación_3</f>
        <v>0</v>
      </c>
      <c r="CC29" s="101">
        <f>SUMIFS('9'!$E:$E,'9'!$A:$A,Año_Inicial+2,'9'!$B:$B,'12'!CB$4,'9'!$D:$D,"Prevención de enfermedades")</f>
        <v>0</v>
      </c>
      <c r="CD29" s="101">
        <f>((A3_A_L39*Enfermedades_A)+(A3_B_L39*Enfermedades_B)+(A3_C_L39*Enfermedades_C)+(A3_D_L39*Enfermedades_D)+(A3_Y_L39*Enfermedades_Y))*Inflación_3</f>
        <v>0</v>
      </c>
      <c r="CE29" s="101">
        <f>SUMIFS('9'!$E:$E,'9'!$A:$A,Año_Inicial+2,'9'!$B:$B,'12'!CD$4,'9'!$D:$D,"Prevención de enfermedades")</f>
        <v>0</v>
      </c>
      <c r="CF29" s="101">
        <f>((A3_A_L40*Enfermedades_A)+(A3_B_L40*Enfermedades_B)+(A3_C_L40*Enfermedades_C)+(A3_D_L40*Enfermedades_D)+(A3_Y_L40*Enfermedades_Y))*Inflación_3</f>
        <v>0</v>
      </c>
      <c r="CG29" s="101">
        <f>SUMIFS('9'!$E:$E,'9'!$A:$A,Año_Inicial+2,'9'!$B:$B,'12'!CF$4,'9'!$D:$D,"Prevención de enfermedades")</f>
        <v>0</v>
      </c>
      <c r="CH29" s="473"/>
      <c r="CI29" s="101">
        <f>Plantas_A_A3*Enfermedades_A*Inflación_3</f>
        <v>0</v>
      </c>
      <c r="CJ29" s="101">
        <f>Plantas_B_A3*Enfermedades_B</f>
        <v>0</v>
      </c>
      <c r="CK29" s="101">
        <f>Plantas_C_A3*Enfermedades_C</f>
        <v>0</v>
      </c>
      <c r="CL29" s="101">
        <f>Plantas_D_A3*Enfermedades_D</f>
        <v>0</v>
      </c>
      <c r="CM29" s="101"/>
      <c r="CN29" s="101">
        <f>Plantas_Y_A3*Enfermedades_Y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SUMIFS('9'!$E:$E,'9'!$A:$A,Año_Inicial+2,'9'!$D:$D,"Fungicida")</f>
        <v>0</v>
      </c>
      <c r="D30" s="100">
        <f t="shared" si="45"/>
        <v>0</v>
      </c>
      <c r="E30" s="490"/>
      <c r="F30" s="101">
        <f>((A3_A_L1*Fungicida_A)+(A3_B_L1*Fungicida_B)+(A3_C_L1*Fungicida_C)+(A3_D_L1*Fungicida_D)+(A3_Y_L1*Fungicida_Y))*Inflación_3</f>
        <v>0</v>
      </c>
      <c r="G30" s="101">
        <f>SUMIFS('9'!$E:$E,'9'!$A:$A,Año_Inicial+2,'9'!$B:$B,'12'!F$4,'9'!$D:$D,"Fungicida")</f>
        <v>0</v>
      </c>
      <c r="H30" s="101">
        <f>((A3_A_L2*Fungicida_A)+(A3_B_L2*Fungicida_B)+(A3_C_L2*Fungicida_C)+(A3_D_L2*Fungicida_D)+(A3_Y_L2*Fungicida_Y))*Inflación_3</f>
        <v>0</v>
      </c>
      <c r="I30" s="101">
        <f>SUMIFS('9'!$E:$E,'9'!$A:$A,Año_Inicial+2,'9'!$B:$B,'12'!H$4,'9'!$D:$D,"Fungicida")</f>
        <v>0</v>
      </c>
      <c r="J30" s="101">
        <f>((A3_A_L3*Fungicida_A)+(A3_B_L3*Fungicida_B)+(A3_C_L3*Fungicida_C)+(A3_D_L3*Fungicida_D)+(A3_Y_L3*Fungicida_Y))*Inflación_3</f>
        <v>0</v>
      </c>
      <c r="K30" s="101">
        <f>SUMIFS('9'!$E:$E,'9'!$A:$A,Año_Inicial+2,'9'!$B:$B,'12'!J$4,'9'!$D:$D,"Fungicida")</f>
        <v>0</v>
      </c>
      <c r="L30" s="101">
        <f>((A3_A_L4*Fungicida_A)+(A3_B_L4*Fungicida_B)+(A3_C_L4*Fungicida_C)+(A3_D_L4*Fungicida_D)+(A3_Y_L4*Fungicida_Y))*Inflación_3</f>
        <v>0</v>
      </c>
      <c r="M30" s="101">
        <f>SUMIFS('9'!$E:$E,'9'!$A:$A,Año_Inicial+2,'9'!$B:$B,'12'!L$4,'9'!$D:$D,"Fungicida")</f>
        <v>0</v>
      </c>
      <c r="N30" s="101">
        <f>((A3_A_L5*Fungicida_A)+(A3_B_L5*Fungicida_B)+(A3_C_L5*Fungicida_C)+(A3_D_L5*Fungicida_D)+(A3_Y_L5*Fungicida_Y))*Inflación_3</f>
        <v>0</v>
      </c>
      <c r="O30" s="101">
        <f>SUMIFS('9'!$E:$E,'9'!$A:$A,Año_Inicial+2,'9'!$B:$B,'12'!N$4,'9'!$D:$D,"Fungicida")</f>
        <v>0</v>
      </c>
      <c r="P30" s="101">
        <f>((A3_A_L6*Fungicida_A)+(A3_B_L6*Fungicida_B)+(A3_C_L6*Fungicida_C)+(A3_D_L6*Fungicida_D)+(A3_Y_L6*Fungicida_Y))*Inflación_3</f>
        <v>0</v>
      </c>
      <c r="Q30" s="101">
        <f>SUMIFS('9'!$E:$E,'9'!$A:$A,Año_Inicial+2,'9'!$B:$B,'12'!P$4,'9'!$D:$D,"Fungicida")</f>
        <v>0</v>
      </c>
      <c r="R30" s="101">
        <f>((A3_A_L7*Fungicida_A)+(A3_B_L7*Fungicida_B)+(A3_C_L7*Fungicida_C)+(A3_D_L7*Fungicida_D)+(A3_Y_L7*Fungicida_Y))*Inflación_3</f>
        <v>0</v>
      </c>
      <c r="S30" s="101">
        <f>SUMIFS('9'!$E:$E,'9'!$A:$A,Año_Inicial+2,'9'!$B:$B,'12'!R$4,'9'!$D:$D,"Fungicida")</f>
        <v>0</v>
      </c>
      <c r="T30" s="101">
        <f>((A3_A_L8*Fungicida_A)+(A3_B_L8*Fungicida_B)+(A3_C_L8*Fungicida_C)+(A3_D_L8*Fungicida_D)+(A3_Y_L8*Fungicida_Y))*Inflación_3</f>
        <v>0</v>
      </c>
      <c r="U30" s="101">
        <f>SUMIFS('9'!$E:$E,'9'!$A:$A,Año_Inicial+2,'9'!$B:$B,'12'!T$4,'9'!$D:$D,"Fungicida")</f>
        <v>0</v>
      </c>
      <c r="V30" s="101">
        <f>((A3_A_L9*Fungicida_A)+(A3_B_L9*Fungicida_B)+(A3_C_L9*Fungicida_C)+(A3_D_L9*Fungicida_D)+(A3_Y_L9*Fungicida_Y))*Inflación_3</f>
        <v>0</v>
      </c>
      <c r="W30" s="101">
        <f>SUMIFS('9'!$E:$E,'9'!$A:$A,Año_Inicial+2,'9'!$B:$B,'12'!V$4,'9'!$D:$D,"Fungicida")</f>
        <v>0</v>
      </c>
      <c r="X30" s="101">
        <f>((A3_A_L10*Fungicida_A)+(A3_B_L10*Fungicida_B)+(A3_C_L10*Fungicida_C)+(A3_D_L10*Fungicida_D)+(A3_Y_L10*Fungicida_Y))*Inflación_3</f>
        <v>0</v>
      </c>
      <c r="Y30" s="101">
        <f>SUMIFS('9'!$E:$E,'9'!$A:$A,Año_Inicial+2,'9'!$B:$B,'12'!X$4,'9'!$D:$D,"Fungicida")</f>
        <v>0</v>
      </c>
      <c r="Z30" s="101">
        <f>((A3_A_L11*Fungicida_A)+(A3_B_L11*Fungicida_B)+(A3_C_L11*Fungicida_C)+(A3_D_L11*Fungicida_D)+(A3_Y_L11*Fungicida_Y))*Inflación_3</f>
        <v>0</v>
      </c>
      <c r="AA30" s="101">
        <f>SUMIFS('9'!$E:$E,'9'!$A:$A,Año_Inicial+2,'9'!$B:$B,'12'!Z$4,'9'!$D:$D,"Fungicida")</f>
        <v>0</v>
      </c>
      <c r="AB30" s="101">
        <f>((A3_A_L12*Fungicida_A)+(A3_B_L12*Fungicida_B)+(A3_C_L12*Fungicida_C)+(A3_D_L12*Fungicida_D)+(A3_Y_L12*Fungicida_Y))*Inflación_3</f>
        <v>0</v>
      </c>
      <c r="AC30" s="101">
        <f>SUMIFS('9'!$E:$E,'9'!$A:$A,Año_Inicial+2,'9'!$B:$B,'12'!AB$4,'9'!$D:$D,"Fungicida")</f>
        <v>0</v>
      </c>
      <c r="AD30" s="101">
        <f>((A3_A_L13*Fungicida_A)+(A3_B_L13*Fungicida_B)+(A3_C_L13*Fungicida_C)+(A3_D_L13*Fungicida_D)+(A3_Y_L13*Fungicida_Y))*Inflación_3</f>
        <v>0</v>
      </c>
      <c r="AE30" s="101">
        <f>SUMIFS('9'!$E:$E,'9'!$A:$A,Año_Inicial+2,'9'!$B:$B,'12'!AD$4,'9'!$D:$D,"Fungicida")</f>
        <v>0</v>
      </c>
      <c r="AF30" s="101">
        <f>((A3_A_L14*Fungicida_A)+(A3_B_L14*Fungicida_B)+(A3_C_L14*Fungicida_C)+(A3_D_L14*Fungicida_D)+(A3_Y_L14*Fungicida_Y))*Inflación_3</f>
        <v>0</v>
      </c>
      <c r="AG30" s="101">
        <f>SUMIFS('9'!$E:$E,'9'!$A:$A,Año_Inicial+2,'9'!$B:$B,'12'!AF$4,'9'!$D:$D,"Fungicida")</f>
        <v>0</v>
      </c>
      <c r="AH30" s="101">
        <f>((A3_A_L15*Fungicida_A)+(A3_B_L15*Fungicida_B)+(A3_C_L15*Fungicida_C)+(A3_D_L15*Fungicida_D)+(A3_Y_L15*Fungicida_Y))*Inflación_3</f>
        <v>0</v>
      </c>
      <c r="AI30" s="101">
        <f>SUMIFS('9'!$E:$E,'9'!$A:$A,Año_Inicial+2,'9'!$B:$B,'12'!AH$4,'9'!$D:$D,"Fungicida")</f>
        <v>0</v>
      </c>
      <c r="AJ30" s="101">
        <f>((A3_A_L16*Fungicida_A)+(A3_B_L16*Fungicida_B)+(A3_C_L16*Fungicida_C)+(A3_D_L16*Fungicida_D)+(A3_Y_L16*Fungicida_Y))*Inflación_3</f>
        <v>0</v>
      </c>
      <c r="AK30" s="101">
        <f>SUMIFS('9'!$E:$E,'9'!$A:$A,Año_Inicial+2,'9'!$B:$B,'12'!AJ$4,'9'!$D:$D,"Fungicida")</f>
        <v>0</v>
      </c>
      <c r="AL30" s="101">
        <f>((A3_A_L17*Fungicida_A)+(A3_B_L17*Fungicida_B)+(A3_C_L17*Fungicida_C)+(A3_D_L17*Fungicida_D)+(A3_Y_L17*Fungicida_Y))*Inflación_3</f>
        <v>0</v>
      </c>
      <c r="AM30" s="101">
        <f>SUMIFS('9'!$E:$E,'9'!$A:$A,Año_Inicial+2,'9'!$B:$B,'12'!AL$4,'9'!$D:$D,"Fungicida")</f>
        <v>0</v>
      </c>
      <c r="AN30" s="101">
        <f>((A3_A_L18*Fungicida_A)+(A3_B_L18*Fungicida_B)+(A3_C_L18*Fungicida_C)+(A3_D_L18*Fungicida_D)+(A3_Y_L18*Fungicida_Y))*Inflación_3</f>
        <v>0</v>
      </c>
      <c r="AO30" s="101">
        <f>SUMIFS('9'!$E:$E,'9'!$A:$A,Año_Inicial+2,'9'!$B:$B,'12'!AN$4,'9'!$D:$D,"Fungicida")</f>
        <v>0</v>
      </c>
      <c r="AP30" s="101">
        <f>((A3_A_L19*Fungicida_A)+(A3_B_L19*Fungicida_B)+(A3_C_L19*Fungicida_C)+(A3_D_L19*Fungicida_D)+(A3_Y_L19*Fungicida_Y))*Inflación_3</f>
        <v>0</v>
      </c>
      <c r="AQ30" s="101">
        <f>SUMIFS('9'!$E:$E,'9'!$A:$A,Año_Inicial+2,'9'!$B:$B,'12'!AP$4,'9'!$D:$D,"Fungicida")</f>
        <v>0</v>
      </c>
      <c r="AR30" s="101">
        <f>((A3_A_L20*Fungicida_A)+(A3_B_L20*Fungicida_B)+(A3_C_L20*Fungicida_C)+(A3_D_L20*Fungicida_D)+(A3_Y_L20*Fungicida_Y))*Inflación_3</f>
        <v>0</v>
      </c>
      <c r="AS30" s="101">
        <f>SUMIFS('9'!$E:$E,'9'!$A:$A,Año_Inicial+2,'9'!$B:$B,'12'!AR$4,'9'!$D:$D,"Fungicida")</f>
        <v>0</v>
      </c>
      <c r="AT30" s="101">
        <f>((A3_A_L21*Fungicida_A)+(A3_B_L21*Fungicida_B)+(A3_C_L21*Fungicida_C)+(A3_D_L21*Fungicida_D)+(A3_Y_L21*Fungicida_Y))*Inflación_3</f>
        <v>0</v>
      </c>
      <c r="AU30" s="101">
        <f>SUMIFS('9'!$E:$E,'9'!$A:$A,Año_Inicial+2,'9'!$B:$B,'12'!AT$4,'9'!$D:$D,"Fungicida")</f>
        <v>0</v>
      </c>
      <c r="AV30" s="101">
        <f>((A3_A_L22*Fungicida_A)+(A3_B_L22*Fungicida_B)+(A3_C_L22*Fungicida_C)+(A3_D_L22*Fungicida_D)+(A3_Y_L22*Fungicida_Y))*Inflación_3</f>
        <v>0</v>
      </c>
      <c r="AW30" s="101">
        <f>SUMIFS('9'!$E:$E,'9'!$A:$A,Año_Inicial+2,'9'!$B:$B,'12'!AV$4,'9'!$D:$D,"Fungicida")</f>
        <v>0</v>
      </c>
      <c r="AX30" s="101">
        <f>((A3_A_L23*Fungicida_A)+(A3_B_L23*Fungicida_B)+(A3_C_L23*Fungicida_C)+(A3_D_L23*Fungicida_D)+(A3_Y_L23*Fungicida_Y))*Inflación_3</f>
        <v>0</v>
      </c>
      <c r="AY30" s="101">
        <f>SUMIFS('9'!$E:$E,'9'!$A:$A,Año_Inicial+2,'9'!$B:$B,'12'!AX$4,'9'!$D:$D,"Fungicida")</f>
        <v>0</v>
      </c>
      <c r="AZ30" s="101">
        <f>((A3_A_L24*Fungicida_A)+(A3_B_L24*Fungicida_B)+(A3_C_L24*Fungicida_C)+(A3_D_L24*Fungicida_D)+(A3_Y_L24*Fungicida_Y))*Inflación_3</f>
        <v>0</v>
      </c>
      <c r="BA30" s="101">
        <f>SUMIFS('9'!$E:$E,'9'!$A:$A,Año_Inicial+2,'9'!$B:$B,'12'!AZ$4,'9'!$D:$D,"Fungicida")</f>
        <v>0</v>
      </c>
      <c r="BB30" s="101">
        <f>((A3_A_L25*Fungicida_A)+(A3_B_L25*Fungicida_B)+(A3_C_L25*Fungicida_C)+(A3_D_L25*Fungicida_D)+(A3_Y_L25*Fungicida_Y))*Inflación_3</f>
        <v>0</v>
      </c>
      <c r="BC30" s="101">
        <f>SUMIFS('9'!$E:$E,'9'!$A:$A,Año_Inicial+2,'9'!$B:$B,'12'!BB$4,'9'!$D:$D,"Fungicida")</f>
        <v>0</v>
      </c>
      <c r="BD30" s="101">
        <f>((A3_A_L26*Fungicida_A)+(A3_B_L26*Fungicida_B)+(A3_C_L26*Fungicida_C)+(A3_D_L26*Fungicida_D)+(A3_Y_L26*Fungicida_Y))*Inflación_3</f>
        <v>0</v>
      </c>
      <c r="BE30" s="101">
        <f>SUMIFS('9'!$E:$E,'9'!$A:$A,Año_Inicial+2,'9'!$B:$B,'12'!BD$4,'9'!$D:$D,"Fungicida")</f>
        <v>0</v>
      </c>
      <c r="BF30" s="101">
        <f>((A3_A_L27*Fungicida_A)+(A3_B_L27*Fungicida_B)+(A3_C_L27*Fungicida_C)+(A3_D_L27*Fungicida_D)+(A3_Y_L27*Fungicida_Y))*Inflación_3</f>
        <v>0</v>
      </c>
      <c r="BG30" s="101">
        <f>SUMIFS('9'!$E:$E,'9'!$A:$A,Año_Inicial+2,'9'!$B:$B,'12'!BF$4,'9'!$D:$D,"Fungicida")</f>
        <v>0</v>
      </c>
      <c r="BH30" s="101">
        <f>((A3_A_L28*Fungicida_A)+(A3_B_L28*Fungicida_B)+(A3_C_L28*Fungicida_C)+(A3_D_L28*Fungicida_D)+(A3_Y_L28*Fungicida_Y))*Inflación_3</f>
        <v>0</v>
      </c>
      <c r="BI30" s="101">
        <f>SUMIFS('9'!$E:$E,'9'!$A:$A,Año_Inicial+2,'9'!$B:$B,'12'!BH$4,'9'!$D:$D,"Fungicida")</f>
        <v>0</v>
      </c>
      <c r="BJ30" s="101">
        <f>((A3_A_L29*Fungicida_A)+(A3_B_L29*Fungicida_B)+(A3_C_L29*Fungicida_C)+(A3_D_L29*Fungicida_D)+(A3_Y_L29*Fungicida_Y))*Inflación_3</f>
        <v>0</v>
      </c>
      <c r="BK30" s="101">
        <f>SUMIFS('9'!$E:$E,'9'!$A:$A,Año_Inicial+2,'9'!$B:$B,'12'!BJ$4,'9'!$D:$D,"Fungicida")</f>
        <v>0</v>
      </c>
      <c r="BL30" s="101">
        <f>((A3_A_L30*Fungicida_A)+(A3_B_L30*Fungicida_B)+(A3_C_L30*Fungicida_C)+(A3_D_L30*Fungicida_D)+(A3_Y_L30*Fungicida_Y))*Inflación_3</f>
        <v>0</v>
      </c>
      <c r="BM30" s="101">
        <f>SUMIFS('9'!$E:$E,'9'!$A:$A,Año_Inicial+2,'9'!$B:$B,'12'!BL$4,'9'!$D:$D,"Fungicida")</f>
        <v>0</v>
      </c>
      <c r="BN30" s="101">
        <f>((A3_A_L31*Fungicida_A)+(A3_B_L31*Fungicida_B)+(A3_C_L31*Fungicida_C)+(A3_D_L31*Fungicida_D)+(A3_Y_L31*Fungicida_Y))*Inflación_3</f>
        <v>0</v>
      </c>
      <c r="BO30" s="101">
        <f>SUMIFS('9'!$E:$E,'9'!$A:$A,Año_Inicial+2,'9'!$B:$B,'12'!BN$4,'9'!$D:$D,"Fungicida")</f>
        <v>0</v>
      </c>
      <c r="BP30" s="101">
        <f>((A3_A_L32*Fungicida_A)+(A3_B_L32*Fungicida_B)+(A3_C_L32*Fungicida_C)+(A3_D_L32*Fungicida_D)+(A3_Y_L32*Fungicida_Y))*Inflación_3</f>
        <v>0</v>
      </c>
      <c r="BQ30" s="101">
        <f>SUMIFS('9'!$E:$E,'9'!$A:$A,Año_Inicial+2,'9'!$B:$B,'12'!BP$4,'9'!$D:$D,"Fungicida")</f>
        <v>0</v>
      </c>
      <c r="BR30" s="101">
        <f>((A3_A_L33*Fungicida_A)+(A3_B_L33*Fungicida_B)+(A3_C_L33*Fungicida_C)+(A3_D_L33*Fungicida_D)+(A3_Y_L33*Fungicida_Y))*Inflación_3</f>
        <v>0</v>
      </c>
      <c r="BS30" s="101">
        <f>SUMIFS('9'!$E:$E,'9'!$A:$A,Año_Inicial+2,'9'!$B:$B,'12'!BR$4,'9'!$D:$D,"Fungicida")</f>
        <v>0</v>
      </c>
      <c r="BT30" s="101">
        <f>((A3_A_L34*Fungicida_A)+(A3_B_L34*Fungicida_B)+(A3_C_L34*Fungicida_C)+(A3_D_L34*Fungicida_D)+(A3_Y_L34*Fungicida_Y))*Inflación_3</f>
        <v>0</v>
      </c>
      <c r="BU30" s="101">
        <f>SUMIFS('9'!$E:$E,'9'!$A:$A,Año_Inicial+2,'9'!$B:$B,'12'!BT$4,'9'!$D:$D,"Fungicida")</f>
        <v>0</v>
      </c>
      <c r="BV30" s="101">
        <f>((A3_A_L35*Fungicida_A)+(A3_B_L35*Fungicida_B)+(A3_C_L35*Fungicida_C)+(A3_D_L35*Fungicida_D)+(A3_Y_L35*Fungicida_Y))*Inflación_3</f>
        <v>0</v>
      </c>
      <c r="BW30" s="101">
        <f>SUMIFS('9'!$E:$E,'9'!$A:$A,Año_Inicial+2,'9'!$B:$B,'12'!BV$4,'9'!$D:$D,"Fungicida")</f>
        <v>0</v>
      </c>
      <c r="BX30" s="101">
        <f>((A3_A_L36*Fungicida_A)+(A3_B_L36*Fungicida_B)+(A3_C_L36*Fungicida_C)+(A3_D_L36*Fungicida_D)+(A3_Y_L36*Fungicida_Y))*Inflación_3</f>
        <v>0</v>
      </c>
      <c r="BY30" s="101">
        <f>SUMIFS('9'!$E:$E,'9'!$A:$A,Año_Inicial+2,'9'!$B:$B,'12'!BX$4,'9'!$D:$D,"Fungicida")</f>
        <v>0</v>
      </c>
      <c r="BZ30" s="101">
        <f>((A3_A_L37*Fungicida_A)+(A3_B_L37*Fungicida_B)+(A3_C_L37*Fungicida_C)+(A3_D_L37*Fungicida_D)+(A3_Y_L37*Fungicida_Y))*Inflación_3</f>
        <v>0</v>
      </c>
      <c r="CA30" s="101">
        <f>SUMIFS('9'!$E:$E,'9'!$A:$A,Año_Inicial+2,'9'!$B:$B,'12'!BZ$4,'9'!$D:$D,"Fungicida")</f>
        <v>0</v>
      </c>
      <c r="CB30" s="101">
        <f>((A3_A_L38*Fungicida_A)+(A3_B_L38*Fungicida_B)+(A3_C_L38*Fungicida_C)+(A3_D_L38*Fungicida_D)+(A3_Y_L38*Fungicida_Y))*Inflación_3</f>
        <v>0</v>
      </c>
      <c r="CC30" s="101">
        <f>SUMIFS('9'!$E:$E,'9'!$A:$A,Año_Inicial+2,'9'!$B:$B,'12'!CB$4,'9'!$D:$D,"Fungicida")</f>
        <v>0</v>
      </c>
      <c r="CD30" s="101">
        <f>((A3_A_L39*Fungicida_A)+(A3_B_L39*Fungicida_B)+(A3_C_L39*Fungicida_C)+(A3_D_L39*Fungicida_D)+(A3_Y_L39*Fungicida_Y))*Inflación_3</f>
        <v>0</v>
      </c>
      <c r="CE30" s="101">
        <f>SUMIFS('9'!$E:$E,'9'!$A:$A,Año_Inicial+2,'9'!$B:$B,'12'!CD$4,'9'!$D:$D,"Fungicida")</f>
        <v>0</v>
      </c>
      <c r="CF30" s="101">
        <f>((A3_A_L40*Fungicida_A)+(A3_B_L40*Fungicida_B)+(A3_C_L40*Fungicida_C)+(A3_D_L40*Fungicida_D)+(A3_Y_L40*Fungicida_Y))*Inflación_3</f>
        <v>0</v>
      </c>
      <c r="CG30" s="101">
        <f>SUMIFS('9'!$E:$E,'9'!$A:$A,Año_Inicial+2,'9'!$B:$B,'12'!CF$4,'9'!$D:$D,"Fungicida")</f>
        <v>0</v>
      </c>
      <c r="CH30" s="473"/>
      <c r="CI30" s="101">
        <f>Plantas_A_A3*Fungicida_A*Inflación_3</f>
        <v>0</v>
      </c>
      <c r="CJ30" s="101">
        <f>Plantas_B_A3*Fungicida_B</f>
        <v>0</v>
      </c>
      <c r="CK30" s="101">
        <f>Plantas_C_A3*Fungicida_C</f>
        <v>0</v>
      </c>
      <c r="CL30" s="101">
        <f>Plantas_D_A3*Fungicida_D</f>
        <v>0</v>
      </c>
      <c r="CM30" s="101"/>
      <c r="CN30" s="101">
        <f>Plantas_Y_A3*Fungicida_Y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90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SUMIFS('9'!$E:$E,'9'!$A:$A,Año_Inicial+2,'9'!$D:$D,"Manejo de sombra")</f>
        <v>0</v>
      </c>
      <c r="D32" s="100">
        <f t="shared" si="45"/>
        <v>0</v>
      </c>
      <c r="E32" s="490"/>
      <c r="F32" s="101">
        <f>((A3_A_L1*Sombra_A)+(A3_B_L1*Sombra_B)+(A3_C_L1*Sombra_C)+(A3_D_L1*Sombra_D)+(A3_Y_L1*Sombra_Y))*Inflación_3</f>
        <v>0</v>
      </c>
      <c r="G32" s="101">
        <f>SUMIFS('9'!$E:$E,'9'!$A:$A,Año_Inicial+2,'9'!$B:$B,'12'!F$4,'9'!$D:$D,"Manejo de sombra")</f>
        <v>0</v>
      </c>
      <c r="H32" s="101">
        <f>((A3_A_L2*Sombra_A)+(A3_B_L2*Sombra_B)+(A3_C_L2*Sombra_C)+(A3_D_L2*Sombra_D)+(A3_Y_L2*Sombra_Y))*Inflación_3</f>
        <v>0</v>
      </c>
      <c r="I32" s="101">
        <f>SUMIFS('9'!$E:$E,'9'!$A:$A,Año_Inicial+2,'9'!$B:$B,'12'!H$4,'9'!$D:$D,"Manejo de sombra")</f>
        <v>0</v>
      </c>
      <c r="J32" s="101">
        <f>((A3_A_L3*Sombra_A)+(A3_B_L3*Sombra_B)+(A3_C_L3*Sombra_C)+(A3_D_L3*Sombra_D)+(A3_Y_L3*Sombra_Y))*Inflación_3</f>
        <v>0</v>
      </c>
      <c r="K32" s="101">
        <f>SUMIFS('9'!$E:$E,'9'!$A:$A,Año_Inicial+2,'9'!$B:$B,'12'!J$4,'9'!$D:$D,"Manejo de sombra")</f>
        <v>0</v>
      </c>
      <c r="L32" s="101">
        <f>((A3_A_L4*Sombra_A)+(A3_B_L4*Sombra_B)+(A3_C_L4*Sombra_C)+(A3_D_L4*Sombra_D)+(A3_Y_L4*Sombra_Y))*Inflación_3</f>
        <v>0</v>
      </c>
      <c r="M32" s="101">
        <f>SUMIFS('9'!$E:$E,'9'!$A:$A,Año_Inicial+2,'9'!$B:$B,'12'!L$4,'9'!$D:$D,"Manejo de sombra")</f>
        <v>0</v>
      </c>
      <c r="N32" s="101">
        <f>((A3_A_L5*Sombra_A)+(A3_B_L5*Sombra_B)+(A3_C_L5*Sombra_C)+(A3_D_L5*Sombra_D)+(A3_Y_L5*Sombra_Y))*Inflación_3</f>
        <v>0</v>
      </c>
      <c r="O32" s="101">
        <f>SUMIFS('9'!$E:$E,'9'!$A:$A,Año_Inicial+2,'9'!$B:$B,'12'!N$4,'9'!$D:$D,"Manejo de sombra")</f>
        <v>0</v>
      </c>
      <c r="P32" s="101">
        <f>((A3_A_L6*Sombra_A)+(A3_B_L6*Sombra_B)+(A3_C_L6*Sombra_C)+(A3_D_L6*Sombra_D)+(A3_Y_L6*Sombra_Y))*Inflación_3</f>
        <v>0</v>
      </c>
      <c r="Q32" s="101">
        <f>SUMIFS('9'!$E:$E,'9'!$A:$A,Año_Inicial+2,'9'!$B:$B,'12'!P$4,'9'!$D:$D,"Manejo de sombra")</f>
        <v>0</v>
      </c>
      <c r="R32" s="101">
        <f>((A3_A_L7*Sombra_A)+(A3_B_L7*Sombra_B)+(A3_C_L7*Sombra_C)+(A3_D_L7*Sombra_D)+(A3_Y_L7*Sombra_Y))*Inflación_3</f>
        <v>0</v>
      </c>
      <c r="S32" s="101">
        <f>SUMIFS('9'!$E:$E,'9'!$A:$A,Año_Inicial+2,'9'!$B:$B,'12'!R$4,'9'!$D:$D,"Manejo de sombra")</f>
        <v>0</v>
      </c>
      <c r="T32" s="101">
        <f>((A3_A_L8*Sombra_A)+(A3_B_L8*Sombra_B)+(A3_C_L8*Sombra_C)+(A3_D_L8*Sombra_D)+(A3_Y_L8*Sombra_Y))*Inflación_3</f>
        <v>0</v>
      </c>
      <c r="U32" s="101">
        <f>SUMIFS('9'!$E:$E,'9'!$A:$A,Año_Inicial+2,'9'!$B:$B,'12'!T$4,'9'!$D:$D,"Manejo de sombra")</f>
        <v>0</v>
      </c>
      <c r="V32" s="101">
        <f>((A3_A_L9*Sombra_A)+(A3_B_L9*Sombra_B)+(A3_C_L9*Sombra_C)+(A3_D_L9*Sombra_D)+(A3_Y_L9*Sombra_Y))*Inflación_3</f>
        <v>0</v>
      </c>
      <c r="W32" s="101">
        <f>SUMIFS('9'!$E:$E,'9'!$A:$A,Año_Inicial+2,'9'!$B:$B,'12'!V$4,'9'!$D:$D,"Manejo de sombra")</f>
        <v>0</v>
      </c>
      <c r="X32" s="101">
        <f>((A3_A_L10*Sombra_A)+(A3_B_L10*Sombra_B)+(A3_C_L10*Sombra_C)+(A3_D_L10*Sombra_D)+(A3_Y_L10*Sombra_Y))*Inflación_3</f>
        <v>0</v>
      </c>
      <c r="Y32" s="101">
        <f>SUMIFS('9'!$E:$E,'9'!$A:$A,Año_Inicial+2,'9'!$B:$B,'12'!X$4,'9'!$D:$D,"Manejo de sombra")</f>
        <v>0</v>
      </c>
      <c r="Z32" s="101">
        <f>((A3_A_L11*Sombra_A)+(A3_B_L11*Sombra_B)+(A3_C_L11*Sombra_C)+(A3_D_L11*Sombra_D)+(A3_Y_L11*Sombra_Y))*Inflación_3</f>
        <v>0</v>
      </c>
      <c r="AA32" s="101">
        <f>SUMIFS('9'!$E:$E,'9'!$A:$A,Año_Inicial+2,'9'!$B:$B,'12'!Z$4,'9'!$D:$D,"Manejo de sombra")</f>
        <v>0</v>
      </c>
      <c r="AB32" s="101">
        <f>((A3_A_L12*Sombra_A)+(A3_B_L12*Sombra_B)+(A3_C_L12*Sombra_C)+(A3_D_L12*Sombra_D)+(A3_Y_L12*Sombra_Y))*Inflación_3</f>
        <v>0</v>
      </c>
      <c r="AC32" s="101">
        <f>SUMIFS('9'!$E:$E,'9'!$A:$A,Año_Inicial+2,'9'!$B:$B,'12'!AB$4,'9'!$D:$D,"Manejo de sombra")</f>
        <v>0</v>
      </c>
      <c r="AD32" s="101">
        <f>((A3_A_L13*Sombra_A)+(A3_B_L13*Sombra_B)+(A3_C_L13*Sombra_C)+(A3_D_L13*Sombra_D)+(A3_Y_L13*Sombra_Y))*Inflación_3</f>
        <v>0</v>
      </c>
      <c r="AE32" s="101">
        <f>SUMIFS('9'!$E:$E,'9'!$A:$A,Año_Inicial+2,'9'!$B:$B,'12'!AD$4,'9'!$D:$D,"Manejo de sombra")</f>
        <v>0</v>
      </c>
      <c r="AF32" s="101">
        <f>((A3_A_L14*Sombra_A)+(A3_B_L14*Sombra_B)+(A3_C_L14*Sombra_C)+(A3_D_L14*Sombra_D)+(A3_Y_L14*Sombra_Y))*Inflación_3</f>
        <v>0</v>
      </c>
      <c r="AG32" s="101">
        <f>SUMIFS('9'!$E:$E,'9'!$A:$A,Año_Inicial+2,'9'!$B:$B,'12'!AF$4,'9'!$D:$D,"Manejo de sombra")</f>
        <v>0</v>
      </c>
      <c r="AH32" s="101">
        <f>((A3_A_L15*Sombra_A)+(A3_B_L15*Sombra_B)+(A3_C_L15*Sombra_C)+(A3_D_L15*Sombra_D)+(A3_Y_L15*Sombra_Y))*Inflación_3</f>
        <v>0</v>
      </c>
      <c r="AI32" s="101">
        <f>SUMIFS('9'!$E:$E,'9'!$A:$A,Año_Inicial+2,'9'!$B:$B,'12'!AH$4,'9'!$D:$D,"Manejo de sombra")</f>
        <v>0</v>
      </c>
      <c r="AJ32" s="101">
        <f>((A3_A_L16*Sombra_A)+(A3_B_L16*Sombra_B)+(A3_C_L16*Sombra_C)+(A3_D_L16*Sombra_D)+(A3_Y_L16*Sombra_Y))*Inflación_3</f>
        <v>0</v>
      </c>
      <c r="AK32" s="101">
        <f>SUMIFS('9'!$E:$E,'9'!$A:$A,Año_Inicial+2,'9'!$B:$B,'12'!AJ$4,'9'!$D:$D,"Manejo de sombra")</f>
        <v>0</v>
      </c>
      <c r="AL32" s="101">
        <f>((A3_A_L17*Sombra_A)+(A3_B_L17*Sombra_B)+(A3_C_L17*Sombra_C)+(A3_D_L17*Sombra_D)+(A3_Y_L17*Sombra_Y))*Inflación_3</f>
        <v>0</v>
      </c>
      <c r="AM32" s="101">
        <f>SUMIFS('9'!$E:$E,'9'!$A:$A,Año_Inicial+2,'9'!$B:$B,'12'!AL$4,'9'!$D:$D,"Manejo de sombra")</f>
        <v>0</v>
      </c>
      <c r="AN32" s="101">
        <f>((A3_A_L18*Sombra_A)+(A3_B_L18*Sombra_B)+(A3_C_L18*Sombra_C)+(A3_D_L18*Sombra_D)+(A3_Y_L18*Sombra_Y))*Inflación_3</f>
        <v>0</v>
      </c>
      <c r="AO32" s="101">
        <f>SUMIFS('9'!$E:$E,'9'!$A:$A,Año_Inicial+2,'9'!$B:$B,'12'!AN$4,'9'!$D:$D,"Manejo de sombra")</f>
        <v>0</v>
      </c>
      <c r="AP32" s="101">
        <f>((A3_A_L19*Sombra_A)+(A3_B_L19*Sombra_B)+(A3_C_L19*Sombra_C)+(A3_D_L19*Sombra_D)+(A3_Y_L19*Sombra_Y))*Inflación_3</f>
        <v>0</v>
      </c>
      <c r="AQ32" s="101">
        <f>SUMIFS('9'!$E:$E,'9'!$A:$A,Año_Inicial+2,'9'!$B:$B,'12'!AP$4,'9'!$D:$D,"Manejo de sombra")</f>
        <v>0</v>
      </c>
      <c r="AR32" s="101">
        <f>((A3_A_L20*Sombra_A)+(A3_B_L20*Sombra_B)+(A3_C_L20*Sombra_C)+(A3_D_L20*Sombra_D)+(A3_Y_L20*Sombra_Y))*Inflación_3</f>
        <v>0</v>
      </c>
      <c r="AS32" s="101">
        <f>SUMIFS('9'!$E:$E,'9'!$A:$A,Año_Inicial+2,'9'!$B:$B,'12'!AR$4,'9'!$D:$D,"Manejo de sombra")</f>
        <v>0</v>
      </c>
      <c r="AT32" s="101">
        <f>((A3_A_L21*Sombra_A)+(A3_B_L21*Sombra_B)+(A3_C_L21*Sombra_C)+(A3_D_L21*Sombra_D)+(A3_Y_L21*Sombra_Y))*Inflación_3</f>
        <v>0</v>
      </c>
      <c r="AU32" s="101">
        <f>SUMIFS('9'!$E:$E,'9'!$A:$A,Año_Inicial+2,'9'!$B:$B,'12'!AT$4,'9'!$D:$D,"Manejo de sombra")</f>
        <v>0</v>
      </c>
      <c r="AV32" s="101">
        <f>((A3_A_L22*Sombra_A)+(A3_B_L22*Sombra_B)+(A3_C_L22*Sombra_C)+(A3_D_L22*Sombra_D)+(A3_Y_L22*Sombra_Y))*Inflación_3</f>
        <v>0</v>
      </c>
      <c r="AW32" s="101">
        <f>SUMIFS('9'!$E:$E,'9'!$A:$A,Año_Inicial+2,'9'!$B:$B,'12'!AV$4,'9'!$D:$D,"Manejo de sombra")</f>
        <v>0</v>
      </c>
      <c r="AX32" s="101">
        <f>((A3_A_L23*Sombra_A)+(A3_B_L23*Sombra_B)+(A3_C_L23*Sombra_C)+(A3_D_L23*Sombra_D)+(A3_Y_L23*Sombra_Y))*Inflación_3</f>
        <v>0</v>
      </c>
      <c r="AY32" s="101">
        <f>SUMIFS('9'!$E:$E,'9'!$A:$A,Año_Inicial+2,'9'!$B:$B,'12'!AX$4,'9'!$D:$D,"Manejo de sombra")</f>
        <v>0</v>
      </c>
      <c r="AZ32" s="101">
        <f>((A3_A_L24*Sombra_A)+(A3_B_L24*Sombra_B)+(A3_C_L24*Sombra_C)+(A3_D_L24*Sombra_D)+(A3_Y_L24*Sombra_Y))*Inflación_3</f>
        <v>0</v>
      </c>
      <c r="BA32" s="101">
        <f>SUMIFS('9'!$E:$E,'9'!$A:$A,Año_Inicial+2,'9'!$B:$B,'12'!AZ$4,'9'!$D:$D,"Manejo de sombra")</f>
        <v>0</v>
      </c>
      <c r="BB32" s="101">
        <f>((A3_A_L25*Sombra_A)+(A3_B_L25*Sombra_B)+(A3_C_L25*Sombra_C)+(A3_D_L25*Sombra_D)+(A3_Y_L25*Sombra_Y))*Inflación_3</f>
        <v>0</v>
      </c>
      <c r="BC32" s="101">
        <f>SUMIFS('9'!$E:$E,'9'!$A:$A,Año_Inicial+2,'9'!$B:$B,'12'!BB$4,'9'!$D:$D,"Manejo de sombra")</f>
        <v>0</v>
      </c>
      <c r="BD32" s="101">
        <f>((A3_A_L26*Sombra_A)+(A3_B_L26*Sombra_B)+(A3_C_L26*Sombra_C)+(A3_D_L26*Sombra_D)+(A3_Y_L26*Sombra_Y))*Inflación_3</f>
        <v>0</v>
      </c>
      <c r="BE32" s="101">
        <f>SUMIFS('9'!$E:$E,'9'!$A:$A,Año_Inicial+2,'9'!$B:$B,'12'!BD$4,'9'!$D:$D,"Manejo de sombra")</f>
        <v>0</v>
      </c>
      <c r="BF32" s="101">
        <f>((A3_A_L27*Sombra_A)+(A3_B_L27*Sombra_B)+(A3_C_L27*Sombra_C)+(A3_D_L27*Sombra_D)+(A3_Y_L27*Sombra_Y))*Inflación_3</f>
        <v>0</v>
      </c>
      <c r="BG32" s="101">
        <f>SUMIFS('9'!$E:$E,'9'!$A:$A,Año_Inicial+2,'9'!$B:$B,'12'!BF$4,'9'!$D:$D,"Manejo de sombra")</f>
        <v>0</v>
      </c>
      <c r="BH32" s="101">
        <f>((A3_A_L28*Sombra_A)+(A3_B_L28*Sombra_B)+(A3_C_L28*Sombra_C)+(A3_D_L28*Sombra_D)+(A3_Y_L28*Sombra_Y))*Inflación_3</f>
        <v>0</v>
      </c>
      <c r="BI32" s="101">
        <f>SUMIFS('9'!$E:$E,'9'!$A:$A,Año_Inicial+2,'9'!$B:$B,'12'!BH$4,'9'!$D:$D,"Manejo de sombra")</f>
        <v>0</v>
      </c>
      <c r="BJ32" s="101">
        <f>((A3_A_L29*Sombra_A)+(A3_B_L29*Sombra_B)+(A3_C_L29*Sombra_C)+(A3_D_L29*Sombra_D)+(A3_Y_L29*Sombra_Y))*Inflación_3</f>
        <v>0</v>
      </c>
      <c r="BK32" s="101">
        <f>SUMIFS('9'!$E:$E,'9'!$A:$A,Año_Inicial+2,'9'!$B:$B,'12'!BJ$4,'9'!$D:$D,"Manejo de sombra")</f>
        <v>0</v>
      </c>
      <c r="BL32" s="101">
        <f>((A3_A_L30*Sombra_A)+(A3_B_L30*Sombra_B)+(A3_C_L30*Sombra_C)+(A3_D_L30*Sombra_D)+(A3_Y_L30*Sombra_Y))*Inflación_3</f>
        <v>0</v>
      </c>
      <c r="BM32" s="101">
        <f>SUMIFS('9'!$E:$E,'9'!$A:$A,Año_Inicial+2,'9'!$B:$B,'12'!BL$4,'9'!$D:$D,"Manejo de sombra")</f>
        <v>0</v>
      </c>
      <c r="BN32" s="101">
        <f>((A3_A_L31*Sombra_A)+(A3_B_L31*Sombra_B)+(A3_C_L31*Sombra_C)+(A3_D_L31*Sombra_D)+(A3_Y_L31*Sombra_Y))*Inflación_3</f>
        <v>0</v>
      </c>
      <c r="BO32" s="101">
        <f>SUMIFS('9'!$E:$E,'9'!$A:$A,Año_Inicial+2,'9'!$B:$B,'12'!BN$4,'9'!$D:$D,"Manejo de sombra")</f>
        <v>0</v>
      </c>
      <c r="BP32" s="101">
        <f>((A3_A_L32*Sombra_A)+(A3_B_L32*Sombra_B)+(A3_C_L32*Sombra_C)+(A3_D_L32*Sombra_D)+(A3_Y_L32*Sombra_Y))*Inflación_3</f>
        <v>0</v>
      </c>
      <c r="BQ32" s="101">
        <f>SUMIFS('9'!$E:$E,'9'!$A:$A,Año_Inicial+2,'9'!$B:$B,'12'!BP$4,'9'!$D:$D,"Manejo de sombra")</f>
        <v>0</v>
      </c>
      <c r="BR32" s="101">
        <f>((A3_A_L33*Sombra_A)+(A3_B_L33*Sombra_B)+(A3_C_L33*Sombra_C)+(A3_D_L33*Sombra_D)+(A3_Y_L33*Sombra_Y))*Inflación_3</f>
        <v>0</v>
      </c>
      <c r="BS32" s="101">
        <f>SUMIFS('9'!$E:$E,'9'!$A:$A,Año_Inicial+2,'9'!$B:$B,'12'!BR$4,'9'!$D:$D,"Manejo de sombra")</f>
        <v>0</v>
      </c>
      <c r="BT32" s="101">
        <f>((A3_A_L34*Sombra_A)+(A3_B_L34*Sombra_B)+(A3_C_L34*Sombra_C)+(A3_D_L34*Sombra_D)+(A3_Y_L34*Sombra_Y))*Inflación_3</f>
        <v>0</v>
      </c>
      <c r="BU32" s="101">
        <f>SUMIFS('9'!$E:$E,'9'!$A:$A,Año_Inicial+2,'9'!$B:$B,'12'!BT$4,'9'!$D:$D,"Manejo de sombra")</f>
        <v>0</v>
      </c>
      <c r="BV32" s="101">
        <f>((A3_A_L35*Sombra_A)+(A3_B_L35*Sombra_B)+(A3_C_L35*Sombra_C)+(A3_D_L35*Sombra_D)+(A3_Y_L35*Sombra_Y))*Inflación_3</f>
        <v>0</v>
      </c>
      <c r="BW32" s="101">
        <f>SUMIFS('9'!$E:$E,'9'!$A:$A,Año_Inicial+2,'9'!$B:$B,'12'!BV$4,'9'!$D:$D,"Manejo de sombra")</f>
        <v>0</v>
      </c>
      <c r="BX32" s="101">
        <f>((A3_A_L36*Sombra_A)+(A3_B_L36*Sombra_B)+(A3_C_L36*Sombra_C)+(A3_D_L36*Sombra_D)+(A3_Y_L36*Sombra_Y))*Inflación_3</f>
        <v>0</v>
      </c>
      <c r="BY32" s="101">
        <f>SUMIFS('9'!$E:$E,'9'!$A:$A,Año_Inicial+2,'9'!$B:$B,'12'!BX$4,'9'!$D:$D,"Manejo de sombra")</f>
        <v>0</v>
      </c>
      <c r="BZ32" s="101">
        <f>((A3_A_L37*Sombra_A)+(A3_B_L37*Sombra_B)+(A3_C_L37*Sombra_C)+(A3_D_L37*Sombra_D)+(A3_Y_L37*Sombra_Y))*Inflación_3</f>
        <v>0</v>
      </c>
      <c r="CA32" s="101">
        <f>SUMIFS('9'!$E:$E,'9'!$A:$A,Año_Inicial+2,'9'!$B:$B,'12'!BZ$4,'9'!$D:$D,"Manejo de sombra")</f>
        <v>0</v>
      </c>
      <c r="CB32" s="101">
        <f>((A3_A_L38*Sombra_A)+(A3_B_L38*Sombra_B)+(A3_C_L38*Sombra_C)+(A3_D_L38*Sombra_D)+(A3_Y_L38*Sombra_Y))*Inflación_3</f>
        <v>0</v>
      </c>
      <c r="CC32" s="101">
        <f>SUMIFS('9'!$E:$E,'9'!$A:$A,Año_Inicial+2,'9'!$B:$B,'12'!CB$4,'9'!$D:$D,"Manejo de sombra")</f>
        <v>0</v>
      </c>
      <c r="CD32" s="101">
        <f>((A3_A_L39*Sombra_A)+(A3_B_L39*Sombra_B)+(A3_C_L39*Sombra_C)+(A3_D_L39*Sombra_D)+(A3_Y_L39*Sombra_Y))*Inflación_3</f>
        <v>0</v>
      </c>
      <c r="CE32" s="101">
        <f>SUMIFS('9'!$E:$E,'9'!$A:$A,Año_Inicial+2,'9'!$B:$B,'12'!CD$4,'9'!$D:$D,"Manejo de sombra")</f>
        <v>0</v>
      </c>
      <c r="CF32" s="101">
        <f>((A3_A_L40*Sombra_A)+(A3_B_L40*Sombra_B)+(A3_C_L40*Sombra_C)+(A3_D_L40*Sombra_D)+(A3_Y_L40*Sombra_Y))*Inflación_3</f>
        <v>0</v>
      </c>
      <c r="CG32" s="101">
        <f>SUMIFS('9'!$E:$E,'9'!$A:$A,Año_Inicial+2,'9'!$B:$B,'12'!CF$4,'9'!$D:$D,"Manejo de sombra")</f>
        <v>0</v>
      </c>
      <c r="CH32" s="473"/>
      <c r="CI32" s="101">
        <f>Plantas_A_A3*Sombra_A*Inflación_3</f>
        <v>0</v>
      </c>
      <c r="CJ32" s="101">
        <f>Plantas_B_A3*Sombra_B</f>
        <v>0</v>
      </c>
      <c r="CK32" s="101">
        <f>Plantas_C_A3*Sombra_C</f>
        <v>0</v>
      </c>
      <c r="CL32" s="101">
        <f>Plantas_D_A3*Sombra_D</f>
        <v>0</v>
      </c>
      <c r="CM32" s="101"/>
      <c r="CN32" s="101">
        <f>Plantas_Y_A3*Sombra_Y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SUMIFS('9'!$E:$E,'9'!$A:$A,Año_Inicial+2,'9'!$D:$D,"Conservación de suelos")</f>
        <v>0</v>
      </c>
      <c r="D33" s="100">
        <f t="shared" si="45"/>
        <v>0</v>
      </c>
      <c r="E33" s="490"/>
      <c r="F33" s="101">
        <f>((A3_A_L1*Conservación_A)+(A3_B_L1*Conservación_B)+(A3_C_L1*Conservación_C)+(A3_D_L1*Conservación_D)+(A3_Y_L1*Conservación_Y))*Inflación_3</f>
        <v>0</v>
      </c>
      <c r="G33" s="101">
        <f>SUMIFS('9'!$E:$E,'9'!$A:$A,Año_Inicial+2,'9'!$B:$B,'12'!F$4,'9'!$D:$D,"Conservación de suelos")</f>
        <v>0</v>
      </c>
      <c r="H33" s="101">
        <f>((A3_A_L2*Conservación_A)+(A3_B_L2*Conservación_B)+(A3_C_L2*Conservación_C)+(A3_D_L2*Conservación_D)+(A3_Y_L2*Conservación_Y))*Inflación_3</f>
        <v>0</v>
      </c>
      <c r="I33" s="101">
        <f>SUMIFS('9'!$E:$E,'9'!$A:$A,Año_Inicial+2,'9'!$B:$B,'12'!H$4,'9'!$D:$D,"Conservación de suelos")</f>
        <v>0</v>
      </c>
      <c r="J33" s="101">
        <f>((A3_A_L3*Conservación_A)+(A3_B_L3*Conservación_B)+(A3_C_L3*Conservación_C)+(A3_D_L3*Conservación_D)+(A3_Y_L3*Conservación_Y))*Inflación_3</f>
        <v>0</v>
      </c>
      <c r="K33" s="101">
        <f>SUMIFS('9'!$E:$E,'9'!$A:$A,Año_Inicial+2,'9'!$B:$B,'12'!J$4,'9'!$D:$D,"Conservación de suelos")</f>
        <v>0</v>
      </c>
      <c r="L33" s="101">
        <f>((A3_A_L4*Conservación_A)+(A3_B_L4*Conservación_B)+(A3_C_L4*Conservación_C)+(A3_D_L4*Conservación_D)+(A3_Y_L4*Conservación_Y))*Inflación_3</f>
        <v>0</v>
      </c>
      <c r="M33" s="101">
        <f>SUMIFS('9'!$E:$E,'9'!$A:$A,Año_Inicial+2,'9'!$B:$B,'12'!L$4,'9'!$D:$D,"Conservación de suelos")</f>
        <v>0</v>
      </c>
      <c r="N33" s="101">
        <f>((A3_A_L5*Conservación_A)+(A3_B_L5*Conservación_B)+(A3_C_L5*Conservación_C)+(A3_D_L5*Conservación_D)+(A3_Y_L5*Conservación_Y))*Inflación_3</f>
        <v>0</v>
      </c>
      <c r="O33" s="101">
        <f>SUMIFS('9'!$E:$E,'9'!$A:$A,Año_Inicial+2,'9'!$B:$B,'12'!N$4,'9'!$D:$D,"Conservación de suelos")</f>
        <v>0</v>
      </c>
      <c r="P33" s="101">
        <f>((A3_A_L6*Conservación_A)+(A3_B_L6*Conservación_B)+(A3_C_L6*Conservación_C)+(A3_D_L6*Conservación_D)+(A3_Y_L6*Conservación_Y))*Inflación_3</f>
        <v>0</v>
      </c>
      <c r="Q33" s="101">
        <f>SUMIFS('9'!$E:$E,'9'!$A:$A,Año_Inicial+2,'9'!$B:$B,'12'!P$4,'9'!$D:$D,"Conservación de suelos")</f>
        <v>0</v>
      </c>
      <c r="R33" s="101">
        <f>((A3_A_L7*Conservación_A)+(A3_B_L7*Conservación_B)+(A3_C_L7*Conservación_C)+(A3_D_L7*Conservación_D)+(A3_Y_L7*Conservación_Y))*Inflación_3</f>
        <v>0</v>
      </c>
      <c r="S33" s="101">
        <f>SUMIFS('9'!$E:$E,'9'!$A:$A,Año_Inicial+2,'9'!$B:$B,'12'!R$4,'9'!$D:$D,"Conservación de suelos")</f>
        <v>0</v>
      </c>
      <c r="T33" s="101">
        <f>((A3_A_L8*Conservación_A)+(A3_B_L8*Conservación_B)+(A3_C_L8*Conservación_C)+(A3_D_L8*Conservación_D)+(A3_Y_L8*Conservación_Y))*Inflación_3</f>
        <v>0</v>
      </c>
      <c r="U33" s="101">
        <f>SUMIFS('9'!$E:$E,'9'!$A:$A,Año_Inicial+2,'9'!$B:$B,'12'!T$4,'9'!$D:$D,"Conservación de suelos")</f>
        <v>0</v>
      </c>
      <c r="V33" s="101">
        <f>((A3_A_L9*Conservación_A)+(A3_B_L9*Conservación_B)+(A3_C_L9*Conservación_C)+(A3_D_L9*Conservación_D)+(A3_Y_L9*Conservación_Y))*Inflación_3</f>
        <v>0</v>
      </c>
      <c r="W33" s="101">
        <f>SUMIFS('9'!$E:$E,'9'!$A:$A,Año_Inicial+2,'9'!$B:$B,'12'!V$4,'9'!$D:$D,"Conservación de suelos")</f>
        <v>0</v>
      </c>
      <c r="X33" s="101">
        <f>((A3_A_L10*Conservación_A)+(A3_B_L10*Conservación_B)+(A3_C_L10*Conservación_C)+(A3_D_L10*Conservación_D)+(A3_Y_L10*Conservación_Y))*Inflación_3</f>
        <v>0</v>
      </c>
      <c r="Y33" s="101">
        <f>SUMIFS('9'!$E:$E,'9'!$A:$A,Año_Inicial+2,'9'!$B:$B,'12'!X$4,'9'!$D:$D,"Conservación de suelos")</f>
        <v>0</v>
      </c>
      <c r="Z33" s="101">
        <f>((A3_A_L11*Conservación_A)+(A3_B_L11*Conservación_B)+(A3_C_L11*Conservación_C)+(A3_D_L11*Conservación_D)+(A3_Y_L11*Conservación_Y))*Inflación_3</f>
        <v>0</v>
      </c>
      <c r="AA33" s="101">
        <f>SUMIFS('9'!$E:$E,'9'!$A:$A,Año_Inicial+2,'9'!$B:$B,'12'!Z$4,'9'!$D:$D,"Conservación de suelos")</f>
        <v>0</v>
      </c>
      <c r="AB33" s="101">
        <f>((A3_A_L12*Conservación_A)+(A3_B_L12*Conservación_B)+(A3_C_L12*Conservación_C)+(A3_D_L12*Conservación_D)+(A3_Y_L12*Conservación_Y))*Inflación_3</f>
        <v>0</v>
      </c>
      <c r="AC33" s="101">
        <f>SUMIFS('9'!$E:$E,'9'!$A:$A,Año_Inicial+2,'9'!$B:$B,'12'!AB$4,'9'!$D:$D,"Conservación de suelos")</f>
        <v>0</v>
      </c>
      <c r="AD33" s="101">
        <f>((A3_A_L13*Conservación_A)+(A3_B_L13*Conservación_B)+(A3_C_L13*Conservación_C)+(A3_D_L13*Conservación_D)+(A3_Y_L13*Conservación_Y))*Inflación_3</f>
        <v>0</v>
      </c>
      <c r="AE33" s="101">
        <f>SUMIFS('9'!$E:$E,'9'!$A:$A,Año_Inicial+2,'9'!$B:$B,'12'!AD$4,'9'!$D:$D,"Conservación de suelos")</f>
        <v>0</v>
      </c>
      <c r="AF33" s="101">
        <f>((A3_A_L14*Conservación_A)+(A3_B_L14*Conservación_B)+(A3_C_L14*Conservación_C)+(A3_D_L14*Conservación_D)+(A3_Y_L14*Conservación_Y))*Inflación_3</f>
        <v>0</v>
      </c>
      <c r="AG33" s="101">
        <f>SUMIFS('9'!$E:$E,'9'!$A:$A,Año_Inicial+2,'9'!$B:$B,'12'!AF$4,'9'!$D:$D,"Conservación de suelos")</f>
        <v>0</v>
      </c>
      <c r="AH33" s="101">
        <f>((A3_A_L15*Conservación_A)+(A3_B_L15*Conservación_B)+(A3_C_L15*Conservación_C)+(A3_D_L15*Conservación_D)+(A3_Y_L15*Conservación_Y))*Inflación_3</f>
        <v>0</v>
      </c>
      <c r="AI33" s="101">
        <f>SUMIFS('9'!$E:$E,'9'!$A:$A,Año_Inicial+2,'9'!$B:$B,'12'!AH$4,'9'!$D:$D,"Conservación de suelos")</f>
        <v>0</v>
      </c>
      <c r="AJ33" s="101">
        <f>((A3_A_L16*Conservación_A)+(A3_B_L16*Conservación_B)+(A3_C_L16*Conservación_C)+(A3_D_L16*Conservación_D)+(A3_Y_L16*Conservación_Y))*Inflación_3</f>
        <v>0</v>
      </c>
      <c r="AK33" s="101">
        <f>SUMIFS('9'!$E:$E,'9'!$A:$A,Año_Inicial+2,'9'!$B:$B,'12'!AJ$4,'9'!$D:$D,"Conservación de suelos")</f>
        <v>0</v>
      </c>
      <c r="AL33" s="101">
        <f>((A3_A_L17*Conservación_A)+(A3_B_L17*Conservación_B)+(A3_C_L17*Conservación_C)+(A3_D_L17*Conservación_D)+(A3_Y_L17*Conservación_Y))*Inflación_3</f>
        <v>0</v>
      </c>
      <c r="AM33" s="101">
        <f>SUMIFS('9'!$E:$E,'9'!$A:$A,Año_Inicial+2,'9'!$B:$B,'12'!AL$4,'9'!$D:$D,"Conservación de suelos")</f>
        <v>0</v>
      </c>
      <c r="AN33" s="101">
        <f>((A3_A_L18*Conservación_A)+(A3_B_L18*Conservación_B)+(A3_C_L18*Conservación_C)+(A3_D_L18*Conservación_D)+(A3_Y_L18*Conservación_Y))*Inflación_3</f>
        <v>0</v>
      </c>
      <c r="AO33" s="101">
        <f>SUMIFS('9'!$E:$E,'9'!$A:$A,Año_Inicial+2,'9'!$B:$B,'12'!AN$4,'9'!$D:$D,"Conservación de suelos")</f>
        <v>0</v>
      </c>
      <c r="AP33" s="101">
        <f>((A3_A_L19*Conservación_A)+(A3_B_L19*Conservación_B)+(A3_C_L19*Conservación_C)+(A3_D_L19*Conservación_D)+(A3_Y_L19*Conservación_Y))*Inflación_3</f>
        <v>0</v>
      </c>
      <c r="AQ33" s="101">
        <f>SUMIFS('9'!$E:$E,'9'!$A:$A,Año_Inicial+2,'9'!$B:$B,'12'!AP$4,'9'!$D:$D,"Conservación de suelos")</f>
        <v>0</v>
      </c>
      <c r="AR33" s="101">
        <f>((A3_A_L20*Conservación_A)+(A3_B_L20*Conservación_B)+(A3_C_L20*Conservación_C)+(A3_D_L20*Conservación_D)+(A3_Y_L20*Conservación_Y))*Inflación_3</f>
        <v>0</v>
      </c>
      <c r="AS33" s="101">
        <f>SUMIFS('9'!$E:$E,'9'!$A:$A,Año_Inicial+2,'9'!$B:$B,'12'!AR$4,'9'!$D:$D,"Conservación de suelos")</f>
        <v>0</v>
      </c>
      <c r="AT33" s="101">
        <f>((A3_A_L21*Conservación_A)+(A3_B_L21*Conservación_B)+(A3_C_L21*Conservación_C)+(A3_D_L21*Conservación_D)+(A3_Y_L21*Conservación_Y))*Inflación_3</f>
        <v>0</v>
      </c>
      <c r="AU33" s="101">
        <f>SUMIFS('9'!$E:$E,'9'!$A:$A,Año_Inicial+2,'9'!$B:$B,'12'!AT$4,'9'!$D:$D,"Conservación de suelos")</f>
        <v>0</v>
      </c>
      <c r="AV33" s="101">
        <f>((A3_A_L22*Conservación_A)+(A3_B_L22*Conservación_B)+(A3_C_L22*Conservación_C)+(A3_D_L22*Conservación_D)+(A3_Y_L22*Conservación_Y))*Inflación_3</f>
        <v>0</v>
      </c>
      <c r="AW33" s="101">
        <f>SUMIFS('9'!$E:$E,'9'!$A:$A,Año_Inicial+2,'9'!$B:$B,'12'!AV$4,'9'!$D:$D,"Conservación de suelos")</f>
        <v>0</v>
      </c>
      <c r="AX33" s="101">
        <f>((A3_A_L23*Conservación_A)+(A3_B_L23*Conservación_B)+(A3_C_L23*Conservación_C)+(A3_D_L23*Conservación_D)+(A3_Y_L23*Conservación_Y))*Inflación_3</f>
        <v>0</v>
      </c>
      <c r="AY33" s="101">
        <f>SUMIFS('9'!$E:$E,'9'!$A:$A,Año_Inicial+2,'9'!$B:$B,'12'!AX$4,'9'!$D:$D,"Conservación de suelos")</f>
        <v>0</v>
      </c>
      <c r="AZ33" s="101">
        <f>((A3_A_L24*Conservación_A)+(A3_B_L24*Conservación_B)+(A3_C_L24*Conservación_C)+(A3_D_L24*Conservación_D)+(A3_Y_L24*Conservación_Y))*Inflación_3</f>
        <v>0</v>
      </c>
      <c r="BA33" s="101">
        <f>SUMIFS('9'!$E:$E,'9'!$A:$A,Año_Inicial+2,'9'!$B:$B,'12'!AZ$4,'9'!$D:$D,"Conservación de suelos")</f>
        <v>0</v>
      </c>
      <c r="BB33" s="101">
        <f>((A3_A_L25*Conservación_A)+(A3_B_L25*Conservación_B)+(A3_C_L25*Conservación_C)+(A3_D_L25*Conservación_D)+(A3_Y_L25*Conservación_Y))*Inflación_3</f>
        <v>0</v>
      </c>
      <c r="BC33" s="101">
        <f>SUMIFS('9'!$E:$E,'9'!$A:$A,Año_Inicial+2,'9'!$B:$B,'12'!BB$4,'9'!$D:$D,"Conservación de suelos")</f>
        <v>0</v>
      </c>
      <c r="BD33" s="101">
        <f>((A3_A_L26*Conservación_A)+(A3_B_L26*Conservación_B)+(A3_C_L26*Conservación_C)+(A3_D_L26*Conservación_D)+(A3_Y_L26*Conservación_Y))*Inflación_3</f>
        <v>0</v>
      </c>
      <c r="BE33" s="101">
        <f>SUMIFS('9'!$E:$E,'9'!$A:$A,Año_Inicial+2,'9'!$B:$B,'12'!BD$4,'9'!$D:$D,"Conservación de suelos")</f>
        <v>0</v>
      </c>
      <c r="BF33" s="101">
        <f>((A3_A_L27*Conservación_A)+(A3_B_L27*Conservación_B)+(A3_C_L27*Conservación_C)+(A3_D_L27*Conservación_D)+(A3_Y_L27*Conservación_Y))*Inflación_3</f>
        <v>0</v>
      </c>
      <c r="BG33" s="101">
        <f>SUMIFS('9'!$E:$E,'9'!$A:$A,Año_Inicial+2,'9'!$B:$B,'12'!BF$4,'9'!$D:$D,"Conservación de suelos")</f>
        <v>0</v>
      </c>
      <c r="BH33" s="101">
        <f>((A3_A_L28*Conservación_A)+(A3_B_L28*Conservación_B)+(A3_C_L28*Conservación_C)+(A3_D_L28*Conservación_D)+(A3_Y_L28*Conservación_Y))*Inflación_3</f>
        <v>0</v>
      </c>
      <c r="BI33" s="101">
        <f>SUMIFS('9'!$E:$E,'9'!$A:$A,Año_Inicial+2,'9'!$B:$B,'12'!BH$4,'9'!$D:$D,"Conservación de suelos")</f>
        <v>0</v>
      </c>
      <c r="BJ33" s="101">
        <f>((A3_A_L29*Conservación_A)+(A3_B_L29*Conservación_B)+(A3_C_L29*Conservación_C)+(A3_D_L29*Conservación_D)+(A3_Y_L29*Conservación_Y))*Inflación_3</f>
        <v>0</v>
      </c>
      <c r="BK33" s="101">
        <f>SUMIFS('9'!$E:$E,'9'!$A:$A,Año_Inicial+2,'9'!$B:$B,'12'!BJ$4,'9'!$D:$D,"Conservación de suelos")</f>
        <v>0</v>
      </c>
      <c r="BL33" s="101">
        <f>((A3_A_L30*Conservación_A)+(A3_B_L30*Conservación_B)+(A3_C_L30*Conservación_C)+(A3_D_L30*Conservación_D)+(A3_Y_L30*Conservación_Y))*Inflación_3</f>
        <v>0</v>
      </c>
      <c r="BM33" s="101">
        <f>SUMIFS('9'!$E:$E,'9'!$A:$A,Año_Inicial+2,'9'!$B:$B,'12'!BL$4,'9'!$D:$D,"Conservación de suelos")</f>
        <v>0</v>
      </c>
      <c r="BN33" s="101">
        <f>((A3_A_L31*Conservación_A)+(A3_B_L31*Conservación_B)+(A3_C_L31*Conservación_C)+(A3_D_L31*Conservación_D)+(A3_Y_L31*Conservación_Y))*Inflación_3</f>
        <v>0</v>
      </c>
      <c r="BO33" s="101">
        <f>SUMIFS('9'!$E:$E,'9'!$A:$A,Año_Inicial+2,'9'!$B:$B,'12'!BN$4,'9'!$D:$D,"Conservación de suelos")</f>
        <v>0</v>
      </c>
      <c r="BP33" s="101">
        <f>((A3_A_L32*Conservación_A)+(A3_B_L32*Conservación_B)+(A3_C_L32*Conservación_C)+(A3_D_L32*Conservación_D)+(A3_Y_L32*Conservación_Y))*Inflación_3</f>
        <v>0</v>
      </c>
      <c r="BQ33" s="101">
        <f>SUMIFS('9'!$E:$E,'9'!$A:$A,Año_Inicial+2,'9'!$B:$B,'12'!BP$4,'9'!$D:$D,"Conservación de suelos")</f>
        <v>0</v>
      </c>
      <c r="BR33" s="101">
        <f>((A3_A_L33*Conservación_A)+(A3_B_L33*Conservación_B)+(A3_C_L33*Conservación_C)+(A3_D_L33*Conservación_D)+(A3_Y_L33*Conservación_Y))*Inflación_3</f>
        <v>0</v>
      </c>
      <c r="BS33" s="101">
        <f>SUMIFS('9'!$E:$E,'9'!$A:$A,Año_Inicial+2,'9'!$B:$B,'12'!BR$4,'9'!$D:$D,"Conservación de suelos")</f>
        <v>0</v>
      </c>
      <c r="BT33" s="101">
        <f>((A3_A_L34*Conservación_A)+(A3_B_L34*Conservación_B)+(A3_C_L34*Conservación_C)+(A3_D_L34*Conservación_D)+(A3_Y_L34*Conservación_Y))*Inflación_3</f>
        <v>0</v>
      </c>
      <c r="BU33" s="101">
        <f>SUMIFS('9'!$E:$E,'9'!$A:$A,Año_Inicial+2,'9'!$B:$B,'12'!BT$4,'9'!$D:$D,"Conservación de suelos")</f>
        <v>0</v>
      </c>
      <c r="BV33" s="101">
        <f>((A3_A_L35*Conservación_A)+(A3_B_L35*Conservación_B)+(A3_C_L35*Conservación_C)+(A3_D_L35*Conservación_D)+(A3_Y_L35*Conservación_Y))*Inflación_3</f>
        <v>0</v>
      </c>
      <c r="BW33" s="101">
        <f>SUMIFS('9'!$E:$E,'9'!$A:$A,Año_Inicial+2,'9'!$B:$B,'12'!BV$4,'9'!$D:$D,"Conservación de suelos")</f>
        <v>0</v>
      </c>
      <c r="BX33" s="101">
        <f>((A3_A_L36*Conservación_A)+(A3_B_L36*Conservación_B)+(A3_C_L36*Conservación_C)+(A3_D_L36*Conservación_D)+(A3_Y_L36*Conservación_Y))*Inflación_3</f>
        <v>0</v>
      </c>
      <c r="BY33" s="101">
        <f>SUMIFS('9'!$E:$E,'9'!$A:$A,Año_Inicial+2,'9'!$B:$B,'12'!BX$4,'9'!$D:$D,"Conservación de suelos")</f>
        <v>0</v>
      </c>
      <c r="BZ33" s="101">
        <f>((A3_A_L37*Conservación_A)+(A3_B_L37*Conservación_B)+(A3_C_L37*Conservación_C)+(A3_D_L37*Conservación_D)+(A3_Y_L37*Conservación_Y))*Inflación_3</f>
        <v>0</v>
      </c>
      <c r="CA33" s="101">
        <f>SUMIFS('9'!$E:$E,'9'!$A:$A,Año_Inicial+2,'9'!$B:$B,'12'!BZ$4,'9'!$D:$D,"Conservación de suelos")</f>
        <v>0</v>
      </c>
      <c r="CB33" s="101">
        <f>((A3_A_L38*Conservación_A)+(A3_B_L38*Conservación_B)+(A3_C_L38*Conservación_C)+(A3_D_L38*Conservación_D)+(A3_Y_L38*Conservación_Y))*Inflación_3</f>
        <v>0</v>
      </c>
      <c r="CC33" s="101">
        <f>SUMIFS('9'!$E:$E,'9'!$A:$A,Año_Inicial+2,'9'!$B:$B,'12'!CB$4,'9'!$D:$D,"Conservación de suelos")</f>
        <v>0</v>
      </c>
      <c r="CD33" s="101">
        <f>((A3_A_L39*Conservación_A)+(A3_B_L39*Conservación_B)+(A3_C_L39*Conservación_C)+(A3_D_L39*Conservación_D)+(A3_Y_L39*Conservación_Y))*Inflación_3</f>
        <v>0</v>
      </c>
      <c r="CE33" s="101">
        <f>SUMIFS('9'!$E:$E,'9'!$A:$A,Año_Inicial+2,'9'!$B:$B,'12'!CD$4,'9'!$D:$D,"Conservación de suelos")</f>
        <v>0</v>
      </c>
      <c r="CF33" s="101">
        <f>((A3_A_L40*Conservación_A)+(A3_B_L40*Conservación_B)+(A3_C_L40*Conservación_C)+(A3_D_L40*Conservación_D)+(A3_Y_L40*Conservación_Y))*Inflación_3</f>
        <v>0</v>
      </c>
      <c r="CG33" s="101">
        <f>SUMIFS('9'!$E:$E,'9'!$A:$A,Año_Inicial+2,'9'!$B:$B,'12'!CF$4,'9'!$D:$D,"Conservación de suelos")</f>
        <v>0</v>
      </c>
      <c r="CH33" s="473"/>
      <c r="CI33" s="101">
        <f>Plantas_A_A3*Conservación_A*Inflación_3</f>
        <v>0</v>
      </c>
      <c r="CJ33" s="101">
        <f>Plantas_B_A3*Conservación_B</f>
        <v>0</v>
      </c>
      <c r="CK33" s="101">
        <f>Plantas_C_A3*Conservación_C</f>
        <v>0</v>
      </c>
      <c r="CL33" s="101">
        <f>Plantas_D_A3*Conservación_D</f>
        <v>0</v>
      </c>
      <c r="CM33" s="101"/>
      <c r="CN33" s="101">
        <f>Plantas_Y_A3*Conservación_Y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SUMIFS('9'!$E:$E,'9'!$A:$A,Año_Inicial+2,'9'!$D:$D,"Otras actividades")</f>
        <v>0</v>
      </c>
      <c r="D34" s="100">
        <f t="shared" si="45"/>
        <v>0</v>
      </c>
      <c r="E34" s="490"/>
      <c r="F34" s="101">
        <f>((A3_A_L1*Otras_A)+(A3_B_L1*Otras_B)+(A3_C_L1*Otras_C)+(A3_D_L1*Otras_D)+(A3_Y_L1*Otras_Y))*Inflación_3</f>
        <v>0</v>
      </c>
      <c r="G34" s="101">
        <f>SUMIFS('9'!$E:$E,'9'!$A:$A,Año_Inicial+2,'9'!$B:$B,'12'!F$4,'9'!$D:$D,"Otras actividades")</f>
        <v>0</v>
      </c>
      <c r="H34" s="101">
        <f>((A3_A_L2*Otras_A)+(A3_B_L2*Otras_B)+(A3_C_L2*Otras_C)+(A3_D_L2*Otras_D)+(A3_Y_L2*Otras_Y))*Inflación_3</f>
        <v>0</v>
      </c>
      <c r="I34" s="101">
        <f>SUMIFS('9'!$E:$E,'9'!$A:$A,Año_Inicial+2,'9'!$B:$B,'12'!H$4,'9'!$D:$D,"Otras actividades")</f>
        <v>0</v>
      </c>
      <c r="J34" s="101">
        <f>((A3_A_L3*Otras_A)+(A3_B_L3*Otras_B)+(A3_C_L3*Otras_C)+(A3_D_L3*Otras_D)+(A3_Y_L3*Otras_Y))*Inflación_3</f>
        <v>0</v>
      </c>
      <c r="K34" s="101">
        <f>SUMIFS('9'!$E:$E,'9'!$A:$A,Año_Inicial+2,'9'!$B:$B,'12'!J$4,'9'!$D:$D,"Otras actividades")</f>
        <v>0</v>
      </c>
      <c r="L34" s="101">
        <f>((A3_A_L4*Otras_A)+(A3_B_L4*Otras_B)+(A3_C_L4*Otras_C)+(A3_D_L4*Otras_D)+(A3_Y_L4*Otras_Y))*Inflación_3</f>
        <v>0</v>
      </c>
      <c r="M34" s="101">
        <f>SUMIFS('9'!$E:$E,'9'!$A:$A,Año_Inicial+2,'9'!$B:$B,'12'!L$4,'9'!$D:$D,"Otras actividades")</f>
        <v>0</v>
      </c>
      <c r="N34" s="101">
        <f>((A3_A_L5*Otras_A)+(A3_B_L5*Otras_B)+(A3_C_L5*Otras_C)+(A3_D_L5*Otras_D)+(A3_Y_L5*Otras_Y))*Inflación_3</f>
        <v>0</v>
      </c>
      <c r="O34" s="101">
        <f>SUMIFS('9'!$E:$E,'9'!$A:$A,Año_Inicial+2,'9'!$B:$B,'12'!N$4,'9'!$D:$D,"Otras actividades")</f>
        <v>0</v>
      </c>
      <c r="P34" s="101">
        <f>((A3_A_L6*Otras_A)+(A3_B_L6*Otras_B)+(A3_C_L6*Otras_C)+(A3_D_L6*Otras_D)+(A3_Y_L6*Otras_Y))*Inflación_3</f>
        <v>0</v>
      </c>
      <c r="Q34" s="101">
        <f>SUMIFS('9'!$E:$E,'9'!$A:$A,Año_Inicial+2,'9'!$B:$B,'12'!P$4,'9'!$D:$D,"Otras actividades")</f>
        <v>0</v>
      </c>
      <c r="R34" s="101">
        <f>((A3_A_L7*Otras_A)+(A3_B_L7*Otras_B)+(A3_C_L7*Otras_C)+(A3_D_L7*Otras_D)+(A3_Y_L7*Otras_Y))*Inflación_3</f>
        <v>0</v>
      </c>
      <c r="S34" s="101">
        <f>SUMIFS('9'!$E:$E,'9'!$A:$A,Año_Inicial+2,'9'!$B:$B,'12'!R$4,'9'!$D:$D,"Otras actividades")</f>
        <v>0</v>
      </c>
      <c r="T34" s="101">
        <f>((A3_A_L8*Otras_A)+(A3_B_L8*Otras_B)+(A3_C_L8*Otras_C)+(A3_D_L8*Otras_D)+(A3_Y_L8*Otras_Y))*Inflación_3</f>
        <v>0</v>
      </c>
      <c r="U34" s="101">
        <f>SUMIFS('9'!$E:$E,'9'!$A:$A,Año_Inicial+2,'9'!$B:$B,'12'!T$4,'9'!$D:$D,"Otras actividades")</f>
        <v>0</v>
      </c>
      <c r="V34" s="101">
        <f>((A3_A_L9*Otras_A)+(A3_B_L9*Otras_B)+(A3_C_L9*Otras_C)+(A3_D_L9*Otras_D)+(A3_Y_L9*Otras_Y))*Inflación_3</f>
        <v>0</v>
      </c>
      <c r="W34" s="101">
        <f>SUMIFS('9'!$E:$E,'9'!$A:$A,Año_Inicial+2,'9'!$B:$B,'12'!V$4,'9'!$D:$D,"Otras actividades")</f>
        <v>0</v>
      </c>
      <c r="X34" s="101">
        <f>((A3_A_L10*Otras_A)+(A3_B_L10*Otras_B)+(A3_C_L10*Otras_C)+(A3_D_L10*Otras_D)+(A3_Y_L10*Otras_Y))*Inflación_3</f>
        <v>0</v>
      </c>
      <c r="Y34" s="101">
        <f>SUMIFS('9'!$E:$E,'9'!$A:$A,Año_Inicial+2,'9'!$B:$B,'12'!X$4,'9'!$D:$D,"Otras actividades")</f>
        <v>0</v>
      </c>
      <c r="Z34" s="101">
        <f>((A3_A_L11*Otras_A)+(A3_B_L11*Otras_B)+(A3_C_L11*Otras_C)+(A3_D_L11*Otras_D)+(A3_Y_L11*Otras_Y))*Inflación_3</f>
        <v>0</v>
      </c>
      <c r="AA34" s="101">
        <f>SUMIFS('9'!$E:$E,'9'!$A:$A,Año_Inicial+2,'9'!$B:$B,'12'!Z$4,'9'!$D:$D,"Otras actividades")</f>
        <v>0</v>
      </c>
      <c r="AB34" s="101">
        <f>((A3_A_L12*Otras_A)+(A3_B_L12*Otras_B)+(A3_C_L12*Otras_C)+(A3_D_L12*Otras_D)+(A3_Y_L12*Otras_Y))*Inflación_3</f>
        <v>0</v>
      </c>
      <c r="AC34" s="101">
        <f>SUMIFS('9'!$E:$E,'9'!$A:$A,Año_Inicial+2,'9'!$B:$B,'12'!AB$4,'9'!$D:$D,"Otras actividades")</f>
        <v>0</v>
      </c>
      <c r="AD34" s="101">
        <f>((A3_A_L13*Otras_A)+(A3_B_L13*Otras_B)+(A3_C_L13*Otras_C)+(A3_D_L13*Otras_D)+(A3_Y_L13*Otras_Y))*Inflación_3</f>
        <v>0</v>
      </c>
      <c r="AE34" s="101">
        <f>SUMIFS('9'!$E:$E,'9'!$A:$A,Año_Inicial+2,'9'!$B:$B,'12'!AD$4,'9'!$D:$D,"Otras actividades")</f>
        <v>0</v>
      </c>
      <c r="AF34" s="101">
        <f>((A3_A_L14*Otras_A)+(A3_B_L14*Otras_B)+(A3_C_L14*Otras_C)+(A3_D_L14*Otras_D)+(A3_Y_L14*Otras_Y))*Inflación_3</f>
        <v>0</v>
      </c>
      <c r="AG34" s="101">
        <f>SUMIFS('9'!$E:$E,'9'!$A:$A,Año_Inicial+2,'9'!$B:$B,'12'!AF$4,'9'!$D:$D,"Otras actividades")</f>
        <v>0</v>
      </c>
      <c r="AH34" s="101">
        <f>((A3_A_L15*Otras_A)+(A3_B_L15*Otras_B)+(A3_C_L15*Otras_C)+(A3_D_L15*Otras_D)+(A3_Y_L15*Otras_Y))*Inflación_3</f>
        <v>0</v>
      </c>
      <c r="AI34" s="101">
        <f>SUMIFS('9'!$E:$E,'9'!$A:$A,Año_Inicial+2,'9'!$B:$B,'12'!AH$4,'9'!$D:$D,"Otras actividades")</f>
        <v>0</v>
      </c>
      <c r="AJ34" s="101">
        <f>((A3_A_L16*Otras_A)+(A3_B_L16*Otras_B)+(A3_C_L16*Otras_C)+(A3_D_L16*Otras_D)+(A3_Y_L16*Otras_Y))*Inflación_3</f>
        <v>0</v>
      </c>
      <c r="AK34" s="101">
        <f>SUMIFS('9'!$E:$E,'9'!$A:$A,Año_Inicial+2,'9'!$B:$B,'12'!AJ$4,'9'!$D:$D,"Otras actividades")</f>
        <v>0</v>
      </c>
      <c r="AL34" s="101">
        <f>((A3_A_L17*Otras_A)+(A3_B_L17*Otras_B)+(A3_C_L17*Otras_C)+(A3_D_L17*Otras_D)+(A3_Y_L17*Otras_Y))*Inflación_3</f>
        <v>0</v>
      </c>
      <c r="AM34" s="101">
        <f>SUMIFS('9'!$E:$E,'9'!$A:$A,Año_Inicial+2,'9'!$B:$B,'12'!AL$4,'9'!$D:$D,"Otras actividades")</f>
        <v>0</v>
      </c>
      <c r="AN34" s="101">
        <f>((A3_A_L18*Otras_A)+(A3_B_L18*Otras_B)+(A3_C_L18*Otras_C)+(A3_D_L18*Otras_D)+(A3_Y_L18*Otras_Y))*Inflación_3</f>
        <v>0</v>
      </c>
      <c r="AO34" s="101">
        <f>SUMIFS('9'!$E:$E,'9'!$A:$A,Año_Inicial+2,'9'!$B:$B,'12'!AN$4,'9'!$D:$D,"Otras actividades")</f>
        <v>0</v>
      </c>
      <c r="AP34" s="101">
        <f>((A3_A_L19*Otras_A)+(A3_B_L19*Otras_B)+(A3_C_L19*Otras_C)+(A3_D_L19*Otras_D)+(A3_Y_L19*Otras_Y))*Inflación_3</f>
        <v>0</v>
      </c>
      <c r="AQ34" s="101">
        <f>SUMIFS('9'!$E:$E,'9'!$A:$A,Año_Inicial+2,'9'!$B:$B,'12'!AP$4,'9'!$D:$D,"Otras actividades")</f>
        <v>0</v>
      </c>
      <c r="AR34" s="101">
        <f>((A3_A_L20*Otras_A)+(A3_B_L20*Otras_B)+(A3_C_L20*Otras_C)+(A3_D_L20*Otras_D)+(A3_Y_L20*Otras_Y))*Inflación_3</f>
        <v>0</v>
      </c>
      <c r="AS34" s="101">
        <f>SUMIFS('9'!$E:$E,'9'!$A:$A,Año_Inicial+2,'9'!$B:$B,'12'!AR$4,'9'!$D:$D,"Otras actividades")</f>
        <v>0</v>
      </c>
      <c r="AT34" s="101">
        <f>((A3_A_L21*Otras_A)+(A3_B_L21*Otras_B)+(A3_C_L21*Otras_C)+(A3_D_L21*Otras_D)+(A3_Y_L21*Otras_Y))*Inflación_3</f>
        <v>0</v>
      </c>
      <c r="AU34" s="101">
        <f>SUMIFS('9'!$E:$E,'9'!$A:$A,Año_Inicial+2,'9'!$B:$B,'12'!AT$4,'9'!$D:$D,"Otras actividades")</f>
        <v>0</v>
      </c>
      <c r="AV34" s="101">
        <f>((A3_A_L22*Otras_A)+(A3_B_L22*Otras_B)+(A3_C_L22*Otras_C)+(A3_D_L22*Otras_D)+(A3_Y_L22*Otras_Y))*Inflación_3</f>
        <v>0</v>
      </c>
      <c r="AW34" s="101">
        <f>SUMIFS('9'!$E:$E,'9'!$A:$A,Año_Inicial+2,'9'!$B:$B,'12'!AV$4,'9'!$D:$D,"Otras actividades")</f>
        <v>0</v>
      </c>
      <c r="AX34" s="101">
        <f>((A3_A_L23*Otras_A)+(A3_B_L23*Otras_B)+(A3_C_L23*Otras_C)+(A3_D_L23*Otras_D)+(A3_Y_L23*Otras_Y))*Inflación_3</f>
        <v>0</v>
      </c>
      <c r="AY34" s="101">
        <f>SUMIFS('9'!$E:$E,'9'!$A:$A,Año_Inicial+2,'9'!$B:$B,'12'!AX$4,'9'!$D:$D,"Otras actividades")</f>
        <v>0</v>
      </c>
      <c r="AZ34" s="101">
        <f>((A3_A_L24*Otras_A)+(A3_B_L24*Otras_B)+(A3_C_L24*Otras_C)+(A3_D_L24*Otras_D)+(A3_Y_L24*Otras_Y))*Inflación_3</f>
        <v>0</v>
      </c>
      <c r="BA34" s="101">
        <f>SUMIFS('9'!$E:$E,'9'!$A:$A,Año_Inicial+2,'9'!$B:$B,'12'!AZ$4,'9'!$D:$D,"Otras actividades")</f>
        <v>0</v>
      </c>
      <c r="BB34" s="101">
        <f>((A3_A_L25*Otras_A)+(A3_B_L25*Otras_B)+(A3_C_L25*Otras_C)+(A3_D_L25*Otras_D)+(A3_Y_L25*Otras_Y))*Inflación_3</f>
        <v>0</v>
      </c>
      <c r="BC34" s="101">
        <f>SUMIFS('9'!$E:$E,'9'!$A:$A,Año_Inicial+2,'9'!$B:$B,'12'!BB$4,'9'!$D:$D,"Otras actividades")</f>
        <v>0</v>
      </c>
      <c r="BD34" s="101">
        <f>((A3_A_L26*Otras_A)+(A3_B_L26*Otras_B)+(A3_C_L26*Otras_C)+(A3_D_L26*Otras_D)+(A3_Y_L26*Otras_Y))*Inflación_3</f>
        <v>0</v>
      </c>
      <c r="BE34" s="101">
        <f>SUMIFS('9'!$E:$E,'9'!$A:$A,Año_Inicial+2,'9'!$B:$B,'12'!BD$4,'9'!$D:$D,"Otras actividades")</f>
        <v>0</v>
      </c>
      <c r="BF34" s="101">
        <f>((A3_A_L27*Otras_A)+(A3_B_L27*Otras_B)+(A3_C_L27*Otras_C)+(A3_D_L27*Otras_D)+(A3_Y_L27*Otras_Y))*Inflación_3</f>
        <v>0</v>
      </c>
      <c r="BG34" s="101">
        <f>SUMIFS('9'!$E:$E,'9'!$A:$A,Año_Inicial+2,'9'!$B:$B,'12'!BF$4,'9'!$D:$D,"Otras actividades")</f>
        <v>0</v>
      </c>
      <c r="BH34" s="101">
        <f>((A3_A_L28*Otras_A)+(A3_B_L28*Otras_B)+(A3_C_L28*Otras_C)+(A3_D_L28*Otras_D)+(A3_Y_L28*Otras_Y))*Inflación_3</f>
        <v>0</v>
      </c>
      <c r="BI34" s="101">
        <f>SUMIFS('9'!$E:$E,'9'!$A:$A,Año_Inicial+2,'9'!$B:$B,'12'!BH$4,'9'!$D:$D,"Otras actividades")</f>
        <v>0</v>
      </c>
      <c r="BJ34" s="101">
        <f>((A3_A_L29*Otras_A)+(A3_B_L29*Otras_B)+(A3_C_L29*Otras_C)+(A3_D_L29*Otras_D)+(A3_Y_L29*Otras_Y))*Inflación_3</f>
        <v>0</v>
      </c>
      <c r="BK34" s="101">
        <f>SUMIFS('9'!$E:$E,'9'!$A:$A,Año_Inicial+2,'9'!$B:$B,'12'!BJ$4,'9'!$D:$D,"Otras actividades")</f>
        <v>0</v>
      </c>
      <c r="BL34" s="101">
        <f>((A3_A_L30*Otras_A)+(A3_B_L30*Otras_B)+(A3_C_L30*Otras_C)+(A3_D_L30*Otras_D)+(A3_Y_L30*Otras_Y))*Inflación_3</f>
        <v>0</v>
      </c>
      <c r="BM34" s="101">
        <f>SUMIFS('9'!$E:$E,'9'!$A:$A,Año_Inicial+2,'9'!$B:$B,'12'!BL$4,'9'!$D:$D,"Otras actividades")</f>
        <v>0</v>
      </c>
      <c r="BN34" s="101">
        <f>((A3_A_L31*Otras_A)+(A3_B_L31*Otras_B)+(A3_C_L31*Otras_C)+(A3_D_L31*Otras_D)+(A3_Y_L31*Otras_Y))*Inflación_3</f>
        <v>0</v>
      </c>
      <c r="BO34" s="101">
        <f>SUMIFS('9'!$E:$E,'9'!$A:$A,Año_Inicial+2,'9'!$B:$B,'12'!BN$4,'9'!$D:$D,"Otras actividades")</f>
        <v>0</v>
      </c>
      <c r="BP34" s="101">
        <f>((A3_A_L32*Otras_A)+(A3_B_L32*Otras_B)+(A3_C_L32*Otras_C)+(A3_D_L32*Otras_D)+(A3_Y_L32*Otras_Y))*Inflación_3</f>
        <v>0</v>
      </c>
      <c r="BQ34" s="101">
        <f>SUMIFS('9'!$E:$E,'9'!$A:$A,Año_Inicial+2,'9'!$B:$B,'12'!BP$4,'9'!$D:$D,"Otras actividades")</f>
        <v>0</v>
      </c>
      <c r="BR34" s="101">
        <f>((A3_A_L33*Otras_A)+(A3_B_L33*Otras_B)+(A3_C_L33*Otras_C)+(A3_D_L33*Otras_D)+(A3_Y_L33*Otras_Y))*Inflación_3</f>
        <v>0</v>
      </c>
      <c r="BS34" s="101">
        <f>SUMIFS('9'!$E:$E,'9'!$A:$A,Año_Inicial+2,'9'!$B:$B,'12'!BR$4,'9'!$D:$D,"Otras actividades")</f>
        <v>0</v>
      </c>
      <c r="BT34" s="101">
        <f>((A3_A_L34*Otras_A)+(A3_B_L34*Otras_B)+(A3_C_L34*Otras_C)+(A3_D_L34*Otras_D)+(A3_Y_L34*Otras_Y))*Inflación_3</f>
        <v>0</v>
      </c>
      <c r="BU34" s="101">
        <f>SUMIFS('9'!$E:$E,'9'!$A:$A,Año_Inicial+2,'9'!$B:$B,'12'!BT$4,'9'!$D:$D,"Otras actividades")</f>
        <v>0</v>
      </c>
      <c r="BV34" s="101">
        <f>((A3_A_L35*Otras_A)+(A3_B_L35*Otras_B)+(A3_C_L35*Otras_C)+(A3_D_L35*Otras_D)+(A3_Y_L35*Otras_Y))*Inflación_3</f>
        <v>0</v>
      </c>
      <c r="BW34" s="101">
        <f>SUMIFS('9'!$E:$E,'9'!$A:$A,Año_Inicial+2,'9'!$B:$B,'12'!BV$4,'9'!$D:$D,"Otras actividades")</f>
        <v>0</v>
      </c>
      <c r="BX34" s="101">
        <f>((A3_A_L36*Otras_A)+(A3_B_L36*Otras_B)+(A3_C_L36*Otras_C)+(A3_D_L36*Otras_D)+(A3_Y_L36*Otras_Y))*Inflación_3</f>
        <v>0</v>
      </c>
      <c r="BY34" s="101">
        <f>SUMIFS('9'!$E:$E,'9'!$A:$A,Año_Inicial+2,'9'!$B:$B,'12'!BX$4,'9'!$D:$D,"Otras actividades")</f>
        <v>0</v>
      </c>
      <c r="BZ34" s="101">
        <f>((A3_A_L37*Otras_A)+(A3_B_L37*Otras_B)+(A3_C_L37*Otras_C)+(A3_D_L37*Otras_D)+(A3_Y_L37*Otras_Y))*Inflación_3</f>
        <v>0</v>
      </c>
      <c r="CA34" s="101">
        <f>SUMIFS('9'!$E:$E,'9'!$A:$A,Año_Inicial+2,'9'!$B:$B,'12'!BZ$4,'9'!$D:$D,"Otras actividades")</f>
        <v>0</v>
      </c>
      <c r="CB34" s="101">
        <f>((A3_A_L38*Otras_A)+(A3_B_L38*Otras_B)+(A3_C_L38*Otras_C)+(A3_D_L38*Otras_D)+(A3_Y_L38*Otras_Y))*Inflación_3</f>
        <v>0</v>
      </c>
      <c r="CC34" s="101">
        <f>SUMIFS('9'!$E:$E,'9'!$A:$A,Año_Inicial+2,'9'!$B:$B,'12'!CB$4,'9'!$D:$D,"Otras actividades")</f>
        <v>0</v>
      </c>
      <c r="CD34" s="101">
        <f>((A3_A_L39*Otras_A)+(A3_B_L39*Otras_B)+(A3_C_L39*Otras_C)+(A3_D_L39*Otras_D)+(A3_Y_L39*Otras_Y))*Inflación_3</f>
        <v>0</v>
      </c>
      <c r="CE34" s="101">
        <f>SUMIFS('9'!$E:$E,'9'!$A:$A,Año_Inicial+2,'9'!$B:$B,'12'!CD$4,'9'!$D:$D,"Otras actividades")</f>
        <v>0</v>
      </c>
      <c r="CF34" s="101">
        <f>((A3_A_L40*Otras_A)+(A3_B_L40*Otras_B)+(A3_C_L40*Otras_C)+(A3_D_L40*Otras_D)+(A3_Y_L40*Otras_Y))*Inflación_3</f>
        <v>0</v>
      </c>
      <c r="CG34" s="101">
        <f>SUMIFS('9'!$E:$E,'9'!$A:$A,Año_Inicial+2,'9'!$B:$B,'12'!CF$4,'9'!$D:$D,"Otras actividades")</f>
        <v>0</v>
      </c>
      <c r="CH34" s="473"/>
      <c r="CI34" s="101">
        <f>Plantas_A_A3*Otras_A*Inflación_3</f>
        <v>0</v>
      </c>
      <c r="CJ34" s="101">
        <f>Plantas_B_A3*Otras_B</f>
        <v>0</v>
      </c>
      <c r="CK34" s="101">
        <f>Plantas_C_A3*Otras_C</f>
        <v>0</v>
      </c>
      <c r="CL34" s="101">
        <f>Plantas_D_A3*Otras_D</f>
        <v>0</v>
      </c>
      <c r="CM34" s="101"/>
      <c r="CN34" s="101">
        <f>Plantas_Y_A3*Otras_Y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SUMIFS('9'!$E:$E,'9'!$A:$A,Año_Inicial+2,'9'!$D:$D,"Coadyuvantes")</f>
        <v>0</v>
      </c>
      <c r="D35" s="100">
        <f t="shared" si="45"/>
        <v>0</v>
      </c>
      <c r="E35" s="490"/>
      <c r="F35" s="101">
        <f>((A3_A_L1*Coad_A)+(A3_B_L1*Coad_B)+(A3_C_L1*Coad_C)+(A3_D_L1*Coad_D)+(A3_Y_L1*Coad_Y))*Inflación_3</f>
        <v>0</v>
      </c>
      <c r="G35" s="101">
        <f>SUMIFS('9'!$E:$E,'9'!$A:$A,Año_Inicial+2,'9'!$B:$B,'12'!F$4,'9'!$D:$D,"Coadyuvantes")</f>
        <v>0</v>
      </c>
      <c r="H35" s="101">
        <f>((A3_A_L2*Coad_A)+(A3_B_L2*Coad_B)+(A3_C_L2*Coad_C)+(A3_D_L2*Coad_D)+(A3_Y_L2*Coad_Y))*Inflación_3</f>
        <v>0</v>
      </c>
      <c r="I35" s="101">
        <f>SUMIFS('9'!$E:$E,'9'!$A:$A,Año_Inicial+2,'9'!$B:$B,'12'!H$4,'9'!$D:$D,"Coadyuvantes")</f>
        <v>0</v>
      </c>
      <c r="J35" s="101">
        <f>((A3_A_L3*Coad_A)+(A3_B_L3*Coad_B)+(A3_C_L3*Coad_C)+(A3_D_L3*Coad_D)+(A3_Y_L3*Coad_Y))*Inflación_3</f>
        <v>0</v>
      </c>
      <c r="K35" s="101">
        <f>SUMIFS('9'!$E:$E,'9'!$A:$A,Año_Inicial+2,'9'!$B:$B,'12'!J$4,'9'!$D:$D,"Coadyuvantes")</f>
        <v>0</v>
      </c>
      <c r="L35" s="101">
        <f>((A3_A_L4*Coad_A)+(A3_B_L4*Coad_B)+(A3_C_L4*Coad_C)+(A3_D_L4*Coad_D)+(A3_Y_L4*Coad_Y))*Inflación_3</f>
        <v>0</v>
      </c>
      <c r="M35" s="101">
        <f>SUMIFS('9'!$E:$E,'9'!$A:$A,Año_Inicial+2,'9'!$B:$B,'12'!L$4,'9'!$D:$D,"Coadyuvantes")</f>
        <v>0</v>
      </c>
      <c r="N35" s="101">
        <f>((A3_A_L5*Coad_A)+(A3_B_L5*Coad_B)+(A3_C_L5*Coad_C)+(A3_D_L5*Coad_D)+(A3_Y_L5*Coad_Y))*Inflación_3</f>
        <v>0</v>
      </c>
      <c r="O35" s="101">
        <f>SUMIFS('9'!$E:$E,'9'!$A:$A,Año_Inicial+2,'9'!$B:$B,'12'!N$4,'9'!$D:$D,"Coadyuvantes")</f>
        <v>0</v>
      </c>
      <c r="P35" s="101">
        <f>((A3_A_L6*Coad_A)+(A3_B_L6*Coad_B)+(A3_C_L6*Coad_C)+(A3_D_L6*Coad_D)+(A3_Y_L6*Coad_Y))*Inflación_3</f>
        <v>0</v>
      </c>
      <c r="Q35" s="101">
        <f>SUMIFS('9'!$E:$E,'9'!$A:$A,Año_Inicial+2,'9'!$B:$B,'12'!P$4,'9'!$D:$D,"Coadyuvantes")</f>
        <v>0</v>
      </c>
      <c r="R35" s="101">
        <f>((A3_A_L7*Coad_A)+(A3_B_L7*Coad_B)+(A3_C_L7*Coad_C)+(A3_D_L7*Coad_D)+(A3_Y_L7*Coad_Y))*Inflación_3</f>
        <v>0</v>
      </c>
      <c r="S35" s="101">
        <f>SUMIFS('9'!$E:$E,'9'!$A:$A,Año_Inicial+2,'9'!$B:$B,'12'!R$4,'9'!$D:$D,"Coadyuvantes")</f>
        <v>0</v>
      </c>
      <c r="T35" s="101">
        <f>((A3_A_L8*Coad_A)+(A3_B_L8*Coad_B)+(A3_C_L8*Coad_C)+(A3_D_L8*Coad_D)+(A3_Y_L8*Coad_Y))*Inflación_3</f>
        <v>0</v>
      </c>
      <c r="U35" s="101">
        <f>SUMIFS('9'!$E:$E,'9'!$A:$A,Año_Inicial+2,'9'!$B:$B,'12'!T$4,'9'!$D:$D,"Coadyuvantes")</f>
        <v>0</v>
      </c>
      <c r="V35" s="101">
        <f>((A3_A_L9*Coad_A)+(A3_B_L9*Coad_B)+(A3_C_L9*Coad_C)+(A3_D_L9*Coad_D)+(A3_Y_L9*Coad_Y))*Inflación_3</f>
        <v>0</v>
      </c>
      <c r="W35" s="101">
        <f>SUMIFS('9'!$E:$E,'9'!$A:$A,Año_Inicial+2,'9'!$B:$B,'12'!V$4,'9'!$D:$D,"Coadyuvantes")</f>
        <v>0</v>
      </c>
      <c r="X35" s="101">
        <f>((A3_A_L10*Coad_A)+(A3_B_L10*Coad_B)+(A3_C_L10*Coad_C)+(A3_D_L10*Coad_D)+(A3_Y_L10*Coad_Y))*Inflación_3</f>
        <v>0</v>
      </c>
      <c r="Y35" s="101">
        <f>SUMIFS('9'!$E:$E,'9'!$A:$A,Año_Inicial+2,'9'!$B:$B,'12'!X$4,'9'!$D:$D,"Coadyuvantes")</f>
        <v>0</v>
      </c>
      <c r="Z35" s="101">
        <f>((A3_A_L11*Coad_A)+(A3_B_L11*Coad_B)+(A3_C_L11*Coad_C)+(A3_D_L11*Coad_D)+(A3_Y_L11*Coad_Y))*Inflación_3</f>
        <v>0</v>
      </c>
      <c r="AA35" s="101">
        <f>SUMIFS('9'!$E:$E,'9'!$A:$A,Año_Inicial+2,'9'!$B:$B,'12'!Z$4,'9'!$D:$D,"Coadyuvantes")</f>
        <v>0</v>
      </c>
      <c r="AB35" s="101">
        <f>((A3_A_L12*Coad_A)+(A3_B_L12*Coad_B)+(A3_C_L12*Coad_C)+(A3_D_L12*Coad_D)+(A3_Y_L12*Coad_Y))*Inflación_3</f>
        <v>0</v>
      </c>
      <c r="AC35" s="101">
        <f>SUMIFS('9'!$E:$E,'9'!$A:$A,Año_Inicial+2,'9'!$B:$B,'12'!AB$4,'9'!$D:$D,"Coadyuvantes")</f>
        <v>0</v>
      </c>
      <c r="AD35" s="101">
        <f>((A3_A_L13*Coad_A)+(A3_B_L13*Coad_B)+(A3_C_L13*Coad_C)+(A3_D_L13*Coad_D)+(A3_Y_L13*Coad_Y))*Inflación_3</f>
        <v>0</v>
      </c>
      <c r="AE35" s="101">
        <f>SUMIFS('9'!$E:$E,'9'!$A:$A,Año_Inicial+2,'9'!$B:$B,'12'!AD$4,'9'!$D:$D,"Coadyuvantes")</f>
        <v>0</v>
      </c>
      <c r="AF35" s="101">
        <f>((A3_A_L14*Coad_A)+(A3_B_L14*Coad_B)+(A3_C_L14*Coad_C)+(A3_D_L14*Coad_D)+(A3_Y_L14*Coad_Y))*Inflación_3</f>
        <v>0</v>
      </c>
      <c r="AG35" s="101">
        <f>SUMIFS('9'!$E:$E,'9'!$A:$A,Año_Inicial+2,'9'!$B:$B,'12'!AF$4,'9'!$D:$D,"Coadyuvantes")</f>
        <v>0</v>
      </c>
      <c r="AH35" s="101">
        <f>((A3_A_L15*Coad_A)+(A3_B_L15*Coad_B)+(A3_C_L15*Coad_C)+(A3_D_L15*Coad_D)+(A3_Y_L15*Coad_Y))*Inflación_3</f>
        <v>0</v>
      </c>
      <c r="AI35" s="101">
        <f>SUMIFS('9'!$E:$E,'9'!$A:$A,Año_Inicial+2,'9'!$B:$B,'12'!AH$4,'9'!$D:$D,"Coadyuvantes")</f>
        <v>0</v>
      </c>
      <c r="AJ35" s="101">
        <f>((A3_A_L16*Coad_A)+(A3_B_L16*Coad_B)+(A3_C_L16*Coad_C)+(A3_D_L16*Coad_D)+(A3_Y_L16*Coad_Y))*Inflación_3</f>
        <v>0</v>
      </c>
      <c r="AK35" s="101">
        <f>SUMIFS('9'!$E:$E,'9'!$A:$A,Año_Inicial+2,'9'!$B:$B,'12'!AJ$4,'9'!$D:$D,"Coadyuvantes")</f>
        <v>0</v>
      </c>
      <c r="AL35" s="101">
        <f>((A3_A_L17*Coad_A)+(A3_B_L17*Coad_B)+(A3_C_L17*Coad_C)+(A3_D_L17*Coad_D)+(A3_Y_L17*Coad_Y))*Inflación_3</f>
        <v>0</v>
      </c>
      <c r="AM35" s="101">
        <f>SUMIFS('9'!$E:$E,'9'!$A:$A,Año_Inicial+2,'9'!$B:$B,'12'!AL$4,'9'!$D:$D,"Coadyuvantes")</f>
        <v>0</v>
      </c>
      <c r="AN35" s="101">
        <f>((A3_A_L18*Coad_A)+(A3_B_L18*Coad_B)+(A3_C_L18*Coad_C)+(A3_D_L18*Coad_D)+(A3_Y_L18*Coad_Y))*Inflación_3</f>
        <v>0</v>
      </c>
      <c r="AO35" s="101">
        <f>SUMIFS('9'!$E:$E,'9'!$A:$A,Año_Inicial+2,'9'!$B:$B,'12'!AN$4,'9'!$D:$D,"Coadyuvantes")</f>
        <v>0</v>
      </c>
      <c r="AP35" s="101">
        <f>((A3_A_L19*Coad_A)+(A3_B_L19*Coad_B)+(A3_C_L19*Coad_C)+(A3_D_L19*Coad_D)+(A3_Y_L19*Coad_Y))*Inflación_3</f>
        <v>0</v>
      </c>
      <c r="AQ35" s="101">
        <f>SUMIFS('9'!$E:$E,'9'!$A:$A,Año_Inicial+2,'9'!$B:$B,'12'!AP$4,'9'!$D:$D,"Coadyuvantes")</f>
        <v>0</v>
      </c>
      <c r="AR35" s="101">
        <f>((A3_A_L20*Coad_A)+(A3_B_L20*Coad_B)+(A3_C_L20*Coad_C)+(A3_D_L20*Coad_D)+(A3_Y_L20*Coad_Y))*Inflación_3</f>
        <v>0</v>
      </c>
      <c r="AS35" s="101">
        <f>SUMIFS('9'!$E:$E,'9'!$A:$A,Año_Inicial+2,'9'!$B:$B,'12'!AR$4,'9'!$D:$D,"Coadyuvantes")</f>
        <v>0</v>
      </c>
      <c r="AT35" s="101">
        <f>((A3_A_L21*Coad_A)+(A3_B_L21*Coad_B)+(A3_C_L21*Coad_C)+(A3_D_L21*Coad_D)+(A3_Y_L21*Coad_Y))*Inflación_3</f>
        <v>0</v>
      </c>
      <c r="AU35" s="101">
        <f>SUMIFS('9'!$E:$E,'9'!$A:$A,Año_Inicial+2,'9'!$B:$B,'12'!AT$4,'9'!$D:$D,"Coadyuvantes")</f>
        <v>0</v>
      </c>
      <c r="AV35" s="101">
        <f>((A3_A_L22*Coad_A)+(A3_B_L22*Coad_B)+(A3_C_L22*Coad_C)+(A3_D_L22*Coad_D)+(A3_Y_L22*Coad_Y))*Inflación_3</f>
        <v>0</v>
      </c>
      <c r="AW35" s="101">
        <f>SUMIFS('9'!$E:$E,'9'!$A:$A,Año_Inicial+2,'9'!$B:$B,'12'!AV$4,'9'!$D:$D,"Coadyuvantes")</f>
        <v>0</v>
      </c>
      <c r="AX35" s="101">
        <f>((A3_A_L23*Coad_A)+(A3_B_L23*Coad_B)+(A3_C_L23*Coad_C)+(A3_D_L23*Coad_D)+(A3_Y_L23*Coad_Y))*Inflación_3</f>
        <v>0</v>
      </c>
      <c r="AY35" s="101">
        <f>SUMIFS('9'!$E:$E,'9'!$A:$A,Año_Inicial+2,'9'!$B:$B,'12'!AX$4,'9'!$D:$D,"Coadyuvantes")</f>
        <v>0</v>
      </c>
      <c r="AZ35" s="101">
        <f>((A3_A_L24*Coad_A)+(A3_B_L24*Coad_B)+(A3_C_L24*Coad_C)+(A3_D_L24*Coad_D)+(A3_Y_L24*Coad_Y))*Inflación_3</f>
        <v>0</v>
      </c>
      <c r="BA35" s="101">
        <f>SUMIFS('9'!$E:$E,'9'!$A:$A,Año_Inicial+2,'9'!$B:$B,'12'!AZ$4,'9'!$D:$D,"Coadyuvantes")</f>
        <v>0</v>
      </c>
      <c r="BB35" s="101">
        <f>((A3_A_L25*Coad_A)+(A3_B_L25*Coad_B)+(A3_C_L25*Coad_C)+(A3_D_L25*Coad_D)+(A3_Y_L25*Coad_Y))*Inflación_3</f>
        <v>0</v>
      </c>
      <c r="BC35" s="101">
        <f>SUMIFS('9'!$E:$E,'9'!$A:$A,Año_Inicial+2,'9'!$B:$B,'12'!BB$4,'9'!$D:$D,"Coadyuvantes")</f>
        <v>0</v>
      </c>
      <c r="BD35" s="101">
        <f>((A3_A_L26*Coad_A)+(A3_B_L26*Coad_B)+(A3_C_L26*Coad_C)+(A3_D_L26*Coad_D)+(A3_Y_L26*Coad_Y))*Inflación_3</f>
        <v>0</v>
      </c>
      <c r="BE35" s="101">
        <f>SUMIFS('9'!$E:$E,'9'!$A:$A,Año_Inicial+2,'9'!$B:$B,'12'!BD$4,'9'!$D:$D,"Coadyuvantes")</f>
        <v>0</v>
      </c>
      <c r="BF35" s="101">
        <f>((A3_A_L27*Coad_A)+(A3_B_L27*Coad_B)+(A3_C_L27*Coad_C)+(A3_D_L27*Coad_D)+(A3_Y_L27*Coad_Y))*Inflación_3</f>
        <v>0</v>
      </c>
      <c r="BG35" s="101">
        <f>SUMIFS('9'!$E:$E,'9'!$A:$A,Año_Inicial+2,'9'!$B:$B,'12'!BF$4,'9'!$D:$D,"Coadyuvantes")</f>
        <v>0</v>
      </c>
      <c r="BH35" s="101">
        <f>((A3_A_L28*Coad_A)+(A3_B_L28*Coad_B)+(A3_C_L28*Coad_C)+(A3_D_L28*Coad_D)+(A3_Y_L28*Coad_Y))*Inflación_3</f>
        <v>0</v>
      </c>
      <c r="BI35" s="101">
        <f>SUMIFS('9'!$E:$E,'9'!$A:$A,Año_Inicial+2,'9'!$B:$B,'12'!BH$4,'9'!$D:$D,"Coadyuvantes")</f>
        <v>0</v>
      </c>
      <c r="BJ35" s="101">
        <f>((A3_A_L29*Coad_A)+(A3_B_L29*Coad_B)+(A3_C_L29*Coad_C)+(A3_D_L29*Coad_D)+(A3_Y_L29*Coad_Y))*Inflación_3</f>
        <v>0</v>
      </c>
      <c r="BK35" s="101">
        <f>SUMIFS('9'!$E:$E,'9'!$A:$A,Año_Inicial+2,'9'!$B:$B,'12'!BJ$4,'9'!$D:$D,"Coadyuvantes")</f>
        <v>0</v>
      </c>
      <c r="BL35" s="101">
        <f>((A3_A_L30*Coad_A)+(A3_B_L30*Coad_B)+(A3_C_L30*Coad_C)+(A3_D_L30*Coad_D)+(A3_Y_L30*Coad_Y))*Inflación_3</f>
        <v>0</v>
      </c>
      <c r="BM35" s="101">
        <f>SUMIFS('9'!$E:$E,'9'!$A:$A,Año_Inicial+2,'9'!$B:$B,'12'!BL$4,'9'!$D:$D,"Coadyuvantes")</f>
        <v>0</v>
      </c>
      <c r="BN35" s="101">
        <f>((A3_A_L31*Coad_A)+(A3_B_L31*Coad_B)+(A3_C_L31*Coad_C)+(A3_D_L31*Coad_D)+(A3_Y_L31*Coad_Y))*Inflación_3</f>
        <v>0</v>
      </c>
      <c r="BO35" s="101">
        <f>SUMIFS('9'!$E:$E,'9'!$A:$A,Año_Inicial+2,'9'!$B:$B,'12'!BN$4,'9'!$D:$D,"Coadyuvantes")</f>
        <v>0</v>
      </c>
      <c r="BP35" s="101">
        <f>((A3_A_L32*Coad_A)+(A3_B_L32*Coad_B)+(A3_C_L32*Coad_C)+(A3_D_L32*Coad_D)+(A3_Y_L32*Coad_Y))*Inflación_3</f>
        <v>0</v>
      </c>
      <c r="BQ35" s="101">
        <f>SUMIFS('9'!$E:$E,'9'!$A:$A,Año_Inicial+2,'9'!$B:$B,'12'!BP$4,'9'!$D:$D,"Coadyuvantes")</f>
        <v>0</v>
      </c>
      <c r="BR35" s="101">
        <f>((A3_A_L33*Coad_A)+(A3_B_L33*Coad_B)+(A3_C_L33*Coad_C)+(A3_D_L33*Coad_D)+(A3_Y_L33*Coad_Y))*Inflación_3</f>
        <v>0</v>
      </c>
      <c r="BS35" s="101">
        <f>SUMIFS('9'!$E:$E,'9'!$A:$A,Año_Inicial+2,'9'!$B:$B,'12'!BR$4,'9'!$D:$D,"Coadyuvantes")</f>
        <v>0</v>
      </c>
      <c r="BT35" s="101">
        <f>((A3_A_L34*Coad_A)+(A3_B_L34*Coad_B)+(A3_C_L34*Coad_C)+(A3_D_L34*Coad_D)+(A3_Y_L34*Coad_Y))*Inflación_3</f>
        <v>0</v>
      </c>
      <c r="BU35" s="101">
        <f>SUMIFS('9'!$E:$E,'9'!$A:$A,Año_Inicial+2,'9'!$B:$B,'12'!BT$4,'9'!$D:$D,"Coadyuvantes")</f>
        <v>0</v>
      </c>
      <c r="BV35" s="101">
        <f>((A3_A_L35*Coad_A)+(A3_B_L35*Coad_B)+(A3_C_L35*Coad_C)+(A3_D_L35*Coad_D)+(A3_Y_L35*Coad_Y))*Inflación_3</f>
        <v>0</v>
      </c>
      <c r="BW35" s="101">
        <f>SUMIFS('9'!$E:$E,'9'!$A:$A,Año_Inicial+2,'9'!$B:$B,'12'!BV$4,'9'!$D:$D,"Coadyuvantes")</f>
        <v>0</v>
      </c>
      <c r="BX35" s="101">
        <f>((A3_A_L36*Coad_A)+(A3_B_L36*Coad_B)+(A3_C_L36*Coad_C)+(A3_D_L36*Coad_D)+(A3_Y_L36*Coad_Y))*Inflación_3</f>
        <v>0</v>
      </c>
      <c r="BY35" s="101">
        <f>SUMIFS('9'!$E:$E,'9'!$A:$A,Año_Inicial+2,'9'!$B:$B,'12'!BX$4,'9'!$D:$D,"Coadyuvantes")</f>
        <v>0</v>
      </c>
      <c r="BZ35" s="101">
        <f>((A3_A_L37*Coad_A)+(A3_B_L37*Coad_B)+(A3_C_L37*Coad_C)+(A3_D_L37*Coad_D)+(A3_Y_L37*Coad_Y))*Inflación_3</f>
        <v>0</v>
      </c>
      <c r="CA35" s="101">
        <f>SUMIFS('9'!$E:$E,'9'!$A:$A,Año_Inicial+2,'9'!$B:$B,'12'!BZ$4,'9'!$D:$D,"Coadyuvantes")</f>
        <v>0</v>
      </c>
      <c r="CB35" s="101">
        <f>((A3_A_L38*Coad_A)+(A3_B_L38*Coad_B)+(A3_C_L38*Coad_C)+(A3_D_L38*Coad_D)+(A3_Y_L38*Coad_Y))*Inflación_3</f>
        <v>0</v>
      </c>
      <c r="CC35" s="101">
        <f>SUMIFS('9'!$E:$E,'9'!$A:$A,Año_Inicial+2,'9'!$B:$B,'12'!CB$4,'9'!$D:$D,"Coadyuvantes")</f>
        <v>0</v>
      </c>
      <c r="CD35" s="101">
        <f>((A3_A_L39*Coad_A)+(A3_B_L39*Coad_B)+(A3_C_L39*Coad_C)+(A3_D_L39*Coad_D)+(A3_Y_L39*Coad_Y))*Inflación_3</f>
        <v>0</v>
      </c>
      <c r="CE35" s="101">
        <f>SUMIFS('9'!$E:$E,'9'!$A:$A,Año_Inicial+2,'9'!$B:$B,'12'!CD$4,'9'!$D:$D,"Coadyuvantes")</f>
        <v>0</v>
      </c>
      <c r="CF35" s="101">
        <f>((A3_A_L40*Coad_A)+(A3_B_L40*Coad_B)+(A3_C_L40*Coad_C)+(A3_D_L40*Coad_D)+(A3_Y_L40*Coad_Y))*Inflación_3</f>
        <v>0</v>
      </c>
      <c r="CG35" s="101">
        <f>SUMIFS('9'!$E:$E,'9'!$A:$A,Año_Inicial+2,'9'!$B:$B,'12'!CF$4,'9'!$D:$D,"Coadyuvantes")</f>
        <v>0</v>
      </c>
      <c r="CH35" s="473"/>
      <c r="CI35" s="101">
        <f>Plantas_A_A3*Coad_A*Inflación_3</f>
        <v>0</v>
      </c>
      <c r="CJ35" s="101">
        <f>Plantas_B_A3*Coad_B</f>
        <v>0</v>
      </c>
      <c r="CK35" s="101">
        <f>Plantas_C_A3*Coad_C</f>
        <v>0</v>
      </c>
      <c r="CL35" s="101">
        <f>Plantas_D_A3*Coad_D</f>
        <v>0</v>
      </c>
      <c r="CM35" s="101"/>
      <c r="CN35" s="101">
        <f>Plantas_Y_A3*Coad_Y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SUMIFS('9'!$E:$E,'9'!$A:$A,Año_Inicial+2,'9'!$D:$D,"Otro insumo 1*")</f>
        <v>0</v>
      </c>
      <c r="D36" s="100">
        <f t="shared" si="45"/>
        <v>0</v>
      </c>
      <c r="E36" s="490"/>
      <c r="F36" s="101">
        <f>((A3_A_L1*Otro1_A)+(A3_B_L1*Otro1_B)+(A3_C_L1*Otro1_C)+(A3_D_L1*Otro1_D)+(A3_Y_L1*Otro1_Y))*Inflación_3</f>
        <v>0</v>
      </c>
      <c r="G36" s="101">
        <f>SUMIFS('9'!$E:$E,'9'!$A:$A,Año_Inicial+2,'9'!$B:$B,'12'!F$4,'9'!$D:$D,"Otro insumo 1*")</f>
        <v>0</v>
      </c>
      <c r="H36" s="101">
        <f>((A3_A_L2*Otro1_A)+(A3_B_L2*Otro1_B)+(A3_C_L2*Otro1_C)+(A3_D_L2*Otro1_D)+(A3_Y_L2*Otro1_Y))*Inflación_3</f>
        <v>0</v>
      </c>
      <c r="I36" s="101">
        <f>SUMIFS('9'!$E:$E,'9'!$A:$A,Año_Inicial+2,'9'!$B:$B,'12'!H$4,'9'!$D:$D,"Otro insumo 1*")</f>
        <v>0</v>
      </c>
      <c r="J36" s="101">
        <f>((A3_A_L3*Otro1_A)+(A3_B_L3*Otro1_B)+(A3_C_L3*Otro1_C)+(A3_D_L3*Otro1_D)+(A3_Y_L3*Otro1_Y))*Inflación_3</f>
        <v>0</v>
      </c>
      <c r="K36" s="101">
        <f>SUMIFS('9'!$E:$E,'9'!$A:$A,Año_Inicial+2,'9'!$B:$B,'12'!J$4,'9'!$D:$D,"Otro insumo 1*")</f>
        <v>0</v>
      </c>
      <c r="L36" s="101">
        <f>((A3_A_L4*Otro1_A)+(A3_B_L4*Otro1_B)+(A3_C_L4*Otro1_C)+(A3_D_L4*Otro1_D)+(A3_Y_L4*Otro1_Y))*Inflación_3</f>
        <v>0</v>
      </c>
      <c r="M36" s="101">
        <f>SUMIFS('9'!$E:$E,'9'!$A:$A,Año_Inicial+2,'9'!$B:$B,'12'!L$4,'9'!$D:$D,"Otro insumo 1*")</f>
        <v>0</v>
      </c>
      <c r="N36" s="101">
        <f>((A3_A_L5*Otro1_A)+(A3_B_L5*Otro1_B)+(A3_C_L5*Otro1_C)+(A3_D_L5*Otro1_D)+(A3_Y_L5*Otro1_Y))*Inflación_3</f>
        <v>0</v>
      </c>
      <c r="O36" s="101">
        <f>SUMIFS('9'!$E:$E,'9'!$A:$A,Año_Inicial+2,'9'!$B:$B,'12'!N$4,'9'!$D:$D,"Otro insumo 1*")</f>
        <v>0</v>
      </c>
      <c r="P36" s="101">
        <f>((A3_A_L6*Otro1_A)+(A3_B_L6*Otro1_B)+(A3_C_L6*Otro1_C)+(A3_D_L6*Otro1_D)+(A3_Y_L6*Otro1_Y))*Inflación_3</f>
        <v>0</v>
      </c>
      <c r="Q36" s="101">
        <f>SUMIFS('9'!$E:$E,'9'!$A:$A,Año_Inicial+2,'9'!$B:$B,'12'!P$4,'9'!$D:$D,"Otro insumo 1*")</f>
        <v>0</v>
      </c>
      <c r="R36" s="101">
        <f>((A3_A_L7*Otro1_A)+(A3_B_L7*Otro1_B)+(A3_C_L7*Otro1_C)+(A3_D_L7*Otro1_D)+(A3_Y_L7*Otro1_Y))*Inflación_3</f>
        <v>0</v>
      </c>
      <c r="S36" s="101">
        <f>SUMIFS('9'!$E:$E,'9'!$A:$A,Año_Inicial+2,'9'!$B:$B,'12'!R$4,'9'!$D:$D,"Otro insumo 1*")</f>
        <v>0</v>
      </c>
      <c r="T36" s="101">
        <f>((A3_A_L8*Otro1_A)+(A3_B_L8*Otro1_B)+(A3_C_L8*Otro1_C)+(A3_D_L8*Otro1_D)+(A3_Y_L8*Otro1_Y))*Inflación_3</f>
        <v>0</v>
      </c>
      <c r="U36" s="101">
        <f>SUMIFS('9'!$E:$E,'9'!$A:$A,Año_Inicial+2,'9'!$B:$B,'12'!T$4,'9'!$D:$D,"Otro insumo 1*")</f>
        <v>0</v>
      </c>
      <c r="V36" s="101">
        <f>((A3_A_L9*Otro1_A)+(A3_B_L9*Otro1_B)+(A3_C_L9*Otro1_C)+(A3_D_L9*Otro1_D)+(A3_Y_L9*Otro1_Y))*Inflación_3</f>
        <v>0</v>
      </c>
      <c r="W36" s="101">
        <f>SUMIFS('9'!$E:$E,'9'!$A:$A,Año_Inicial+2,'9'!$B:$B,'12'!V$4,'9'!$D:$D,"Otro insumo 1*")</f>
        <v>0</v>
      </c>
      <c r="X36" s="101">
        <f>((A3_A_L10*Otro1_A)+(A3_B_L10*Otro1_B)+(A3_C_L10*Otro1_C)+(A3_D_L10*Otro1_D)+(A3_Y_L10*Otro1_Y))*Inflación_3</f>
        <v>0</v>
      </c>
      <c r="Y36" s="101">
        <f>SUMIFS('9'!$E:$E,'9'!$A:$A,Año_Inicial+2,'9'!$B:$B,'12'!X$4,'9'!$D:$D,"Otro insumo 1*")</f>
        <v>0</v>
      </c>
      <c r="Z36" s="101">
        <f>((A3_A_L11*Otro1_A)+(A3_B_L11*Otro1_B)+(A3_C_L11*Otro1_C)+(A3_D_L11*Otro1_D)+(A3_Y_L11*Otro1_Y))*Inflación_3</f>
        <v>0</v>
      </c>
      <c r="AA36" s="101">
        <f>SUMIFS('9'!$E:$E,'9'!$A:$A,Año_Inicial+2,'9'!$B:$B,'12'!Z$4,'9'!$D:$D,"Otro insumo 1*")</f>
        <v>0</v>
      </c>
      <c r="AB36" s="101">
        <f>((A3_A_L12*Otro1_A)+(A3_B_L12*Otro1_B)+(A3_C_L12*Otro1_C)+(A3_D_L12*Otro1_D)+(A3_Y_L12*Otro1_Y))*Inflación_3</f>
        <v>0</v>
      </c>
      <c r="AC36" s="101">
        <f>SUMIFS('9'!$E:$E,'9'!$A:$A,Año_Inicial+2,'9'!$B:$B,'12'!AB$4,'9'!$D:$D,"Otro insumo 1*")</f>
        <v>0</v>
      </c>
      <c r="AD36" s="101">
        <f>((A3_A_L13*Otro1_A)+(A3_B_L13*Otro1_B)+(A3_C_L13*Otro1_C)+(A3_D_L13*Otro1_D)+(A3_Y_L13*Otro1_Y))*Inflación_3</f>
        <v>0</v>
      </c>
      <c r="AE36" s="101">
        <f>SUMIFS('9'!$E:$E,'9'!$A:$A,Año_Inicial+2,'9'!$B:$B,'12'!AD$4,'9'!$D:$D,"Otro insumo 1*")</f>
        <v>0</v>
      </c>
      <c r="AF36" s="101">
        <f>((A3_A_L14*Otro1_A)+(A3_B_L14*Otro1_B)+(A3_C_L14*Otro1_C)+(A3_D_L14*Otro1_D)+(A3_Y_L14*Otro1_Y))*Inflación_3</f>
        <v>0</v>
      </c>
      <c r="AG36" s="101">
        <f>SUMIFS('9'!$E:$E,'9'!$A:$A,Año_Inicial+2,'9'!$B:$B,'12'!AF$4,'9'!$D:$D,"Otro insumo 1*")</f>
        <v>0</v>
      </c>
      <c r="AH36" s="101">
        <f>((A3_A_L15*Otro1_A)+(A3_B_L15*Otro1_B)+(A3_C_L15*Otro1_C)+(A3_D_L15*Otro1_D)+(A3_Y_L15*Otro1_Y))*Inflación_3</f>
        <v>0</v>
      </c>
      <c r="AI36" s="101">
        <f>SUMIFS('9'!$E:$E,'9'!$A:$A,Año_Inicial+2,'9'!$B:$B,'12'!AH$4,'9'!$D:$D,"Otro insumo 1*")</f>
        <v>0</v>
      </c>
      <c r="AJ36" s="101">
        <f>((A3_A_L16*Otro1_A)+(A3_B_L16*Otro1_B)+(A3_C_L16*Otro1_C)+(A3_D_L16*Otro1_D)+(A3_Y_L16*Otro1_Y))*Inflación_3</f>
        <v>0</v>
      </c>
      <c r="AK36" s="101">
        <f>SUMIFS('9'!$E:$E,'9'!$A:$A,Año_Inicial+2,'9'!$B:$B,'12'!AJ$4,'9'!$D:$D,"Otro insumo 1*")</f>
        <v>0</v>
      </c>
      <c r="AL36" s="101">
        <f>((A3_A_L17*Otro1_A)+(A3_B_L17*Otro1_B)+(A3_C_L17*Otro1_C)+(A3_D_L17*Otro1_D)+(A3_Y_L17*Otro1_Y))*Inflación_3</f>
        <v>0</v>
      </c>
      <c r="AM36" s="101">
        <f>SUMIFS('9'!$E:$E,'9'!$A:$A,Año_Inicial+2,'9'!$B:$B,'12'!AL$4,'9'!$D:$D,"Otro insumo 1*")</f>
        <v>0</v>
      </c>
      <c r="AN36" s="101">
        <f>((A3_A_L18*Otro1_A)+(A3_B_L18*Otro1_B)+(A3_C_L18*Otro1_C)+(A3_D_L18*Otro1_D)+(A3_Y_L18*Otro1_Y))*Inflación_3</f>
        <v>0</v>
      </c>
      <c r="AO36" s="101">
        <f>SUMIFS('9'!$E:$E,'9'!$A:$A,Año_Inicial+2,'9'!$B:$B,'12'!AN$4,'9'!$D:$D,"Otro insumo 1*")</f>
        <v>0</v>
      </c>
      <c r="AP36" s="101">
        <f>((A3_A_L19*Otro1_A)+(A3_B_L19*Otro1_B)+(A3_C_L19*Otro1_C)+(A3_D_L19*Otro1_D)+(A3_Y_L19*Otro1_Y))*Inflación_3</f>
        <v>0</v>
      </c>
      <c r="AQ36" s="101">
        <f>SUMIFS('9'!$E:$E,'9'!$A:$A,Año_Inicial+2,'9'!$B:$B,'12'!AP$4,'9'!$D:$D,"Otro insumo 1*")</f>
        <v>0</v>
      </c>
      <c r="AR36" s="101">
        <f>((A3_A_L20*Otro1_A)+(A3_B_L20*Otro1_B)+(A3_C_L20*Otro1_C)+(A3_D_L20*Otro1_D)+(A3_Y_L20*Otro1_Y))*Inflación_3</f>
        <v>0</v>
      </c>
      <c r="AS36" s="101">
        <f>SUMIFS('9'!$E:$E,'9'!$A:$A,Año_Inicial+2,'9'!$B:$B,'12'!AR$4,'9'!$D:$D,"Otro insumo 1*")</f>
        <v>0</v>
      </c>
      <c r="AT36" s="101">
        <f>((A3_A_L21*Otro1_A)+(A3_B_L21*Otro1_B)+(A3_C_L21*Otro1_C)+(A3_D_L21*Otro1_D)+(A3_Y_L21*Otro1_Y))*Inflación_3</f>
        <v>0</v>
      </c>
      <c r="AU36" s="101">
        <f>SUMIFS('9'!$E:$E,'9'!$A:$A,Año_Inicial+2,'9'!$B:$B,'12'!AT$4,'9'!$D:$D,"Otro insumo 1*")</f>
        <v>0</v>
      </c>
      <c r="AV36" s="101">
        <f>((A3_A_L22*Otro1_A)+(A3_B_L22*Otro1_B)+(A3_C_L22*Otro1_C)+(A3_D_L22*Otro1_D)+(A3_Y_L22*Otro1_Y))*Inflación_3</f>
        <v>0</v>
      </c>
      <c r="AW36" s="101">
        <f>SUMIFS('9'!$E:$E,'9'!$A:$A,Año_Inicial+2,'9'!$B:$B,'12'!AV$4,'9'!$D:$D,"Otro insumo 1*")</f>
        <v>0</v>
      </c>
      <c r="AX36" s="101">
        <f>((A3_A_L23*Otro1_A)+(A3_B_L23*Otro1_B)+(A3_C_L23*Otro1_C)+(A3_D_L23*Otro1_D)+(A3_Y_L23*Otro1_Y))*Inflación_3</f>
        <v>0</v>
      </c>
      <c r="AY36" s="101">
        <f>SUMIFS('9'!$E:$E,'9'!$A:$A,Año_Inicial+2,'9'!$B:$B,'12'!AX$4,'9'!$D:$D,"Otro insumo 1*")</f>
        <v>0</v>
      </c>
      <c r="AZ36" s="101">
        <f>((A3_A_L24*Otro1_A)+(A3_B_L24*Otro1_B)+(A3_C_L24*Otro1_C)+(A3_D_L24*Otro1_D)+(A3_Y_L24*Otro1_Y))*Inflación_3</f>
        <v>0</v>
      </c>
      <c r="BA36" s="101">
        <f>SUMIFS('9'!$E:$E,'9'!$A:$A,Año_Inicial+2,'9'!$B:$B,'12'!AZ$4,'9'!$D:$D,"Otro insumo 1*")</f>
        <v>0</v>
      </c>
      <c r="BB36" s="101">
        <f>((A3_A_L25*Otro1_A)+(A3_B_L25*Otro1_B)+(A3_C_L25*Otro1_C)+(A3_D_L25*Otro1_D)+(A3_Y_L25*Otro1_Y))*Inflación_3</f>
        <v>0</v>
      </c>
      <c r="BC36" s="101">
        <f>SUMIFS('9'!$E:$E,'9'!$A:$A,Año_Inicial+2,'9'!$B:$B,'12'!BB$4,'9'!$D:$D,"Otro insumo 1*")</f>
        <v>0</v>
      </c>
      <c r="BD36" s="101">
        <f>((A3_A_L26*Otro1_A)+(A3_B_L26*Otro1_B)+(A3_C_L26*Otro1_C)+(A3_D_L26*Otro1_D)+(A3_Y_L26*Otro1_Y))*Inflación_3</f>
        <v>0</v>
      </c>
      <c r="BE36" s="101">
        <f>SUMIFS('9'!$E:$E,'9'!$A:$A,Año_Inicial+2,'9'!$B:$B,'12'!BD$4,'9'!$D:$D,"Otro insumo 1*")</f>
        <v>0</v>
      </c>
      <c r="BF36" s="101">
        <f>((A3_A_L27*Otro1_A)+(A3_B_L27*Otro1_B)+(A3_C_L27*Otro1_C)+(A3_D_L27*Otro1_D)+(A3_Y_L27*Otro1_Y))*Inflación_3</f>
        <v>0</v>
      </c>
      <c r="BG36" s="101">
        <f>SUMIFS('9'!$E:$E,'9'!$A:$A,Año_Inicial+2,'9'!$B:$B,'12'!BF$4,'9'!$D:$D,"Otro insumo 1*")</f>
        <v>0</v>
      </c>
      <c r="BH36" s="101">
        <f>((A3_A_L28*Otro1_A)+(A3_B_L28*Otro1_B)+(A3_C_L28*Otro1_C)+(A3_D_L28*Otro1_D)+(A3_Y_L28*Otro1_Y))*Inflación_3</f>
        <v>0</v>
      </c>
      <c r="BI36" s="101">
        <f>SUMIFS('9'!$E:$E,'9'!$A:$A,Año_Inicial+2,'9'!$B:$B,'12'!BH$4,'9'!$D:$D,"Otro insumo 1*")</f>
        <v>0</v>
      </c>
      <c r="BJ36" s="101">
        <f>((A3_A_L29*Otro1_A)+(A3_B_L29*Otro1_B)+(A3_C_L29*Otro1_C)+(A3_D_L29*Otro1_D)+(A3_Y_L29*Otro1_Y))*Inflación_3</f>
        <v>0</v>
      </c>
      <c r="BK36" s="101">
        <f>SUMIFS('9'!$E:$E,'9'!$A:$A,Año_Inicial+2,'9'!$B:$B,'12'!BJ$4,'9'!$D:$D,"Otro insumo 1*")</f>
        <v>0</v>
      </c>
      <c r="BL36" s="101">
        <f>((A3_A_L30*Otro1_A)+(A3_B_L30*Otro1_B)+(A3_C_L30*Otro1_C)+(A3_D_L30*Otro1_D)+(A3_Y_L30*Otro1_Y))*Inflación_3</f>
        <v>0</v>
      </c>
      <c r="BM36" s="101">
        <f>SUMIFS('9'!$E:$E,'9'!$A:$A,Año_Inicial+2,'9'!$B:$B,'12'!BL$4,'9'!$D:$D,"Otro insumo 1*")</f>
        <v>0</v>
      </c>
      <c r="BN36" s="101">
        <f>((A3_A_L31*Otro1_A)+(A3_B_L31*Otro1_B)+(A3_C_L31*Otro1_C)+(A3_D_L31*Otro1_D)+(A3_Y_L31*Otro1_Y))*Inflación_3</f>
        <v>0</v>
      </c>
      <c r="BO36" s="101">
        <f>SUMIFS('9'!$E:$E,'9'!$A:$A,Año_Inicial+2,'9'!$B:$B,'12'!BN$4,'9'!$D:$D,"Otro insumo 1*")</f>
        <v>0</v>
      </c>
      <c r="BP36" s="101">
        <f>((A3_A_L32*Otro1_A)+(A3_B_L32*Otro1_B)+(A3_C_L32*Otro1_C)+(A3_D_L32*Otro1_D)+(A3_Y_L32*Otro1_Y))*Inflación_3</f>
        <v>0</v>
      </c>
      <c r="BQ36" s="101">
        <f>SUMIFS('9'!$E:$E,'9'!$A:$A,Año_Inicial+2,'9'!$B:$B,'12'!BP$4,'9'!$D:$D,"Otro insumo 1*")</f>
        <v>0</v>
      </c>
      <c r="BR36" s="101">
        <f>((A3_A_L33*Otro1_A)+(A3_B_L33*Otro1_B)+(A3_C_L33*Otro1_C)+(A3_D_L33*Otro1_D)+(A3_Y_L33*Otro1_Y))*Inflación_3</f>
        <v>0</v>
      </c>
      <c r="BS36" s="101">
        <f>SUMIFS('9'!$E:$E,'9'!$A:$A,Año_Inicial+2,'9'!$B:$B,'12'!BR$4,'9'!$D:$D,"Otro insumo 1*")</f>
        <v>0</v>
      </c>
      <c r="BT36" s="101">
        <f>((A3_A_L34*Otro1_A)+(A3_B_L34*Otro1_B)+(A3_C_L34*Otro1_C)+(A3_D_L34*Otro1_D)+(A3_Y_L34*Otro1_Y))*Inflación_3</f>
        <v>0</v>
      </c>
      <c r="BU36" s="101">
        <f>SUMIFS('9'!$E:$E,'9'!$A:$A,Año_Inicial+2,'9'!$B:$B,'12'!BT$4,'9'!$D:$D,"Otro insumo 1*")</f>
        <v>0</v>
      </c>
      <c r="BV36" s="101">
        <f>((A3_A_L35*Otro1_A)+(A3_B_L35*Otro1_B)+(A3_C_L35*Otro1_C)+(A3_D_L35*Otro1_D)+(A3_Y_L35*Otro1_Y))*Inflación_3</f>
        <v>0</v>
      </c>
      <c r="BW36" s="101">
        <f>SUMIFS('9'!$E:$E,'9'!$A:$A,Año_Inicial+2,'9'!$B:$B,'12'!BV$4,'9'!$D:$D,"Otro insumo 1*")</f>
        <v>0</v>
      </c>
      <c r="BX36" s="101">
        <f>((A3_A_L36*Otro1_A)+(A3_B_L36*Otro1_B)+(A3_C_L36*Otro1_C)+(A3_D_L36*Otro1_D)+(A3_Y_L36*Otro1_Y))*Inflación_3</f>
        <v>0</v>
      </c>
      <c r="BY36" s="101">
        <f>SUMIFS('9'!$E:$E,'9'!$A:$A,Año_Inicial+2,'9'!$B:$B,'12'!BX$4,'9'!$D:$D,"Otro insumo 1*")</f>
        <v>0</v>
      </c>
      <c r="BZ36" s="101">
        <f>((A3_A_L37*Otro1_A)+(A3_B_L37*Otro1_B)+(A3_C_L37*Otro1_C)+(A3_D_L37*Otro1_D)+(A3_Y_L37*Otro1_Y))*Inflación_3</f>
        <v>0</v>
      </c>
      <c r="CA36" s="101">
        <f>SUMIFS('9'!$E:$E,'9'!$A:$A,Año_Inicial+2,'9'!$B:$B,'12'!BZ$4,'9'!$D:$D,"Otro insumo 1*")</f>
        <v>0</v>
      </c>
      <c r="CB36" s="101">
        <f>((A3_A_L38*Otro1_A)+(A3_B_L38*Otro1_B)+(A3_C_L38*Otro1_C)+(A3_D_L38*Otro1_D)+(A3_Y_L38*Otro1_Y))*Inflación_3</f>
        <v>0</v>
      </c>
      <c r="CC36" s="101">
        <f>SUMIFS('9'!$E:$E,'9'!$A:$A,Año_Inicial+2,'9'!$B:$B,'12'!CB$4,'9'!$D:$D,"Otro insumo 1*")</f>
        <v>0</v>
      </c>
      <c r="CD36" s="101">
        <f>((A3_A_L39*Otro1_A)+(A3_B_L39*Otro1_B)+(A3_C_L39*Otro1_C)+(A3_D_L39*Otro1_D)+(A3_Y_L39*Otro1_Y))*Inflación_3</f>
        <v>0</v>
      </c>
      <c r="CE36" s="101">
        <f>SUMIFS('9'!$E:$E,'9'!$A:$A,Año_Inicial+2,'9'!$B:$B,'12'!CD$4,'9'!$D:$D,"Otro insumo 1*")</f>
        <v>0</v>
      </c>
      <c r="CF36" s="101">
        <f>((A3_A_L40*Otro1_A)+(A3_B_L40*Otro1_B)+(A3_C_L40*Otro1_C)+(A3_D_L40*Otro1_D)+(A3_Y_L40*Otro1_Y))*Inflación_3</f>
        <v>0</v>
      </c>
      <c r="CG36" s="101">
        <f>SUMIFS('9'!$E:$E,'9'!$A:$A,Año_Inicial+2,'9'!$B:$B,'12'!CF$4,'9'!$D:$D,"Otro insumo 1*")</f>
        <v>0</v>
      </c>
      <c r="CH36" s="473"/>
      <c r="CI36" s="101">
        <f>Plantas_A_A3*Otro1_A*Inflación_3</f>
        <v>0</v>
      </c>
      <c r="CJ36" s="101">
        <f>Plantas_B_A3*Otro1_B</f>
        <v>0</v>
      </c>
      <c r="CK36" s="101">
        <f>Plantas_C_A3*Otro1_C</f>
        <v>0</v>
      </c>
      <c r="CL36" s="101">
        <f>Plantas_D_A3*Otro1_D</f>
        <v>0</v>
      </c>
      <c r="CM36" s="101"/>
      <c r="CN36" s="101">
        <f>Plantas_Y_A3*Otro1_Y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SUMIFS('9'!$E:$E,'9'!$A:$A,Año_Inicial+2,'9'!$D:$D,"Otro insumo 2*")</f>
        <v>0</v>
      </c>
      <c r="D37" s="100">
        <f t="shared" si="45"/>
        <v>0</v>
      </c>
      <c r="E37" s="490"/>
      <c r="F37" s="101">
        <f>((A3_A_L1*Otro2_A)+(A3_B_L1*Otro2_B)+(A3_C_L1*Otro2_C)+(A3_D_L1*Otro2_D)+(A3_Y_L1*Otro2_Y))*Inflación_3</f>
        <v>0</v>
      </c>
      <c r="G37" s="101">
        <f>SUMIFS('9'!$E:$E,'9'!$A:$A,Año_Inicial+2,'9'!$B:$B,'12'!F$4,'9'!$D:$D,"Otro insumo 2*")</f>
        <v>0</v>
      </c>
      <c r="H37" s="101">
        <f>((A3_A_L2*Otro2_A)+(A3_B_L2*Otro2_B)+(A3_C_L2*Otro2_C)+(A3_D_L2*Otro2_D)+(A3_Y_L2*Otro2_Y))*Inflación_3</f>
        <v>0</v>
      </c>
      <c r="I37" s="101">
        <f>SUMIFS('9'!$E:$E,'9'!$A:$A,Año_Inicial+2,'9'!$B:$B,'12'!H$4,'9'!$D:$D,"Otro insumo 2*")</f>
        <v>0</v>
      </c>
      <c r="J37" s="101">
        <f>((A3_A_L3*Otro2_A)+(A3_B_L3*Otro2_B)+(A3_C_L3*Otro2_C)+(A3_D_L3*Otro2_D)+(A3_Y_L3*Otro2_Y))*Inflación_3</f>
        <v>0</v>
      </c>
      <c r="K37" s="101">
        <f>SUMIFS('9'!$E:$E,'9'!$A:$A,Año_Inicial+2,'9'!$B:$B,'12'!J$4,'9'!$D:$D,"Otro insumo 2*")</f>
        <v>0</v>
      </c>
      <c r="L37" s="101">
        <f>((A3_A_L4*Otro2_A)+(A3_B_L4*Otro2_B)+(A3_C_L4*Otro2_C)+(A3_D_L4*Otro2_D)+(A3_Y_L4*Otro2_Y))*Inflación_3</f>
        <v>0</v>
      </c>
      <c r="M37" s="101">
        <f>SUMIFS('9'!$E:$E,'9'!$A:$A,Año_Inicial+2,'9'!$B:$B,'12'!L$4,'9'!$D:$D,"Otro insumo 2*")</f>
        <v>0</v>
      </c>
      <c r="N37" s="101">
        <f>((A3_A_L5*Otro2_A)+(A3_B_L5*Otro2_B)+(A3_C_L5*Otro2_C)+(A3_D_L5*Otro2_D)+(A3_Y_L5*Otro2_Y))*Inflación_3</f>
        <v>0</v>
      </c>
      <c r="O37" s="101">
        <f>SUMIFS('9'!$E:$E,'9'!$A:$A,Año_Inicial+2,'9'!$B:$B,'12'!N$4,'9'!$D:$D,"Otro insumo 2*")</f>
        <v>0</v>
      </c>
      <c r="P37" s="101">
        <f>((A3_A_L6*Otro2_A)+(A3_B_L6*Otro2_B)+(A3_C_L6*Otro2_C)+(A3_D_L6*Otro2_D)+(A3_Y_L6*Otro2_Y))*Inflación_3</f>
        <v>0</v>
      </c>
      <c r="Q37" s="101">
        <f>SUMIFS('9'!$E:$E,'9'!$A:$A,Año_Inicial+2,'9'!$B:$B,'12'!P$4,'9'!$D:$D,"Otro insumo 2*")</f>
        <v>0</v>
      </c>
      <c r="R37" s="101">
        <f>((A3_A_L7*Otro2_A)+(A3_B_L7*Otro2_B)+(A3_C_L7*Otro2_C)+(A3_D_L7*Otro2_D)+(A3_Y_L7*Otro2_Y))*Inflación_3</f>
        <v>0</v>
      </c>
      <c r="S37" s="101">
        <f>SUMIFS('9'!$E:$E,'9'!$A:$A,Año_Inicial+2,'9'!$B:$B,'12'!R$4,'9'!$D:$D,"Otro insumo 2*")</f>
        <v>0</v>
      </c>
      <c r="T37" s="101">
        <f>((A3_A_L8*Otro2_A)+(A3_B_L8*Otro2_B)+(A3_C_L8*Otro2_C)+(A3_D_L8*Otro2_D)+(A3_Y_L8*Otro2_Y))*Inflación_3</f>
        <v>0</v>
      </c>
      <c r="U37" s="101">
        <f>SUMIFS('9'!$E:$E,'9'!$A:$A,Año_Inicial+2,'9'!$B:$B,'12'!T$4,'9'!$D:$D,"Otro insumo 2*")</f>
        <v>0</v>
      </c>
      <c r="V37" s="101">
        <f>((A3_A_L9*Otro2_A)+(A3_B_L9*Otro2_B)+(A3_C_L9*Otro2_C)+(A3_D_L9*Otro2_D)+(A3_Y_L9*Otro2_Y))*Inflación_3</f>
        <v>0</v>
      </c>
      <c r="W37" s="101">
        <f>SUMIFS('9'!$E:$E,'9'!$A:$A,Año_Inicial+2,'9'!$B:$B,'12'!V$4,'9'!$D:$D,"Otro insumo 2*")</f>
        <v>0</v>
      </c>
      <c r="X37" s="101">
        <f>((A3_A_L10*Otro2_A)+(A3_B_L10*Otro2_B)+(A3_C_L10*Otro2_C)+(A3_D_L10*Otro2_D)+(A3_Y_L10*Otro2_Y))*Inflación_3</f>
        <v>0</v>
      </c>
      <c r="Y37" s="101">
        <f>SUMIFS('9'!$E:$E,'9'!$A:$A,Año_Inicial+2,'9'!$B:$B,'12'!X$4,'9'!$D:$D,"Otro insumo 2*")</f>
        <v>0</v>
      </c>
      <c r="Z37" s="101">
        <f>((A3_A_L11*Otro2_A)+(A3_B_L11*Otro2_B)+(A3_C_L11*Otro2_C)+(A3_D_L11*Otro2_D)+(A3_Y_L11*Otro2_Y))*Inflación_3</f>
        <v>0</v>
      </c>
      <c r="AA37" s="101">
        <f>SUMIFS('9'!$E:$E,'9'!$A:$A,Año_Inicial+2,'9'!$B:$B,'12'!Z$4,'9'!$D:$D,"Otro insumo 2*")</f>
        <v>0</v>
      </c>
      <c r="AB37" s="101">
        <f>((A3_A_L12*Otro2_A)+(A3_B_L12*Otro2_B)+(A3_C_L12*Otro2_C)+(A3_D_L12*Otro2_D)+(A3_Y_L12*Otro2_Y))*Inflación_3</f>
        <v>0</v>
      </c>
      <c r="AC37" s="101">
        <f>SUMIFS('9'!$E:$E,'9'!$A:$A,Año_Inicial+2,'9'!$B:$B,'12'!AB$4,'9'!$D:$D,"Otro insumo 2*")</f>
        <v>0</v>
      </c>
      <c r="AD37" s="101">
        <f>((A3_A_L13*Otro2_A)+(A3_B_L13*Otro2_B)+(A3_C_L13*Otro2_C)+(A3_D_L13*Otro2_D)+(A3_Y_L13*Otro2_Y))*Inflación_3</f>
        <v>0</v>
      </c>
      <c r="AE37" s="101">
        <f>SUMIFS('9'!$E:$E,'9'!$A:$A,Año_Inicial+2,'9'!$B:$B,'12'!AD$4,'9'!$D:$D,"Otro insumo 2*")</f>
        <v>0</v>
      </c>
      <c r="AF37" s="101">
        <f>((A3_A_L14*Otro2_A)+(A3_B_L14*Otro2_B)+(A3_C_L14*Otro2_C)+(A3_D_L14*Otro2_D)+(A3_Y_L14*Otro2_Y))*Inflación_3</f>
        <v>0</v>
      </c>
      <c r="AG37" s="101">
        <f>SUMIFS('9'!$E:$E,'9'!$A:$A,Año_Inicial+2,'9'!$B:$B,'12'!AF$4,'9'!$D:$D,"Otro insumo 2*")</f>
        <v>0</v>
      </c>
      <c r="AH37" s="101">
        <f>((A3_A_L15*Otro2_A)+(A3_B_L15*Otro2_B)+(A3_C_L15*Otro2_C)+(A3_D_L15*Otro2_D)+(A3_Y_L15*Otro2_Y))*Inflación_3</f>
        <v>0</v>
      </c>
      <c r="AI37" s="101">
        <f>SUMIFS('9'!$E:$E,'9'!$A:$A,Año_Inicial+2,'9'!$B:$B,'12'!AH$4,'9'!$D:$D,"Otro insumo 2*")</f>
        <v>0</v>
      </c>
      <c r="AJ37" s="101">
        <f>((A3_A_L16*Otro2_A)+(A3_B_L16*Otro2_B)+(A3_C_L16*Otro2_C)+(A3_D_L16*Otro2_D)+(A3_Y_L16*Otro2_Y))*Inflación_3</f>
        <v>0</v>
      </c>
      <c r="AK37" s="101">
        <f>SUMIFS('9'!$E:$E,'9'!$A:$A,Año_Inicial+2,'9'!$B:$B,'12'!AJ$4,'9'!$D:$D,"Otro insumo 2*")</f>
        <v>0</v>
      </c>
      <c r="AL37" s="101">
        <f>((A3_A_L17*Otro2_A)+(A3_B_L17*Otro2_B)+(A3_C_L17*Otro2_C)+(A3_D_L17*Otro2_D)+(A3_Y_L17*Otro2_Y))*Inflación_3</f>
        <v>0</v>
      </c>
      <c r="AM37" s="101">
        <f>SUMIFS('9'!$E:$E,'9'!$A:$A,Año_Inicial+2,'9'!$B:$B,'12'!AL$4,'9'!$D:$D,"Otro insumo 2*")</f>
        <v>0</v>
      </c>
      <c r="AN37" s="101">
        <f>((A3_A_L18*Otro2_A)+(A3_B_L18*Otro2_B)+(A3_C_L18*Otro2_C)+(A3_D_L18*Otro2_D)+(A3_Y_L18*Otro2_Y))*Inflación_3</f>
        <v>0</v>
      </c>
      <c r="AO37" s="101">
        <f>SUMIFS('9'!$E:$E,'9'!$A:$A,Año_Inicial+2,'9'!$B:$B,'12'!AN$4,'9'!$D:$D,"Otro insumo 2*")</f>
        <v>0</v>
      </c>
      <c r="AP37" s="101">
        <f>((A3_A_L19*Otro2_A)+(A3_B_L19*Otro2_B)+(A3_C_L19*Otro2_C)+(A3_D_L19*Otro2_D)+(A3_Y_L19*Otro2_Y))*Inflación_3</f>
        <v>0</v>
      </c>
      <c r="AQ37" s="101">
        <f>SUMIFS('9'!$E:$E,'9'!$A:$A,Año_Inicial+2,'9'!$B:$B,'12'!AP$4,'9'!$D:$D,"Otro insumo 2*")</f>
        <v>0</v>
      </c>
      <c r="AR37" s="101">
        <f>((A3_A_L20*Otro2_A)+(A3_B_L20*Otro2_B)+(A3_C_L20*Otro2_C)+(A3_D_L20*Otro2_D)+(A3_Y_L20*Otro2_Y))*Inflación_3</f>
        <v>0</v>
      </c>
      <c r="AS37" s="101">
        <f>SUMIFS('9'!$E:$E,'9'!$A:$A,Año_Inicial+2,'9'!$B:$B,'12'!AR$4,'9'!$D:$D,"Otro insumo 2*")</f>
        <v>0</v>
      </c>
      <c r="AT37" s="101">
        <f>((A3_A_L21*Otro2_A)+(A3_B_L21*Otro2_B)+(A3_C_L21*Otro2_C)+(A3_D_L21*Otro2_D)+(A3_Y_L21*Otro2_Y))*Inflación_3</f>
        <v>0</v>
      </c>
      <c r="AU37" s="101">
        <f>SUMIFS('9'!$E:$E,'9'!$A:$A,Año_Inicial+2,'9'!$B:$B,'12'!AT$4,'9'!$D:$D,"Otro insumo 2*")</f>
        <v>0</v>
      </c>
      <c r="AV37" s="101">
        <f>((A3_A_L22*Otro2_A)+(A3_B_L22*Otro2_B)+(A3_C_L22*Otro2_C)+(A3_D_L22*Otro2_D)+(A3_Y_L22*Otro2_Y))*Inflación_3</f>
        <v>0</v>
      </c>
      <c r="AW37" s="101">
        <f>SUMIFS('9'!$E:$E,'9'!$A:$A,Año_Inicial+2,'9'!$B:$B,'12'!AV$4,'9'!$D:$D,"Otro insumo 2*")</f>
        <v>0</v>
      </c>
      <c r="AX37" s="101">
        <f>((A3_A_L23*Otro2_A)+(A3_B_L23*Otro2_B)+(A3_C_L23*Otro2_C)+(A3_D_L23*Otro2_D)+(A3_Y_L23*Otro2_Y))*Inflación_3</f>
        <v>0</v>
      </c>
      <c r="AY37" s="101">
        <f>SUMIFS('9'!$E:$E,'9'!$A:$A,Año_Inicial+2,'9'!$B:$B,'12'!AX$4,'9'!$D:$D,"Otro insumo 2*")</f>
        <v>0</v>
      </c>
      <c r="AZ37" s="101">
        <f>((A3_A_L24*Otro2_A)+(A3_B_L24*Otro2_B)+(A3_C_L24*Otro2_C)+(A3_D_L24*Otro2_D)+(A3_Y_L24*Otro2_Y))*Inflación_3</f>
        <v>0</v>
      </c>
      <c r="BA37" s="101">
        <f>SUMIFS('9'!$E:$E,'9'!$A:$A,Año_Inicial+2,'9'!$B:$B,'12'!AZ$4,'9'!$D:$D,"Otro insumo 2*")</f>
        <v>0</v>
      </c>
      <c r="BB37" s="101">
        <f>((A3_A_L25*Otro2_A)+(A3_B_L25*Otro2_B)+(A3_C_L25*Otro2_C)+(A3_D_L25*Otro2_D)+(A3_Y_L25*Otro2_Y))*Inflación_3</f>
        <v>0</v>
      </c>
      <c r="BC37" s="101">
        <f>SUMIFS('9'!$E:$E,'9'!$A:$A,Año_Inicial+2,'9'!$B:$B,'12'!BB$4,'9'!$D:$D,"Otro insumo 2*")</f>
        <v>0</v>
      </c>
      <c r="BD37" s="101">
        <f>((A3_A_L26*Otro2_A)+(A3_B_L26*Otro2_B)+(A3_C_L26*Otro2_C)+(A3_D_L26*Otro2_D)+(A3_Y_L26*Otro2_Y))*Inflación_3</f>
        <v>0</v>
      </c>
      <c r="BE37" s="101">
        <f>SUMIFS('9'!$E:$E,'9'!$A:$A,Año_Inicial+2,'9'!$B:$B,'12'!BD$4,'9'!$D:$D,"Otro insumo 2*")</f>
        <v>0</v>
      </c>
      <c r="BF37" s="101">
        <f>((A3_A_L27*Otro2_A)+(A3_B_L27*Otro2_B)+(A3_C_L27*Otro2_C)+(A3_D_L27*Otro2_D)+(A3_Y_L27*Otro2_Y))*Inflación_3</f>
        <v>0</v>
      </c>
      <c r="BG37" s="101">
        <f>SUMIFS('9'!$E:$E,'9'!$A:$A,Año_Inicial+2,'9'!$B:$B,'12'!BF$4,'9'!$D:$D,"Otro insumo 2*")</f>
        <v>0</v>
      </c>
      <c r="BH37" s="101">
        <f>((A3_A_L28*Otro2_A)+(A3_B_L28*Otro2_B)+(A3_C_L28*Otro2_C)+(A3_D_L28*Otro2_D)+(A3_Y_L28*Otro2_Y))*Inflación_3</f>
        <v>0</v>
      </c>
      <c r="BI37" s="101">
        <f>SUMIFS('9'!$E:$E,'9'!$A:$A,Año_Inicial+2,'9'!$B:$B,'12'!BH$4,'9'!$D:$D,"Otro insumo 2*")</f>
        <v>0</v>
      </c>
      <c r="BJ37" s="101">
        <f>((A3_A_L29*Otro2_A)+(A3_B_L29*Otro2_B)+(A3_C_L29*Otro2_C)+(A3_D_L29*Otro2_D)+(A3_Y_L29*Otro2_Y))*Inflación_3</f>
        <v>0</v>
      </c>
      <c r="BK37" s="101">
        <f>SUMIFS('9'!$E:$E,'9'!$A:$A,Año_Inicial+2,'9'!$B:$B,'12'!BJ$4,'9'!$D:$D,"Otro insumo 2*")</f>
        <v>0</v>
      </c>
      <c r="BL37" s="101">
        <f>((A3_A_L30*Otro2_A)+(A3_B_L30*Otro2_B)+(A3_C_L30*Otro2_C)+(A3_D_L30*Otro2_D)+(A3_Y_L30*Otro2_Y))*Inflación_3</f>
        <v>0</v>
      </c>
      <c r="BM37" s="101">
        <f>SUMIFS('9'!$E:$E,'9'!$A:$A,Año_Inicial+2,'9'!$B:$B,'12'!BL$4,'9'!$D:$D,"Otro insumo 2*")</f>
        <v>0</v>
      </c>
      <c r="BN37" s="101">
        <f>((A3_A_L31*Otro2_A)+(A3_B_L31*Otro2_B)+(A3_C_L31*Otro2_C)+(A3_D_L31*Otro2_D)+(A3_Y_L31*Otro2_Y))*Inflación_3</f>
        <v>0</v>
      </c>
      <c r="BO37" s="101">
        <f>SUMIFS('9'!$E:$E,'9'!$A:$A,Año_Inicial+2,'9'!$B:$B,'12'!BN$4,'9'!$D:$D,"Otro insumo 2*")</f>
        <v>0</v>
      </c>
      <c r="BP37" s="101">
        <f>((A3_A_L32*Otro2_A)+(A3_B_L32*Otro2_B)+(A3_C_L32*Otro2_C)+(A3_D_L32*Otro2_D)+(A3_Y_L32*Otro2_Y))*Inflación_3</f>
        <v>0</v>
      </c>
      <c r="BQ37" s="101">
        <f>SUMIFS('9'!$E:$E,'9'!$A:$A,Año_Inicial+2,'9'!$B:$B,'12'!BP$4,'9'!$D:$D,"Otro insumo 2*")</f>
        <v>0</v>
      </c>
      <c r="BR37" s="101">
        <f>((A3_A_L33*Otro2_A)+(A3_B_L33*Otro2_B)+(A3_C_L33*Otro2_C)+(A3_D_L33*Otro2_D)+(A3_Y_L33*Otro2_Y))*Inflación_3</f>
        <v>0</v>
      </c>
      <c r="BS37" s="101">
        <f>SUMIFS('9'!$E:$E,'9'!$A:$A,Año_Inicial+2,'9'!$B:$B,'12'!BR$4,'9'!$D:$D,"Otro insumo 2*")</f>
        <v>0</v>
      </c>
      <c r="BT37" s="101">
        <f>((A3_A_L34*Otro2_A)+(A3_B_L34*Otro2_B)+(A3_C_L34*Otro2_C)+(A3_D_L34*Otro2_D)+(A3_Y_L34*Otro2_Y))*Inflación_3</f>
        <v>0</v>
      </c>
      <c r="BU37" s="101">
        <f>SUMIFS('9'!$E:$E,'9'!$A:$A,Año_Inicial+2,'9'!$B:$B,'12'!BT$4,'9'!$D:$D,"Otro insumo 2*")</f>
        <v>0</v>
      </c>
      <c r="BV37" s="101">
        <f>((A3_A_L35*Otro2_A)+(A3_B_L35*Otro2_B)+(A3_C_L35*Otro2_C)+(A3_D_L35*Otro2_D)+(A3_Y_L35*Otro2_Y))*Inflación_3</f>
        <v>0</v>
      </c>
      <c r="BW37" s="101">
        <f>SUMIFS('9'!$E:$E,'9'!$A:$A,Año_Inicial+2,'9'!$B:$B,'12'!BV$4,'9'!$D:$D,"Otro insumo 2*")</f>
        <v>0</v>
      </c>
      <c r="BX37" s="101">
        <f>((A3_A_L36*Otro2_A)+(A3_B_L36*Otro2_B)+(A3_C_L36*Otro2_C)+(A3_D_L36*Otro2_D)+(A3_Y_L36*Otro2_Y))*Inflación_3</f>
        <v>0</v>
      </c>
      <c r="BY37" s="101">
        <f>SUMIFS('9'!$E:$E,'9'!$A:$A,Año_Inicial+2,'9'!$B:$B,'12'!BX$4,'9'!$D:$D,"Otro insumo 2*")</f>
        <v>0</v>
      </c>
      <c r="BZ37" s="101">
        <f>((A3_A_L37*Otro2_A)+(A3_B_L37*Otro2_B)+(A3_C_L37*Otro2_C)+(A3_D_L37*Otro2_D)+(A3_Y_L37*Otro2_Y))*Inflación_3</f>
        <v>0</v>
      </c>
      <c r="CA37" s="101">
        <f>SUMIFS('9'!$E:$E,'9'!$A:$A,Año_Inicial+2,'9'!$B:$B,'12'!BZ$4,'9'!$D:$D,"Otro insumo 2*")</f>
        <v>0</v>
      </c>
      <c r="CB37" s="101">
        <f>((A3_A_L38*Otro2_A)+(A3_B_L38*Otro2_B)+(A3_C_L38*Otro2_C)+(A3_D_L38*Otro2_D)+(A3_Y_L38*Otro2_Y))*Inflación_3</f>
        <v>0</v>
      </c>
      <c r="CC37" s="101">
        <f>SUMIFS('9'!$E:$E,'9'!$A:$A,Año_Inicial+2,'9'!$B:$B,'12'!CB$4,'9'!$D:$D,"Otro insumo 2*")</f>
        <v>0</v>
      </c>
      <c r="CD37" s="101">
        <f>((A3_A_L39*Otro2_A)+(A3_B_L39*Otro2_B)+(A3_C_L39*Otro2_C)+(A3_D_L39*Otro2_D)+(A3_Y_L39*Otro2_Y))*Inflación_3</f>
        <v>0</v>
      </c>
      <c r="CE37" s="101">
        <f>SUMIFS('9'!$E:$E,'9'!$A:$A,Año_Inicial+2,'9'!$B:$B,'12'!CD$4,'9'!$D:$D,"Otro insumo 2*")</f>
        <v>0</v>
      </c>
      <c r="CF37" s="101">
        <f>((A3_A_L40*Otro2_A)+(A3_B_L40*Otro2_B)+(A3_C_L40*Otro2_C)+(A3_D_L40*Otro2_D)+(A3_Y_L40*Otro2_Y))*Inflación_3</f>
        <v>0</v>
      </c>
      <c r="CG37" s="101">
        <f>SUMIFS('9'!$E:$E,'9'!$A:$A,Año_Inicial+2,'9'!$B:$B,'12'!CF$4,'9'!$D:$D,"Otro insumo 2*")</f>
        <v>0</v>
      </c>
      <c r="CH37" s="473"/>
      <c r="CI37" s="101">
        <f>Plantas_A_A3*Otro2_A*Inflación_3</f>
        <v>0</v>
      </c>
      <c r="CJ37" s="101">
        <f>Plantas_B_A3*Otro2_B</f>
        <v>0</v>
      </c>
      <c r="CK37" s="101">
        <f>Plantas_C_A3*Otro2_C</f>
        <v>0</v>
      </c>
      <c r="CL37" s="101">
        <f>Plantas_D_A3*Otro2_D</f>
        <v>0</v>
      </c>
      <c r="CM37" s="101"/>
      <c r="CN37" s="101">
        <f>Plantas_Y_A3*Otro2_Y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SUMIFS('9'!$E:$E,'9'!$A:$A,Año_Inicial+2,'9'!$D:$D,"Otro insumo 3*")</f>
        <v>0</v>
      </c>
      <c r="D38" s="100">
        <f t="shared" si="45"/>
        <v>0</v>
      </c>
      <c r="E38" s="490"/>
      <c r="F38" s="101">
        <f>((A3_A_L1*Otro3_A)+(A3_B_L1*Otro3_B)+(A3_C_L1*Otro3_C)+(A3_D_L1*Otro3_D)+(A3_Y_L1*Otro3_Y))*Inflación_3</f>
        <v>0</v>
      </c>
      <c r="G38" s="101">
        <f>SUMIFS('9'!$E:$E,'9'!$A:$A,Año_Inicial+2,'9'!$B:$B,'12'!F$4,'9'!$D:$D,"Otro insumo 3*")</f>
        <v>0</v>
      </c>
      <c r="H38" s="101">
        <f>((A3_A_L2*Otro3_A)+(A3_B_L2*Otro3_B)+(A3_C_L2*Otro3_C)+(A3_D_L2*Otro3_D)+(A3_Y_L2*Otro3_Y))*Inflación_3</f>
        <v>0</v>
      </c>
      <c r="I38" s="101">
        <f>SUMIFS('9'!$E:$E,'9'!$A:$A,Año_Inicial+2,'9'!$B:$B,'12'!H$4,'9'!$D:$D,"Otro insumo 3*")</f>
        <v>0</v>
      </c>
      <c r="J38" s="101">
        <f>((A3_A_L3*Otro3_A)+(A3_B_L3*Otro3_B)+(A3_C_L3*Otro3_C)+(A3_D_L3*Otro3_D)+(A3_Y_L3*Otro3_Y))*Inflación_3</f>
        <v>0</v>
      </c>
      <c r="K38" s="101">
        <f>SUMIFS('9'!$E:$E,'9'!$A:$A,Año_Inicial+2,'9'!$B:$B,'12'!J$4,'9'!$D:$D,"Otro insumo 3*")</f>
        <v>0</v>
      </c>
      <c r="L38" s="101">
        <f>((A3_A_L4*Otro3_A)+(A3_B_L4*Otro3_B)+(A3_C_L4*Otro3_C)+(A3_D_L4*Otro3_D)+(A3_Y_L4*Otro3_Y))*Inflación_3</f>
        <v>0</v>
      </c>
      <c r="M38" s="101">
        <f>SUMIFS('9'!$E:$E,'9'!$A:$A,Año_Inicial+2,'9'!$B:$B,'12'!L$4,'9'!$D:$D,"Otro insumo 3*")</f>
        <v>0</v>
      </c>
      <c r="N38" s="101">
        <f>((A3_A_L5*Otro3_A)+(A3_B_L5*Otro3_B)+(A3_C_L5*Otro3_C)+(A3_D_L5*Otro3_D)+(A3_Y_L5*Otro3_Y))*Inflación_3</f>
        <v>0</v>
      </c>
      <c r="O38" s="101">
        <f>SUMIFS('9'!$E:$E,'9'!$A:$A,Año_Inicial+2,'9'!$B:$B,'12'!N$4,'9'!$D:$D,"Otro insumo 3*")</f>
        <v>0</v>
      </c>
      <c r="P38" s="101">
        <f>((A3_A_L6*Otro3_A)+(A3_B_L6*Otro3_B)+(A3_C_L6*Otro3_C)+(A3_D_L6*Otro3_D)+(A3_Y_L6*Otro3_Y))*Inflación_3</f>
        <v>0</v>
      </c>
      <c r="Q38" s="101">
        <f>SUMIFS('9'!$E:$E,'9'!$A:$A,Año_Inicial+2,'9'!$B:$B,'12'!P$4,'9'!$D:$D,"Otro insumo 3*")</f>
        <v>0</v>
      </c>
      <c r="R38" s="101">
        <f>((A3_A_L7*Otro3_A)+(A3_B_L7*Otro3_B)+(A3_C_L7*Otro3_C)+(A3_D_L7*Otro3_D)+(A3_Y_L7*Otro3_Y))*Inflación_3</f>
        <v>0</v>
      </c>
      <c r="S38" s="101">
        <f>SUMIFS('9'!$E:$E,'9'!$A:$A,Año_Inicial+2,'9'!$B:$B,'12'!R$4,'9'!$D:$D,"Otro insumo 3*")</f>
        <v>0</v>
      </c>
      <c r="T38" s="101">
        <f>((A3_A_L8*Otro3_A)+(A3_B_L8*Otro3_B)+(A3_C_L8*Otro3_C)+(A3_D_L8*Otro3_D)+(A3_Y_L8*Otro3_Y))*Inflación_3</f>
        <v>0</v>
      </c>
      <c r="U38" s="101">
        <f>SUMIFS('9'!$E:$E,'9'!$A:$A,Año_Inicial+2,'9'!$B:$B,'12'!T$4,'9'!$D:$D,"Otro insumo 3*")</f>
        <v>0</v>
      </c>
      <c r="V38" s="101">
        <f>((A3_A_L9*Otro3_A)+(A3_B_L9*Otro3_B)+(A3_C_L9*Otro3_C)+(A3_D_L9*Otro3_D)+(A3_Y_L9*Otro3_Y))*Inflación_3</f>
        <v>0</v>
      </c>
      <c r="W38" s="101">
        <f>SUMIFS('9'!$E:$E,'9'!$A:$A,Año_Inicial+2,'9'!$B:$B,'12'!V$4,'9'!$D:$D,"Otro insumo 3*")</f>
        <v>0</v>
      </c>
      <c r="X38" s="101">
        <f>((A3_A_L10*Otro3_A)+(A3_B_L10*Otro3_B)+(A3_C_L10*Otro3_C)+(A3_D_L10*Otro3_D)+(A3_Y_L10*Otro3_Y))*Inflación_3</f>
        <v>0</v>
      </c>
      <c r="Y38" s="101">
        <f>SUMIFS('9'!$E:$E,'9'!$A:$A,Año_Inicial+2,'9'!$B:$B,'12'!X$4,'9'!$D:$D,"Otro insumo 3*")</f>
        <v>0</v>
      </c>
      <c r="Z38" s="101">
        <f>((A3_A_L11*Otro3_A)+(A3_B_L11*Otro3_B)+(A3_C_L11*Otro3_C)+(A3_D_L11*Otro3_D)+(A3_Y_L11*Otro3_Y))*Inflación_3</f>
        <v>0</v>
      </c>
      <c r="AA38" s="101">
        <f>SUMIFS('9'!$E:$E,'9'!$A:$A,Año_Inicial+2,'9'!$B:$B,'12'!Z$4,'9'!$D:$D,"Otro insumo 3*")</f>
        <v>0</v>
      </c>
      <c r="AB38" s="101">
        <f>((A3_A_L12*Otro3_A)+(A3_B_L12*Otro3_B)+(A3_C_L12*Otro3_C)+(A3_D_L12*Otro3_D)+(A3_Y_L12*Otro3_Y))*Inflación_3</f>
        <v>0</v>
      </c>
      <c r="AC38" s="101">
        <f>SUMIFS('9'!$E:$E,'9'!$A:$A,Año_Inicial+2,'9'!$B:$B,'12'!AB$4,'9'!$D:$D,"Otro insumo 3*")</f>
        <v>0</v>
      </c>
      <c r="AD38" s="101">
        <f>((A3_A_L13*Otro3_A)+(A3_B_L13*Otro3_B)+(A3_C_L13*Otro3_C)+(A3_D_L13*Otro3_D)+(A3_Y_L13*Otro3_Y))*Inflación_3</f>
        <v>0</v>
      </c>
      <c r="AE38" s="101">
        <f>SUMIFS('9'!$E:$E,'9'!$A:$A,Año_Inicial+2,'9'!$B:$B,'12'!AD$4,'9'!$D:$D,"Otro insumo 3*")</f>
        <v>0</v>
      </c>
      <c r="AF38" s="101">
        <f>((A3_A_L14*Otro3_A)+(A3_B_L14*Otro3_B)+(A3_C_L14*Otro3_C)+(A3_D_L14*Otro3_D)+(A3_Y_L14*Otro3_Y))*Inflación_3</f>
        <v>0</v>
      </c>
      <c r="AG38" s="101">
        <f>SUMIFS('9'!$E:$E,'9'!$A:$A,Año_Inicial+2,'9'!$B:$B,'12'!AF$4,'9'!$D:$D,"Otro insumo 3*")</f>
        <v>0</v>
      </c>
      <c r="AH38" s="101">
        <f>((A3_A_L15*Otro3_A)+(A3_B_L15*Otro3_B)+(A3_C_L15*Otro3_C)+(A3_D_L15*Otro3_D)+(A3_Y_L15*Otro3_Y))*Inflación_3</f>
        <v>0</v>
      </c>
      <c r="AI38" s="101">
        <f>SUMIFS('9'!$E:$E,'9'!$A:$A,Año_Inicial+2,'9'!$B:$B,'12'!AH$4,'9'!$D:$D,"Otro insumo 3*")</f>
        <v>0</v>
      </c>
      <c r="AJ38" s="101">
        <f>((A3_A_L16*Otro3_A)+(A3_B_L16*Otro3_B)+(A3_C_L16*Otro3_C)+(A3_D_L16*Otro3_D)+(A3_Y_L16*Otro3_Y))*Inflación_3</f>
        <v>0</v>
      </c>
      <c r="AK38" s="101">
        <f>SUMIFS('9'!$E:$E,'9'!$A:$A,Año_Inicial+2,'9'!$B:$B,'12'!AJ$4,'9'!$D:$D,"Otro insumo 3*")</f>
        <v>0</v>
      </c>
      <c r="AL38" s="101">
        <f>((A3_A_L17*Otro3_A)+(A3_B_L17*Otro3_B)+(A3_C_L17*Otro3_C)+(A3_D_L17*Otro3_D)+(A3_Y_L17*Otro3_Y))*Inflación_3</f>
        <v>0</v>
      </c>
      <c r="AM38" s="101">
        <f>SUMIFS('9'!$E:$E,'9'!$A:$A,Año_Inicial+2,'9'!$B:$B,'12'!AL$4,'9'!$D:$D,"Otro insumo 3*")</f>
        <v>0</v>
      </c>
      <c r="AN38" s="101">
        <f>((A3_A_L18*Otro3_A)+(A3_B_L18*Otro3_B)+(A3_C_L18*Otro3_C)+(A3_D_L18*Otro3_D)+(A3_Y_L18*Otro3_Y))*Inflación_3</f>
        <v>0</v>
      </c>
      <c r="AO38" s="101">
        <f>SUMIFS('9'!$E:$E,'9'!$A:$A,Año_Inicial+2,'9'!$B:$B,'12'!AN$4,'9'!$D:$D,"Otro insumo 3*")</f>
        <v>0</v>
      </c>
      <c r="AP38" s="101">
        <f>((A3_A_L19*Otro3_A)+(A3_B_L19*Otro3_B)+(A3_C_L19*Otro3_C)+(A3_D_L19*Otro3_D)+(A3_Y_L19*Otro3_Y))*Inflación_3</f>
        <v>0</v>
      </c>
      <c r="AQ38" s="101">
        <f>SUMIFS('9'!$E:$E,'9'!$A:$A,Año_Inicial+2,'9'!$B:$B,'12'!AP$4,'9'!$D:$D,"Otro insumo 3*")</f>
        <v>0</v>
      </c>
      <c r="AR38" s="101">
        <f>((A3_A_L20*Otro3_A)+(A3_B_L20*Otro3_B)+(A3_C_L20*Otro3_C)+(A3_D_L20*Otro3_D)+(A3_Y_L20*Otro3_Y))*Inflación_3</f>
        <v>0</v>
      </c>
      <c r="AS38" s="101">
        <f>SUMIFS('9'!$E:$E,'9'!$A:$A,Año_Inicial+2,'9'!$B:$B,'12'!AR$4,'9'!$D:$D,"Otro insumo 3*")</f>
        <v>0</v>
      </c>
      <c r="AT38" s="101">
        <f>((A3_A_L21*Otro3_A)+(A3_B_L21*Otro3_B)+(A3_C_L21*Otro3_C)+(A3_D_L21*Otro3_D)+(A3_Y_L21*Otro3_Y))*Inflación_3</f>
        <v>0</v>
      </c>
      <c r="AU38" s="101">
        <f>SUMIFS('9'!$E:$E,'9'!$A:$A,Año_Inicial+2,'9'!$B:$B,'12'!AT$4,'9'!$D:$D,"Otro insumo 3*")</f>
        <v>0</v>
      </c>
      <c r="AV38" s="101">
        <f>((A3_A_L22*Otro3_A)+(A3_B_L22*Otro3_B)+(A3_C_L22*Otro3_C)+(A3_D_L22*Otro3_D)+(A3_Y_L22*Otro3_Y))*Inflación_3</f>
        <v>0</v>
      </c>
      <c r="AW38" s="101">
        <f>SUMIFS('9'!$E:$E,'9'!$A:$A,Año_Inicial+2,'9'!$B:$B,'12'!AV$4,'9'!$D:$D,"Otro insumo 3*")</f>
        <v>0</v>
      </c>
      <c r="AX38" s="101">
        <f>((A3_A_L23*Otro3_A)+(A3_B_L23*Otro3_B)+(A3_C_L23*Otro3_C)+(A3_D_L23*Otro3_D)+(A3_Y_L23*Otro3_Y))*Inflación_3</f>
        <v>0</v>
      </c>
      <c r="AY38" s="101">
        <f>SUMIFS('9'!$E:$E,'9'!$A:$A,Año_Inicial+2,'9'!$B:$B,'12'!AX$4,'9'!$D:$D,"Otro insumo 3*")</f>
        <v>0</v>
      </c>
      <c r="AZ38" s="101">
        <f>((A3_A_L24*Otro3_A)+(A3_B_L24*Otro3_B)+(A3_C_L24*Otro3_C)+(A3_D_L24*Otro3_D)+(A3_Y_L24*Otro3_Y))*Inflación_3</f>
        <v>0</v>
      </c>
      <c r="BA38" s="101">
        <f>SUMIFS('9'!$E:$E,'9'!$A:$A,Año_Inicial+2,'9'!$B:$B,'12'!AZ$4,'9'!$D:$D,"Otro insumo 3*")</f>
        <v>0</v>
      </c>
      <c r="BB38" s="101">
        <f>((A3_A_L25*Otro3_A)+(A3_B_L25*Otro3_B)+(A3_C_L25*Otro3_C)+(A3_D_L25*Otro3_D)+(A3_Y_L25*Otro3_Y))*Inflación_3</f>
        <v>0</v>
      </c>
      <c r="BC38" s="101">
        <f>SUMIFS('9'!$E:$E,'9'!$A:$A,Año_Inicial+2,'9'!$B:$B,'12'!BB$4,'9'!$D:$D,"Otro insumo 3*")</f>
        <v>0</v>
      </c>
      <c r="BD38" s="101">
        <f>((A3_A_L26*Otro3_A)+(A3_B_L26*Otro3_B)+(A3_C_L26*Otro3_C)+(A3_D_L26*Otro3_D)+(A3_Y_L26*Otro3_Y))*Inflación_3</f>
        <v>0</v>
      </c>
      <c r="BE38" s="101">
        <f>SUMIFS('9'!$E:$E,'9'!$A:$A,Año_Inicial+2,'9'!$B:$B,'12'!BD$4,'9'!$D:$D,"Otro insumo 3*")</f>
        <v>0</v>
      </c>
      <c r="BF38" s="101">
        <f>((A3_A_L27*Otro3_A)+(A3_B_L27*Otro3_B)+(A3_C_L27*Otro3_C)+(A3_D_L27*Otro3_D)+(A3_Y_L27*Otro3_Y))*Inflación_3</f>
        <v>0</v>
      </c>
      <c r="BG38" s="101">
        <f>SUMIFS('9'!$E:$E,'9'!$A:$A,Año_Inicial+2,'9'!$B:$B,'12'!BF$4,'9'!$D:$D,"Otro insumo 3*")</f>
        <v>0</v>
      </c>
      <c r="BH38" s="101">
        <f>((A3_A_L28*Otro3_A)+(A3_B_L28*Otro3_B)+(A3_C_L28*Otro3_C)+(A3_D_L28*Otro3_D)+(A3_Y_L28*Otro3_Y))*Inflación_3</f>
        <v>0</v>
      </c>
      <c r="BI38" s="101">
        <f>SUMIFS('9'!$E:$E,'9'!$A:$A,Año_Inicial+2,'9'!$B:$B,'12'!BH$4,'9'!$D:$D,"Otro insumo 3*")</f>
        <v>0</v>
      </c>
      <c r="BJ38" s="101">
        <f>((A3_A_L29*Otro3_A)+(A3_B_L29*Otro3_B)+(A3_C_L29*Otro3_C)+(A3_D_L29*Otro3_D)+(A3_Y_L29*Otro3_Y))*Inflación_3</f>
        <v>0</v>
      </c>
      <c r="BK38" s="101">
        <f>SUMIFS('9'!$E:$E,'9'!$A:$A,Año_Inicial+2,'9'!$B:$B,'12'!BJ$4,'9'!$D:$D,"Otro insumo 3*")</f>
        <v>0</v>
      </c>
      <c r="BL38" s="101">
        <f>((A3_A_L30*Otro3_A)+(A3_B_L30*Otro3_B)+(A3_C_L30*Otro3_C)+(A3_D_L30*Otro3_D)+(A3_Y_L30*Otro3_Y))*Inflación_3</f>
        <v>0</v>
      </c>
      <c r="BM38" s="101">
        <f>SUMIFS('9'!$E:$E,'9'!$A:$A,Año_Inicial+2,'9'!$B:$B,'12'!BL$4,'9'!$D:$D,"Otro insumo 3*")</f>
        <v>0</v>
      </c>
      <c r="BN38" s="101">
        <f>((A3_A_L31*Otro3_A)+(A3_B_L31*Otro3_B)+(A3_C_L31*Otro3_C)+(A3_D_L31*Otro3_D)+(A3_Y_L31*Otro3_Y))*Inflación_3</f>
        <v>0</v>
      </c>
      <c r="BO38" s="101">
        <f>SUMIFS('9'!$E:$E,'9'!$A:$A,Año_Inicial+2,'9'!$B:$B,'12'!BN$4,'9'!$D:$D,"Otro insumo 3*")</f>
        <v>0</v>
      </c>
      <c r="BP38" s="101">
        <f>((A3_A_L32*Otro3_A)+(A3_B_L32*Otro3_B)+(A3_C_L32*Otro3_C)+(A3_D_L32*Otro3_D)+(A3_Y_L32*Otro3_Y))*Inflación_3</f>
        <v>0</v>
      </c>
      <c r="BQ38" s="101">
        <f>SUMIFS('9'!$E:$E,'9'!$A:$A,Año_Inicial+2,'9'!$B:$B,'12'!BP$4,'9'!$D:$D,"Otro insumo 3*")</f>
        <v>0</v>
      </c>
      <c r="BR38" s="101">
        <f>((A3_A_L33*Otro3_A)+(A3_B_L33*Otro3_B)+(A3_C_L33*Otro3_C)+(A3_D_L33*Otro3_D)+(A3_Y_L33*Otro3_Y))*Inflación_3</f>
        <v>0</v>
      </c>
      <c r="BS38" s="101">
        <f>SUMIFS('9'!$E:$E,'9'!$A:$A,Año_Inicial+2,'9'!$B:$B,'12'!BR$4,'9'!$D:$D,"Otro insumo 3*")</f>
        <v>0</v>
      </c>
      <c r="BT38" s="101">
        <f>((A3_A_L34*Otro3_A)+(A3_B_L34*Otro3_B)+(A3_C_L34*Otro3_C)+(A3_D_L34*Otro3_D)+(A3_Y_L34*Otro3_Y))*Inflación_3</f>
        <v>0</v>
      </c>
      <c r="BU38" s="101">
        <f>SUMIFS('9'!$E:$E,'9'!$A:$A,Año_Inicial+2,'9'!$B:$B,'12'!BT$4,'9'!$D:$D,"Otro insumo 3*")</f>
        <v>0</v>
      </c>
      <c r="BV38" s="101">
        <f>((A3_A_L35*Otro3_A)+(A3_B_L35*Otro3_B)+(A3_C_L35*Otro3_C)+(A3_D_L35*Otro3_D)+(A3_Y_L35*Otro3_Y))*Inflación_3</f>
        <v>0</v>
      </c>
      <c r="BW38" s="101">
        <f>SUMIFS('9'!$E:$E,'9'!$A:$A,Año_Inicial+2,'9'!$B:$B,'12'!BV$4,'9'!$D:$D,"Otro insumo 3*")</f>
        <v>0</v>
      </c>
      <c r="BX38" s="101">
        <f>((A3_A_L36*Otro3_A)+(A3_B_L36*Otro3_B)+(A3_C_L36*Otro3_C)+(A3_D_L36*Otro3_D)+(A3_Y_L36*Otro3_Y))*Inflación_3</f>
        <v>0</v>
      </c>
      <c r="BY38" s="101">
        <f>SUMIFS('9'!$E:$E,'9'!$A:$A,Año_Inicial+2,'9'!$B:$B,'12'!BX$4,'9'!$D:$D,"Otro insumo 3*")</f>
        <v>0</v>
      </c>
      <c r="BZ38" s="101">
        <f>((A3_A_L37*Otro3_A)+(A3_B_L37*Otro3_B)+(A3_C_L37*Otro3_C)+(A3_D_L37*Otro3_D)+(A3_Y_L37*Otro3_Y))*Inflación_3</f>
        <v>0</v>
      </c>
      <c r="CA38" s="101">
        <f>SUMIFS('9'!$E:$E,'9'!$A:$A,Año_Inicial+2,'9'!$B:$B,'12'!BZ$4,'9'!$D:$D,"Otro insumo 3*")</f>
        <v>0</v>
      </c>
      <c r="CB38" s="101">
        <f>((A3_A_L38*Otro3_A)+(A3_B_L38*Otro3_B)+(A3_C_L38*Otro3_C)+(A3_D_L38*Otro3_D)+(A3_Y_L38*Otro3_Y))*Inflación_3</f>
        <v>0</v>
      </c>
      <c r="CC38" s="101">
        <f>SUMIFS('9'!$E:$E,'9'!$A:$A,Año_Inicial+2,'9'!$B:$B,'12'!CB$4,'9'!$D:$D,"Otro insumo 3*")</f>
        <v>0</v>
      </c>
      <c r="CD38" s="101">
        <f>((A3_A_L39*Otro3_A)+(A3_B_L39*Otro3_B)+(A3_C_L39*Otro3_C)+(A3_D_L39*Otro3_D)+(A3_Y_L39*Otro3_Y))*Inflación_3</f>
        <v>0</v>
      </c>
      <c r="CE38" s="101">
        <f>SUMIFS('9'!$E:$E,'9'!$A:$A,Año_Inicial+2,'9'!$B:$B,'12'!CD$4,'9'!$D:$D,"Otro insumo 3*")</f>
        <v>0</v>
      </c>
      <c r="CF38" s="101">
        <f>((A3_A_L40*Otro3_A)+(A3_B_L40*Otro3_B)+(A3_C_L40*Otro3_C)+(A3_D_L40*Otro3_D)+(A3_Y_L40*Otro3_Y))*Inflación_3</f>
        <v>0</v>
      </c>
      <c r="CG38" s="101">
        <f>SUMIFS('9'!$E:$E,'9'!$A:$A,Año_Inicial+2,'9'!$B:$B,'12'!CF$4,'9'!$D:$D,"Otro insumo 3*")</f>
        <v>0</v>
      </c>
      <c r="CH38" s="473"/>
      <c r="CI38" s="101">
        <f>Plantas_A_A3*Otro3_A*Inflación_3</f>
        <v>0</v>
      </c>
      <c r="CJ38" s="101">
        <f>Plantas_B_A3*Otro3_B</f>
        <v>0</v>
      </c>
      <c r="CK38" s="101">
        <f>Plantas_C_A3*Otro3_C</f>
        <v>0</v>
      </c>
      <c r="CL38" s="101">
        <f>Plantas_D_A3*Otro3_D</f>
        <v>0</v>
      </c>
      <c r="CM38" s="101"/>
      <c r="CN38" s="101">
        <f>Plantas_Y_A3*Otro3_Y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90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SUMIFS('9'!$E:$E,'9'!$A:$A,Año_Inicial+2,'9'!$D:$D,"Corte")</f>
        <v>0</v>
      </c>
      <c r="D40" s="100">
        <f t="shared" si="45"/>
        <v>0</v>
      </c>
      <c r="E40" s="490"/>
      <c r="F40" s="101">
        <f>P_A3_L1*CUI_Corte*Inflación_3</f>
        <v>0</v>
      </c>
      <c r="G40" s="101">
        <f>SUMIFS('9'!$E:$E,'9'!$A:$A,Año_Inicial+2,'9'!$B:$B,'12'!F$4,'9'!$D:$D,"Corte")</f>
        <v>0</v>
      </c>
      <c r="H40" s="101">
        <f>P_A3_L2*CUI_Corte*Inflación_3</f>
        <v>0</v>
      </c>
      <c r="I40" s="101">
        <f>SUMIFS('9'!$E:$E,'9'!$A:$A,Año_Inicial+2,'9'!$B:$B,'12'!H$4,'9'!$D:$D,"Corte")</f>
        <v>0</v>
      </c>
      <c r="J40" s="101">
        <f>P_A3_L3*CUI_Corte*Inflación_3</f>
        <v>0</v>
      </c>
      <c r="K40" s="101">
        <f>SUMIFS('9'!$E:$E,'9'!$A:$A,Año_Inicial+2,'9'!$B:$B,'12'!J$4,'9'!$D:$D,"Corte")</f>
        <v>0</v>
      </c>
      <c r="L40" s="101">
        <f>P_A3_L4*CUI_Corte*Inflación_3</f>
        <v>0</v>
      </c>
      <c r="M40" s="101">
        <f>SUMIFS('9'!$E:$E,'9'!$A:$A,Año_Inicial+2,'9'!$B:$B,'12'!L$4,'9'!$D:$D,"Corte")</f>
        <v>0</v>
      </c>
      <c r="N40" s="101">
        <f>P_A3_L5*CUI_Corte*Inflación_3</f>
        <v>0</v>
      </c>
      <c r="O40" s="101">
        <f>SUMIFS('9'!$E:$E,'9'!$A:$A,Año_Inicial+2,'9'!$B:$B,'12'!N$4,'9'!$D:$D,"Corte")</f>
        <v>0</v>
      </c>
      <c r="P40" s="101">
        <f>P_A3_L6*CUI_Corte*Inflación_3</f>
        <v>0</v>
      </c>
      <c r="Q40" s="101">
        <f>SUMIFS('9'!$E:$E,'9'!$A:$A,Año_Inicial+2,'9'!$B:$B,'12'!P$4,'9'!$D:$D,"Corte")</f>
        <v>0</v>
      </c>
      <c r="R40" s="101">
        <f>P_A3_L7*CUI_Corte*Inflación_3</f>
        <v>0</v>
      </c>
      <c r="S40" s="101">
        <f>SUMIFS('9'!$E:$E,'9'!$A:$A,Año_Inicial+2,'9'!$B:$B,'12'!R$4,'9'!$D:$D,"Corte")</f>
        <v>0</v>
      </c>
      <c r="T40" s="101">
        <f>P_A3_L8*CUI_Corte*Inflación_3</f>
        <v>0</v>
      </c>
      <c r="U40" s="101">
        <f>SUMIFS('9'!$E:$E,'9'!$A:$A,Año_Inicial+2,'9'!$B:$B,'12'!T$4,'9'!$D:$D,"Corte")</f>
        <v>0</v>
      </c>
      <c r="V40" s="101">
        <f>P_A3_L9*CUI_Corte*Inflación_3</f>
        <v>0</v>
      </c>
      <c r="W40" s="101">
        <f>SUMIFS('9'!$E:$E,'9'!$A:$A,Año_Inicial+2,'9'!$B:$B,'12'!V$4,'9'!$D:$D,"Corte")</f>
        <v>0</v>
      </c>
      <c r="X40" s="101">
        <f>P_A3_L10*CUI_Corte*Inflación_3</f>
        <v>0</v>
      </c>
      <c r="Y40" s="101">
        <f>SUMIFS('9'!$E:$E,'9'!$A:$A,Año_Inicial+2,'9'!$B:$B,'12'!X$4,'9'!$D:$D,"Corte")</f>
        <v>0</v>
      </c>
      <c r="Z40" s="101">
        <f>P_A3_L11*CUI_Corte*Inflación_3</f>
        <v>0</v>
      </c>
      <c r="AA40" s="101">
        <f>SUMIFS('9'!$E:$E,'9'!$A:$A,Año_Inicial+2,'9'!$B:$B,'12'!Z$4,'9'!$D:$D,"Corte")</f>
        <v>0</v>
      </c>
      <c r="AB40" s="101">
        <f>P_A3_L12*CUI_Corte*Inflación_3</f>
        <v>0</v>
      </c>
      <c r="AC40" s="101">
        <f>SUMIFS('9'!$E:$E,'9'!$A:$A,Año_Inicial+2,'9'!$B:$B,'12'!AB$4,'9'!$D:$D,"Corte")</f>
        <v>0</v>
      </c>
      <c r="AD40" s="101">
        <f>P_A3_L13*CUI_Corte*Inflación_3</f>
        <v>0</v>
      </c>
      <c r="AE40" s="101">
        <f>SUMIFS('9'!$E:$E,'9'!$A:$A,Año_Inicial+2,'9'!$B:$B,'12'!AD$4,'9'!$D:$D,"Corte")</f>
        <v>0</v>
      </c>
      <c r="AF40" s="101">
        <f>P_A3_L14*CUI_Corte*Inflación_3</f>
        <v>0</v>
      </c>
      <c r="AG40" s="101">
        <f>SUMIFS('9'!$E:$E,'9'!$A:$A,Año_Inicial+2,'9'!$B:$B,'12'!AF$4,'9'!$D:$D,"Corte")</f>
        <v>0</v>
      </c>
      <c r="AH40" s="101">
        <f>P_A3_L15*CUI_Corte*Inflación_3</f>
        <v>0</v>
      </c>
      <c r="AI40" s="101">
        <f>SUMIFS('9'!$E:$E,'9'!$A:$A,Año_Inicial+2,'9'!$B:$B,'12'!AH$4,'9'!$D:$D,"Corte")</f>
        <v>0</v>
      </c>
      <c r="AJ40" s="101">
        <f>P_A3_L16*CUI_Corte*Inflación_3</f>
        <v>0</v>
      </c>
      <c r="AK40" s="101">
        <f>SUMIFS('9'!$E:$E,'9'!$A:$A,Año_Inicial+2,'9'!$B:$B,'12'!AJ$4,'9'!$D:$D,"Corte")</f>
        <v>0</v>
      </c>
      <c r="AL40" s="101">
        <f>P_A3_L17*CUI_Corte*Inflación_3</f>
        <v>0</v>
      </c>
      <c r="AM40" s="101">
        <f>SUMIFS('9'!$E:$E,'9'!$A:$A,Año_Inicial+2,'9'!$B:$B,'12'!AL$4,'9'!$D:$D,"Corte")</f>
        <v>0</v>
      </c>
      <c r="AN40" s="101">
        <f>P_A3_L18*CUI_Corte*Inflación_3</f>
        <v>0</v>
      </c>
      <c r="AO40" s="101">
        <f>SUMIFS('9'!$E:$E,'9'!$A:$A,Año_Inicial+2,'9'!$B:$B,'12'!AN$4,'9'!$D:$D,"Corte")</f>
        <v>0</v>
      </c>
      <c r="AP40" s="101">
        <f>P_A3_L19*CUI_Corte*Inflación_3</f>
        <v>0</v>
      </c>
      <c r="AQ40" s="101">
        <f>SUMIFS('9'!$E:$E,'9'!$A:$A,Año_Inicial+2,'9'!$B:$B,'12'!AP$4,'9'!$D:$D,"Corte")</f>
        <v>0</v>
      </c>
      <c r="AR40" s="101">
        <f>P_A3_L20*CUI_Corte*Inflación_3</f>
        <v>0</v>
      </c>
      <c r="AS40" s="101">
        <f>SUMIFS('9'!$E:$E,'9'!$A:$A,Año_Inicial+2,'9'!$B:$B,'12'!AR$4,'9'!$D:$D,"Corte")</f>
        <v>0</v>
      </c>
      <c r="AT40" s="101">
        <f>P_A3_L21*CUI_Corte*Inflación_3</f>
        <v>0</v>
      </c>
      <c r="AU40" s="101">
        <f>SUMIFS('9'!$E:$E,'9'!$A:$A,Año_Inicial+2,'9'!$B:$B,'12'!AT$4,'9'!$D:$D,"Corte")</f>
        <v>0</v>
      </c>
      <c r="AV40" s="101">
        <f>P_A3_L22*CUI_Corte*Inflación_3</f>
        <v>0</v>
      </c>
      <c r="AW40" s="101">
        <f>SUMIFS('9'!$E:$E,'9'!$A:$A,Año_Inicial+2,'9'!$B:$B,'12'!AV$4,'9'!$D:$D,"Corte")</f>
        <v>0</v>
      </c>
      <c r="AX40" s="101">
        <f>P_A3_L23*CUI_Corte*Inflación_3</f>
        <v>0</v>
      </c>
      <c r="AY40" s="101">
        <f>SUMIFS('9'!$E:$E,'9'!$A:$A,Año_Inicial+2,'9'!$B:$B,'12'!AX$4,'9'!$D:$D,"Corte")</f>
        <v>0</v>
      </c>
      <c r="AZ40" s="101">
        <f>P_A3_L24*CUI_Corte*Inflación_3</f>
        <v>0</v>
      </c>
      <c r="BA40" s="101">
        <f>SUMIFS('9'!$E:$E,'9'!$A:$A,Año_Inicial+2,'9'!$B:$B,'12'!AZ$4,'9'!$D:$D,"Corte")</f>
        <v>0</v>
      </c>
      <c r="BB40" s="101">
        <f>P_A3_L25*CUI_Corte*Inflación_3</f>
        <v>0</v>
      </c>
      <c r="BC40" s="101">
        <f>SUMIFS('9'!$E:$E,'9'!$A:$A,Año_Inicial+2,'9'!$B:$B,'12'!BB$4,'9'!$D:$D,"Corte")</f>
        <v>0</v>
      </c>
      <c r="BD40" s="101">
        <f>P_A3_L26*CUI_Corte*Inflación_3</f>
        <v>0</v>
      </c>
      <c r="BE40" s="101">
        <f>SUMIFS('9'!$E:$E,'9'!$A:$A,Año_Inicial+2,'9'!$B:$B,'12'!BD$4,'9'!$D:$D,"Corte")</f>
        <v>0</v>
      </c>
      <c r="BF40" s="101">
        <f>P_A3_L27*CUI_Corte*Inflación_3</f>
        <v>0</v>
      </c>
      <c r="BG40" s="101">
        <f>SUMIFS('9'!$E:$E,'9'!$A:$A,Año_Inicial+2,'9'!$B:$B,'12'!BF$4,'9'!$D:$D,"Corte")</f>
        <v>0</v>
      </c>
      <c r="BH40" s="101">
        <f>P_A3_L28*CUI_Corte*Inflación_3</f>
        <v>0</v>
      </c>
      <c r="BI40" s="101">
        <f>SUMIFS('9'!$E:$E,'9'!$A:$A,Año_Inicial+2,'9'!$B:$B,'12'!BH$4,'9'!$D:$D,"Corte")</f>
        <v>0</v>
      </c>
      <c r="BJ40" s="101">
        <f>P_A3_L29*CUI_Corte*Inflación_3</f>
        <v>0</v>
      </c>
      <c r="BK40" s="101">
        <f>SUMIFS('9'!$E:$E,'9'!$A:$A,Año_Inicial+2,'9'!$B:$B,'12'!BJ$4,'9'!$D:$D,"Corte")</f>
        <v>0</v>
      </c>
      <c r="BL40" s="101">
        <f>P_A3_L30*CUI_Corte*Inflación_3</f>
        <v>0</v>
      </c>
      <c r="BM40" s="101">
        <f>SUMIFS('9'!$E:$E,'9'!$A:$A,Año_Inicial+2,'9'!$B:$B,'12'!BL$4,'9'!$D:$D,"Corte")</f>
        <v>0</v>
      </c>
      <c r="BN40" s="101">
        <f>P_A3_L31*CUI_Corte*Inflación_3</f>
        <v>0</v>
      </c>
      <c r="BO40" s="101">
        <f>SUMIFS('9'!$E:$E,'9'!$A:$A,Año_Inicial+2,'9'!$B:$B,'12'!BN$4,'9'!$D:$D,"Corte")</f>
        <v>0</v>
      </c>
      <c r="BP40" s="101">
        <f>P_A3_L32*CUI_Corte*Inflación_3</f>
        <v>0</v>
      </c>
      <c r="BQ40" s="101">
        <f>SUMIFS('9'!$E:$E,'9'!$A:$A,Año_Inicial+2,'9'!$B:$B,'12'!BP$4,'9'!$D:$D,"Corte")</f>
        <v>0</v>
      </c>
      <c r="BR40" s="101">
        <f>P_A3_L33*CUI_Corte*Inflación_3</f>
        <v>0</v>
      </c>
      <c r="BS40" s="101">
        <f>SUMIFS('9'!$E:$E,'9'!$A:$A,Año_Inicial+2,'9'!$B:$B,'12'!BR$4,'9'!$D:$D,"Corte")</f>
        <v>0</v>
      </c>
      <c r="BT40" s="101">
        <f>P_A3_L34*CUI_Corte*Inflación_3</f>
        <v>0</v>
      </c>
      <c r="BU40" s="101">
        <f>SUMIFS('9'!$E:$E,'9'!$A:$A,Año_Inicial+2,'9'!$B:$B,'12'!BT$4,'9'!$D:$D,"Corte")</f>
        <v>0</v>
      </c>
      <c r="BV40" s="101">
        <f>P_A3_L35*CUI_Corte*Inflación_3</f>
        <v>0</v>
      </c>
      <c r="BW40" s="101">
        <f>SUMIFS('9'!$E:$E,'9'!$A:$A,Año_Inicial+2,'9'!$B:$B,'12'!BV$4,'9'!$D:$D,"Corte")</f>
        <v>0</v>
      </c>
      <c r="BX40" s="101">
        <f>P_A3_L36*CUI_Corte*Inflación_3</f>
        <v>0</v>
      </c>
      <c r="BY40" s="101">
        <f>SUMIFS('9'!$E:$E,'9'!$A:$A,Año_Inicial+2,'9'!$B:$B,'12'!BX$4,'9'!$D:$D,"Corte")</f>
        <v>0</v>
      </c>
      <c r="BZ40" s="101">
        <f>P_A3_L37*CUI_Corte*Inflación_3</f>
        <v>0</v>
      </c>
      <c r="CA40" s="101">
        <f>SUMIFS('9'!$E:$E,'9'!$A:$A,Año_Inicial+2,'9'!$B:$B,'12'!BZ$4,'9'!$D:$D,"Corte")</f>
        <v>0</v>
      </c>
      <c r="CB40" s="101">
        <f>P_A3_L38*CUI_Corte*Inflación_3</f>
        <v>0</v>
      </c>
      <c r="CC40" s="101">
        <f>SUMIFS('9'!$E:$E,'9'!$A:$A,Año_Inicial+2,'9'!$B:$B,'12'!CB$4,'9'!$D:$D,"Corte")</f>
        <v>0</v>
      </c>
      <c r="CD40" s="101">
        <f>P_A3_L39*CUI_Corte*Inflación_3</f>
        <v>0</v>
      </c>
      <c r="CE40" s="101">
        <f>SUMIFS('9'!$E:$E,'9'!$A:$A,Año_Inicial+2,'9'!$B:$B,'12'!CD$4,'9'!$D:$D,"Corte")</f>
        <v>0</v>
      </c>
      <c r="CF40" s="101">
        <f>P_A3_L40*CUI_Corte*Inflación_3</f>
        <v>0</v>
      </c>
      <c r="CG40" s="101">
        <f>SUMIFS('9'!$E:$E,'9'!$A:$A,Año_Inicial+2,'9'!$B:$B,'12'!CF$4,'9'!$D:$D,"Corte")</f>
        <v>0</v>
      </c>
      <c r="CH40" s="473"/>
      <c r="CI40" s="101">
        <f>CI7*CUI_Corte*Inflación_3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SUMIFS('9'!$E:$E,'9'!$A:$A,Año_Inicial+2,'9'!$D:$D,"Beneficiado")</f>
        <v>0</v>
      </c>
      <c r="D41" s="100" t="e">
        <f t="shared" si="45"/>
        <v>#DIV/0!</v>
      </c>
      <c r="E41" s="490"/>
      <c r="F41" s="101">
        <f>(P_A3_L1/5)*CUI_Poscosecha*Inflación_3</f>
        <v>0</v>
      </c>
      <c r="G41" s="101">
        <f>SUMIFS('9'!$E:$E,'9'!$A:$A,Año_Inicial+2,'9'!$B:$B,'12'!F$4,'9'!$D:$D,"Beneficiado")</f>
        <v>0</v>
      </c>
      <c r="H41" s="101">
        <f>(P_A3_L2/5)*CUI_Poscosecha*Inflación_3</f>
        <v>0</v>
      </c>
      <c r="I41" s="101">
        <f>SUMIFS('9'!$E:$E,'9'!$A:$A,Año_Inicial+2,'9'!$B:$B,'12'!H$4,'9'!$D:$D,"Beneficiado")</f>
        <v>0</v>
      </c>
      <c r="J41" s="101">
        <f>(P_A3_L3/5)*CUI_Poscosecha*Inflación_3</f>
        <v>0</v>
      </c>
      <c r="K41" s="101">
        <f>SUMIFS('9'!$E:$E,'9'!$A:$A,Año_Inicial+2,'9'!$B:$B,'12'!J$4,'9'!$D:$D,"Beneficiado")</f>
        <v>0</v>
      </c>
      <c r="L41" s="101">
        <f>(P_A3_L4/5)*CUI_Poscosecha*Inflación_3</f>
        <v>0</v>
      </c>
      <c r="M41" s="101">
        <f>SUMIFS('9'!$E:$E,'9'!$A:$A,Año_Inicial+2,'9'!$B:$B,'12'!L$4,'9'!$D:$D,"Beneficiado")</f>
        <v>0</v>
      </c>
      <c r="N41" s="101">
        <f>(P_A3_L5/5)*CUI_Poscosecha*Inflación_3</f>
        <v>0</v>
      </c>
      <c r="O41" s="101">
        <f>SUMIFS('9'!$E:$E,'9'!$A:$A,Año_Inicial+2,'9'!$B:$B,'12'!N$4,'9'!$D:$D,"Beneficiado")</f>
        <v>0</v>
      </c>
      <c r="P41" s="101">
        <f>(P_A3_L6/5)*CUI_Poscosecha*Inflación_3</f>
        <v>0</v>
      </c>
      <c r="Q41" s="101">
        <f>SUMIFS('9'!$E:$E,'9'!$A:$A,Año_Inicial+2,'9'!$B:$B,'12'!P$4,'9'!$D:$D,"Beneficiado")</f>
        <v>0</v>
      </c>
      <c r="R41" s="101">
        <f>(P_A3_L7/5)*CUI_Poscosecha*Inflación_3</f>
        <v>0</v>
      </c>
      <c r="S41" s="101">
        <f>SUMIFS('9'!$E:$E,'9'!$A:$A,Año_Inicial+2,'9'!$B:$B,'12'!R$4,'9'!$D:$D,"Beneficiado")</f>
        <v>0</v>
      </c>
      <c r="T41" s="101">
        <f>(P_A3_L8/5)*CUI_Poscosecha*Inflación_3</f>
        <v>0</v>
      </c>
      <c r="U41" s="101">
        <f>SUMIFS('9'!$E:$E,'9'!$A:$A,Año_Inicial+2,'9'!$B:$B,'12'!T$4,'9'!$D:$D,"Beneficiado")</f>
        <v>0</v>
      </c>
      <c r="V41" s="101">
        <f>(P_A3_L9/5)*CUI_Poscosecha*Inflación_3</f>
        <v>0</v>
      </c>
      <c r="W41" s="101">
        <f>SUMIFS('9'!$E:$E,'9'!$A:$A,Año_Inicial+2,'9'!$B:$B,'12'!V$4,'9'!$D:$D,"Beneficiado")</f>
        <v>0</v>
      </c>
      <c r="X41" s="101">
        <f>(P_A3_L10/5)*CUI_Poscosecha*Inflación_3</f>
        <v>0</v>
      </c>
      <c r="Y41" s="101">
        <f>SUMIFS('9'!$E:$E,'9'!$A:$A,Año_Inicial+2,'9'!$B:$B,'12'!X$4,'9'!$D:$D,"Beneficiado")</f>
        <v>0</v>
      </c>
      <c r="Z41" s="101">
        <f>(P_A3_L11/5)*CUI_Poscosecha*Inflación_3</f>
        <v>0</v>
      </c>
      <c r="AA41" s="101">
        <f>SUMIFS('9'!$E:$E,'9'!$A:$A,Año_Inicial+2,'9'!$B:$B,'12'!Z$4,'9'!$D:$D,"Beneficiado")</f>
        <v>0</v>
      </c>
      <c r="AB41" s="101">
        <f>(P_A3_L12/5)*CUI_Poscosecha*Inflación_3</f>
        <v>0</v>
      </c>
      <c r="AC41" s="101">
        <f>SUMIFS('9'!$E:$E,'9'!$A:$A,Año_Inicial+2,'9'!$B:$B,'12'!AB$4,'9'!$D:$D,"Beneficiado")</f>
        <v>0</v>
      </c>
      <c r="AD41" s="101">
        <f>(P_A3_L13/5)*CUI_Poscosecha*Inflación_3</f>
        <v>0</v>
      </c>
      <c r="AE41" s="101">
        <f>SUMIFS('9'!$E:$E,'9'!$A:$A,Año_Inicial+2,'9'!$B:$B,'12'!AD$4,'9'!$D:$D,"Beneficiado")</f>
        <v>0</v>
      </c>
      <c r="AF41" s="101">
        <f>(P_A3_L14/5)*CUI_Poscosecha*Inflación_3</f>
        <v>0</v>
      </c>
      <c r="AG41" s="101">
        <f>SUMIFS('9'!$E:$E,'9'!$A:$A,Año_Inicial+2,'9'!$B:$B,'12'!AF$4,'9'!$D:$D,"Beneficiado")</f>
        <v>0</v>
      </c>
      <c r="AH41" s="101">
        <f>(P_A3_L15/5)*CUI_Poscosecha*Inflación_3</f>
        <v>0</v>
      </c>
      <c r="AI41" s="101">
        <f>SUMIFS('9'!$E:$E,'9'!$A:$A,Año_Inicial+2,'9'!$B:$B,'12'!AH$4,'9'!$D:$D,"Beneficiado")</f>
        <v>0</v>
      </c>
      <c r="AJ41" s="101">
        <f>(P_A3_L16/5)*CUI_Poscosecha*Inflación_3</f>
        <v>0</v>
      </c>
      <c r="AK41" s="101">
        <f>SUMIFS('9'!$E:$E,'9'!$A:$A,Año_Inicial+2,'9'!$B:$B,'12'!AJ$4,'9'!$D:$D,"Beneficiado")</f>
        <v>0</v>
      </c>
      <c r="AL41" s="101">
        <f>(P_A3_L17/5)*CUI_Poscosecha*Inflación_3</f>
        <v>0</v>
      </c>
      <c r="AM41" s="101">
        <f>SUMIFS('9'!$E:$E,'9'!$A:$A,Año_Inicial+2,'9'!$B:$B,'12'!AL$4,'9'!$D:$D,"Beneficiado")</f>
        <v>0</v>
      </c>
      <c r="AN41" s="101">
        <f>(P_A3_L18/5)*CUI_Poscosecha*Inflación_3</f>
        <v>0</v>
      </c>
      <c r="AO41" s="101">
        <f>SUMIFS('9'!$E:$E,'9'!$A:$A,Año_Inicial+2,'9'!$B:$B,'12'!AN$4,'9'!$D:$D,"Beneficiado")</f>
        <v>0</v>
      </c>
      <c r="AP41" s="101">
        <f>(P_A3_L19/5)*CUI_Poscosecha*Inflación_3</f>
        <v>0</v>
      </c>
      <c r="AQ41" s="101">
        <f>SUMIFS('9'!$E:$E,'9'!$A:$A,Año_Inicial+2,'9'!$B:$B,'12'!AP$4,'9'!$D:$D,"Beneficiado")</f>
        <v>0</v>
      </c>
      <c r="AR41" s="101">
        <f>(P_A3_L20/5)*CUI_Poscosecha*Inflación_3</f>
        <v>0</v>
      </c>
      <c r="AS41" s="101">
        <f>SUMIFS('9'!$E:$E,'9'!$A:$A,Año_Inicial+2,'9'!$B:$B,'12'!AR$4,'9'!$D:$D,"Beneficiado")</f>
        <v>0</v>
      </c>
      <c r="AT41" s="101">
        <f>(P_A3_L21/5)*CUI_Poscosecha*Inflación_3</f>
        <v>0</v>
      </c>
      <c r="AU41" s="101">
        <f>SUMIFS('9'!$E:$E,'9'!$A:$A,Año_Inicial+2,'9'!$B:$B,'12'!AT$4,'9'!$D:$D,"Beneficiado")</f>
        <v>0</v>
      </c>
      <c r="AV41" s="101">
        <f>(P_A3_L22/5)*CUI_Poscosecha*Inflación_3</f>
        <v>0</v>
      </c>
      <c r="AW41" s="101">
        <f>SUMIFS('9'!$E:$E,'9'!$A:$A,Año_Inicial+2,'9'!$B:$B,'12'!AV$4,'9'!$D:$D,"Beneficiado")</f>
        <v>0</v>
      </c>
      <c r="AX41" s="101">
        <f>(P_A3_L23/5)*CUI_Poscosecha*Inflación_3</f>
        <v>0</v>
      </c>
      <c r="AY41" s="101">
        <f>SUMIFS('9'!$E:$E,'9'!$A:$A,Año_Inicial+2,'9'!$B:$B,'12'!AX$4,'9'!$D:$D,"Beneficiado")</f>
        <v>0</v>
      </c>
      <c r="AZ41" s="101">
        <f>(P_A3_L24/5)*CUI_Poscosecha*Inflación_3</f>
        <v>0</v>
      </c>
      <c r="BA41" s="101">
        <f>SUMIFS('9'!$E:$E,'9'!$A:$A,Año_Inicial+2,'9'!$B:$B,'12'!AZ$4,'9'!$D:$D,"Beneficiado")</f>
        <v>0</v>
      </c>
      <c r="BB41" s="101">
        <f>(P_A3_L25/5)*CUI_Poscosecha*Inflación_3</f>
        <v>0</v>
      </c>
      <c r="BC41" s="101">
        <f>SUMIFS('9'!$E:$E,'9'!$A:$A,Año_Inicial+2,'9'!$B:$B,'12'!BB$4,'9'!$D:$D,"Beneficiado")</f>
        <v>0</v>
      </c>
      <c r="BD41" s="101">
        <f>(P_A3_L26/5)*CUI_Poscosecha*Inflación_3</f>
        <v>0</v>
      </c>
      <c r="BE41" s="101">
        <f>SUMIFS('9'!$E:$E,'9'!$A:$A,Año_Inicial+2,'9'!$B:$B,'12'!BD$4,'9'!$D:$D,"Beneficiado")</f>
        <v>0</v>
      </c>
      <c r="BF41" s="101">
        <f>(P_A3_L27/5)*CUI_Poscosecha*Inflación_3</f>
        <v>0</v>
      </c>
      <c r="BG41" s="101">
        <f>SUMIFS('9'!$E:$E,'9'!$A:$A,Año_Inicial+2,'9'!$B:$B,'12'!BF$4,'9'!$D:$D,"Beneficiado")</f>
        <v>0</v>
      </c>
      <c r="BH41" s="101">
        <f>(P_A3_L28/5)*CUI_Poscosecha*Inflación_3</f>
        <v>0</v>
      </c>
      <c r="BI41" s="101">
        <f>SUMIFS('9'!$E:$E,'9'!$A:$A,Año_Inicial+2,'9'!$B:$B,'12'!BH$4,'9'!$D:$D,"Beneficiado")</f>
        <v>0</v>
      </c>
      <c r="BJ41" s="101">
        <f>(P_A3_L29/5)*CUI_Poscosecha*Inflación_3</f>
        <v>0</v>
      </c>
      <c r="BK41" s="101">
        <f>SUMIFS('9'!$E:$E,'9'!$A:$A,Año_Inicial+2,'9'!$B:$B,'12'!BJ$4,'9'!$D:$D,"Beneficiado")</f>
        <v>0</v>
      </c>
      <c r="BL41" s="101">
        <f>(P_A3_L30/5)*CUI_Poscosecha*Inflación_3</f>
        <v>0</v>
      </c>
      <c r="BM41" s="101">
        <f>SUMIFS('9'!$E:$E,'9'!$A:$A,Año_Inicial+2,'9'!$B:$B,'12'!BL$4,'9'!$D:$D,"Beneficiado")</f>
        <v>0</v>
      </c>
      <c r="BN41" s="101">
        <f>(P_A3_L31/5)*CUI_Poscosecha*Inflación_3</f>
        <v>0</v>
      </c>
      <c r="BO41" s="101">
        <f>SUMIFS('9'!$E:$E,'9'!$A:$A,Año_Inicial+2,'9'!$B:$B,'12'!BN$4,'9'!$D:$D,"Beneficiado")</f>
        <v>0</v>
      </c>
      <c r="BP41" s="101">
        <f>(P_A3_L32/5)*CUI_Poscosecha*Inflación_3</f>
        <v>0</v>
      </c>
      <c r="BQ41" s="101">
        <f>SUMIFS('9'!$E:$E,'9'!$A:$A,Año_Inicial+2,'9'!$B:$B,'12'!BP$4,'9'!$D:$D,"Beneficiado")</f>
        <v>0</v>
      </c>
      <c r="BR41" s="101">
        <f>(P_A3_L33/5)*CUI_Poscosecha*Inflación_3</f>
        <v>0</v>
      </c>
      <c r="BS41" s="101">
        <f>SUMIFS('9'!$E:$E,'9'!$A:$A,Año_Inicial+2,'9'!$B:$B,'12'!BR$4,'9'!$D:$D,"Beneficiado")</f>
        <v>0</v>
      </c>
      <c r="BT41" s="101">
        <f>(P_A3_L34/5)*CUI_Poscosecha*Inflación_3</f>
        <v>0</v>
      </c>
      <c r="BU41" s="101">
        <f>SUMIFS('9'!$E:$E,'9'!$A:$A,Año_Inicial+2,'9'!$B:$B,'12'!BT$4,'9'!$D:$D,"Beneficiado")</f>
        <v>0</v>
      </c>
      <c r="BV41" s="101">
        <f>(P_A3_L35/5)*CUI_Poscosecha*Inflación_3</f>
        <v>0</v>
      </c>
      <c r="BW41" s="101">
        <f>SUMIFS('9'!$E:$E,'9'!$A:$A,Año_Inicial+2,'9'!$B:$B,'12'!BV$4,'9'!$D:$D,"Beneficiado")</f>
        <v>0</v>
      </c>
      <c r="BX41" s="101">
        <f>(P_A3_L36/5)*CUI_Poscosecha*Inflación_3</f>
        <v>0</v>
      </c>
      <c r="BY41" s="101">
        <f>SUMIFS('9'!$E:$E,'9'!$A:$A,Año_Inicial+2,'9'!$B:$B,'12'!BX$4,'9'!$D:$D,"Beneficiado")</f>
        <v>0</v>
      </c>
      <c r="BZ41" s="101">
        <f>(P_A3_L37/5)*CUI_Poscosecha*Inflación_3</f>
        <v>0</v>
      </c>
      <c r="CA41" s="101">
        <f>SUMIFS('9'!$E:$E,'9'!$A:$A,Año_Inicial+2,'9'!$B:$B,'12'!BZ$4,'9'!$D:$D,"Beneficiado")</f>
        <v>0</v>
      </c>
      <c r="CB41" s="101">
        <f>(P_A3_L38/5)*CUI_Poscosecha*Inflación_3</f>
        <v>0</v>
      </c>
      <c r="CC41" s="101">
        <f>SUMIFS('9'!$E:$E,'9'!$A:$A,Año_Inicial+2,'9'!$B:$B,'12'!CB$4,'9'!$D:$D,"Beneficiado")</f>
        <v>0</v>
      </c>
      <c r="CD41" s="101">
        <f>(P_A3_L39/5)*CUI_Poscosecha*Inflación_3</f>
        <v>0</v>
      </c>
      <c r="CE41" s="101">
        <f>SUMIFS('9'!$E:$E,'9'!$A:$A,Año_Inicial+2,'9'!$B:$B,'12'!CD$4,'9'!$D:$D,"Beneficiado")</f>
        <v>0</v>
      </c>
      <c r="CF41" s="101">
        <f>(P_A3_L40/5)*CUI_Poscosecha*Inflación_3</f>
        <v>0</v>
      </c>
      <c r="CG41" s="101">
        <f>SUMIFS('9'!$E:$E,'9'!$A:$A,Año_Inicial+2,'9'!$B:$B,'12'!CF$4,'9'!$D:$D,"Beneficiado")</f>
        <v>0</v>
      </c>
      <c r="CH41" s="473"/>
      <c r="CI41" s="101" t="e">
        <f>(CI7/Pergo)*CUI_Poscosecha*Inflación_3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90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SUMIFS('9'!$E:$E,'9'!$A:$A,Año_Inicial+2,'9'!$C:$C,"Renovación")</f>
        <v>0</v>
      </c>
      <c r="D43" s="100">
        <f t="shared" si="45"/>
        <v>0</v>
      </c>
      <c r="E43" s="490"/>
      <c r="F43" s="101">
        <f>A3_Z_L1*Planta_Z*Inflación_3</f>
        <v>0</v>
      </c>
      <c r="G43" s="101">
        <f>SUMIFS('9'!$E:$E,'9'!$A:$A,Año_Inicial+2,'9'!$B:$B,'12'!F$4,'9'!$C:$C,"Renovación")</f>
        <v>0</v>
      </c>
      <c r="H43" s="101">
        <f>A3_Z_L2*Planta_Z*Inflación_3</f>
        <v>0</v>
      </c>
      <c r="I43" s="101">
        <f>SUMIFS('9'!$E:$E,'9'!$A:$A,Año_Inicial+2,'9'!$B:$B,'12'!H$4,'9'!$C:$C,"Renovación")</f>
        <v>0</v>
      </c>
      <c r="J43" s="101">
        <f>A3_Z_L3*Planta_Z*Inflación_3</f>
        <v>0</v>
      </c>
      <c r="K43" s="101">
        <f>SUMIFS('9'!$E:$E,'9'!$A:$A,Año_Inicial+2,'9'!$B:$B,'12'!J$4,'9'!$C:$C,"Renovación")</f>
        <v>0</v>
      </c>
      <c r="L43" s="101">
        <f>A3_Z_L4*Planta_Z*Inflación_3</f>
        <v>0</v>
      </c>
      <c r="M43" s="101">
        <f>SUMIFS('9'!$E:$E,'9'!$A:$A,Año_Inicial+2,'9'!$B:$B,'12'!L$4,'9'!$C:$C,"Renovación")</f>
        <v>0</v>
      </c>
      <c r="N43" s="101">
        <f>A3_Z_L5*Planta_Z*Inflación_3</f>
        <v>0</v>
      </c>
      <c r="O43" s="101">
        <f>SUMIFS('9'!$E:$E,'9'!$A:$A,Año_Inicial+2,'9'!$B:$B,'12'!N$4,'9'!$C:$C,"Renovación")</f>
        <v>0</v>
      </c>
      <c r="P43" s="101">
        <f>A3_Z_L6*Planta_Z*Inflación_3</f>
        <v>0</v>
      </c>
      <c r="Q43" s="101">
        <f>SUMIFS('9'!$E:$E,'9'!$A:$A,Año_Inicial+2,'9'!$B:$B,'12'!P$4,'9'!$C:$C,"Renovación")</f>
        <v>0</v>
      </c>
      <c r="R43" s="101">
        <f>A3_Z_L7*Planta_Z*Inflación_3</f>
        <v>0</v>
      </c>
      <c r="S43" s="101">
        <f>SUMIFS('9'!$E:$E,'9'!$A:$A,Año_Inicial+2,'9'!$B:$B,'12'!R$4,'9'!$C:$C,"Renovación")</f>
        <v>0</v>
      </c>
      <c r="T43" s="101">
        <f>A3_Z_L8*Planta_Z*Inflación_3</f>
        <v>0</v>
      </c>
      <c r="U43" s="101">
        <f>SUMIFS('9'!$E:$E,'9'!$A:$A,Año_Inicial+2,'9'!$B:$B,'12'!T$4,'9'!$C:$C,"Renovación")</f>
        <v>0</v>
      </c>
      <c r="V43" s="101">
        <f>A3_Z_L9*Planta_Z*Inflación_3</f>
        <v>0</v>
      </c>
      <c r="W43" s="101">
        <f>SUMIFS('9'!$E:$E,'9'!$A:$A,Año_Inicial+2,'9'!$B:$B,'12'!V$4,'9'!$C:$C,"Renovación")</f>
        <v>0</v>
      </c>
      <c r="X43" s="101">
        <f>A3_Z_L10*Planta_Z*Inflación_3</f>
        <v>0</v>
      </c>
      <c r="Y43" s="101">
        <f>SUMIFS('9'!$E:$E,'9'!$A:$A,Año_Inicial+2,'9'!$B:$B,'12'!X$4,'9'!$C:$C,"Renovación")</f>
        <v>0</v>
      </c>
      <c r="Z43" s="101">
        <f>A3_Z_L11*Planta_Z*Inflación_3</f>
        <v>0</v>
      </c>
      <c r="AA43" s="101">
        <f>SUMIFS('9'!$E:$E,'9'!$A:$A,Año_Inicial+2,'9'!$B:$B,'12'!Z$4,'9'!$C:$C,"Renovación")</f>
        <v>0</v>
      </c>
      <c r="AB43" s="101">
        <f>A3_Z_L12*Planta_Z*Inflación_3</f>
        <v>0</v>
      </c>
      <c r="AC43" s="101">
        <f>SUMIFS('9'!$E:$E,'9'!$A:$A,Año_Inicial+2,'9'!$B:$B,'12'!AB$4,'9'!$C:$C,"Renovación")</f>
        <v>0</v>
      </c>
      <c r="AD43" s="101">
        <f>A3_Z_L13*Planta_Z*Inflación_3</f>
        <v>0</v>
      </c>
      <c r="AE43" s="101">
        <f>SUMIFS('9'!$E:$E,'9'!$A:$A,Año_Inicial+2,'9'!$B:$B,'12'!AD$4,'9'!$C:$C,"Renovación")</f>
        <v>0</v>
      </c>
      <c r="AF43" s="101">
        <f>A3_Z_L14*Planta_Z*Inflación_3</f>
        <v>0</v>
      </c>
      <c r="AG43" s="101">
        <f>SUMIFS('9'!$E:$E,'9'!$A:$A,Año_Inicial+2,'9'!$B:$B,'12'!AF$4,'9'!$C:$C,"Renovación")</f>
        <v>0</v>
      </c>
      <c r="AH43" s="101">
        <f>A3_Z_L15*Planta_Z*Inflación_3</f>
        <v>0</v>
      </c>
      <c r="AI43" s="101">
        <f>SUMIFS('9'!$E:$E,'9'!$A:$A,Año_Inicial+2,'9'!$B:$B,'12'!AH$4,'9'!$C:$C,"Renovación")</f>
        <v>0</v>
      </c>
      <c r="AJ43" s="101">
        <f>A3_Z_L16*Planta_Z*Inflación_3</f>
        <v>0</v>
      </c>
      <c r="AK43" s="101">
        <f>SUMIFS('9'!$E:$E,'9'!$A:$A,Año_Inicial+2,'9'!$B:$B,'12'!AJ$4,'9'!$C:$C,"Renovación")</f>
        <v>0</v>
      </c>
      <c r="AL43" s="101">
        <f>A3_Z_L17*Planta_Z*Inflación_3</f>
        <v>0</v>
      </c>
      <c r="AM43" s="101">
        <f>SUMIFS('9'!$E:$E,'9'!$A:$A,Año_Inicial+2,'9'!$B:$B,'12'!AL$4,'9'!$C:$C,"Renovación")</f>
        <v>0</v>
      </c>
      <c r="AN43" s="101">
        <f>A3_Z_L18*Planta_Z*Inflación_3</f>
        <v>0</v>
      </c>
      <c r="AO43" s="101">
        <f>SUMIFS('9'!$E:$E,'9'!$A:$A,Año_Inicial+2,'9'!$B:$B,'12'!AN$4,'9'!$C:$C,"Renovación")</f>
        <v>0</v>
      </c>
      <c r="AP43" s="101">
        <f>A3_Z_L19*Planta_Z*Inflación_3</f>
        <v>0</v>
      </c>
      <c r="AQ43" s="101">
        <f>SUMIFS('9'!$E:$E,'9'!$A:$A,Año_Inicial+2,'9'!$B:$B,'12'!AP$4,'9'!$C:$C,"Renovación")</f>
        <v>0</v>
      </c>
      <c r="AR43" s="101">
        <f>A3_Z_L20*Planta_Z*Inflación_3</f>
        <v>0</v>
      </c>
      <c r="AS43" s="101">
        <f>SUMIFS('9'!$E:$E,'9'!$A:$A,Año_Inicial+2,'9'!$B:$B,'12'!AR$4,'9'!$C:$C,"Renovación")</f>
        <v>0</v>
      </c>
      <c r="AT43" s="101">
        <f>A3_Z_L21*Planta_Z*Inflación_3</f>
        <v>0</v>
      </c>
      <c r="AU43" s="101">
        <f>SUMIFS('9'!$E:$E,'9'!$A:$A,Año_Inicial+2,'9'!$B:$B,'12'!AT$4,'9'!$C:$C,"Renovación")</f>
        <v>0</v>
      </c>
      <c r="AV43" s="101">
        <f>A3_Z_L22*Planta_Z*Inflación_3</f>
        <v>0</v>
      </c>
      <c r="AW43" s="101">
        <f>SUMIFS('9'!$E:$E,'9'!$A:$A,Año_Inicial+2,'9'!$B:$B,'12'!AV$4,'9'!$C:$C,"Renovación")</f>
        <v>0</v>
      </c>
      <c r="AX43" s="101">
        <f>A3_Z_L23*Planta_Z*Inflación_3</f>
        <v>0</v>
      </c>
      <c r="AY43" s="101">
        <f>SUMIFS('9'!$E:$E,'9'!$A:$A,Año_Inicial+2,'9'!$B:$B,'12'!AX$4,'9'!$C:$C,"Renovación")</f>
        <v>0</v>
      </c>
      <c r="AZ43" s="101">
        <f>A3_Z_L24*Planta_Z*Inflación_3</f>
        <v>0</v>
      </c>
      <c r="BA43" s="101">
        <f>SUMIFS('9'!$E:$E,'9'!$A:$A,Año_Inicial+2,'9'!$B:$B,'12'!AZ$4,'9'!$C:$C,"Renovación")</f>
        <v>0</v>
      </c>
      <c r="BB43" s="101">
        <f>A3_Z_L25*Planta_Z*Inflación_3</f>
        <v>0</v>
      </c>
      <c r="BC43" s="101">
        <f>SUMIFS('9'!$E:$E,'9'!$A:$A,Año_Inicial+2,'9'!$B:$B,'12'!BB$4,'9'!$C:$C,"Renovación")</f>
        <v>0</v>
      </c>
      <c r="BD43" s="101">
        <f>A3_Z_L26*Planta_Z*Inflación_3</f>
        <v>0</v>
      </c>
      <c r="BE43" s="101">
        <f>SUMIFS('9'!$E:$E,'9'!$A:$A,Año_Inicial+2,'9'!$B:$B,'12'!BD$4,'9'!$C:$C,"Renovación")</f>
        <v>0</v>
      </c>
      <c r="BF43" s="101">
        <f>A3_Z_L27*Planta_Z*Inflación_3</f>
        <v>0</v>
      </c>
      <c r="BG43" s="101">
        <f>SUMIFS('9'!$E:$E,'9'!$A:$A,Año_Inicial+2,'9'!$B:$B,'12'!BF$4,'9'!$C:$C,"Renovación")</f>
        <v>0</v>
      </c>
      <c r="BH43" s="101">
        <f>A3_Z_L28*Planta_Z*Inflación_3</f>
        <v>0</v>
      </c>
      <c r="BI43" s="101">
        <f>SUMIFS('9'!$E:$E,'9'!$A:$A,Año_Inicial+2,'9'!$B:$B,'12'!BH$4,'9'!$C:$C,"Renovación")</f>
        <v>0</v>
      </c>
      <c r="BJ43" s="101">
        <f>A3_Z_L29*Planta_Z*Inflación_3</f>
        <v>0</v>
      </c>
      <c r="BK43" s="101">
        <f>SUMIFS('9'!$E:$E,'9'!$A:$A,Año_Inicial+2,'9'!$B:$B,'12'!BJ$4,'9'!$C:$C,"Renovación")</f>
        <v>0</v>
      </c>
      <c r="BL43" s="101">
        <f>A3_Z_L30*Planta_Z*Inflación_3</f>
        <v>0</v>
      </c>
      <c r="BM43" s="101">
        <f>SUMIFS('9'!$E:$E,'9'!$A:$A,Año_Inicial+2,'9'!$B:$B,'12'!BL$4,'9'!$C:$C,"Renovación")</f>
        <v>0</v>
      </c>
      <c r="BN43" s="101">
        <f>A3_Z_L31*Planta_Z*Inflación_3</f>
        <v>0</v>
      </c>
      <c r="BO43" s="101">
        <f>SUMIFS('9'!$E:$E,'9'!$A:$A,Año_Inicial+2,'9'!$B:$B,'12'!BN$4,'9'!$C:$C,"Renovación")</f>
        <v>0</v>
      </c>
      <c r="BP43" s="101">
        <f>A3_Z_L32*Planta_Z*Inflación_3</f>
        <v>0</v>
      </c>
      <c r="BQ43" s="101">
        <f>SUMIFS('9'!$E:$E,'9'!$A:$A,Año_Inicial+2,'9'!$B:$B,'12'!BP$4,'9'!$C:$C,"Renovación")</f>
        <v>0</v>
      </c>
      <c r="BR43" s="101">
        <f>A3_Z_L33*Planta_Z*Inflación_3</f>
        <v>0</v>
      </c>
      <c r="BS43" s="101">
        <f>SUMIFS('9'!$E:$E,'9'!$A:$A,Año_Inicial+2,'9'!$B:$B,'12'!BR$4,'9'!$C:$C,"Renovación")</f>
        <v>0</v>
      </c>
      <c r="BT43" s="101">
        <f>A3_Z_L34*Planta_Z*Inflación_3</f>
        <v>0</v>
      </c>
      <c r="BU43" s="101">
        <f>SUMIFS('9'!$E:$E,'9'!$A:$A,Año_Inicial+2,'9'!$B:$B,'12'!BT$4,'9'!$C:$C,"Renovación")</f>
        <v>0</v>
      </c>
      <c r="BV43" s="101">
        <f>A3_Z_L35*Planta_Z*Inflación_3</f>
        <v>0</v>
      </c>
      <c r="BW43" s="101">
        <f>SUMIFS('9'!$E:$E,'9'!$A:$A,Año_Inicial+2,'9'!$B:$B,'12'!BV$4,'9'!$C:$C,"Renovación")</f>
        <v>0</v>
      </c>
      <c r="BX43" s="101">
        <f>A3_Z_L36*Planta_Z*Inflación_3</f>
        <v>0</v>
      </c>
      <c r="BY43" s="101">
        <f>SUMIFS('9'!$E:$E,'9'!$A:$A,Año_Inicial+2,'9'!$B:$B,'12'!BX$4,'9'!$C:$C,"Renovación")</f>
        <v>0</v>
      </c>
      <c r="BZ43" s="101">
        <f>A3_Z_L37*Planta_Z*Inflación_3</f>
        <v>0</v>
      </c>
      <c r="CA43" s="101">
        <f>SUMIFS('9'!$E:$E,'9'!$A:$A,Año_Inicial+2,'9'!$B:$B,'12'!BZ$4,'9'!$C:$C,"Renovación")</f>
        <v>0</v>
      </c>
      <c r="CB43" s="101">
        <f>A3_Z_L38*Planta_Z*Inflación_3</f>
        <v>0</v>
      </c>
      <c r="CC43" s="101">
        <f>SUMIFS('9'!$E:$E,'9'!$A:$A,Año_Inicial+2,'9'!$B:$B,'12'!CB$4,'9'!$C:$C,"Renovación")</f>
        <v>0</v>
      </c>
      <c r="CD43" s="101">
        <f>A3_Z_L39*Planta_Z*Inflación_3</f>
        <v>0</v>
      </c>
      <c r="CE43" s="101">
        <f>SUMIFS('9'!$E:$E,'9'!$A:$A,Año_Inicial+2,'9'!$B:$B,'12'!CD$4,'9'!$C:$C,"Renovación")</f>
        <v>0</v>
      </c>
      <c r="CF43" s="101">
        <f>A3_Z_L40*Planta_Z*Inflación_3</f>
        <v>0</v>
      </c>
      <c r="CG43" s="101">
        <f>SUMIFS('9'!$E:$E,'9'!$A:$A,Año_Inicial+2,'9'!$B:$B,'12'!CF$4,'9'!$C:$C,"Renovación")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(Plantas_Z_A3*Planta_Z)*Inflación_3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Admin_2*Inflación_3</f>
        <v>0</v>
      </c>
      <c r="C44" s="101">
        <f>SUMIFS('9'!$E:$E,'9'!$A:$A,Año_Inicial+2,'9'!$C:$C,"Gastos_administrativos")</f>
        <v>0</v>
      </c>
      <c r="D44" s="100">
        <f t="shared" si="45"/>
        <v>0</v>
      </c>
      <c r="E44" s="490"/>
      <c r="F44" s="101">
        <f>($B44/$B47)*F47*Inflación_3</f>
        <v>0</v>
      </c>
      <c r="G44" s="101">
        <f>($C44/$B47)*F47</f>
        <v>0</v>
      </c>
      <c r="H44" s="101">
        <f>($B44/$B47)*H47*Inflación_3</f>
        <v>0</v>
      </c>
      <c r="I44" s="101">
        <f>($C44/$B47)*H47</f>
        <v>0</v>
      </c>
      <c r="J44" s="101">
        <f>($B44/$B47)*J47*Inflación_3</f>
        <v>0</v>
      </c>
      <c r="K44" s="101">
        <f>($C44/$B47)*J47</f>
        <v>0</v>
      </c>
      <c r="L44" s="101">
        <f>($B44/$B47)*L47*Inflación_3</f>
        <v>0</v>
      </c>
      <c r="M44" s="101">
        <f>($C44/$B47)*L47</f>
        <v>0</v>
      </c>
      <c r="N44" s="101">
        <f>($B44/$B47)*N47*Inflación_3</f>
        <v>0</v>
      </c>
      <c r="O44" s="101">
        <f>($C44/$B47)*N47</f>
        <v>0</v>
      </c>
      <c r="P44" s="101">
        <f>($B44/$B47)*P47*Inflación_3</f>
        <v>0</v>
      </c>
      <c r="Q44" s="101">
        <f>($C44/$B47)*P47</f>
        <v>0</v>
      </c>
      <c r="R44" s="101">
        <f>($B44/$B47)*R47*Inflación_3</f>
        <v>0</v>
      </c>
      <c r="S44" s="101">
        <f>($C44/$B47)*R47</f>
        <v>0</v>
      </c>
      <c r="T44" s="101">
        <f>($B44/$B47)*T47*Inflación_3</f>
        <v>0</v>
      </c>
      <c r="U44" s="101">
        <f>($C44/$B47)*T47</f>
        <v>0</v>
      </c>
      <c r="V44" s="101">
        <f>($B44/$B47)*V47*Inflación_3</f>
        <v>0</v>
      </c>
      <c r="W44" s="101">
        <f>($C44/$B47)*V47</f>
        <v>0</v>
      </c>
      <c r="X44" s="101">
        <f>($B44/$B47)*X47*Inflación_3</f>
        <v>0</v>
      </c>
      <c r="Y44" s="101">
        <f>($C44/$B47)*X47</f>
        <v>0</v>
      </c>
      <c r="Z44" s="101">
        <f>($B44/$B47)*Z47*Inflación_3</f>
        <v>0</v>
      </c>
      <c r="AA44" s="101">
        <f>($C44/$B47)*Z47</f>
        <v>0</v>
      </c>
      <c r="AB44" s="101">
        <f>($B44/$B47)*AB47*Inflación_3</f>
        <v>0</v>
      </c>
      <c r="AC44" s="101">
        <f>($C44/$B47)*AB47</f>
        <v>0</v>
      </c>
      <c r="AD44" s="101">
        <f>($B44/$B47)*AD47*Inflación_3</f>
        <v>0</v>
      </c>
      <c r="AE44" s="101">
        <f>($C44/$B47)*AD47</f>
        <v>0</v>
      </c>
      <c r="AF44" s="101">
        <f>($B44/$B47)*AF47*Inflación_3</f>
        <v>0</v>
      </c>
      <c r="AG44" s="101">
        <f>($C44/$B47)*AF47</f>
        <v>0</v>
      </c>
      <c r="AH44" s="101">
        <f>($B44/$B47)*AH47*Inflación_3</f>
        <v>0</v>
      </c>
      <c r="AI44" s="101">
        <f>($C44/$B47)*AH47</f>
        <v>0</v>
      </c>
      <c r="AJ44" s="101">
        <f>($B44/$B47)*AJ47*Inflación_3</f>
        <v>0</v>
      </c>
      <c r="AK44" s="101">
        <f>($C44/$B47)*AJ47</f>
        <v>0</v>
      </c>
      <c r="AL44" s="101">
        <f>($B44/$B47)*AL47*Inflación_3</f>
        <v>0</v>
      </c>
      <c r="AM44" s="101">
        <f>($C44/$B47)*AL47</f>
        <v>0</v>
      </c>
      <c r="AN44" s="101">
        <f>($B44/$B47)*AN47*Inflación_3</f>
        <v>0</v>
      </c>
      <c r="AO44" s="101">
        <f>($C44/$B47)*AN47</f>
        <v>0</v>
      </c>
      <c r="AP44" s="101">
        <f>($B44/$B47)*AP47*Inflación_3</f>
        <v>0</v>
      </c>
      <c r="AQ44" s="101">
        <f>($C44/$B47)*AP47</f>
        <v>0</v>
      </c>
      <c r="AR44" s="101">
        <f>($B44/$B47)*AR47*Inflación_3</f>
        <v>0</v>
      </c>
      <c r="AS44" s="101">
        <f>($C44/$B47)*AR47</f>
        <v>0</v>
      </c>
      <c r="AT44" s="101">
        <f>($B44/$B47)*AT47*Inflación_3</f>
        <v>0</v>
      </c>
      <c r="AU44" s="101">
        <f>($C44/$B47)*AT47</f>
        <v>0</v>
      </c>
      <c r="AV44" s="101">
        <f>($B44/$B47)*AV47*Inflación_3</f>
        <v>0</v>
      </c>
      <c r="AW44" s="101">
        <f>($C44/$B47)*AV47</f>
        <v>0</v>
      </c>
      <c r="AX44" s="101">
        <f>($B44/$B47)*AX47*Inflación_3</f>
        <v>0</v>
      </c>
      <c r="AY44" s="101">
        <f>($C44/$B47)*AX47</f>
        <v>0</v>
      </c>
      <c r="AZ44" s="101">
        <f>($B44/$B47)*AZ47*Inflación_3</f>
        <v>0</v>
      </c>
      <c r="BA44" s="101">
        <f>($C44/$B47)*AZ47</f>
        <v>0</v>
      </c>
      <c r="BB44" s="101">
        <f>($B44/$B47)*BB47*Inflación_3</f>
        <v>0</v>
      </c>
      <c r="BC44" s="101">
        <f>($C44/$B47)*BB47</f>
        <v>0</v>
      </c>
      <c r="BD44" s="101">
        <f>($B44/$B47)*BD47*Inflación_3</f>
        <v>0</v>
      </c>
      <c r="BE44" s="101">
        <f>($C44/$B47)*BD47</f>
        <v>0</v>
      </c>
      <c r="BF44" s="101">
        <f>($B44/$B47)*BF47*Inflación_3</f>
        <v>0</v>
      </c>
      <c r="BG44" s="101">
        <f>($C44/$B47)*BF47</f>
        <v>0</v>
      </c>
      <c r="BH44" s="101">
        <f>($B44/$B47)*BH47*Inflación_3</f>
        <v>0</v>
      </c>
      <c r="BI44" s="101">
        <f>($C44/$B47)*BH47</f>
        <v>0</v>
      </c>
      <c r="BJ44" s="101">
        <f>($B44/$B47)*BJ47*Inflación_3</f>
        <v>0</v>
      </c>
      <c r="BK44" s="101">
        <f>($C44/$B47)*BJ47</f>
        <v>0</v>
      </c>
      <c r="BL44" s="101">
        <f>($B44/$B47)*BL47*Inflación_3</f>
        <v>0</v>
      </c>
      <c r="BM44" s="101">
        <f>($C44/$B47)*BL47</f>
        <v>0</v>
      </c>
      <c r="BN44" s="101">
        <f>($B44/$B47)*BN47*Inflación_3</f>
        <v>0</v>
      </c>
      <c r="BO44" s="101">
        <f>($C44/$B47)*BN47</f>
        <v>0</v>
      </c>
      <c r="BP44" s="101">
        <f>($B44/$B47)*BP47*Inflación_3</f>
        <v>0</v>
      </c>
      <c r="BQ44" s="101">
        <f>($C44/$B47)*BP47</f>
        <v>0</v>
      </c>
      <c r="BR44" s="101">
        <f>($B44/$B47)*BR47*Inflación_3</f>
        <v>0</v>
      </c>
      <c r="BS44" s="101">
        <f>($C44/$B47)*BR47</f>
        <v>0</v>
      </c>
      <c r="BT44" s="101">
        <f>($B44/$B47)*BT47*Inflación_3</f>
        <v>0</v>
      </c>
      <c r="BU44" s="101">
        <f>($C44/$B47)*BT47</f>
        <v>0</v>
      </c>
      <c r="BV44" s="101">
        <f>($B44/$B47)*BV47*Inflación_3</f>
        <v>0</v>
      </c>
      <c r="BW44" s="101">
        <f>($C44/$B47)*BV47</f>
        <v>0</v>
      </c>
      <c r="BX44" s="101">
        <f>($B44/$B47)*BX47*Inflación_3</f>
        <v>0</v>
      </c>
      <c r="BY44" s="101">
        <f>($C44/$B47)*BX47</f>
        <v>0</v>
      </c>
      <c r="BZ44" s="101">
        <f>($B44/$B47)*BZ47*Inflación_3</f>
        <v>0</v>
      </c>
      <c r="CA44" s="101">
        <f>($C44/$B47)*BZ47</f>
        <v>0</v>
      </c>
      <c r="CB44" s="101">
        <f>($B44/$B47)*CB47*Inflación_3</f>
        <v>0</v>
      </c>
      <c r="CC44" s="101">
        <f>($C44/$B47)*CB47</f>
        <v>0</v>
      </c>
      <c r="CD44" s="101">
        <f>($B44/$B47)*CD47*Inflación_3</f>
        <v>0</v>
      </c>
      <c r="CE44" s="101">
        <f>($C44/$B47)*CD47</f>
        <v>0</v>
      </c>
      <c r="CF44" s="101">
        <f>($B44/$B47)*CF47*Inflación_3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90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90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90"/>
      <c r="F47" s="484">
        <f>A3_A_L1+A3_B_L1+A3_C_L1+A3_D_L1+A3_Y_L1+A3_Z_L1+A3_X_L1</f>
        <v>7000</v>
      </c>
      <c r="G47" s="479"/>
      <c r="H47" s="478">
        <f>A3_A_L2+A3_B_L2+A3_C_L2+A3_D_L2+A3_Y_L2+A3_Z_L2+A3_X_L2</f>
        <v>0</v>
      </c>
      <c r="I47" s="479"/>
      <c r="J47" s="478">
        <f>A3_A_L3+A3_B_L3+A3_C_L3+A3_D_L3+A3_Y_L3+A3_Z_L3+A3_X_L3</f>
        <v>0</v>
      </c>
      <c r="K47" s="479"/>
      <c r="L47" s="478">
        <f>A3_A_L4+A3_B_L4+A3_C_L4+A3_D_L4+A3_Y_L4+A3_Z_L4+A3_X_L4</f>
        <v>0</v>
      </c>
      <c r="M47" s="479"/>
      <c r="N47" s="478">
        <f>A3_A_L5+A3_B_L5+A3_C_L5+A3_D_L5+A3_Y_L5+A3_Z_L5+A3_X_L5</f>
        <v>0</v>
      </c>
      <c r="O47" s="479"/>
      <c r="P47" s="478">
        <f>A3_A_L6+A3_B_L6+A3_C_L6+A3_D_L6+A3_Y_L6+A3_Z_L6+A3_X_L6</f>
        <v>0</v>
      </c>
      <c r="Q47" s="479"/>
      <c r="R47" s="478">
        <f>A3_A_L7+A3_B_L7+A3_C_L7+A3_D_L7+A3_Y_L7+A3_Z_L7+A3_X_L7</f>
        <v>0</v>
      </c>
      <c r="S47" s="479"/>
      <c r="T47" s="478">
        <f>A3_A_L8+A3_B_L8+A3_C_L8+A3_D_L8+A3_Y_L8+A3_Z_L8+A3_X_L8</f>
        <v>0</v>
      </c>
      <c r="U47" s="479"/>
      <c r="V47" s="478">
        <f>A3_A_L9+A3_B_L9+A3_C_L9+A3_D_L9+A3_Y_L9+A3_Z_L9+A3_X_L9</f>
        <v>0</v>
      </c>
      <c r="W47" s="479"/>
      <c r="X47" s="478">
        <f>A3_A_L10+A3_B_L10+A3_C_L10+A3_D_L10+A3_Y_L10+A3_Z_L10+A3_X_L10</f>
        <v>0</v>
      </c>
      <c r="Y47" s="479"/>
      <c r="Z47" s="478">
        <f>A3_A_L11+A3_B_L11+A3_C_L11+A3_D_L11+A3_Y_L11+A3_Z_L11+A3_X_L11</f>
        <v>0</v>
      </c>
      <c r="AA47" s="479"/>
      <c r="AB47" s="478">
        <f>A3_A_L12+A3_B_L12+A3_C_L12+A3_D_L12+A3_Y_L12+A3_Z_L12+A3_X_L12</f>
        <v>0</v>
      </c>
      <c r="AC47" s="479"/>
      <c r="AD47" s="478">
        <f>A3_A_L13+A3_B_L13+A3_C_L13+A3_D_L13+A3_Y_L13+A3_Z_L13+A3_X_L13</f>
        <v>0</v>
      </c>
      <c r="AE47" s="479"/>
      <c r="AF47" s="478">
        <f>A3_A_L14+A3_B_L14+A3_C_L14+A3_D_L14+A3_Y_L14+A3_Z_L14+A3_X_L14</f>
        <v>0</v>
      </c>
      <c r="AG47" s="479"/>
      <c r="AH47" s="478">
        <f>A3_A_L15+A3_B_L15+A3_C_L15+A3_D_L15+A3_Y_L15+A3_Z_L15+A3_X_L15</f>
        <v>0</v>
      </c>
      <c r="AI47" s="479"/>
      <c r="AJ47" s="478">
        <f>A3_A_L16+A3_B_L16+A3_C_L16+A3_D_L16+A3_Y_L16+A3_Z_L16+A3_X_L16</f>
        <v>0</v>
      </c>
      <c r="AK47" s="479"/>
      <c r="AL47" s="478">
        <f>A3_A_L17+A3_B_L17+A3_C_L17+A3_D_L17+A3_Y_L17+A3_Z_L17+A3_X_L17</f>
        <v>0</v>
      </c>
      <c r="AM47" s="479"/>
      <c r="AN47" s="478">
        <f>A3_A_L18+A3_B_L18+A3_C_L18+A3_D_L18+A3_Y_L18+A3_Z_L18+A3_X_L18</f>
        <v>0</v>
      </c>
      <c r="AO47" s="479"/>
      <c r="AP47" s="478">
        <f>A3_A_L19+A3_B_L19+A3_C_L19+A3_D_L19+A3_Y_L19+A3_Z_L19+A3_X_L19</f>
        <v>0</v>
      </c>
      <c r="AQ47" s="479"/>
      <c r="AR47" s="478">
        <f>A3_A_L20+A3_B_L20+A3_C_L20+A3_D_L20+A3_Y_L20+A3_Z_L20+A3_X_L20</f>
        <v>0</v>
      </c>
      <c r="AS47" s="479"/>
      <c r="AT47" s="478">
        <f>A3_A_L21+A3_B_L21+A3_C_L21+A3_D_L21+A3_Y_L21+A3_Z_L21+A3_X_L21</f>
        <v>0</v>
      </c>
      <c r="AU47" s="479"/>
      <c r="AV47" s="478">
        <f>A3_A_L22+A3_B_L22+A3_C_L22+A3_D_L22+A3_Y_L22+A3_Z_L22+A3_X_L22</f>
        <v>0</v>
      </c>
      <c r="AW47" s="479"/>
      <c r="AX47" s="478">
        <f>A3_A_L23+A3_B_L23+A3_C_L23+A3_D_L23+A3_Y_L23+A3_Z_L23+A3_X_L23</f>
        <v>0</v>
      </c>
      <c r="AY47" s="479"/>
      <c r="AZ47" s="478">
        <f>A3_A_L24+A3_B_L24+A3_C_L24+A3_D_L24+A3_Y_L24+A3_Z_L24+A3_X_L24</f>
        <v>0</v>
      </c>
      <c r="BA47" s="479"/>
      <c r="BB47" s="478">
        <f>A3_A_L25+A3_B_L25+A3_C_L25+A3_D_L25+A3_Y_L25+A3_Z_L25+A3_X_L25</f>
        <v>0</v>
      </c>
      <c r="BC47" s="479"/>
      <c r="BD47" s="478">
        <f>A3_A_L26+A3_B_L26+A3_C_L26+A3_D_L26+A3_Y_L26+A3_Z_L26+A3_X_L26</f>
        <v>0</v>
      </c>
      <c r="BE47" s="479"/>
      <c r="BF47" s="478">
        <f>A3_A_L27+A3_B_L27+A3_C_L27+A3_D_L27+A3_Y_L27+A3_Z_L27+A3_X_L27</f>
        <v>0</v>
      </c>
      <c r="BG47" s="479"/>
      <c r="BH47" s="478">
        <f>A3_A_L28+A3_B_L28+A3_C_L28+A3_D_L28+A3_Y_L28+A3_Z_L28+A3_X_L28</f>
        <v>0</v>
      </c>
      <c r="BI47" s="479"/>
      <c r="BJ47" s="478">
        <f>A3_A_L29+A3_B_L29+A3_C_L29+A3_D_L29+A3_Y_L29+A3_Z_L29+A3_X_L29</f>
        <v>0</v>
      </c>
      <c r="BK47" s="479"/>
      <c r="BL47" s="478">
        <f>A3_A_L30+A3_B_L30+A3_C_L30+A3_D_L30+A3_Y_L30+A3_Z_L30+A3_X_L30</f>
        <v>0</v>
      </c>
      <c r="BM47" s="479"/>
      <c r="BN47" s="478">
        <f>A3_A_L31+A3_B_L31+A3_C_L31+A3_D_L31+A3_Y_L31+A3_Z_L31+A3_X_L31</f>
        <v>0</v>
      </c>
      <c r="BO47" s="479"/>
      <c r="BP47" s="478">
        <f>A3_A_L32+A3_B_L32+A3_C_L32+A3_D_L32+A3_Y_L32+A3_Z_L32+A3_X_L32</f>
        <v>0</v>
      </c>
      <c r="BQ47" s="479"/>
      <c r="BR47" s="478">
        <f>A3_A_L33+A3_B_L33+A3_C_L33+A3_D_L33+A3_Y_L33+A3_Z_L33+A3_X_L33</f>
        <v>0</v>
      </c>
      <c r="BS47" s="479"/>
      <c r="BT47" s="478">
        <f>A3_A_L34+A3_B_L34+A3_C_L34+A3_D_L34+A3_Y_L34+A3_Z_L34+A3_X_L34</f>
        <v>0</v>
      </c>
      <c r="BU47" s="479"/>
      <c r="BV47" s="478">
        <f>A3_A_L35+A3_B_L35+A3_C_L35+A3_D_L35+A3_Y_L35+A3_Z_L35+A3_X_L35</f>
        <v>0</v>
      </c>
      <c r="BW47" s="479"/>
      <c r="BX47" s="478">
        <f>A3_A_L36+A3_B_L36+A3_C_L36+A3_D_L36+A3_Y_L36+A3_Z_L36+A3_X_L36</f>
        <v>0</v>
      </c>
      <c r="BY47" s="479"/>
      <c r="BZ47" s="478">
        <f>A3_A_L37+A3_B_L37+A3_C_L37+A3_D_L37+A3_Y_L37+A3_Z_L37+A3_X_L37</f>
        <v>0</v>
      </c>
      <c r="CA47" s="479"/>
      <c r="CB47" s="478">
        <f>A3_A_L38+A3_B_L38+A3_C_L38+A3_D_L38+A3_Y_L38+A3_Z_L38+A3_X_L38</f>
        <v>0</v>
      </c>
      <c r="CC47" s="479"/>
      <c r="CD47" s="478">
        <f>A3_A_L39+A3_B_L39+A3_C_L39+A3_D_L39+A3_Y_L39+A3_Z_L39+A3_X_L39</f>
        <v>0</v>
      </c>
      <c r="CE47" s="479"/>
      <c r="CF47" s="478">
        <f>A3_A_L40+A3_B_L40+A3_C_L40+A3_D_L40+A3_Y_L40+A3_Z_L40+A3_X_L40</f>
        <v>0</v>
      </c>
      <c r="CG47" s="479"/>
      <c r="CH47" s="473"/>
      <c r="CI47" s="118">
        <f>Plantas_A_A3</f>
        <v>0</v>
      </c>
      <c r="CJ47" s="119">
        <f>Plantas_B_A3</f>
        <v>0</v>
      </c>
      <c r="CK47" s="119">
        <f>Plantas_C_A3</f>
        <v>0</v>
      </c>
      <c r="CL47" s="119">
        <f>Plantas_D_A3</f>
        <v>7000</v>
      </c>
      <c r="CM47" s="119">
        <f>Plantas_Z_A3</f>
        <v>0</v>
      </c>
      <c r="CN47" s="119">
        <f>Plantas_Y_A3</f>
        <v>0</v>
      </c>
      <c r="CO47" s="120">
        <f>Plantas_X_A3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90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91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mSdLNBYvpsnPq/IZX3wSU8OcQMgHlzBfwwvQKwYBLMJro4V5S/1FoAWR9C+OGIoeSW6Wrr5y3IlFna0UpD+VYQ==" saltValue="XAMS3AlE4e0c/JfeNa/iEA==" spinCount="100000" sheet="1" objects="1" scenarios="1" formatColumns="0" formatRows="0"/>
  <mergeCells count="86"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D4:CE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F4:CG4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AF47:AG47"/>
    <mergeCell ref="AH47:AI47"/>
    <mergeCell ref="AJ47:AK47"/>
    <mergeCell ref="AL47:AM47"/>
    <mergeCell ref="AN47:AO47"/>
    <mergeCell ref="AP47:AQ47"/>
    <mergeCell ref="BH47:BI47"/>
    <mergeCell ref="BJ47:BK47"/>
    <mergeCell ref="T47:U47"/>
    <mergeCell ref="V47:W47"/>
    <mergeCell ref="X47:Y47"/>
    <mergeCell ref="Z47:AA47"/>
    <mergeCell ref="AB47:AC47"/>
    <mergeCell ref="AZ47:BA47"/>
    <mergeCell ref="BB47:BC47"/>
    <mergeCell ref="AD47:AE47"/>
    <mergeCell ref="BD47:BE47"/>
    <mergeCell ref="BF47:BG47"/>
    <mergeCell ref="A50:C50"/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L47:BM47"/>
    <mergeCell ref="BN47:BO47"/>
    <mergeCell ref="AR47:AS47"/>
    <mergeCell ref="AT47:AU47"/>
    <mergeCell ref="AV47:AW47"/>
    <mergeCell ref="AX47:AY47"/>
  </mergeCells>
  <hyperlinks>
    <hyperlink ref="CH1" location="Inicio!A15" display="Regresar" xr:uid="{904283BB-6A6C-4A7B-986E-9E99394139BD}"/>
    <hyperlink ref="A1" location="Inicio!A14" display="Regresar" xr:uid="{AB457F1B-2FE7-4400-BD46-DF64B603A3BB}"/>
  </hyperlinks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D47F9-4705-2B46-B5DA-6D159FDC9209}">
  <sheetPr codeName="Hoja14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A8" sqref="A8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319" t="s">
        <v>21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</row>
    <row r="2" spans="1:93" s="59" customFormat="1" ht="50.1" customHeight="1" thickBot="1" x14ac:dyDescent="0.3">
      <c r="A2" s="480" t="str">
        <f>CONCATENATE("Planificación financiera ",Up," | Presupuesto y ejecución ",Año_Inicial+3)</f>
        <v>Planificación financiera  | Presupuesto y ejecución 2026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P_A4_L1</f>
        <v>0</v>
      </c>
      <c r="G7" s="96" t="e">
        <f>G40/CUI_Corte</f>
        <v>#DIV/0!</v>
      </c>
      <c r="H7" s="97">
        <f>P_A4_L2</f>
        <v>0</v>
      </c>
      <c r="I7" s="96" t="e">
        <f>I40/CUI_Corte</f>
        <v>#DIV/0!</v>
      </c>
      <c r="J7" s="97">
        <f>P_A4_L3</f>
        <v>0</v>
      </c>
      <c r="K7" s="96" t="e">
        <f>K40/CUI_Corte</f>
        <v>#DIV/0!</v>
      </c>
      <c r="L7" s="97">
        <f>P_A4_L4</f>
        <v>0</v>
      </c>
      <c r="M7" s="96" t="e">
        <f>M40/CUI_Corte</f>
        <v>#DIV/0!</v>
      </c>
      <c r="N7" s="97">
        <f>P_A4_L5</f>
        <v>0</v>
      </c>
      <c r="O7" s="96" t="e">
        <f>O40/CUI_Corte</f>
        <v>#DIV/0!</v>
      </c>
      <c r="P7" s="97">
        <f>P_A4_L6</f>
        <v>0</v>
      </c>
      <c r="Q7" s="96" t="e">
        <f>Q40/CUI_Corte</f>
        <v>#DIV/0!</v>
      </c>
      <c r="R7" s="97">
        <f>P_A4_L7</f>
        <v>0</v>
      </c>
      <c r="S7" s="96" t="e">
        <f>S40/CUI_Corte</f>
        <v>#DIV/0!</v>
      </c>
      <c r="T7" s="97">
        <f>P_A4_L8</f>
        <v>0</v>
      </c>
      <c r="U7" s="96" t="e">
        <f>U40/CUI_Corte</f>
        <v>#DIV/0!</v>
      </c>
      <c r="V7" s="97">
        <f>P_A4_L9</f>
        <v>0</v>
      </c>
      <c r="W7" s="96" t="e">
        <f>W40/CUI_Corte</f>
        <v>#DIV/0!</v>
      </c>
      <c r="X7" s="97">
        <f>P_A4_L10</f>
        <v>0</v>
      </c>
      <c r="Y7" s="96" t="e">
        <f>Y40/CUI_Corte</f>
        <v>#DIV/0!</v>
      </c>
      <c r="Z7" s="97">
        <f>P_A4_L11</f>
        <v>0</v>
      </c>
      <c r="AA7" s="96" t="e">
        <f>AA40/CUI_Corte</f>
        <v>#DIV/0!</v>
      </c>
      <c r="AB7" s="97">
        <f>P_A4_L12</f>
        <v>0</v>
      </c>
      <c r="AC7" s="96" t="e">
        <f>AC40/CUI_Corte</f>
        <v>#DIV/0!</v>
      </c>
      <c r="AD7" s="97">
        <f>P_A4_L13</f>
        <v>0</v>
      </c>
      <c r="AE7" s="96" t="e">
        <f>AE40/CUI_Corte</f>
        <v>#DIV/0!</v>
      </c>
      <c r="AF7" s="97">
        <f>P_A4_L14</f>
        <v>0</v>
      </c>
      <c r="AG7" s="96" t="e">
        <f>AG40/CUI_Corte</f>
        <v>#DIV/0!</v>
      </c>
      <c r="AH7" s="97">
        <f>P_A4_L15</f>
        <v>0</v>
      </c>
      <c r="AI7" s="96" t="e">
        <f>AI40/CUI_Corte</f>
        <v>#DIV/0!</v>
      </c>
      <c r="AJ7" s="97">
        <f>P_A4_L16</f>
        <v>0</v>
      </c>
      <c r="AK7" s="96" t="e">
        <f>AK40/CUI_Corte</f>
        <v>#DIV/0!</v>
      </c>
      <c r="AL7" s="97">
        <f>P_A4_L17</f>
        <v>0</v>
      </c>
      <c r="AM7" s="96" t="e">
        <f>AM40/CUI_Corte</f>
        <v>#DIV/0!</v>
      </c>
      <c r="AN7" s="97">
        <f>P_A4_L18</f>
        <v>0</v>
      </c>
      <c r="AO7" s="96" t="e">
        <f>AO40/CUI_Corte</f>
        <v>#DIV/0!</v>
      </c>
      <c r="AP7" s="97">
        <f>P_A4_L19</f>
        <v>0</v>
      </c>
      <c r="AQ7" s="96" t="e">
        <f>AQ40/CUI_Corte</f>
        <v>#DIV/0!</v>
      </c>
      <c r="AR7" s="97">
        <f>P_A4_L20</f>
        <v>0</v>
      </c>
      <c r="AS7" s="96" t="e">
        <f>AS40/CUI_Corte</f>
        <v>#DIV/0!</v>
      </c>
      <c r="AT7" s="97">
        <f>P_A4_L21</f>
        <v>0</v>
      </c>
      <c r="AU7" s="96" t="e">
        <f>AU40/CUI_Corte</f>
        <v>#DIV/0!</v>
      </c>
      <c r="AV7" s="97">
        <f>P_A4_L22</f>
        <v>0</v>
      </c>
      <c r="AW7" s="96" t="e">
        <f>AW40/CUI_Corte</f>
        <v>#DIV/0!</v>
      </c>
      <c r="AX7" s="97">
        <f>P_A4_L23</f>
        <v>0</v>
      </c>
      <c r="AY7" s="96" t="e">
        <f>AY40/CUI_Corte</f>
        <v>#DIV/0!</v>
      </c>
      <c r="AZ7" s="97">
        <f>P_A4_L24</f>
        <v>0</v>
      </c>
      <c r="BA7" s="96" t="e">
        <f>BA40/CUI_Corte</f>
        <v>#DIV/0!</v>
      </c>
      <c r="BB7" s="97">
        <f>P_A4_L25</f>
        <v>0</v>
      </c>
      <c r="BC7" s="96" t="e">
        <f>BC40/CUI_Corte</f>
        <v>#DIV/0!</v>
      </c>
      <c r="BD7" s="97">
        <f>P_A4_L26</f>
        <v>0</v>
      </c>
      <c r="BE7" s="96" t="e">
        <f>BE40/CUI_Corte</f>
        <v>#DIV/0!</v>
      </c>
      <c r="BF7" s="97">
        <f>P_A4_L27</f>
        <v>0</v>
      </c>
      <c r="BG7" s="96" t="e">
        <f>BG40/CUI_Corte</f>
        <v>#DIV/0!</v>
      </c>
      <c r="BH7" s="97">
        <f>P_A4_L28</f>
        <v>0</v>
      </c>
      <c r="BI7" s="96" t="e">
        <f>BI40/CUI_Corte</f>
        <v>#DIV/0!</v>
      </c>
      <c r="BJ7" s="97">
        <f>P_A4_L29</f>
        <v>0</v>
      </c>
      <c r="BK7" s="96" t="e">
        <f>BK40/CUI_Corte</f>
        <v>#DIV/0!</v>
      </c>
      <c r="BL7" s="97">
        <f>P_A4_L30</f>
        <v>0</v>
      </c>
      <c r="BM7" s="96" t="e">
        <f>BM40/CUI_Corte</f>
        <v>#DIV/0!</v>
      </c>
      <c r="BN7" s="97">
        <f>P_A4_L31</f>
        <v>0</v>
      </c>
      <c r="BO7" s="96" t="e">
        <f>BO40/CUI_Corte</f>
        <v>#DIV/0!</v>
      </c>
      <c r="BP7" s="97">
        <f>P_A4_L32</f>
        <v>0</v>
      </c>
      <c r="BQ7" s="96" t="e">
        <f>BQ40/CUI_Corte</f>
        <v>#DIV/0!</v>
      </c>
      <c r="BR7" s="97">
        <f>P_A4_L33</f>
        <v>0</v>
      </c>
      <c r="BS7" s="96" t="e">
        <f>BS40/CUI_Corte</f>
        <v>#DIV/0!</v>
      </c>
      <c r="BT7" s="97">
        <f>P_A4_L34</f>
        <v>0</v>
      </c>
      <c r="BU7" s="96" t="e">
        <f>BU40/CUI_Corte</f>
        <v>#DIV/0!</v>
      </c>
      <c r="BV7" s="97">
        <f>P_A4_L35</f>
        <v>0</v>
      </c>
      <c r="BW7" s="96" t="e">
        <f>BW40/CUI_Corte</f>
        <v>#DIV/0!</v>
      </c>
      <c r="BX7" s="97">
        <f>P_A4_L36</f>
        <v>0</v>
      </c>
      <c r="BY7" s="96" t="e">
        <f>BY40/CUI_Corte</f>
        <v>#DIV/0!</v>
      </c>
      <c r="BZ7" s="97">
        <f>P_A4_L37</f>
        <v>0</v>
      </c>
      <c r="CA7" s="96" t="e">
        <f>CA40/CUI_Corte</f>
        <v>#DIV/0!</v>
      </c>
      <c r="CB7" s="97">
        <f>P_A4_L38</f>
        <v>0</v>
      </c>
      <c r="CC7" s="96" t="e">
        <f>CC40/CUI_Corte</f>
        <v>#DIV/0!</v>
      </c>
      <c r="CD7" s="97">
        <f>P_A4_L39</f>
        <v>0</v>
      </c>
      <c r="CE7" s="96" t="e">
        <f>CE40/CUI_Corte</f>
        <v>#DIV/0!</v>
      </c>
      <c r="CF7" s="97">
        <f>P_A4_L40</f>
        <v>0</v>
      </c>
      <c r="CG7" s="96" t="e">
        <f>CG40/CUI_Corte</f>
        <v>#DIV/0!</v>
      </c>
      <c r="CH7" s="473"/>
      <c r="CI7" s="96">
        <f>(IF(Diseño="Bloque",Bloque_A4_A,Surco_A4_A)/100)</f>
        <v>0</v>
      </c>
      <c r="CJ7" s="96">
        <f>(IF(Diseño="Bloque",Bloque_A4_B,Surco_A4_B)/100)</f>
        <v>0</v>
      </c>
      <c r="CK7" s="96">
        <f>(IF(Diseño="Bloque",Bloque_A4_C,Surco_A4_C)/100)</f>
        <v>0</v>
      </c>
      <c r="CL7" s="96">
        <f>(IF(Diseño="Bloque",Bloque_A4_D,Surco_A4_D)/100)</f>
        <v>0</v>
      </c>
      <c r="CM7" s="96"/>
      <c r="CN7" s="96">
        <f>(IF(Diseño="Bloque",Bloque_A4_Y,Surco_A4_Y)/100)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",Precio_A4,".00")</f>
        <v>Ventas de café de primera:  0% | Q. .00</v>
      </c>
      <c r="B8" s="100">
        <f>B7*P_Primera*Precio_A4*Inflación_4</f>
        <v>0</v>
      </c>
      <c r="C8" s="100" t="e">
        <f>C7*P_Primera*Precio_A4</f>
        <v>#DIV/0!</v>
      </c>
      <c r="D8" s="100" t="e">
        <f>C8-B8</f>
        <v>#DIV/0!</v>
      </c>
      <c r="E8" s="475"/>
      <c r="F8" s="101">
        <f>P_A4_L1*P_Primera*Precio_A4*Inflación_4</f>
        <v>0</v>
      </c>
      <c r="G8" s="100" t="e">
        <f>G7*P_Primera*Precio_A4</f>
        <v>#DIV/0!</v>
      </c>
      <c r="H8" s="101">
        <f>P_A4_L2*P_Primera*Precio_A4*Inflación_4</f>
        <v>0</v>
      </c>
      <c r="I8" s="100" t="e">
        <f>I7*P_Primera*Precio_A4</f>
        <v>#DIV/0!</v>
      </c>
      <c r="J8" s="101">
        <f>P_A4_L3*P_Primera*Precio_A4*Inflación_4</f>
        <v>0</v>
      </c>
      <c r="K8" s="100" t="e">
        <f>K7*P_Primera*Precio_A4</f>
        <v>#DIV/0!</v>
      </c>
      <c r="L8" s="101">
        <f>P_A4_L4*P_Primera*Precio_A4*Inflación_4</f>
        <v>0</v>
      </c>
      <c r="M8" s="100" t="e">
        <f>M7*P_Primera*Precio_A4</f>
        <v>#DIV/0!</v>
      </c>
      <c r="N8" s="101">
        <f>P_A4_L5*P_Primera*Precio_A4*Inflación_4</f>
        <v>0</v>
      </c>
      <c r="O8" s="100" t="e">
        <f>O7*P_Primera*Precio_A4</f>
        <v>#DIV/0!</v>
      </c>
      <c r="P8" s="101">
        <f>P_A4_L6*P_Primera*Precio_A4*Inflación_4</f>
        <v>0</v>
      </c>
      <c r="Q8" s="100" t="e">
        <f>Q7*P_Primera*Precio_A4</f>
        <v>#DIV/0!</v>
      </c>
      <c r="R8" s="101">
        <f>P_A4_L7*P_Primera*Precio_A4*Inflación_4</f>
        <v>0</v>
      </c>
      <c r="S8" s="100" t="e">
        <f>S7*P_Primera*Precio_A4</f>
        <v>#DIV/0!</v>
      </c>
      <c r="T8" s="101">
        <f>P_A4_L8*P_Primera*Precio_A4*Inflación_4</f>
        <v>0</v>
      </c>
      <c r="U8" s="100" t="e">
        <f>U7*P_Primera*Precio_A4</f>
        <v>#DIV/0!</v>
      </c>
      <c r="V8" s="101">
        <f>P_A4_L9*P_Primera*Precio_A4*Inflación_4</f>
        <v>0</v>
      </c>
      <c r="W8" s="100" t="e">
        <f>W7*P_Primera*Precio_A4</f>
        <v>#DIV/0!</v>
      </c>
      <c r="X8" s="101">
        <f>P_A4_L10*P_Primera*Precio_A4*Inflación_4</f>
        <v>0</v>
      </c>
      <c r="Y8" s="100" t="e">
        <f>Y7*P_Primera*Precio_A4</f>
        <v>#DIV/0!</v>
      </c>
      <c r="Z8" s="101">
        <f>P_A4_L11*P_Primera*Precio_A4*Inflación_4</f>
        <v>0</v>
      </c>
      <c r="AA8" s="100" t="e">
        <f>AA7*P_Primera*Precio_A4</f>
        <v>#DIV/0!</v>
      </c>
      <c r="AB8" s="101">
        <f>P_A4_L12*P_Primera*Precio_A4*Inflación_4</f>
        <v>0</v>
      </c>
      <c r="AC8" s="100" t="e">
        <f>AC7*P_Primera*Precio_A4</f>
        <v>#DIV/0!</v>
      </c>
      <c r="AD8" s="101">
        <f>P_A4_L13*P_Primera*Precio_A4*Inflación_4</f>
        <v>0</v>
      </c>
      <c r="AE8" s="100" t="e">
        <f>AE7*P_Primera*Precio_A4</f>
        <v>#DIV/0!</v>
      </c>
      <c r="AF8" s="101">
        <f>P_A4_L14*P_Primera*Precio_A4*Inflación_4</f>
        <v>0</v>
      </c>
      <c r="AG8" s="100" t="e">
        <f>AG7*P_Primera*Precio_A4</f>
        <v>#DIV/0!</v>
      </c>
      <c r="AH8" s="101">
        <f>P_A4_L15*P_Primera*Precio_A4*Inflación_4</f>
        <v>0</v>
      </c>
      <c r="AI8" s="100" t="e">
        <f>AI7*P_Primera*Precio_A4</f>
        <v>#DIV/0!</v>
      </c>
      <c r="AJ8" s="101">
        <f>P_A4_L16*P_Primera*Precio_A4*Inflación_4</f>
        <v>0</v>
      </c>
      <c r="AK8" s="100" t="e">
        <f>AK7*P_Primera*Precio_A4</f>
        <v>#DIV/0!</v>
      </c>
      <c r="AL8" s="101">
        <f>P_A4_L17*P_Primera*Precio_A4*Inflación_4</f>
        <v>0</v>
      </c>
      <c r="AM8" s="100" t="e">
        <f>AM7*P_Primera*Precio_A4</f>
        <v>#DIV/0!</v>
      </c>
      <c r="AN8" s="101">
        <f>P_A4_L18*P_Primera*Precio_A4*Inflación_4</f>
        <v>0</v>
      </c>
      <c r="AO8" s="100" t="e">
        <f>AO7*P_Primera*Precio_A4</f>
        <v>#DIV/0!</v>
      </c>
      <c r="AP8" s="101">
        <f>P_A4_L19*P_Primera*Precio_A4*Inflación_4</f>
        <v>0</v>
      </c>
      <c r="AQ8" s="100" t="e">
        <f>AQ7*P_Primera*Precio_A4</f>
        <v>#DIV/0!</v>
      </c>
      <c r="AR8" s="101">
        <f>P_A4_L20*P_Primera*Precio_A4*Inflación_4</f>
        <v>0</v>
      </c>
      <c r="AS8" s="100" t="e">
        <f>AS7*P_Primera*Precio_A4</f>
        <v>#DIV/0!</v>
      </c>
      <c r="AT8" s="101">
        <f>P_A4_L21*P_Primera*Precio_A4*Inflación_4</f>
        <v>0</v>
      </c>
      <c r="AU8" s="100" t="e">
        <f>AU7*P_Primera*Precio_A4</f>
        <v>#DIV/0!</v>
      </c>
      <c r="AV8" s="101">
        <f>P_A4_L22*P_Primera*Precio_A4*Inflación_4</f>
        <v>0</v>
      </c>
      <c r="AW8" s="100" t="e">
        <f>AW7*P_Primera*Precio_A4</f>
        <v>#DIV/0!</v>
      </c>
      <c r="AX8" s="101">
        <f>P_A4_L23*P_Primera*Precio_A4*Inflación_4</f>
        <v>0</v>
      </c>
      <c r="AY8" s="100" t="e">
        <f>AY7*P_Primera*Precio_A4</f>
        <v>#DIV/0!</v>
      </c>
      <c r="AZ8" s="101">
        <f>P_A4_L24*P_Primera*Precio_A4*Inflación_4</f>
        <v>0</v>
      </c>
      <c r="BA8" s="100" t="e">
        <f>BA7*P_Primera*Precio_A4</f>
        <v>#DIV/0!</v>
      </c>
      <c r="BB8" s="101">
        <f>P_A4_L25*P_Primera*Precio_A4*Inflación_4</f>
        <v>0</v>
      </c>
      <c r="BC8" s="100" t="e">
        <f>BC7*P_Primera*Precio_A4</f>
        <v>#DIV/0!</v>
      </c>
      <c r="BD8" s="101">
        <f>P_A4_L26*P_Primera*Precio_A4*Inflación_4</f>
        <v>0</v>
      </c>
      <c r="BE8" s="100" t="e">
        <f>BE7*P_Primera*Precio_A4</f>
        <v>#DIV/0!</v>
      </c>
      <c r="BF8" s="101">
        <f>P_A4_L27*P_Primera*Precio_A4*Inflación_4</f>
        <v>0</v>
      </c>
      <c r="BG8" s="100" t="e">
        <f>BG7*P_Primera*Precio_A4</f>
        <v>#DIV/0!</v>
      </c>
      <c r="BH8" s="101">
        <f>P_A4_L28*P_Primera*Precio_A4*Inflación_4</f>
        <v>0</v>
      </c>
      <c r="BI8" s="100" t="e">
        <f>BI7*P_Primera*Precio_A4</f>
        <v>#DIV/0!</v>
      </c>
      <c r="BJ8" s="101">
        <f>P_A4_L29*P_Primera*Precio_A4*Inflación_4</f>
        <v>0</v>
      </c>
      <c r="BK8" s="100" t="e">
        <f>BK7*P_Primera*Precio_A4</f>
        <v>#DIV/0!</v>
      </c>
      <c r="BL8" s="101">
        <f>P_A4_L30*P_Primera*Precio_A4*Inflación_4</f>
        <v>0</v>
      </c>
      <c r="BM8" s="100" t="e">
        <f>BM7*P_Primera*Precio_A4</f>
        <v>#DIV/0!</v>
      </c>
      <c r="BN8" s="101">
        <f>P_A4_L31*P_Primera*Precio_A4*Inflación_4</f>
        <v>0</v>
      </c>
      <c r="BO8" s="100" t="e">
        <f>BO7*P_Primera*Precio_A4</f>
        <v>#DIV/0!</v>
      </c>
      <c r="BP8" s="101">
        <f>P_A4_L32*P_Primera*Precio_A4*Inflación_4</f>
        <v>0</v>
      </c>
      <c r="BQ8" s="100" t="e">
        <f>BQ7*P_Primera*Precio_A4</f>
        <v>#DIV/0!</v>
      </c>
      <c r="BR8" s="101">
        <f>P_A4_L33*P_Primera*Precio_A4*Inflación_4</f>
        <v>0</v>
      </c>
      <c r="BS8" s="100" t="e">
        <f>BS7*P_Primera*Precio_A4</f>
        <v>#DIV/0!</v>
      </c>
      <c r="BT8" s="101">
        <f>P_A4_L34*P_Primera*Precio_A4*Inflación_4</f>
        <v>0</v>
      </c>
      <c r="BU8" s="100" t="e">
        <f>BU7*P_Primera*Precio_A4</f>
        <v>#DIV/0!</v>
      </c>
      <c r="BV8" s="101">
        <f>P_A4_L35*P_Primera*Precio_A4*Inflación_4</f>
        <v>0</v>
      </c>
      <c r="BW8" s="100" t="e">
        <f>BW7*P_Primera*Precio_A4</f>
        <v>#DIV/0!</v>
      </c>
      <c r="BX8" s="101">
        <f>P_A4_L36*P_Primera*Precio_A4*Inflación_4</f>
        <v>0</v>
      </c>
      <c r="BY8" s="100" t="e">
        <f>BY7*P_Primera*Precio_A4</f>
        <v>#DIV/0!</v>
      </c>
      <c r="BZ8" s="101">
        <f>P_A4_L37*P_Primera*Precio_A4*Inflación_4</f>
        <v>0</v>
      </c>
      <c r="CA8" s="100" t="e">
        <f>CA7*P_Primera*Precio_A4</f>
        <v>#DIV/0!</v>
      </c>
      <c r="CB8" s="101">
        <f>P_A4_L38*P_Primera*Precio_A4*Inflación_4</f>
        <v>0</v>
      </c>
      <c r="CC8" s="100" t="e">
        <f>CC7*P_Primera*Precio_A4</f>
        <v>#DIV/0!</v>
      </c>
      <c r="CD8" s="101">
        <f>P_A4_L39*P_Primera*Precio_A4*Inflación_4</f>
        <v>0</v>
      </c>
      <c r="CE8" s="100" t="e">
        <f>CE7*P_Primera*Precio_A4</f>
        <v>#DIV/0!</v>
      </c>
      <c r="CF8" s="101">
        <f>P_A4_L40*P_Primera*Precio_A4*Inflación_4</f>
        <v>0</v>
      </c>
      <c r="CG8" s="100" t="e">
        <f>CG7*P_Primera*Precio_A4</f>
        <v>#DIV/0!</v>
      </c>
      <c r="CH8" s="473"/>
      <c r="CI8" s="101">
        <f>CI7*P_Primera*Precio_A4*Inflación_4</f>
        <v>0</v>
      </c>
      <c r="CJ8" s="101">
        <f>CJ7*P_Primera*Precio_A4*Inflación_4</f>
        <v>0</v>
      </c>
      <c r="CK8" s="101">
        <f>CK7*P_Primera*Precio_A4*Inflación_4</f>
        <v>0</v>
      </c>
      <c r="CL8" s="101">
        <f>CL7*P_Primera*Precio_A4*Inflación_4</f>
        <v>0</v>
      </c>
      <c r="CM8" s="101"/>
      <c r="CN8" s="101">
        <f>CN7*P_Primera*Precio_A4*Inflación_4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B7*P_Segunda*Segunda*Inflación_4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P_A4_L1*P_Segunda*Segunda*Inflación_4</f>
        <v>0</v>
      </c>
      <c r="G9" s="100" t="e">
        <f t="shared" ref="G9" si="2">G7*P_Segunda*Segunda</f>
        <v>#DIV/0!</v>
      </c>
      <c r="H9" s="101">
        <f>P_A4_L2*P_Segunda*Segunda*Inflación_4</f>
        <v>0</v>
      </c>
      <c r="I9" s="100" t="e">
        <f>I7*P_Segunda*Segunda</f>
        <v>#DIV/0!</v>
      </c>
      <c r="J9" s="101">
        <f>P_A4_L3*P_Segunda*Segunda*Inflación_4</f>
        <v>0</v>
      </c>
      <c r="K9" s="100" t="e">
        <f t="shared" ref="K9" si="3">K7*P_Segunda*Segunda</f>
        <v>#DIV/0!</v>
      </c>
      <c r="L9" s="101">
        <f>P_A4_L4*P_Segunda*Segunda*Inflación_4</f>
        <v>0</v>
      </c>
      <c r="M9" s="100" t="e">
        <f>M7*P_Segunda*Segunda</f>
        <v>#DIV/0!</v>
      </c>
      <c r="N9" s="101">
        <f>P_A4_L5*P_Segunda*Segunda*Inflación_4</f>
        <v>0</v>
      </c>
      <c r="O9" s="100" t="e">
        <f t="shared" ref="O9:Q9" si="4">O7*P_Segunda*Segunda</f>
        <v>#DIV/0!</v>
      </c>
      <c r="P9" s="101">
        <f>P_A4_L6*P_Segunda*Segunda*Inflación_4</f>
        <v>0</v>
      </c>
      <c r="Q9" s="100" t="e">
        <f t="shared" si="4"/>
        <v>#DIV/0!</v>
      </c>
      <c r="R9" s="101">
        <f>P_A4_L7*P_Segunda*Segunda*Inflación_4</f>
        <v>0</v>
      </c>
      <c r="S9" s="100" t="e">
        <f t="shared" ref="S9:U9" si="5">S7*P_Segunda*Segunda</f>
        <v>#DIV/0!</v>
      </c>
      <c r="T9" s="101">
        <f>P_A4_L8*P_Segunda*Segunda*Inflación_4</f>
        <v>0</v>
      </c>
      <c r="U9" s="100" t="e">
        <f t="shared" si="5"/>
        <v>#DIV/0!</v>
      </c>
      <c r="V9" s="101">
        <f>P_A4_L9*P_Segunda*Segunda*Inflación_4</f>
        <v>0</v>
      </c>
      <c r="W9" s="100" t="e">
        <f t="shared" ref="W9:Y9" si="6">W7*P_Segunda*Segunda</f>
        <v>#DIV/0!</v>
      </c>
      <c r="X9" s="101">
        <f>P_A4_L10*P_Segunda*Segunda*Inflación_4</f>
        <v>0</v>
      </c>
      <c r="Y9" s="100" t="e">
        <f t="shared" si="6"/>
        <v>#DIV/0!</v>
      </c>
      <c r="Z9" s="101">
        <f>P_A4_L11*P_Segunda*Segunda*Inflación_4</f>
        <v>0</v>
      </c>
      <c r="AA9" s="100" t="e">
        <f t="shared" ref="AA9:AC9" si="7">AA7*P_Segunda*Segunda</f>
        <v>#DIV/0!</v>
      </c>
      <c r="AB9" s="101">
        <f>P_A4_L12*P_Segunda*Segunda*Inflación_4</f>
        <v>0</v>
      </c>
      <c r="AC9" s="100" t="e">
        <f t="shared" si="7"/>
        <v>#DIV/0!</v>
      </c>
      <c r="AD9" s="101">
        <f>P_A4_L13*P_Segunda*Segunda*Inflación_4</f>
        <v>0</v>
      </c>
      <c r="AE9" s="100" t="e">
        <f t="shared" ref="AE9:AG9" si="8">AE7*P_Segunda*Segunda</f>
        <v>#DIV/0!</v>
      </c>
      <c r="AF9" s="101">
        <f>P_A4_L14*P_Segunda*Segunda*Inflación_4</f>
        <v>0</v>
      </c>
      <c r="AG9" s="100" t="e">
        <f t="shared" si="8"/>
        <v>#DIV/0!</v>
      </c>
      <c r="AH9" s="101">
        <f>P_A4_L15*P_Segunda*Segunda*Inflación_4</f>
        <v>0</v>
      </c>
      <c r="AI9" s="100" t="e">
        <f t="shared" ref="AI9:AK9" si="9">AI7*P_Segunda*Segunda</f>
        <v>#DIV/0!</v>
      </c>
      <c r="AJ9" s="101">
        <f>P_A4_L16*P_Segunda*Segunda*Inflación_4</f>
        <v>0</v>
      </c>
      <c r="AK9" s="100" t="e">
        <f t="shared" si="9"/>
        <v>#DIV/0!</v>
      </c>
      <c r="AL9" s="101">
        <f>P_A4_L17*P_Segunda*Segunda*Inflación_4</f>
        <v>0</v>
      </c>
      <c r="AM9" s="100" t="e">
        <f t="shared" ref="AM9:AO9" si="10">AM7*P_Segunda*Segunda</f>
        <v>#DIV/0!</v>
      </c>
      <c r="AN9" s="101">
        <f>P_A4_L18*P_Segunda*Segunda*Inflación_4</f>
        <v>0</v>
      </c>
      <c r="AO9" s="100" t="e">
        <f t="shared" si="10"/>
        <v>#DIV/0!</v>
      </c>
      <c r="AP9" s="101">
        <f>P_A4_L19*P_Segunda*Segunda*Inflación_4</f>
        <v>0</v>
      </c>
      <c r="AQ9" s="100" t="e">
        <f t="shared" ref="AQ9:AS9" si="11">AQ7*P_Segunda*Segunda</f>
        <v>#DIV/0!</v>
      </c>
      <c r="AR9" s="101">
        <f>P_A4_L20*P_Segunda*Segunda*Inflación_4</f>
        <v>0</v>
      </c>
      <c r="AS9" s="100" t="e">
        <f t="shared" si="11"/>
        <v>#DIV/0!</v>
      </c>
      <c r="AT9" s="101">
        <f>P_A4_L21*P_Segunda*Segunda*Inflación_4</f>
        <v>0</v>
      </c>
      <c r="AU9" s="100" t="e">
        <f t="shared" ref="AU9:AW9" si="12">AU7*P_Segunda*Segunda</f>
        <v>#DIV/0!</v>
      </c>
      <c r="AV9" s="101">
        <f>P_A4_L22*P_Segunda*Segunda*Inflación_4</f>
        <v>0</v>
      </c>
      <c r="AW9" s="100" t="e">
        <f t="shared" si="12"/>
        <v>#DIV/0!</v>
      </c>
      <c r="AX9" s="101">
        <f>P_A4_L23*P_Segunda*Segunda*Inflación_4</f>
        <v>0</v>
      </c>
      <c r="AY9" s="100" t="e">
        <f t="shared" ref="AY9:BA9" si="13">AY7*P_Segunda*Segunda</f>
        <v>#DIV/0!</v>
      </c>
      <c r="AZ9" s="101">
        <f>P_A4_L24*P_Segunda*Segunda*Inflación_4</f>
        <v>0</v>
      </c>
      <c r="BA9" s="100" t="e">
        <f t="shared" si="13"/>
        <v>#DIV/0!</v>
      </c>
      <c r="BB9" s="101">
        <f>P_A4_L25*P_Segunda*Segunda*Inflación_4</f>
        <v>0</v>
      </c>
      <c r="BC9" s="100" t="e">
        <f t="shared" ref="BC9:BE9" si="14">BC7*P_Segunda*Segunda</f>
        <v>#DIV/0!</v>
      </c>
      <c r="BD9" s="101">
        <f>P_A4_L26*P_Segunda*Segunda*Inflación_4</f>
        <v>0</v>
      </c>
      <c r="BE9" s="100" t="e">
        <f t="shared" si="14"/>
        <v>#DIV/0!</v>
      </c>
      <c r="BF9" s="101">
        <f>P_A4_L27*P_Segunda*Segunda*Inflación_4</f>
        <v>0</v>
      </c>
      <c r="BG9" s="100" t="e">
        <f t="shared" ref="BG9:BI9" si="15">BG7*P_Segunda*Segunda</f>
        <v>#DIV/0!</v>
      </c>
      <c r="BH9" s="101">
        <f>P_A4_L28*P_Segunda*Segunda*Inflación_4</f>
        <v>0</v>
      </c>
      <c r="BI9" s="100" t="e">
        <f t="shared" si="15"/>
        <v>#DIV/0!</v>
      </c>
      <c r="BJ9" s="101">
        <f>P_A4_L29*P_Segunda*Segunda*Inflación_4</f>
        <v>0</v>
      </c>
      <c r="BK9" s="100" t="e">
        <f t="shared" ref="BK9:BM9" si="16">BK7*P_Segunda*Segunda</f>
        <v>#DIV/0!</v>
      </c>
      <c r="BL9" s="101">
        <f>P_A4_L30*P_Segunda*Segunda*Inflación_4</f>
        <v>0</v>
      </c>
      <c r="BM9" s="100" t="e">
        <f t="shared" si="16"/>
        <v>#DIV/0!</v>
      </c>
      <c r="BN9" s="101">
        <f>P_A4_L31*P_Segunda*Segunda*Inflación_4</f>
        <v>0</v>
      </c>
      <c r="BO9" s="100" t="e">
        <f t="shared" ref="BO9:BQ9" si="17">BO7*P_Segunda*Segunda</f>
        <v>#DIV/0!</v>
      </c>
      <c r="BP9" s="101">
        <f>P_A4_L32*P_Segunda*Segunda*Inflación_4</f>
        <v>0</v>
      </c>
      <c r="BQ9" s="100" t="e">
        <f t="shared" si="17"/>
        <v>#DIV/0!</v>
      </c>
      <c r="BR9" s="101">
        <f>P_A4_L33*P_Segunda*Segunda*Inflación_4</f>
        <v>0</v>
      </c>
      <c r="BS9" s="100" t="e">
        <f t="shared" ref="BS9:BU9" si="18">BS7*P_Segunda*Segunda</f>
        <v>#DIV/0!</v>
      </c>
      <c r="BT9" s="101">
        <f>P_A4_L34*P_Segunda*Segunda*Inflación_4</f>
        <v>0</v>
      </c>
      <c r="BU9" s="100" t="e">
        <f t="shared" si="18"/>
        <v>#DIV/0!</v>
      </c>
      <c r="BV9" s="101">
        <f>P_A4_L35*P_Segunda*Segunda*Inflación_4</f>
        <v>0</v>
      </c>
      <c r="BW9" s="100" t="e">
        <f t="shared" ref="BW9:BY9" si="19">BW7*P_Segunda*Segunda</f>
        <v>#DIV/0!</v>
      </c>
      <c r="BX9" s="101">
        <f>P_A4_L36*P_Segunda*Segunda*Inflación_4</f>
        <v>0</v>
      </c>
      <c r="BY9" s="100" t="e">
        <f t="shared" si="19"/>
        <v>#DIV/0!</v>
      </c>
      <c r="BZ9" s="101">
        <f>P_A4_L37*P_Segunda*Segunda*Inflación_4</f>
        <v>0</v>
      </c>
      <c r="CA9" s="100" t="e">
        <f t="shared" ref="CA9:CC9" si="20">CA7*P_Segunda*Segunda</f>
        <v>#DIV/0!</v>
      </c>
      <c r="CB9" s="101">
        <f>P_A4_L38*P_Segunda*Segunda*Inflación_4</f>
        <v>0</v>
      </c>
      <c r="CC9" s="100" t="e">
        <f t="shared" si="20"/>
        <v>#DIV/0!</v>
      </c>
      <c r="CD9" s="101">
        <f>P_A4_L39*P_Segunda*Segunda*Inflación_4</f>
        <v>0</v>
      </c>
      <c r="CE9" s="100" t="e">
        <f t="shared" ref="CE9:CG9" si="21">CE7*P_Segunda*Segunda</f>
        <v>#DIV/0!</v>
      </c>
      <c r="CF9" s="101">
        <f>P_A4_L40*P_Segunda*Segunda*Inflación_4</f>
        <v>0</v>
      </c>
      <c r="CG9" s="100" t="e">
        <f t="shared" si="21"/>
        <v>#DIV/0!</v>
      </c>
      <c r="CH9" s="473"/>
      <c r="CI9" s="101">
        <f>CI7*P_Segunda*Segunda*Inflación_4</f>
        <v>0</v>
      </c>
      <c r="CJ9" s="101">
        <f>CJ7*P_Segunda*Segunda*Inflación_4</f>
        <v>0</v>
      </c>
      <c r="CK9" s="101">
        <f>CK7*P_Segunda*Segunda*Inflación_4</f>
        <v>0</v>
      </c>
      <c r="CL9" s="101">
        <f>CL7*P_Segunda*Segunda*Inflación_4</f>
        <v>0</v>
      </c>
      <c r="CM9" s="101"/>
      <c r="CN9" s="101">
        <f>CN7*P_Segunda*Segunda*Inflación_4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B7*P_Inferior*Inferior*Inflación_4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P_A4_L1*P_Inferior*Inferior*Inflación_4</f>
        <v>0</v>
      </c>
      <c r="G10" s="100" t="e">
        <f t="shared" ref="G10" si="23">G7*P_Inferior*Inferior</f>
        <v>#DIV/0!</v>
      </c>
      <c r="H10" s="101">
        <f>P_A4_L2*P_Inferior*Inferior*Inflación_4</f>
        <v>0</v>
      </c>
      <c r="I10" s="100" t="e">
        <f>I7*P_Inferior*Inferior</f>
        <v>#DIV/0!</v>
      </c>
      <c r="J10" s="101">
        <f>P_A4_L3*P_Inferior*Inferior*Inflación_4</f>
        <v>0</v>
      </c>
      <c r="K10" s="100" t="e">
        <f t="shared" ref="K10" si="24">K7*P_Inferior*Inferior</f>
        <v>#DIV/0!</v>
      </c>
      <c r="L10" s="101">
        <f>P_A4_L4*P_Inferior*Inferior*Inflación_4</f>
        <v>0</v>
      </c>
      <c r="M10" s="100" t="e">
        <f>M7*P_Inferior*Inferior</f>
        <v>#DIV/0!</v>
      </c>
      <c r="N10" s="101">
        <f>P_A4_L5*P_Inferior*Inferior*Inflación_4</f>
        <v>0</v>
      </c>
      <c r="O10" s="100" t="e">
        <f t="shared" ref="O10:Q10" si="25">O7*P_Inferior*Inferior</f>
        <v>#DIV/0!</v>
      </c>
      <c r="P10" s="101">
        <f>P_A4_L6*P_Inferior*Inferior*Inflación_4</f>
        <v>0</v>
      </c>
      <c r="Q10" s="100" t="e">
        <f t="shared" si="25"/>
        <v>#DIV/0!</v>
      </c>
      <c r="R10" s="101">
        <f>P_A4_L7*P_Inferior*Inferior*Inflación_4</f>
        <v>0</v>
      </c>
      <c r="S10" s="100" t="e">
        <f t="shared" ref="S10:U10" si="26">S7*P_Inferior*Inferior</f>
        <v>#DIV/0!</v>
      </c>
      <c r="T10" s="101">
        <f>P_A4_L8*P_Inferior*Inferior*Inflación_4</f>
        <v>0</v>
      </c>
      <c r="U10" s="100" t="e">
        <f t="shared" si="26"/>
        <v>#DIV/0!</v>
      </c>
      <c r="V10" s="101">
        <f>P_A4_L9*P_Inferior*Inferior*Inflación_4</f>
        <v>0</v>
      </c>
      <c r="W10" s="100" t="e">
        <f t="shared" ref="W10:Y10" si="27">W7*P_Inferior*Inferior</f>
        <v>#DIV/0!</v>
      </c>
      <c r="X10" s="101">
        <f>P_A4_L10*P_Inferior*Inferior*Inflación_4</f>
        <v>0</v>
      </c>
      <c r="Y10" s="100" t="e">
        <f t="shared" si="27"/>
        <v>#DIV/0!</v>
      </c>
      <c r="Z10" s="101">
        <f>P_A4_L11*P_Inferior*Inferior*Inflación_4</f>
        <v>0</v>
      </c>
      <c r="AA10" s="100" t="e">
        <f t="shared" ref="AA10:AC10" si="28">AA7*P_Inferior*Inferior</f>
        <v>#DIV/0!</v>
      </c>
      <c r="AB10" s="101">
        <f>P_A4_L12*P_Inferior*Inferior*Inflación_4</f>
        <v>0</v>
      </c>
      <c r="AC10" s="100" t="e">
        <f t="shared" si="28"/>
        <v>#DIV/0!</v>
      </c>
      <c r="AD10" s="101">
        <f>P_A4_L13*P_Inferior*Inferior*Inflación_4</f>
        <v>0</v>
      </c>
      <c r="AE10" s="100" t="e">
        <f t="shared" ref="AE10:AG10" si="29">AE7*P_Inferior*Inferior</f>
        <v>#DIV/0!</v>
      </c>
      <c r="AF10" s="101">
        <f>P_A4_L14*P_Inferior*Inferior*Inflación_4</f>
        <v>0</v>
      </c>
      <c r="AG10" s="100" t="e">
        <f t="shared" si="29"/>
        <v>#DIV/0!</v>
      </c>
      <c r="AH10" s="101">
        <f>P_A4_L15*P_Inferior*Inferior*Inflación_4</f>
        <v>0</v>
      </c>
      <c r="AI10" s="100" t="e">
        <f t="shared" ref="AI10:AK10" si="30">AI7*P_Inferior*Inferior</f>
        <v>#DIV/0!</v>
      </c>
      <c r="AJ10" s="101">
        <f>P_A4_L16*P_Inferior*Inferior*Inflación_4</f>
        <v>0</v>
      </c>
      <c r="AK10" s="100" t="e">
        <f t="shared" si="30"/>
        <v>#DIV/0!</v>
      </c>
      <c r="AL10" s="101">
        <f>P_A4_L17*P_Inferior*Inferior*Inflación_4</f>
        <v>0</v>
      </c>
      <c r="AM10" s="100" t="e">
        <f t="shared" ref="AM10:AO10" si="31">AM7*P_Inferior*Inferior</f>
        <v>#DIV/0!</v>
      </c>
      <c r="AN10" s="101">
        <f>P_A4_L18*P_Inferior*Inferior*Inflación_4</f>
        <v>0</v>
      </c>
      <c r="AO10" s="100" t="e">
        <f t="shared" si="31"/>
        <v>#DIV/0!</v>
      </c>
      <c r="AP10" s="101">
        <f>P_A4_L19*P_Inferior*Inferior*Inflación_4</f>
        <v>0</v>
      </c>
      <c r="AQ10" s="100" t="e">
        <f t="shared" ref="AQ10:AS10" si="32">AQ7*P_Inferior*Inferior</f>
        <v>#DIV/0!</v>
      </c>
      <c r="AR10" s="101">
        <f>P_A4_L20*P_Inferior*Inferior*Inflación_4</f>
        <v>0</v>
      </c>
      <c r="AS10" s="100" t="e">
        <f t="shared" si="32"/>
        <v>#DIV/0!</v>
      </c>
      <c r="AT10" s="101">
        <f>P_A4_L21*P_Inferior*Inferior*Inflación_4</f>
        <v>0</v>
      </c>
      <c r="AU10" s="100" t="e">
        <f t="shared" ref="AU10:AW10" si="33">AU7*P_Inferior*Inferior</f>
        <v>#DIV/0!</v>
      </c>
      <c r="AV10" s="101">
        <f>P_A4_L22*P_Inferior*Inferior*Inflación_4</f>
        <v>0</v>
      </c>
      <c r="AW10" s="100" t="e">
        <f t="shared" si="33"/>
        <v>#DIV/0!</v>
      </c>
      <c r="AX10" s="101">
        <f>P_A4_L23*P_Inferior*Inferior*Inflación_4</f>
        <v>0</v>
      </c>
      <c r="AY10" s="100" t="e">
        <f t="shared" ref="AY10:BA10" si="34">AY7*P_Inferior*Inferior</f>
        <v>#DIV/0!</v>
      </c>
      <c r="AZ10" s="101">
        <f>P_A4_L24*P_Inferior*Inferior*Inflación_4</f>
        <v>0</v>
      </c>
      <c r="BA10" s="100" t="e">
        <f t="shared" si="34"/>
        <v>#DIV/0!</v>
      </c>
      <c r="BB10" s="101">
        <f>P_A4_L25*P_Inferior*Inferior*Inflación_4</f>
        <v>0</v>
      </c>
      <c r="BC10" s="100" t="e">
        <f t="shared" ref="BC10:BE10" si="35">BC7*P_Inferior*Inferior</f>
        <v>#DIV/0!</v>
      </c>
      <c r="BD10" s="101">
        <f>P_A4_L26*P_Inferior*Inferior*Inflación_4</f>
        <v>0</v>
      </c>
      <c r="BE10" s="100" t="e">
        <f t="shared" si="35"/>
        <v>#DIV/0!</v>
      </c>
      <c r="BF10" s="101">
        <f>P_A4_L27*P_Inferior*Inferior*Inflación_4</f>
        <v>0</v>
      </c>
      <c r="BG10" s="100" t="e">
        <f t="shared" ref="BG10:BI10" si="36">BG7*P_Inferior*Inferior</f>
        <v>#DIV/0!</v>
      </c>
      <c r="BH10" s="101">
        <f>P_A4_L28*P_Inferior*Inferior*Inflación_4</f>
        <v>0</v>
      </c>
      <c r="BI10" s="100" t="e">
        <f t="shared" si="36"/>
        <v>#DIV/0!</v>
      </c>
      <c r="BJ10" s="101">
        <f>P_A4_L29*P_Inferior*Inferior*Inflación_4</f>
        <v>0</v>
      </c>
      <c r="BK10" s="100" t="e">
        <f t="shared" ref="BK10:BM10" si="37">BK7*P_Inferior*Inferior</f>
        <v>#DIV/0!</v>
      </c>
      <c r="BL10" s="101">
        <f>P_A4_L30*P_Inferior*Inferior*Inflación_4</f>
        <v>0</v>
      </c>
      <c r="BM10" s="100" t="e">
        <f t="shared" si="37"/>
        <v>#DIV/0!</v>
      </c>
      <c r="BN10" s="101">
        <f>P_A4_L31*P_Inferior*Inferior*Inflación_4</f>
        <v>0</v>
      </c>
      <c r="BO10" s="100" t="e">
        <f t="shared" ref="BO10:BQ10" si="38">BO7*P_Inferior*Inferior</f>
        <v>#DIV/0!</v>
      </c>
      <c r="BP10" s="101">
        <f>P_A4_L32*P_Inferior*Inferior*Inflación_4</f>
        <v>0</v>
      </c>
      <c r="BQ10" s="100" t="e">
        <f t="shared" si="38"/>
        <v>#DIV/0!</v>
      </c>
      <c r="BR10" s="101">
        <f>P_A4_L33*P_Inferior*Inferior*Inflación_4</f>
        <v>0</v>
      </c>
      <c r="BS10" s="100" t="e">
        <f t="shared" ref="BS10:BU10" si="39">BS7*P_Inferior*Inferior</f>
        <v>#DIV/0!</v>
      </c>
      <c r="BT10" s="101">
        <f>P_A4_L34*P_Inferior*Inferior*Inflación_4</f>
        <v>0</v>
      </c>
      <c r="BU10" s="100" t="e">
        <f t="shared" si="39"/>
        <v>#DIV/0!</v>
      </c>
      <c r="BV10" s="101">
        <f>P_A4_L35*P_Inferior*Inferior*Inflación_4</f>
        <v>0</v>
      </c>
      <c r="BW10" s="100" t="e">
        <f t="shared" ref="BW10:BY10" si="40">BW7*P_Inferior*Inferior</f>
        <v>#DIV/0!</v>
      </c>
      <c r="BX10" s="101">
        <f>P_A4_L36*P_Inferior*Inferior*Inflación_4</f>
        <v>0</v>
      </c>
      <c r="BY10" s="100" t="e">
        <f t="shared" si="40"/>
        <v>#DIV/0!</v>
      </c>
      <c r="BZ10" s="101">
        <f>P_A4_L37*P_Inferior*Inferior*Inflación_4</f>
        <v>0</v>
      </c>
      <c r="CA10" s="100" t="e">
        <f t="shared" ref="CA10:CC10" si="41">CA7*P_Inferior*Inferior</f>
        <v>#DIV/0!</v>
      </c>
      <c r="CB10" s="101">
        <f>P_A4_L38*P_Inferior*Inferior*Inflación_4</f>
        <v>0</v>
      </c>
      <c r="CC10" s="100" t="e">
        <f t="shared" si="41"/>
        <v>#DIV/0!</v>
      </c>
      <c r="CD10" s="101">
        <f>P_A4_L39*P_Inferior*Inferior*Inflación_4</f>
        <v>0</v>
      </c>
      <c r="CE10" s="100" t="e">
        <f t="shared" ref="CE10:CG10" si="42">CE7*P_Inferior*Inferior</f>
        <v>#DIV/0!</v>
      </c>
      <c r="CF10" s="101">
        <f>P_A4_L40*P_Inferior*Inferior*Inflación_4</f>
        <v>0</v>
      </c>
      <c r="CG10" s="100" t="e">
        <f t="shared" si="42"/>
        <v>#DIV/0!</v>
      </c>
      <c r="CH10" s="473"/>
      <c r="CI10" s="101">
        <f>CI7*P_Inferior*Inferior*Inflación_4</f>
        <v>0</v>
      </c>
      <c r="CJ10" s="101">
        <f>CJ7*P_Inferior*Inferior*Inflación_4</f>
        <v>0</v>
      </c>
      <c r="CK10" s="101">
        <f>CK7*P_Inferior*Inferior*Inflación_4</f>
        <v>0</v>
      </c>
      <c r="CL10" s="101">
        <f>CL7*P_Inferior*Inferior*Inflación_4</f>
        <v>0</v>
      </c>
      <c r="CM10" s="101"/>
      <c r="CN10" s="101">
        <f>CN7*P_Inferior*Inferior*Inflación_4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SUMIFS('9'!$E:$E,'9'!$A:$A,Año_Inicial+3,'9'!$D:$D,"Poda")</f>
        <v>0</v>
      </c>
      <c r="D14" s="100">
        <f t="shared" ref="D14:D44" si="45">C14-B14</f>
        <v>0</v>
      </c>
      <c r="E14" s="473"/>
      <c r="F14" s="101">
        <f>((A4_A_L1*Poda_A)+(A4_B_L1*Poda_B)+(A4_C_L1*Poda_C)+(A4_D_L1*Poda_D)+(A4_Y_L1*Poda_Y))*Inflación_4</f>
        <v>0</v>
      </c>
      <c r="G14" s="101">
        <f>SUMIFS('9'!$E:$E,'9'!$A:$A,Año_Inicial+3,'9'!$B:$B,'12'!F$4,'9'!$D:$D,"Poda")</f>
        <v>0</v>
      </c>
      <c r="H14" s="101">
        <f>((A4_A_L2*Poda_A)+(A4_B_L2*Poda_B)+(A4_C_L2*Poda_C)+(A4_D_L2*Poda_D)+(A4_Y_L2*Poda_Y))*Inflación_4</f>
        <v>0</v>
      </c>
      <c r="I14" s="101">
        <f>SUMIFS('9'!$E:$E,'9'!$A:$A,Año_Inicial+3,'9'!$B:$B,'12'!H$4,'9'!$D:$D,"Poda")</f>
        <v>0</v>
      </c>
      <c r="J14" s="101">
        <f>((A4_A_L3*Poda_A)+(A4_B_L3*Poda_B)+(A4_C_L3*Poda_C)+(A4_D_L3*Poda_D)+(A4_Y_L3*Poda_Y))*Inflación_4</f>
        <v>0</v>
      </c>
      <c r="K14" s="101">
        <f>SUMIFS('9'!$E:$E,'9'!$A:$A,Año_Inicial+3,'9'!$B:$B,'12'!J$4,'9'!$D:$D,"Poda")</f>
        <v>0</v>
      </c>
      <c r="L14" s="101">
        <f>((A4_A_L4*Poda_A)+(A4_B_L4*Poda_B)+(A4_C_L4*Poda_C)+(A4_D_L4*Poda_D)+(A4_Y_L4*Poda_Y))*Inflación_4</f>
        <v>0</v>
      </c>
      <c r="M14" s="101">
        <f>SUMIFS('9'!$E:$E,'9'!$A:$A,Año_Inicial+3,'9'!$B:$B,'12'!L$4,'9'!$D:$D,"Poda")</f>
        <v>0</v>
      </c>
      <c r="N14" s="101">
        <f>((A4_A_L5*Poda_A)+(A4_B_L5*Poda_B)+(A4_C_L5*Poda_C)+(A4_D_L5*Poda_D)+(A4_Y_L5*Poda_Y))*Inflación_4</f>
        <v>0</v>
      </c>
      <c r="O14" s="101">
        <f>SUMIFS('9'!$E:$E,'9'!$A:$A,Año_Inicial+3,'9'!$B:$B,'12'!N$4,'9'!$D:$D,"Poda")</f>
        <v>0</v>
      </c>
      <c r="P14" s="101">
        <f>((A4_A_L6*Poda_A)+(A4_B_L6*Poda_B)+(A4_C_L6*Poda_C)+(A4_D_L6*Poda_D)+(A4_Y_L6*Poda_Y))*Inflación_4</f>
        <v>0</v>
      </c>
      <c r="Q14" s="101">
        <f>SUMIFS('9'!$E:$E,'9'!$A:$A,Año_Inicial+3,'9'!$B:$B,'12'!P$4,'9'!$D:$D,"Poda")</f>
        <v>0</v>
      </c>
      <c r="R14" s="101">
        <f>((A4_A_L7*Poda_A)+(A4_B_L7*Poda_B)+(A4_C_L7*Poda_C)+(A4_D_L7*Poda_D)+(A4_Y_L7*Poda_Y))*Inflación_4</f>
        <v>0</v>
      </c>
      <c r="S14" s="101">
        <f>SUMIFS('9'!$E:$E,'9'!$A:$A,Año_Inicial+3,'9'!$B:$B,'12'!R$4,'9'!$D:$D,"Poda")</f>
        <v>0</v>
      </c>
      <c r="T14" s="101">
        <f>((A4_A_L8*Poda_A)+(A4_B_L8*Poda_B)+(A4_C_L8*Poda_C)+(A4_D_L8*Poda_D)+(A4_Y_L8*Poda_Y))*Inflación_4</f>
        <v>0</v>
      </c>
      <c r="U14" s="101">
        <f>SUMIFS('9'!$E:$E,'9'!$A:$A,Año_Inicial+3,'9'!$B:$B,'12'!T$4,'9'!$D:$D,"Poda")</f>
        <v>0</v>
      </c>
      <c r="V14" s="101">
        <f>((A4_A_L9*Poda_A)+(A4_B_L9*Poda_B)+(A4_C_L9*Poda_C)+(A4_D_L9*Poda_D)+(A4_Y_L9*Poda_Y))*Inflación_4</f>
        <v>0</v>
      </c>
      <c r="W14" s="101">
        <f>SUMIFS('9'!$E:$E,'9'!$A:$A,Año_Inicial+3,'9'!$B:$B,'12'!V$4,'9'!$D:$D,"Poda")</f>
        <v>0</v>
      </c>
      <c r="X14" s="101">
        <f>((A4_A_L10*Poda_A)+(A4_B_L10*Poda_B)+(A4_C_L10*Poda_C)+(A4_D_L10*Poda_D)+(A4_Y_L10*Poda_Y))*Inflación_4</f>
        <v>0</v>
      </c>
      <c r="Y14" s="101">
        <f>SUMIFS('9'!$E:$E,'9'!$A:$A,Año_Inicial+3,'9'!$B:$B,'12'!X$4,'9'!$D:$D,"Poda")</f>
        <v>0</v>
      </c>
      <c r="Z14" s="101">
        <f>((A4_A_L11*Poda_A)+(A4_B_L11*Poda_B)+(A4_C_L11*Poda_C)+(A4_D_L11*Poda_D)+(A4_Y_L11*Poda_Y))*Inflación_4</f>
        <v>0</v>
      </c>
      <c r="AA14" s="101">
        <f>SUMIFS('9'!$E:$E,'9'!$A:$A,Año_Inicial+3,'9'!$B:$B,'12'!Z$4,'9'!$D:$D,"Poda")</f>
        <v>0</v>
      </c>
      <c r="AB14" s="101">
        <f>((A4_A_L12*Poda_A)+(A4_B_L12*Poda_B)+(A4_C_L12*Poda_C)+(A4_D_L12*Poda_D)+(A4_Y_L12*Poda_Y))*Inflación_4</f>
        <v>0</v>
      </c>
      <c r="AC14" s="101">
        <f>SUMIFS('9'!$E:$E,'9'!$A:$A,Año_Inicial+3,'9'!$B:$B,'12'!AB$4,'9'!$D:$D,"Poda")</f>
        <v>0</v>
      </c>
      <c r="AD14" s="101">
        <f>((A4_A_L13*Poda_A)+(A4_B_L13*Poda_B)+(A4_C_L13*Poda_C)+(A4_D_L13*Poda_D)+(A4_Y_L13*Poda_Y))*Inflación_4</f>
        <v>0</v>
      </c>
      <c r="AE14" s="101">
        <f>SUMIFS('9'!$E:$E,'9'!$A:$A,Año_Inicial+3,'9'!$B:$B,'12'!AD$4,'9'!$D:$D,"Poda")</f>
        <v>0</v>
      </c>
      <c r="AF14" s="101">
        <f>((A4_A_L14*Poda_A)+(A4_B_L14*Poda_B)+(A4_C_L14*Poda_C)+(A4_D_L14*Poda_D)+(A4_Y_L14*Poda_Y))*Inflación_4</f>
        <v>0</v>
      </c>
      <c r="AG14" s="101">
        <f>SUMIFS('9'!$E:$E,'9'!$A:$A,Año_Inicial+3,'9'!$B:$B,'12'!AF$4,'9'!$D:$D,"Poda")</f>
        <v>0</v>
      </c>
      <c r="AH14" s="101">
        <f>((A4_A_L15*Poda_A)+(A4_B_L15*Poda_B)+(A4_C_L15*Poda_C)+(A4_D_L15*Poda_D)+(A4_Y_L15*Poda_Y))*Inflación_4</f>
        <v>0</v>
      </c>
      <c r="AI14" s="101">
        <f>SUMIFS('9'!$E:$E,'9'!$A:$A,Año_Inicial+3,'9'!$B:$B,'12'!AH$4,'9'!$D:$D,"Poda")</f>
        <v>0</v>
      </c>
      <c r="AJ14" s="101">
        <f>((A4_A_L16*Poda_A)+(A4_B_L16*Poda_B)+(A4_C_L16*Poda_C)+(A4_D_L16*Poda_D)+(A4_Y_L16*Poda_Y))*Inflación_4</f>
        <v>0</v>
      </c>
      <c r="AK14" s="101">
        <f>SUMIFS('9'!$E:$E,'9'!$A:$A,Año_Inicial+3,'9'!$B:$B,'12'!AJ$4,'9'!$D:$D,"Poda")</f>
        <v>0</v>
      </c>
      <c r="AL14" s="101">
        <f>((A4_A_L17*Poda_A)+(A4_B_L17*Poda_B)+(A4_C_L17*Poda_C)+(A4_D_L17*Poda_D)+(A4_Y_L17*Poda_Y))*Inflación_4</f>
        <v>0</v>
      </c>
      <c r="AM14" s="101">
        <f>SUMIFS('9'!$E:$E,'9'!$A:$A,Año_Inicial+3,'9'!$B:$B,'12'!AL$4,'9'!$D:$D,"Poda")</f>
        <v>0</v>
      </c>
      <c r="AN14" s="101">
        <f>((A4_A_L18*Poda_A)+(A4_B_L18*Poda_B)+(A4_C_L18*Poda_C)+(A4_D_L18*Poda_D)+(A4_Y_L18*Poda_Y))*Inflación_4</f>
        <v>0</v>
      </c>
      <c r="AO14" s="101">
        <f>SUMIFS('9'!$E:$E,'9'!$A:$A,Año_Inicial+3,'9'!$B:$B,'12'!AN$4,'9'!$D:$D,"Poda")</f>
        <v>0</v>
      </c>
      <c r="AP14" s="101">
        <f>((A4_A_L19*Poda_A)+(A4_B_L19*Poda_B)+(A4_C_L19*Poda_C)+(A4_D_L19*Poda_D)+(A4_Y_L19*Poda_Y))*Inflación_4</f>
        <v>0</v>
      </c>
      <c r="AQ14" s="101">
        <f>SUMIFS('9'!$E:$E,'9'!$A:$A,Año_Inicial+3,'9'!$B:$B,'12'!AP$4,'9'!$D:$D,"Poda")</f>
        <v>0</v>
      </c>
      <c r="AR14" s="101">
        <f>((A4_A_L20*Poda_A)+(A4_B_L20*Poda_B)+(A4_C_L20*Poda_C)+(A4_D_L20*Poda_D)+(A4_Y_L20*Poda_Y))*Inflación_4</f>
        <v>0</v>
      </c>
      <c r="AS14" s="101">
        <f>SUMIFS('9'!$E:$E,'9'!$A:$A,Año_Inicial+3,'9'!$B:$B,'12'!AR$4,'9'!$D:$D,"Poda")</f>
        <v>0</v>
      </c>
      <c r="AT14" s="101">
        <f>((A4_A_L21*Poda_A)+(A4_B_L21*Poda_B)+(A4_C_L21*Poda_C)+(A4_D_L21*Poda_D)+(A4_Y_L21*Poda_Y))*Inflación_4</f>
        <v>0</v>
      </c>
      <c r="AU14" s="101">
        <f>SUMIFS('9'!$E:$E,'9'!$A:$A,Año_Inicial+3,'9'!$B:$B,'12'!AT$4,'9'!$D:$D,"Poda")</f>
        <v>0</v>
      </c>
      <c r="AV14" s="101">
        <f>((A4_A_L22*Poda_A)+(A4_B_L22*Poda_B)+(A4_C_L22*Poda_C)+(A4_D_L22*Poda_D)+(A4_Y_L22*Poda_Y))*Inflación_4</f>
        <v>0</v>
      </c>
      <c r="AW14" s="101">
        <f>SUMIFS('9'!$E:$E,'9'!$A:$A,Año_Inicial+3,'9'!$B:$B,'12'!AV$4,'9'!$D:$D,"Poda")</f>
        <v>0</v>
      </c>
      <c r="AX14" s="101">
        <f>((A4_A_L23*Poda_A)+(A4_B_L23*Poda_B)+(A4_C_L23*Poda_C)+(A4_D_L23*Poda_D)+(A4_Y_L23*Poda_Y))*Inflación_4</f>
        <v>0</v>
      </c>
      <c r="AY14" s="101">
        <f>SUMIFS('9'!$E:$E,'9'!$A:$A,Año_Inicial+3,'9'!$B:$B,'12'!AX$4,'9'!$D:$D,"Poda")</f>
        <v>0</v>
      </c>
      <c r="AZ14" s="101">
        <f>((A4_A_L24*Poda_A)+(A4_B_L24*Poda_B)+(A4_C_L24*Poda_C)+(A4_D_L24*Poda_D)+(A4_Y_L24*Poda_Y))*Inflación_4</f>
        <v>0</v>
      </c>
      <c r="BA14" s="101">
        <f>SUMIFS('9'!$E:$E,'9'!$A:$A,Año_Inicial+3,'9'!$B:$B,'12'!AZ$4,'9'!$D:$D,"Poda")</f>
        <v>0</v>
      </c>
      <c r="BB14" s="101">
        <f>((A4_A_L25*Poda_A)+(A4_B_L25*Poda_B)+(A4_C_L25*Poda_C)+(A4_D_L25*Poda_D)+(A4_Y_L25*Poda_Y))*Inflación_4</f>
        <v>0</v>
      </c>
      <c r="BC14" s="101">
        <f>SUMIFS('9'!$E:$E,'9'!$A:$A,Año_Inicial+3,'9'!$B:$B,'12'!BB$4,'9'!$D:$D,"Poda")</f>
        <v>0</v>
      </c>
      <c r="BD14" s="101">
        <f>((A4_A_L26*Poda_A)+(A4_B_L26*Poda_B)+(A4_C_L26*Poda_C)+(A4_D_L26*Poda_D)+(A4_Y_L26*Poda_Y))*Inflación_4</f>
        <v>0</v>
      </c>
      <c r="BE14" s="101">
        <f>SUMIFS('9'!$E:$E,'9'!$A:$A,Año_Inicial+3,'9'!$B:$B,'12'!BD$4,'9'!$D:$D,"Poda")</f>
        <v>0</v>
      </c>
      <c r="BF14" s="101">
        <f>((A4_A_L27*Poda_A)+(A4_B_L27*Poda_B)+(A4_C_L27*Poda_C)+(A4_D_L27*Poda_D)+(A4_Y_L27*Poda_Y))*Inflación_4</f>
        <v>0</v>
      </c>
      <c r="BG14" s="101">
        <f>SUMIFS('9'!$E:$E,'9'!$A:$A,Año_Inicial+3,'9'!$B:$B,'12'!BF$4,'9'!$D:$D,"Poda")</f>
        <v>0</v>
      </c>
      <c r="BH14" s="101">
        <f>((A4_A_L28*Poda_A)+(A4_B_L28*Poda_B)+(A4_C_L28*Poda_C)+(A4_D_L28*Poda_D)+(A4_Y_L28*Poda_Y))*Inflación_4</f>
        <v>0</v>
      </c>
      <c r="BI14" s="101">
        <f>SUMIFS('9'!$E:$E,'9'!$A:$A,Año_Inicial+3,'9'!$B:$B,'12'!BH$4,'9'!$D:$D,"Poda")</f>
        <v>0</v>
      </c>
      <c r="BJ14" s="101">
        <f>((A4_A_L29*Poda_A)+(A4_B_L29*Poda_B)+(A4_C_L29*Poda_C)+(A4_D_L29*Poda_D)+(A4_Y_L29*Poda_Y))*Inflación_4</f>
        <v>0</v>
      </c>
      <c r="BK14" s="101">
        <f>SUMIFS('9'!$E:$E,'9'!$A:$A,Año_Inicial+3,'9'!$B:$B,'12'!BJ$4,'9'!$D:$D,"Poda")</f>
        <v>0</v>
      </c>
      <c r="BL14" s="101">
        <f>((A4_A_L30*Poda_A)+(A4_B_L30*Poda_B)+(A4_C_L30*Poda_C)+(A4_D_L30*Poda_D)+(A4_Y_L30*Poda_Y))*Inflación_4</f>
        <v>0</v>
      </c>
      <c r="BM14" s="101">
        <f>SUMIFS('9'!$E:$E,'9'!$A:$A,Año_Inicial+3,'9'!$B:$B,'12'!BL$4,'9'!$D:$D,"Poda")</f>
        <v>0</v>
      </c>
      <c r="BN14" s="101">
        <f>((A4_A_L31*Poda_A)+(A4_B_L31*Poda_B)+(A4_C_L31*Poda_C)+(A4_D_L31*Poda_D)+(A4_Y_L31*Poda_Y))*Inflación_4</f>
        <v>0</v>
      </c>
      <c r="BO14" s="101">
        <f>SUMIFS('9'!$E:$E,'9'!$A:$A,Año_Inicial+3,'9'!$B:$B,'12'!BN$4,'9'!$D:$D,"Poda")</f>
        <v>0</v>
      </c>
      <c r="BP14" s="101">
        <f>((A4_A_L32*Poda_A)+(A4_B_L32*Poda_B)+(A4_C_L32*Poda_C)+(A4_D_L32*Poda_D)+(A4_Y_L32*Poda_Y))*Inflación_4</f>
        <v>0</v>
      </c>
      <c r="BQ14" s="101">
        <f>SUMIFS('9'!$E:$E,'9'!$A:$A,Año_Inicial+3,'9'!$B:$B,'12'!BP$4,'9'!$D:$D,"Poda")</f>
        <v>0</v>
      </c>
      <c r="BR14" s="101">
        <f>((A4_A_L33*Poda_A)+(A4_B_L33*Poda_B)+(A4_C_L33*Poda_C)+(A4_D_L33*Poda_D)+(A4_Y_L33*Poda_Y))*Inflación_4</f>
        <v>0</v>
      </c>
      <c r="BS14" s="101">
        <f>SUMIFS('9'!$E:$E,'9'!$A:$A,Año_Inicial+3,'9'!$B:$B,'12'!BR$4,'9'!$D:$D,"Poda")</f>
        <v>0</v>
      </c>
      <c r="BT14" s="101">
        <f>((A4_A_L34*Poda_A)+(A4_B_L34*Poda_B)+(A4_C_L34*Poda_C)+(A4_D_L34*Poda_D)+(A4_Y_L34*Poda_Y))*Inflación_4</f>
        <v>0</v>
      </c>
      <c r="BU14" s="101">
        <f>SUMIFS('9'!$E:$E,'9'!$A:$A,Año_Inicial+3,'9'!$B:$B,'12'!BT$4,'9'!$D:$D,"Poda")</f>
        <v>0</v>
      </c>
      <c r="BV14" s="101">
        <f>((A4_A_L35*Poda_A)+(A4_B_L35*Poda_B)+(A4_C_L35*Poda_C)+(A4_D_L35*Poda_D)+(A4_Y_L35*Poda_Y))*Inflación_4</f>
        <v>0</v>
      </c>
      <c r="BW14" s="101">
        <f>SUMIFS('9'!$E:$E,'9'!$A:$A,Año_Inicial+3,'9'!$B:$B,'12'!BV$4,'9'!$D:$D,"Poda")</f>
        <v>0</v>
      </c>
      <c r="BX14" s="101">
        <f>((A4_A_L36*Poda_A)+(A4_B_L36*Poda_B)+(A4_C_L36*Poda_C)+(A4_D_L36*Poda_D)+(A4_Y_L36*Poda_Y))*Inflación_4</f>
        <v>0</v>
      </c>
      <c r="BY14" s="101">
        <f>SUMIFS('9'!$E:$E,'9'!$A:$A,Año_Inicial+3,'9'!$B:$B,'12'!BX$4,'9'!$D:$D,"Poda")</f>
        <v>0</v>
      </c>
      <c r="BZ14" s="101">
        <f>((A4_A_L37*Poda_A)+(A4_B_L37*Poda_B)+(A4_C_L37*Poda_C)+(A4_D_L37*Poda_D)+(A4_Y_L37*Poda_Y))*Inflación_4</f>
        <v>0</v>
      </c>
      <c r="CA14" s="101">
        <f>SUMIFS('9'!$E:$E,'9'!$A:$A,Año_Inicial+3,'9'!$B:$B,'12'!BZ$4,'9'!$D:$D,"Poda")</f>
        <v>0</v>
      </c>
      <c r="CB14" s="101">
        <f>((A4_A_L38*Poda_A)+(A4_B_L38*Poda_B)+(A4_C_L38*Poda_C)+(A4_D_L38*Poda_D)+(A4_Y_L38*Poda_Y))*Inflación_4</f>
        <v>0</v>
      </c>
      <c r="CC14" s="101">
        <f>SUMIFS('9'!$E:$E,'9'!$A:$A,Año_Inicial+3,'9'!$B:$B,'12'!CB$4,'9'!$D:$D,"Poda")</f>
        <v>0</v>
      </c>
      <c r="CD14" s="101">
        <f>((A4_A_L39*Poda_A)+(A4_B_L39*Poda_B)+(A4_C_L39*Poda_C)+(A4_D_L39*Poda_D)+(A4_Y_L39*Poda_Y))*Inflación_4</f>
        <v>0</v>
      </c>
      <c r="CE14" s="101">
        <f>SUMIFS('9'!$E:$E,'9'!$A:$A,Año_Inicial+3,'9'!$B:$B,'12'!CD$4,'9'!$D:$D,"Poda")</f>
        <v>0</v>
      </c>
      <c r="CF14" s="101">
        <f>((A4_A_L40*Poda_A)+(A4_B_L40*Poda_B)+(A4_C_L40*Poda_C)+(A4_D_L40*Poda_D)+(A4_Y_L40*Poda_Y))*Inflación_4</f>
        <v>0</v>
      </c>
      <c r="CG14" s="101">
        <f>SUMIFS('9'!$E:$E,'9'!$A:$A,Año_Inicial+3,'9'!$B:$B,'12'!CF$4,'9'!$D:$D,"Poda")</f>
        <v>0</v>
      </c>
      <c r="CH14" s="473"/>
      <c r="CI14" s="101">
        <f>Plantas_A_A4*Poda_A*Inflación_4</f>
        <v>0</v>
      </c>
      <c r="CJ14" s="101">
        <f>Plantas_B_A4*Poda_B</f>
        <v>0</v>
      </c>
      <c r="CK14" s="101">
        <f>Plantas_C_A4*Poda_C</f>
        <v>0</v>
      </c>
      <c r="CL14" s="101">
        <f>Plantas_D_A4*Poda_D</f>
        <v>0</v>
      </c>
      <c r="CM14" s="101"/>
      <c r="CN14" s="101">
        <f>Plantas_Y_A4*Poda_Y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SUMIFS('9'!$E:$E,'9'!$A:$A,Año_Inicial+3,'9'!$D:$D,"Deshije")</f>
        <v>0</v>
      </c>
      <c r="D15" s="100">
        <f t="shared" si="45"/>
        <v>0</v>
      </c>
      <c r="E15" s="473"/>
      <c r="F15" s="101">
        <f>((A4_A_L1*Deshije_A)+(A4_B_L1*Deshije_B)+(A4_C_L1*Deshije_C)+(A4_D_L1*Deshije_D)+(A4_Y_L1*Deshije_Y))*Inflación_4</f>
        <v>0</v>
      </c>
      <c r="G15" s="101">
        <f>SUMIFS('9'!$E:$E,'9'!$A:$A,Año_Inicial+3,'9'!$B:$B,'12'!F$4,'9'!$D:$D,"Deshije")</f>
        <v>0</v>
      </c>
      <c r="H15" s="101">
        <f>((A4_A_L2*Deshije_A)+(A4_B_L2*Deshije_B)+(A4_C_L2*Deshije_C)+(A4_D_L2*Deshije_D)+(A4_Y_L2*Deshije_Y))*Inflación_4</f>
        <v>0</v>
      </c>
      <c r="I15" s="101">
        <f>SUMIFS('9'!$E:$E,'9'!$A:$A,Año_Inicial+3,'9'!$B:$B,'12'!H$4,'9'!$D:$D,"Deshije")</f>
        <v>0</v>
      </c>
      <c r="J15" s="101">
        <f>((A4_A_L3*Deshije_A)+(A4_B_L3*Deshije_B)+(A4_C_L3*Deshije_C)+(A4_D_L3*Deshije_D)+(A4_Y_L3*Deshije_Y))*Inflación_4</f>
        <v>0</v>
      </c>
      <c r="K15" s="101">
        <f>SUMIFS('9'!$E:$E,'9'!$A:$A,Año_Inicial+3,'9'!$B:$B,'12'!J$4,'9'!$D:$D,"Deshije")</f>
        <v>0</v>
      </c>
      <c r="L15" s="101">
        <f>((A4_A_L4*Deshije_A)+(A4_B_L4*Deshije_B)+(A4_C_L4*Deshije_C)+(A4_D_L4*Deshije_D)+(A4_Y_L4*Deshije_Y))*Inflación_4</f>
        <v>0</v>
      </c>
      <c r="M15" s="101">
        <f>SUMIFS('9'!$E:$E,'9'!$A:$A,Año_Inicial+3,'9'!$B:$B,'12'!L$4,'9'!$D:$D,"Deshije")</f>
        <v>0</v>
      </c>
      <c r="N15" s="101">
        <f>((A4_A_L5*Deshije_A)+(A4_B_L5*Deshije_B)+(A4_C_L5*Deshije_C)+(A4_D_L5*Deshije_D)+(A4_Y_L5*Deshije_Y))*Inflación_4</f>
        <v>0</v>
      </c>
      <c r="O15" s="101">
        <f>SUMIFS('9'!$E:$E,'9'!$A:$A,Año_Inicial+3,'9'!$B:$B,'12'!N$4,'9'!$D:$D,"Deshije")</f>
        <v>0</v>
      </c>
      <c r="P15" s="101">
        <f>((A4_A_L6*Deshije_A)+(A4_B_L6*Deshije_B)+(A4_C_L6*Deshije_C)+(A4_D_L6*Deshije_D)+(A4_Y_L6*Deshije_Y))*Inflación_4</f>
        <v>0</v>
      </c>
      <c r="Q15" s="101">
        <f>SUMIFS('9'!$E:$E,'9'!$A:$A,Año_Inicial+3,'9'!$B:$B,'12'!P$4,'9'!$D:$D,"Deshije")</f>
        <v>0</v>
      </c>
      <c r="R15" s="101">
        <f>((A4_A_L7*Deshije_A)+(A4_B_L7*Deshije_B)+(A4_C_L7*Deshije_C)+(A4_D_L7*Deshije_D)+(A4_Y_L7*Deshije_Y))*Inflación_4</f>
        <v>0</v>
      </c>
      <c r="S15" s="101">
        <f>SUMIFS('9'!$E:$E,'9'!$A:$A,Año_Inicial+3,'9'!$B:$B,'12'!R$4,'9'!$D:$D,"Deshije")</f>
        <v>0</v>
      </c>
      <c r="T15" s="101">
        <f>((A4_A_L8*Deshije_A)+(A4_B_L8*Deshije_B)+(A4_C_L8*Deshije_C)+(A4_D_L8*Deshije_D)+(A4_Y_L8*Deshije_Y))*Inflación_4</f>
        <v>0</v>
      </c>
      <c r="U15" s="101">
        <f>SUMIFS('9'!$E:$E,'9'!$A:$A,Año_Inicial+3,'9'!$B:$B,'12'!T$4,'9'!$D:$D,"Deshije")</f>
        <v>0</v>
      </c>
      <c r="V15" s="101">
        <f>((A4_A_L9*Deshije_A)+(A4_B_L9*Deshije_B)+(A4_C_L9*Deshije_C)+(A4_D_L9*Deshije_D)+(A4_Y_L9*Deshije_Y))*Inflación_4</f>
        <v>0</v>
      </c>
      <c r="W15" s="101">
        <f>SUMIFS('9'!$E:$E,'9'!$A:$A,Año_Inicial+3,'9'!$B:$B,'12'!V$4,'9'!$D:$D,"Deshije")</f>
        <v>0</v>
      </c>
      <c r="X15" s="101">
        <f>((A4_A_L10*Deshije_A)+(A4_B_L10*Deshije_B)+(A4_C_L10*Deshije_C)+(A4_D_L10*Deshije_D)+(A4_Y_L10*Deshije_Y))*Inflación_4</f>
        <v>0</v>
      </c>
      <c r="Y15" s="101">
        <f>SUMIFS('9'!$E:$E,'9'!$A:$A,Año_Inicial+3,'9'!$B:$B,'12'!X$4,'9'!$D:$D,"Deshije")</f>
        <v>0</v>
      </c>
      <c r="Z15" s="101">
        <f>((A4_A_L11*Deshije_A)+(A4_B_L11*Deshije_B)+(A4_C_L11*Deshije_C)+(A4_D_L11*Deshije_D)+(A4_Y_L11*Deshije_Y))*Inflación_4</f>
        <v>0</v>
      </c>
      <c r="AA15" s="101">
        <f>SUMIFS('9'!$E:$E,'9'!$A:$A,Año_Inicial+3,'9'!$B:$B,'12'!Z$4,'9'!$D:$D,"Deshije")</f>
        <v>0</v>
      </c>
      <c r="AB15" s="101">
        <f>((A4_A_L12*Deshije_A)+(A4_B_L12*Deshije_B)+(A4_C_L12*Deshije_C)+(A4_D_L12*Deshije_D)+(A4_Y_L12*Deshije_Y))*Inflación_4</f>
        <v>0</v>
      </c>
      <c r="AC15" s="101">
        <f>SUMIFS('9'!$E:$E,'9'!$A:$A,Año_Inicial+3,'9'!$B:$B,'12'!AB$4,'9'!$D:$D,"Deshije")</f>
        <v>0</v>
      </c>
      <c r="AD15" s="101">
        <f>((A4_A_L13*Deshije_A)+(A4_B_L13*Deshije_B)+(A4_C_L13*Deshije_C)+(A4_D_L13*Deshije_D)+(A4_Y_L13*Deshije_Y))*Inflación_4</f>
        <v>0</v>
      </c>
      <c r="AE15" s="101">
        <f>SUMIFS('9'!$E:$E,'9'!$A:$A,Año_Inicial+3,'9'!$B:$B,'12'!AD$4,'9'!$D:$D,"Deshije")</f>
        <v>0</v>
      </c>
      <c r="AF15" s="101">
        <f>((A4_A_L14*Deshije_A)+(A4_B_L14*Deshije_B)+(A4_C_L14*Deshije_C)+(A4_D_L14*Deshije_D)+(A4_Y_L14*Deshije_Y))*Inflación_4</f>
        <v>0</v>
      </c>
      <c r="AG15" s="101">
        <f>SUMIFS('9'!$E:$E,'9'!$A:$A,Año_Inicial+3,'9'!$B:$B,'12'!AF$4,'9'!$D:$D,"Deshije")</f>
        <v>0</v>
      </c>
      <c r="AH15" s="101">
        <f>((A4_A_L15*Deshije_A)+(A4_B_L15*Deshije_B)+(A4_C_L15*Deshije_C)+(A4_D_L15*Deshije_D)+(A4_Y_L15*Deshije_Y))*Inflación_4</f>
        <v>0</v>
      </c>
      <c r="AI15" s="101">
        <f>SUMIFS('9'!$E:$E,'9'!$A:$A,Año_Inicial+3,'9'!$B:$B,'12'!AH$4,'9'!$D:$D,"Deshije")</f>
        <v>0</v>
      </c>
      <c r="AJ15" s="101">
        <f>((A4_A_L16*Deshije_A)+(A4_B_L16*Deshije_B)+(A4_C_L16*Deshije_C)+(A4_D_L16*Deshije_D)+(A4_Y_L16*Deshije_Y))*Inflación_4</f>
        <v>0</v>
      </c>
      <c r="AK15" s="101">
        <f>SUMIFS('9'!$E:$E,'9'!$A:$A,Año_Inicial+3,'9'!$B:$B,'12'!AJ$4,'9'!$D:$D,"Deshije")</f>
        <v>0</v>
      </c>
      <c r="AL15" s="101">
        <f>((A4_A_L17*Deshije_A)+(A4_B_L17*Deshije_B)+(A4_C_L17*Deshije_C)+(A4_D_L17*Deshije_D)+(A4_Y_L17*Deshije_Y))*Inflación_4</f>
        <v>0</v>
      </c>
      <c r="AM15" s="101">
        <f>SUMIFS('9'!$E:$E,'9'!$A:$A,Año_Inicial+3,'9'!$B:$B,'12'!AL$4,'9'!$D:$D,"Deshije")</f>
        <v>0</v>
      </c>
      <c r="AN15" s="101">
        <f>((A4_A_L18*Deshije_A)+(A4_B_L18*Deshije_B)+(A4_C_L18*Deshije_C)+(A4_D_L18*Deshije_D)+(A4_Y_L18*Deshije_Y))*Inflación_4</f>
        <v>0</v>
      </c>
      <c r="AO15" s="101">
        <f>SUMIFS('9'!$E:$E,'9'!$A:$A,Año_Inicial+3,'9'!$B:$B,'12'!AN$4,'9'!$D:$D,"Deshije")</f>
        <v>0</v>
      </c>
      <c r="AP15" s="101">
        <f>((A4_A_L19*Deshije_A)+(A4_B_L19*Deshije_B)+(A4_C_L19*Deshije_C)+(A4_D_L19*Deshije_D)+(A4_Y_L19*Deshije_Y))*Inflación_4</f>
        <v>0</v>
      </c>
      <c r="AQ15" s="101">
        <f>SUMIFS('9'!$E:$E,'9'!$A:$A,Año_Inicial+3,'9'!$B:$B,'12'!AP$4,'9'!$D:$D,"Deshije")</f>
        <v>0</v>
      </c>
      <c r="AR15" s="101">
        <f>((A4_A_L20*Deshije_A)+(A4_B_L20*Deshije_B)+(A4_C_L20*Deshije_C)+(A4_D_L20*Deshije_D)+(A4_Y_L20*Deshije_Y))*Inflación_4</f>
        <v>0</v>
      </c>
      <c r="AS15" s="101">
        <f>SUMIFS('9'!$E:$E,'9'!$A:$A,Año_Inicial+3,'9'!$B:$B,'12'!AR$4,'9'!$D:$D,"Deshije")</f>
        <v>0</v>
      </c>
      <c r="AT15" s="101">
        <f>((A4_A_L21*Deshije_A)+(A4_B_L21*Deshije_B)+(A4_C_L21*Deshije_C)+(A4_D_L21*Deshije_D)+(A4_Y_L21*Deshije_Y))*Inflación_4</f>
        <v>0</v>
      </c>
      <c r="AU15" s="101">
        <f>SUMIFS('9'!$E:$E,'9'!$A:$A,Año_Inicial+3,'9'!$B:$B,'12'!AT$4,'9'!$D:$D,"Deshije")</f>
        <v>0</v>
      </c>
      <c r="AV15" s="101">
        <f>((A4_A_L22*Deshije_A)+(A4_B_L22*Deshije_B)+(A4_C_L22*Deshije_C)+(A4_D_L22*Deshije_D)+(A4_Y_L22*Deshije_Y))*Inflación_4</f>
        <v>0</v>
      </c>
      <c r="AW15" s="101">
        <f>SUMIFS('9'!$E:$E,'9'!$A:$A,Año_Inicial+3,'9'!$B:$B,'12'!AV$4,'9'!$D:$D,"Deshije")</f>
        <v>0</v>
      </c>
      <c r="AX15" s="101">
        <f>((A4_A_L23*Deshije_A)+(A4_B_L23*Deshije_B)+(A4_C_L23*Deshije_C)+(A4_D_L23*Deshije_D)+(A4_Y_L23*Deshije_Y))*Inflación_4</f>
        <v>0</v>
      </c>
      <c r="AY15" s="101">
        <f>SUMIFS('9'!$E:$E,'9'!$A:$A,Año_Inicial+3,'9'!$B:$B,'12'!AX$4,'9'!$D:$D,"Deshije")</f>
        <v>0</v>
      </c>
      <c r="AZ15" s="101">
        <f>((A4_A_L24*Deshije_A)+(A4_B_L24*Deshije_B)+(A4_C_L24*Deshije_C)+(A4_D_L24*Deshije_D)+(A4_Y_L24*Deshije_Y))*Inflación_4</f>
        <v>0</v>
      </c>
      <c r="BA15" s="101">
        <f>SUMIFS('9'!$E:$E,'9'!$A:$A,Año_Inicial+3,'9'!$B:$B,'12'!AZ$4,'9'!$D:$D,"Deshije")</f>
        <v>0</v>
      </c>
      <c r="BB15" s="101">
        <f>((A4_A_L25*Deshije_A)+(A4_B_L25*Deshije_B)+(A4_C_L25*Deshije_C)+(A4_D_L25*Deshije_D)+(A4_Y_L25*Deshije_Y))*Inflación_4</f>
        <v>0</v>
      </c>
      <c r="BC15" s="101">
        <f>SUMIFS('9'!$E:$E,'9'!$A:$A,Año_Inicial+3,'9'!$B:$B,'12'!BB$4,'9'!$D:$D,"Deshije")</f>
        <v>0</v>
      </c>
      <c r="BD15" s="101">
        <f>((A4_A_L26*Deshije_A)+(A4_B_L26*Deshije_B)+(A4_C_L26*Deshije_C)+(A4_D_L26*Deshije_D)+(A4_Y_L26*Deshije_Y))*Inflación_4</f>
        <v>0</v>
      </c>
      <c r="BE15" s="101">
        <f>SUMIFS('9'!$E:$E,'9'!$A:$A,Año_Inicial+3,'9'!$B:$B,'12'!BD$4,'9'!$D:$D,"Deshije")</f>
        <v>0</v>
      </c>
      <c r="BF15" s="101">
        <f>((A4_A_L27*Deshije_A)+(A4_B_L27*Deshije_B)+(A4_C_L27*Deshije_C)+(A4_D_L27*Deshije_D)+(A4_Y_L27*Deshije_Y))*Inflación_4</f>
        <v>0</v>
      </c>
      <c r="BG15" s="101">
        <f>SUMIFS('9'!$E:$E,'9'!$A:$A,Año_Inicial+3,'9'!$B:$B,'12'!BF$4,'9'!$D:$D,"Deshije")</f>
        <v>0</v>
      </c>
      <c r="BH15" s="101">
        <f>((A4_A_L28*Deshije_A)+(A4_B_L28*Deshije_B)+(A4_C_L28*Deshije_C)+(A4_D_L28*Deshije_D)+(A4_Y_L28*Deshije_Y))*Inflación_4</f>
        <v>0</v>
      </c>
      <c r="BI15" s="101">
        <f>SUMIFS('9'!$E:$E,'9'!$A:$A,Año_Inicial+3,'9'!$B:$B,'12'!BH$4,'9'!$D:$D,"Deshije")</f>
        <v>0</v>
      </c>
      <c r="BJ15" s="101">
        <f>((A4_A_L29*Deshije_A)+(A4_B_L29*Deshije_B)+(A4_C_L29*Deshije_C)+(A4_D_L29*Deshije_D)+(A4_Y_L29*Deshije_Y))*Inflación_4</f>
        <v>0</v>
      </c>
      <c r="BK15" s="101">
        <f>SUMIFS('9'!$E:$E,'9'!$A:$A,Año_Inicial+3,'9'!$B:$B,'12'!BJ$4,'9'!$D:$D,"Deshije")</f>
        <v>0</v>
      </c>
      <c r="BL15" s="101">
        <f>((A4_A_L30*Deshije_A)+(A4_B_L30*Deshije_B)+(A4_C_L30*Deshije_C)+(A4_D_L30*Deshije_D)+(A4_Y_L30*Deshije_Y))*Inflación_4</f>
        <v>0</v>
      </c>
      <c r="BM15" s="101">
        <f>SUMIFS('9'!$E:$E,'9'!$A:$A,Año_Inicial+3,'9'!$B:$B,'12'!BL$4,'9'!$D:$D,"Deshije")</f>
        <v>0</v>
      </c>
      <c r="BN15" s="101">
        <f>((A4_A_L31*Deshije_A)+(A4_B_L31*Deshije_B)+(A4_C_L31*Deshije_C)+(A4_D_L31*Deshije_D)+(A4_Y_L31*Deshije_Y))*Inflación_4</f>
        <v>0</v>
      </c>
      <c r="BO15" s="101">
        <f>SUMIFS('9'!$E:$E,'9'!$A:$A,Año_Inicial+3,'9'!$B:$B,'12'!BN$4,'9'!$D:$D,"Deshije")</f>
        <v>0</v>
      </c>
      <c r="BP15" s="101">
        <f>((A4_A_L32*Deshije_A)+(A4_B_L32*Deshije_B)+(A4_C_L32*Deshije_C)+(A4_D_L32*Deshije_D)+(A4_Y_L32*Deshije_Y))*Inflación_4</f>
        <v>0</v>
      </c>
      <c r="BQ15" s="101">
        <f>SUMIFS('9'!$E:$E,'9'!$A:$A,Año_Inicial+3,'9'!$B:$B,'12'!BP$4,'9'!$D:$D,"Deshije")</f>
        <v>0</v>
      </c>
      <c r="BR15" s="101">
        <f>((A4_A_L33*Deshije_A)+(A4_B_L33*Deshije_B)+(A4_C_L33*Deshije_C)+(A4_D_L33*Deshije_D)+(A4_Y_L33*Deshije_Y))*Inflación_4</f>
        <v>0</v>
      </c>
      <c r="BS15" s="101">
        <f>SUMIFS('9'!$E:$E,'9'!$A:$A,Año_Inicial+3,'9'!$B:$B,'12'!BR$4,'9'!$D:$D,"Deshije")</f>
        <v>0</v>
      </c>
      <c r="BT15" s="101">
        <f>((A4_A_L34*Deshije_A)+(A4_B_L34*Deshije_B)+(A4_C_L34*Deshije_C)+(A4_D_L34*Deshije_D)+(A4_Y_L34*Deshije_Y))*Inflación_4</f>
        <v>0</v>
      </c>
      <c r="BU15" s="101">
        <f>SUMIFS('9'!$E:$E,'9'!$A:$A,Año_Inicial+3,'9'!$B:$B,'12'!BT$4,'9'!$D:$D,"Deshije")</f>
        <v>0</v>
      </c>
      <c r="BV15" s="101">
        <f>((A4_A_L35*Deshije_A)+(A4_B_L35*Deshije_B)+(A4_C_L35*Deshije_C)+(A4_D_L35*Deshije_D)+(A4_Y_L35*Deshije_Y))*Inflación_4</f>
        <v>0</v>
      </c>
      <c r="BW15" s="101">
        <f>SUMIFS('9'!$E:$E,'9'!$A:$A,Año_Inicial+3,'9'!$B:$B,'12'!BV$4,'9'!$D:$D,"Deshije")</f>
        <v>0</v>
      </c>
      <c r="BX15" s="101">
        <f>((A4_A_L36*Deshije_A)+(A4_B_L36*Deshije_B)+(A4_C_L36*Deshije_C)+(A4_D_L36*Deshije_D)+(A4_Y_L36*Deshije_Y))*Inflación_4</f>
        <v>0</v>
      </c>
      <c r="BY15" s="101">
        <f>SUMIFS('9'!$E:$E,'9'!$A:$A,Año_Inicial+3,'9'!$B:$B,'12'!BX$4,'9'!$D:$D,"Deshije")</f>
        <v>0</v>
      </c>
      <c r="BZ15" s="101">
        <f>((A4_A_L37*Deshije_A)+(A4_B_L37*Deshije_B)+(A4_C_L37*Deshije_C)+(A4_D_L37*Deshije_D)+(A4_Y_L37*Deshije_Y))*Inflación_4</f>
        <v>0</v>
      </c>
      <c r="CA15" s="101">
        <f>SUMIFS('9'!$E:$E,'9'!$A:$A,Año_Inicial+3,'9'!$B:$B,'12'!BZ$4,'9'!$D:$D,"Deshije")</f>
        <v>0</v>
      </c>
      <c r="CB15" s="101">
        <f>((A4_A_L38*Deshije_A)+(A4_B_L38*Deshije_B)+(A4_C_L38*Deshije_C)+(A4_D_L38*Deshije_D)+(A4_Y_L38*Deshije_Y))*Inflación_4</f>
        <v>0</v>
      </c>
      <c r="CC15" s="101">
        <f>SUMIFS('9'!$E:$E,'9'!$A:$A,Año_Inicial+3,'9'!$B:$B,'12'!CB$4,'9'!$D:$D,"Deshije")</f>
        <v>0</v>
      </c>
      <c r="CD15" s="101">
        <f>((A4_A_L39*Deshije_A)+(A4_B_L39*Deshije_B)+(A4_C_L39*Deshije_C)+(A4_D_L39*Deshije_D)+(A4_Y_L39*Deshije_Y))*Inflación_4</f>
        <v>0</v>
      </c>
      <c r="CE15" s="101">
        <f>SUMIFS('9'!$E:$E,'9'!$A:$A,Año_Inicial+3,'9'!$B:$B,'12'!CD$4,'9'!$D:$D,"Deshije")</f>
        <v>0</v>
      </c>
      <c r="CF15" s="101">
        <f>((A4_A_L40*Deshije_A)+(A4_B_L40*Deshije_B)+(A4_C_L40*Deshije_C)+(A4_D_L40*Deshije_D)+(A4_Y_L40*Deshije_Y))*Inflación_4</f>
        <v>0</v>
      </c>
      <c r="CG15" s="101">
        <f>SUMIFS('9'!$E:$E,'9'!$A:$A,Año_Inicial+3,'9'!$B:$B,'12'!CF$4,'9'!$D:$D,"Deshije")</f>
        <v>0</v>
      </c>
      <c r="CH15" s="473"/>
      <c r="CI15" s="101">
        <f>Plantas_A_A4*Deshije_A*Inflación_4</f>
        <v>0</v>
      </c>
      <c r="CJ15" s="101">
        <f>Plantas_B_A4*Deshije_B</f>
        <v>0</v>
      </c>
      <c r="CK15" s="101">
        <f>Plantas_C_A4*Deshije_C</f>
        <v>0</v>
      </c>
      <c r="CL15" s="101">
        <f>Plantas_D_A4*Deshije_D</f>
        <v>0</v>
      </c>
      <c r="CM15" s="101"/>
      <c r="CN15" s="101">
        <f>Plantas_Y_A4*Deshije_Y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SUMIFS('9'!$E:$E,'9'!$A:$A,Año_Inicial+3,'9'!$D:$D,"Aplicación de fertilizante")</f>
        <v>0</v>
      </c>
      <c r="D17" s="100">
        <f t="shared" si="45"/>
        <v>0</v>
      </c>
      <c r="E17" s="473"/>
      <c r="F17" s="101">
        <f>((A4_A_L1*Nutrición_A)+(A4_B_L1*Nutrición_B)+(A4_C_L1*Nutrición_C)+(A4_D_L1*Nutrición_D)+(A4_Y_L1*Nutrición_Y))*Inflación_4</f>
        <v>0</v>
      </c>
      <c r="G17" s="101">
        <f>SUMIFS('9'!$E:$E,'9'!$A:$A,Año_Inicial+3,'9'!$B:$B,'12'!F$4,'9'!$D:$D,"Aplicación de fertilizante")</f>
        <v>0</v>
      </c>
      <c r="H17" s="101">
        <f>((A4_A_L2*Nutrición_A)+(A4_B_L2*Nutrición_B)+(A4_C_L2*Nutrición_C)+(A4_D_L2*Nutrición_D)+(A4_Y_L2*Nutrición_Y))*Inflación_4</f>
        <v>0</v>
      </c>
      <c r="I17" s="101">
        <f>SUMIFS('9'!$E:$E,'9'!$A:$A,Año_Inicial+3,'9'!$B:$B,'12'!H$4,'9'!$D:$D,"Aplicación de fertilizante")</f>
        <v>0</v>
      </c>
      <c r="J17" s="101">
        <f>((A4_A_L3*Nutrición_A)+(A4_B_L3*Nutrición_B)+(A4_C_L3*Nutrición_C)+(A4_D_L3*Nutrición_D)+(A4_Y_L3*Nutrición_Y))*Inflación_4</f>
        <v>0</v>
      </c>
      <c r="K17" s="101">
        <f>SUMIFS('9'!$E:$E,'9'!$A:$A,Año_Inicial+3,'9'!$B:$B,'12'!J$4,'9'!$D:$D,"Aplicación de fertilizante")</f>
        <v>0</v>
      </c>
      <c r="L17" s="101">
        <f>((A4_A_L4*Nutrición_A)+(A4_B_L4*Nutrición_B)+(A4_C_L4*Nutrición_C)+(A4_D_L4*Nutrición_D)+(A4_Y_L4*Nutrición_Y))*Inflación_4</f>
        <v>0</v>
      </c>
      <c r="M17" s="101">
        <f>SUMIFS('9'!$E:$E,'9'!$A:$A,Año_Inicial+3,'9'!$B:$B,'12'!L$4,'9'!$D:$D,"Aplicación de fertilizante")</f>
        <v>0</v>
      </c>
      <c r="N17" s="101">
        <f>((A4_A_L5*Nutrición_A)+(A4_B_L5*Nutrición_B)+(A4_C_L5*Nutrición_C)+(A4_D_L5*Nutrición_D)+(A4_Y_L5*Nutrición_Y))*Inflación_4</f>
        <v>0</v>
      </c>
      <c r="O17" s="101">
        <f>SUMIFS('9'!$E:$E,'9'!$A:$A,Año_Inicial+3,'9'!$B:$B,'12'!N$4,'9'!$D:$D,"Aplicación de fertilizante")</f>
        <v>0</v>
      </c>
      <c r="P17" s="101">
        <f>((A4_A_L6*Nutrición_A)+(A4_B_L6*Nutrición_B)+(A4_C_L6*Nutrición_C)+(A4_D_L6*Nutrición_D)+(A4_Y_L6*Nutrición_Y))*Inflación_4</f>
        <v>0</v>
      </c>
      <c r="Q17" s="101">
        <f>SUMIFS('9'!$E:$E,'9'!$A:$A,Año_Inicial+3,'9'!$B:$B,'12'!P$4,'9'!$D:$D,"Aplicación de fertilizante")</f>
        <v>0</v>
      </c>
      <c r="R17" s="101">
        <f>((A4_A_L7*Nutrición_A)+(A4_B_L7*Nutrición_B)+(A4_C_L7*Nutrición_C)+(A4_D_L7*Nutrición_D)+(A4_Y_L7*Nutrición_Y))*Inflación_4</f>
        <v>0</v>
      </c>
      <c r="S17" s="101">
        <f>SUMIFS('9'!$E:$E,'9'!$A:$A,Año_Inicial+3,'9'!$B:$B,'12'!R$4,'9'!$D:$D,"Aplicación de fertilizante")</f>
        <v>0</v>
      </c>
      <c r="T17" s="101">
        <f>((A4_A_L8*Nutrición_A)+(A4_B_L8*Nutrición_B)+(A4_C_L8*Nutrición_C)+(A4_D_L8*Nutrición_D)+(A4_Y_L8*Nutrición_Y))*Inflación_4</f>
        <v>0</v>
      </c>
      <c r="U17" s="101">
        <f>SUMIFS('9'!$E:$E,'9'!$A:$A,Año_Inicial+3,'9'!$B:$B,'12'!T$4,'9'!$D:$D,"Aplicación de fertilizante")</f>
        <v>0</v>
      </c>
      <c r="V17" s="101">
        <f>((A4_A_L9*Nutrición_A)+(A4_B_L9*Nutrición_B)+(A4_C_L9*Nutrición_C)+(A4_D_L9*Nutrición_D)+(A4_Y_L9*Nutrición_Y))*Inflación_4</f>
        <v>0</v>
      </c>
      <c r="W17" s="101">
        <f>SUMIFS('9'!$E:$E,'9'!$A:$A,Año_Inicial+3,'9'!$B:$B,'12'!V$4,'9'!$D:$D,"Aplicación de fertilizante")</f>
        <v>0</v>
      </c>
      <c r="X17" s="101">
        <f>((A4_A_L10*Nutrición_A)+(A4_B_L10*Nutrición_B)+(A4_C_L10*Nutrición_C)+(A4_D_L10*Nutrición_D)+(A4_Y_L10*Nutrición_Y))*Inflación_4</f>
        <v>0</v>
      </c>
      <c r="Y17" s="101">
        <f>SUMIFS('9'!$E:$E,'9'!$A:$A,Año_Inicial+3,'9'!$B:$B,'12'!X$4,'9'!$D:$D,"Aplicación de fertilizante")</f>
        <v>0</v>
      </c>
      <c r="Z17" s="101">
        <f>((A4_A_L11*Nutrición_A)+(A4_B_L11*Nutrición_B)+(A4_C_L11*Nutrición_C)+(A4_D_L11*Nutrición_D)+(A4_Y_L11*Nutrición_Y))*Inflación_4</f>
        <v>0</v>
      </c>
      <c r="AA17" s="101">
        <f>SUMIFS('9'!$E:$E,'9'!$A:$A,Año_Inicial+3,'9'!$B:$B,'12'!Z$4,'9'!$D:$D,"Aplicación de fertilizante")</f>
        <v>0</v>
      </c>
      <c r="AB17" s="101">
        <f>((A4_A_L12*Nutrición_A)+(A4_B_L12*Nutrición_B)+(A4_C_L12*Nutrición_C)+(A4_D_L12*Nutrición_D)+(A4_Y_L12*Nutrición_Y))*Inflación_4</f>
        <v>0</v>
      </c>
      <c r="AC17" s="101">
        <f>SUMIFS('9'!$E:$E,'9'!$A:$A,Año_Inicial+3,'9'!$B:$B,'12'!AB$4,'9'!$D:$D,"Aplicación de fertilizante")</f>
        <v>0</v>
      </c>
      <c r="AD17" s="101">
        <f>((A4_A_L13*Nutrición_A)+(A4_B_L13*Nutrición_B)+(A4_C_L13*Nutrición_C)+(A4_D_L13*Nutrición_D)+(A4_Y_L13*Nutrición_Y))*Inflación_4</f>
        <v>0</v>
      </c>
      <c r="AE17" s="101">
        <f>SUMIFS('9'!$E:$E,'9'!$A:$A,Año_Inicial+3,'9'!$B:$B,'12'!AD$4,'9'!$D:$D,"Aplicación de fertilizante")</f>
        <v>0</v>
      </c>
      <c r="AF17" s="101">
        <f>((A4_A_L14*Nutrición_A)+(A4_B_L14*Nutrición_B)+(A4_C_L14*Nutrición_C)+(A4_D_L14*Nutrición_D)+(A4_Y_L14*Nutrición_Y))*Inflación_4</f>
        <v>0</v>
      </c>
      <c r="AG17" s="101">
        <f>SUMIFS('9'!$E:$E,'9'!$A:$A,Año_Inicial+3,'9'!$B:$B,'12'!AF$4,'9'!$D:$D,"Aplicación de fertilizante")</f>
        <v>0</v>
      </c>
      <c r="AH17" s="101">
        <f>((A4_A_L15*Nutrición_A)+(A4_B_L15*Nutrición_B)+(A4_C_L15*Nutrición_C)+(A4_D_L15*Nutrición_D)+(A4_Y_L15*Nutrición_Y))*Inflación_4</f>
        <v>0</v>
      </c>
      <c r="AI17" s="101">
        <f>SUMIFS('9'!$E:$E,'9'!$A:$A,Año_Inicial+3,'9'!$B:$B,'12'!AH$4,'9'!$D:$D,"Aplicación de fertilizante")</f>
        <v>0</v>
      </c>
      <c r="AJ17" s="101">
        <f>((A4_A_L16*Nutrición_A)+(A4_B_L16*Nutrición_B)+(A4_C_L16*Nutrición_C)+(A4_D_L16*Nutrición_D)+(A4_Y_L16*Nutrición_Y))*Inflación_4</f>
        <v>0</v>
      </c>
      <c r="AK17" s="101">
        <f>SUMIFS('9'!$E:$E,'9'!$A:$A,Año_Inicial+3,'9'!$B:$B,'12'!AJ$4,'9'!$D:$D,"Aplicación de fertilizante")</f>
        <v>0</v>
      </c>
      <c r="AL17" s="101">
        <f>((A4_A_L17*Nutrición_A)+(A4_B_L17*Nutrición_B)+(A4_C_L17*Nutrición_C)+(A4_D_L17*Nutrición_D)+(A4_Y_L17*Nutrición_Y))*Inflación_4</f>
        <v>0</v>
      </c>
      <c r="AM17" s="101">
        <f>SUMIFS('9'!$E:$E,'9'!$A:$A,Año_Inicial+3,'9'!$B:$B,'12'!AL$4,'9'!$D:$D,"Aplicación de fertilizante")</f>
        <v>0</v>
      </c>
      <c r="AN17" s="101">
        <f>((A4_A_L18*Nutrición_A)+(A4_B_L18*Nutrición_B)+(A4_C_L18*Nutrición_C)+(A4_D_L18*Nutrición_D)+(A4_Y_L18*Nutrición_Y))*Inflación_4</f>
        <v>0</v>
      </c>
      <c r="AO17" s="101">
        <f>SUMIFS('9'!$E:$E,'9'!$A:$A,Año_Inicial+3,'9'!$B:$B,'12'!AN$4,'9'!$D:$D,"Aplicación de fertilizante")</f>
        <v>0</v>
      </c>
      <c r="AP17" s="101">
        <f>((A4_A_L19*Nutrición_A)+(A4_B_L19*Nutrición_B)+(A4_C_L19*Nutrición_C)+(A4_D_L19*Nutrición_D)+(A4_Y_L19*Nutrición_Y))*Inflación_4</f>
        <v>0</v>
      </c>
      <c r="AQ17" s="101">
        <f>SUMIFS('9'!$E:$E,'9'!$A:$A,Año_Inicial+3,'9'!$B:$B,'12'!AP$4,'9'!$D:$D,"Aplicación de fertilizante")</f>
        <v>0</v>
      </c>
      <c r="AR17" s="101">
        <f>((A4_A_L20*Nutrición_A)+(A4_B_L20*Nutrición_B)+(A4_C_L20*Nutrición_C)+(A4_D_L20*Nutrición_D)+(A4_Y_L20*Nutrición_Y))*Inflación_4</f>
        <v>0</v>
      </c>
      <c r="AS17" s="101">
        <f>SUMIFS('9'!$E:$E,'9'!$A:$A,Año_Inicial+3,'9'!$B:$B,'12'!AR$4,'9'!$D:$D,"Aplicación de fertilizante")</f>
        <v>0</v>
      </c>
      <c r="AT17" s="101">
        <f>((A4_A_L21*Nutrición_A)+(A4_B_L21*Nutrición_B)+(A4_C_L21*Nutrición_C)+(A4_D_L21*Nutrición_D)+(A4_Y_L21*Nutrición_Y))*Inflación_4</f>
        <v>0</v>
      </c>
      <c r="AU17" s="101">
        <f>SUMIFS('9'!$E:$E,'9'!$A:$A,Año_Inicial+3,'9'!$B:$B,'12'!AT$4,'9'!$D:$D,"Aplicación de fertilizante")</f>
        <v>0</v>
      </c>
      <c r="AV17" s="101">
        <f>((A4_A_L22*Nutrición_A)+(A4_B_L22*Nutrición_B)+(A4_C_L22*Nutrición_C)+(A4_D_L22*Nutrición_D)+(A4_Y_L22*Nutrición_Y))*Inflación_4</f>
        <v>0</v>
      </c>
      <c r="AW17" s="101">
        <f>SUMIFS('9'!$E:$E,'9'!$A:$A,Año_Inicial+3,'9'!$B:$B,'12'!AV$4,'9'!$D:$D,"Aplicación de fertilizante")</f>
        <v>0</v>
      </c>
      <c r="AX17" s="101">
        <f>((A4_A_L23*Nutrición_A)+(A4_B_L23*Nutrición_B)+(A4_C_L23*Nutrición_C)+(A4_D_L23*Nutrición_D)+(A4_Y_L23*Nutrición_Y))*Inflación_4</f>
        <v>0</v>
      </c>
      <c r="AY17" s="101">
        <f>SUMIFS('9'!$E:$E,'9'!$A:$A,Año_Inicial+3,'9'!$B:$B,'12'!AX$4,'9'!$D:$D,"Aplicación de fertilizante")</f>
        <v>0</v>
      </c>
      <c r="AZ17" s="101">
        <f>((A4_A_L24*Nutrición_A)+(A4_B_L24*Nutrición_B)+(A4_C_L24*Nutrición_C)+(A4_D_L24*Nutrición_D)+(A4_Y_L24*Nutrición_Y))*Inflación_4</f>
        <v>0</v>
      </c>
      <c r="BA17" s="101">
        <f>SUMIFS('9'!$E:$E,'9'!$A:$A,Año_Inicial+3,'9'!$B:$B,'12'!AZ$4,'9'!$D:$D,"Aplicación de fertilizante")</f>
        <v>0</v>
      </c>
      <c r="BB17" s="101">
        <f>((A4_A_L25*Nutrición_A)+(A4_B_L25*Nutrición_B)+(A4_C_L25*Nutrición_C)+(A4_D_L25*Nutrición_D)+(A4_Y_L25*Nutrición_Y))*Inflación_4</f>
        <v>0</v>
      </c>
      <c r="BC17" s="101">
        <f>SUMIFS('9'!$E:$E,'9'!$A:$A,Año_Inicial+3,'9'!$B:$B,'12'!BB$4,'9'!$D:$D,"Aplicación de fertilizante")</f>
        <v>0</v>
      </c>
      <c r="BD17" s="101">
        <f>((A4_A_L26*Nutrición_A)+(A4_B_L26*Nutrición_B)+(A4_C_L26*Nutrición_C)+(A4_D_L26*Nutrición_D)+(A4_Y_L26*Nutrición_Y))*Inflación_4</f>
        <v>0</v>
      </c>
      <c r="BE17" s="101">
        <f>SUMIFS('9'!$E:$E,'9'!$A:$A,Año_Inicial+3,'9'!$B:$B,'12'!BD$4,'9'!$D:$D,"Aplicación de fertilizante")</f>
        <v>0</v>
      </c>
      <c r="BF17" s="101">
        <f>((A4_A_L27*Nutrición_A)+(A4_B_L27*Nutrición_B)+(A4_C_L27*Nutrición_C)+(A4_D_L27*Nutrición_D)+(A4_Y_L27*Nutrición_Y))*Inflación_4</f>
        <v>0</v>
      </c>
      <c r="BG17" s="101">
        <f>SUMIFS('9'!$E:$E,'9'!$A:$A,Año_Inicial+3,'9'!$B:$B,'12'!BF$4,'9'!$D:$D,"Aplicación de fertilizante")</f>
        <v>0</v>
      </c>
      <c r="BH17" s="101">
        <f>((A4_A_L28*Nutrición_A)+(A4_B_L28*Nutrición_B)+(A4_C_L28*Nutrición_C)+(A4_D_L28*Nutrición_D)+(A4_Y_L28*Nutrición_Y))*Inflación_4</f>
        <v>0</v>
      </c>
      <c r="BI17" s="101">
        <f>SUMIFS('9'!$E:$E,'9'!$A:$A,Año_Inicial+3,'9'!$B:$B,'12'!BH$4,'9'!$D:$D,"Aplicación de fertilizante")</f>
        <v>0</v>
      </c>
      <c r="BJ17" s="101">
        <f>((A4_A_L29*Nutrición_A)+(A4_B_L29*Nutrición_B)+(A4_C_L29*Nutrición_C)+(A4_D_L29*Nutrición_D)+(A4_Y_L29*Nutrición_Y))*Inflación_4</f>
        <v>0</v>
      </c>
      <c r="BK17" s="101">
        <f>SUMIFS('9'!$E:$E,'9'!$A:$A,Año_Inicial+3,'9'!$B:$B,'12'!BJ$4,'9'!$D:$D,"Aplicación de fertilizante")</f>
        <v>0</v>
      </c>
      <c r="BL17" s="101">
        <f>((A4_A_L30*Nutrición_A)+(A4_B_L30*Nutrición_B)+(A4_C_L30*Nutrición_C)+(A4_D_L30*Nutrición_D)+(A4_Y_L30*Nutrición_Y))*Inflación_4</f>
        <v>0</v>
      </c>
      <c r="BM17" s="101">
        <f>SUMIFS('9'!$E:$E,'9'!$A:$A,Año_Inicial+3,'9'!$B:$B,'12'!BL$4,'9'!$D:$D,"Aplicación de fertilizante")</f>
        <v>0</v>
      </c>
      <c r="BN17" s="101">
        <f>((A4_A_L31*Nutrición_A)+(A4_B_L31*Nutrición_B)+(A4_C_L31*Nutrición_C)+(A4_D_L31*Nutrición_D)+(A4_Y_L31*Nutrición_Y))*Inflación_4</f>
        <v>0</v>
      </c>
      <c r="BO17" s="101">
        <f>SUMIFS('9'!$E:$E,'9'!$A:$A,Año_Inicial+3,'9'!$B:$B,'12'!BN$4,'9'!$D:$D,"Aplicación de fertilizante")</f>
        <v>0</v>
      </c>
      <c r="BP17" s="101">
        <f>((A4_A_L32*Nutrición_A)+(A4_B_L32*Nutrición_B)+(A4_C_L32*Nutrición_C)+(A4_D_L32*Nutrición_D)+(A4_Y_L32*Nutrición_Y))*Inflación_4</f>
        <v>0</v>
      </c>
      <c r="BQ17" s="101">
        <f>SUMIFS('9'!$E:$E,'9'!$A:$A,Año_Inicial+3,'9'!$B:$B,'12'!BP$4,'9'!$D:$D,"Aplicación de fertilizante")</f>
        <v>0</v>
      </c>
      <c r="BR17" s="101">
        <f>((A4_A_L33*Nutrición_A)+(A4_B_L33*Nutrición_B)+(A4_C_L33*Nutrición_C)+(A4_D_L33*Nutrición_D)+(A4_Y_L33*Nutrición_Y))*Inflación_4</f>
        <v>0</v>
      </c>
      <c r="BS17" s="101">
        <f>SUMIFS('9'!$E:$E,'9'!$A:$A,Año_Inicial+3,'9'!$B:$B,'12'!BR$4,'9'!$D:$D,"Aplicación de fertilizante")</f>
        <v>0</v>
      </c>
      <c r="BT17" s="101">
        <f>((A4_A_L34*Nutrición_A)+(A4_B_L34*Nutrición_B)+(A4_C_L34*Nutrición_C)+(A4_D_L34*Nutrición_D)+(A4_Y_L34*Nutrición_Y))*Inflación_4</f>
        <v>0</v>
      </c>
      <c r="BU17" s="101">
        <f>SUMIFS('9'!$E:$E,'9'!$A:$A,Año_Inicial+3,'9'!$B:$B,'12'!BT$4,'9'!$D:$D,"Aplicación de fertilizante")</f>
        <v>0</v>
      </c>
      <c r="BV17" s="101">
        <f>((A4_A_L35*Nutrición_A)+(A4_B_L35*Nutrición_B)+(A4_C_L35*Nutrición_C)+(A4_D_L35*Nutrición_D)+(A4_Y_L35*Nutrición_Y))*Inflación_4</f>
        <v>0</v>
      </c>
      <c r="BW17" s="101">
        <f>SUMIFS('9'!$E:$E,'9'!$A:$A,Año_Inicial+3,'9'!$B:$B,'12'!BV$4,'9'!$D:$D,"Aplicación de fertilizante")</f>
        <v>0</v>
      </c>
      <c r="BX17" s="101">
        <f>((A4_A_L36*Nutrición_A)+(A4_B_L36*Nutrición_B)+(A4_C_L36*Nutrición_C)+(A4_D_L36*Nutrición_D)+(A4_Y_L36*Nutrición_Y))*Inflación_4</f>
        <v>0</v>
      </c>
      <c r="BY17" s="101">
        <f>SUMIFS('9'!$E:$E,'9'!$A:$A,Año_Inicial+3,'9'!$B:$B,'12'!BX$4,'9'!$D:$D,"Aplicación de fertilizante")</f>
        <v>0</v>
      </c>
      <c r="BZ17" s="101">
        <f>((A4_A_L37*Nutrición_A)+(A4_B_L37*Nutrición_B)+(A4_C_L37*Nutrición_C)+(A4_D_L37*Nutrición_D)+(A4_Y_L37*Nutrición_Y))*Inflación_4</f>
        <v>0</v>
      </c>
      <c r="CA17" s="101">
        <f>SUMIFS('9'!$E:$E,'9'!$A:$A,Año_Inicial+3,'9'!$B:$B,'12'!BZ$4,'9'!$D:$D,"Aplicación de fertilizante")</f>
        <v>0</v>
      </c>
      <c r="CB17" s="101">
        <f>((A4_A_L38*Nutrición_A)+(A4_B_L38*Nutrición_B)+(A4_C_L38*Nutrición_C)+(A4_D_L38*Nutrición_D)+(A4_Y_L38*Nutrición_Y))*Inflación_4</f>
        <v>0</v>
      </c>
      <c r="CC17" s="101">
        <f>SUMIFS('9'!$E:$E,'9'!$A:$A,Año_Inicial+3,'9'!$B:$B,'12'!CB$4,'9'!$D:$D,"Aplicación de fertilizante")</f>
        <v>0</v>
      </c>
      <c r="CD17" s="101">
        <f>((A4_A_L39*Nutrición_A)+(A4_B_L39*Nutrición_B)+(A4_C_L39*Nutrición_C)+(A4_D_L39*Nutrición_D)+(A4_Y_L39*Nutrición_Y))*Inflación_4</f>
        <v>0</v>
      </c>
      <c r="CE17" s="101">
        <f>SUMIFS('9'!$E:$E,'9'!$A:$A,Año_Inicial+3,'9'!$B:$B,'12'!CD$4,'9'!$D:$D,"Aplicación de fertilizante")</f>
        <v>0</v>
      </c>
      <c r="CF17" s="101">
        <f>((A4_A_L40*Nutrición_A)+(A4_B_L40*Nutrición_B)+(A4_C_L40*Nutrición_C)+(A4_D_L40*Nutrición_D)+(A4_Y_L40*Nutrición_Y))*Inflación_4</f>
        <v>0</v>
      </c>
      <c r="CG17" s="101">
        <f>SUMIFS('9'!$E:$E,'9'!$A:$A,Año_Inicial+3,'9'!$B:$B,'12'!CF$4,'9'!$D:$D,"Aplicación de fertilizante")</f>
        <v>0</v>
      </c>
      <c r="CH17" s="473"/>
      <c r="CI17" s="101">
        <f>Plantas_A_A4*Nutrición_A*Inflación_4</f>
        <v>0</v>
      </c>
      <c r="CJ17" s="101">
        <f>Plantas_B_A4*Nutrición_B</f>
        <v>0</v>
      </c>
      <c r="CK17" s="101">
        <f>Plantas_C_A4*Nutrición_C</f>
        <v>0</v>
      </c>
      <c r="CL17" s="101">
        <f>Plantas_D_A4*Nutrición_D</f>
        <v>0</v>
      </c>
      <c r="CM17" s="101"/>
      <c r="CN17" s="101">
        <f>Plantas_Y_A4*Nutrición_Y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SUMIFS('9'!$E:$E,'9'!$A:$A,Año_Inicial+3,'9'!$D:$D,"Aplicación de enmiendas")</f>
        <v>0</v>
      </c>
      <c r="D18" s="100">
        <f t="shared" si="45"/>
        <v>0</v>
      </c>
      <c r="E18" s="473"/>
      <c r="F18" s="101">
        <f>((A4_A_L1*Enmienda_A)+(A4_B_L1*Enmienda_B)+(A4_C_L1*Enmienda_C)+(A4_D_L1*Enmienda_D)+(A4_Y_L1*Enmienda_Y))*Inflación_4</f>
        <v>0</v>
      </c>
      <c r="G18" s="101">
        <f>SUMIFS('9'!$E:$E,'9'!$A:$A,Año_Inicial+3,'9'!$B:$B,'12'!F$4,'9'!$D:$D,"Aplicación de enmiendas")</f>
        <v>0</v>
      </c>
      <c r="H18" s="101">
        <f>((A4_A_L2*Enmienda_A)+(A4_B_L2*Enmienda_B)+(A4_C_L2*Enmienda_C)+(A4_D_L2*Enmienda_D)+(A4_Y_L2*Enmienda_Y))*Inflación_4</f>
        <v>0</v>
      </c>
      <c r="I18" s="101">
        <f>SUMIFS('9'!$E:$E,'9'!$A:$A,Año_Inicial+3,'9'!$B:$B,'12'!H$4,'9'!$D:$D,"Aplicación de enmiendas")</f>
        <v>0</v>
      </c>
      <c r="J18" s="101">
        <f>((A4_A_L3*Enmienda_A)+(A4_B_L3*Enmienda_B)+(A4_C_L3*Enmienda_C)+(A4_D_L3*Enmienda_D)+(A4_Y_L3*Enmienda_Y))*Inflación_4</f>
        <v>0</v>
      </c>
      <c r="K18" s="101">
        <f>SUMIFS('9'!$E:$E,'9'!$A:$A,Año_Inicial+3,'9'!$B:$B,'12'!J$4,'9'!$D:$D,"Aplicación de enmiendas")</f>
        <v>0</v>
      </c>
      <c r="L18" s="101">
        <f>((A4_A_L4*Enmienda_A)+(A4_B_L4*Enmienda_B)+(A4_C_L4*Enmienda_C)+(A4_D_L4*Enmienda_D)+(A4_Y_L4*Enmienda_Y))*Inflación_4</f>
        <v>0</v>
      </c>
      <c r="M18" s="101">
        <f>SUMIFS('9'!$E:$E,'9'!$A:$A,Año_Inicial+3,'9'!$B:$B,'12'!L$4,'9'!$D:$D,"Aplicación de enmiendas")</f>
        <v>0</v>
      </c>
      <c r="N18" s="101">
        <f>((A4_A_L5*Enmienda_A)+(A4_B_L5*Enmienda_B)+(A4_C_L5*Enmienda_C)+(A4_D_L5*Enmienda_D)+(A4_Y_L5*Enmienda_Y))*Inflación_4</f>
        <v>0</v>
      </c>
      <c r="O18" s="101">
        <f>SUMIFS('9'!$E:$E,'9'!$A:$A,Año_Inicial+3,'9'!$B:$B,'12'!N$4,'9'!$D:$D,"Aplicación de enmiendas")</f>
        <v>0</v>
      </c>
      <c r="P18" s="101">
        <f>((A4_A_L6*Enmienda_A)+(A4_B_L6*Enmienda_B)+(A4_C_L6*Enmienda_C)+(A4_D_L6*Enmienda_D)+(A4_Y_L6*Enmienda_Y))*Inflación_4</f>
        <v>0</v>
      </c>
      <c r="Q18" s="101">
        <f>SUMIFS('9'!$E:$E,'9'!$A:$A,Año_Inicial+3,'9'!$B:$B,'12'!P$4,'9'!$D:$D,"Aplicación de enmiendas")</f>
        <v>0</v>
      </c>
      <c r="R18" s="101">
        <f>((A4_A_L7*Enmienda_A)+(A4_B_L7*Enmienda_B)+(A4_C_L7*Enmienda_C)+(A4_D_L7*Enmienda_D)+(A4_Y_L7*Enmienda_Y))*Inflación_4</f>
        <v>0</v>
      </c>
      <c r="S18" s="101">
        <f>SUMIFS('9'!$E:$E,'9'!$A:$A,Año_Inicial+3,'9'!$B:$B,'12'!R$4,'9'!$D:$D,"Aplicación de enmiendas")</f>
        <v>0</v>
      </c>
      <c r="T18" s="101">
        <f>((A4_A_L8*Enmienda_A)+(A4_B_L8*Enmienda_B)+(A4_C_L8*Enmienda_C)+(A4_D_L8*Enmienda_D)+(A4_Y_L8*Enmienda_Y))*Inflación_4</f>
        <v>0</v>
      </c>
      <c r="U18" s="101">
        <f>SUMIFS('9'!$E:$E,'9'!$A:$A,Año_Inicial+3,'9'!$B:$B,'12'!T$4,'9'!$D:$D,"Aplicación de enmiendas")</f>
        <v>0</v>
      </c>
      <c r="V18" s="101">
        <f>((A4_A_L9*Enmienda_A)+(A4_B_L9*Enmienda_B)+(A4_C_L9*Enmienda_C)+(A4_D_L9*Enmienda_D)+(A4_Y_L9*Enmienda_Y))*Inflación_4</f>
        <v>0</v>
      </c>
      <c r="W18" s="101">
        <f>SUMIFS('9'!$E:$E,'9'!$A:$A,Año_Inicial+3,'9'!$B:$B,'12'!V$4,'9'!$D:$D,"Aplicación de enmiendas")</f>
        <v>0</v>
      </c>
      <c r="X18" s="101">
        <f>((A4_A_L10*Enmienda_A)+(A4_B_L10*Enmienda_B)+(A4_C_L10*Enmienda_C)+(A4_D_L10*Enmienda_D)+(A4_Y_L10*Enmienda_Y))*Inflación_4</f>
        <v>0</v>
      </c>
      <c r="Y18" s="101">
        <f>SUMIFS('9'!$E:$E,'9'!$A:$A,Año_Inicial+3,'9'!$B:$B,'12'!X$4,'9'!$D:$D,"Aplicación de enmiendas")</f>
        <v>0</v>
      </c>
      <c r="Z18" s="101">
        <f>((A4_A_L11*Enmienda_A)+(A4_B_L11*Enmienda_B)+(A4_C_L11*Enmienda_C)+(A4_D_L11*Enmienda_D)+(A4_Y_L11*Enmienda_Y))*Inflación_4</f>
        <v>0</v>
      </c>
      <c r="AA18" s="101">
        <f>SUMIFS('9'!$E:$E,'9'!$A:$A,Año_Inicial+3,'9'!$B:$B,'12'!Z$4,'9'!$D:$D,"Aplicación de enmiendas")</f>
        <v>0</v>
      </c>
      <c r="AB18" s="101">
        <f>((A4_A_L12*Enmienda_A)+(A4_B_L12*Enmienda_B)+(A4_C_L12*Enmienda_C)+(A4_D_L12*Enmienda_D)+(A4_Y_L12*Enmienda_Y))*Inflación_4</f>
        <v>0</v>
      </c>
      <c r="AC18" s="101">
        <f>SUMIFS('9'!$E:$E,'9'!$A:$A,Año_Inicial+3,'9'!$B:$B,'12'!AB$4,'9'!$D:$D,"Aplicación de enmiendas")</f>
        <v>0</v>
      </c>
      <c r="AD18" s="101">
        <f>((A4_A_L13*Enmienda_A)+(A4_B_L13*Enmienda_B)+(A4_C_L13*Enmienda_C)+(A4_D_L13*Enmienda_D)+(A4_Y_L13*Enmienda_Y))*Inflación_4</f>
        <v>0</v>
      </c>
      <c r="AE18" s="101">
        <f>SUMIFS('9'!$E:$E,'9'!$A:$A,Año_Inicial+3,'9'!$B:$B,'12'!AD$4,'9'!$D:$D,"Aplicación de enmiendas")</f>
        <v>0</v>
      </c>
      <c r="AF18" s="101">
        <f>((A4_A_L14*Enmienda_A)+(A4_B_L14*Enmienda_B)+(A4_C_L14*Enmienda_C)+(A4_D_L14*Enmienda_D)+(A4_Y_L14*Enmienda_Y))*Inflación_4</f>
        <v>0</v>
      </c>
      <c r="AG18" s="101">
        <f>SUMIFS('9'!$E:$E,'9'!$A:$A,Año_Inicial+3,'9'!$B:$B,'12'!AF$4,'9'!$D:$D,"Aplicación de enmiendas")</f>
        <v>0</v>
      </c>
      <c r="AH18" s="101">
        <f>((A4_A_L15*Enmienda_A)+(A4_B_L15*Enmienda_B)+(A4_C_L15*Enmienda_C)+(A4_D_L15*Enmienda_D)+(A4_Y_L15*Enmienda_Y))*Inflación_4</f>
        <v>0</v>
      </c>
      <c r="AI18" s="101">
        <f>SUMIFS('9'!$E:$E,'9'!$A:$A,Año_Inicial+3,'9'!$B:$B,'12'!AH$4,'9'!$D:$D,"Aplicación de enmiendas")</f>
        <v>0</v>
      </c>
      <c r="AJ18" s="101">
        <f>((A4_A_L16*Enmienda_A)+(A4_B_L16*Enmienda_B)+(A4_C_L16*Enmienda_C)+(A4_D_L16*Enmienda_D)+(A4_Y_L16*Enmienda_Y))*Inflación_4</f>
        <v>0</v>
      </c>
      <c r="AK18" s="101">
        <f>SUMIFS('9'!$E:$E,'9'!$A:$A,Año_Inicial+3,'9'!$B:$B,'12'!AJ$4,'9'!$D:$D,"Aplicación de enmiendas")</f>
        <v>0</v>
      </c>
      <c r="AL18" s="101">
        <f>((A4_A_L17*Enmienda_A)+(A4_B_L17*Enmienda_B)+(A4_C_L17*Enmienda_C)+(A4_D_L17*Enmienda_D)+(A4_Y_L17*Enmienda_Y))*Inflación_4</f>
        <v>0</v>
      </c>
      <c r="AM18" s="101">
        <f>SUMIFS('9'!$E:$E,'9'!$A:$A,Año_Inicial+3,'9'!$B:$B,'12'!AL$4,'9'!$D:$D,"Aplicación de enmiendas")</f>
        <v>0</v>
      </c>
      <c r="AN18" s="101">
        <f>((A4_A_L18*Enmienda_A)+(A4_B_L18*Enmienda_B)+(A4_C_L18*Enmienda_C)+(A4_D_L18*Enmienda_D)+(A4_Y_L18*Enmienda_Y))*Inflación_4</f>
        <v>0</v>
      </c>
      <c r="AO18" s="101">
        <f>SUMIFS('9'!$E:$E,'9'!$A:$A,Año_Inicial+3,'9'!$B:$B,'12'!AN$4,'9'!$D:$D,"Aplicación de enmiendas")</f>
        <v>0</v>
      </c>
      <c r="AP18" s="101">
        <f>((A4_A_L19*Enmienda_A)+(A4_B_L19*Enmienda_B)+(A4_C_L19*Enmienda_C)+(A4_D_L19*Enmienda_D)+(A4_Y_L19*Enmienda_Y))*Inflación_4</f>
        <v>0</v>
      </c>
      <c r="AQ18" s="101">
        <f>SUMIFS('9'!$E:$E,'9'!$A:$A,Año_Inicial+3,'9'!$B:$B,'12'!AP$4,'9'!$D:$D,"Aplicación de enmiendas")</f>
        <v>0</v>
      </c>
      <c r="AR18" s="101">
        <f>((A4_A_L20*Enmienda_A)+(A4_B_L20*Enmienda_B)+(A4_C_L20*Enmienda_C)+(A4_D_L20*Enmienda_D)+(A4_Y_L20*Enmienda_Y))*Inflación_4</f>
        <v>0</v>
      </c>
      <c r="AS18" s="101">
        <f>SUMIFS('9'!$E:$E,'9'!$A:$A,Año_Inicial+3,'9'!$B:$B,'12'!AR$4,'9'!$D:$D,"Aplicación de enmiendas")</f>
        <v>0</v>
      </c>
      <c r="AT18" s="101">
        <f>((A4_A_L21*Enmienda_A)+(A4_B_L21*Enmienda_B)+(A4_C_L21*Enmienda_C)+(A4_D_L21*Enmienda_D)+(A4_Y_L21*Enmienda_Y))*Inflación_4</f>
        <v>0</v>
      </c>
      <c r="AU18" s="101">
        <f>SUMIFS('9'!$E:$E,'9'!$A:$A,Año_Inicial+3,'9'!$B:$B,'12'!AT$4,'9'!$D:$D,"Aplicación de enmiendas")</f>
        <v>0</v>
      </c>
      <c r="AV18" s="101">
        <f>((A4_A_L22*Enmienda_A)+(A4_B_L22*Enmienda_B)+(A4_C_L22*Enmienda_C)+(A4_D_L22*Enmienda_D)+(A4_Y_L22*Enmienda_Y))*Inflación_4</f>
        <v>0</v>
      </c>
      <c r="AW18" s="101">
        <f>SUMIFS('9'!$E:$E,'9'!$A:$A,Año_Inicial+3,'9'!$B:$B,'12'!AV$4,'9'!$D:$D,"Aplicación de enmiendas")</f>
        <v>0</v>
      </c>
      <c r="AX18" s="101">
        <f>((A4_A_L23*Enmienda_A)+(A4_B_L23*Enmienda_B)+(A4_C_L23*Enmienda_C)+(A4_D_L23*Enmienda_D)+(A4_Y_L23*Enmienda_Y))*Inflación_4</f>
        <v>0</v>
      </c>
      <c r="AY18" s="101">
        <f>SUMIFS('9'!$E:$E,'9'!$A:$A,Año_Inicial+3,'9'!$B:$B,'12'!AX$4,'9'!$D:$D,"Aplicación de enmiendas")</f>
        <v>0</v>
      </c>
      <c r="AZ18" s="101">
        <f>((A4_A_L24*Enmienda_A)+(A4_B_L24*Enmienda_B)+(A4_C_L24*Enmienda_C)+(A4_D_L24*Enmienda_D)+(A4_Y_L24*Enmienda_Y))*Inflación_4</f>
        <v>0</v>
      </c>
      <c r="BA18" s="101">
        <f>SUMIFS('9'!$E:$E,'9'!$A:$A,Año_Inicial+3,'9'!$B:$B,'12'!AZ$4,'9'!$D:$D,"Aplicación de enmiendas")</f>
        <v>0</v>
      </c>
      <c r="BB18" s="101">
        <f>((A4_A_L25*Enmienda_A)+(A4_B_L25*Enmienda_B)+(A4_C_L25*Enmienda_C)+(A4_D_L25*Enmienda_D)+(A4_Y_L25*Enmienda_Y))*Inflación_4</f>
        <v>0</v>
      </c>
      <c r="BC18" s="101">
        <f>SUMIFS('9'!$E:$E,'9'!$A:$A,Año_Inicial+3,'9'!$B:$B,'12'!BB$4,'9'!$D:$D,"Aplicación de enmiendas")</f>
        <v>0</v>
      </c>
      <c r="BD18" s="101">
        <f>((A4_A_L26*Enmienda_A)+(A4_B_L26*Enmienda_B)+(A4_C_L26*Enmienda_C)+(A4_D_L26*Enmienda_D)+(A4_Y_L26*Enmienda_Y))*Inflación_4</f>
        <v>0</v>
      </c>
      <c r="BE18" s="101">
        <f>SUMIFS('9'!$E:$E,'9'!$A:$A,Año_Inicial+3,'9'!$B:$B,'12'!BD$4,'9'!$D:$D,"Aplicación de enmiendas")</f>
        <v>0</v>
      </c>
      <c r="BF18" s="101">
        <f>((A4_A_L27*Enmienda_A)+(A4_B_L27*Enmienda_B)+(A4_C_L27*Enmienda_C)+(A4_D_L27*Enmienda_D)+(A4_Y_L27*Enmienda_Y))*Inflación_4</f>
        <v>0</v>
      </c>
      <c r="BG18" s="101">
        <f>SUMIFS('9'!$E:$E,'9'!$A:$A,Año_Inicial+3,'9'!$B:$B,'12'!BF$4,'9'!$D:$D,"Aplicación de enmiendas")</f>
        <v>0</v>
      </c>
      <c r="BH18" s="101">
        <f>((A4_A_L28*Enmienda_A)+(A4_B_L28*Enmienda_B)+(A4_C_L28*Enmienda_C)+(A4_D_L28*Enmienda_D)+(A4_Y_L28*Enmienda_Y))*Inflación_4</f>
        <v>0</v>
      </c>
      <c r="BI18" s="101">
        <f>SUMIFS('9'!$E:$E,'9'!$A:$A,Año_Inicial+3,'9'!$B:$B,'12'!BH$4,'9'!$D:$D,"Aplicación de enmiendas")</f>
        <v>0</v>
      </c>
      <c r="BJ18" s="101">
        <f>((A4_A_L29*Enmienda_A)+(A4_B_L29*Enmienda_B)+(A4_C_L29*Enmienda_C)+(A4_D_L29*Enmienda_D)+(A4_Y_L29*Enmienda_Y))*Inflación_4</f>
        <v>0</v>
      </c>
      <c r="BK18" s="101">
        <f>SUMIFS('9'!$E:$E,'9'!$A:$A,Año_Inicial+3,'9'!$B:$B,'12'!BJ$4,'9'!$D:$D,"Aplicación de enmiendas")</f>
        <v>0</v>
      </c>
      <c r="BL18" s="101">
        <f>((A4_A_L30*Enmienda_A)+(A4_B_L30*Enmienda_B)+(A4_C_L30*Enmienda_C)+(A4_D_L30*Enmienda_D)+(A4_Y_L30*Enmienda_Y))*Inflación_4</f>
        <v>0</v>
      </c>
      <c r="BM18" s="101">
        <f>SUMIFS('9'!$E:$E,'9'!$A:$A,Año_Inicial+3,'9'!$B:$B,'12'!BL$4,'9'!$D:$D,"Aplicación de enmiendas")</f>
        <v>0</v>
      </c>
      <c r="BN18" s="101">
        <f>((A4_A_L31*Enmienda_A)+(A4_B_L31*Enmienda_B)+(A4_C_L31*Enmienda_C)+(A4_D_L31*Enmienda_D)+(A4_Y_L31*Enmienda_Y))*Inflación_4</f>
        <v>0</v>
      </c>
      <c r="BO18" s="101">
        <f>SUMIFS('9'!$E:$E,'9'!$A:$A,Año_Inicial+3,'9'!$B:$B,'12'!BN$4,'9'!$D:$D,"Aplicación de enmiendas")</f>
        <v>0</v>
      </c>
      <c r="BP18" s="101">
        <f>((A4_A_L32*Enmienda_A)+(A4_B_L32*Enmienda_B)+(A4_C_L32*Enmienda_C)+(A4_D_L32*Enmienda_D)+(A4_Y_L32*Enmienda_Y))*Inflación_4</f>
        <v>0</v>
      </c>
      <c r="BQ18" s="101">
        <f>SUMIFS('9'!$E:$E,'9'!$A:$A,Año_Inicial+3,'9'!$B:$B,'12'!BP$4,'9'!$D:$D,"Aplicación de enmiendas")</f>
        <v>0</v>
      </c>
      <c r="BR18" s="101">
        <f>((A4_A_L33*Enmienda_A)+(A4_B_L33*Enmienda_B)+(A4_C_L33*Enmienda_C)+(A4_D_L33*Enmienda_D)+(A4_Y_L33*Enmienda_Y))*Inflación_4</f>
        <v>0</v>
      </c>
      <c r="BS18" s="101">
        <f>SUMIFS('9'!$E:$E,'9'!$A:$A,Año_Inicial+3,'9'!$B:$B,'12'!BR$4,'9'!$D:$D,"Aplicación de enmiendas")</f>
        <v>0</v>
      </c>
      <c r="BT18" s="101">
        <f>((A4_A_L34*Enmienda_A)+(A4_B_L34*Enmienda_B)+(A4_C_L34*Enmienda_C)+(A4_D_L34*Enmienda_D)+(A4_Y_L34*Enmienda_Y))*Inflación_4</f>
        <v>0</v>
      </c>
      <c r="BU18" s="101">
        <f>SUMIFS('9'!$E:$E,'9'!$A:$A,Año_Inicial+3,'9'!$B:$B,'12'!BT$4,'9'!$D:$D,"Aplicación de enmiendas")</f>
        <v>0</v>
      </c>
      <c r="BV18" s="101">
        <f>((A4_A_L35*Enmienda_A)+(A4_B_L35*Enmienda_B)+(A4_C_L35*Enmienda_C)+(A4_D_L35*Enmienda_D)+(A4_Y_L35*Enmienda_Y))*Inflación_4</f>
        <v>0</v>
      </c>
      <c r="BW18" s="101">
        <f>SUMIFS('9'!$E:$E,'9'!$A:$A,Año_Inicial+3,'9'!$B:$B,'12'!BV$4,'9'!$D:$D,"Aplicación de enmiendas")</f>
        <v>0</v>
      </c>
      <c r="BX18" s="101">
        <f>((A4_A_L36*Enmienda_A)+(A4_B_L36*Enmienda_B)+(A4_C_L36*Enmienda_C)+(A4_D_L36*Enmienda_D)+(A4_Y_L36*Enmienda_Y))*Inflación_4</f>
        <v>0</v>
      </c>
      <c r="BY18" s="101">
        <f>SUMIFS('9'!$E:$E,'9'!$A:$A,Año_Inicial+3,'9'!$B:$B,'12'!BX$4,'9'!$D:$D,"Aplicación de enmiendas")</f>
        <v>0</v>
      </c>
      <c r="BZ18" s="101">
        <f>((A4_A_L37*Enmienda_A)+(A4_B_L37*Enmienda_B)+(A4_C_L37*Enmienda_C)+(A4_D_L37*Enmienda_D)+(A4_Y_L37*Enmienda_Y))*Inflación_4</f>
        <v>0</v>
      </c>
      <c r="CA18" s="101">
        <f>SUMIFS('9'!$E:$E,'9'!$A:$A,Año_Inicial+3,'9'!$B:$B,'12'!BZ$4,'9'!$D:$D,"Aplicación de enmiendas")</f>
        <v>0</v>
      </c>
      <c r="CB18" s="101">
        <f>((A4_A_L38*Enmienda_A)+(A4_B_L38*Enmienda_B)+(A4_C_L38*Enmienda_C)+(A4_D_L38*Enmienda_D)+(A4_Y_L38*Enmienda_Y))*Inflación_4</f>
        <v>0</v>
      </c>
      <c r="CC18" s="101">
        <f>SUMIFS('9'!$E:$E,'9'!$A:$A,Año_Inicial+3,'9'!$B:$B,'12'!CB$4,'9'!$D:$D,"Aplicación de enmiendas")</f>
        <v>0</v>
      </c>
      <c r="CD18" s="101">
        <f>((A4_A_L39*Enmienda_A)+(A4_B_L39*Enmienda_B)+(A4_C_L39*Enmienda_C)+(A4_D_L39*Enmienda_D)+(A4_Y_L39*Enmienda_Y))*Inflación_4</f>
        <v>0</v>
      </c>
      <c r="CE18" s="101">
        <f>SUMIFS('9'!$E:$E,'9'!$A:$A,Año_Inicial+3,'9'!$B:$B,'12'!CD$4,'9'!$D:$D,"Aplicación de enmiendas")</f>
        <v>0</v>
      </c>
      <c r="CF18" s="101">
        <f>((A4_A_L40*Enmienda_A)+(A4_B_L40*Enmienda_B)+(A4_C_L40*Enmienda_C)+(A4_D_L40*Enmienda_D)+(A4_Y_L40*Enmienda_Y))*Inflación_4</f>
        <v>0</v>
      </c>
      <c r="CG18" s="101">
        <f>SUMIFS('9'!$E:$E,'9'!$A:$A,Año_Inicial+3,'9'!$B:$B,'12'!CF$4,'9'!$D:$D,"Aplicación de enmiendas")</f>
        <v>0</v>
      </c>
      <c r="CH18" s="473"/>
      <c r="CI18" s="101">
        <f>Plantas_A_A4*Enmienda_A*Inflación_4</f>
        <v>0</v>
      </c>
      <c r="CJ18" s="101">
        <f>Plantas_B_A4*Enmienda_B</f>
        <v>0</v>
      </c>
      <c r="CK18" s="101">
        <f>Plantas_C_A4*Enmienda_C</f>
        <v>0</v>
      </c>
      <c r="CL18" s="101">
        <f>Plantas_D_A4*Enmienda_D</f>
        <v>0</v>
      </c>
      <c r="CM18" s="101"/>
      <c r="CN18" s="101">
        <f>Plantas_Y_A4*Enmienda_Y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SUMIFS('9'!$E:$E,'9'!$A:$A,Año_Inicial+3,'9'!$D:$D,"Fertilizante químico")</f>
        <v>0</v>
      </c>
      <c r="D19" s="100">
        <f t="shared" si="45"/>
        <v>0</v>
      </c>
      <c r="E19" s="473"/>
      <c r="F19" s="101">
        <f>((A4_A_L1*Fertilizante_A)+(A4_B_L1*Fertilizante_B)+(A4_C_L1*Fertilizante_C)+(A4_D_L1*Fertilizante_D)+(A4_Y_L1*Fertilizante_Y))*Inflación_4</f>
        <v>0</v>
      </c>
      <c r="G19" s="101">
        <f>SUMIFS('9'!$E:$E,'9'!$A:$A,Año_Inicial+3,'9'!$B:$B,'12'!F$4,'9'!$D:$D,"Fertilizante químico")</f>
        <v>0</v>
      </c>
      <c r="H19" s="101">
        <f>((A4_A_L2*Fertilizante_A)+(A4_B_L2*Fertilizante_B)+(A4_C_L2*Fertilizante_C)+(A4_D_L2*Fertilizante_D)+(A4_Y_L2*Fertilizante_Y))*Inflación_4</f>
        <v>0</v>
      </c>
      <c r="I19" s="101">
        <f>SUMIFS('9'!$E:$E,'9'!$A:$A,Año_Inicial+3,'9'!$B:$B,'12'!H$4,'9'!$D:$D,"Fertilizante químico")</f>
        <v>0</v>
      </c>
      <c r="J19" s="101">
        <f>((A4_A_L3*Fertilizante_A)+(A4_B_L3*Fertilizante_B)+(A4_C_L3*Fertilizante_C)+(A4_D_L3*Fertilizante_D)+(A4_Y_L3*Fertilizante_Y))*Inflación_4</f>
        <v>0</v>
      </c>
      <c r="K19" s="101">
        <f>SUMIFS('9'!$E:$E,'9'!$A:$A,Año_Inicial+3,'9'!$B:$B,'12'!J$4,'9'!$D:$D,"Fertilizante químico")</f>
        <v>0</v>
      </c>
      <c r="L19" s="101">
        <f>((A4_A_L4*Fertilizante_A)+(A4_B_L4*Fertilizante_B)+(A4_C_L4*Fertilizante_C)+(A4_D_L4*Fertilizante_D)+(A4_Y_L4*Fertilizante_Y))*Inflación_4</f>
        <v>0</v>
      </c>
      <c r="M19" s="101">
        <f>SUMIFS('9'!$E:$E,'9'!$A:$A,Año_Inicial+3,'9'!$B:$B,'12'!L$4,'9'!$D:$D,"Fertilizante químico")</f>
        <v>0</v>
      </c>
      <c r="N19" s="101">
        <f>((A4_A_L5*Fertilizante_A)+(A4_B_L5*Fertilizante_B)+(A4_C_L5*Fertilizante_C)+(A4_D_L5*Fertilizante_D)+(A4_Y_L5*Fertilizante_Y))*Inflación_4</f>
        <v>0</v>
      </c>
      <c r="O19" s="101">
        <f>SUMIFS('9'!$E:$E,'9'!$A:$A,Año_Inicial+3,'9'!$B:$B,'12'!N$4,'9'!$D:$D,"Fertilizante químico")</f>
        <v>0</v>
      </c>
      <c r="P19" s="101">
        <f>((A4_A_L6*Fertilizante_A)+(A4_B_L6*Fertilizante_B)+(A4_C_L6*Fertilizante_C)+(A4_D_L6*Fertilizante_D)+(A4_Y_L6*Fertilizante_Y))*Inflación_4</f>
        <v>0</v>
      </c>
      <c r="Q19" s="101">
        <f>SUMIFS('9'!$E:$E,'9'!$A:$A,Año_Inicial+3,'9'!$B:$B,'12'!P$4,'9'!$D:$D,"Fertilizante químico")</f>
        <v>0</v>
      </c>
      <c r="R19" s="101">
        <f>((A4_A_L7*Fertilizante_A)+(A4_B_L7*Fertilizante_B)+(A4_C_L7*Fertilizante_C)+(A4_D_L7*Fertilizante_D)+(A4_Y_L7*Fertilizante_Y))*Inflación_4</f>
        <v>0</v>
      </c>
      <c r="S19" s="101">
        <f>SUMIFS('9'!$E:$E,'9'!$A:$A,Año_Inicial+3,'9'!$B:$B,'12'!R$4,'9'!$D:$D,"Fertilizante químico")</f>
        <v>0</v>
      </c>
      <c r="T19" s="101">
        <f>((A4_A_L8*Fertilizante_A)+(A4_B_L8*Fertilizante_B)+(A4_C_L8*Fertilizante_C)+(A4_D_L8*Fertilizante_D)+(A4_Y_L8*Fertilizante_Y))*Inflación_4</f>
        <v>0</v>
      </c>
      <c r="U19" s="101">
        <f>SUMIFS('9'!$E:$E,'9'!$A:$A,Año_Inicial+3,'9'!$B:$B,'12'!T$4,'9'!$D:$D,"Fertilizante químico")</f>
        <v>0</v>
      </c>
      <c r="V19" s="101">
        <f>((A4_A_L9*Fertilizante_A)+(A4_B_L9*Fertilizante_B)+(A4_C_L9*Fertilizante_C)+(A4_D_L9*Fertilizante_D)+(A4_Y_L9*Fertilizante_Y))*Inflación_4</f>
        <v>0</v>
      </c>
      <c r="W19" s="101">
        <f>SUMIFS('9'!$E:$E,'9'!$A:$A,Año_Inicial+3,'9'!$B:$B,'12'!V$4,'9'!$D:$D,"Fertilizante químico")</f>
        <v>0</v>
      </c>
      <c r="X19" s="101">
        <f>((A4_A_L10*Fertilizante_A)+(A4_B_L10*Fertilizante_B)+(A4_C_L10*Fertilizante_C)+(A4_D_L10*Fertilizante_D)+(A4_Y_L10*Fertilizante_Y))*Inflación_4</f>
        <v>0</v>
      </c>
      <c r="Y19" s="101">
        <f>SUMIFS('9'!$E:$E,'9'!$A:$A,Año_Inicial+3,'9'!$B:$B,'12'!X$4,'9'!$D:$D,"Fertilizante químico")</f>
        <v>0</v>
      </c>
      <c r="Z19" s="101">
        <f>((A4_A_L11*Fertilizante_A)+(A4_B_L11*Fertilizante_B)+(A4_C_L11*Fertilizante_C)+(A4_D_L11*Fertilizante_D)+(A4_Y_L11*Fertilizante_Y))*Inflación_4</f>
        <v>0</v>
      </c>
      <c r="AA19" s="101">
        <f>SUMIFS('9'!$E:$E,'9'!$A:$A,Año_Inicial+3,'9'!$B:$B,'12'!Z$4,'9'!$D:$D,"Fertilizante químico")</f>
        <v>0</v>
      </c>
      <c r="AB19" s="101">
        <f>((A4_A_L12*Fertilizante_A)+(A4_B_L12*Fertilizante_B)+(A4_C_L12*Fertilizante_C)+(A4_D_L12*Fertilizante_D)+(A4_Y_L12*Fertilizante_Y))*Inflación_4</f>
        <v>0</v>
      </c>
      <c r="AC19" s="101">
        <f>SUMIFS('9'!$E:$E,'9'!$A:$A,Año_Inicial+3,'9'!$B:$B,'12'!AB$4,'9'!$D:$D,"Fertilizante químico")</f>
        <v>0</v>
      </c>
      <c r="AD19" s="101">
        <f>((A4_A_L13*Fertilizante_A)+(A4_B_L13*Fertilizante_B)+(A4_C_L13*Fertilizante_C)+(A4_D_L13*Fertilizante_D)+(A4_Y_L13*Fertilizante_Y))*Inflación_4</f>
        <v>0</v>
      </c>
      <c r="AE19" s="101">
        <f>SUMIFS('9'!$E:$E,'9'!$A:$A,Año_Inicial+3,'9'!$B:$B,'12'!AD$4,'9'!$D:$D,"Fertilizante químico")</f>
        <v>0</v>
      </c>
      <c r="AF19" s="101">
        <f>((A4_A_L14*Fertilizante_A)+(A4_B_L14*Fertilizante_B)+(A4_C_L14*Fertilizante_C)+(A4_D_L14*Fertilizante_D)+(A4_Y_L14*Fertilizante_Y))*Inflación_4</f>
        <v>0</v>
      </c>
      <c r="AG19" s="101">
        <f>SUMIFS('9'!$E:$E,'9'!$A:$A,Año_Inicial+3,'9'!$B:$B,'12'!AF$4,'9'!$D:$D,"Fertilizante químico")</f>
        <v>0</v>
      </c>
      <c r="AH19" s="101">
        <f>((A4_A_L15*Fertilizante_A)+(A4_B_L15*Fertilizante_B)+(A4_C_L15*Fertilizante_C)+(A4_D_L15*Fertilizante_D)+(A4_Y_L15*Fertilizante_Y))*Inflación_4</f>
        <v>0</v>
      </c>
      <c r="AI19" s="101">
        <f>SUMIFS('9'!$E:$E,'9'!$A:$A,Año_Inicial+3,'9'!$B:$B,'12'!AH$4,'9'!$D:$D,"Fertilizante químico")</f>
        <v>0</v>
      </c>
      <c r="AJ19" s="101">
        <f>((A4_A_L16*Fertilizante_A)+(A4_B_L16*Fertilizante_B)+(A4_C_L16*Fertilizante_C)+(A4_D_L16*Fertilizante_D)+(A4_Y_L16*Fertilizante_Y))*Inflación_4</f>
        <v>0</v>
      </c>
      <c r="AK19" s="101">
        <f>SUMIFS('9'!$E:$E,'9'!$A:$A,Año_Inicial+3,'9'!$B:$B,'12'!AJ$4,'9'!$D:$D,"Fertilizante químico")</f>
        <v>0</v>
      </c>
      <c r="AL19" s="101">
        <f>((A4_A_L17*Fertilizante_A)+(A4_B_L17*Fertilizante_B)+(A4_C_L17*Fertilizante_C)+(A4_D_L17*Fertilizante_D)+(A4_Y_L17*Fertilizante_Y))*Inflación_4</f>
        <v>0</v>
      </c>
      <c r="AM19" s="101">
        <f>SUMIFS('9'!$E:$E,'9'!$A:$A,Año_Inicial+3,'9'!$B:$B,'12'!AL$4,'9'!$D:$D,"Fertilizante químico")</f>
        <v>0</v>
      </c>
      <c r="AN19" s="101">
        <f>((A4_A_L18*Fertilizante_A)+(A4_B_L18*Fertilizante_B)+(A4_C_L18*Fertilizante_C)+(A4_D_L18*Fertilizante_D)+(A4_Y_L18*Fertilizante_Y))*Inflación_4</f>
        <v>0</v>
      </c>
      <c r="AO19" s="101">
        <f>SUMIFS('9'!$E:$E,'9'!$A:$A,Año_Inicial+3,'9'!$B:$B,'12'!AN$4,'9'!$D:$D,"Fertilizante químico")</f>
        <v>0</v>
      </c>
      <c r="AP19" s="101">
        <f>((A4_A_L19*Fertilizante_A)+(A4_B_L19*Fertilizante_B)+(A4_C_L19*Fertilizante_C)+(A4_D_L19*Fertilizante_D)+(A4_Y_L19*Fertilizante_Y))*Inflación_4</f>
        <v>0</v>
      </c>
      <c r="AQ19" s="101">
        <f>SUMIFS('9'!$E:$E,'9'!$A:$A,Año_Inicial+3,'9'!$B:$B,'12'!AP$4,'9'!$D:$D,"Fertilizante químico")</f>
        <v>0</v>
      </c>
      <c r="AR19" s="101">
        <f>((A4_A_L20*Fertilizante_A)+(A4_B_L20*Fertilizante_B)+(A4_C_L20*Fertilizante_C)+(A4_D_L20*Fertilizante_D)+(A4_Y_L20*Fertilizante_Y))*Inflación_4</f>
        <v>0</v>
      </c>
      <c r="AS19" s="101">
        <f>SUMIFS('9'!$E:$E,'9'!$A:$A,Año_Inicial+3,'9'!$B:$B,'12'!AR$4,'9'!$D:$D,"Fertilizante químico")</f>
        <v>0</v>
      </c>
      <c r="AT19" s="101">
        <f>((A4_A_L21*Fertilizante_A)+(A4_B_L21*Fertilizante_B)+(A4_C_L21*Fertilizante_C)+(A4_D_L21*Fertilizante_D)+(A4_Y_L21*Fertilizante_Y))*Inflación_4</f>
        <v>0</v>
      </c>
      <c r="AU19" s="101">
        <f>SUMIFS('9'!$E:$E,'9'!$A:$A,Año_Inicial+3,'9'!$B:$B,'12'!AT$4,'9'!$D:$D,"Fertilizante químico")</f>
        <v>0</v>
      </c>
      <c r="AV19" s="101">
        <f>((A4_A_L22*Fertilizante_A)+(A4_B_L22*Fertilizante_B)+(A4_C_L22*Fertilizante_C)+(A4_D_L22*Fertilizante_D)+(A4_Y_L22*Fertilizante_Y))*Inflación_4</f>
        <v>0</v>
      </c>
      <c r="AW19" s="101">
        <f>SUMIFS('9'!$E:$E,'9'!$A:$A,Año_Inicial+3,'9'!$B:$B,'12'!AV$4,'9'!$D:$D,"Fertilizante químico")</f>
        <v>0</v>
      </c>
      <c r="AX19" s="101">
        <f>((A4_A_L23*Fertilizante_A)+(A4_B_L23*Fertilizante_B)+(A4_C_L23*Fertilizante_C)+(A4_D_L23*Fertilizante_D)+(A4_Y_L23*Fertilizante_Y))*Inflación_4</f>
        <v>0</v>
      </c>
      <c r="AY19" s="101">
        <f>SUMIFS('9'!$E:$E,'9'!$A:$A,Año_Inicial+3,'9'!$B:$B,'12'!AX$4,'9'!$D:$D,"Fertilizante químico")</f>
        <v>0</v>
      </c>
      <c r="AZ19" s="101">
        <f>((A4_A_L24*Fertilizante_A)+(A4_B_L24*Fertilizante_B)+(A4_C_L24*Fertilizante_C)+(A4_D_L24*Fertilizante_D)+(A4_Y_L24*Fertilizante_Y))*Inflación_4</f>
        <v>0</v>
      </c>
      <c r="BA19" s="101">
        <f>SUMIFS('9'!$E:$E,'9'!$A:$A,Año_Inicial+3,'9'!$B:$B,'12'!AZ$4,'9'!$D:$D,"Fertilizante químico")</f>
        <v>0</v>
      </c>
      <c r="BB19" s="101">
        <f>((A4_A_L25*Fertilizante_A)+(A4_B_L25*Fertilizante_B)+(A4_C_L25*Fertilizante_C)+(A4_D_L25*Fertilizante_D)+(A4_Y_L25*Fertilizante_Y))*Inflación_4</f>
        <v>0</v>
      </c>
      <c r="BC19" s="101">
        <f>SUMIFS('9'!$E:$E,'9'!$A:$A,Año_Inicial+3,'9'!$B:$B,'12'!BB$4,'9'!$D:$D,"Fertilizante químico")</f>
        <v>0</v>
      </c>
      <c r="BD19" s="101">
        <f>((A4_A_L26*Fertilizante_A)+(A4_B_L26*Fertilizante_B)+(A4_C_L26*Fertilizante_C)+(A4_D_L26*Fertilizante_D)+(A4_Y_L26*Fertilizante_Y))*Inflación_4</f>
        <v>0</v>
      </c>
      <c r="BE19" s="101">
        <f>SUMIFS('9'!$E:$E,'9'!$A:$A,Año_Inicial+3,'9'!$B:$B,'12'!BD$4,'9'!$D:$D,"Fertilizante químico")</f>
        <v>0</v>
      </c>
      <c r="BF19" s="101">
        <f>((A4_A_L27*Fertilizante_A)+(A4_B_L27*Fertilizante_B)+(A4_C_L27*Fertilizante_C)+(A4_D_L27*Fertilizante_D)+(A4_Y_L27*Fertilizante_Y))*Inflación_4</f>
        <v>0</v>
      </c>
      <c r="BG19" s="101">
        <f>SUMIFS('9'!$E:$E,'9'!$A:$A,Año_Inicial+3,'9'!$B:$B,'12'!BF$4,'9'!$D:$D,"Fertilizante químico")</f>
        <v>0</v>
      </c>
      <c r="BH19" s="101">
        <f>((A4_A_L28*Fertilizante_A)+(A4_B_L28*Fertilizante_B)+(A4_C_L28*Fertilizante_C)+(A4_D_L28*Fertilizante_D)+(A4_Y_L28*Fertilizante_Y))*Inflación_4</f>
        <v>0</v>
      </c>
      <c r="BI19" s="101">
        <f>SUMIFS('9'!$E:$E,'9'!$A:$A,Año_Inicial+3,'9'!$B:$B,'12'!BH$4,'9'!$D:$D,"Fertilizante químico")</f>
        <v>0</v>
      </c>
      <c r="BJ19" s="101">
        <f>((A4_A_L29*Fertilizante_A)+(A4_B_L29*Fertilizante_B)+(A4_C_L29*Fertilizante_C)+(A4_D_L29*Fertilizante_D)+(A4_Y_L29*Fertilizante_Y))*Inflación_4</f>
        <v>0</v>
      </c>
      <c r="BK19" s="101">
        <f>SUMIFS('9'!$E:$E,'9'!$A:$A,Año_Inicial+3,'9'!$B:$B,'12'!BJ$4,'9'!$D:$D,"Fertilizante químico")</f>
        <v>0</v>
      </c>
      <c r="BL19" s="101">
        <f>((A4_A_L30*Fertilizante_A)+(A4_B_L30*Fertilizante_B)+(A4_C_L30*Fertilizante_C)+(A4_D_L30*Fertilizante_D)+(A4_Y_L30*Fertilizante_Y))*Inflación_4</f>
        <v>0</v>
      </c>
      <c r="BM19" s="101">
        <f>SUMIFS('9'!$E:$E,'9'!$A:$A,Año_Inicial+3,'9'!$B:$B,'12'!BL$4,'9'!$D:$D,"Fertilizante químico")</f>
        <v>0</v>
      </c>
      <c r="BN19" s="101">
        <f>((A4_A_L31*Fertilizante_A)+(A4_B_L31*Fertilizante_B)+(A4_C_L31*Fertilizante_C)+(A4_D_L31*Fertilizante_D)+(A4_Y_L31*Fertilizante_Y))*Inflación_4</f>
        <v>0</v>
      </c>
      <c r="BO19" s="101">
        <f>SUMIFS('9'!$E:$E,'9'!$A:$A,Año_Inicial+3,'9'!$B:$B,'12'!BN$4,'9'!$D:$D,"Fertilizante químico")</f>
        <v>0</v>
      </c>
      <c r="BP19" s="101">
        <f>((A4_A_L32*Fertilizante_A)+(A4_B_L32*Fertilizante_B)+(A4_C_L32*Fertilizante_C)+(A4_D_L32*Fertilizante_D)+(A4_Y_L32*Fertilizante_Y))*Inflación_4</f>
        <v>0</v>
      </c>
      <c r="BQ19" s="101">
        <f>SUMIFS('9'!$E:$E,'9'!$A:$A,Año_Inicial+3,'9'!$B:$B,'12'!BP$4,'9'!$D:$D,"Fertilizante químico")</f>
        <v>0</v>
      </c>
      <c r="BR19" s="101">
        <f>((A4_A_L33*Fertilizante_A)+(A4_B_L33*Fertilizante_B)+(A4_C_L33*Fertilizante_C)+(A4_D_L33*Fertilizante_D)+(A4_Y_L33*Fertilizante_Y))*Inflación_4</f>
        <v>0</v>
      </c>
      <c r="BS19" s="101">
        <f>SUMIFS('9'!$E:$E,'9'!$A:$A,Año_Inicial+3,'9'!$B:$B,'12'!BR$4,'9'!$D:$D,"Fertilizante químico")</f>
        <v>0</v>
      </c>
      <c r="BT19" s="101">
        <f>((A4_A_L34*Fertilizante_A)+(A4_B_L34*Fertilizante_B)+(A4_C_L34*Fertilizante_C)+(A4_D_L34*Fertilizante_D)+(A4_Y_L34*Fertilizante_Y))*Inflación_4</f>
        <v>0</v>
      </c>
      <c r="BU19" s="101">
        <f>SUMIFS('9'!$E:$E,'9'!$A:$A,Año_Inicial+3,'9'!$B:$B,'12'!BT$4,'9'!$D:$D,"Fertilizante químico")</f>
        <v>0</v>
      </c>
      <c r="BV19" s="101">
        <f>((A4_A_L35*Fertilizante_A)+(A4_B_L35*Fertilizante_B)+(A4_C_L35*Fertilizante_C)+(A4_D_L35*Fertilizante_D)+(A4_Y_L35*Fertilizante_Y))*Inflación_4</f>
        <v>0</v>
      </c>
      <c r="BW19" s="101">
        <f>SUMIFS('9'!$E:$E,'9'!$A:$A,Año_Inicial+3,'9'!$B:$B,'12'!BV$4,'9'!$D:$D,"Fertilizante químico")</f>
        <v>0</v>
      </c>
      <c r="BX19" s="101">
        <f>((A4_A_L36*Fertilizante_A)+(A4_B_L36*Fertilizante_B)+(A4_C_L36*Fertilizante_C)+(A4_D_L36*Fertilizante_D)+(A4_Y_L36*Fertilizante_Y))*Inflación_4</f>
        <v>0</v>
      </c>
      <c r="BY19" s="101">
        <f>SUMIFS('9'!$E:$E,'9'!$A:$A,Año_Inicial+3,'9'!$B:$B,'12'!BX$4,'9'!$D:$D,"Fertilizante químico")</f>
        <v>0</v>
      </c>
      <c r="BZ19" s="101">
        <f>((A4_A_L37*Fertilizante_A)+(A4_B_L37*Fertilizante_B)+(A4_C_L37*Fertilizante_C)+(A4_D_L37*Fertilizante_D)+(A4_Y_L37*Fertilizante_Y))*Inflación_4</f>
        <v>0</v>
      </c>
      <c r="CA19" s="101">
        <f>SUMIFS('9'!$E:$E,'9'!$A:$A,Año_Inicial+3,'9'!$B:$B,'12'!BZ$4,'9'!$D:$D,"Fertilizante químico")</f>
        <v>0</v>
      </c>
      <c r="CB19" s="101">
        <f>((A4_A_L38*Fertilizante_A)+(A4_B_L38*Fertilizante_B)+(A4_C_L38*Fertilizante_C)+(A4_D_L38*Fertilizante_D)+(A4_Y_L38*Fertilizante_Y))*Inflación_4</f>
        <v>0</v>
      </c>
      <c r="CC19" s="101">
        <f>SUMIFS('9'!$E:$E,'9'!$A:$A,Año_Inicial+3,'9'!$B:$B,'12'!CB$4,'9'!$D:$D,"Fertilizante químico")</f>
        <v>0</v>
      </c>
      <c r="CD19" s="101">
        <f>((A4_A_L39*Fertilizante_A)+(A4_B_L39*Fertilizante_B)+(A4_C_L39*Fertilizante_C)+(A4_D_L39*Fertilizante_D)+(A4_Y_L39*Fertilizante_Y))*Inflación_4</f>
        <v>0</v>
      </c>
      <c r="CE19" s="101">
        <f>SUMIFS('9'!$E:$E,'9'!$A:$A,Año_Inicial+3,'9'!$B:$B,'12'!CD$4,'9'!$D:$D,"Fertilizante químico")</f>
        <v>0</v>
      </c>
      <c r="CF19" s="101">
        <f>((A4_A_L40*Fertilizante_A)+(A4_B_L40*Fertilizante_B)+(A4_C_L40*Fertilizante_C)+(A4_D_L40*Fertilizante_D)+(A4_Y_L40*Fertilizante_Y))*Inflación_4</f>
        <v>0</v>
      </c>
      <c r="CG19" s="101">
        <f>SUMIFS('9'!$E:$E,'9'!$A:$A,Año_Inicial+3,'9'!$B:$B,'12'!CF$4,'9'!$D:$D,"Fertilizante químico")</f>
        <v>0</v>
      </c>
      <c r="CH19" s="473"/>
      <c r="CI19" s="101">
        <f>Plantas_A_A4*Fertilizante_A*Inflación_4</f>
        <v>0</v>
      </c>
      <c r="CJ19" s="101">
        <f>Plantas_B_A4*Fertilizante_B</f>
        <v>0</v>
      </c>
      <c r="CK19" s="101">
        <f>Plantas_C_A4*Fertilizante_C</f>
        <v>0</v>
      </c>
      <c r="CL19" s="101">
        <f>Plantas_D_A4*Fertilizante_D</f>
        <v>0</v>
      </c>
      <c r="CM19" s="101"/>
      <c r="CN19" s="101">
        <f>Plantas_Y_A4*Fertilizante_Y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SUMIFS('9'!$E:$E,'9'!$A:$A,Año_Inicial+3,'9'!$D:$D,"Material de enmienda")</f>
        <v>0</v>
      </c>
      <c r="D20" s="100">
        <f t="shared" si="45"/>
        <v>0</v>
      </c>
      <c r="E20" s="473"/>
      <c r="F20" s="101">
        <f>((A4_A_L1*Enmiendas_A)+(A4_B_L1*Enmiendas_B)+(A4_C_L1*Enmiendas_C)+(A4_D_L1*Enmiendas_D)+(A4_Y_L1*Enmiendas_Y))*Inflación_4</f>
        <v>0</v>
      </c>
      <c r="G20" s="101">
        <f>SUMIFS('9'!$E:$E,'9'!$A:$A,Año_Inicial+3,'9'!$B:$B,'12'!F$4,'9'!$D:$D,"Material de enmienda")</f>
        <v>0</v>
      </c>
      <c r="H20" s="101">
        <f>((A4_A_L2*Enmiendas_A)+(A4_B_L2*Enmiendas_B)+(A4_C_L2*Enmiendas_C)+(A4_D_L2*Enmiendas_D)+(A4_Y_L2*Enmiendas_Y))*Inflación_4</f>
        <v>0</v>
      </c>
      <c r="I20" s="101">
        <f>SUMIFS('9'!$E:$E,'9'!$A:$A,Año_Inicial+3,'9'!$B:$B,'12'!H$4,'9'!$D:$D,"Material de enmienda")</f>
        <v>0</v>
      </c>
      <c r="J20" s="101">
        <f>((A4_A_L3*Enmiendas_A)+(A4_B_L3*Enmiendas_B)+(A4_C_L3*Enmiendas_C)+(A4_D_L3*Enmiendas_D)+(A4_Y_L3*Enmiendas_Y))*Inflación_4</f>
        <v>0</v>
      </c>
      <c r="K20" s="101">
        <f>SUMIFS('9'!$E:$E,'9'!$A:$A,Año_Inicial+3,'9'!$B:$B,'12'!J$4,'9'!$D:$D,"Material de enmienda")</f>
        <v>0</v>
      </c>
      <c r="L20" s="101">
        <f>((A4_A_L4*Enmiendas_A)+(A4_B_L4*Enmiendas_B)+(A4_C_L4*Enmiendas_C)+(A4_D_L4*Enmiendas_D)+(A4_Y_L4*Enmiendas_Y))*Inflación_4</f>
        <v>0</v>
      </c>
      <c r="M20" s="101">
        <f>SUMIFS('9'!$E:$E,'9'!$A:$A,Año_Inicial+3,'9'!$B:$B,'12'!L$4,'9'!$D:$D,"Material de enmienda")</f>
        <v>0</v>
      </c>
      <c r="N20" s="101">
        <f>((A4_A_L5*Enmiendas_A)+(A4_B_L5*Enmiendas_B)+(A4_C_L5*Enmiendas_C)+(A4_D_L5*Enmiendas_D)+(A4_Y_L5*Enmiendas_Y))*Inflación_4</f>
        <v>0</v>
      </c>
      <c r="O20" s="101">
        <f>SUMIFS('9'!$E:$E,'9'!$A:$A,Año_Inicial+3,'9'!$B:$B,'12'!N$4,'9'!$D:$D,"Material de enmienda")</f>
        <v>0</v>
      </c>
      <c r="P20" s="101">
        <f>((A4_A_L6*Enmiendas_A)+(A4_B_L6*Enmiendas_B)+(A4_C_L6*Enmiendas_C)+(A4_D_L6*Enmiendas_D)+(A4_Y_L6*Enmiendas_Y))*Inflación_4</f>
        <v>0</v>
      </c>
      <c r="Q20" s="101">
        <f>SUMIFS('9'!$E:$E,'9'!$A:$A,Año_Inicial+3,'9'!$B:$B,'12'!P$4,'9'!$D:$D,"Material de enmienda")</f>
        <v>0</v>
      </c>
      <c r="R20" s="101">
        <f>((A4_A_L7*Enmiendas_A)+(A4_B_L7*Enmiendas_B)+(A4_C_L7*Enmiendas_C)+(A4_D_L7*Enmiendas_D)+(A4_Y_L7*Enmiendas_Y))*Inflación_4</f>
        <v>0</v>
      </c>
      <c r="S20" s="101">
        <f>SUMIFS('9'!$E:$E,'9'!$A:$A,Año_Inicial+3,'9'!$B:$B,'12'!R$4,'9'!$D:$D,"Material de enmienda")</f>
        <v>0</v>
      </c>
      <c r="T20" s="101">
        <f>((A4_A_L8*Enmiendas_A)+(A4_B_L8*Enmiendas_B)+(A4_C_L8*Enmiendas_C)+(A4_D_L8*Enmiendas_D)+(A4_Y_L8*Enmiendas_Y))*Inflación_4</f>
        <v>0</v>
      </c>
      <c r="U20" s="101">
        <f>SUMIFS('9'!$E:$E,'9'!$A:$A,Año_Inicial+3,'9'!$B:$B,'12'!T$4,'9'!$D:$D,"Material de enmienda")</f>
        <v>0</v>
      </c>
      <c r="V20" s="101">
        <f>((A4_A_L9*Enmiendas_A)+(A4_B_L9*Enmiendas_B)+(A4_C_L9*Enmiendas_C)+(A4_D_L9*Enmiendas_D)+(A4_Y_L9*Enmiendas_Y))*Inflación_4</f>
        <v>0</v>
      </c>
      <c r="W20" s="101">
        <f>SUMIFS('9'!$E:$E,'9'!$A:$A,Año_Inicial+3,'9'!$B:$B,'12'!V$4,'9'!$D:$D,"Material de enmienda")</f>
        <v>0</v>
      </c>
      <c r="X20" s="101">
        <f>((A4_A_L10*Enmiendas_A)+(A4_B_L10*Enmiendas_B)+(A4_C_L10*Enmiendas_C)+(A4_D_L10*Enmiendas_D)+(A4_Y_L10*Enmiendas_Y))*Inflación_4</f>
        <v>0</v>
      </c>
      <c r="Y20" s="101">
        <f>SUMIFS('9'!$E:$E,'9'!$A:$A,Año_Inicial+3,'9'!$B:$B,'12'!X$4,'9'!$D:$D,"Material de enmienda")</f>
        <v>0</v>
      </c>
      <c r="Z20" s="101">
        <f>((A4_A_L11*Enmiendas_A)+(A4_B_L11*Enmiendas_B)+(A4_C_L11*Enmiendas_C)+(A4_D_L11*Enmiendas_D)+(A4_Y_L11*Enmiendas_Y))*Inflación_4</f>
        <v>0</v>
      </c>
      <c r="AA20" s="101">
        <f>SUMIFS('9'!$E:$E,'9'!$A:$A,Año_Inicial+3,'9'!$B:$B,'12'!Z$4,'9'!$D:$D,"Material de enmienda")</f>
        <v>0</v>
      </c>
      <c r="AB20" s="101">
        <f>((A4_A_L12*Enmiendas_A)+(A4_B_L12*Enmiendas_B)+(A4_C_L12*Enmiendas_C)+(A4_D_L12*Enmiendas_D)+(A4_Y_L12*Enmiendas_Y))*Inflación_4</f>
        <v>0</v>
      </c>
      <c r="AC20" s="101">
        <f>SUMIFS('9'!$E:$E,'9'!$A:$A,Año_Inicial+3,'9'!$B:$B,'12'!AB$4,'9'!$D:$D,"Material de enmienda")</f>
        <v>0</v>
      </c>
      <c r="AD20" s="101">
        <f>((A4_A_L13*Enmiendas_A)+(A4_B_L13*Enmiendas_B)+(A4_C_L13*Enmiendas_C)+(A4_D_L13*Enmiendas_D)+(A4_Y_L13*Enmiendas_Y))*Inflación_4</f>
        <v>0</v>
      </c>
      <c r="AE20" s="101">
        <f>SUMIFS('9'!$E:$E,'9'!$A:$A,Año_Inicial+3,'9'!$B:$B,'12'!AD$4,'9'!$D:$D,"Material de enmienda")</f>
        <v>0</v>
      </c>
      <c r="AF20" s="101">
        <f>((A4_A_L14*Enmiendas_A)+(A4_B_L14*Enmiendas_B)+(A4_C_L14*Enmiendas_C)+(A4_D_L14*Enmiendas_D)+(A4_Y_L14*Enmiendas_Y))*Inflación_4</f>
        <v>0</v>
      </c>
      <c r="AG20" s="101">
        <f>SUMIFS('9'!$E:$E,'9'!$A:$A,Año_Inicial+3,'9'!$B:$B,'12'!AF$4,'9'!$D:$D,"Material de enmienda")</f>
        <v>0</v>
      </c>
      <c r="AH20" s="101">
        <f>((A4_A_L15*Enmiendas_A)+(A4_B_L15*Enmiendas_B)+(A4_C_L15*Enmiendas_C)+(A4_D_L15*Enmiendas_D)+(A4_Y_L15*Enmiendas_Y))*Inflación_4</f>
        <v>0</v>
      </c>
      <c r="AI20" s="101">
        <f>SUMIFS('9'!$E:$E,'9'!$A:$A,Año_Inicial+3,'9'!$B:$B,'12'!AH$4,'9'!$D:$D,"Material de enmienda")</f>
        <v>0</v>
      </c>
      <c r="AJ20" s="101">
        <f>((A4_A_L16*Enmiendas_A)+(A4_B_L16*Enmiendas_B)+(A4_C_L16*Enmiendas_C)+(A4_D_L16*Enmiendas_D)+(A4_Y_L16*Enmiendas_Y))*Inflación_4</f>
        <v>0</v>
      </c>
      <c r="AK20" s="101">
        <f>SUMIFS('9'!$E:$E,'9'!$A:$A,Año_Inicial+3,'9'!$B:$B,'12'!AJ$4,'9'!$D:$D,"Material de enmienda")</f>
        <v>0</v>
      </c>
      <c r="AL20" s="101">
        <f>((A4_A_L17*Enmiendas_A)+(A4_B_L17*Enmiendas_B)+(A4_C_L17*Enmiendas_C)+(A4_D_L17*Enmiendas_D)+(A4_Y_L17*Enmiendas_Y))*Inflación_4</f>
        <v>0</v>
      </c>
      <c r="AM20" s="101">
        <f>SUMIFS('9'!$E:$E,'9'!$A:$A,Año_Inicial+3,'9'!$B:$B,'12'!AL$4,'9'!$D:$D,"Material de enmienda")</f>
        <v>0</v>
      </c>
      <c r="AN20" s="101">
        <f>((A4_A_L18*Enmiendas_A)+(A4_B_L18*Enmiendas_B)+(A4_C_L18*Enmiendas_C)+(A4_D_L18*Enmiendas_D)+(A4_Y_L18*Enmiendas_Y))*Inflación_4</f>
        <v>0</v>
      </c>
      <c r="AO20" s="101">
        <f>SUMIFS('9'!$E:$E,'9'!$A:$A,Año_Inicial+3,'9'!$B:$B,'12'!AN$4,'9'!$D:$D,"Material de enmienda")</f>
        <v>0</v>
      </c>
      <c r="AP20" s="101">
        <f>((A4_A_L19*Enmiendas_A)+(A4_B_L19*Enmiendas_B)+(A4_C_L19*Enmiendas_C)+(A4_D_L19*Enmiendas_D)+(A4_Y_L19*Enmiendas_Y))*Inflación_4</f>
        <v>0</v>
      </c>
      <c r="AQ20" s="101">
        <f>SUMIFS('9'!$E:$E,'9'!$A:$A,Año_Inicial+3,'9'!$B:$B,'12'!AP$4,'9'!$D:$D,"Material de enmienda")</f>
        <v>0</v>
      </c>
      <c r="AR20" s="101">
        <f>((A4_A_L20*Enmiendas_A)+(A4_B_L20*Enmiendas_B)+(A4_C_L20*Enmiendas_C)+(A4_D_L20*Enmiendas_D)+(A4_Y_L20*Enmiendas_Y))*Inflación_4</f>
        <v>0</v>
      </c>
      <c r="AS20" s="101">
        <f>SUMIFS('9'!$E:$E,'9'!$A:$A,Año_Inicial+3,'9'!$B:$B,'12'!AR$4,'9'!$D:$D,"Material de enmienda")</f>
        <v>0</v>
      </c>
      <c r="AT20" s="101">
        <f>((A4_A_L21*Enmiendas_A)+(A4_B_L21*Enmiendas_B)+(A4_C_L21*Enmiendas_C)+(A4_D_L21*Enmiendas_D)+(A4_Y_L21*Enmiendas_Y))*Inflación_4</f>
        <v>0</v>
      </c>
      <c r="AU20" s="101">
        <f>SUMIFS('9'!$E:$E,'9'!$A:$A,Año_Inicial+3,'9'!$B:$B,'12'!AT$4,'9'!$D:$D,"Material de enmienda")</f>
        <v>0</v>
      </c>
      <c r="AV20" s="101">
        <f>((A4_A_L22*Enmiendas_A)+(A4_B_L22*Enmiendas_B)+(A4_C_L22*Enmiendas_C)+(A4_D_L22*Enmiendas_D)+(A4_Y_L22*Enmiendas_Y))*Inflación_4</f>
        <v>0</v>
      </c>
      <c r="AW20" s="101">
        <f>SUMIFS('9'!$E:$E,'9'!$A:$A,Año_Inicial+3,'9'!$B:$B,'12'!AV$4,'9'!$D:$D,"Material de enmienda")</f>
        <v>0</v>
      </c>
      <c r="AX20" s="101">
        <f>((A4_A_L23*Enmiendas_A)+(A4_B_L23*Enmiendas_B)+(A4_C_L23*Enmiendas_C)+(A4_D_L23*Enmiendas_D)+(A4_Y_L23*Enmiendas_Y))*Inflación_4</f>
        <v>0</v>
      </c>
      <c r="AY20" s="101">
        <f>SUMIFS('9'!$E:$E,'9'!$A:$A,Año_Inicial+3,'9'!$B:$B,'12'!AX$4,'9'!$D:$D,"Material de enmienda")</f>
        <v>0</v>
      </c>
      <c r="AZ20" s="101">
        <f>((A4_A_L24*Enmiendas_A)+(A4_B_L24*Enmiendas_B)+(A4_C_L24*Enmiendas_C)+(A4_D_L24*Enmiendas_D)+(A4_Y_L24*Enmiendas_Y))*Inflación_4</f>
        <v>0</v>
      </c>
      <c r="BA20" s="101">
        <f>SUMIFS('9'!$E:$E,'9'!$A:$A,Año_Inicial+3,'9'!$B:$B,'12'!AZ$4,'9'!$D:$D,"Material de enmienda")</f>
        <v>0</v>
      </c>
      <c r="BB20" s="101">
        <f>((A4_A_L25*Enmiendas_A)+(A4_B_L25*Enmiendas_B)+(A4_C_L25*Enmiendas_C)+(A4_D_L25*Enmiendas_D)+(A4_Y_L25*Enmiendas_Y))*Inflación_4</f>
        <v>0</v>
      </c>
      <c r="BC20" s="101">
        <f>SUMIFS('9'!$E:$E,'9'!$A:$A,Año_Inicial+3,'9'!$B:$B,'12'!BB$4,'9'!$D:$D,"Material de enmienda")</f>
        <v>0</v>
      </c>
      <c r="BD20" s="101">
        <f>((A4_A_L26*Enmiendas_A)+(A4_B_L26*Enmiendas_B)+(A4_C_L26*Enmiendas_C)+(A4_D_L26*Enmiendas_D)+(A4_Y_L26*Enmiendas_Y))*Inflación_4</f>
        <v>0</v>
      </c>
      <c r="BE20" s="101">
        <f>SUMIFS('9'!$E:$E,'9'!$A:$A,Año_Inicial+3,'9'!$B:$B,'12'!BD$4,'9'!$D:$D,"Material de enmienda")</f>
        <v>0</v>
      </c>
      <c r="BF20" s="101">
        <f>((A4_A_L27*Enmiendas_A)+(A4_B_L27*Enmiendas_B)+(A4_C_L27*Enmiendas_C)+(A4_D_L27*Enmiendas_D)+(A4_Y_L27*Enmiendas_Y))*Inflación_4</f>
        <v>0</v>
      </c>
      <c r="BG20" s="101">
        <f>SUMIFS('9'!$E:$E,'9'!$A:$A,Año_Inicial+3,'9'!$B:$B,'12'!BF$4,'9'!$D:$D,"Material de enmienda")</f>
        <v>0</v>
      </c>
      <c r="BH20" s="101">
        <f>((A4_A_L28*Enmiendas_A)+(A4_B_L28*Enmiendas_B)+(A4_C_L28*Enmiendas_C)+(A4_D_L28*Enmiendas_D)+(A4_Y_L28*Enmiendas_Y))*Inflación_4</f>
        <v>0</v>
      </c>
      <c r="BI20" s="101">
        <f>SUMIFS('9'!$E:$E,'9'!$A:$A,Año_Inicial+3,'9'!$B:$B,'12'!BH$4,'9'!$D:$D,"Material de enmienda")</f>
        <v>0</v>
      </c>
      <c r="BJ20" s="101">
        <f>((A4_A_L29*Enmiendas_A)+(A4_B_L29*Enmiendas_B)+(A4_C_L29*Enmiendas_C)+(A4_D_L29*Enmiendas_D)+(A4_Y_L29*Enmiendas_Y))*Inflación_4</f>
        <v>0</v>
      </c>
      <c r="BK20" s="101">
        <f>SUMIFS('9'!$E:$E,'9'!$A:$A,Año_Inicial+3,'9'!$B:$B,'12'!BJ$4,'9'!$D:$D,"Material de enmienda")</f>
        <v>0</v>
      </c>
      <c r="BL20" s="101">
        <f>((A4_A_L30*Enmiendas_A)+(A4_B_L30*Enmiendas_B)+(A4_C_L30*Enmiendas_C)+(A4_D_L30*Enmiendas_D)+(A4_Y_L30*Enmiendas_Y))*Inflación_4</f>
        <v>0</v>
      </c>
      <c r="BM20" s="101">
        <f>SUMIFS('9'!$E:$E,'9'!$A:$A,Año_Inicial+3,'9'!$B:$B,'12'!BL$4,'9'!$D:$D,"Material de enmienda")</f>
        <v>0</v>
      </c>
      <c r="BN20" s="101">
        <f>((A4_A_L31*Enmiendas_A)+(A4_B_L31*Enmiendas_B)+(A4_C_L31*Enmiendas_C)+(A4_D_L31*Enmiendas_D)+(A4_Y_L31*Enmiendas_Y))*Inflación_4</f>
        <v>0</v>
      </c>
      <c r="BO20" s="101">
        <f>SUMIFS('9'!$E:$E,'9'!$A:$A,Año_Inicial+3,'9'!$B:$B,'12'!BN$4,'9'!$D:$D,"Material de enmienda")</f>
        <v>0</v>
      </c>
      <c r="BP20" s="101">
        <f>((A4_A_L32*Enmiendas_A)+(A4_B_L32*Enmiendas_B)+(A4_C_L32*Enmiendas_C)+(A4_D_L32*Enmiendas_D)+(A4_Y_L32*Enmiendas_Y))*Inflación_4</f>
        <v>0</v>
      </c>
      <c r="BQ20" s="101">
        <f>SUMIFS('9'!$E:$E,'9'!$A:$A,Año_Inicial+3,'9'!$B:$B,'12'!BP$4,'9'!$D:$D,"Material de enmienda")</f>
        <v>0</v>
      </c>
      <c r="BR20" s="101">
        <f>((A4_A_L33*Enmiendas_A)+(A4_B_L33*Enmiendas_B)+(A4_C_L33*Enmiendas_C)+(A4_D_L33*Enmiendas_D)+(A4_Y_L33*Enmiendas_Y))*Inflación_4</f>
        <v>0</v>
      </c>
      <c r="BS20" s="101">
        <f>SUMIFS('9'!$E:$E,'9'!$A:$A,Año_Inicial+3,'9'!$B:$B,'12'!BR$4,'9'!$D:$D,"Material de enmienda")</f>
        <v>0</v>
      </c>
      <c r="BT20" s="101">
        <f>((A4_A_L34*Enmiendas_A)+(A4_B_L34*Enmiendas_B)+(A4_C_L34*Enmiendas_C)+(A4_D_L34*Enmiendas_D)+(A4_Y_L34*Enmiendas_Y))*Inflación_4</f>
        <v>0</v>
      </c>
      <c r="BU20" s="101">
        <f>SUMIFS('9'!$E:$E,'9'!$A:$A,Año_Inicial+3,'9'!$B:$B,'12'!BT$4,'9'!$D:$D,"Material de enmienda")</f>
        <v>0</v>
      </c>
      <c r="BV20" s="101">
        <f>((A4_A_L35*Enmiendas_A)+(A4_B_L35*Enmiendas_B)+(A4_C_L35*Enmiendas_C)+(A4_D_L35*Enmiendas_D)+(A4_Y_L35*Enmiendas_Y))*Inflación_4</f>
        <v>0</v>
      </c>
      <c r="BW20" s="101">
        <f>SUMIFS('9'!$E:$E,'9'!$A:$A,Año_Inicial+3,'9'!$B:$B,'12'!BV$4,'9'!$D:$D,"Material de enmienda")</f>
        <v>0</v>
      </c>
      <c r="BX20" s="101">
        <f>((A4_A_L36*Enmiendas_A)+(A4_B_L36*Enmiendas_B)+(A4_C_L36*Enmiendas_C)+(A4_D_L36*Enmiendas_D)+(A4_Y_L36*Enmiendas_Y))*Inflación_4</f>
        <v>0</v>
      </c>
      <c r="BY20" s="101">
        <f>SUMIFS('9'!$E:$E,'9'!$A:$A,Año_Inicial+3,'9'!$B:$B,'12'!BX$4,'9'!$D:$D,"Material de enmienda")</f>
        <v>0</v>
      </c>
      <c r="BZ20" s="101">
        <f>((A4_A_L37*Enmiendas_A)+(A4_B_L37*Enmiendas_B)+(A4_C_L37*Enmiendas_C)+(A4_D_L37*Enmiendas_D)+(A4_Y_L37*Enmiendas_Y))*Inflación_4</f>
        <v>0</v>
      </c>
      <c r="CA20" s="101">
        <f>SUMIFS('9'!$E:$E,'9'!$A:$A,Año_Inicial+3,'9'!$B:$B,'12'!BZ$4,'9'!$D:$D,"Material de enmienda")</f>
        <v>0</v>
      </c>
      <c r="CB20" s="101">
        <f>((A4_A_L38*Enmiendas_A)+(A4_B_L38*Enmiendas_B)+(A4_C_L38*Enmiendas_C)+(A4_D_L38*Enmiendas_D)+(A4_Y_L38*Enmiendas_Y))*Inflación_4</f>
        <v>0</v>
      </c>
      <c r="CC20" s="101">
        <f>SUMIFS('9'!$E:$E,'9'!$A:$A,Año_Inicial+3,'9'!$B:$B,'12'!CB$4,'9'!$D:$D,"Material de enmienda")</f>
        <v>0</v>
      </c>
      <c r="CD20" s="101">
        <f>((A4_A_L39*Enmiendas_A)+(A4_B_L39*Enmiendas_B)+(A4_C_L39*Enmiendas_C)+(A4_D_L39*Enmiendas_D)+(A4_Y_L39*Enmiendas_Y))*Inflación_4</f>
        <v>0</v>
      </c>
      <c r="CE20" s="101">
        <f>SUMIFS('9'!$E:$E,'9'!$A:$A,Año_Inicial+3,'9'!$B:$B,'12'!CD$4,'9'!$D:$D,"Material de enmienda")</f>
        <v>0</v>
      </c>
      <c r="CF20" s="101">
        <f>((A4_A_L40*Enmiendas_A)+(A4_B_L40*Enmiendas_B)+(A4_C_L40*Enmiendas_C)+(A4_D_L40*Enmiendas_D)+(A4_Y_L40*Enmiendas_Y))*Inflación_4</f>
        <v>0</v>
      </c>
      <c r="CG20" s="101">
        <f>SUMIFS('9'!$E:$E,'9'!$A:$A,Año_Inicial+3,'9'!$B:$B,'12'!CF$4,'9'!$D:$D,"Material de enmienda")</f>
        <v>0</v>
      </c>
      <c r="CH20" s="473"/>
      <c r="CI20" s="101">
        <f>Plantas_A_A4*Enmiendas_A*Inflación_4</f>
        <v>0</v>
      </c>
      <c r="CJ20" s="101">
        <f>Plantas_B_A4*Enmiendas_B</f>
        <v>0</v>
      </c>
      <c r="CK20" s="101">
        <f>Plantas_C_A4*Enmiendas_C</f>
        <v>0</v>
      </c>
      <c r="CL20" s="101">
        <f>Plantas_D_A4*Enmiendas_D</f>
        <v>0</v>
      </c>
      <c r="CM20" s="101"/>
      <c r="CN20" s="101">
        <f>Plantas_Y_A4*Enmiendas_Y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SUMIFS('9'!$E:$E,'9'!$A:$A,Año_Inicial+3,'9'!$D:$D,"Aplicación de herbicida")</f>
        <v>0</v>
      </c>
      <c r="D22" s="100">
        <f t="shared" si="45"/>
        <v>0</v>
      </c>
      <c r="E22" s="473"/>
      <c r="F22" s="101">
        <f>((A4_A_L1*Malezas_A)+(A4_B_L1*Malezas_B)+(A4_C_L1*Malezas_C)+(A4_D_L1*Malezas_D)+(A4_Y_L1*Malezas_Y))*Inflación_4</f>
        <v>0</v>
      </c>
      <c r="G22" s="101">
        <f>SUMIFS('9'!$E:$E,'9'!$A:$A,Año_Inicial+3,'9'!$B:$B,'12'!F$4,'9'!$D:$D,"Aplicación de herbicida")</f>
        <v>0</v>
      </c>
      <c r="H22" s="101">
        <f>((A4_A_L2*Malezas_A)+(A4_B_L2*Malezas_B)+(A4_C_L2*Malezas_C)+(A4_D_L2*Malezas_D)+(A4_Y_L2*Malezas_Y))*Inflación_4</f>
        <v>0</v>
      </c>
      <c r="I22" s="101">
        <f>SUMIFS('9'!$E:$E,'9'!$A:$A,Año_Inicial+3,'9'!$B:$B,'12'!H$4,'9'!$D:$D,"Aplicación de herbicida")</f>
        <v>0</v>
      </c>
      <c r="J22" s="101">
        <f>((A4_A_L3*Malezas_A)+(A4_B_L3*Malezas_B)+(A4_C_L3*Malezas_C)+(A4_D_L3*Malezas_D)+(A4_Y_L3*Malezas_Y))*Inflación_4</f>
        <v>0</v>
      </c>
      <c r="K22" s="101">
        <f>SUMIFS('9'!$E:$E,'9'!$A:$A,Año_Inicial+3,'9'!$B:$B,'12'!J$4,'9'!$D:$D,"Aplicación de herbicida")</f>
        <v>0</v>
      </c>
      <c r="L22" s="101">
        <f>((A4_A_L4*Malezas_A)+(A4_B_L4*Malezas_B)+(A4_C_L4*Malezas_C)+(A4_D_L4*Malezas_D)+(A4_Y_L4*Malezas_Y))*Inflación_4</f>
        <v>0</v>
      </c>
      <c r="M22" s="101">
        <f>SUMIFS('9'!$E:$E,'9'!$A:$A,Año_Inicial+3,'9'!$B:$B,'12'!L$4,'9'!$D:$D,"Aplicación de herbicida")</f>
        <v>0</v>
      </c>
      <c r="N22" s="101">
        <f>((A4_A_L5*Malezas_A)+(A4_B_L5*Malezas_B)+(A4_C_L5*Malezas_C)+(A4_D_L5*Malezas_D)+(A4_Y_L5*Malezas_Y))*Inflación_4</f>
        <v>0</v>
      </c>
      <c r="O22" s="101">
        <f>SUMIFS('9'!$E:$E,'9'!$A:$A,Año_Inicial+3,'9'!$B:$B,'12'!N$4,'9'!$D:$D,"Aplicación de herbicida")</f>
        <v>0</v>
      </c>
      <c r="P22" s="101">
        <f>((A4_A_L6*Malezas_A)+(A4_B_L6*Malezas_B)+(A4_C_L6*Malezas_C)+(A4_D_L6*Malezas_D)+(A4_Y_L6*Malezas_Y))*Inflación_4</f>
        <v>0</v>
      </c>
      <c r="Q22" s="101">
        <f>SUMIFS('9'!$E:$E,'9'!$A:$A,Año_Inicial+3,'9'!$B:$B,'12'!P$4,'9'!$D:$D,"Aplicación de herbicida")</f>
        <v>0</v>
      </c>
      <c r="R22" s="101">
        <f>((A4_A_L7*Malezas_A)+(A4_B_L7*Malezas_B)+(A4_C_L7*Malezas_C)+(A4_D_L7*Malezas_D)+(A4_Y_L7*Malezas_Y))*Inflación_4</f>
        <v>0</v>
      </c>
      <c r="S22" s="101">
        <f>SUMIFS('9'!$E:$E,'9'!$A:$A,Año_Inicial+3,'9'!$B:$B,'12'!R$4,'9'!$D:$D,"Aplicación de herbicida")</f>
        <v>0</v>
      </c>
      <c r="T22" s="101">
        <f>((A4_A_L8*Malezas_A)+(A4_B_L8*Malezas_B)+(A4_C_L8*Malezas_C)+(A4_D_L8*Malezas_D)+(A4_Y_L8*Malezas_Y))*Inflación_4</f>
        <v>0</v>
      </c>
      <c r="U22" s="101">
        <f>SUMIFS('9'!$E:$E,'9'!$A:$A,Año_Inicial+3,'9'!$B:$B,'12'!T$4,'9'!$D:$D,"Aplicación de herbicida")</f>
        <v>0</v>
      </c>
      <c r="V22" s="101">
        <f>((A4_A_L9*Malezas_A)+(A4_B_L9*Malezas_B)+(A4_C_L9*Malezas_C)+(A4_D_L9*Malezas_D)+(A4_Y_L9*Malezas_Y))*Inflación_4</f>
        <v>0</v>
      </c>
      <c r="W22" s="101">
        <f>SUMIFS('9'!$E:$E,'9'!$A:$A,Año_Inicial+3,'9'!$B:$B,'12'!V$4,'9'!$D:$D,"Aplicación de herbicida")</f>
        <v>0</v>
      </c>
      <c r="X22" s="101">
        <f>((A4_A_L10*Malezas_A)+(A4_B_L10*Malezas_B)+(A4_C_L10*Malezas_C)+(A4_D_L10*Malezas_D)+(A4_Y_L10*Malezas_Y))*Inflación_4</f>
        <v>0</v>
      </c>
      <c r="Y22" s="101">
        <f>SUMIFS('9'!$E:$E,'9'!$A:$A,Año_Inicial+3,'9'!$B:$B,'12'!X$4,'9'!$D:$D,"Aplicación de herbicida")</f>
        <v>0</v>
      </c>
      <c r="Z22" s="101">
        <f>((A4_A_L11*Malezas_A)+(A4_B_L11*Malezas_B)+(A4_C_L11*Malezas_C)+(A4_D_L11*Malezas_D)+(A4_Y_L11*Malezas_Y))*Inflación_4</f>
        <v>0</v>
      </c>
      <c r="AA22" s="101">
        <f>SUMIFS('9'!$E:$E,'9'!$A:$A,Año_Inicial+3,'9'!$B:$B,'12'!Z$4,'9'!$D:$D,"Aplicación de herbicida")</f>
        <v>0</v>
      </c>
      <c r="AB22" s="101">
        <f>((A4_A_L12*Malezas_A)+(A4_B_L12*Malezas_B)+(A4_C_L12*Malezas_C)+(A4_D_L12*Malezas_D)+(A4_Y_L12*Malezas_Y))*Inflación_4</f>
        <v>0</v>
      </c>
      <c r="AC22" s="101">
        <f>SUMIFS('9'!$E:$E,'9'!$A:$A,Año_Inicial+3,'9'!$B:$B,'12'!AB$4,'9'!$D:$D,"Aplicación de herbicida")</f>
        <v>0</v>
      </c>
      <c r="AD22" s="101">
        <f>((A4_A_L13*Malezas_A)+(A4_B_L13*Malezas_B)+(A4_C_L13*Malezas_C)+(A4_D_L13*Malezas_D)+(A4_Y_L13*Malezas_Y))*Inflación_4</f>
        <v>0</v>
      </c>
      <c r="AE22" s="101">
        <f>SUMIFS('9'!$E:$E,'9'!$A:$A,Año_Inicial+3,'9'!$B:$B,'12'!AD$4,'9'!$D:$D,"Aplicación de herbicida")</f>
        <v>0</v>
      </c>
      <c r="AF22" s="101">
        <f>((A4_A_L14*Malezas_A)+(A4_B_L14*Malezas_B)+(A4_C_L14*Malezas_C)+(A4_D_L14*Malezas_D)+(A4_Y_L14*Malezas_Y))*Inflación_4</f>
        <v>0</v>
      </c>
      <c r="AG22" s="101">
        <f>SUMIFS('9'!$E:$E,'9'!$A:$A,Año_Inicial+3,'9'!$B:$B,'12'!AF$4,'9'!$D:$D,"Aplicación de herbicida")</f>
        <v>0</v>
      </c>
      <c r="AH22" s="101">
        <f>((A4_A_L15*Malezas_A)+(A4_B_L15*Malezas_B)+(A4_C_L15*Malezas_C)+(A4_D_L15*Malezas_D)+(A4_Y_L15*Malezas_Y))*Inflación_4</f>
        <v>0</v>
      </c>
      <c r="AI22" s="101">
        <f>SUMIFS('9'!$E:$E,'9'!$A:$A,Año_Inicial+3,'9'!$B:$B,'12'!AH$4,'9'!$D:$D,"Aplicación de herbicida")</f>
        <v>0</v>
      </c>
      <c r="AJ22" s="101">
        <f>((A4_A_L16*Malezas_A)+(A4_B_L16*Malezas_B)+(A4_C_L16*Malezas_C)+(A4_D_L16*Malezas_D)+(A4_Y_L16*Malezas_Y))*Inflación_4</f>
        <v>0</v>
      </c>
      <c r="AK22" s="101">
        <f>SUMIFS('9'!$E:$E,'9'!$A:$A,Año_Inicial+3,'9'!$B:$B,'12'!AJ$4,'9'!$D:$D,"Aplicación de herbicida")</f>
        <v>0</v>
      </c>
      <c r="AL22" s="101">
        <f>((A4_A_L17*Malezas_A)+(A4_B_L17*Malezas_B)+(A4_C_L17*Malezas_C)+(A4_D_L17*Malezas_D)+(A4_Y_L17*Malezas_Y))*Inflación_4</f>
        <v>0</v>
      </c>
      <c r="AM22" s="101">
        <f>SUMIFS('9'!$E:$E,'9'!$A:$A,Año_Inicial+3,'9'!$B:$B,'12'!AL$4,'9'!$D:$D,"Aplicación de herbicida")</f>
        <v>0</v>
      </c>
      <c r="AN22" s="101">
        <f>((A4_A_L18*Malezas_A)+(A4_B_L18*Malezas_B)+(A4_C_L18*Malezas_C)+(A4_D_L18*Malezas_D)+(A4_Y_L18*Malezas_Y))*Inflación_4</f>
        <v>0</v>
      </c>
      <c r="AO22" s="101">
        <f>SUMIFS('9'!$E:$E,'9'!$A:$A,Año_Inicial+3,'9'!$B:$B,'12'!AN$4,'9'!$D:$D,"Aplicación de herbicida")</f>
        <v>0</v>
      </c>
      <c r="AP22" s="101">
        <f>((A4_A_L19*Malezas_A)+(A4_B_L19*Malezas_B)+(A4_C_L19*Malezas_C)+(A4_D_L19*Malezas_D)+(A4_Y_L19*Malezas_Y))*Inflación_4</f>
        <v>0</v>
      </c>
      <c r="AQ22" s="101">
        <f>SUMIFS('9'!$E:$E,'9'!$A:$A,Año_Inicial+3,'9'!$B:$B,'12'!AP$4,'9'!$D:$D,"Aplicación de herbicida")</f>
        <v>0</v>
      </c>
      <c r="AR22" s="101">
        <f>((A4_A_L20*Malezas_A)+(A4_B_L20*Malezas_B)+(A4_C_L20*Malezas_C)+(A4_D_L20*Malezas_D)+(A4_Y_L20*Malezas_Y))*Inflación_4</f>
        <v>0</v>
      </c>
      <c r="AS22" s="101">
        <f>SUMIFS('9'!$E:$E,'9'!$A:$A,Año_Inicial+3,'9'!$B:$B,'12'!AR$4,'9'!$D:$D,"Aplicación de herbicida")</f>
        <v>0</v>
      </c>
      <c r="AT22" s="101">
        <f>((A4_A_L21*Malezas_A)+(A4_B_L21*Malezas_B)+(A4_C_L21*Malezas_C)+(A4_D_L21*Malezas_D)+(A4_Y_L21*Malezas_Y))*Inflación_4</f>
        <v>0</v>
      </c>
      <c r="AU22" s="101">
        <f>SUMIFS('9'!$E:$E,'9'!$A:$A,Año_Inicial+3,'9'!$B:$B,'12'!AT$4,'9'!$D:$D,"Aplicación de herbicida")</f>
        <v>0</v>
      </c>
      <c r="AV22" s="101">
        <f>((A4_A_L22*Malezas_A)+(A4_B_L22*Malezas_B)+(A4_C_L22*Malezas_C)+(A4_D_L22*Malezas_D)+(A4_Y_L22*Malezas_Y))*Inflación_4</f>
        <v>0</v>
      </c>
      <c r="AW22" s="101">
        <f>SUMIFS('9'!$E:$E,'9'!$A:$A,Año_Inicial+3,'9'!$B:$B,'12'!AV$4,'9'!$D:$D,"Aplicación de herbicida")</f>
        <v>0</v>
      </c>
      <c r="AX22" s="101">
        <f>((A4_A_L23*Malezas_A)+(A4_B_L23*Malezas_B)+(A4_C_L23*Malezas_C)+(A4_D_L23*Malezas_D)+(A4_Y_L23*Malezas_Y))*Inflación_4</f>
        <v>0</v>
      </c>
      <c r="AY22" s="101">
        <f>SUMIFS('9'!$E:$E,'9'!$A:$A,Año_Inicial+3,'9'!$B:$B,'12'!AX$4,'9'!$D:$D,"Aplicación de herbicida")</f>
        <v>0</v>
      </c>
      <c r="AZ22" s="101">
        <f>((A4_A_L24*Malezas_A)+(A4_B_L24*Malezas_B)+(A4_C_L24*Malezas_C)+(A4_D_L24*Malezas_D)+(A4_Y_L24*Malezas_Y))*Inflación_4</f>
        <v>0</v>
      </c>
      <c r="BA22" s="101">
        <f>SUMIFS('9'!$E:$E,'9'!$A:$A,Año_Inicial+3,'9'!$B:$B,'12'!AZ$4,'9'!$D:$D,"Aplicación de herbicida")</f>
        <v>0</v>
      </c>
      <c r="BB22" s="101">
        <f>((A4_A_L25*Malezas_A)+(A4_B_L25*Malezas_B)+(A4_C_L25*Malezas_C)+(A4_D_L25*Malezas_D)+(A4_Y_L25*Malezas_Y))*Inflación_4</f>
        <v>0</v>
      </c>
      <c r="BC22" s="101">
        <f>SUMIFS('9'!$E:$E,'9'!$A:$A,Año_Inicial+3,'9'!$B:$B,'12'!BB$4,'9'!$D:$D,"Aplicación de herbicida")</f>
        <v>0</v>
      </c>
      <c r="BD22" s="101">
        <f>((A4_A_L26*Malezas_A)+(A4_B_L26*Malezas_B)+(A4_C_L26*Malezas_C)+(A4_D_L26*Malezas_D)+(A4_Y_L26*Malezas_Y))*Inflación_4</f>
        <v>0</v>
      </c>
      <c r="BE22" s="101">
        <f>SUMIFS('9'!$E:$E,'9'!$A:$A,Año_Inicial+3,'9'!$B:$B,'12'!BD$4,'9'!$D:$D,"Aplicación de herbicida")</f>
        <v>0</v>
      </c>
      <c r="BF22" s="101">
        <f>((A4_A_L27*Malezas_A)+(A4_B_L27*Malezas_B)+(A4_C_L27*Malezas_C)+(A4_D_L27*Malezas_D)+(A4_Y_L27*Malezas_Y))*Inflación_4</f>
        <v>0</v>
      </c>
      <c r="BG22" s="101">
        <f>SUMIFS('9'!$E:$E,'9'!$A:$A,Año_Inicial+3,'9'!$B:$B,'12'!BF$4,'9'!$D:$D,"Aplicación de herbicida")</f>
        <v>0</v>
      </c>
      <c r="BH22" s="101">
        <f>((A4_A_L28*Malezas_A)+(A4_B_L28*Malezas_B)+(A4_C_L28*Malezas_C)+(A4_D_L28*Malezas_D)+(A4_Y_L28*Malezas_Y))*Inflación_4</f>
        <v>0</v>
      </c>
      <c r="BI22" s="101">
        <f>SUMIFS('9'!$E:$E,'9'!$A:$A,Año_Inicial+3,'9'!$B:$B,'12'!BH$4,'9'!$D:$D,"Aplicación de herbicida")</f>
        <v>0</v>
      </c>
      <c r="BJ22" s="101">
        <f>((A4_A_L29*Malezas_A)+(A4_B_L29*Malezas_B)+(A4_C_L29*Malezas_C)+(A4_D_L29*Malezas_D)+(A4_Y_L29*Malezas_Y))*Inflación_4</f>
        <v>0</v>
      </c>
      <c r="BK22" s="101">
        <f>SUMIFS('9'!$E:$E,'9'!$A:$A,Año_Inicial+3,'9'!$B:$B,'12'!BJ$4,'9'!$D:$D,"Aplicación de herbicida")</f>
        <v>0</v>
      </c>
      <c r="BL22" s="101">
        <f>((A4_A_L30*Malezas_A)+(A4_B_L30*Malezas_B)+(A4_C_L30*Malezas_C)+(A4_D_L30*Malezas_D)+(A4_Y_L30*Malezas_Y))*Inflación_4</f>
        <v>0</v>
      </c>
      <c r="BM22" s="101">
        <f>SUMIFS('9'!$E:$E,'9'!$A:$A,Año_Inicial+3,'9'!$B:$B,'12'!BL$4,'9'!$D:$D,"Aplicación de herbicida")</f>
        <v>0</v>
      </c>
      <c r="BN22" s="101">
        <f>((A4_A_L31*Malezas_A)+(A4_B_L31*Malezas_B)+(A4_C_L31*Malezas_C)+(A4_D_L31*Malezas_D)+(A4_Y_L31*Malezas_Y))*Inflación_4</f>
        <v>0</v>
      </c>
      <c r="BO22" s="101">
        <f>SUMIFS('9'!$E:$E,'9'!$A:$A,Año_Inicial+3,'9'!$B:$B,'12'!BN$4,'9'!$D:$D,"Aplicación de herbicida")</f>
        <v>0</v>
      </c>
      <c r="BP22" s="101">
        <f>((A4_A_L32*Malezas_A)+(A4_B_L32*Malezas_B)+(A4_C_L32*Malezas_C)+(A4_D_L32*Malezas_D)+(A4_Y_L32*Malezas_Y))*Inflación_4</f>
        <v>0</v>
      </c>
      <c r="BQ22" s="101">
        <f>SUMIFS('9'!$E:$E,'9'!$A:$A,Año_Inicial+3,'9'!$B:$B,'12'!BP$4,'9'!$D:$D,"Aplicación de herbicida")</f>
        <v>0</v>
      </c>
      <c r="BR22" s="101">
        <f>((A4_A_L33*Malezas_A)+(A4_B_L33*Malezas_B)+(A4_C_L33*Malezas_C)+(A4_D_L33*Malezas_D)+(A4_Y_L33*Malezas_Y))*Inflación_4</f>
        <v>0</v>
      </c>
      <c r="BS22" s="101">
        <f>SUMIFS('9'!$E:$E,'9'!$A:$A,Año_Inicial+3,'9'!$B:$B,'12'!BR$4,'9'!$D:$D,"Aplicación de herbicida")</f>
        <v>0</v>
      </c>
      <c r="BT22" s="101">
        <f>((A4_A_L34*Malezas_A)+(A4_B_L34*Malezas_B)+(A4_C_L34*Malezas_C)+(A4_D_L34*Malezas_D)+(A4_Y_L34*Malezas_Y))*Inflación_4</f>
        <v>0</v>
      </c>
      <c r="BU22" s="101">
        <f>SUMIFS('9'!$E:$E,'9'!$A:$A,Año_Inicial+3,'9'!$B:$B,'12'!BT$4,'9'!$D:$D,"Aplicación de herbicida")</f>
        <v>0</v>
      </c>
      <c r="BV22" s="101">
        <f>((A4_A_L35*Malezas_A)+(A4_B_L35*Malezas_B)+(A4_C_L35*Malezas_C)+(A4_D_L35*Malezas_D)+(A4_Y_L35*Malezas_Y))*Inflación_4</f>
        <v>0</v>
      </c>
      <c r="BW22" s="101">
        <f>SUMIFS('9'!$E:$E,'9'!$A:$A,Año_Inicial+3,'9'!$B:$B,'12'!BV$4,'9'!$D:$D,"Aplicación de herbicida")</f>
        <v>0</v>
      </c>
      <c r="BX22" s="101">
        <f>((A4_A_L36*Malezas_A)+(A4_B_L36*Malezas_B)+(A4_C_L36*Malezas_C)+(A4_D_L36*Malezas_D)+(A4_Y_L36*Malezas_Y))*Inflación_4</f>
        <v>0</v>
      </c>
      <c r="BY22" s="101">
        <f>SUMIFS('9'!$E:$E,'9'!$A:$A,Año_Inicial+3,'9'!$B:$B,'12'!BX$4,'9'!$D:$D,"Aplicación de herbicida")</f>
        <v>0</v>
      </c>
      <c r="BZ22" s="101">
        <f>((A4_A_L37*Malezas_A)+(A4_B_L37*Malezas_B)+(A4_C_L37*Malezas_C)+(A4_D_L37*Malezas_D)+(A4_Y_L37*Malezas_Y))*Inflación_4</f>
        <v>0</v>
      </c>
      <c r="CA22" s="101">
        <f>SUMIFS('9'!$E:$E,'9'!$A:$A,Año_Inicial+3,'9'!$B:$B,'12'!BZ$4,'9'!$D:$D,"Aplicación de herbicida")</f>
        <v>0</v>
      </c>
      <c r="CB22" s="101">
        <f>((A4_A_L38*Malezas_A)+(A4_B_L38*Malezas_B)+(A4_C_L38*Malezas_C)+(A4_D_L38*Malezas_D)+(A4_Y_L38*Malezas_Y))*Inflación_4</f>
        <v>0</v>
      </c>
      <c r="CC22" s="101">
        <f>SUMIFS('9'!$E:$E,'9'!$A:$A,Año_Inicial+3,'9'!$B:$B,'12'!CB$4,'9'!$D:$D,"Aplicación de herbicida")</f>
        <v>0</v>
      </c>
      <c r="CD22" s="101">
        <f>((A4_A_L39*Malezas_A)+(A4_B_L39*Malezas_B)+(A4_C_L39*Malezas_C)+(A4_D_L39*Malezas_D)+(A4_Y_L39*Malezas_Y))*Inflación_4</f>
        <v>0</v>
      </c>
      <c r="CE22" s="101">
        <f>SUMIFS('9'!$E:$E,'9'!$A:$A,Año_Inicial+3,'9'!$B:$B,'12'!CD$4,'9'!$D:$D,"Aplicación de herbicida")</f>
        <v>0</v>
      </c>
      <c r="CF22" s="101">
        <f>((A4_A_L40*Malezas_A)+(A4_B_L40*Malezas_B)+(A4_C_L40*Malezas_C)+(A4_D_L40*Malezas_D)+(A4_Y_L40*Malezas_Y))*Inflación_4</f>
        <v>0</v>
      </c>
      <c r="CG22" s="101">
        <f>SUMIFS('9'!$E:$E,'9'!$A:$A,Año_Inicial+3,'9'!$B:$B,'12'!CF$4,'9'!$D:$D,"Aplicación de herbicida")</f>
        <v>0</v>
      </c>
      <c r="CH22" s="473"/>
      <c r="CI22" s="101">
        <f>Plantas_A_A4*Malezas_A*Inflación_4</f>
        <v>0</v>
      </c>
      <c r="CJ22" s="101">
        <f>Plantas_B_A4*Malezas_B</f>
        <v>0</v>
      </c>
      <c r="CK22" s="101">
        <f>Plantas_C_A4*Malezas_C</f>
        <v>0</v>
      </c>
      <c r="CL22" s="101">
        <f>Plantas_D_A4*Malezas_D</f>
        <v>0</v>
      </c>
      <c r="CM22" s="101"/>
      <c r="CN22" s="101">
        <f>Plantas_Y_A4*Malezas_Y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SUMIFS('9'!$E:$E,'9'!$A:$A,Año_Inicial+3,'9'!$D:$D,"Limpias manuales")</f>
        <v>0</v>
      </c>
      <c r="D23" s="100">
        <f t="shared" si="45"/>
        <v>0</v>
      </c>
      <c r="E23" s="473"/>
      <c r="F23" s="101">
        <f>((A4_A_L1*Limpias_A)+(A4_B_L1*Limpias_B)+(A4_C_L1*Limpias_C)+(A4_D_L1*Limpias_D)+(A4_Y_L1*Limpias_Y))*Inflación_4</f>
        <v>0</v>
      </c>
      <c r="G23" s="101">
        <f>SUMIFS('9'!$E:$E,'9'!$A:$A,Año_Inicial+3,'9'!$B:$B,'12'!F$4,'9'!$D:$D,"Limpias manuales")</f>
        <v>0</v>
      </c>
      <c r="H23" s="101">
        <f>((A4_A_L2*Limpias_A)+(A4_B_L2*Limpias_B)+(A4_C_L2*Limpias_C)+(A4_D_L2*Limpias_D)+(A4_Y_L2*Limpias_Y))*Inflación_4</f>
        <v>0</v>
      </c>
      <c r="I23" s="101">
        <f>SUMIFS('9'!$E:$E,'9'!$A:$A,Año_Inicial+3,'9'!$B:$B,'12'!H$4,'9'!$D:$D,"Limpias manuales")</f>
        <v>0</v>
      </c>
      <c r="J23" s="101">
        <f>((A4_A_L3*Limpias_A)+(A4_B_L3*Limpias_B)+(A4_C_L3*Limpias_C)+(A4_D_L3*Limpias_D)+(A4_Y_L3*Limpias_Y))*Inflación_4</f>
        <v>0</v>
      </c>
      <c r="K23" s="101">
        <f>SUMIFS('9'!$E:$E,'9'!$A:$A,Año_Inicial+3,'9'!$B:$B,'12'!J$4,'9'!$D:$D,"Limpias manuales")</f>
        <v>0</v>
      </c>
      <c r="L23" s="101">
        <f>((A4_A_L4*Limpias_A)+(A4_B_L4*Limpias_B)+(A4_C_L4*Limpias_C)+(A4_D_L4*Limpias_D)+(A4_Y_L4*Limpias_Y))*Inflación_4</f>
        <v>0</v>
      </c>
      <c r="M23" s="101">
        <f>SUMIFS('9'!$E:$E,'9'!$A:$A,Año_Inicial+3,'9'!$B:$B,'12'!L$4,'9'!$D:$D,"Limpias manuales")</f>
        <v>0</v>
      </c>
      <c r="N23" s="101">
        <f>((A4_A_L5*Limpias_A)+(A4_B_L5*Limpias_B)+(A4_C_L5*Limpias_C)+(A4_D_L5*Limpias_D)+(A4_Y_L5*Limpias_Y))*Inflación_4</f>
        <v>0</v>
      </c>
      <c r="O23" s="101">
        <f>SUMIFS('9'!$E:$E,'9'!$A:$A,Año_Inicial+3,'9'!$B:$B,'12'!N$4,'9'!$D:$D,"Limpias manuales")</f>
        <v>0</v>
      </c>
      <c r="P23" s="101">
        <f>((A4_A_L6*Limpias_A)+(A4_B_L6*Limpias_B)+(A4_C_L6*Limpias_C)+(A4_D_L6*Limpias_D)+(A4_Y_L6*Limpias_Y))*Inflación_4</f>
        <v>0</v>
      </c>
      <c r="Q23" s="101">
        <f>SUMIFS('9'!$E:$E,'9'!$A:$A,Año_Inicial+3,'9'!$B:$B,'12'!P$4,'9'!$D:$D,"Limpias manuales")</f>
        <v>0</v>
      </c>
      <c r="R23" s="101">
        <f>((A4_A_L7*Limpias_A)+(A4_B_L7*Limpias_B)+(A4_C_L7*Limpias_C)+(A4_D_L7*Limpias_D)+(A4_Y_L7*Limpias_Y))*Inflación_4</f>
        <v>0</v>
      </c>
      <c r="S23" s="101">
        <f>SUMIFS('9'!$E:$E,'9'!$A:$A,Año_Inicial+3,'9'!$B:$B,'12'!R$4,'9'!$D:$D,"Limpias manuales")</f>
        <v>0</v>
      </c>
      <c r="T23" s="101">
        <f>((A4_A_L8*Limpias_A)+(A4_B_L8*Limpias_B)+(A4_C_L8*Limpias_C)+(A4_D_L8*Limpias_D)+(A4_Y_L8*Limpias_Y))*Inflación_4</f>
        <v>0</v>
      </c>
      <c r="U23" s="101">
        <f>SUMIFS('9'!$E:$E,'9'!$A:$A,Año_Inicial+3,'9'!$B:$B,'12'!T$4,'9'!$D:$D,"Limpias manuales")</f>
        <v>0</v>
      </c>
      <c r="V23" s="101">
        <f>((A4_A_L9*Limpias_A)+(A4_B_L9*Limpias_B)+(A4_C_L9*Limpias_C)+(A4_D_L9*Limpias_D)+(A4_Y_L9*Limpias_Y))*Inflación_4</f>
        <v>0</v>
      </c>
      <c r="W23" s="101">
        <f>SUMIFS('9'!$E:$E,'9'!$A:$A,Año_Inicial+3,'9'!$B:$B,'12'!V$4,'9'!$D:$D,"Limpias manuales")</f>
        <v>0</v>
      </c>
      <c r="X23" s="101">
        <f>((A4_A_L10*Limpias_A)+(A4_B_L10*Limpias_B)+(A4_C_L10*Limpias_C)+(A4_D_L10*Limpias_D)+(A4_Y_L10*Limpias_Y))*Inflación_4</f>
        <v>0</v>
      </c>
      <c r="Y23" s="101">
        <f>SUMIFS('9'!$E:$E,'9'!$A:$A,Año_Inicial+3,'9'!$B:$B,'12'!X$4,'9'!$D:$D,"Limpias manuales")</f>
        <v>0</v>
      </c>
      <c r="Z23" s="101">
        <f>((A4_A_L11*Limpias_A)+(A4_B_L11*Limpias_B)+(A4_C_L11*Limpias_C)+(A4_D_L11*Limpias_D)+(A4_Y_L11*Limpias_Y))*Inflación_4</f>
        <v>0</v>
      </c>
      <c r="AA23" s="101">
        <f>SUMIFS('9'!$E:$E,'9'!$A:$A,Año_Inicial+3,'9'!$B:$B,'12'!Z$4,'9'!$D:$D,"Limpias manuales")</f>
        <v>0</v>
      </c>
      <c r="AB23" s="101">
        <f>((A4_A_L12*Limpias_A)+(A4_B_L12*Limpias_B)+(A4_C_L12*Limpias_C)+(A4_D_L12*Limpias_D)+(A4_Y_L12*Limpias_Y))*Inflación_4</f>
        <v>0</v>
      </c>
      <c r="AC23" s="101">
        <f>SUMIFS('9'!$E:$E,'9'!$A:$A,Año_Inicial+3,'9'!$B:$B,'12'!AB$4,'9'!$D:$D,"Limpias manuales")</f>
        <v>0</v>
      </c>
      <c r="AD23" s="101">
        <f>((A4_A_L13*Limpias_A)+(A4_B_L13*Limpias_B)+(A4_C_L13*Limpias_C)+(A4_D_L13*Limpias_D)+(A4_Y_L13*Limpias_Y))*Inflación_4</f>
        <v>0</v>
      </c>
      <c r="AE23" s="101">
        <f>SUMIFS('9'!$E:$E,'9'!$A:$A,Año_Inicial+3,'9'!$B:$B,'12'!AD$4,'9'!$D:$D,"Limpias manuales")</f>
        <v>0</v>
      </c>
      <c r="AF23" s="101">
        <f>((A4_A_L14*Limpias_A)+(A4_B_L14*Limpias_B)+(A4_C_L14*Limpias_C)+(A4_D_L14*Limpias_D)+(A4_Y_L14*Limpias_Y))*Inflación_4</f>
        <v>0</v>
      </c>
      <c r="AG23" s="101">
        <f>SUMIFS('9'!$E:$E,'9'!$A:$A,Año_Inicial+3,'9'!$B:$B,'12'!AF$4,'9'!$D:$D,"Limpias manuales")</f>
        <v>0</v>
      </c>
      <c r="AH23" s="101">
        <f>((A4_A_L15*Limpias_A)+(A4_B_L15*Limpias_B)+(A4_C_L15*Limpias_C)+(A4_D_L15*Limpias_D)+(A4_Y_L15*Limpias_Y))*Inflación_4</f>
        <v>0</v>
      </c>
      <c r="AI23" s="101">
        <f>SUMIFS('9'!$E:$E,'9'!$A:$A,Año_Inicial+3,'9'!$B:$B,'12'!AH$4,'9'!$D:$D,"Limpias manuales")</f>
        <v>0</v>
      </c>
      <c r="AJ23" s="101">
        <f>((A4_A_L16*Limpias_A)+(A4_B_L16*Limpias_B)+(A4_C_L16*Limpias_C)+(A4_D_L16*Limpias_D)+(A4_Y_L16*Limpias_Y))*Inflación_4</f>
        <v>0</v>
      </c>
      <c r="AK23" s="101">
        <f>SUMIFS('9'!$E:$E,'9'!$A:$A,Año_Inicial+3,'9'!$B:$B,'12'!AJ$4,'9'!$D:$D,"Limpias manuales")</f>
        <v>0</v>
      </c>
      <c r="AL23" s="101">
        <f>((A4_A_L17*Limpias_A)+(A4_B_L17*Limpias_B)+(A4_C_L17*Limpias_C)+(A4_D_L17*Limpias_D)+(A4_Y_L17*Limpias_Y))*Inflación_4</f>
        <v>0</v>
      </c>
      <c r="AM23" s="101">
        <f>SUMIFS('9'!$E:$E,'9'!$A:$A,Año_Inicial+3,'9'!$B:$B,'12'!AL$4,'9'!$D:$D,"Limpias manuales")</f>
        <v>0</v>
      </c>
      <c r="AN23" s="101">
        <f>((A4_A_L18*Limpias_A)+(A4_B_L18*Limpias_B)+(A4_C_L18*Limpias_C)+(A4_D_L18*Limpias_D)+(A4_Y_L18*Limpias_Y))*Inflación_4</f>
        <v>0</v>
      </c>
      <c r="AO23" s="101">
        <f>SUMIFS('9'!$E:$E,'9'!$A:$A,Año_Inicial+3,'9'!$B:$B,'12'!AN$4,'9'!$D:$D,"Limpias manuales")</f>
        <v>0</v>
      </c>
      <c r="AP23" s="101">
        <f>((A4_A_L19*Limpias_A)+(A4_B_L19*Limpias_B)+(A4_C_L19*Limpias_C)+(A4_D_L19*Limpias_D)+(A4_Y_L19*Limpias_Y))*Inflación_4</f>
        <v>0</v>
      </c>
      <c r="AQ23" s="101">
        <f>SUMIFS('9'!$E:$E,'9'!$A:$A,Año_Inicial+3,'9'!$B:$B,'12'!AP$4,'9'!$D:$D,"Limpias manuales")</f>
        <v>0</v>
      </c>
      <c r="AR23" s="101">
        <f>((A4_A_L20*Limpias_A)+(A4_B_L20*Limpias_B)+(A4_C_L20*Limpias_C)+(A4_D_L20*Limpias_D)+(A4_Y_L20*Limpias_Y))*Inflación_4</f>
        <v>0</v>
      </c>
      <c r="AS23" s="101">
        <f>SUMIFS('9'!$E:$E,'9'!$A:$A,Año_Inicial+3,'9'!$B:$B,'12'!AR$4,'9'!$D:$D,"Limpias manuales")</f>
        <v>0</v>
      </c>
      <c r="AT23" s="101">
        <f>((A4_A_L21*Limpias_A)+(A4_B_L21*Limpias_B)+(A4_C_L21*Limpias_C)+(A4_D_L21*Limpias_D)+(A4_Y_L21*Limpias_Y))*Inflación_4</f>
        <v>0</v>
      </c>
      <c r="AU23" s="101">
        <f>SUMIFS('9'!$E:$E,'9'!$A:$A,Año_Inicial+3,'9'!$B:$B,'12'!AT$4,'9'!$D:$D,"Limpias manuales")</f>
        <v>0</v>
      </c>
      <c r="AV23" s="101">
        <f>((A4_A_L22*Limpias_A)+(A4_B_L22*Limpias_B)+(A4_C_L22*Limpias_C)+(A4_D_L22*Limpias_D)+(A4_Y_L22*Limpias_Y))*Inflación_4</f>
        <v>0</v>
      </c>
      <c r="AW23" s="101">
        <f>SUMIFS('9'!$E:$E,'9'!$A:$A,Año_Inicial+3,'9'!$B:$B,'12'!AV$4,'9'!$D:$D,"Limpias manuales")</f>
        <v>0</v>
      </c>
      <c r="AX23" s="101">
        <f>((A4_A_L23*Limpias_A)+(A4_B_L23*Limpias_B)+(A4_C_L23*Limpias_C)+(A4_D_L23*Limpias_D)+(A4_Y_L23*Limpias_Y))*Inflación_4</f>
        <v>0</v>
      </c>
      <c r="AY23" s="101">
        <f>SUMIFS('9'!$E:$E,'9'!$A:$A,Año_Inicial+3,'9'!$B:$B,'12'!AX$4,'9'!$D:$D,"Limpias manuales")</f>
        <v>0</v>
      </c>
      <c r="AZ23" s="101">
        <f>((A4_A_L24*Limpias_A)+(A4_B_L24*Limpias_B)+(A4_C_L24*Limpias_C)+(A4_D_L24*Limpias_D)+(A4_Y_L24*Limpias_Y))*Inflación_4</f>
        <v>0</v>
      </c>
      <c r="BA23" s="101">
        <f>SUMIFS('9'!$E:$E,'9'!$A:$A,Año_Inicial+3,'9'!$B:$B,'12'!AZ$4,'9'!$D:$D,"Limpias manuales")</f>
        <v>0</v>
      </c>
      <c r="BB23" s="101">
        <f>((A4_A_L25*Limpias_A)+(A4_B_L25*Limpias_B)+(A4_C_L25*Limpias_C)+(A4_D_L25*Limpias_D)+(A4_Y_L25*Limpias_Y))*Inflación_4</f>
        <v>0</v>
      </c>
      <c r="BC23" s="101">
        <f>SUMIFS('9'!$E:$E,'9'!$A:$A,Año_Inicial+3,'9'!$B:$B,'12'!BB$4,'9'!$D:$D,"Limpias manuales")</f>
        <v>0</v>
      </c>
      <c r="BD23" s="101">
        <f>((A4_A_L26*Limpias_A)+(A4_B_L26*Limpias_B)+(A4_C_L26*Limpias_C)+(A4_D_L26*Limpias_D)+(A4_Y_L26*Limpias_Y))*Inflación_4</f>
        <v>0</v>
      </c>
      <c r="BE23" s="101">
        <f>SUMIFS('9'!$E:$E,'9'!$A:$A,Año_Inicial+3,'9'!$B:$B,'12'!BD$4,'9'!$D:$D,"Limpias manuales")</f>
        <v>0</v>
      </c>
      <c r="BF23" s="101">
        <f>((A4_A_L27*Limpias_A)+(A4_B_L27*Limpias_B)+(A4_C_L27*Limpias_C)+(A4_D_L27*Limpias_D)+(A4_Y_L27*Limpias_Y))*Inflación_4</f>
        <v>0</v>
      </c>
      <c r="BG23" s="101">
        <f>SUMIFS('9'!$E:$E,'9'!$A:$A,Año_Inicial+3,'9'!$B:$B,'12'!BF$4,'9'!$D:$D,"Limpias manuales")</f>
        <v>0</v>
      </c>
      <c r="BH23" s="101">
        <f>((A4_A_L28*Limpias_A)+(A4_B_L28*Limpias_B)+(A4_C_L28*Limpias_C)+(A4_D_L28*Limpias_D)+(A4_Y_L28*Limpias_Y))*Inflación_4</f>
        <v>0</v>
      </c>
      <c r="BI23" s="101">
        <f>SUMIFS('9'!$E:$E,'9'!$A:$A,Año_Inicial+3,'9'!$B:$B,'12'!BH$4,'9'!$D:$D,"Limpias manuales")</f>
        <v>0</v>
      </c>
      <c r="BJ23" s="101">
        <f>((A4_A_L29*Limpias_A)+(A4_B_L29*Limpias_B)+(A4_C_L29*Limpias_C)+(A4_D_L29*Limpias_D)+(A4_Y_L29*Limpias_Y))*Inflación_4</f>
        <v>0</v>
      </c>
      <c r="BK23" s="101">
        <f>SUMIFS('9'!$E:$E,'9'!$A:$A,Año_Inicial+3,'9'!$B:$B,'12'!BJ$4,'9'!$D:$D,"Limpias manuales")</f>
        <v>0</v>
      </c>
      <c r="BL23" s="101">
        <f>((A4_A_L30*Limpias_A)+(A4_B_L30*Limpias_B)+(A4_C_L30*Limpias_C)+(A4_D_L30*Limpias_D)+(A4_Y_L30*Limpias_Y))*Inflación_4</f>
        <v>0</v>
      </c>
      <c r="BM23" s="101">
        <f>SUMIFS('9'!$E:$E,'9'!$A:$A,Año_Inicial+3,'9'!$B:$B,'12'!BL$4,'9'!$D:$D,"Limpias manuales")</f>
        <v>0</v>
      </c>
      <c r="BN23" s="101">
        <f>((A4_A_L31*Limpias_A)+(A4_B_L31*Limpias_B)+(A4_C_L31*Limpias_C)+(A4_D_L31*Limpias_D)+(A4_Y_L31*Limpias_Y))*Inflación_4</f>
        <v>0</v>
      </c>
      <c r="BO23" s="101">
        <f>SUMIFS('9'!$E:$E,'9'!$A:$A,Año_Inicial+3,'9'!$B:$B,'12'!BN$4,'9'!$D:$D,"Limpias manuales")</f>
        <v>0</v>
      </c>
      <c r="BP23" s="101">
        <f>((A4_A_L32*Limpias_A)+(A4_B_L32*Limpias_B)+(A4_C_L32*Limpias_C)+(A4_D_L32*Limpias_D)+(A4_Y_L32*Limpias_Y))*Inflación_4</f>
        <v>0</v>
      </c>
      <c r="BQ23" s="101">
        <f>SUMIFS('9'!$E:$E,'9'!$A:$A,Año_Inicial+3,'9'!$B:$B,'12'!BP$4,'9'!$D:$D,"Limpias manuales")</f>
        <v>0</v>
      </c>
      <c r="BR23" s="101">
        <f>((A4_A_L33*Limpias_A)+(A4_B_L33*Limpias_B)+(A4_C_L33*Limpias_C)+(A4_D_L33*Limpias_D)+(A4_Y_L33*Limpias_Y))*Inflación_4</f>
        <v>0</v>
      </c>
      <c r="BS23" s="101">
        <f>SUMIFS('9'!$E:$E,'9'!$A:$A,Año_Inicial+3,'9'!$B:$B,'12'!BR$4,'9'!$D:$D,"Limpias manuales")</f>
        <v>0</v>
      </c>
      <c r="BT23" s="101">
        <f>((A4_A_L34*Limpias_A)+(A4_B_L34*Limpias_B)+(A4_C_L34*Limpias_C)+(A4_D_L34*Limpias_D)+(A4_Y_L34*Limpias_Y))*Inflación_4</f>
        <v>0</v>
      </c>
      <c r="BU23" s="101">
        <f>SUMIFS('9'!$E:$E,'9'!$A:$A,Año_Inicial+3,'9'!$B:$B,'12'!BT$4,'9'!$D:$D,"Limpias manuales")</f>
        <v>0</v>
      </c>
      <c r="BV23" s="101">
        <f>((A4_A_L35*Limpias_A)+(A4_B_L35*Limpias_B)+(A4_C_L35*Limpias_C)+(A4_D_L35*Limpias_D)+(A4_Y_L35*Limpias_Y))*Inflación_4</f>
        <v>0</v>
      </c>
      <c r="BW23" s="101">
        <f>SUMIFS('9'!$E:$E,'9'!$A:$A,Año_Inicial+3,'9'!$B:$B,'12'!BV$4,'9'!$D:$D,"Limpias manuales")</f>
        <v>0</v>
      </c>
      <c r="BX23" s="101">
        <f>((A4_A_L36*Limpias_A)+(A4_B_L36*Limpias_B)+(A4_C_L36*Limpias_C)+(A4_D_L36*Limpias_D)+(A4_Y_L36*Limpias_Y))*Inflación_4</f>
        <v>0</v>
      </c>
      <c r="BY23" s="101">
        <f>SUMIFS('9'!$E:$E,'9'!$A:$A,Año_Inicial+3,'9'!$B:$B,'12'!BX$4,'9'!$D:$D,"Limpias manuales")</f>
        <v>0</v>
      </c>
      <c r="BZ23" s="101">
        <f>((A4_A_L37*Limpias_A)+(A4_B_L37*Limpias_B)+(A4_C_L37*Limpias_C)+(A4_D_L37*Limpias_D)+(A4_Y_L37*Limpias_Y))*Inflación_4</f>
        <v>0</v>
      </c>
      <c r="CA23" s="101">
        <f>SUMIFS('9'!$E:$E,'9'!$A:$A,Año_Inicial+3,'9'!$B:$B,'12'!BZ$4,'9'!$D:$D,"Limpias manuales")</f>
        <v>0</v>
      </c>
      <c r="CB23" s="101">
        <f>((A4_A_L38*Limpias_A)+(A4_B_L38*Limpias_B)+(A4_C_L38*Limpias_C)+(A4_D_L38*Limpias_D)+(A4_Y_L38*Limpias_Y))*Inflación_4</f>
        <v>0</v>
      </c>
      <c r="CC23" s="101">
        <f>SUMIFS('9'!$E:$E,'9'!$A:$A,Año_Inicial+3,'9'!$B:$B,'12'!CB$4,'9'!$D:$D,"Limpias manuales")</f>
        <v>0</v>
      </c>
      <c r="CD23" s="101">
        <f>((A4_A_L39*Limpias_A)+(A4_B_L39*Limpias_B)+(A4_C_L39*Limpias_C)+(A4_D_L39*Limpias_D)+(A4_Y_L39*Limpias_Y))*Inflación_4</f>
        <v>0</v>
      </c>
      <c r="CE23" s="101">
        <f>SUMIFS('9'!$E:$E,'9'!$A:$A,Año_Inicial+3,'9'!$B:$B,'12'!CD$4,'9'!$D:$D,"Limpias manuales")</f>
        <v>0</v>
      </c>
      <c r="CF23" s="101">
        <f>((A4_A_L40*Limpias_A)+(A4_B_L40*Limpias_B)+(A4_C_L40*Limpias_C)+(A4_D_L40*Limpias_D)+(A4_Y_L40*Limpias_Y))*Inflación_4</f>
        <v>0</v>
      </c>
      <c r="CG23" s="101">
        <f>SUMIFS('9'!$E:$E,'9'!$A:$A,Año_Inicial+3,'9'!$B:$B,'12'!CF$4,'9'!$D:$D,"Limpias manuales")</f>
        <v>0</v>
      </c>
      <c r="CH23" s="473"/>
      <c r="CI23" s="101">
        <f>Plantas_A_A4*Limpias_A*Inflación_4</f>
        <v>0</v>
      </c>
      <c r="CJ23" s="101">
        <f>Plantas_B_A4*Limpias_B</f>
        <v>0</v>
      </c>
      <c r="CK23" s="101">
        <f>Plantas_C_A4*Limpias_C</f>
        <v>0</v>
      </c>
      <c r="CL23" s="101">
        <f>Plantas_D_A4*Limpias_D</f>
        <v>0</v>
      </c>
      <c r="CM23" s="101"/>
      <c r="CN23" s="101">
        <f>Plantas_Y_A4*Limpias_Y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SUMIFS('9'!$E:$E,'9'!$A:$A,Año_Inicial+3,'9'!$D:$D,"Herbicida")</f>
        <v>0</v>
      </c>
      <c r="D24" s="100">
        <f t="shared" si="45"/>
        <v>0</v>
      </c>
      <c r="E24" s="473"/>
      <c r="F24" s="101">
        <f>((A4_A_L1*Herbicida_A)+(A4_B_L1*Herbicida_B)+(A4_C_L1*Herbicida_C)+(A4_D_L1*Herbicida_D)+(A4_Y_L1*Herbicida_Y))*Inflación_4</f>
        <v>0</v>
      </c>
      <c r="G24" s="101">
        <f>SUMIFS('9'!$E:$E,'9'!$A:$A,Año_Inicial+3,'9'!$B:$B,'12'!F$4,'9'!$D:$D,"Herbicida")</f>
        <v>0</v>
      </c>
      <c r="H24" s="101">
        <f>((A4_A_L2*Herbicida_A)+(A4_B_L2*Herbicida_B)+(A4_C_L2*Herbicida_C)+(A4_D_L2*Herbicida_D)+(A4_Y_L2*Herbicida_Y))*Inflación_4</f>
        <v>0</v>
      </c>
      <c r="I24" s="101">
        <f>SUMIFS('9'!$E:$E,'9'!$A:$A,Año_Inicial+3,'9'!$B:$B,'12'!H$4,'9'!$D:$D,"Herbicida")</f>
        <v>0</v>
      </c>
      <c r="J24" s="101">
        <f>((A4_A_L3*Herbicida_A)+(A4_B_L3*Herbicida_B)+(A4_C_L3*Herbicida_C)+(A4_D_L3*Herbicida_D)+(A4_Y_L3*Herbicida_Y))*Inflación_4</f>
        <v>0</v>
      </c>
      <c r="K24" s="101">
        <f>SUMIFS('9'!$E:$E,'9'!$A:$A,Año_Inicial+3,'9'!$B:$B,'12'!J$4,'9'!$D:$D,"Herbicida")</f>
        <v>0</v>
      </c>
      <c r="L24" s="101">
        <f>((A4_A_L4*Herbicida_A)+(A4_B_L4*Herbicida_B)+(A4_C_L4*Herbicida_C)+(A4_D_L4*Herbicida_D)+(A4_Y_L4*Herbicida_Y))*Inflación_4</f>
        <v>0</v>
      </c>
      <c r="M24" s="101">
        <f>SUMIFS('9'!$E:$E,'9'!$A:$A,Año_Inicial+3,'9'!$B:$B,'12'!L$4,'9'!$D:$D,"Herbicida")</f>
        <v>0</v>
      </c>
      <c r="N24" s="101">
        <f>((A4_A_L5*Herbicida_A)+(A4_B_L5*Herbicida_B)+(A4_C_L5*Herbicida_C)+(A4_D_L5*Herbicida_D)+(A4_Y_L5*Herbicida_Y))*Inflación_4</f>
        <v>0</v>
      </c>
      <c r="O24" s="101">
        <f>SUMIFS('9'!$E:$E,'9'!$A:$A,Año_Inicial+3,'9'!$B:$B,'12'!N$4,'9'!$D:$D,"Herbicida")</f>
        <v>0</v>
      </c>
      <c r="P24" s="101">
        <f>((A4_A_L6*Herbicida_A)+(A4_B_L6*Herbicida_B)+(A4_C_L6*Herbicida_C)+(A4_D_L6*Herbicida_D)+(A4_Y_L6*Herbicida_Y))*Inflación_4</f>
        <v>0</v>
      </c>
      <c r="Q24" s="101">
        <f>SUMIFS('9'!$E:$E,'9'!$A:$A,Año_Inicial+3,'9'!$B:$B,'12'!P$4,'9'!$D:$D,"Herbicida")</f>
        <v>0</v>
      </c>
      <c r="R24" s="101">
        <f>((A4_A_L7*Herbicida_A)+(A4_B_L7*Herbicida_B)+(A4_C_L7*Herbicida_C)+(A4_D_L7*Herbicida_D)+(A4_Y_L7*Herbicida_Y))*Inflación_4</f>
        <v>0</v>
      </c>
      <c r="S24" s="101">
        <f>SUMIFS('9'!$E:$E,'9'!$A:$A,Año_Inicial+3,'9'!$B:$B,'12'!R$4,'9'!$D:$D,"Herbicida")</f>
        <v>0</v>
      </c>
      <c r="T24" s="101">
        <f>((A4_A_L8*Herbicida_A)+(A4_B_L8*Herbicida_B)+(A4_C_L8*Herbicida_C)+(A4_D_L8*Herbicida_D)+(A4_Y_L8*Herbicida_Y))*Inflación_4</f>
        <v>0</v>
      </c>
      <c r="U24" s="101">
        <f>SUMIFS('9'!$E:$E,'9'!$A:$A,Año_Inicial+3,'9'!$B:$B,'12'!T$4,'9'!$D:$D,"Herbicida")</f>
        <v>0</v>
      </c>
      <c r="V24" s="101">
        <f>((A4_A_L9*Herbicida_A)+(A4_B_L9*Herbicida_B)+(A4_C_L9*Herbicida_C)+(A4_D_L9*Herbicida_D)+(A4_Y_L9*Herbicida_Y))*Inflación_4</f>
        <v>0</v>
      </c>
      <c r="W24" s="101">
        <f>SUMIFS('9'!$E:$E,'9'!$A:$A,Año_Inicial+3,'9'!$B:$B,'12'!V$4,'9'!$D:$D,"Herbicida")</f>
        <v>0</v>
      </c>
      <c r="X24" s="101">
        <f>((A4_A_L10*Herbicida_A)+(A4_B_L10*Herbicida_B)+(A4_C_L10*Herbicida_C)+(A4_D_L10*Herbicida_D)+(A4_Y_L10*Herbicida_Y))*Inflación_4</f>
        <v>0</v>
      </c>
      <c r="Y24" s="101">
        <f>SUMIFS('9'!$E:$E,'9'!$A:$A,Año_Inicial+3,'9'!$B:$B,'12'!X$4,'9'!$D:$D,"Herbicida")</f>
        <v>0</v>
      </c>
      <c r="Z24" s="101">
        <f>((A4_A_L11*Herbicida_A)+(A4_B_L11*Herbicida_B)+(A4_C_L11*Herbicida_C)+(A4_D_L11*Herbicida_D)+(A4_Y_L11*Herbicida_Y))*Inflación_4</f>
        <v>0</v>
      </c>
      <c r="AA24" s="101">
        <f>SUMIFS('9'!$E:$E,'9'!$A:$A,Año_Inicial+3,'9'!$B:$B,'12'!Z$4,'9'!$D:$D,"Herbicida")</f>
        <v>0</v>
      </c>
      <c r="AB24" s="101">
        <f>((A4_A_L12*Herbicida_A)+(A4_B_L12*Herbicida_B)+(A4_C_L12*Herbicida_C)+(A4_D_L12*Herbicida_D)+(A4_Y_L12*Herbicida_Y))*Inflación_4</f>
        <v>0</v>
      </c>
      <c r="AC24" s="101">
        <f>SUMIFS('9'!$E:$E,'9'!$A:$A,Año_Inicial+3,'9'!$B:$B,'12'!AB$4,'9'!$D:$D,"Herbicida")</f>
        <v>0</v>
      </c>
      <c r="AD24" s="101">
        <f>((A4_A_L13*Herbicida_A)+(A4_B_L13*Herbicida_B)+(A4_C_L13*Herbicida_C)+(A4_D_L13*Herbicida_D)+(A4_Y_L13*Herbicida_Y))*Inflación_4</f>
        <v>0</v>
      </c>
      <c r="AE24" s="101">
        <f>SUMIFS('9'!$E:$E,'9'!$A:$A,Año_Inicial+3,'9'!$B:$B,'12'!AD$4,'9'!$D:$D,"Herbicida")</f>
        <v>0</v>
      </c>
      <c r="AF24" s="101">
        <f>((A4_A_L14*Herbicida_A)+(A4_B_L14*Herbicida_B)+(A4_C_L14*Herbicida_C)+(A4_D_L14*Herbicida_D)+(A4_Y_L14*Herbicida_Y))*Inflación_4</f>
        <v>0</v>
      </c>
      <c r="AG24" s="101">
        <f>SUMIFS('9'!$E:$E,'9'!$A:$A,Año_Inicial+3,'9'!$B:$B,'12'!AF$4,'9'!$D:$D,"Herbicida")</f>
        <v>0</v>
      </c>
      <c r="AH24" s="101">
        <f>((A4_A_L15*Herbicida_A)+(A4_B_L15*Herbicida_B)+(A4_C_L15*Herbicida_C)+(A4_D_L15*Herbicida_D)+(A4_Y_L15*Herbicida_Y))*Inflación_4</f>
        <v>0</v>
      </c>
      <c r="AI24" s="101">
        <f>SUMIFS('9'!$E:$E,'9'!$A:$A,Año_Inicial+3,'9'!$B:$B,'12'!AH$4,'9'!$D:$D,"Herbicida")</f>
        <v>0</v>
      </c>
      <c r="AJ24" s="101">
        <f>((A4_A_L16*Herbicida_A)+(A4_B_L16*Herbicida_B)+(A4_C_L16*Herbicida_C)+(A4_D_L16*Herbicida_D)+(A4_Y_L16*Herbicida_Y))*Inflación_4</f>
        <v>0</v>
      </c>
      <c r="AK24" s="101">
        <f>SUMIFS('9'!$E:$E,'9'!$A:$A,Año_Inicial+3,'9'!$B:$B,'12'!AJ$4,'9'!$D:$D,"Herbicida")</f>
        <v>0</v>
      </c>
      <c r="AL24" s="101">
        <f>((A4_A_L17*Herbicida_A)+(A4_B_L17*Herbicida_B)+(A4_C_L17*Herbicida_C)+(A4_D_L17*Herbicida_D)+(A4_Y_L17*Herbicida_Y))*Inflación_4</f>
        <v>0</v>
      </c>
      <c r="AM24" s="101">
        <f>SUMIFS('9'!$E:$E,'9'!$A:$A,Año_Inicial+3,'9'!$B:$B,'12'!AL$4,'9'!$D:$D,"Herbicida")</f>
        <v>0</v>
      </c>
      <c r="AN24" s="101">
        <f>((A4_A_L18*Herbicida_A)+(A4_B_L18*Herbicida_B)+(A4_C_L18*Herbicida_C)+(A4_D_L18*Herbicida_D)+(A4_Y_L18*Herbicida_Y))*Inflación_4</f>
        <v>0</v>
      </c>
      <c r="AO24" s="101">
        <f>SUMIFS('9'!$E:$E,'9'!$A:$A,Año_Inicial+3,'9'!$B:$B,'12'!AN$4,'9'!$D:$D,"Herbicida")</f>
        <v>0</v>
      </c>
      <c r="AP24" s="101">
        <f>((A4_A_L19*Herbicida_A)+(A4_B_L19*Herbicida_B)+(A4_C_L19*Herbicida_C)+(A4_D_L19*Herbicida_D)+(A4_Y_L19*Herbicida_Y))*Inflación_4</f>
        <v>0</v>
      </c>
      <c r="AQ24" s="101">
        <f>SUMIFS('9'!$E:$E,'9'!$A:$A,Año_Inicial+3,'9'!$B:$B,'12'!AP$4,'9'!$D:$D,"Herbicida")</f>
        <v>0</v>
      </c>
      <c r="AR24" s="101">
        <f>((A4_A_L20*Herbicida_A)+(A4_B_L20*Herbicida_B)+(A4_C_L20*Herbicida_C)+(A4_D_L20*Herbicida_D)+(A4_Y_L20*Herbicida_Y))*Inflación_4</f>
        <v>0</v>
      </c>
      <c r="AS24" s="101">
        <f>SUMIFS('9'!$E:$E,'9'!$A:$A,Año_Inicial+3,'9'!$B:$B,'12'!AR$4,'9'!$D:$D,"Herbicida")</f>
        <v>0</v>
      </c>
      <c r="AT24" s="101">
        <f>((A4_A_L21*Herbicida_A)+(A4_B_L21*Herbicida_B)+(A4_C_L21*Herbicida_C)+(A4_D_L21*Herbicida_D)+(A4_Y_L21*Herbicida_Y))*Inflación_4</f>
        <v>0</v>
      </c>
      <c r="AU24" s="101">
        <f>SUMIFS('9'!$E:$E,'9'!$A:$A,Año_Inicial+3,'9'!$B:$B,'12'!AT$4,'9'!$D:$D,"Herbicida")</f>
        <v>0</v>
      </c>
      <c r="AV24" s="101">
        <f>((A4_A_L22*Herbicida_A)+(A4_B_L22*Herbicida_B)+(A4_C_L22*Herbicida_C)+(A4_D_L22*Herbicida_D)+(A4_Y_L22*Herbicida_Y))*Inflación_4</f>
        <v>0</v>
      </c>
      <c r="AW24" s="101">
        <f>SUMIFS('9'!$E:$E,'9'!$A:$A,Año_Inicial+3,'9'!$B:$B,'12'!AV$4,'9'!$D:$D,"Herbicida")</f>
        <v>0</v>
      </c>
      <c r="AX24" s="101">
        <f>((A4_A_L23*Herbicida_A)+(A4_B_L23*Herbicida_B)+(A4_C_L23*Herbicida_C)+(A4_D_L23*Herbicida_D)+(A4_Y_L23*Herbicida_Y))*Inflación_4</f>
        <v>0</v>
      </c>
      <c r="AY24" s="101">
        <f>SUMIFS('9'!$E:$E,'9'!$A:$A,Año_Inicial+3,'9'!$B:$B,'12'!AX$4,'9'!$D:$D,"Herbicida")</f>
        <v>0</v>
      </c>
      <c r="AZ24" s="101">
        <f>((A4_A_L24*Herbicida_A)+(A4_B_L24*Herbicida_B)+(A4_C_L24*Herbicida_C)+(A4_D_L24*Herbicida_D)+(A4_Y_L24*Herbicida_Y))*Inflación_4</f>
        <v>0</v>
      </c>
      <c r="BA24" s="101">
        <f>SUMIFS('9'!$E:$E,'9'!$A:$A,Año_Inicial+3,'9'!$B:$B,'12'!AZ$4,'9'!$D:$D,"Herbicida")</f>
        <v>0</v>
      </c>
      <c r="BB24" s="101">
        <f>((A4_A_L25*Herbicida_A)+(A4_B_L25*Herbicida_B)+(A4_C_L25*Herbicida_C)+(A4_D_L25*Herbicida_D)+(A4_Y_L25*Herbicida_Y))*Inflación_4</f>
        <v>0</v>
      </c>
      <c r="BC24" s="101">
        <f>SUMIFS('9'!$E:$E,'9'!$A:$A,Año_Inicial+3,'9'!$B:$B,'12'!BB$4,'9'!$D:$D,"Herbicida")</f>
        <v>0</v>
      </c>
      <c r="BD24" s="101">
        <f>((A4_A_L26*Herbicida_A)+(A4_B_L26*Herbicida_B)+(A4_C_L26*Herbicida_C)+(A4_D_L26*Herbicida_D)+(A4_Y_L26*Herbicida_Y))*Inflación_4</f>
        <v>0</v>
      </c>
      <c r="BE24" s="101">
        <f>SUMIFS('9'!$E:$E,'9'!$A:$A,Año_Inicial+3,'9'!$B:$B,'12'!BD$4,'9'!$D:$D,"Herbicida")</f>
        <v>0</v>
      </c>
      <c r="BF24" s="101">
        <f>((A4_A_L27*Herbicida_A)+(A4_B_L27*Herbicida_B)+(A4_C_L27*Herbicida_C)+(A4_D_L27*Herbicida_D)+(A4_Y_L27*Herbicida_Y))*Inflación_4</f>
        <v>0</v>
      </c>
      <c r="BG24" s="101">
        <f>SUMIFS('9'!$E:$E,'9'!$A:$A,Año_Inicial+3,'9'!$B:$B,'12'!BF$4,'9'!$D:$D,"Herbicida")</f>
        <v>0</v>
      </c>
      <c r="BH24" s="101">
        <f>((A4_A_L28*Herbicida_A)+(A4_B_L28*Herbicida_B)+(A4_C_L28*Herbicida_C)+(A4_D_L28*Herbicida_D)+(A4_Y_L28*Herbicida_Y))*Inflación_4</f>
        <v>0</v>
      </c>
      <c r="BI24" s="101">
        <f>SUMIFS('9'!$E:$E,'9'!$A:$A,Año_Inicial+3,'9'!$B:$B,'12'!BH$4,'9'!$D:$D,"Herbicida")</f>
        <v>0</v>
      </c>
      <c r="BJ24" s="101">
        <f>((A4_A_L29*Herbicida_A)+(A4_B_L29*Herbicida_B)+(A4_C_L29*Herbicida_C)+(A4_D_L29*Herbicida_D)+(A4_Y_L29*Herbicida_Y))*Inflación_4</f>
        <v>0</v>
      </c>
      <c r="BK24" s="101">
        <f>SUMIFS('9'!$E:$E,'9'!$A:$A,Año_Inicial+3,'9'!$B:$B,'12'!BJ$4,'9'!$D:$D,"Herbicida")</f>
        <v>0</v>
      </c>
      <c r="BL24" s="101">
        <f>((A4_A_L30*Herbicida_A)+(A4_B_L30*Herbicida_B)+(A4_C_L30*Herbicida_C)+(A4_D_L30*Herbicida_D)+(A4_Y_L30*Herbicida_Y))*Inflación_4</f>
        <v>0</v>
      </c>
      <c r="BM24" s="101">
        <f>SUMIFS('9'!$E:$E,'9'!$A:$A,Año_Inicial+3,'9'!$B:$B,'12'!BL$4,'9'!$D:$D,"Herbicida")</f>
        <v>0</v>
      </c>
      <c r="BN24" s="101">
        <f>((A4_A_L31*Herbicida_A)+(A4_B_L31*Herbicida_B)+(A4_C_L31*Herbicida_C)+(A4_D_L31*Herbicida_D)+(A4_Y_L31*Herbicida_Y))*Inflación_4</f>
        <v>0</v>
      </c>
      <c r="BO24" s="101">
        <f>SUMIFS('9'!$E:$E,'9'!$A:$A,Año_Inicial+3,'9'!$B:$B,'12'!BN$4,'9'!$D:$D,"Herbicida")</f>
        <v>0</v>
      </c>
      <c r="BP24" s="101">
        <f>((A4_A_L32*Herbicida_A)+(A4_B_L32*Herbicida_B)+(A4_C_L32*Herbicida_C)+(A4_D_L32*Herbicida_D)+(A4_Y_L32*Herbicida_Y))*Inflación_4</f>
        <v>0</v>
      </c>
      <c r="BQ24" s="101">
        <f>SUMIFS('9'!$E:$E,'9'!$A:$A,Año_Inicial+3,'9'!$B:$B,'12'!BP$4,'9'!$D:$D,"Herbicida")</f>
        <v>0</v>
      </c>
      <c r="BR24" s="101">
        <f>((A4_A_L33*Herbicida_A)+(A4_B_L33*Herbicida_B)+(A4_C_L33*Herbicida_C)+(A4_D_L33*Herbicida_D)+(A4_Y_L33*Herbicida_Y))*Inflación_4</f>
        <v>0</v>
      </c>
      <c r="BS24" s="101">
        <f>SUMIFS('9'!$E:$E,'9'!$A:$A,Año_Inicial+3,'9'!$B:$B,'12'!BR$4,'9'!$D:$D,"Herbicida")</f>
        <v>0</v>
      </c>
      <c r="BT24" s="101">
        <f>((A4_A_L34*Herbicida_A)+(A4_B_L34*Herbicida_B)+(A4_C_L34*Herbicida_C)+(A4_D_L34*Herbicida_D)+(A4_Y_L34*Herbicida_Y))*Inflación_4</f>
        <v>0</v>
      </c>
      <c r="BU24" s="101">
        <f>SUMIFS('9'!$E:$E,'9'!$A:$A,Año_Inicial+3,'9'!$B:$B,'12'!BT$4,'9'!$D:$D,"Herbicida")</f>
        <v>0</v>
      </c>
      <c r="BV24" s="101">
        <f>((A4_A_L35*Herbicida_A)+(A4_B_L35*Herbicida_B)+(A4_C_L35*Herbicida_C)+(A4_D_L35*Herbicida_D)+(A4_Y_L35*Herbicida_Y))*Inflación_4</f>
        <v>0</v>
      </c>
      <c r="BW24" s="101">
        <f>SUMIFS('9'!$E:$E,'9'!$A:$A,Año_Inicial+3,'9'!$B:$B,'12'!BV$4,'9'!$D:$D,"Herbicida")</f>
        <v>0</v>
      </c>
      <c r="BX24" s="101">
        <f>((A4_A_L36*Herbicida_A)+(A4_B_L36*Herbicida_B)+(A4_C_L36*Herbicida_C)+(A4_D_L36*Herbicida_D)+(A4_Y_L36*Herbicida_Y))*Inflación_4</f>
        <v>0</v>
      </c>
      <c r="BY24" s="101">
        <f>SUMIFS('9'!$E:$E,'9'!$A:$A,Año_Inicial+3,'9'!$B:$B,'12'!BX$4,'9'!$D:$D,"Herbicida")</f>
        <v>0</v>
      </c>
      <c r="BZ24" s="101">
        <f>((A4_A_L37*Herbicida_A)+(A4_B_L37*Herbicida_B)+(A4_C_L37*Herbicida_C)+(A4_D_L37*Herbicida_D)+(A4_Y_L37*Herbicida_Y))*Inflación_4</f>
        <v>0</v>
      </c>
      <c r="CA24" s="101">
        <f>SUMIFS('9'!$E:$E,'9'!$A:$A,Año_Inicial+3,'9'!$B:$B,'12'!BZ$4,'9'!$D:$D,"Herbicida")</f>
        <v>0</v>
      </c>
      <c r="CB24" s="101">
        <f>((A4_A_L38*Herbicida_A)+(A4_B_L38*Herbicida_B)+(A4_C_L38*Herbicida_C)+(A4_D_L38*Herbicida_D)+(A4_Y_L38*Herbicida_Y))*Inflación_4</f>
        <v>0</v>
      </c>
      <c r="CC24" s="101">
        <f>SUMIFS('9'!$E:$E,'9'!$A:$A,Año_Inicial+3,'9'!$B:$B,'12'!CB$4,'9'!$D:$D,"Herbicida")</f>
        <v>0</v>
      </c>
      <c r="CD24" s="101">
        <f>((A4_A_L39*Herbicida_A)+(A4_B_L39*Herbicida_B)+(A4_C_L39*Herbicida_C)+(A4_D_L39*Herbicida_D)+(A4_Y_L39*Herbicida_Y))*Inflación_4</f>
        <v>0</v>
      </c>
      <c r="CE24" s="101">
        <f>SUMIFS('9'!$E:$E,'9'!$A:$A,Año_Inicial+3,'9'!$B:$B,'12'!CD$4,'9'!$D:$D,"Herbicida")</f>
        <v>0</v>
      </c>
      <c r="CF24" s="101">
        <f>((A4_A_L40*Herbicida_A)+(A4_B_L40*Herbicida_B)+(A4_C_L40*Herbicida_C)+(A4_D_L40*Herbicida_D)+(A4_Y_L40*Herbicida_Y))*Inflación_4</f>
        <v>0</v>
      </c>
      <c r="CG24" s="101">
        <f>SUMIFS('9'!$E:$E,'9'!$A:$A,Año_Inicial+3,'9'!$B:$B,'12'!CF$4,'9'!$D:$D,"Herbicida")</f>
        <v>0</v>
      </c>
      <c r="CH24" s="473"/>
      <c r="CI24" s="101">
        <f>Plantas_A_A4*Herbicida_A*Inflación_4</f>
        <v>0</v>
      </c>
      <c r="CJ24" s="101">
        <f>Plantas_B_A4*Herbicida_B</f>
        <v>0</v>
      </c>
      <c r="CK24" s="101">
        <f>Plantas_C_A4*Herbicida_C</f>
        <v>0</v>
      </c>
      <c r="CL24" s="101">
        <f>Plantas_D_A4*Herbicida_D</f>
        <v>0</v>
      </c>
      <c r="CM24" s="101"/>
      <c r="CN24" s="101">
        <f>Plantas_Y_A4*Herbicida_Y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SUMIFS('9'!$E:$E,'9'!$A:$A,Año_Inicial+3,'9'!$D:$D,"Prevención de plagas")</f>
        <v>0</v>
      </c>
      <c r="D26" s="100">
        <f t="shared" si="45"/>
        <v>0</v>
      </c>
      <c r="E26" s="473"/>
      <c r="F26" s="101">
        <f>((A4_A_L1*Plagas_A)+(A4_B_L1*Plagas_B)+(A4_C_L1*Plagas_C)+(A4_D_L1*Plagas_D)+(A4_Y_L1*Plagas_Y))*Inflación_4</f>
        <v>0</v>
      </c>
      <c r="G26" s="101">
        <f>SUMIFS('9'!$E:$E,'9'!$A:$A,Año_Inicial+3,'9'!$B:$B,'12'!F$4,'9'!$D:$D,"Prevención de plagas")</f>
        <v>0</v>
      </c>
      <c r="H26" s="101">
        <f>((A4_A_L2*Plagas_A)+(A4_B_L2*Plagas_B)+(A4_C_L2*Plagas_C)+(A4_D_L2*Plagas_D)+(A4_Y_L2*Plagas_Y))*Inflación_4</f>
        <v>0</v>
      </c>
      <c r="I26" s="101">
        <f>SUMIFS('9'!$E:$E,'9'!$A:$A,Año_Inicial+3,'9'!$B:$B,'12'!H$4,'9'!$D:$D,"Prevención de plagas")</f>
        <v>0</v>
      </c>
      <c r="J26" s="101">
        <f>((A4_A_L3*Plagas_A)+(A4_B_L3*Plagas_B)+(A4_C_L3*Plagas_C)+(A4_D_L3*Plagas_D)+(A4_Y_L3*Plagas_Y))*Inflación_4</f>
        <v>0</v>
      </c>
      <c r="K26" s="101">
        <f>SUMIFS('9'!$E:$E,'9'!$A:$A,Año_Inicial+3,'9'!$B:$B,'12'!J$4,'9'!$D:$D,"Prevención de plagas")</f>
        <v>0</v>
      </c>
      <c r="L26" s="101">
        <f>((A4_A_L4*Plagas_A)+(A4_B_L4*Plagas_B)+(A4_C_L4*Plagas_C)+(A4_D_L4*Plagas_D)+(A4_Y_L4*Plagas_Y))*Inflación_4</f>
        <v>0</v>
      </c>
      <c r="M26" s="101">
        <f>SUMIFS('9'!$E:$E,'9'!$A:$A,Año_Inicial+3,'9'!$B:$B,'12'!L$4,'9'!$D:$D,"Prevención de plagas")</f>
        <v>0</v>
      </c>
      <c r="N26" s="101">
        <f>((A4_A_L5*Plagas_A)+(A4_B_L5*Plagas_B)+(A4_C_L5*Plagas_C)+(A4_D_L5*Plagas_D)+(A4_Y_L5*Plagas_Y))*Inflación_4</f>
        <v>0</v>
      </c>
      <c r="O26" s="101">
        <f>SUMIFS('9'!$E:$E,'9'!$A:$A,Año_Inicial+3,'9'!$B:$B,'12'!N$4,'9'!$D:$D,"Prevención de plagas")</f>
        <v>0</v>
      </c>
      <c r="P26" s="101">
        <f>((A4_A_L6*Plagas_A)+(A4_B_L6*Plagas_B)+(A4_C_L6*Plagas_C)+(A4_D_L6*Plagas_D)+(A4_Y_L6*Plagas_Y))*Inflación_4</f>
        <v>0</v>
      </c>
      <c r="Q26" s="101">
        <f>SUMIFS('9'!$E:$E,'9'!$A:$A,Año_Inicial+3,'9'!$B:$B,'12'!P$4,'9'!$D:$D,"Prevención de plagas")</f>
        <v>0</v>
      </c>
      <c r="R26" s="101">
        <f>((A4_A_L7*Plagas_A)+(A4_B_L7*Plagas_B)+(A4_C_L7*Plagas_C)+(A4_D_L7*Plagas_D)+(A4_Y_L7*Plagas_Y))*Inflación_4</f>
        <v>0</v>
      </c>
      <c r="S26" s="101">
        <f>SUMIFS('9'!$E:$E,'9'!$A:$A,Año_Inicial+3,'9'!$B:$B,'12'!R$4,'9'!$D:$D,"Prevención de plagas")</f>
        <v>0</v>
      </c>
      <c r="T26" s="101">
        <f>((A4_A_L8*Plagas_A)+(A4_B_L8*Plagas_B)+(A4_C_L8*Plagas_C)+(A4_D_L8*Plagas_D)+(A4_Y_L8*Plagas_Y))*Inflación_4</f>
        <v>0</v>
      </c>
      <c r="U26" s="101">
        <f>SUMIFS('9'!$E:$E,'9'!$A:$A,Año_Inicial+3,'9'!$B:$B,'12'!T$4,'9'!$D:$D,"Prevención de plagas")</f>
        <v>0</v>
      </c>
      <c r="V26" s="101">
        <f>((A4_A_L9*Plagas_A)+(A4_B_L9*Plagas_B)+(A4_C_L9*Plagas_C)+(A4_D_L9*Plagas_D)+(A4_Y_L9*Plagas_Y))*Inflación_4</f>
        <v>0</v>
      </c>
      <c r="W26" s="101">
        <f>SUMIFS('9'!$E:$E,'9'!$A:$A,Año_Inicial+3,'9'!$B:$B,'12'!V$4,'9'!$D:$D,"Prevención de plagas")</f>
        <v>0</v>
      </c>
      <c r="X26" s="101">
        <f>((A4_A_L10*Plagas_A)+(A4_B_L10*Plagas_B)+(A4_C_L10*Plagas_C)+(A4_D_L10*Plagas_D)+(A4_Y_L10*Plagas_Y))*Inflación_4</f>
        <v>0</v>
      </c>
      <c r="Y26" s="101">
        <f>SUMIFS('9'!$E:$E,'9'!$A:$A,Año_Inicial+3,'9'!$B:$B,'12'!X$4,'9'!$D:$D,"Prevención de plagas")</f>
        <v>0</v>
      </c>
      <c r="Z26" s="101">
        <f>((A4_A_L11*Plagas_A)+(A4_B_L11*Plagas_B)+(A4_C_L11*Plagas_C)+(A4_D_L11*Plagas_D)+(A4_Y_L11*Plagas_Y))*Inflación_4</f>
        <v>0</v>
      </c>
      <c r="AA26" s="101">
        <f>SUMIFS('9'!$E:$E,'9'!$A:$A,Año_Inicial+3,'9'!$B:$B,'12'!Z$4,'9'!$D:$D,"Prevención de plagas")</f>
        <v>0</v>
      </c>
      <c r="AB26" s="101">
        <f>((A4_A_L12*Plagas_A)+(A4_B_L12*Plagas_B)+(A4_C_L12*Plagas_C)+(A4_D_L12*Plagas_D)+(A4_Y_L12*Plagas_Y))*Inflación_4</f>
        <v>0</v>
      </c>
      <c r="AC26" s="101">
        <f>SUMIFS('9'!$E:$E,'9'!$A:$A,Año_Inicial+3,'9'!$B:$B,'12'!AB$4,'9'!$D:$D,"Prevención de plagas")</f>
        <v>0</v>
      </c>
      <c r="AD26" s="101">
        <f>((A4_A_L13*Plagas_A)+(A4_B_L13*Plagas_B)+(A4_C_L13*Plagas_C)+(A4_D_L13*Plagas_D)+(A4_Y_L13*Plagas_Y))*Inflación_4</f>
        <v>0</v>
      </c>
      <c r="AE26" s="101">
        <f>SUMIFS('9'!$E:$E,'9'!$A:$A,Año_Inicial+3,'9'!$B:$B,'12'!AD$4,'9'!$D:$D,"Prevención de plagas")</f>
        <v>0</v>
      </c>
      <c r="AF26" s="101">
        <f>((A4_A_L14*Plagas_A)+(A4_B_L14*Plagas_B)+(A4_C_L14*Plagas_C)+(A4_D_L14*Plagas_D)+(A4_Y_L14*Plagas_Y))*Inflación_4</f>
        <v>0</v>
      </c>
      <c r="AG26" s="101">
        <f>SUMIFS('9'!$E:$E,'9'!$A:$A,Año_Inicial+3,'9'!$B:$B,'12'!AF$4,'9'!$D:$D,"Prevención de plagas")</f>
        <v>0</v>
      </c>
      <c r="AH26" s="101">
        <f>((A4_A_L15*Plagas_A)+(A4_B_L15*Plagas_B)+(A4_C_L15*Plagas_C)+(A4_D_L15*Plagas_D)+(A4_Y_L15*Plagas_Y))*Inflación_4</f>
        <v>0</v>
      </c>
      <c r="AI26" s="101">
        <f>SUMIFS('9'!$E:$E,'9'!$A:$A,Año_Inicial+3,'9'!$B:$B,'12'!AH$4,'9'!$D:$D,"Prevención de plagas")</f>
        <v>0</v>
      </c>
      <c r="AJ26" s="101">
        <f>((A4_A_L16*Plagas_A)+(A4_B_L16*Plagas_B)+(A4_C_L16*Plagas_C)+(A4_D_L16*Plagas_D)+(A4_Y_L16*Plagas_Y))*Inflación_4</f>
        <v>0</v>
      </c>
      <c r="AK26" s="101">
        <f>SUMIFS('9'!$E:$E,'9'!$A:$A,Año_Inicial+3,'9'!$B:$B,'12'!AJ$4,'9'!$D:$D,"Prevención de plagas")</f>
        <v>0</v>
      </c>
      <c r="AL26" s="101">
        <f>((A4_A_L17*Plagas_A)+(A4_B_L17*Plagas_B)+(A4_C_L17*Plagas_C)+(A4_D_L17*Plagas_D)+(A4_Y_L17*Plagas_Y))*Inflación_4</f>
        <v>0</v>
      </c>
      <c r="AM26" s="101">
        <f>SUMIFS('9'!$E:$E,'9'!$A:$A,Año_Inicial+3,'9'!$B:$B,'12'!AL$4,'9'!$D:$D,"Prevención de plagas")</f>
        <v>0</v>
      </c>
      <c r="AN26" s="101">
        <f>((A4_A_L18*Plagas_A)+(A4_B_L18*Plagas_B)+(A4_C_L18*Plagas_C)+(A4_D_L18*Plagas_D)+(A4_Y_L18*Plagas_Y))*Inflación_4</f>
        <v>0</v>
      </c>
      <c r="AO26" s="101">
        <f>SUMIFS('9'!$E:$E,'9'!$A:$A,Año_Inicial+3,'9'!$B:$B,'12'!AN$4,'9'!$D:$D,"Prevención de plagas")</f>
        <v>0</v>
      </c>
      <c r="AP26" s="101">
        <f>((A4_A_L19*Plagas_A)+(A4_B_L19*Plagas_B)+(A4_C_L19*Plagas_C)+(A4_D_L19*Plagas_D)+(A4_Y_L19*Plagas_Y))*Inflación_4</f>
        <v>0</v>
      </c>
      <c r="AQ26" s="101">
        <f>SUMIFS('9'!$E:$E,'9'!$A:$A,Año_Inicial+3,'9'!$B:$B,'12'!AP$4,'9'!$D:$D,"Prevención de plagas")</f>
        <v>0</v>
      </c>
      <c r="AR26" s="101">
        <f>((A4_A_L20*Plagas_A)+(A4_B_L20*Plagas_B)+(A4_C_L20*Plagas_C)+(A4_D_L20*Plagas_D)+(A4_Y_L20*Plagas_Y))*Inflación_4</f>
        <v>0</v>
      </c>
      <c r="AS26" s="101">
        <f>SUMIFS('9'!$E:$E,'9'!$A:$A,Año_Inicial+3,'9'!$B:$B,'12'!AR$4,'9'!$D:$D,"Prevención de plagas")</f>
        <v>0</v>
      </c>
      <c r="AT26" s="101">
        <f>((A4_A_L21*Plagas_A)+(A4_B_L21*Plagas_B)+(A4_C_L21*Plagas_C)+(A4_D_L21*Plagas_D)+(A4_Y_L21*Plagas_Y))*Inflación_4</f>
        <v>0</v>
      </c>
      <c r="AU26" s="101">
        <f>SUMIFS('9'!$E:$E,'9'!$A:$A,Año_Inicial+3,'9'!$B:$B,'12'!AT$4,'9'!$D:$D,"Prevención de plagas")</f>
        <v>0</v>
      </c>
      <c r="AV26" s="101">
        <f>((A4_A_L22*Plagas_A)+(A4_B_L22*Plagas_B)+(A4_C_L22*Plagas_C)+(A4_D_L22*Plagas_D)+(A4_Y_L22*Plagas_Y))*Inflación_4</f>
        <v>0</v>
      </c>
      <c r="AW26" s="101">
        <f>SUMIFS('9'!$E:$E,'9'!$A:$A,Año_Inicial+3,'9'!$B:$B,'12'!AV$4,'9'!$D:$D,"Prevención de plagas")</f>
        <v>0</v>
      </c>
      <c r="AX26" s="101">
        <f>((A4_A_L23*Plagas_A)+(A4_B_L23*Plagas_B)+(A4_C_L23*Plagas_C)+(A4_D_L23*Plagas_D)+(A4_Y_L23*Plagas_Y))*Inflación_4</f>
        <v>0</v>
      </c>
      <c r="AY26" s="101">
        <f>SUMIFS('9'!$E:$E,'9'!$A:$A,Año_Inicial+3,'9'!$B:$B,'12'!AX$4,'9'!$D:$D,"Prevención de plagas")</f>
        <v>0</v>
      </c>
      <c r="AZ26" s="101">
        <f>((A4_A_L24*Plagas_A)+(A4_B_L24*Plagas_B)+(A4_C_L24*Plagas_C)+(A4_D_L24*Plagas_D)+(A4_Y_L24*Plagas_Y))*Inflación_4</f>
        <v>0</v>
      </c>
      <c r="BA26" s="101">
        <f>SUMIFS('9'!$E:$E,'9'!$A:$A,Año_Inicial+3,'9'!$B:$B,'12'!AZ$4,'9'!$D:$D,"Prevención de plagas")</f>
        <v>0</v>
      </c>
      <c r="BB26" s="101">
        <f>((A4_A_L25*Plagas_A)+(A4_B_L25*Plagas_B)+(A4_C_L25*Plagas_C)+(A4_D_L25*Plagas_D)+(A4_Y_L25*Plagas_Y))*Inflación_4</f>
        <v>0</v>
      </c>
      <c r="BC26" s="101">
        <f>SUMIFS('9'!$E:$E,'9'!$A:$A,Año_Inicial+3,'9'!$B:$B,'12'!BB$4,'9'!$D:$D,"Prevención de plagas")</f>
        <v>0</v>
      </c>
      <c r="BD26" s="101">
        <f>((A4_A_L26*Plagas_A)+(A4_B_L26*Plagas_B)+(A4_C_L26*Plagas_C)+(A4_D_L26*Plagas_D)+(A4_Y_L26*Plagas_Y))*Inflación_4</f>
        <v>0</v>
      </c>
      <c r="BE26" s="101">
        <f>SUMIFS('9'!$E:$E,'9'!$A:$A,Año_Inicial+3,'9'!$B:$B,'12'!BD$4,'9'!$D:$D,"Prevención de plagas")</f>
        <v>0</v>
      </c>
      <c r="BF26" s="101">
        <f>((A4_A_L27*Plagas_A)+(A4_B_L27*Plagas_B)+(A4_C_L27*Plagas_C)+(A4_D_L27*Plagas_D)+(A4_Y_L27*Plagas_Y))*Inflación_4</f>
        <v>0</v>
      </c>
      <c r="BG26" s="101">
        <f>SUMIFS('9'!$E:$E,'9'!$A:$A,Año_Inicial+3,'9'!$B:$B,'12'!BF$4,'9'!$D:$D,"Prevención de plagas")</f>
        <v>0</v>
      </c>
      <c r="BH26" s="101">
        <f>((A4_A_L28*Plagas_A)+(A4_B_L28*Plagas_B)+(A4_C_L28*Plagas_C)+(A4_D_L28*Plagas_D)+(A4_Y_L28*Plagas_Y))*Inflación_4</f>
        <v>0</v>
      </c>
      <c r="BI26" s="101">
        <f>SUMIFS('9'!$E:$E,'9'!$A:$A,Año_Inicial+3,'9'!$B:$B,'12'!BH$4,'9'!$D:$D,"Prevención de plagas")</f>
        <v>0</v>
      </c>
      <c r="BJ26" s="101">
        <f>((A4_A_L29*Plagas_A)+(A4_B_L29*Plagas_B)+(A4_C_L29*Plagas_C)+(A4_D_L29*Plagas_D)+(A4_Y_L29*Plagas_Y))*Inflación_4</f>
        <v>0</v>
      </c>
      <c r="BK26" s="101">
        <f>SUMIFS('9'!$E:$E,'9'!$A:$A,Año_Inicial+3,'9'!$B:$B,'12'!BJ$4,'9'!$D:$D,"Prevención de plagas")</f>
        <v>0</v>
      </c>
      <c r="BL26" s="101">
        <f>((A4_A_L30*Plagas_A)+(A4_B_L30*Plagas_B)+(A4_C_L30*Plagas_C)+(A4_D_L30*Plagas_D)+(A4_Y_L30*Plagas_Y))*Inflación_4</f>
        <v>0</v>
      </c>
      <c r="BM26" s="101">
        <f>SUMIFS('9'!$E:$E,'9'!$A:$A,Año_Inicial+3,'9'!$B:$B,'12'!BL$4,'9'!$D:$D,"Prevención de plagas")</f>
        <v>0</v>
      </c>
      <c r="BN26" s="101">
        <f>((A4_A_L31*Plagas_A)+(A4_B_L31*Plagas_B)+(A4_C_L31*Plagas_C)+(A4_D_L31*Plagas_D)+(A4_Y_L31*Plagas_Y))*Inflación_4</f>
        <v>0</v>
      </c>
      <c r="BO26" s="101">
        <f>SUMIFS('9'!$E:$E,'9'!$A:$A,Año_Inicial+3,'9'!$B:$B,'12'!BN$4,'9'!$D:$D,"Prevención de plagas")</f>
        <v>0</v>
      </c>
      <c r="BP26" s="101">
        <f>((A4_A_L32*Plagas_A)+(A4_B_L32*Plagas_B)+(A4_C_L32*Plagas_C)+(A4_D_L32*Plagas_D)+(A4_Y_L32*Plagas_Y))*Inflación_4</f>
        <v>0</v>
      </c>
      <c r="BQ26" s="101">
        <f>SUMIFS('9'!$E:$E,'9'!$A:$A,Año_Inicial+3,'9'!$B:$B,'12'!BP$4,'9'!$D:$D,"Prevención de plagas")</f>
        <v>0</v>
      </c>
      <c r="BR26" s="101">
        <f>((A4_A_L33*Plagas_A)+(A4_B_L33*Plagas_B)+(A4_C_L33*Plagas_C)+(A4_D_L33*Plagas_D)+(A4_Y_L33*Plagas_Y))*Inflación_4</f>
        <v>0</v>
      </c>
      <c r="BS26" s="101">
        <f>SUMIFS('9'!$E:$E,'9'!$A:$A,Año_Inicial+3,'9'!$B:$B,'12'!BR$4,'9'!$D:$D,"Prevención de plagas")</f>
        <v>0</v>
      </c>
      <c r="BT26" s="101">
        <f>((A4_A_L34*Plagas_A)+(A4_B_L34*Plagas_B)+(A4_C_L34*Plagas_C)+(A4_D_L34*Plagas_D)+(A4_Y_L34*Plagas_Y))*Inflación_4</f>
        <v>0</v>
      </c>
      <c r="BU26" s="101">
        <f>SUMIFS('9'!$E:$E,'9'!$A:$A,Año_Inicial+3,'9'!$B:$B,'12'!BT$4,'9'!$D:$D,"Prevención de plagas")</f>
        <v>0</v>
      </c>
      <c r="BV26" s="101">
        <f>((A4_A_L35*Plagas_A)+(A4_B_L35*Plagas_B)+(A4_C_L35*Plagas_C)+(A4_D_L35*Plagas_D)+(A4_Y_L35*Plagas_Y))*Inflación_4</f>
        <v>0</v>
      </c>
      <c r="BW26" s="101">
        <f>SUMIFS('9'!$E:$E,'9'!$A:$A,Año_Inicial+3,'9'!$B:$B,'12'!BV$4,'9'!$D:$D,"Prevención de plagas")</f>
        <v>0</v>
      </c>
      <c r="BX26" s="101">
        <f>((A4_A_L36*Plagas_A)+(A4_B_L36*Plagas_B)+(A4_C_L36*Plagas_C)+(A4_D_L36*Plagas_D)+(A4_Y_L36*Plagas_Y))*Inflación_4</f>
        <v>0</v>
      </c>
      <c r="BY26" s="101">
        <f>SUMIFS('9'!$E:$E,'9'!$A:$A,Año_Inicial+3,'9'!$B:$B,'12'!BX$4,'9'!$D:$D,"Prevención de plagas")</f>
        <v>0</v>
      </c>
      <c r="BZ26" s="101">
        <f>((A4_A_L37*Plagas_A)+(A4_B_L37*Plagas_B)+(A4_C_L37*Plagas_C)+(A4_D_L37*Plagas_D)+(A4_Y_L37*Plagas_Y))*Inflación_4</f>
        <v>0</v>
      </c>
      <c r="CA26" s="101">
        <f>SUMIFS('9'!$E:$E,'9'!$A:$A,Año_Inicial+3,'9'!$B:$B,'12'!BZ$4,'9'!$D:$D,"Prevención de plagas")</f>
        <v>0</v>
      </c>
      <c r="CB26" s="101">
        <f>((A4_A_L38*Plagas_A)+(A4_B_L38*Plagas_B)+(A4_C_L38*Plagas_C)+(A4_D_L38*Plagas_D)+(A4_Y_L38*Plagas_Y))*Inflación_4</f>
        <v>0</v>
      </c>
      <c r="CC26" s="101">
        <f>SUMIFS('9'!$E:$E,'9'!$A:$A,Año_Inicial+3,'9'!$B:$B,'12'!CB$4,'9'!$D:$D,"Prevención de plagas")</f>
        <v>0</v>
      </c>
      <c r="CD26" s="101">
        <f>((A4_A_L39*Plagas_A)+(A4_B_L39*Plagas_B)+(A4_C_L39*Plagas_C)+(A4_D_L39*Plagas_D)+(A4_Y_L39*Plagas_Y))*Inflación_4</f>
        <v>0</v>
      </c>
      <c r="CE26" s="101">
        <f>SUMIFS('9'!$E:$E,'9'!$A:$A,Año_Inicial+3,'9'!$B:$B,'12'!CD$4,'9'!$D:$D,"Prevención de plagas")</f>
        <v>0</v>
      </c>
      <c r="CF26" s="101">
        <f>((A4_A_L40*Plagas_A)+(A4_B_L40*Plagas_B)+(A4_C_L40*Plagas_C)+(A4_D_L40*Plagas_D)+(A4_Y_L40*Plagas_Y))*Inflación_4</f>
        <v>0</v>
      </c>
      <c r="CG26" s="101">
        <f>SUMIFS('9'!$E:$E,'9'!$A:$A,Año_Inicial+3,'9'!$B:$B,'12'!CF$4,'9'!$D:$D,"Prevención de plagas")</f>
        <v>0</v>
      </c>
      <c r="CH26" s="473"/>
      <c r="CI26" s="101">
        <f>Plantas_A_A4*Plagas_A*Inflación_4</f>
        <v>0</v>
      </c>
      <c r="CJ26" s="101">
        <f>Plantas_B_A4*Plagas_B</f>
        <v>0</v>
      </c>
      <c r="CK26" s="101">
        <f>Plantas_C_A4*Plagas_C</f>
        <v>0</v>
      </c>
      <c r="CL26" s="101">
        <f>Plantas_D_A4*Plagas_D</f>
        <v>0</v>
      </c>
      <c r="CM26" s="101"/>
      <c r="CN26" s="101">
        <f>Plantas_Y_A4*Plagas_Y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SUMIFS('9'!$E:$E,'9'!$A:$A,Año_Inicial+3,'9'!$D:$D,"Insecticida")</f>
        <v>0</v>
      </c>
      <c r="D27" s="100">
        <f t="shared" si="45"/>
        <v>0</v>
      </c>
      <c r="E27" s="473"/>
      <c r="F27" s="101">
        <f>((A4_A_L1*Insecticida_A)+(A4_B_L1*Insecticida_B)+(A4_C_L1*Insecticida_C)+(A4_D_L1*Insecticida_D)+(A4_Y_L1*Insecticida_Y))*Inflación_4</f>
        <v>0</v>
      </c>
      <c r="G27" s="101">
        <f>SUMIFS('9'!$E:$E,'9'!$A:$A,Año_Inicial+3,'9'!$B:$B,'12'!F$4,'9'!$D:$D,"Insecticida")</f>
        <v>0</v>
      </c>
      <c r="H27" s="101">
        <f>((A4_A_L2*Insecticida_A)+(A4_B_L2*Insecticida_B)+(A4_C_L2*Insecticida_C)+(A4_D_L2*Insecticida_D)+(A4_Y_L2*Insecticida_Y))*Inflación_4</f>
        <v>0</v>
      </c>
      <c r="I27" s="101">
        <f>SUMIFS('9'!$E:$E,'9'!$A:$A,Año_Inicial+3,'9'!$B:$B,'12'!H$4,'9'!$D:$D,"Insecticida")</f>
        <v>0</v>
      </c>
      <c r="J27" s="101">
        <f>((A4_A_L3*Insecticida_A)+(A4_B_L3*Insecticida_B)+(A4_C_L3*Insecticida_C)+(A4_D_L3*Insecticida_D)+(A4_Y_L3*Insecticida_Y))*Inflación_4</f>
        <v>0</v>
      </c>
      <c r="K27" s="101">
        <f>SUMIFS('9'!$E:$E,'9'!$A:$A,Año_Inicial+3,'9'!$B:$B,'12'!J$4,'9'!$D:$D,"Insecticida")</f>
        <v>0</v>
      </c>
      <c r="L27" s="101">
        <f>((A4_A_L4*Insecticida_A)+(A4_B_L4*Insecticida_B)+(A4_C_L4*Insecticida_C)+(A4_D_L4*Insecticida_D)+(A4_Y_L4*Insecticida_Y))*Inflación_4</f>
        <v>0</v>
      </c>
      <c r="M27" s="101">
        <f>SUMIFS('9'!$E:$E,'9'!$A:$A,Año_Inicial+3,'9'!$B:$B,'12'!L$4,'9'!$D:$D,"Insecticida")</f>
        <v>0</v>
      </c>
      <c r="N27" s="101">
        <f>((A4_A_L5*Insecticida_A)+(A4_B_L5*Insecticida_B)+(A4_C_L5*Insecticida_C)+(A4_D_L5*Insecticida_D)+(A4_Y_L5*Insecticida_Y))*Inflación_4</f>
        <v>0</v>
      </c>
      <c r="O27" s="101">
        <f>SUMIFS('9'!$E:$E,'9'!$A:$A,Año_Inicial+3,'9'!$B:$B,'12'!N$4,'9'!$D:$D,"Insecticida")</f>
        <v>0</v>
      </c>
      <c r="P27" s="101">
        <f>((A4_A_L6*Insecticida_A)+(A4_B_L6*Insecticida_B)+(A4_C_L6*Insecticida_C)+(A4_D_L6*Insecticida_D)+(A4_Y_L6*Insecticida_Y))*Inflación_4</f>
        <v>0</v>
      </c>
      <c r="Q27" s="101">
        <f>SUMIFS('9'!$E:$E,'9'!$A:$A,Año_Inicial+3,'9'!$B:$B,'12'!P$4,'9'!$D:$D,"Insecticida")</f>
        <v>0</v>
      </c>
      <c r="R27" s="101">
        <f>((A4_A_L7*Insecticida_A)+(A4_B_L7*Insecticida_B)+(A4_C_L7*Insecticida_C)+(A4_D_L7*Insecticida_D)+(A4_Y_L7*Insecticida_Y))*Inflación_4</f>
        <v>0</v>
      </c>
      <c r="S27" s="101">
        <f>SUMIFS('9'!$E:$E,'9'!$A:$A,Año_Inicial+3,'9'!$B:$B,'12'!R$4,'9'!$D:$D,"Insecticida")</f>
        <v>0</v>
      </c>
      <c r="T27" s="101">
        <f>((A4_A_L8*Insecticida_A)+(A4_B_L8*Insecticida_B)+(A4_C_L8*Insecticida_C)+(A4_D_L8*Insecticida_D)+(A4_Y_L8*Insecticida_Y))*Inflación_4</f>
        <v>0</v>
      </c>
      <c r="U27" s="101">
        <f>SUMIFS('9'!$E:$E,'9'!$A:$A,Año_Inicial+3,'9'!$B:$B,'12'!T$4,'9'!$D:$D,"Insecticida")</f>
        <v>0</v>
      </c>
      <c r="V27" s="101">
        <f>((A4_A_L9*Insecticida_A)+(A4_B_L9*Insecticida_B)+(A4_C_L9*Insecticida_C)+(A4_D_L9*Insecticida_D)+(A4_Y_L9*Insecticida_Y))*Inflación_4</f>
        <v>0</v>
      </c>
      <c r="W27" s="101">
        <f>SUMIFS('9'!$E:$E,'9'!$A:$A,Año_Inicial+3,'9'!$B:$B,'12'!V$4,'9'!$D:$D,"Insecticida")</f>
        <v>0</v>
      </c>
      <c r="X27" s="101">
        <f>((A4_A_L10*Insecticida_A)+(A4_B_L10*Insecticida_B)+(A4_C_L10*Insecticida_C)+(A4_D_L10*Insecticida_D)+(A4_Y_L10*Insecticida_Y))*Inflación_4</f>
        <v>0</v>
      </c>
      <c r="Y27" s="101">
        <f>SUMIFS('9'!$E:$E,'9'!$A:$A,Año_Inicial+3,'9'!$B:$B,'12'!X$4,'9'!$D:$D,"Insecticida")</f>
        <v>0</v>
      </c>
      <c r="Z27" s="101">
        <f>((A4_A_L11*Insecticida_A)+(A4_B_L11*Insecticida_B)+(A4_C_L11*Insecticida_C)+(A4_D_L11*Insecticida_D)+(A4_Y_L11*Insecticida_Y))*Inflación_4</f>
        <v>0</v>
      </c>
      <c r="AA27" s="101">
        <f>SUMIFS('9'!$E:$E,'9'!$A:$A,Año_Inicial+3,'9'!$B:$B,'12'!Z$4,'9'!$D:$D,"Insecticida")</f>
        <v>0</v>
      </c>
      <c r="AB27" s="101">
        <f>((A4_A_L12*Insecticida_A)+(A4_B_L12*Insecticida_B)+(A4_C_L12*Insecticida_C)+(A4_D_L12*Insecticida_D)+(A4_Y_L12*Insecticida_Y))*Inflación_4</f>
        <v>0</v>
      </c>
      <c r="AC27" s="101">
        <f>SUMIFS('9'!$E:$E,'9'!$A:$A,Año_Inicial+3,'9'!$B:$B,'12'!AB$4,'9'!$D:$D,"Insecticida")</f>
        <v>0</v>
      </c>
      <c r="AD27" s="101">
        <f>((A4_A_L13*Insecticida_A)+(A4_B_L13*Insecticida_B)+(A4_C_L13*Insecticida_C)+(A4_D_L13*Insecticida_D)+(A4_Y_L13*Insecticida_Y))*Inflación_4</f>
        <v>0</v>
      </c>
      <c r="AE27" s="101">
        <f>SUMIFS('9'!$E:$E,'9'!$A:$A,Año_Inicial+3,'9'!$B:$B,'12'!AD$4,'9'!$D:$D,"Insecticida")</f>
        <v>0</v>
      </c>
      <c r="AF27" s="101">
        <f>((A4_A_L14*Insecticida_A)+(A4_B_L14*Insecticida_B)+(A4_C_L14*Insecticida_C)+(A4_D_L14*Insecticida_D)+(A4_Y_L14*Insecticida_Y))*Inflación_4</f>
        <v>0</v>
      </c>
      <c r="AG27" s="101">
        <f>SUMIFS('9'!$E:$E,'9'!$A:$A,Año_Inicial+3,'9'!$B:$B,'12'!AF$4,'9'!$D:$D,"Insecticida")</f>
        <v>0</v>
      </c>
      <c r="AH27" s="101">
        <f>((A4_A_L15*Insecticida_A)+(A4_B_L15*Insecticida_B)+(A4_C_L15*Insecticida_C)+(A4_D_L15*Insecticida_D)+(A4_Y_L15*Insecticida_Y))*Inflación_4</f>
        <v>0</v>
      </c>
      <c r="AI27" s="101">
        <f>SUMIFS('9'!$E:$E,'9'!$A:$A,Año_Inicial+3,'9'!$B:$B,'12'!AH$4,'9'!$D:$D,"Insecticida")</f>
        <v>0</v>
      </c>
      <c r="AJ27" s="101">
        <f>((A4_A_L16*Insecticida_A)+(A4_B_L16*Insecticida_B)+(A4_C_L16*Insecticida_C)+(A4_D_L16*Insecticida_D)+(A4_Y_L16*Insecticida_Y))*Inflación_4</f>
        <v>0</v>
      </c>
      <c r="AK27" s="101">
        <f>SUMIFS('9'!$E:$E,'9'!$A:$A,Año_Inicial+3,'9'!$B:$B,'12'!AJ$4,'9'!$D:$D,"Insecticida")</f>
        <v>0</v>
      </c>
      <c r="AL27" s="101">
        <f>((A4_A_L17*Insecticida_A)+(A4_B_L17*Insecticida_B)+(A4_C_L17*Insecticida_C)+(A4_D_L17*Insecticida_D)+(A4_Y_L17*Insecticida_Y))*Inflación_4</f>
        <v>0</v>
      </c>
      <c r="AM27" s="101">
        <f>SUMIFS('9'!$E:$E,'9'!$A:$A,Año_Inicial+3,'9'!$B:$B,'12'!AL$4,'9'!$D:$D,"Insecticida")</f>
        <v>0</v>
      </c>
      <c r="AN27" s="101">
        <f>((A4_A_L18*Insecticida_A)+(A4_B_L18*Insecticida_B)+(A4_C_L18*Insecticida_C)+(A4_D_L18*Insecticida_D)+(A4_Y_L18*Insecticida_Y))*Inflación_4</f>
        <v>0</v>
      </c>
      <c r="AO27" s="101">
        <f>SUMIFS('9'!$E:$E,'9'!$A:$A,Año_Inicial+3,'9'!$B:$B,'12'!AN$4,'9'!$D:$D,"Insecticida")</f>
        <v>0</v>
      </c>
      <c r="AP27" s="101">
        <f>((A4_A_L19*Insecticida_A)+(A4_B_L19*Insecticida_B)+(A4_C_L19*Insecticida_C)+(A4_D_L19*Insecticida_D)+(A4_Y_L19*Insecticida_Y))*Inflación_4</f>
        <v>0</v>
      </c>
      <c r="AQ27" s="101">
        <f>SUMIFS('9'!$E:$E,'9'!$A:$A,Año_Inicial+3,'9'!$B:$B,'12'!AP$4,'9'!$D:$D,"Insecticida")</f>
        <v>0</v>
      </c>
      <c r="AR27" s="101">
        <f>((A4_A_L20*Insecticida_A)+(A4_B_L20*Insecticida_B)+(A4_C_L20*Insecticida_C)+(A4_D_L20*Insecticida_D)+(A4_Y_L20*Insecticida_Y))*Inflación_4</f>
        <v>0</v>
      </c>
      <c r="AS27" s="101">
        <f>SUMIFS('9'!$E:$E,'9'!$A:$A,Año_Inicial+3,'9'!$B:$B,'12'!AR$4,'9'!$D:$D,"Insecticida")</f>
        <v>0</v>
      </c>
      <c r="AT27" s="101">
        <f>((A4_A_L21*Insecticida_A)+(A4_B_L21*Insecticida_B)+(A4_C_L21*Insecticida_C)+(A4_D_L21*Insecticida_D)+(A4_Y_L21*Insecticida_Y))*Inflación_4</f>
        <v>0</v>
      </c>
      <c r="AU27" s="101">
        <f>SUMIFS('9'!$E:$E,'9'!$A:$A,Año_Inicial+3,'9'!$B:$B,'12'!AT$4,'9'!$D:$D,"Insecticida")</f>
        <v>0</v>
      </c>
      <c r="AV27" s="101">
        <f>((A4_A_L22*Insecticida_A)+(A4_B_L22*Insecticida_B)+(A4_C_L22*Insecticida_C)+(A4_D_L22*Insecticida_D)+(A4_Y_L22*Insecticida_Y))*Inflación_4</f>
        <v>0</v>
      </c>
      <c r="AW27" s="101">
        <f>SUMIFS('9'!$E:$E,'9'!$A:$A,Año_Inicial+3,'9'!$B:$B,'12'!AV$4,'9'!$D:$D,"Insecticida")</f>
        <v>0</v>
      </c>
      <c r="AX27" s="101">
        <f>((A4_A_L23*Insecticida_A)+(A4_B_L23*Insecticida_B)+(A4_C_L23*Insecticida_C)+(A4_D_L23*Insecticida_D)+(A4_Y_L23*Insecticida_Y))*Inflación_4</f>
        <v>0</v>
      </c>
      <c r="AY27" s="101">
        <f>SUMIFS('9'!$E:$E,'9'!$A:$A,Año_Inicial+3,'9'!$B:$B,'12'!AX$4,'9'!$D:$D,"Insecticida")</f>
        <v>0</v>
      </c>
      <c r="AZ27" s="101">
        <f>((A4_A_L24*Insecticida_A)+(A4_B_L24*Insecticida_B)+(A4_C_L24*Insecticida_C)+(A4_D_L24*Insecticida_D)+(A4_Y_L24*Insecticida_Y))*Inflación_4</f>
        <v>0</v>
      </c>
      <c r="BA27" s="101">
        <f>SUMIFS('9'!$E:$E,'9'!$A:$A,Año_Inicial+3,'9'!$B:$B,'12'!AZ$4,'9'!$D:$D,"Insecticida")</f>
        <v>0</v>
      </c>
      <c r="BB27" s="101">
        <f>((A4_A_L25*Insecticida_A)+(A4_B_L25*Insecticida_B)+(A4_C_L25*Insecticida_C)+(A4_D_L25*Insecticida_D)+(A4_Y_L25*Insecticida_Y))*Inflación_4</f>
        <v>0</v>
      </c>
      <c r="BC27" s="101">
        <f>SUMIFS('9'!$E:$E,'9'!$A:$A,Año_Inicial+3,'9'!$B:$B,'12'!BB$4,'9'!$D:$D,"Insecticida")</f>
        <v>0</v>
      </c>
      <c r="BD27" s="101">
        <f>((A4_A_L26*Insecticida_A)+(A4_B_L26*Insecticida_B)+(A4_C_L26*Insecticida_C)+(A4_D_L26*Insecticida_D)+(A4_Y_L26*Insecticida_Y))*Inflación_4</f>
        <v>0</v>
      </c>
      <c r="BE27" s="101">
        <f>SUMIFS('9'!$E:$E,'9'!$A:$A,Año_Inicial+3,'9'!$B:$B,'12'!BD$4,'9'!$D:$D,"Insecticida")</f>
        <v>0</v>
      </c>
      <c r="BF27" s="101">
        <f>((A4_A_L27*Insecticida_A)+(A4_B_L27*Insecticida_B)+(A4_C_L27*Insecticida_C)+(A4_D_L27*Insecticida_D)+(A4_Y_L27*Insecticida_Y))*Inflación_4</f>
        <v>0</v>
      </c>
      <c r="BG27" s="101">
        <f>SUMIFS('9'!$E:$E,'9'!$A:$A,Año_Inicial+3,'9'!$B:$B,'12'!BF$4,'9'!$D:$D,"Insecticida")</f>
        <v>0</v>
      </c>
      <c r="BH27" s="101">
        <f>((A4_A_L28*Insecticida_A)+(A4_B_L28*Insecticida_B)+(A4_C_L28*Insecticida_C)+(A4_D_L28*Insecticida_D)+(A4_Y_L28*Insecticida_Y))*Inflación_4</f>
        <v>0</v>
      </c>
      <c r="BI27" s="101">
        <f>SUMIFS('9'!$E:$E,'9'!$A:$A,Año_Inicial+3,'9'!$B:$B,'12'!BH$4,'9'!$D:$D,"Insecticida")</f>
        <v>0</v>
      </c>
      <c r="BJ27" s="101">
        <f>((A4_A_L29*Insecticida_A)+(A4_B_L29*Insecticida_B)+(A4_C_L29*Insecticida_C)+(A4_D_L29*Insecticida_D)+(A4_Y_L29*Insecticida_Y))*Inflación_4</f>
        <v>0</v>
      </c>
      <c r="BK27" s="101">
        <f>SUMIFS('9'!$E:$E,'9'!$A:$A,Año_Inicial+3,'9'!$B:$B,'12'!BJ$4,'9'!$D:$D,"Insecticida")</f>
        <v>0</v>
      </c>
      <c r="BL27" s="101">
        <f>((A4_A_L30*Insecticida_A)+(A4_B_L30*Insecticida_B)+(A4_C_L30*Insecticida_C)+(A4_D_L30*Insecticida_D)+(A4_Y_L30*Insecticida_Y))*Inflación_4</f>
        <v>0</v>
      </c>
      <c r="BM27" s="101">
        <f>SUMIFS('9'!$E:$E,'9'!$A:$A,Año_Inicial+3,'9'!$B:$B,'12'!BL$4,'9'!$D:$D,"Insecticida")</f>
        <v>0</v>
      </c>
      <c r="BN27" s="101">
        <f>((A4_A_L31*Insecticida_A)+(A4_B_L31*Insecticida_B)+(A4_C_L31*Insecticida_C)+(A4_D_L31*Insecticida_D)+(A4_Y_L31*Insecticida_Y))*Inflación_4</f>
        <v>0</v>
      </c>
      <c r="BO27" s="101">
        <f>SUMIFS('9'!$E:$E,'9'!$A:$A,Año_Inicial+3,'9'!$B:$B,'12'!BN$4,'9'!$D:$D,"Insecticida")</f>
        <v>0</v>
      </c>
      <c r="BP27" s="101">
        <f>((A4_A_L32*Insecticida_A)+(A4_B_L32*Insecticida_B)+(A4_C_L32*Insecticida_C)+(A4_D_L32*Insecticida_D)+(A4_Y_L32*Insecticida_Y))*Inflación_4</f>
        <v>0</v>
      </c>
      <c r="BQ27" s="101">
        <f>SUMIFS('9'!$E:$E,'9'!$A:$A,Año_Inicial+3,'9'!$B:$B,'12'!BP$4,'9'!$D:$D,"Insecticida")</f>
        <v>0</v>
      </c>
      <c r="BR27" s="101">
        <f>((A4_A_L33*Insecticida_A)+(A4_B_L33*Insecticida_B)+(A4_C_L33*Insecticida_C)+(A4_D_L33*Insecticida_D)+(A4_Y_L33*Insecticida_Y))*Inflación_4</f>
        <v>0</v>
      </c>
      <c r="BS27" s="101">
        <f>SUMIFS('9'!$E:$E,'9'!$A:$A,Año_Inicial+3,'9'!$B:$B,'12'!BR$4,'9'!$D:$D,"Insecticida")</f>
        <v>0</v>
      </c>
      <c r="BT27" s="101">
        <f>((A4_A_L34*Insecticida_A)+(A4_B_L34*Insecticida_B)+(A4_C_L34*Insecticida_C)+(A4_D_L34*Insecticida_D)+(A4_Y_L34*Insecticida_Y))*Inflación_4</f>
        <v>0</v>
      </c>
      <c r="BU27" s="101">
        <f>SUMIFS('9'!$E:$E,'9'!$A:$A,Año_Inicial+3,'9'!$B:$B,'12'!BT$4,'9'!$D:$D,"Insecticida")</f>
        <v>0</v>
      </c>
      <c r="BV27" s="101">
        <f>((A4_A_L35*Insecticida_A)+(A4_B_L35*Insecticida_B)+(A4_C_L35*Insecticida_C)+(A4_D_L35*Insecticida_D)+(A4_Y_L35*Insecticida_Y))*Inflación_4</f>
        <v>0</v>
      </c>
      <c r="BW27" s="101">
        <f>SUMIFS('9'!$E:$E,'9'!$A:$A,Año_Inicial+3,'9'!$B:$B,'12'!BV$4,'9'!$D:$D,"Insecticida")</f>
        <v>0</v>
      </c>
      <c r="BX27" s="101">
        <f>((A4_A_L36*Insecticida_A)+(A4_B_L36*Insecticida_B)+(A4_C_L36*Insecticida_C)+(A4_D_L36*Insecticida_D)+(A4_Y_L36*Insecticida_Y))*Inflación_4</f>
        <v>0</v>
      </c>
      <c r="BY27" s="101">
        <f>SUMIFS('9'!$E:$E,'9'!$A:$A,Año_Inicial+3,'9'!$B:$B,'12'!BX$4,'9'!$D:$D,"Insecticida")</f>
        <v>0</v>
      </c>
      <c r="BZ27" s="101">
        <f>((A4_A_L37*Insecticida_A)+(A4_B_L37*Insecticida_B)+(A4_C_L37*Insecticida_C)+(A4_D_L37*Insecticida_D)+(A4_Y_L37*Insecticida_Y))*Inflación_4</f>
        <v>0</v>
      </c>
      <c r="CA27" s="101">
        <f>SUMIFS('9'!$E:$E,'9'!$A:$A,Año_Inicial+3,'9'!$B:$B,'12'!BZ$4,'9'!$D:$D,"Insecticida")</f>
        <v>0</v>
      </c>
      <c r="CB27" s="101">
        <f>((A4_A_L38*Insecticida_A)+(A4_B_L38*Insecticida_B)+(A4_C_L38*Insecticida_C)+(A4_D_L38*Insecticida_D)+(A4_Y_L38*Insecticida_Y))*Inflación_4</f>
        <v>0</v>
      </c>
      <c r="CC27" s="101">
        <f>SUMIFS('9'!$E:$E,'9'!$A:$A,Año_Inicial+3,'9'!$B:$B,'12'!CB$4,'9'!$D:$D,"Insecticida")</f>
        <v>0</v>
      </c>
      <c r="CD27" s="101">
        <f>((A4_A_L39*Insecticida_A)+(A4_B_L39*Insecticida_B)+(A4_C_L39*Insecticida_C)+(A4_D_L39*Insecticida_D)+(A4_Y_L39*Insecticida_Y))*Inflación_4</f>
        <v>0</v>
      </c>
      <c r="CE27" s="101">
        <f>SUMIFS('9'!$E:$E,'9'!$A:$A,Año_Inicial+3,'9'!$B:$B,'12'!CD$4,'9'!$D:$D,"Insecticida")</f>
        <v>0</v>
      </c>
      <c r="CF27" s="101">
        <f>((A4_A_L40*Insecticida_A)+(A4_B_L40*Insecticida_B)+(A4_C_L40*Insecticida_C)+(A4_D_L40*Insecticida_D)+(A4_Y_L40*Insecticida_Y))*Inflación_4</f>
        <v>0</v>
      </c>
      <c r="CG27" s="101">
        <f>SUMIFS('9'!$E:$E,'9'!$A:$A,Año_Inicial+3,'9'!$B:$B,'12'!CF$4,'9'!$D:$D,"Insecticida")</f>
        <v>0</v>
      </c>
      <c r="CH27" s="473"/>
      <c r="CI27" s="101">
        <f>Plantas_A_A4*Insecticida_A*Inflación_4</f>
        <v>0</v>
      </c>
      <c r="CJ27" s="101">
        <f>Plantas_B_A4*Insecticida_B</f>
        <v>0</v>
      </c>
      <c r="CK27" s="101">
        <f>Plantas_C_A4*Insecticida_C</f>
        <v>0</v>
      </c>
      <c r="CL27" s="101">
        <f>Plantas_D_A4*Insecticida_D</f>
        <v>0</v>
      </c>
      <c r="CM27" s="101"/>
      <c r="CN27" s="101">
        <f>Plantas_Y_A4*Insecticida_Y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SUMIFS('9'!$E:$E,'9'!$A:$A,Año_Inicial+3,'9'!$D:$D,"Prevención de enfermedades")</f>
        <v>0</v>
      </c>
      <c r="D29" s="100">
        <f t="shared" si="45"/>
        <v>0</v>
      </c>
      <c r="E29" s="473"/>
      <c r="F29" s="101">
        <f>((A4_A_L1*Enfermedades_A)+(A4_B_L1*Enfermedades_B)+(A4_C_L1*Enfermedades_C)+(A4_D_L1*Enfermedades_D)+(A4_Y_L1*Enfermedades_Y))*Inflación_4</f>
        <v>0</v>
      </c>
      <c r="G29" s="101">
        <f>SUMIFS('9'!$E:$E,'9'!$A:$A,Año_Inicial+3,'9'!$B:$B,'12'!F$4,'9'!$D:$D,"Prevención de enfermedades")</f>
        <v>0</v>
      </c>
      <c r="H29" s="101">
        <f>((A4_A_L2*Enfermedades_A)+(A4_B_L2*Enfermedades_B)+(A4_C_L2*Enfermedades_C)+(A4_D_L2*Enfermedades_D)+(A4_Y_L2*Enfermedades_Y))*Inflación_4</f>
        <v>0</v>
      </c>
      <c r="I29" s="101">
        <f>SUMIFS('9'!$E:$E,'9'!$A:$A,Año_Inicial+3,'9'!$B:$B,'12'!H$4,'9'!$D:$D,"Prevención de enfermedades")</f>
        <v>0</v>
      </c>
      <c r="J29" s="101">
        <f>((A4_A_L3*Enfermedades_A)+(A4_B_L3*Enfermedades_B)+(A4_C_L3*Enfermedades_C)+(A4_D_L3*Enfermedades_D)+(A4_Y_L3*Enfermedades_Y))*Inflación_4</f>
        <v>0</v>
      </c>
      <c r="K29" s="101">
        <f>SUMIFS('9'!$E:$E,'9'!$A:$A,Año_Inicial+3,'9'!$B:$B,'12'!J$4,'9'!$D:$D,"Prevención de enfermedades")</f>
        <v>0</v>
      </c>
      <c r="L29" s="101">
        <f>((A4_A_L4*Enfermedades_A)+(A4_B_L4*Enfermedades_B)+(A4_C_L4*Enfermedades_C)+(A4_D_L4*Enfermedades_D)+(A4_Y_L4*Enfermedades_Y))*Inflación_4</f>
        <v>0</v>
      </c>
      <c r="M29" s="101">
        <f>SUMIFS('9'!$E:$E,'9'!$A:$A,Año_Inicial+3,'9'!$B:$B,'12'!L$4,'9'!$D:$D,"Prevención de enfermedades")</f>
        <v>0</v>
      </c>
      <c r="N29" s="101">
        <f>((A4_A_L5*Enfermedades_A)+(A4_B_L5*Enfermedades_B)+(A4_C_L5*Enfermedades_C)+(A4_D_L5*Enfermedades_D)+(A4_Y_L5*Enfermedades_Y))*Inflación_4</f>
        <v>0</v>
      </c>
      <c r="O29" s="101">
        <f>SUMIFS('9'!$E:$E,'9'!$A:$A,Año_Inicial+3,'9'!$B:$B,'12'!N$4,'9'!$D:$D,"Prevención de enfermedades")</f>
        <v>0</v>
      </c>
      <c r="P29" s="101">
        <f>((A4_A_L6*Enfermedades_A)+(A4_B_L6*Enfermedades_B)+(A4_C_L6*Enfermedades_C)+(A4_D_L6*Enfermedades_D)+(A4_Y_L6*Enfermedades_Y))*Inflación_4</f>
        <v>0</v>
      </c>
      <c r="Q29" s="101">
        <f>SUMIFS('9'!$E:$E,'9'!$A:$A,Año_Inicial+3,'9'!$B:$B,'12'!P$4,'9'!$D:$D,"Prevención de enfermedades")</f>
        <v>0</v>
      </c>
      <c r="R29" s="101">
        <f>((A4_A_L7*Enfermedades_A)+(A4_B_L7*Enfermedades_B)+(A4_C_L7*Enfermedades_C)+(A4_D_L7*Enfermedades_D)+(A4_Y_L7*Enfermedades_Y))*Inflación_4</f>
        <v>0</v>
      </c>
      <c r="S29" s="101">
        <f>SUMIFS('9'!$E:$E,'9'!$A:$A,Año_Inicial+3,'9'!$B:$B,'12'!R$4,'9'!$D:$D,"Prevención de enfermedades")</f>
        <v>0</v>
      </c>
      <c r="T29" s="101">
        <f>((A4_A_L8*Enfermedades_A)+(A4_B_L8*Enfermedades_B)+(A4_C_L8*Enfermedades_C)+(A4_D_L8*Enfermedades_D)+(A4_Y_L8*Enfermedades_Y))*Inflación_4</f>
        <v>0</v>
      </c>
      <c r="U29" s="101">
        <f>SUMIFS('9'!$E:$E,'9'!$A:$A,Año_Inicial+3,'9'!$B:$B,'12'!T$4,'9'!$D:$D,"Prevención de enfermedades")</f>
        <v>0</v>
      </c>
      <c r="V29" s="101">
        <f>((A4_A_L9*Enfermedades_A)+(A4_B_L9*Enfermedades_B)+(A4_C_L9*Enfermedades_C)+(A4_D_L9*Enfermedades_D)+(A4_Y_L9*Enfermedades_Y))*Inflación_4</f>
        <v>0</v>
      </c>
      <c r="W29" s="101">
        <f>SUMIFS('9'!$E:$E,'9'!$A:$A,Año_Inicial+3,'9'!$B:$B,'12'!V$4,'9'!$D:$D,"Prevención de enfermedades")</f>
        <v>0</v>
      </c>
      <c r="X29" s="101">
        <f>((A4_A_L10*Enfermedades_A)+(A4_B_L10*Enfermedades_B)+(A4_C_L10*Enfermedades_C)+(A4_D_L10*Enfermedades_D)+(A4_Y_L10*Enfermedades_Y))*Inflación_4</f>
        <v>0</v>
      </c>
      <c r="Y29" s="101">
        <f>SUMIFS('9'!$E:$E,'9'!$A:$A,Año_Inicial+3,'9'!$B:$B,'12'!X$4,'9'!$D:$D,"Prevención de enfermedades")</f>
        <v>0</v>
      </c>
      <c r="Z29" s="101">
        <f>((A4_A_L11*Enfermedades_A)+(A4_B_L11*Enfermedades_B)+(A4_C_L11*Enfermedades_C)+(A4_D_L11*Enfermedades_D)+(A4_Y_L11*Enfermedades_Y))*Inflación_4</f>
        <v>0</v>
      </c>
      <c r="AA29" s="101">
        <f>SUMIFS('9'!$E:$E,'9'!$A:$A,Año_Inicial+3,'9'!$B:$B,'12'!Z$4,'9'!$D:$D,"Prevención de enfermedades")</f>
        <v>0</v>
      </c>
      <c r="AB29" s="101">
        <f>((A4_A_L12*Enfermedades_A)+(A4_B_L12*Enfermedades_B)+(A4_C_L12*Enfermedades_C)+(A4_D_L12*Enfermedades_D)+(A4_Y_L12*Enfermedades_Y))*Inflación_4</f>
        <v>0</v>
      </c>
      <c r="AC29" s="101">
        <f>SUMIFS('9'!$E:$E,'9'!$A:$A,Año_Inicial+3,'9'!$B:$B,'12'!AB$4,'9'!$D:$D,"Prevención de enfermedades")</f>
        <v>0</v>
      </c>
      <c r="AD29" s="101">
        <f>((A4_A_L13*Enfermedades_A)+(A4_B_L13*Enfermedades_B)+(A4_C_L13*Enfermedades_C)+(A4_D_L13*Enfermedades_D)+(A4_Y_L13*Enfermedades_Y))*Inflación_4</f>
        <v>0</v>
      </c>
      <c r="AE29" s="101">
        <f>SUMIFS('9'!$E:$E,'9'!$A:$A,Año_Inicial+3,'9'!$B:$B,'12'!AD$4,'9'!$D:$D,"Prevención de enfermedades")</f>
        <v>0</v>
      </c>
      <c r="AF29" s="101">
        <f>((A4_A_L14*Enfermedades_A)+(A4_B_L14*Enfermedades_B)+(A4_C_L14*Enfermedades_C)+(A4_D_L14*Enfermedades_D)+(A4_Y_L14*Enfermedades_Y))*Inflación_4</f>
        <v>0</v>
      </c>
      <c r="AG29" s="101">
        <f>SUMIFS('9'!$E:$E,'9'!$A:$A,Año_Inicial+3,'9'!$B:$B,'12'!AF$4,'9'!$D:$D,"Prevención de enfermedades")</f>
        <v>0</v>
      </c>
      <c r="AH29" s="101">
        <f>((A4_A_L15*Enfermedades_A)+(A4_B_L15*Enfermedades_B)+(A4_C_L15*Enfermedades_C)+(A4_D_L15*Enfermedades_D)+(A4_Y_L15*Enfermedades_Y))*Inflación_4</f>
        <v>0</v>
      </c>
      <c r="AI29" s="101">
        <f>SUMIFS('9'!$E:$E,'9'!$A:$A,Año_Inicial+3,'9'!$B:$B,'12'!AH$4,'9'!$D:$D,"Prevención de enfermedades")</f>
        <v>0</v>
      </c>
      <c r="AJ29" s="101">
        <f>((A4_A_L16*Enfermedades_A)+(A4_B_L16*Enfermedades_B)+(A4_C_L16*Enfermedades_C)+(A4_D_L16*Enfermedades_D)+(A4_Y_L16*Enfermedades_Y))*Inflación_4</f>
        <v>0</v>
      </c>
      <c r="AK29" s="101">
        <f>SUMIFS('9'!$E:$E,'9'!$A:$A,Año_Inicial+3,'9'!$B:$B,'12'!AJ$4,'9'!$D:$D,"Prevención de enfermedades")</f>
        <v>0</v>
      </c>
      <c r="AL29" s="101">
        <f>((A4_A_L17*Enfermedades_A)+(A4_B_L17*Enfermedades_B)+(A4_C_L17*Enfermedades_C)+(A4_D_L17*Enfermedades_D)+(A4_Y_L17*Enfermedades_Y))*Inflación_4</f>
        <v>0</v>
      </c>
      <c r="AM29" s="101">
        <f>SUMIFS('9'!$E:$E,'9'!$A:$A,Año_Inicial+3,'9'!$B:$B,'12'!AL$4,'9'!$D:$D,"Prevención de enfermedades")</f>
        <v>0</v>
      </c>
      <c r="AN29" s="101">
        <f>((A4_A_L18*Enfermedades_A)+(A4_B_L18*Enfermedades_B)+(A4_C_L18*Enfermedades_C)+(A4_D_L18*Enfermedades_D)+(A4_Y_L18*Enfermedades_Y))*Inflación_4</f>
        <v>0</v>
      </c>
      <c r="AO29" s="101">
        <f>SUMIFS('9'!$E:$E,'9'!$A:$A,Año_Inicial+3,'9'!$B:$B,'12'!AN$4,'9'!$D:$D,"Prevención de enfermedades")</f>
        <v>0</v>
      </c>
      <c r="AP29" s="101">
        <f>((A4_A_L19*Enfermedades_A)+(A4_B_L19*Enfermedades_B)+(A4_C_L19*Enfermedades_C)+(A4_D_L19*Enfermedades_D)+(A4_Y_L19*Enfermedades_Y))*Inflación_4</f>
        <v>0</v>
      </c>
      <c r="AQ29" s="101">
        <f>SUMIFS('9'!$E:$E,'9'!$A:$A,Año_Inicial+3,'9'!$B:$B,'12'!AP$4,'9'!$D:$D,"Prevención de enfermedades")</f>
        <v>0</v>
      </c>
      <c r="AR29" s="101">
        <f>((A4_A_L20*Enfermedades_A)+(A4_B_L20*Enfermedades_B)+(A4_C_L20*Enfermedades_C)+(A4_D_L20*Enfermedades_D)+(A4_Y_L20*Enfermedades_Y))*Inflación_4</f>
        <v>0</v>
      </c>
      <c r="AS29" s="101">
        <f>SUMIFS('9'!$E:$E,'9'!$A:$A,Año_Inicial+3,'9'!$B:$B,'12'!AR$4,'9'!$D:$D,"Prevención de enfermedades")</f>
        <v>0</v>
      </c>
      <c r="AT29" s="101">
        <f>((A4_A_L21*Enfermedades_A)+(A4_B_L21*Enfermedades_B)+(A4_C_L21*Enfermedades_C)+(A4_D_L21*Enfermedades_D)+(A4_Y_L21*Enfermedades_Y))*Inflación_4</f>
        <v>0</v>
      </c>
      <c r="AU29" s="101">
        <f>SUMIFS('9'!$E:$E,'9'!$A:$A,Año_Inicial+3,'9'!$B:$B,'12'!AT$4,'9'!$D:$D,"Prevención de enfermedades")</f>
        <v>0</v>
      </c>
      <c r="AV29" s="101">
        <f>((A4_A_L22*Enfermedades_A)+(A4_B_L22*Enfermedades_B)+(A4_C_L22*Enfermedades_C)+(A4_D_L22*Enfermedades_D)+(A4_Y_L22*Enfermedades_Y))*Inflación_4</f>
        <v>0</v>
      </c>
      <c r="AW29" s="101">
        <f>SUMIFS('9'!$E:$E,'9'!$A:$A,Año_Inicial+3,'9'!$B:$B,'12'!AV$4,'9'!$D:$D,"Prevención de enfermedades")</f>
        <v>0</v>
      </c>
      <c r="AX29" s="101">
        <f>((A4_A_L23*Enfermedades_A)+(A4_B_L23*Enfermedades_B)+(A4_C_L23*Enfermedades_C)+(A4_D_L23*Enfermedades_D)+(A4_Y_L23*Enfermedades_Y))*Inflación_4</f>
        <v>0</v>
      </c>
      <c r="AY29" s="101">
        <f>SUMIFS('9'!$E:$E,'9'!$A:$A,Año_Inicial+3,'9'!$B:$B,'12'!AX$4,'9'!$D:$D,"Prevención de enfermedades")</f>
        <v>0</v>
      </c>
      <c r="AZ29" s="101">
        <f>((A4_A_L24*Enfermedades_A)+(A4_B_L24*Enfermedades_B)+(A4_C_L24*Enfermedades_C)+(A4_D_L24*Enfermedades_D)+(A4_Y_L24*Enfermedades_Y))*Inflación_4</f>
        <v>0</v>
      </c>
      <c r="BA29" s="101">
        <f>SUMIFS('9'!$E:$E,'9'!$A:$A,Año_Inicial+3,'9'!$B:$B,'12'!AZ$4,'9'!$D:$D,"Prevención de enfermedades")</f>
        <v>0</v>
      </c>
      <c r="BB29" s="101">
        <f>((A4_A_L25*Enfermedades_A)+(A4_B_L25*Enfermedades_B)+(A4_C_L25*Enfermedades_C)+(A4_D_L25*Enfermedades_D)+(A4_Y_L25*Enfermedades_Y))*Inflación_4</f>
        <v>0</v>
      </c>
      <c r="BC29" s="101">
        <f>SUMIFS('9'!$E:$E,'9'!$A:$A,Año_Inicial+3,'9'!$B:$B,'12'!BB$4,'9'!$D:$D,"Prevención de enfermedades")</f>
        <v>0</v>
      </c>
      <c r="BD29" s="101">
        <f>((A4_A_L26*Enfermedades_A)+(A4_B_L26*Enfermedades_B)+(A4_C_L26*Enfermedades_C)+(A4_D_L26*Enfermedades_D)+(A4_Y_L26*Enfermedades_Y))*Inflación_4</f>
        <v>0</v>
      </c>
      <c r="BE29" s="101">
        <f>SUMIFS('9'!$E:$E,'9'!$A:$A,Año_Inicial+3,'9'!$B:$B,'12'!BD$4,'9'!$D:$D,"Prevención de enfermedades")</f>
        <v>0</v>
      </c>
      <c r="BF29" s="101">
        <f>((A4_A_L27*Enfermedades_A)+(A4_B_L27*Enfermedades_B)+(A4_C_L27*Enfermedades_C)+(A4_D_L27*Enfermedades_D)+(A4_Y_L27*Enfermedades_Y))*Inflación_4</f>
        <v>0</v>
      </c>
      <c r="BG29" s="101">
        <f>SUMIFS('9'!$E:$E,'9'!$A:$A,Año_Inicial+3,'9'!$B:$B,'12'!BF$4,'9'!$D:$D,"Prevención de enfermedades")</f>
        <v>0</v>
      </c>
      <c r="BH29" s="101">
        <f>((A4_A_L28*Enfermedades_A)+(A4_B_L28*Enfermedades_B)+(A4_C_L28*Enfermedades_C)+(A4_D_L28*Enfermedades_D)+(A4_Y_L28*Enfermedades_Y))*Inflación_4</f>
        <v>0</v>
      </c>
      <c r="BI29" s="101">
        <f>SUMIFS('9'!$E:$E,'9'!$A:$A,Año_Inicial+3,'9'!$B:$B,'12'!BH$4,'9'!$D:$D,"Prevención de enfermedades")</f>
        <v>0</v>
      </c>
      <c r="BJ29" s="101">
        <f>((A4_A_L29*Enfermedades_A)+(A4_B_L29*Enfermedades_B)+(A4_C_L29*Enfermedades_C)+(A4_D_L29*Enfermedades_D)+(A4_Y_L29*Enfermedades_Y))*Inflación_4</f>
        <v>0</v>
      </c>
      <c r="BK29" s="101">
        <f>SUMIFS('9'!$E:$E,'9'!$A:$A,Año_Inicial+3,'9'!$B:$B,'12'!BJ$4,'9'!$D:$D,"Prevención de enfermedades")</f>
        <v>0</v>
      </c>
      <c r="BL29" s="101">
        <f>((A4_A_L30*Enfermedades_A)+(A4_B_L30*Enfermedades_B)+(A4_C_L30*Enfermedades_C)+(A4_D_L30*Enfermedades_D)+(A4_Y_L30*Enfermedades_Y))*Inflación_4</f>
        <v>0</v>
      </c>
      <c r="BM29" s="101">
        <f>SUMIFS('9'!$E:$E,'9'!$A:$A,Año_Inicial+3,'9'!$B:$B,'12'!BL$4,'9'!$D:$D,"Prevención de enfermedades")</f>
        <v>0</v>
      </c>
      <c r="BN29" s="101">
        <f>((A4_A_L31*Enfermedades_A)+(A4_B_L31*Enfermedades_B)+(A4_C_L31*Enfermedades_C)+(A4_D_L31*Enfermedades_D)+(A4_Y_L31*Enfermedades_Y))*Inflación_4</f>
        <v>0</v>
      </c>
      <c r="BO29" s="101">
        <f>SUMIFS('9'!$E:$E,'9'!$A:$A,Año_Inicial+3,'9'!$B:$B,'12'!BN$4,'9'!$D:$D,"Prevención de enfermedades")</f>
        <v>0</v>
      </c>
      <c r="BP29" s="101">
        <f>((A4_A_L32*Enfermedades_A)+(A4_B_L32*Enfermedades_B)+(A4_C_L32*Enfermedades_C)+(A4_D_L32*Enfermedades_D)+(A4_Y_L32*Enfermedades_Y))*Inflación_4</f>
        <v>0</v>
      </c>
      <c r="BQ29" s="101">
        <f>SUMIFS('9'!$E:$E,'9'!$A:$A,Año_Inicial+3,'9'!$B:$B,'12'!BP$4,'9'!$D:$D,"Prevención de enfermedades")</f>
        <v>0</v>
      </c>
      <c r="BR29" s="101">
        <f>((A4_A_L33*Enfermedades_A)+(A4_B_L33*Enfermedades_B)+(A4_C_L33*Enfermedades_C)+(A4_D_L33*Enfermedades_D)+(A4_Y_L33*Enfermedades_Y))*Inflación_4</f>
        <v>0</v>
      </c>
      <c r="BS29" s="101">
        <f>SUMIFS('9'!$E:$E,'9'!$A:$A,Año_Inicial+3,'9'!$B:$B,'12'!BR$4,'9'!$D:$D,"Prevención de enfermedades")</f>
        <v>0</v>
      </c>
      <c r="BT29" s="101">
        <f>((A4_A_L34*Enfermedades_A)+(A4_B_L34*Enfermedades_B)+(A4_C_L34*Enfermedades_C)+(A4_D_L34*Enfermedades_D)+(A4_Y_L34*Enfermedades_Y))*Inflación_4</f>
        <v>0</v>
      </c>
      <c r="BU29" s="101">
        <f>SUMIFS('9'!$E:$E,'9'!$A:$A,Año_Inicial+3,'9'!$B:$B,'12'!BT$4,'9'!$D:$D,"Prevención de enfermedades")</f>
        <v>0</v>
      </c>
      <c r="BV29" s="101">
        <f>((A4_A_L35*Enfermedades_A)+(A4_B_L35*Enfermedades_B)+(A4_C_L35*Enfermedades_C)+(A4_D_L35*Enfermedades_D)+(A4_Y_L35*Enfermedades_Y))*Inflación_4</f>
        <v>0</v>
      </c>
      <c r="BW29" s="101">
        <f>SUMIFS('9'!$E:$E,'9'!$A:$A,Año_Inicial+3,'9'!$B:$B,'12'!BV$4,'9'!$D:$D,"Prevención de enfermedades")</f>
        <v>0</v>
      </c>
      <c r="BX29" s="101">
        <f>((A4_A_L36*Enfermedades_A)+(A4_B_L36*Enfermedades_B)+(A4_C_L36*Enfermedades_C)+(A4_D_L36*Enfermedades_D)+(A4_Y_L36*Enfermedades_Y))*Inflación_4</f>
        <v>0</v>
      </c>
      <c r="BY29" s="101">
        <f>SUMIFS('9'!$E:$E,'9'!$A:$A,Año_Inicial+3,'9'!$B:$B,'12'!BX$4,'9'!$D:$D,"Prevención de enfermedades")</f>
        <v>0</v>
      </c>
      <c r="BZ29" s="101">
        <f>((A4_A_L37*Enfermedades_A)+(A4_B_L37*Enfermedades_B)+(A4_C_L37*Enfermedades_C)+(A4_D_L37*Enfermedades_D)+(A4_Y_L37*Enfermedades_Y))*Inflación_4</f>
        <v>0</v>
      </c>
      <c r="CA29" s="101">
        <f>SUMIFS('9'!$E:$E,'9'!$A:$A,Año_Inicial+3,'9'!$B:$B,'12'!BZ$4,'9'!$D:$D,"Prevención de enfermedades")</f>
        <v>0</v>
      </c>
      <c r="CB29" s="101">
        <f>((A4_A_L38*Enfermedades_A)+(A4_B_L38*Enfermedades_B)+(A4_C_L38*Enfermedades_C)+(A4_D_L38*Enfermedades_D)+(A4_Y_L38*Enfermedades_Y))*Inflación_4</f>
        <v>0</v>
      </c>
      <c r="CC29" s="101">
        <f>SUMIFS('9'!$E:$E,'9'!$A:$A,Año_Inicial+3,'9'!$B:$B,'12'!CB$4,'9'!$D:$D,"Prevención de enfermedades")</f>
        <v>0</v>
      </c>
      <c r="CD29" s="101">
        <f>((A4_A_L39*Enfermedades_A)+(A4_B_L39*Enfermedades_B)+(A4_C_L39*Enfermedades_C)+(A4_D_L39*Enfermedades_D)+(A4_Y_L39*Enfermedades_Y))*Inflación_4</f>
        <v>0</v>
      </c>
      <c r="CE29" s="101">
        <f>SUMIFS('9'!$E:$E,'9'!$A:$A,Año_Inicial+3,'9'!$B:$B,'12'!CD$4,'9'!$D:$D,"Prevención de enfermedades")</f>
        <v>0</v>
      </c>
      <c r="CF29" s="101">
        <f>((A4_A_L40*Enfermedades_A)+(A4_B_L40*Enfermedades_B)+(A4_C_L40*Enfermedades_C)+(A4_D_L40*Enfermedades_D)+(A4_Y_L40*Enfermedades_Y))*Inflación_4</f>
        <v>0</v>
      </c>
      <c r="CG29" s="101">
        <f>SUMIFS('9'!$E:$E,'9'!$A:$A,Año_Inicial+3,'9'!$B:$B,'12'!CF$4,'9'!$D:$D,"Prevención de enfermedades")</f>
        <v>0</v>
      </c>
      <c r="CH29" s="473"/>
      <c r="CI29" s="101">
        <f>Plantas_A_A4*Enfermedades_A*Inflación_4</f>
        <v>0</v>
      </c>
      <c r="CJ29" s="101">
        <f>Plantas_B_A4*Enfermedades_B</f>
        <v>0</v>
      </c>
      <c r="CK29" s="101">
        <f>Plantas_C_A4*Enfermedades_C</f>
        <v>0</v>
      </c>
      <c r="CL29" s="101">
        <f>Plantas_D_A4*Enfermedades_D</f>
        <v>0</v>
      </c>
      <c r="CM29" s="101"/>
      <c r="CN29" s="101">
        <f>Plantas_Y_A4*Enfermedades_Y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SUMIFS('9'!$E:$E,'9'!$A:$A,Año_Inicial+3,'9'!$D:$D,"Fungicida")</f>
        <v>0</v>
      </c>
      <c r="D30" s="100">
        <f t="shared" si="45"/>
        <v>0</v>
      </c>
      <c r="E30" s="473"/>
      <c r="F30" s="101">
        <f>((A4_A_L1*Fungicida_A)+(A4_B_L1*Fungicida_B)+(A4_C_L1*Fungicida_C)+(A4_D_L1*Fungicida_D)+(A4_Y_L1*Fungicida_Y))*Inflación_4</f>
        <v>0</v>
      </c>
      <c r="G30" s="101">
        <f>SUMIFS('9'!$E:$E,'9'!$A:$A,Año_Inicial+3,'9'!$B:$B,'12'!F$4,'9'!$D:$D,"Fungicida")</f>
        <v>0</v>
      </c>
      <c r="H30" s="101">
        <f>((A4_A_L2*Fungicida_A)+(A4_B_L2*Fungicida_B)+(A4_C_L2*Fungicida_C)+(A4_D_L2*Fungicida_D)+(A4_Y_L2*Fungicida_Y))*Inflación_4</f>
        <v>0</v>
      </c>
      <c r="I30" s="101">
        <f>SUMIFS('9'!$E:$E,'9'!$A:$A,Año_Inicial+3,'9'!$B:$B,'12'!H$4,'9'!$D:$D,"Fungicida")</f>
        <v>0</v>
      </c>
      <c r="J30" s="101">
        <f>((A4_A_L3*Fungicida_A)+(A4_B_L3*Fungicida_B)+(A4_C_L3*Fungicida_C)+(A4_D_L3*Fungicida_D)+(A4_Y_L3*Fungicida_Y))*Inflación_4</f>
        <v>0</v>
      </c>
      <c r="K30" s="101">
        <f>SUMIFS('9'!$E:$E,'9'!$A:$A,Año_Inicial+3,'9'!$B:$B,'12'!J$4,'9'!$D:$D,"Fungicida")</f>
        <v>0</v>
      </c>
      <c r="L30" s="101">
        <f>((A4_A_L4*Fungicida_A)+(A4_B_L4*Fungicida_B)+(A4_C_L4*Fungicida_C)+(A4_D_L4*Fungicida_D)+(A4_Y_L4*Fungicida_Y))*Inflación_4</f>
        <v>0</v>
      </c>
      <c r="M30" s="101">
        <f>SUMIFS('9'!$E:$E,'9'!$A:$A,Año_Inicial+3,'9'!$B:$B,'12'!L$4,'9'!$D:$D,"Fungicida")</f>
        <v>0</v>
      </c>
      <c r="N30" s="101">
        <f>((A4_A_L5*Fungicida_A)+(A4_B_L5*Fungicida_B)+(A4_C_L5*Fungicida_C)+(A4_D_L5*Fungicida_D)+(A4_Y_L5*Fungicida_Y))*Inflación_4</f>
        <v>0</v>
      </c>
      <c r="O30" s="101">
        <f>SUMIFS('9'!$E:$E,'9'!$A:$A,Año_Inicial+3,'9'!$B:$B,'12'!N$4,'9'!$D:$D,"Fungicida")</f>
        <v>0</v>
      </c>
      <c r="P30" s="101">
        <f>((A4_A_L6*Fungicida_A)+(A4_B_L6*Fungicida_B)+(A4_C_L6*Fungicida_C)+(A4_D_L6*Fungicida_D)+(A4_Y_L6*Fungicida_Y))*Inflación_4</f>
        <v>0</v>
      </c>
      <c r="Q30" s="101">
        <f>SUMIFS('9'!$E:$E,'9'!$A:$A,Año_Inicial+3,'9'!$B:$B,'12'!P$4,'9'!$D:$D,"Fungicida")</f>
        <v>0</v>
      </c>
      <c r="R30" s="101">
        <f>((A4_A_L7*Fungicida_A)+(A4_B_L7*Fungicida_B)+(A4_C_L7*Fungicida_C)+(A4_D_L7*Fungicida_D)+(A4_Y_L7*Fungicida_Y))*Inflación_4</f>
        <v>0</v>
      </c>
      <c r="S30" s="101">
        <f>SUMIFS('9'!$E:$E,'9'!$A:$A,Año_Inicial+3,'9'!$B:$B,'12'!R$4,'9'!$D:$D,"Fungicida")</f>
        <v>0</v>
      </c>
      <c r="T30" s="101">
        <f>((A4_A_L8*Fungicida_A)+(A4_B_L8*Fungicida_B)+(A4_C_L8*Fungicida_C)+(A4_D_L8*Fungicida_D)+(A4_Y_L8*Fungicida_Y))*Inflación_4</f>
        <v>0</v>
      </c>
      <c r="U30" s="101">
        <f>SUMIFS('9'!$E:$E,'9'!$A:$A,Año_Inicial+3,'9'!$B:$B,'12'!T$4,'9'!$D:$D,"Fungicida")</f>
        <v>0</v>
      </c>
      <c r="V30" s="101">
        <f>((A4_A_L9*Fungicida_A)+(A4_B_L9*Fungicida_B)+(A4_C_L9*Fungicida_C)+(A4_D_L9*Fungicida_D)+(A4_Y_L9*Fungicida_Y))*Inflación_4</f>
        <v>0</v>
      </c>
      <c r="W30" s="101">
        <f>SUMIFS('9'!$E:$E,'9'!$A:$A,Año_Inicial+3,'9'!$B:$B,'12'!V$4,'9'!$D:$D,"Fungicida")</f>
        <v>0</v>
      </c>
      <c r="X30" s="101">
        <f>((A4_A_L10*Fungicida_A)+(A4_B_L10*Fungicida_B)+(A4_C_L10*Fungicida_C)+(A4_D_L10*Fungicida_D)+(A4_Y_L10*Fungicida_Y))*Inflación_4</f>
        <v>0</v>
      </c>
      <c r="Y30" s="101">
        <f>SUMIFS('9'!$E:$E,'9'!$A:$A,Año_Inicial+3,'9'!$B:$B,'12'!X$4,'9'!$D:$D,"Fungicida")</f>
        <v>0</v>
      </c>
      <c r="Z30" s="101">
        <f>((A4_A_L11*Fungicida_A)+(A4_B_L11*Fungicida_B)+(A4_C_L11*Fungicida_C)+(A4_D_L11*Fungicida_D)+(A4_Y_L11*Fungicida_Y))*Inflación_4</f>
        <v>0</v>
      </c>
      <c r="AA30" s="101">
        <f>SUMIFS('9'!$E:$E,'9'!$A:$A,Año_Inicial+3,'9'!$B:$B,'12'!Z$4,'9'!$D:$D,"Fungicida")</f>
        <v>0</v>
      </c>
      <c r="AB30" s="101">
        <f>((A4_A_L12*Fungicida_A)+(A4_B_L12*Fungicida_B)+(A4_C_L12*Fungicida_C)+(A4_D_L12*Fungicida_D)+(A4_Y_L12*Fungicida_Y))*Inflación_4</f>
        <v>0</v>
      </c>
      <c r="AC30" s="101">
        <f>SUMIFS('9'!$E:$E,'9'!$A:$A,Año_Inicial+3,'9'!$B:$B,'12'!AB$4,'9'!$D:$D,"Fungicida")</f>
        <v>0</v>
      </c>
      <c r="AD30" s="101">
        <f>((A4_A_L13*Fungicida_A)+(A4_B_L13*Fungicida_B)+(A4_C_L13*Fungicida_C)+(A4_D_L13*Fungicida_D)+(A4_Y_L13*Fungicida_Y))*Inflación_4</f>
        <v>0</v>
      </c>
      <c r="AE30" s="101">
        <f>SUMIFS('9'!$E:$E,'9'!$A:$A,Año_Inicial+3,'9'!$B:$B,'12'!AD$4,'9'!$D:$D,"Fungicida")</f>
        <v>0</v>
      </c>
      <c r="AF30" s="101">
        <f>((A4_A_L14*Fungicida_A)+(A4_B_L14*Fungicida_B)+(A4_C_L14*Fungicida_C)+(A4_D_L14*Fungicida_D)+(A4_Y_L14*Fungicida_Y))*Inflación_4</f>
        <v>0</v>
      </c>
      <c r="AG30" s="101">
        <f>SUMIFS('9'!$E:$E,'9'!$A:$A,Año_Inicial+3,'9'!$B:$B,'12'!AF$4,'9'!$D:$D,"Fungicida")</f>
        <v>0</v>
      </c>
      <c r="AH30" s="101">
        <f>((A4_A_L15*Fungicida_A)+(A4_B_L15*Fungicida_B)+(A4_C_L15*Fungicida_C)+(A4_D_L15*Fungicida_D)+(A4_Y_L15*Fungicida_Y))*Inflación_4</f>
        <v>0</v>
      </c>
      <c r="AI30" s="101">
        <f>SUMIFS('9'!$E:$E,'9'!$A:$A,Año_Inicial+3,'9'!$B:$B,'12'!AH$4,'9'!$D:$D,"Fungicida")</f>
        <v>0</v>
      </c>
      <c r="AJ30" s="101">
        <f>((A4_A_L16*Fungicida_A)+(A4_B_L16*Fungicida_B)+(A4_C_L16*Fungicida_C)+(A4_D_L16*Fungicida_D)+(A4_Y_L16*Fungicida_Y))*Inflación_4</f>
        <v>0</v>
      </c>
      <c r="AK30" s="101">
        <f>SUMIFS('9'!$E:$E,'9'!$A:$A,Año_Inicial+3,'9'!$B:$B,'12'!AJ$4,'9'!$D:$D,"Fungicida")</f>
        <v>0</v>
      </c>
      <c r="AL30" s="101">
        <f>((A4_A_L17*Fungicida_A)+(A4_B_L17*Fungicida_B)+(A4_C_L17*Fungicida_C)+(A4_D_L17*Fungicida_D)+(A4_Y_L17*Fungicida_Y))*Inflación_4</f>
        <v>0</v>
      </c>
      <c r="AM30" s="101">
        <f>SUMIFS('9'!$E:$E,'9'!$A:$A,Año_Inicial+3,'9'!$B:$B,'12'!AL$4,'9'!$D:$D,"Fungicida")</f>
        <v>0</v>
      </c>
      <c r="AN30" s="101">
        <f>((A4_A_L18*Fungicida_A)+(A4_B_L18*Fungicida_B)+(A4_C_L18*Fungicida_C)+(A4_D_L18*Fungicida_D)+(A4_Y_L18*Fungicida_Y))*Inflación_4</f>
        <v>0</v>
      </c>
      <c r="AO30" s="101">
        <f>SUMIFS('9'!$E:$E,'9'!$A:$A,Año_Inicial+3,'9'!$B:$B,'12'!AN$4,'9'!$D:$D,"Fungicida")</f>
        <v>0</v>
      </c>
      <c r="AP30" s="101">
        <f>((A4_A_L19*Fungicida_A)+(A4_B_L19*Fungicida_B)+(A4_C_L19*Fungicida_C)+(A4_D_L19*Fungicida_D)+(A4_Y_L19*Fungicida_Y))*Inflación_4</f>
        <v>0</v>
      </c>
      <c r="AQ30" s="101">
        <f>SUMIFS('9'!$E:$E,'9'!$A:$A,Año_Inicial+3,'9'!$B:$B,'12'!AP$4,'9'!$D:$D,"Fungicida")</f>
        <v>0</v>
      </c>
      <c r="AR30" s="101">
        <f>((A4_A_L20*Fungicida_A)+(A4_B_L20*Fungicida_B)+(A4_C_L20*Fungicida_C)+(A4_D_L20*Fungicida_D)+(A4_Y_L20*Fungicida_Y))*Inflación_4</f>
        <v>0</v>
      </c>
      <c r="AS30" s="101">
        <f>SUMIFS('9'!$E:$E,'9'!$A:$A,Año_Inicial+3,'9'!$B:$B,'12'!AR$4,'9'!$D:$D,"Fungicida")</f>
        <v>0</v>
      </c>
      <c r="AT30" s="101">
        <f>((A4_A_L21*Fungicida_A)+(A4_B_L21*Fungicida_B)+(A4_C_L21*Fungicida_C)+(A4_D_L21*Fungicida_D)+(A4_Y_L21*Fungicida_Y))*Inflación_4</f>
        <v>0</v>
      </c>
      <c r="AU30" s="101">
        <f>SUMIFS('9'!$E:$E,'9'!$A:$A,Año_Inicial+3,'9'!$B:$B,'12'!AT$4,'9'!$D:$D,"Fungicida")</f>
        <v>0</v>
      </c>
      <c r="AV30" s="101">
        <f>((A4_A_L22*Fungicida_A)+(A4_B_L22*Fungicida_B)+(A4_C_L22*Fungicida_C)+(A4_D_L22*Fungicida_D)+(A4_Y_L22*Fungicida_Y))*Inflación_4</f>
        <v>0</v>
      </c>
      <c r="AW30" s="101">
        <f>SUMIFS('9'!$E:$E,'9'!$A:$A,Año_Inicial+3,'9'!$B:$B,'12'!AV$4,'9'!$D:$D,"Fungicida")</f>
        <v>0</v>
      </c>
      <c r="AX30" s="101">
        <f>((A4_A_L23*Fungicida_A)+(A4_B_L23*Fungicida_B)+(A4_C_L23*Fungicida_C)+(A4_D_L23*Fungicida_D)+(A4_Y_L23*Fungicida_Y))*Inflación_4</f>
        <v>0</v>
      </c>
      <c r="AY30" s="101">
        <f>SUMIFS('9'!$E:$E,'9'!$A:$A,Año_Inicial+3,'9'!$B:$B,'12'!AX$4,'9'!$D:$D,"Fungicida")</f>
        <v>0</v>
      </c>
      <c r="AZ30" s="101">
        <f>((A4_A_L24*Fungicida_A)+(A4_B_L24*Fungicida_B)+(A4_C_L24*Fungicida_C)+(A4_D_L24*Fungicida_D)+(A4_Y_L24*Fungicida_Y))*Inflación_4</f>
        <v>0</v>
      </c>
      <c r="BA30" s="101">
        <f>SUMIFS('9'!$E:$E,'9'!$A:$A,Año_Inicial+3,'9'!$B:$B,'12'!AZ$4,'9'!$D:$D,"Fungicida")</f>
        <v>0</v>
      </c>
      <c r="BB30" s="101">
        <f>((A4_A_L25*Fungicida_A)+(A4_B_L25*Fungicida_B)+(A4_C_L25*Fungicida_C)+(A4_D_L25*Fungicida_D)+(A4_Y_L25*Fungicida_Y))*Inflación_4</f>
        <v>0</v>
      </c>
      <c r="BC30" s="101">
        <f>SUMIFS('9'!$E:$E,'9'!$A:$A,Año_Inicial+3,'9'!$B:$B,'12'!BB$4,'9'!$D:$D,"Fungicida")</f>
        <v>0</v>
      </c>
      <c r="BD30" s="101">
        <f>((A4_A_L26*Fungicida_A)+(A4_B_L26*Fungicida_B)+(A4_C_L26*Fungicida_C)+(A4_D_L26*Fungicida_D)+(A4_Y_L26*Fungicida_Y))*Inflación_4</f>
        <v>0</v>
      </c>
      <c r="BE30" s="101">
        <f>SUMIFS('9'!$E:$E,'9'!$A:$A,Año_Inicial+3,'9'!$B:$B,'12'!BD$4,'9'!$D:$D,"Fungicida")</f>
        <v>0</v>
      </c>
      <c r="BF30" s="101">
        <f>((A4_A_L27*Fungicida_A)+(A4_B_L27*Fungicida_B)+(A4_C_L27*Fungicida_C)+(A4_D_L27*Fungicida_D)+(A4_Y_L27*Fungicida_Y))*Inflación_4</f>
        <v>0</v>
      </c>
      <c r="BG30" s="101">
        <f>SUMIFS('9'!$E:$E,'9'!$A:$A,Año_Inicial+3,'9'!$B:$B,'12'!BF$4,'9'!$D:$D,"Fungicida")</f>
        <v>0</v>
      </c>
      <c r="BH30" s="101">
        <f>((A4_A_L28*Fungicida_A)+(A4_B_L28*Fungicida_B)+(A4_C_L28*Fungicida_C)+(A4_D_L28*Fungicida_D)+(A4_Y_L28*Fungicida_Y))*Inflación_4</f>
        <v>0</v>
      </c>
      <c r="BI30" s="101">
        <f>SUMIFS('9'!$E:$E,'9'!$A:$A,Año_Inicial+3,'9'!$B:$B,'12'!BH$4,'9'!$D:$D,"Fungicida")</f>
        <v>0</v>
      </c>
      <c r="BJ30" s="101">
        <f>((A4_A_L29*Fungicida_A)+(A4_B_L29*Fungicida_B)+(A4_C_L29*Fungicida_C)+(A4_D_L29*Fungicida_D)+(A4_Y_L29*Fungicida_Y))*Inflación_4</f>
        <v>0</v>
      </c>
      <c r="BK30" s="101">
        <f>SUMIFS('9'!$E:$E,'9'!$A:$A,Año_Inicial+3,'9'!$B:$B,'12'!BJ$4,'9'!$D:$D,"Fungicida")</f>
        <v>0</v>
      </c>
      <c r="BL30" s="101">
        <f>((A4_A_L30*Fungicida_A)+(A4_B_L30*Fungicida_B)+(A4_C_L30*Fungicida_C)+(A4_D_L30*Fungicida_D)+(A4_Y_L30*Fungicida_Y))*Inflación_4</f>
        <v>0</v>
      </c>
      <c r="BM30" s="101">
        <f>SUMIFS('9'!$E:$E,'9'!$A:$A,Año_Inicial+3,'9'!$B:$B,'12'!BL$4,'9'!$D:$D,"Fungicida")</f>
        <v>0</v>
      </c>
      <c r="BN30" s="101">
        <f>((A4_A_L31*Fungicida_A)+(A4_B_L31*Fungicida_B)+(A4_C_L31*Fungicida_C)+(A4_D_L31*Fungicida_D)+(A4_Y_L31*Fungicida_Y))*Inflación_4</f>
        <v>0</v>
      </c>
      <c r="BO30" s="101">
        <f>SUMIFS('9'!$E:$E,'9'!$A:$A,Año_Inicial+3,'9'!$B:$B,'12'!BN$4,'9'!$D:$D,"Fungicida")</f>
        <v>0</v>
      </c>
      <c r="BP30" s="101">
        <f>((A4_A_L32*Fungicida_A)+(A4_B_L32*Fungicida_B)+(A4_C_L32*Fungicida_C)+(A4_D_L32*Fungicida_D)+(A4_Y_L32*Fungicida_Y))*Inflación_4</f>
        <v>0</v>
      </c>
      <c r="BQ30" s="101">
        <f>SUMIFS('9'!$E:$E,'9'!$A:$A,Año_Inicial+3,'9'!$B:$B,'12'!BP$4,'9'!$D:$D,"Fungicida")</f>
        <v>0</v>
      </c>
      <c r="BR30" s="101">
        <f>((A4_A_L33*Fungicida_A)+(A4_B_L33*Fungicida_B)+(A4_C_L33*Fungicida_C)+(A4_D_L33*Fungicida_D)+(A4_Y_L33*Fungicida_Y))*Inflación_4</f>
        <v>0</v>
      </c>
      <c r="BS30" s="101">
        <f>SUMIFS('9'!$E:$E,'9'!$A:$A,Año_Inicial+3,'9'!$B:$B,'12'!BR$4,'9'!$D:$D,"Fungicida")</f>
        <v>0</v>
      </c>
      <c r="BT30" s="101">
        <f>((A4_A_L34*Fungicida_A)+(A4_B_L34*Fungicida_B)+(A4_C_L34*Fungicida_C)+(A4_D_L34*Fungicida_D)+(A4_Y_L34*Fungicida_Y))*Inflación_4</f>
        <v>0</v>
      </c>
      <c r="BU30" s="101">
        <f>SUMIFS('9'!$E:$E,'9'!$A:$A,Año_Inicial+3,'9'!$B:$B,'12'!BT$4,'9'!$D:$D,"Fungicida")</f>
        <v>0</v>
      </c>
      <c r="BV30" s="101">
        <f>((A4_A_L35*Fungicida_A)+(A4_B_L35*Fungicida_B)+(A4_C_L35*Fungicida_C)+(A4_D_L35*Fungicida_D)+(A4_Y_L35*Fungicida_Y))*Inflación_4</f>
        <v>0</v>
      </c>
      <c r="BW30" s="101">
        <f>SUMIFS('9'!$E:$E,'9'!$A:$A,Año_Inicial+3,'9'!$B:$B,'12'!BV$4,'9'!$D:$D,"Fungicida")</f>
        <v>0</v>
      </c>
      <c r="BX30" s="101">
        <f>((A4_A_L36*Fungicida_A)+(A4_B_L36*Fungicida_B)+(A4_C_L36*Fungicida_C)+(A4_D_L36*Fungicida_D)+(A4_Y_L36*Fungicida_Y))*Inflación_4</f>
        <v>0</v>
      </c>
      <c r="BY30" s="101">
        <f>SUMIFS('9'!$E:$E,'9'!$A:$A,Año_Inicial+3,'9'!$B:$B,'12'!BX$4,'9'!$D:$D,"Fungicida")</f>
        <v>0</v>
      </c>
      <c r="BZ30" s="101">
        <f>((A4_A_L37*Fungicida_A)+(A4_B_L37*Fungicida_B)+(A4_C_L37*Fungicida_C)+(A4_D_L37*Fungicida_D)+(A4_Y_L37*Fungicida_Y))*Inflación_4</f>
        <v>0</v>
      </c>
      <c r="CA30" s="101">
        <f>SUMIFS('9'!$E:$E,'9'!$A:$A,Año_Inicial+3,'9'!$B:$B,'12'!BZ$4,'9'!$D:$D,"Fungicida")</f>
        <v>0</v>
      </c>
      <c r="CB30" s="101">
        <f>((A4_A_L38*Fungicida_A)+(A4_B_L38*Fungicida_B)+(A4_C_L38*Fungicida_C)+(A4_D_L38*Fungicida_D)+(A4_Y_L38*Fungicida_Y))*Inflación_4</f>
        <v>0</v>
      </c>
      <c r="CC30" s="101">
        <f>SUMIFS('9'!$E:$E,'9'!$A:$A,Año_Inicial+3,'9'!$B:$B,'12'!CB$4,'9'!$D:$D,"Fungicida")</f>
        <v>0</v>
      </c>
      <c r="CD30" s="101">
        <f>((A4_A_L39*Fungicida_A)+(A4_B_L39*Fungicida_B)+(A4_C_L39*Fungicida_C)+(A4_D_L39*Fungicida_D)+(A4_Y_L39*Fungicida_Y))*Inflación_4</f>
        <v>0</v>
      </c>
      <c r="CE30" s="101">
        <f>SUMIFS('9'!$E:$E,'9'!$A:$A,Año_Inicial+3,'9'!$B:$B,'12'!CD$4,'9'!$D:$D,"Fungicida")</f>
        <v>0</v>
      </c>
      <c r="CF30" s="101">
        <f>((A4_A_L40*Fungicida_A)+(A4_B_L40*Fungicida_B)+(A4_C_L40*Fungicida_C)+(A4_D_L40*Fungicida_D)+(A4_Y_L40*Fungicida_Y))*Inflación_4</f>
        <v>0</v>
      </c>
      <c r="CG30" s="101">
        <f>SUMIFS('9'!$E:$E,'9'!$A:$A,Año_Inicial+3,'9'!$B:$B,'12'!CF$4,'9'!$D:$D,"Fungicida")</f>
        <v>0</v>
      </c>
      <c r="CH30" s="473"/>
      <c r="CI30" s="101">
        <f>Plantas_A_A4*Fungicida_A*Inflación_4</f>
        <v>0</v>
      </c>
      <c r="CJ30" s="101">
        <f>Plantas_B_A4*Fungicida_B</f>
        <v>0</v>
      </c>
      <c r="CK30" s="101">
        <f>Plantas_C_A4*Fungicida_C</f>
        <v>0</v>
      </c>
      <c r="CL30" s="101">
        <f>Plantas_D_A4*Fungicida_D</f>
        <v>0</v>
      </c>
      <c r="CM30" s="101"/>
      <c r="CN30" s="101">
        <f>Plantas_Y_A4*Fungicida_Y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SUMIFS('9'!$E:$E,'9'!$A:$A,Año_Inicial+3,'9'!$D:$D,"Manejo de sombra")</f>
        <v>0</v>
      </c>
      <c r="D32" s="100">
        <f t="shared" si="45"/>
        <v>0</v>
      </c>
      <c r="E32" s="473"/>
      <c r="F32" s="101">
        <f>((A4_A_L1*Sombra_A)+(A4_B_L1*Sombra_B)+(A4_C_L1*Sombra_C)+(A4_D_L1*Sombra_D)+(A4_Y_L1*Sombra_Y))*Inflación_4</f>
        <v>0</v>
      </c>
      <c r="G32" s="101">
        <f>SUMIFS('9'!$E:$E,'9'!$A:$A,Año_Inicial+3,'9'!$B:$B,'12'!F$4,'9'!$D:$D,"Manejo de sombra")</f>
        <v>0</v>
      </c>
      <c r="H32" s="101">
        <f>((A4_A_L2*Sombra_A)+(A4_B_L2*Sombra_B)+(A4_C_L2*Sombra_C)+(A4_D_L2*Sombra_D)+(A4_Y_L2*Sombra_Y))*Inflación_4</f>
        <v>0</v>
      </c>
      <c r="I32" s="101">
        <f>SUMIFS('9'!$E:$E,'9'!$A:$A,Año_Inicial+3,'9'!$B:$B,'12'!H$4,'9'!$D:$D,"Manejo de sombra")</f>
        <v>0</v>
      </c>
      <c r="J32" s="101">
        <f>((A4_A_L3*Sombra_A)+(A4_B_L3*Sombra_B)+(A4_C_L3*Sombra_C)+(A4_D_L3*Sombra_D)+(A4_Y_L3*Sombra_Y))*Inflación_4</f>
        <v>0</v>
      </c>
      <c r="K32" s="101">
        <f>SUMIFS('9'!$E:$E,'9'!$A:$A,Año_Inicial+3,'9'!$B:$B,'12'!J$4,'9'!$D:$D,"Manejo de sombra")</f>
        <v>0</v>
      </c>
      <c r="L32" s="101">
        <f>((A4_A_L4*Sombra_A)+(A4_B_L4*Sombra_B)+(A4_C_L4*Sombra_C)+(A4_D_L4*Sombra_D)+(A4_Y_L4*Sombra_Y))*Inflación_4</f>
        <v>0</v>
      </c>
      <c r="M32" s="101">
        <f>SUMIFS('9'!$E:$E,'9'!$A:$A,Año_Inicial+3,'9'!$B:$B,'12'!L$4,'9'!$D:$D,"Manejo de sombra")</f>
        <v>0</v>
      </c>
      <c r="N32" s="101">
        <f>((A4_A_L5*Sombra_A)+(A4_B_L5*Sombra_B)+(A4_C_L5*Sombra_C)+(A4_D_L5*Sombra_D)+(A4_Y_L5*Sombra_Y))*Inflación_4</f>
        <v>0</v>
      </c>
      <c r="O32" s="101">
        <f>SUMIFS('9'!$E:$E,'9'!$A:$A,Año_Inicial+3,'9'!$B:$B,'12'!N$4,'9'!$D:$D,"Manejo de sombra")</f>
        <v>0</v>
      </c>
      <c r="P32" s="101">
        <f>((A4_A_L6*Sombra_A)+(A4_B_L6*Sombra_B)+(A4_C_L6*Sombra_C)+(A4_D_L6*Sombra_D)+(A4_Y_L6*Sombra_Y))*Inflación_4</f>
        <v>0</v>
      </c>
      <c r="Q32" s="101">
        <f>SUMIFS('9'!$E:$E,'9'!$A:$A,Año_Inicial+3,'9'!$B:$B,'12'!P$4,'9'!$D:$D,"Manejo de sombra")</f>
        <v>0</v>
      </c>
      <c r="R32" s="101">
        <f>((A4_A_L7*Sombra_A)+(A4_B_L7*Sombra_B)+(A4_C_L7*Sombra_C)+(A4_D_L7*Sombra_D)+(A4_Y_L7*Sombra_Y))*Inflación_4</f>
        <v>0</v>
      </c>
      <c r="S32" s="101">
        <f>SUMIFS('9'!$E:$E,'9'!$A:$A,Año_Inicial+3,'9'!$B:$B,'12'!R$4,'9'!$D:$D,"Manejo de sombra")</f>
        <v>0</v>
      </c>
      <c r="T32" s="101">
        <f>((A4_A_L8*Sombra_A)+(A4_B_L8*Sombra_B)+(A4_C_L8*Sombra_C)+(A4_D_L8*Sombra_D)+(A4_Y_L8*Sombra_Y))*Inflación_4</f>
        <v>0</v>
      </c>
      <c r="U32" s="101">
        <f>SUMIFS('9'!$E:$E,'9'!$A:$A,Año_Inicial+3,'9'!$B:$B,'12'!T$4,'9'!$D:$D,"Manejo de sombra")</f>
        <v>0</v>
      </c>
      <c r="V32" s="101">
        <f>((A4_A_L9*Sombra_A)+(A4_B_L9*Sombra_B)+(A4_C_L9*Sombra_C)+(A4_D_L9*Sombra_D)+(A4_Y_L9*Sombra_Y))*Inflación_4</f>
        <v>0</v>
      </c>
      <c r="W32" s="101">
        <f>SUMIFS('9'!$E:$E,'9'!$A:$A,Año_Inicial+3,'9'!$B:$B,'12'!V$4,'9'!$D:$D,"Manejo de sombra")</f>
        <v>0</v>
      </c>
      <c r="X32" s="101">
        <f>((A4_A_L10*Sombra_A)+(A4_B_L10*Sombra_B)+(A4_C_L10*Sombra_C)+(A4_D_L10*Sombra_D)+(A4_Y_L10*Sombra_Y))*Inflación_4</f>
        <v>0</v>
      </c>
      <c r="Y32" s="101">
        <f>SUMIFS('9'!$E:$E,'9'!$A:$A,Año_Inicial+3,'9'!$B:$B,'12'!X$4,'9'!$D:$D,"Manejo de sombra")</f>
        <v>0</v>
      </c>
      <c r="Z32" s="101">
        <f>((A4_A_L11*Sombra_A)+(A4_B_L11*Sombra_B)+(A4_C_L11*Sombra_C)+(A4_D_L11*Sombra_D)+(A4_Y_L11*Sombra_Y))*Inflación_4</f>
        <v>0</v>
      </c>
      <c r="AA32" s="101">
        <f>SUMIFS('9'!$E:$E,'9'!$A:$A,Año_Inicial+3,'9'!$B:$B,'12'!Z$4,'9'!$D:$D,"Manejo de sombra")</f>
        <v>0</v>
      </c>
      <c r="AB32" s="101">
        <f>((A4_A_L12*Sombra_A)+(A4_B_L12*Sombra_B)+(A4_C_L12*Sombra_C)+(A4_D_L12*Sombra_D)+(A4_Y_L12*Sombra_Y))*Inflación_4</f>
        <v>0</v>
      </c>
      <c r="AC32" s="101">
        <f>SUMIFS('9'!$E:$E,'9'!$A:$A,Año_Inicial+3,'9'!$B:$B,'12'!AB$4,'9'!$D:$D,"Manejo de sombra")</f>
        <v>0</v>
      </c>
      <c r="AD32" s="101">
        <f>((A4_A_L13*Sombra_A)+(A4_B_L13*Sombra_B)+(A4_C_L13*Sombra_C)+(A4_D_L13*Sombra_D)+(A4_Y_L13*Sombra_Y))*Inflación_4</f>
        <v>0</v>
      </c>
      <c r="AE32" s="101">
        <f>SUMIFS('9'!$E:$E,'9'!$A:$A,Año_Inicial+3,'9'!$B:$B,'12'!AD$4,'9'!$D:$D,"Manejo de sombra")</f>
        <v>0</v>
      </c>
      <c r="AF32" s="101">
        <f>((A4_A_L14*Sombra_A)+(A4_B_L14*Sombra_B)+(A4_C_L14*Sombra_C)+(A4_D_L14*Sombra_D)+(A4_Y_L14*Sombra_Y))*Inflación_4</f>
        <v>0</v>
      </c>
      <c r="AG32" s="101">
        <f>SUMIFS('9'!$E:$E,'9'!$A:$A,Año_Inicial+3,'9'!$B:$B,'12'!AF$4,'9'!$D:$D,"Manejo de sombra")</f>
        <v>0</v>
      </c>
      <c r="AH32" s="101">
        <f>((A4_A_L15*Sombra_A)+(A4_B_L15*Sombra_B)+(A4_C_L15*Sombra_C)+(A4_D_L15*Sombra_D)+(A4_Y_L15*Sombra_Y))*Inflación_4</f>
        <v>0</v>
      </c>
      <c r="AI32" s="101">
        <f>SUMIFS('9'!$E:$E,'9'!$A:$A,Año_Inicial+3,'9'!$B:$B,'12'!AH$4,'9'!$D:$D,"Manejo de sombra")</f>
        <v>0</v>
      </c>
      <c r="AJ32" s="101">
        <f>((A4_A_L16*Sombra_A)+(A4_B_L16*Sombra_B)+(A4_C_L16*Sombra_C)+(A4_D_L16*Sombra_D)+(A4_Y_L16*Sombra_Y))*Inflación_4</f>
        <v>0</v>
      </c>
      <c r="AK32" s="101">
        <f>SUMIFS('9'!$E:$E,'9'!$A:$A,Año_Inicial+3,'9'!$B:$B,'12'!AJ$4,'9'!$D:$D,"Manejo de sombra")</f>
        <v>0</v>
      </c>
      <c r="AL32" s="101">
        <f>((A4_A_L17*Sombra_A)+(A4_B_L17*Sombra_B)+(A4_C_L17*Sombra_C)+(A4_D_L17*Sombra_D)+(A4_Y_L17*Sombra_Y))*Inflación_4</f>
        <v>0</v>
      </c>
      <c r="AM32" s="101">
        <f>SUMIFS('9'!$E:$E,'9'!$A:$A,Año_Inicial+3,'9'!$B:$B,'12'!AL$4,'9'!$D:$D,"Manejo de sombra")</f>
        <v>0</v>
      </c>
      <c r="AN32" s="101">
        <f>((A4_A_L18*Sombra_A)+(A4_B_L18*Sombra_B)+(A4_C_L18*Sombra_C)+(A4_D_L18*Sombra_D)+(A4_Y_L18*Sombra_Y))*Inflación_4</f>
        <v>0</v>
      </c>
      <c r="AO32" s="101">
        <f>SUMIFS('9'!$E:$E,'9'!$A:$A,Año_Inicial+3,'9'!$B:$B,'12'!AN$4,'9'!$D:$D,"Manejo de sombra")</f>
        <v>0</v>
      </c>
      <c r="AP32" s="101">
        <f>((A4_A_L19*Sombra_A)+(A4_B_L19*Sombra_B)+(A4_C_L19*Sombra_C)+(A4_D_L19*Sombra_D)+(A4_Y_L19*Sombra_Y))*Inflación_4</f>
        <v>0</v>
      </c>
      <c r="AQ32" s="101">
        <f>SUMIFS('9'!$E:$E,'9'!$A:$A,Año_Inicial+3,'9'!$B:$B,'12'!AP$4,'9'!$D:$D,"Manejo de sombra")</f>
        <v>0</v>
      </c>
      <c r="AR32" s="101">
        <f>((A4_A_L20*Sombra_A)+(A4_B_L20*Sombra_B)+(A4_C_L20*Sombra_C)+(A4_D_L20*Sombra_D)+(A4_Y_L20*Sombra_Y))*Inflación_4</f>
        <v>0</v>
      </c>
      <c r="AS32" s="101">
        <f>SUMIFS('9'!$E:$E,'9'!$A:$A,Año_Inicial+3,'9'!$B:$B,'12'!AR$4,'9'!$D:$D,"Manejo de sombra")</f>
        <v>0</v>
      </c>
      <c r="AT32" s="101">
        <f>((A4_A_L21*Sombra_A)+(A4_B_L21*Sombra_B)+(A4_C_L21*Sombra_C)+(A4_D_L21*Sombra_D)+(A4_Y_L21*Sombra_Y))*Inflación_4</f>
        <v>0</v>
      </c>
      <c r="AU32" s="101">
        <f>SUMIFS('9'!$E:$E,'9'!$A:$A,Año_Inicial+3,'9'!$B:$B,'12'!AT$4,'9'!$D:$D,"Manejo de sombra")</f>
        <v>0</v>
      </c>
      <c r="AV32" s="101">
        <f>((A4_A_L22*Sombra_A)+(A4_B_L22*Sombra_B)+(A4_C_L22*Sombra_C)+(A4_D_L22*Sombra_D)+(A4_Y_L22*Sombra_Y))*Inflación_4</f>
        <v>0</v>
      </c>
      <c r="AW32" s="101">
        <f>SUMIFS('9'!$E:$E,'9'!$A:$A,Año_Inicial+3,'9'!$B:$B,'12'!AV$4,'9'!$D:$D,"Manejo de sombra")</f>
        <v>0</v>
      </c>
      <c r="AX32" s="101">
        <f>((A4_A_L23*Sombra_A)+(A4_B_L23*Sombra_B)+(A4_C_L23*Sombra_C)+(A4_D_L23*Sombra_D)+(A4_Y_L23*Sombra_Y))*Inflación_4</f>
        <v>0</v>
      </c>
      <c r="AY32" s="101">
        <f>SUMIFS('9'!$E:$E,'9'!$A:$A,Año_Inicial+3,'9'!$B:$B,'12'!AX$4,'9'!$D:$D,"Manejo de sombra")</f>
        <v>0</v>
      </c>
      <c r="AZ32" s="101">
        <f>((A4_A_L24*Sombra_A)+(A4_B_L24*Sombra_B)+(A4_C_L24*Sombra_C)+(A4_D_L24*Sombra_D)+(A4_Y_L24*Sombra_Y))*Inflación_4</f>
        <v>0</v>
      </c>
      <c r="BA32" s="101">
        <f>SUMIFS('9'!$E:$E,'9'!$A:$A,Año_Inicial+3,'9'!$B:$B,'12'!AZ$4,'9'!$D:$D,"Manejo de sombra")</f>
        <v>0</v>
      </c>
      <c r="BB32" s="101">
        <f>((A4_A_L25*Sombra_A)+(A4_B_L25*Sombra_B)+(A4_C_L25*Sombra_C)+(A4_D_L25*Sombra_D)+(A4_Y_L25*Sombra_Y))*Inflación_4</f>
        <v>0</v>
      </c>
      <c r="BC32" s="101">
        <f>SUMIFS('9'!$E:$E,'9'!$A:$A,Año_Inicial+3,'9'!$B:$B,'12'!BB$4,'9'!$D:$D,"Manejo de sombra")</f>
        <v>0</v>
      </c>
      <c r="BD32" s="101">
        <f>((A4_A_L26*Sombra_A)+(A4_B_L26*Sombra_B)+(A4_C_L26*Sombra_C)+(A4_D_L26*Sombra_D)+(A4_Y_L26*Sombra_Y))*Inflación_4</f>
        <v>0</v>
      </c>
      <c r="BE32" s="101">
        <f>SUMIFS('9'!$E:$E,'9'!$A:$A,Año_Inicial+3,'9'!$B:$B,'12'!BD$4,'9'!$D:$D,"Manejo de sombra")</f>
        <v>0</v>
      </c>
      <c r="BF32" s="101">
        <f>((A4_A_L27*Sombra_A)+(A4_B_L27*Sombra_B)+(A4_C_L27*Sombra_C)+(A4_D_L27*Sombra_D)+(A4_Y_L27*Sombra_Y))*Inflación_4</f>
        <v>0</v>
      </c>
      <c r="BG32" s="101">
        <f>SUMIFS('9'!$E:$E,'9'!$A:$A,Año_Inicial+3,'9'!$B:$B,'12'!BF$4,'9'!$D:$D,"Manejo de sombra")</f>
        <v>0</v>
      </c>
      <c r="BH32" s="101">
        <f>((A4_A_L28*Sombra_A)+(A4_B_L28*Sombra_B)+(A4_C_L28*Sombra_C)+(A4_D_L28*Sombra_D)+(A4_Y_L28*Sombra_Y))*Inflación_4</f>
        <v>0</v>
      </c>
      <c r="BI32" s="101">
        <f>SUMIFS('9'!$E:$E,'9'!$A:$A,Año_Inicial+3,'9'!$B:$B,'12'!BH$4,'9'!$D:$D,"Manejo de sombra")</f>
        <v>0</v>
      </c>
      <c r="BJ32" s="101">
        <f>((A4_A_L29*Sombra_A)+(A4_B_L29*Sombra_B)+(A4_C_L29*Sombra_C)+(A4_D_L29*Sombra_D)+(A4_Y_L29*Sombra_Y))*Inflación_4</f>
        <v>0</v>
      </c>
      <c r="BK32" s="101">
        <f>SUMIFS('9'!$E:$E,'9'!$A:$A,Año_Inicial+3,'9'!$B:$B,'12'!BJ$4,'9'!$D:$D,"Manejo de sombra")</f>
        <v>0</v>
      </c>
      <c r="BL32" s="101">
        <f>((A4_A_L30*Sombra_A)+(A4_B_L30*Sombra_B)+(A4_C_L30*Sombra_C)+(A4_D_L30*Sombra_D)+(A4_Y_L30*Sombra_Y))*Inflación_4</f>
        <v>0</v>
      </c>
      <c r="BM32" s="101">
        <f>SUMIFS('9'!$E:$E,'9'!$A:$A,Año_Inicial+3,'9'!$B:$B,'12'!BL$4,'9'!$D:$D,"Manejo de sombra")</f>
        <v>0</v>
      </c>
      <c r="BN32" s="101">
        <f>((A4_A_L31*Sombra_A)+(A4_B_L31*Sombra_B)+(A4_C_L31*Sombra_C)+(A4_D_L31*Sombra_D)+(A4_Y_L31*Sombra_Y))*Inflación_4</f>
        <v>0</v>
      </c>
      <c r="BO32" s="101">
        <f>SUMIFS('9'!$E:$E,'9'!$A:$A,Año_Inicial+3,'9'!$B:$B,'12'!BN$4,'9'!$D:$D,"Manejo de sombra")</f>
        <v>0</v>
      </c>
      <c r="BP32" s="101">
        <f>((A4_A_L32*Sombra_A)+(A4_B_L32*Sombra_B)+(A4_C_L32*Sombra_C)+(A4_D_L32*Sombra_D)+(A4_Y_L32*Sombra_Y))*Inflación_4</f>
        <v>0</v>
      </c>
      <c r="BQ32" s="101">
        <f>SUMIFS('9'!$E:$E,'9'!$A:$A,Año_Inicial+3,'9'!$B:$B,'12'!BP$4,'9'!$D:$D,"Manejo de sombra")</f>
        <v>0</v>
      </c>
      <c r="BR32" s="101">
        <f>((A4_A_L33*Sombra_A)+(A4_B_L33*Sombra_B)+(A4_C_L33*Sombra_C)+(A4_D_L33*Sombra_D)+(A4_Y_L33*Sombra_Y))*Inflación_4</f>
        <v>0</v>
      </c>
      <c r="BS32" s="101">
        <f>SUMIFS('9'!$E:$E,'9'!$A:$A,Año_Inicial+3,'9'!$B:$B,'12'!BR$4,'9'!$D:$D,"Manejo de sombra")</f>
        <v>0</v>
      </c>
      <c r="BT32" s="101">
        <f>((A4_A_L34*Sombra_A)+(A4_B_L34*Sombra_B)+(A4_C_L34*Sombra_C)+(A4_D_L34*Sombra_D)+(A4_Y_L34*Sombra_Y))*Inflación_4</f>
        <v>0</v>
      </c>
      <c r="BU32" s="101">
        <f>SUMIFS('9'!$E:$E,'9'!$A:$A,Año_Inicial+3,'9'!$B:$B,'12'!BT$4,'9'!$D:$D,"Manejo de sombra")</f>
        <v>0</v>
      </c>
      <c r="BV32" s="101">
        <f>((A4_A_L35*Sombra_A)+(A4_B_L35*Sombra_B)+(A4_C_L35*Sombra_C)+(A4_D_L35*Sombra_D)+(A4_Y_L35*Sombra_Y))*Inflación_4</f>
        <v>0</v>
      </c>
      <c r="BW32" s="101">
        <f>SUMIFS('9'!$E:$E,'9'!$A:$A,Año_Inicial+3,'9'!$B:$B,'12'!BV$4,'9'!$D:$D,"Manejo de sombra")</f>
        <v>0</v>
      </c>
      <c r="BX32" s="101">
        <f>((A4_A_L36*Sombra_A)+(A4_B_L36*Sombra_B)+(A4_C_L36*Sombra_C)+(A4_D_L36*Sombra_D)+(A4_Y_L36*Sombra_Y))*Inflación_4</f>
        <v>0</v>
      </c>
      <c r="BY32" s="101">
        <f>SUMIFS('9'!$E:$E,'9'!$A:$A,Año_Inicial+3,'9'!$B:$B,'12'!BX$4,'9'!$D:$D,"Manejo de sombra")</f>
        <v>0</v>
      </c>
      <c r="BZ32" s="101">
        <f>((A4_A_L37*Sombra_A)+(A4_B_L37*Sombra_B)+(A4_C_L37*Sombra_C)+(A4_D_L37*Sombra_D)+(A4_Y_L37*Sombra_Y))*Inflación_4</f>
        <v>0</v>
      </c>
      <c r="CA32" s="101">
        <f>SUMIFS('9'!$E:$E,'9'!$A:$A,Año_Inicial+3,'9'!$B:$B,'12'!BZ$4,'9'!$D:$D,"Manejo de sombra")</f>
        <v>0</v>
      </c>
      <c r="CB32" s="101">
        <f>((A4_A_L38*Sombra_A)+(A4_B_L38*Sombra_B)+(A4_C_L38*Sombra_C)+(A4_D_L38*Sombra_D)+(A4_Y_L38*Sombra_Y))*Inflación_4</f>
        <v>0</v>
      </c>
      <c r="CC32" s="101">
        <f>SUMIFS('9'!$E:$E,'9'!$A:$A,Año_Inicial+3,'9'!$B:$B,'12'!CB$4,'9'!$D:$D,"Manejo de sombra")</f>
        <v>0</v>
      </c>
      <c r="CD32" s="101">
        <f>((A4_A_L39*Sombra_A)+(A4_B_L39*Sombra_B)+(A4_C_L39*Sombra_C)+(A4_D_L39*Sombra_D)+(A4_Y_L39*Sombra_Y))*Inflación_4</f>
        <v>0</v>
      </c>
      <c r="CE32" s="101">
        <f>SUMIFS('9'!$E:$E,'9'!$A:$A,Año_Inicial+3,'9'!$B:$B,'12'!CD$4,'9'!$D:$D,"Manejo de sombra")</f>
        <v>0</v>
      </c>
      <c r="CF32" s="101">
        <f>((A4_A_L40*Sombra_A)+(A4_B_L40*Sombra_B)+(A4_C_L40*Sombra_C)+(A4_D_L40*Sombra_D)+(A4_Y_L40*Sombra_Y))*Inflación_4</f>
        <v>0</v>
      </c>
      <c r="CG32" s="101">
        <f>SUMIFS('9'!$E:$E,'9'!$A:$A,Año_Inicial+3,'9'!$B:$B,'12'!CF$4,'9'!$D:$D,"Manejo de sombra")</f>
        <v>0</v>
      </c>
      <c r="CH32" s="473"/>
      <c r="CI32" s="101">
        <f>Plantas_A_A4*Sombra_A*Inflación_4</f>
        <v>0</v>
      </c>
      <c r="CJ32" s="101">
        <f>Plantas_B_A4*Sombra_B</f>
        <v>0</v>
      </c>
      <c r="CK32" s="101">
        <f>Plantas_C_A4*Sombra_C</f>
        <v>0</v>
      </c>
      <c r="CL32" s="101">
        <f>Plantas_D_A4*Sombra_D</f>
        <v>0</v>
      </c>
      <c r="CM32" s="101"/>
      <c r="CN32" s="101">
        <f>Plantas_Y_A4*Sombra_Y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SUMIFS('9'!$E:$E,'9'!$A:$A,Año_Inicial+3,'9'!$D:$D,"Conservación de suelos")</f>
        <v>0</v>
      </c>
      <c r="D33" s="100">
        <f t="shared" si="45"/>
        <v>0</v>
      </c>
      <c r="E33" s="473"/>
      <c r="F33" s="101">
        <f>((A4_A_L1*Conservación_A)+(A4_B_L1*Conservación_B)+(A4_C_L1*Conservación_C)+(A4_D_L1*Conservación_D)+(A4_Y_L1*Conservación_Y))*Inflación_4</f>
        <v>0</v>
      </c>
      <c r="G33" s="101">
        <f>SUMIFS('9'!$E:$E,'9'!$A:$A,Año_Inicial+3,'9'!$B:$B,'12'!F$4,'9'!$D:$D,"Conservación de suelos")</f>
        <v>0</v>
      </c>
      <c r="H33" s="101">
        <f>((A4_A_L2*Conservación_A)+(A4_B_L2*Conservación_B)+(A4_C_L2*Conservación_C)+(A4_D_L2*Conservación_D)+(A4_Y_L2*Conservación_Y))*Inflación_4</f>
        <v>0</v>
      </c>
      <c r="I33" s="101">
        <f>SUMIFS('9'!$E:$E,'9'!$A:$A,Año_Inicial+3,'9'!$B:$B,'12'!H$4,'9'!$D:$D,"Conservación de suelos")</f>
        <v>0</v>
      </c>
      <c r="J33" s="101">
        <f>((A4_A_L3*Conservación_A)+(A4_B_L3*Conservación_B)+(A4_C_L3*Conservación_C)+(A4_D_L3*Conservación_D)+(A4_Y_L3*Conservación_Y))*Inflación_4</f>
        <v>0</v>
      </c>
      <c r="K33" s="101">
        <f>SUMIFS('9'!$E:$E,'9'!$A:$A,Año_Inicial+3,'9'!$B:$B,'12'!J$4,'9'!$D:$D,"Conservación de suelos")</f>
        <v>0</v>
      </c>
      <c r="L33" s="101">
        <f>((A4_A_L4*Conservación_A)+(A4_B_L4*Conservación_B)+(A4_C_L4*Conservación_C)+(A4_D_L4*Conservación_D)+(A4_Y_L4*Conservación_Y))*Inflación_4</f>
        <v>0</v>
      </c>
      <c r="M33" s="101">
        <f>SUMIFS('9'!$E:$E,'9'!$A:$A,Año_Inicial+3,'9'!$B:$B,'12'!L$4,'9'!$D:$D,"Conservación de suelos")</f>
        <v>0</v>
      </c>
      <c r="N33" s="101">
        <f>((A4_A_L5*Conservación_A)+(A4_B_L5*Conservación_B)+(A4_C_L5*Conservación_C)+(A4_D_L5*Conservación_D)+(A4_Y_L5*Conservación_Y))*Inflación_4</f>
        <v>0</v>
      </c>
      <c r="O33" s="101">
        <f>SUMIFS('9'!$E:$E,'9'!$A:$A,Año_Inicial+3,'9'!$B:$B,'12'!N$4,'9'!$D:$D,"Conservación de suelos")</f>
        <v>0</v>
      </c>
      <c r="P33" s="101">
        <f>((A4_A_L6*Conservación_A)+(A4_B_L6*Conservación_B)+(A4_C_L6*Conservación_C)+(A4_D_L6*Conservación_D)+(A4_Y_L6*Conservación_Y))*Inflación_4</f>
        <v>0</v>
      </c>
      <c r="Q33" s="101">
        <f>SUMIFS('9'!$E:$E,'9'!$A:$A,Año_Inicial+3,'9'!$B:$B,'12'!P$4,'9'!$D:$D,"Conservación de suelos")</f>
        <v>0</v>
      </c>
      <c r="R33" s="101">
        <f>((A4_A_L7*Conservación_A)+(A4_B_L7*Conservación_B)+(A4_C_L7*Conservación_C)+(A4_D_L7*Conservación_D)+(A4_Y_L7*Conservación_Y))*Inflación_4</f>
        <v>0</v>
      </c>
      <c r="S33" s="101">
        <f>SUMIFS('9'!$E:$E,'9'!$A:$A,Año_Inicial+3,'9'!$B:$B,'12'!R$4,'9'!$D:$D,"Conservación de suelos")</f>
        <v>0</v>
      </c>
      <c r="T33" s="101">
        <f>((A4_A_L8*Conservación_A)+(A4_B_L8*Conservación_B)+(A4_C_L8*Conservación_C)+(A4_D_L8*Conservación_D)+(A4_Y_L8*Conservación_Y))*Inflación_4</f>
        <v>0</v>
      </c>
      <c r="U33" s="101">
        <f>SUMIFS('9'!$E:$E,'9'!$A:$A,Año_Inicial+3,'9'!$B:$B,'12'!T$4,'9'!$D:$D,"Conservación de suelos")</f>
        <v>0</v>
      </c>
      <c r="V33" s="101">
        <f>((A4_A_L9*Conservación_A)+(A4_B_L9*Conservación_B)+(A4_C_L9*Conservación_C)+(A4_D_L9*Conservación_D)+(A4_Y_L9*Conservación_Y))*Inflación_4</f>
        <v>0</v>
      </c>
      <c r="W33" s="101">
        <f>SUMIFS('9'!$E:$E,'9'!$A:$A,Año_Inicial+3,'9'!$B:$B,'12'!V$4,'9'!$D:$D,"Conservación de suelos")</f>
        <v>0</v>
      </c>
      <c r="X33" s="101">
        <f>((A4_A_L10*Conservación_A)+(A4_B_L10*Conservación_B)+(A4_C_L10*Conservación_C)+(A4_D_L10*Conservación_D)+(A4_Y_L10*Conservación_Y))*Inflación_4</f>
        <v>0</v>
      </c>
      <c r="Y33" s="101">
        <f>SUMIFS('9'!$E:$E,'9'!$A:$A,Año_Inicial+3,'9'!$B:$B,'12'!X$4,'9'!$D:$D,"Conservación de suelos")</f>
        <v>0</v>
      </c>
      <c r="Z33" s="101">
        <f>((A4_A_L11*Conservación_A)+(A4_B_L11*Conservación_B)+(A4_C_L11*Conservación_C)+(A4_D_L11*Conservación_D)+(A4_Y_L11*Conservación_Y))*Inflación_4</f>
        <v>0</v>
      </c>
      <c r="AA33" s="101">
        <f>SUMIFS('9'!$E:$E,'9'!$A:$A,Año_Inicial+3,'9'!$B:$B,'12'!Z$4,'9'!$D:$D,"Conservación de suelos")</f>
        <v>0</v>
      </c>
      <c r="AB33" s="101">
        <f>((A4_A_L12*Conservación_A)+(A4_B_L12*Conservación_B)+(A4_C_L12*Conservación_C)+(A4_D_L12*Conservación_D)+(A4_Y_L12*Conservación_Y))*Inflación_4</f>
        <v>0</v>
      </c>
      <c r="AC33" s="101">
        <f>SUMIFS('9'!$E:$E,'9'!$A:$A,Año_Inicial+3,'9'!$B:$B,'12'!AB$4,'9'!$D:$D,"Conservación de suelos")</f>
        <v>0</v>
      </c>
      <c r="AD33" s="101">
        <f>((A4_A_L13*Conservación_A)+(A4_B_L13*Conservación_B)+(A4_C_L13*Conservación_C)+(A4_D_L13*Conservación_D)+(A4_Y_L13*Conservación_Y))*Inflación_4</f>
        <v>0</v>
      </c>
      <c r="AE33" s="101">
        <f>SUMIFS('9'!$E:$E,'9'!$A:$A,Año_Inicial+3,'9'!$B:$B,'12'!AD$4,'9'!$D:$D,"Conservación de suelos")</f>
        <v>0</v>
      </c>
      <c r="AF33" s="101">
        <f>((A4_A_L14*Conservación_A)+(A4_B_L14*Conservación_B)+(A4_C_L14*Conservación_C)+(A4_D_L14*Conservación_D)+(A4_Y_L14*Conservación_Y))*Inflación_4</f>
        <v>0</v>
      </c>
      <c r="AG33" s="101">
        <f>SUMIFS('9'!$E:$E,'9'!$A:$A,Año_Inicial+3,'9'!$B:$B,'12'!AF$4,'9'!$D:$D,"Conservación de suelos")</f>
        <v>0</v>
      </c>
      <c r="AH33" s="101">
        <f>((A4_A_L15*Conservación_A)+(A4_B_L15*Conservación_B)+(A4_C_L15*Conservación_C)+(A4_D_L15*Conservación_D)+(A4_Y_L15*Conservación_Y))*Inflación_4</f>
        <v>0</v>
      </c>
      <c r="AI33" s="101">
        <f>SUMIFS('9'!$E:$E,'9'!$A:$A,Año_Inicial+3,'9'!$B:$B,'12'!AH$4,'9'!$D:$D,"Conservación de suelos")</f>
        <v>0</v>
      </c>
      <c r="AJ33" s="101">
        <f>((A4_A_L16*Conservación_A)+(A4_B_L16*Conservación_B)+(A4_C_L16*Conservación_C)+(A4_D_L16*Conservación_D)+(A4_Y_L16*Conservación_Y))*Inflación_4</f>
        <v>0</v>
      </c>
      <c r="AK33" s="101">
        <f>SUMIFS('9'!$E:$E,'9'!$A:$A,Año_Inicial+3,'9'!$B:$B,'12'!AJ$4,'9'!$D:$D,"Conservación de suelos")</f>
        <v>0</v>
      </c>
      <c r="AL33" s="101">
        <f>((A4_A_L17*Conservación_A)+(A4_B_L17*Conservación_B)+(A4_C_L17*Conservación_C)+(A4_D_L17*Conservación_D)+(A4_Y_L17*Conservación_Y))*Inflación_4</f>
        <v>0</v>
      </c>
      <c r="AM33" s="101">
        <f>SUMIFS('9'!$E:$E,'9'!$A:$A,Año_Inicial+3,'9'!$B:$B,'12'!AL$4,'9'!$D:$D,"Conservación de suelos")</f>
        <v>0</v>
      </c>
      <c r="AN33" s="101">
        <f>((A4_A_L18*Conservación_A)+(A4_B_L18*Conservación_B)+(A4_C_L18*Conservación_C)+(A4_D_L18*Conservación_D)+(A4_Y_L18*Conservación_Y))*Inflación_4</f>
        <v>0</v>
      </c>
      <c r="AO33" s="101">
        <f>SUMIFS('9'!$E:$E,'9'!$A:$A,Año_Inicial+3,'9'!$B:$B,'12'!AN$4,'9'!$D:$D,"Conservación de suelos")</f>
        <v>0</v>
      </c>
      <c r="AP33" s="101">
        <f>((A4_A_L19*Conservación_A)+(A4_B_L19*Conservación_B)+(A4_C_L19*Conservación_C)+(A4_D_L19*Conservación_D)+(A4_Y_L19*Conservación_Y))*Inflación_4</f>
        <v>0</v>
      </c>
      <c r="AQ33" s="101">
        <f>SUMIFS('9'!$E:$E,'9'!$A:$A,Año_Inicial+3,'9'!$B:$B,'12'!AP$4,'9'!$D:$D,"Conservación de suelos")</f>
        <v>0</v>
      </c>
      <c r="AR33" s="101">
        <f>((A4_A_L20*Conservación_A)+(A4_B_L20*Conservación_B)+(A4_C_L20*Conservación_C)+(A4_D_L20*Conservación_D)+(A4_Y_L20*Conservación_Y))*Inflación_4</f>
        <v>0</v>
      </c>
      <c r="AS33" s="101">
        <f>SUMIFS('9'!$E:$E,'9'!$A:$A,Año_Inicial+3,'9'!$B:$B,'12'!AR$4,'9'!$D:$D,"Conservación de suelos")</f>
        <v>0</v>
      </c>
      <c r="AT33" s="101">
        <f>((A4_A_L21*Conservación_A)+(A4_B_L21*Conservación_B)+(A4_C_L21*Conservación_C)+(A4_D_L21*Conservación_D)+(A4_Y_L21*Conservación_Y))*Inflación_4</f>
        <v>0</v>
      </c>
      <c r="AU33" s="101">
        <f>SUMIFS('9'!$E:$E,'9'!$A:$A,Año_Inicial+3,'9'!$B:$B,'12'!AT$4,'9'!$D:$D,"Conservación de suelos")</f>
        <v>0</v>
      </c>
      <c r="AV33" s="101">
        <f>((A4_A_L22*Conservación_A)+(A4_B_L22*Conservación_B)+(A4_C_L22*Conservación_C)+(A4_D_L22*Conservación_D)+(A4_Y_L22*Conservación_Y))*Inflación_4</f>
        <v>0</v>
      </c>
      <c r="AW33" s="101">
        <f>SUMIFS('9'!$E:$E,'9'!$A:$A,Año_Inicial+3,'9'!$B:$B,'12'!AV$4,'9'!$D:$D,"Conservación de suelos")</f>
        <v>0</v>
      </c>
      <c r="AX33" s="101">
        <f>((A4_A_L23*Conservación_A)+(A4_B_L23*Conservación_B)+(A4_C_L23*Conservación_C)+(A4_D_L23*Conservación_D)+(A4_Y_L23*Conservación_Y))*Inflación_4</f>
        <v>0</v>
      </c>
      <c r="AY33" s="101">
        <f>SUMIFS('9'!$E:$E,'9'!$A:$A,Año_Inicial+3,'9'!$B:$B,'12'!AX$4,'9'!$D:$D,"Conservación de suelos")</f>
        <v>0</v>
      </c>
      <c r="AZ33" s="101">
        <f>((A4_A_L24*Conservación_A)+(A4_B_L24*Conservación_B)+(A4_C_L24*Conservación_C)+(A4_D_L24*Conservación_D)+(A4_Y_L24*Conservación_Y))*Inflación_4</f>
        <v>0</v>
      </c>
      <c r="BA33" s="101">
        <f>SUMIFS('9'!$E:$E,'9'!$A:$A,Año_Inicial+3,'9'!$B:$B,'12'!AZ$4,'9'!$D:$D,"Conservación de suelos")</f>
        <v>0</v>
      </c>
      <c r="BB33" s="101">
        <f>((A4_A_L25*Conservación_A)+(A4_B_L25*Conservación_B)+(A4_C_L25*Conservación_C)+(A4_D_L25*Conservación_D)+(A4_Y_L25*Conservación_Y))*Inflación_4</f>
        <v>0</v>
      </c>
      <c r="BC33" s="101">
        <f>SUMIFS('9'!$E:$E,'9'!$A:$A,Año_Inicial+3,'9'!$B:$B,'12'!BB$4,'9'!$D:$D,"Conservación de suelos")</f>
        <v>0</v>
      </c>
      <c r="BD33" s="101">
        <f>((A4_A_L26*Conservación_A)+(A4_B_L26*Conservación_B)+(A4_C_L26*Conservación_C)+(A4_D_L26*Conservación_D)+(A4_Y_L26*Conservación_Y))*Inflación_4</f>
        <v>0</v>
      </c>
      <c r="BE33" s="101">
        <f>SUMIFS('9'!$E:$E,'9'!$A:$A,Año_Inicial+3,'9'!$B:$B,'12'!BD$4,'9'!$D:$D,"Conservación de suelos")</f>
        <v>0</v>
      </c>
      <c r="BF33" s="101">
        <f>((A4_A_L27*Conservación_A)+(A4_B_L27*Conservación_B)+(A4_C_L27*Conservación_C)+(A4_D_L27*Conservación_D)+(A4_Y_L27*Conservación_Y))*Inflación_4</f>
        <v>0</v>
      </c>
      <c r="BG33" s="101">
        <f>SUMIFS('9'!$E:$E,'9'!$A:$A,Año_Inicial+3,'9'!$B:$B,'12'!BF$4,'9'!$D:$D,"Conservación de suelos")</f>
        <v>0</v>
      </c>
      <c r="BH33" s="101">
        <f>((A4_A_L28*Conservación_A)+(A4_B_L28*Conservación_B)+(A4_C_L28*Conservación_C)+(A4_D_L28*Conservación_D)+(A4_Y_L28*Conservación_Y))*Inflación_4</f>
        <v>0</v>
      </c>
      <c r="BI33" s="101">
        <f>SUMIFS('9'!$E:$E,'9'!$A:$A,Año_Inicial+3,'9'!$B:$B,'12'!BH$4,'9'!$D:$D,"Conservación de suelos")</f>
        <v>0</v>
      </c>
      <c r="BJ33" s="101">
        <f>((A4_A_L29*Conservación_A)+(A4_B_L29*Conservación_B)+(A4_C_L29*Conservación_C)+(A4_D_L29*Conservación_D)+(A4_Y_L29*Conservación_Y))*Inflación_4</f>
        <v>0</v>
      </c>
      <c r="BK33" s="101">
        <f>SUMIFS('9'!$E:$E,'9'!$A:$A,Año_Inicial+3,'9'!$B:$B,'12'!BJ$4,'9'!$D:$D,"Conservación de suelos")</f>
        <v>0</v>
      </c>
      <c r="BL33" s="101">
        <f>((A4_A_L30*Conservación_A)+(A4_B_L30*Conservación_B)+(A4_C_L30*Conservación_C)+(A4_D_L30*Conservación_D)+(A4_Y_L30*Conservación_Y))*Inflación_4</f>
        <v>0</v>
      </c>
      <c r="BM33" s="101">
        <f>SUMIFS('9'!$E:$E,'9'!$A:$A,Año_Inicial+3,'9'!$B:$B,'12'!BL$4,'9'!$D:$D,"Conservación de suelos")</f>
        <v>0</v>
      </c>
      <c r="BN33" s="101">
        <f>((A4_A_L31*Conservación_A)+(A4_B_L31*Conservación_B)+(A4_C_L31*Conservación_C)+(A4_D_L31*Conservación_D)+(A4_Y_L31*Conservación_Y))*Inflación_4</f>
        <v>0</v>
      </c>
      <c r="BO33" s="101">
        <f>SUMIFS('9'!$E:$E,'9'!$A:$A,Año_Inicial+3,'9'!$B:$B,'12'!BN$4,'9'!$D:$D,"Conservación de suelos")</f>
        <v>0</v>
      </c>
      <c r="BP33" s="101">
        <f>((A4_A_L32*Conservación_A)+(A4_B_L32*Conservación_B)+(A4_C_L32*Conservación_C)+(A4_D_L32*Conservación_D)+(A4_Y_L32*Conservación_Y))*Inflación_4</f>
        <v>0</v>
      </c>
      <c r="BQ33" s="101">
        <f>SUMIFS('9'!$E:$E,'9'!$A:$A,Año_Inicial+3,'9'!$B:$B,'12'!BP$4,'9'!$D:$D,"Conservación de suelos")</f>
        <v>0</v>
      </c>
      <c r="BR33" s="101">
        <f>((A4_A_L33*Conservación_A)+(A4_B_L33*Conservación_B)+(A4_C_L33*Conservación_C)+(A4_D_L33*Conservación_D)+(A4_Y_L33*Conservación_Y))*Inflación_4</f>
        <v>0</v>
      </c>
      <c r="BS33" s="101">
        <f>SUMIFS('9'!$E:$E,'9'!$A:$A,Año_Inicial+3,'9'!$B:$B,'12'!BR$4,'9'!$D:$D,"Conservación de suelos")</f>
        <v>0</v>
      </c>
      <c r="BT33" s="101">
        <f>((A4_A_L34*Conservación_A)+(A4_B_L34*Conservación_B)+(A4_C_L34*Conservación_C)+(A4_D_L34*Conservación_D)+(A4_Y_L34*Conservación_Y))*Inflación_4</f>
        <v>0</v>
      </c>
      <c r="BU33" s="101">
        <f>SUMIFS('9'!$E:$E,'9'!$A:$A,Año_Inicial+3,'9'!$B:$B,'12'!BT$4,'9'!$D:$D,"Conservación de suelos")</f>
        <v>0</v>
      </c>
      <c r="BV33" s="101">
        <f>((A4_A_L35*Conservación_A)+(A4_B_L35*Conservación_B)+(A4_C_L35*Conservación_C)+(A4_D_L35*Conservación_D)+(A4_Y_L35*Conservación_Y))*Inflación_4</f>
        <v>0</v>
      </c>
      <c r="BW33" s="101">
        <f>SUMIFS('9'!$E:$E,'9'!$A:$A,Año_Inicial+3,'9'!$B:$B,'12'!BV$4,'9'!$D:$D,"Conservación de suelos")</f>
        <v>0</v>
      </c>
      <c r="BX33" s="101">
        <f>((A4_A_L36*Conservación_A)+(A4_B_L36*Conservación_B)+(A4_C_L36*Conservación_C)+(A4_D_L36*Conservación_D)+(A4_Y_L36*Conservación_Y))*Inflación_4</f>
        <v>0</v>
      </c>
      <c r="BY33" s="101">
        <f>SUMIFS('9'!$E:$E,'9'!$A:$A,Año_Inicial+3,'9'!$B:$B,'12'!BX$4,'9'!$D:$D,"Conservación de suelos")</f>
        <v>0</v>
      </c>
      <c r="BZ33" s="101">
        <f>((A4_A_L37*Conservación_A)+(A4_B_L37*Conservación_B)+(A4_C_L37*Conservación_C)+(A4_D_L37*Conservación_D)+(A4_Y_L37*Conservación_Y))*Inflación_4</f>
        <v>0</v>
      </c>
      <c r="CA33" s="101">
        <f>SUMIFS('9'!$E:$E,'9'!$A:$A,Año_Inicial+3,'9'!$B:$B,'12'!BZ$4,'9'!$D:$D,"Conservación de suelos")</f>
        <v>0</v>
      </c>
      <c r="CB33" s="101">
        <f>((A4_A_L38*Conservación_A)+(A4_B_L38*Conservación_B)+(A4_C_L38*Conservación_C)+(A4_D_L38*Conservación_D)+(A4_Y_L38*Conservación_Y))*Inflación_4</f>
        <v>0</v>
      </c>
      <c r="CC33" s="101">
        <f>SUMIFS('9'!$E:$E,'9'!$A:$A,Año_Inicial+3,'9'!$B:$B,'12'!CB$4,'9'!$D:$D,"Conservación de suelos")</f>
        <v>0</v>
      </c>
      <c r="CD33" s="101">
        <f>((A4_A_L39*Conservación_A)+(A4_B_L39*Conservación_B)+(A4_C_L39*Conservación_C)+(A4_D_L39*Conservación_D)+(A4_Y_L39*Conservación_Y))*Inflación_4</f>
        <v>0</v>
      </c>
      <c r="CE33" s="101">
        <f>SUMIFS('9'!$E:$E,'9'!$A:$A,Año_Inicial+3,'9'!$B:$B,'12'!CD$4,'9'!$D:$D,"Conservación de suelos")</f>
        <v>0</v>
      </c>
      <c r="CF33" s="101">
        <f>((A4_A_L40*Conservación_A)+(A4_B_L40*Conservación_B)+(A4_C_L40*Conservación_C)+(A4_D_L40*Conservación_D)+(A4_Y_L40*Conservación_Y))*Inflación_4</f>
        <v>0</v>
      </c>
      <c r="CG33" s="101">
        <f>SUMIFS('9'!$E:$E,'9'!$A:$A,Año_Inicial+3,'9'!$B:$B,'12'!CF$4,'9'!$D:$D,"Conservación de suelos")</f>
        <v>0</v>
      </c>
      <c r="CH33" s="473"/>
      <c r="CI33" s="101">
        <f>Plantas_A_A4*Conservación_A*Inflación_4</f>
        <v>0</v>
      </c>
      <c r="CJ33" s="101">
        <f>Plantas_B_A4*Conservación_B</f>
        <v>0</v>
      </c>
      <c r="CK33" s="101">
        <f>Plantas_C_A4*Conservación_C</f>
        <v>0</v>
      </c>
      <c r="CL33" s="101">
        <f>Plantas_D_A4*Conservación_D</f>
        <v>0</v>
      </c>
      <c r="CM33" s="101"/>
      <c r="CN33" s="101">
        <f>Plantas_Y_A4*Conservación_Y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SUMIFS('9'!$E:$E,'9'!$A:$A,Año_Inicial+3,'9'!$D:$D,"Otras actividades")</f>
        <v>0</v>
      </c>
      <c r="D34" s="100">
        <f t="shared" si="45"/>
        <v>0</v>
      </c>
      <c r="E34" s="473"/>
      <c r="F34" s="101">
        <f>((A4_A_L1*Otras_A)+(A4_B_L1*Otras_B)+(A4_C_L1*Otras_C)+(A4_D_L1*Otras_D)+(A4_Y_L1*Otras_Y))*Inflación_4</f>
        <v>0</v>
      </c>
      <c r="G34" s="101">
        <f>SUMIFS('9'!$E:$E,'9'!$A:$A,Año_Inicial+3,'9'!$B:$B,'12'!F$4,'9'!$D:$D,"Otras actividades")</f>
        <v>0</v>
      </c>
      <c r="H34" s="101">
        <f>((A4_A_L2*Otras_A)+(A4_B_L2*Otras_B)+(A4_C_L2*Otras_C)+(A4_D_L2*Otras_D)+(A4_Y_L2*Otras_Y))*Inflación_4</f>
        <v>0</v>
      </c>
      <c r="I34" s="101">
        <f>SUMIFS('9'!$E:$E,'9'!$A:$A,Año_Inicial+3,'9'!$B:$B,'12'!H$4,'9'!$D:$D,"Otras actividades")</f>
        <v>0</v>
      </c>
      <c r="J34" s="101">
        <f>((A4_A_L3*Otras_A)+(A4_B_L3*Otras_B)+(A4_C_L3*Otras_C)+(A4_D_L3*Otras_D)+(A4_Y_L3*Otras_Y))*Inflación_4</f>
        <v>0</v>
      </c>
      <c r="K34" s="101">
        <f>SUMIFS('9'!$E:$E,'9'!$A:$A,Año_Inicial+3,'9'!$B:$B,'12'!J$4,'9'!$D:$D,"Otras actividades")</f>
        <v>0</v>
      </c>
      <c r="L34" s="101">
        <f>((A4_A_L4*Otras_A)+(A4_B_L4*Otras_B)+(A4_C_L4*Otras_C)+(A4_D_L4*Otras_D)+(A4_Y_L4*Otras_Y))*Inflación_4</f>
        <v>0</v>
      </c>
      <c r="M34" s="101">
        <f>SUMIFS('9'!$E:$E,'9'!$A:$A,Año_Inicial+3,'9'!$B:$B,'12'!L$4,'9'!$D:$D,"Otras actividades")</f>
        <v>0</v>
      </c>
      <c r="N34" s="101">
        <f>((A4_A_L5*Otras_A)+(A4_B_L5*Otras_B)+(A4_C_L5*Otras_C)+(A4_D_L5*Otras_D)+(A4_Y_L5*Otras_Y))*Inflación_4</f>
        <v>0</v>
      </c>
      <c r="O34" s="101">
        <f>SUMIFS('9'!$E:$E,'9'!$A:$A,Año_Inicial+3,'9'!$B:$B,'12'!N$4,'9'!$D:$D,"Otras actividades")</f>
        <v>0</v>
      </c>
      <c r="P34" s="101">
        <f>((A4_A_L6*Otras_A)+(A4_B_L6*Otras_B)+(A4_C_L6*Otras_C)+(A4_D_L6*Otras_D)+(A4_Y_L6*Otras_Y))*Inflación_4</f>
        <v>0</v>
      </c>
      <c r="Q34" s="101">
        <f>SUMIFS('9'!$E:$E,'9'!$A:$A,Año_Inicial+3,'9'!$B:$B,'12'!P$4,'9'!$D:$D,"Otras actividades")</f>
        <v>0</v>
      </c>
      <c r="R34" s="101">
        <f>((A4_A_L7*Otras_A)+(A4_B_L7*Otras_B)+(A4_C_L7*Otras_C)+(A4_D_L7*Otras_D)+(A4_Y_L7*Otras_Y))*Inflación_4</f>
        <v>0</v>
      </c>
      <c r="S34" s="101">
        <f>SUMIFS('9'!$E:$E,'9'!$A:$A,Año_Inicial+3,'9'!$B:$B,'12'!R$4,'9'!$D:$D,"Otras actividades")</f>
        <v>0</v>
      </c>
      <c r="T34" s="101">
        <f>((A4_A_L8*Otras_A)+(A4_B_L8*Otras_B)+(A4_C_L8*Otras_C)+(A4_D_L8*Otras_D)+(A4_Y_L8*Otras_Y))*Inflación_4</f>
        <v>0</v>
      </c>
      <c r="U34" s="101">
        <f>SUMIFS('9'!$E:$E,'9'!$A:$A,Año_Inicial+3,'9'!$B:$B,'12'!T$4,'9'!$D:$D,"Otras actividades")</f>
        <v>0</v>
      </c>
      <c r="V34" s="101">
        <f>((A4_A_L9*Otras_A)+(A4_B_L9*Otras_B)+(A4_C_L9*Otras_C)+(A4_D_L9*Otras_D)+(A4_Y_L9*Otras_Y))*Inflación_4</f>
        <v>0</v>
      </c>
      <c r="W34" s="101">
        <f>SUMIFS('9'!$E:$E,'9'!$A:$A,Año_Inicial+3,'9'!$B:$B,'12'!V$4,'9'!$D:$D,"Otras actividades")</f>
        <v>0</v>
      </c>
      <c r="X34" s="101">
        <f>((A4_A_L10*Otras_A)+(A4_B_L10*Otras_B)+(A4_C_L10*Otras_C)+(A4_D_L10*Otras_D)+(A4_Y_L10*Otras_Y))*Inflación_4</f>
        <v>0</v>
      </c>
      <c r="Y34" s="101">
        <f>SUMIFS('9'!$E:$E,'9'!$A:$A,Año_Inicial+3,'9'!$B:$B,'12'!X$4,'9'!$D:$D,"Otras actividades")</f>
        <v>0</v>
      </c>
      <c r="Z34" s="101">
        <f>((A4_A_L11*Otras_A)+(A4_B_L11*Otras_B)+(A4_C_L11*Otras_C)+(A4_D_L11*Otras_D)+(A4_Y_L11*Otras_Y))*Inflación_4</f>
        <v>0</v>
      </c>
      <c r="AA34" s="101">
        <f>SUMIFS('9'!$E:$E,'9'!$A:$A,Año_Inicial+3,'9'!$B:$B,'12'!Z$4,'9'!$D:$D,"Otras actividades")</f>
        <v>0</v>
      </c>
      <c r="AB34" s="101">
        <f>((A4_A_L12*Otras_A)+(A4_B_L12*Otras_B)+(A4_C_L12*Otras_C)+(A4_D_L12*Otras_D)+(A4_Y_L12*Otras_Y))*Inflación_4</f>
        <v>0</v>
      </c>
      <c r="AC34" s="101">
        <f>SUMIFS('9'!$E:$E,'9'!$A:$A,Año_Inicial+3,'9'!$B:$B,'12'!AB$4,'9'!$D:$D,"Otras actividades")</f>
        <v>0</v>
      </c>
      <c r="AD34" s="101">
        <f>((A4_A_L13*Otras_A)+(A4_B_L13*Otras_B)+(A4_C_L13*Otras_C)+(A4_D_L13*Otras_D)+(A4_Y_L13*Otras_Y))*Inflación_4</f>
        <v>0</v>
      </c>
      <c r="AE34" s="101">
        <f>SUMIFS('9'!$E:$E,'9'!$A:$A,Año_Inicial+3,'9'!$B:$B,'12'!AD$4,'9'!$D:$D,"Otras actividades")</f>
        <v>0</v>
      </c>
      <c r="AF34" s="101">
        <f>((A4_A_L14*Otras_A)+(A4_B_L14*Otras_B)+(A4_C_L14*Otras_C)+(A4_D_L14*Otras_D)+(A4_Y_L14*Otras_Y))*Inflación_4</f>
        <v>0</v>
      </c>
      <c r="AG34" s="101">
        <f>SUMIFS('9'!$E:$E,'9'!$A:$A,Año_Inicial+3,'9'!$B:$B,'12'!AF$4,'9'!$D:$D,"Otras actividades")</f>
        <v>0</v>
      </c>
      <c r="AH34" s="101">
        <f>((A4_A_L15*Otras_A)+(A4_B_L15*Otras_B)+(A4_C_L15*Otras_C)+(A4_D_L15*Otras_D)+(A4_Y_L15*Otras_Y))*Inflación_4</f>
        <v>0</v>
      </c>
      <c r="AI34" s="101">
        <f>SUMIFS('9'!$E:$E,'9'!$A:$A,Año_Inicial+3,'9'!$B:$B,'12'!AH$4,'9'!$D:$D,"Otras actividades")</f>
        <v>0</v>
      </c>
      <c r="AJ34" s="101">
        <f>((A4_A_L16*Otras_A)+(A4_B_L16*Otras_B)+(A4_C_L16*Otras_C)+(A4_D_L16*Otras_D)+(A4_Y_L16*Otras_Y))*Inflación_4</f>
        <v>0</v>
      </c>
      <c r="AK34" s="101">
        <f>SUMIFS('9'!$E:$E,'9'!$A:$A,Año_Inicial+3,'9'!$B:$B,'12'!AJ$4,'9'!$D:$D,"Otras actividades")</f>
        <v>0</v>
      </c>
      <c r="AL34" s="101">
        <f>((A4_A_L17*Otras_A)+(A4_B_L17*Otras_B)+(A4_C_L17*Otras_C)+(A4_D_L17*Otras_D)+(A4_Y_L17*Otras_Y))*Inflación_4</f>
        <v>0</v>
      </c>
      <c r="AM34" s="101">
        <f>SUMIFS('9'!$E:$E,'9'!$A:$A,Año_Inicial+3,'9'!$B:$B,'12'!AL$4,'9'!$D:$D,"Otras actividades")</f>
        <v>0</v>
      </c>
      <c r="AN34" s="101">
        <f>((A4_A_L18*Otras_A)+(A4_B_L18*Otras_B)+(A4_C_L18*Otras_C)+(A4_D_L18*Otras_D)+(A4_Y_L18*Otras_Y))*Inflación_4</f>
        <v>0</v>
      </c>
      <c r="AO34" s="101">
        <f>SUMIFS('9'!$E:$E,'9'!$A:$A,Año_Inicial+3,'9'!$B:$B,'12'!AN$4,'9'!$D:$D,"Otras actividades")</f>
        <v>0</v>
      </c>
      <c r="AP34" s="101">
        <f>((A4_A_L19*Otras_A)+(A4_B_L19*Otras_B)+(A4_C_L19*Otras_C)+(A4_D_L19*Otras_D)+(A4_Y_L19*Otras_Y))*Inflación_4</f>
        <v>0</v>
      </c>
      <c r="AQ34" s="101">
        <f>SUMIFS('9'!$E:$E,'9'!$A:$A,Año_Inicial+3,'9'!$B:$B,'12'!AP$4,'9'!$D:$D,"Otras actividades")</f>
        <v>0</v>
      </c>
      <c r="AR34" s="101">
        <f>((A4_A_L20*Otras_A)+(A4_B_L20*Otras_B)+(A4_C_L20*Otras_C)+(A4_D_L20*Otras_D)+(A4_Y_L20*Otras_Y))*Inflación_4</f>
        <v>0</v>
      </c>
      <c r="AS34" s="101">
        <f>SUMIFS('9'!$E:$E,'9'!$A:$A,Año_Inicial+3,'9'!$B:$B,'12'!AR$4,'9'!$D:$D,"Otras actividades")</f>
        <v>0</v>
      </c>
      <c r="AT34" s="101">
        <f>((A4_A_L21*Otras_A)+(A4_B_L21*Otras_B)+(A4_C_L21*Otras_C)+(A4_D_L21*Otras_D)+(A4_Y_L21*Otras_Y))*Inflación_4</f>
        <v>0</v>
      </c>
      <c r="AU34" s="101">
        <f>SUMIFS('9'!$E:$E,'9'!$A:$A,Año_Inicial+3,'9'!$B:$B,'12'!AT$4,'9'!$D:$D,"Otras actividades")</f>
        <v>0</v>
      </c>
      <c r="AV34" s="101">
        <f>((A4_A_L22*Otras_A)+(A4_B_L22*Otras_B)+(A4_C_L22*Otras_C)+(A4_D_L22*Otras_D)+(A4_Y_L22*Otras_Y))*Inflación_4</f>
        <v>0</v>
      </c>
      <c r="AW34" s="101">
        <f>SUMIFS('9'!$E:$E,'9'!$A:$A,Año_Inicial+3,'9'!$B:$B,'12'!AV$4,'9'!$D:$D,"Otras actividades")</f>
        <v>0</v>
      </c>
      <c r="AX34" s="101">
        <f>((A4_A_L23*Otras_A)+(A4_B_L23*Otras_B)+(A4_C_L23*Otras_C)+(A4_D_L23*Otras_D)+(A4_Y_L23*Otras_Y))*Inflación_4</f>
        <v>0</v>
      </c>
      <c r="AY34" s="101">
        <f>SUMIFS('9'!$E:$E,'9'!$A:$A,Año_Inicial+3,'9'!$B:$B,'12'!AX$4,'9'!$D:$D,"Otras actividades")</f>
        <v>0</v>
      </c>
      <c r="AZ34" s="101">
        <f>((A4_A_L24*Otras_A)+(A4_B_L24*Otras_B)+(A4_C_L24*Otras_C)+(A4_D_L24*Otras_D)+(A4_Y_L24*Otras_Y))*Inflación_4</f>
        <v>0</v>
      </c>
      <c r="BA34" s="101">
        <f>SUMIFS('9'!$E:$E,'9'!$A:$A,Año_Inicial+3,'9'!$B:$B,'12'!AZ$4,'9'!$D:$D,"Otras actividades")</f>
        <v>0</v>
      </c>
      <c r="BB34" s="101">
        <f>((A4_A_L25*Otras_A)+(A4_B_L25*Otras_B)+(A4_C_L25*Otras_C)+(A4_D_L25*Otras_D)+(A4_Y_L25*Otras_Y))*Inflación_4</f>
        <v>0</v>
      </c>
      <c r="BC34" s="101">
        <f>SUMIFS('9'!$E:$E,'9'!$A:$A,Año_Inicial+3,'9'!$B:$B,'12'!BB$4,'9'!$D:$D,"Otras actividades")</f>
        <v>0</v>
      </c>
      <c r="BD34" s="101">
        <f>((A4_A_L26*Otras_A)+(A4_B_L26*Otras_B)+(A4_C_L26*Otras_C)+(A4_D_L26*Otras_D)+(A4_Y_L26*Otras_Y))*Inflación_4</f>
        <v>0</v>
      </c>
      <c r="BE34" s="101">
        <f>SUMIFS('9'!$E:$E,'9'!$A:$A,Año_Inicial+3,'9'!$B:$B,'12'!BD$4,'9'!$D:$D,"Otras actividades")</f>
        <v>0</v>
      </c>
      <c r="BF34" s="101">
        <f>((A4_A_L27*Otras_A)+(A4_B_L27*Otras_B)+(A4_C_L27*Otras_C)+(A4_D_L27*Otras_D)+(A4_Y_L27*Otras_Y))*Inflación_4</f>
        <v>0</v>
      </c>
      <c r="BG34" s="101">
        <f>SUMIFS('9'!$E:$E,'9'!$A:$A,Año_Inicial+3,'9'!$B:$B,'12'!BF$4,'9'!$D:$D,"Otras actividades")</f>
        <v>0</v>
      </c>
      <c r="BH34" s="101">
        <f>((A4_A_L28*Otras_A)+(A4_B_L28*Otras_B)+(A4_C_L28*Otras_C)+(A4_D_L28*Otras_D)+(A4_Y_L28*Otras_Y))*Inflación_4</f>
        <v>0</v>
      </c>
      <c r="BI34" s="101">
        <f>SUMIFS('9'!$E:$E,'9'!$A:$A,Año_Inicial+3,'9'!$B:$B,'12'!BH$4,'9'!$D:$D,"Otras actividades")</f>
        <v>0</v>
      </c>
      <c r="BJ34" s="101">
        <f>((A4_A_L29*Otras_A)+(A4_B_L29*Otras_B)+(A4_C_L29*Otras_C)+(A4_D_L29*Otras_D)+(A4_Y_L29*Otras_Y))*Inflación_4</f>
        <v>0</v>
      </c>
      <c r="BK34" s="101">
        <f>SUMIFS('9'!$E:$E,'9'!$A:$A,Año_Inicial+3,'9'!$B:$B,'12'!BJ$4,'9'!$D:$D,"Otras actividades")</f>
        <v>0</v>
      </c>
      <c r="BL34" s="101">
        <f>((A4_A_L30*Otras_A)+(A4_B_L30*Otras_B)+(A4_C_L30*Otras_C)+(A4_D_L30*Otras_D)+(A4_Y_L30*Otras_Y))*Inflación_4</f>
        <v>0</v>
      </c>
      <c r="BM34" s="101">
        <f>SUMIFS('9'!$E:$E,'9'!$A:$A,Año_Inicial+3,'9'!$B:$B,'12'!BL$4,'9'!$D:$D,"Otras actividades")</f>
        <v>0</v>
      </c>
      <c r="BN34" s="101">
        <f>((A4_A_L31*Otras_A)+(A4_B_L31*Otras_B)+(A4_C_L31*Otras_C)+(A4_D_L31*Otras_D)+(A4_Y_L31*Otras_Y))*Inflación_4</f>
        <v>0</v>
      </c>
      <c r="BO34" s="101">
        <f>SUMIFS('9'!$E:$E,'9'!$A:$A,Año_Inicial+3,'9'!$B:$B,'12'!BN$4,'9'!$D:$D,"Otras actividades")</f>
        <v>0</v>
      </c>
      <c r="BP34" s="101">
        <f>((A4_A_L32*Otras_A)+(A4_B_L32*Otras_B)+(A4_C_L32*Otras_C)+(A4_D_L32*Otras_D)+(A4_Y_L32*Otras_Y))*Inflación_4</f>
        <v>0</v>
      </c>
      <c r="BQ34" s="101">
        <f>SUMIFS('9'!$E:$E,'9'!$A:$A,Año_Inicial+3,'9'!$B:$B,'12'!BP$4,'9'!$D:$D,"Otras actividades")</f>
        <v>0</v>
      </c>
      <c r="BR34" s="101">
        <f>((A4_A_L33*Otras_A)+(A4_B_L33*Otras_B)+(A4_C_L33*Otras_C)+(A4_D_L33*Otras_D)+(A4_Y_L33*Otras_Y))*Inflación_4</f>
        <v>0</v>
      </c>
      <c r="BS34" s="101">
        <f>SUMIFS('9'!$E:$E,'9'!$A:$A,Año_Inicial+3,'9'!$B:$B,'12'!BR$4,'9'!$D:$D,"Otras actividades")</f>
        <v>0</v>
      </c>
      <c r="BT34" s="101">
        <f>((A4_A_L34*Otras_A)+(A4_B_L34*Otras_B)+(A4_C_L34*Otras_C)+(A4_D_L34*Otras_D)+(A4_Y_L34*Otras_Y))*Inflación_4</f>
        <v>0</v>
      </c>
      <c r="BU34" s="101">
        <f>SUMIFS('9'!$E:$E,'9'!$A:$A,Año_Inicial+3,'9'!$B:$B,'12'!BT$4,'9'!$D:$D,"Otras actividades")</f>
        <v>0</v>
      </c>
      <c r="BV34" s="101">
        <f>((A4_A_L35*Otras_A)+(A4_B_L35*Otras_B)+(A4_C_L35*Otras_C)+(A4_D_L35*Otras_D)+(A4_Y_L35*Otras_Y))*Inflación_4</f>
        <v>0</v>
      </c>
      <c r="BW34" s="101">
        <f>SUMIFS('9'!$E:$E,'9'!$A:$A,Año_Inicial+3,'9'!$B:$B,'12'!BV$4,'9'!$D:$D,"Otras actividades")</f>
        <v>0</v>
      </c>
      <c r="BX34" s="101">
        <f>((A4_A_L36*Otras_A)+(A4_B_L36*Otras_B)+(A4_C_L36*Otras_C)+(A4_D_L36*Otras_D)+(A4_Y_L36*Otras_Y))*Inflación_4</f>
        <v>0</v>
      </c>
      <c r="BY34" s="101">
        <f>SUMIFS('9'!$E:$E,'9'!$A:$A,Año_Inicial+3,'9'!$B:$B,'12'!BX$4,'9'!$D:$D,"Otras actividades")</f>
        <v>0</v>
      </c>
      <c r="BZ34" s="101">
        <f>((A4_A_L37*Otras_A)+(A4_B_L37*Otras_B)+(A4_C_L37*Otras_C)+(A4_D_L37*Otras_D)+(A4_Y_L37*Otras_Y))*Inflación_4</f>
        <v>0</v>
      </c>
      <c r="CA34" s="101">
        <f>SUMIFS('9'!$E:$E,'9'!$A:$A,Año_Inicial+3,'9'!$B:$B,'12'!BZ$4,'9'!$D:$D,"Otras actividades")</f>
        <v>0</v>
      </c>
      <c r="CB34" s="101">
        <f>((A4_A_L38*Otras_A)+(A4_B_L38*Otras_B)+(A4_C_L38*Otras_C)+(A4_D_L38*Otras_D)+(A4_Y_L38*Otras_Y))*Inflación_4</f>
        <v>0</v>
      </c>
      <c r="CC34" s="101">
        <f>SUMIFS('9'!$E:$E,'9'!$A:$A,Año_Inicial+3,'9'!$B:$B,'12'!CB$4,'9'!$D:$D,"Otras actividades")</f>
        <v>0</v>
      </c>
      <c r="CD34" s="101">
        <f>((A4_A_L39*Otras_A)+(A4_B_L39*Otras_B)+(A4_C_L39*Otras_C)+(A4_D_L39*Otras_D)+(A4_Y_L39*Otras_Y))*Inflación_4</f>
        <v>0</v>
      </c>
      <c r="CE34" s="101">
        <f>SUMIFS('9'!$E:$E,'9'!$A:$A,Año_Inicial+3,'9'!$B:$B,'12'!CD$4,'9'!$D:$D,"Otras actividades")</f>
        <v>0</v>
      </c>
      <c r="CF34" s="101">
        <f>((A4_A_L40*Otras_A)+(A4_B_L40*Otras_B)+(A4_C_L40*Otras_C)+(A4_D_L40*Otras_D)+(A4_Y_L40*Otras_Y))*Inflación_4</f>
        <v>0</v>
      </c>
      <c r="CG34" s="101">
        <f>SUMIFS('9'!$E:$E,'9'!$A:$A,Año_Inicial+3,'9'!$B:$B,'12'!CF$4,'9'!$D:$D,"Otras actividades")</f>
        <v>0</v>
      </c>
      <c r="CH34" s="473"/>
      <c r="CI34" s="101">
        <f>Plantas_A_A4*Otras_A*Inflación_4</f>
        <v>0</v>
      </c>
      <c r="CJ34" s="101">
        <f>Plantas_B_A4*Otras_B</f>
        <v>0</v>
      </c>
      <c r="CK34" s="101">
        <f>Plantas_C_A4*Otras_C</f>
        <v>0</v>
      </c>
      <c r="CL34" s="101">
        <f>Plantas_D_A4*Otras_D</f>
        <v>0</v>
      </c>
      <c r="CM34" s="101"/>
      <c r="CN34" s="101">
        <f>Plantas_Y_A4*Otras_Y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SUMIFS('9'!$E:$E,'9'!$A:$A,Año_Inicial+3,'9'!$D:$D,"Coadyuvantes")</f>
        <v>0</v>
      </c>
      <c r="D35" s="100">
        <f t="shared" si="45"/>
        <v>0</v>
      </c>
      <c r="E35" s="473"/>
      <c r="F35" s="101">
        <f>((A4_A_L1*Coad_A)+(A4_B_L1*Coad_B)+(A4_C_L1*Coad_C)+(A4_D_L1*Coad_D)+(A4_Y_L1*Coad_Y))*Inflación_4</f>
        <v>0</v>
      </c>
      <c r="G35" s="101">
        <f>SUMIFS('9'!$E:$E,'9'!$A:$A,Año_Inicial+3,'9'!$B:$B,'12'!F$4,'9'!$D:$D,"Coadyuvantes")</f>
        <v>0</v>
      </c>
      <c r="H35" s="101">
        <f>((A4_A_L2*Coad_A)+(A4_B_L2*Coad_B)+(A4_C_L2*Coad_C)+(A4_D_L2*Coad_D)+(A4_Y_L2*Coad_Y))*Inflación_4</f>
        <v>0</v>
      </c>
      <c r="I35" s="101">
        <f>SUMIFS('9'!$E:$E,'9'!$A:$A,Año_Inicial+3,'9'!$B:$B,'12'!H$4,'9'!$D:$D,"Coadyuvantes")</f>
        <v>0</v>
      </c>
      <c r="J35" s="101">
        <f>((A4_A_L3*Coad_A)+(A4_B_L3*Coad_B)+(A4_C_L3*Coad_C)+(A4_D_L3*Coad_D)+(A4_Y_L3*Coad_Y))*Inflación_4</f>
        <v>0</v>
      </c>
      <c r="K35" s="101">
        <f>SUMIFS('9'!$E:$E,'9'!$A:$A,Año_Inicial+3,'9'!$B:$B,'12'!J$4,'9'!$D:$D,"Coadyuvantes")</f>
        <v>0</v>
      </c>
      <c r="L35" s="101">
        <f>((A4_A_L4*Coad_A)+(A4_B_L4*Coad_B)+(A4_C_L4*Coad_C)+(A4_D_L4*Coad_D)+(A4_Y_L4*Coad_Y))*Inflación_4</f>
        <v>0</v>
      </c>
      <c r="M35" s="101">
        <f>SUMIFS('9'!$E:$E,'9'!$A:$A,Año_Inicial+3,'9'!$B:$B,'12'!L$4,'9'!$D:$D,"Coadyuvantes")</f>
        <v>0</v>
      </c>
      <c r="N35" s="101">
        <f>((A4_A_L5*Coad_A)+(A4_B_L5*Coad_B)+(A4_C_L5*Coad_C)+(A4_D_L5*Coad_D)+(A4_Y_L5*Coad_Y))*Inflación_4</f>
        <v>0</v>
      </c>
      <c r="O35" s="101">
        <f>SUMIFS('9'!$E:$E,'9'!$A:$A,Año_Inicial+3,'9'!$B:$B,'12'!N$4,'9'!$D:$D,"Coadyuvantes")</f>
        <v>0</v>
      </c>
      <c r="P35" s="101">
        <f>((A4_A_L6*Coad_A)+(A4_B_L6*Coad_B)+(A4_C_L6*Coad_C)+(A4_D_L6*Coad_D)+(A4_Y_L6*Coad_Y))*Inflación_4</f>
        <v>0</v>
      </c>
      <c r="Q35" s="101">
        <f>SUMIFS('9'!$E:$E,'9'!$A:$A,Año_Inicial+3,'9'!$B:$B,'12'!P$4,'9'!$D:$D,"Coadyuvantes")</f>
        <v>0</v>
      </c>
      <c r="R35" s="101">
        <f>((A4_A_L7*Coad_A)+(A4_B_L7*Coad_B)+(A4_C_L7*Coad_C)+(A4_D_L7*Coad_D)+(A4_Y_L7*Coad_Y))*Inflación_4</f>
        <v>0</v>
      </c>
      <c r="S35" s="101">
        <f>SUMIFS('9'!$E:$E,'9'!$A:$A,Año_Inicial+3,'9'!$B:$B,'12'!R$4,'9'!$D:$D,"Coadyuvantes")</f>
        <v>0</v>
      </c>
      <c r="T35" s="101">
        <f>((A4_A_L8*Coad_A)+(A4_B_L8*Coad_B)+(A4_C_L8*Coad_C)+(A4_D_L8*Coad_D)+(A4_Y_L8*Coad_Y))*Inflación_4</f>
        <v>0</v>
      </c>
      <c r="U35" s="101">
        <f>SUMIFS('9'!$E:$E,'9'!$A:$A,Año_Inicial+3,'9'!$B:$B,'12'!T$4,'9'!$D:$D,"Coadyuvantes")</f>
        <v>0</v>
      </c>
      <c r="V35" s="101">
        <f>((A4_A_L9*Coad_A)+(A4_B_L9*Coad_B)+(A4_C_L9*Coad_C)+(A4_D_L9*Coad_D)+(A4_Y_L9*Coad_Y))*Inflación_4</f>
        <v>0</v>
      </c>
      <c r="W35" s="101">
        <f>SUMIFS('9'!$E:$E,'9'!$A:$A,Año_Inicial+3,'9'!$B:$B,'12'!V$4,'9'!$D:$D,"Coadyuvantes")</f>
        <v>0</v>
      </c>
      <c r="X35" s="101">
        <f>((A4_A_L10*Coad_A)+(A4_B_L10*Coad_B)+(A4_C_L10*Coad_C)+(A4_D_L10*Coad_D)+(A4_Y_L10*Coad_Y))*Inflación_4</f>
        <v>0</v>
      </c>
      <c r="Y35" s="101">
        <f>SUMIFS('9'!$E:$E,'9'!$A:$A,Año_Inicial+3,'9'!$B:$B,'12'!X$4,'9'!$D:$D,"Coadyuvantes")</f>
        <v>0</v>
      </c>
      <c r="Z35" s="101">
        <f>((A4_A_L11*Coad_A)+(A4_B_L11*Coad_B)+(A4_C_L11*Coad_C)+(A4_D_L11*Coad_D)+(A4_Y_L11*Coad_Y))*Inflación_4</f>
        <v>0</v>
      </c>
      <c r="AA35" s="101">
        <f>SUMIFS('9'!$E:$E,'9'!$A:$A,Año_Inicial+3,'9'!$B:$B,'12'!Z$4,'9'!$D:$D,"Coadyuvantes")</f>
        <v>0</v>
      </c>
      <c r="AB35" s="101">
        <f>((A4_A_L12*Coad_A)+(A4_B_L12*Coad_B)+(A4_C_L12*Coad_C)+(A4_D_L12*Coad_D)+(A4_Y_L12*Coad_Y))*Inflación_4</f>
        <v>0</v>
      </c>
      <c r="AC35" s="101">
        <f>SUMIFS('9'!$E:$E,'9'!$A:$A,Año_Inicial+3,'9'!$B:$B,'12'!AB$4,'9'!$D:$D,"Coadyuvantes")</f>
        <v>0</v>
      </c>
      <c r="AD35" s="101">
        <f>((A4_A_L13*Coad_A)+(A4_B_L13*Coad_B)+(A4_C_L13*Coad_C)+(A4_D_L13*Coad_D)+(A4_Y_L13*Coad_Y))*Inflación_4</f>
        <v>0</v>
      </c>
      <c r="AE35" s="101">
        <f>SUMIFS('9'!$E:$E,'9'!$A:$A,Año_Inicial+3,'9'!$B:$B,'12'!AD$4,'9'!$D:$D,"Coadyuvantes")</f>
        <v>0</v>
      </c>
      <c r="AF35" s="101">
        <f>((A4_A_L14*Coad_A)+(A4_B_L14*Coad_B)+(A4_C_L14*Coad_C)+(A4_D_L14*Coad_D)+(A4_Y_L14*Coad_Y))*Inflación_4</f>
        <v>0</v>
      </c>
      <c r="AG35" s="101">
        <f>SUMIFS('9'!$E:$E,'9'!$A:$A,Año_Inicial+3,'9'!$B:$B,'12'!AF$4,'9'!$D:$D,"Coadyuvantes")</f>
        <v>0</v>
      </c>
      <c r="AH35" s="101">
        <f>((A4_A_L15*Coad_A)+(A4_B_L15*Coad_B)+(A4_C_L15*Coad_C)+(A4_D_L15*Coad_D)+(A4_Y_L15*Coad_Y))*Inflación_4</f>
        <v>0</v>
      </c>
      <c r="AI35" s="101">
        <f>SUMIFS('9'!$E:$E,'9'!$A:$A,Año_Inicial+3,'9'!$B:$B,'12'!AH$4,'9'!$D:$D,"Coadyuvantes")</f>
        <v>0</v>
      </c>
      <c r="AJ35" s="101">
        <f>((A4_A_L16*Coad_A)+(A4_B_L16*Coad_B)+(A4_C_L16*Coad_C)+(A4_D_L16*Coad_D)+(A4_Y_L16*Coad_Y))*Inflación_4</f>
        <v>0</v>
      </c>
      <c r="AK35" s="101">
        <f>SUMIFS('9'!$E:$E,'9'!$A:$A,Año_Inicial+3,'9'!$B:$B,'12'!AJ$4,'9'!$D:$D,"Coadyuvantes")</f>
        <v>0</v>
      </c>
      <c r="AL35" s="101">
        <f>((A4_A_L17*Coad_A)+(A4_B_L17*Coad_B)+(A4_C_L17*Coad_C)+(A4_D_L17*Coad_D)+(A4_Y_L17*Coad_Y))*Inflación_4</f>
        <v>0</v>
      </c>
      <c r="AM35" s="101">
        <f>SUMIFS('9'!$E:$E,'9'!$A:$A,Año_Inicial+3,'9'!$B:$B,'12'!AL$4,'9'!$D:$D,"Coadyuvantes")</f>
        <v>0</v>
      </c>
      <c r="AN35" s="101">
        <f>((A4_A_L18*Coad_A)+(A4_B_L18*Coad_B)+(A4_C_L18*Coad_C)+(A4_D_L18*Coad_D)+(A4_Y_L18*Coad_Y))*Inflación_4</f>
        <v>0</v>
      </c>
      <c r="AO35" s="101">
        <f>SUMIFS('9'!$E:$E,'9'!$A:$A,Año_Inicial+3,'9'!$B:$B,'12'!AN$4,'9'!$D:$D,"Coadyuvantes")</f>
        <v>0</v>
      </c>
      <c r="AP35" s="101">
        <f>((A4_A_L19*Coad_A)+(A4_B_L19*Coad_B)+(A4_C_L19*Coad_C)+(A4_D_L19*Coad_D)+(A4_Y_L19*Coad_Y))*Inflación_4</f>
        <v>0</v>
      </c>
      <c r="AQ35" s="101">
        <f>SUMIFS('9'!$E:$E,'9'!$A:$A,Año_Inicial+3,'9'!$B:$B,'12'!AP$4,'9'!$D:$D,"Coadyuvantes")</f>
        <v>0</v>
      </c>
      <c r="AR35" s="101">
        <f>((A4_A_L20*Coad_A)+(A4_B_L20*Coad_B)+(A4_C_L20*Coad_C)+(A4_D_L20*Coad_D)+(A4_Y_L20*Coad_Y))*Inflación_4</f>
        <v>0</v>
      </c>
      <c r="AS35" s="101">
        <f>SUMIFS('9'!$E:$E,'9'!$A:$A,Año_Inicial+3,'9'!$B:$B,'12'!AR$4,'9'!$D:$D,"Coadyuvantes")</f>
        <v>0</v>
      </c>
      <c r="AT35" s="101">
        <f>((A4_A_L21*Coad_A)+(A4_B_L21*Coad_B)+(A4_C_L21*Coad_C)+(A4_D_L21*Coad_D)+(A4_Y_L21*Coad_Y))*Inflación_4</f>
        <v>0</v>
      </c>
      <c r="AU35" s="101">
        <f>SUMIFS('9'!$E:$E,'9'!$A:$A,Año_Inicial+3,'9'!$B:$B,'12'!AT$4,'9'!$D:$D,"Coadyuvantes")</f>
        <v>0</v>
      </c>
      <c r="AV35" s="101">
        <f>((A4_A_L22*Coad_A)+(A4_B_L22*Coad_B)+(A4_C_L22*Coad_C)+(A4_D_L22*Coad_D)+(A4_Y_L22*Coad_Y))*Inflación_4</f>
        <v>0</v>
      </c>
      <c r="AW35" s="101">
        <f>SUMIFS('9'!$E:$E,'9'!$A:$A,Año_Inicial+3,'9'!$B:$B,'12'!AV$4,'9'!$D:$D,"Coadyuvantes")</f>
        <v>0</v>
      </c>
      <c r="AX35" s="101">
        <f>((A4_A_L23*Coad_A)+(A4_B_L23*Coad_B)+(A4_C_L23*Coad_C)+(A4_D_L23*Coad_D)+(A4_Y_L23*Coad_Y))*Inflación_4</f>
        <v>0</v>
      </c>
      <c r="AY35" s="101">
        <f>SUMIFS('9'!$E:$E,'9'!$A:$A,Año_Inicial+3,'9'!$B:$B,'12'!AX$4,'9'!$D:$D,"Coadyuvantes")</f>
        <v>0</v>
      </c>
      <c r="AZ35" s="101">
        <f>((A4_A_L24*Coad_A)+(A4_B_L24*Coad_B)+(A4_C_L24*Coad_C)+(A4_D_L24*Coad_D)+(A4_Y_L24*Coad_Y))*Inflación_4</f>
        <v>0</v>
      </c>
      <c r="BA35" s="101">
        <f>SUMIFS('9'!$E:$E,'9'!$A:$A,Año_Inicial+3,'9'!$B:$B,'12'!AZ$4,'9'!$D:$D,"Coadyuvantes")</f>
        <v>0</v>
      </c>
      <c r="BB35" s="101">
        <f>((A4_A_L25*Coad_A)+(A4_B_L25*Coad_B)+(A4_C_L25*Coad_C)+(A4_D_L25*Coad_D)+(A4_Y_L25*Coad_Y))*Inflación_4</f>
        <v>0</v>
      </c>
      <c r="BC35" s="101">
        <f>SUMIFS('9'!$E:$E,'9'!$A:$A,Año_Inicial+3,'9'!$B:$B,'12'!BB$4,'9'!$D:$D,"Coadyuvantes")</f>
        <v>0</v>
      </c>
      <c r="BD35" s="101">
        <f>((A4_A_L26*Coad_A)+(A4_B_L26*Coad_B)+(A4_C_L26*Coad_C)+(A4_D_L26*Coad_D)+(A4_Y_L26*Coad_Y))*Inflación_4</f>
        <v>0</v>
      </c>
      <c r="BE35" s="101">
        <f>SUMIFS('9'!$E:$E,'9'!$A:$A,Año_Inicial+3,'9'!$B:$B,'12'!BD$4,'9'!$D:$D,"Coadyuvantes")</f>
        <v>0</v>
      </c>
      <c r="BF35" s="101">
        <f>((A4_A_L27*Coad_A)+(A4_B_L27*Coad_B)+(A4_C_L27*Coad_C)+(A4_D_L27*Coad_D)+(A4_Y_L27*Coad_Y))*Inflación_4</f>
        <v>0</v>
      </c>
      <c r="BG35" s="101">
        <f>SUMIFS('9'!$E:$E,'9'!$A:$A,Año_Inicial+3,'9'!$B:$B,'12'!BF$4,'9'!$D:$D,"Coadyuvantes")</f>
        <v>0</v>
      </c>
      <c r="BH35" s="101">
        <f>((A4_A_L28*Coad_A)+(A4_B_L28*Coad_B)+(A4_C_L28*Coad_C)+(A4_D_L28*Coad_D)+(A4_Y_L28*Coad_Y))*Inflación_4</f>
        <v>0</v>
      </c>
      <c r="BI35" s="101">
        <f>SUMIFS('9'!$E:$E,'9'!$A:$A,Año_Inicial+3,'9'!$B:$B,'12'!BH$4,'9'!$D:$D,"Coadyuvantes")</f>
        <v>0</v>
      </c>
      <c r="BJ35" s="101">
        <f>((A4_A_L29*Coad_A)+(A4_B_L29*Coad_B)+(A4_C_L29*Coad_C)+(A4_D_L29*Coad_D)+(A4_Y_L29*Coad_Y))*Inflación_4</f>
        <v>0</v>
      </c>
      <c r="BK35" s="101">
        <f>SUMIFS('9'!$E:$E,'9'!$A:$A,Año_Inicial+3,'9'!$B:$B,'12'!BJ$4,'9'!$D:$D,"Coadyuvantes")</f>
        <v>0</v>
      </c>
      <c r="BL35" s="101">
        <f>((A4_A_L30*Coad_A)+(A4_B_L30*Coad_B)+(A4_C_L30*Coad_C)+(A4_D_L30*Coad_D)+(A4_Y_L30*Coad_Y))*Inflación_4</f>
        <v>0</v>
      </c>
      <c r="BM35" s="101">
        <f>SUMIFS('9'!$E:$E,'9'!$A:$A,Año_Inicial+3,'9'!$B:$B,'12'!BL$4,'9'!$D:$D,"Coadyuvantes")</f>
        <v>0</v>
      </c>
      <c r="BN35" s="101">
        <f>((A4_A_L31*Coad_A)+(A4_B_L31*Coad_B)+(A4_C_L31*Coad_C)+(A4_D_L31*Coad_D)+(A4_Y_L31*Coad_Y))*Inflación_4</f>
        <v>0</v>
      </c>
      <c r="BO35" s="101">
        <f>SUMIFS('9'!$E:$E,'9'!$A:$A,Año_Inicial+3,'9'!$B:$B,'12'!BN$4,'9'!$D:$D,"Coadyuvantes")</f>
        <v>0</v>
      </c>
      <c r="BP35" s="101">
        <f>((A4_A_L32*Coad_A)+(A4_B_L32*Coad_B)+(A4_C_L32*Coad_C)+(A4_D_L32*Coad_D)+(A4_Y_L32*Coad_Y))*Inflación_4</f>
        <v>0</v>
      </c>
      <c r="BQ35" s="101">
        <f>SUMIFS('9'!$E:$E,'9'!$A:$A,Año_Inicial+3,'9'!$B:$B,'12'!BP$4,'9'!$D:$D,"Coadyuvantes")</f>
        <v>0</v>
      </c>
      <c r="BR35" s="101">
        <f>((A4_A_L33*Coad_A)+(A4_B_L33*Coad_B)+(A4_C_L33*Coad_C)+(A4_D_L33*Coad_D)+(A4_Y_L33*Coad_Y))*Inflación_4</f>
        <v>0</v>
      </c>
      <c r="BS35" s="101">
        <f>SUMIFS('9'!$E:$E,'9'!$A:$A,Año_Inicial+3,'9'!$B:$B,'12'!BR$4,'9'!$D:$D,"Coadyuvantes")</f>
        <v>0</v>
      </c>
      <c r="BT35" s="101">
        <f>((A4_A_L34*Coad_A)+(A4_B_L34*Coad_B)+(A4_C_L34*Coad_C)+(A4_D_L34*Coad_D)+(A4_Y_L34*Coad_Y))*Inflación_4</f>
        <v>0</v>
      </c>
      <c r="BU35" s="101">
        <f>SUMIFS('9'!$E:$E,'9'!$A:$A,Año_Inicial+3,'9'!$B:$B,'12'!BT$4,'9'!$D:$D,"Coadyuvantes")</f>
        <v>0</v>
      </c>
      <c r="BV35" s="101">
        <f>((A4_A_L35*Coad_A)+(A4_B_L35*Coad_B)+(A4_C_L35*Coad_C)+(A4_D_L35*Coad_D)+(A4_Y_L35*Coad_Y))*Inflación_4</f>
        <v>0</v>
      </c>
      <c r="BW35" s="101">
        <f>SUMIFS('9'!$E:$E,'9'!$A:$A,Año_Inicial+3,'9'!$B:$B,'12'!BV$4,'9'!$D:$D,"Coadyuvantes")</f>
        <v>0</v>
      </c>
      <c r="BX35" s="101">
        <f>((A4_A_L36*Coad_A)+(A4_B_L36*Coad_B)+(A4_C_L36*Coad_C)+(A4_D_L36*Coad_D)+(A4_Y_L36*Coad_Y))*Inflación_4</f>
        <v>0</v>
      </c>
      <c r="BY35" s="101">
        <f>SUMIFS('9'!$E:$E,'9'!$A:$A,Año_Inicial+3,'9'!$B:$B,'12'!BX$4,'9'!$D:$D,"Coadyuvantes")</f>
        <v>0</v>
      </c>
      <c r="BZ35" s="101">
        <f>((A4_A_L37*Coad_A)+(A4_B_L37*Coad_B)+(A4_C_L37*Coad_C)+(A4_D_L37*Coad_D)+(A4_Y_L37*Coad_Y))*Inflación_4</f>
        <v>0</v>
      </c>
      <c r="CA35" s="101">
        <f>SUMIFS('9'!$E:$E,'9'!$A:$A,Año_Inicial+3,'9'!$B:$B,'12'!BZ$4,'9'!$D:$D,"Coadyuvantes")</f>
        <v>0</v>
      </c>
      <c r="CB35" s="101">
        <f>((A4_A_L38*Coad_A)+(A4_B_L38*Coad_B)+(A4_C_L38*Coad_C)+(A4_D_L38*Coad_D)+(A4_Y_L38*Coad_Y))*Inflación_4</f>
        <v>0</v>
      </c>
      <c r="CC35" s="101">
        <f>SUMIFS('9'!$E:$E,'9'!$A:$A,Año_Inicial+3,'9'!$B:$B,'12'!CB$4,'9'!$D:$D,"Coadyuvantes")</f>
        <v>0</v>
      </c>
      <c r="CD35" s="101">
        <f>((A4_A_L39*Coad_A)+(A4_B_L39*Coad_B)+(A4_C_L39*Coad_C)+(A4_D_L39*Coad_D)+(A4_Y_L39*Coad_Y))*Inflación_4</f>
        <v>0</v>
      </c>
      <c r="CE35" s="101">
        <f>SUMIFS('9'!$E:$E,'9'!$A:$A,Año_Inicial+3,'9'!$B:$B,'12'!CD$4,'9'!$D:$D,"Coadyuvantes")</f>
        <v>0</v>
      </c>
      <c r="CF35" s="101">
        <f>((A4_A_L40*Coad_A)+(A4_B_L40*Coad_B)+(A4_C_L40*Coad_C)+(A4_D_L40*Coad_D)+(A4_Y_L40*Coad_Y))*Inflación_4</f>
        <v>0</v>
      </c>
      <c r="CG35" s="101">
        <f>SUMIFS('9'!$E:$E,'9'!$A:$A,Año_Inicial+3,'9'!$B:$B,'12'!CF$4,'9'!$D:$D,"Coadyuvantes")</f>
        <v>0</v>
      </c>
      <c r="CH35" s="473"/>
      <c r="CI35" s="101">
        <f>Plantas_A_A4*Coad_A*Inflación_4</f>
        <v>0</v>
      </c>
      <c r="CJ35" s="101">
        <f>Plantas_B_A4*Coad_B</f>
        <v>0</v>
      </c>
      <c r="CK35" s="101">
        <f>Plantas_C_A4*Coad_C</f>
        <v>0</v>
      </c>
      <c r="CL35" s="101">
        <f>Plantas_D_A4*Coad_D</f>
        <v>0</v>
      </c>
      <c r="CM35" s="101"/>
      <c r="CN35" s="101">
        <f>Plantas_Y_A4*Coad_Y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SUMIFS('9'!$E:$E,'9'!$A:$A,Año_Inicial+3,'9'!$D:$D,"Otro insumo 1*")</f>
        <v>0</v>
      </c>
      <c r="D36" s="100">
        <f t="shared" si="45"/>
        <v>0</v>
      </c>
      <c r="E36" s="473"/>
      <c r="F36" s="101">
        <f>((A4_A_L1*Otro1_A)+(A4_B_L1*Otro1_B)+(A4_C_L1*Otro1_C)+(A4_D_L1*Otro1_D)+(A4_Y_L1*Otro1_Y))*Inflación_4</f>
        <v>0</v>
      </c>
      <c r="G36" s="101">
        <f>SUMIFS('9'!$E:$E,'9'!$A:$A,Año_Inicial+3,'9'!$B:$B,'12'!F$4,'9'!$D:$D,"Otro insumo 1*")</f>
        <v>0</v>
      </c>
      <c r="H36" s="101">
        <f>((A4_A_L2*Otro1_A)+(A4_B_L2*Otro1_B)+(A4_C_L2*Otro1_C)+(A4_D_L2*Otro1_D)+(A4_Y_L2*Otro1_Y))*Inflación_4</f>
        <v>0</v>
      </c>
      <c r="I36" s="101">
        <f>SUMIFS('9'!$E:$E,'9'!$A:$A,Año_Inicial+3,'9'!$B:$B,'12'!H$4,'9'!$D:$D,"Otro insumo 1*")</f>
        <v>0</v>
      </c>
      <c r="J36" s="101">
        <f>((A4_A_L3*Otro1_A)+(A4_B_L3*Otro1_B)+(A4_C_L3*Otro1_C)+(A4_D_L3*Otro1_D)+(A4_Y_L3*Otro1_Y))*Inflación_4</f>
        <v>0</v>
      </c>
      <c r="K36" s="101">
        <f>SUMIFS('9'!$E:$E,'9'!$A:$A,Año_Inicial+3,'9'!$B:$B,'12'!J$4,'9'!$D:$D,"Otro insumo 1*")</f>
        <v>0</v>
      </c>
      <c r="L36" s="101">
        <f>((A4_A_L4*Otro1_A)+(A4_B_L4*Otro1_B)+(A4_C_L4*Otro1_C)+(A4_D_L4*Otro1_D)+(A4_Y_L4*Otro1_Y))*Inflación_4</f>
        <v>0</v>
      </c>
      <c r="M36" s="101">
        <f>SUMIFS('9'!$E:$E,'9'!$A:$A,Año_Inicial+3,'9'!$B:$B,'12'!L$4,'9'!$D:$D,"Otro insumo 1*")</f>
        <v>0</v>
      </c>
      <c r="N36" s="101">
        <f>((A4_A_L5*Otro1_A)+(A4_B_L5*Otro1_B)+(A4_C_L5*Otro1_C)+(A4_D_L5*Otro1_D)+(A4_Y_L5*Otro1_Y))*Inflación_4</f>
        <v>0</v>
      </c>
      <c r="O36" s="101">
        <f>SUMIFS('9'!$E:$E,'9'!$A:$A,Año_Inicial+3,'9'!$B:$B,'12'!N$4,'9'!$D:$D,"Otro insumo 1*")</f>
        <v>0</v>
      </c>
      <c r="P36" s="101">
        <f>((A4_A_L6*Otro1_A)+(A4_B_L6*Otro1_B)+(A4_C_L6*Otro1_C)+(A4_D_L6*Otro1_D)+(A4_Y_L6*Otro1_Y))*Inflación_4</f>
        <v>0</v>
      </c>
      <c r="Q36" s="101">
        <f>SUMIFS('9'!$E:$E,'9'!$A:$A,Año_Inicial+3,'9'!$B:$B,'12'!P$4,'9'!$D:$D,"Otro insumo 1*")</f>
        <v>0</v>
      </c>
      <c r="R36" s="101">
        <f>((A4_A_L7*Otro1_A)+(A4_B_L7*Otro1_B)+(A4_C_L7*Otro1_C)+(A4_D_L7*Otro1_D)+(A4_Y_L7*Otro1_Y))*Inflación_4</f>
        <v>0</v>
      </c>
      <c r="S36" s="101">
        <f>SUMIFS('9'!$E:$E,'9'!$A:$A,Año_Inicial+3,'9'!$B:$B,'12'!R$4,'9'!$D:$D,"Otro insumo 1*")</f>
        <v>0</v>
      </c>
      <c r="T36" s="101">
        <f>((A4_A_L8*Otro1_A)+(A4_B_L8*Otro1_B)+(A4_C_L8*Otro1_C)+(A4_D_L8*Otro1_D)+(A4_Y_L8*Otro1_Y))*Inflación_4</f>
        <v>0</v>
      </c>
      <c r="U36" s="101">
        <f>SUMIFS('9'!$E:$E,'9'!$A:$A,Año_Inicial+3,'9'!$B:$B,'12'!T$4,'9'!$D:$D,"Otro insumo 1*")</f>
        <v>0</v>
      </c>
      <c r="V36" s="101">
        <f>((A4_A_L9*Otro1_A)+(A4_B_L9*Otro1_B)+(A4_C_L9*Otro1_C)+(A4_D_L9*Otro1_D)+(A4_Y_L9*Otro1_Y))*Inflación_4</f>
        <v>0</v>
      </c>
      <c r="W36" s="101">
        <f>SUMIFS('9'!$E:$E,'9'!$A:$A,Año_Inicial+3,'9'!$B:$B,'12'!V$4,'9'!$D:$D,"Otro insumo 1*")</f>
        <v>0</v>
      </c>
      <c r="X36" s="101">
        <f>((A4_A_L10*Otro1_A)+(A4_B_L10*Otro1_B)+(A4_C_L10*Otro1_C)+(A4_D_L10*Otro1_D)+(A4_Y_L10*Otro1_Y))*Inflación_4</f>
        <v>0</v>
      </c>
      <c r="Y36" s="101">
        <f>SUMIFS('9'!$E:$E,'9'!$A:$A,Año_Inicial+3,'9'!$B:$B,'12'!X$4,'9'!$D:$D,"Otro insumo 1*")</f>
        <v>0</v>
      </c>
      <c r="Z36" s="101">
        <f>((A4_A_L11*Otro1_A)+(A4_B_L11*Otro1_B)+(A4_C_L11*Otro1_C)+(A4_D_L11*Otro1_D)+(A4_Y_L11*Otro1_Y))*Inflación_4</f>
        <v>0</v>
      </c>
      <c r="AA36" s="101">
        <f>SUMIFS('9'!$E:$E,'9'!$A:$A,Año_Inicial+3,'9'!$B:$B,'12'!Z$4,'9'!$D:$D,"Otro insumo 1*")</f>
        <v>0</v>
      </c>
      <c r="AB36" s="101">
        <f>((A4_A_L12*Otro1_A)+(A4_B_L12*Otro1_B)+(A4_C_L12*Otro1_C)+(A4_D_L12*Otro1_D)+(A4_Y_L12*Otro1_Y))*Inflación_4</f>
        <v>0</v>
      </c>
      <c r="AC36" s="101">
        <f>SUMIFS('9'!$E:$E,'9'!$A:$A,Año_Inicial+3,'9'!$B:$B,'12'!AB$4,'9'!$D:$D,"Otro insumo 1*")</f>
        <v>0</v>
      </c>
      <c r="AD36" s="101">
        <f>((A4_A_L13*Otro1_A)+(A4_B_L13*Otro1_B)+(A4_C_L13*Otro1_C)+(A4_D_L13*Otro1_D)+(A4_Y_L13*Otro1_Y))*Inflación_4</f>
        <v>0</v>
      </c>
      <c r="AE36" s="101">
        <f>SUMIFS('9'!$E:$E,'9'!$A:$A,Año_Inicial+3,'9'!$B:$B,'12'!AD$4,'9'!$D:$D,"Otro insumo 1*")</f>
        <v>0</v>
      </c>
      <c r="AF36" s="101">
        <f>((A4_A_L14*Otro1_A)+(A4_B_L14*Otro1_B)+(A4_C_L14*Otro1_C)+(A4_D_L14*Otro1_D)+(A4_Y_L14*Otro1_Y))*Inflación_4</f>
        <v>0</v>
      </c>
      <c r="AG36" s="101">
        <f>SUMIFS('9'!$E:$E,'9'!$A:$A,Año_Inicial+3,'9'!$B:$B,'12'!AF$4,'9'!$D:$D,"Otro insumo 1*")</f>
        <v>0</v>
      </c>
      <c r="AH36" s="101">
        <f>((A4_A_L15*Otro1_A)+(A4_B_L15*Otro1_B)+(A4_C_L15*Otro1_C)+(A4_D_L15*Otro1_D)+(A4_Y_L15*Otro1_Y))*Inflación_4</f>
        <v>0</v>
      </c>
      <c r="AI36" s="101">
        <f>SUMIFS('9'!$E:$E,'9'!$A:$A,Año_Inicial+3,'9'!$B:$B,'12'!AH$4,'9'!$D:$D,"Otro insumo 1*")</f>
        <v>0</v>
      </c>
      <c r="AJ36" s="101">
        <f>((A4_A_L16*Otro1_A)+(A4_B_L16*Otro1_B)+(A4_C_L16*Otro1_C)+(A4_D_L16*Otro1_D)+(A4_Y_L16*Otro1_Y))*Inflación_4</f>
        <v>0</v>
      </c>
      <c r="AK36" s="101">
        <f>SUMIFS('9'!$E:$E,'9'!$A:$A,Año_Inicial+3,'9'!$B:$B,'12'!AJ$4,'9'!$D:$D,"Otro insumo 1*")</f>
        <v>0</v>
      </c>
      <c r="AL36" s="101">
        <f>((A4_A_L17*Otro1_A)+(A4_B_L17*Otro1_B)+(A4_C_L17*Otro1_C)+(A4_D_L17*Otro1_D)+(A4_Y_L17*Otro1_Y))*Inflación_4</f>
        <v>0</v>
      </c>
      <c r="AM36" s="101">
        <f>SUMIFS('9'!$E:$E,'9'!$A:$A,Año_Inicial+3,'9'!$B:$B,'12'!AL$4,'9'!$D:$D,"Otro insumo 1*")</f>
        <v>0</v>
      </c>
      <c r="AN36" s="101">
        <f>((A4_A_L18*Otro1_A)+(A4_B_L18*Otro1_B)+(A4_C_L18*Otro1_C)+(A4_D_L18*Otro1_D)+(A4_Y_L18*Otro1_Y))*Inflación_4</f>
        <v>0</v>
      </c>
      <c r="AO36" s="101">
        <f>SUMIFS('9'!$E:$E,'9'!$A:$A,Año_Inicial+3,'9'!$B:$B,'12'!AN$4,'9'!$D:$D,"Otro insumo 1*")</f>
        <v>0</v>
      </c>
      <c r="AP36" s="101">
        <f>((A4_A_L19*Otro1_A)+(A4_B_L19*Otro1_B)+(A4_C_L19*Otro1_C)+(A4_D_L19*Otro1_D)+(A4_Y_L19*Otro1_Y))*Inflación_4</f>
        <v>0</v>
      </c>
      <c r="AQ36" s="101">
        <f>SUMIFS('9'!$E:$E,'9'!$A:$A,Año_Inicial+3,'9'!$B:$B,'12'!AP$4,'9'!$D:$D,"Otro insumo 1*")</f>
        <v>0</v>
      </c>
      <c r="AR36" s="101">
        <f>((A4_A_L20*Otro1_A)+(A4_B_L20*Otro1_B)+(A4_C_L20*Otro1_C)+(A4_D_L20*Otro1_D)+(A4_Y_L20*Otro1_Y))*Inflación_4</f>
        <v>0</v>
      </c>
      <c r="AS36" s="101">
        <f>SUMIFS('9'!$E:$E,'9'!$A:$A,Año_Inicial+3,'9'!$B:$B,'12'!AR$4,'9'!$D:$D,"Otro insumo 1*")</f>
        <v>0</v>
      </c>
      <c r="AT36" s="101">
        <f>((A4_A_L21*Otro1_A)+(A4_B_L21*Otro1_B)+(A4_C_L21*Otro1_C)+(A4_D_L21*Otro1_D)+(A4_Y_L21*Otro1_Y))*Inflación_4</f>
        <v>0</v>
      </c>
      <c r="AU36" s="101">
        <f>SUMIFS('9'!$E:$E,'9'!$A:$A,Año_Inicial+3,'9'!$B:$B,'12'!AT$4,'9'!$D:$D,"Otro insumo 1*")</f>
        <v>0</v>
      </c>
      <c r="AV36" s="101">
        <f>((A4_A_L22*Otro1_A)+(A4_B_L22*Otro1_B)+(A4_C_L22*Otro1_C)+(A4_D_L22*Otro1_D)+(A4_Y_L22*Otro1_Y))*Inflación_4</f>
        <v>0</v>
      </c>
      <c r="AW36" s="101">
        <f>SUMIFS('9'!$E:$E,'9'!$A:$A,Año_Inicial+3,'9'!$B:$B,'12'!AV$4,'9'!$D:$D,"Otro insumo 1*")</f>
        <v>0</v>
      </c>
      <c r="AX36" s="101">
        <f>((A4_A_L23*Otro1_A)+(A4_B_L23*Otro1_B)+(A4_C_L23*Otro1_C)+(A4_D_L23*Otro1_D)+(A4_Y_L23*Otro1_Y))*Inflación_4</f>
        <v>0</v>
      </c>
      <c r="AY36" s="101">
        <f>SUMIFS('9'!$E:$E,'9'!$A:$A,Año_Inicial+3,'9'!$B:$B,'12'!AX$4,'9'!$D:$D,"Otro insumo 1*")</f>
        <v>0</v>
      </c>
      <c r="AZ36" s="101">
        <f>((A4_A_L24*Otro1_A)+(A4_B_L24*Otro1_B)+(A4_C_L24*Otro1_C)+(A4_D_L24*Otro1_D)+(A4_Y_L24*Otro1_Y))*Inflación_4</f>
        <v>0</v>
      </c>
      <c r="BA36" s="101">
        <f>SUMIFS('9'!$E:$E,'9'!$A:$A,Año_Inicial+3,'9'!$B:$B,'12'!AZ$4,'9'!$D:$D,"Otro insumo 1*")</f>
        <v>0</v>
      </c>
      <c r="BB36" s="101">
        <f>((A4_A_L25*Otro1_A)+(A4_B_L25*Otro1_B)+(A4_C_L25*Otro1_C)+(A4_D_L25*Otro1_D)+(A4_Y_L25*Otro1_Y))*Inflación_4</f>
        <v>0</v>
      </c>
      <c r="BC36" s="101">
        <f>SUMIFS('9'!$E:$E,'9'!$A:$A,Año_Inicial+3,'9'!$B:$B,'12'!BB$4,'9'!$D:$D,"Otro insumo 1*")</f>
        <v>0</v>
      </c>
      <c r="BD36" s="101">
        <f>((A4_A_L26*Otro1_A)+(A4_B_L26*Otro1_B)+(A4_C_L26*Otro1_C)+(A4_D_L26*Otro1_D)+(A4_Y_L26*Otro1_Y))*Inflación_4</f>
        <v>0</v>
      </c>
      <c r="BE36" s="101">
        <f>SUMIFS('9'!$E:$E,'9'!$A:$A,Año_Inicial+3,'9'!$B:$B,'12'!BD$4,'9'!$D:$D,"Otro insumo 1*")</f>
        <v>0</v>
      </c>
      <c r="BF36" s="101">
        <f>((A4_A_L27*Otro1_A)+(A4_B_L27*Otro1_B)+(A4_C_L27*Otro1_C)+(A4_D_L27*Otro1_D)+(A4_Y_L27*Otro1_Y))*Inflación_4</f>
        <v>0</v>
      </c>
      <c r="BG36" s="101">
        <f>SUMIFS('9'!$E:$E,'9'!$A:$A,Año_Inicial+3,'9'!$B:$B,'12'!BF$4,'9'!$D:$D,"Otro insumo 1*")</f>
        <v>0</v>
      </c>
      <c r="BH36" s="101">
        <f>((A4_A_L28*Otro1_A)+(A4_B_L28*Otro1_B)+(A4_C_L28*Otro1_C)+(A4_D_L28*Otro1_D)+(A4_Y_L28*Otro1_Y))*Inflación_4</f>
        <v>0</v>
      </c>
      <c r="BI36" s="101">
        <f>SUMIFS('9'!$E:$E,'9'!$A:$A,Año_Inicial+3,'9'!$B:$B,'12'!BH$4,'9'!$D:$D,"Otro insumo 1*")</f>
        <v>0</v>
      </c>
      <c r="BJ36" s="101">
        <f>((A4_A_L29*Otro1_A)+(A4_B_L29*Otro1_B)+(A4_C_L29*Otro1_C)+(A4_D_L29*Otro1_D)+(A4_Y_L29*Otro1_Y))*Inflación_4</f>
        <v>0</v>
      </c>
      <c r="BK36" s="101">
        <f>SUMIFS('9'!$E:$E,'9'!$A:$A,Año_Inicial+3,'9'!$B:$B,'12'!BJ$4,'9'!$D:$D,"Otro insumo 1*")</f>
        <v>0</v>
      </c>
      <c r="BL36" s="101">
        <f>((A4_A_L30*Otro1_A)+(A4_B_L30*Otro1_B)+(A4_C_L30*Otro1_C)+(A4_D_L30*Otro1_D)+(A4_Y_L30*Otro1_Y))*Inflación_4</f>
        <v>0</v>
      </c>
      <c r="BM36" s="101">
        <f>SUMIFS('9'!$E:$E,'9'!$A:$A,Año_Inicial+3,'9'!$B:$B,'12'!BL$4,'9'!$D:$D,"Otro insumo 1*")</f>
        <v>0</v>
      </c>
      <c r="BN36" s="101">
        <f>((A4_A_L31*Otro1_A)+(A4_B_L31*Otro1_B)+(A4_C_L31*Otro1_C)+(A4_D_L31*Otro1_D)+(A4_Y_L31*Otro1_Y))*Inflación_4</f>
        <v>0</v>
      </c>
      <c r="BO36" s="101">
        <f>SUMIFS('9'!$E:$E,'9'!$A:$A,Año_Inicial+3,'9'!$B:$B,'12'!BN$4,'9'!$D:$D,"Otro insumo 1*")</f>
        <v>0</v>
      </c>
      <c r="BP36" s="101">
        <f>((A4_A_L32*Otro1_A)+(A4_B_L32*Otro1_B)+(A4_C_L32*Otro1_C)+(A4_D_L32*Otro1_D)+(A4_Y_L32*Otro1_Y))*Inflación_4</f>
        <v>0</v>
      </c>
      <c r="BQ36" s="101">
        <f>SUMIFS('9'!$E:$E,'9'!$A:$A,Año_Inicial+3,'9'!$B:$B,'12'!BP$4,'9'!$D:$D,"Otro insumo 1*")</f>
        <v>0</v>
      </c>
      <c r="BR36" s="101">
        <f>((A4_A_L33*Otro1_A)+(A4_B_L33*Otro1_B)+(A4_C_L33*Otro1_C)+(A4_D_L33*Otro1_D)+(A4_Y_L33*Otro1_Y))*Inflación_4</f>
        <v>0</v>
      </c>
      <c r="BS36" s="101">
        <f>SUMIFS('9'!$E:$E,'9'!$A:$A,Año_Inicial+3,'9'!$B:$B,'12'!BR$4,'9'!$D:$D,"Otro insumo 1*")</f>
        <v>0</v>
      </c>
      <c r="BT36" s="101">
        <f>((A4_A_L34*Otro1_A)+(A4_B_L34*Otro1_B)+(A4_C_L34*Otro1_C)+(A4_D_L34*Otro1_D)+(A4_Y_L34*Otro1_Y))*Inflación_4</f>
        <v>0</v>
      </c>
      <c r="BU36" s="101">
        <f>SUMIFS('9'!$E:$E,'9'!$A:$A,Año_Inicial+3,'9'!$B:$B,'12'!BT$4,'9'!$D:$D,"Otro insumo 1*")</f>
        <v>0</v>
      </c>
      <c r="BV36" s="101">
        <f>((A4_A_L35*Otro1_A)+(A4_B_L35*Otro1_B)+(A4_C_L35*Otro1_C)+(A4_D_L35*Otro1_D)+(A4_Y_L35*Otro1_Y))*Inflación_4</f>
        <v>0</v>
      </c>
      <c r="BW36" s="101">
        <f>SUMIFS('9'!$E:$E,'9'!$A:$A,Año_Inicial+3,'9'!$B:$B,'12'!BV$4,'9'!$D:$D,"Otro insumo 1*")</f>
        <v>0</v>
      </c>
      <c r="BX36" s="101">
        <f>((A4_A_L36*Otro1_A)+(A4_B_L36*Otro1_B)+(A4_C_L36*Otro1_C)+(A4_D_L36*Otro1_D)+(A4_Y_L36*Otro1_Y))*Inflación_4</f>
        <v>0</v>
      </c>
      <c r="BY36" s="101">
        <f>SUMIFS('9'!$E:$E,'9'!$A:$A,Año_Inicial+3,'9'!$B:$B,'12'!BX$4,'9'!$D:$D,"Otro insumo 1*")</f>
        <v>0</v>
      </c>
      <c r="BZ36" s="101">
        <f>((A4_A_L37*Otro1_A)+(A4_B_L37*Otro1_B)+(A4_C_L37*Otro1_C)+(A4_D_L37*Otro1_D)+(A4_Y_L37*Otro1_Y))*Inflación_4</f>
        <v>0</v>
      </c>
      <c r="CA36" s="101">
        <f>SUMIFS('9'!$E:$E,'9'!$A:$A,Año_Inicial+3,'9'!$B:$B,'12'!BZ$4,'9'!$D:$D,"Otro insumo 1*")</f>
        <v>0</v>
      </c>
      <c r="CB36" s="101">
        <f>((A4_A_L38*Otro1_A)+(A4_B_L38*Otro1_B)+(A4_C_L38*Otro1_C)+(A4_D_L38*Otro1_D)+(A4_Y_L38*Otro1_Y))*Inflación_4</f>
        <v>0</v>
      </c>
      <c r="CC36" s="101">
        <f>SUMIFS('9'!$E:$E,'9'!$A:$A,Año_Inicial+3,'9'!$B:$B,'12'!CB$4,'9'!$D:$D,"Otro insumo 1*")</f>
        <v>0</v>
      </c>
      <c r="CD36" s="101">
        <f>((A4_A_L39*Otro1_A)+(A4_B_L39*Otro1_B)+(A4_C_L39*Otro1_C)+(A4_D_L39*Otro1_D)+(A4_Y_L39*Otro1_Y))*Inflación_4</f>
        <v>0</v>
      </c>
      <c r="CE36" s="101">
        <f>SUMIFS('9'!$E:$E,'9'!$A:$A,Año_Inicial+3,'9'!$B:$B,'12'!CD$4,'9'!$D:$D,"Otro insumo 1*")</f>
        <v>0</v>
      </c>
      <c r="CF36" s="101">
        <f>((A4_A_L40*Otro1_A)+(A4_B_L40*Otro1_B)+(A4_C_L40*Otro1_C)+(A4_D_L40*Otro1_D)+(A4_Y_L40*Otro1_Y))*Inflación_4</f>
        <v>0</v>
      </c>
      <c r="CG36" s="101">
        <f>SUMIFS('9'!$E:$E,'9'!$A:$A,Año_Inicial+3,'9'!$B:$B,'12'!CF$4,'9'!$D:$D,"Otro insumo 1*")</f>
        <v>0</v>
      </c>
      <c r="CH36" s="473"/>
      <c r="CI36" s="101">
        <f>Plantas_A_A4*Otro1_A*Inflación_4</f>
        <v>0</v>
      </c>
      <c r="CJ36" s="101">
        <f>Plantas_B_A4*Otro1_B</f>
        <v>0</v>
      </c>
      <c r="CK36" s="101">
        <f>Plantas_C_A4*Otro1_C</f>
        <v>0</v>
      </c>
      <c r="CL36" s="101">
        <f>Plantas_D_A4*Otro1_D</f>
        <v>0</v>
      </c>
      <c r="CM36" s="101"/>
      <c r="CN36" s="101">
        <f>Plantas_Y_A4*Otro1_Y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SUMIFS('9'!$E:$E,'9'!$A:$A,Año_Inicial+3,'9'!$D:$D,"Otro insumo 2*")</f>
        <v>0</v>
      </c>
      <c r="D37" s="100">
        <f t="shared" si="45"/>
        <v>0</v>
      </c>
      <c r="E37" s="473"/>
      <c r="F37" s="101">
        <f>((A4_A_L1*Otro2_A)+(A4_B_L1*Otro2_B)+(A4_C_L1*Otro2_C)+(A4_D_L1*Otro2_D)+(A4_Y_L1*Otro2_Y))*Inflación_4</f>
        <v>0</v>
      </c>
      <c r="G37" s="101">
        <f>SUMIFS('9'!$E:$E,'9'!$A:$A,Año_Inicial+3,'9'!$B:$B,'12'!F$4,'9'!$D:$D,"Otro insumo 2*")</f>
        <v>0</v>
      </c>
      <c r="H37" s="101">
        <f>((A4_A_L2*Otro2_A)+(A4_B_L2*Otro2_B)+(A4_C_L2*Otro2_C)+(A4_D_L2*Otro2_D)+(A4_Y_L2*Otro2_Y))*Inflación_4</f>
        <v>0</v>
      </c>
      <c r="I37" s="101">
        <f>SUMIFS('9'!$E:$E,'9'!$A:$A,Año_Inicial+3,'9'!$B:$B,'12'!H$4,'9'!$D:$D,"Otro insumo 2*")</f>
        <v>0</v>
      </c>
      <c r="J37" s="101">
        <f>((A4_A_L3*Otro2_A)+(A4_B_L3*Otro2_B)+(A4_C_L3*Otro2_C)+(A4_D_L3*Otro2_D)+(A4_Y_L3*Otro2_Y))*Inflación_4</f>
        <v>0</v>
      </c>
      <c r="K37" s="101">
        <f>SUMIFS('9'!$E:$E,'9'!$A:$A,Año_Inicial+3,'9'!$B:$B,'12'!J$4,'9'!$D:$D,"Otro insumo 2*")</f>
        <v>0</v>
      </c>
      <c r="L37" s="101">
        <f>((A4_A_L4*Otro2_A)+(A4_B_L4*Otro2_B)+(A4_C_L4*Otro2_C)+(A4_D_L4*Otro2_D)+(A4_Y_L4*Otro2_Y))*Inflación_4</f>
        <v>0</v>
      </c>
      <c r="M37" s="101">
        <f>SUMIFS('9'!$E:$E,'9'!$A:$A,Año_Inicial+3,'9'!$B:$B,'12'!L$4,'9'!$D:$D,"Otro insumo 2*")</f>
        <v>0</v>
      </c>
      <c r="N37" s="101">
        <f>((A4_A_L5*Otro2_A)+(A4_B_L5*Otro2_B)+(A4_C_L5*Otro2_C)+(A4_D_L5*Otro2_D)+(A4_Y_L5*Otro2_Y))*Inflación_4</f>
        <v>0</v>
      </c>
      <c r="O37" s="101">
        <f>SUMIFS('9'!$E:$E,'9'!$A:$A,Año_Inicial+3,'9'!$B:$B,'12'!N$4,'9'!$D:$D,"Otro insumo 2*")</f>
        <v>0</v>
      </c>
      <c r="P37" s="101">
        <f>((A4_A_L6*Otro2_A)+(A4_B_L6*Otro2_B)+(A4_C_L6*Otro2_C)+(A4_D_L6*Otro2_D)+(A4_Y_L6*Otro2_Y))*Inflación_4</f>
        <v>0</v>
      </c>
      <c r="Q37" s="101">
        <f>SUMIFS('9'!$E:$E,'9'!$A:$A,Año_Inicial+3,'9'!$B:$B,'12'!P$4,'9'!$D:$D,"Otro insumo 2*")</f>
        <v>0</v>
      </c>
      <c r="R37" s="101">
        <f>((A4_A_L7*Otro2_A)+(A4_B_L7*Otro2_B)+(A4_C_L7*Otro2_C)+(A4_D_L7*Otro2_D)+(A4_Y_L7*Otro2_Y))*Inflación_4</f>
        <v>0</v>
      </c>
      <c r="S37" s="101">
        <f>SUMIFS('9'!$E:$E,'9'!$A:$A,Año_Inicial+3,'9'!$B:$B,'12'!R$4,'9'!$D:$D,"Otro insumo 2*")</f>
        <v>0</v>
      </c>
      <c r="T37" s="101">
        <f>((A4_A_L8*Otro2_A)+(A4_B_L8*Otro2_B)+(A4_C_L8*Otro2_C)+(A4_D_L8*Otro2_D)+(A4_Y_L8*Otro2_Y))*Inflación_4</f>
        <v>0</v>
      </c>
      <c r="U37" s="101">
        <f>SUMIFS('9'!$E:$E,'9'!$A:$A,Año_Inicial+3,'9'!$B:$B,'12'!T$4,'9'!$D:$D,"Otro insumo 2*")</f>
        <v>0</v>
      </c>
      <c r="V37" s="101">
        <f>((A4_A_L9*Otro2_A)+(A4_B_L9*Otro2_B)+(A4_C_L9*Otro2_C)+(A4_D_L9*Otro2_D)+(A4_Y_L9*Otro2_Y))*Inflación_4</f>
        <v>0</v>
      </c>
      <c r="W37" s="101">
        <f>SUMIFS('9'!$E:$E,'9'!$A:$A,Año_Inicial+3,'9'!$B:$B,'12'!V$4,'9'!$D:$D,"Otro insumo 2*")</f>
        <v>0</v>
      </c>
      <c r="X37" s="101">
        <f>((A4_A_L10*Otro2_A)+(A4_B_L10*Otro2_B)+(A4_C_L10*Otro2_C)+(A4_D_L10*Otro2_D)+(A4_Y_L10*Otro2_Y))*Inflación_4</f>
        <v>0</v>
      </c>
      <c r="Y37" s="101">
        <f>SUMIFS('9'!$E:$E,'9'!$A:$A,Año_Inicial+3,'9'!$B:$B,'12'!X$4,'9'!$D:$D,"Otro insumo 2*")</f>
        <v>0</v>
      </c>
      <c r="Z37" s="101">
        <f>((A4_A_L11*Otro2_A)+(A4_B_L11*Otro2_B)+(A4_C_L11*Otro2_C)+(A4_D_L11*Otro2_D)+(A4_Y_L11*Otro2_Y))*Inflación_4</f>
        <v>0</v>
      </c>
      <c r="AA37" s="101">
        <f>SUMIFS('9'!$E:$E,'9'!$A:$A,Año_Inicial+3,'9'!$B:$B,'12'!Z$4,'9'!$D:$D,"Otro insumo 2*")</f>
        <v>0</v>
      </c>
      <c r="AB37" s="101">
        <f>((A4_A_L12*Otro2_A)+(A4_B_L12*Otro2_B)+(A4_C_L12*Otro2_C)+(A4_D_L12*Otro2_D)+(A4_Y_L12*Otro2_Y))*Inflación_4</f>
        <v>0</v>
      </c>
      <c r="AC37" s="101">
        <f>SUMIFS('9'!$E:$E,'9'!$A:$A,Año_Inicial+3,'9'!$B:$B,'12'!AB$4,'9'!$D:$D,"Otro insumo 2*")</f>
        <v>0</v>
      </c>
      <c r="AD37" s="101">
        <f>((A4_A_L13*Otro2_A)+(A4_B_L13*Otro2_B)+(A4_C_L13*Otro2_C)+(A4_D_L13*Otro2_D)+(A4_Y_L13*Otro2_Y))*Inflación_4</f>
        <v>0</v>
      </c>
      <c r="AE37" s="101">
        <f>SUMIFS('9'!$E:$E,'9'!$A:$A,Año_Inicial+3,'9'!$B:$B,'12'!AD$4,'9'!$D:$D,"Otro insumo 2*")</f>
        <v>0</v>
      </c>
      <c r="AF37" s="101">
        <f>((A4_A_L14*Otro2_A)+(A4_B_L14*Otro2_B)+(A4_C_L14*Otro2_C)+(A4_D_L14*Otro2_D)+(A4_Y_L14*Otro2_Y))*Inflación_4</f>
        <v>0</v>
      </c>
      <c r="AG37" s="101">
        <f>SUMIFS('9'!$E:$E,'9'!$A:$A,Año_Inicial+3,'9'!$B:$B,'12'!AF$4,'9'!$D:$D,"Otro insumo 2*")</f>
        <v>0</v>
      </c>
      <c r="AH37" s="101">
        <f>((A4_A_L15*Otro2_A)+(A4_B_L15*Otro2_B)+(A4_C_L15*Otro2_C)+(A4_D_L15*Otro2_D)+(A4_Y_L15*Otro2_Y))*Inflación_4</f>
        <v>0</v>
      </c>
      <c r="AI37" s="101">
        <f>SUMIFS('9'!$E:$E,'9'!$A:$A,Año_Inicial+3,'9'!$B:$B,'12'!AH$4,'9'!$D:$D,"Otro insumo 2*")</f>
        <v>0</v>
      </c>
      <c r="AJ37" s="101">
        <f>((A4_A_L16*Otro2_A)+(A4_B_L16*Otro2_B)+(A4_C_L16*Otro2_C)+(A4_D_L16*Otro2_D)+(A4_Y_L16*Otro2_Y))*Inflación_4</f>
        <v>0</v>
      </c>
      <c r="AK37" s="101">
        <f>SUMIFS('9'!$E:$E,'9'!$A:$A,Año_Inicial+3,'9'!$B:$B,'12'!AJ$4,'9'!$D:$D,"Otro insumo 2*")</f>
        <v>0</v>
      </c>
      <c r="AL37" s="101">
        <f>((A4_A_L17*Otro2_A)+(A4_B_L17*Otro2_B)+(A4_C_L17*Otro2_C)+(A4_D_L17*Otro2_D)+(A4_Y_L17*Otro2_Y))*Inflación_4</f>
        <v>0</v>
      </c>
      <c r="AM37" s="101">
        <f>SUMIFS('9'!$E:$E,'9'!$A:$A,Año_Inicial+3,'9'!$B:$B,'12'!AL$4,'9'!$D:$D,"Otro insumo 2*")</f>
        <v>0</v>
      </c>
      <c r="AN37" s="101">
        <f>((A4_A_L18*Otro2_A)+(A4_B_L18*Otro2_B)+(A4_C_L18*Otro2_C)+(A4_D_L18*Otro2_D)+(A4_Y_L18*Otro2_Y))*Inflación_4</f>
        <v>0</v>
      </c>
      <c r="AO37" s="101">
        <f>SUMIFS('9'!$E:$E,'9'!$A:$A,Año_Inicial+3,'9'!$B:$B,'12'!AN$4,'9'!$D:$D,"Otro insumo 2*")</f>
        <v>0</v>
      </c>
      <c r="AP37" s="101">
        <f>((A4_A_L19*Otro2_A)+(A4_B_L19*Otro2_B)+(A4_C_L19*Otro2_C)+(A4_D_L19*Otro2_D)+(A4_Y_L19*Otro2_Y))*Inflación_4</f>
        <v>0</v>
      </c>
      <c r="AQ37" s="101">
        <f>SUMIFS('9'!$E:$E,'9'!$A:$A,Año_Inicial+3,'9'!$B:$B,'12'!AP$4,'9'!$D:$D,"Otro insumo 2*")</f>
        <v>0</v>
      </c>
      <c r="AR37" s="101">
        <f>((A4_A_L20*Otro2_A)+(A4_B_L20*Otro2_B)+(A4_C_L20*Otro2_C)+(A4_D_L20*Otro2_D)+(A4_Y_L20*Otro2_Y))*Inflación_4</f>
        <v>0</v>
      </c>
      <c r="AS37" s="101">
        <f>SUMIFS('9'!$E:$E,'9'!$A:$A,Año_Inicial+3,'9'!$B:$B,'12'!AR$4,'9'!$D:$D,"Otro insumo 2*")</f>
        <v>0</v>
      </c>
      <c r="AT37" s="101">
        <f>((A4_A_L21*Otro2_A)+(A4_B_L21*Otro2_B)+(A4_C_L21*Otro2_C)+(A4_D_L21*Otro2_D)+(A4_Y_L21*Otro2_Y))*Inflación_4</f>
        <v>0</v>
      </c>
      <c r="AU37" s="101">
        <f>SUMIFS('9'!$E:$E,'9'!$A:$A,Año_Inicial+3,'9'!$B:$B,'12'!AT$4,'9'!$D:$D,"Otro insumo 2*")</f>
        <v>0</v>
      </c>
      <c r="AV37" s="101">
        <f>((A4_A_L22*Otro2_A)+(A4_B_L22*Otro2_B)+(A4_C_L22*Otro2_C)+(A4_D_L22*Otro2_D)+(A4_Y_L22*Otro2_Y))*Inflación_4</f>
        <v>0</v>
      </c>
      <c r="AW37" s="101">
        <f>SUMIFS('9'!$E:$E,'9'!$A:$A,Año_Inicial+3,'9'!$B:$B,'12'!AV$4,'9'!$D:$D,"Otro insumo 2*")</f>
        <v>0</v>
      </c>
      <c r="AX37" s="101">
        <f>((A4_A_L23*Otro2_A)+(A4_B_L23*Otro2_B)+(A4_C_L23*Otro2_C)+(A4_D_L23*Otro2_D)+(A4_Y_L23*Otro2_Y))*Inflación_4</f>
        <v>0</v>
      </c>
      <c r="AY37" s="101">
        <f>SUMIFS('9'!$E:$E,'9'!$A:$A,Año_Inicial+3,'9'!$B:$B,'12'!AX$4,'9'!$D:$D,"Otro insumo 2*")</f>
        <v>0</v>
      </c>
      <c r="AZ37" s="101">
        <f>((A4_A_L24*Otro2_A)+(A4_B_L24*Otro2_B)+(A4_C_L24*Otro2_C)+(A4_D_L24*Otro2_D)+(A4_Y_L24*Otro2_Y))*Inflación_4</f>
        <v>0</v>
      </c>
      <c r="BA37" s="101">
        <f>SUMIFS('9'!$E:$E,'9'!$A:$A,Año_Inicial+3,'9'!$B:$B,'12'!AZ$4,'9'!$D:$D,"Otro insumo 2*")</f>
        <v>0</v>
      </c>
      <c r="BB37" s="101">
        <f>((A4_A_L25*Otro2_A)+(A4_B_L25*Otro2_B)+(A4_C_L25*Otro2_C)+(A4_D_L25*Otro2_D)+(A4_Y_L25*Otro2_Y))*Inflación_4</f>
        <v>0</v>
      </c>
      <c r="BC37" s="101">
        <f>SUMIFS('9'!$E:$E,'9'!$A:$A,Año_Inicial+3,'9'!$B:$B,'12'!BB$4,'9'!$D:$D,"Otro insumo 2*")</f>
        <v>0</v>
      </c>
      <c r="BD37" s="101">
        <f>((A4_A_L26*Otro2_A)+(A4_B_L26*Otro2_B)+(A4_C_L26*Otro2_C)+(A4_D_L26*Otro2_D)+(A4_Y_L26*Otro2_Y))*Inflación_4</f>
        <v>0</v>
      </c>
      <c r="BE37" s="101">
        <f>SUMIFS('9'!$E:$E,'9'!$A:$A,Año_Inicial+3,'9'!$B:$B,'12'!BD$4,'9'!$D:$D,"Otro insumo 2*")</f>
        <v>0</v>
      </c>
      <c r="BF37" s="101">
        <f>((A4_A_L27*Otro2_A)+(A4_B_L27*Otro2_B)+(A4_C_L27*Otro2_C)+(A4_D_L27*Otro2_D)+(A4_Y_L27*Otro2_Y))*Inflación_4</f>
        <v>0</v>
      </c>
      <c r="BG37" s="101">
        <f>SUMIFS('9'!$E:$E,'9'!$A:$A,Año_Inicial+3,'9'!$B:$B,'12'!BF$4,'9'!$D:$D,"Otro insumo 2*")</f>
        <v>0</v>
      </c>
      <c r="BH37" s="101">
        <f>((A4_A_L28*Otro2_A)+(A4_B_L28*Otro2_B)+(A4_C_L28*Otro2_C)+(A4_D_L28*Otro2_D)+(A4_Y_L28*Otro2_Y))*Inflación_4</f>
        <v>0</v>
      </c>
      <c r="BI37" s="101">
        <f>SUMIFS('9'!$E:$E,'9'!$A:$A,Año_Inicial+3,'9'!$B:$B,'12'!BH$4,'9'!$D:$D,"Otro insumo 2*")</f>
        <v>0</v>
      </c>
      <c r="BJ37" s="101">
        <f>((A4_A_L29*Otro2_A)+(A4_B_L29*Otro2_B)+(A4_C_L29*Otro2_C)+(A4_D_L29*Otro2_D)+(A4_Y_L29*Otro2_Y))*Inflación_4</f>
        <v>0</v>
      </c>
      <c r="BK37" s="101">
        <f>SUMIFS('9'!$E:$E,'9'!$A:$A,Año_Inicial+3,'9'!$B:$B,'12'!BJ$4,'9'!$D:$D,"Otro insumo 2*")</f>
        <v>0</v>
      </c>
      <c r="BL37" s="101">
        <f>((A4_A_L30*Otro2_A)+(A4_B_L30*Otro2_B)+(A4_C_L30*Otro2_C)+(A4_D_L30*Otro2_D)+(A4_Y_L30*Otro2_Y))*Inflación_4</f>
        <v>0</v>
      </c>
      <c r="BM37" s="101">
        <f>SUMIFS('9'!$E:$E,'9'!$A:$A,Año_Inicial+3,'9'!$B:$B,'12'!BL$4,'9'!$D:$D,"Otro insumo 2*")</f>
        <v>0</v>
      </c>
      <c r="BN37" s="101">
        <f>((A4_A_L31*Otro2_A)+(A4_B_L31*Otro2_B)+(A4_C_L31*Otro2_C)+(A4_D_L31*Otro2_D)+(A4_Y_L31*Otro2_Y))*Inflación_4</f>
        <v>0</v>
      </c>
      <c r="BO37" s="101">
        <f>SUMIFS('9'!$E:$E,'9'!$A:$A,Año_Inicial+3,'9'!$B:$B,'12'!BN$4,'9'!$D:$D,"Otro insumo 2*")</f>
        <v>0</v>
      </c>
      <c r="BP37" s="101">
        <f>((A4_A_L32*Otro2_A)+(A4_B_L32*Otro2_B)+(A4_C_L32*Otro2_C)+(A4_D_L32*Otro2_D)+(A4_Y_L32*Otro2_Y))*Inflación_4</f>
        <v>0</v>
      </c>
      <c r="BQ37" s="101">
        <f>SUMIFS('9'!$E:$E,'9'!$A:$A,Año_Inicial+3,'9'!$B:$B,'12'!BP$4,'9'!$D:$D,"Otro insumo 2*")</f>
        <v>0</v>
      </c>
      <c r="BR37" s="101">
        <f>((A4_A_L33*Otro2_A)+(A4_B_L33*Otro2_B)+(A4_C_L33*Otro2_C)+(A4_D_L33*Otro2_D)+(A4_Y_L33*Otro2_Y))*Inflación_4</f>
        <v>0</v>
      </c>
      <c r="BS37" s="101">
        <f>SUMIFS('9'!$E:$E,'9'!$A:$A,Año_Inicial+3,'9'!$B:$B,'12'!BR$4,'9'!$D:$D,"Otro insumo 2*")</f>
        <v>0</v>
      </c>
      <c r="BT37" s="101">
        <f>((A4_A_L34*Otro2_A)+(A4_B_L34*Otro2_B)+(A4_C_L34*Otro2_C)+(A4_D_L34*Otro2_D)+(A4_Y_L34*Otro2_Y))*Inflación_4</f>
        <v>0</v>
      </c>
      <c r="BU37" s="101">
        <f>SUMIFS('9'!$E:$E,'9'!$A:$A,Año_Inicial+3,'9'!$B:$B,'12'!BT$4,'9'!$D:$D,"Otro insumo 2*")</f>
        <v>0</v>
      </c>
      <c r="BV37" s="101">
        <f>((A4_A_L35*Otro2_A)+(A4_B_L35*Otro2_B)+(A4_C_L35*Otro2_C)+(A4_D_L35*Otro2_D)+(A4_Y_L35*Otro2_Y))*Inflación_4</f>
        <v>0</v>
      </c>
      <c r="BW37" s="101">
        <f>SUMIFS('9'!$E:$E,'9'!$A:$A,Año_Inicial+3,'9'!$B:$B,'12'!BV$4,'9'!$D:$D,"Otro insumo 2*")</f>
        <v>0</v>
      </c>
      <c r="BX37" s="101">
        <f>((A4_A_L36*Otro2_A)+(A4_B_L36*Otro2_B)+(A4_C_L36*Otro2_C)+(A4_D_L36*Otro2_D)+(A4_Y_L36*Otro2_Y))*Inflación_4</f>
        <v>0</v>
      </c>
      <c r="BY37" s="101">
        <f>SUMIFS('9'!$E:$E,'9'!$A:$A,Año_Inicial+3,'9'!$B:$B,'12'!BX$4,'9'!$D:$D,"Otro insumo 2*")</f>
        <v>0</v>
      </c>
      <c r="BZ37" s="101">
        <f>((A4_A_L37*Otro2_A)+(A4_B_L37*Otro2_B)+(A4_C_L37*Otro2_C)+(A4_D_L37*Otro2_D)+(A4_Y_L37*Otro2_Y))*Inflación_4</f>
        <v>0</v>
      </c>
      <c r="CA37" s="101">
        <f>SUMIFS('9'!$E:$E,'9'!$A:$A,Año_Inicial+3,'9'!$B:$B,'12'!BZ$4,'9'!$D:$D,"Otro insumo 2*")</f>
        <v>0</v>
      </c>
      <c r="CB37" s="101">
        <f>((A4_A_L38*Otro2_A)+(A4_B_L38*Otro2_B)+(A4_C_L38*Otro2_C)+(A4_D_L38*Otro2_D)+(A4_Y_L38*Otro2_Y))*Inflación_4</f>
        <v>0</v>
      </c>
      <c r="CC37" s="101">
        <f>SUMIFS('9'!$E:$E,'9'!$A:$A,Año_Inicial+3,'9'!$B:$B,'12'!CB$4,'9'!$D:$D,"Otro insumo 2*")</f>
        <v>0</v>
      </c>
      <c r="CD37" s="101">
        <f>((A4_A_L39*Otro2_A)+(A4_B_L39*Otro2_B)+(A4_C_L39*Otro2_C)+(A4_D_L39*Otro2_D)+(A4_Y_L39*Otro2_Y))*Inflación_4</f>
        <v>0</v>
      </c>
      <c r="CE37" s="101">
        <f>SUMIFS('9'!$E:$E,'9'!$A:$A,Año_Inicial+3,'9'!$B:$B,'12'!CD$4,'9'!$D:$D,"Otro insumo 2*")</f>
        <v>0</v>
      </c>
      <c r="CF37" s="101">
        <f>((A4_A_L40*Otro2_A)+(A4_B_L40*Otro2_B)+(A4_C_L40*Otro2_C)+(A4_D_L40*Otro2_D)+(A4_Y_L40*Otro2_Y))*Inflación_4</f>
        <v>0</v>
      </c>
      <c r="CG37" s="101">
        <f>SUMIFS('9'!$E:$E,'9'!$A:$A,Año_Inicial+3,'9'!$B:$B,'12'!CF$4,'9'!$D:$D,"Otro insumo 2*")</f>
        <v>0</v>
      </c>
      <c r="CH37" s="473"/>
      <c r="CI37" s="101">
        <f>Plantas_A_A4*Otro2_A*Inflación_4</f>
        <v>0</v>
      </c>
      <c r="CJ37" s="101">
        <f>Plantas_B_A4*Otro2_B</f>
        <v>0</v>
      </c>
      <c r="CK37" s="101">
        <f>Plantas_C_A4*Otro2_C</f>
        <v>0</v>
      </c>
      <c r="CL37" s="101">
        <f>Plantas_D_A4*Otro2_D</f>
        <v>0</v>
      </c>
      <c r="CM37" s="101"/>
      <c r="CN37" s="101">
        <f>Plantas_Y_A4*Otro2_Y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SUMIFS('9'!$E:$E,'9'!$A:$A,Año_Inicial+3,'9'!$D:$D,"Otro insumo 3*")</f>
        <v>0</v>
      </c>
      <c r="D38" s="100">
        <f t="shared" si="45"/>
        <v>0</v>
      </c>
      <c r="E38" s="473"/>
      <c r="F38" s="101">
        <f>((A4_A_L1*Otro3_A)+(A4_B_L1*Otro3_B)+(A4_C_L1*Otro3_C)+(A4_D_L1*Otro3_D)+(A4_Y_L1*Otro3_Y))*Inflación_4</f>
        <v>0</v>
      </c>
      <c r="G38" s="101">
        <f>SUMIFS('9'!$E:$E,'9'!$A:$A,Año_Inicial+3,'9'!$B:$B,'12'!F$4,'9'!$D:$D,"Otro insumo 3*")</f>
        <v>0</v>
      </c>
      <c r="H38" s="101">
        <f>((A4_A_L2*Otro3_A)+(A4_B_L2*Otro3_B)+(A4_C_L2*Otro3_C)+(A4_D_L2*Otro3_D)+(A4_Y_L2*Otro3_Y))*Inflación_4</f>
        <v>0</v>
      </c>
      <c r="I38" s="101">
        <f>SUMIFS('9'!$E:$E,'9'!$A:$A,Año_Inicial+3,'9'!$B:$B,'12'!H$4,'9'!$D:$D,"Otro insumo 3*")</f>
        <v>0</v>
      </c>
      <c r="J38" s="101">
        <f>((A4_A_L3*Otro3_A)+(A4_B_L3*Otro3_B)+(A4_C_L3*Otro3_C)+(A4_D_L3*Otro3_D)+(A4_Y_L3*Otro3_Y))*Inflación_4</f>
        <v>0</v>
      </c>
      <c r="K38" s="101">
        <f>SUMIFS('9'!$E:$E,'9'!$A:$A,Año_Inicial+3,'9'!$B:$B,'12'!J$4,'9'!$D:$D,"Otro insumo 3*")</f>
        <v>0</v>
      </c>
      <c r="L38" s="101">
        <f>((A4_A_L4*Otro3_A)+(A4_B_L4*Otro3_B)+(A4_C_L4*Otro3_C)+(A4_D_L4*Otro3_D)+(A4_Y_L4*Otro3_Y))*Inflación_4</f>
        <v>0</v>
      </c>
      <c r="M38" s="101">
        <f>SUMIFS('9'!$E:$E,'9'!$A:$A,Año_Inicial+3,'9'!$B:$B,'12'!L$4,'9'!$D:$D,"Otro insumo 3*")</f>
        <v>0</v>
      </c>
      <c r="N38" s="101">
        <f>((A4_A_L5*Otro3_A)+(A4_B_L5*Otro3_B)+(A4_C_L5*Otro3_C)+(A4_D_L5*Otro3_D)+(A4_Y_L5*Otro3_Y))*Inflación_4</f>
        <v>0</v>
      </c>
      <c r="O38" s="101">
        <f>SUMIFS('9'!$E:$E,'9'!$A:$A,Año_Inicial+3,'9'!$B:$B,'12'!N$4,'9'!$D:$D,"Otro insumo 3*")</f>
        <v>0</v>
      </c>
      <c r="P38" s="101">
        <f>((A4_A_L6*Otro3_A)+(A4_B_L6*Otro3_B)+(A4_C_L6*Otro3_C)+(A4_D_L6*Otro3_D)+(A4_Y_L6*Otro3_Y))*Inflación_4</f>
        <v>0</v>
      </c>
      <c r="Q38" s="101">
        <f>SUMIFS('9'!$E:$E,'9'!$A:$A,Año_Inicial+3,'9'!$B:$B,'12'!P$4,'9'!$D:$D,"Otro insumo 3*")</f>
        <v>0</v>
      </c>
      <c r="R38" s="101">
        <f>((A4_A_L7*Otro3_A)+(A4_B_L7*Otro3_B)+(A4_C_L7*Otro3_C)+(A4_D_L7*Otro3_D)+(A4_Y_L7*Otro3_Y))*Inflación_4</f>
        <v>0</v>
      </c>
      <c r="S38" s="101">
        <f>SUMIFS('9'!$E:$E,'9'!$A:$A,Año_Inicial+3,'9'!$B:$B,'12'!R$4,'9'!$D:$D,"Otro insumo 3*")</f>
        <v>0</v>
      </c>
      <c r="T38" s="101">
        <f>((A4_A_L8*Otro3_A)+(A4_B_L8*Otro3_B)+(A4_C_L8*Otro3_C)+(A4_D_L8*Otro3_D)+(A4_Y_L8*Otro3_Y))*Inflación_4</f>
        <v>0</v>
      </c>
      <c r="U38" s="101">
        <f>SUMIFS('9'!$E:$E,'9'!$A:$A,Año_Inicial+3,'9'!$B:$B,'12'!T$4,'9'!$D:$D,"Otro insumo 3*")</f>
        <v>0</v>
      </c>
      <c r="V38" s="101">
        <f>((A4_A_L9*Otro3_A)+(A4_B_L9*Otro3_B)+(A4_C_L9*Otro3_C)+(A4_D_L9*Otro3_D)+(A4_Y_L9*Otro3_Y))*Inflación_4</f>
        <v>0</v>
      </c>
      <c r="W38" s="101">
        <f>SUMIFS('9'!$E:$E,'9'!$A:$A,Año_Inicial+3,'9'!$B:$B,'12'!V$4,'9'!$D:$D,"Otro insumo 3*")</f>
        <v>0</v>
      </c>
      <c r="X38" s="101">
        <f>((A4_A_L10*Otro3_A)+(A4_B_L10*Otro3_B)+(A4_C_L10*Otro3_C)+(A4_D_L10*Otro3_D)+(A4_Y_L10*Otro3_Y))*Inflación_4</f>
        <v>0</v>
      </c>
      <c r="Y38" s="101">
        <f>SUMIFS('9'!$E:$E,'9'!$A:$A,Año_Inicial+3,'9'!$B:$B,'12'!X$4,'9'!$D:$D,"Otro insumo 3*")</f>
        <v>0</v>
      </c>
      <c r="Z38" s="101">
        <f>((A4_A_L11*Otro3_A)+(A4_B_L11*Otro3_B)+(A4_C_L11*Otro3_C)+(A4_D_L11*Otro3_D)+(A4_Y_L11*Otro3_Y))*Inflación_4</f>
        <v>0</v>
      </c>
      <c r="AA38" s="101">
        <f>SUMIFS('9'!$E:$E,'9'!$A:$A,Año_Inicial+3,'9'!$B:$B,'12'!Z$4,'9'!$D:$D,"Otro insumo 3*")</f>
        <v>0</v>
      </c>
      <c r="AB38" s="101">
        <f>((A4_A_L12*Otro3_A)+(A4_B_L12*Otro3_B)+(A4_C_L12*Otro3_C)+(A4_D_L12*Otro3_D)+(A4_Y_L12*Otro3_Y))*Inflación_4</f>
        <v>0</v>
      </c>
      <c r="AC38" s="101">
        <f>SUMIFS('9'!$E:$E,'9'!$A:$A,Año_Inicial+3,'9'!$B:$B,'12'!AB$4,'9'!$D:$D,"Otro insumo 3*")</f>
        <v>0</v>
      </c>
      <c r="AD38" s="101">
        <f>((A4_A_L13*Otro3_A)+(A4_B_L13*Otro3_B)+(A4_C_L13*Otro3_C)+(A4_D_L13*Otro3_D)+(A4_Y_L13*Otro3_Y))*Inflación_4</f>
        <v>0</v>
      </c>
      <c r="AE38" s="101">
        <f>SUMIFS('9'!$E:$E,'9'!$A:$A,Año_Inicial+3,'9'!$B:$B,'12'!AD$4,'9'!$D:$D,"Otro insumo 3*")</f>
        <v>0</v>
      </c>
      <c r="AF38" s="101">
        <f>((A4_A_L14*Otro3_A)+(A4_B_L14*Otro3_B)+(A4_C_L14*Otro3_C)+(A4_D_L14*Otro3_D)+(A4_Y_L14*Otro3_Y))*Inflación_4</f>
        <v>0</v>
      </c>
      <c r="AG38" s="101">
        <f>SUMIFS('9'!$E:$E,'9'!$A:$A,Año_Inicial+3,'9'!$B:$B,'12'!AF$4,'9'!$D:$D,"Otro insumo 3*")</f>
        <v>0</v>
      </c>
      <c r="AH38" s="101">
        <f>((A4_A_L15*Otro3_A)+(A4_B_L15*Otro3_B)+(A4_C_L15*Otro3_C)+(A4_D_L15*Otro3_D)+(A4_Y_L15*Otro3_Y))*Inflación_4</f>
        <v>0</v>
      </c>
      <c r="AI38" s="101">
        <f>SUMIFS('9'!$E:$E,'9'!$A:$A,Año_Inicial+3,'9'!$B:$B,'12'!AH$4,'9'!$D:$D,"Otro insumo 3*")</f>
        <v>0</v>
      </c>
      <c r="AJ38" s="101">
        <f>((A4_A_L16*Otro3_A)+(A4_B_L16*Otro3_B)+(A4_C_L16*Otro3_C)+(A4_D_L16*Otro3_D)+(A4_Y_L16*Otro3_Y))*Inflación_4</f>
        <v>0</v>
      </c>
      <c r="AK38" s="101">
        <f>SUMIFS('9'!$E:$E,'9'!$A:$A,Año_Inicial+3,'9'!$B:$B,'12'!AJ$4,'9'!$D:$D,"Otro insumo 3*")</f>
        <v>0</v>
      </c>
      <c r="AL38" s="101">
        <f>((A4_A_L17*Otro3_A)+(A4_B_L17*Otro3_B)+(A4_C_L17*Otro3_C)+(A4_D_L17*Otro3_D)+(A4_Y_L17*Otro3_Y))*Inflación_4</f>
        <v>0</v>
      </c>
      <c r="AM38" s="101">
        <f>SUMIFS('9'!$E:$E,'9'!$A:$A,Año_Inicial+3,'9'!$B:$B,'12'!AL$4,'9'!$D:$D,"Otro insumo 3*")</f>
        <v>0</v>
      </c>
      <c r="AN38" s="101">
        <f>((A4_A_L18*Otro3_A)+(A4_B_L18*Otro3_B)+(A4_C_L18*Otro3_C)+(A4_D_L18*Otro3_D)+(A4_Y_L18*Otro3_Y))*Inflación_4</f>
        <v>0</v>
      </c>
      <c r="AO38" s="101">
        <f>SUMIFS('9'!$E:$E,'9'!$A:$A,Año_Inicial+3,'9'!$B:$B,'12'!AN$4,'9'!$D:$D,"Otro insumo 3*")</f>
        <v>0</v>
      </c>
      <c r="AP38" s="101">
        <f>((A4_A_L19*Otro3_A)+(A4_B_L19*Otro3_B)+(A4_C_L19*Otro3_C)+(A4_D_L19*Otro3_D)+(A4_Y_L19*Otro3_Y))*Inflación_4</f>
        <v>0</v>
      </c>
      <c r="AQ38" s="101">
        <f>SUMIFS('9'!$E:$E,'9'!$A:$A,Año_Inicial+3,'9'!$B:$B,'12'!AP$4,'9'!$D:$D,"Otro insumo 3*")</f>
        <v>0</v>
      </c>
      <c r="AR38" s="101">
        <f>((A4_A_L20*Otro3_A)+(A4_B_L20*Otro3_B)+(A4_C_L20*Otro3_C)+(A4_D_L20*Otro3_D)+(A4_Y_L20*Otro3_Y))*Inflación_4</f>
        <v>0</v>
      </c>
      <c r="AS38" s="101">
        <f>SUMIFS('9'!$E:$E,'9'!$A:$A,Año_Inicial+3,'9'!$B:$B,'12'!AR$4,'9'!$D:$D,"Otro insumo 3*")</f>
        <v>0</v>
      </c>
      <c r="AT38" s="101">
        <f>((A4_A_L21*Otro3_A)+(A4_B_L21*Otro3_B)+(A4_C_L21*Otro3_C)+(A4_D_L21*Otro3_D)+(A4_Y_L21*Otro3_Y))*Inflación_4</f>
        <v>0</v>
      </c>
      <c r="AU38" s="101">
        <f>SUMIFS('9'!$E:$E,'9'!$A:$A,Año_Inicial+3,'9'!$B:$B,'12'!AT$4,'9'!$D:$D,"Otro insumo 3*")</f>
        <v>0</v>
      </c>
      <c r="AV38" s="101">
        <f>((A4_A_L22*Otro3_A)+(A4_B_L22*Otro3_B)+(A4_C_L22*Otro3_C)+(A4_D_L22*Otro3_D)+(A4_Y_L22*Otro3_Y))*Inflación_4</f>
        <v>0</v>
      </c>
      <c r="AW38" s="101">
        <f>SUMIFS('9'!$E:$E,'9'!$A:$A,Año_Inicial+3,'9'!$B:$B,'12'!AV$4,'9'!$D:$D,"Otro insumo 3*")</f>
        <v>0</v>
      </c>
      <c r="AX38" s="101">
        <f>((A4_A_L23*Otro3_A)+(A4_B_L23*Otro3_B)+(A4_C_L23*Otro3_C)+(A4_D_L23*Otro3_D)+(A4_Y_L23*Otro3_Y))*Inflación_4</f>
        <v>0</v>
      </c>
      <c r="AY38" s="101">
        <f>SUMIFS('9'!$E:$E,'9'!$A:$A,Año_Inicial+3,'9'!$B:$B,'12'!AX$4,'9'!$D:$D,"Otro insumo 3*")</f>
        <v>0</v>
      </c>
      <c r="AZ38" s="101">
        <f>((A4_A_L24*Otro3_A)+(A4_B_L24*Otro3_B)+(A4_C_L24*Otro3_C)+(A4_D_L24*Otro3_D)+(A4_Y_L24*Otro3_Y))*Inflación_4</f>
        <v>0</v>
      </c>
      <c r="BA38" s="101">
        <f>SUMIFS('9'!$E:$E,'9'!$A:$A,Año_Inicial+3,'9'!$B:$B,'12'!AZ$4,'9'!$D:$D,"Otro insumo 3*")</f>
        <v>0</v>
      </c>
      <c r="BB38" s="101">
        <f>((A4_A_L25*Otro3_A)+(A4_B_L25*Otro3_B)+(A4_C_L25*Otro3_C)+(A4_D_L25*Otro3_D)+(A4_Y_L25*Otro3_Y))*Inflación_4</f>
        <v>0</v>
      </c>
      <c r="BC38" s="101">
        <f>SUMIFS('9'!$E:$E,'9'!$A:$A,Año_Inicial+3,'9'!$B:$B,'12'!BB$4,'9'!$D:$D,"Otro insumo 3*")</f>
        <v>0</v>
      </c>
      <c r="BD38" s="101">
        <f>((A4_A_L26*Otro3_A)+(A4_B_L26*Otro3_B)+(A4_C_L26*Otro3_C)+(A4_D_L26*Otro3_D)+(A4_Y_L26*Otro3_Y))*Inflación_4</f>
        <v>0</v>
      </c>
      <c r="BE38" s="101">
        <f>SUMIFS('9'!$E:$E,'9'!$A:$A,Año_Inicial+3,'9'!$B:$B,'12'!BD$4,'9'!$D:$D,"Otro insumo 3*")</f>
        <v>0</v>
      </c>
      <c r="BF38" s="101">
        <f>((A4_A_L27*Otro3_A)+(A4_B_L27*Otro3_B)+(A4_C_L27*Otro3_C)+(A4_D_L27*Otro3_D)+(A4_Y_L27*Otro3_Y))*Inflación_4</f>
        <v>0</v>
      </c>
      <c r="BG38" s="101">
        <f>SUMIFS('9'!$E:$E,'9'!$A:$A,Año_Inicial+3,'9'!$B:$B,'12'!BF$4,'9'!$D:$D,"Otro insumo 3*")</f>
        <v>0</v>
      </c>
      <c r="BH38" s="101">
        <f>((A4_A_L28*Otro3_A)+(A4_B_L28*Otro3_B)+(A4_C_L28*Otro3_C)+(A4_D_L28*Otro3_D)+(A4_Y_L28*Otro3_Y))*Inflación_4</f>
        <v>0</v>
      </c>
      <c r="BI38" s="101">
        <f>SUMIFS('9'!$E:$E,'9'!$A:$A,Año_Inicial+3,'9'!$B:$B,'12'!BH$4,'9'!$D:$D,"Otro insumo 3*")</f>
        <v>0</v>
      </c>
      <c r="BJ38" s="101">
        <f>((A4_A_L29*Otro3_A)+(A4_B_L29*Otro3_B)+(A4_C_L29*Otro3_C)+(A4_D_L29*Otro3_D)+(A4_Y_L29*Otro3_Y))*Inflación_4</f>
        <v>0</v>
      </c>
      <c r="BK38" s="101">
        <f>SUMIFS('9'!$E:$E,'9'!$A:$A,Año_Inicial+3,'9'!$B:$B,'12'!BJ$4,'9'!$D:$D,"Otro insumo 3*")</f>
        <v>0</v>
      </c>
      <c r="BL38" s="101">
        <f>((A4_A_L30*Otro3_A)+(A4_B_L30*Otro3_B)+(A4_C_L30*Otro3_C)+(A4_D_L30*Otro3_D)+(A4_Y_L30*Otro3_Y))*Inflación_4</f>
        <v>0</v>
      </c>
      <c r="BM38" s="101">
        <f>SUMIFS('9'!$E:$E,'9'!$A:$A,Año_Inicial+3,'9'!$B:$B,'12'!BL$4,'9'!$D:$D,"Otro insumo 3*")</f>
        <v>0</v>
      </c>
      <c r="BN38" s="101">
        <f>((A4_A_L31*Otro3_A)+(A4_B_L31*Otro3_B)+(A4_C_L31*Otro3_C)+(A4_D_L31*Otro3_D)+(A4_Y_L31*Otro3_Y))*Inflación_4</f>
        <v>0</v>
      </c>
      <c r="BO38" s="101">
        <f>SUMIFS('9'!$E:$E,'9'!$A:$A,Año_Inicial+3,'9'!$B:$B,'12'!BN$4,'9'!$D:$D,"Otro insumo 3*")</f>
        <v>0</v>
      </c>
      <c r="BP38" s="101">
        <f>((A4_A_L32*Otro3_A)+(A4_B_L32*Otro3_B)+(A4_C_L32*Otro3_C)+(A4_D_L32*Otro3_D)+(A4_Y_L32*Otro3_Y))*Inflación_4</f>
        <v>0</v>
      </c>
      <c r="BQ38" s="101">
        <f>SUMIFS('9'!$E:$E,'9'!$A:$A,Año_Inicial+3,'9'!$B:$B,'12'!BP$4,'9'!$D:$D,"Otro insumo 3*")</f>
        <v>0</v>
      </c>
      <c r="BR38" s="101">
        <f>((A4_A_L33*Otro3_A)+(A4_B_L33*Otro3_B)+(A4_C_L33*Otro3_C)+(A4_D_L33*Otro3_D)+(A4_Y_L33*Otro3_Y))*Inflación_4</f>
        <v>0</v>
      </c>
      <c r="BS38" s="101">
        <f>SUMIFS('9'!$E:$E,'9'!$A:$A,Año_Inicial+3,'9'!$B:$B,'12'!BR$4,'9'!$D:$D,"Otro insumo 3*")</f>
        <v>0</v>
      </c>
      <c r="BT38" s="101">
        <f>((A4_A_L34*Otro3_A)+(A4_B_L34*Otro3_B)+(A4_C_L34*Otro3_C)+(A4_D_L34*Otro3_D)+(A4_Y_L34*Otro3_Y))*Inflación_4</f>
        <v>0</v>
      </c>
      <c r="BU38" s="101">
        <f>SUMIFS('9'!$E:$E,'9'!$A:$A,Año_Inicial+3,'9'!$B:$B,'12'!BT$4,'9'!$D:$D,"Otro insumo 3*")</f>
        <v>0</v>
      </c>
      <c r="BV38" s="101">
        <f>((A4_A_L35*Otro3_A)+(A4_B_L35*Otro3_B)+(A4_C_L35*Otro3_C)+(A4_D_L35*Otro3_D)+(A4_Y_L35*Otro3_Y))*Inflación_4</f>
        <v>0</v>
      </c>
      <c r="BW38" s="101">
        <f>SUMIFS('9'!$E:$E,'9'!$A:$A,Año_Inicial+3,'9'!$B:$B,'12'!BV$4,'9'!$D:$D,"Otro insumo 3*")</f>
        <v>0</v>
      </c>
      <c r="BX38" s="101">
        <f>((A4_A_L36*Otro3_A)+(A4_B_L36*Otro3_B)+(A4_C_L36*Otro3_C)+(A4_D_L36*Otro3_D)+(A4_Y_L36*Otro3_Y))*Inflación_4</f>
        <v>0</v>
      </c>
      <c r="BY38" s="101">
        <f>SUMIFS('9'!$E:$E,'9'!$A:$A,Año_Inicial+3,'9'!$B:$B,'12'!BX$4,'9'!$D:$D,"Otro insumo 3*")</f>
        <v>0</v>
      </c>
      <c r="BZ38" s="101">
        <f>((A4_A_L37*Otro3_A)+(A4_B_L37*Otro3_B)+(A4_C_L37*Otro3_C)+(A4_D_L37*Otro3_D)+(A4_Y_L37*Otro3_Y))*Inflación_4</f>
        <v>0</v>
      </c>
      <c r="CA38" s="101">
        <f>SUMIFS('9'!$E:$E,'9'!$A:$A,Año_Inicial+3,'9'!$B:$B,'12'!BZ$4,'9'!$D:$D,"Otro insumo 3*")</f>
        <v>0</v>
      </c>
      <c r="CB38" s="101">
        <f>((A4_A_L38*Otro3_A)+(A4_B_L38*Otro3_B)+(A4_C_L38*Otro3_C)+(A4_D_L38*Otro3_D)+(A4_Y_L38*Otro3_Y))*Inflación_4</f>
        <v>0</v>
      </c>
      <c r="CC38" s="101">
        <f>SUMIFS('9'!$E:$E,'9'!$A:$A,Año_Inicial+3,'9'!$B:$B,'12'!CB$4,'9'!$D:$D,"Otro insumo 3*")</f>
        <v>0</v>
      </c>
      <c r="CD38" s="101">
        <f>((A4_A_L39*Otro3_A)+(A4_B_L39*Otro3_B)+(A4_C_L39*Otro3_C)+(A4_D_L39*Otro3_D)+(A4_Y_L39*Otro3_Y))*Inflación_4</f>
        <v>0</v>
      </c>
      <c r="CE38" s="101">
        <f>SUMIFS('9'!$E:$E,'9'!$A:$A,Año_Inicial+3,'9'!$B:$B,'12'!CD$4,'9'!$D:$D,"Otro insumo 3*")</f>
        <v>0</v>
      </c>
      <c r="CF38" s="101">
        <f>((A4_A_L40*Otro3_A)+(A4_B_L40*Otro3_B)+(A4_C_L40*Otro3_C)+(A4_D_L40*Otro3_D)+(A4_Y_L40*Otro3_Y))*Inflación_4</f>
        <v>0</v>
      </c>
      <c r="CG38" s="101">
        <f>SUMIFS('9'!$E:$E,'9'!$A:$A,Año_Inicial+3,'9'!$B:$B,'12'!CF$4,'9'!$D:$D,"Otro insumo 3*")</f>
        <v>0</v>
      </c>
      <c r="CH38" s="473"/>
      <c r="CI38" s="101">
        <f>Plantas_A_A4*Otro3_A*Inflación_4</f>
        <v>0</v>
      </c>
      <c r="CJ38" s="101">
        <f>Plantas_B_A4*Otro3_B</f>
        <v>0</v>
      </c>
      <c r="CK38" s="101">
        <f>Plantas_C_A4*Otro3_C</f>
        <v>0</v>
      </c>
      <c r="CL38" s="101">
        <f>Plantas_D_A4*Otro3_D</f>
        <v>0</v>
      </c>
      <c r="CM38" s="101"/>
      <c r="CN38" s="101">
        <f>Plantas_Y_A4*Otro3_Y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SUMIFS('9'!$E:$E,'9'!$A:$A,Año_Inicial+3,'9'!$D:$D,"Corte")</f>
        <v>0</v>
      </c>
      <c r="D40" s="100">
        <f t="shared" si="45"/>
        <v>0</v>
      </c>
      <c r="E40" s="473"/>
      <c r="F40" s="101">
        <f>P_A4_L1*CUI_Corte*Inflación_4</f>
        <v>0</v>
      </c>
      <c r="G40" s="101">
        <f>SUMIFS('9'!$E:$E,'9'!$A:$A,Año_Inicial+3,'9'!$B:$B,'12'!F$4,'9'!$D:$D,"Corte")</f>
        <v>0</v>
      </c>
      <c r="H40" s="101">
        <f>P_A4_L2*CUI_Corte*Inflación_4</f>
        <v>0</v>
      </c>
      <c r="I40" s="101">
        <f>SUMIFS('9'!$E:$E,'9'!$A:$A,Año_Inicial+3,'9'!$B:$B,'12'!H$4,'9'!$D:$D,"Corte")</f>
        <v>0</v>
      </c>
      <c r="J40" s="101">
        <f>P_A4_L3*CUI_Corte*Inflación_4</f>
        <v>0</v>
      </c>
      <c r="K40" s="101">
        <f>SUMIFS('9'!$E:$E,'9'!$A:$A,Año_Inicial+3,'9'!$B:$B,'12'!J$4,'9'!$D:$D,"Corte")</f>
        <v>0</v>
      </c>
      <c r="L40" s="101">
        <f>P_A4_L4*CUI_Corte*Inflación_4</f>
        <v>0</v>
      </c>
      <c r="M40" s="101">
        <f>SUMIFS('9'!$E:$E,'9'!$A:$A,Año_Inicial+3,'9'!$B:$B,'12'!L$4,'9'!$D:$D,"Corte")</f>
        <v>0</v>
      </c>
      <c r="N40" s="101">
        <f>P_A4_L5*CUI_Corte*Inflación_4</f>
        <v>0</v>
      </c>
      <c r="O40" s="101">
        <f>SUMIFS('9'!$E:$E,'9'!$A:$A,Año_Inicial+3,'9'!$B:$B,'12'!N$4,'9'!$D:$D,"Corte")</f>
        <v>0</v>
      </c>
      <c r="P40" s="101">
        <f>P_A4_L6*CUI_Corte*Inflación_4</f>
        <v>0</v>
      </c>
      <c r="Q40" s="101">
        <f>SUMIFS('9'!$E:$E,'9'!$A:$A,Año_Inicial+3,'9'!$B:$B,'12'!P$4,'9'!$D:$D,"Corte")</f>
        <v>0</v>
      </c>
      <c r="R40" s="101">
        <f>P_A4_L7*CUI_Corte*Inflación_4</f>
        <v>0</v>
      </c>
      <c r="S40" s="101">
        <f>SUMIFS('9'!$E:$E,'9'!$A:$A,Año_Inicial+3,'9'!$B:$B,'12'!R$4,'9'!$D:$D,"Corte")</f>
        <v>0</v>
      </c>
      <c r="T40" s="101">
        <f>P_A4_L8*CUI_Corte*Inflación_4</f>
        <v>0</v>
      </c>
      <c r="U40" s="101">
        <f>SUMIFS('9'!$E:$E,'9'!$A:$A,Año_Inicial+3,'9'!$B:$B,'12'!T$4,'9'!$D:$D,"Corte")</f>
        <v>0</v>
      </c>
      <c r="V40" s="101">
        <f>P_A4_L9*CUI_Corte*Inflación_4</f>
        <v>0</v>
      </c>
      <c r="W40" s="101">
        <f>SUMIFS('9'!$E:$E,'9'!$A:$A,Año_Inicial+3,'9'!$B:$B,'12'!V$4,'9'!$D:$D,"Corte")</f>
        <v>0</v>
      </c>
      <c r="X40" s="101">
        <f>P_A4_L10*CUI_Corte*Inflación_4</f>
        <v>0</v>
      </c>
      <c r="Y40" s="101">
        <f>SUMIFS('9'!$E:$E,'9'!$A:$A,Año_Inicial+3,'9'!$B:$B,'12'!X$4,'9'!$D:$D,"Corte")</f>
        <v>0</v>
      </c>
      <c r="Z40" s="101">
        <f>P_A4_L11*CUI_Corte*Inflación_4</f>
        <v>0</v>
      </c>
      <c r="AA40" s="101">
        <f>SUMIFS('9'!$E:$E,'9'!$A:$A,Año_Inicial+3,'9'!$B:$B,'12'!Z$4,'9'!$D:$D,"Corte")</f>
        <v>0</v>
      </c>
      <c r="AB40" s="101">
        <f>P_A4_L12*CUI_Corte*Inflación_4</f>
        <v>0</v>
      </c>
      <c r="AC40" s="101">
        <f>SUMIFS('9'!$E:$E,'9'!$A:$A,Año_Inicial+3,'9'!$B:$B,'12'!AB$4,'9'!$D:$D,"Corte")</f>
        <v>0</v>
      </c>
      <c r="AD40" s="101">
        <f>P_A4_L13*CUI_Corte*Inflación_4</f>
        <v>0</v>
      </c>
      <c r="AE40" s="101">
        <f>SUMIFS('9'!$E:$E,'9'!$A:$A,Año_Inicial+3,'9'!$B:$B,'12'!AD$4,'9'!$D:$D,"Corte")</f>
        <v>0</v>
      </c>
      <c r="AF40" s="101">
        <f>P_A4_L14*CUI_Corte*Inflación_4</f>
        <v>0</v>
      </c>
      <c r="AG40" s="101">
        <f>SUMIFS('9'!$E:$E,'9'!$A:$A,Año_Inicial+3,'9'!$B:$B,'12'!AF$4,'9'!$D:$D,"Corte")</f>
        <v>0</v>
      </c>
      <c r="AH40" s="101">
        <f>P_A4_L15*CUI_Corte*Inflación_4</f>
        <v>0</v>
      </c>
      <c r="AI40" s="101">
        <f>SUMIFS('9'!$E:$E,'9'!$A:$A,Año_Inicial+3,'9'!$B:$B,'12'!AH$4,'9'!$D:$D,"Corte")</f>
        <v>0</v>
      </c>
      <c r="AJ40" s="101">
        <f>P_A4_L16*CUI_Corte*Inflación_4</f>
        <v>0</v>
      </c>
      <c r="AK40" s="101">
        <f>SUMIFS('9'!$E:$E,'9'!$A:$A,Año_Inicial+3,'9'!$B:$B,'12'!AJ$4,'9'!$D:$D,"Corte")</f>
        <v>0</v>
      </c>
      <c r="AL40" s="101">
        <f>P_A4_L17*CUI_Corte*Inflación_4</f>
        <v>0</v>
      </c>
      <c r="AM40" s="101">
        <f>SUMIFS('9'!$E:$E,'9'!$A:$A,Año_Inicial+3,'9'!$B:$B,'12'!AL$4,'9'!$D:$D,"Corte")</f>
        <v>0</v>
      </c>
      <c r="AN40" s="101">
        <f>P_A4_L18*CUI_Corte*Inflación_4</f>
        <v>0</v>
      </c>
      <c r="AO40" s="101">
        <f>SUMIFS('9'!$E:$E,'9'!$A:$A,Año_Inicial+3,'9'!$B:$B,'12'!AN$4,'9'!$D:$D,"Corte")</f>
        <v>0</v>
      </c>
      <c r="AP40" s="101">
        <f>P_A4_L19*CUI_Corte*Inflación_4</f>
        <v>0</v>
      </c>
      <c r="AQ40" s="101">
        <f>SUMIFS('9'!$E:$E,'9'!$A:$A,Año_Inicial+3,'9'!$B:$B,'12'!AP$4,'9'!$D:$D,"Corte")</f>
        <v>0</v>
      </c>
      <c r="AR40" s="101">
        <f>P_A4_L20*CUI_Corte*Inflación_4</f>
        <v>0</v>
      </c>
      <c r="AS40" s="101">
        <f>SUMIFS('9'!$E:$E,'9'!$A:$A,Año_Inicial+3,'9'!$B:$B,'12'!AR$4,'9'!$D:$D,"Corte")</f>
        <v>0</v>
      </c>
      <c r="AT40" s="101">
        <f>P_A4_L21*CUI_Corte*Inflación_4</f>
        <v>0</v>
      </c>
      <c r="AU40" s="101">
        <f>SUMIFS('9'!$E:$E,'9'!$A:$A,Año_Inicial+3,'9'!$B:$B,'12'!AT$4,'9'!$D:$D,"Corte")</f>
        <v>0</v>
      </c>
      <c r="AV40" s="101">
        <f>P_A4_L22*CUI_Corte*Inflación_4</f>
        <v>0</v>
      </c>
      <c r="AW40" s="101">
        <f>SUMIFS('9'!$E:$E,'9'!$A:$A,Año_Inicial+3,'9'!$B:$B,'12'!AV$4,'9'!$D:$D,"Corte")</f>
        <v>0</v>
      </c>
      <c r="AX40" s="101">
        <f>P_A4_L23*CUI_Corte*Inflación_4</f>
        <v>0</v>
      </c>
      <c r="AY40" s="101">
        <f>SUMIFS('9'!$E:$E,'9'!$A:$A,Año_Inicial+3,'9'!$B:$B,'12'!AX$4,'9'!$D:$D,"Corte")</f>
        <v>0</v>
      </c>
      <c r="AZ40" s="101">
        <f>P_A4_L24*CUI_Corte*Inflación_4</f>
        <v>0</v>
      </c>
      <c r="BA40" s="101">
        <f>SUMIFS('9'!$E:$E,'9'!$A:$A,Año_Inicial+3,'9'!$B:$B,'12'!AZ$4,'9'!$D:$D,"Corte")</f>
        <v>0</v>
      </c>
      <c r="BB40" s="101">
        <f>P_A4_L25*CUI_Corte*Inflación_4</f>
        <v>0</v>
      </c>
      <c r="BC40" s="101">
        <f>SUMIFS('9'!$E:$E,'9'!$A:$A,Año_Inicial+3,'9'!$B:$B,'12'!BB$4,'9'!$D:$D,"Corte")</f>
        <v>0</v>
      </c>
      <c r="BD40" s="101">
        <f>P_A4_L26*CUI_Corte*Inflación_4</f>
        <v>0</v>
      </c>
      <c r="BE40" s="101">
        <f>SUMIFS('9'!$E:$E,'9'!$A:$A,Año_Inicial+3,'9'!$B:$B,'12'!BD$4,'9'!$D:$D,"Corte")</f>
        <v>0</v>
      </c>
      <c r="BF40" s="101">
        <f>P_A4_L27*CUI_Corte*Inflación_4</f>
        <v>0</v>
      </c>
      <c r="BG40" s="101">
        <f>SUMIFS('9'!$E:$E,'9'!$A:$A,Año_Inicial+3,'9'!$B:$B,'12'!BF$4,'9'!$D:$D,"Corte")</f>
        <v>0</v>
      </c>
      <c r="BH40" s="101">
        <f>P_A4_L28*CUI_Corte*Inflación_4</f>
        <v>0</v>
      </c>
      <c r="BI40" s="101">
        <f>SUMIFS('9'!$E:$E,'9'!$A:$A,Año_Inicial+3,'9'!$B:$B,'12'!BH$4,'9'!$D:$D,"Corte")</f>
        <v>0</v>
      </c>
      <c r="BJ40" s="101">
        <f>P_A4_L29*CUI_Corte*Inflación_4</f>
        <v>0</v>
      </c>
      <c r="BK40" s="101">
        <f>SUMIFS('9'!$E:$E,'9'!$A:$A,Año_Inicial+3,'9'!$B:$B,'12'!BJ$4,'9'!$D:$D,"Corte")</f>
        <v>0</v>
      </c>
      <c r="BL40" s="101">
        <f>P_A4_L30*CUI_Corte*Inflación_4</f>
        <v>0</v>
      </c>
      <c r="BM40" s="101">
        <f>SUMIFS('9'!$E:$E,'9'!$A:$A,Año_Inicial+3,'9'!$B:$B,'12'!BL$4,'9'!$D:$D,"Corte")</f>
        <v>0</v>
      </c>
      <c r="BN40" s="101">
        <f>P_A4_L31*CUI_Corte*Inflación_4</f>
        <v>0</v>
      </c>
      <c r="BO40" s="101">
        <f>SUMIFS('9'!$E:$E,'9'!$A:$A,Año_Inicial+3,'9'!$B:$B,'12'!BN$4,'9'!$D:$D,"Corte")</f>
        <v>0</v>
      </c>
      <c r="BP40" s="101">
        <f>P_A4_L32*CUI_Corte*Inflación_4</f>
        <v>0</v>
      </c>
      <c r="BQ40" s="101">
        <f>SUMIFS('9'!$E:$E,'9'!$A:$A,Año_Inicial+3,'9'!$B:$B,'12'!BP$4,'9'!$D:$D,"Corte")</f>
        <v>0</v>
      </c>
      <c r="BR40" s="101">
        <f>P_A4_L33*CUI_Corte*Inflación_4</f>
        <v>0</v>
      </c>
      <c r="BS40" s="101">
        <f>SUMIFS('9'!$E:$E,'9'!$A:$A,Año_Inicial+3,'9'!$B:$B,'12'!BR$4,'9'!$D:$D,"Corte")</f>
        <v>0</v>
      </c>
      <c r="BT40" s="101">
        <f>P_A4_L34*CUI_Corte*Inflación_4</f>
        <v>0</v>
      </c>
      <c r="BU40" s="101">
        <f>SUMIFS('9'!$E:$E,'9'!$A:$A,Año_Inicial+3,'9'!$B:$B,'12'!BT$4,'9'!$D:$D,"Corte")</f>
        <v>0</v>
      </c>
      <c r="BV40" s="101">
        <f>P_A4_L35*CUI_Corte*Inflación_4</f>
        <v>0</v>
      </c>
      <c r="BW40" s="101">
        <f>SUMIFS('9'!$E:$E,'9'!$A:$A,Año_Inicial+3,'9'!$B:$B,'12'!BV$4,'9'!$D:$D,"Corte")</f>
        <v>0</v>
      </c>
      <c r="BX40" s="101">
        <f>P_A4_L36*CUI_Corte*Inflación_4</f>
        <v>0</v>
      </c>
      <c r="BY40" s="101">
        <f>SUMIFS('9'!$E:$E,'9'!$A:$A,Año_Inicial+3,'9'!$B:$B,'12'!BX$4,'9'!$D:$D,"Corte")</f>
        <v>0</v>
      </c>
      <c r="BZ40" s="101">
        <f>P_A4_L37*CUI_Corte*Inflación_4</f>
        <v>0</v>
      </c>
      <c r="CA40" s="101">
        <f>SUMIFS('9'!$E:$E,'9'!$A:$A,Año_Inicial+3,'9'!$B:$B,'12'!BZ$4,'9'!$D:$D,"Corte")</f>
        <v>0</v>
      </c>
      <c r="CB40" s="101">
        <f>P_A4_L38*CUI_Corte*Inflación_4</f>
        <v>0</v>
      </c>
      <c r="CC40" s="101">
        <f>SUMIFS('9'!$E:$E,'9'!$A:$A,Año_Inicial+3,'9'!$B:$B,'12'!CB$4,'9'!$D:$D,"Corte")</f>
        <v>0</v>
      </c>
      <c r="CD40" s="101">
        <f>P_A4_L39*CUI_Corte*Inflación_4</f>
        <v>0</v>
      </c>
      <c r="CE40" s="101">
        <f>SUMIFS('9'!$E:$E,'9'!$A:$A,Año_Inicial+3,'9'!$B:$B,'12'!CD$4,'9'!$D:$D,"Corte")</f>
        <v>0</v>
      </c>
      <c r="CF40" s="101">
        <f>P_A4_L40*CUI_Corte*Inflación_4</f>
        <v>0</v>
      </c>
      <c r="CG40" s="101">
        <f>SUMIFS('9'!$E:$E,'9'!$A:$A,Año_Inicial+3,'9'!$B:$B,'12'!CF$4,'9'!$D:$D,"Corte")</f>
        <v>0</v>
      </c>
      <c r="CH40" s="473"/>
      <c r="CI40" s="101">
        <f>CI7*CUI_Corte*Inflación_4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SUMIFS('9'!$E:$E,'9'!$A:$A,Año_Inicial+3,'9'!$D:$D,"Beneficiado")</f>
        <v>0</v>
      </c>
      <c r="D41" s="100" t="e">
        <f t="shared" si="45"/>
        <v>#DIV/0!</v>
      </c>
      <c r="E41" s="473"/>
      <c r="F41" s="101">
        <f>(P_A4_L1/5)*CUI_Poscosecha*Inflación_4</f>
        <v>0</v>
      </c>
      <c r="G41" s="101">
        <f>SUMIFS('9'!$E:$E,'9'!$A:$A,Año_Inicial+3,'9'!$B:$B,'12'!F$4,'9'!$D:$D,"Beneficiado")</f>
        <v>0</v>
      </c>
      <c r="H41" s="101">
        <f>(P_A4_L2/5)*CUI_Poscosecha*Inflación_4</f>
        <v>0</v>
      </c>
      <c r="I41" s="101">
        <f>SUMIFS('9'!$E:$E,'9'!$A:$A,Año_Inicial+3,'9'!$B:$B,'12'!H$4,'9'!$D:$D,"Beneficiado")</f>
        <v>0</v>
      </c>
      <c r="J41" s="101">
        <f>(P_A4_L3/5)*CUI_Poscosecha*Inflación_4</f>
        <v>0</v>
      </c>
      <c r="K41" s="101">
        <f>SUMIFS('9'!$E:$E,'9'!$A:$A,Año_Inicial+3,'9'!$B:$B,'12'!J$4,'9'!$D:$D,"Beneficiado")</f>
        <v>0</v>
      </c>
      <c r="L41" s="101">
        <f>(P_A4_L4/5)*CUI_Poscosecha*Inflación_4</f>
        <v>0</v>
      </c>
      <c r="M41" s="101">
        <f>SUMIFS('9'!$E:$E,'9'!$A:$A,Año_Inicial+3,'9'!$B:$B,'12'!L$4,'9'!$D:$D,"Beneficiado")</f>
        <v>0</v>
      </c>
      <c r="N41" s="101">
        <f>(P_A4_L5/5)*CUI_Poscosecha*Inflación_4</f>
        <v>0</v>
      </c>
      <c r="O41" s="101">
        <f>SUMIFS('9'!$E:$E,'9'!$A:$A,Año_Inicial+3,'9'!$B:$B,'12'!N$4,'9'!$D:$D,"Beneficiado")</f>
        <v>0</v>
      </c>
      <c r="P41" s="101">
        <f>(P_A4_L6/5)*CUI_Poscosecha*Inflación_4</f>
        <v>0</v>
      </c>
      <c r="Q41" s="101">
        <f>SUMIFS('9'!$E:$E,'9'!$A:$A,Año_Inicial+3,'9'!$B:$B,'12'!P$4,'9'!$D:$D,"Beneficiado")</f>
        <v>0</v>
      </c>
      <c r="R41" s="101">
        <f>(P_A4_L7/5)*CUI_Poscosecha*Inflación_4</f>
        <v>0</v>
      </c>
      <c r="S41" s="101">
        <f>SUMIFS('9'!$E:$E,'9'!$A:$A,Año_Inicial+3,'9'!$B:$B,'12'!R$4,'9'!$D:$D,"Beneficiado")</f>
        <v>0</v>
      </c>
      <c r="T41" s="101">
        <f>(P_A4_L8/5)*CUI_Poscosecha*Inflación_4</f>
        <v>0</v>
      </c>
      <c r="U41" s="101">
        <f>SUMIFS('9'!$E:$E,'9'!$A:$A,Año_Inicial+3,'9'!$B:$B,'12'!T$4,'9'!$D:$D,"Beneficiado")</f>
        <v>0</v>
      </c>
      <c r="V41" s="101">
        <f>(P_A4_L9/5)*CUI_Poscosecha*Inflación_4</f>
        <v>0</v>
      </c>
      <c r="W41" s="101">
        <f>SUMIFS('9'!$E:$E,'9'!$A:$A,Año_Inicial+3,'9'!$B:$B,'12'!V$4,'9'!$D:$D,"Beneficiado")</f>
        <v>0</v>
      </c>
      <c r="X41" s="101">
        <f>(P_A4_L10/5)*CUI_Poscosecha*Inflación_4</f>
        <v>0</v>
      </c>
      <c r="Y41" s="101">
        <f>SUMIFS('9'!$E:$E,'9'!$A:$A,Año_Inicial+3,'9'!$B:$B,'12'!X$4,'9'!$D:$D,"Beneficiado")</f>
        <v>0</v>
      </c>
      <c r="Z41" s="101">
        <f>(P_A4_L11/5)*CUI_Poscosecha*Inflación_4</f>
        <v>0</v>
      </c>
      <c r="AA41" s="101">
        <f>SUMIFS('9'!$E:$E,'9'!$A:$A,Año_Inicial+3,'9'!$B:$B,'12'!Z$4,'9'!$D:$D,"Beneficiado")</f>
        <v>0</v>
      </c>
      <c r="AB41" s="101">
        <f>(P_A4_L12/5)*CUI_Poscosecha*Inflación_4</f>
        <v>0</v>
      </c>
      <c r="AC41" s="101">
        <f>SUMIFS('9'!$E:$E,'9'!$A:$A,Año_Inicial+3,'9'!$B:$B,'12'!AB$4,'9'!$D:$D,"Beneficiado")</f>
        <v>0</v>
      </c>
      <c r="AD41" s="101">
        <f>(P_A4_L13/5)*CUI_Poscosecha*Inflación_4</f>
        <v>0</v>
      </c>
      <c r="AE41" s="101">
        <f>SUMIFS('9'!$E:$E,'9'!$A:$A,Año_Inicial+3,'9'!$B:$B,'12'!AD$4,'9'!$D:$D,"Beneficiado")</f>
        <v>0</v>
      </c>
      <c r="AF41" s="101">
        <f>(P_A4_L14/5)*CUI_Poscosecha*Inflación_4</f>
        <v>0</v>
      </c>
      <c r="AG41" s="101">
        <f>SUMIFS('9'!$E:$E,'9'!$A:$A,Año_Inicial+3,'9'!$B:$B,'12'!AF$4,'9'!$D:$D,"Beneficiado")</f>
        <v>0</v>
      </c>
      <c r="AH41" s="101">
        <f>(P_A4_L15/5)*CUI_Poscosecha*Inflación_4</f>
        <v>0</v>
      </c>
      <c r="AI41" s="101">
        <f>SUMIFS('9'!$E:$E,'9'!$A:$A,Año_Inicial+3,'9'!$B:$B,'12'!AH$4,'9'!$D:$D,"Beneficiado")</f>
        <v>0</v>
      </c>
      <c r="AJ41" s="101">
        <f>(P_A4_L16/5)*CUI_Poscosecha*Inflación_4</f>
        <v>0</v>
      </c>
      <c r="AK41" s="101">
        <f>SUMIFS('9'!$E:$E,'9'!$A:$A,Año_Inicial+3,'9'!$B:$B,'12'!AJ$4,'9'!$D:$D,"Beneficiado")</f>
        <v>0</v>
      </c>
      <c r="AL41" s="101">
        <f>(P_A4_L17/5)*CUI_Poscosecha*Inflación_4</f>
        <v>0</v>
      </c>
      <c r="AM41" s="101">
        <f>SUMIFS('9'!$E:$E,'9'!$A:$A,Año_Inicial+3,'9'!$B:$B,'12'!AL$4,'9'!$D:$D,"Beneficiado")</f>
        <v>0</v>
      </c>
      <c r="AN41" s="101">
        <f>(P_A4_L18/5)*CUI_Poscosecha*Inflación_4</f>
        <v>0</v>
      </c>
      <c r="AO41" s="101">
        <f>SUMIFS('9'!$E:$E,'9'!$A:$A,Año_Inicial+3,'9'!$B:$B,'12'!AN$4,'9'!$D:$D,"Beneficiado")</f>
        <v>0</v>
      </c>
      <c r="AP41" s="101">
        <f>(P_A4_L19/5)*CUI_Poscosecha*Inflación_4</f>
        <v>0</v>
      </c>
      <c r="AQ41" s="101">
        <f>SUMIFS('9'!$E:$E,'9'!$A:$A,Año_Inicial+3,'9'!$B:$B,'12'!AP$4,'9'!$D:$D,"Beneficiado")</f>
        <v>0</v>
      </c>
      <c r="AR41" s="101">
        <f>(P_A4_L20/5)*CUI_Poscosecha*Inflación_4</f>
        <v>0</v>
      </c>
      <c r="AS41" s="101">
        <f>SUMIFS('9'!$E:$E,'9'!$A:$A,Año_Inicial+3,'9'!$B:$B,'12'!AR$4,'9'!$D:$D,"Beneficiado")</f>
        <v>0</v>
      </c>
      <c r="AT41" s="101">
        <f>(P_A4_L21/5)*CUI_Poscosecha*Inflación_4</f>
        <v>0</v>
      </c>
      <c r="AU41" s="101">
        <f>SUMIFS('9'!$E:$E,'9'!$A:$A,Año_Inicial+3,'9'!$B:$B,'12'!AT$4,'9'!$D:$D,"Beneficiado")</f>
        <v>0</v>
      </c>
      <c r="AV41" s="101">
        <f>(P_A4_L22/5)*CUI_Poscosecha*Inflación_4</f>
        <v>0</v>
      </c>
      <c r="AW41" s="101">
        <f>SUMIFS('9'!$E:$E,'9'!$A:$A,Año_Inicial+3,'9'!$B:$B,'12'!AV$4,'9'!$D:$D,"Beneficiado")</f>
        <v>0</v>
      </c>
      <c r="AX41" s="101">
        <f>(P_A4_L23/5)*CUI_Poscosecha*Inflación_4</f>
        <v>0</v>
      </c>
      <c r="AY41" s="101">
        <f>SUMIFS('9'!$E:$E,'9'!$A:$A,Año_Inicial+3,'9'!$B:$B,'12'!AX$4,'9'!$D:$D,"Beneficiado")</f>
        <v>0</v>
      </c>
      <c r="AZ41" s="101">
        <f>(P_A4_L24/5)*CUI_Poscosecha*Inflación_4</f>
        <v>0</v>
      </c>
      <c r="BA41" s="101">
        <f>SUMIFS('9'!$E:$E,'9'!$A:$A,Año_Inicial+3,'9'!$B:$B,'12'!AZ$4,'9'!$D:$D,"Beneficiado")</f>
        <v>0</v>
      </c>
      <c r="BB41" s="101">
        <f>(P_A4_L25/5)*CUI_Poscosecha*Inflación_4</f>
        <v>0</v>
      </c>
      <c r="BC41" s="101">
        <f>SUMIFS('9'!$E:$E,'9'!$A:$A,Año_Inicial+3,'9'!$B:$B,'12'!BB$4,'9'!$D:$D,"Beneficiado")</f>
        <v>0</v>
      </c>
      <c r="BD41" s="101">
        <f>(P_A4_L26/5)*CUI_Poscosecha*Inflación_4</f>
        <v>0</v>
      </c>
      <c r="BE41" s="101">
        <f>SUMIFS('9'!$E:$E,'9'!$A:$A,Año_Inicial+3,'9'!$B:$B,'12'!BD$4,'9'!$D:$D,"Beneficiado")</f>
        <v>0</v>
      </c>
      <c r="BF41" s="101">
        <f>(P_A4_L27/5)*CUI_Poscosecha*Inflación_4</f>
        <v>0</v>
      </c>
      <c r="BG41" s="101">
        <f>SUMIFS('9'!$E:$E,'9'!$A:$A,Año_Inicial+3,'9'!$B:$B,'12'!BF$4,'9'!$D:$D,"Beneficiado")</f>
        <v>0</v>
      </c>
      <c r="BH41" s="101">
        <f>(P_A4_L28/5)*CUI_Poscosecha*Inflación_4</f>
        <v>0</v>
      </c>
      <c r="BI41" s="101">
        <f>SUMIFS('9'!$E:$E,'9'!$A:$A,Año_Inicial+3,'9'!$B:$B,'12'!BH$4,'9'!$D:$D,"Beneficiado")</f>
        <v>0</v>
      </c>
      <c r="BJ41" s="101">
        <f>(P_A4_L29/5)*CUI_Poscosecha*Inflación_4</f>
        <v>0</v>
      </c>
      <c r="BK41" s="101">
        <f>SUMIFS('9'!$E:$E,'9'!$A:$A,Año_Inicial+3,'9'!$B:$B,'12'!BJ$4,'9'!$D:$D,"Beneficiado")</f>
        <v>0</v>
      </c>
      <c r="BL41" s="101">
        <f>(P_A4_L30/5)*CUI_Poscosecha*Inflación_4</f>
        <v>0</v>
      </c>
      <c r="BM41" s="101">
        <f>SUMIFS('9'!$E:$E,'9'!$A:$A,Año_Inicial+3,'9'!$B:$B,'12'!BL$4,'9'!$D:$D,"Beneficiado")</f>
        <v>0</v>
      </c>
      <c r="BN41" s="101">
        <f>(P_A4_L31/5)*CUI_Poscosecha*Inflación_4</f>
        <v>0</v>
      </c>
      <c r="BO41" s="101">
        <f>SUMIFS('9'!$E:$E,'9'!$A:$A,Año_Inicial+3,'9'!$B:$B,'12'!BN$4,'9'!$D:$D,"Beneficiado")</f>
        <v>0</v>
      </c>
      <c r="BP41" s="101">
        <f>(P_A4_L32/5)*CUI_Poscosecha*Inflación_4</f>
        <v>0</v>
      </c>
      <c r="BQ41" s="101">
        <f>SUMIFS('9'!$E:$E,'9'!$A:$A,Año_Inicial+3,'9'!$B:$B,'12'!BP$4,'9'!$D:$D,"Beneficiado")</f>
        <v>0</v>
      </c>
      <c r="BR41" s="101">
        <f>(P_A4_L33/5)*CUI_Poscosecha*Inflación_4</f>
        <v>0</v>
      </c>
      <c r="BS41" s="101">
        <f>SUMIFS('9'!$E:$E,'9'!$A:$A,Año_Inicial+3,'9'!$B:$B,'12'!BR$4,'9'!$D:$D,"Beneficiado")</f>
        <v>0</v>
      </c>
      <c r="BT41" s="101">
        <f>(P_A4_L34/5)*CUI_Poscosecha*Inflación_4</f>
        <v>0</v>
      </c>
      <c r="BU41" s="101">
        <f>SUMIFS('9'!$E:$E,'9'!$A:$A,Año_Inicial+3,'9'!$B:$B,'12'!BT$4,'9'!$D:$D,"Beneficiado")</f>
        <v>0</v>
      </c>
      <c r="BV41" s="101">
        <f>(P_A4_L35/5)*CUI_Poscosecha*Inflación_4</f>
        <v>0</v>
      </c>
      <c r="BW41" s="101">
        <f>SUMIFS('9'!$E:$E,'9'!$A:$A,Año_Inicial+3,'9'!$B:$B,'12'!BV$4,'9'!$D:$D,"Beneficiado")</f>
        <v>0</v>
      </c>
      <c r="BX41" s="101">
        <f>(P_A4_L36/5)*CUI_Poscosecha*Inflación_4</f>
        <v>0</v>
      </c>
      <c r="BY41" s="101">
        <f>SUMIFS('9'!$E:$E,'9'!$A:$A,Año_Inicial+3,'9'!$B:$B,'12'!BX$4,'9'!$D:$D,"Beneficiado")</f>
        <v>0</v>
      </c>
      <c r="BZ41" s="101">
        <f>(P_A4_L37/5)*CUI_Poscosecha*Inflación_4</f>
        <v>0</v>
      </c>
      <c r="CA41" s="101">
        <f>SUMIFS('9'!$E:$E,'9'!$A:$A,Año_Inicial+3,'9'!$B:$B,'12'!BZ$4,'9'!$D:$D,"Beneficiado")</f>
        <v>0</v>
      </c>
      <c r="CB41" s="101">
        <f>(P_A4_L38/5)*CUI_Poscosecha*Inflación_4</f>
        <v>0</v>
      </c>
      <c r="CC41" s="101">
        <f>SUMIFS('9'!$E:$E,'9'!$A:$A,Año_Inicial+3,'9'!$B:$B,'12'!CB$4,'9'!$D:$D,"Beneficiado")</f>
        <v>0</v>
      </c>
      <c r="CD41" s="101">
        <f>(P_A4_L39/5)*CUI_Poscosecha*Inflación_4</f>
        <v>0</v>
      </c>
      <c r="CE41" s="101">
        <f>SUMIFS('9'!$E:$E,'9'!$A:$A,Año_Inicial+3,'9'!$B:$B,'12'!CD$4,'9'!$D:$D,"Beneficiado")</f>
        <v>0</v>
      </c>
      <c r="CF41" s="101">
        <f>(P_A4_L40/5)*CUI_Poscosecha*Inflación_4</f>
        <v>0</v>
      </c>
      <c r="CG41" s="101">
        <f>SUMIFS('9'!$E:$E,'9'!$A:$A,Año_Inicial+3,'9'!$B:$B,'12'!CF$4,'9'!$D:$D,"Beneficiado")</f>
        <v>0</v>
      </c>
      <c r="CH41" s="473"/>
      <c r="CI41" s="101" t="e">
        <f>(CI7/Pergo)*CUI_Poscosecha*Inflación_4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SUMIFS('9'!$E:$E,'9'!$A:$A,Año_Inicial+3,'9'!$C:$C,"Renovación")</f>
        <v>0</v>
      </c>
      <c r="D43" s="100">
        <f t="shared" si="45"/>
        <v>0</v>
      </c>
      <c r="E43" s="473"/>
      <c r="F43" s="101">
        <f>A4_Z_L1*Planta_Z*Inflación_4</f>
        <v>0</v>
      </c>
      <c r="G43" s="101">
        <f>SUMIFS('9'!$E:$E,'9'!$A:$A,Año_Inicial+3,'9'!$B:$B,'12'!F$4,'9'!$C:$C,"Renovación")</f>
        <v>0</v>
      </c>
      <c r="H43" s="101">
        <f>A4_Z_L2*Planta_Z*Inflación_4</f>
        <v>0</v>
      </c>
      <c r="I43" s="101">
        <f>SUMIFS('9'!$E:$E,'9'!$A:$A,Año_Inicial+3,'9'!$B:$B,'12'!H$4,'9'!$C:$C,"Renovación")</f>
        <v>0</v>
      </c>
      <c r="J43" s="101">
        <f>A4_Z_L3*Planta_Z*Inflación_4</f>
        <v>0</v>
      </c>
      <c r="K43" s="101">
        <f>SUMIFS('9'!$E:$E,'9'!$A:$A,Año_Inicial+3,'9'!$B:$B,'12'!J$4,'9'!$C:$C,"Renovación")</f>
        <v>0</v>
      </c>
      <c r="L43" s="101">
        <f>A4_Z_L4*Planta_Z*Inflación_4</f>
        <v>0</v>
      </c>
      <c r="M43" s="101">
        <f>SUMIFS('9'!$E:$E,'9'!$A:$A,Año_Inicial+3,'9'!$B:$B,'12'!L$4,'9'!$C:$C,"Renovación")</f>
        <v>0</v>
      </c>
      <c r="N43" s="101">
        <f>A4_Z_L5*Planta_Z*Inflación_4</f>
        <v>0</v>
      </c>
      <c r="O43" s="101">
        <f>SUMIFS('9'!$E:$E,'9'!$A:$A,Año_Inicial+3,'9'!$B:$B,'12'!N$4,'9'!$C:$C,"Renovación")</f>
        <v>0</v>
      </c>
      <c r="P43" s="101">
        <f>A4_Z_L6*Planta_Z*Inflación_4</f>
        <v>0</v>
      </c>
      <c r="Q43" s="101">
        <f>SUMIFS('9'!$E:$E,'9'!$A:$A,Año_Inicial+3,'9'!$B:$B,'12'!P$4,'9'!$C:$C,"Renovación")</f>
        <v>0</v>
      </c>
      <c r="R43" s="101">
        <f>A4_Z_L7*Planta_Z*Inflación_4</f>
        <v>0</v>
      </c>
      <c r="S43" s="101">
        <f>SUMIFS('9'!$E:$E,'9'!$A:$A,Año_Inicial+3,'9'!$B:$B,'12'!R$4,'9'!$C:$C,"Renovación")</f>
        <v>0</v>
      </c>
      <c r="T43" s="101">
        <f>A4_Z_L8*Planta_Z*Inflación_4</f>
        <v>0</v>
      </c>
      <c r="U43" s="101">
        <f>SUMIFS('9'!$E:$E,'9'!$A:$A,Año_Inicial+3,'9'!$B:$B,'12'!T$4,'9'!$C:$C,"Renovación")</f>
        <v>0</v>
      </c>
      <c r="V43" s="101">
        <f>A4_Z_L9*Planta_Z*Inflación_4</f>
        <v>0</v>
      </c>
      <c r="W43" s="101">
        <f>SUMIFS('9'!$E:$E,'9'!$A:$A,Año_Inicial+3,'9'!$B:$B,'12'!V$4,'9'!$C:$C,"Renovación")</f>
        <v>0</v>
      </c>
      <c r="X43" s="101">
        <f>A4_Z_L10*Planta_Z*Inflación_4</f>
        <v>0</v>
      </c>
      <c r="Y43" s="101">
        <f>SUMIFS('9'!$E:$E,'9'!$A:$A,Año_Inicial+3,'9'!$B:$B,'12'!X$4,'9'!$C:$C,"Renovación")</f>
        <v>0</v>
      </c>
      <c r="Z43" s="101">
        <f>A4_Z_L11*Planta_Z*Inflación_4</f>
        <v>0</v>
      </c>
      <c r="AA43" s="101">
        <f>SUMIFS('9'!$E:$E,'9'!$A:$A,Año_Inicial+3,'9'!$B:$B,'12'!Z$4,'9'!$C:$C,"Renovación")</f>
        <v>0</v>
      </c>
      <c r="AB43" s="101">
        <f>A4_Z_L12*Planta_Z*Inflación_4</f>
        <v>0</v>
      </c>
      <c r="AC43" s="101">
        <f>SUMIFS('9'!$E:$E,'9'!$A:$A,Año_Inicial+3,'9'!$B:$B,'12'!AB$4,'9'!$C:$C,"Renovación")</f>
        <v>0</v>
      </c>
      <c r="AD43" s="101">
        <f>A4_Z_L13*Planta_Z*Inflación_4</f>
        <v>0</v>
      </c>
      <c r="AE43" s="101">
        <f>SUMIFS('9'!$E:$E,'9'!$A:$A,Año_Inicial+3,'9'!$B:$B,'12'!AD$4,'9'!$C:$C,"Renovación")</f>
        <v>0</v>
      </c>
      <c r="AF43" s="101">
        <f>A4_Z_L14*Planta_Z*Inflación_4</f>
        <v>0</v>
      </c>
      <c r="AG43" s="101">
        <f>SUMIFS('9'!$E:$E,'9'!$A:$A,Año_Inicial+3,'9'!$B:$B,'12'!AF$4,'9'!$C:$C,"Renovación")</f>
        <v>0</v>
      </c>
      <c r="AH43" s="101">
        <f>A4_Z_L15*Planta_Z*Inflación_4</f>
        <v>0</v>
      </c>
      <c r="AI43" s="101">
        <f>SUMIFS('9'!$E:$E,'9'!$A:$A,Año_Inicial+3,'9'!$B:$B,'12'!AH$4,'9'!$C:$C,"Renovación")</f>
        <v>0</v>
      </c>
      <c r="AJ43" s="101">
        <f>A4_Z_L16*Planta_Z*Inflación_4</f>
        <v>0</v>
      </c>
      <c r="AK43" s="101">
        <f>SUMIFS('9'!$E:$E,'9'!$A:$A,Año_Inicial+3,'9'!$B:$B,'12'!AJ$4,'9'!$C:$C,"Renovación")</f>
        <v>0</v>
      </c>
      <c r="AL43" s="101">
        <f>A4_Z_L17*Planta_Z*Inflación_4</f>
        <v>0</v>
      </c>
      <c r="AM43" s="101">
        <f>SUMIFS('9'!$E:$E,'9'!$A:$A,Año_Inicial+3,'9'!$B:$B,'12'!AL$4,'9'!$C:$C,"Renovación")</f>
        <v>0</v>
      </c>
      <c r="AN43" s="101">
        <f>A4_Z_L18*Planta_Z*Inflación_4</f>
        <v>0</v>
      </c>
      <c r="AO43" s="101">
        <f>SUMIFS('9'!$E:$E,'9'!$A:$A,Año_Inicial+3,'9'!$B:$B,'12'!AN$4,'9'!$C:$C,"Renovación")</f>
        <v>0</v>
      </c>
      <c r="AP43" s="101">
        <f>A4_Z_L19*Planta_Z*Inflación_4</f>
        <v>0</v>
      </c>
      <c r="AQ43" s="101">
        <f>SUMIFS('9'!$E:$E,'9'!$A:$A,Año_Inicial+3,'9'!$B:$B,'12'!AP$4,'9'!$C:$C,"Renovación")</f>
        <v>0</v>
      </c>
      <c r="AR43" s="101">
        <f>A4_Z_L20*Planta_Z*Inflación_4</f>
        <v>0</v>
      </c>
      <c r="AS43" s="101">
        <f>SUMIFS('9'!$E:$E,'9'!$A:$A,Año_Inicial+3,'9'!$B:$B,'12'!AR$4,'9'!$C:$C,"Renovación")</f>
        <v>0</v>
      </c>
      <c r="AT43" s="101">
        <f>A4_Z_L21*Planta_Z*Inflación_4</f>
        <v>0</v>
      </c>
      <c r="AU43" s="101">
        <f>SUMIFS('9'!$E:$E,'9'!$A:$A,Año_Inicial+3,'9'!$B:$B,'12'!AT$4,'9'!$C:$C,"Renovación")</f>
        <v>0</v>
      </c>
      <c r="AV43" s="101">
        <f>A4_Z_L22*Planta_Z*Inflación_4</f>
        <v>0</v>
      </c>
      <c r="AW43" s="101">
        <f>SUMIFS('9'!$E:$E,'9'!$A:$A,Año_Inicial+3,'9'!$B:$B,'12'!AV$4,'9'!$C:$C,"Renovación")</f>
        <v>0</v>
      </c>
      <c r="AX43" s="101">
        <f>A4_Z_L23*Planta_Z*Inflación_4</f>
        <v>0</v>
      </c>
      <c r="AY43" s="101">
        <f>SUMIFS('9'!$E:$E,'9'!$A:$A,Año_Inicial+3,'9'!$B:$B,'12'!AX$4,'9'!$C:$C,"Renovación")</f>
        <v>0</v>
      </c>
      <c r="AZ43" s="101">
        <f>A4_Z_L24*Planta_Z*Inflación_4</f>
        <v>0</v>
      </c>
      <c r="BA43" s="101">
        <f>SUMIFS('9'!$E:$E,'9'!$A:$A,Año_Inicial+3,'9'!$B:$B,'12'!AZ$4,'9'!$C:$C,"Renovación")</f>
        <v>0</v>
      </c>
      <c r="BB43" s="101">
        <f>A4_Z_L25*Planta_Z*Inflación_4</f>
        <v>0</v>
      </c>
      <c r="BC43" s="101">
        <f>SUMIFS('9'!$E:$E,'9'!$A:$A,Año_Inicial+3,'9'!$B:$B,'12'!BB$4,'9'!$C:$C,"Renovación")</f>
        <v>0</v>
      </c>
      <c r="BD43" s="101">
        <f>A4_Z_L26*Planta_Z*Inflación_4</f>
        <v>0</v>
      </c>
      <c r="BE43" s="101">
        <f>SUMIFS('9'!$E:$E,'9'!$A:$A,Año_Inicial+3,'9'!$B:$B,'12'!BD$4,'9'!$C:$C,"Renovación")</f>
        <v>0</v>
      </c>
      <c r="BF43" s="101">
        <f>A4_Z_L27*Planta_Z*Inflación_4</f>
        <v>0</v>
      </c>
      <c r="BG43" s="101">
        <f>SUMIFS('9'!$E:$E,'9'!$A:$A,Año_Inicial+3,'9'!$B:$B,'12'!BF$4,'9'!$C:$C,"Renovación")</f>
        <v>0</v>
      </c>
      <c r="BH43" s="101">
        <f>A4_Z_L28*Planta_Z*Inflación_4</f>
        <v>0</v>
      </c>
      <c r="BI43" s="101">
        <f>SUMIFS('9'!$E:$E,'9'!$A:$A,Año_Inicial+3,'9'!$B:$B,'12'!BH$4,'9'!$C:$C,"Renovación")</f>
        <v>0</v>
      </c>
      <c r="BJ43" s="101">
        <f>A4_Z_L29*Planta_Z*Inflación_4</f>
        <v>0</v>
      </c>
      <c r="BK43" s="101">
        <f>SUMIFS('9'!$E:$E,'9'!$A:$A,Año_Inicial+3,'9'!$B:$B,'12'!BJ$4,'9'!$C:$C,"Renovación")</f>
        <v>0</v>
      </c>
      <c r="BL43" s="101">
        <f>A4_Z_L30*Planta_Z*Inflación_4</f>
        <v>0</v>
      </c>
      <c r="BM43" s="101">
        <f>SUMIFS('9'!$E:$E,'9'!$A:$A,Año_Inicial+3,'9'!$B:$B,'12'!BL$4,'9'!$C:$C,"Renovación")</f>
        <v>0</v>
      </c>
      <c r="BN43" s="101">
        <f>A4_Z_L31*Planta_Z*Inflación_4</f>
        <v>0</v>
      </c>
      <c r="BO43" s="101">
        <f>SUMIFS('9'!$E:$E,'9'!$A:$A,Año_Inicial+3,'9'!$B:$B,'12'!BN$4,'9'!$C:$C,"Renovación")</f>
        <v>0</v>
      </c>
      <c r="BP43" s="101">
        <f>A4_Z_L32*Planta_Z*Inflación_4</f>
        <v>0</v>
      </c>
      <c r="BQ43" s="101">
        <f>SUMIFS('9'!$E:$E,'9'!$A:$A,Año_Inicial+3,'9'!$B:$B,'12'!BP$4,'9'!$C:$C,"Renovación")</f>
        <v>0</v>
      </c>
      <c r="BR43" s="101">
        <f>A4_Z_L33*Planta_Z*Inflación_4</f>
        <v>0</v>
      </c>
      <c r="BS43" s="101">
        <f>SUMIFS('9'!$E:$E,'9'!$A:$A,Año_Inicial+3,'9'!$B:$B,'12'!BR$4,'9'!$C:$C,"Renovación")</f>
        <v>0</v>
      </c>
      <c r="BT43" s="101">
        <f>A4_Z_L34*Planta_Z*Inflación_4</f>
        <v>0</v>
      </c>
      <c r="BU43" s="101">
        <f>SUMIFS('9'!$E:$E,'9'!$A:$A,Año_Inicial+3,'9'!$B:$B,'12'!BT$4,'9'!$C:$C,"Renovación")</f>
        <v>0</v>
      </c>
      <c r="BV43" s="101">
        <f>A4_Z_L35*Planta_Z*Inflación_4</f>
        <v>0</v>
      </c>
      <c r="BW43" s="101">
        <f>SUMIFS('9'!$E:$E,'9'!$A:$A,Año_Inicial+3,'9'!$B:$B,'12'!BV$4,'9'!$C:$C,"Renovación")</f>
        <v>0</v>
      </c>
      <c r="BX43" s="101">
        <f>A4_Z_L36*Planta_Z*Inflación_4</f>
        <v>0</v>
      </c>
      <c r="BY43" s="101">
        <f>SUMIFS('9'!$E:$E,'9'!$A:$A,Año_Inicial+3,'9'!$B:$B,'12'!BX$4,'9'!$C:$C,"Renovación")</f>
        <v>0</v>
      </c>
      <c r="BZ43" s="101">
        <f>A4_Z_L37*Planta_Z*Inflación_4</f>
        <v>0</v>
      </c>
      <c r="CA43" s="101">
        <f>SUMIFS('9'!$E:$E,'9'!$A:$A,Año_Inicial+3,'9'!$B:$B,'12'!BZ$4,'9'!$C:$C,"Renovación")</f>
        <v>0</v>
      </c>
      <c r="CB43" s="101">
        <f>A4_Z_L38*Planta_Z*Inflación_4</f>
        <v>0</v>
      </c>
      <c r="CC43" s="101">
        <f>SUMIFS('9'!$E:$E,'9'!$A:$A,Año_Inicial+3,'9'!$B:$B,'12'!CB$4,'9'!$C:$C,"Renovación")</f>
        <v>0</v>
      </c>
      <c r="CD43" s="101">
        <f>A4_Z_L39*Planta_Z*Inflación_4</f>
        <v>0</v>
      </c>
      <c r="CE43" s="101">
        <f>SUMIFS('9'!$E:$E,'9'!$A:$A,Año_Inicial+3,'9'!$B:$B,'12'!CD$4,'9'!$C:$C,"Renovación")</f>
        <v>0</v>
      </c>
      <c r="CF43" s="101">
        <f>A4_Z_L40*Planta_Z*Inflación_4</f>
        <v>0</v>
      </c>
      <c r="CG43" s="101">
        <f>SUMIFS('9'!$E:$E,'9'!$A:$A,Año_Inicial+3,'9'!$B:$B,'12'!CF$4,'9'!$C:$C,"Renovación")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(Plantas_Z_A4*Planta_Z)*Inflación_4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Admin_2*Inflación_4</f>
        <v>0</v>
      </c>
      <c r="C44" s="101">
        <f>SUMIFS('9'!$E:$E,'9'!$A:$A,Año_Inicial+3,'9'!$C:$C,"Gastos_administrativos")</f>
        <v>0</v>
      </c>
      <c r="D44" s="100">
        <f t="shared" si="45"/>
        <v>0</v>
      </c>
      <c r="E44" s="473"/>
      <c r="F44" s="101">
        <f>($B44/$B47)*F47*Inflación_4</f>
        <v>0</v>
      </c>
      <c r="G44" s="101">
        <f>($C44/$B47)*F47</f>
        <v>0</v>
      </c>
      <c r="H44" s="101">
        <f>($B44/$B47)*H47*Inflación_4</f>
        <v>0</v>
      </c>
      <c r="I44" s="101">
        <f>($C44/$B47)*H47</f>
        <v>0</v>
      </c>
      <c r="J44" s="101">
        <f>($B44/$B47)*J47*Inflación_4</f>
        <v>0</v>
      </c>
      <c r="K44" s="101">
        <f>($C44/$B47)*J47</f>
        <v>0</v>
      </c>
      <c r="L44" s="101">
        <f>($B44/$B47)*L47*Inflación_4</f>
        <v>0</v>
      </c>
      <c r="M44" s="101">
        <f>($C44/$B47)*L47</f>
        <v>0</v>
      </c>
      <c r="N44" s="101">
        <f>($B44/$B47)*N47*Inflación_4</f>
        <v>0</v>
      </c>
      <c r="O44" s="101">
        <f>($C44/$B47)*N47</f>
        <v>0</v>
      </c>
      <c r="P44" s="101">
        <f>($B44/$B47)*P47*Inflación_4</f>
        <v>0</v>
      </c>
      <c r="Q44" s="101">
        <f>($C44/$B47)*P47</f>
        <v>0</v>
      </c>
      <c r="R44" s="101">
        <f>($B44/$B47)*R47*Inflación_4</f>
        <v>0</v>
      </c>
      <c r="S44" s="101">
        <f>($C44/$B47)*R47</f>
        <v>0</v>
      </c>
      <c r="T44" s="101">
        <f>($B44/$B47)*T47*Inflación_4</f>
        <v>0</v>
      </c>
      <c r="U44" s="101">
        <f>($C44/$B47)*T47</f>
        <v>0</v>
      </c>
      <c r="V44" s="101">
        <f>($B44/$B47)*V47*Inflación_4</f>
        <v>0</v>
      </c>
      <c r="W44" s="101">
        <f>($C44/$B47)*V47</f>
        <v>0</v>
      </c>
      <c r="X44" s="101">
        <f>($B44/$B47)*X47*Inflación_4</f>
        <v>0</v>
      </c>
      <c r="Y44" s="101">
        <f>($C44/$B47)*X47</f>
        <v>0</v>
      </c>
      <c r="Z44" s="101">
        <f>($B44/$B47)*Z47*Inflación_4</f>
        <v>0</v>
      </c>
      <c r="AA44" s="101">
        <f>($C44/$B47)*Z47</f>
        <v>0</v>
      </c>
      <c r="AB44" s="101">
        <f>($B44/$B47)*AB47*Inflación_4</f>
        <v>0</v>
      </c>
      <c r="AC44" s="101">
        <f>($C44/$B47)*AB47</f>
        <v>0</v>
      </c>
      <c r="AD44" s="101">
        <f>($B44/$B47)*AD47*Inflación_4</f>
        <v>0</v>
      </c>
      <c r="AE44" s="101">
        <f>($C44/$B47)*AD47</f>
        <v>0</v>
      </c>
      <c r="AF44" s="101">
        <f>($B44/$B47)*AF47*Inflación_4</f>
        <v>0</v>
      </c>
      <c r="AG44" s="101">
        <f>($C44/$B47)*AF47</f>
        <v>0</v>
      </c>
      <c r="AH44" s="101">
        <f>($B44/$B47)*AH47*Inflación_4</f>
        <v>0</v>
      </c>
      <c r="AI44" s="101">
        <f>($C44/$B47)*AH47</f>
        <v>0</v>
      </c>
      <c r="AJ44" s="101">
        <f>($B44/$B47)*AJ47*Inflación_4</f>
        <v>0</v>
      </c>
      <c r="AK44" s="101">
        <f>($C44/$B47)*AJ47</f>
        <v>0</v>
      </c>
      <c r="AL44" s="101">
        <f>($B44/$B47)*AL47*Inflación_4</f>
        <v>0</v>
      </c>
      <c r="AM44" s="101">
        <f>($C44/$B47)*AL47</f>
        <v>0</v>
      </c>
      <c r="AN44" s="101">
        <f>($B44/$B47)*AN47*Inflación_4</f>
        <v>0</v>
      </c>
      <c r="AO44" s="101">
        <f>($C44/$B47)*AN47</f>
        <v>0</v>
      </c>
      <c r="AP44" s="101">
        <f>($B44/$B47)*AP47*Inflación_4</f>
        <v>0</v>
      </c>
      <c r="AQ44" s="101">
        <f>($C44/$B47)*AP47</f>
        <v>0</v>
      </c>
      <c r="AR44" s="101">
        <f>($B44/$B47)*AR47*Inflación_4</f>
        <v>0</v>
      </c>
      <c r="AS44" s="101">
        <f>($C44/$B47)*AR47</f>
        <v>0</v>
      </c>
      <c r="AT44" s="101">
        <f>($B44/$B47)*AT47*Inflación_4</f>
        <v>0</v>
      </c>
      <c r="AU44" s="101">
        <f>($C44/$B47)*AT47</f>
        <v>0</v>
      </c>
      <c r="AV44" s="101">
        <f>($B44/$B47)*AV47*Inflación_4</f>
        <v>0</v>
      </c>
      <c r="AW44" s="101">
        <f>($C44/$B47)*AV47</f>
        <v>0</v>
      </c>
      <c r="AX44" s="101">
        <f>($B44/$B47)*AX47*Inflación_4</f>
        <v>0</v>
      </c>
      <c r="AY44" s="101">
        <f>($C44/$B47)*AX47</f>
        <v>0</v>
      </c>
      <c r="AZ44" s="101">
        <f>($B44/$B47)*AZ47*Inflación_4</f>
        <v>0</v>
      </c>
      <c r="BA44" s="101">
        <f>($C44/$B47)*AZ47</f>
        <v>0</v>
      </c>
      <c r="BB44" s="101">
        <f>($B44/$B47)*BB47*Inflación_4</f>
        <v>0</v>
      </c>
      <c r="BC44" s="101">
        <f>($C44/$B47)*BB47</f>
        <v>0</v>
      </c>
      <c r="BD44" s="101">
        <f>($B44/$B47)*BD47*Inflación_4</f>
        <v>0</v>
      </c>
      <c r="BE44" s="101">
        <f>($C44/$B47)*BD47</f>
        <v>0</v>
      </c>
      <c r="BF44" s="101">
        <f>($B44/$B47)*BF47*Inflación_4</f>
        <v>0</v>
      </c>
      <c r="BG44" s="101">
        <f>($C44/$B47)*BF47</f>
        <v>0</v>
      </c>
      <c r="BH44" s="101">
        <f>($B44/$B47)*BH47*Inflación_4</f>
        <v>0</v>
      </c>
      <c r="BI44" s="101">
        <f>($C44/$B47)*BH47</f>
        <v>0</v>
      </c>
      <c r="BJ44" s="101">
        <f>($B44/$B47)*BJ47*Inflación_4</f>
        <v>0</v>
      </c>
      <c r="BK44" s="101">
        <f>($C44/$B47)*BJ47</f>
        <v>0</v>
      </c>
      <c r="BL44" s="101">
        <f>($B44/$B47)*BL47*Inflación_4</f>
        <v>0</v>
      </c>
      <c r="BM44" s="101">
        <f>($C44/$B47)*BL47</f>
        <v>0</v>
      </c>
      <c r="BN44" s="101">
        <f>($B44/$B47)*BN47*Inflación_4</f>
        <v>0</v>
      </c>
      <c r="BO44" s="101">
        <f>($C44/$B47)*BN47</f>
        <v>0</v>
      </c>
      <c r="BP44" s="101">
        <f>($B44/$B47)*BP47*Inflación_4</f>
        <v>0</v>
      </c>
      <c r="BQ44" s="101">
        <f>($C44/$B47)*BP47</f>
        <v>0</v>
      </c>
      <c r="BR44" s="101">
        <f>($B44/$B47)*BR47*Inflación_4</f>
        <v>0</v>
      </c>
      <c r="BS44" s="101">
        <f>($C44/$B47)*BR47</f>
        <v>0</v>
      </c>
      <c r="BT44" s="101">
        <f>($B44/$B47)*BT47*Inflación_4</f>
        <v>0</v>
      </c>
      <c r="BU44" s="101">
        <f>($C44/$B47)*BT47</f>
        <v>0</v>
      </c>
      <c r="BV44" s="101">
        <f>($B44/$B47)*BV47*Inflación_4</f>
        <v>0</v>
      </c>
      <c r="BW44" s="101">
        <f>($C44/$B47)*BV47</f>
        <v>0</v>
      </c>
      <c r="BX44" s="101">
        <f>($B44/$B47)*BX47*Inflación_4</f>
        <v>0</v>
      </c>
      <c r="BY44" s="101">
        <f>($C44/$B47)*BX47</f>
        <v>0</v>
      </c>
      <c r="BZ44" s="101">
        <f>($B44/$B47)*BZ47*Inflación_4</f>
        <v>0</v>
      </c>
      <c r="CA44" s="101">
        <f>($C44/$B47)*BZ47</f>
        <v>0</v>
      </c>
      <c r="CB44" s="101">
        <f>($B44/$B47)*CB47*Inflación_4</f>
        <v>0</v>
      </c>
      <c r="CC44" s="101">
        <f>($C44/$B47)*CB47</f>
        <v>0</v>
      </c>
      <c r="CD44" s="101">
        <f>($B44/$B47)*CD47*Inflación_4</f>
        <v>0</v>
      </c>
      <c r="CE44" s="101">
        <f>($C44/$B47)*CD47</f>
        <v>0</v>
      </c>
      <c r="CF44" s="101">
        <f>($B44/$B47)*CF47*Inflación_4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A4_A_L1+A4_B_L1+A4_C_L1+A4_D_L1+A4_Y_L1+A4_Z_L1+A4_X_L1</f>
        <v>7000</v>
      </c>
      <c r="G47" s="479"/>
      <c r="H47" s="478">
        <f>A4_A_L2+A4_B_L2+A4_C_L2+A4_D_L2+A4_Y_L2+A4_Z_L2+A4_X_L2</f>
        <v>0</v>
      </c>
      <c r="I47" s="479"/>
      <c r="J47" s="478">
        <f>A4_A_L3+A4_B_L3+A4_C_L3+A4_D_L3+A4_Y_L3+A4_Z_L3+A4_X_L3</f>
        <v>0</v>
      </c>
      <c r="K47" s="479"/>
      <c r="L47" s="478">
        <f>A4_A_L4+A4_B_L4+A4_C_L4+A4_D_L4+A4_Y_L4+A4_Z_L4+A4_X_L4</f>
        <v>0</v>
      </c>
      <c r="M47" s="479"/>
      <c r="N47" s="478">
        <f>A4_A_L5+A4_B_L5+A4_C_L5+A4_D_L5+A4_Y_L5+A4_Z_L5+A4_X_L5</f>
        <v>0</v>
      </c>
      <c r="O47" s="479"/>
      <c r="P47" s="478">
        <f>A4_A_L6+A4_B_L6+A4_C_L6+A4_D_L6+A4_Y_L6+A4_Z_L6+A4_X_L6</f>
        <v>0</v>
      </c>
      <c r="Q47" s="479"/>
      <c r="R47" s="478">
        <f>A4_A_L7+A4_B_L7+A4_C_L7+A4_D_L7+A4_Y_L7+A4_Z_L7+A4_X_L7</f>
        <v>0</v>
      </c>
      <c r="S47" s="479"/>
      <c r="T47" s="478">
        <f>A4_A_L8+A4_B_L8+A4_C_L8+A4_D_L8+A4_Y_L8+A4_Z_L8+A4_X_L8</f>
        <v>0</v>
      </c>
      <c r="U47" s="479"/>
      <c r="V47" s="478">
        <f>A4_A_L9+A4_B_L9+A4_C_L9+A4_D_L9+A4_Y_L9+A4_Z_L9+A4_X_L9</f>
        <v>0</v>
      </c>
      <c r="W47" s="479"/>
      <c r="X47" s="478">
        <f>A4_A_L10+A4_B_L10+A4_C_L10+A4_D_L10+A4_Y_L10+A4_Z_L10+A4_X_L10</f>
        <v>0</v>
      </c>
      <c r="Y47" s="479"/>
      <c r="Z47" s="478">
        <f>A4_A_L11+A4_B_L11+A4_C_L11+A4_D_L11+A4_Y_L11+A4_Z_L11+A4_X_L11</f>
        <v>0</v>
      </c>
      <c r="AA47" s="479"/>
      <c r="AB47" s="478">
        <f>A4_A_L12+A4_B_L12+A4_C_L12+A4_D_L12+A4_Y_L12+A4_Z_L12+A4_X_L12</f>
        <v>0</v>
      </c>
      <c r="AC47" s="479"/>
      <c r="AD47" s="478">
        <f>A4_A_L13+A4_B_L13+A4_C_L13+A4_D_L13+A4_Y_L13+A4_Z_L13+A4_X_L13</f>
        <v>0</v>
      </c>
      <c r="AE47" s="479"/>
      <c r="AF47" s="478">
        <f>A4_A_L14+A4_B_L14+A4_C_L14+A4_D_L14+A4_Y_L14+A4_Z_L14+A4_X_L14</f>
        <v>0</v>
      </c>
      <c r="AG47" s="479"/>
      <c r="AH47" s="478">
        <f>A4_A_L15+A4_B_L15+A4_C_L15+A4_D_L15+A4_Y_L15+A4_Z_L15+A4_X_L15</f>
        <v>0</v>
      </c>
      <c r="AI47" s="479"/>
      <c r="AJ47" s="478">
        <f>A4_A_L16+A4_B_L16+A4_C_L16+A4_D_L16+A4_Y_L16+A4_Z_L16+A4_X_L16</f>
        <v>0</v>
      </c>
      <c r="AK47" s="479"/>
      <c r="AL47" s="478">
        <f>A4_A_L17+A4_B_L17+A4_C_L17+A4_D_L17+A4_Y_L17+A4_Z_L17+A4_X_L17</f>
        <v>0</v>
      </c>
      <c r="AM47" s="479"/>
      <c r="AN47" s="478">
        <f>A4_A_L18+A4_B_L18+A4_C_L18+A4_D_L18+A4_Y_L18+A4_Z_L18+A4_X_L18</f>
        <v>0</v>
      </c>
      <c r="AO47" s="479"/>
      <c r="AP47" s="478">
        <f>A4_A_L19+A4_B_L19+A4_C_L19+A4_D_L19+A4_Y_L19+A4_Z_L19+A4_X_L19</f>
        <v>0</v>
      </c>
      <c r="AQ47" s="479"/>
      <c r="AR47" s="478">
        <f>A4_A_L20+A4_B_L20+A4_C_L20+A4_D_L20+A4_Y_L20+A4_Z_L20+A4_X_L20</f>
        <v>0</v>
      </c>
      <c r="AS47" s="479"/>
      <c r="AT47" s="478">
        <f>A4_A_L21+A4_B_L21+A4_C_L21+A4_D_L21+A4_Y_L21+A4_Z_L21+A4_X_L21</f>
        <v>0</v>
      </c>
      <c r="AU47" s="479"/>
      <c r="AV47" s="478">
        <f>A4_A_L22+A4_B_L22+A4_C_L22+A4_D_L22+A4_Y_L22+A4_Z_L22+A4_X_L22</f>
        <v>0</v>
      </c>
      <c r="AW47" s="479"/>
      <c r="AX47" s="478">
        <f>A4_A_L23+A4_B_L23+A4_C_L23+A4_D_L23+A4_Y_L23+A4_Z_L23+A4_X_L23</f>
        <v>0</v>
      </c>
      <c r="AY47" s="479"/>
      <c r="AZ47" s="478">
        <f>A4_A_L24+A4_B_L24+A4_C_L24+A4_D_L24+A4_Y_L24+A4_Z_L24+A4_X_L24</f>
        <v>0</v>
      </c>
      <c r="BA47" s="479"/>
      <c r="BB47" s="478">
        <f>A4_A_L25+A4_B_L25+A4_C_L25+A4_D_L25+A4_Y_L25+A4_Z_L25+A4_X_L25</f>
        <v>0</v>
      </c>
      <c r="BC47" s="479"/>
      <c r="BD47" s="478">
        <f>A4_A_L26+A4_B_L26+A4_C_L26+A4_D_L26+A4_Y_L26+A4_Z_L26+A4_X_L26</f>
        <v>0</v>
      </c>
      <c r="BE47" s="479"/>
      <c r="BF47" s="478">
        <f>A4_A_L27+A4_B_L27+A4_C_L27+A4_D_L27+A4_Y_L27+A4_Z_L27+A4_X_L27</f>
        <v>0</v>
      </c>
      <c r="BG47" s="479"/>
      <c r="BH47" s="478">
        <f>A4_A_L28+A4_B_L28+A4_C_L28+A4_D_L28+A4_Y_L28+A4_Z_L28+A4_X_L28</f>
        <v>0</v>
      </c>
      <c r="BI47" s="479"/>
      <c r="BJ47" s="478">
        <f>A4_A_L29+A4_B_L29+A4_C_L29+A4_D_L29+A4_Y_L29+A4_Z_L29+A4_X_L29</f>
        <v>0</v>
      </c>
      <c r="BK47" s="479"/>
      <c r="BL47" s="478">
        <f>A4_A_L30+A4_B_L30+A4_C_L30+A4_D_L30+A4_Y_L30+A4_Z_L30+A4_X_L30</f>
        <v>0</v>
      </c>
      <c r="BM47" s="479"/>
      <c r="BN47" s="478">
        <f>A4_A_L31+A4_B_L31+A4_C_L31+A4_D_L31+A4_Y_L31+A4_Z_L31+A4_X_L31</f>
        <v>0</v>
      </c>
      <c r="BO47" s="479"/>
      <c r="BP47" s="478">
        <f>A4_A_L32+A4_B_L32+A4_C_L32+A4_D_L32+A4_Y_L32+A4_Z_L32+A4_X_L32</f>
        <v>0</v>
      </c>
      <c r="BQ47" s="479"/>
      <c r="BR47" s="478">
        <f>A4_A_L33+A4_B_L33+A4_C_L33+A4_D_L33+A4_Y_L33+A4_Z_L33+A4_X_L33</f>
        <v>0</v>
      </c>
      <c r="BS47" s="479"/>
      <c r="BT47" s="478">
        <f>A4_A_L34+A4_B_L34+A4_C_L34+A4_D_L34+A4_Y_L34+A4_Z_L34+A4_X_L34</f>
        <v>0</v>
      </c>
      <c r="BU47" s="479"/>
      <c r="BV47" s="478">
        <f>A4_A_L35+A4_B_L35+A4_C_L35+A4_D_L35+A4_Y_L35+A4_Z_L35+A4_X_L35</f>
        <v>0</v>
      </c>
      <c r="BW47" s="479"/>
      <c r="BX47" s="478">
        <f>A4_A_L36+A4_B_L36+A4_C_L36+A4_D_L36+A4_Y_L36+A4_Z_L36+A4_X_L36</f>
        <v>0</v>
      </c>
      <c r="BY47" s="479"/>
      <c r="BZ47" s="478">
        <f>A4_A_L37+A4_B_L37+A4_C_L37+A4_D_L37+A4_Y_L37+A4_Z_L37+A4_X_L37</f>
        <v>0</v>
      </c>
      <c r="CA47" s="479"/>
      <c r="CB47" s="478">
        <f>A4_A_L38+A4_B_L38+A4_C_L38+A4_D_L38+A4_Y_L38+A4_Z_L38+A4_X_L38</f>
        <v>0</v>
      </c>
      <c r="CC47" s="479"/>
      <c r="CD47" s="478">
        <f>A4_A_L39+A4_B_L39+A4_C_L39+A4_D_L39+A4_Y_L39+A4_Z_L39+A4_X_L39</f>
        <v>0</v>
      </c>
      <c r="CE47" s="479"/>
      <c r="CF47" s="478">
        <f>A4_A_L40+A4_B_L40+A4_C_L40+A4_D_L40+A4_Y_L40+A4_Z_L40+A4_X_L40</f>
        <v>0</v>
      </c>
      <c r="CG47" s="479"/>
      <c r="CH47" s="473"/>
      <c r="CI47" s="118">
        <f>Plantas_A_A4</f>
        <v>0</v>
      </c>
      <c r="CJ47" s="119">
        <f>Plantas_B_A4</f>
        <v>0</v>
      </c>
      <c r="CK47" s="119">
        <f>Plantas_C_A4</f>
        <v>0</v>
      </c>
      <c r="CL47" s="119">
        <f>Plantas_D_A4</f>
        <v>7000</v>
      </c>
      <c r="CM47" s="119">
        <f>Plantas_Z_A4</f>
        <v>0</v>
      </c>
      <c r="CN47" s="119">
        <f>Plantas_Y_A4</f>
        <v>0</v>
      </c>
      <c r="CO47" s="120">
        <f>Plantas_X_A4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nbGrF9y7ClipuCAyS5yCKvjPnfJ5G0/tjrIeUohYu1M4H1eTFYBGWvR34q1JfpatlPTjA+awH0sNA0WcticKrA==" saltValue="0ehtRNMTLQJnE5rCI7xx5Q==" spinCount="100000" sheet="1" objects="1" scenarios="1" formatColumns="0"/>
  <mergeCells count="86"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D4:CE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F4:CG4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AF47:AG47"/>
    <mergeCell ref="AH47:AI47"/>
    <mergeCell ref="AJ47:AK47"/>
    <mergeCell ref="AL47:AM47"/>
    <mergeCell ref="AN47:AO47"/>
    <mergeCell ref="AP47:AQ47"/>
    <mergeCell ref="BH47:BI47"/>
    <mergeCell ref="BJ47:BK47"/>
    <mergeCell ref="T47:U47"/>
    <mergeCell ref="V47:W47"/>
    <mergeCell ref="X47:Y47"/>
    <mergeCell ref="Z47:AA47"/>
    <mergeCell ref="AB47:AC47"/>
    <mergeCell ref="AZ47:BA47"/>
    <mergeCell ref="BB47:BC47"/>
    <mergeCell ref="AD47:AE47"/>
    <mergeCell ref="BD47:BE47"/>
    <mergeCell ref="BF47:BG47"/>
    <mergeCell ref="A50:C50"/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L47:BM47"/>
    <mergeCell ref="BN47:BO47"/>
    <mergeCell ref="AR47:AS47"/>
    <mergeCell ref="AT47:AU47"/>
    <mergeCell ref="AV47:AW47"/>
    <mergeCell ref="AX47:AY47"/>
  </mergeCells>
  <hyperlinks>
    <hyperlink ref="CH1" location="Inicio!A15" display="Regresar" xr:uid="{19246666-A3E9-4AD8-B24E-4D0EBBD54C27}"/>
    <hyperlink ref="A1" location="Inicio!C14" display="Regresar" xr:uid="{6E0A0F09-9DAB-430D-A49F-0A1DC51BB27E}"/>
    <hyperlink ref="A1:CO1" location="Inicio!C14" display="Regresar" xr:uid="{FA7A01F2-72ED-46E0-9728-4AD7BB78A2BF}"/>
  </hyperlinks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3999B-D057-7046-9716-2CE2ECE9DC53}">
  <sheetPr codeName="Hoja15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320" t="s">
        <v>21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2"/>
    </row>
    <row r="2" spans="1:93" s="59" customFormat="1" ht="50.1" customHeight="1" thickBot="1" x14ac:dyDescent="0.3">
      <c r="A2" s="480" t="str">
        <f>CONCATENATE("Planificación financiera ",Up," | Presupuesto y ejecución ",Año_Inicial+4)</f>
        <v>Planificación financiera  | Presupuesto y ejecución 2027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P_A5_L1</f>
        <v>0</v>
      </c>
      <c r="G7" s="96" t="e">
        <f>G40/CUI_Corte</f>
        <v>#DIV/0!</v>
      </c>
      <c r="H7" s="97">
        <f>P_A5_L2</f>
        <v>0</v>
      </c>
      <c r="I7" s="96" t="e">
        <f>I40/CUI_Corte</f>
        <v>#DIV/0!</v>
      </c>
      <c r="J7" s="97">
        <f>P_A5_L3</f>
        <v>0</v>
      </c>
      <c r="K7" s="96" t="e">
        <f>K40/CUI_Corte</f>
        <v>#DIV/0!</v>
      </c>
      <c r="L7" s="97">
        <f>P_A5_L4</f>
        <v>0</v>
      </c>
      <c r="M7" s="96" t="e">
        <f>M40/CUI_Corte</f>
        <v>#DIV/0!</v>
      </c>
      <c r="N7" s="97">
        <f>P_A5_L5</f>
        <v>0</v>
      </c>
      <c r="O7" s="96" t="e">
        <f>O40/CUI_Corte</f>
        <v>#DIV/0!</v>
      </c>
      <c r="P7" s="97">
        <f>P_A5_L6</f>
        <v>0</v>
      </c>
      <c r="Q7" s="96" t="e">
        <f>Q40/CUI_Corte</f>
        <v>#DIV/0!</v>
      </c>
      <c r="R7" s="97">
        <f>P_A5_L7</f>
        <v>0</v>
      </c>
      <c r="S7" s="96" t="e">
        <f>S40/CUI_Corte</f>
        <v>#DIV/0!</v>
      </c>
      <c r="T7" s="97">
        <f>P_A5_L8</f>
        <v>0</v>
      </c>
      <c r="U7" s="96" t="e">
        <f>U40/CUI_Corte</f>
        <v>#DIV/0!</v>
      </c>
      <c r="V7" s="97">
        <f>P_A5_L9</f>
        <v>0</v>
      </c>
      <c r="W7" s="96" t="e">
        <f>W40/CUI_Corte</f>
        <v>#DIV/0!</v>
      </c>
      <c r="X7" s="97">
        <f>P_A5_L10</f>
        <v>0</v>
      </c>
      <c r="Y7" s="96" t="e">
        <f>Y40/CUI_Corte</f>
        <v>#DIV/0!</v>
      </c>
      <c r="Z7" s="97">
        <f>P_A5_L11</f>
        <v>0</v>
      </c>
      <c r="AA7" s="96" t="e">
        <f>AA40/CUI_Corte</f>
        <v>#DIV/0!</v>
      </c>
      <c r="AB7" s="97">
        <f>P_A5_L12</f>
        <v>0</v>
      </c>
      <c r="AC7" s="96" t="e">
        <f>AC40/CUI_Corte</f>
        <v>#DIV/0!</v>
      </c>
      <c r="AD7" s="97">
        <f>P_A5_L13</f>
        <v>0</v>
      </c>
      <c r="AE7" s="96" t="e">
        <f>AE40/CUI_Corte</f>
        <v>#DIV/0!</v>
      </c>
      <c r="AF7" s="97">
        <f>P_A5_L14</f>
        <v>0</v>
      </c>
      <c r="AG7" s="96" t="e">
        <f>AG40/CUI_Corte</f>
        <v>#DIV/0!</v>
      </c>
      <c r="AH7" s="97">
        <f>P_A5_L15</f>
        <v>0</v>
      </c>
      <c r="AI7" s="96" t="e">
        <f>AI40/CUI_Corte</f>
        <v>#DIV/0!</v>
      </c>
      <c r="AJ7" s="97">
        <f>P_A5_L16</f>
        <v>0</v>
      </c>
      <c r="AK7" s="96" t="e">
        <f>AK40/CUI_Corte</f>
        <v>#DIV/0!</v>
      </c>
      <c r="AL7" s="97">
        <f>P_A5_L17</f>
        <v>0</v>
      </c>
      <c r="AM7" s="96" t="e">
        <f>AM40/CUI_Corte</f>
        <v>#DIV/0!</v>
      </c>
      <c r="AN7" s="97">
        <f>P_A5_L18</f>
        <v>0</v>
      </c>
      <c r="AO7" s="96" t="e">
        <f>AO40/CUI_Corte</f>
        <v>#DIV/0!</v>
      </c>
      <c r="AP7" s="97">
        <f>P_A5_L19</f>
        <v>0</v>
      </c>
      <c r="AQ7" s="96" t="e">
        <f>AQ40/CUI_Corte</f>
        <v>#DIV/0!</v>
      </c>
      <c r="AR7" s="97">
        <f>P_A5_L20</f>
        <v>0</v>
      </c>
      <c r="AS7" s="96" t="e">
        <f>AS40/CUI_Corte</f>
        <v>#DIV/0!</v>
      </c>
      <c r="AT7" s="97">
        <f>P_A5_L21</f>
        <v>0</v>
      </c>
      <c r="AU7" s="96" t="e">
        <f>AU40/CUI_Corte</f>
        <v>#DIV/0!</v>
      </c>
      <c r="AV7" s="97">
        <f>P_A5_L22</f>
        <v>0</v>
      </c>
      <c r="AW7" s="96" t="e">
        <f>AW40/CUI_Corte</f>
        <v>#DIV/0!</v>
      </c>
      <c r="AX7" s="97">
        <f>P_A5_L23</f>
        <v>0</v>
      </c>
      <c r="AY7" s="96" t="e">
        <f>AY40/CUI_Corte</f>
        <v>#DIV/0!</v>
      </c>
      <c r="AZ7" s="97">
        <f>P_A5_L24</f>
        <v>0</v>
      </c>
      <c r="BA7" s="96" t="e">
        <f>BA40/CUI_Corte</f>
        <v>#DIV/0!</v>
      </c>
      <c r="BB7" s="97">
        <f>P_A5_L25</f>
        <v>0</v>
      </c>
      <c r="BC7" s="96" t="e">
        <f>BC40/CUI_Corte</f>
        <v>#DIV/0!</v>
      </c>
      <c r="BD7" s="97">
        <f>P_A5_L26</f>
        <v>0</v>
      </c>
      <c r="BE7" s="96" t="e">
        <f>BE40/CUI_Corte</f>
        <v>#DIV/0!</v>
      </c>
      <c r="BF7" s="97">
        <f>P_A5_L27</f>
        <v>0</v>
      </c>
      <c r="BG7" s="96" t="e">
        <f>BG40/CUI_Corte</f>
        <v>#DIV/0!</v>
      </c>
      <c r="BH7" s="97">
        <f>P_A5_L28</f>
        <v>0</v>
      </c>
      <c r="BI7" s="96" t="e">
        <f>BI40/CUI_Corte</f>
        <v>#DIV/0!</v>
      </c>
      <c r="BJ7" s="97">
        <f>P_A5_L29</f>
        <v>0</v>
      </c>
      <c r="BK7" s="96" t="e">
        <f>BK40/CUI_Corte</f>
        <v>#DIV/0!</v>
      </c>
      <c r="BL7" s="97">
        <f>P_A5_L30</f>
        <v>0</v>
      </c>
      <c r="BM7" s="96" t="e">
        <f>BM40/CUI_Corte</f>
        <v>#DIV/0!</v>
      </c>
      <c r="BN7" s="97">
        <f>P_A5_L31</f>
        <v>0</v>
      </c>
      <c r="BO7" s="96" t="e">
        <f>BO40/CUI_Corte</f>
        <v>#DIV/0!</v>
      </c>
      <c r="BP7" s="97">
        <f>P_A5_L32</f>
        <v>0</v>
      </c>
      <c r="BQ7" s="96" t="e">
        <f>BQ40/CUI_Corte</f>
        <v>#DIV/0!</v>
      </c>
      <c r="BR7" s="97">
        <f>P_A5_L33</f>
        <v>0</v>
      </c>
      <c r="BS7" s="96" t="e">
        <f>BS40/CUI_Corte</f>
        <v>#DIV/0!</v>
      </c>
      <c r="BT7" s="97">
        <f>P_A5_L34</f>
        <v>0</v>
      </c>
      <c r="BU7" s="96" t="e">
        <f>BU40/CUI_Corte</f>
        <v>#DIV/0!</v>
      </c>
      <c r="BV7" s="97">
        <f>P_A5_L35</f>
        <v>0</v>
      </c>
      <c r="BW7" s="96" t="e">
        <f>BW40/CUI_Corte</f>
        <v>#DIV/0!</v>
      </c>
      <c r="BX7" s="97">
        <f>P_A5_L36</f>
        <v>0</v>
      </c>
      <c r="BY7" s="96" t="e">
        <f>BY40/CUI_Corte</f>
        <v>#DIV/0!</v>
      </c>
      <c r="BZ7" s="97">
        <f>P_A5_L37</f>
        <v>0</v>
      </c>
      <c r="CA7" s="96" t="e">
        <f>CA40/CUI_Corte</f>
        <v>#DIV/0!</v>
      </c>
      <c r="CB7" s="97">
        <f>P_A5_L38</f>
        <v>0</v>
      </c>
      <c r="CC7" s="96" t="e">
        <f>CC40/CUI_Corte</f>
        <v>#DIV/0!</v>
      </c>
      <c r="CD7" s="97">
        <f>P_A5_L39</f>
        <v>0</v>
      </c>
      <c r="CE7" s="96" t="e">
        <f>CE40/CUI_Corte</f>
        <v>#DIV/0!</v>
      </c>
      <c r="CF7" s="97">
        <f>P_A5_L40</f>
        <v>0</v>
      </c>
      <c r="CG7" s="96" t="e">
        <f>CG40/CUI_Corte</f>
        <v>#DIV/0!</v>
      </c>
      <c r="CH7" s="473"/>
      <c r="CI7" s="96">
        <f>(IF(Diseño="Bloque",Bloque_A5_A,Surco_A5_A)/100)</f>
        <v>0</v>
      </c>
      <c r="CJ7" s="96">
        <f>(IF(Diseño="Bloque",Bloque_A5_B,Surco_A5_B)/100)</f>
        <v>0</v>
      </c>
      <c r="CK7" s="96">
        <f>(IF(Diseño="Bloque",Bloque_A5_C,Surco_A5_C)/100)</f>
        <v>0</v>
      </c>
      <c r="CL7" s="96">
        <f>(IF(Diseño="Bloque",Bloque_A5_D,Surco_A5_D)/100)</f>
        <v>0</v>
      </c>
      <c r="CM7" s="96"/>
      <c r="CN7" s="96">
        <f>(IF(Diseño="Bloque",Bloque_A5_Y,Surco_A5_Y)/100)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",Precio_A5,".00")</f>
        <v>Ventas de café de primera:  0% | Q. .00</v>
      </c>
      <c r="B8" s="100">
        <f>B7*P_Primera*Precio_A5*Inflación_5</f>
        <v>0</v>
      </c>
      <c r="C8" s="100" t="e">
        <f>C7*P_Primera*Precio_A5</f>
        <v>#DIV/0!</v>
      </c>
      <c r="D8" s="100" t="e">
        <f>C8-B8</f>
        <v>#DIV/0!</v>
      </c>
      <c r="E8" s="475"/>
      <c r="F8" s="101">
        <f>P_A5_L1*P_Primera*Precio_A5*Inflación_5</f>
        <v>0</v>
      </c>
      <c r="G8" s="100" t="e">
        <f>G7*P_Primera*Precio_A5</f>
        <v>#DIV/0!</v>
      </c>
      <c r="H8" s="101">
        <f>P_A5_L2*P_Primera*Precio_A5*Inflación_5</f>
        <v>0</v>
      </c>
      <c r="I8" s="100" t="e">
        <f>I7*P_Primera*Precio_A5</f>
        <v>#DIV/0!</v>
      </c>
      <c r="J8" s="101">
        <f>P_A5_L3*P_Primera*Precio_A5*Inflación_5</f>
        <v>0</v>
      </c>
      <c r="K8" s="100" t="e">
        <f>K7*P_Primera*Precio_A5</f>
        <v>#DIV/0!</v>
      </c>
      <c r="L8" s="101">
        <f>P_A5_L4*P_Primera*Precio_A5*Inflación_5</f>
        <v>0</v>
      </c>
      <c r="M8" s="100" t="e">
        <f>M7*P_Primera*Precio_A5</f>
        <v>#DIV/0!</v>
      </c>
      <c r="N8" s="101">
        <f>P_A5_L5*P_Primera*Precio_A5*Inflación_5</f>
        <v>0</v>
      </c>
      <c r="O8" s="100" t="e">
        <f>O7*P_Primera*Precio_A5</f>
        <v>#DIV/0!</v>
      </c>
      <c r="P8" s="101">
        <f>P_A5_L6*P_Primera*Precio_A5*Inflación_5</f>
        <v>0</v>
      </c>
      <c r="Q8" s="100" t="e">
        <f>Q7*P_Primera*Precio_A5</f>
        <v>#DIV/0!</v>
      </c>
      <c r="R8" s="101">
        <f>P_A5_L7*P_Primera*Precio_A5*Inflación_5</f>
        <v>0</v>
      </c>
      <c r="S8" s="100" t="e">
        <f>S7*P_Primera*Precio_A5</f>
        <v>#DIV/0!</v>
      </c>
      <c r="T8" s="101">
        <f>P_A5_L8*P_Primera*Precio_A5*Inflación_5</f>
        <v>0</v>
      </c>
      <c r="U8" s="100" t="e">
        <f>U7*P_Primera*Precio_A5</f>
        <v>#DIV/0!</v>
      </c>
      <c r="V8" s="101">
        <f>P_A5_L9*P_Primera*Precio_A5*Inflación_5</f>
        <v>0</v>
      </c>
      <c r="W8" s="100" t="e">
        <f>W7*P_Primera*Precio_A5</f>
        <v>#DIV/0!</v>
      </c>
      <c r="X8" s="101">
        <f>P_A5_L10*P_Primera*Precio_A5*Inflación_5</f>
        <v>0</v>
      </c>
      <c r="Y8" s="100" t="e">
        <f>Y7*P_Primera*Precio_A5</f>
        <v>#DIV/0!</v>
      </c>
      <c r="Z8" s="101">
        <f>P_A5_L11*P_Primera*Precio_A5*Inflación_5</f>
        <v>0</v>
      </c>
      <c r="AA8" s="100" t="e">
        <f>AA7*P_Primera*Precio_A5</f>
        <v>#DIV/0!</v>
      </c>
      <c r="AB8" s="101">
        <f>P_A5_L12*P_Primera*Precio_A5*Inflación_5</f>
        <v>0</v>
      </c>
      <c r="AC8" s="100" t="e">
        <f>AC7*P_Primera*Precio_A5</f>
        <v>#DIV/0!</v>
      </c>
      <c r="AD8" s="101">
        <f>P_A5_L13*P_Primera*Precio_A5*Inflación_5</f>
        <v>0</v>
      </c>
      <c r="AE8" s="100" t="e">
        <f>AE7*P_Primera*Precio_A5</f>
        <v>#DIV/0!</v>
      </c>
      <c r="AF8" s="101">
        <f>P_A5_L14*P_Primera*Precio_A5*Inflación_5</f>
        <v>0</v>
      </c>
      <c r="AG8" s="100" t="e">
        <f>AG7*P_Primera*Precio_A5</f>
        <v>#DIV/0!</v>
      </c>
      <c r="AH8" s="101">
        <f>P_A5_L15*P_Primera*Precio_A5*Inflación_5</f>
        <v>0</v>
      </c>
      <c r="AI8" s="100" t="e">
        <f>AI7*P_Primera*Precio_A5</f>
        <v>#DIV/0!</v>
      </c>
      <c r="AJ8" s="101">
        <f>P_A5_L16*P_Primera*Precio_A5*Inflación_5</f>
        <v>0</v>
      </c>
      <c r="AK8" s="100" t="e">
        <f>AK7*P_Primera*Precio_A5</f>
        <v>#DIV/0!</v>
      </c>
      <c r="AL8" s="101">
        <f>P_A5_L17*P_Primera*Precio_A5*Inflación_5</f>
        <v>0</v>
      </c>
      <c r="AM8" s="100" t="e">
        <f>AM7*P_Primera*Precio_A5</f>
        <v>#DIV/0!</v>
      </c>
      <c r="AN8" s="101">
        <f>P_A5_L18*P_Primera*Precio_A5*Inflación_5</f>
        <v>0</v>
      </c>
      <c r="AO8" s="100" t="e">
        <f>AO7*P_Primera*Precio_A5</f>
        <v>#DIV/0!</v>
      </c>
      <c r="AP8" s="101">
        <f>P_A5_L19*P_Primera*Precio_A5*Inflación_5</f>
        <v>0</v>
      </c>
      <c r="AQ8" s="100" t="e">
        <f>AQ7*P_Primera*Precio_A5</f>
        <v>#DIV/0!</v>
      </c>
      <c r="AR8" s="101">
        <f>P_A5_L20*P_Primera*Precio_A5*Inflación_5</f>
        <v>0</v>
      </c>
      <c r="AS8" s="100" t="e">
        <f>AS7*P_Primera*Precio_A5</f>
        <v>#DIV/0!</v>
      </c>
      <c r="AT8" s="101">
        <f>P_A5_L21*P_Primera*Precio_A5*Inflación_5</f>
        <v>0</v>
      </c>
      <c r="AU8" s="100" t="e">
        <f>AU7*P_Primera*Precio_A5</f>
        <v>#DIV/0!</v>
      </c>
      <c r="AV8" s="101">
        <f>P_A5_L22*P_Primera*Precio_A5*Inflación_5</f>
        <v>0</v>
      </c>
      <c r="AW8" s="100" t="e">
        <f>AW7*P_Primera*Precio_A5</f>
        <v>#DIV/0!</v>
      </c>
      <c r="AX8" s="101">
        <f>P_A5_L23*P_Primera*Precio_A5*Inflación_5</f>
        <v>0</v>
      </c>
      <c r="AY8" s="100" t="e">
        <f>AY7*P_Primera*Precio_A5</f>
        <v>#DIV/0!</v>
      </c>
      <c r="AZ8" s="101">
        <f>P_A5_L24*P_Primera*Precio_A5*Inflación_5</f>
        <v>0</v>
      </c>
      <c r="BA8" s="100" t="e">
        <f>BA7*P_Primera*Precio_A5</f>
        <v>#DIV/0!</v>
      </c>
      <c r="BB8" s="101">
        <f>P_A5_L25*P_Primera*Precio_A5*Inflación_5</f>
        <v>0</v>
      </c>
      <c r="BC8" s="100" t="e">
        <f>BC7*P_Primera*Precio_A5</f>
        <v>#DIV/0!</v>
      </c>
      <c r="BD8" s="101">
        <f>P_A5_L26*P_Primera*Precio_A5*Inflación_5</f>
        <v>0</v>
      </c>
      <c r="BE8" s="100" t="e">
        <f>BE7*P_Primera*Precio_A5</f>
        <v>#DIV/0!</v>
      </c>
      <c r="BF8" s="101">
        <f>P_A5_L27*P_Primera*Precio_A5*Inflación_5</f>
        <v>0</v>
      </c>
      <c r="BG8" s="100" t="e">
        <f>BG7*P_Primera*Precio_A5</f>
        <v>#DIV/0!</v>
      </c>
      <c r="BH8" s="101">
        <f>P_A5_L28*P_Primera*Precio_A5*Inflación_5</f>
        <v>0</v>
      </c>
      <c r="BI8" s="100" t="e">
        <f>BI7*P_Primera*Precio_A5</f>
        <v>#DIV/0!</v>
      </c>
      <c r="BJ8" s="101">
        <f>P_A5_L29*P_Primera*Precio_A5*Inflación_5</f>
        <v>0</v>
      </c>
      <c r="BK8" s="100" t="e">
        <f>BK7*P_Primera*Precio_A5</f>
        <v>#DIV/0!</v>
      </c>
      <c r="BL8" s="101">
        <f>P_A5_L30*P_Primera*Precio_A5*Inflación_5</f>
        <v>0</v>
      </c>
      <c r="BM8" s="100" t="e">
        <f>BM7*P_Primera*Precio_A5</f>
        <v>#DIV/0!</v>
      </c>
      <c r="BN8" s="101">
        <f>P_A5_L31*P_Primera*Precio_A5*Inflación_5</f>
        <v>0</v>
      </c>
      <c r="BO8" s="100" t="e">
        <f>BO7*P_Primera*Precio_A5</f>
        <v>#DIV/0!</v>
      </c>
      <c r="BP8" s="101">
        <f>P_A5_L32*P_Primera*Precio_A5*Inflación_5</f>
        <v>0</v>
      </c>
      <c r="BQ8" s="100" t="e">
        <f>BQ7*P_Primera*Precio_A5</f>
        <v>#DIV/0!</v>
      </c>
      <c r="BR8" s="101">
        <f>P_A5_L33*P_Primera*Precio_A5*Inflación_5</f>
        <v>0</v>
      </c>
      <c r="BS8" s="100" t="e">
        <f>BS7*P_Primera*Precio_A5</f>
        <v>#DIV/0!</v>
      </c>
      <c r="BT8" s="101">
        <f>P_A5_L34*P_Primera*Precio_A5*Inflación_5</f>
        <v>0</v>
      </c>
      <c r="BU8" s="100" t="e">
        <f>BU7*P_Primera*Precio_A5</f>
        <v>#DIV/0!</v>
      </c>
      <c r="BV8" s="101">
        <f>P_A5_L35*P_Primera*Precio_A5*Inflación_5</f>
        <v>0</v>
      </c>
      <c r="BW8" s="100" t="e">
        <f>BW7*P_Primera*Precio_A5</f>
        <v>#DIV/0!</v>
      </c>
      <c r="BX8" s="101">
        <f>P_A5_L36*P_Primera*Precio_A5*Inflación_5</f>
        <v>0</v>
      </c>
      <c r="BY8" s="100" t="e">
        <f>BY7*P_Primera*Precio_A5</f>
        <v>#DIV/0!</v>
      </c>
      <c r="BZ8" s="101">
        <f>P_A5_L37*P_Primera*Precio_A5*Inflación_5</f>
        <v>0</v>
      </c>
      <c r="CA8" s="100" t="e">
        <f>CA7*P_Primera*Precio_A5</f>
        <v>#DIV/0!</v>
      </c>
      <c r="CB8" s="101">
        <f>P_A5_L38*P_Primera*Precio_A5*Inflación_5</f>
        <v>0</v>
      </c>
      <c r="CC8" s="100" t="e">
        <f>CC7*P_Primera*Precio_A5</f>
        <v>#DIV/0!</v>
      </c>
      <c r="CD8" s="101">
        <f>P_A5_L39*P_Primera*Precio_A5*Inflación_5</f>
        <v>0</v>
      </c>
      <c r="CE8" s="100" t="e">
        <f>CE7*P_Primera*Precio_A5</f>
        <v>#DIV/0!</v>
      </c>
      <c r="CF8" s="101">
        <f>P_A5_L40*P_Primera*Precio_A5*Inflación_5</f>
        <v>0</v>
      </c>
      <c r="CG8" s="100" t="e">
        <f>CG7*P_Primera*Precio_A5</f>
        <v>#DIV/0!</v>
      </c>
      <c r="CH8" s="473"/>
      <c r="CI8" s="101">
        <f>CI7*P_Primera*Precio_A5*Inflación_5</f>
        <v>0</v>
      </c>
      <c r="CJ8" s="101">
        <f>CJ7*P_Primera*Precio_A5*Inflación_5</f>
        <v>0</v>
      </c>
      <c r="CK8" s="101">
        <f>CK7*P_Primera*Precio_A5*Inflación_5</f>
        <v>0</v>
      </c>
      <c r="CL8" s="101">
        <f>CL7*P_Primera*Precio_A5*Inflación_5</f>
        <v>0</v>
      </c>
      <c r="CM8" s="101"/>
      <c r="CN8" s="101">
        <f>CN7*P_Primera*Precio_A5*Inflación_5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B7*P_Segunda*Segunda*Inflación_5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P_A5_L1*P_Segunda*Segunda*Inflación_5</f>
        <v>0</v>
      </c>
      <c r="G9" s="100" t="e">
        <f t="shared" ref="G9" si="2">G7*P_Segunda*Segunda</f>
        <v>#DIV/0!</v>
      </c>
      <c r="H9" s="101">
        <f>P_A5_L2*P_Segunda*Segunda*Inflación_5</f>
        <v>0</v>
      </c>
      <c r="I9" s="100" t="e">
        <f>I7*P_Segunda*Segunda</f>
        <v>#DIV/0!</v>
      </c>
      <c r="J9" s="101">
        <f>P_A5_L3*P_Segunda*Segunda*Inflación_5</f>
        <v>0</v>
      </c>
      <c r="K9" s="100" t="e">
        <f t="shared" ref="K9" si="3">K7*P_Segunda*Segunda</f>
        <v>#DIV/0!</v>
      </c>
      <c r="L9" s="101">
        <f>P_A5_L4*P_Segunda*Segunda*Inflación_5</f>
        <v>0</v>
      </c>
      <c r="M9" s="100" t="e">
        <f>M7*P_Segunda*Segunda</f>
        <v>#DIV/0!</v>
      </c>
      <c r="N9" s="101">
        <f>P_A5_L5*P_Segunda*Segunda*Inflación_5</f>
        <v>0</v>
      </c>
      <c r="O9" s="100" t="e">
        <f t="shared" ref="O9:Q9" si="4">O7*P_Segunda*Segunda</f>
        <v>#DIV/0!</v>
      </c>
      <c r="P9" s="101">
        <f>P_A5_L6*P_Segunda*Segunda*Inflación_5</f>
        <v>0</v>
      </c>
      <c r="Q9" s="100" t="e">
        <f t="shared" si="4"/>
        <v>#DIV/0!</v>
      </c>
      <c r="R9" s="101">
        <f>P_A5_L7*P_Segunda*Segunda*Inflación_5</f>
        <v>0</v>
      </c>
      <c r="S9" s="100" t="e">
        <f t="shared" ref="S9:U9" si="5">S7*P_Segunda*Segunda</f>
        <v>#DIV/0!</v>
      </c>
      <c r="T9" s="101">
        <f>P_A5_L8*P_Segunda*Segunda*Inflación_5</f>
        <v>0</v>
      </c>
      <c r="U9" s="100" t="e">
        <f t="shared" si="5"/>
        <v>#DIV/0!</v>
      </c>
      <c r="V9" s="101">
        <f>P_A5_L9*P_Segunda*Segunda*Inflación_5</f>
        <v>0</v>
      </c>
      <c r="W9" s="100" t="e">
        <f t="shared" ref="W9:Y9" si="6">W7*P_Segunda*Segunda</f>
        <v>#DIV/0!</v>
      </c>
      <c r="X9" s="101">
        <f>P_A5_L10*P_Segunda*Segunda*Inflación_5</f>
        <v>0</v>
      </c>
      <c r="Y9" s="100" t="e">
        <f t="shared" si="6"/>
        <v>#DIV/0!</v>
      </c>
      <c r="Z9" s="101">
        <f>P_A5_L11*P_Segunda*Segunda*Inflación_5</f>
        <v>0</v>
      </c>
      <c r="AA9" s="100" t="e">
        <f t="shared" ref="AA9:AC9" si="7">AA7*P_Segunda*Segunda</f>
        <v>#DIV/0!</v>
      </c>
      <c r="AB9" s="101">
        <f>P_A5_L12*P_Segunda*Segunda*Inflación_5</f>
        <v>0</v>
      </c>
      <c r="AC9" s="100" t="e">
        <f t="shared" si="7"/>
        <v>#DIV/0!</v>
      </c>
      <c r="AD9" s="101">
        <f>P_A5_L13*P_Segunda*Segunda*Inflación_5</f>
        <v>0</v>
      </c>
      <c r="AE9" s="100" t="e">
        <f t="shared" ref="AE9:AG9" si="8">AE7*P_Segunda*Segunda</f>
        <v>#DIV/0!</v>
      </c>
      <c r="AF9" s="101">
        <f>P_A5_L14*P_Segunda*Segunda*Inflación_5</f>
        <v>0</v>
      </c>
      <c r="AG9" s="100" t="e">
        <f t="shared" si="8"/>
        <v>#DIV/0!</v>
      </c>
      <c r="AH9" s="101">
        <f>P_A5_L15*P_Segunda*Segunda*Inflación_5</f>
        <v>0</v>
      </c>
      <c r="AI9" s="100" t="e">
        <f t="shared" ref="AI9:AK9" si="9">AI7*P_Segunda*Segunda</f>
        <v>#DIV/0!</v>
      </c>
      <c r="AJ9" s="101">
        <f>P_A5_L16*P_Segunda*Segunda*Inflación_5</f>
        <v>0</v>
      </c>
      <c r="AK9" s="100" t="e">
        <f t="shared" si="9"/>
        <v>#DIV/0!</v>
      </c>
      <c r="AL9" s="101">
        <f>P_A5_L17*P_Segunda*Segunda*Inflación_5</f>
        <v>0</v>
      </c>
      <c r="AM9" s="100" t="e">
        <f t="shared" ref="AM9:AO9" si="10">AM7*P_Segunda*Segunda</f>
        <v>#DIV/0!</v>
      </c>
      <c r="AN9" s="101">
        <f>P_A5_L18*P_Segunda*Segunda*Inflación_5</f>
        <v>0</v>
      </c>
      <c r="AO9" s="100" t="e">
        <f t="shared" si="10"/>
        <v>#DIV/0!</v>
      </c>
      <c r="AP9" s="101">
        <f>P_A5_L19*P_Segunda*Segunda*Inflación_5</f>
        <v>0</v>
      </c>
      <c r="AQ9" s="100" t="e">
        <f t="shared" ref="AQ9:AS9" si="11">AQ7*P_Segunda*Segunda</f>
        <v>#DIV/0!</v>
      </c>
      <c r="AR9" s="101">
        <f>P_A5_L20*P_Segunda*Segunda*Inflación_5</f>
        <v>0</v>
      </c>
      <c r="AS9" s="100" t="e">
        <f t="shared" si="11"/>
        <v>#DIV/0!</v>
      </c>
      <c r="AT9" s="101">
        <f>P_A5_L21*P_Segunda*Segunda*Inflación_5</f>
        <v>0</v>
      </c>
      <c r="AU9" s="100" t="e">
        <f t="shared" ref="AU9:AW9" si="12">AU7*P_Segunda*Segunda</f>
        <v>#DIV/0!</v>
      </c>
      <c r="AV9" s="101">
        <f>P_A5_L22*P_Segunda*Segunda*Inflación_5</f>
        <v>0</v>
      </c>
      <c r="AW9" s="100" t="e">
        <f t="shared" si="12"/>
        <v>#DIV/0!</v>
      </c>
      <c r="AX9" s="101">
        <f>P_A5_L23*P_Segunda*Segunda*Inflación_5</f>
        <v>0</v>
      </c>
      <c r="AY9" s="100" t="e">
        <f t="shared" ref="AY9:BA9" si="13">AY7*P_Segunda*Segunda</f>
        <v>#DIV/0!</v>
      </c>
      <c r="AZ9" s="101">
        <f>P_A5_L24*P_Segunda*Segunda*Inflación_5</f>
        <v>0</v>
      </c>
      <c r="BA9" s="100" t="e">
        <f t="shared" si="13"/>
        <v>#DIV/0!</v>
      </c>
      <c r="BB9" s="101">
        <f>P_A5_L25*P_Segunda*Segunda*Inflación_5</f>
        <v>0</v>
      </c>
      <c r="BC9" s="100" t="e">
        <f t="shared" ref="BC9:BE9" si="14">BC7*P_Segunda*Segunda</f>
        <v>#DIV/0!</v>
      </c>
      <c r="BD9" s="101">
        <f>P_A5_L26*P_Segunda*Segunda*Inflación_5</f>
        <v>0</v>
      </c>
      <c r="BE9" s="100" t="e">
        <f t="shared" si="14"/>
        <v>#DIV/0!</v>
      </c>
      <c r="BF9" s="101">
        <f>P_A5_L27*P_Segunda*Segunda*Inflación_5</f>
        <v>0</v>
      </c>
      <c r="BG9" s="100" t="e">
        <f t="shared" ref="BG9:BI9" si="15">BG7*P_Segunda*Segunda</f>
        <v>#DIV/0!</v>
      </c>
      <c r="BH9" s="101">
        <f>P_A5_L28*P_Segunda*Segunda*Inflación_5</f>
        <v>0</v>
      </c>
      <c r="BI9" s="100" t="e">
        <f t="shared" si="15"/>
        <v>#DIV/0!</v>
      </c>
      <c r="BJ9" s="101">
        <f>P_A5_L29*P_Segunda*Segunda*Inflación_5</f>
        <v>0</v>
      </c>
      <c r="BK9" s="100" t="e">
        <f t="shared" ref="BK9:BM9" si="16">BK7*P_Segunda*Segunda</f>
        <v>#DIV/0!</v>
      </c>
      <c r="BL9" s="101">
        <f>P_A5_L30*P_Segunda*Segunda*Inflación_5</f>
        <v>0</v>
      </c>
      <c r="BM9" s="100" t="e">
        <f t="shared" si="16"/>
        <v>#DIV/0!</v>
      </c>
      <c r="BN9" s="101">
        <f>P_A5_L31*P_Segunda*Segunda*Inflación_5</f>
        <v>0</v>
      </c>
      <c r="BO9" s="100" t="e">
        <f t="shared" ref="BO9:BQ9" si="17">BO7*P_Segunda*Segunda</f>
        <v>#DIV/0!</v>
      </c>
      <c r="BP9" s="101">
        <f>P_A5_L32*P_Segunda*Segunda*Inflación_5</f>
        <v>0</v>
      </c>
      <c r="BQ9" s="100" t="e">
        <f t="shared" si="17"/>
        <v>#DIV/0!</v>
      </c>
      <c r="BR9" s="101">
        <f>P_A5_L33*P_Segunda*Segunda*Inflación_5</f>
        <v>0</v>
      </c>
      <c r="BS9" s="100" t="e">
        <f t="shared" ref="BS9:BU9" si="18">BS7*P_Segunda*Segunda</f>
        <v>#DIV/0!</v>
      </c>
      <c r="BT9" s="101">
        <f>P_A5_L34*P_Segunda*Segunda*Inflación_5</f>
        <v>0</v>
      </c>
      <c r="BU9" s="100" t="e">
        <f t="shared" si="18"/>
        <v>#DIV/0!</v>
      </c>
      <c r="BV9" s="101">
        <f>P_A5_L35*P_Segunda*Segunda*Inflación_5</f>
        <v>0</v>
      </c>
      <c r="BW9" s="100" t="e">
        <f t="shared" ref="BW9:BY9" si="19">BW7*P_Segunda*Segunda</f>
        <v>#DIV/0!</v>
      </c>
      <c r="BX9" s="101">
        <f>P_A5_L36*P_Segunda*Segunda*Inflación_5</f>
        <v>0</v>
      </c>
      <c r="BY9" s="100" t="e">
        <f t="shared" si="19"/>
        <v>#DIV/0!</v>
      </c>
      <c r="BZ9" s="101">
        <f>P_A5_L37*P_Segunda*Segunda*Inflación_5</f>
        <v>0</v>
      </c>
      <c r="CA9" s="100" t="e">
        <f t="shared" ref="CA9:CC9" si="20">CA7*P_Segunda*Segunda</f>
        <v>#DIV/0!</v>
      </c>
      <c r="CB9" s="101">
        <f>P_A5_L38*P_Segunda*Segunda*Inflación_5</f>
        <v>0</v>
      </c>
      <c r="CC9" s="100" t="e">
        <f t="shared" si="20"/>
        <v>#DIV/0!</v>
      </c>
      <c r="CD9" s="101">
        <f>P_A5_L39*P_Segunda*Segunda*Inflación_5</f>
        <v>0</v>
      </c>
      <c r="CE9" s="100" t="e">
        <f t="shared" ref="CE9:CG9" si="21">CE7*P_Segunda*Segunda</f>
        <v>#DIV/0!</v>
      </c>
      <c r="CF9" s="101">
        <f>P_A5_L40*P_Segunda*Segunda*Inflación_5</f>
        <v>0</v>
      </c>
      <c r="CG9" s="100" t="e">
        <f t="shared" si="21"/>
        <v>#DIV/0!</v>
      </c>
      <c r="CH9" s="473"/>
      <c r="CI9" s="101">
        <f>CI7*P_Segunda*Segunda*Inflación_5</f>
        <v>0</v>
      </c>
      <c r="CJ9" s="101">
        <f>CJ7*P_Segunda*Segunda*Inflación_5</f>
        <v>0</v>
      </c>
      <c r="CK9" s="101">
        <f>CK7*P_Segunda*Segunda*Inflación_5</f>
        <v>0</v>
      </c>
      <c r="CL9" s="101">
        <f>CL7*P_Segunda*Segunda*Inflación_5</f>
        <v>0</v>
      </c>
      <c r="CM9" s="101"/>
      <c r="CN9" s="101">
        <f>CN7*P_Segunda*Segunda*Inflación_5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B7*P_Inferior*Inferior*Inflación_5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P_A5_L1*P_Inferior*Inferior*Inflación_5</f>
        <v>0</v>
      </c>
      <c r="G10" s="100" t="e">
        <f t="shared" ref="G10" si="23">G7*P_Inferior*Inferior</f>
        <v>#DIV/0!</v>
      </c>
      <c r="H10" s="101">
        <f>P_A5_L2*P_Inferior*Inferior*Inflación_5</f>
        <v>0</v>
      </c>
      <c r="I10" s="100" t="e">
        <f>I7*P_Inferior*Inferior</f>
        <v>#DIV/0!</v>
      </c>
      <c r="J10" s="101">
        <f>P_A5_L3*P_Inferior*Inferior*Inflación_5</f>
        <v>0</v>
      </c>
      <c r="K10" s="100" t="e">
        <f t="shared" ref="K10" si="24">K7*P_Inferior*Inferior</f>
        <v>#DIV/0!</v>
      </c>
      <c r="L10" s="101">
        <f>P_A5_L4*P_Inferior*Inferior*Inflación_5</f>
        <v>0</v>
      </c>
      <c r="M10" s="100" t="e">
        <f>M7*P_Inferior*Inferior</f>
        <v>#DIV/0!</v>
      </c>
      <c r="N10" s="101">
        <f>P_A5_L5*P_Inferior*Inferior*Inflación_5</f>
        <v>0</v>
      </c>
      <c r="O10" s="100" t="e">
        <f t="shared" ref="O10:Q10" si="25">O7*P_Inferior*Inferior</f>
        <v>#DIV/0!</v>
      </c>
      <c r="P10" s="101">
        <f>P_A5_L6*P_Inferior*Inferior*Inflación_5</f>
        <v>0</v>
      </c>
      <c r="Q10" s="100" t="e">
        <f t="shared" si="25"/>
        <v>#DIV/0!</v>
      </c>
      <c r="R10" s="101">
        <f>P_A5_L7*P_Inferior*Inferior*Inflación_5</f>
        <v>0</v>
      </c>
      <c r="S10" s="100" t="e">
        <f t="shared" ref="S10:U10" si="26">S7*P_Inferior*Inferior</f>
        <v>#DIV/0!</v>
      </c>
      <c r="T10" s="101">
        <f>P_A5_L8*P_Inferior*Inferior*Inflación_5</f>
        <v>0</v>
      </c>
      <c r="U10" s="100" t="e">
        <f t="shared" si="26"/>
        <v>#DIV/0!</v>
      </c>
      <c r="V10" s="101">
        <f>P_A5_L9*P_Inferior*Inferior*Inflación_5</f>
        <v>0</v>
      </c>
      <c r="W10" s="100" t="e">
        <f t="shared" ref="W10:Y10" si="27">W7*P_Inferior*Inferior</f>
        <v>#DIV/0!</v>
      </c>
      <c r="X10" s="101">
        <f>P_A5_L10*P_Inferior*Inferior*Inflación_5</f>
        <v>0</v>
      </c>
      <c r="Y10" s="100" t="e">
        <f t="shared" si="27"/>
        <v>#DIV/0!</v>
      </c>
      <c r="Z10" s="101">
        <f>P_A5_L11*P_Inferior*Inferior*Inflación_5</f>
        <v>0</v>
      </c>
      <c r="AA10" s="100" t="e">
        <f t="shared" ref="AA10:AC10" si="28">AA7*P_Inferior*Inferior</f>
        <v>#DIV/0!</v>
      </c>
      <c r="AB10" s="101">
        <f>P_A5_L12*P_Inferior*Inferior*Inflación_5</f>
        <v>0</v>
      </c>
      <c r="AC10" s="100" t="e">
        <f t="shared" si="28"/>
        <v>#DIV/0!</v>
      </c>
      <c r="AD10" s="101">
        <f>P_A5_L13*P_Inferior*Inferior*Inflación_5</f>
        <v>0</v>
      </c>
      <c r="AE10" s="100" t="e">
        <f t="shared" ref="AE10:AG10" si="29">AE7*P_Inferior*Inferior</f>
        <v>#DIV/0!</v>
      </c>
      <c r="AF10" s="101">
        <f>P_A5_L14*P_Inferior*Inferior*Inflación_5</f>
        <v>0</v>
      </c>
      <c r="AG10" s="100" t="e">
        <f t="shared" si="29"/>
        <v>#DIV/0!</v>
      </c>
      <c r="AH10" s="101">
        <f>P_A5_L15*P_Inferior*Inferior*Inflación_5</f>
        <v>0</v>
      </c>
      <c r="AI10" s="100" t="e">
        <f t="shared" ref="AI10:AK10" si="30">AI7*P_Inferior*Inferior</f>
        <v>#DIV/0!</v>
      </c>
      <c r="AJ10" s="101">
        <f>P_A5_L16*P_Inferior*Inferior*Inflación_5</f>
        <v>0</v>
      </c>
      <c r="AK10" s="100" t="e">
        <f t="shared" si="30"/>
        <v>#DIV/0!</v>
      </c>
      <c r="AL10" s="101">
        <f>P_A5_L17*P_Inferior*Inferior*Inflación_5</f>
        <v>0</v>
      </c>
      <c r="AM10" s="100" t="e">
        <f t="shared" ref="AM10:AO10" si="31">AM7*P_Inferior*Inferior</f>
        <v>#DIV/0!</v>
      </c>
      <c r="AN10" s="101">
        <f>P_A5_L18*P_Inferior*Inferior*Inflación_5</f>
        <v>0</v>
      </c>
      <c r="AO10" s="100" t="e">
        <f t="shared" si="31"/>
        <v>#DIV/0!</v>
      </c>
      <c r="AP10" s="101">
        <f>P_A5_L19*P_Inferior*Inferior*Inflación_5</f>
        <v>0</v>
      </c>
      <c r="AQ10" s="100" t="e">
        <f t="shared" ref="AQ10:AS10" si="32">AQ7*P_Inferior*Inferior</f>
        <v>#DIV/0!</v>
      </c>
      <c r="AR10" s="101">
        <f>P_A5_L20*P_Inferior*Inferior*Inflación_5</f>
        <v>0</v>
      </c>
      <c r="AS10" s="100" t="e">
        <f t="shared" si="32"/>
        <v>#DIV/0!</v>
      </c>
      <c r="AT10" s="101">
        <f>P_A5_L21*P_Inferior*Inferior*Inflación_5</f>
        <v>0</v>
      </c>
      <c r="AU10" s="100" t="e">
        <f t="shared" ref="AU10:AW10" si="33">AU7*P_Inferior*Inferior</f>
        <v>#DIV/0!</v>
      </c>
      <c r="AV10" s="101">
        <f>P_A5_L22*P_Inferior*Inferior*Inflación_5</f>
        <v>0</v>
      </c>
      <c r="AW10" s="100" t="e">
        <f t="shared" si="33"/>
        <v>#DIV/0!</v>
      </c>
      <c r="AX10" s="101">
        <f>P_A5_L23*P_Inferior*Inferior*Inflación_5</f>
        <v>0</v>
      </c>
      <c r="AY10" s="100" t="e">
        <f t="shared" ref="AY10:BA10" si="34">AY7*P_Inferior*Inferior</f>
        <v>#DIV/0!</v>
      </c>
      <c r="AZ10" s="101">
        <f>P_A5_L24*P_Inferior*Inferior*Inflación_5</f>
        <v>0</v>
      </c>
      <c r="BA10" s="100" t="e">
        <f t="shared" si="34"/>
        <v>#DIV/0!</v>
      </c>
      <c r="BB10" s="101">
        <f>P_A5_L25*P_Inferior*Inferior*Inflación_5</f>
        <v>0</v>
      </c>
      <c r="BC10" s="100" t="e">
        <f t="shared" ref="BC10:BE10" si="35">BC7*P_Inferior*Inferior</f>
        <v>#DIV/0!</v>
      </c>
      <c r="BD10" s="101">
        <f>P_A5_L26*P_Inferior*Inferior*Inflación_5</f>
        <v>0</v>
      </c>
      <c r="BE10" s="100" t="e">
        <f t="shared" si="35"/>
        <v>#DIV/0!</v>
      </c>
      <c r="BF10" s="101">
        <f>P_A5_L27*P_Inferior*Inferior*Inflación_5</f>
        <v>0</v>
      </c>
      <c r="BG10" s="100" t="e">
        <f t="shared" ref="BG10:BI10" si="36">BG7*P_Inferior*Inferior</f>
        <v>#DIV/0!</v>
      </c>
      <c r="BH10" s="101">
        <f>P_A5_L28*P_Inferior*Inferior*Inflación_5</f>
        <v>0</v>
      </c>
      <c r="BI10" s="100" t="e">
        <f t="shared" si="36"/>
        <v>#DIV/0!</v>
      </c>
      <c r="BJ10" s="101">
        <f>P_A5_L29*P_Inferior*Inferior*Inflación_5</f>
        <v>0</v>
      </c>
      <c r="BK10" s="100" t="e">
        <f t="shared" ref="BK10:BM10" si="37">BK7*P_Inferior*Inferior</f>
        <v>#DIV/0!</v>
      </c>
      <c r="BL10" s="101">
        <f>P_A5_L30*P_Inferior*Inferior*Inflación_5</f>
        <v>0</v>
      </c>
      <c r="BM10" s="100" t="e">
        <f t="shared" si="37"/>
        <v>#DIV/0!</v>
      </c>
      <c r="BN10" s="101">
        <f>P_A5_L31*P_Inferior*Inferior*Inflación_5</f>
        <v>0</v>
      </c>
      <c r="BO10" s="100" t="e">
        <f t="shared" ref="BO10:BQ10" si="38">BO7*P_Inferior*Inferior</f>
        <v>#DIV/0!</v>
      </c>
      <c r="BP10" s="101">
        <f>P_A5_L32*P_Inferior*Inferior*Inflación_5</f>
        <v>0</v>
      </c>
      <c r="BQ10" s="100" t="e">
        <f t="shared" si="38"/>
        <v>#DIV/0!</v>
      </c>
      <c r="BR10" s="101">
        <f>P_A5_L33*P_Inferior*Inferior*Inflación_5</f>
        <v>0</v>
      </c>
      <c r="BS10" s="100" t="e">
        <f t="shared" ref="BS10:BU10" si="39">BS7*P_Inferior*Inferior</f>
        <v>#DIV/0!</v>
      </c>
      <c r="BT10" s="101">
        <f>P_A5_L34*P_Inferior*Inferior*Inflación_5</f>
        <v>0</v>
      </c>
      <c r="BU10" s="100" t="e">
        <f t="shared" si="39"/>
        <v>#DIV/0!</v>
      </c>
      <c r="BV10" s="101">
        <f>P_A5_L35*P_Inferior*Inferior*Inflación_5</f>
        <v>0</v>
      </c>
      <c r="BW10" s="100" t="e">
        <f t="shared" ref="BW10:BY10" si="40">BW7*P_Inferior*Inferior</f>
        <v>#DIV/0!</v>
      </c>
      <c r="BX10" s="101">
        <f>P_A5_L36*P_Inferior*Inferior*Inflación_5</f>
        <v>0</v>
      </c>
      <c r="BY10" s="100" t="e">
        <f t="shared" si="40"/>
        <v>#DIV/0!</v>
      </c>
      <c r="BZ10" s="101">
        <f>P_A5_L37*P_Inferior*Inferior*Inflación_5</f>
        <v>0</v>
      </c>
      <c r="CA10" s="100" t="e">
        <f t="shared" ref="CA10:CC10" si="41">CA7*P_Inferior*Inferior</f>
        <v>#DIV/0!</v>
      </c>
      <c r="CB10" s="101">
        <f>P_A5_L38*P_Inferior*Inferior*Inflación_5</f>
        <v>0</v>
      </c>
      <c r="CC10" s="100" t="e">
        <f t="shared" si="41"/>
        <v>#DIV/0!</v>
      </c>
      <c r="CD10" s="101">
        <f>P_A5_L39*P_Inferior*Inferior*Inflación_5</f>
        <v>0</v>
      </c>
      <c r="CE10" s="100" t="e">
        <f t="shared" ref="CE10:CG10" si="42">CE7*P_Inferior*Inferior</f>
        <v>#DIV/0!</v>
      </c>
      <c r="CF10" s="101">
        <f>P_A5_L40*P_Inferior*Inferior*Inflación_5</f>
        <v>0</v>
      </c>
      <c r="CG10" s="100" t="e">
        <f t="shared" si="42"/>
        <v>#DIV/0!</v>
      </c>
      <c r="CH10" s="473"/>
      <c r="CI10" s="101">
        <f>CI7*P_Inferior*Inferior*Inflación_5</f>
        <v>0</v>
      </c>
      <c r="CJ10" s="101">
        <f>CJ7*P_Inferior*Inferior*Inflación_5</f>
        <v>0</v>
      </c>
      <c r="CK10" s="101">
        <f>CK7*P_Inferior*Inferior*Inflación_5</f>
        <v>0</v>
      </c>
      <c r="CL10" s="101">
        <f>CL7*P_Inferior*Inferior*Inflación_5</f>
        <v>0</v>
      </c>
      <c r="CM10" s="101"/>
      <c r="CN10" s="101">
        <f>CN7*P_Inferior*Inferior*Inflación_5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SUMIFS('9'!$E:$E,'9'!$A:$A,Año_Inicial+4,'9'!$D:$D,"Poda")</f>
        <v>0</v>
      </c>
      <c r="D14" s="100">
        <f t="shared" ref="D14:D44" si="45">C14-B14</f>
        <v>0</v>
      </c>
      <c r="E14" s="473"/>
      <c r="F14" s="101">
        <f>((A5_A_L1*Poda_A)+(A5_B_L1*Poda_B)+(A5_C_L1*Poda_C)+(A5_D_L1*Poda_D)+(A5_Y_L1*Poda_Y))*Inflación_5</f>
        <v>0</v>
      </c>
      <c r="G14" s="101">
        <f>SUMIFS('9'!$E:$E,'9'!$A:$A,Año_Inicial+4,'9'!$B:$B,'12'!F$4,'9'!$D:$D,"Poda")</f>
        <v>0</v>
      </c>
      <c r="H14" s="101">
        <f>((A5_A_L2*Poda_A)+(A5_B_L2*Poda_B)+(A5_C_L2*Poda_C)+(A5_D_L2*Poda_D)+(A5_Y_L2*Poda_Y))*Inflación_5</f>
        <v>0</v>
      </c>
      <c r="I14" s="101">
        <f>SUMIFS('9'!$E:$E,'9'!$A:$A,Año_Inicial+4,'9'!$B:$B,'12'!H$4,'9'!$D:$D,"Poda")</f>
        <v>0</v>
      </c>
      <c r="J14" s="101">
        <f>((A5_A_L3*Poda_A)+(A5_B_L3*Poda_B)+(A5_C_L3*Poda_C)+(A5_D_L3*Poda_D)+(A5_Y_L3*Poda_Y))*Inflación_5</f>
        <v>0</v>
      </c>
      <c r="K14" s="101">
        <f>SUMIFS('9'!$E:$E,'9'!$A:$A,Año_Inicial+4,'9'!$B:$B,'12'!J$4,'9'!$D:$D,"Poda")</f>
        <v>0</v>
      </c>
      <c r="L14" s="101">
        <f>((A5_A_L4*Poda_A)+(A5_B_L4*Poda_B)+(A5_C_L4*Poda_C)+(A5_D_L4*Poda_D)+(A5_Y_L4*Poda_Y))*Inflación_5</f>
        <v>0</v>
      </c>
      <c r="M14" s="101">
        <f>SUMIFS('9'!$E:$E,'9'!$A:$A,Año_Inicial+4,'9'!$B:$B,'12'!L$4,'9'!$D:$D,"Poda")</f>
        <v>0</v>
      </c>
      <c r="N14" s="101">
        <f>((A5_A_L5*Poda_A)+(A5_B_L5*Poda_B)+(A5_C_L5*Poda_C)+(A5_D_L5*Poda_D)+(A5_Y_L5*Poda_Y))*Inflación_5</f>
        <v>0</v>
      </c>
      <c r="O14" s="101">
        <f>SUMIFS('9'!$E:$E,'9'!$A:$A,Año_Inicial+4,'9'!$B:$B,'12'!N$4,'9'!$D:$D,"Poda")</f>
        <v>0</v>
      </c>
      <c r="P14" s="101">
        <f>((A5_A_L6*Poda_A)+(A5_B_L6*Poda_B)+(A5_C_L6*Poda_C)+(A5_D_L6*Poda_D)+(A5_Y_L6*Poda_Y))*Inflación_5</f>
        <v>0</v>
      </c>
      <c r="Q14" s="101">
        <f>SUMIFS('9'!$E:$E,'9'!$A:$A,Año_Inicial+4,'9'!$B:$B,'12'!P$4,'9'!$D:$D,"Poda")</f>
        <v>0</v>
      </c>
      <c r="R14" s="101">
        <f>((A5_A_L7*Poda_A)+(A5_B_L7*Poda_B)+(A5_C_L7*Poda_C)+(A5_D_L7*Poda_D)+(A5_Y_L7*Poda_Y))*Inflación_5</f>
        <v>0</v>
      </c>
      <c r="S14" s="101">
        <f>SUMIFS('9'!$E:$E,'9'!$A:$A,Año_Inicial+4,'9'!$B:$B,'12'!R$4,'9'!$D:$D,"Poda")</f>
        <v>0</v>
      </c>
      <c r="T14" s="101">
        <f>((A5_A_L8*Poda_A)+(A5_B_L8*Poda_B)+(A5_C_L8*Poda_C)+(A5_D_L8*Poda_D)+(A5_Y_L8*Poda_Y))*Inflación_5</f>
        <v>0</v>
      </c>
      <c r="U14" s="101">
        <f>SUMIFS('9'!$E:$E,'9'!$A:$A,Año_Inicial+4,'9'!$B:$B,'12'!T$4,'9'!$D:$D,"Poda")</f>
        <v>0</v>
      </c>
      <c r="V14" s="101">
        <f>((A5_A_L9*Poda_A)+(A5_B_L9*Poda_B)+(A5_C_L9*Poda_C)+(A5_D_L9*Poda_D)+(A5_Y_L9*Poda_Y))*Inflación_5</f>
        <v>0</v>
      </c>
      <c r="W14" s="101">
        <f>SUMIFS('9'!$E:$E,'9'!$A:$A,Año_Inicial+4,'9'!$B:$B,'12'!V$4,'9'!$D:$D,"Poda")</f>
        <v>0</v>
      </c>
      <c r="X14" s="101">
        <f>((A5_A_L10*Poda_A)+(A5_B_L10*Poda_B)+(A5_C_L10*Poda_C)+(A5_D_L10*Poda_D)+(A5_Y_L10*Poda_Y))*Inflación_5</f>
        <v>0</v>
      </c>
      <c r="Y14" s="101">
        <f>SUMIFS('9'!$E:$E,'9'!$A:$A,Año_Inicial+4,'9'!$B:$B,'12'!X$4,'9'!$D:$D,"Poda")</f>
        <v>0</v>
      </c>
      <c r="Z14" s="101">
        <f>((A5_A_L11*Poda_A)+(A5_B_L11*Poda_B)+(A5_C_L11*Poda_C)+(A5_D_L11*Poda_D)+(A5_Y_L11*Poda_Y))*Inflación_5</f>
        <v>0</v>
      </c>
      <c r="AA14" s="101">
        <f>SUMIFS('9'!$E:$E,'9'!$A:$A,Año_Inicial+4,'9'!$B:$B,'12'!Z$4,'9'!$D:$D,"Poda")</f>
        <v>0</v>
      </c>
      <c r="AB14" s="101">
        <f>((A5_A_L12*Poda_A)+(A5_B_L12*Poda_B)+(A5_C_L12*Poda_C)+(A5_D_L12*Poda_D)+(A5_Y_L12*Poda_Y))*Inflación_5</f>
        <v>0</v>
      </c>
      <c r="AC14" s="101">
        <f>SUMIFS('9'!$E:$E,'9'!$A:$A,Año_Inicial+4,'9'!$B:$B,'12'!AB$4,'9'!$D:$D,"Poda")</f>
        <v>0</v>
      </c>
      <c r="AD14" s="101">
        <f>((A5_A_L13*Poda_A)+(A5_B_L13*Poda_B)+(A5_C_L13*Poda_C)+(A5_D_L13*Poda_D)+(A5_Y_L13*Poda_Y))*Inflación_5</f>
        <v>0</v>
      </c>
      <c r="AE14" s="101">
        <f>SUMIFS('9'!$E:$E,'9'!$A:$A,Año_Inicial+4,'9'!$B:$B,'12'!AD$4,'9'!$D:$D,"Poda")</f>
        <v>0</v>
      </c>
      <c r="AF14" s="101">
        <f>((A5_A_L14*Poda_A)+(A5_B_L14*Poda_B)+(A5_C_L14*Poda_C)+(A5_D_L14*Poda_D)+(A5_Y_L14*Poda_Y))*Inflación_5</f>
        <v>0</v>
      </c>
      <c r="AG14" s="101">
        <f>SUMIFS('9'!$E:$E,'9'!$A:$A,Año_Inicial+4,'9'!$B:$B,'12'!AF$4,'9'!$D:$D,"Poda")</f>
        <v>0</v>
      </c>
      <c r="AH14" s="101">
        <f>((A5_A_L15*Poda_A)+(A5_B_L15*Poda_B)+(A5_C_L15*Poda_C)+(A5_D_L15*Poda_D)+(A5_Y_L15*Poda_Y))*Inflación_5</f>
        <v>0</v>
      </c>
      <c r="AI14" s="101">
        <f>SUMIFS('9'!$E:$E,'9'!$A:$A,Año_Inicial+4,'9'!$B:$B,'12'!AH$4,'9'!$D:$D,"Poda")</f>
        <v>0</v>
      </c>
      <c r="AJ14" s="101">
        <f>((A5_A_L16*Poda_A)+(A5_B_L16*Poda_B)+(A5_C_L16*Poda_C)+(A5_D_L16*Poda_D)+(A5_Y_L16*Poda_Y))*Inflación_5</f>
        <v>0</v>
      </c>
      <c r="AK14" s="101">
        <f>SUMIFS('9'!$E:$E,'9'!$A:$A,Año_Inicial+4,'9'!$B:$B,'12'!AJ$4,'9'!$D:$D,"Poda")</f>
        <v>0</v>
      </c>
      <c r="AL14" s="101">
        <f>((A5_A_L17*Poda_A)+(A5_B_L17*Poda_B)+(A5_C_L17*Poda_C)+(A5_D_L17*Poda_D)+(A5_Y_L17*Poda_Y))*Inflación_5</f>
        <v>0</v>
      </c>
      <c r="AM14" s="101">
        <f>SUMIFS('9'!$E:$E,'9'!$A:$A,Año_Inicial+4,'9'!$B:$B,'12'!AL$4,'9'!$D:$D,"Poda")</f>
        <v>0</v>
      </c>
      <c r="AN14" s="101">
        <f>((A5_A_L18*Poda_A)+(A5_B_L18*Poda_B)+(A5_C_L18*Poda_C)+(A5_D_L18*Poda_D)+(A5_Y_L18*Poda_Y))*Inflación_5</f>
        <v>0</v>
      </c>
      <c r="AO14" s="101">
        <f>SUMIFS('9'!$E:$E,'9'!$A:$A,Año_Inicial+4,'9'!$B:$B,'12'!AN$4,'9'!$D:$D,"Poda")</f>
        <v>0</v>
      </c>
      <c r="AP14" s="101">
        <f>((A5_A_L19*Poda_A)+(A5_B_L19*Poda_B)+(A5_C_L19*Poda_C)+(A5_D_L19*Poda_D)+(A5_Y_L19*Poda_Y))*Inflación_5</f>
        <v>0</v>
      </c>
      <c r="AQ14" s="101">
        <f>SUMIFS('9'!$E:$E,'9'!$A:$A,Año_Inicial+4,'9'!$B:$B,'12'!AP$4,'9'!$D:$D,"Poda")</f>
        <v>0</v>
      </c>
      <c r="AR14" s="101">
        <f>((A5_A_L20*Poda_A)+(A5_B_L20*Poda_B)+(A5_C_L20*Poda_C)+(A5_D_L20*Poda_D)+(A5_Y_L20*Poda_Y))*Inflación_5</f>
        <v>0</v>
      </c>
      <c r="AS14" s="101">
        <f>SUMIFS('9'!$E:$E,'9'!$A:$A,Año_Inicial+4,'9'!$B:$B,'12'!AR$4,'9'!$D:$D,"Poda")</f>
        <v>0</v>
      </c>
      <c r="AT14" s="101">
        <f>((A5_A_L21*Poda_A)+(A5_B_L21*Poda_B)+(A5_C_L21*Poda_C)+(A5_D_L21*Poda_D)+(A5_Y_L21*Poda_Y))*Inflación_5</f>
        <v>0</v>
      </c>
      <c r="AU14" s="101">
        <f>SUMIFS('9'!$E:$E,'9'!$A:$A,Año_Inicial+4,'9'!$B:$B,'12'!AT$4,'9'!$D:$D,"Poda")</f>
        <v>0</v>
      </c>
      <c r="AV14" s="101">
        <f>((A5_A_L22*Poda_A)+(A5_B_L22*Poda_B)+(A5_C_L22*Poda_C)+(A5_D_L22*Poda_D)+(A5_Y_L22*Poda_Y))*Inflación_5</f>
        <v>0</v>
      </c>
      <c r="AW14" s="101">
        <f>SUMIFS('9'!$E:$E,'9'!$A:$A,Año_Inicial+4,'9'!$B:$B,'12'!AV$4,'9'!$D:$D,"Poda")</f>
        <v>0</v>
      </c>
      <c r="AX14" s="101">
        <f>((A5_A_L23*Poda_A)+(A5_B_L23*Poda_B)+(A5_C_L23*Poda_C)+(A5_D_L23*Poda_D)+(A5_Y_L23*Poda_Y))*Inflación_5</f>
        <v>0</v>
      </c>
      <c r="AY14" s="101">
        <f>SUMIFS('9'!$E:$E,'9'!$A:$A,Año_Inicial+4,'9'!$B:$B,'12'!AX$4,'9'!$D:$D,"Poda")</f>
        <v>0</v>
      </c>
      <c r="AZ14" s="101">
        <f>((A5_A_L24*Poda_A)+(A5_B_L24*Poda_B)+(A5_C_L24*Poda_C)+(A5_D_L24*Poda_D)+(A5_Y_L24*Poda_Y))*Inflación_5</f>
        <v>0</v>
      </c>
      <c r="BA14" s="101">
        <f>SUMIFS('9'!$E:$E,'9'!$A:$A,Año_Inicial+4,'9'!$B:$B,'12'!AZ$4,'9'!$D:$D,"Poda")</f>
        <v>0</v>
      </c>
      <c r="BB14" s="101">
        <f>((A5_A_L25*Poda_A)+(A5_B_L25*Poda_B)+(A5_C_L25*Poda_C)+(A5_D_L25*Poda_D)+(A5_Y_L25*Poda_Y))*Inflación_5</f>
        <v>0</v>
      </c>
      <c r="BC14" s="101">
        <f>SUMIFS('9'!$E:$E,'9'!$A:$A,Año_Inicial+4,'9'!$B:$B,'12'!BB$4,'9'!$D:$D,"Poda")</f>
        <v>0</v>
      </c>
      <c r="BD14" s="101">
        <f>((A5_A_L26*Poda_A)+(A5_B_L26*Poda_B)+(A5_C_L26*Poda_C)+(A5_D_L26*Poda_D)+(A5_Y_L26*Poda_Y))*Inflación_5</f>
        <v>0</v>
      </c>
      <c r="BE14" s="101">
        <f>SUMIFS('9'!$E:$E,'9'!$A:$A,Año_Inicial+4,'9'!$B:$B,'12'!BD$4,'9'!$D:$D,"Poda")</f>
        <v>0</v>
      </c>
      <c r="BF14" s="101">
        <f>((A5_A_L27*Poda_A)+(A5_B_L27*Poda_B)+(A5_C_L27*Poda_C)+(A5_D_L27*Poda_D)+(A5_Y_L27*Poda_Y))*Inflación_5</f>
        <v>0</v>
      </c>
      <c r="BG14" s="101">
        <f>SUMIFS('9'!$E:$E,'9'!$A:$A,Año_Inicial+4,'9'!$B:$B,'12'!BF$4,'9'!$D:$D,"Poda")</f>
        <v>0</v>
      </c>
      <c r="BH14" s="101">
        <f>((A5_A_L28*Poda_A)+(A5_B_L28*Poda_B)+(A5_C_L28*Poda_C)+(A5_D_L28*Poda_D)+(A5_Y_L28*Poda_Y))*Inflación_5</f>
        <v>0</v>
      </c>
      <c r="BI14" s="101">
        <f>SUMIFS('9'!$E:$E,'9'!$A:$A,Año_Inicial+4,'9'!$B:$B,'12'!BH$4,'9'!$D:$D,"Poda")</f>
        <v>0</v>
      </c>
      <c r="BJ14" s="101">
        <f>((A5_A_L29*Poda_A)+(A5_B_L29*Poda_B)+(A5_C_L29*Poda_C)+(A5_D_L29*Poda_D)+(A5_Y_L29*Poda_Y))*Inflación_5</f>
        <v>0</v>
      </c>
      <c r="BK14" s="101">
        <f>SUMIFS('9'!$E:$E,'9'!$A:$A,Año_Inicial+4,'9'!$B:$B,'12'!BJ$4,'9'!$D:$D,"Poda")</f>
        <v>0</v>
      </c>
      <c r="BL14" s="101">
        <f>((A5_A_L30*Poda_A)+(A5_B_L30*Poda_B)+(A5_C_L30*Poda_C)+(A5_D_L30*Poda_D)+(A5_Y_L30*Poda_Y))*Inflación_5</f>
        <v>0</v>
      </c>
      <c r="BM14" s="101">
        <f>SUMIFS('9'!$E:$E,'9'!$A:$A,Año_Inicial+4,'9'!$B:$B,'12'!BL$4,'9'!$D:$D,"Poda")</f>
        <v>0</v>
      </c>
      <c r="BN14" s="101">
        <f>((A5_A_L31*Poda_A)+(A5_B_L31*Poda_B)+(A5_C_L31*Poda_C)+(A5_D_L31*Poda_D)+(A5_Y_L31*Poda_Y))*Inflación_5</f>
        <v>0</v>
      </c>
      <c r="BO14" s="101">
        <f>SUMIFS('9'!$E:$E,'9'!$A:$A,Año_Inicial+4,'9'!$B:$B,'12'!BN$4,'9'!$D:$D,"Poda")</f>
        <v>0</v>
      </c>
      <c r="BP14" s="101">
        <f>((A5_A_L32*Poda_A)+(A5_B_L32*Poda_B)+(A5_C_L32*Poda_C)+(A5_D_L32*Poda_D)+(A5_Y_L32*Poda_Y))*Inflación_5</f>
        <v>0</v>
      </c>
      <c r="BQ14" s="101">
        <f>SUMIFS('9'!$E:$E,'9'!$A:$A,Año_Inicial+4,'9'!$B:$B,'12'!BP$4,'9'!$D:$D,"Poda")</f>
        <v>0</v>
      </c>
      <c r="BR14" s="101">
        <f>((A5_A_L33*Poda_A)+(A5_B_L33*Poda_B)+(A5_C_L33*Poda_C)+(A5_D_L33*Poda_D)+(A5_Y_L33*Poda_Y))*Inflación_5</f>
        <v>0</v>
      </c>
      <c r="BS14" s="101">
        <f>SUMIFS('9'!$E:$E,'9'!$A:$A,Año_Inicial+4,'9'!$B:$B,'12'!BR$4,'9'!$D:$D,"Poda")</f>
        <v>0</v>
      </c>
      <c r="BT14" s="101">
        <f>((A5_A_L34*Poda_A)+(A5_B_L34*Poda_B)+(A5_C_L34*Poda_C)+(A5_D_L34*Poda_D)+(A5_Y_L34*Poda_Y))*Inflación_5</f>
        <v>0</v>
      </c>
      <c r="BU14" s="101">
        <f>SUMIFS('9'!$E:$E,'9'!$A:$A,Año_Inicial+4,'9'!$B:$B,'12'!BT$4,'9'!$D:$D,"Poda")</f>
        <v>0</v>
      </c>
      <c r="BV14" s="101">
        <f>((A5_A_L35*Poda_A)+(A5_B_L35*Poda_B)+(A5_C_L35*Poda_C)+(A5_D_L35*Poda_D)+(A5_Y_L35*Poda_Y))*Inflación_5</f>
        <v>0</v>
      </c>
      <c r="BW14" s="101">
        <f>SUMIFS('9'!$E:$E,'9'!$A:$A,Año_Inicial+4,'9'!$B:$B,'12'!BV$4,'9'!$D:$D,"Poda")</f>
        <v>0</v>
      </c>
      <c r="BX14" s="101">
        <f>((A5_A_L36*Poda_A)+(A5_B_L36*Poda_B)+(A5_C_L36*Poda_C)+(A5_D_L36*Poda_D)+(A5_Y_L36*Poda_Y))*Inflación_5</f>
        <v>0</v>
      </c>
      <c r="BY14" s="101">
        <f>SUMIFS('9'!$E:$E,'9'!$A:$A,Año_Inicial+4,'9'!$B:$B,'12'!BX$4,'9'!$D:$D,"Poda")</f>
        <v>0</v>
      </c>
      <c r="BZ14" s="101">
        <f>((A5_A_L37*Poda_A)+(A5_B_L37*Poda_B)+(A5_C_L37*Poda_C)+(A5_D_L37*Poda_D)+(A5_Y_L37*Poda_Y))*Inflación_5</f>
        <v>0</v>
      </c>
      <c r="CA14" s="101">
        <f>SUMIFS('9'!$E:$E,'9'!$A:$A,Año_Inicial+4,'9'!$B:$B,'12'!BZ$4,'9'!$D:$D,"Poda")</f>
        <v>0</v>
      </c>
      <c r="CB14" s="101">
        <f>((A5_A_L38*Poda_A)+(A5_B_L38*Poda_B)+(A5_C_L38*Poda_C)+(A5_D_L38*Poda_D)+(A5_Y_L38*Poda_Y))*Inflación_5</f>
        <v>0</v>
      </c>
      <c r="CC14" s="101">
        <f>SUMIFS('9'!$E:$E,'9'!$A:$A,Año_Inicial+4,'9'!$B:$B,'12'!CB$4,'9'!$D:$D,"Poda")</f>
        <v>0</v>
      </c>
      <c r="CD14" s="101">
        <f>((A5_A_L39*Poda_A)+(A5_B_L39*Poda_B)+(A5_C_L39*Poda_C)+(A5_D_L39*Poda_D)+(A5_Y_L39*Poda_Y))*Inflación_5</f>
        <v>0</v>
      </c>
      <c r="CE14" s="101">
        <f>SUMIFS('9'!$E:$E,'9'!$A:$A,Año_Inicial+4,'9'!$B:$B,'12'!CD$4,'9'!$D:$D,"Poda")</f>
        <v>0</v>
      </c>
      <c r="CF14" s="101">
        <f>((A5_A_L40*Poda_A)+(A5_B_L40*Poda_B)+(A5_C_L40*Poda_C)+(A5_D_L40*Poda_D)+(A5_Y_L40*Poda_Y))*Inflación_5</f>
        <v>0</v>
      </c>
      <c r="CG14" s="101">
        <f>SUMIFS('9'!$E:$E,'9'!$A:$A,Año_Inicial+4,'9'!$B:$B,'12'!CF$4,'9'!$D:$D,"Poda")</f>
        <v>0</v>
      </c>
      <c r="CH14" s="473"/>
      <c r="CI14" s="101">
        <f>Plantas_A_A5*Poda_A*Inflación_5</f>
        <v>0</v>
      </c>
      <c r="CJ14" s="101">
        <f>Plantas_B_A5*Poda_B</f>
        <v>0</v>
      </c>
      <c r="CK14" s="101">
        <f>Plantas_C_A5*Poda_C</f>
        <v>0</v>
      </c>
      <c r="CL14" s="101">
        <f>Plantas_D_A5*Poda_D</f>
        <v>0</v>
      </c>
      <c r="CM14" s="101"/>
      <c r="CN14" s="101">
        <f>Plantas_Y_A5*Poda_Y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SUMIFS('9'!$E:$E,'9'!$A:$A,Año_Inicial+4,'9'!$D:$D,"Deshije")</f>
        <v>0</v>
      </c>
      <c r="D15" s="100">
        <f t="shared" si="45"/>
        <v>0</v>
      </c>
      <c r="E15" s="473"/>
      <c r="F15" s="101">
        <f>((A5_A_L1*Deshije_A)+(A5_B_L1*Deshije_B)+(A5_C_L1*Deshije_C)+(A5_D_L1*Deshije_D)+(A5_Y_L1*Deshije_Y))*Inflación_5</f>
        <v>0</v>
      </c>
      <c r="G15" s="101">
        <f>SUMIFS('9'!$E:$E,'9'!$A:$A,Año_Inicial+4,'9'!$B:$B,'12'!F$4,'9'!$D:$D,"Deshije")</f>
        <v>0</v>
      </c>
      <c r="H15" s="101">
        <f>((A5_A_L2*Deshije_A)+(A5_B_L2*Deshije_B)+(A5_C_L2*Deshije_C)+(A5_D_L2*Deshije_D)+(A5_Y_L2*Deshije_Y))*Inflación_5</f>
        <v>0</v>
      </c>
      <c r="I15" s="101">
        <f>SUMIFS('9'!$E:$E,'9'!$A:$A,Año_Inicial+4,'9'!$B:$B,'12'!H$4,'9'!$D:$D,"Deshije")</f>
        <v>0</v>
      </c>
      <c r="J15" s="101">
        <f>((A5_A_L3*Deshije_A)+(A5_B_L3*Deshije_B)+(A5_C_L3*Deshije_C)+(A5_D_L3*Deshije_D)+(A5_Y_L3*Deshije_Y))*Inflación_5</f>
        <v>0</v>
      </c>
      <c r="K15" s="101">
        <f>SUMIFS('9'!$E:$E,'9'!$A:$A,Año_Inicial+4,'9'!$B:$B,'12'!J$4,'9'!$D:$D,"Deshije")</f>
        <v>0</v>
      </c>
      <c r="L15" s="101">
        <f>((A5_A_L4*Deshije_A)+(A5_B_L4*Deshije_B)+(A5_C_L4*Deshije_C)+(A5_D_L4*Deshije_D)+(A5_Y_L4*Deshije_Y))*Inflación_5</f>
        <v>0</v>
      </c>
      <c r="M15" s="101">
        <f>SUMIFS('9'!$E:$E,'9'!$A:$A,Año_Inicial+4,'9'!$B:$B,'12'!L$4,'9'!$D:$D,"Deshije")</f>
        <v>0</v>
      </c>
      <c r="N15" s="101">
        <f>((A5_A_L5*Deshije_A)+(A5_B_L5*Deshije_B)+(A5_C_L5*Deshije_C)+(A5_D_L5*Deshije_D)+(A5_Y_L5*Deshije_Y))*Inflación_5</f>
        <v>0</v>
      </c>
      <c r="O15" s="101">
        <f>SUMIFS('9'!$E:$E,'9'!$A:$A,Año_Inicial+4,'9'!$B:$B,'12'!N$4,'9'!$D:$D,"Deshije")</f>
        <v>0</v>
      </c>
      <c r="P15" s="101">
        <f>((A5_A_L6*Deshije_A)+(A5_B_L6*Deshije_B)+(A5_C_L6*Deshije_C)+(A5_D_L6*Deshije_D)+(A5_Y_L6*Deshije_Y))*Inflación_5</f>
        <v>0</v>
      </c>
      <c r="Q15" s="101">
        <f>SUMIFS('9'!$E:$E,'9'!$A:$A,Año_Inicial+4,'9'!$B:$B,'12'!P$4,'9'!$D:$D,"Deshije")</f>
        <v>0</v>
      </c>
      <c r="R15" s="101">
        <f>((A5_A_L7*Deshije_A)+(A5_B_L7*Deshije_B)+(A5_C_L7*Deshije_C)+(A5_D_L7*Deshije_D)+(A5_Y_L7*Deshije_Y))*Inflación_5</f>
        <v>0</v>
      </c>
      <c r="S15" s="101">
        <f>SUMIFS('9'!$E:$E,'9'!$A:$A,Año_Inicial+4,'9'!$B:$B,'12'!R$4,'9'!$D:$D,"Deshije")</f>
        <v>0</v>
      </c>
      <c r="T15" s="101">
        <f>((A5_A_L8*Deshije_A)+(A5_B_L8*Deshije_B)+(A5_C_L8*Deshije_C)+(A5_D_L8*Deshije_D)+(A5_Y_L8*Deshije_Y))*Inflación_5</f>
        <v>0</v>
      </c>
      <c r="U15" s="101">
        <f>SUMIFS('9'!$E:$E,'9'!$A:$A,Año_Inicial+4,'9'!$B:$B,'12'!T$4,'9'!$D:$D,"Deshije")</f>
        <v>0</v>
      </c>
      <c r="V15" s="101">
        <f>((A5_A_L9*Deshije_A)+(A5_B_L9*Deshije_B)+(A5_C_L9*Deshije_C)+(A5_D_L9*Deshije_D)+(A5_Y_L9*Deshije_Y))*Inflación_5</f>
        <v>0</v>
      </c>
      <c r="W15" s="101">
        <f>SUMIFS('9'!$E:$E,'9'!$A:$A,Año_Inicial+4,'9'!$B:$B,'12'!V$4,'9'!$D:$D,"Deshije")</f>
        <v>0</v>
      </c>
      <c r="X15" s="101">
        <f>((A5_A_L10*Deshije_A)+(A5_B_L10*Deshije_B)+(A5_C_L10*Deshije_C)+(A5_D_L10*Deshije_D)+(A5_Y_L10*Deshije_Y))*Inflación_5</f>
        <v>0</v>
      </c>
      <c r="Y15" s="101">
        <f>SUMIFS('9'!$E:$E,'9'!$A:$A,Año_Inicial+4,'9'!$B:$B,'12'!X$4,'9'!$D:$D,"Deshije")</f>
        <v>0</v>
      </c>
      <c r="Z15" s="101">
        <f>((A5_A_L11*Deshije_A)+(A5_B_L11*Deshije_B)+(A5_C_L11*Deshije_C)+(A5_D_L11*Deshije_D)+(A5_Y_L11*Deshije_Y))*Inflación_5</f>
        <v>0</v>
      </c>
      <c r="AA15" s="101">
        <f>SUMIFS('9'!$E:$E,'9'!$A:$A,Año_Inicial+4,'9'!$B:$B,'12'!Z$4,'9'!$D:$D,"Deshije")</f>
        <v>0</v>
      </c>
      <c r="AB15" s="101">
        <f>((A5_A_L12*Deshije_A)+(A5_B_L12*Deshije_B)+(A5_C_L12*Deshije_C)+(A5_D_L12*Deshije_D)+(A5_Y_L12*Deshije_Y))*Inflación_5</f>
        <v>0</v>
      </c>
      <c r="AC15" s="101">
        <f>SUMIFS('9'!$E:$E,'9'!$A:$A,Año_Inicial+4,'9'!$B:$B,'12'!AB$4,'9'!$D:$D,"Deshije")</f>
        <v>0</v>
      </c>
      <c r="AD15" s="101">
        <f>((A5_A_L13*Deshije_A)+(A5_B_L13*Deshije_B)+(A5_C_L13*Deshije_C)+(A5_D_L13*Deshije_D)+(A5_Y_L13*Deshije_Y))*Inflación_5</f>
        <v>0</v>
      </c>
      <c r="AE15" s="101">
        <f>SUMIFS('9'!$E:$E,'9'!$A:$A,Año_Inicial+4,'9'!$B:$B,'12'!AD$4,'9'!$D:$D,"Deshije")</f>
        <v>0</v>
      </c>
      <c r="AF15" s="101">
        <f>((A5_A_L14*Deshije_A)+(A5_B_L14*Deshije_B)+(A5_C_L14*Deshije_C)+(A5_D_L14*Deshije_D)+(A5_Y_L14*Deshije_Y))*Inflación_5</f>
        <v>0</v>
      </c>
      <c r="AG15" s="101">
        <f>SUMIFS('9'!$E:$E,'9'!$A:$A,Año_Inicial+4,'9'!$B:$B,'12'!AF$4,'9'!$D:$D,"Deshije")</f>
        <v>0</v>
      </c>
      <c r="AH15" s="101">
        <f>((A5_A_L15*Deshije_A)+(A5_B_L15*Deshije_B)+(A5_C_L15*Deshije_C)+(A5_D_L15*Deshije_D)+(A5_Y_L15*Deshije_Y))*Inflación_5</f>
        <v>0</v>
      </c>
      <c r="AI15" s="101">
        <f>SUMIFS('9'!$E:$E,'9'!$A:$A,Año_Inicial+4,'9'!$B:$B,'12'!AH$4,'9'!$D:$D,"Deshije")</f>
        <v>0</v>
      </c>
      <c r="AJ15" s="101">
        <f>((A5_A_L16*Deshije_A)+(A5_B_L16*Deshije_B)+(A5_C_L16*Deshije_C)+(A5_D_L16*Deshije_D)+(A5_Y_L16*Deshije_Y))*Inflación_5</f>
        <v>0</v>
      </c>
      <c r="AK15" s="101">
        <f>SUMIFS('9'!$E:$E,'9'!$A:$A,Año_Inicial+4,'9'!$B:$B,'12'!AJ$4,'9'!$D:$D,"Deshije")</f>
        <v>0</v>
      </c>
      <c r="AL15" s="101">
        <f>((A5_A_L17*Deshije_A)+(A5_B_L17*Deshije_B)+(A5_C_L17*Deshije_C)+(A5_D_L17*Deshije_D)+(A5_Y_L17*Deshije_Y))*Inflación_5</f>
        <v>0</v>
      </c>
      <c r="AM15" s="101">
        <f>SUMIFS('9'!$E:$E,'9'!$A:$A,Año_Inicial+4,'9'!$B:$B,'12'!AL$4,'9'!$D:$D,"Deshije")</f>
        <v>0</v>
      </c>
      <c r="AN15" s="101">
        <f>((A5_A_L18*Deshije_A)+(A5_B_L18*Deshije_B)+(A5_C_L18*Deshije_C)+(A5_D_L18*Deshije_D)+(A5_Y_L18*Deshije_Y))*Inflación_5</f>
        <v>0</v>
      </c>
      <c r="AO15" s="101">
        <f>SUMIFS('9'!$E:$E,'9'!$A:$A,Año_Inicial+4,'9'!$B:$B,'12'!AN$4,'9'!$D:$D,"Deshije")</f>
        <v>0</v>
      </c>
      <c r="AP15" s="101">
        <f>((A5_A_L19*Deshije_A)+(A5_B_L19*Deshije_B)+(A5_C_L19*Deshije_C)+(A5_D_L19*Deshije_D)+(A5_Y_L19*Deshije_Y))*Inflación_5</f>
        <v>0</v>
      </c>
      <c r="AQ15" s="101">
        <f>SUMIFS('9'!$E:$E,'9'!$A:$A,Año_Inicial+4,'9'!$B:$B,'12'!AP$4,'9'!$D:$D,"Deshije")</f>
        <v>0</v>
      </c>
      <c r="AR15" s="101">
        <f>((A5_A_L20*Deshije_A)+(A5_B_L20*Deshije_B)+(A5_C_L20*Deshije_C)+(A5_D_L20*Deshije_D)+(A5_Y_L20*Deshije_Y))*Inflación_5</f>
        <v>0</v>
      </c>
      <c r="AS15" s="101">
        <f>SUMIFS('9'!$E:$E,'9'!$A:$A,Año_Inicial+4,'9'!$B:$B,'12'!AR$4,'9'!$D:$D,"Deshije")</f>
        <v>0</v>
      </c>
      <c r="AT15" s="101">
        <f>((A5_A_L21*Deshije_A)+(A5_B_L21*Deshije_B)+(A5_C_L21*Deshije_C)+(A5_D_L21*Deshije_D)+(A5_Y_L21*Deshije_Y))*Inflación_5</f>
        <v>0</v>
      </c>
      <c r="AU15" s="101">
        <f>SUMIFS('9'!$E:$E,'9'!$A:$A,Año_Inicial+4,'9'!$B:$B,'12'!AT$4,'9'!$D:$D,"Deshije")</f>
        <v>0</v>
      </c>
      <c r="AV15" s="101">
        <f>((A5_A_L22*Deshije_A)+(A5_B_L22*Deshije_B)+(A5_C_L22*Deshije_C)+(A5_D_L22*Deshije_D)+(A5_Y_L22*Deshije_Y))*Inflación_5</f>
        <v>0</v>
      </c>
      <c r="AW15" s="101">
        <f>SUMIFS('9'!$E:$E,'9'!$A:$A,Año_Inicial+4,'9'!$B:$B,'12'!AV$4,'9'!$D:$D,"Deshije")</f>
        <v>0</v>
      </c>
      <c r="AX15" s="101">
        <f>((A5_A_L23*Deshije_A)+(A5_B_L23*Deshije_B)+(A5_C_L23*Deshije_C)+(A5_D_L23*Deshije_D)+(A5_Y_L23*Deshije_Y))*Inflación_5</f>
        <v>0</v>
      </c>
      <c r="AY15" s="101">
        <f>SUMIFS('9'!$E:$E,'9'!$A:$A,Año_Inicial+4,'9'!$B:$B,'12'!AX$4,'9'!$D:$D,"Deshije")</f>
        <v>0</v>
      </c>
      <c r="AZ15" s="101">
        <f>((A5_A_L24*Deshije_A)+(A5_B_L24*Deshije_B)+(A5_C_L24*Deshije_C)+(A5_D_L24*Deshije_D)+(A5_Y_L24*Deshije_Y))*Inflación_5</f>
        <v>0</v>
      </c>
      <c r="BA15" s="101">
        <f>SUMIFS('9'!$E:$E,'9'!$A:$A,Año_Inicial+4,'9'!$B:$B,'12'!AZ$4,'9'!$D:$D,"Deshije")</f>
        <v>0</v>
      </c>
      <c r="BB15" s="101">
        <f>((A5_A_L25*Deshije_A)+(A5_B_L25*Deshije_B)+(A5_C_L25*Deshije_C)+(A5_D_L25*Deshije_D)+(A5_Y_L25*Deshije_Y))*Inflación_5</f>
        <v>0</v>
      </c>
      <c r="BC15" s="101">
        <f>SUMIFS('9'!$E:$E,'9'!$A:$A,Año_Inicial+4,'9'!$B:$B,'12'!BB$4,'9'!$D:$D,"Deshije")</f>
        <v>0</v>
      </c>
      <c r="BD15" s="101">
        <f>((A5_A_L26*Deshije_A)+(A5_B_L26*Deshije_B)+(A5_C_L26*Deshije_C)+(A5_D_L26*Deshije_D)+(A5_Y_L26*Deshije_Y))*Inflación_5</f>
        <v>0</v>
      </c>
      <c r="BE15" s="101">
        <f>SUMIFS('9'!$E:$E,'9'!$A:$A,Año_Inicial+4,'9'!$B:$B,'12'!BD$4,'9'!$D:$D,"Deshije")</f>
        <v>0</v>
      </c>
      <c r="BF15" s="101">
        <f>((A5_A_L27*Deshije_A)+(A5_B_L27*Deshije_B)+(A5_C_L27*Deshije_C)+(A5_D_L27*Deshije_D)+(A5_Y_L27*Deshije_Y))*Inflación_5</f>
        <v>0</v>
      </c>
      <c r="BG15" s="101">
        <f>SUMIFS('9'!$E:$E,'9'!$A:$A,Año_Inicial+4,'9'!$B:$B,'12'!BF$4,'9'!$D:$D,"Deshije")</f>
        <v>0</v>
      </c>
      <c r="BH15" s="101">
        <f>((A5_A_L28*Deshije_A)+(A5_B_L28*Deshije_B)+(A5_C_L28*Deshije_C)+(A5_D_L28*Deshije_D)+(A5_Y_L28*Deshije_Y))*Inflación_5</f>
        <v>0</v>
      </c>
      <c r="BI15" s="101">
        <f>SUMIFS('9'!$E:$E,'9'!$A:$A,Año_Inicial+4,'9'!$B:$B,'12'!BH$4,'9'!$D:$D,"Deshije")</f>
        <v>0</v>
      </c>
      <c r="BJ15" s="101">
        <f>((A5_A_L29*Deshije_A)+(A5_B_L29*Deshije_B)+(A5_C_L29*Deshije_C)+(A5_D_L29*Deshije_D)+(A5_Y_L29*Deshije_Y))*Inflación_5</f>
        <v>0</v>
      </c>
      <c r="BK15" s="101">
        <f>SUMIFS('9'!$E:$E,'9'!$A:$A,Año_Inicial+4,'9'!$B:$B,'12'!BJ$4,'9'!$D:$D,"Deshije")</f>
        <v>0</v>
      </c>
      <c r="BL15" s="101">
        <f>((A5_A_L30*Deshije_A)+(A5_B_L30*Deshije_B)+(A5_C_L30*Deshije_C)+(A5_D_L30*Deshije_D)+(A5_Y_L30*Deshije_Y))*Inflación_5</f>
        <v>0</v>
      </c>
      <c r="BM15" s="101">
        <f>SUMIFS('9'!$E:$E,'9'!$A:$A,Año_Inicial+4,'9'!$B:$B,'12'!BL$4,'9'!$D:$D,"Deshije")</f>
        <v>0</v>
      </c>
      <c r="BN15" s="101">
        <f>((A5_A_L31*Deshije_A)+(A5_B_L31*Deshije_B)+(A5_C_L31*Deshije_C)+(A5_D_L31*Deshije_D)+(A5_Y_L31*Deshije_Y))*Inflación_5</f>
        <v>0</v>
      </c>
      <c r="BO15" s="101">
        <f>SUMIFS('9'!$E:$E,'9'!$A:$A,Año_Inicial+4,'9'!$B:$B,'12'!BN$4,'9'!$D:$D,"Deshije")</f>
        <v>0</v>
      </c>
      <c r="BP15" s="101">
        <f>((A5_A_L32*Deshije_A)+(A5_B_L32*Deshije_B)+(A5_C_L32*Deshije_C)+(A5_D_L32*Deshije_D)+(A5_Y_L32*Deshije_Y))*Inflación_5</f>
        <v>0</v>
      </c>
      <c r="BQ15" s="101">
        <f>SUMIFS('9'!$E:$E,'9'!$A:$A,Año_Inicial+4,'9'!$B:$B,'12'!BP$4,'9'!$D:$D,"Deshije")</f>
        <v>0</v>
      </c>
      <c r="BR15" s="101">
        <f>((A5_A_L33*Deshije_A)+(A5_B_L33*Deshije_B)+(A5_C_L33*Deshije_C)+(A5_D_L33*Deshije_D)+(A5_Y_L33*Deshije_Y))*Inflación_5</f>
        <v>0</v>
      </c>
      <c r="BS15" s="101">
        <f>SUMIFS('9'!$E:$E,'9'!$A:$A,Año_Inicial+4,'9'!$B:$B,'12'!BR$4,'9'!$D:$D,"Deshije")</f>
        <v>0</v>
      </c>
      <c r="BT15" s="101">
        <f>((A5_A_L34*Deshije_A)+(A5_B_L34*Deshije_B)+(A5_C_L34*Deshije_C)+(A5_D_L34*Deshije_D)+(A5_Y_L34*Deshije_Y))*Inflación_5</f>
        <v>0</v>
      </c>
      <c r="BU15" s="101">
        <f>SUMIFS('9'!$E:$E,'9'!$A:$A,Año_Inicial+4,'9'!$B:$B,'12'!BT$4,'9'!$D:$D,"Deshije")</f>
        <v>0</v>
      </c>
      <c r="BV15" s="101">
        <f>((A5_A_L35*Deshije_A)+(A5_B_L35*Deshije_B)+(A5_C_L35*Deshije_C)+(A5_D_L35*Deshije_D)+(A5_Y_L35*Deshije_Y))*Inflación_5</f>
        <v>0</v>
      </c>
      <c r="BW15" s="101">
        <f>SUMIFS('9'!$E:$E,'9'!$A:$A,Año_Inicial+4,'9'!$B:$B,'12'!BV$4,'9'!$D:$D,"Deshije")</f>
        <v>0</v>
      </c>
      <c r="BX15" s="101">
        <f>((A5_A_L36*Deshije_A)+(A5_B_L36*Deshije_B)+(A5_C_L36*Deshije_C)+(A5_D_L36*Deshije_D)+(A5_Y_L36*Deshije_Y))*Inflación_5</f>
        <v>0</v>
      </c>
      <c r="BY15" s="101">
        <f>SUMIFS('9'!$E:$E,'9'!$A:$A,Año_Inicial+4,'9'!$B:$B,'12'!BX$4,'9'!$D:$D,"Deshije")</f>
        <v>0</v>
      </c>
      <c r="BZ15" s="101">
        <f>((A5_A_L37*Deshije_A)+(A5_B_L37*Deshije_B)+(A5_C_L37*Deshije_C)+(A5_D_L37*Deshije_D)+(A5_Y_L37*Deshije_Y))*Inflación_5</f>
        <v>0</v>
      </c>
      <c r="CA15" s="101">
        <f>SUMIFS('9'!$E:$E,'9'!$A:$A,Año_Inicial+4,'9'!$B:$B,'12'!BZ$4,'9'!$D:$D,"Deshije")</f>
        <v>0</v>
      </c>
      <c r="CB15" s="101">
        <f>((A5_A_L38*Deshije_A)+(A5_B_L38*Deshije_B)+(A5_C_L38*Deshije_C)+(A5_D_L38*Deshije_D)+(A5_Y_L38*Deshije_Y))*Inflación_5</f>
        <v>0</v>
      </c>
      <c r="CC15" s="101">
        <f>SUMIFS('9'!$E:$E,'9'!$A:$A,Año_Inicial+4,'9'!$B:$B,'12'!CB$4,'9'!$D:$D,"Deshije")</f>
        <v>0</v>
      </c>
      <c r="CD15" s="101">
        <f>((A5_A_L39*Deshije_A)+(A5_B_L39*Deshije_B)+(A5_C_L39*Deshije_C)+(A5_D_L39*Deshije_D)+(A5_Y_L39*Deshije_Y))*Inflación_5</f>
        <v>0</v>
      </c>
      <c r="CE15" s="101">
        <f>SUMIFS('9'!$E:$E,'9'!$A:$A,Año_Inicial+4,'9'!$B:$B,'12'!CD$4,'9'!$D:$D,"Deshije")</f>
        <v>0</v>
      </c>
      <c r="CF15" s="101">
        <f>((A5_A_L40*Deshije_A)+(A5_B_L40*Deshije_B)+(A5_C_L40*Deshije_C)+(A5_D_L40*Deshije_D)+(A5_Y_L40*Deshije_Y))*Inflación_5</f>
        <v>0</v>
      </c>
      <c r="CG15" s="101">
        <f>SUMIFS('9'!$E:$E,'9'!$A:$A,Año_Inicial+4,'9'!$B:$B,'12'!CF$4,'9'!$D:$D,"Deshije")</f>
        <v>0</v>
      </c>
      <c r="CH15" s="473"/>
      <c r="CI15" s="101">
        <f>Plantas_A_A5*Deshije_A*Inflación_5</f>
        <v>0</v>
      </c>
      <c r="CJ15" s="101">
        <f>Plantas_B_A5*Deshije_B</f>
        <v>0</v>
      </c>
      <c r="CK15" s="101">
        <f>Plantas_C_A5*Deshije_C</f>
        <v>0</v>
      </c>
      <c r="CL15" s="101">
        <f>Plantas_D_A5*Deshije_D</f>
        <v>0</v>
      </c>
      <c r="CM15" s="101"/>
      <c r="CN15" s="101">
        <f>Plantas_Y_A5*Deshije_Y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SUMIFS('9'!$E:$E,'9'!$A:$A,Año_Inicial+4,'9'!$D:$D,"Aplicación de fertilizante")</f>
        <v>0</v>
      </c>
      <c r="D17" s="100">
        <f t="shared" si="45"/>
        <v>0</v>
      </c>
      <c r="E17" s="473"/>
      <c r="F17" s="101">
        <f>((A5_A_L1*Nutrición_A)+(A5_B_L1*Nutrición_B)+(A5_C_L1*Nutrición_C)+(A5_D_L1*Nutrición_D)+(A5_Y_L1*Nutrición_Y))*Inflación_5</f>
        <v>0</v>
      </c>
      <c r="G17" s="101">
        <f>SUMIFS('9'!$E:$E,'9'!$A:$A,Año_Inicial+4,'9'!$B:$B,'12'!F$4,'9'!$D:$D,"Aplicación de fertilizante")</f>
        <v>0</v>
      </c>
      <c r="H17" s="101">
        <f>((A5_A_L2*Nutrición_A)+(A5_B_L2*Nutrición_B)+(A5_C_L2*Nutrición_C)+(A5_D_L2*Nutrición_D)+(A5_Y_L2*Nutrición_Y))*Inflación_5</f>
        <v>0</v>
      </c>
      <c r="I17" s="101">
        <f>SUMIFS('9'!$E:$E,'9'!$A:$A,Año_Inicial+4,'9'!$B:$B,'12'!H$4,'9'!$D:$D,"Aplicación de fertilizante")</f>
        <v>0</v>
      </c>
      <c r="J17" s="101">
        <f>((A5_A_L3*Nutrición_A)+(A5_B_L3*Nutrición_B)+(A5_C_L3*Nutrición_C)+(A5_D_L3*Nutrición_D)+(A5_Y_L3*Nutrición_Y))*Inflación_5</f>
        <v>0</v>
      </c>
      <c r="K17" s="101">
        <f>SUMIFS('9'!$E:$E,'9'!$A:$A,Año_Inicial+4,'9'!$B:$B,'12'!J$4,'9'!$D:$D,"Aplicación de fertilizante")</f>
        <v>0</v>
      </c>
      <c r="L17" s="101">
        <f>((A5_A_L4*Nutrición_A)+(A5_B_L4*Nutrición_B)+(A5_C_L4*Nutrición_C)+(A5_D_L4*Nutrición_D)+(A5_Y_L4*Nutrición_Y))*Inflación_5</f>
        <v>0</v>
      </c>
      <c r="M17" s="101">
        <f>SUMIFS('9'!$E:$E,'9'!$A:$A,Año_Inicial+4,'9'!$B:$B,'12'!L$4,'9'!$D:$D,"Aplicación de fertilizante")</f>
        <v>0</v>
      </c>
      <c r="N17" s="101">
        <f>((A5_A_L5*Nutrición_A)+(A5_B_L5*Nutrición_B)+(A5_C_L5*Nutrición_C)+(A5_D_L5*Nutrición_D)+(A5_Y_L5*Nutrición_Y))*Inflación_5</f>
        <v>0</v>
      </c>
      <c r="O17" s="101">
        <f>SUMIFS('9'!$E:$E,'9'!$A:$A,Año_Inicial+4,'9'!$B:$B,'12'!N$4,'9'!$D:$D,"Aplicación de fertilizante")</f>
        <v>0</v>
      </c>
      <c r="P17" s="101">
        <f>((A5_A_L6*Nutrición_A)+(A5_B_L6*Nutrición_B)+(A5_C_L6*Nutrición_C)+(A5_D_L6*Nutrición_D)+(A5_Y_L6*Nutrición_Y))*Inflación_5</f>
        <v>0</v>
      </c>
      <c r="Q17" s="101">
        <f>SUMIFS('9'!$E:$E,'9'!$A:$A,Año_Inicial+4,'9'!$B:$B,'12'!P$4,'9'!$D:$D,"Aplicación de fertilizante")</f>
        <v>0</v>
      </c>
      <c r="R17" s="101">
        <f>((A5_A_L7*Nutrición_A)+(A5_B_L7*Nutrición_B)+(A5_C_L7*Nutrición_C)+(A5_D_L7*Nutrición_D)+(A5_Y_L7*Nutrición_Y))*Inflación_5</f>
        <v>0</v>
      </c>
      <c r="S17" s="101">
        <f>SUMIFS('9'!$E:$E,'9'!$A:$A,Año_Inicial+4,'9'!$B:$B,'12'!R$4,'9'!$D:$D,"Aplicación de fertilizante")</f>
        <v>0</v>
      </c>
      <c r="T17" s="101">
        <f>((A5_A_L8*Nutrición_A)+(A5_B_L8*Nutrición_B)+(A5_C_L8*Nutrición_C)+(A5_D_L8*Nutrición_D)+(A5_Y_L8*Nutrición_Y))*Inflación_5</f>
        <v>0</v>
      </c>
      <c r="U17" s="101">
        <f>SUMIFS('9'!$E:$E,'9'!$A:$A,Año_Inicial+4,'9'!$B:$B,'12'!T$4,'9'!$D:$D,"Aplicación de fertilizante")</f>
        <v>0</v>
      </c>
      <c r="V17" s="101">
        <f>((A5_A_L9*Nutrición_A)+(A5_B_L9*Nutrición_B)+(A5_C_L9*Nutrición_C)+(A5_D_L9*Nutrición_D)+(A5_Y_L9*Nutrición_Y))*Inflación_5</f>
        <v>0</v>
      </c>
      <c r="W17" s="101">
        <f>SUMIFS('9'!$E:$E,'9'!$A:$A,Año_Inicial+4,'9'!$B:$B,'12'!V$4,'9'!$D:$D,"Aplicación de fertilizante")</f>
        <v>0</v>
      </c>
      <c r="X17" s="101">
        <f>((A5_A_L10*Nutrición_A)+(A5_B_L10*Nutrición_B)+(A5_C_L10*Nutrición_C)+(A5_D_L10*Nutrición_D)+(A5_Y_L10*Nutrición_Y))*Inflación_5</f>
        <v>0</v>
      </c>
      <c r="Y17" s="101">
        <f>SUMIFS('9'!$E:$E,'9'!$A:$A,Año_Inicial+4,'9'!$B:$B,'12'!X$4,'9'!$D:$D,"Aplicación de fertilizante")</f>
        <v>0</v>
      </c>
      <c r="Z17" s="101">
        <f>((A5_A_L11*Nutrición_A)+(A5_B_L11*Nutrición_B)+(A5_C_L11*Nutrición_C)+(A5_D_L11*Nutrición_D)+(A5_Y_L11*Nutrición_Y))*Inflación_5</f>
        <v>0</v>
      </c>
      <c r="AA17" s="101">
        <f>SUMIFS('9'!$E:$E,'9'!$A:$A,Año_Inicial+4,'9'!$B:$B,'12'!Z$4,'9'!$D:$D,"Aplicación de fertilizante")</f>
        <v>0</v>
      </c>
      <c r="AB17" s="101">
        <f>((A5_A_L12*Nutrición_A)+(A5_B_L12*Nutrición_B)+(A5_C_L12*Nutrición_C)+(A5_D_L12*Nutrición_D)+(A5_Y_L12*Nutrición_Y))*Inflación_5</f>
        <v>0</v>
      </c>
      <c r="AC17" s="101">
        <f>SUMIFS('9'!$E:$E,'9'!$A:$A,Año_Inicial+4,'9'!$B:$B,'12'!AB$4,'9'!$D:$D,"Aplicación de fertilizante")</f>
        <v>0</v>
      </c>
      <c r="AD17" s="101">
        <f>((A5_A_L13*Nutrición_A)+(A5_B_L13*Nutrición_B)+(A5_C_L13*Nutrición_C)+(A5_D_L13*Nutrición_D)+(A5_Y_L13*Nutrición_Y))*Inflación_5</f>
        <v>0</v>
      </c>
      <c r="AE17" s="101">
        <f>SUMIFS('9'!$E:$E,'9'!$A:$A,Año_Inicial+4,'9'!$B:$B,'12'!AD$4,'9'!$D:$D,"Aplicación de fertilizante")</f>
        <v>0</v>
      </c>
      <c r="AF17" s="101">
        <f>((A5_A_L14*Nutrición_A)+(A5_B_L14*Nutrición_B)+(A5_C_L14*Nutrición_C)+(A5_D_L14*Nutrición_D)+(A5_Y_L14*Nutrición_Y))*Inflación_5</f>
        <v>0</v>
      </c>
      <c r="AG17" s="101">
        <f>SUMIFS('9'!$E:$E,'9'!$A:$A,Año_Inicial+4,'9'!$B:$B,'12'!AF$4,'9'!$D:$D,"Aplicación de fertilizante")</f>
        <v>0</v>
      </c>
      <c r="AH17" s="101">
        <f>((A5_A_L15*Nutrición_A)+(A5_B_L15*Nutrición_B)+(A5_C_L15*Nutrición_C)+(A5_D_L15*Nutrición_D)+(A5_Y_L15*Nutrición_Y))*Inflación_5</f>
        <v>0</v>
      </c>
      <c r="AI17" s="101">
        <f>SUMIFS('9'!$E:$E,'9'!$A:$A,Año_Inicial+4,'9'!$B:$B,'12'!AH$4,'9'!$D:$D,"Aplicación de fertilizante")</f>
        <v>0</v>
      </c>
      <c r="AJ17" s="101">
        <f>((A5_A_L16*Nutrición_A)+(A5_B_L16*Nutrición_B)+(A5_C_L16*Nutrición_C)+(A5_D_L16*Nutrición_D)+(A5_Y_L16*Nutrición_Y))*Inflación_5</f>
        <v>0</v>
      </c>
      <c r="AK17" s="101">
        <f>SUMIFS('9'!$E:$E,'9'!$A:$A,Año_Inicial+4,'9'!$B:$B,'12'!AJ$4,'9'!$D:$D,"Aplicación de fertilizante")</f>
        <v>0</v>
      </c>
      <c r="AL17" s="101">
        <f>((A5_A_L17*Nutrición_A)+(A5_B_L17*Nutrición_B)+(A5_C_L17*Nutrición_C)+(A5_D_L17*Nutrición_D)+(A5_Y_L17*Nutrición_Y))*Inflación_5</f>
        <v>0</v>
      </c>
      <c r="AM17" s="101">
        <f>SUMIFS('9'!$E:$E,'9'!$A:$A,Año_Inicial+4,'9'!$B:$B,'12'!AL$4,'9'!$D:$D,"Aplicación de fertilizante")</f>
        <v>0</v>
      </c>
      <c r="AN17" s="101">
        <f>((A5_A_L18*Nutrición_A)+(A5_B_L18*Nutrición_B)+(A5_C_L18*Nutrición_C)+(A5_D_L18*Nutrición_D)+(A5_Y_L18*Nutrición_Y))*Inflación_5</f>
        <v>0</v>
      </c>
      <c r="AO17" s="101">
        <f>SUMIFS('9'!$E:$E,'9'!$A:$A,Año_Inicial+4,'9'!$B:$B,'12'!AN$4,'9'!$D:$D,"Aplicación de fertilizante")</f>
        <v>0</v>
      </c>
      <c r="AP17" s="101">
        <f>((A5_A_L19*Nutrición_A)+(A5_B_L19*Nutrición_B)+(A5_C_L19*Nutrición_C)+(A5_D_L19*Nutrición_D)+(A5_Y_L19*Nutrición_Y))*Inflación_5</f>
        <v>0</v>
      </c>
      <c r="AQ17" s="101">
        <f>SUMIFS('9'!$E:$E,'9'!$A:$A,Año_Inicial+4,'9'!$B:$B,'12'!AP$4,'9'!$D:$D,"Aplicación de fertilizante")</f>
        <v>0</v>
      </c>
      <c r="AR17" s="101">
        <f>((A5_A_L20*Nutrición_A)+(A5_B_L20*Nutrición_B)+(A5_C_L20*Nutrición_C)+(A5_D_L20*Nutrición_D)+(A5_Y_L20*Nutrición_Y))*Inflación_5</f>
        <v>0</v>
      </c>
      <c r="AS17" s="101">
        <f>SUMIFS('9'!$E:$E,'9'!$A:$A,Año_Inicial+4,'9'!$B:$B,'12'!AR$4,'9'!$D:$D,"Aplicación de fertilizante")</f>
        <v>0</v>
      </c>
      <c r="AT17" s="101">
        <f>((A5_A_L21*Nutrición_A)+(A5_B_L21*Nutrición_B)+(A5_C_L21*Nutrición_C)+(A5_D_L21*Nutrición_D)+(A5_Y_L21*Nutrición_Y))*Inflación_5</f>
        <v>0</v>
      </c>
      <c r="AU17" s="101">
        <f>SUMIFS('9'!$E:$E,'9'!$A:$A,Año_Inicial+4,'9'!$B:$B,'12'!AT$4,'9'!$D:$D,"Aplicación de fertilizante")</f>
        <v>0</v>
      </c>
      <c r="AV17" s="101">
        <f>((A5_A_L22*Nutrición_A)+(A5_B_L22*Nutrición_B)+(A5_C_L22*Nutrición_C)+(A5_D_L22*Nutrición_D)+(A5_Y_L22*Nutrición_Y))*Inflación_5</f>
        <v>0</v>
      </c>
      <c r="AW17" s="101">
        <f>SUMIFS('9'!$E:$E,'9'!$A:$A,Año_Inicial+4,'9'!$B:$B,'12'!AV$4,'9'!$D:$D,"Aplicación de fertilizante")</f>
        <v>0</v>
      </c>
      <c r="AX17" s="101">
        <f>((A5_A_L23*Nutrición_A)+(A5_B_L23*Nutrición_B)+(A5_C_L23*Nutrición_C)+(A5_D_L23*Nutrición_D)+(A5_Y_L23*Nutrición_Y))*Inflación_5</f>
        <v>0</v>
      </c>
      <c r="AY17" s="101">
        <f>SUMIFS('9'!$E:$E,'9'!$A:$A,Año_Inicial+4,'9'!$B:$B,'12'!AX$4,'9'!$D:$D,"Aplicación de fertilizante")</f>
        <v>0</v>
      </c>
      <c r="AZ17" s="101">
        <f>((A5_A_L24*Nutrición_A)+(A5_B_L24*Nutrición_B)+(A5_C_L24*Nutrición_C)+(A5_D_L24*Nutrición_D)+(A5_Y_L24*Nutrición_Y))*Inflación_5</f>
        <v>0</v>
      </c>
      <c r="BA17" s="101">
        <f>SUMIFS('9'!$E:$E,'9'!$A:$A,Año_Inicial+4,'9'!$B:$B,'12'!AZ$4,'9'!$D:$D,"Aplicación de fertilizante")</f>
        <v>0</v>
      </c>
      <c r="BB17" s="101">
        <f>((A5_A_L25*Nutrición_A)+(A5_B_L25*Nutrición_B)+(A5_C_L25*Nutrición_C)+(A5_D_L25*Nutrición_D)+(A5_Y_L25*Nutrición_Y))*Inflación_5</f>
        <v>0</v>
      </c>
      <c r="BC17" s="101">
        <f>SUMIFS('9'!$E:$E,'9'!$A:$A,Año_Inicial+4,'9'!$B:$B,'12'!BB$4,'9'!$D:$D,"Aplicación de fertilizante")</f>
        <v>0</v>
      </c>
      <c r="BD17" s="101">
        <f>((A5_A_L26*Nutrición_A)+(A5_B_L26*Nutrición_B)+(A5_C_L26*Nutrición_C)+(A5_D_L26*Nutrición_D)+(A5_Y_L26*Nutrición_Y))*Inflación_5</f>
        <v>0</v>
      </c>
      <c r="BE17" s="101">
        <f>SUMIFS('9'!$E:$E,'9'!$A:$A,Año_Inicial+4,'9'!$B:$B,'12'!BD$4,'9'!$D:$D,"Aplicación de fertilizante")</f>
        <v>0</v>
      </c>
      <c r="BF17" s="101">
        <f>((A5_A_L27*Nutrición_A)+(A5_B_L27*Nutrición_B)+(A5_C_L27*Nutrición_C)+(A5_D_L27*Nutrición_D)+(A5_Y_L27*Nutrición_Y))*Inflación_5</f>
        <v>0</v>
      </c>
      <c r="BG17" s="101">
        <f>SUMIFS('9'!$E:$E,'9'!$A:$A,Año_Inicial+4,'9'!$B:$B,'12'!BF$4,'9'!$D:$D,"Aplicación de fertilizante")</f>
        <v>0</v>
      </c>
      <c r="BH17" s="101">
        <f>((A5_A_L28*Nutrición_A)+(A5_B_L28*Nutrición_B)+(A5_C_L28*Nutrición_C)+(A5_D_L28*Nutrición_D)+(A5_Y_L28*Nutrición_Y))*Inflación_5</f>
        <v>0</v>
      </c>
      <c r="BI17" s="101">
        <f>SUMIFS('9'!$E:$E,'9'!$A:$A,Año_Inicial+4,'9'!$B:$B,'12'!BH$4,'9'!$D:$D,"Aplicación de fertilizante")</f>
        <v>0</v>
      </c>
      <c r="BJ17" s="101">
        <f>((A5_A_L29*Nutrición_A)+(A5_B_L29*Nutrición_B)+(A5_C_L29*Nutrición_C)+(A5_D_L29*Nutrición_D)+(A5_Y_L29*Nutrición_Y))*Inflación_5</f>
        <v>0</v>
      </c>
      <c r="BK17" s="101">
        <f>SUMIFS('9'!$E:$E,'9'!$A:$A,Año_Inicial+4,'9'!$B:$B,'12'!BJ$4,'9'!$D:$D,"Aplicación de fertilizante")</f>
        <v>0</v>
      </c>
      <c r="BL17" s="101">
        <f>((A5_A_L30*Nutrición_A)+(A5_B_L30*Nutrición_B)+(A5_C_L30*Nutrición_C)+(A5_D_L30*Nutrición_D)+(A5_Y_L30*Nutrición_Y))*Inflación_5</f>
        <v>0</v>
      </c>
      <c r="BM17" s="101">
        <f>SUMIFS('9'!$E:$E,'9'!$A:$A,Año_Inicial+4,'9'!$B:$B,'12'!BL$4,'9'!$D:$D,"Aplicación de fertilizante")</f>
        <v>0</v>
      </c>
      <c r="BN17" s="101">
        <f>((A5_A_L31*Nutrición_A)+(A5_B_L31*Nutrición_B)+(A5_C_L31*Nutrición_C)+(A5_D_L31*Nutrición_D)+(A5_Y_L31*Nutrición_Y))*Inflación_5</f>
        <v>0</v>
      </c>
      <c r="BO17" s="101">
        <f>SUMIFS('9'!$E:$E,'9'!$A:$A,Año_Inicial+4,'9'!$B:$B,'12'!BN$4,'9'!$D:$D,"Aplicación de fertilizante")</f>
        <v>0</v>
      </c>
      <c r="BP17" s="101">
        <f>((A5_A_L32*Nutrición_A)+(A5_B_L32*Nutrición_B)+(A5_C_L32*Nutrición_C)+(A5_D_L32*Nutrición_D)+(A5_Y_L32*Nutrición_Y))*Inflación_5</f>
        <v>0</v>
      </c>
      <c r="BQ17" s="101">
        <f>SUMIFS('9'!$E:$E,'9'!$A:$A,Año_Inicial+4,'9'!$B:$B,'12'!BP$4,'9'!$D:$D,"Aplicación de fertilizante")</f>
        <v>0</v>
      </c>
      <c r="BR17" s="101">
        <f>((A5_A_L33*Nutrición_A)+(A5_B_L33*Nutrición_B)+(A5_C_L33*Nutrición_C)+(A5_D_L33*Nutrición_D)+(A5_Y_L33*Nutrición_Y))*Inflación_5</f>
        <v>0</v>
      </c>
      <c r="BS17" s="101">
        <f>SUMIFS('9'!$E:$E,'9'!$A:$A,Año_Inicial+4,'9'!$B:$B,'12'!BR$4,'9'!$D:$D,"Aplicación de fertilizante")</f>
        <v>0</v>
      </c>
      <c r="BT17" s="101">
        <f>((A5_A_L34*Nutrición_A)+(A5_B_L34*Nutrición_B)+(A5_C_L34*Nutrición_C)+(A5_D_L34*Nutrición_D)+(A5_Y_L34*Nutrición_Y))*Inflación_5</f>
        <v>0</v>
      </c>
      <c r="BU17" s="101">
        <f>SUMIFS('9'!$E:$E,'9'!$A:$A,Año_Inicial+4,'9'!$B:$B,'12'!BT$4,'9'!$D:$D,"Aplicación de fertilizante")</f>
        <v>0</v>
      </c>
      <c r="BV17" s="101">
        <f>((A5_A_L35*Nutrición_A)+(A5_B_L35*Nutrición_B)+(A5_C_L35*Nutrición_C)+(A5_D_L35*Nutrición_D)+(A5_Y_L35*Nutrición_Y))*Inflación_5</f>
        <v>0</v>
      </c>
      <c r="BW17" s="101">
        <f>SUMIFS('9'!$E:$E,'9'!$A:$A,Año_Inicial+4,'9'!$B:$B,'12'!BV$4,'9'!$D:$D,"Aplicación de fertilizante")</f>
        <v>0</v>
      </c>
      <c r="BX17" s="101">
        <f>((A5_A_L36*Nutrición_A)+(A5_B_L36*Nutrición_B)+(A5_C_L36*Nutrición_C)+(A5_D_L36*Nutrición_D)+(A5_Y_L36*Nutrición_Y))*Inflación_5</f>
        <v>0</v>
      </c>
      <c r="BY17" s="101">
        <f>SUMIFS('9'!$E:$E,'9'!$A:$A,Año_Inicial+4,'9'!$B:$B,'12'!BX$4,'9'!$D:$D,"Aplicación de fertilizante")</f>
        <v>0</v>
      </c>
      <c r="BZ17" s="101">
        <f>((A5_A_L37*Nutrición_A)+(A5_B_L37*Nutrición_B)+(A5_C_L37*Nutrición_C)+(A5_D_L37*Nutrición_D)+(A5_Y_L37*Nutrición_Y))*Inflación_5</f>
        <v>0</v>
      </c>
      <c r="CA17" s="101">
        <f>SUMIFS('9'!$E:$E,'9'!$A:$A,Año_Inicial+4,'9'!$B:$B,'12'!BZ$4,'9'!$D:$D,"Aplicación de fertilizante")</f>
        <v>0</v>
      </c>
      <c r="CB17" s="101">
        <f>((A5_A_L38*Nutrición_A)+(A5_B_L38*Nutrición_B)+(A5_C_L38*Nutrición_C)+(A5_D_L38*Nutrición_D)+(A5_Y_L38*Nutrición_Y))*Inflación_5</f>
        <v>0</v>
      </c>
      <c r="CC17" s="101">
        <f>SUMIFS('9'!$E:$E,'9'!$A:$A,Año_Inicial+4,'9'!$B:$B,'12'!CB$4,'9'!$D:$D,"Aplicación de fertilizante")</f>
        <v>0</v>
      </c>
      <c r="CD17" s="101">
        <f>((A5_A_L39*Nutrición_A)+(A5_B_L39*Nutrición_B)+(A5_C_L39*Nutrición_C)+(A5_D_L39*Nutrición_D)+(A5_Y_L39*Nutrición_Y))*Inflación_5</f>
        <v>0</v>
      </c>
      <c r="CE17" s="101">
        <f>SUMIFS('9'!$E:$E,'9'!$A:$A,Año_Inicial+4,'9'!$B:$B,'12'!CD$4,'9'!$D:$D,"Aplicación de fertilizante")</f>
        <v>0</v>
      </c>
      <c r="CF17" s="101">
        <f>((A5_A_L40*Nutrición_A)+(A5_B_L40*Nutrición_B)+(A5_C_L40*Nutrición_C)+(A5_D_L40*Nutrición_D)+(A5_Y_L40*Nutrición_Y))*Inflación_5</f>
        <v>0</v>
      </c>
      <c r="CG17" s="101">
        <f>SUMIFS('9'!$E:$E,'9'!$A:$A,Año_Inicial+4,'9'!$B:$B,'12'!CF$4,'9'!$D:$D,"Aplicación de fertilizante")</f>
        <v>0</v>
      </c>
      <c r="CH17" s="473"/>
      <c r="CI17" s="101">
        <f>Plantas_A_A5*Nutrición_A*Inflación_5</f>
        <v>0</v>
      </c>
      <c r="CJ17" s="101">
        <f>Plantas_B_A5*Nutrición_B</f>
        <v>0</v>
      </c>
      <c r="CK17" s="101">
        <f>Plantas_C_A5*Nutrición_C</f>
        <v>0</v>
      </c>
      <c r="CL17" s="101">
        <f>Plantas_D_A5*Nutrición_D</f>
        <v>0</v>
      </c>
      <c r="CM17" s="101"/>
      <c r="CN17" s="101">
        <f>Plantas_Y_A5*Nutrición_Y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SUMIFS('9'!$E:$E,'9'!$A:$A,Año_Inicial+4,'9'!$D:$D,"Aplicación de enmiendas")</f>
        <v>0</v>
      </c>
      <c r="D18" s="100">
        <f t="shared" si="45"/>
        <v>0</v>
      </c>
      <c r="E18" s="473"/>
      <c r="F18" s="101">
        <f>((A5_A_L1*Enmienda_A)+(A5_B_L1*Enmienda_B)+(A5_C_L1*Enmienda_C)+(A5_D_L1*Enmienda_D)+(A5_Y_L1*Enmienda_Y))*Inflación_5</f>
        <v>0</v>
      </c>
      <c r="G18" s="101">
        <f>SUMIFS('9'!$E:$E,'9'!$A:$A,Año_Inicial+4,'9'!$B:$B,'12'!F$4,'9'!$D:$D,"Aplicación de enmiendas")</f>
        <v>0</v>
      </c>
      <c r="H18" s="101">
        <f>((A5_A_L2*Enmienda_A)+(A5_B_L2*Enmienda_B)+(A5_C_L2*Enmienda_C)+(A5_D_L2*Enmienda_D)+(A5_Y_L2*Enmienda_Y))*Inflación_5</f>
        <v>0</v>
      </c>
      <c r="I18" s="101">
        <f>SUMIFS('9'!$E:$E,'9'!$A:$A,Año_Inicial+4,'9'!$B:$B,'12'!H$4,'9'!$D:$D,"Aplicación de enmiendas")</f>
        <v>0</v>
      </c>
      <c r="J18" s="101">
        <f>((A5_A_L3*Enmienda_A)+(A5_B_L3*Enmienda_B)+(A5_C_L3*Enmienda_C)+(A5_D_L3*Enmienda_D)+(A5_Y_L3*Enmienda_Y))*Inflación_5</f>
        <v>0</v>
      </c>
      <c r="K18" s="101">
        <f>SUMIFS('9'!$E:$E,'9'!$A:$A,Año_Inicial+4,'9'!$B:$B,'12'!J$4,'9'!$D:$D,"Aplicación de enmiendas")</f>
        <v>0</v>
      </c>
      <c r="L18" s="101">
        <f>((A5_A_L4*Enmienda_A)+(A5_B_L4*Enmienda_B)+(A5_C_L4*Enmienda_C)+(A5_D_L4*Enmienda_D)+(A5_Y_L4*Enmienda_Y))*Inflación_5</f>
        <v>0</v>
      </c>
      <c r="M18" s="101">
        <f>SUMIFS('9'!$E:$E,'9'!$A:$A,Año_Inicial+4,'9'!$B:$B,'12'!L$4,'9'!$D:$D,"Aplicación de enmiendas")</f>
        <v>0</v>
      </c>
      <c r="N18" s="101">
        <f>((A5_A_L5*Enmienda_A)+(A5_B_L5*Enmienda_B)+(A5_C_L5*Enmienda_C)+(A5_D_L5*Enmienda_D)+(A5_Y_L5*Enmienda_Y))*Inflación_5</f>
        <v>0</v>
      </c>
      <c r="O18" s="101">
        <f>SUMIFS('9'!$E:$E,'9'!$A:$A,Año_Inicial+4,'9'!$B:$B,'12'!N$4,'9'!$D:$D,"Aplicación de enmiendas")</f>
        <v>0</v>
      </c>
      <c r="P18" s="101">
        <f>((A5_A_L6*Enmienda_A)+(A5_B_L6*Enmienda_B)+(A5_C_L6*Enmienda_C)+(A5_D_L6*Enmienda_D)+(A5_Y_L6*Enmienda_Y))*Inflación_5</f>
        <v>0</v>
      </c>
      <c r="Q18" s="101">
        <f>SUMIFS('9'!$E:$E,'9'!$A:$A,Año_Inicial+4,'9'!$B:$B,'12'!P$4,'9'!$D:$D,"Aplicación de enmiendas")</f>
        <v>0</v>
      </c>
      <c r="R18" s="101">
        <f>((A5_A_L7*Enmienda_A)+(A5_B_L7*Enmienda_B)+(A5_C_L7*Enmienda_C)+(A5_D_L7*Enmienda_D)+(A5_Y_L7*Enmienda_Y))*Inflación_5</f>
        <v>0</v>
      </c>
      <c r="S18" s="101">
        <f>SUMIFS('9'!$E:$E,'9'!$A:$A,Año_Inicial+4,'9'!$B:$B,'12'!R$4,'9'!$D:$D,"Aplicación de enmiendas")</f>
        <v>0</v>
      </c>
      <c r="T18" s="101">
        <f>((A5_A_L8*Enmienda_A)+(A5_B_L8*Enmienda_B)+(A5_C_L8*Enmienda_C)+(A5_D_L8*Enmienda_D)+(A5_Y_L8*Enmienda_Y))*Inflación_5</f>
        <v>0</v>
      </c>
      <c r="U18" s="101">
        <f>SUMIFS('9'!$E:$E,'9'!$A:$A,Año_Inicial+4,'9'!$B:$B,'12'!T$4,'9'!$D:$D,"Aplicación de enmiendas")</f>
        <v>0</v>
      </c>
      <c r="V18" s="101">
        <f>((A5_A_L9*Enmienda_A)+(A5_B_L9*Enmienda_B)+(A5_C_L9*Enmienda_C)+(A5_D_L9*Enmienda_D)+(A5_Y_L9*Enmienda_Y))*Inflación_5</f>
        <v>0</v>
      </c>
      <c r="W18" s="101">
        <f>SUMIFS('9'!$E:$E,'9'!$A:$A,Año_Inicial+4,'9'!$B:$B,'12'!V$4,'9'!$D:$D,"Aplicación de enmiendas")</f>
        <v>0</v>
      </c>
      <c r="X18" s="101">
        <f>((A5_A_L10*Enmienda_A)+(A5_B_L10*Enmienda_B)+(A5_C_L10*Enmienda_C)+(A5_D_L10*Enmienda_D)+(A5_Y_L10*Enmienda_Y))*Inflación_5</f>
        <v>0</v>
      </c>
      <c r="Y18" s="101">
        <f>SUMIFS('9'!$E:$E,'9'!$A:$A,Año_Inicial+4,'9'!$B:$B,'12'!X$4,'9'!$D:$D,"Aplicación de enmiendas")</f>
        <v>0</v>
      </c>
      <c r="Z18" s="101">
        <f>((A5_A_L11*Enmienda_A)+(A5_B_L11*Enmienda_B)+(A5_C_L11*Enmienda_C)+(A5_D_L11*Enmienda_D)+(A5_Y_L11*Enmienda_Y))*Inflación_5</f>
        <v>0</v>
      </c>
      <c r="AA18" s="101">
        <f>SUMIFS('9'!$E:$E,'9'!$A:$A,Año_Inicial+4,'9'!$B:$B,'12'!Z$4,'9'!$D:$D,"Aplicación de enmiendas")</f>
        <v>0</v>
      </c>
      <c r="AB18" s="101">
        <f>((A5_A_L12*Enmienda_A)+(A5_B_L12*Enmienda_B)+(A5_C_L12*Enmienda_C)+(A5_D_L12*Enmienda_D)+(A5_Y_L12*Enmienda_Y))*Inflación_5</f>
        <v>0</v>
      </c>
      <c r="AC18" s="101">
        <f>SUMIFS('9'!$E:$E,'9'!$A:$A,Año_Inicial+4,'9'!$B:$B,'12'!AB$4,'9'!$D:$D,"Aplicación de enmiendas")</f>
        <v>0</v>
      </c>
      <c r="AD18" s="101">
        <f>((A5_A_L13*Enmienda_A)+(A5_B_L13*Enmienda_B)+(A5_C_L13*Enmienda_C)+(A5_D_L13*Enmienda_D)+(A5_Y_L13*Enmienda_Y))*Inflación_5</f>
        <v>0</v>
      </c>
      <c r="AE18" s="101">
        <f>SUMIFS('9'!$E:$E,'9'!$A:$A,Año_Inicial+4,'9'!$B:$B,'12'!AD$4,'9'!$D:$D,"Aplicación de enmiendas")</f>
        <v>0</v>
      </c>
      <c r="AF18" s="101">
        <f>((A5_A_L14*Enmienda_A)+(A5_B_L14*Enmienda_B)+(A5_C_L14*Enmienda_C)+(A5_D_L14*Enmienda_D)+(A5_Y_L14*Enmienda_Y))*Inflación_5</f>
        <v>0</v>
      </c>
      <c r="AG18" s="101">
        <f>SUMIFS('9'!$E:$E,'9'!$A:$A,Año_Inicial+4,'9'!$B:$B,'12'!AF$4,'9'!$D:$D,"Aplicación de enmiendas")</f>
        <v>0</v>
      </c>
      <c r="AH18" s="101">
        <f>((A5_A_L15*Enmienda_A)+(A5_B_L15*Enmienda_B)+(A5_C_L15*Enmienda_C)+(A5_D_L15*Enmienda_D)+(A5_Y_L15*Enmienda_Y))*Inflación_5</f>
        <v>0</v>
      </c>
      <c r="AI18" s="101">
        <f>SUMIFS('9'!$E:$E,'9'!$A:$A,Año_Inicial+4,'9'!$B:$B,'12'!AH$4,'9'!$D:$D,"Aplicación de enmiendas")</f>
        <v>0</v>
      </c>
      <c r="AJ18" s="101">
        <f>((A5_A_L16*Enmienda_A)+(A5_B_L16*Enmienda_B)+(A5_C_L16*Enmienda_C)+(A5_D_L16*Enmienda_D)+(A5_Y_L16*Enmienda_Y))*Inflación_5</f>
        <v>0</v>
      </c>
      <c r="AK18" s="101">
        <f>SUMIFS('9'!$E:$E,'9'!$A:$A,Año_Inicial+4,'9'!$B:$B,'12'!AJ$4,'9'!$D:$D,"Aplicación de enmiendas")</f>
        <v>0</v>
      </c>
      <c r="AL18" s="101">
        <f>((A5_A_L17*Enmienda_A)+(A5_B_L17*Enmienda_B)+(A5_C_L17*Enmienda_C)+(A5_D_L17*Enmienda_D)+(A5_Y_L17*Enmienda_Y))*Inflación_5</f>
        <v>0</v>
      </c>
      <c r="AM18" s="101">
        <f>SUMIFS('9'!$E:$E,'9'!$A:$A,Año_Inicial+4,'9'!$B:$B,'12'!AL$4,'9'!$D:$D,"Aplicación de enmiendas")</f>
        <v>0</v>
      </c>
      <c r="AN18" s="101">
        <f>((A5_A_L18*Enmienda_A)+(A5_B_L18*Enmienda_B)+(A5_C_L18*Enmienda_C)+(A5_D_L18*Enmienda_D)+(A5_Y_L18*Enmienda_Y))*Inflación_5</f>
        <v>0</v>
      </c>
      <c r="AO18" s="101">
        <f>SUMIFS('9'!$E:$E,'9'!$A:$A,Año_Inicial+4,'9'!$B:$B,'12'!AN$4,'9'!$D:$D,"Aplicación de enmiendas")</f>
        <v>0</v>
      </c>
      <c r="AP18" s="101">
        <f>((A5_A_L19*Enmienda_A)+(A5_B_L19*Enmienda_B)+(A5_C_L19*Enmienda_C)+(A5_D_L19*Enmienda_D)+(A5_Y_L19*Enmienda_Y))*Inflación_5</f>
        <v>0</v>
      </c>
      <c r="AQ18" s="101">
        <f>SUMIFS('9'!$E:$E,'9'!$A:$A,Año_Inicial+4,'9'!$B:$B,'12'!AP$4,'9'!$D:$D,"Aplicación de enmiendas")</f>
        <v>0</v>
      </c>
      <c r="AR18" s="101">
        <f>((A5_A_L20*Enmienda_A)+(A5_B_L20*Enmienda_B)+(A5_C_L20*Enmienda_C)+(A5_D_L20*Enmienda_D)+(A5_Y_L20*Enmienda_Y))*Inflación_5</f>
        <v>0</v>
      </c>
      <c r="AS18" s="101">
        <f>SUMIFS('9'!$E:$E,'9'!$A:$A,Año_Inicial+4,'9'!$B:$B,'12'!AR$4,'9'!$D:$D,"Aplicación de enmiendas")</f>
        <v>0</v>
      </c>
      <c r="AT18" s="101">
        <f>((A5_A_L21*Enmienda_A)+(A5_B_L21*Enmienda_B)+(A5_C_L21*Enmienda_C)+(A5_D_L21*Enmienda_D)+(A5_Y_L21*Enmienda_Y))*Inflación_5</f>
        <v>0</v>
      </c>
      <c r="AU18" s="101">
        <f>SUMIFS('9'!$E:$E,'9'!$A:$A,Año_Inicial+4,'9'!$B:$B,'12'!AT$4,'9'!$D:$D,"Aplicación de enmiendas")</f>
        <v>0</v>
      </c>
      <c r="AV18" s="101">
        <f>((A5_A_L22*Enmienda_A)+(A5_B_L22*Enmienda_B)+(A5_C_L22*Enmienda_C)+(A5_D_L22*Enmienda_D)+(A5_Y_L22*Enmienda_Y))*Inflación_5</f>
        <v>0</v>
      </c>
      <c r="AW18" s="101">
        <f>SUMIFS('9'!$E:$E,'9'!$A:$A,Año_Inicial+4,'9'!$B:$B,'12'!AV$4,'9'!$D:$D,"Aplicación de enmiendas")</f>
        <v>0</v>
      </c>
      <c r="AX18" s="101">
        <f>((A5_A_L23*Enmienda_A)+(A5_B_L23*Enmienda_B)+(A5_C_L23*Enmienda_C)+(A5_D_L23*Enmienda_D)+(A5_Y_L23*Enmienda_Y))*Inflación_5</f>
        <v>0</v>
      </c>
      <c r="AY18" s="101">
        <f>SUMIFS('9'!$E:$E,'9'!$A:$A,Año_Inicial+4,'9'!$B:$B,'12'!AX$4,'9'!$D:$D,"Aplicación de enmiendas")</f>
        <v>0</v>
      </c>
      <c r="AZ18" s="101">
        <f>((A5_A_L24*Enmienda_A)+(A5_B_L24*Enmienda_B)+(A5_C_L24*Enmienda_C)+(A5_D_L24*Enmienda_D)+(A5_Y_L24*Enmienda_Y))*Inflación_5</f>
        <v>0</v>
      </c>
      <c r="BA18" s="101">
        <f>SUMIFS('9'!$E:$E,'9'!$A:$A,Año_Inicial+4,'9'!$B:$B,'12'!AZ$4,'9'!$D:$D,"Aplicación de enmiendas")</f>
        <v>0</v>
      </c>
      <c r="BB18" s="101">
        <f>((A5_A_L25*Enmienda_A)+(A5_B_L25*Enmienda_B)+(A5_C_L25*Enmienda_C)+(A5_D_L25*Enmienda_D)+(A5_Y_L25*Enmienda_Y))*Inflación_5</f>
        <v>0</v>
      </c>
      <c r="BC18" s="101">
        <f>SUMIFS('9'!$E:$E,'9'!$A:$A,Año_Inicial+4,'9'!$B:$B,'12'!BB$4,'9'!$D:$D,"Aplicación de enmiendas")</f>
        <v>0</v>
      </c>
      <c r="BD18" s="101">
        <f>((A5_A_L26*Enmienda_A)+(A5_B_L26*Enmienda_B)+(A5_C_L26*Enmienda_C)+(A5_D_L26*Enmienda_D)+(A5_Y_L26*Enmienda_Y))*Inflación_5</f>
        <v>0</v>
      </c>
      <c r="BE18" s="101">
        <f>SUMIFS('9'!$E:$E,'9'!$A:$A,Año_Inicial+4,'9'!$B:$B,'12'!BD$4,'9'!$D:$D,"Aplicación de enmiendas")</f>
        <v>0</v>
      </c>
      <c r="BF18" s="101">
        <f>((A5_A_L27*Enmienda_A)+(A5_B_L27*Enmienda_B)+(A5_C_L27*Enmienda_C)+(A5_D_L27*Enmienda_D)+(A5_Y_L27*Enmienda_Y))*Inflación_5</f>
        <v>0</v>
      </c>
      <c r="BG18" s="101">
        <f>SUMIFS('9'!$E:$E,'9'!$A:$A,Año_Inicial+4,'9'!$B:$B,'12'!BF$4,'9'!$D:$D,"Aplicación de enmiendas")</f>
        <v>0</v>
      </c>
      <c r="BH18" s="101">
        <f>((A5_A_L28*Enmienda_A)+(A5_B_L28*Enmienda_B)+(A5_C_L28*Enmienda_C)+(A5_D_L28*Enmienda_D)+(A5_Y_L28*Enmienda_Y))*Inflación_5</f>
        <v>0</v>
      </c>
      <c r="BI18" s="101">
        <f>SUMIFS('9'!$E:$E,'9'!$A:$A,Año_Inicial+4,'9'!$B:$B,'12'!BH$4,'9'!$D:$D,"Aplicación de enmiendas")</f>
        <v>0</v>
      </c>
      <c r="BJ18" s="101">
        <f>((A5_A_L29*Enmienda_A)+(A5_B_L29*Enmienda_B)+(A5_C_L29*Enmienda_C)+(A5_D_L29*Enmienda_D)+(A5_Y_L29*Enmienda_Y))*Inflación_5</f>
        <v>0</v>
      </c>
      <c r="BK18" s="101">
        <f>SUMIFS('9'!$E:$E,'9'!$A:$A,Año_Inicial+4,'9'!$B:$B,'12'!BJ$4,'9'!$D:$D,"Aplicación de enmiendas")</f>
        <v>0</v>
      </c>
      <c r="BL18" s="101">
        <f>((A5_A_L30*Enmienda_A)+(A5_B_L30*Enmienda_B)+(A5_C_L30*Enmienda_C)+(A5_D_L30*Enmienda_D)+(A5_Y_L30*Enmienda_Y))*Inflación_5</f>
        <v>0</v>
      </c>
      <c r="BM18" s="101">
        <f>SUMIFS('9'!$E:$E,'9'!$A:$A,Año_Inicial+4,'9'!$B:$B,'12'!BL$4,'9'!$D:$D,"Aplicación de enmiendas")</f>
        <v>0</v>
      </c>
      <c r="BN18" s="101">
        <f>((A5_A_L31*Enmienda_A)+(A5_B_L31*Enmienda_B)+(A5_C_L31*Enmienda_C)+(A5_D_L31*Enmienda_D)+(A5_Y_L31*Enmienda_Y))*Inflación_5</f>
        <v>0</v>
      </c>
      <c r="BO18" s="101">
        <f>SUMIFS('9'!$E:$E,'9'!$A:$A,Año_Inicial+4,'9'!$B:$B,'12'!BN$4,'9'!$D:$D,"Aplicación de enmiendas")</f>
        <v>0</v>
      </c>
      <c r="BP18" s="101">
        <f>((A5_A_L32*Enmienda_A)+(A5_B_L32*Enmienda_B)+(A5_C_L32*Enmienda_C)+(A5_D_L32*Enmienda_D)+(A5_Y_L32*Enmienda_Y))*Inflación_5</f>
        <v>0</v>
      </c>
      <c r="BQ18" s="101">
        <f>SUMIFS('9'!$E:$E,'9'!$A:$A,Año_Inicial+4,'9'!$B:$B,'12'!BP$4,'9'!$D:$D,"Aplicación de enmiendas")</f>
        <v>0</v>
      </c>
      <c r="BR18" s="101">
        <f>((A5_A_L33*Enmienda_A)+(A5_B_L33*Enmienda_B)+(A5_C_L33*Enmienda_C)+(A5_D_L33*Enmienda_D)+(A5_Y_L33*Enmienda_Y))*Inflación_5</f>
        <v>0</v>
      </c>
      <c r="BS18" s="101">
        <f>SUMIFS('9'!$E:$E,'9'!$A:$A,Año_Inicial+4,'9'!$B:$B,'12'!BR$4,'9'!$D:$D,"Aplicación de enmiendas")</f>
        <v>0</v>
      </c>
      <c r="BT18" s="101">
        <f>((A5_A_L34*Enmienda_A)+(A5_B_L34*Enmienda_B)+(A5_C_L34*Enmienda_C)+(A5_D_L34*Enmienda_D)+(A5_Y_L34*Enmienda_Y))*Inflación_5</f>
        <v>0</v>
      </c>
      <c r="BU18" s="101">
        <f>SUMIFS('9'!$E:$E,'9'!$A:$A,Año_Inicial+4,'9'!$B:$B,'12'!BT$4,'9'!$D:$D,"Aplicación de enmiendas")</f>
        <v>0</v>
      </c>
      <c r="BV18" s="101">
        <f>((A5_A_L35*Enmienda_A)+(A5_B_L35*Enmienda_B)+(A5_C_L35*Enmienda_C)+(A5_D_L35*Enmienda_D)+(A5_Y_L35*Enmienda_Y))*Inflación_5</f>
        <v>0</v>
      </c>
      <c r="BW18" s="101">
        <f>SUMIFS('9'!$E:$E,'9'!$A:$A,Año_Inicial+4,'9'!$B:$B,'12'!BV$4,'9'!$D:$D,"Aplicación de enmiendas")</f>
        <v>0</v>
      </c>
      <c r="BX18" s="101">
        <f>((A5_A_L36*Enmienda_A)+(A5_B_L36*Enmienda_B)+(A5_C_L36*Enmienda_C)+(A5_D_L36*Enmienda_D)+(A5_Y_L36*Enmienda_Y))*Inflación_5</f>
        <v>0</v>
      </c>
      <c r="BY18" s="101">
        <f>SUMIFS('9'!$E:$E,'9'!$A:$A,Año_Inicial+4,'9'!$B:$B,'12'!BX$4,'9'!$D:$D,"Aplicación de enmiendas")</f>
        <v>0</v>
      </c>
      <c r="BZ18" s="101">
        <f>((A5_A_L37*Enmienda_A)+(A5_B_L37*Enmienda_B)+(A5_C_L37*Enmienda_C)+(A5_D_L37*Enmienda_D)+(A5_Y_L37*Enmienda_Y))*Inflación_5</f>
        <v>0</v>
      </c>
      <c r="CA18" s="101">
        <f>SUMIFS('9'!$E:$E,'9'!$A:$A,Año_Inicial+4,'9'!$B:$B,'12'!BZ$4,'9'!$D:$D,"Aplicación de enmiendas")</f>
        <v>0</v>
      </c>
      <c r="CB18" s="101">
        <f>((A5_A_L38*Enmienda_A)+(A5_B_L38*Enmienda_B)+(A5_C_L38*Enmienda_C)+(A5_D_L38*Enmienda_D)+(A5_Y_L38*Enmienda_Y))*Inflación_5</f>
        <v>0</v>
      </c>
      <c r="CC18" s="101">
        <f>SUMIFS('9'!$E:$E,'9'!$A:$A,Año_Inicial+4,'9'!$B:$B,'12'!CB$4,'9'!$D:$D,"Aplicación de enmiendas")</f>
        <v>0</v>
      </c>
      <c r="CD18" s="101">
        <f>((A5_A_L39*Enmienda_A)+(A5_B_L39*Enmienda_B)+(A5_C_L39*Enmienda_C)+(A5_D_L39*Enmienda_D)+(A5_Y_L39*Enmienda_Y))*Inflación_5</f>
        <v>0</v>
      </c>
      <c r="CE18" s="101">
        <f>SUMIFS('9'!$E:$E,'9'!$A:$A,Año_Inicial+4,'9'!$B:$B,'12'!CD$4,'9'!$D:$D,"Aplicación de enmiendas")</f>
        <v>0</v>
      </c>
      <c r="CF18" s="101">
        <f>((A5_A_L40*Enmienda_A)+(A5_B_L40*Enmienda_B)+(A5_C_L40*Enmienda_C)+(A5_D_L40*Enmienda_D)+(A5_Y_L40*Enmienda_Y))*Inflación_5</f>
        <v>0</v>
      </c>
      <c r="CG18" s="101">
        <f>SUMIFS('9'!$E:$E,'9'!$A:$A,Año_Inicial+4,'9'!$B:$B,'12'!CF$4,'9'!$D:$D,"Aplicación de enmiendas")</f>
        <v>0</v>
      </c>
      <c r="CH18" s="473"/>
      <c r="CI18" s="101">
        <f>Plantas_A_A5*Enmienda_A*Inflación_5</f>
        <v>0</v>
      </c>
      <c r="CJ18" s="101">
        <f>Plantas_B_A5*Enmienda_B</f>
        <v>0</v>
      </c>
      <c r="CK18" s="101">
        <f>Plantas_C_A5*Enmienda_C</f>
        <v>0</v>
      </c>
      <c r="CL18" s="101">
        <f>Plantas_D_A5*Enmienda_D</f>
        <v>0</v>
      </c>
      <c r="CM18" s="101"/>
      <c r="CN18" s="101">
        <f>Plantas_Y_A5*Enmienda_Y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SUMIFS('9'!$E:$E,'9'!$A:$A,Año_Inicial+4,'9'!$D:$D,"Fertilizante químico")</f>
        <v>0</v>
      </c>
      <c r="D19" s="100">
        <f t="shared" si="45"/>
        <v>0</v>
      </c>
      <c r="E19" s="473"/>
      <c r="F19" s="101">
        <f>((A5_A_L1*Fertilizante_A)+(A5_B_L1*Fertilizante_B)+(A5_C_L1*Fertilizante_C)+(A5_D_L1*Fertilizante_D)+(A5_Y_L1*Fertilizante_Y))*Inflación_5</f>
        <v>0</v>
      </c>
      <c r="G19" s="101">
        <f>SUMIFS('9'!$E:$E,'9'!$A:$A,Año_Inicial+4,'9'!$B:$B,'12'!F$4,'9'!$D:$D,"Fertilizante químico")</f>
        <v>0</v>
      </c>
      <c r="H19" s="101">
        <f>((A5_A_L2*Fertilizante_A)+(A5_B_L2*Fertilizante_B)+(A5_C_L2*Fertilizante_C)+(A5_D_L2*Fertilizante_D)+(A5_Y_L2*Fertilizante_Y))*Inflación_5</f>
        <v>0</v>
      </c>
      <c r="I19" s="101">
        <f>SUMIFS('9'!$E:$E,'9'!$A:$A,Año_Inicial+4,'9'!$B:$B,'12'!H$4,'9'!$D:$D,"Fertilizante químico")</f>
        <v>0</v>
      </c>
      <c r="J19" s="101">
        <f>((A5_A_L3*Fertilizante_A)+(A5_B_L3*Fertilizante_B)+(A5_C_L3*Fertilizante_C)+(A5_D_L3*Fertilizante_D)+(A5_Y_L3*Fertilizante_Y))*Inflación_5</f>
        <v>0</v>
      </c>
      <c r="K19" s="101">
        <f>SUMIFS('9'!$E:$E,'9'!$A:$A,Año_Inicial+4,'9'!$B:$B,'12'!J$4,'9'!$D:$D,"Fertilizante químico")</f>
        <v>0</v>
      </c>
      <c r="L19" s="101">
        <f>((A5_A_L4*Fertilizante_A)+(A5_B_L4*Fertilizante_B)+(A5_C_L4*Fertilizante_C)+(A5_D_L4*Fertilizante_D)+(A5_Y_L4*Fertilizante_Y))*Inflación_5</f>
        <v>0</v>
      </c>
      <c r="M19" s="101">
        <f>SUMIFS('9'!$E:$E,'9'!$A:$A,Año_Inicial+4,'9'!$B:$B,'12'!L$4,'9'!$D:$D,"Fertilizante químico")</f>
        <v>0</v>
      </c>
      <c r="N19" s="101">
        <f>((A5_A_L5*Fertilizante_A)+(A5_B_L5*Fertilizante_B)+(A5_C_L5*Fertilizante_C)+(A5_D_L5*Fertilizante_D)+(A5_Y_L5*Fertilizante_Y))*Inflación_5</f>
        <v>0</v>
      </c>
      <c r="O19" s="101">
        <f>SUMIFS('9'!$E:$E,'9'!$A:$A,Año_Inicial+4,'9'!$B:$B,'12'!N$4,'9'!$D:$D,"Fertilizante químico")</f>
        <v>0</v>
      </c>
      <c r="P19" s="101">
        <f>((A5_A_L6*Fertilizante_A)+(A5_B_L6*Fertilizante_B)+(A5_C_L6*Fertilizante_C)+(A5_D_L6*Fertilizante_D)+(A5_Y_L6*Fertilizante_Y))*Inflación_5</f>
        <v>0</v>
      </c>
      <c r="Q19" s="101">
        <f>SUMIFS('9'!$E:$E,'9'!$A:$A,Año_Inicial+4,'9'!$B:$B,'12'!P$4,'9'!$D:$D,"Fertilizante químico")</f>
        <v>0</v>
      </c>
      <c r="R19" s="101">
        <f>((A5_A_L7*Fertilizante_A)+(A5_B_L7*Fertilizante_B)+(A5_C_L7*Fertilizante_C)+(A5_D_L7*Fertilizante_D)+(A5_Y_L7*Fertilizante_Y))*Inflación_5</f>
        <v>0</v>
      </c>
      <c r="S19" s="101">
        <f>SUMIFS('9'!$E:$E,'9'!$A:$A,Año_Inicial+4,'9'!$B:$B,'12'!R$4,'9'!$D:$D,"Fertilizante químico")</f>
        <v>0</v>
      </c>
      <c r="T19" s="101">
        <f>((A5_A_L8*Fertilizante_A)+(A5_B_L8*Fertilizante_B)+(A5_C_L8*Fertilizante_C)+(A5_D_L8*Fertilizante_D)+(A5_Y_L8*Fertilizante_Y))*Inflación_5</f>
        <v>0</v>
      </c>
      <c r="U19" s="101">
        <f>SUMIFS('9'!$E:$E,'9'!$A:$A,Año_Inicial+4,'9'!$B:$B,'12'!T$4,'9'!$D:$D,"Fertilizante químico")</f>
        <v>0</v>
      </c>
      <c r="V19" s="101">
        <f>((A5_A_L9*Fertilizante_A)+(A5_B_L9*Fertilizante_B)+(A5_C_L9*Fertilizante_C)+(A5_D_L9*Fertilizante_D)+(A5_Y_L9*Fertilizante_Y))*Inflación_5</f>
        <v>0</v>
      </c>
      <c r="W19" s="101">
        <f>SUMIFS('9'!$E:$E,'9'!$A:$A,Año_Inicial+4,'9'!$B:$B,'12'!V$4,'9'!$D:$D,"Fertilizante químico")</f>
        <v>0</v>
      </c>
      <c r="X19" s="101">
        <f>((A5_A_L10*Fertilizante_A)+(A5_B_L10*Fertilizante_B)+(A5_C_L10*Fertilizante_C)+(A5_D_L10*Fertilizante_D)+(A5_Y_L10*Fertilizante_Y))*Inflación_5</f>
        <v>0</v>
      </c>
      <c r="Y19" s="101">
        <f>SUMIFS('9'!$E:$E,'9'!$A:$A,Año_Inicial+4,'9'!$B:$B,'12'!X$4,'9'!$D:$D,"Fertilizante químico")</f>
        <v>0</v>
      </c>
      <c r="Z19" s="101">
        <f>((A5_A_L11*Fertilizante_A)+(A5_B_L11*Fertilizante_B)+(A5_C_L11*Fertilizante_C)+(A5_D_L11*Fertilizante_D)+(A5_Y_L11*Fertilizante_Y))*Inflación_5</f>
        <v>0</v>
      </c>
      <c r="AA19" s="101">
        <f>SUMIFS('9'!$E:$E,'9'!$A:$A,Año_Inicial+4,'9'!$B:$B,'12'!Z$4,'9'!$D:$D,"Fertilizante químico")</f>
        <v>0</v>
      </c>
      <c r="AB19" s="101">
        <f>((A5_A_L12*Fertilizante_A)+(A5_B_L12*Fertilizante_B)+(A5_C_L12*Fertilizante_C)+(A5_D_L12*Fertilizante_D)+(A5_Y_L12*Fertilizante_Y))*Inflación_5</f>
        <v>0</v>
      </c>
      <c r="AC19" s="101">
        <f>SUMIFS('9'!$E:$E,'9'!$A:$A,Año_Inicial+4,'9'!$B:$B,'12'!AB$4,'9'!$D:$D,"Fertilizante químico")</f>
        <v>0</v>
      </c>
      <c r="AD19" s="101">
        <f>((A5_A_L13*Fertilizante_A)+(A5_B_L13*Fertilizante_B)+(A5_C_L13*Fertilizante_C)+(A5_D_L13*Fertilizante_D)+(A5_Y_L13*Fertilizante_Y))*Inflación_5</f>
        <v>0</v>
      </c>
      <c r="AE19" s="101">
        <f>SUMIFS('9'!$E:$E,'9'!$A:$A,Año_Inicial+4,'9'!$B:$B,'12'!AD$4,'9'!$D:$D,"Fertilizante químico")</f>
        <v>0</v>
      </c>
      <c r="AF19" s="101">
        <f>((A5_A_L14*Fertilizante_A)+(A5_B_L14*Fertilizante_B)+(A5_C_L14*Fertilizante_C)+(A5_D_L14*Fertilizante_D)+(A5_Y_L14*Fertilizante_Y))*Inflación_5</f>
        <v>0</v>
      </c>
      <c r="AG19" s="101">
        <f>SUMIFS('9'!$E:$E,'9'!$A:$A,Año_Inicial+4,'9'!$B:$B,'12'!AF$4,'9'!$D:$D,"Fertilizante químico")</f>
        <v>0</v>
      </c>
      <c r="AH19" s="101">
        <f>((A5_A_L15*Fertilizante_A)+(A5_B_L15*Fertilizante_B)+(A5_C_L15*Fertilizante_C)+(A5_D_L15*Fertilizante_D)+(A5_Y_L15*Fertilizante_Y))*Inflación_5</f>
        <v>0</v>
      </c>
      <c r="AI19" s="101">
        <f>SUMIFS('9'!$E:$E,'9'!$A:$A,Año_Inicial+4,'9'!$B:$B,'12'!AH$4,'9'!$D:$D,"Fertilizante químico")</f>
        <v>0</v>
      </c>
      <c r="AJ19" s="101">
        <f>((A5_A_L16*Fertilizante_A)+(A5_B_L16*Fertilizante_B)+(A5_C_L16*Fertilizante_C)+(A5_D_L16*Fertilizante_D)+(A5_Y_L16*Fertilizante_Y))*Inflación_5</f>
        <v>0</v>
      </c>
      <c r="AK19" s="101">
        <f>SUMIFS('9'!$E:$E,'9'!$A:$A,Año_Inicial+4,'9'!$B:$B,'12'!AJ$4,'9'!$D:$D,"Fertilizante químico")</f>
        <v>0</v>
      </c>
      <c r="AL19" s="101">
        <f>((A5_A_L17*Fertilizante_A)+(A5_B_L17*Fertilizante_B)+(A5_C_L17*Fertilizante_C)+(A5_D_L17*Fertilizante_D)+(A5_Y_L17*Fertilizante_Y))*Inflación_5</f>
        <v>0</v>
      </c>
      <c r="AM19" s="101">
        <f>SUMIFS('9'!$E:$E,'9'!$A:$A,Año_Inicial+4,'9'!$B:$B,'12'!AL$4,'9'!$D:$D,"Fertilizante químico")</f>
        <v>0</v>
      </c>
      <c r="AN19" s="101">
        <f>((A5_A_L18*Fertilizante_A)+(A5_B_L18*Fertilizante_B)+(A5_C_L18*Fertilizante_C)+(A5_D_L18*Fertilizante_D)+(A5_Y_L18*Fertilizante_Y))*Inflación_5</f>
        <v>0</v>
      </c>
      <c r="AO19" s="101">
        <f>SUMIFS('9'!$E:$E,'9'!$A:$A,Año_Inicial+4,'9'!$B:$B,'12'!AN$4,'9'!$D:$D,"Fertilizante químico")</f>
        <v>0</v>
      </c>
      <c r="AP19" s="101">
        <f>((A5_A_L19*Fertilizante_A)+(A5_B_L19*Fertilizante_B)+(A5_C_L19*Fertilizante_C)+(A5_D_L19*Fertilizante_D)+(A5_Y_L19*Fertilizante_Y))*Inflación_5</f>
        <v>0</v>
      </c>
      <c r="AQ19" s="101">
        <f>SUMIFS('9'!$E:$E,'9'!$A:$A,Año_Inicial+4,'9'!$B:$B,'12'!AP$4,'9'!$D:$D,"Fertilizante químico")</f>
        <v>0</v>
      </c>
      <c r="AR19" s="101">
        <f>((A5_A_L20*Fertilizante_A)+(A5_B_L20*Fertilizante_B)+(A5_C_L20*Fertilizante_C)+(A5_D_L20*Fertilizante_D)+(A5_Y_L20*Fertilizante_Y))*Inflación_5</f>
        <v>0</v>
      </c>
      <c r="AS19" s="101">
        <f>SUMIFS('9'!$E:$E,'9'!$A:$A,Año_Inicial+4,'9'!$B:$B,'12'!AR$4,'9'!$D:$D,"Fertilizante químico")</f>
        <v>0</v>
      </c>
      <c r="AT19" s="101">
        <f>((A5_A_L21*Fertilizante_A)+(A5_B_L21*Fertilizante_B)+(A5_C_L21*Fertilizante_C)+(A5_D_L21*Fertilizante_D)+(A5_Y_L21*Fertilizante_Y))*Inflación_5</f>
        <v>0</v>
      </c>
      <c r="AU19" s="101">
        <f>SUMIFS('9'!$E:$E,'9'!$A:$A,Año_Inicial+4,'9'!$B:$B,'12'!AT$4,'9'!$D:$D,"Fertilizante químico")</f>
        <v>0</v>
      </c>
      <c r="AV19" s="101">
        <f>((A5_A_L22*Fertilizante_A)+(A5_B_L22*Fertilizante_B)+(A5_C_L22*Fertilizante_C)+(A5_D_L22*Fertilizante_D)+(A5_Y_L22*Fertilizante_Y))*Inflación_5</f>
        <v>0</v>
      </c>
      <c r="AW19" s="101">
        <f>SUMIFS('9'!$E:$E,'9'!$A:$A,Año_Inicial+4,'9'!$B:$B,'12'!AV$4,'9'!$D:$D,"Fertilizante químico")</f>
        <v>0</v>
      </c>
      <c r="AX19" s="101">
        <f>((A5_A_L23*Fertilizante_A)+(A5_B_L23*Fertilizante_B)+(A5_C_L23*Fertilizante_C)+(A5_D_L23*Fertilizante_D)+(A5_Y_L23*Fertilizante_Y))*Inflación_5</f>
        <v>0</v>
      </c>
      <c r="AY19" s="101">
        <f>SUMIFS('9'!$E:$E,'9'!$A:$A,Año_Inicial+4,'9'!$B:$B,'12'!AX$4,'9'!$D:$D,"Fertilizante químico")</f>
        <v>0</v>
      </c>
      <c r="AZ19" s="101">
        <f>((A5_A_L24*Fertilizante_A)+(A5_B_L24*Fertilizante_B)+(A5_C_L24*Fertilizante_C)+(A5_D_L24*Fertilizante_D)+(A5_Y_L24*Fertilizante_Y))*Inflación_5</f>
        <v>0</v>
      </c>
      <c r="BA19" s="101">
        <f>SUMIFS('9'!$E:$E,'9'!$A:$A,Año_Inicial+4,'9'!$B:$B,'12'!AZ$4,'9'!$D:$D,"Fertilizante químico")</f>
        <v>0</v>
      </c>
      <c r="BB19" s="101">
        <f>((A5_A_L25*Fertilizante_A)+(A5_B_L25*Fertilizante_B)+(A5_C_L25*Fertilizante_C)+(A5_D_L25*Fertilizante_D)+(A5_Y_L25*Fertilizante_Y))*Inflación_5</f>
        <v>0</v>
      </c>
      <c r="BC19" s="101">
        <f>SUMIFS('9'!$E:$E,'9'!$A:$A,Año_Inicial+4,'9'!$B:$B,'12'!BB$4,'9'!$D:$D,"Fertilizante químico")</f>
        <v>0</v>
      </c>
      <c r="BD19" s="101">
        <f>((A5_A_L26*Fertilizante_A)+(A5_B_L26*Fertilizante_B)+(A5_C_L26*Fertilizante_C)+(A5_D_L26*Fertilizante_D)+(A5_Y_L26*Fertilizante_Y))*Inflación_5</f>
        <v>0</v>
      </c>
      <c r="BE19" s="101">
        <f>SUMIFS('9'!$E:$E,'9'!$A:$A,Año_Inicial+4,'9'!$B:$B,'12'!BD$4,'9'!$D:$D,"Fertilizante químico")</f>
        <v>0</v>
      </c>
      <c r="BF19" s="101">
        <f>((A5_A_L27*Fertilizante_A)+(A5_B_L27*Fertilizante_B)+(A5_C_L27*Fertilizante_C)+(A5_D_L27*Fertilizante_D)+(A5_Y_L27*Fertilizante_Y))*Inflación_5</f>
        <v>0</v>
      </c>
      <c r="BG19" s="101">
        <f>SUMIFS('9'!$E:$E,'9'!$A:$A,Año_Inicial+4,'9'!$B:$B,'12'!BF$4,'9'!$D:$D,"Fertilizante químico")</f>
        <v>0</v>
      </c>
      <c r="BH19" s="101">
        <f>((A5_A_L28*Fertilizante_A)+(A5_B_L28*Fertilizante_B)+(A5_C_L28*Fertilizante_C)+(A5_D_L28*Fertilizante_D)+(A5_Y_L28*Fertilizante_Y))*Inflación_5</f>
        <v>0</v>
      </c>
      <c r="BI19" s="101">
        <f>SUMIFS('9'!$E:$E,'9'!$A:$A,Año_Inicial+4,'9'!$B:$B,'12'!BH$4,'9'!$D:$D,"Fertilizante químico")</f>
        <v>0</v>
      </c>
      <c r="BJ19" s="101">
        <f>((A5_A_L29*Fertilizante_A)+(A5_B_L29*Fertilizante_B)+(A5_C_L29*Fertilizante_C)+(A5_D_L29*Fertilizante_D)+(A5_Y_L29*Fertilizante_Y))*Inflación_5</f>
        <v>0</v>
      </c>
      <c r="BK19" s="101">
        <f>SUMIFS('9'!$E:$E,'9'!$A:$A,Año_Inicial+4,'9'!$B:$B,'12'!BJ$4,'9'!$D:$D,"Fertilizante químico")</f>
        <v>0</v>
      </c>
      <c r="BL19" s="101">
        <f>((A5_A_L30*Fertilizante_A)+(A5_B_L30*Fertilizante_B)+(A5_C_L30*Fertilizante_C)+(A5_D_L30*Fertilizante_D)+(A5_Y_L30*Fertilizante_Y))*Inflación_5</f>
        <v>0</v>
      </c>
      <c r="BM19" s="101">
        <f>SUMIFS('9'!$E:$E,'9'!$A:$A,Año_Inicial+4,'9'!$B:$B,'12'!BL$4,'9'!$D:$D,"Fertilizante químico")</f>
        <v>0</v>
      </c>
      <c r="BN19" s="101">
        <f>((A5_A_L31*Fertilizante_A)+(A5_B_L31*Fertilizante_B)+(A5_C_L31*Fertilizante_C)+(A5_D_L31*Fertilizante_D)+(A5_Y_L31*Fertilizante_Y))*Inflación_5</f>
        <v>0</v>
      </c>
      <c r="BO19" s="101">
        <f>SUMIFS('9'!$E:$E,'9'!$A:$A,Año_Inicial+4,'9'!$B:$B,'12'!BN$4,'9'!$D:$D,"Fertilizante químico")</f>
        <v>0</v>
      </c>
      <c r="BP19" s="101">
        <f>((A5_A_L32*Fertilizante_A)+(A5_B_L32*Fertilizante_B)+(A5_C_L32*Fertilizante_C)+(A5_D_L32*Fertilizante_D)+(A5_Y_L32*Fertilizante_Y))*Inflación_5</f>
        <v>0</v>
      </c>
      <c r="BQ19" s="101">
        <f>SUMIFS('9'!$E:$E,'9'!$A:$A,Año_Inicial+4,'9'!$B:$B,'12'!BP$4,'9'!$D:$D,"Fertilizante químico")</f>
        <v>0</v>
      </c>
      <c r="BR19" s="101">
        <f>((A5_A_L33*Fertilizante_A)+(A5_B_L33*Fertilizante_B)+(A5_C_L33*Fertilizante_C)+(A5_D_L33*Fertilizante_D)+(A5_Y_L33*Fertilizante_Y))*Inflación_5</f>
        <v>0</v>
      </c>
      <c r="BS19" s="101">
        <f>SUMIFS('9'!$E:$E,'9'!$A:$A,Año_Inicial+4,'9'!$B:$B,'12'!BR$4,'9'!$D:$D,"Fertilizante químico")</f>
        <v>0</v>
      </c>
      <c r="BT19" s="101">
        <f>((A5_A_L34*Fertilizante_A)+(A5_B_L34*Fertilizante_B)+(A5_C_L34*Fertilizante_C)+(A5_D_L34*Fertilizante_D)+(A5_Y_L34*Fertilizante_Y))*Inflación_5</f>
        <v>0</v>
      </c>
      <c r="BU19" s="101">
        <f>SUMIFS('9'!$E:$E,'9'!$A:$A,Año_Inicial+4,'9'!$B:$B,'12'!BT$4,'9'!$D:$D,"Fertilizante químico")</f>
        <v>0</v>
      </c>
      <c r="BV19" s="101">
        <f>((A5_A_L35*Fertilizante_A)+(A5_B_L35*Fertilizante_B)+(A5_C_L35*Fertilizante_C)+(A5_D_L35*Fertilizante_D)+(A5_Y_L35*Fertilizante_Y))*Inflación_5</f>
        <v>0</v>
      </c>
      <c r="BW19" s="101">
        <f>SUMIFS('9'!$E:$E,'9'!$A:$A,Año_Inicial+4,'9'!$B:$B,'12'!BV$4,'9'!$D:$D,"Fertilizante químico")</f>
        <v>0</v>
      </c>
      <c r="BX19" s="101">
        <f>((A5_A_L36*Fertilizante_A)+(A5_B_L36*Fertilizante_B)+(A5_C_L36*Fertilizante_C)+(A5_D_L36*Fertilizante_D)+(A5_Y_L36*Fertilizante_Y))*Inflación_5</f>
        <v>0</v>
      </c>
      <c r="BY19" s="101">
        <f>SUMIFS('9'!$E:$E,'9'!$A:$A,Año_Inicial+4,'9'!$B:$B,'12'!BX$4,'9'!$D:$D,"Fertilizante químico")</f>
        <v>0</v>
      </c>
      <c r="BZ19" s="101">
        <f>((A5_A_L37*Fertilizante_A)+(A5_B_L37*Fertilizante_B)+(A5_C_L37*Fertilizante_C)+(A5_D_L37*Fertilizante_D)+(A5_Y_L37*Fertilizante_Y))*Inflación_5</f>
        <v>0</v>
      </c>
      <c r="CA19" s="101">
        <f>SUMIFS('9'!$E:$E,'9'!$A:$A,Año_Inicial+4,'9'!$B:$B,'12'!BZ$4,'9'!$D:$D,"Fertilizante químico")</f>
        <v>0</v>
      </c>
      <c r="CB19" s="101">
        <f>((A5_A_L38*Fertilizante_A)+(A5_B_L38*Fertilizante_B)+(A5_C_L38*Fertilizante_C)+(A5_D_L38*Fertilizante_D)+(A5_Y_L38*Fertilizante_Y))*Inflación_5</f>
        <v>0</v>
      </c>
      <c r="CC19" s="101">
        <f>SUMIFS('9'!$E:$E,'9'!$A:$A,Año_Inicial+4,'9'!$B:$B,'12'!CB$4,'9'!$D:$D,"Fertilizante químico")</f>
        <v>0</v>
      </c>
      <c r="CD19" s="101">
        <f>((A5_A_L39*Fertilizante_A)+(A5_B_L39*Fertilizante_B)+(A5_C_L39*Fertilizante_C)+(A5_D_L39*Fertilizante_D)+(A5_Y_L39*Fertilizante_Y))*Inflación_5</f>
        <v>0</v>
      </c>
      <c r="CE19" s="101">
        <f>SUMIFS('9'!$E:$E,'9'!$A:$A,Año_Inicial+4,'9'!$B:$B,'12'!CD$4,'9'!$D:$D,"Fertilizante químico")</f>
        <v>0</v>
      </c>
      <c r="CF19" s="101">
        <f>((A5_A_L40*Fertilizante_A)+(A5_B_L40*Fertilizante_B)+(A5_C_L40*Fertilizante_C)+(A5_D_L40*Fertilizante_D)+(A5_Y_L40*Fertilizante_Y))*Inflación_5</f>
        <v>0</v>
      </c>
      <c r="CG19" s="101">
        <f>SUMIFS('9'!$E:$E,'9'!$A:$A,Año_Inicial+4,'9'!$B:$B,'12'!CF$4,'9'!$D:$D,"Fertilizante químico")</f>
        <v>0</v>
      </c>
      <c r="CH19" s="473"/>
      <c r="CI19" s="101">
        <f>Plantas_A_A5*Fertilizante_A*Inflación_5</f>
        <v>0</v>
      </c>
      <c r="CJ19" s="101">
        <f>Plantas_B_A5*Fertilizante_B</f>
        <v>0</v>
      </c>
      <c r="CK19" s="101">
        <f>Plantas_C_A5*Fertilizante_C</f>
        <v>0</v>
      </c>
      <c r="CL19" s="101">
        <f>Plantas_D_A5*Fertilizante_D</f>
        <v>0</v>
      </c>
      <c r="CM19" s="101"/>
      <c r="CN19" s="101">
        <f>Plantas_Y_A5*Fertilizante_Y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SUMIFS('9'!$E:$E,'9'!$A:$A,Año_Inicial+4,'9'!$D:$D,"Material de enmienda")</f>
        <v>0</v>
      </c>
      <c r="D20" s="100">
        <f t="shared" si="45"/>
        <v>0</v>
      </c>
      <c r="E20" s="473"/>
      <c r="F20" s="101">
        <f>((A5_A_L1*Enmiendas_A)+(A5_B_L1*Enmiendas_B)+(A5_C_L1*Enmiendas_C)+(A5_D_L1*Enmiendas_D)+(A5_Y_L1*Enmiendas_Y))*Inflación_5</f>
        <v>0</v>
      </c>
      <c r="G20" s="101">
        <f>SUMIFS('9'!$E:$E,'9'!$A:$A,Año_Inicial+4,'9'!$B:$B,'12'!F$4,'9'!$D:$D,"Material de enmienda")</f>
        <v>0</v>
      </c>
      <c r="H20" s="101">
        <f>((A5_A_L2*Enmiendas_A)+(A5_B_L2*Enmiendas_B)+(A5_C_L2*Enmiendas_C)+(A5_D_L2*Enmiendas_D)+(A5_Y_L2*Enmiendas_Y))*Inflación_5</f>
        <v>0</v>
      </c>
      <c r="I20" s="101">
        <f>SUMIFS('9'!$E:$E,'9'!$A:$A,Año_Inicial+4,'9'!$B:$B,'12'!H$4,'9'!$D:$D,"Material de enmienda")</f>
        <v>0</v>
      </c>
      <c r="J20" s="101">
        <f>((A5_A_L3*Enmiendas_A)+(A5_B_L3*Enmiendas_B)+(A5_C_L3*Enmiendas_C)+(A5_D_L3*Enmiendas_D)+(A5_Y_L3*Enmiendas_Y))*Inflación_5</f>
        <v>0</v>
      </c>
      <c r="K20" s="101">
        <f>SUMIFS('9'!$E:$E,'9'!$A:$A,Año_Inicial+4,'9'!$B:$B,'12'!J$4,'9'!$D:$D,"Material de enmienda")</f>
        <v>0</v>
      </c>
      <c r="L20" s="101">
        <f>((A5_A_L4*Enmiendas_A)+(A5_B_L4*Enmiendas_B)+(A5_C_L4*Enmiendas_C)+(A5_D_L4*Enmiendas_D)+(A5_Y_L4*Enmiendas_Y))*Inflación_5</f>
        <v>0</v>
      </c>
      <c r="M20" s="101">
        <f>SUMIFS('9'!$E:$E,'9'!$A:$A,Año_Inicial+4,'9'!$B:$B,'12'!L$4,'9'!$D:$D,"Material de enmienda")</f>
        <v>0</v>
      </c>
      <c r="N20" s="101">
        <f>((A5_A_L5*Enmiendas_A)+(A5_B_L5*Enmiendas_B)+(A5_C_L5*Enmiendas_C)+(A5_D_L5*Enmiendas_D)+(A5_Y_L5*Enmiendas_Y))*Inflación_5</f>
        <v>0</v>
      </c>
      <c r="O20" s="101">
        <f>SUMIFS('9'!$E:$E,'9'!$A:$A,Año_Inicial+4,'9'!$B:$B,'12'!N$4,'9'!$D:$D,"Material de enmienda")</f>
        <v>0</v>
      </c>
      <c r="P20" s="101">
        <f>((A5_A_L6*Enmiendas_A)+(A5_B_L6*Enmiendas_B)+(A5_C_L6*Enmiendas_C)+(A5_D_L6*Enmiendas_D)+(A5_Y_L6*Enmiendas_Y))*Inflación_5</f>
        <v>0</v>
      </c>
      <c r="Q20" s="101">
        <f>SUMIFS('9'!$E:$E,'9'!$A:$A,Año_Inicial+4,'9'!$B:$B,'12'!P$4,'9'!$D:$D,"Material de enmienda")</f>
        <v>0</v>
      </c>
      <c r="R20" s="101">
        <f>((A5_A_L7*Enmiendas_A)+(A5_B_L7*Enmiendas_B)+(A5_C_L7*Enmiendas_C)+(A5_D_L7*Enmiendas_D)+(A5_Y_L7*Enmiendas_Y))*Inflación_5</f>
        <v>0</v>
      </c>
      <c r="S20" s="101">
        <f>SUMIFS('9'!$E:$E,'9'!$A:$A,Año_Inicial+4,'9'!$B:$B,'12'!R$4,'9'!$D:$D,"Material de enmienda")</f>
        <v>0</v>
      </c>
      <c r="T20" s="101">
        <f>((A5_A_L8*Enmiendas_A)+(A5_B_L8*Enmiendas_B)+(A5_C_L8*Enmiendas_C)+(A5_D_L8*Enmiendas_D)+(A5_Y_L8*Enmiendas_Y))*Inflación_5</f>
        <v>0</v>
      </c>
      <c r="U20" s="101">
        <f>SUMIFS('9'!$E:$E,'9'!$A:$A,Año_Inicial+4,'9'!$B:$B,'12'!T$4,'9'!$D:$D,"Material de enmienda")</f>
        <v>0</v>
      </c>
      <c r="V20" s="101">
        <f>((A5_A_L9*Enmiendas_A)+(A5_B_L9*Enmiendas_B)+(A5_C_L9*Enmiendas_C)+(A5_D_L9*Enmiendas_D)+(A5_Y_L9*Enmiendas_Y))*Inflación_5</f>
        <v>0</v>
      </c>
      <c r="W20" s="101">
        <f>SUMIFS('9'!$E:$E,'9'!$A:$A,Año_Inicial+4,'9'!$B:$B,'12'!V$4,'9'!$D:$D,"Material de enmienda")</f>
        <v>0</v>
      </c>
      <c r="X20" s="101">
        <f>((A5_A_L10*Enmiendas_A)+(A5_B_L10*Enmiendas_B)+(A5_C_L10*Enmiendas_C)+(A5_D_L10*Enmiendas_D)+(A5_Y_L10*Enmiendas_Y))*Inflación_5</f>
        <v>0</v>
      </c>
      <c r="Y20" s="101">
        <f>SUMIFS('9'!$E:$E,'9'!$A:$A,Año_Inicial+4,'9'!$B:$B,'12'!X$4,'9'!$D:$D,"Material de enmienda")</f>
        <v>0</v>
      </c>
      <c r="Z20" s="101">
        <f>((A5_A_L11*Enmiendas_A)+(A5_B_L11*Enmiendas_B)+(A5_C_L11*Enmiendas_C)+(A5_D_L11*Enmiendas_D)+(A5_Y_L11*Enmiendas_Y))*Inflación_5</f>
        <v>0</v>
      </c>
      <c r="AA20" s="101">
        <f>SUMIFS('9'!$E:$E,'9'!$A:$A,Año_Inicial+4,'9'!$B:$B,'12'!Z$4,'9'!$D:$D,"Material de enmienda")</f>
        <v>0</v>
      </c>
      <c r="AB20" s="101">
        <f>((A5_A_L12*Enmiendas_A)+(A5_B_L12*Enmiendas_B)+(A5_C_L12*Enmiendas_C)+(A5_D_L12*Enmiendas_D)+(A5_Y_L12*Enmiendas_Y))*Inflación_5</f>
        <v>0</v>
      </c>
      <c r="AC20" s="101">
        <f>SUMIFS('9'!$E:$E,'9'!$A:$A,Año_Inicial+4,'9'!$B:$B,'12'!AB$4,'9'!$D:$D,"Material de enmienda")</f>
        <v>0</v>
      </c>
      <c r="AD20" s="101">
        <f>((A5_A_L13*Enmiendas_A)+(A5_B_L13*Enmiendas_B)+(A5_C_L13*Enmiendas_C)+(A5_D_L13*Enmiendas_D)+(A5_Y_L13*Enmiendas_Y))*Inflación_5</f>
        <v>0</v>
      </c>
      <c r="AE20" s="101">
        <f>SUMIFS('9'!$E:$E,'9'!$A:$A,Año_Inicial+4,'9'!$B:$B,'12'!AD$4,'9'!$D:$D,"Material de enmienda")</f>
        <v>0</v>
      </c>
      <c r="AF20" s="101">
        <f>((A5_A_L14*Enmiendas_A)+(A5_B_L14*Enmiendas_B)+(A5_C_L14*Enmiendas_C)+(A5_D_L14*Enmiendas_D)+(A5_Y_L14*Enmiendas_Y))*Inflación_5</f>
        <v>0</v>
      </c>
      <c r="AG20" s="101">
        <f>SUMIFS('9'!$E:$E,'9'!$A:$A,Año_Inicial+4,'9'!$B:$B,'12'!AF$4,'9'!$D:$D,"Material de enmienda")</f>
        <v>0</v>
      </c>
      <c r="AH20" s="101">
        <f>((A5_A_L15*Enmiendas_A)+(A5_B_L15*Enmiendas_B)+(A5_C_L15*Enmiendas_C)+(A5_D_L15*Enmiendas_D)+(A5_Y_L15*Enmiendas_Y))*Inflación_5</f>
        <v>0</v>
      </c>
      <c r="AI20" s="101">
        <f>SUMIFS('9'!$E:$E,'9'!$A:$A,Año_Inicial+4,'9'!$B:$B,'12'!AH$4,'9'!$D:$D,"Material de enmienda")</f>
        <v>0</v>
      </c>
      <c r="AJ20" s="101">
        <f>((A5_A_L16*Enmiendas_A)+(A5_B_L16*Enmiendas_B)+(A5_C_L16*Enmiendas_C)+(A5_D_L16*Enmiendas_D)+(A5_Y_L16*Enmiendas_Y))*Inflación_5</f>
        <v>0</v>
      </c>
      <c r="AK20" s="101">
        <f>SUMIFS('9'!$E:$E,'9'!$A:$A,Año_Inicial+4,'9'!$B:$B,'12'!AJ$4,'9'!$D:$D,"Material de enmienda")</f>
        <v>0</v>
      </c>
      <c r="AL20" s="101">
        <f>((A5_A_L17*Enmiendas_A)+(A5_B_L17*Enmiendas_B)+(A5_C_L17*Enmiendas_C)+(A5_D_L17*Enmiendas_D)+(A5_Y_L17*Enmiendas_Y))*Inflación_5</f>
        <v>0</v>
      </c>
      <c r="AM20" s="101">
        <f>SUMIFS('9'!$E:$E,'9'!$A:$A,Año_Inicial+4,'9'!$B:$B,'12'!AL$4,'9'!$D:$D,"Material de enmienda")</f>
        <v>0</v>
      </c>
      <c r="AN20" s="101">
        <f>((A5_A_L18*Enmiendas_A)+(A5_B_L18*Enmiendas_B)+(A5_C_L18*Enmiendas_C)+(A5_D_L18*Enmiendas_D)+(A5_Y_L18*Enmiendas_Y))*Inflación_5</f>
        <v>0</v>
      </c>
      <c r="AO20" s="101">
        <f>SUMIFS('9'!$E:$E,'9'!$A:$A,Año_Inicial+4,'9'!$B:$B,'12'!AN$4,'9'!$D:$D,"Material de enmienda")</f>
        <v>0</v>
      </c>
      <c r="AP20" s="101">
        <f>((A5_A_L19*Enmiendas_A)+(A5_B_L19*Enmiendas_B)+(A5_C_L19*Enmiendas_C)+(A5_D_L19*Enmiendas_D)+(A5_Y_L19*Enmiendas_Y))*Inflación_5</f>
        <v>0</v>
      </c>
      <c r="AQ20" s="101">
        <f>SUMIFS('9'!$E:$E,'9'!$A:$A,Año_Inicial+4,'9'!$B:$B,'12'!AP$4,'9'!$D:$D,"Material de enmienda")</f>
        <v>0</v>
      </c>
      <c r="AR20" s="101">
        <f>((A5_A_L20*Enmiendas_A)+(A5_B_L20*Enmiendas_B)+(A5_C_L20*Enmiendas_C)+(A5_D_L20*Enmiendas_D)+(A5_Y_L20*Enmiendas_Y))*Inflación_5</f>
        <v>0</v>
      </c>
      <c r="AS20" s="101">
        <f>SUMIFS('9'!$E:$E,'9'!$A:$A,Año_Inicial+4,'9'!$B:$B,'12'!AR$4,'9'!$D:$D,"Material de enmienda")</f>
        <v>0</v>
      </c>
      <c r="AT20" s="101">
        <f>((A5_A_L21*Enmiendas_A)+(A5_B_L21*Enmiendas_B)+(A5_C_L21*Enmiendas_C)+(A5_D_L21*Enmiendas_D)+(A5_Y_L21*Enmiendas_Y))*Inflación_5</f>
        <v>0</v>
      </c>
      <c r="AU20" s="101">
        <f>SUMIFS('9'!$E:$E,'9'!$A:$A,Año_Inicial+4,'9'!$B:$B,'12'!AT$4,'9'!$D:$D,"Material de enmienda")</f>
        <v>0</v>
      </c>
      <c r="AV20" s="101">
        <f>((A5_A_L22*Enmiendas_A)+(A5_B_L22*Enmiendas_B)+(A5_C_L22*Enmiendas_C)+(A5_D_L22*Enmiendas_D)+(A5_Y_L22*Enmiendas_Y))*Inflación_5</f>
        <v>0</v>
      </c>
      <c r="AW20" s="101">
        <f>SUMIFS('9'!$E:$E,'9'!$A:$A,Año_Inicial+4,'9'!$B:$B,'12'!AV$4,'9'!$D:$D,"Material de enmienda")</f>
        <v>0</v>
      </c>
      <c r="AX20" s="101">
        <f>((A5_A_L23*Enmiendas_A)+(A5_B_L23*Enmiendas_B)+(A5_C_L23*Enmiendas_C)+(A5_D_L23*Enmiendas_D)+(A5_Y_L23*Enmiendas_Y))*Inflación_5</f>
        <v>0</v>
      </c>
      <c r="AY20" s="101">
        <f>SUMIFS('9'!$E:$E,'9'!$A:$A,Año_Inicial+4,'9'!$B:$B,'12'!AX$4,'9'!$D:$D,"Material de enmienda")</f>
        <v>0</v>
      </c>
      <c r="AZ20" s="101">
        <f>((A5_A_L24*Enmiendas_A)+(A5_B_L24*Enmiendas_B)+(A5_C_L24*Enmiendas_C)+(A5_D_L24*Enmiendas_D)+(A5_Y_L24*Enmiendas_Y))*Inflación_5</f>
        <v>0</v>
      </c>
      <c r="BA20" s="101">
        <f>SUMIFS('9'!$E:$E,'9'!$A:$A,Año_Inicial+4,'9'!$B:$B,'12'!AZ$4,'9'!$D:$D,"Material de enmienda")</f>
        <v>0</v>
      </c>
      <c r="BB20" s="101">
        <f>((A5_A_L25*Enmiendas_A)+(A5_B_L25*Enmiendas_B)+(A5_C_L25*Enmiendas_C)+(A5_D_L25*Enmiendas_D)+(A5_Y_L25*Enmiendas_Y))*Inflación_5</f>
        <v>0</v>
      </c>
      <c r="BC20" s="101">
        <f>SUMIFS('9'!$E:$E,'9'!$A:$A,Año_Inicial+4,'9'!$B:$B,'12'!BB$4,'9'!$D:$D,"Material de enmienda")</f>
        <v>0</v>
      </c>
      <c r="BD20" s="101">
        <f>((A5_A_L26*Enmiendas_A)+(A5_B_L26*Enmiendas_B)+(A5_C_L26*Enmiendas_C)+(A5_D_L26*Enmiendas_D)+(A5_Y_L26*Enmiendas_Y))*Inflación_5</f>
        <v>0</v>
      </c>
      <c r="BE20" s="101">
        <f>SUMIFS('9'!$E:$E,'9'!$A:$A,Año_Inicial+4,'9'!$B:$B,'12'!BD$4,'9'!$D:$D,"Material de enmienda")</f>
        <v>0</v>
      </c>
      <c r="BF20" s="101">
        <f>((A5_A_L27*Enmiendas_A)+(A5_B_L27*Enmiendas_B)+(A5_C_L27*Enmiendas_C)+(A5_D_L27*Enmiendas_D)+(A5_Y_L27*Enmiendas_Y))*Inflación_5</f>
        <v>0</v>
      </c>
      <c r="BG20" s="101">
        <f>SUMIFS('9'!$E:$E,'9'!$A:$A,Año_Inicial+4,'9'!$B:$B,'12'!BF$4,'9'!$D:$D,"Material de enmienda")</f>
        <v>0</v>
      </c>
      <c r="BH20" s="101">
        <f>((A5_A_L28*Enmiendas_A)+(A5_B_L28*Enmiendas_B)+(A5_C_L28*Enmiendas_C)+(A5_D_L28*Enmiendas_D)+(A5_Y_L28*Enmiendas_Y))*Inflación_5</f>
        <v>0</v>
      </c>
      <c r="BI20" s="101">
        <f>SUMIFS('9'!$E:$E,'9'!$A:$A,Año_Inicial+4,'9'!$B:$B,'12'!BH$4,'9'!$D:$D,"Material de enmienda")</f>
        <v>0</v>
      </c>
      <c r="BJ20" s="101">
        <f>((A5_A_L29*Enmiendas_A)+(A5_B_L29*Enmiendas_B)+(A5_C_L29*Enmiendas_C)+(A5_D_L29*Enmiendas_D)+(A5_Y_L29*Enmiendas_Y))*Inflación_5</f>
        <v>0</v>
      </c>
      <c r="BK20" s="101">
        <f>SUMIFS('9'!$E:$E,'9'!$A:$A,Año_Inicial+4,'9'!$B:$B,'12'!BJ$4,'9'!$D:$D,"Material de enmienda")</f>
        <v>0</v>
      </c>
      <c r="BL20" s="101">
        <f>((A5_A_L30*Enmiendas_A)+(A5_B_L30*Enmiendas_B)+(A5_C_L30*Enmiendas_C)+(A5_D_L30*Enmiendas_D)+(A5_Y_L30*Enmiendas_Y))*Inflación_5</f>
        <v>0</v>
      </c>
      <c r="BM20" s="101">
        <f>SUMIFS('9'!$E:$E,'9'!$A:$A,Año_Inicial+4,'9'!$B:$B,'12'!BL$4,'9'!$D:$D,"Material de enmienda")</f>
        <v>0</v>
      </c>
      <c r="BN20" s="101">
        <f>((A5_A_L31*Enmiendas_A)+(A5_B_L31*Enmiendas_B)+(A5_C_L31*Enmiendas_C)+(A5_D_L31*Enmiendas_D)+(A5_Y_L31*Enmiendas_Y))*Inflación_5</f>
        <v>0</v>
      </c>
      <c r="BO20" s="101">
        <f>SUMIFS('9'!$E:$E,'9'!$A:$A,Año_Inicial+4,'9'!$B:$B,'12'!BN$4,'9'!$D:$D,"Material de enmienda")</f>
        <v>0</v>
      </c>
      <c r="BP20" s="101">
        <f>((A5_A_L32*Enmiendas_A)+(A5_B_L32*Enmiendas_B)+(A5_C_L32*Enmiendas_C)+(A5_D_L32*Enmiendas_D)+(A5_Y_L32*Enmiendas_Y))*Inflación_5</f>
        <v>0</v>
      </c>
      <c r="BQ20" s="101">
        <f>SUMIFS('9'!$E:$E,'9'!$A:$A,Año_Inicial+4,'9'!$B:$B,'12'!BP$4,'9'!$D:$D,"Material de enmienda")</f>
        <v>0</v>
      </c>
      <c r="BR20" s="101">
        <f>((A5_A_L33*Enmiendas_A)+(A5_B_L33*Enmiendas_B)+(A5_C_L33*Enmiendas_C)+(A5_D_L33*Enmiendas_D)+(A5_Y_L33*Enmiendas_Y))*Inflación_5</f>
        <v>0</v>
      </c>
      <c r="BS20" s="101">
        <f>SUMIFS('9'!$E:$E,'9'!$A:$A,Año_Inicial+4,'9'!$B:$B,'12'!BR$4,'9'!$D:$D,"Material de enmienda")</f>
        <v>0</v>
      </c>
      <c r="BT20" s="101">
        <f>((A5_A_L34*Enmiendas_A)+(A5_B_L34*Enmiendas_B)+(A5_C_L34*Enmiendas_C)+(A5_D_L34*Enmiendas_D)+(A5_Y_L34*Enmiendas_Y))*Inflación_5</f>
        <v>0</v>
      </c>
      <c r="BU20" s="101">
        <f>SUMIFS('9'!$E:$E,'9'!$A:$A,Año_Inicial+4,'9'!$B:$B,'12'!BT$4,'9'!$D:$D,"Material de enmienda")</f>
        <v>0</v>
      </c>
      <c r="BV20" s="101">
        <f>((A5_A_L35*Enmiendas_A)+(A5_B_L35*Enmiendas_B)+(A5_C_L35*Enmiendas_C)+(A5_D_L35*Enmiendas_D)+(A5_Y_L35*Enmiendas_Y))*Inflación_5</f>
        <v>0</v>
      </c>
      <c r="BW20" s="101">
        <f>SUMIFS('9'!$E:$E,'9'!$A:$A,Año_Inicial+4,'9'!$B:$B,'12'!BV$4,'9'!$D:$D,"Material de enmienda")</f>
        <v>0</v>
      </c>
      <c r="BX20" s="101">
        <f>((A5_A_L36*Enmiendas_A)+(A5_B_L36*Enmiendas_B)+(A5_C_L36*Enmiendas_C)+(A5_D_L36*Enmiendas_D)+(A5_Y_L36*Enmiendas_Y))*Inflación_5</f>
        <v>0</v>
      </c>
      <c r="BY20" s="101">
        <f>SUMIFS('9'!$E:$E,'9'!$A:$A,Año_Inicial+4,'9'!$B:$B,'12'!BX$4,'9'!$D:$D,"Material de enmienda")</f>
        <v>0</v>
      </c>
      <c r="BZ20" s="101">
        <f>((A5_A_L37*Enmiendas_A)+(A5_B_L37*Enmiendas_B)+(A5_C_L37*Enmiendas_C)+(A5_D_L37*Enmiendas_D)+(A5_Y_L37*Enmiendas_Y))*Inflación_5</f>
        <v>0</v>
      </c>
      <c r="CA20" s="101">
        <f>SUMIFS('9'!$E:$E,'9'!$A:$A,Año_Inicial+4,'9'!$B:$B,'12'!BZ$4,'9'!$D:$D,"Material de enmienda")</f>
        <v>0</v>
      </c>
      <c r="CB20" s="101">
        <f>((A5_A_L38*Enmiendas_A)+(A5_B_L38*Enmiendas_B)+(A5_C_L38*Enmiendas_C)+(A5_D_L38*Enmiendas_D)+(A5_Y_L38*Enmiendas_Y))*Inflación_5</f>
        <v>0</v>
      </c>
      <c r="CC20" s="101">
        <f>SUMIFS('9'!$E:$E,'9'!$A:$A,Año_Inicial+4,'9'!$B:$B,'12'!CB$4,'9'!$D:$D,"Material de enmienda")</f>
        <v>0</v>
      </c>
      <c r="CD20" s="101">
        <f>((A5_A_L39*Enmiendas_A)+(A5_B_L39*Enmiendas_B)+(A5_C_L39*Enmiendas_C)+(A5_D_L39*Enmiendas_D)+(A5_Y_L39*Enmiendas_Y))*Inflación_5</f>
        <v>0</v>
      </c>
      <c r="CE20" s="101">
        <f>SUMIFS('9'!$E:$E,'9'!$A:$A,Año_Inicial+4,'9'!$B:$B,'12'!CD$4,'9'!$D:$D,"Material de enmienda")</f>
        <v>0</v>
      </c>
      <c r="CF20" s="101">
        <f>((A5_A_L40*Enmiendas_A)+(A5_B_L40*Enmiendas_B)+(A5_C_L40*Enmiendas_C)+(A5_D_L40*Enmiendas_D)+(A5_Y_L40*Enmiendas_Y))*Inflación_5</f>
        <v>0</v>
      </c>
      <c r="CG20" s="101">
        <f>SUMIFS('9'!$E:$E,'9'!$A:$A,Año_Inicial+4,'9'!$B:$B,'12'!CF$4,'9'!$D:$D,"Material de enmienda")</f>
        <v>0</v>
      </c>
      <c r="CH20" s="473"/>
      <c r="CI20" s="101">
        <f>Plantas_A_A5*Enmiendas_A*Inflación_5</f>
        <v>0</v>
      </c>
      <c r="CJ20" s="101">
        <f>Plantas_B_A5*Enmiendas_B</f>
        <v>0</v>
      </c>
      <c r="CK20" s="101">
        <f>Plantas_C_A5*Enmiendas_C</f>
        <v>0</v>
      </c>
      <c r="CL20" s="101">
        <f>Plantas_D_A5*Enmiendas_D</f>
        <v>0</v>
      </c>
      <c r="CM20" s="101"/>
      <c r="CN20" s="101">
        <f>Plantas_Y_A5*Enmiendas_Y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SUMIFS('9'!$E:$E,'9'!$A:$A,Año_Inicial+4,'9'!$D:$D,"Aplicación de herbicida")</f>
        <v>0</v>
      </c>
      <c r="D22" s="100">
        <f t="shared" si="45"/>
        <v>0</v>
      </c>
      <c r="E22" s="473"/>
      <c r="F22" s="101">
        <f>((A5_A_L1*Malezas_A)+(A5_B_L1*Malezas_B)+(A5_C_L1*Malezas_C)+(A5_D_L1*Malezas_D)+(A5_Y_L1*Malezas_Y))*Inflación_5</f>
        <v>0</v>
      </c>
      <c r="G22" s="101">
        <f>SUMIFS('9'!$E:$E,'9'!$A:$A,Año_Inicial+4,'9'!$B:$B,'12'!F$4,'9'!$D:$D,"Aplicación de herbicida")</f>
        <v>0</v>
      </c>
      <c r="H22" s="101">
        <f>((A5_A_L2*Malezas_A)+(A5_B_L2*Malezas_B)+(A5_C_L2*Malezas_C)+(A5_D_L2*Malezas_D)+(A5_Y_L2*Malezas_Y))*Inflación_5</f>
        <v>0</v>
      </c>
      <c r="I22" s="101">
        <f>SUMIFS('9'!$E:$E,'9'!$A:$A,Año_Inicial+4,'9'!$B:$B,'12'!H$4,'9'!$D:$D,"Aplicación de herbicida")</f>
        <v>0</v>
      </c>
      <c r="J22" s="101">
        <f>((A5_A_L3*Malezas_A)+(A5_B_L3*Malezas_B)+(A5_C_L3*Malezas_C)+(A5_D_L3*Malezas_D)+(A5_Y_L3*Malezas_Y))*Inflación_5</f>
        <v>0</v>
      </c>
      <c r="K22" s="101">
        <f>SUMIFS('9'!$E:$E,'9'!$A:$A,Año_Inicial+4,'9'!$B:$B,'12'!J$4,'9'!$D:$D,"Aplicación de herbicida")</f>
        <v>0</v>
      </c>
      <c r="L22" s="101">
        <f>((A5_A_L4*Malezas_A)+(A5_B_L4*Malezas_B)+(A5_C_L4*Malezas_C)+(A5_D_L4*Malezas_D)+(A5_Y_L4*Malezas_Y))*Inflación_5</f>
        <v>0</v>
      </c>
      <c r="M22" s="101">
        <f>SUMIFS('9'!$E:$E,'9'!$A:$A,Año_Inicial+4,'9'!$B:$B,'12'!L$4,'9'!$D:$D,"Aplicación de herbicida")</f>
        <v>0</v>
      </c>
      <c r="N22" s="101">
        <f>((A5_A_L5*Malezas_A)+(A5_B_L5*Malezas_B)+(A5_C_L5*Malezas_C)+(A5_D_L5*Malezas_D)+(A5_Y_L5*Malezas_Y))*Inflación_5</f>
        <v>0</v>
      </c>
      <c r="O22" s="101">
        <f>SUMIFS('9'!$E:$E,'9'!$A:$A,Año_Inicial+4,'9'!$B:$B,'12'!N$4,'9'!$D:$D,"Aplicación de herbicida")</f>
        <v>0</v>
      </c>
      <c r="P22" s="101">
        <f>((A5_A_L6*Malezas_A)+(A5_B_L6*Malezas_B)+(A5_C_L6*Malezas_C)+(A5_D_L6*Malezas_D)+(A5_Y_L6*Malezas_Y))*Inflación_5</f>
        <v>0</v>
      </c>
      <c r="Q22" s="101">
        <f>SUMIFS('9'!$E:$E,'9'!$A:$A,Año_Inicial+4,'9'!$B:$B,'12'!P$4,'9'!$D:$D,"Aplicación de herbicida")</f>
        <v>0</v>
      </c>
      <c r="R22" s="101">
        <f>((A5_A_L7*Malezas_A)+(A5_B_L7*Malezas_B)+(A5_C_L7*Malezas_C)+(A5_D_L7*Malezas_D)+(A5_Y_L7*Malezas_Y))*Inflación_5</f>
        <v>0</v>
      </c>
      <c r="S22" s="101">
        <f>SUMIFS('9'!$E:$E,'9'!$A:$A,Año_Inicial+4,'9'!$B:$B,'12'!R$4,'9'!$D:$D,"Aplicación de herbicida")</f>
        <v>0</v>
      </c>
      <c r="T22" s="101">
        <f>((A5_A_L8*Malezas_A)+(A5_B_L8*Malezas_B)+(A5_C_L8*Malezas_C)+(A5_D_L8*Malezas_D)+(A5_Y_L8*Malezas_Y))*Inflación_5</f>
        <v>0</v>
      </c>
      <c r="U22" s="101">
        <f>SUMIFS('9'!$E:$E,'9'!$A:$A,Año_Inicial+4,'9'!$B:$B,'12'!T$4,'9'!$D:$D,"Aplicación de herbicida")</f>
        <v>0</v>
      </c>
      <c r="V22" s="101">
        <f>((A5_A_L9*Malezas_A)+(A5_B_L9*Malezas_B)+(A5_C_L9*Malezas_C)+(A5_D_L9*Malezas_D)+(A5_Y_L9*Malezas_Y))*Inflación_5</f>
        <v>0</v>
      </c>
      <c r="W22" s="101">
        <f>SUMIFS('9'!$E:$E,'9'!$A:$A,Año_Inicial+4,'9'!$B:$B,'12'!V$4,'9'!$D:$D,"Aplicación de herbicida")</f>
        <v>0</v>
      </c>
      <c r="X22" s="101">
        <f>((A5_A_L10*Malezas_A)+(A5_B_L10*Malezas_B)+(A5_C_L10*Malezas_C)+(A5_D_L10*Malezas_D)+(A5_Y_L10*Malezas_Y))*Inflación_5</f>
        <v>0</v>
      </c>
      <c r="Y22" s="101">
        <f>SUMIFS('9'!$E:$E,'9'!$A:$A,Año_Inicial+4,'9'!$B:$B,'12'!X$4,'9'!$D:$D,"Aplicación de herbicida")</f>
        <v>0</v>
      </c>
      <c r="Z22" s="101">
        <f>((A5_A_L11*Malezas_A)+(A5_B_L11*Malezas_B)+(A5_C_L11*Malezas_C)+(A5_D_L11*Malezas_D)+(A5_Y_L11*Malezas_Y))*Inflación_5</f>
        <v>0</v>
      </c>
      <c r="AA22" s="101">
        <f>SUMIFS('9'!$E:$E,'9'!$A:$A,Año_Inicial+4,'9'!$B:$B,'12'!Z$4,'9'!$D:$D,"Aplicación de herbicida")</f>
        <v>0</v>
      </c>
      <c r="AB22" s="101">
        <f>((A5_A_L12*Malezas_A)+(A5_B_L12*Malezas_B)+(A5_C_L12*Malezas_C)+(A5_D_L12*Malezas_D)+(A5_Y_L12*Malezas_Y))*Inflación_5</f>
        <v>0</v>
      </c>
      <c r="AC22" s="101">
        <f>SUMIFS('9'!$E:$E,'9'!$A:$A,Año_Inicial+4,'9'!$B:$B,'12'!AB$4,'9'!$D:$D,"Aplicación de herbicida")</f>
        <v>0</v>
      </c>
      <c r="AD22" s="101">
        <f>((A5_A_L13*Malezas_A)+(A5_B_L13*Malezas_B)+(A5_C_L13*Malezas_C)+(A5_D_L13*Malezas_D)+(A5_Y_L13*Malezas_Y))*Inflación_5</f>
        <v>0</v>
      </c>
      <c r="AE22" s="101">
        <f>SUMIFS('9'!$E:$E,'9'!$A:$A,Año_Inicial+4,'9'!$B:$B,'12'!AD$4,'9'!$D:$D,"Aplicación de herbicida")</f>
        <v>0</v>
      </c>
      <c r="AF22" s="101">
        <f>((A5_A_L14*Malezas_A)+(A5_B_L14*Malezas_B)+(A5_C_L14*Malezas_C)+(A5_D_L14*Malezas_D)+(A5_Y_L14*Malezas_Y))*Inflación_5</f>
        <v>0</v>
      </c>
      <c r="AG22" s="101">
        <f>SUMIFS('9'!$E:$E,'9'!$A:$A,Año_Inicial+4,'9'!$B:$B,'12'!AF$4,'9'!$D:$D,"Aplicación de herbicida")</f>
        <v>0</v>
      </c>
      <c r="AH22" s="101">
        <f>((A5_A_L15*Malezas_A)+(A5_B_L15*Malezas_B)+(A5_C_L15*Malezas_C)+(A5_D_L15*Malezas_D)+(A5_Y_L15*Malezas_Y))*Inflación_5</f>
        <v>0</v>
      </c>
      <c r="AI22" s="101">
        <f>SUMIFS('9'!$E:$E,'9'!$A:$A,Año_Inicial+4,'9'!$B:$B,'12'!AH$4,'9'!$D:$D,"Aplicación de herbicida")</f>
        <v>0</v>
      </c>
      <c r="AJ22" s="101">
        <f>((A5_A_L16*Malezas_A)+(A5_B_L16*Malezas_B)+(A5_C_L16*Malezas_C)+(A5_D_L16*Malezas_D)+(A5_Y_L16*Malezas_Y))*Inflación_5</f>
        <v>0</v>
      </c>
      <c r="AK22" s="101">
        <f>SUMIFS('9'!$E:$E,'9'!$A:$A,Año_Inicial+4,'9'!$B:$B,'12'!AJ$4,'9'!$D:$D,"Aplicación de herbicida")</f>
        <v>0</v>
      </c>
      <c r="AL22" s="101">
        <f>((A5_A_L17*Malezas_A)+(A5_B_L17*Malezas_B)+(A5_C_L17*Malezas_C)+(A5_D_L17*Malezas_D)+(A5_Y_L17*Malezas_Y))*Inflación_5</f>
        <v>0</v>
      </c>
      <c r="AM22" s="101">
        <f>SUMIFS('9'!$E:$E,'9'!$A:$A,Año_Inicial+4,'9'!$B:$B,'12'!AL$4,'9'!$D:$D,"Aplicación de herbicida")</f>
        <v>0</v>
      </c>
      <c r="AN22" s="101">
        <f>((A5_A_L18*Malezas_A)+(A5_B_L18*Malezas_B)+(A5_C_L18*Malezas_C)+(A5_D_L18*Malezas_D)+(A5_Y_L18*Malezas_Y))*Inflación_5</f>
        <v>0</v>
      </c>
      <c r="AO22" s="101">
        <f>SUMIFS('9'!$E:$E,'9'!$A:$A,Año_Inicial+4,'9'!$B:$B,'12'!AN$4,'9'!$D:$D,"Aplicación de herbicida")</f>
        <v>0</v>
      </c>
      <c r="AP22" s="101">
        <f>((A5_A_L19*Malezas_A)+(A5_B_L19*Malezas_B)+(A5_C_L19*Malezas_C)+(A5_D_L19*Malezas_D)+(A5_Y_L19*Malezas_Y))*Inflación_5</f>
        <v>0</v>
      </c>
      <c r="AQ22" s="101">
        <f>SUMIFS('9'!$E:$E,'9'!$A:$A,Año_Inicial+4,'9'!$B:$B,'12'!AP$4,'9'!$D:$D,"Aplicación de herbicida")</f>
        <v>0</v>
      </c>
      <c r="AR22" s="101">
        <f>((A5_A_L20*Malezas_A)+(A5_B_L20*Malezas_B)+(A5_C_L20*Malezas_C)+(A5_D_L20*Malezas_D)+(A5_Y_L20*Malezas_Y))*Inflación_5</f>
        <v>0</v>
      </c>
      <c r="AS22" s="101">
        <f>SUMIFS('9'!$E:$E,'9'!$A:$A,Año_Inicial+4,'9'!$B:$B,'12'!AR$4,'9'!$D:$D,"Aplicación de herbicida")</f>
        <v>0</v>
      </c>
      <c r="AT22" s="101">
        <f>((A5_A_L21*Malezas_A)+(A5_B_L21*Malezas_B)+(A5_C_L21*Malezas_C)+(A5_D_L21*Malezas_D)+(A5_Y_L21*Malezas_Y))*Inflación_5</f>
        <v>0</v>
      </c>
      <c r="AU22" s="101">
        <f>SUMIFS('9'!$E:$E,'9'!$A:$A,Año_Inicial+4,'9'!$B:$B,'12'!AT$4,'9'!$D:$D,"Aplicación de herbicida")</f>
        <v>0</v>
      </c>
      <c r="AV22" s="101">
        <f>((A5_A_L22*Malezas_A)+(A5_B_L22*Malezas_B)+(A5_C_L22*Malezas_C)+(A5_D_L22*Malezas_D)+(A5_Y_L22*Malezas_Y))*Inflación_5</f>
        <v>0</v>
      </c>
      <c r="AW22" s="101">
        <f>SUMIFS('9'!$E:$E,'9'!$A:$A,Año_Inicial+4,'9'!$B:$B,'12'!AV$4,'9'!$D:$D,"Aplicación de herbicida")</f>
        <v>0</v>
      </c>
      <c r="AX22" s="101">
        <f>((A5_A_L23*Malezas_A)+(A5_B_L23*Malezas_B)+(A5_C_L23*Malezas_C)+(A5_D_L23*Malezas_D)+(A5_Y_L23*Malezas_Y))*Inflación_5</f>
        <v>0</v>
      </c>
      <c r="AY22" s="101">
        <f>SUMIFS('9'!$E:$E,'9'!$A:$A,Año_Inicial+4,'9'!$B:$B,'12'!AX$4,'9'!$D:$D,"Aplicación de herbicida")</f>
        <v>0</v>
      </c>
      <c r="AZ22" s="101">
        <f>((A5_A_L24*Malezas_A)+(A5_B_L24*Malezas_B)+(A5_C_L24*Malezas_C)+(A5_D_L24*Malezas_D)+(A5_Y_L24*Malezas_Y))*Inflación_5</f>
        <v>0</v>
      </c>
      <c r="BA22" s="101">
        <f>SUMIFS('9'!$E:$E,'9'!$A:$A,Año_Inicial+4,'9'!$B:$B,'12'!AZ$4,'9'!$D:$D,"Aplicación de herbicida")</f>
        <v>0</v>
      </c>
      <c r="BB22" s="101">
        <f>((A5_A_L25*Malezas_A)+(A5_B_L25*Malezas_B)+(A5_C_L25*Malezas_C)+(A5_D_L25*Malezas_D)+(A5_Y_L25*Malezas_Y))*Inflación_5</f>
        <v>0</v>
      </c>
      <c r="BC22" s="101">
        <f>SUMIFS('9'!$E:$E,'9'!$A:$A,Año_Inicial+4,'9'!$B:$B,'12'!BB$4,'9'!$D:$D,"Aplicación de herbicida")</f>
        <v>0</v>
      </c>
      <c r="BD22" s="101">
        <f>((A5_A_L26*Malezas_A)+(A5_B_L26*Malezas_B)+(A5_C_L26*Malezas_C)+(A5_D_L26*Malezas_D)+(A5_Y_L26*Malezas_Y))*Inflación_5</f>
        <v>0</v>
      </c>
      <c r="BE22" s="101">
        <f>SUMIFS('9'!$E:$E,'9'!$A:$A,Año_Inicial+4,'9'!$B:$B,'12'!BD$4,'9'!$D:$D,"Aplicación de herbicida")</f>
        <v>0</v>
      </c>
      <c r="BF22" s="101">
        <f>((A5_A_L27*Malezas_A)+(A5_B_L27*Malezas_B)+(A5_C_L27*Malezas_C)+(A5_D_L27*Malezas_D)+(A5_Y_L27*Malezas_Y))*Inflación_5</f>
        <v>0</v>
      </c>
      <c r="BG22" s="101">
        <f>SUMIFS('9'!$E:$E,'9'!$A:$A,Año_Inicial+4,'9'!$B:$B,'12'!BF$4,'9'!$D:$D,"Aplicación de herbicida")</f>
        <v>0</v>
      </c>
      <c r="BH22" s="101">
        <f>((A5_A_L28*Malezas_A)+(A5_B_L28*Malezas_B)+(A5_C_L28*Malezas_C)+(A5_D_L28*Malezas_D)+(A5_Y_L28*Malezas_Y))*Inflación_5</f>
        <v>0</v>
      </c>
      <c r="BI22" s="101">
        <f>SUMIFS('9'!$E:$E,'9'!$A:$A,Año_Inicial+4,'9'!$B:$B,'12'!BH$4,'9'!$D:$D,"Aplicación de herbicida")</f>
        <v>0</v>
      </c>
      <c r="BJ22" s="101">
        <f>((A5_A_L29*Malezas_A)+(A5_B_L29*Malezas_B)+(A5_C_L29*Malezas_C)+(A5_D_L29*Malezas_D)+(A5_Y_L29*Malezas_Y))*Inflación_5</f>
        <v>0</v>
      </c>
      <c r="BK22" s="101">
        <f>SUMIFS('9'!$E:$E,'9'!$A:$A,Año_Inicial+4,'9'!$B:$B,'12'!BJ$4,'9'!$D:$D,"Aplicación de herbicida")</f>
        <v>0</v>
      </c>
      <c r="BL22" s="101">
        <f>((A5_A_L30*Malezas_A)+(A5_B_L30*Malezas_B)+(A5_C_L30*Malezas_C)+(A5_D_L30*Malezas_D)+(A5_Y_L30*Malezas_Y))*Inflación_5</f>
        <v>0</v>
      </c>
      <c r="BM22" s="101">
        <f>SUMIFS('9'!$E:$E,'9'!$A:$A,Año_Inicial+4,'9'!$B:$B,'12'!BL$4,'9'!$D:$D,"Aplicación de herbicida")</f>
        <v>0</v>
      </c>
      <c r="BN22" s="101">
        <f>((A5_A_L31*Malezas_A)+(A5_B_L31*Malezas_B)+(A5_C_L31*Malezas_C)+(A5_D_L31*Malezas_D)+(A5_Y_L31*Malezas_Y))*Inflación_5</f>
        <v>0</v>
      </c>
      <c r="BO22" s="101">
        <f>SUMIFS('9'!$E:$E,'9'!$A:$A,Año_Inicial+4,'9'!$B:$B,'12'!BN$4,'9'!$D:$D,"Aplicación de herbicida")</f>
        <v>0</v>
      </c>
      <c r="BP22" s="101">
        <f>((A5_A_L32*Malezas_A)+(A5_B_L32*Malezas_B)+(A5_C_L32*Malezas_C)+(A5_D_L32*Malezas_D)+(A5_Y_L32*Malezas_Y))*Inflación_5</f>
        <v>0</v>
      </c>
      <c r="BQ22" s="101">
        <f>SUMIFS('9'!$E:$E,'9'!$A:$A,Año_Inicial+4,'9'!$B:$B,'12'!BP$4,'9'!$D:$D,"Aplicación de herbicida")</f>
        <v>0</v>
      </c>
      <c r="BR22" s="101">
        <f>((A5_A_L33*Malezas_A)+(A5_B_L33*Malezas_B)+(A5_C_L33*Malezas_C)+(A5_D_L33*Malezas_D)+(A5_Y_L33*Malezas_Y))*Inflación_5</f>
        <v>0</v>
      </c>
      <c r="BS22" s="101">
        <f>SUMIFS('9'!$E:$E,'9'!$A:$A,Año_Inicial+4,'9'!$B:$B,'12'!BR$4,'9'!$D:$D,"Aplicación de herbicida")</f>
        <v>0</v>
      </c>
      <c r="BT22" s="101">
        <f>((A5_A_L34*Malezas_A)+(A5_B_L34*Malezas_B)+(A5_C_L34*Malezas_C)+(A5_D_L34*Malezas_D)+(A5_Y_L34*Malezas_Y))*Inflación_5</f>
        <v>0</v>
      </c>
      <c r="BU22" s="101">
        <f>SUMIFS('9'!$E:$E,'9'!$A:$A,Año_Inicial+4,'9'!$B:$B,'12'!BT$4,'9'!$D:$D,"Aplicación de herbicida")</f>
        <v>0</v>
      </c>
      <c r="BV22" s="101">
        <f>((A5_A_L35*Malezas_A)+(A5_B_L35*Malezas_B)+(A5_C_L35*Malezas_C)+(A5_D_L35*Malezas_D)+(A5_Y_L35*Malezas_Y))*Inflación_5</f>
        <v>0</v>
      </c>
      <c r="BW22" s="101">
        <f>SUMIFS('9'!$E:$E,'9'!$A:$A,Año_Inicial+4,'9'!$B:$B,'12'!BV$4,'9'!$D:$D,"Aplicación de herbicida")</f>
        <v>0</v>
      </c>
      <c r="BX22" s="101">
        <f>((A5_A_L36*Malezas_A)+(A5_B_L36*Malezas_B)+(A5_C_L36*Malezas_C)+(A5_D_L36*Malezas_D)+(A5_Y_L36*Malezas_Y))*Inflación_5</f>
        <v>0</v>
      </c>
      <c r="BY22" s="101">
        <f>SUMIFS('9'!$E:$E,'9'!$A:$A,Año_Inicial+4,'9'!$B:$B,'12'!BX$4,'9'!$D:$D,"Aplicación de herbicida")</f>
        <v>0</v>
      </c>
      <c r="BZ22" s="101">
        <f>((A5_A_L37*Malezas_A)+(A5_B_L37*Malezas_B)+(A5_C_L37*Malezas_C)+(A5_D_L37*Malezas_D)+(A5_Y_L37*Malezas_Y))*Inflación_5</f>
        <v>0</v>
      </c>
      <c r="CA22" s="101">
        <f>SUMIFS('9'!$E:$E,'9'!$A:$A,Año_Inicial+4,'9'!$B:$B,'12'!BZ$4,'9'!$D:$D,"Aplicación de herbicida")</f>
        <v>0</v>
      </c>
      <c r="CB22" s="101">
        <f>((A5_A_L38*Malezas_A)+(A5_B_L38*Malezas_B)+(A5_C_L38*Malezas_C)+(A5_D_L38*Malezas_D)+(A5_Y_L38*Malezas_Y))*Inflación_5</f>
        <v>0</v>
      </c>
      <c r="CC22" s="101">
        <f>SUMIFS('9'!$E:$E,'9'!$A:$A,Año_Inicial+4,'9'!$B:$B,'12'!CB$4,'9'!$D:$D,"Aplicación de herbicida")</f>
        <v>0</v>
      </c>
      <c r="CD22" s="101">
        <f>((A5_A_L39*Malezas_A)+(A5_B_L39*Malezas_B)+(A5_C_L39*Malezas_C)+(A5_D_L39*Malezas_D)+(A5_Y_L39*Malezas_Y))*Inflación_5</f>
        <v>0</v>
      </c>
      <c r="CE22" s="101">
        <f>SUMIFS('9'!$E:$E,'9'!$A:$A,Año_Inicial+4,'9'!$B:$B,'12'!CD$4,'9'!$D:$D,"Aplicación de herbicida")</f>
        <v>0</v>
      </c>
      <c r="CF22" s="101">
        <f>((A5_A_L40*Malezas_A)+(A5_B_L40*Malezas_B)+(A5_C_L40*Malezas_C)+(A5_D_L40*Malezas_D)+(A5_Y_L40*Malezas_Y))*Inflación_5</f>
        <v>0</v>
      </c>
      <c r="CG22" s="101">
        <f>SUMIFS('9'!$E:$E,'9'!$A:$A,Año_Inicial+4,'9'!$B:$B,'12'!CF$4,'9'!$D:$D,"Aplicación de herbicida")</f>
        <v>0</v>
      </c>
      <c r="CH22" s="473"/>
      <c r="CI22" s="101">
        <f>Plantas_A_A5*Malezas_A*Inflación_5</f>
        <v>0</v>
      </c>
      <c r="CJ22" s="101">
        <f>Plantas_B_A5*Malezas_B</f>
        <v>0</v>
      </c>
      <c r="CK22" s="101">
        <f>Plantas_C_A5*Malezas_C</f>
        <v>0</v>
      </c>
      <c r="CL22" s="101">
        <f>Plantas_D_A5*Malezas_D</f>
        <v>0</v>
      </c>
      <c r="CM22" s="101"/>
      <c r="CN22" s="101">
        <f>Plantas_Y_A5*Malezas_Y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SUMIFS('9'!$E:$E,'9'!$A:$A,Año_Inicial+4,'9'!$D:$D,"Limpias manuales")</f>
        <v>0</v>
      </c>
      <c r="D23" s="100">
        <f t="shared" si="45"/>
        <v>0</v>
      </c>
      <c r="E23" s="473"/>
      <c r="F23" s="101">
        <f>((A5_A_L1*Limpias_A)+(A5_B_L1*Limpias_B)+(A5_C_L1*Limpias_C)+(A5_D_L1*Limpias_D)+(A5_Y_L1*Limpias_Y))*Inflación_5</f>
        <v>0</v>
      </c>
      <c r="G23" s="101">
        <f>SUMIFS('9'!$E:$E,'9'!$A:$A,Año_Inicial+4,'9'!$B:$B,'12'!F$4,'9'!$D:$D,"Limpias manuales")</f>
        <v>0</v>
      </c>
      <c r="H23" s="101">
        <f>((A5_A_L2*Limpias_A)+(A5_B_L2*Limpias_B)+(A5_C_L2*Limpias_C)+(A5_D_L2*Limpias_D)+(A5_Y_L2*Limpias_Y))*Inflación_5</f>
        <v>0</v>
      </c>
      <c r="I23" s="101">
        <f>SUMIFS('9'!$E:$E,'9'!$A:$A,Año_Inicial+4,'9'!$B:$B,'12'!H$4,'9'!$D:$D,"Limpias manuales")</f>
        <v>0</v>
      </c>
      <c r="J23" s="101">
        <f>((A5_A_L3*Limpias_A)+(A5_B_L3*Limpias_B)+(A5_C_L3*Limpias_C)+(A5_D_L3*Limpias_D)+(A5_Y_L3*Limpias_Y))*Inflación_5</f>
        <v>0</v>
      </c>
      <c r="K23" s="101">
        <f>SUMIFS('9'!$E:$E,'9'!$A:$A,Año_Inicial+4,'9'!$B:$B,'12'!J$4,'9'!$D:$D,"Limpias manuales")</f>
        <v>0</v>
      </c>
      <c r="L23" s="101">
        <f>((A5_A_L4*Limpias_A)+(A5_B_L4*Limpias_B)+(A5_C_L4*Limpias_C)+(A5_D_L4*Limpias_D)+(A5_Y_L4*Limpias_Y))*Inflación_5</f>
        <v>0</v>
      </c>
      <c r="M23" s="101">
        <f>SUMIFS('9'!$E:$E,'9'!$A:$A,Año_Inicial+4,'9'!$B:$B,'12'!L$4,'9'!$D:$D,"Limpias manuales")</f>
        <v>0</v>
      </c>
      <c r="N23" s="101">
        <f>((A5_A_L5*Limpias_A)+(A5_B_L5*Limpias_B)+(A5_C_L5*Limpias_C)+(A5_D_L5*Limpias_D)+(A5_Y_L5*Limpias_Y))*Inflación_5</f>
        <v>0</v>
      </c>
      <c r="O23" s="101">
        <f>SUMIFS('9'!$E:$E,'9'!$A:$A,Año_Inicial+4,'9'!$B:$B,'12'!N$4,'9'!$D:$D,"Limpias manuales")</f>
        <v>0</v>
      </c>
      <c r="P23" s="101">
        <f>((A5_A_L6*Limpias_A)+(A5_B_L6*Limpias_B)+(A5_C_L6*Limpias_C)+(A5_D_L6*Limpias_D)+(A5_Y_L6*Limpias_Y))*Inflación_5</f>
        <v>0</v>
      </c>
      <c r="Q23" s="101">
        <f>SUMIFS('9'!$E:$E,'9'!$A:$A,Año_Inicial+4,'9'!$B:$B,'12'!P$4,'9'!$D:$D,"Limpias manuales")</f>
        <v>0</v>
      </c>
      <c r="R23" s="101">
        <f>((A5_A_L7*Limpias_A)+(A5_B_L7*Limpias_B)+(A5_C_L7*Limpias_C)+(A5_D_L7*Limpias_D)+(A5_Y_L7*Limpias_Y))*Inflación_5</f>
        <v>0</v>
      </c>
      <c r="S23" s="101">
        <f>SUMIFS('9'!$E:$E,'9'!$A:$A,Año_Inicial+4,'9'!$B:$B,'12'!R$4,'9'!$D:$D,"Limpias manuales")</f>
        <v>0</v>
      </c>
      <c r="T23" s="101">
        <f>((A5_A_L8*Limpias_A)+(A5_B_L8*Limpias_B)+(A5_C_L8*Limpias_C)+(A5_D_L8*Limpias_D)+(A5_Y_L8*Limpias_Y))*Inflación_5</f>
        <v>0</v>
      </c>
      <c r="U23" s="101">
        <f>SUMIFS('9'!$E:$E,'9'!$A:$A,Año_Inicial+4,'9'!$B:$B,'12'!T$4,'9'!$D:$D,"Limpias manuales")</f>
        <v>0</v>
      </c>
      <c r="V23" s="101">
        <f>((A5_A_L9*Limpias_A)+(A5_B_L9*Limpias_B)+(A5_C_L9*Limpias_C)+(A5_D_L9*Limpias_D)+(A5_Y_L9*Limpias_Y))*Inflación_5</f>
        <v>0</v>
      </c>
      <c r="W23" s="101">
        <f>SUMIFS('9'!$E:$E,'9'!$A:$A,Año_Inicial+4,'9'!$B:$B,'12'!V$4,'9'!$D:$D,"Limpias manuales")</f>
        <v>0</v>
      </c>
      <c r="X23" s="101">
        <f>((A5_A_L10*Limpias_A)+(A5_B_L10*Limpias_B)+(A5_C_L10*Limpias_C)+(A5_D_L10*Limpias_D)+(A5_Y_L10*Limpias_Y))*Inflación_5</f>
        <v>0</v>
      </c>
      <c r="Y23" s="101">
        <f>SUMIFS('9'!$E:$E,'9'!$A:$A,Año_Inicial+4,'9'!$B:$B,'12'!X$4,'9'!$D:$D,"Limpias manuales")</f>
        <v>0</v>
      </c>
      <c r="Z23" s="101">
        <f>((A5_A_L11*Limpias_A)+(A5_B_L11*Limpias_B)+(A5_C_L11*Limpias_C)+(A5_D_L11*Limpias_D)+(A5_Y_L11*Limpias_Y))*Inflación_5</f>
        <v>0</v>
      </c>
      <c r="AA23" s="101">
        <f>SUMIFS('9'!$E:$E,'9'!$A:$A,Año_Inicial+4,'9'!$B:$B,'12'!Z$4,'9'!$D:$D,"Limpias manuales")</f>
        <v>0</v>
      </c>
      <c r="AB23" s="101">
        <f>((A5_A_L12*Limpias_A)+(A5_B_L12*Limpias_B)+(A5_C_L12*Limpias_C)+(A5_D_L12*Limpias_D)+(A5_Y_L12*Limpias_Y))*Inflación_5</f>
        <v>0</v>
      </c>
      <c r="AC23" s="101">
        <f>SUMIFS('9'!$E:$E,'9'!$A:$A,Año_Inicial+4,'9'!$B:$B,'12'!AB$4,'9'!$D:$D,"Limpias manuales")</f>
        <v>0</v>
      </c>
      <c r="AD23" s="101">
        <f>((A5_A_L13*Limpias_A)+(A5_B_L13*Limpias_B)+(A5_C_L13*Limpias_C)+(A5_D_L13*Limpias_D)+(A5_Y_L13*Limpias_Y))*Inflación_5</f>
        <v>0</v>
      </c>
      <c r="AE23" s="101">
        <f>SUMIFS('9'!$E:$E,'9'!$A:$A,Año_Inicial+4,'9'!$B:$B,'12'!AD$4,'9'!$D:$D,"Limpias manuales")</f>
        <v>0</v>
      </c>
      <c r="AF23" s="101">
        <f>((A5_A_L14*Limpias_A)+(A5_B_L14*Limpias_B)+(A5_C_L14*Limpias_C)+(A5_D_L14*Limpias_D)+(A5_Y_L14*Limpias_Y))*Inflación_5</f>
        <v>0</v>
      </c>
      <c r="AG23" s="101">
        <f>SUMIFS('9'!$E:$E,'9'!$A:$A,Año_Inicial+4,'9'!$B:$B,'12'!AF$4,'9'!$D:$D,"Limpias manuales")</f>
        <v>0</v>
      </c>
      <c r="AH23" s="101">
        <f>((A5_A_L15*Limpias_A)+(A5_B_L15*Limpias_B)+(A5_C_L15*Limpias_C)+(A5_D_L15*Limpias_D)+(A5_Y_L15*Limpias_Y))*Inflación_5</f>
        <v>0</v>
      </c>
      <c r="AI23" s="101">
        <f>SUMIFS('9'!$E:$E,'9'!$A:$A,Año_Inicial+4,'9'!$B:$B,'12'!AH$4,'9'!$D:$D,"Limpias manuales")</f>
        <v>0</v>
      </c>
      <c r="AJ23" s="101">
        <f>((A5_A_L16*Limpias_A)+(A5_B_L16*Limpias_B)+(A5_C_L16*Limpias_C)+(A5_D_L16*Limpias_D)+(A5_Y_L16*Limpias_Y))*Inflación_5</f>
        <v>0</v>
      </c>
      <c r="AK23" s="101">
        <f>SUMIFS('9'!$E:$E,'9'!$A:$A,Año_Inicial+4,'9'!$B:$B,'12'!AJ$4,'9'!$D:$D,"Limpias manuales")</f>
        <v>0</v>
      </c>
      <c r="AL23" s="101">
        <f>((A5_A_L17*Limpias_A)+(A5_B_L17*Limpias_B)+(A5_C_L17*Limpias_C)+(A5_D_L17*Limpias_D)+(A5_Y_L17*Limpias_Y))*Inflación_5</f>
        <v>0</v>
      </c>
      <c r="AM23" s="101">
        <f>SUMIFS('9'!$E:$E,'9'!$A:$A,Año_Inicial+4,'9'!$B:$B,'12'!AL$4,'9'!$D:$D,"Limpias manuales")</f>
        <v>0</v>
      </c>
      <c r="AN23" s="101">
        <f>((A5_A_L18*Limpias_A)+(A5_B_L18*Limpias_B)+(A5_C_L18*Limpias_C)+(A5_D_L18*Limpias_D)+(A5_Y_L18*Limpias_Y))*Inflación_5</f>
        <v>0</v>
      </c>
      <c r="AO23" s="101">
        <f>SUMIFS('9'!$E:$E,'9'!$A:$A,Año_Inicial+4,'9'!$B:$B,'12'!AN$4,'9'!$D:$D,"Limpias manuales")</f>
        <v>0</v>
      </c>
      <c r="AP23" s="101">
        <f>((A5_A_L19*Limpias_A)+(A5_B_L19*Limpias_B)+(A5_C_L19*Limpias_C)+(A5_D_L19*Limpias_D)+(A5_Y_L19*Limpias_Y))*Inflación_5</f>
        <v>0</v>
      </c>
      <c r="AQ23" s="101">
        <f>SUMIFS('9'!$E:$E,'9'!$A:$A,Año_Inicial+4,'9'!$B:$B,'12'!AP$4,'9'!$D:$D,"Limpias manuales")</f>
        <v>0</v>
      </c>
      <c r="AR23" s="101">
        <f>((A5_A_L20*Limpias_A)+(A5_B_L20*Limpias_B)+(A5_C_L20*Limpias_C)+(A5_D_L20*Limpias_D)+(A5_Y_L20*Limpias_Y))*Inflación_5</f>
        <v>0</v>
      </c>
      <c r="AS23" s="101">
        <f>SUMIFS('9'!$E:$E,'9'!$A:$A,Año_Inicial+4,'9'!$B:$B,'12'!AR$4,'9'!$D:$D,"Limpias manuales")</f>
        <v>0</v>
      </c>
      <c r="AT23" s="101">
        <f>((A5_A_L21*Limpias_A)+(A5_B_L21*Limpias_B)+(A5_C_L21*Limpias_C)+(A5_D_L21*Limpias_D)+(A5_Y_L21*Limpias_Y))*Inflación_5</f>
        <v>0</v>
      </c>
      <c r="AU23" s="101">
        <f>SUMIFS('9'!$E:$E,'9'!$A:$A,Año_Inicial+4,'9'!$B:$B,'12'!AT$4,'9'!$D:$D,"Limpias manuales")</f>
        <v>0</v>
      </c>
      <c r="AV23" s="101">
        <f>((A5_A_L22*Limpias_A)+(A5_B_L22*Limpias_B)+(A5_C_L22*Limpias_C)+(A5_D_L22*Limpias_D)+(A5_Y_L22*Limpias_Y))*Inflación_5</f>
        <v>0</v>
      </c>
      <c r="AW23" s="101">
        <f>SUMIFS('9'!$E:$E,'9'!$A:$A,Año_Inicial+4,'9'!$B:$B,'12'!AV$4,'9'!$D:$D,"Limpias manuales")</f>
        <v>0</v>
      </c>
      <c r="AX23" s="101">
        <f>((A5_A_L23*Limpias_A)+(A5_B_L23*Limpias_B)+(A5_C_L23*Limpias_C)+(A5_D_L23*Limpias_D)+(A5_Y_L23*Limpias_Y))*Inflación_5</f>
        <v>0</v>
      </c>
      <c r="AY23" s="101">
        <f>SUMIFS('9'!$E:$E,'9'!$A:$A,Año_Inicial+4,'9'!$B:$B,'12'!AX$4,'9'!$D:$D,"Limpias manuales")</f>
        <v>0</v>
      </c>
      <c r="AZ23" s="101">
        <f>((A5_A_L24*Limpias_A)+(A5_B_L24*Limpias_B)+(A5_C_L24*Limpias_C)+(A5_D_L24*Limpias_D)+(A5_Y_L24*Limpias_Y))*Inflación_5</f>
        <v>0</v>
      </c>
      <c r="BA23" s="101">
        <f>SUMIFS('9'!$E:$E,'9'!$A:$A,Año_Inicial+4,'9'!$B:$B,'12'!AZ$4,'9'!$D:$D,"Limpias manuales")</f>
        <v>0</v>
      </c>
      <c r="BB23" s="101">
        <f>((A5_A_L25*Limpias_A)+(A5_B_L25*Limpias_B)+(A5_C_L25*Limpias_C)+(A5_D_L25*Limpias_D)+(A5_Y_L25*Limpias_Y))*Inflación_5</f>
        <v>0</v>
      </c>
      <c r="BC23" s="101">
        <f>SUMIFS('9'!$E:$E,'9'!$A:$A,Año_Inicial+4,'9'!$B:$B,'12'!BB$4,'9'!$D:$D,"Limpias manuales")</f>
        <v>0</v>
      </c>
      <c r="BD23" s="101">
        <f>((A5_A_L26*Limpias_A)+(A5_B_L26*Limpias_B)+(A5_C_L26*Limpias_C)+(A5_D_L26*Limpias_D)+(A5_Y_L26*Limpias_Y))*Inflación_5</f>
        <v>0</v>
      </c>
      <c r="BE23" s="101">
        <f>SUMIFS('9'!$E:$E,'9'!$A:$A,Año_Inicial+4,'9'!$B:$B,'12'!BD$4,'9'!$D:$D,"Limpias manuales")</f>
        <v>0</v>
      </c>
      <c r="BF23" s="101">
        <f>((A5_A_L27*Limpias_A)+(A5_B_L27*Limpias_B)+(A5_C_L27*Limpias_C)+(A5_D_L27*Limpias_D)+(A5_Y_L27*Limpias_Y))*Inflación_5</f>
        <v>0</v>
      </c>
      <c r="BG23" s="101">
        <f>SUMIFS('9'!$E:$E,'9'!$A:$A,Año_Inicial+4,'9'!$B:$B,'12'!BF$4,'9'!$D:$D,"Limpias manuales")</f>
        <v>0</v>
      </c>
      <c r="BH23" s="101">
        <f>((A5_A_L28*Limpias_A)+(A5_B_L28*Limpias_B)+(A5_C_L28*Limpias_C)+(A5_D_L28*Limpias_D)+(A5_Y_L28*Limpias_Y))*Inflación_5</f>
        <v>0</v>
      </c>
      <c r="BI23" s="101">
        <f>SUMIFS('9'!$E:$E,'9'!$A:$A,Año_Inicial+4,'9'!$B:$B,'12'!BH$4,'9'!$D:$D,"Limpias manuales")</f>
        <v>0</v>
      </c>
      <c r="BJ23" s="101">
        <f>((A5_A_L29*Limpias_A)+(A5_B_L29*Limpias_B)+(A5_C_L29*Limpias_C)+(A5_D_L29*Limpias_D)+(A5_Y_L29*Limpias_Y))*Inflación_5</f>
        <v>0</v>
      </c>
      <c r="BK23" s="101">
        <f>SUMIFS('9'!$E:$E,'9'!$A:$A,Año_Inicial+4,'9'!$B:$B,'12'!BJ$4,'9'!$D:$D,"Limpias manuales")</f>
        <v>0</v>
      </c>
      <c r="BL23" s="101">
        <f>((A5_A_L30*Limpias_A)+(A5_B_L30*Limpias_B)+(A5_C_L30*Limpias_C)+(A5_D_L30*Limpias_D)+(A5_Y_L30*Limpias_Y))*Inflación_5</f>
        <v>0</v>
      </c>
      <c r="BM23" s="101">
        <f>SUMIFS('9'!$E:$E,'9'!$A:$A,Año_Inicial+4,'9'!$B:$B,'12'!BL$4,'9'!$D:$D,"Limpias manuales")</f>
        <v>0</v>
      </c>
      <c r="BN23" s="101">
        <f>((A5_A_L31*Limpias_A)+(A5_B_L31*Limpias_B)+(A5_C_L31*Limpias_C)+(A5_D_L31*Limpias_D)+(A5_Y_L31*Limpias_Y))*Inflación_5</f>
        <v>0</v>
      </c>
      <c r="BO23" s="101">
        <f>SUMIFS('9'!$E:$E,'9'!$A:$A,Año_Inicial+4,'9'!$B:$B,'12'!BN$4,'9'!$D:$D,"Limpias manuales")</f>
        <v>0</v>
      </c>
      <c r="BP23" s="101">
        <f>((A5_A_L32*Limpias_A)+(A5_B_L32*Limpias_B)+(A5_C_L32*Limpias_C)+(A5_D_L32*Limpias_D)+(A5_Y_L32*Limpias_Y))*Inflación_5</f>
        <v>0</v>
      </c>
      <c r="BQ23" s="101">
        <f>SUMIFS('9'!$E:$E,'9'!$A:$A,Año_Inicial+4,'9'!$B:$B,'12'!BP$4,'9'!$D:$D,"Limpias manuales")</f>
        <v>0</v>
      </c>
      <c r="BR23" s="101">
        <f>((A5_A_L33*Limpias_A)+(A5_B_L33*Limpias_B)+(A5_C_L33*Limpias_C)+(A5_D_L33*Limpias_D)+(A5_Y_L33*Limpias_Y))*Inflación_5</f>
        <v>0</v>
      </c>
      <c r="BS23" s="101">
        <f>SUMIFS('9'!$E:$E,'9'!$A:$A,Año_Inicial+4,'9'!$B:$B,'12'!BR$4,'9'!$D:$D,"Limpias manuales")</f>
        <v>0</v>
      </c>
      <c r="BT23" s="101">
        <f>((A5_A_L34*Limpias_A)+(A5_B_L34*Limpias_B)+(A5_C_L34*Limpias_C)+(A5_D_L34*Limpias_D)+(A5_Y_L34*Limpias_Y))*Inflación_5</f>
        <v>0</v>
      </c>
      <c r="BU23" s="101">
        <f>SUMIFS('9'!$E:$E,'9'!$A:$A,Año_Inicial+4,'9'!$B:$B,'12'!BT$4,'9'!$D:$D,"Limpias manuales")</f>
        <v>0</v>
      </c>
      <c r="BV23" s="101">
        <f>((A5_A_L35*Limpias_A)+(A5_B_L35*Limpias_B)+(A5_C_L35*Limpias_C)+(A5_D_L35*Limpias_D)+(A5_Y_L35*Limpias_Y))*Inflación_5</f>
        <v>0</v>
      </c>
      <c r="BW23" s="101">
        <f>SUMIFS('9'!$E:$E,'9'!$A:$A,Año_Inicial+4,'9'!$B:$B,'12'!BV$4,'9'!$D:$D,"Limpias manuales")</f>
        <v>0</v>
      </c>
      <c r="BX23" s="101">
        <f>((A5_A_L36*Limpias_A)+(A5_B_L36*Limpias_B)+(A5_C_L36*Limpias_C)+(A5_D_L36*Limpias_D)+(A5_Y_L36*Limpias_Y))*Inflación_5</f>
        <v>0</v>
      </c>
      <c r="BY23" s="101">
        <f>SUMIFS('9'!$E:$E,'9'!$A:$A,Año_Inicial+4,'9'!$B:$B,'12'!BX$4,'9'!$D:$D,"Limpias manuales")</f>
        <v>0</v>
      </c>
      <c r="BZ23" s="101">
        <f>((A5_A_L37*Limpias_A)+(A5_B_L37*Limpias_B)+(A5_C_L37*Limpias_C)+(A5_D_L37*Limpias_D)+(A5_Y_L37*Limpias_Y))*Inflación_5</f>
        <v>0</v>
      </c>
      <c r="CA23" s="101">
        <f>SUMIFS('9'!$E:$E,'9'!$A:$A,Año_Inicial+4,'9'!$B:$B,'12'!BZ$4,'9'!$D:$D,"Limpias manuales")</f>
        <v>0</v>
      </c>
      <c r="CB23" s="101">
        <f>((A5_A_L38*Limpias_A)+(A5_B_L38*Limpias_B)+(A5_C_L38*Limpias_C)+(A5_D_L38*Limpias_D)+(A5_Y_L38*Limpias_Y))*Inflación_5</f>
        <v>0</v>
      </c>
      <c r="CC23" s="101">
        <f>SUMIFS('9'!$E:$E,'9'!$A:$A,Año_Inicial+4,'9'!$B:$B,'12'!CB$4,'9'!$D:$D,"Limpias manuales")</f>
        <v>0</v>
      </c>
      <c r="CD23" s="101">
        <f>((A5_A_L39*Limpias_A)+(A5_B_L39*Limpias_B)+(A5_C_L39*Limpias_C)+(A5_D_L39*Limpias_D)+(A5_Y_L39*Limpias_Y))*Inflación_5</f>
        <v>0</v>
      </c>
      <c r="CE23" s="101">
        <f>SUMIFS('9'!$E:$E,'9'!$A:$A,Año_Inicial+4,'9'!$B:$B,'12'!CD$4,'9'!$D:$D,"Limpias manuales")</f>
        <v>0</v>
      </c>
      <c r="CF23" s="101">
        <f>((A5_A_L40*Limpias_A)+(A5_B_L40*Limpias_B)+(A5_C_L40*Limpias_C)+(A5_D_L40*Limpias_D)+(A5_Y_L40*Limpias_Y))*Inflación_5</f>
        <v>0</v>
      </c>
      <c r="CG23" s="101">
        <f>SUMIFS('9'!$E:$E,'9'!$A:$A,Año_Inicial+4,'9'!$B:$B,'12'!CF$4,'9'!$D:$D,"Limpias manuales")</f>
        <v>0</v>
      </c>
      <c r="CH23" s="473"/>
      <c r="CI23" s="101">
        <f>Plantas_A_A5*Limpias_A*Inflación_5</f>
        <v>0</v>
      </c>
      <c r="CJ23" s="101">
        <f>Plantas_B_A5*Limpias_B</f>
        <v>0</v>
      </c>
      <c r="CK23" s="101">
        <f>Plantas_C_A5*Limpias_C</f>
        <v>0</v>
      </c>
      <c r="CL23" s="101">
        <f>Plantas_D_A5*Limpias_D</f>
        <v>0</v>
      </c>
      <c r="CM23" s="101"/>
      <c r="CN23" s="101">
        <f>Plantas_Y_A5*Limpias_Y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SUMIFS('9'!$E:$E,'9'!$A:$A,Año_Inicial+4,'9'!$D:$D,"Herbicida")</f>
        <v>0</v>
      </c>
      <c r="D24" s="100">
        <f t="shared" si="45"/>
        <v>0</v>
      </c>
      <c r="E24" s="473"/>
      <c r="F24" s="101">
        <f>((A5_A_L1*Herbicida_A)+(A5_B_L1*Herbicida_B)+(A5_C_L1*Herbicida_C)+(A5_D_L1*Herbicida_D)+(A5_Y_L1*Herbicida_Y))*Inflación_5</f>
        <v>0</v>
      </c>
      <c r="G24" s="101">
        <f>SUMIFS('9'!$E:$E,'9'!$A:$A,Año_Inicial+4,'9'!$B:$B,'12'!F$4,'9'!$D:$D,"Herbicida")</f>
        <v>0</v>
      </c>
      <c r="H24" s="101">
        <f>((A5_A_L2*Herbicida_A)+(A5_B_L2*Herbicida_B)+(A5_C_L2*Herbicida_C)+(A5_D_L2*Herbicida_D)+(A5_Y_L2*Herbicida_Y))*Inflación_5</f>
        <v>0</v>
      </c>
      <c r="I24" s="101">
        <f>SUMIFS('9'!$E:$E,'9'!$A:$A,Año_Inicial+4,'9'!$B:$B,'12'!H$4,'9'!$D:$D,"Herbicida")</f>
        <v>0</v>
      </c>
      <c r="J24" s="101">
        <f>((A5_A_L3*Herbicida_A)+(A5_B_L3*Herbicida_B)+(A5_C_L3*Herbicida_C)+(A5_D_L3*Herbicida_D)+(A5_Y_L3*Herbicida_Y))*Inflación_5</f>
        <v>0</v>
      </c>
      <c r="K24" s="101">
        <f>SUMIFS('9'!$E:$E,'9'!$A:$A,Año_Inicial+4,'9'!$B:$B,'12'!J$4,'9'!$D:$D,"Herbicida")</f>
        <v>0</v>
      </c>
      <c r="L24" s="101">
        <f>((A5_A_L4*Herbicida_A)+(A5_B_L4*Herbicida_B)+(A5_C_L4*Herbicida_C)+(A5_D_L4*Herbicida_D)+(A5_Y_L4*Herbicida_Y))*Inflación_5</f>
        <v>0</v>
      </c>
      <c r="M24" s="101">
        <f>SUMIFS('9'!$E:$E,'9'!$A:$A,Año_Inicial+4,'9'!$B:$B,'12'!L$4,'9'!$D:$D,"Herbicida")</f>
        <v>0</v>
      </c>
      <c r="N24" s="101">
        <f>((A5_A_L5*Herbicida_A)+(A5_B_L5*Herbicida_B)+(A5_C_L5*Herbicida_C)+(A5_D_L5*Herbicida_D)+(A5_Y_L5*Herbicida_Y))*Inflación_5</f>
        <v>0</v>
      </c>
      <c r="O24" s="101">
        <f>SUMIFS('9'!$E:$E,'9'!$A:$A,Año_Inicial+4,'9'!$B:$B,'12'!N$4,'9'!$D:$D,"Herbicida")</f>
        <v>0</v>
      </c>
      <c r="P24" s="101">
        <f>((A5_A_L6*Herbicida_A)+(A5_B_L6*Herbicida_B)+(A5_C_L6*Herbicida_C)+(A5_D_L6*Herbicida_D)+(A5_Y_L6*Herbicida_Y))*Inflación_5</f>
        <v>0</v>
      </c>
      <c r="Q24" s="101">
        <f>SUMIFS('9'!$E:$E,'9'!$A:$A,Año_Inicial+4,'9'!$B:$B,'12'!P$4,'9'!$D:$D,"Herbicida")</f>
        <v>0</v>
      </c>
      <c r="R24" s="101">
        <f>((A5_A_L7*Herbicida_A)+(A5_B_L7*Herbicida_B)+(A5_C_L7*Herbicida_C)+(A5_D_L7*Herbicida_D)+(A5_Y_L7*Herbicida_Y))*Inflación_5</f>
        <v>0</v>
      </c>
      <c r="S24" s="101">
        <f>SUMIFS('9'!$E:$E,'9'!$A:$A,Año_Inicial+4,'9'!$B:$B,'12'!R$4,'9'!$D:$D,"Herbicida")</f>
        <v>0</v>
      </c>
      <c r="T24" s="101">
        <f>((A5_A_L8*Herbicida_A)+(A5_B_L8*Herbicida_B)+(A5_C_L8*Herbicida_C)+(A5_D_L8*Herbicida_D)+(A5_Y_L8*Herbicida_Y))*Inflación_5</f>
        <v>0</v>
      </c>
      <c r="U24" s="101">
        <f>SUMIFS('9'!$E:$E,'9'!$A:$A,Año_Inicial+4,'9'!$B:$B,'12'!T$4,'9'!$D:$D,"Herbicida")</f>
        <v>0</v>
      </c>
      <c r="V24" s="101">
        <f>((A5_A_L9*Herbicida_A)+(A5_B_L9*Herbicida_B)+(A5_C_L9*Herbicida_C)+(A5_D_L9*Herbicida_D)+(A5_Y_L9*Herbicida_Y))*Inflación_5</f>
        <v>0</v>
      </c>
      <c r="W24" s="101">
        <f>SUMIFS('9'!$E:$E,'9'!$A:$A,Año_Inicial+4,'9'!$B:$B,'12'!V$4,'9'!$D:$D,"Herbicida")</f>
        <v>0</v>
      </c>
      <c r="X24" s="101">
        <f>((A5_A_L10*Herbicida_A)+(A5_B_L10*Herbicida_B)+(A5_C_L10*Herbicida_C)+(A5_D_L10*Herbicida_D)+(A5_Y_L10*Herbicida_Y))*Inflación_5</f>
        <v>0</v>
      </c>
      <c r="Y24" s="101">
        <f>SUMIFS('9'!$E:$E,'9'!$A:$A,Año_Inicial+4,'9'!$B:$B,'12'!X$4,'9'!$D:$D,"Herbicida")</f>
        <v>0</v>
      </c>
      <c r="Z24" s="101">
        <f>((A5_A_L11*Herbicida_A)+(A5_B_L11*Herbicida_B)+(A5_C_L11*Herbicida_C)+(A5_D_L11*Herbicida_D)+(A5_Y_L11*Herbicida_Y))*Inflación_5</f>
        <v>0</v>
      </c>
      <c r="AA24" s="101">
        <f>SUMIFS('9'!$E:$E,'9'!$A:$A,Año_Inicial+4,'9'!$B:$B,'12'!Z$4,'9'!$D:$D,"Herbicida")</f>
        <v>0</v>
      </c>
      <c r="AB24" s="101">
        <f>((A5_A_L12*Herbicida_A)+(A5_B_L12*Herbicida_B)+(A5_C_L12*Herbicida_C)+(A5_D_L12*Herbicida_D)+(A5_Y_L12*Herbicida_Y))*Inflación_5</f>
        <v>0</v>
      </c>
      <c r="AC24" s="101">
        <f>SUMIFS('9'!$E:$E,'9'!$A:$A,Año_Inicial+4,'9'!$B:$B,'12'!AB$4,'9'!$D:$D,"Herbicida")</f>
        <v>0</v>
      </c>
      <c r="AD24" s="101">
        <f>((A5_A_L13*Herbicida_A)+(A5_B_L13*Herbicida_B)+(A5_C_L13*Herbicida_C)+(A5_D_L13*Herbicida_D)+(A5_Y_L13*Herbicida_Y))*Inflación_5</f>
        <v>0</v>
      </c>
      <c r="AE24" s="101">
        <f>SUMIFS('9'!$E:$E,'9'!$A:$A,Año_Inicial+4,'9'!$B:$B,'12'!AD$4,'9'!$D:$D,"Herbicida")</f>
        <v>0</v>
      </c>
      <c r="AF24" s="101">
        <f>((A5_A_L14*Herbicida_A)+(A5_B_L14*Herbicida_B)+(A5_C_L14*Herbicida_C)+(A5_D_L14*Herbicida_D)+(A5_Y_L14*Herbicida_Y))*Inflación_5</f>
        <v>0</v>
      </c>
      <c r="AG24" s="101">
        <f>SUMIFS('9'!$E:$E,'9'!$A:$A,Año_Inicial+4,'9'!$B:$B,'12'!AF$4,'9'!$D:$D,"Herbicida")</f>
        <v>0</v>
      </c>
      <c r="AH24" s="101">
        <f>((A5_A_L15*Herbicida_A)+(A5_B_L15*Herbicida_B)+(A5_C_L15*Herbicida_C)+(A5_D_L15*Herbicida_D)+(A5_Y_L15*Herbicida_Y))*Inflación_5</f>
        <v>0</v>
      </c>
      <c r="AI24" s="101">
        <f>SUMIFS('9'!$E:$E,'9'!$A:$A,Año_Inicial+4,'9'!$B:$B,'12'!AH$4,'9'!$D:$D,"Herbicida")</f>
        <v>0</v>
      </c>
      <c r="AJ24" s="101">
        <f>((A5_A_L16*Herbicida_A)+(A5_B_L16*Herbicida_B)+(A5_C_L16*Herbicida_C)+(A5_D_L16*Herbicida_D)+(A5_Y_L16*Herbicida_Y))*Inflación_5</f>
        <v>0</v>
      </c>
      <c r="AK24" s="101">
        <f>SUMIFS('9'!$E:$E,'9'!$A:$A,Año_Inicial+4,'9'!$B:$B,'12'!AJ$4,'9'!$D:$D,"Herbicida")</f>
        <v>0</v>
      </c>
      <c r="AL24" s="101">
        <f>((A5_A_L17*Herbicida_A)+(A5_B_L17*Herbicida_B)+(A5_C_L17*Herbicida_C)+(A5_D_L17*Herbicida_D)+(A5_Y_L17*Herbicida_Y))*Inflación_5</f>
        <v>0</v>
      </c>
      <c r="AM24" s="101">
        <f>SUMIFS('9'!$E:$E,'9'!$A:$A,Año_Inicial+4,'9'!$B:$B,'12'!AL$4,'9'!$D:$D,"Herbicida")</f>
        <v>0</v>
      </c>
      <c r="AN24" s="101">
        <f>((A5_A_L18*Herbicida_A)+(A5_B_L18*Herbicida_B)+(A5_C_L18*Herbicida_C)+(A5_D_L18*Herbicida_D)+(A5_Y_L18*Herbicida_Y))*Inflación_5</f>
        <v>0</v>
      </c>
      <c r="AO24" s="101">
        <f>SUMIFS('9'!$E:$E,'9'!$A:$A,Año_Inicial+4,'9'!$B:$B,'12'!AN$4,'9'!$D:$D,"Herbicida")</f>
        <v>0</v>
      </c>
      <c r="AP24" s="101">
        <f>((A5_A_L19*Herbicida_A)+(A5_B_L19*Herbicida_B)+(A5_C_L19*Herbicida_C)+(A5_D_L19*Herbicida_D)+(A5_Y_L19*Herbicida_Y))*Inflación_5</f>
        <v>0</v>
      </c>
      <c r="AQ24" s="101">
        <f>SUMIFS('9'!$E:$E,'9'!$A:$A,Año_Inicial+4,'9'!$B:$B,'12'!AP$4,'9'!$D:$D,"Herbicida")</f>
        <v>0</v>
      </c>
      <c r="AR24" s="101">
        <f>((A5_A_L20*Herbicida_A)+(A5_B_L20*Herbicida_B)+(A5_C_L20*Herbicida_C)+(A5_D_L20*Herbicida_D)+(A5_Y_L20*Herbicida_Y))*Inflación_5</f>
        <v>0</v>
      </c>
      <c r="AS24" s="101">
        <f>SUMIFS('9'!$E:$E,'9'!$A:$A,Año_Inicial+4,'9'!$B:$B,'12'!AR$4,'9'!$D:$D,"Herbicida")</f>
        <v>0</v>
      </c>
      <c r="AT24" s="101">
        <f>((A5_A_L21*Herbicida_A)+(A5_B_L21*Herbicida_B)+(A5_C_L21*Herbicida_C)+(A5_D_L21*Herbicida_D)+(A5_Y_L21*Herbicida_Y))*Inflación_5</f>
        <v>0</v>
      </c>
      <c r="AU24" s="101">
        <f>SUMIFS('9'!$E:$E,'9'!$A:$A,Año_Inicial+4,'9'!$B:$B,'12'!AT$4,'9'!$D:$D,"Herbicida")</f>
        <v>0</v>
      </c>
      <c r="AV24" s="101">
        <f>((A5_A_L22*Herbicida_A)+(A5_B_L22*Herbicida_B)+(A5_C_L22*Herbicida_C)+(A5_D_L22*Herbicida_D)+(A5_Y_L22*Herbicida_Y))*Inflación_5</f>
        <v>0</v>
      </c>
      <c r="AW24" s="101">
        <f>SUMIFS('9'!$E:$E,'9'!$A:$A,Año_Inicial+4,'9'!$B:$B,'12'!AV$4,'9'!$D:$D,"Herbicida")</f>
        <v>0</v>
      </c>
      <c r="AX24" s="101">
        <f>((A5_A_L23*Herbicida_A)+(A5_B_L23*Herbicida_B)+(A5_C_L23*Herbicida_C)+(A5_D_L23*Herbicida_D)+(A5_Y_L23*Herbicida_Y))*Inflación_5</f>
        <v>0</v>
      </c>
      <c r="AY24" s="101">
        <f>SUMIFS('9'!$E:$E,'9'!$A:$A,Año_Inicial+4,'9'!$B:$B,'12'!AX$4,'9'!$D:$D,"Herbicida")</f>
        <v>0</v>
      </c>
      <c r="AZ24" s="101">
        <f>((A5_A_L24*Herbicida_A)+(A5_B_L24*Herbicida_B)+(A5_C_L24*Herbicida_C)+(A5_D_L24*Herbicida_D)+(A5_Y_L24*Herbicida_Y))*Inflación_5</f>
        <v>0</v>
      </c>
      <c r="BA24" s="101">
        <f>SUMIFS('9'!$E:$E,'9'!$A:$A,Año_Inicial+4,'9'!$B:$B,'12'!AZ$4,'9'!$D:$D,"Herbicida")</f>
        <v>0</v>
      </c>
      <c r="BB24" s="101">
        <f>((A5_A_L25*Herbicida_A)+(A5_B_L25*Herbicida_B)+(A5_C_L25*Herbicida_C)+(A5_D_L25*Herbicida_D)+(A5_Y_L25*Herbicida_Y))*Inflación_5</f>
        <v>0</v>
      </c>
      <c r="BC24" s="101">
        <f>SUMIFS('9'!$E:$E,'9'!$A:$A,Año_Inicial+4,'9'!$B:$B,'12'!BB$4,'9'!$D:$D,"Herbicida")</f>
        <v>0</v>
      </c>
      <c r="BD24" s="101">
        <f>((A5_A_L26*Herbicida_A)+(A5_B_L26*Herbicida_B)+(A5_C_L26*Herbicida_C)+(A5_D_L26*Herbicida_D)+(A5_Y_L26*Herbicida_Y))*Inflación_5</f>
        <v>0</v>
      </c>
      <c r="BE24" s="101">
        <f>SUMIFS('9'!$E:$E,'9'!$A:$A,Año_Inicial+4,'9'!$B:$B,'12'!BD$4,'9'!$D:$D,"Herbicida")</f>
        <v>0</v>
      </c>
      <c r="BF24" s="101">
        <f>((A5_A_L27*Herbicida_A)+(A5_B_L27*Herbicida_B)+(A5_C_L27*Herbicida_C)+(A5_D_L27*Herbicida_D)+(A5_Y_L27*Herbicida_Y))*Inflación_5</f>
        <v>0</v>
      </c>
      <c r="BG24" s="101">
        <f>SUMIFS('9'!$E:$E,'9'!$A:$A,Año_Inicial+4,'9'!$B:$B,'12'!BF$4,'9'!$D:$D,"Herbicida")</f>
        <v>0</v>
      </c>
      <c r="BH24" s="101">
        <f>((A5_A_L28*Herbicida_A)+(A5_B_L28*Herbicida_B)+(A5_C_L28*Herbicida_C)+(A5_D_L28*Herbicida_D)+(A5_Y_L28*Herbicida_Y))*Inflación_5</f>
        <v>0</v>
      </c>
      <c r="BI24" s="101">
        <f>SUMIFS('9'!$E:$E,'9'!$A:$A,Año_Inicial+4,'9'!$B:$B,'12'!BH$4,'9'!$D:$D,"Herbicida")</f>
        <v>0</v>
      </c>
      <c r="BJ24" s="101">
        <f>((A5_A_L29*Herbicida_A)+(A5_B_L29*Herbicida_B)+(A5_C_L29*Herbicida_C)+(A5_D_L29*Herbicida_D)+(A5_Y_L29*Herbicida_Y))*Inflación_5</f>
        <v>0</v>
      </c>
      <c r="BK24" s="101">
        <f>SUMIFS('9'!$E:$E,'9'!$A:$A,Año_Inicial+4,'9'!$B:$B,'12'!BJ$4,'9'!$D:$D,"Herbicida")</f>
        <v>0</v>
      </c>
      <c r="BL24" s="101">
        <f>((A5_A_L30*Herbicida_A)+(A5_B_L30*Herbicida_B)+(A5_C_L30*Herbicida_C)+(A5_D_L30*Herbicida_D)+(A5_Y_L30*Herbicida_Y))*Inflación_5</f>
        <v>0</v>
      </c>
      <c r="BM24" s="101">
        <f>SUMIFS('9'!$E:$E,'9'!$A:$A,Año_Inicial+4,'9'!$B:$B,'12'!BL$4,'9'!$D:$D,"Herbicida")</f>
        <v>0</v>
      </c>
      <c r="BN24" s="101">
        <f>((A5_A_L31*Herbicida_A)+(A5_B_L31*Herbicida_B)+(A5_C_L31*Herbicida_C)+(A5_D_L31*Herbicida_D)+(A5_Y_L31*Herbicida_Y))*Inflación_5</f>
        <v>0</v>
      </c>
      <c r="BO24" s="101">
        <f>SUMIFS('9'!$E:$E,'9'!$A:$A,Año_Inicial+4,'9'!$B:$B,'12'!BN$4,'9'!$D:$D,"Herbicida")</f>
        <v>0</v>
      </c>
      <c r="BP24" s="101">
        <f>((A5_A_L32*Herbicida_A)+(A5_B_L32*Herbicida_B)+(A5_C_L32*Herbicida_C)+(A5_D_L32*Herbicida_D)+(A5_Y_L32*Herbicida_Y))*Inflación_5</f>
        <v>0</v>
      </c>
      <c r="BQ24" s="101">
        <f>SUMIFS('9'!$E:$E,'9'!$A:$A,Año_Inicial+4,'9'!$B:$B,'12'!BP$4,'9'!$D:$D,"Herbicida")</f>
        <v>0</v>
      </c>
      <c r="BR24" s="101">
        <f>((A5_A_L33*Herbicida_A)+(A5_B_L33*Herbicida_B)+(A5_C_L33*Herbicida_C)+(A5_D_L33*Herbicida_D)+(A5_Y_L33*Herbicida_Y))*Inflación_5</f>
        <v>0</v>
      </c>
      <c r="BS24" s="101">
        <f>SUMIFS('9'!$E:$E,'9'!$A:$A,Año_Inicial+4,'9'!$B:$B,'12'!BR$4,'9'!$D:$D,"Herbicida")</f>
        <v>0</v>
      </c>
      <c r="BT24" s="101">
        <f>((A5_A_L34*Herbicida_A)+(A5_B_L34*Herbicida_B)+(A5_C_L34*Herbicida_C)+(A5_D_L34*Herbicida_D)+(A5_Y_L34*Herbicida_Y))*Inflación_5</f>
        <v>0</v>
      </c>
      <c r="BU24" s="101">
        <f>SUMIFS('9'!$E:$E,'9'!$A:$A,Año_Inicial+4,'9'!$B:$B,'12'!BT$4,'9'!$D:$D,"Herbicida")</f>
        <v>0</v>
      </c>
      <c r="BV24" s="101">
        <f>((A5_A_L35*Herbicida_A)+(A5_B_L35*Herbicida_B)+(A5_C_L35*Herbicida_C)+(A5_D_L35*Herbicida_D)+(A5_Y_L35*Herbicida_Y))*Inflación_5</f>
        <v>0</v>
      </c>
      <c r="BW24" s="101">
        <f>SUMIFS('9'!$E:$E,'9'!$A:$A,Año_Inicial+4,'9'!$B:$B,'12'!BV$4,'9'!$D:$D,"Herbicida")</f>
        <v>0</v>
      </c>
      <c r="BX24" s="101">
        <f>((A5_A_L36*Herbicida_A)+(A5_B_L36*Herbicida_B)+(A5_C_L36*Herbicida_C)+(A5_D_L36*Herbicida_D)+(A5_Y_L36*Herbicida_Y))*Inflación_5</f>
        <v>0</v>
      </c>
      <c r="BY24" s="101">
        <f>SUMIFS('9'!$E:$E,'9'!$A:$A,Año_Inicial+4,'9'!$B:$B,'12'!BX$4,'9'!$D:$D,"Herbicida")</f>
        <v>0</v>
      </c>
      <c r="BZ24" s="101">
        <f>((A5_A_L37*Herbicida_A)+(A5_B_L37*Herbicida_B)+(A5_C_L37*Herbicida_C)+(A5_D_L37*Herbicida_D)+(A5_Y_L37*Herbicida_Y))*Inflación_5</f>
        <v>0</v>
      </c>
      <c r="CA24" s="101">
        <f>SUMIFS('9'!$E:$E,'9'!$A:$A,Año_Inicial+4,'9'!$B:$B,'12'!BZ$4,'9'!$D:$D,"Herbicida")</f>
        <v>0</v>
      </c>
      <c r="CB24" s="101">
        <f>((A5_A_L38*Herbicida_A)+(A5_B_L38*Herbicida_B)+(A5_C_L38*Herbicida_C)+(A5_D_L38*Herbicida_D)+(A5_Y_L38*Herbicida_Y))*Inflación_5</f>
        <v>0</v>
      </c>
      <c r="CC24" s="101">
        <f>SUMIFS('9'!$E:$E,'9'!$A:$A,Año_Inicial+4,'9'!$B:$B,'12'!CB$4,'9'!$D:$D,"Herbicida")</f>
        <v>0</v>
      </c>
      <c r="CD24" s="101">
        <f>((A5_A_L39*Herbicida_A)+(A5_B_L39*Herbicida_B)+(A5_C_L39*Herbicida_C)+(A5_D_L39*Herbicida_D)+(A5_Y_L39*Herbicida_Y))*Inflación_5</f>
        <v>0</v>
      </c>
      <c r="CE24" s="101">
        <f>SUMIFS('9'!$E:$E,'9'!$A:$A,Año_Inicial+4,'9'!$B:$B,'12'!CD$4,'9'!$D:$D,"Herbicida")</f>
        <v>0</v>
      </c>
      <c r="CF24" s="101">
        <f>((A5_A_L40*Herbicida_A)+(A5_B_L40*Herbicida_B)+(A5_C_L40*Herbicida_C)+(A5_D_L40*Herbicida_D)+(A5_Y_L40*Herbicida_Y))*Inflación_5</f>
        <v>0</v>
      </c>
      <c r="CG24" s="101">
        <f>SUMIFS('9'!$E:$E,'9'!$A:$A,Año_Inicial+4,'9'!$B:$B,'12'!CF$4,'9'!$D:$D,"Herbicida")</f>
        <v>0</v>
      </c>
      <c r="CH24" s="473"/>
      <c r="CI24" s="101">
        <f>Plantas_A_A5*Herbicida_A*Inflación_5</f>
        <v>0</v>
      </c>
      <c r="CJ24" s="101">
        <f>Plantas_B_A5*Herbicida_B</f>
        <v>0</v>
      </c>
      <c r="CK24" s="101">
        <f>Plantas_C_A5*Herbicida_C</f>
        <v>0</v>
      </c>
      <c r="CL24" s="101">
        <f>Plantas_D_A5*Herbicida_D</f>
        <v>0</v>
      </c>
      <c r="CM24" s="101"/>
      <c r="CN24" s="101">
        <f>Plantas_Y_A5*Herbicida_Y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SUMIFS('9'!$E:$E,'9'!$A:$A,Año_Inicial+4,'9'!$D:$D,"Prevención de plagas")</f>
        <v>0</v>
      </c>
      <c r="D26" s="100">
        <f t="shared" si="45"/>
        <v>0</v>
      </c>
      <c r="E26" s="473"/>
      <c r="F26" s="101">
        <f>((A5_A_L1*Plagas_A)+(A5_B_L1*Plagas_B)+(A5_C_L1*Plagas_C)+(A5_D_L1*Plagas_D)+(A5_Y_L1*Plagas_Y))*Inflación_5</f>
        <v>0</v>
      </c>
      <c r="G26" s="101">
        <f>SUMIFS('9'!$E:$E,'9'!$A:$A,Año_Inicial+4,'9'!$B:$B,'12'!F$4,'9'!$D:$D,"Prevención de plagas")</f>
        <v>0</v>
      </c>
      <c r="H26" s="101">
        <f>((A5_A_L2*Plagas_A)+(A5_B_L2*Plagas_B)+(A5_C_L2*Plagas_C)+(A5_D_L2*Plagas_D)+(A5_Y_L2*Plagas_Y))*Inflación_5</f>
        <v>0</v>
      </c>
      <c r="I26" s="101">
        <f>SUMIFS('9'!$E:$E,'9'!$A:$A,Año_Inicial+4,'9'!$B:$B,'12'!H$4,'9'!$D:$D,"Prevención de plagas")</f>
        <v>0</v>
      </c>
      <c r="J26" s="101">
        <f>((A5_A_L3*Plagas_A)+(A5_B_L3*Plagas_B)+(A5_C_L3*Plagas_C)+(A5_D_L3*Plagas_D)+(A5_Y_L3*Plagas_Y))*Inflación_5</f>
        <v>0</v>
      </c>
      <c r="K26" s="101">
        <f>SUMIFS('9'!$E:$E,'9'!$A:$A,Año_Inicial+4,'9'!$B:$B,'12'!J$4,'9'!$D:$D,"Prevención de plagas")</f>
        <v>0</v>
      </c>
      <c r="L26" s="101">
        <f>((A5_A_L4*Plagas_A)+(A5_B_L4*Plagas_B)+(A5_C_L4*Plagas_C)+(A5_D_L4*Plagas_D)+(A5_Y_L4*Plagas_Y))*Inflación_5</f>
        <v>0</v>
      </c>
      <c r="M26" s="101">
        <f>SUMIFS('9'!$E:$E,'9'!$A:$A,Año_Inicial+4,'9'!$B:$B,'12'!L$4,'9'!$D:$D,"Prevención de plagas")</f>
        <v>0</v>
      </c>
      <c r="N26" s="101">
        <f>((A5_A_L5*Plagas_A)+(A5_B_L5*Plagas_B)+(A5_C_L5*Plagas_C)+(A5_D_L5*Plagas_D)+(A5_Y_L5*Plagas_Y))*Inflación_5</f>
        <v>0</v>
      </c>
      <c r="O26" s="101">
        <f>SUMIFS('9'!$E:$E,'9'!$A:$A,Año_Inicial+4,'9'!$B:$B,'12'!N$4,'9'!$D:$D,"Prevención de plagas")</f>
        <v>0</v>
      </c>
      <c r="P26" s="101">
        <f>((A5_A_L6*Plagas_A)+(A5_B_L6*Plagas_B)+(A5_C_L6*Plagas_C)+(A5_D_L6*Plagas_D)+(A5_Y_L6*Plagas_Y))*Inflación_5</f>
        <v>0</v>
      </c>
      <c r="Q26" s="101">
        <f>SUMIFS('9'!$E:$E,'9'!$A:$A,Año_Inicial+4,'9'!$B:$B,'12'!P$4,'9'!$D:$D,"Prevención de plagas")</f>
        <v>0</v>
      </c>
      <c r="R26" s="101">
        <f>((A5_A_L7*Plagas_A)+(A5_B_L7*Plagas_B)+(A5_C_L7*Plagas_C)+(A5_D_L7*Plagas_D)+(A5_Y_L7*Plagas_Y))*Inflación_5</f>
        <v>0</v>
      </c>
      <c r="S26" s="101">
        <f>SUMIFS('9'!$E:$E,'9'!$A:$A,Año_Inicial+4,'9'!$B:$B,'12'!R$4,'9'!$D:$D,"Prevención de plagas")</f>
        <v>0</v>
      </c>
      <c r="T26" s="101">
        <f>((A5_A_L8*Plagas_A)+(A5_B_L8*Plagas_B)+(A5_C_L8*Plagas_C)+(A5_D_L8*Plagas_D)+(A5_Y_L8*Plagas_Y))*Inflación_5</f>
        <v>0</v>
      </c>
      <c r="U26" s="101">
        <f>SUMIFS('9'!$E:$E,'9'!$A:$A,Año_Inicial+4,'9'!$B:$B,'12'!T$4,'9'!$D:$D,"Prevención de plagas")</f>
        <v>0</v>
      </c>
      <c r="V26" s="101">
        <f>((A5_A_L9*Plagas_A)+(A5_B_L9*Plagas_B)+(A5_C_L9*Plagas_C)+(A5_D_L9*Plagas_D)+(A5_Y_L9*Plagas_Y))*Inflación_5</f>
        <v>0</v>
      </c>
      <c r="W26" s="101">
        <f>SUMIFS('9'!$E:$E,'9'!$A:$A,Año_Inicial+4,'9'!$B:$B,'12'!V$4,'9'!$D:$D,"Prevención de plagas")</f>
        <v>0</v>
      </c>
      <c r="X26" s="101">
        <f>((A5_A_L10*Plagas_A)+(A5_B_L10*Plagas_B)+(A5_C_L10*Plagas_C)+(A5_D_L10*Plagas_D)+(A5_Y_L10*Plagas_Y))*Inflación_5</f>
        <v>0</v>
      </c>
      <c r="Y26" s="101">
        <f>SUMIFS('9'!$E:$E,'9'!$A:$A,Año_Inicial+4,'9'!$B:$B,'12'!X$4,'9'!$D:$D,"Prevención de plagas")</f>
        <v>0</v>
      </c>
      <c r="Z26" s="101">
        <f>((A5_A_L11*Plagas_A)+(A5_B_L11*Plagas_B)+(A5_C_L11*Plagas_C)+(A5_D_L11*Plagas_D)+(A5_Y_L11*Plagas_Y))*Inflación_5</f>
        <v>0</v>
      </c>
      <c r="AA26" s="101">
        <f>SUMIFS('9'!$E:$E,'9'!$A:$A,Año_Inicial+4,'9'!$B:$B,'12'!Z$4,'9'!$D:$D,"Prevención de plagas")</f>
        <v>0</v>
      </c>
      <c r="AB26" s="101">
        <f>((A5_A_L12*Plagas_A)+(A5_B_L12*Plagas_B)+(A5_C_L12*Plagas_C)+(A5_D_L12*Plagas_D)+(A5_Y_L12*Plagas_Y))*Inflación_5</f>
        <v>0</v>
      </c>
      <c r="AC26" s="101">
        <f>SUMIFS('9'!$E:$E,'9'!$A:$A,Año_Inicial+4,'9'!$B:$B,'12'!AB$4,'9'!$D:$D,"Prevención de plagas")</f>
        <v>0</v>
      </c>
      <c r="AD26" s="101">
        <f>((A5_A_L13*Plagas_A)+(A5_B_L13*Plagas_B)+(A5_C_L13*Plagas_C)+(A5_D_L13*Plagas_D)+(A5_Y_L13*Plagas_Y))*Inflación_5</f>
        <v>0</v>
      </c>
      <c r="AE26" s="101">
        <f>SUMIFS('9'!$E:$E,'9'!$A:$A,Año_Inicial+4,'9'!$B:$B,'12'!AD$4,'9'!$D:$D,"Prevención de plagas")</f>
        <v>0</v>
      </c>
      <c r="AF26" s="101">
        <f>((A5_A_L14*Plagas_A)+(A5_B_L14*Plagas_B)+(A5_C_L14*Plagas_C)+(A5_D_L14*Plagas_D)+(A5_Y_L14*Plagas_Y))*Inflación_5</f>
        <v>0</v>
      </c>
      <c r="AG26" s="101">
        <f>SUMIFS('9'!$E:$E,'9'!$A:$A,Año_Inicial+4,'9'!$B:$B,'12'!AF$4,'9'!$D:$D,"Prevención de plagas")</f>
        <v>0</v>
      </c>
      <c r="AH26" s="101">
        <f>((A5_A_L15*Plagas_A)+(A5_B_L15*Plagas_B)+(A5_C_L15*Plagas_C)+(A5_D_L15*Plagas_D)+(A5_Y_L15*Plagas_Y))*Inflación_5</f>
        <v>0</v>
      </c>
      <c r="AI26" s="101">
        <f>SUMIFS('9'!$E:$E,'9'!$A:$A,Año_Inicial+4,'9'!$B:$B,'12'!AH$4,'9'!$D:$D,"Prevención de plagas")</f>
        <v>0</v>
      </c>
      <c r="AJ26" s="101">
        <f>((A5_A_L16*Plagas_A)+(A5_B_L16*Plagas_B)+(A5_C_L16*Plagas_C)+(A5_D_L16*Plagas_D)+(A5_Y_L16*Plagas_Y))*Inflación_5</f>
        <v>0</v>
      </c>
      <c r="AK26" s="101">
        <f>SUMIFS('9'!$E:$E,'9'!$A:$A,Año_Inicial+4,'9'!$B:$B,'12'!AJ$4,'9'!$D:$D,"Prevención de plagas")</f>
        <v>0</v>
      </c>
      <c r="AL26" s="101">
        <f>((A5_A_L17*Plagas_A)+(A5_B_L17*Plagas_B)+(A5_C_L17*Plagas_C)+(A5_D_L17*Plagas_D)+(A5_Y_L17*Plagas_Y))*Inflación_5</f>
        <v>0</v>
      </c>
      <c r="AM26" s="101">
        <f>SUMIFS('9'!$E:$E,'9'!$A:$A,Año_Inicial+4,'9'!$B:$B,'12'!AL$4,'9'!$D:$D,"Prevención de plagas")</f>
        <v>0</v>
      </c>
      <c r="AN26" s="101">
        <f>((A5_A_L18*Plagas_A)+(A5_B_L18*Plagas_B)+(A5_C_L18*Plagas_C)+(A5_D_L18*Plagas_D)+(A5_Y_L18*Plagas_Y))*Inflación_5</f>
        <v>0</v>
      </c>
      <c r="AO26" s="101">
        <f>SUMIFS('9'!$E:$E,'9'!$A:$A,Año_Inicial+4,'9'!$B:$B,'12'!AN$4,'9'!$D:$D,"Prevención de plagas")</f>
        <v>0</v>
      </c>
      <c r="AP26" s="101">
        <f>((A5_A_L19*Plagas_A)+(A5_B_L19*Plagas_B)+(A5_C_L19*Plagas_C)+(A5_D_L19*Plagas_D)+(A5_Y_L19*Plagas_Y))*Inflación_5</f>
        <v>0</v>
      </c>
      <c r="AQ26" s="101">
        <f>SUMIFS('9'!$E:$E,'9'!$A:$A,Año_Inicial+4,'9'!$B:$B,'12'!AP$4,'9'!$D:$D,"Prevención de plagas")</f>
        <v>0</v>
      </c>
      <c r="AR26" s="101">
        <f>((A5_A_L20*Plagas_A)+(A5_B_L20*Plagas_B)+(A5_C_L20*Plagas_C)+(A5_D_L20*Plagas_D)+(A5_Y_L20*Plagas_Y))*Inflación_5</f>
        <v>0</v>
      </c>
      <c r="AS26" s="101">
        <f>SUMIFS('9'!$E:$E,'9'!$A:$A,Año_Inicial+4,'9'!$B:$B,'12'!AR$4,'9'!$D:$D,"Prevención de plagas")</f>
        <v>0</v>
      </c>
      <c r="AT26" s="101">
        <f>((A5_A_L21*Plagas_A)+(A5_B_L21*Plagas_B)+(A5_C_L21*Plagas_C)+(A5_D_L21*Plagas_D)+(A5_Y_L21*Plagas_Y))*Inflación_5</f>
        <v>0</v>
      </c>
      <c r="AU26" s="101">
        <f>SUMIFS('9'!$E:$E,'9'!$A:$A,Año_Inicial+4,'9'!$B:$B,'12'!AT$4,'9'!$D:$D,"Prevención de plagas")</f>
        <v>0</v>
      </c>
      <c r="AV26" s="101">
        <f>((A5_A_L22*Plagas_A)+(A5_B_L22*Plagas_B)+(A5_C_L22*Plagas_C)+(A5_D_L22*Plagas_D)+(A5_Y_L22*Plagas_Y))*Inflación_5</f>
        <v>0</v>
      </c>
      <c r="AW26" s="101">
        <f>SUMIFS('9'!$E:$E,'9'!$A:$A,Año_Inicial+4,'9'!$B:$B,'12'!AV$4,'9'!$D:$D,"Prevención de plagas")</f>
        <v>0</v>
      </c>
      <c r="AX26" s="101">
        <f>((A5_A_L23*Plagas_A)+(A5_B_L23*Plagas_B)+(A5_C_L23*Plagas_C)+(A5_D_L23*Plagas_D)+(A5_Y_L23*Plagas_Y))*Inflación_5</f>
        <v>0</v>
      </c>
      <c r="AY26" s="101">
        <f>SUMIFS('9'!$E:$E,'9'!$A:$A,Año_Inicial+4,'9'!$B:$B,'12'!AX$4,'9'!$D:$D,"Prevención de plagas")</f>
        <v>0</v>
      </c>
      <c r="AZ26" s="101">
        <f>((A5_A_L24*Plagas_A)+(A5_B_L24*Plagas_B)+(A5_C_L24*Plagas_C)+(A5_D_L24*Plagas_D)+(A5_Y_L24*Plagas_Y))*Inflación_5</f>
        <v>0</v>
      </c>
      <c r="BA26" s="101">
        <f>SUMIFS('9'!$E:$E,'9'!$A:$A,Año_Inicial+4,'9'!$B:$B,'12'!AZ$4,'9'!$D:$D,"Prevención de plagas")</f>
        <v>0</v>
      </c>
      <c r="BB26" s="101">
        <f>((A5_A_L25*Plagas_A)+(A5_B_L25*Plagas_B)+(A5_C_L25*Plagas_C)+(A5_D_L25*Plagas_D)+(A5_Y_L25*Plagas_Y))*Inflación_5</f>
        <v>0</v>
      </c>
      <c r="BC26" s="101">
        <f>SUMIFS('9'!$E:$E,'9'!$A:$A,Año_Inicial+4,'9'!$B:$B,'12'!BB$4,'9'!$D:$D,"Prevención de plagas")</f>
        <v>0</v>
      </c>
      <c r="BD26" s="101">
        <f>((A5_A_L26*Plagas_A)+(A5_B_L26*Plagas_B)+(A5_C_L26*Plagas_C)+(A5_D_L26*Plagas_D)+(A5_Y_L26*Plagas_Y))*Inflación_5</f>
        <v>0</v>
      </c>
      <c r="BE26" s="101">
        <f>SUMIFS('9'!$E:$E,'9'!$A:$A,Año_Inicial+4,'9'!$B:$B,'12'!BD$4,'9'!$D:$D,"Prevención de plagas")</f>
        <v>0</v>
      </c>
      <c r="BF26" s="101">
        <f>((A5_A_L27*Plagas_A)+(A5_B_L27*Plagas_B)+(A5_C_L27*Plagas_C)+(A5_D_L27*Plagas_D)+(A5_Y_L27*Plagas_Y))*Inflación_5</f>
        <v>0</v>
      </c>
      <c r="BG26" s="101">
        <f>SUMIFS('9'!$E:$E,'9'!$A:$A,Año_Inicial+4,'9'!$B:$B,'12'!BF$4,'9'!$D:$D,"Prevención de plagas")</f>
        <v>0</v>
      </c>
      <c r="BH26" s="101">
        <f>((A5_A_L28*Plagas_A)+(A5_B_L28*Plagas_B)+(A5_C_L28*Plagas_C)+(A5_D_L28*Plagas_D)+(A5_Y_L28*Plagas_Y))*Inflación_5</f>
        <v>0</v>
      </c>
      <c r="BI26" s="101">
        <f>SUMIFS('9'!$E:$E,'9'!$A:$A,Año_Inicial+4,'9'!$B:$B,'12'!BH$4,'9'!$D:$D,"Prevención de plagas")</f>
        <v>0</v>
      </c>
      <c r="BJ26" s="101">
        <f>((A5_A_L29*Plagas_A)+(A5_B_L29*Plagas_B)+(A5_C_L29*Plagas_C)+(A5_D_L29*Plagas_D)+(A5_Y_L29*Plagas_Y))*Inflación_5</f>
        <v>0</v>
      </c>
      <c r="BK26" s="101">
        <f>SUMIFS('9'!$E:$E,'9'!$A:$A,Año_Inicial+4,'9'!$B:$B,'12'!BJ$4,'9'!$D:$D,"Prevención de plagas")</f>
        <v>0</v>
      </c>
      <c r="BL26" s="101">
        <f>((A5_A_L30*Plagas_A)+(A5_B_L30*Plagas_B)+(A5_C_L30*Plagas_C)+(A5_D_L30*Plagas_D)+(A5_Y_L30*Plagas_Y))*Inflación_5</f>
        <v>0</v>
      </c>
      <c r="BM26" s="101">
        <f>SUMIFS('9'!$E:$E,'9'!$A:$A,Año_Inicial+4,'9'!$B:$B,'12'!BL$4,'9'!$D:$D,"Prevención de plagas")</f>
        <v>0</v>
      </c>
      <c r="BN26" s="101">
        <f>((A5_A_L31*Plagas_A)+(A5_B_L31*Plagas_B)+(A5_C_L31*Plagas_C)+(A5_D_L31*Plagas_D)+(A5_Y_L31*Plagas_Y))*Inflación_5</f>
        <v>0</v>
      </c>
      <c r="BO26" s="101">
        <f>SUMIFS('9'!$E:$E,'9'!$A:$A,Año_Inicial+4,'9'!$B:$B,'12'!BN$4,'9'!$D:$D,"Prevención de plagas")</f>
        <v>0</v>
      </c>
      <c r="BP26" s="101">
        <f>((A5_A_L32*Plagas_A)+(A5_B_L32*Plagas_B)+(A5_C_L32*Plagas_C)+(A5_D_L32*Plagas_D)+(A5_Y_L32*Plagas_Y))*Inflación_5</f>
        <v>0</v>
      </c>
      <c r="BQ26" s="101">
        <f>SUMIFS('9'!$E:$E,'9'!$A:$A,Año_Inicial+4,'9'!$B:$B,'12'!BP$4,'9'!$D:$D,"Prevención de plagas")</f>
        <v>0</v>
      </c>
      <c r="BR26" s="101">
        <f>((A5_A_L33*Plagas_A)+(A5_B_L33*Plagas_B)+(A5_C_L33*Plagas_C)+(A5_D_L33*Plagas_D)+(A5_Y_L33*Plagas_Y))*Inflación_5</f>
        <v>0</v>
      </c>
      <c r="BS26" s="101">
        <f>SUMIFS('9'!$E:$E,'9'!$A:$A,Año_Inicial+4,'9'!$B:$B,'12'!BR$4,'9'!$D:$D,"Prevención de plagas")</f>
        <v>0</v>
      </c>
      <c r="BT26" s="101">
        <f>((A5_A_L34*Plagas_A)+(A5_B_L34*Plagas_B)+(A5_C_L34*Plagas_C)+(A5_D_L34*Plagas_D)+(A5_Y_L34*Plagas_Y))*Inflación_5</f>
        <v>0</v>
      </c>
      <c r="BU26" s="101">
        <f>SUMIFS('9'!$E:$E,'9'!$A:$A,Año_Inicial+4,'9'!$B:$B,'12'!BT$4,'9'!$D:$D,"Prevención de plagas")</f>
        <v>0</v>
      </c>
      <c r="BV26" s="101">
        <f>((A5_A_L35*Plagas_A)+(A5_B_L35*Plagas_B)+(A5_C_L35*Plagas_C)+(A5_D_L35*Plagas_D)+(A5_Y_L35*Plagas_Y))*Inflación_5</f>
        <v>0</v>
      </c>
      <c r="BW26" s="101">
        <f>SUMIFS('9'!$E:$E,'9'!$A:$A,Año_Inicial+4,'9'!$B:$B,'12'!BV$4,'9'!$D:$D,"Prevención de plagas")</f>
        <v>0</v>
      </c>
      <c r="BX26" s="101">
        <f>((A5_A_L36*Plagas_A)+(A5_B_L36*Plagas_B)+(A5_C_L36*Plagas_C)+(A5_D_L36*Plagas_D)+(A5_Y_L36*Plagas_Y))*Inflación_5</f>
        <v>0</v>
      </c>
      <c r="BY26" s="101">
        <f>SUMIFS('9'!$E:$E,'9'!$A:$A,Año_Inicial+4,'9'!$B:$B,'12'!BX$4,'9'!$D:$D,"Prevención de plagas")</f>
        <v>0</v>
      </c>
      <c r="BZ26" s="101">
        <f>((A5_A_L37*Plagas_A)+(A5_B_L37*Plagas_B)+(A5_C_L37*Plagas_C)+(A5_D_L37*Plagas_D)+(A5_Y_L37*Plagas_Y))*Inflación_5</f>
        <v>0</v>
      </c>
      <c r="CA26" s="101">
        <f>SUMIFS('9'!$E:$E,'9'!$A:$A,Año_Inicial+4,'9'!$B:$B,'12'!BZ$4,'9'!$D:$D,"Prevención de plagas")</f>
        <v>0</v>
      </c>
      <c r="CB26" s="101">
        <f>((A5_A_L38*Plagas_A)+(A5_B_L38*Plagas_B)+(A5_C_L38*Plagas_C)+(A5_D_L38*Plagas_D)+(A5_Y_L38*Plagas_Y))*Inflación_5</f>
        <v>0</v>
      </c>
      <c r="CC26" s="101">
        <f>SUMIFS('9'!$E:$E,'9'!$A:$A,Año_Inicial+4,'9'!$B:$B,'12'!CB$4,'9'!$D:$D,"Prevención de plagas")</f>
        <v>0</v>
      </c>
      <c r="CD26" s="101">
        <f>((A5_A_L39*Plagas_A)+(A5_B_L39*Plagas_B)+(A5_C_L39*Plagas_C)+(A5_D_L39*Plagas_D)+(A5_Y_L39*Plagas_Y))*Inflación_5</f>
        <v>0</v>
      </c>
      <c r="CE26" s="101">
        <f>SUMIFS('9'!$E:$E,'9'!$A:$A,Año_Inicial+4,'9'!$B:$B,'12'!CD$4,'9'!$D:$D,"Prevención de plagas")</f>
        <v>0</v>
      </c>
      <c r="CF26" s="101">
        <f>((A5_A_L40*Plagas_A)+(A5_B_L40*Plagas_B)+(A5_C_L40*Plagas_C)+(A5_D_L40*Plagas_D)+(A5_Y_L40*Plagas_Y))*Inflación_5</f>
        <v>0</v>
      </c>
      <c r="CG26" s="101">
        <f>SUMIFS('9'!$E:$E,'9'!$A:$A,Año_Inicial+4,'9'!$B:$B,'12'!CF$4,'9'!$D:$D,"Prevención de plagas")</f>
        <v>0</v>
      </c>
      <c r="CH26" s="473"/>
      <c r="CI26" s="101">
        <f>Plantas_A_A5*Plagas_A*Inflación_5</f>
        <v>0</v>
      </c>
      <c r="CJ26" s="101">
        <f>Plantas_B_A5*Plagas_B</f>
        <v>0</v>
      </c>
      <c r="CK26" s="101">
        <f>Plantas_C_A5*Plagas_C</f>
        <v>0</v>
      </c>
      <c r="CL26" s="101">
        <f>Plantas_D_A5*Plagas_D</f>
        <v>0</v>
      </c>
      <c r="CM26" s="101"/>
      <c r="CN26" s="101">
        <f>Plantas_Y_A5*Plagas_Y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SUMIFS('9'!$E:$E,'9'!$A:$A,Año_Inicial+4,'9'!$D:$D,"Insecticida")</f>
        <v>0</v>
      </c>
      <c r="D27" s="100">
        <f t="shared" si="45"/>
        <v>0</v>
      </c>
      <c r="E27" s="473"/>
      <c r="F27" s="101">
        <f>((A5_A_L1*Insecticida_A)+(A5_B_L1*Insecticida_B)+(A5_C_L1*Insecticida_C)+(A5_D_L1*Insecticida_D)+(A5_Y_L1*Insecticida_Y))*Inflación_5</f>
        <v>0</v>
      </c>
      <c r="G27" s="101">
        <f>SUMIFS('9'!$E:$E,'9'!$A:$A,Año_Inicial+4,'9'!$B:$B,'12'!F$4,'9'!$D:$D,"Insecticida")</f>
        <v>0</v>
      </c>
      <c r="H27" s="101">
        <f>((A5_A_L2*Insecticida_A)+(A5_B_L2*Insecticida_B)+(A5_C_L2*Insecticida_C)+(A5_D_L2*Insecticida_D)+(A5_Y_L2*Insecticida_Y))*Inflación_5</f>
        <v>0</v>
      </c>
      <c r="I27" s="101">
        <f>SUMIFS('9'!$E:$E,'9'!$A:$A,Año_Inicial+4,'9'!$B:$B,'12'!H$4,'9'!$D:$D,"Insecticida")</f>
        <v>0</v>
      </c>
      <c r="J27" s="101">
        <f>((A5_A_L3*Insecticida_A)+(A5_B_L3*Insecticida_B)+(A5_C_L3*Insecticida_C)+(A5_D_L3*Insecticida_D)+(A5_Y_L3*Insecticida_Y))*Inflación_5</f>
        <v>0</v>
      </c>
      <c r="K27" s="101">
        <f>SUMIFS('9'!$E:$E,'9'!$A:$A,Año_Inicial+4,'9'!$B:$B,'12'!J$4,'9'!$D:$D,"Insecticida")</f>
        <v>0</v>
      </c>
      <c r="L27" s="101">
        <f>((A5_A_L4*Insecticida_A)+(A5_B_L4*Insecticida_B)+(A5_C_L4*Insecticida_C)+(A5_D_L4*Insecticida_D)+(A5_Y_L4*Insecticida_Y))*Inflación_5</f>
        <v>0</v>
      </c>
      <c r="M27" s="101">
        <f>SUMIFS('9'!$E:$E,'9'!$A:$A,Año_Inicial+4,'9'!$B:$B,'12'!L$4,'9'!$D:$D,"Insecticida")</f>
        <v>0</v>
      </c>
      <c r="N27" s="101">
        <f>((A5_A_L5*Insecticida_A)+(A5_B_L5*Insecticida_B)+(A5_C_L5*Insecticida_C)+(A5_D_L5*Insecticida_D)+(A5_Y_L5*Insecticida_Y))*Inflación_5</f>
        <v>0</v>
      </c>
      <c r="O27" s="101">
        <f>SUMIFS('9'!$E:$E,'9'!$A:$A,Año_Inicial+4,'9'!$B:$B,'12'!N$4,'9'!$D:$D,"Insecticida")</f>
        <v>0</v>
      </c>
      <c r="P27" s="101">
        <f>((A5_A_L6*Insecticida_A)+(A5_B_L6*Insecticida_B)+(A5_C_L6*Insecticida_C)+(A5_D_L6*Insecticida_D)+(A5_Y_L6*Insecticida_Y))*Inflación_5</f>
        <v>0</v>
      </c>
      <c r="Q27" s="101">
        <f>SUMIFS('9'!$E:$E,'9'!$A:$A,Año_Inicial+4,'9'!$B:$B,'12'!P$4,'9'!$D:$D,"Insecticida")</f>
        <v>0</v>
      </c>
      <c r="R27" s="101">
        <f>((A5_A_L7*Insecticida_A)+(A5_B_L7*Insecticida_B)+(A5_C_L7*Insecticida_C)+(A5_D_L7*Insecticida_D)+(A5_Y_L7*Insecticida_Y))*Inflación_5</f>
        <v>0</v>
      </c>
      <c r="S27" s="101">
        <f>SUMIFS('9'!$E:$E,'9'!$A:$A,Año_Inicial+4,'9'!$B:$B,'12'!R$4,'9'!$D:$D,"Insecticida")</f>
        <v>0</v>
      </c>
      <c r="T27" s="101">
        <f>((A5_A_L8*Insecticida_A)+(A5_B_L8*Insecticida_B)+(A5_C_L8*Insecticida_C)+(A5_D_L8*Insecticida_D)+(A5_Y_L8*Insecticida_Y))*Inflación_5</f>
        <v>0</v>
      </c>
      <c r="U27" s="101">
        <f>SUMIFS('9'!$E:$E,'9'!$A:$A,Año_Inicial+4,'9'!$B:$B,'12'!T$4,'9'!$D:$D,"Insecticida")</f>
        <v>0</v>
      </c>
      <c r="V27" s="101">
        <f>((A5_A_L9*Insecticida_A)+(A5_B_L9*Insecticida_B)+(A5_C_L9*Insecticida_C)+(A5_D_L9*Insecticida_D)+(A5_Y_L9*Insecticida_Y))*Inflación_5</f>
        <v>0</v>
      </c>
      <c r="W27" s="101">
        <f>SUMIFS('9'!$E:$E,'9'!$A:$A,Año_Inicial+4,'9'!$B:$B,'12'!V$4,'9'!$D:$D,"Insecticida")</f>
        <v>0</v>
      </c>
      <c r="X27" s="101">
        <f>((A5_A_L10*Insecticida_A)+(A5_B_L10*Insecticida_B)+(A5_C_L10*Insecticida_C)+(A5_D_L10*Insecticida_D)+(A5_Y_L10*Insecticida_Y))*Inflación_5</f>
        <v>0</v>
      </c>
      <c r="Y27" s="101">
        <f>SUMIFS('9'!$E:$E,'9'!$A:$A,Año_Inicial+4,'9'!$B:$B,'12'!X$4,'9'!$D:$D,"Insecticida")</f>
        <v>0</v>
      </c>
      <c r="Z27" s="101">
        <f>((A5_A_L11*Insecticida_A)+(A5_B_L11*Insecticida_B)+(A5_C_L11*Insecticida_C)+(A5_D_L11*Insecticida_D)+(A5_Y_L11*Insecticida_Y))*Inflación_5</f>
        <v>0</v>
      </c>
      <c r="AA27" s="101">
        <f>SUMIFS('9'!$E:$E,'9'!$A:$A,Año_Inicial+4,'9'!$B:$B,'12'!Z$4,'9'!$D:$D,"Insecticida")</f>
        <v>0</v>
      </c>
      <c r="AB27" s="101">
        <f>((A5_A_L12*Insecticida_A)+(A5_B_L12*Insecticida_B)+(A5_C_L12*Insecticida_C)+(A5_D_L12*Insecticida_D)+(A5_Y_L12*Insecticida_Y))*Inflación_5</f>
        <v>0</v>
      </c>
      <c r="AC27" s="101">
        <f>SUMIFS('9'!$E:$E,'9'!$A:$A,Año_Inicial+4,'9'!$B:$B,'12'!AB$4,'9'!$D:$D,"Insecticida")</f>
        <v>0</v>
      </c>
      <c r="AD27" s="101">
        <f>((A5_A_L13*Insecticida_A)+(A5_B_L13*Insecticida_B)+(A5_C_L13*Insecticida_C)+(A5_D_L13*Insecticida_D)+(A5_Y_L13*Insecticida_Y))*Inflación_5</f>
        <v>0</v>
      </c>
      <c r="AE27" s="101">
        <f>SUMIFS('9'!$E:$E,'9'!$A:$A,Año_Inicial+4,'9'!$B:$B,'12'!AD$4,'9'!$D:$D,"Insecticida")</f>
        <v>0</v>
      </c>
      <c r="AF27" s="101">
        <f>((A5_A_L14*Insecticida_A)+(A5_B_L14*Insecticida_B)+(A5_C_L14*Insecticida_C)+(A5_D_L14*Insecticida_D)+(A5_Y_L14*Insecticida_Y))*Inflación_5</f>
        <v>0</v>
      </c>
      <c r="AG27" s="101">
        <f>SUMIFS('9'!$E:$E,'9'!$A:$A,Año_Inicial+4,'9'!$B:$B,'12'!AF$4,'9'!$D:$D,"Insecticida")</f>
        <v>0</v>
      </c>
      <c r="AH27" s="101">
        <f>((A5_A_L15*Insecticida_A)+(A5_B_L15*Insecticida_B)+(A5_C_L15*Insecticida_C)+(A5_D_L15*Insecticida_D)+(A5_Y_L15*Insecticida_Y))*Inflación_5</f>
        <v>0</v>
      </c>
      <c r="AI27" s="101">
        <f>SUMIFS('9'!$E:$E,'9'!$A:$A,Año_Inicial+4,'9'!$B:$B,'12'!AH$4,'9'!$D:$D,"Insecticida")</f>
        <v>0</v>
      </c>
      <c r="AJ27" s="101">
        <f>((A5_A_L16*Insecticida_A)+(A5_B_L16*Insecticida_B)+(A5_C_L16*Insecticida_C)+(A5_D_L16*Insecticida_D)+(A5_Y_L16*Insecticida_Y))*Inflación_5</f>
        <v>0</v>
      </c>
      <c r="AK27" s="101">
        <f>SUMIFS('9'!$E:$E,'9'!$A:$A,Año_Inicial+4,'9'!$B:$B,'12'!AJ$4,'9'!$D:$D,"Insecticida")</f>
        <v>0</v>
      </c>
      <c r="AL27" s="101">
        <f>((A5_A_L17*Insecticida_A)+(A5_B_L17*Insecticida_B)+(A5_C_L17*Insecticida_C)+(A5_D_L17*Insecticida_D)+(A5_Y_L17*Insecticida_Y))*Inflación_5</f>
        <v>0</v>
      </c>
      <c r="AM27" s="101">
        <f>SUMIFS('9'!$E:$E,'9'!$A:$A,Año_Inicial+4,'9'!$B:$B,'12'!AL$4,'9'!$D:$D,"Insecticida")</f>
        <v>0</v>
      </c>
      <c r="AN27" s="101">
        <f>((A5_A_L18*Insecticida_A)+(A5_B_L18*Insecticida_B)+(A5_C_L18*Insecticida_C)+(A5_D_L18*Insecticida_D)+(A5_Y_L18*Insecticida_Y))*Inflación_5</f>
        <v>0</v>
      </c>
      <c r="AO27" s="101">
        <f>SUMIFS('9'!$E:$E,'9'!$A:$A,Año_Inicial+4,'9'!$B:$B,'12'!AN$4,'9'!$D:$D,"Insecticida")</f>
        <v>0</v>
      </c>
      <c r="AP27" s="101">
        <f>((A5_A_L19*Insecticida_A)+(A5_B_L19*Insecticida_B)+(A5_C_L19*Insecticida_C)+(A5_D_L19*Insecticida_D)+(A5_Y_L19*Insecticida_Y))*Inflación_5</f>
        <v>0</v>
      </c>
      <c r="AQ27" s="101">
        <f>SUMIFS('9'!$E:$E,'9'!$A:$A,Año_Inicial+4,'9'!$B:$B,'12'!AP$4,'9'!$D:$D,"Insecticida")</f>
        <v>0</v>
      </c>
      <c r="AR27" s="101">
        <f>((A5_A_L20*Insecticida_A)+(A5_B_L20*Insecticida_B)+(A5_C_L20*Insecticida_C)+(A5_D_L20*Insecticida_D)+(A5_Y_L20*Insecticida_Y))*Inflación_5</f>
        <v>0</v>
      </c>
      <c r="AS27" s="101">
        <f>SUMIFS('9'!$E:$E,'9'!$A:$A,Año_Inicial+4,'9'!$B:$B,'12'!AR$4,'9'!$D:$D,"Insecticida")</f>
        <v>0</v>
      </c>
      <c r="AT27" s="101">
        <f>((A5_A_L21*Insecticida_A)+(A5_B_L21*Insecticida_B)+(A5_C_L21*Insecticida_C)+(A5_D_L21*Insecticida_D)+(A5_Y_L21*Insecticida_Y))*Inflación_5</f>
        <v>0</v>
      </c>
      <c r="AU27" s="101">
        <f>SUMIFS('9'!$E:$E,'9'!$A:$A,Año_Inicial+4,'9'!$B:$B,'12'!AT$4,'9'!$D:$D,"Insecticida")</f>
        <v>0</v>
      </c>
      <c r="AV27" s="101">
        <f>((A5_A_L22*Insecticida_A)+(A5_B_L22*Insecticida_B)+(A5_C_L22*Insecticida_C)+(A5_D_L22*Insecticida_D)+(A5_Y_L22*Insecticida_Y))*Inflación_5</f>
        <v>0</v>
      </c>
      <c r="AW27" s="101">
        <f>SUMIFS('9'!$E:$E,'9'!$A:$A,Año_Inicial+4,'9'!$B:$B,'12'!AV$4,'9'!$D:$D,"Insecticida")</f>
        <v>0</v>
      </c>
      <c r="AX27" s="101">
        <f>((A5_A_L23*Insecticida_A)+(A5_B_L23*Insecticida_B)+(A5_C_L23*Insecticida_C)+(A5_D_L23*Insecticida_D)+(A5_Y_L23*Insecticida_Y))*Inflación_5</f>
        <v>0</v>
      </c>
      <c r="AY27" s="101">
        <f>SUMIFS('9'!$E:$E,'9'!$A:$A,Año_Inicial+4,'9'!$B:$B,'12'!AX$4,'9'!$D:$D,"Insecticida")</f>
        <v>0</v>
      </c>
      <c r="AZ27" s="101">
        <f>((A5_A_L24*Insecticida_A)+(A5_B_L24*Insecticida_B)+(A5_C_L24*Insecticida_C)+(A5_D_L24*Insecticida_D)+(A5_Y_L24*Insecticida_Y))*Inflación_5</f>
        <v>0</v>
      </c>
      <c r="BA27" s="101">
        <f>SUMIFS('9'!$E:$E,'9'!$A:$A,Año_Inicial+4,'9'!$B:$B,'12'!AZ$4,'9'!$D:$D,"Insecticida")</f>
        <v>0</v>
      </c>
      <c r="BB27" s="101">
        <f>((A5_A_L25*Insecticida_A)+(A5_B_L25*Insecticida_B)+(A5_C_L25*Insecticida_C)+(A5_D_L25*Insecticida_D)+(A5_Y_L25*Insecticida_Y))*Inflación_5</f>
        <v>0</v>
      </c>
      <c r="BC27" s="101">
        <f>SUMIFS('9'!$E:$E,'9'!$A:$A,Año_Inicial+4,'9'!$B:$B,'12'!BB$4,'9'!$D:$D,"Insecticida")</f>
        <v>0</v>
      </c>
      <c r="BD27" s="101">
        <f>((A5_A_L26*Insecticida_A)+(A5_B_L26*Insecticida_B)+(A5_C_L26*Insecticida_C)+(A5_D_L26*Insecticida_D)+(A5_Y_L26*Insecticida_Y))*Inflación_5</f>
        <v>0</v>
      </c>
      <c r="BE27" s="101">
        <f>SUMIFS('9'!$E:$E,'9'!$A:$A,Año_Inicial+4,'9'!$B:$B,'12'!BD$4,'9'!$D:$D,"Insecticida")</f>
        <v>0</v>
      </c>
      <c r="BF27" s="101">
        <f>((A5_A_L27*Insecticida_A)+(A5_B_L27*Insecticida_B)+(A5_C_L27*Insecticida_C)+(A5_D_L27*Insecticida_D)+(A5_Y_L27*Insecticida_Y))*Inflación_5</f>
        <v>0</v>
      </c>
      <c r="BG27" s="101">
        <f>SUMIFS('9'!$E:$E,'9'!$A:$A,Año_Inicial+4,'9'!$B:$B,'12'!BF$4,'9'!$D:$D,"Insecticida")</f>
        <v>0</v>
      </c>
      <c r="BH27" s="101">
        <f>((A5_A_L28*Insecticida_A)+(A5_B_L28*Insecticida_B)+(A5_C_L28*Insecticida_C)+(A5_D_L28*Insecticida_D)+(A5_Y_L28*Insecticida_Y))*Inflación_5</f>
        <v>0</v>
      </c>
      <c r="BI27" s="101">
        <f>SUMIFS('9'!$E:$E,'9'!$A:$A,Año_Inicial+4,'9'!$B:$B,'12'!BH$4,'9'!$D:$D,"Insecticida")</f>
        <v>0</v>
      </c>
      <c r="BJ27" s="101">
        <f>((A5_A_L29*Insecticida_A)+(A5_B_L29*Insecticida_B)+(A5_C_L29*Insecticida_C)+(A5_D_L29*Insecticida_D)+(A5_Y_L29*Insecticida_Y))*Inflación_5</f>
        <v>0</v>
      </c>
      <c r="BK27" s="101">
        <f>SUMIFS('9'!$E:$E,'9'!$A:$A,Año_Inicial+4,'9'!$B:$B,'12'!BJ$4,'9'!$D:$D,"Insecticida")</f>
        <v>0</v>
      </c>
      <c r="BL27" s="101">
        <f>((A5_A_L30*Insecticida_A)+(A5_B_L30*Insecticida_B)+(A5_C_L30*Insecticida_C)+(A5_D_L30*Insecticida_D)+(A5_Y_L30*Insecticida_Y))*Inflación_5</f>
        <v>0</v>
      </c>
      <c r="BM27" s="101">
        <f>SUMIFS('9'!$E:$E,'9'!$A:$A,Año_Inicial+4,'9'!$B:$B,'12'!BL$4,'9'!$D:$D,"Insecticida")</f>
        <v>0</v>
      </c>
      <c r="BN27" s="101">
        <f>((A5_A_L31*Insecticida_A)+(A5_B_L31*Insecticida_B)+(A5_C_L31*Insecticida_C)+(A5_D_L31*Insecticida_D)+(A5_Y_L31*Insecticida_Y))*Inflación_5</f>
        <v>0</v>
      </c>
      <c r="BO27" s="101">
        <f>SUMIFS('9'!$E:$E,'9'!$A:$A,Año_Inicial+4,'9'!$B:$B,'12'!BN$4,'9'!$D:$D,"Insecticida")</f>
        <v>0</v>
      </c>
      <c r="BP27" s="101">
        <f>((A5_A_L32*Insecticida_A)+(A5_B_L32*Insecticida_B)+(A5_C_L32*Insecticida_C)+(A5_D_L32*Insecticida_D)+(A5_Y_L32*Insecticida_Y))*Inflación_5</f>
        <v>0</v>
      </c>
      <c r="BQ27" s="101">
        <f>SUMIFS('9'!$E:$E,'9'!$A:$A,Año_Inicial+4,'9'!$B:$B,'12'!BP$4,'9'!$D:$D,"Insecticida")</f>
        <v>0</v>
      </c>
      <c r="BR27" s="101">
        <f>((A5_A_L33*Insecticida_A)+(A5_B_L33*Insecticida_B)+(A5_C_L33*Insecticida_C)+(A5_D_L33*Insecticida_D)+(A5_Y_L33*Insecticida_Y))*Inflación_5</f>
        <v>0</v>
      </c>
      <c r="BS27" s="101">
        <f>SUMIFS('9'!$E:$E,'9'!$A:$A,Año_Inicial+4,'9'!$B:$B,'12'!BR$4,'9'!$D:$D,"Insecticida")</f>
        <v>0</v>
      </c>
      <c r="BT27" s="101">
        <f>((A5_A_L34*Insecticida_A)+(A5_B_L34*Insecticida_B)+(A5_C_L34*Insecticida_C)+(A5_D_L34*Insecticida_D)+(A5_Y_L34*Insecticida_Y))*Inflación_5</f>
        <v>0</v>
      </c>
      <c r="BU27" s="101">
        <f>SUMIFS('9'!$E:$E,'9'!$A:$A,Año_Inicial+4,'9'!$B:$B,'12'!BT$4,'9'!$D:$D,"Insecticida")</f>
        <v>0</v>
      </c>
      <c r="BV27" s="101">
        <f>((A5_A_L35*Insecticida_A)+(A5_B_L35*Insecticida_B)+(A5_C_L35*Insecticida_C)+(A5_D_L35*Insecticida_D)+(A5_Y_L35*Insecticida_Y))*Inflación_5</f>
        <v>0</v>
      </c>
      <c r="BW27" s="101">
        <f>SUMIFS('9'!$E:$E,'9'!$A:$A,Año_Inicial+4,'9'!$B:$B,'12'!BV$4,'9'!$D:$D,"Insecticida")</f>
        <v>0</v>
      </c>
      <c r="BX27" s="101">
        <f>((A5_A_L36*Insecticida_A)+(A5_B_L36*Insecticida_B)+(A5_C_L36*Insecticida_C)+(A5_D_L36*Insecticida_D)+(A5_Y_L36*Insecticida_Y))*Inflación_5</f>
        <v>0</v>
      </c>
      <c r="BY27" s="101">
        <f>SUMIFS('9'!$E:$E,'9'!$A:$A,Año_Inicial+4,'9'!$B:$B,'12'!BX$4,'9'!$D:$D,"Insecticida")</f>
        <v>0</v>
      </c>
      <c r="BZ27" s="101">
        <f>((A5_A_L37*Insecticida_A)+(A5_B_L37*Insecticida_B)+(A5_C_L37*Insecticida_C)+(A5_D_L37*Insecticida_D)+(A5_Y_L37*Insecticida_Y))*Inflación_5</f>
        <v>0</v>
      </c>
      <c r="CA27" s="101">
        <f>SUMIFS('9'!$E:$E,'9'!$A:$A,Año_Inicial+4,'9'!$B:$B,'12'!BZ$4,'9'!$D:$D,"Insecticida")</f>
        <v>0</v>
      </c>
      <c r="CB27" s="101">
        <f>((A5_A_L38*Insecticida_A)+(A5_B_L38*Insecticida_B)+(A5_C_L38*Insecticida_C)+(A5_D_L38*Insecticida_D)+(A5_Y_L38*Insecticida_Y))*Inflación_5</f>
        <v>0</v>
      </c>
      <c r="CC27" s="101">
        <f>SUMIFS('9'!$E:$E,'9'!$A:$A,Año_Inicial+4,'9'!$B:$B,'12'!CB$4,'9'!$D:$D,"Insecticida")</f>
        <v>0</v>
      </c>
      <c r="CD27" s="101">
        <f>((A5_A_L39*Insecticida_A)+(A5_B_L39*Insecticida_B)+(A5_C_L39*Insecticida_C)+(A5_D_L39*Insecticida_D)+(A5_Y_L39*Insecticida_Y))*Inflación_5</f>
        <v>0</v>
      </c>
      <c r="CE27" s="101">
        <f>SUMIFS('9'!$E:$E,'9'!$A:$A,Año_Inicial+4,'9'!$B:$B,'12'!CD$4,'9'!$D:$D,"Insecticida")</f>
        <v>0</v>
      </c>
      <c r="CF27" s="101">
        <f>((A5_A_L40*Insecticida_A)+(A5_B_L40*Insecticida_B)+(A5_C_L40*Insecticida_C)+(A5_D_L40*Insecticida_D)+(A5_Y_L40*Insecticida_Y))*Inflación_5</f>
        <v>0</v>
      </c>
      <c r="CG27" s="101">
        <f>SUMIFS('9'!$E:$E,'9'!$A:$A,Año_Inicial+4,'9'!$B:$B,'12'!CF$4,'9'!$D:$D,"Insecticida")</f>
        <v>0</v>
      </c>
      <c r="CH27" s="473"/>
      <c r="CI27" s="101">
        <f>Plantas_A_A5*Insecticida_A*Inflación_5</f>
        <v>0</v>
      </c>
      <c r="CJ27" s="101">
        <f>Plantas_B_A5*Insecticida_B</f>
        <v>0</v>
      </c>
      <c r="CK27" s="101">
        <f>Plantas_C_A5*Insecticida_C</f>
        <v>0</v>
      </c>
      <c r="CL27" s="101">
        <f>Plantas_D_A5*Insecticida_D</f>
        <v>0</v>
      </c>
      <c r="CM27" s="101"/>
      <c r="CN27" s="101">
        <f>Plantas_Y_A5*Insecticida_Y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SUMIFS('9'!$E:$E,'9'!$A:$A,Año_Inicial+4,'9'!$D:$D,"Prevención de enfermedades")</f>
        <v>0</v>
      </c>
      <c r="D29" s="100">
        <f t="shared" si="45"/>
        <v>0</v>
      </c>
      <c r="E29" s="473"/>
      <c r="F29" s="101">
        <f>((A5_A_L1*Enfermedades_A)+(A5_B_L1*Enfermedades_B)+(A5_C_L1*Enfermedades_C)+(A5_D_L1*Enfermedades_D)+(A5_Y_L1*Enfermedades_Y))*Inflación_5</f>
        <v>0</v>
      </c>
      <c r="G29" s="101">
        <f>SUMIFS('9'!$E:$E,'9'!$A:$A,Año_Inicial+4,'9'!$B:$B,'12'!F$4,'9'!$D:$D,"Prevención de enfermedades")</f>
        <v>0</v>
      </c>
      <c r="H29" s="101">
        <f>((A5_A_L2*Enfermedades_A)+(A5_B_L2*Enfermedades_B)+(A5_C_L2*Enfermedades_C)+(A5_D_L2*Enfermedades_D)+(A5_Y_L2*Enfermedades_Y))*Inflación_5</f>
        <v>0</v>
      </c>
      <c r="I29" s="101">
        <f>SUMIFS('9'!$E:$E,'9'!$A:$A,Año_Inicial+4,'9'!$B:$B,'12'!H$4,'9'!$D:$D,"Prevención de enfermedades")</f>
        <v>0</v>
      </c>
      <c r="J29" s="101">
        <f>((A5_A_L3*Enfermedades_A)+(A5_B_L3*Enfermedades_B)+(A5_C_L3*Enfermedades_C)+(A5_D_L3*Enfermedades_D)+(A5_Y_L3*Enfermedades_Y))*Inflación_5</f>
        <v>0</v>
      </c>
      <c r="K29" s="101">
        <f>SUMIFS('9'!$E:$E,'9'!$A:$A,Año_Inicial+4,'9'!$B:$B,'12'!J$4,'9'!$D:$D,"Prevención de enfermedades")</f>
        <v>0</v>
      </c>
      <c r="L29" s="101">
        <f>((A5_A_L4*Enfermedades_A)+(A5_B_L4*Enfermedades_B)+(A5_C_L4*Enfermedades_C)+(A5_D_L4*Enfermedades_D)+(A5_Y_L4*Enfermedades_Y))*Inflación_5</f>
        <v>0</v>
      </c>
      <c r="M29" s="101">
        <f>SUMIFS('9'!$E:$E,'9'!$A:$A,Año_Inicial+4,'9'!$B:$B,'12'!L$4,'9'!$D:$D,"Prevención de enfermedades")</f>
        <v>0</v>
      </c>
      <c r="N29" s="101">
        <f>((A5_A_L5*Enfermedades_A)+(A5_B_L5*Enfermedades_B)+(A5_C_L5*Enfermedades_C)+(A5_D_L5*Enfermedades_D)+(A5_Y_L5*Enfermedades_Y))*Inflación_5</f>
        <v>0</v>
      </c>
      <c r="O29" s="101">
        <f>SUMIFS('9'!$E:$E,'9'!$A:$A,Año_Inicial+4,'9'!$B:$B,'12'!N$4,'9'!$D:$D,"Prevención de enfermedades")</f>
        <v>0</v>
      </c>
      <c r="P29" s="101">
        <f>((A5_A_L6*Enfermedades_A)+(A5_B_L6*Enfermedades_B)+(A5_C_L6*Enfermedades_C)+(A5_D_L6*Enfermedades_D)+(A5_Y_L6*Enfermedades_Y))*Inflación_5</f>
        <v>0</v>
      </c>
      <c r="Q29" s="101">
        <f>SUMIFS('9'!$E:$E,'9'!$A:$A,Año_Inicial+4,'9'!$B:$B,'12'!P$4,'9'!$D:$D,"Prevención de enfermedades")</f>
        <v>0</v>
      </c>
      <c r="R29" s="101">
        <f>((A5_A_L7*Enfermedades_A)+(A5_B_L7*Enfermedades_B)+(A5_C_L7*Enfermedades_C)+(A5_D_L7*Enfermedades_D)+(A5_Y_L7*Enfermedades_Y))*Inflación_5</f>
        <v>0</v>
      </c>
      <c r="S29" s="101">
        <f>SUMIFS('9'!$E:$E,'9'!$A:$A,Año_Inicial+4,'9'!$B:$B,'12'!R$4,'9'!$D:$D,"Prevención de enfermedades")</f>
        <v>0</v>
      </c>
      <c r="T29" s="101">
        <f>((A5_A_L8*Enfermedades_A)+(A5_B_L8*Enfermedades_B)+(A5_C_L8*Enfermedades_C)+(A5_D_L8*Enfermedades_D)+(A5_Y_L8*Enfermedades_Y))*Inflación_5</f>
        <v>0</v>
      </c>
      <c r="U29" s="101">
        <f>SUMIFS('9'!$E:$E,'9'!$A:$A,Año_Inicial+4,'9'!$B:$B,'12'!T$4,'9'!$D:$D,"Prevención de enfermedades")</f>
        <v>0</v>
      </c>
      <c r="V29" s="101">
        <f>((A5_A_L9*Enfermedades_A)+(A5_B_L9*Enfermedades_B)+(A5_C_L9*Enfermedades_C)+(A5_D_L9*Enfermedades_D)+(A5_Y_L9*Enfermedades_Y))*Inflación_5</f>
        <v>0</v>
      </c>
      <c r="W29" s="101">
        <f>SUMIFS('9'!$E:$E,'9'!$A:$A,Año_Inicial+4,'9'!$B:$B,'12'!V$4,'9'!$D:$D,"Prevención de enfermedades")</f>
        <v>0</v>
      </c>
      <c r="X29" s="101">
        <f>((A5_A_L10*Enfermedades_A)+(A5_B_L10*Enfermedades_B)+(A5_C_L10*Enfermedades_C)+(A5_D_L10*Enfermedades_D)+(A5_Y_L10*Enfermedades_Y))*Inflación_5</f>
        <v>0</v>
      </c>
      <c r="Y29" s="101">
        <f>SUMIFS('9'!$E:$E,'9'!$A:$A,Año_Inicial+4,'9'!$B:$B,'12'!X$4,'9'!$D:$D,"Prevención de enfermedades")</f>
        <v>0</v>
      </c>
      <c r="Z29" s="101">
        <f>((A5_A_L11*Enfermedades_A)+(A5_B_L11*Enfermedades_B)+(A5_C_L11*Enfermedades_C)+(A5_D_L11*Enfermedades_D)+(A5_Y_L11*Enfermedades_Y))*Inflación_5</f>
        <v>0</v>
      </c>
      <c r="AA29" s="101">
        <f>SUMIFS('9'!$E:$E,'9'!$A:$A,Año_Inicial+4,'9'!$B:$B,'12'!Z$4,'9'!$D:$D,"Prevención de enfermedades")</f>
        <v>0</v>
      </c>
      <c r="AB29" s="101">
        <f>((A5_A_L12*Enfermedades_A)+(A5_B_L12*Enfermedades_B)+(A5_C_L12*Enfermedades_C)+(A5_D_L12*Enfermedades_D)+(A5_Y_L12*Enfermedades_Y))*Inflación_5</f>
        <v>0</v>
      </c>
      <c r="AC29" s="101">
        <f>SUMIFS('9'!$E:$E,'9'!$A:$A,Año_Inicial+4,'9'!$B:$B,'12'!AB$4,'9'!$D:$D,"Prevención de enfermedades")</f>
        <v>0</v>
      </c>
      <c r="AD29" s="101">
        <f>((A5_A_L13*Enfermedades_A)+(A5_B_L13*Enfermedades_B)+(A5_C_L13*Enfermedades_C)+(A5_D_L13*Enfermedades_D)+(A5_Y_L13*Enfermedades_Y))*Inflación_5</f>
        <v>0</v>
      </c>
      <c r="AE29" s="101">
        <f>SUMIFS('9'!$E:$E,'9'!$A:$A,Año_Inicial+4,'9'!$B:$B,'12'!AD$4,'9'!$D:$D,"Prevención de enfermedades")</f>
        <v>0</v>
      </c>
      <c r="AF29" s="101">
        <f>((A5_A_L14*Enfermedades_A)+(A5_B_L14*Enfermedades_B)+(A5_C_L14*Enfermedades_C)+(A5_D_L14*Enfermedades_D)+(A5_Y_L14*Enfermedades_Y))*Inflación_5</f>
        <v>0</v>
      </c>
      <c r="AG29" s="101">
        <f>SUMIFS('9'!$E:$E,'9'!$A:$A,Año_Inicial+4,'9'!$B:$B,'12'!AF$4,'9'!$D:$D,"Prevención de enfermedades")</f>
        <v>0</v>
      </c>
      <c r="AH29" s="101">
        <f>((A5_A_L15*Enfermedades_A)+(A5_B_L15*Enfermedades_B)+(A5_C_L15*Enfermedades_C)+(A5_D_L15*Enfermedades_D)+(A5_Y_L15*Enfermedades_Y))*Inflación_5</f>
        <v>0</v>
      </c>
      <c r="AI29" s="101">
        <f>SUMIFS('9'!$E:$E,'9'!$A:$A,Año_Inicial+4,'9'!$B:$B,'12'!AH$4,'9'!$D:$D,"Prevención de enfermedades")</f>
        <v>0</v>
      </c>
      <c r="AJ29" s="101">
        <f>((A5_A_L16*Enfermedades_A)+(A5_B_L16*Enfermedades_B)+(A5_C_L16*Enfermedades_C)+(A5_D_L16*Enfermedades_D)+(A5_Y_L16*Enfermedades_Y))*Inflación_5</f>
        <v>0</v>
      </c>
      <c r="AK29" s="101">
        <f>SUMIFS('9'!$E:$E,'9'!$A:$A,Año_Inicial+4,'9'!$B:$B,'12'!AJ$4,'9'!$D:$D,"Prevención de enfermedades")</f>
        <v>0</v>
      </c>
      <c r="AL29" s="101">
        <f>((A5_A_L17*Enfermedades_A)+(A5_B_L17*Enfermedades_B)+(A5_C_L17*Enfermedades_C)+(A5_D_L17*Enfermedades_D)+(A5_Y_L17*Enfermedades_Y))*Inflación_5</f>
        <v>0</v>
      </c>
      <c r="AM29" s="101">
        <f>SUMIFS('9'!$E:$E,'9'!$A:$A,Año_Inicial+4,'9'!$B:$B,'12'!AL$4,'9'!$D:$D,"Prevención de enfermedades")</f>
        <v>0</v>
      </c>
      <c r="AN29" s="101">
        <f>((A5_A_L18*Enfermedades_A)+(A5_B_L18*Enfermedades_B)+(A5_C_L18*Enfermedades_C)+(A5_D_L18*Enfermedades_D)+(A5_Y_L18*Enfermedades_Y))*Inflación_5</f>
        <v>0</v>
      </c>
      <c r="AO29" s="101">
        <f>SUMIFS('9'!$E:$E,'9'!$A:$A,Año_Inicial+4,'9'!$B:$B,'12'!AN$4,'9'!$D:$D,"Prevención de enfermedades")</f>
        <v>0</v>
      </c>
      <c r="AP29" s="101">
        <f>((A5_A_L19*Enfermedades_A)+(A5_B_L19*Enfermedades_B)+(A5_C_L19*Enfermedades_C)+(A5_D_L19*Enfermedades_D)+(A5_Y_L19*Enfermedades_Y))*Inflación_5</f>
        <v>0</v>
      </c>
      <c r="AQ29" s="101">
        <f>SUMIFS('9'!$E:$E,'9'!$A:$A,Año_Inicial+4,'9'!$B:$B,'12'!AP$4,'9'!$D:$D,"Prevención de enfermedades")</f>
        <v>0</v>
      </c>
      <c r="AR29" s="101">
        <f>((A5_A_L20*Enfermedades_A)+(A5_B_L20*Enfermedades_B)+(A5_C_L20*Enfermedades_C)+(A5_D_L20*Enfermedades_D)+(A5_Y_L20*Enfermedades_Y))*Inflación_5</f>
        <v>0</v>
      </c>
      <c r="AS29" s="101">
        <f>SUMIFS('9'!$E:$E,'9'!$A:$A,Año_Inicial+4,'9'!$B:$B,'12'!AR$4,'9'!$D:$D,"Prevención de enfermedades")</f>
        <v>0</v>
      </c>
      <c r="AT29" s="101">
        <f>((A5_A_L21*Enfermedades_A)+(A5_B_L21*Enfermedades_B)+(A5_C_L21*Enfermedades_C)+(A5_D_L21*Enfermedades_D)+(A5_Y_L21*Enfermedades_Y))*Inflación_5</f>
        <v>0</v>
      </c>
      <c r="AU29" s="101">
        <f>SUMIFS('9'!$E:$E,'9'!$A:$A,Año_Inicial+4,'9'!$B:$B,'12'!AT$4,'9'!$D:$D,"Prevención de enfermedades")</f>
        <v>0</v>
      </c>
      <c r="AV29" s="101">
        <f>((A5_A_L22*Enfermedades_A)+(A5_B_L22*Enfermedades_B)+(A5_C_L22*Enfermedades_C)+(A5_D_L22*Enfermedades_D)+(A5_Y_L22*Enfermedades_Y))*Inflación_5</f>
        <v>0</v>
      </c>
      <c r="AW29" s="101">
        <f>SUMIFS('9'!$E:$E,'9'!$A:$A,Año_Inicial+4,'9'!$B:$B,'12'!AV$4,'9'!$D:$D,"Prevención de enfermedades")</f>
        <v>0</v>
      </c>
      <c r="AX29" s="101">
        <f>((A5_A_L23*Enfermedades_A)+(A5_B_L23*Enfermedades_B)+(A5_C_L23*Enfermedades_C)+(A5_D_L23*Enfermedades_D)+(A5_Y_L23*Enfermedades_Y))*Inflación_5</f>
        <v>0</v>
      </c>
      <c r="AY29" s="101">
        <f>SUMIFS('9'!$E:$E,'9'!$A:$A,Año_Inicial+4,'9'!$B:$B,'12'!AX$4,'9'!$D:$D,"Prevención de enfermedades")</f>
        <v>0</v>
      </c>
      <c r="AZ29" s="101">
        <f>((A5_A_L24*Enfermedades_A)+(A5_B_L24*Enfermedades_B)+(A5_C_L24*Enfermedades_C)+(A5_D_L24*Enfermedades_D)+(A5_Y_L24*Enfermedades_Y))*Inflación_5</f>
        <v>0</v>
      </c>
      <c r="BA29" s="101">
        <f>SUMIFS('9'!$E:$E,'9'!$A:$A,Año_Inicial+4,'9'!$B:$B,'12'!AZ$4,'9'!$D:$D,"Prevención de enfermedades")</f>
        <v>0</v>
      </c>
      <c r="BB29" s="101">
        <f>((A5_A_L25*Enfermedades_A)+(A5_B_L25*Enfermedades_B)+(A5_C_L25*Enfermedades_C)+(A5_D_L25*Enfermedades_D)+(A5_Y_L25*Enfermedades_Y))*Inflación_5</f>
        <v>0</v>
      </c>
      <c r="BC29" s="101">
        <f>SUMIFS('9'!$E:$E,'9'!$A:$A,Año_Inicial+4,'9'!$B:$B,'12'!BB$4,'9'!$D:$D,"Prevención de enfermedades")</f>
        <v>0</v>
      </c>
      <c r="BD29" s="101">
        <f>((A5_A_L26*Enfermedades_A)+(A5_B_L26*Enfermedades_B)+(A5_C_L26*Enfermedades_C)+(A5_D_L26*Enfermedades_D)+(A5_Y_L26*Enfermedades_Y))*Inflación_5</f>
        <v>0</v>
      </c>
      <c r="BE29" s="101">
        <f>SUMIFS('9'!$E:$E,'9'!$A:$A,Año_Inicial+4,'9'!$B:$B,'12'!BD$4,'9'!$D:$D,"Prevención de enfermedades")</f>
        <v>0</v>
      </c>
      <c r="BF29" s="101">
        <f>((A5_A_L27*Enfermedades_A)+(A5_B_L27*Enfermedades_B)+(A5_C_L27*Enfermedades_C)+(A5_D_L27*Enfermedades_D)+(A5_Y_L27*Enfermedades_Y))*Inflación_5</f>
        <v>0</v>
      </c>
      <c r="BG29" s="101">
        <f>SUMIFS('9'!$E:$E,'9'!$A:$A,Año_Inicial+4,'9'!$B:$B,'12'!BF$4,'9'!$D:$D,"Prevención de enfermedades")</f>
        <v>0</v>
      </c>
      <c r="BH29" s="101">
        <f>((A5_A_L28*Enfermedades_A)+(A5_B_L28*Enfermedades_B)+(A5_C_L28*Enfermedades_C)+(A5_D_L28*Enfermedades_D)+(A5_Y_L28*Enfermedades_Y))*Inflación_5</f>
        <v>0</v>
      </c>
      <c r="BI29" s="101">
        <f>SUMIFS('9'!$E:$E,'9'!$A:$A,Año_Inicial+4,'9'!$B:$B,'12'!BH$4,'9'!$D:$D,"Prevención de enfermedades")</f>
        <v>0</v>
      </c>
      <c r="BJ29" s="101">
        <f>((A5_A_L29*Enfermedades_A)+(A5_B_L29*Enfermedades_B)+(A5_C_L29*Enfermedades_C)+(A5_D_L29*Enfermedades_D)+(A5_Y_L29*Enfermedades_Y))*Inflación_5</f>
        <v>0</v>
      </c>
      <c r="BK29" s="101">
        <f>SUMIFS('9'!$E:$E,'9'!$A:$A,Año_Inicial+4,'9'!$B:$B,'12'!BJ$4,'9'!$D:$D,"Prevención de enfermedades")</f>
        <v>0</v>
      </c>
      <c r="BL29" s="101">
        <f>((A5_A_L30*Enfermedades_A)+(A5_B_L30*Enfermedades_B)+(A5_C_L30*Enfermedades_C)+(A5_D_L30*Enfermedades_D)+(A5_Y_L30*Enfermedades_Y))*Inflación_5</f>
        <v>0</v>
      </c>
      <c r="BM29" s="101">
        <f>SUMIFS('9'!$E:$E,'9'!$A:$A,Año_Inicial+4,'9'!$B:$B,'12'!BL$4,'9'!$D:$D,"Prevención de enfermedades")</f>
        <v>0</v>
      </c>
      <c r="BN29" s="101">
        <f>((A5_A_L31*Enfermedades_A)+(A5_B_L31*Enfermedades_B)+(A5_C_L31*Enfermedades_C)+(A5_D_L31*Enfermedades_D)+(A5_Y_L31*Enfermedades_Y))*Inflación_5</f>
        <v>0</v>
      </c>
      <c r="BO29" s="101">
        <f>SUMIFS('9'!$E:$E,'9'!$A:$A,Año_Inicial+4,'9'!$B:$B,'12'!BN$4,'9'!$D:$D,"Prevención de enfermedades")</f>
        <v>0</v>
      </c>
      <c r="BP29" s="101">
        <f>((A5_A_L32*Enfermedades_A)+(A5_B_L32*Enfermedades_B)+(A5_C_L32*Enfermedades_C)+(A5_D_L32*Enfermedades_D)+(A5_Y_L32*Enfermedades_Y))*Inflación_5</f>
        <v>0</v>
      </c>
      <c r="BQ29" s="101">
        <f>SUMIFS('9'!$E:$E,'9'!$A:$A,Año_Inicial+4,'9'!$B:$B,'12'!BP$4,'9'!$D:$D,"Prevención de enfermedades")</f>
        <v>0</v>
      </c>
      <c r="BR29" s="101">
        <f>((A5_A_L33*Enfermedades_A)+(A5_B_L33*Enfermedades_B)+(A5_C_L33*Enfermedades_C)+(A5_D_L33*Enfermedades_D)+(A5_Y_L33*Enfermedades_Y))*Inflación_5</f>
        <v>0</v>
      </c>
      <c r="BS29" s="101">
        <f>SUMIFS('9'!$E:$E,'9'!$A:$A,Año_Inicial+4,'9'!$B:$B,'12'!BR$4,'9'!$D:$D,"Prevención de enfermedades")</f>
        <v>0</v>
      </c>
      <c r="BT29" s="101">
        <f>((A5_A_L34*Enfermedades_A)+(A5_B_L34*Enfermedades_B)+(A5_C_L34*Enfermedades_C)+(A5_D_L34*Enfermedades_D)+(A5_Y_L34*Enfermedades_Y))*Inflación_5</f>
        <v>0</v>
      </c>
      <c r="BU29" s="101">
        <f>SUMIFS('9'!$E:$E,'9'!$A:$A,Año_Inicial+4,'9'!$B:$B,'12'!BT$4,'9'!$D:$D,"Prevención de enfermedades")</f>
        <v>0</v>
      </c>
      <c r="BV29" s="101">
        <f>((A5_A_L35*Enfermedades_A)+(A5_B_L35*Enfermedades_B)+(A5_C_L35*Enfermedades_C)+(A5_D_L35*Enfermedades_D)+(A5_Y_L35*Enfermedades_Y))*Inflación_5</f>
        <v>0</v>
      </c>
      <c r="BW29" s="101">
        <f>SUMIFS('9'!$E:$E,'9'!$A:$A,Año_Inicial+4,'9'!$B:$B,'12'!BV$4,'9'!$D:$D,"Prevención de enfermedades")</f>
        <v>0</v>
      </c>
      <c r="BX29" s="101">
        <f>((A5_A_L36*Enfermedades_A)+(A5_B_L36*Enfermedades_B)+(A5_C_L36*Enfermedades_C)+(A5_D_L36*Enfermedades_D)+(A5_Y_L36*Enfermedades_Y))*Inflación_5</f>
        <v>0</v>
      </c>
      <c r="BY29" s="101">
        <f>SUMIFS('9'!$E:$E,'9'!$A:$A,Año_Inicial+4,'9'!$B:$B,'12'!BX$4,'9'!$D:$D,"Prevención de enfermedades")</f>
        <v>0</v>
      </c>
      <c r="BZ29" s="101">
        <f>((A5_A_L37*Enfermedades_A)+(A5_B_L37*Enfermedades_B)+(A5_C_L37*Enfermedades_C)+(A5_D_L37*Enfermedades_D)+(A5_Y_L37*Enfermedades_Y))*Inflación_5</f>
        <v>0</v>
      </c>
      <c r="CA29" s="101">
        <f>SUMIFS('9'!$E:$E,'9'!$A:$A,Año_Inicial+4,'9'!$B:$B,'12'!BZ$4,'9'!$D:$D,"Prevención de enfermedades")</f>
        <v>0</v>
      </c>
      <c r="CB29" s="101">
        <f>((A5_A_L38*Enfermedades_A)+(A5_B_L38*Enfermedades_B)+(A5_C_L38*Enfermedades_C)+(A5_D_L38*Enfermedades_D)+(A5_Y_L38*Enfermedades_Y))*Inflación_5</f>
        <v>0</v>
      </c>
      <c r="CC29" s="101">
        <f>SUMIFS('9'!$E:$E,'9'!$A:$A,Año_Inicial+4,'9'!$B:$B,'12'!CB$4,'9'!$D:$D,"Prevención de enfermedades")</f>
        <v>0</v>
      </c>
      <c r="CD29" s="101">
        <f>((A5_A_L39*Enfermedades_A)+(A5_B_L39*Enfermedades_B)+(A5_C_L39*Enfermedades_C)+(A5_D_L39*Enfermedades_D)+(A5_Y_L39*Enfermedades_Y))*Inflación_5</f>
        <v>0</v>
      </c>
      <c r="CE29" s="101">
        <f>SUMIFS('9'!$E:$E,'9'!$A:$A,Año_Inicial+4,'9'!$B:$B,'12'!CD$4,'9'!$D:$D,"Prevención de enfermedades")</f>
        <v>0</v>
      </c>
      <c r="CF29" s="101">
        <f>((A5_A_L40*Enfermedades_A)+(A5_B_L40*Enfermedades_B)+(A5_C_L40*Enfermedades_C)+(A5_D_L40*Enfermedades_D)+(A5_Y_L40*Enfermedades_Y))*Inflación_5</f>
        <v>0</v>
      </c>
      <c r="CG29" s="101">
        <f>SUMIFS('9'!$E:$E,'9'!$A:$A,Año_Inicial+4,'9'!$B:$B,'12'!CF$4,'9'!$D:$D,"Prevención de enfermedades")</f>
        <v>0</v>
      </c>
      <c r="CH29" s="473"/>
      <c r="CI29" s="101">
        <f>Plantas_A_A5*Enfermedades_A*Inflación_5</f>
        <v>0</v>
      </c>
      <c r="CJ29" s="101">
        <f>Plantas_B_A5*Enfermedades_B</f>
        <v>0</v>
      </c>
      <c r="CK29" s="101">
        <f>Plantas_C_A5*Enfermedades_C</f>
        <v>0</v>
      </c>
      <c r="CL29" s="101">
        <f>Plantas_D_A5*Enfermedades_D</f>
        <v>0</v>
      </c>
      <c r="CM29" s="101"/>
      <c r="CN29" s="101">
        <f>Plantas_Y_A5*Enfermedades_Y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SUMIFS('9'!$E:$E,'9'!$A:$A,Año_Inicial+4,'9'!$D:$D,"Fungicida")</f>
        <v>0</v>
      </c>
      <c r="D30" s="100">
        <f t="shared" si="45"/>
        <v>0</v>
      </c>
      <c r="E30" s="473"/>
      <c r="F30" s="101">
        <f>((A5_A_L1*Fungicida_A)+(A5_B_L1*Fungicida_B)+(A5_C_L1*Fungicida_C)+(A5_D_L1*Fungicida_D)+(A5_Y_L1*Fungicida_Y))*Inflación_5</f>
        <v>0</v>
      </c>
      <c r="G30" s="101">
        <f>SUMIFS('9'!$E:$E,'9'!$A:$A,Año_Inicial+4,'9'!$B:$B,'12'!F$4,'9'!$D:$D,"Fungicida")</f>
        <v>0</v>
      </c>
      <c r="H30" s="101">
        <f>((A5_A_L2*Fungicida_A)+(A5_B_L2*Fungicida_B)+(A5_C_L2*Fungicida_C)+(A5_D_L2*Fungicida_D)+(A5_Y_L2*Fungicida_Y))*Inflación_5</f>
        <v>0</v>
      </c>
      <c r="I30" s="101">
        <f>SUMIFS('9'!$E:$E,'9'!$A:$A,Año_Inicial+4,'9'!$B:$B,'12'!H$4,'9'!$D:$D,"Fungicida")</f>
        <v>0</v>
      </c>
      <c r="J30" s="101">
        <f>((A5_A_L3*Fungicida_A)+(A5_B_L3*Fungicida_B)+(A5_C_L3*Fungicida_C)+(A5_D_L3*Fungicida_D)+(A5_Y_L3*Fungicida_Y))*Inflación_5</f>
        <v>0</v>
      </c>
      <c r="K30" s="101">
        <f>SUMIFS('9'!$E:$E,'9'!$A:$A,Año_Inicial+4,'9'!$B:$B,'12'!J$4,'9'!$D:$D,"Fungicida")</f>
        <v>0</v>
      </c>
      <c r="L30" s="101">
        <f>((A5_A_L4*Fungicida_A)+(A5_B_L4*Fungicida_B)+(A5_C_L4*Fungicida_C)+(A5_D_L4*Fungicida_D)+(A5_Y_L4*Fungicida_Y))*Inflación_5</f>
        <v>0</v>
      </c>
      <c r="M30" s="101">
        <f>SUMIFS('9'!$E:$E,'9'!$A:$A,Año_Inicial+4,'9'!$B:$B,'12'!L$4,'9'!$D:$D,"Fungicida")</f>
        <v>0</v>
      </c>
      <c r="N30" s="101">
        <f>((A5_A_L5*Fungicida_A)+(A5_B_L5*Fungicida_B)+(A5_C_L5*Fungicida_C)+(A5_D_L5*Fungicida_D)+(A5_Y_L5*Fungicida_Y))*Inflación_5</f>
        <v>0</v>
      </c>
      <c r="O30" s="101">
        <f>SUMIFS('9'!$E:$E,'9'!$A:$A,Año_Inicial+4,'9'!$B:$B,'12'!N$4,'9'!$D:$D,"Fungicida")</f>
        <v>0</v>
      </c>
      <c r="P30" s="101">
        <f>((A5_A_L6*Fungicida_A)+(A5_B_L6*Fungicida_B)+(A5_C_L6*Fungicida_C)+(A5_D_L6*Fungicida_D)+(A5_Y_L6*Fungicida_Y))*Inflación_5</f>
        <v>0</v>
      </c>
      <c r="Q30" s="101">
        <f>SUMIFS('9'!$E:$E,'9'!$A:$A,Año_Inicial+4,'9'!$B:$B,'12'!P$4,'9'!$D:$D,"Fungicida")</f>
        <v>0</v>
      </c>
      <c r="R30" s="101">
        <f>((A5_A_L7*Fungicida_A)+(A5_B_L7*Fungicida_B)+(A5_C_L7*Fungicida_C)+(A5_D_L7*Fungicida_D)+(A5_Y_L7*Fungicida_Y))*Inflación_5</f>
        <v>0</v>
      </c>
      <c r="S30" s="101">
        <f>SUMIFS('9'!$E:$E,'9'!$A:$A,Año_Inicial+4,'9'!$B:$B,'12'!R$4,'9'!$D:$D,"Fungicida")</f>
        <v>0</v>
      </c>
      <c r="T30" s="101">
        <f>((A5_A_L8*Fungicida_A)+(A5_B_L8*Fungicida_B)+(A5_C_L8*Fungicida_C)+(A5_D_L8*Fungicida_D)+(A5_Y_L8*Fungicida_Y))*Inflación_5</f>
        <v>0</v>
      </c>
      <c r="U30" s="101">
        <f>SUMIFS('9'!$E:$E,'9'!$A:$A,Año_Inicial+4,'9'!$B:$B,'12'!T$4,'9'!$D:$D,"Fungicida")</f>
        <v>0</v>
      </c>
      <c r="V30" s="101">
        <f>((A5_A_L9*Fungicida_A)+(A5_B_L9*Fungicida_B)+(A5_C_L9*Fungicida_C)+(A5_D_L9*Fungicida_D)+(A5_Y_L9*Fungicida_Y))*Inflación_5</f>
        <v>0</v>
      </c>
      <c r="W30" s="101">
        <f>SUMIFS('9'!$E:$E,'9'!$A:$A,Año_Inicial+4,'9'!$B:$B,'12'!V$4,'9'!$D:$D,"Fungicida")</f>
        <v>0</v>
      </c>
      <c r="X30" s="101">
        <f>((A5_A_L10*Fungicida_A)+(A5_B_L10*Fungicida_B)+(A5_C_L10*Fungicida_C)+(A5_D_L10*Fungicida_D)+(A5_Y_L10*Fungicida_Y))*Inflación_5</f>
        <v>0</v>
      </c>
      <c r="Y30" s="101">
        <f>SUMIFS('9'!$E:$E,'9'!$A:$A,Año_Inicial+4,'9'!$B:$B,'12'!X$4,'9'!$D:$D,"Fungicida")</f>
        <v>0</v>
      </c>
      <c r="Z30" s="101">
        <f>((A5_A_L11*Fungicida_A)+(A5_B_L11*Fungicida_B)+(A5_C_L11*Fungicida_C)+(A5_D_L11*Fungicida_D)+(A5_Y_L11*Fungicida_Y))*Inflación_5</f>
        <v>0</v>
      </c>
      <c r="AA30" s="101">
        <f>SUMIFS('9'!$E:$E,'9'!$A:$A,Año_Inicial+4,'9'!$B:$B,'12'!Z$4,'9'!$D:$D,"Fungicida")</f>
        <v>0</v>
      </c>
      <c r="AB30" s="101">
        <f>((A5_A_L12*Fungicida_A)+(A5_B_L12*Fungicida_B)+(A5_C_L12*Fungicida_C)+(A5_D_L12*Fungicida_D)+(A5_Y_L12*Fungicida_Y))*Inflación_5</f>
        <v>0</v>
      </c>
      <c r="AC30" s="101">
        <f>SUMIFS('9'!$E:$E,'9'!$A:$A,Año_Inicial+4,'9'!$B:$B,'12'!AB$4,'9'!$D:$D,"Fungicida")</f>
        <v>0</v>
      </c>
      <c r="AD30" s="101">
        <f>((A5_A_L13*Fungicida_A)+(A5_B_L13*Fungicida_B)+(A5_C_L13*Fungicida_C)+(A5_D_L13*Fungicida_D)+(A5_Y_L13*Fungicida_Y))*Inflación_5</f>
        <v>0</v>
      </c>
      <c r="AE30" s="101">
        <f>SUMIFS('9'!$E:$E,'9'!$A:$A,Año_Inicial+4,'9'!$B:$B,'12'!AD$4,'9'!$D:$D,"Fungicida")</f>
        <v>0</v>
      </c>
      <c r="AF30" s="101">
        <f>((A5_A_L14*Fungicida_A)+(A5_B_L14*Fungicida_B)+(A5_C_L14*Fungicida_C)+(A5_D_L14*Fungicida_D)+(A5_Y_L14*Fungicida_Y))*Inflación_5</f>
        <v>0</v>
      </c>
      <c r="AG30" s="101">
        <f>SUMIFS('9'!$E:$E,'9'!$A:$A,Año_Inicial+4,'9'!$B:$B,'12'!AF$4,'9'!$D:$D,"Fungicida")</f>
        <v>0</v>
      </c>
      <c r="AH30" s="101">
        <f>((A5_A_L15*Fungicida_A)+(A5_B_L15*Fungicida_B)+(A5_C_L15*Fungicida_C)+(A5_D_L15*Fungicida_D)+(A5_Y_L15*Fungicida_Y))*Inflación_5</f>
        <v>0</v>
      </c>
      <c r="AI30" s="101">
        <f>SUMIFS('9'!$E:$E,'9'!$A:$A,Año_Inicial+4,'9'!$B:$B,'12'!AH$4,'9'!$D:$D,"Fungicida")</f>
        <v>0</v>
      </c>
      <c r="AJ30" s="101">
        <f>((A5_A_L16*Fungicida_A)+(A5_B_L16*Fungicida_B)+(A5_C_L16*Fungicida_C)+(A5_D_L16*Fungicida_D)+(A5_Y_L16*Fungicida_Y))*Inflación_5</f>
        <v>0</v>
      </c>
      <c r="AK30" s="101">
        <f>SUMIFS('9'!$E:$E,'9'!$A:$A,Año_Inicial+4,'9'!$B:$B,'12'!AJ$4,'9'!$D:$D,"Fungicida")</f>
        <v>0</v>
      </c>
      <c r="AL30" s="101">
        <f>((A5_A_L17*Fungicida_A)+(A5_B_L17*Fungicida_B)+(A5_C_L17*Fungicida_C)+(A5_D_L17*Fungicida_D)+(A5_Y_L17*Fungicida_Y))*Inflación_5</f>
        <v>0</v>
      </c>
      <c r="AM30" s="101">
        <f>SUMIFS('9'!$E:$E,'9'!$A:$A,Año_Inicial+4,'9'!$B:$B,'12'!AL$4,'9'!$D:$D,"Fungicida")</f>
        <v>0</v>
      </c>
      <c r="AN30" s="101">
        <f>((A5_A_L18*Fungicida_A)+(A5_B_L18*Fungicida_B)+(A5_C_L18*Fungicida_C)+(A5_D_L18*Fungicida_D)+(A5_Y_L18*Fungicida_Y))*Inflación_5</f>
        <v>0</v>
      </c>
      <c r="AO30" s="101">
        <f>SUMIFS('9'!$E:$E,'9'!$A:$A,Año_Inicial+4,'9'!$B:$B,'12'!AN$4,'9'!$D:$D,"Fungicida")</f>
        <v>0</v>
      </c>
      <c r="AP30" s="101">
        <f>((A5_A_L19*Fungicida_A)+(A5_B_L19*Fungicida_B)+(A5_C_L19*Fungicida_C)+(A5_D_L19*Fungicida_D)+(A5_Y_L19*Fungicida_Y))*Inflación_5</f>
        <v>0</v>
      </c>
      <c r="AQ30" s="101">
        <f>SUMIFS('9'!$E:$E,'9'!$A:$A,Año_Inicial+4,'9'!$B:$B,'12'!AP$4,'9'!$D:$D,"Fungicida")</f>
        <v>0</v>
      </c>
      <c r="AR30" s="101">
        <f>((A5_A_L20*Fungicida_A)+(A5_B_L20*Fungicida_B)+(A5_C_L20*Fungicida_C)+(A5_D_L20*Fungicida_D)+(A5_Y_L20*Fungicida_Y))*Inflación_5</f>
        <v>0</v>
      </c>
      <c r="AS30" s="101">
        <f>SUMIFS('9'!$E:$E,'9'!$A:$A,Año_Inicial+4,'9'!$B:$B,'12'!AR$4,'9'!$D:$D,"Fungicida")</f>
        <v>0</v>
      </c>
      <c r="AT30" s="101">
        <f>((A5_A_L21*Fungicida_A)+(A5_B_L21*Fungicida_B)+(A5_C_L21*Fungicida_C)+(A5_D_L21*Fungicida_D)+(A5_Y_L21*Fungicida_Y))*Inflación_5</f>
        <v>0</v>
      </c>
      <c r="AU30" s="101">
        <f>SUMIFS('9'!$E:$E,'9'!$A:$A,Año_Inicial+4,'9'!$B:$B,'12'!AT$4,'9'!$D:$D,"Fungicida")</f>
        <v>0</v>
      </c>
      <c r="AV30" s="101">
        <f>((A5_A_L22*Fungicida_A)+(A5_B_L22*Fungicida_B)+(A5_C_L22*Fungicida_C)+(A5_D_L22*Fungicida_D)+(A5_Y_L22*Fungicida_Y))*Inflación_5</f>
        <v>0</v>
      </c>
      <c r="AW30" s="101">
        <f>SUMIFS('9'!$E:$E,'9'!$A:$A,Año_Inicial+4,'9'!$B:$B,'12'!AV$4,'9'!$D:$D,"Fungicida")</f>
        <v>0</v>
      </c>
      <c r="AX30" s="101">
        <f>((A5_A_L23*Fungicida_A)+(A5_B_L23*Fungicida_B)+(A5_C_L23*Fungicida_C)+(A5_D_L23*Fungicida_D)+(A5_Y_L23*Fungicida_Y))*Inflación_5</f>
        <v>0</v>
      </c>
      <c r="AY30" s="101">
        <f>SUMIFS('9'!$E:$E,'9'!$A:$A,Año_Inicial+4,'9'!$B:$B,'12'!AX$4,'9'!$D:$D,"Fungicida")</f>
        <v>0</v>
      </c>
      <c r="AZ30" s="101">
        <f>((A5_A_L24*Fungicida_A)+(A5_B_L24*Fungicida_B)+(A5_C_L24*Fungicida_C)+(A5_D_L24*Fungicida_D)+(A5_Y_L24*Fungicida_Y))*Inflación_5</f>
        <v>0</v>
      </c>
      <c r="BA30" s="101">
        <f>SUMIFS('9'!$E:$E,'9'!$A:$A,Año_Inicial+4,'9'!$B:$B,'12'!AZ$4,'9'!$D:$D,"Fungicida")</f>
        <v>0</v>
      </c>
      <c r="BB30" s="101">
        <f>((A5_A_L25*Fungicida_A)+(A5_B_L25*Fungicida_B)+(A5_C_L25*Fungicida_C)+(A5_D_L25*Fungicida_D)+(A5_Y_L25*Fungicida_Y))*Inflación_5</f>
        <v>0</v>
      </c>
      <c r="BC30" s="101">
        <f>SUMIFS('9'!$E:$E,'9'!$A:$A,Año_Inicial+4,'9'!$B:$B,'12'!BB$4,'9'!$D:$D,"Fungicida")</f>
        <v>0</v>
      </c>
      <c r="BD30" s="101">
        <f>((A5_A_L26*Fungicida_A)+(A5_B_L26*Fungicida_B)+(A5_C_L26*Fungicida_C)+(A5_D_L26*Fungicida_D)+(A5_Y_L26*Fungicida_Y))*Inflación_5</f>
        <v>0</v>
      </c>
      <c r="BE30" s="101">
        <f>SUMIFS('9'!$E:$E,'9'!$A:$A,Año_Inicial+4,'9'!$B:$B,'12'!BD$4,'9'!$D:$D,"Fungicida")</f>
        <v>0</v>
      </c>
      <c r="BF30" s="101">
        <f>((A5_A_L27*Fungicida_A)+(A5_B_L27*Fungicida_B)+(A5_C_L27*Fungicida_C)+(A5_D_L27*Fungicida_D)+(A5_Y_L27*Fungicida_Y))*Inflación_5</f>
        <v>0</v>
      </c>
      <c r="BG30" s="101">
        <f>SUMIFS('9'!$E:$E,'9'!$A:$A,Año_Inicial+4,'9'!$B:$B,'12'!BF$4,'9'!$D:$D,"Fungicida")</f>
        <v>0</v>
      </c>
      <c r="BH30" s="101">
        <f>((A5_A_L28*Fungicida_A)+(A5_B_L28*Fungicida_B)+(A5_C_L28*Fungicida_C)+(A5_D_L28*Fungicida_D)+(A5_Y_L28*Fungicida_Y))*Inflación_5</f>
        <v>0</v>
      </c>
      <c r="BI30" s="101">
        <f>SUMIFS('9'!$E:$E,'9'!$A:$A,Año_Inicial+4,'9'!$B:$B,'12'!BH$4,'9'!$D:$D,"Fungicida")</f>
        <v>0</v>
      </c>
      <c r="BJ30" s="101">
        <f>((A5_A_L29*Fungicida_A)+(A5_B_L29*Fungicida_B)+(A5_C_L29*Fungicida_C)+(A5_D_L29*Fungicida_D)+(A5_Y_L29*Fungicida_Y))*Inflación_5</f>
        <v>0</v>
      </c>
      <c r="BK30" s="101">
        <f>SUMIFS('9'!$E:$E,'9'!$A:$A,Año_Inicial+4,'9'!$B:$B,'12'!BJ$4,'9'!$D:$D,"Fungicida")</f>
        <v>0</v>
      </c>
      <c r="BL30" s="101">
        <f>((A5_A_L30*Fungicida_A)+(A5_B_L30*Fungicida_B)+(A5_C_L30*Fungicida_C)+(A5_D_L30*Fungicida_D)+(A5_Y_L30*Fungicida_Y))*Inflación_5</f>
        <v>0</v>
      </c>
      <c r="BM30" s="101">
        <f>SUMIFS('9'!$E:$E,'9'!$A:$A,Año_Inicial+4,'9'!$B:$B,'12'!BL$4,'9'!$D:$D,"Fungicida")</f>
        <v>0</v>
      </c>
      <c r="BN30" s="101">
        <f>((A5_A_L31*Fungicida_A)+(A5_B_L31*Fungicida_B)+(A5_C_L31*Fungicida_C)+(A5_D_L31*Fungicida_D)+(A5_Y_L31*Fungicida_Y))*Inflación_5</f>
        <v>0</v>
      </c>
      <c r="BO30" s="101">
        <f>SUMIFS('9'!$E:$E,'9'!$A:$A,Año_Inicial+4,'9'!$B:$B,'12'!BN$4,'9'!$D:$D,"Fungicida")</f>
        <v>0</v>
      </c>
      <c r="BP30" s="101">
        <f>((A5_A_L32*Fungicida_A)+(A5_B_L32*Fungicida_B)+(A5_C_L32*Fungicida_C)+(A5_D_L32*Fungicida_D)+(A5_Y_L32*Fungicida_Y))*Inflación_5</f>
        <v>0</v>
      </c>
      <c r="BQ30" s="101">
        <f>SUMIFS('9'!$E:$E,'9'!$A:$A,Año_Inicial+4,'9'!$B:$B,'12'!BP$4,'9'!$D:$D,"Fungicida")</f>
        <v>0</v>
      </c>
      <c r="BR30" s="101">
        <f>((A5_A_L33*Fungicida_A)+(A5_B_L33*Fungicida_B)+(A5_C_L33*Fungicida_C)+(A5_D_L33*Fungicida_D)+(A5_Y_L33*Fungicida_Y))*Inflación_5</f>
        <v>0</v>
      </c>
      <c r="BS30" s="101">
        <f>SUMIFS('9'!$E:$E,'9'!$A:$A,Año_Inicial+4,'9'!$B:$B,'12'!BR$4,'9'!$D:$D,"Fungicida")</f>
        <v>0</v>
      </c>
      <c r="BT30" s="101">
        <f>((A5_A_L34*Fungicida_A)+(A5_B_L34*Fungicida_B)+(A5_C_L34*Fungicida_C)+(A5_D_L34*Fungicida_D)+(A5_Y_L34*Fungicida_Y))*Inflación_5</f>
        <v>0</v>
      </c>
      <c r="BU30" s="101">
        <f>SUMIFS('9'!$E:$E,'9'!$A:$A,Año_Inicial+4,'9'!$B:$B,'12'!BT$4,'9'!$D:$D,"Fungicida")</f>
        <v>0</v>
      </c>
      <c r="BV30" s="101">
        <f>((A5_A_L35*Fungicida_A)+(A5_B_L35*Fungicida_B)+(A5_C_L35*Fungicida_C)+(A5_D_L35*Fungicida_D)+(A5_Y_L35*Fungicida_Y))*Inflación_5</f>
        <v>0</v>
      </c>
      <c r="BW30" s="101">
        <f>SUMIFS('9'!$E:$E,'9'!$A:$A,Año_Inicial+4,'9'!$B:$B,'12'!BV$4,'9'!$D:$D,"Fungicida")</f>
        <v>0</v>
      </c>
      <c r="BX30" s="101">
        <f>((A5_A_L36*Fungicida_A)+(A5_B_L36*Fungicida_B)+(A5_C_L36*Fungicida_C)+(A5_D_L36*Fungicida_D)+(A5_Y_L36*Fungicida_Y))*Inflación_5</f>
        <v>0</v>
      </c>
      <c r="BY30" s="101">
        <f>SUMIFS('9'!$E:$E,'9'!$A:$A,Año_Inicial+4,'9'!$B:$B,'12'!BX$4,'9'!$D:$D,"Fungicida")</f>
        <v>0</v>
      </c>
      <c r="BZ30" s="101">
        <f>((A5_A_L37*Fungicida_A)+(A5_B_L37*Fungicida_B)+(A5_C_L37*Fungicida_C)+(A5_D_L37*Fungicida_D)+(A5_Y_L37*Fungicida_Y))*Inflación_5</f>
        <v>0</v>
      </c>
      <c r="CA30" s="101">
        <f>SUMIFS('9'!$E:$E,'9'!$A:$A,Año_Inicial+4,'9'!$B:$B,'12'!BZ$4,'9'!$D:$D,"Fungicida")</f>
        <v>0</v>
      </c>
      <c r="CB30" s="101">
        <f>((A5_A_L38*Fungicida_A)+(A5_B_L38*Fungicida_B)+(A5_C_L38*Fungicida_C)+(A5_D_L38*Fungicida_D)+(A5_Y_L38*Fungicida_Y))*Inflación_5</f>
        <v>0</v>
      </c>
      <c r="CC30" s="101">
        <f>SUMIFS('9'!$E:$E,'9'!$A:$A,Año_Inicial+4,'9'!$B:$B,'12'!CB$4,'9'!$D:$D,"Fungicida")</f>
        <v>0</v>
      </c>
      <c r="CD30" s="101">
        <f>((A5_A_L39*Fungicida_A)+(A5_B_L39*Fungicida_B)+(A5_C_L39*Fungicida_C)+(A5_D_L39*Fungicida_D)+(A5_Y_L39*Fungicida_Y))*Inflación_5</f>
        <v>0</v>
      </c>
      <c r="CE30" s="101">
        <f>SUMIFS('9'!$E:$E,'9'!$A:$A,Año_Inicial+4,'9'!$B:$B,'12'!CD$4,'9'!$D:$D,"Fungicida")</f>
        <v>0</v>
      </c>
      <c r="CF30" s="101">
        <f>((A5_A_L40*Fungicida_A)+(A5_B_L40*Fungicida_B)+(A5_C_L40*Fungicida_C)+(A5_D_L40*Fungicida_D)+(A5_Y_L40*Fungicida_Y))*Inflación_5</f>
        <v>0</v>
      </c>
      <c r="CG30" s="101">
        <f>SUMIFS('9'!$E:$E,'9'!$A:$A,Año_Inicial+4,'9'!$B:$B,'12'!CF$4,'9'!$D:$D,"Fungicida")</f>
        <v>0</v>
      </c>
      <c r="CH30" s="473"/>
      <c r="CI30" s="101">
        <f>Plantas_A_A5*Fungicida_A*Inflación_5</f>
        <v>0</v>
      </c>
      <c r="CJ30" s="101">
        <f>Plantas_B_A5*Fungicida_B</f>
        <v>0</v>
      </c>
      <c r="CK30" s="101">
        <f>Plantas_C_A5*Fungicida_C</f>
        <v>0</v>
      </c>
      <c r="CL30" s="101">
        <f>Plantas_D_A5*Fungicida_D</f>
        <v>0</v>
      </c>
      <c r="CM30" s="101"/>
      <c r="CN30" s="101">
        <f>Plantas_Y_A5*Fungicida_Y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SUMIFS('9'!$E:$E,'9'!$A:$A,Año_Inicial+4,'9'!$D:$D,"Manejo de sombra")</f>
        <v>0</v>
      </c>
      <c r="D32" s="100">
        <f t="shared" si="45"/>
        <v>0</v>
      </c>
      <c r="E32" s="473"/>
      <c r="F32" s="101">
        <f>((A5_A_L1*Sombra_A)+(A5_B_L1*Sombra_B)+(A5_C_L1*Sombra_C)+(A5_D_L1*Sombra_D)+(A5_Y_L1*Sombra_Y))*Inflación_5</f>
        <v>0</v>
      </c>
      <c r="G32" s="101">
        <f>SUMIFS('9'!$E:$E,'9'!$A:$A,Año_Inicial+4,'9'!$B:$B,'12'!F$4,'9'!$D:$D,"Manejo de sombra")</f>
        <v>0</v>
      </c>
      <c r="H32" s="101">
        <f>((A5_A_L2*Sombra_A)+(A5_B_L2*Sombra_B)+(A5_C_L2*Sombra_C)+(A5_D_L2*Sombra_D)+(A5_Y_L2*Sombra_Y))*Inflación_5</f>
        <v>0</v>
      </c>
      <c r="I32" s="101">
        <f>SUMIFS('9'!$E:$E,'9'!$A:$A,Año_Inicial+4,'9'!$B:$B,'12'!H$4,'9'!$D:$D,"Manejo de sombra")</f>
        <v>0</v>
      </c>
      <c r="J32" s="101">
        <f>((A5_A_L3*Sombra_A)+(A5_B_L3*Sombra_B)+(A5_C_L3*Sombra_C)+(A5_D_L3*Sombra_D)+(A5_Y_L3*Sombra_Y))*Inflación_5</f>
        <v>0</v>
      </c>
      <c r="K32" s="101">
        <f>SUMIFS('9'!$E:$E,'9'!$A:$A,Año_Inicial+4,'9'!$B:$B,'12'!J$4,'9'!$D:$D,"Manejo de sombra")</f>
        <v>0</v>
      </c>
      <c r="L32" s="101">
        <f>((A5_A_L4*Sombra_A)+(A5_B_L4*Sombra_B)+(A5_C_L4*Sombra_C)+(A5_D_L4*Sombra_D)+(A5_Y_L4*Sombra_Y))*Inflación_5</f>
        <v>0</v>
      </c>
      <c r="M32" s="101">
        <f>SUMIFS('9'!$E:$E,'9'!$A:$A,Año_Inicial+4,'9'!$B:$B,'12'!L$4,'9'!$D:$D,"Manejo de sombra")</f>
        <v>0</v>
      </c>
      <c r="N32" s="101">
        <f>((A5_A_L5*Sombra_A)+(A5_B_L5*Sombra_B)+(A5_C_L5*Sombra_C)+(A5_D_L5*Sombra_D)+(A5_Y_L5*Sombra_Y))*Inflación_5</f>
        <v>0</v>
      </c>
      <c r="O32" s="101">
        <f>SUMIFS('9'!$E:$E,'9'!$A:$A,Año_Inicial+4,'9'!$B:$B,'12'!N$4,'9'!$D:$D,"Manejo de sombra")</f>
        <v>0</v>
      </c>
      <c r="P32" s="101">
        <f>((A5_A_L6*Sombra_A)+(A5_B_L6*Sombra_B)+(A5_C_L6*Sombra_C)+(A5_D_L6*Sombra_D)+(A5_Y_L6*Sombra_Y))*Inflación_5</f>
        <v>0</v>
      </c>
      <c r="Q32" s="101">
        <f>SUMIFS('9'!$E:$E,'9'!$A:$A,Año_Inicial+4,'9'!$B:$B,'12'!P$4,'9'!$D:$D,"Manejo de sombra")</f>
        <v>0</v>
      </c>
      <c r="R32" s="101">
        <f>((A5_A_L7*Sombra_A)+(A5_B_L7*Sombra_B)+(A5_C_L7*Sombra_C)+(A5_D_L7*Sombra_D)+(A5_Y_L7*Sombra_Y))*Inflación_5</f>
        <v>0</v>
      </c>
      <c r="S32" s="101">
        <f>SUMIFS('9'!$E:$E,'9'!$A:$A,Año_Inicial+4,'9'!$B:$B,'12'!R$4,'9'!$D:$D,"Manejo de sombra")</f>
        <v>0</v>
      </c>
      <c r="T32" s="101">
        <f>((A5_A_L8*Sombra_A)+(A5_B_L8*Sombra_B)+(A5_C_L8*Sombra_C)+(A5_D_L8*Sombra_D)+(A5_Y_L8*Sombra_Y))*Inflación_5</f>
        <v>0</v>
      </c>
      <c r="U32" s="101">
        <f>SUMIFS('9'!$E:$E,'9'!$A:$A,Año_Inicial+4,'9'!$B:$B,'12'!T$4,'9'!$D:$D,"Manejo de sombra")</f>
        <v>0</v>
      </c>
      <c r="V32" s="101">
        <f>((A5_A_L9*Sombra_A)+(A5_B_L9*Sombra_B)+(A5_C_L9*Sombra_C)+(A5_D_L9*Sombra_D)+(A5_Y_L9*Sombra_Y))*Inflación_5</f>
        <v>0</v>
      </c>
      <c r="W32" s="101">
        <f>SUMIFS('9'!$E:$E,'9'!$A:$A,Año_Inicial+4,'9'!$B:$B,'12'!V$4,'9'!$D:$D,"Manejo de sombra")</f>
        <v>0</v>
      </c>
      <c r="X32" s="101">
        <f>((A5_A_L10*Sombra_A)+(A5_B_L10*Sombra_B)+(A5_C_L10*Sombra_C)+(A5_D_L10*Sombra_D)+(A5_Y_L10*Sombra_Y))*Inflación_5</f>
        <v>0</v>
      </c>
      <c r="Y32" s="101">
        <f>SUMIFS('9'!$E:$E,'9'!$A:$A,Año_Inicial+4,'9'!$B:$B,'12'!X$4,'9'!$D:$D,"Manejo de sombra")</f>
        <v>0</v>
      </c>
      <c r="Z32" s="101">
        <f>((A5_A_L11*Sombra_A)+(A5_B_L11*Sombra_B)+(A5_C_L11*Sombra_C)+(A5_D_L11*Sombra_D)+(A5_Y_L11*Sombra_Y))*Inflación_5</f>
        <v>0</v>
      </c>
      <c r="AA32" s="101">
        <f>SUMIFS('9'!$E:$E,'9'!$A:$A,Año_Inicial+4,'9'!$B:$B,'12'!Z$4,'9'!$D:$D,"Manejo de sombra")</f>
        <v>0</v>
      </c>
      <c r="AB32" s="101">
        <f>((A5_A_L12*Sombra_A)+(A5_B_L12*Sombra_B)+(A5_C_L12*Sombra_C)+(A5_D_L12*Sombra_D)+(A5_Y_L12*Sombra_Y))*Inflación_5</f>
        <v>0</v>
      </c>
      <c r="AC32" s="101">
        <f>SUMIFS('9'!$E:$E,'9'!$A:$A,Año_Inicial+4,'9'!$B:$B,'12'!AB$4,'9'!$D:$D,"Manejo de sombra")</f>
        <v>0</v>
      </c>
      <c r="AD32" s="101">
        <f>((A5_A_L13*Sombra_A)+(A5_B_L13*Sombra_B)+(A5_C_L13*Sombra_C)+(A5_D_L13*Sombra_D)+(A5_Y_L13*Sombra_Y))*Inflación_5</f>
        <v>0</v>
      </c>
      <c r="AE32" s="101">
        <f>SUMIFS('9'!$E:$E,'9'!$A:$A,Año_Inicial+4,'9'!$B:$B,'12'!AD$4,'9'!$D:$D,"Manejo de sombra")</f>
        <v>0</v>
      </c>
      <c r="AF32" s="101">
        <f>((A5_A_L14*Sombra_A)+(A5_B_L14*Sombra_B)+(A5_C_L14*Sombra_C)+(A5_D_L14*Sombra_D)+(A5_Y_L14*Sombra_Y))*Inflación_5</f>
        <v>0</v>
      </c>
      <c r="AG32" s="101">
        <f>SUMIFS('9'!$E:$E,'9'!$A:$A,Año_Inicial+4,'9'!$B:$B,'12'!AF$4,'9'!$D:$D,"Manejo de sombra")</f>
        <v>0</v>
      </c>
      <c r="AH32" s="101">
        <f>((A5_A_L15*Sombra_A)+(A5_B_L15*Sombra_B)+(A5_C_L15*Sombra_C)+(A5_D_L15*Sombra_D)+(A5_Y_L15*Sombra_Y))*Inflación_5</f>
        <v>0</v>
      </c>
      <c r="AI32" s="101">
        <f>SUMIFS('9'!$E:$E,'9'!$A:$A,Año_Inicial+4,'9'!$B:$B,'12'!AH$4,'9'!$D:$D,"Manejo de sombra")</f>
        <v>0</v>
      </c>
      <c r="AJ32" s="101">
        <f>((A5_A_L16*Sombra_A)+(A5_B_L16*Sombra_B)+(A5_C_L16*Sombra_C)+(A5_D_L16*Sombra_D)+(A5_Y_L16*Sombra_Y))*Inflación_5</f>
        <v>0</v>
      </c>
      <c r="AK32" s="101">
        <f>SUMIFS('9'!$E:$E,'9'!$A:$A,Año_Inicial+4,'9'!$B:$B,'12'!AJ$4,'9'!$D:$D,"Manejo de sombra")</f>
        <v>0</v>
      </c>
      <c r="AL32" s="101">
        <f>((A5_A_L17*Sombra_A)+(A5_B_L17*Sombra_B)+(A5_C_L17*Sombra_C)+(A5_D_L17*Sombra_D)+(A5_Y_L17*Sombra_Y))*Inflación_5</f>
        <v>0</v>
      </c>
      <c r="AM32" s="101">
        <f>SUMIFS('9'!$E:$E,'9'!$A:$A,Año_Inicial+4,'9'!$B:$B,'12'!AL$4,'9'!$D:$D,"Manejo de sombra")</f>
        <v>0</v>
      </c>
      <c r="AN32" s="101">
        <f>((A5_A_L18*Sombra_A)+(A5_B_L18*Sombra_B)+(A5_C_L18*Sombra_C)+(A5_D_L18*Sombra_D)+(A5_Y_L18*Sombra_Y))*Inflación_5</f>
        <v>0</v>
      </c>
      <c r="AO32" s="101">
        <f>SUMIFS('9'!$E:$E,'9'!$A:$A,Año_Inicial+4,'9'!$B:$B,'12'!AN$4,'9'!$D:$D,"Manejo de sombra")</f>
        <v>0</v>
      </c>
      <c r="AP32" s="101">
        <f>((A5_A_L19*Sombra_A)+(A5_B_L19*Sombra_B)+(A5_C_L19*Sombra_C)+(A5_D_L19*Sombra_D)+(A5_Y_L19*Sombra_Y))*Inflación_5</f>
        <v>0</v>
      </c>
      <c r="AQ32" s="101">
        <f>SUMIFS('9'!$E:$E,'9'!$A:$A,Año_Inicial+4,'9'!$B:$B,'12'!AP$4,'9'!$D:$D,"Manejo de sombra")</f>
        <v>0</v>
      </c>
      <c r="AR32" s="101">
        <f>((A5_A_L20*Sombra_A)+(A5_B_L20*Sombra_B)+(A5_C_L20*Sombra_C)+(A5_D_L20*Sombra_D)+(A5_Y_L20*Sombra_Y))*Inflación_5</f>
        <v>0</v>
      </c>
      <c r="AS32" s="101">
        <f>SUMIFS('9'!$E:$E,'9'!$A:$A,Año_Inicial+4,'9'!$B:$B,'12'!AR$4,'9'!$D:$D,"Manejo de sombra")</f>
        <v>0</v>
      </c>
      <c r="AT32" s="101">
        <f>((A5_A_L21*Sombra_A)+(A5_B_L21*Sombra_B)+(A5_C_L21*Sombra_C)+(A5_D_L21*Sombra_D)+(A5_Y_L21*Sombra_Y))*Inflación_5</f>
        <v>0</v>
      </c>
      <c r="AU32" s="101">
        <f>SUMIFS('9'!$E:$E,'9'!$A:$A,Año_Inicial+4,'9'!$B:$B,'12'!AT$4,'9'!$D:$D,"Manejo de sombra")</f>
        <v>0</v>
      </c>
      <c r="AV32" s="101">
        <f>((A5_A_L22*Sombra_A)+(A5_B_L22*Sombra_B)+(A5_C_L22*Sombra_C)+(A5_D_L22*Sombra_D)+(A5_Y_L22*Sombra_Y))*Inflación_5</f>
        <v>0</v>
      </c>
      <c r="AW32" s="101">
        <f>SUMIFS('9'!$E:$E,'9'!$A:$A,Año_Inicial+4,'9'!$B:$B,'12'!AV$4,'9'!$D:$D,"Manejo de sombra")</f>
        <v>0</v>
      </c>
      <c r="AX32" s="101">
        <f>((A5_A_L23*Sombra_A)+(A5_B_L23*Sombra_B)+(A5_C_L23*Sombra_C)+(A5_D_L23*Sombra_D)+(A5_Y_L23*Sombra_Y))*Inflación_5</f>
        <v>0</v>
      </c>
      <c r="AY32" s="101">
        <f>SUMIFS('9'!$E:$E,'9'!$A:$A,Año_Inicial+4,'9'!$B:$B,'12'!AX$4,'9'!$D:$D,"Manejo de sombra")</f>
        <v>0</v>
      </c>
      <c r="AZ32" s="101">
        <f>((A5_A_L24*Sombra_A)+(A5_B_L24*Sombra_B)+(A5_C_L24*Sombra_C)+(A5_D_L24*Sombra_D)+(A5_Y_L24*Sombra_Y))*Inflación_5</f>
        <v>0</v>
      </c>
      <c r="BA32" s="101">
        <f>SUMIFS('9'!$E:$E,'9'!$A:$A,Año_Inicial+4,'9'!$B:$B,'12'!AZ$4,'9'!$D:$D,"Manejo de sombra")</f>
        <v>0</v>
      </c>
      <c r="BB32" s="101">
        <f>((A5_A_L25*Sombra_A)+(A5_B_L25*Sombra_B)+(A5_C_L25*Sombra_C)+(A5_D_L25*Sombra_D)+(A5_Y_L25*Sombra_Y))*Inflación_5</f>
        <v>0</v>
      </c>
      <c r="BC32" s="101">
        <f>SUMIFS('9'!$E:$E,'9'!$A:$A,Año_Inicial+4,'9'!$B:$B,'12'!BB$4,'9'!$D:$D,"Manejo de sombra")</f>
        <v>0</v>
      </c>
      <c r="BD32" s="101">
        <f>((A5_A_L26*Sombra_A)+(A5_B_L26*Sombra_B)+(A5_C_L26*Sombra_C)+(A5_D_L26*Sombra_D)+(A5_Y_L26*Sombra_Y))*Inflación_5</f>
        <v>0</v>
      </c>
      <c r="BE32" s="101">
        <f>SUMIFS('9'!$E:$E,'9'!$A:$A,Año_Inicial+4,'9'!$B:$B,'12'!BD$4,'9'!$D:$D,"Manejo de sombra")</f>
        <v>0</v>
      </c>
      <c r="BF32" s="101">
        <f>((A5_A_L27*Sombra_A)+(A5_B_L27*Sombra_B)+(A5_C_L27*Sombra_C)+(A5_D_L27*Sombra_D)+(A5_Y_L27*Sombra_Y))*Inflación_5</f>
        <v>0</v>
      </c>
      <c r="BG32" s="101">
        <f>SUMIFS('9'!$E:$E,'9'!$A:$A,Año_Inicial+4,'9'!$B:$B,'12'!BF$4,'9'!$D:$D,"Manejo de sombra")</f>
        <v>0</v>
      </c>
      <c r="BH32" s="101">
        <f>((A5_A_L28*Sombra_A)+(A5_B_L28*Sombra_B)+(A5_C_L28*Sombra_C)+(A5_D_L28*Sombra_D)+(A5_Y_L28*Sombra_Y))*Inflación_5</f>
        <v>0</v>
      </c>
      <c r="BI32" s="101">
        <f>SUMIFS('9'!$E:$E,'9'!$A:$A,Año_Inicial+4,'9'!$B:$B,'12'!BH$4,'9'!$D:$D,"Manejo de sombra")</f>
        <v>0</v>
      </c>
      <c r="BJ32" s="101">
        <f>((A5_A_L29*Sombra_A)+(A5_B_L29*Sombra_B)+(A5_C_L29*Sombra_C)+(A5_D_L29*Sombra_D)+(A5_Y_L29*Sombra_Y))*Inflación_5</f>
        <v>0</v>
      </c>
      <c r="BK32" s="101">
        <f>SUMIFS('9'!$E:$E,'9'!$A:$A,Año_Inicial+4,'9'!$B:$B,'12'!BJ$4,'9'!$D:$D,"Manejo de sombra")</f>
        <v>0</v>
      </c>
      <c r="BL32" s="101">
        <f>((A5_A_L30*Sombra_A)+(A5_B_L30*Sombra_B)+(A5_C_L30*Sombra_C)+(A5_D_L30*Sombra_D)+(A5_Y_L30*Sombra_Y))*Inflación_5</f>
        <v>0</v>
      </c>
      <c r="BM32" s="101">
        <f>SUMIFS('9'!$E:$E,'9'!$A:$A,Año_Inicial+4,'9'!$B:$B,'12'!BL$4,'9'!$D:$D,"Manejo de sombra")</f>
        <v>0</v>
      </c>
      <c r="BN32" s="101">
        <f>((A5_A_L31*Sombra_A)+(A5_B_L31*Sombra_B)+(A5_C_L31*Sombra_C)+(A5_D_L31*Sombra_D)+(A5_Y_L31*Sombra_Y))*Inflación_5</f>
        <v>0</v>
      </c>
      <c r="BO32" s="101">
        <f>SUMIFS('9'!$E:$E,'9'!$A:$A,Año_Inicial+4,'9'!$B:$B,'12'!BN$4,'9'!$D:$D,"Manejo de sombra")</f>
        <v>0</v>
      </c>
      <c r="BP32" s="101">
        <f>((A5_A_L32*Sombra_A)+(A5_B_L32*Sombra_B)+(A5_C_L32*Sombra_C)+(A5_D_L32*Sombra_D)+(A5_Y_L32*Sombra_Y))*Inflación_5</f>
        <v>0</v>
      </c>
      <c r="BQ32" s="101">
        <f>SUMIFS('9'!$E:$E,'9'!$A:$A,Año_Inicial+4,'9'!$B:$B,'12'!BP$4,'9'!$D:$D,"Manejo de sombra")</f>
        <v>0</v>
      </c>
      <c r="BR32" s="101">
        <f>((A5_A_L33*Sombra_A)+(A5_B_L33*Sombra_B)+(A5_C_L33*Sombra_C)+(A5_D_L33*Sombra_D)+(A5_Y_L33*Sombra_Y))*Inflación_5</f>
        <v>0</v>
      </c>
      <c r="BS32" s="101">
        <f>SUMIFS('9'!$E:$E,'9'!$A:$A,Año_Inicial+4,'9'!$B:$B,'12'!BR$4,'9'!$D:$D,"Manejo de sombra")</f>
        <v>0</v>
      </c>
      <c r="BT32" s="101">
        <f>((A5_A_L34*Sombra_A)+(A5_B_L34*Sombra_B)+(A5_C_L34*Sombra_C)+(A5_D_L34*Sombra_D)+(A5_Y_L34*Sombra_Y))*Inflación_5</f>
        <v>0</v>
      </c>
      <c r="BU32" s="101">
        <f>SUMIFS('9'!$E:$E,'9'!$A:$A,Año_Inicial+4,'9'!$B:$B,'12'!BT$4,'9'!$D:$D,"Manejo de sombra")</f>
        <v>0</v>
      </c>
      <c r="BV32" s="101">
        <f>((A5_A_L35*Sombra_A)+(A5_B_L35*Sombra_B)+(A5_C_L35*Sombra_C)+(A5_D_L35*Sombra_D)+(A5_Y_L35*Sombra_Y))*Inflación_5</f>
        <v>0</v>
      </c>
      <c r="BW32" s="101">
        <f>SUMIFS('9'!$E:$E,'9'!$A:$A,Año_Inicial+4,'9'!$B:$B,'12'!BV$4,'9'!$D:$D,"Manejo de sombra")</f>
        <v>0</v>
      </c>
      <c r="BX32" s="101">
        <f>((A5_A_L36*Sombra_A)+(A5_B_L36*Sombra_B)+(A5_C_L36*Sombra_C)+(A5_D_L36*Sombra_D)+(A5_Y_L36*Sombra_Y))*Inflación_5</f>
        <v>0</v>
      </c>
      <c r="BY32" s="101">
        <f>SUMIFS('9'!$E:$E,'9'!$A:$A,Año_Inicial+4,'9'!$B:$B,'12'!BX$4,'9'!$D:$D,"Manejo de sombra")</f>
        <v>0</v>
      </c>
      <c r="BZ32" s="101">
        <f>((A5_A_L37*Sombra_A)+(A5_B_L37*Sombra_B)+(A5_C_L37*Sombra_C)+(A5_D_L37*Sombra_D)+(A5_Y_L37*Sombra_Y))*Inflación_5</f>
        <v>0</v>
      </c>
      <c r="CA32" s="101">
        <f>SUMIFS('9'!$E:$E,'9'!$A:$A,Año_Inicial+4,'9'!$B:$B,'12'!BZ$4,'9'!$D:$D,"Manejo de sombra")</f>
        <v>0</v>
      </c>
      <c r="CB32" s="101">
        <f>((A5_A_L38*Sombra_A)+(A5_B_L38*Sombra_B)+(A5_C_L38*Sombra_C)+(A5_D_L38*Sombra_D)+(A5_Y_L38*Sombra_Y))*Inflación_5</f>
        <v>0</v>
      </c>
      <c r="CC32" s="101">
        <f>SUMIFS('9'!$E:$E,'9'!$A:$A,Año_Inicial+4,'9'!$B:$B,'12'!CB$4,'9'!$D:$D,"Manejo de sombra")</f>
        <v>0</v>
      </c>
      <c r="CD32" s="101">
        <f>((A5_A_L39*Sombra_A)+(A5_B_L39*Sombra_B)+(A5_C_L39*Sombra_C)+(A5_D_L39*Sombra_D)+(A5_Y_L39*Sombra_Y))*Inflación_5</f>
        <v>0</v>
      </c>
      <c r="CE32" s="101">
        <f>SUMIFS('9'!$E:$E,'9'!$A:$A,Año_Inicial+4,'9'!$B:$B,'12'!CD$4,'9'!$D:$D,"Manejo de sombra")</f>
        <v>0</v>
      </c>
      <c r="CF32" s="101">
        <f>((A5_A_L40*Sombra_A)+(A5_B_L40*Sombra_B)+(A5_C_L40*Sombra_C)+(A5_D_L40*Sombra_D)+(A5_Y_L40*Sombra_Y))*Inflación_5</f>
        <v>0</v>
      </c>
      <c r="CG32" s="101">
        <f>SUMIFS('9'!$E:$E,'9'!$A:$A,Año_Inicial+4,'9'!$B:$B,'12'!CF$4,'9'!$D:$D,"Manejo de sombra")</f>
        <v>0</v>
      </c>
      <c r="CH32" s="473"/>
      <c r="CI32" s="101">
        <f>Plantas_A_A5*Sombra_A*Inflación_5</f>
        <v>0</v>
      </c>
      <c r="CJ32" s="101">
        <f>Plantas_B_A5*Sombra_B</f>
        <v>0</v>
      </c>
      <c r="CK32" s="101">
        <f>Plantas_C_A5*Sombra_C</f>
        <v>0</v>
      </c>
      <c r="CL32" s="101">
        <f>Plantas_D_A5*Sombra_D</f>
        <v>0</v>
      </c>
      <c r="CM32" s="101"/>
      <c r="CN32" s="101">
        <f>Plantas_Y_A5*Sombra_Y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SUMIFS('9'!$E:$E,'9'!$A:$A,Año_Inicial+4,'9'!$D:$D,"Conservación de suelos")</f>
        <v>0</v>
      </c>
      <c r="D33" s="100">
        <f t="shared" si="45"/>
        <v>0</v>
      </c>
      <c r="E33" s="473"/>
      <c r="F33" s="101">
        <f>((A5_A_L1*Conservación_A)+(A5_B_L1*Conservación_B)+(A5_C_L1*Conservación_C)+(A5_D_L1*Conservación_D)+(A5_Y_L1*Conservación_Y))*Inflación_5</f>
        <v>0</v>
      </c>
      <c r="G33" s="101">
        <f>SUMIFS('9'!$E:$E,'9'!$A:$A,Año_Inicial+4,'9'!$B:$B,'12'!F$4,'9'!$D:$D,"Conservación de suelos")</f>
        <v>0</v>
      </c>
      <c r="H33" s="101">
        <f>((A5_A_L2*Conservación_A)+(A5_B_L2*Conservación_B)+(A5_C_L2*Conservación_C)+(A5_D_L2*Conservación_D)+(A5_Y_L2*Conservación_Y))*Inflación_5</f>
        <v>0</v>
      </c>
      <c r="I33" s="101">
        <f>SUMIFS('9'!$E:$E,'9'!$A:$A,Año_Inicial+4,'9'!$B:$B,'12'!H$4,'9'!$D:$D,"Conservación de suelos")</f>
        <v>0</v>
      </c>
      <c r="J33" s="101">
        <f>((A5_A_L3*Conservación_A)+(A5_B_L3*Conservación_B)+(A5_C_L3*Conservación_C)+(A5_D_L3*Conservación_D)+(A5_Y_L3*Conservación_Y))*Inflación_5</f>
        <v>0</v>
      </c>
      <c r="K33" s="101">
        <f>SUMIFS('9'!$E:$E,'9'!$A:$A,Año_Inicial+4,'9'!$B:$B,'12'!J$4,'9'!$D:$D,"Conservación de suelos")</f>
        <v>0</v>
      </c>
      <c r="L33" s="101">
        <f>((A5_A_L4*Conservación_A)+(A5_B_L4*Conservación_B)+(A5_C_L4*Conservación_C)+(A5_D_L4*Conservación_D)+(A5_Y_L4*Conservación_Y))*Inflación_5</f>
        <v>0</v>
      </c>
      <c r="M33" s="101">
        <f>SUMIFS('9'!$E:$E,'9'!$A:$A,Año_Inicial+4,'9'!$B:$B,'12'!L$4,'9'!$D:$D,"Conservación de suelos")</f>
        <v>0</v>
      </c>
      <c r="N33" s="101">
        <f>((A5_A_L5*Conservación_A)+(A5_B_L5*Conservación_B)+(A5_C_L5*Conservación_C)+(A5_D_L5*Conservación_D)+(A5_Y_L5*Conservación_Y))*Inflación_5</f>
        <v>0</v>
      </c>
      <c r="O33" s="101">
        <f>SUMIFS('9'!$E:$E,'9'!$A:$A,Año_Inicial+4,'9'!$B:$B,'12'!N$4,'9'!$D:$D,"Conservación de suelos")</f>
        <v>0</v>
      </c>
      <c r="P33" s="101">
        <f>((A5_A_L6*Conservación_A)+(A5_B_L6*Conservación_B)+(A5_C_L6*Conservación_C)+(A5_D_L6*Conservación_D)+(A5_Y_L6*Conservación_Y))*Inflación_5</f>
        <v>0</v>
      </c>
      <c r="Q33" s="101">
        <f>SUMIFS('9'!$E:$E,'9'!$A:$A,Año_Inicial+4,'9'!$B:$B,'12'!P$4,'9'!$D:$D,"Conservación de suelos")</f>
        <v>0</v>
      </c>
      <c r="R33" s="101">
        <f>((A5_A_L7*Conservación_A)+(A5_B_L7*Conservación_B)+(A5_C_L7*Conservación_C)+(A5_D_L7*Conservación_D)+(A5_Y_L7*Conservación_Y))*Inflación_5</f>
        <v>0</v>
      </c>
      <c r="S33" s="101">
        <f>SUMIFS('9'!$E:$E,'9'!$A:$A,Año_Inicial+4,'9'!$B:$B,'12'!R$4,'9'!$D:$D,"Conservación de suelos")</f>
        <v>0</v>
      </c>
      <c r="T33" s="101">
        <f>((A5_A_L8*Conservación_A)+(A5_B_L8*Conservación_B)+(A5_C_L8*Conservación_C)+(A5_D_L8*Conservación_D)+(A5_Y_L8*Conservación_Y))*Inflación_5</f>
        <v>0</v>
      </c>
      <c r="U33" s="101">
        <f>SUMIFS('9'!$E:$E,'9'!$A:$A,Año_Inicial+4,'9'!$B:$B,'12'!T$4,'9'!$D:$D,"Conservación de suelos")</f>
        <v>0</v>
      </c>
      <c r="V33" s="101">
        <f>((A5_A_L9*Conservación_A)+(A5_B_L9*Conservación_B)+(A5_C_L9*Conservación_C)+(A5_D_L9*Conservación_D)+(A5_Y_L9*Conservación_Y))*Inflación_5</f>
        <v>0</v>
      </c>
      <c r="W33" s="101">
        <f>SUMIFS('9'!$E:$E,'9'!$A:$A,Año_Inicial+4,'9'!$B:$B,'12'!V$4,'9'!$D:$D,"Conservación de suelos")</f>
        <v>0</v>
      </c>
      <c r="X33" s="101">
        <f>((A5_A_L10*Conservación_A)+(A5_B_L10*Conservación_B)+(A5_C_L10*Conservación_C)+(A5_D_L10*Conservación_D)+(A5_Y_L10*Conservación_Y))*Inflación_5</f>
        <v>0</v>
      </c>
      <c r="Y33" s="101">
        <f>SUMIFS('9'!$E:$E,'9'!$A:$A,Año_Inicial+4,'9'!$B:$B,'12'!X$4,'9'!$D:$D,"Conservación de suelos")</f>
        <v>0</v>
      </c>
      <c r="Z33" s="101">
        <f>((A5_A_L11*Conservación_A)+(A5_B_L11*Conservación_B)+(A5_C_L11*Conservación_C)+(A5_D_L11*Conservación_D)+(A5_Y_L11*Conservación_Y))*Inflación_5</f>
        <v>0</v>
      </c>
      <c r="AA33" s="101">
        <f>SUMIFS('9'!$E:$E,'9'!$A:$A,Año_Inicial+4,'9'!$B:$B,'12'!Z$4,'9'!$D:$D,"Conservación de suelos")</f>
        <v>0</v>
      </c>
      <c r="AB33" s="101">
        <f>((A5_A_L12*Conservación_A)+(A5_B_L12*Conservación_B)+(A5_C_L12*Conservación_C)+(A5_D_L12*Conservación_D)+(A5_Y_L12*Conservación_Y))*Inflación_5</f>
        <v>0</v>
      </c>
      <c r="AC33" s="101">
        <f>SUMIFS('9'!$E:$E,'9'!$A:$A,Año_Inicial+4,'9'!$B:$B,'12'!AB$4,'9'!$D:$D,"Conservación de suelos")</f>
        <v>0</v>
      </c>
      <c r="AD33" s="101">
        <f>((A5_A_L13*Conservación_A)+(A5_B_L13*Conservación_B)+(A5_C_L13*Conservación_C)+(A5_D_L13*Conservación_D)+(A5_Y_L13*Conservación_Y))*Inflación_5</f>
        <v>0</v>
      </c>
      <c r="AE33" s="101">
        <f>SUMIFS('9'!$E:$E,'9'!$A:$A,Año_Inicial+4,'9'!$B:$B,'12'!AD$4,'9'!$D:$D,"Conservación de suelos")</f>
        <v>0</v>
      </c>
      <c r="AF33" s="101">
        <f>((A5_A_L14*Conservación_A)+(A5_B_L14*Conservación_B)+(A5_C_L14*Conservación_C)+(A5_D_L14*Conservación_D)+(A5_Y_L14*Conservación_Y))*Inflación_5</f>
        <v>0</v>
      </c>
      <c r="AG33" s="101">
        <f>SUMIFS('9'!$E:$E,'9'!$A:$A,Año_Inicial+4,'9'!$B:$B,'12'!AF$4,'9'!$D:$D,"Conservación de suelos")</f>
        <v>0</v>
      </c>
      <c r="AH33" s="101">
        <f>((A5_A_L15*Conservación_A)+(A5_B_L15*Conservación_B)+(A5_C_L15*Conservación_C)+(A5_D_L15*Conservación_D)+(A5_Y_L15*Conservación_Y))*Inflación_5</f>
        <v>0</v>
      </c>
      <c r="AI33" s="101">
        <f>SUMIFS('9'!$E:$E,'9'!$A:$A,Año_Inicial+4,'9'!$B:$B,'12'!AH$4,'9'!$D:$D,"Conservación de suelos")</f>
        <v>0</v>
      </c>
      <c r="AJ33" s="101">
        <f>((A5_A_L16*Conservación_A)+(A5_B_L16*Conservación_B)+(A5_C_L16*Conservación_C)+(A5_D_L16*Conservación_D)+(A5_Y_L16*Conservación_Y))*Inflación_5</f>
        <v>0</v>
      </c>
      <c r="AK33" s="101">
        <f>SUMIFS('9'!$E:$E,'9'!$A:$A,Año_Inicial+4,'9'!$B:$B,'12'!AJ$4,'9'!$D:$D,"Conservación de suelos")</f>
        <v>0</v>
      </c>
      <c r="AL33" s="101">
        <f>((A5_A_L17*Conservación_A)+(A5_B_L17*Conservación_B)+(A5_C_L17*Conservación_C)+(A5_D_L17*Conservación_D)+(A5_Y_L17*Conservación_Y))*Inflación_5</f>
        <v>0</v>
      </c>
      <c r="AM33" s="101">
        <f>SUMIFS('9'!$E:$E,'9'!$A:$A,Año_Inicial+4,'9'!$B:$B,'12'!AL$4,'9'!$D:$D,"Conservación de suelos")</f>
        <v>0</v>
      </c>
      <c r="AN33" s="101">
        <f>((A5_A_L18*Conservación_A)+(A5_B_L18*Conservación_B)+(A5_C_L18*Conservación_C)+(A5_D_L18*Conservación_D)+(A5_Y_L18*Conservación_Y))*Inflación_5</f>
        <v>0</v>
      </c>
      <c r="AO33" s="101">
        <f>SUMIFS('9'!$E:$E,'9'!$A:$A,Año_Inicial+4,'9'!$B:$B,'12'!AN$4,'9'!$D:$D,"Conservación de suelos")</f>
        <v>0</v>
      </c>
      <c r="AP33" s="101">
        <f>((A5_A_L19*Conservación_A)+(A5_B_L19*Conservación_B)+(A5_C_L19*Conservación_C)+(A5_D_L19*Conservación_D)+(A5_Y_L19*Conservación_Y))*Inflación_5</f>
        <v>0</v>
      </c>
      <c r="AQ33" s="101">
        <f>SUMIFS('9'!$E:$E,'9'!$A:$A,Año_Inicial+4,'9'!$B:$B,'12'!AP$4,'9'!$D:$D,"Conservación de suelos")</f>
        <v>0</v>
      </c>
      <c r="AR33" s="101">
        <f>((A5_A_L20*Conservación_A)+(A5_B_L20*Conservación_B)+(A5_C_L20*Conservación_C)+(A5_D_L20*Conservación_D)+(A5_Y_L20*Conservación_Y))*Inflación_5</f>
        <v>0</v>
      </c>
      <c r="AS33" s="101">
        <f>SUMIFS('9'!$E:$E,'9'!$A:$A,Año_Inicial+4,'9'!$B:$B,'12'!AR$4,'9'!$D:$D,"Conservación de suelos")</f>
        <v>0</v>
      </c>
      <c r="AT33" s="101">
        <f>((A5_A_L21*Conservación_A)+(A5_B_L21*Conservación_B)+(A5_C_L21*Conservación_C)+(A5_D_L21*Conservación_D)+(A5_Y_L21*Conservación_Y))*Inflación_5</f>
        <v>0</v>
      </c>
      <c r="AU33" s="101">
        <f>SUMIFS('9'!$E:$E,'9'!$A:$A,Año_Inicial+4,'9'!$B:$B,'12'!AT$4,'9'!$D:$D,"Conservación de suelos")</f>
        <v>0</v>
      </c>
      <c r="AV33" s="101">
        <f>((A5_A_L22*Conservación_A)+(A5_B_L22*Conservación_B)+(A5_C_L22*Conservación_C)+(A5_D_L22*Conservación_D)+(A5_Y_L22*Conservación_Y))*Inflación_5</f>
        <v>0</v>
      </c>
      <c r="AW33" s="101">
        <f>SUMIFS('9'!$E:$E,'9'!$A:$A,Año_Inicial+4,'9'!$B:$B,'12'!AV$4,'9'!$D:$D,"Conservación de suelos")</f>
        <v>0</v>
      </c>
      <c r="AX33" s="101">
        <f>((A5_A_L23*Conservación_A)+(A5_B_L23*Conservación_B)+(A5_C_L23*Conservación_C)+(A5_D_L23*Conservación_D)+(A5_Y_L23*Conservación_Y))*Inflación_5</f>
        <v>0</v>
      </c>
      <c r="AY33" s="101">
        <f>SUMIFS('9'!$E:$E,'9'!$A:$A,Año_Inicial+4,'9'!$B:$B,'12'!AX$4,'9'!$D:$D,"Conservación de suelos")</f>
        <v>0</v>
      </c>
      <c r="AZ33" s="101">
        <f>((A5_A_L24*Conservación_A)+(A5_B_L24*Conservación_B)+(A5_C_L24*Conservación_C)+(A5_D_L24*Conservación_D)+(A5_Y_L24*Conservación_Y))*Inflación_5</f>
        <v>0</v>
      </c>
      <c r="BA33" s="101">
        <f>SUMIFS('9'!$E:$E,'9'!$A:$A,Año_Inicial+4,'9'!$B:$B,'12'!AZ$4,'9'!$D:$D,"Conservación de suelos")</f>
        <v>0</v>
      </c>
      <c r="BB33" s="101">
        <f>((A5_A_L25*Conservación_A)+(A5_B_L25*Conservación_B)+(A5_C_L25*Conservación_C)+(A5_D_L25*Conservación_D)+(A5_Y_L25*Conservación_Y))*Inflación_5</f>
        <v>0</v>
      </c>
      <c r="BC33" s="101">
        <f>SUMIFS('9'!$E:$E,'9'!$A:$A,Año_Inicial+4,'9'!$B:$B,'12'!BB$4,'9'!$D:$D,"Conservación de suelos")</f>
        <v>0</v>
      </c>
      <c r="BD33" s="101">
        <f>((A5_A_L26*Conservación_A)+(A5_B_L26*Conservación_B)+(A5_C_L26*Conservación_C)+(A5_D_L26*Conservación_D)+(A5_Y_L26*Conservación_Y))*Inflación_5</f>
        <v>0</v>
      </c>
      <c r="BE33" s="101">
        <f>SUMIFS('9'!$E:$E,'9'!$A:$A,Año_Inicial+4,'9'!$B:$B,'12'!BD$4,'9'!$D:$D,"Conservación de suelos")</f>
        <v>0</v>
      </c>
      <c r="BF33" s="101">
        <f>((A5_A_L27*Conservación_A)+(A5_B_L27*Conservación_B)+(A5_C_L27*Conservación_C)+(A5_D_L27*Conservación_D)+(A5_Y_L27*Conservación_Y))*Inflación_5</f>
        <v>0</v>
      </c>
      <c r="BG33" s="101">
        <f>SUMIFS('9'!$E:$E,'9'!$A:$A,Año_Inicial+4,'9'!$B:$B,'12'!BF$4,'9'!$D:$D,"Conservación de suelos")</f>
        <v>0</v>
      </c>
      <c r="BH33" s="101">
        <f>((A5_A_L28*Conservación_A)+(A5_B_L28*Conservación_B)+(A5_C_L28*Conservación_C)+(A5_D_L28*Conservación_D)+(A5_Y_L28*Conservación_Y))*Inflación_5</f>
        <v>0</v>
      </c>
      <c r="BI33" s="101">
        <f>SUMIFS('9'!$E:$E,'9'!$A:$A,Año_Inicial+4,'9'!$B:$B,'12'!BH$4,'9'!$D:$D,"Conservación de suelos")</f>
        <v>0</v>
      </c>
      <c r="BJ33" s="101">
        <f>((A5_A_L29*Conservación_A)+(A5_B_L29*Conservación_B)+(A5_C_L29*Conservación_C)+(A5_D_L29*Conservación_D)+(A5_Y_L29*Conservación_Y))*Inflación_5</f>
        <v>0</v>
      </c>
      <c r="BK33" s="101">
        <f>SUMIFS('9'!$E:$E,'9'!$A:$A,Año_Inicial+4,'9'!$B:$B,'12'!BJ$4,'9'!$D:$D,"Conservación de suelos")</f>
        <v>0</v>
      </c>
      <c r="BL33" s="101">
        <f>((A5_A_L30*Conservación_A)+(A5_B_L30*Conservación_B)+(A5_C_L30*Conservación_C)+(A5_D_L30*Conservación_D)+(A5_Y_L30*Conservación_Y))*Inflación_5</f>
        <v>0</v>
      </c>
      <c r="BM33" s="101">
        <f>SUMIFS('9'!$E:$E,'9'!$A:$A,Año_Inicial+4,'9'!$B:$B,'12'!BL$4,'9'!$D:$D,"Conservación de suelos")</f>
        <v>0</v>
      </c>
      <c r="BN33" s="101">
        <f>((A5_A_L31*Conservación_A)+(A5_B_L31*Conservación_B)+(A5_C_L31*Conservación_C)+(A5_D_L31*Conservación_D)+(A5_Y_L31*Conservación_Y))*Inflación_5</f>
        <v>0</v>
      </c>
      <c r="BO33" s="101">
        <f>SUMIFS('9'!$E:$E,'9'!$A:$A,Año_Inicial+4,'9'!$B:$B,'12'!BN$4,'9'!$D:$D,"Conservación de suelos")</f>
        <v>0</v>
      </c>
      <c r="BP33" s="101">
        <f>((A5_A_L32*Conservación_A)+(A5_B_L32*Conservación_B)+(A5_C_L32*Conservación_C)+(A5_D_L32*Conservación_D)+(A5_Y_L32*Conservación_Y))*Inflación_5</f>
        <v>0</v>
      </c>
      <c r="BQ33" s="101">
        <f>SUMIFS('9'!$E:$E,'9'!$A:$A,Año_Inicial+4,'9'!$B:$B,'12'!BP$4,'9'!$D:$D,"Conservación de suelos")</f>
        <v>0</v>
      </c>
      <c r="BR33" s="101">
        <f>((A5_A_L33*Conservación_A)+(A5_B_L33*Conservación_B)+(A5_C_L33*Conservación_C)+(A5_D_L33*Conservación_D)+(A5_Y_L33*Conservación_Y))*Inflación_5</f>
        <v>0</v>
      </c>
      <c r="BS33" s="101">
        <f>SUMIFS('9'!$E:$E,'9'!$A:$A,Año_Inicial+4,'9'!$B:$B,'12'!BR$4,'9'!$D:$D,"Conservación de suelos")</f>
        <v>0</v>
      </c>
      <c r="BT33" s="101">
        <f>((A5_A_L34*Conservación_A)+(A5_B_L34*Conservación_B)+(A5_C_L34*Conservación_C)+(A5_D_L34*Conservación_D)+(A5_Y_L34*Conservación_Y))*Inflación_5</f>
        <v>0</v>
      </c>
      <c r="BU33" s="101">
        <f>SUMIFS('9'!$E:$E,'9'!$A:$A,Año_Inicial+4,'9'!$B:$B,'12'!BT$4,'9'!$D:$D,"Conservación de suelos")</f>
        <v>0</v>
      </c>
      <c r="BV33" s="101">
        <f>((A5_A_L35*Conservación_A)+(A5_B_L35*Conservación_B)+(A5_C_L35*Conservación_C)+(A5_D_L35*Conservación_D)+(A5_Y_L35*Conservación_Y))*Inflación_5</f>
        <v>0</v>
      </c>
      <c r="BW33" s="101">
        <f>SUMIFS('9'!$E:$E,'9'!$A:$A,Año_Inicial+4,'9'!$B:$B,'12'!BV$4,'9'!$D:$D,"Conservación de suelos")</f>
        <v>0</v>
      </c>
      <c r="BX33" s="101">
        <f>((A5_A_L36*Conservación_A)+(A5_B_L36*Conservación_B)+(A5_C_L36*Conservación_C)+(A5_D_L36*Conservación_D)+(A5_Y_L36*Conservación_Y))*Inflación_5</f>
        <v>0</v>
      </c>
      <c r="BY33" s="101">
        <f>SUMIFS('9'!$E:$E,'9'!$A:$A,Año_Inicial+4,'9'!$B:$B,'12'!BX$4,'9'!$D:$D,"Conservación de suelos")</f>
        <v>0</v>
      </c>
      <c r="BZ33" s="101">
        <f>((A5_A_L37*Conservación_A)+(A5_B_L37*Conservación_B)+(A5_C_L37*Conservación_C)+(A5_D_L37*Conservación_D)+(A5_Y_L37*Conservación_Y))*Inflación_5</f>
        <v>0</v>
      </c>
      <c r="CA33" s="101">
        <f>SUMIFS('9'!$E:$E,'9'!$A:$A,Año_Inicial+4,'9'!$B:$B,'12'!BZ$4,'9'!$D:$D,"Conservación de suelos")</f>
        <v>0</v>
      </c>
      <c r="CB33" s="101">
        <f>((A5_A_L38*Conservación_A)+(A5_B_L38*Conservación_B)+(A5_C_L38*Conservación_C)+(A5_D_L38*Conservación_D)+(A5_Y_L38*Conservación_Y))*Inflación_5</f>
        <v>0</v>
      </c>
      <c r="CC33" s="101">
        <f>SUMIFS('9'!$E:$E,'9'!$A:$A,Año_Inicial+4,'9'!$B:$B,'12'!CB$4,'9'!$D:$D,"Conservación de suelos")</f>
        <v>0</v>
      </c>
      <c r="CD33" s="101">
        <f>((A5_A_L39*Conservación_A)+(A5_B_L39*Conservación_B)+(A5_C_L39*Conservación_C)+(A5_D_L39*Conservación_D)+(A5_Y_L39*Conservación_Y))*Inflación_5</f>
        <v>0</v>
      </c>
      <c r="CE33" s="101">
        <f>SUMIFS('9'!$E:$E,'9'!$A:$A,Año_Inicial+4,'9'!$B:$B,'12'!CD$4,'9'!$D:$D,"Conservación de suelos")</f>
        <v>0</v>
      </c>
      <c r="CF33" s="101">
        <f>((A5_A_L40*Conservación_A)+(A5_B_L40*Conservación_B)+(A5_C_L40*Conservación_C)+(A5_D_L40*Conservación_D)+(A5_Y_L40*Conservación_Y))*Inflación_5</f>
        <v>0</v>
      </c>
      <c r="CG33" s="101">
        <f>SUMIFS('9'!$E:$E,'9'!$A:$A,Año_Inicial+4,'9'!$B:$B,'12'!CF$4,'9'!$D:$D,"Conservación de suelos")</f>
        <v>0</v>
      </c>
      <c r="CH33" s="473"/>
      <c r="CI33" s="101">
        <f>Plantas_A_A5*Conservación_A*Inflación_5</f>
        <v>0</v>
      </c>
      <c r="CJ33" s="101">
        <f>Plantas_B_A5*Conservación_B</f>
        <v>0</v>
      </c>
      <c r="CK33" s="101">
        <f>Plantas_C_A5*Conservación_C</f>
        <v>0</v>
      </c>
      <c r="CL33" s="101">
        <f>Plantas_D_A5*Conservación_D</f>
        <v>0</v>
      </c>
      <c r="CM33" s="101"/>
      <c r="CN33" s="101">
        <f>Plantas_Y_A5*Conservación_Y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SUMIFS('9'!$E:$E,'9'!$A:$A,Año_Inicial+4,'9'!$D:$D,"Otras actividades")</f>
        <v>0</v>
      </c>
      <c r="D34" s="100">
        <f t="shared" si="45"/>
        <v>0</v>
      </c>
      <c r="E34" s="473"/>
      <c r="F34" s="101">
        <f>((A5_A_L1*Otras_A)+(A5_B_L1*Otras_B)+(A5_C_L1*Otras_C)+(A5_D_L1*Otras_D)+(A5_Y_L1*Otras_Y))*Inflación_5</f>
        <v>0</v>
      </c>
      <c r="G34" s="101">
        <f>SUMIFS('9'!$E:$E,'9'!$A:$A,Año_Inicial+4,'9'!$B:$B,'12'!F$4,'9'!$D:$D,"Otras actividades")</f>
        <v>0</v>
      </c>
      <c r="H34" s="101">
        <f>((A5_A_L2*Otras_A)+(A5_B_L2*Otras_B)+(A5_C_L2*Otras_C)+(A5_D_L2*Otras_D)+(A5_Y_L2*Otras_Y))*Inflación_5</f>
        <v>0</v>
      </c>
      <c r="I34" s="101">
        <f>SUMIFS('9'!$E:$E,'9'!$A:$A,Año_Inicial+4,'9'!$B:$B,'12'!H$4,'9'!$D:$D,"Otras actividades")</f>
        <v>0</v>
      </c>
      <c r="J34" s="101">
        <f>((A5_A_L3*Otras_A)+(A5_B_L3*Otras_B)+(A5_C_L3*Otras_C)+(A5_D_L3*Otras_D)+(A5_Y_L3*Otras_Y))*Inflación_5</f>
        <v>0</v>
      </c>
      <c r="K34" s="101">
        <f>SUMIFS('9'!$E:$E,'9'!$A:$A,Año_Inicial+4,'9'!$B:$B,'12'!J$4,'9'!$D:$D,"Otras actividades")</f>
        <v>0</v>
      </c>
      <c r="L34" s="101">
        <f>((A5_A_L4*Otras_A)+(A5_B_L4*Otras_B)+(A5_C_L4*Otras_C)+(A5_D_L4*Otras_D)+(A5_Y_L4*Otras_Y))*Inflación_5</f>
        <v>0</v>
      </c>
      <c r="M34" s="101">
        <f>SUMIFS('9'!$E:$E,'9'!$A:$A,Año_Inicial+4,'9'!$B:$B,'12'!L$4,'9'!$D:$D,"Otras actividades")</f>
        <v>0</v>
      </c>
      <c r="N34" s="101">
        <f>((A5_A_L5*Otras_A)+(A5_B_L5*Otras_B)+(A5_C_L5*Otras_C)+(A5_D_L5*Otras_D)+(A5_Y_L5*Otras_Y))*Inflación_5</f>
        <v>0</v>
      </c>
      <c r="O34" s="101">
        <f>SUMIFS('9'!$E:$E,'9'!$A:$A,Año_Inicial+4,'9'!$B:$B,'12'!N$4,'9'!$D:$D,"Otras actividades")</f>
        <v>0</v>
      </c>
      <c r="P34" s="101">
        <f>((A5_A_L6*Otras_A)+(A5_B_L6*Otras_B)+(A5_C_L6*Otras_C)+(A5_D_L6*Otras_D)+(A5_Y_L6*Otras_Y))*Inflación_5</f>
        <v>0</v>
      </c>
      <c r="Q34" s="101">
        <f>SUMIFS('9'!$E:$E,'9'!$A:$A,Año_Inicial+4,'9'!$B:$B,'12'!P$4,'9'!$D:$D,"Otras actividades")</f>
        <v>0</v>
      </c>
      <c r="R34" s="101">
        <f>((A5_A_L7*Otras_A)+(A5_B_L7*Otras_B)+(A5_C_L7*Otras_C)+(A5_D_L7*Otras_D)+(A5_Y_L7*Otras_Y))*Inflación_5</f>
        <v>0</v>
      </c>
      <c r="S34" s="101">
        <f>SUMIFS('9'!$E:$E,'9'!$A:$A,Año_Inicial+4,'9'!$B:$B,'12'!R$4,'9'!$D:$D,"Otras actividades")</f>
        <v>0</v>
      </c>
      <c r="T34" s="101">
        <f>((A5_A_L8*Otras_A)+(A5_B_L8*Otras_B)+(A5_C_L8*Otras_C)+(A5_D_L8*Otras_D)+(A5_Y_L8*Otras_Y))*Inflación_5</f>
        <v>0</v>
      </c>
      <c r="U34" s="101">
        <f>SUMIFS('9'!$E:$E,'9'!$A:$A,Año_Inicial+4,'9'!$B:$B,'12'!T$4,'9'!$D:$D,"Otras actividades")</f>
        <v>0</v>
      </c>
      <c r="V34" s="101">
        <f>((A5_A_L9*Otras_A)+(A5_B_L9*Otras_B)+(A5_C_L9*Otras_C)+(A5_D_L9*Otras_D)+(A5_Y_L9*Otras_Y))*Inflación_5</f>
        <v>0</v>
      </c>
      <c r="W34" s="101">
        <f>SUMIFS('9'!$E:$E,'9'!$A:$A,Año_Inicial+4,'9'!$B:$B,'12'!V$4,'9'!$D:$D,"Otras actividades")</f>
        <v>0</v>
      </c>
      <c r="X34" s="101">
        <f>((A5_A_L10*Otras_A)+(A5_B_L10*Otras_B)+(A5_C_L10*Otras_C)+(A5_D_L10*Otras_D)+(A5_Y_L10*Otras_Y))*Inflación_5</f>
        <v>0</v>
      </c>
      <c r="Y34" s="101">
        <f>SUMIFS('9'!$E:$E,'9'!$A:$A,Año_Inicial+4,'9'!$B:$B,'12'!X$4,'9'!$D:$D,"Otras actividades")</f>
        <v>0</v>
      </c>
      <c r="Z34" s="101">
        <f>((A5_A_L11*Otras_A)+(A5_B_L11*Otras_B)+(A5_C_L11*Otras_C)+(A5_D_L11*Otras_D)+(A5_Y_L11*Otras_Y))*Inflación_5</f>
        <v>0</v>
      </c>
      <c r="AA34" s="101">
        <f>SUMIFS('9'!$E:$E,'9'!$A:$A,Año_Inicial+4,'9'!$B:$B,'12'!Z$4,'9'!$D:$D,"Otras actividades")</f>
        <v>0</v>
      </c>
      <c r="AB34" s="101">
        <f>((A5_A_L12*Otras_A)+(A5_B_L12*Otras_B)+(A5_C_L12*Otras_C)+(A5_D_L12*Otras_D)+(A5_Y_L12*Otras_Y))*Inflación_5</f>
        <v>0</v>
      </c>
      <c r="AC34" s="101">
        <f>SUMIFS('9'!$E:$E,'9'!$A:$A,Año_Inicial+4,'9'!$B:$B,'12'!AB$4,'9'!$D:$D,"Otras actividades")</f>
        <v>0</v>
      </c>
      <c r="AD34" s="101">
        <f>((A5_A_L13*Otras_A)+(A5_B_L13*Otras_B)+(A5_C_L13*Otras_C)+(A5_D_L13*Otras_D)+(A5_Y_L13*Otras_Y))*Inflación_5</f>
        <v>0</v>
      </c>
      <c r="AE34" s="101">
        <f>SUMIFS('9'!$E:$E,'9'!$A:$A,Año_Inicial+4,'9'!$B:$B,'12'!AD$4,'9'!$D:$D,"Otras actividades")</f>
        <v>0</v>
      </c>
      <c r="AF34" s="101">
        <f>((A5_A_L14*Otras_A)+(A5_B_L14*Otras_B)+(A5_C_L14*Otras_C)+(A5_D_L14*Otras_D)+(A5_Y_L14*Otras_Y))*Inflación_5</f>
        <v>0</v>
      </c>
      <c r="AG34" s="101">
        <f>SUMIFS('9'!$E:$E,'9'!$A:$A,Año_Inicial+4,'9'!$B:$B,'12'!AF$4,'9'!$D:$D,"Otras actividades")</f>
        <v>0</v>
      </c>
      <c r="AH34" s="101">
        <f>((A5_A_L15*Otras_A)+(A5_B_L15*Otras_B)+(A5_C_L15*Otras_C)+(A5_D_L15*Otras_D)+(A5_Y_L15*Otras_Y))*Inflación_5</f>
        <v>0</v>
      </c>
      <c r="AI34" s="101">
        <f>SUMIFS('9'!$E:$E,'9'!$A:$A,Año_Inicial+4,'9'!$B:$B,'12'!AH$4,'9'!$D:$D,"Otras actividades")</f>
        <v>0</v>
      </c>
      <c r="AJ34" s="101">
        <f>((A5_A_L16*Otras_A)+(A5_B_L16*Otras_B)+(A5_C_L16*Otras_C)+(A5_D_L16*Otras_D)+(A5_Y_L16*Otras_Y))*Inflación_5</f>
        <v>0</v>
      </c>
      <c r="AK34" s="101">
        <f>SUMIFS('9'!$E:$E,'9'!$A:$A,Año_Inicial+4,'9'!$B:$B,'12'!AJ$4,'9'!$D:$D,"Otras actividades")</f>
        <v>0</v>
      </c>
      <c r="AL34" s="101">
        <f>((A5_A_L17*Otras_A)+(A5_B_L17*Otras_B)+(A5_C_L17*Otras_C)+(A5_D_L17*Otras_D)+(A5_Y_L17*Otras_Y))*Inflación_5</f>
        <v>0</v>
      </c>
      <c r="AM34" s="101">
        <f>SUMIFS('9'!$E:$E,'9'!$A:$A,Año_Inicial+4,'9'!$B:$B,'12'!AL$4,'9'!$D:$D,"Otras actividades")</f>
        <v>0</v>
      </c>
      <c r="AN34" s="101">
        <f>((A5_A_L18*Otras_A)+(A5_B_L18*Otras_B)+(A5_C_L18*Otras_C)+(A5_D_L18*Otras_D)+(A5_Y_L18*Otras_Y))*Inflación_5</f>
        <v>0</v>
      </c>
      <c r="AO34" s="101">
        <f>SUMIFS('9'!$E:$E,'9'!$A:$A,Año_Inicial+4,'9'!$B:$B,'12'!AN$4,'9'!$D:$D,"Otras actividades")</f>
        <v>0</v>
      </c>
      <c r="AP34" s="101">
        <f>((A5_A_L19*Otras_A)+(A5_B_L19*Otras_B)+(A5_C_L19*Otras_C)+(A5_D_L19*Otras_D)+(A5_Y_L19*Otras_Y))*Inflación_5</f>
        <v>0</v>
      </c>
      <c r="AQ34" s="101">
        <f>SUMIFS('9'!$E:$E,'9'!$A:$A,Año_Inicial+4,'9'!$B:$B,'12'!AP$4,'9'!$D:$D,"Otras actividades")</f>
        <v>0</v>
      </c>
      <c r="AR34" s="101">
        <f>((A5_A_L20*Otras_A)+(A5_B_L20*Otras_B)+(A5_C_L20*Otras_C)+(A5_D_L20*Otras_D)+(A5_Y_L20*Otras_Y))*Inflación_5</f>
        <v>0</v>
      </c>
      <c r="AS34" s="101">
        <f>SUMIFS('9'!$E:$E,'9'!$A:$A,Año_Inicial+4,'9'!$B:$B,'12'!AR$4,'9'!$D:$D,"Otras actividades")</f>
        <v>0</v>
      </c>
      <c r="AT34" s="101">
        <f>((A5_A_L21*Otras_A)+(A5_B_L21*Otras_B)+(A5_C_L21*Otras_C)+(A5_D_L21*Otras_D)+(A5_Y_L21*Otras_Y))*Inflación_5</f>
        <v>0</v>
      </c>
      <c r="AU34" s="101">
        <f>SUMIFS('9'!$E:$E,'9'!$A:$A,Año_Inicial+4,'9'!$B:$B,'12'!AT$4,'9'!$D:$D,"Otras actividades")</f>
        <v>0</v>
      </c>
      <c r="AV34" s="101">
        <f>((A5_A_L22*Otras_A)+(A5_B_L22*Otras_B)+(A5_C_L22*Otras_C)+(A5_D_L22*Otras_D)+(A5_Y_L22*Otras_Y))*Inflación_5</f>
        <v>0</v>
      </c>
      <c r="AW34" s="101">
        <f>SUMIFS('9'!$E:$E,'9'!$A:$A,Año_Inicial+4,'9'!$B:$B,'12'!AV$4,'9'!$D:$D,"Otras actividades")</f>
        <v>0</v>
      </c>
      <c r="AX34" s="101">
        <f>((A5_A_L23*Otras_A)+(A5_B_L23*Otras_B)+(A5_C_L23*Otras_C)+(A5_D_L23*Otras_D)+(A5_Y_L23*Otras_Y))*Inflación_5</f>
        <v>0</v>
      </c>
      <c r="AY34" s="101">
        <f>SUMIFS('9'!$E:$E,'9'!$A:$A,Año_Inicial+4,'9'!$B:$B,'12'!AX$4,'9'!$D:$D,"Otras actividades")</f>
        <v>0</v>
      </c>
      <c r="AZ34" s="101">
        <f>((A5_A_L24*Otras_A)+(A5_B_L24*Otras_B)+(A5_C_L24*Otras_C)+(A5_D_L24*Otras_D)+(A5_Y_L24*Otras_Y))*Inflación_5</f>
        <v>0</v>
      </c>
      <c r="BA34" s="101">
        <f>SUMIFS('9'!$E:$E,'9'!$A:$A,Año_Inicial+4,'9'!$B:$B,'12'!AZ$4,'9'!$D:$D,"Otras actividades")</f>
        <v>0</v>
      </c>
      <c r="BB34" s="101">
        <f>((A5_A_L25*Otras_A)+(A5_B_L25*Otras_B)+(A5_C_L25*Otras_C)+(A5_D_L25*Otras_D)+(A5_Y_L25*Otras_Y))*Inflación_5</f>
        <v>0</v>
      </c>
      <c r="BC34" s="101">
        <f>SUMIFS('9'!$E:$E,'9'!$A:$A,Año_Inicial+4,'9'!$B:$B,'12'!BB$4,'9'!$D:$D,"Otras actividades")</f>
        <v>0</v>
      </c>
      <c r="BD34" s="101">
        <f>((A5_A_L26*Otras_A)+(A5_B_L26*Otras_B)+(A5_C_L26*Otras_C)+(A5_D_L26*Otras_D)+(A5_Y_L26*Otras_Y))*Inflación_5</f>
        <v>0</v>
      </c>
      <c r="BE34" s="101">
        <f>SUMIFS('9'!$E:$E,'9'!$A:$A,Año_Inicial+4,'9'!$B:$B,'12'!BD$4,'9'!$D:$D,"Otras actividades")</f>
        <v>0</v>
      </c>
      <c r="BF34" s="101">
        <f>((A5_A_L27*Otras_A)+(A5_B_L27*Otras_B)+(A5_C_L27*Otras_C)+(A5_D_L27*Otras_D)+(A5_Y_L27*Otras_Y))*Inflación_5</f>
        <v>0</v>
      </c>
      <c r="BG34" s="101">
        <f>SUMIFS('9'!$E:$E,'9'!$A:$A,Año_Inicial+4,'9'!$B:$B,'12'!BF$4,'9'!$D:$D,"Otras actividades")</f>
        <v>0</v>
      </c>
      <c r="BH34" s="101">
        <f>((A5_A_L28*Otras_A)+(A5_B_L28*Otras_B)+(A5_C_L28*Otras_C)+(A5_D_L28*Otras_D)+(A5_Y_L28*Otras_Y))*Inflación_5</f>
        <v>0</v>
      </c>
      <c r="BI34" s="101">
        <f>SUMIFS('9'!$E:$E,'9'!$A:$A,Año_Inicial+4,'9'!$B:$B,'12'!BH$4,'9'!$D:$D,"Otras actividades")</f>
        <v>0</v>
      </c>
      <c r="BJ34" s="101">
        <f>((A5_A_L29*Otras_A)+(A5_B_L29*Otras_B)+(A5_C_L29*Otras_C)+(A5_D_L29*Otras_D)+(A5_Y_L29*Otras_Y))*Inflación_5</f>
        <v>0</v>
      </c>
      <c r="BK34" s="101">
        <f>SUMIFS('9'!$E:$E,'9'!$A:$A,Año_Inicial+4,'9'!$B:$B,'12'!BJ$4,'9'!$D:$D,"Otras actividades")</f>
        <v>0</v>
      </c>
      <c r="BL34" s="101">
        <f>((A5_A_L30*Otras_A)+(A5_B_L30*Otras_B)+(A5_C_L30*Otras_C)+(A5_D_L30*Otras_D)+(A5_Y_L30*Otras_Y))*Inflación_5</f>
        <v>0</v>
      </c>
      <c r="BM34" s="101">
        <f>SUMIFS('9'!$E:$E,'9'!$A:$A,Año_Inicial+4,'9'!$B:$B,'12'!BL$4,'9'!$D:$D,"Otras actividades")</f>
        <v>0</v>
      </c>
      <c r="BN34" s="101">
        <f>((A5_A_L31*Otras_A)+(A5_B_L31*Otras_B)+(A5_C_L31*Otras_C)+(A5_D_L31*Otras_D)+(A5_Y_L31*Otras_Y))*Inflación_5</f>
        <v>0</v>
      </c>
      <c r="BO34" s="101">
        <f>SUMIFS('9'!$E:$E,'9'!$A:$A,Año_Inicial+4,'9'!$B:$B,'12'!BN$4,'9'!$D:$D,"Otras actividades")</f>
        <v>0</v>
      </c>
      <c r="BP34" s="101">
        <f>((A5_A_L32*Otras_A)+(A5_B_L32*Otras_B)+(A5_C_L32*Otras_C)+(A5_D_L32*Otras_D)+(A5_Y_L32*Otras_Y))*Inflación_5</f>
        <v>0</v>
      </c>
      <c r="BQ34" s="101">
        <f>SUMIFS('9'!$E:$E,'9'!$A:$A,Año_Inicial+4,'9'!$B:$B,'12'!BP$4,'9'!$D:$D,"Otras actividades")</f>
        <v>0</v>
      </c>
      <c r="BR34" s="101">
        <f>((A5_A_L33*Otras_A)+(A5_B_L33*Otras_B)+(A5_C_L33*Otras_C)+(A5_D_L33*Otras_D)+(A5_Y_L33*Otras_Y))*Inflación_5</f>
        <v>0</v>
      </c>
      <c r="BS34" s="101">
        <f>SUMIFS('9'!$E:$E,'9'!$A:$A,Año_Inicial+4,'9'!$B:$B,'12'!BR$4,'9'!$D:$D,"Otras actividades")</f>
        <v>0</v>
      </c>
      <c r="BT34" s="101">
        <f>((A5_A_L34*Otras_A)+(A5_B_L34*Otras_B)+(A5_C_L34*Otras_C)+(A5_D_L34*Otras_D)+(A5_Y_L34*Otras_Y))*Inflación_5</f>
        <v>0</v>
      </c>
      <c r="BU34" s="101">
        <f>SUMIFS('9'!$E:$E,'9'!$A:$A,Año_Inicial+4,'9'!$B:$B,'12'!BT$4,'9'!$D:$D,"Otras actividades")</f>
        <v>0</v>
      </c>
      <c r="BV34" s="101">
        <f>((A5_A_L35*Otras_A)+(A5_B_L35*Otras_B)+(A5_C_L35*Otras_C)+(A5_D_L35*Otras_D)+(A5_Y_L35*Otras_Y))*Inflación_5</f>
        <v>0</v>
      </c>
      <c r="BW34" s="101">
        <f>SUMIFS('9'!$E:$E,'9'!$A:$A,Año_Inicial+4,'9'!$B:$B,'12'!BV$4,'9'!$D:$D,"Otras actividades")</f>
        <v>0</v>
      </c>
      <c r="BX34" s="101">
        <f>((A5_A_L36*Otras_A)+(A5_B_L36*Otras_B)+(A5_C_L36*Otras_C)+(A5_D_L36*Otras_D)+(A5_Y_L36*Otras_Y))*Inflación_5</f>
        <v>0</v>
      </c>
      <c r="BY34" s="101">
        <f>SUMIFS('9'!$E:$E,'9'!$A:$A,Año_Inicial+4,'9'!$B:$B,'12'!BX$4,'9'!$D:$D,"Otras actividades")</f>
        <v>0</v>
      </c>
      <c r="BZ34" s="101">
        <f>((A5_A_L37*Otras_A)+(A5_B_L37*Otras_B)+(A5_C_L37*Otras_C)+(A5_D_L37*Otras_D)+(A5_Y_L37*Otras_Y))*Inflación_5</f>
        <v>0</v>
      </c>
      <c r="CA34" s="101">
        <f>SUMIFS('9'!$E:$E,'9'!$A:$A,Año_Inicial+4,'9'!$B:$B,'12'!BZ$4,'9'!$D:$D,"Otras actividades")</f>
        <v>0</v>
      </c>
      <c r="CB34" s="101">
        <f>((A5_A_L38*Otras_A)+(A5_B_L38*Otras_B)+(A5_C_L38*Otras_C)+(A5_D_L38*Otras_D)+(A5_Y_L38*Otras_Y))*Inflación_5</f>
        <v>0</v>
      </c>
      <c r="CC34" s="101">
        <f>SUMIFS('9'!$E:$E,'9'!$A:$A,Año_Inicial+4,'9'!$B:$B,'12'!CB$4,'9'!$D:$D,"Otras actividades")</f>
        <v>0</v>
      </c>
      <c r="CD34" s="101">
        <f>((A5_A_L39*Otras_A)+(A5_B_L39*Otras_B)+(A5_C_L39*Otras_C)+(A5_D_L39*Otras_D)+(A5_Y_L39*Otras_Y))*Inflación_5</f>
        <v>0</v>
      </c>
      <c r="CE34" s="101">
        <f>SUMIFS('9'!$E:$E,'9'!$A:$A,Año_Inicial+4,'9'!$B:$B,'12'!CD$4,'9'!$D:$D,"Otras actividades")</f>
        <v>0</v>
      </c>
      <c r="CF34" s="101">
        <f>((A5_A_L40*Otras_A)+(A5_B_L40*Otras_B)+(A5_C_L40*Otras_C)+(A5_D_L40*Otras_D)+(A5_Y_L40*Otras_Y))*Inflación_5</f>
        <v>0</v>
      </c>
      <c r="CG34" s="101">
        <f>SUMIFS('9'!$E:$E,'9'!$A:$A,Año_Inicial+4,'9'!$B:$B,'12'!CF$4,'9'!$D:$D,"Otras actividades")</f>
        <v>0</v>
      </c>
      <c r="CH34" s="473"/>
      <c r="CI34" s="101">
        <f>Plantas_A_A5*Otras_A*Inflación_5</f>
        <v>0</v>
      </c>
      <c r="CJ34" s="101">
        <f>Plantas_B_A5*Otras_B</f>
        <v>0</v>
      </c>
      <c r="CK34" s="101">
        <f>Plantas_C_A5*Otras_C</f>
        <v>0</v>
      </c>
      <c r="CL34" s="101">
        <f>Plantas_D_A5*Otras_D</f>
        <v>0</v>
      </c>
      <c r="CM34" s="101"/>
      <c r="CN34" s="101">
        <f>Plantas_Y_A5*Otras_Y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SUMIFS('9'!$E:$E,'9'!$A:$A,Año_Inicial+4,'9'!$D:$D,"Coadyuvantes")</f>
        <v>0</v>
      </c>
      <c r="D35" s="100">
        <f t="shared" si="45"/>
        <v>0</v>
      </c>
      <c r="E35" s="473"/>
      <c r="F35" s="101">
        <f>((A5_A_L1*Coad_A)+(A5_B_L1*Coad_B)+(A5_C_L1*Coad_C)+(A5_D_L1*Coad_D)+(A5_Y_L1*Coad_Y))*Inflación_5</f>
        <v>0</v>
      </c>
      <c r="G35" s="101">
        <f>SUMIFS('9'!$E:$E,'9'!$A:$A,Año_Inicial+4,'9'!$B:$B,'12'!F$4,'9'!$D:$D,"Coadyuvantes")</f>
        <v>0</v>
      </c>
      <c r="H35" s="101">
        <f>((A5_A_L2*Coad_A)+(A5_B_L2*Coad_B)+(A5_C_L2*Coad_C)+(A5_D_L2*Coad_D)+(A5_Y_L2*Coad_Y))*Inflación_5</f>
        <v>0</v>
      </c>
      <c r="I35" s="101">
        <f>SUMIFS('9'!$E:$E,'9'!$A:$A,Año_Inicial+4,'9'!$B:$B,'12'!H$4,'9'!$D:$D,"Coadyuvantes")</f>
        <v>0</v>
      </c>
      <c r="J35" s="101">
        <f>((A5_A_L3*Coad_A)+(A5_B_L3*Coad_B)+(A5_C_L3*Coad_C)+(A5_D_L3*Coad_D)+(A5_Y_L3*Coad_Y))*Inflación_5</f>
        <v>0</v>
      </c>
      <c r="K35" s="101">
        <f>SUMIFS('9'!$E:$E,'9'!$A:$A,Año_Inicial+4,'9'!$B:$B,'12'!J$4,'9'!$D:$D,"Coadyuvantes")</f>
        <v>0</v>
      </c>
      <c r="L35" s="101">
        <f>((A5_A_L4*Coad_A)+(A5_B_L4*Coad_B)+(A5_C_L4*Coad_C)+(A5_D_L4*Coad_D)+(A5_Y_L4*Coad_Y))*Inflación_5</f>
        <v>0</v>
      </c>
      <c r="M35" s="101">
        <f>SUMIFS('9'!$E:$E,'9'!$A:$A,Año_Inicial+4,'9'!$B:$B,'12'!L$4,'9'!$D:$D,"Coadyuvantes")</f>
        <v>0</v>
      </c>
      <c r="N35" s="101">
        <f>((A5_A_L5*Coad_A)+(A5_B_L5*Coad_B)+(A5_C_L5*Coad_C)+(A5_D_L5*Coad_D)+(A5_Y_L5*Coad_Y))*Inflación_5</f>
        <v>0</v>
      </c>
      <c r="O35" s="101">
        <f>SUMIFS('9'!$E:$E,'9'!$A:$A,Año_Inicial+4,'9'!$B:$B,'12'!N$4,'9'!$D:$D,"Coadyuvantes")</f>
        <v>0</v>
      </c>
      <c r="P35" s="101">
        <f>((A5_A_L6*Coad_A)+(A5_B_L6*Coad_B)+(A5_C_L6*Coad_C)+(A5_D_L6*Coad_D)+(A5_Y_L6*Coad_Y))*Inflación_5</f>
        <v>0</v>
      </c>
      <c r="Q35" s="101">
        <f>SUMIFS('9'!$E:$E,'9'!$A:$A,Año_Inicial+4,'9'!$B:$B,'12'!P$4,'9'!$D:$D,"Coadyuvantes")</f>
        <v>0</v>
      </c>
      <c r="R35" s="101">
        <f>((A5_A_L7*Coad_A)+(A5_B_L7*Coad_B)+(A5_C_L7*Coad_C)+(A5_D_L7*Coad_D)+(A5_Y_L7*Coad_Y))*Inflación_5</f>
        <v>0</v>
      </c>
      <c r="S35" s="101">
        <f>SUMIFS('9'!$E:$E,'9'!$A:$A,Año_Inicial+4,'9'!$B:$B,'12'!R$4,'9'!$D:$D,"Coadyuvantes")</f>
        <v>0</v>
      </c>
      <c r="T35" s="101">
        <f>((A5_A_L8*Coad_A)+(A5_B_L8*Coad_B)+(A5_C_L8*Coad_C)+(A5_D_L8*Coad_D)+(A5_Y_L8*Coad_Y))*Inflación_5</f>
        <v>0</v>
      </c>
      <c r="U35" s="101">
        <f>SUMIFS('9'!$E:$E,'9'!$A:$A,Año_Inicial+4,'9'!$B:$B,'12'!T$4,'9'!$D:$D,"Coadyuvantes")</f>
        <v>0</v>
      </c>
      <c r="V35" s="101">
        <f>((A5_A_L9*Coad_A)+(A5_B_L9*Coad_B)+(A5_C_L9*Coad_C)+(A5_D_L9*Coad_D)+(A5_Y_L9*Coad_Y))*Inflación_5</f>
        <v>0</v>
      </c>
      <c r="W35" s="101">
        <f>SUMIFS('9'!$E:$E,'9'!$A:$A,Año_Inicial+4,'9'!$B:$B,'12'!V$4,'9'!$D:$D,"Coadyuvantes")</f>
        <v>0</v>
      </c>
      <c r="X35" s="101">
        <f>((A5_A_L10*Coad_A)+(A5_B_L10*Coad_B)+(A5_C_L10*Coad_C)+(A5_D_L10*Coad_D)+(A5_Y_L10*Coad_Y))*Inflación_5</f>
        <v>0</v>
      </c>
      <c r="Y35" s="101">
        <f>SUMIFS('9'!$E:$E,'9'!$A:$A,Año_Inicial+4,'9'!$B:$B,'12'!X$4,'9'!$D:$D,"Coadyuvantes")</f>
        <v>0</v>
      </c>
      <c r="Z35" s="101">
        <f>((A5_A_L11*Coad_A)+(A5_B_L11*Coad_B)+(A5_C_L11*Coad_C)+(A5_D_L11*Coad_D)+(A5_Y_L11*Coad_Y))*Inflación_5</f>
        <v>0</v>
      </c>
      <c r="AA35" s="101">
        <f>SUMIFS('9'!$E:$E,'9'!$A:$A,Año_Inicial+4,'9'!$B:$B,'12'!Z$4,'9'!$D:$D,"Coadyuvantes")</f>
        <v>0</v>
      </c>
      <c r="AB35" s="101">
        <f>((A5_A_L12*Coad_A)+(A5_B_L12*Coad_B)+(A5_C_L12*Coad_C)+(A5_D_L12*Coad_D)+(A5_Y_L12*Coad_Y))*Inflación_5</f>
        <v>0</v>
      </c>
      <c r="AC35" s="101">
        <f>SUMIFS('9'!$E:$E,'9'!$A:$A,Año_Inicial+4,'9'!$B:$B,'12'!AB$4,'9'!$D:$D,"Coadyuvantes")</f>
        <v>0</v>
      </c>
      <c r="AD35" s="101">
        <f>((A5_A_L13*Coad_A)+(A5_B_L13*Coad_B)+(A5_C_L13*Coad_C)+(A5_D_L13*Coad_D)+(A5_Y_L13*Coad_Y))*Inflación_5</f>
        <v>0</v>
      </c>
      <c r="AE35" s="101">
        <f>SUMIFS('9'!$E:$E,'9'!$A:$A,Año_Inicial+4,'9'!$B:$B,'12'!AD$4,'9'!$D:$D,"Coadyuvantes")</f>
        <v>0</v>
      </c>
      <c r="AF35" s="101">
        <f>((A5_A_L14*Coad_A)+(A5_B_L14*Coad_B)+(A5_C_L14*Coad_C)+(A5_D_L14*Coad_D)+(A5_Y_L14*Coad_Y))*Inflación_5</f>
        <v>0</v>
      </c>
      <c r="AG35" s="101">
        <f>SUMIFS('9'!$E:$E,'9'!$A:$A,Año_Inicial+4,'9'!$B:$B,'12'!AF$4,'9'!$D:$D,"Coadyuvantes")</f>
        <v>0</v>
      </c>
      <c r="AH35" s="101">
        <f>((A5_A_L15*Coad_A)+(A5_B_L15*Coad_B)+(A5_C_L15*Coad_C)+(A5_D_L15*Coad_D)+(A5_Y_L15*Coad_Y))*Inflación_5</f>
        <v>0</v>
      </c>
      <c r="AI35" s="101">
        <f>SUMIFS('9'!$E:$E,'9'!$A:$A,Año_Inicial+4,'9'!$B:$B,'12'!AH$4,'9'!$D:$D,"Coadyuvantes")</f>
        <v>0</v>
      </c>
      <c r="AJ35" s="101">
        <f>((A5_A_L16*Coad_A)+(A5_B_L16*Coad_B)+(A5_C_L16*Coad_C)+(A5_D_L16*Coad_D)+(A5_Y_L16*Coad_Y))*Inflación_5</f>
        <v>0</v>
      </c>
      <c r="AK35" s="101">
        <f>SUMIFS('9'!$E:$E,'9'!$A:$A,Año_Inicial+4,'9'!$B:$B,'12'!AJ$4,'9'!$D:$D,"Coadyuvantes")</f>
        <v>0</v>
      </c>
      <c r="AL35" s="101">
        <f>((A5_A_L17*Coad_A)+(A5_B_L17*Coad_B)+(A5_C_L17*Coad_C)+(A5_D_L17*Coad_D)+(A5_Y_L17*Coad_Y))*Inflación_5</f>
        <v>0</v>
      </c>
      <c r="AM35" s="101">
        <f>SUMIFS('9'!$E:$E,'9'!$A:$A,Año_Inicial+4,'9'!$B:$B,'12'!AL$4,'9'!$D:$D,"Coadyuvantes")</f>
        <v>0</v>
      </c>
      <c r="AN35" s="101">
        <f>((A5_A_L18*Coad_A)+(A5_B_L18*Coad_B)+(A5_C_L18*Coad_C)+(A5_D_L18*Coad_D)+(A5_Y_L18*Coad_Y))*Inflación_5</f>
        <v>0</v>
      </c>
      <c r="AO35" s="101">
        <f>SUMIFS('9'!$E:$E,'9'!$A:$A,Año_Inicial+4,'9'!$B:$B,'12'!AN$4,'9'!$D:$D,"Coadyuvantes")</f>
        <v>0</v>
      </c>
      <c r="AP35" s="101">
        <f>((A5_A_L19*Coad_A)+(A5_B_L19*Coad_B)+(A5_C_L19*Coad_C)+(A5_D_L19*Coad_D)+(A5_Y_L19*Coad_Y))*Inflación_5</f>
        <v>0</v>
      </c>
      <c r="AQ35" s="101">
        <f>SUMIFS('9'!$E:$E,'9'!$A:$A,Año_Inicial+4,'9'!$B:$B,'12'!AP$4,'9'!$D:$D,"Coadyuvantes")</f>
        <v>0</v>
      </c>
      <c r="AR35" s="101">
        <f>((A5_A_L20*Coad_A)+(A5_B_L20*Coad_B)+(A5_C_L20*Coad_C)+(A5_D_L20*Coad_D)+(A5_Y_L20*Coad_Y))*Inflación_5</f>
        <v>0</v>
      </c>
      <c r="AS35" s="101">
        <f>SUMIFS('9'!$E:$E,'9'!$A:$A,Año_Inicial+4,'9'!$B:$B,'12'!AR$4,'9'!$D:$D,"Coadyuvantes")</f>
        <v>0</v>
      </c>
      <c r="AT35" s="101">
        <f>((A5_A_L21*Coad_A)+(A5_B_L21*Coad_B)+(A5_C_L21*Coad_C)+(A5_D_L21*Coad_D)+(A5_Y_L21*Coad_Y))*Inflación_5</f>
        <v>0</v>
      </c>
      <c r="AU35" s="101">
        <f>SUMIFS('9'!$E:$E,'9'!$A:$A,Año_Inicial+4,'9'!$B:$B,'12'!AT$4,'9'!$D:$D,"Coadyuvantes")</f>
        <v>0</v>
      </c>
      <c r="AV35" s="101">
        <f>((A5_A_L22*Coad_A)+(A5_B_L22*Coad_B)+(A5_C_L22*Coad_C)+(A5_D_L22*Coad_D)+(A5_Y_L22*Coad_Y))*Inflación_5</f>
        <v>0</v>
      </c>
      <c r="AW35" s="101">
        <f>SUMIFS('9'!$E:$E,'9'!$A:$A,Año_Inicial+4,'9'!$B:$B,'12'!AV$4,'9'!$D:$D,"Coadyuvantes")</f>
        <v>0</v>
      </c>
      <c r="AX35" s="101">
        <f>((A5_A_L23*Coad_A)+(A5_B_L23*Coad_B)+(A5_C_L23*Coad_C)+(A5_D_L23*Coad_D)+(A5_Y_L23*Coad_Y))*Inflación_5</f>
        <v>0</v>
      </c>
      <c r="AY35" s="101">
        <f>SUMIFS('9'!$E:$E,'9'!$A:$A,Año_Inicial+4,'9'!$B:$B,'12'!AX$4,'9'!$D:$D,"Coadyuvantes")</f>
        <v>0</v>
      </c>
      <c r="AZ35" s="101">
        <f>((A5_A_L24*Coad_A)+(A5_B_L24*Coad_B)+(A5_C_L24*Coad_C)+(A5_D_L24*Coad_D)+(A5_Y_L24*Coad_Y))*Inflación_5</f>
        <v>0</v>
      </c>
      <c r="BA35" s="101">
        <f>SUMIFS('9'!$E:$E,'9'!$A:$A,Año_Inicial+4,'9'!$B:$B,'12'!AZ$4,'9'!$D:$D,"Coadyuvantes")</f>
        <v>0</v>
      </c>
      <c r="BB35" s="101">
        <f>((A5_A_L25*Coad_A)+(A5_B_L25*Coad_B)+(A5_C_L25*Coad_C)+(A5_D_L25*Coad_D)+(A5_Y_L25*Coad_Y))*Inflación_5</f>
        <v>0</v>
      </c>
      <c r="BC35" s="101">
        <f>SUMIFS('9'!$E:$E,'9'!$A:$A,Año_Inicial+4,'9'!$B:$B,'12'!BB$4,'9'!$D:$D,"Coadyuvantes")</f>
        <v>0</v>
      </c>
      <c r="BD35" s="101">
        <f>((A5_A_L26*Coad_A)+(A5_B_L26*Coad_B)+(A5_C_L26*Coad_C)+(A5_D_L26*Coad_D)+(A5_Y_L26*Coad_Y))*Inflación_5</f>
        <v>0</v>
      </c>
      <c r="BE35" s="101">
        <f>SUMIFS('9'!$E:$E,'9'!$A:$A,Año_Inicial+4,'9'!$B:$B,'12'!BD$4,'9'!$D:$D,"Coadyuvantes")</f>
        <v>0</v>
      </c>
      <c r="BF35" s="101">
        <f>((A5_A_L27*Coad_A)+(A5_B_L27*Coad_B)+(A5_C_L27*Coad_C)+(A5_D_L27*Coad_D)+(A5_Y_L27*Coad_Y))*Inflación_5</f>
        <v>0</v>
      </c>
      <c r="BG35" s="101">
        <f>SUMIFS('9'!$E:$E,'9'!$A:$A,Año_Inicial+4,'9'!$B:$B,'12'!BF$4,'9'!$D:$D,"Coadyuvantes")</f>
        <v>0</v>
      </c>
      <c r="BH35" s="101">
        <f>((A5_A_L28*Coad_A)+(A5_B_L28*Coad_B)+(A5_C_L28*Coad_C)+(A5_D_L28*Coad_D)+(A5_Y_L28*Coad_Y))*Inflación_5</f>
        <v>0</v>
      </c>
      <c r="BI35" s="101">
        <f>SUMIFS('9'!$E:$E,'9'!$A:$A,Año_Inicial+4,'9'!$B:$B,'12'!BH$4,'9'!$D:$D,"Coadyuvantes")</f>
        <v>0</v>
      </c>
      <c r="BJ35" s="101">
        <f>((A5_A_L29*Coad_A)+(A5_B_L29*Coad_B)+(A5_C_L29*Coad_C)+(A5_D_L29*Coad_D)+(A5_Y_L29*Coad_Y))*Inflación_5</f>
        <v>0</v>
      </c>
      <c r="BK35" s="101">
        <f>SUMIFS('9'!$E:$E,'9'!$A:$A,Año_Inicial+4,'9'!$B:$B,'12'!BJ$4,'9'!$D:$D,"Coadyuvantes")</f>
        <v>0</v>
      </c>
      <c r="BL35" s="101">
        <f>((A5_A_L30*Coad_A)+(A5_B_L30*Coad_B)+(A5_C_L30*Coad_C)+(A5_D_L30*Coad_D)+(A5_Y_L30*Coad_Y))*Inflación_5</f>
        <v>0</v>
      </c>
      <c r="BM35" s="101">
        <f>SUMIFS('9'!$E:$E,'9'!$A:$A,Año_Inicial+4,'9'!$B:$B,'12'!BL$4,'9'!$D:$D,"Coadyuvantes")</f>
        <v>0</v>
      </c>
      <c r="BN35" s="101">
        <f>((A5_A_L31*Coad_A)+(A5_B_L31*Coad_B)+(A5_C_L31*Coad_C)+(A5_D_L31*Coad_D)+(A5_Y_L31*Coad_Y))*Inflación_5</f>
        <v>0</v>
      </c>
      <c r="BO35" s="101">
        <f>SUMIFS('9'!$E:$E,'9'!$A:$A,Año_Inicial+4,'9'!$B:$B,'12'!BN$4,'9'!$D:$D,"Coadyuvantes")</f>
        <v>0</v>
      </c>
      <c r="BP35" s="101">
        <f>((A5_A_L32*Coad_A)+(A5_B_L32*Coad_B)+(A5_C_L32*Coad_C)+(A5_D_L32*Coad_D)+(A5_Y_L32*Coad_Y))*Inflación_5</f>
        <v>0</v>
      </c>
      <c r="BQ35" s="101">
        <f>SUMIFS('9'!$E:$E,'9'!$A:$A,Año_Inicial+4,'9'!$B:$B,'12'!BP$4,'9'!$D:$D,"Coadyuvantes")</f>
        <v>0</v>
      </c>
      <c r="BR35" s="101">
        <f>((A5_A_L33*Coad_A)+(A5_B_L33*Coad_B)+(A5_C_L33*Coad_C)+(A5_D_L33*Coad_D)+(A5_Y_L33*Coad_Y))*Inflación_5</f>
        <v>0</v>
      </c>
      <c r="BS35" s="101">
        <f>SUMIFS('9'!$E:$E,'9'!$A:$A,Año_Inicial+4,'9'!$B:$B,'12'!BR$4,'9'!$D:$D,"Coadyuvantes")</f>
        <v>0</v>
      </c>
      <c r="BT35" s="101">
        <f>((A5_A_L34*Coad_A)+(A5_B_L34*Coad_B)+(A5_C_L34*Coad_C)+(A5_D_L34*Coad_D)+(A5_Y_L34*Coad_Y))*Inflación_5</f>
        <v>0</v>
      </c>
      <c r="BU35" s="101">
        <f>SUMIFS('9'!$E:$E,'9'!$A:$A,Año_Inicial+4,'9'!$B:$B,'12'!BT$4,'9'!$D:$D,"Coadyuvantes")</f>
        <v>0</v>
      </c>
      <c r="BV35" s="101">
        <f>((A5_A_L35*Coad_A)+(A5_B_L35*Coad_B)+(A5_C_L35*Coad_C)+(A5_D_L35*Coad_D)+(A5_Y_L35*Coad_Y))*Inflación_5</f>
        <v>0</v>
      </c>
      <c r="BW35" s="101">
        <f>SUMIFS('9'!$E:$E,'9'!$A:$A,Año_Inicial+4,'9'!$B:$B,'12'!BV$4,'9'!$D:$D,"Coadyuvantes")</f>
        <v>0</v>
      </c>
      <c r="BX35" s="101">
        <f>((A5_A_L36*Coad_A)+(A5_B_L36*Coad_B)+(A5_C_L36*Coad_C)+(A5_D_L36*Coad_D)+(A5_Y_L36*Coad_Y))*Inflación_5</f>
        <v>0</v>
      </c>
      <c r="BY35" s="101">
        <f>SUMIFS('9'!$E:$E,'9'!$A:$A,Año_Inicial+4,'9'!$B:$B,'12'!BX$4,'9'!$D:$D,"Coadyuvantes")</f>
        <v>0</v>
      </c>
      <c r="BZ35" s="101">
        <f>((A5_A_L37*Coad_A)+(A5_B_L37*Coad_B)+(A5_C_L37*Coad_C)+(A5_D_L37*Coad_D)+(A5_Y_L37*Coad_Y))*Inflación_5</f>
        <v>0</v>
      </c>
      <c r="CA35" s="101">
        <f>SUMIFS('9'!$E:$E,'9'!$A:$A,Año_Inicial+4,'9'!$B:$B,'12'!BZ$4,'9'!$D:$D,"Coadyuvantes")</f>
        <v>0</v>
      </c>
      <c r="CB35" s="101">
        <f>((A5_A_L38*Coad_A)+(A5_B_L38*Coad_B)+(A5_C_L38*Coad_C)+(A5_D_L38*Coad_D)+(A5_Y_L38*Coad_Y))*Inflación_5</f>
        <v>0</v>
      </c>
      <c r="CC35" s="101">
        <f>SUMIFS('9'!$E:$E,'9'!$A:$A,Año_Inicial+4,'9'!$B:$B,'12'!CB$4,'9'!$D:$D,"Coadyuvantes")</f>
        <v>0</v>
      </c>
      <c r="CD35" s="101">
        <f>((A5_A_L39*Coad_A)+(A5_B_L39*Coad_B)+(A5_C_L39*Coad_C)+(A5_D_L39*Coad_D)+(A5_Y_L39*Coad_Y))*Inflación_5</f>
        <v>0</v>
      </c>
      <c r="CE35" s="101">
        <f>SUMIFS('9'!$E:$E,'9'!$A:$A,Año_Inicial+4,'9'!$B:$B,'12'!CD$4,'9'!$D:$D,"Coadyuvantes")</f>
        <v>0</v>
      </c>
      <c r="CF35" s="101">
        <f>((A5_A_L40*Coad_A)+(A5_B_L40*Coad_B)+(A5_C_L40*Coad_C)+(A5_D_L40*Coad_D)+(A5_Y_L40*Coad_Y))*Inflación_5</f>
        <v>0</v>
      </c>
      <c r="CG35" s="101">
        <f>SUMIFS('9'!$E:$E,'9'!$A:$A,Año_Inicial+4,'9'!$B:$B,'12'!CF$4,'9'!$D:$D,"Coadyuvantes")</f>
        <v>0</v>
      </c>
      <c r="CH35" s="473"/>
      <c r="CI35" s="101">
        <f>Plantas_A_A5*Coad_A*Inflación_5</f>
        <v>0</v>
      </c>
      <c r="CJ35" s="101">
        <f>Plantas_B_A5*Coad_B</f>
        <v>0</v>
      </c>
      <c r="CK35" s="101">
        <f>Plantas_C_A5*Coad_C</f>
        <v>0</v>
      </c>
      <c r="CL35" s="101">
        <f>Plantas_D_A5*Coad_D</f>
        <v>0</v>
      </c>
      <c r="CM35" s="101"/>
      <c r="CN35" s="101">
        <f>Plantas_Y_A5*Coad_Y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SUMIFS('9'!$E:$E,'9'!$A:$A,Año_Inicial+4,'9'!$D:$D,"Otro insumo 1*")</f>
        <v>0</v>
      </c>
      <c r="D36" s="100">
        <f t="shared" si="45"/>
        <v>0</v>
      </c>
      <c r="E36" s="473"/>
      <c r="F36" s="101">
        <f>((A5_A_L1*Otro1_A)+(A5_B_L1*Otro1_B)+(A5_C_L1*Otro1_C)+(A5_D_L1*Otro1_D)+(A5_Y_L1*Otro1_Y))*Inflación_5</f>
        <v>0</v>
      </c>
      <c r="G36" s="101">
        <f>SUMIFS('9'!$E:$E,'9'!$A:$A,Año_Inicial+4,'9'!$B:$B,'12'!F$4,'9'!$D:$D,"Otro insumo 1*")</f>
        <v>0</v>
      </c>
      <c r="H36" s="101">
        <f>((A5_A_L2*Otro1_A)+(A5_B_L2*Otro1_B)+(A5_C_L2*Otro1_C)+(A5_D_L2*Otro1_D)+(A5_Y_L2*Otro1_Y))*Inflación_5</f>
        <v>0</v>
      </c>
      <c r="I36" s="101">
        <f>SUMIFS('9'!$E:$E,'9'!$A:$A,Año_Inicial+4,'9'!$B:$B,'12'!H$4,'9'!$D:$D,"Otro insumo 1*")</f>
        <v>0</v>
      </c>
      <c r="J36" s="101">
        <f>((A5_A_L3*Otro1_A)+(A5_B_L3*Otro1_B)+(A5_C_L3*Otro1_C)+(A5_D_L3*Otro1_D)+(A5_Y_L3*Otro1_Y))*Inflación_5</f>
        <v>0</v>
      </c>
      <c r="K36" s="101">
        <f>SUMIFS('9'!$E:$E,'9'!$A:$A,Año_Inicial+4,'9'!$B:$B,'12'!J$4,'9'!$D:$D,"Otro insumo 1*")</f>
        <v>0</v>
      </c>
      <c r="L36" s="101">
        <f>((A5_A_L4*Otro1_A)+(A5_B_L4*Otro1_B)+(A5_C_L4*Otro1_C)+(A5_D_L4*Otro1_D)+(A5_Y_L4*Otro1_Y))*Inflación_5</f>
        <v>0</v>
      </c>
      <c r="M36" s="101">
        <f>SUMIFS('9'!$E:$E,'9'!$A:$A,Año_Inicial+4,'9'!$B:$B,'12'!L$4,'9'!$D:$D,"Otro insumo 1*")</f>
        <v>0</v>
      </c>
      <c r="N36" s="101">
        <f>((A5_A_L5*Otro1_A)+(A5_B_L5*Otro1_B)+(A5_C_L5*Otro1_C)+(A5_D_L5*Otro1_D)+(A5_Y_L5*Otro1_Y))*Inflación_5</f>
        <v>0</v>
      </c>
      <c r="O36" s="101">
        <f>SUMIFS('9'!$E:$E,'9'!$A:$A,Año_Inicial+4,'9'!$B:$B,'12'!N$4,'9'!$D:$D,"Otro insumo 1*")</f>
        <v>0</v>
      </c>
      <c r="P36" s="101">
        <f>((A5_A_L6*Otro1_A)+(A5_B_L6*Otro1_B)+(A5_C_L6*Otro1_C)+(A5_D_L6*Otro1_D)+(A5_Y_L6*Otro1_Y))*Inflación_5</f>
        <v>0</v>
      </c>
      <c r="Q36" s="101">
        <f>SUMIFS('9'!$E:$E,'9'!$A:$A,Año_Inicial+4,'9'!$B:$B,'12'!P$4,'9'!$D:$D,"Otro insumo 1*")</f>
        <v>0</v>
      </c>
      <c r="R36" s="101">
        <f>((A5_A_L7*Otro1_A)+(A5_B_L7*Otro1_B)+(A5_C_L7*Otro1_C)+(A5_D_L7*Otro1_D)+(A5_Y_L7*Otro1_Y))*Inflación_5</f>
        <v>0</v>
      </c>
      <c r="S36" s="101">
        <f>SUMIFS('9'!$E:$E,'9'!$A:$A,Año_Inicial+4,'9'!$B:$B,'12'!R$4,'9'!$D:$D,"Otro insumo 1*")</f>
        <v>0</v>
      </c>
      <c r="T36" s="101">
        <f>((A5_A_L8*Otro1_A)+(A5_B_L8*Otro1_B)+(A5_C_L8*Otro1_C)+(A5_D_L8*Otro1_D)+(A5_Y_L8*Otro1_Y))*Inflación_5</f>
        <v>0</v>
      </c>
      <c r="U36" s="101">
        <f>SUMIFS('9'!$E:$E,'9'!$A:$A,Año_Inicial+4,'9'!$B:$B,'12'!T$4,'9'!$D:$D,"Otro insumo 1*")</f>
        <v>0</v>
      </c>
      <c r="V36" s="101">
        <f>((A5_A_L9*Otro1_A)+(A5_B_L9*Otro1_B)+(A5_C_L9*Otro1_C)+(A5_D_L9*Otro1_D)+(A5_Y_L9*Otro1_Y))*Inflación_5</f>
        <v>0</v>
      </c>
      <c r="W36" s="101">
        <f>SUMIFS('9'!$E:$E,'9'!$A:$A,Año_Inicial+4,'9'!$B:$B,'12'!V$4,'9'!$D:$D,"Otro insumo 1*")</f>
        <v>0</v>
      </c>
      <c r="X36" s="101">
        <f>((A5_A_L10*Otro1_A)+(A5_B_L10*Otro1_B)+(A5_C_L10*Otro1_C)+(A5_D_L10*Otro1_D)+(A5_Y_L10*Otro1_Y))*Inflación_5</f>
        <v>0</v>
      </c>
      <c r="Y36" s="101">
        <f>SUMIFS('9'!$E:$E,'9'!$A:$A,Año_Inicial+4,'9'!$B:$B,'12'!X$4,'9'!$D:$D,"Otro insumo 1*")</f>
        <v>0</v>
      </c>
      <c r="Z36" s="101">
        <f>((A5_A_L11*Otro1_A)+(A5_B_L11*Otro1_B)+(A5_C_L11*Otro1_C)+(A5_D_L11*Otro1_D)+(A5_Y_L11*Otro1_Y))*Inflación_5</f>
        <v>0</v>
      </c>
      <c r="AA36" s="101">
        <f>SUMIFS('9'!$E:$E,'9'!$A:$A,Año_Inicial+4,'9'!$B:$B,'12'!Z$4,'9'!$D:$D,"Otro insumo 1*")</f>
        <v>0</v>
      </c>
      <c r="AB36" s="101">
        <f>((A5_A_L12*Otro1_A)+(A5_B_L12*Otro1_B)+(A5_C_L12*Otro1_C)+(A5_D_L12*Otro1_D)+(A5_Y_L12*Otro1_Y))*Inflación_5</f>
        <v>0</v>
      </c>
      <c r="AC36" s="101">
        <f>SUMIFS('9'!$E:$E,'9'!$A:$A,Año_Inicial+4,'9'!$B:$B,'12'!AB$4,'9'!$D:$D,"Otro insumo 1*")</f>
        <v>0</v>
      </c>
      <c r="AD36" s="101">
        <f>((A5_A_L13*Otro1_A)+(A5_B_L13*Otro1_B)+(A5_C_L13*Otro1_C)+(A5_D_L13*Otro1_D)+(A5_Y_L13*Otro1_Y))*Inflación_5</f>
        <v>0</v>
      </c>
      <c r="AE36" s="101">
        <f>SUMIFS('9'!$E:$E,'9'!$A:$A,Año_Inicial+4,'9'!$B:$B,'12'!AD$4,'9'!$D:$D,"Otro insumo 1*")</f>
        <v>0</v>
      </c>
      <c r="AF36" s="101">
        <f>((A5_A_L14*Otro1_A)+(A5_B_L14*Otro1_B)+(A5_C_L14*Otro1_C)+(A5_D_L14*Otro1_D)+(A5_Y_L14*Otro1_Y))*Inflación_5</f>
        <v>0</v>
      </c>
      <c r="AG36" s="101">
        <f>SUMIFS('9'!$E:$E,'9'!$A:$A,Año_Inicial+4,'9'!$B:$B,'12'!AF$4,'9'!$D:$D,"Otro insumo 1*")</f>
        <v>0</v>
      </c>
      <c r="AH36" s="101">
        <f>((A5_A_L15*Otro1_A)+(A5_B_L15*Otro1_B)+(A5_C_L15*Otro1_C)+(A5_D_L15*Otro1_D)+(A5_Y_L15*Otro1_Y))*Inflación_5</f>
        <v>0</v>
      </c>
      <c r="AI36" s="101">
        <f>SUMIFS('9'!$E:$E,'9'!$A:$A,Año_Inicial+4,'9'!$B:$B,'12'!AH$4,'9'!$D:$D,"Otro insumo 1*")</f>
        <v>0</v>
      </c>
      <c r="AJ36" s="101">
        <f>((A5_A_L16*Otro1_A)+(A5_B_L16*Otro1_B)+(A5_C_L16*Otro1_C)+(A5_D_L16*Otro1_D)+(A5_Y_L16*Otro1_Y))*Inflación_5</f>
        <v>0</v>
      </c>
      <c r="AK36" s="101">
        <f>SUMIFS('9'!$E:$E,'9'!$A:$A,Año_Inicial+4,'9'!$B:$B,'12'!AJ$4,'9'!$D:$D,"Otro insumo 1*")</f>
        <v>0</v>
      </c>
      <c r="AL36" s="101">
        <f>((A5_A_L17*Otro1_A)+(A5_B_L17*Otro1_B)+(A5_C_L17*Otro1_C)+(A5_D_L17*Otro1_D)+(A5_Y_L17*Otro1_Y))*Inflación_5</f>
        <v>0</v>
      </c>
      <c r="AM36" s="101">
        <f>SUMIFS('9'!$E:$E,'9'!$A:$A,Año_Inicial+4,'9'!$B:$B,'12'!AL$4,'9'!$D:$D,"Otro insumo 1*")</f>
        <v>0</v>
      </c>
      <c r="AN36" s="101">
        <f>((A5_A_L18*Otro1_A)+(A5_B_L18*Otro1_B)+(A5_C_L18*Otro1_C)+(A5_D_L18*Otro1_D)+(A5_Y_L18*Otro1_Y))*Inflación_5</f>
        <v>0</v>
      </c>
      <c r="AO36" s="101">
        <f>SUMIFS('9'!$E:$E,'9'!$A:$A,Año_Inicial+4,'9'!$B:$B,'12'!AN$4,'9'!$D:$D,"Otro insumo 1*")</f>
        <v>0</v>
      </c>
      <c r="AP36" s="101">
        <f>((A5_A_L19*Otro1_A)+(A5_B_L19*Otro1_B)+(A5_C_L19*Otro1_C)+(A5_D_L19*Otro1_D)+(A5_Y_L19*Otro1_Y))*Inflación_5</f>
        <v>0</v>
      </c>
      <c r="AQ36" s="101">
        <f>SUMIFS('9'!$E:$E,'9'!$A:$A,Año_Inicial+4,'9'!$B:$B,'12'!AP$4,'9'!$D:$D,"Otro insumo 1*")</f>
        <v>0</v>
      </c>
      <c r="AR36" s="101">
        <f>((A5_A_L20*Otro1_A)+(A5_B_L20*Otro1_B)+(A5_C_L20*Otro1_C)+(A5_D_L20*Otro1_D)+(A5_Y_L20*Otro1_Y))*Inflación_5</f>
        <v>0</v>
      </c>
      <c r="AS36" s="101">
        <f>SUMIFS('9'!$E:$E,'9'!$A:$A,Año_Inicial+4,'9'!$B:$B,'12'!AR$4,'9'!$D:$D,"Otro insumo 1*")</f>
        <v>0</v>
      </c>
      <c r="AT36" s="101">
        <f>((A5_A_L21*Otro1_A)+(A5_B_L21*Otro1_B)+(A5_C_L21*Otro1_C)+(A5_D_L21*Otro1_D)+(A5_Y_L21*Otro1_Y))*Inflación_5</f>
        <v>0</v>
      </c>
      <c r="AU36" s="101">
        <f>SUMIFS('9'!$E:$E,'9'!$A:$A,Año_Inicial+4,'9'!$B:$B,'12'!AT$4,'9'!$D:$D,"Otro insumo 1*")</f>
        <v>0</v>
      </c>
      <c r="AV36" s="101">
        <f>((A5_A_L22*Otro1_A)+(A5_B_L22*Otro1_B)+(A5_C_L22*Otro1_C)+(A5_D_L22*Otro1_D)+(A5_Y_L22*Otro1_Y))*Inflación_5</f>
        <v>0</v>
      </c>
      <c r="AW36" s="101">
        <f>SUMIFS('9'!$E:$E,'9'!$A:$A,Año_Inicial+4,'9'!$B:$B,'12'!AV$4,'9'!$D:$D,"Otro insumo 1*")</f>
        <v>0</v>
      </c>
      <c r="AX36" s="101">
        <f>((A5_A_L23*Otro1_A)+(A5_B_L23*Otro1_B)+(A5_C_L23*Otro1_C)+(A5_D_L23*Otro1_D)+(A5_Y_L23*Otro1_Y))*Inflación_5</f>
        <v>0</v>
      </c>
      <c r="AY36" s="101">
        <f>SUMIFS('9'!$E:$E,'9'!$A:$A,Año_Inicial+4,'9'!$B:$B,'12'!AX$4,'9'!$D:$D,"Otro insumo 1*")</f>
        <v>0</v>
      </c>
      <c r="AZ36" s="101">
        <f>((A5_A_L24*Otro1_A)+(A5_B_L24*Otro1_B)+(A5_C_L24*Otro1_C)+(A5_D_L24*Otro1_D)+(A5_Y_L24*Otro1_Y))*Inflación_5</f>
        <v>0</v>
      </c>
      <c r="BA36" s="101">
        <f>SUMIFS('9'!$E:$E,'9'!$A:$A,Año_Inicial+4,'9'!$B:$B,'12'!AZ$4,'9'!$D:$D,"Otro insumo 1*")</f>
        <v>0</v>
      </c>
      <c r="BB36" s="101">
        <f>((A5_A_L25*Otro1_A)+(A5_B_L25*Otro1_B)+(A5_C_L25*Otro1_C)+(A5_D_L25*Otro1_D)+(A5_Y_L25*Otro1_Y))*Inflación_5</f>
        <v>0</v>
      </c>
      <c r="BC36" s="101">
        <f>SUMIFS('9'!$E:$E,'9'!$A:$A,Año_Inicial+4,'9'!$B:$B,'12'!BB$4,'9'!$D:$D,"Otro insumo 1*")</f>
        <v>0</v>
      </c>
      <c r="BD36" s="101">
        <f>((A5_A_L26*Otro1_A)+(A5_B_L26*Otro1_B)+(A5_C_L26*Otro1_C)+(A5_D_L26*Otro1_D)+(A5_Y_L26*Otro1_Y))*Inflación_5</f>
        <v>0</v>
      </c>
      <c r="BE36" s="101">
        <f>SUMIFS('9'!$E:$E,'9'!$A:$A,Año_Inicial+4,'9'!$B:$B,'12'!BD$4,'9'!$D:$D,"Otro insumo 1*")</f>
        <v>0</v>
      </c>
      <c r="BF36" s="101">
        <f>((A5_A_L27*Otro1_A)+(A5_B_L27*Otro1_B)+(A5_C_L27*Otro1_C)+(A5_D_L27*Otro1_D)+(A5_Y_L27*Otro1_Y))*Inflación_5</f>
        <v>0</v>
      </c>
      <c r="BG36" s="101">
        <f>SUMIFS('9'!$E:$E,'9'!$A:$A,Año_Inicial+4,'9'!$B:$B,'12'!BF$4,'9'!$D:$D,"Otro insumo 1*")</f>
        <v>0</v>
      </c>
      <c r="BH36" s="101">
        <f>((A5_A_L28*Otro1_A)+(A5_B_L28*Otro1_B)+(A5_C_L28*Otro1_C)+(A5_D_L28*Otro1_D)+(A5_Y_L28*Otro1_Y))*Inflación_5</f>
        <v>0</v>
      </c>
      <c r="BI36" s="101">
        <f>SUMIFS('9'!$E:$E,'9'!$A:$A,Año_Inicial+4,'9'!$B:$B,'12'!BH$4,'9'!$D:$D,"Otro insumo 1*")</f>
        <v>0</v>
      </c>
      <c r="BJ36" s="101">
        <f>((A5_A_L29*Otro1_A)+(A5_B_L29*Otro1_B)+(A5_C_L29*Otro1_C)+(A5_D_L29*Otro1_D)+(A5_Y_L29*Otro1_Y))*Inflación_5</f>
        <v>0</v>
      </c>
      <c r="BK36" s="101">
        <f>SUMIFS('9'!$E:$E,'9'!$A:$A,Año_Inicial+4,'9'!$B:$B,'12'!BJ$4,'9'!$D:$D,"Otro insumo 1*")</f>
        <v>0</v>
      </c>
      <c r="BL36" s="101">
        <f>((A5_A_L30*Otro1_A)+(A5_B_L30*Otro1_B)+(A5_C_L30*Otro1_C)+(A5_D_L30*Otro1_D)+(A5_Y_L30*Otro1_Y))*Inflación_5</f>
        <v>0</v>
      </c>
      <c r="BM36" s="101">
        <f>SUMIFS('9'!$E:$E,'9'!$A:$A,Año_Inicial+4,'9'!$B:$B,'12'!BL$4,'9'!$D:$D,"Otro insumo 1*")</f>
        <v>0</v>
      </c>
      <c r="BN36" s="101">
        <f>((A5_A_L31*Otro1_A)+(A5_B_L31*Otro1_B)+(A5_C_L31*Otro1_C)+(A5_D_L31*Otro1_D)+(A5_Y_L31*Otro1_Y))*Inflación_5</f>
        <v>0</v>
      </c>
      <c r="BO36" s="101">
        <f>SUMIFS('9'!$E:$E,'9'!$A:$A,Año_Inicial+4,'9'!$B:$B,'12'!BN$4,'9'!$D:$D,"Otro insumo 1*")</f>
        <v>0</v>
      </c>
      <c r="BP36" s="101">
        <f>((A5_A_L32*Otro1_A)+(A5_B_L32*Otro1_B)+(A5_C_L32*Otro1_C)+(A5_D_L32*Otro1_D)+(A5_Y_L32*Otro1_Y))*Inflación_5</f>
        <v>0</v>
      </c>
      <c r="BQ36" s="101">
        <f>SUMIFS('9'!$E:$E,'9'!$A:$A,Año_Inicial+4,'9'!$B:$B,'12'!BP$4,'9'!$D:$D,"Otro insumo 1*")</f>
        <v>0</v>
      </c>
      <c r="BR36" s="101">
        <f>((A5_A_L33*Otro1_A)+(A5_B_L33*Otro1_B)+(A5_C_L33*Otro1_C)+(A5_D_L33*Otro1_D)+(A5_Y_L33*Otro1_Y))*Inflación_5</f>
        <v>0</v>
      </c>
      <c r="BS36" s="101">
        <f>SUMIFS('9'!$E:$E,'9'!$A:$A,Año_Inicial+4,'9'!$B:$B,'12'!BR$4,'9'!$D:$D,"Otro insumo 1*")</f>
        <v>0</v>
      </c>
      <c r="BT36" s="101">
        <f>((A5_A_L34*Otro1_A)+(A5_B_L34*Otro1_B)+(A5_C_L34*Otro1_C)+(A5_D_L34*Otro1_D)+(A5_Y_L34*Otro1_Y))*Inflación_5</f>
        <v>0</v>
      </c>
      <c r="BU36" s="101">
        <f>SUMIFS('9'!$E:$E,'9'!$A:$A,Año_Inicial+4,'9'!$B:$B,'12'!BT$4,'9'!$D:$D,"Otro insumo 1*")</f>
        <v>0</v>
      </c>
      <c r="BV36" s="101">
        <f>((A5_A_L35*Otro1_A)+(A5_B_L35*Otro1_B)+(A5_C_L35*Otro1_C)+(A5_D_L35*Otro1_D)+(A5_Y_L35*Otro1_Y))*Inflación_5</f>
        <v>0</v>
      </c>
      <c r="BW36" s="101">
        <f>SUMIFS('9'!$E:$E,'9'!$A:$A,Año_Inicial+4,'9'!$B:$B,'12'!BV$4,'9'!$D:$D,"Otro insumo 1*")</f>
        <v>0</v>
      </c>
      <c r="BX36" s="101">
        <f>((A5_A_L36*Otro1_A)+(A5_B_L36*Otro1_B)+(A5_C_L36*Otro1_C)+(A5_D_L36*Otro1_D)+(A5_Y_L36*Otro1_Y))*Inflación_5</f>
        <v>0</v>
      </c>
      <c r="BY36" s="101">
        <f>SUMIFS('9'!$E:$E,'9'!$A:$A,Año_Inicial+4,'9'!$B:$B,'12'!BX$4,'9'!$D:$D,"Otro insumo 1*")</f>
        <v>0</v>
      </c>
      <c r="BZ36" s="101">
        <f>((A5_A_L37*Otro1_A)+(A5_B_L37*Otro1_B)+(A5_C_L37*Otro1_C)+(A5_D_L37*Otro1_D)+(A5_Y_L37*Otro1_Y))*Inflación_5</f>
        <v>0</v>
      </c>
      <c r="CA36" s="101">
        <f>SUMIFS('9'!$E:$E,'9'!$A:$A,Año_Inicial+4,'9'!$B:$B,'12'!BZ$4,'9'!$D:$D,"Otro insumo 1*")</f>
        <v>0</v>
      </c>
      <c r="CB36" s="101">
        <f>((A5_A_L38*Otro1_A)+(A5_B_L38*Otro1_B)+(A5_C_L38*Otro1_C)+(A5_D_L38*Otro1_D)+(A5_Y_L38*Otro1_Y))*Inflación_5</f>
        <v>0</v>
      </c>
      <c r="CC36" s="101">
        <f>SUMIFS('9'!$E:$E,'9'!$A:$A,Año_Inicial+4,'9'!$B:$B,'12'!CB$4,'9'!$D:$D,"Otro insumo 1*")</f>
        <v>0</v>
      </c>
      <c r="CD36" s="101">
        <f>((A5_A_L39*Otro1_A)+(A5_B_L39*Otro1_B)+(A5_C_L39*Otro1_C)+(A5_D_L39*Otro1_D)+(A5_Y_L39*Otro1_Y))*Inflación_5</f>
        <v>0</v>
      </c>
      <c r="CE36" s="101">
        <f>SUMIFS('9'!$E:$E,'9'!$A:$A,Año_Inicial+4,'9'!$B:$B,'12'!CD$4,'9'!$D:$D,"Otro insumo 1*")</f>
        <v>0</v>
      </c>
      <c r="CF36" s="101">
        <f>((A5_A_L40*Otro1_A)+(A5_B_L40*Otro1_B)+(A5_C_L40*Otro1_C)+(A5_D_L40*Otro1_D)+(A5_Y_L40*Otro1_Y))*Inflación_5</f>
        <v>0</v>
      </c>
      <c r="CG36" s="101">
        <f>SUMIFS('9'!$E:$E,'9'!$A:$A,Año_Inicial+4,'9'!$B:$B,'12'!CF$4,'9'!$D:$D,"Otro insumo 1*")</f>
        <v>0</v>
      </c>
      <c r="CH36" s="473"/>
      <c r="CI36" s="101">
        <f>Plantas_A_A5*Otro1_A*Inflación_5</f>
        <v>0</v>
      </c>
      <c r="CJ36" s="101">
        <f>Plantas_B_A5*Otro1_B</f>
        <v>0</v>
      </c>
      <c r="CK36" s="101">
        <f>Plantas_C_A5*Otro1_C</f>
        <v>0</v>
      </c>
      <c r="CL36" s="101">
        <f>Plantas_D_A5*Otro1_D</f>
        <v>0</v>
      </c>
      <c r="CM36" s="101"/>
      <c r="CN36" s="101">
        <f>Plantas_Y_A5*Otro1_Y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SUMIFS('9'!$E:$E,'9'!$A:$A,Año_Inicial+4,'9'!$D:$D,"Otro insumo 2*")</f>
        <v>0</v>
      </c>
      <c r="D37" s="100">
        <f t="shared" si="45"/>
        <v>0</v>
      </c>
      <c r="E37" s="473"/>
      <c r="F37" s="101">
        <f>((A5_A_L1*Otro2_A)+(A5_B_L1*Otro2_B)+(A5_C_L1*Otro2_C)+(A5_D_L1*Otro2_D)+(A5_Y_L1*Otro2_Y))*Inflación_5</f>
        <v>0</v>
      </c>
      <c r="G37" s="101">
        <f>SUMIFS('9'!$E:$E,'9'!$A:$A,Año_Inicial+4,'9'!$B:$B,'12'!F$4,'9'!$D:$D,"Otro insumo 2*")</f>
        <v>0</v>
      </c>
      <c r="H37" s="101">
        <f>((A5_A_L2*Otro2_A)+(A5_B_L2*Otro2_B)+(A5_C_L2*Otro2_C)+(A5_D_L2*Otro2_D)+(A5_Y_L2*Otro2_Y))*Inflación_5</f>
        <v>0</v>
      </c>
      <c r="I37" s="101">
        <f>SUMIFS('9'!$E:$E,'9'!$A:$A,Año_Inicial+4,'9'!$B:$B,'12'!H$4,'9'!$D:$D,"Otro insumo 2*")</f>
        <v>0</v>
      </c>
      <c r="J37" s="101">
        <f>((A5_A_L3*Otro2_A)+(A5_B_L3*Otro2_B)+(A5_C_L3*Otro2_C)+(A5_D_L3*Otro2_D)+(A5_Y_L3*Otro2_Y))*Inflación_5</f>
        <v>0</v>
      </c>
      <c r="K37" s="101">
        <f>SUMIFS('9'!$E:$E,'9'!$A:$A,Año_Inicial+4,'9'!$B:$B,'12'!J$4,'9'!$D:$D,"Otro insumo 2*")</f>
        <v>0</v>
      </c>
      <c r="L37" s="101">
        <f>((A5_A_L4*Otro2_A)+(A5_B_L4*Otro2_B)+(A5_C_L4*Otro2_C)+(A5_D_L4*Otro2_D)+(A5_Y_L4*Otro2_Y))*Inflación_5</f>
        <v>0</v>
      </c>
      <c r="M37" s="101">
        <f>SUMIFS('9'!$E:$E,'9'!$A:$A,Año_Inicial+4,'9'!$B:$B,'12'!L$4,'9'!$D:$D,"Otro insumo 2*")</f>
        <v>0</v>
      </c>
      <c r="N37" s="101">
        <f>((A5_A_L5*Otro2_A)+(A5_B_L5*Otro2_B)+(A5_C_L5*Otro2_C)+(A5_D_L5*Otro2_D)+(A5_Y_L5*Otro2_Y))*Inflación_5</f>
        <v>0</v>
      </c>
      <c r="O37" s="101">
        <f>SUMIFS('9'!$E:$E,'9'!$A:$A,Año_Inicial+4,'9'!$B:$B,'12'!N$4,'9'!$D:$D,"Otro insumo 2*")</f>
        <v>0</v>
      </c>
      <c r="P37" s="101">
        <f>((A5_A_L6*Otro2_A)+(A5_B_L6*Otro2_B)+(A5_C_L6*Otro2_C)+(A5_D_L6*Otro2_D)+(A5_Y_L6*Otro2_Y))*Inflación_5</f>
        <v>0</v>
      </c>
      <c r="Q37" s="101">
        <f>SUMIFS('9'!$E:$E,'9'!$A:$A,Año_Inicial+4,'9'!$B:$B,'12'!P$4,'9'!$D:$D,"Otro insumo 2*")</f>
        <v>0</v>
      </c>
      <c r="R37" s="101">
        <f>((A5_A_L7*Otro2_A)+(A5_B_L7*Otro2_B)+(A5_C_L7*Otro2_C)+(A5_D_L7*Otro2_D)+(A5_Y_L7*Otro2_Y))*Inflación_5</f>
        <v>0</v>
      </c>
      <c r="S37" s="101">
        <f>SUMIFS('9'!$E:$E,'9'!$A:$A,Año_Inicial+4,'9'!$B:$B,'12'!R$4,'9'!$D:$D,"Otro insumo 2*")</f>
        <v>0</v>
      </c>
      <c r="T37" s="101">
        <f>((A5_A_L8*Otro2_A)+(A5_B_L8*Otro2_B)+(A5_C_L8*Otro2_C)+(A5_D_L8*Otro2_D)+(A5_Y_L8*Otro2_Y))*Inflación_5</f>
        <v>0</v>
      </c>
      <c r="U37" s="101">
        <f>SUMIFS('9'!$E:$E,'9'!$A:$A,Año_Inicial+4,'9'!$B:$B,'12'!T$4,'9'!$D:$D,"Otro insumo 2*")</f>
        <v>0</v>
      </c>
      <c r="V37" s="101">
        <f>((A5_A_L9*Otro2_A)+(A5_B_L9*Otro2_B)+(A5_C_L9*Otro2_C)+(A5_D_L9*Otro2_D)+(A5_Y_L9*Otro2_Y))*Inflación_5</f>
        <v>0</v>
      </c>
      <c r="W37" s="101">
        <f>SUMIFS('9'!$E:$E,'9'!$A:$A,Año_Inicial+4,'9'!$B:$B,'12'!V$4,'9'!$D:$D,"Otro insumo 2*")</f>
        <v>0</v>
      </c>
      <c r="X37" s="101">
        <f>((A5_A_L10*Otro2_A)+(A5_B_L10*Otro2_B)+(A5_C_L10*Otro2_C)+(A5_D_L10*Otro2_D)+(A5_Y_L10*Otro2_Y))*Inflación_5</f>
        <v>0</v>
      </c>
      <c r="Y37" s="101">
        <f>SUMIFS('9'!$E:$E,'9'!$A:$A,Año_Inicial+4,'9'!$B:$B,'12'!X$4,'9'!$D:$D,"Otro insumo 2*")</f>
        <v>0</v>
      </c>
      <c r="Z37" s="101">
        <f>((A5_A_L11*Otro2_A)+(A5_B_L11*Otro2_B)+(A5_C_L11*Otro2_C)+(A5_D_L11*Otro2_D)+(A5_Y_L11*Otro2_Y))*Inflación_5</f>
        <v>0</v>
      </c>
      <c r="AA37" s="101">
        <f>SUMIFS('9'!$E:$E,'9'!$A:$A,Año_Inicial+4,'9'!$B:$B,'12'!Z$4,'9'!$D:$D,"Otro insumo 2*")</f>
        <v>0</v>
      </c>
      <c r="AB37" s="101">
        <f>((A5_A_L12*Otro2_A)+(A5_B_L12*Otro2_B)+(A5_C_L12*Otro2_C)+(A5_D_L12*Otro2_D)+(A5_Y_L12*Otro2_Y))*Inflación_5</f>
        <v>0</v>
      </c>
      <c r="AC37" s="101">
        <f>SUMIFS('9'!$E:$E,'9'!$A:$A,Año_Inicial+4,'9'!$B:$B,'12'!AB$4,'9'!$D:$D,"Otro insumo 2*")</f>
        <v>0</v>
      </c>
      <c r="AD37" s="101">
        <f>((A5_A_L13*Otro2_A)+(A5_B_L13*Otro2_B)+(A5_C_L13*Otro2_C)+(A5_D_L13*Otro2_D)+(A5_Y_L13*Otro2_Y))*Inflación_5</f>
        <v>0</v>
      </c>
      <c r="AE37" s="101">
        <f>SUMIFS('9'!$E:$E,'9'!$A:$A,Año_Inicial+4,'9'!$B:$B,'12'!AD$4,'9'!$D:$D,"Otro insumo 2*")</f>
        <v>0</v>
      </c>
      <c r="AF37" s="101">
        <f>((A5_A_L14*Otro2_A)+(A5_B_L14*Otro2_B)+(A5_C_L14*Otro2_C)+(A5_D_L14*Otro2_D)+(A5_Y_L14*Otro2_Y))*Inflación_5</f>
        <v>0</v>
      </c>
      <c r="AG37" s="101">
        <f>SUMIFS('9'!$E:$E,'9'!$A:$A,Año_Inicial+4,'9'!$B:$B,'12'!AF$4,'9'!$D:$D,"Otro insumo 2*")</f>
        <v>0</v>
      </c>
      <c r="AH37" s="101">
        <f>((A5_A_L15*Otro2_A)+(A5_B_L15*Otro2_B)+(A5_C_L15*Otro2_C)+(A5_D_L15*Otro2_D)+(A5_Y_L15*Otro2_Y))*Inflación_5</f>
        <v>0</v>
      </c>
      <c r="AI37" s="101">
        <f>SUMIFS('9'!$E:$E,'9'!$A:$A,Año_Inicial+4,'9'!$B:$B,'12'!AH$4,'9'!$D:$D,"Otro insumo 2*")</f>
        <v>0</v>
      </c>
      <c r="AJ37" s="101">
        <f>((A5_A_L16*Otro2_A)+(A5_B_L16*Otro2_B)+(A5_C_L16*Otro2_C)+(A5_D_L16*Otro2_D)+(A5_Y_L16*Otro2_Y))*Inflación_5</f>
        <v>0</v>
      </c>
      <c r="AK37" s="101">
        <f>SUMIFS('9'!$E:$E,'9'!$A:$A,Año_Inicial+4,'9'!$B:$B,'12'!AJ$4,'9'!$D:$D,"Otro insumo 2*")</f>
        <v>0</v>
      </c>
      <c r="AL37" s="101">
        <f>((A5_A_L17*Otro2_A)+(A5_B_L17*Otro2_B)+(A5_C_L17*Otro2_C)+(A5_D_L17*Otro2_D)+(A5_Y_L17*Otro2_Y))*Inflación_5</f>
        <v>0</v>
      </c>
      <c r="AM37" s="101">
        <f>SUMIFS('9'!$E:$E,'9'!$A:$A,Año_Inicial+4,'9'!$B:$B,'12'!AL$4,'9'!$D:$D,"Otro insumo 2*")</f>
        <v>0</v>
      </c>
      <c r="AN37" s="101">
        <f>((A5_A_L18*Otro2_A)+(A5_B_L18*Otro2_B)+(A5_C_L18*Otro2_C)+(A5_D_L18*Otro2_D)+(A5_Y_L18*Otro2_Y))*Inflación_5</f>
        <v>0</v>
      </c>
      <c r="AO37" s="101">
        <f>SUMIFS('9'!$E:$E,'9'!$A:$A,Año_Inicial+4,'9'!$B:$B,'12'!AN$4,'9'!$D:$D,"Otro insumo 2*")</f>
        <v>0</v>
      </c>
      <c r="AP37" s="101">
        <f>((A5_A_L19*Otro2_A)+(A5_B_L19*Otro2_B)+(A5_C_L19*Otro2_C)+(A5_D_L19*Otro2_D)+(A5_Y_L19*Otro2_Y))*Inflación_5</f>
        <v>0</v>
      </c>
      <c r="AQ37" s="101">
        <f>SUMIFS('9'!$E:$E,'9'!$A:$A,Año_Inicial+4,'9'!$B:$B,'12'!AP$4,'9'!$D:$D,"Otro insumo 2*")</f>
        <v>0</v>
      </c>
      <c r="AR37" s="101">
        <f>((A5_A_L20*Otro2_A)+(A5_B_L20*Otro2_B)+(A5_C_L20*Otro2_C)+(A5_D_L20*Otro2_D)+(A5_Y_L20*Otro2_Y))*Inflación_5</f>
        <v>0</v>
      </c>
      <c r="AS37" s="101">
        <f>SUMIFS('9'!$E:$E,'9'!$A:$A,Año_Inicial+4,'9'!$B:$B,'12'!AR$4,'9'!$D:$D,"Otro insumo 2*")</f>
        <v>0</v>
      </c>
      <c r="AT37" s="101">
        <f>((A5_A_L21*Otro2_A)+(A5_B_L21*Otro2_B)+(A5_C_L21*Otro2_C)+(A5_D_L21*Otro2_D)+(A5_Y_L21*Otro2_Y))*Inflación_5</f>
        <v>0</v>
      </c>
      <c r="AU37" s="101">
        <f>SUMIFS('9'!$E:$E,'9'!$A:$A,Año_Inicial+4,'9'!$B:$B,'12'!AT$4,'9'!$D:$D,"Otro insumo 2*")</f>
        <v>0</v>
      </c>
      <c r="AV37" s="101">
        <f>((A5_A_L22*Otro2_A)+(A5_B_L22*Otro2_B)+(A5_C_L22*Otro2_C)+(A5_D_L22*Otro2_D)+(A5_Y_L22*Otro2_Y))*Inflación_5</f>
        <v>0</v>
      </c>
      <c r="AW37" s="101">
        <f>SUMIFS('9'!$E:$E,'9'!$A:$A,Año_Inicial+4,'9'!$B:$B,'12'!AV$4,'9'!$D:$D,"Otro insumo 2*")</f>
        <v>0</v>
      </c>
      <c r="AX37" s="101">
        <f>((A5_A_L23*Otro2_A)+(A5_B_L23*Otro2_B)+(A5_C_L23*Otro2_C)+(A5_D_L23*Otro2_D)+(A5_Y_L23*Otro2_Y))*Inflación_5</f>
        <v>0</v>
      </c>
      <c r="AY37" s="101">
        <f>SUMIFS('9'!$E:$E,'9'!$A:$A,Año_Inicial+4,'9'!$B:$B,'12'!AX$4,'9'!$D:$D,"Otro insumo 2*")</f>
        <v>0</v>
      </c>
      <c r="AZ37" s="101">
        <f>((A5_A_L24*Otro2_A)+(A5_B_L24*Otro2_B)+(A5_C_L24*Otro2_C)+(A5_D_L24*Otro2_D)+(A5_Y_L24*Otro2_Y))*Inflación_5</f>
        <v>0</v>
      </c>
      <c r="BA37" s="101">
        <f>SUMIFS('9'!$E:$E,'9'!$A:$A,Año_Inicial+4,'9'!$B:$B,'12'!AZ$4,'9'!$D:$D,"Otro insumo 2*")</f>
        <v>0</v>
      </c>
      <c r="BB37" s="101">
        <f>((A5_A_L25*Otro2_A)+(A5_B_L25*Otro2_B)+(A5_C_L25*Otro2_C)+(A5_D_L25*Otro2_D)+(A5_Y_L25*Otro2_Y))*Inflación_5</f>
        <v>0</v>
      </c>
      <c r="BC37" s="101">
        <f>SUMIFS('9'!$E:$E,'9'!$A:$A,Año_Inicial+4,'9'!$B:$B,'12'!BB$4,'9'!$D:$D,"Otro insumo 2*")</f>
        <v>0</v>
      </c>
      <c r="BD37" s="101">
        <f>((A5_A_L26*Otro2_A)+(A5_B_L26*Otro2_B)+(A5_C_L26*Otro2_C)+(A5_D_L26*Otro2_D)+(A5_Y_L26*Otro2_Y))*Inflación_5</f>
        <v>0</v>
      </c>
      <c r="BE37" s="101">
        <f>SUMIFS('9'!$E:$E,'9'!$A:$A,Año_Inicial+4,'9'!$B:$B,'12'!BD$4,'9'!$D:$D,"Otro insumo 2*")</f>
        <v>0</v>
      </c>
      <c r="BF37" s="101">
        <f>((A5_A_L27*Otro2_A)+(A5_B_L27*Otro2_B)+(A5_C_L27*Otro2_C)+(A5_D_L27*Otro2_D)+(A5_Y_L27*Otro2_Y))*Inflación_5</f>
        <v>0</v>
      </c>
      <c r="BG37" s="101">
        <f>SUMIFS('9'!$E:$E,'9'!$A:$A,Año_Inicial+4,'9'!$B:$B,'12'!BF$4,'9'!$D:$D,"Otro insumo 2*")</f>
        <v>0</v>
      </c>
      <c r="BH37" s="101">
        <f>((A5_A_L28*Otro2_A)+(A5_B_L28*Otro2_B)+(A5_C_L28*Otro2_C)+(A5_D_L28*Otro2_D)+(A5_Y_L28*Otro2_Y))*Inflación_5</f>
        <v>0</v>
      </c>
      <c r="BI37" s="101">
        <f>SUMIFS('9'!$E:$E,'9'!$A:$A,Año_Inicial+4,'9'!$B:$B,'12'!BH$4,'9'!$D:$D,"Otro insumo 2*")</f>
        <v>0</v>
      </c>
      <c r="BJ37" s="101">
        <f>((A5_A_L29*Otro2_A)+(A5_B_L29*Otro2_B)+(A5_C_L29*Otro2_C)+(A5_D_L29*Otro2_D)+(A5_Y_L29*Otro2_Y))*Inflación_5</f>
        <v>0</v>
      </c>
      <c r="BK37" s="101">
        <f>SUMIFS('9'!$E:$E,'9'!$A:$A,Año_Inicial+4,'9'!$B:$B,'12'!BJ$4,'9'!$D:$D,"Otro insumo 2*")</f>
        <v>0</v>
      </c>
      <c r="BL37" s="101">
        <f>((A5_A_L30*Otro2_A)+(A5_B_L30*Otro2_B)+(A5_C_L30*Otro2_C)+(A5_D_L30*Otro2_D)+(A5_Y_L30*Otro2_Y))*Inflación_5</f>
        <v>0</v>
      </c>
      <c r="BM37" s="101">
        <f>SUMIFS('9'!$E:$E,'9'!$A:$A,Año_Inicial+4,'9'!$B:$B,'12'!BL$4,'9'!$D:$D,"Otro insumo 2*")</f>
        <v>0</v>
      </c>
      <c r="BN37" s="101">
        <f>((A5_A_L31*Otro2_A)+(A5_B_L31*Otro2_B)+(A5_C_L31*Otro2_C)+(A5_D_L31*Otro2_D)+(A5_Y_L31*Otro2_Y))*Inflación_5</f>
        <v>0</v>
      </c>
      <c r="BO37" s="101">
        <f>SUMIFS('9'!$E:$E,'9'!$A:$A,Año_Inicial+4,'9'!$B:$B,'12'!BN$4,'9'!$D:$D,"Otro insumo 2*")</f>
        <v>0</v>
      </c>
      <c r="BP37" s="101">
        <f>((A5_A_L32*Otro2_A)+(A5_B_L32*Otro2_B)+(A5_C_L32*Otro2_C)+(A5_D_L32*Otro2_D)+(A5_Y_L32*Otro2_Y))*Inflación_5</f>
        <v>0</v>
      </c>
      <c r="BQ37" s="101">
        <f>SUMIFS('9'!$E:$E,'9'!$A:$A,Año_Inicial+4,'9'!$B:$B,'12'!BP$4,'9'!$D:$D,"Otro insumo 2*")</f>
        <v>0</v>
      </c>
      <c r="BR37" s="101">
        <f>((A5_A_L33*Otro2_A)+(A5_B_L33*Otro2_B)+(A5_C_L33*Otro2_C)+(A5_D_L33*Otro2_D)+(A5_Y_L33*Otro2_Y))*Inflación_5</f>
        <v>0</v>
      </c>
      <c r="BS37" s="101">
        <f>SUMIFS('9'!$E:$E,'9'!$A:$A,Año_Inicial+4,'9'!$B:$B,'12'!BR$4,'9'!$D:$D,"Otro insumo 2*")</f>
        <v>0</v>
      </c>
      <c r="BT37" s="101">
        <f>((A5_A_L34*Otro2_A)+(A5_B_L34*Otro2_B)+(A5_C_L34*Otro2_C)+(A5_D_L34*Otro2_D)+(A5_Y_L34*Otro2_Y))*Inflación_5</f>
        <v>0</v>
      </c>
      <c r="BU37" s="101">
        <f>SUMIFS('9'!$E:$E,'9'!$A:$A,Año_Inicial+4,'9'!$B:$B,'12'!BT$4,'9'!$D:$D,"Otro insumo 2*")</f>
        <v>0</v>
      </c>
      <c r="BV37" s="101">
        <f>((A5_A_L35*Otro2_A)+(A5_B_L35*Otro2_B)+(A5_C_L35*Otro2_C)+(A5_D_L35*Otro2_D)+(A5_Y_L35*Otro2_Y))*Inflación_5</f>
        <v>0</v>
      </c>
      <c r="BW37" s="101">
        <f>SUMIFS('9'!$E:$E,'9'!$A:$A,Año_Inicial+4,'9'!$B:$B,'12'!BV$4,'9'!$D:$D,"Otro insumo 2*")</f>
        <v>0</v>
      </c>
      <c r="BX37" s="101">
        <f>((A5_A_L36*Otro2_A)+(A5_B_L36*Otro2_B)+(A5_C_L36*Otro2_C)+(A5_D_L36*Otro2_D)+(A5_Y_L36*Otro2_Y))*Inflación_5</f>
        <v>0</v>
      </c>
      <c r="BY37" s="101">
        <f>SUMIFS('9'!$E:$E,'9'!$A:$A,Año_Inicial+4,'9'!$B:$B,'12'!BX$4,'9'!$D:$D,"Otro insumo 2*")</f>
        <v>0</v>
      </c>
      <c r="BZ37" s="101">
        <f>((A5_A_L37*Otro2_A)+(A5_B_L37*Otro2_B)+(A5_C_L37*Otro2_C)+(A5_D_L37*Otro2_D)+(A5_Y_L37*Otro2_Y))*Inflación_5</f>
        <v>0</v>
      </c>
      <c r="CA37" s="101">
        <f>SUMIFS('9'!$E:$E,'9'!$A:$A,Año_Inicial+4,'9'!$B:$B,'12'!BZ$4,'9'!$D:$D,"Otro insumo 2*")</f>
        <v>0</v>
      </c>
      <c r="CB37" s="101">
        <f>((A5_A_L38*Otro2_A)+(A5_B_L38*Otro2_B)+(A5_C_L38*Otro2_C)+(A5_D_L38*Otro2_D)+(A5_Y_L38*Otro2_Y))*Inflación_5</f>
        <v>0</v>
      </c>
      <c r="CC37" s="101">
        <f>SUMIFS('9'!$E:$E,'9'!$A:$A,Año_Inicial+4,'9'!$B:$B,'12'!CB$4,'9'!$D:$D,"Otro insumo 2*")</f>
        <v>0</v>
      </c>
      <c r="CD37" s="101">
        <f>((A5_A_L39*Otro2_A)+(A5_B_L39*Otro2_B)+(A5_C_L39*Otro2_C)+(A5_D_L39*Otro2_D)+(A5_Y_L39*Otro2_Y))*Inflación_5</f>
        <v>0</v>
      </c>
      <c r="CE37" s="101">
        <f>SUMIFS('9'!$E:$E,'9'!$A:$A,Año_Inicial+4,'9'!$B:$B,'12'!CD$4,'9'!$D:$D,"Otro insumo 2*")</f>
        <v>0</v>
      </c>
      <c r="CF37" s="101">
        <f>((A5_A_L40*Otro2_A)+(A5_B_L40*Otro2_B)+(A5_C_L40*Otro2_C)+(A5_D_L40*Otro2_D)+(A5_Y_L40*Otro2_Y))*Inflación_5</f>
        <v>0</v>
      </c>
      <c r="CG37" s="101">
        <f>SUMIFS('9'!$E:$E,'9'!$A:$A,Año_Inicial+4,'9'!$B:$B,'12'!CF$4,'9'!$D:$D,"Otro insumo 2*")</f>
        <v>0</v>
      </c>
      <c r="CH37" s="473"/>
      <c r="CI37" s="101">
        <f>Plantas_A_A5*Otro2_A*Inflación_5</f>
        <v>0</v>
      </c>
      <c r="CJ37" s="101">
        <f>Plantas_B_A5*Otro2_B</f>
        <v>0</v>
      </c>
      <c r="CK37" s="101">
        <f>Plantas_C_A5*Otro2_C</f>
        <v>0</v>
      </c>
      <c r="CL37" s="101">
        <f>Plantas_D_A5*Otro2_D</f>
        <v>0</v>
      </c>
      <c r="CM37" s="101"/>
      <c r="CN37" s="101">
        <f>Plantas_Y_A5*Otro2_Y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SUMIFS('9'!$E:$E,'9'!$A:$A,Año_Inicial+4,'9'!$D:$D,"Otro insumo 3*")</f>
        <v>0</v>
      </c>
      <c r="D38" s="100">
        <f t="shared" si="45"/>
        <v>0</v>
      </c>
      <c r="E38" s="473"/>
      <c r="F38" s="101">
        <f>((A5_A_L1*Otro3_A)+(A5_B_L1*Otro3_B)+(A5_C_L1*Otro3_C)+(A5_D_L1*Otro3_D)+(A5_Y_L1*Otro3_Y))*Inflación_5</f>
        <v>0</v>
      </c>
      <c r="G38" s="101">
        <f>SUMIFS('9'!$E:$E,'9'!$A:$A,Año_Inicial+4,'9'!$B:$B,'12'!F$4,'9'!$D:$D,"Otro insumo 3*")</f>
        <v>0</v>
      </c>
      <c r="H38" s="101">
        <f>((A5_A_L2*Otro3_A)+(A5_B_L2*Otro3_B)+(A5_C_L2*Otro3_C)+(A5_D_L2*Otro3_D)+(A5_Y_L2*Otro3_Y))*Inflación_5</f>
        <v>0</v>
      </c>
      <c r="I38" s="101">
        <f>SUMIFS('9'!$E:$E,'9'!$A:$A,Año_Inicial+4,'9'!$B:$B,'12'!H$4,'9'!$D:$D,"Otro insumo 3*")</f>
        <v>0</v>
      </c>
      <c r="J38" s="101">
        <f>((A5_A_L3*Otro3_A)+(A5_B_L3*Otro3_B)+(A5_C_L3*Otro3_C)+(A5_D_L3*Otro3_D)+(A5_Y_L3*Otro3_Y))*Inflación_5</f>
        <v>0</v>
      </c>
      <c r="K38" s="101">
        <f>SUMIFS('9'!$E:$E,'9'!$A:$A,Año_Inicial+4,'9'!$B:$B,'12'!J$4,'9'!$D:$D,"Otro insumo 3*")</f>
        <v>0</v>
      </c>
      <c r="L38" s="101">
        <f>((A5_A_L4*Otro3_A)+(A5_B_L4*Otro3_B)+(A5_C_L4*Otro3_C)+(A5_D_L4*Otro3_D)+(A5_Y_L4*Otro3_Y))*Inflación_5</f>
        <v>0</v>
      </c>
      <c r="M38" s="101">
        <f>SUMIFS('9'!$E:$E,'9'!$A:$A,Año_Inicial+4,'9'!$B:$B,'12'!L$4,'9'!$D:$D,"Otro insumo 3*")</f>
        <v>0</v>
      </c>
      <c r="N38" s="101">
        <f>((A5_A_L5*Otro3_A)+(A5_B_L5*Otro3_B)+(A5_C_L5*Otro3_C)+(A5_D_L5*Otro3_D)+(A5_Y_L5*Otro3_Y))*Inflación_5</f>
        <v>0</v>
      </c>
      <c r="O38" s="101">
        <f>SUMIFS('9'!$E:$E,'9'!$A:$A,Año_Inicial+4,'9'!$B:$B,'12'!N$4,'9'!$D:$D,"Otro insumo 3*")</f>
        <v>0</v>
      </c>
      <c r="P38" s="101">
        <f>((A5_A_L6*Otro3_A)+(A5_B_L6*Otro3_B)+(A5_C_L6*Otro3_C)+(A5_D_L6*Otro3_D)+(A5_Y_L6*Otro3_Y))*Inflación_5</f>
        <v>0</v>
      </c>
      <c r="Q38" s="101">
        <f>SUMIFS('9'!$E:$E,'9'!$A:$A,Año_Inicial+4,'9'!$B:$B,'12'!P$4,'9'!$D:$D,"Otro insumo 3*")</f>
        <v>0</v>
      </c>
      <c r="R38" s="101">
        <f>((A5_A_L7*Otro3_A)+(A5_B_L7*Otro3_B)+(A5_C_L7*Otro3_C)+(A5_D_L7*Otro3_D)+(A5_Y_L7*Otro3_Y))*Inflación_5</f>
        <v>0</v>
      </c>
      <c r="S38" s="101">
        <f>SUMIFS('9'!$E:$E,'9'!$A:$A,Año_Inicial+4,'9'!$B:$B,'12'!R$4,'9'!$D:$D,"Otro insumo 3*")</f>
        <v>0</v>
      </c>
      <c r="T38" s="101">
        <f>((A5_A_L8*Otro3_A)+(A5_B_L8*Otro3_B)+(A5_C_L8*Otro3_C)+(A5_D_L8*Otro3_D)+(A5_Y_L8*Otro3_Y))*Inflación_5</f>
        <v>0</v>
      </c>
      <c r="U38" s="101">
        <f>SUMIFS('9'!$E:$E,'9'!$A:$A,Año_Inicial+4,'9'!$B:$B,'12'!T$4,'9'!$D:$D,"Otro insumo 3*")</f>
        <v>0</v>
      </c>
      <c r="V38" s="101">
        <f>((A5_A_L9*Otro3_A)+(A5_B_L9*Otro3_B)+(A5_C_L9*Otro3_C)+(A5_D_L9*Otro3_D)+(A5_Y_L9*Otro3_Y))*Inflación_5</f>
        <v>0</v>
      </c>
      <c r="W38" s="101">
        <f>SUMIFS('9'!$E:$E,'9'!$A:$A,Año_Inicial+4,'9'!$B:$B,'12'!V$4,'9'!$D:$D,"Otro insumo 3*")</f>
        <v>0</v>
      </c>
      <c r="X38" s="101">
        <f>((A5_A_L10*Otro3_A)+(A5_B_L10*Otro3_B)+(A5_C_L10*Otro3_C)+(A5_D_L10*Otro3_D)+(A5_Y_L10*Otro3_Y))*Inflación_5</f>
        <v>0</v>
      </c>
      <c r="Y38" s="101">
        <f>SUMIFS('9'!$E:$E,'9'!$A:$A,Año_Inicial+4,'9'!$B:$B,'12'!X$4,'9'!$D:$D,"Otro insumo 3*")</f>
        <v>0</v>
      </c>
      <c r="Z38" s="101">
        <f>((A5_A_L11*Otro3_A)+(A5_B_L11*Otro3_B)+(A5_C_L11*Otro3_C)+(A5_D_L11*Otro3_D)+(A5_Y_L11*Otro3_Y))*Inflación_5</f>
        <v>0</v>
      </c>
      <c r="AA38" s="101">
        <f>SUMIFS('9'!$E:$E,'9'!$A:$A,Año_Inicial+4,'9'!$B:$B,'12'!Z$4,'9'!$D:$D,"Otro insumo 3*")</f>
        <v>0</v>
      </c>
      <c r="AB38" s="101">
        <f>((A5_A_L12*Otro3_A)+(A5_B_L12*Otro3_B)+(A5_C_L12*Otro3_C)+(A5_D_L12*Otro3_D)+(A5_Y_L12*Otro3_Y))*Inflación_5</f>
        <v>0</v>
      </c>
      <c r="AC38" s="101">
        <f>SUMIFS('9'!$E:$E,'9'!$A:$A,Año_Inicial+4,'9'!$B:$B,'12'!AB$4,'9'!$D:$D,"Otro insumo 3*")</f>
        <v>0</v>
      </c>
      <c r="AD38" s="101">
        <f>((A5_A_L13*Otro3_A)+(A5_B_L13*Otro3_B)+(A5_C_L13*Otro3_C)+(A5_D_L13*Otro3_D)+(A5_Y_L13*Otro3_Y))*Inflación_5</f>
        <v>0</v>
      </c>
      <c r="AE38" s="101">
        <f>SUMIFS('9'!$E:$E,'9'!$A:$A,Año_Inicial+4,'9'!$B:$B,'12'!AD$4,'9'!$D:$D,"Otro insumo 3*")</f>
        <v>0</v>
      </c>
      <c r="AF38" s="101">
        <f>((A5_A_L14*Otro3_A)+(A5_B_L14*Otro3_B)+(A5_C_L14*Otro3_C)+(A5_D_L14*Otro3_D)+(A5_Y_L14*Otro3_Y))*Inflación_5</f>
        <v>0</v>
      </c>
      <c r="AG38" s="101">
        <f>SUMIFS('9'!$E:$E,'9'!$A:$A,Año_Inicial+4,'9'!$B:$B,'12'!AF$4,'9'!$D:$D,"Otro insumo 3*")</f>
        <v>0</v>
      </c>
      <c r="AH38" s="101">
        <f>((A5_A_L15*Otro3_A)+(A5_B_L15*Otro3_B)+(A5_C_L15*Otro3_C)+(A5_D_L15*Otro3_D)+(A5_Y_L15*Otro3_Y))*Inflación_5</f>
        <v>0</v>
      </c>
      <c r="AI38" s="101">
        <f>SUMIFS('9'!$E:$E,'9'!$A:$A,Año_Inicial+4,'9'!$B:$B,'12'!AH$4,'9'!$D:$D,"Otro insumo 3*")</f>
        <v>0</v>
      </c>
      <c r="AJ38" s="101">
        <f>((A5_A_L16*Otro3_A)+(A5_B_L16*Otro3_B)+(A5_C_L16*Otro3_C)+(A5_D_L16*Otro3_D)+(A5_Y_L16*Otro3_Y))*Inflación_5</f>
        <v>0</v>
      </c>
      <c r="AK38" s="101">
        <f>SUMIFS('9'!$E:$E,'9'!$A:$A,Año_Inicial+4,'9'!$B:$B,'12'!AJ$4,'9'!$D:$D,"Otro insumo 3*")</f>
        <v>0</v>
      </c>
      <c r="AL38" s="101">
        <f>((A5_A_L17*Otro3_A)+(A5_B_L17*Otro3_B)+(A5_C_L17*Otro3_C)+(A5_D_L17*Otro3_D)+(A5_Y_L17*Otro3_Y))*Inflación_5</f>
        <v>0</v>
      </c>
      <c r="AM38" s="101">
        <f>SUMIFS('9'!$E:$E,'9'!$A:$A,Año_Inicial+4,'9'!$B:$B,'12'!AL$4,'9'!$D:$D,"Otro insumo 3*")</f>
        <v>0</v>
      </c>
      <c r="AN38" s="101">
        <f>((A5_A_L18*Otro3_A)+(A5_B_L18*Otro3_B)+(A5_C_L18*Otro3_C)+(A5_D_L18*Otro3_D)+(A5_Y_L18*Otro3_Y))*Inflación_5</f>
        <v>0</v>
      </c>
      <c r="AO38" s="101">
        <f>SUMIFS('9'!$E:$E,'9'!$A:$A,Año_Inicial+4,'9'!$B:$B,'12'!AN$4,'9'!$D:$D,"Otro insumo 3*")</f>
        <v>0</v>
      </c>
      <c r="AP38" s="101">
        <f>((A5_A_L19*Otro3_A)+(A5_B_L19*Otro3_B)+(A5_C_L19*Otro3_C)+(A5_D_L19*Otro3_D)+(A5_Y_L19*Otro3_Y))*Inflación_5</f>
        <v>0</v>
      </c>
      <c r="AQ38" s="101">
        <f>SUMIFS('9'!$E:$E,'9'!$A:$A,Año_Inicial+4,'9'!$B:$B,'12'!AP$4,'9'!$D:$D,"Otro insumo 3*")</f>
        <v>0</v>
      </c>
      <c r="AR38" s="101">
        <f>((A5_A_L20*Otro3_A)+(A5_B_L20*Otro3_B)+(A5_C_L20*Otro3_C)+(A5_D_L20*Otro3_D)+(A5_Y_L20*Otro3_Y))*Inflación_5</f>
        <v>0</v>
      </c>
      <c r="AS38" s="101">
        <f>SUMIFS('9'!$E:$E,'9'!$A:$A,Año_Inicial+4,'9'!$B:$B,'12'!AR$4,'9'!$D:$D,"Otro insumo 3*")</f>
        <v>0</v>
      </c>
      <c r="AT38" s="101">
        <f>((A5_A_L21*Otro3_A)+(A5_B_L21*Otro3_B)+(A5_C_L21*Otro3_C)+(A5_D_L21*Otro3_D)+(A5_Y_L21*Otro3_Y))*Inflación_5</f>
        <v>0</v>
      </c>
      <c r="AU38" s="101">
        <f>SUMIFS('9'!$E:$E,'9'!$A:$A,Año_Inicial+4,'9'!$B:$B,'12'!AT$4,'9'!$D:$D,"Otro insumo 3*")</f>
        <v>0</v>
      </c>
      <c r="AV38" s="101">
        <f>((A5_A_L22*Otro3_A)+(A5_B_L22*Otro3_B)+(A5_C_L22*Otro3_C)+(A5_D_L22*Otro3_D)+(A5_Y_L22*Otro3_Y))*Inflación_5</f>
        <v>0</v>
      </c>
      <c r="AW38" s="101">
        <f>SUMIFS('9'!$E:$E,'9'!$A:$A,Año_Inicial+4,'9'!$B:$B,'12'!AV$4,'9'!$D:$D,"Otro insumo 3*")</f>
        <v>0</v>
      </c>
      <c r="AX38" s="101">
        <f>((A5_A_L23*Otro3_A)+(A5_B_L23*Otro3_B)+(A5_C_L23*Otro3_C)+(A5_D_L23*Otro3_D)+(A5_Y_L23*Otro3_Y))*Inflación_5</f>
        <v>0</v>
      </c>
      <c r="AY38" s="101">
        <f>SUMIFS('9'!$E:$E,'9'!$A:$A,Año_Inicial+4,'9'!$B:$B,'12'!AX$4,'9'!$D:$D,"Otro insumo 3*")</f>
        <v>0</v>
      </c>
      <c r="AZ38" s="101">
        <f>((A5_A_L24*Otro3_A)+(A5_B_L24*Otro3_B)+(A5_C_L24*Otro3_C)+(A5_D_L24*Otro3_D)+(A5_Y_L24*Otro3_Y))*Inflación_5</f>
        <v>0</v>
      </c>
      <c r="BA38" s="101">
        <f>SUMIFS('9'!$E:$E,'9'!$A:$A,Año_Inicial+4,'9'!$B:$B,'12'!AZ$4,'9'!$D:$D,"Otro insumo 3*")</f>
        <v>0</v>
      </c>
      <c r="BB38" s="101">
        <f>((A5_A_L25*Otro3_A)+(A5_B_L25*Otro3_B)+(A5_C_L25*Otro3_C)+(A5_D_L25*Otro3_D)+(A5_Y_L25*Otro3_Y))*Inflación_5</f>
        <v>0</v>
      </c>
      <c r="BC38" s="101">
        <f>SUMIFS('9'!$E:$E,'9'!$A:$A,Año_Inicial+4,'9'!$B:$B,'12'!BB$4,'9'!$D:$D,"Otro insumo 3*")</f>
        <v>0</v>
      </c>
      <c r="BD38" s="101">
        <f>((A5_A_L26*Otro3_A)+(A5_B_L26*Otro3_B)+(A5_C_L26*Otro3_C)+(A5_D_L26*Otro3_D)+(A5_Y_L26*Otro3_Y))*Inflación_5</f>
        <v>0</v>
      </c>
      <c r="BE38" s="101">
        <f>SUMIFS('9'!$E:$E,'9'!$A:$A,Año_Inicial+4,'9'!$B:$B,'12'!BD$4,'9'!$D:$D,"Otro insumo 3*")</f>
        <v>0</v>
      </c>
      <c r="BF38" s="101">
        <f>((A5_A_L27*Otro3_A)+(A5_B_L27*Otro3_B)+(A5_C_L27*Otro3_C)+(A5_D_L27*Otro3_D)+(A5_Y_L27*Otro3_Y))*Inflación_5</f>
        <v>0</v>
      </c>
      <c r="BG38" s="101">
        <f>SUMIFS('9'!$E:$E,'9'!$A:$A,Año_Inicial+4,'9'!$B:$B,'12'!BF$4,'9'!$D:$D,"Otro insumo 3*")</f>
        <v>0</v>
      </c>
      <c r="BH38" s="101">
        <f>((A5_A_L28*Otro3_A)+(A5_B_L28*Otro3_B)+(A5_C_L28*Otro3_C)+(A5_D_L28*Otro3_D)+(A5_Y_L28*Otro3_Y))*Inflación_5</f>
        <v>0</v>
      </c>
      <c r="BI38" s="101">
        <f>SUMIFS('9'!$E:$E,'9'!$A:$A,Año_Inicial+4,'9'!$B:$B,'12'!BH$4,'9'!$D:$D,"Otro insumo 3*")</f>
        <v>0</v>
      </c>
      <c r="BJ38" s="101">
        <f>((A5_A_L29*Otro3_A)+(A5_B_L29*Otro3_B)+(A5_C_L29*Otro3_C)+(A5_D_L29*Otro3_D)+(A5_Y_L29*Otro3_Y))*Inflación_5</f>
        <v>0</v>
      </c>
      <c r="BK38" s="101">
        <f>SUMIFS('9'!$E:$E,'9'!$A:$A,Año_Inicial+4,'9'!$B:$B,'12'!BJ$4,'9'!$D:$D,"Otro insumo 3*")</f>
        <v>0</v>
      </c>
      <c r="BL38" s="101">
        <f>((A5_A_L30*Otro3_A)+(A5_B_L30*Otro3_B)+(A5_C_L30*Otro3_C)+(A5_D_L30*Otro3_D)+(A5_Y_L30*Otro3_Y))*Inflación_5</f>
        <v>0</v>
      </c>
      <c r="BM38" s="101">
        <f>SUMIFS('9'!$E:$E,'9'!$A:$A,Año_Inicial+4,'9'!$B:$B,'12'!BL$4,'9'!$D:$D,"Otro insumo 3*")</f>
        <v>0</v>
      </c>
      <c r="BN38" s="101">
        <f>((A5_A_L31*Otro3_A)+(A5_B_L31*Otro3_B)+(A5_C_L31*Otro3_C)+(A5_D_L31*Otro3_D)+(A5_Y_L31*Otro3_Y))*Inflación_5</f>
        <v>0</v>
      </c>
      <c r="BO38" s="101">
        <f>SUMIFS('9'!$E:$E,'9'!$A:$A,Año_Inicial+4,'9'!$B:$B,'12'!BN$4,'9'!$D:$D,"Otro insumo 3*")</f>
        <v>0</v>
      </c>
      <c r="BP38" s="101">
        <f>((A5_A_L32*Otro3_A)+(A5_B_L32*Otro3_B)+(A5_C_L32*Otro3_C)+(A5_D_L32*Otro3_D)+(A5_Y_L32*Otro3_Y))*Inflación_5</f>
        <v>0</v>
      </c>
      <c r="BQ38" s="101">
        <f>SUMIFS('9'!$E:$E,'9'!$A:$A,Año_Inicial+4,'9'!$B:$B,'12'!BP$4,'9'!$D:$D,"Otro insumo 3*")</f>
        <v>0</v>
      </c>
      <c r="BR38" s="101">
        <f>((A5_A_L33*Otro3_A)+(A5_B_L33*Otro3_B)+(A5_C_L33*Otro3_C)+(A5_D_L33*Otro3_D)+(A5_Y_L33*Otro3_Y))*Inflación_5</f>
        <v>0</v>
      </c>
      <c r="BS38" s="101">
        <f>SUMIFS('9'!$E:$E,'9'!$A:$A,Año_Inicial+4,'9'!$B:$B,'12'!BR$4,'9'!$D:$D,"Otro insumo 3*")</f>
        <v>0</v>
      </c>
      <c r="BT38" s="101">
        <f>((A5_A_L34*Otro3_A)+(A5_B_L34*Otro3_B)+(A5_C_L34*Otro3_C)+(A5_D_L34*Otro3_D)+(A5_Y_L34*Otro3_Y))*Inflación_5</f>
        <v>0</v>
      </c>
      <c r="BU38" s="101">
        <f>SUMIFS('9'!$E:$E,'9'!$A:$A,Año_Inicial+4,'9'!$B:$B,'12'!BT$4,'9'!$D:$D,"Otro insumo 3*")</f>
        <v>0</v>
      </c>
      <c r="BV38" s="101">
        <f>((A5_A_L35*Otro3_A)+(A5_B_L35*Otro3_B)+(A5_C_L35*Otro3_C)+(A5_D_L35*Otro3_D)+(A5_Y_L35*Otro3_Y))*Inflación_5</f>
        <v>0</v>
      </c>
      <c r="BW38" s="101">
        <f>SUMIFS('9'!$E:$E,'9'!$A:$A,Año_Inicial+4,'9'!$B:$B,'12'!BV$4,'9'!$D:$D,"Otro insumo 3*")</f>
        <v>0</v>
      </c>
      <c r="BX38" s="101">
        <f>((A5_A_L36*Otro3_A)+(A5_B_L36*Otro3_B)+(A5_C_L36*Otro3_C)+(A5_D_L36*Otro3_D)+(A5_Y_L36*Otro3_Y))*Inflación_5</f>
        <v>0</v>
      </c>
      <c r="BY38" s="101">
        <f>SUMIFS('9'!$E:$E,'9'!$A:$A,Año_Inicial+4,'9'!$B:$B,'12'!BX$4,'9'!$D:$D,"Otro insumo 3*")</f>
        <v>0</v>
      </c>
      <c r="BZ38" s="101">
        <f>((A5_A_L37*Otro3_A)+(A5_B_L37*Otro3_B)+(A5_C_L37*Otro3_C)+(A5_D_L37*Otro3_D)+(A5_Y_L37*Otro3_Y))*Inflación_5</f>
        <v>0</v>
      </c>
      <c r="CA38" s="101">
        <f>SUMIFS('9'!$E:$E,'9'!$A:$A,Año_Inicial+4,'9'!$B:$B,'12'!BZ$4,'9'!$D:$D,"Otro insumo 3*")</f>
        <v>0</v>
      </c>
      <c r="CB38" s="101">
        <f>((A5_A_L38*Otro3_A)+(A5_B_L38*Otro3_B)+(A5_C_L38*Otro3_C)+(A5_D_L38*Otro3_D)+(A5_Y_L38*Otro3_Y))*Inflación_5</f>
        <v>0</v>
      </c>
      <c r="CC38" s="101">
        <f>SUMIFS('9'!$E:$E,'9'!$A:$A,Año_Inicial+4,'9'!$B:$B,'12'!CB$4,'9'!$D:$D,"Otro insumo 3*")</f>
        <v>0</v>
      </c>
      <c r="CD38" s="101">
        <f>((A5_A_L39*Otro3_A)+(A5_B_L39*Otro3_B)+(A5_C_L39*Otro3_C)+(A5_D_L39*Otro3_D)+(A5_Y_L39*Otro3_Y))*Inflación_5</f>
        <v>0</v>
      </c>
      <c r="CE38" s="101">
        <f>SUMIFS('9'!$E:$E,'9'!$A:$A,Año_Inicial+4,'9'!$B:$B,'12'!CD$4,'9'!$D:$D,"Otro insumo 3*")</f>
        <v>0</v>
      </c>
      <c r="CF38" s="101">
        <f>((A5_A_L40*Otro3_A)+(A5_B_L40*Otro3_B)+(A5_C_L40*Otro3_C)+(A5_D_L40*Otro3_D)+(A5_Y_L40*Otro3_Y))*Inflación_5</f>
        <v>0</v>
      </c>
      <c r="CG38" s="101">
        <f>SUMIFS('9'!$E:$E,'9'!$A:$A,Año_Inicial+4,'9'!$B:$B,'12'!CF$4,'9'!$D:$D,"Otro insumo 3*")</f>
        <v>0</v>
      </c>
      <c r="CH38" s="473"/>
      <c r="CI38" s="101">
        <f>Plantas_A_A5*Otro3_A*Inflación_5</f>
        <v>0</v>
      </c>
      <c r="CJ38" s="101">
        <f>Plantas_B_A5*Otro3_B</f>
        <v>0</v>
      </c>
      <c r="CK38" s="101">
        <f>Plantas_C_A5*Otro3_C</f>
        <v>0</v>
      </c>
      <c r="CL38" s="101">
        <f>Plantas_D_A5*Otro3_D</f>
        <v>0</v>
      </c>
      <c r="CM38" s="101"/>
      <c r="CN38" s="101">
        <f>Plantas_Y_A5*Otro3_Y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SUMIFS('9'!$E:$E,'9'!$A:$A,Año_Inicial+4,'9'!$D:$D,"Corte")</f>
        <v>0</v>
      </c>
      <c r="D40" s="100">
        <f t="shared" si="45"/>
        <v>0</v>
      </c>
      <c r="E40" s="473"/>
      <c r="F40" s="101">
        <f>P_A5_L1*CUI_Corte*Inflación_5</f>
        <v>0</v>
      </c>
      <c r="G40" s="101">
        <f>SUMIFS('9'!$E:$E,'9'!$A:$A,Año_Inicial+4,'9'!$B:$B,'12'!F$4,'9'!$D:$D,"Corte")</f>
        <v>0</v>
      </c>
      <c r="H40" s="101">
        <f>P_A5_L2*CUI_Corte*Inflación_5</f>
        <v>0</v>
      </c>
      <c r="I40" s="101">
        <f>SUMIFS('9'!$E:$E,'9'!$A:$A,Año_Inicial+4,'9'!$B:$B,'12'!H$4,'9'!$D:$D,"Corte")</f>
        <v>0</v>
      </c>
      <c r="J40" s="101">
        <f>P_A5_L3*CUI_Corte*Inflación_5</f>
        <v>0</v>
      </c>
      <c r="K40" s="101">
        <f>SUMIFS('9'!$E:$E,'9'!$A:$A,Año_Inicial+4,'9'!$B:$B,'12'!J$4,'9'!$D:$D,"Corte")</f>
        <v>0</v>
      </c>
      <c r="L40" s="101">
        <f>P_A5_L4*CUI_Corte*Inflación_5</f>
        <v>0</v>
      </c>
      <c r="M40" s="101">
        <f>SUMIFS('9'!$E:$E,'9'!$A:$A,Año_Inicial+4,'9'!$B:$B,'12'!L$4,'9'!$D:$D,"Corte")</f>
        <v>0</v>
      </c>
      <c r="N40" s="101">
        <f>P_A5_L5*CUI_Corte*Inflación_5</f>
        <v>0</v>
      </c>
      <c r="O40" s="101">
        <f>SUMIFS('9'!$E:$E,'9'!$A:$A,Año_Inicial+4,'9'!$B:$B,'12'!N$4,'9'!$D:$D,"Corte")</f>
        <v>0</v>
      </c>
      <c r="P40" s="101">
        <f>P_A5_L6*CUI_Corte*Inflación_5</f>
        <v>0</v>
      </c>
      <c r="Q40" s="101">
        <f>SUMIFS('9'!$E:$E,'9'!$A:$A,Año_Inicial+4,'9'!$B:$B,'12'!P$4,'9'!$D:$D,"Corte")</f>
        <v>0</v>
      </c>
      <c r="R40" s="101">
        <f>P_A5_L7*CUI_Corte*Inflación_5</f>
        <v>0</v>
      </c>
      <c r="S40" s="101">
        <f>SUMIFS('9'!$E:$E,'9'!$A:$A,Año_Inicial+4,'9'!$B:$B,'12'!R$4,'9'!$D:$D,"Corte")</f>
        <v>0</v>
      </c>
      <c r="T40" s="101">
        <f>P_A5_L8*CUI_Corte*Inflación_5</f>
        <v>0</v>
      </c>
      <c r="U40" s="101">
        <f>SUMIFS('9'!$E:$E,'9'!$A:$A,Año_Inicial+4,'9'!$B:$B,'12'!T$4,'9'!$D:$D,"Corte")</f>
        <v>0</v>
      </c>
      <c r="V40" s="101">
        <f>P_A5_L9*CUI_Corte*Inflación_5</f>
        <v>0</v>
      </c>
      <c r="W40" s="101">
        <f>SUMIFS('9'!$E:$E,'9'!$A:$A,Año_Inicial+4,'9'!$B:$B,'12'!V$4,'9'!$D:$D,"Corte")</f>
        <v>0</v>
      </c>
      <c r="X40" s="101">
        <f>P_A5_L10*CUI_Corte*Inflación_5</f>
        <v>0</v>
      </c>
      <c r="Y40" s="101">
        <f>SUMIFS('9'!$E:$E,'9'!$A:$A,Año_Inicial+4,'9'!$B:$B,'12'!X$4,'9'!$D:$D,"Corte")</f>
        <v>0</v>
      </c>
      <c r="Z40" s="101">
        <f>P_A5_L11*CUI_Corte*Inflación_5</f>
        <v>0</v>
      </c>
      <c r="AA40" s="101">
        <f>SUMIFS('9'!$E:$E,'9'!$A:$A,Año_Inicial+4,'9'!$B:$B,'12'!Z$4,'9'!$D:$D,"Corte")</f>
        <v>0</v>
      </c>
      <c r="AB40" s="101">
        <f>P_A5_L12*CUI_Corte*Inflación_5</f>
        <v>0</v>
      </c>
      <c r="AC40" s="101">
        <f>SUMIFS('9'!$E:$E,'9'!$A:$A,Año_Inicial+4,'9'!$B:$B,'12'!AB$4,'9'!$D:$D,"Corte")</f>
        <v>0</v>
      </c>
      <c r="AD40" s="101">
        <f>P_A5_L13*CUI_Corte*Inflación_5</f>
        <v>0</v>
      </c>
      <c r="AE40" s="101">
        <f>SUMIFS('9'!$E:$E,'9'!$A:$A,Año_Inicial+4,'9'!$B:$B,'12'!AD$4,'9'!$D:$D,"Corte")</f>
        <v>0</v>
      </c>
      <c r="AF40" s="101">
        <f>P_A5_L14*CUI_Corte*Inflación_5</f>
        <v>0</v>
      </c>
      <c r="AG40" s="101">
        <f>SUMIFS('9'!$E:$E,'9'!$A:$A,Año_Inicial+4,'9'!$B:$B,'12'!AF$4,'9'!$D:$D,"Corte")</f>
        <v>0</v>
      </c>
      <c r="AH40" s="101">
        <f>P_A5_L15*CUI_Corte*Inflación_5</f>
        <v>0</v>
      </c>
      <c r="AI40" s="101">
        <f>SUMIFS('9'!$E:$E,'9'!$A:$A,Año_Inicial+4,'9'!$B:$B,'12'!AH$4,'9'!$D:$D,"Corte")</f>
        <v>0</v>
      </c>
      <c r="AJ40" s="101">
        <f>P_A5_L16*CUI_Corte*Inflación_5</f>
        <v>0</v>
      </c>
      <c r="AK40" s="101">
        <f>SUMIFS('9'!$E:$E,'9'!$A:$A,Año_Inicial+4,'9'!$B:$B,'12'!AJ$4,'9'!$D:$D,"Corte")</f>
        <v>0</v>
      </c>
      <c r="AL40" s="101">
        <f>P_A5_L17*CUI_Corte*Inflación_5</f>
        <v>0</v>
      </c>
      <c r="AM40" s="101">
        <f>SUMIFS('9'!$E:$E,'9'!$A:$A,Año_Inicial+4,'9'!$B:$B,'12'!AL$4,'9'!$D:$D,"Corte")</f>
        <v>0</v>
      </c>
      <c r="AN40" s="101">
        <f>P_A5_L18*CUI_Corte*Inflación_5</f>
        <v>0</v>
      </c>
      <c r="AO40" s="101">
        <f>SUMIFS('9'!$E:$E,'9'!$A:$A,Año_Inicial+4,'9'!$B:$B,'12'!AN$4,'9'!$D:$D,"Corte")</f>
        <v>0</v>
      </c>
      <c r="AP40" s="101">
        <f>P_A5_L19*CUI_Corte*Inflación_5</f>
        <v>0</v>
      </c>
      <c r="AQ40" s="101">
        <f>SUMIFS('9'!$E:$E,'9'!$A:$A,Año_Inicial+4,'9'!$B:$B,'12'!AP$4,'9'!$D:$D,"Corte")</f>
        <v>0</v>
      </c>
      <c r="AR40" s="101">
        <f>P_A5_L20*CUI_Corte*Inflación_5</f>
        <v>0</v>
      </c>
      <c r="AS40" s="101">
        <f>SUMIFS('9'!$E:$E,'9'!$A:$A,Año_Inicial+4,'9'!$B:$B,'12'!AR$4,'9'!$D:$D,"Corte")</f>
        <v>0</v>
      </c>
      <c r="AT40" s="101">
        <f>P_A5_L21*CUI_Corte*Inflación_5</f>
        <v>0</v>
      </c>
      <c r="AU40" s="101">
        <f>SUMIFS('9'!$E:$E,'9'!$A:$A,Año_Inicial+4,'9'!$B:$B,'12'!AT$4,'9'!$D:$D,"Corte")</f>
        <v>0</v>
      </c>
      <c r="AV40" s="101">
        <f>P_A5_L22*CUI_Corte*Inflación_5</f>
        <v>0</v>
      </c>
      <c r="AW40" s="101">
        <f>SUMIFS('9'!$E:$E,'9'!$A:$A,Año_Inicial+4,'9'!$B:$B,'12'!AV$4,'9'!$D:$D,"Corte")</f>
        <v>0</v>
      </c>
      <c r="AX40" s="101">
        <f>P_A5_L23*CUI_Corte*Inflación_5</f>
        <v>0</v>
      </c>
      <c r="AY40" s="101">
        <f>SUMIFS('9'!$E:$E,'9'!$A:$A,Año_Inicial+4,'9'!$B:$B,'12'!AX$4,'9'!$D:$D,"Corte")</f>
        <v>0</v>
      </c>
      <c r="AZ40" s="101">
        <f>P_A5_L24*CUI_Corte*Inflación_5</f>
        <v>0</v>
      </c>
      <c r="BA40" s="101">
        <f>SUMIFS('9'!$E:$E,'9'!$A:$A,Año_Inicial+4,'9'!$B:$B,'12'!AZ$4,'9'!$D:$D,"Corte")</f>
        <v>0</v>
      </c>
      <c r="BB40" s="101">
        <f>P_A5_L25*CUI_Corte*Inflación_5</f>
        <v>0</v>
      </c>
      <c r="BC40" s="101">
        <f>SUMIFS('9'!$E:$E,'9'!$A:$A,Año_Inicial+4,'9'!$B:$B,'12'!BB$4,'9'!$D:$D,"Corte")</f>
        <v>0</v>
      </c>
      <c r="BD40" s="101">
        <f>P_A5_L26*CUI_Corte*Inflación_5</f>
        <v>0</v>
      </c>
      <c r="BE40" s="101">
        <f>SUMIFS('9'!$E:$E,'9'!$A:$A,Año_Inicial+4,'9'!$B:$B,'12'!BD$4,'9'!$D:$D,"Corte")</f>
        <v>0</v>
      </c>
      <c r="BF40" s="101">
        <f>P_A5_L27*CUI_Corte*Inflación_5</f>
        <v>0</v>
      </c>
      <c r="BG40" s="101">
        <f>SUMIFS('9'!$E:$E,'9'!$A:$A,Año_Inicial+4,'9'!$B:$B,'12'!BF$4,'9'!$D:$D,"Corte")</f>
        <v>0</v>
      </c>
      <c r="BH40" s="101">
        <f>P_A5_L28*CUI_Corte*Inflación_5</f>
        <v>0</v>
      </c>
      <c r="BI40" s="101">
        <f>SUMIFS('9'!$E:$E,'9'!$A:$A,Año_Inicial+4,'9'!$B:$B,'12'!BH$4,'9'!$D:$D,"Corte")</f>
        <v>0</v>
      </c>
      <c r="BJ40" s="101">
        <f>P_A5_L29*CUI_Corte*Inflación_5</f>
        <v>0</v>
      </c>
      <c r="BK40" s="101">
        <f>SUMIFS('9'!$E:$E,'9'!$A:$A,Año_Inicial+4,'9'!$B:$B,'12'!BJ$4,'9'!$D:$D,"Corte")</f>
        <v>0</v>
      </c>
      <c r="BL40" s="101">
        <f>P_A5_L30*CUI_Corte*Inflación_5</f>
        <v>0</v>
      </c>
      <c r="BM40" s="101">
        <f>SUMIFS('9'!$E:$E,'9'!$A:$A,Año_Inicial+4,'9'!$B:$B,'12'!BL$4,'9'!$D:$D,"Corte")</f>
        <v>0</v>
      </c>
      <c r="BN40" s="101">
        <f>P_A5_L31*CUI_Corte*Inflación_5</f>
        <v>0</v>
      </c>
      <c r="BO40" s="101">
        <f>SUMIFS('9'!$E:$E,'9'!$A:$A,Año_Inicial+4,'9'!$B:$B,'12'!BN$4,'9'!$D:$D,"Corte")</f>
        <v>0</v>
      </c>
      <c r="BP40" s="101">
        <f>P_A5_L32*CUI_Corte*Inflación_5</f>
        <v>0</v>
      </c>
      <c r="BQ40" s="101">
        <f>SUMIFS('9'!$E:$E,'9'!$A:$A,Año_Inicial+4,'9'!$B:$B,'12'!BP$4,'9'!$D:$D,"Corte")</f>
        <v>0</v>
      </c>
      <c r="BR40" s="101">
        <f>P_A5_L33*CUI_Corte*Inflación_5</f>
        <v>0</v>
      </c>
      <c r="BS40" s="101">
        <f>SUMIFS('9'!$E:$E,'9'!$A:$A,Año_Inicial+4,'9'!$B:$B,'12'!BR$4,'9'!$D:$D,"Corte")</f>
        <v>0</v>
      </c>
      <c r="BT40" s="101">
        <f>P_A5_L34*CUI_Corte*Inflación_5</f>
        <v>0</v>
      </c>
      <c r="BU40" s="101">
        <f>SUMIFS('9'!$E:$E,'9'!$A:$A,Año_Inicial+4,'9'!$B:$B,'12'!BT$4,'9'!$D:$D,"Corte")</f>
        <v>0</v>
      </c>
      <c r="BV40" s="101">
        <f>P_A5_L35*CUI_Corte*Inflación_5</f>
        <v>0</v>
      </c>
      <c r="BW40" s="101">
        <f>SUMIFS('9'!$E:$E,'9'!$A:$A,Año_Inicial+4,'9'!$B:$B,'12'!BV$4,'9'!$D:$D,"Corte")</f>
        <v>0</v>
      </c>
      <c r="BX40" s="101">
        <f>P_A5_L36*CUI_Corte*Inflación_5</f>
        <v>0</v>
      </c>
      <c r="BY40" s="101">
        <f>SUMIFS('9'!$E:$E,'9'!$A:$A,Año_Inicial+4,'9'!$B:$B,'12'!BX$4,'9'!$D:$D,"Corte")</f>
        <v>0</v>
      </c>
      <c r="BZ40" s="101">
        <f>P_A5_L37*CUI_Corte*Inflación_5</f>
        <v>0</v>
      </c>
      <c r="CA40" s="101">
        <f>SUMIFS('9'!$E:$E,'9'!$A:$A,Año_Inicial+4,'9'!$B:$B,'12'!BZ$4,'9'!$D:$D,"Corte")</f>
        <v>0</v>
      </c>
      <c r="CB40" s="101">
        <f>P_A5_L38*CUI_Corte*Inflación_5</f>
        <v>0</v>
      </c>
      <c r="CC40" s="101">
        <f>SUMIFS('9'!$E:$E,'9'!$A:$A,Año_Inicial+4,'9'!$B:$B,'12'!CB$4,'9'!$D:$D,"Corte")</f>
        <v>0</v>
      </c>
      <c r="CD40" s="101">
        <f>P_A5_L39*CUI_Corte*Inflación_5</f>
        <v>0</v>
      </c>
      <c r="CE40" s="101">
        <f>SUMIFS('9'!$E:$E,'9'!$A:$A,Año_Inicial+4,'9'!$B:$B,'12'!CD$4,'9'!$D:$D,"Corte")</f>
        <v>0</v>
      </c>
      <c r="CF40" s="101">
        <f>P_A5_L40*CUI_Corte*Inflación_5</f>
        <v>0</v>
      </c>
      <c r="CG40" s="101">
        <f>SUMIFS('9'!$E:$E,'9'!$A:$A,Año_Inicial+4,'9'!$B:$B,'12'!CF$4,'9'!$D:$D,"Corte")</f>
        <v>0</v>
      </c>
      <c r="CH40" s="473"/>
      <c r="CI40" s="101">
        <f>CI7*CUI_Corte*Inflación_5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SUMIFS('9'!$E:$E,'9'!$A:$A,Año_Inicial+4,'9'!$D:$D,"Beneficiado")</f>
        <v>0</v>
      </c>
      <c r="D41" s="100" t="e">
        <f t="shared" si="45"/>
        <v>#DIV/0!</v>
      </c>
      <c r="E41" s="473"/>
      <c r="F41" s="101">
        <f>(P_A5_L1/5)*CUI_Poscosecha*Inflación_5</f>
        <v>0</v>
      </c>
      <c r="G41" s="101">
        <f>SUMIFS('9'!$E:$E,'9'!$A:$A,Año_Inicial+4,'9'!$B:$B,'12'!F$4,'9'!$D:$D,"Beneficiado")</f>
        <v>0</v>
      </c>
      <c r="H41" s="101">
        <f>(P_A5_L2/5)*CUI_Poscosecha*Inflación_5</f>
        <v>0</v>
      </c>
      <c r="I41" s="101">
        <f>SUMIFS('9'!$E:$E,'9'!$A:$A,Año_Inicial+4,'9'!$B:$B,'12'!H$4,'9'!$D:$D,"Beneficiado")</f>
        <v>0</v>
      </c>
      <c r="J41" s="101">
        <f>(P_A5_L3/5)*CUI_Poscosecha*Inflación_5</f>
        <v>0</v>
      </c>
      <c r="K41" s="101">
        <f>SUMIFS('9'!$E:$E,'9'!$A:$A,Año_Inicial+4,'9'!$B:$B,'12'!J$4,'9'!$D:$D,"Beneficiado")</f>
        <v>0</v>
      </c>
      <c r="L41" s="101">
        <f>(P_A5_L4/5)*CUI_Poscosecha*Inflación_5</f>
        <v>0</v>
      </c>
      <c r="M41" s="101">
        <f>SUMIFS('9'!$E:$E,'9'!$A:$A,Año_Inicial+4,'9'!$B:$B,'12'!L$4,'9'!$D:$D,"Beneficiado")</f>
        <v>0</v>
      </c>
      <c r="N41" s="101">
        <f>(P_A5_L5/5)*CUI_Poscosecha*Inflación_5</f>
        <v>0</v>
      </c>
      <c r="O41" s="101">
        <f>SUMIFS('9'!$E:$E,'9'!$A:$A,Año_Inicial+4,'9'!$B:$B,'12'!N$4,'9'!$D:$D,"Beneficiado")</f>
        <v>0</v>
      </c>
      <c r="P41" s="101">
        <f>(P_A5_L6/5)*CUI_Poscosecha*Inflación_5</f>
        <v>0</v>
      </c>
      <c r="Q41" s="101">
        <f>SUMIFS('9'!$E:$E,'9'!$A:$A,Año_Inicial+4,'9'!$B:$B,'12'!P$4,'9'!$D:$D,"Beneficiado")</f>
        <v>0</v>
      </c>
      <c r="R41" s="101">
        <f>(P_A5_L7/5)*CUI_Poscosecha*Inflación_5</f>
        <v>0</v>
      </c>
      <c r="S41" s="101">
        <f>SUMIFS('9'!$E:$E,'9'!$A:$A,Año_Inicial+4,'9'!$B:$B,'12'!R$4,'9'!$D:$D,"Beneficiado")</f>
        <v>0</v>
      </c>
      <c r="T41" s="101">
        <f>(P_A5_L8/5)*CUI_Poscosecha*Inflación_5</f>
        <v>0</v>
      </c>
      <c r="U41" s="101">
        <f>SUMIFS('9'!$E:$E,'9'!$A:$A,Año_Inicial+4,'9'!$B:$B,'12'!T$4,'9'!$D:$D,"Beneficiado")</f>
        <v>0</v>
      </c>
      <c r="V41" s="101">
        <f>(P_A5_L9/5)*CUI_Poscosecha*Inflación_5</f>
        <v>0</v>
      </c>
      <c r="W41" s="101">
        <f>SUMIFS('9'!$E:$E,'9'!$A:$A,Año_Inicial+4,'9'!$B:$B,'12'!V$4,'9'!$D:$D,"Beneficiado")</f>
        <v>0</v>
      </c>
      <c r="X41" s="101">
        <f>(P_A5_L10/5)*CUI_Poscosecha*Inflación_5</f>
        <v>0</v>
      </c>
      <c r="Y41" s="101">
        <f>SUMIFS('9'!$E:$E,'9'!$A:$A,Año_Inicial+4,'9'!$B:$B,'12'!X$4,'9'!$D:$D,"Beneficiado")</f>
        <v>0</v>
      </c>
      <c r="Z41" s="101">
        <f>(P_A5_L11/5)*CUI_Poscosecha*Inflación_5</f>
        <v>0</v>
      </c>
      <c r="AA41" s="101">
        <f>SUMIFS('9'!$E:$E,'9'!$A:$A,Año_Inicial+4,'9'!$B:$B,'12'!Z$4,'9'!$D:$D,"Beneficiado")</f>
        <v>0</v>
      </c>
      <c r="AB41" s="101">
        <f>(P_A5_L12/5)*CUI_Poscosecha*Inflación_5</f>
        <v>0</v>
      </c>
      <c r="AC41" s="101">
        <f>SUMIFS('9'!$E:$E,'9'!$A:$A,Año_Inicial+4,'9'!$B:$B,'12'!AB$4,'9'!$D:$D,"Beneficiado")</f>
        <v>0</v>
      </c>
      <c r="AD41" s="101">
        <f>(P_A5_L13/5)*CUI_Poscosecha*Inflación_5</f>
        <v>0</v>
      </c>
      <c r="AE41" s="101">
        <f>SUMIFS('9'!$E:$E,'9'!$A:$A,Año_Inicial+4,'9'!$B:$B,'12'!AD$4,'9'!$D:$D,"Beneficiado")</f>
        <v>0</v>
      </c>
      <c r="AF41" s="101">
        <f>(P_A5_L14/5)*CUI_Poscosecha*Inflación_5</f>
        <v>0</v>
      </c>
      <c r="AG41" s="101">
        <f>SUMIFS('9'!$E:$E,'9'!$A:$A,Año_Inicial+4,'9'!$B:$B,'12'!AF$4,'9'!$D:$D,"Beneficiado")</f>
        <v>0</v>
      </c>
      <c r="AH41" s="101">
        <f>(P_A5_L15/5)*CUI_Poscosecha*Inflación_5</f>
        <v>0</v>
      </c>
      <c r="AI41" s="101">
        <f>SUMIFS('9'!$E:$E,'9'!$A:$A,Año_Inicial+4,'9'!$B:$B,'12'!AH$4,'9'!$D:$D,"Beneficiado")</f>
        <v>0</v>
      </c>
      <c r="AJ41" s="101">
        <f>(P_A5_L16/5)*CUI_Poscosecha*Inflación_5</f>
        <v>0</v>
      </c>
      <c r="AK41" s="101">
        <f>SUMIFS('9'!$E:$E,'9'!$A:$A,Año_Inicial+4,'9'!$B:$B,'12'!AJ$4,'9'!$D:$D,"Beneficiado")</f>
        <v>0</v>
      </c>
      <c r="AL41" s="101">
        <f>(P_A5_L17/5)*CUI_Poscosecha*Inflación_5</f>
        <v>0</v>
      </c>
      <c r="AM41" s="101">
        <f>SUMIFS('9'!$E:$E,'9'!$A:$A,Año_Inicial+4,'9'!$B:$B,'12'!AL$4,'9'!$D:$D,"Beneficiado")</f>
        <v>0</v>
      </c>
      <c r="AN41" s="101">
        <f>(P_A5_L18/5)*CUI_Poscosecha*Inflación_5</f>
        <v>0</v>
      </c>
      <c r="AO41" s="101">
        <f>SUMIFS('9'!$E:$E,'9'!$A:$A,Año_Inicial+4,'9'!$B:$B,'12'!AN$4,'9'!$D:$D,"Beneficiado")</f>
        <v>0</v>
      </c>
      <c r="AP41" s="101">
        <f>(P_A5_L19/5)*CUI_Poscosecha*Inflación_5</f>
        <v>0</v>
      </c>
      <c r="AQ41" s="101">
        <f>SUMIFS('9'!$E:$E,'9'!$A:$A,Año_Inicial+4,'9'!$B:$B,'12'!AP$4,'9'!$D:$D,"Beneficiado")</f>
        <v>0</v>
      </c>
      <c r="AR41" s="101">
        <f>(P_A5_L20/5)*CUI_Poscosecha*Inflación_5</f>
        <v>0</v>
      </c>
      <c r="AS41" s="101">
        <f>SUMIFS('9'!$E:$E,'9'!$A:$A,Año_Inicial+4,'9'!$B:$B,'12'!AR$4,'9'!$D:$D,"Beneficiado")</f>
        <v>0</v>
      </c>
      <c r="AT41" s="101">
        <f>(P_A5_L21/5)*CUI_Poscosecha*Inflación_5</f>
        <v>0</v>
      </c>
      <c r="AU41" s="101">
        <f>SUMIFS('9'!$E:$E,'9'!$A:$A,Año_Inicial+4,'9'!$B:$B,'12'!AT$4,'9'!$D:$D,"Beneficiado")</f>
        <v>0</v>
      </c>
      <c r="AV41" s="101">
        <f>(P_A5_L22/5)*CUI_Poscosecha*Inflación_5</f>
        <v>0</v>
      </c>
      <c r="AW41" s="101">
        <f>SUMIFS('9'!$E:$E,'9'!$A:$A,Año_Inicial+4,'9'!$B:$B,'12'!AV$4,'9'!$D:$D,"Beneficiado")</f>
        <v>0</v>
      </c>
      <c r="AX41" s="101">
        <f>(P_A5_L23/5)*CUI_Poscosecha*Inflación_5</f>
        <v>0</v>
      </c>
      <c r="AY41" s="101">
        <f>SUMIFS('9'!$E:$E,'9'!$A:$A,Año_Inicial+4,'9'!$B:$B,'12'!AX$4,'9'!$D:$D,"Beneficiado")</f>
        <v>0</v>
      </c>
      <c r="AZ41" s="101">
        <f>(P_A5_L24/5)*CUI_Poscosecha*Inflación_5</f>
        <v>0</v>
      </c>
      <c r="BA41" s="101">
        <f>SUMIFS('9'!$E:$E,'9'!$A:$A,Año_Inicial+4,'9'!$B:$B,'12'!AZ$4,'9'!$D:$D,"Beneficiado")</f>
        <v>0</v>
      </c>
      <c r="BB41" s="101">
        <f>(P_A5_L25/5)*CUI_Poscosecha*Inflación_5</f>
        <v>0</v>
      </c>
      <c r="BC41" s="101">
        <f>SUMIFS('9'!$E:$E,'9'!$A:$A,Año_Inicial+4,'9'!$B:$B,'12'!BB$4,'9'!$D:$D,"Beneficiado")</f>
        <v>0</v>
      </c>
      <c r="BD41" s="101">
        <f>(P_A5_L26/5)*CUI_Poscosecha*Inflación_5</f>
        <v>0</v>
      </c>
      <c r="BE41" s="101">
        <f>SUMIFS('9'!$E:$E,'9'!$A:$A,Año_Inicial+4,'9'!$B:$B,'12'!BD$4,'9'!$D:$D,"Beneficiado")</f>
        <v>0</v>
      </c>
      <c r="BF41" s="101">
        <f>(P_A5_L27/5)*CUI_Poscosecha*Inflación_5</f>
        <v>0</v>
      </c>
      <c r="BG41" s="101">
        <f>SUMIFS('9'!$E:$E,'9'!$A:$A,Año_Inicial+4,'9'!$B:$B,'12'!BF$4,'9'!$D:$D,"Beneficiado")</f>
        <v>0</v>
      </c>
      <c r="BH41" s="101">
        <f>(P_A5_L28/5)*CUI_Poscosecha*Inflación_5</f>
        <v>0</v>
      </c>
      <c r="BI41" s="101">
        <f>SUMIFS('9'!$E:$E,'9'!$A:$A,Año_Inicial+4,'9'!$B:$B,'12'!BH$4,'9'!$D:$D,"Beneficiado")</f>
        <v>0</v>
      </c>
      <c r="BJ41" s="101">
        <f>(P_A5_L29/5)*CUI_Poscosecha*Inflación_5</f>
        <v>0</v>
      </c>
      <c r="BK41" s="101">
        <f>SUMIFS('9'!$E:$E,'9'!$A:$A,Año_Inicial+4,'9'!$B:$B,'12'!BJ$4,'9'!$D:$D,"Beneficiado")</f>
        <v>0</v>
      </c>
      <c r="BL41" s="101">
        <f>(P_A5_L30/5)*CUI_Poscosecha*Inflación_5</f>
        <v>0</v>
      </c>
      <c r="BM41" s="101">
        <f>SUMIFS('9'!$E:$E,'9'!$A:$A,Año_Inicial+4,'9'!$B:$B,'12'!BL$4,'9'!$D:$D,"Beneficiado")</f>
        <v>0</v>
      </c>
      <c r="BN41" s="101">
        <f>(P_A5_L31/5)*CUI_Poscosecha*Inflación_5</f>
        <v>0</v>
      </c>
      <c r="BO41" s="101">
        <f>SUMIFS('9'!$E:$E,'9'!$A:$A,Año_Inicial+4,'9'!$B:$B,'12'!BN$4,'9'!$D:$D,"Beneficiado")</f>
        <v>0</v>
      </c>
      <c r="BP41" s="101">
        <f>(P_A5_L32/5)*CUI_Poscosecha*Inflación_5</f>
        <v>0</v>
      </c>
      <c r="BQ41" s="101">
        <f>SUMIFS('9'!$E:$E,'9'!$A:$A,Año_Inicial+4,'9'!$B:$B,'12'!BP$4,'9'!$D:$D,"Beneficiado")</f>
        <v>0</v>
      </c>
      <c r="BR41" s="101">
        <f>(P_A5_L33/5)*CUI_Poscosecha*Inflación_5</f>
        <v>0</v>
      </c>
      <c r="BS41" s="101">
        <f>SUMIFS('9'!$E:$E,'9'!$A:$A,Año_Inicial+4,'9'!$B:$B,'12'!BR$4,'9'!$D:$D,"Beneficiado")</f>
        <v>0</v>
      </c>
      <c r="BT41" s="101">
        <f>(P_A5_L34/5)*CUI_Poscosecha*Inflación_5</f>
        <v>0</v>
      </c>
      <c r="BU41" s="101">
        <f>SUMIFS('9'!$E:$E,'9'!$A:$A,Año_Inicial+4,'9'!$B:$B,'12'!BT$4,'9'!$D:$D,"Beneficiado")</f>
        <v>0</v>
      </c>
      <c r="BV41" s="101">
        <f>(P_A5_L35/5)*CUI_Poscosecha*Inflación_5</f>
        <v>0</v>
      </c>
      <c r="BW41" s="101">
        <f>SUMIFS('9'!$E:$E,'9'!$A:$A,Año_Inicial+4,'9'!$B:$B,'12'!BV$4,'9'!$D:$D,"Beneficiado")</f>
        <v>0</v>
      </c>
      <c r="BX41" s="101">
        <f>(P_A5_L36/5)*CUI_Poscosecha*Inflación_5</f>
        <v>0</v>
      </c>
      <c r="BY41" s="101">
        <f>SUMIFS('9'!$E:$E,'9'!$A:$A,Año_Inicial+4,'9'!$B:$B,'12'!BX$4,'9'!$D:$D,"Beneficiado")</f>
        <v>0</v>
      </c>
      <c r="BZ41" s="101">
        <f>(P_A5_L37/5)*CUI_Poscosecha*Inflación_5</f>
        <v>0</v>
      </c>
      <c r="CA41" s="101">
        <f>SUMIFS('9'!$E:$E,'9'!$A:$A,Año_Inicial+4,'9'!$B:$B,'12'!BZ$4,'9'!$D:$D,"Beneficiado")</f>
        <v>0</v>
      </c>
      <c r="CB41" s="101">
        <f>(P_A5_L38/5)*CUI_Poscosecha*Inflación_5</f>
        <v>0</v>
      </c>
      <c r="CC41" s="101">
        <f>SUMIFS('9'!$E:$E,'9'!$A:$A,Año_Inicial+4,'9'!$B:$B,'12'!CB$4,'9'!$D:$D,"Beneficiado")</f>
        <v>0</v>
      </c>
      <c r="CD41" s="101">
        <f>(P_A5_L39/5)*CUI_Poscosecha*Inflación_5</f>
        <v>0</v>
      </c>
      <c r="CE41" s="101">
        <f>SUMIFS('9'!$E:$E,'9'!$A:$A,Año_Inicial+4,'9'!$B:$B,'12'!CD$4,'9'!$D:$D,"Beneficiado")</f>
        <v>0</v>
      </c>
      <c r="CF41" s="101">
        <f>(P_A5_L40/5)*CUI_Poscosecha*Inflación_5</f>
        <v>0</v>
      </c>
      <c r="CG41" s="101">
        <f>SUMIFS('9'!$E:$E,'9'!$A:$A,Año_Inicial+4,'9'!$B:$B,'12'!CF$4,'9'!$D:$D,"Beneficiado")</f>
        <v>0</v>
      </c>
      <c r="CH41" s="473"/>
      <c r="CI41" s="101" t="e">
        <f>(CI7/Pergo)*CUI_Poscosecha*Inflación_5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SUMIFS('9'!$E:$E,'9'!$A:$A,Año_Inicial+4,'9'!$C:$C,"Renovación")</f>
        <v>0</v>
      </c>
      <c r="D43" s="100">
        <f t="shared" si="45"/>
        <v>0</v>
      </c>
      <c r="E43" s="473"/>
      <c r="F43" s="101">
        <f>A5_Z_L1*Planta_Z*Inflación_5</f>
        <v>0</v>
      </c>
      <c r="G43" s="101">
        <f>SUMIFS('9'!$E:$E,'9'!$A:$A,Año_Inicial+4,'9'!$B:$B,'12'!F$4,'9'!$C:$C,"Renovación")</f>
        <v>0</v>
      </c>
      <c r="H43" s="101">
        <f>A5_Z_L2*Planta_Z*Inflación_5</f>
        <v>0</v>
      </c>
      <c r="I43" s="101">
        <f>SUMIFS('9'!$E:$E,'9'!$A:$A,Año_Inicial+4,'9'!$B:$B,'12'!H$4,'9'!$C:$C,"Renovación")</f>
        <v>0</v>
      </c>
      <c r="J43" s="101">
        <f>A5_Z_L3*Planta_Z*Inflación_5</f>
        <v>0</v>
      </c>
      <c r="K43" s="101">
        <f>SUMIFS('9'!$E:$E,'9'!$A:$A,Año_Inicial+4,'9'!$B:$B,'12'!J$4,'9'!$C:$C,"Renovación")</f>
        <v>0</v>
      </c>
      <c r="L43" s="101">
        <f>A5_Z_L4*Planta_Z*Inflación_5</f>
        <v>0</v>
      </c>
      <c r="M43" s="101">
        <f>SUMIFS('9'!$E:$E,'9'!$A:$A,Año_Inicial+4,'9'!$B:$B,'12'!L$4,'9'!$C:$C,"Renovación")</f>
        <v>0</v>
      </c>
      <c r="N43" s="101">
        <f>A5_Z_L5*Planta_Z*Inflación_5</f>
        <v>0</v>
      </c>
      <c r="O43" s="101">
        <f>SUMIFS('9'!$E:$E,'9'!$A:$A,Año_Inicial+4,'9'!$B:$B,'12'!N$4,'9'!$C:$C,"Renovación")</f>
        <v>0</v>
      </c>
      <c r="P43" s="101">
        <f>A5_Z_L6*Planta_Z*Inflación_5</f>
        <v>0</v>
      </c>
      <c r="Q43" s="101">
        <f>SUMIFS('9'!$E:$E,'9'!$A:$A,Año_Inicial+4,'9'!$B:$B,'12'!P$4,'9'!$C:$C,"Renovación")</f>
        <v>0</v>
      </c>
      <c r="R43" s="101">
        <f>A5_Z_L7*Planta_Z*Inflación_5</f>
        <v>0</v>
      </c>
      <c r="S43" s="101">
        <f>SUMIFS('9'!$E:$E,'9'!$A:$A,Año_Inicial+4,'9'!$B:$B,'12'!R$4,'9'!$C:$C,"Renovación")</f>
        <v>0</v>
      </c>
      <c r="T43" s="101">
        <f>A5_Z_L8*Planta_Z*Inflación_5</f>
        <v>0</v>
      </c>
      <c r="U43" s="101">
        <f>SUMIFS('9'!$E:$E,'9'!$A:$A,Año_Inicial+4,'9'!$B:$B,'12'!T$4,'9'!$C:$C,"Renovación")</f>
        <v>0</v>
      </c>
      <c r="V43" s="101">
        <f>A5_Z_L9*Planta_Z*Inflación_5</f>
        <v>0</v>
      </c>
      <c r="W43" s="101">
        <f>SUMIFS('9'!$E:$E,'9'!$A:$A,Año_Inicial+4,'9'!$B:$B,'12'!V$4,'9'!$C:$C,"Renovación")</f>
        <v>0</v>
      </c>
      <c r="X43" s="101">
        <f>A5_Z_L10*Planta_Z*Inflación_5</f>
        <v>0</v>
      </c>
      <c r="Y43" s="101">
        <f>SUMIFS('9'!$E:$E,'9'!$A:$A,Año_Inicial+4,'9'!$B:$B,'12'!X$4,'9'!$C:$C,"Renovación")</f>
        <v>0</v>
      </c>
      <c r="Z43" s="101">
        <f>A5_Z_L11*Planta_Z*Inflación_5</f>
        <v>0</v>
      </c>
      <c r="AA43" s="101">
        <f>SUMIFS('9'!$E:$E,'9'!$A:$A,Año_Inicial+4,'9'!$B:$B,'12'!Z$4,'9'!$C:$C,"Renovación")</f>
        <v>0</v>
      </c>
      <c r="AB43" s="101">
        <f>A5_Z_L12*Planta_Z*Inflación_5</f>
        <v>0</v>
      </c>
      <c r="AC43" s="101">
        <f>SUMIFS('9'!$E:$E,'9'!$A:$A,Año_Inicial+4,'9'!$B:$B,'12'!AB$4,'9'!$C:$C,"Renovación")</f>
        <v>0</v>
      </c>
      <c r="AD43" s="101">
        <f>A5_Z_L13*Planta_Z*Inflación_5</f>
        <v>0</v>
      </c>
      <c r="AE43" s="101">
        <f>SUMIFS('9'!$E:$E,'9'!$A:$A,Año_Inicial+4,'9'!$B:$B,'12'!AD$4,'9'!$C:$C,"Renovación")</f>
        <v>0</v>
      </c>
      <c r="AF43" s="101">
        <f>A5_Z_L14*Planta_Z*Inflación_5</f>
        <v>0</v>
      </c>
      <c r="AG43" s="101">
        <f>SUMIFS('9'!$E:$E,'9'!$A:$A,Año_Inicial+4,'9'!$B:$B,'12'!AF$4,'9'!$C:$C,"Renovación")</f>
        <v>0</v>
      </c>
      <c r="AH43" s="101">
        <f>A5_Z_L15*Planta_Z*Inflación_5</f>
        <v>0</v>
      </c>
      <c r="AI43" s="101">
        <f>SUMIFS('9'!$E:$E,'9'!$A:$A,Año_Inicial+4,'9'!$B:$B,'12'!AH$4,'9'!$C:$C,"Renovación")</f>
        <v>0</v>
      </c>
      <c r="AJ43" s="101">
        <f>A5_Z_L16*Planta_Z*Inflación_5</f>
        <v>0</v>
      </c>
      <c r="AK43" s="101">
        <f>SUMIFS('9'!$E:$E,'9'!$A:$A,Año_Inicial+4,'9'!$B:$B,'12'!AJ$4,'9'!$C:$C,"Renovación")</f>
        <v>0</v>
      </c>
      <c r="AL43" s="101">
        <f>A5_Z_L17*Planta_Z*Inflación_5</f>
        <v>0</v>
      </c>
      <c r="AM43" s="101">
        <f>SUMIFS('9'!$E:$E,'9'!$A:$A,Año_Inicial+4,'9'!$B:$B,'12'!AL$4,'9'!$C:$C,"Renovación")</f>
        <v>0</v>
      </c>
      <c r="AN43" s="101">
        <f>A5_Z_L18*Planta_Z*Inflación_5</f>
        <v>0</v>
      </c>
      <c r="AO43" s="101">
        <f>SUMIFS('9'!$E:$E,'9'!$A:$A,Año_Inicial+4,'9'!$B:$B,'12'!AN$4,'9'!$C:$C,"Renovación")</f>
        <v>0</v>
      </c>
      <c r="AP43" s="101">
        <f>A5_Z_L19*Planta_Z*Inflación_5</f>
        <v>0</v>
      </c>
      <c r="AQ43" s="101">
        <f>SUMIFS('9'!$E:$E,'9'!$A:$A,Año_Inicial+4,'9'!$B:$B,'12'!AP$4,'9'!$C:$C,"Renovación")</f>
        <v>0</v>
      </c>
      <c r="AR43" s="101">
        <f>A5_Z_L20*Planta_Z*Inflación_5</f>
        <v>0</v>
      </c>
      <c r="AS43" s="101">
        <f>SUMIFS('9'!$E:$E,'9'!$A:$A,Año_Inicial+4,'9'!$B:$B,'12'!AR$4,'9'!$C:$C,"Renovación")</f>
        <v>0</v>
      </c>
      <c r="AT43" s="101">
        <f>A5_Z_L21*Planta_Z*Inflación_5</f>
        <v>0</v>
      </c>
      <c r="AU43" s="101">
        <f>SUMIFS('9'!$E:$E,'9'!$A:$A,Año_Inicial+4,'9'!$B:$B,'12'!AT$4,'9'!$C:$C,"Renovación")</f>
        <v>0</v>
      </c>
      <c r="AV43" s="101">
        <f>A5_Z_L22*Planta_Z*Inflación_5</f>
        <v>0</v>
      </c>
      <c r="AW43" s="101">
        <f>SUMIFS('9'!$E:$E,'9'!$A:$A,Año_Inicial+4,'9'!$B:$B,'12'!AV$4,'9'!$C:$C,"Renovación")</f>
        <v>0</v>
      </c>
      <c r="AX43" s="101">
        <f>A5_Z_L23*Planta_Z*Inflación_5</f>
        <v>0</v>
      </c>
      <c r="AY43" s="101">
        <f>SUMIFS('9'!$E:$E,'9'!$A:$A,Año_Inicial+4,'9'!$B:$B,'12'!AX$4,'9'!$C:$C,"Renovación")</f>
        <v>0</v>
      </c>
      <c r="AZ43" s="101">
        <f>A5_Z_L24*Planta_Z*Inflación_5</f>
        <v>0</v>
      </c>
      <c r="BA43" s="101">
        <f>SUMIFS('9'!$E:$E,'9'!$A:$A,Año_Inicial+4,'9'!$B:$B,'12'!AZ$4,'9'!$C:$C,"Renovación")</f>
        <v>0</v>
      </c>
      <c r="BB43" s="101">
        <f>A5_Z_L25*Planta_Z*Inflación_5</f>
        <v>0</v>
      </c>
      <c r="BC43" s="101">
        <f>SUMIFS('9'!$E:$E,'9'!$A:$A,Año_Inicial+4,'9'!$B:$B,'12'!BB$4,'9'!$C:$C,"Renovación")</f>
        <v>0</v>
      </c>
      <c r="BD43" s="101">
        <f>A5_Z_L26*Planta_Z*Inflación_5</f>
        <v>0</v>
      </c>
      <c r="BE43" s="101">
        <f>SUMIFS('9'!$E:$E,'9'!$A:$A,Año_Inicial+4,'9'!$B:$B,'12'!BD$4,'9'!$C:$C,"Renovación")</f>
        <v>0</v>
      </c>
      <c r="BF43" s="101">
        <f>A5_Z_L27*Planta_Z*Inflación_5</f>
        <v>0</v>
      </c>
      <c r="BG43" s="101">
        <f>SUMIFS('9'!$E:$E,'9'!$A:$A,Año_Inicial+4,'9'!$B:$B,'12'!BF$4,'9'!$C:$C,"Renovación")</f>
        <v>0</v>
      </c>
      <c r="BH43" s="101">
        <f>A5_Z_L28*Planta_Z*Inflación_5</f>
        <v>0</v>
      </c>
      <c r="BI43" s="101">
        <f>SUMIFS('9'!$E:$E,'9'!$A:$A,Año_Inicial+4,'9'!$B:$B,'12'!BH$4,'9'!$C:$C,"Renovación")</f>
        <v>0</v>
      </c>
      <c r="BJ43" s="101">
        <f>A5_Z_L29*Planta_Z*Inflación_5</f>
        <v>0</v>
      </c>
      <c r="BK43" s="101">
        <f>SUMIFS('9'!$E:$E,'9'!$A:$A,Año_Inicial+4,'9'!$B:$B,'12'!BJ$4,'9'!$C:$C,"Renovación")</f>
        <v>0</v>
      </c>
      <c r="BL43" s="101">
        <f>A5_Z_L30*Planta_Z*Inflación_5</f>
        <v>0</v>
      </c>
      <c r="BM43" s="101">
        <f>SUMIFS('9'!$E:$E,'9'!$A:$A,Año_Inicial+4,'9'!$B:$B,'12'!BL$4,'9'!$C:$C,"Renovación")</f>
        <v>0</v>
      </c>
      <c r="BN43" s="101">
        <f>A5_Z_L31*Planta_Z*Inflación_5</f>
        <v>0</v>
      </c>
      <c r="BO43" s="101">
        <f>SUMIFS('9'!$E:$E,'9'!$A:$A,Año_Inicial+4,'9'!$B:$B,'12'!BN$4,'9'!$C:$C,"Renovación")</f>
        <v>0</v>
      </c>
      <c r="BP43" s="101">
        <f>A5_Z_L32*Planta_Z*Inflación_5</f>
        <v>0</v>
      </c>
      <c r="BQ43" s="101">
        <f>SUMIFS('9'!$E:$E,'9'!$A:$A,Año_Inicial+4,'9'!$B:$B,'12'!BP$4,'9'!$C:$C,"Renovación")</f>
        <v>0</v>
      </c>
      <c r="BR43" s="101">
        <f>A5_Z_L33*Planta_Z*Inflación_5</f>
        <v>0</v>
      </c>
      <c r="BS43" s="101">
        <f>SUMIFS('9'!$E:$E,'9'!$A:$A,Año_Inicial+4,'9'!$B:$B,'12'!BR$4,'9'!$C:$C,"Renovación")</f>
        <v>0</v>
      </c>
      <c r="BT43" s="101">
        <f>A5_Z_L34*Planta_Z*Inflación_5</f>
        <v>0</v>
      </c>
      <c r="BU43" s="101">
        <f>SUMIFS('9'!$E:$E,'9'!$A:$A,Año_Inicial+4,'9'!$B:$B,'12'!BT$4,'9'!$C:$C,"Renovación")</f>
        <v>0</v>
      </c>
      <c r="BV43" s="101">
        <f>A5_Z_L35*Planta_Z*Inflación_5</f>
        <v>0</v>
      </c>
      <c r="BW43" s="101">
        <f>SUMIFS('9'!$E:$E,'9'!$A:$A,Año_Inicial+4,'9'!$B:$B,'12'!BV$4,'9'!$C:$C,"Renovación")</f>
        <v>0</v>
      </c>
      <c r="BX43" s="101">
        <f>A5_Z_L36*Planta_Z*Inflación_5</f>
        <v>0</v>
      </c>
      <c r="BY43" s="101">
        <f>SUMIFS('9'!$E:$E,'9'!$A:$A,Año_Inicial+4,'9'!$B:$B,'12'!BX$4,'9'!$C:$C,"Renovación")</f>
        <v>0</v>
      </c>
      <c r="BZ43" s="101">
        <f>A5_Z_L37*Planta_Z*Inflación_5</f>
        <v>0</v>
      </c>
      <c r="CA43" s="101">
        <f>SUMIFS('9'!$E:$E,'9'!$A:$A,Año_Inicial+4,'9'!$B:$B,'12'!BZ$4,'9'!$C:$C,"Renovación")</f>
        <v>0</v>
      </c>
      <c r="CB43" s="101">
        <f>A5_Z_L38*Planta_Z*Inflación_5</f>
        <v>0</v>
      </c>
      <c r="CC43" s="101">
        <f>SUMIFS('9'!$E:$E,'9'!$A:$A,Año_Inicial+4,'9'!$B:$B,'12'!CB$4,'9'!$C:$C,"Renovación")</f>
        <v>0</v>
      </c>
      <c r="CD43" s="101">
        <f>A5_Z_L39*Planta_Z*Inflación_5</f>
        <v>0</v>
      </c>
      <c r="CE43" s="101">
        <f>SUMIFS('9'!$E:$E,'9'!$A:$A,Año_Inicial+4,'9'!$B:$B,'12'!CD$4,'9'!$C:$C,"Renovación")</f>
        <v>0</v>
      </c>
      <c r="CF43" s="101">
        <f>A5_Z_L40*Planta_Z*Inflación_5</f>
        <v>0</v>
      </c>
      <c r="CG43" s="101">
        <f>SUMIFS('9'!$E:$E,'9'!$A:$A,Año_Inicial+4,'9'!$B:$B,'12'!CF$4,'9'!$C:$C,"Renovación")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(Plantas_Z_A5*Planta_Z)*Inflación_5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Admin_2*Inflación_5</f>
        <v>0</v>
      </c>
      <c r="C44" s="101">
        <f>SUMIFS('9'!$E:$E,'9'!$A:$A,Año_Inicial+4,'9'!$C:$C,"Gastos_administrativos")</f>
        <v>0</v>
      </c>
      <c r="D44" s="100">
        <f t="shared" si="45"/>
        <v>0</v>
      </c>
      <c r="E44" s="473"/>
      <c r="F44" s="101">
        <f>($B44/$B47)*F47*Inflación_5</f>
        <v>0</v>
      </c>
      <c r="G44" s="101">
        <f>($C44/$B47)*F47</f>
        <v>0</v>
      </c>
      <c r="H44" s="101">
        <f>($B44/$B47)*H47*Inflación_5</f>
        <v>0</v>
      </c>
      <c r="I44" s="101">
        <f>($C44/$B47)*H47</f>
        <v>0</v>
      </c>
      <c r="J44" s="101">
        <f>($B44/$B47)*J47*Inflación_5</f>
        <v>0</v>
      </c>
      <c r="K44" s="101">
        <f>($C44/$B47)*J47</f>
        <v>0</v>
      </c>
      <c r="L44" s="101">
        <f>($B44/$B47)*L47*Inflación_5</f>
        <v>0</v>
      </c>
      <c r="M44" s="101">
        <f>($C44/$B47)*L47</f>
        <v>0</v>
      </c>
      <c r="N44" s="101">
        <f>($B44/$B47)*N47*Inflación_5</f>
        <v>0</v>
      </c>
      <c r="O44" s="101">
        <f>($C44/$B47)*N47</f>
        <v>0</v>
      </c>
      <c r="P44" s="101">
        <f>($B44/$B47)*P47*Inflación_5</f>
        <v>0</v>
      </c>
      <c r="Q44" s="101">
        <f>($C44/$B47)*P47</f>
        <v>0</v>
      </c>
      <c r="R44" s="101">
        <f>($B44/$B47)*R47*Inflación_5</f>
        <v>0</v>
      </c>
      <c r="S44" s="101">
        <f>($C44/$B47)*R47</f>
        <v>0</v>
      </c>
      <c r="T44" s="101">
        <f>($B44/$B47)*T47*Inflación_5</f>
        <v>0</v>
      </c>
      <c r="U44" s="101">
        <f>($C44/$B47)*T47</f>
        <v>0</v>
      </c>
      <c r="V44" s="101">
        <f>($B44/$B47)*V47*Inflación_5</f>
        <v>0</v>
      </c>
      <c r="W44" s="101">
        <f>($C44/$B47)*V47</f>
        <v>0</v>
      </c>
      <c r="X44" s="101">
        <f>($B44/$B47)*X47*Inflación_5</f>
        <v>0</v>
      </c>
      <c r="Y44" s="101">
        <f>($C44/$B47)*X47</f>
        <v>0</v>
      </c>
      <c r="Z44" s="101">
        <f>($B44/$B47)*Z47*Inflación_5</f>
        <v>0</v>
      </c>
      <c r="AA44" s="101">
        <f>($C44/$B47)*Z47</f>
        <v>0</v>
      </c>
      <c r="AB44" s="101">
        <f>($B44/$B47)*AB47*Inflación_5</f>
        <v>0</v>
      </c>
      <c r="AC44" s="101">
        <f>($C44/$B47)*AB47</f>
        <v>0</v>
      </c>
      <c r="AD44" s="101">
        <f>($B44/$B47)*AD47*Inflación_5</f>
        <v>0</v>
      </c>
      <c r="AE44" s="101">
        <f>($C44/$B47)*AD47</f>
        <v>0</v>
      </c>
      <c r="AF44" s="101">
        <f>($B44/$B47)*AF47*Inflación_5</f>
        <v>0</v>
      </c>
      <c r="AG44" s="101">
        <f>($C44/$B47)*AF47</f>
        <v>0</v>
      </c>
      <c r="AH44" s="101">
        <f>($B44/$B47)*AH47*Inflación_5</f>
        <v>0</v>
      </c>
      <c r="AI44" s="101">
        <f>($C44/$B47)*AH47</f>
        <v>0</v>
      </c>
      <c r="AJ44" s="101">
        <f>($B44/$B47)*AJ47*Inflación_5</f>
        <v>0</v>
      </c>
      <c r="AK44" s="101">
        <f>($C44/$B47)*AJ47</f>
        <v>0</v>
      </c>
      <c r="AL44" s="101">
        <f>($B44/$B47)*AL47*Inflación_5</f>
        <v>0</v>
      </c>
      <c r="AM44" s="101">
        <f>($C44/$B47)*AL47</f>
        <v>0</v>
      </c>
      <c r="AN44" s="101">
        <f>($B44/$B47)*AN47*Inflación_5</f>
        <v>0</v>
      </c>
      <c r="AO44" s="101">
        <f>($C44/$B47)*AN47</f>
        <v>0</v>
      </c>
      <c r="AP44" s="101">
        <f>($B44/$B47)*AP47*Inflación_5</f>
        <v>0</v>
      </c>
      <c r="AQ44" s="101">
        <f>($C44/$B47)*AP47</f>
        <v>0</v>
      </c>
      <c r="AR44" s="101">
        <f>($B44/$B47)*AR47*Inflación_5</f>
        <v>0</v>
      </c>
      <c r="AS44" s="101">
        <f>($C44/$B47)*AR47</f>
        <v>0</v>
      </c>
      <c r="AT44" s="101">
        <f>($B44/$B47)*AT47*Inflación_5</f>
        <v>0</v>
      </c>
      <c r="AU44" s="101">
        <f>($C44/$B47)*AT47</f>
        <v>0</v>
      </c>
      <c r="AV44" s="101">
        <f>($B44/$B47)*AV47*Inflación_5</f>
        <v>0</v>
      </c>
      <c r="AW44" s="101">
        <f>($C44/$B47)*AV47</f>
        <v>0</v>
      </c>
      <c r="AX44" s="101">
        <f>($B44/$B47)*AX47*Inflación_5</f>
        <v>0</v>
      </c>
      <c r="AY44" s="101">
        <f>($C44/$B47)*AX47</f>
        <v>0</v>
      </c>
      <c r="AZ44" s="101">
        <f>($B44/$B47)*AZ47*Inflación_5</f>
        <v>0</v>
      </c>
      <c r="BA44" s="101">
        <f>($C44/$B47)*AZ47</f>
        <v>0</v>
      </c>
      <c r="BB44" s="101">
        <f>($B44/$B47)*BB47*Inflación_5</f>
        <v>0</v>
      </c>
      <c r="BC44" s="101">
        <f>($C44/$B47)*BB47</f>
        <v>0</v>
      </c>
      <c r="BD44" s="101">
        <f>($B44/$B47)*BD47*Inflación_5</f>
        <v>0</v>
      </c>
      <c r="BE44" s="101">
        <f>($C44/$B47)*BD47</f>
        <v>0</v>
      </c>
      <c r="BF44" s="101">
        <f>($B44/$B47)*BF47*Inflación_5</f>
        <v>0</v>
      </c>
      <c r="BG44" s="101">
        <f>($C44/$B47)*BF47</f>
        <v>0</v>
      </c>
      <c r="BH44" s="101">
        <f>($B44/$B47)*BH47*Inflación_5</f>
        <v>0</v>
      </c>
      <c r="BI44" s="101">
        <f>($C44/$B47)*BH47</f>
        <v>0</v>
      </c>
      <c r="BJ44" s="101">
        <f>($B44/$B47)*BJ47*Inflación_5</f>
        <v>0</v>
      </c>
      <c r="BK44" s="101">
        <f>($C44/$B47)*BJ47</f>
        <v>0</v>
      </c>
      <c r="BL44" s="101">
        <f>($B44/$B47)*BL47*Inflación_5</f>
        <v>0</v>
      </c>
      <c r="BM44" s="101">
        <f>($C44/$B47)*BL47</f>
        <v>0</v>
      </c>
      <c r="BN44" s="101">
        <f>($B44/$B47)*BN47*Inflación_5</f>
        <v>0</v>
      </c>
      <c r="BO44" s="101">
        <f>($C44/$B47)*BN47</f>
        <v>0</v>
      </c>
      <c r="BP44" s="101">
        <f>($B44/$B47)*BP47*Inflación_5</f>
        <v>0</v>
      </c>
      <c r="BQ44" s="101">
        <f>($C44/$B47)*BP47</f>
        <v>0</v>
      </c>
      <c r="BR44" s="101">
        <f>($B44/$B47)*BR47*Inflación_5</f>
        <v>0</v>
      </c>
      <c r="BS44" s="101">
        <f>($C44/$B47)*BR47</f>
        <v>0</v>
      </c>
      <c r="BT44" s="101">
        <f>($B44/$B47)*BT47*Inflación_5</f>
        <v>0</v>
      </c>
      <c r="BU44" s="101">
        <f>($C44/$B47)*BT47</f>
        <v>0</v>
      </c>
      <c r="BV44" s="101">
        <f>($B44/$B47)*BV47*Inflación_5</f>
        <v>0</v>
      </c>
      <c r="BW44" s="101">
        <f>($C44/$B47)*BV47</f>
        <v>0</v>
      </c>
      <c r="BX44" s="101">
        <f>($B44/$B47)*BX47*Inflación_5</f>
        <v>0</v>
      </c>
      <c r="BY44" s="101">
        <f>($C44/$B47)*BX47</f>
        <v>0</v>
      </c>
      <c r="BZ44" s="101">
        <f>($B44/$B47)*BZ47*Inflación_5</f>
        <v>0</v>
      </c>
      <c r="CA44" s="101">
        <f>($C44/$B47)*BZ47</f>
        <v>0</v>
      </c>
      <c r="CB44" s="101">
        <f>($B44/$B47)*CB47*Inflación_5</f>
        <v>0</v>
      </c>
      <c r="CC44" s="101">
        <f>($C44/$B47)*CB47</f>
        <v>0</v>
      </c>
      <c r="CD44" s="101">
        <f>($B44/$B47)*CD47*Inflación_5</f>
        <v>0</v>
      </c>
      <c r="CE44" s="101">
        <f>($C44/$B47)*CD47</f>
        <v>0</v>
      </c>
      <c r="CF44" s="101">
        <f>($B44/$B47)*CF47*Inflación_5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A5_A_L1+A5_B_L1+A5_C_L1+A5_D_L1+A5_Y_L1+A5_Z_L1+A5_X_L1</f>
        <v>7000</v>
      </c>
      <c r="G47" s="479"/>
      <c r="H47" s="478">
        <f>A5_A_L2+A5_B_L2+A5_C_L2+A5_D_L2+A5_Y_L2+A5_Z_L2+A5_X_L2</f>
        <v>0</v>
      </c>
      <c r="I47" s="479"/>
      <c r="J47" s="478">
        <f>A5_A_L3+A5_B_L3+A5_C_L3+A5_D_L3+A5_Y_L3+A5_Z_L3+A5_X_L3</f>
        <v>0</v>
      </c>
      <c r="K47" s="479"/>
      <c r="L47" s="478">
        <f>A5_A_L4+A5_B_L4+A5_C_L4+A5_D_L4+A5_Y_L4+A5_Z_L4+A5_X_L4</f>
        <v>0</v>
      </c>
      <c r="M47" s="479"/>
      <c r="N47" s="478">
        <f>A5_A_L5+A5_B_L5+A5_C_L5+A5_D_L5+A5_Y_L5+A5_Z_L5+A5_X_L5</f>
        <v>0</v>
      </c>
      <c r="O47" s="479"/>
      <c r="P47" s="478">
        <f>A5_A_L6+A5_B_L6+A5_C_L6+A5_D_L6+A5_Y_L6+A5_Z_L6+A5_X_L6</f>
        <v>0</v>
      </c>
      <c r="Q47" s="479"/>
      <c r="R47" s="478">
        <f>A5_A_L7+A5_B_L7+A5_C_L7+A5_D_L7+A5_Y_L7+A5_Z_L7+A5_X_L7</f>
        <v>0</v>
      </c>
      <c r="S47" s="479"/>
      <c r="T47" s="478">
        <f>A5_A_L8+A5_B_L8+A5_C_L8+A5_D_L8+A5_Y_L8+A5_Z_L8+A5_X_L8</f>
        <v>0</v>
      </c>
      <c r="U47" s="479"/>
      <c r="V47" s="478">
        <f>A5_A_L9+A5_B_L9+A5_C_L9+A5_D_L9+A5_Y_L9+A5_Z_L9+A5_X_L9</f>
        <v>0</v>
      </c>
      <c r="W47" s="479"/>
      <c r="X47" s="478">
        <f>A5_A_L10+A5_B_L10+A5_C_L10+A5_D_L10+A5_Y_L10+A5_Z_L10+A5_X_L10</f>
        <v>0</v>
      </c>
      <c r="Y47" s="479"/>
      <c r="Z47" s="478">
        <f>A5_A_L11+A5_B_L11+A5_C_L11+A5_D_L11+A5_Y_L11+A5_Z_L11+A5_X_L11</f>
        <v>0</v>
      </c>
      <c r="AA47" s="479"/>
      <c r="AB47" s="478">
        <f>A5_A_L12+A5_B_L12+A5_C_L12+A5_D_L12+A5_Y_L12+A5_Z_L12+A5_X_L12</f>
        <v>0</v>
      </c>
      <c r="AC47" s="479"/>
      <c r="AD47" s="478">
        <f>A5_A_L13+A5_B_L13+A5_C_L13+A5_D_L13+A5_Y_L13+A5_Z_L13+A5_X_L13</f>
        <v>0</v>
      </c>
      <c r="AE47" s="479"/>
      <c r="AF47" s="478">
        <f>A5_A_L14+A5_B_L14+A5_C_L14+A5_D_L14+A5_Y_L14+A5_Z_L14+A5_X_L14</f>
        <v>0</v>
      </c>
      <c r="AG47" s="479"/>
      <c r="AH47" s="478">
        <f>A5_A_L15+A5_B_L15+A5_C_L15+A5_D_L15+A5_Y_L15+A5_Z_L15+A5_X_L15</f>
        <v>0</v>
      </c>
      <c r="AI47" s="479"/>
      <c r="AJ47" s="478">
        <f>A5_A_L16+A5_B_L16+A5_C_L16+A5_D_L16+A5_Y_L16+A5_Z_L16+A5_X_L16</f>
        <v>0</v>
      </c>
      <c r="AK47" s="479"/>
      <c r="AL47" s="478">
        <f>A5_A_L17+A5_B_L17+A5_C_L17+A5_D_L17+A5_Y_L17+A5_Z_L17+A5_X_L17</f>
        <v>0</v>
      </c>
      <c r="AM47" s="479"/>
      <c r="AN47" s="478">
        <f>A5_A_L18+A5_B_L18+A5_C_L18+A5_D_L18+A5_Y_L18+A5_Z_L18+A5_X_L18</f>
        <v>0</v>
      </c>
      <c r="AO47" s="479"/>
      <c r="AP47" s="478">
        <f>A5_A_L19+A5_B_L19+A5_C_L19+A5_D_L19+A5_Y_L19+A5_Z_L19+A5_X_L19</f>
        <v>0</v>
      </c>
      <c r="AQ47" s="479"/>
      <c r="AR47" s="478">
        <f>A5_A_L20+A5_B_L20+A5_C_L20+A5_D_L20+A5_Y_L20+A5_Z_L20+A5_X_L20</f>
        <v>0</v>
      </c>
      <c r="AS47" s="479"/>
      <c r="AT47" s="478">
        <f>A5_A_L21+A5_B_L21+A5_C_L21+A5_D_L21+A5_Y_L21+A5_Z_L21+A5_X_L21</f>
        <v>0</v>
      </c>
      <c r="AU47" s="479"/>
      <c r="AV47" s="478">
        <f>A5_A_L22+A5_B_L22+A5_C_L22+A5_D_L22+A5_Y_L22+A5_Z_L22+A5_X_L22</f>
        <v>0</v>
      </c>
      <c r="AW47" s="479"/>
      <c r="AX47" s="478">
        <f>A5_A_L23+A5_B_L23+A5_C_L23+A5_D_L23+A5_Y_L23+A5_Z_L23+A5_X_L23</f>
        <v>0</v>
      </c>
      <c r="AY47" s="479"/>
      <c r="AZ47" s="478">
        <f>A5_A_L24+A5_B_L24+A5_C_L24+A5_D_L24+A5_Y_L24+A5_Z_L24+A5_X_L24</f>
        <v>0</v>
      </c>
      <c r="BA47" s="479"/>
      <c r="BB47" s="478">
        <f>A5_A_L25+A5_B_L25+A5_C_L25+A5_D_L25+A5_Y_L25+A5_Z_L25+A5_X_L25</f>
        <v>0</v>
      </c>
      <c r="BC47" s="479"/>
      <c r="BD47" s="478">
        <f>A5_A_L26+A5_B_L26+A5_C_L26+A5_D_L26+A5_Y_L26+A5_Z_L26+A5_X_L26</f>
        <v>0</v>
      </c>
      <c r="BE47" s="479"/>
      <c r="BF47" s="478">
        <f>A5_A_L27+A5_B_L27+A5_C_L27+A5_D_L27+A5_Y_L27+A5_Z_L27+A5_X_L27</f>
        <v>0</v>
      </c>
      <c r="BG47" s="479"/>
      <c r="BH47" s="478">
        <f>A5_A_L28+A5_B_L28+A5_C_L28+A5_D_L28+A5_Y_L28+A5_Z_L28+A5_X_L28</f>
        <v>0</v>
      </c>
      <c r="BI47" s="479"/>
      <c r="BJ47" s="478">
        <f>A5_A_L29+A5_B_L29+A5_C_L29+A5_D_L29+A5_Y_L29+A5_Z_L29+A5_X_L29</f>
        <v>0</v>
      </c>
      <c r="BK47" s="479"/>
      <c r="BL47" s="478">
        <f>A5_A_L30+A5_B_L30+A5_C_L30+A5_D_L30+A5_Y_L30+A5_Z_L30+A5_X_L30</f>
        <v>0</v>
      </c>
      <c r="BM47" s="479"/>
      <c r="BN47" s="478">
        <f>A5_A_L31+A5_B_L31+A5_C_L31+A5_D_L31+A5_Y_L31+A5_Z_L31+A5_X_L31</f>
        <v>0</v>
      </c>
      <c r="BO47" s="479"/>
      <c r="BP47" s="478">
        <f>A5_A_L32+A5_B_L32+A5_C_L32+A5_D_L32+A5_Y_L32+A5_Z_L32+A5_X_L32</f>
        <v>0</v>
      </c>
      <c r="BQ47" s="479"/>
      <c r="BR47" s="478">
        <f>A5_A_L33+A5_B_L33+A5_C_L33+A5_D_L33+A5_Y_L33+A5_Z_L33+A5_X_L33</f>
        <v>0</v>
      </c>
      <c r="BS47" s="479"/>
      <c r="BT47" s="478">
        <f>A5_A_L34+A5_B_L34+A5_C_L34+A5_D_L34+A5_Y_L34+A5_Z_L34+A5_X_L34</f>
        <v>0</v>
      </c>
      <c r="BU47" s="479"/>
      <c r="BV47" s="478">
        <f>A5_A_L35+A5_B_L35+A5_C_L35+A5_D_L35+A5_Y_L35+A5_Z_L35+A5_X_L35</f>
        <v>0</v>
      </c>
      <c r="BW47" s="479"/>
      <c r="BX47" s="478">
        <f>A5_A_L36+A5_B_L36+A5_C_L36+A5_D_L36+A5_Y_L36+A5_Z_L36+A5_X_L36</f>
        <v>0</v>
      </c>
      <c r="BY47" s="479"/>
      <c r="BZ47" s="478">
        <f>A5_A_L37+A5_B_L37+A5_C_L37+A5_D_L37+A5_Y_L37+A5_Z_L37+A5_X_L37</f>
        <v>0</v>
      </c>
      <c r="CA47" s="479"/>
      <c r="CB47" s="478">
        <f>A5_A_L38+A5_B_L38+A5_C_L38+A5_D_L38+A5_Y_L38+A5_Z_L38+A5_X_L38</f>
        <v>0</v>
      </c>
      <c r="CC47" s="479"/>
      <c r="CD47" s="478">
        <f>A5_A_L39+A5_B_L39+A5_C_L39+A5_D_L39+A5_Y_L39+A5_Z_L39+A5_X_L39</f>
        <v>0</v>
      </c>
      <c r="CE47" s="479"/>
      <c r="CF47" s="478">
        <f>A5_A_L40+A5_B_L40+A5_C_L40+A5_D_L40+A5_Y_L40+A5_Z_L40+A5_X_L40</f>
        <v>0</v>
      </c>
      <c r="CG47" s="479"/>
      <c r="CH47" s="473"/>
      <c r="CI47" s="118">
        <f>Plantas_A_A5</f>
        <v>0</v>
      </c>
      <c r="CJ47" s="119">
        <f>Plantas_B_A5</f>
        <v>0</v>
      </c>
      <c r="CK47" s="119">
        <f>Plantas_C_A5</f>
        <v>0</v>
      </c>
      <c r="CL47" s="119">
        <f>Plantas_D_A5</f>
        <v>7000</v>
      </c>
      <c r="CM47" s="119">
        <f>Plantas_Z_A5</f>
        <v>0</v>
      </c>
      <c r="CN47" s="119">
        <f>Plantas_Y_A5</f>
        <v>0</v>
      </c>
      <c r="CO47" s="120">
        <f>Plantas_X_A5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I0dxb1pN751mUo6nbV0HZLXvKCkxZ8GJhQQA7p/2sj0fzP19lz2zfvk/BSVaguJhBoEWHzyfRTQiQuypkt8Xlw==" saltValue="B+EvIgcCjhfI8WqhGgpzeQ==" spinCount="100000" sheet="1" objects="1" scenarios="1" formatColumns="0"/>
  <mergeCells count="86"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D4:CE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F4:CG4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AF47:AG47"/>
    <mergeCell ref="AH47:AI47"/>
    <mergeCell ref="AJ47:AK47"/>
    <mergeCell ref="AL47:AM47"/>
    <mergeCell ref="AN47:AO47"/>
    <mergeCell ref="AP47:AQ47"/>
    <mergeCell ref="BH47:BI47"/>
    <mergeCell ref="BJ47:BK47"/>
    <mergeCell ref="T47:U47"/>
    <mergeCell ref="V47:W47"/>
    <mergeCell ref="X47:Y47"/>
    <mergeCell ref="Z47:AA47"/>
    <mergeCell ref="AB47:AC47"/>
    <mergeCell ref="AZ47:BA47"/>
    <mergeCell ref="BB47:BC47"/>
    <mergeCell ref="AD47:AE47"/>
    <mergeCell ref="BD47:BE47"/>
    <mergeCell ref="BF47:BG47"/>
    <mergeCell ref="A50:C50"/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L47:BM47"/>
    <mergeCell ref="BN47:BO47"/>
    <mergeCell ref="AR47:AS47"/>
    <mergeCell ref="AT47:AU47"/>
    <mergeCell ref="AV47:AW47"/>
    <mergeCell ref="AX47:AY47"/>
  </mergeCells>
  <hyperlinks>
    <hyperlink ref="CH1" location="Inicio!A15" display="Regresar" xr:uid="{6BDB1AF1-F05D-4B79-99C0-E86DFEC63BA6}"/>
    <hyperlink ref="A1" location="Inicio!A15" display="Regresar" xr:uid="{3ED0B273-2D9E-4D4D-B653-8176155D0D7A}"/>
    <hyperlink ref="A1:CO1" location="Inicio!A15" display="Regresar" xr:uid="{566B5E60-6223-49EC-8110-B9FF5D9EC300}"/>
  </hyperlink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1B27FC-3E11-A04A-B443-00D50B31E34D}">
  <sheetPr codeName="Hoja17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320" t="s">
        <v>21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2"/>
    </row>
    <row r="2" spans="1:93" s="59" customFormat="1" ht="50.1" customHeight="1" thickBot="1" x14ac:dyDescent="0.3">
      <c r="A2" s="480" t="str">
        <f>CONCATENATE("Planificación financiera ",Up," | Presupuesto y ejecución ",Año_Inicial+5)</f>
        <v>Planificación financiera  | Presupuesto y ejecución 2028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P_A6_L1</f>
        <v>0</v>
      </c>
      <c r="G7" s="96" t="e">
        <f>G40/CUI_Corte</f>
        <v>#DIV/0!</v>
      </c>
      <c r="H7" s="97">
        <f>P_A6_L2</f>
        <v>0</v>
      </c>
      <c r="I7" s="96" t="e">
        <f>I40/CUI_Corte</f>
        <v>#DIV/0!</v>
      </c>
      <c r="J7" s="97">
        <f>P_A6_L3</f>
        <v>0</v>
      </c>
      <c r="K7" s="96" t="e">
        <f>K40/CUI_Corte</f>
        <v>#DIV/0!</v>
      </c>
      <c r="L7" s="97">
        <f>P_A6_L4</f>
        <v>0</v>
      </c>
      <c r="M7" s="96" t="e">
        <f>M40/CUI_Corte</f>
        <v>#DIV/0!</v>
      </c>
      <c r="N7" s="97">
        <f>P_A6_L5</f>
        <v>0</v>
      </c>
      <c r="O7" s="96" t="e">
        <f>O40/CUI_Corte</f>
        <v>#DIV/0!</v>
      </c>
      <c r="P7" s="97">
        <f>P_A6_L6</f>
        <v>0</v>
      </c>
      <c r="Q7" s="96" t="e">
        <f>Q40/CUI_Corte</f>
        <v>#DIV/0!</v>
      </c>
      <c r="R7" s="97">
        <f>P_A6_L7</f>
        <v>0</v>
      </c>
      <c r="S7" s="96" t="e">
        <f>S40/CUI_Corte</f>
        <v>#DIV/0!</v>
      </c>
      <c r="T7" s="97">
        <f>P_A6_L8</f>
        <v>0</v>
      </c>
      <c r="U7" s="96" t="e">
        <f>U40/CUI_Corte</f>
        <v>#DIV/0!</v>
      </c>
      <c r="V7" s="97">
        <f>P_A6_L9</f>
        <v>0</v>
      </c>
      <c r="W7" s="96" t="e">
        <f>W40/CUI_Corte</f>
        <v>#DIV/0!</v>
      </c>
      <c r="X7" s="97">
        <f>P_A6_L10</f>
        <v>0</v>
      </c>
      <c r="Y7" s="96" t="e">
        <f>Y40/CUI_Corte</f>
        <v>#DIV/0!</v>
      </c>
      <c r="Z7" s="97">
        <f>P_A6_L11</f>
        <v>0</v>
      </c>
      <c r="AA7" s="96" t="e">
        <f>AA40/CUI_Corte</f>
        <v>#DIV/0!</v>
      </c>
      <c r="AB7" s="97">
        <f>P_A6_L12</f>
        <v>0</v>
      </c>
      <c r="AC7" s="96" t="e">
        <f>AC40/CUI_Corte</f>
        <v>#DIV/0!</v>
      </c>
      <c r="AD7" s="97">
        <f>P_A6_L13</f>
        <v>0</v>
      </c>
      <c r="AE7" s="96" t="e">
        <f>AE40/CUI_Corte</f>
        <v>#DIV/0!</v>
      </c>
      <c r="AF7" s="97">
        <f>P_A6_L14</f>
        <v>0</v>
      </c>
      <c r="AG7" s="96" t="e">
        <f>AG40/CUI_Corte</f>
        <v>#DIV/0!</v>
      </c>
      <c r="AH7" s="97">
        <f>P_A6_L15</f>
        <v>0</v>
      </c>
      <c r="AI7" s="96" t="e">
        <f>AI40/CUI_Corte</f>
        <v>#DIV/0!</v>
      </c>
      <c r="AJ7" s="97">
        <f>P_A6_L16</f>
        <v>0</v>
      </c>
      <c r="AK7" s="96" t="e">
        <f>AK40/CUI_Corte</f>
        <v>#DIV/0!</v>
      </c>
      <c r="AL7" s="97">
        <f>P_A6_L17</f>
        <v>0</v>
      </c>
      <c r="AM7" s="96" t="e">
        <f>AM40/CUI_Corte</f>
        <v>#DIV/0!</v>
      </c>
      <c r="AN7" s="97">
        <f>P_A6_L18</f>
        <v>0</v>
      </c>
      <c r="AO7" s="96" t="e">
        <f>AO40/CUI_Corte</f>
        <v>#DIV/0!</v>
      </c>
      <c r="AP7" s="97">
        <f>P_A6_L19</f>
        <v>0</v>
      </c>
      <c r="AQ7" s="96" t="e">
        <f>AQ40/CUI_Corte</f>
        <v>#DIV/0!</v>
      </c>
      <c r="AR7" s="97">
        <f>P_A6_L20</f>
        <v>0</v>
      </c>
      <c r="AS7" s="96" t="e">
        <f>AS40/CUI_Corte</f>
        <v>#DIV/0!</v>
      </c>
      <c r="AT7" s="97">
        <f>P_A6_L21</f>
        <v>0</v>
      </c>
      <c r="AU7" s="96" t="e">
        <f>AU40/CUI_Corte</f>
        <v>#DIV/0!</v>
      </c>
      <c r="AV7" s="97">
        <f>P_A6_L22</f>
        <v>0</v>
      </c>
      <c r="AW7" s="96" t="e">
        <f>AW40/CUI_Corte</f>
        <v>#DIV/0!</v>
      </c>
      <c r="AX7" s="97">
        <f>P_A6_L23</f>
        <v>0</v>
      </c>
      <c r="AY7" s="96" t="e">
        <f>AY40/CUI_Corte</f>
        <v>#DIV/0!</v>
      </c>
      <c r="AZ7" s="97">
        <f>P_A6_L24</f>
        <v>0</v>
      </c>
      <c r="BA7" s="96" t="e">
        <f>BA40/CUI_Corte</f>
        <v>#DIV/0!</v>
      </c>
      <c r="BB7" s="97">
        <f>P_A6_L25</f>
        <v>0</v>
      </c>
      <c r="BC7" s="96" t="e">
        <f>BC40/CUI_Corte</f>
        <v>#DIV/0!</v>
      </c>
      <c r="BD7" s="97">
        <f>P_A6_L26</f>
        <v>0</v>
      </c>
      <c r="BE7" s="96" t="e">
        <f>BE40/CUI_Corte</f>
        <v>#DIV/0!</v>
      </c>
      <c r="BF7" s="97">
        <f>P_A6_L27</f>
        <v>0</v>
      </c>
      <c r="BG7" s="96" t="e">
        <f>BG40/CUI_Corte</f>
        <v>#DIV/0!</v>
      </c>
      <c r="BH7" s="97">
        <f>P_A6_L28</f>
        <v>0</v>
      </c>
      <c r="BI7" s="96" t="e">
        <f>BI40/CUI_Corte</f>
        <v>#DIV/0!</v>
      </c>
      <c r="BJ7" s="97">
        <f>P_A6_L29</f>
        <v>0</v>
      </c>
      <c r="BK7" s="96" t="e">
        <f>BK40/CUI_Corte</f>
        <v>#DIV/0!</v>
      </c>
      <c r="BL7" s="97">
        <f>P_A6_L30</f>
        <v>0</v>
      </c>
      <c r="BM7" s="96" t="e">
        <f>BM40/CUI_Corte</f>
        <v>#DIV/0!</v>
      </c>
      <c r="BN7" s="97">
        <f>P_A6_L31</f>
        <v>0</v>
      </c>
      <c r="BO7" s="96" t="e">
        <f>BO40/CUI_Corte</f>
        <v>#DIV/0!</v>
      </c>
      <c r="BP7" s="97">
        <f>P_A6_L32</f>
        <v>0</v>
      </c>
      <c r="BQ7" s="96" t="e">
        <f>BQ40/CUI_Corte</f>
        <v>#DIV/0!</v>
      </c>
      <c r="BR7" s="97">
        <f>P_A6_L33</f>
        <v>0</v>
      </c>
      <c r="BS7" s="96" t="e">
        <f>BS40/CUI_Corte</f>
        <v>#DIV/0!</v>
      </c>
      <c r="BT7" s="97">
        <f>P_A6_L34</f>
        <v>0</v>
      </c>
      <c r="BU7" s="96" t="e">
        <f>BU40/CUI_Corte</f>
        <v>#DIV/0!</v>
      </c>
      <c r="BV7" s="97">
        <f>P_A6_L35</f>
        <v>0</v>
      </c>
      <c r="BW7" s="96" t="e">
        <f>BW40/CUI_Corte</f>
        <v>#DIV/0!</v>
      </c>
      <c r="BX7" s="97">
        <f>P_A6_L36</f>
        <v>0</v>
      </c>
      <c r="BY7" s="96" t="e">
        <f>BY40/CUI_Corte</f>
        <v>#DIV/0!</v>
      </c>
      <c r="BZ7" s="97">
        <f>P_A6_L37</f>
        <v>0</v>
      </c>
      <c r="CA7" s="96" t="e">
        <f>CA40/CUI_Corte</f>
        <v>#DIV/0!</v>
      </c>
      <c r="CB7" s="97">
        <f>P_A6_L38</f>
        <v>0</v>
      </c>
      <c r="CC7" s="96" t="e">
        <f>CC40/CUI_Corte</f>
        <v>#DIV/0!</v>
      </c>
      <c r="CD7" s="97">
        <f>P_A6_L39</f>
        <v>0</v>
      </c>
      <c r="CE7" s="96" t="e">
        <f>CE40/CUI_Corte</f>
        <v>#DIV/0!</v>
      </c>
      <c r="CF7" s="97">
        <f>P_A6_L40</f>
        <v>0</v>
      </c>
      <c r="CG7" s="96" t="e">
        <f>CG40/CUI_Corte</f>
        <v>#DIV/0!</v>
      </c>
      <c r="CH7" s="473"/>
      <c r="CI7" s="96">
        <f>(IF(Diseño="Bloque",Bloque_A6_A,Surco_A6_A)/100)</f>
        <v>0</v>
      </c>
      <c r="CJ7" s="96">
        <f>(IF(Diseño="Bloque",Bloque_A6_B,Surco_A6_B)/100)</f>
        <v>0</v>
      </c>
      <c r="CK7" s="96">
        <f>(IF(Diseño="Bloque",Bloque_A6_C,Surco_A6_C)/100)</f>
        <v>0</v>
      </c>
      <c r="CL7" s="96">
        <f>(IF(Diseño="Bloque",Bloque_A6_D,Surco_A6_D)/100)</f>
        <v>0</v>
      </c>
      <c r="CM7" s="96"/>
      <c r="CN7" s="96">
        <f>(IF(Diseño="Bloque",Bloque_A6_Y,Surco_A6_Y)/100)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",Precio_A6,".00")</f>
        <v>Ventas de café de primera:  0% | Q. .00</v>
      </c>
      <c r="B8" s="100">
        <f>B7*P_Primera*Precio_A6*Inflación_6</f>
        <v>0</v>
      </c>
      <c r="C8" s="100" t="e">
        <f>C7*P_Primera*Precio_A6</f>
        <v>#DIV/0!</v>
      </c>
      <c r="D8" s="100" t="e">
        <f>C8-B8</f>
        <v>#DIV/0!</v>
      </c>
      <c r="E8" s="475"/>
      <c r="F8" s="101">
        <f>P_A6_L1*P_Primera*Precio_A6*Inflación_6</f>
        <v>0</v>
      </c>
      <c r="G8" s="100" t="e">
        <f>G7*P_Primera*Precio_A6</f>
        <v>#DIV/0!</v>
      </c>
      <c r="H8" s="101">
        <f>P_A6_L2*P_Primera*Precio_A6*Inflación_6</f>
        <v>0</v>
      </c>
      <c r="I8" s="100" t="e">
        <f>I7*P_Primera*Precio_A6</f>
        <v>#DIV/0!</v>
      </c>
      <c r="J8" s="101">
        <f>P_A6_L3*P_Primera*Precio_A6*Inflación_6</f>
        <v>0</v>
      </c>
      <c r="K8" s="100" t="e">
        <f>K7*P_Primera*Precio_A6</f>
        <v>#DIV/0!</v>
      </c>
      <c r="L8" s="101">
        <f>P_A6_L4*P_Primera*Precio_A6*Inflación_6</f>
        <v>0</v>
      </c>
      <c r="M8" s="100" t="e">
        <f>M7*P_Primera*Precio_A6</f>
        <v>#DIV/0!</v>
      </c>
      <c r="N8" s="101">
        <f>P_A6_L5*P_Primera*Precio_A6*Inflación_6</f>
        <v>0</v>
      </c>
      <c r="O8" s="100" t="e">
        <f>O7*P_Primera*Precio_A6</f>
        <v>#DIV/0!</v>
      </c>
      <c r="P8" s="101">
        <f>P_A6_L6*P_Primera*Precio_A6*Inflación_6</f>
        <v>0</v>
      </c>
      <c r="Q8" s="100" t="e">
        <f>Q7*P_Primera*Precio_A6</f>
        <v>#DIV/0!</v>
      </c>
      <c r="R8" s="101">
        <f>P_A6_L7*P_Primera*Precio_A6*Inflación_6</f>
        <v>0</v>
      </c>
      <c r="S8" s="100" t="e">
        <f>S7*P_Primera*Precio_A6</f>
        <v>#DIV/0!</v>
      </c>
      <c r="T8" s="101">
        <f>P_A6_L8*P_Primera*Precio_A6*Inflación_6</f>
        <v>0</v>
      </c>
      <c r="U8" s="100" t="e">
        <f>U7*P_Primera*Precio_A6</f>
        <v>#DIV/0!</v>
      </c>
      <c r="V8" s="101">
        <f>P_A6_L9*P_Primera*Precio_A6*Inflación_6</f>
        <v>0</v>
      </c>
      <c r="W8" s="100" t="e">
        <f>W7*P_Primera*Precio_A6</f>
        <v>#DIV/0!</v>
      </c>
      <c r="X8" s="101">
        <f>P_A6_L10*P_Primera*Precio_A6*Inflación_6</f>
        <v>0</v>
      </c>
      <c r="Y8" s="100" t="e">
        <f>Y7*P_Primera*Precio_A6</f>
        <v>#DIV/0!</v>
      </c>
      <c r="Z8" s="101">
        <f>P_A6_L11*P_Primera*Precio_A6*Inflación_6</f>
        <v>0</v>
      </c>
      <c r="AA8" s="100" t="e">
        <f>AA7*P_Primera*Precio_A6</f>
        <v>#DIV/0!</v>
      </c>
      <c r="AB8" s="101">
        <f>P_A6_L12*P_Primera*Precio_A6*Inflación_6</f>
        <v>0</v>
      </c>
      <c r="AC8" s="100" t="e">
        <f>AC7*P_Primera*Precio_A6</f>
        <v>#DIV/0!</v>
      </c>
      <c r="AD8" s="101">
        <f>P_A6_L13*P_Primera*Precio_A6*Inflación_6</f>
        <v>0</v>
      </c>
      <c r="AE8" s="100" t="e">
        <f>AE7*P_Primera*Precio_A6</f>
        <v>#DIV/0!</v>
      </c>
      <c r="AF8" s="101">
        <f>P_A6_L14*P_Primera*Precio_A6*Inflación_6</f>
        <v>0</v>
      </c>
      <c r="AG8" s="100" t="e">
        <f>AG7*P_Primera*Precio_A6</f>
        <v>#DIV/0!</v>
      </c>
      <c r="AH8" s="101">
        <f>P_A6_L15*P_Primera*Precio_A6*Inflación_6</f>
        <v>0</v>
      </c>
      <c r="AI8" s="100" t="e">
        <f>AI7*P_Primera*Precio_A6</f>
        <v>#DIV/0!</v>
      </c>
      <c r="AJ8" s="101">
        <f>P_A6_L16*P_Primera*Precio_A6*Inflación_6</f>
        <v>0</v>
      </c>
      <c r="AK8" s="100" t="e">
        <f>AK7*P_Primera*Precio_A6</f>
        <v>#DIV/0!</v>
      </c>
      <c r="AL8" s="101">
        <f>P_A6_L17*P_Primera*Precio_A6*Inflación_6</f>
        <v>0</v>
      </c>
      <c r="AM8" s="100" t="e">
        <f>AM7*P_Primera*Precio_A6</f>
        <v>#DIV/0!</v>
      </c>
      <c r="AN8" s="101">
        <f>P_A6_L18*P_Primera*Precio_A6*Inflación_6</f>
        <v>0</v>
      </c>
      <c r="AO8" s="100" t="e">
        <f>AO7*P_Primera*Precio_A6</f>
        <v>#DIV/0!</v>
      </c>
      <c r="AP8" s="101">
        <f>P_A6_L19*P_Primera*Precio_A6*Inflación_6</f>
        <v>0</v>
      </c>
      <c r="AQ8" s="100" t="e">
        <f>AQ7*P_Primera*Precio_A6</f>
        <v>#DIV/0!</v>
      </c>
      <c r="AR8" s="101">
        <f>P_A6_L20*P_Primera*Precio_A6*Inflación_6</f>
        <v>0</v>
      </c>
      <c r="AS8" s="100" t="e">
        <f>AS7*P_Primera*Precio_A6</f>
        <v>#DIV/0!</v>
      </c>
      <c r="AT8" s="101">
        <f>P_A6_L21*P_Primera*Precio_A6*Inflación_6</f>
        <v>0</v>
      </c>
      <c r="AU8" s="100" t="e">
        <f>AU7*P_Primera*Precio_A6</f>
        <v>#DIV/0!</v>
      </c>
      <c r="AV8" s="101">
        <f>P_A6_L22*P_Primera*Precio_A6*Inflación_6</f>
        <v>0</v>
      </c>
      <c r="AW8" s="100" t="e">
        <f>AW7*P_Primera*Precio_A6</f>
        <v>#DIV/0!</v>
      </c>
      <c r="AX8" s="101">
        <f>P_A6_L23*P_Primera*Precio_A6*Inflación_6</f>
        <v>0</v>
      </c>
      <c r="AY8" s="100" t="e">
        <f>AY7*P_Primera*Precio_A6</f>
        <v>#DIV/0!</v>
      </c>
      <c r="AZ8" s="101">
        <f>P_A6_L24*P_Primera*Precio_A6*Inflación_6</f>
        <v>0</v>
      </c>
      <c r="BA8" s="100" t="e">
        <f>BA7*P_Primera*Precio_A6</f>
        <v>#DIV/0!</v>
      </c>
      <c r="BB8" s="101">
        <f>P_A6_L25*P_Primera*Precio_A6*Inflación_6</f>
        <v>0</v>
      </c>
      <c r="BC8" s="100" t="e">
        <f>BC7*P_Primera*Precio_A6</f>
        <v>#DIV/0!</v>
      </c>
      <c r="BD8" s="101">
        <f>P_A6_L26*P_Primera*Precio_A6*Inflación_6</f>
        <v>0</v>
      </c>
      <c r="BE8" s="100" t="e">
        <f>BE7*P_Primera*Precio_A6</f>
        <v>#DIV/0!</v>
      </c>
      <c r="BF8" s="101">
        <f>P_A6_L27*P_Primera*Precio_A6*Inflación_6</f>
        <v>0</v>
      </c>
      <c r="BG8" s="100" t="e">
        <f>BG7*P_Primera*Precio_A6</f>
        <v>#DIV/0!</v>
      </c>
      <c r="BH8" s="101">
        <f>P_A6_L28*P_Primera*Precio_A6*Inflación_6</f>
        <v>0</v>
      </c>
      <c r="BI8" s="100" t="e">
        <f>BI7*P_Primera*Precio_A6</f>
        <v>#DIV/0!</v>
      </c>
      <c r="BJ8" s="101">
        <f>P_A6_L29*P_Primera*Precio_A6*Inflación_6</f>
        <v>0</v>
      </c>
      <c r="BK8" s="100" t="e">
        <f>BK7*P_Primera*Precio_A6</f>
        <v>#DIV/0!</v>
      </c>
      <c r="BL8" s="101">
        <f>P_A6_L30*P_Primera*Precio_A6*Inflación_6</f>
        <v>0</v>
      </c>
      <c r="BM8" s="100" t="e">
        <f>BM7*P_Primera*Precio_A6</f>
        <v>#DIV/0!</v>
      </c>
      <c r="BN8" s="101">
        <f>P_A6_L31*P_Primera*Precio_A6*Inflación_6</f>
        <v>0</v>
      </c>
      <c r="BO8" s="100" t="e">
        <f>BO7*P_Primera*Precio_A6</f>
        <v>#DIV/0!</v>
      </c>
      <c r="BP8" s="101">
        <f>P_A6_L32*P_Primera*Precio_A6*Inflación_6</f>
        <v>0</v>
      </c>
      <c r="BQ8" s="100" t="e">
        <f>BQ7*P_Primera*Precio_A6</f>
        <v>#DIV/0!</v>
      </c>
      <c r="BR8" s="101">
        <f>P_A6_L33*P_Primera*Precio_A6*Inflación_6</f>
        <v>0</v>
      </c>
      <c r="BS8" s="100" t="e">
        <f>BS7*P_Primera*Precio_A6</f>
        <v>#DIV/0!</v>
      </c>
      <c r="BT8" s="101">
        <f>P_A6_L34*P_Primera*Precio_A6*Inflación_6</f>
        <v>0</v>
      </c>
      <c r="BU8" s="100" t="e">
        <f>BU7*P_Primera*Precio_A6</f>
        <v>#DIV/0!</v>
      </c>
      <c r="BV8" s="101">
        <f>P_A6_L35*P_Primera*Precio_A6*Inflación_6</f>
        <v>0</v>
      </c>
      <c r="BW8" s="100" t="e">
        <f>BW7*P_Primera*Precio_A6</f>
        <v>#DIV/0!</v>
      </c>
      <c r="BX8" s="101">
        <f>P_A6_L36*P_Primera*Precio_A6*Inflación_6</f>
        <v>0</v>
      </c>
      <c r="BY8" s="100" t="e">
        <f>BY7*P_Primera*Precio_A6</f>
        <v>#DIV/0!</v>
      </c>
      <c r="BZ8" s="101">
        <f>P_A6_L37*P_Primera*Precio_A6*Inflación_6</f>
        <v>0</v>
      </c>
      <c r="CA8" s="100" t="e">
        <f>CA7*P_Primera*Precio_A6</f>
        <v>#DIV/0!</v>
      </c>
      <c r="CB8" s="101">
        <f>P_A6_L38*P_Primera*Precio_A6*Inflación_6</f>
        <v>0</v>
      </c>
      <c r="CC8" s="100" t="e">
        <f>CC7*P_Primera*Precio_A6</f>
        <v>#DIV/0!</v>
      </c>
      <c r="CD8" s="101">
        <f>P_A6_L39*P_Primera*Precio_A6*Inflación_6</f>
        <v>0</v>
      </c>
      <c r="CE8" s="100" t="e">
        <f>CE7*P_Primera*Precio_A6</f>
        <v>#DIV/0!</v>
      </c>
      <c r="CF8" s="101">
        <f>P_A6_L40*P_Primera*Precio_A6*Inflación_6</f>
        <v>0</v>
      </c>
      <c r="CG8" s="100" t="e">
        <f>CG7*P_Primera*Precio_A6</f>
        <v>#DIV/0!</v>
      </c>
      <c r="CH8" s="473"/>
      <c r="CI8" s="101">
        <f>CI7*P_Primera*Precio_A6*Inflación_6</f>
        <v>0</v>
      </c>
      <c r="CJ8" s="101">
        <f>CJ7*P_Primera*Precio_A6*Inflación_6</f>
        <v>0</v>
      </c>
      <c r="CK8" s="101">
        <f>CK7*P_Primera*Precio_A6*Inflación_6</f>
        <v>0</v>
      </c>
      <c r="CL8" s="101">
        <f>CL7*P_Primera*Precio_A6*Inflación_6</f>
        <v>0</v>
      </c>
      <c r="CM8" s="101"/>
      <c r="CN8" s="101">
        <f>CN7*P_Primera*Precio_A6*Inflación_6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B7*P_Segunda*Segunda*Inflación_6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P_A6_L1*P_Segunda*Segunda*Inflación_6</f>
        <v>0</v>
      </c>
      <c r="G9" s="100" t="e">
        <f t="shared" ref="G9" si="2">G7*P_Segunda*Segunda</f>
        <v>#DIV/0!</v>
      </c>
      <c r="H9" s="101">
        <f>P_A6_L2*P_Segunda*Segunda*Inflación_6</f>
        <v>0</v>
      </c>
      <c r="I9" s="100" t="e">
        <f>I7*P_Segunda*Segunda</f>
        <v>#DIV/0!</v>
      </c>
      <c r="J9" s="101">
        <f>P_A6_L3*P_Segunda*Segunda*Inflación_6</f>
        <v>0</v>
      </c>
      <c r="K9" s="100" t="e">
        <f t="shared" ref="K9" si="3">K7*P_Segunda*Segunda</f>
        <v>#DIV/0!</v>
      </c>
      <c r="L9" s="101">
        <f>P_A6_L4*P_Segunda*Segunda*Inflación_6</f>
        <v>0</v>
      </c>
      <c r="M9" s="100" t="e">
        <f>M7*P_Segunda*Segunda</f>
        <v>#DIV/0!</v>
      </c>
      <c r="N9" s="101">
        <f>P_A6_L5*P_Segunda*Segunda*Inflación_6</f>
        <v>0</v>
      </c>
      <c r="O9" s="100" t="e">
        <f t="shared" ref="O9:Q9" si="4">O7*P_Segunda*Segunda</f>
        <v>#DIV/0!</v>
      </c>
      <c r="P9" s="101">
        <f>P_A6_L6*P_Segunda*Segunda*Inflación_6</f>
        <v>0</v>
      </c>
      <c r="Q9" s="100" t="e">
        <f t="shared" si="4"/>
        <v>#DIV/0!</v>
      </c>
      <c r="R9" s="101">
        <f>P_A6_L7*P_Segunda*Segunda*Inflación_6</f>
        <v>0</v>
      </c>
      <c r="S9" s="100" t="e">
        <f t="shared" ref="S9:U9" si="5">S7*P_Segunda*Segunda</f>
        <v>#DIV/0!</v>
      </c>
      <c r="T9" s="101">
        <f>P_A6_L8*P_Segunda*Segunda*Inflación_6</f>
        <v>0</v>
      </c>
      <c r="U9" s="100" t="e">
        <f t="shared" si="5"/>
        <v>#DIV/0!</v>
      </c>
      <c r="V9" s="101">
        <f>P_A6_L9*P_Segunda*Segunda*Inflación_6</f>
        <v>0</v>
      </c>
      <c r="W9" s="100" t="e">
        <f t="shared" ref="W9:Y9" si="6">W7*P_Segunda*Segunda</f>
        <v>#DIV/0!</v>
      </c>
      <c r="X9" s="101">
        <f>P_A6_L10*P_Segunda*Segunda*Inflación_6</f>
        <v>0</v>
      </c>
      <c r="Y9" s="100" t="e">
        <f t="shared" si="6"/>
        <v>#DIV/0!</v>
      </c>
      <c r="Z9" s="101">
        <f>P_A6_L11*P_Segunda*Segunda*Inflación_6</f>
        <v>0</v>
      </c>
      <c r="AA9" s="100" t="e">
        <f t="shared" ref="AA9:AC9" si="7">AA7*P_Segunda*Segunda</f>
        <v>#DIV/0!</v>
      </c>
      <c r="AB9" s="101">
        <f>P_A6_L12*P_Segunda*Segunda*Inflación_6</f>
        <v>0</v>
      </c>
      <c r="AC9" s="100" t="e">
        <f t="shared" si="7"/>
        <v>#DIV/0!</v>
      </c>
      <c r="AD9" s="101">
        <f>P_A6_L13*P_Segunda*Segunda*Inflación_6</f>
        <v>0</v>
      </c>
      <c r="AE9" s="100" t="e">
        <f t="shared" ref="AE9:AG9" si="8">AE7*P_Segunda*Segunda</f>
        <v>#DIV/0!</v>
      </c>
      <c r="AF9" s="101">
        <f>P_A6_L14*P_Segunda*Segunda*Inflación_6</f>
        <v>0</v>
      </c>
      <c r="AG9" s="100" t="e">
        <f t="shared" si="8"/>
        <v>#DIV/0!</v>
      </c>
      <c r="AH9" s="101">
        <f>P_A6_L15*P_Segunda*Segunda*Inflación_6</f>
        <v>0</v>
      </c>
      <c r="AI9" s="100" t="e">
        <f t="shared" ref="AI9:AK9" si="9">AI7*P_Segunda*Segunda</f>
        <v>#DIV/0!</v>
      </c>
      <c r="AJ9" s="101">
        <f>P_A6_L16*P_Segunda*Segunda*Inflación_6</f>
        <v>0</v>
      </c>
      <c r="AK9" s="100" t="e">
        <f t="shared" si="9"/>
        <v>#DIV/0!</v>
      </c>
      <c r="AL9" s="101">
        <f>P_A6_L17*P_Segunda*Segunda*Inflación_6</f>
        <v>0</v>
      </c>
      <c r="AM9" s="100" t="e">
        <f t="shared" ref="AM9:AO9" si="10">AM7*P_Segunda*Segunda</f>
        <v>#DIV/0!</v>
      </c>
      <c r="AN9" s="101">
        <f>P_A6_L18*P_Segunda*Segunda*Inflación_6</f>
        <v>0</v>
      </c>
      <c r="AO9" s="100" t="e">
        <f t="shared" si="10"/>
        <v>#DIV/0!</v>
      </c>
      <c r="AP9" s="101">
        <f>P_A6_L19*P_Segunda*Segunda*Inflación_6</f>
        <v>0</v>
      </c>
      <c r="AQ9" s="100" t="e">
        <f t="shared" ref="AQ9:AS9" si="11">AQ7*P_Segunda*Segunda</f>
        <v>#DIV/0!</v>
      </c>
      <c r="AR9" s="101">
        <f>P_A6_L20*P_Segunda*Segunda*Inflación_6</f>
        <v>0</v>
      </c>
      <c r="AS9" s="100" t="e">
        <f t="shared" si="11"/>
        <v>#DIV/0!</v>
      </c>
      <c r="AT9" s="101">
        <f>P_A6_L21*P_Segunda*Segunda*Inflación_6</f>
        <v>0</v>
      </c>
      <c r="AU9" s="100" t="e">
        <f t="shared" ref="AU9:AW9" si="12">AU7*P_Segunda*Segunda</f>
        <v>#DIV/0!</v>
      </c>
      <c r="AV9" s="101">
        <f>P_A6_L22*P_Segunda*Segunda*Inflación_6</f>
        <v>0</v>
      </c>
      <c r="AW9" s="100" t="e">
        <f t="shared" si="12"/>
        <v>#DIV/0!</v>
      </c>
      <c r="AX9" s="101">
        <f>P_A6_L23*P_Segunda*Segunda*Inflación_6</f>
        <v>0</v>
      </c>
      <c r="AY9" s="100" t="e">
        <f t="shared" ref="AY9:BA9" si="13">AY7*P_Segunda*Segunda</f>
        <v>#DIV/0!</v>
      </c>
      <c r="AZ9" s="101">
        <f>P_A6_L24*P_Segunda*Segunda*Inflación_6</f>
        <v>0</v>
      </c>
      <c r="BA9" s="100" t="e">
        <f t="shared" si="13"/>
        <v>#DIV/0!</v>
      </c>
      <c r="BB9" s="101">
        <f>P_A6_L25*P_Segunda*Segunda*Inflación_6</f>
        <v>0</v>
      </c>
      <c r="BC9" s="100" t="e">
        <f t="shared" ref="BC9:BE9" si="14">BC7*P_Segunda*Segunda</f>
        <v>#DIV/0!</v>
      </c>
      <c r="BD9" s="101">
        <f>P_A6_L26*P_Segunda*Segunda*Inflación_6</f>
        <v>0</v>
      </c>
      <c r="BE9" s="100" t="e">
        <f t="shared" si="14"/>
        <v>#DIV/0!</v>
      </c>
      <c r="BF9" s="101">
        <f>P_A6_L27*P_Segunda*Segunda*Inflación_6</f>
        <v>0</v>
      </c>
      <c r="BG9" s="100" t="e">
        <f t="shared" ref="BG9:BI9" si="15">BG7*P_Segunda*Segunda</f>
        <v>#DIV/0!</v>
      </c>
      <c r="BH9" s="101">
        <f>P_A6_L28*P_Segunda*Segunda*Inflación_6</f>
        <v>0</v>
      </c>
      <c r="BI9" s="100" t="e">
        <f t="shared" si="15"/>
        <v>#DIV/0!</v>
      </c>
      <c r="BJ9" s="101">
        <f>P_A6_L29*P_Segunda*Segunda*Inflación_6</f>
        <v>0</v>
      </c>
      <c r="BK9" s="100" t="e">
        <f t="shared" ref="BK9:BM9" si="16">BK7*P_Segunda*Segunda</f>
        <v>#DIV/0!</v>
      </c>
      <c r="BL9" s="101">
        <f>P_A6_L30*P_Segunda*Segunda*Inflación_6</f>
        <v>0</v>
      </c>
      <c r="BM9" s="100" t="e">
        <f t="shared" si="16"/>
        <v>#DIV/0!</v>
      </c>
      <c r="BN9" s="101">
        <f>P_A6_L31*P_Segunda*Segunda*Inflación_6</f>
        <v>0</v>
      </c>
      <c r="BO9" s="100" t="e">
        <f t="shared" ref="BO9:BQ9" si="17">BO7*P_Segunda*Segunda</f>
        <v>#DIV/0!</v>
      </c>
      <c r="BP9" s="101">
        <f>P_A6_L32*P_Segunda*Segunda*Inflación_6</f>
        <v>0</v>
      </c>
      <c r="BQ9" s="100" t="e">
        <f t="shared" si="17"/>
        <v>#DIV/0!</v>
      </c>
      <c r="BR9" s="101">
        <f>P_A6_L33*P_Segunda*Segunda*Inflación_6</f>
        <v>0</v>
      </c>
      <c r="BS9" s="100" t="e">
        <f t="shared" ref="BS9:BU9" si="18">BS7*P_Segunda*Segunda</f>
        <v>#DIV/0!</v>
      </c>
      <c r="BT9" s="101">
        <f>P_A6_L34*P_Segunda*Segunda*Inflación_6</f>
        <v>0</v>
      </c>
      <c r="BU9" s="100" t="e">
        <f t="shared" si="18"/>
        <v>#DIV/0!</v>
      </c>
      <c r="BV9" s="101">
        <f>P_A6_L35*P_Segunda*Segunda*Inflación_6</f>
        <v>0</v>
      </c>
      <c r="BW9" s="100" t="e">
        <f t="shared" ref="BW9:BY9" si="19">BW7*P_Segunda*Segunda</f>
        <v>#DIV/0!</v>
      </c>
      <c r="BX9" s="101">
        <f>P_A6_L36*P_Segunda*Segunda*Inflación_6</f>
        <v>0</v>
      </c>
      <c r="BY9" s="100" t="e">
        <f t="shared" si="19"/>
        <v>#DIV/0!</v>
      </c>
      <c r="BZ9" s="101">
        <f>P_A6_L37*P_Segunda*Segunda*Inflación_6</f>
        <v>0</v>
      </c>
      <c r="CA9" s="100" t="e">
        <f t="shared" ref="CA9:CC9" si="20">CA7*P_Segunda*Segunda</f>
        <v>#DIV/0!</v>
      </c>
      <c r="CB9" s="101">
        <f>P_A6_L38*P_Segunda*Segunda*Inflación_6</f>
        <v>0</v>
      </c>
      <c r="CC9" s="100" t="e">
        <f t="shared" si="20"/>
        <v>#DIV/0!</v>
      </c>
      <c r="CD9" s="101">
        <f>P_A6_L39*P_Segunda*Segunda*Inflación_6</f>
        <v>0</v>
      </c>
      <c r="CE9" s="100" t="e">
        <f t="shared" ref="CE9:CG9" si="21">CE7*P_Segunda*Segunda</f>
        <v>#DIV/0!</v>
      </c>
      <c r="CF9" s="101">
        <f>P_A6_L40*P_Segunda*Segunda*Inflación_6</f>
        <v>0</v>
      </c>
      <c r="CG9" s="100" t="e">
        <f t="shared" si="21"/>
        <v>#DIV/0!</v>
      </c>
      <c r="CH9" s="473"/>
      <c r="CI9" s="101">
        <f>CI7*P_Segunda*Segunda*Inflación_6</f>
        <v>0</v>
      </c>
      <c r="CJ9" s="101">
        <f>CJ7*P_Segunda*Segunda*Inflación_6</f>
        <v>0</v>
      </c>
      <c r="CK9" s="101">
        <f>CK7*P_Segunda*Segunda*Inflación_6</f>
        <v>0</v>
      </c>
      <c r="CL9" s="101">
        <f>CL7*P_Segunda*Segunda*Inflación_6</f>
        <v>0</v>
      </c>
      <c r="CM9" s="101"/>
      <c r="CN9" s="101">
        <f>CN7*P_Segunda*Segunda*Inflación_6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B7*P_Inferior*Inferior*Inflación_6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P_A6_L1*P_Inferior*Inferior*Inflación_6</f>
        <v>0</v>
      </c>
      <c r="G10" s="100" t="e">
        <f t="shared" ref="G10" si="23">G7*P_Inferior*Inferior</f>
        <v>#DIV/0!</v>
      </c>
      <c r="H10" s="101">
        <f>P_A6_L2*P_Inferior*Inferior*Inflación_6</f>
        <v>0</v>
      </c>
      <c r="I10" s="100" t="e">
        <f>I7*P_Inferior*Inferior</f>
        <v>#DIV/0!</v>
      </c>
      <c r="J10" s="101">
        <f>P_A6_L3*P_Inferior*Inferior*Inflación_6</f>
        <v>0</v>
      </c>
      <c r="K10" s="100" t="e">
        <f t="shared" ref="K10" si="24">K7*P_Inferior*Inferior</f>
        <v>#DIV/0!</v>
      </c>
      <c r="L10" s="101">
        <f>P_A6_L4*P_Inferior*Inferior*Inflación_6</f>
        <v>0</v>
      </c>
      <c r="M10" s="100" t="e">
        <f>M7*P_Inferior*Inferior</f>
        <v>#DIV/0!</v>
      </c>
      <c r="N10" s="101">
        <f>P_A6_L5*P_Inferior*Inferior*Inflación_6</f>
        <v>0</v>
      </c>
      <c r="O10" s="100" t="e">
        <f t="shared" ref="O10:Q10" si="25">O7*P_Inferior*Inferior</f>
        <v>#DIV/0!</v>
      </c>
      <c r="P10" s="101">
        <f>P_A6_L6*P_Inferior*Inferior*Inflación_6</f>
        <v>0</v>
      </c>
      <c r="Q10" s="100" t="e">
        <f t="shared" si="25"/>
        <v>#DIV/0!</v>
      </c>
      <c r="R10" s="101">
        <f>P_A6_L7*P_Inferior*Inferior*Inflación_6</f>
        <v>0</v>
      </c>
      <c r="S10" s="100" t="e">
        <f t="shared" ref="S10:U10" si="26">S7*P_Inferior*Inferior</f>
        <v>#DIV/0!</v>
      </c>
      <c r="T10" s="101">
        <f>P_A6_L8*P_Inferior*Inferior*Inflación_6</f>
        <v>0</v>
      </c>
      <c r="U10" s="100" t="e">
        <f t="shared" si="26"/>
        <v>#DIV/0!</v>
      </c>
      <c r="V10" s="101">
        <f>P_A6_L9*P_Inferior*Inferior*Inflación_6</f>
        <v>0</v>
      </c>
      <c r="W10" s="100" t="e">
        <f t="shared" ref="W10:Y10" si="27">W7*P_Inferior*Inferior</f>
        <v>#DIV/0!</v>
      </c>
      <c r="X10" s="101">
        <f>P_A6_L10*P_Inferior*Inferior*Inflación_6</f>
        <v>0</v>
      </c>
      <c r="Y10" s="100" t="e">
        <f t="shared" si="27"/>
        <v>#DIV/0!</v>
      </c>
      <c r="Z10" s="101">
        <f>P_A6_L11*P_Inferior*Inferior*Inflación_6</f>
        <v>0</v>
      </c>
      <c r="AA10" s="100" t="e">
        <f t="shared" ref="AA10:AC10" si="28">AA7*P_Inferior*Inferior</f>
        <v>#DIV/0!</v>
      </c>
      <c r="AB10" s="101">
        <f>P_A6_L12*P_Inferior*Inferior*Inflación_6</f>
        <v>0</v>
      </c>
      <c r="AC10" s="100" t="e">
        <f t="shared" si="28"/>
        <v>#DIV/0!</v>
      </c>
      <c r="AD10" s="101">
        <f>P_A6_L13*P_Inferior*Inferior*Inflación_6</f>
        <v>0</v>
      </c>
      <c r="AE10" s="100" t="e">
        <f t="shared" ref="AE10:AG10" si="29">AE7*P_Inferior*Inferior</f>
        <v>#DIV/0!</v>
      </c>
      <c r="AF10" s="101">
        <f>P_A6_L14*P_Inferior*Inferior*Inflación_6</f>
        <v>0</v>
      </c>
      <c r="AG10" s="100" t="e">
        <f t="shared" si="29"/>
        <v>#DIV/0!</v>
      </c>
      <c r="AH10" s="101">
        <f>P_A6_L15*P_Inferior*Inferior*Inflación_6</f>
        <v>0</v>
      </c>
      <c r="AI10" s="100" t="e">
        <f t="shared" ref="AI10:AK10" si="30">AI7*P_Inferior*Inferior</f>
        <v>#DIV/0!</v>
      </c>
      <c r="AJ10" s="101">
        <f>P_A6_L16*P_Inferior*Inferior*Inflación_6</f>
        <v>0</v>
      </c>
      <c r="AK10" s="100" t="e">
        <f t="shared" si="30"/>
        <v>#DIV/0!</v>
      </c>
      <c r="AL10" s="101">
        <f>P_A6_L17*P_Inferior*Inferior*Inflación_6</f>
        <v>0</v>
      </c>
      <c r="AM10" s="100" t="e">
        <f t="shared" ref="AM10:AO10" si="31">AM7*P_Inferior*Inferior</f>
        <v>#DIV/0!</v>
      </c>
      <c r="AN10" s="101">
        <f>P_A6_L18*P_Inferior*Inferior*Inflación_6</f>
        <v>0</v>
      </c>
      <c r="AO10" s="100" t="e">
        <f t="shared" si="31"/>
        <v>#DIV/0!</v>
      </c>
      <c r="AP10" s="101">
        <f>P_A6_L19*P_Inferior*Inferior*Inflación_6</f>
        <v>0</v>
      </c>
      <c r="AQ10" s="100" t="e">
        <f t="shared" ref="AQ10:AS10" si="32">AQ7*P_Inferior*Inferior</f>
        <v>#DIV/0!</v>
      </c>
      <c r="AR10" s="101">
        <f>P_A6_L20*P_Inferior*Inferior*Inflación_6</f>
        <v>0</v>
      </c>
      <c r="AS10" s="100" t="e">
        <f t="shared" si="32"/>
        <v>#DIV/0!</v>
      </c>
      <c r="AT10" s="101">
        <f>P_A6_L21*P_Inferior*Inferior*Inflación_6</f>
        <v>0</v>
      </c>
      <c r="AU10" s="100" t="e">
        <f t="shared" ref="AU10:AW10" si="33">AU7*P_Inferior*Inferior</f>
        <v>#DIV/0!</v>
      </c>
      <c r="AV10" s="101">
        <f>P_A6_L22*P_Inferior*Inferior*Inflación_6</f>
        <v>0</v>
      </c>
      <c r="AW10" s="100" t="e">
        <f t="shared" si="33"/>
        <v>#DIV/0!</v>
      </c>
      <c r="AX10" s="101">
        <f>P_A6_L23*P_Inferior*Inferior*Inflación_6</f>
        <v>0</v>
      </c>
      <c r="AY10" s="100" t="e">
        <f t="shared" ref="AY10:BA10" si="34">AY7*P_Inferior*Inferior</f>
        <v>#DIV/0!</v>
      </c>
      <c r="AZ10" s="101">
        <f>P_A6_L24*P_Inferior*Inferior*Inflación_6</f>
        <v>0</v>
      </c>
      <c r="BA10" s="100" t="e">
        <f t="shared" si="34"/>
        <v>#DIV/0!</v>
      </c>
      <c r="BB10" s="101">
        <f>P_A6_L25*P_Inferior*Inferior*Inflación_6</f>
        <v>0</v>
      </c>
      <c r="BC10" s="100" t="e">
        <f t="shared" ref="BC10:BE10" si="35">BC7*P_Inferior*Inferior</f>
        <v>#DIV/0!</v>
      </c>
      <c r="BD10" s="101">
        <f>P_A6_L26*P_Inferior*Inferior*Inflación_6</f>
        <v>0</v>
      </c>
      <c r="BE10" s="100" t="e">
        <f t="shared" si="35"/>
        <v>#DIV/0!</v>
      </c>
      <c r="BF10" s="101">
        <f>P_A6_L27*P_Inferior*Inferior*Inflación_6</f>
        <v>0</v>
      </c>
      <c r="BG10" s="100" t="e">
        <f t="shared" ref="BG10:BI10" si="36">BG7*P_Inferior*Inferior</f>
        <v>#DIV/0!</v>
      </c>
      <c r="BH10" s="101">
        <f>P_A6_L28*P_Inferior*Inferior*Inflación_6</f>
        <v>0</v>
      </c>
      <c r="BI10" s="100" t="e">
        <f t="shared" si="36"/>
        <v>#DIV/0!</v>
      </c>
      <c r="BJ10" s="101">
        <f>P_A6_L29*P_Inferior*Inferior*Inflación_6</f>
        <v>0</v>
      </c>
      <c r="BK10" s="100" t="e">
        <f t="shared" ref="BK10:BM10" si="37">BK7*P_Inferior*Inferior</f>
        <v>#DIV/0!</v>
      </c>
      <c r="BL10" s="101">
        <f>P_A6_L30*P_Inferior*Inferior*Inflación_6</f>
        <v>0</v>
      </c>
      <c r="BM10" s="100" t="e">
        <f t="shared" si="37"/>
        <v>#DIV/0!</v>
      </c>
      <c r="BN10" s="101">
        <f>P_A6_L31*P_Inferior*Inferior*Inflación_6</f>
        <v>0</v>
      </c>
      <c r="BO10" s="100" t="e">
        <f t="shared" ref="BO10:BQ10" si="38">BO7*P_Inferior*Inferior</f>
        <v>#DIV/0!</v>
      </c>
      <c r="BP10" s="101">
        <f>P_A6_L32*P_Inferior*Inferior*Inflación_6</f>
        <v>0</v>
      </c>
      <c r="BQ10" s="100" t="e">
        <f t="shared" si="38"/>
        <v>#DIV/0!</v>
      </c>
      <c r="BR10" s="101">
        <f>P_A6_L33*P_Inferior*Inferior*Inflación_6</f>
        <v>0</v>
      </c>
      <c r="BS10" s="100" t="e">
        <f t="shared" ref="BS10:BU10" si="39">BS7*P_Inferior*Inferior</f>
        <v>#DIV/0!</v>
      </c>
      <c r="BT10" s="101">
        <f>P_A6_L34*P_Inferior*Inferior*Inflación_6</f>
        <v>0</v>
      </c>
      <c r="BU10" s="100" t="e">
        <f t="shared" si="39"/>
        <v>#DIV/0!</v>
      </c>
      <c r="BV10" s="101">
        <f>P_A6_L35*P_Inferior*Inferior*Inflación_6</f>
        <v>0</v>
      </c>
      <c r="BW10" s="100" t="e">
        <f t="shared" ref="BW10:BY10" si="40">BW7*P_Inferior*Inferior</f>
        <v>#DIV/0!</v>
      </c>
      <c r="BX10" s="101">
        <f>P_A6_L36*P_Inferior*Inferior*Inflación_6</f>
        <v>0</v>
      </c>
      <c r="BY10" s="100" t="e">
        <f t="shared" si="40"/>
        <v>#DIV/0!</v>
      </c>
      <c r="BZ10" s="101">
        <f>P_A6_L37*P_Inferior*Inferior*Inflación_6</f>
        <v>0</v>
      </c>
      <c r="CA10" s="100" t="e">
        <f t="shared" ref="CA10:CC10" si="41">CA7*P_Inferior*Inferior</f>
        <v>#DIV/0!</v>
      </c>
      <c r="CB10" s="101">
        <f>P_A6_L38*P_Inferior*Inferior*Inflación_6</f>
        <v>0</v>
      </c>
      <c r="CC10" s="100" t="e">
        <f t="shared" si="41"/>
        <v>#DIV/0!</v>
      </c>
      <c r="CD10" s="101">
        <f>P_A6_L39*P_Inferior*Inferior*Inflación_6</f>
        <v>0</v>
      </c>
      <c r="CE10" s="100" t="e">
        <f t="shared" ref="CE10:CG10" si="42">CE7*P_Inferior*Inferior</f>
        <v>#DIV/0!</v>
      </c>
      <c r="CF10" s="101">
        <f>P_A6_L40*P_Inferior*Inferior*Inflación_6</f>
        <v>0</v>
      </c>
      <c r="CG10" s="100" t="e">
        <f t="shared" si="42"/>
        <v>#DIV/0!</v>
      </c>
      <c r="CH10" s="473"/>
      <c r="CI10" s="101">
        <f>CI7*P_Inferior*Inferior*Inflación_6</f>
        <v>0</v>
      </c>
      <c r="CJ10" s="101">
        <f>CJ7*P_Inferior*Inferior*Inflación_6</f>
        <v>0</v>
      </c>
      <c r="CK10" s="101">
        <f>CK7*P_Inferior*Inferior*Inflación_6</f>
        <v>0</v>
      </c>
      <c r="CL10" s="101">
        <f>CL7*P_Inferior*Inferior*Inflación_6</f>
        <v>0</v>
      </c>
      <c r="CM10" s="101"/>
      <c r="CN10" s="101">
        <f>CN7*P_Inferior*Inferior*Inflación_6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SUMIFS('9'!$E:$E,'9'!$A:$A,Año_Inicial+5,'9'!$D:$D,"Poda")</f>
        <v>0</v>
      </c>
      <c r="D14" s="100">
        <f t="shared" ref="D14:D44" si="45">C14-B14</f>
        <v>0</v>
      </c>
      <c r="E14" s="473"/>
      <c r="F14" s="101">
        <f>((A6_A_L1*Poda_A)+(A6_B_L1*Poda_B)+(A6_C_L1*Poda_C)+(A6_D_L1*Poda_D)+(A6_Y_L1*Poda_Y))*Inflación_6</f>
        <v>0</v>
      </c>
      <c r="G14" s="101">
        <f>SUMIFS('9'!$E:$E,'9'!$A:$A,Año_Inicial+5,'9'!$B:$B,'12'!F$4,'9'!$D:$D,"Poda")</f>
        <v>0</v>
      </c>
      <c r="H14" s="101">
        <f>((A6_A_L2*Poda_A)+(A6_B_L2*Poda_B)+(A6_C_L2*Poda_C)+(A6_D_L2*Poda_D)+(A6_Y_L2*Poda_Y))*Inflación_6</f>
        <v>0</v>
      </c>
      <c r="I14" s="101">
        <f>SUMIFS('9'!$E:$E,'9'!$A:$A,Año_Inicial+5,'9'!$B:$B,'12'!H$4,'9'!$D:$D,"Poda")</f>
        <v>0</v>
      </c>
      <c r="J14" s="101">
        <f>((A6_A_L3*Poda_A)+(A6_B_L3*Poda_B)+(A6_C_L3*Poda_C)+(A6_D_L3*Poda_D)+(A6_Y_L3*Poda_Y))*Inflación_6</f>
        <v>0</v>
      </c>
      <c r="K14" s="101">
        <f>SUMIFS('9'!$E:$E,'9'!$A:$A,Año_Inicial+5,'9'!$B:$B,'12'!J$4,'9'!$D:$D,"Poda")</f>
        <v>0</v>
      </c>
      <c r="L14" s="101">
        <f>((A6_A_L4*Poda_A)+(A6_B_L4*Poda_B)+(A6_C_L4*Poda_C)+(A6_D_L4*Poda_D)+(A6_Y_L4*Poda_Y))*Inflación_6</f>
        <v>0</v>
      </c>
      <c r="M14" s="101">
        <f>SUMIFS('9'!$E:$E,'9'!$A:$A,Año_Inicial+5,'9'!$B:$B,'12'!L$4,'9'!$D:$D,"Poda")</f>
        <v>0</v>
      </c>
      <c r="N14" s="101">
        <f>((A6_A_L5*Poda_A)+(A6_B_L5*Poda_B)+(A6_C_L5*Poda_C)+(A6_D_L5*Poda_D)+(A6_Y_L5*Poda_Y))*Inflación_6</f>
        <v>0</v>
      </c>
      <c r="O14" s="101">
        <f>SUMIFS('9'!$E:$E,'9'!$A:$A,Año_Inicial+5,'9'!$B:$B,'12'!N$4,'9'!$D:$D,"Poda")</f>
        <v>0</v>
      </c>
      <c r="P14" s="101">
        <f>((A6_A_L6*Poda_A)+(A6_B_L6*Poda_B)+(A6_C_L6*Poda_C)+(A6_D_L6*Poda_D)+(A6_Y_L6*Poda_Y))*Inflación_6</f>
        <v>0</v>
      </c>
      <c r="Q14" s="101">
        <f>SUMIFS('9'!$E:$E,'9'!$A:$A,Año_Inicial+5,'9'!$B:$B,'12'!P$4,'9'!$D:$D,"Poda")</f>
        <v>0</v>
      </c>
      <c r="R14" s="101">
        <f>((A6_A_L7*Poda_A)+(A6_B_L7*Poda_B)+(A6_C_L7*Poda_C)+(A6_D_L7*Poda_D)+(A6_Y_L7*Poda_Y))*Inflación_6</f>
        <v>0</v>
      </c>
      <c r="S14" s="101">
        <f>SUMIFS('9'!$E:$E,'9'!$A:$A,Año_Inicial+5,'9'!$B:$B,'12'!R$4,'9'!$D:$D,"Poda")</f>
        <v>0</v>
      </c>
      <c r="T14" s="101">
        <f>((A6_A_L8*Poda_A)+(A6_B_L8*Poda_B)+(A6_C_L8*Poda_C)+(A6_D_L8*Poda_D)+(A6_Y_L8*Poda_Y))*Inflación_6</f>
        <v>0</v>
      </c>
      <c r="U14" s="101">
        <f>SUMIFS('9'!$E:$E,'9'!$A:$A,Año_Inicial+5,'9'!$B:$B,'12'!T$4,'9'!$D:$D,"Poda")</f>
        <v>0</v>
      </c>
      <c r="V14" s="101">
        <f>((A6_A_L9*Poda_A)+(A6_B_L9*Poda_B)+(A6_C_L9*Poda_C)+(A6_D_L9*Poda_D)+(A6_Y_L9*Poda_Y))*Inflación_6</f>
        <v>0</v>
      </c>
      <c r="W14" s="101">
        <f>SUMIFS('9'!$E:$E,'9'!$A:$A,Año_Inicial+5,'9'!$B:$B,'12'!V$4,'9'!$D:$D,"Poda")</f>
        <v>0</v>
      </c>
      <c r="X14" s="101">
        <f>((A6_A_L10*Poda_A)+(A6_B_L10*Poda_B)+(A6_C_L10*Poda_C)+(A6_D_L10*Poda_D)+(A6_Y_L10*Poda_Y))*Inflación_6</f>
        <v>0</v>
      </c>
      <c r="Y14" s="101">
        <f>SUMIFS('9'!$E:$E,'9'!$A:$A,Año_Inicial+5,'9'!$B:$B,'12'!X$4,'9'!$D:$D,"Poda")</f>
        <v>0</v>
      </c>
      <c r="Z14" s="101">
        <f>((A6_A_L11*Poda_A)+(A6_B_L11*Poda_B)+(A6_C_L11*Poda_C)+(A6_D_L11*Poda_D)+(A6_Y_L11*Poda_Y))*Inflación_6</f>
        <v>0</v>
      </c>
      <c r="AA14" s="101">
        <f>SUMIFS('9'!$E:$E,'9'!$A:$A,Año_Inicial+5,'9'!$B:$B,'12'!Z$4,'9'!$D:$D,"Poda")</f>
        <v>0</v>
      </c>
      <c r="AB14" s="101">
        <f>((A6_A_L12*Poda_A)+(A6_B_L12*Poda_B)+(A6_C_L12*Poda_C)+(A6_D_L12*Poda_D)+(A6_Y_L12*Poda_Y))*Inflación_6</f>
        <v>0</v>
      </c>
      <c r="AC14" s="101">
        <f>SUMIFS('9'!$E:$E,'9'!$A:$A,Año_Inicial+5,'9'!$B:$B,'12'!AB$4,'9'!$D:$D,"Poda")</f>
        <v>0</v>
      </c>
      <c r="AD14" s="101">
        <f>((A6_A_L13*Poda_A)+(A6_B_L13*Poda_B)+(A6_C_L13*Poda_C)+(A6_D_L13*Poda_D)+(A6_Y_L13*Poda_Y))*Inflación_6</f>
        <v>0</v>
      </c>
      <c r="AE14" s="101">
        <f>SUMIFS('9'!$E:$E,'9'!$A:$A,Año_Inicial+5,'9'!$B:$B,'12'!AD$4,'9'!$D:$D,"Poda")</f>
        <v>0</v>
      </c>
      <c r="AF14" s="101">
        <f>((A6_A_L14*Poda_A)+(A6_B_L14*Poda_B)+(A6_C_L14*Poda_C)+(A6_D_L14*Poda_D)+(A6_Y_L14*Poda_Y))*Inflación_6</f>
        <v>0</v>
      </c>
      <c r="AG14" s="101">
        <f>SUMIFS('9'!$E:$E,'9'!$A:$A,Año_Inicial+5,'9'!$B:$B,'12'!AF$4,'9'!$D:$D,"Poda")</f>
        <v>0</v>
      </c>
      <c r="AH14" s="101">
        <f>((A6_A_L15*Poda_A)+(A6_B_L15*Poda_B)+(A6_C_L15*Poda_C)+(A6_D_L15*Poda_D)+(A6_Y_L15*Poda_Y))*Inflación_6</f>
        <v>0</v>
      </c>
      <c r="AI14" s="101">
        <f>SUMIFS('9'!$E:$E,'9'!$A:$A,Año_Inicial+5,'9'!$B:$B,'12'!AH$4,'9'!$D:$D,"Poda")</f>
        <v>0</v>
      </c>
      <c r="AJ14" s="101">
        <f>((A6_A_L16*Poda_A)+(A6_B_L16*Poda_B)+(A6_C_L16*Poda_C)+(A6_D_L16*Poda_D)+(A6_Y_L16*Poda_Y))*Inflación_6</f>
        <v>0</v>
      </c>
      <c r="AK14" s="101">
        <f>SUMIFS('9'!$E:$E,'9'!$A:$A,Año_Inicial+5,'9'!$B:$B,'12'!AJ$4,'9'!$D:$D,"Poda")</f>
        <v>0</v>
      </c>
      <c r="AL14" s="101">
        <f>((A6_A_L17*Poda_A)+(A6_B_L17*Poda_B)+(A6_C_L17*Poda_C)+(A6_D_L17*Poda_D)+(A6_Y_L17*Poda_Y))*Inflación_6</f>
        <v>0</v>
      </c>
      <c r="AM14" s="101">
        <f>SUMIFS('9'!$E:$E,'9'!$A:$A,Año_Inicial+5,'9'!$B:$B,'12'!AL$4,'9'!$D:$D,"Poda")</f>
        <v>0</v>
      </c>
      <c r="AN14" s="101">
        <f>((A6_A_L18*Poda_A)+(A6_B_L18*Poda_B)+(A6_C_L18*Poda_C)+(A6_D_L18*Poda_D)+(A6_Y_L18*Poda_Y))*Inflación_6</f>
        <v>0</v>
      </c>
      <c r="AO14" s="101">
        <f>SUMIFS('9'!$E:$E,'9'!$A:$A,Año_Inicial+5,'9'!$B:$B,'12'!AN$4,'9'!$D:$D,"Poda")</f>
        <v>0</v>
      </c>
      <c r="AP14" s="101">
        <f>((A6_A_L19*Poda_A)+(A6_B_L19*Poda_B)+(A6_C_L19*Poda_C)+(A6_D_L19*Poda_D)+(A6_Y_L19*Poda_Y))*Inflación_6</f>
        <v>0</v>
      </c>
      <c r="AQ14" s="101">
        <f>SUMIFS('9'!$E:$E,'9'!$A:$A,Año_Inicial+5,'9'!$B:$B,'12'!AP$4,'9'!$D:$D,"Poda")</f>
        <v>0</v>
      </c>
      <c r="AR14" s="101">
        <f>((A6_A_L20*Poda_A)+(A6_B_L20*Poda_B)+(A6_C_L20*Poda_C)+(A6_D_L20*Poda_D)+(A6_Y_L20*Poda_Y))*Inflación_6</f>
        <v>0</v>
      </c>
      <c r="AS14" s="101">
        <f>SUMIFS('9'!$E:$E,'9'!$A:$A,Año_Inicial+5,'9'!$B:$B,'12'!AR$4,'9'!$D:$D,"Poda")</f>
        <v>0</v>
      </c>
      <c r="AT14" s="101">
        <f>((A6_A_L21*Poda_A)+(A6_B_L21*Poda_B)+(A6_C_L21*Poda_C)+(A6_D_L21*Poda_D)+(A6_Y_L21*Poda_Y))*Inflación_6</f>
        <v>0</v>
      </c>
      <c r="AU14" s="101">
        <f>SUMIFS('9'!$E:$E,'9'!$A:$A,Año_Inicial+5,'9'!$B:$B,'12'!AT$4,'9'!$D:$D,"Poda")</f>
        <v>0</v>
      </c>
      <c r="AV14" s="101">
        <f>((A6_A_L22*Poda_A)+(A6_B_L22*Poda_B)+(A6_C_L22*Poda_C)+(A6_D_L22*Poda_D)+(A6_Y_L22*Poda_Y))*Inflación_6</f>
        <v>0</v>
      </c>
      <c r="AW14" s="101">
        <f>SUMIFS('9'!$E:$E,'9'!$A:$A,Año_Inicial+5,'9'!$B:$B,'12'!AV$4,'9'!$D:$D,"Poda")</f>
        <v>0</v>
      </c>
      <c r="AX14" s="101">
        <f>((A6_A_L23*Poda_A)+(A6_B_L23*Poda_B)+(A6_C_L23*Poda_C)+(A6_D_L23*Poda_D)+(A6_Y_L23*Poda_Y))*Inflación_6</f>
        <v>0</v>
      </c>
      <c r="AY14" s="101">
        <f>SUMIFS('9'!$E:$E,'9'!$A:$A,Año_Inicial+5,'9'!$B:$B,'12'!AX$4,'9'!$D:$D,"Poda")</f>
        <v>0</v>
      </c>
      <c r="AZ14" s="101">
        <f>((A6_A_L24*Poda_A)+(A6_B_L24*Poda_B)+(A6_C_L24*Poda_C)+(A6_D_L24*Poda_D)+(A6_Y_L24*Poda_Y))*Inflación_6</f>
        <v>0</v>
      </c>
      <c r="BA14" s="101">
        <f>SUMIFS('9'!$E:$E,'9'!$A:$A,Año_Inicial+5,'9'!$B:$B,'12'!AZ$4,'9'!$D:$D,"Poda")</f>
        <v>0</v>
      </c>
      <c r="BB14" s="101">
        <f>((A6_A_L25*Poda_A)+(A6_B_L25*Poda_B)+(A6_C_L25*Poda_C)+(A6_D_L25*Poda_D)+(A6_Y_L25*Poda_Y))*Inflación_6</f>
        <v>0</v>
      </c>
      <c r="BC14" s="101">
        <f>SUMIFS('9'!$E:$E,'9'!$A:$A,Año_Inicial+5,'9'!$B:$B,'12'!BB$4,'9'!$D:$D,"Poda")</f>
        <v>0</v>
      </c>
      <c r="BD14" s="101">
        <f>((A6_A_L26*Poda_A)+(A6_B_L26*Poda_B)+(A6_C_L26*Poda_C)+(A6_D_L26*Poda_D)+(A6_Y_L26*Poda_Y))*Inflación_6</f>
        <v>0</v>
      </c>
      <c r="BE14" s="101">
        <f>SUMIFS('9'!$E:$E,'9'!$A:$A,Año_Inicial+5,'9'!$B:$B,'12'!BD$4,'9'!$D:$D,"Poda")</f>
        <v>0</v>
      </c>
      <c r="BF14" s="101">
        <f>((A6_A_L27*Poda_A)+(A6_B_L27*Poda_B)+(A6_C_L27*Poda_C)+(A6_D_L27*Poda_D)+(A6_Y_L27*Poda_Y))*Inflación_6</f>
        <v>0</v>
      </c>
      <c r="BG14" s="101">
        <f>SUMIFS('9'!$E:$E,'9'!$A:$A,Año_Inicial+5,'9'!$B:$B,'12'!BF$4,'9'!$D:$D,"Poda")</f>
        <v>0</v>
      </c>
      <c r="BH14" s="101">
        <f>((A6_A_L28*Poda_A)+(A6_B_L28*Poda_B)+(A6_C_L28*Poda_C)+(A6_D_L28*Poda_D)+(A6_Y_L28*Poda_Y))*Inflación_6</f>
        <v>0</v>
      </c>
      <c r="BI14" s="101">
        <f>SUMIFS('9'!$E:$E,'9'!$A:$A,Año_Inicial+5,'9'!$B:$B,'12'!BH$4,'9'!$D:$D,"Poda")</f>
        <v>0</v>
      </c>
      <c r="BJ14" s="101">
        <f>((A6_A_L29*Poda_A)+(A6_B_L29*Poda_B)+(A6_C_L29*Poda_C)+(A6_D_L29*Poda_D)+(A6_Y_L29*Poda_Y))*Inflación_6</f>
        <v>0</v>
      </c>
      <c r="BK14" s="101">
        <f>SUMIFS('9'!$E:$E,'9'!$A:$A,Año_Inicial+5,'9'!$B:$B,'12'!BJ$4,'9'!$D:$D,"Poda")</f>
        <v>0</v>
      </c>
      <c r="BL14" s="101">
        <f>((A6_A_L30*Poda_A)+(A6_B_L30*Poda_B)+(A6_C_L30*Poda_C)+(A6_D_L30*Poda_D)+(A6_Y_L30*Poda_Y))*Inflación_6</f>
        <v>0</v>
      </c>
      <c r="BM14" s="101">
        <f>SUMIFS('9'!$E:$E,'9'!$A:$A,Año_Inicial+5,'9'!$B:$B,'12'!BL$4,'9'!$D:$D,"Poda")</f>
        <v>0</v>
      </c>
      <c r="BN14" s="101">
        <f>((A6_A_L31*Poda_A)+(A6_B_L31*Poda_B)+(A6_C_L31*Poda_C)+(A6_D_L31*Poda_D)+(A6_Y_L31*Poda_Y))*Inflación_6</f>
        <v>0</v>
      </c>
      <c r="BO14" s="101">
        <f>SUMIFS('9'!$E:$E,'9'!$A:$A,Año_Inicial+5,'9'!$B:$B,'12'!BN$4,'9'!$D:$D,"Poda")</f>
        <v>0</v>
      </c>
      <c r="BP14" s="101">
        <f>((A6_A_L32*Poda_A)+(A6_B_L32*Poda_B)+(A6_C_L32*Poda_C)+(A6_D_L32*Poda_D)+(A6_Y_L32*Poda_Y))*Inflación_6</f>
        <v>0</v>
      </c>
      <c r="BQ14" s="101">
        <f>SUMIFS('9'!$E:$E,'9'!$A:$A,Año_Inicial+5,'9'!$B:$B,'12'!BP$4,'9'!$D:$D,"Poda")</f>
        <v>0</v>
      </c>
      <c r="BR14" s="101">
        <f>((A6_A_L33*Poda_A)+(A6_B_L33*Poda_B)+(A6_C_L33*Poda_C)+(A6_D_L33*Poda_D)+(A6_Y_L33*Poda_Y))*Inflación_6</f>
        <v>0</v>
      </c>
      <c r="BS14" s="101">
        <f>SUMIFS('9'!$E:$E,'9'!$A:$A,Año_Inicial+5,'9'!$B:$B,'12'!BR$4,'9'!$D:$D,"Poda")</f>
        <v>0</v>
      </c>
      <c r="BT14" s="101">
        <f>((A6_A_L34*Poda_A)+(A6_B_L34*Poda_B)+(A6_C_L34*Poda_C)+(A6_D_L34*Poda_D)+(A6_Y_L34*Poda_Y))*Inflación_6</f>
        <v>0</v>
      </c>
      <c r="BU14" s="101">
        <f>SUMIFS('9'!$E:$E,'9'!$A:$A,Año_Inicial+5,'9'!$B:$B,'12'!BT$4,'9'!$D:$D,"Poda")</f>
        <v>0</v>
      </c>
      <c r="BV14" s="101">
        <f>((A6_A_L35*Poda_A)+(A6_B_L35*Poda_B)+(A6_C_L35*Poda_C)+(A6_D_L35*Poda_D)+(A6_Y_L35*Poda_Y))*Inflación_6</f>
        <v>0</v>
      </c>
      <c r="BW14" s="101">
        <f>SUMIFS('9'!$E:$E,'9'!$A:$A,Año_Inicial+5,'9'!$B:$B,'12'!BV$4,'9'!$D:$D,"Poda")</f>
        <v>0</v>
      </c>
      <c r="BX14" s="101">
        <f>((A6_A_L36*Poda_A)+(A6_B_L36*Poda_B)+(A6_C_L36*Poda_C)+(A6_D_L36*Poda_D)+(A6_Y_L36*Poda_Y))*Inflación_6</f>
        <v>0</v>
      </c>
      <c r="BY14" s="101">
        <f>SUMIFS('9'!$E:$E,'9'!$A:$A,Año_Inicial+5,'9'!$B:$B,'12'!BX$4,'9'!$D:$D,"Poda")</f>
        <v>0</v>
      </c>
      <c r="BZ14" s="101">
        <f>((A6_A_L37*Poda_A)+(A6_B_L37*Poda_B)+(A6_C_L37*Poda_C)+(A6_D_L37*Poda_D)+(A6_Y_L37*Poda_Y))*Inflación_6</f>
        <v>0</v>
      </c>
      <c r="CA14" s="101">
        <f>SUMIFS('9'!$E:$E,'9'!$A:$A,Año_Inicial+5,'9'!$B:$B,'12'!BZ$4,'9'!$D:$D,"Poda")</f>
        <v>0</v>
      </c>
      <c r="CB14" s="101">
        <f>((A6_A_L38*Poda_A)+(A6_B_L38*Poda_B)+(A6_C_L38*Poda_C)+(A6_D_L38*Poda_D)+(A6_Y_L38*Poda_Y))*Inflación_6</f>
        <v>0</v>
      </c>
      <c r="CC14" s="101">
        <f>SUMIFS('9'!$E:$E,'9'!$A:$A,Año_Inicial+5,'9'!$B:$B,'12'!CB$4,'9'!$D:$D,"Poda")</f>
        <v>0</v>
      </c>
      <c r="CD14" s="101">
        <f>((A6_A_L39*Poda_A)+(A6_B_L39*Poda_B)+(A6_C_L39*Poda_C)+(A6_D_L39*Poda_D)+(A6_Y_L39*Poda_Y))*Inflación_6</f>
        <v>0</v>
      </c>
      <c r="CE14" s="101">
        <f>SUMIFS('9'!$E:$E,'9'!$A:$A,Año_Inicial+5,'9'!$B:$B,'12'!CD$4,'9'!$D:$D,"Poda")</f>
        <v>0</v>
      </c>
      <c r="CF14" s="101">
        <f>((A6_A_L40*Poda_A)+(A6_B_L40*Poda_B)+(A6_C_L40*Poda_C)+(A6_D_L40*Poda_D)+(A6_Y_L40*Poda_Y))*Inflación_6</f>
        <v>0</v>
      </c>
      <c r="CG14" s="101">
        <f>SUMIFS('9'!$E:$E,'9'!$A:$A,Año_Inicial+5,'9'!$B:$B,'12'!CF$4,'9'!$D:$D,"Poda")</f>
        <v>0</v>
      </c>
      <c r="CH14" s="473"/>
      <c r="CI14" s="101">
        <f>Plantas_A_A6*Poda_A*Inflación_6</f>
        <v>0</v>
      </c>
      <c r="CJ14" s="101">
        <f>Plantas_B_A6*Poda_B</f>
        <v>0</v>
      </c>
      <c r="CK14" s="101">
        <f>Plantas_C_A6*Poda_C</f>
        <v>0</v>
      </c>
      <c r="CL14" s="101">
        <f>Plantas_D_A6*Poda_D</f>
        <v>0</v>
      </c>
      <c r="CM14" s="101"/>
      <c r="CN14" s="101">
        <f>Plantas_Y_A6*Poda_Y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SUMIFS('9'!$E:$E,'9'!$A:$A,Año_Inicial+5,'9'!$D:$D,"Deshije")</f>
        <v>0</v>
      </c>
      <c r="D15" s="100">
        <f t="shared" si="45"/>
        <v>0</v>
      </c>
      <c r="E15" s="473"/>
      <c r="F15" s="101">
        <f>((A6_A_L1*Deshije_A)+(A6_B_L1*Deshije_B)+(A6_C_L1*Deshije_C)+(A6_D_L1*Deshije_D)+(A6_Y_L1*Deshije_Y))*Inflación_6</f>
        <v>0</v>
      </c>
      <c r="G15" s="101">
        <f>SUMIFS('9'!$E:$E,'9'!$A:$A,Año_Inicial+5,'9'!$B:$B,'12'!F$4,'9'!$D:$D,"Deshije")</f>
        <v>0</v>
      </c>
      <c r="H15" s="101">
        <f>((A6_A_L2*Deshije_A)+(A6_B_L2*Deshije_B)+(A6_C_L2*Deshije_C)+(A6_D_L2*Deshije_D)+(A6_Y_L2*Deshije_Y))*Inflación_6</f>
        <v>0</v>
      </c>
      <c r="I15" s="101">
        <f>SUMIFS('9'!$E:$E,'9'!$A:$A,Año_Inicial+5,'9'!$B:$B,'12'!H$4,'9'!$D:$D,"Deshije")</f>
        <v>0</v>
      </c>
      <c r="J15" s="101">
        <f>((A6_A_L3*Deshije_A)+(A6_B_L3*Deshije_B)+(A6_C_L3*Deshije_C)+(A6_D_L3*Deshije_D)+(A6_Y_L3*Deshije_Y))*Inflación_6</f>
        <v>0</v>
      </c>
      <c r="K15" s="101">
        <f>SUMIFS('9'!$E:$E,'9'!$A:$A,Año_Inicial+5,'9'!$B:$B,'12'!J$4,'9'!$D:$D,"Deshije")</f>
        <v>0</v>
      </c>
      <c r="L15" s="101">
        <f>((A6_A_L4*Deshije_A)+(A6_B_L4*Deshije_B)+(A6_C_L4*Deshije_C)+(A6_D_L4*Deshije_D)+(A6_Y_L4*Deshije_Y))*Inflación_6</f>
        <v>0</v>
      </c>
      <c r="M15" s="101">
        <f>SUMIFS('9'!$E:$E,'9'!$A:$A,Año_Inicial+5,'9'!$B:$B,'12'!L$4,'9'!$D:$D,"Deshije")</f>
        <v>0</v>
      </c>
      <c r="N15" s="101">
        <f>((A6_A_L5*Deshije_A)+(A6_B_L5*Deshije_B)+(A6_C_L5*Deshije_C)+(A6_D_L5*Deshije_D)+(A6_Y_L5*Deshije_Y))*Inflación_6</f>
        <v>0</v>
      </c>
      <c r="O15" s="101">
        <f>SUMIFS('9'!$E:$E,'9'!$A:$A,Año_Inicial+5,'9'!$B:$B,'12'!N$4,'9'!$D:$D,"Deshije")</f>
        <v>0</v>
      </c>
      <c r="P15" s="101">
        <f>((A6_A_L6*Deshije_A)+(A6_B_L6*Deshije_B)+(A6_C_L6*Deshije_C)+(A6_D_L6*Deshije_D)+(A6_Y_L6*Deshije_Y))*Inflación_6</f>
        <v>0</v>
      </c>
      <c r="Q15" s="101">
        <f>SUMIFS('9'!$E:$E,'9'!$A:$A,Año_Inicial+5,'9'!$B:$B,'12'!P$4,'9'!$D:$D,"Deshije")</f>
        <v>0</v>
      </c>
      <c r="R15" s="101">
        <f>((A6_A_L7*Deshije_A)+(A6_B_L7*Deshije_B)+(A6_C_L7*Deshije_C)+(A6_D_L7*Deshije_D)+(A6_Y_L7*Deshije_Y))*Inflación_6</f>
        <v>0</v>
      </c>
      <c r="S15" s="101">
        <f>SUMIFS('9'!$E:$E,'9'!$A:$A,Año_Inicial+5,'9'!$B:$B,'12'!R$4,'9'!$D:$D,"Deshije")</f>
        <v>0</v>
      </c>
      <c r="T15" s="101">
        <f>((A6_A_L8*Deshije_A)+(A6_B_L8*Deshije_B)+(A6_C_L8*Deshije_C)+(A6_D_L8*Deshije_D)+(A6_Y_L8*Deshije_Y))*Inflación_6</f>
        <v>0</v>
      </c>
      <c r="U15" s="101">
        <f>SUMIFS('9'!$E:$E,'9'!$A:$A,Año_Inicial+5,'9'!$B:$B,'12'!T$4,'9'!$D:$D,"Deshije")</f>
        <v>0</v>
      </c>
      <c r="V15" s="101">
        <f>((A6_A_L9*Deshije_A)+(A6_B_L9*Deshije_B)+(A6_C_L9*Deshije_C)+(A6_D_L9*Deshije_D)+(A6_Y_L9*Deshije_Y))*Inflación_6</f>
        <v>0</v>
      </c>
      <c r="W15" s="101">
        <f>SUMIFS('9'!$E:$E,'9'!$A:$A,Año_Inicial+5,'9'!$B:$B,'12'!V$4,'9'!$D:$D,"Deshije")</f>
        <v>0</v>
      </c>
      <c r="X15" s="101">
        <f>((A6_A_L10*Deshije_A)+(A6_B_L10*Deshije_B)+(A6_C_L10*Deshije_C)+(A6_D_L10*Deshije_D)+(A6_Y_L10*Deshije_Y))*Inflación_6</f>
        <v>0</v>
      </c>
      <c r="Y15" s="101">
        <f>SUMIFS('9'!$E:$E,'9'!$A:$A,Año_Inicial+5,'9'!$B:$B,'12'!X$4,'9'!$D:$D,"Deshije")</f>
        <v>0</v>
      </c>
      <c r="Z15" s="101">
        <f>((A6_A_L11*Deshije_A)+(A6_B_L11*Deshije_B)+(A6_C_L11*Deshije_C)+(A6_D_L11*Deshije_D)+(A6_Y_L11*Deshije_Y))*Inflación_6</f>
        <v>0</v>
      </c>
      <c r="AA15" s="101">
        <f>SUMIFS('9'!$E:$E,'9'!$A:$A,Año_Inicial+5,'9'!$B:$B,'12'!Z$4,'9'!$D:$D,"Deshije")</f>
        <v>0</v>
      </c>
      <c r="AB15" s="101">
        <f>((A6_A_L12*Deshije_A)+(A6_B_L12*Deshije_B)+(A6_C_L12*Deshije_C)+(A6_D_L12*Deshije_D)+(A6_Y_L12*Deshije_Y))*Inflación_6</f>
        <v>0</v>
      </c>
      <c r="AC15" s="101">
        <f>SUMIFS('9'!$E:$E,'9'!$A:$A,Año_Inicial+5,'9'!$B:$B,'12'!AB$4,'9'!$D:$D,"Deshije")</f>
        <v>0</v>
      </c>
      <c r="AD15" s="101">
        <f>((A6_A_L13*Deshije_A)+(A6_B_L13*Deshije_B)+(A6_C_L13*Deshije_C)+(A6_D_L13*Deshije_D)+(A6_Y_L13*Deshije_Y))*Inflación_6</f>
        <v>0</v>
      </c>
      <c r="AE15" s="101">
        <f>SUMIFS('9'!$E:$E,'9'!$A:$A,Año_Inicial+5,'9'!$B:$B,'12'!AD$4,'9'!$D:$D,"Deshije")</f>
        <v>0</v>
      </c>
      <c r="AF15" s="101">
        <f>((A6_A_L14*Deshije_A)+(A6_B_L14*Deshije_B)+(A6_C_L14*Deshije_C)+(A6_D_L14*Deshije_D)+(A6_Y_L14*Deshije_Y))*Inflación_6</f>
        <v>0</v>
      </c>
      <c r="AG15" s="101">
        <f>SUMIFS('9'!$E:$E,'9'!$A:$A,Año_Inicial+5,'9'!$B:$B,'12'!AF$4,'9'!$D:$D,"Deshije")</f>
        <v>0</v>
      </c>
      <c r="AH15" s="101">
        <f>((A6_A_L15*Deshije_A)+(A6_B_L15*Deshije_B)+(A6_C_L15*Deshije_C)+(A6_D_L15*Deshije_D)+(A6_Y_L15*Deshije_Y))*Inflación_6</f>
        <v>0</v>
      </c>
      <c r="AI15" s="101">
        <f>SUMIFS('9'!$E:$E,'9'!$A:$A,Año_Inicial+5,'9'!$B:$B,'12'!AH$4,'9'!$D:$D,"Deshije")</f>
        <v>0</v>
      </c>
      <c r="AJ15" s="101">
        <f>((A6_A_L16*Deshije_A)+(A6_B_L16*Deshije_B)+(A6_C_L16*Deshije_C)+(A6_D_L16*Deshije_D)+(A6_Y_L16*Deshije_Y))*Inflación_6</f>
        <v>0</v>
      </c>
      <c r="AK15" s="101">
        <f>SUMIFS('9'!$E:$E,'9'!$A:$A,Año_Inicial+5,'9'!$B:$B,'12'!AJ$4,'9'!$D:$D,"Deshije")</f>
        <v>0</v>
      </c>
      <c r="AL15" s="101">
        <f>((A6_A_L17*Deshije_A)+(A6_B_L17*Deshije_B)+(A6_C_L17*Deshije_C)+(A6_D_L17*Deshije_D)+(A6_Y_L17*Deshije_Y))*Inflación_6</f>
        <v>0</v>
      </c>
      <c r="AM15" s="101">
        <f>SUMIFS('9'!$E:$E,'9'!$A:$A,Año_Inicial+5,'9'!$B:$B,'12'!AL$4,'9'!$D:$D,"Deshije")</f>
        <v>0</v>
      </c>
      <c r="AN15" s="101">
        <f>((A6_A_L18*Deshije_A)+(A6_B_L18*Deshije_B)+(A6_C_L18*Deshije_C)+(A6_D_L18*Deshije_D)+(A6_Y_L18*Deshije_Y))*Inflación_6</f>
        <v>0</v>
      </c>
      <c r="AO15" s="101">
        <f>SUMIFS('9'!$E:$E,'9'!$A:$A,Año_Inicial+5,'9'!$B:$B,'12'!AN$4,'9'!$D:$D,"Deshije")</f>
        <v>0</v>
      </c>
      <c r="AP15" s="101">
        <f>((A6_A_L19*Deshije_A)+(A6_B_L19*Deshije_B)+(A6_C_L19*Deshije_C)+(A6_D_L19*Deshije_D)+(A6_Y_L19*Deshije_Y))*Inflación_6</f>
        <v>0</v>
      </c>
      <c r="AQ15" s="101">
        <f>SUMIFS('9'!$E:$E,'9'!$A:$A,Año_Inicial+5,'9'!$B:$B,'12'!AP$4,'9'!$D:$D,"Deshije")</f>
        <v>0</v>
      </c>
      <c r="AR15" s="101">
        <f>((A6_A_L20*Deshije_A)+(A6_B_L20*Deshije_B)+(A6_C_L20*Deshije_C)+(A6_D_L20*Deshije_D)+(A6_Y_L20*Deshije_Y))*Inflación_6</f>
        <v>0</v>
      </c>
      <c r="AS15" s="101">
        <f>SUMIFS('9'!$E:$E,'9'!$A:$A,Año_Inicial+5,'9'!$B:$B,'12'!AR$4,'9'!$D:$D,"Deshije")</f>
        <v>0</v>
      </c>
      <c r="AT15" s="101">
        <f>((A6_A_L21*Deshije_A)+(A6_B_L21*Deshije_B)+(A6_C_L21*Deshije_C)+(A6_D_L21*Deshije_D)+(A6_Y_L21*Deshije_Y))*Inflación_6</f>
        <v>0</v>
      </c>
      <c r="AU15" s="101">
        <f>SUMIFS('9'!$E:$E,'9'!$A:$A,Año_Inicial+5,'9'!$B:$B,'12'!AT$4,'9'!$D:$D,"Deshije")</f>
        <v>0</v>
      </c>
      <c r="AV15" s="101">
        <f>((A6_A_L22*Deshije_A)+(A6_B_L22*Deshije_B)+(A6_C_L22*Deshije_C)+(A6_D_L22*Deshije_D)+(A6_Y_L22*Deshije_Y))*Inflación_6</f>
        <v>0</v>
      </c>
      <c r="AW15" s="101">
        <f>SUMIFS('9'!$E:$E,'9'!$A:$A,Año_Inicial+5,'9'!$B:$B,'12'!AV$4,'9'!$D:$D,"Deshije")</f>
        <v>0</v>
      </c>
      <c r="AX15" s="101">
        <f>((A6_A_L23*Deshije_A)+(A6_B_L23*Deshije_B)+(A6_C_L23*Deshije_C)+(A6_D_L23*Deshije_D)+(A6_Y_L23*Deshije_Y))*Inflación_6</f>
        <v>0</v>
      </c>
      <c r="AY15" s="101">
        <f>SUMIFS('9'!$E:$E,'9'!$A:$A,Año_Inicial+5,'9'!$B:$B,'12'!AX$4,'9'!$D:$D,"Deshije")</f>
        <v>0</v>
      </c>
      <c r="AZ15" s="101">
        <f>((A6_A_L24*Deshije_A)+(A6_B_L24*Deshije_B)+(A6_C_L24*Deshije_C)+(A6_D_L24*Deshije_D)+(A6_Y_L24*Deshije_Y))*Inflación_6</f>
        <v>0</v>
      </c>
      <c r="BA15" s="101">
        <f>SUMIFS('9'!$E:$E,'9'!$A:$A,Año_Inicial+5,'9'!$B:$B,'12'!AZ$4,'9'!$D:$D,"Deshije")</f>
        <v>0</v>
      </c>
      <c r="BB15" s="101">
        <f>((A6_A_L25*Deshije_A)+(A6_B_L25*Deshije_B)+(A6_C_L25*Deshije_C)+(A6_D_L25*Deshije_D)+(A6_Y_L25*Deshije_Y))*Inflación_6</f>
        <v>0</v>
      </c>
      <c r="BC15" s="101">
        <f>SUMIFS('9'!$E:$E,'9'!$A:$A,Año_Inicial+5,'9'!$B:$B,'12'!BB$4,'9'!$D:$D,"Deshije")</f>
        <v>0</v>
      </c>
      <c r="BD15" s="101">
        <f>((A6_A_L26*Deshije_A)+(A6_B_L26*Deshije_B)+(A6_C_L26*Deshije_C)+(A6_D_L26*Deshije_D)+(A6_Y_L26*Deshije_Y))*Inflación_6</f>
        <v>0</v>
      </c>
      <c r="BE15" s="101">
        <f>SUMIFS('9'!$E:$E,'9'!$A:$A,Año_Inicial+5,'9'!$B:$B,'12'!BD$4,'9'!$D:$D,"Deshije")</f>
        <v>0</v>
      </c>
      <c r="BF15" s="101">
        <f>((A6_A_L27*Deshije_A)+(A6_B_L27*Deshije_B)+(A6_C_L27*Deshije_C)+(A6_D_L27*Deshije_D)+(A6_Y_L27*Deshije_Y))*Inflación_6</f>
        <v>0</v>
      </c>
      <c r="BG15" s="101">
        <f>SUMIFS('9'!$E:$E,'9'!$A:$A,Año_Inicial+5,'9'!$B:$B,'12'!BF$4,'9'!$D:$D,"Deshije")</f>
        <v>0</v>
      </c>
      <c r="BH15" s="101">
        <f>((A6_A_L28*Deshije_A)+(A6_B_L28*Deshije_B)+(A6_C_L28*Deshije_C)+(A6_D_L28*Deshije_D)+(A6_Y_L28*Deshije_Y))*Inflación_6</f>
        <v>0</v>
      </c>
      <c r="BI15" s="101">
        <f>SUMIFS('9'!$E:$E,'9'!$A:$A,Año_Inicial+5,'9'!$B:$B,'12'!BH$4,'9'!$D:$D,"Deshije")</f>
        <v>0</v>
      </c>
      <c r="BJ15" s="101">
        <f>((A6_A_L29*Deshije_A)+(A6_B_L29*Deshije_B)+(A6_C_L29*Deshije_C)+(A6_D_L29*Deshije_D)+(A6_Y_L29*Deshije_Y))*Inflación_6</f>
        <v>0</v>
      </c>
      <c r="BK15" s="101">
        <f>SUMIFS('9'!$E:$E,'9'!$A:$A,Año_Inicial+5,'9'!$B:$B,'12'!BJ$4,'9'!$D:$D,"Deshije")</f>
        <v>0</v>
      </c>
      <c r="BL15" s="101">
        <f>((A6_A_L30*Deshije_A)+(A6_B_L30*Deshije_B)+(A6_C_L30*Deshije_C)+(A6_D_L30*Deshije_D)+(A6_Y_L30*Deshije_Y))*Inflación_6</f>
        <v>0</v>
      </c>
      <c r="BM15" s="101">
        <f>SUMIFS('9'!$E:$E,'9'!$A:$A,Año_Inicial+5,'9'!$B:$B,'12'!BL$4,'9'!$D:$D,"Deshije")</f>
        <v>0</v>
      </c>
      <c r="BN15" s="101">
        <f>((A6_A_L31*Deshije_A)+(A6_B_L31*Deshije_B)+(A6_C_L31*Deshije_C)+(A6_D_L31*Deshije_D)+(A6_Y_L31*Deshije_Y))*Inflación_6</f>
        <v>0</v>
      </c>
      <c r="BO15" s="101">
        <f>SUMIFS('9'!$E:$E,'9'!$A:$A,Año_Inicial+5,'9'!$B:$B,'12'!BN$4,'9'!$D:$D,"Deshije")</f>
        <v>0</v>
      </c>
      <c r="BP15" s="101">
        <f>((A6_A_L32*Deshije_A)+(A6_B_L32*Deshije_B)+(A6_C_L32*Deshije_C)+(A6_D_L32*Deshije_D)+(A6_Y_L32*Deshije_Y))*Inflación_6</f>
        <v>0</v>
      </c>
      <c r="BQ15" s="101">
        <f>SUMIFS('9'!$E:$E,'9'!$A:$A,Año_Inicial+5,'9'!$B:$B,'12'!BP$4,'9'!$D:$D,"Deshije")</f>
        <v>0</v>
      </c>
      <c r="BR15" s="101">
        <f>((A6_A_L33*Deshije_A)+(A6_B_L33*Deshije_B)+(A6_C_L33*Deshije_C)+(A6_D_L33*Deshije_D)+(A6_Y_L33*Deshije_Y))*Inflación_6</f>
        <v>0</v>
      </c>
      <c r="BS15" s="101">
        <f>SUMIFS('9'!$E:$E,'9'!$A:$A,Año_Inicial+5,'9'!$B:$B,'12'!BR$4,'9'!$D:$D,"Deshije")</f>
        <v>0</v>
      </c>
      <c r="BT15" s="101">
        <f>((A6_A_L34*Deshije_A)+(A6_B_L34*Deshije_B)+(A6_C_L34*Deshije_C)+(A6_D_L34*Deshije_D)+(A6_Y_L34*Deshije_Y))*Inflación_6</f>
        <v>0</v>
      </c>
      <c r="BU15" s="101">
        <f>SUMIFS('9'!$E:$E,'9'!$A:$A,Año_Inicial+5,'9'!$B:$B,'12'!BT$4,'9'!$D:$D,"Deshije")</f>
        <v>0</v>
      </c>
      <c r="BV15" s="101">
        <f>((A6_A_L35*Deshije_A)+(A6_B_L35*Deshije_B)+(A6_C_L35*Deshije_C)+(A6_D_L35*Deshije_D)+(A6_Y_L35*Deshije_Y))*Inflación_6</f>
        <v>0</v>
      </c>
      <c r="BW15" s="101">
        <f>SUMIFS('9'!$E:$E,'9'!$A:$A,Año_Inicial+5,'9'!$B:$B,'12'!BV$4,'9'!$D:$D,"Deshije")</f>
        <v>0</v>
      </c>
      <c r="BX15" s="101">
        <f>((A6_A_L36*Deshije_A)+(A6_B_L36*Deshije_B)+(A6_C_L36*Deshije_C)+(A6_D_L36*Deshije_D)+(A6_Y_L36*Deshije_Y))*Inflación_6</f>
        <v>0</v>
      </c>
      <c r="BY15" s="101">
        <f>SUMIFS('9'!$E:$E,'9'!$A:$A,Año_Inicial+5,'9'!$B:$B,'12'!BX$4,'9'!$D:$D,"Deshije")</f>
        <v>0</v>
      </c>
      <c r="BZ15" s="101">
        <f>((A6_A_L37*Deshije_A)+(A6_B_L37*Deshije_B)+(A6_C_L37*Deshije_C)+(A6_D_L37*Deshije_D)+(A6_Y_L37*Deshije_Y))*Inflación_6</f>
        <v>0</v>
      </c>
      <c r="CA15" s="101">
        <f>SUMIFS('9'!$E:$E,'9'!$A:$A,Año_Inicial+5,'9'!$B:$B,'12'!BZ$4,'9'!$D:$D,"Deshije")</f>
        <v>0</v>
      </c>
      <c r="CB15" s="101">
        <f>((A6_A_L38*Deshije_A)+(A6_B_L38*Deshije_B)+(A6_C_L38*Deshije_C)+(A6_D_L38*Deshije_D)+(A6_Y_L38*Deshije_Y))*Inflación_6</f>
        <v>0</v>
      </c>
      <c r="CC15" s="101">
        <f>SUMIFS('9'!$E:$E,'9'!$A:$A,Año_Inicial+5,'9'!$B:$B,'12'!CB$4,'9'!$D:$D,"Deshije")</f>
        <v>0</v>
      </c>
      <c r="CD15" s="101">
        <f>((A6_A_L39*Deshije_A)+(A6_B_L39*Deshije_B)+(A6_C_L39*Deshije_C)+(A6_D_L39*Deshije_D)+(A6_Y_L39*Deshije_Y))*Inflación_6</f>
        <v>0</v>
      </c>
      <c r="CE15" s="101">
        <f>SUMIFS('9'!$E:$E,'9'!$A:$A,Año_Inicial+5,'9'!$B:$B,'12'!CD$4,'9'!$D:$D,"Deshije")</f>
        <v>0</v>
      </c>
      <c r="CF15" s="101">
        <f>((A6_A_L40*Deshije_A)+(A6_B_L40*Deshije_B)+(A6_C_L40*Deshije_C)+(A6_D_L40*Deshije_D)+(A6_Y_L40*Deshije_Y))*Inflación_6</f>
        <v>0</v>
      </c>
      <c r="CG15" s="101">
        <f>SUMIFS('9'!$E:$E,'9'!$A:$A,Año_Inicial+5,'9'!$B:$B,'12'!CF$4,'9'!$D:$D,"Deshije")</f>
        <v>0</v>
      </c>
      <c r="CH15" s="473"/>
      <c r="CI15" s="101">
        <f>Plantas_A_A6*Deshije_A*Inflación_6</f>
        <v>0</v>
      </c>
      <c r="CJ15" s="101">
        <f>Plantas_B_A6*Deshije_B</f>
        <v>0</v>
      </c>
      <c r="CK15" s="101">
        <f>Plantas_C_A6*Deshije_C</f>
        <v>0</v>
      </c>
      <c r="CL15" s="101">
        <f>Plantas_D_A6*Deshije_D</f>
        <v>0</v>
      </c>
      <c r="CM15" s="101"/>
      <c r="CN15" s="101">
        <f>Plantas_Y_A6*Deshije_Y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SUMIFS('9'!$E:$E,'9'!$A:$A,Año_Inicial+5,'9'!$D:$D,"Aplicación de fertilizante")</f>
        <v>0</v>
      </c>
      <c r="D17" s="100">
        <f t="shared" si="45"/>
        <v>0</v>
      </c>
      <c r="E17" s="473"/>
      <c r="F17" s="101">
        <f>((A6_A_L1*Nutrición_A)+(A6_B_L1*Nutrición_B)+(A6_C_L1*Nutrición_C)+(A6_D_L1*Nutrición_D)+(A6_Y_L1*Nutrición_Y))*Inflación_6</f>
        <v>0</v>
      </c>
      <c r="G17" s="101">
        <f>SUMIFS('9'!$E:$E,'9'!$A:$A,Año_Inicial+5,'9'!$B:$B,'12'!F$4,'9'!$D:$D,"Aplicación de fertilizante")</f>
        <v>0</v>
      </c>
      <c r="H17" s="101">
        <f>((A6_A_L2*Nutrición_A)+(A6_B_L2*Nutrición_B)+(A6_C_L2*Nutrición_C)+(A6_D_L2*Nutrición_D)+(A6_Y_L2*Nutrición_Y))*Inflación_6</f>
        <v>0</v>
      </c>
      <c r="I17" s="101">
        <f>SUMIFS('9'!$E:$E,'9'!$A:$A,Año_Inicial+5,'9'!$B:$B,'12'!H$4,'9'!$D:$D,"Aplicación de fertilizante")</f>
        <v>0</v>
      </c>
      <c r="J17" s="101">
        <f>((A6_A_L3*Nutrición_A)+(A6_B_L3*Nutrición_B)+(A6_C_L3*Nutrición_C)+(A6_D_L3*Nutrición_D)+(A6_Y_L3*Nutrición_Y))*Inflación_6</f>
        <v>0</v>
      </c>
      <c r="K17" s="101">
        <f>SUMIFS('9'!$E:$E,'9'!$A:$A,Año_Inicial+5,'9'!$B:$B,'12'!J$4,'9'!$D:$D,"Aplicación de fertilizante")</f>
        <v>0</v>
      </c>
      <c r="L17" s="101">
        <f>((A6_A_L4*Nutrición_A)+(A6_B_L4*Nutrición_B)+(A6_C_L4*Nutrición_C)+(A6_D_L4*Nutrición_D)+(A6_Y_L4*Nutrición_Y))*Inflación_6</f>
        <v>0</v>
      </c>
      <c r="M17" s="101">
        <f>SUMIFS('9'!$E:$E,'9'!$A:$A,Año_Inicial+5,'9'!$B:$B,'12'!L$4,'9'!$D:$D,"Aplicación de fertilizante")</f>
        <v>0</v>
      </c>
      <c r="N17" s="101">
        <f>((A6_A_L5*Nutrición_A)+(A6_B_L5*Nutrición_B)+(A6_C_L5*Nutrición_C)+(A6_D_L5*Nutrición_D)+(A6_Y_L5*Nutrición_Y))*Inflación_6</f>
        <v>0</v>
      </c>
      <c r="O17" s="101">
        <f>SUMIFS('9'!$E:$E,'9'!$A:$A,Año_Inicial+5,'9'!$B:$B,'12'!N$4,'9'!$D:$D,"Aplicación de fertilizante")</f>
        <v>0</v>
      </c>
      <c r="P17" s="101">
        <f>((A6_A_L6*Nutrición_A)+(A6_B_L6*Nutrición_B)+(A6_C_L6*Nutrición_C)+(A6_D_L6*Nutrición_D)+(A6_Y_L6*Nutrición_Y))*Inflación_6</f>
        <v>0</v>
      </c>
      <c r="Q17" s="101">
        <f>SUMIFS('9'!$E:$E,'9'!$A:$A,Año_Inicial+5,'9'!$B:$B,'12'!P$4,'9'!$D:$D,"Aplicación de fertilizante")</f>
        <v>0</v>
      </c>
      <c r="R17" s="101">
        <f>((A6_A_L7*Nutrición_A)+(A6_B_L7*Nutrición_B)+(A6_C_L7*Nutrición_C)+(A6_D_L7*Nutrición_D)+(A6_Y_L7*Nutrición_Y))*Inflación_6</f>
        <v>0</v>
      </c>
      <c r="S17" s="101">
        <f>SUMIFS('9'!$E:$E,'9'!$A:$A,Año_Inicial+5,'9'!$B:$B,'12'!R$4,'9'!$D:$D,"Aplicación de fertilizante")</f>
        <v>0</v>
      </c>
      <c r="T17" s="101">
        <f>((A6_A_L8*Nutrición_A)+(A6_B_L8*Nutrición_B)+(A6_C_L8*Nutrición_C)+(A6_D_L8*Nutrición_D)+(A6_Y_L8*Nutrición_Y))*Inflación_6</f>
        <v>0</v>
      </c>
      <c r="U17" s="101">
        <f>SUMIFS('9'!$E:$E,'9'!$A:$A,Año_Inicial+5,'9'!$B:$B,'12'!T$4,'9'!$D:$D,"Aplicación de fertilizante")</f>
        <v>0</v>
      </c>
      <c r="V17" s="101">
        <f>((A6_A_L9*Nutrición_A)+(A6_B_L9*Nutrición_B)+(A6_C_L9*Nutrición_C)+(A6_D_L9*Nutrición_D)+(A6_Y_L9*Nutrición_Y))*Inflación_6</f>
        <v>0</v>
      </c>
      <c r="W17" s="101">
        <f>SUMIFS('9'!$E:$E,'9'!$A:$A,Año_Inicial+5,'9'!$B:$B,'12'!V$4,'9'!$D:$D,"Aplicación de fertilizante")</f>
        <v>0</v>
      </c>
      <c r="X17" s="101">
        <f>((A6_A_L10*Nutrición_A)+(A6_B_L10*Nutrición_B)+(A6_C_L10*Nutrición_C)+(A6_D_L10*Nutrición_D)+(A6_Y_L10*Nutrición_Y))*Inflación_6</f>
        <v>0</v>
      </c>
      <c r="Y17" s="101">
        <f>SUMIFS('9'!$E:$E,'9'!$A:$A,Año_Inicial+5,'9'!$B:$B,'12'!X$4,'9'!$D:$D,"Aplicación de fertilizante")</f>
        <v>0</v>
      </c>
      <c r="Z17" s="101">
        <f>((A6_A_L11*Nutrición_A)+(A6_B_L11*Nutrición_B)+(A6_C_L11*Nutrición_C)+(A6_D_L11*Nutrición_D)+(A6_Y_L11*Nutrición_Y))*Inflación_6</f>
        <v>0</v>
      </c>
      <c r="AA17" s="101">
        <f>SUMIFS('9'!$E:$E,'9'!$A:$A,Año_Inicial+5,'9'!$B:$B,'12'!Z$4,'9'!$D:$D,"Aplicación de fertilizante")</f>
        <v>0</v>
      </c>
      <c r="AB17" s="101">
        <f>((A6_A_L12*Nutrición_A)+(A6_B_L12*Nutrición_B)+(A6_C_L12*Nutrición_C)+(A6_D_L12*Nutrición_D)+(A6_Y_L12*Nutrición_Y))*Inflación_6</f>
        <v>0</v>
      </c>
      <c r="AC17" s="101">
        <f>SUMIFS('9'!$E:$E,'9'!$A:$A,Año_Inicial+5,'9'!$B:$B,'12'!AB$4,'9'!$D:$D,"Aplicación de fertilizante")</f>
        <v>0</v>
      </c>
      <c r="AD17" s="101">
        <f>((A6_A_L13*Nutrición_A)+(A6_B_L13*Nutrición_B)+(A6_C_L13*Nutrición_C)+(A6_D_L13*Nutrición_D)+(A6_Y_L13*Nutrición_Y))*Inflación_6</f>
        <v>0</v>
      </c>
      <c r="AE17" s="101">
        <f>SUMIFS('9'!$E:$E,'9'!$A:$A,Año_Inicial+5,'9'!$B:$B,'12'!AD$4,'9'!$D:$D,"Aplicación de fertilizante")</f>
        <v>0</v>
      </c>
      <c r="AF17" s="101">
        <f>((A6_A_L14*Nutrición_A)+(A6_B_L14*Nutrición_B)+(A6_C_L14*Nutrición_C)+(A6_D_L14*Nutrición_D)+(A6_Y_L14*Nutrición_Y))*Inflación_6</f>
        <v>0</v>
      </c>
      <c r="AG17" s="101">
        <f>SUMIFS('9'!$E:$E,'9'!$A:$A,Año_Inicial+5,'9'!$B:$B,'12'!AF$4,'9'!$D:$D,"Aplicación de fertilizante")</f>
        <v>0</v>
      </c>
      <c r="AH17" s="101">
        <f>((A6_A_L15*Nutrición_A)+(A6_B_L15*Nutrición_B)+(A6_C_L15*Nutrición_C)+(A6_D_L15*Nutrición_D)+(A6_Y_L15*Nutrición_Y))*Inflación_6</f>
        <v>0</v>
      </c>
      <c r="AI17" s="101">
        <f>SUMIFS('9'!$E:$E,'9'!$A:$A,Año_Inicial+5,'9'!$B:$B,'12'!AH$4,'9'!$D:$D,"Aplicación de fertilizante")</f>
        <v>0</v>
      </c>
      <c r="AJ17" s="101">
        <f>((A6_A_L16*Nutrición_A)+(A6_B_L16*Nutrición_B)+(A6_C_L16*Nutrición_C)+(A6_D_L16*Nutrición_D)+(A6_Y_L16*Nutrición_Y))*Inflación_6</f>
        <v>0</v>
      </c>
      <c r="AK17" s="101">
        <f>SUMIFS('9'!$E:$E,'9'!$A:$A,Año_Inicial+5,'9'!$B:$B,'12'!AJ$4,'9'!$D:$D,"Aplicación de fertilizante")</f>
        <v>0</v>
      </c>
      <c r="AL17" s="101">
        <f>((A6_A_L17*Nutrición_A)+(A6_B_L17*Nutrición_B)+(A6_C_L17*Nutrición_C)+(A6_D_L17*Nutrición_D)+(A6_Y_L17*Nutrición_Y))*Inflación_6</f>
        <v>0</v>
      </c>
      <c r="AM17" s="101">
        <f>SUMIFS('9'!$E:$E,'9'!$A:$A,Año_Inicial+5,'9'!$B:$B,'12'!AL$4,'9'!$D:$D,"Aplicación de fertilizante")</f>
        <v>0</v>
      </c>
      <c r="AN17" s="101">
        <f>((A6_A_L18*Nutrición_A)+(A6_B_L18*Nutrición_B)+(A6_C_L18*Nutrición_C)+(A6_D_L18*Nutrición_D)+(A6_Y_L18*Nutrición_Y))*Inflación_6</f>
        <v>0</v>
      </c>
      <c r="AO17" s="101">
        <f>SUMIFS('9'!$E:$E,'9'!$A:$A,Año_Inicial+5,'9'!$B:$B,'12'!AN$4,'9'!$D:$D,"Aplicación de fertilizante")</f>
        <v>0</v>
      </c>
      <c r="AP17" s="101">
        <f>((A6_A_L19*Nutrición_A)+(A6_B_L19*Nutrición_B)+(A6_C_L19*Nutrición_C)+(A6_D_L19*Nutrición_D)+(A6_Y_L19*Nutrición_Y))*Inflación_6</f>
        <v>0</v>
      </c>
      <c r="AQ17" s="101">
        <f>SUMIFS('9'!$E:$E,'9'!$A:$A,Año_Inicial+5,'9'!$B:$B,'12'!AP$4,'9'!$D:$D,"Aplicación de fertilizante")</f>
        <v>0</v>
      </c>
      <c r="AR17" s="101">
        <f>((A6_A_L20*Nutrición_A)+(A6_B_L20*Nutrición_B)+(A6_C_L20*Nutrición_C)+(A6_D_L20*Nutrición_D)+(A6_Y_L20*Nutrición_Y))*Inflación_6</f>
        <v>0</v>
      </c>
      <c r="AS17" s="101">
        <f>SUMIFS('9'!$E:$E,'9'!$A:$A,Año_Inicial+5,'9'!$B:$B,'12'!AR$4,'9'!$D:$D,"Aplicación de fertilizante")</f>
        <v>0</v>
      </c>
      <c r="AT17" s="101">
        <f>((A6_A_L21*Nutrición_A)+(A6_B_L21*Nutrición_B)+(A6_C_L21*Nutrición_C)+(A6_D_L21*Nutrición_D)+(A6_Y_L21*Nutrición_Y))*Inflación_6</f>
        <v>0</v>
      </c>
      <c r="AU17" s="101">
        <f>SUMIFS('9'!$E:$E,'9'!$A:$A,Año_Inicial+5,'9'!$B:$B,'12'!AT$4,'9'!$D:$D,"Aplicación de fertilizante")</f>
        <v>0</v>
      </c>
      <c r="AV17" s="101">
        <f>((A6_A_L22*Nutrición_A)+(A6_B_L22*Nutrición_B)+(A6_C_L22*Nutrición_C)+(A6_D_L22*Nutrición_D)+(A6_Y_L22*Nutrición_Y))*Inflación_6</f>
        <v>0</v>
      </c>
      <c r="AW17" s="101">
        <f>SUMIFS('9'!$E:$E,'9'!$A:$A,Año_Inicial+5,'9'!$B:$B,'12'!AV$4,'9'!$D:$D,"Aplicación de fertilizante")</f>
        <v>0</v>
      </c>
      <c r="AX17" s="101">
        <f>((A6_A_L23*Nutrición_A)+(A6_B_L23*Nutrición_B)+(A6_C_L23*Nutrición_C)+(A6_D_L23*Nutrición_D)+(A6_Y_L23*Nutrición_Y))*Inflación_6</f>
        <v>0</v>
      </c>
      <c r="AY17" s="101">
        <f>SUMIFS('9'!$E:$E,'9'!$A:$A,Año_Inicial+5,'9'!$B:$B,'12'!AX$4,'9'!$D:$D,"Aplicación de fertilizante")</f>
        <v>0</v>
      </c>
      <c r="AZ17" s="101">
        <f>((A6_A_L24*Nutrición_A)+(A6_B_L24*Nutrición_B)+(A6_C_L24*Nutrición_C)+(A6_D_L24*Nutrición_D)+(A6_Y_L24*Nutrición_Y))*Inflación_6</f>
        <v>0</v>
      </c>
      <c r="BA17" s="101">
        <f>SUMIFS('9'!$E:$E,'9'!$A:$A,Año_Inicial+5,'9'!$B:$B,'12'!AZ$4,'9'!$D:$D,"Aplicación de fertilizante")</f>
        <v>0</v>
      </c>
      <c r="BB17" s="101">
        <f>((A6_A_L25*Nutrición_A)+(A6_B_L25*Nutrición_B)+(A6_C_L25*Nutrición_C)+(A6_D_L25*Nutrición_D)+(A6_Y_L25*Nutrición_Y))*Inflación_6</f>
        <v>0</v>
      </c>
      <c r="BC17" s="101">
        <f>SUMIFS('9'!$E:$E,'9'!$A:$A,Año_Inicial+5,'9'!$B:$B,'12'!BB$4,'9'!$D:$D,"Aplicación de fertilizante")</f>
        <v>0</v>
      </c>
      <c r="BD17" s="101">
        <f>((A6_A_L26*Nutrición_A)+(A6_B_L26*Nutrición_B)+(A6_C_L26*Nutrición_C)+(A6_D_L26*Nutrición_D)+(A6_Y_L26*Nutrición_Y))*Inflación_6</f>
        <v>0</v>
      </c>
      <c r="BE17" s="101">
        <f>SUMIFS('9'!$E:$E,'9'!$A:$A,Año_Inicial+5,'9'!$B:$B,'12'!BD$4,'9'!$D:$D,"Aplicación de fertilizante")</f>
        <v>0</v>
      </c>
      <c r="BF17" s="101">
        <f>((A6_A_L27*Nutrición_A)+(A6_B_L27*Nutrición_B)+(A6_C_L27*Nutrición_C)+(A6_D_L27*Nutrición_D)+(A6_Y_L27*Nutrición_Y))*Inflación_6</f>
        <v>0</v>
      </c>
      <c r="BG17" s="101">
        <f>SUMIFS('9'!$E:$E,'9'!$A:$A,Año_Inicial+5,'9'!$B:$B,'12'!BF$4,'9'!$D:$D,"Aplicación de fertilizante")</f>
        <v>0</v>
      </c>
      <c r="BH17" s="101">
        <f>((A6_A_L28*Nutrición_A)+(A6_B_L28*Nutrición_B)+(A6_C_L28*Nutrición_C)+(A6_D_L28*Nutrición_D)+(A6_Y_L28*Nutrición_Y))*Inflación_6</f>
        <v>0</v>
      </c>
      <c r="BI17" s="101">
        <f>SUMIFS('9'!$E:$E,'9'!$A:$A,Año_Inicial+5,'9'!$B:$B,'12'!BH$4,'9'!$D:$D,"Aplicación de fertilizante")</f>
        <v>0</v>
      </c>
      <c r="BJ17" s="101">
        <f>((A6_A_L29*Nutrición_A)+(A6_B_L29*Nutrición_B)+(A6_C_L29*Nutrición_C)+(A6_D_L29*Nutrición_D)+(A6_Y_L29*Nutrición_Y))*Inflación_6</f>
        <v>0</v>
      </c>
      <c r="BK17" s="101">
        <f>SUMIFS('9'!$E:$E,'9'!$A:$A,Año_Inicial+5,'9'!$B:$B,'12'!BJ$4,'9'!$D:$D,"Aplicación de fertilizante")</f>
        <v>0</v>
      </c>
      <c r="BL17" s="101">
        <f>((A6_A_L30*Nutrición_A)+(A6_B_L30*Nutrición_B)+(A6_C_L30*Nutrición_C)+(A6_D_L30*Nutrición_D)+(A6_Y_L30*Nutrición_Y))*Inflación_6</f>
        <v>0</v>
      </c>
      <c r="BM17" s="101">
        <f>SUMIFS('9'!$E:$E,'9'!$A:$A,Año_Inicial+5,'9'!$B:$B,'12'!BL$4,'9'!$D:$D,"Aplicación de fertilizante")</f>
        <v>0</v>
      </c>
      <c r="BN17" s="101">
        <f>((A6_A_L31*Nutrición_A)+(A6_B_L31*Nutrición_B)+(A6_C_L31*Nutrición_C)+(A6_D_L31*Nutrición_D)+(A6_Y_L31*Nutrición_Y))*Inflación_6</f>
        <v>0</v>
      </c>
      <c r="BO17" s="101">
        <f>SUMIFS('9'!$E:$E,'9'!$A:$A,Año_Inicial+5,'9'!$B:$B,'12'!BN$4,'9'!$D:$D,"Aplicación de fertilizante")</f>
        <v>0</v>
      </c>
      <c r="BP17" s="101">
        <f>((A6_A_L32*Nutrición_A)+(A6_B_L32*Nutrición_B)+(A6_C_L32*Nutrición_C)+(A6_D_L32*Nutrición_D)+(A6_Y_L32*Nutrición_Y))*Inflación_6</f>
        <v>0</v>
      </c>
      <c r="BQ17" s="101">
        <f>SUMIFS('9'!$E:$E,'9'!$A:$A,Año_Inicial+5,'9'!$B:$B,'12'!BP$4,'9'!$D:$D,"Aplicación de fertilizante")</f>
        <v>0</v>
      </c>
      <c r="BR17" s="101">
        <f>((A6_A_L33*Nutrición_A)+(A6_B_L33*Nutrición_B)+(A6_C_L33*Nutrición_C)+(A6_D_L33*Nutrición_D)+(A6_Y_L33*Nutrición_Y))*Inflación_6</f>
        <v>0</v>
      </c>
      <c r="BS17" s="101">
        <f>SUMIFS('9'!$E:$E,'9'!$A:$A,Año_Inicial+5,'9'!$B:$B,'12'!BR$4,'9'!$D:$D,"Aplicación de fertilizante")</f>
        <v>0</v>
      </c>
      <c r="BT17" s="101">
        <f>((A6_A_L34*Nutrición_A)+(A6_B_L34*Nutrición_B)+(A6_C_L34*Nutrición_C)+(A6_D_L34*Nutrición_D)+(A6_Y_L34*Nutrición_Y))*Inflación_6</f>
        <v>0</v>
      </c>
      <c r="BU17" s="101">
        <f>SUMIFS('9'!$E:$E,'9'!$A:$A,Año_Inicial+5,'9'!$B:$B,'12'!BT$4,'9'!$D:$D,"Aplicación de fertilizante")</f>
        <v>0</v>
      </c>
      <c r="BV17" s="101">
        <f>((A6_A_L35*Nutrición_A)+(A6_B_L35*Nutrición_B)+(A6_C_L35*Nutrición_C)+(A6_D_L35*Nutrición_D)+(A6_Y_L35*Nutrición_Y))*Inflación_6</f>
        <v>0</v>
      </c>
      <c r="BW17" s="101">
        <f>SUMIFS('9'!$E:$E,'9'!$A:$A,Año_Inicial+5,'9'!$B:$B,'12'!BV$4,'9'!$D:$D,"Aplicación de fertilizante")</f>
        <v>0</v>
      </c>
      <c r="BX17" s="101">
        <f>((A6_A_L36*Nutrición_A)+(A6_B_L36*Nutrición_B)+(A6_C_L36*Nutrición_C)+(A6_D_L36*Nutrición_D)+(A6_Y_L36*Nutrición_Y))*Inflación_6</f>
        <v>0</v>
      </c>
      <c r="BY17" s="101">
        <f>SUMIFS('9'!$E:$E,'9'!$A:$A,Año_Inicial+5,'9'!$B:$B,'12'!BX$4,'9'!$D:$D,"Aplicación de fertilizante")</f>
        <v>0</v>
      </c>
      <c r="BZ17" s="101">
        <f>((A6_A_L37*Nutrición_A)+(A6_B_L37*Nutrición_B)+(A6_C_L37*Nutrición_C)+(A6_D_L37*Nutrición_D)+(A6_Y_L37*Nutrición_Y))*Inflación_6</f>
        <v>0</v>
      </c>
      <c r="CA17" s="101">
        <f>SUMIFS('9'!$E:$E,'9'!$A:$A,Año_Inicial+5,'9'!$B:$B,'12'!BZ$4,'9'!$D:$D,"Aplicación de fertilizante")</f>
        <v>0</v>
      </c>
      <c r="CB17" s="101">
        <f>((A6_A_L38*Nutrición_A)+(A6_B_L38*Nutrición_B)+(A6_C_L38*Nutrición_C)+(A6_D_L38*Nutrición_D)+(A6_Y_L38*Nutrición_Y))*Inflación_6</f>
        <v>0</v>
      </c>
      <c r="CC17" s="101">
        <f>SUMIFS('9'!$E:$E,'9'!$A:$A,Año_Inicial+5,'9'!$B:$B,'12'!CB$4,'9'!$D:$D,"Aplicación de fertilizante")</f>
        <v>0</v>
      </c>
      <c r="CD17" s="101">
        <f>((A6_A_L39*Nutrición_A)+(A6_B_L39*Nutrición_B)+(A6_C_L39*Nutrición_C)+(A6_D_L39*Nutrición_D)+(A6_Y_L39*Nutrición_Y))*Inflación_6</f>
        <v>0</v>
      </c>
      <c r="CE17" s="101">
        <f>SUMIFS('9'!$E:$E,'9'!$A:$A,Año_Inicial+5,'9'!$B:$B,'12'!CD$4,'9'!$D:$D,"Aplicación de fertilizante")</f>
        <v>0</v>
      </c>
      <c r="CF17" s="101">
        <f>((A6_A_L40*Nutrición_A)+(A6_B_L40*Nutrición_B)+(A6_C_L40*Nutrición_C)+(A6_D_L40*Nutrición_D)+(A6_Y_L40*Nutrición_Y))*Inflación_6</f>
        <v>0</v>
      </c>
      <c r="CG17" s="101">
        <f>SUMIFS('9'!$E:$E,'9'!$A:$A,Año_Inicial+5,'9'!$B:$B,'12'!CF$4,'9'!$D:$D,"Aplicación de fertilizante")</f>
        <v>0</v>
      </c>
      <c r="CH17" s="473"/>
      <c r="CI17" s="101">
        <f>Plantas_A_A6*Nutrición_A*Inflación_6</f>
        <v>0</v>
      </c>
      <c r="CJ17" s="101">
        <f>Plantas_B_A6*Nutrición_B</f>
        <v>0</v>
      </c>
      <c r="CK17" s="101">
        <f>Plantas_C_A6*Nutrición_C</f>
        <v>0</v>
      </c>
      <c r="CL17" s="101">
        <f>Plantas_D_A6*Nutrición_D</f>
        <v>0</v>
      </c>
      <c r="CM17" s="101"/>
      <c r="CN17" s="101">
        <f>Plantas_Y_A6*Nutrición_Y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SUMIFS('9'!$E:$E,'9'!$A:$A,Año_Inicial+5,'9'!$D:$D,"Aplicación de enmiendas")</f>
        <v>0</v>
      </c>
      <c r="D18" s="100">
        <f t="shared" si="45"/>
        <v>0</v>
      </c>
      <c r="E18" s="473"/>
      <c r="F18" s="101">
        <f>((A6_A_L1*Enmienda_A)+(A6_B_L1*Enmienda_B)+(A6_C_L1*Enmienda_C)+(A6_D_L1*Enmienda_D)+(A6_Y_L1*Enmienda_Y))*Inflación_6</f>
        <v>0</v>
      </c>
      <c r="G18" s="101">
        <f>SUMIFS('9'!$E:$E,'9'!$A:$A,Año_Inicial+5,'9'!$B:$B,'12'!F$4,'9'!$D:$D,"Aplicación de enmiendas")</f>
        <v>0</v>
      </c>
      <c r="H18" s="101">
        <f>((A6_A_L2*Enmienda_A)+(A6_B_L2*Enmienda_B)+(A6_C_L2*Enmienda_C)+(A6_D_L2*Enmienda_D)+(A6_Y_L2*Enmienda_Y))*Inflación_6</f>
        <v>0</v>
      </c>
      <c r="I18" s="101">
        <f>SUMIFS('9'!$E:$E,'9'!$A:$A,Año_Inicial+5,'9'!$B:$B,'12'!H$4,'9'!$D:$D,"Aplicación de enmiendas")</f>
        <v>0</v>
      </c>
      <c r="J18" s="101">
        <f>((A6_A_L3*Enmienda_A)+(A6_B_L3*Enmienda_B)+(A6_C_L3*Enmienda_C)+(A6_D_L3*Enmienda_D)+(A6_Y_L3*Enmienda_Y))*Inflación_6</f>
        <v>0</v>
      </c>
      <c r="K18" s="101">
        <f>SUMIFS('9'!$E:$E,'9'!$A:$A,Año_Inicial+5,'9'!$B:$B,'12'!J$4,'9'!$D:$D,"Aplicación de enmiendas")</f>
        <v>0</v>
      </c>
      <c r="L18" s="101">
        <f>((A6_A_L4*Enmienda_A)+(A6_B_L4*Enmienda_B)+(A6_C_L4*Enmienda_C)+(A6_D_L4*Enmienda_D)+(A6_Y_L4*Enmienda_Y))*Inflación_6</f>
        <v>0</v>
      </c>
      <c r="M18" s="101">
        <f>SUMIFS('9'!$E:$E,'9'!$A:$A,Año_Inicial+5,'9'!$B:$B,'12'!L$4,'9'!$D:$D,"Aplicación de enmiendas")</f>
        <v>0</v>
      </c>
      <c r="N18" s="101">
        <f>((A6_A_L5*Enmienda_A)+(A6_B_L5*Enmienda_B)+(A6_C_L5*Enmienda_C)+(A6_D_L5*Enmienda_D)+(A6_Y_L5*Enmienda_Y))*Inflación_6</f>
        <v>0</v>
      </c>
      <c r="O18" s="101">
        <f>SUMIFS('9'!$E:$E,'9'!$A:$A,Año_Inicial+5,'9'!$B:$B,'12'!N$4,'9'!$D:$D,"Aplicación de enmiendas")</f>
        <v>0</v>
      </c>
      <c r="P18" s="101">
        <f>((A6_A_L6*Enmienda_A)+(A6_B_L6*Enmienda_B)+(A6_C_L6*Enmienda_C)+(A6_D_L6*Enmienda_D)+(A6_Y_L6*Enmienda_Y))*Inflación_6</f>
        <v>0</v>
      </c>
      <c r="Q18" s="101">
        <f>SUMIFS('9'!$E:$E,'9'!$A:$A,Año_Inicial+5,'9'!$B:$B,'12'!P$4,'9'!$D:$D,"Aplicación de enmiendas")</f>
        <v>0</v>
      </c>
      <c r="R18" s="101">
        <f>((A6_A_L7*Enmienda_A)+(A6_B_L7*Enmienda_B)+(A6_C_L7*Enmienda_C)+(A6_D_L7*Enmienda_D)+(A6_Y_L7*Enmienda_Y))*Inflación_6</f>
        <v>0</v>
      </c>
      <c r="S18" s="101">
        <f>SUMIFS('9'!$E:$E,'9'!$A:$A,Año_Inicial+5,'9'!$B:$B,'12'!R$4,'9'!$D:$D,"Aplicación de enmiendas")</f>
        <v>0</v>
      </c>
      <c r="T18" s="101">
        <f>((A6_A_L8*Enmienda_A)+(A6_B_L8*Enmienda_B)+(A6_C_L8*Enmienda_C)+(A6_D_L8*Enmienda_D)+(A6_Y_L8*Enmienda_Y))*Inflación_6</f>
        <v>0</v>
      </c>
      <c r="U18" s="101">
        <f>SUMIFS('9'!$E:$E,'9'!$A:$A,Año_Inicial+5,'9'!$B:$B,'12'!T$4,'9'!$D:$D,"Aplicación de enmiendas")</f>
        <v>0</v>
      </c>
      <c r="V18" s="101">
        <f>((A6_A_L9*Enmienda_A)+(A6_B_L9*Enmienda_B)+(A6_C_L9*Enmienda_C)+(A6_D_L9*Enmienda_D)+(A6_Y_L9*Enmienda_Y))*Inflación_6</f>
        <v>0</v>
      </c>
      <c r="W18" s="101">
        <f>SUMIFS('9'!$E:$E,'9'!$A:$A,Año_Inicial+5,'9'!$B:$B,'12'!V$4,'9'!$D:$D,"Aplicación de enmiendas")</f>
        <v>0</v>
      </c>
      <c r="X18" s="101">
        <f>((A6_A_L10*Enmienda_A)+(A6_B_L10*Enmienda_B)+(A6_C_L10*Enmienda_C)+(A6_D_L10*Enmienda_D)+(A6_Y_L10*Enmienda_Y))*Inflación_6</f>
        <v>0</v>
      </c>
      <c r="Y18" s="101">
        <f>SUMIFS('9'!$E:$E,'9'!$A:$A,Año_Inicial+5,'9'!$B:$B,'12'!X$4,'9'!$D:$D,"Aplicación de enmiendas")</f>
        <v>0</v>
      </c>
      <c r="Z18" s="101">
        <f>((A6_A_L11*Enmienda_A)+(A6_B_L11*Enmienda_B)+(A6_C_L11*Enmienda_C)+(A6_D_L11*Enmienda_D)+(A6_Y_L11*Enmienda_Y))*Inflación_6</f>
        <v>0</v>
      </c>
      <c r="AA18" s="101">
        <f>SUMIFS('9'!$E:$E,'9'!$A:$A,Año_Inicial+5,'9'!$B:$B,'12'!Z$4,'9'!$D:$D,"Aplicación de enmiendas")</f>
        <v>0</v>
      </c>
      <c r="AB18" s="101">
        <f>((A6_A_L12*Enmienda_A)+(A6_B_L12*Enmienda_B)+(A6_C_L12*Enmienda_C)+(A6_D_L12*Enmienda_D)+(A6_Y_L12*Enmienda_Y))*Inflación_6</f>
        <v>0</v>
      </c>
      <c r="AC18" s="101">
        <f>SUMIFS('9'!$E:$E,'9'!$A:$A,Año_Inicial+5,'9'!$B:$B,'12'!AB$4,'9'!$D:$D,"Aplicación de enmiendas")</f>
        <v>0</v>
      </c>
      <c r="AD18" s="101">
        <f>((A6_A_L13*Enmienda_A)+(A6_B_L13*Enmienda_B)+(A6_C_L13*Enmienda_C)+(A6_D_L13*Enmienda_D)+(A6_Y_L13*Enmienda_Y))*Inflación_6</f>
        <v>0</v>
      </c>
      <c r="AE18" s="101">
        <f>SUMIFS('9'!$E:$E,'9'!$A:$A,Año_Inicial+5,'9'!$B:$B,'12'!AD$4,'9'!$D:$D,"Aplicación de enmiendas")</f>
        <v>0</v>
      </c>
      <c r="AF18" s="101">
        <f>((A6_A_L14*Enmienda_A)+(A6_B_L14*Enmienda_B)+(A6_C_L14*Enmienda_C)+(A6_D_L14*Enmienda_D)+(A6_Y_L14*Enmienda_Y))*Inflación_6</f>
        <v>0</v>
      </c>
      <c r="AG18" s="101">
        <f>SUMIFS('9'!$E:$E,'9'!$A:$A,Año_Inicial+5,'9'!$B:$B,'12'!AF$4,'9'!$D:$D,"Aplicación de enmiendas")</f>
        <v>0</v>
      </c>
      <c r="AH18" s="101">
        <f>((A6_A_L15*Enmienda_A)+(A6_B_L15*Enmienda_B)+(A6_C_L15*Enmienda_C)+(A6_D_L15*Enmienda_D)+(A6_Y_L15*Enmienda_Y))*Inflación_6</f>
        <v>0</v>
      </c>
      <c r="AI18" s="101">
        <f>SUMIFS('9'!$E:$E,'9'!$A:$A,Año_Inicial+5,'9'!$B:$B,'12'!AH$4,'9'!$D:$D,"Aplicación de enmiendas")</f>
        <v>0</v>
      </c>
      <c r="AJ18" s="101">
        <f>((A6_A_L16*Enmienda_A)+(A6_B_L16*Enmienda_B)+(A6_C_L16*Enmienda_C)+(A6_D_L16*Enmienda_D)+(A6_Y_L16*Enmienda_Y))*Inflación_6</f>
        <v>0</v>
      </c>
      <c r="AK18" s="101">
        <f>SUMIFS('9'!$E:$E,'9'!$A:$A,Año_Inicial+5,'9'!$B:$B,'12'!AJ$4,'9'!$D:$D,"Aplicación de enmiendas")</f>
        <v>0</v>
      </c>
      <c r="AL18" s="101">
        <f>((A6_A_L17*Enmienda_A)+(A6_B_L17*Enmienda_B)+(A6_C_L17*Enmienda_C)+(A6_D_L17*Enmienda_D)+(A6_Y_L17*Enmienda_Y))*Inflación_6</f>
        <v>0</v>
      </c>
      <c r="AM18" s="101">
        <f>SUMIFS('9'!$E:$E,'9'!$A:$A,Año_Inicial+5,'9'!$B:$B,'12'!AL$4,'9'!$D:$D,"Aplicación de enmiendas")</f>
        <v>0</v>
      </c>
      <c r="AN18" s="101">
        <f>((A6_A_L18*Enmienda_A)+(A6_B_L18*Enmienda_B)+(A6_C_L18*Enmienda_C)+(A6_D_L18*Enmienda_D)+(A6_Y_L18*Enmienda_Y))*Inflación_6</f>
        <v>0</v>
      </c>
      <c r="AO18" s="101">
        <f>SUMIFS('9'!$E:$E,'9'!$A:$A,Año_Inicial+5,'9'!$B:$B,'12'!AN$4,'9'!$D:$D,"Aplicación de enmiendas")</f>
        <v>0</v>
      </c>
      <c r="AP18" s="101">
        <f>((A6_A_L19*Enmienda_A)+(A6_B_L19*Enmienda_B)+(A6_C_L19*Enmienda_C)+(A6_D_L19*Enmienda_D)+(A6_Y_L19*Enmienda_Y))*Inflación_6</f>
        <v>0</v>
      </c>
      <c r="AQ18" s="101">
        <f>SUMIFS('9'!$E:$E,'9'!$A:$A,Año_Inicial+5,'9'!$B:$B,'12'!AP$4,'9'!$D:$D,"Aplicación de enmiendas")</f>
        <v>0</v>
      </c>
      <c r="AR18" s="101">
        <f>((A6_A_L20*Enmienda_A)+(A6_B_L20*Enmienda_B)+(A6_C_L20*Enmienda_C)+(A6_D_L20*Enmienda_D)+(A6_Y_L20*Enmienda_Y))*Inflación_6</f>
        <v>0</v>
      </c>
      <c r="AS18" s="101">
        <f>SUMIFS('9'!$E:$E,'9'!$A:$A,Año_Inicial+5,'9'!$B:$B,'12'!AR$4,'9'!$D:$D,"Aplicación de enmiendas")</f>
        <v>0</v>
      </c>
      <c r="AT18" s="101">
        <f>((A6_A_L21*Enmienda_A)+(A6_B_L21*Enmienda_B)+(A6_C_L21*Enmienda_C)+(A6_D_L21*Enmienda_D)+(A6_Y_L21*Enmienda_Y))*Inflación_6</f>
        <v>0</v>
      </c>
      <c r="AU18" s="101">
        <f>SUMIFS('9'!$E:$E,'9'!$A:$A,Año_Inicial+5,'9'!$B:$B,'12'!AT$4,'9'!$D:$D,"Aplicación de enmiendas")</f>
        <v>0</v>
      </c>
      <c r="AV18" s="101">
        <f>((A6_A_L22*Enmienda_A)+(A6_B_L22*Enmienda_B)+(A6_C_L22*Enmienda_C)+(A6_D_L22*Enmienda_D)+(A6_Y_L22*Enmienda_Y))*Inflación_6</f>
        <v>0</v>
      </c>
      <c r="AW18" s="101">
        <f>SUMIFS('9'!$E:$E,'9'!$A:$A,Año_Inicial+5,'9'!$B:$B,'12'!AV$4,'9'!$D:$D,"Aplicación de enmiendas")</f>
        <v>0</v>
      </c>
      <c r="AX18" s="101">
        <f>((A6_A_L23*Enmienda_A)+(A6_B_L23*Enmienda_B)+(A6_C_L23*Enmienda_C)+(A6_D_L23*Enmienda_D)+(A6_Y_L23*Enmienda_Y))*Inflación_6</f>
        <v>0</v>
      </c>
      <c r="AY18" s="101">
        <f>SUMIFS('9'!$E:$E,'9'!$A:$A,Año_Inicial+5,'9'!$B:$B,'12'!AX$4,'9'!$D:$D,"Aplicación de enmiendas")</f>
        <v>0</v>
      </c>
      <c r="AZ18" s="101">
        <f>((A6_A_L24*Enmienda_A)+(A6_B_L24*Enmienda_B)+(A6_C_L24*Enmienda_C)+(A6_D_L24*Enmienda_D)+(A6_Y_L24*Enmienda_Y))*Inflación_6</f>
        <v>0</v>
      </c>
      <c r="BA18" s="101">
        <f>SUMIFS('9'!$E:$E,'9'!$A:$A,Año_Inicial+5,'9'!$B:$B,'12'!AZ$4,'9'!$D:$D,"Aplicación de enmiendas")</f>
        <v>0</v>
      </c>
      <c r="BB18" s="101">
        <f>((A6_A_L25*Enmienda_A)+(A6_B_L25*Enmienda_B)+(A6_C_L25*Enmienda_C)+(A6_D_L25*Enmienda_D)+(A6_Y_L25*Enmienda_Y))*Inflación_6</f>
        <v>0</v>
      </c>
      <c r="BC18" s="101">
        <f>SUMIFS('9'!$E:$E,'9'!$A:$A,Año_Inicial+5,'9'!$B:$B,'12'!BB$4,'9'!$D:$D,"Aplicación de enmiendas")</f>
        <v>0</v>
      </c>
      <c r="BD18" s="101">
        <f>((A6_A_L26*Enmienda_A)+(A6_B_L26*Enmienda_B)+(A6_C_L26*Enmienda_C)+(A6_D_L26*Enmienda_D)+(A6_Y_L26*Enmienda_Y))*Inflación_6</f>
        <v>0</v>
      </c>
      <c r="BE18" s="101">
        <f>SUMIFS('9'!$E:$E,'9'!$A:$A,Año_Inicial+5,'9'!$B:$B,'12'!BD$4,'9'!$D:$D,"Aplicación de enmiendas")</f>
        <v>0</v>
      </c>
      <c r="BF18" s="101">
        <f>((A6_A_L27*Enmienda_A)+(A6_B_L27*Enmienda_B)+(A6_C_L27*Enmienda_C)+(A6_D_L27*Enmienda_D)+(A6_Y_L27*Enmienda_Y))*Inflación_6</f>
        <v>0</v>
      </c>
      <c r="BG18" s="101">
        <f>SUMIFS('9'!$E:$E,'9'!$A:$A,Año_Inicial+5,'9'!$B:$B,'12'!BF$4,'9'!$D:$D,"Aplicación de enmiendas")</f>
        <v>0</v>
      </c>
      <c r="BH18" s="101">
        <f>((A6_A_L28*Enmienda_A)+(A6_B_L28*Enmienda_B)+(A6_C_L28*Enmienda_C)+(A6_D_L28*Enmienda_D)+(A6_Y_L28*Enmienda_Y))*Inflación_6</f>
        <v>0</v>
      </c>
      <c r="BI18" s="101">
        <f>SUMIFS('9'!$E:$E,'9'!$A:$A,Año_Inicial+5,'9'!$B:$B,'12'!BH$4,'9'!$D:$D,"Aplicación de enmiendas")</f>
        <v>0</v>
      </c>
      <c r="BJ18" s="101">
        <f>((A6_A_L29*Enmienda_A)+(A6_B_L29*Enmienda_B)+(A6_C_L29*Enmienda_C)+(A6_D_L29*Enmienda_D)+(A6_Y_L29*Enmienda_Y))*Inflación_6</f>
        <v>0</v>
      </c>
      <c r="BK18" s="101">
        <f>SUMIFS('9'!$E:$E,'9'!$A:$A,Año_Inicial+5,'9'!$B:$B,'12'!BJ$4,'9'!$D:$D,"Aplicación de enmiendas")</f>
        <v>0</v>
      </c>
      <c r="BL18" s="101">
        <f>((A6_A_L30*Enmienda_A)+(A6_B_L30*Enmienda_B)+(A6_C_L30*Enmienda_C)+(A6_D_L30*Enmienda_D)+(A6_Y_L30*Enmienda_Y))*Inflación_6</f>
        <v>0</v>
      </c>
      <c r="BM18" s="101">
        <f>SUMIFS('9'!$E:$E,'9'!$A:$A,Año_Inicial+5,'9'!$B:$B,'12'!BL$4,'9'!$D:$D,"Aplicación de enmiendas")</f>
        <v>0</v>
      </c>
      <c r="BN18" s="101">
        <f>((A6_A_L31*Enmienda_A)+(A6_B_L31*Enmienda_B)+(A6_C_L31*Enmienda_C)+(A6_D_L31*Enmienda_D)+(A6_Y_L31*Enmienda_Y))*Inflación_6</f>
        <v>0</v>
      </c>
      <c r="BO18" s="101">
        <f>SUMIFS('9'!$E:$E,'9'!$A:$A,Año_Inicial+5,'9'!$B:$B,'12'!BN$4,'9'!$D:$D,"Aplicación de enmiendas")</f>
        <v>0</v>
      </c>
      <c r="BP18" s="101">
        <f>((A6_A_L32*Enmienda_A)+(A6_B_L32*Enmienda_B)+(A6_C_L32*Enmienda_C)+(A6_D_L32*Enmienda_D)+(A6_Y_L32*Enmienda_Y))*Inflación_6</f>
        <v>0</v>
      </c>
      <c r="BQ18" s="101">
        <f>SUMIFS('9'!$E:$E,'9'!$A:$A,Año_Inicial+5,'9'!$B:$B,'12'!BP$4,'9'!$D:$D,"Aplicación de enmiendas")</f>
        <v>0</v>
      </c>
      <c r="BR18" s="101">
        <f>((A6_A_L33*Enmienda_A)+(A6_B_L33*Enmienda_B)+(A6_C_L33*Enmienda_C)+(A6_D_L33*Enmienda_D)+(A6_Y_L33*Enmienda_Y))*Inflación_6</f>
        <v>0</v>
      </c>
      <c r="BS18" s="101">
        <f>SUMIFS('9'!$E:$E,'9'!$A:$A,Año_Inicial+5,'9'!$B:$B,'12'!BR$4,'9'!$D:$D,"Aplicación de enmiendas")</f>
        <v>0</v>
      </c>
      <c r="BT18" s="101">
        <f>((A6_A_L34*Enmienda_A)+(A6_B_L34*Enmienda_B)+(A6_C_L34*Enmienda_C)+(A6_D_L34*Enmienda_D)+(A6_Y_L34*Enmienda_Y))*Inflación_6</f>
        <v>0</v>
      </c>
      <c r="BU18" s="101">
        <f>SUMIFS('9'!$E:$E,'9'!$A:$A,Año_Inicial+5,'9'!$B:$B,'12'!BT$4,'9'!$D:$D,"Aplicación de enmiendas")</f>
        <v>0</v>
      </c>
      <c r="BV18" s="101">
        <f>((A6_A_L35*Enmienda_A)+(A6_B_L35*Enmienda_B)+(A6_C_L35*Enmienda_C)+(A6_D_L35*Enmienda_D)+(A6_Y_L35*Enmienda_Y))*Inflación_6</f>
        <v>0</v>
      </c>
      <c r="BW18" s="101">
        <f>SUMIFS('9'!$E:$E,'9'!$A:$A,Año_Inicial+5,'9'!$B:$B,'12'!BV$4,'9'!$D:$D,"Aplicación de enmiendas")</f>
        <v>0</v>
      </c>
      <c r="BX18" s="101">
        <f>((A6_A_L36*Enmienda_A)+(A6_B_L36*Enmienda_B)+(A6_C_L36*Enmienda_C)+(A6_D_L36*Enmienda_D)+(A6_Y_L36*Enmienda_Y))*Inflación_6</f>
        <v>0</v>
      </c>
      <c r="BY18" s="101">
        <f>SUMIFS('9'!$E:$E,'9'!$A:$A,Año_Inicial+5,'9'!$B:$B,'12'!BX$4,'9'!$D:$D,"Aplicación de enmiendas")</f>
        <v>0</v>
      </c>
      <c r="BZ18" s="101">
        <f>((A6_A_L37*Enmienda_A)+(A6_B_L37*Enmienda_B)+(A6_C_L37*Enmienda_C)+(A6_D_L37*Enmienda_D)+(A6_Y_L37*Enmienda_Y))*Inflación_6</f>
        <v>0</v>
      </c>
      <c r="CA18" s="101">
        <f>SUMIFS('9'!$E:$E,'9'!$A:$A,Año_Inicial+5,'9'!$B:$B,'12'!BZ$4,'9'!$D:$D,"Aplicación de enmiendas")</f>
        <v>0</v>
      </c>
      <c r="CB18" s="101">
        <f>((A6_A_L38*Enmienda_A)+(A6_B_L38*Enmienda_B)+(A6_C_L38*Enmienda_C)+(A6_D_L38*Enmienda_D)+(A6_Y_L38*Enmienda_Y))*Inflación_6</f>
        <v>0</v>
      </c>
      <c r="CC18" s="101">
        <f>SUMIFS('9'!$E:$E,'9'!$A:$A,Año_Inicial+5,'9'!$B:$B,'12'!CB$4,'9'!$D:$D,"Aplicación de enmiendas")</f>
        <v>0</v>
      </c>
      <c r="CD18" s="101">
        <f>((A6_A_L39*Enmienda_A)+(A6_B_L39*Enmienda_B)+(A6_C_L39*Enmienda_C)+(A6_D_L39*Enmienda_D)+(A6_Y_L39*Enmienda_Y))*Inflación_6</f>
        <v>0</v>
      </c>
      <c r="CE18" s="101">
        <f>SUMIFS('9'!$E:$E,'9'!$A:$A,Año_Inicial+5,'9'!$B:$B,'12'!CD$4,'9'!$D:$D,"Aplicación de enmiendas")</f>
        <v>0</v>
      </c>
      <c r="CF18" s="101">
        <f>((A6_A_L40*Enmienda_A)+(A6_B_L40*Enmienda_B)+(A6_C_L40*Enmienda_C)+(A6_D_L40*Enmienda_D)+(A6_Y_L40*Enmienda_Y))*Inflación_6</f>
        <v>0</v>
      </c>
      <c r="CG18" s="101">
        <f>SUMIFS('9'!$E:$E,'9'!$A:$A,Año_Inicial+5,'9'!$B:$B,'12'!CF$4,'9'!$D:$D,"Aplicación de enmiendas")</f>
        <v>0</v>
      </c>
      <c r="CH18" s="473"/>
      <c r="CI18" s="101">
        <f>Plantas_A_A6*Enmienda_A*Inflación_6</f>
        <v>0</v>
      </c>
      <c r="CJ18" s="101">
        <f>Plantas_B_A6*Enmienda_B</f>
        <v>0</v>
      </c>
      <c r="CK18" s="101">
        <f>Plantas_C_A6*Enmienda_C</f>
        <v>0</v>
      </c>
      <c r="CL18" s="101">
        <f>Plantas_D_A6*Enmienda_D</f>
        <v>0</v>
      </c>
      <c r="CM18" s="101"/>
      <c r="CN18" s="101">
        <f>Plantas_Y_A6*Enmienda_Y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SUMIFS('9'!$E:$E,'9'!$A:$A,Año_Inicial+5,'9'!$D:$D,"Fertilizante químico")</f>
        <v>0</v>
      </c>
      <c r="D19" s="100">
        <f t="shared" si="45"/>
        <v>0</v>
      </c>
      <c r="E19" s="473"/>
      <c r="F19" s="101">
        <f>((A6_A_L1*Fertilizante_A)+(A6_B_L1*Fertilizante_B)+(A6_C_L1*Fertilizante_C)+(A6_D_L1*Fertilizante_D)+(A6_Y_L1*Fertilizante_Y))*Inflación_6</f>
        <v>0</v>
      </c>
      <c r="G19" s="101">
        <f>SUMIFS('9'!$E:$E,'9'!$A:$A,Año_Inicial+5,'9'!$B:$B,'12'!F$4,'9'!$D:$D,"Fertilizante químico")</f>
        <v>0</v>
      </c>
      <c r="H19" s="101">
        <f>((A6_A_L2*Fertilizante_A)+(A6_B_L2*Fertilizante_B)+(A6_C_L2*Fertilizante_C)+(A6_D_L2*Fertilizante_D)+(A6_Y_L2*Fertilizante_Y))*Inflación_6</f>
        <v>0</v>
      </c>
      <c r="I19" s="101">
        <f>SUMIFS('9'!$E:$E,'9'!$A:$A,Año_Inicial+5,'9'!$B:$B,'12'!H$4,'9'!$D:$D,"Fertilizante químico")</f>
        <v>0</v>
      </c>
      <c r="J19" s="101">
        <f>((A6_A_L3*Fertilizante_A)+(A6_B_L3*Fertilizante_B)+(A6_C_L3*Fertilizante_C)+(A6_D_L3*Fertilizante_D)+(A6_Y_L3*Fertilizante_Y))*Inflación_6</f>
        <v>0</v>
      </c>
      <c r="K19" s="101">
        <f>SUMIFS('9'!$E:$E,'9'!$A:$A,Año_Inicial+5,'9'!$B:$B,'12'!J$4,'9'!$D:$D,"Fertilizante químico")</f>
        <v>0</v>
      </c>
      <c r="L19" s="101">
        <f>((A6_A_L4*Fertilizante_A)+(A6_B_L4*Fertilizante_B)+(A6_C_L4*Fertilizante_C)+(A6_D_L4*Fertilizante_D)+(A6_Y_L4*Fertilizante_Y))*Inflación_6</f>
        <v>0</v>
      </c>
      <c r="M19" s="101">
        <f>SUMIFS('9'!$E:$E,'9'!$A:$A,Año_Inicial+5,'9'!$B:$B,'12'!L$4,'9'!$D:$D,"Fertilizante químico")</f>
        <v>0</v>
      </c>
      <c r="N19" s="101">
        <f>((A6_A_L5*Fertilizante_A)+(A6_B_L5*Fertilizante_B)+(A6_C_L5*Fertilizante_C)+(A6_D_L5*Fertilizante_D)+(A6_Y_L5*Fertilizante_Y))*Inflación_6</f>
        <v>0</v>
      </c>
      <c r="O19" s="101">
        <f>SUMIFS('9'!$E:$E,'9'!$A:$A,Año_Inicial+5,'9'!$B:$B,'12'!N$4,'9'!$D:$D,"Fertilizante químico")</f>
        <v>0</v>
      </c>
      <c r="P19" s="101">
        <f>((A6_A_L6*Fertilizante_A)+(A6_B_L6*Fertilizante_B)+(A6_C_L6*Fertilizante_C)+(A6_D_L6*Fertilizante_D)+(A6_Y_L6*Fertilizante_Y))*Inflación_6</f>
        <v>0</v>
      </c>
      <c r="Q19" s="101">
        <f>SUMIFS('9'!$E:$E,'9'!$A:$A,Año_Inicial+5,'9'!$B:$B,'12'!P$4,'9'!$D:$D,"Fertilizante químico")</f>
        <v>0</v>
      </c>
      <c r="R19" s="101">
        <f>((A6_A_L7*Fertilizante_A)+(A6_B_L7*Fertilizante_B)+(A6_C_L7*Fertilizante_C)+(A6_D_L7*Fertilizante_D)+(A6_Y_L7*Fertilizante_Y))*Inflación_6</f>
        <v>0</v>
      </c>
      <c r="S19" s="101">
        <f>SUMIFS('9'!$E:$E,'9'!$A:$A,Año_Inicial+5,'9'!$B:$B,'12'!R$4,'9'!$D:$D,"Fertilizante químico")</f>
        <v>0</v>
      </c>
      <c r="T19" s="101">
        <f>((A6_A_L8*Fertilizante_A)+(A6_B_L8*Fertilizante_B)+(A6_C_L8*Fertilizante_C)+(A6_D_L8*Fertilizante_D)+(A6_Y_L8*Fertilizante_Y))*Inflación_6</f>
        <v>0</v>
      </c>
      <c r="U19" s="101">
        <f>SUMIFS('9'!$E:$E,'9'!$A:$A,Año_Inicial+5,'9'!$B:$B,'12'!T$4,'9'!$D:$D,"Fertilizante químico")</f>
        <v>0</v>
      </c>
      <c r="V19" s="101">
        <f>((A6_A_L9*Fertilizante_A)+(A6_B_L9*Fertilizante_B)+(A6_C_L9*Fertilizante_C)+(A6_D_L9*Fertilizante_D)+(A6_Y_L9*Fertilizante_Y))*Inflación_6</f>
        <v>0</v>
      </c>
      <c r="W19" s="101">
        <f>SUMIFS('9'!$E:$E,'9'!$A:$A,Año_Inicial+5,'9'!$B:$B,'12'!V$4,'9'!$D:$D,"Fertilizante químico")</f>
        <v>0</v>
      </c>
      <c r="X19" s="101">
        <f>((A6_A_L10*Fertilizante_A)+(A6_B_L10*Fertilizante_B)+(A6_C_L10*Fertilizante_C)+(A6_D_L10*Fertilizante_D)+(A6_Y_L10*Fertilizante_Y))*Inflación_6</f>
        <v>0</v>
      </c>
      <c r="Y19" s="101">
        <f>SUMIFS('9'!$E:$E,'9'!$A:$A,Año_Inicial+5,'9'!$B:$B,'12'!X$4,'9'!$D:$D,"Fertilizante químico")</f>
        <v>0</v>
      </c>
      <c r="Z19" s="101">
        <f>((A6_A_L11*Fertilizante_A)+(A6_B_L11*Fertilizante_B)+(A6_C_L11*Fertilizante_C)+(A6_D_L11*Fertilizante_D)+(A6_Y_L11*Fertilizante_Y))*Inflación_6</f>
        <v>0</v>
      </c>
      <c r="AA19" s="101">
        <f>SUMIFS('9'!$E:$E,'9'!$A:$A,Año_Inicial+5,'9'!$B:$B,'12'!Z$4,'9'!$D:$D,"Fertilizante químico")</f>
        <v>0</v>
      </c>
      <c r="AB19" s="101">
        <f>((A6_A_L12*Fertilizante_A)+(A6_B_L12*Fertilizante_B)+(A6_C_L12*Fertilizante_C)+(A6_D_L12*Fertilizante_D)+(A6_Y_L12*Fertilizante_Y))*Inflación_6</f>
        <v>0</v>
      </c>
      <c r="AC19" s="101">
        <f>SUMIFS('9'!$E:$E,'9'!$A:$A,Año_Inicial+5,'9'!$B:$B,'12'!AB$4,'9'!$D:$D,"Fertilizante químico")</f>
        <v>0</v>
      </c>
      <c r="AD19" s="101">
        <f>((A6_A_L13*Fertilizante_A)+(A6_B_L13*Fertilizante_B)+(A6_C_L13*Fertilizante_C)+(A6_D_L13*Fertilizante_D)+(A6_Y_L13*Fertilizante_Y))*Inflación_6</f>
        <v>0</v>
      </c>
      <c r="AE19" s="101">
        <f>SUMIFS('9'!$E:$E,'9'!$A:$A,Año_Inicial+5,'9'!$B:$B,'12'!AD$4,'9'!$D:$D,"Fertilizante químico")</f>
        <v>0</v>
      </c>
      <c r="AF19" s="101">
        <f>((A6_A_L14*Fertilizante_A)+(A6_B_L14*Fertilizante_B)+(A6_C_L14*Fertilizante_C)+(A6_D_L14*Fertilizante_D)+(A6_Y_L14*Fertilizante_Y))*Inflación_6</f>
        <v>0</v>
      </c>
      <c r="AG19" s="101">
        <f>SUMIFS('9'!$E:$E,'9'!$A:$A,Año_Inicial+5,'9'!$B:$B,'12'!AF$4,'9'!$D:$D,"Fertilizante químico")</f>
        <v>0</v>
      </c>
      <c r="AH19" s="101">
        <f>((A6_A_L15*Fertilizante_A)+(A6_B_L15*Fertilizante_B)+(A6_C_L15*Fertilizante_C)+(A6_D_L15*Fertilizante_D)+(A6_Y_L15*Fertilizante_Y))*Inflación_6</f>
        <v>0</v>
      </c>
      <c r="AI19" s="101">
        <f>SUMIFS('9'!$E:$E,'9'!$A:$A,Año_Inicial+5,'9'!$B:$B,'12'!AH$4,'9'!$D:$D,"Fertilizante químico")</f>
        <v>0</v>
      </c>
      <c r="AJ19" s="101">
        <f>((A6_A_L16*Fertilizante_A)+(A6_B_L16*Fertilizante_B)+(A6_C_L16*Fertilizante_C)+(A6_D_L16*Fertilizante_D)+(A6_Y_L16*Fertilizante_Y))*Inflación_6</f>
        <v>0</v>
      </c>
      <c r="AK19" s="101">
        <f>SUMIFS('9'!$E:$E,'9'!$A:$A,Año_Inicial+5,'9'!$B:$B,'12'!AJ$4,'9'!$D:$D,"Fertilizante químico")</f>
        <v>0</v>
      </c>
      <c r="AL19" s="101">
        <f>((A6_A_L17*Fertilizante_A)+(A6_B_L17*Fertilizante_B)+(A6_C_L17*Fertilizante_C)+(A6_D_L17*Fertilizante_D)+(A6_Y_L17*Fertilizante_Y))*Inflación_6</f>
        <v>0</v>
      </c>
      <c r="AM19" s="101">
        <f>SUMIFS('9'!$E:$E,'9'!$A:$A,Año_Inicial+5,'9'!$B:$B,'12'!AL$4,'9'!$D:$D,"Fertilizante químico")</f>
        <v>0</v>
      </c>
      <c r="AN19" s="101">
        <f>((A6_A_L18*Fertilizante_A)+(A6_B_L18*Fertilizante_B)+(A6_C_L18*Fertilizante_C)+(A6_D_L18*Fertilizante_D)+(A6_Y_L18*Fertilizante_Y))*Inflación_6</f>
        <v>0</v>
      </c>
      <c r="AO19" s="101">
        <f>SUMIFS('9'!$E:$E,'9'!$A:$A,Año_Inicial+5,'9'!$B:$B,'12'!AN$4,'9'!$D:$D,"Fertilizante químico")</f>
        <v>0</v>
      </c>
      <c r="AP19" s="101">
        <f>((A6_A_L19*Fertilizante_A)+(A6_B_L19*Fertilizante_B)+(A6_C_L19*Fertilizante_C)+(A6_D_L19*Fertilizante_D)+(A6_Y_L19*Fertilizante_Y))*Inflación_6</f>
        <v>0</v>
      </c>
      <c r="AQ19" s="101">
        <f>SUMIFS('9'!$E:$E,'9'!$A:$A,Año_Inicial+5,'9'!$B:$B,'12'!AP$4,'9'!$D:$D,"Fertilizante químico")</f>
        <v>0</v>
      </c>
      <c r="AR19" s="101">
        <f>((A6_A_L20*Fertilizante_A)+(A6_B_L20*Fertilizante_B)+(A6_C_L20*Fertilizante_C)+(A6_D_L20*Fertilizante_D)+(A6_Y_L20*Fertilizante_Y))*Inflación_6</f>
        <v>0</v>
      </c>
      <c r="AS19" s="101">
        <f>SUMIFS('9'!$E:$E,'9'!$A:$A,Año_Inicial+5,'9'!$B:$B,'12'!AR$4,'9'!$D:$D,"Fertilizante químico")</f>
        <v>0</v>
      </c>
      <c r="AT19" s="101">
        <f>((A6_A_L21*Fertilizante_A)+(A6_B_L21*Fertilizante_B)+(A6_C_L21*Fertilizante_C)+(A6_D_L21*Fertilizante_D)+(A6_Y_L21*Fertilizante_Y))*Inflación_6</f>
        <v>0</v>
      </c>
      <c r="AU19" s="101">
        <f>SUMIFS('9'!$E:$E,'9'!$A:$A,Año_Inicial+5,'9'!$B:$B,'12'!AT$4,'9'!$D:$D,"Fertilizante químico")</f>
        <v>0</v>
      </c>
      <c r="AV19" s="101">
        <f>((A6_A_L22*Fertilizante_A)+(A6_B_L22*Fertilizante_B)+(A6_C_L22*Fertilizante_C)+(A6_D_L22*Fertilizante_D)+(A6_Y_L22*Fertilizante_Y))*Inflación_6</f>
        <v>0</v>
      </c>
      <c r="AW19" s="101">
        <f>SUMIFS('9'!$E:$E,'9'!$A:$A,Año_Inicial+5,'9'!$B:$B,'12'!AV$4,'9'!$D:$D,"Fertilizante químico")</f>
        <v>0</v>
      </c>
      <c r="AX19" s="101">
        <f>((A6_A_L23*Fertilizante_A)+(A6_B_L23*Fertilizante_B)+(A6_C_L23*Fertilizante_C)+(A6_D_L23*Fertilizante_D)+(A6_Y_L23*Fertilizante_Y))*Inflación_6</f>
        <v>0</v>
      </c>
      <c r="AY19" s="101">
        <f>SUMIFS('9'!$E:$E,'9'!$A:$A,Año_Inicial+5,'9'!$B:$B,'12'!AX$4,'9'!$D:$D,"Fertilizante químico")</f>
        <v>0</v>
      </c>
      <c r="AZ19" s="101">
        <f>((A6_A_L24*Fertilizante_A)+(A6_B_L24*Fertilizante_B)+(A6_C_L24*Fertilizante_C)+(A6_D_L24*Fertilizante_D)+(A6_Y_L24*Fertilizante_Y))*Inflación_6</f>
        <v>0</v>
      </c>
      <c r="BA19" s="101">
        <f>SUMIFS('9'!$E:$E,'9'!$A:$A,Año_Inicial+5,'9'!$B:$B,'12'!AZ$4,'9'!$D:$D,"Fertilizante químico")</f>
        <v>0</v>
      </c>
      <c r="BB19" s="101">
        <f>((A6_A_L25*Fertilizante_A)+(A6_B_L25*Fertilizante_B)+(A6_C_L25*Fertilizante_C)+(A6_D_L25*Fertilizante_D)+(A6_Y_L25*Fertilizante_Y))*Inflación_6</f>
        <v>0</v>
      </c>
      <c r="BC19" s="101">
        <f>SUMIFS('9'!$E:$E,'9'!$A:$A,Año_Inicial+5,'9'!$B:$B,'12'!BB$4,'9'!$D:$D,"Fertilizante químico")</f>
        <v>0</v>
      </c>
      <c r="BD19" s="101">
        <f>((A6_A_L26*Fertilizante_A)+(A6_B_L26*Fertilizante_B)+(A6_C_L26*Fertilizante_C)+(A6_D_L26*Fertilizante_D)+(A6_Y_L26*Fertilizante_Y))*Inflación_6</f>
        <v>0</v>
      </c>
      <c r="BE19" s="101">
        <f>SUMIFS('9'!$E:$E,'9'!$A:$A,Año_Inicial+5,'9'!$B:$B,'12'!BD$4,'9'!$D:$D,"Fertilizante químico")</f>
        <v>0</v>
      </c>
      <c r="BF19" s="101">
        <f>((A6_A_L27*Fertilizante_A)+(A6_B_L27*Fertilizante_B)+(A6_C_L27*Fertilizante_C)+(A6_D_L27*Fertilizante_D)+(A6_Y_L27*Fertilizante_Y))*Inflación_6</f>
        <v>0</v>
      </c>
      <c r="BG19" s="101">
        <f>SUMIFS('9'!$E:$E,'9'!$A:$A,Año_Inicial+5,'9'!$B:$B,'12'!BF$4,'9'!$D:$D,"Fertilizante químico")</f>
        <v>0</v>
      </c>
      <c r="BH19" s="101">
        <f>((A6_A_L28*Fertilizante_A)+(A6_B_L28*Fertilizante_B)+(A6_C_L28*Fertilizante_C)+(A6_D_L28*Fertilizante_D)+(A6_Y_L28*Fertilizante_Y))*Inflación_6</f>
        <v>0</v>
      </c>
      <c r="BI19" s="101">
        <f>SUMIFS('9'!$E:$E,'9'!$A:$A,Año_Inicial+5,'9'!$B:$B,'12'!BH$4,'9'!$D:$D,"Fertilizante químico")</f>
        <v>0</v>
      </c>
      <c r="BJ19" s="101">
        <f>((A6_A_L29*Fertilizante_A)+(A6_B_L29*Fertilizante_B)+(A6_C_L29*Fertilizante_C)+(A6_D_L29*Fertilizante_D)+(A6_Y_L29*Fertilizante_Y))*Inflación_6</f>
        <v>0</v>
      </c>
      <c r="BK19" s="101">
        <f>SUMIFS('9'!$E:$E,'9'!$A:$A,Año_Inicial+5,'9'!$B:$B,'12'!BJ$4,'9'!$D:$D,"Fertilizante químico")</f>
        <v>0</v>
      </c>
      <c r="BL19" s="101">
        <f>((A6_A_L30*Fertilizante_A)+(A6_B_L30*Fertilizante_B)+(A6_C_L30*Fertilizante_C)+(A6_D_L30*Fertilizante_D)+(A6_Y_L30*Fertilizante_Y))*Inflación_6</f>
        <v>0</v>
      </c>
      <c r="BM19" s="101">
        <f>SUMIFS('9'!$E:$E,'9'!$A:$A,Año_Inicial+5,'9'!$B:$B,'12'!BL$4,'9'!$D:$D,"Fertilizante químico")</f>
        <v>0</v>
      </c>
      <c r="BN19" s="101">
        <f>((A6_A_L31*Fertilizante_A)+(A6_B_L31*Fertilizante_B)+(A6_C_L31*Fertilizante_C)+(A6_D_L31*Fertilizante_D)+(A6_Y_L31*Fertilizante_Y))*Inflación_6</f>
        <v>0</v>
      </c>
      <c r="BO19" s="101">
        <f>SUMIFS('9'!$E:$E,'9'!$A:$A,Año_Inicial+5,'9'!$B:$B,'12'!BN$4,'9'!$D:$D,"Fertilizante químico")</f>
        <v>0</v>
      </c>
      <c r="BP19" s="101">
        <f>((A6_A_L32*Fertilizante_A)+(A6_B_L32*Fertilizante_B)+(A6_C_L32*Fertilizante_C)+(A6_D_L32*Fertilizante_D)+(A6_Y_L32*Fertilizante_Y))*Inflación_6</f>
        <v>0</v>
      </c>
      <c r="BQ19" s="101">
        <f>SUMIFS('9'!$E:$E,'9'!$A:$A,Año_Inicial+5,'9'!$B:$B,'12'!BP$4,'9'!$D:$D,"Fertilizante químico")</f>
        <v>0</v>
      </c>
      <c r="BR19" s="101">
        <f>((A6_A_L33*Fertilizante_A)+(A6_B_L33*Fertilizante_B)+(A6_C_L33*Fertilizante_C)+(A6_D_L33*Fertilizante_D)+(A6_Y_L33*Fertilizante_Y))*Inflación_6</f>
        <v>0</v>
      </c>
      <c r="BS19" s="101">
        <f>SUMIFS('9'!$E:$E,'9'!$A:$A,Año_Inicial+5,'9'!$B:$B,'12'!BR$4,'9'!$D:$D,"Fertilizante químico")</f>
        <v>0</v>
      </c>
      <c r="BT19" s="101">
        <f>((A6_A_L34*Fertilizante_A)+(A6_B_L34*Fertilizante_B)+(A6_C_L34*Fertilizante_C)+(A6_D_L34*Fertilizante_D)+(A6_Y_L34*Fertilizante_Y))*Inflación_6</f>
        <v>0</v>
      </c>
      <c r="BU19" s="101">
        <f>SUMIFS('9'!$E:$E,'9'!$A:$A,Año_Inicial+5,'9'!$B:$B,'12'!BT$4,'9'!$D:$D,"Fertilizante químico")</f>
        <v>0</v>
      </c>
      <c r="BV19" s="101">
        <f>((A6_A_L35*Fertilizante_A)+(A6_B_L35*Fertilizante_B)+(A6_C_L35*Fertilizante_C)+(A6_D_L35*Fertilizante_D)+(A6_Y_L35*Fertilizante_Y))*Inflación_6</f>
        <v>0</v>
      </c>
      <c r="BW19" s="101">
        <f>SUMIFS('9'!$E:$E,'9'!$A:$A,Año_Inicial+5,'9'!$B:$B,'12'!BV$4,'9'!$D:$D,"Fertilizante químico")</f>
        <v>0</v>
      </c>
      <c r="BX19" s="101">
        <f>((A6_A_L36*Fertilizante_A)+(A6_B_L36*Fertilizante_B)+(A6_C_L36*Fertilizante_C)+(A6_D_L36*Fertilizante_D)+(A6_Y_L36*Fertilizante_Y))*Inflación_6</f>
        <v>0</v>
      </c>
      <c r="BY19" s="101">
        <f>SUMIFS('9'!$E:$E,'9'!$A:$A,Año_Inicial+5,'9'!$B:$B,'12'!BX$4,'9'!$D:$D,"Fertilizante químico")</f>
        <v>0</v>
      </c>
      <c r="BZ19" s="101">
        <f>((A6_A_L37*Fertilizante_A)+(A6_B_L37*Fertilizante_B)+(A6_C_L37*Fertilizante_C)+(A6_D_L37*Fertilizante_D)+(A6_Y_L37*Fertilizante_Y))*Inflación_6</f>
        <v>0</v>
      </c>
      <c r="CA19" s="101">
        <f>SUMIFS('9'!$E:$E,'9'!$A:$A,Año_Inicial+5,'9'!$B:$B,'12'!BZ$4,'9'!$D:$D,"Fertilizante químico")</f>
        <v>0</v>
      </c>
      <c r="CB19" s="101">
        <f>((A6_A_L38*Fertilizante_A)+(A6_B_L38*Fertilizante_B)+(A6_C_L38*Fertilizante_C)+(A6_D_L38*Fertilizante_D)+(A6_Y_L38*Fertilizante_Y))*Inflación_6</f>
        <v>0</v>
      </c>
      <c r="CC19" s="101">
        <f>SUMIFS('9'!$E:$E,'9'!$A:$A,Año_Inicial+5,'9'!$B:$B,'12'!CB$4,'9'!$D:$D,"Fertilizante químico")</f>
        <v>0</v>
      </c>
      <c r="CD19" s="101">
        <f>((A6_A_L39*Fertilizante_A)+(A6_B_L39*Fertilizante_B)+(A6_C_L39*Fertilizante_C)+(A6_D_L39*Fertilizante_D)+(A6_Y_L39*Fertilizante_Y))*Inflación_6</f>
        <v>0</v>
      </c>
      <c r="CE19" s="101">
        <f>SUMIFS('9'!$E:$E,'9'!$A:$A,Año_Inicial+5,'9'!$B:$B,'12'!CD$4,'9'!$D:$D,"Fertilizante químico")</f>
        <v>0</v>
      </c>
      <c r="CF19" s="101">
        <f>((A6_A_L40*Fertilizante_A)+(A6_B_L40*Fertilizante_B)+(A6_C_L40*Fertilizante_C)+(A6_D_L40*Fertilizante_D)+(A6_Y_L40*Fertilizante_Y))*Inflación_6</f>
        <v>0</v>
      </c>
      <c r="CG19" s="101">
        <f>SUMIFS('9'!$E:$E,'9'!$A:$A,Año_Inicial+5,'9'!$B:$B,'12'!CF$4,'9'!$D:$D,"Fertilizante químico")</f>
        <v>0</v>
      </c>
      <c r="CH19" s="473"/>
      <c r="CI19" s="101">
        <f>Plantas_A_A6*Fertilizante_A*Inflación_6</f>
        <v>0</v>
      </c>
      <c r="CJ19" s="101">
        <f>Plantas_B_A6*Fertilizante_B</f>
        <v>0</v>
      </c>
      <c r="CK19" s="101">
        <f>Plantas_C_A6*Fertilizante_C</f>
        <v>0</v>
      </c>
      <c r="CL19" s="101">
        <f>Plantas_D_A6*Fertilizante_D</f>
        <v>0</v>
      </c>
      <c r="CM19" s="101"/>
      <c r="CN19" s="101">
        <f>Plantas_Y_A6*Fertilizante_Y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SUMIFS('9'!$E:$E,'9'!$A:$A,Año_Inicial+5,'9'!$D:$D,"Material de enmienda")</f>
        <v>0</v>
      </c>
      <c r="D20" s="100">
        <f t="shared" si="45"/>
        <v>0</v>
      </c>
      <c r="E20" s="473"/>
      <c r="F20" s="101">
        <f>((A6_A_L1*Enmiendas_A)+(A6_B_L1*Enmiendas_B)+(A6_C_L1*Enmiendas_C)+(A6_D_L1*Enmiendas_D)+(A6_Y_L1*Enmiendas_Y))*Inflación_6</f>
        <v>0</v>
      </c>
      <c r="G20" s="101">
        <f>SUMIFS('9'!$E:$E,'9'!$A:$A,Año_Inicial+5,'9'!$B:$B,'12'!F$4,'9'!$D:$D,"Material de enmienda")</f>
        <v>0</v>
      </c>
      <c r="H20" s="101">
        <f>((A6_A_L2*Enmiendas_A)+(A6_B_L2*Enmiendas_B)+(A6_C_L2*Enmiendas_C)+(A6_D_L2*Enmiendas_D)+(A6_Y_L2*Enmiendas_Y))*Inflación_6</f>
        <v>0</v>
      </c>
      <c r="I20" s="101">
        <f>SUMIFS('9'!$E:$E,'9'!$A:$A,Año_Inicial+5,'9'!$B:$B,'12'!H$4,'9'!$D:$D,"Material de enmienda")</f>
        <v>0</v>
      </c>
      <c r="J20" s="101">
        <f>((A6_A_L3*Enmiendas_A)+(A6_B_L3*Enmiendas_B)+(A6_C_L3*Enmiendas_C)+(A6_D_L3*Enmiendas_D)+(A6_Y_L3*Enmiendas_Y))*Inflación_6</f>
        <v>0</v>
      </c>
      <c r="K20" s="101">
        <f>SUMIFS('9'!$E:$E,'9'!$A:$A,Año_Inicial+5,'9'!$B:$B,'12'!J$4,'9'!$D:$D,"Material de enmienda")</f>
        <v>0</v>
      </c>
      <c r="L20" s="101">
        <f>((A6_A_L4*Enmiendas_A)+(A6_B_L4*Enmiendas_B)+(A6_C_L4*Enmiendas_C)+(A6_D_L4*Enmiendas_D)+(A6_Y_L4*Enmiendas_Y))*Inflación_6</f>
        <v>0</v>
      </c>
      <c r="M20" s="101">
        <f>SUMIFS('9'!$E:$E,'9'!$A:$A,Año_Inicial+5,'9'!$B:$B,'12'!L$4,'9'!$D:$D,"Material de enmienda")</f>
        <v>0</v>
      </c>
      <c r="N20" s="101">
        <f>((A6_A_L5*Enmiendas_A)+(A6_B_L5*Enmiendas_B)+(A6_C_L5*Enmiendas_C)+(A6_D_L5*Enmiendas_D)+(A6_Y_L5*Enmiendas_Y))*Inflación_6</f>
        <v>0</v>
      </c>
      <c r="O20" s="101">
        <f>SUMIFS('9'!$E:$E,'9'!$A:$A,Año_Inicial+5,'9'!$B:$B,'12'!N$4,'9'!$D:$D,"Material de enmienda")</f>
        <v>0</v>
      </c>
      <c r="P20" s="101">
        <f>((A6_A_L6*Enmiendas_A)+(A6_B_L6*Enmiendas_B)+(A6_C_L6*Enmiendas_C)+(A6_D_L6*Enmiendas_D)+(A6_Y_L6*Enmiendas_Y))*Inflación_6</f>
        <v>0</v>
      </c>
      <c r="Q20" s="101">
        <f>SUMIFS('9'!$E:$E,'9'!$A:$A,Año_Inicial+5,'9'!$B:$B,'12'!P$4,'9'!$D:$D,"Material de enmienda")</f>
        <v>0</v>
      </c>
      <c r="R20" s="101">
        <f>((A6_A_L7*Enmiendas_A)+(A6_B_L7*Enmiendas_B)+(A6_C_L7*Enmiendas_C)+(A6_D_L7*Enmiendas_D)+(A6_Y_L7*Enmiendas_Y))*Inflación_6</f>
        <v>0</v>
      </c>
      <c r="S20" s="101">
        <f>SUMIFS('9'!$E:$E,'9'!$A:$A,Año_Inicial+5,'9'!$B:$B,'12'!R$4,'9'!$D:$D,"Material de enmienda")</f>
        <v>0</v>
      </c>
      <c r="T20" s="101">
        <f>((A6_A_L8*Enmiendas_A)+(A6_B_L8*Enmiendas_B)+(A6_C_L8*Enmiendas_C)+(A6_D_L8*Enmiendas_D)+(A6_Y_L8*Enmiendas_Y))*Inflación_6</f>
        <v>0</v>
      </c>
      <c r="U20" s="101">
        <f>SUMIFS('9'!$E:$E,'9'!$A:$A,Año_Inicial+5,'9'!$B:$B,'12'!T$4,'9'!$D:$D,"Material de enmienda")</f>
        <v>0</v>
      </c>
      <c r="V20" s="101">
        <f>((A6_A_L9*Enmiendas_A)+(A6_B_L9*Enmiendas_B)+(A6_C_L9*Enmiendas_C)+(A6_D_L9*Enmiendas_D)+(A6_Y_L9*Enmiendas_Y))*Inflación_6</f>
        <v>0</v>
      </c>
      <c r="W20" s="101">
        <f>SUMIFS('9'!$E:$E,'9'!$A:$A,Año_Inicial+5,'9'!$B:$B,'12'!V$4,'9'!$D:$D,"Material de enmienda")</f>
        <v>0</v>
      </c>
      <c r="X20" s="101">
        <f>((A6_A_L10*Enmiendas_A)+(A6_B_L10*Enmiendas_B)+(A6_C_L10*Enmiendas_C)+(A6_D_L10*Enmiendas_D)+(A6_Y_L10*Enmiendas_Y))*Inflación_6</f>
        <v>0</v>
      </c>
      <c r="Y20" s="101">
        <f>SUMIFS('9'!$E:$E,'9'!$A:$A,Año_Inicial+5,'9'!$B:$B,'12'!X$4,'9'!$D:$D,"Material de enmienda")</f>
        <v>0</v>
      </c>
      <c r="Z20" s="101">
        <f>((A6_A_L11*Enmiendas_A)+(A6_B_L11*Enmiendas_B)+(A6_C_L11*Enmiendas_C)+(A6_D_L11*Enmiendas_D)+(A6_Y_L11*Enmiendas_Y))*Inflación_6</f>
        <v>0</v>
      </c>
      <c r="AA20" s="101">
        <f>SUMIFS('9'!$E:$E,'9'!$A:$A,Año_Inicial+5,'9'!$B:$B,'12'!Z$4,'9'!$D:$D,"Material de enmienda")</f>
        <v>0</v>
      </c>
      <c r="AB20" s="101">
        <f>((A6_A_L12*Enmiendas_A)+(A6_B_L12*Enmiendas_B)+(A6_C_L12*Enmiendas_C)+(A6_D_L12*Enmiendas_D)+(A6_Y_L12*Enmiendas_Y))*Inflación_6</f>
        <v>0</v>
      </c>
      <c r="AC20" s="101">
        <f>SUMIFS('9'!$E:$E,'9'!$A:$A,Año_Inicial+5,'9'!$B:$B,'12'!AB$4,'9'!$D:$D,"Material de enmienda")</f>
        <v>0</v>
      </c>
      <c r="AD20" s="101">
        <f>((A6_A_L13*Enmiendas_A)+(A6_B_L13*Enmiendas_B)+(A6_C_L13*Enmiendas_C)+(A6_D_L13*Enmiendas_D)+(A6_Y_L13*Enmiendas_Y))*Inflación_6</f>
        <v>0</v>
      </c>
      <c r="AE20" s="101">
        <f>SUMIFS('9'!$E:$E,'9'!$A:$A,Año_Inicial+5,'9'!$B:$B,'12'!AD$4,'9'!$D:$D,"Material de enmienda")</f>
        <v>0</v>
      </c>
      <c r="AF20" s="101">
        <f>((A6_A_L14*Enmiendas_A)+(A6_B_L14*Enmiendas_B)+(A6_C_L14*Enmiendas_C)+(A6_D_L14*Enmiendas_D)+(A6_Y_L14*Enmiendas_Y))*Inflación_6</f>
        <v>0</v>
      </c>
      <c r="AG20" s="101">
        <f>SUMIFS('9'!$E:$E,'9'!$A:$A,Año_Inicial+5,'9'!$B:$B,'12'!AF$4,'9'!$D:$D,"Material de enmienda")</f>
        <v>0</v>
      </c>
      <c r="AH20" s="101">
        <f>((A6_A_L15*Enmiendas_A)+(A6_B_L15*Enmiendas_B)+(A6_C_L15*Enmiendas_C)+(A6_D_L15*Enmiendas_D)+(A6_Y_L15*Enmiendas_Y))*Inflación_6</f>
        <v>0</v>
      </c>
      <c r="AI20" s="101">
        <f>SUMIFS('9'!$E:$E,'9'!$A:$A,Año_Inicial+5,'9'!$B:$B,'12'!AH$4,'9'!$D:$D,"Material de enmienda")</f>
        <v>0</v>
      </c>
      <c r="AJ20" s="101">
        <f>((A6_A_L16*Enmiendas_A)+(A6_B_L16*Enmiendas_B)+(A6_C_L16*Enmiendas_C)+(A6_D_L16*Enmiendas_D)+(A6_Y_L16*Enmiendas_Y))*Inflación_6</f>
        <v>0</v>
      </c>
      <c r="AK20" s="101">
        <f>SUMIFS('9'!$E:$E,'9'!$A:$A,Año_Inicial+5,'9'!$B:$B,'12'!AJ$4,'9'!$D:$D,"Material de enmienda")</f>
        <v>0</v>
      </c>
      <c r="AL20" s="101">
        <f>((A6_A_L17*Enmiendas_A)+(A6_B_L17*Enmiendas_B)+(A6_C_L17*Enmiendas_C)+(A6_D_L17*Enmiendas_D)+(A6_Y_L17*Enmiendas_Y))*Inflación_6</f>
        <v>0</v>
      </c>
      <c r="AM20" s="101">
        <f>SUMIFS('9'!$E:$E,'9'!$A:$A,Año_Inicial+5,'9'!$B:$B,'12'!AL$4,'9'!$D:$D,"Material de enmienda")</f>
        <v>0</v>
      </c>
      <c r="AN20" s="101">
        <f>((A6_A_L18*Enmiendas_A)+(A6_B_L18*Enmiendas_B)+(A6_C_L18*Enmiendas_C)+(A6_D_L18*Enmiendas_D)+(A6_Y_L18*Enmiendas_Y))*Inflación_6</f>
        <v>0</v>
      </c>
      <c r="AO20" s="101">
        <f>SUMIFS('9'!$E:$E,'9'!$A:$A,Año_Inicial+5,'9'!$B:$B,'12'!AN$4,'9'!$D:$D,"Material de enmienda")</f>
        <v>0</v>
      </c>
      <c r="AP20" s="101">
        <f>((A6_A_L19*Enmiendas_A)+(A6_B_L19*Enmiendas_B)+(A6_C_L19*Enmiendas_C)+(A6_D_L19*Enmiendas_D)+(A6_Y_L19*Enmiendas_Y))*Inflación_6</f>
        <v>0</v>
      </c>
      <c r="AQ20" s="101">
        <f>SUMIFS('9'!$E:$E,'9'!$A:$A,Año_Inicial+5,'9'!$B:$B,'12'!AP$4,'9'!$D:$D,"Material de enmienda")</f>
        <v>0</v>
      </c>
      <c r="AR20" s="101">
        <f>((A6_A_L20*Enmiendas_A)+(A6_B_L20*Enmiendas_B)+(A6_C_L20*Enmiendas_C)+(A6_D_L20*Enmiendas_D)+(A6_Y_L20*Enmiendas_Y))*Inflación_6</f>
        <v>0</v>
      </c>
      <c r="AS20" s="101">
        <f>SUMIFS('9'!$E:$E,'9'!$A:$A,Año_Inicial+5,'9'!$B:$B,'12'!AR$4,'9'!$D:$D,"Material de enmienda")</f>
        <v>0</v>
      </c>
      <c r="AT20" s="101">
        <f>((A6_A_L21*Enmiendas_A)+(A6_B_L21*Enmiendas_B)+(A6_C_L21*Enmiendas_C)+(A6_D_L21*Enmiendas_D)+(A6_Y_L21*Enmiendas_Y))*Inflación_6</f>
        <v>0</v>
      </c>
      <c r="AU20" s="101">
        <f>SUMIFS('9'!$E:$E,'9'!$A:$A,Año_Inicial+5,'9'!$B:$B,'12'!AT$4,'9'!$D:$D,"Material de enmienda")</f>
        <v>0</v>
      </c>
      <c r="AV20" s="101">
        <f>((A6_A_L22*Enmiendas_A)+(A6_B_L22*Enmiendas_B)+(A6_C_L22*Enmiendas_C)+(A6_D_L22*Enmiendas_D)+(A6_Y_L22*Enmiendas_Y))*Inflación_6</f>
        <v>0</v>
      </c>
      <c r="AW20" s="101">
        <f>SUMIFS('9'!$E:$E,'9'!$A:$A,Año_Inicial+5,'9'!$B:$B,'12'!AV$4,'9'!$D:$D,"Material de enmienda")</f>
        <v>0</v>
      </c>
      <c r="AX20" s="101">
        <f>((A6_A_L23*Enmiendas_A)+(A6_B_L23*Enmiendas_B)+(A6_C_L23*Enmiendas_C)+(A6_D_L23*Enmiendas_D)+(A6_Y_L23*Enmiendas_Y))*Inflación_6</f>
        <v>0</v>
      </c>
      <c r="AY20" s="101">
        <f>SUMIFS('9'!$E:$E,'9'!$A:$A,Año_Inicial+5,'9'!$B:$B,'12'!AX$4,'9'!$D:$D,"Material de enmienda")</f>
        <v>0</v>
      </c>
      <c r="AZ20" s="101">
        <f>((A6_A_L24*Enmiendas_A)+(A6_B_L24*Enmiendas_B)+(A6_C_L24*Enmiendas_C)+(A6_D_L24*Enmiendas_D)+(A6_Y_L24*Enmiendas_Y))*Inflación_6</f>
        <v>0</v>
      </c>
      <c r="BA20" s="101">
        <f>SUMIFS('9'!$E:$E,'9'!$A:$A,Año_Inicial+5,'9'!$B:$B,'12'!AZ$4,'9'!$D:$D,"Material de enmienda")</f>
        <v>0</v>
      </c>
      <c r="BB20" s="101">
        <f>((A6_A_L25*Enmiendas_A)+(A6_B_L25*Enmiendas_B)+(A6_C_L25*Enmiendas_C)+(A6_D_L25*Enmiendas_D)+(A6_Y_L25*Enmiendas_Y))*Inflación_6</f>
        <v>0</v>
      </c>
      <c r="BC20" s="101">
        <f>SUMIFS('9'!$E:$E,'9'!$A:$A,Año_Inicial+5,'9'!$B:$B,'12'!BB$4,'9'!$D:$D,"Material de enmienda")</f>
        <v>0</v>
      </c>
      <c r="BD20" s="101">
        <f>((A6_A_L26*Enmiendas_A)+(A6_B_L26*Enmiendas_B)+(A6_C_L26*Enmiendas_C)+(A6_D_L26*Enmiendas_D)+(A6_Y_L26*Enmiendas_Y))*Inflación_6</f>
        <v>0</v>
      </c>
      <c r="BE20" s="101">
        <f>SUMIFS('9'!$E:$E,'9'!$A:$A,Año_Inicial+5,'9'!$B:$B,'12'!BD$4,'9'!$D:$D,"Material de enmienda")</f>
        <v>0</v>
      </c>
      <c r="BF20" s="101">
        <f>((A6_A_L27*Enmiendas_A)+(A6_B_L27*Enmiendas_B)+(A6_C_L27*Enmiendas_C)+(A6_D_L27*Enmiendas_D)+(A6_Y_L27*Enmiendas_Y))*Inflación_6</f>
        <v>0</v>
      </c>
      <c r="BG20" s="101">
        <f>SUMIFS('9'!$E:$E,'9'!$A:$A,Año_Inicial+5,'9'!$B:$B,'12'!BF$4,'9'!$D:$D,"Material de enmienda")</f>
        <v>0</v>
      </c>
      <c r="BH20" s="101">
        <f>((A6_A_L28*Enmiendas_A)+(A6_B_L28*Enmiendas_B)+(A6_C_L28*Enmiendas_C)+(A6_D_L28*Enmiendas_D)+(A6_Y_L28*Enmiendas_Y))*Inflación_6</f>
        <v>0</v>
      </c>
      <c r="BI20" s="101">
        <f>SUMIFS('9'!$E:$E,'9'!$A:$A,Año_Inicial+5,'9'!$B:$B,'12'!BH$4,'9'!$D:$D,"Material de enmienda")</f>
        <v>0</v>
      </c>
      <c r="BJ20" s="101">
        <f>((A6_A_L29*Enmiendas_A)+(A6_B_L29*Enmiendas_B)+(A6_C_L29*Enmiendas_C)+(A6_D_L29*Enmiendas_D)+(A6_Y_L29*Enmiendas_Y))*Inflación_6</f>
        <v>0</v>
      </c>
      <c r="BK20" s="101">
        <f>SUMIFS('9'!$E:$E,'9'!$A:$A,Año_Inicial+5,'9'!$B:$B,'12'!BJ$4,'9'!$D:$D,"Material de enmienda")</f>
        <v>0</v>
      </c>
      <c r="BL20" s="101">
        <f>((A6_A_L30*Enmiendas_A)+(A6_B_L30*Enmiendas_B)+(A6_C_L30*Enmiendas_C)+(A6_D_L30*Enmiendas_D)+(A6_Y_L30*Enmiendas_Y))*Inflación_6</f>
        <v>0</v>
      </c>
      <c r="BM20" s="101">
        <f>SUMIFS('9'!$E:$E,'9'!$A:$A,Año_Inicial+5,'9'!$B:$B,'12'!BL$4,'9'!$D:$D,"Material de enmienda")</f>
        <v>0</v>
      </c>
      <c r="BN20" s="101">
        <f>((A6_A_L31*Enmiendas_A)+(A6_B_L31*Enmiendas_B)+(A6_C_L31*Enmiendas_C)+(A6_D_L31*Enmiendas_D)+(A6_Y_L31*Enmiendas_Y))*Inflación_6</f>
        <v>0</v>
      </c>
      <c r="BO20" s="101">
        <f>SUMIFS('9'!$E:$E,'9'!$A:$A,Año_Inicial+5,'9'!$B:$B,'12'!BN$4,'9'!$D:$D,"Material de enmienda")</f>
        <v>0</v>
      </c>
      <c r="BP20" s="101">
        <f>((A6_A_L32*Enmiendas_A)+(A6_B_L32*Enmiendas_B)+(A6_C_L32*Enmiendas_C)+(A6_D_L32*Enmiendas_D)+(A6_Y_L32*Enmiendas_Y))*Inflación_6</f>
        <v>0</v>
      </c>
      <c r="BQ20" s="101">
        <f>SUMIFS('9'!$E:$E,'9'!$A:$A,Año_Inicial+5,'9'!$B:$B,'12'!BP$4,'9'!$D:$D,"Material de enmienda")</f>
        <v>0</v>
      </c>
      <c r="BR20" s="101">
        <f>((A6_A_L33*Enmiendas_A)+(A6_B_L33*Enmiendas_B)+(A6_C_L33*Enmiendas_C)+(A6_D_L33*Enmiendas_D)+(A6_Y_L33*Enmiendas_Y))*Inflación_6</f>
        <v>0</v>
      </c>
      <c r="BS20" s="101">
        <f>SUMIFS('9'!$E:$E,'9'!$A:$A,Año_Inicial+5,'9'!$B:$B,'12'!BR$4,'9'!$D:$D,"Material de enmienda")</f>
        <v>0</v>
      </c>
      <c r="BT20" s="101">
        <f>((A6_A_L34*Enmiendas_A)+(A6_B_L34*Enmiendas_B)+(A6_C_L34*Enmiendas_C)+(A6_D_L34*Enmiendas_D)+(A6_Y_L34*Enmiendas_Y))*Inflación_6</f>
        <v>0</v>
      </c>
      <c r="BU20" s="101">
        <f>SUMIFS('9'!$E:$E,'9'!$A:$A,Año_Inicial+5,'9'!$B:$B,'12'!BT$4,'9'!$D:$D,"Material de enmienda")</f>
        <v>0</v>
      </c>
      <c r="BV20" s="101">
        <f>((A6_A_L35*Enmiendas_A)+(A6_B_L35*Enmiendas_B)+(A6_C_L35*Enmiendas_C)+(A6_D_L35*Enmiendas_D)+(A6_Y_L35*Enmiendas_Y))*Inflación_6</f>
        <v>0</v>
      </c>
      <c r="BW20" s="101">
        <f>SUMIFS('9'!$E:$E,'9'!$A:$A,Año_Inicial+5,'9'!$B:$B,'12'!BV$4,'9'!$D:$D,"Material de enmienda")</f>
        <v>0</v>
      </c>
      <c r="BX20" s="101">
        <f>((A6_A_L36*Enmiendas_A)+(A6_B_L36*Enmiendas_B)+(A6_C_L36*Enmiendas_C)+(A6_D_L36*Enmiendas_D)+(A6_Y_L36*Enmiendas_Y))*Inflación_6</f>
        <v>0</v>
      </c>
      <c r="BY20" s="101">
        <f>SUMIFS('9'!$E:$E,'9'!$A:$A,Año_Inicial+5,'9'!$B:$B,'12'!BX$4,'9'!$D:$D,"Material de enmienda")</f>
        <v>0</v>
      </c>
      <c r="BZ20" s="101">
        <f>((A6_A_L37*Enmiendas_A)+(A6_B_L37*Enmiendas_B)+(A6_C_L37*Enmiendas_C)+(A6_D_L37*Enmiendas_D)+(A6_Y_L37*Enmiendas_Y))*Inflación_6</f>
        <v>0</v>
      </c>
      <c r="CA20" s="101">
        <f>SUMIFS('9'!$E:$E,'9'!$A:$A,Año_Inicial+5,'9'!$B:$B,'12'!BZ$4,'9'!$D:$D,"Material de enmienda")</f>
        <v>0</v>
      </c>
      <c r="CB20" s="101">
        <f>((A6_A_L38*Enmiendas_A)+(A6_B_L38*Enmiendas_B)+(A6_C_L38*Enmiendas_C)+(A6_D_L38*Enmiendas_D)+(A6_Y_L38*Enmiendas_Y))*Inflación_6</f>
        <v>0</v>
      </c>
      <c r="CC20" s="101">
        <f>SUMIFS('9'!$E:$E,'9'!$A:$A,Año_Inicial+5,'9'!$B:$B,'12'!CB$4,'9'!$D:$D,"Material de enmienda")</f>
        <v>0</v>
      </c>
      <c r="CD20" s="101">
        <f>((A6_A_L39*Enmiendas_A)+(A6_B_L39*Enmiendas_B)+(A6_C_L39*Enmiendas_C)+(A6_D_L39*Enmiendas_D)+(A6_Y_L39*Enmiendas_Y))*Inflación_6</f>
        <v>0</v>
      </c>
      <c r="CE20" s="101">
        <f>SUMIFS('9'!$E:$E,'9'!$A:$A,Año_Inicial+5,'9'!$B:$B,'12'!CD$4,'9'!$D:$D,"Material de enmienda")</f>
        <v>0</v>
      </c>
      <c r="CF20" s="101">
        <f>((A6_A_L40*Enmiendas_A)+(A6_B_L40*Enmiendas_B)+(A6_C_L40*Enmiendas_C)+(A6_D_L40*Enmiendas_D)+(A6_Y_L40*Enmiendas_Y))*Inflación_6</f>
        <v>0</v>
      </c>
      <c r="CG20" s="101">
        <f>SUMIFS('9'!$E:$E,'9'!$A:$A,Año_Inicial+5,'9'!$B:$B,'12'!CF$4,'9'!$D:$D,"Material de enmienda")</f>
        <v>0</v>
      </c>
      <c r="CH20" s="473"/>
      <c r="CI20" s="101">
        <f>Plantas_A_A6*Enmiendas_A*Inflación_6</f>
        <v>0</v>
      </c>
      <c r="CJ20" s="101">
        <f>Plantas_B_A6*Enmiendas_B</f>
        <v>0</v>
      </c>
      <c r="CK20" s="101">
        <f>Plantas_C_A6*Enmiendas_C</f>
        <v>0</v>
      </c>
      <c r="CL20" s="101">
        <f>Plantas_D_A6*Enmiendas_D</f>
        <v>0</v>
      </c>
      <c r="CM20" s="101"/>
      <c r="CN20" s="101">
        <f>Plantas_Y_A6*Enmiendas_Y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SUMIFS('9'!$E:$E,'9'!$A:$A,Año_Inicial+5,'9'!$D:$D,"Aplicación de herbicida")</f>
        <v>0</v>
      </c>
      <c r="D22" s="100">
        <f t="shared" si="45"/>
        <v>0</v>
      </c>
      <c r="E22" s="473"/>
      <c r="F22" s="101">
        <f>((A6_A_L1*Malezas_A)+(A6_B_L1*Malezas_B)+(A6_C_L1*Malezas_C)+(A6_D_L1*Malezas_D)+(A6_Y_L1*Malezas_Y))*Inflación_6</f>
        <v>0</v>
      </c>
      <c r="G22" s="101">
        <f>SUMIFS('9'!$E:$E,'9'!$A:$A,Año_Inicial+5,'9'!$B:$B,'12'!F$4,'9'!$D:$D,"Aplicación de herbicida")</f>
        <v>0</v>
      </c>
      <c r="H22" s="101">
        <f>((A6_A_L2*Malezas_A)+(A6_B_L2*Malezas_B)+(A6_C_L2*Malezas_C)+(A6_D_L2*Malezas_D)+(A6_Y_L2*Malezas_Y))*Inflación_6</f>
        <v>0</v>
      </c>
      <c r="I22" s="101">
        <f>SUMIFS('9'!$E:$E,'9'!$A:$A,Año_Inicial+5,'9'!$B:$B,'12'!H$4,'9'!$D:$D,"Aplicación de herbicida")</f>
        <v>0</v>
      </c>
      <c r="J22" s="101">
        <f>((A6_A_L3*Malezas_A)+(A6_B_L3*Malezas_B)+(A6_C_L3*Malezas_C)+(A6_D_L3*Malezas_D)+(A6_Y_L3*Malezas_Y))*Inflación_6</f>
        <v>0</v>
      </c>
      <c r="K22" s="101">
        <f>SUMIFS('9'!$E:$E,'9'!$A:$A,Año_Inicial+5,'9'!$B:$B,'12'!J$4,'9'!$D:$D,"Aplicación de herbicida")</f>
        <v>0</v>
      </c>
      <c r="L22" s="101">
        <f>((A6_A_L4*Malezas_A)+(A6_B_L4*Malezas_B)+(A6_C_L4*Malezas_C)+(A6_D_L4*Malezas_D)+(A6_Y_L4*Malezas_Y))*Inflación_6</f>
        <v>0</v>
      </c>
      <c r="M22" s="101">
        <f>SUMIFS('9'!$E:$E,'9'!$A:$A,Año_Inicial+5,'9'!$B:$B,'12'!L$4,'9'!$D:$D,"Aplicación de herbicida")</f>
        <v>0</v>
      </c>
      <c r="N22" s="101">
        <f>((A6_A_L5*Malezas_A)+(A6_B_L5*Malezas_B)+(A6_C_L5*Malezas_C)+(A6_D_L5*Malezas_D)+(A6_Y_L5*Malezas_Y))*Inflación_6</f>
        <v>0</v>
      </c>
      <c r="O22" s="101">
        <f>SUMIFS('9'!$E:$E,'9'!$A:$A,Año_Inicial+5,'9'!$B:$B,'12'!N$4,'9'!$D:$D,"Aplicación de herbicida")</f>
        <v>0</v>
      </c>
      <c r="P22" s="101">
        <f>((A6_A_L6*Malezas_A)+(A6_B_L6*Malezas_B)+(A6_C_L6*Malezas_C)+(A6_D_L6*Malezas_D)+(A6_Y_L6*Malezas_Y))*Inflación_6</f>
        <v>0</v>
      </c>
      <c r="Q22" s="101">
        <f>SUMIFS('9'!$E:$E,'9'!$A:$A,Año_Inicial+5,'9'!$B:$B,'12'!P$4,'9'!$D:$D,"Aplicación de herbicida")</f>
        <v>0</v>
      </c>
      <c r="R22" s="101">
        <f>((A6_A_L7*Malezas_A)+(A6_B_L7*Malezas_B)+(A6_C_L7*Malezas_C)+(A6_D_L7*Malezas_D)+(A6_Y_L7*Malezas_Y))*Inflación_6</f>
        <v>0</v>
      </c>
      <c r="S22" s="101">
        <f>SUMIFS('9'!$E:$E,'9'!$A:$A,Año_Inicial+5,'9'!$B:$B,'12'!R$4,'9'!$D:$D,"Aplicación de herbicida")</f>
        <v>0</v>
      </c>
      <c r="T22" s="101">
        <f>((A6_A_L8*Malezas_A)+(A6_B_L8*Malezas_B)+(A6_C_L8*Malezas_C)+(A6_D_L8*Malezas_D)+(A6_Y_L8*Malezas_Y))*Inflación_6</f>
        <v>0</v>
      </c>
      <c r="U22" s="101">
        <f>SUMIFS('9'!$E:$E,'9'!$A:$A,Año_Inicial+5,'9'!$B:$B,'12'!T$4,'9'!$D:$D,"Aplicación de herbicida")</f>
        <v>0</v>
      </c>
      <c r="V22" s="101">
        <f>((A6_A_L9*Malezas_A)+(A6_B_L9*Malezas_B)+(A6_C_L9*Malezas_C)+(A6_D_L9*Malezas_D)+(A6_Y_L9*Malezas_Y))*Inflación_6</f>
        <v>0</v>
      </c>
      <c r="W22" s="101">
        <f>SUMIFS('9'!$E:$E,'9'!$A:$A,Año_Inicial+5,'9'!$B:$B,'12'!V$4,'9'!$D:$D,"Aplicación de herbicida")</f>
        <v>0</v>
      </c>
      <c r="X22" s="101">
        <f>((A6_A_L10*Malezas_A)+(A6_B_L10*Malezas_B)+(A6_C_L10*Malezas_C)+(A6_D_L10*Malezas_D)+(A6_Y_L10*Malezas_Y))*Inflación_6</f>
        <v>0</v>
      </c>
      <c r="Y22" s="101">
        <f>SUMIFS('9'!$E:$E,'9'!$A:$A,Año_Inicial+5,'9'!$B:$B,'12'!X$4,'9'!$D:$D,"Aplicación de herbicida")</f>
        <v>0</v>
      </c>
      <c r="Z22" s="101">
        <f>((A6_A_L11*Malezas_A)+(A6_B_L11*Malezas_B)+(A6_C_L11*Malezas_C)+(A6_D_L11*Malezas_D)+(A6_Y_L11*Malezas_Y))*Inflación_6</f>
        <v>0</v>
      </c>
      <c r="AA22" s="101">
        <f>SUMIFS('9'!$E:$E,'9'!$A:$A,Año_Inicial+5,'9'!$B:$B,'12'!Z$4,'9'!$D:$D,"Aplicación de herbicida")</f>
        <v>0</v>
      </c>
      <c r="AB22" s="101">
        <f>((A6_A_L12*Malezas_A)+(A6_B_L12*Malezas_B)+(A6_C_L12*Malezas_C)+(A6_D_L12*Malezas_D)+(A6_Y_L12*Malezas_Y))*Inflación_6</f>
        <v>0</v>
      </c>
      <c r="AC22" s="101">
        <f>SUMIFS('9'!$E:$E,'9'!$A:$A,Año_Inicial+5,'9'!$B:$B,'12'!AB$4,'9'!$D:$D,"Aplicación de herbicida")</f>
        <v>0</v>
      </c>
      <c r="AD22" s="101">
        <f>((A6_A_L13*Malezas_A)+(A6_B_L13*Malezas_B)+(A6_C_L13*Malezas_C)+(A6_D_L13*Malezas_D)+(A6_Y_L13*Malezas_Y))*Inflación_6</f>
        <v>0</v>
      </c>
      <c r="AE22" s="101">
        <f>SUMIFS('9'!$E:$E,'9'!$A:$A,Año_Inicial+5,'9'!$B:$B,'12'!AD$4,'9'!$D:$D,"Aplicación de herbicida")</f>
        <v>0</v>
      </c>
      <c r="AF22" s="101">
        <f>((A6_A_L14*Malezas_A)+(A6_B_L14*Malezas_B)+(A6_C_L14*Malezas_C)+(A6_D_L14*Malezas_D)+(A6_Y_L14*Malezas_Y))*Inflación_6</f>
        <v>0</v>
      </c>
      <c r="AG22" s="101">
        <f>SUMIFS('9'!$E:$E,'9'!$A:$A,Año_Inicial+5,'9'!$B:$B,'12'!AF$4,'9'!$D:$D,"Aplicación de herbicida")</f>
        <v>0</v>
      </c>
      <c r="AH22" s="101">
        <f>((A6_A_L15*Malezas_A)+(A6_B_L15*Malezas_B)+(A6_C_L15*Malezas_C)+(A6_D_L15*Malezas_D)+(A6_Y_L15*Malezas_Y))*Inflación_6</f>
        <v>0</v>
      </c>
      <c r="AI22" s="101">
        <f>SUMIFS('9'!$E:$E,'9'!$A:$A,Año_Inicial+5,'9'!$B:$B,'12'!AH$4,'9'!$D:$D,"Aplicación de herbicida")</f>
        <v>0</v>
      </c>
      <c r="AJ22" s="101">
        <f>((A6_A_L16*Malezas_A)+(A6_B_L16*Malezas_B)+(A6_C_L16*Malezas_C)+(A6_D_L16*Malezas_D)+(A6_Y_L16*Malezas_Y))*Inflación_6</f>
        <v>0</v>
      </c>
      <c r="AK22" s="101">
        <f>SUMIFS('9'!$E:$E,'9'!$A:$A,Año_Inicial+5,'9'!$B:$B,'12'!AJ$4,'9'!$D:$D,"Aplicación de herbicida")</f>
        <v>0</v>
      </c>
      <c r="AL22" s="101">
        <f>((A6_A_L17*Malezas_A)+(A6_B_L17*Malezas_B)+(A6_C_L17*Malezas_C)+(A6_D_L17*Malezas_D)+(A6_Y_L17*Malezas_Y))*Inflación_6</f>
        <v>0</v>
      </c>
      <c r="AM22" s="101">
        <f>SUMIFS('9'!$E:$E,'9'!$A:$A,Año_Inicial+5,'9'!$B:$B,'12'!AL$4,'9'!$D:$D,"Aplicación de herbicida")</f>
        <v>0</v>
      </c>
      <c r="AN22" s="101">
        <f>((A6_A_L18*Malezas_A)+(A6_B_L18*Malezas_B)+(A6_C_L18*Malezas_C)+(A6_D_L18*Malezas_D)+(A6_Y_L18*Malezas_Y))*Inflación_6</f>
        <v>0</v>
      </c>
      <c r="AO22" s="101">
        <f>SUMIFS('9'!$E:$E,'9'!$A:$A,Año_Inicial+5,'9'!$B:$B,'12'!AN$4,'9'!$D:$D,"Aplicación de herbicida")</f>
        <v>0</v>
      </c>
      <c r="AP22" s="101">
        <f>((A6_A_L19*Malezas_A)+(A6_B_L19*Malezas_B)+(A6_C_L19*Malezas_C)+(A6_D_L19*Malezas_D)+(A6_Y_L19*Malezas_Y))*Inflación_6</f>
        <v>0</v>
      </c>
      <c r="AQ22" s="101">
        <f>SUMIFS('9'!$E:$E,'9'!$A:$A,Año_Inicial+5,'9'!$B:$B,'12'!AP$4,'9'!$D:$D,"Aplicación de herbicida")</f>
        <v>0</v>
      </c>
      <c r="AR22" s="101">
        <f>((A6_A_L20*Malezas_A)+(A6_B_L20*Malezas_B)+(A6_C_L20*Malezas_C)+(A6_D_L20*Malezas_D)+(A6_Y_L20*Malezas_Y))*Inflación_6</f>
        <v>0</v>
      </c>
      <c r="AS22" s="101">
        <f>SUMIFS('9'!$E:$E,'9'!$A:$A,Año_Inicial+5,'9'!$B:$B,'12'!AR$4,'9'!$D:$D,"Aplicación de herbicida")</f>
        <v>0</v>
      </c>
      <c r="AT22" s="101">
        <f>((A6_A_L21*Malezas_A)+(A6_B_L21*Malezas_B)+(A6_C_L21*Malezas_C)+(A6_D_L21*Malezas_D)+(A6_Y_L21*Malezas_Y))*Inflación_6</f>
        <v>0</v>
      </c>
      <c r="AU22" s="101">
        <f>SUMIFS('9'!$E:$E,'9'!$A:$A,Año_Inicial+5,'9'!$B:$B,'12'!AT$4,'9'!$D:$D,"Aplicación de herbicida")</f>
        <v>0</v>
      </c>
      <c r="AV22" s="101">
        <f>((A6_A_L22*Malezas_A)+(A6_B_L22*Malezas_B)+(A6_C_L22*Malezas_C)+(A6_D_L22*Malezas_D)+(A6_Y_L22*Malezas_Y))*Inflación_6</f>
        <v>0</v>
      </c>
      <c r="AW22" s="101">
        <f>SUMIFS('9'!$E:$E,'9'!$A:$A,Año_Inicial+5,'9'!$B:$B,'12'!AV$4,'9'!$D:$D,"Aplicación de herbicida")</f>
        <v>0</v>
      </c>
      <c r="AX22" s="101">
        <f>((A6_A_L23*Malezas_A)+(A6_B_L23*Malezas_B)+(A6_C_L23*Malezas_C)+(A6_D_L23*Malezas_D)+(A6_Y_L23*Malezas_Y))*Inflación_6</f>
        <v>0</v>
      </c>
      <c r="AY22" s="101">
        <f>SUMIFS('9'!$E:$E,'9'!$A:$A,Año_Inicial+5,'9'!$B:$B,'12'!AX$4,'9'!$D:$D,"Aplicación de herbicida")</f>
        <v>0</v>
      </c>
      <c r="AZ22" s="101">
        <f>((A6_A_L24*Malezas_A)+(A6_B_L24*Malezas_B)+(A6_C_L24*Malezas_C)+(A6_D_L24*Malezas_D)+(A6_Y_L24*Malezas_Y))*Inflación_6</f>
        <v>0</v>
      </c>
      <c r="BA22" s="101">
        <f>SUMIFS('9'!$E:$E,'9'!$A:$A,Año_Inicial+5,'9'!$B:$B,'12'!AZ$4,'9'!$D:$D,"Aplicación de herbicida")</f>
        <v>0</v>
      </c>
      <c r="BB22" s="101">
        <f>((A6_A_L25*Malezas_A)+(A6_B_L25*Malezas_B)+(A6_C_L25*Malezas_C)+(A6_D_L25*Malezas_D)+(A6_Y_L25*Malezas_Y))*Inflación_6</f>
        <v>0</v>
      </c>
      <c r="BC22" s="101">
        <f>SUMIFS('9'!$E:$E,'9'!$A:$A,Año_Inicial+5,'9'!$B:$B,'12'!BB$4,'9'!$D:$D,"Aplicación de herbicida")</f>
        <v>0</v>
      </c>
      <c r="BD22" s="101">
        <f>((A6_A_L26*Malezas_A)+(A6_B_L26*Malezas_B)+(A6_C_L26*Malezas_C)+(A6_D_L26*Malezas_D)+(A6_Y_L26*Malezas_Y))*Inflación_6</f>
        <v>0</v>
      </c>
      <c r="BE22" s="101">
        <f>SUMIFS('9'!$E:$E,'9'!$A:$A,Año_Inicial+5,'9'!$B:$B,'12'!BD$4,'9'!$D:$D,"Aplicación de herbicida")</f>
        <v>0</v>
      </c>
      <c r="BF22" s="101">
        <f>((A6_A_L27*Malezas_A)+(A6_B_L27*Malezas_B)+(A6_C_L27*Malezas_C)+(A6_D_L27*Malezas_D)+(A6_Y_L27*Malezas_Y))*Inflación_6</f>
        <v>0</v>
      </c>
      <c r="BG22" s="101">
        <f>SUMIFS('9'!$E:$E,'9'!$A:$A,Año_Inicial+5,'9'!$B:$B,'12'!BF$4,'9'!$D:$D,"Aplicación de herbicida")</f>
        <v>0</v>
      </c>
      <c r="BH22" s="101">
        <f>((A6_A_L28*Malezas_A)+(A6_B_L28*Malezas_B)+(A6_C_L28*Malezas_C)+(A6_D_L28*Malezas_D)+(A6_Y_L28*Malezas_Y))*Inflación_6</f>
        <v>0</v>
      </c>
      <c r="BI22" s="101">
        <f>SUMIFS('9'!$E:$E,'9'!$A:$A,Año_Inicial+5,'9'!$B:$B,'12'!BH$4,'9'!$D:$D,"Aplicación de herbicida")</f>
        <v>0</v>
      </c>
      <c r="BJ22" s="101">
        <f>((A6_A_L29*Malezas_A)+(A6_B_L29*Malezas_B)+(A6_C_L29*Malezas_C)+(A6_D_L29*Malezas_D)+(A6_Y_L29*Malezas_Y))*Inflación_6</f>
        <v>0</v>
      </c>
      <c r="BK22" s="101">
        <f>SUMIFS('9'!$E:$E,'9'!$A:$A,Año_Inicial+5,'9'!$B:$B,'12'!BJ$4,'9'!$D:$D,"Aplicación de herbicida")</f>
        <v>0</v>
      </c>
      <c r="BL22" s="101">
        <f>((A6_A_L30*Malezas_A)+(A6_B_L30*Malezas_B)+(A6_C_L30*Malezas_C)+(A6_D_L30*Malezas_D)+(A6_Y_L30*Malezas_Y))*Inflación_6</f>
        <v>0</v>
      </c>
      <c r="BM22" s="101">
        <f>SUMIFS('9'!$E:$E,'9'!$A:$A,Año_Inicial+5,'9'!$B:$B,'12'!BL$4,'9'!$D:$D,"Aplicación de herbicida")</f>
        <v>0</v>
      </c>
      <c r="BN22" s="101">
        <f>((A6_A_L31*Malezas_A)+(A6_B_L31*Malezas_B)+(A6_C_L31*Malezas_C)+(A6_D_L31*Malezas_D)+(A6_Y_L31*Malezas_Y))*Inflación_6</f>
        <v>0</v>
      </c>
      <c r="BO22" s="101">
        <f>SUMIFS('9'!$E:$E,'9'!$A:$A,Año_Inicial+5,'9'!$B:$B,'12'!BN$4,'9'!$D:$D,"Aplicación de herbicida")</f>
        <v>0</v>
      </c>
      <c r="BP22" s="101">
        <f>((A6_A_L32*Malezas_A)+(A6_B_L32*Malezas_B)+(A6_C_L32*Malezas_C)+(A6_D_L32*Malezas_D)+(A6_Y_L32*Malezas_Y))*Inflación_6</f>
        <v>0</v>
      </c>
      <c r="BQ22" s="101">
        <f>SUMIFS('9'!$E:$E,'9'!$A:$A,Año_Inicial+5,'9'!$B:$B,'12'!BP$4,'9'!$D:$D,"Aplicación de herbicida")</f>
        <v>0</v>
      </c>
      <c r="BR22" s="101">
        <f>((A6_A_L33*Malezas_A)+(A6_B_L33*Malezas_B)+(A6_C_L33*Malezas_C)+(A6_D_L33*Malezas_D)+(A6_Y_L33*Malezas_Y))*Inflación_6</f>
        <v>0</v>
      </c>
      <c r="BS22" s="101">
        <f>SUMIFS('9'!$E:$E,'9'!$A:$A,Año_Inicial+5,'9'!$B:$B,'12'!BR$4,'9'!$D:$D,"Aplicación de herbicida")</f>
        <v>0</v>
      </c>
      <c r="BT22" s="101">
        <f>((A6_A_L34*Malezas_A)+(A6_B_L34*Malezas_B)+(A6_C_L34*Malezas_C)+(A6_D_L34*Malezas_D)+(A6_Y_L34*Malezas_Y))*Inflación_6</f>
        <v>0</v>
      </c>
      <c r="BU22" s="101">
        <f>SUMIFS('9'!$E:$E,'9'!$A:$A,Año_Inicial+5,'9'!$B:$B,'12'!BT$4,'9'!$D:$D,"Aplicación de herbicida")</f>
        <v>0</v>
      </c>
      <c r="BV22" s="101">
        <f>((A6_A_L35*Malezas_A)+(A6_B_L35*Malezas_B)+(A6_C_L35*Malezas_C)+(A6_D_L35*Malezas_D)+(A6_Y_L35*Malezas_Y))*Inflación_6</f>
        <v>0</v>
      </c>
      <c r="BW22" s="101">
        <f>SUMIFS('9'!$E:$E,'9'!$A:$A,Año_Inicial+5,'9'!$B:$B,'12'!BV$4,'9'!$D:$D,"Aplicación de herbicida")</f>
        <v>0</v>
      </c>
      <c r="BX22" s="101">
        <f>((A6_A_L36*Malezas_A)+(A6_B_L36*Malezas_B)+(A6_C_L36*Malezas_C)+(A6_D_L36*Malezas_D)+(A6_Y_L36*Malezas_Y))*Inflación_6</f>
        <v>0</v>
      </c>
      <c r="BY22" s="101">
        <f>SUMIFS('9'!$E:$E,'9'!$A:$A,Año_Inicial+5,'9'!$B:$B,'12'!BX$4,'9'!$D:$D,"Aplicación de herbicida")</f>
        <v>0</v>
      </c>
      <c r="BZ22" s="101">
        <f>((A6_A_L37*Malezas_A)+(A6_B_L37*Malezas_B)+(A6_C_L37*Malezas_C)+(A6_D_L37*Malezas_D)+(A6_Y_L37*Malezas_Y))*Inflación_6</f>
        <v>0</v>
      </c>
      <c r="CA22" s="101">
        <f>SUMIFS('9'!$E:$E,'9'!$A:$A,Año_Inicial+5,'9'!$B:$B,'12'!BZ$4,'9'!$D:$D,"Aplicación de herbicida")</f>
        <v>0</v>
      </c>
      <c r="CB22" s="101">
        <f>((A6_A_L38*Malezas_A)+(A6_B_L38*Malezas_B)+(A6_C_L38*Malezas_C)+(A6_D_L38*Malezas_D)+(A6_Y_L38*Malezas_Y))*Inflación_6</f>
        <v>0</v>
      </c>
      <c r="CC22" s="101">
        <f>SUMIFS('9'!$E:$E,'9'!$A:$A,Año_Inicial+5,'9'!$B:$B,'12'!CB$4,'9'!$D:$D,"Aplicación de herbicida")</f>
        <v>0</v>
      </c>
      <c r="CD22" s="101">
        <f>((A6_A_L39*Malezas_A)+(A6_B_L39*Malezas_B)+(A6_C_L39*Malezas_C)+(A6_D_L39*Malezas_D)+(A6_Y_L39*Malezas_Y))*Inflación_6</f>
        <v>0</v>
      </c>
      <c r="CE22" s="101">
        <f>SUMIFS('9'!$E:$E,'9'!$A:$A,Año_Inicial+5,'9'!$B:$B,'12'!CD$4,'9'!$D:$D,"Aplicación de herbicida")</f>
        <v>0</v>
      </c>
      <c r="CF22" s="101">
        <f>((A6_A_L40*Malezas_A)+(A6_B_L40*Malezas_B)+(A6_C_L40*Malezas_C)+(A6_D_L40*Malezas_D)+(A6_Y_L40*Malezas_Y))*Inflación_6</f>
        <v>0</v>
      </c>
      <c r="CG22" s="101">
        <f>SUMIFS('9'!$E:$E,'9'!$A:$A,Año_Inicial+5,'9'!$B:$B,'12'!CF$4,'9'!$D:$D,"Aplicación de herbicida")</f>
        <v>0</v>
      </c>
      <c r="CH22" s="473"/>
      <c r="CI22" s="101">
        <f>Plantas_A_A6*Malezas_A*Inflación_6</f>
        <v>0</v>
      </c>
      <c r="CJ22" s="101">
        <f>Plantas_B_A6*Malezas_B</f>
        <v>0</v>
      </c>
      <c r="CK22" s="101">
        <f>Plantas_C_A6*Malezas_C</f>
        <v>0</v>
      </c>
      <c r="CL22" s="101">
        <f>Plantas_D_A6*Malezas_D</f>
        <v>0</v>
      </c>
      <c r="CM22" s="101"/>
      <c r="CN22" s="101">
        <f>Plantas_Y_A6*Malezas_Y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SUMIFS('9'!$E:$E,'9'!$A:$A,Año_Inicial+5,'9'!$D:$D,"Limpias manuales")</f>
        <v>0</v>
      </c>
      <c r="D23" s="100">
        <f t="shared" si="45"/>
        <v>0</v>
      </c>
      <c r="E23" s="473"/>
      <c r="F23" s="101">
        <f>((A6_A_L1*Limpias_A)+(A6_B_L1*Limpias_B)+(A6_C_L1*Limpias_C)+(A6_D_L1*Limpias_D)+(A6_Y_L1*Limpias_Y))*Inflación_6</f>
        <v>0</v>
      </c>
      <c r="G23" s="101">
        <f>SUMIFS('9'!$E:$E,'9'!$A:$A,Año_Inicial+5,'9'!$B:$B,'12'!F$4,'9'!$D:$D,"Limpias manuales")</f>
        <v>0</v>
      </c>
      <c r="H23" s="101">
        <f>((A6_A_L2*Limpias_A)+(A6_B_L2*Limpias_B)+(A6_C_L2*Limpias_C)+(A6_D_L2*Limpias_D)+(A6_Y_L2*Limpias_Y))*Inflación_6</f>
        <v>0</v>
      </c>
      <c r="I23" s="101">
        <f>SUMIFS('9'!$E:$E,'9'!$A:$A,Año_Inicial+5,'9'!$B:$B,'12'!H$4,'9'!$D:$D,"Limpias manuales")</f>
        <v>0</v>
      </c>
      <c r="J23" s="101">
        <f>((A6_A_L3*Limpias_A)+(A6_B_L3*Limpias_B)+(A6_C_L3*Limpias_C)+(A6_D_L3*Limpias_D)+(A6_Y_L3*Limpias_Y))*Inflación_6</f>
        <v>0</v>
      </c>
      <c r="K23" s="101">
        <f>SUMIFS('9'!$E:$E,'9'!$A:$A,Año_Inicial+5,'9'!$B:$B,'12'!J$4,'9'!$D:$D,"Limpias manuales")</f>
        <v>0</v>
      </c>
      <c r="L23" s="101">
        <f>((A6_A_L4*Limpias_A)+(A6_B_L4*Limpias_B)+(A6_C_L4*Limpias_C)+(A6_D_L4*Limpias_D)+(A6_Y_L4*Limpias_Y))*Inflación_6</f>
        <v>0</v>
      </c>
      <c r="M23" s="101">
        <f>SUMIFS('9'!$E:$E,'9'!$A:$A,Año_Inicial+5,'9'!$B:$B,'12'!L$4,'9'!$D:$D,"Limpias manuales")</f>
        <v>0</v>
      </c>
      <c r="N23" s="101">
        <f>((A6_A_L5*Limpias_A)+(A6_B_L5*Limpias_B)+(A6_C_L5*Limpias_C)+(A6_D_L5*Limpias_D)+(A6_Y_L5*Limpias_Y))*Inflación_6</f>
        <v>0</v>
      </c>
      <c r="O23" s="101">
        <f>SUMIFS('9'!$E:$E,'9'!$A:$A,Año_Inicial+5,'9'!$B:$B,'12'!N$4,'9'!$D:$D,"Limpias manuales")</f>
        <v>0</v>
      </c>
      <c r="P23" s="101">
        <f>((A6_A_L6*Limpias_A)+(A6_B_L6*Limpias_B)+(A6_C_L6*Limpias_C)+(A6_D_L6*Limpias_D)+(A6_Y_L6*Limpias_Y))*Inflación_6</f>
        <v>0</v>
      </c>
      <c r="Q23" s="101">
        <f>SUMIFS('9'!$E:$E,'9'!$A:$A,Año_Inicial+5,'9'!$B:$B,'12'!P$4,'9'!$D:$D,"Limpias manuales")</f>
        <v>0</v>
      </c>
      <c r="R23" s="101">
        <f>((A6_A_L7*Limpias_A)+(A6_B_L7*Limpias_B)+(A6_C_L7*Limpias_C)+(A6_D_L7*Limpias_D)+(A6_Y_L7*Limpias_Y))*Inflación_6</f>
        <v>0</v>
      </c>
      <c r="S23" s="101">
        <f>SUMIFS('9'!$E:$E,'9'!$A:$A,Año_Inicial+5,'9'!$B:$B,'12'!R$4,'9'!$D:$D,"Limpias manuales")</f>
        <v>0</v>
      </c>
      <c r="T23" s="101">
        <f>((A6_A_L8*Limpias_A)+(A6_B_L8*Limpias_B)+(A6_C_L8*Limpias_C)+(A6_D_L8*Limpias_D)+(A6_Y_L8*Limpias_Y))*Inflación_6</f>
        <v>0</v>
      </c>
      <c r="U23" s="101">
        <f>SUMIFS('9'!$E:$E,'9'!$A:$A,Año_Inicial+5,'9'!$B:$B,'12'!T$4,'9'!$D:$D,"Limpias manuales")</f>
        <v>0</v>
      </c>
      <c r="V23" s="101">
        <f>((A6_A_L9*Limpias_A)+(A6_B_L9*Limpias_B)+(A6_C_L9*Limpias_C)+(A6_D_L9*Limpias_D)+(A6_Y_L9*Limpias_Y))*Inflación_6</f>
        <v>0</v>
      </c>
      <c r="W23" s="101">
        <f>SUMIFS('9'!$E:$E,'9'!$A:$A,Año_Inicial+5,'9'!$B:$B,'12'!V$4,'9'!$D:$D,"Limpias manuales")</f>
        <v>0</v>
      </c>
      <c r="X23" s="101">
        <f>((A6_A_L10*Limpias_A)+(A6_B_L10*Limpias_B)+(A6_C_L10*Limpias_C)+(A6_D_L10*Limpias_D)+(A6_Y_L10*Limpias_Y))*Inflación_6</f>
        <v>0</v>
      </c>
      <c r="Y23" s="101">
        <f>SUMIFS('9'!$E:$E,'9'!$A:$A,Año_Inicial+5,'9'!$B:$B,'12'!X$4,'9'!$D:$D,"Limpias manuales")</f>
        <v>0</v>
      </c>
      <c r="Z23" s="101">
        <f>((A6_A_L11*Limpias_A)+(A6_B_L11*Limpias_B)+(A6_C_L11*Limpias_C)+(A6_D_L11*Limpias_D)+(A6_Y_L11*Limpias_Y))*Inflación_6</f>
        <v>0</v>
      </c>
      <c r="AA23" s="101">
        <f>SUMIFS('9'!$E:$E,'9'!$A:$A,Año_Inicial+5,'9'!$B:$B,'12'!Z$4,'9'!$D:$D,"Limpias manuales")</f>
        <v>0</v>
      </c>
      <c r="AB23" s="101">
        <f>((A6_A_L12*Limpias_A)+(A6_B_L12*Limpias_B)+(A6_C_L12*Limpias_C)+(A6_D_L12*Limpias_D)+(A6_Y_L12*Limpias_Y))*Inflación_6</f>
        <v>0</v>
      </c>
      <c r="AC23" s="101">
        <f>SUMIFS('9'!$E:$E,'9'!$A:$A,Año_Inicial+5,'9'!$B:$B,'12'!AB$4,'9'!$D:$D,"Limpias manuales")</f>
        <v>0</v>
      </c>
      <c r="AD23" s="101">
        <f>((A6_A_L13*Limpias_A)+(A6_B_L13*Limpias_B)+(A6_C_L13*Limpias_C)+(A6_D_L13*Limpias_D)+(A6_Y_L13*Limpias_Y))*Inflación_6</f>
        <v>0</v>
      </c>
      <c r="AE23" s="101">
        <f>SUMIFS('9'!$E:$E,'9'!$A:$A,Año_Inicial+5,'9'!$B:$B,'12'!AD$4,'9'!$D:$D,"Limpias manuales")</f>
        <v>0</v>
      </c>
      <c r="AF23" s="101">
        <f>((A6_A_L14*Limpias_A)+(A6_B_L14*Limpias_B)+(A6_C_L14*Limpias_C)+(A6_D_L14*Limpias_D)+(A6_Y_L14*Limpias_Y))*Inflación_6</f>
        <v>0</v>
      </c>
      <c r="AG23" s="101">
        <f>SUMIFS('9'!$E:$E,'9'!$A:$A,Año_Inicial+5,'9'!$B:$B,'12'!AF$4,'9'!$D:$D,"Limpias manuales")</f>
        <v>0</v>
      </c>
      <c r="AH23" s="101">
        <f>((A6_A_L15*Limpias_A)+(A6_B_L15*Limpias_B)+(A6_C_L15*Limpias_C)+(A6_D_L15*Limpias_D)+(A6_Y_L15*Limpias_Y))*Inflación_6</f>
        <v>0</v>
      </c>
      <c r="AI23" s="101">
        <f>SUMIFS('9'!$E:$E,'9'!$A:$A,Año_Inicial+5,'9'!$B:$B,'12'!AH$4,'9'!$D:$D,"Limpias manuales")</f>
        <v>0</v>
      </c>
      <c r="AJ23" s="101">
        <f>((A6_A_L16*Limpias_A)+(A6_B_L16*Limpias_B)+(A6_C_L16*Limpias_C)+(A6_D_L16*Limpias_D)+(A6_Y_L16*Limpias_Y))*Inflación_6</f>
        <v>0</v>
      </c>
      <c r="AK23" s="101">
        <f>SUMIFS('9'!$E:$E,'9'!$A:$A,Año_Inicial+5,'9'!$B:$B,'12'!AJ$4,'9'!$D:$D,"Limpias manuales")</f>
        <v>0</v>
      </c>
      <c r="AL23" s="101">
        <f>((A6_A_L17*Limpias_A)+(A6_B_L17*Limpias_B)+(A6_C_L17*Limpias_C)+(A6_D_L17*Limpias_D)+(A6_Y_L17*Limpias_Y))*Inflación_6</f>
        <v>0</v>
      </c>
      <c r="AM23" s="101">
        <f>SUMIFS('9'!$E:$E,'9'!$A:$A,Año_Inicial+5,'9'!$B:$B,'12'!AL$4,'9'!$D:$D,"Limpias manuales")</f>
        <v>0</v>
      </c>
      <c r="AN23" s="101">
        <f>((A6_A_L18*Limpias_A)+(A6_B_L18*Limpias_B)+(A6_C_L18*Limpias_C)+(A6_D_L18*Limpias_D)+(A6_Y_L18*Limpias_Y))*Inflación_6</f>
        <v>0</v>
      </c>
      <c r="AO23" s="101">
        <f>SUMIFS('9'!$E:$E,'9'!$A:$A,Año_Inicial+5,'9'!$B:$B,'12'!AN$4,'9'!$D:$D,"Limpias manuales")</f>
        <v>0</v>
      </c>
      <c r="AP23" s="101">
        <f>((A6_A_L19*Limpias_A)+(A6_B_L19*Limpias_B)+(A6_C_L19*Limpias_C)+(A6_D_L19*Limpias_D)+(A6_Y_L19*Limpias_Y))*Inflación_6</f>
        <v>0</v>
      </c>
      <c r="AQ23" s="101">
        <f>SUMIFS('9'!$E:$E,'9'!$A:$A,Año_Inicial+5,'9'!$B:$B,'12'!AP$4,'9'!$D:$D,"Limpias manuales")</f>
        <v>0</v>
      </c>
      <c r="AR23" s="101">
        <f>((A6_A_L20*Limpias_A)+(A6_B_L20*Limpias_B)+(A6_C_L20*Limpias_C)+(A6_D_L20*Limpias_D)+(A6_Y_L20*Limpias_Y))*Inflación_6</f>
        <v>0</v>
      </c>
      <c r="AS23" s="101">
        <f>SUMIFS('9'!$E:$E,'9'!$A:$A,Año_Inicial+5,'9'!$B:$B,'12'!AR$4,'9'!$D:$D,"Limpias manuales")</f>
        <v>0</v>
      </c>
      <c r="AT23" s="101">
        <f>((A6_A_L21*Limpias_A)+(A6_B_L21*Limpias_B)+(A6_C_L21*Limpias_C)+(A6_D_L21*Limpias_D)+(A6_Y_L21*Limpias_Y))*Inflación_6</f>
        <v>0</v>
      </c>
      <c r="AU23" s="101">
        <f>SUMIFS('9'!$E:$E,'9'!$A:$A,Año_Inicial+5,'9'!$B:$B,'12'!AT$4,'9'!$D:$D,"Limpias manuales")</f>
        <v>0</v>
      </c>
      <c r="AV23" s="101">
        <f>((A6_A_L22*Limpias_A)+(A6_B_L22*Limpias_B)+(A6_C_L22*Limpias_C)+(A6_D_L22*Limpias_D)+(A6_Y_L22*Limpias_Y))*Inflación_6</f>
        <v>0</v>
      </c>
      <c r="AW23" s="101">
        <f>SUMIFS('9'!$E:$E,'9'!$A:$A,Año_Inicial+5,'9'!$B:$B,'12'!AV$4,'9'!$D:$D,"Limpias manuales")</f>
        <v>0</v>
      </c>
      <c r="AX23" s="101">
        <f>((A6_A_L23*Limpias_A)+(A6_B_L23*Limpias_B)+(A6_C_L23*Limpias_C)+(A6_D_L23*Limpias_D)+(A6_Y_L23*Limpias_Y))*Inflación_6</f>
        <v>0</v>
      </c>
      <c r="AY23" s="101">
        <f>SUMIFS('9'!$E:$E,'9'!$A:$A,Año_Inicial+5,'9'!$B:$B,'12'!AX$4,'9'!$D:$D,"Limpias manuales")</f>
        <v>0</v>
      </c>
      <c r="AZ23" s="101">
        <f>((A6_A_L24*Limpias_A)+(A6_B_L24*Limpias_B)+(A6_C_L24*Limpias_C)+(A6_D_L24*Limpias_D)+(A6_Y_L24*Limpias_Y))*Inflación_6</f>
        <v>0</v>
      </c>
      <c r="BA23" s="101">
        <f>SUMIFS('9'!$E:$E,'9'!$A:$A,Año_Inicial+5,'9'!$B:$B,'12'!AZ$4,'9'!$D:$D,"Limpias manuales")</f>
        <v>0</v>
      </c>
      <c r="BB23" s="101">
        <f>((A6_A_L25*Limpias_A)+(A6_B_L25*Limpias_B)+(A6_C_L25*Limpias_C)+(A6_D_L25*Limpias_D)+(A6_Y_L25*Limpias_Y))*Inflación_6</f>
        <v>0</v>
      </c>
      <c r="BC23" s="101">
        <f>SUMIFS('9'!$E:$E,'9'!$A:$A,Año_Inicial+5,'9'!$B:$B,'12'!BB$4,'9'!$D:$D,"Limpias manuales")</f>
        <v>0</v>
      </c>
      <c r="BD23" s="101">
        <f>((A6_A_L26*Limpias_A)+(A6_B_L26*Limpias_B)+(A6_C_L26*Limpias_C)+(A6_D_L26*Limpias_D)+(A6_Y_L26*Limpias_Y))*Inflación_6</f>
        <v>0</v>
      </c>
      <c r="BE23" s="101">
        <f>SUMIFS('9'!$E:$E,'9'!$A:$A,Año_Inicial+5,'9'!$B:$B,'12'!BD$4,'9'!$D:$D,"Limpias manuales")</f>
        <v>0</v>
      </c>
      <c r="BF23" s="101">
        <f>((A6_A_L27*Limpias_A)+(A6_B_L27*Limpias_B)+(A6_C_L27*Limpias_C)+(A6_D_L27*Limpias_D)+(A6_Y_L27*Limpias_Y))*Inflación_6</f>
        <v>0</v>
      </c>
      <c r="BG23" s="101">
        <f>SUMIFS('9'!$E:$E,'9'!$A:$A,Año_Inicial+5,'9'!$B:$B,'12'!BF$4,'9'!$D:$D,"Limpias manuales")</f>
        <v>0</v>
      </c>
      <c r="BH23" s="101">
        <f>((A6_A_L28*Limpias_A)+(A6_B_L28*Limpias_B)+(A6_C_L28*Limpias_C)+(A6_D_L28*Limpias_D)+(A6_Y_L28*Limpias_Y))*Inflación_6</f>
        <v>0</v>
      </c>
      <c r="BI23" s="101">
        <f>SUMIFS('9'!$E:$E,'9'!$A:$A,Año_Inicial+5,'9'!$B:$B,'12'!BH$4,'9'!$D:$D,"Limpias manuales")</f>
        <v>0</v>
      </c>
      <c r="BJ23" s="101">
        <f>((A6_A_L29*Limpias_A)+(A6_B_L29*Limpias_B)+(A6_C_L29*Limpias_C)+(A6_D_L29*Limpias_D)+(A6_Y_L29*Limpias_Y))*Inflación_6</f>
        <v>0</v>
      </c>
      <c r="BK23" s="101">
        <f>SUMIFS('9'!$E:$E,'9'!$A:$A,Año_Inicial+5,'9'!$B:$B,'12'!BJ$4,'9'!$D:$D,"Limpias manuales")</f>
        <v>0</v>
      </c>
      <c r="BL23" s="101">
        <f>((A6_A_L30*Limpias_A)+(A6_B_L30*Limpias_B)+(A6_C_L30*Limpias_C)+(A6_D_L30*Limpias_D)+(A6_Y_L30*Limpias_Y))*Inflación_6</f>
        <v>0</v>
      </c>
      <c r="BM23" s="101">
        <f>SUMIFS('9'!$E:$E,'9'!$A:$A,Año_Inicial+5,'9'!$B:$B,'12'!BL$4,'9'!$D:$D,"Limpias manuales")</f>
        <v>0</v>
      </c>
      <c r="BN23" s="101">
        <f>((A6_A_L31*Limpias_A)+(A6_B_L31*Limpias_B)+(A6_C_L31*Limpias_C)+(A6_D_L31*Limpias_D)+(A6_Y_L31*Limpias_Y))*Inflación_6</f>
        <v>0</v>
      </c>
      <c r="BO23" s="101">
        <f>SUMIFS('9'!$E:$E,'9'!$A:$A,Año_Inicial+5,'9'!$B:$B,'12'!BN$4,'9'!$D:$D,"Limpias manuales")</f>
        <v>0</v>
      </c>
      <c r="BP23" s="101">
        <f>((A6_A_L32*Limpias_A)+(A6_B_L32*Limpias_B)+(A6_C_L32*Limpias_C)+(A6_D_L32*Limpias_D)+(A6_Y_L32*Limpias_Y))*Inflación_6</f>
        <v>0</v>
      </c>
      <c r="BQ23" s="101">
        <f>SUMIFS('9'!$E:$E,'9'!$A:$A,Año_Inicial+5,'9'!$B:$B,'12'!BP$4,'9'!$D:$D,"Limpias manuales")</f>
        <v>0</v>
      </c>
      <c r="BR23" s="101">
        <f>((A6_A_L33*Limpias_A)+(A6_B_L33*Limpias_B)+(A6_C_L33*Limpias_C)+(A6_D_L33*Limpias_D)+(A6_Y_L33*Limpias_Y))*Inflación_6</f>
        <v>0</v>
      </c>
      <c r="BS23" s="101">
        <f>SUMIFS('9'!$E:$E,'9'!$A:$A,Año_Inicial+5,'9'!$B:$B,'12'!BR$4,'9'!$D:$D,"Limpias manuales")</f>
        <v>0</v>
      </c>
      <c r="BT23" s="101">
        <f>((A6_A_L34*Limpias_A)+(A6_B_L34*Limpias_B)+(A6_C_L34*Limpias_C)+(A6_D_L34*Limpias_D)+(A6_Y_L34*Limpias_Y))*Inflación_6</f>
        <v>0</v>
      </c>
      <c r="BU23" s="101">
        <f>SUMIFS('9'!$E:$E,'9'!$A:$A,Año_Inicial+5,'9'!$B:$B,'12'!BT$4,'9'!$D:$D,"Limpias manuales")</f>
        <v>0</v>
      </c>
      <c r="BV23" s="101">
        <f>((A6_A_L35*Limpias_A)+(A6_B_L35*Limpias_B)+(A6_C_L35*Limpias_C)+(A6_D_L35*Limpias_D)+(A6_Y_L35*Limpias_Y))*Inflación_6</f>
        <v>0</v>
      </c>
      <c r="BW23" s="101">
        <f>SUMIFS('9'!$E:$E,'9'!$A:$A,Año_Inicial+5,'9'!$B:$B,'12'!BV$4,'9'!$D:$D,"Limpias manuales")</f>
        <v>0</v>
      </c>
      <c r="BX23" s="101">
        <f>((A6_A_L36*Limpias_A)+(A6_B_L36*Limpias_B)+(A6_C_L36*Limpias_C)+(A6_D_L36*Limpias_D)+(A6_Y_L36*Limpias_Y))*Inflación_6</f>
        <v>0</v>
      </c>
      <c r="BY23" s="101">
        <f>SUMIFS('9'!$E:$E,'9'!$A:$A,Año_Inicial+5,'9'!$B:$B,'12'!BX$4,'9'!$D:$D,"Limpias manuales")</f>
        <v>0</v>
      </c>
      <c r="BZ23" s="101">
        <f>((A6_A_L37*Limpias_A)+(A6_B_L37*Limpias_B)+(A6_C_L37*Limpias_C)+(A6_D_L37*Limpias_D)+(A6_Y_L37*Limpias_Y))*Inflación_6</f>
        <v>0</v>
      </c>
      <c r="CA23" s="101">
        <f>SUMIFS('9'!$E:$E,'9'!$A:$A,Año_Inicial+5,'9'!$B:$B,'12'!BZ$4,'9'!$D:$D,"Limpias manuales")</f>
        <v>0</v>
      </c>
      <c r="CB23" s="101">
        <f>((A6_A_L38*Limpias_A)+(A6_B_L38*Limpias_B)+(A6_C_L38*Limpias_C)+(A6_D_L38*Limpias_D)+(A6_Y_L38*Limpias_Y))*Inflación_6</f>
        <v>0</v>
      </c>
      <c r="CC23" s="101">
        <f>SUMIFS('9'!$E:$E,'9'!$A:$A,Año_Inicial+5,'9'!$B:$B,'12'!CB$4,'9'!$D:$D,"Limpias manuales")</f>
        <v>0</v>
      </c>
      <c r="CD23" s="101">
        <f>((A6_A_L39*Limpias_A)+(A6_B_L39*Limpias_B)+(A6_C_L39*Limpias_C)+(A6_D_L39*Limpias_D)+(A6_Y_L39*Limpias_Y))*Inflación_6</f>
        <v>0</v>
      </c>
      <c r="CE23" s="101">
        <f>SUMIFS('9'!$E:$E,'9'!$A:$A,Año_Inicial+5,'9'!$B:$B,'12'!CD$4,'9'!$D:$D,"Limpias manuales")</f>
        <v>0</v>
      </c>
      <c r="CF23" s="101">
        <f>((A6_A_L40*Limpias_A)+(A6_B_L40*Limpias_B)+(A6_C_L40*Limpias_C)+(A6_D_L40*Limpias_D)+(A6_Y_L40*Limpias_Y))*Inflación_6</f>
        <v>0</v>
      </c>
      <c r="CG23" s="101">
        <f>SUMIFS('9'!$E:$E,'9'!$A:$A,Año_Inicial+5,'9'!$B:$B,'12'!CF$4,'9'!$D:$D,"Limpias manuales")</f>
        <v>0</v>
      </c>
      <c r="CH23" s="473"/>
      <c r="CI23" s="101">
        <f>Plantas_A_A6*Limpias_A*Inflación_6</f>
        <v>0</v>
      </c>
      <c r="CJ23" s="101">
        <f>Plantas_B_A6*Limpias_B</f>
        <v>0</v>
      </c>
      <c r="CK23" s="101">
        <f>Plantas_C_A6*Limpias_C</f>
        <v>0</v>
      </c>
      <c r="CL23" s="101">
        <f>Plantas_D_A6*Limpias_D</f>
        <v>0</v>
      </c>
      <c r="CM23" s="101"/>
      <c r="CN23" s="101">
        <f>Plantas_Y_A6*Limpias_Y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SUMIFS('9'!$E:$E,'9'!$A:$A,Año_Inicial+5,'9'!$D:$D,"Herbicida")</f>
        <v>0</v>
      </c>
      <c r="D24" s="100">
        <f t="shared" si="45"/>
        <v>0</v>
      </c>
      <c r="E24" s="473"/>
      <c r="F24" s="101">
        <f>((A6_A_L1*Herbicida_A)+(A6_B_L1*Herbicida_B)+(A6_C_L1*Herbicida_C)+(A6_D_L1*Herbicida_D)+(A6_Y_L1*Herbicida_Y))*Inflación_6</f>
        <v>0</v>
      </c>
      <c r="G24" s="101">
        <f>SUMIFS('9'!$E:$E,'9'!$A:$A,Año_Inicial+5,'9'!$B:$B,'12'!F$4,'9'!$D:$D,"Herbicida")</f>
        <v>0</v>
      </c>
      <c r="H24" s="101">
        <f>((A6_A_L2*Herbicida_A)+(A6_B_L2*Herbicida_B)+(A6_C_L2*Herbicida_C)+(A6_D_L2*Herbicida_D)+(A6_Y_L2*Herbicida_Y))*Inflación_6</f>
        <v>0</v>
      </c>
      <c r="I24" s="101">
        <f>SUMIFS('9'!$E:$E,'9'!$A:$A,Año_Inicial+5,'9'!$B:$B,'12'!H$4,'9'!$D:$D,"Herbicida")</f>
        <v>0</v>
      </c>
      <c r="J24" s="101">
        <f>((A6_A_L3*Herbicida_A)+(A6_B_L3*Herbicida_B)+(A6_C_L3*Herbicida_C)+(A6_D_L3*Herbicida_D)+(A6_Y_L3*Herbicida_Y))*Inflación_6</f>
        <v>0</v>
      </c>
      <c r="K24" s="101">
        <f>SUMIFS('9'!$E:$E,'9'!$A:$A,Año_Inicial+5,'9'!$B:$B,'12'!J$4,'9'!$D:$D,"Herbicida")</f>
        <v>0</v>
      </c>
      <c r="L24" s="101">
        <f>((A6_A_L4*Herbicida_A)+(A6_B_L4*Herbicida_B)+(A6_C_L4*Herbicida_C)+(A6_D_L4*Herbicida_D)+(A6_Y_L4*Herbicida_Y))*Inflación_6</f>
        <v>0</v>
      </c>
      <c r="M24" s="101">
        <f>SUMIFS('9'!$E:$E,'9'!$A:$A,Año_Inicial+5,'9'!$B:$B,'12'!L$4,'9'!$D:$D,"Herbicida")</f>
        <v>0</v>
      </c>
      <c r="N24" s="101">
        <f>((A6_A_L5*Herbicida_A)+(A6_B_L5*Herbicida_B)+(A6_C_L5*Herbicida_C)+(A6_D_L5*Herbicida_D)+(A6_Y_L5*Herbicida_Y))*Inflación_6</f>
        <v>0</v>
      </c>
      <c r="O24" s="101">
        <f>SUMIFS('9'!$E:$E,'9'!$A:$A,Año_Inicial+5,'9'!$B:$B,'12'!N$4,'9'!$D:$D,"Herbicida")</f>
        <v>0</v>
      </c>
      <c r="P24" s="101">
        <f>((A6_A_L6*Herbicida_A)+(A6_B_L6*Herbicida_B)+(A6_C_L6*Herbicida_C)+(A6_D_L6*Herbicida_D)+(A6_Y_L6*Herbicida_Y))*Inflación_6</f>
        <v>0</v>
      </c>
      <c r="Q24" s="101">
        <f>SUMIFS('9'!$E:$E,'9'!$A:$A,Año_Inicial+5,'9'!$B:$B,'12'!P$4,'9'!$D:$D,"Herbicida")</f>
        <v>0</v>
      </c>
      <c r="R24" s="101">
        <f>((A6_A_L7*Herbicida_A)+(A6_B_L7*Herbicida_B)+(A6_C_L7*Herbicida_C)+(A6_D_L7*Herbicida_D)+(A6_Y_L7*Herbicida_Y))*Inflación_6</f>
        <v>0</v>
      </c>
      <c r="S24" s="101">
        <f>SUMIFS('9'!$E:$E,'9'!$A:$A,Año_Inicial+5,'9'!$B:$B,'12'!R$4,'9'!$D:$D,"Herbicida")</f>
        <v>0</v>
      </c>
      <c r="T24" s="101">
        <f>((A6_A_L8*Herbicida_A)+(A6_B_L8*Herbicida_B)+(A6_C_L8*Herbicida_C)+(A6_D_L8*Herbicida_D)+(A6_Y_L8*Herbicida_Y))*Inflación_6</f>
        <v>0</v>
      </c>
      <c r="U24" s="101">
        <f>SUMIFS('9'!$E:$E,'9'!$A:$A,Año_Inicial+5,'9'!$B:$B,'12'!T$4,'9'!$D:$D,"Herbicida")</f>
        <v>0</v>
      </c>
      <c r="V24" s="101">
        <f>((A6_A_L9*Herbicida_A)+(A6_B_L9*Herbicida_B)+(A6_C_L9*Herbicida_C)+(A6_D_L9*Herbicida_D)+(A6_Y_L9*Herbicida_Y))*Inflación_6</f>
        <v>0</v>
      </c>
      <c r="W24" s="101">
        <f>SUMIFS('9'!$E:$E,'9'!$A:$A,Año_Inicial+5,'9'!$B:$B,'12'!V$4,'9'!$D:$D,"Herbicida")</f>
        <v>0</v>
      </c>
      <c r="X24" s="101">
        <f>((A6_A_L10*Herbicida_A)+(A6_B_L10*Herbicida_B)+(A6_C_L10*Herbicida_C)+(A6_D_L10*Herbicida_D)+(A6_Y_L10*Herbicida_Y))*Inflación_6</f>
        <v>0</v>
      </c>
      <c r="Y24" s="101">
        <f>SUMIFS('9'!$E:$E,'9'!$A:$A,Año_Inicial+5,'9'!$B:$B,'12'!X$4,'9'!$D:$D,"Herbicida")</f>
        <v>0</v>
      </c>
      <c r="Z24" s="101">
        <f>((A6_A_L11*Herbicida_A)+(A6_B_L11*Herbicida_B)+(A6_C_L11*Herbicida_C)+(A6_D_L11*Herbicida_D)+(A6_Y_L11*Herbicida_Y))*Inflación_6</f>
        <v>0</v>
      </c>
      <c r="AA24" s="101">
        <f>SUMIFS('9'!$E:$E,'9'!$A:$A,Año_Inicial+5,'9'!$B:$B,'12'!Z$4,'9'!$D:$D,"Herbicida")</f>
        <v>0</v>
      </c>
      <c r="AB24" s="101">
        <f>((A6_A_L12*Herbicida_A)+(A6_B_L12*Herbicida_B)+(A6_C_L12*Herbicida_C)+(A6_D_L12*Herbicida_D)+(A6_Y_L12*Herbicida_Y))*Inflación_6</f>
        <v>0</v>
      </c>
      <c r="AC24" s="101">
        <f>SUMIFS('9'!$E:$E,'9'!$A:$A,Año_Inicial+5,'9'!$B:$B,'12'!AB$4,'9'!$D:$D,"Herbicida")</f>
        <v>0</v>
      </c>
      <c r="AD24" s="101">
        <f>((A6_A_L13*Herbicida_A)+(A6_B_L13*Herbicida_B)+(A6_C_L13*Herbicida_C)+(A6_D_L13*Herbicida_D)+(A6_Y_L13*Herbicida_Y))*Inflación_6</f>
        <v>0</v>
      </c>
      <c r="AE24" s="101">
        <f>SUMIFS('9'!$E:$E,'9'!$A:$A,Año_Inicial+5,'9'!$B:$B,'12'!AD$4,'9'!$D:$D,"Herbicida")</f>
        <v>0</v>
      </c>
      <c r="AF24" s="101">
        <f>((A6_A_L14*Herbicida_A)+(A6_B_L14*Herbicida_B)+(A6_C_L14*Herbicida_C)+(A6_D_L14*Herbicida_D)+(A6_Y_L14*Herbicida_Y))*Inflación_6</f>
        <v>0</v>
      </c>
      <c r="AG24" s="101">
        <f>SUMIFS('9'!$E:$E,'9'!$A:$A,Año_Inicial+5,'9'!$B:$B,'12'!AF$4,'9'!$D:$D,"Herbicida")</f>
        <v>0</v>
      </c>
      <c r="AH24" s="101">
        <f>((A6_A_L15*Herbicida_A)+(A6_B_L15*Herbicida_B)+(A6_C_L15*Herbicida_C)+(A6_D_L15*Herbicida_D)+(A6_Y_L15*Herbicida_Y))*Inflación_6</f>
        <v>0</v>
      </c>
      <c r="AI24" s="101">
        <f>SUMIFS('9'!$E:$E,'9'!$A:$A,Año_Inicial+5,'9'!$B:$B,'12'!AH$4,'9'!$D:$D,"Herbicida")</f>
        <v>0</v>
      </c>
      <c r="AJ24" s="101">
        <f>((A6_A_L16*Herbicida_A)+(A6_B_L16*Herbicida_B)+(A6_C_L16*Herbicida_C)+(A6_D_L16*Herbicida_D)+(A6_Y_L16*Herbicida_Y))*Inflación_6</f>
        <v>0</v>
      </c>
      <c r="AK24" s="101">
        <f>SUMIFS('9'!$E:$E,'9'!$A:$A,Año_Inicial+5,'9'!$B:$B,'12'!AJ$4,'9'!$D:$D,"Herbicida")</f>
        <v>0</v>
      </c>
      <c r="AL24" s="101">
        <f>((A6_A_L17*Herbicida_A)+(A6_B_L17*Herbicida_B)+(A6_C_L17*Herbicida_C)+(A6_D_L17*Herbicida_D)+(A6_Y_L17*Herbicida_Y))*Inflación_6</f>
        <v>0</v>
      </c>
      <c r="AM24" s="101">
        <f>SUMIFS('9'!$E:$E,'9'!$A:$A,Año_Inicial+5,'9'!$B:$B,'12'!AL$4,'9'!$D:$D,"Herbicida")</f>
        <v>0</v>
      </c>
      <c r="AN24" s="101">
        <f>((A6_A_L18*Herbicida_A)+(A6_B_L18*Herbicida_B)+(A6_C_L18*Herbicida_C)+(A6_D_L18*Herbicida_D)+(A6_Y_L18*Herbicida_Y))*Inflación_6</f>
        <v>0</v>
      </c>
      <c r="AO24" s="101">
        <f>SUMIFS('9'!$E:$E,'9'!$A:$A,Año_Inicial+5,'9'!$B:$B,'12'!AN$4,'9'!$D:$D,"Herbicida")</f>
        <v>0</v>
      </c>
      <c r="AP24" s="101">
        <f>((A6_A_L19*Herbicida_A)+(A6_B_L19*Herbicida_B)+(A6_C_L19*Herbicida_C)+(A6_D_L19*Herbicida_D)+(A6_Y_L19*Herbicida_Y))*Inflación_6</f>
        <v>0</v>
      </c>
      <c r="AQ24" s="101">
        <f>SUMIFS('9'!$E:$E,'9'!$A:$A,Año_Inicial+5,'9'!$B:$B,'12'!AP$4,'9'!$D:$D,"Herbicida")</f>
        <v>0</v>
      </c>
      <c r="AR24" s="101">
        <f>((A6_A_L20*Herbicida_A)+(A6_B_L20*Herbicida_B)+(A6_C_L20*Herbicida_C)+(A6_D_L20*Herbicida_D)+(A6_Y_L20*Herbicida_Y))*Inflación_6</f>
        <v>0</v>
      </c>
      <c r="AS24" s="101">
        <f>SUMIFS('9'!$E:$E,'9'!$A:$A,Año_Inicial+5,'9'!$B:$B,'12'!AR$4,'9'!$D:$D,"Herbicida")</f>
        <v>0</v>
      </c>
      <c r="AT24" s="101">
        <f>((A6_A_L21*Herbicida_A)+(A6_B_L21*Herbicida_B)+(A6_C_L21*Herbicida_C)+(A6_D_L21*Herbicida_D)+(A6_Y_L21*Herbicida_Y))*Inflación_6</f>
        <v>0</v>
      </c>
      <c r="AU24" s="101">
        <f>SUMIFS('9'!$E:$E,'9'!$A:$A,Año_Inicial+5,'9'!$B:$B,'12'!AT$4,'9'!$D:$D,"Herbicida")</f>
        <v>0</v>
      </c>
      <c r="AV24" s="101">
        <f>((A6_A_L22*Herbicida_A)+(A6_B_L22*Herbicida_B)+(A6_C_L22*Herbicida_C)+(A6_D_L22*Herbicida_D)+(A6_Y_L22*Herbicida_Y))*Inflación_6</f>
        <v>0</v>
      </c>
      <c r="AW24" s="101">
        <f>SUMIFS('9'!$E:$E,'9'!$A:$A,Año_Inicial+5,'9'!$B:$B,'12'!AV$4,'9'!$D:$D,"Herbicida")</f>
        <v>0</v>
      </c>
      <c r="AX24" s="101">
        <f>((A6_A_L23*Herbicida_A)+(A6_B_L23*Herbicida_B)+(A6_C_L23*Herbicida_C)+(A6_D_L23*Herbicida_D)+(A6_Y_L23*Herbicida_Y))*Inflación_6</f>
        <v>0</v>
      </c>
      <c r="AY24" s="101">
        <f>SUMIFS('9'!$E:$E,'9'!$A:$A,Año_Inicial+5,'9'!$B:$B,'12'!AX$4,'9'!$D:$D,"Herbicida")</f>
        <v>0</v>
      </c>
      <c r="AZ24" s="101">
        <f>((A6_A_L24*Herbicida_A)+(A6_B_L24*Herbicida_B)+(A6_C_L24*Herbicida_C)+(A6_D_L24*Herbicida_D)+(A6_Y_L24*Herbicida_Y))*Inflación_6</f>
        <v>0</v>
      </c>
      <c r="BA24" s="101">
        <f>SUMIFS('9'!$E:$E,'9'!$A:$A,Año_Inicial+5,'9'!$B:$B,'12'!AZ$4,'9'!$D:$D,"Herbicida")</f>
        <v>0</v>
      </c>
      <c r="BB24" s="101">
        <f>((A6_A_L25*Herbicida_A)+(A6_B_L25*Herbicida_B)+(A6_C_L25*Herbicida_C)+(A6_D_L25*Herbicida_D)+(A6_Y_L25*Herbicida_Y))*Inflación_6</f>
        <v>0</v>
      </c>
      <c r="BC24" s="101">
        <f>SUMIFS('9'!$E:$E,'9'!$A:$A,Año_Inicial+5,'9'!$B:$B,'12'!BB$4,'9'!$D:$D,"Herbicida")</f>
        <v>0</v>
      </c>
      <c r="BD24" s="101">
        <f>((A6_A_L26*Herbicida_A)+(A6_B_L26*Herbicida_B)+(A6_C_L26*Herbicida_C)+(A6_D_L26*Herbicida_D)+(A6_Y_L26*Herbicida_Y))*Inflación_6</f>
        <v>0</v>
      </c>
      <c r="BE24" s="101">
        <f>SUMIFS('9'!$E:$E,'9'!$A:$A,Año_Inicial+5,'9'!$B:$B,'12'!BD$4,'9'!$D:$D,"Herbicida")</f>
        <v>0</v>
      </c>
      <c r="BF24" s="101">
        <f>((A6_A_L27*Herbicida_A)+(A6_B_L27*Herbicida_B)+(A6_C_L27*Herbicida_C)+(A6_D_L27*Herbicida_D)+(A6_Y_L27*Herbicida_Y))*Inflación_6</f>
        <v>0</v>
      </c>
      <c r="BG24" s="101">
        <f>SUMIFS('9'!$E:$E,'9'!$A:$A,Año_Inicial+5,'9'!$B:$B,'12'!BF$4,'9'!$D:$D,"Herbicida")</f>
        <v>0</v>
      </c>
      <c r="BH24" s="101">
        <f>((A6_A_L28*Herbicida_A)+(A6_B_L28*Herbicida_B)+(A6_C_L28*Herbicida_C)+(A6_D_L28*Herbicida_D)+(A6_Y_L28*Herbicida_Y))*Inflación_6</f>
        <v>0</v>
      </c>
      <c r="BI24" s="101">
        <f>SUMIFS('9'!$E:$E,'9'!$A:$A,Año_Inicial+5,'9'!$B:$B,'12'!BH$4,'9'!$D:$D,"Herbicida")</f>
        <v>0</v>
      </c>
      <c r="BJ24" s="101">
        <f>((A6_A_L29*Herbicida_A)+(A6_B_L29*Herbicida_B)+(A6_C_L29*Herbicida_C)+(A6_D_L29*Herbicida_D)+(A6_Y_L29*Herbicida_Y))*Inflación_6</f>
        <v>0</v>
      </c>
      <c r="BK24" s="101">
        <f>SUMIFS('9'!$E:$E,'9'!$A:$A,Año_Inicial+5,'9'!$B:$B,'12'!BJ$4,'9'!$D:$D,"Herbicida")</f>
        <v>0</v>
      </c>
      <c r="BL24" s="101">
        <f>((A6_A_L30*Herbicida_A)+(A6_B_L30*Herbicida_B)+(A6_C_L30*Herbicida_C)+(A6_D_L30*Herbicida_D)+(A6_Y_L30*Herbicida_Y))*Inflación_6</f>
        <v>0</v>
      </c>
      <c r="BM24" s="101">
        <f>SUMIFS('9'!$E:$E,'9'!$A:$A,Año_Inicial+5,'9'!$B:$B,'12'!BL$4,'9'!$D:$D,"Herbicida")</f>
        <v>0</v>
      </c>
      <c r="BN24" s="101">
        <f>((A6_A_L31*Herbicida_A)+(A6_B_L31*Herbicida_B)+(A6_C_L31*Herbicida_C)+(A6_D_L31*Herbicida_D)+(A6_Y_L31*Herbicida_Y))*Inflación_6</f>
        <v>0</v>
      </c>
      <c r="BO24" s="101">
        <f>SUMIFS('9'!$E:$E,'9'!$A:$A,Año_Inicial+5,'9'!$B:$B,'12'!BN$4,'9'!$D:$D,"Herbicida")</f>
        <v>0</v>
      </c>
      <c r="BP24" s="101">
        <f>((A6_A_L32*Herbicida_A)+(A6_B_L32*Herbicida_B)+(A6_C_L32*Herbicida_C)+(A6_D_L32*Herbicida_D)+(A6_Y_L32*Herbicida_Y))*Inflación_6</f>
        <v>0</v>
      </c>
      <c r="BQ24" s="101">
        <f>SUMIFS('9'!$E:$E,'9'!$A:$A,Año_Inicial+5,'9'!$B:$B,'12'!BP$4,'9'!$D:$D,"Herbicida")</f>
        <v>0</v>
      </c>
      <c r="BR24" s="101">
        <f>((A6_A_L33*Herbicida_A)+(A6_B_L33*Herbicida_B)+(A6_C_L33*Herbicida_C)+(A6_D_L33*Herbicida_D)+(A6_Y_L33*Herbicida_Y))*Inflación_6</f>
        <v>0</v>
      </c>
      <c r="BS24" s="101">
        <f>SUMIFS('9'!$E:$E,'9'!$A:$A,Año_Inicial+5,'9'!$B:$B,'12'!BR$4,'9'!$D:$D,"Herbicida")</f>
        <v>0</v>
      </c>
      <c r="BT24" s="101">
        <f>((A6_A_L34*Herbicida_A)+(A6_B_L34*Herbicida_B)+(A6_C_L34*Herbicida_C)+(A6_D_L34*Herbicida_D)+(A6_Y_L34*Herbicida_Y))*Inflación_6</f>
        <v>0</v>
      </c>
      <c r="BU24" s="101">
        <f>SUMIFS('9'!$E:$E,'9'!$A:$A,Año_Inicial+5,'9'!$B:$B,'12'!BT$4,'9'!$D:$D,"Herbicida")</f>
        <v>0</v>
      </c>
      <c r="BV24" s="101">
        <f>((A6_A_L35*Herbicida_A)+(A6_B_L35*Herbicida_B)+(A6_C_L35*Herbicida_C)+(A6_D_L35*Herbicida_D)+(A6_Y_L35*Herbicida_Y))*Inflación_6</f>
        <v>0</v>
      </c>
      <c r="BW24" s="101">
        <f>SUMIFS('9'!$E:$E,'9'!$A:$A,Año_Inicial+5,'9'!$B:$B,'12'!BV$4,'9'!$D:$D,"Herbicida")</f>
        <v>0</v>
      </c>
      <c r="BX24" s="101">
        <f>((A6_A_L36*Herbicida_A)+(A6_B_L36*Herbicida_B)+(A6_C_L36*Herbicida_C)+(A6_D_L36*Herbicida_D)+(A6_Y_L36*Herbicida_Y))*Inflación_6</f>
        <v>0</v>
      </c>
      <c r="BY24" s="101">
        <f>SUMIFS('9'!$E:$E,'9'!$A:$A,Año_Inicial+5,'9'!$B:$B,'12'!BX$4,'9'!$D:$D,"Herbicida")</f>
        <v>0</v>
      </c>
      <c r="BZ24" s="101">
        <f>((A6_A_L37*Herbicida_A)+(A6_B_L37*Herbicida_B)+(A6_C_L37*Herbicida_C)+(A6_D_L37*Herbicida_D)+(A6_Y_L37*Herbicida_Y))*Inflación_6</f>
        <v>0</v>
      </c>
      <c r="CA24" s="101">
        <f>SUMIFS('9'!$E:$E,'9'!$A:$A,Año_Inicial+5,'9'!$B:$B,'12'!BZ$4,'9'!$D:$D,"Herbicida")</f>
        <v>0</v>
      </c>
      <c r="CB24" s="101">
        <f>((A6_A_L38*Herbicida_A)+(A6_B_L38*Herbicida_B)+(A6_C_L38*Herbicida_C)+(A6_D_L38*Herbicida_D)+(A6_Y_L38*Herbicida_Y))*Inflación_6</f>
        <v>0</v>
      </c>
      <c r="CC24" s="101">
        <f>SUMIFS('9'!$E:$E,'9'!$A:$A,Año_Inicial+5,'9'!$B:$B,'12'!CB$4,'9'!$D:$D,"Herbicida")</f>
        <v>0</v>
      </c>
      <c r="CD24" s="101">
        <f>((A6_A_L39*Herbicida_A)+(A6_B_L39*Herbicida_B)+(A6_C_L39*Herbicida_C)+(A6_D_L39*Herbicida_D)+(A6_Y_L39*Herbicida_Y))*Inflación_6</f>
        <v>0</v>
      </c>
      <c r="CE24" s="101">
        <f>SUMIFS('9'!$E:$E,'9'!$A:$A,Año_Inicial+5,'9'!$B:$B,'12'!CD$4,'9'!$D:$D,"Herbicida")</f>
        <v>0</v>
      </c>
      <c r="CF24" s="101">
        <f>((A6_A_L40*Herbicida_A)+(A6_B_L40*Herbicida_B)+(A6_C_L40*Herbicida_C)+(A6_D_L40*Herbicida_D)+(A6_Y_L40*Herbicida_Y))*Inflación_6</f>
        <v>0</v>
      </c>
      <c r="CG24" s="101">
        <f>SUMIFS('9'!$E:$E,'9'!$A:$A,Año_Inicial+5,'9'!$B:$B,'12'!CF$4,'9'!$D:$D,"Herbicida")</f>
        <v>0</v>
      </c>
      <c r="CH24" s="473"/>
      <c r="CI24" s="101">
        <f>Plantas_A_A6*Herbicida_A*Inflación_6</f>
        <v>0</v>
      </c>
      <c r="CJ24" s="101">
        <f>Plantas_B_A6*Herbicida_B</f>
        <v>0</v>
      </c>
      <c r="CK24" s="101">
        <f>Plantas_C_A6*Herbicida_C</f>
        <v>0</v>
      </c>
      <c r="CL24" s="101">
        <f>Plantas_D_A6*Herbicida_D</f>
        <v>0</v>
      </c>
      <c r="CM24" s="101"/>
      <c r="CN24" s="101">
        <f>Plantas_Y_A6*Herbicida_Y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SUMIFS('9'!$E:$E,'9'!$A:$A,Año_Inicial+5,'9'!$D:$D,"Prevención de plagas")</f>
        <v>0</v>
      </c>
      <c r="D26" s="100">
        <f t="shared" si="45"/>
        <v>0</v>
      </c>
      <c r="E26" s="473"/>
      <c r="F26" s="101">
        <f>((A6_A_L1*Plagas_A)+(A6_B_L1*Plagas_B)+(A6_C_L1*Plagas_C)+(A6_D_L1*Plagas_D)+(A6_Y_L1*Plagas_Y))*Inflación_6</f>
        <v>0</v>
      </c>
      <c r="G26" s="101">
        <f>SUMIFS('9'!$E:$E,'9'!$A:$A,Año_Inicial+5,'9'!$B:$B,'12'!F$4,'9'!$D:$D,"Prevención de plagas")</f>
        <v>0</v>
      </c>
      <c r="H26" s="101">
        <f>((A6_A_L2*Plagas_A)+(A6_B_L2*Plagas_B)+(A6_C_L2*Plagas_C)+(A6_D_L2*Plagas_D)+(A6_Y_L2*Plagas_Y))*Inflación_6</f>
        <v>0</v>
      </c>
      <c r="I26" s="101">
        <f>SUMIFS('9'!$E:$E,'9'!$A:$A,Año_Inicial+5,'9'!$B:$B,'12'!H$4,'9'!$D:$D,"Prevención de plagas")</f>
        <v>0</v>
      </c>
      <c r="J26" s="101">
        <f>((A6_A_L3*Plagas_A)+(A6_B_L3*Plagas_B)+(A6_C_L3*Plagas_C)+(A6_D_L3*Plagas_D)+(A6_Y_L3*Plagas_Y))*Inflación_6</f>
        <v>0</v>
      </c>
      <c r="K26" s="101">
        <f>SUMIFS('9'!$E:$E,'9'!$A:$A,Año_Inicial+5,'9'!$B:$B,'12'!J$4,'9'!$D:$D,"Prevención de plagas")</f>
        <v>0</v>
      </c>
      <c r="L26" s="101">
        <f>((A6_A_L4*Plagas_A)+(A6_B_L4*Plagas_B)+(A6_C_L4*Plagas_C)+(A6_D_L4*Plagas_D)+(A6_Y_L4*Plagas_Y))*Inflación_6</f>
        <v>0</v>
      </c>
      <c r="M26" s="101">
        <f>SUMIFS('9'!$E:$E,'9'!$A:$A,Año_Inicial+5,'9'!$B:$B,'12'!L$4,'9'!$D:$D,"Prevención de plagas")</f>
        <v>0</v>
      </c>
      <c r="N26" s="101">
        <f>((A6_A_L5*Plagas_A)+(A6_B_L5*Plagas_B)+(A6_C_L5*Plagas_C)+(A6_D_L5*Plagas_D)+(A6_Y_L5*Plagas_Y))*Inflación_6</f>
        <v>0</v>
      </c>
      <c r="O26" s="101">
        <f>SUMIFS('9'!$E:$E,'9'!$A:$A,Año_Inicial+5,'9'!$B:$B,'12'!N$4,'9'!$D:$D,"Prevención de plagas")</f>
        <v>0</v>
      </c>
      <c r="P26" s="101">
        <f>((A6_A_L6*Plagas_A)+(A6_B_L6*Plagas_B)+(A6_C_L6*Plagas_C)+(A6_D_L6*Plagas_D)+(A6_Y_L6*Plagas_Y))*Inflación_6</f>
        <v>0</v>
      </c>
      <c r="Q26" s="101">
        <f>SUMIFS('9'!$E:$E,'9'!$A:$A,Año_Inicial+5,'9'!$B:$B,'12'!P$4,'9'!$D:$D,"Prevención de plagas")</f>
        <v>0</v>
      </c>
      <c r="R26" s="101">
        <f>((A6_A_L7*Plagas_A)+(A6_B_L7*Plagas_B)+(A6_C_L7*Plagas_C)+(A6_D_L7*Plagas_D)+(A6_Y_L7*Plagas_Y))*Inflación_6</f>
        <v>0</v>
      </c>
      <c r="S26" s="101">
        <f>SUMIFS('9'!$E:$E,'9'!$A:$A,Año_Inicial+5,'9'!$B:$B,'12'!R$4,'9'!$D:$D,"Prevención de plagas")</f>
        <v>0</v>
      </c>
      <c r="T26" s="101">
        <f>((A6_A_L8*Plagas_A)+(A6_B_L8*Plagas_B)+(A6_C_L8*Plagas_C)+(A6_D_L8*Plagas_D)+(A6_Y_L8*Plagas_Y))*Inflación_6</f>
        <v>0</v>
      </c>
      <c r="U26" s="101">
        <f>SUMIFS('9'!$E:$E,'9'!$A:$A,Año_Inicial+5,'9'!$B:$B,'12'!T$4,'9'!$D:$D,"Prevención de plagas")</f>
        <v>0</v>
      </c>
      <c r="V26" s="101">
        <f>((A6_A_L9*Plagas_A)+(A6_B_L9*Plagas_B)+(A6_C_L9*Plagas_C)+(A6_D_L9*Plagas_D)+(A6_Y_L9*Plagas_Y))*Inflación_6</f>
        <v>0</v>
      </c>
      <c r="W26" s="101">
        <f>SUMIFS('9'!$E:$E,'9'!$A:$A,Año_Inicial+5,'9'!$B:$B,'12'!V$4,'9'!$D:$D,"Prevención de plagas")</f>
        <v>0</v>
      </c>
      <c r="X26" s="101">
        <f>((A6_A_L10*Plagas_A)+(A6_B_L10*Plagas_B)+(A6_C_L10*Plagas_C)+(A6_D_L10*Plagas_D)+(A6_Y_L10*Plagas_Y))*Inflación_6</f>
        <v>0</v>
      </c>
      <c r="Y26" s="101">
        <f>SUMIFS('9'!$E:$E,'9'!$A:$A,Año_Inicial+5,'9'!$B:$B,'12'!X$4,'9'!$D:$D,"Prevención de plagas")</f>
        <v>0</v>
      </c>
      <c r="Z26" s="101">
        <f>((A6_A_L11*Plagas_A)+(A6_B_L11*Plagas_B)+(A6_C_L11*Plagas_C)+(A6_D_L11*Plagas_D)+(A6_Y_L11*Plagas_Y))*Inflación_6</f>
        <v>0</v>
      </c>
      <c r="AA26" s="101">
        <f>SUMIFS('9'!$E:$E,'9'!$A:$A,Año_Inicial+5,'9'!$B:$B,'12'!Z$4,'9'!$D:$D,"Prevención de plagas")</f>
        <v>0</v>
      </c>
      <c r="AB26" s="101">
        <f>((A6_A_L12*Plagas_A)+(A6_B_L12*Plagas_B)+(A6_C_L12*Plagas_C)+(A6_D_L12*Plagas_D)+(A6_Y_L12*Plagas_Y))*Inflación_6</f>
        <v>0</v>
      </c>
      <c r="AC26" s="101">
        <f>SUMIFS('9'!$E:$E,'9'!$A:$A,Año_Inicial+5,'9'!$B:$B,'12'!AB$4,'9'!$D:$D,"Prevención de plagas")</f>
        <v>0</v>
      </c>
      <c r="AD26" s="101">
        <f>((A6_A_L13*Plagas_A)+(A6_B_L13*Plagas_B)+(A6_C_L13*Plagas_C)+(A6_D_L13*Plagas_D)+(A6_Y_L13*Plagas_Y))*Inflación_6</f>
        <v>0</v>
      </c>
      <c r="AE26" s="101">
        <f>SUMIFS('9'!$E:$E,'9'!$A:$A,Año_Inicial+5,'9'!$B:$B,'12'!AD$4,'9'!$D:$D,"Prevención de plagas")</f>
        <v>0</v>
      </c>
      <c r="AF26" s="101">
        <f>((A6_A_L14*Plagas_A)+(A6_B_L14*Plagas_B)+(A6_C_L14*Plagas_C)+(A6_D_L14*Plagas_D)+(A6_Y_L14*Plagas_Y))*Inflación_6</f>
        <v>0</v>
      </c>
      <c r="AG26" s="101">
        <f>SUMIFS('9'!$E:$E,'9'!$A:$A,Año_Inicial+5,'9'!$B:$B,'12'!AF$4,'9'!$D:$D,"Prevención de plagas")</f>
        <v>0</v>
      </c>
      <c r="AH26" s="101">
        <f>((A6_A_L15*Plagas_A)+(A6_B_L15*Plagas_B)+(A6_C_L15*Plagas_C)+(A6_D_L15*Plagas_D)+(A6_Y_L15*Plagas_Y))*Inflación_6</f>
        <v>0</v>
      </c>
      <c r="AI26" s="101">
        <f>SUMIFS('9'!$E:$E,'9'!$A:$A,Año_Inicial+5,'9'!$B:$B,'12'!AH$4,'9'!$D:$D,"Prevención de plagas")</f>
        <v>0</v>
      </c>
      <c r="AJ26" s="101">
        <f>((A6_A_L16*Plagas_A)+(A6_B_L16*Plagas_B)+(A6_C_L16*Plagas_C)+(A6_D_L16*Plagas_D)+(A6_Y_L16*Plagas_Y))*Inflación_6</f>
        <v>0</v>
      </c>
      <c r="AK26" s="101">
        <f>SUMIFS('9'!$E:$E,'9'!$A:$A,Año_Inicial+5,'9'!$B:$B,'12'!AJ$4,'9'!$D:$D,"Prevención de plagas")</f>
        <v>0</v>
      </c>
      <c r="AL26" s="101">
        <f>((A6_A_L17*Plagas_A)+(A6_B_L17*Plagas_B)+(A6_C_L17*Plagas_C)+(A6_D_L17*Plagas_D)+(A6_Y_L17*Plagas_Y))*Inflación_6</f>
        <v>0</v>
      </c>
      <c r="AM26" s="101">
        <f>SUMIFS('9'!$E:$E,'9'!$A:$A,Año_Inicial+5,'9'!$B:$B,'12'!AL$4,'9'!$D:$D,"Prevención de plagas")</f>
        <v>0</v>
      </c>
      <c r="AN26" s="101">
        <f>((A6_A_L18*Plagas_A)+(A6_B_L18*Plagas_B)+(A6_C_L18*Plagas_C)+(A6_D_L18*Plagas_D)+(A6_Y_L18*Plagas_Y))*Inflación_6</f>
        <v>0</v>
      </c>
      <c r="AO26" s="101">
        <f>SUMIFS('9'!$E:$E,'9'!$A:$A,Año_Inicial+5,'9'!$B:$B,'12'!AN$4,'9'!$D:$D,"Prevención de plagas")</f>
        <v>0</v>
      </c>
      <c r="AP26" s="101">
        <f>((A6_A_L19*Plagas_A)+(A6_B_L19*Plagas_B)+(A6_C_L19*Plagas_C)+(A6_D_L19*Plagas_D)+(A6_Y_L19*Plagas_Y))*Inflación_6</f>
        <v>0</v>
      </c>
      <c r="AQ26" s="101">
        <f>SUMIFS('9'!$E:$E,'9'!$A:$A,Año_Inicial+5,'9'!$B:$B,'12'!AP$4,'9'!$D:$D,"Prevención de plagas")</f>
        <v>0</v>
      </c>
      <c r="AR26" s="101">
        <f>((A6_A_L20*Plagas_A)+(A6_B_L20*Plagas_B)+(A6_C_L20*Plagas_C)+(A6_D_L20*Plagas_D)+(A6_Y_L20*Plagas_Y))*Inflación_6</f>
        <v>0</v>
      </c>
      <c r="AS26" s="101">
        <f>SUMIFS('9'!$E:$E,'9'!$A:$A,Año_Inicial+5,'9'!$B:$B,'12'!AR$4,'9'!$D:$D,"Prevención de plagas")</f>
        <v>0</v>
      </c>
      <c r="AT26" s="101">
        <f>((A6_A_L21*Plagas_A)+(A6_B_L21*Plagas_B)+(A6_C_L21*Plagas_C)+(A6_D_L21*Plagas_D)+(A6_Y_L21*Plagas_Y))*Inflación_6</f>
        <v>0</v>
      </c>
      <c r="AU26" s="101">
        <f>SUMIFS('9'!$E:$E,'9'!$A:$A,Año_Inicial+5,'9'!$B:$B,'12'!AT$4,'9'!$D:$D,"Prevención de plagas")</f>
        <v>0</v>
      </c>
      <c r="AV26" s="101">
        <f>((A6_A_L22*Plagas_A)+(A6_B_L22*Plagas_B)+(A6_C_L22*Plagas_C)+(A6_D_L22*Plagas_D)+(A6_Y_L22*Plagas_Y))*Inflación_6</f>
        <v>0</v>
      </c>
      <c r="AW26" s="101">
        <f>SUMIFS('9'!$E:$E,'9'!$A:$A,Año_Inicial+5,'9'!$B:$B,'12'!AV$4,'9'!$D:$D,"Prevención de plagas")</f>
        <v>0</v>
      </c>
      <c r="AX26" s="101">
        <f>((A6_A_L23*Plagas_A)+(A6_B_L23*Plagas_B)+(A6_C_L23*Plagas_C)+(A6_D_L23*Plagas_D)+(A6_Y_L23*Plagas_Y))*Inflación_6</f>
        <v>0</v>
      </c>
      <c r="AY26" s="101">
        <f>SUMIFS('9'!$E:$E,'9'!$A:$A,Año_Inicial+5,'9'!$B:$B,'12'!AX$4,'9'!$D:$D,"Prevención de plagas")</f>
        <v>0</v>
      </c>
      <c r="AZ26" s="101">
        <f>((A6_A_L24*Plagas_A)+(A6_B_L24*Plagas_B)+(A6_C_L24*Plagas_C)+(A6_D_L24*Plagas_D)+(A6_Y_L24*Plagas_Y))*Inflación_6</f>
        <v>0</v>
      </c>
      <c r="BA26" s="101">
        <f>SUMIFS('9'!$E:$E,'9'!$A:$A,Año_Inicial+5,'9'!$B:$B,'12'!AZ$4,'9'!$D:$D,"Prevención de plagas")</f>
        <v>0</v>
      </c>
      <c r="BB26" s="101">
        <f>((A6_A_L25*Plagas_A)+(A6_B_L25*Plagas_B)+(A6_C_L25*Plagas_C)+(A6_D_L25*Plagas_D)+(A6_Y_L25*Plagas_Y))*Inflación_6</f>
        <v>0</v>
      </c>
      <c r="BC26" s="101">
        <f>SUMIFS('9'!$E:$E,'9'!$A:$A,Año_Inicial+5,'9'!$B:$B,'12'!BB$4,'9'!$D:$D,"Prevención de plagas")</f>
        <v>0</v>
      </c>
      <c r="BD26" s="101">
        <f>((A6_A_L26*Plagas_A)+(A6_B_L26*Plagas_B)+(A6_C_L26*Plagas_C)+(A6_D_L26*Plagas_D)+(A6_Y_L26*Plagas_Y))*Inflación_6</f>
        <v>0</v>
      </c>
      <c r="BE26" s="101">
        <f>SUMIFS('9'!$E:$E,'9'!$A:$A,Año_Inicial+5,'9'!$B:$B,'12'!BD$4,'9'!$D:$D,"Prevención de plagas")</f>
        <v>0</v>
      </c>
      <c r="BF26" s="101">
        <f>((A6_A_L27*Plagas_A)+(A6_B_L27*Plagas_B)+(A6_C_L27*Plagas_C)+(A6_D_L27*Plagas_D)+(A6_Y_L27*Plagas_Y))*Inflación_6</f>
        <v>0</v>
      </c>
      <c r="BG26" s="101">
        <f>SUMIFS('9'!$E:$E,'9'!$A:$A,Año_Inicial+5,'9'!$B:$B,'12'!BF$4,'9'!$D:$D,"Prevención de plagas")</f>
        <v>0</v>
      </c>
      <c r="BH26" s="101">
        <f>((A6_A_L28*Plagas_A)+(A6_B_L28*Plagas_B)+(A6_C_L28*Plagas_C)+(A6_D_L28*Plagas_D)+(A6_Y_L28*Plagas_Y))*Inflación_6</f>
        <v>0</v>
      </c>
      <c r="BI26" s="101">
        <f>SUMIFS('9'!$E:$E,'9'!$A:$A,Año_Inicial+5,'9'!$B:$B,'12'!BH$4,'9'!$D:$D,"Prevención de plagas")</f>
        <v>0</v>
      </c>
      <c r="BJ26" s="101">
        <f>((A6_A_L29*Plagas_A)+(A6_B_L29*Plagas_B)+(A6_C_L29*Plagas_C)+(A6_D_L29*Plagas_D)+(A6_Y_L29*Plagas_Y))*Inflación_6</f>
        <v>0</v>
      </c>
      <c r="BK26" s="101">
        <f>SUMIFS('9'!$E:$E,'9'!$A:$A,Año_Inicial+5,'9'!$B:$B,'12'!BJ$4,'9'!$D:$D,"Prevención de plagas")</f>
        <v>0</v>
      </c>
      <c r="BL26" s="101">
        <f>((A6_A_L30*Plagas_A)+(A6_B_L30*Plagas_B)+(A6_C_L30*Plagas_C)+(A6_D_L30*Plagas_D)+(A6_Y_L30*Plagas_Y))*Inflación_6</f>
        <v>0</v>
      </c>
      <c r="BM26" s="101">
        <f>SUMIFS('9'!$E:$E,'9'!$A:$A,Año_Inicial+5,'9'!$B:$B,'12'!BL$4,'9'!$D:$D,"Prevención de plagas")</f>
        <v>0</v>
      </c>
      <c r="BN26" s="101">
        <f>((A6_A_L31*Plagas_A)+(A6_B_L31*Plagas_B)+(A6_C_L31*Plagas_C)+(A6_D_L31*Plagas_D)+(A6_Y_L31*Plagas_Y))*Inflación_6</f>
        <v>0</v>
      </c>
      <c r="BO26" s="101">
        <f>SUMIFS('9'!$E:$E,'9'!$A:$A,Año_Inicial+5,'9'!$B:$B,'12'!BN$4,'9'!$D:$D,"Prevención de plagas")</f>
        <v>0</v>
      </c>
      <c r="BP26" s="101">
        <f>((A6_A_L32*Plagas_A)+(A6_B_L32*Plagas_B)+(A6_C_L32*Plagas_C)+(A6_D_L32*Plagas_D)+(A6_Y_L32*Plagas_Y))*Inflación_6</f>
        <v>0</v>
      </c>
      <c r="BQ26" s="101">
        <f>SUMIFS('9'!$E:$E,'9'!$A:$A,Año_Inicial+5,'9'!$B:$B,'12'!BP$4,'9'!$D:$D,"Prevención de plagas")</f>
        <v>0</v>
      </c>
      <c r="BR26" s="101">
        <f>((A6_A_L33*Plagas_A)+(A6_B_L33*Plagas_B)+(A6_C_L33*Plagas_C)+(A6_D_L33*Plagas_D)+(A6_Y_L33*Plagas_Y))*Inflación_6</f>
        <v>0</v>
      </c>
      <c r="BS26" s="101">
        <f>SUMIFS('9'!$E:$E,'9'!$A:$A,Año_Inicial+5,'9'!$B:$B,'12'!BR$4,'9'!$D:$D,"Prevención de plagas")</f>
        <v>0</v>
      </c>
      <c r="BT26" s="101">
        <f>((A6_A_L34*Plagas_A)+(A6_B_L34*Plagas_B)+(A6_C_L34*Plagas_C)+(A6_D_L34*Plagas_D)+(A6_Y_L34*Plagas_Y))*Inflación_6</f>
        <v>0</v>
      </c>
      <c r="BU26" s="101">
        <f>SUMIFS('9'!$E:$E,'9'!$A:$A,Año_Inicial+5,'9'!$B:$B,'12'!BT$4,'9'!$D:$D,"Prevención de plagas")</f>
        <v>0</v>
      </c>
      <c r="BV26" s="101">
        <f>((A6_A_L35*Plagas_A)+(A6_B_L35*Plagas_B)+(A6_C_L35*Plagas_C)+(A6_D_L35*Plagas_D)+(A6_Y_L35*Plagas_Y))*Inflación_6</f>
        <v>0</v>
      </c>
      <c r="BW26" s="101">
        <f>SUMIFS('9'!$E:$E,'9'!$A:$A,Año_Inicial+5,'9'!$B:$B,'12'!BV$4,'9'!$D:$D,"Prevención de plagas")</f>
        <v>0</v>
      </c>
      <c r="BX26" s="101">
        <f>((A6_A_L36*Plagas_A)+(A6_B_L36*Plagas_B)+(A6_C_L36*Plagas_C)+(A6_D_L36*Plagas_D)+(A6_Y_L36*Plagas_Y))*Inflación_6</f>
        <v>0</v>
      </c>
      <c r="BY26" s="101">
        <f>SUMIFS('9'!$E:$E,'9'!$A:$A,Año_Inicial+5,'9'!$B:$B,'12'!BX$4,'9'!$D:$D,"Prevención de plagas")</f>
        <v>0</v>
      </c>
      <c r="BZ26" s="101">
        <f>((A6_A_L37*Plagas_A)+(A6_B_L37*Plagas_B)+(A6_C_L37*Plagas_C)+(A6_D_L37*Plagas_D)+(A6_Y_L37*Plagas_Y))*Inflación_6</f>
        <v>0</v>
      </c>
      <c r="CA26" s="101">
        <f>SUMIFS('9'!$E:$E,'9'!$A:$A,Año_Inicial+5,'9'!$B:$B,'12'!BZ$4,'9'!$D:$D,"Prevención de plagas")</f>
        <v>0</v>
      </c>
      <c r="CB26" s="101">
        <f>((A6_A_L38*Plagas_A)+(A6_B_L38*Plagas_B)+(A6_C_L38*Plagas_C)+(A6_D_L38*Plagas_D)+(A6_Y_L38*Plagas_Y))*Inflación_6</f>
        <v>0</v>
      </c>
      <c r="CC26" s="101">
        <f>SUMIFS('9'!$E:$E,'9'!$A:$A,Año_Inicial+5,'9'!$B:$B,'12'!CB$4,'9'!$D:$D,"Prevención de plagas")</f>
        <v>0</v>
      </c>
      <c r="CD26" s="101">
        <f>((A6_A_L39*Plagas_A)+(A6_B_L39*Plagas_B)+(A6_C_L39*Plagas_C)+(A6_D_L39*Plagas_D)+(A6_Y_L39*Plagas_Y))*Inflación_6</f>
        <v>0</v>
      </c>
      <c r="CE26" s="101">
        <f>SUMIFS('9'!$E:$E,'9'!$A:$A,Año_Inicial+5,'9'!$B:$B,'12'!CD$4,'9'!$D:$D,"Prevención de plagas")</f>
        <v>0</v>
      </c>
      <c r="CF26" s="101">
        <f>((A6_A_L40*Plagas_A)+(A6_B_L40*Plagas_B)+(A6_C_L40*Plagas_C)+(A6_D_L40*Plagas_D)+(A6_Y_L40*Plagas_Y))*Inflación_6</f>
        <v>0</v>
      </c>
      <c r="CG26" s="101">
        <f>SUMIFS('9'!$E:$E,'9'!$A:$A,Año_Inicial+5,'9'!$B:$B,'12'!CF$4,'9'!$D:$D,"Prevención de plagas")</f>
        <v>0</v>
      </c>
      <c r="CH26" s="473"/>
      <c r="CI26" s="101">
        <f>Plantas_A_A6*Plagas_A*Inflación_6</f>
        <v>0</v>
      </c>
      <c r="CJ26" s="101">
        <f>Plantas_B_A6*Plagas_B</f>
        <v>0</v>
      </c>
      <c r="CK26" s="101">
        <f>Plantas_C_A6*Plagas_C</f>
        <v>0</v>
      </c>
      <c r="CL26" s="101">
        <f>Plantas_D_A6*Plagas_D</f>
        <v>0</v>
      </c>
      <c r="CM26" s="101"/>
      <c r="CN26" s="101">
        <f>Plantas_Y_A6*Plagas_Y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SUMIFS('9'!$E:$E,'9'!$A:$A,Año_Inicial+5,'9'!$D:$D,"Insecticida")</f>
        <v>0</v>
      </c>
      <c r="D27" s="100">
        <f t="shared" si="45"/>
        <v>0</v>
      </c>
      <c r="E27" s="473"/>
      <c r="F27" s="101">
        <f>((A6_A_L1*Insecticida_A)+(A6_B_L1*Insecticida_B)+(A6_C_L1*Insecticida_C)+(A6_D_L1*Insecticida_D)+(A6_Y_L1*Insecticida_Y))*Inflación_6</f>
        <v>0</v>
      </c>
      <c r="G27" s="101">
        <f>SUMIFS('9'!$E:$E,'9'!$A:$A,Año_Inicial+5,'9'!$B:$B,'12'!F$4,'9'!$D:$D,"Insecticida")</f>
        <v>0</v>
      </c>
      <c r="H27" s="101">
        <f>((A6_A_L2*Insecticida_A)+(A6_B_L2*Insecticida_B)+(A6_C_L2*Insecticida_C)+(A6_D_L2*Insecticida_D)+(A6_Y_L2*Insecticida_Y))*Inflación_6</f>
        <v>0</v>
      </c>
      <c r="I27" s="101">
        <f>SUMIFS('9'!$E:$E,'9'!$A:$A,Año_Inicial+5,'9'!$B:$B,'12'!H$4,'9'!$D:$D,"Insecticida")</f>
        <v>0</v>
      </c>
      <c r="J27" s="101">
        <f>((A6_A_L3*Insecticida_A)+(A6_B_L3*Insecticida_B)+(A6_C_L3*Insecticida_C)+(A6_D_L3*Insecticida_D)+(A6_Y_L3*Insecticida_Y))*Inflación_6</f>
        <v>0</v>
      </c>
      <c r="K27" s="101">
        <f>SUMIFS('9'!$E:$E,'9'!$A:$A,Año_Inicial+5,'9'!$B:$B,'12'!J$4,'9'!$D:$D,"Insecticida")</f>
        <v>0</v>
      </c>
      <c r="L27" s="101">
        <f>((A6_A_L4*Insecticida_A)+(A6_B_L4*Insecticida_B)+(A6_C_L4*Insecticida_C)+(A6_D_L4*Insecticida_D)+(A6_Y_L4*Insecticida_Y))*Inflación_6</f>
        <v>0</v>
      </c>
      <c r="M27" s="101">
        <f>SUMIFS('9'!$E:$E,'9'!$A:$A,Año_Inicial+5,'9'!$B:$B,'12'!L$4,'9'!$D:$D,"Insecticida")</f>
        <v>0</v>
      </c>
      <c r="N27" s="101">
        <f>((A6_A_L5*Insecticida_A)+(A6_B_L5*Insecticida_B)+(A6_C_L5*Insecticida_C)+(A6_D_L5*Insecticida_D)+(A6_Y_L5*Insecticida_Y))*Inflación_6</f>
        <v>0</v>
      </c>
      <c r="O27" s="101">
        <f>SUMIFS('9'!$E:$E,'9'!$A:$A,Año_Inicial+5,'9'!$B:$B,'12'!N$4,'9'!$D:$D,"Insecticida")</f>
        <v>0</v>
      </c>
      <c r="P27" s="101">
        <f>((A6_A_L6*Insecticida_A)+(A6_B_L6*Insecticida_B)+(A6_C_L6*Insecticida_C)+(A6_D_L6*Insecticida_D)+(A6_Y_L6*Insecticida_Y))*Inflación_6</f>
        <v>0</v>
      </c>
      <c r="Q27" s="101">
        <f>SUMIFS('9'!$E:$E,'9'!$A:$A,Año_Inicial+5,'9'!$B:$B,'12'!P$4,'9'!$D:$D,"Insecticida")</f>
        <v>0</v>
      </c>
      <c r="R27" s="101">
        <f>((A6_A_L7*Insecticida_A)+(A6_B_L7*Insecticida_B)+(A6_C_L7*Insecticida_C)+(A6_D_L7*Insecticida_D)+(A6_Y_L7*Insecticida_Y))*Inflación_6</f>
        <v>0</v>
      </c>
      <c r="S27" s="101">
        <f>SUMIFS('9'!$E:$E,'9'!$A:$A,Año_Inicial+5,'9'!$B:$B,'12'!R$4,'9'!$D:$D,"Insecticida")</f>
        <v>0</v>
      </c>
      <c r="T27" s="101">
        <f>((A6_A_L8*Insecticida_A)+(A6_B_L8*Insecticida_B)+(A6_C_L8*Insecticida_C)+(A6_D_L8*Insecticida_D)+(A6_Y_L8*Insecticida_Y))*Inflación_6</f>
        <v>0</v>
      </c>
      <c r="U27" s="101">
        <f>SUMIFS('9'!$E:$E,'9'!$A:$A,Año_Inicial+5,'9'!$B:$B,'12'!T$4,'9'!$D:$D,"Insecticida")</f>
        <v>0</v>
      </c>
      <c r="V27" s="101">
        <f>((A6_A_L9*Insecticida_A)+(A6_B_L9*Insecticida_B)+(A6_C_L9*Insecticida_C)+(A6_D_L9*Insecticida_D)+(A6_Y_L9*Insecticida_Y))*Inflación_6</f>
        <v>0</v>
      </c>
      <c r="W27" s="101">
        <f>SUMIFS('9'!$E:$E,'9'!$A:$A,Año_Inicial+5,'9'!$B:$B,'12'!V$4,'9'!$D:$D,"Insecticida")</f>
        <v>0</v>
      </c>
      <c r="X27" s="101">
        <f>((A6_A_L10*Insecticida_A)+(A6_B_L10*Insecticida_B)+(A6_C_L10*Insecticida_C)+(A6_D_L10*Insecticida_D)+(A6_Y_L10*Insecticida_Y))*Inflación_6</f>
        <v>0</v>
      </c>
      <c r="Y27" s="101">
        <f>SUMIFS('9'!$E:$E,'9'!$A:$A,Año_Inicial+5,'9'!$B:$B,'12'!X$4,'9'!$D:$D,"Insecticida")</f>
        <v>0</v>
      </c>
      <c r="Z27" s="101">
        <f>((A6_A_L11*Insecticida_A)+(A6_B_L11*Insecticida_B)+(A6_C_L11*Insecticida_C)+(A6_D_L11*Insecticida_D)+(A6_Y_L11*Insecticida_Y))*Inflación_6</f>
        <v>0</v>
      </c>
      <c r="AA27" s="101">
        <f>SUMIFS('9'!$E:$E,'9'!$A:$A,Año_Inicial+5,'9'!$B:$B,'12'!Z$4,'9'!$D:$D,"Insecticida")</f>
        <v>0</v>
      </c>
      <c r="AB27" s="101">
        <f>((A6_A_L12*Insecticida_A)+(A6_B_L12*Insecticida_B)+(A6_C_L12*Insecticida_C)+(A6_D_L12*Insecticida_D)+(A6_Y_L12*Insecticida_Y))*Inflación_6</f>
        <v>0</v>
      </c>
      <c r="AC27" s="101">
        <f>SUMIFS('9'!$E:$E,'9'!$A:$A,Año_Inicial+5,'9'!$B:$B,'12'!AB$4,'9'!$D:$D,"Insecticida")</f>
        <v>0</v>
      </c>
      <c r="AD27" s="101">
        <f>((A6_A_L13*Insecticida_A)+(A6_B_L13*Insecticida_B)+(A6_C_L13*Insecticida_C)+(A6_D_L13*Insecticida_D)+(A6_Y_L13*Insecticida_Y))*Inflación_6</f>
        <v>0</v>
      </c>
      <c r="AE27" s="101">
        <f>SUMIFS('9'!$E:$E,'9'!$A:$A,Año_Inicial+5,'9'!$B:$B,'12'!AD$4,'9'!$D:$D,"Insecticida")</f>
        <v>0</v>
      </c>
      <c r="AF27" s="101">
        <f>((A6_A_L14*Insecticida_A)+(A6_B_L14*Insecticida_B)+(A6_C_L14*Insecticida_C)+(A6_D_L14*Insecticida_D)+(A6_Y_L14*Insecticida_Y))*Inflación_6</f>
        <v>0</v>
      </c>
      <c r="AG27" s="101">
        <f>SUMIFS('9'!$E:$E,'9'!$A:$A,Año_Inicial+5,'9'!$B:$B,'12'!AF$4,'9'!$D:$D,"Insecticida")</f>
        <v>0</v>
      </c>
      <c r="AH27" s="101">
        <f>((A6_A_L15*Insecticida_A)+(A6_B_L15*Insecticida_B)+(A6_C_L15*Insecticida_C)+(A6_D_L15*Insecticida_D)+(A6_Y_L15*Insecticida_Y))*Inflación_6</f>
        <v>0</v>
      </c>
      <c r="AI27" s="101">
        <f>SUMIFS('9'!$E:$E,'9'!$A:$A,Año_Inicial+5,'9'!$B:$B,'12'!AH$4,'9'!$D:$D,"Insecticida")</f>
        <v>0</v>
      </c>
      <c r="AJ27" s="101">
        <f>((A6_A_L16*Insecticida_A)+(A6_B_L16*Insecticida_B)+(A6_C_L16*Insecticida_C)+(A6_D_L16*Insecticida_D)+(A6_Y_L16*Insecticida_Y))*Inflación_6</f>
        <v>0</v>
      </c>
      <c r="AK27" s="101">
        <f>SUMIFS('9'!$E:$E,'9'!$A:$A,Año_Inicial+5,'9'!$B:$B,'12'!AJ$4,'9'!$D:$D,"Insecticida")</f>
        <v>0</v>
      </c>
      <c r="AL27" s="101">
        <f>((A6_A_L17*Insecticida_A)+(A6_B_L17*Insecticida_B)+(A6_C_L17*Insecticida_C)+(A6_D_L17*Insecticida_D)+(A6_Y_L17*Insecticida_Y))*Inflación_6</f>
        <v>0</v>
      </c>
      <c r="AM27" s="101">
        <f>SUMIFS('9'!$E:$E,'9'!$A:$A,Año_Inicial+5,'9'!$B:$B,'12'!AL$4,'9'!$D:$D,"Insecticida")</f>
        <v>0</v>
      </c>
      <c r="AN27" s="101">
        <f>((A6_A_L18*Insecticida_A)+(A6_B_L18*Insecticida_B)+(A6_C_L18*Insecticida_C)+(A6_D_L18*Insecticida_D)+(A6_Y_L18*Insecticida_Y))*Inflación_6</f>
        <v>0</v>
      </c>
      <c r="AO27" s="101">
        <f>SUMIFS('9'!$E:$E,'9'!$A:$A,Año_Inicial+5,'9'!$B:$B,'12'!AN$4,'9'!$D:$D,"Insecticida")</f>
        <v>0</v>
      </c>
      <c r="AP27" s="101">
        <f>((A6_A_L19*Insecticida_A)+(A6_B_L19*Insecticida_B)+(A6_C_L19*Insecticida_C)+(A6_D_L19*Insecticida_D)+(A6_Y_L19*Insecticida_Y))*Inflación_6</f>
        <v>0</v>
      </c>
      <c r="AQ27" s="101">
        <f>SUMIFS('9'!$E:$E,'9'!$A:$A,Año_Inicial+5,'9'!$B:$B,'12'!AP$4,'9'!$D:$D,"Insecticida")</f>
        <v>0</v>
      </c>
      <c r="AR27" s="101">
        <f>((A6_A_L20*Insecticida_A)+(A6_B_L20*Insecticida_B)+(A6_C_L20*Insecticida_C)+(A6_D_L20*Insecticida_D)+(A6_Y_L20*Insecticida_Y))*Inflación_6</f>
        <v>0</v>
      </c>
      <c r="AS27" s="101">
        <f>SUMIFS('9'!$E:$E,'9'!$A:$A,Año_Inicial+5,'9'!$B:$B,'12'!AR$4,'9'!$D:$D,"Insecticida")</f>
        <v>0</v>
      </c>
      <c r="AT27" s="101">
        <f>((A6_A_L21*Insecticida_A)+(A6_B_L21*Insecticida_B)+(A6_C_L21*Insecticida_C)+(A6_D_L21*Insecticida_D)+(A6_Y_L21*Insecticida_Y))*Inflación_6</f>
        <v>0</v>
      </c>
      <c r="AU27" s="101">
        <f>SUMIFS('9'!$E:$E,'9'!$A:$A,Año_Inicial+5,'9'!$B:$B,'12'!AT$4,'9'!$D:$D,"Insecticida")</f>
        <v>0</v>
      </c>
      <c r="AV27" s="101">
        <f>((A6_A_L22*Insecticida_A)+(A6_B_L22*Insecticida_B)+(A6_C_L22*Insecticida_C)+(A6_D_L22*Insecticida_D)+(A6_Y_L22*Insecticida_Y))*Inflación_6</f>
        <v>0</v>
      </c>
      <c r="AW27" s="101">
        <f>SUMIFS('9'!$E:$E,'9'!$A:$A,Año_Inicial+5,'9'!$B:$B,'12'!AV$4,'9'!$D:$D,"Insecticida")</f>
        <v>0</v>
      </c>
      <c r="AX27" s="101">
        <f>((A6_A_L23*Insecticida_A)+(A6_B_L23*Insecticida_B)+(A6_C_L23*Insecticida_C)+(A6_D_L23*Insecticida_D)+(A6_Y_L23*Insecticida_Y))*Inflación_6</f>
        <v>0</v>
      </c>
      <c r="AY27" s="101">
        <f>SUMIFS('9'!$E:$E,'9'!$A:$A,Año_Inicial+5,'9'!$B:$B,'12'!AX$4,'9'!$D:$D,"Insecticida")</f>
        <v>0</v>
      </c>
      <c r="AZ27" s="101">
        <f>((A6_A_L24*Insecticida_A)+(A6_B_L24*Insecticida_B)+(A6_C_L24*Insecticida_C)+(A6_D_L24*Insecticida_D)+(A6_Y_L24*Insecticida_Y))*Inflación_6</f>
        <v>0</v>
      </c>
      <c r="BA27" s="101">
        <f>SUMIFS('9'!$E:$E,'9'!$A:$A,Año_Inicial+5,'9'!$B:$B,'12'!AZ$4,'9'!$D:$D,"Insecticida")</f>
        <v>0</v>
      </c>
      <c r="BB27" s="101">
        <f>((A6_A_L25*Insecticida_A)+(A6_B_L25*Insecticida_B)+(A6_C_L25*Insecticida_C)+(A6_D_L25*Insecticida_D)+(A6_Y_L25*Insecticida_Y))*Inflación_6</f>
        <v>0</v>
      </c>
      <c r="BC27" s="101">
        <f>SUMIFS('9'!$E:$E,'9'!$A:$A,Año_Inicial+5,'9'!$B:$B,'12'!BB$4,'9'!$D:$D,"Insecticida")</f>
        <v>0</v>
      </c>
      <c r="BD27" s="101">
        <f>((A6_A_L26*Insecticida_A)+(A6_B_L26*Insecticida_B)+(A6_C_L26*Insecticida_C)+(A6_D_L26*Insecticida_D)+(A6_Y_L26*Insecticida_Y))*Inflación_6</f>
        <v>0</v>
      </c>
      <c r="BE27" s="101">
        <f>SUMIFS('9'!$E:$E,'9'!$A:$A,Año_Inicial+5,'9'!$B:$B,'12'!BD$4,'9'!$D:$D,"Insecticida")</f>
        <v>0</v>
      </c>
      <c r="BF27" s="101">
        <f>((A6_A_L27*Insecticida_A)+(A6_B_L27*Insecticida_B)+(A6_C_L27*Insecticida_C)+(A6_D_L27*Insecticida_D)+(A6_Y_L27*Insecticida_Y))*Inflación_6</f>
        <v>0</v>
      </c>
      <c r="BG27" s="101">
        <f>SUMIFS('9'!$E:$E,'9'!$A:$A,Año_Inicial+5,'9'!$B:$B,'12'!BF$4,'9'!$D:$D,"Insecticida")</f>
        <v>0</v>
      </c>
      <c r="BH27" s="101">
        <f>((A6_A_L28*Insecticida_A)+(A6_B_L28*Insecticida_B)+(A6_C_L28*Insecticida_C)+(A6_D_L28*Insecticida_D)+(A6_Y_L28*Insecticida_Y))*Inflación_6</f>
        <v>0</v>
      </c>
      <c r="BI27" s="101">
        <f>SUMIFS('9'!$E:$E,'9'!$A:$A,Año_Inicial+5,'9'!$B:$B,'12'!BH$4,'9'!$D:$D,"Insecticida")</f>
        <v>0</v>
      </c>
      <c r="BJ27" s="101">
        <f>((A6_A_L29*Insecticida_A)+(A6_B_L29*Insecticida_B)+(A6_C_L29*Insecticida_C)+(A6_D_L29*Insecticida_D)+(A6_Y_L29*Insecticida_Y))*Inflación_6</f>
        <v>0</v>
      </c>
      <c r="BK27" s="101">
        <f>SUMIFS('9'!$E:$E,'9'!$A:$A,Año_Inicial+5,'9'!$B:$B,'12'!BJ$4,'9'!$D:$D,"Insecticida")</f>
        <v>0</v>
      </c>
      <c r="BL27" s="101">
        <f>((A6_A_L30*Insecticida_A)+(A6_B_L30*Insecticida_B)+(A6_C_L30*Insecticida_C)+(A6_D_L30*Insecticida_D)+(A6_Y_L30*Insecticida_Y))*Inflación_6</f>
        <v>0</v>
      </c>
      <c r="BM27" s="101">
        <f>SUMIFS('9'!$E:$E,'9'!$A:$A,Año_Inicial+5,'9'!$B:$B,'12'!BL$4,'9'!$D:$D,"Insecticida")</f>
        <v>0</v>
      </c>
      <c r="BN27" s="101">
        <f>((A6_A_L31*Insecticida_A)+(A6_B_L31*Insecticida_B)+(A6_C_L31*Insecticida_C)+(A6_D_L31*Insecticida_D)+(A6_Y_L31*Insecticida_Y))*Inflación_6</f>
        <v>0</v>
      </c>
      <c r="BO27" s="101">
        <f>SUMIFS('9'!$E:$E,'9'!$A:$A,Año_Inicial+5,'9'!$B:$B,'12'!BN$4,'9'!$D:$D,"Insecticida")</f>
        <v>0</v>
      </c>
      <c r="BP27" s="101">
        <f>((A6_A_L32*Insecticida_A)+(A6_B_L32*Insecticida_B)+(A6_C_L32*Insecticida_C)+(A6_D_L32*Insecticida_D)+(A6_Y_L32*Insecticida_Y))*Inflación_6</f>
        <v>0</v>
      </c>
      <c r="BQ27" s="101">
        <f>SUMIFS('9'!$E:$E,'9'!$A:$A,Año_Inicial+5,'9'!$B:$B,'12'!BP$4,'9'!$D:$D,"Insecticida")</f>
        <v>0</v>
      </c>
      <c r="BR27" s="101">
        <f>((A6_A_L33*Insecticida_A)+(A6_B_L33*Insecticida_B)+(A6_C_L33*Insecticida_C)+(A6_D_L33*Insecticida_D)+(A6_Y_L33*Insecticida_Y))*Inflación_6</f>
        <v>0</v>
      </c>
      <c r="BS27" s="101">
        <f>SUMIFS('9'!$E:$E,'9'!$A:$A,Año_Inicial+5,'9'!$B:$B,'12'!BR$4,'9'!$D:$D,"Insecticida")</f>
        <v>0</v>
      </c>
      <c r="BT27" s="101">
        <f>((A6_A_L34*Insecticida_A)+(A6_B_L34*Insecticida_B)+(A6_C_L34*Insecticida_C)+(A6_D_L34*Insecticida_D)+(A6_Y_L34*Insecticida_Y))*Inflación_6</f>
        <v>0</v>
      </c>
      <c r="BU27" s="101">
        <f>SUMIFS('9'!$E:$E,'9'!$A:$A,Año_Inicial+5,'9'!$B:$B,'12'!BT$4,'9'!$D:$D,"Insecticida")</f>
        <v>0</v>
      </c>
      <c r="BV27" s="101">
        <f>((A6_A_L35*Insecticida_A)+(A6_B_L35*Insecticida_B)+(A6_C_L35*Insecticida_C)+(A6_D_L35*Insecticida_D)+(A6_Y_L35*Insecticida_Y))*Inflación_6</f>
        <v>0</v>
      </c>
      <c r="BW27" s="101">
        <f>SUMIFS('9'!$E:$E,'9'!$A:$A,Año_Inicial+5,'9'!$B:$B,'12'!BV$4,'9'!$D:$D,"Insecticida")</f>
        <v>0</v>
      </c>
      <c r="BX27" s="101">
        <f>((A6_A_L36*Insecticida_A)+(A6_B_L36*Insecticida_B)+(A6_C_L36*Insecticida_C)+(A6_D_L36*Insecticida_D)+(A6_Y_L36*Insecticida_Y))*Inflación_6</f>
        <v>0</v>
      </c>
      <c r="BY27" s="101">
        <f>SUMIFS('9'!$E:$E,'9'!$A:$A,Año_Inicial+5,'9'!$B:$B,'12'!BX$4,'9'!$D:$D,"Insecticida")</f>
        <v>0</v>
      </c>
      <c r="BZ27" s="101">
        <f>((A6_A_L37*Insecticida_A)+(A6_B_L37*Insecticida_B)+(A6_C_L37*Insecticida_C)+(A6_D_L37*Insecticida_D)+(A6_Y_L37*Insecticida_Y))*Inflación_6</f>
        <v>0</v>
      </c>
      <c r="CA27" s="101">
        <f>SUMIFS('9'!$E:$E,'9'!$A:$A,Año_Inicial+5,'9'!$B:$B,'12'!BZ$4,'9'!$D:$D,"Insecticida")</f>
        <v>0</v>
      </c>
      <c r="CB27" s="101">
        <f>((A6_A_L38*Insecticida_A)+(A6_B_L38*Insecticida_B)+(A6_C_L38*Insecticida_C)+(A6_D_L38*Insecticida_D)+(A6_Y_L38*Insecticida_Y))*Inflación_6</f>
        <v>0</v>
      </c>
      <c r="CC27" s="101">
        <f>SUMIFS('9'!$E:$E,'9'!$A:$A,Año_Inicial+5,'9'!$B:$B,'12'!CB$4,'9'!$D:$D,"Insecticida")</f>
        <v>0</v>
      </c>
      <c r="CD27" s="101">
        <f>((A6_A_L39*Insecticida_A)+(A6_B_L39*Insecticida_B)+(A6_C_L39*Insecticida_C)+(A6_D_L39*Insecticida_D)+(A6_Y_L39*Insecticida_Y))*Inflación_6</f>
        <v>0</v>
      </c>
      <c r="CE27" s="101">
        <f>SUMIFS('9'!$E:$E,'9'!$A:$A,Año_Inicial+5,'9'!$B:$B,'12'!CD$4,'9'!$D:$D,"Insecticida")</f>
        <v>0</v>
      </c>
      <c r="CF27" s="101">
        <f>((A6_A_L40*Insecticida_A)+(A6_B_L40*Insecticida_B)+(A6_C_L40*Insecticida_C)+(A6_D_L40*Insecticida_D)+(A6_Y_L40*Insecticida_Y))*Inflación_6</f>
        <v>0</v>
      </c>
      <c r="CG27" s="101">
        <f>SUMIFS('9'!$E:$E,'9'!$A:$A,Año_Inicial+5,'9'!$B:$B,'12'!CF$4,'9'!$D:$D,"Insecticida")</f>
        <v>0</v>
      </c>
      <c r="CH27" s="473"/>
      <c r="CI27" s="101">
        <f>Plantas_A_A6*Insecticida_A*Inflación_6</f>
        <v>0</v>
      </c>
      <c r="CJ27" s="101">
        <f>Plantas_B_A6*Insecticida_B</f>
        <v>0</v>
      </c>
      <c r="CK27" s="101">
        <f>Plantas_C_A6*Insecticida_C</f>
        <v>0</v>
      </c>
      <c r="CL27" s="101">
        <f>Plantas_D_A6*Insecticida_D</f>
        <v>0</v>
      </c>
      <c r="CM27" s="101"/>
      <c r="CN27" s="101">
        <f>Plantas_Y_A6*Insecticida_Y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SUMIFS('9'!$E:$E,'9'!$A:$A,Año_Inicial+5,'9'!$D:$D,"Prevención de enfermedades")</f>
        <v>0</v>
      </c>
      <c r="D29" s="100">
        <f t="shared" si="45"/>
        <v>0</v>
      </c>
      <c r="E29" s="473"/>
      <c r="F29" s="101">
        <f>((A6_A_L1*Enfermedades_A)+(A6_B_L1*Enfermedades_B)+(A6_C_L1*Enfermedades_C)+(A6_D_L1*Enfermedades_D)+(A6_Y_L1*Enfermedades_Y))*Inflación_6</f>
        <v>0</v>
      </c>
      <c r="G29" s="101">
        <f>SUMIFS('9'!$E:$E,'9'!$A:$A,Año_Inicial+5,'9'!$B:$B,'12'!F$4,'9'!$D:$D,"Prevención de enfermedades")</f>
        <v>0</v>
      </c>
      <c r="H29" s="101">
        <f>((A6_A_L2*Enfermedades_A)+(A6_B_L2*Enfermedades_B)+(A6_C_L2*Enfermedades_C)+(A6_D_L2*Enfermedades_D)+(A6_Y_L2*Enfermedades_Y))*Inflación_6</f>
        <v>0</v>
      </c>
      <c r="I29" s="101">
        <f>SUMIFS('9'!$E:$E,'9'!$A:$A,Año_Inicial+5,'9'!$B:$B,'12'!H$4,'9'!$D:$D,"Prevención de enfermedades")</f>
        <v>0</v>
      </c>
      <c r="J29" s="101">
        <f>((A6_A_L3*Enfermedades_A)+(A6_B_L3*Enfermedades_B)+(A6_C_L3*Enfermedades_C)+(A6_D_L3*Enfermedades_D)+(A6_Y_L3*Enfermedades_Y))*Inflación_6</f>
        <v>0</v>
      </c>
      <c r="K29" s="101">
        <f>SUMIFS('9'!$E:$E,'9'!$A:$A,Año_Inicial+5,'9'!$B:$B,'12'!J$4,'9'!$D:$D,"Prevención de enfermedades")</f>
        <v>0</v>
      </c>
      <c r="L29" s="101">
        <f>((A6_A_L4*Enfermedades_A)+(A6_B_L4*Enfermedades_B)+(A6_C_L4*Enfermedades_C)+(A6_D_L4*Enfermedades_D)+(A6_Y_L4*Enfermedades_Y))*Inflación_6</f>
        <v>0</v>
      </c>
      <c r="M29" s="101">
        <f>SUMIFS('9'!$E:$E,'9'!$A:$A,Año_Inicial+5,'9'!$B:$B,'12'!L$4,'9'!$D:$D,"Prevención de enfermedades")</f>
        <v>0</v>
      </c>
      <c r="N29" s="101">
        <f>((A6_A_L5*Enfermedades_A)+(A6_B_L5*Enfermedades_B)+(A6_C_L5*Enfermedades_C)+(A6_D_L5*Enfermedades_D)+(A6_Y_L5*Enfermedades_Y))*Inflación_6</f>
        <v>0</v>
      </c>
      <c r="O29" s="101">
        <f>SUMIFS('9'!$E:$E,'9'!$A:$A,Año_Inicial+5,'9'!$B:$B,'12'!N$4,'9'!$D:$D,"Prevención de enfermedades")</f>
        <v>0</v>
      </c>
      <c r="P29" s="101">
        <f>((A6_A_L6*Enfermedades_A)+(A6_B_L6*Enfermedades_B)+(A6_C_L6*Enfermedades_C)+(A6_D_L6*Enfermedades_D)+(A6_Y_L6*Enfermedades_Y))*Inflación_6</f>
        <v>0</v>
      </c>
      <c r="Q29" s="101">
        <f>SUMIFS('9'!$E:$E,'9'!$A:$A,Año_Inicial+5,'9'!$B:$B,'12'!P$4,'9'!$D:$D,"Prevención de enfermedades")</f>
        <v>0</v>
      </c>
      <c r="R29" s="101">
        <f>((A6_A_L7*Enfermedades_A)+(A6_B_L7*Enfermedades_B)+(A6_C_L7*Enfermedades_C)+(A6_D_L7*Enfermedades_D)+(A6_Y_L7*Enfermedades_Y))*Inflación_6</f>
        <v>0</v>
      </c>
      <c r="S29" s="101">
        <f>SUMIFS('9'!$E:$E,'9'!$A:$A,Año_Inicial+5,'9'!$B:$B,'12'!R$4,'9'!$D:$D,"Prevención de enfermedades")</f>
        <v>0</v>
      </c>
      <c r="T29" s="101">
        <f>((A6_A_L8*Enfermedades_A)+(A6_B_L8*Enfermedades_B)+(A6_C_L8*Enfermedades_C)+(A6_D_L8*Enfermedades_D)+(A6_Y_L8*Enfermedades_Y))*Inflación_6</f>
        <v>0</v>
      </c>
      <c r="U29" s="101">
        <f>SUMIFS('9'!$E:$E,'9'!$A:$A,Año_Inicial+5,'9'!$B:$B,'12'!T$4,'9'!$D:$D,"Prevención de enfermedades")</f>
        <v>0</v>
      </c>
      <c r="V29" s="101">
        <f>((A6_A_L9*Enfermedades_A)+(A6_B_L9*Enfermedades_B)+(A6_C_L9*Enfermedades_C)+(A6_D_L9*Enfermedades_D)+(A6_Y_L9*Enfermedades_Y))*Inflación_6</f>
        <v>0</v>
      </c>
      <c r="W29" s="101">
        <f>SUMIFS('9'!$E:$E,'9'!$A:$A,Año_Inicial+5,'9'!$B:$B,'12'!V$4,'9'!$D:$D,"Prevención de enfermedades")</f>
        <v>0</v>
      </c>
      <c r="X29" s="101">
        <f>((A6_A_L10*Enfermedades_A)+(A6_B_L10*Enfermedades_B)+(A6_C_L10*Enfermedades_C)+(A6_D_L10*Enfermedades_D)+(A6_Y_L10*Enfermedades_Y))*Inflación_6</f>
        <v>0</v>
      </c>
      <c r="Y29" s="101">
        <f>SUMIFS('9'!$E:$E,'9'!$A:$A,Año_Inicial+5,'9'!$B:$B,'12'!X$4,'9'!$D:$D,"Prevención de enfermedades")</f>
        <v>0</v>
      </c>
      <c r="Z29" s="101">
        <f>((A6_A_L11*Enfermedades_A)+(A6_B_L11*Enfermedades_B)+(A6_C_L11*Enfermedades_C)+(A6_D_L11*Enfermedades_D)+(A6_Y_L11*Enfermedades_Y))*Inflación_6</f>
        <v>0</v>
      </c>
      <c r="AA29" s="101">
        <f>SUMIFS('9'!$E:$E,'9'!$A:$A,Año_Inicial+5,'9'!$B:$B,'12'!Z$4,'9'!$D:$D,"Prevención de enfermedades")</f>
        <v>0</v>
      </c>
      <c r="AB29" s="101">
        <f>((A6_A_L12*Enfermedades_A)+(A6_B_L12*Enfermedades_B)+(A6_C_L12*Enfermedades_C)+(A6_D_L12*Enfermedades_D)+(A6_Y_L12*Enfermedades_Y))*Inflación_6</f>
        <v>0</v>
      </c>
      <c r="AC29" s="101">
        <f>SUMIFS('9'!$E:$E,'9'!$A:$A,Año_Inicial+5,'9'!$B:$B,'12'!AB$4,'9'!$D:$D,"Prevención de enfermedades")</f>
        <v>0</v>
      </c>
      <c r="AD29" s="101">
        <f>((A6_A_L13*Enfermedades_A)+(A6_B_L13*Enfermedades_B)+(A6_C_L13*Enfermedades_C)+(A6_D_L13*Enfermedades_D)+(A6_Y_L13*Enfermedades_Y))*Inflación_6</f>
        <v>0</v>
      </c>
      <c r="AE29" s="101">
        <f>SUMIFS('9'!$E:$E,'9'!$A:$A,Año_Inicial+5,'9'!$B:$B,'12'!AD$4,'9'!$D:$D,"Prevención de enfermedades")</f>
        <v>0</v>
      </c>
      <c r="AF29" s="101">
        <f>((A6_A_L14*Enfermedades_A)+(A6_B_L14*Enfermedades_B)+(A6_C_L14*Enfermedades_C)+(A6_D_L14*Enfermedades_D)+(A6_Y_L14*Enfermedades_Y))*Inflación_6</f>
        <v>0</v>
      </c>
      <c r="AG29" s="101">
        <f>SUMIFS('9'!$E:$E,'9'!$A:$A,Año_Inicial+5,'9'!$B:$B,'12'!AF$4,'9'!$D:$D,"Prevención de enfermedades")</f>
        <v>0</v>
      </c>
      <c r="AH29" s="101">
        <f>((A6_A_L15*Enfermedades_A)+(A6_B_L15*Enfermedades_B)+(A6_C_L15*Enfermedades_C)+(A6_D_L15*Enfermedades_D)+(A6_Y_L15*Enfermedades_Y))*Inflación_6</f>
        <v>0</v>
      </c>
      <c r="AI29" s="101">
        <f>SUMIFS('9'!$E:$E,'9'!$A:$A,Año_Inicial+5,'9'!$B:$B,'12'!AH$4,'9'!$D:$D,"Prevención de enfermedades")</f>
        <v>0</v>
      </c>
      <c r="AJ29" s="101">
        <f>((A6_A_L16*Enfermedades_A)+(A6_B_L16*Enfermedades_B)+(A6_C_L16*Enfermedades_C)+(A6_D_L16*Enfermedades_D)+(A6_Y_L16*Enfermedades_Y))*Inflación_6</f>
        <v>0</v>
      </c>
      <c r="AK29" s="101">
        <f>SUMIFS('9'!$E:$E,'9'!$A:$A,Año_Inicial+5,'9'!$B:$B,'12'!AJ$4,'9'!$D:$D,"Prevención de enfermedades")</f>
        <v>0</v>
      </c>
      <c r="AL29" s="101">
        <f>((A6_A_L17*Enfermedades_A)+(A6_B_L17*Enfermedades_B)+(A6_C_L17*Enfermedades_C)+(A6_D_L17*Enfermedades_D)+(A6_Y_L17*Enfermedades_Y))*Inflación_6</f>
        <v>0</v>
      </c>
      <c r="AM29" s="101">
        <f>SUMIFS('9'!$E:$E,'9'!$A:$A,Año_Inicial+5,'9'!$B:$B,'12'!AL$4,'9'!$D:$D,"Prevención de enfermedades")</f>
        <v>0</v>
      </c>
      <c r="AN29" s="101">
        <f>((A6_A_L18*Enfermedades_A)+(A6_B_L18*Enfermedades_B)+(A6_C_L18*Enfermedades_C)+(A6_D_L18*Enfermedades_D)+(A6_Y_L18*Enfermedades_Y))*Inflación_6</f>
        <v>0</v>
      </c>
      <c r="AO29" s="101">
        <f>SUMIFS('9'!$E:$E,'9'!$A:$A,Año_Inicial+5,'9'!$B:$B,'12'!AN$4,'9'!$D:$D,"Prevención de enfermedades")</f>
        <v>0</v>
      </c>
      <c r="AP29" s="101">
        <f>((A6_A_L19*Enfermedades_A)+(A6_B_L19*Enfermedades_B)+(A6_C_L19*Enfermedades_C)+(A6_D_L19*Enfermedades_D)+(A6_Y_L19*Enfermedades_Y))*Inflación_6</f>
        <v>0</v>
      </c>
      <c r="AQ29" s="101">
        <f>SUMIFS('9'!$E:$E,'9'!$A:$A,Año_Inicial+5,'9'!$B:$B,'12'!AP$4,'9'!$D:$D,"Prevención de enfermedades")</f>
        <v>0</v>
      </c>
      <c r="AR29" s="101">
        <f>((A6_A_L20*Enfermedades_A)+(A6_B_L20*Enfermedades_B)+(A6_C_L20*Enfermedades_C)+(A6_D_L20*Enfermedades_D)+(A6_Y_L20*Enfermedades_Y))*Inflación_6</f>
        <v>0</v>
      </c>
      <c r="AS29" s="101">
        <f>SUMIFS('9'!$E:$E,'9'!$A:$A,Año_Inicial+5,'9'!$B:$B,'12'!AR$4,'9'!$D:$D,"Prevención de enfermedades")</f>
        <v>0</v>
      </c>
      <c r="AT29" s="101">
        <f>((A6_A_L21*Enfermedades_A)+(A6_B_L21*Enfermedades_B)+(A6_C_L21*Enfermedades_C)+(A6_D_L21*Enfermedades_D)+(A6_Y_L21*Enfermedades_Y))*Inflación_6</f>
        <v>0</v>
      </c>
      <c r="AU29" s="101">
        <f>SUMIFS('9'!$E:$E,'9'!$A:$A,Año_Inicial+5,'9'!$B:$B,'12'!AT$4,'9'!$D:$D,"Prevención de enfermedades")</f>
        <v>0</v>
      </c>
      <c r="AV29" s="101">
        <f>((A6_A_L22*Enfermedades_A)+(A6_B_L22*Enfermedades_B)+(A6_C_L22*Enfermedades_C)+(A6_D_L22*Enfermedades_D)+(A6_Y_L22*Enfermedades_Y))*Inflación_6</f>
        <v>0</v>
      </c>
      <c r="AW29" s="101">
        <f>SUMIFS('9'!$E:$E,'9'!$A:$A,Año_Inicial+5,'9'!$B:$B,'12'!AV$4,'9'!$D:$D,"Prevención de enfermedades")</f>
        <v>0</v>
      </c>
      <c r="AX29" s="101">
        <f>((A6_A_L23*Enfermedades_A)+(A6_B_L23*Enfermedades_B)+(A6_C_L23*Enfermedades_C)+(A6_D_L23*Enfermedades_D)+(A6_Y_L23*Enfermedades_Y))*Inflación_6</f>
        <v>0</v>
      </c>
      <c r="AY29" s="101">
        <f>SUMIFS('9'!$E:$E,'9'!$A:$A,Año_Inicial+5,'9'!$B:$B,'12'!AX$4,'9'!$D:$D,"Prevención de enfermedades")</f>
        <v>0</v>
      </c>
      <c r="AZ29" s="101">
        <f>((A6_A_L24*Enfermedades_A)+(A6_B_L24*Enfermedades_B)+(A6_C_L24*Enfermedades_C)+(A6_D_L24*Enfermedades_D)+(A6_Y_L24*Enfermedades_Y))*Inflación_6</f>
        <v>0</v>
      </c>
      <c r="BA29" s="101">
        <f>SUMIFS('9'!$E:$E,'9'!$A:$A,Año_Inicial+5,'9'!$B:$B,'12'!AZ$4,'9'!$D:$D,"Prevención de enfermedades")</f>
        <v>0</v>
      </c>
      <c r="BB29" s="101">
        <f>((A6_A_L25*Enfermedades_A)+(A6_B_L25*Enfermedades_B)+(A6_C_L25*Enfermedades_C)+(A6_D_L25*Enfermedades_D)+(A6_Y_L25*Enfermedades_Y))*Inflación_6</f>
        <v>0</v>
      </c>
      <c r="BC29" s="101">
        <f>SUMIFS('9'!$E:$E,'9'!$A:$A,Año_Inicial+5,'9'!$B:$B,'12'!BB$4,'9'!$D:$D,"Prevención de enfermedades")</f>
        <v>0</v>
      </c>
      <c r="BD29" s="101">
        <f>((A6_A_L26*Enfermedades_A)+(A6_B_L26*Enfermedades_B)+(A6_C_L26*Enfermedades_C)+(A6_D_L26*Enfermedades_D)+(A6_Y_L26*Enfermedades_Y))*Inflación_6</f>
        <v>0</v>
      </c>
      <c r="BE29" s="101">
        <f>SUMIFS('9'!$E:$E,'9'!$A:$A,Año_Inicial+5,'9'!$B:$B,'12'!BD$4,'9'!$D:$D,"Prevención de enfermedades")</f>
        <v>0</v>
      </c>
      <c r="BF29" s="101">
        <f>((A6_A_L27*Enfermedades_A)+(A6_B_L27*Enfermedades_B)+(A6_C_L27*Enfermedades_C)+(A6_D_L27*Enfermedades_D)+(A6_Y_L27*Enfermedades_Y))*Inflación_6</f>
        <v>0</v>
      </c>
      <c r="BG29" s="101">
        <f>SUMIFS('9'!$E:$E,'9'!$A:$A,Año_Inicial+5,'9'!$B:$B,'12'!BF$4,'9'!$D:$D,"Prevención de enfermedades")</f>
        <v>0</v>
      </c>
      <c r="BH29" s="101">
        <f>((A6_A_L28*Enfermedades_A)+(A6_B_L28*Enfermedades_B)+(A6_C_L28*Enfermedades_C)+(A6_D_L28*Enfermedades_D)+(A6_Y_L28*Enfermedades_Y))*Inflación_6</f>
        <v>0</v>
      </c>
      <c r="BI29" s="101">
        <f>SUMIFS('9'!$E:$E,'9'!$A:$A,Año_Inicial+5,'9'!$B:$B,'12'!BH$4,'9'!$D:$D,"Prevención de enfermedades")</f>
        <v>0</v>
      </c>
      <c r="BJ29" s="101">
        <f>((A6_A_L29*Enfermedades_A)+(A6_B_L29*Enfermedades_B)+(A6_C_L29*Enfermedades_C)+(A6_D_L29*Enfermedades_D)+(A6_Y_L29*Enfermedades_Y))*Inflación_6</f>
        <v>0</v>
      </c>
      <c r="BK29" s="101">
        <f>SUMIFS('9'!$E:$E,'9'!$A:$A,Año_Inicial+5,'9'!$B:$B,'12'!BJ$4,'9'!$D:$D,"Prevención de enfermedades")</f>
        <v>0</v>
      </c>
      <c r="BL29" s="101">
        <f>((A6_A_L30*Enfermedades_A)+(A6_B_L30*Enfermedades_B)+(A6_C_L30*Enfermedades_C)+(A6_D_L30*Enfermedades_D)+(A6_Y_L30*Enfermedades_Y))*Inflación_6</f>
        <v>0</v>
      </c>
      <c r="BM29" s="101">
        <f>SUMIFS('9'!$E:$E,'9'!$A:$A,Año_Inicial+5,'9'!$B:$B,'12'!BL$4,'9'!$D:$D,"Prevención de enfermedades")</f>
        <v>0</v>
      </c>
      <c r="BN29" s="101">
        <f>((A6_A_L31*Enfermedades_A)+(A6_B_L31*Enfermedades_B)+(A6_C_L31*Enfermedades_C)+(A6_D_L31*Enfermedades_D)+(A6_Y_L31*Enfermedades_Y))*Inflación_6</f>
        <v>0</v>
      </c>
      <c r="BO29" s="101">
        <f>SUMIFS('9'!$E:$E,'9'!$A:$A,Año_Inicial+5,'9'!$B:$B,'12'!BN$4,'9'!$D:$D,"Prevención de enfermedades")</f>
        <v>0</v>
      </c>
      <c r="BP29" s="101">
        <f>((A6_A_L32*Enfermedades_A)+(A6_B_L32*Enfermedades_B)+(A6_C_L32*Enfermedades_C)+(A6_D_L32*Enfermedades_D)+(A6_Y_L32*Enfermedades_Y))*Inflación_6</f>
        <v>0</v>
      </c>
      <c r="BQ29" s="101">
        <f>SUMIFS('9'!$E:$E,'9'!$A:$A,Año_Inicial+5,'9'!$B:$B,'12'!BP$4,'9'!$D:$D,"Prevención de enfermedades")</f>
        <v>0</v>
      </c>
      <c r="BR29" s="101">
        <f>((A6_A_L33*Enfermedades_A)+(A6_B_L33*Enfermedades_B)+(A6_C_L33*Enfermedades_C)+(A6_D_L33*Enfermedades_D)+(A6_Y_L33*Enfermedades_Y))*Inflación_6</f>
        <v>0</v>
      </c>
      <c r="BS29" s="101">
        <f>SUMIFS('9'!$E:$E,'9'!$A:$A,Año_Inicial+5,'9'!$B:$B,'12'!BR$4,'9'!$D:$D,"Prevención de enfermedades")</f>
        <v>0</v>
      </c>
      <c r="BT29" s="101">
        <f>((A6_A_L34*Enfermedades_A)+(A6_B_L34*Enfermedades_B)+(A6_C_L34*Enfermedades_C)+(A6_D_L34*Enfermedades_D)+(A6_Y_L34*Enfermedades_Y))*Inflación_6</f>
        <v>0</v>
      </c>
      <c r="BU29" s="101">
        <f>SUMIFS('9'!$E:$E,'9'!$A:$A,Año_Inicial+5,'9'!$B:$B,'12'!BT$4,'9'!$D:$D,"Prevención de enfermedades")</f>
        <v>0</v>
      </c>
      <c r="BV29" s="101">
        <f>((A6_A_L35*Enfermedades_A)+(A6_B_L35*Enfermedades_B)+(A6_C_L35*Enfermedades_C)+(A6_D_L35*Enfermedades_D)+(A6_Y_L35*Enfermedades_Y))*Inflación_6</f>
        <v>0</v>
      </c>
      <c r="BW29" s="101">
        <f>SUMIFS('9'!$E:$E,'9'!$A:$A,Año_Inicial+5,'9'!$B:$B,'12'!BV$4,'9'!$D:$D,"Prevención de enfermedades")</f>
        <v>0</v>
      </c>
      <c r="BX29" s="101">
        <f>((A6_A_L36*Enfermedades_A)+(A6_B_L36*Enfermedades_B)+(A6_C_L36*Enfermedades_C)+(A6_D_L36*Enfermedades_D)+(A6_Y_L36*Enfermedades_Y))*Inflación_6</f>
        <v>0</v>
      </c>
      <c r="BY29" s="101">
        <f>SUMIFS('9'!$E:$E,'9'!$A:$A,Año_Inicial+5,'9'!$B:$B,'12'!BX$4,'9'!$D:$D,"Prevención de enfermedades")</f>
        <v>0</v>
      </c>
      <c r="BZ29" s="101">
        <f>((A6_A_L37*Enfermedades_A)+(A6_B_L37*Enfermedades_B)+(A6_C_L37*Enfermedades_C)+(A6_D_L37*Enfermedades_D)+(A6_Y_L37*Enfermedades_Y))*Inflación_6</f>
        <v>0</v>
      </c>
      <c r="CA29" s="101">
        <f>SUMIFS('9'!$E:$E,'9'!$A:$A,Año_Inicial+5,'9'!$B:$B,'12'!BZ$4,'9'!$D:$D,"Prevención de enfermedades")</f>
        <v>0</v>
      </c>
      <c r="CB29" s="101">
        <f>((A6_A_L38*Enfermedades_A)+(A6_B_L38*Enfermedades_B)+(A6_C_L38*Enfermedades_C)+(A6_D_L38*Enfermedades_D)+(A6_Y_L38*Enfermedades_Y))*Inflación_6</f>
        <v>0</v>
      </c>
      <c r="CC29" s="101">
        <f>SUMIFS('9'!$E:$E,'9'!$A:$A,Año_Inicial+5,'9'!$B:$B,'12'!CB$4,'9'!$D:$D,"Prevención de enfermedades")</f>
        <v>0</v>
      </c>
      <c r="CD29" s="101">
        <f>((A6_A_L39*Enfermedades_A)+(A6_B_L39*Enfermedades_B)+(A6_C_L39*Enfermedades_C)+(A6_D_L39*Enfermedades_D)+(A6_Y_L39*Enfermedades_Y))*Inflación_6</f>
        <v>0</v>
      </c>
      <c r="CE29" s="101">
        <f>SUMIFS('9'!$E:$E,'9'!$A:$A,Año_Inicial+5,'9'!$B:$B,'12'!CD$4,'9'!$D:$D,"Prevención de enfermedades")</f>
        <v>0</v>
      </c>
      <c r="CF29" s="101">
        <f>((A6_A_L40*Enfermedades_A)+(A6_B_L40*Enfermedades_B)+(A6_C_L40*Enfermedades_C)+(A6_D_L40*Enfermedades_D)+(A6_Y_L40*Enfermedades_Y))*Inflación_6</f>
        <v>0</v>
      </c>
      <c r="CG29" s="101">
        <f>SUMIFS('9'!$E:$E,'9'!$A:$A,Año_Inicial+5,'9'!$B:$B,'12'!CF$4,'9'!$D:$D,"Prevención de enfermedades")</f>
        <v>0</v>
      </c>
      <c r="CH29" s="473"/>
      <c r="CI29" s="101">
        <f>Plantas_A_A6*Enfermedades_A*Inflación_6</f>
        <v>0</v>
      </c>
      <c r="CJ29" s="101">
        <f>Plantas_B_A6*Enfermedades_B</f>
        <v>0</v>
      </c>
      <c r="CK29" s="101">
        <f>Plantas_C_A6*Enfermedades_C</f>
        <v>0</v>
      </c>
      <c r="CL29" s="101">
        <f>Plantas_D_A6*Enfermedades_D</f>
        <v>0</v>
      </c>
      <c r="CM29" s="101"/>
      <c r="CN29" s="101">
        <f>Plantas_Y_A6*Enfermedades_Y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SUMIFS('9'!$E:$E,'9'!$A:$A,Año_Inicial+5,'9'!$D:$D,"Fungicida")</f>
        <v>0</v>
      </c>
      <c r="D30" s="100">
        <f t="shared" si="45"/>
        <v>0</v>
      </c>
      <c r="E30" s="473"/>
      <c r="F30" s="101">
        <f>((A6_A_L1*Fungicida_A)+(A6_B_L1*Fungicida_B)+(A6_C_L1*Fungicida_C)+(A6_D_L1*Fungicida_D)+(A6_Y_L1*Fungicida_Y))*Inflación_6</f>
        <v>0</v>
      </c>
      <c r="G30" s="101">
        <f>SUMIFS('9'!$E:$E,'9'!$A:$A,Año_Inicial+5,'9'!$B:$B,'12'!F$4,'9'!$D:$D,"Fungicida")</f>
        <v>0</v>
      </c>
      <c r="H30" s="101">
        <f>((A6_A_L2*Fungicida_A)+(A6_B_L2*Fungicida_B)+(A6_C_L2*Fungicida_C)+(A6_D_L2*Fungicida_D)+(A6_Y_L2*Fungicida_Y))*Inflación_6</f>
        <v>0</v>
      </c>
      <c r="I30" s="101">
        <f>SUMIFS('9'!$E:$E,'9'!$A:$A,Año_Inicial+5,'9'!$B:$B,'12'!H$4,'9'!$D:$D,"Fungicida")</f>
        <v>0</v>
      </c>
      <c r="J30" s="101">
        <f>((A6_A_L3*Fungicida_A)+(A6_B_L3*Fungicida_B)+(A6_C_L3*Fungicida_C)+(A6_D_L3*Fungicida_D)+(A6_Y_L3*Fungicida_Y))*Inflación_6</f>
        <v>0</v>
      </c>
      <c r="K30" s="101">
        <f>SUMIFS('9'!$E:$E,'9'!$A:$A,Año_Inicial+5,'9'!$B:$B,'12'!J$4,'9'!$D:$D,"Fungicida")</f>
        <v>0</v>
      </c>
      <c r="L30" s="101">
        <f>((A6_A_L4*Fungicida_A)+(A6_B_L4*Fungicida_B)+(A6_C_L4*Fungicida_C)+(A6_D_L4*Fungicida_D)+(A6_Y_L4*Fungicida_Y))*Inflación_6</f>
        <v>0</v>
      </c>
      <c r="M30" s="101">
        <f>SUMIFS('9'!$E:$E,'9'!$A:$A,Año_Inicial+5,'9'!$B:$B,'12'!L$4,'9'!$D:$D,"Fungicida")</f>
        <v>0</v>
      </c>
      <c r="N30" s="101">
        <f>((A6_A_L5*Fungicida_A)+(A6_B_L5*Fungicida_B)+(A6_C_L5*Fungicida_C)+(A6_D_L5*Fungicida_D)+(A6_Y_L5*Fungicida_Y))*Inflación_6</f>
        <v>0</v>
      </c>
      <c r="O30" s="101">
        <f>SUMIFS('9'!$E:$E,'9'!$A:$A,Año_Inicial+5,'9'!$B:$B,'12'!N$4,'9'!$D:$D,"Fungicida")</f>
        <v>0</v>
      </c>
      <c r="P30" s="101">
        <f>((A6_A_L6*Fungicida_A)+(A6_B_L6*Fungicida_B)+(A6_C_L6*Fungicida_C)+(A6_D_L6*Fungicida_D)+(A6_Y_L6*Fungicida_Y))*Inflación_6</f>
        <v>0</v>
      </c>
      <c r="Q30" s="101">
        <f>SUMIFS('9'!$E:$E,'9'!$A:$A,Año_Inicial+5,'9'!$B:$B,'12'!P$4,'9'!$D:$D,"Fungicida")</f>
        <v>0</v>
      </c>
      <c r="R30" s="101">
        <f>((A6_A_L7*Fungicida_A)+(A6_B_L7*Fungicida_B)+(A6_C_L7*Fungicida_C)+(A6_D_L7*Fungicida_D)+(A6_Y_L7*Fungicida_Y))*Inflación_6</f>
        <v>0</v>
      </c>
      <c r="S30" s="101">
        <f>SUMIFS('9'!$E:$E,'9'!$A:$A,Año_Inicial+5,'9'!$B:$B,'12'!R$4,'9'!$D:$D,"Fungicida")</f>
        <v>0</v>
      </c>
      <c r="T30" s="101">
        <f>((A6_A_L8*Fungicida_A)+(A6_B_L8*Fungicida_B)+(A6_C_L8*Fungicida_C)+(A6_D_L8*Fungicida_D)+(A6_Y_L8*Fungicida_Y))*Inflación_6</f>
        <v>0</v>
      </c>
      <c r="U30" s="101">
        <f>SUMIFS('9'!$E:$E,'9'!$A:$A,Año_Inicial+5,'9'!$B:$B,'12'!T$4,'9'!$D:$D,"Fungicida")</f>
        <v>0</v>
      </c>
      <c r="V30" s="101">
        <f>((A6_A_L9*Fungicida_A)+(A6_B_L9*Fungicida_B)+(A6_C_L9*Fungicida_C)+(A6_D_L9*Fungicida_D)+(A6_Y_L9*Fungicida_Y))*Inflación_6</f>
        <v>0</v>
      </c>
      <c r="W30" s="101">
        <f>SUMIFS('9'!$E:$E,'9'!$A:$A,Año_Inicial+5,'9'!$B:$B,'12'!V$4,'9'!$D:$D,"Fungicida")</f>
        <v>0</v>
      </c>
      <c r="X30" s="101">
        <f>((A6_A_L10*Fungicida_A)+(A6_B_L10*Fungicida_B)+(A6_C_L10*Fungicida_C)+(A6_D_L10*Fungicida_D)+(A6_Y_L10*Fungicida_Y))*Inflación_6</f>
        <v>0</v>
      </c>
      <c r="Y30" s="101">
        <f>SUMIFS('9'!$E:$E,'9'!$A:$A,Año_Inicial+5,'9'!$B:$B,'12'!X$4,'9'!$D:$D,"Fungicida")</f>
        <v>0</v>
      </c>
      <c r="Z30" s="101">
        <f>((A6_A_L11*Fungicida_A)+(A6_B_L11*Fungicida_B)+(A6_C_L11*Fungicida_C)+(A6_D_L11*Fungicida_D)+(A6_Y_L11*Fungicida_Y))*Inflación_6</f>
        <v>0</v>
      </c>
      <c r="AA30" s="101">
        <f>SUMIFS('9'!$E:$E,'9'!$A:$A,Año_Inicial+5,'9'!$B:$B,'12'!Z$4,'9'!$D:$D,"Fungicida")</f>
        <v>0</v>
      </c>
      <c r="AB30" s="101">
        <f>((A6_A_L12*Fungicida_A)+(A6_B_L12*Fungicida_B)+(A6_C_L12*Fungicida_C)+(A6_D_L12*Fungicida_D)+(A6_Y_L12*Fungicida_Y))*Inflación_6</f>
        <v>0</v>
      </c>
      <c r="AC30" s="101">
        <f>SUMIFS('9'!$E:$E,'9'!$A:$A,Año_Inicial+5,'9'!$B:$B,'12'!AB$4,'9'!$D:$D,"Fungicida")</f>
        <v>0</v>
      </c>
      <c r="AD30" s="101">
        <f>((A6_A_L13*Fungicida_A)+(A6_B_L13*Fungicida_B)+(A6_C_L13*Fungicida_C)+(A6_D_L13*Fungicida_D)+(A6_Y_L13*Fungicida_Y))*Inflación_6</f>
        <v>0</v>
      </c>
      <c r="AE30" s="101">
        <f>SUMIFS('9'!$E:$E,'9'!$A:$A,Año_Inicial+5,'9'!$B:$B,'12'!AD$4,'9'!$D:$D,"Fungicida")</f>
        <v>0</v>
      </c>
      <c r="AF30" s="101">
        <f>((A6_A_L14*Fungicida_A)+(A6_B_L14*Fungicida_B)+(A6_C_L14*Fungicida_C)+(A6_D_L14*Fungicida_D)+(A6_Y_L14*Fungicida_Y))*Inflación_6</f>
        <v>0</v>
      </c>
      <c r="AG30" s="101">
        <f>SUMIFS('9'!$E:$E,'9'!$A:$A,Año_Inicial+5,'9'!$B:$B,'12'!AF$4,'9'!$D:$D,"Fungicida")</f>
        <v>0</v>
      </c>
      <c r="AH30" s="101">
        <f>((A6_A_L15*Fungicida_A)+(A6_B_L15*Fungicida_B)+(A6_C_L15*Fungicida_C)+(A6_D_L15*Fungicida_D)+(A6_Y_L15*Fungicida_Y))*Inflación_6</f>
        <v>0</v>
      </c>
      <c r="AI30" s="101">
        <f>SUMIFS('9'!$E:$E,'9'!$A:$A,Año_Inicial+5,'9'!$B:$B,'12'!AH$4,'9'!$D:$D,"Fungicida")</f>
        <v>0</v>
      </c>
      <c r="AJ30" s="101">
        <f>((A6_A_L16*Fungicida_A)+(A6_B_L16*Fungicida_B)+(A6_C_L16*Fungicida_C)+(A6_D_L16*Fungicida_D)+(A6_Y_L16*Fungicida_Y))*Inflación_6</f>
        <v>0</v>
      </c>
      <c r="AK30" s="101">
        <f>SUMIFS('9'!$E:$E,'9'!$A:$A,Año_Inicial+5,'9'!$B:$B,'12'!AJ$4,'9'!$D:$D,"Fungicida")</f>
        <v>0</v>
      </c>
      <c r="AL30" s="101">
        <f>((A6_A_L17*Fungicida_A)+(A6_B_L17*Fungicida_B)+(A6_C_L17*Fungicida_C)+(A6_D_L17*Fungicida_D)+(A6_Y_L17*Fungicida_Y))*Inflación_6</f>
        <v>0</v>
      </c>
      <c r="AM30" s="101">
        <f>SUMIFS('9'!$E:$E,'9'!$A:$A,Año_Inicial+5,'9'!$B:$B,'12'!AL$4,'9'!$D:$D,"Fungicida")</f>
        <v>0</v>
      </c>
      <c r="AN30" s="101">
        <f>((A6_A_L18*Fungicida_A)+(A6_B_L18*Fungicida_B)+(A6_C_L18*Fungicida_C)+(A6_D_L18*Fungicida_D)+(A6_Y_L18*Fungicida_Y))*Inflación_6</f>
        <v>0</v>
      </c>
      <c r="AO30" s="101">
        <f>SUMIFS('9'!$E:$E,'9'!$A:$A,Año_Inicial+5,'9'!$B:$B,'12'!AN$4,'9'!$D:$D,"Fungicida")</f>
        <v>0</v>
      </c>
      <c r="AP30" s="101">
        <f>((A6_A_L19*Fungicida_A)+(A6_B_L19*Fungicida_B)+(A6_C_L19*Fungicida_C)+(A6_D_L19*Fungicida_D)+(A6_Y_L19*Fungicida_Y))*Inflación_6</f>
        <v>0</v>
      </c>
      <c r="AQ30" s="101">
        <f>SUMIFS('9'!$E:$E,'9'!$A:$A,Año_Inicial+5,'9'!$B:$B,'12'!AP$4,'9'!$D:$D,"Fungicida")</f>
        <v>0</v>
      </c>
      <c r="AR30" s="101">
        <f>((A6_A_L20*Fungicida_A)+(A6_B_L20*Fungicida_B)+(A6_C_L20*Fungicida_C)+(A6_D_L20*Fungicida_D)+(A6_Y_L20*Fungicida_Y))*Inflación_6</f>
        <v>0</v>
      </c>
      <c r="AS30" s="101">
        <f>SUMIFS('9'!$E:$E,'9'!$A:$A,Año_Inicial+5,'9'!$B:$B,'12'!AR$4,'9'!$D:$D,"Fungicida")</f>
        <v>0</v>
      </c>
      <c r="AT30" s="101">
        <f>((A6_A_L21*Fungicida_A)+(A6_B_L21*Fungicida_B)+(A6_C_L21*Fungicida_C)+(A6_D_L21*Fungicida_D)+(A6_Y_L21*Fungicida_Y))*Inflación_6</f>
        <v>0</v>
      </c>
      <c r="AU30" s="101">
        <f>SUMIFS('9'!$E:$E,'9'!$A:$A,Año_Inicial+5,'9'!$B:$B,'12'!AT$4,'9'!$D:$D,"Fungicida")</f>
        <v>0</v>
      </c>
      <c r="AV30" s="101">
        <f>((A6_A_L22*Fungicida_A)+(A6_B_L22*Fungicida_B)+(A6_C_L22*Fungicida_C)+(A6_D_L22*Fungicida_D)+(A6_Y_L22*Fungicida_Y))*Inflación_6</f>
        <v>0</v>
      </c>
      <c r="AW30" s="101">
        <f>SUMIFS('9'!$E:$E,'9'!$A:$A,Año_Inicial+5,'9'!$B:$B,'12'!AV$4,'9'!$D:$D,"Fungicida")</f>
        <v>0</v>
      </c>
      <c r="AX30" s="101">
        <f>((A6_A_L23*Fungicida_A)+(A6_B_L23*Fungicida_B)+(A6_C_L23*Fungicida_C)+(A6_D_L23*Fungicida_D)+(A6_Y_L23*Fungicida_Y))*Inflación_6</f>
        <v>0</v>
      </c>
      <c r="AY30" s="101">
        <f>SUMIFS('9'!$E:$E,'9'!$A:$A,Año_Inicial+5,'9'!$B:$B,'12'!AX$4,'9'!$D:$D,"Fungicida")</f>
        <v>0</v>
      </c>
      <c r="AZ30" s="101">
        <f>((A6_A_L24*Fungicida_A)+(A6_B_L24*Fungicida_B)+(A6_C_L24*Fungicida_C)+(A6_D_L24*Fungicida_D)+(A6_Y_L24*Fungicida_Y))*Inflación_6</f>
        <v>0</v>
      </c>
      <c r="BA30" s="101">
        <f>SUMIFS('9'!$E:$E,'9'!$A:$A,Año_Inicial+5,'9'!$B:$B,'12'!AZ$4,'9'!$D:$D,"Fungicida")</f>
        <v>0</v>
      </c>
      <c r="BB30" s="101">
        <f>((A6_A_L25*Fungicida_A)+(A6_B_L25*Fungicida_B)+(A6_C_L25*Fungicida_C)+(A6_D_L25*Fungicida_D)+(A6_Y_L25*Fungicida_Y))*Inflación_6</f>
        <v>0</v>
      </c>
      <c r="BC30" s="101">
        <f>SUMIFS('9'!$E:$E,'9'!$A:$A,Año_Inicial+5,'9'!$B:$B,'12'!BB$4,'9'!$D:$D,"Fungicida")</f>
        <v>0</v>
      </c>
      <c r="BD30" s="101">
        <f>((A6_A_L26*Fungicida_A)+(A6_B_L26*Fungicida_B)+(A6_C_L26*Fungicida_C)+(A6_D_L26*Fungicida_D)+(A6_Y_L26*Fungicida_Y))*Inflación_6</f>
        <v>0</v>
      </c>
      <c r="BE30" s="101">
        <f>SUMIFS('9'!$E:$E,'9'!$A:$A,Año_Inicial+5,'9'!$B:$B,'12'!BD$4,'9'!$D:$D,"Fungicida")</f>
        <v>0</v>
      </c>
      <c r="BF30" s="101">
        <f>((A6_A_L27*Fungicida_A)+(A6_B_L27*Fungicida_B)+(A6_C_L27*Fungicida_C)+(A6_D_L27*Fungicida_D)+(A6_Y_L27*Fungicida_Y))*Inflación_6</f>
        <v>0</v>
      </c>
      <c r="BG30" s="101">
        <f>SUMIFS('9'!$E:$E,'9'!$A:$A,Año_Inicial+5,'9'!$B:$B,'12'!BF$4,'9'!$D:$D,"Fungicida")</f>
        <v>0</v>
      </c>
      <c r="BH30" s="101">
        <f>((A6_A_L28*Fungicida_A)+(A6_B_L28*Fungicida_B)+(A6_C_L28*Fungicida_C)+(A6_D_L28*Fungicida_D)+(A6_Y_L28*Fungicida_Y))*Inflación_6</f>
        <v>0</v>
      </c>
      <c r="BI30" s="101">
        <f>SUMIFS('9'!$E:$E,'9'!$A:$A,Año_Inicial+5,'9'!$B:$B,'12'!BH$4,'9'!$D:$D,"Fungicida")</f>
        <v>0</v>
      </c>
      <c r="BJ30" s="101">
        <f>((A6_A_L29*Fungicida_A)+(A6_B_L29*Fungicida_B)+(A6_C_L29*Fungicida_C)+(A6_D_L29*Fungicida_D)+(A6_Y_L29*Fungicida_Y))*Inflación_6</f>
        <v>0</v>
      </c>
      <c r="BK30" s="101">
        <f>SUMIFS('9'!$E:$E,'9'!$A:$A,Año_Inicial+5,'9'!$B:$B,'12'!BJ$4,'9'!$D:$D,"Fungicida")</f>
        <v>0</v>
      </c>
      <c r="BL30" s="101">
        <f>((A6_A_L30*Fungicida_A)+(A6_B_L30*Fungicida_B)+(A6_C_L30*Fungicida_C)+(A6_D_L30*Fungicida_D)+(A6_Y_L30*Fungicida_Y))*Inflación_6</f>
        <v>0</v>
      </c>
      <c r="BM30" s="101">
        <f>SUMIFS('9'!$E:$E,'9'!$A:$A,Año_Inicial+5,'9'!$B:$B,'12'!BL$4,'9'!$D:$D,"Fungicida")</f>
        <v>0</v>
      </c>
      <c r="BN30" s="101">
        <f>((A6_A_L31*Fungicida_A)+(A6_B_L31*Fungicida_B)+(A6_C_L31*Fungicida_C)+(A6_D_L31*Fungicida_D)+(A6_Y_L31*Fungicida_Y))*Inflación_6</f>
        <v>0</v>
      </c>
      <c r="BO30" s="101">
        <f>SUMIFS('9'!$E:$E,'9'!$A:$A,Año_Inicial+5,'9'!$B:$B,'12'!BN$4,'9'!$D:$D,"Fungicida")</f>
        <v>0</v>
      </c>
      <c r="BP30" s="101">
        <f>((A6_A_L32*Fungicida_A)+(A6_B_L32*Fungicida_B)+(A6_C_L32*Fungicida_C)+(A6_D_L32*Fungicida_D)+(A6_Y_L32*Fungicida_Y))*Inflación_6</f>
        <v>0</v>
      </c>
      <c r="BQ30" s="101">
        <f>SUMIFS('9'!$E:$E,'9'!$A:$A,Año_Inicial+5,'9'!$B:$B,'12'!BP$4,'9'!$D:$D,"Fungicida")</f>
        <v>0</v>
      </c>
      <c r="BR30" s="101">
        <f>((A6_A_L33*Fungicida_A)+(A6_B_L33*Fungicida_B)+(A6_C_L33*Fungicida_C)+(A6_D_L33*Fungicida_D)+(A6_Y_L33*Fungicida_Y))*Inflación_6</f>
        <v>0</v>
      </c>
      <c r="BS30" s="101">
        <f>SUMIFS('9'!$E:$E,'9'!$A:$A,Año_Inicial+5,'9'!$B:$B,'12'!BR$4,'9'!$D:$D,"Fungicida")</f>
        <v>0</v>
      </c>
      <c r="BT30" s="101">
        <f>((A6_A_L34*Fungicida_A)+(A6_B_L34*Fungicida_B)+(A6_C_L34*Fungicida_C)+(A6_D_L34*Fungicida_D)+(A6_Y_L34*Fungicida_Y))*Inflación_6</f>
        <v>0</v>
      </c>
      <c r="BU30" s="101">
        <f>SUMIFS('9'!$E:$E,'9'!$A:$A,Año_Inicial+5,'9'!$B:$B,'12'!BT$4,'9'!$D:$D,"Fungicida")</f>
        <v>0</v>
      </c>
      <c r="BV30" s="101">
        <f>((A6_A_L35*Fungicida_A)+(A6_B_L35*Fungicida_B)+(A6_C_L35*Fungicida_C)+(A6_D_L35*Fungicida_D)+(A6_Y_L35*Fungicida_Y))*Inflación_6</f>
        <v>0</v>
      </c>
      <c r="BW30" s="101">
        <f>SUMIFS('9'!$E:$E,'9'!$A:$A,Año_Inicial+5,'9'!$B:$B,'12'!BV$4,'9'!$D:$D,"Fungicida")</f>
        <v>0</v>
      </c>
      <c r="BX30" s="101">
        <f>((A6_A_L36*Fungicida_A)+(A6_B_L36*Fungicida_B)+(A6_C_L36*Fungicida_C)+(A6_D_L36*Fungicida_D)+(A6_Y_L36*Fungicida_Y))*Inflación_6</f>
        <v>0</v>
      </c>
      <c r="BY30" s="101">
        <f>SUMIFS('9'!$E:$E,'9'!$A:$A,Año_Inicial+5,'9'!$B:$B,'12'!BX$4,'9'!$D:$D,"Fungicida")</f>
        <v>0</v>
      </c>
      <c r="BZ30" s="101">
        <f>((A6_A_L37*Fungicida_A)+(A6_B_L37*Fungicida_B)+(A6_C_L37*Fungicida_C)+(A6_D_L37*Fungicida_D)+(A6_Y_L37*Fungicida_Y))*Inflación_6</f>
        <v>0</v>
      </c>
      <c r="CA30" s="101">
        <f>SUMIFS('9'!$E:$E,'9'!$A:$A,Año_Inicial+5,'9'!$B:$B,'12'!BZ$4,'9'!$D:$D,"Fungicida")</f>
        <v>0</v>
      </c>
      <c r="CB30" s="101">
        <f>((A6_A_L38*Fungicida_A)+(A6_B_L38*Fungicida_B)+(A6_C_L38*Fungicida_C)+(A6_D_L38*Fungicida_D)+(A6_Y_L38*Fungicida_Y))*Inflación_6</f>
        <v>0</v>
      </c>
      <c r="CC30" s="101">
        <f>SUMIFS('9'!$E:$E,'9'!$A:$A,Año_Inicial+5,'9'!$B:$B,'12'!CB$4,'9'!$D:$D,"Fungicida")</f>
        <v>0</v>
      </c>
      <c r="CD30" s="101">
        <f>((A6_A_L39*Fungicida_A)+(A6_B_L39*Fungicida_B)+(A6_C_L39*Fungicida_C)+(A6_D_L39*Fungicida_D)+(A6_Y_L39*Fungicida_Y))*Inflación_6</f>
        <v>0</v>
      </c>
      <c r="CE30" s="101">
        <f>SUMIFS('9'!$E:$E,'9'!$A:$A,Año_Inicial+5,'9'!$B:$B,'12'!CD$4,'9'!$D:$D,"Fungicida")</f>
        <v>0</v>
      </c>
      <c r="CF30" s="101">
        <f>((A6_A_L40*Fungicida_A)+(A6_B_L40*Fungicida_B)+(A6_C_L40*Fungicida_C)+(A6_D_L40*Fungicida_D)+(A6_Y_L40*Fungicida_Y))*Inflación_6</f>
        <v>0</v>
      </c>
      <c r="CG30" s="101">
        <f>SUMIFS('9'!$E:$E,'9'!$A:$A,Año_Inicial+5,'9'!$B:$B,'12'!CF$4,'9'!$D:$D,"Fungicida")</f>
        <v>0</v>
      </c>
      <c r="CH30" s="473"/>
      <c r="CI30" s="101">
        <f>Plantas_A_A6*Fungicida_A*Inflación_6</f>
        <v>0</v>
      </c>
      <c r="CJ30" s="101">
        <f>Plantas_B_A6*Fungicida_B</f>
        <v>0</v>
      </c>
      <c r="CK30" s="101">
        <f>Plantas_C_A6*Fungicida_C</f>
        <v>0</v>
      </c>
      <c r="CL30" s="101">
        <f>Plantas_D_A6*Fungicida_D</f>
        <v>0</v>
      </c>
      <c r="CM30" s="101"/>
      <c r="CN30" s="101">
        <f>Plantas_Y_A6*Fungicida_Y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SUMIFS('9'!$E:$E,'9'!$A:$A,Año_Inicial+5,'9'!$D:$D,"Manejo de sombra")</f>
        <v>0</v>
      </c>
      <c r="D32" s="100">
        <f t="shared" si="45"/>
        <v>0</v>
      </c>
      <c r="E32" s="473"/>
      <c r="F32" s="101">
        <f>((A6_A_L1*Sombra_A)+(A6_B_L1*Sombra_B)+(A6_C_L1*Sombra_C)+(A6_D_L1*Sombra_D)+(A6_Y_L1*Sombra_Y))*Inflación_6</f>
        <v>0</v>
      </c>
      <c r="G32" s="101">
        <f>SUMIFS('9'!$E:$E,'9'!$A:$A,Año_Inicial+5,'9'!$B:$B,'12'!F$4,'9'!$D:$D,"Manejo de sombra")</f>
        <v>0</v>
      </c>
      <c r="H32" s="101">
        <f>((A6_A_L2*Sombra_A)+(A6_B_L2*Sombra_B)+(A6_C_L2*Sombra_C)+(A6_D_L2*Sombra_D)+(A6_Y_L2*Sombra_Y))*Inflación_6</f>
        <v>0</v>
      </c>
      <c r="I32" s="101">
        <f>SUMIFS('9'!$E:$E,'9'!$A:$A,Año_Inicial+5,'9'!$B:$B,'12'!H$4,'9'!$D:$D,"Manejo de sombra")</f>
        <v>0</v>
      </c>
      <c r="J32" s="101">
        <f>((A6_A_L3*Sombra_A)+(A6_B_L3*Sombra_B)+(A6_C_L3*Sombra_C)+(A6_D_L3*Sombra_D)+(A6_Y_L3*Sombra_Y))*Inflación_6</f>
        <v>0</v>
      </c>
      <c r="K32" s="101">
        <f>SUMIFS('9'!$E:$E,'9'!$A:$A,Año_Inicial+5,'9'!$B:$B,'12'!J$4,'9'!$D:$D,"Manejo de sombra")</f>
        <v>0</v>
      </c>
      <c r="L32" s="101">
        <f>((A6_A_L4*Sombra_A)+(A6_B_L4*Sombra_B)+(A6_C_L4*Sombra_C)+(A6_D_L4*Sombra_D)+(A6_Y_L4*Sombra_Y))*Inflación_6</f>
        <v>0</v>
      </c>
      <c r="M32" s="101">
        <f>SUMIFS('9'!$E:$E,'9'!$A:$A,Año_Inicial+5,'9'!$B:$B,'12'!L$4,'9'!$D:$D,"Manejo de sombra")</f>
        <v>0</v>
      </c>
      <c r="N32" s="101">
        <f>((A6_A_L5*Sombra_A)+(A6_B_L5*Sombra_B)+(A6_C_L5*Sombra_C)+(A6_D_L5*Sombra_D)+(A6_Y_L5*Sombra_Y))*Inflación_6</f>
        <v>0</v>
      </c>
      <c r="O32" s="101">
        <f>SUMIFS('9'!$E:$E,'9'!$A:$A,Año_Inicial+5,'9'!$B:$B,'12'!N$4,'9'!$D:$D,"Manejo de sombra")</f>
        <v>0</v>
      </c>
      <c r="P32" s="101">
        <f>((A6_A_L6*Sombra_A)+(A6_B_L6*Sombra_B)+(A6_C_L6*Sombra_C)+(A6_D_L6*Sombra_D)+(A6_Y_L6*Sombra_Y))*Inflación_6</f>
        <v>0</v>
      </c>
      <c r="Q32" s="101">
        <f>SUMIFS('9'!$E:$E,'9'!$A:$A,Año_Inicial+5,'9'!$B:$B,'12'!P$4,'9'!$D:$D,"Manejo de sombra")</f>
        <v>0</v>
      </c>
      <c r="R32" s="101">
        <f>((A6_A_L7*Sombra_A)+(A6_B_L7*Sombra_B)+(A6_C_L7*Sombra_C)+(A6_D_L7*Sombra_D)+(A6_Y_L7*Sombra_Y))*Inflación_6</f>
        <v>0</v>
      </c>
      <c r="S32" s="101">
        <f>SUMIFS('9'!$E:$E,'9'!$A:$A,Año_Inicial+5,'9'!$B:$B,'12'!R$4,'9'!$D:$D,"Manejo de sombra")</f>
        <v>0</v>
      </c>
      <c r="T32" s="101">
        <f>((A6_A_L8*Sombra_A)+(A6_B_L8*Sombra_B)+(A6_C_L8*Sombra_C)+(A6_D_L8*Sombra_D)+(A6_Y_L8*Sombra_Y))*Inflación_6</f>
        <v>0</v>
      </c>
      <c r="U32" s="101">
        <f>SUMIFS('9'!$E:$E,'9'!$A:$A,Año_Inicial+5,'9'!$B:$B,'12'!T$4,'9'!$D:$D,"Manejo de sombra")</f>
        <v>0</v>
      </c>
      <c r="V32" s="101">
        <f>((A6_A_L9*Sombra_A)+(A6_B_L9*Sombra_B)+(A6_C_L9*Sombra_C)+(A6_D_L9*Sombra_D)+(A6_Y_L9*Sombra_Y))*Inflación_6</f>
        <v>0</v>
      </c>
      <c r="W32" s="101">
        <f>SUMIFS('9'!$E:$E,'9'!$A:$A,Año_Inicial+5,'9'!$B:$B,'12'!V$4,'9'!$D:$D,"Manejo de sombra")</f>
        <v>0</v>
      </c>
      <c r="X32" s="101">
        <f>((A6_A_L10*Sombra_A)+(A6_B_L10*Sombra_B)+(A6_C_L10*Sombra_C)+(A6_D_L10*Sombra_D)+(A6_Y_L10*Sombra_Y))*Inflación_6</f>
        <v>0</v>
      </c>
      <c r="Y32" s="101">
        <f>SUMIFS('9'!$E:$E,'9'!$A:$A,Año_Inicial+5,'9'!$B:$B,'12'!X$4,'9'!$D:$D,"Manejo de sombra")</f>
        <v>0</v>
      </c>
      <c r="Z32" s="101">
        <f>((A6_A_L11*Sombra_A)+(A6_B_L11*Sombra_B)+(A6_C_L11*Sombra_C)+(A6_D_L11*Sombra_D)+(A6_Y_L11*Sombra_Y))*Inflación_6</f>
        <v>0</v>
      </c>
      <c r="AA32" s="101">
        <f>SUMIFS('9'!$E:$E,'9'!$A:$A,Año_Inicial+5,'9'!$B:$B,'12'!Z$4,'9'!$D:$D,"Manejo de sombra")</f>
        <v>0</v>
      </c>
      <c r="AB32" s="101">
        <f>((A6_A_L12*Sombra_A)+(A6_B_L12*Sombra_B)+(A6_C_L12*Sombra_C)+(A6_D_L12*Sombra_D)+(A6_Y_L12*Sombra_Y))*Inflación_6</f>
        <v>0</v>
      </c>
      <c r="AC32" s="101">
        <f>SUMIFS('9'!$E:$E,'9'!$A:$A,Año_Inicial+5,'9'!$B:$B,'12'!AB$4,'9'!$D:$D,"Manejo de sombra")</f>
        <v>0</v>
      </c>
      <c r="AD32" s="101">
        <f>((A6_A_L13*Sombra_A)+(A6_B_L13*Sombra_B)+(A6_C_L13*Sombra_C)+(A6_D_L13*Sombra_D)+(A6_Y_L13*Sombra_Y))*Inflación_6</f>
        <v>0</v>
      </c>
      <c r="AE32" s="101">
        <f>SUMIFS('9'!$E:$E,'9'!$A:$A,Año_Inicial+5,'9'!$B:$B,'12'!AD$4,'9'!$D:$D,"Manejo de sombra")</f>
        <v>0</v>
      </c>
      <c r="AF32" s="101">
        <f>((A6_A_L14*Sombra_A)+(A6_B_L14*Sombra_B)+(A6_C_L14*Sombra_C)+(A6_D_L14*Sombra_D)+(A6_Y_L14*Sombra_Y))*Inflación_6</f>
        <v>0</v>
      </c>
      <c r="AG32" s="101">
        <f>SUMIFS('9'!$E:$E,'9'!$A:$A,Año_Inicial+5,'9'!$B:$B,'12'!AF$4,'9'!$D:$D,"Manejo de sombra")</f>
        <v>0</v>
      </c>
      <c r="AH32" s="101">
        <f>((A6_A_L15*Sombra_A)+(A6_B_L15*Sombra_B)+(A6_C_L15*Sombra_C)+(A6_D_L15*Sombra_D)+(A6_Y_L15*Sombra_Y))*Inflación_6</f>
        <v>0</v>
      </c>
      <c r="AI32" s="101">
        <f>SUMIFS('9'!$E:$E,'9'!$A:$A,Año_Inicial+5,'9'!$B:$B,'12'!AH$4,'9'!$D:$D,"Manejo de sombra")</f>
        <v>0</v>
      </c>
      <c r="AJ32" s="101">
        <f>((A6_A_L16*Sombra_A)+(A6_B_L16*Sombra_B)+(A6_C_L16*Sombra_C)+(A6_D_L16*Sombra_D)+(A6_Y_L16*Sombra_Y))*Inflación_6</f>
        <v>0</v>
      </c>
      <c r="AK32" s="101">
        <f>SUMIFS('9'!$E:$E,'9'!$A:$A,Año_Inicial+5,'9'!$B:$B,'12'!AJ$4,'9'!$D:$D,"Manejo de sombra")</f>
        <v>0</v>
      </c>
      <c r="AL32" s="101">
        <f>((A6_A_L17*Sombra_A)+(A6_B_L17*Sombra_B)+(A6_C_L17*Sombra_C)+(A6_D_L17*Sombra_D)+(A6_Y_L17*Sombra_Y))*Inflación_6</f>
        <v>0</v>
      </c>
      <c r="AM32" s="101">
        <f>SUMIFS('9'!$E:$E,'9'!$A:$A,Año_Inicial+5,'9'!$B:$B,'12'!AL$4,'9'!$D:$D,"Manejo de sombra")</f>
        <v>0</v>
      </c>
      <c r="AN32" s="101">
        <f>((A6_A_L18*Sombra_A)+(A6_B_L18*Sombra_B)+(A6_C_L18*Sombra_C)+(A6_D_L18*Sombra_D)+(A6_Y_L18*Sombra_Y))*Inflación_6</f>
        <v>0</v>
      </c>
      <c r="AO32" s="101">
        <f>SUMIFS('9'!$E:$E,'9'!$A:$A,Año_Inicial+5,'9'!$B:$B,'12'!AN$4,'9'!$D:$D,"Manejo de sombra")</f>
        <v>0</v>
      </c>
      <c r="AP32" s="101">
        <f>((A6_A_L19*Sombra_A)+(A6_B_L19*Sombra_B)+(A6_C_L19*Sombra_C)+(A6_D_L19*Sombra_D)+(A6_Y_L19*Sombra_Y))*Inflación_6</f>
        <v>0</v>
      </c>
      <c r="AQ32" s="101">
        <f>SUMIFS('9'!$E:$E,'9'!$A:$A,Año_Inicial+5,'9'!$B:$B,'12'!AP$4,'9'!$D:$D,"Manejo de sombra")</f>
        <v>0</v>
      </c>
      <c r="AR32" s="101">
        <f>((A6_A_L20*Sombra_A)+(A6_B_L20*Sombra_B)+(A6_C_L20*Sombra_C)+(A6_D_L20*Sombra_D)+(A6_Y_L20*Sombra_Y))*Inflación_6</f>
        <v>0</v>
      </c>
      <c r="AS32" s="101">
        <f>SUMIFS('9'!$E:$E,'9'!$A:$A,Año_Inicial+5,'9'!$B:$B,'12'!AR$4,'9'!$D:$D,"Manejo de sombra")</f>
        <v>0</v>
      </c>
      <c r="AT32" s="101">
        <f>((A6_A_L21*Sombra_A)+(A6_B_L21*Sombra_B)+(A6_C_L21*Sombra_C)+(A6_D_L21*Sombra_D)+(A6_Y_L21*Sombra_Y))*Inflación_6</f>
        <v>0</v>
      </c>
      <c r="AU32" s="101">
        <f>SUMIFS('9'!$E:$E,'9'!$A:$A,Año_Inicial+5,'9'!$B:$B,'12'!AT$4,'9'!$D:$D,"Manejo de sombra")</f>
        <v>0</v>
      </c>
      <c r="AV32" s="101">
        <f>((A6_A_L22*Sombra_A)+(A6_B_L22*Sombra_B)+(A6_C_L22*Sombra_C)+(A6_D_L22*Sombra_D)+(A6_Y_L22*Sombra_Y))*Inflación_6</f>
        <v>0</v>
      </c>
      <c r="AW32" s="101">
        <f>SUMIFS('9'!$E:$E,'9'!$A:$A,Año_Inicial+5,'9'!$B:$B,'12'!AV$4,'9'!$D:$D,"Manejo de sombra")</f>
        <v>0</v>
      </c>
      <c r="AX32" s="101">
        <f>((A6_A_L23*Sombra_A)+(A6_B_L23*Sombra_B)+(A6_C_L23*Sombra_C)+(A6_D_L23*Sombra_D)+(A6_Y_L23*Sombra_Y))*Inflación_6</f>
        <v>0</v>
      </c>
      <c r="AY32" s="101">
        <f>SUMIFS('9'!$E:$E,'9'!$A:$A,Año_Inicial+5,'9'!$B:$B,'12'!AX$4,'9'!$D:$D,"Manejo de sombra")</f>
        <v>0</v>
      </c>
      <c r="AZ32" s="101">
        <f>((A6_A_L24*Sombra_A)+(A6_B_L24*Sombra_B)+(A6_C_L24*Sombra_C)+(A6_D_L24*Sombra_D)+(A6_Y_L24*Sombra_Y))*Inflación_6</f>
        <v>0</v>
      </c>
      <c r="BA32" s="101">
        <f>SUMIFS('9'!$E:$E,'9'!$A:$A,Año_Inicial+5,'9'!$B:$B,'12'!AZ$4,'9'!$D:$D,"Manejo de sombra")</f>
        <v>0</v>
      </c>
      <c r="BB32" s="101">
        <f>((A6_A_L25*Sombra_A)+(A6_B_L25*Sombra_B)+(A6_C_L25*Sombra_C)+(A6_D_L25*Sombra_D)+(A6_Y_L25*Sombra_Y))*Inflación_6</f>
        <v>0</v>
      </c>
      <c r="BC32" s="101">
        <f>SUMIFS('9'!$E:$E,'9'!$A:$A,Año_Inicial+5,'9'!$B:$B,'12'!BB$4,'9'!$D:$D,"Manejo de sombra")</f>
        <v>0</v>
      </c>
      <c r="BD32" s="101">
        <f>((A6_A_L26*Sombra_A)+(A6_B_L26*Sombra_B)+(A6_C_L26*Sombra_C)+(A6_D_L26*Sombra_D)+(A6_Y_L26*Sombra_Y))*Inflación_6</f>
        <v>0</v>
      </c>
      <c r="BE32" s="101">
        <f>SUMIFS('9'!$E:$E,'9'!$A:$A,Año_Inicial+5,'9'!$B:$B,'12'!BD$4,'9'!$D:$D,"Manejo de sombra")</f>
        <v>0</v>
      </c>
      <c r="BF32" s="101">
        <f>((A6_A_L27*Sombra_A)+(A6_B_L27*Sombra_B)+(A6_C_L27*Sombra_C)+(A6_D_L27*Sombra_D)+(A6_Y_L27*Sombra_Y))*Inflación_6</f>
        <v>0</v>
      </c>
      <c r="BG32" s="101">
        <f>SUMIFS('9'!$E:$E,'9'!$A:$A,Año_Inicial+5,'9'!$B:$B,'12'!BF$4,'9'!$D:$D,"Manejo de sombra")</f>
        <v>0</v>
      </c>
      <c r="BH32" s="101">
        <f>((A6_A_L28*Sombra_A)+(A6_B_L28*Sombra_B)+(A6_C_L28*Sombra_C)+(A6_D_L28*Sombra_D)+(A6_Y_L28*Sombra_Y))*Inflación_6</f>
        <v>0</v>
      </c>
      <c r="BI32" s="101">
        <f>SUMIFS('9'!$E:$E,'9'!$A:$A,Año_Inicial+5,'9'!$B:$B,'12'!BH$4,'9'!$D:$D,"Manejo de sombra")</f>
        <v>0</v>
      </c>
      <c r="BJ32" s="101">
        <f>((A6_A_L29*Sombra_A)+(A6_B_L29*Sombra_B)+(A6_C_L29*Sombra_C)+(A6_D_L29*Sombra_D)+(A6_Y_L29*Sombra_Y))*Inflación_6</f>
        <v>0</v>
      </c>
      <c r="BK32" s="101">
        <f>SUMIFS('9'!$E:$E,'9'!$A:$A,Año_Inicial+5,'9'!$B:$B,'12'!BJ$4,'9'!$D:$D,"Manejo de sombra")</f>
        <v>0</v>
      </c>
      <c r="BL32" s="101">
        <f>((A6_A_L30*Sombra_A)+(A6_B_L30*Sombra_B)+(A6_C_L30*Sombra_C)+(A6_D_L30*Sombra_D)+(A6_Y_L30*Sombra_Y))*Inflación_6</f>
        <v>0</v>
      </c>
      <c r="BM32" s="101">
        <f>SUMIFS('9'!$E:$E,'9'!$A:$A,Año_Inicial+5,'9'!$B:$B,'12'!BL$4,'9'!$D:$D,"Manejo de sombra")</f>
        <v>0</v>
      </c>
      <c r="BN32" s="101">
        <f>((A6_A_L31*Sombra_A)+(A6_B_L31*Sombra_B)+(A6_C_L31*Sombra_C)+(A6_D_L31*Sombra_D)+(A6_Y_L31*Sombra_Y))*Inflación_6</f>
        <v>0</v>
      </c>
      <c r="BO32" s="101">
        <f>SUMIFS('9'!$E:$E,'9'!$A:$A,Año_Inicial+5,'9'!$B:$B,'12'!BN$4,'9'!$D:$D,"Manejo de sombra")</f>
        <v>0</v>
      </c>
      <c r="BP32" s="101">
        <f>((A6_A_L32*Sombra_A)+(A6_B_L32*Sombra_B)+(A6_C_L32*Sombra_C)+(A6_D_L32*Sombra_D)+(A6_Y_L32*Sombra_Y))*Inflación_6</f>
        <v>0</v>
      </c>
      <c r="BQ32" s="101">
        <f>SUMIFS('9'!$E:$E,'9'!$A:$A,Año_Inicial+5,'9'!$B:$B,'12'!BP$4,'9'!$D:$D,"Manejo de sombra")</f>
        <v>0</v>
      </c>
      <c r="BR32" s="101">
        <f>((A6_A_L33*Sombra_A)+(A6_B_L33*Sombra_B)+(A6_C_L33*Sombra_C)+(A6_D_L33*Sombra_D)+(A6_Y_L33*Sombra_Y))*Inflación_6</f>
        <v>0</v>
      </c>
      <c r="BS32" s="101">
        <f>SUMIFS('9'!$E:$E,'9'!$A:$A,Año_Inicial+5,'9'!$B:$B,'12'!BR$4,'9'!$D:$D,"Manejo de sombra")</f>
        <v>0</v>
      </c>
      <c r="BT32" s="101">
        <f>((A6_A_L34*Sombra_A)+(A6_B_L34*Sombra_B)+(A6_C_L34*Sombra_C)+(A6_D_L34*Sombra_D)+(A6_Y_L34*Sombra_Y))*Inflación_6</f>
        <v>0</v>
      </c>
      <c r="BU32" s="101">
        <f>SUMIFS('9'!$E:$E,'9'!$A:$A,Año_Inicial+5,'9'!$B:$B,'12'!BT$4,'9'!$D:$D,"Manejo de sombra")</f>
        <v>0</v>
      </c>
      <c r="BV32" s="101">
        <f>((A6_A_L35*Sombra_A)+(A6_B_L35*Sombra_B)+(A6_C_L35*Sombra_C)+(A6_D_L35*Sombra_D)+(A6_Y_L35*Sombra_Y))*Inflación_6</f>
        <v>0</v>
      </c>
      <c r="BW32" s="101">
        <f>SUMIFS('9'!$E:$E,'9'!$A:$A,Año_Inicial+5,'9'!$B:$B,'12'!BV$4,'9'!$D:$D,"Manejo de sombra")</f>
        <v>0</v>
      </c>
      <c r="BX32" s="101">
        <f>((A6_A_L36*Sombra_A)+(A6_B_L36*Sombra_B)+(A6_C_L36*Sombra_C)+(A6_D_L36*Sombra_D)+(A6_Y_L36*Sombra_Y))*Inflación_6</f>
        <v>0</v>
      </c>
      <c r="BY32" s="101">
        <f>SUMIFS('9'!$E:$E,'9'!$A:$A,Año_Inicial+5,'9'!$B:$B,'12'!BX$4,'9'!$D:$D,"Manejo de sombra")</f>
        <v>0</v>
      </c>
      <c r="BZ32" s="101">
        <f>((A6_A_L37*Sombra_A)+(A6_B_L37*Sombra_B)+(A6_C_L37*Sombra_C)+(A6_D_L37*Sombra_D)+(A6_Y_L37*Sombra_Y))*Inflación_6</f>
        <v>0</v>
      </c>
      <c r="CA32" s="101">
        <f>SUMIFS('9'!$E:$E,'9'!$A:$A,Año_Inicial+5,'9'!$B:$B,'12'!BZ$4,'9'!$D:$D,"Manejo de sombra")</f>
        <v>0</v>
      </c>
      <c r="CB32" s="101">
        <f>((A6_A_L38*Sombra_A)+(A6_B_L38*Sombra_B)+(A6_C_L38*Sombra_C)+(A6_D_L38*Sombra_D)+(A6_Y_L38*Sombra_Y))*Inflación_6</f>
        <v>0</v>
      </c>
      <c r="CC32" s="101">
        <f>SUMIFS('9'!$E:$E,'9'!$A:$A,Año_Inicial+5,'9'!$B:$B,'12'!CB$4,'9'!$D:$D,"Manejo de sombra")</f>
        <v>0</v>
      </c>
      <c r="CD32" s="101">
        <f>((A6_A_L39*Sombra_A)+(A6_B_L39*Sombra_B)+(A6_C_L39*Sombra_C)+(A6_D_L39*Sombra_D)+(A6_Y_L39*Sombra_Y))*Inflación_6</f>
        <v>0</v>
      </c>
      <c r="CE32" s="101">
        <f>SUMIFS('9'!$E:$E,'9'!$A:$A,Año_Inicial+5,'9'!$B:$B,'12'!CD$4,'9'!$D:$D,"Manejo de sombra")</f>
        <v>0</v>
      </c>
      <c r="CF32" s="101">
        <f>((A6_A_L40*Sombra_A)+(A6_B_L40*Sombra_B)+(A6_C_L40*Sombra_C)+(A6_D_L40*Sombra_D)+(A6_Y_L40*Sombra_Y))*Inflación_6</f>
        <v>0</v>
      </c>
      <c r="CG32" s="101">
        <f>SUMIFS('9'!$E:$E,'9'!$A:$A,Año_Inicial+5,'9'!$B:$B,'12'!CF$4,'9'!$D:$D,"Manejo de sombra")</f>
        <v>0</v>
      </c>
      <c r="CH32" s="473"/>
      <c r="CI32" s="101">
        <f>Plantas_A_A6*Sombra_A*Inflación_6</f>
        <v>0</v>
      </c>
      <c r="CJ32" s="101">
        <f>Plantas_B_A6*Sombra_B</f>
        <v>0</v>
      </c>
      <c r="CK32" s="101">
        <f>Plantas_C_A6*Sombra_C</f>
        <v>0</v>
      </c>
      <c r="CL32" s="101">
        <f>Plantas_D_A6*Sombra_D</f>
        <v>0</v>
      </c>
      <c r="CM32" s="101"/>
      <c r="CN32" s="101">
        <f>Plantas_Y_A6*Sombra_Y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SUMIFS('9'!$E:$E,'9'!$A:$A,Año_Inicial+5,'9'!$D:$D,"Conservación de suelos")</f>
        <v>0</v>
      </c>
      <c r="D33" s="100">
        <f t="shared" si="45"/>
        <v>0</v>
      </c>
      <c r="E33" s="473"/>
      <c r="F33" s="101">
        <f>((A6_A_L1*Conservación_A)+(A6_B_L1*Conservación_B)+(A6_C_L1*Conservación_C)+(A6_D_L1*Conservación_D)+(A6_Y_L1*Conservación_Y))*Inflación_6</f>
        <v>0</v>
      </c>
      <c r="G33" s="101">
        <f>SUMIFS('9'!$E:$E,'9'!$A:$A,Año_Inicial+5,'9'!$B:$B,'12'!F$4,'9'!$D:$D,"Conservación de suelos")</f>
        <v>0</v>
      </c>
      <c r="H33" s="101">
        <f>((A6_A_L2*Conservación_A)+(A6_B_L2*Conservación_B)+(A6_C_L2*Conservación_C)+(A6_D_L2*Conservación_D)+(A6_Y_L2*Conservación_Y))*Inflación_6</f>
        <v>0</v>
      </c>
      <c r="I33" s="101">
        <f>SUMIFS('9'!$E:$E,'9'!$A:$A,Año_Inicial+5,'9'!$B:$B,'12'!H$4,'9'!$D:$D,"Conservación de suelos")</f>
        <v>0</v>
      </c>
      <c r="J33" s="101">
        <f>((A6_A_L3*Conservación_A)+(A6_B_L3*Conservación_B)+(A6_C_L3*Conservación_C)+(A6_D_L3*Conservación_D)+(A6_Y_L3*Conservación_Y))*Inflación_6</f>
        <v>0</v>
      </c>
      <c r="K33" s="101">
        <f>SUMIFS('9'!$E:$E,'9'!$A:$A,Año_Inicial+5,'9'!$B:$B,'12'!J$4,'9'!$D:$D,"Conservación de suelos")</f>
        <v>0</v>
      </c>
      <c r="L33" s="101">
        <f>((A6_A_L4*Conservación_A)+(A6_B_L4*Conservación_B)+(A6_C_L4*Conservación_C)+(A6_D_L4*Conservación_D)+(A6_Y_L4*Conservación_Y))*Inflación_6</f>
        <v>0</v>
      </c>
      <c r="M33" s="101">
        <f>SUMIFS('9'!$E:$E,'9'!$A:$A,Año_Inicial+5,'9'!$B:$B,'12'!L$4,'9'!$D:$D,"Conservación de suelos")</f>
        <v>0</v>
      </c>
      <c r="N33" s="101">
        <f>((A6_A_L5*Conservación_A)+(A6_B_L5*Conservación_B)+(A6_C_L5*Conservación_C)+(A6_D_L5*Conservación_D)+(A6_Y_L5*Conservación_Y))*Inflación_6</f>
        <v>0</v>
      </c>
      <c r="O33" s="101">
        <f>SUMIFS('9'!$E:$E,'9'!$A:$A,Año_Inicial+5,'9'!$B:$B,'12'!N$4,'9'!$D:$D,"Conservación de suelos")</f>
        <v>0</v>
      </c>
      <c r="P33" s="101">
        <f>((A6_A_L6*Conservación_A)+(A6_B_L6*Conservación_B)+(A6_C_L6*Conservación_C)+(A6_D_L6*Conservación_D)+(A6_Y_L6*Conservación_Y))*Inflación_6</f>
        <v>0</v>
      </c>
      <c r="Q33" s="101">
        <f>SUMIFS('9'!$E:$E,'9'!$A:$A,Año_Inicial+5,'9'!$B:$B,'12'!P$4,'9'!$D:$D,"Conservación de suelos")</f>
        <v>0</v>
      </c>
      <c r="R33" s="101">
        <f>((A6_A_L7*Conservación_A)+(A6_B_L7*Conservación_B)+(A6_C_L7*Conservación_C)+(A6_D_L7*Conservación_D)+(A6_Y_L7*Conservación_Y))*Inflación_6</f>
        <v>0</v>
      </c>
      <c r="S33" s="101">
        <f>SUMIFS('9'!$E:$E,'9'!$A:$A,Año_Inicial+5,'9'!$B:$B,'12'!R$4,'9'!$D:$D,"Conservación de suelos")</f>
        <v>0</v>
      </c>
      <c r="T33" s="101">
        <f>((A6_A_L8*Conservación_A)+(A6_B_L8*Conservación_B)+(A6_C_L8*Conservación_C)+(A6_D_L8*Conservación_D)+(A6_Y_L8*Conservación_Y))*Inflación_6</f>
        <v>0</v>
      </c>
      <c r="U33" s="101">
        <f>SUMIFS('9'!$E:$E,'9'!$A:$A,Año_Inicial+5,'9'!$B:$B,'12'!T$4,'9'!$D:$D,"Conservación de suelos")</f>
        <v>0</v>
      </c>
      <c r="V33" s="101">
        <f>((A6_A_L9*Conservación_A)+(A6_B_L9*Conservación_B)+(A6_C_L9*Conservación_C)+(A6_D_L9*Conservación_D)+(A6_Y_L9*Conservación_Y))*Inflación_6</f>
        <v>0</v>
      </c>
      <c r="W33" s="101">
        <f>SUMIFS('9'!$E:$E,'9'!$A:$A,Año_Inicial+5,'9'!$B:$B,'12'!V$4,'9'!$D:$D,"Conservación de suelos")</f>
        <v>0</v>
      </c>
      <c r="X33" s="101">
        <f>((A6_A_L10*Conservación_A)+(A6_B_L10*Conservación_B)+(A6_C_L10*Conservación_C)+(A6_D_L10*Conservación_D)+(A6_Y_L10*Conservación_Y))*Inflación_6</f>
        <v>0</v>
      </c>
      <c r="Y33" s="101">
        <f>SUMIFS('9'!$E:$E,'9'!$A:$A,Año_Inicial+5,'9'!$B:$B,'12'!X$4,'9'!$D:$D,"Conservación de suelos")</f>
        <v>0</v>
      </c>
      <c r="Z33" s="101">
        <f>((A6_A_L11*Conservación_A)+(A6_B_L11*Conservación_B)+(A6_C_L11*Conservación_C)+(A6_D_L11*Conservación_D)+(A6_Y_L11*Conservación_Y))*Inflación_6</f>
        <v>0</v>
      </c>
      <c r="AA33" s="101">
        <f>SUMIFS('9'!$E:$E,'9'!$A:$A,Año_Inicial+5,'9'!$B:$B,'12'!Z$4,'9'!$D:$D,"Conservación de suelos")</f>
        <v>0</v>
      </c>
      <c r="AB33" s="101">
        <f>((A6_A_L12*Conservación_A)+(A6_B_L12*Conservación_B)+(A6_C_L12*Conservación_C)+(A6_D_L12*Conservación_D)+(A6_Y_L12*Conservación_Y))*Inflación_6</f>
        <v>0</v>
      </c>
      <c r="AC33" s="101">
        <f>SUMIFS('9'!$E:$E,'9'!$A:$A,Año_Inicial+5,'9'!$B:$B,'12'!AB$4,'9'!$D:$D,"Conservación de suelos")</f>
        <v>0</v>
      </c>
      <c r="AD33" s="101">
        <f>((A6_A_L13*Conservación_A)+(A6_B_L13*Conservación_B)+(A6_C_L13*Conservación_C)+(A6_D_L13*Conservación_D)+(A6_Y_L13*Conservación_Y))*Inflación_6</f>
        <v>0</v>
      </c>
      <c r="AE33" s="101">
        <f>SUMIFS('9'!$E:$E,'9'!$A:$A,Año_Inicial+5,'9'!$B:$B,'12'!AD$4,'9'!$D:$D,"Conservación de suelos")</f>
        <v>0</v>
      </c>
      <c r="AF33" s="101">
        <f>((A6_A_L14*Conservación_A)+(A6_B_L14*Conservación_B)+(A6_C_L14*Conservación_C)+(A6_D_L14*Conservación_D)+(A6_Y_L14*Conservación_Y))*Inflación_6</f>
        <v>0</v>
      </c>
      <c r="AG33" s="101">
        <f>SUMIFS('9'!$E:$E,'9'!$A:$A,Año_Inicial+5,'9'!$B:$B,'12'!AF$4,'9'!$D:$D,"Conservación de suelos")</f>
        <v>0</v>
      </c>
      <c r="AH33" s="101">
        <f>((A6_A_L15*Conservación_A)+(A6_B_L15*Conservación_B)+(A6_C_L15*Conservación_C)+(A6_D_L15*Conservación_D)+(A6_Y_L15*Conservación_Y))*Inflación_6</f>
        <v>0</v>
      </c>
      <c r="AI33" s="101">
        <f>SUMIFS('9'!$E:$E,'9'!$A:$A,Año_Inicial+5,'9'!$B:$B,'12'!AH$4,'9'!$D:$D,"Conservación de suelos")</f>
        <v>0</v>
      </c>
      <c r="AJ33" s="101">
        <f>((A6_A_L16*Conservación_A)+(A6_B_L16*Conservación_B)+(A6_C_L16*Conservación_C)+(A6_D_L16*Conservación_D)+(A6_Y_L16*Conservación_Y))*Inflación_6</f>
        <v>0</v>
      </c>
      <c r="AK33" s="101">
        <f>SUMIFS('9'!$E:$E,'9'!$A:$A,Año_Inicial+5,'9'!$B:$B,'12'!AJ$4,'9'!$D:$D,"Conservación de suelos")</f>
        <v>0</v>
      </c>
      <c r="AL33" s="101">
        <f>((A6_A_L17*Conservación_A)+(A6_B_L17*Conservación_B)+(A6_C_L17*Conservación_C)+(A6_D_L17*Conservación_D)+(A6_Y_L17*Conservación_Y))*Inflación_6</f>
        <v>0</v>
      </c>
      <c r="AM33" s="101">
        <f>SUMIFS('9'!$E:$E,'9'!$A:$A,Año_Inicial+5,'9'!$B:$B,'12'!AL$4,'9'!$D:$D,"Conservación de suelos")</f>
        <v>0</v>
      </c>
      <c r="AN33" s="101">
        <f>((A6_A_L18*Conservación_A)+(A6_B_L18*Conservación_B)+(A6_C_L18*Conservación_C)+(A6_D_L18*Conservación_D)+(A6_Y_L18*Conservación_Y))*Inflación_6</f>
        <v>0</v>
      </c>
      <c r="AO33" s="101">
        <f>SUMIFS('9'!$E:$E,'9'!$A:$A,Año_Inicial+5,'9'!$B:$B,'12'!AN$4,'9'!$D:$D,"Conservación de suelos")</f>
        <v>0</v>
      </c>
      <c r="AP33" s="101">
        <f>((A6_A_L19*Conservación_A)+(A6_B_L19*Conservación_B)+(A6_C_L19*Conservación_C)+(A6_D_L19*Conservación_D)+(A6_Y_L19*Conservación_Y))*Inflación_6</f>
        <v>0</v>
      </c>
      <c r="AQ33" s="101">
        <f>SUMIFS('9'!$E:$E,'9'!$A:$A,Año_Inicial+5,'9'!$B:$B,'12'!AP$4,'9'!$D:$D,"Conservación de suelos")</f>
        <v>0</v>
      </c>
      <c r="AR33" s="101">
        <f>((A6_A_L20*Conservación_A)+(A6_B_L20*Conservación_B)+(A6_C_L20*Conservación_C)+(A6_D_L20*Conservación_D)+(A6_Y_L20*Conservación_Y))*Inflación_6</f>
        <v>0</v>
      </c>
      <c r="AS33" s="101">
        <f>SUMIFS('9'!$E:$E,'9'!$A:$A,Año_Inicial+5,'9'!$B:$B,'12'!AR$4,'9'!$D:$D,"Conservación de suelos")</f>
        <v>0</v>
      </c>
      <c r="AT33" s="101">
        <f>((A6_A_L21*Conservación_A)+(A6_B_L21*Conservación_B)+(A6_C_L21*Conservación_C)+(A6_D_L21*Conservación_D)+(A6_Y_L21*Conservación_Y))*Inflación_6</f>
        <v>0</v>
      </c>
      <c r="AU33" s="101">
        <f>SUMIFS('9'!$E:$E,'9'!$A:$A,Año_Inicial+5,'9'!$B:$B,'12'!AT$4,'9'!$D:$D,"Conservación de suelos")</f>
        <v>0</v>
      </c>
      <c r="AV33" s="101">
        <f>((A6_A_L22*Conservación_A)+(A6_B_L22*Conservación_B)+(A6_C_L22*Conservación_C)+(A6_D_L22*Conservación_D)+(A6_Y_L22*Conservación_Y))*Inflación_6</f>
        <v>0</v>
      </c>
      <c r="AW33" s="101">
        <f>SUMIFS('9'!$E:$E,'9'!$A:$A,Año_Inicial+5,'9'!$B:$B,'12'!AV$4,'9'!$D:$D,"Conservación de suelos")</f>
        <v>0</v>
      </c>
      <c r="AX33" s="101">
        <f>((A6_A_L23*Conservación_A)+(A6_B_L23*Conservación_B)+(A6_C_L23*Conservación_C)+(A6_D_L23*Conservación_D)+(A6_Y_L23*Conservación_Y))*Inflación_6</f>
        <v>0</v>
      </c>
      <c r="AY33" s="101">
        <f>SUMIFS('9'!$E:$E,'9'!$A:$A,Año_Inicial+5,'9'!$B:$B,'12'!AX$4,'9'!$D:$D,"Conservación de suelos")</f>
        <v>0</v>
      </c>
      <c r="AZ33" s="101">
        <f>((A6_A_L24*Conservación_A)+(A6_B_L24*Conservación_B)+(A6_C_L24*Conservación_C)+(A6_D_L24*Conservación_D)+(A6_Y_L24*Conservación_Y))*Inflación_6</f>
        <v>0</v>
      </c>
      <c r="BA33" s="101">
        <f>SUMIFS('9'!$E:$E,'9'!$A:$A,Año_Inicial+5,'9'!$B:$B,'12'!AZ$4,'9'!$D:$D,"Conservación de suelos")</f>
        <v>0</v>
      </c>
      <c r="BB33" s="101">
        <f>((A6_A_L25*Conservación_A)+(A6_B_L25*Conservación_B)+(A6_C_L25*Conservación_C)+(A6_D_L25*Conservación_D)+(A6_Y_L25*Conservación_Y))*Inflación_6</f>
        <v>0</v>
      </c>
      <c r="BC33" s="101">
        <f>SUMIFS('9'!$E:$E,'9'!$A:$A,Año_Inicial+5,'9'!$B:$B,'12'!BB$4,'9'!$D:$D,"Conservación de suelos")</f>
        <v>0</v>
      </c>
      <c r="BD33" s="101">
        <f>((A6_A_L26*Conservación_A)+(A6_B_L26*Conservación_B)+(A6_C_L26*Conservación_C)+(A6_D_L26*Conservación_D)+(A6_Y_L26*Conservación_Y))*Inflación_6</f>
        <v>0</v>
      </c>
      <c r="BE33" s="101">
        <f>SUMIFS('9'!$E:$E,'9'!$A:$A,Año_Inicial+5,'9'!$B:$B,'12'!BD$4,'9'!$D:$D,"Conservación de suelos")</f>
        <v>0</v>
      </c>
      <c r="BF33" s="101">
        <f>((A6_A_L27*Conservación_A)+(A6_B_L27*Conservación_B)+(A6_C_L27*Conservación_C)+(A6_D_L27*Conservación_D)+(A6_Y_L27*Conservación_Y))*Inflación_6</f>
        <v>0</v>
      </c>
      <c r="BG33" s="101">
        <f>SUMIFS('9'!$E:$E,'9'!$A:$A,Año_Inicial+5,'9'!$B:$B,'12'!BF$4,'9'!$D:$D,"Conservación de suelos")</f>
        <v>0</v>
      </c>
      <c r="BH33" s="101">
        <f>((A6_A_L28*Conservación_A)+(A6_B_L28*Conservación_B)+(A6_C_L28*Conservación_C)+(A6_D_L28*Conservación_D)+(A6_Y_L28*Conservación_Y))*Inflación_6</f>
        <v>0</v>
      </c>
      <c r="BI33" s="101">
        <f>SUMIFS('9'!$E:$E,'9'!$A:$A,Año_Inicial+5,'9'!$B:$B,'12'!BH$4,'9'!$D:$D,"Conservación de suelos")</f>
        <v>0</v>
      </c>
      <c r="BJ33" s="101">
        <f>((A6_A_L29*Conservación_A)+(A6_B_L29*Conservación_B)+(A6_C_L29*Conservación_C)+(A6_D_L29*Conservación_D)+(A6_Y_L29*Conservación_Y))*Inflación_6</f>
        <v>0</v>
      </c>
      <c r="BK33" s="101">
        <f>SUMIFS('9'!$E:$E,'9'!$A:$A,Año_Inicial+5,'9'!$B:$B,'12'!BJ$4,'9'!$D:$D,"Conservación de suelos")</f>
        <v>0</v>
      </c>
      <c r="BL33" s="101">
        <f>((A6_A_L30*Conservación_A)+(A6_B_L30*Conservación_B)+(A6_C_L30*Conservación_C)+(A6_D_L30*Conservación_D)+(A6_Y_L30*Conservación_Y))*Inflación_6</f>
        <v>0</v>
      </c>
      <c r="BM33" s="101">
        <f>SUMIFS('9'!$E:$E,'9'!$A:$A,Año_Inicial+5,'9'!$B:$B,'12'!BL$4,'9'!$D:$D,"Conservación de suelos")</f>
        <v>0</v>
      </c>
      <c r="BN33" s="101">
        <f>((A6_A_L31*Conservación_A)+(A6_B_L31*Conservación_B)+(A6_C_L31*Conservación_C)+(A6_D_L31*Conservación_D)+(A6_Y_L31*Conservación_Y))*Inflación_6</f>
        <v>0</v>
      </c>
      <c r="BO33" s="101">
        <f>SUMIFS('9'!$E:$E,'9'!$A:$A,Año_Inicial+5,'9'!$B:$B,'12'!BN$4,'9'!$D:$D,"Conservación de suelos")</f>
        <v>0</v>
      </c>
      <c r="BP33" s="101">
        <f>((A6_A_L32*Conservación_A)+(A6_B_L32*Conservación_B)+(A6_C_L32*Conservación_C)+(A6_D_L32*Conservación_D)+(A6_Y_L32*Conservación_Y))*Inflación_6</f>
        <v>0</v>
      </c>
      <c r="BQ33" s="101">
        <f>SUMIFS('9'!$E:$E,'9'!$A:$A,Año_Inicial+5,'9'!$B:$B,'12'!BP$4,'9'!$D:$D,"Conservación de suelos")</f>
        <v>0</v>
      </c>
      <c r="BR33" s="101">
        <f>((A6_A_L33*Conservación_A)+(A6_B_L33*Conservación_B)+(A6_C_L33*Conservación_C)+(A6_D_L33*Conservación_D)+(A6_Y_L33*Conservación_Y))*Inflación_6</f>
        <v>0</v>
      </c>
      <c r="BS33" s="101">
        <f>SUMIFS('9'!$E:$E,'9'!$A:$A,Año_Inicial+5,'9'!$B:$B,'12'!BR$4,'9'!$D:$D,"Conservación de suelos")</f>
        <v>0</v>
      </c>
      <c r="BT33" s="101">
        <f>((A6_A_L34*Conservación_A)+(A6_B_L34*Conservación_B)+(A6_C_L34*Conservación_C)+(A6_D_L34*Conservación_D)+(A6_Y_L34*Conservación_Y))*Inflación_6</f>
        <v>0</v>
      </c>
      <c r="BU33" s="101">
        <f>SUMIFS('9'!$E:$E,'9'!$A:$A,Año_Inicial+5,'9'!$B:$B,'12'!BT$4,'9'!$D:$D,"Conservación de suelos")</f>
        <v>0</v>
      </c>
      <c r="BV33" s="101">
        <f>((A6_A_L35*Conservación_A)+(A6_B_L35*Conservación_B)+(A6_C_L35*Conservación_C)+(A6_D_L35*Conservación_D)+(A6_Y_L35*Conservación_Y))*Inflación_6</f>
        <v>0</v>
      </c>
      <c r="BW33" s="101">
        <f>SUMIFS('9'!$E:$E,'9'!$A:$A,Año_Inicial+5,'9'!$B:$B,'12'!BV$4,'9'!$D:$D,"Conservación de suelos")</f>
        <v>0</v>
      </c>
      <c r="BX33" s="101">
        <f>((A6_A_L36*Conservación_A)+(A6_B_L36*Conservación_B)+(A6_C_L36*Conservación_C)+(A6_D_L36*Conservación_D)+(A6_Y_L36*Conservación_Y))*Inflación_6</f>
        <v>0</v>
      </c>
      <c r="BY33" s="101">
        <f>SUMIFS('9'!$E:$E,'9'!$A:$A,Año_Inicial+5,'9'!$B:$B,'12'!BX$4,'9'!$D:$D,"Conservación de suelos")</f>
        <v>0</v>
      </c>
      <c r="BZ33" s="101">
        <f>((A6_A_L37*Conservación_A)+(A6_B_L37*Conservación_B)+(A6_C_L37*Conservación_C)+(A6_D_L37*Conservación_D)+(A6_Y_L37*Conservación_Y))*Inflación_6</f>
        <v>0</v>
      </c>
      <c r="CA33" s="101">
        <f>SUMIFS('9'!$E:$E,'9'!$A:$A,Año_Inicial+5,'9'!$B:$B,'12'!BZ$4,'9'!$D:$D,"Conservación de suelos")</f>
        <v>0</v>
      </c>
      <c r="CB33" s="101">
        <f>((A6_A_L38*Conservación_A)+(A6_B_L38*Conservación_B)+(A6_C_L38*Conservación_C)+(A6_D_L38*Conservación_D)+(A6_Y_L38*Conservación_Y))*Inflación_6</f>
        <v>0</v>
      </c>
      <c r="CC33" s="101">
        <f>SUMIFS('9'!$E:$E,'9'!$A:$A,Año_Inicial+5,'9'!$B:$B,'12'!CB$4,'9'!$D:$D,"Conservación de suelos")</f>
        <v>0</v>
      </c>
      <c r="CD33" s="101">
        <f>((A6_A_L39*Conservación_A)+(A6_B_L39*Conservación_B)+(A6_C_L39*Conservación_C)+(A6_D_L39*Conservación_D)+(A6_Y_L39*Conservación_Y))*Inflación_6</f>
        <v>0</v>
      </c>
      <c r="CE33" s="101">
        <f>SUMIFS('9'!$E:$E,'9'!$A:$A,Año_Inicial+5,'9'!$B:$B,'12'!CD$4,'9'!$D:$D,"Conservación de suelos")</f>
        <v>0</v>
      </c>
      <c r="CF33" s="101">
        <f>((A6_A_L40*Conservación_A)+(A6_B_L40*Conservación_B)+(A6_C_L40*Conservación_C)+(A6_D_L40*Conservación_D)+(A6_Y_L40*Conservación_Y))*Inflación_6</f>
        <v>0</v>
      </c>
      <c r="CG33" s="101">
        <f>SUMIFS('9'!$E:$E,'9'!$A:$A,Año_Inicial+5,'9'!$B:$B,'12'!CF$4,'9'!$D:$D,"Conservación de suelos")</f>
        <v>0</v>
      </c>
      <c r="CH33" s="473"/>
      <c r="CI33" s="101">
        <f>Plantas_A_A6*Conservación_A*Inflación_6</f>
        <v>0</v>
      </c>
      <c r="CJ33" s="101">
        <f>Plantas_B_A6*Conservación_B</f>
        <v>0</v>
      </c>
      <c r="CK33" s="101">
        <f>Plantas_C_A6*Conservación_C</f>
        <v>0</v>
      </c>
      <c r="CL33" s="101">
        <f>Plantas_D_A6*Conservación_D</f>
        <v>0</v>
      </c>
      <c r="CM33" s="101"/>
      <c r="CN33" s="101">
        <f>Plantas_Y_A6*Conservación_Y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SUMIFS('9'!$E:$E,'9'!$A:$A,Año_Inicial+5,'9'!$D:$D,"Otras actividades")</f>
        <v>0</v>
      </c>
      <c r="D34" s="100">
        <f t="shared" si="45"/>
        <v>0</v>
      </c>
      <c r="E34" s="473"/>
      <c r="F34" s="101">
        <f>((A6_A_L1*Otras_A)+(A6_B_L1*Otras_B)+(A6_C_L1*Otras_C)+(A6_D_L1*Otras_D)+(A6_Y_L1*Otras_Y))*Inflación_6</f>
        <v>0</v>
      </c>
      <c r="G34" s="101">
        <f>SUMIFS('9'!$E:$E,'9'!$A:$A,Año_Inicial+5,'9'!$B:$B,'12'!F$4,'9'!$D:$D,"Otras actividades")</f>
        <v>0</v>
      </c>
      <c r="H34" s="101">
        <f>((A6_A_L2*Otras_A)+(A6_B_L2*Otras_B)+(A6_C_L2*Otras_C)+(A6_D_L2*Otras_D)+(A6_Y_L2*Otras_Y))*Inflación_6</f>
        <v>0</v>
      </c>
      <c r="I34" s="101">
        <f>SUMIFS('9'!$E:$E,'9'!$A:$A,Año_Inicial+5,'9'!$B:$B,'12'!H$4,'9'!$D:$D,"Otras actividades")</f>
        <v>0</v>
      </c>
      <c r="J34" s="101">
        <f>((A6_A_L3*Otras_A)+(A6_B_L3*Otras_B)+(A6_C_L3*Otras_C)+(A6_D_L3*Otras_D)+(A6_Y_L3*Otras_Y))*Inflación_6</f>
        <v>0</v>
      </c>
      <c r="K34" s="101">
        <f>SUMIFS('9'!$E:$E,'9'!$A:$A,Año_Inicial+5,'9'!$B:$B,'12'!J$4,'9'!$D:$D,"Otras actividades")</f>
        <v>0</v>
      </c>
      <c r="L34" s="101">
        <f>((A6_A_L4*Otras_A)+(A6_B_L4*Otras_B)+(A6_C_L4*Otras_C)+(A6_D_L4*Otras_D)+(A6_Y_L4*Otras_Y))*Inflación_6</f>
        <v>0</v>
      </c>
      <c r="M34" s="101">
        <f>SUMIFS('9'!$E:$E,'9'!$A:$A,Año_Inicial+5,'9'!$B:$B,'12'!L$4,'9'!$D:$D,"Otras actividades")</f>
        <v>0</v>
      </c>
      <c r="N34" s="101">
        <f>((A6_A_L5*Otras_A)+(A6_B_L5*Otras_B)+(A6_C_L5*Otras_C)+(A6_D_L5*Otras_D)+(A6_Y_L5*Otras_Y))*Inflación_6</f>
        <v>0</v>
      </c>
      <c r="O34" s="101">
        <f>SUMIFS('9'!$E:$E,'9'!$A:$A,Año_Inicial+5,'9'!$B:$B,'12'!N$4,'9'!$D:$D,"Otras actividades")</f>
        <v>0</v>
      </c>
      <c r="P34" s="101">
        <f>((A6_A_L6*Otras_A)+(A6_B_L6*Otras_B)+(A6_C_L6*Otras_C)+(A6_D_L6*Otras_D)+(A6_Y_L6*Otras_Y))*Inflación_6</f>
        <v>0</v>
      </c>
      <c r="Q34" s="101">
        <f>SUMIFS('9'!$E:$E,'9'!$A:$A,Año_Inicial+5,'9'!$B:$B,'12'!P$4,'9'!$D:$D,"Otras actividades")</f>
        <v>0</v>
      </c>
      <c r="R34" s="101">
        <f>((A6_A_L7*Otras_A)+(A6_B_L7*Otras_B)+(A6_C_L7*Otras_C)+(A6_D_L7*Otras_D)+(A6_Y_L7*Otras_Y))*Inflación_6</f>
        <v>0</v>
      </c>
      <c r="S34" s="101">
        <f>SUMIFS('9'!$E:$E,'9'!$A:$A,Año_Inicial+5,'9'!$B:$B,'12'!R$4,'9'!$D:$D,"Otras actividades")</f>
        <v>0</v>
      </c>
      <c r="T34" s="101">
        <f>((A6_A_L8*Otras_A)+(A6_B_L8*Otras_B)+(A6_C_L8*Otras_C)+(A6_D_L8*Otras_D)+(A6_Y_L8*Otras_Y))*Inflación_6</f>
        <v>0</v>
      </c>
      <c r="U34" s="101">
        <f>SUMIFS('9'!$E:$E,'9'!$A:$A,Año_Inicial+5,'9'!$B:$B,'12'!T$4,'9'!$D:$D,"Otras actividades")</f>
        <v>0</v>
      </c>
      <c r="V34" s="101">
        <f>((A6_A_L9*Otras_A)+(A6_B_L9*Otras_B)+(A6_C_L9*Otras_C)+(A6_D_L9*Otras_D)+(A6_Y_L9*Otras_Y))*Inflación_6</f>
        <v>0</v>
      </c>
      <c r="W34" s="101">
        <f>SUMIFS('9'!$E:$E,'9'!$A:$A,Año_Inicial+5,'9'!$B:$B,'12'!V$4,'9'!$D:$D,"Otras actividades")</f>
        <v>0</v>
      </c>
      <c r="X34" s="101">
        <f>((A6_A_L10*Otras_A)+(A6_B_L10*Otras_B)+(A6_C_L10*Otras_C)+(A6_D_L10*Otras_D)+(A6_Y_L10*Otras_Y))*Inflación_6</f>
        <v>0</v>
      </c>
      <c r="Y34" s="101">
        <f>SUMIFS('9'!$E:$E,'9'!$A:$A,Año_Inicial+5,'9'!$B:$B,'12'!X$4,'9'!$D:$D,"Otras actividades")</f>
        <v>0</v>
      </c>
      <c r="Z34" s="101">
        <f>((A6_A_L11*Otras_A)+(A6_B_L11*Otras_B)+(A6_C_L11*Otras_C)+(A6_D_L11*Otras_D)+(A6_Y_L11*Otras_Y))*Inflación_6</f>
        <v>0</v>
      </c>
      <c r="AA34" s="101">
        <f>SUMIFS('9'!$E:$E,'9'!$A:$A,Año_Inicial+5,'9'!$B:$B,'12'!Z$4,'9'!$D:$D,"Otras actividades")</f>
        <v>0</v>
      </c>
      <c r="AB34" s="101">
        <f>((A6_A_L12*Otras_A)+(A6_B_L12*Otras_B)+(A6_C_L12*Otras_C)+(A6_D_L12*Otras_D)+(A6_Y_L12*Otras_Y))*Inflación_6</f>
        <v>0</v>
      </c>
      <c r="AC34" s="101">
        <f>SUMIFS('9'!$E:$E,'9'!$A:$A,Año_Inicial+5,'9'!$B:$B,'12'!AB$4,'9'!$D:$D,"Otras actividades")</f>
        <v>0</v>
      </c>
      <c r="AD34" s="101">
        <f>((A6_A_L13*Otras_A)+(A6_B_L13*Otras_B)+(A6_C_L13*Otras_C)+(A6_D_L13*Otras_D)+(A6_Y_L13*Otras_Y))*Inflación_6</f>
        <v>0</v>
      </c>
      <c r="AE34" s="101">
        <f>SUMIFS('9'!$E:$E,'9'!$A:$A,Año_Inicial+5,'9'!$B:$B,'12'!AD$4,'9'!$D:$D,"Otras actividades")</f>
        <v>0</v>
      </c>
      <c r="AF34" s="101">
        <f>((A6_A_L14*Otras_A)+(A6_B_L14*Otras_B)+(A6_C_L14*Otras_C)+(A6_D_L14*Otras_D)+(A6_Y_L14*Otras_Y))*Inflación_6</f>
        <v>0</v>
      </c>
      <c r="AG34" s="101">
        <f>SUMIFS('9'!$E:$E,'9'!$A:$A,Año_Inicial+5,'9'!$B:$B,'12'!AF$4,'9'!$D:$D,"Otras actividades")</f>
        <v>0</v>
      </c>
      <c r="AH34" s="101">
        <f>((A6_A_L15*Otras_A)+(A6_B_L15*Otras_B)+(A6_C_L15*Otras_C)+(A6_D_L15*Otras_D)+(A6_Y_L15*Otras_Y))*Inflación_6</f>
        <v>0</v>
      </c>
      <c r="AI34" s="101">
        <f>SUMIFS('9'!$E:$E,'9'!$A:$A,Año_Inicial+5,'9'!$B:$B,'12'!AH$4,'9'!$D:$D,"Otras actividades")</f>
        <v>0</v>
      </c>
      <c r="AJ34" s="101">
        <f>((A6_A_L16*Otras_A)+(A6_B_L16*Otras_B)+(A6_C_L16*Otras_C)+(A6_D_L16*Otras_D)+(A6_Y_L16*Otras_Y))*Inflación_6</f>
        <v>0</v>
      </c>
      <c r="AK34" s="101">
        <f>SUMIFS('9'!$E:$E,'9'!$A:$A,Año_Inicial+5,'9'!$B:$B,'12'!AJ$4,'9'!$D:$D,"Otras actividades")</f>
        <v>0</v>
      </c>
      <c r="AL34" s="101">
        <f>((A6_A_L17*Otras_A)+(A6_B_L17*Otras_B)+(A6_C_L17*Otras_C)+(A6_D_L17*Otras_D)+(A6_Y_L17*Otras_Y))*Inflación_6</f>
        <v>0</v>
      </c>
      <c r="AM34" s="101">
        <f>SUMIFS('9'!$E:$E,'9'!$A:$A,Año_Inicial+5,'9'!$B:$B,'12'!AL$4,'9'!$D:$D,"Otras actividades")</f>
        <v>0</v>
      </c>
      <c r="AN34" s="101">
        <f>((A6_A_L18*Otras_A)+(A6_B_L18*Otras_B)+(A6_C_L18*Otras_C)+(A6_D_L18*Otras_D)+(A6_Y_L18*Otras_Y))*Inflación_6</f>
        <v>0</v>
      </c>
      <c r="AO34" s="101">
        <f>SUMIFS('9'!$E:$E,'9'!$A:$A,Año_Inicial+5,'9'!$B:$B,'12'!AN$4,'9'!$D:$D,"Otras actividades")</f>
        <v>0</v>
      </c>
      <c r="AP34" s="101">
        <f>((A6_A_L19*Otras_A)+(A6_B_L19*Otras_B)+(A6_C_L19*Otras_C)+(A6_D_L19*Otras_D)+(A6_Y_L19*Otras_Y))*Inflación_6</f>
        <v>0</v>
      </c>
      <c r="AQ34" s="101">
        <f>SUMIFS('9'!$E:$E,'9'!$A:$A,Año_Inicial+5,'9'!$B:$B,'12'!AP$4,'9'!$D:$D,"Otras actividades")</f>
        <v>0</v>
      </c>
      <c r="AR34" s="101">
        <f>((A6_A_L20*Otras_A)+(A6_B_L20*Otras_B)+(A6_C_L20*Otras_C)+(A6_D_L20*Otras_D)+(A6_Y_L20*Otras_Y))*Inflación_6</f>
        <v>0</v>
      </c>
      <c r="AS34" s="101">
        <f>SUMIFS('9'!$E:$E,'9'!$A:$A,Año_Inicial+5,'9'!$B:$B,'12'!AR$4,'9'!$D:$D,"Otras actividades")</f>
        <v>0</v>
      </c>
      <c r="AT34" s="101">
        <f>((A6_A_L21*Otras_A)+(A6_B_L21*Otras_B)+(A6_C_L21*Otras_C)+(A6_D_L21*Otras_D)+(A6_Y_L21*Otras_Y))*Inflación_6</f>
        <v>0</v>
      </c>
      <c r="AU34" s="101">
        <f>SUMIFS('9'!$E:$E,'9'!$A:$A,Año_Inicial+5,'9'!$B:$B,'12'!AT$4,'9'!$D:$D,"Otras actividades")</f>
        <v>0</v>
      </c>
      <c r="AV34" s="101">
        <f>((A6_A_L22*Otras_A)+(A6_B_L22*Otras_B)+(A6_C_L22*Otras_C)+(A6_D_L22*Otras_D)+(A6_Y_L22*Otras_Y))*Inflación_6</f>
        <v>0</v>
      </c>
      <c r="AW34" s="101">
        <f>SUMIFS('9'!$E:$E,'9'!$A:$A,Año_Inicial+5,'9'!$B:$B,'12'!AV$4,'9'!$D:$D,"Otras actividades")</f>
        <v>0</v>
      </c>
      <c r="AX34" s="101">
        <f>((A6_A_L23*Otras_A)+(A6_B_L23*Otras_B)+(A6_C_L23*Otras_C)+(A6_D_L23*Otras_D)+(A6_Y_L23*Otras_Y))*Inflación_6</f>
        <v>0</v>
      </c>
      <c r="AY34" s="101">
        <f>SUMIFS('9'!$E:$E,'9'!$A:$A,Año_Inicial+5,'9'!$B:$B,'12'!AX$4,'9'!$D:$D,"Otras actividades")</f>
        <v>0</v>
      </c>
      <c r="AZ34" s="101">
        <f>((A6_A_L24*Otras_A)+(A6_B_L24*Otras_B)+(A6_C_L24*Otras_C)+(A6_D_L24*Otras_D)+(A6_Y_L24*Otras_Y))*Inflación_6</f>
        <v>0</v>
      </c>
      <c r="BA34" s="101">
        <f>SUMIFS('9'!$E:$E,'9'!$A:$A,Año_Inicial+5,'9'!$B:$B,'12'!AZ$4,'9'!$D:$D,"Otras actividades")</f>
        <v>0</v>
      </c>
      <c r="BB34" s="101">
        <f>((A6_A_L25*Otras_A)+(A6_B_L25*Otras_B)+(A6_C_L25*Otras_C)+(A6_D_L25*Otras_D)+(A6_Y_L25*Otras_Y))*Inflación_6</f>
        <v>0</v>
      </c>
      <c r="BC34" s="101">
        <f>SUMIFS('9'!$E:$E,'9'!$A:$A,Año_Inicial+5,'9'!$B:$B,'12'!BB$4,'9'!$D:$D,"Otras actividades")</f>
        <v>0</v>
      </c>
      <c r="BD34" s="101">
        <f>((A6_A_L26*Otras_A)+(A6_B_L26*Otras_B)+(A6_C_L26*Otras_C)+(A6_D_L26*Otras_D)+(A6_Y_L26*Otras_Y))*Inflación_6</f>
        <v>0</v>
      </c>
      <c r="BE34" s="101">
        <f>SUMIFS('9'!$E:$E,'9'!$A:$A,Año_Inicial+5,'9'!$B:$B,'12'!BD$4,'9'!$D:$D,"Otras actividades")</f>
        <v>0</v>
      </c>
      <c r="BF34" s="101">
        <f>((A6_A_L27*Otras_A)+(A6_B_L27*Otras_B)+(A6_C_L27*Otras_C)+(A6_D_L27*Otras_D)+(A6_Y_L27*Otras_Y))*Inflación_6</f>
        <v>0</v>
      </c>
      <c r="BG34" s="101">
        <f>SUMIFS('9'!$E:$E,'9'!$A:$A,Año_Inicial+5,'9'!$B:$B,'12'!BF$4,'9'!$D:$D,"Otras actividades")</f>
        <v>0</v>
      </c>
      <c r="BH34" s="101">
        <f>((A6_A_L28*Otras_A)+(A6_B_L28*Otras_B)+(A6_C_L28*Otras_C)+(A6_D_L28*Otras_D)+(A6_Y_L28*Otras_Y))*Inflación_6</f>
        <v>0</v>
      </c>
      <c r="BI34" s="101">
        <f>SUMIFS('9'!$E:$E,'9'!$A:$A,Año_Inicial+5,'9'!$B:$B,'12'!BH$4,'9'!$D:$D,"Otras actividades")</f>
        <v>0</v>
      </c>
      <c r="BJ34" s="101">
        <f>((A6_A_L29*Otras_A)+(A6_B_L29*Otras_B)+(A6_C_L29*Otras_C)+(A6_D_L29*Otras_D)+(A6_Y_L29*Otras_Y))*Inflación_6</f>
        <v>0</v>
      </c>
      <c r="BK34" s="101">
        <f>SUMIFS('9'!$E:$E,'9'!$A:$A,Año_Inicial+5,'9'!$B:$B,'12'!BJ$4,'9'!$D:$D,"Otras actividades")</f>
        <v>0</v>
      </c>
      <c r="BL34" s="101">
        <f>((A6_A_L30*Otras_A)+(A6_B_L30*Otras_B)+(A6_C_L30*Otras_C)+(A6_D_L30*Otras_D)+(A6_Y_L30*Otras_Y))*Inflación_6</f>
        <v>0</v>
      </c>
      <c r="BM34" s="101">
        <f>SUMIFS('9'!$E:$E,'9'!$A:$A,Año_Inicial+5,'9'!$B:$B,'12'!BL$4,'9'!$D:$D,"Otras actividades")</f>
        <v>0</v>
      </c>
      <c r="BN34" s="101">
        <f>((A6_A_L31*Otras_A)+(A6_B_L31*Otras_B)+(A6_C_L31*Otras_C)+(A6_D_L31*Otras_D)+(A6_Y_L31*Otras_Y))*Inflación_6</f>
        <v>0</v>
      </c>
      <c r="BO34" s="101">
        <f>SUMIFS('9'!$E:$E,'9'!$A:$A,Año_Inicial+5,'9'!$B:$B,'12'!BN$4,'9'!$D:$D,"Otras actividades")</f>
        <v>0</v>
      </c>
      <c r="BP34" s="101">
        <f>((A6_A_L32*Otras_A)+(A6_B_L32*Otras_B)+(A6_C_L32*Otras_C)+(A6_D_L32*Otras_D)+(A6_Y_L32*Otras_Y))*Inflación_6</f>
        <v>0</v>
      </c>
      <c r="BQ34" s="101">
        <f>SUMIFS('9'!$E:$E,'9'!$A:$A,Año_Inicial+5,'9'!$B:$B,'12'!BP$4,'9'!$D:$D,"Otras actividades")</f>
        <v>0</v>
      </c>
      <c r="BR34" s="101">
        <f>((A6_A_L33*Otras_A)+(A6_B_L33*Otras_B)+(A6_C_L33*Otras_C)+(A6_D_L33*Otras_D)+(A6_Y_L33*Otras_Y))*Inflación_6</f>
        <v>0</v>
      </c>
      <c r="BS34" s="101">
        <f>SUMIFS('9'!$E:$E,'9'!$A:$A,Año_Inicial+5,'9'!$B:$B,'12'!BR$4,'9'!$D:$D,"Otras actividades")</f>
        <v>0</v>
      </c>
      <c r="BT34" s="101">
        <f>((A6_A_L34*Otras_A)+(A6_B_L34*Otras_B)+(A6_C_L34*Otras_C)+(A6_D_L34*Otras_D)+(A6_Y_L34*Otras_Y))*Inflación_6</f>
        <v>0</v>
      </c>
      <c r="BU34" s="101">
        <f>SUMIFS('9'!$E:$E,'9'!$A:$A,Año_Inicial+5,'9'!$B:$B,'12'!BT$4,'9'!$D:$D,"Otras actividades")</f>
        <v>0</v>
      </c>
      <c r="BV34" s="101">
        <f>((A6_A_L35*Otras_A)+(A6_B_L35*Otras_B)+(A6_C_L35*Otras_C)+(A6_D_L35*Otras_D)+(A6_Y_L35*Otras_Y))*Inflación_6</f>
        <v>0</v>
      </c>
      <c r="BW34" s="101">
        <f>SUMIFS('9'!$E:$E,'9'!$A:$A,Año_Inicial+5,'9'!$B:$B,'12'!BV$4,'9'!$D:$D,"Otras actividades")</f>
        <v>0</v>
      </c>
      <c r="BX34" s="101">
        <f>((A6_A_L36*Otras_A)+(A6_B_L36*Otras_B)+(A6_C_L36*Otras_C)+(A6_D_L36*Otras_D)+(A6_Y_L36*Otras_Y))*Inflación_6</f>
        <v>0</v>
      </c>
      <c r="BY34" s="101">
        <f>SUMIFS('9'!$E:$E,'9'!$A:$A,Año_Inicial+5,'9'!$B:$B,'12'!BX$4,'9'!$D:$D,"Otras actividades")</f>
        <v>0</v>
      </c>
      <c r="BZ34" s="101">
        <f>((A6_A_L37*Otras_A)+(A6_B_L37*Otras_B)+(A6_C_L37*Otras_C)+(A6_D_L37*Otras_D)+(A6_Y_L37*Otras_Y))*Inflación_6</f>
        <v>0</v>
      </c>
      <c r="CA34" s="101">
        <f>SUMIFS('9'!$E:$E,'9'!$A:$A,Año_Inicial+5,'9'!$B:$B,'12'!BZ$4,'9'!$D:$D,"Otras actividades")</f>
        <v>0</v>
      </c>
      <c r="CB34" s="101">
        <f>((A6_A_L38*Otras_A)+(A6_B_L38*Otras_B)+(A6_C_L38*Otras_C)+(A6_D_L38*Otras_D)+(A6_Y_L38*Otras_Y))*Inflación_6</f>
        <v>0</v>
      </c>
      <c r="CC34" s="101">
        <f>SUMIFS('9'!$E:$E,'9'!$A:$A,Año_Inicial+5,'9'!$B:$B,'12'!CB$4,'9'!$D:$D,"Otras actividades")</f>
        <v>0</v>
      </c>
      <c r="CD34" s="101">
        <f>((A6_A_L39*Otras_A)+(A6_B_L39*Otras_B)+(A6_C_L39*Otras_C)+(A6_D_L39*Otras_D)+(A6_Y_L39*Otras_Y))*Inflación_6</f>
        <v>0</v>
      </c>
      <c r="CE34" s="101">
        <f>SUMIFS('9'!$E:$E,'9'!$A:$A,Año_Inicial+5,'9'!$B:$B,'12'!CD$4,'9'!$D:$D,"Otras actividades")</f>
        <v>0</v>
      </c>
      <c r="CF34" s="101">
        <f>((A6_A_L40*Otras_A)+(A6_B_L40*Otras_B)+(A6_C_L40*Otras_C)+(A6_D_L40*Otras_D)+(A6_Y_L40*Otras_Y))*Inflación_6</f>
        <v>0</v>
      </c>
      <c r="CG34" s="101">
        <f>SUMIFS('9'!$E:$E,'9'!$A:$A,Año_Inicial+5,'9'!$B:$B,'12'!CF$4,'9'!$D:$D,"Otras actividades")</f>
        <v>0</v>
      </c>
      <c r="CH34" s="473"/>
      <c r="CI34" s="101">
        <f>Plantas_A_A6*Otras_A*Inflación_6</f>
        <v>0</v>
      </c>
      <c r="CJ34" s="101">
        <f>Plantas_B_A6*Otras_B</f>
        <v>0</v>
      </c>
      <c r="CK34" s="101">
        <f>Plantas_C_A6*Otras_C</f>
        <v>0</v>
      </c>
      <c r="CL34" s="101">
        <f>Plantas_D_A6*Otras_D</f>
        <v>0</v>
      </c>
      <c r="CM34" s="101"/>
      <c r="CN34" s="101">
        <f>Plantas_Y_A6*Otras_Y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SUMIFS('9'!$E:$E,'9'!$A:$A,Año_Inicial+5,'9'!$D:$D,"Coadyuvantes")</f>
        <v>0</v>
      </c>
      <c r="D35" s="100">
        <f t="shared" si="45"/>
        <v>0</v>
      </c>
      <c r="E35" s="473"/>
      <c r="F35" s="101">
        <f>((A6_A_L1*Coad_A)+(A6_B_L1*Coad_B)+(A6_C_L1*Coad_C)+(A6_D_L1*Coad_D)+(A6_Y_L1*Coad_Y))*Inflación_6</f>
        <v>0</v>
      </c>
      <c r="G35" s="101">
        <f>SUMIFS('9'!$E:$E,'9'!$A:$A,Año_Inicial+5,'9'!$B:$B,'12'!F$4,'9'!$D:$D,"Coadyuvantes")</f>
        <v>0</v>
      </c>
      <c r="H35" s="101">
        <f>((A6_A_L2*Coad_A)+(A6_B_L2*Coad_B)+(A6_C_L2*Coad_C)+(A6_D_L2*Coad_D)+(A6_Y_L2*Coad_Y))*Inflación_6</f>
        <v>0</v>
      </c>
      <c r="I35" s="101">
        <f>SUMIFS('9'!$E:$E,'9'!$A:$A,Año_Inicial+5,'9'!$B:$B,'12'!H$4,'9'!$D:$D,"Coadyuvantes")</f>
        <v>0</v>
      </c>
      <c r="J35" s="101">
        <f>((A6_A_L3*Coad_A)+(A6_B_L3*Coad_B)+(A6_C_L3*Coad_C)+(A6_D_L3*Coad_D)+(A6_Y_L3*Coad_Y))*Inflación_6</f>
        <v>0</v>
      </c>
      <c r="K35" s="101">
        <f>SUMIFS('9'!$E:$E,'9'!$A:$A,Año_Inicial+5,'9'!$B:$B,'12'!J$4,'9'!$D:$D,"Coadyuvantes")</f>
        <v>0</v>
      </c>
      <c r="L35" s="101">
        <f>((A6_A_L4*Coad_A)+(A6_B_L4*Coad_B)+(A6_C_L4*Coad_C)+(A6_D_L4*Coad_D)+(A6_Y_L4*Coad_Y))*Inflación_6</f>
        <v>0</v>
      </c>
      <c r="M35" s="101">
        <f>SUMIFS('9'!$E:$E,'9'!$A:$A,Año_Inicial+5,'9'!$B:$B,'12'!L$4,'9'!$D:$D,"Coadyuvantes")</f>
        <v>0</v>
      </c>
      <c r="N35" s="101">
        <f>((A6_A_L5*Coad_A)+(A6_B_L5*Coad_B)+(A6_C_L5*Coad_C)+(A6_D_L5*Coad_D)+(A6_Y_L5*Coad_Y))*Inflación_6</f>
        <v>0</v>
      </c>
      <c r="O35" s="101">
        <f>SUMIFS('9'!$E:$E,'9'!$A:$A,Año_Inicial+5,'9'!$B:$B,'12'!N$4,'9'!$D:$D,"Coadyuvantes")</f>
        <v>0</v>
      </c>
      <c r="P35" s="101">
        <f>((A6_A_L6*Coad_A)+(A6_B_L6*Coad_B)+(A6_C_L6*Coad_C)+(A6_D_L6*Coad_D)+(A6_Y_L6*Coad_Y))*Inflación_6</f>
        <v>0</v>
      </c>
      <c r="Q35" s="101">
        <f>SUMIFS('9'!$E:$E,'9'!$A:$A,Año_Inicial+5,'9'!$B:$B,'12'!P$4,'9'!$D:$D,"Coadyuvantes")</f>
        <v>0</v>
      </c>
      <c r="R35" s="101">
        <f>((A6_A_L7*Coad_A)+(A6_B_L7*Coad_B)+(A6_C_L7*Coad_C)+(A6_D_L7*Coad_D)+(A6_Y_L7*Coad_Y))*Inflación_6</f>
        <v>0</v>
      </c>
      <c r="S35" s="101">
        <f>SUMIFS('9'!$E:$E,'9'!$A:$A,Año_Inicial+5,'9'!$B:$B,'12'!R$4,'9'!$D:$D,"Coadyuvantes")</f>
        <v>0</v>
      </c>
      <c r="T35" s="101">
        <f>((A6_A_L8*Coad_A)+(A6_B_L8*Coad_B)+(A6_C_L8*Coad_C)+(A6_D_L8*Coad_D)+(A6_Y_L8*Coad_Y))*Inflación_6</f>
        <v>0</v>
      </c>
      <c r="U35" s="101">
        <f>SUMIFS('9'!$E:$E,'9'!$A:$A,Año_Inicial+5,'9'!$B:$B,'12'!T$4,'9'!$D:$D,"Coadyuvantes")</f>
        <v>0</v>
      </c>
      <c r="V35" s="101">
        <f>((A6_A_L9*Coad_A)+(A6_B_L9*Coad_B)+(A6_C_L9*Coad_C)+(A6_D_L9*Coad_D)+(A6_Y_L9*Coad_Y))*Inflación_6</f>
        <v>0</v>
      </c>
      <c r="W35" s="101">
        <f>SUMIFS('9'!$E:$E,'9'!$A:$A,Año_Inicial+5,'9'!$B:$B,'12'!V$4,'9'!$D:$D,"Coadyuvantes")</f>
        <v>0</v>
      </c>
      <c r="X35" s="101">
        <f>((A6_A_L10*Coad_A)+(A6_B_L10*Coad_B)+(A6_C_L10*Coad_C)+(A6_D_L10*Coad_D)+(A6_Y_L10*Coad_Y))*Inflación_6</f>
        <v>0</v>
      </c>
      <c r="Y35" s="101">
        <f>SUMIFS('9'!$E:$E,'9'!$A:$A,Año_Inicial+5,'9'!$B:$B,'12'!X$4,'9'!$D:$D,"Coadyuvantes")</f>
        <v>0</v>
      </c>
      <c r="Z35" s="101">
        <f>((A6_A_L11*Coad_A)+(A6_B_L11*Coad_B)+(A6_C_L11*Coad_C)+(A6_D_L11*Coad_D)+(A6_Y_L11*Coad_Y))*Inflación_6</f>
        <v>0</v>
      </c>
      <c r="AA35" s="101">
        <f>SUMIFS('9'!$E:$E,'9'!$A:$A,Año_Inicial+5,'9'!$B:$B,'12'!Z$4,'9'!$D:$D,"Coadyuvantes")</f>
        <v>0</v>
      </c>
      <c r="AB35" s="101">
        <f>((A6_A_L12*Coad_A)+(A6_B_L12*Coad_B)+(A6_C_L12*Coad_C)+(A6_D_L12*Coad_D)+(A6_Y_L12*Coad_Y))*Inflación_6</f>
        <v>0</v>
      </c>
      <c r="AC35" s="101">
        <f>SUMIFS('9'!$E:$E,'9'!$A:$A,Año_Inicial+5,'9'!$B:$B,'12'!AB$4,'9'!$D:$D,"Coadyuvantes")</f>
        <v>0</v>
      </c>
      <c r="AD35" s="101">
        <f>((A6_A_L13*Coad_A)+(A6_B_L13*Coad_B)+(A6_C_L13*Coad_C)+(A6_D_L13*Coad_D)+(A6_Y_L13*Coad_Y))*Inflación_6</f>
        <v>0</v>
      </c>
      <c r="AE35" s="101">
        <f>SUMIFS('9'!$E:$E,'9'!$A:$A,Año_Inicial+5,'9'!$B:$B,'12'!AD$4,'9'!$D:$D,"Coadyuvantes")</f>
        <v>0</v>
      </c>
      <c r="AF35" s="101">
        <f>((A6_A_L14*Coad_A)+(A6_B_L14*Coad_B)+(A6_C_L14*Coad_C)+(A6_D_L14*Coad_D)+(A6_Y_L14*Coad_Y))*Inflación_6</f>
        <v>0</v>
      </c>
      <c r="AG35" s="101">
        <f>SUMIFS('9'!$E:$E,'9'!$A:$A,Año_Inicial+5,'9'!$B:$B,'12'!AF$4,'9'!$D:$D,"Coadyuvantes")</f>
        <v>0</v>
      </c>
      <c r="AH35" s="101">
        <f>((A6_A_L15*Coad_A)+(A6_B_L15*Coad_B)+(A6_C_L15*Coad_C)+(A6_D_L15*Coad_D)+(A6_Y_L15*Coad_Y))*Inflación_6</f>
        <v>0</v>
      </c>
      <c r="AI35" s="101">
        <f>SUMIFS('9'!$E:$E,'9'!$A:$A,Año_Inicial+5,'9'!$B:$B,'12'!AH$4,'9'!$D:$D,"Coadyuvantes")</f>
        <v>0</v>
      </c>
      <c r="AJ35" s="101">
        <f>((A6_A_L16*Coad_A)+(A6_B_L16*Coad_B)+(A6_C_L16*Coad_C)+(A6_D_L16*Coad_D)+(A6_Y_L16*Coad_Y))*Inflación_6</f>
        <v>0</v>
      </c>
      <c r="AK35" s="101">
        <f>SUMIFS('9'!$E:$E,'9'!$A:$A,Año_Inicial+5,'9'!$B:$B,'12'!AJ$4,'9'!$D:$D,"Coadyuvantes")</f>
        <v>0</v>
      </c>
      <c r="AL35" s="101">
        <f>((A6_A_L17*Coad_A)+(A6_B_L17*Coad_B)+(A6_C_L17*Coad_C)+(A6_D_L17*Coad_D)+(A6_Y_L17*Coad_Y))*Inflación_6</f>
        <v>0</v>
      </c>
      <c r="AM35" s="101">
        <f>SUMIFS('9'!$E:$E,'9'!$A:$A,Año_Inicial+5,'9'!$B:$B,'12'!AL$4,'9'!$D:$D,"Coadyuvantes")</f>
        <v>0</v>
      </c>
      <c r="AN35" s="101">
        <f>((A6_A_L18*Coad_A)+(A6_B_L18*Coad_B)+(A6_C_L18*Coad_C)+(A6_D_L18*Coad_D)+(A6_Y_L18*Coad_Y))*Inflación_6</f>
        <v>0</v>
      </c>
      <c r="AO35" s="101">
        <f>SUMIFS('9'!$E:$E,'9'!$A:$A,Año_Inicial+5,'9'!$B:$B,'12'!AN$4,'9'!$D:$D,"Coadyuvantes")</f>
        <v>0</v>
      </c>
      <c r="AP35" s="101">
        <f>((A6_A_L19*Coad_A)+(A6_B_L19*Coad_B)+(A6_C_L19*Coad_C)+(A6_D_L19*Coad_D)+(A6_Y_L19*Coad_Y))*Inflación_6</f>
        <v>0</v>
      </c>
      <c r="AQ35" s="101">
        <f>SUMIFS('9'!$E:$E,'9'!$A:$A,Año_Inicial+5,'9'!$B:$B,'12'!AP$4,'9'!$D:$D,"Coadyuvantes")</f>
        <v>0</v>
      </c>
      <c r="AR35" s="101">
        <f>((A6_A_L20*Coad_A)+(A6_B_L20*Coad_B)+(A6_C_L20*Coad_C)+(A6_D_L20*Coad_D)+(A6_Y_L20*Coad_Y))*Inflación_6</f>
        <v>0</v>
      </c>
      <c r="AS35" s="101">
        <f>SUMIFS('9'!$E:$E,'9'!$A:$A,Año_Inicial+5,'9'!$B:$B,'12'!AR$4,'9'!$D:$D,"Coadyuvantes")</f>
        <v>0</v>
      </c>
      <c r="AT35" s="101">
        <f>((A6_A_L21*Coad_A)+(A6_B_L21*Coad_B)+(A6_C_L21*Coad_C)+(A6_D_L21*Coad_D)+(A6_Y_L21*Coad_Y))*Inflación_6</f>
        <v>0</v>
      </c>
      <c r="AU35" s="101">
        <f>SUMIFS('9'!$E:$E,'9'!$A:$A,Año_Inicial+5,'9'!$B:$B,'12'!AT$4,'9'!$D:$D,"Coadyuvantes")</f>
        <v>0</v>
      </c>
      <c r="AV35" s="101">
        <f>((A6_A_L22*Coad_A)+(A6_B_L22*Coad_B)+(A6_C_L22*Coad_C)+(A6_D_L22*Coad_D)+(A6_Y_L22*Coad_Y))*Inflación_6</f>
        <v>0</v>
      </c>
      <c r="AW35" s="101">
        <f>SUMIFS('9'!$E:$E,'9'!$A:$A,Año_Inicial+5,'9'!$B:$B,'12'!AV$4,'9'!$D:$D,"Coadyuvantes")</f>
        <v>0</v>
      </c>
      <c r="AX35" s="101">
        <f>((A6_A_L23*Coad_A)+(A6_B_L23*Coad_B)+(A6_C_L23*Coad_C)+(A6_D_L23*Coad_D)+(A6_Y_L23*Coad_Y))*Inflación_6</f>
        <v>0</v>
      </c>
      <c r="AY35" s="101">
        <f>SUMIFS('9'!$E:$E,'9'!$A:$A,Año_Inicial+5,'9'!$B:$B,'12'!AX$4,'9'!$D:$D,"Coadyuvantes")</f>
        <v>0</v>
      </c>
      <c r="AZ35" s="101">
        <f>((A6_A_L24*Coad_A)+(A6_B_L24*Coad_B)+(A6_C_L24*Coad_C)+(A6_D_L24*Coad_D)+(A6_Y_L24*Coad_Y))*Inflación_6</f>
        <v>0</v>
      </c>
      <c r="BA35" s="101">
        <f>SUMIFS('9'!$E:$E,'9'!$A:$A,Año_Inicial+5,'9'!$B:$B,'12'!AZ$4,'9'!$D:$D,"Coadyuvantes")</f>
        <v>0</v>
      </c>
      <c r="BB35" s="101">
        <f>((A6_A_L25*Coad_A)+(A6_B_L25*Coad_B)+(A6_C_L25*Coad_C)+(A6_D_L25*Coad_D)+(A6_Y_L25*Coad_Y))*Inflación_6</f>
        <v>0</v>
      </c>
      <c r="BC35" s="101">
        <f>SUMIFS('9'!$E:$E,'9'!$A:$A,Año_Inicial+5,'9'!$B:$B,'12'!BB$4,'9'!$D:$D,"Coadyuvantes")</f>
        <v>0</v>
      </c>
      <c r="BD35" s="101">
        <f>((A6_A_L26*Coad_A)+(A6_B_L26*Coad_B)+(A6_C_L26*Coad_C)+(A6_D_L26*Coad_D)+(A6_Y_L26*Coad_Y))*Inflación_6</f>
        <v>0</v>
      </c>
      <c r="BE35" s="101">
        <f>SUMIFS('9'!$E:$E,'9'!$A:$A,Año_Inicial+5,'9'!$B:$B,'12'!BD$4,'9'!$D:$D,"Coadyuvantes")</f>
        <v>0</v>
      </c>
      <c r="BF35" s="101">
        <f>((A6_A_L27*Coad_A)+(A6_B_L27*Coad_B)+(A6_C_L27*Coad_C)+(A6_D_L27*Coad_D)+(A6_Y_L27*Coad_Y))*Inflación_6</f>
        <v>0</v>
      </c>
      <c r="BG35" s="101">
        <f>SUMIFS('9'!$E:$E,'9'!$A:$A,Año_Inicial+5,'9'!$B:$B,'12'!BF$4,'9'!$D:$D,"Coadyuvantes")</f>
        <v>0</v>
      </c>
      <c r="BH35" s="101">
        <f>((A6_A_L28*Coad_A)+(A6_B_L28*Coad_B)+(A6_C_L28*Coad_C)+(A6_D_L28*Coad_D)+(A6_Y_L28*Coad_Y))*Inflación_6</f>
        <v>0</v>
      </c>
      <c r="BI35" s="101">
        <f>SUMIFS('9'!$E:$E,'9'!$A:$A,Año_Inicial+5,'9'!$B:$B,'12'!BH$4,'9'!$D:$D,"Coadyuvantes")</f>
        <v>0</v>
      </c>
      <c r="BJ35" s="101">
        <f>((A6_A_L29*Coad_A)+(A6_B_L29*Coad_B)+(A6_C_L29*Coad_C)+(A6_D_L29*Coad_D)+(A6_Y_L29*Coad_Y))*Inflación_6</f>
        <v>0</v>
      </c>
      <c r="BK35" s="101">
        <f>SUMIFS('9'!$E:$E,'9'!$A:$A,Año_Inicial+5,'9'!$B:$B,'12'!BJ$4,'9'!$D:$D,"Coadyuvantes")</f>
        <v>0</v>
      </c>
      <c r="BL35" s="101">
        <f>((A6_A_L30*Coad_A)+(A6_B_L30*Coad_B)+(A6_C_L30*Coad_C)+(A6_D_L30*Coad_D)+(A6_Y_L30*Coad_Y))*Inflación_6</f>
        <v>0</v>
      </c>
      <c r="BM35" s="101">
        <f>SUMIFS('9'!$E:$E,'9'!$A:$A,Año_Inicial+5,'9'!$B:$B,'12'!BL$4,'9'!$D:$D,"Coadyuvantes")</f>
        <v>0</v>
      </c>
      <c r="BN35" s="101">
        <f>((A6_A_L31*Coad_A)+(A6_B_L31*Coad_B)+(A6_C_L31*Coad_C)+(A6_D_L31*Coad_D)+(A6_Y_L31*Coad_Y))*Inflación_6</f>
        <v>0</v>
      </c>
      <c r="BO35" s="101">
        <f>SUMIFS('9'!$E:$E,'9'!$A:$A,Año_Inicial+5,'9'!$B:$B,'12'!BN$4,'9'!$D:$D,"Coadyuvantes")</f>
        <v>0</v>
      </c>
      <c r="BP35" s="101">
        <f>((A6_A_L32*Coad_A)+(A6_B_L32*Coad_B)+(A6_C_L32*Coad_C)+(A6_D_L32*Coad_D)+(A6_Y_L32*Coad_Y))*Inflación_6</f>
        <v>0</v>
      </c>
      <c r="BQ35" s="101">
        <f>SUMIFS('9'!$E:$E,'9'!$A:$A,Año_Inicial+5,'9'!$B:$B,'12'!BP$4,'9'!$D:$D,"Coadyuvantes")</f>
        <v>0</v>
      </c>
      <c r="BR35" s="101">
        <f>((A6_A_L33*Coad_A)+(A6_B_L33*Coad_B)+(A6_C_L33*Coad_C)+(A6_D_L33*Coad_D)+(A6_Y_L33*Coad_Y))*Inflación_6</f>
        <v>0</v>
      </c>
      <c r="BS35" s="101">
        <f>SUMIFS('9'!$E:$E,'9'!$A:$A,Año_Inicial+5,'9'!$B:$B,'12'!BR$4,'9'!$D:$D,"Coadyuvantes")</f>
        <v>0</v>
      </c>
      <c r="BT35" s="101">
        <f>((A6_A_L34*Coad_A)+(A6_B_L34*Coad_B)+(A6_C_L34*Coad_C)+(A6_D_L34*Coad_D)+(A6_Y_L34*Coad_Y))*Inflación_6</f>
        <v>0</v>
      </c>
      <c r="BU35" s="101">
        <f>SUMIFS('9'!$E:$E,'9'!$A:$A,Año_Inicial+5,'9'!$B:$B,'12'!BT$4,'9'!$D:$D,"Coadyuvantes")</f>
        <v>0</v>
      </c>
      <c r="BV35" s="101">
        <f>((A6_A_L35*Coad_A)+(A6_B_L35*Coad_B)+(A6_C_L35*Coad_C)+(A6_D_L35*Coad_D)+(A6_Y_L35*Coad_Y))*Inflación_6</f>
        <v>0</v>
      </c>
      <c r="BW35" s="101">
        <f>SUMIFS('9'!$E:$E,'9'!$A:$A,Año_Inicial+5,'9'!$B:$B,'12'!BV$4,'9'!$D:$D,"Coadyuvantes")</f>
        <v>0</v>
      </c>
      <c r="BX35" s="101">
        <f>((A6_A_L36*Coad_A)+(A6_B_L36*Coad_B)+(A6_C_L36*Coad_C)+(A6_D_L36*Coad_D)+(A6_Y_L36*Coad_Y))*Inflación_6</f>
        <v>0</v>
      </c>
      <c r="BY35" s="101">
        <f>SUMIFS('9'!$E:$E,'9'!$A:$A,Año_Inicial+5,'9'!$B:$B,'12'!BX$4,'9'!$D:$D,"Coadyuvantes")</f>
        <v>0</v>
      </c>
      <c r="BZ35" s="101">
        <f>((A6_A_L37*Coad_A)+(A6_B_L37*Coad_B)+(A6_C_L37*Coad_C)+(A6_D_L37*Coad_D)+(A6_Y_L37*Coad_Y))*Inflación_6</f>
        <v>0</v>
      </c>
      <c r="CA35" s="101">
        <f>SUMIFS('9'!$E:$E,'9'!$A:$A,Año_Inicial+5,'9'!$B:$B,'12'!BZ$4,'9'!$D:$D,"Coadyuvantes")</f>
        <v>0</v>
      </c>
      <c r="CB35" s="101">
        <f>((A6_A_L38*Coad_A)+(A6_B_L38*Coad_B)+(A6_C_L38*Coad_C)+(A6_D_L38*Coad_D)+(A6_Y_L38*Coad_Y))*Inflación_6</f>
        <v>0</v>
      </c>
      <c r="CC35" s="101">
        <f>SUMIFS('9'!$E:$E,'9'!$A:$A,Año_Inicial+5,'9'!$B:$B,'12'!CB$4,'9'!$D:$D,"Coadyuvantes")</f>
        <v>0</v>
      </c>
      <c r="CD35" s="101">
        <f>((A6_A_L39*Coad_A)+(A6_B_L39*Coad_B)+(A6_C_L39*Coad_C)+(A6_D_L39*Coad_D)+(A6_Y_L39*Coad_Y))*Inflación_6</f>
        <v>0</v>
      </c>
      <c r="CE35" s="101">
        <f>SUMIFS('9'!$E:$E,'9'!$A:$A,Año_Inicial+5,'9'!$B:$B,'12'!CD$4,'9'!$D:$D,"Coadyuvantes")</f>
        <v>0</v>
      </c>
      <c r="CF35" s="101">
        <f>((A6_A_L40*Coad_A)+(A6_B_L40*Coad_B)+(A6_C_L40*Coad_C)+(A6_D_L40*Coad_D)+(A6_Y_L40*Coad_Y))*Inflación_6</f>
        <v>0</v>
      </c>
      <c r="CG35" s="101">
        <f>SUMIFS('9'!$E:$E,'9'!$A:$A,Año_Inicial+5,'9'!$B:$B,'12'!CF$4,'9'!$D:$D,"Coadyuvantes")</f>
        <v>0</v>
      </c>
      <c r="CH35" s="473"/>
      <c r="CI35" s="101">
        <f>Plantas_A_A6*Coad_A*Inflación_6</f>
        <v>0</v>
      </c>
      <c r="CJ35" s="101">
        <f>Plantas_B_A6*Coad_B</f>
        <v>0</v>
      </c>
      <c r="CK35" s="101">
        <f>Plantas_C_A6*Coad_C</f>
        <v>0</v>
      </c>
      <c r="CL35" s="101">
        <f>Plantas_D_A6*Coad_D</f>
        <v>0</v>
      </c>
      <c r="CM35" s="101"/>
      <c r="CN35" s="101">
        <f>Plantas_Y_A6*Coad_Y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SUMIFS('9'!$E:$E,'9'!$A:$A,Año_Inicial+5,'9'!$D:$D,"Otro insumo 1*")</f>
        <v>0</v>
      </c>
      <c r="D36" s="100">
        <f t="shared" si="45"/>
        <v>0</v>
      </c>
      <c r="E36" s="473"/>
      <c r="F36" s="101">
        <f>((A6_A_L1*Otro1_A)+(A6_B_L1*Otro1_B)+(A6_C_L1*Otro1_C)+(A6_D_L1*Otro1_D)+(A6_Y_L1*Otro1_Y))*Inflación_6</f>
        <v>0</v>
      </c>
      <c r="G36" s="101">
        <f>SUMIFS('9'!$E:$E,'9'!$A:$A,Año_Inicial+5,'9'!$B:$B,'12'!F$4,'9'!$D:$D,"Otro insumo 1*")</f>
        <v>0</v>
      </c>
      <c r="H36" s="101">
        <f>((A6_A_L2*Otro1_A)+(A6_B_L2*Otro1_B)+(A6_C_L2*Otro1_C)+(A6_D_L2*Otro1_D)+(A6_Y_L2*Otro1_Y))*Inflación_6</f>
        <v>0</v>
      </c>
      <c r="I36" s="101">
        <f>SUMIFS('9'!$E:$E,'9'!$A:$A,Año_Inicial+5,'9'!$B:$B,'12'!H$4,'9'!$D:$D,"Otro insumo 1*")</f>
        <v>0</v>
      </c>
      <c r="J36" s="101">
        <f>((A6_A_L3*Otro1_A)+(A6_B_L3*Otro1_B)+(A6_C_L3*Otro1_C)+(A6_D_L3*Otro1_D)+(A6_Y_L3*Otro1_Y))*Inflación_6</f>
        <v>0</v>
      </c>
      <c r="K36" s="101">
        <f>SUMIFS('9'!$E:$E,'9'!$A:$A,Año_Inicial+5,'9'!$B:$B,'12'!J$4,'9'!$D:$D,"Otro insumo 1*")</f>
        <v>0</v>
      </c>
      <c r="L36" s="101">
        <f>((A6_A_L4*Otro1_A)+(A6_B_L4*Otro1_B)+(A6_C_L4*Otro1_C)+(A6_D_L4*Otro1_D)+(A6_Y_L4*Otro1_Y))*Inflación_6</f>
        <v>0</v>
      </c>
      <c r="M36" s="101">
        <f>SUMIFS('9'!$E:$E,'9'!$A:$A,Año_Inicial+5,'9'!$B:$B,'12'!L$4,'9'!$D:$D,"Otro insumo 1*")</f>
        <v>0</v>
      </c>
      <c r="N36" s="101">
        <f>((A6_A_L5*Otro1_A)+(A6_B_L5*Otro1_B)+(A6_C_L5*Otro1_C)+(A6_D_L5*Otro1_D)+(A6_Y_L5*Otro1_Y))*Inflación_6</f>
        <v>0</v>
      </c>
      <c r="O36" s="101">
        <f>SUMIFS('9'!$E:$E,'9'!$A:$A,Año_Inicial+5,'9'!$B:$B,'12'!N$4,'9'!$D:$D,"Otro insumo 1*")</f>
        <v>0</v>
      </c>
      <c r="P36" s="101">
        <f>((A6_A_L6*Otro1_A)+(A6_B_L6*Otro1_B)+(A6_C_L6*Otro1_C)+(A6_D_L6*Otro1_D)+(A6_Y_L6*Otro1_Y))*Inflación_6</f>
        <v>0</v>
      </c>
      <c r="Q36" s="101">
        <f>SUMIFS('9'!$E:$E,'9'!$A:$A,Año_Inicial+5,'9'!$B:$B,'12'!P$4,'9'!$D:$D,"Otro insumo 1*")</f>
        <v>0</v>
      </c>
      <c r="R36" s="101">
        <f>((A6_A_L7*Otro1_A)+(A6_B_L7*Otro1_B)+(A6_C_L7*Otro1_C)+(A6_D_L7*Otro1_D)+(A6_Y_L7*Otro1_Y))*Inflación_6</f>
        <v>0</v>
      </c>
      <c r="S36" s="101">
        <f>SUMIFS('9'!$E:$E,'9'!$A:$A,Año_Inicial+5,'9'!$B:$B,'12'!R$4,'9'!$D:$D,"Otro insumo 1*")</f>
        <v>0</v>
      </c>
      <c r="T36" s="101">
        <f>((A6_A_L8*Otro1_A)+(A6_B_L8*Otro1_B)+(A6_C_L8*Otro1_C)+(A6_D_L8*Otro1_D)+(A6_Y_L8*Otro1_Y))*Inflación_6</f>
        <v>0</v>
      </c>
      <c r="U36" s="101">
        <f>SUMIFS('9'!$E:$E,'9'!$A:$A,Año_Inicial+5,'9'!$B:$B,'12'!T$4,'9'!$D:$D,"Otro insumo 1*")</f>
        <v>0</v>
      </c>
      <c r="V36" s="101">
        <f>((A6_A_L9*Otro1_A)+(A6_B_L9*Otro1_B)+(A6_C_L9*Otro1_C)+(A6_D_L9*Otro1_D)+(A6_Y_L9*Otro1_Y))*Inflación_6</f>
        <v>0</v>
      </c>
      <c r="W36" s="101">
        <f>SUMIFS('9'!$E:$E,'9'!$A:$A,Año_Inicial+5,'9'!$B:$B,'12'!V$4,'9'!$D:$D,"Otro insumo 1*")</f>
        <v>0</v>
      </c>
      <c r="X36" s="101">
        <f>((A6_A_L10*Otro1_A)+(A6_B_L10*Otro1_B)+(A6_C_L10*Otro1_C)+(A6_D_L10*Otro1_D)+(A6_Y_L10*Otro1_Y))*Inflación_6</f>
        <v>0</v>
      </c>
      <c r="Y36" s="101">
        <f>SUMIFS('9'!$E:$E,'9'!$A:$A,Año_Inicial+5,'9'!$B:$B,'12'!X$4,'9'!$D:$D,"Otro insumo 1*")</f>
        <v>0</v>
      </c>
      <c r="Z36" s="101">
        <f>((A6_A_L11*Otro1_A)+(A6_B_L11*Otro1_B)+(A6_C_L11*Otro1_C)+(A6_D_L11*Otro1_D)+(A6_Y_L11*Otro1_Y))*Inflación_6</f>
        <v>0</v>
      </c>
      <c r="AA36" s="101">
        <f>SUMIFS('9'!$E:$E,'9'!$A:$A,Año_Inicial+5,'9'!$B:$B,'12'!Z$4,'9'!$D:$D,"Otro insumo 1*")</f>
        <v>0</v>
      </c>
      <c r="AB36" s="101">
        <f>((A6_A_L12*Otro1_A)+(A6_B_L12*Otro1_B)+(A6_C_L12*Otro1_C)+(A6_D_L12*Otro1_D)+(A6_Y_L12*Otro1_Y))*Inflación_6</f>
        <v>0</v>
      </c>
      <c r="AC36" s="101">
        <f>SUMIFS('9'!$E:$E,'9'!$A:$A,Año_Inicial+5,'9'!$B:$B,'12'!AB$4,'9'!$D:$D,"Otro insumo 1*")</f>
        <v>0</v>
      </c>
      <c r="AD36" s="101">
        <f>((A6_A_L13*Otro1_A)+(A6_B_L13*Otro1_B)+(A6_C_L13*Otro1_C)+(A6_D_L13*Otro1_D)+(A6_Y_L13*Otro1_Y))*Inflación_6</f>
        <v>0</v>
      </c>
      <c r="AE36" s="101">
        <f>SUMIFS('9'!$E:$E,'9'!$A:$A,Año_Inicial+5,'9'!$B:$B,'12'!AD$4,'9'!$D:$D,"Otro insumo 1*")</f>
        <v>0</v>
      </c>
      <c r="AF36" s="101">
        <f>((A6_A_L14*Otro1_A)+(A6_B_L14*Otro1_B)+(A6_C_L14*Otro1_C)+(A6_D_L14*Otro1_D)+(A6_Y_L14*Otro1_Y))*Inflación_6</f>
        <v>0</v>
      </c>
      <c r="AG36" s="101">
        <f>SUMIFS('9'!$E:$E,'9'!$A:$A,Año_Inicial+5,'9'!$B:$B,'12'!AF$4,'9'!$D:$D,"Otro insumo 1*")</f>
        <v>0</v>
      </c>
      <c r="AH36" s="101">
        <f>((A6_A_L15*Otro1_A)+(A6_B_L15*Otro1_B)+(A6_C_L15*Otro1_C)+(A6_D_L15*Otro1_D)+(A6_Y_L15*Otro1_Y))*Inflación_6</f>
        <v>0</v>
      </c>
      <c r="AI36" s="101">
        <f>SUMIFS('9'!$E:$E,'9'!$A:$A,Año_Inicial+5,'9'!$B:$B,'12'!AH$4,'9'!$D:$D,"Otro insumo 1*")</f>
        <v>0</v>
      </c>
      <c r="AJ36" s="101">
        <f>((A6_A_L16*Otro1_A)+(A6_B_L16*Otro1_B)+(A6_C_L16*Otro1_C)+(A6_D_L16*Otro1_D)+(A6_Y_L16*Otro1_Y))*Inflación_6</f>
        <v>0</v>
      </c>
      <c r="AK36" s="101">
        <f>SUMIFS('9'!$E:$E,'9'!$A:$A,Año_Inicial+5,'9'!$B:$B,'12'!AJ$4,'9'!$D:$D,"Otro insumo 1*")</f>
        <v>0</v>
      </c>
      <c r="AL36" s="101">
        <f>((A6_A_L17*Otro1_A)+(A6_B_L17*Otro1_B)+(A6_C_L17*Otro1_C)+(A6_D_L17*Otro1_D)+(A6_Y_L17*Otro1_Y))*Inflación_6</f>
        <v>0</v>
      </c>
      <c r="AM36" s="101">
        <f>SUMIFS('9'!$E:$E,'9'!$A:$A,Año_Inicial+5,'9'!$B:$B,'12'!AL$4,'9'!$D:$D,"Otro insumo 1*")</f>
        <v>0</v>
      </c>
      <c r="AN36" s="101">
        <f>((A6_A_L18*Otro1_A)+(A6_B_L18*Otro1_B)+(A6_C_L18*Otro1_C)+(A6_D_L18*Otro1_D)+(A6_Y_L18*Otro1_Y))*Inflación_6</f>
        <v>0</v>
      </c>
      <c r="AO36" s="101">
        <f>SUMIFS('9'!$E:$E,'9'!$A:$A,Año_Inicial+5,'9'!$B:$B,'12'!AN$4,'9'!$D:$D,"Otro insumo 1*")</f>
        <v>0</v>
      </c>
      <c r="AP36" s="101">
        <f>((A6_A_L19*Otro1_A)+(A6_B_L19*Otro1_B)+(A6_C_L19*Otro1_C)+(A6_D_L19*Otro1_D)+(A6_Y_L19*Otro1_Y))*Inflación_6</f>
        <v>0</v>
      </c>
      <c r="AQ36" s="101">
        <f>SUMIFS('9'!$E:$E,'9'!$A:$A,Año_Inicial+5,'9'!$B:$B,'12'!AP$4,'9'!$D:$D,"Otro insumo 1*")</f>
        <v>0</v>
      </c>
      <c r="AR36" s="101">
        <f>((A6_A_L20*Otro1_A)+(A6_B_L20*Otro1_B)+(A6_C_L20*Otro1_C)+(A6_D_L20*Otro1_D)+(A6_Y_L20*Otro1_Y))*Inflación_6</f>
        <v>0</v>
      </c>
      <c r="AS36" s="101">
        <f>SUMIFS('9'!$E:$E,'9'!$A:$A,Año_Inicial+5,'9'!$B:$B,'12'!AR$4,'9'!$D:$D,"Otro insumo 1*")</f>
        <v>0</v>
      </c>
      <c r="AT36" s="101">
        <f>((A6_A_L21*Otro1_A)+(A6_B_L21*Otro1_B)+(A6_C_L21*Otro1_C)+(A6_D_L21*Otro1_D)+(A6_Y_L21*Otro1_Y))*Inflación_6</f>
        <v>0</v>
      </c>
      <c r="AU36" s="101">
        <f>SUMIFS('9'!$E:$E,'9'!$A:$A,Año_Inicial+5,'9'!$B:$B,'12'!AT$4,'9'!$D:$D,"Otro insumo 1*")</f>
        <v>0</v>
      </c>
      <c r="AV36" s="101">
        <f>((A6_A_L22*Otro1_A)+(A6_B_L22*Otro1_B)+(A6_C_L22*Otro1_C)+(A6_D_L22*Otro1_D)+(A6_Y_L22*Otro1_Y))*Inflación_6</f>
        <v>0</v>
      </c>
      <c r="AW36" s="101">
        <f>SUMIFS('9'!$E:$E,'9'!$A:$A,Año_Inicial+5,'9'!$B:$B,'12'!AV$4,'9'!$D:$D,"Otro insumo 1*")</f>
        <v>0</v>
      </c>
      <c r="AX36" s="101">
        <f>((A6_A_L23*Otro1_A)+(A6_B_L23*Otro1_B)+(A6_C_L23*Otro1_C)+(A6_D_L23*Otro1_D)+(A6_Y_L23*Otro1_Y))*Inflación_6</f>
        <v>0</v>
      </c>
      <c r="AY36" s="101">
        <f>SUMIFS('9'!$E:$E,'9'!$A:$A,Año_Inicial+5,'9'!$B:$B,'12'!AX$4,'9'!$D:$D,"Otro insumo 1*")</f>
        <v>0</v>
      </c>
      <c r="AZ36" s="101">
        <f>((A6_A_L24*Otro1_A)+(A6_B_L24*Otro1_B)+(A6_C_L24*Otro1_C)+(A6_D_L24*Otro1_D)+(A6_Y_L24*Otro1_Y))*Inflación_6</f>
        <v>0</v>
      </c>
      <c r="BA36" s="101">
        <f>SUMIFS('9'!$E:$E,'9'!$A:$A,Año_Inicial+5,'9'!$B:$B,'12'!AZ$4,'9'!$D:$D,"Otro insumo 1*")</f>
        <v>0</v>
      </c>
      <c r="BB36" s="101">
        <f>((A6_A_L25*Otro1_A)+(A6_B_L25*Otro1_B)+(A6_C_L25*Otro1_C)+(A6_D_L25*Otro1_D)+(A6_Y_L25*Otro1_Y))*Inflación_6</f>
        <v>0</v>
      </c>
      <c r="BC36" s="101">
        <f>SUMIFS('9'!$E:$E,'9'!$A:$A,Año_Inicial+5,'9'!$B:$B,'12'!BB$4,'9'!$D:$D,"Otro insumo 1*")</f>
        <v>0</v>
      </c>
      <c r="BD36" s="101">
        <f>((A6_A_L26*Otro1_A)+(A6_B_L26*Otro1_B)+(A6_C_L26*Otro1_C)+(A6_D_L26*Otro1_D)+(A6_Y_L26*Otro1_Y))*Inflación_6</f>
        <v>0</v>
      </c>
      <c r="BE36" s="101">
        <f>SUMIFS('9'!$E:$E,'9'!$A:$A,Año_Inicial+5,'9'!$B:$B,'12'!BD$4,'9'!$D:$D,"Otro insumo 1*")</f>
        <v>0</v>
      </c>
      <c r="BF36" s="101">
        <f>((A6_A_L27*Otro1_A)+(A6_B_L27*Otro1_B)+(A6_C_L27*Otro1_C)+(A6_D_L27*Otro1_D)+(A6_Y_L27*Otro1_Y))*Inflación_6</f>
        <v>0</v>
      </c>
      <c r="BG36" s="101">
        <f>SUMIFS('9'!$E:$E,'9'!$A:$A,Año_Inicial+5,'9'!$B:$B,'12'!BF$4,'9'!$D:$D,"Otro insumo 1*")</f>
        <v>0</v>
      </c>
      <c r="BH36" s="101">
        <f>((A6_A_L28*Otro1_A)+(A6_B_L28*Otro1_B)+(A6_C_L28*Otro1_C)+(A6_D_L28*Otro1_D)+(A6_Y_L28*Otro1_Y))*Inflación_6</f>
        <v>0</v>
      </c>
      <c r="BI36" s="101">
        <f>SUMIFS('9'!$E:$E,'9'!$A:$A,Año_Inicial+5,'9'!$B:$B,'12'!BH$4,'9'!$D:$D,"Otro insumo 1*")</f>
        <v>0</v>
      </c>
      <c r="BJ36" s="101">
        <f>((A6_A_L29*Otro1_A)+(A6_B_L29*Otro1_B)+(A6_C_L29*Otro1_C)+(A6_D_L29*Otro1_D)+(A6_Y_L29*Otro1_Y))*Inflación_6</f>
        <v>0</v>
      </c>
      <c r="BK36" s="101">
        <f>SUMIFS('9'!$E:$E,'9'!$A:$A,Año_Inicial+5,'9'!$B:$B,'12'!BJ$4,'9'!$D:$D,"Otro insumo 1*")</f>
        <v>0</v>
      </c>
      <c r="BL36" s="101">
        <f>((A6_A_L30*Otro1_A)+(A6_B_L30*Otro1_B)+(A6_C_L30*Otro1_C)+(A6_D_L30*Otro1_D)+(A6_Y_L30*Otro1_Y))*Inflación_6</f>
        <v>0</v>
      </c>
      <c r="BM36" s="101">
        <f>SUMIFS('9'!$E:$E,'9'!$A:$A,Año_Inicial+5,'9'!$B:$B,'12'!BL$4,'9'!$D:$D,"Otro insumo 1*")</f>
        <v>0</v>
      </c>
      <c r="BN36" s="101">
        <f>((A6_A_L31*Otro1_A)+(A6_B_L31*Otro1_B)+(A6_C_L31*Otro1_C)+(A6_D_L31*Otro1_D)+(A6_Y_L31*Otro1_Y))*Inflación_6</f>
        <v>0</v>
      </c>
      <c r="BO36" s="101">
        <f>SUMIFS('9'!$E:$E,'9'!$A:$A,Año_Inicial+5,'9'!$B:$B,'12'!BN$4,'9'!$D:$D,"Otro insumo 1*")</f>
        <v>0</v>
      </c>
      <c r="BP36" s="101">
        <f>((A6_A_L32*Otro1_A)+(A6_B_L32*Otro1_B)+(A6_C_L32*Otro1_C)+(A6_D_L32*Otro1_D)+(A6_Y_L32*Otro1_Y))*Inflación_6</f>
        <v>0</v>
      </c>
      <c r="BQ36" s="101">
        <f>SUMIFS('9'!$E:$E,'9'!$A:$A,Año_Inicial+5,'9'!$B:$B,'12'!BP$4,'9'!$D:$D,"Otro insumo 1*")</f>
        <v>0</v>
      </c>
      <c r="BR36" s="101">
        <f>((A6_A_L33*Otro1_A)+(A6_B_L33*Otro1_B)+(A6_C_L33*Otro1_C)+(A6_D_L33*Otro1_D)+(A6_Y_L33*Otro1_Y))*Inflación_6</f>
        <v>0</v>
      </c>
      <c r="BS36" s="101">
        <f>SUMIFS('9'!$E:$E,'9'!$A:$A,Año_Inicial+5,'9'!$B:$B,'12'!BR$4,'9'!$D:$D,"Otro insumo 1*")</f>
        <v>0</v>
      </c>
      <c r="BT36" s="101">
        <f>((A6_A_L34*Otro1_A)+(A6_B_L34*Otro1_B)+(A6_C_L34*Otro1_C)+(A6_D_L34*Otro1_D)+(A6_Y_L34*Otro1_Y))*Inflación_6</f>
        <v>0</v>
      </c>
      <c r="BU36" s="101">
        <f>SUMIFS('9'!$E:$E,'9'!$A:$A,Año_Inicial+5,'9'!$B:$B,'12'!BT$4,'9'!$D:$D,"Otro insumo 1*")</f>
        <v>0</v>
      </c>
      <c r="BV36" s="101">
        <f>((A6_A_L35*Otro1_A)+(A6_B_L35*Otro1_B)+(A6_C_L35*Otro1_C)+(A6_D_L35*Otro1_D)+(A6_Y_L35*Otro1_Y))*Inflación_6</f>
        <v>0</v>
      </c>
      <c r="BW36" s="101">
        <f>SUMIFS('9'!$E:$E,'9'!$A:$A,Año_Inicial+5,'9'!$B:$B,'12'!BV$4,'9'!$D:$D,"Otro insumo 1*")</f>
        <v>0</v>
      </c>
      <c r="BX36" s="101">
        <f>((A6_A_L36*Otro1_A)+(A6_B_L36*Otro1_B)+(A6_C_L36*Otro1_C)+(A6_D_L36*Otro1_D)+(A6_Y_L36*Otro1_Y))*Inflación_6</f>
        <v>0</v>
      </c>
      <c r="BY36" s="101">
        <f>SUMIFS('9'!$E:$E,'9'!$A:$A,Año_Inicial+5,'9'!$B:$B,'12'!BX$4,'9'!$D:$D,"Otro insumo 1*")</f>
        <v>0</v>
      </c>
      <c r="BZ36" s="101">
        <f>((A6_A_L37*Otro1_A)+(A6_B_L37*Otro1_B)+(A6_C_L37*Otro1_C)+(A6_D_L37*Otro1_D)+(A6_Y_L37*Otro1_Y))*Inflación_6</f>
        <v>0</v>
      </c>
      <c r="CA36" s="101">
        <f>SUMIFS('9'!$E:$E,'9'!$A:$A,Año_Inicial+5,'9'!$B:$B,'12'!BZ$4,'9'!$D:$D,"Otro insumo 1*")</f>
        <v>0</v>
      </c>
      <c r="CB36" s="101">
        <f>((A6_A_L38*Otro1_A)+(A6_B_L38*Otro1_B)+(A6_C_L38*Otro1_C)+(A6_D_L38*Otro1_D)+(A6_Y_L38*Otro1_Y))*Inflación_6</f>
        <v>0</v>
      </c>
      <c r="CC36" s="101">
        <f>SUMIFS('9'!$E:$E,'9'!$A:$A,Año_Inicial+5,'9'!$B:$B,'12'!CB$4,'9'!$D:$D,"Otro insumo 1*")</f>
        <v>0</v>
      </c>
      <c r="CD36" s="101">
        <f>((A6_A_L39*Otro1_A)+(A6_B_L39*Otro1_B)+(A6_C_L39*Otro1_C)+(A6_D_L39*Otro1_D)+(A6_Y_L39*Otro1_Y))*Inflación_6</f>
        <v>0</v>
      </c>
      <c r="CE36" s="101">
        <f>SUMIFS('9'!$E:$E,'9'!$A:$A,Año_Inicial+5,'9'!$B:$B,'12'!CD$4,'9'!$D:$D,"Otro insumo 1*")</f>
        <v>0</v>
      </c>
      <c r="CF36" s="101">
        <f>((A6_A_L40*Otro1_A)+(A6_B_L40*Otro1_B)+(A6_C_L40*Otro1_C)+(A6_D_L40*Otro1_D)+(A6_Y_L40*Otro1_Y))*Inflación_6</f>
        <v>0</v>
      </c>
      <c r="CG36" s="101">
        <f>SUMIFS('9'!$E:$E,'9'!$A:$A,Año_Inicial+5,'9'!$B:$B,'12'!CF$4,'9'!$D:$D,"Otro insumo 1*")</f>
        <v>0</v>
      </c>
      <c r="CH36" s="473"/>
      <c r="CI36" s="101">
        <f>Plantas_A_A6*Otro1_A*Inflación_6</f>
        <v>0</v>
      </c>
      <c r="CJ36" s="101">
        <f>Plantas_B_A6*Otro1_B</f>
        <v>0</v>
      </c>
      <c r="CK36" s="101">
        <f>Plantas_C_A6*Otro1_C</f>
        <v>0</v>
      </c>
      <c r="CL36" s="101">
        <f>Plantas_D_A6*Otro1_D</f>
        <v>0</v>
      </c>
      <c r="CM36" s="101"/>
      <c r="CN36" s="101">
        <f>Plantas_Y_A6*Otro1_Y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SUMIFS('9'!$E:$E,'9'!$A:$A,Año_Inicial+5,'9'!$D:$D,"Otro insumo 2*")</f>
        <v>0</v>
      </c>
      <c r="D37" s="100">
        <f t="shared" si="45"/>
        <v>0</v>
      </c>
      <c r="E37" s="473"/>
      <c r="F37" s="101">
        <f>((A6_A_L1*Otro2_A)+(A6_B_L1*Otro2_B)+(A6_C_L1*Otro2_C)+(A6_D_L1*Otro2_D)+(A6_Y_L1*Otro2_Y))*Inflación_6</f>
        <v>0</v>
      </c>
      <c r="G37" s="101">
        <f>SUMIFS('9'!$E:$E,'9'!$A:$A,Año_Inicial+5,'9'!$B:$B,'12'!F$4,'9'!$D:$D,"Otro insumo 2*")</f>
        <v>0</v>
      </c>
      <c r="H37" s="101">
        <f>((A6_A_L2*Otro2_A)+(A6_B_L2*Otro2_B)+(A6_C_L2*Otro2_C)+(A6_D_L2*Otro2_D)+(A6_Y_L2*Otro2_Y))*Inflación_6</f>
        <v>0</v>
      </c>
      <c r="I37" s="101">
        <f>SUMIFS('9'!$E:$E,'9'!$A:$A,Año_Inicial+5,'9'!$B:$B,'12'!H$4,'9'!$D:$D,"Otro insumo 2*")</f>
        <v>0</v>
      </c>
      <c r="J37" s="101">
        <f>((A6_A_L3*Otro2_A)+(A6_B_L3*Otro2_B)+(A6_C_L3*Otro2_C)+(A6_D_L3*Otro2_D)+(A6_Y_L3*Otro2_Y))*Inflación_6</f>
        <v>0</v>
      </c>
      <c r="K37" s="101">
        <f>SUMIFS('9'!$E:$E,'9'!$A:$A,Año_Inicial+5,'9'!$B:$B,'12'!J$4,'9'!$D:$D,"Otro insumo 2*")</f>
        <v>0</v>
      </c>
      <c r="L37" s="101">
        <f>((A6_A_L4*Otro2_A)+(A6_B_L4*Otro2_B)+(A6_C_L4*Otro2_C)+(A6_D_L4*Otro2_D)+(A6_Y_L4*Otro2_Y))*Inflación_6</f>
        <v>0</v>
      </c>
      <c r="M37" s="101">
        <f>SUMIFS('9'!$E:$E,'9'!$A:$A,Año_Inicial+5,'9'!$B:$B,'12'!L$4,'9'!$D:$D,"Otro insumo 2*")</f>
        <v>0</v>
      </c>
      <c r="N37" s="101">
        <f>((A6_A_L5*Otro2_A)+(A6_B_L5*Otro2_B)+(A6_C_L5*Otro2_C)+(A6_D_L5*Otro2_D)+(A6_Y_L5*Otro2_Y))*Inflación_6</f>
        <v>0</v>
      </c>
      <c r="O37" s="101">
        <f>SUMIFS('9'!$E:$E,'9'!$A:$A,Año_Inicial+5,'9'!$B:$B,'12'!N$4,'9'!$D:$D,"Otro insumo 2*")</f>
        <v>0</v>
      </c>
      <c r="P37" s="101">
        <f>((A6_A_L6*Otro2_A)+(A6_B_L6*Otro2_B)+(A6_C_L6*Otro2_C)+(A6_D_L6*Otro2_D)+(A6_Y_L6*Otro2_Y))*Inflación_6</f>
        <v>0</v>
      </c>
      <c r="Q37" s="101">
        <f>SUMIFS('9'!$E:$E,'9'!$A:$A,Año_Inicial+5,'9'!$B:$B,'12'!P$4,'9'!$D:$D,"Otro insumo 2*")</f>
        <v>0</v>
      </c>
      <c r="R37" s="101">
        <f>((A6_A_L7*Otro2_A)+(A6_B_L7*Otro2_B)+(A6_C_L7*Otro2_C)+(A6_D_L7*Otro2_D)+(A6_Y_L7*Otro2_Y))*Inflación_6</f>
        <v>0</v>
      </c>
      <c r="S37" s="101">
        <f>SUMIFS('9'!$E:$E,'9'!$A:$A,Año_Inicial+5,'9'!$B:$B,'12'!R$4,'9'!$D:$D,"Otro insumo 2*")</f>
        <v>0</v>
      </c>
      <c r="T37" s="101">
        <f>((A6_A_L8*Otro2_A)+(A6_B_L8*Otro2_B)+(A6_C_L8*Otro2_C)+(A6_D_L8*Otro2_D)+(A6_Y_L8*Otro2_Y))*Inflación_6</f>
        <v>0</v>
      </c>
      <c r="U37" s="101">
        <f>SUMIFS('9'!$E:$E,'9'!$A:$A,Año_Inicial+5,'9'!$B:$B,'12'!T$4,'9'!$D:$D,"Otro insumo 2*")</f>
        <v>0</v>
      </c>
      <c r="V37" s="101">
        <f>((A6_A_L9*Otro2_A)+(A6_B_L9*Otro2_B)+(A6_C_L9*Otro2_C)+(A6_D_L9*Otro2_D)+(A6_Y_L9*Otro2_Y))*Inflación_6</f>
        <v>0</v>
      </c>
      <c r="W37" s="101">
        <f>SUMIFS('9'!$E:$E,'9'!$A:$A,Año_Inicial+5,'9'!$B:$B,'12'!V$4,'9'!$D:$D,"Otro insumo 2*")</f>
        <v>0</v>
      </c>
      <c r="X37" s="101">
        <f>((A6_A_L10*Otro2_A)+(A6_B_L10*Otro2_B)+(A6_C_L10*Otro2_C)+(A6_D_L10*Otro2_D)+(A6_Y_L10*Otro2_Y))*Inflación_6</f>
        <v>0</v>
      </c>
      <c r="Y37" s="101">
        <f>SUMIFS('9'!$E:$E,'9'!$A:$A,Año_Inicial+5,'9'!$B:$B,'12'!X$4,'9'!$D:$D,"Otro insumo 2*")</f>
        <v>0</v>
      </c>
      <c r="Z37" s="101">
        <f>((A6_A_L11*Otro2_A)+(A6_B_L11*Otro2_B)+(A6_C_L11*Otro2_C)+(A6_D_L11*Otro2_D)+(A6_Y_L11*Otro2_Y))*Inflación_6</f>
        <v>0</v>
      </c>
      <c r="AA37" s="101">
        <f>SUMIFS('9'!$E:$E,'9'!$A:$A,Año_Inicial+5,'9'!$B:$B,'12'!Z$4,'9'!$D:$D,"Otro insumo 2*")</f>
        <v>0</v>
      </c>
      <c r="AB37" s="101">
        <f>((A6_A_L12*Otro2_A)+(A6_B_L12*Otro2_B)+(A6_C_L12*Otro2_C)+(A6_D_L12*Otro2_D)+(A6_Y_L12*Otro2_Y))*Inflación_6</f>
        <v>0</v>
      </c>
      <c r="AC37" s="101">
        <f>SUMIFS('9'!$E:$E,'9'!$A:$A,Año_Inicial+5,'9'!$B:$B,'12'!AB$4,'9'!$D:$D,"Otro insumo 2*")</f>
        <v>0</v>
      </c>
      <c r="AD37" s="101">
        <f>((A6_A_L13*Otro2_A)+(A6_B_L13*Otro2_B)+(A6_C_L13*Otro2_C)+(A6_D_L13*Otro2_D)+(A6_Y_L13*Otro2_Y))*Inflación_6</f>
        <v>0</v>
      </c>
      <c r="AE37" s="101">
        <f>SUMIFS('9'!$E:$E,'9'!$A:$A,Año_Inicial+5,'9'!$B:$B,'12'!AD$4,'9'!$D:$D,"Otro insumo 2*")</f>
        <v>0</v>
      </c>
      <c r="AF37" s="101">
        <f>((A6_A_L14*Otro2_A)+(A6_B_L14*Otro2_B)+(A6_C_L14*Otro2_C)+(A6_D_L14*Otro2_D)+(A6_Y_L14*Otro2_Y))*Inflación_6</f>
        <v>0</v>
      </c>
      <c r="AG37" s="101">
        <f>SUMIFS('9'!$E:$E,'9'!$A:$A,Año_Inicial+5,'9'!$B:$B,'12'!AF$4,'9'!$D:$D,"Otro insumo 2*")</f>
        <v>0</v>
      </c>
      <c r="AH37" s="101">
        <f>((A6_A_L15*Otro2_A)+(A6_B_L15*Otro2_B)+(A6_C_L15*Otro2_C)+(A6_D_L15*Otro2_D)+(A6_Y_L15*Otro2_Y))*Inflación_6</f>
        <v>0</v>
      </c>
      <c r="AI37" s="101">
        <f>SUMIFS('9'!$E:$E,'9'!$A:$A,Año_Inicial+5,'9'!$B:$B,'12'!AH$4,'9'!$D:$D,"Otro insumo 2*")</f>
        <v>0</v>
      </c>
      <c r="AJ37" s="101">
        <f>((A6_A_L16*Otro2_A)+(A6_B_L16*Otro2_B)+(A6_C_L16*Otro2_C)+(A6_D_L16*Otro2_D)+(A6_Y_L16*Otro2_Y))*Inflación_6</f>
        <v>0</v>
      </c>
      <c r="AK37" s="101">
        <f>SUMIFS('9'!$E:$E,'9'!$A:$A,Año_Inicial+5,'9'!$B:$B,'12'!AJ$4,'9'!$D:$D,"Otro insumo 2*")</f>
        <v>0</v>
      </c>
      <c r="AL37" s="101">
        <f>((A6_A_L17*Otro2_A)+(A6_B_L17*Otro2_B)+(A6_C_L17*Otro2_C)+(A6_D_L17*Otro2_D)+(A6_Y_L17*Otro2_Y))*Inflación_6</f>
        <v>0</v>
      </c>
      <c r="AM37" s="101">
        <f>SUMIFS('9'!$E:$E,'9'!$A:$A,Año_Inicial+5,'9'!$B:$B,'12'!AL$4,'9'!$D:$D,"Otro insumo 2*")</f>
        <v>0</v>
      </c>
      <c r="AN37" s="101">
        <f>((A6_A_L18*Otro2_A)+(A6_B_L18*Otro2_B)+(A6_C_L18*Otro2_C)+(A6_D_L18*Otro2_D)+(A6_Y_L18*Otro2_Y))*Inflación_6</f>
        <v>0</v>
      </c>
      <c r="AO37" s="101">
        <f>SUMIFS('9'!$E:$E,'9'!$A:$A,Año_Inicial+5,'9'!$B:$B,'12'!AN$4,'9'!$D:$D,"Otro insumo 2*")</f>
        <v>0</v>
      </c>
      <c r="AP37" s="101">
        <f>((A6_A_L19*Otro2_A)+(A6_B_L19*Otro2_B)+(A6_C_L19*Otro2_C)+(A6_D_L19*Otro2_D)+(A6_Y_L19*Otro2_Y))*Inflación_6</f>
        <v>0</v>
      </c>
      <c r="AQ37" s="101">
        <f>SUMIFS('9'!$E:$E,'9'!$A:$A,Año_Inicial+5,'9'!$B:$B,'12'!AP$4,'9'!$D:$D,"Otro insumo 2*")</f>
        <v>0</v>
      </c>
      <c r="AR37" s="101">
        <f>((A6_A_L20*Otro2_A)+(A6_B_L20*Otro2_B)+(A6_C_L20*Otro2_C)+(A6_D_L20*Otro2_D)+(A6_Y_L20*Otro2_Y))*Inflación_6</f>
        <v>0</v>
      </c>
      <c r="AS37" s="101">
        <f>SUMIFS('9'!$E:$E,'9'!$A:$A,Año_Inicial+5,'9'!$B:$B,'12'!AR$4,'9'!$D:$D,"Otro insumo 2*")</f>
        <v>0</v>
      </c>
      <c r="AT37" s="101">
        <f>((A6_A_L21*Otro2_A)+(A6_B_L21*Otro2_B)+(A6_C_L21*Otro2_C)+(A6_D_L21*Otro2_D)+(A6_Y_L21*Otro2_Y))*Inflación_6</f>
        <v>0</v>
      </c>
      <c r="AU37" s="101">
        <f>SUMIFS('9'!$E:$E,'9'!$A:$A,Año_Inicial+5,'9'!$B:$B,'12'!AT$4,'9'!$D:$D,"Otro insumo 2*")</f>
        <v>0</v>
      </c>
      <c r="AV37" s="101">
        <f>((A6_A_L22*Otro2_A)+(A6_B_L22*Otro2_B)+(A6_C_L22*Otro2_C)+(A6_D_L22*Otro2_D)+(A6_Y_L22*Otro2_Y))*Inflación_6</f>
        <v>0</v>
      </c>
      <c r="AW37" s="101">
        <f>SUMIFS('9'!$E:$E,'9'!$A:$A,Año_Inicial+5,'9'!$B:$B,'12'!AV$4,'9'!$D:$D,"Otro insumo 2*")</f>
        <v>0</v>
      </c>
      <c r="AX37" s="101">
        <f>((A6_A_L23*Otro2_A)+(A6_B_L23*Otro2_B)+(A6_C_L23*Otro2_C)+(A6_D_L23*Otro2_D)+(A6_Y_L23*Otro2_Y))*Inflación_6</f>
        <v>0</v>
      </c>
      <c r="AY37" s="101">
        <f>SUMIFS('9'!$E:$E,'9'!$A:$A,Año_Inicial+5,'9'!$B:$B,'12'!AX$4,'9'!$D:$D,"Otro insumo 2*")</f>
        <v>0</v>
      </c>
      <c r="AZ37" s="101">
        <f>((A6_A_L24*Otro2_A)+(A6_B_L24*Otro2_B)+(A6_C_L24*Otro2_C)+(A6_D_L24*Otro2_D)+(A6_Y_L24*Otro2_Y))*Inflación_6</f>
        <v>0</v>
      </c>
      <c r="BA37" s="101">
        <f>SUMIFS('9'!$E:$E,'9'!$A:$A,Año_Inicial+5,'9'!$B:$B,'12'!AZ$4,'9'!$D:$D,"Otro insumo 2*")</f>
        <v>0</v>
      </c>
      <c r="BB37" s="101">
        <f>((A6_A_L25*Otro2_A)+(A6_B_L25*Otro2_B)+(A6_C_L25*Otro2_C)+(A6_D_L25*Otro2_D)+(A6_Y_L25*Otro2_Y))*Inflación_6</f>
        <v>0</v>
      </c>
      <c r="BC37" s="101">
        <f>SUMIFS('9'!$E:$E,'9'!$A:$A,Año_Inicial+5,'9'!$B:$B,'12'!BB$4,'9'!$D:$D,"Otro insumo 2*")</f>
        <v>0</v>
      </c>
      <c r="BD37" s="101">
        <f>((A6_A_L26*Otro2_A)+(A6_B_L26*Otro2_B)+(A6_C_L26*Otro2_C)+(A6_D_L26*Otro2_D)+(A6_Y_L26*Otro2_Y))*Inflación_6</f>
        <v>0</v>
      </c>
      <c r="BE37" s="101">
        <f>SUMIFS('9'!$E:$E,'9'!$A:$A,Año_Inicial+5,'9'!$B:$B,'12'!BD$4,'9'!$D:$D,"Otro insumo 2*")</f>
        <v>0</v>
      </c>
      <c r="BF37" s="101">
        <f>((A6_A_L27*Otro2_A)+(A6_B_L27*Otro2_B)+(A6_C_L27*Otro2_C)+(A6_D_L27*Otro2_D)+(A6_Y_L27*Otro2_Y))*Inflación_6</f>
        <v>0</v>
      </c>
      <c r="BG37" s="101">
        <f>SUMIFS('9'!$E:$E,'9'!$A:$A,Año_Inicial+5,'9'!$B:$B,'12'!BF$4,'9'!$D:$D,"Otro insumo 2*")</f>
        <v>0</v>
      </c>
      <c r="BH37" s="101">
        <f>((A6_A_L28*Otro2_A)+(A6_B_L28*Otro2_B)+(A6_C_L28*Otro2_C)+(A6_D_L28*Otro2_D)+(A6_Y_L28*Otro2_Y))*Inflación_6</f>
        <v>0</v>
      </c>
      <c r="BI37" s="101">
        <f>SUMIFS('9'!$E:$E,'9'!$A:$A,Año_Inicial+5,'9'!$B:$B,'12'!BH$4,'9'!$D:$D,"Otro insumo 2*")</f>
        <v>0</v>
      </c>
      <c r="BJ37" s="101">
        <f>((A6_A_L29*Otro2_A)+(A6_B_L29*Otro2_B)+(A6_C_L29*Otro2_C)+(A6_D_L29*Otro2_D)+(A6_Y_L29*Otro2_Y))*Inflación_6</f>
        <v>0</v>
      </c>
      <c r="BK37" s="101">
        <f>SUMIFS('9'!$E:$E,'9'!$A:$A,Año_Inicial+5,'9'!$B:$B,'12'!BJ$4,'9'!$D:$D,"Otro insumo 2*")</f>
        <v>0</v>
      </c>
      <c r="BL37" s="101">
        <f>((A6_A_L30*Otro2_A)+(A6_B_L30*Otro2_B)+(A6_C_L30*Otro2_C)+(A6_D_L30*Otro2_D)+(A6_Y_L30*Otro2_Y))*Inflación_6</f>
        <v>0</v>
      </c>
      <c r="BM37" s="101">
        <f>SUMIFS('9'!$E:$E,'9'!$A:$A,Año_Inicial+5,'9'!$B:$B,'12'!BL$4,'9'!$D:$D,"Otro insumo 2*")</f>
        <v>0</v>
      </c>
      <c r="BN37" s="101">
        <f>((A6_A_L31*Otro2_A)+(A6_B_L31*Otro2_B)+(A6_C_L31*Otro2_C)+(A6_D_L31*Otro2_D)+(A6_Y_L31*Otro2_Y))*Inflación_6</f>
        <v>0</v>
      </c>
      <c r="BO37" s="101">
        <f>SUMIFS('9'!$E:$E,'9'!$A:$A,Año_Inicial+5,'9'!$B:$B,'12'!BN$4,'9'!$D:$D,"Otro insumo 2*")</f>
        <v>0</v>
      </c>
      <c r="BP37" s="101">
        <f>((A6_A_L32*Otro2_A)+(A6_B_L32*Otro2_B)+(A6_C_L32*Otro2_C)+(A6_D_L32*Otro2_D)+(A6_Y_L32*Otro2_Y))*Inflación_6</f>
        <v>0</v>
      </c>
      <c r="BQ37" s="101">
        <f>SUMIFS('9'!$E:$E,'9'!$A:$A,Año_Inicial+5,'9'!$B:$B,'12'!BP$4,'9'!$D:$D,"Otro insumo 2*")</f>
        <v>0</v>
      </c>
      <c r="BR37" s="101">
        <f>((A6_A_L33*Otro2_A)+(A6_B_L33*Otro2_B)+(A6_C_L33*Otro2_C)+(A6_D_L33*Otro2_D)+(A6_Y_L33*Otro2_Y))*Inflación_6</f>
        <v>0</v>
      </c>
      <c r="BS37" s="101">
        <f>SUMIFS('9'!$E:$E,'9'!$A:$A,Año_Inicial+5,'9'!$B:$B,'12'!BR$4,'9'!$D:$D,"Otro insumo 2*")</f>
        <v>0</v>
      </c>
      <c r="BT37" s="101">
        <f>((A6_A_L34*Otro2_A)+(A6_B_L34*Otro2_B)+(A6_C_L34*Otro2_C)+(A6_D_L34*Otro2_D)+(A6_Y_L34*Otro2_Y))*Inflación_6</f>
        <v>0</v>
      </c>
      <c r="BU37" s="101">
        <f>SUMIFS('9'!$E:$E,'9'!$A:$A,Año_Inicial+5,'9'!$B:$B,'12'!BT$4,'9'!$D:$D,"Otro insumo 2*")</f>
        <v>0</v>
      </c>
      <c r="BV37" s="101">
        <f>((A6_A_L35*Otro2_A)+(A6_B_L35*Otro2_B)+(A6_C_L35*Otro2_C)+(A6_D_L35*Otro2_D)+(A6_Y_L35*Otro2_Y))*Inflación_6</f>
        <v>0</v>
      </c>
      <c r="BW37" s="101">
        <f>SUMIFS('9'!$E:$E,'9'!$A:$A,Año_Inicial+5,'9'!$B:$B,'12'!BV$4,'9'!$D:$D,"Otro insumo 2*")</f>
        <v>0</v>
      </c>
      <c r="BX37" s="101">
        <f>((A6_A_L36*Otro2_A)+(A6_B_L36*Otro2_B)+(A6_C_L36*Otro2_C)+(A6_D_L36*Otro2_D)+(A6_Y_L36*Otro2_Y))*Inflación_6</f>
        <v>0</v>
      </c>
      <c r="BY37" s="101">
        <f>SUMIFS('9'!$E:$E,'9'!$A:$A,Año_Inicial+5,'9'!$B:$B,'12'!BX$4,'9'!$D:$D,"Otro insumo 2*")</f>
        <v>0</v>
      </c>
      <c r="BZ37" s="101">
        <f>((A6_A_L37*Otro2_A)+(A6_B_L37*Otro2_B)+(A6_C_L37*Otro2_C)+(A6_D_L37*Otro2_D)+(A6_Y_L37*Otro2_Y))*Inflación_6</f>
        <v>0</v>
      </c>
      <c r="CA37" s="101">
        <f>SUMIFS('9'!$E:$E,'9'!$A:$A,Año_Inicial+5,'9'!$B:$B,'12'!BZ$4,'9'!$D:$D,"Otro insumo 2*")</f>
        <v>0</v>
      </c>
      <c r="CB37" s="101">
        <f>((A6_A_L38*Otro2_A)+(A6_B_L38*Otro2_B)+(A6_C_L38*Otro2_C)+(A6_D_L38*Otro2_D)+(A6_Y_L38*Otro2_Y))*Inflación_6</f>
        <v>0</v>
      </c>
      <c r="CC37" s="101">
        <f>SUMIFS('9'!$E:$E,'9'!$A:$A,Año_Inicial+5,'9'!$B:$B,'12'!CB$4,'9'!$D:$D,"Otro insumo 2*")</f>
        <v>0</v>
      </c>
      <c r="CD37" s="101">
        <f>((A6_A_L39*Otro2_A)+(A6_B_L39*Otro2_B)+(A6_C_L39*Otro2_C)+(A6_D_L39*Otro2_D)+(A6_Y_L39*Otro2_Y))*Inflación_6</f>
        <v>0</v>
      </c>
      <c r="CE37" s="101">
        <f>SUMIFS('9'!$E:$E,'9'!$A:$A,Año_Inicial+5,'9'!$B:$B,'12'!CD$4,'9'!$D:$D,"Otro insumo 2*")</f>
        <v>0</v>
      </c>
      <c r="CF37" s="101">
        <f>((A6_A_L40*Otro2_A)+(A6_B_L40*Otro2_B)+(A6_C_L40*Otro2_C)+(A6_D_L40*Otro2_D)+(A6_Y_L40*Otro2_Y))*Inflación_6</f>
        <v>0</v>
      </c>
      <c r="CG37" s="101">
        <f>SUMIFS('9'!$E:$E,'9'!$A:$A,Año_Inicial+5,'9'!$B:$B,'12'!CF$4,'9'!$D:$D,"Otro insumo 2*")</f>
        <v>0</v>
      </c>
      <c r="CH37" s="473"/>
      <c r="CI37" s="101">
        <f>Plantas_A_A6*Otro2_A*Inflación_6</f>
        <v>0</v>
      </c>
      <c r="CJ37" s="101">
        <f>Plantas_B_A6*Otro2_B</f>
        <v>0</v>
      </c>
      <c r="CK37" s="101">
        <f>Plantas_C_A6*Otro2_C</f>
        <v>0</v>
      </c>
      <c r="CL37" s="101">
        <f>Plantas_D_A6*Otro2_D</f>
        <v>0</v>
      </c>
      <c r="CM37" s="101"/>
      <c r="CN37" s="101">
        <f>Plantas_Y_A6*Otro2_Y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SUMIFS('9'!$E:$E,'9'!$A:$A,Año_Inicial+5,'9'!$D:$D,"Otro insumo 3*")</f>
        <v>0</v>
      </c>
      <c r="D38" s="100">
        <f t="shared" si="45"/>
        <v>0</v>
      </c>
      <c r="E38" s="473"/>
      <c r="F38" s="101">
        <f>((A6_A_L1*Otro3_A)+(A6_B_L1*Otro3_B)+(A6_C_L1*Otro3_C)+(A6_D_L1*Otro3_D)+(A6_Y_L1*Otro3_Y))*Inflación_6</f>
        <v>0</v>
      </c>
      <c r="G38" s="101">
        <f>SUMIFS('9'!$E:$E,'9'!$A:$A,Año_Inicial+5,'9'!$B:$B,'12'!F$4,'9'!$D:$D,"Otro insumo 3*")</f>
        <v>0</v>
      </c>
      <c r="H38" s="101">
        <f>((A6_A_L2*Otro3_A)+(A6_B_L2*Otro3_B)+(A6_C_L2*Otro3_C)+(A6_D_L2*Otro3_D)+(A6_Y_L2*Otro3_Y))*Inflación_6</f>
        <v>0</v>
      </c>
      <c r="I38" s="101">
        <f>SUMIFS('9'!$E:$E,'9'!$A:$A,Año_Inicial+5,'9'!$B:$B,'12'!H$4,'9'!$D:$D,"Otro insumo 3*")</f>
        <v>0</v>
      </c>
      <c r="J38" s="101">
        <f>((A6_A_L3*Otro3_A)+(A6_B_L3*Otro3_B)+(A6_C_L3*Otro3_C)+(A6_D_L3*Otro3_D)+(A6_Y_L3*Otro3_Y))*Inflación_6</f>
        <v>0</v>
      </c>
      <c r="K38" s="101">
        <f>SUMIFS('9'!$E:$E,'9'!$A:$A,Año_Inicial+5,'9'!$B:$B,'12'!J$4,'9'!$D:$D,"Otro insumo 3*")</f>
        <v>0</v>
      </c>
      <c r="L38" s="101">
        <f>((A6_A_L4*Otro3_A)+(A6_B_L4*Otro3_B)+(A6_C_L4*Otro3_C)+(A6_D_L4*Otro3_D)+(A6_Y_L4*Otro3_Y))*Inflación_6</f>
        <v>0</v>
      </c>
      <c r="M38" s="101">
        <f>SUMIFS('9'!$E:$E,'9'!$A:$A,Año_Inicial+5,'9'!$B:$B,'12'!L$4,'9'!$D:$D,"Otro insumo 3*")</f>
        <v>0</v>
      </c>
      <c r="N38" s="101">
        <f>((A6_A_L5*Otro3_A)+(A6_B_L5*Otro3_B)+(A6_C_L5*Otro3_C)+(A6_D_L5*Otro3_D)+(A6_Y_L5*Otro3_Y))*Inflación_6</f>
        <v>0</v>
      </c>
      <c r="O38" s="101">
        <f>SUMIFS('9'!$E:$E,'9'!$A:$A,Año_Inicial+5,'9'!$B:$B,'12'!N$4,'9'!$D:$D,"Otro insumo 3*")</f>
        <v>0</v>
      </c>
      <c r="P38" s="101">
        <f>((A6_A_L6*Otro3_A)+(A6_B_L6*Otro3_B)+(A6_C_L6*Otro3_C)+(A6_D_L6*Otro3_D)+(A6_Y_L6*Otro3_Y))*Inflación_6</f>
        <v>0</v>
      </c>
      <c r="Q38" s="101">
        <f>SUMIFS('9'!$E:$E,'9'!$A:$A,Año_Inicial+5,'9'!$B:$B,'12'!P$4,'9'!$D:$D,"Otro insumo 3*")</f>
        <v>0</v>
      </c>
      <c r="R38" s="101">
        <f>((A6_A_L7*Otro3_A)+(A6_B_L7*Otro3_B)+(A6_C_L7*Otro3_C)+(A6_D_L7*Otro3_D)+(A6_Y_L7*Otro3_Y))*Inflación_6</f>
        <v>0</v>
      </c>
      <c r="S38" s="101">
        <f>SUMIFS('9'!$E:$E,'9'!$A:$A,Año_Inicial+5,'9'!$B:$B,'12'!R$4,'9'!$D:$D,"Otro insumo 3*")</f>
        <v>0</v>
      </c>
      <c r="T38" s="101">
        <f>((A6_A_L8*Otro3_A)+(A6_B_L8*Otro3_B)+(A6_C_L8*Otro3_C)+(A6_D_L8*Otro3_D)+(A6_Y_L8*Otro3_Y))*Inflación_6</f>
        <v>0</v>
      </c>
      <c r="U38" s="101">
        <f>SUMIFS('9'!$E:$E,'9'!$A:$A,Año_Inicial+5,'9'!$B:$B,'12'!T$4,'9'!$D:$D,"Otro insumo 3*")</f>
        <v>0</v>
      </c>
      <c r="V38" s="101">
        <f>((A6_A_L9*Otro3_A)+(A6_B_L9*Otro3_B)+(A6_C_L9*Otro3_C)+(A6_D_L9*Otro3_D)+(A6_Y_L9*Otro3_Y))*Inflación_6</f>
        <v>0</v>
      </c>
      <c r="W38" s="101">
        <f>SUMIFS('9'!$E:$E,'9'!$A:$A,Año_Inicial+5,'9'!$B:$B,'12'!V$4,'9'!$D:$D,"Otro insumo 3*")</f>
        <v>0</v>
      </c>
      <c r="X38" s="101">
        <f>((A6_A_L10*Otro3_A)+(A6_B_L10*Otro3_B)+(A6_C_L10*Otro3_C)+(A6_D_L10*Otro3_D)+(A6_Y_L10*Otro3_Y))*Inflación_6</f>
        <v>0</v>
      </c>
      <c r="Y38" s="101">
        <f>SUMIFS('9'!$E:$E,'9'!$A:$A,Año_Inicial+5,'9'!$B:$B,'12'!X$4,'9'!$D:$D,"Otro insumo 3*")</f>
        <v>0</v>
      </c>
      <c r="Z38" s="101">
        <f>((A6_A_L11*Otro3_A)+(A6_B_L11*Otro3_B)+(A6_C_L11*Otro3_C)+(A6_D_L11*Otro3_D)+(A6_Y_L11*Otro3_Y))*Inflación_6</f>
        <v>0</v>
      </c>
      <c r="AA38" s="101">
        <f>SUMIFS('9'!$E:$E,'9'!$A:$A,Año_Inicial+5,'9'!$B:$B,'12'!Z$4,'9'!$D:$D,"Otro insumo 3*")</f>
        <v>0</v>
      </c>
      <c r="AB38" s="101">
        <f>((A6_A_L12*Otro3_A)+(A6_B_L12*Otro3_B)+(A6_C_L12*Otro3_C)+(A6_D_L12*Otro3_D)+(A6_Y_L12*Otro3_Y))*Inflación_6</f>
        <v>0</v>
      </c>
      <c r="AC38" s="101">
        <f>SUMIFS('9'!$E:$E,'9'!$A:$A,Año_Inicial+5,'9'!$B:$B,'12'!AB$4,'9'!$D:$D,"Otro insumo 3*")</f>
        <v>0</v>
      </c>
      <c r="AD38" s="101">
        <f>((A6_A_L13*Otro3_A)+(A6_B_L13*Otro3_B)+(A6_C_L13*Otro3_C)+(A6_D_L13*Otro3_D)+(A6_Y_L13*Otro3_Y))*Inflación_6</f>
        <v>0</v>
      </c>
      <c r="AE38" s="101">
        <f>SUMIFS('9'!$E:$E,'9'!$A:$A,Año_Inicial+5,'9'!$B:$B,'12'!AD$4,'9'!$D:$D,"Otro insumo 3*")</f>
        <v>0</v>
      </c>
      <c r="AF38" s="101">
        <f>((A6_A_L14*Otro3_A)+(A6_B_L14*Otro3_B)+(A6_C_L14*Otro3_C)+(A6_D_L14*Otro3_D)+(A6_Y_L14*Otro3_Y))*Inflación_6</f>
        <v>0</v>
      </c>
      <c r="AG38" s="101">
        <f>SUMIFS('9'!$E:$E,'9'!$A:$A,Año_Inicial+5,'9'!$B:$B,'12'!AF$4,'9'!$D:$D,"Otro insumo 3*")</f>
        <v>0</v>
      </c>
      <c r="AH38" s="101">
        <f>((A6_A_L15*Otro3_A)+(A6_B_L15*Otro3_B)+(A6_C_L15*Otro3_C)+(A6_D_L15*Otro3_D)+(A6_Y_L15*Otro3_Y))*Inflación_6</f>
        <v>0</v>
      </c>
      <c r="AI38" s="101">
        <f>SUMIFS('9'!$E:$E,'9'!$A:$A,Año_Inicial+5,'9'!$B:$B,'12'!AH$4,'9'!$D:$D,"Otro insumo 3*")</f>
        <v>0</v>
      </c>
      <c r="AJ38" s="101">
        <f>((A6_A_L16*Otro3_A)+(A6_B_L16*Otro3_B)+(A6_C_L16*Otro3_C)+(A6_D_L16*Otro3_D)+(A6_Y_L16*Otro3_Y))*Inflación_6</f>
        <v>0</v>
      </c>
      <c r="AK38" s="101">
        <f>SUMIFS('9'!$E:$E,'9'!$A:$A,Año_Inicial+5,'9'!$B:$B,'12'!AJ$4,'9'!$D:$D,"Otro insumo 3*")</f>
        <v>0</v>
      </c>
      <c r="AL38" s="101">
        <f>((A6_A_L17*Otro3_A)+(A6_B_L17*Otro3_B)+(A6_C_L17*Otro3_C)+(A6_D_L17*Otro3_D)+(A6_Y_L17*Otro3_Y))*Inflación_6</f>
        <v>0</v>
      </c>
      <c r="AM38" s="101">
        <f>SUMIFS('9'!$E:$E,'9'!$A:$A,Año_Inicial+5,'9'!$B:$B,'12'!AL$4,'9'!$D:$D,"Otro insumo 3*")</f>
        <v>0</v>
      </c>
      <c r="AN38" s="101">
        <f>((A6_A_L18*Otro3_A)+(A6_B_L18*Otro3_B)+(A6_C_L18*Otro3_C)+(A6_D_L18*Otro3_D)+(A6_Y_L18*Otro3_Y))*Inflación_6</f>
        <v>0</v>
      </c>
      <c r="AO38" s="101">
        <f>SUMIFS('9'!$E:$E,'9'!$A:$A,Año_Inicial+5,'9'!$B:$B,'12'!AN$4,'9'!$D:$D,"Otro insumo 3*")</f>
        <v>0</v>
      </c>
      <c r="AP38" s="101">
        <f>((A6_A_L19*Otro3_A)+(A6_B_L19*Otro3_B)+(A6_C_L19*Otro3_C)+(A6_D_L19*Otro3_D)+(A6_Y_L19*Otro3_Y))*Inflación_6</f>
        <v>0</v>
      </c>
      <c r="AQ38" s="101">
        <f>SUMIFS('9'!$E:$E,'9'!$A:$A,Año_Inicial+5,'9'!$B:$B,'12'!AP$4,'9'!$D:$D,"Otro insumo 3*")</f>
        <v>0</v>
      </c>
      <c r="AR38" s="101">
        <f>((A6_A_L20*Otro3_A)+(A6_B_L20*Otro3_B)+(A6_C_L20*Otro3_C)+(A6_D_L20*Otro3_D)+(A6_Y_L20*Otro3_Y))*Inflación_6</f>
        <v>0</v>
      </c>
      <c r="AS38" s="101">
        <f>SUMIFS('9'!$E:$E,'9'!$A:$A,Año_Inicial+5,'9'!$B:$B,'12'!AR$4,'9'!$D:$D,"Otro insumo 3*")</f>
        <v>0</v>
      </c>
      <c r="AT38" s="101">
        <f>((A6_A_L21*Otro3_A)+(A6_B_L21*Otro3_B)+(A6_C_L21*Otro3_C)+(A6_D_L21*Otro3_D)+(A6_Y_L21*Otro3_Y))*Inflación_6</f>
        <v>0</v>
      </c>
      <c r="AU38" s="101">
        <f>SUMIFS('9'!$E:$E,'9'!$A:$A,Año_Inicial+5,'9'!$B:$B,'12'!AT$4,'9'!$D:$D,"Otro insumo 3*")</f>
        <v>0</v>
      </c>
      <c r="AV38" s="101">
        <f>((A6_A_L22*Otro3_A)+(A6_B_L22*Otro3_B)+(A6_C_L22*Otro3_C)+(A6_D_L22*Otro3_D)+(A6_Y_L22*Otro3_Y))*Inflación_6</f>
        <v>0</v>
      </c>
      <c r="AW38" s="101">
        <f>SUMIFS('9'!$E:$E,'9'!$A:$A,Año_Inicial+5,'9'!$B:$B,'12'!AV$4,'9'!$D:$D,"Otro insumo 3*")</f>
        <v>0</v>
      </c>
      <c r="AX38" s="101">
        <f>((A6_A_L23*Otro3_A)+(A6_B_L23*Otro3_B)+(A6_C_L23*Otro3_C)+(A6_D_L23*Otro3_D)+(A6_Y_L23*Otro3_Y))*Inflación_6</f>
        <v>0</v>
      </c>
      <c r="AY38" s="101">
        <f>SUMIFS('9'!$E:$E,'9'!$A:$A,Año_Inicial+5,'9'!$B:$B,'12'!AX$4,'9'!$D:$D,"Otro insumo 3*")</f>
        <v>0</v>
      </c>
      <c r="AZ38" s="101">
        <f>((A6_A_L24*Otro3_A)+(A6_B_L24*Otro3_B)+(A6_C_L24*Otro3_C)+(A6_D_L24*Otro3_D)+(A6_Y_L24*Otro3_Y))*Inflación_6</f>
        <v>0</v>
      </c>
      <c r="BA38" s="101">
        <f>SUMIFS('9'!$E:$E,'9'!$A:$A,Año_Inicial+5,'9'!$B:$B,'12'!AZ$4,'9'!$D:$D,"Otro insumo 3*")</f>
        <v>0</v>
      </c>
      <c r="BB38" s="101">
        <f>((A6_A_L25*Otro3_A)+(A6_B_L25*Otro3_B)+(A6_C_L25*Otro3_C)+(A6_D_L25*Otro3_D)+(A6_Y_L25*Otro3_Y))*Inflación_6</f>
        <v>0</v>
      </c>
      <c r="BC38" s="101">
        <f>SUMIFS('9'!$E:$E,'9'!$A:$A,Año_Inicial+5,'9'!$B:$B,'12'!BB$4,'9'!$D:$D,"Otro insumo 3*")</f>
        <v>0</v>
      </c>
      <c r="BD38" s="101">
        <f>((A6_A_L26*Otro3_A)+(A6_B_L26*Otro3_B)+(A6_C_L26*Otro3_C)+(A6_D_L26*Otro3_D)+(A6_Y_L26*Otro3_Y))*Inflación_6</f>
        <v>0</v>
      </c>
      <c r="BE38" s="101">
        <f>SUMIFS('9'!$E:$E,'9'!$A:$A,Año_Inicial+5,'9'!$B:$B,'12'!BD$4,'9'!$D:$D,"Otro insumo 3*")</f>
        <v>0</v>
      </c>
      <c r="BF38" s="101">
        <f>((A6_A_L27*Otro3_A)+(A6_B_L27*Otro3_B)+(A6_C_L27*Otro3_C)+(A6_D_L27*Otro3_D)+(A6_Y_L27*Otro3_Y))*Inflación_6</f>
        <v>0</v>
      </c>
      <c r="BG38" s="101">
        <f>SUMIFS('9'!$E:$E,'9'!$A:$A,Año_Inicial+5,'9'!$B:$B,'12'!BF$4,'9'!$D:$D,"Otro insumo 3*")</f>
        <v>0</v>
      </c>
      <c r="BH38" s="101">
        <f>((A6_A_L28*Otro3_A)+(A6_B_L28*Otro3_B)+(A6_C_L28*Otro3_C)+(A6_D_L28*Otro3_D)+(A6_Y_L28*Otro3_Y))*Inflación_6</f>
        <v>0</v>
      </c>
      <c r="BI38" s="101">
        <f>SUMIFS('9'!$E:$E,'9'!$A:$A,Año_Inicial+5,'9'!$B:$B,'12'!BH$4,'9'!$D:$D,"Otro insumo 3*")</f>
        <v>0</v>
      </c>
      <c r="BJ38" s="101">
        <f>((A6_A_L29*Otro3_A)+(A6_B_L29*Otro3_B)+(A6_C_L29*Otro3_C)+(A6_D_L29*Otro3_D)+(A6_Y_L29*Otro3_Y))*Inflación_6</f>
        <v>0</v>
      </c>
      <c r="BK38" s="101">
        <f>SUMIFS('9'!$E:$E,'9'!$A:$A,Año_Inicial+5,'9'!$B:$B,'12'!BJ$4,'9'!$D:$D,"Otro insumo 3*")</f>
        <v>0</v>
      </c>
      <c r="BL38" s="101">
        <f>((A6_A_L30*Otro3_A)+(A6_B_L30*Otro3_B)+(A6_C_L30*Otro3_C)+(A6_D_L30*Otro3_D)+(A6_Y_L30*Otro3_Y))*Inflación_6</f>
        <v>0</v>
      </c>
      <c r="BM38" s="101">
        <f>SUMIFS('9'!$E:$E,'9'!$A:$A,Año_Inicial+5,'9'!$B:$B,'12'!BL$4,'9'!$D:$D,"Otro insumo 3*")</f>
        <v>0</v>
      </c>
      <c r="BN38" s="101">
        <f>((A6_A_L31*Otro3_A)+(A6_B_L31*Otro3_B)+(A6_C_L31*Otro3_C)+(A6_D_L31*Otro3_D)+(A6_Y_L31*Otro3_Y))*Inflación_6</f>
        <v>0</v>
      </c>
      <c r="BO38" s="101">
        <f>SUMIFS('9'!$E:$E,'9'!$A:$A,Año_Inicial+5,'9'!$B:$B,'12'!BN$4,'9'!$D:$D,"Otro insumo 3*")</f>
        <v>0</v>
      </c>
      <c r="BP38" s="101">
        <f>((A6_A_L32*Otro3_A)+(A6_B_L32*Otro3_B)+(A6_C_L32*Otro3_C)+(A6_D_L32*Otro3_D)+(A6_Y_L32*Otro3_Y))*Inflación_6</f>
        <v>0</v>
      </c>
      <c r="BQ38" s="101">
        <f>SUMIFS('9'!$E:$E,'9'!$A:$A,Año_Inicial+5,'9'!$B:$B,'12'!BP$4,'9'!$D:$D,"Otro insumo 3*")</f>
        <v>0</v>
      </c>
      <c r="BR38" s="101">
        <f>((A6_A_L33*Otro3_A)+(A6_B_L33*Otro3_B)+(A6_C_L33*Otro3_C)+(A6_D_L33*Otro3_D)+(A6_Y_L33*Otro3_Y))*Inflación_6</f>
        <v>0</v>
      </c>
      <c r="BS38" s="101">
        <f>SUMIFS('9'!$E:$E,'9'!$A:$A,Año_Inicial+5,'9'!$B:$B,'12'!BR$4,'9'!$D:$D,"Otro insumo 3*")</f>
        <v>0</v>
      </c>
      <c r="BT38" s="101">
        <f>((A6_A_L34*Otro3_A)+(A6_B_L34*Otro3_B)+(A6_C_L34*Otro3_C)+(A6_D_L34*Otro3_D)+(A6_Y_L34*Otro3_Y))*Inflación_6</f>
        <v>0</v>
      </c>
      <c r="BU38" s="101">
        <f>SUMIFS('9'!$E:$E,'9'!$A:$A,Año_Inicial+5,'9'!$B:$B,'12'!BT$4,'9'!$D:$D,"Otro insumo 3*")</f>
        <v>0</v>
      </c>
      <c r="BV38" s="101">
        <f>((A6_A_L35*Otro3_A)+(A6_B_L35*Otro3_B)+(A6_C_L35*Otro3_C)+(A6_D_L35*Otro3_D)+(A6_Y_L35*Otro3_Y))*Inflación_6</f>
        <v>0</v>
      </c>
      <c r="BW38" s="101">
        <f>SUMIFS('9'!$E:$E,'9'!$A:$A,Año_Inicial+5,'9'!$B:$B,'12'!BV$4,'9'!$D:$D,"Otro insumo 3*")</f>
        <v>0</v>
      </c>
      <c r="BX38" s="101">
        <f>((A6_A_L36*Otro3_A)+(A6_B_L36*Otro3_B)+(A6_C_L36*Otro3_C)+(A6_D_L36*Otro3_D)+(A6_Y_L36*Otro3_Y))*Inflación_6</f>
        <v>0</v>
      </c>
      <c r="BY38" s="101">
        <f>SUMIFS('9'!$E:$E,'9'!$A:$A,Año_Inicial+5,'9'!$B:$B,'12'!BX$4,'9'!$D:$D,"Otro insumo 3*")</f>
        <v>0</v>
      </c>
      <c r="BZ38" s="101">
        <f>((A6_A_L37*Otro3_A)+(A6_B_L37*Otro3_B)+(A6_C_L37*Otro3_C)+(A6_D_L37*Otro3_D)+(A6_Y_L37*Otro3_Y))*Inflación_6</f>
        <v>0</v>
      </c>
      <c r="CA38" s="101">
        <f>SUMIFS('9'!$E:$E,'9'!$A:$A,Año_Inicial+5,'9'!$B:$B,'12'!BZ$4,'9'!$D:$D,"Otro insumo 3*")</f>
        <v>0</v>
      </c>
      <c r="CB38" s="101">
        <f>((A6_A_L38*Otro3_A)+(A6_B_L38*Otro3_B)+(A6_C_L38*Otro3_C)+(A6_D_L38*Otro3_D)+(A6_Y_L38*Otro3_Y))*Inflación_6</f>
        <v>0</v>
      </c>
      <c r="CC38" s="101">
        <f>SUMIFS('9'!$E:$E,'9'!$A:$A,Año_Inicial+5,'9'!$B:$B,'12'!CB$4,'9'!$D:$D,"Otro insumo 3*")</f>
        <v>0</v>
      </c>
      <c r="CD38" s="101">
        <f>((A6_A_L39*Otro3_A)+(A6_B_L39*Otro3_B)+(A6_C_L39*Otro3_C)+(A6_D_L39*Otro3_D)+(A6_Y_L39*Otro3_Y))*Inflación_6</f>
        <v>0</v>
      </c>
      <c r="CE38" s="101">
        <f>SUMIFS('9'!$E:$E,'9'!$A:$A,Año_Inicial+5,'9'!$B:$B,'12'!CD$4,'9'!$D:$D,"Otro insumo 3*")</f>
        <v>0</v>
      </c>
      <c r="CF38" s="101">
        <f>((A6_A_L40*Otro3_A)+(A6_B_L40*Otro3_B)+(A6_C_L40*Otro3_C)+(A6_D_L40*Otro3_D)+(A6_Y_L40*Otro3_Y))*Inflación_6</f>
        <v>0</v>
      </c>
      <c r="CG38" s="101">
        <f>SUMIFS('9'!$E:$E,'9'!$A:$A,Año_Inicial+5,'9'!$B:$B,'12'!CF$4,'9'!$D:$D,"Otro insumo 3*")</f>
        <v>0</v>
      </c>
      <c r="CH38" s="473"/>
      <c r="CI38" s="101">
        <f>Plantas_A_A6*Otro3_A*Inflación_6</f>
        <v>0</v>
      </c>
      <c r="CJ38" s="101">
        <f>Plantas_B_A6*Otro3_B</f>
        <v>0</v>
      </c>
      <c r="CK38" s="101">
        <f>Plantas_C_A6*Otro3_C</f>
        <v>0</v>
      </c>
      <c r="CL38" s="101">
        <f>Plantas_D_A6*Otro3_D</f>
        <v>0</v>
      </c>
      <c r="CM38" s="101"/>
      <c r="CN38" s="101">
        <f>Plantas_Y_A6*Otro3_Y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SUMIFS('9'!$E:$E,'9'!$A:$A,Año_Inicial+5,'9'!$D:$D,"Corte")</f>
        <v>0</v>
      </c>
      <c r="D40" s="100">
        <f t="shared" si="45"/>
        <v>0</v>
      </c>
      <c r="E40" s="473"/>
      <c r="F40" s="101">
        <f>P_A6_L1*CUI_Corte*Inflación_6</f>
        <v>0</v>
      </c>
      <c r="G40" s="101">
        <f>SUMIFS('9'!$E:$E,'9'!$A:$A,Año_Inicial+5,'9'!$B:$B,'12'!F$4,'9'!$D:$D,"Corte")</f>
        <v>0</v>
      </c>
      <c r="H40" s="101">
        <f>P_A6_L2*CUI_Corte*Inflación_6</f>
        <v>0</v>
      </c>
      <c r="I40" s="101">
        <f>SUMIFS('9'!$E:$E,'9'!$A:$A,Año_Inicial+5,'9'!$B:$B,'12'!H$4,'9'!$D:$D,"Corte")</f>
        <v>0</v>
      </c>
      <c r="J40" s="101">
        <f>P_A6_L3*CUI_Corte*Inflación_6</f>
        <v>0</v>
      </c>
      <c r="K40" s="101">
        <f>SUMIFS('9'!$E:$E,'9'!$A:$A,Año_Inicial+5,'9'!$B:$B,'12'!J$4,'9'!$D:$D,"Corte")</f>
        <v>0</v>
      </c>
      <c r="L40" s="101">
        <f>P_A6_L4*CUI_Corte*Inflación_6</f>
        <v>0</v>
      </c>
      <c r="M40" s="101">
        <f>SUMIFS('9'!$E:$E,'9'!$A:$A,Año_Inicial+5,'9'!$B:$B,'12'!L$4,'9'!$D:$D,"Corte")</f>
        <v>0</v>
      </c>
      <c r="N40" s="101">
        <f>P_A6_L5*CUI_Corte*Inflación_6</f>
        <v>0</v>
      </c>
      <c r="O40" s="101">
        <f>SUMIFS('9'!$E:$E,'9'!$A:$A,Año_Inicial+5,'9'!$B:$B,'12'!N$4,'9'!$D:$D,"Corte")</f>
        <v>0</v>
      </c>
      <c r="P40" s="101">
        <f>P_A6_L6*CUI_Corte*Inflación_6</f>
        <v>0</v>
      </c>
      <c r="Q40" s="101">
        <f>SUMIFS('9'!$E:$E,'9'!$A:$A,Año_Inicial+5,'9'!$B:$B,'12'!P$4,'9'!$D:$D,"Corte")</f>
        <v>0</v>
      </c>
      <c r="R40" s="101">
        <f>P_A6_L7*CUI_Corte*Inflación_6</f>
        <v>0</v>
      </c>
      <c r="S40" s="101">
        <f>SUMIFS('9'!$E:$E,'9'!$A:$A,Año_Inicial+5,'9'!$B:$B,'12'!R$4,'9'!$D:$D,"Corte")</f>
        <v>0</v>
      </c>
      <c r="T40" s="101">
        <f>P_A6_L8*CUI_Corte*Inflación_6</f>
        <v>0</v>
      </c>
      <c r="U40" s="101">
        <f>SUMIFS('9'!$E:$E,'9'!$A:$A,Año_Inicial+5,'9'!$B:$B,'12'!T$4,'9'!$D:$D,"Corte")</f>
        <v>0</v>
      </c>
      <c r="V40" s="101">
        <f>P_A6_L9*CUI_Corte*Inflación_6</f>
        <v>0</v>
      </c>
      <c r="W40" s="101">
        <f>SUMIFS('9'!$E:$E,'9'!$A:$A,Año_Inicial+5,'9'!$B:$B,'12'!V$4,'9'!$D:$D,"Corte")</f>
        <v>0</v>
      </c>
      <c r="X40" s="101">
        <f>P_A6_L10*CUI_Corte*Inflación_6</f>
        <v>0</v>
      </c>
      <c r="Y40" s="101">
        <f>SUMIFS('9'!$E:$E,'9'!$A:$A,Año_Inicial+5,'9'!$B:$B,'12'!X$4,'9'!$D:$D,"Corte")</f>
        <v>0</v>
      </c>
      <c r="Z40" s="101">
        <f>P_A6_L11*CUI_Corte*Inflación_6</f>
        <v>0</v>
      </c>
      <c r="AA40" s="101">
        <f>SUMIFS('9'!$E:$E,'9'!$A:$A,Año_Inicial+5,'9'!$B:$B,'12'!Z$4,'9'!$D:$D,"Corte")</f>
        <v>0</v>
      </c>
      <c r="AB40" s="101">
        <f>P_A6_L12*CUI_Corte*Inflación_6</f>
        <v>0</v>
      </c>
      <c r="AC40" s="101">
        <f>SUMIFS('9'!$E:$E,'9'!$A:$A,Año_Inicial+5,'9'!$B:$B,'12'!AB$4,'9'!$D:$D,"Corte")</f>
        <v>0</v>
      </c>
      <c r="AD40" s="101">
        <f>P_A6_L13*CUI_Corte*Inflación_6</f>
        <v>0</v>
      </c>
      <c r="AE40" s="101">
        <f>SUMIFS('9'!$E:$E,'9'!$A:$A,Año_Inicial+5,'9'!$B:$B,'12'!AD$4,'9'!$D:$D,"Corte")</f>
        <v>0</v>
      </c>
      <c r="AF40" s="101">
        <f>P_A6_L14*CUI_Corte*Inflación_6</f>
        <v>0</v>
      </c>
      <c r="AG40" s="101">
        <f>SUMIFS('9'!$E:$E,'9'!$A:$A,Año_Inicial+5,'9'!$B:$B,'12'!AF$4,'9'!$D:$D,"Corte")</f>
        <v>0</v>
      </c>
      <c r="AH40" s="101">
        <f>P_A6_L15*CUI_Corte*Inflación_6</f>
        <v>0</v>
      </c>
      <c r="AI40" s="101">
        <f>SUMIFS('9'!$E:$E,'9'!$A:$A,Año_Inicial+5,'9'!$B:$B,'12'!AH$4,'9'!$D:$D,"Corte")</f>
        <v>0</v>
      </c>
      <c r="AJ40" s="101">
        <f>P_A6_L16*CUI_Corte*Inflación_6</f>
        <v>0</v>
      </c>
      <c r="AK40" s="101">
        <f>SUMIFS('9'!$E:$E,'9'!$A:$A,Año_Inicial+5,'9'!$B:$B,'12'!AJ$4,'9'!$D:$D,"Corte")</f>
        <v>0</v>
      </c>
      <c r="AL40" s="101">
        <f>P_A6_L17*CUI_Corte*Inflación_6</f>
        <v>0</v>
      </c>
      <c r="AM40" s="101">
        <f>SUMIFS('9'!$E:$E,'9'!$A:$A,Año_Inicial+5,'9'!$B:$B,'12'!AL$4,'9'!$D:$D,"Corte")</f>
        <v>0</v>
      </c>
      <c r="AN40" s="101">
        <f>P_A6_L18*CUI_Corte*Inflación_6</f>
        <v>0</v>
      </c>
      <c r="AO40" s="101">
        <f>SUMIFS('9'!$E:$E,'9'!$A:$A,Año_Inicial+5,'9'!$B:$B,'12'!AN$4,'9'!$D:$D,"Corte")</f>
        <v>0</v>
      </c>
      <c r="AP40" s="101">
        <f>P_A6_L19*CUI_Corte*Inflación_6</f>
        <v>0</v>
      </c>
      <c r="AQ40" s="101">
        <f>SUMIFS('9'!$E:$E,'9'!$A:$A,Año_Inicial+5,'9'!$B:$B,'12'!AP$4,'9'!$D:$D,"Corte")</f>
        <v>0</v>
      </c>
      <c r="AR40" s="101">
        <f>P_A6_L20*CUI_Corte*Inflación_6</f>
        <v>0</v>
      </c>
      <c r="AS40" s="101">
        <f>SUMIFS('9'!$E:$E,'9'!$A:$A,Año_Inicial+5,'9'!$B:$B,'12'!AR$4,'9'!$D:$D,"Corte")</f>
        <v>0</v>
      </c>
      <c r="AT40" s="101">
        <f>P_A6_L21*CUI_Corte*Inflación_6</f>
        <v>0</v>
      </c>
      <c r="AU40" s="101">
        <f>SUMIFS('9'!$E:$E,'9'!$A:$A,Año_Inicial+5,'9'!$B:$B,'12'!AT$4,'9'!$D:$D,"Corte")</f>
        <v>0</v>
      </c>
      <c r="AV40" s="101">
        <f>P_A6_L22*CUI_Corte*Inflación_6</f>
        <v>0</v>
      </c>
      <c r="AW40" s="101">
        <f>SUMIFS('9'!$E:$E,'9'!$A:$A,Año_Inicial+5,'9'!$B:$B,'12'!AV$4,'9'!$D:$D,"Corte")</f>
        <v>0</v>
      </c>
      <c r="AX40" s="101">
        <f>P_A6_L23*CUI_Corte*Inflación_6</f>
        <v>0</v>
      </c>
      <c r="AY40" s="101">
        <f>SUMIFS('9'!$E:$E,'9'!$A:$A,Año_Inicial+5,'9'!$B:$B,'12'!AX$4,'9'!$D:$D,"Corte")</f>
        <v>0</v>
      </c>
      <c r="AZ40" s="101">
        <f>P_A6_L24*CUI_Corte*Inflación_6</f>
        <v>0</v>
      </c>
      <c r="BA40" s="101">
        <f>SUMIFS('9'!$E:$E,'9'!$A:$A,Año_Inicial+5,'9'!$B:$B,'12'!AZ$4,'9'!$D:$D,"Corte")</f>
        <v>0</v>
      </c>
      <c r="BB40" s="101">
        <f>P_A6_L25*CUI_Corte*Inflación_6</f>
        <v>0</v>
      </c>
      <c r="BC40" s="101">
        <f>SUMIFS('9'!$E:$E,'9'!$A:$A,Año_Inicial+5,'9'!$B:$B,'12'!BB$4,'9'!$D:$D,"Corte")</f>
        <v>0</v>
      </c>
      <c r="BD40" s="101">
        <f>P_A6_L26*CUI_Corte*Inflación_6</f>
        <v>0</v>
      </c>
      <c r="BE40" s="101">
        <f>SUMIFS('9'!$E:$E,'9'!$A:$A,Año_Inicial+5,'9'!$B:$B,'12'!BD$4,'9'!$D:$D,"Corte")</f>
        <v>0</v>
      </c>
      <c r="BF40" s="101">
        <f>P_A6_L27*CUI_Corte*Inflación_6</f>
        <v>0</v>
      </c>
      <c r="BG40" s="101">
        <f>SUMIFS('9'!$E:$E,'9'!$A:$A,Año_Inicial+5,'9'!$B:$B,'12'!BF$4,'9'!$D:$D,"Corte")</f>
        <v>0</v>
      </c>
      <c r="BH40" s="101">
        <f>P_A6_L28*CUI_Corte*Inflación_6</f>
        <v>0</v>
      </c>
      <c r="BI40" s="101">
        <f>SUMIFS('9'!$E:$E,'9'!$A:$A,Año_Inicial+5,'9'!$B:$B,'12'!BH$4,'9'!$D:$D,"Corte")</f>
        <v>0</v>
      </c>
      <c r="BJ40" s="101">
        <f>P_A6_L29*CUI_Corte*Inflación_6</f>
        <v>0</v>
      </c>
      <c r="BK40" s="101">
        <f>SUMIFS('9'!$E:$E,'9'!$A:$A,Año_Inicial+5,'9'!$B:$B,'12'!BJ$4,'9'!$D:$D,"Corte")</f>
        <v>0</v>
      </c>
      <c r="BL40" s="101">
        <f>P_A6_L30*CUI_Corte*Inflación_6</f>
        <v>0</v>
      </c>
      <c r="BM40" s="101">
        <f>SUMIFS('9'!$E:$E,'9'!$A:$A,Año_Inicial+5,'9'!$B:$B,'12'!BL$4,'9'!$D:$D,"Corte")</f>
        <v>0</v>
      </c>
      <c r="BN40" s="101">
        <f>P_A6_L31*CUI_Corte*Inflación_6</f>
        <v>0</v>
      </c>
      <c r="BO40" s="101">
        <f>SUMIFS('9'!$E:$E,'9'!$A:$A,Año_Inicial+5,'9'!$B:$B,'12'!BN$4,'9'!$D:$D,"Corte")</f>
        <v>0</v>
      </c>
      <c r="BP40" s="101">
        <f>P_A6_L32*CUI_Corte*Inflación_6</f>
        <v>0</v>
      </c>
      <c r="BQ40" s="101">
        <f>SUMIFS('9'!$E:$E,'9'!$A:$A,Año_Inicial+5,'9'!$B:$B,'12'!BP$4,'9'!$D:$D,"Corte")</f>
        <v>0</v>
      </c>
      <c r="BR40" s="101">
        <f>P_A6_L33*CUI_Corte*Inflación_6</f>
        <v>0</v>
      </c>
      <c r="BS40" s="101">
        <f>SUMIFS('9'!$E:$E,'9'!$A:$A,Año_Inicial+5,'9'!$B:$B,'12'!BR$4,'9'!$D:$D,"Corte")</f>
        <v>0</v>
      </c>
      <c r="BT40" s="101">
        <f>P_A6_L34*CUI_Corte*Inflación_6</f>
        <v>0</v>
      </c>
      <c r="BU40" s="101">
        <f>SUMIFS('9'!$E:$E,'9'!$A:$A,Año_Inicial+5,'9'!$B:$B,'12'!BT$4,'9'!$D:$D,"Corte")</f>
        <v>0</v>
      </c>
      <c r="BV40" s="101">
        <f>P_A6_L35*CUI_Corte*Inflación_6</f>
        <v>0</v>
      </c>
      <c r="BW40" s="101">
        <f>SUMIFS('9'!$E:$E,'9'!$A:$A,Año_Inicial+5,'9'!$B:$B,'12'!BV$4,'9'!$D:$D,"Corte")</f>
        <v>0</v>
      </c>
      <c r="BX40" s="101">
        <f>P_A6_L36*CUI_Corte*Inflación_6</f>
        <v>0</v>
      </c>
      <c r="BY40" s="101">
        <f>SUMIFS('9'!$E:$E,'9'!$A:$A,Año_Inicial+5,'9'!$B:$B,'12'!BX$4,'9'!$D:$D,"Corte")</f>
        <v>0</v>
      </c>
      <c r="BZ40" s="101">
        <f>P_A6_L37*CUI_Corte*Inflación_6</f>
        <v>0</v>
      </c>
      <c r="CA40" s="101">
        <f>SUMIFS('9'!$E:$E,'9'!$A:$A,Año_Inicial+5,'9'!$B:$B,'12'!BZ$4,'9'!$D:$D,"Corte")</f>
        <v>0</v>
      </c>
      <c r="CB40" s="101">
        <f>P_A6_L38*CUI_Corte*Inflación_6</f>
        <v>0</v>
      </c>
      <c r="CC40" s="101">
        <f>SUMIFS('9'!$E:$E,'9'!$A:$A,Año_Inicial+5,'9'!$B:$B,'12'!CB$4,'9'!$D:$D,"Corte")</f>
        <v>0</v>
      </c>
      <c r="CD40" s="101">
        <f>P_A6_L39*CUI_Corte*Inflación_6</f>
        <v>0</v>
      </c>
      <c r="CE40" s="101">
        <f>SUMIFS('9'!$E:$E,'9'!$A:$A,Año_Inicial+5,'9'!$B:$B,'12'!CD$4,'9'!$D:$D,"Corte")</f>
        <v>0</v>
      </c>
      <c r="CF40" s="101">
        <f>P_A6_L40*CUI_Corte*Inflación_6</f>
        <v>0</v>
      </c>
      <c r="CG40" s="101">
        <f>SUMIFS('9'!$E:$E,'9'!$A:$A,Año_Inicial+5,'9'!$B:$B,'12'!CF$4,'9'!$D:$D,"Corte")</f>
        <v>0</v>
      </c>
      <c r="CH40" s="473"/>
      <c r="CI40" s="101">
        <f>CI7*CUI_Corte*Inflación_6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SUMIFS('9'!$E:$E,'9'!$A:$A,Año_Inicial+5,'9'!$D:$D,"Beneficiado")</f>
        <v>0</v>
      </c>
      <c r="D41" s="100" t="e">
        <f t="shared" si="45"/>
        <v>#DIV/0!</v>
      </c>
      <c r="E41" s="473"/>
      <c r="F41" s="101">
        <f>(P_A6_L1/5)*CUI_Poscosecha*Inflación_6</f>
        <v>0</v>
      </c>
      <c r="G41" s="101">
        <f>SUMIFS('9'!$E:$E,'9'!$A:$A,Año_Inicial+5,'9'!$B:$B,'12'!F$4,'9'!$D:$D,"Beneficiado")</f>
        <v>0</v>
      </c>
      <c r="H41" s="101">
        <f>(P_A6_L2/5)*CUI_Poscosecha*Inflación_6</f>
        <v>0</v>
      </c>
      <c r="I41" s="101">
        <f>SUMIFS('9'!$E:$E,'9'!$A:$A,Año_Inicial+5,'9'!$B:$B,'12'!H$4,'9'!$D:$D,"Beneficiado")</f>
        <v>0</v>
      </c>
      <c r="J41" s="101">
        <f>(P_A6_L3/5)*CUI_Poscosecha*Inflación_6</f>
        <v>0</v>
      </c>
      <c r="K41" s="101">
        <f>SUMIFS('9'!$E:$E,'9'!$A:$A,Año_Inicial+5,'9'!$B:$B,'12'!J$4,'9'!$D:$D,"Beneficiado")</f>
        <v>0</v>
      </c>
      <c r="L41" s="101">
        <f>(P_A6_L4/5)*CUI_Poscosecha*Inflación_6</f>
        <v>0</v>
      </c>
      <c r="M41" s="101">
        <f>SUMIFS('9'!$E:$E,'9'!$A:$A,Año_Inicial+5,'9'!$B:$B,'12'!L$4,'9'!$D:$D,"Beneficiado")</f>
        <v>0</v>
      </c>
      <c r="N41" s="101">
        <f>(P_A6_L5/5)*CUI_Poscosecha*Inflación_6</f>
        <v>0</v>
      </c>
      <c r="O41" s="101">
        <f>SUMIFS('9'!$E:$E,'9'!$A:$A,Año_Inicial+5,'9'!$B:$B,'12'!N$4,'9'!$D:$D,"Beneficiado")</f>
        <v>0</v>
      </c>
      <c r="P41" s="101">
        <f>(P_A6_L6/5)*CUI_Poscosecha*Inflación_6</f>
        <v>0</v>
      </c>
      <c r="Q41" s="101">
        <f>SUMIFS('9'!$E:$E,'9'!$A:$A,Año_Inicial+5,'9'!$B:$B,'12'!P$4,'9'!$D:$D,"Beneficiado")</f>
        <v>0</v>
      </c>
      <c r="R41" s="101">
        <f>(P_A6_L7/5)*CUI_Poscosecha*Inflación_6</f>
        <v>0</v>
      </c>
      <c r="S41" s="101">
        <f>SUMIFS('9'!$E:$E,'9'!$A:$A,Año_Inicial+5,'9'!$B:$B,'12'!R$4,'9'!$D:$D,"Beneficiado")</f>
        <v>0</v>
      </c>
      <c r="T41" s="101">
        <f>(P_A6_L8/5)*CUI_Poscosecha*Inflación_6</f>
        <v>0</v>
      </c>
      <c r="U41" s="101">
        <f>SUMIFS('9'!$E:$E,'9'!$A:$A,Año_Inicial+5,'9'!$B:$B,'12'!T$4,'9'!$D:$D,"Beneficiado")</f>
        <v>0</v>
      </c>
      <c r="V41" s="101">
        <f>(P_A6_L9/5)*CUI_Poscosecha*Inflación_6</f>
        <v>0</v>
      </c>
      <c r="W41" s="101">
        <f>SUMIFS('9'!$E:$E,'9'!$A:$A,Año_Inicial+5,'9'!$B:$B,'12'!V$4,'9'!$D:$D,"Beneficiado")</f>
        <v>0</v>
      </c>
      <c r="X41" s="101">
        <f>(P_A6_L10/5)*CUI_Poscosecha*Inflación_6</f>
        <v>0</v>
      </c>
      <c r="Y41" s="101">
        <f>SUMIFS('9'!$E:$E,'9'!$A:$A,Año_Inicial+5,'9'!$B:$B,'12'!X$4,'9'!$D:$D,"Beneficiado")</f>
        <v>0</v>
      </c>
      <c r="Z41" s="101">
        <f>(P_A6_L11/5)*CUI_Poscosecha*Inflación_6</f>
        <v>0</v>
      </c>
      <c r="AA41" s="101">
        <f>SUMIFS('9'!$E:$E,'9'!$A:$A,Año_Inicial+5,'9'!$B:$B,'12'!Z$4,'9'!$D:$D,"Beneficiado")</f>
        <v>0</v>
      </c>
      <c r="AB41" s="101">
        <f>(P_A6_L12/5)*CUI_Poscosecha*Inflación_6</f>
        <v>0</v>
      </c>
      <c r="AC41" s="101">
        <f>SUMIFS('9'!$E:$E,'9'!$A:$A,Año_Inicial+5,'9'!$B:$B,'12'!AB$4,'9'!$D:$D,"Beneficiado")</f>
        <v>0</v>
      </c>
      <c r="AD41" s="101">
        <f>(P_A6_L13/5)*CUI_Poscosecha*Inflación_6</f>
        <v>0</v>
      </c>
      <c r="AE41" s="101">
        <f>SUMIFS('9'!$E:$E,'9'!$A:$A,Año_Inicial+5,'9'!$B:$B,'12'!AD$4,'9'!$D:$D,"Beneficiado")</f>
        <v>0</v>
      </c>
      <c r="AF41" s="101">
        <f>(P_A6_L14/5)*CUI_Poscosecha*Inflación_6</f>
        <v>0</v>
      </c>
      <c r="AG41" s="101">
        <f>SUMIFS('9'!$E:$E,'9'!$A:$A,Año_Inicial+5,'9'!$B:$B,'12'!AF$4,'9'!$D:$D,"Beneficiado")</f>
        <v>0</v>
      </c>
      <c r="AH41" s="101">
        <f>(P_A6_L15/5)*CUI_Poscosecha*Inflación_6</f>
        <v>0</v>
      </c>
      <c r="AI41" s="101">
        <f>SUMIFS('9'!$E:$E,'9'!$A:$A,Año_Inicial+5,'9'!$B:$B,'12'!AH$4,'9'!$D:$D,"Beneficiado")</f>
        <v>0</v>
      </c>
      <c r="AJ41" s="101">
        <f>(P_A6_L16/5)*CUI_Poscosecha*Inflación_6</f>
        <v>0</v>
      </c>
      <c r="AK41" s="101">
        <f>SUMIFS('9'!$E:$E,'9'!$A:$A,Año_Inicial+5,'9'!$B:$B,'12'!AJ$4,'9'!$D:$D,"Beneficiado")</f>
        <v>0</v>
      </c>
      <c r="AL41" s="101">
        <f>(P_A6_L17/5)*CUI_Poscosecha*Inflación_6</f>
        <v>0</v>
      </c>
      <c r="AM41" s="101">
        <f>SUMIFS('9'!$E:$E,'9'!$A:$A,Año_Inicial+5,'9'!$B:$B,'12'!AL$4,'9'!$D:$D,"Beneficiado")</f>
        <v>0</v>
      </c>
      <c r="AN41" s="101">
        <f>(P_A6_L18/5)*CUI_Poscosecha*Inflación_6</f>
        <v>0</v>
      </c>
      <c r="AO41" s="101">
        <f>SUMIFS('9'!$E:$E,'9'!$A:$A,Año_Inicial+5,'9'!$B:$B,'12'!AN$4,'9'!$D:$D,"Beneficiado")</f>
        <v>0</v>
      </c>
      <c r="AP41" s="101">
        <f>(P_A6_L19/5)*CUI_Poscosecha*Inflación_6</f>
        <v>0</v>
      </c>
      <c r="AQ41" s="101">
        <f>SUMIFS('9'!$E:$E,'9'!$A:$A,Año_Inicial+5,'9'!$B:$B,'12'!AP$4,'9'!$D:$D,"Beneficiado")</f>
        <v>0</v>
      </c>
      <c r="AR41" s="101">
        <f>(P_A6_L20/5)*CUI_Poscosecha*Inflación_6</f>
        <v>0</v>
      </c>
      <c r="AS41" s="101">
        <f>SUMIFS('9'!$E:$E,'9'!$A:$A,Año_Inicial+5,'9'!$B:$B,'12'!AR$4,'9'!$D:$D,"Beneficiado")</f>
        <v>0</v>
      </c>
      <c r="AT41" s="101">
        <f>(P_A6_L21/5)*CUI_Poscosecha*Inflación_6</f>
        <v>0</v>
      </c>
      <c r="AU41" s="101">
        <f>SUMIFS('9'!$E:$E,'9'!$A:$A,Año_Inicial+5,'9'!$B:$B,'12'!AT$4,'9'!$D:$D,"Beneficiado")</f>
        <v>0</v>
      </c>
      <c r="AV41" s="101">
        <f>(P_A6_L22/5)*CUI_Poscosecha*Inflación_6</f>
        <v>0</v>
      </c>
      <c r="AW41" s="101">
        <f>SUMIFS('9'!$E:$E,'9'!$A:$A,Año_Inicial+5,'9'!$B:$B,'12'!AV$4,'9'!$D:$D,"Beneficiado")</f>
        <v>0</v>
      </c>
      <c r="AX41" s="101">
        <f>(P_A6_L23/5)*CUI_Poscosecha*Inflación_6</f>
        <v>0</v>
      </c>
      <c r="AY41" s="101">
        <f>SUMIFS('9'!$E:$E,'9'!$A:$A,Año_Inicial+5,'9'!$B:$B,'12'!AX$4,'9'!$D:$D,"Beneficiado")</f>
        <v>0</v>
      </c>
      <c r="AZ41" s="101">
        <f>(P_A6_L24/5)*CUI_Poscosecha*Inflación_6</f>
        <v>0</v>
      </c>
      <c r="BA41" s="101">
        <f>SUMIFS('9'!$E:$E,'9'!$A:$A,Año_Inicial+5,'9'!$B:$B,'12'!AZ$4,'9'!$D:$D,"Beneficiado")</f>
        <v>0</v>
      </c>
      <c r="BB41" s="101">
        <f>(P_A6_L25/5)*CUI_Poscosecha*Inflación_6</f>
        <v>0</v>
      </c>
      <c r="BC41" s="101">
        <f>SUMIFS('9'!$E:$E,'9'!$A:$A,Año_Inicial+5,'9'!$B:$B,'12'!BB$4,'9'!$D:$D,"Beneficiado")</f>
        <v>0</v>
      </c>
      <c r="BD41" s="101">
        <f>(P_A6_L26/5)*CUI_Poscosecha*Inflación_6</f>
        <v>0</v>
      </c>
      <c r="BE41" s="101">
        <f>SUMIFS('9'!$E:$E,'9'!$A:$A,Año_Inicial+5,'9'!$B:$B,'12'!BD$4,'9'!$D:$D,"Beneficiado")</f>
        <v>0</v>
      </c>
      <c r="BF41" s="101">
        <f>(P_A6_L27/5)*CUI_Poscosecha*Inflación_6</f>
        <v>0</v>
      </c>
      <c r="BG41" s="101">
        <f>SUMIFS('9'!$E:$E,'9'!$A:$A,Año_Inicial+5,'9'!$B:$B,'12'!BF$4,'9'!$D:$D,"Beneficiado")</f>
        <v>0</v>
      </c>
      <c r="BH41" s="101">
        <f>(P_A6_L28/5)*CUI_Poscosecha*Inflación_6</f>
        <v>0</v>
      </c>
      <c r="BI41" s="101">
        <f>SUMIFS('9'!$E:$E,'9'!$A:$A,Año_Inicial+5,'9'!$B:$B,'12'!BH$4,'9'!$D:$D,"Beneficiado")</f>
        <v>0</v>
      </c>
      <c r="BJ41" s="101">
        <f>(P_A6_L29/5)*CUI_Poscosecha*Inflación_6</f>
        <v>0</v>
      </c>
      <c r="BK41" s="101">
        <f>SUMIFS('9'!$E:$E,'9'!$A:$A,Año_Inicial+5,'9'!$B:$B,'12'!BJ$4,'9'!$D:$D,"Beneficiado")</f>
        <v>0</v>
      </c>
      <c r="BL41" s="101">
        <f>(P_A6_L30/5)*CUI_Poscosecha*Inflación_6</f>
        <v>0</v>
      </c>
      <c r="BM41" s="101">
        <f>SUMIFS('9'!$E:$E,'9'!$A:$A,Año_Inicial+5,'9'!$B:$B,'12'!BL$4,'9'!$D:$D,"Beneficiado")</f>
        <v>0</v>
      </c>
      <c r="BN41" s="101">
        <f>(P_A6_L31/5)*CUI_Poscosecha*Inflación_6</f>
        <v>0</v>
      </c>
      <c r="BO41" s="101">
        <f>SUMIFS('9'!$E:$E,'9'!$A:$A,Año_Inicial+5,'9'!$B:$B,'12'!BN$4,'9'!$D:$D,"Beneficiado")</f>
        <v>0</v>
      </c>
      <c r="BP41" s="101">
        <f>(P_A6_L32/5)*CUI_Poscosecha*Inflación_6</f>
        <v>0</v>
      </c>
      <c r="BQ41" s="101">
        <f>SUMIFS('9'!$E:$E,'9'!$A:$A,Año_Inicial+5,'9'!$B:$B,'12'!BP$4,'9'!$D:$D,"Beneficiado")</f>
        <v>0</v>
      </c>
      <c r="BR41" s="101">
        <f>(P_A6_L33/5)*CUI_Poscosecha*Inflación_6</f>
        <v>0</v>
      </c>
      <c r="BS41" s="101">
        <f>SUMIFS('9'!$E:$E,'9'!$A:$A,Año_Inicial+5,'9'!$B:$B,'12'!BR$4,'9'!$D:$D,"Beneficiado")</f>
        <v>0</v>
      </c>
      <c r="BT41" s="101">
        <f>(P_A6_L34/5)*CUI_Poscosecha*Inflación_6</f>
        <v>0</v>
      </c>
      <c r="BU41" s="101">
        <f>SUMIFS('9'!$E:$E,'9'!$A:$A,Año_Inicial+5,'9'!$B:$B,'12'!BT$4,'9'!$D:$D,"Beneficiado")</f>
        <v>0</v>
      </c>
      <c r="BV41" s="101">
        <f>(P_A6_L35/5)*CUI_Poscosecha*Inflación_6</f>
        <v>0</v>
      </c>
      <c r="BW41" s="101">
        <f>SUMIFS('9'!$E:$E,'9'!$A:$A,Año_Inicial+5,'9'!$B:$B,'12'!BV$4,'9'!$D:$D,"Beneficiado")</f>
        <v>0</v>
      </c>
      <c r="BX41" s="101">
        <f>(P_A6_L36/5)*CUI_Poscosecha*Inflación_6</f>
        <v>0</v>
      </c>
      <c r="BY41" s="101">
        <f>SUMIFS('9'!$E:$E,'9'!$A:$A,Año_Inicial+5,'9'!$B:$B,'12'!BX$4,'9'!$D:$D,"Beneficiado")</f>
        <v>0</v>
      </c>
      <c r="BZ41" s="101">
        <f>(P_A6_L37/5)*CUI_Poscosecha*Inflación_6</f>
        <v>0</v>
      </c>
      <c r="CA41" s="101">
        <f>SUMIFS('9'!$E:$E,'9'!$A:$A,Año_Inicial+5,'9'!$B:$B,'12'!BZ$4,'9'!$D:$D,"Beneficiado")</f>
        <v>0</v>
      </c>
      <c r="CB41" s="101">
        <f>(P_A6_L38/5)*CUI_Poscosecha*Inflación_6</f>
        <v>0</v>
      </c>
      <c r="CC41" s="101">
        <f>SUMIFS('9'!$E:$E,'9'!$A:$A,Año_Inicial+5,'9'!$B:$B,'12'!CB$4,'9'!$D:$D,"Beneficiado")</f>
        <v>0</v>
      </c>
      <c r="CD41" s="101">
        <f>(P_A6_L39/5)*CUI_Poscosecha*Inflación_6</f>
        <v>0</v>
      </c>
      <c r="CE41" s="101">
        <f>SUMIFS('9'!$E:$E,'9'!$A:$A,Año_Inicial+5,'9'!$B:$B,'12'!CD$4,'9'!$D:$D,"Beneficiado")</f>
        <v>0</v>
      </c>
      <c r="CF41" s="101">
        <f>(P_A6_L40/5)*CUI_Poscosecha*Inflación_6</f>
        <v>0</v>
      </c>
      <c r="CG41" s="101">
        <f>SUMIFS('9'!$E:$E,'9'!$A:$A,Año_Inicial+5,'9'!$B:$B,'12'!CF$4,'9'!$D:$D,"Beneficiado")</f>
        <v>0</v>
      </c>
      <c r="CH41" s="473"/>
      <c r="CI41" s="101" t="e">
        <f>(CI7/Pergo)*CUI_Poscosecha*Inflación_6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SUMIFS('9'!$E:$E,'9'!$A:$A,Año_Inicial+5,'9'!$C:$C,"Renovación")</f>
        <v>0</v>
      </c>
      <c r="D43" s="100">
        <f t="shared" si="45"/>
        <v>0</v>
      </c>
      <c r="E43" s="473"/>
      <c r="F43" s="101">
        <f>A6_Z_L1*Planta_Z*Inflación_6</f>
        <v>0</v>
      </c>
      <c r="G43" s="101">
        <f>SUMIFS('9'!$E:$E,'9'!$A:$A,Año_Inicial+5,'9'!$B:$B,'12'!F$4,'9'!$C:$C,"Renovación")</f>
        <v>0</v>
      </c>
      <c r="H43" s="101">
        <f>A6_Z_L2*Planta_Z*Inflación_6</f>
        <v>0</v>
      </c>
      <c r="I43" s="101">
        <f>SUMIFS('9'!$E:$E,'9'!$A:$A,Año_Inicial+5,'9'!$B:$B,'12'!H$4,'9'!$C:$C,"Renovación")</f>
        <v>0</v>
      </c>
      <c r="J43" s="101">
        <f>A6_Z_L3*Planta_Z*Inflación_6</f>
        <v>0</v>
      </c>
      <c r="K43" s="101">
        <f>SUMIFS('9'!$E:$E,'9'!$A:$A,Año_Inicial+5,'9'!$B:$B,'12'!J$4,'9'!$C:$C,"Renovación")</f>
        <v>0</v>
      </c>
      <c r="L43" s="101">
        <f>A6_Z_L4*Planta_Z*Inflación_6</f>
        <v>0</v>
      </c>
      <c r="M43" s="101">
        <f>SUMIFS('9'!$E:$E,'9'!$A:$A,Año_Inicial+5,'9'!$B:$B,'12'!L$4,'9'!$C:$C,"Renovación")</f>
        <v>0</v>
      </c>
      <c r="N43" s="101">
        <f>A6_Z_L5*Planta_Z*Inflación_6</f>
        <v>0</v>
      </c>
      <c r="O43" s="101">
        <f>SUMIFS('9'!$E:$E,'9'!$A:$A,Año_Inicial+5,'9'!$B:$B,'12'!N$4,'9'!$C:$C,"Renovación")</f>
        <v>0</v>
      </c>
      <c r="P43" s="101">
        <f>A6_Z_L6*Planta_Z*Inflación_6</f>
        <v>0</v>
      </c>
      <c r="Q43" s="101">
        <f>SUMIFS('9'!$E:$E,'9'!$A:$A,Año_Inicial+5,'9'!$B:$B,'12'!P$4,'9'!$C:$C,"Renovación")</f>
        <v>0</v>
      </c>
      <c r="R43" s="101">
        <f>A6_Z_L7*Planta_Z*Inflación_6</f>
        <v>0</v>
      </c>
      <c r="S43" s="101">
        <f>SUMIFS('9'!$E:$E,'9'!$A:$A,Año_Inicial+5,'9'!$B:$B,'12'!R$4,'9'!$C:$C,"Renovación")</f>
        <v>0</v>
      </c>
      <c r="T43" s="101">
        <f>A6_Z_L8*Planta_Z*Inflación_6</f>
        <v>0</v>
      </c>
      <c r="U43" s="101">
        <f>SUMIFS('9'!$E:$E,'9'!$A:$A,Año_Inicial+5,'9'!$B:$B,'12'!T$4,'9'!$C:$C,"Renovación")</f>
        <v>0</v>
      </c>
      <c r="V43" s="101">
        <f>A6_Z_L9*Planta_Z*Inflación_6</f>
        <v>0</v>
      </c>
      <c r="W43" s="101">
        <f>SUMIFS('9'!$E:$E,'9'!$A:$A,Año_Inicial+5,'9'!$B:$B,'12'!V$4,'9'!$C:$C,"Renovación")</f>
        <v>0</v>
      </c>
      <c r="X43" s="101">
        <f>A6_Z_L10*Planta_Z*Inflación_6</f>
        <v>0</v>
      </c>
      <c r="Y43" s="101">
        <f>SUMIFS('9'!$E:$E,'9'!$A:$A,Año_Inicial+5,'9'!$B:$B,'12'!X$4,'9'!$C:$C,"Renovación")</f>
        <v>0</v>
      </c>
      <c r="Z43" s="101">
        <f>A6_Z_L11*Planta_Z*Inflación_6</f>
        <v>0</v>
      </c>
      <c r="AA43" s="101">
        <f>SUMIFS('9'!$E:$E,'9'!$A:$A,Año_Inicial+5,'9'!$B:$B,'12'!Z$4,'9'!$C:$C,"Renovación")</f>
        <v>0</v>
      </c>
      <c r="AB43" s="101">
        <f>A6_Z_L12*Planta_Z*Inflación_6</f>
        <v>0</v>
      </c>
      <c r="AC43" s="101">
        <f>SUMIFS('9'!$E:$E,'9'!$A:$A,Año_Inicial+5,'9'!$B:$B,'12'!AB$4,'9'!$C:$C,"Renovación")</f>
        <v>0</v>
      </c>
      <c r="AD43" s="101">
        <f>A6_Z_L13*Planta_Z*Inflación_6</f>
        <v>0</v>
      </c>
      <c r="AE43" s="101">
        <f>SUMIFS('9'!$E:$E,'9'!$A:$A,Año_Inicial+5,'9'!$B:$B,'12'!AD$4,'9'!$C:$C,"Renovación")</f>
        <v>0</v>
      </c>
      <c r="AF43" s="101">
        <f>A6_Z_L14*Planta_Z*Inflación_6</f>
        <v>0</v>
      </c>
      <c r="AG43" s="101">
        <f>SUMIFS('9'!$E:$E,'9'!$A:$A,Año_Inicial+5,'9'!$B:$B,'12'!AF$4,'9'!$C:$C,"Renovación")</f>
        <v>0</v>
      </c>
      <c r="AH43" s="101">
        <f>A6_Z_L15*Planta_Z*Inflación_6</f>
        <v>0</v>
      </c>
      <c r="AI43" s="101">
        <f>SUMIFS('9'!$E:$E,'9'!$A:$A,Año_Inicial+5,'9'!$B:$B,'12'!AH$4,'9'!$C:$C,"Renovación")</f>
        <v>0</v>
      </c>
      <c r="AJ43" s="101">
        <f>A6_Z_L16*Planta_Z*Inflación_6</f>
        <v>0</v>
      </c>
      <c r="AK43" s="101">
        <f>SUMIFS('9'!$E:$E,'9'!$A:$A,Año_Inicial+5,'9'!$B:$B,'12'!AJ$4,'9'!$C:$C,"Renovación")</f>
        <v>0</v>
      </c>
      <c r="AL43" s="101">
        <f>A6_Z_L17*Planta_Z*Inflación_6</f>
        <v>0</v>
      </c>
      <c r="AM43" s="101">
        <f>SUMIFS('9'!$E:$E,'9'!$A:$A,Año_Inicial+5,'9'!$B:$B,'12'!AL$4,'9'!$C:$C,"Renovación")</f>
        <v>0</v>
      </c>
      <c r="AN43" s="101">
        <f>A6_Z_L18*Planta_Z*Inflación_6</f>
        <v>0</v>
      </c>
      <c r="AO43" s="101">
        <f>SUMIFS('9'!$E:$E,'9'!$A:$A,Año_Inicial+5,'9'!$B:$B,'12'!AN$4,'9'!$C:$C,"Renovación")</f>
        <v>0</v>
      </c>
      <c r="AP43" s="101">
        <f>A6_Z_L19*Planta_Z*Inflación_6</f>
        <v>0</v>
      </c>
      <c r="AQ43" s="101">
        <f>SUMIFS('9'!$E:$E,'9'!$A:$A,Año_Inicial+5,'9'!$B:$B,'12'!AP$4,'9'!$C:$C,"Renovación")</f>
        <v>0</v>
      </c>
      <c r="AR43" s="101">
        <f>A6_Z_L20*Planta_Z*Inflación_6</f>
        <v>0</v>
      </c>
      <c r="AS43" s="101">
        <f>SUMIFS('9'!$E:$E,'9'!$A:$A,Año_Inicial+5,'9'!$B:$B,'12'!AR$4,'9'!$C:$C,"Renovación")</f>
        <v>0</v>
      </c>
      <c r="AT43" s="101">
        <f>A6_Z_L21*Planta_Z*Inflación_6</f>
        <v>0</v>
      </c>
      <c r="AU43" s="101">
        <f>SUMIFS('9'!$E:$E,'9'!$A:$A,Año_Inicial+5,'9'!$B:$B,'12'!AT$4,'9'!$C:$C,"Renovación")</f>
        <v>0</v>
      </c>
      <c r="AV43" s="101">
        <f>A6_Z_L22*Planta_Z*Inflación_6</f>
        <v>0</v>
      </c>
      <c r="AW43" s="101">
        <f>SUMIFS('9'!$E:$E,'9'!$A:$A,Año_Inicial+5,'9'!$B:$B,'12'!AV$4,'9'!$C:$C,"Renovación")</f>
        <v>0</v>
      </c>
      <c r="AX43" s="101">
        <f>A6_Z_L23*Planta_Z*Inflación_6</f>
        <v>0</v>
      </c>
      <c r="AY43" s="101">
        <f>SUMIFS('9'!$E:$E,'9'!$A:$A,Año_Inicial+5,'9'!$B:$B,'12'!AX$4,'9'!$C:$C,"Renovación")</f>
        <v>0</v>
      </c>
      <c r="AZ43" s="101">
        <f>A6_Z_L24*Planta_Z*Inflación_6</f>
        <v>0</v>
      </c>
      <c r="BA43" s="101">
        <f>SUMIFS('9'!$E:$E,'9'!$A:$A,Año_Inicial+5,'9'!$B:$B,'12'!AZ$4,'9'!$C:$C,"Renovación")</f>
        <v>0</v>
      </c>
      <c r="BB43" s="101">
        <f>A6_Z_L25*Planta_Z*Inflación_6</f>
        <v>0</v>
      </c>
      <c r="BC43" s="101">
        <f>SUMIFS('9'!$E:$E,'9'!$A:$A,Año_Inicial+5,'9'!$B:$B,'12'!BB$4,'9'!$C:$C,"Renovación")</f>
        <v>0</v>
      </c>
      <c r="BD43" s="101">
        <f>A6_Z_L26*Planta_Z*Inflación_6</f>
        <v>0</v>
      </c>
      <c r="BE43" s="101">
        <f>SUMIFS('9'!$E:$E,'9'!$A:$A,Año_Inicial+5,'9'!$B:$B,'12'!BD$4,'9'!$C:$C,"Renovación")</f>
        <v>0</v>
      </c>
      <c r="BF43" s="101">
        <f>A6_Z_L27*Planta_Z*Inflación_6</f>
        <v>0</v>
      </c>
      <c r="BG43" s="101">
        <f>SUMIFS('9'!$E:$E,'9'!$A:$A,Año_Inicial+5,'9'!$B:$B,'12'!BF$4,'9'!$C:$C,"Renovación")</f>
        <v>0</v>
      </c>
      <c r="BH43" s="101">
        <f>A6_Z_L28*Planta_Z*Inflación_6</f>
        <v>0</v>
      </c>
      <c r="BI43" s="101">
        <f>SUMIFS('9'!$E:$E,'9'!$A:$A,Año_Inicial+5,'9'!$B:$B,'12'!BH$4,'9'!$C:$C,"Renovación")</f>
        <v>0</v>
      </c>
      <c r="BJ43" s="101">
        <f>A6_Z_L29*Planta_Z*Inflación_6</f>
        <v>0</v>
      </c>
      <c r="BK43" s="101">
        <f>SUMIFS('9'!$E:$E,'9'!$A:$A,Año_Inicial+5,'9'!$B:$B,'12'!BJ$4,'9'!$C:$C,"Renovación")</f>
        <v>0</v>
      </c>
      <c r="BL43" s="101">
        <f>A6_Z_L30*Planta_Z*Inflación_6</f>
        <v>0</v>
      </c>
      <c r="BM43" s="101">
        <f>SUMIFS('9'!$E:$E,'9'!$A:$A,Año_Inicial+5,'9'!$B:$B,'12'!BL$4,'9'!$C:$C,"Renovación")</f>
        <v>0</v>
      </c>
      <c r="BN43" s="101">
        <f>A6_Z_L31*Planta_Z*Inflación_6</f>
        <v>0</v>
      </c>
      <c r="BO43" s="101">
        <f>SUMIFS('9'!$E:$E,'9'!$A:$A,Año_Inicial+5,'9'!$B:$B,'12'!BN$4,'9'!$C:$C,"Renovación")</f>
        <v>0</v>
      </c>
      <c r="BP43" s="101">
        <f>A6_Z_L32*Planta_Z*Inflación_6</f>
        <v>0</v>
      </c>
      <c r="BQ43" s="101">
        <f>SUMIFS('9'!$E:$E,'9'!$A:$A,Año_Inicial+5,'9'!$B:$B,'12'!BP$4,'9'!$C:$C,"Renovación")</f>
        <v>0</v>
      </c>
      <c r="BR43" s="101">
        <f>A6_Z_L33*Planta_Z*Inflación_6</f>
        <v>0</v>
      </c>
      <c r="BS43" s="101">
        <f>SUMIFS('9'!$E:$E,'9'!$A:$A,Año_Inicial+5,'9'!$B:$B,'12'!BR$4,'9'!$C:$C,"Renovación")</f>
        <v>0</v>
      </c>
      <c r="BT43" s="101">
        <f>A6_Z_L34*Planta_Z*Inflación_6</f>
        <v>0</v>
      </c>
      <c r="BU43" s="101">
        <f>SUMIFS('9'!$E:$E,'9'!$A:$A,Año_Inicial+5,'9'!$B:$B,'12'!BT$4,'9'!$C:$C,"Renovación")</f>
        <v>0</v>
      </c>
      <c r="BV43" s="101">
        <f>A6_Z_L35*Planta_Z*Inflación_6</f>
        <v>0</v>
      </c>
      <c r="BW43" s="101">
        <f>SUMIFS('9'!$E:$E,'9'!$A:$A,Año_Inicial+5,'9'!$B:$B,'12'!BV$4,'9'!$C:$C,"Renovación")</f>
        <v>0</v>
      </c>
      <c r="BX43" s="101">
        <f>A6_Z_L36*Planta_Z*Inflación_6</f>
        <v>0</v>
      </c>
      <c r="BY43" s="101">
        <f>SUMIFS('9'!$E:$E,'9'!$A:$A,Año_Inicial+5,'9'!$B:$B,'12'!BX$4,'9'!$C:$C,"Renovación")</f>
        <v>0</v>
      </c>
      <c r="BZ43" s="101">
        <f>A6_Z_L37*Planta_Z*Inflación_6</f>
        <v>0</v>
      </c>
      <c r="CA43" s="101">
        <f>SUMIFS('9'!$E:$E,'9'!$A:$A,Año_Inicial+5,'9'!$B:$B,'12'!BZ$4,'9'!$C:$C,"Renovación")</f>
        <v>0</v>
      </c>
      <c r="CB43" s="101">
        <f>A6_Z_L38*Planta_Z*Inflación_6</f>
        <v>0</v>
      </c>
      <c r="CC43" s="101">
        <f>SUMIFS('9'!$E:$E,'9'!$A:$A,Año_Inicial+5,'9'!$B:$B,'12'!CB$4,'9'!$C:$C,"Renovación")</f>
        <v>0</v>
      </c>
      <c r="CD43" s="101">
        <f>A6_Z_L39*Planta_Z*Inflación_6</f>
        <v>0</v>
      </c>
      <c r="CE43" s="101">
        <f>SUMIFS('9'!$E:$E,'9'!$A:$A,Año_Inicial+5,'9'!$B:$B,'12'!CD$4,'9'!$C:$C,"Renovación")</f>
        <v>0</v>
      </c>
      <c r="CF43" s="101">
        <f>A6_Z_L40*Planta_Z*Inflación_6</f>
        <v>0</v>
      </c>
      <c r="CG43" s="101">
        <f>SUMIFS('9'!$E:$E,'9'!$A:$A,Año_Inicial+5,'9'!$B:$B,'12'!CF$4,'9'!$C:$C,"Renovación")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(Plantas_Z_A6*Planta_Z)*Inflación_6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Admin_2*Inflación_6</f>
        <v>0</v>
      </c>
      <c r="C44" s="101">
        <f>SUMIFS('9'!$E:$E,'9'!$A:$A,Año_Inicial+5,'9'!$C:$C,"Gastos_administrativos")</f>
        <v>0</v>
      </c>
      <c r="D44" s="100">
        <f t="shared" si="45"/>
        <v>0</v>
      </c>
      <c r="E44" s="473"/>
      <c r="F44" s="101">
        <f>($B44/$B47)*F47*Inflación_6</f>
        <v>0</v>
      </c>
      <c r="G44" s="101">
        <f>($C44/$B47)*F47</f>
        <v>0</v>
      </c>
      <c r="H44" s="101">
        <f>($B44/$B47)*H47*Inflación_6</f>
        <v>0</v>
      </c>
      <c r="I44" s="101">
        <f>($C44/$B47)*H47</f>
        <v>0</v>
      </c>
      <c r="J44" s="101">
        <f>($B44/$B47)*J47*Inflación_6</f>
        <v>0</v>
      </c>
      <c r="K44" s="101">
        <f>($C44/$B47)*J47</f>
        <v>0</v>
      </c>
      <c r="L44" s="101">
        <f>($B44/$B47)*L47*Inflación_6</f>
        <v>0</v>
      </c>
      <c r="M44" s="101">
        <f>($C44/$B47)*L47</f>
        <v>0</v>
      </c>
      <c r="N44" s="101">
        <f>($B44/$B47)*N47*Inflación_6</f>
        <v>0</v>
      </c>
      <c r="O44" s="101">
        <f>($C44/$B47)*N47</f>
        <v>0</v>
      </c>
      <c r="P44" s="101">
        <f>($B44/$B47)*P47*Inflación_6</f>
        <v>0</v>
      </c>
      <c r="Q44" s="101">
        <f>($C44/$B47)*P47</f>
        <v>0</v>
      </c>
      <c r="R44" s="101">
        <f>($B44/$B47)*R47*Inflación_6</f>
        <v>0</v>
      </c>
      <c r="S44" s="101">
        <f>($C44/$B47)*R47</f>
        <v>0</v>
      </c>
      <c r="T44" s="101">
        <f>($B44/$B47)*T47*Inflación_6</f>
        <v>0</v>
      </c>
      <c r="U44" s="101">
        <f>($C44/$B47)*T47</f>
        <v>0</v>
      </c>
      <c r="V44" s="101">
        <f>($B44/$B47)*V47*Inflación_6</f>
        <v>0</v>
      </c>
      <c r="W44" s="101">
        <f>($C44/$B47)*V47</f>
        <v>0</v>
      </c>
      <c r="X44" s="101">
        <f>($B44/$B47)*X47*Inflación_6</f>
        <v>0</v>
      </c>
      <c r="Y44" s="101">
        <f>($C44/$B47)*X47</f>
        <v>0</v>
      </c>
      <c r="Z44" s="101">
        <f>($B44/$B47)*Z47*Inflación_6</f>
        <v>0</v>
      </c>
      <c r="AA44" s="101">
        <f>($C44/$B47)*Z47</f>
        <v>0</v>
      </c>
      <c r="AB44" s="101">
        <f>($B44/$B47)*AB47*Inflación_6</f>
        <v>0</v>
      </c>
      <c r="AC44" s="101">
        <f>($C44/$B47)*AB47</f>
        <v>0</v>
      </c>
      <c r="AD44" s="101">
        <f>($B44/$B47)*AD47*Inflación_6</f>
        <v>0</v>
      </c>
      <c r="AE44" s="101">
        <f>($C44/$B47)*AD47</f>
        <v>0</v>
      </c>
      <c r="AF44" s="101">
        <f>($B44/$B47)*AF47*Inflación_6</f>
        <v>0</v>
      </c>
      <c r="AG44" s="101">
        <f>($C44/$B47)*AF47</f>
        <v>0</v>
      </c>
      <c r="AH44" s="101">
        <f>($B44/$B47)*AH47*Inflación_6</f>
        <v>0</v>
      </c>
      <c r="AI44" s="101">
        <f>($C44/$B47)*AH47</f>
        <v>0</v>
      </c>
      <c r="AJ44" s="101">
        <f>($B44/$B47)*AJ47*Inflación_6</f>
        <v>0</v>
      </c>
      <c r="AK44" s="101">
        <f>($C44/$B47)*AJ47</f>
        <v>0</v>
      </c>
      <c r="AL44" s="101">
        <f>($B44/$B47)*AL47*Inflación_6</f>
        <v>0</v>
      </c>
      <c r="AM44" s="101">
        <f>($C44/$B47)*AL47</f>
        <v>0</v>
      </c>
      <c r="AN44" s="101">
        <f>($B44/$B47)*AN47*Inflación_6</f>
        <v>0</v>
      </c>
      <c r="AO44" s="101">
        <f>($C44/$B47)*AN47</f>
        <v>0</v>
      </c>
      <c r="AP44" s="101">
        <f>($B44/$B47)*AP47*Inflación_6</f>
        <v>0</v>
      </c>
      <c r="AQ44" s="101">
        <f>($C44/$B47)*AP47</f>
        <v>0</v>
      </c>
      <c r="AR44" s="101">
        <f>($B44/$B47)*AR47*Inflación_6</f>
        <v>0</v>
      </c>
      <c r="AS44" s="101">
        <f>($C44/$B47)*AR47</f>
        <v>0</v>
      </c>
      <c r="AT44" s="101">
        <f>($B44/$B47)*AT47*Inflación_6</f>
        <v>0</v>
      </c>
      <c r="AU44" s="101">
        <f>($C44/$B47)*AT47</f>
        <v>0</v>
      </c>
      <c r="AV44" s="101">
        <f>($B44/$B47)*AV47*Inflación_6</f>
        <v>0</v>
      </c>
      <c r="AW44" s="101">
        <f>($C44/$B47)*AV47</f>
        <v>0</v>
      </c>
      <c r="AX44" s="101">
        <f>($B44/$B47)*AX47*Inflación_6</f>
        <v>0</v>
      </c>
      <c r="AY44" s="101">
        <f>($C44/$B47)*AX47</f>
        <v>0</v>
      </c>
      <c r="AZ44" s="101">
        <f>($B44/$B47)*AZ47*Inflación_6</f>
        <v>0</v>
      </c>
      <c r="BA44" s="101">
        <f>($C44/$B47)*AZ47</f>
        <v>0</v>
      </c>
      <c r="BB44" s="101">
        <f>($B44/$B47)*BB47*Inflación_6</f>
        <v>0</v>
      </c>
      <c r="BC44" s="101">
        <f>($C44/$B47)*BB47</f>
        <v>0</v>
      </c>
      <c r="BD44" s="101">
        <f>($B44/$B47)*BD47*Inflación_6</f>
        <v>0</v>
      </c>
      <c r="BE44" s="101">
        <f>($C44/$B47)*BD47</f>
        <v>0</v>
      </c>
      <c r="BF44" s="101">
        <f>($B44/$B47)*BF47*Inflación_6</f>
        <v>0</v>
      </c>
      <c r="BG44" s="101">
        <f>($C44/$B47)*BF47</f>
        <v>0</v>
      </c>
      <c r="BH44" s="101">
        <f>($B44/$B47)*BH47*Inflación_6</f>
        <v>0</v>
      </c>
      <c r="BI44" s="101">
        <f>($C44/$B47)*BH47</f>
        <v>0</v>
      </c>
      <c r="BJ44" s="101">
        <f>($B44/$B47)*BJ47*Inflación_6</f>
        <v>0</v>
      </c>
      <c r="BK44" s="101">
        <f>($C44/$B47)*BJ47</f>
        <v>0</v>
      </c>
      <c r="BL44" s="101">
        <f>($B44/$B47)*BL47*Inflación_6</f>
        <v>0</v>
      </c>
      <c r="BM44" s="101">
        <f>($C44/$B47)*BL47</f>
        <v>0</v>
      </c>
      <c r="BN44" s="101">
        <f>($B44/$B47)*BN47*Inflación_6</f>
        <v>0</v>
      </c>
      <c r="BO44" s="101">
        <f>($C44/$B47)*BN47</f>
        <v>0</v>
      </c>
      <c r="BP44" s="101">
        <f>($B44/$B47)*BP47*Inflación_6</f>
        <v>0</v>
      </c>
      <c r="BQ44" s="101">
        <f>($C44/$B47)*BP47</f>
        <v>0</v>
      </c>
      <c r="BR44" s="101">
        <f>($B44/$B47)*BR47*Inflación_6</f>
        <v>0</v>
      </c>
      <c r="BS44" s="101">
        <f>($C44/$B47)*BR47</f>
        <v>0</v>
      </c>
      <c r="BT44" s="101">
        <f>($B44/$B47)*BT47*Inflación_6</f>
        <v>0</v>
      </c>
      <c r="BU44" s="101">
        <f>($C44/$B47)*BT47</f>
        <v>0</v>
      </c>
      <c r="BV44" s="101">
        <f>($B44/$B47)*BV47*Inflación_6</f>
        <v>0</v>
      </c>
      <c r="BW44" s="101">
        <f>($C44/$B47)*BV47</f>
        <v>0</v>
      </c>
      <c r="BX44" s="101">
        <f>($B44/$B47)*BX47*Inflación_6</f>
        <v>0</v>
      </c>
      <c r="BY44" s="101">
        <f>($C44/$B47)*BX47</f>
        <v>0</v>
      </c>
      <c r="BZ44" s="101">
        <f>($B44/$B47)*BZ47*Inflación_6</f>
        <v>0</v>
      </c>
      <c r="CA44" s="101">
        <f>($C44/$B47)*BZ47</f>
        <v>0</v>
      </c>
      <c r="CB44" s="101">
        <f>($B44/$B47)*CB47*Inflación_6</f>
        <v>0</v>
      </c>
      <c r="CC44" s="101">
        <f>($C44/$B47)*CB47</f>
        <v>0</v>
      </c>
      <c r="CD44" s="101">
        <f>($B44/$B47)*CD47*Inflación_6</f>
        <v>0</v>
      </c>
      <c r="CE44" s="101">
        <f>($C44/$B47)*CD47</f>
        <v>0</v>
      </c>
      <c r="CF44" s="101">
        <f>($B44/$B47)*CF47*Inflación_6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A6_A_L1+A6_B_L1+A6_C_L1+A6_D_L1+A6_Y_L1+A6_Z_L1+A6_X_L1</f>
        <v>7000</v>
      </c>
      <c r="G47" s="479"/>
      <c r="H47" s="478">
        <f>A6_A_L2+A6_B_L2+A6_C_L2+A6_D_L2+A6_Y_L2+A6_Z_L2+A6_X_L2</f>
        <v>0</v>
      </c>
      <c r="I47" s="479"/>
      <c r="J47" s="478">
        <f>A6_A_L3+A6_B_L3+A6_C_L3+A6_D_L3+A6_Y_L3+A6_Z_L3+A6_X_L3</f>
        <v>0</v>
      </c>
      <c r="K47" s="479"/>
      <c r="L47" s="478">
        <f>A6_A_L4+A6_B_L4+A6_C_L4+A6_D_L4+A6_Y_L4+A6_Z_L4+A6_X_L4</f>
        <v>0</v>
      </c>
      <c r="M47" s="479"/>
      <c r="N47" s="478">
        <f>A6_A_L5+A6_B_L5+A6_C_L5+A6_D_L5+A6_Y_L5+A6_Z_L5+A6_X_L5</f>
        <v>0</v>
      </c>
      <c r="O47" s="479"/>
      <c r="P47" s="478">
        <f>A6_A_L6+A6_B_L6+A6_C_L6+A6_D_L6+A6_Y_L6+A6_Z_L6+A6_X_L6</f>
        <v>0</v>
      </c>
      <c r="Q47" s="479"/>
      <c r="R47" s="478">
        <f>A6_A_L7+A6_B_L7+A6_C_L7+A6_D_L7+A6_Y_L7+A6_Z_L7+A6_X_L7</f>
        <v>0</v>
      </c>
      <c r="S47" s="479"/>
      <c r="T47" s="478">
        <f>A6_A_L8+A6_B_L8+A6_C_L8+A6_D_L8+A6_Y_L8+A6_Z_L8+A6_X_L8</f>
        <v>0</v>
      </c>
      <c r="U47" s="479"/>
      <c r="V47" s="478">
        <f>A6_A_L9+A6_B_L9+A6_C_L9+A6_D_L9+A6_Y_L9+A6_Z_L9+A6_X_L9</f>
        <v>0</v>
      </c>
      <c r="W47" s="479"/>
      <c r="X47" s="478">
        <f>A6_A_L10+A6_B_L10+A6_C_L10+A6_D_L10+A6_Y_L10+A6_Z_L10+A6_X_L10</f>
        <v>0</v>
      </c>
      <c r="Y47" s="479"/>
      <c r="Z47" s="478">
        <f>A6_A_L11+A6_B_L11+A6_C_L11+A6_D_L11+A6_Y_L11+A6_Z_L11+A6_X_L11</f>
        <v>0</v>
      </c>
      <c r="AA47" s="479"/>
      <c r="AB47" s="478">
        <f>A6_A_L12+A6_B_L12+A6_C_L12+A6_D_L12+A6_Y_L12+A6_Z_L12+A6_X_L12</f>
        <v>0</v>
      </c>
      <c r="AC47" s="479"/>
      <c r="AD47" s="478">
        <f>A6_A_L13+A6_B_L13+A6_C_L13+A6_D_L13+A6_Y_L13+A6_Z_L13+A6_X_L13</f>
        <v>0</v>
      </c>
      <c r="AE47" s="479"/>
      <c r="AF47" s="478">
        <f>A6_A_L14+A6_B_L14+A6_C_L14+A6_D_L14+A6_Y_L14+A6_Z_L14+A6_X_L14</f>
        <v>0</v>
      </c>
      <c r="AG47" s="479"/>
      <c r="AH47" s="478">
        <f>A6_A_L15+A6_B_L15+A6_C_L15+A6_D_L15+A6_Y_L15+A6_Z_L15+A6_X_L15</f>
        <v>0</v>
      </c>
      <c r="AI47" s="479"/>
      <c r="AJ47" s="478">
        <f>A6_A_L16+A6_B_L16+A6_C_L16+A6_D_L16+A6_Y_L16+A6_Z_L16+A6_X_L16</f>
        <v>0</v>
      </c>
      <c r="AK47" s="479"/>
      <c r="AL47" s="478">
        <f>A6_A_L17+A6_B_L17+A6_C_L17+A6_D_L17+A6_Y_L17+A6_Z_L17+A6_X_L17</f>
        <v>0</v>
      </c>
      <c r="AM47" s="479"/>
      <c r="AN47" s="478">
        <f>A6_A_L18+A6_B_L18+A6_C_L18+A6_D_L18+A6_Y_L18+A6_Z_L18+A6_X_L18</f>
        <v>0</v>
      </c>
      <c r="AO47" s="479"/>
      <c r="AP47" s="478">
        <f>A6_A_L19+A6_B_L19+A6_C_L19+A6_D_L19+A6_Y_L19+A6_Z_L19+A6_X_L19</f>
        <v>0</v>
      </c>
      <c r="AQ47" s="479"/>
      <c r="AR47" s="478">
        <f>A6_A_L20+A6_B_L20+A6_C_L20+A6_D_L20+A6_Y_L20+A6_Z_L20+A6_X_L20</f>
        <v>0</v>
      </c>
      <c r="AS47" s="479"/>
      <c r="AT47" s="478">
        <f>A6_A_L21+A6_B_L21+A6_C_L21+A6_D_L21+A6_Y_L21+A6_Z_L21+A6_X_L21</f>
        <v>0</v>
      </c>
      <c r="AU47" s="479"/>
      <c r="AV47" s="478">
        <f>A6_A_L22+A6_B_L22+A6_C_L22+A6_D_L22+A6_Y_L22+A6_Z_L22+A6_X_L22</f>
        <v>0</v>
      </c>
      <c r="AW47" s="479"/>
      <c r="AX47" s="478">
        <f>A6_A_L23+A6_B_L23+A6_C_L23+A6_D_L23+A6_Y_L23+A6_Z_L23+A6_X_L23</f>
        <v>0</v>
      </c>
      <c r="AY47" s="479"/>
      <c r="AZ47" s="478">
        <f>A6_A_L24+A6_B_L24+A6_C_L24+A6_D_L24+A6_Y_L24+A6_Z_L24+A6_X_L24</f>
        <v>0</v>
      </c>
      <c r="BA47" s="479"/>
      <c r="BB47" s="478">
        <f>A6_A_L25+A6_B_L25+A6_C_L25+A6_D_L25+A6_Y_L25+A6_Z_L25+A6_X_L25</f>
        <v>0</v>
      </c>
      <c r="BC47" s="479"/>
      <c r="BD47" s="478">
        <f>A6_A_L26+A6_B_L26+A6_C_L26+A6_D_L26+A6_Y_L26+A6_Z_L26+A6_X_L26</f>
        <v>0</v>
      </c>
      <c r="BE47" s="479"/>
      <c r="BF47" s="478">
        <f>A6_A_L27+A6_B_L27+A6_C_L27+A6_D_L27+A6_Y_L27+A6_Z_L27+A6_X_L27</f>
        <v>0</v>
      </c>
      <c r="BG47" s="479"/>
      <c r="BH47" s="478">
        <f>A6_A_L28+A6_B_L28+A6_C_L28+A6_D_L28+A6_Y_L28+A6_Z_L28+A6_X_L28</f>
        <v>0</v>
      </c>
      <c r="BI47" s="479"/>
      <c r="BJ47" s="478">
        <f>A6_A_L29+A6_B_L29+A6_C_L29+A6_D_L29+A6_Y_L29+A6_Z_L29+A6_X_L29</f>
        <v>0</v>
      </c>
      <c r="BK47" s="479"/>
      <c r="BL47" s="478">
        <f>A6_A_L30+A6_B_L30+A6_C_L30+A6_D_L30+A6_Y_L30+A6_Z_L30+A6_X_L30</f>
        <v>0</v>
      </c>
      <c r="BM47" s="479"/>
      <c r="BN47" s="478">
        <f>A6_A_L31+A6_B_L31+A6_C_L31+A6_D_L31+A6_Y_L31+A6_Z_L31+A6_X_L31</f>
        <v>0</v>
      </c>
      <c r="BO47" s="479"/>
      <c r="BP47" s="478">
        <f>A6_A_L32+A6_B_L32+A6_C_L32+A6_D_L32+A6_Y_L32+A6_Z_L32+A6_X_L32</f>
        <v>0</v>
      </c>
      <c r="BQ47" s="479"/>
      <c r="BR47" s="478">
        <f>A6_A_L33+A6_B_L33+A6_C_L33+A6_D_L33+A6_Y_L33+A6_Z_L33+A6_X_L33</f>
        <v>0</v>
      </c>
      <c r="BS47" s="479"/>
      <c r="BT47" s="478">
        <f>A6_A_L34+A6_B_L34+A6_C_L34+A6_D_L34+A6_Y_L34+A6_Z_L34+A6_X_L34</f>
        <v>0</v>
      </c>
      <c r="BU47" s="479"/>
      <c r="BV47" s="478">
        <f>A6_A_L35+A6_B_L35+A6_C_L35+A6_D_L35+A6_Y_L35+A6_Z_L35+A6_X_L35</f>
        <v>0</v>
      </c>
      <c r="BW47" s="479"/>
      <c r="BX47" s="478">
        <f>A6_A_L36+A6_B_L36+A6_C_L36+A6_D_L36+A6_Y_L36+A6_Z_L36+A6_X_L36</f>
        <v>0</v>
      </c>
      <c r="BY47" s="479"/>
      <c r="BZ47" s="478">
        <f>A6_A_L37+A6_B_L37+A6_C_L37+A6_D_L37+A6_Y_L37+A6_Z_L37+A6_X_L37</f>
        <v>0</v>
      </c>
      <c r="CA47" s="479"/>
      <c r="CB47" s="478">
        <f>A6_A_L38+A6_B_L38+A6_C_L38+A6_D_L38+A6_Y_L38+A6_Z_L38+A6_X_L38</f>
        <v>0</v>
      </c>
      <c r="CC47" s="479"/>
      <c r="CD47" s="478">
        <f>A6_A_L39+A6_B_L39+A6_C_L39+A6_D_L39+A6_Y_L39+A6_Z_L39+A6_X_L39</f>
        <v>0</v>
      </c>
      <c r="CE47" s="479"/>
      <c r="CF47" s="478">
        <f>A6_A_L40+A6_B_L40+A6_C_L40+A6_D_L40+A6_Y_L40+A6_Z_L40+A6_X_L40</f>
        <v>0</v>
      </c>
      <c r="CG47" s="479"/>
      <c r="CH47" s="473"/>
      <c r="CI47" s="118">
        <f>Plantas_A_A6</f>
        <v>0</v>
      </c>
      <c r="CJ47" s="119">
        <f>Plantas_B_A6</f>
        <v>0</v>
      </c>
      <c r="CK47" s="119">
        <f>Plantas_C_A6</f>
        <v>0</v>
      </c>
      <c r="CL47" s="119">
        <f>Plantas_D_A6</f>
        <v>7000</v>
      </c>
      <c r="CM47" s="119">
        <f>Plantas_Z_A6</f>
        <v>0</v>
      </c>
      <c r="CN47" s="119">
        <f>Plantas_Y_A6</f>
        <v>0</v>
      </c>
      <c r="CO47" s="120">
        <f>Plantas_X_A6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A3gpU6M3X0ytnQGaRCqRv7GWXj05MJL36VuQVKbCPRt5RC+cuS2fkshZzXiZZBZxy3nkgJLCnQh23r4J85rfsg==" saltValue="7rSk2U8NXAvTCgUXvYCrDQ==" spinCount="100000" sheet="1" objects="1" scenarios="1" formatColumns="0"/>
  <mergeCells count="86"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CD4:CE4"/>
    <mergeCell ref="BH4:BI4"/>
    <mergeCell ref="BJ4:BK4"/>
    <mergeCell ref="BL4:BM4"/>
    <mergeCell ref="BN4:BO4"/>
    <mergeCell ref="BP4:BQ4"/>
    <mergeCell ref="BR4:BS4"/>
    <mergeCell ref="BT4:BU4"/>
    <mergeCell ref="BV4:BW4"/>
    <mergeCell ref="BX4:BY4"/>
    <mergeCell ref="BZ4:CA4"/>
    <mergeCell ref="CB4:CC4"/>
    <mergeCell ref="CF4:CG4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AF47:AG47"/>
    <mergeCell ref="AH47:AI47"/>
    <mergeCell ref="AJ47:AK47"/>
    <mergeCell ref="AL47:AM47"/>
    <mergeCell ref="AN47:AO47"/>
    <mergeCell ref="AP47:AQ47"/>
    <mergeCell ref="BH47:BI47"/>
    <mergeCell ref="BJ47:BK47"/>
    <mergeCell ref="T47:U47"/>
    <mergeCell ref="V47:W47"/>
    <mergeCell ref="X47:Y47"/>
    <mergeCell ref="Z47:AA47"/>
    <mergeCell ref="AB47:AC47"/>
    <mergeCell ref="AZ47:BA47"/>
    <mergeCell ref="BB47:BC47"/>
    <mergeCell ref="AD47:AE47"/>
    <mergeCell ref="BD47:BE47"/>
    <mergeCell ref="BF47:BG47"/>
    <mergeCell ref="A50:C50"/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L47:BM47"/>
    <mergeCell ref="BN47:BO47"/>
    <mergeCell ref="AR47:AS47"/>
    <mergeCell ref="AT47:AU47"/>
    <mergeCell ref="AV47:AW47"/>
    <mergeCell ref="AX47:AY47"/>
  </mergeCells>
  <hyperlinks>
    <hyperlink ref="CH1" location="Inicio!A15" display="Regresar" xr:uid="{B3D3BA0B-DA56-4D7B-A4E0-9102198052C8}"/>
    <hyperlink ref="A1" location="Inicio!C15" display="Regresar" xr:uid="{2B2DE9AC-6633-437E-926C-8A5FD418D830}"/>
    <hyperlink ref="A1:CO1" location="Inicio!C15" display="Regresar" xr:uid="{21B34F45-57EE-4B6C-B399-26122CFA37A2}"/>
  </hyperlinks>
  <pageMargins left="0.7" right="0.7" top="0.75" bottom="0.75" header="0.3" footer="0.3"/>
  <pageSetup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C47545-7C77-4F53-9009-D32D3267AABA}">
  <sheetPr codeName="Hoja19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4.5" customHeight="1" thickBot="1" x14ac:dyDescent="0.3">
      <c r="A1" s="320" t="s">
        <v>21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2"/>
    </row>
    <row r="2" spans="1:93" s="59" customFormat="1" ht="50.1" customHeight="1" thickBot="1" x14ac:dyDescent="0.3">
      <c r="A2" s="480" t="str">
        <f>CONCATENATE("Planificación financiera ",Up," | Presupuesto y ejecución ",Año_Inicial+6)</f>
        <v>Planificación financiera  | Presupuesto y ejecución 2029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P_A7_L1</f>
        <v>0</v>
      </c>
      <c r="G7" s="96" t="e">
        <f>G40/CUI_Corte</f>
        <v>#DIV/0!</v>
      </c>
      <c r="H7" s="97">
        <f>P_A7_L2</f>
        <v>0</v>
      </c>
      <c r="I7" s="96" t="e">
        <f>I40/CUI_Corte</f>
        <v>#DIV/0!</v>
      </c>
      <c r="J7" s="97">
        <f>P_A7_L3</f>
        <v>0</v>
      </c>
      <c r="K7" s="96" t="e">
        <f>K40/CUI_Corte</f>
        <v>#DIV/0!</v>
      </c>
      <c r="L7" s="97">
        <f>P_A7_L4</f>
        <v>0</v>
      </c>
      <c r="M7" s="96" t="e">
        <f>M40/CUI_Corte</f>
        <v>#DIV/0!</v>
      </c>
      <c r="N7" s="97">
        <f>P_A7_L5</f>
        <v>0</v>
      </c>
      <c r="O7" s="96" t="e">
        <f>O40/CUI_Corte</f>
        <v>#DIV/0!</v>
      </c>
      <c r="P7" s="97">
        <f>P_A7_L6</f>
        <v>0</v>
      </c>
      <c r="Q7" s="96" t="e">
        <f>Q40/CUI_Corte</f>
        <v>#DIV/0!</v>
      </c>
      <c r="R7" s="97">
        <f>P_A7_L7</f>
        <v>0</v>
      </c>
      <c r="S7" s="96" t="e">
        <f>S40/CUI_Corte</f>
        <v>#DIV/0!</v>
      </c>
      <c r="T7" s="97">
        <f>P_A7_L8</f>
        <v>0</v>
      </c>
      <c r="U7" s="96" t="e">
        <f>U40/CUI_Corte</f>
        <v>#DIV/0!</v>
      </c>
      <c r="V7" s="97">
        <f>P_A7_L9</f>
        <v>0</v>
      </c>
      <c r="W7" s="96" t="e">
        <f>W40/CUI_Corte</f>
        <v>#DIV/0!</v>
      </c>
      <c r="X7" s="97">
        <f>P_A7_L10</f>
        <v>0</v>
      </c>
      <c r="Y7" s="96" t="e">
        <f>Y40/CUI_Corte</f>
        <v>#DIV/0!</v>
      </c>
      <c r="Z7" s="97">
        <f>P_A7_L11</f>
        <v>0</v>
      </c>
      <c r="AA7" s="96" t="e">
        <f>AA40/CUI_Corte</f>
        <v>#DIV/0!</v>
      </c>
      <c r="AB7" s="97">
        <f>P_A7_L12</f>
        <v>0</v>
      </c>
      <c r="AC7" s="96" t="e">
        <f>AC40/CUI_Corte</f>
        <v>#DIV/0!</v>
      </c>
      <c r="AD7" s="97">
        <f>P_A7_L13</f>
        <v>0</v>
      </c>
      <c r="AE7" s="96" t="e">
        <f>AE40/CUI_Corte</f>
        <v>#DIV/0!</v>
      </c>
      <c r="AF7" s="97">
        <f>P_A7_L14</f>
        <v>0</v>
      </c>
      <c r="AG7" s="96" t="e">
        <f>AG40/CUI_Corte</f>
        <v>#DIV/0!</v>
      </c>
      <c r="AH7" s="97">
        <f>P_A7_L15</f>
        <v>0</v>
      </c>
      <c r="AI7" s="96" t="e">
        <f>AI40/CUI_Corte</f>
        <v>#DIV/0!</v>
      </c>
      <c r="AJ7" s="97">
        <f>P_A7_L16</f>
        <v>0</v>
      </c>
      <c r="AK7" s="96" t="e">
        <f>AK40/CUI_Corte</f>
        <v>#DIV/0!</v>
      </c>
      <c r="AL7" s="97">
        <f>P_A7_L17</f>
        <v>0</v>
      </c>
      <c r="AM7" s="96" t="e">
        <f>AM40/CUI_Corte</f>
        <v>#DIV/0!</v>
      </c>
      <c r="AN7" s="97">
        <f>P_A7_L18</f>
        <v>0</v>
      </c>
      <c r="AO7" s="96" t="e">
        <f>AO40/CUI_Corte</f>
        <v>#DIV/0!</v>
      </c>
      <c r="AP7" s="97">
        <f>P_A7_L19</f>
        <v>0</v>
      </c>
      <c r="AQ7" s="96" t="e">
        <f>AQ40/CUI_Corte</f>
        <v>#DIV/0!</v>
      </c>
      <c r="AR7" s="97">
        <f>P_A7_L20</f>
        <v>0</v>
      </c>
      <c r="AS7" s="96" t="e">
        <f>AS40/CUI_Corte</f>
        <v>#DIV/0!</v>
      </c>
      <c r="AT7" s="97">
        <f>P_A7_L21</f>
        <v>0</v>
      </c>
      <c r="AU7" s="96" t="e">
        <f>AU40/CUI_Corte</f>
        <v>#DIV/0!</v>
      </c>
      <c r="AV7" s="97">
        <f>P_A7_L22</f>
        <v>0</v>
      </c>
      <c r="AW7" s="96" t="e">
        <f>AW40/CUI_Corte</f>
        <v>#DIV/0!</v>
      </c>
      <c r="AX7" s="97">
        <f>P_A7_L23</f>
        <v>0</v>
      </c>
      <c r="AY7" s="96" t="e">
        <f>AY40/CUI_Corte</f>
        <v>#DIV/0!</v>
      </c>
      <c r="AZ7" s="97">
        <f>P_A7_L24</f>
        <v>0</v>
      </c>
      <c r="BA7" s="96" t="e">
        <f>BA40/CUI_Corte</f>
        <v>#DIV/0!</v>
      </c>
      <c r="BB7" s="97">
        <f>P_A7_L25</f>
        <v>0</v>
      </c>
      <c r="BC7" s="96" t="e">
        <f>BC40/CUI_Corte</f>
        <v>#DIV/0!</v>
      </c>
      <c r="BD7" s="97">
        <f>P_A7_L26</f>
        <v>0</v>
      </c>
      <c r="BE7" s="96" t="e">
        <f>BE40/CUI_Corte</f>
        <v>#DIV/0!</v>
      </c>
      <c r="BF7" s="97">
        <f>P_A7_L27</f>
        <v>0</v>
      </c>
      <c r="BG7" s="96" t="e">
        <f>BG40/CUI_Corte</f>
        <v>#DIV/0!</v>
      </c>
      <c r="BH7" s="97">
        <f>P_A7_L28</f>
        <v>0</v>
      </c>
      <c r="BI7" s="96" t="e">
        <f>BI40/CUI_Corte</f>
        <v>#DIV/0!</v>
      </c>
      <c r="BJ7" s="97">
        <f>P_A7_L29</f>
        <v>0</v>
      </c>
      <c r="BK7" s="96" t="e">
        <f>BK40/CUI_Corte</f>
        <v>#DIV/0!</v>
      </c>
      <c r="BL7" s="97">
        <f>P_A7_L30</f>
        <v>0</v>
      </c>
      <c r="BM7" s="96" t="e">
        <f>BM40/CUI_Corte</f>
        <v>#DIV/0!</v>
      </c>
      <c r="BN7" s="97">
        <f>P_A7_L31</f>
        <v>0</v>
      </c>
      <c r="BO7" s="96" t="e">
        <f>BO40/CUI_Corte</f>
        <v>#DIV/0!</v>
      </c>
      <c r="BP7" s="97">
        <f>P_A7_L32</f>
        <v>0</v>
      </c>
      <c r="BQ7" s="96" t="e">
        <f>BQ40/CUI_Corte</f>
        <v>#DIV/0!</v>
      </c>
      <c r="BR7" s="97">
        <f>P_A7_L33</f>
        <v>0</v>
      </c>
      <c r="BS7" s="96" t="e">
        <f>BS40/CUI_Corte</f>
        <v>#DIV/0!</v>
      </c>
      <c r="BT7" s="97">
        <f>P_A7_L34</f>
        <v>0</v>
      </c>
      <c r="BU7" s="96" t="e">
        <f>BU40/CUI_Corte</f>
        <v>#DIV/0!</v>
      </c>
      <c r="BV7" s="97">
        <f>P_A7_L35</f>
        <v>0</v>
      </c>
      <c r="BW7" s="96" t="e">
        <f>BW40/CUI_Corte</f>
        <v>#DIV/0!</v>
      </c>
      <c r="BX7" s="97">
        <f>P_A7_L36</f>
        <v>0</v>
      </c>
      <c r="BY7" s="96" t="e">
        <f>BY40/CUI_Corte</f>
        <v>#DIV/0!</v>
      </c>
      <c r="BZ7" s="97">
        <f>P_A7_L37</f>
        <v>0</v>
      </c>
      <c r="CA7" s="96" t="e">
        <f>CA40/CUI_Corte</f>
        <v>#DIV/0!</v>
      </c>
      <c r="CB7" s="97">
        <f>P_A7_L38</f>
        <v>0</v>
      </c>
      <c r="CC7" s="96" t="e">
        <f>CC40/CUI_Corte</f>
        <v>#DIV/0!</v>
      </c>
      <c r="CD7" s="97">
        <f>P_A7_L39</f>
        <v>0</v>
      </c>
      <c r="CE7" s="96" t="e">
        <f>CE40/CUI_Corte</f>
        <v>#DIV/0!</v>
      </c>
      <c r="CF7" s="97">
        <f>P_A7_L40</f>
        <v>0</v>
      </c>
      <c r="CG7" s="96" t="e">
        <f>CG40/CUI_Corte</f>
        <v>#DIV/0!</v>
      </c>
      <c r="CH7" s="473"/>
      <c r="CI7" s="96">
        <f>(IF(Diseño="Bloque",Bloque_A7_A,Surco_A7_A)/100)</f>
        <v>0</v>
      </c>
      <c r="CJ7" s="96">
        <f>(IF(Diseño="Bloque",Bloque_A7_B,Surco_A7_B)/100)</f>
        <v>0</v>
      </c>
      <c r="CK7" s="96">
        <f>(IF(Diseño="Bloque",Bloque_A7_C,Surco_A7_C)/100)</f>
        <v>0</v>
      </c>
      <c r="CL7" s="96">
        <f>(IF(Diseño="Bloque",Bloque_A7_D,Surco_A7_D)/100)</f>
        <v>0</v>
      </c>
      <c r="CM7" s="96"/>
      <c r="CN7" s="96">
        <f>(IF(Diseño="Bloque",Bloque_A7_Y,Surco_A7_Y)/100)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",Precio_A7,".00")</f>
        <v>Ventas de café de primera:  0% | Q. .00</v>
      </c>
      <c r="B8" s="100">
        <f>B7*P_Primera*Precio_A7*Inflación_7</f>
        <v>0</v>
      </c>
      <c r="C8" s="100" t="e">
        <f>C7*P_Primera*Precio_A7</f>
        <v>#DIV/0!</v>
      </c>
      <c r="D8" s="100" t="e">
        <f>C8-B8</f>
        <v>#DIV/0!</v>
      </c>
      <c r="E8" s="475"/>
      <c r="F8" s="101">
        <f>P_A7_L1*P_Primera*Precio_A7*Inflación_7</f>
        <v>0</v>
      </c>
      <c r="G8" s="100" t="e">
        <f>G7*P_Primera*Precio_A7</f>
        <v>#DIV/0!</v>
      </c>
      <c r="H8" s="101">
        <f>P_A7_L2*P_Primera*Precio_A7*Inflación_7</f>
        <v>0</v>
      </c>
      <c r="I8" s="100" t="e">
        <f>I7*P_Primera*Precio_A7</f>
        <v>#DIV/0!</v>
      </c>
      <c r="J8" s="101">
        <f>P_A7_L3*P_Primera*Precio_A7*Inflación_7</f>
        <v>0</v>
      </c>
      <c r="K8" s="100" t="e">
        <f>K7*P_Primera*Precio_A7</f>
        <v>#DIV/0!</v>
      </c>
      <c r="L8" s="101">
        <f>P_A7_L4*P_Primera*Precio_A7*Inflación_7</f>
        <v>0</v>
      </c>
      <c r="M8" s="100" t="e">
        <f>M7*P_Primera*Precio_A7</f>
        <v>#DIV/0!</v>
      </c>
      <c r="N8" s="101">
        <f>P_A7_L5*P_Primera*Precio_A7*Inflación_7</f>
        <v>0</v>
      </c>
      <c r="O8" s="100" t="e">
        <f>O7*P_Primera*Precio_A7</f>
        <v>#DIV/0!</v>
      </c>
      <c r="P8" s="101">
        <f>P_A7_L6*P_Primera*Precio_A7*Inflación_7</f>
        <v>0</v>
      </c>
      <c r="Q8" s="100" t="e">
        <f>Q7*P_Primera*Precio_A7</f>
        <v>#DIV/0!</v>
      </c>
      <c r="R8" s="101">
        <f>P_A7_L7*P_Primera*Precio_A7*Inflación_7</f>
        <v>0</v>
      </c>
      <c r="S8" s="100" t="e">
        <f>S7*P_Primera*Precio_A7</f>
        <v>#DIV/0!</v>
      </c>
      <c r="T8" s="101">
        <f>P_A7_L8*P_Primera*Precio_A7*Inflación_7</f>
        <v>0</v>
      </c>
      <c r="U8" s="100" t="e">
        <f>U7*P_Primera*Precio_A7</f>
        <v>#DIV/0!</v>
      </c>
      <c r="V8" s="101">
        <f>P_A7_L9*P_Primera*Precio_A7*Inflación_7</f>
        <v>0</v>
      </c>
      <c r="W8" s="100" t="e">
        <f>W7*P_Primera*Precio_A7</f>
        <v>#DIV/0!</v>
      </c>
      <c r="X8" s="101">
        <f>P_A7_L10*P_Primera*Precio_A7*Inflación_7</f>
        <v>0</v>
      </c>
      <c r="Y8" s="100" t="e">
        <f>Y7*P_Primera*Precio_A7</f>
        <v>#DIV/0!</v>
      </c>
      <c r="Z8" s="101">
        <f>P_A7_L11*P_Primera*Precio_A7*Inflación_7</f>
        <v>0</v>
      </c>
      <c r="AA8" s="100" t="e">
        <f>AA7*P_Primera*Precio_A7</f>
        <v>#DIV/0!</v>
      </c>
      <c r="AB8" s="101">
        <f>P_A7_L12*P_Primera*Precio_A7*Inflación_7</f>
        <v>0</v>
      </c>
      <c r="AC8" s="100" t="e">
        <f>AC7*P_Primera*Precio_A7</f>
        <v>#DIV/0!</v>
      </c>
      <c r="AD8" s="101">
        <f>P_A7_L13*P_Primera*Precio_A7*Inflación_7</f>
        <v>0</v>
      </c>
      <c r="AE8" s="100" t="e">
        <f>AE7*P_Primera*Precio_A7</f>
        <v>#DIV/0!</v>
      </c>
      <c r="AF8" s="101">
        <f>P_A7_L14*P_Primera*Precio_A7*Inflación_7</f>
        <v>0</v>
      </c>
      <c r="AG8" s="100" t="e">
        <f>AG7*P_Primera*Precio_A7</f>
        <v>#DIV/0!</v>
      </c>
      <c r="AH8" s="101">
        <f>P_A7_L15*P_Primera*Precio_A7*Inflación_7</f>
        <v>0</v>
      </c>
      <c r="AI8" s="100" t="e">
        <f>AI7*P_Primera*Precio_A7</f>
        <v>#DIV/0!</v>
      </c>
      <c r="AJ8" s="101">
        <f>P_A7_L16*P_Primera*Precio_A7*Inflación_7</f>
        <v>0</v>
      </c>
      <c r="AK8" s="100" t="e">
        <f>AK7*P_Primera*Precio_A7</f>
        <v>#DIV/0!</v>
      </c>
      <c r="AL8" s="101">
        <f>P_A7_L17*P_Primera*Precio_A7*Inflación_7</f>
        <v>0</v>
      </c>
      <c r="AM8" s="100" t="e">
        <f>AM7*P_Primera*Precio_A7</f>
        <v>#DIV/0!</v>
      </c>
      <c r="AN8" s="101">
        <f>P_A7_L18*P_Primera*Precio_A7*Inflación_7</f>
        <v>0</v>
      </c>
      <c r="AO8" s="100" t="e">
        <f>AO7*P_Primera*Precio_A7</f>
        <v>#DIV/0!</v>
      </c>
      <c r="AP8" s="101">
        <f>P_A7_L19*P_Primera*Precio_A7*Inflación_7</f>
        <v>0</v>
      </c>
      <c r="AQ8" s="100" t="e">
        <f>AQ7*P_Primera*Precio_A7</f>
        <v>#DIV/0!</v>
      </c>
      <c r="AR8" s="101">
        <f>P_A7_L20*P_Primera*Precio_A7*Inflación_7</f>
        <v>0</v>
      </c>
      <c r="AS8" s="100" t="e">
        <f>AS7*P_Primera*Precio_A7</f>
        <v>#DIV/0!</v>
      </c>
      <c r="AT8" s="101">
        <f>P_A7_L21*P_Primera*Precio_A7*Inflación_7</f>
        <v>0</v>
      </c>
      <c r="AU8" s="100" t="e">
        <f>AU7*P_Primera*Precio_A7</f>
        <v>#DIV/0!</v>
      </c>
      <c r="AV8" s="101">
        <f>P_A7_L22*P_Primera*Precio_A7*Inflación_7</f>
        <v>0</v>
      </c>
      <c r="AW8" s="100" t="e">
        <f>AW7*P_Primera*Precio_A7</f>
        <v>#DIV/0!</v>
      </c>
      <c r="AX8" s="101">
        <f>P_A7_L23*P_Primera*Precio_A7*Inflación_7</f>
        <v>0</v>
      </c>
      <c r="AY8" s="100" t="e">
        <f>AY7*P_Primera*Precio_A7</f>
        <v>#DIV/0!</v>
      </c>
      <c r="AZ8" s="101">
        <f>P_A7_L24*P_Primera*Precio_A7*Inflación_7</f>
        <v>0</v>
      </c>
      <c r="BA8" s="100" t="e">
        <f>BA7*P_Primera*Precio_A7</f>
        <v>#DIV/0!</v>
      </c>
      <c r="BB8" s="101">
        <f>P_A7_L25*P_Primera*Precio_A7*Inflación_7</f>
        <v>0</v>
      </c>
      <c r="BC8" s="100" t="e">
        <f>BC7*P_Primera*Precio_A7</f>
        <v>#DIV/0!</v>
      </c>
      <c r="BD8" s="101">
        <f>P_A7_L26*P_Primera*Precio_A7*Inflación_7</f>
        <v>0</v>
      </c>
      <c r="BE8" s="100" t="e">
        <f>BE7*P_Primera*Precio_A7</f>
        <v>#DIV/0!</v>
      </c>
      <c r="BF8" s="101">
        <f>P_A7_L27*P_Primera*Precio_A7*Inflación_7</f>
        <v>0</v>
      </c>
      <c r="BG8" s="100" t="e">
        <f>BG7*P_Primera*Precio_A7</f>
        <v>#DIV/0!</v>
      </c>
      <c r="BH8" s="101">
        <f>P_A7_L28*P_Primera*Precio_A7*Inflación_7</f>
        <v>0</v>
      </c>
      <c r="BI8" s="100" t="e">
        <f>BI7*P_Primera*Precio_A7</f>
        <v>#DIV/0!</v>
      </c>
      <c r="BJ8" s="101">
        <f>P_A7_L29*P_Primera*Precio_A7*Inflación_7</f>
        <v>0</v>
      </c>
      <c r="BK8" s="100" t="e">
        <f>BK7*P_Primera*Precio_A7</f>
        <v>#DIV/0!</v>
      </c>
      <c r="BL8" s="101">
        <f>P_A7_L30*P_Primera*Precio_A7*Inflación_7</f>
        <v>0</v>
      </c>
      <c r="BM8" s="100" t="e">
        <f>BM7*P_Primera*Precio_A7</f>
        <v>#DIV/0!</v>
      </c>
      <c r="BN8" s="101">
        <f>P_A7_L31*P_Primera*Precio_A7*Inflación_7</f>
        <v>0</v>
      </c>
      <c r="BO8" s="100" t="e">
        <f>BO7*P_Primera*Precio_A7</f>
        <v>#DIV/0!</v>
      </c>
      <c r="BP8" s="101">
        <f>P_A7_L32*P_Primera*Precio_A7*Inflación_7</f>
        <v>0</v>
      </c>
      <c r="BQ8" s="100" t="e">
        <f>BQ7*P_Primera*Precio_A7</f>
        <v>#DIV/0!</v>
      </c>
      <c r="BR8" s="101">
        <f>P_A7_L33*P_Primera*Precio_A7*Inflación_7</f>
        <v>0</v>
      </c>
      <c r="BS8" s="100" t="e">
        <f>BS7*P_Primera*Precio_A7</f>
        <v>#DIV/0!</v>
      </c>
      <c r="BT8" s="101">
        <f>P_A7_L34*P_Primera*Precio_A7*Inflación_7</f>
        <v>0</v>
      </c>
      <c r="BU8" s="100" t="e">
        <f>BU7*P_Primera*Precio_A7</f>
        <v>#DIV/0!</v>
      </c>
      <c r="BV8" s="101">
        <f>P_A7_L35*P_Primera*Precio_A7*Inflación_7</f>
        <v>0</v>
      </c>
      <c r="BW8" s="100" t="e">
        <f>BW7*P_Primera*Precio_A7</f>
        <v>#DIV/0!</v>
      </c>
      <c r="BX8" s="101">
        <f>P_A7_L36*P_Primera*Precio_A7*Inflación_7</f>
        <v>0</v>
      </c>
      <c r="BY8" s="100" t="e">
        <f>BY7*P_Primera*Precio_A7</f>
        <v>#DIV/0!</v>
      </c>
      <c r="BZ8" s="101">
        <f>P_A7_L37*P_Primera*Precio_A7*Inflación_7</f>
        <v>0</v>
      </c>
      <c r="CA8" s="100" t="e">
        <f>CA7*P_Primera*Precio_A7</f>
        <v>#DIV/0!</v>
      </c>
      <c r="CB8" s="101">
        <f>P_A7_L38*P_Primera*Precio_A7*Inflación_7</f>
        <v>0</v>
      </c>
      <c r="CC8" s="100" t="e">
        <f>CC7*P_Primera*Precio_A7</f>
        <v>#DIV/0!</v>
      </c>
      <c r="CD8" s="101">
        <f>P_A7_L39*P_Primera*Precio_A7*Inflación_7</f>
        <v>0</v>
      </c>
      <c r="CE8" s="100" t="e">
        <f>CE7*P_Primera*Precio_A7</f>
        <v>#DIV/0!</v>
      </c>
      <c r="CF8" s="101">
        <f>P_A7_L40*P_Primera*Precio_A7*Inflación_7</f>
        <v>0</v>
      </c>
      <c r="CG8" s="100" t="e">
        <f>CG7*P_Primera*Precio_A7</f>
        <v>#DIV/0!</v>
      </c>
      <c r="CH8" s="473"/>
      <c r="CI8" s="101">
        <f>CI7*P_Primera*Precio_A7*Inflación_7</f>
        <v>0</v>
      </c>
      <c r="CJ8" s="101">
        <f>CJ7*P_Primera*Precio_A7*Inflación_7</f>
        <v>0</v>
      </c>
      <c r="CK8" s="101">
        <f>CK7*P_Primera*Precio_A7*Inflación_7</f>
        <v>0</v>
      </c>
      <c r="CL8" s="101">
        <f>CL7*P_Primera*Precio_A7*Inflación_7</f>
        <v>0</v>
      </c>
      <c r="CM8" s="101"/>
      <c r="CN8" s="101">
        <f>CN7*P_Primera*Precio_A7*Inflación_7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B7*P_Segunda*Segunda*Inflación_7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P_A7_L1*P_Segunda*Segunda*Inflación_7</f>
        <v>0</v>
      </c>
      <c r="G9" s="100" t="e">
        <f t="shared" ref="G9" si="2">G7*P_Segunda*Segunda</f>
        <v>#DIV/0!</v>
      </c>
      <c r="H9" s="101">
        <f>P_A7_L2*P_Segunda*Segunda*Inflación_7</f>
        <v>0</v>
      </c>
      <c r="I9" s="100" t="e">
        <f>I7*P_Segunda*Segunda</f>
        <v>#DIV/0!</v>
      </c>
      <c r="J9" s="101">
        <f>P_A7_L3*P_Segunda*Segunda*Inflación_7</f>
        <v>0</v>
      </c>
      <c r="K9" s="100" t="e">
        <f t="shared" ref="K9" si="3">K7*P_Segunda*Segunda</f>
        <v>#DIV/0!</v>
      </c>
      <c r="L9" s="101">
        <f>P_A7_L4*P_Segunda*Segunda*Inflación_7</f>
        <v>0</v>
      </c>
      <c r="M9" s="100" t="e">
        <f>M7*P_Segunda*Segunda</f>
        <v>#DIV/0!</v>
      </c>
      <c r="N9" s="101">
        <f>P_A7_L5*P_Segunda*Segunda*Inflación_7</f>
        <v>0</v>
      </c>
      <c r="O9" s="100" t="e">
        <f t="shared" ref="O9:Q9" si="4">O7*P_Segunda*Segunda</f>
        <v>#DIV/0!</v>
      </c>
      <c r="P9" s="101">
        <f>P_A7_L6*P_Segunda*Segunda*Inflación_7</f>
        <v>0</v>
      </c>
      <c r="Q9" s="100" t="e">
        <f t="shared" si="4"/>
        <v>#DIV/0!</v>
      </c>
      <c r="R9" s="101">
        <f>P_A7_L7*P_Segunda*Segunda*Inflación_7</f>
        <v>0</v>
      </c>
      <c r="S9" s="100" t="e">
        <f t="shared" ref="S9:U9" si="5">S7*P_Segunda*Segunda</f>
        <v>#DIV/0!</v>
      </c>
      <c r="T9" s="101">
        <f>P_A7_L8*P_Segunda*Segunda*Inflación_7</f>
        <v>0</v>
      </c>
      <c r="U9" s="100" t="e">
        <f t="shared" si="5"/>
        <v>#DIV/0!</v>
      </c>
      <c r="V9" s="101">
        <f>P_A7_L9*P_Segunda*Segunda*Inflación_7</f>
        <v>0</v>
      </c>
      <c r="W9" s="100" t="e">
        <f t="shared" ref="W9:Y9" si="6">W7*P_Segunda*Segunda</f>
        <v>#DIV/0!</v>
      </c>
      <c r="X9" s="101">
        <f>P_A7_L10*P_Segunda*Segunda*Inflación_7</f>
        <v>0</v>
      </c>
      <c r="Y9" s="100" t="e">
        <f t="shared" si="6"/>
        <v>#DIV/0!</v>
      </c>
      <c r="Z9" s="101">
        <f>P_A7_L11*P_Segunda*Segunda*Inflación_7</f>
        <v>0</v>
      </c>
      <c r="AA9" s="100" t="e">
        <f t="shared" ref="AA9:AC9" si="7">AA7*P_Segunda*Segunda</f>
        <v>#DIV/0!</v>
      </c>
      <c r="AB9" s="101">
        <f>P_A7_L12*P_Segunda*Segunda*Inflación_7</f>
        <v>0</v>
      </c>
      <c r="AC9" s="100" t="e">
        <f t="shared" si="7"/>
        <v>#DIV/0!</v>
      </c>
      <c r="AD9" s="101">
        <f>P_A7_L13*P_Segunda*Segunda*Inflación_7</f>
        <v>0</v>
      </c>
      <c r="AE9" s="100" t="e">
        <f t="shared" ref="AE9:AG9" si="8">AE7*P_Segunda*Segunda</f>
        <v>#DIV/0!</v>
      </c>
      <c r="AF9" s="101">
        <f>P_A7_L14*P_Segunda*Segunda*Inflación_7</f>
        <v>0</v>
      </c>
      <c r="AG9" s="100" t="e">
        <f t="shared" si="8"/>
        <v>#DIV/0!</v>
      </c>
      <c r="AH9" s="101">
        <f>P_A7_L15*P_Segunda*Segunda*Inflación_7</f>
        <v>0</v>
      </c>
      <c r="AI9" s="100" t="e">
        <f t="shared" ref="AI9:AK9" si="9">AI7*P_Segunda*Segunda</f>
        <v>#DIV/0!</v>
      </c>
      <c r="AJ9" s="101">
        <f>P_A7_L16*P_Segunda*Segunda*Inflación_7</f>
        <v>0</v>
      </c>
      <c r="AK9" s="100" t="e">
        <f t="shared" si="9"/>
        <v>#DIV/0!</v>
      </c>
      <c r="AL9" s="101">
        <f>P_A7_L17*P_Segunda*Segunda*Inflación_7</f>
        <v>0</v>
      </c>
      <c r="AM9" s="100" t="e">
        <f t="shared" ref="AM9:AO9" si="10">AM7*P_Segunda*Segunda</f>
        <v>#DIV/0!</v>
      </c>
      <c r="AN9" s="101">
        <f>P_A7_L18*P_Segunda*Segunda*Inflación_7</f>
        <v>0</v>
      </c>
      <c r="AO9" s="100" t="e">
        <f t="shared" si="10"/>
        <v>#DIV/0!</v>
      </c>
      <c r="AP9" s="101">
        <f>P_A7_L19*P_Segunda*Segunda*Inflación_7</f>
        <v>0</v>
      </c>
      <c r="AQ9" s="100" t="e">
        <f t="shared" ref="AQ9:AS9" si="11">AQ7*P_Segunda*Segunda</f>
        <v>#DIV/0!</v>
      </c>
      <c r="AR9" s="101">
        <f>P_A7_L20*P_Segunda*Segunda*Inflación_7</f>
        <v>0</v>
      </c>
      <c r="AS9" s="100" t="e">
        <f t="shared" si="11"/>
        <v>#DIV/0!</v>
      </c>
      <c r="AT9" s="101">
        <f>P_A7_L21*P_Segunda*Segunda*Inflación_7</f>
        <v>0</v>
      </c>
      <c r="AU9" s="100" t="e">
        <f t="shared" ref="AU9:AW9" si="12">AU7*P_Segunda*Segunda</f>
        <v>#DIV/0!</v>
      </c>
      <c r="AV9" s="101">
        <f>P_A7_L22*P_Segunda*Segunda*Inflación_7</f>
        <v>0</v>
      </c>
      <c r="AW9" s="100" t="e">
        <f t="shared" si="12"/>
        <v>#DIV/0!</v>
      </c>
      <c r="AX9" s="101">
        <f>P_A7_L23*P_Segunda*Segunda*Inflación_7</f>
        <v>0</v>
      </c>
      <c r="AY9" s="100" t="e">
        <f t="shared" ref="AY9:BA9" si="13">AY7*P_Segunda*Segunda</f>
        <v>#DIV/0!</v>
      </c>
      <c r="AZ9" s="101">
        <f>P_A7_L24*P_Segunda*Segunda*Inflación_7</f>
        <v>0</v>
      </c>
      <c r="BA9" s="100" t="e">
        <f t="shared" si="13"/>
        <v>#DIV/0!</v>
      </c>
      <c r="BB9" s="101">
        <f>P_A7_L25*P_Segunda*Segunda*Inflación_7</f>
        <v>0</v>
      </c>
      <c r="BC9" s="100" t="e">
        <f t="shared" ref="BC9:BE9" si="14">BC7*P_Segunda*Segunda</f>
        <v>#DIV/0!</v>
      </c>
      <c r="BD9" s="101">
        <f>P_A7_L26*P_Segunda*Segunda*Inflación_7</f>
        <v>0</v>
      </c>
      <c r="BE9" s="100" t="e">
        <f t="shared" si="14"/>
        <v>#DIV/0!</v>
      </c>
      <c r="BF9" s="101">
        <f>P_A7_L27*P_Segunda*Segunda*Inflación_7</f>
        <v>0</v>
      </c>
      <c r="BG9" s="100" t="e">
        <f t="shared" ref="BG9:BI9" si="15">BG7*P_Segunda*Segunda</f>
        <v>#DIV/0!</v>
      </c>
      <c r="BH9" s="101">
        <f>P_A7_L28*P_Segunda*Segunda*Inflación_7</f>
        <v>0</v>
      </c>
      <c r="BI9" s="100" t="e">
        <f t="shared" si="15"/>
        <v>#DIV/0!</v>
      </c>
      <c r="BJ9" s="101">
        <f>P_A7_L29*P_Segunda*Segunda*Inflación_7</f>
        <v>0</v>
      </c>
      <c r="BK9" s="100" t="e">
        <f t="shared" ref="BK9:BM9" si="16">BK7*P_Segunda*Segunda</f>
        <v>#DIV/0!</v>
      </c>
      <c r="BL9" s="101">
        <f>P_A7_L30*P_Segunda*Segunda*Inflación_7</f>
        <v>0</v>
      </c>
      <c r="BM9" s="100" t="e">
        <f t="shared" si="16"/>
        <v>#DIV/0!</v>
      </c>
      <c r="BN9" s="101">
        <f>P_A7_L31*P_Segunda*Segunda*Inflación_7</f>
        <v>0</v>
      </c>
      <c r="BO9" s="100" t="e">
        <f t="shared" ref="BO9:BQ9" si="17">BO7*P_Segunda*Segunda</f>
        <v>#DIV/0!</v>
      </c>
      <c r="BP9" s="101">
        <f>P_A7_L32*P_Segunda*Segunda*Inflación_7</f>
        <v>0</v>
      </c>
      <c r="BQ9" s="100" t="e">
        <f t="shared" si="17"/>
        <v>#DIV/0!</v>
      </c>
      <c r="BR9" s="101">
        <f>P_A7_L33*P_Segunda*Segunda*Inflación_7</f>
        <v>0</v>
      </c>
      <c r="BS9" s="100" t="e">
        <f t="shared" ref="BS9:BU9" si="18">BS7*P_Segunda*Segunda</f>
        <v>#DIV/0!</v>
      </c>
      <c r="BT9" s="101">
        <f>P_A7_L34*P_Segunda*Segunda*Inflación_7</f>
        <v>0</v>
      </c>
      <c r="BU9" s="100" t="e">
        <f t="shared" si="18"/>
        <v>#DIV/0!</v>
      </c>
      <c r="BV9" s="101">
        <f>P_A7_L35*P_Segunda*Segunda*Inflación_7</f>
        <v>0</v>
      </c>
      <c r="BW9" s="100" t="e">
        <f t="shared" ref="BW9:BY9" si="19">BW7*P_Segunda*Segunda</f>
        <v>#DIV/0!</v>
      </c>
      <c r="BX9" s="101">
        <f>P_A7_L36*P_Segunda*Segunda*Inflación_7</f>
        <v>0</v>
      </c>
      <c r="BY9" s="100" t="e">
        <f t="shared" si="19"/>
        <v>#DIV/0!</v>
      </c>
      <c r="BZ9" s="101">
        <f>P_A7_L37*P_Segunda*Segunda*Inflación_7</f>
        <v>0</v>
      </c>
      <c r="CA9" s="100" t="e">
        <f t="shared" ref="CA9:CC9" si="20">CA7*P_Segunda*Segunda</f>
        <v>#DIV/0!</v>
      </c>
      <c r="CB9" s="101">
        <f>P_A7_L38*P_Segunda*Segunda*Inflación_7</f>
        <v>0</v>
      </c>
      <c r="CC9" s="100" t="e">
        <f t="shared" si="20"/>
        <v>#DIV/0!</v>
      </c>
      <c r="CD9" s="101">
        <f>P_A7_L39*P_Segunda*Segunda*Inflación_7</f>
        <v>0</v>
      </c>
      <c r="CE9" s="100" t="e">
        <f t="shared" ref="CE9:CG9" si="21">CE7*P_Segunda*Segunda</f>
        <v>#DIV/0!</v>
      </c>
      <c r="CF9" s="101">
        <f>P_A7_L40*P_Segunda*Segunda*Inflación_7</f>
        <v>0</v>
      </c>
      <c r="CG9" s="100" t="e">
        <f t="shared" si="21"/>
        <v>#DIV/0!</v>
      </c>
      <c r="CH9" s="473"/>
      <c r="CI9" s="101">
        <f>CI7*P_Segunda*Segunda*Inflación_7</f>
        <v>0</v>
      </c>
      <c r="CJ9" s="101">
        <f>CJ7*P_Segunda*Segunda*Inflación_7</f>
        <v>0</v>
      </c>
      <c r="CK9" s="101">
        <f>CK7*P_Segunda*Segunda*Inflación_7</f>
        <v>0</v>
      </c>
      <c r="CL9" s="101">
        <f>CL7*P_Segunda*Segunda*Inflación_7</f>
        <v>0</v>
      </c>
      <c r="CM9" s="101"/>
      <c r="CN9" s="101">
        <f>CN7*P_Segunda*Segunda*Inflación_7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B7*P_Inferior*Inferior*Inflación_7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P_A7_L1*P_Inferior*Inferior*Inflación_7</f>
        <v>0</v>
      </c>
      <c r="G10" s="100" t="e">
        <f t="shared" ref="G10" si="23">G7*P_Inferior*Inferior</f>
        <v>#DIV/0!</v>
      </c>
      <c r="H10" s="101">
        <f>P_A7_L2*P_Inferior*Inferior*Inflación_7</f>
        <v>0</v>
      </c>
      <c r="I10" s="100" t="e">
        <f>I7*P_Inferior*Inferior</f>
        <v>#DIV/0!</v>
      </c>
      <c r="J10" s="101">
        <f>P_A7_L3*P_Inferior*Inferior*Inflación_7</f>
        <v>0</v>
      </c>
      <c r="K10" s="100" t="e">
        <f t="shared" ref="K10" si="24">K7*P_Inferior*Inferior</f>
        <v>#DIV/0!</v>
      </c>
      <c r="L10" s="101">
        <f>P_A7_L4*P_Inferior*Inferior*Inflación_7</f>
        <v>0</v>
      </c>
      <c r="M10" s="100" t="e">
        <f>M7*P_Inferior*Inferior</f>
        <v>#DIV/0!</v>
      </c>
      <c r="N10" s="101">
        <f>P_A7_L5*P_Inferior*Inferior*Inflación_7</f>
        <v>0</v>
      </c>
      <c r="O10" s="100" t="e">
        <f t="shared" ref="O10:Q10" si="25">O7*P_Inferior*Inferior</f>
        <v>#DIV/0!</v>
      </c>
      <c r="P10" s="101">
        <f>P_A7_L6*P_Inferior*Inferior*Inflación_7</f>
        <v>0</v>
      </c>
      <c r="Q10" s="100" t="e">
        <f t="shared" si="25"/>
        <v>#DIV/0!</v>
      </c>
      <c r="R10" s="101">
        <f>P_A7_L7*P_Inferior*Inferior*Inflación_7</f>
        <v>0</v>
      </c>
      <c r="S10" s="100" t="e">
        <f t="shared" ref="S10:U10" si="26">S7*P_Inferior*Inferior</f>
        <v>#DIV/0!</v>
      </c>
      <c r="T10" s="101">
        <f>P_A7_L8*P_Inferior*Inferior*Inflación_7</f>
        <v>0</v>
      </c>
      <c r="U10" s="100" t="e">
        <f t="shared" si="26"/>
        <v>#DIV/0!</v>
      </c>
      <c r="V10" s="101">
        <f>P_A7_L9*P_Inferior*Inferior*Inflación_7</f>
        <v>0</v>
      </c>
      <c r="W10" s="100" t="e">
        <f t="shared" ref="W10:Y10" si="27">W7*P_Inferior*Inferior</f>
        <v>#DIV/0!</v>
      </c>
      <c r="X10" s="101">
        <f>P_A7_L10*P_Inferior*Inferior*Inflación_7</f>
        <v>0</v>
      </c>
      <c r="Y10" s="100" t="e">
        <f t="shared" si="27"/>
        <v>#DIV/0!</v>
      </c>
      <c r="Z10" s="101">
        <f>P_A7_L11*P_Inferior*Inferior*Inflación_7</f>
        <v>0</v>
      </c>
      <c r="AA10" s="100" t="e">
        <f t="shared" ref="AA10:AC10" si="28">AA7*P_Inferior*Inferior</f>
        <v>#DIV/0!</v>
      </c>
      <c r="AB10" s="101">
        <f>P_A7_L12*P_Inferior*Inferior*Inflación_7</f>
        <v>0</v>
      </c>
      <c r="AC10" s="100" t="e">
        <f t="shared" si="28"/>
        <v>#DIV/0!</v>
      </c>
      <c r="AD10" s="101">
        <f>P_A7_L13*P_Inferior*Inferior*Inflación_7</f>
        <v>0</v>
      </c>
      <c r="AE10" s="100" t="e">
        <f t="shared" ref="AE10:AG10" si="29">AE7*P_Inferior*Inferior</f>
        <v>#DIV/0!</v>
      </c>
      <c r="AF10" s="101">
        <f>P_A7_L14*P_Inferior*Inferior*Inflación_7</f>
        <v>0</v>
      </c>
      <c r="AG10" s="100" t="e">
        <f t="shared" si="29"/>
        <v>#DIV/0!</v>
      </c>
      <c r="AH10" s="101">
        <f>P_A7_L15*P_Inferior*Inferior*Inflación_7</f>
        <v>0</v>
      </c>
      <c r="AI10" s="100" t="e">
        <f t="shared" ref="AI10:AK10" si="30">AI7*P_Inferior*Inferior</f>
        <v>#DIV/0!</v>
      </c>
      <c r="AJ10" s="101">
        <f>P_A7_L16*P_Inferior*Inferior*Inflación_7</f>
        <v>0</v>
      </c>
      <c r="AK10" s="100" t="e">
        <f t="shared" si="30"/>
        <v>#DIV/0!</v>
      </c>
      <c r="AL10" s="101">
        <f>P_A7_L17*P_Inferior*Inferior*Inflación_7</f>
        <v>0</v>
      </c>
      <c r="AM10" s="100" t="e">
        <f t="shared" ref="AM10:AO10" si="31">AM7*P_Inferior*Inferior</f>
        <v>#DIV/0!</v>
      </c>
      <c r="AN10" s="101">
        <f>P_A7_L18*P_Inferior*Inferior*Inflación_7</f>
        <v>0</v>
      </c>
      <c r="AO10" s="100" t="e">
        <f t="shared" si="31"/>
        <v>#DIV/0!</v>
      </c>
      <c r="AP10" s="101">
        <f>P_A7_L19*P_Inferior*Inferior*Inflación_7</f>
        <v>0</v>
      </c>
      <c r="AQ10" s="100" t="e">
        <f t="shared" ref="AQ10:AS10" si="32">AQ7*P_Inferior*Inferior</f>
        <v>#DIV/0!</v>
      </c>
      <c r="AR10" s="101">
        <f>P_A7_L20*P_Inferior*Inferior*Inflación_7</f>
        <v>0</v>
      </c>
      <c r="AS10" s="100" t="e">
        <f t="shared" si="32"/>
        <v>#DIV/0!</v>
      </c>
      <c r="AT10" s="101">
        <f>P_A7_L21*P_Inferior*Inferior*Inflación_7</f>
        <v>0</v>
      </c>
      <c r="AU10" s="100" t="e">
        <f t="shared" ref="AU10:AW10" si="33">AU7*P_Inferior*Inferior</f>
        <v>#DIV/0!</v>
      </c>
      <c r="AV10" s="101">
        <f>P_A7_L22*P_Inferior*Inferior*Inflación_7</f>
        <v>0</v>
      </c>
      <c r="AW10" s="100" t="e">
        <f t="shared" si="33"/>
        <v>#DIV/0!</v>
      </c>
      <c r="AX10" s="101">
        <f>P_A7_L23*P_Inferior*Inferior*Inflación_7</f>
        <v>0</v>
      </c>
      <c r="AY10" s="100" t="e">
        <f t="shared" ref="AY10:BA10" si="34">AY7*P_Inferior*Inferior</f>
        <v>#DIV/0!</v>
      </c>
      <c r="AZ10" s="101">
        <f>P_A7_L24*P_Inferior*Inferior*Inflación_7</f>
        <v>0</v>
      </c>
      <c r="BA10" s="100" t="e">
        <f t="shared" si="34"/>
        <v>#DIV/0!</v>
      </c>
      <c r="BB10" s="101">
        <f>P_A7_L25*P_Inferior*Inferior*Inflación_7</f>
        <v>0</v>
      </c>
      <c r="BC10" s="100" t="e">
        <f t="shared" ref="BC10:BE10" si="35">BC7*P_Inferior*Inferior</f>
        <v>#DIV/0!</v>
      </c>
      <c r="BD10" s="101">
        <f>P_A7_L26*P_Inferior*Inferior*Inflación_7</f>
        <v>0</v>
      </c>
      <c r="BE10" s="100" t="e">
        <f t="shared" si="35"/>
        <v>#DIV/0!</v>
      </c>
      <c r="BF10" s="101">
        <f>P_A7_L27*P_Inferior*Inferior*Inflación_7</f>
        <v>0</v>
      </c>
      <c r="BG10" s="100" t="e">
        <f t="shared" ref="BG10:BI10" si="36">BG7*P_Inferior*Inferior</f>
        <v>#DIV/0!</v>
      </c>
      <c r="BH10" s="101">
        <f>P_A7_L28*P_Inferior*Inferior*Inflación_7</f>
        <v>0</v>
      </c>
      <c r="BI10" s="100" t="e">
        <f t="shared" si="36"/>
        <v>#DIV/0!</v>
      </c>
      <c r="BJ10" s="101">
        <f>P_A7_L29*P_Inferior*Inferior*Inflación_7</f>
        <v>0</v>
      </c>
      <c r="BK10" s="100" t="e">
        <f t="shared" ref="BK10:BM10" si="37">BK7*P_Inferior*Inferior</f>
        <v>#DIV/0!</v>
      </c>
      <c r="BL10" s="101">
        <f>P_A7_L30*P_Inferior*Inferior*Inflación_7</f>
        <v>0</v>
      </c>
      <c r="BM10" s="100" t="e">
        <f t="shared" si="37"/>
        <v>#DIV/0!</v>
      </c>
      <c r="BN10" s="101">
        <f>P_A7_L31*P_Inferior*Inferior*Inflación_7</f>
        <v>0</v>
      </c>
      <c r="BO10" s="100" t="e">
        <f t="shared" ref="BO10:BQ10" si="38">BO7*P_Inferior*Inferior</f>
        <v>#DIV/0!</v>
      </c>
      <c r="BP10" s="101">
        <f>P_A7_L32*P_Inferior*Inferior*Inflación_7</f>
        <v>0</v>
      </c>
      <c r="BQ10" s="100" t="e">
        <f t="shared" si="38"/>
        <v>#DIV/0!</v>
      </c>
      <c r="BR10" s="101">
        <f>P_A7_L33*P_Inferior*Inferior*Inflación_7</f>
        <v>0</v>
      </c>
      <c r="BS10" s="100" t="e">
        <f t="shared" ref="BS10:BU10" si="39">BS7*P_Inferior*Inferior</f>
        <v>#DIV/0!</v>
      </c>
      <c r="BT10" s="101">
        <f>P_A7_L34*P_Inferior*Inferior*Inflación_7</f>
        <v>0</v>
      </c>
      <c r="BU10" s="100" t="e">
        <f t="shared" si="39"/>
        <v>#DIV/0!</v>
      </c>
      <c r="BV10" s="101">
        <f>P_A7_L35*P_Inferior*Inferior*Inflación_7</f>
        <v>0</v>
      </c>
      <c r="BW10" s="100" t="e">
        <f t="shared" ref="BW10:BY10" si="40">BW7*P_Inferior*Inferior</f>
        <v>#DIV/0!</v>
      </c>
      <c r="BX10" s="101">
        <f>P_A7_L36*P_Inferior*Inferior*Inflación_7</f>
        <v>0</v>
      </c>
      <c r="BY10" s="100" t="e">
        <f t="shared" si="40"/>
        <v>#DIV/0!</v>
      </c>
      <c r="BZ10" s="101">
        <f>P_A7_L37*P_Inferior*Inferior*Inflación_7</f>
        <v>0</v>
      </c>
      <c r="CA10" s="100" t="e">
        <f t="shared" ref="CA10:CC10" si="41">CA7*P_Inferior*Inferior</f>
        <v>#DIV/0!</v>
      </c>
      <c r="CB10" s="101">
        <f>P_A7_L38*P_Inferior*Inferior*Inflación_7</f>
        <v>0</v>
      </c>
      <c r="CC10" s="100" t="e">
        <f t="shared" si="41"/>
        <v>#DIV/0!</v>
      </c>
      <c r="CD10" s="101">
        <f>P_A7_L39*P_Inferior*Inferior*Inflación_7</f>
        <v>0</v>
      </c>
      <c r="CE10" s="100" t="e">
        <f t="shared" ref="CE10:CG10" si="42">CE7*P_Inferior*Inferior</f>
        <v>#DIV/0!</v>
      </c>
      <c r="CF10" s="101">
        <f>P_A7_L40*P_Inferior*Inferior*Inflación_7</f>
        <v>0</v>
      </c>
      <c r="CG10" s="100" t="e">
        <f t="shared" si="42"/>
        <v>#DIV/0!</v>
      </c>
      <c r="CH10" s="473"/>
      <c r="CI10" s="101">
        <f>CI7*P_Inferior*Inferior*Inflación_7</f>
        <v>0</v>
      </c>
      <c r="CJ10" s="101">
        <f>CJ7*P_Inferior*Inferior*Inflación_7</f>
        <v>0</v>
      </c>
      <c r="CK10" s="101">
        <f>CK7*P_Inferior*Inferior*Inflación_7</f>
        <v>0</v>
      </c>
      <c r="CL10" s="101">
        <f>CL7*P_Inferior*Inferior*Inflación_7</f>
        <v>0</v>
      </c>
      <c r="CM10" s="101"/>
      <c r="CN10" s="101">
        <f>CN7*P_Inferior*Inferior*Inflación_7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SUMIFS('9'!$E:$E,'9'!$A:$A,Año_Inicial+6,'9'!$D:$D,"Poda")</f>
        <v>0</v>
      </c>
      <c r="D14" s="100">
        <f t="shared" ref="D14:D44" si="45">C14-B14</f>
        <v>0</v>
      </c>
      <c r="E14" s="473"/>
      <c r="F14" s="101">
        <f>((A7_A_L1*Poda_A)+(A7_B_L1*Poda_B)+(A7_C_L1*Poda_C)+(A7_D_L1*Poda_D)+(A7_Y_L1*Poda_Y))*Inflación_7</f>
        <v>0</v>
      </c>
      <c r="G14" s="101">
        <f>SUMIFS('9'!$E:$E,'9'!$A:$A,Año_Inicial+6,'9'!$B:$B,'12'!F$4,'9'!$D:$D,"Poda")</f>
        <v>0</v>
      </c>
      <c r="H14" s="101">
        <f>((A7_A_L2*Poda_A)+(A7_B_L2*Poda_B)+(A7_C_L2*Poda_C)+(A7_D_L2*Poda_D)+(A7_Y_L2*Poda_Y))*Inflación_7</f>
        <v>0</v>
      </c>
      <c r="I14" s="101">
        <f>SUMIFS('9'!$E:$E,'9'!$A:$A,Año_Inicial+6,'9'!$B:$B,'12'!H$4,'9'!$D:$D,"Poda")</f>
        <v>0</v>
      </c>
      <c r="J14" s="101">
        <f>((A7_A_L3*Poda_A)+(A7_B_L3*Poda_B)+(A7_C_L3*Poda_C)+(A7_D_L3*Poda_D)+(A7_Y_L3*Poda_Y))*Inflación_7</f>
        <v>0</v>
      </c>
      <c r="K14" s="101">
        <f>SUMIFS('9'!$E:$E,'9'!$A:$A,Año_Inicial+6,'9'!$B:$B,'12'!J$4,'9'!$D:$D,"Poda")</f>
        <v>0</v>
      </c>
      <c r="L14" s="101">
        <f>((A7_A_L4*Poda_A)+(A7_B_L4*Poda_B)+(A7_C_L4*Poda_C)+(A7_D_L4*Poda_D)+(A7_Y_L4*Poda_Y))*Inflación_7</f>
        <v>0</v>
      </c>
      <c r="M14" s="101">
        <f>SUMIFS('9'!$E:$E,'9'!$A:$A,Año_Inicial+6,'9'!$B:$B,'12'!L$4,'9'!$D:$D,"Poda")</f>
        <v>0</v>
      </c>
      <c r="N14" s="101">
        <f>((A7_A_L5*Poda_A)+(A7_B_L5*Poda_B)+(A7_C_L5*Poda_C)+(A7_D_L5*Poda_D)+(A7_Y_L5*Poda_Y))*Inflación_7</f>
        <v>0</v>
      </c>
      <c r="O14" s="101">
        <f>SUMIFS('9'!$E:$E,'9'!$A:$A,Año_Inicial+6,'9'!$B:$B,'12'!N$4,'9'!$D:$D,"Poda")</f>
        <v>0</v>
      </c>
      <c r="P14" s="101">
        <f>((A7_A_L6*Poda_A)+(A7_B_L6*Poda_B)+(A7_C_L6*Poda_C)+(A7_D_L6*Poda_D)+(A7_Y_L6*Poda_Y))*Inflación_7</f>
        <v>0</v>
      </c>
      <c r="Q14" s="101">
        <f>SUMIFS('9'!$E:$E,'9'!$A:$A,Año_Inicial+6,'9'!$B:$B,'12'!P$4,'9'!$D:$D,"Poda")</f>
        <v>0</v>
      </c>
      <c r="R14" s="101">
        <f>((A7_A_L7*Poda_A)+(A7_B_L7*Poda_B)+(A7_C_L7*Poda_C)+(A7_D_L7*Poda_D)+(A7_Y_L7*Poda_Y))*Inflación_7</f>
        <v>0</v>
      </c>
      <c r="S14" s="101">
        <f>SUMIFS('9'!$E:$E,'9'!$A:$A,Año_Inicial+6,'9'!$B:$B,'12'!R$4,'9'!$D:$D,"Poda")</f>
        <v>0</v>
      </c>
      <c r="T14" s="101">
        <f>((A7_A_L8*Poda_A)+(A7_B_L8*Poda_B)+(A7_C_L8*Poda_C)+(A7_D_L8*Poda_D)+(A7_Y_L8*Poda_Y))*Inflación_7</f>
        <v>0</v>
      </c>
      <c r="U14" s="101">
        <f>SUMIFS('9'!$E:$E,'9'!$A:$A,Año_Inicial+6,'9'!$B:$B,'12'!T$4,'9'!$D:$D,"Poda")</f>
        <v>0</v>
      </c>
      <c r="V14" s="101">
        <f>((A7_A_L9*Poda_A)+(A7_B_L9*Poda_B)+(A7_C_L9*Poda_C)+(A7_D_L9*Poda_D)+(A7_Y_L9*Poda_Y))*Inflación_7</f>
        <v>0</v>
      </c>
      <c r="W14" s="101">
        <f>SUMIFS('9'!$E:$E,'9'!$A:$A,Año_Inicial+6,'9'!$B:$B,'12'!V$4,'9'!$D:$D,"Poda")</f>
        <v>0</v>
      </c>
      <c r="X14" s="101">
        <f>((A7_A_L10*Poda_A)+(A7_B_L10*Poda_B)+(A7_C_L10*Poda_C)+(A7_D_L10*Poda_D)+(A7_Y_L10*Poda_Y))*Inflación_7</f>
        <v>0</v>
      </c>
      <c r="Y14" s="101">
        <f>SUMIFS('9'!$E:$E,'9'!$A:$A,Año_Inicial+6,'9'!$B:$B,'12'!X$4,'9'!$D:$D,"Poda")</f>
        <v>0</v>
      </c>
      <c r="Z14" s="101">
        <f>((A7_A_L11*Poda_A)+(A7_B_L11*Poda_B)+(A7_C_L11*Poda_C)+(A7_D_L11*Poda_D)+(A7_Y_L11*Poda_Y))*Inflación_7</f>
        <v>0</v>
      </c>
      <c r="AA14" s="101">
        <f>SUMIFS('9'!$E:$E,'9'!$A:$A,Año_Inicial+6,'9'!$B:$B,'12'!Z$4,'9'!$D:$D,"Poda")</f>
        <v>0</v>
      </c>
      <c r="AB14" s="101">
        <f>((A7_A_L12*Poda_A)+(A7_B_L12*Poda_B)+(A7_C_L12*Poda_C)+(A7_D_L12*Poda_D)+(A7_Y_L12*Poda_Y))*Inflación_7</f>
        <v>0</v>
      </c>
      <c r="AC14" s="101">
        <f>SUMIFS('9'!$E:$E,'9'!$A:$A,Año_Inicial+6,'9'!$B:$B,'12'!AB$4,'9'!$D:$D,"Poda")</f>
        <v>0</v>
      </c>
      <c r="AD14" s="101">
        <f>((A7_A_L13*Poda_A)+(A7_B_L13*Poda_B)+(A7_C_L13*Poda_C)+(A7_D_L13*Poda_D)+(A7_Y_L13*Poda_Y))*Inflación_7</f>
        <v>0</v>
      </c>
      <c r="AE14" s="101">
        <f>SUMIFS('9'!$E:$E,'9'!$A:$A,Año_Inicial+6,'9'!$B:$B,'12'!AD$4,'9'!$D:$D,"Poda")</f>
        <v>0</v>
      </c>
      <c r="AF14" s="101">
        <f>((A7_A_L14*Poda_A)+(A7_B_L14*Poda_B)+(A7_C_L14*Poda_C)+(A7_D_L14*Poda_D)+(A7_Y_L14*Poda_Y))*Inflación_7</f>
        <v>0</v>
      </c>
      <c r="AG14" s="101">
        <f>SUMIFS('9'!$E:$E,'9'!$A:$A,Año_Inicial+6,'9'!$B:$B,'12'!AF$4,'9'!$D:$D,"Poda")</f>
        <v>0</v>
      </c>
      <c r="AH14" s="101">
        <f>((A7_A_L15*Poda_A)+(A7_B_L15*Poda_B)+(A7_C_L15*Poda_C)+(A7_D_L15*Poda_D)+(A7_Y_L15*Poda_Y))*Inflación_7</f>
        <v>0</v>
      </c>
      <c r="AI14" s="101">
        <f>SUMIFS('9'!$E:$E,'9'!$A:$A,Año_Inicial+6,'9'!$B:$B,'12'!AH$4,'9'!$D:$D,"Poda")</f>
        <v>0</v>
      </c>
      <c r="AJ14" s="101">
        <f>((A7_A_L16*Poda_A)+(A7_B_L16*Poda_B)+(A7_C_L16*Poda_C)+(A7_D_L16*Poda_D)+(A7_Y_L16*Poda_Y))*Inflación_7</f>
        <v>0</v>
      </c>
      <c r="AK14" s="101">
        <f>SUMIFS('9'!$E:$E,'9'!$A:$A,Año_Inicial+6,'9'!$B:$B,'12'!AJ$4,'9'!$D:$D,"Poda")</f>
        <v>0</v>
      </c>
      <c r="AL14" s="101">
        <f>((A7_A_L17*Poda_A)+(A7_B_L17*Poda_B)+(A7_C_L17*Poda_C)+(A7_D_L17*Poda_D)+(A7_Y_L17*Poda_Y))*Inflación_7</f>
        <v>0</v>
      </c>
      <c r="AM14" s="101">
        <f>SUMIFS('9'!$E:$E,'9'!$A:$A,Año_Inicial+6,'9'!$B:$B,'12'!AL$4,'9'!$D:$D,"Poda")</f>
        <v>0</v>
      </c>
      <c r="AN14" s="101">
        <f>((A7_A_L18*Poda_A)+(A7_B_L18*Poda_B)+(A7_C_L18*Poda_C)+(A7_D_L18*Poda_D)+(A7_Y_L18*Poda_Y))*Inflación_7</f>
        <v>0</v>
      </c>
      <c r="AO14" s="101">
        <f>SUMIFS('9'!$E:$E,'9'!$A:$A,Año_Inicial+6,'9'!$B:$B,'12'!AN$4,'9'!$D:$D,"Poda")</f>
        <v>0</v>
      </c>
      <c r="AP14" s="101">
        <f>((A7_A_L19*Poda_A)+(A7_B_L19*Poda_B)+(A7_C_L19*Poda_C)+(A7_D_L19*Poda_D)+(A7_Y_L19*Poda_Y))*Inflación_7</f>
        <v>0</v>
      </c>
      <c r="AQ14" s="101">
        <f>SUMIFS('9'!$E:$E,'9'!$A:$A,Año_Inicial+6,'9'!$B:$B,'12'!AP$4,'9'!$D:$D,"Poda")</f>
        <v>0</v>
      </c>
      <c r="AR14" s="101">
        <f>((A7_A_L20*Poda_A)+(A7_B_L20*Poda_B)+(A7_C_L20*Poda_C)+(A7_D_L20*Poda_D)+(A7_Y_L20*Poda_Y))*Inflación_7</f>
        <v>0</v>
      </c>
      <c r="AS14" s="101">
        <f>SUMIFS('9'!$E:$E,'9'!$A:$A,Año_Inicial+6,'9'!$B:$B,'12'!AR$4,'9'!$D:$D,"Poda")</f>
        <v>0</v>
      </c>
      <c r="AT14" s="101">
        <f>((A7_A_L21*Poda_A)+(A7_B_L21*Poda_B)+(A7_C_L21*Poda_C)+(A7_D_L21*Poda_D)+(A7_Y_L21*Poda_Y))*Inflación_7</f>
        <v>0</v>
      </c>
      <c r="AU14" s="101">
        <f>SUMIFS('9'!$E:$E,'9'!$A:$A,Año_Inicial+6,'9'!$B:$B,'12'!AT$4,'9'!$D:$D,"Poda")</f>
        <v>0</v>
      </c>
      <c r="AV14" s="101">
        <f>((A7_A_L22*Poda_A)+(A7_B_L22*Poda_B)+(A7_C_L22*Poda_C)+(A7_D_L22*Poda_D)+(A7_Y_L22*Poda_Y))*Inflación_7</f>
        <v>0</v>
      </c>
      <c r="AW14" s="101">
        <f>SUMIFS('9'!$E:$E,'9'!$A:$A,Año_Inicial+6,'9'!$B:$B,'12'!AV$4,'9'!$D:$D,"Poda")</f>
        <v>0</v>
      </c>
      <c r="AX14" s="101">
        <f>((A7_A_L23*Poda_A)+(A7_B_L23*Poda_B)+(A7_C_L23*Poda_C)+(A7_D_L23*Poda_D)+(A7_Y_L23*Poda_Y))*Inflación_7</f>
        <v>0</v>
      </c>
      <c r="AY14" s="101">
        <f>SUMIFS('9'!$E:$E,'9'!$A:$A,Año_Inicial+6,'9'!$B:$B,'12'!AX$4,'9'!$D:$D,"Poda")</f>
        <v>0</v>
      </c>
      <c r="AZ14" s="101">
        <f>((A7_A_L24*Poda_A)+(A7_B_L24*Poda_B)+(A7_C_L24*Poda_C)+(A7_D_L24*Poda_D)+(A7_Y_L24*Poda_Y))*Inflación_7</f>
        <v>0</v>
      </c>
      <c r="BA14" s="101">
        <f>SUMIFS('9'!$E:$E,'9'!$A:$A,Año_Inicial+6,'9'!$B:$B,'12'!AZ$4,'9'!$D:$D,"Poda")</f>
        <v>0</v>
      </c>
      <c r="BB14" s="101">
        <f>((A7_A_L25*Poda_A)+(A7_B_L25*Poda_B)+(A7_C_L25*Poda_C)+(A7_D_L25*Poda_D)+(A7_Y_L25*Poda_Y))*Inflación_7</f>
        <v>0</v>
      </c>
      <c r="BC14" s="101">
        <f>SUMIFS('9'!$E:$E,'9'!$A:$A,Año_Inicial+6,'9'!$B:$B,'12'!BB$4,'9'!$D:$D,"Poda")</f>
        <v>0</v>
      </c>
      <c r="BD14" s="101">
        <f>((A7_A_L26*Poda_A)+(A7_B_L26*Poda_B)+(A7_C_L26*Poda_C)+(A7_D_L26*Poda_D)+(A7_Y_L26*Poda_Y))*Inflación_7</f>
        <v>0</v>
      </c>
      <c r="BE14" s="101">
        <f>SUMIFS('9'!$E:$E,'9'!$A:$A,Año_Inicial+6,'9'!$B:$B,'12'!BD$4,'9'!$D:$D,"Poda")</f>
        <v>0</v>
      </c>
      <c r="BF14" s="101">
        <f>((A7_A_L27*Poda_A)+(A7_B_L27*Poda_B)+(A7_C_L27*Poda_C)+(A7_D_L27*Poda_D)+(A7_Y_L27*Poda_Y))*Inflación_7</f>
        <v>0</v>
      </c>
      <c r="BG14" s="101">
        <f>SUMIFS('9'!$E:$E,'9'!$A:$A,Año_Inicial+6,'9'!$B:$B,'12'!BF$4,'9'!$D:$D,"Poda")</f>
        <v>0</v>
      </c>
      <c r="BH14" s="101">
        <f>((A7_A_L28*Poda_A)+(A7_B_L28*Poda_B)+(A7_C_L28*Poda_C)+(A7_D_L28*Poda_D)+(A7_Y_L28*Poda_Y))*Inflación_7</f>
        <v>0</v>
      </c>
      <c r="BI14" s="101">
        <f>SUMIFS('9'!$E:$E,'9'!$A:$A,Año_Inicial+6,'9'!$B:$B,'12'!BH$4,'9'!$D:$D,"Poda")</f>
        <v>0</v>
      </c>
      <c r="BJ14" s="101">
        <f>((A7_A_L29*Poda_A)+(A7_B_L29*Poda_B)+(A7_C_L29*Poda_C)+(A7_D_L29*Poda_D)+(A7_Y_L29*Poda_Y))*Inflación_7</f>
        <v>0</v>
      </c>
      <c r="BK14" s="101">
        <f>SUMIFS('9'!$E:$E,'9'!$A:$A,Año_Inicial+6,'9'!$B:$B,'12'!BJ$4,'9'!$D:$D,"Poda")</f>
        <v>0</v>
      </c>
      <c r="BL14" s="101">
        <f>((A7_A_L30*Poda_A)+(A7_B_L30*Poda_B)+(A7_C_L30*Poda_C)+(A7_D_L30*Poda_D)+(A7_Y_L30*Poda_Y))*Inflación_7</f>
        <v>0</v>
      </c>
      <c r="BM14" s="101">
        <f>SUMIFS('9'!$E:$E,'9'!$A:$A,Año_Inicial+6,'9'!$B:$B,'12'!BL$4,'9'!$D:$D,"Poda")</f>
        <v>0</v>
      </c>
      <c r="BN14" s="101">
        <f>((A7_A_L31*Poda_A)+(A7_B_L31*Poda_B)+(A7_C_L31*Poda_C)+(A7_D_L31*Poda_D)+(A7_Y_L31*Poda_Y))*Inflación_7</f>
        <v>0</v>
      </c>
      <c r="BO14" s="101">
        <f>SUMIFS('9'!$E:$E,'9'!$A:$A,Año_Inicial+6,'9'!$B:$B,'12'!BN$4,'9'!$D:$D,"Poda")</f>
        <v>0</v>
      </c>
      <c r="BP14" s="101">
        <f>((A7_A_L32*Poda_A)+(A7_B_L32*Poda_B)+(A7_C_L32*Poda_C)+(A7_D_L32*Poda_D)+(A7_Y_L32*Poda_Y))*Inflación_7</f>
        <v>0</v>
      </c>
      <c r="BQ14" s="101">
        <f>SUMIFS('9'!$E:$E,'9'!$A:$A,Año_Inicial+6,'9'!$B:$B,'12'!BP$4,'9'!$D:$D,"Poda")</f>
        <v>0</v>
      </c>
      <c r="BR14" s="101">
        <f>((A7_A_L33*Poda_A)+(A7_B_L33*Poda_B)+(A7_C_L33*Poda_C)+(A7_D_L33*Poda_D)+(A7_Y_L33*Poda_Y))*Inflación_7</f>
        <v>0</v>
      </c>
      <c r="BS14" s="101">
        <f>SUMIFS('9'!$E:$E,'9'!$A:$A,Año_Inicial+6,'9'!$B:$B,'12'!BR$4,'9'!$D:$D,"Poda")</f>
        <v>0</v>
      </c>
      <c r="BT14" s="101">
        <f>((A7_A_L34*Poda_A)+(A7_B_L34*Poda_B)+(A7_C_L34*Poda_C)+(A7_D_L34*Poda_D)+(A7_Y_L34*Poda_Y))*Inflación_7</f>
        <v>0</v>
      </c>
      <c r="BU14" s="101">
        <f>SUMIFS('9'!$E:$E,'9'!$A:$A,Año_Inicial+6,'9'!$B:$B,'12'!BT$4,'9'!$D:$D,"Poda")</f>
        <v>0</v>
      </c>
      <c r="BV14" s="101">
        <f>((A7_A_L35*Poda_A)+(A7_B_L35*Poda_B)+(A7_C_L35*Poda_C)+(A7_D_L35*Poda_D)+(A7_Y_L35*Poda_Y))*Inflación_7</f>
        <v>0</v>
      </c>
      <c r="BW14" s="101">
        <f>SUMIFS('9'!$E:$E,'9'!$A:$A,Año_Inicial+6,'9'!$B:$B,'12'!BV$4,'9'!$D:$D,"Poda")</f>
        <v>0</v>
      </c>
      <c r="BX14" s="101">
        <f>((A7_A_L36*Poda_A)+(A7_B_L36*Poda_B)+(A7_C_L36*Poda_C)+(A7_D_L36*Poda_D)+(A7_Y_L36*Poda_Y))*Inflación_7</f>
        <v>0</v>
      </c>
      <c r="BY14" s="101">
        <f>SUMIFS('9'!$E:$E,'9'!$A:$A,Año_Inicial+6,'9'!$B:$B,'12'!BX$4,'9'!$D:$D,"Poda")</f>
        <v>0</v>
      </c>
      <c r="BZ14" s="101">
        <f>((A7_A_L37*Poda_A)+(A7_B_L37*Poda_B)+(A7_C_L37*Poda_C)+(A7_D_L37*Poda_D)+(A7_Y_L37*Poda_Y))*Inflación_7</f>
        <v>0</v>
      </c>
      <c r="CA14" s="101">
        <f>SUMIFS('9'!$E:$E,'9'!$A:$A,Año_Inicial+6,'9'!$B:$B,'12'!BZ$4,'9'!$D:$D,"Poda")</f>
        <v>0</v>
      </c>
      <c r="CB14" s="101">
        <f>((A7_A_L38*Poda_A)+(A7_B_L38*Poda_B)+(A7_C_L38*Poda_C)+(A7_D_L38*Poda_D)+(A7_Y_L38*Poda_Y))*Inflación_7</f>
        <v>0</v>
      </c>
      <c r="CC14" s="101">
        <f>SUMIFS('9'!$E:$E,'9'!$A:$A,Año_Inicial+6,'9'!$B:$B,'12'!CB$4,'9'!$D:$D,"Poda")</f>
        <v>0</v>
      </c>
      <c r="CD14" s="101">
        <f>((A7_A_L39*Poda_A)+(A7_B_L39*Poda_B)+(A7_C_L39*Poda_C)+(A7_D_L39*Poda_D)+(A7_Y_L39*Poda_Y))*Inflación_7</f>
        <v>0</v>
      </c>
      <c r="CE14" s="101">
        <f>SUMIFS('9'!$E:$E,'9'!$A:$A,Año_Inicial+6,'9'!$B:$B,'12'!CD$4,'9'!$D:$D,"Poda")</f>
        <v>0</v>
      </c>
      <c r="CF14" s="101">
        <f>((A7_A_L40*Poda_A)+(A7_B_L40*Poda_B)+(A7_C_L40*Poda_C)+(A7_D_L40*Poda_D)+(A7_Y_L40*Poda_Y))*Inflación_7</f>
        <v>0</v>
      </c>
      <c r="CG14" s="101">
        <f>SUMIFS('9'!$E:$E,'9'!$A:$A,Año_Inicial+6,'9'!$B:$B,'12'!CF$4,'9'!$D:$D,"Poda")</f>
        <v>0</v>
      </c>
      <c r="CH14" s="473"/>
      <c r="CI14" s="101">
        <f>Plantas_A_A7*Poda_A*Inflación_7</f>
        <v>0</v>
      </c>
      <c r="CJ14" s="101">
        <f>Plantas_B_A7*Poda_B</f>
        <v>0</v>
      </c>
      <c r="CK14" s="101">
        <f>Plantas_C_A7*Poda_C</f>
        <v>0</v>
      </c>
      <c r="CL14" s="101">
        <f>Plantas_D_A7*Poda_D</f>
        <v>0</v>
      </c>
      <c r="CM14" s="101"/>
      <c r="CN14" s="101">
        <f>Plantas_Y_A7*Poda_Y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SUMIFS('9'!$E:$E,'9'!$A:$A,Año_Inicial+6,'9'!$D:$D,"Deshije")</f>
        <v>0</v>
      </c>
      <c r="D15" s="100">
        <f t="shared" si="45"/>
        <v>0</v>
      </c>
      <c r="E15" s="473"/>
      <c r="F15" s="101">
        <f>((A7_A_L1*Deshije_A)+(A7_B_L1*Deshije_B)+(A7_C_L1*Deshije_C)+(A7_D_L1*Deshije_D)+(A7_Y_L1*Deshije_Y))*Inflación_7</f>
        <v>0</v>
      </c>
      <c r="G15" s="101">
        <f>SUMIFS('9'!$E:$E,'9'!$A:$A,Año_Inicial+6,'9'!$B:$B,'12'!F$4,'9'!$D:$D,"Deshije")</f>
        <v>0</v>
      </c>
      <c r="H15" s="101">
        <f>((A7_A_L2*Deshije_A)+(A7_B_L2*Deshije_B)+(A7_C_L2*Deshije_C)+(A7_D_L2*Deshije_D)+(A7_Y_L2*Deshije_Y))*Inflación_7</f>
        <v>0</v>
      </c>
      <c r="I15" s="101">
        <f>SUMIFS('9'!$E:$E,'9'!$A:$A,Año_Inicial+6,'9'!$B:$B,'12'!H$4,'9'!$D:$D,"Deshije")</f>
        <v>0</v>
      </c>
      <c r="J15" s="101">
        <f>((A7_A_L3*Deshije_A)+(A7_B_L3*Deshije_B)+(A7_C_L3*Deshije_C)+(A7_D_L3*Deshije_D)+(A7_Y_L3*Deshije_Y))*Inflación_7</f>
        <v>0</v>
      </c>
      <c r="K15" s="101">
        <f>SUMIFS('9'!$E:$E,'9'!$A:$A,Año_Inicial+6,'9'!$B:$B,'12'!J$4,'9'!$D:$D,"Deshije")</f>
        <v>0</v>
      </c>
      <c r="L15" s="101">
        <f>((A7_A_L4*Deshije_A)+(A7_B_L4*Deshije_B)+(A7_C_L4*Deshije_C)+(A7_D_L4*Deshije_D)+(A7_Y_L4*Deshije_Y))*Inflación_7</f>
        <v>0</v>
      </c>
      <c r="M15" s="101">
        <f>SUMIFS('9'!$E:$E,'9'!$A:$A,Año_Inicial+6,'9'!$B:$B,'12'!L$4,'9'!$D:$D,"Deshije")</f>
        <v>0</v>
      </c>
      <c r="N15" s="101">
        <f>((A7_A_L5*Deshije_A)+(A7_B_L5*Deshije_B)+(A7_C_L5*Deshije_C)+(A7_D_L5*Deshije_D)+(A7_Y_L5*Deshije_Y))*Inflación_7</f>
        <v>0</v>
      </c>
      <c r="O15" s="101">
        <f>SUMIFS('9'!$E:$E,'9'!$A:$A,Año_Inicial+6,'9'!$B:$B,'12'!N$4,'9'!$D:$D,"Deshije")</f>
        <v>0</v>
      </c>
      <c r="P15" s="101">
        <f>((A7_A_L6*Deshije_A)+(A7_B_L6*Deshije_B)+(A7_C_L6*Deshije_C)+(A7_D_L6*Deshije_D)+(A7_Y_L6*Deshije_Y))*Inflación_7</f>
        <v>0</v>
      </c>
      <c r="Q15" s="101">
        <f>SUMIFS('9'!$E:$E,'9'!$A:$A,Año_Inicial+6,'9'!$B:$B,'12'!P$4,'9'!$D:$D,"Deshije")</f>
        <v>0</v>
      </c>
      <c r="R15" s="101">
        <f>((A7_A_L7*Deshije_A)+(A7_B_L7*Deshije_B)+(A7_C_L7*Deshije_C)+(A7_D_L7*Deshije_D)+(A7_Y_L7*Deshije_Y))*Inflación_7</f>
        <v>0</v>
      </c>
      <c r="S15" s="101">
        <f>SUMIFS('9'!$E:$E,'9'!$A:$A,Año_Inicial+6,'9'!$B:$B,'12'!R$4,'9'!$D:$D,"Deshije")</f>
        <v>0</v>
      </c>
      <c r="T15" s="101">
        <f>((A7_A_L8*Deshije_A)+(A7_B_L8*Deshije_B)+(A7_C_L8*Deshije_C)+(A7_D_L8*Deshije_D)+(A7_Y_L8*Deshije_Y))*Inflación_7</f>
        <v>0</v>
      </c>
      <c r="U15" s="101">
        <f>SUMIFS('9'!$E:$E,'9'!$A:$A,Año_Inicial+6,'9'!$B:$B,'12'!T$4,'9'!$D:$D,"Deshije")</f>
        <v>0</v>
      </c>
      <c r="V15" s="101">
        <f>((A7_A_L9*Deshije_A)+(A7_B_L9*Deshije_B)+(A7_C_L9*Deshije_C)+(A7_D_L9*Deshije_D)+(A7_Y_L9*Deshije_Y))*Inflación_7</f>
        <v>0</v>
      </c>
      <c r="W15" s="101">
        <f>SUMIFS('9'!$E:$E,'9'!$A:$A,Año_Inicial+6,'9'!$B:$B,'12'!V$4,'9'!$D:$D,"Deshije")</f>
        <v>0</v>
      </c>
      <c r="X15" s="101">
        <f>((A7_A_L10*Deshije_A)+(A7_B_L10*Deshije_B)+(A7_C_L10*Deshije_C)+(A7_D_L10*Deshije_D)+(A7_Y_L10*Deshije_Y))*Inflación_7</f>
        <v>0</v>
      </c>
      <c r="Y15" s="101">
        <f>SUMIFS('9'!$E:$E,'9'!$A:$A,Año_Inicial+6,'9'!$B:$B,'12'!X$4,'9'!$D:$D,"Deshije")</f>
        <v>0</v>
      </c>
      <c r="Z15" s="101">
        <f>((A7_A_L11*Deshije_A)+(A7_B_L11*Deshije_B)+(A7_C_L11*Deshije_C)+(A7_D_L11*Deshije_D)+(A7_Y_L11*Deshije_Y))*Inflación_7</f>
        <v>0</v>
      </c>
      <c r="AA15" s="101">
        <f>SUMIFS('9'!$E:$E,'9'!$A:$A,Año_Inicial+6,'9'!$B:$B,'12'!Z$4,'9'!$D:$D,"Deshije")</f>
        <v>0</v>
      </c>
      <c r="AB15" s="101">
        <f>((A7_A_L12*Deshije_A)+(A7_B_L12*Deshije_B)+(A7_C_L12*Deshije_C)+(A7_D_L12*Deshije_D)+(A7_Y_L12*Deshije_Y))*Inflación_7</f>
        <v>0</v>
      </c>
      <c r="AC15" s="101">
        <f>SUMIFS('9'!$E:$E,'9'!$A:$A,Año_Inicial+6,'9'!$B:$B,'12'!AB$4,'9'!$D:$D,"Deshije")</f>
        <v>0</v>
      </c>
      <c r="AD15" s="101">
        <f>((A7_A_L13*Deshije_A)+(A7_B_L13*Deshije_B)+(A7_C_L13*Deshije_C)+(A7_D_L13*Deshije_D)+(A7_Y_L13*Deshije_Y))*Inflación_7</f>
        <v>0</v>
      </c>
      <c r="AE15" s="101">
        <f>SUMIFS('9'!$E:$E,'9'!$A:$A,Año_Inicial+6,'9'!$B:$B,'12'!AD$4,'9'!$D:$D,"Deshije")</f>
        <v>0</v>
      </c>
      <c r="AF15" s="101">
        <f>((A7_A_L14*Deshije_A)+(A7_B_L14*Deshije_B)+(A7_C_L14*Deshije_C)+(A7_D_L14*Deshije_D)+(A7_Y_L14*Deshije_Y))*Inflación_7</f>
        <v>0</v>
      </c>
      <c r="AG15" s="101">
        <f>SUMIFS('9'!$E:$E,'9'!$A:$A,Año_Inicial+6,'9'!$B:$B,'12'!AF$4,'9'!$D:$D,"Deshije")</f>
        <v>0</v>
      </c>
      <c r="AH15" s="101">
        <f>((A7_A_L15*Deshije_A)+(A7_B_L15*Deshije_B)+(A7_C_L15*Deshije_C)+(A7_D_L15*Deshije_D)+(A7_Y_L15*Deshije_Y))*Inflación_7</f>
        <v>0</v>
      </c>
      <c r="AI15" s="101">
        <f>SUMIFS('9'!$E:$E,'9'!$A:$A,Año_Inicial+6,'9'!$B:$B,'12'!AH$4,'9'!$D:$D,"Deshije")</f>
        <v>0</v>
      </c>
      <c r="AJ15" s="101">
        <f>((A7_A_L16*Deshije_A)+(A7_B_L16*Deshije_B)+(A7_C_L16*Deshije_C)+(A7_D_L16*Deshije_D)+(A7_Y_L16*Deshije_Y))*Inflación_7</f>
        <v>0</v>
      </c>
      <c r="AK15" s="101">
        <f>SUMIFS('9'!$E:$E,'9'!$A:$A,Año_Inicial+6,'9'!$B:$B,'12'!AJ$4,'9'!$D:$D,"Deshije")</f>
        <v>0</v>
      </c>
      <c r="AL15" s="101">
        <f>((A7_A_L17*Deshije_A)+(A7_B_L17*Deshije_B)+(A7_C_L17*Deshije_C)+(A7_D_L17*Deshije_D)+(A7_Y_L17*Deshije_Y))*Inflación_7</f>
        <v>0</v>
      </c>
      <c r="AM15" s="101">
        <f>SUMIFS('9'!$E:$E,'9'!$A:$A,Año_Inicial+6,'9'!$B:$B,'12'!AL$4,'9'!$D:$D,"Deshije")</f>
        <v>0</v>
      </c>
      <c r="AN15" s="101">
        <f>((A7_A_L18*Deshije_A)+(A7_B_L18*Deshije_B)+(A7_C_L18*Deshije_C)+(A7_D_L18*Deshije_D)+(A7_Y_L18*Deshije_Y))*Inflación_7</f>
        <v>0</v>
      </c>
      <c r="AO15" s="101">
        <f>SUMIFS('9'!$E:$E,'9'!$A:$A,Año_Inicial+6,'9'!$B:$B,'12'!AN$4,'9'!$D:$D,"Deshije")</f>
        <v>0</v>
      </c>
      <c r="AP15" s="101">
        <f>((A7_A_L19*Deshije_A)+(A7_B_L19*Deshije_B)+(A7_C_L19*Deshije_C)+(A7_D_L19*Deshije_D)+(A7_Y_L19*Deshije_Y))*Inflación_7</f>
        <v>0</v>
      </c>
      <c r="AQ15" s="101">
        <f>SUMIFS('9'!$E:$E,'9'!$A:$A,Año_Inicial+6,'9'!$B:$B,'12'!AP$4,'9'!$D:$D,"Deshije")</f>
        <v>0</v>
      </c>
      <c r="AR15" s="101">
        <f>((A7_A_L20*Deshije_A)+(A7_B_L20*Deshije_B)+(A7_C_L20*Deshije_C)+(A7_D_L20*Deshije_D)+(A7_Y_L20*Deshije_Y))*Inflación_7</f>
        <v>0</v>
      </c>
      <c r="AS15" s="101">
        <f>SUMIFS('9'!$E:$E,'9'!$A:$A,Año_Inicial+6,'9'!$B:$B,'12'!AR$4,'9'!$D:$D,"Deshije")</f>
        <v>0</v>
      </c>
      <c r="AT15" s="101">
        <f>((A7_A_L21*Deshije_A)+(A7_B_L21*Deshije_B)+(A7_C_L21*Deshije_C)+(A7_D_L21*Deshije_D)+(A7_Y_L21*Deshije_Y))*Inflación_7</f>
        <v>0</v>
      </c>
      <c r="AU15" s="101">
        <f>SUMIFS('9'!$E:$E,'9'!$A:$A,Año_Inicial+6,'9'!$B:$B,'12'!AT$4,'9'!$D:$D,"Deshije")</f>
        <v>0</v>
      </c>
      <c r="AV15" s="101">
        <f>((A7_A_L22*Deshije_A)+(A7_B_L22*Deshije_B)+(A7_C_L22*Deshije_C)+(A7_D_L22*Deshije_D)+(A7_Y_L22*Deshije_Y))*Inflación_7</f>
        <v>0</v>
      </c>
      <c r="AW15" s="101">
        <f>SUMIFS('9'!$E:$E,'9'!$A:$A,Año_Inicial+6,'9'!$B:$B,'12'!AV$4,'9'!$D:$D,"Deshije")</f>
        <v>0</v>
      </c>
      <c r="AX15" s="101">
        <f>((A7_A_L23*Deshije_A)+(A7_B_L23*Deshije_B)+(A7_C_L23*Deshije_C)+(A7_D_L23*Deshije_D)+(A7_Y_L23*Deshije_Y))*Inflación_7</f>
        <v>0</v>
      </c>
      <c r="AY15" s="101">
        <f>SUMIFS('9'!$E:$E,'9'!$A:$A,Año_Inicial+6,'9'!$B:$B,'12'!AX$4,'9'!$D:$D,"Deshije")</f>
        <v>0</v>
      </c>
      <c r="AZ15" s="101">
        <f>((A7_A_L24*Deshije_A)+(A7_B_L24*Deshije_B)+(A7_C_L24*Deshije_C)+(A7_D_L24*Deshije_D)+(A7_Y_L24*Deshije_Y))*Inflación_7</f>
        <v>0</v>
      </c>
      <c r="BA15" s="101">
        <f>SUMIFS('9'!$E:$E,'9'!$A:$A,Año_Inicial+6,'9'!$B:$B,'12'!AZ$4,'9'!$D:$D,"Deshije")</f>
        <v>0</v>
      </c>
      <c r="BB15" s="101">
        <f>((A7_A_L25*Deshije_A)+(A7_B_L25*Deshije_B)+(A7_C_L25*Deshije_C)+(A7_D_L25*Deshije_D)+(A7_Y_L25*Deshije_Y))*Inflación_7</f>
        <v>0</v>
      </c>
      <c r="BC15" s="101">
        <f>SUMIFS('9'!$E:$E,'9'!$A:$A,Año_Inicial+6,'9'!$B:$B,'12'!BB$4,'9'!$D:$D,"Deshije")</f>
        <v>0</v>
      </c>
      <c r="BD15" s="101">
        <f>((A7_A_L26*Deshije_A)+(A7_B_L26*Deshije_B)+(A7_C_L26*Deshije_C)+(A7_D_L26*Deshije_D)+(A7_Y_L26*Deshije_Y))*Inflación_7</f>
        <v>0</v>
      </c>
      <c r="BE15" s="101">
        <f>SUMIFS('9'!$E:$E,'9'!$A:$A,Año_Inicial+6,'9'!$B:$B,'12'!BD$4,'9'!$D:$D,"Deshije")</f>
        <v>0</v>
      </c>
      <c r="BF15" s="101">
        <f>((A7_A_L27*Deshije_A)+(A7_B_L27*Deshije_B)+(A7_C_L27*Deshije_C)+(A7_D_L27*Deshije_D)+(A7_Y_L27*Deshije_Y))*Inflación_7</f>
        <v>0</v>
      </c>
      <c r="BG15" s="101">
        <f>SUMIFS('9'!$E:$E,'9'!$A:$A,Año_Inicial+6,'9'!$B:$B,'12'!BF$4,'9'!$D:$D,"Deshije")</f>
        <v>0</v>
      </c>
      <c r="BH15" s="101">
        <f>((A7_A_L28*Deshije_A)+(A7_B_L28*Deshije_B)+(A7_C_L28*Deshije_C)+(A7_D_L28*Deshije_D)+(A7_Y_L28*Deshije_Y))*Inflación_7</f>
        <v>0</v>
      </c>
      <c r="BI15" s="101">
        <f>SUMIFS('9'!$E:$E,'9'!$A:$A,Año_Inicial+6,'9'!$B:$B,'12'!BH$4,'9'!$D:$D,"Deshije")</f>
        <v>0</v>
      </c>
      <c r="BJ15" s="101">
        <f>((A7_A_L29*Deshije_A)+(A7_B_L29*Deshije_B)+(A7_C_L29*Deshije_C)+(A7_D_L29*Deshije_D)+(A7_Y_L29*Deshije_Y))*Inflación_7</f>
        <v>0</v>
      </c>
      <c r="BK15" s="101">
        <f>SUMIFS('9'!$E:$E,'9'!$A:$A,Año_Inicial+6,'9'!$B:$B,'12'!BJ$4,'9'!$D:$D,"Deshije")</f>
        <v>0</v>
      </c>
      <c r="BL15" s="101">
        <f>((A7_A_L30*Deshije_A)+(A7_B_L30*Deshije_B)+(A7_C_L30*Deshije_C)+(A7_D_L30*Deshije_D)+(A7_Y_L30*Deshije_Y))*Inflación_7</f>
        <v>0</v>
      </c>
      <c r="BM15" s="101">
        <f>SUMIFS('9'!$E:$E,'9'!$A:$A,Año_Inicial+6,'9'!$B:$B,'12'!BL$4,'9'!$D:$D,"Deshije")</f>
        <v>0</v>
      </c>
      <c r="BN15" s="101">
        <f>((A7_A_L31*Deshije_A)+(A7_B_L31*Deshije_B)+(A7_C_L31*Deshije_C)+(A7_D_L31*Deshije_D)+(A7_Y_L31*Deshije_Y))*Inflación_7</f>
        <v>0</v>
      </c>
      <c r="BO15" s="101">
        <f>SUMIFS('9'!$E:$E,'9'!$A:$A,Año_Inicial+6,'9'!$B:$B,'12'!BN$4,'9'!$D:$D,"Deshije")</f>
        <v>0</v>
      </c>
      <c r="BP15" s="101">
        <f>((A7_A_L32*Deshije_A)+(A7_B_L32*Deshije_B)+(A7_C_L32*Deshije_C)+(A7_D_L32*Deshije_D)+(A7_Y_L32*Deshije_Y))*Inflación_7</f>
        <v>0</v>
      </c>
      <c r="BQ15" s="101">
        <f>SUMIFS('9'!$E:$E,'9'!$A:$A,Año_Inicial+6,'9'!$B:$B,'12'!BP$4,'9'!$D:$D,"Deshije")</f>
        <v>0</v>
      </c>
      <c r="BR15" s="101">
        <f>((A7_A_L33*Deshije_A)+(A7_B_L33*Deshije_B)+(A7_C_L33*Deshije_C)+(A7_D_L33*Deshije_D)+(A7_Y_L33*Deshije_Y))*Inflación_7</f>
        <v>0</v>
      </c>
      <c r="BS15" s="101">
        <f>SUMIFS('9'!$E:$E,'9'!$A:$A,Año_Inicial+6,'9'!$B:$B,'12'!BR$4,'9'!$D:$D,"Deshije")</f>
        <v>0</v>
      </c>
      <c r="BT15" s="101">
        <f>((A7_A_L34*Deshije_A)+(A7_B_L34*Deshije_B)+(A7_C_L34*Deshije_C)+(A7_D_L34*Deshije_D)+(A7_Y_L34*Deshije_Y))*Inflación_7</f>
        <v>0</v>
      </c>
      <c r="BU15" s="101">
        <f>SUMIFS('9'!$E:$E,'9'!$A:$A,Año_Inicial+6,'9'!$B:$B,'12'!BT$4,'9'!$D:$D,"Deshije")</f>
        <v>0</v>
      </c>
      <c r="BV15" s="101">
        <f>((A7_A_L35*Deshije_A)+(A7_B_L35*Deshije_B)+(A7_C_L35*Deshije_C)+(A7_D_L35*Deshije_D)+(A7_Y_L35*Deshije_Y))*Inflación_7</f>
        <v>0</v>
      </c>
      <c r="BW15" s="101">
        <f>SUMIFS('9'!$E:$E,'9'!$A:$A,Año_Inicial+6,'9'!$B:$B,'12'!BV$4,'9'!$D:$D,"Deshije")</f>
        <v>0</v>
      </c>
      <c r="BX15" s="101">
        <f>((A7_A_L36*Deshije_A)+(A7_B_L36*Deshije_B)+(A7_C_L36*Deshije_C)+(A7_D_L36*Deshije_D)+(A7_Y_L36*Deshije_Y))*Inflación_7</f>
        <v>0</v>
      </c>
      <c r="BY15" s="101">
        <f>SUMIFS('9'!$E:$E,'9'!$A:$A,Año_Inicial+6,'9'!$B:$B,'12'!BX$4,'9'!$D:$D,"Deshije")</f>
        <v>0</v>
      </c>
      <c r="BZ15" s="101">
        <f>((A7_A_L37*Deshije_A)+(A7_B_L37*Deshije_B)+(A7_C_L37*Deshije_C)+(A7_D_L37*Deshije_D)+(A7_Y_L37*Deshije_Y))*Inflación_7</f>
        <v>0</v>
      </c>
      <c r="CA15" s="101">
        <f>SUMIFS('9'!$E:$E,'9'!$A:$A,Año_Inicial+6,'9'!$B:$B,'12'!BZ$4,'9'!$D:$D,"Deshije")</f>
        <v>0</v>
      </c>
      <c r="CB15" s="101">
        <f>((A7_A_L38*Deshije_A)+(A7_B_L38*Deshije_B)+(A7_C_L38*Deshije_C)+(A7_D_L38*Deshije_D)+(A7_Y_L38*Deshije_Y))*Inflación_7</f>
        <v>0</v>
      </c>
      <c r="CC15" s="101">
        <f>SUMIFS('9'!$E:$E,'9'!$A:$A,Año_Inicial+6,'9'!$B:$B,'12'!CB$4,'9'!$D:$D,"Deshije")</f>
        <v>0</v>
      </c>
      <c r="CD15" s="101">
        <f>((A7_A_L39*Deshije_A)+(A7_B_L39*Deshije_B)+(A7_C_L39*Deshije_C)+(A7_D_L39*Deshije_D)+(A7_Y_L39*Deshije_Y))*Inflación_7</f>
        <v>0</v>
      </c>
      <c r="CE15" s="101">
        <f>SUMIFS('9'!$E:$E,'9'!$A:$A,Año_Inicial+6,'9'!$B:$B,'12'!CD$4,'9'!$D:$D,"Deshije")</f>
        <v>0</v>
      </c>
      <c r="CF15" s="101">
        <f>((A7_A_L40*Deshije_A)+(A7_B_L40*Deshije_B)+(A7_C_L40*Deshije_C)+(A7_D_L40*Deshije_D)+(A7_Y_L40*Deshije_Y))*Inflación_7</f>
        <v>0</v>
      </c>
      <c r="CG15" s="101">
        <f>SUMIFS('9'!$E:$E,'9'!$A:$A,Año_Inicial+6,'9'!$B:$B,'12'!CF$4,'9'!$D:$D,"Deshije")</f>
        <v>0</v>
      </c>
      <c r="CH15" s="473"/>
      <c r="CI15" s="101">
        <f>Plantas_A_A7*Deshije_A*Inflación_7</f>
        <v>0</v>
      </c>
      <c r="CJ15" s="101">
        <f>Plantas_B_A7*Deshije_B</f>
        <v>0</v>
      </c>
      <c r="CK15" s="101">
        <f>Plantas_C_A7*Deshije_C</f>
        <v>0</v>
      </c>
      <c r="CL15" s="101">
        <f>Plantas_D_A7*Deshije_D</f>
        <v>0</v>
      </c>
      <c r="CM15" s="101"/>
      <c r="CN15" s="101">
        <f>Plantas_Y_A7*Deshije_Y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SUMIFS('9'!$E:$E,'9'!$A:$A,Año_Inicial+6,'9'!$D:$D,"Aplicación de fertilizante")</f>
        <v>0</v>
      </c>
      <c r="D17" s="100">
        <f t="shared" si="45"/>
        <v>0</v>
      </c>
      <c r="E17" s="473"/>
      <c r="F17" s="101">
        <f>((A7_A_L1*Nutrición_A)+(A7_B_L1*Nutrición_B)+(A7_C_L1*Nutrición_C)+(A7_D_L1*Nutrición_D)+(A7_Y_L1*Nutrición_Y))*Inflación_7</f>
        <v>0</v>
      </c>
      <c r="G17" s="101">
        <f>SUMIFS('9'!$E:$E,'9'!$A:$A,Año_Inicial+6,'9'!$B:$B,'12'!F$4,'9'!$D:$D,"Aplicación de fertilizante")</f>
        <v>0</v>
      </c>
      <c r="H17" s="101">
        <f>((A7_A_L2*Nutrición_A)+(A7_B_L2*Nutrición_B)+(A7_C_L2*Nutrición_C)+(A7_D_L2*Nutrición_D)+(A7_Y_L2*Nutrición_Y))*Inflación_7</f>
        <v>0</v>
      </c>
      <c r="I17" s="101">
        <f>SUMIFS('9'!$E:$E,'9'!$A:$A,Año_Inicial+6,'9'!$B:$B,'12'!H$4,'9'!$D:$D,"Aplicación de fertilizante")</f>
        <v>0</v>
      </c>
      <c r="J17" s="101">
        <f>((A7_A_L3*Nutrición_A)+(A7_B_L3*Nutrición_B)+(A7_C_L3*Nutrición_C)+(A7_D_L3*Nutrición_D)+(A7_Y_L3*Nutrición_Y))*Inflación_7</f>
        <v>0</v>
      </c>
      <c r="K17" s="101">
        <f>SUMIFS('9'!$E:$E,'9'!$A:$A,Año_Inicial+6,'9'!$B:$B,'12'!J$4,'9'!$D:$D,"Aplicación de fertilizante")</f>
        <v>0</v>
      </c>
      <c r="L17" s="101">
        <f>((A7_A_L4*Nutrición_A)+(A7_B_L4*Nutrición_B)+(A7_C_L4*Nutrición_C)+(A7_D_L4*Nutrición_D)+(A7_Y_L4*Nutrición_Y))*Inflación_7</f>
        <v>0</v>
      </c>
      <c r="M17" s="101">
        <f>SUMIFS('9'!$E:$E,'9'!$A:$A,Año_Inicial+6,'9'!$B:$B,'12'!L$4,'9'!$D:$D,"Aplicación de fertilizante")</f>
        <v>0</v>
      </c>
      <c r="N17" s="101">
        <f>((A7_A_L5*Nutrición_A)+(A7_B_L5*Nutrición_B)+(A7_C_L5*Nutrición_C)+(A7_D_L5*Nutrición_D)+(A7_Y_L5*Nutrición_Y))*Inflación_7</f>
        <v>0</v>
      </c>
      <c r="O17" s="101">
        <f>SUMIFS('9'!$E:$E,'9'!$A:$A,Año_Inicial+6,'9'!$B:$B,'12'!N$4,'9'!$D:$D,"Aplicación de fertilizante")</f>
        <v>0</v>
      </c>
      <c r="P17" s="101">
        <f>((A7_A_L6*Nutrición_A)+(A7_B_L6*Nutrición_B)+(A7_C_L6*Nutrición_C)+(A7_D_L6*Nutrición_D)+(A7_Y_L6*Nutrición_Y))*Inflación_7</f>
        <v>0</v>
      </c>
      <c r="Q17" s="101">
        <f>SUMIFS('9'!$E:$E,'9'!$A:$A,Año_Inicial+6,'9'!$B:$B,'12'!P$4,'9'!$D:$D,"Aplicación de fertilizante")</f>
        <v>0</v>
      </c>
      <c r="R17" s="101">
        <f>((A7_A_L7*Nutrición_A)+(A7_B_L7*Nutrición_B)+(A7_C_L7*Nutrición_C)+(A7_D_L7*Nutrición_D)+(A7_Y_L7*Nutrición_Y))*Inflación_7</f>
        <v>0</v>
      </c>
      <c r="S17" s="101">
        <f>SUMIFS('9'!$E:$E,'9'!$A:$A,Año_Inicial+6,'9'!$B:$B,'12'!R$4,'9'!$D:$D,"Aplicación de fertilizante")</f>
        <v>0</v>
      </c>
      <c r="T17" s="101">
        <f>((A7_A_L8*Nutrición_A)+(A7_B_L8*Nutrición_B)+(A7_C_L8*Nutrición_C)+(A7_D_L8*Nutrición_D)+(A7_Y_L8*Nutrición_Y))*Inflación_7</f>
        <v>0</v>
      </c>
      <c r="U17" s="101">
        <f>SUMIFS('9'!$E:$E,'9'!$A:$A,Año_Inicial+6,'9'!$B:$B,'12'!T$4,'9'!$D:$D,"Aplicación de fertilizante")</f>
        <v>0</v>
      </c>
      <c r="V17" s="101">
        <f>((A7_A_L9*Nutrición_A)+(A7_B_L9*Nutrición_B)+(A7_C_L9*Nutrición_C)+(A7_D_L9*Nutrición_D)+(A7_Y_L9*Nutrición_Y))*Inflación_7</f>
        <v>0</v>
      </c>
      <c r="W17" s="101">
        <f>SUMIFS('9'!$E:$E,'9'!$A:$A,Año_Inicial+6,'9'!$B:$B,'12'!V$4,'9'!$D:$D,"Aplicación de fertilizante")</f>
        <v>0</v>
      </c>
      <c r="X17" s="101">
        <f>((A7_A_L10*Nutrición_A)+(A7_B_L10*Nutrición_B)+(A7_C_L10*Nutrición_C)+(A7_D_L10*Nutrición_D)+(A7_Y_L10*Nutrición_Y))*Inflación_7</f>
        <v>0</v>
      </c>
      <c r="Y17" s="101">
        <f>SUMIFS('9'!$E:$E,'9'!$A:$A,Año_Inicial+6,'9'!$B:$B,'12'!X$4,'9'!$D:$D,"Aplicación de fertilizante")</f>
        <v>0</v>
      </c>
      <c r="Z17" s="101">
        <f>((A7_A_L11*Nutrición_A)+(A7_B_L11*Nutrición_B)+(A7_C_L11*Nutrición_C)+(A7_D_L11*Nutrición_D)+(A7_Y_L11*Nutrición_Y))*Inflación_7</f>
        <v>0</v>
      </c>
      <c r="AA17" s="101">
        <f>SUMIFS('9'!$E:$E,'9'!$A:$A,Año_Inicial+6,'9'!$B:$B,'12'!Z$4,'9'!$D:$D,"Aplicación de fertilizante")</f>
        <v>0</v>
      </c>
      <c r="AB17" s="101">
        <f>((A7_A_L12*Nutrición_A)+(A7_B_L12*Nutrición_B)+(A7_C_L12*Nutrición_C)+(A7_D_L12*Nutrición_D)+(A7_Y_L12*Nutrición_Y))*Inflación_7</f>
        <v>0</v>
      </c>
      <c r="AC17" s="101">
        <f>SUMIFS('9'!$E:$E,'9'!$A:$A,Año_Inicial+6,'9'!$B:$B,'12'!AB$4,'9'!$D:$D,"Aplicación de fertilizante")</f>
        <v>0</v>
      </c>
      <c r="AD17" s="101">
        <f>((A7_A_L13*Nutrición_A)+(A7_B_L13*Nutrición_B)+(A7_C_L13*Nutrición_C)+(A7_D_L13*Nutrición_D)+(A7_Y_L13*Nutrición_Y))*Inflación_7</f>
        <v>0</v>
      </c>
      <c r="AE17" s="101">
        <f>SUMIFS('9'!$E:$E,'9'!$A:$A,Año_Inicial+6,'9'!$B:$B,'12'!AD$4,'9'!$D:$D,"Aplicación de fertilizante")</f>
        <v>0</v>
      </c>
      <c r="AF17" s="101">
        <f>((A7_A_L14*Nutrición_A)+(A7_B_L14*Nutrición_B)+(A7_C_L14*Nutrición_C)+(A7_D_L14*Nutrición_D)+(A7_Y_L14*Nutrición_Y))*Inflación_7</f>
        <v>0</v>
      </c>
      <c r="AG17" s="101">
        <f>SUMIFS('9'!$E:$E,'9'!$A:$A,Año_Inicial+6,'9'!$B:$B,'12'!AF$4,'9'!$D:$D,"Aplicación de fertilizante")</f>
        <v>0</v>
      </c>
      <c r="AH17" s="101">
        <f>((A7_A_L15*Nutrición_A)+(A7_B_L15*Nutrición_B)+(A7_C_L15*Nutrición_C)+(A7_D_L15*Nutrición_D)+(A7_Y_L15*Nutrición_Y))*Inflación_7</f>
        <v>0</v>
      </c>
      <c r="AI17" s="101">
        <f>SUMIFS('9'!$E:$E,'9'!$A:$A,Año_Inicial+6,'9'!$B:$B,'12'!AH$4,'9'!$D:$D,"Aplicación de fertilizante")</f>
        <v>0</v>
      </c>
      <c r="AJ17" s="101">
        <f>((A7_A_L16*Nutrición_A)+(A7_B_L16*Nutrición_B)+(A7_C_L16*Nutrición_C)+(A7_D_L16*Nutrición_D)+(A7_Y_L16*Nutrición_Y))*Inflación_7</f>
        <v>0</v>
      </c>
      <c r="AK17" s="101">
        <f>SUMIFS('9'!$E:$E,'9'!$A:$A,Año_Inicial+6,'9'!$B:$B,'12'!AJ$4,'9'!$D:$D,"Aplicación de fertilizante")</f>
        <v>0</v>
      </c>
      <c r="AL17" s="101">
        <f>((A7_A_L17*Nutrición_A)+(A7_B_L17*Nutrición_B)+(A7_C_L17*Nutrición_C)+(A7_D_L17*Nutrición_D)+(A7_Y_L17*Nutrición_Y))*Inflación_7</f>
        <v>0</v>
      </c>
      <c r="AM17" s="101">
        <f>SUMIFS('9'!$E:$E,'9'!$A:$A,Año_Inicial+6,'9'!$B:$B,'12'!AL$4,'9'!$D:$D,"Aplicación de fertilizante")</f>
        <v>0</v>
      </c>
      <c r="AN17" s="101">
        <f>((A7_A_L18*Nutrición_A)+(A7_B_L18*Nutrición_B)+(A7_C_L18*Nutrición_C)+(A7_D_L18*Nutrición_D)+(A7_Y_L18*Nutrición_Y))*Inflación_7</f>
        <v>0</v>
      </c>
      <c r="AO17" s="101">
        <f>SUMIFS('9'!$E:$E,'9'!$A:$A,Año_Inicial+6,'9'!$B:$B,'12'!AN$4,'9'!$D:$D,"Aplicación de fertilizante")</f>
        <v>0</v>
      </c>
      <c r="AP17" s="101">
        <f>((A7_A_L19*Nutrición_A)+(A7_B_L19*Nutrición_B)+(A7_C_L19*Nutrición_C)+(A7_D_L19*Nutrición_D)+(A7_Y_L19*Nutrición_Y))*Inflación_7</f>
        <v>0</v>
      </c>
      <c r="AQ17" s="101">
        <f>SUMIFS('9'!$E:$E,'9'!$A:$A,Año_Inicial+6,'9'!$B:$B,'12'!AP$4,'9'!$D:$D,"Aplicación de fertilizante")</f>
        <v>0</v>
      </c>
      <c r="AR17" s="101">
        <f>((A7_A_L20*Nutrición_A)+(A7_B_L20*Nutrición_B)+(A7_C_L20*Nutrición_C)+(A7_D_L20*Nutrición_D)+(A7_Y_L20*Nutrición_Y))*Inflación_7</f>
        <v>0</v>
      </c>
      <c r="AS17" s="101">
        <f>SUMIFS('9'!$E:$E,'9'!$A:$A,Año_Inicial+6,'9'!$B:$B,'12'!AR$4,'9'!$D:$D,"Aplicación de fertilizante")</f>
        <v>0</v>
      </c>
      <c r="AT17" s="101">
        <f>((A7_A_L21*Nutrición_A)+(A7_B_L21*Nutrición_B)+(A7_C_L21*Nutrición_C)+(A7_D_L21*Nutrición_D)+(A7_Y_L21*Nutrición_Y))*Inflación_7</f>
        <v>0</v>
      </c>
      <c r="AU17" s="101">
        <f>SUMIFS('9'!$E:$E,'9'!$A:$A,Año_Inicial+6,'9'!$B:$B,'12'!AT$4,'9'!$D:$D,"Aplicación de fertilizante")</f>
        <v>0</v>
      </c>
      <c r="AV17" s="101">
        <f>((A7_A_L22*Nutrición_A)+(A7_B_L22*Nutrición_B)+(A7_C_L22*Nutrición_C)+(A7_D_L22*Nutrición_D)+(A7_Y_L22*Nutrición_Y))*Inflación_7</f>
        <v>0</v>
      </c>
      <c r="AW17" s="101">
        <f>SUMIFS('9'!$E:$E,'9'!$A:$A,Año_Inicial+6,'9'!$B:$B,'12'!AV$4,'9'!$D:$D,"Aplicación de fertilizante")</f>
        <v>0</v>
      </c>
      <c r="AX17" s="101">
        <f>((A7_A_L23*Nutrición_A)+(A7_B_L23*Nutrición_B)+(A7_C_L23*Nutrición_C)+(A7_D_L23*Nutrición_D)+(A7_Y_L23*Nutrición_Y))*Inflación_7</f>
        <v>0</v>
      </c>
      <c r="AY17" s="101">
        <f>SUMIFS('9'!$E:$E,'9'!$A:$A,Año_Inicial+6,'9'!$B:$B,'12'!AX$4,'9'!$D:$D,"Aplicación de fertilizante")</f>
        <v>0</v>
      </c>
      <c r="AZ17" s="101">
        <f>((A7_A_L24*Nutrición_A)+(A7_B_L24*Nutrición_B)+(A7_C_L24*Nutrición_C)+(A7_D_L24*Nutrición_D)+(A7_Y_L24*Nutrición_Y))*Inflación_7</f>
        <v>0</v>
      </c>
      <c r="BA17" s="101">
        <f>SUMIFS('9'!$E:$E,'9'!$A:$A,Año_Inicial+6,'9'!$B:$B,'12'!AZ$4,'9'!$D:$D,"Aplicación de fertilizante")</f>
        <v>0</v>
      </c>
      <c r="BB17" s="101">
        <f>((A7_A_L25*Nutrición_A)+(A7_B_L25*Nutrición_B)+(A7_C_L25*Nutrición_C)+(A7_D_L25*Nutrición_D)+(A7_Y_L25*Nutrición_Y))*Inflación_7</f>
        <v>0</v>
      </c>
      <c r="BC17" s="101">
        <f>SUMIFS('9'!$E:$E,'9'!$A:$A,Año_Inicial+6,'9'!$B:$B,'12'!BB$4,'9'!$D:$D,"Aplicación de fertilizante")</f>
        <v>0</v>
      </c>
      <c r="BD17" s="101">
        <f>((A7_A_L26*Nutrición_A)+(A7_B_L26*Nutrición_B)+(A7_C_L26*Nutrición_C)+(A7_D_L26*Nutrición_D)+(A7_Y_L26*Nutrición_Y))*Inflación_7</f>
        <v>0</v>
      </c>
      <c r="BE17" s="101">
        <f>SUMIFS('9'!$E:$E,'9'!$A:$A,Año_Inicial+6,'9'!$B:$B,'12'!BD$4,'9'!$D:$D,"Aplicación de fertilizante")</f>
        <v>0</v>
      </c>
      <c r="BF17" s="101">
        <f>((A7_A_L27*Nutrición_A)+(A7_B_L27*Nutrición_B)+(A7_C_L27*Nutrición_C)+(A7_D_L27*Nutrición_D)+(A7_Y_L27*Nutrición_Y))*Inflación_7</f>
        <v>0</v>
      </c>
      <c r="BG17" s="101">
        <f>SUMIFS('9'!$E:$E,'9'!$A:$A,Año_Inicial+6,'9'!$B:$B,'12'!BF$4,'9'!$D:$D,"Aplicación de fertilizante")</f>
        <v>0</v>
      </c>
      <c r="BH17" s="101">
        <f>((A7_A_L28*Nutrición_A)+(A7_B_L28*Nutrición_B)+(A7_C_L28*Nutrición_C)+(A7_D_L28*Nutrición_D)+(A7_Y_L28*Nutrición_Y))*Inflación_7</f>
        <v>0</v>
      </c>
      <c r="BI17" s="101">
        <f>SUMIFS('9'!$E:$E,'9'!$A:$A,Año_Inicial+6,'9'!$B:$B,'12'!BH$4,'9'!$D:$D,"Aplicación de fertilizante")</f>
        <v>0</v>
      </c>
      <c r="BJ17" s="101">
        <f>((A7_A_L29*Nutrición_A)+(A7_B_L29*Nutrición_B)+(A7_C_L29*Nutrición_C)+(A7_D_L29*Nutrición_D)+(A7_Y_L29*Nutrición_Y))*Inflación_7</f>
        <v>0</v>
      </c>
      <c r="BK17" s="101">
        <f>SUMIFS('9'!$E:$E,'9'!$A:$A,Año_Inicial+6,'9'!$B:$B,'12'!BJ$4,'9'!$D:$D,"Aplicación de fertilizante")</f>
        <v>0</v>
      </c>
      <c r="BL17" s="101">
        <f>((A7_A_L30*Nutrición_A)+(A7_B_L30*Nutrición_B)+(A7_C_L30*Nutrición_C)+(A7_D_L30*Nutrición_D)+(A7_Y_L30*Nutrición_Y))*Inflación_7</f>
        <v>0</v>
      </c>
      <c r="BM17" s="101">
        <f>SUMIFS('9'!$E:$E,'9'!$A:$A,Año_Inicial+6,'9'!$B:$B,'12'!BL$4,'9'!$D:$D,"Aplicación de fertilizante")</f>
        <v>0</v>
      </c>
      <c r="BN17" s="101">
        <f>((A7_A_L31*Nutrición_A)+(A7_B_L31*Nutrición_B)+(A7_C_L31*Nutrición_C)+(A7_D_L31*Nutrición_D)+(A7_Y_L31*Nutrición_Y))*Inflación_7</f>
        <v>0</v>
      </c>
      <c r="BO17" s="101">
        <f>SUMIFS('9'!$E:$E,'9'!$A:$A,Año_Inicial+6,'9'!$B:$B,'12'!BN$4,'9'!$D:$D,"Aplicación de fertilizante")</f>
        <v>0</v>
      </c>
      <c r="BP17" s="101">
        <f>((A7_A_L32*Nutrición_A)+(A7_B_L32*Nutrición_B)+(A7_C_L32*Nutrición_C)+(A7_D_L32*Nutrición_D)+(A7_Y_L32*Nutrición_Y))*Inflación_7</f>
        <v>0</v>
      </c>
      <c r="BQ17" s="101">
        <f>SUMIFS('9'!$E:$E,'9'!$A:$A,Año_Inicial+6,'9'!$B:$B,'12'!BP$4,'9'!$D:$D,"Aplicación de fertilizante")</f>
        <v>0</v>
      </c>
      <c r="BR17" s="101">
        <f>((A7_A_L33*Nutrición_A)+(A7_B_L33*Nutrición_B)+(A7_C_L33*Nutrición_C)+(A7_D_L33*Nutrición_D)+(A7_Y_L33*Nutrición_Y))*Inflación_7</f>
        <v>0</v>
      </c>
      <c r="BS17" s="101">
        <f>SUMIFS('9'!$E:$E,'9'!$A:$A,Año_Inicial+6,'9'!$B:$B,'12'!BR$4,'9'!$D:$D,"Aplicación de fertilizante")</f>
        <v>0</v>
      </c>
      <c r="BT17" s="101">
        <f>((A7_A_L34*Nutrición_A)+(A7_B_L34*Nutrición_B)+(A7_C_L34*Nutrición_C)+(A7_D_L34*Nutrición_D)+(A7_Y_L34*Nutrición_Y))*Inflación_7</f>
        <v>0</v>
      </c>
      <c r="BU17" s="101">
        <f>SUMIFS('9'!$E:$E,'9'!$A:$A,Año_Inicial+6,'9'!$B:$B,'12'!BT$4,'9'!$D:$D,"Aplicación de fertilizante")</f>
        <v>0</v>
      </c>
      <c r="BV17" s="101">
        <f>((A7_A_L35*Nutrición_A)+(A7_B_L35*Nutrición_B)+(A7_C_L35*Nutrición_C)+(A7_D_L35*Nutrición_D)+(A7_Y_L35*Nutrición_Y))*Inflación_7</f>
        <v>0</v>
      </c>
      <c r="BW17" s="101">
        <f>SUMIFS('9'!$E:$E,'9'!$A:$A,Año_Inicial+6,'9'!$B:$B,'12'!BV$4,'9'!$D:$D,"Aplicación de fertilizante")</f>
        <v>0</v>
      </c>
      <c r="BX17" s="101">
        <f>((A7_A_L36*Nutrición_A)+(A7_B_L36*Nutrición_B)+(A7_C_L36*Nutrición_C)+(A7_D_L36*Nutrición_D)+(A7_Y_L36*Nutrición_Y))*Inflación_7</f>
        <v>0</v>
      </c>
      <c r="BY17" s="101">
        <f>SUMIFS('9'!$E:$E,'9'!$A:$A,Año_Inicial+6,'9'!$B:$B,'12'!BX$4,'9'!$D:$D,"Aplicación de fertilizante")</f>
        <v>0</v>
      </c>
      <c r="BZ17" s="101">
        <f>((A7_A_L37*Nutrición_A)+(A7_B_L37*Nutrición_B)+(A7_C_L37*Nutrición_C)+(A7_D_L37*Nutrición_D)+(A7_Y_L37*Nutrición_Y))*Inflación_7</f>
        <v>0</v>
      </c>
      <c r="CA17" s="101">
        <f>SUMIFS('9'!$E:$E,'9'!$A:$A,Año_Inicial+6,'9'!$B:$B,'12'!BZ$4,'9'!$D:$D,"Aplicación de fertilizante")</f>
        <v>0</v>
      </c>
      <c r="CB17" s="101">
        <f>((A7_A_L38*Nutrición_A)+(A7_B_L38*Nutrición_B)+(A7_C_L38*Nutrición_C)+(A7_D_L38*Nutrición_D)+(A7_Y_L38*Nutrición_Y))*Inflación_7</f>
        <v>0</v>
      </c>
      <c r="CC17" s="101">
        <f>SUMIFS('9'!$E:$E,'9'!$A:$A,Año_Inicial+6,'9'!$B:$B,'12'!CB$4,'9'!$D:$D,"Aplicación de fertilizante")</f>
        <v>0</v>
      </c>
      <c r="CD17" s="101">
        <f>((A7_A_L39*Nutrición_A)+(A7_B_L39*Nutrición_B)+(A7_C_L39*Nutrición_C)+(A7_D_L39*Nutrición_D)+(A7_Y_L39*Nutrición_Y))*Inflación_7</f>
        <v>0</v>
      </c>
      <c r="CE17" s="101">
        <f>SUMIFS('9'!$E:$E,'9'!$A:$A,Año_Inicial+6,'9'!$B:$B,'12'!CD$4,'9'!$D:$D,"Aplicación de fertilizante")</f>
        <v>0</v>
      </c>
      <c r="CF17" s="101">
        <f>((A7_A_L40*Nutrición_A)+(A7_B_L40*Nutrición_B)+(A7_C_L40*Nutrición_C)+(A7_D_L40*Nutrición_D)+(A7_Y_L40*Nutrición_Y))*Inflación_7</f>
        <v>0</v>
      </c>
      <c r="CG17" s="101">
        <f>SUMIFS('9'!$E:$E,'9'!$A:$A,Año_Inicial+6,'9'!$B:$B,'12'!CF$4,'9'!$D:$D,"Aplicación de fertilizante")</f>
        <v>0</v>
      </c>
      <c r="CH17" s="473"/>
      <c r="CI17" s="101">
        <f>Plantas_A_A7*Nutrición_A*Inflación_7</f>
        <v>0</v>
      </c>
      <c r="CJ17" s="101">
        <f>Plantas_B_A7*Nutrición_B</f>
        <v>0</v>
      </c>
      <c r="CK17" s="101">
        <f>Plantas_C_A7*Nutrición_C</f>
        <v>0</v>
      </c>
      <c r="CL17" s="101">
        <f>Plantas_D_A7*Nutrición_D</f>
        <v>0</v>
      </c>
      <c r="CM17" s="101"/>
      <c r="CN17" s="101">
        <f>Plantas_Y_A7*Nutrición_Y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SUMIFS('9'!$E:$E,'9'!$A:$A,Año_Inicial+6,'9'!$D:$D,"Aplicación de enmiendas")</f>
        <v>0</v>
      </c>
      <c r="D18" s="100">
        <f t="shared" si="45"/>
        <v>0</v>
      </c>
      <c r="E18" s="473"/>
      <c r="F18" s="101">
        <f>((A7_A_L1*Enmienda_A)+(A7_B_L1*Enmienda_B)+(A7_C_L1*Enmienda_C)+(A7_D_L1*Enmienda_D)+(A7_Y_L1*Enmienda_Y))*Inflación_7</f>
        <v>0</v>
      </c>
      <c r="G18" s="101">
        <f>SUMIFS('9'!$E:$E,'9'!$A:$A,Año_Inicial+6,'9'!$B:$B,'12'!F$4,'9'!$D:$D,"Aplicación de enmiendas")</f>
        <v>0</v>
      </c>
      <c r="H18" s="101">
        <f>((A7_A_L2*Enmienda_A)+(A7_B_L2*Enmienda_B)+(A7_C_L2*Enmienda_C)+(A7_D_L2*Enmienda_D)+(A7_Y_L2*Enmienda_Y))*Inflación_7</f>
        <v>0</v>
      </c>
      <c r="I18" s="101">
        <f>SUMIFS('9'!$E:$E,'9'!$A:$A,Año_Inicial+6,'9'!$B:$B,'12'!H$4,'9'!$D:$D,"Aplicación de enmiendas")</f>
        <v>0</v>
      </c>
      <c r="J18" s="101">
        <f>((A7_A_L3*Enmienda_A)+(A7_B_L3*Enmienda_B)+(A7_C_L3*Enmienda_C)+(A7_D_L3*Enmienda_D)+(A7_Y_L3*Enmienda_Y))*Inflación_7</f>
        <v>0</v>
      </c>
      <c r="K18" s="101">
        <f>SUMIFS('9'!$E:$E,'9'!$A:$A,Año_Inicial+6,'9'!$B:$B,'12'!J$4,'9'!$D:$D,"Aplicación de enmiendas")</f>
        <v>0</v>
      </c>
      <c r="L18" s="101">
        <f>((A7_A_L4*Enmienda_A)+(A7_B_L4*Enmienda_B)+(A7_C_L4*Enmienda_C)+(A7_D_L4*Enmienda_D)+(A7_Y_L4*Enmienda_Y))*Inflación_7</f>
        <v>0</v>
      </c>
      <c r="M18" s="101">
        <f>SUMIFS('9'!$E:$E,'9'!$A:$A,Año_Inicial+6,'9'!$B:$B,'12'!L$4,'9'!$D:$D,"Aplicación de enmiendas")</f>
        <v>0</v>
      </c>
      <c r="N18" s="101">
        <f>((A7_A_L5*Enmienda_A)+(A7_B_L5*Enmienda_B)+(A7_C_L5*Enmienda_C)+(A7_D_L5*Enmienda_D)+(A7_Y_L5*Enmienda_Y))*Inflación_7</f>
        <v>0</v>
      </c>
      <c r="O18" s="101">
        <f>SUMIFS('9'!$E:$E,'9'!$A:$A,Año_Inicial+6,'9'!$B:$B,'12'!N$4,'9'!$D:$D,"Aplicación de enmiendas")</f>
        <v>0</v>
      </c>
      <c r="P18" s="101">
        <f>((A7_A_L6*Enmienda_A)+(A7_B_L6*Enmienda_B)+(A7_C_L6*Enmienda_C)+(A7_D_L6*Enmienda_D)+(A7_Y_L6*Enmienda_Y))*Inflación_7</f>
        <v>0</v>
      </c>
      <c r="Q18" s="101">
        <f>SUMIFS('9'!$E:$E,'9'!$A:$A,Año_Inicial+6,'9'!$B:$B,'12'!P$4,'9'!$D:$D,"Aplicación de enmiendas")</f>
        <v>0</v>
      </c>
      <c r="R18" s="101">
        <f>((A7_A_L7*Enmienda_A)+(A7_B_L7*Enmienda_B)+(A7_C_L7*Enmienda_C)+(A7_D_L7*Enmienda_D)+(A7_Y_L7*Enmienda_Y))*Inflación_7</f>
        <v>0</v>
      </c>
      <c r="S18" s="101">
        <f>SUMIFS('9'!$E:$E,'9'!$A:$A,Año_Inicial+6,'9'!$B:$B,'12'!R$4,'9'!$D:$D,"Aplicación de enmiendas")</f>
        <v>0</v>
      </c>
      <c r="T18" s="101">
        <f>((A7_A_L8*Enmienda_A)+(A7_B_L8*Enmienda_B)+(A7_C_L8*Enmienda_C)+(A7_D_L8*Enmienda_D)+(A7_Y_L8*Enmienda_Y))*Inflación_7</f>
        <v>0</v>
      </c>
      <c r="U18" s="101">
        <f>SUMIFS('9'!$E:$E,'9'!$A:$A,Año_Inicial+6,'9'!$B:$B,'12'!T$4,'9'!$D:$D,"Aplicación de enmiendas")</f>
        <v>0</v>
      </c>
      <c r="V18" s="101">
        <f>((A7_A_L9*Enmienda_A)+(A7_B_L9*Enmienda_B)+(A7_C_L9*Enmienda_C)+(A7_D_L9*Enmienda_D)+(A7_Y_L9*Enmienda_Y))*Inflación_7</f>
        <v>0</v>
      </c>
      <c r="W18" s="101">
        <f>SUMIFS('9'!$E:$E,'9'!$A:$A,Año_Inicial+6,'9'!$B:$B,'12'!V$4,'9'!$D:$D,"Aplicación de enmiendas")</f>
        <v>0</v>
      </c>
      <c r="X18" s="101">
        <f>((A7_A_L10*Enmienda_A)+(A7_B_L10*Enmienda_B)+(A7_C_L10*Enmienda_C)+(A7_D_L10*Enmienda_D)+(A7_Y_L10*Enmienda_Y))*Inflación_7</f>
        <v>0</v>
      </c>
      <c r="Y18" s="101">
        <f>SUMIFS('9'!$E:$E,'9'!$A:$A,Año_Inicial+6,'9'!$B:$B,'12'!X$4,'9'!$D:$D,"Aplicación de enmiendas")</f>
        <v>0</v>
      </c>
      <c r="Z18" s="101">
        <f>((A7_A_L11*Enmienda_A)+(A7_B_L11*Enmienda_B)+(A7_C_L11*Enmienda_C)+(A7_D_L11*Enmienda_D)+(A7_Y_L11*Enmienda_Y))*Inflación_7</f>
        <v>0</v>
      </c>
      <c r="AA18" s="101">
        <f>SUMIFS('9'!$E:$E,'9'!$A:$A,Año_Inicial+6,'9'!$B:$B,'12'!Z$4,'9'!$D:$D,"Aplicación de enmiendas")</f>
        <v>0</v>
      </c>
      <c r="AB18" s="101">
        <f>((A7_A_L12*Enmienda_A)+(A7_B_L12*Enmienda_B)+(A7_C_L12*Enmienda_C)+(A7_D_L12*Enmienda_D)+(A7_Y_L12*Enmienda_Y))*Inflación_7</f>
        <v>0</v>
      </c>
      <c r="AC18" s="101">
        <f>SUMIFS('9'!$E:$E,'9'!$A:$A,Año_Inicial+6,'9'!$B:$B,'12'!AB$4,'9'!$D:$D,"Aplicación de enmiendas")</f>
        <v>0</v>
      </c>
      <c r="AD18" s="101">
        <f>((A7_A_L13*Enmienda_A)+(A7_B_L13*Enmienda_B)+(A7_C_L13*Enmienda_C)+(A7_D_L13*Enmienda_D)+(A7_Y_L13*Enmienda_Y))*Inflación_7</f>
        <v>0</v>
      </c>
      <c r="AE18" s="101">
        <f>SUMIFS('9'!$E:$E,'9'!$A:$A,Año_Inicial+6,'9'!$B:$B,'12'!AD$4,'9'!$D:$D,"Aplicación de enmiendas")</f>
        <v>0</v>
      </c>
      <c r="AF18" s="101">
        <f>((A7_A_L14*Enmienda_A)+(A7_B_L14*Enmienda_B)+(A7_C_L14*Enmienda_C)+(A7_D_L14*Enmienda_D)+(A7_Y_L14*Enmienda_Y))*Inflación_7</f>
        <v>0</v>
      </c>
      <c r="AG18" s="101">
        <f>SUMIFS('9'!$E:$E,'9'!$A:$A,Año_Inicial+6,'9'!$B:$B,'12'!AF$4,'9'!$D:$D,"Aplicación de enmiendas")</f>
        <v>0</v>
      </c>
      <c r="AH18" s="101">
        <f>((A7_A_L15*Enmienda_A)+(A7_B_L15*Enmienda_B)+(A7_C_L15*Enmienda_C)+(A7_D_L15*Enmienda_D)+(A7_Y_L15*Enmienda_Y))*Inflación_7</f>
        <v>0</v>
      </c>
      <c r="AI18" s="101">
        <f>SUMIFS('9'!$E:$E,'9'!$A:$A,Año_Inicial+6,'9'!$B:$B,'12'!AH$4,'9'!$D:$D,"Aplicación de enmiendas")</f>
        <v>0</v>
      </c>
      <c r="AJ18" s="101">
        <f>((A7_A_L16*Enmienda_A)+(A7_B_L16*Enmienda_B)+(A7_C_L16*Enmienda_C)+(A7_D_L16*Enmienda_D)+(A7_Y_L16*Enmienda_Y))*Inflación_7</f>
        <v>0</v>
      </c>
      <c r="AK18" s="101">
        <f>SUMIFS('9'!$E:$E,'9'!$A:$A,Año_Inicial+6,'9'!$B:$B,'12'!AJ$4,'9'!$D:$D,"Aplicación de enmiendas")</f>
        <v>0</v>
      </c>
      <c r="AL18" s="101">
        <f>((A7_A_L17*Enmienda_A)+(A7_B_L17*Enmienda_B)+(A7_C_L17*Enmienda_C)+(A7_D_L17*Enmienda_D)+(A7_Y_L17*Enmienda_Y))*Inflación_7</f>
        <v>0</v>
      </c>
      <c r="AM18" s="101">
        <f>SUMIFS('9'!$E:$E,'9'!$A:$A,Año_Inicial+6,'9'!$B:$B,'12'!AL$4,'9'!$D:$D,"Aplicación de enmiendas")</f>
        <v>0</v>
      </c>
      <c r="AN18" s="101">
        <f>((A7_A_L18*Enmienda_A)+(A7_B_L18*Enmienda_B)+(A7_C_L18*Enmienda_C)+(A7_D_L18*Enmienda_D)+(A7_Y_L18*Enmienda_Y))*Inflación_7</f>
        <v>0</v>
      </c>
      <c r="AO18" s="101">
        <f>SUMIFS('9'!$E:$E,'9'!$A:$A,Año_Inicial+6,'9'!$B:$B,'12'!AN$4,'9'!$D:$D,"Aplicación de enmiendas")</f>
        <v>0</v>
      </c>
      <c r="AP18" s="101">
        <f>((A7_A_L19*Enmienda_A)+(A7_B_L19*Enmienda_B)+(A7_C_L19*Enmienda_C)+(A7_D_L19*Enmienda_D)+(A7_Y_L19*Enmienda_Y))*Inflación_7</f>
        <v>0</v>
      </c>
      <c r="AQ18" s="101">
        <f>SUMIFS('9'!$E:$E,'9'!$A:$A,Año_Inicial+6,'9'!$B:$B,'12'!AP$4,'9'!$D:$D,"Aplicación de enmiendas")</f>
        <v>0</v>
      </c>
      <c r="AR18" s="101">
        <f>((A7_A_L20*Enmienda_A)+(A7_B_L20*Enmienda_B)+(A7_C_L20*Enmienda_C)+(A7_D_L20*Enmienda_D)+(A7_Y_L20*Enmienda_Y))*Inflación_7</f>
        <v>0</v>
      </c>
      <c r="AS18" s="101">
        <f>SUMIFS('9'!$E:$E,'9'!$A:$A,Año_Inicial+6,'9'!$B:$B,'12'!AR$4,'9'!$D:$D,"Aplicación de enmiendas")</f>
        <v>0</v>
      </c>
      <c r="AT18" s="101">
        <f>((A7_A_L21*Enmienda_A)+(A7_B_L21*Enmienda_B)+(A7_C_L21*Enmienda_C)+(A7_D_L21*Enmienda_D)+(A7_Y_L21*Enmienda_Y))*Inflación_7</f>
        <v>0</v>
      </c>
      <c r="AU18" s="101">
        <f>SUMIFS('9'!$E:$E,'9'!$A:$A,Año_Inicial+6,'9'!$B:$B,'12'!AT$4,'9'!$D:$D,"Aplicación de enmiendas")</f>
        <v>0</v>
      </c>
      <c r="AV18" s="101">
        <f>((A7_A_L22*Enmienda_A)+(A7_B_L22*Enmienda_B)+(A7_C_L22*Enmienda_C)+(A7_D_L22*Enmienda_D)+(A7_Y_L22*Enmienda_Y))*Inflación_7</f>
        <v>0</v>
      </c>
      <c r="AW18" s="101">
        <f>SUMIFS('9'!$E:$E,'9'!$A:$A,Año_Inicial+6,'9'!$B:$B,'12'!AV$4,'9'!$D:$D,"Aplicación de enmiendas")</f>
        <v>0</v>
      </c>
      <c r="AX18" s="101">
        <f>((A7_A_L23*Enmienda_A)+(A7_B_L23*Enmienda_B)+(A7_C_L23*Enmienda_C)+(A7_D_L23*Enmienda_D)+(A7_Y_L23*Enmienda_Y))*Inflación_7</f>
        <v>0</v>
      </c>
      <c r="AY18" s="101">
        <f>SUMIFS('9'!$E:$E,'9'!$A:$A,Año_Inicial+6,'9'!$B:$B,'12'!AX$4,'9'!$D:$D,"Aplicación de enmiendas")</f>
        <v>0</v>
      </c>
      <c r="AZ18" s="101">
        <f>((A7_A_L24*Enmienda_A)+(A7_B_L24*Enmienda_B)+(A7_C_L24*Enmienda_C)+(A7_D_L24*Enmienda_D)+(A7_Y_L24*Enmienda_Y))*Inflación_7</f>
        <v>0</v>
      </c>
      <c r="BA18" s="101">
        <f>SUMIFS('9'!$E:$E,'9'!$A:$A,Año_Inicial+6,'9'!$B:$B,'12'!AZ$4,'9'!$D:$D,"Aplicación de enmiendas")</f>
        <v>0</v>
      </c>
      <c r="BB18" s="101">
        <f>((A7_A_L25*Enmienda_A)+(A7_B_L25*Enmienda_B)+(A7_C_L25*Enmienda_C)+(A7_D_L25*Enmienda_D)+(A7_Y_L25*Enmienda_Y))*Inflación_7</f>
        <v>0</v>
      </c>
      <c r="BC18" s="101">
        <f>SUMIFS('9'!$E:$E,'9'!$A:$A,Año_Inicial+6,'9'!$B:$B,'12'!BB$4,'9'!$D:$D,"Aplicación de enmiendas")</f>
        <v>0</v>
      </c>
      <c r="BD18" s="101">
        <f>((A7_A_L26*Enmienda_A)+(A7_B_L26*Enmienda_B)+(A7_C_L26*Enmienda_C)+(A7_D_L26*Enmienda_D)+(A7_Y_L26*Enmienda_Y))*Inflación_7</f>
        <v>0</v>
      </c>
      <c r="BE18" s="101">
        <f>SUMIFS('9'!$E:$E,'9'!$A:$A,Año_Inicial+6,'9'!$B:$B,'12'!BD$4,'9'!$D:$D,"Aplicación de enmiendas")</f>
        <v>0</v>
      </c>
      <c r="BF18" s="101">
        <f>((A7_A_L27*Enmienda_A)+(A7_B_L27*Enmienda_B)+(A7_C_L27*Enmienda_C)+(A7_D_L27*Enmienda_D)+(A7_Y_L27*Enmienda_Y))*Inflación_7</f>
        <v>0</v>
      </c>
      <c r="BG18" s="101">
        <f>SUMIFS('9'!$E:$E,'9'!$A:$A,Año_Inicial+6,'9'!$B:$B,'12'!BF$4,'9'!$D:$D,"Aplicación de enmiendas")</f>
        <v>0</v>
      </c>
      <c r="BH18" s="101">
        <f>((A7_A_L28*Enmienda_A)+(A7_B_L28*Enmienda_B)+(A7_C_L28*Enmienda_C)+(A7_D_L28*Enmienda_D)+(A7_Y_L28*Enmienda_Y))*Inflación_7</f>
        <v>0</v>
      </c>
      <c r="BI18" s="101">
        <f>SUMIFS('9'!$E:$E,'9'!$A:$A,Año_Inicial+6,'9'!$B:$B,'12'!BH$4,'9'!$D:$D,"Aplicación de enmiendas")</f>
        <v>0</v>
      </c>
      <c r="BJ18" s="101">
        <f>((A7_A_L29*Enmienda_A)+(A7_B_L29*Enmienda_B)+(A7_C_L29*Enmienda_C)+(A7_D_L29*Enmienda_D)+(A7_Y_L29*Enmienda_Y))*Inflación_7</f>
        <v>0</v>
      </c>
      <c r="BK18" s="101">
        <f>SUMIFS('9'!$E:$E,'9'!$A:$A,Año_Inicial+6,'9'!$B:$B,'12'!BJ$4,'9'!$D:$D,"Aplicación de enmiendas")</f>
        <v>0</v>
      </c>
      <c r="BL18" s="101">
        <f>((A7_A_L30*Enmienda_A)+(A7_B_L30*Enmienda_B)+(A7_C_L30*Enmienda_C)+(A7_D_L30*Enmienda_D)+(A7_Y_L30*Enmienda_Y))*Inflación_7</f>
        <v>0</v>
      </c>
      <c r="BM18" s="101">
        <f>SUMIFS('9'!$E:$E,'9'!$A:$A,Año_Inicial+6,'9'!$B:$B,'12'!BL$4,'9'!$D:$D,"Aplicación de enmiendas")</f>
        <v>0</v>
      </c>
      <c r="BN18" s="101">
        <f>((A7_A_L31*Enmienda_A)+(A7_B_L31*Enmienda_B)+(A7_C_L31*Enmienda_C)+(A7_D_L31*Enmienda_D)+(A7_Y_L31*Enmienda_Y))*Inflación_7</f>
        <v>0</v>
      </c>
      <c r="BO18" s="101">
        <f>SUMIFS('9'!$E:$E,'9'!$A:$A,Año_Inicial+6,'9'!$B:$B,'12'!BN$4,'9'!$D:$D,"Aplicación de enmiendas")</f>
        <v>0</v>
      </c>
      <c r="BP18" s="101">
        <f>((A7_A_L32*Enmienda_A)+(A7_B_L32*Enmienda_B)+(A7_C_L32*Enmienda_C)+(A7_D_L32*Enmienda_D)+(A7_Y_L32*Enmienda_Y))*Inflación_7</f>
        <v>0</v>
      </c>
      <c r="BQ18" s="101">
        <f>SUMIFS('9'!$E:$E,'9'!$A:$A,Año_Inicial+6,'9'!$B:$B,'12'!BP$4,'9'!$D:$D,"Aplicación de enmiendas")</f>
        <v>0</v>
      </c>
      <c r="BR18" s="101">
        <f>((A7_A_L33*Enmienda_A)+(A7_B_L33*Enmienda_B)+(A7_C_L33*Enmienda_C)+(A7_D_L33*Enmienda_D)+(A7_Y_L33*Enmienda_Y))*Inflación_7</f>
        <v>0</v>
      </c>
      <c r="BS18" s="101">
        <f>SUMIFS('9'!$E:$E,'9'!$A:$A,Año_Inicial+6,'9'!$B:$B,'12'!BR$4,'9'!$D:$D,"Aplicación de enmiendas")</f>
        <v>0</v>
      </c>
      <c r="BT18" s="101">
        <f>((A7_A_L34*Enmienda_A)+(A7_B_L34*Enmienda_B)+(A7_C_L34*Enmienda_C)+(A7_D_L34*Enmienda_D)+(A7_Y_L34*Enmienda_Y))*Inflación_7</f>
        <v>0</v>
      </c>
      <c r="BU18" s="101">
        <f>SUMIFS('9'!$E:$E,'9'!$A:$A,Año_Inicial+6,'9'!$B:$B,'12'!BT$4,'9'!$D:$D,"Aplicación de enmiendas")</f>
        <v>0</v>
      </c>
      <c r="BV18" s="101">
        <f>((A7_A_L35*Enmienda_A)+(A7_B_L35*Enmienda_B)+(A7_C_L35*Enmienda_C)+(A7_D_L35*Enmienda_D)+(A7_Y_L35*Enmienda_Y))*Inflación_7</f>
        <v>0</v>
      </c>
      <c r="BW18" s="101">
        <f>SUMIFS('9'!$E:$E,'9'!$A:$A,Año_Inicial+6,'9'!$B:$B,'12'!BV$4,'9'!$D:$D,"Aplicación de enmiendas")</f>
        <v>0</v>
      </c>
      <c r="BX18" s="101">
        <f>((A7_A_L36*Enmienda_A)+(A7_B_L36*Enmienda_B)+(A7_C_L36*Enmienda_C)+(A7_D_L36*Enmienda_D)+(A7_Y_L36*Enmienda_Y))*Inflación_7</f>
        <v>0</v>
      </c>
      <c r="BY18" s="101">
        <f>SUMIFS('9'!$E:$E,'9'!$A:$A,Año_Inicial+6,'9'!$B:$B,'12'!BX$4,'9'!$D:$D,"Aplicación de enmiendas")</f>
        <v>0</v>
      </c>
      <c r="BZ18" s="101">
        <f>((A7_A_L37*Enmienda_A)+(A7_B_L37*Enmienda_B)+(A7_C_L37*Enmienda_C)+(A7_D_L37*Enmienda_D)+(A7_Y_L37*Enmienda_Y))*Inflación_7</f>
        <v>0</v>
      </c>
      <c r="CA18" s="101">
        <f>SUMIFS('9'!$E:$E,'9'!$A:$A,Año_Inicial+6,'9'!$B:$B,'12'!BZ$4,'9'!$D:$D,"Aplicación de enmiendas")</f>
        <v>0</v>
      </c>
      <c r="CB18" s="101">
        <f>((A7_A_L38*Enmienda_A)+(A7_B_L38*Enmienda_B)+(A7_C_L38*Enmienda_C)+(A7_D_L38*Enmienda_D)+(A7_Y_L38*Enmienda_Y))*Inflación_7</f>
        <v>0</v>
      </c>
      <c r="CC18" s="101">
        <f>SUMIFS('9'!$E:$E,'9'!$A:$A,Año_Inicial+6,'9'!$B:$B,'12'!CB$4,'9'!$D:$D,"Aplicación de enmiendas")</f>
        <v>0</v>
      </c>
      <c r="CD18" s="101">
        <f>((A7_A_L39*Enmienda_A)+(A7_B_L39*Enmienda_B)+(A7_C_L39*Enmienda_C)+(A7_D_L39*Enmienda_D)+(A7_Y_L39*Enmienda_Y))*Inflación_7</f>
        <v>0</v>
      </c>
      <c r="CE18" s="101">
        <f>SUMIFS('9'!$E:$E,'9'!$A:$A,Año_Inicial+6,'9'!$B:$B,'12'!CD$4,'9'!$D:$D,"Aplicación de enmiendas")</f>
        <v>0</v>
      </c>
      <c r="CF18" s="101">
        <f>((A7_A_L40*Enmienda_A)+(A7_B_L40*Enmienda_B)+(A7_C_L40*Enmienda_C)+(A7_D_L40*Enmienda_D)+(A7_Y_L40*Enmienda_Y))*Inflación_7</f>
        <v>0</v>
      </c>
      <c r="CG18" s="101">
        <f>SUMIFS('9'!$E:$E,'9'!$A:$A,Año_Inicial+6,'9'!$B:$B,'12'!CF$4,'9'!$D:$D,"Aplicación de enmiendas")</f>
        <v>0</v>
      </c>
      <c r="CH18" s="473"/>
      <c r="CI18" s="101">
        <f>Plantas_A_A7*Enmienda_A*Inflación_7</f>
        <v>0</v>
      </c>
      <c r="CJ18" s="101">
        <f>Plantas_B_A7*Enmienda_B</f>
        <v>0</v>
      </c>
      <c r="CK18" s="101">
        <f>Plantas_C_A7*Enmienda_C</f>
        <v>0</v>
      </c>
      <c r="CL18" s="101">
        <f>Plantas_D_A7*Enmienda_D</f>
        <v>0</v>
      </c>
      <c r="CM18" s="101"/>
      <c r="CN18" s="101">
        <f>Plantas_Y_A7*Enmienda_Y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SUMIFS('9'!$E:$E,'9'!$A:$A,Año_Inicial+6,'9'!$D:$D,"Fertilizante químico")</f>
        <v>0</v>
      </c>
      <c r="D19" s="100">
        <f t="shared" si="45"/>
        <v>0</v>
      </c>
      <c r="E19" s="473"/>
      <c r="F19" s="101">
        <f>((A7_A_L1*Fertilizante_A)+(A7_B_L1*Fertilizante_B)+(A7_C_L1*Fertilizante_C)+(A7_D_L1*Fertilizante_D)+(A7_Y_L1*Fertilizante_Y))*Inflación_7</f>
        <v>0</v>
      </c>
      <c r="G19" s="101">
        <f>SUMIFS('9'!$E:$E,'9'!$A:$A,Año_Inicial+6,'9'!$B:$B,'12'!F$4,'9'!$D:$D,"Fertilizante químico")</f>
        <v>0</v>
      </c>
      <c r="H19" s="101">
        <f>((A7_A_L2*Fertilizante_A)+(A7_B_L2*Fertilizante_B)+(A7_C_L2*Fertilizante_C)+(A7_D_L2*Fertilizante_D)+(A7_Y_L2*Fertilizante_Y))*Inflación_7</f>
        <v>0</v>
      </c>
      <c r="I19" s="101">
        <f>SUMIFS('9'!$E:$E,'9'!$A:$A,Año_Inicial+6,'9'!$B:$B,'12'!H$4,'9'!$D:$D,"Fertilizante químico")</f>
        <v>0</v>
      </c>
      <c r="J19" s="101">
        <f>((A7_A_L3*Fertilizante_A)+(A7_B_L3*Fertilizante_B)+(A7_C_L3*Fertilizante_C)+(A7_D_L3*Fertilizante_D)+(A7_Y_L3*Fertilizante_Y))*Inflación_7</f>
        <v>0</v>
      </c>
      <c r="K19" s="101">
        <f>SUMIFS('9'!$E:$E,'9'!$A:$A,Año_Inicial+6,'9'!$B:$B,'12'!J$4,'9'!$D:$D,"Fertilizante químico")</f>
        <v>0</v>
      </c>
      <c r="L19" s="101">
        <f>((A7_A_L4*Fertilizante_A)+(A7_B_L4*Fertilizante_B)+(A7_C_L4*Fertilizante_C)+(A7_D_L4*Fertilizante_D)+(A7_Y_L4*Fertilizante_Y))*Inflación_7</f>
        <v>0</v>
      </c>
      <c r="M19" s="101">
        <f>SUMIFS('9'!$E:$E,'9'!$A:$A,Año_Inicial+6,'9'!$B:$B,'12'!L$4,'9'!$D:$D,"Fertilizante químico")</f>
        <v>0</v>
      </c>
      <c r="N19" s="101">
        <f>((A7_A_L5*Fertilizante_A)+(A7_B_L5*Fertilizante_B)+(A7_C_L5*Fertilizante_C)+(A7_D_L5*Fertilizante_D)+(A7_Y_L5*Fertilizante_Y))*Inflación_7</f>
        <v>0</v>
      </c>
      <c r="O19" s="101">
        <f>SUMIFS('9'!$E:$E,'9'!$A:$A,Año_Inicial+6,'9'!$B:$B,'12'!N$4,'9'!$D:$D,"Fertilizante químico")</f>
        <v>0</v>
      </c>
      <c r="P19" s="101">
        <f>((A7_A_L6*Fertilizante_A)+(A7_B_L6*Fertilizante_B)+(A7_C_L6*Fertilizante_C)+(A7_D_L6*Fertilizante_D)+(A7_Y_L6*Fertilizante_Y))*Inflación_7</f>
        <v>0</v>
      </c>
      <c r="Q19" s="101">
        <f>SUMIFS('9'!$E:$E,'9'!$A:$A,Año_Inicial+6,'9'!$B:$B,'12'!P$4,'9'!$D:$D,"Fertilizante químico")</f>
        <v>0</v>
      </c>
      <c r="R19" s="101">
        <f>((A7_A_L7*Fertilizante_A)+(A7_B_L7*Fertilizante_B)+(A7_C_L7*Fertilizante_C)+(A7_D_L7*Fertilizante_D)+(A7_Y_L7*Fertilizante_Y))*Inflación_7</f>
        <v>0</v>
      </c>
      <c r="S19" s="101">
        <f>SUMIFS('9'!$E:$E,'9'!$A:$A,Año_Inicial+6,'9'!$B:$B,'12'!R$4,'9'!$D:$D,"Fertilizante químico")</f>
        <v>0</v>
      </c>
      <c r="T19" s="101">
        <f>((A7_A_L8*Fertilizante_A)+(A7_B_L8*Fertilizante_B)+(A7_C_L8*Fertilizante_C)+(A7_D_L8*Fertilizante_D)+(A7_Y_L8*Fertilizante_Y))*Inflación_7</f>
        <v>0</v>
      </c>
      <c r="U19" s="101">
        <f>SUMIFS('9'!$E:$E,'9'!$A:$A,Año_Inicial+6,'9'!$B:$B,'12'!T$4,'9'!$D:$D,"Fertilizante químico")</f>
        <v>0</v>
      </c>
      <c r="V19" s="101">
        <f>((A7_A_L9*Fertilizante_A)+(A7_B_L9*Fertilizante_B)+(A7_C_L9*Fertilizante_C)+(A7_D_L9*Fertilizante_D)+(A7_Y_L9*Fertilizante_Y))*Inflación_7</f>
        <v>0</v>
      </c>
      <c r="W19" s="101">
        <f>SUMIFS('9'!$E:$E,'9'!$A:$A,Año_Inicial+6,'9'!$B:$B,'12'!V$4,'9'!$D:$D,"Fertilizante químico")</f>
        <v>0</v>
      </c>
      <c r="X19" s="101">
        <f>((A7_A_L10*Fertilizante_A)+(A7_B_L10*Fertilizante_B)+(A7_C_L10*Fertilizante_C)+(A7_D_L10*Fertilizante_D)+(A7_Y_L10*Fertilizante_Y))*Inflación_7</f>
        <v>0</v>
      </c>
      <c r="Y19" s="101">
        <f>SUMIFS('9'!$E:$E,'9'!$A:$A,Año_Inicial+6,'9'!$B:$B,'12'!X$4,'9'!$D:$D,"Fertilizante químico")</f>
        <v>0</v>
      </c>
      <c r="Z19" s="101">
        <f>((A7_A_L11*Fertilizante_A)+(A7_B_L11*Fertilizante_B)+(A7_C_L11*Fertilizante_C)+(A7_D_L11*Fertilizante_D)+(A7_Y_L11*Fertilizante_Y))*Inflación_7</f>
        <v>0</v>
      </c>
      <c r="AA19" s="101">
        <f>SUMIFS('9'!$E:$E,'9'!$A:$A,Año_Inicial+6,'9'!$B:$B,'12'!Z$4,'9'!$D:$D,"Fertilizante químico")</f>
        <v>0</v>
      </c>
      <c r="AB19" s="101">
        <f>((A7_A_L12*Fertilizante_A)+(A7_B_L12*Fertilizante_B)+(A7_C_L12*Fertilizante_C)+(A7_D_L12*Fertilizante_D)+(A7_Y_L12*Fertilizante_Y))*Inflación_7</f>
        <v>0</v>
      </c>
      <c r="AC19" s="101">
        <f>SUMIFS('9'!$E:$E,'9'!$A:$A,Año_Inicial+6,'9'!$B:$B,'12'!AB$4,'9'!$D:$D,"Fertilizante químico")</f>
        <v>0</v>
      </c>
      <c r="AD19" s="101">
        <f>((A7_A_L13*Fertilizante_A)+(A7_B_L13*Fertilizante_B)+(A7_C_L13*Fertilizante_C)+(A7_D_L13*Fertilizante_D)+(A7_Y_L13*Fertilizante_Y))*Inflación_7</f>
        <v>0</v>
      </c>
      <c r="AE19" s="101">
        <f>SUMIFS('9'!$E:$E,'9'!$A:$A,Año_Inicial+6,'9'!$B:$B,'12'!AD$4,'9'!$D:$D,"Fertilizante químico")</f>
        <v>0</v>
      </c>
      <c r="AF19" s="101">
        <f>((A7_A_L14*Fertilizante_A)+(A7_B_L14*Fertilizante_B)+(A7_C_L14*Fertilizante_C)+(A7_D_L14*Fertilizante_D)+(A7_Y_L14*Fertilizante_Y))*Inflación_7</f>
        <v>0</v>
      </c>
      <c r="AG19" s="101">
        <f>SUMIFS('9'!$E:$E,'9'!$A:$A,Año_Inicial+6,'9'!$B:$B,'12'!AF$4,'9'!$D:$D,"Fertilizante químico")</f>
        <v>0</v>
      </c>
      <c r="AH19" s="101">
        <f>((A7_A_L15*Fertilizante_A)+(A7_B_L15*Fertilizante_B)+(A7_C_L15*Fertilizante_C)+(A7_D_L15*Fertilizante_D)+(A7_Y_L15*Fertilizante_Y))*Inflación_7</f>
        <v>0</v>
      </c>
      <c r="AI19" s="101">
        <f>SUMIFS('9'!$E:$E,'9'!$A:$A,Año_Inicial+6,'9'!$B:$B,'12'!AH$4,'9'!$D:$D,"Fertilizante químico")</f>
        <v>0</v>
      </c>
      <c r="AJ19" s="101">
        <f>((A7_A_L16*Fertilizante_A)+(A7_B_L16*Fertilizante_B)+(A7_C_L16*Fertilizante_C)+(A7_D_L16*Fertilizante_D)+(A7_Y_L16*Fertilizante_Y))*Inflación_7</f>
        <v>0</v>
      </c>
      <c r="AK19" s="101">
        <f>SUMIFS('9'!$E:$E,'9'!$A:$A,Año_Inicial+6,'9'!$B:$B,'12'!AJ$4,'9'!$D:$D,"Fertilizante químico")</f>
        <v>0</v>
      </c>
      <c r="AL19" s="101">
        <f>((A7_A_L17*Fertilizante_A)+(A7_B_L17*Fertilizante_B)+(A7_C_L17*Fertilizante_C)+(A7_D_L17*Fertilizante_D)+(A7_Y_L17*Fertilizante_Y))*Inflación_7</f>
        <v>0</v>
      </c>
      <c r="AM19" s="101">
        <f>SUMIFS('9'!$E:$E,'9'!$A:$A,Año_Inicial+6,'9'!$B:$B,'12'!AL$4,'9'!$D:$D,"Fertilizante químico")</f>
        <v>0</v>
      </c>
      <c r="AN19" s="101">
        <f>((A7_A_L18*Fertilizante_A)+(A7_B_L18*Fertilizante_B)+(A7_C_L18*Fertilizante_C)+(A7_D_L18*Fertilizante_D)+(A7_Y_L18*Fertilizante_Y))*Inflación_7</f>
        <v>0</v>
      </c>
      <c r="AO19" s="101">
        <f>SUMIFS('9'!$E:$E,'9'!$A:$A,Año_Inicial+6,'9'!$B:$B,'12'!AN$4,'9'!$D:$D,"Fertilizante químico")</f>
        <v>0</v>
      </c>
      <c r="AP19" s="101">
        <f>((A7_A_L19*Fertilizante_A)+(A7_B_L19*Fertilizante_B)+(A7_C_L19*Fertilizante_C)+(A7_D_L19*Fertilizante_D)+(A7_Y_L19*Fertilizante_Y))*Inflación_7</f>
        <v>0</v>
      </c>
      <c r="AQ19" s="101">
        <f>SUMIFS('9'!$E:$E,'9'!$A:$A,Año_Inicial+6,'9'!$B:$B,'12'!AP$4,'9'!$D:$D,"Fertilizante químico")</f>
        <v>0</v>
      </c>
      <c r="AR19" s="101">
        <f>((A7_A_L20*Fertilizante_A)+(A7_B_L20*Fertilizante_B)+(A7_C_L20*Fertilizante_C)+(A7_D_L20*Fertilizante_D)+(A7_Y_L20*Fertilizante_Y))*Inflación_7</f>
        <v>0</v>
      </c>
      <c r="AS19" s="101">
        <f>SUMIFS('9'!$E:$E,'9'!$A:$A,Año_Inicial+6,'9'!$B:$B,'12'!AR$4,'9'!$D:$D,"Fertilizante químico")</f>
        <v>0</v>
      </c>
      <c r="AT19" s="101">
        <f>((A7_A_L21*Fertilizante_A)+(A7_B_L21*Fertilizante_B)+(A7_C_L21*Fertilizante_C)+(A7_D_L21*Fertilizante_D)+(A7_Y_L21*Fertilizante_Y))*Inflación_7</f>
        <v>0</v>
      </c>
      <c r="AU19" s="101">
        <f>SUMIFS('9'!$E:$E,'9'!$A:$A,Año_Inicial+6,'9'!$B:$B,'12'!AT$4,'9'!$D:$D,"Fertilizante químico")</f>
        <v>0</v>
      </c>
      <c r="AV19" s="101">
        <f>((A7_A_L22*Fertilizante_A)+(A7_B_L22*Fertilizante_B)+(A7_C_L22*Fertilizante_C)+(A7_D_L22*Fertilizante_D)+(A7_Y_L22*Fertilizante_Y))*Inflación_7</f>
        <v>0</v>
      </c>
      <c r="AW19" s="101">
        <f>SUMIFS('9'!$E:$E,'9'!$A:$A,Año_Inicial+6,'9'!$B:$B,'12'!AV$4,'9'!$D:$D,"Fertilizante químico")</f>
        <v>0</v>
      </c>
      <c r="AX19" s="101">
        <f>((A7_A_L23*Fertilizante_A)+(A7_B_L23*Fertilizante_B)+(A7_C_L23*Fertilizante_C)+(A7_D_L23*Fertilizante_D)+(A7_Y_L23*Fertilizante_Y))*Inflación_7</f>
        <v>0</v>
      </c>
      <c r="AY19" s="101">
        <f>SUMIFS('9'!$E:$E,'9'!$A:$A,Año_Inicial+6,'9'!$B:$B,'12'!AX$4,'9'!$D:$D,"Fertilizante químico")</f>
        <v>0</v>
      </c>
      <c r="AZ19" s="101">
        <f>((A7_A_L24*Fertilizante_A)+(A7_B_L24*Fertilizante_B)+(A7_C_L24*Fertilizante_C)+(A7_D_L24*Fertilizante_D)+(A7_Y_L24*Fertilizante_Y))*Inflación_7</f>
        <v>0</v>
      </c>
      <c r="BA19" s="101">
        <f>SUMIFS('9'!$E:$E,'9'!$A:$A,Año_Inicial+6,'9'!$B:$B,'12'!AZ$4,'9'!$D:$D,"Fertilizante químico")</f>
        <v>0</v>
      </c>
      <c r="BB19" s="101">
        <f>((A7_A_L25*Fertilizante_A)+(A7_B_L25*Fertilizante_B)+(A7_C_L25*Fertilizante_C)+(A7_D_L25*Fertilizante_D)+(A7_Y_L25*Fertilizante_Y))*Inflación_7</f>
        <v>0</v>
      </c>
      <c r="BC19" s="101">
        <f>SUMIFS('9'!$E:$E,'9'!$A:$A,Año_Inicial+6,'9'!$B:$B,'12'!BB$4,'9'!$D:$D,"Fertilizante químico")</f>
        <v>0</v>
      </c>
      <c r="BD19" s="101">
        <f>((A7_A_L26*Fertilizante_A)+(A7_B_L26*Fertilizante_B)+(A7_C_L26*Fertilizante_C)+(A7_D_L26*Fertilizante_D)+(A7_Y_L26*Fertilizante_Y))*Inflación_7</f>
        <v>0</v>
      </c>
      <c r="BE19" s="101">
        <f>SUMIFS('9'!$E:$E,'9'!$A:$A,Año_Inicial+6,'9'!$B:$B,'12'!BD$4,'9'!$D:$D,"Fertilizante químico")</f>
        <v>0</v>
      </c>
      <c r="BF19" s="101">
        <f>((A7_A_L27*Fertilizante_A)+(A7_B_L27*Fertilizante_B)+(A7_C_L27*Fertilizante_C)+(A7_D_L27*Fertilizante_D)+(A7_Y_L27*Fertilizante_Y))*Inflación_7</f>
        <v>0</v>
      </c>
      <c r="BG19" s="101">
        <f>SUMIFS('9'!$E:$E,'9'!$A:$A,Año_Inicial+6,'9'!$B:$B,'12'!BF$4,'9'!$D:$D,"Fertilizante químico")</f>
        <v>0</v>
      </c>
      <c r="BH19" s="101">
        <f>((A7_A_L28*Fertilizante_A)+(A7_B_L28*Fertilizante_B)+(A7_C_L28*Fertilizante_C)+(A7_D_L28*Fertilizante_D)+(A7_Y_L28*Fertilizante_Y))*Inflación_7</f>
        <v>0</v>
      </c>
      <c r="BI19" s="101">
        <f>SUMIFS('9'!$E:$E,'9'!$A:$A,Año_Inicial+6,'9'!$B:$B,'12'!BH$4,'9'!$D:$D,"Fertilizante químico")</f>
        <v>0</v>
      </c>
      <c r="BJ19" s="101">
        <f>((A7_A_L29*Fertilizante_A)+(A7_B_L29*Fertilizante_B)+(A7_C_L29*Fertilizante_C)+(A7_D_L29*Fertilizante_D)+(A7_Y_L29*Fertilizante_Y))*Inflación_7</f>
        <v>0</v>
      </c>
      <c r="BK19" s="101">
        <f>SUMIFS('9'!$E:$E,'9'!$A:$A,Año_Inicial+6,'9'!$B:$B,'12'!BJ$4,'9'!$D:$D,"Fertilizante químico")</f>
        <v>0</v>
      </c>
      <c r="BL19" s="101">
        <f>((A7_A_L30*Fertilizante_A)+(A7_B_L30*Fertilizante_B)+(A7_C_L30*Fertilizante_C)+(A7_D_L30*Fertilizante_D)+(A7_Y_L30*Fertilizante_Y))*Inflación_7</f>
        <v>0</v>
      </c>
      <c r="BM19" s="101">
        <f>SUMIFS('9'!$E:$E,'9'!$A:$A,Año_Inicial+6,'9'!$B:$B,'12'!BL$4,'9'!$D:$D,"Fertilizante químico")</f>
        <v>0</v>
      </c>
      <c r="BN19" s="101">
        <f>((A7_A_L31*Fertilizante_A)+(A7_B_L31*Fertilizante_B)+(A7_C_L31*Fertilizante_C)+(A7_D_L31*Fertilizante_D)+(A7_Y_L31*Fertilizante_Y))*Inflación_7</f>
        <v>0</v>
      </c>
      <c r="BO19" s="101">
        <f>SUMIFS('9'!$E:$E,'9'!$A:$A,Año_Inicial+6,'9'!$B:$B,'12'!BN$4,'9'!$D:$D,"Fertilizante químico")</f>
        <v>0</v>
      </c>
      <c r="BP19" s="101">
        <f>((A7_A_L32*Fertilizante_A)+(A7_B_L32*Fertilizante_B)+(A7_C_L32*Fertilizante_C)+(A7_D_L32*Fertilizante_D)+(A7_Y_L32*Fertilizante_Y))*Inflación_7</f>
        <v>0</v>
      </c>
      <c r="BQ19" s="101">
        <f>SUMIFS('9'!$E:$E,'9'!$A:$A,Año_Inicial+6,'9'!$B:$B,'12'!BP$4,'9'!$D:$D,"Fertilizante químico")</f>
        <v>0</v>
      </c>
      <c r="BR19" s="101">
        <f>((A7_A_L33*Fertilizante_A)+(A7_B_L33*Fertilizante_B)+(A7_C_L33*Fertilizante_C)+(A7_D_L33*Fertilizante_D)+(A7_Y_L33*Fertilizante_Y))*Inflación_7</f>
        <v>0</v>
      </c>
      <c r="BS19" s="101">
        <f>SUMIFS('9'!$E:$E,'9'!$A:$A,Año_Inicial+6,'9'!$B:$B,'12'!BR$4,'9'!$D:$D,"Fertilizante químico")</f>
        <v>0</v>
      </c>
      <c r="BT19" s="101">
        <f>((A7_A_L34*Fertilizante_A)+(A7_B_L34*Fertilizante_B)+(A7_C_L34*Fertilizante_C)+(A7_D_L34*Fertilizante_D)+(A7_Y_L34*Fertilizante_Y))*Inflación_7</f>
        <v>0</v>
      </c>
      <c r="BU19" s="101">
        <f>SUMIFS('9'!$E:$E,'9'!$A:$A,Año_Inicial+6,'9'!$B:$B,'12'!BT$4,'9'!$D:$D,"Fertilizante químico")</f>
        <v>0</v>
      </c>
      <c r="BV19" s="101">
        <f>((A7_A_L35*Fertilizante_A)+(A7_B_L35*Fertilizante_B)+(A7_C_L35*Fertilizante_C)+(A7_D_L35*Fertilizante_D)+(A7_Y_L35*Fertilizante_Y))*Inflación_7</f>
        <v>0</v>
      </c>
      <c r="BW19" s="101">
        <f>SUMIFS('9'!$E:$E,'9'!$A:$A,Año_Inicial+6,'9'!$B:$B,'12'!BV$4,'9'!$D:$D,"Fertilizante químico")</f>
        <v>0</v>
      </c>
      <c r="BX19" s="101">
        <f>((A7_A_L36*Fertilizante_A)+(A7_B_L36*Fertilizante_B)+(A7_C_L36*Fertilizante_C)+(A7_D_L36*Fertilizante_D)+(A7_Y_L36*Fertilizante_Y))*Inflación_7</f>
        <v>0</v>
      </c>
      <c r="BY19" s="101">
        <f>SUMIFS('9'!$E:$E,'9'!$A:$A,Año_Inicial+6,'9'!$B:$B,'12'!BX$4,'9'!$D:$D,"Fertilizante químico")</f>
        <v>0</v>
      </c>
      <c r="BZ19" s="101">
        <f>((A7_A_L37*Fertilizante_A)+(A7_B_L37*Fertilizante_B)+(A7_C_L37*Fertilizante_C)+(A7_D_L37*Fertilizante_D)+(A7_Y_L37*Fertilizante_Y))*Inflación_7</f>
        <v>0</v>
      </c>
      <c r="CA19" s="101">
        <f>SUMIFS('9'!$E:$E,'9'!$A:$A,Año_Inicial+6,'9'!$B:$B,'12'!BZ$4,'9'!$D:$D,"Fertilizante químico")</f>
        <v>0</v>
      </c>
      <c r="CB19" s="101">
        <f>((A7_A_L38*Fertilizante_A)+(A7_B_L38*Fertilizante_B)+(A7_C_L38*Fertilizante_C)+(A7_D_L38*Fertilizante_D)+(A7_Y_L38*Fertilizante_Y))*Inflación_7</f>
        <v>0</v>
      </c>
      <c r="CC19" s="101">
        <f>SUMIFS('9'!$E:$E,'9'!$A:$A,Año_Inicial+6,'9'!$B:$B,'12'!CB$4,'9'!$D:$D,"Fertilizante químico")</f>
        <v>0</v>
      </c>
      <c r="CD19" s="101">
        <f>((A7_A_L39*Fertilizante_A)+(A7_B_L39*Fertilizante_B)+(A7_C_L39*Fertilizante_C)+(A7_D_L39*Fertilizante_D)+(A7_Y_L39*Fertilizante_Y))*Inflación_7</f>
        <v>0</v>
      </c>
      <c r="CE19" s="101">
        <f>SUMIFS('9'!$E:$E,'9'!$A:$A,Año_Inicial+6,'9'!$B:$B,'12'!CD$4,'9'!$D:$D,"Fertilizante químico")</f>
        <v>0</v>
      </c>
      <c r="CF19" s="101">
        <f>((A7_A_L40*Fertilizante_A)+(A7_B_L40*Fertilizante_B)+(A7_C_L40*Fertilizante_C)+(A7_D_L40*Fertilizante_D)+(A7_Y_L40*Fertilizante_Y))*Inflación_7</f>
        <v>0</v>
      </c>
      <c r="CG19" s="101">
        <f>SUMIFS('9'!$E:$E,'9'!$A:$A,Año_Inicial+6,'9'!$B:$B,'12'!CF$4,'9'!$D:$D,"Fertilizante químico")</f>
        <v>0</v>
      </c>
      <c r="CH19" s="473"/>
      <c r="CI19" s="101">
        <f>Plantas_A_A7*Fertilizante_A*Inflación_7</f>
        <v>0</v>
      </c>
      <c r="CJ19" s="101">
        <f>Plantas_B_A7*Fertilizante_B</f>
        <v>0</v>
      </c>
      <c r="CK19" s="101">
        <f>Plantas_C_A7*Fertilizante_C</f>
        <v>0</v>
      </c>
      <c r="CL19" s="101">
        <f>Plantas_D_A7*Fertilizante_D</f>
        <v>0</v>
      </c>
      <c r="CM19" s="101"/>
      <c r="CN19" s="101">
        <f>Plantas_Y_A7*Fertilizante_Y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SUMIFS('9'!$E:$E,'9'!$A:$A,Año_Inicial+6,'9'!$D:$D,"Material de enmienda")</f>
        <v>0</v>
      </c>
      <c r="D20" s="100">
        <f t="shared" si="45"/>
        <v>0</v>
      </c>
      <c r="E20" s="473"/>
      <c r="F20" s="101">
        <f>((A7_A_L1*Enmiendas_A)+(A7_B_L1*Enmiendas_B)+(A7_C_L1*Enmiendas_C)+(A7_D_L1*Enmiendas_D)+(A7_Y_L1*Enmiendas_Y))*Inflación_7</f>
        <v>0</v>
      </c>
      <c r="G20" s="101">
        <f>SUMIFS('9'!$E:$E,'9'!$A:$A,Año_Inicial+6,'9'!$B:$B,'12'!F$4,'9'!$D:$D,"Material de enmienda")</f>
        <v>0</v>
      </c>
      <c r="H20" s="101">
        <f>((A7_A_L2*Enmiendas_A)+(A7_B_L2*Enmiendas_B)+(A7_C_L2*Enmiendas_C)+(A7_D_L2*Enmiendas_D)+(A7_Y_L2*Enmiendas_Y))*Inflación_7</f>
        <v>0</v>
      </c>
      <c r="I20" s="101">
        <f>SUMIFS('9'!$E:$E,'9'!$A:$A,Año_Inicial+6,'9'!$B:$B,'12'!H$4,'9'!$D:$D,"Material de enmienda")</f>
        <v>0</v>
      </c>
      <c r="J20" s="101">
        <f>((A7_A_L3*Enmiendas_A)+(A7_B_L3*Enmiendas_B)+(A7_C_L3*Enmiendas_C)+(A7_D_L3*Enmiendas_D)+(A7_Y_L3*Enmiendas_Y))*Inflación_7</f>
        <v>0</v>
      </c>
      <c r="K20" s="101">
        <f>SUMIFS('9'!$E:$E,'9'!$A:$A,Año_Inicial+6,'9'!$B:$B,'12'!J$4,'9'!$D:$D,"Material de enmienda")</f>
        <v>0</v>
      </c>
      <c r="L20" s="101">
        <f>((A7_A_L4*Enmiendas_A)+(A7_B_L4*Enmiendas_B)+(A7_C_L4*Enmiendas_C)+(A7_D_L4*Enmiendas_D)+(A7_Y_L4*Enmiendas_Y))*Inflación_7</f>
        <v>0</v>
      </c>
      <c r="M20" s="101">
        <f>SUMIFS('9'!$E:$E,'9'!$A:$A,Año_Inicial+6,'9'!$B:$B,'12'!L$4,'9'!$D:$D,"Material de enmienda")</f>
        <v>0</v>
      </c>
      <c r="N20" s="101">
        <f>((A7_A_L5*Enmiendas_A)+(A7_B_L5*Enmiendas_B)+(A7_C_L5*Enmiendas_C)+(A7_D_L5*Enmiendas_D)+(A7_Y_L5*Enmiendas_Y))*Inflación_7</f>
        <v>0</v>
      </c>
      <c r="O20" s="101">
        <f>SUMIFS('9'!$E:$E,'9'!$A:$A,Año_Inicial+6,'9'!$B:$B,'12'!N$4,'9'!$D:$D,"Material de enmienda")</f>
        <v>0</v>
      </c>
      <c r="P20" s="101">
        <f>((A7_A_L6*Enmiendas_A)+(A7_B_L6*Enmiendas_B)+(A7_C_L6*Enmiendas_C)+(A7_D_L6*Enmiendas_D)+(A7_Y_L6*Enmiendas_Y))*Inflación_7</f>
        <v>0</v>
      </c>
      <c r="Q20" s="101">
        <f>SUMIFS('9'!$E:$E,'9'!$A:$A,Año_Inicial+6,'9'!$B:$B,'12'!P$4,'9'!$D:$D,"Material de enmienda")</f>
        <v>0</v>
      </c>
      <c r="R20" s="101">
        <f>((A7_A_L7*Enmiendas_A)+(A7_B_L7*Enmiendas_B)+(A7_C_L7*Enmiendas_C)+(A7_D_L7*Enmiendas_D)+(A7_Y_L7*Enmiendas_Y))*Inflación_7</f>
        <v>0</v>
      </c>
      <c r="S20" s="101">
        <f>SUMIFS('9'!$E:$E,'9'!$A:$A,Año_Inicial+6,'9'!$B:$B,'12'!R$4,'9'!$D:$D,"Material de enmienda")</f>
        <v>0</v>
      </c>
      <c r="T20" s="101">
        <f>((A7_A_L8*Enmiendas_A)+(A7_B_L8*Enmiendas_B)+(A7_C_L8*Enmiendas_C)+(A7_D_L8*Enmiendas_D)+(A7_Y_L8*Enmiendas_Y))*Inflación_7</f>
        <v>0</v>
      </c>
      <c r="U20" s="101">
        <f>SUMIFS('9'!$E:$E,'9'!$A:$A,Año_Inicial+6,'9'!$B:$B,'12'!T$4,'9'!$D:$D,"Material de enmienda")</f>
        <v>0</v>
      </c>
      <c r="V20" s="101">
        <f>((A7_A_L9*Enmiendas_A)+(A7_B_L9*Enmiendas_B)+(A7_C_L9*Enmiendas_C)+(A7_D_L9*Enmiendas_D)+(A7_Y_L9*Enmiendas_Y))*Inflación_7</f>
        <v>0</v>
      </c>
      <c r="W20" s="101">
        <f>SUMIFS('9'!$E:$E,'9'!$A:$A,Año_Inicial+6,'9'!$B:$B,'12'!V$4,'9'!$D:$D,"Material de enmienda")</f>
        <v>0</v>
      </c>
      <c r="X20" s="101">
        <f>((A7_A_L10*Enmiendas_A)+(A7_B_L10*Enmiendas_B)+(A7_C_L10*Enmiendas_C)+(A7_D_L10*Enmiendas_D)+(A7_Y_L10*Enmiendas_Y))*Inflación_7</f>
        <v>0</v>
      </c>
      <c r="Y20" s="101">
        <f>SUMIFS('9'!$E:$E,'9'!$A:$A,Año_Inicial+6,'9'!$B:$B,'12'!X$4,'9'!$D:$D,"Material de enmienda")</f>
        <v>0</v>
      </c>
      <c r="Z20" s="101">
        <f>((A7_A_L11*Enmiendas_A)+(A7_B_L11*Enmiendas_B)+(A7_C_L11*Enmiendas_C)+(A7_D_L11*Enmiendas_D)+(A7_Y_L11*Enmiendas_Y))*Inflación_7</f>
        <v>0</v>
      </c>
      <c r="AA20" s="101">
        <f>SUMIFS('9'!$E:$E,'9'!$A:$A,Año_Inicial+6,'9'!$B:$B,'12'!Z$4,'9'!$D:$D,"Material de enmienda")</f>
        <v>0</v>
      </c>
      <c r="AB20" s="101">
        <f>((A7_A_L12*Enmiendas_A)+(A7_B_L12*Enmiendas_B)+(A7_C_L12*Enmiendas_C)+(A7_D_L12*Enmiendas_D)+(A7_Y_L12*Enmiendas_Y))*Inflación_7</f>
        <v>0</v>
      </c>
      <c r="AC20" s="101">
        <f>SUMIFS('9'!$E:$E,'9'!$A:$A,Año_Inicial+6,'9'!$B:$B,'12'!AB$4,'9'!$D:$D,"Material de enmienda")</f>
        <v>0</v>
      </c>
      <c r="AD20" s="101">
        <f>((A7_A_L13*Enmiendas_A)+(A7_B_L13*Enmiendas_B)+(A7_C_L13*Enmiendas_C)+(A7_D_L13*Enmiendas_D)+(A7_Y_L13*Enmiendas_Y))*Inflación_7</f>
        <v>0</v>
      </c>
      <c r="AE20" s="101">
        <f>SUMIFS('9'!$E:$E,'9'!$A:$A,Año_Inicial+6,'9'!$B:$B,'12'!AD$4,'9'!$D:$D,"Material de enmienda")</f>
        <v>0</v>
      </c>
      <c r="AF20" s="101">
        <f>((A7_A_L14*Enmiendas_A)+(A7_B_L14*Enmiendas_B)+(A7_C_L14*Enmiendas_C)+(A7_D_L14*Enmiendas_D)+(A7_Y_L14*Enmiendas_Y))*Inflación_7</f>
        <v>0</v>
      </c>
      <c r="AG20" s="101">
        <f>SUMIFS('9'!$E:$E,'9'!$A:$A,Año_Inicial+6,'9'!$B:$B,'12'!AF$4,'9'!$D:$D,"Material de enmienda")</f>
        <v>0</v>
      </c>
      <c r="AH20" s="101">
        <f>((A7_A_L15*Enmiendas_A)+(A7_B_L15*Enmiendas_B)+(A7_C_L15*Enmiendas_C)+(A7_D_L15*Enmiendas_D)+(A7_Y_L15*Enmiendas_Y))*Inflación_7</f>
        <v>0</v>
      </c>
      <c r="AI20" s="101">
        <f>SUMIFS('9'!$E:$E,'9'!$A:$A,Año_Inicial+6,'9'!$B:$B,'12'!AH$4,'9'!$D:$D,"Material de enmienda")</f>
        <v>0</v>
      </c>
      <c r="AJ20" s="101">
        <f>((A7_A_L16*Enmiendas_A)+(A7_B_L16*Enmiendas_B)+(A7_C_L16*Enmiendas_C)+(A7_D_L16*Enmiendas_D)+(A7_Y_L16*Enmiendas_Y))*Inflación_7</f>
        <v>0</v>
      </c>
      <c r="AK20" s="101">
        <f>SUMIFS('9'!$E:$E,'9'!$A:$A,Año_Inicial+6,'9'!$B:$B,'12'!AJ$4,'9'!$D:$D,"Material de enmienda")</f>
        <v>0</v>
      </c>
      <c r="AL20" s="101">
        <f>((A7_A_L17*Enmiendas_A)+(A7_B_L17*Enmiendas_B)+(A7_C_L17*Enmiendas_C)+(A7_D_L17*Enmiendas_D)+(A7_Y_L17*Enmiendas_Y))*Inflación_7</f>
        <v>0</v>
      </c>
      <c r="AM20" s="101">
        <f>SUMIFS('9'!$E:$E,'9'!$A:$A,Año_Inicial+6,'9'!$B:$B,'12'!AL$4,'9'!$D:$D,"Material de enmienda")</f>
        <v>0</v>
      </c>
      <c r="AN20" s="101">
        <f>((A7_A_L18*Enmiendas_A)+(A7_B_L18*Enmiendas_B)+(A7_C_L18*Enmiendas_C)+(A7_D_L18*Enmiendas_D)+(A7_Y_L18*Enmiendas_Y))*Inflación_7</f>
        <v>0</v>
      </c>
      <c r="AO20" s="101">
        <f>SUMIFS('9'!$E:$E,'9'!$A:$A,Año_Inicial+6,'9'!$B:$B,'12'!AN$4,'9'!$D:$D,"Material de enmienda")</f>
        <v>0</v>
      </c>
      <c r="AP20" s="101">
        <f>((A7_A_L19*Enmiendas_A)+(A7_B_L19*Enmiendas_B)+(A7_C_L19*Enmiendas_C)+(A7_D_L19*Enmiendas_D)+(A7_Y_L19*Enmiendas_Y))*Inflación_7</f>
        <v>0</v>
      </c>
      <c r="AQ20" s="101">
        <f>SUMIFS('9'!$E:$E,'9'!$A:$A,Año_Inicial+6,'9'!$B:$B,'12'!AP$4,'9'!$D:$D,"Material de enmienda")</f>
        <v>0</v>
      </c>
      <c r="AR20" s="101">
        <f>((A7_A_L20*Enmiendas_A)+(A7_B_L20*Enmiendas_B)+(A7_C_L20*Enmiendas_C)+(A7_D_L20*Enmiendas_D)+(A7_Y_L20*Enmiendas_Y))*Inflación_7</f>
        <v>0</v>
      </c>
      <c r="AS20" s="101">
        <f>SUMIFS('9'!$E:$E,'9'!$A:$A,Año_Inicial+6,'9'!$B:$B,'12'!AR$4,'9'!$D:$D,"Material de enmienda")</f>
        <v>0</v>
      </c>
      <c r="AT20" s="101">
        <f>((A7_A_L21*Enmiendas_A)+(A7_B_L21*Enmiendas_B)+(A7_C_L21*Enmiendas_C)+(A7_D_L21*Enmiendas_D)+(A7_Y_L21*Enmiendas_Y))*Inflación_7</f>
        <v>0</v>
      </c>
      <c r="AU20" s="101">
        <f>SUMIFS('9'!$E:$E,'9'!$A:$A,Año_Inicial+6,'9'!$B:$B,'12'!AT$4,'9'!$D:$D,"Material de enmienda")</f>
        <v>0</v>
      </c>
      <c r="AV20" s="101">
        <f>((A7_A_L22*Enmiendas_A)+(A7_B_L22*Enmiendas_B)+(A7_C_L22*Enmiendas_C)+(A7_D_L22*Enmiendas_D)+(A7_Y_L22*Enmiendas_Y))*Inflación_7</f>
        <v>0</v>
      </c>
      <c r="AW20" s="101">
        <f>SUMIFS('9'!$E:$E,'9'!$A:$A,Año_Inicial+6,'9'!$B:$B,'12'!AV$4,'9'!$D:$D,"Material de enmienda")</f>
        <v>0</v>
      </c>
      <c r="AX20" s="101">
        <f>((A7_A_L23*Enmiendas_A)+(A7_B_L23*Enmiendas_B)+(A7_C_L23*Enmiendas_C)+(A7_D_L23*Enmiendas_D)+(A7_Y_L23*Enmiendas_Y))*Inflación_7</f>
        <v>0</v>
      </c>
      <c r="AY20" s="101">
        <f>SUMIFS('9'!$E:$E,'9'!$A:$A,Año_Inicial+6,'9'!$B:$B,'12'!AX$4,'9'!$D:$D,"Material de enmienda")</f>
        <v>0</v>
      </c>
      <c r="AZ20" s="101">
        <f>((A7_A_L24*Enmiendas_A)+(A7_B_L24*Enmiendas_B)+(A7_C_L24*Enmiendas_C)+(A7_D_L24*Enmiendas_D)+(A7_Y_L24*Enmiendas_Y))*Inflación_7</f>
        <v>0</v>
      </c>
      <c r="BA20" s="101">
        <f>SUMIFS('9'!$E:$E,'9'!$A:$A,Año_Inicial+6,'9'!$B:$B,'12'!AZ$4,'9'!$D:$D,"Material de enmienda")</f>
        <v>0</v>
      </c>
      <c r="BB20" s="101">
        <f>((A7_A_L25*Enmiendas_A)+(A7_B_L25*Enmiendas_B)+(A7_C_L25*Enmiendas_C)+(A7_D_L25*Enmiendas_D)+(A7_Y_L25*Enmiendas_Y))*Inflación_7</f>
        <v>0</v>
      </c>
      <c r="BC20" s="101">
        <f>SUMIFS('9'!$E:$E,'9'!$A:$A,Año_Inicial+6,'9'!$B:$B,'12'!BB$4,'9'!$D:$D,"Material de enmienda")</f>
        <v>0</v>
      </c>
      <c r="BD20" s="101">
        <f>((A7_A_L26*Enmiendas_A)+(A7_B_L26*Enmiendas_B)+(A7_C_L26*Enmiendas_C)+(A7_D_L26*Enmiendas_D)+(A7_Y_L26*Enmiendas_Y))*Inflación_7</f>
        <v>0</v>
      </c>
      <c r="BE20" s="101">
        <f>SUMIFS('9'!$E:$E,'9'!$A:$A,Año_Inicial+6,'9'!$B:$B,'12'!BD$4,'9'!$D:$D,"Material de enmienda")</f>
        <v>0</v>
      </c>
      <c r="BF20" s="101">
        <f>((A7_A_L27*Enmiendas_A)+(A7_B_L27*Enmiendas_B)+(A7_C_L27*Enmiendas_C)+(A7_D_L27*Enmiendas_D)+(A7_Y_L27*Enmiendas_Y))*Inflación_7</f>
        <v>0</v>
      </c>
      <c r="BG20" s="101">
        <f>SUMIFS('9'!$E:$E,'9'!$A:$A,Año_Inicial+6,'9'!$B:$B,'12'!BF$4,'9'!$D:$D,"Material de enmienda")</f>
        <v>0</v>
      </c>
      <c r="BH20" s="101">
        <f>((A7_A_L28*Enmiendas_A)+(A7_B_L28*Enmiendas_B)+(A7_C_L28*Enmiendas_C)+(A7_D_L28*Enmiendas_D)+(A7_Y_L28*Enmiendas_Y))*Inflación_7</f>
        <v>0</v>
      </c>
      <c r="BI20" s="101">
        <f>SUMIFS('9'!$E:$E,'9'!$A:$A,Año_Inicial+6,'9'!$B:$B,'12'!BH$4,'9'!$D:$D,"Material de enmienda")</f>
        <v>0</v>
      </c>
      <c r="BJ20" s="101">
        <f>((A7_A_L29*Enmiendas_A)+(A7_B_L29*Enmiendas_B)+(A7_C_L29*Enmiendas_C)+(A7_D_L29*Enmiendas_D)+(A7_Y_L29*Enmiendas_Y))*Inflación_7</f>
        <v>0</v>
      </c>
      <c r="BK20" s="101">
        <f>SUMIFS('9'!$E:$E,'9'!$A:$A,Año_Inicial+6,'9'!$B:$B,'12'!BJ$4,'9'!$D:$D,"Material de enmienda")</f>
        <v>0</v>
      </c>
      <c r="BL20" s="101">
        <f>((A7_A_L30*Enmiendas_A)+(A7_B_L30*Enmiendas_B)+(A7_C_L30*Enmiendas_C)+(A7_D_L30*Enmiendas_D)+(A7_Y_L30*Enmiendas_Y))*Inflación_7</f>
        <v>0</v>
      </c>
      <c r="BM20" s="101">
        <f>SUMIFS('9'!$E:$E,'9'!$A:$A,Año_Inicial+6,'9'!$B:$B,'12'!BL$4,'9'!$D:$D,"Material de enmienda")</f>
        <v>0</v>
      </c>
      <c r="BN20" s="101">
        <f>((A7_A_L31*Enmiendas_A)+(A7_B_L31*Enmiendas_B)+(A7_C_L31*Enmiendas_C)+(A7_D_L31*Enmiendas_D)+(A7_Y_L31*Enmiendas_Y))*Inflación_7</f>
        <v>0</v>
      </c>
      <c r="BO20" s="101">
        <f>SUMIFS('9'!$E:$E,'9'!$A:$A,Año_Inicial+6,'9'!$B:$B,'12'!BN$4,'9'!$D:$D,"Material de enmienda")</f>
        <v>0</v>
      </c>
      <c r="BP20" s="101">
        <f>((A7_A_L32*Enmiendas_A)+(A7_B_L32*Enmiendas_B)+(A7_C_L32*Enmiendas_C)+(A7_D_L32*Enmiendas_D)+(A7_Y_L32*Enmiendas_Y))*Inflación_7</f>
        <v>0</v>
      </c>
      <c r="BQ20" s="101">
        <f>SUMIFS('9'!$E:$E,'9'!$A:$A,Año_Inicial+6,'9'!$B:$B,'12'!BP$4,'9'!$D:$D,"Material de enmienda")</f>
        <v>0</v>
      </c>
      <c r="BR20" s="101">
        <f>((A7_A_L33*Enmiendas_A)+(A7_B_L33*Enmiendas_B)+(A7_C_L33*Enmiendas_C)+(A7_D_L33*Enmiendas_D)+(A7_Y_L33*Enmiendas_Y))*Inflación_7</f>
        <v>0</v>
      </c>
      <c r="BS20" s="101">
        <f>SUMIFS('9'!$E:$E,'9'!$A:$A,Año_Inicial+6,'9'!$B:$B,'12'!BR$4,'9'!$D:$D,"Material de enmienda")</f>
        <v>0</v>
      </c>
      <c r="BT20" s="101">
        <f>((A7_A_L34*Enmiendas_A)+(A7_B_L34*Enmiendas_B)+(A7_C_L34*Enmiendas_C)+(A7_D_L34*Enmiendas_D)+(A7_Y_L34*Enmiendas_Y))*Inflación_7</f>
        <v>0</v>
      </c>
      <c r="BU20" s="101">
        <f>SUMIFS('9'!$E:$E,'9'!$A:$A,Año_Inicial+6,'9'!$B:$B,'12'!BT$4,'9'!$D:$D,"Material de enmienda")</f>
        <v>0</v>
      </c>
      <c r="BV20" s="101">
        <f>((A7_A_L35*Enmiendas_A)+(A7_B_L35*Enmiendas_B)+(A7_C_L35*Enmiendas_C)+(A7_D_L35*Enmiendas_D)+(A7_Y_L35*Enmiendas_Y))*Inflación_7</f>
        <v>0</v>
      </c>
      <c r="BW20" s="101">
        <f>SUMIFS('9'!$E:$E,'9'!$A:$A,Año_Inicial+6,'9'!$B:$B,'12'!BV$4,'9'!$D:$D,"Material de enmienda")</f>
        <v>0</v>
      </c>
      <c r="BX20" s="101">
        <f>((A7_A_L36*Enmiendas_A)+(A7_B_L36*Enmiendas_B)+(A7_C_L36*Enmiendas_C)+(A7_D_L36*Enmiendas_D)+(A7_Y_L36*Enmiendas_Y))*Inflación_7</f>
        <v>0</v>
      </c>
      <c r="BY20" s="101">
        <f>SUMIFS('9'!$E:$E,'9'!$A:$A,Año_Inicial+6,'9'!$B:$B,'12'!BX$4,'9'!$D:$D,"Material de enmienda")</f>
        <v>0</v>
      </c>
      <c r="BZ20" s="101">
        <f>((A7_A_L37*Enmiendas_A)+(A7_B_L37*Enmiendas_B)+(A7_C_L37*Enmiendas_C)+(A7_D_L37*Enmiendas_D)+(A7_Y_L37*Enmiendas_Y))*Inflación_7</f>
        <v>0</v>
      </c>
      <c r="CA20" s="101">
        <f>SUMIFS('9'!$E:$E,'9'!$A:$A,Año_Inicial+6,'9'!$B:$B,'12'!BZ$4,'9'!$D:$D,"Material de enmienda")</f>
        <v>0</v>
      </c>
      <c r="CB20" s="101">
        <f>((A7_A_L38*Enmiendas_A)+(A7_B_L38*Enmiendas_B)+(A7_C_L38*Enmiendas_C)+(A7_D_L38*Enmiendas_D)+(A7_Y_L38*Enmiendas_Y))*Inflación_7</f>
        <v>0</v>
      </c>
      <c r="CC20" s="101">
        <f>SUMIFS('9'!$E:$E,'9'!$A:$A,Año_Inicial+6,'9'!$B:$B,'12'!CB$4,'9'!$D:$D,"Material de enmienda")</f>
        <v>0</v>
      </c>
      <c r="CD20" s="101">
        <f>((A7_A_L39*Enmiendas_A)+(A7_B_L39*Enmiendas_B)+(A7_C_L39*Enmiendas_C)+(A7_D_L39*Enmiendas_D)+(A7_Y_L39*Enmiendas_Y))*Inflación_7</f>
        <v>0</v>
      </c>
      <c r="CE20" s="101">
        <f>SUMIFS('9'!$E:$E,'9'!$A:$A,Año_Inicial+6,'9'!$B:$B,'12'!CD$4,'9'!$D:$D,"Material de enmienda")</f>
        <v>0</v>
      </c>
      <c r="CF20" s="101">
        <f>((A7_A_L40*Enmiendas_A)+(A7_B_L40*Enmiendas_B)+(A7_C_L40*Enmiendas_C)+(A7_D_L40*Enmiendas_D)+(A7_Y_L40*Enmiendas_Y))*Inflación_7</f>
        <v>0</v>
      </c>
      <c r="CG20" s="101">
        <f>SUMIFS('9'!$E:$E,'9'!$A:$A,Año_Inicial+6,'9'!$B:$B,'12'!CF$4,'9'!$D:$D,"Material de enmienda")</f>
        <v>0</v>
      </c>
      <c r="CH20" s="473"/>
      <c r="CI20" s="101">
        <f>Plantas_A_A7*Enmiendas_A*Inflación_7</f>
        <v>0</v>
      </c>
      <c r="CJ20" s="101">
        <f>Plantas_B_A7*Enmiendas_B</f>
        <v>0</v>
      </c>
      <c r="CK20" s="101">
        <f>Plantas_C_A7*Enmiendas_C</f>
        <v>0</v>
      </c>
      <c r="CL20" s="101">
        <f>Plantas_D_A7*Enmiendas_D</f>
        <v>0</v>
      </c>
      <c r="CM20" s="101"/>
      <c r="CN20" s="101">
        <f>Plantas_Y_A7*Enmiendas_Y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SUMIFS('9'!$E:$E,'9'!$A:$A,Año_Inicial+6,'9'!$D:$D,"Aplicación de herbicida")</f>
        <v>0</v>
      </c>
      <c r="D22" s="100">
        <f t="shared" si="45"/>
        <v>0</v>
      </c>
      <c r="E22" s="473"/>
      <c r="F22" s="101">
        <f>((A7_A_L1*Malezas_A)+(A7_B_L1*Malezas_B)+(A7_C_L1*Malezas_C)+(A7_D_L1*Malezas_D)+(A7_Y_L1*Malezas_Y))*Inflación_7</f>
        <v>0</v>
      </c>
      <c r="G22" s="101">
        <f>SUMIFS('9'!$E:$E,'9'!$A:$A,Año_Inicial+6,'9'!$B:$B,'12'!F$4,'9'!$D:$D,"Aplicación de herbicida")</f>
        <v>0</v>
      </c>
      <c r="H22" s="101">
        <f>((A7_A_L2*Malezas_A)+(A7_B_L2*Malezas_B)+(A7_C_L2*Malezas_C)+(A7_D_L2*Malezas_D)+(A7_Y_L2*Malezas_Y))*Inflación_7</f>
        <v>0</v>
      </c>
      <c r="I22" s="101">
        <f>SUMIFS('9'!$E:$E,'9'!$A:$A,Año_Inicial+6,'9'!$B:$B,'12'!H$4,'9'!$D:$D,"Aplicación de herbicida")</f>
        <v>0</v>
      </c>
      <c r="J22" s="101">
        <f>((A7_A_L3*Malezas_A)+(A7_B_L3*Malezas_B)+(A7_C_L3*Malezas_C)+(A7_D_L3*Malezas_D)+(A7_Y_L3*Malezas_Y))*Inflación_7</f>
        <v>0</v>
      </c>
      <c r="K22" s="101">
        <f>SUMIFS('9'!$E:$E,'9'!$A:$A,Año_Inicial+6,'9'!$B:$B,'12'!J$4,'9'!$D:$D,"Aplicación de herbicida")</f>
        <v>0</v>
      </c>
      <c r="L22" s="101">
        <f>((A7_A_L4*Malezas_A)+(A7_B_L4*Malezas_B)+(A7_C_L4*Malezas_C)+(A7_D_L4*Malezas_D)+(A7_Y_L4*Malezas_Y))*Inflación_7</f>
        <v>0</v>
      </c>
      <c r="M22" s="101">
        <f>SUMIFS('9'!$E:$E,'9'!$A:$A,Año_Inicial+6,'9'!$B:$B,'12'!L$4,'9'!$D:$D,"Aplicación de herbicida")</f>
        <v>0</v>
      </c>
      <c r="N22" s="101">
        <f>((A7_A_L5*Malezas_A)+(A7_B_L5*Malezas_B)+(A7_C_L5*Malezas_C)+(A7_D_L5*Malezas_D)+(A7_Y_L5*Malezas_Y))*Inflación_7</f>
        <v>0</v>
      </c>
      <c r="O22" s="101">
        <f>SUMIFS('9'!$E:$E,'9'!$A:$A,Año_Inicial+6,'9'!$B:$B,'12'!N$4,'9'!$D:$D,"Aplicación de herbicida")</f>
        <v>0</v>
      </c>
      <c r="P22" s="101">
        <f>((A7_A_L6*Malezas_A)+(A7_B_L6*Malezas_B)+(A7_C_L6*Malezas_C)+(A7_D_L6*Malezas_D)+(A7_Y_L6*Malezas_Y))*Inflación_7</f>
        <v>0</v>
      </c>
      <c r="Q22" s="101">
        <f>SUMIFS('9'!$E:$E,'9'!$A:$A,Año_Inicial+6,'9'!$B:$B,'12'!P$4,'9'!$D:$D,"Aplicación de herbicida")</f>
        <v>0</v>
      </c>
      <c r="R22" s="101">
        <f>((A7_A_L7*Malezas_A)+(A7_B_L7*Malezas_B)+(A7_C_L7*Malezas_C)+(A7_D_L7*Malezas_D)+(A7_Y_L7*Malezas_Y))*Inflación_7</f>
        <v>0</v>
      </c>
      <c r="S22" s="101">
        <f>SUMIFS('9'!$E:$E,'9'!$A:$A,Año_Inicial+6,'9'!$B:$B,'12'!R$4,'9'!$D:$D,"Aplicación de herbicida")</f>
        <v>0</v>
      </c>
      <c r="T22" s="101">
        <f>((A7_A_L8*Malezas_A)+(A7_B_L8*Malezas_B)+(A7_C_L8*Malezas_C)+(A7_D_L8*Malezas_D)+(A7_Y_L8*Malezas_Y))*Inflación_7</f>
        <v>0</v>
      </c>
      <c r="U22" s="101">
        <f>SUMIFS('9'!$E:$E,'9'!$A:$A,Año_Inicial+6,'9'!$B:$B,'12'!T$4,'9'!$D:$D,"Aplicación de herbicida")</f>
        <v>0</v>
      </c>
      <c r="V22" s="101">
        <f>((A7_A_L9*Malezas_A)+(A7_B_L9*Malezas_B)+(A7_C_L9*Malezas_C)+(A7_D_L9*Malezas_D)+(A7_Y_L9*Malezas_Y))*Inflación_7</f>
        <v>0</v>
      </c>
      <c r="W22" s="101">
        <f>SUMIFS('9'!$E:$E,'9'!$A:$A,Año_Inicial+6,'9'!$B:$B,'12'!V$4,'9'!$D:$D,"Aplicación de herbicida")</f>
        <v>0</v>
      </c>
      <c r="X22" s="101">
        <f>((A7_A_L10*Malezas_A)+(A7_B_L10*Malezas_B)+(A7_C_L10*Malezas_C)+(A7_D_L10*Malezas_D)+(A7_Y_L10*Malezas_Y))*Inflación_7</f>
        <v>0</v>
      </c>
      <c r="Y22" s="101">
        <f>SUMIFS('9'!$E:$E,'9'!$A:$A,Año_Inicial+6,'9'!$B:$B,'12'!X$4,'9'!$D:$D,"Aplicación de herbicida")</f>
        <v>0</v>
      </c>
      <c r="Z22" s="101">
        <f>((A7_A_L11*Malezas_A)+(A7_B_L11*Malezas_B)+(A7_C_L11*Malezas_C)+(A7_D_L11*Malezas_D)+(A7_Y_L11*Malezas_Y))*Inflación_7</f>
        <v>0</v>
      </c>
      <c r="AA22" s="101">
        <f>SUMIFS('9'!$E:$E,'9'!$A:$A,Año_Inicial+6,'9'!$B:$B,'12'!Z$4,'9'!$D:$D,"Aplicación de herbicida")</f>
        <v>0</v>
      </c>
      <c r="AB22" s="101">
        <f>((A7_A_L12*Malezas_A)+(A7_B_L12*Malezas_B)+(A7_C_L12*Malezas_C)+(A7_D_L12*Malezas_D)+(A7_Y_L12*Malezas_Y))*Inflación_7</f>
        <v>0</v>
      </c>
      <c r="AC22" s="101">
        <f>SUMIFS('9'!$E:$E,'9'!$A:$A,Año_Inicial+6,'9'!$B:$B,'12'!AB$4,'9'!$D:$D,"Aplicación de herbicida")</f>
        <v>0</v>
      </c>
      <c r="AD22" s="101">
        <f>((A7_A_L13*Malezas_A)+(A7_B_L13*Malezas_B)+(A7_C_L13*Malezas_C)+(A7_D_L13*Malezas_D)+(A7_Y_L13*Malezas_Y))*Inflación_7</f>
        <v>0</v>
      </c>
      <c r="AE22" s="101">
        <f>SUMIFS('9'!$E:$E,'9'!$A:$A,Año_Inicial+6,'9'!$B:$B,'12'!AD$4,'9'!$D:$D,"Aplicación de herbicida")</f>
        <v>0</v>
      </c>
      <c r="AF22" s="101">
        <f>((A7_A_L14*Malezas_A)+(A7_B_L14*Malezas_B)+(A7_C_L14*Malezas_C)+(A7_D_L14*Malezas_D)+(A7_Y_L14*Malezas_Y))*Inflación_7</f>
        <v>0</v>
      </c>
      <c r="AG22" s="101">
        <f>SUMIFS('9'!$E:$E,'9'!$A:$A,Año_Inicial+6,'9'!$B:$B,'12'!AF$4,'9'!$D:$D,"Aplicación de herbicida")</f>
        <v>0</v>
      </c>
      <c r="AH22" s="101">
        <f>((A7_A_L15*Malezas_A)+(A7_B_L15*Malezas_B)+(A7_C_L15*Malezas_C)+(A7_D_L15*Malezas_D)+(A7_Y_L15*Malezas_Y))*Inflación_7</f>
        <v>0</v>
      </c>
      <c r="AI22" s="101">
        <f>SUMIFS('9'!$E:$E,'9'!$A:$A,Año_Inicial+6,'9'!$B:$B,'12'!AH$4,'9'!$D:$D,"Aplicación de herbicida")</f>
        <v>0</v>
      </c>
      <c r="AJ22" s="101">
        <f>((A7_A_L16*Malezas_A)+(A7_B_L16*Malezas_B)+(A7_C_L16*Malezas_C)+(A7_D_L16*Malezas_D)+(A7_Y_L16*Malezas_Y))*Inflación_7</f>
        <v>0</v>
      </c>
      <c r="AK22" s="101">
        <f>SUMIFS('9'!$E:$E,'9'!$A:$A,Año_Inicial+6,'9'!$B:$B,'12'!AJ$4,'9'!$D:$D,"Aplicación de herbicida")</f>
        <v>0</v>
      </c>
      <c r="AL22" s="101">
        <f>((A7_A_L17*Malezas_A)+(A7_B_L17*Malezas_B)+(A7_C_L17*Malezas_C)+(A7_D_L17*Malezas_D)+(A7_Y_L17*Malezas_Y))*Inflación_7</f>
        <v>0</v>
      </c>
      <c r="AM22" s="101">
        <f>SUMIFS('9'!$E:$E,'9'!$A:$A,Año_Inicial+6,'9'!$B:$B,'12'!AL$4,'9'!$D:$D,"Aplicación de herbicida")</f>
        <v>0</v>
      </c>
      <c r="AN22" s="101">
        <f>((A7_A_L18*Malezas_A)+(A7_B_L18*Malezas_B)+(A7_C_L18*Malezas_C)+(A7_D_L18*Malezas_D)+(A7_Y_L18*Malezas_Y))*Inflación_7</f>
        <v>0</v>
      </c>
      <c r="AO22" s="101">
        <f>SUMIFS('9'!$E:$E,'9'!$A:$A,Año_Inicial+6,'9'!$B:$B,'12'!AN$4,'9'!$D:$D,"Aplicación de herbicida")</f>
        <v>0</v>
      </c>
      <c r="AP22" s="101">
        <f>((A7_A_L19*Malezas_A)+(A7_B_L19*Malezas_B)+(A7_C_L19*Malezas_C)+(A7_D_L19*Malezas_D)+(A7_Y_L19*Malezas_Y))*Inflación_7</f>
        <v>0</v>
      </c>
      <c r="AQ22" s="101">
        <f>SUMIFS('9'!$E:$E,'9'!$A:$A,Año_Inicial+6,'9'!$B:$B,'12'!AP$4,'9'!$D:$D,"Aplicación de herbicida")</f>
        <v>0</v>
      </c>
      <c r="AR22" s="101">
        <f>((A7_A_L20*Malezas_A)+(A7_B_L20*Malezas_B)+(A7_C_L20*Malezas_C)+(A7_D_L20*Malezas_D)+(A7_Y_L20*Malezas_Y))*Inflación_7</f>
        <v>0</v>
      </c>
      <c r="AS22" s="101">
        <f>SUMIFS('9'!$E:$E,'9'!$A:$A,Año_Inicial+6,'9'!$B:$B,'12'!AR$4,'9'!$D:$D,"Aplicación de herbicida")</f>
        <v>0</v>
      </c>
      <c r="AT22" s="101">
        <f>((A7_A_L21*Malezas_A)+(A7_B_L21*Malezas_B)+(A7_C_L21*Malezas_C)+(A7_D_L21*Malezas_D)+(A7_Y_L21*Malezas_Y))*Inflación_7</f>
        <v>0</v>
      </c>
      <c r="AU22" s="101">
        <f>SUMIFS('9'!$E:$E,'9'!$A:$A,Año_Inicial+6,'9'!$B:$B,'12'!AT$4,'9'!$D:$D,"Aplicación de herbicida")</f>
        <v>0</v>
      </c>
      <c r="AV22" s="101">
        <f>((A7_A_L22*Malezas_A)+(A7_B_L22*Malezas_B)+(A7_C_L22*Malezas_C)+(A7_D_L22*Malezas_D)+(A7_Y_L22*Malezas_Y))*Inflación_7</f>
        <v>0</v>
      </c>
      <c r="AW22" s="101">
        <f>SUMIFS('9'!$E:$E,'9'!$A:$A,Año_Inicial+6,'9'!$B:$B,'12'!AV$4,'9'!$D:$D,"Aplicación de herbicida")</f>
        <v>0</v>
      </c>
      <c r="AX22" s="101">
        <f>((A7_A_L23*Malezas_A)+(A7_B_L23*Malezas_B)+(A7_C_L23*Malezas_C)+(A7_D_L23*Malezas_D)+(A7_Y_L23*Malezas_Y))*Inflación_7</f>
        <v>0</v>
      </c>
      <c r="AY22" s="101">
        <f>SUMIFS('9'!$E:$E,'9'!$A:$A,Año_Inicial+6,'9'!$B:$B,'12'!AX$4,'9'!$D:$D,"Aplicación de herbicida")</f>
        <v>0</v>
      </c>
      <c r="AZ22" s="101">
        <f>((A7_A_L24*Malezas_A)+(A7_B_L24*Malezas_B)+(A7_C_L24*Malezas_C)+(A7_D_L24*Malezas_D)+(A7_Y_L24*Malezas_Y))*Inflación_7</f>
        <v>0</v>
      </c>
      <c r="BA22" s="101">
        <f>SUMIFS('9'!$E:$E,'9'!$A:$A,Año_Inicial+6,'9'!$B:$B,'12'!AZ$4,'9'!$D:$D,"Aplicación de herbicida")</f>
        <v>0</v>
      </c>
      <c r="BB22" s="101">
        <f>((A7_A_L25*Malezas_A)+(A7_B_L25*Malezas_B)+(A7_C_L25*Malezas_C)+(A7_D_L25*Malezas_D)+(A7_Y_L25*Malezas_Y))*Inflación_7</f>
        <v>0</v>
      </c>
      <c r="BC22" s="101">
        <f>SUMIFS('9'!$E:$E,'9'!$A:$A,Año_Inicial+6,'9'!$B:$B,'12'!BB$4,'9'!$D:$D,"Aplicación de herbicida")</f>
        <v>0</v>
      </c>
      <c r="BD22" s="101">
        <f>((A7_A_L26*Malezas_A)+(A7_B_L26*Malezas_B)+(A7_C_L26*Malezas_C)+(A7_D_L26*Malezas_D)+(A7_Y_L26*Malezas_Y))*Inflación_7</f>
        <v>0</v>
      </c>
      <c r="BE22" s="101">
        <f>SUMIFS('9'!$E:$E,'9'!$A:$A,Año_Inicial+6,'9'!$B:$B,'12'!BD$4,'9'!$D:$D,"Aplicación de herbicida")</f>
        <v>0</v>
      </c>
      <c r="BF22" s="101">
        <f>((A7_A_L27*Malezas_A)+(A7_B_L27*Malezas_B)+(A7_C_L27*Malezas_C)+(A7_D_L27*Malezas_D)+(A7_Y_L27*Malezas_Y))*Inflación_7</f>
        <v>0</v>
      </c>
      <c r="BG22" s="101">
        <f>SUMIFS('9'!$E:$E,'9'!$A:$A,Año_Inicial+6,'9'!$B:$B,'12'!BF$4,'9'!$D:$D,"Aplicación de herbicida")</f>
        <v>0</v>
      </c>
      <c r="BH22" s="101">
        <f>((A7_A_L28*Malezas_A)+(A7_B_L28*Malezas_B)+(A7_C_L28*Malezas_C)+(A7_D_L28*Malezas_D)+(A7_Y_L28*Malezas_Y))*Inflación_7</f>
        <v>0</v>
      </c>
      <c r="BI22" s="101">
        <f>SUMIFS('9'!$E:$E,'9'!$A:$A,Año_Inicial+6,'9'!$B:$B,'12'!BH$4,'9'!$D:$D,"Aplicación de herbicida")</f>
        <v>0</v>
      </c>
      <c r="BJ22" s="101">
        <f>((A7_A_L29*Malezas_A)+(A7_B_L29*Malezas_B)+(A7_C_L29*Malezas_C)+(A7_D_L29*Malezas_D)+(A7_Y_L29*Malezas_Y))*Inflación_7</f>
        <v>0</v>
      </c>
      <c r="BK22" s="101">
        <f>SUMIFS('9'!$E:$E,'9'!$A:$A,Año_Inicial+6,'9'!$B:$B,'12'!BJ$4,'9'!$D:$D,"Aplicación de herbicida")</f>
        <v>0</v>
      </c>
      <c r="BL22" s="101">
        <f>((A7_A_L30*Malezas_A)+(A7_B_L30*Malezas_B)+(A7_C_L30*Malezas_C)+(A7_D_L30*Malezas_D)+(A7_Y_L30*Malezas_Y))*Inflación_7</f>
        <v>0</v>
      </c>
      <c r="BM22" s="101">
        <f>SUMIFS('9'!$E:$E,'9'!$A:$A,Año_Inicial+6,'9'!$B:$B,'12'!BL$4,'9'!$D:$D,"Aplicación de herbicida")</f>
        <v>0</v>
      </c>
      <c r="BN22" s="101">
        <f>((A7_A_L31*Malezas_A)+(A7_B_L31*Malezas_B)+(A7_C_L31*Malezas_C)+(A7_D_L31*Malezas_D)+(A7_Y_L31*Malezas_Y))*Inflación_7</f>
        <v>0</v>
      </c>
      <c r="BO22" s="101">
        <f>SUMIFS('9'!$E:$E,'9'!$A:$A,Año_Inicial+6,'9'!$B:$B,'12'!BN$4,'9'!$D:$D,"Aplicación de herbicida")</f>
        <v>0</v>
      </c>
      <c r="BP22" s="101">
        <f>((A7_A_L32*Malezas_A)+(A7_B_L32*Malezas_B)+(A7_C_L32*Malezas_C)+(A7_D_L32*Malezas_D)+(A7_Y_L32*Malezas_Y))*Inflación_7</f>
        <v>0</v>
      </c>
      <c r="BQ22" s="101">
        <f>SUMIFS('9'!$E:$E,'9'!$A:$A,Año_Inicial+6,'9'!$B:$B,'12'!BP$4,'9'!$D:$D,"Aplicación de herbicida")</f>
        <v>0</v>
      </c>
      <c r="BR22" s="101">
        <f>((A7_A_L33*Malezas_A)+(A7_B_L33*Malezas_B)+(A7_C_L33*Malezas_C)+(A7_D_L33*Malezas_D)+(A7_Y_L33*Malezas_Y))*Inflación_7</f>
        <v>0</v>
      </c>
      <c r="BS22" s="101">
        <f>SUMIFS('9'!$E:$E,'9'!$A:$A,Año_Inicial+6,'9'!$B:$B,'12'!BR$4,'9'!$D:$D,"Aplicación de herbicida")</f>
        <v>0</v>
      </c>
      <c r="BT22" s="101">
        <f>((A7_A_L34*Malezas_A)+(A7_B_L34*Malezas_B)+(A7_C_L34*Malezas_C)+(A7_D_L34*Malezas_D)+(A7_Y_L34*Malezas_Y))*Inflación_7</f>
        <v>0</v>
      </c>
      <c r="BU22" s="101">
        <f>SUMIFS('9'!$E:$E,'9'!$A:$A,Año_Inicial+6,'9'!$B:$B,'12'!BT$4,'9'!$D:$D,"Aplicación de herbicida")</f>
        <v>0</v>
      </c>
      <c r="BV22" s="101">
        <f>((A7_A_L35*Malezas_A)+(A7_B_L35*Malezas_B)+(A7_C_L35*Malezas_C)+(A7_D_L35*Malezas_D)+(A7_Y_L35*Malezas_Y))*Inflación_7</f>
        <v>0</v>
      </c>
      <c r="BW22" s="101">
        <f>SUMIFS('9'!$E:$E,'9'!$A:$A,Año_Inicial+6,'9'!$B:$B,'12'!BV$4,'9'!$D:$D,"Aplicación de herbicida")</f>
        <v>0</v>
      </c>
      <c r="BX22" s="101">
        <f>((A7_A_L36*Malezas_A)+(A7_B_L36*Malezas_B)+(A7_C_L36*Malezas_C)+(A7_D_L36*Malezas_D)+(A7_Y_L36*Malezas_Y))*Inflación_7</f>
        <v>0</v>
      </c>
      <c r="BY22" s="101">
        <f>SUMIFS('9'!$E:$E,'9'!$A:$A,Año_Inicial+6,'9'!$B:$B,'12'!BX$4,'9'!$D:$D,"Aplicación de herbicida")</f>
        <v>0</v>
      </c>
      <c r="BZ22" s="101">
        <f>((A7_A_L37*Malezas_A)+(A7_B_L37*Malezas_B)+(A7_C_L37*Malezas_C)+(A7_D_L37*Malezas_D)+(A7_Y_L37*Malezas_Y))*Inflación_7</f>
        <v>0</v>
      </c>
      <c r="CA22" s="101">
        <f>SUMIFS('9'!$E:$E,'9'!$A:$A,Año_Inicial+6,'9'!$B:$B,'12'!BZ$4,'9'!$D:$D,"Aplicación de herbicida")</f>
        <v>0</v>
      </c>
      <c r="CB22" s="101">
        <f>((A7_A_L38*Malezas_A)+(A7_B_L38*Malezas_B)+(A7_C_L38*Malezas_C)+(A7_D_L38*Malezas_D)+(A7_Y_L38*Malezas_Y))*Inflación_7</f>
        <v>0</v>
      </c>
      <c r="CC22" s="101">
        <f>SUMIFS('9'!$E:$E,'9'!$A:$A,Año_Inicial+6,'9'!$B:$B,'12'!CB$4,'9'!$D:$D,"Aplicación de herbicida")</f>
        <v>0</v>
      </c>
      <c r="CD22" s="101">
        <f>((A7_A_L39*Malezas_A)+(A7_B_L39*Malezas_B)+(A7_C_L39*Malezas_C)+(A7_D_L39*Malezas_D)+(A7_Y_L39*Malezas_Y))*Inflación_7</f>
        <v>0</v>
      </c>
      <c r="CE22" s="101">
        <f>SUMIFS('9'!$E:$E,'9'!$A:$A,Año_Inicial+6,'9'!$B:$B,'12'!CD$4,'9'!$D:$D,"Aplicación de herbicida")</f>
        <v>0</v>
      </c>
      <c r="CF22" s="101">
        <f>((A7_A_L40*Malezas_A)+(A7_B_L40*Malezas_B)+(A7_C_L40*Malezas_C)+(A7_D_L40*Malezas_D)+(A7_Y_L40*Malezas_Y))*Inflación_7</f>
        <v>0</v>
      </c>
      <c r="CG22" s="101">
        <f>SUMIFS('9'!$E:$E,'9'!$A:$A,Año_Inicial+6,'9'!$B:$B,'12'!CF$4,'9'!$D:$D,"Aplicación de herbicida")</f>
        <v>0</v>
      </c>
      <c r="CH22" s="473"/>
      <c r="CI22" s="101">
        <f>Plantas_A_A7*Malezas_A*Inflación_7</f>
        <v>0</v>
      </c>
      <c r="CJ22" s="101">
        <f>Plantas_B_A7*Malezas_B</f>
        <v>0</v>
      </c>
      <c r="CK22" s="101">
        <f>Plantas_C_A7*Malezas_C</f>
        <v>0</v>
      </c>
      <c r="CL22" s="101">
        <f>Plantas_D_A7*Malezas_D</f>
        <v>0</v>
      </c>
      <c r="CM22" s="101"/>
      <c r="CN22" s="101">
        <f>Plantas_Y_A7*Malezas_Y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SUMIFS('9'!$E:$E,'9'!$A:$A,Año_Inicial+6,'9'!$D:$D,"Limpias manuales")</f>
        <v>0</v>
      </c>
      <c r="D23" s="100">
        <f t="shared" si="45"/>
        <v>0</v>
      </c>
      <c r="E23" s="473"/>
      <c r="F23" s="101">
        <f>((A7_A_L1*Limpias_A)+(A7_B_L1*Limpias_B)+(A7_C_L1*Limpias_C)+(A7_D_L1*Limpias_D)+(A7_Y_L1*Limpias_Y))*Inflación_7</f>
        <v>0</v>
      </c>
      <c r="G23" s="101">
        <f>SUMIFS('9'!$E:$E,'9'!$A:$A,Año_Inicial+6,'9'!$B:$B,'12'!F$4,'9'!$D:$D,"Limpias manuales")</f>
        <v>0</v>
      </c>
      <c r="H23" s="101">
        <f>((A7_A_L2*Limpias_A)+(A7_B_L2*Limpias_B)+(A7_C_L2*Limpias_C)+(A7_D_L2*Limpias_D)+(A7_Y_L2*Limpias_Y))*Inflación_7</f>
        <v>0</v>
      </c>
      <c r="I23" s="101">
        <f>SUMIFS('9'!$E:$E,'9'!$A:$A,Año_Inicial+6,'9'!$B:$B,'12'!H$4,'9'!$D:$D,"Limpias manuales")</f>
        <v>0</v>
      </c>
      <c r="J23" s="101">
        <f>((A7_A_L3*Limpias_A)+(A7_B_L3*Limpias_B)+(A7_C_L3*Limpias_C)+(A7_D_L3*Limpias_D)+(A7_Y_L3*Limpias_Y))*Inflación_7</f>
        <v>0</v>
      </c>
      <c r="K23" s="101">
        <f>SUMIFS('9'!$E:$E,'9'!$A:$A,Año_Inicial+6,'9'!$B:$B,'12'!J$4,'9'!$D:$D,"Limpias manuales")</f>
        <v>0</v>
      </c>
      <c r="L23" s="101">
        <f>((A7_A_L4*Limpias_A)+(A7_B_L4*Limpias_B)+(A7_C_L4*Limpias_C)+(A7_D_L4*Limpias_D)+(A7_Y_L4*Limpias_Y))*Inflación_7</f>
        <v>0</v>
      </c>
      <c r="M23" s="101">
        <f>SUMIFS('9'!$E:$E,'9'!$A:$A,Año_Inicial+6,'9'!$B:$B,'12'!L$4,'9'!$D:$D,"Limpias manuales")</f>
        <v>0</v>
      </c>
      <c r="N23" s="101">
        <f>((A7_A_L5*Limpias_A)+(A7_B_L5*Limpias_B)+(A7_C_L5*Limpias_C)+(A7_D_L5*Limpias_D)+(A7_Y_L5*Limpias_Y))*Inflación_7</f>
        <v>0</v>
      </c>
      <c r="O23" s="101">
        <f>SUMIFS('9'!$E:$E,'9'!$A:$A,Año_Inicial+6,'9'!$B:$B,'12'!N$4,'9'!$D:$D,"Limpias manuales")</f>
        <v>0</v>
      </c>
      <c r="P23" s="101">
        <f>((A7_A_L6*Limpias_A)+(A7_B_L6*Limpias_B)+(A7_C_L6*Limpias_C)+(A7_D_L6*Limpias_D)+(A7_Y_L6*Limpias_Y))*Inflación_7</f>
        <v>0</v>
      </c>
      <c r="Q23" s="101">
        <f>SUMIFS('9'!$E:$E,'9'!$A:$A,Año_Inicial+6,'9'!$B:$B,'12'!P$4,'9'!$D:$D,"Limpias manuales")</f>
        <v>0</v>
      </c>
      <c r="R23" s="101">
        <f>((A7_A_L7*Limpias_A)+(A7_B_L7*Limpias_B)+(A7_C_L7*Limpias_C)+(A7_D_L7*Limpias_D)+(A7_Y_L7*Limpias_Y))*Inflación_7</f>
        <v>0</v>
      </c>
      <c r="S23" s="101">
        <f>SUMIFS('9'!$E:$E,'9'!$A:$A,Año_Inicial+6,'9'!$B:$B,'12'!R$4,'9'!$D:$D,"Limpias manuales")</f>
        <v>0</v>
      </c>
      <c r="T23" s="101">
        <f>((A7_A_L8*Limpias_A)+(A7_B_L8*Limpias_B)+(A7_C_L8*Limpias_C)+(A7_D_L8*Limpias_D)+(A7_Y_L8*Limpias_Y))*Inflación_7</f>
        <v>0</v>
      </c>
      <c r="U23" s="101">
        <f>SUMIFS('9'!$E:$E,'9'!$A:$A,Año_Inicial+6,'9'!$B:$B,'12'!T$4,'9'!$D:$D,"Limpias manuales")</f>
        <v>0</v>
      </c>
      <c r="V23" s="101">
        <f>((A7_A_L9*Limpias_A)+(A7_B_L9*Limpias_B)+(A7_C_L9*Limpias_C)+(A7_D_L9*Limpias_D)+(A7_Y_L9*Limpias_Y))*Inflación_7</f>
        <v>0</v>
      </c>
      <c r="W23" s="101">
        <f>SUMIFS('9'!$E:$E,'9'!$A:$A,Año_Inicial+6,'9'!$B:$B,'12'!V$4,'9'!$D:$D,"Limpias manuales")</f>
        <v>0</v>
      </c>
      <c r="X23" s="101">
        <f>((A7_A_L10*Limpias_A)+(A7_B_L10*Limpias_B)+(A7_C_L10*Limpias_C)+(A7_D_L10*Limpias_D)+(A7_Y_L10*Limpias_Y))*Inflación_7</f>
        <v>0</v>
      </c>
      <c r="Y23" s="101">
        <f>SUMIFS('9'!$E:$E,'9'!$A:$A,Año_Inicial+6,'9'!$B:$B,'12'!X$4,'9'!$D:$D,"Limpias manuales")</f>
        <v>0</v>
      </c>
      <c r="Z23" s="101">
        <f>((A7_A_L11*Limpias_A)+(A7_B_L11*Limpias_B)+(A7_C_L11*Limpias_C)+(A7_D_L11*Limpias_D)+(A7_Y_L11*Limpias_Y))*Inflación_7</f>
        <v>0</v>
      </c>
      <c r="AA23" s="101">
        <f>SUMIFS('9'!$E:$E,'9'!$A:$A,Año_Inicial+6,'9'!$B:$B,'12'!Z$4,'9'!$D:$D,"Limpias manuales")</f>
        <v>0</v>
      </c>
      <c r="AB23" s="101">
        <f>((A7_A_L12*Limpias_A)+(A7_B_L12*Limpias_B)+(A7_C_L12*Limpias_C)+(A7_D_L12*Limpias_D)+(A7_Y_L12*Limpias_Y))*Inflación_7</f>
        <v>0</v>
      </c>
      <c r="AC23" s="101">
        <f>SUMIFS('9'!$E:$E,'9'!$A:$A,Año_Inicial+6,'9'!$B:$B,'12'!AB$4,'9'!$D:$D,"Limpias manuales")</f>
        <v>0</v>
      </c>
      <c r="AD23" s="101">
        <f>((A7_A_L13*Limpias_A)+(A7_B_L13*Limpias_B)+(A7_C_L13*Limpias_C)+(A7_D_L13*Limpias_D)+(A7_Y_L13*Limpias_Y))*Inflación_7</f>
        <v>0</v>
      </c>
      <c r="AE23" s="101">
        <f>SUMIFS('9'!$E:$E,'9'!$A:$A,Año_Inicial+6,'9'!$B:$B,'12'!AD$4,'9'!$D:$D,"Limpias manuales")</f>
        <v>0</v>
      </c>
      <c r="AF23" s="101">
        <f>((A7_A_L14*Limpias_A)+(A7_B_L14*Limpias_B)+(A7_C_L14*Limpias_C)+(A7_D_L14*Limpias_D)+(A7_Y_L14*Limpias_Y))*Inflación_7</f>
        <v>0</v>
      </c>
      <c r="AG23" s="101">
        <f>SUMIFS('9'!$E:$E,'9'!$A:$A,Año_Inicial+6,'9'!$B:$B,'12'!AF$4,'9'!$D:$D,"Limpias manuales")</f>
        <v>0</v>
      </c>
      <c r="AH23" s="101">
        <f>((A7_A_L15*Limpias_A)+(A7_B_L15*Limpias_B)+(A7_C_L15*Limpias_C)+(A7_D_L15*Limpias_D)+(A7_Y_L15*Limpias_Y))*Inflación_7</f>
        <v>0</v>
      </c>
      <c r="AI23" s="101">
        <f>SUMIFS('9'!$E:$E,'9'!$A:$A,Año_Inicial+6,'9'!$B:$B,'12'!AH$4,'9'!$D:$D,"Limpias manuales")</f>
        <v>0</v>
      </c>
      <c r="AJ23" s="101">
        <f>((A7_A_L16*Limpias_A)+(A7_B_L16*Limpias_B)+(A7_C_L16*Limpias_C)+(A7_D_L16*Limpias_D)+(A7_Y_L16*Limpias_Y))*Inflación_7</f>
        <v>0</v>
      </c>
      <c r="AK23" s="101">
        <f>SUMIFS('9'!$E:$E,'9'!$A:$A,Año_Inicial+6,'9'!$B:$B,'12'!AJ$4,'9'!$D:$D,"Limpias manuales")</f>
        <v>0</v>
      </c>
      <c r="AL23" s="101">
        <f>((A7_A_L17*Limpias_A)+(A7_B_L17*Limpias_B)+(A7_C_L17*Limpias_C)+(A7_D_L17*Limpias_D)+(A7_Y_L17*Limpias_Y))*Inflación_7</f>
        <v>0</v>
      </c>
      <c r="AM23" s="101">
        <f>SUMIFS('9'!$E:$E,'9'!$A:$A,Año_Inicial+6,'9'!$B:$B,'12'!AL$4,'9'!$D:$D,"Limpias manuales")</f>
        <v>0</v>
      </c>
      <c r="AN23" s="101">
        <f>((A7_A_L18*Limpias_A)+(A7_B_L18*Limpias_B)+(A7_C_L18*Limpias_C)+(A7_D_L18*Limpias_D)+(A7_Y_L18*Limpias_Y))*Inflación_7</f>
        <v>0</v>
      </c>
      <c r="AO23" s="101">
        <f>SUMIFS('9'!$E:$E,'9'!$A:$A,Año_Inicial+6,'9'!$B:$B,'12'!AN$4,'9'!$D:$D,"Limpias manuales")</f>
        <v>0</v>
      </c>
      <c r="AP23" s="101">
        <f>((A7_A_L19*Limpias_A)+(A7_B_L19*Limpias_B)+(A7_C_L19*Limpias_C)+(A7_D_L19*Limpias_D)+(A7_Y_L19*Limpias_Y))*Inflación_7</f>
        <v>0</v>
      </c>
      <c r="AQ23" s="101">
        <f>SUMIFS('9'!$E:$E,'9'!$A:$A,Año_Inicial+6,'9'!$B:$B,'12'!AP$4,'9'!$D:$D,"Limpias manuales")</f>
        <v>0</v>
      </c>
      <c r="AR23" s="101">
        <f>((A7_A_L20*Limpias_A)+(A7_B_L20*Limpias_B)+(A7_C_L20*Limpias_C)+(A7_D_L20*Limpias_D)+(A7_Y_L20*Limpias_Y))*Inflación_7</f>
        <v>0</v>
      </c>
      <c r="AS23" s="101">
        <f>SUMIFS('9'!$E:$E,'9'!$A:$A,Año_Inicial+6,'9'!$B:$B,'12'!AR$4,'9'!$D:$D,"Limpias manuales")</f>
        <v>0</v>
      </c>
      <c r="AT23" s="101">
        <f>((A7_A_L21*Limpias_A)+(A7_B_L21*Limpias_B)+(A7_C_L21*Limpias_C)+(A7_D_L21*Limpias_D)+(A7_Y_L21*Limpias_Y))*Inflación_7</f>
        <v>0</v>
      </c>
      <c r="AU23" s="101">
        <f>SUMIFS('9'!$E:$E,'9'!$A:$A,Año_Inicial+6,'9'!$B:$B,'12'!AT$4,'9'!$D:$D,"Limpias manuales")</f>
        <v>0</v>
      </c>
      <c r="AV23" s="101">
        <f>((A7_A_L22*Limpias_A)+(A7_B_L22*Limpias_B)+(A7_C_L22*Limpias_C)+(A7_D_L22*Limpias_D)+(A7_Y_L22*Limpias_Y))*Inflación_7</f>
        <v>0</v>
      </c>
      <c r="AW23" s="101">
        <f>SUMIFS('9'!$E:$E,'9'!$A:$A,Año_Inicial+6,'9'!$B:$B,'12'!AV$4,'9'!$D:$D,"Limpias manuales")</f>
        <v>0</v>
      </c>
      <c r="AX23" s="101">
        <f>((A7_A_L23*Limpias_A)+(A7_B_L23*Limpias_B)+(A7_C_L23*Limpias_C)+(A7_D_L23*Limpias_D)+(A7_Y_L23*Limpias_Y))*Inflación_7</f>
        <v>0</v>
      </c>
      <c r="AY23" s="101">
        <f>SUMIFS('9'!$E:$E,'9'!$A:$A,Año_Inicial+6,'9'!$B:$B,'12'!AX$4,'9'!$D:$D,"Limpias manuales")</f>
        <v>0</v>
      </c>
      <c r="AZ23" s="101">
        <f>((A7_A_L24*Limpias_A)+(A7_B_L24*Limpias_B)+(A7_C_L24*Limpias_C)+(A7_D_L24*Limpias_D)+(A7_Y_L24*Limpias_Y))*Inflación_7</f>
        <v>0</v>
      </c>
      <c r="BA23" s="101">
        <f>SUMIFS('9'!$E:$E,'9'!$A:$A,Año_Inicial+6,'9'!$B:$B,'12'!AZ$4,'9'!$D:$D,"Limpias manuales")</f>
        <v>0</v>
      </c>
      <c r="BB23" s="101">
        <f>((A7_A_L25*Limpias_A)+(A7_B_L25*Limpias_B)+(A7_C_L25*Limpias_C)+(A7_D_L25*Limpias_D)+(A7_Y_L25*Limpias_Y))*Inflación_7</f>
        <v>0</v>
      </c>
      <c r="BC23" s="101">
        <f>SUMIFS('9'!$E:$E,'9'!$A:$A,Año_Inicial+6,'9'!$B:$B,'12'!BB$4,'9'!$D:$D,"Limpias manuales")</f>
        <v>0</v>
      </c>
      <c r="BD23" s="101">
        <f>((A7_A_L26*Limpias_A)+(A7_B_L26*Limpias_B)+(A7_C_L26*Limpias_C)+(A7_D_L26*Limpias_D)+(A7_Y_L26*Limpias_Y))*Inflación_7</f>
        <v>0</v>
      </c>
      <c r="BE23" s="101">
        <f>SUMIFS('9'!$E:$E,'9'!$A:$A,Año_Inicial+6,'9'!$B:$B,'12'!BD$4,'9'!$D:$D,"Limpias manuales")</f>
        <v>0</v>
      </c>
      <c r="BF23" s="101">
        <f>((A7_A_L27*Limpias_A)+(A7_B_L27*Limpias_B)+(A7_C_L27*Limpias_C)+(A7_D_L27*Limpias_D)+(A7_Y_L27*Limpias_Y))*Inflación_7</f>
        <v>0</v>
      </c>
      <c r="BG23" s="101">
        <f>SUMIFS('9'!$E:$E,'9'!$A:$A,Año_Inicial+6,'9'!$B:$B,'12'!BF$4,'9'!$D:$D,"Limpias manuales")</f>
        <v>0</v>
      </c>
      <c r="BH23" s="101">
        <f>((A7_A_L28*Limpias_A)+(A7_B_L28*Limpias_B)+(A7_C_L28*Limpias_C)+(A7_D_L28*Limpias_D)+(A7_Y_L28*Limpias_Y))*Inflación_7</f>
        <v>0</v>
      </c>
      <c r="BI23" s="101">
        <f>SUMIFS('9'!$E:$E,'9'!$A:$A,Año_Inicial+6,'9'!$B:$B,'12'!BH$4,'9'!$D:$D,"Limpias manuales")</f>
        <v>0</v>
      </c>
      <c r="BJ23" s="101">
        <f>((A7_A_L29*Limpias_A)+(A7_B_L29*Limpias_B)+(A7_C_L29*Limpias_C)+(A7_D_L29*Limpias_D)+(A7_Y_L29*Limpias_Y))*Inflación_7</f>
        <v>0</v>
      </c>
      <c r="BK23" s="101">
        <f>SUMIFS('9'!$E:$E,'9'!$A:$A,Año_Inicial+6,'9'!$B:$B,'12'!BJ$4,'9'!$D:$D,"Limpias manuales")</f>
        <v>0</v>
      </c>
      <c r="BL23" s="101">
        <f>((A7_A_L30*Limpias_A)+(A7_B_L30*Limpias_B)+(A7_C_L30*Limpias_C)+(A7_D_L30*Limpias_D)+(A7_Y_L30*Limpias_Y))*Inflación_7</f>
        <v>0</v>
      </c>
      <c r="BM23" s="101">
        <f>SUMIFS('9'!$E:$E,'9'!$A:$A,Año_Inicial+6,'9'!$B:$B,'12'!BL$4,'9'!$D:$D,"Limpias manuales")</f>
        <v>0</v>
      </c>
      <c r="BN23" s="101">
        <f>((A7_A_L31*Limpias_A)+(A7_B_L31*Limpias_B)+(A7_C_L31*Limpias_C)+(A7_D_L31*Limpias_D)+(A7_Y_L31*Limpias_Y))*Inflación_7</f>
        <v>0</v>
      </c>
      <c r="BO23" s="101">
        <f>SUMIFS('9'!$E:$E,'9'!$A:$A,Año_Inicial+6,'9'!$B:$B,'12'!BN$4,'9'!$D:$D,"Limpias manuales")</f>
        <v>0</v>
      </c>
      <c r="BP23" s="101">
        <f>((A7_A_L32*Limpias_A)+(A7_B_L32*Limpias_B)+(A7_C_L32*Limpias_C)+(A7_D_L32*Limpias_D)+(A7_Y_L32*Limpias_Y))*Inflación_7</f>
        <v>0</v>
      </c>
      <c r="BQ23" s="101">
        <f>SUMIFS('9'!$E:$E,'9'!$A:$A,Año_Inicial+6,'9'!$B:$B,'12'!BP$4,'9'!$D:$D,"Limpias manuales")</f>
        <v>0</v>
      </c>
      <c r="BR23" s="101">
        <f>((A7_A_L33*Limpias_A)+(A7_B_L33*Limpias_B)+(A7_C_L33*Limpias_C)+(A7_D_L33*Limpias_D)+(A7_Y_L33*Limpias_Y))*Inflación_7</f>
        <v>0</v>
      </c>
      <c r="BS23" s="101">
        <f>SUMIFS('9'!$E:$E,'9'!$A:$A,Año_Inicial+6,'9'!$B:$B,'12'!BR$4,'9'!$D:$D,"Limpias manuales")</f>
        <v>0</v>
      </c>
      <c r="BT23" s="101">
        <f>((A7_A_L34*Limpias_A)+(A7_B_L34*Limpias_B)+(A7_C_L34*Limpias_C)+(A7_D_L34*Limpias_D)+(A7_Y_L34*Limpias_Y))*Inflación_7</f>
        <v>0</v>
      </c>
      <c r="BU23" s="101">
        <f>SUMIFS('9'!$E:$E,'9'!$A:$A,Año_Inicial+6,'9'!$B:$B,'12'!BT$4,'9'!$D:$D,"Limpias manuales")</f>
        <v>0</v>
      </c>
      <c r="BV23" s="101">
        <f>((A7_A_L35*Limpias_A)+(A7_B_L35*Limpias_B)+(A7_C_L35*Limpias_C)+(A7_D_L35*Limpias_D)+(A7_Y_L35*Limpias_Y))*Inflación_7</f>
        <v>0</v>
      </c>
      <c r="BW23" s="101">
        <f>SUMIFS('9'!$E:$E,'9'!$A:$A,Año_Inicial+6,'9'!$B:$B,'12'!BV$4,'9'!$D:$D,"Limpias manuales")</f>
        <v>0</v>
      </c>
      <c r="BX23" s="101">
        <f>((A7_A_L36*Limpias_A)+(A7_B_L36*Limpias_B)+(A7_C_L36*Limpias_C)+(A7_D_L36*Limpias_D)+(A7_Y_L36*Limpias_Y))*Inflación_7</f>
        <v>0</v>
      </c>
      <c r="BY23" s="101">
        <f>SUMIFS('9'!$E:$E,'9'!$A:$A,Año_Inicial+6,'9'!$B:$B,'12'!BX$4,'9'!$D:$D,"Limpias manuales")</f>
        <v>0</v>
      </c>
      <c r="BZ23" s="101">
        <f>((A7_A_L37*Limpias_A)+(A7_B_L37*Limpias_B)+(A7_C_L37*Limpias_C)+(A7_D_L37*Limpias_D)+(A7_Y_L37*Limpias_Y))*Inflación_7</f>
        <v>0</v>
      </c>
      <c r="CA23" s="101">
        <f>SUMIFS('9'!$E:$E,'9'!$A:$A,Año_Inicial+6,'9'!$B:$B,'12'!BZ$4,'9'!$D:$D,"Limpias manuales")</f>
        <v>0</v>
      </c>
      <c r="CB23" s="101">
        <f>((A7_A_L38*Limpias_A)+(A7_B_L38*Limpias_B)+(A7_C_L38*Limpias_C)+(A7_D_L38*Limpias_D)+(A7_Y_L38*Limpias_Y))*Inflación_7</f>
        <v>0</v>
      </c>
      <c r="CC23" s="101">
        <f>SUMIFS('9'!$E:$E,'9'!$A:$A,Año_Inicial+6,'9'!$B:$B,'12'!CB$4,'9'!$D:$D,"Limpias manuales")</f>
        <v>0</v>
      </c>
      <c r="CD23" s="101">
        <f>((A7_A_L39*Limpias_A)+(A7_B_L39*Limpias_B)+(A7_C_L39*Limpias_C)+(A7_D_L39*Limpias_D)+(A7_Y_L39*Limpias_Y))*Inflación_7</f>
        <v>0</v>
      </c>
      <c r="CE23" s="101">
        <f>SUMIFS('9'!$E:$E,'9'!$A:$A,Año_Inicial+6,'9'!$B:$B,'12'!CD$4,'9'!$D:$D,"Limpias manuales")</f>
        <v>0</v>
      </c>
      <c r="CF23" s="101">
        <f>((A7_A_L40*Limpias_A)+(A7_B_L40*Limpias_B)+(A7_C_L40*Limpias_C)+(A7_D_L40*Limpias_D)+(A7_Y_L40*Limpias_Y))*Inflación_7</f>
        <v>0</v>
      </c>
      <c r="CG23" s="101">
        <f>SUMIFS('9'!$E:$E,'9'!$A:$A,Año_Inicial+6,'9'!$B:$B,'12'!CF$4,'9'!$D:$D,"Limpias manuales")</f>
        <v>0</v>
      </c>
      <c r="CH23" s="473"/>
      <c r="CI23" s="101">
        <f>Plantas_A_A7*Limpias_A*Inflación_7</f>
        <v>0</v>
      </c>
      <c r="CJ23" s="101">
        <f>Plantas_B_A7*Limpias_B</f>
        <v>0</v>
      </c>
      <c r="CK23" s="101">
        <f>Plantas_C_A7*Limpias_C</f>
        <v>0</v>
      </c>
      <c r="CL23" s="101">
        <f>Plantas_D_A7*Limpias_D</f>
        <v>0</v>
      </c>
      <c r="CM23" s="101"/>
      <c r="CN23" s="101">
        <f>Plantas_Y_A7*Limpias_Y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SUMIFS('9'!$E:$E,'9'!$A:$A,Año_Inicial+6,'9'!$D:$D,"Herbicida")</f>
        <v>0</v>
      </c>
      <c r="D24" s="100">
        <f t="shared" si="45"/>
        <v>0</v>
      </c>
      <c r="E24" s="473"/>
      <c r="F24" s="101">
        <f>((A7_A_L1*Herbicida_A)+(A7_B_L1*Herbicida_B)+(A7_C_L1*Herbicida_C)+(A7_D_L1*Herbicida_D)+(A7_Y_L1*Herbicida_Y))*Inflación_7</f>
        <v>0</v>
      </c>
      <c r="G24" s="101">
        <f>SUMIFS('9'!$E:$E,'9'!$A:$A,Año_Inicial+6,'9'!$B:$B,'12'!F$4,'9'!$D:$D,"Herbicida")</f>
        <v>0</v>
      </c>
      <c r="H24" s="101">
        <f>((A7_A_L2*Herbicida_A)+(A7_B_L2*Herbicida_B)+(A7_C_L2*Herbicida_C)+(A7_D_L2*Herbicida_D)+(A7_Y_L2*Herbicida_Y))*Inflación_7</f>
        <v>0</v>
      </c>
      <c r="I24" s="101">
        <f>SUMIFS('9'!$E:$E,'9'!$A:$A,Año_Inicial+6,'9'!$B:$B,'12'!H$4,'9'!$D:$D,"Herbicida")</f>
        <v>0</v>
      </c>
      <c r="J24" s="101">
        <f>((A7_A_L3*Herbicida_A)+(A7_B_L3*Herbicida_B)+(A7_C_L3*Herbicida_C)+(A7_D_L3*Herbicida_D)+(A7_Y_L3*Herbicida_Y))*Inflación_7</f>
        <v>0</v>
      </c>
      <c r="K24" s="101">
        <f>SUMIFS('9'!$E:$E,'9'!$A:$A,Año_Inicial+6,'9'!$B:$B,'12'!J$4,'9'!$D:$D,"Herbicida")</f>
        <v>0</v>
      </c>
      <c r="L24" s="101">
        <f>((A7_A_L4*Herbicida_A)+(A7_B_L4*Herbicida_B)+(A7_C_L4*Herbicida_C)+(A7_D_L4*Herbicida_D)+(A7_Y_L4*Herbicida_Y))*Inflación_7</f>
        <v>0</v>
      </c>
      <c r="M24" s="101">
        <f>SUMIFS('9'!$E:$E,'9'!$A:$A,Año_Inicial+6,'9'!$B:$B,'12'!L$4,'9'!$D:$D,"Herbicida")</f>
        <v>0</v>
      </c>
      <c r="N24" s="101">
        <f>((A7_A_L5*Herbicida_A)+(A7_B_L5*Herbicida_B)+(A7_C_L5*Herbicida_C)+(A7_D_L5*Herbicida_D)+(A7_Y_L5*Herbicida_Y))*Inflación_7</f>
        <v>0</v>
      </c>
      <c r="O24" s="101">
        <f>SUMIFS('9'!$E:$E,'9'!$A:$A,Año_Inicial+6,'9'!$B:$B,'12'!N$4,'9'!$D:$D,"Herbicida")</f>
        <v>0</v>
      </c>
      <c r="P24" s="101">
        <f>((A7_A_L6*Herbicida_A)+(A7_B_L6*Herbicida_B)+(A7_C_L6*Herbicida_C)+(A7_D_L6*Herbicida_D)+(A7_Y_L6*Herbicida_Y))*Inflación_7</f>
        <v>0</v>
      </c>
      <c r="Q24" s="101">
        <f>SUMIFS('9'!$E:$E,'9'!$A:$A,Año_Inicial+6,'9'!$B:$B,'12'!P$4,'9'!$D:$D,"Herbicida")</f>
        <v>0</v>
      </c>
      <c r="R24" s="101">
        <f>((A7_A_L7*Herbicida_A)+(A7_B_L7*Herbicida_B)+(A7_C_L7*Herbicida_C)+(A7_D_L7*Herbicida_D)+(A7_Y_L7*Herbicida_Y))*Inflación_7</f>
        <v>0</v>
      </c>
      <c r="S24" s="101">
        <f>SUMIFS('9'!$E:$E,'9'!$A:$A,Año_Inicial+6,'9'!$B:$B,'12'!R$4,'9'!$D:$D,"Herbicida")</f>
        <v>0</v>
      </c>
      <c r="T24" s="101">
        <f>((A7_A_L8*Herbicida_A)+(A7_B_L8*Herbicida_B)+(A7_C_L8*Herbicida_C)+(A7_D_L8*Herbicida_D)+(A7_Y_L8*Herbicida_Y))*Inflación_7</f>
        <v>0</v>
      </c>
      <c r="U24" s="101">
        <f>SUMIFS('9'!$E:$E,'9'!$A:$A,Año_Inicial+6,'9'!$B:$B,'12'!T$4,'9'!$D:$D,"Herbicida")</f>
        <v>0</v>
      </c>
      <c r="V24" s="101">
        <f>((A7_A_L9*Herbicida_A)+(A7_B_L9*Herbicida_B)+(A7_C_L9*Herbicida_C)+(A7_D_L9*Herbicida_D)+(A7_Y_L9*Herbicida_Y))*Inflación_7</f>
        <v>0</v>
      </c>
      <c r="W24" s="101">
        <f>SUMIFS('9'!$E:$E,'9'!$A:$A,Año_Inicial+6,'9'!$B:$B,'12'!V$4,'9'!$D:$D,"Herbicida")</f>
        <v>0</v>
      </c>
      <c r="X24" s="101">
        <f>((A7_A_L10*Herbicida_A)+(A7_B_L10*Herbicida_B)+(A7_C_L10*Herbicida_C)+(A7_D_L10*Herbicida_D)+(A7_Y_L10*Herbicida_Y))*Inflación_7</f>
        <v>0</v>
      </c>
      <c r="Y24" s="101">
        <f>SUMIFS('9'!$E:$E,'9'!$A:$A,Año_Inicial+6,'9'!$B:$B,'12'!X$4,'9'!$D:$D,"Herbicida")</f>
        <v>0</v>
      </c>
      <c r="Z24" s="101">
        <f>((A7_A_L11*Herbicida_A)+(A7_B_L11*Herbicida_B)+(A7_C_L11*Herbicida_C)+(A7_D_L11*Herbicida_D)+(A7_Y_L11*Herbicida_Y))*Inflación_7</f>
        <v>0</v>
      </c>
      <c r="AA24" s="101">
        <f>SUMIFS('9'!$E:$E,'9'!$A:$A,Año_Inicial+6,'9'!$B:$B,'12'!Z$4,'9'!$D:$D,"Herbicida")</f>
        <v>0</v>
      </c>
      <c r="AB24" s="101">
        <f>((A7_A_L12*Herbicida_A)+(A7_B_L12*Herbicida_B)+(A7_C_L12*Herbicida_C)+(A7_D_L12*Herbicida_D)+(A7_Y_L12*Herbicida_Y))*Inflación_7</f>
        <v>0</v>
      </c>
      <c r="AC24" s="101">
        <f>SUMIFS('9'!$E:$E,'9'!$A:$A,Año_Inicial+6,'9'!$B:$B,'12'!AB$4,'9'!$D:$D,"Herbicida")</f>
        <v>0</v>
      </c>
      <c r="AD24" s="101">
        <f>((A7_A_L13*Herbicida_A)+(A7_B_L13*Herbicida_B)+(A7_C_L13*Herbicida_C)+(A7_D_L13*Herbicida_D)+(A7_Y_L13*Herbicida_Y))*Inflación_7</f>
        <v>0</v>
      </c>
      <c r="AE24" s="101">
        <f>SUMIFS('9'!$E:$E,'9'!$A:$A,Año_Inicial+6,'9'!$B:$B,'12'!AD$4,'9'!$D:$D,"Herbicida")</f>
        <v>0</v>
      </c>
      <c r="AF24" s="101">
        <f>((A7_A_L14*Herbicida_A)+(A7_B_L14*Herbicida_B)+(A7_C_L14*Herbicida_C)+(A7_D_L14*Herbicida_D)+(A7_Y_L14*Herbicida_Y))*Inflación_7</f>
        <v>0</v>
      </c>
      <c r="AG24" s="101">
        <f>SUMIFS('9'!$E:$E,'9'!$A:$A,Año_Inicial+6,'9'!$B:$B,'12'!AF$4,'9'!$D:$D,"Herbicida")</f>
        <v>0</v>
      </c>
      <c r="AH24" s="101">
        <f>((A7_A_L15*Herbicida_A)+(A7_B_L15*Herbicida_B)+(A7_C_L15*Herbicida_C)+(A7_D_L15*Herbicida_D)+(A7_Y_L15*Herbicida_Y))*Inflación_7</f>
        <v>0</v>
      </c>
      <c r="AI24" s="101">
        <f>SUMIFS('9'!$E:$E,'9'!$A:$A,Año_Inicial+6,'9'!$B:$B,'12'!AH$4,'9'!$D:$D,"Herbicida")</f>
        <v>0</v>
      </c>
      <c r="AJ24" s="101">
        <f>((A7_A_L16*Herbicida_A)+(A7_B_L16*Herbicida_B)+(A7_C_L16*Herbicida_C)+(A7_D_L16*Herbicida_D)+(A7_Y_L16*Herbicida_Y))*Inflación_7</f>
        <v>0</v>
      </c>
      <c r="AK24" s="101">
        <f>SUMIFS('9'!$E:$E,'9'!$A:$A,Año_Inicial+6,'9'!$B:$B,'12'!AJ$4,'9'!$D:$D,"Herbicida")</f>
        <v>0</v>
      </c>
      <c r="AL24" s="101">
        <f>((A7_A_L17*Herbicida_A)+(A7_B_L17*Herbicida_B)+(A7_C_L17*Herbicida_C)+(A7_D_L17*Herbicida_D)+(A7_Y_L17*Herbicida_Y))*Inflación_7</f>
        <v>0</v>
      </c>
      <c r="AM24" s="101">
        <f>SUMIFS('9'!$E:$E,'9'!$A:$A,Año_Inicial+6,'9'!$B:$B,'12'!AL$4,'9'!$D:$D,"Herbicida")</f>
        <v>0</v>
      </c>
      <c r="AN24" s="101">
        <f>((A7_A_L18*Herbicida_A)+(A7_B_L18*Herbicida_B)+(A7_C_L18*Herbicida_C)+(A7_D_L18*Herbicida_D)+(A7_Y_L18*Herbicida_Y))*Inflación_7</f>
        <v>0</v>
      </c>
      <c r="AO24" s="101">
        <f>SUMIFS('9'!$E:$E,'9'!$A:$A,Año_Inicial+6,'9'!$B:$B,'12'!AN$4,'9'!$D:$D,"Herbicida")</f>
        <v>0</v>
      </c>
      <c r="AP24" s="101">
        <f>((A7_A_L19*Herbicida_A)+(A7_B_L19*Herbicida_B)+(A7_C_L19*Herbicida_C)+(A7_D_L19*Herbicida_D)+(A7_Y_L19*Herbicida_Y))*Inflación_7</f>
        <v>0</v>
      </c>
      <c r="AQ24" s="101">
        <f>SUMIFS('9'!$E:$E,'9'!$A:$A,Año_Inicial+6,'9'!$B:$B,'12'!AP$4,'9'!$D:$D,"Herbicida")</f>
        <v>0</v>
      </c>
      <c r="AR24" s="101">
        <f>((A7_A_L20*Herbicida_A)+(A7_B_L20*Herbicida_B)+(A7_C_L20*Herbicida_C)+(A7_D_L20*Herbicida_D)+(A7_Y_L20*Herbicida_Y))*Inflación_7</f>
        <v>0</v>
      </c>
      <c r="AS24" s="101">
        <f>SUMIFS('9'!$E:$E,'9'!$A:$A,Año_Inicial+6,'9'!$B:$B,'12'!AR$4,'9'!$D:$D,"Herbicida")</f>
        <v>0</v>
      </c>
      <c r="AT24" s="101">
        <f>((A7_A_L21*Herbicida_A)+(A7_B_L21*Herbicida_B)+(A7_C_L21*Herbicida_C)+(A7_D_L21*Herbicida_D)+(A7_Y_L21*Herbicida_Y))*Inflación_7</f>
        <v>0</v>
      </c>
      <c r="AU24" s="101">
        <f>SUMIFS('9'!$E:$E,'9'!$A:$A,Año_Inicial+6,'9'!$B:$B,'12'!AT$4,'9'!$D:$D,"Herbicida")</f>
        <v>0</v>
      </c>
      <c r="AV24" s="101">
        <f>((A7_A_L22*Herbicida_A)+(A7_B_L22*Herbicida_B)+(A7_C_L22*Herbicida_C)+(A7_D_L22*Herbicida_D)+(A7_Y_L22*Herbicida_Y))*Inflación_7</f>
        <v>0</v>
      </c>
      <c r="AW24" s="101">
        <f>SUMIFS('9'!$E:$E,'9'!$A:$A,Año_Inicial+6,'9'!$B:$B,'12'!AV$4,'9'!$D:$D,"Herbicida")</f>
        <v>0</v>
      </c>
      <c r="AX24" s="101">
        <f>((A7_A_L23*Herbicida_A)+(A7_B_L23*Herbicida_B)+(A7_C_L23*Herbicida_C)+(A7_D_L23*Herbicida_D)+(A7_Y_L23*Herbicida_Y))*Inflación_7</f>
        <v>0</v>
      </c>
      <c r="AY24" s="101">
        <f>SUMIFS('9'!$E:$E,'9'!$A:$A,Año_Inicial+6,'9'!$B:$B,'12'!AX$4,'9'!$D:$D,"Herbicida")</f>
        <v>0</v>
      </c>
      <c r="AZ24" s="101">
        <f>((A7_A_L24*Herbicida_A)+(A7_B_L24*Herbicida_B)+(A7_C_L24*Herbicida_C)+(A7_D_L24*Herbicida_D)+(A7_Y_L24*Herbicida_Y))*Inflación_7</f>
        <v>0</v>
      </c>
      <c r="BA24" s="101">
        <f>SUMIFS('9'!$E:$E,'9'!$A:$A,Año_Inicial+6,'9'!$B:$B,'12'!AZ$4,'9'!$D:$D,"Herbicida")</f>
        <v>0</v>
      </c>
      <c r="BB24" s="101">
        <f>((A7_A_L25*Herbicida_A)+(A7_B_L25*Herbicida_B)+(A7_C_L25*Herbicida_C)+(A7_D_L25*Herbicida_D)+(A7_Y_L25*Herbicida_Y))*Inflación_7</f>
        <v>0</v>
      </c>
      <c r="BC24" s="101">
        <f>SUMIFS('9'!$E:$E,'9'!$A:$A,Año_Inicial+6,'9'!$B:$B,'12'!BB$4,'9'!$D:$D,"Herbicida")</f>
        <v>0</v>
      </c>
      <c r="BD24" s="101">
        <f>((A7_A_L26*Herbicida_A)+(A7_B_L26*Herbicida_B)+(A7_C_L26*Herbicida_C)+(A7_D_L26*Herbicida_D)+(A7_Y_L26*Herbicida_Y))*Inflación_7</f>
        <v>0</v>
      </c>
      <c r="BE24" s="101">
        <f>SUMIFS('9'!$E:$E,'9'!$A:$A,Año_Inicial+6,'9'!$B:$B,'12'!BD$4,'9'!$D:$D,"Herbicida")</f>
        <v>0</v>
      </c>
      <c r="BF24" s="101">
        <f>((A7_A_L27*Herbicida_A)+(A7_B_L27*Herbicida_B)+(A7_C_L27*Herbicida_C)+(A7_D_L27*Herbicida_D)+(A7_Y_L27*Herbicida_Y))*Inflación_7</f>
        <v>0</v>
      </c>
      <c r="BG24" s="101">
        <f>SUMIFS('9'!$E:$E,'9'!$A:$A,Año_Inicial+6,'9'!$B:$B,'12'!BF$4,'9'!$D:$D,"Herbicida")</f>
        <v>0</v>
      </c>
      <c r="BH24" s="101">
        <f>((A7_A_L28*Herbicida_A)+(A7_B_L28*Herbicida_B)+(A7_C_L28*Herbicida_C)+(A7_D_L28*Herbicida_D)+(A7_Y_L28*Herbicida_Y))*Inflación_7</f>
        <v>0</v>
      </c>
      <c r="BI24" s="101">
        <f>SUMIFS('9'!$E:$E,'9'!$A:$A,Año_Inicial+6,'9'!$B:$B,'12'!BH$4,'9'!$D:$D,"Herbicida")</f>
        <v>0</v>
      </c>
      <c r="BJ24" s="101">
        <f>((A7_A_L29*Herbicida_A)+(A7_B_L29*Herbicida_B)+(A7_C_L29*Herbicida_C)+(A7_D_L29*Herbicida_D)+(A7_Y_L29*Herbicida_Y))*Inflación_7</f>
        <v>0</v>
      </c>
      <c r="BK24" s="101">
        <f>SUMIFS('9'!$E:$E,'9'!$A:$A,Año_Inicial+6,'9'!$B:$B,'12'!BJ$4,'9'!$D:$D,"Herbicida")</f>
        <v>0</v>
      </c>
      <c r="BL24" s="101">
        <f>((A7_A_L30*Herbicida_A)+(A7_B_L30*Herbicida_B)+(A7_C_L30*Herbicida_C)+(A7_D_L30*Herbicida_D)+(A7_Y_L30*Herbicida_Y))*Inflación_7</f>
        <v>0</v>
      </c>
      <c r="BM24" s="101">
        <f>SUMIFS('9'!$E:$E,'9'!$A:$A,Año_Inicial+6,'9'!$B:$B,'12'!BL$4,'9'!$D:$D,"Herbicida")</f>
        <v>0</v>
      </c>
      <c r="BN24" s="101">
        <f>((A7_A_L31*Herbicida_A)+(A7_B_L31*Herbicida_B)+(A7_C_L31*Herbicida_C)+(A7_D_L31*Herbicida_D)+(A7_Y_L31*Herbicida_Y))*Inflación_7</f>
        <v>0</v>
      </c>
      <c r="BO24" s="101">
        <f>SUMIFS('9'!$E:$E,'9'!$A:$A,Año_Inicial+6,'9'!$B:$B,'12'!BN$4,'9'!$D:$D,"Herbicida")</f>
        <v>0</v>
      </c>
      <c r="BP24" s="101">
        <f>((A7_A_L32*Herbicida_A)+(A7_B_L32*Herbicida_B)+(A7_C_L32*Herbicida_C)+(A7_D_L32*Herbicida_D)+(A7_Y_L32*Herbicida_Y))*Inflación_7</f>
        <v>0</v>
      </c>
      <c r="BQ24" s="101">
        <f>SUMIFS('9'!$E:$E,'9'!$A:$A,Año_Inicial+6,'9'!$B:$B,'12'!BP$4,'9'!$D:$D,"Herbicida")</f>
        <v>0</v>
      </c>
      <c r="BR24" s="101">
        <f>((A7_A_L33*Herbicida_A)+(A7_B_L33*Herbicida_B)+(A7_C_L33*Herbicida_C)+(A7_D_L33*Herbicida_D)+(A7_Y_L33*Herbicida_Y))*Inflación_7</f>
        <v>0</v>
      </c>
      <c r="BS24" s="101">
        <f>SUMIFS('9'!$E:$E,'9'!$A:$A,Año_Inicial+6,'9'!$B:$B,'12'!BR$4,'9'!$D:$D,"Herbicida")</f>
        <v>0</v>
      </c>
      <c r="BT24" s="101">
        <f>((A7_A_L34*Herbicida_A)+(A7_B_L34*Herbicida_B)+(A7_C_L34*Herbicida_C)+(A7_D_L34*Herbicida_D)+(A7_Y_L34*Herbicida_Y))*Inflación_7</f>
        <v>0</v>
      </c>
      <c r="BU24" s="101">
        <f>SUMIFS('9'!$E:$E,'9'!$A:$A,Año_Inicial+6,'9'!$B:$B,'12'!BT$4,'9'!$D:$D,"Herbicida")</f>
        <v>0</v>
      </c>
      <c r="BV24" s="101">
        <f>((A7_A_L35*Herbicida_A)+(A7_B_L35*Herbicida_B)+(A7_C_L35*Herbicida_C)+(A7_D_L35*Herbicida_D)+(A7_Y_L35*Herbicida_Y))*Inflación_7</f>
        <v>0</v>
      </c>
      <c r="BW24" s="101">
        <f>SUMIFS('9'!$E:$E,'9'!$A:$A,Año_Inicial+6,'9'!$B:$B,'12'!BV$4,'9'!$D:$D,"Herbicida")</f>
        <v>0</v>
      </c>
      <c r="BX24" s="101">
        <f>((A7_A_L36*Herbicida_A)+(A7_B_L36*Herbicida_B)+(A7_C_L36*Herbicida_C)+(A7_D_L36*Herbicida_D)+(A7_Y_L36*Herbicida_Y))*Inflación_7</f>
        <v>0</v>
      </c>
      <c r="BY24" s="101">
        <f>SUMIFS('9'!$E:$E,'9'!$A:$A,Año_Inicial+6,'9'!$B:$B,'12'!BX$4,'9'!$D:$D,"Herbicida")</f>
        <v>0</v>
      </c>
      <c r="BZ24" s="101">
        <f>((A7_A_L37*Herbicida_A)+(A7_B_L37*Herbicida_B)+(A7_C_L37*Herbicida_C)+(A7_D_L37*Herbicida_D)+(A7_Y_L37*Herbicida_Y))*Inflación_7</f>
        <v>0</v>
      </c>
      <c r="CA24" s="101">
        <f>SUMIFS('9'!$E:$E,'9'!$A:$A,Año_Inicial+6,'9'!$B:$B,'12'!BZ$4,'9'!$D:$D,"Herbicida")</f>
        <v>0</v>
      </c>
      <c r="CB24" s="101">
        <f>((A7_A_L38*Herbicida_A)+(A7_B_L38*Herbicida_B)+(A7_C_L38*Herbicida_C)+(A7_D_L38*Herbicida_D)+(A7_Y_L38*Herbicida_Y))*Inflación_7</f>
        <v>0</v>
      </c>
      <c r="CC24" s="101">
        <f>SUMIFS('9'!$E:$E,'9'!$A:$A,Año_Inicial+6,'9'!$B:$B,'12'!CB$4,'9'!$D:$D,"Herbicida")</f>
        <v>0</v>
      </c>
      <c r="CD24" s="101">
        <f>((A7_A_L39*Herbicida_A)+(A7_B_L39*Herbicida_B)+(A7_C_L39*Herbicida_C)+(A7_D_L39*Herbicida_D)+(A7_Y_L39*Herbicida_Y))*Inflación_7</f>
        <v>0</v>
      </c>
      <c r="CE24" s="101">
        <f>SUMIFS('9'!$E:$E,'9'!$A:$A,Año_Inicial+6,'9'!$B:$B,'12'!CD$4,'9'!$D:$D,"Herbicida")</f>
        <v>0</v>
      </c>
      <c r="CF24" s="101">
        <f>((A7_A_L40*Herbicida_A)+(A7_B_L40*Herbicida_B)+(A7_C_L40*Herbicida_C)+(A7_D_L40*Herbicida_D)+(A7_Y_L40*Herbicida_Y))*Inflación_7</f>
        <v>0</v>
      </c>
      <c r="CG24" s="101">
        <f>SUMIFS('9'!$E:$E,'9'!$A:$A,Año_Inicial+6,'9'!$B:$B,'12'!CF$4,'9'!$D:$D,"Herbicida")</f>
        <v>0</v>
      </c>
      <c r="CH24" s="473"/>
      <c r="CI24" s="101">
        <f>Plantas_A_A7*Herbicida_A*Inflación_7</f>
        <v>0</v>
      </c>
      <c r="CJ24" s="101">
        <f>Plantas_B_A7*Herbicida_B</f>
        <v>0</v>
      </c>
      <c r="CK24" s="101">
        <f>Plantas_C_A7*Herbicida_C</f>
        <v>0</v>
      </c>
      <c r="CL24" s="101">
        <f>Plantas_D_A7*Herbicida_D</f>
        <v>0</v>
      </c>
      <c r="CM24" s="101"/>
      <c r="CN24" s="101">
        <f>Plantas_Y_A7*Herbicida_Y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SUMIFS('9'!$E:$E,'9'!$A:$A,Año_Inicial+6,'9'!$D:$D,"Prevención de plagas")</f>
        <v>0</v>
      </c>
      <c r="D26" s="100">
        <f t="shared" si="45"/>
        <v>0</v>
      </c>
      <c r="E26" s="473"/>
      <c r="F26" s="101">
        <f>((A7_A_L1*Plagas_A)+(A7_B_L1*Plagas_B)+(A7_C_L1*Plagas_C)+(A7_D_L1*Plagas_D)+(A7_Y_L1*Plagas_Y))*Inflación_7</f>
        <v>0</v>
      </c>
      <c r="G26" s="101">
        <f>SUMIFS('9'!$E:$E,'9'!$A:$A,Año_Inicial+6,'9'!$B:$B,'12'!F$4,'9'!$D:$D,"Prevención de plagas")</f>
        <v>0</v>
      </c>
      <c r="H26" s="101">
        <f>((A7_A_L2*Plagas_A)+(A7_B_L2*Plagas_B)+(A7_C_L2*Plagas_C)+(A7_D_L2*Plagas_D)+(A7_Y_L2*Plagas_Y))*Inflación_7</f>
        <v>0</v>
      </c>
      <c r="I26" s="101">
        <f>SUMIFS('9'!$E:$E,'9'!$A:$A,Año_Inicial+6,'9'!$B:$B,'12'!H$4,'9'!$D:$D,"Prevención de plagas")</f>
        <v>0</v>
      </c>
      <c r="J26" s="101">
        <f>((A7_A_L3*Plagas_A)+(A7_B_L3*Plagas_B)+(A7_C_L3*Plagas_C)+(A7_D_L3*Plagas_D)+(A7_Y_L3*Plagas_Y))*Inflación_7</f>
        <v>0</v>
      </c>
      <c r="K26" s="101">
        <f>SUMIFS('9'!$E:$E,'9'!$A:$A,Año_Inicial+6,'9'!$B:$B,'12'!J$4,'9'!$D:$D,"Prevención de plagas")</f>
        <v>0</v>
      </c>
      <c r="L26" s="101">
        <f>((A7_A_L4*Plagas_A)+(A7_B_L4*Plagas_B)+(A7_C_L4*Plagas_C)+(A7_D_L4*Plagas_D)+(A7_Y_L4*Plagas_Y))*Inflación_7</f>
        <v>0</v>
      </c>
      <c r="M26" s="101">
        <f>SUMIFS('9'!$E:$E,'9'!$A:$A,Año_Inicial+6,'9'!$B:$B,'12'!L$4,'9'!$D:$D,"Prevención de plagas")</f>
        <v>0</v>
      </c>
      <c r="N26" s="101">
        <f>((A7_A_L5*Plagas_A)+(A7_B_L5*Plagas_B)+(A7_C_L5*Plagas_C)+(A7_D_L5*Plagas_D)+(A7_Y_L5*Plagas_Y))*Inflación_7</f>
        <v>0</v>
      </c>
      <c r="O26" s="101">
        <f>SUMIFS('9'!$E:$E,'9'!$A:$A,Año_Inicial+6,'9'!$B:$B,'12'!N$4,'9'!$D:$D,"Prevención de plagas")</f>
        <v>0</v>
      </c>
      <c r="P26" s="101">
        <f>((A7_A_L6*Plagas_A)+(A7_B_L6*Plagas_B)+(A7_C_L6*Plagas_C)+(A7_D_L6*Plagas_D)+(A7_Y_L6*Plagas_Y))*Inflación_7</f>
        <v>0</v>
      </c>
      <c r="Q26" s="101">
        <f>SUMIFS('9'!$E:$E,'9'!$A:$A,Año_Inicial+6,'9'!$B:$B,'12'!P$4,'9'!$D:$D,"Prevención de plagas")</f>
        <v>0</v>
      </c>
      <c r="R26" s="101">
        <f>((A7_A_L7*Plagas_A)+(A7_B_L7*Plagas_B)+(A7_C_L7*Plagas_C)+(A7_D_L7*Plagas_D)+(A7_Y_L7*Plagas_Y))*Inflación_7</f>
        <v>0</v>
      </c>
      <c r="S26" s="101">
        <f>SUMIFS('9'!$E:$E,'9'!$A:$A,Año_Inicial+6,'9'!$B:$B,'12'!R$4,'9'!$D:$D,"Prevención de plagas")</f>
        <v>0</v>
      </c>
      <c r="T26" s="101">
        <f>((A7_A_L8*Plagas_A)+(A7_B_L8*Plagas_B)+(A7_C_L8*Plagas_C)+(A7_D_L8*Plagas_D)+(A7_Y_L8*Plagas_Y))*Inflación_7</f>
        <v>0</v>
      </c>
      <c r="U26" s="101">
        <f>SUMIFS('9'!$E:$E,'9'!$A:$A,Año_Inicial+6,'9'!$B:$B,'12'!T$4,'9'!$D:$D,"Prevención de plagas")</f>
        <v>0</v>
      </c>
      <c r="V26" s="101">
        <f>((A7_A_L9*Plagas_A)+(A7_B_L9*Plagas_B)+(A7_C_L9*Plagas_C)+(A7_D_L9*Plagas_D)+(A7_Y_L9*Plagas_Y))*Inflación_7</f>
        <v>0</v>
      </c>
      <c r="W26" s="101">
        <f>SUMIFS('9'!$E:$E,'9'!$A:$A,Año_Inicial+6,'9'!$B:$B,'12'!V$4,'9'!$D:$D,"Prevención de plagas")</f>
        <v>0</v>
      </c>
      <c r="X26" s="101">
        <f>((A7_A_L10*Plagas_A)+(A7_B_L10*Plagas_B)+(A7_C_L10*Plagas_C)+(A7_D_L10*Plagas_D)+(A7_Y_L10*Plagas_Y))*Inflación_7</f>
        <v>0</v>
      </c>
      <c r="Y26" s="101">
        <f>SUMIFS('9'!$E:$E,'9'!$A:$A,Año_Inicial+6,'9'!$B:$B,'12'!X$4,'9'!$D:$D,"Prevención de plagas")</f>
        <v>0</v>
      </c>
      <c r="Z26" s="101">
        <f>((A7_A_L11*Plagas_A)+(A7_B_L11*Plagas_B)+(A7_C_L11*Plagas_C)+(A7_D_L11*Plagas_D)+(A7_Y_L11*Plagas_Y))*Inflación_7</f>
        <v>0</v>
      </c>
      <c r="AA26" s="101">
        <f>SUMIFS('9'!$E:$E,'9'!$A:$A,Año_Inicial+6,'9'!$B:$B,'12'!Z$4,'9'!$D:$D,"Prevención de plagas")</f>
        <v>0</v>
      </c>
      <c r="AB26" s="101">
        <f>((A7_A_L12*Plagas_A)+(A7_B_L12*Plagas_B)+(A7_C_L12*Plagas_C)+(A7_D_L12*Plagas_D)+(A7_Y_L12*Plagas_Y))*Inflación_7</f>
        <v>0</v>
      </c>
      <c r="AC26" s="101">
        <f>SUMIFS('9'!$E:$E,'9'!$A:$A,Año_Inicial+6,'9'!$B:$B,'12'!AB$4,'9'!$D:$D,"Prevención de plagas")</f>
        <v>0</v>
      </c>
      <c r="AD26" s="101">
        <f>((A7_A_L13*Plagas_A)+(A7_B_L13*Plagas_B)+(A7_C_L13*Plagas_C)+(A7_D_L13*Plagas_D)+(A7_Y_L13*Plagas_Y))*Inflación_7</f>
        <v>0</v>
      </c>
      <c r="AE26" s="101">
        <f>SUMIFS('9'!$E:$E,'9'!$A:$A,Año_Inicial+6,'9'!$B:$B,'12'!AD$4,'9'!$D:$D,"Prevención de plagas")</f>
        <v>0</v>
      </c>
      <c r="AF26" s="101">
        <f>((A7_A_L14*Plagas_A)+(A7_B_L14*Plagas_B)+(A7_C_L14*Plagas_C)+(A7_D_L14*Plagas_D)+(A7_Y_L14*Plagas_Y))*Inflación_7</f>
        <v>0</v>
      </c>
      <c r="AG26" s="101">
        <f>SUMIFS('9'!$E:$E,'9'!$A:$A,Año_Inicial+6,'9'!$B:$B,'12'!AF$4,'9'!$D:$D,"Prevención de plagas")</f>
        <v>0</v>
      </c>
      <c r="AH26" s="101">
        <f>((A7_A_L15*Plagas_A)+(A7_B_L15*Plagas_B)+(A7_C_L15*Plagas_C)+(A7_D_L15*Plagas_D)+(A7_Y_L15*Plagas_Y))*Inflación_7</f>
        <v>0</v>
      </c>
      <c r="AI26" s="101">
        <f>SUMIFS('9'!$E:$E,'9'!$A:$A,Año_Inicial+6,'9'!$B:$B,'12'!AH$4,'9'!$D:$D,"Prevención de plagas")</f>
        <v>0</v>
      </c>
      <c r="AJ26" s="101">
        <f>((A7_A_L16*Plagas_A)+(A7_B_L16*Plagas_B)+(A7_C_L16*Plagas_C)+(A7_D_L16*Plagas_D)+(A7_Y_L16*Plagas_Y))*Inflación_7</f>
        <v>0</v>
      </c>
      <c r="AK26" s="101">
        <f>SUMIFS('9'!$E:$E,'9'!$A:$A,Año_Inicial+6,'9'!$B:$B,'12'!AJ$4,'9'!$D:$D,"Prevención de plagas")</f>
        <v>0</v>
      </c>
      <c r="AL26" s="101">
        <f>((A7_A_L17*Plagas_A)+(A7_B_L17*Plagas_B)+(A7_C_L17*Plagas_C)+(A7_D_L17*Plagas_D)+(A7_Y_L17*Plagas_Y))*Inflación_7</f>
        <v>0</v>
      </c>
      <c r="AM26" s="101">
        <f>SUMIFS('9'!$E:$E,'9'!$A:$A,Año_Inicial+6,'9'!$B:$B,'12'!AL$4,'9'!$D:$D,"Prevención de plagas")</f>
        <v>0</v>
      </c>
      <c r="AN26" s="101">
        <f>((A7_A_L18*Plagas_A)+(A7_B_L18*Plagas_B)+(A7_C_L18*Plagas_C)+(A7_D_L18*Plagas_D)+(A7_Y_L18*Plagas_Y))*Inflación_7</f>
        <v>0</v>
      </c>
      <c r="AO26" s="101">
        <f>SUMIFS('9'!$E:$E,'9'!$A:$A,Año_Inicial+6,'9'!$B:$B,'12'!AN$4,'9'!$D:$D,"Prevención de plagas")</f>
        <v>0</v>
      </c>
      <c r="AP26" s="101">
        <f>((A7_A_L19*Plagas_A)+(A7_B_L19*Plagas_B)+(A7_C_L19*Plagas_C)+(A7_D_L19*Plagas_D)+(A7_Y_L19*Plagas_Y))*Inflación_7</f>
        <v>0</v>
      </c>
      <c r="AQ26" s="101">
        <f>SUMIFS('9'!$E:$E,'9'!$A:$A,Año_Inicial+6,'9'!$B:$B,'12'!AP$4,'9'!$D:$D,"Prevención de plagas")</f>
        <v>0</v>
      </c>
      <c r="AR26" s="101">
        <f>((A7_A_L20*Plagas_A)+(A7_B_L20*Plagas_B)+(A7_C_L20*Plagas_C)+(A7_D_L20*Plagas_D)+(A7_Y_L20*Plagas_Y))*Inflación_7</f>
        <v>0</v>
      </c>
      <c r="AS26" s="101">
        <f>SUMIFS('9'!$E:$E,'9'!$A:$A,Año_Inicial+6,'9'!$B:$B,'12'!AR$4,'9'!$D:$D,"Prevención de plagas")</f>
        <v>0</v>
      </c>
      <c r="AT26" s="101">
        <f>((A7_A_L21*Plagas_A)+(A7_B_L21*Plagas_B)+(A7_C_L21*Plagas_C)+(A7_D_L21*Plagas_D)+(A7_Y_L21*Plagas_Y))*Inflación_7</f>
        <v>0</v>
      </c>
      <c r="AU26" s="101">
        <f>SUMIFS('9'!$E:$E,'9'!$A:$A,Año_Inicial+6,'9'!$B:$B,'12'!AT$4,'9'!$D:$D,"Prevención de plagas")</f>
        <v>0</v>
      </c>
      <c r="AV26" s="101">
        <f>((A7_A_L22*Plagas_A)+(A7_B_L22*Plagas_B)+(A7_C_L22*Plagas_C)+(A7_D_L22*Plagas_D)+(A7_Y_L22*Plagas_Y))*Inflación_7</f>
        <v>0</v>
      </c>
      <c r="AW26" s="101">
        <f>SUMIFS('9'!$E:$E,'9'!$A:$A,Año_Inicial+6,'9'!$B:$B,'12'!AV$4,'9'!$D:$D,"Prevención de plagas")</f>
        <v>0</v>
      </c>
      <c r="AX26" s="101">
        <f>((A7_A_L23*Plagas_A)+(A7_B_L23*Plagas_B)+(A7_C_L23*Plagas_C)+(A7_D_L23*Plagas_D)+(A7_Y_L23*Plagas_Y))*Inflación_7</f>
        <v>0</v>
      </c>
      <c r="AY26" s="101">
        <f>SUMIFS('9'!$E:$E,'9'!$A:$A,Año_Inicial+6,'9'!$B:$B,'12'!AX$4,'9'!$D:$D,"Prevención de plagas")</f>
        <v>0</v>
      </c>
      <c r="AZ26" s="101">
        <f>((A7_A_L24*Plagas_A)+(A7_B_L24*Plagas_B)+(A7_C_L24*Plagas_C)+(A7_D_L24*Plagas_D)+(A7_Y_L24*Plagas_Y))*Inflación_7</f>
        <v>0</v>
      </c>
      <c r="BA26" s="101">
        <f>SUMIFS('9'!$E:$E,'9'!$A:$A,Año_Inicial+6,'9'!$B:$B,'12'!AZ$4,'9'!$D:$D,"Prevención de plagas")</f>
        <v>0</v>
      </c>
      <c r="BB26" s="101">
        <f>((A7_A_L25*Plagas_A)+(A7_B_L25*Plagas_B)+(A7_C_L25*Plagas_C)+(A7_D_L25*Plagas_D)+(A7_Y_L25*Plagas_Y))*Inflación_7</f>
        <v>0</v>
      </c>
      <c r="BC26" s="101">
        <f>SUMIFS('9'!$E:$E,'9'!$A:$A,Año_Inicial+6,'9'!$B:$B,'12'!BB$4,'9'!$D:$D,"Prevención de plagas")</f>
        <v>0</v>
      </c>
      <c r="BD26" s="101">
        <f>((A7_A_L26*Plagas_A)+(A7_B_L26*Plagas_B)+(A7_C_L26*Plagas_C)+(A7_D_L26*Plagas_D)+(A7_Y_L26*Plagas_Y))*Inflación_7</f>
        <v>0</v>
      </c>
      <c r="BE26" s="101">
        <f>SUMIFS('9'!$E:$E,'9'!$A:$A,Año_Inicial+6,'9'!$B:$B,'12'!BD$4,'9'!$D:$D,"Prevención de plagas")</f>
        <v>0</v>
      </c>
      <c r="BF26" s="101">
        <f>((A7_A_L27*Plagas_A)+(A7_B_L27*Plagas_B)+(A7_C_L27*Plagas_C)+(A7_D_L27*Plagas_D)+(A7_Y_L27*Plagas_Y))*Inflación_7</f>
        <v>0</v>
      </c>
      <c r="BG26" s="101">
        <f>SUMIFS('9'!$E:$E,'9'!$A:$A,Año_Inicial+6,'9'!$B:$B,'12'!BF$4,'9'!$D:$D,"Prevención de plagas")</f>
        <v>0</v>
      </c>
      <c r="BH26" s="101">
        <f>((A7_A_L28*Plagas_A)+(A7_B_L28*Plagas_B)+(A7_C_L28*Plagas_C)+(A7_D_L28*Plagas_D)+(A7_Y_L28*Plagas_Y))*Inflación_7</f>
        <v>0</v>
      </c>
      <c r="BI26" s="101">
        <f>SUMIFS('9'!$E:$E,'9'!$A:$A,Año_Inicial+6,'9'!$B:$B,'12'!BH$4,'9'!$D:$D,"Prevención de plagas")</f>
        <v>0</v>
      </c>
      <c r="BJ26" s="101">
        <f>((A7_A_L29*Plagas_A)+(A7_B_L29*Plagas_B)+(A7_C_L29*Plagas_C)+(A7_D_L29*Plagas_D)+(A7_Y_L29*Plagas_Y))*Inflación_7</f>
        <v>0</v>
      </c>
      <c r="BK26" s="101">
        <f>SUMIFS('9'!$E:$E,'9'!$A:$A,Año_Inicial+6,'9'!$B:$B,'12'!BJ$4,'9'!$D:$D,"Prevención de plagas")</f>
        <v>0</v>
      </c>
      <c r="BL26" s="101">
        <f>((A7_A_L30*Plagas_A)+(A7_B_L30*Plagas_B)+(A7_C_L30*Plagas_C)+(A7_D_L30*Plagas_D)+(A7_Y_L30*Plagas_Y))*Inflación_7</f>
        <v>0</v>
      </c>
      <c r="BM26" s="101">
        <f>SUMIFS('9'!$E:$E,'9'!$A:$A,Año_Inicial+6,'9'!$B:$B,'12'!BL$4,'9'!$D:$D,"Prevención de plagas")</f>
        <v>0</v>
      </c>
      <c r="BN26" s="101">
        <f>((A7_A_L31*Plagas_A)+(A7_B_L31*Plagas_B)+(A7_C_L31*Plagas_C)+(A7_D_L31*Plagas_D)+(A7_Y_L31*Plagas_Y))*Inflación_7</f>
        <v>0</v>
      </c>
      <c r="BO26" s="101">
        <f>SUMIFS('9'!$E:$E,'9'!$A:$A,Año_Inicial+6,'9'!$B:$B,'12'!BN$4,'9'!$D:$D,"Prevención de plagas")</f>
        <v>0</v>
      </c>
      <c r="BP26" s="101">
        <f>((A7_A_L32*Plagas_A)+(A7_B_L32*Plagas_B)+(A7_C_L32*Plagas_C)+(A7_D_L32*Plagas_D)+(A7_Y_L32*Plagas_Y))*Inflación_7</f>
        <v>0</v>
      </c>
      <c r="BQ26" s="101">
        <f>SUMIFS('9'!$E:$E,'9'!$A:$A,Año_Inicial+6,'9'!$B:$B,'12'!BP$4,'9'!$D:$D,"Prevención de plagas")</f>
        <v>0</v>
      </c>
      <c r="BR26" s="101">
        <f>((A7_A_L33*Plagas_A)+(A7_B_L33*Plagas_B)+(A7_C_L33*Plagas_C)+(A7_D_L33*Plagas_D)+(A7_Y_L33*Plagas_Y))*Inflación_7</f>
        <v>0</v>
      </c>
      <c r="BS26" s="101">
        <f>SUMIFS('9'!$E:$E,'9'!$A:$A,Año_Inicial+6,'9'!$B:$B,'12'!BR$4,'9'!$D:$D,"Prevención de plagas")</f>
        <v>0</v>
      </c>
      <c r="BT26" s="101">
        <f>((A7_A_L34*Plagas_A)+(A7_B_L34*Plagas_B)+(A7_C_L34*Plagas_C)+(A7_D_L34*Plagas_D)+(A7_Y_L34*Plagas_Y))*Inflación_7</f>
        <v>0</v>
      </c>
      <c r="BU26" s="101">
        <f>SUMIFS('9'!$E:$E,'9'!$A:$A,Año_Inicial+6,'9'!$B:$B,'12'!BT$4,'9'!$D:$D,"Prevención de plagas")</f>
        <v>0</v>
      </c>
      <c r="BV26" s="101">
        <f>((A7_A_L35*Plagas_A)+(A7_B_L35*Plagas_B)+(A7_C_L35*Plagas_C)+(A7_D_L35*Plagas_D)+(A7_Y_L35*Plagas_Y))*Inflación_7</f>
        <v>0</v>
      </c>
      <c r="BW26" s="101">
        <f>SUMIFS('9'!$E:$E,'9'!$A:$A,Año_Inicial+6,'9'!$B:$B,'12'!BV$4,'9'!$D:$D,"Prevención de plagas")</f>
        <v>0</v>
      </c>
      <c r="BX26" s="101">
        <f>((A7_A_L36*Plagas_A)+(A7_B_L36*Plagas_B)+(A7_C_L36*Plagas_C)+(A7_D_L36*Plagas_D)+(A7_Y_L36*Plagas_Y))*Inflación_7</f>
        <v>0</v>
      </c>
      <c r="BY26" s="101">
        <f>SUMIFS('9'!$E:$E,'9'!$A:$A,Año_Inicial+6,'9'!$B:$B,'12'!BX$4,'9'!$D:$D,"Prevención de plagas")</f>
        <v>0</v>
      </c>
      <c r="BZ26" s="101">
        <f>((A7_A_L37*Plagas_A)+(A7_B_L37*Plagas_B)+(A7_C_L37*Plagas_C)+(A7_D_L37*Plagas_D)+(A7_Y_L37*Plagas_Y))*Inflación_7</f>
        <v>0</v>
      </c>
      <c r="CA26" s="101">
        <f>SUMIFS('9'!$E:$E,'9'!$A:$A,Año_Inicial+6,'9'!$B:$B,'12'!BZ$4,'9'!$D:$D,"Prevención de plagas")</f>
        <v>0</v>
      </c>
      <c r="CB26" s="101">
        <f>((A7_A_L38*Plagas_A)+(A7_B_L38*Plagas_B)+(A7_C_L38*Plagas_C)+(A7_D_L38*Plagas_D)+(A7_Y_L38*Plagas_Y))*Inflación_7</f>
        <v>0</v>
      </c>
      <c r="CC26" s="101">
        <f>SUMIFS('9'!$E:$E,'9'!$A:$A,Año_Inicial+6,'9'!$B:$B,'12'!CB$4,'9'!$D:$D,"Prevención de plagas")</f>
        <v>0</v>
      </c>
      <c r="CD26" s="101">
        <f>((A7_A_L39*Plagas_A)+(A7_B_L39*Plagas_B)+(A7_C_L39*Plagas_C)+(A7_D_L39*Plagas_D)+(A7_Y_L39*Plagas_Y))*Inflación_7</f>
        <v>0</v>
      </c>
      <c r="CE26" s="101">
        <f>SUMIFS('9'!$E:$E,'9'!$A:$A,Año_Inicial+6,'9'!$B:$B,'12'!CD$4,'9'!$D:$D,"Prevención de plagas")</f>
        <v>0</v>
      </c>
      <c r="CF26" s="101">
        <f>((A7_A_L40*Plagas_A)+(A7_B_L40*Plagas_B)+(A7_C_L40*Plagas_C)+(A7_D_L40*Plagas_D)+(A7_Y_L40*Plagas_Y))*Inflación_7</f>
        <v>0</v>
      </c>
      <c r="CG26" s="101">
        <f>SUMIFS('9'!$E:$E,'9'!$A:$A,Año_Inicial+6,'9'!$B:$B,'12'!CF$4,'9'!$D:$D,"Prevención de plagas")</f>
        <v>0</v>
      </c>
      <c r="CH26" s="473"/>
      <c r="CI26" s="101">
        <f>Plantas_A_A7*Plagas_A*Inflación_7</f>
        <v>0</v>
      </c>
      <c r="CJ26" s="101">
        <f>Plantas_B_A7*Plagas_B</f>
        <v>0</v>
      </c>
      <c r="CK26" s="101">
        <f>Plantas_C_A7*Plagas_C</f>
        <v>0</v>
      </c>
      <c r="CL26" s="101">
        <f>Plantas_D_A7*Plagas_D</f>
        <v>0</v>
      </c>
      <c r="CM26" s="101"/>
      <c r="CN26" s="101">
        <f>Plantas_Y_A7*Plagas_Y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SUMIFS('9'!$E:$E,'9'!$A:$A,Año_Inicial+6,'9'!$D:$D,"Insecticida")</f>
        <v>0</v>
      </c>
      <c r="D27" s="100">
        <f t="shared" si="45"/>
        <v>0</v>
      </c>
      <c r="E27" s="473"/>
      <c r="F27" s="101">
        <f>((A7_A_L1*Insecticida_A)+(A7_B_L1*Insecticida_B)+(A7_C_L1*Insecticida_C)+(A7_D_L1*Insecticida_D)+(A7_Y_L1*Insecticida_Y))*Inflación_7</f>
        <v>0</v>
      </c>
      <c r="G27" s="101">
        <f>SUMIFS('9'!$E:$E,'9'!$A:$A,Año_Inicial+6,'9'!$B:$B,'12'!F$4,'9'!$D:$D,"Insecticida")</f>
        <v>0</v>
      </c>
      <c r="H27" s="101">
        <f>((A7_A_L2*Insecticida_A)+(A7_B_L2*Insecticida_B)+(A7_C_L2*Insecticida_C)+(A7_D_L2*Insecticida_D)+(A7_Y_L2*Insecticida_Y))*Inflación_7</f>
        <v>0</v>
      </c>
      <c r="I27" s="101">
        <f>SUMIFS('9'!$E:$E,'9'!$A:$A,Año_Inicial+6,'9'!$B:$B,'12'!H$4,'9'!$D:$D,"Insecticida")</f>
        <v>0</v>
      </c>
      <c r="J27" s="101">
        <f>((A7_A_L3*Insecticida_A)+(A7_B_L3*Insecticida_B)+(A7_C_L3*Insecticida_C)+(A7_D_L3*Insecticida_D)+(A7_Y_L3*Insecticida_Y))*Inflación_7</f>
        <v>0</v>
      </c>
      <c r="K27" s="101">
        <f>SUMIFS('9'!$E:$E,'9'!$A:$A,Año_Inicial+6,'9'!$B:$B,'12'!J$4,'9'!$D:$D,"Insecticida")</f>
        <v>0</v>
      </c>
      <c r="L27" s="101">
        <f>((A7_A_L4*Insecticida_A)+(A7_B_L4*Insecticida_B)+(A7_C_L4*Insecticida_C)+(A7_D_L4*Insecticida_D)+(A7_Y_L4*Insecticida_Y))*Inflación_7</f>
        <v>0</v>
      </c>
      <c r="M27" s="101">
        <f>SUMIFS('9'!$E:$E,'9'!$A:$A,Año_Inicial+6,'9'!$B:$B,'12'!L$4,'9'!$D:$D,"Insecticida")</f>
        <v>0</v>
      </c>
      <c r="N27" s="101">
        <f>((A7_A_L5*Insecticida_A)+(A7_B_L5*Insecticida_B)+(A7_C_L5*Insecticida_C)+(A7_D_L5*Insecticida_D)+(A7_Y_L5*Insecticida_Y))*Inflación_7</f>
        <v>0</v>
      </c>
      <c r="O27" s="101">
        <f>SUMIFS('9'!$E:$E,'9'!$A:$A,Año_Inicial+6,'9'!$B:$B,'12'!N$4,'9'!$D:$D,"Insecticida")</f>
        <v>0</v>
      </c>
      <c r="P27" s="101">
        <f>((A7_A_L6*Insecticida_A)+(A7_B_L6*Insecticida_B)+(A7_C_L6*Insecticida_C)+(A7_D_L6*Insecticida_D)+(A7_Y_L6*Insecticida_Y))*Inflación_7</f>
        <v>0</v>
      </c>
      <c r="Q27" s="101">
        <f>SUMIFS('9'!$E:$E,'9'!$A:$A,Año_Inicial+6,'9'!$B:$B,'12'!P$4,'9'!$D:$D,"Insecticida")</f>
        <v>0</v>
      </c>
      <c r="R27" s="101">
        <f>((A7_A_L7*Insecticida_A)+(A7_B_L7*Insecticida_B)+(A7_C_L7*Insecticida_C)+(A7_D_L7*Insecticida_D)+(A7_Y_L7*Insecticida_Y))*Inflación_7</f>
        <v>0</v>
      </c>
      <c r="S27" s="101">
        <f>SUMIFS('9'!$E:$E,'9'!$A:$A,Año_Inicial+6,'9'!$B:$B,'12'!R$4,'9'!$D:$D,"Insecticida")</f>
        <v>0</v>
      </c>
      <c r="T27" s="101">
        <f>((A7_A_L8*Insecticida_A)+(A7_B_L8*Insecticida_B)+(A7_C_L8*Insecticida_C)+(A7_D_L8*Insecticida_D)+(A7_Y_L8*Insecticida_Y))*Inflación_7</f>
        <v>0</v>
      </c>
      <c r="U27" s="101">
        <f>SUMIFS('9'!$E:$E,'9'!$A:$A,Año_Inicial+6,'9'!$B:$B,'12'!T$4,'9'!$D:$D,"Insecticida")</f>
        <v>0</v>
      </c>
      <c r="V27" s="101">
        <f>((A7_A_L9*Insecticida_A)+(A7_B_L9*Insecticida_B)+(A7_C_L9*Insecticida_C)+(A7_D_L9*Insecticida_D)+(A7_Y_L9*Insecticida_Y))*Inflación_7</f>
        <v>0</v>
      </c>
      <c r="W27" s="101">
        <f>SUMIFS('9'!$E:$E,'9'!$A:$A,Año_Inicial+6,'9'!$B:$B,'12'!V$4,'9'!$D:$D,"Insecticida")</f>
        <v>0</v>
      </c>
      <c r="X27" s="101">
        <f>((A7_A_L10*Insecticida_A)+(A7_B_L10*Insecticida_B)+(A7_C_L10*Insecticida_C)+(A7_D_L10*Insecticida_D)+(A7_Y_L10*Insecticida_Y))*Inflación_7</f>
        <v>0</v>
      </c>
      <c r="Y27" s="101">
        <f>SUMIFS('9'!$E:$E,'9'!$A:$A,Año_Inicial+6,'9'!$B:$B,'12'!X$4,'9'!$D:$D,"Insecticida")</f>
        <v>0</v>
      </c>
      <c r="Z27" s="101">
        <f>((A7_A_L11*Insecticida_A)+(A7_B_L11*Insecticida_B)+(A7_C_L11*Insecticida_C)+(A7_D_L11*Insecticida_D)+(A7_Y_L11*Insecticida_Y))*Inflación_7</f>
        <v>0</v>
      </c>
      <c r="AA27" s="101">
        <f>SUMIFS('9'!$E:$E,'9'!$A:$A,Año_Inicial+6,'9'!$B:$B,'12'!Z$4,'9'!$D:$D,"Insecticida")</f>
        <v>0</v>
      </c>
      <c r="AB27" s="101">
        <f>((A7_A_L12*Insecticida_A)+(A7_B_L12*Insecticida_B)+(A7_C_L12*Insecticida_C)+(A7_D_L12*Insecticida_D)+(A7_Y_L12*Insecticida_Y))*Inflación_7</f>
        <v>0</v>
      </c>
      <c r="AC27" s="101">
        <f>SUMIFS('9'!$E:$E,'9'!$A:$A,Año_Inicial+6,'9'!$B:$B,'12'!AB$4,'9'!$D:$D,"Insecticida")</f>
        <v>0</v>
      </c>
      <c r="AD27" s="101">
        <f>((A7_A_L13*Insecticida_A)+(A7_B_L13*Insecticida_B)+(A7_C_L13*Insecticida_C)+(A7_D_L13*Insecticida_D)+(A7_Y_L13*Insecticida_Y))*Inflación_7</f>
        <v>0</v>
      </c>
      <c r="AE27" s="101">
        <f>SUMIFS('9'!$E:$E,'9'!$A:$A,Año_Inicial+6,'9'!$B:$B,'12'!AD$4,'9'!$D:$D,"Insecticida")</f>
        <v>0</v>
      </c>
      <c r="AF27" s="101">
        <f>((A7_A_L14*Insecticida_A)+(A7_B_L14*Insecticida_B)+(A7_C_L14*Insecticida_C)+(A7_D_L14*Insecticida_D)+(A7_Y_L14*Insecticida_Y))*Inflación_7</f>
        <v>0</v>
      </c>
      <c r="AG27" s="101">
        <f>SUMIFS('9'!$E:$E,'9'!$A:$A,Año_Inicial+6,'9'!$B:$B,'12'!AF$4,'9'!$D:$D,"Insecticida")</f>
        <v>0</v>
      </c>
      <c r="AH27" s="101">
        <f>((A7_A_L15*Insecticida_A)+(A7_B_L15*Insecticida_B)+(A7_C_L15*Insecticida_C)+(A7_D_L15*Insecticida_D)+(A7_Y_L15*Insecticida_Y))*Inflación_7</f>
        <v>0</v>
      </c>
      <c r="AI27" s="101">
        <f>SUMIFS('9'!$E:$E,'9'!$A:$A,Año_Inicial+6,'9'!$B:$B,'12'!AH$4,'9'!$D:$D,"Insecticida")</f>
        <v>0</v>
      </c>
      <c r="AJ27" s="101">
        <f>((A7_A_L16*Insecticida_A)+(A7_B_L16*Insecticida_B)+(A7_C_L16*Insecticida_C)+(A7_D_L16*Insecticida_D)+(A7_Y_L16*Insecticida_Y))*Inflación_7</f>
        <v>0</v>
      </c>
      <c r="AK27" s="101">
        <f>SUMIFS('9'!$E:$E,'9'!$A:$A,Año_Inicial+6,'9'!$B:$B,'12'!AJ$4,'9'!$D:$D,"Insecticida")</f>
        <v>0</v>
      </c>
      <c r="AL27" s="101">
        <f>((A7_A_L17*Insecticida_A)+(A7_B_L17*Insecticida_B)+(A7_C_L17*Insecticida_C)+(A7_D_L17*Insecticida_D)+(A7_Y_L17*Insecticida_Y))*Inflación_7</f>
        <v>0</v>
      </c>
      <c r="AM27" s="101">
        <f>SUMIFS('9'!$E:$E,'9'!$A:$A,Año_Inicial+6,'9'!$B:$B,'12'!AL$4,'9'!$D:$D,"Insecticida")</f>
        <v>0</v>
      </c>
      <c r="AN27" s="101">
        <f>((A7_A_L18*Insecticida_A)+(A7_B_L18*Insecticida_B)+(A7_C_L18*Insecticida_C)+(A7_D_L18*Insecticida_D)+(A7_Y_L18*Insecticida_Y))*Inflación_7</f>
        <v>0</v>
      </c>
      <c r="AO27" s="101">
        <f>SUMIFS('9'!$E:$E,'9'!$A:$A,Año_Inicial+6,'9'!$B:$B,'12'!AN$4,'9'!$D:$D,"Insecticida")</f>
        <v>0</v>
      </c>
      <c r="AP27" s="101">
        <f>((A7_A_L19*Insecticida_A)+(A7_B_L19*Insecticida_B)+(A7_C_L19*Insecticida_C)+(A7_D_L19*Insecticida_D)+(A7_Y_L19*Insecticida_Y))*Inflación_7</f>
        <v>0</v>
      </c>
      <c r="AQ27" s="101">
        <f>SUMIFS('9'!$E:$E,'9'!$A:$A,Año_Inicial+6,'9'!$B:$B,'12'!AP$4,'9'!$D:$D,"Insecticida")</f>
        <v>0</v>
      </c>
      <c r="AR27" s="101">
        <f>((A7_A_L20*Insecticida_A)+(A7_B_L20*Insecticida_B)+(A7_C_L20*Insecticida_C)+(A7_D_L20*Insecticida_D)+(A7_Y_L20*Insecticida_Y))*Inflación_7</f>
        <v>0</v>
      </c>
      <c r="AS27" s="101">
        <f>SUMIFS('9'!$E:$E,'9'!$A:$A,Año_Inicial+6,'9'!$B:$B,'12'!AR$4,'9'!$D:$D,"Insecticida")</f>
        <v>0</v>
      </c>
      <c r="AT27" s="101">
        <f>((A7_A_L21*Insecticida_A)+(A7_B_L21*Insecticida_B)+(A7_C_L21*Insecticida_C)+(A7_D_L21*Insecticida_D)+(A7_Y_L21*Insecticida_Y))*Inflación_7</f>
        <v>0</v>
      </c>
      <c r="AU27" s="101">
        <f>SUMIFS('9'!$E:$E,'9'!$A:$A,Año_Inicial+6,'9'!$B:$B,'12'!AT$4,'9'!$D:$D,"Insecticida")</f>
        <v>0</v>
      </c>
      <c r="AV27" s="101">
        <f>((A7_A_L22*Insecticida_A)+(A7_B_L22*Insecticida_B)+(A7_C_L22*Insecticida_C)+(A7_D_L22*Insecticida_D)+(A7_Y_L22*Insecticida_Y))*Inflación_7</f>
        <v>0</v>
      </c>
      <c r="AW27" s="101">
        <f>SUMIFS('9'!$E:$E,'9'!$A:$A,Año_Inicial+6,'9'!$B:$B,'12'!AV$4,'9'!$D:$D,"Insecticida")</f>
        <v>0</v>
      </c>
      <c r="AX27" s="101">
        <f>((A7_A_L23*Insecticida_A)+(A7_B_L23*Insecticida_B)+(A7_C_L23*Insecticida_C)+(A7_D_L23*Insecticida_D)+(A7_Y_L23*Insecticida_Y))*Inflación_7</f>
        <v>0</v>
      </c>
      <c r="AY27" s="101">
        <f>SUMIFS('9'!$E:$E,'9'!$A:$A,Año_Inicial+6,'9'!$B:$B,'12'!AX$4,'9'!$D:$D,"Insecticida")</f>
        <v>0</v>
      </c>
      <c r="AZ27" s="101">
        <f>((A7_A_L24*Insecticida_A)+(A7_B_L24*Insecticida_B)+(A7_C_L24*Insecticida_C)+(A7_D_L24*Insecticida_D)+(A7_Y_L24*Insecticida_Y))*Inflación_7</f>
        <v>0</v>
      </c>
      <c r="BA27" s="101">
        <f>SUMIFS('9'!$E:$E,'9'!$A:$A,Año_Inicial+6,'9'!$B:$B,'12'!AZ$4,'9'!$D:$D,"Insecticida")</f>
        <v>0</v>
      </c>
      <c r="BB27" s="101">
        <f>((A7_A_L25*Insecticida_A)+(A7_B_L25*Insecticida_B)+(A7_C_L25*Insecticida_C)+(A7_D_L25*Insecticida_D)+(A7_Y_L25*Insecticida_Y))*Inflación_7</f>
        <v>0</v>
      </c>
      <c r="BC27" s="101">
        <f>SUMIFS('9'!$E:$E,'9'!$A:$A,Año_Inicial+6,'9'!$B:$B,'12'!BB$4,'9'!$D:$D,"Insecticida")</f>
        <v>0</v>
      </c>
      <c r="BD27" s="101">
        <f>((A7_A_L26*Insecticida_A)+(A7_B_L26*Insecticida_B)+(A7_C_L26*Insecticida_C)+(A7_D_L26*Insecticida_D)+(A7_Y_L26*Insecticida_Y))*Inflación_7</f>
        <v>0</v>
      </c>
      <c r="BE27" s="101">
        <f>SUMIFS('9'!$E:$E,'9'!$A:$A,Año_Inicial+6,'9'!$B:$B,'12'!BD$4,'9'!$D:$D,"Insecticida")</f>
        <v>0</v>
      </c>
      <c r="BF27" s="101">
        <f>((A7_A_L27*Insecticida_A)+(A7_B_L27*Insecticida_B)+(A7_C_L27*Insecticida_C)+(A7_D_L27*Insecticida_D)+(A7_Y_L27*Insecticida_Y))*Inflación_7</f>
        <v>0</v>
      </c>
      <c r="BG27" s="101">
        <f>SUMIFS('9'!$E:$E,'9'!$A:$A,Año_Inicial+6,'9'!$B:$B,'12'!BF$4,'9'!$D:$D,"Insecticida")</f>
        <v>0</v>
      </c>
      <c r="BH27" s="101">
        <f>((A7_A_L28*Insecticida_A)+(A7_B_L28*Insecticida_B)+(A7_C_L28*Insecticida_C)+(A7_D_L28*Insecticida_D)+(A7_Y_L28*Insecticida_Y))*Inflación_7</f>
        <v>0</v>
      </c>
      <c r="BI27" s="101">
        <f>SUMIFS('9'!$E:$E,'9'!$A:$A,Año_Inicial+6,'9'!$B:$B,'12'!BH$4,'9'!$D:$D,"Insecticida")</f>
        <v>0</v>
      </c>
      <c r="BJ27" s="101">
        <f>((A7_A_L29*Insecticida_A)+(A7_B_L29*Insecticida_B)+(A7_C_L29*Insecticida_C)+(A7_D_L29*Insecticida_D)+(A7_Y_L29*Insecticida_Y))*Inflación_7</f>
        <v>0</v>
      </c>
      <c r="BK27" s="101">
        <f>SUMIFS('9'!$E:$E,'9'!$A:$A,Año_Inicial+6,'9'!$B:$B,'12'!BJ$4,'9'!$D:$D,"Insecticida")</f>
        <v>0</v>
      </c>
      <c r="BL27" s="101">
        <f>((A7_A_L30*Insecticida_A)+(A7_B_L30*Insecticida_B)+(A7_C_L30*Insecticida_C)+(A7_D_L30*Insecticida_D)+(A7_Y_L30*Insecticida_Y))*Inflación_7</f>
        <v>0</v>
      </c>
      <c r="BM27" s="101">
        <f>SUMIFS('9'!$E:$E,'9'!$A:$A,Año_Inicial+6,'9'!$B:$B,'12'!BL$4,'9'!$D:$D,"Insecticida")</f>
        <v>0</v>
      </c>
      <c r="BN27" s="101">
        <f>((A7_A_L31*Insecticida_A)+(A7_B_L31*Insecticida_B)+(A7_C_L31*Insecticida_C)+(A7_D_L31*Insecticida_D)+(A7_Y_L31*Insecticida_Y))*Inflación_7</f>
        <v>0</v>
      </c>
      <c r="BO27" s="101">
        <f>SUMIFS('9'!$E:$E,'9'!$A:$A,Año_Inicial+6,'9'!$B:$B,'12'!BN$4,'9'!$D:$D,"Insecticida")</f>
        <v>0</v>
      </c>
      <c r="BP27" s="101">
        <f>((A7_A_L32*Insecticida_A)+(A7_B_L32*Insecticida_B)+(A7_C_L32*Insecticida_C)+(A7_D_L32*Insecticida_D)+(A7_Y_L32*Insecticida_Y))*Inflación_7</f>
        <v>0</v>
      </c>
      <c r="BQ27" s="101">
        <f>SUMIFS('9'!$E:$E,'9'!$A:$A,Año_Inicial+6,'9'!$B:$B,'12'!BP$4,'9'!$D:$D,"Insecticida")</f>
        <v>0</v>
      </c>
      <c r="BR27" s="101">
        <f>((A7_A_L33*Insecticida_A)+(A7_B_L33*Insecticida_B)+(A7_C_L33*Insecticida_C)+(A7_D_L33*Insecticida_D)+(A7_Y_L33*Insecticida_Y))*Inflación_7</f>
        <v>0</v>
      </c>
      <c r="BS27" s="101">
        <f>SUMIFS('9'!$E:$E,'9'!$A:$A,Año_Inicial+6,'9'!$B:$B,'12'!BR$4,'9'!$D:$D,"Insecticida")</f>
        <v>0</v>
      </c>
      <c r="BT27" s="101">
        <f>((A7_A_L34*Insecticida_A)+(A7_B_L34*Insecticida_B)+(A7_C_L34*Insecticida_C)+(A7_D_L34*Insecticida_D)+(A7_Y_L34*Insecticida_Y))*Inflación_7</f>
        <v>0</v>
      </c>
      <c r="BU27" s="101">
        <f>SUMIFS('9'!$E:$E,'9'!$A:$A,Año_Inicial+6,'9'!$B:$B,'12'!BT$4,'9'!$D:$D,"Insecticida")</f>
        <v>0</v>
      </c>
      <c r="BV27" s="101">
        <f>((A7_A_L35*Insecticida_A)+(A7_B_L35*Insecticida_B)+(A7_C_L35*Insecticida_C)+(A7_D_L35*Insecticida_D)+(A7_Y_L35*Insecticida_Y))*Inflación_7</f>
        <v>0</v>
      </c>
      <c r="BW27" s="101">
        <f>SUMIFS('9'!$E:$E,'9'!$A:$A,Año_Inicial+6,'9'!$B:$B,'12'!BV$4,'9'!$D:$D,"Insecticida")</f>
        <v>0</v>
      </c>
      <c r="BX27" s="101">
        <f>((A7_A_L36*Insecticida_A)+(A7_B_L36*Insecticida_B)+(A7_C_L36*Insecticida_C)+(A7_D_L36*Insecticida_D)+(A7_Y_L36*Insecticida_Y))*Inflación_7</f>
        <v>0</v>
      </c>
      <c r="BY27" s="101">
        <f>SUMIFS('9'!$E:$E,'9'!$A:$A,Año_Inicial+6,'9'!$B:$B,'12'!BX$4,'9'!$D:$D,"Insecticida")</f>
        <v>0</v>
      </c>
      <c r="BZ27" s="101">
        <f>((A7_A_L37*Insecticida_A)+(A7_B_L37*Insecticida_B)+(A7_C_L37*Insecticida_C)+(A7_D_L37*Insecticida_D)+(A7_Y_L37*Insecticida_Y))*Inflación_7</f>
        <v>0</v>
      </c>
      <c r="CA27" s="101">
        <f>SUMIFS('9'!$E:$E,'9'!$A:$A,Año_Inicial+6,'9'!$B:$B,'12'!BZ$4,'9'!$D:$D,"Insecticida")</f>
        <v>0</v>
      </c>
      <c r="CB27" s="101">
        <f>((A7_A_L38*Insecticida_A)+(A7_B_L38*Insecticida_B)+(A7_C_L38*Insecticida_C)+(A7_D_L38*Insecticida_D)+(A7_Y_L38*Insecticida_Y))*Inflación_7</f>
        <v>0</v>
      </c>
      <c r="CC27" s="101">
        <f>SUMIFS('9'!$E:$E,'9'!$A:$A,Año_Inicial+6,'9'!$B:$B,'12'!CB$4,'9'!$D:$D,"Insecticida")</f>
        <v>0</v>
      </c>
      <c r="CD27" s="101">
        <f>((A7_A_L39*Insecticida_A)+(A7_B_L39*Insecticida_B)+(A7_C_L39*Insecticida_C)+(A7_D_L39*Insecticida_D)+(A7_Y_L39*Insecticida_Y))*Inflación_7</f>
        <v>0</v>
      </c>
      <c r="CE27" s="101">
        <f>SUMIFS('9'!$E:$E,'9'!$A:$A,Año_Inicial+6,'9'!$B:$B,'12'!CD$4,'9'!$D:$D,"Insecticida")</f>
        <v>0</v>
      </c>
      <c r="CF27" s="101">
        <f>((A7_A_L40*Insecticida_A)+(A7_B_L40*Insecticida_B)+(A7_C_L40*Insecticida_C)+(A7_D_L40*Insecticida_D)+(A7_Y_L40*Insecticida_Y))*Inflación_7</f>
        <v>0</v>
      </c>
      <c r="CG27" s="101">
        <f>SUMIFS('9'!$E:$E,'9'!$A:$A,Año_Inicial+6,'9'!$B:$B,'12'!CF$4,'9'!$D:$D,"Insecticida")</f>
        <v>0</v>
      </c>
      <c r="CH27" s="473"/>
      <c r="CI27" s="101">
        <f>Plantas_A_A7*Insecticida_A*Inflación_7</f>
        <v>0</v>
      </c>
      <c r="CJ27" s="101">
        <f>Plantas_B_A7*Insecticida_B</f>
        <v>0</v>
      </c>
      <c r="CK27" s="101">
        <f>Plantas_C_A7*Insecticida_C</f>
        <v>0</v>
      </c>
      <c r="CL27" s="101">
        <f>Plantas_D_A7*Insecticida_D</f>
        <v>0</v>
      </c>
      <c r="CM27" s="101"/>
      <c r="CN27" s="101">
        <f>Plantas_Y_A7*Insecticida_Y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SUMIFS('9'!$E:$E,'9'!$A:$A,Año_Inicial+6,'9'!$D:$D,"Prevención de enfermedades")</f>
        <v>0</v>
      </c>
      <c r="D29" s="100">
        <f t="shared" si="45"/>
        <v>0</v>
      </c>
      <c r="E29" s="473"/>
      <c r="F29" s="101">
        <f>((A7_A_L1*Enfermedades_A)+(A7_B_L1*Enfermedades_B)+(A7_C_L1*Enfermedades_C)+(A7_D_L1*Enfermedades_D)+(A7_Y_L1*Enfermedades_Y))*Inflación_7</f>
        <v>0</v>
      </c>
      <c r="G29" s="101">
        <f>SUMIFS('9'!$E:$E,'9'!$A:$A,Año_Inicial+6,'9'!$B:$B,'12'!F$4,'9'!$D:$D,"Prevención de enfermedades")</f>
        <v>0</v>
      </c>
      <c r="H29" s="101">
        <f>((A7_A_L2*Enfermedades_A)+(A7_B_L2*Enfermedades_B)+(A7_C_L2*Enfermedades_C)+(A7_D_L2*Enfermedades_D)+(A7_Y_L2*Enfermedades_Y))*Inflación_7</f>
        <v>0</v>
      </c>
      <c r="I29" s="101">
        <f>SUMIFS('9'!$E:$E,'9'!$A:$A,Año_Inicial+6,'9'!$B:$B,'12'!H$4,'9'!$D:$D,"Prevención de enfermedades")</f>
        <v>0</v>
      </c>
      <c r="J29" s="101">
        <f>((A7_A_L3*Enfermedades_A)+(A7_B_L3*Enfermedades_B)+(A7_C_L3*Enfermedades_C)+(A7_D_L3*Enfermedades_D)+(A7_Y_L3*Enfermedades_Y))*Inflación_7</f>
        <v>0</v>
      </c>
      <c r="K29" s="101">
        <f>SUMIFS('9'!$E:$E,'9'!$A:$A,Año_Inicial+6,'9'!$B:$B,'12'!J$4,'9'!$D:$D,"Prevención de enfermedades")</f>
        <v>0</v>
      </c>
      <c r="L29" s="101">
        <f>((A7_A_L4*Enfermedades_A)+(A7_B_L4*Enfermedades_B)+(A7_C_L4*Enfermedades_C)+(A7_D_L4*Enfermedades_D)+(A7_Y_L4*Enfermedades_Y))*Inflación_7</f>
        <v>0</v>
      </c>
      <c r="M29" s="101">
        <f>SUMIFS('9'!$E:$E,'9'!$A:$A,Año_Inicial+6,'9'!$B:$B,'12'!L$4,'9'!$D:$D,"Prevención de enfermedades")</f>
        <v>0</v>
      </c>
      <c r="N29" s="101">
        <f>((A7_A_L5*Enfermedades_A)+(A7_B_L5*Enfermedades_B)+(A7_C_L5*Enfermedades_C)+(A7_D_L5*Enfermedades_D)+(A7_Y_L5*Enfermedades_Y))*Inflación_7</f>
        <v>0</v>
      </c>
      <c r="O29" s="101">
        <f>SUMIFS('9'!$E:$E,'9'!$A:$A,Año_Inicial+6,'9'!$B:$B,'12'!N$4,'9'!$D:$D,"Prevención de enfermedades")</f>
        <v>0</v>
      </c>
      <c r="P29" s="101">
        <f>((A7_A_L6*Enfermedades_A)+(A7_B_L6*Enfermedades_B)+(A7_C_L6*Enfermedades_C)+(A7_D_L6*Enfermedades_D)+(A7_Y_L6*Enfermedades_Y))*Inflación_7</f>
        <v>0</v>
      </c>
      <c r="Q29" s="101">
        <f>SUMIFS('9'!$E:$E,'9'!$A:$A,Año_Inicial+6,'9'!$B:$B,'12'!P$4,'9'!$D:$D,"Prevención de enfermedades")</f>
        <v>0</v>
      </c>
      <c r="R29" s="101">
        <f>((A7_A_L7*Enfermedades_A)+(A7_B_L7*Enfermedades_B)+(A7_C_L7*Enfermedades_C)+(A7_D_L7*Enfermedades_D)+(A7_Y_L7*Enfermedades_Y))*Inflación_7</f>
        <v>0</v>
      </c>
      <c r="S29" s="101">
        <f>SUMIFS('9'!$E:$E,'9'!$A:$A,Año_Inicial+6,'9'!$B:$B,'12'!R$4,'9'!$D:$D,"Prevención de enfermedades")</f>
        <v>0</v>
      </c>
      <c r="T29" s="101">
        <f>((A7_A_L8*Enfermedades_A)+(A7_B_L8*Enfermedades_B)+(A7_C_L8*Enfermedades_C)+(A7_D_L8*Enfermedades_D)+(A7_Y_L8*Enfermedades_Y))*Inflación_7</f>
        <v>0</v>
      </c>
      <c r="U29" s="101">
        <f>SUMIFS('9'!$E:$E,'9'!$A:$A,Año_Inicial+6,'9'!$B:$B,'12'!T$4,'9'!$D:$D,"Prevención de enfermedades")</f>
        <v>0</v>
      </c>
      <c r="V29" s="101">
        <f>((A7_A_L9*Enfermedades_A)+(A7_B_L9*Enfermedades_B)+(A7_C_L9*Enfermedades_C)+(A7_D_L9*Enfermedades_D)+(A7_Y_L9*Enfermedades_Y))*Inflación_7</f>
        <v>0</v>
      </c>
      <c r="W29" s="101">
        <f>SUMIFS('9'!$E:$E,'9'!$A:$A,Año_Inicial+6,'9'!$B:$B,'12'!V$4,'9'!$D:$D,"Prevención de enfermedades")</f>
        <v>0</v>
      </c>
      <c r="X29" s="101">
        <f>((A7_A_L10*Enfermedades_A)+(A7_B_L10*Enfermedades_B)+(A7_C_L10*Enfermedades_C)+(A7_D_L10*Enfermedades_D)+(A7_Y_L10*Enfermedades_Y))*Inflación_7</f>
        <v>0</v>
      </c>
      <c r="Y29" s="101">
        <f>SUMIFS('9'!$E:$E,'9'!$A:$A,Año_Inicial+6,'9'!$B:$B,'12'!X$4,'9'!$D:$D,"Prevención de enfermedades")</f>
        <v>0</v>
      </c>
      <c r="Z29" s="101">
        <f>((A7_A_L11*Enfermedades_A)+(A7_B_L11*Enfermedades_B)+(A7_C_L11*Enfermedades_C)+(A7_D_L11*Enfermedades_D)+(A7_Y_L11*Enfermedades_Y))*Inflación_7</f>
        <v>0</v>
      </c>
      <c r="AA29" s="101">
        <f>SUMIFS('9'!$E:$E,'9'!$A:$A,Año_Inicial+6,'9'!$B:$B,'12'!Z$4,'9'!$D:$D,"Prevención de enfermedades")</f>
        <v>0</v>
      </c>
      <c r="AB29" s="101">
        <f>((A7_A_L12*Enfermedades_A)+(A7_B_L12*Enfermedades_B)+(A7_C_L12*Enfermedades_C)+(A7_D_L12*Enfermedades_D)+(A7_Y_L12*Enfermedades_Y))*Inflación_7</f>
        <v>0</v>
      </c>
      <c r="AC29" s="101">
        <f>SUMIFS('9'!$E:$E,'9'!$A:$A,Año_Inicial+6,'9'!$B:$B,'12'!AB$4,'9'!$D:$D,"Prevención de enfermedades")</f>
        <v>0</v>
      </c>
      <c r="AD29" s="101">
        <f>((A7_A_L13*Enfermedades_A)+(A7_B_L13*Enfermedades_B)+(A7_C_L13*Enfermedades_C)+(A7_D_L13*Enfermedades_D)+(A7_Y_L13*Enfermedades_Y))*Inflación_7</f>
        <v>0</v>
      </c>
      <c r="AE29" s="101">
        <f>SUMIFS('9'!$E:$E,'9'!$A:$A,Año_Inicial+6,'9'!$B:$B,'12'!AD$4,'9'!$D:$D,"Prevención de enfermedades")</f>
        <v>0</v>
      </c>
      <c r="AF29" s="101">
        <f>((A7_A_L14*Enfermedades_A)+(A7_B_L14*Enfermedades_B)+(A7_C_L14*Enfermedades_C)+(A7_D_L14*Enfermedades_D)+(A7_Y_L14*Enfermedades_Y))*Inflación_7</f>
        <v>0</v>
      </c>
      <c r="AG29" s="101">
        <f>SUMIFS('9'!$E:$E,'9'!$A:$A,Año_Inicial+6,'9'!$B:$B,'12'!AF$4,'9'!$D:$D,"Prevención de enfermedades")</f>
        <v>0</v>
      </c>
      <c r="AH29" s="101">
        <f>((A7_A_L15*Enfermedades_A)+(A7_B_L15*Enfermedades_B)+(A7_C_L15*Enfermedades_C)+(A7_D_L15*Enfermedades_D)+(A7_Y_L15*Enfermedades_Y))*Inflación_7</f>
        <v>0</v>
      </c>
      <c r="AI29" s="101">
        <f>SUMIFS('9'!$E:$E,'9'!$A:$A,Año_Inicial+6,'9'!$B:$B,'12'!AH$4,'9'!$D:$D,"Prevención de enfermedades")</f>
        <v>0</v>
      </c>
      <c r="AJ29" s="101">
        <f>((A7_A_L16*Enfermedades_A)+(A7_B_L16*Enfermedades_B)+(A7_C_L16*Enfermedades_C)+(A7_D_L16*Enfermedades_D)+(A7_Y_L16*Enfermedades_Y))*Inflación_7</f>
        <v>0</v>
      </c>
      <c r="AK29" s="101">
        <f>SUMIFS('9'!$E:$E,'9'!$A:$A,Año_Inicial+6,'9'!$B:$B,'12'!AJ$4,'9'!$D:$D,"Prevención de enfermedades")</f>
        <v>0</v>
      </c>
      <c r="AL29" s="101">
        <f>((A7_A_L17*Enfermedades_A)+(A7_B_L17*Enfermedades_B)+(A7_C_L17*Enfermedades_C)+(A7_D_L17*Enfermedades_D)+(A7_Y_L17*Enfermedades_Y))*Inflación_7</f>
        <v>0</v>
      </c>
      <c r="AM29" s="101">
        <f>SUMIFS('9'!$E:$E,'9'!$A:$A,Año_Inicial+6,'9'!$B:$B,'12'!AL$4,'9'!$D:$D,"Prevención de enfermedades")</f>
        <v>0</v>
      </c>
      <c r="AN29" s="101">
        <f>((A7_A_L18*Enfermedades_A)+(A7_B_L18*Enfermedades_B)+(A7_C_L18*Enfermedades_C)+(A7_D_L18*Enfermedades_D)+(A7_Y_L18*Enfermedades_Y))*Inflación_7</f>
        <v>0</v>
      </c>
      <c r="AO29" s="101">
        <f>SUMIFS('9'!$E:$E,'9'!$A:$A,Año_Inicial+6,'9'!$B:$B,'12'!AN$4,'9'!$D:$D,"Prevención de enfermedades")</f>
        <v>0</v>
      </c>
      <c r="AP29" s="101">
        <f>((A7_A_L19*Enfermedades_A)+(A7_B_L19*Enfermedades_B)+(A7_C_L19*Enfermedades_C)+(A7_D_L19*Enfermedades_D)+(A7_Y_L19*Enfermedades_Y))*Inflación_7</f>
        <v>0</v>
      </c>
      <c r="AQ29" s="101">
        <f>SUMIFS('9'!$E:$E,'9'!$A:$A,Año_Inicial+6,'9'!$B:$B,'12'!AP$4,'9'!$D:$D,"Prevención de enfermedades")</f>
        <v>0</v>
      </c>
      <c r="AR29" s="101">
        <f>((A7_A_L20*Enfermedades_A)+(A7_B_L20*Enfermedades_B)+(A7_C_L20*Enfermedades_C)+(A7_D_L20*Enfermedades_D)+(A7_Y_L20*Enfermedades_Y))*Inflación_7</f>
        <v>0</v>
      </c>
      <c r="AS29" s="101">
        <f>SUMIFS('9'!$E:$E,'9'!$A:$A,Año_Inicial+6,'9'!$B:$B,'12'!AR$4,'9'!$D:$D,"Prevención de enfermedades")</f>
        <v>0</v>
      </c>
      <c r="AT29" s="101">
        <f>((A7_A_L21*Enfermedades_A)+(A7_B_L21*Enfermedades_B)+(A7_C_L21*Enfermedades_C)+(A7_D_L21*Enfermedades_D)+(A7_Y_L21*Enfermedades_Y))*Inflación_7</f>
        <v>0</v>
      </c>
      <c r="AU29" s="101">
        <f>SUMIFS('9'!$E:$E,'9'!$A:$A,Año_Inicial+6,'9'!$B:$B,'12'!AT$4,'9'!$D:$D,"Prevención de enfermedades")</f>
        <v>0</v>
      </c>
      <c r="AV29" s="101">
        <f>((A7_A_L22*Enfermedades_A)+(A7_B_L22*Enfermedades_B)+(A7_C_L22*Enfermedades_C)+(A7_D_L22*Enfermedades_D)+(A7_Y_L22*Enfermedades_Y))*Inflación_7</f>
        <v>0</v>
      </c>
      <c r="AW29" s="101">
        <f>SUMIFS('9'!$E:$E,'9'!$A:$A,Año_Inicial+6,'9'!$B:$B,'12'!AV$4,'9'!$D:$D,"Prevención de enfermedades")</f>
        <v>0</v>
      </c>
      <c r="AX29" s="101">
        <f>((A7_A_L23*Enfermedades_A)+(A7_B_L23*Enfermedades_B)+(A7_C_L23*Enfermedades_C)+(A7_D_L23*Enfermedades_D)+(A7_Y_L23*Enfermedades_Y))*Inflación_7</f>
        <v>0</v>
      </c>
      <c r="AY29" s="101">
        <f>SUMIFS('9'!$E:$E,'9'!$A:$A,Año_Inicial+6,'9'!$B:$B,'12'!AX$4,'9'!$D:$D,"Prevención de enfermedades")</f>
        <v>0</v>
      </c>
      <c r="AZ29" s="101">
        <f>((A7_A_L24*Enfermedades_A)+(A7_B_L24*Enfermedades_B)+(A7_C_L24*Enfermedades_C)+(A7_D_L24*Enfermedades_D)+(A7_Y_L24*Enfermedades_Y))*Inflación_7</f>
        <v>0</v>
      </c>
      <c r="BA29" s="101">
        <f>SUMIFS('9'!$E:$E,'9'!$A:$A,Año_Inicial+6,'9'!$B:$B,'12'!AZ$4,'9'!$D:$D,"Prevención de enfermedades")</f>
        <v>0</v>
      </c>
      <c r="BB29" s="101">
        <f>((A7_A_L25*Enfermedades_A)+(A7_B_L25*Enfermedades_B)+(A7_C_L25*Enfermedades_C)+(A7_D_L25*Enfermedades_D)+(A7_Y_L25*Enfermedades_Y))*Inflación_7</f>
        <v>0</v>
      </c>
      <c r="BC29" s="101">
        <f>SUMIFS('9'!$E:$E,'9'!$A:$A,Año_Inicial+6,'9'!$B:$B,'12'!BB$4,'9'!$D:$D,"Prevención de enfermedades")</f>
        <v>0</v>
      </c>
      <c r="BD29" s="101">
        <f>((A7_A_L26*Enfermedades_A)+(A7_B_L26*Enfermedades_B)+(A7_C_L26*Enfermedades_C)+(A7_D_L26*Enfermedades_D)+(A7_Y_L26*Enfermedades_Y))*Inflación_7</f>
        <v>0</v>
      </c>
      <c r="BE29" s="101">
        <f>SUMIFS('9'!$E:$E,'9'!$A:$A,Año_Inicial+6,'9'!$B:$B,'12'!BD$4,'9'!$D:$D,"Prevención de enfermedades")</f>
        <v>0</v>
      </c>
      <c r="BF29" s="101">
        <f>((A7_A_L27*Enfermedades_A)+(A7_B_L27*Enfermedades_B)+(A7_C_L27*Enfermedades_C)+(A7_D_L27*Enfermedades_D)+(A7_Y_L27*Enfermedades_Y))*Inflación_7</f>
        <v>0</v>
      </c>
      <c r="BG29" s="101">
        <f>SUMIFS('9'!$E:$E,'9'!$A:$A,Año_Inicial+6,'9'!$B:$B,'12'!BF$4,'9'!$D:$D,"Prevención de enfermedades")</f>
        <v>0</v>
      </c>
      <c r="BH29" s="101">
        <f>((A7_A_L28*Enfermedades_A)+(A7_B_L28*Enfermedades_B)+(A7_C_L28*Enfermedades_C)+(A7_D_L28*Enfermedades_D)+(A7_Y_L28*Enfermedades_Y))*Inflación_7</f>
        <v>0</v>
      </c>
      <c r="BI29" s="101">
        <f>SUMIFS('9'!$E:$E,'9'!$A:$A,Año_Inicial+6,'9'!$B:$B,'12'!BH$4,'9'!$D:$D,"Prevención de enfermedades")</f>
        <v>0</v>
      </c>
      <c r="BJ29" s="101">
        <f>((A7_A_L29*Enfermedades_A)+(A7_B_L29*Enfermedades_B)+(A7_C_L29*Enfermedades_C)+(A7_D_L29*Enfermedades_D)+(A7_Y_L29*Enfermedades_Y))*Inflación_7</f>
        <v>0</v>
      </c>
      <c r="BK29" s="101">
        <f>SUMIFS('9'!$E:$E,'9'!$A:$A,Año_Inicial+6,'9'!$B:$B,'12'!BJ$4,'9'!$D:$D,"Prevención de enfermedades")</f>
        <v>0</v>
      </c>
      <c r="BL29" s="101">
        <f>((A7_A_L30*Enfermedades_A)+(A7_B_L30*Enfermedades_B)+(A7_C_L30*Enfermedades_C)+(A7_D_L30*Enfermedades_D)+(A7_Y_L30*Enfermedades_Y))*Inflación_7</f>
        <v>0</v>
      </c>
      <c r="BM29" s="101">
        <f>SUMIFS('9'!$E:$E,'9'!$A:$A,Año_Inicial+6,'9'!$B:$B,'12'!BL$4,'9'!$D:$D,"Prevención de enfermedades")</f>
        <v>0</v>
      </c>
      <c r="BN29" s="101">
        <f>((A7_A_L31*Enfermedades_A)+(A7_B_L31*Enfermedades_B)+(A7_C_L31*Enfermedades_C)+(A7_D_L31*Enfermedades_D)+(A7_Y_L31*Enfermedades_Y))*Inflación_7</f>
        <v>0</v>
      </c>
      <c r="BO29" s="101">
        <f>SUMIFS('9'!$E:$E,'9'!$A:$A,Año_Inicial+6,'9'!$B:$B,'12'!BN$4,'9'!$D:$D,"Prevención de enfermedades")</f>
        <v>0</v>
      </c>
      <c r="BP29" s="101">
        <f>((A7_A_L32*Enfermedades_A)+(A7_B_L32*Enfermedades_B)+(A7_C_L32*Enfermedades_C)+(A7_D_L32*Enfermedades_D)+(A7_Y_L32*Enfermedades_Y))*Inflación_7</f>
        <v>0</v>
      </c>
      <c r="BQ29" s="101">
        <f>SUMIFS('9'!$E:$E,'9'!$A:$A,Año_Inicial+6,'9'!$B:$B,'12'!BP$4,'9'!$D:$D,"Prevención de enfermedades")</f>
        <v>0</v>
      </c>
      <c r="BR29" s="101">
        <f>((A7_A_L33*Enfermedades_A)+(A7_B_L33*Enfermedades_B)+(A7_C_L33*Enfermedades_C)+(A7_D_L33*Enfermedades_D)+(A7_Y_L33*Enfermedades_Y))*Inflación_7</f>
        <v>0</v>
      </c>
      <c r="BS29" s="101">
        <f>SUMIFS('9'!$E:$E,'9'!$A:$A,Año_Inicial+6,'9'!$B:$B,'12'!BR$4,'9'!$D:$D,"Prevención de enfermedades")</f>
        <v>0</v>
      </c>
      <c r="BT29" s="101">
        <f>((A7_A_L34*Enfermedades_A)+(A7_B_L34*Enfermedades_B)+(A7_C_L34*Enfermedades_C)+(A7_D_L34*Enfermedades_D)+(A7_Y_L34*Enfermedades_Y))*Inflación_7</f>
        <v>0</v>
      </c>
      <c r="BU29" s="101">
        <f>SUMIFS('9'!$E:$E,'9'!$A:$A,Año_Inicial+6,'9'!$B:$B,'12'!BT$4,'9'!$D:$D,"Prevención de enfermedades")</f>
        <v>0</v>
      </c>
      <c r="BV29" s="101">
        <f>((A7_A_L35*Enfermedades_A)+(A7_B_L35*Enfermedades_B)+(A7_C_L35*Enfermedades_C)+(A7_D_L35*Enfermedades_D)+(A7_Y_L35*Enfermedades_Y))*Inflación_7</f>
        <v>0</v>
      </c>
      <c r="BW29" s="101">
        <f>SUMIFS('9'!$E:$E,'9'!$A:$A,Año_Inicial+6,'9'!$B:$B,'12'!BV$4,'9'!$D:$D,"Prevención de enfermedades")</f>
        <v>0</v>
      </c>
      <c r="BX29" s="101">
        <f>((A7_A_L36*Enfermedades_A)+(A7_B_L36*Enfermedades_B)+(A7_C_L36*Enfermedades_C)+(A7_D_L36*Enfermedades_D)+(A7_Y_L36*Enfermedades_Y))*Inflación_7</f>
        <v>0</v>
      </c>
      <c r="BY29" s="101">
        <f>SUMIFS('9'!$E:$E,'9'!$A:$A,Año_Inicial+6,'9'!$B:$B,'12'!BX$4,'9'!$D:$D,"Prevención de enfermedades")</f>
        <v>0</v>
      </c>
      <c r="BZ29" s="101">
        <f>((A7_A_L37*Enfermedades_A)+(A7_B_L37*Enfermedades_B)+(A7_C_L37*Enfermedades_C)+(A7_D_L37*Enfermedades_D)+(A7_Y_L37*Enfermedades_Y))*Inflación_7</f>
        <v>0</v>
      </c>
      <c r="CA29" s="101">
        <f>SUMIFS('9'!$E:$E,'9'!$A:$A,Año_Inicial+6,'9'!$B:$B,'12'!BZ$4,'9'!$D:$D,"Prevención de enfermedades")</f>
        <v>0</v>
      </c>
      <c r="CB29" s="101">
        <f>((A7_A_L38*Enfermedades_A)+(A7_B_L38*Enfermedades_B)+(A7_C_L38*Enfermedades_C)+(A7_D_L38*Enfermedades_D)+(A7_Y_L38*Enfermedades_Y))*Inflación_7</f>
        <v>0</v>
      </c>
      <c r="CC29" s="101">
        <f>SUMIFS('9'!$E:$E,'9'!$A:$A,Año_Inicial+6,'9'!$B:$B,'12'!CB$4,'9'!$D:$D,"Prevención de enfermedades")</f>
        <v>0</v>
      </c>
      <c r="CD29" s="101">
        <f>((A7_A_L39*Enfermedades_A)+(A7_B_L39*Enfermedades_B)+(A7_C_L39*Enfermedades_C)+(A7_D_L39*Enfermedades_D)+(A7_Y_L39*Enfermedades_Y))*Inflación_7</f>
        <v>0</v>
      </c>
      <c r="CE29" s="101">
        <f>SUMIFS('9'!$E:$E,'9'!$A:$A,Año_Inicial+6,'9'!$B:$B,'12'!CD$4,'9'!$D:$D,"Prevención de enfermedades")</f>
        <v>0</v>
      </c>
      <c r="CF29" s="101">
        <f>((A7_A_L40*Enfermedades_A)+(A7_B_L40*Enfermedades_B)+(A7_C_L40*Enfermedades_C)+(A7_D_L40*Enfermedades_D)+(A7_Y_L40*Enfermedades_Y))*Inflación_7</f>
        <v>0</v>
      </c>
      <c r="CG29" s="101">
        <f>SUMIFS('9'!$E:$E,'9'!$A:$A,Año_Inicial+6,'9'!$B:$B,'12'!CF$4,'9'!$D:$D,"Prevención de enfermedades")</f>
        <v>0</v>
      </c>
      <c r="CH29" s="473"/>
      <c r="CI29" s="101">
        <f>Plantas_A_A7*Enfermedades_A*Inflación_7</f>
        <v>0</v>
      </c>
      <c r="CJ29" s="101">
        <f>Plantas_B_A7*Enfermedades_B</f>
        <v>0</v>
      </c>
      <c r="CK29" s="101">
        <f>Plantas_C_A7*Enfermedades_C</f>
        <v>0</v>
      </c>
      <c r="CL29" s="101">
        <f>Plantas_D_A7*Enfermedades_D</f>
        <v>0</v>
      </c>
      <c r="CM29" s="101"/>
      <c r="CN29" s="101">
        <f>Plantas_Y_A7*Enfermedades_Y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SUMIFS('9'!$E:$E,'9'!$A:$A,Año_Inicial+6,'9'!$D:$D,"Fungicida")</f>
        <v>0</v>
      </c>
      <c r="D30" s="100">
        <f t="shared" si="45"/>
        <v>0</v>
      </c>
      <c r="E30" s="473"/>
      <c r="F30" s="101">
        <f>((A7_A_L1*Fungicida_A)+(A7_B_L1*Fungicida_B)+(A7_C_L1*Fungicida_C)+(A7_D_L1*Fungicida_D)+(A7_Y_L1*Fungicida_Y))*Inflación_7</f>
        <v>0</v>
      </c>
      <c r="G30" s="101">
        <f>SUMIFS('9'!$E:$E,'9'!$A:$A,Año_Inicial+6,'9'!$B:$B,'12'!F$4,'9'!$D:$D,"Fungicida")</f>
        <v>0</v>
      </c>
      <c r="H30" s="101">
        <f>((A7_A_L2*Fungicida_A)+(A7_B_L2*Fungicida_B)+(A7_C_L2*Fungicida_C)+(A7_D_L2*Fungicida_D)+(A7_Y_L2*Fungicida_Y))*Inflación_7</f>
        <v>0</v>
      </c>
      <c r="I30" s="101">
        <f>SUMIFS('9'!$E:$E,'9'!$A:$A,Año_Inicial+6,'9'!$B:$B,'12'!H$4,'9'!$D:$D,"Fungicida")</f>
        <v>0</v>
      </c>
      <c r="J30" s="101">
        <f>((A7_A_L3*Fungicida_A)+(A7_B_L3*Fungicida_B)+(A7_C_L3*Fungicida_C)+(A7_D_L3*Fungicida_D)+(A7_Y_L3*Fungicida_Y))*Inflación_7</f>
        <v>0</v>
      </c>
      <c r="K30" s="101">
        <f>SUMIFS('9'!$E:$E,'9'!$A:$A,Año_Inicial+6,'9'!$B:$B,'12'!J$4,'9'!$D:$D,"Fungicida")</f>
        <v>0</v>
      </c>
      <c r="L30" s="101">
        <f>((A7_A_L4*Fungicida_A)+(A7_B_L4*Fungicida_B)+(A7_C_L4*Fungicida_C)+(A7_D_L4*Fungicida_D)+(A7_Y_L4*Fungicida_Y))*Inflación_7</f>
        <v>0</v>
      </c>
      <c r="M30" s="101">
        <f>SUMIFS('9'!$E:$E,'9'!$A:$A,Año_Inicial+6,'9'!$B:$B,'12'!L$4,'9'!$D:$D,"Fungicida")</f>
        <v>0</v>
      </c>
      <c r="N30" s="101">
        <f>((A7_A_L5*Fungicida_A)+(A7_B_L5*Fungicida_B)+(A7_C_L5*Fungicida_C)+(A7_D_L5*Fungicida_D)+(A7_Y_L5*Fungicida_Y))*Inflación_7</f>
        <v>0</v>
      </c>
      <c r="O30" s="101">
        <f>SUMIFS('9'!$E:$E,'9'!$A:$A,Año_Inicial+6,'9'!$B:$B,'12'!N$4,'9'!$D:$D,"Fungicida")</f>
        <v>0</v>
      </c>
      <c r="P30" s="101">
        <f>((A7_A_L6*Fungicida_A)+(A7_B_L6*Fungicida_B)+(A7_C_L6*Fungicida_C)+(A7_D_L6*Fungicida_D)+(A7_Y_L6*Fungicida_Y))*Inflación_7</f>
        <v>0</v>
      </c>
      <c r="Q30" s="101">
        <f>SUMIFS('9'!$E:$E,'9'!$A:$A,Año_Inicial+6,'9'!$B:$B,'12'!P$4,'9'!$D:$D,"Fungicida")</f>
        <v>0</v>
      </c>
      <c r="R30" s="101">
        <f>((A7_A_L7*Fungicida_A)+(A7_B_L7*Fungicida_B)+(A7_C_L7*Fungicida_C)+(A7_D_L7*Fungicida_D)+(A7_Y_L7*Fungicida_Y))*Inflación_7</f>
        <v>0</v>
      </c>
      <c r="S30" s="101">
        <f>SUMIFS('9'!$E:$E,'9'!$A:$A,Año_Inicial+6,'9'!$B:$B,'12'!R$4,'9'!$D:$D,"Fungicida")</f>
        <v>0</v>
      </c>
      <c r="T30" s="101">
        <f>((A7_A_L8*Fungicida_A)+(A7_B_L8*Fungicida_B)+(A7_C_L8*Fungicida_C)+(A7_D_L8*Fungicida_D)+(A7_Y_L8*Fungicida_Y))*Inflación_7</f>
        <v>0</v>
      </c>
      <c r="U30" s="101">
        <f>SUMIFS('9'!$E:$E,'9'!$A:$A,Año_Inicial+6,'9'!$B:$B,'12'!T$4,'9'!$D:$D,"Fungicida")</f>
        <v>0</v>
      </c>
      <c r="V30" s="101">
        <f>((A7_A_L9*Fungicida_A)+(A7_B_L9*Fungicida_B)+(A7_C_L9*Fungicida_C)+(A7_D_L9*Fungicida_D)+(A7_Y_L9*Fungicida_Y))*Inflación_7</f>
        <v>0</v>
      </c>
      <c r="W30" s="101">
        <f>SUMIFS('9'!$E:$E,'9'!$A:$A,Año_Inicial+6,'9'!$B:$B,'12'!V$4,'9'!$D:$D,"Fungicida")</f>
        <v>0</v>
      </c>
      <c r="X30" s="101">
        <f>((A7_A_L10*Fungicida_A)+(A7_B_L10*Fungicida_B)+(A7_C_L10*Fungicida_C)+(A7_D_L10*Fungicida_D)+(A7_Y_L10*Fungicida_Y))*Inflación_7</f>
        <v>0</v>
      </c>
      <c r="Y30" s="101">
        <f>SUMIFS('9'!$E:$E,'9'!$A:$A,Año_Inicial+6,'9'!$B:$B,'12'!X$4,'9'!$D:$D,"Fungicida")</f>
        <v>0</v>
      </c>
      <c r="Z30" s="101">
        <f>((A7_A_L11*Fungicida_A)+(A7_B_L11*Fungicida_B)+(A7_C_L11*Fungicida_C)+(A7_D_L11*Fungicida_D)+(A7_Y_L11*Fungicida_Y))*Inflación_7</f>
        <v>0</v>
      </c>
      <c r="AA30" s="101">
        <f>SUMIFS('9'!$E:$E,'9'!$A:$A,Año_Inicial+6,'9'!$B:$B,'12'!Z$4,'9'!$D:$D,"Fungicida")</f>
        <v>0</v>
      </c>
      <c r="AB30" s="101">
        <f>((A7_A_L12*Fungicida_A)+(A7_B_L12*Fungicida_B)+(A7_C_L12*Fungicida_C)+(A7_D_L12*Fungicida_D)+(A7_Y_L12*Fungicida_Y))*Inflación_7</f>
        <v>0</v>
      </c>
      <c r="AC30" s="101">
        <f>SUMIFS('9'!$E:$E,'9'!$A:$A,Año_Inicial+6,'9'!$B:$B,'12'!AB$4,'9'!$D:$D,"Fungicida")</f>
        <v>0</v>
      </c>
      <c r="AD30" s="101">
        <f>((A7_A_L13*Fungicida_A)+(A7_B_L13*Fungicida_B)+(A7_C_L13*Fungicida_C)+(A7_D_L13*Fungicida_D)+(A7_Y_L13*Fungicida_Y))*Inflación_7</f>
        <v>0</v>
      </c>
      <c r="AE30" s="101">
        <f>SUMIFS('9'!$E:$E,'9'!$A:$A,Año_Inicial+6,'9'!$B:$B,'12'!AD$4,'9'!$D:$D,"Fungicida")</f>
        <v>0</v>
      </c>
      <c r="AF30" s="101">
        <f>((A7_A_L14*Fungicida_A)+(A7_B_L14*Fungicida_B)+(A7_C_L14*Fungicida_C)+(A7_D_L14*Fungicida_D)+(A7_Y_L14*Fungicida_Y))*Inflación_7</f>
        <v>0</v>
      </c>
      <c r="AG30" s="101">
        <f>SUMIFS('9'!$E:$E,'9'!$A:$A,Año_Inicial+6,'9'!$B:$B,'12'!AF$4,'9'!$D:$D,"Fungicida")</f>
        <v>0</v>
      </c>
      <c r="AH30" s="101">
        <f>((A7_A_L15*Fungicida_A)+(A7_B_L15*Fungicida_B)+(A7_C_L15*Fungicida_C)+(A7_D_L15*Fungicida_D)+(A7_Y_L15*Fungicida_Y))*Inflación_7</f>
        <v>0</v>
      </c>
      <c r="AI30" s="101">
        <f>SUMIFS('9'!$E:$E,'9'!$A:$A,Año_Inicial+6,'9'!$B:$B,'12'!AH$4,'9'!$D:$D,"Fungicida")</f>
        <v>0</v>
      </c>
      <c r="AJ30" s="101">
        <f>((A7_A_L16*Fungicida_A)+(A7_B_L16*Fungicida_B)+(A7_C_L16*Fungicida_C)+(A7_D_L16*Fungicida_D)+(A7_Y_L16*Fungicida_Y))*Inflación_7</f>
        <v>0</v>
      </c>
      <c r="AK30" s="101">
        <f>SUMIFS('9'!$E:$E,'9'!$A:$A,Año_Inicial+6,'9'!$B:$B,'12'!AJ$4,'9'!$D:$D,"Fungicida")</f>
        <v>0</v>
      </c>
      <c r="AL30" s="101">
        <f>((A7_A_L17*Fungicida_A)+(A7_B_L17*Fungicida_B)+(A7_C_L17*Fungicida_C)+(A7_D_L17*Fungicida_D)+(A7_Y_L17*Fungicida_Y))*Inflación_7</f>
        <v>0</v>
      </c>
      <c r="AM30" s="101">
        <f>SUMIFS('9'!$E:$E,'9'!$A:$A,Año_Inicial+6,'9'!$B:$B,'12'!AL$4,'9'!$D:$D,"Fungicida")</f>
        <v>0</v>
      </c>
      <c r="AN30" s="101">
        <f>((A7_A_L18*Fungicida_A)+(A7_B_L18*Fungicida_B)+(A7_C_L18*Fungicida_C)+(A7_D_L18*Fungicida_D)+(A7_Y_L18*Fungicida_Y))*Inflación_7</f>
        <v>0</v>
      </c>
      <c r="AO30" s="101">
        <f>SUMIFS('9'!$E:$E,'9'!$A:$A,Año_Inicial+6,'9'!$B:$B,'12'!AN$4,'9'!$D:$D,"Fungicida")</f>
        <v>0</v>
      </c>
      <c r="AP30" s="101">
        <f>((A7_A_L19*Fungicida_A)+(A7_B_L19*Fungicida_B)+(A7_C_L19*Fungicida_C)+(A7_D_L19*Fungicida_D)+(A7_Y_L19*Fungicida_Y))*Inflación_7</f>
        <v>0</v>
      </c>
      <c r="AQ30" s="101">
        <f>SUMIFS('9'!$E:$E,'9'!$A:$A,Año_Inicial+6,'9'!$B:$B,'12'!AP$4,'9'!$D:$D,"Fungicida")</f>
        <v>0</v>
      </c>
      <c r="AR30" s="101">
        <f>((A7_A_L20*Fungicida_A)+(A7_B_L20*Fungicida_B)+(A7_C_L20*Fungicida_C)+(A7_D_L20*Fungicida_D)+(A7_Y_L20*Fungicida_Y))*Inflación_7</f>
        <v>0</v>
      </c>
      <c r="AS30" s="101">
        <f>SUMIFS('9'!$E:$E,'9'!$A:$A,Año_Inicial+6,'9'!$B:$B,'12'!AR$4,'9'!$D:$D,"Fungicida")</f>
        <v>0</v>
      </c>
      <c r="AT30" s="101">
        <f>((A7_A_L21*Fungicida_A)+(A7_B_L21*Fungicida_B)+(A7_C_L21*Fungicida_C)+(A7_D_L21*Fungicida_D)+(A7_Y_L21*Fungicida_Y))*Inflación_7</f>
        <v>0</v>
      </c>
      <c r="AU30" s="101">
        <f>SUMIFS('9'!$E:$E,'9'!$A:$A,Año_Inicial+6,'9'!$B:$B,'12'!AT$4,'9'!$D:$D,"Fungicida")</f>
        <v>0</v>
      </c>
      <c r="AV30" s="101">
        <f>((A7_A_L22*Fungicida_A)+(A7_B_L22*Fungicida_B)+(A7_C_L22*Fungicida_C)+(A7_D_L22*Fungicida_D)+(A7_Y_L22*Fungicida_Y))*Inflación_7</f>
        <v>0</v>
      </c>
      <c r="AW30" s="101">
        <f>SUMIFS('9'!$E:$E,'9'!$A:$A,Año_Inicial+6,'9'!$B:$B,'12'!AV$4,'9'!$D:$D,"Fungicida")</f>
        <v>0</v>
      </c>
      <c r="AX30" s="101">
        <f>((A7_A_L23*Fungicida_A)+(A7_B_L23*Fungicida_B)+(A7_C_L23*Fungicida_C)+(A7_D_L23*Fungicida_D)+(A7_Y_L23*Fungicida_Y))*Inflación_7</f>
        <v>0</v>
      </c>
      <c r="AY30" s="101">
        <f>SUMIFS('9'!$E:$E,'9'!$A:$A,Año_Inicial+6,'9'!$B:$B,'12'!AX$4,'9'!$D:$D,"Fungicida")</f>
        <v>0</v>
      </c>
      <c r="AZ30" s="101">
        <f>((A7_A_L24*Fungicida_A)+(A7_B_L24*Fungicida_B)+(A7_C_L24*Fungicida_C)+(A7_D_L24*Fungicida_D)+(A7_Y_L24*Fungicida_Y))*Inflación_7</f>
        <v>0</v>
      </c>
      <c r="BA30" s="101">
        <f>SUMIFS('9'!$E:$E,'9'!$A:$A,Año_Inicial+6,'9'!$B:$B,'12'!AZ$4,'9'!$D:$D,"Fungicida")</f>
        <v>0</v>
      </c>
      <c r="BB30" s="101">
        <f>((A7_A_L25*Fungicida_A)+(A7_B_L25*Fungicida_B)+(A7_C_L25*Fungicida_C)+(A7_D_L25*Fungicida_D)+(A7_Y_L25*Fungicida_Y))*Inflación_7</f>
        <v>0</v>
      </c>
      <c r="BC30" s="101">
        <f>SUMIFS('9'!$E:$E,'9'!$A:$A,Año_Inicial+6,'9'!$B:$B,'12'!BB$4,'9'!$D:$D,"Fungicida")</f>
        <v>0</v>
      </c>
      <c r="BD30" s="101">
        <f>((A7_A_L26*Fungicida_A)+(A7_B_L26*Fungicida_B)+(A7_C_L26*Fungicida_C)+(A7_D_L26*Fungicida_D)+(A7_Y_L26*Fungicida_Y))*Inflación_7</f>
        <v>0</v>
      </c>
      <c r="BE30" s="101">
        <f>SUMIFS('9'!$E:$E,'9'!$A:$A,Año_Inicial+6,'9'!$B:$B,'12'!BD$4,'9'!$D:$D,"Fungicida")</f>
        <v>0</v>
      </c>
      <c r="BF30" s="101">
        <f>((A7_A_L27*Fungicida_A)+(A7_B_L27*Fungicida_B)+(A7_C_L27*Fungicida_C)+(A7_D_L27*Fungicida_D)+(A7_Y_L27*Fungicida_Y))*Inflación_7</f>
        <v>0</v>
      </c>
      <c r="BG30" s="101">
        <f>SUMIFS('9'!$E:$E,'9'!$A:$A,Año_Inicial+6,'9'!$B:$B,'12'!BF$4,'9'!$D:$D,"Fungicida")</f>
        <v>0</v>
      </c>
      <c r="BH30" s="101">
        <f>((A7_A_L28*Fungicida_A)+(A7_B_L28*Fungicida_B)+(A7_C_L28*Fungicida_C)+(A7_D_L28*Fungicida_D)+(A7_Y_L28*Fungicida_Y))*Inflación_7</f>
        <v>0</v>
      </c>
      <c r="BI30" s="101">
        <f>SUMIFS('9'!$E:$E,'9'!$A:$A,Año_Inicial+6,'9'!$B:$B,'12'!BH$4,'9'!$D:$D,"Fungicida")</f>
        <v>0</v>
      </c>
      <c r="BJ30" s="101">
        <f>((A7_A_L29*Fungicida_A)+(A7_B_L29*Fungicida_B)+(A7_C_L29*Fungicida_C)+(A7_D_L29*Fungicida_D)+(A7_Y_L29*Fungicida_Y))*Inflación_7</f>
        <v>0</v>
      </c>
      <c r="BK30" s="101">
        <f>SUMIFS('9'!$E:$E,'9'!$A:$A,Año_Inicial+6,'9'!$B:$B,'12'!BJ$4,'9'!$D:$D,"Fungicida")</f>
        <v>0</v>
      </c>
      <c r="BL30" s="101">
        <f>((A7_A_L30*Fungicida_A)+(A7_B_L30*Fungicida_B)+(A7_C_L30*Fungicida_C)+(A7_D_L30*Fungicida_D)+(A7_Y_L30*Fungicida_Y))*Inflación_7</f>
        <v>0</v>
      </c>
      <c r="BM30" s="101">
        <f>SUMIFS('9'!$E:$E,'9'!$A:$A,Año_Inicial+6,'9'!$B:$B,'12'!BL$4,'9'!$D:$D,"Fungicida")</f>
        <v>0</v>
      </c>
      <c r="BN30" s="101">
        <f>((A7_A_L31*Fungicida_A)+(A7_B_L31*Fungicida_B)+(A7_C_L31*Fungicida_C)+(A7_D_L31*Fungicida_D)+(A7_Y_L31*Fungicida_Y))*Inflación_7</f>
        <v>0</v>
      </c>
      <c r="BO30" s="101">
        <f>SUMIFS('9'!$E:$E,'9'!$A:$A,Año_Inicial+6,'9'!$B:$B,'12'!BN$4,'9'!$D:$D,"Fungicida")</f>
        <v>0</v>
      </c>
      <c r="BP30" s="101">
        <f>((A7_A_L32*Fungicida_A)+(A7_B_L32*Fungicida_B)+(A7_C_L32*Fungicida_C)+(A7_D_L32*Fungicida_D)+(A7_Y_L32*Fungicida_Y))*Inflación_7</f>
        <v>0</v>
      </c>
      <c r="BQ30" s="101">
        <f>SUMIFS('9'!$E:$E,'9'!$A:$A,Año_Inicial+6,'9'!$B:$B,'12'!BP$4,'9'!$D:$D,"Fungicida")</f>
        <v>0</v>
      </c>
      <c r="BR30" s="101">
        <f>((A7_A_L33*Fungicida_A)+(A7_B_L33*Fungicida_B)+(A7_C_L33*Fungicida_C)+(A7_D_L33*Fungicida_D)+(A7_Y_L33*Fungicida_Y))*Inflación_7</f>
        <v>0</v>
      </c>
      <c r="BS30" s="101">
        <f>SUMIFS('9'!$E:$E,'9'!$A:$A,Año_Inicial+6,'9'!$B:$B,'12'!BR$4,'9'!$D:$D,"Fungicida")</f>
        <v>0</v>
      </c>
      <c r="BT30" s="101">
        <f>((A7_A_L34*Fungicida_A)+(A7_B_L34*Fungicida_B)+(A7_C_L34*Fungicida_C)+(A7_D_L34*Fungicida_D)+(A7_Y_L34*Fungicida_Y))*Inflación_7</f>
        <v>0</v>
      </c>
      <c r="BU30" s="101">
        <f>SUMIFS('9'!$E:$E,'9'!$A:$A,Año_Inicial+6,'9'!$B:$B,'12'!BT$4,'9'!$D:$D,"Fungicida")</f>
        <v>0</v>
      </c>
      <c r="BV30" s="101">
        <f>((A7_A_L35*Fungicida_A)+(A7_B_L35*Fungicida_B)+(A7_C_L35*Fungicida_C)+(A7_D_L35*Fungicida_D)+(A7_Y_L35*Fungicida_Y))*Inflación_7</f>
        <v>0</v>
      </c>
      <c r="BW30" s="101">
        <f>SUMIFS('9'!$E:$E,'9'!$A:$A,Año_Inicial+6,'9'!$B:$B,'12'!BV$4,'9'!$D:$D,"Fungicida")</f>
        <v>0</v>
      </c>
      <c r="BX30" s="101">
        <f>((A7_A_L36*Fungicida_A)+(A7_B_L36*Fungicida_B)+(A7_C_L36*Fungicida_C)+(A7_D_L36*Fungicida_D)+(A7_Y_L36*Fungicida_Y))*Inflación_7</f>
        <v>0</v>
      </c>
      <c r="BY30" s="101">
        <f>SUMIFS('9'!$E:$E,'9'!$A:$A,Año_Inicial+6,'9'!$B:$B,'12'!BX$4,'9'!$D:$D,"Fungicida")</f>
        <v>0</v>
      </c>
      <c r="BZ30" s="101">
        <f>((A7_A_L37*Fungicida_A)+(A7_B_L37*Fungicida_B)+(A7_C_L37*Fungicida_C)+(A7_D_L37*Fungicida_D)+(A7_Y_L37*Fungicida_Y))*Inflación_7</f>
        <v>0</v>
      </c>
      <c r="CA30" s="101">
        <f>SUMIFS('9'!$E:$E,'9'!$A:$A,Año_Inicial+6,'9'!$B:$B,'12'!BZ$4,'9'!$D:$D,"Fungicida")</f>
        <v>0</v>
      </c>
      <c r="CB30" s="101">
        <f>((A7_A_L38*Fungicida_A)+(A7_B_L38*Fungicida_B)+(A7_C_L38*Fungicida_C)+(A7_D_L38*Fungicida_D)+(A7_Y_L38*Fungicida_Y))*Inflación_7</f>
        <v>0</v>
      </c>
      <c r="CC30" s="101">
        <f>SUMIFS('9'!$E:$E,'9'!$A:$A,Año_Inicial+6,'9'!$B:$B,'12'!CB$4,'9'!$D:$D,"Fungicida")</f>
        <v>0</v>
      </c>
      <c r="CD30" s="101">
        <f>((A7_A_L39*Fungicida_A)+(A7_B_L39*Fungicida_B)+(A7_C_L39*Fungicida_C)+(A7_D_L39*Fungicida_D)+(A7_Y_L39*Fungicida_Y))*Inflación_7</f>
        <v>0</v>
      </c>
      <c r="CE30" s="101">
        <f>SUMIFS('9'!$E:$E,'9'!$A:$A,Año_Inicial+6,'9'!$B:$B,'12'!CD$4,'9'!$D:$D,"Fungicida")</f>
        <v>0</v>
      </c>
      <c r="CF30" s="101">
        <f>((A7_A_L40*Fungicida_A)+(A7_B_L40*Fungicida_B)+(A7_C_L40*Fungicida_C)+(A7_D_L40*Fungicida_D)+(A7_Y_L40*Fungicida_Y))*Inflación_7</f>
        <v>0</v>
      </c>
      <c r="CG30" s="101">
        <f>SUMIFS('9'!$E:$E,'9'!$A:$A,Año_Inicial+6,'9'!$B:$B,'12'!CF$4,'9'!$D:$D,"Fungicida")</f>
        <v>0</v>
      </c>
      <c r="CH30" s="473"/>
      <c r="CI30" s="101">
        <f>Plantas_A_A7*Fungicida_A*Inflación_7</f>
        <v>0</v>
      </c>
      <c r="CJ30" s="101">
        <f>Plantas_B_A7*Fungicida_B</f>
        <v>0</v>
      </c>
      <c r="CK30" s="101">
        <f>Plantas_C_A7*Fungicida_C</f>
        <v>0</v>
      </c>
      <c r="CL30" s="101">
        <f>Plantas_D_A7*Fungicida_D</f>
        <v>0</v>
      </c>
      <c r="CM30" s="101"/>
      <c r="CN30" s="101">
        <f>Plantas_Y_A7*Fungicida_Y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SUMIFS('9'!$E:$E,'9'!$A:$A,Año_Inicial+6,'9'!$D:$D,"Manejo de sombra")</f>
        <v>0</v>
      </c>
      <c r="D32" s="100">
        <f t="shared" si="45"/>
        <v>0</v>
      </c>
      <c r="E32" s="473"/>
      <c r="F32" s="101">
        <f>((A7_A_L1*Sombra_A)+(A7_B_L1*Sombra_B)+(A7_C_L1*Sombra_C)+(A7_D_L1*Sombra_D)+(A7_Y_L1*Sombra_Y))*Inflación_7</f>
        <v>0</v>
      </c>
      <c r="G32" s="101">
        <f>SUMIFS('9'!$E:$E,'9'!$A:$A,Año_Inicial+6,'9'!$B:$B,'12'!F$4,'9'!$D:$D,"Manejo de sombra")</f>
        <v>0</v>
      </c>
      <c r="H32" s="101">
        <f>((A7_A_L2*Sombra_A)+(A7_B_L2*Sombra_B)+(A7_C_L2*Sombra_C)+(A7_D_L2*Sombra_D)+(A7_Y_L2*Sombra_Y))*Inflación_7</f>
        <v>0</v>
      </c>
      <c r="I32" s="101">
        <f>SUMIFS('9'!$E:$E,'9'!$A:$A,Año_Inicial+6,'9'!$B:$B,'12'!H$4,'9'!$D:$D,"Manejo de sombra")</f>
        <v>0</v>
      </c>
      <c r="J32" s="101">
        <f>((A7_A_L3*Sombra_A)+(A7_B_L3*Sombra_B)+(A7_C_L3*Sombra_C)+(A7_D_L3*Sombra_D)+(A7_Y_L3*Sombra_Y))*Inflación_7</f>
        <v>0</v>
      </c>
      <c r="K32" s="101">
        <f>SUMIFS('9'!$E:$E,'9'!$A:$A,Año_Inicial+6,'9'!$B:$B,'12'!J$4,'9'!$D:$D,"Manejo de sombra")</f>
        <v>0</v>
      </c>
      <c r="L32" s="101">
        <f>((A7_A_L4*Sombra_A)+(A7_B_L4*Sombra_B)+(A7_C_L4*Sombra_C)+(A7_D_L4*Sombra_D)+(A7_Y_L4*Sombra_Y))*Inflación_7</f>
        <v>0</v>
      </c>
      <c r="M32" s="101">
        <f>SUMIFS('9'!$E:$E,'9'!$A:$A,Año_Inicial+6,'9'!$B:$B,'12'!L$4,'9'!$D:$D,"Manejo de sombra")</f>
        <v>0</v>
      </c>
      <c r="N32" s="101">
        <f>((A7_A_L5*Sombra_A)+(A7_B_L5*Sombra_B)+(A7_C_L5*Sombra_C)+(A7_D_L5*Sombra_D)+(A7_Y_L5*Sombra_Y))*Inflación_7</f>
        <v>0</v>
      </c>
      <c r="O32" s="101">
        <f>SUMIFS('9'!$E:$E,'9'!$A:$A,Año_Inicial+6,'9'!$B:$B,'12'!N$4,'9'!$D:$D,"Manejo de sombra")</f>
        <v>0</v>
      </c>
      <c r="P32" s="101">
        <f>((A7_A_L6*Sombra_A)+(A7_B_L6*Sombra_B)+(A7_C_L6*Sombra_C)+(A7_D_L6*Sombra_D)+(A7_Y_L6*Sombra_Y))*Inflación_7</f>
        <v>0</v>
      </c>
      <c r="Q32" s="101">
        <f>SUMIFS('9'!$E:$E,'9'!$A:$A,Año_Inicial+6,'9'!$B:$B,'12'!P$4,'9'!$D:$D,"Manejo de sombra")</f>
        <v>0</v>
      </c>
      <c r="R32" s="101">
        <f>((A7_A_L7*Sombra_A)+(A7_B_L7*Sombra_B)+(A7_C_L7*Sombra_C)+(A7_D_L7*Sombra_D)+(A7_Y_L7*Sombra_Y))*Inflación_7</f>
        <v>0</v>
      </c>
      <c r="S32" s="101">
        <f>SUMIFS('9'!$E:$E,'9'!$A:$A,Año_Inicial+6,'9'!$B:$B,'12'!R$4,'9'!$D:$D,"Manejo de sombra")</f>
        <v>0</v>
      </c>
      <c r="T32" s="101">
        <f>((A7_A_L8*Sombra_A)+(A7_B_L8*Sombra_B)+(A7_C_L8*Sombra_C)+(A7_D_L8*Sombra_D)+(A7_Y_L8*Sombra_Y))*Inflación_7</f>
        <v>0</v>
      </c>
      <c r="U32" s="101">
        <f>SUMIFS('9'!$E:$E,'9'!$A:$A,Año_Inicial+6,'9'!$B:$B,'12'!T$4,'9'!$D:$D,"Manejo de sombra")</f>
        <v>0</v>
      </c>
      <c r="V32" s="101">
        <f>((A7_A_L9*Sombra_A)+(A7_B_L9*Sombra_B)+(A7_C_L9*Sombra_C)+(A7_D_L9*Sombra_D)+(A7_Y_L9*Sombra_Y))*Inflación_7</f>
        <v>0</v>
      </c>
      <c r="W32" s="101">
        <f>SUMIFS('9'!$E:$E,'9'!$A:$A,Año_Inicial+6,'9'!$B:$B,'12'!V$4,'9'!$D:$D,"Manejo de sombra")</f>
        <v>0</v>
      </c>
      <c r="X32" s="101">
        <f>((A7_A_L10*Sombra_A)+(A7_B_L10*Sombra_B)+(A7_C_L10*Sombra_C)+(A7_D_L10*Sombra_D)+(A7_Y_L10*Sombra_Y))*Inflación_7</f>
        <v>0</v>
      </c>
      <c r="Y32" s="101">
        <f>SUMIFS('9'!$E:$E,'9'!$A:$A,Año_Inicial+6,'9'!$B:$B,'12'!X$4,'9'!$D:$D,"Manejo de sombra")</f>
        <v>0</v>
      </c>
      <c r="Z32" s="101">
        <f>((A7_A_L11*Sombra_A)+(A7_B_L11*Sombra_B)+(A7_C_L11*Sombra_C)+(A7_D_L11*Sombra_D)+(A7_Y_L11*Sombra_Y))*Inflación_7</f>
        <v>0</v>
      </c>
      <c r="AA32" s="101">
        <f>SUMIFS('9'!$E:$E,'9'!$A:$A,Año_Inicial+6,'9'!$B:$B,'12'!Z$4,'9'!$D:$D,"Manejo de sombra")</f>
        <v>0</v>
      </c>
      <c r="AB32" s="101">
        <f>((A7_A_L12*Sombra_A)+(A7_B_L12*Sombra_B)+(A7_C_L12*Sombra_C)+(A7_D_L12*Sombra_D)+(A7_Y_L12*Sombra_Y))*Inflación_7</f>
        <v>0</v>
      </c>
      <c r="AC32" s="101">
        <f>SUMIFS('9'!$E:$E,'9'!$A:$A,Año_Inicial+6,'9'!$B:$B,'12'!AB$4,'9'!$D:$D,"Manejo de sombra")</f>
        <v>0</v>
      </c>
      <c r="AD32" s="101">
        <f>((A7_A_L13*Sombra_A)+(A7_B_L13*Sombra_B)+(A7_C_L13*Sombra_C)+(A7_D_L13*Sombra_D)+(A7_Y_L13*Sombra_Y))*Inflación_7</f>
        <v>0</v>
      </c>
      <c r="AE32" s="101">
        <f>SUMIFS('9'!$E:$E,'9'!$A:$A,Año_Inicial+6,'9'!$B:$B,'12'!AD$4,'9'!$D:$D,"Manejo de sombra")</f>
        <v>0</v>
      </c>
      <c r="AF32" s="101">
        <f>((A7_A_L14*Sombra_A)+(A7_B_L14*Sombra_B)+(A7_C_L14*Sombra_C)+(A7_D_L14*Sombra_D)+(A7_Y_L14*Sombra_Y))*Inflación_7</f>
        <v>0</v>
      </c>
      <c r="AG32" s="101">
        <f>SUMIFS('9'!$E:$E,'9'!$A:$A,Año_Inicial+6,'9'!$B:$B,'12'!AF$4,'9'!$D:$D,"Manejo de sombra")</f>
        <v>0</v>
      </c>
      <c r="AH32" s="101">
        <f>((A7_A_L15*Sombra_A)+(A7_B_L15*Sombra_B)+(A7_C_L15*Sombra_C)+(A7_D_L15*Sombra_D)+(A7_Y_L15*Sombra_Y))*Inflación_7</f>
        <v>0</v>
      </c>
      <c r="AI32" s="101">
        <f>SUMIFS('9'!$E:$E,'9'!$A:$A,Año_Inicial+6,'9'!$B:$B,'12'!AH$4,'9'!$D:$D,"Manejo de sombra")</f>
        <v>0</v>
      </c>
      <c r="AJ32" s="101">
        <f>((A7_A_L16*Sombra_A)+(A7_B_L16*Sombra_B)+(A7_C_L16*Sombra_C)+(A7_D_L16*Sombra_D)+(A7_Y_L16*Sombra_Y))*Inflación_7</f>
        <v>0</v>
      </c>
      <c r="AK32" s="101">
        <f>SUMIFS('9'!$E:$E,'9'!$A:$A,Año_Inicial+6,'9'!$B:$B,'12'!AJ$4,'9'!$D:$D,"Manejo de sombra")</f>
        <v>0</v>
      </c>
      <c r="AL32" s="101">
        <f>((A7_A_L17*Sombra_A)+(A7_B_L17*Sombra_B)+(A7_C_L17*Sombra_C)+(A7_D_L17*Sombra_D)+(A7_Y_L17*Sombra_Y))*Inflación_7</f>
        <v>0</v>
      </c>
      <c r="AM32" s="101">
        <f>SUMIFS('9'!$E:$E,'9'!$A:$A,Año_Inicial+6,'9'!$B:$B,'12'!AL$4,'9'!$D:$D,"Manejo de sombra")</f>
        <v>0</v>
      </c>
      <c r="AN32" s="101">
        <f>((A7_A_L18*Sombra_A)+(A7_B_L18*Sombra_B)+(A7_C_L18*Sombra_C)+(A7_D_L18*Sombra_D)+(A7_Y_L18*Sombra_Y))*Inflación_7</f>
        <v>0</v>
      </c>
      <c r="AO32" s="101">
        <f>SUMIFS('9'!$E:$E,'9'!$A:$A,Año_Inicial+6,'9'!$B:$B,'12'!AN$4,'9'!$D:$D,"Manejo de sombra")</f>
        <v>0</v>
      </c>
      <c r="AP32" s="101">
        <f>((A7_A_L19*Sombra_A)+(A7_B_L19*Sombra_B)+(A7_C_L19*Sombra_C)+(A7_D_L19*Sombra_D)+(A7_Y_L19*Sombra_Y))*Inflación_7</f>
        <v>0</v>
      </c>
      <c r="AQ32" s="101">
        <f>SUMIFS('9'!$E:$E,'9'!$A:$A,Año_Inicial+6,'9'!$B:$B,'12'!AP$4,'9'!$D:$D,"Manejo de sombra")</f>
        <v>0</v>
      </c>
      <c r="AR32" s="101">
        <f>((A7_A_L20*Sombra_A)+(A7_B_L20*Sombra_B)+(A7_C_L20*Sombra_C)+(A7_D_L20*Sombra_D)+(A7_Y_L20*Sombra_Y))*Inflación_7</f>
        <v>0</v>
      </c>
      <c r="AS32" s="101">
        <f>SUMIFS('9'!$E:$E,'9'!$A:$A,Año_Inicial+6,'9'!$B:$B,'12'!AR$4,'9'!$D:$D,"Manejo de sombra")</f>
        <v>0</v>
      </c>
      <c r="AT32" s="101">
        <f>((A7_A_L21*Sombra_A)+(A7_B_L21*Sombra_B)+(A7_C_L21*Sombra_C)+(A7_D_L21*Sombra_D)+(A7_Y_L21*Sombra_Y))*Inflación_7</f>
        <v>0</v>
      </c>
      <c r="AU32" s="101">
        <f>SUMIFS('9'!$E:$E,'9'!$A:$A,Año_Inicial+6,'9'!$B:$B,'12'!AT$4,'9'!$D:$D,"Manejo de sombra")</f>
        <v>0</v>
      </c>
      <c r="AV32" s="101">
        <f>((A7_A_L22*Sombra_A)+(A7_B_L22*Sombra_B)+(A7_C_L22*Sombra_C)+(A7_D_L22*Sombra_D)+(A7_Y_L22*Sombra_Y))*Inflación_7</f>
        <v>0</v>
      </c>
      <c r="AW32" s="101">
        <f>SUMIFS('9'!$E:$E,'9'!$A:$A,Año_Inicial+6,'9'!$B:$B,'12'!AV$4,'9'!$D:$D,"Manejo de sombra")</f>
        <v>0</v>
      </c>
      <c r="AX32" s="101">
        <f>((A7_A_L23*Sombra_A)+(A7_B_L23*Sombra_B)+(A7_C_L23*Sombra_C)+(A7_D_L23*Sombra_D)+(A7_Y_L23*Sombra_Y))*Inflación_7</f>
        <v>0</v>
      </c>
      <c r="AY32" s="101">
        <f>SUMIFS('9'!$E:$E,'9'!$A:$A,Año_Inicial+6,'9'!$B:$B,'12'!AX$4,'9'!$D:$D,"Manejo de sombra")</f>
        <v>0</v>
      </c>
      <c r="AZ32" s="101">
        <f>((A7_A_L24*Sombra_A)+(A7_B_L24*Sombra_B)+(A7_C_L24*Sombra_C)+(A7_D_L24*Sombra_D)+(A7_Y_L24*Sombra_Y))*Inflación_7</f>
        <v>0</v>
      </c>
      <c r="BA32" s="101">
        <f>SUMIFS('9'!$E:$E,'9'!$A:$A,Año_Inicial+6,'9'!$B:$B,'12'!AZ$4,'9'!$D:$D,"Manejo de sombra")</f>
        <v>0</v>
      </c>
      <c r="BB32" s="101">
        <f>((A7_A_L25*Sombra_A)+(A7_B_L25*Sombra_B)+(A7_C_L25*Sombra_C)+(A7_D_L25*Sombra_D)+(A7_Y_L25*Sombra_Y))*Inflación_7</f>
        <v>0</v>
      </c>
      <c r="BC32" s="101">
        <f>SUMIFS('9'!$E:$E,'9'!$A:$A,Año_Inicial+6,'9'!$B:$B,'12'!BB$4,'9'!$D:$D,"Manejo de sombra")</f>
        <v>0</v>
      </c>
      <c r="BD32" s="101">
        <f>((A7_A_L26*Sombra_A)+(A7_B_L26*Sombra_B)+(A7_C_L26*Sombra_C)+(A7_D_L26*Sombra_D)+(A7_Y_L26*Sombra_Y))*Inflación_7</f>
        <v>0</v>
      </c>
      <c r="BE32" s="101">
        <f>SUMIFS('9'!$E:$E,'9'!$A:$A,Año_Inicial+6,'9'!$B:$B,'12'!BD$4,'9'!$D:$D,"Manejo de sombra")</f>
        <v>0</v>
      </c>
      <c r="BF32" s="101">
        <f>((A7_A_L27*Sombra_A)+(A7_B_L27*Sombra_B)+(A7_C_L27*Sombra_C)+(A7_D_L27*Sombra_D)+(A7_Y_L27*Sombra_Y))*Inflación_7</f>
        <v>0</v>
      </c>
      <c r="BG32" s="101">
        <f>SUMIFS('9'!$E:$E,'9'!$A:$A,Año_Inicial+6,'9'!$B:$B,'12'!BF$4,'9'!$D:$D,"Manejo de sombra")</f>
        <v>0</v>
      </c>
      <c r="BH32" s="101">
        <f>((A7_A_L28*Sombra_A)+(A7_B_L28*Sombra_B)+(A7_C_L28*Sombra_C)+(A7_D_L28*Sombra_D)+(A7_Y_L28*Sombra_Y))*Inflación_7</f>
        <v>0</v>
      </c>
      <c r="BI32" s="101">
        <f>SUMIFS('9'!$E:$E,'9'!$A:$A,Año_Inicial+6,'9'!$B:$B,'12'!BH$4,'9'!$D:$D,"Manejo de sombra")</f>
        <v>0</v>
      </c>
      <c r="BJ32" s="101">
        <f>((A7_A_L29*Sombra_A)+(A7_B_L29*Sombra_B)+(A7_C_L29*Sombra_C)+(A7_D_L29*Sombra_D)+(A7_Y_L29*Sombra_Y))*Inflación_7</f>
        <v>0</v>
      </c>
      <c r="BK32" s="101">
        <f>SUMIFS('9'!$E:$E,'9'!$A:$A,Año_Inicial+6,'9'!$B:$B,'12'!BJ$4,'9'!$D:$D,"Manejo de sombra")</f>
        <v>0</v>
      </c>
      <c r="BL32" s="101">
        <f>((A7_A_L30*Sombra_A)+(A7_B_L30*Sombra_B)+(A7_C_L30*Sombra_C)+(A7_D_L30*Sombra_D)+(A7_Y_L30*Sombra_Y))*Inflación_7</f>
        <v>0</v>
      </c>
      <c r="BM32" s="101">
        <f>SUMIFS('9'!$E:$E,'9'!$A:$A,Año_Inicial+6,'9'!$B:$B,'12'!BL$4,'9'!$D:$D,"Manejo de sombra")</f>
        <v>0</v>
      </c>
      <c r="BN32" s="101">
        <f>((A7_A_L31*Sombra_A)+(A7_B_L31*Sombra_B)+(A7_C_L31*Sombra_C)+(A7_D_L31*Sombra_D)+(A7_Y_L31*Sombra_Y))*Inflación_7</f>
        <v>0</v>
      </c>
      <c r="BO32" s="101">
        <f>SUMIFS('9'!$E:$E,'9'!$A:$A,Año_Inicial+6,'9'!$B:$B,'12'!BN$4,'9'!$D:$D,"Manejo de sombra")</f>
        <v>0</v>
      </c>
      <c r="BP32" s="101">
        <f>((A7_A_L32*Sombra_A)+(A7_B_L32*Sombra_B)+(A7_C_L32*Sombra_C)+(A7_D_L32*Sombra_D)+(A7_Y_L32*Sombra_Y))*Inflación_7</f>
        <v>0</v>
      </c>
      <c r="BQ32" s="101">
        <f>SUMIFS('9'!$E:$E,'9'!$A:$A,Año_Inicial+6,'9'!$B:$B,'12'!BP$4,'9'!$D:$D,"Manejo de sombra")</f>
        <v>0</v>
      </c>
      <c r="BR32" s="101">
        <f>((A7_A_L33*Sombra_A)+(A7_B_L33*Sombra_B)+(A7_C_L33*Sombra_C)+(A7_D_L33*Sombra_D)+(A7_Y_L33*Sombra_Y))*Inflación_7</f>
        <v>0</v>
      </c>
      <c r="BS32" s="101">
        <f>SUMIFS('9'!$E:$E,'9'!$A:$A,Año_Inicial+6,'9'!$B:$B,'12'!BR$4,'9'!$D:$D,"Manejo de sombra")</f>
        <v>0</v>
      </c>
      <c r="BT32" s="101">
        <f>((A7_A_L34*Sombra_A)+(A7_B_L34*Sombra_B)+(A7_C_L34*Sombra_C)+(A7_D_L34*Sombra_D)+(A7_Y_L34*Sombra_Y))*Inflación_7</f>
        <v>0</v>
      </c>
      <c r="BU32" s="101">
        <f>SUMIFS('9'!$E:$E,'9'!$A:$A,Año_Inicial+6,'9'!$B:$B,'12'!BT$4,'9'!$D:$D,"Manejo de sombra")</f>
        <v>0</v>
      </c>
      <c r="BV32" s="101">
        <f>((A7_A_L35*Sombra_A)+(A7_B_L35*Sombra_B)+(A7_C_L35*Sombra_C)+(A7_D_L35*Sombra_D)+(A7_Y_L35*Sombra_Y))*Inflación_7</f>
        <v>0</v>
      </c>
      <c r="BW32" s="101">
        <f>SUMIFS('9'!$E:$E,'9'!$A:$A,Año_Inicial+6,'9'!$B:$B,'12'!BV$4,'9'!$D:$D,"Manejo de sombra")</f>
        <v>0</v>
      </c>
      <c r="BX32" s="101">
        <f>((A7_A_L36*Sombra_A)+(A7_B_L36*Sombra_B)+(A7_C_L36*Sombra_C)+(A7_D_L36*Sombra_D)+(A7_Y_L36*Sombra_Y))*Inflación_7</f>
        <v>0</v>
      </c>
      <c r="BY32" s="101">
        <f>SUMIFS('9'!$E:$E,'9'!$A:$A,Año_Inicial+6,'9'!$B:$B,'12'!BX$4,'9'!$D:$D,"Manejo de sombra")</f>
        <v>0</v>
      </c>
      <c r="BZ32" s="101">
        <f>((A7_A_L37*Sombra_A)+(A7_B_L37*Sombra_B)+(A7_C_L37*Sombra_C)+(A7_D_L37*Sombra_D)+(A7_Y_L37*Sombra_Y))*Inflación_7</f>
        <v>0</v>
      </c>
      <c r="CA32" s="101">
        <f>SUMIFS('9'!$E:$E,'9'!$A:$A,Año_Inicial+6,'9'!$B:$B,'12'!BZ$4,'9'!$D:$D,"Manejo de sombra")</f>
        <v>0</v>
      </c>
      <c r="CB32" s="101">
        <f>((A7_A_L38*Sombra_A)+(A7_B_L38*Sombra_B)+(A7_C_L38*Sombra_C)+(A7_D_L38*Sombra_D)+(A7_Y_L38*Sombra_Y))*Inflación_7</f>
        <v>0</v>
      </c>
      <c r="CC32" s="101">
        <f>SUMIFS('9'!$E:$E,'9'!$A:$A,Año_Inicial+6,'9'!$B:$B,'12'!CB$4,'9'!$D:$D,"Manejo de sombra")</f>
        <v>0</v>
      </c>
      <c r="CD32" s="101">
        <f>((A7_A_L39*Sombra_A)+(A7_B_L39*Sombra_B)+(A7_C_L39*Sombra_C)+(A7_D_L39*Sombra_D)+(A7_Y_L39*Sombra_Y))*Inflación_7</f>
        <v>0</v>
      </c>
      <c r="CE32" s="101">
        <f>SUMIFS('9'!$E:$E,'9'!$A:$A,Año_Inicial+6,'9'!$B:$B,'12'!CD$4,'9'!$D:$D,"Manejo de sombra")</f>
        <v>0</v>
      </c>
      <c r="CF32" s="101">
        <f>((A7_A_L40*Sombra_A)+(A7_B_L40*Sombra_B)+(A7_C_L40*Sombra_C)+(A7_D_L40*Sombra_D)+(A7_Y_L40*Sombra_Y))*Inflación_7</f>
        <v>0</v>
      </c>
      <c r="CG32" s="101">
        <f>SUMIFS('9'!$E:$E,'9'!$A:$A,Año_Inicial+6,'9'!$B:$B,'12'!CF$4,'9'!$D:$D,"Manejo de sombra")</f>
        <v>0</v>
      </c>
      <c r="CH32" s="473"/>
      <c r="CI32" s="101">
        <f>Plantas_A_A7*Sombra_A*Inflación_7</f>
        <v>0</v>
      </c>
      <c r="CJ32" s="101">
        <f>Plantas_B_A7*Sombra_B</f>
        <v>0</v>
      </c>
      <c r="CK32" s="101">
        <f>Plantas_C_A7*Sombra_C</f>
        <v>0</v>
      </c>
      <c r="CL32" s="101">
        <f>Plantas_D_A7*Sombra_D</f>
        <v>0</v>
      </c>
      <c r="CM32" s="101"/>
      <c r="CN32" s="101">
        <f>Plantas_Y_A7*Sombra_Y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SUMIFS('9'!$E:$E,'9'!$A:$A,Año_Inicial+6,'9'!$D:$D,"Conservación de suelos")</f>
        <v>0</v>
      </c>
      <c r="D33" s="100">
        <f t="shared" si="45"/>
        <v>0</v>
      </c>
      <c r="E33" s="473"/>
      <c r="F33" s="101">
        <f>((A7_A_L1*Conservación_A)+(A7_B_L1*Conservación_B)+(A7_C_L1*Conservación_C)+(A7_D_L1*Conservación_D)+(A7_Y_L1*Conservación_Y))*Inflación_7</f>
        <v>0</v>
      </c>
      <c r="G33" s="101">
        <f>SUMIFS('9'!$E:$E,'9'!$A:$A,Año_Inicial+6,'9'!$B:$B,'12'!F$4,'9'!$D:$D,"Conservación de suelos")</f>
        <v>0</v>
      </c>
      <c r="H33" s="101">
        <f>((A7_A_L2*Conservación_A)+(A7_B_L2*Conservación_B)+(A7_C_L2*Conservación_C)+(A7_D_L2*Conservación_D)+(A7_Y_L2*Conservación_Y))*Inflación_7</f>
        <v>0</v>
      </c>
      <c r="I33" s="101">
        <f>SUMIFS('9'!$E:$E,'9'!$A:$A,Año_Inicial+6,'9'!$B:$B,'12'!H$4,'9'!$D:$D,"Conservación de suelos")</f>
        <v>0</v>
      </c>
      <c r="J33" s="101">
        <f>((A7_A_L3*Conservación_A)+(A7_B_L3*Conservación_B)+(A7_C_L3*Conservación_C)+(A7_D_L3*Conservación_D)+(A7_Y_L3*Conservación_Y))*Inflación_7</f>
        <v>0</v>
      </c>
      <c r="K33" s="101">
        <f>SUMIFS('9'!$E:$E,'9'!$A:$A,Año_Inicial+6,'9'!$B:$B,'12'!J$4,'9'!$D:$D,"Conservación de suelos")</f>
        <v>0</v>
      </c>
      <c r="L33" s="101">
        <f>((A7_A_L4*Conservación_A)+(A7_B_L4*Conservación_B)+(A7_C_L4*Conservación_C)+(A7_D_L4*Conservación_D)+(A7_Y_L4*Conservación_Y))*Inflación_7</f>
        <v>0</v>
      </c>
      <c r="M33" s="101">
        <f>SUMIFS('9'!$E:$E,'9'!$A:$A,Año_Inicial+6,'9'!$B:$B,'12'!L$4,'9'!$D:$D,"Conservación de suelos")</f>
        <v>0</v>
      </c>
      <c r="N33" s="101">
        <f>((A7_A_L5*Conservación_A)+(A7_B_L5*Conservación_B)+(A7_C_L5*Conservación_C)+(A7_D_L5*Conservación_D)+(A7_Y_L5*Conservación_Y))*Inflación_7</f>
        <v>0</v>
      </c>
      <c r="O33" s="101">
        <f>SUMIFS('9'!$E:$E,'9'!$A:$A,Año_Inicial+6,'9'!$B:$B,'12'!N$4,'9'!$D:$D,"Conservación de suelos")</f>
        <v>0</v>
      </c>
      <c r="P33" s="101">
        <f>((A7_A_L6*Conservación_A)+(A7_B_L6*Conservación_B)+(A7_C_L6*Conservación_C)+(A7_D_L6*Conservación_D)+(A7_Y_L6*Conservación_Y))*Inflación_7</f>
        <v>0</v>
      </c>
      <c r="Q33" s="101">
        <f>SUMIFS('9'!$E:$E,'9'!$A:$A,Año_Inicial+6,'9'!$B:$B,'12'!P$4,'9'!$D:$D,"Conservación de suelos")</f>
        <v>0</v>
      </c>
      <c r="R33" s="101">
        <f>((A7_A_L7*Conservación_A)+(A7_B_L7*Conservación_B)+(A7_C_L7*Conservación_C)+(A7_D_L7*Conservación_D)+(A7_Y_L7*Conservación_Y))*Inflación_7</f>
        <v>0</v>
      </c>
      <c r="S33" s="101">
        <f>SUMIFS('9'!$E:$E,'9'!$A:$A,Año_Inicial+6,'9'!$B:$B,'12'!R$4,'9'!$D:$D,"Conservación de suelos")</f>
        <v>0</v>
      </c>
      <c r="T33" s="101">
        <f>((A7_A_L8*Conservación_A)+(A7_B_L8*Conservación_B)+(A7_C_L8*Conservación_C)+(A7_D_L8*Conservación_D)+(A7_Y_L8*Conservación_Y))*Inflación_7</f>
        <v>0</v>
      </c>
      <c r="U33" s="101">
        <f>SUMIFS('9'!$E:$E,'9'!$A:$A,Año_Inicial+6,'9'!$B:$B,'12'!T$4,'9'!$D:$D,"Conservación de suelos")</f>
        <v>0</v>
      </c>
      <c r="V33" s="101">
        <f>((A7_A_L9*Conservación_A)+(A7_B_L9*Conservación_B)+(A7_C_L9*Conservación_C)+(A7_D_L9*Conservación_D)+(A7_Y_L9*Conservación_Y))*Inflación_7</f>
        <v>0</v>
      </c>
      <c r="W33" s="101">
        <f>SUMIFS('9'!$E:$E,'9'!$A:$A,Año_Inicial+6,'9'!$B:$B,'12'!V$4,'9'!$D:$D,"Conservación de suelos")</f>
        <v>0</v>
      </c>
      <c r="X33" s="101">
        <f>((A7_A_L10*Conservación_A)+(A7_B_L10*Conservación_B)+(A7_C_L10*Conservación_C)+(A7_D_L10*Conservación_D)+(A7_Y_L10*Conservación_Y))*Inflación_7</f>
        <v>0</v>
      </c>
      <c r="Y33" s="101">
        <f>SUMIFS('9'!$E:$E,'9'!$A:$A,Año_Inicial+6,'9'!$B:$B,'12'!X$4,'9'!$D:$D,"Conservación de suelos")</f>
        <v>0</v>
      </c>
      <c r="Z33" s="101">
        <f>((A7_A_L11*Conservación_A)+(A7_B_L11*Conservación_B)+(A7_C_L11*Conservación_C)+(A7_D_L11*Conservación_D)+(A7_Y_L11*Conservación_Y))*Inflación_7</f>
        <v>0</v>
      </c>
      <c r="AA33" s="101">
        <f>SUMIFS('9'!$E:$E,'9'!$A:$A,Año_Inicial+6,'9'!$B:$B,'12'!Z$4,'9'!$D:$D,"Conservación de suelos")</f>
        <v>0</v>
      </c>
      <c r="AB33" s="101">
        <f>((A7_A_L12*Conservación_A)+(A7_B_L12*Conservación_B)+(A7_C_L12*Conservación_C)+(A7_D_L12*Conservación_D)+(A7_Y_L12*Conservación_Y))*Inflación_7</f>
        <v>0</v>
      </c>
      <c r="AC33" s="101">
        <f>SUMIFS('9'!$E:$E,'9'!$A:$A,Año_Inicial+6,'9'!$B:$B,'12'!AB$4,'9'!$D:$D,"Conservación de suelos")</f>
        <v>0</v>
      </c>
      <c r="AD33" s="101">
        <f>((A7_A_L13*Conservación_A)+(A7_B_L13*Conservación_B)+(A7_C_L13*Conservación_C)+(A7_D_L13*Conservación_D)+(A7_Y_L13*Conservación_Y))*Inflación_7</f>
        <v>0</v>
      </c>
      <c r="AE33" s="101">
        <f>SUMIFS('9'!$E:$E,'9'!$A:$A,Año_Inicial+6,'9'!$B:$B,'12'!AD$4,'9'!$D:$D,"Conservación de suelos")</f>
        <v>0</v>
      </c>
      <c r="AF33" s="101">
        <f>((A7_A_L14*Conservación_A)+(A7_B_L14*Conservación_B)+(A7_C_L14*Conservación_C)+(A7_D_L14*Conservación_D)+(A7_Y_L14*Conservación_Y))*Inflación_7</f>
        <v>0</v>
      </c>
      <c r="AG33" s="101">
        <f>SUMIFS('9'!$E:$E,'9'!$A:$A,Año_Inicial+6,'9'!$B:$B,'12'!AF$4,'9'!$D:$D,"Conservación de suelos")</f>
        <v>0</v>
      </c>
      <c r="AH33" s="101">
        <f>((A7_A_L15*Conservación_A)+(A7_B_L15*Conservación_B)+(A7_C_L15*Conservación_C)+(A7_D_L15*Conservación_D)+(A7_Y_L15*Conservación_Y))*Inflación_7</f>
        <v>0</v>
      </c>
      <c r="AI33" s="101">
        <f>SUMIFS('9'!$E:$E,'9'!$A:$A,Año_Inicial+6,'9'!$B:$B,'12'!AH$4,'9'!$D:$D,"Conservación de suelos")</f>
        <v>0</v>
      </c>
      <c r="AJ33" s="101">
        <f>((A7_A_L16*Conservación_A)+(A7_B_L16*Conservación_B)+(A7_C_L16*Conservación_C)+(A7_D_L16*Conservación_D)+(A7_Y_L16*Conservación_Y))*Inflación_7</f>
        <v>0</v>
      </c>
      <c r="AK33" s="101">
        <f>SUMIFS('9'!$E:$E,'9'!$A:$A,Año_Inicial+6,'9'!$B:$B,'12'!AJ$4,'9'!$D:$D,"Conservación de suelos")</f>
        <v>0</v>
      </c>
      <c r="AL33" s="101">
        <f>((A7_A_L17*Conservación_A)+(A7_B_L17*Conservación_B)+(A7_C_L17*Conservación_C)+(A7_D_L17*Conservación_D)+(A7_Y_L17*Conservación_Y))*Inflación_7</f>
        <v>0</v>
      </c>
      <c r="AM33" s="101">
        <f>SUMIFS('9'!$E:$E,'9'!$A:$A,Año_Inicial+6,'9'!$B:$B,'12'!AL$4,'9'!$D:$D,"Conservación de suelos")</f>
        <v>0</v>
      </c>
      <c r="AN33" s="101">
        <f>((A7_A_L18*Conservación_A)+(A7_B_L18*Conservación_B)+(A7_C_L18*Conservación_C)+(A7_D_L18*Conservación_D)+(A7_Y_L18*Conservación_Y))*Inflación_7</f>
        <v>0</v>
      </c>
      <c r="AO33" s="101">
        <f>SUMIFS('9'!$E:$E,'9'!$A:$A,Año_Inicial+6,'9'!$B:$B,'12'!AN$4,'9'!$D:$D,"Conservación de suelos")</f>
        <v>0</v>
      </c>
      <c r="AP33" s="101">
        <f>((A7_A_L19*Conservación_A)+(A7_B_L19*Conservación_B)+(A7_C_L19*Conservación_C)+(A7_D_L19*Conservación_D)+(A7_Y_L19*Conservación_Y))*Inflación_7</f>
        <v>0</v>
      </c>
      <c r="AQ33" s="101">
        <f>SUMIFS('9'!$E:$E,'9'!$A:$A,Año_Inicial+6,'9'!$B:$B,'12'!AP$4,'9'!$D:$D,"Conservación de suelos")</f>
        <v>0</v>
      </c>
      <c r="AR33" s="101">
        <f>((A7_A_L20*Conservación_A)+(A7_B_L20*Conservación_B)+(A7_C_L20*Conservación_C)+(A7_D_L20*Conservación_D)+(A7_Y_L20*Conservación_Y))*Inflación_7</f>
        <v>0</v>
      </c>
      <c r="AS33" s="101">
        <f>SUMIFS('9'!$E:$E,'9'!$A:$A,Año_Inicial+6,'9'!$B:$B,'12'!AR$4,'9'!$D:$D,"Conservación de suelos")</f>
        <v>0</v>
      </c>
      <c r="AT33" s="101">
        <f>((A7_A_L21*Conservación_A)+(A7_B_L21*Conservación_B)+(A7_C_L21*Conservación_C)+(A7_D_L21*Conservación_D)+(A7_Y_L21*Conservación_Y))*Inflación_7</f>
        <v>0</v>
      </c>
      <c r="AU33" s="101">
        <f>SUMIFS('9'!$E:$E,'9'!$A:$A,Año_Inicial+6,'9'!$B:$B,'12'!AT$4,'9'!$D:$D,"Conservación de suelos")</f>
        <v>0</v>
      </c>
      <c r="AV33" s="101">
        <f>((A7_A_L22*Conservación_A)+(A7_B_L22*Conservación_B)+(A7_C_L22*Conservación_C)+(A7_D_L22*Conservación_D)+(A7_Y_L22*Conservación_Y))*Inflación_7</f>
        <v>0</v>
      </c>
      <c r="AW33" s="101">
        <f>SUMIFS('9'!$E:$E,'9'!$A:$A,Año_Inicial+6,'9'!$B:$B,'12'!AV$4,'9'!$D:$D,"Conservación de suelos")</f>
        <v>0</v>
      </c>
      <c r="AX33" s="101">
        <f>((A7_A_L23*Conservación_A)+(A7_B_L23*Conservación_B)+(A7_C_L23*Conservación_C)+(A7_D_L23*Conservación_D)+(A7_Y_L23*Conservación_Y))*Inflación_7</f>
        <v>0</v>
      </c>
      <c r="AY33" s="101">
        <f>SUMIFS('9'!$E:$E,'9'!$A:$A,Año_Inicial+6,'9'!$B:$B,'12'!AX$4,'9'!$D:$D,"Conservación de suelos")</f>
        <v>0</v>
      </c>
      <c r="AZ33" s="101">
        <f>((A7_A_L24*Conservación_A)+(A7_B_L24*Conservación_B)+(A7_C_L24*Conservación_C)+(A7_D_L24*Conservación_D)+(A7_Y_L24*Conservación_Y))*Inflación_7</f>
        <v>0</v>
      </c>
      <c r="BA33" s="101">
        <f>SUMIFS('9'!$E:$E,'9'!$A:$A,Año_Inicial+6,'9'!$B:$B,'12'!AZ$4,'9'!$D:$D,"Conservación de suelos")</f>
        <v>0</v>
      </c>
      <c r="BB33" s="101">
        <f>((A7_A_L25*Conservación_A)+(A7_B_L25*Conservación_B)+(A7_C_L25*Conservación_C)+(A7_D_L25*Conservación_D)+(A7_Y_L25*Conservación_Y))*Inflación_7</f>
        <v>0</v>
      </c>
      <c r="BC33" s="101">
        <f>SUMIFS('9'!$E:$E,'9'!$A:$A,Año_Inicial+6,'9'!$B:$B,'12'!BB$4,'9'!$D:$D,"Conservación de suelos")</f>
        <v>0</v>
      </c>
      <c r="BD33" s="101">
        <f>((A7_A_L26*Conservación_A)+(A7_B_L26*Conservación_B)+(A7_C_L26*Conservación_C)+(A7_D_L26*Conservación_D)+(A7_Y_L26*Conservación_Y))*Inflación_7</f>
        <v>0</v>
      </c>
      <c r="BE33" s="101">
        <f>SUMIFS('9'!$E:$E,'9'!$A:$A,Año_Inicial+6,'9'!$B:$B,'12'!BD$4,'9'!$D:$D,"Conservación de suelos")</f>
        <v>0</v>
      </c>
      <c r="BF33" s="101">
        <f>((A7_A_L27*Conservación_A)+(A7_B_L27*Conservación_B)+(A7_C_L27*Conservación_C)+(A7_D_L27*Conservación_D)+(A7_Y_L27*Conservación_Y))*Inflación_7</f>
        <v>0</v>
      </c>
      <c r="BG33" s="101">
        <f>SUMIFS('9'!$E:$E,'9'!$A:$A,Año_Inicial+6,'9'!$B:$B,'12'!BF$4,'9'!$D:$D,"Conservación de suelos")</f>
        <v>0</v>
      </c>
      <c r="BH33" s="101">
        <f>((A7_A_L28*Conservación_A)+(A7_B_L28*Conservación_B)+(A7_C_L28*Conservación_C)+(A7_D_L28*Conservación_D)+(A7_Y_L28*Conservación_Y))*Inflación_7</f>
        <v>0</v>
      </c>
      <c r="BI33" s="101">
        <f>SUMIFS('9'!$E:$E,'9'!$A:$A,Año_Inicial+6,'9'!$B:$B,'12'!BH$4,'9'!$D:$D,"Conservación de suelos")</f>
        <v>0</v>
      </c>
      <c r="BJ33" s="101">
        <f>((A7_A_L29*Conservación_A)+(A7_B_L29*Conservación_B)+(A7_C_L29*Conservación_C)+(A7_D_L29*Conservación_D)+(A7_Y_L29*Conservación_Y))*Inflación_7</f>
        <v>0</v>
      </c>
      <c r="BK33" s="101">
        <f>SUMIFS('9'!$E:$E,'9'!$A:$A,Año_Inicial+6,'9'!$B:$B,'12'!BJ$4,'9'!$D:$D,"Conservación de suelos")</f>
        <v>0</v>
      </c>
      <c r="BL33" s="101">
        <f>((A7_A_L30*Conservación_A)+(A7_B_L30*Conservación_B)+(A7_C_L30*Conservación_C)+(A7_D_L30*Conservación_D)+(A7_Y_L30*Conservación_Y))*Inflación_7</f>
        <v>0</v>
      </c>
      <c r="BM33" s="101">
        <f>SUMIFS('9'!$E:$E,'9'!$A:$A,Año_Inicial+6,'9'!$B:$B,'12'!BL$4,'9'!$D:$D,"Conservación de suelos")</f>
        <v>0</v>
      </c>
      <c r="BN33" s="101">
        <f>((A7_A_L31*Conservación_A)+(A7_B_L31*Conservación_B)+(A7_C_L31*Conservación_C)+(A7_D_L31*Conservación_D)+(A7_Y_L31*Conservación_Y))*Inflación_7</f>
        <v>0</v>
      </c>
      <c r="BO33" s="101">
        <f>SUMIFS('9'!$E:$E,'9'!$A:$A,Año_Inicial+6,'9'!$B:$B,'12'!BN$4,'9'!$D:$D,"Conservación de suelos")</f>
        <v>0</v>
      </c>
      <c r="BP33" s="101">
        <f>((A7_A_L32*Conservación_A)+(A7_B_L32*Conservación_B)+(A7_C_L32*Conservación_C)+(A7_D_L32*Conservación_D)+(A7_Y_L32*Conservación_Y))*Inflación_7</f>
        <v>0</v>
      </c>
      <c r="BQ33" s="101">
        <f>SUMIFS('9'!$E:$E,'9'!$A:$A,Año_Inicial+6,'9'!$B:$B,'12'!BP$4,'9'!$D:$D,"Conservación de suelos")</f>
        <v>0</v>
      </c>
      <c r="BR33" s="101">
        <f>((A7_A_L33*Conservación_A)+(A7_B_L33*Conservación_B)+(A7_C_L33*Conservación_C)+(A7_D_L33*Conservación_D)+(A7_Y_L33*Conservación_Y))*Inflación_7</f>
        <v>0</v>
      </c>
      <c r="BS33" s="101">
        <f>SUMIFS('9'!$E:$E,'9'!$A:$A,Año_Inicial+6,'9'!$B:$B,'12'!BR$4,'9'!$D:$D,"Conservación de suelos")</f>
        <v>0</v>
      </c>
      <c r="BT33" s="101">
        <f>((A7_A_L34*Conservación_A)+(A7_B_L34*Conservación_B)+(A7_C_L34*Conservación_C)+(A7_D_L34*Conservación_D)+(A7_Y_L34*Conservación_Y))*Inflación_7</f>
        <v>0</v>
      </c>
      <c r="BU33" s="101">
        <f>SUMIFS('9'!$E:$E,'9'!$A:$A,Año_Inicial+6,'9'!$B:$B,'12'!BT$4,'9'!$D:$D,"Conservación de suelos")</f>
        <v>0</v>
      </c>
      <c r="BV33" s="101">
        <f>((A7_A_L35*Conservación_A)+(A7_B_L35*Conservación_B)+(A7_C_L35*Conservación_C)+(A7_D_L35*Conservación_D)+(A7_Y_L35*Conservación_Y))*Inflación_7</f>
        <v>0</v>
      </c>
      <c r="BW33" s="101">
        <f>SUMIFS('9'!$E:$E,'9'!$A:$A,Año_Inicial+6,'9'!$B:$B,'12'!BV$4,'9'!$D:$D,"Conservación de suelos")</f>
        <v>0</v>
      </c>
      <c r="BX33" s="101">
        <f>((A7_A_L36*Conservación_A)+(A7_B_L36*Conservación_B)+(A7_C_L36*Conservación_C)+(A7_D_L36*Conservación_D)+(A7_Y_L36*Conservación_Y))*Inflación_7</f>
        <v>0</v>
      </c>
      <c r="BY33" s="101">
        <f>SUMIFS('9'!$E:$E,'9'!$A:$A,Año_Inicial+6,'9'!$B:$B,'12'!BX$4,'9'!$D:$D,"Conservación de suelos")</f>
        <v>0</v>
      </c>
      <c r="BZ33" s="101">
        <f>((A7_A_L37*Conservación_A)+(A7_B_L37*Conservación_B)+(A7_C_L37*Conservación_C)+(A7_D_L37*Conservación_D)+(A7_Y_L37*Conservación_Y))*Inflación_7</f>
        <v>0</v>
      </c>
      <c r="CA33" s="101">
        <f>SUMIFS('9'!$E:$E,'9'!$A:$A,Año_Inicial+6,'9'!$B:$B,'12'!BZ$4,'9'!$D:$D,"Conservación de suelos")</f>
        <v>0</v>
      </c>
      <c r="CB33" s="101">
        <f>((A7_A_L38*Conservación_A)+(A7_B_L38*Conservación_B)+(A7_C_L38*Conservación_C)+(A7_D_L38*Conservación_D)+(A7_Y_L38*Conservación_Y))*Inflación_7</f>
        <v>0</v>
      </c>
      <c r="CC33" s="101">
        <f>SUMIFS('9'!$E:$E,'9'!$A:$A,Año_Inicial+6,'9'!$B:$B,'12'!CB$4,'9'!$D:$D,"Conservación de suelos")</f>
        <v>0</v>
      </c>
      <c r="CD33" s="101">
        <f>((A7_A_L39*Conservación_A)+(A7_B_L39*Conservación_B)+(A7_C_L39*Conservación_C)+(A7_D_L39*Conservación_D)+(A7_Y_L39*Conservación_Y))*Inflación_7</f>
        <v>0</v>
      </c>
      <c r="CE33" s="101">
        <f>SUMIFS('9'!$E:$E,'9'!$A:$A,Año_Inicial+6,'9'!$B:$B,'12'!CD$4,'9'!$D:$D,"Conservación de suelos")</f>
        <v>0</v>
      </c>
      <c r="CF33" s="101">
        <f>((A7_A_L40*Conservación_A)+(A7_B_L40*Conservación_B)+(A7_C_L40*Conservación_C)+(A7_D_L40*Conservación_D)+(A7_Y_L40*Conservación_Y))*Inflación_7</f>
        <v>0</v>
      </c>
      <c r="CG33" s="101">
        <f>SUMIFS('9'!$E:$E,'9'!$A:$A,Año_Inicial+6,'9'!$B:$B,'12'!CF$4,'9'!$D:$D,"Conservación de suelos")</f>
        <v>0</v>
      </c>
      <c r="CH33" s="473"/>
      <c r="CI33" s="101">
        <f>Plantas_A_A7*Conservación_A*Inflación_7</f>
        <v>0</v>
      </c>
      <c r="CJ33" s="101">
        <f>Plantas_B_A7*Conservación_B</f>
        <v>0</v>
      </c>
      <c r="CK33" s="101">
        <f>Plantas_C_A7*Conservación_C</f>
        <v>0</v>
      </c>
      <c r="CL33" s="101">
        <f>Plantas_D_A7*Conservación_D</f>
        <v>0</v>
      </c>
      <c r="CM33" s="101"/>
      <c r="CN33" s="101">
        <f>Plantas_Y_A7*Conservación_Y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SUMIFS('9'!$E:$E,'9'!$A:$A,Año_Inicial+6,'9'!$D:$D,"Otras actividades")</f>
        <v>0</v>
      </c>
      <c r="D34" s="100">
        <f t="shared" si="45"/>
        <v>0</v>
      </c>
      <c r="E34" s="473"/>
      <c r="F34" s="101">
        <f>((A7_A_L1*Otras_A)+(A7_B_L1*Otras_B)+(A7_C_L1*Otras_C)+(A7_D_L1*Otras_D)+(A7_Y_L1*Otras_Y))*Inflación_7</f>
        <v>0</v>
      </c>
      <c r="G34" s="101">
        <f>SUMIFS('9'!$E:$E,'9'!$A:$A,Año_Inicial+6,'9'!$B:$B,'12'!F$4,'9'!$D:$D,"Otras actividades")</f>
        <v>0</v>
      </c>
      <c r="H34" s="101">
        <f>((A7_A_L2*Otras_A)+(A7_B_L2*Otras_B)+(A7_C_L2*Otras_C)+(A7_D_L2*Otras_D)+(A7_Y_L2*Otras_Y))*Inflación_7</f>
        <v>0</v>
      </c>
      <c r="I34" s="101">
        <f>SUMIFS('9'!$E:$E,'9'!$A:$A,Año_Inicial+6,'9'!$B:$B,'12'!H$4,'9'!$D:$D,"Otras actividades")</f>
        <v>0</v>
      </c>
      <c r="J34" s="101">
        <f>((A7_A_L3*Otras_A)+(A7_B_L3*Otras_B)+(A7_C_L3*Otras_C)+(A7_D_L3*Otras_D)+(A7_Y_L3*Otras_Y))*Inflación_7</f>
        <v>0</v>
      </c>
      <c r="K34" s="101">
        <f>SUMIFS('9'!$E:$E,'9'!$A:$A,Año_Inicial+6,'9'!$B:$B,'12'!J$4,'9'!$D:$D,"Otras actividades")</f>
        <v>0</v>
      </c>
      <c r="L34" s="101">
        <f>((A7_A_L4*Otras_A)+(A7_B_L4*Otras_B)+(A7_C_L4*Otras_C)+(A7_D_L4*Otras_D)+(A7_Y_L4*Otras_Y))*Inflación_7</f>
        <v>0</v>
      </c>
      <c r="M34" s="101">
        <f>SUMIFS('9'!$E:$E,'9'!$A:$A,Año_Inicial+6,'9'!$B:$B,'12'!L$4,'9'!$D:$D,"Otras actividades")</f>
        <v>0</v>
      </c>
      <c r="N34" s="101">
        <f>((A7_A_L5*Otras_A)+(A7_B_L5*Otras_B)+(A7_C_L5*Otras_C)+(A7_D_L5*Otras_D)+(A7_Y_L5*Otras_Y))*Inflación_7</f>
        <v>0</v>
      </c>
      <c r="O34" s="101">
        <f>SUMIFS('9'!$E:$E,'9'!$A:$A,Año_Inicial+6,'9'!$B:$B,'12'!N$4,'9'!$D:$D,"Otras actividades")</f>
        <v>0</v>
      </c>
      <c r="P34" s="101">
        <f>((A7_A_L6*Otras_A)+(A7_B_L6*Otras_B)+(A7_C_L6*Otras_C)+(A7_D_L6*Otras_D)+(A7_Y_L6*Otras_Y))*Inflación_7</f>
        <v>0</v>
      </c>
      <c r="Q34" s="101">
        <f>SUMIFS('9'!$E:$E,'9'!$A:$A,Año_Inicial+6,'9'!$B:$B,'12'!P$4,'9'!$D:$D,"Otras actividades")</f>
        <v>0</v>
      </c>
      <c r="R34" s="101">
        <f>((A7_A_L7*Otras_A)+(A7_B_L7*Otras_B)+(A7_C_L7*Otras_C)+(A7_D_L7*Otras_D)+(A7_Y_L7*Otras_Y))*Inflación_7</f>
        <v>0</v>
      </c>
      <c r="S34" s="101">
        <f>SUMIFS('9'!$E:$E,'9'!$A:$A,Año_Inicial+6,'9'!$B:$B,'12'!R$4,'9'!$D:$D,"Otras actividades")</f>
        <v>0</v>
      </c>
      <c r="T34" s="101">
        <f>((A7_A_L8*Otras_A)+(A7_B_L8*Otras_B)+(A7_C_L8*Otras_C)+(A7_D_L8*Otras_D)+(A7_Y_L8*Otras_Y))*Inflación_7</f>
        <v>0</v>
      </c>
      <c r="U34" s="101">
        <f>SUMIFS('9'!$E:$E,'9'!$A:$A,Año_Inicial+6,'9'!$B:$B,'12'!T$4,'9'!$D:$D,"Otras actividades")</f>
        <v>0</v>
      </c>
      <c r="V34" s="101">
        <f>((A7_A_L9*Otras_A)+(A7_B_L9*Otras_B)+(A7_C_L9*Otras_C)+(A7_D_L9*Otras_D)+(A7_Y_L9*Otras_Y))*Inflación_7</f>
        <v>0</v>
      </c>
      <c r="W34" s="101">
        <f>SUMIFS('9'!$E:$E,'9'!$A:$A,Año_Inicial+6,'9'!$B:$B,'12'!V$4,'9'!$D:$D,"Otras actividades")</f>
        <v>0</v>
      </c>
      <c r="X34" s="101">
        <f>((A7_A_L10*Otras_A)+(A7_B_L10*Otras_B)+(A7_C_L10*Otras_C)+(A7_D_L10*Otras_D)+(A7_Y_L10*Otras_Y))*Inflación_7</f>
        <v>0</v>
      </c>
      <c r="Y34" s="101">
        <f>SUMIFS('9'!$E:$E,'9'!$A:$A,Año_Inicial+6,'9'!$B:$B,'12'!X$4,'9'!$D:$D,"Otras actividades")</f>
        <v>0</v>
      </c>
      <c r="Z34" s="101">
        <f>((A7_A_L11*Otras_A)+(A7_B_L11*Otras_B)+(A7_C_L11*Otras_C)+(A7_D_L11*Otras_D)+(A7_Y_L11*Otras_Y))*Inflación_7</f>
        <v>0</v>
      </c>
      <c r="AA34" s="101">
        <f>SUMIFS('9'!$E:$E,'9'!$A:$A,Año_Inicial+6,'9'!$B:$B,'12'!Z$4,'9'!$D:$D,"Otras actividades")</f>
        <v>0</v>
      </c>
      <c r="AB34" s="101">
        <f>((A7_A_L12*Otras_A)+(A7_B_L12*Otras_B)+(A7_C_L12*Otras_C)+(A7_D_L12*Otras_D)+(A7_Y_L12*Otras_Y))*Inflación_7</f>
        <v>0</v>
      </c>
      <c r="AC34" s="101">
        <f>SUMIFS('9'!$E:$E,'9'!$A:$A,Año_Inicial+6,'9'!$B:$B,'12'!AB$4,'9'!$D:$D,"Otras actividades")</f>
        <v>0</v>
      </c>
      <c r="AD34" s="101">
        <f>((A7_A_L13*Otras_A)+(A7_B_L13*Otras_B)+(A7_C_L13*Otras_C)+(A7_D_L13*Otras_D)+(A7_Y_L13*Otras_Y))*Inflación_7</f>
        <v>0</v>
      </c>
      <c r="AE34" s="101">
        <f>SUMIFS('9'!$E:$E,'9'!$A:$A,Año_Inicial+6,'9'!$B:$B,'12'!AD$4,'9'!$D:$D,"Otras actividades")</f>
        <v>0</v>
      </c>
      <c r="AF34" s="101">
        <f>((A7_A_L14*Otras_A)+(A7_B_L14*Otras_B)+(A7_C_L14*Otras_C)+(A7_D_L14*Otras_D)+(A7_Y_L14*Otras_Y))*Inflación_7</f>
        <v>0</v>
      </c>
      <c r="AG34" s="101">
        <f>SUMIFS('9'!$E:$E,'9'!$A:$A,Año_Inicial+6,'9'!$B:$B,'12'!AF$4,'9'!$D:$D,"Otras actividades")</f>
        <v>0</v>
      </c>
      <c r="AH34" s="101">
        <f>((A7_A_L15*Otras_A)+(A7_B_L15*Otras_B)+(A7_C_L15*Otras_C)+(A7_D_L15*Otras_D)+(A7_Y_L15*Otras_Y))*Inflación_7</f>
        <v>0</v>
      </c>
      <c r="AI34" s="101">
        <f>SUMIFS('9'!$E:$E,'9'!$A:$A,Año_Inicial+6,'9'!$B:$B,'12'!AH$4,'9'!$D:$D,"Otras actividades")</f>
        <v>0</v>
      </c>
      <c r="AJ34" s="101">
        <f>((A7_A_L16*Otras_A)+(A7_B_L16*Otras_B)+(A7_C_L16*Otras_C)+(A7_D_L16*Otras_D)+(A7_Y_L16*Otras_Y))*Inflación_7</f>
        <v>0</v>
      </c>
      <c r="AK34" s="101">
        <f>SUMIFS('9'!$E:$E,'9'!$A:$A,Año_Inicial+6,'9'!$B:$B,'12'!AJ$4,'9'!$D:$D,"Otras actividades")</f>
        <v>0</v>
      </c>
      <c r="AL34" s="101">
        <f>((A7_A_L17*Otras_A)+(A7_B_L17*Otras_B)+(A7_C_L17*Otras_C)+(A7_D_L17*Otras_D)+(A7_Y_L17*Otras_Y))*Inflación_7</f>
        <v>0</v>
      </c>
      <c r="AM34" s="101">
        <f>SUMIFS('9'!$E:$E,'9'!$A:$A,Año_Inicial+6,'9'!$B:$B,'12'!AL$4,'9'!$D:$D,"Otras actividades")</f>
        <v>0</v>
      </c>
      <c r="AN34" s="101">
        <f>((A7_A_L18*Otras_A)+(A7_B_L18*Otras_B)+(A7_C_L18*Otras_C)+(A7_D_L18*Otras_D)+(A7_Y_L18*Otras_Y))*Inflación_7</f>
        <v>0</v>
      </c>
      <c r="AO34" s="101">
        <f>SUMIFS('9'!$E:$E,'9'!$A:$A,Año_Inicial+6,'9'!$B:$B,'12'!AN$4,'9'!$D:$D,"Otras actividades")</f>
        <v>0</v>
      </c>
      <c r="AP34" s="101">
        <f>((A7_A_L19*Otras_A)+(A7_B_L19*Otras_B)+(A7_C_L19*Otras_C)+(A7_D_L19*Otras_D)+(A7_Y_L19*Otras_Y))*Inflación_7</f>
        <v>0</v>
      </c>
      <c r="AQ34" s="101">
        <f>SUMIFS('9'!$E:$E,'9'!$A:$A,Año_Inicial+6,'9'!$B:$B,'12'!AP$4,'9'!$D:$D,"Otras actividades")</f>
        <v>0</v>
      </c>
      <c r="AR34" s="101">
        <f>((A7_A_L20*Otras_A)+(A7_B_L20*Otras_B)+(A7_C_L20*Otras_C)+(A7_D_L20*Otras_D)+(A7_Y_L20*Otras_Y))*Inflación_7</f>
        <v>0</v>
      </c>
      <c r="AS34" s="101">
        <f>SUMIFS('9'!$E:$E,'9'!$A:$A,Año_Inicial+6,'9'!$B:$B,'12'!AR$4,'9'!$D:$D,"Otras actividades")</f>
        <v>0</v>
      </c>
      <c r="AT34" s="101">
        <f>((A7_A_L21*Otras_A)+(A7_B_L21*Otras_B)+(A7_C_L21*Otras_C)+(A7_D_L21*Otras_D)+(A7_Y_L21*Otras_Y))*Inflación_7</f>
        <v>0</v>
      </c>
      <c r="AU34" s="101">
        <f>SUMIFS('9'!$E:$E,'9'!$A:$A,Año_Inicial+6,'9'!$B:$B,'12'!AT$4,'9'!$D:$D,"Otras actividades")</f>
        <v>0</v>
      </c>
      <c r="AV34" s="101">
        <f>((A7_A_L22*Otras_A)+(A7_B_L22*Otras_B)+(A7_C_L22*Otras_C)+(A7_D_L22*Otras_D)+(A7_Y_L22*Otras_Y))*Inflación_7</f>
        <v>0</v>
      </c>
      <c r="AW34" s="101">
        <f>SUMIFS('9'!$E:$E,'9'!$A:$A,Año_Inicial+6,'9'!$B:$B,'12'!AV$4,'9'!$D:$D,"Otras actividades")</f>
        <v>0</v>
      </c>
      <c r="AX34" s="101">
        <f>((A7_A_L23*Otras_A)+(A7_B_L23*Otras_B)+(A7_C_L23*Otras_C)+(A7_D_L23*Otras_D)+(A7_Y_L23*Otras_Y))*Inflación_7</f>
        <v>0</v>
      </c>
      <c r="AY34" s="101">
        <f>SUMIFS('9'!$E:$E,'9'!$A:$A,Año_Inicial+6,'9'!$B:$B,'12'!AX$4,'9'!$D:$D,"Otras actividades")</f>
        <v>0</v>
      </c>
      <c r="AZ34" s="101">
        <f>((A7_A_L24*Otras_A)+(A7_B_L24*Otras_B)+(A7_C_L24*Otras_C)+(A7_D_L24*Otras_D)+(A7_Y_L24*Otras_Y))*Inflación_7</f>
        <v>0</v>
      </c>
      <c r="BA34" s="101">
        <f>SUMIFS('9'!$E:$E,'9'!$A:$A,Año_Inicial+6,'9'!$B:$B,'12'!AZ$4,'9'!$D:$D,"Otras actividades")</f>
        <v>0</v>
      </c>
      <c r="BB34" s="101">
        <f>((A7_A_L25*Otras_A)+(A7_B_L25*Otras_B)+(A7_C_L25*Otras_C)+(A7_D_L25*Otras_D)+(A7_Y_L25*Otras_Y))*Inflación_7</f>
        <v>0</v>
      </c>
      <c r="BC34" s="101">
        <f>SUMIFS('9'!$E:$E,'9'!$A:$A,Año_Inicial+6,'9'!$B:$B,'12'!BB$4,'9'!$D:$D,"Otras actividades")</f>
        <v>0</v>
      </c>
      <c r="BD34" s="101">
        <f>((A7_A_L26*Otras_A)+(A7_B_L26*Otras_B)+(A7_C_L26*Otras_C)+(A7_D_L26*Otras_D)+(A7_Y_L26*Otras_Y))*Inflación_7</f>
        <v>0</v>
      </c>
      <c r="BE34" s="101">
        <f>SUMIFS('9'!$E:$E,'9'!$A:$A,Año_Inicial+6,'9'!$B:$B,'12'!BD$4,'9'!$D:$D,"Otras actividades")</f>
        <v>0</v>
      </c>
      <c r="BF34" s="101">
        <f>((A7_A_L27*Otras_A)+(A7_B_L27*Otras_B)+(A7_C_L27*Otras_C)+(A7_D_L27*Otras_D)+(A7_Y_L27*Otras_Y))*Inflación_7</f>
        <v>0</v>
      </c>
      <c r="BG34" s="101">
        <f>SUMIFS('9'!$E:$E,'9'!$A:$A,Año_Inicial+6,'9'!$B:$B,'12'!BF$4,'9'!$D:$D,"Otras actividades")</f>
        <v>0</v>
      </c>
      <c r="BH34" s="101">
        <f>((A7_A_L28*Otras_A)+(A7_B_L28*Otras_B)+(A7_C_L28*Otras_C)+(A7_D_L28*Otras_D)+(A7_Y_L28*Otras_Y))*Inflación_7</f>
        <v>0</v>
      </c>
      <c r="BI34" s="101">
        <f>SUMIFS('9'!$E:$E,'9'!$A:$A,Año_Inicial+6,'9'!$B:$B,'12'!BH$4,'9'!$D:$D,"Otras actividades")</f>
        <v>0</v>
      </c>
      <c r="BJ34" s="101">
        <f>((A7_A_L29*Otras_A)+(A7_B_L29*Otras_B)+(A7_C_L29*Otras_C)+(A7_D_L29*Otras_D)+(A7_Y_L29*Otras_Y))*Inflación_7</f>
        <v>0</v>
      </c>
      <c r="BK34" s="101">
        <f>SUMIFS('9'!$E:$E,'9'!$A:$A,Año_Inicial+6,'9'!$B:$B,'12'!BJ$4,'9'!$D:$D,"Otras actividades")</f>
        <v>0</v>
      </c>
      <c r="BL34" s="101">
        <f>((A7_A_L30*Otras_A)+(A7_B_L30*Otras_B)+(A7_C_L30*Otras_C)+(A7_D_L30*Otras_D)+(A7_Y_L30*Otras_Y))*Inflación_7</f>
        <v>0</v>
      </c>
      <c r="BM34" s="101">
        <f>SUMIFS('9'!$E:$E,'9'!$A:$A,Año_Inicial+6,'9'!$B:$B,'12'!BL$4,'9'!$D:$D,"Otras actividades")</f>
        <v>0</v>
      </c>
      <c r="BN34" s="101">
        <f>((A7_A_L31*Otras_A)+(A7_B_L31*Otras_B)+(A7_C_L31*Otras_C)+(A7_D_L31*Otras_D)+(A7_Y_L31*Otras_Y))*Inflación_7</f>
        <v>0</v>
      </c>
      <c r="BO34" s="101">
        <f>SUMIFS('9'!$E:$E,'9'!$A:$A,Año_Inicial+6,'9'!$B:$B,'12'!BN$4,'9'!$D:$D,"Otras actividades")</f>
        <v>0</v>
      </c>
      <c r="BP34" s="101">
        <f>((A7_A_L32*Otras_A)+(A7_B_L32*Otras_B)+(A7_C_L32*Otras_C)+(A7_D_L32*Otras_D)+(A7_Y_L32*Otras_Y))*Inflación_7</f>
        <v>0</v>
      </c>
      <c r="BQ34" s="101">
        <f>SUMIFS('9'!$E:$E,'9'!$A:$A,Año_Inicial+6,'9'!$B:$B,'12'!BP$4,'9'!$D:$D,"Otras actividades")</f>
        <v>0</v>
      </c>
      <c r="BR34" s="101">
        <f>((A7_A_L33*Otras_A)+(A7_B_L33*Otras_B)+(A7_C_L33*Otras_C)+(A7_D_L33*Otras_D)+(A7_Y_L33*Otras_Y))*Inflación_7</f>
        <v>0</v>
      </c>
      <c r="BS34" s="101">
        <f>SUMIFS('9'!$E:$E,'9'!$A:$A,Año_Inicial+6,'9'!$B:$B,'12'!BR$4,'9'!$D:$D,"Otras actividades")</f>
        <v>0</v>
      </c>
      <c r="BT34" s="101">
        <f>((A7_A_L34*Otras_A)+(A7_B_L34*Otras_B)+(A7_C_L34*Otras_C)+(A7_D_L34*Otras_D)+(A7_Y_L34*Otras_Y))*Inflación_7</f>
        <v>0</v>
      </c>
      <c r="BU34" s="101">
        <f>SUMIFS('9'!$E:$E,'9'!$A:$A,Año_Inicial+6,'9'!$B:$B,'12'!BT$4,'9'!$D:$D,"Otras actividades")</f>
        <v>0</v>
      </c>
      <c r="BV34" s="101">
        <f>((A7_A_L35*Otras_A)+(A7_B_L35*Otras_B)+(A7_C_L35*Otras_C)+(A7_D_L35*Otras_D)+(A7_Y_L35*Otras_Y))*Inflación_7</f>
        <v>0</v>
      </c>
      <c r="BW34" s="101">
        <f>SUMIFS('9'!$E:$E,'9'!$A:$A,Año_Inicial+6,'9'!$B:$B,'12'!BV$4,'9'!$D:$D,"Otras actividades")</f>
        <v>0</v>
      </c>
      <c r="BX34" s="101">
        <f>((A7_A_L36*Otras_A)+(A7_B_L36*Otras_B)+(A7_C_L36*Otras_C)+(A7_D_L36*Otras_D)+(A7_Y_L36*Otras_Y))*Inflación_7</f>
        <v>0</v>
      </c>
      <c r="BY34" s="101">
        <f>SUMIFS('9'!$E:$E,'9'!$A:$A,Año_Inicial+6,'9'!$B:$B,'12'!BX$4,'9'!$D:$D,"Otras actividades")</f>
        <v>0</v>
      </c>
      <c r="BZ34" s="101">
        <f>((A7_A_L37*Otras_A)+(A7_B_L37*Otras_B)+(A7_C_L37*Otras_C)+(A7_D_L37*Otras_D)+(A7_Y_L37*Otras_Y))*Inflación_7</f>
        <v>0</v>
      </c>
      <c r="CA34" s="101">
        <f>SUMIFS('9'!$E:$E,'9'!$A:$A,Año_Inicial+6,'9'!$B:$B,'12'!BZ$4,'9'!$D:$D,"Otras actividades")</f>
        <v>0</v>
      </c>
      <c r="CB34" s="101">
        <f>((A7_A_L38*Otras_A)+(A7_B_L38*Otras_B)+(A7_C_L38*Otras_C)+(A7_D_L38*Otras_D)+(A7_Y_L38*Otras_Y))*Inflación_7</f>
        <v>0</v>
      </c>
      <c r="CC34" s="101">
        <f>SUMIFS('9'!$E:$E,'9'!$A:$A,Año_Inicial+6,'9'!$B:$B,'12'!CB$4,'9'!$D:$D,"Otras actividades")</f>
        <v>0</v>
      </c>
      <c r="CD34" s="101">
        <f>((A7_A_L39*Otras_A)+(A7_B_L39*Otras_B)+(A7_C_L39*Otras_C)+(A7_D_L39*Otras_D)+(A7_Y_L39*Otras_Y))*Inflación_7</f>
        <v>0</v>
      </c>
      <c r="CE34" s="101">
        <f>SUMIFS('9'!$E:$E,'9'!$A:$A,Año_Inicial+6,'9'!$B:$B,'12'!CD$4,'9'!$D:$D,"Otras actividades")</f>
        <v>0</v>
      </c>
      <c r="CF34" s="101">
        <f>((A7_A_L40*Otras_A)+(A7_B_L40*Otras_B)+(A7_C_L40*Otras_C)+(A7_D_L40*Otras_D)+(A7_Y_L40*Otras_Y))*Inflación_7</f>
        <v>0</v>
      </c>
      <c r="CG34" s="101">
        <f>SUMIFS('9'!$E:$E,'9'!$A:$A,Año_Inicial+6,'9'!$B:$B,'12'!CF$4,'9'!$D:$D,"Otras actividades")</f>
        <v>0</v>
      </c>
      <c r="CH34" s="473"/>
      <c r="CI34" s="101">
        <f>Plantas_A_A7*Otras_A*Inflación_7</f>
        <v>0</v>
      </c>
      <c r="CJ34" s="101">
        <f>Plantas_B_A7*Otras_B</f>
        <v>0</v>
      </c>
      <c r="CK34" s="101">
        <f>Plantas_C_A7*Otras_C</f>
        <v>0</v>
      </c>
      <c r="CL34" s="101">
        <f>Plantas_D_A7*Otras_D</f>
        <v>0</v>
      </c>
      <c r="CM34" s="101"/>
      <c r="CN34" s="101">
        <f>Plantas_Y_A7*Otras_Y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SUMIFS('9'!$E:$E,'9'!$A:$A,Año_Inicial+6,'9'!$D:$D,"Coadyuvantes")</f>
        <v>0</v>
      </c>
      <c r="D35" s="100">
        <f t="shared" si="45"/>
        <v>0</v>
      </c>
      <c r="E35" s="473"/>
      <c r="F35" s="101">
        <f>((A7_A_L1*Coad_A)+(A7_B_L1*Coad_B)+(A7_C_L1*Coad_C)+(A7_D_L1*Coad_D)+(A7_Y_L1*Coad_Y))*Inflación_7</f>
        <v>0</v>
      </c>
      <c r="G35" s="101">
        <f>SUMIFS('9'!$E:$E,'9'!$A:$A,Año_Inicial+6,'9'!$B:$B,'12'!F$4,'9'!$D:$D,"Coadyuvantes")</f>
        <v>0</v>
      </c>
      <c r="H35" s="101">
        <f>((A7_A_L2*Coad_A)+(A7_B_L2*Coad_B)+(A7_C_L2*Coad_C)+(A7_D_L2*Coad_D)+(A7_Y_L2*Coad_Y))*Inflación_7</f>
        <v>0</v>
      </c>
      <c r="I35" s="101">
        <f>SUMIFS('9'!$E:$E,'9'!$A:$A,Año_Inicial+6,'9'!$B:$B,'12'!H$4,'9'!$D:$D,"Coadyuvantes")</f>
        <v>0</v>
      </c>
      <c r="J35" s="101">
        <f>((A7_A_L3*Coad_A)+(A7_B_L3*Coad_B)+(A7_C_L3*Coad_C)+(A7_D_L3*Coad_D)+(A7_Y_L3*Coad_Y))*Inflación_7</f>
        <v>0</v>
      </c>
      <c r="K35" s="101">
        <f>SUMIFS('9'!$E:$E,'9'!$A:$A,Año_Inicial+6,'9'!$B:$B,'12'!J$4,'9'!$D:$D,"Coadyuvantes")</f>
        <v>0</v>
      </c>
      <c r="L35" s="101">
        <f>((A7_A_L4*Coad_A)+(A7_B_L4*Coad_B)+(A7_C_L4*Coad_C)+(A7_D_L4*Coad_D)+(A7_Y_L4*Coad_Y))*Inflación_7</f>
        <v>0</v>
      </c>
      <c r="M35" s="101">
        <f>SUMIFS('9'!$E:$E,'9'!$A:$A,Año_Inicial+6,'9'!$B:$B,'12'!L$4,'9'!$D:$D,"Coadyuvantes")</f>
        <v>0</v>
      </c>
      <c r="N35" s="101">
        <f>((A7_A_L5*Coad_A)+(A7_B_L5*Coad_B)+(A7_C_L5*Coad_C)+(A7_D_L5*Coad_D)+(A7_Y_L5*Coad_Y))*Inflación_7</f>
        <v>0</v>
      </c>
      <c r="O35" s="101">
        <f>SUMIFS('9'!$E:$E,'9'!$A:$A,Año_Inicial+6,'9'!$B:$B,'12'!N$4,'9'!$D:$D,"Coadyuvantes")</f>
        <v>0</v>
      </c>
      <c r="P35" s="101">
        <f>((A7_A_L6*Coad_A)+(A7_B_L6*Coad_B)+(A7_C_L6*Coad_C)+(A7_D_L6*Coad_D)+(A7_Y_L6*Coad_Y))*Inflación_7</f>
        <v>0</v>
      </c>
      <c r="Q35" s="101">
        <f>SUMIFS('9'!$E:$E,'9'!$A:$A,Año_Inicial+6,'9'!$B:$B,'12'!P$4,'9'!$D:$D,"Coadyuvantes")</f>
        <v>0</v>
      </c>
      <c r="R35" s="101">
        <f>((A7_A_L7*Coad_A)+(A7_B_L7*Coad_B)+(A7_C_L7*Coad_C)+(A7_D_L7*Coad_D)+(A7_Y_L7*Coad_Y))*Inflación_7</f>
        <v>0</v>
      </c>
      <c r="S35" s="101">
        <f>SUMIFS('9'!$E:$E,'9'!$A:$A,Año_Inicial+6,'9'!$B:$B,'12'!R$4,'9'!$D:$D,"Coadyuvantes")</f>
        <v>0</v>
      </c>
      <c r="T35" s="101">
        <f>((A7_A_L8*Coad_A)+(A7_B_L8*Coad_B)+(A7_C_L8*Coad_C)+(A7_D_L8*Coad_D)+(A7_Y_L8*Coad_Y))*Inflación_7</f>
        <v>0</v>
      </c>
      <c r="U35" s="101">
        <f>SUMIFS('9'!$E:$E,'9'!$A:$A,Año_Inicial+6,'9'!$B:$B,'12'!T$4,'9'!$D:$D,"Coadyuvantes")</f>
        <v>0</v>
      </c>
      <c r="V35" s="101">
        <f>((A7_A_L9*Coad_A)+(A7_B_L9*Coad_B)+(A7_C_L9*Coad_C)+(A7_D_L9*Coad_D)+(A7_Y_L9*Coad_Y))*Inflación_7</f>
        <v>0</v>
      </c>
      <c r="W35" s="101">
        <f>SUMIFS('9'!$E:$E,'9'!$A:$A,Año_Inicial+6,'9'!$B:$B,'12'!V$4,'9'!$D:$D,"Coadyuvantes")</f>
        <v>0</v>
      </c>
      <c r="X35" s="101">
        <f>((A7_A_L10*Coad_A)+(A7_B_L10*Coad_B)+(A7_C_L10*Coad_C)+(A7_D_L10*Coad_D)+(A7_Y_L10*Coad_Y))*Inflación_7</f>
        <v>0</v>
      </c>
      <c r="Y35" s="101">
        <f>SUMIFS('9'!$E:$E,'9'!$A:$A,Año_Inicial+6,'9'!$B:$B,'12'!X$4,'9'!$D:$D,"Coadyuvantes")</f>
        <v>0</v>
      </c>
      <c r="Z35" s="101">
        <f>((A7_A_L11*Coad_A)+(A7_B_L11*Coad_B)+(A7_C_L11*Coad_C)+(A7_D_L11*Coad_D)+(A7_Y_L11*Coad_Y))*Inflación_7</f>
        <v>0</v>
      </c>
      <c r="AA35" s="101">
        <f>SUMIFS('9'!$E:$E,'9'!$A:$A,Año_Inicial+6,'9'!$B:$B,'12'!Z$4,'9'!$D:$D,"Coadyuvantes")</f>
        <v>0</v>
      </c>
      <c r="AB35" s="101">
        <f>((A7_A_L12*Coad_A)+(A7_B_L12*Coad_B)+(A7_C_L12*Coad_C)+(A7_D_L12*Coad_D)+(A7_Y_L12*Coad_Y))*Inflación_7</f>
        <v>0</v>
      </c>
      <c r="AC35" s="101">
        <f>SUMIFS('9'!$E:$E,'9'!$A:$A,Año_Inicial+6,'9'!$B:$B,'12'!AB$4,'9'!$D:$D,"Coadyuvantes")</f>
        <v>0</v>
      </c>
      <c r="AD35" s="101">
        <f>((A7_A_L13*Coad_A)+(A7_B_L13*Coad_B)+(A7_C_L13*Coad_C)+(A7_D_L13*Coad_D)+(A7_Y_L13*Coad_Y))*Inflación_7</f>
        <v>0</v>
      </c>
      <c r="AE35" s="101">
        <f>SUMIFS('9'!$E:$E,'9'!$A:$A,Año_Inicial+6,'9'!$B:$B,'12'!AD$4,'9'!$D:$D,"Coadyuvantes")</f>
        <v>0</v>
      </c>
      <c r="AF35" s="101">
        <f>((A7_A_L14*Coad_A)+(A7_B_L14*Coad_B)+(A7_C_L14*Coad_C)+(A7_D_L14*Coad_D)+(A7_Y_L14*Coad_Y))*Inflación_7</f>
        <v>0</v>
      </c>
      <c r="AG35" s="101">
        <f>SUMIFS('9'!$E:$E,'9'!$A:$A,Año_Inicial+6,'9'!$B:$B,'12'!AF$4,'9'!$D:$D,"Coadyuvantes")</f>
        <v>0</v>
      </c>
      <c r="AH35" s="101">
        <f>((A7_A_L15*Coad_A)+(A7_B_L15*Coad_B)+(A7_C_L15*Coad_C)+(A7_D_L15*Coad_D)+(A7_Y_L15*Coad_Y))*Inflación_7</f>
        <v>0</v>
      </c>
      <c r="AI35" s="101">
        <f>SUMIFS('9'!$E:$E,'9'!$A:$A,Año_Inicial+6,'9'!$B:$B,'12'!AH$4,'9'!$D:$D,"Coadyuvantes")</f>
        <v>0</v>
      </c>
      <c r="AJ35" s="101">
        <f>((A7_A_L16*Coad_A)+(A7_B_L16*Coad_B)+(A7_C_L16*Coad_C)+(A7_D_L16*Coad_D)+(A7_Y_L16*Coad_Y))*Inflación_7</f>
        <v>0</v>
      </c>
      <c r="AK35" s="101">
        <f>SUMIFS('9'!$E:$E,'9'!$A:$A,Año_Inicial+6,'9'!$B:$B,'12'!AJ$4,'9'!$D:$D,"Coadyuvantes")</f>
        <v>0</v>
      </c>
      <c r="AL35" s="101">
        <f>((A7_A_L17*Coad_A)+(A7_B_L17*Coad_B)+(A7_C_L17*Coad_C)+(A7_D_L17*Coad_D)+(A7_Y_L17*Coad_Y))*Inflación_7</f>
        <v>0</v>
      </c>
      <c r="AM35" s="101">
        <f>SUMIFS('9'!$E:$E,'9'!$A:$A,Año_Inicial+6,'9'!$B:$B,'12'!AL$4,'9'!$D:$D,"Coadyuvantes")</f>
        <v>0</v>
      </c>
      <c r="AN35" s="101">
        <f>((A7_A_L18*Coad_A)+(A7_B_L18*Coad_B)+(A7_C_L18*Coad_C)+(A7_D_L18*Coad_D)+(A7_Y_L18*Coad_Y))*Inflación_7</f>
        <v>0</v>
      </c>
      <c r="AO35" s="101">
        <f>SUMIFS('9'!$E:$E,'9'!$A:$A,Año_Inicial+6,'9'!$B:$B,'12'!AN$4,'9'!$D:$D,"Coadyuvantes")</f>
        <v>0</v>
      </c>
      <c r="AP35" s="101">
        <f>((A7_A_L19*Coad_A)+(A7_B_L19*Coad_B)+(A7_C_L19*Coad_C)+(A7_D_L19*Coad_D)+(A7_Y_L19*Coad_Y))*Inflación_7</f>
        <v>0</v>
      </c>
      <c r="AQ35" s="101">
        <f>SUMIFS('9'!$E:$E,'9'!$A:$A,Año_Inicial+6,'9'!$B:$B,'12'!AP$4,'9'!$D:$D,"Coadyuvantes")</f>
        <v>0</v>
      </c>
      <c r="AR35" s="101">
        <f>((A7_A_L20*Coad_A)+(A7_B_L20*Coad_B)+(A7_C_L20*Coad_C)+(A7_D_L20*Coad_D)+(A7_Y_L20*Coad_Y))*Inflación_7</f>
        <v>0</v>
      </c>
      <c r="AS35" s="101">
        <f>SUMIFS('9'!$E:$E,'9'!$A:$A,Año_Inicial+6,'9'!$B:$B,'12'!AR$4,'9'!$D:$D,"Coadyuvantes")</f>
        <v>0</v>
      </c>
      <c r="AT35" s="101">
        <f>((A7_A_L21*Coad_A)+(A7_B_L21*Coad_B)+(A7_C_L21*Coad_C)+(A7_D_L21*Coad_D)+(A7_Y_L21*Coad_Y))*Inflación_7</f>
        <v>0</v>
      </c>
      <c r="AU35" s="101">
        <f>SUMIFS('9'!$E:$E,'9'!$A:$A,Año_Inicial+6,'9'!$B:$B,'12'!AT$4,'9'!$D:$D,"Coadyuvantes")</f>
        <v>0</v>
      </c>
      <c r="AV35" s="101">
        <f>((A7_A_L22*Coad_A)+(A7_B_L22*Coad_B)+(A7_C_L22*Coad_C)+(A7_D_L22*Coad_D)+(A7_Y_L22*Coad_Y))*Inflación_7</f>
        <v>0</v>
      </c>
      <c r="AW35" s="101">
        <f>SUMIFS('9'!$E:$E,'9'!$A:$A,Año_Inicial+6,'9'!$B:$B,'12'!AV$4,'9'!$D:$D,"Coadyuvantes")</f>
        <v>0</v>
      </c>
      <c r="AX35" s="101">
        <f>((A7_A_L23*Coad_A)+(A7_B_L23*Coad_B)+(A7_C_L23*Coad_C)+(A7_D_L23*Coad_D)+(A7_Y_L23*Coad_Y))*Inflación_7</f>
        <v>0</v>
      </c>
      <c r="AY35" s="101">
        <f>SUMIFS('9'!$E:$E,'9'!$A:$A,Año_Inicial+6,'9'!$B:$B,'12'!AX$4,'9'!$D:$D,"Coadyuvantes")</f>
        <v>0</v>
      </c>
      <c r="AZ35" s="101">
        <f>((A7_A_L24*Coad_A)+(A7_B_L24*Coad_B)+(A7_C_L24*Coad_C)+(A7_D_L24*Coad_D)+(A7_Y_L24*Coad_Y))*Inflación_7</f>
        <v>0</v>
      </c>
      <c r="BA35" s="101">
        <f>SUMIFS('9'!$E:$E,'9'!$A:$A,Año_Inicial+6,'9'!$B:$B,'12'!AZ$4,'9'!$D:$D,"Coadyuvantes")</f>
        <v>0</v>
      </c>
      <c r="BB35" s="101">
        <f>((A7_A_L25*Coad_A)+(A7_B_L25*Coad_B)+(A7_C_L25*Coad_C)+(A7_D_L25*Coad_D)+(A7_Y_L25*Coad_Y))*Inflación_7</f>
        <v>0</v>
      </c>
      <c r="BC35" s="101">
        <f>SUMIFS('9'!$E:$E,'9'!$A:$A,Año_Inicial+6,'9'!$B:$B,'12'!BB$4,'9'!$D:$D,"Coadyuvantes")</f>
        <v>0</v>
      </c>
      <c r="BD35" s="101">
        <f>((A7_A_L26*Coad_A)+(A7_B_L26*Coad_B)+(A7_C_L26*Coad_C)+(A7_D_L26*Coad_D)+(A7_Y_L26*Coad_Y))*Inflación_7</f>
        <v>0</v>
      </c>
      <c r="BE35" s="101">
        <f>SUMIFS('9'!$E:$E,'9'!$A:$A,Año_Inicial+6,'9'!$B:$B,'12'!BD$4,'9'!$D:$D,"Coadyuvantes")</f>
        <v>0</v>
      </c>
      <c r="BF35" s="101">
        <f>((A7_A_L27*Coad_A)+(A7_B_L27*Coad_B)+(A7_C_L27*Coad_C)+(A7_D_L27*Coad_D)+(A7_Y_L27*Coad_Y))*Inflación_7</f>
        <v>0</v>
      </c>
      <c r="BG35" s="101">
        <f>SUMIFS('9'!$E:$E,'9'!$A:$A,Año_Inicial+6,'9'!$B:$B,'12'!BF$4,'9'!$D:$D,"Coadyuvantes")</f>
        <v>0</v>
      </c>
      <c r="BH35" s="101">
        <f>((A7_A_L28*Coad_A)+(A7_B_L28*Coad_B)+(A7_C_L28*Coad_C)+(A7_D_L28*Coad_D)+(A7_Y_L28*Coad_Y))*Inflación_7</f>
        <v>0</v>
      </c>
      <c r="BI35" s="101">
        <f>SUMIFS('9'!$E:$E,'9'!$A:$A,Año_Inicial+6,'9'!$B:$B,'12'!BH$4,'9'!$D:$D,"Coadyuvantes")</f>
        <v>0</v>
      </c>
      <c r="BJ35" s="101">
        <f>((A7_A_L29*Coad_A)+(A7_B_L29*Coad_B)+(A7_C_L29*Coad_C)+(A7_D_L29*Coad_D)+(A7_Y_L29*Coad_Y))*Inflación_7</f>
        <v>0</v>
      </c>
      <c r="BK35" s="101">
        <f>SUMIFS('9'!$E:$E,'9'!$A:$A,Año_Inicial+6,'9'!$B:$B,'12'!BJ$4,'9'!$D:$D,"Coadyuvantes")</f>
        <v>0</v>
      </c>
      <c r="BL35" s="101">
        <f>((A7_A_L30*Coad_A)+(A7_B_L30*Coad_B)+(A7_C_L30*Coad_C)+(A7_D_L30*Coad_D)+(A7_Y_L30*Coad_Y))*Inflación_7</f>
        <v>0</v>
      </c>
      <c r="BM35" s="101">
        <f>SUMIFS('9'!$E:$E,'9'!$A:$A,Año_Inicial+6,'9'!$B:$B,'12'!BL$4,'9'!$D:$D,"Coadyuvantes")</f>
        <v>0</v>
      </c>
      <c r="BN35" s="101">
        <f>((A7_A_L31*Coad_A)+(A7_B_L31*Coad_B)+(A7_C_L31*Coad_C)+(A7_D_L31*Coad_D)+(A7_Y_L31*Coad_Y))*Inflación_7</f>
        <v>0</v>
      </c>
      <c r="BO35" s="101">
        <f>SUMIFS('9'!$E:$E,'9'!$A:$A,Año_Inicial+6,'9'!$B:$B,'12'!BN$4,'9'!$D:$D,"Coadyuvantes")</f>
        <v>0</v>
      </c>
      <c r="BP35" s="101">
        <f>((A7_A_L32*Coad_A)+(A7_B_L32*Coad_B)+(A7_C_L32*Coad_C)+(A7_D_L32*Coad_D)+(A7_Y_L32*Coad_Y))*Inflación_7</f>
        <v>0</v>
      </c>
      <c r="BQ35" s="101">
        <f>SUMIFS('9'!$E:$E,'9'!$A:$A,Año_Inicial+6,'9'!$B:$B,'12'!BP$4,'9'!$D:$D,"Coadyuvantes")</f>
        <v>0</v>
      </c>
      <c r="BR35" s="101">
        <f>((A7_A_L33*Coad_A)+(A7_B_L33*Coad_B)+(A7_C_L33*Coad_C)+(A7_D_L33*Coad_D)+(A7_Y_L33*Coad_Y))*Inflación_7</f>
        <v>0</v>
      </c>
      <c r="BS35" s="101">
        <f>SUMIFS('9'!$E:$E,'9'!$A:$A,Año_Inicial+6,'9'!$B:$B,'12'!BR$4,'9'!$D:$D,"Coadyuvantes")</f>
        <v>0</v>
      </c>
      <c r="BT35" s="101">
        <f>((A7_A_L34*Coad_A)+(A7_B_L34*Coad_B)+(A7_C_L34*Coad_C)+(A7_D_L34*Coad_D)+(A7_Y_L34*Coad_Y))*Inflación_7</f>
        <v>0</v>
      </c>
      <c r="BU35" s="101">
        <f>SUMIFS('9'!$E:$E,'9'!$A:$A,Año_Inicial+6,'9'!$B:$B,'12'!BT$4,'9'!$D:$D,"Coadyuvantes")</f>
        <v>0</v>
      </c>
      <c r="BV35" s="101">
        <f>((A7_A_L35*Coad_A)+(A7_B_L35*Coad_B)+(A7_C_L35*Coad_C)+(A7_D_L35*Coad_D)+(A7_Y_L35*Coad_Y))*Inflación_7</f>
        <v>0</v>
      </c>
      <c r="BW35" s="101">
        <f>SUMIFS('9'!$E:$E,'9'!$A:$A,Año_Inicial+6,'9'!$B:$B,'12'!BV$4,'9'!$D:$D,"Coadyuvantes")</f>
        <v>0</v>
      </c>
      <c r="BX35" s="101">
        <f>((A7_A_L36*Coad_A)+(A7_B_L36*Coad_B)+(A7_C_L36*Coad_C)+(A7_D_L36*Coad_D)+(A7_Y_L36*Coad_Y))*Inflación_7</f>
        <v>0</v>
      </c>
      <c r="BY35" s="101">
        <f>SUMIFS('9'!$E:$E,'9'!$A:$A,Año_Inicial+6,'9'!$B:$B,'12'!BX$4,'9'!$D:$D,"Coadyuvantes")</f>
        <v>0</v>
      </c>
      <c r="BZ35" s="101">
        <f>((A7_A_L37*Coad_A)+(A7_B_L37*Coad_B)+(A7_C_L37*Coad_C)+(A7_D_L37*Coad_D)+(A7_Y_L37*Coad_Y))*Inflación_7</f>
        <v>0</v>
      </c>
      <c r="CA35" s="101">
        <f>SUMIFS('9'!$E:$E,'9'!$A:$A,Año_Inicial+6,'9'!$B:$B,'12'!BZ$4,'9'!$D:$D,"Coadyuvantes")</f>
        <v>0</v>
      </c>
      <c r="CB35" s="101">
        <f>((A7_A_L38*Coad_A)+(A7_B_L38*Coad_B)+(A7_C_L38*Coad_C)+(A7_D_L38*Coad_D)+(A7_Y_L38*Coad_Y))*Inflación_7</f>
        <v>0</v>
      </c>
      <c r="CC35" s="101">
        <f>SUMIFS('9'!$E:$E,'9'!$A:$A,Año_Inicial+6,'9'!$B:$B,'12'!CB$4,'9'!$D:$D,"Coadyuvantes")</f>
        <v>0</v>
      </c>
      <c r="CD35" s="101">
        <f>((A7_A_L39*Coad_A)+(A7_B_L39*Coad_B)+(A7_C_L39*Coad_C)+(A7_D_L39*Coad_D)+(A7_Y_L39*Coad_Y))*Inflación_7</f>
        <v>0</v>
      </c>
      <c r="CE35" s="101">
        <f>SUMIFS('9'!$E:$E,'9'!$A:$A,Año_Inicial+6,'9'!$B:$B,'12'!CD$4,'9'!$D:$D,"Coadyuvantes")</f>
        <v>0</v>
      </c>
      <c r="CF35" s="101">
        <f>((A7_A_L40*Coad_A)+(A7_B_L40*Coad_B)+(A7_C_L40*Coad_C)+(A7_D_L40*Coad_D)+(A7_Y_L40*Coad_Y))*Inflación_7</f>
        <v>0</v>
      </c>
      <c r="CG35" s="101">
        <f>SUMIFS('9'!$E:$E,'9'!$A:$A,Año_Inicial+6,'9'!$B:$B,'12'!CF$4,'9'!$D:$D,"Coadyuvantes")</f>
        <v>0</v>
      </c>
      <c r="CH35" s="473"/>
      <c r="CI35" s="101">
        <f>Plantas_A_A7*Coad_A*Inflación_7</f>
        <v>0</v>
      </c>
      <c r="CJ35" s="101">
        <f>Plantas_B_A7*Coad_B</f>
        <v>0</v>
      </c>
      <c r="CK35" s="101">
        <f>Plantas_C_A7*Coad_C</f>
        <v>0</v>
      </c>
      <c r="CL35" s="101">
        <f>Plantas_D_A7*Coad_D</f>
        <v>0</v>
      </c>
      <c r="CM35" s="101"/>
      <c r="CN35" s="101">
        <f>Plantas_Y_A7*Coad_Y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SUMIFS('9'!$E:$E,'9'!$A:$A,Año_Inicial+6,'9'!$D:$D,"Otro insumo 1*")</f>
        <v>0</v>
      </c>
      <c r="D36" s="100">
        <f t="shared" si="45"/>
        <v>0</v>
      </c>
      <c r="E36" s="473"/>
      <c r="F36" s="101">
        <f>((A7_A_L1*Otro1_A)+(A7_B_L1*Otro1_B)+(A7_C_L1*Otro1_C)+(A7_D_L1*Otro1_D)+(A7_Y_L1*Otro1_Y))*Inflación_7</f>
        <v>0</v>
      </c>
      <c r="G36" s="101">
        <f>SUMIFS('9'!$E:$E,'9'!$A:$A,Año_Inicial+6,'9'!$B:$B,'12'!F$4,'9'!$D:$D,"Otro insumo 1*")</f>
        <v>0</v>
      </c>
      <c r="H36" s="101">
        <f>((A7_A_L2*Otro1_A)+(A7_B_L2*Otro1_B)+(A7_C_L2*Otro1_C)+(A7_D_L2*Otro1_D)+(A7_Y_L2*Otro1_Y))*Inflación_7</f>
        <v>0</v>
      </c>
      <c r="I36" s="101">
        <f>SUMIFS('9'!$E:$E,'9'!$A:$A,Año_Inicial+6,'9'!$B:$B,'12'!H$4,'9'!$D:$D,"Otro insumo 1*")</f>
        <v>0</v>
      </c>
      <c r="J36" s="101">
        <f>((A7_A_L3*Otro1_A)+(A7_B_L3*Otro1_B)+(A7_C_L3*Otro1_C)+(A7_D_L3*Otro1_D)+(A7_Y_L3*Otro1_Y))*Inflación_7</f>
        <v>0</v>
      </c>
      <c r="K36" s="101">
        <f>SUMIFS('9'!$E:$E,'9'!$A:$A,Año_Inicial+6,'9'!$B:$B,'12'!J$4,'9'!$D:$D,"Otro insumo 1*")</f>
        <v>0</v>
      </c>
      <c r="L36" s="101">
        <f>((A7_A_L4*Otro1_A)+(A7_B_L4*Otro1_B)+(A7_C_L4*Otro1_C)+(A7_D_L4*Otro1_D)+(A7_Y_L4*Otro1_Y))*Inflación_7</f>
        <v>0</v>
      </c>
      <c r="M36" s="101">
        <f>SUMIFS('9'!$E:$E,'9'!$A:$A,Año_Inicial+6,'9'!$B:$B,'12'!L$4,'9'!$D:$D,"Otro insumo 1*")</f>
        <v>0</v>
      </c>
      <c r="N36" s="101">
        <f>((A7_A_L5*Otro1_A)+(A7_B_L5*Otro1_B)+(A7_C_L5*Otro1_C)+(A7_D_L5*Otro1_D)+(A7_Y_L5*Otro1_Y))*Inflación_7</f>
        <v>0</v>
      </c>
      <c r="O36" s="101">
        <f>SUMIFS('9'!$E:$E,'9'!$A:$A,Año_Inicial+6,'9'!$B:$B,'12'!N$4,'9'!$D:$D,"Otro insumo 1*")</f>
        <v>0</v>
      </c>
      <c r="P36" s="101">
        <f>((A7_A_L6*Otro1_A)+(A7_B_L6*Otro1_B)+(A7_C_L6*Otro1_C)+(A7_D_L6*Otro1_D)+(A7_Y_L6*Otro1_Y))*Inflación_7</f>
        <v>0</v>
      </c>
      <c r="Q36" s="101">
        <f>SUMIFS('9'!$E:$E,'9'!$A:$A,Año_Inicial+6,'9'!$B:$B,'12'!P$4,'9'!$D:$D,"Otro insumo 1*")</f>
        <v>0</v>
      </c>
      <c r="R36" s="101">
        <f>((A7_A_L7*Otro1_A)+(A7_B_L7*Otro1_B)+(A7_C_L7*Otro1_C)+(A7_D_L7*Otro1_D)+(A7_Y_L7*Otro1_Y))*Inflación_7</f>
        <v>0</v>
      </c>
      <c r="S36" s="101">
        <f>SUMIFS('9'!$E:$E,'9'!$A:$A,Año_Inicial+6,'9'!$B:$B,'12'!R$4,'9'!$D:$D,"Otro insumo 1*")</f>
        <v>0</v>
      </c>
      <c r="T36" s="101">
        <f>((A7_A_L8*Otro1_A)+(A7_B_L8*Otro1_B)+(A7_C_L8*Otro1_C)+(A7_D_L8*Otro1_D)+(A7_Y_L8*Otro1_Y))*Inflación_7</f>
        <v>0</v>
      </c>
      <c r="U36" s="101">
        <f>SUMIFS('9'!$E:$E,'9'!$A:$A,Año_Inicial+6,'9'!$B:$B,'12'!T$4,'9'!$D:$D,"Otro insumo 1*")</f>
        <v>0</v>
      </c>
      <c r="V36" s="101">
        <f>((A7_A_L9*Otro1_A)+(A7_B_L9*Otro1_B)+(A7_C_L9*Otro1_C)+(A7_D_L9*Otro1_D)+(A7_Y_L9*Otro1_Y))*Inflación_7</f>
        <v>0</v>
      </c>
      <c r="W36" s="101">
        <f>SUMIFS('9'!$E:$E,'9'!$A:$A,Año_Inicial+6,'9'!$B:$B,'12'!V$4,'9'!$D:$D,"Otro insumo 1*")</f>
        <v>0</v>
      </c>
      <c r="X36" s="101">
        <f>((A7_A_L10*Otro1_A)+(A7_B_L10*Otro1_B)+(A7_C_L10*Otro1_C)+(A7_D_L10*Otro1_D)+(A7_Y_L10*Otro1_Y))*Inflación_7</f>
        <v>0</v>
      </c>
      <c r="Y36" s="101">
        <f>SUMIFS('9'!$E:$E,'9'!$A:$A,Año_Inicial+6,'9'!$B:$B,'12'!X$4,'9'!$D:$D,"Otro insumo 1*")</f>
        <v>0</v>
      </c>
      <c r="Z36" s="101">
        <f>((A7_A_L11*Otro1_A)+(A7_B_L11*Otro1_B)+(A7_C_L11*Otro1_C)+(A7_D_L11*Otro1_D)+(A7_Y_L11*Otro1_Y))*Inflación_7</f>
        <v>0</v>
      </c>
      <c r="AA36" s="101">
        <f>SUMIFS('9'!$E:$E,'9'!$A:$A,Año_Inicial+6,'9'!$B:$B,'12'!Z$4,'9'!$D:$D,"Otro insumo 1*")</f>
        <v>0</v>
      </c>
      <c r="AB36" s="101">
        <f>((A7_A_L12*Otro1_A)+(A7_B_L12*Otro1_B)+(A7_C_L12*Otro1_C)+(A7_D_L12*Otro1_D)+(A7_Y_L12*Otro1_Y))*Inflación_7</f>
        <v>0</v>
      </c>
      <c r="AC36" s="101">
        <f>SUMIFS('9'!$E:$E,'9'!$A:$A,Año_Inicial+6,'9'!$B:$B,'12'!AB$4,'9'!$D:$D,"Otro insumo 1*")</f>
        <v>0</v>
      </c>
      <c r="AD36" s="101">
        <f>((A7_A_L13*Otro1_A)+(A7_B_L13*Otro1_B)+(A7_C_L13*Otro1_C)+(A7_D_L13*Otro1_D)+(A7_Y_L13*Otro1_Y))*Inflación_7</f>
        <v>0</v>
      </c>
      <c r="AE36" s="101">
        <f>SUMIFS('9'!$E:$E,'9'!$A:$A,Año_Inicial+6,'9'!$B:$B,'12'!AD$4,'9'!$D:$D,"Otro insumo 1*")</f>
        <v>0</v>
      </c>
      <c r="AF36" s="101">
        <f>((A7_A_L14*Otro1_A)+(A7_B_L14*Otro1_B)+(A7_C_L14*Otro1_C)+(A7_D_L14*Otro1_D)+(A7_Y_L14*Otro1_Y))*Inflación_7</f>
        <v>0</v>
      </c>
      <c r="AG36" s="101">
        <f>SUMIFS('9'!$E:$E,'9'!$A:$A,Año_Inicial+6,'9'!$B:$B,'12'!AF$4,'9'!$D:$D,"Otro insumo 1*")</f>
        <v>0</v>
      </c>
      <c r="AH36" s="101">
        <f>((A7_A_L15*Otro1_A)+(A7_B_L15*Otro1_B)+(A7_C_L15*Otro1_C)+(A7_D_L15*Otro1_D)+(A7_Y_L15*Otro1_Y))*Inflación_7</f>
        <v>0</v>
      </c>
      <c r="AI36" s="101">
        <f>SUMIFS('9'!$E:$E,'9'!$A:$A,Año_Inicial+6,'9'!$B:$B,'12'!AH$4,'9'!$D:$D,"Otro insumo 1*")</f>
        <v>0</v>
      </c>
      <c r="AJ36" s="101">
        <f>((A7_A_L16*Otro1_A)+(A7_B_L16*Otro1_B)+(A7_C_L16*Otro1_C)+(A7_D_L16*Otro1_D)+(A7_Y_L16*Otro1_Y))*Inflación_7</f>
        <v>0</v>
      </c>
      <c r="AK36" s="101">
        <f>SUMIFS('9'!$E:$E,'9'!$A:$A,Año_Inicial+6,'9'!$B:$B,'12'!AJ$4,'9'!$D:$D,"Otro insumo 1*")</f>
        <v>0</v>
      </c>
      <c r="AL36" s="101">
        <f>((A7_A_L17*Otro1_A)+(A7_B_L17*Otro1_B)+(A7_C_L17*Otro1_C)+(A7_D_L17*Otro1_D)+(A7_Y_L17*Otro1_Y))*Inflación_7</f>
        <v>0</v>
      </c>
      <c r="AM36" s="101">
        <f>SUMIFS('9'!$E:$E,'9'!$A:$A,Año_Inicial+6,'9'!$B:$B,'12'!AL$4,'9'!$D:$D,"Otro insumo 1*")</f>
        <v>0</v>
      </c>
      <c r="AN36" s="101">
        <f>((A7_A_L18*Otro1_A)+(A7_B_L18*Otro1_B)+(A7_C_L18*Otro1_C)+(A7_D_L18*Otro1_D)+(A7_Y_L18*Otro1_Y))*Inflación_7</f>
        <v>0</v>
      </c>
      <c r="AO36" s="101">
        <f>SUMIFS('9'!$E:$E,'9'!$A:$A,Año_Inicial+6,'9'!$B:$B,'12'!AN$4,'9'!$D:$D,"Otro insumo 1*")</f>
        <v>0</v>
      </c>
      <c r="AP36" s="101">
        <f>((A7_A_L19*Otro1_A)+(A7_B_L19*Otro1_B)+(A7_C_L19*Otro1_C)+(A7_D_L19*Otro1_D)+(A7_Y_L19*Otro1_Y))*Inflación_7</f>
        <v>0</v>
      </c>
      <c r="AQ36" s="101">
        <f>SUMIFS('9'!$E:$E,'9'!$A:$A,Año_Inicial+6,'9'!$B:$B,'12'!AP$4,'9'!$D:$D,"Otro insumo 1*")</f>
        <v>0</v>
      </c>
      <c r="AR36" s="101">
        <f>((A7_A_L20*Otro1_A)+(A7_B_L20*Otro1_B)+(A7_C_L20*Otro1_C)+(A7_D_L20*Otro1_D)+(A7_Y_L20*Otro1_Y))*Inflación_7</f>
        <v>0</v>
      </c>
      <c r="AS36" s="101">
        <f>SUMIFS('9'!$E:$E,'9'!$A:$A,Año_Inicial+6,'9'!$B:$B,'12'!AR$4,'9'!$D:$D,"Otro insumo 1*")</f>
        <v>0</v>
      </c>
      <c r="AT36" s="101">
        <f>((A7_A_L21*Otro1_A)+(A7_B_L21*Otro1_B)+(A7_C_L21*Otro1_C)+(A7_D_L21*Otro1_D)+(A7_Y_L21*Otro1_Y))*Inflación_7</f>
        <v>0</v>
      </c>
      <c r="AU36" s="101">
        <f>SUMIFS('9'!$E:$E,'9'!$A:$A,Año_Inicial+6,'9'!$B:$B,'12'!AT$4,'9'!$D:$D,"Otro insumo 1*")</f>
        <v>0</v>
      </c>
      <c r="AV36" s="101">
        <f>((A7_A_L22*Otro1_A)+(A7_B_L22*Otro1_B)+(A7_C_L22*Otro1_C)+(A7_D_L22*Otro1_D)+(A7_Y_L22*Otro1_Y))*Inflación_7</f>
        <v>0</v>
      </c>
      <c r="AW36" s="101">
        <f>SUMIFS('9'!$E:$E,'9'!$A:$A,Año_Inicial+6,'9'!$B:$B,'12'!AV$4,'9'!$D:$D,"Otro insumo 1*")</f>
        <v>0</v>
      </c>
      <c r="AX36" s="101">
        <f>((A7_A_L23*Otro1_A)+(A7_B_L23*Otro1_B)+(A7_C_L23*Otro1_C)+(A7_D_L23*Otro1_D)+(A7_Y_L23*Otro1_Y))*Inflación_7</f>
        <v>0</v>
      </c>
      <c r="AY36" s="101">
        <f>SUMIFS('9'!$E:$E,'9'!$A:$A,Año_Inicial+6,'9'!$B:$B,'12'!AX$4,'9'!$D:$D,"Otro insumo 1*")</f>
        <v>0</v>
      </c>
      <c r="AZ36" s="101">
        <f>((A7_A_L24*Otro1_A)+(A7_B_L24*Otro1_B)+(A7_C_L24*Otro1_C)+(A7_D_L24*Otro1_D)+(A7_Y_L24*Otro1_Y))*Inflación_7</f>
        <v>0</v>
      </c>
      <c r="BA36" s="101">
        <f>SUMIFS('9'!$E:$E,'9'!$A:$A,Año_Inicial+6,'9'!$B:$B,'12'!AZ$4,'9'!$D:$D,"Otro insumo 1*")</f>
        <v>0</v>
      </c>
      <c r="BB36" s="101">
        <f>((A7_A_L25*Otro1_A)+(A7_B_L25*Otro1_B)+(A7_C_L25*Otro1_C)+(A7_D_L25*Otro1_D)+(A7_Y_L25*Otro1_Y))*Inflación_7</f>
        <v>0</v>
      </c>
      <c r="BC36" s="101">
        <f>SUMIFS('9'!$E:$E,'9'!$A:$A,Año_Inicial+6,'9'!$B:$B,'12'!BB$4,'9'!$D:$D,"Otro insumo 1*")</f>
        <v>0</v>
      </c>
      <c r="BD36" s="101">
        <f>((A7_A_L26*Otro1_A)+(A7_B_L26*Otro1_B)+(A7_C_L26*Otro1_C)+(A7_D_L26*Otro1_D)+(A7_Y_L26*Otro1_Y))*Inflación_7</f>
        <v>0</v>
      </c>
      <c r="BE36" s="101">
        <f>SUMIFS('9'!$E:$E,'9'!$A:$A,Año_Inicial+6,'9'!$B:$B,'12'!BD$4,'9'!$D:$D,"Otro insumo 1*")</f>
        <v>0</v>
      </c>
      <c r="BF36" s="101">
        <f>((A7_A_L27*Otro1_A)+(A7_B_L27*Otro1_B)+(A7_C_L27*Otro1_C)+(A7_D_L27*Otro1_D)+(A7_Y_L27*Otro1_Y))*Inflación_7</f>
        <v>0</v>
      </c>
      <c r="BG36" s="101">
        <f>SUMIFS('9'!$E:$E,'9'!$A:$A,Año_Inicial+6,'9'!$B:$B,'12'!BF$4,'9'!$D:$D,"Otro insumo 1*")</f>
        <v>0</v>
      </c>
      <c r="BH36" s="101">
        <f>((A7_A_L28*Otro1_A)+(A7_B_L28*Otro1_B)+(A7_C_L28*Otro1_C)+(A7_D_L28*Otro1_D)+(A7_Y_L28*Otro1_Y))*Inflación_7</f>
        <v>0</v>
      </c>
      <c r="BI36" s="101">
        <f>SUMIFS('9'!$E:$E,'9'!$A:$A,Año_Inicial+6,'9'!$B:$B,'12'!BH$4,'9'!$D:$D,"Otro insumo 1*")</f>
        <v>0</v>
      </c>
      <c r="BJ36" s="101">
        <f>((A7_A_L29*Otro1_A)+(A7_B_L29*Otro1_B)+(A7_C_L29*Otro1_C)+(A7_D_L29*Otro1_D)+(A7_Y_L29*Otro1_Y))*Inflación_7</f>
        <v>0</v>
      </c>
      <c r="BK36" s="101">
        <f>SUMIFS('9'!$E:$E,'9'!$A:$A,Año_Inicial+6,'9'!$B:$B,'12'!BJ$4,'9'!$D:$D,"Otro insumo 1*")</f>
        <v>0</v>
      </c>
      <c r="BL36" s="101">
        <f>((A7_A_L30*Otro1_A)+(A7_B_L30*Otro1_B)+(A7_C_L30*Otro1_C)+(A7_D_L30*Otro1_D)+(A7_Y_L30*Otro1_Y))*Inflación_7</f>
        <v>0</v>
      </c>
      <c r="BM36" s="101">
        <f>SUMIFS('9'!$E:$E,'9'!$A:$A,Año_Inicial+6,'9'!$B:$B,'12'!BL$4,'9'!$D:$D,"Otro insumo 1*")</f>
        <v>0</v>
      </c>
      <c r="BN36" s="101">
        <f>((A7_A_L31*Otro1_A)+(A7_B_L31*Otro1_B)+(A7_C_L31*Otro1_C)+(A7_D_L31*Otro1_D)+(A7_Y_L31*Otro1_Y))*Inflación_7</f>
        <v>0</v>
      </c>
      <c r="BO36" s="101">
        <f>SUMIFS('9'!$E:$E,'9'!$A:$A,Año_Inicial+6,'9'!$B:$B,'12'!BN$4,'9'!$D:$D,"Otro insumo 1*")</f>
        <v>0</v>
      </c>
      <c r="BP36" s="101">
        <f>((A7_A_L32*Otro1_A)+(A7_B_L32*Otro1_B)+(A7_C_L32*Otro1_C)+(A7_D_L32*Otro1_D)+(A7_Y_L32*Otro1_Y))*Inflación_7</f>
        <v>0</v>
      </c>
      <c r="BQ36" s="101">
        <f>SUMIFS('9'!$E:$E,'9'!$A:$A,Año_Inicial+6,'9'!$B:$B,'12'!BP$4,'9'!$D:$D,"Otro insumo 1*")</f>
        <v>0</v>
      </c>
      <c r="BR36" s="101">
        <f>((A7_A_L33*Otro1_A)+(A7_B_L33*Otro1_B)+(A7_C_L33*Otro1_C)+(A7_D_L33*Otro1_D)+(A7_Y_L33*Otro1_Y))*Inflación_7</f>
        <v>0</v>
      </c>
      <c r="BS36" s="101">
        <f>SUMIFS('9'!$E:$E,'9'!$A:$A,Año_Inicial+6,'9'!$B:$B,'12'!BR$4,'9'!$D:$D,"Otro insumo 1*")</f>
        <v>0</v>
      </c>
      <c r="BT36" s="101">
        <f>((A7_A_L34*Otro1_A)+(A7_B_L34*Otro1_B)+(A7_C_L34*Otro1_C)+(A7_D_L34*Otro1_D)+(A7_Y_L34*Otro1_Y))*Inflación_7</f>
        <v>0</v>
      </c>
      <c r="BU36" s="101">
        <f>SUMIFS('9'!$E:$E,'9'!$A:$A,Año_Inicial+6,'9'!$B:$B,'12'!BT$4,'9'!$D:$D,"Otro insumo 1*")</f>
        <v>0</v>
      </c>
      <c r="BV36" s="101">
        <f>((A7_A_L35*Otro1_A)+(A7_B_L35*Otro1_B)+(A7_C_L35*Otro1_C)+(A7_D_L35*Otro1_D)+(A7_Y_L35*Otro1_Y))*Inflación_7</f>
        <v>0</v>
      </c>
      <c r="BW36" s="101">
        <f>SUMIFS('9'!$E:$E,'9'!$A:$A,Año_Inicial+6,'9'!$B:$B,'12'!BV$4,'9'!$D:$D,"Otro insumo 1*")</f>
        <v>0</v>
      </c>
      <c r="BX36" s="101">
        <f>((A7_A_L36*Otro1_A)+(A7_B_L36*Otro1_B)+(A7_C_L36*Otro1_C)+(A7_D_L36*Otro1_D)+(A7_Y_L36*Otro1_Y))*Inflación_7</f>
        <v>0</v>
      </c>
      <c r="BY36" s="101">
        <f>SUMIFS('9'!$E:$E,'9'!$A:$A,Año_Inicial+6,'9'!$B:$B,'12'!BX$4,'9'!$D:$D,"Otro insumo 1*")</f>
        <v>0</v>
      </c>
      <c r="BZ36" s="101">
        <f>((A7_A_L37*Otro1_A)+(A7_B_L37*Otro1_B)+(A7_C_L37*Otro1_C)+(A7_D_L37*Otro1_D)+(A7_Y_L37*Otro1_Y))*Inflación_7</f>
        <v>0</v>
      </c>
      <c r="CA36" s="101">
        <f>SUMIFS('9'!$E:$E,'9'!$A:$A,Año_Inicial+6,'9'!$B:$B,'12'!BZ$4,'9'!$D:$D,"Otro insumo 1*")</f>
        <v>0</v>
      </c>
      <c r="CB36" s="101">
        <f>((A7_A_L38*Otro1_A)+(A7_B_L38*Otro1_B)+(A7_C_L38*Otro1_C)+(A7_D_L38*Otro1_D)+(A7_Y_L38*Otro1_Y))*Inflación_7</f>
        <v>0</v>
      </c>
      <c r="CC36" s="101">
        <f>SUMIFS('9'!$E:$E,'9'!$A:$A,Año_Inicial+6,'9'!$B:$B,'12'!CB$4,'9'!$D:$D,"Otro insumo 1*")</f>
        <v>0</v>
      </c>
      <c r="CD36" s="101">
        <f>((A7_A_L39*Otro1_A)+(A7_B_L39*Otro1_B)+(A7_C_L39*Otro1_C)+(A7_D_L39*Otro1_D)+(A7_Y_L39*Otro1_Y))*Inflación_7</f>
        <v>0</v>
      </c>
      <c r="CE36" s="101">
        <f>SUMIFS('9'!$E:$E,'9'!$A:$A,Año_Inicial+6,'9'!$B:$B,'12'!CD$4,'9'!$D:$D,"Otro insumo 1*")</f>
        <v>0</v>
      </c>
      <c r="CF36" s="101">
        <f>((A7_A_L40*Otro1_A)+(A7_B_L40*Otro1_B)+(A7_C_L40*Otro1_C)+(A7_D_L40*Otro1_D)+(A7_Y_L40*Otro1_Y))*Inflación_7</f>
        <v>0</v>
      </c>
      <c r="CG36" s="101">
        <f>SUMIFS('9'!$E:$E,'9'!$A:$A,Año_Inicial+6,'9'!$B:$B,'12'!CF$4,'9'!$D:$D,"Otro insumo 1*")</f>
        <v>0</v>
      </c>
      <c r="CH36" s="473"/>
      <c r="CI36" s="101">
        <f>Plantas_A_A7*Otro1_A*Inflación_7</f>
        <v>0</v>
      </c>
      <c r="CJ36" s="101">
        <f>Plantas_B_A7*Otro1_B</f>
        <v>0</v>
      </c>
      <c r="CK36" s="101">
        <f>Plantas_C_A7*Otro1_C</f>
        <v>0</v>
      </c>
      <c r="CL36" s="101">
        <f>Plantas_D_A7*Otro1_D</f>
        <v>0</v>
      </c>
      <c r="CM36" s="101"/>
      <c r="CN36" s="101">
        <f>Plantas_Y_A7*Otro1_Y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SUMIFS('9'!$E:$E,'9'!$A:$A,Año_Inicial+6,'9'!$D:$D,"Otro insumo 2*")</f>
        <v>0</v>
      </c>
      <c r="D37" s="100">
        <f t="shared" si="45"/>
        <v>0</v>
      </c>
      <c r="E37" s="473"/>
      <c r="F37" s="101">
        <f>((A7_A_L1*Otro2_A)+(A7_B_L1*Otro2_B)+(A7_C_L1*Otro2_C)+(A7_D_L1*Otro2_D)+(A7_Y_L1*Otro2_Y))*Inflación_7</f>
        <v>0</v>
      </c>
      <c r="G37" s="101">
        <f>SUMIFS('9'!$E:$E,'9'!$A:$A,Año_Inicial+6,'9'!$B:$B,'12'!F$4,'9'!$D:$D,"Otro insumo 2*")</f>
        <v>0</v>
      </c>
      <c r="H37" s="101">
        <f>((A7_A_L2*Otro2_A)+(A7_B_L2*Otro2_B)+(A7_C_L2*Otro2_C)+(A7_D_L2*Otro2_D)+(A7_Y_L2*Otro2_Y))*Inflación_7</f>
        <v>0</v>
      </c>
      <c r="I37" s="101">
        <f>SUMIFS('9'!$E:$E,'9'!$A:$A,Año_Inicial+6,'9'!$B:$B,'12'!H$4,'9'!$D:$D,"Otro insumo 2*")</f>
        <v>0</v>
      </c>
      <c r="J37" s="101">
        <f>((A7_A_L3*Otro2_A)+(A7_B_L3*Otro2_B)+(A7_C_L3*Otro2_C)+(A7_D_L3*Otro2_D)+(A7_Y_L3*Otro2_Y))*Inflación_7</f>
        <v>0</v>
      </c>
      <c r="K37" s="101">
        <f>SUMIFS('9'!$E:$E,'9'!$A:$A,Año_Inicial+6,'9'!$B:$B,'12'!J$4,'9'!$D:$D,"Otro insumo 2*")</f>
        <v>0</v>
      </c>
      <c r="L37" s="101">
        <f>((A7_A_L4*Otro2_A)+(A7_B_L4*Otro2_B)+(A7_C_L4*Otro2_C)+(A7_D_L4*Otro2_D)+(A7_Y_L4*Otro2_Y))*Inflación_7</f>
        <v>0</v>
      </c>
      <c r="M37" s="101">
        <f>SUMIFS('9'!$E:$E,'9'!$A:$A,Año_Inicial+6,'9'!$B:$B,'12'!L$4,'9'!$D:$D,"Otro insumo 2*")</f>
        <v>0</v>
      </c>
      <c r="N37" s="101">
        <f>((A7_A_L5*Otro2_A)+(A7_B_L5*Otro2_B)+(A7_C_L5*Otro2_C)+(A7_D_L5*Otro2_D)+(A7_Y_L5*Otro2_Y))*Inflación_7</f>
        <v>0</v>
      </c>
      <c r="O37" s="101">
        <f>SUMIFS('9'!$E:$E,'9'!$A:$A,Año_Inicial+6,'9'!$B:$B,'12'!N$4,'9'!$D:$D,"Otro insumo 2*")</f>
        <v>0</v>
      </c>
      <c r="P37" s="101">
        <f>((A7_A_L6*Otro2_A)+(A7_B_L6*Otro2_B)+(A7_C_L6*Otro2_C)+(A7_D_L6*Otro2_D)+(A7_Y_L6*Otro2_Y))*Inflación_7</f>
        <v>0</v>
      </c>
      <c r="Q37" s="101">
        <f>SUMIFS('9'!$E:$E,'9'!$A:$A,Año_Inicial+6,'9'!$B:$B,'12'!P$4,'9'!$D:$D,"Otro insumo 2*")</f>
        <v>0</v>
      </c>
      <c r="R37" s="101">
        <f>((A7_A_L7*Otro2_A)+(A7_B_L7*Otro2_B)+(A7_C_L7*Otro2_C)+(A7_D_L7*Otro2_D)+(A7_Y_L7*Otro2_Y))*Inflación_7</f>
        <v>0</v>
      </c>
      <c r="S37" s="101">
        <f>SUMIFS('9'!$E:$E,'9'!$A:$A,Año_Inicial+6,'9'!$B:$B,'12'!R$4,'9'!$D:$D,"Otro insumo 2*")</f>
        <v>0</v>
      </c>
      <c r="T37" s="101">
        <f>((A7_A_L8*Otro2_A)+(A7_B_L8*Otro2_B)+(A7_C_L8*Otro2_C)+(A7_D_L8*Otro2_D)+(A7_Y_L8*Otro2_Y))*Inflación_7</f>
        <v>0</v>
      </c>
      <c r="U37" s="101">
        <f>SUMIFS('9'!$E:$E,'9'!$A:$A,Año_Inicial+6,'9'!$B:$B,'12'!T$4,'9'!$D:$D,"Otro insumo 2*")</f>
        <v>0</v>
      </c>
      <c r="V37" s="101">
        <f>((A7_A_L9*Otro2_A)+(A7_B_L9*Otro2_B)+(A7_C_L9*Otro2_C)+(A7_D_L9*Otro2_D)+(A7_Y_L9*Otro2_Y))*Inflación_7</f>
        <v>0</v>
      </c>
      <c r="W37" s="101">
        <f>SUMIFS('9'!$E:$E,'9'!$A:$A,Año_Inicial+6,'9'!$B:$B,'12'!V$4,'9'!$D:$D,"Otro insumo 2*")</f>
        <v>0</v>
      </c>
      <c r="X37" s="101">
        <f>((A7_A_L10*Otro2_A)+(A7_B_L10*Otro2_B)+(A7_C_L10*Otro2_C)+(A7_D_L10*Otro2_D)+(A7_Y_L10*Otro2_Y))*Inflación_7</f>
        <v>0</v>
      </c>
      <c r="Y37" s="101">
        <f>SUMIFS('9'!$E:$E,'9'!$A:$A,Año_Inicial+6,'9'!$B:$B,'12'!X$4,'9'!$D:$D,"Otro insumo 2*")</f>
        <v>0</v>
      </c>
      <c r="Z37" s="101">
        <f>((A7_A_L11*Otro2_A)+(A7_B_L11*Otro2_B)+(A7_C_L11*Otro2_C)+(A7_D_L11*Otro2_D)+(A7_Y_L11*Otro2_Y))*Inflación_7</f>
        <v>0</v>
      </c>
      <c r="AA37" s="101">
        <f>SUMIFS('9'!$E:$E,'9'!$A:$A,Año_Inicial+6,'9'!$B:$B,'12'!Z$4,'9'!$D:$D,"Otro insumo 2*")</f>
        <v>0</v>
      </c>
      <c r="AB37" s="101">
        <f>((A7_A_L12*Otro2_A)+(A7_B_L12*Otro2_B)+(A7_C_L12*Otro2_C)+(A7_D_L12*Otro2_D)+(A7_Y_L12*Otro2_Y))*Inflación_7</f>
        <v>0</v>
      </c>
      <c r="AC37" s="101">
        <f>SUMIFS('9'!$E:$E,'9'!$A:$A,Año_Inicial+6,'9'!$B:$B,'12'!AB$4,'9'!$D:$D,"Otro insumo 2*")</f>
        <v>0</v>
      </c>
      <c r="AD37" s="101">
        <f>((A7_A_L13*Otro2_A)+(A7_B_L13*Otro2_B)+(A7_C_L13*Otro2_C)+(A7_D_L13*Otro2_D)+(A7_Y_L13*Otro2_Y))*Inflación_7</f>
        <v>0</v>
      </c>
      <c r="AE37" s="101">
        <f>SUMIFS('9'!$E:$E,'9'!$A:$A,Año_Inicial+6,'9'!$B:$B,'12'!AD$4,'9'!$D:$D,"Otro insumo 2*")</f>
        <v>0</v>
      </c>
      <c r="AF37" s="101">
        <f>((A7_A_L14*Otro2_A)+(A7_B_L14*Otro2_B)+(A7_C_L14*Otro2_C)+(A7_D_L14*Otro2_D)+(A7_Y_L14*Otro2_Y))*Inflación_7</f>
        <v>0</v>
      </c>
      <c r="AG37" s="101">
        <f>SUMIFS('9'!$E:$E,'9'!$A:$A,Año_Inicial+6,'9'!$B:$B,'12'!AF$4,'9'!$D:$D,"Otro insumo 2*")</f>
        <v>0</v>
      </c>
      <c r="AH37" s="101">
        <f>((A7_A_L15*Otro2_A)+(A7_B_L15*Otro2_B)+(A7_C_L15*Otro2_C)+(A7_D_L15*Otro2_D)+(A7_Y_L15*Otro2_Y))*Inflación_7</f>
        <v>0</v>
      </c>
      <c r="AI37" s="101">
        <f>SUMIFS('9'!$E:$E,'9'!$A:$A,Año_Inicial+6,'9'!$B:$B,'12'!AH$4,'9'!$D:$D,"Otro insumo 2*")</f>
        <v>0</v>
      </c>
      <c r="AJ37" s="101">
        <f>((A7_A_L16*Otro2_A)+(A7_B_L16*Otro2_B)+(A7_C_L16*Otro2_C)+(A7_D_L16*Otro2_D)+(A7_Y_L16*Otro2_Y))*Inflación_7</f>
        <v>0</v>
      </c>
      <c r="AK37" s="101">
        <f>SUMIFS('9'!$E:$E,'9'!$A:$A,Año_Inicial+6,'9'!$B:$B,'12'!AJ$4,'9'!$D:$D,"Otro insumo 2*")</f>
        <v>0</v>
      </c>
      <c r="AL37" s="101">
        <f>((A7_A_L17*Otro2_A)+(A7_B_L17*Otro2_B)+(A7_C_L17*Otro2_C)+(A7_D_L17*Otro2_D)+(A7_Y_L17*Otro2_Y))*Inflación_7</f>
        <v>0</v>
      </c>
      <c r="AM37" s="101">
        <f>SUMIFS('9'!$E:$E,'9'!$A:$A,Año_Inicial+6,'9'!$B:$B,'12'!AL$4,'9'!$D:$D,"Otro insumo 2*")</f>
        <v>0</v>
      </c>
      <c r="AN37" s="101">
        <f>((A7_A_L18*Otro2_A)+(A7_B_L18*Otro2_B)+(A7_C_L18*Otro2_C)+(A7_D_L18*Otro2_D)+(A7_Y_L18*Otro2_Y))*Inflación_7</f>
        <v>0</v>
      </c>
      <c r="AO37" s="101">
        <f>SUMIFS('9'!$E:$E,'9'!$A:$A,Año_Inicial+6,'9'!$B:$B,'12'!AN$4,'9'!$D:$D,"Otro insumo 2*")</f>
        <v>0</v>
      </c>
      <c r="AP37" s="101">
        <f>((A7_A_L19*Otro2_A)+(A7_B_L19*Otro2_B)+(A7_C_L19*Otro2_C)+(A7_D_L19*Otro2_D)+(A7_Y_L19*Otro2_Y))*Inflación_7</f>
        <v>0</v>
      </c>
      <c r="AQ37" s="101">
        <f>SUMIFS('9'!$E:$E,'9'!$A:$A,Año_Inicial+6,'9'!$B:$B,'12'!AP$4,'9'!$D:$D,"Otro insumo 2*")</f>
        <v>0</v>
      </c>
      <c r="AR37" s="101">
        <f>((A7_A_L20*Otro2_A)+(A7_B_L20*Otro2_B)+(A7_C_L20*Otro2_C)+(A7_D_L20*Otro2_D)+(A7_Y_L20*Otro2_Y))*Inflación_7</f>
        <v>0</v>
      </c>
      <c r="AS37" s="101">
        <f>SUMIFS('9'!$E:$E,'9'!$A:$A,Año_Inicial+6,'9'!$B:$B,'12'!AR$4,'9'!$D:$D,"Otro insumo 2*")</f>
        <v>0</v>
      </c>
      <c r="AT37" s="101">
        <f>((A7_A_L21*Otro2_A)+(A7_B_L21*Otro2_B)+(A7_C_L21*Otro2_C)+(A7_D_L21*Otro2_D)+(A7_Y_L21*Otro2_Y))*Inflación_7</f>
        <v>0</v>
      </c>
      <c r="AU37" s="101">
        <f>SUMIFS('9'!$E:$E,'9'!$A:$A,Año_Inicial+6,'9'!$B:$B,'12'!AT$4,'9'!$D:$D,"Otro insumo 2*")</f>
        <v>0</v>
      </c>
      <c r="AV37" s="101">
        <f>((A7_A_L22*Otro2_A)+(A7_B_L22*Otro2_B)+(A7_C_L22*Otro2_C)+(A7_D_L22*Otro2_D)+(A7_Y_L22*Otro2_Y))*Inflación_7</f>
        <v>0</v>
      </c>
      <c r="AW37" s="101">
        <f>SUMIFS('9'!$E:$E,'9'!$A:$A,Año_Inicial+6,'9'!$B:$B,'12'!AV$4,'9'!$D:$D,"Otro insumo 2*")</f>
        <v>0</v>
      </c>
      <c r="AX37" s="101">
        <f>((A7_A_L23*Otro2_A)+(A7_B_L23*Otro2_B)+(A7_C_L23*Otro2_C)+(A7_D_L23*Otro2_D)+(A7_Y_L23*Otro2_Y))*Inflación_7</f>
        <v>0</v>
      </c>
      <c r="AY37" s="101">
        <f>SUMIFS('9'!$E:$E,'9'!$A:$A,Año_Inicial+6,'9'!$B:$B,'12'!AX$4,'9'!$D:$D,"Otro insumo 2*")</f>
        <v>0</v>
      </c>
      <c r="AZ37" s="101">
        <f>((A7_A_L24*Otro2_A)+(A7_B_L24*Otro2_B)+(A7_C_L24*Otro2_C)+(A7_D_L24*Otro2_D)+(A7_Y_L24*Otro2_Y))*Inflación_7</f>
        <v>0</v>
      </c>
      <c r="BA37" s="101">
        <f>SUMIFS('9'!$E:$E,'9'!$A:$A,Año_Inicial+6,'9'!$B:$B,'12'!AZ$4,'9'!$D:$D,"Otro insumo 2*")</f>
        <v>0</v>
      </c>
      <c r="BB37" s="101">
        <f>((A7_A_L25*Otro2_A)+(A7_B_L25*Otro2_B)+(A7_C_L25*Otro2_C)+(A7_D_L25*Otro2_D)+(A7_Y_L25*Otro2_Y))*Inflación_7</f>
        <v>0</v>
      </c>
      <c r="BC37" s="101">
        <f>SUMIFS('9'!$E:$E,'9'!$A:$A,Año_Inicial+6,'9'!$B:$B,'12'!BB$4,'9'!$D:$D,"Otro insumo 2*")</f>
        <v>0</v>
      </c>
      <c r="BD37" s="101">
        <f>((A7_A_L26*Otro2_A)+(A7_B_L26*Otro2_B)+(A7_C_L26*Otro2_C)+(A7_D_L26*Otro2_D)+(A7_Y_L26*Otro2_Y))*Inflación_7</f>
        <v>0</v>
      </c>
      <c r="BE37" s="101">
        <f>SUMIFS('9'!$E:$E,'9'!$A:$A,Año_Inicial+6,'9'!$B:$B,'12'!BD$4,'9'!$D:$D,"Otro insumo 2*")</f>
        <v>0</v>
      </c>
      <c r="BF37" s="101">
        <f>((A7_A_L27*Otro2_A)+(A7_B_L27*Otro2_B)+(A7_C_L27*Otro2_C)+(A7_D_L27*Otro2_D)+(A7_Y_L27*Otro2_Y))*Inflación_7</f>
        <v>0</v>
      </c>
      <c r="BG37" s="101">
        <f>SUMIFS('9'!$E:$E,'9'!$A:$A,Año_Inicial+6,'9'!$B:$B,'12'!BF$4,'9'!$D:$D,"Otro insumo 2*")</f>
        <v>0</v>
      </c>
      <c r="BH37" s="101">
        <f>((A7_A_L28*Otro2_A)+(A7_B_L28*Otro2_B)+(A7_C_L28*Otro2_C)+(A7_D_L28*Otro2_D)+(A7_Y_L28*Otro2_Y))*Inflación_7</f>
        <v>0</v>
      </c>
      <c r="BI37" s="101">
        <f>SUMIFS('9'!$E:$E,'9'!$A:$A,Año_Inicial+6,'9'!$B:$B,'12'!BH$4,'9'!$D:$D,"Otro insumo 2*")</f>
        <v>0</v>
      </c>
      <c r="BJ37" s="101">
        <f>((A7_A_L29*Otro2_A)+(A7_B_L29*Otro2_B)+(A7_C_L29*Otro2_C)+(A7_D_L29*Otro2_D)+(A7_Y_L29*Otro2_Y))*Inflación_7</f>
        <v>0</v>
      </c>
      <c r="BK37" s="101">
        <f>SUMIFS('9'!$E:$E,'9'!$A:$A,Año_Inicial+6,'9'!$B:$B,'12'!BJ$4,'9'!$D:$D,"Otro insumo 2*")</f>
        <v>0</v>
      </c>
      <c r="BL37" s="101">
        <f>((A7_A_L30*Otro2_A)+(A7_B_L30*Otro2_B)+(A7_C_L30*Otro2_C)+(A7_D_L30*Otro2_D)+(A7_Y_L30*Otro2_Y))*Inflación_7</f>
        <v>0</v>
      </c>
      <c r="BM37" s="101">
        <f>SUMIFS('9'!$E:$E,'9'!$A:$A,Año_Inicial+6,'9'!$B:$B,'12'!BL$4,'9'!$D:$D,"Otro insumo 2*")</f>
        <v>0</v>
      </c>
      <c r="BN37" s="101">
        <f>((A7_A_L31*Otro2_A)+(A7_B_L31*Otro2_B)+(A7_C_L31*Otro2_C)+(A7_D_L31*Otro2_D)+(A7_Y_L31*Otro2_Y))*Inflación_7</f>
        <v>0</v>
      </c>
      <c r="BO37" s="101">
        <f>SUMIFS('9'!$E:$E,'9'!$A:$A,Año_Inicial+6,'9'!$B:$B,'12'!BN$4,'9'!$D:$D,"Otro insumo 2*")</f>
        <v>0</v>
      </c>
      <c r="BP37" s="101">
        <f>((A7_A_L32*Otro2_A)+(A7_B_L32*Otro2_B)+(A7_C_L32*Otro2_C)+(A7_D_L32*Otro2_D)+(A7_Y_L32*Otro2_Y))*Inflación_7</f>
        <v>0</v>
      </c>
      <c r="BQ37" s="101">
        <f>SUMIFS('9'!$E:$E,'9'!$A:$A,Año_Inicial+6,'9'!$B:$B,'12'!BP$4,'9'!$D:$D,"Otro insumo 2*")</f>
        <v>0</v>
      </c>
      <c r="BR37" s="101">
        <f>((A7_A_L33*Otro2_A)+(A7_B_L33*Otro2_B)+(A7_C_L33*Otro2_C)+(A7_D_L33*Otro2_D)+(A7_Y_L33*Otro2_Y))*Inflación_7</f>
        <v>0</v>
      </c>
      <c r="BS37" s="101">
        <f>SUMIFS('9'!$E:$E,'9'!$A:$A,Año_Inicial+6,'9'!$B:$B,'12'!BR$4,'9'!$D:$D,"Otro insumo 2*")</f>
        <v>0</v>
      </c>
      <c r="BT37" s="101">
        <f>((A7_A_L34*Otro2_A)+(A7_B_L34*Otro2_B)+(A7_C_L34*Otro2_C)+(A7_D_L34*Otro2_D)+(A7_Y_L34*Otro2_Y))*Inflación_7</f>
        <v>0</v>
      </c>
      <c r="BU37" s="101">
        <f>SUMIFS('9'!$E:$E,'9'!$A:$A,Año_Inicial+6,'9'!$B:$B,'12'!BT$4,'9'!$D:$D,"Otro insumo 2*")</f>
        <v>0</v>
      </c>
      <c r="BV37" s="101">
        <f>((A7_A_L35*Otro2_A)+(A7_B_L35*Otro2_B)+(A7_C_L35*Otro2_C)+(A7_D_L35*Otro2_D)+(A7_Y_L35*Otro2_Y))*Inflación_7</f>
        <v>0</v>
      </c>
      <c r="BW37" s="101">
        <f>SUMIFS('9'!$E:$E,'9'!$A:$A,Año_Inicial+6,'9'!$B:$B,'12'!BV$4,'9'!$D:$D,"Otro insumo 2*")</f>
        <v>0</v>
      </c>
      <c r="BX37" s="101">
        <f>((A7_A_L36*Otro2_A)+(A7_B_L36*Otro2_B)+(A7_C_L36*Otro2_C)+(A7_D_L36*Otro2_D)+(A7_Y_L36*Otro2_Y))*Inflación_7</f>
        <v>0</v>
      </c>
      <c r="BY37" s="101">
        <f>SUMIFS('9'!$E:$E,'9'!$A:$A,Año_Inicial+6,'9'!$B:$B,'12'!BX$4,'9'!$D:$D,"Otro insumo 2*")</f>
        <v>0</v>
      </c>
      <c r="BZ37" s="101">
        <f>((A7_A_L37*Otro2_A)+(A7_B_L37*Otro2_B)+(A7_C_L37*Otro2_C)+(A7_D_L37*Otro2_D)+(A7_Y_L37*Otro2_Y))*Inflación_7</f>
        <v>0</v>
      </c>
      <c r="CA37" s="101">
        <f>SUMIFS('9'!$E:$E,'9'!$A:$A,Año_Inicial+6,'9'!$B:$B,'12'!BZ$4,'9'!$D:$D,"Otro insumo 2*")</f>
        <v>0</v>
      </c>
      <c r="CB37" s="101">
        <f>((A7_A_L38*Otro2_A)+(A7_B_L38*Otro2_B)+(A7_C_L38*Otro2_C)+(A7_D_L38*Otro2_D)+(A7_Y_L38*Otro2_Y))*Inflación_7</f>
        <v>0</v>
      </c>
      <c r="CC37" s="101">
        <f>SUMIFS('9'!$E:$E,'9'!$A:$A,Año_Inicial+6,'9'!$B:$B,'12'!CB$4,'9'!$D:$D,"Otro insumo 2*")</f>
        <v>0</v>
      </c>
      <c r="CD37" s="101">
        <f>((A7_A_L39*Otro2_A)+(A7_B_L39*Otro2_B)+(A7_C_L39*Otro2_C)+(A7_D_L39*Otro2_D)+(A7_Y_L39*Otro2_Y))*Inflación_7</f>
        <v>0</v>
      </c>
      <c r="CE37" s="101">
        <f>SUMIFS('9'!$E:$E,'9'!$A:$A,Año_Inicial+6,'9'!$B:$B,'12'!CD$4,'9'!$D:$D,"Otro insumo 2*")</f>
        <v>0</v>
      </c>
      <c r="CF37" s="101">
        <f>((A7_A_L40*Otro2_A)+(A7_B_L40*Otro2_B)+(A7_C_L40*Otro2_C)+(A7_D_L40*Otro2_D)+(A7_Y_L40*Otro2_Y))*Inflación_7</f>
        <v>0</v>
      </c>
      <c r="CG37" s="101">
        <f>SUMIFS('9'!$E:$E,'9'!$A:$A,Año_Inicial+6,'9'!$B:$B,'12'!CF$4,'9'!$D:$D,"Otro insumo 2*")</f>
        <v>0</v>
      </c>
      <c r="CH37" s="473"/>
      <c r="CI37" s="101">
        <f>Plantas_A_A7*Otro2_A*Inflación_7</f>
        <v>0</v>
      </c>
      <c r="CJ37" s="101">
        <f>Plantas_B_A7*Otro2_B</f>
        <v>0</v>
      </c>
      <c r="CK37" s="101">
        <f>Plantas_C_A7*Otro2_C</f>
        <v>0</v>
      </c>
      <c r="CL37" s="101">
        <f>Plantas_D_A7*Otro2_D</f>
        <v>0</v>
      </c>
      <c r="CM37" s="101"/>
      <c r="CN37" s="101">
        <f>Plantas_Y_A7*Otro2_Y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SUMIFS('9'!$E:$E,'9'!$A:$A,Año_Inicial+6,'9'!$D:$D,"Otro insumo 3*")</f>
        <v>0</v>
      </c>
      <c r="D38" s="100">
        <f t="shared" si="45"/>
        <v>0</v>
      </c>
      <c r="E38" s="473"/>
      <c r="F38" s="101">
        <f>((A7_A_L1*Otro3_A)+(A7_B_L1*Otro3_B)+(A7_C_L1*Otro3_C)+(A7_D_L1*Otro3_D)+(A7_Y_L1*Otro3_Y))*Inflación_7</f>
        <v>0</v>
      </c>
      <c r="G38" s="101">
        <f>SUMIFS('9'!$E:$E,'9'!$A:$A,Año_Inicial+6,'9'!$B:$B,'12'!F$4,'9'!$D:$D,"Otro insumo 3*")</f>
        <v>0</v>
      </c>
      <c r="H38" s="101">
        <f>((A7_A_L2*Otro3_A)+(A7_B_L2*Otro3_B)+(A7_C_L2*Otro3_C)+(A7_D_L2*Otro3_D)+(A7_Y_L2*Otro3_Y))*Inflación_7</f>
        <v>0</v>
      </c>
      <c r="I38" s="101">
        <f>SUMIFS('9'!$E:$E,'9'!$A:$A,Año_Inicial+6,'9'!$B:$B,'12'!H$4,'9'!$D:$D,"Otro insumo 3*")</f>
        <v>0</v>
      </c>
      <c r="J38" s="101">
        <f>((A7_A_L3*Otro3_A)+(A7_B_L3*Otro3_B)+(A7_C_L3*Otro3_C)+(A7_D_L3*Otro3_D)+(A7_Y_L3*Otro3_Y))*Inflación_7</f>
        <v>0</v>
      </c>
      <c r="K38" s="101">
        <f>SUMIFS('9'!$E:$E,'9'!$A:$A,Año_Inicial+6,'9'!$B:$B,'12'!J$4,'9'!$D:$D,"Otro insumo 3*")</f>
        <v>0</v>
      </c>
      <c r="L38" s="101">
        <f>((A7_A_L4*Otro3_A)+(A7_B_L4*Otro3_B)+(A7_C_L4*Otro3_C)+(A7_D_L4*Otro3_D)+(A7_Y_L4*Otro3_Y))*Inflación_7</f>
        <v>0</v>
      </c>
      <c r="M38" s="101">
        <f>SUMIFS('9'!$E:$E,'9'!$A:$A,Año_Inicial+6,'9'!$B:$B,'12'!L$4,'9'!$D:$D,"Otro insumo 3*")</f>
        <v>0</v>
      </c>
      <c r="N38" s="101">
        <f>((A7_A_L5*Otro3_A)+(A7_B_L5*Otro3_B)+(A7_C_L5*Otro3_C)+(A7_D_L5*Otro3_D)+(A7_Y_L5*Otro3_Y))*Inflación_7</f>
        <v>0</v>
      </c>
      <c r="O38" s="101">
        <f>SUMIFS('9'!$E:$E,'9'!$A:$A,Año_Inicial+6,'9'!$B:$B,'12'!N$4,'9'!$D:$D,"Otro insumo 3*")</f>
        <v>0</v>
      </c>
      <c r="P38" s="101">
        <f>((A7_A_L6*Otro3_A)+(A7_B_L6*Otro3_B)+(A7_C_L6*Otro3_C)+(A7_D_L6*Otro3_D)+(A7_Y_L6*Otro3_Y))*Inflación_7</f>
        <v>0</v>
      </c>
      <c r="Q38" s="101">
        <f>SUMIFS('9'!$E:$E,'9'!$A:$A,Año_Inicial+6,'9'!$B:$B,'12'!P$4,'9'!$D:$D,"Otro insumo 3*")</f>
        <v>0</v>
      </c>
      <c r="R38" s="101">
        <f>((A7_A_L7*Otro3_A)+(A7_B_L7*Otro3_B)+(A7_C_L7*Otro3_C)+(A7_D_L7*Otro3_D)+(A7_Y_L7*Otro3_Y))*Inflación_7</f>
        <v>0</v>
      </c>
      <c r="S38" s="101">
        <f>SUMIFS('9'!$E:$E,'9'!$A:$A,Año_Inicial+6,'9'!$B:$B,'12'!R$4,'9'!$D:$D,"Otro insumo 3*")</f>
        <v>0</v>
      </c>
      <c r="T38" s="101">
        <f>((A7_A_L8*Otro3_A)+(A7_B_L8*Otro3_B)+(A7_C_L8*Otro3_C)+(A7_D_L8*Otro3_D)+(A7_Y_L8*Otro3_Y))*Inflación_7</f>
        <v>0</v>
      </c>
      <c r="U38" s="101">
        <f>SUMIFS('9'!$E:$E,'9'!$A:$A,Año_Inicial+6,'9'!$B:$B,'12'!T$4,'9'!$D:$D,"Otro insumo 3*")</f>
        <v>0</v>
      </c>
      <c r="V38" s="101">
        <f>((A7_A_L9*Otro3_A)+(A7_B_L9*Otro3_B)+(A7_C_L9*Otro3_C)+(A7_D_L9*Otro3_D)+(A7_Y_L9*Otro3_Y))*Inflación_7</f>
        <v>0</v>
      </c>
      <c r="W38" s="101">
        <f>SUMIFS('9'!$E:$E,'9'!$A:$A,Año_Inicial+6,'9'!$B:$B,'12'!V$4,'9'!$D:$D,"Otro insumo 3*")</f>
        <v>0</v>
      </c>
      <c r="X38" s="101">
        <f>((A7_A_L10*Otro3_A)+(A7_B_L10*Otro3_B)+(A7_C_L10*Otro3_C)+(A7_D_L10*Otro3_D)+(A7_Y_L10*Otro3_Y))*Inflación_7</f>
        <v>0</v>
      </c>
      <c r="Y38" s="101">
        <f>SUMIFS('9'!$E:$E,'9'!$A:$A,Año_Inicial+6,'9'!$B:$B,'12'!X$4,'9'!$D:$D,"Otro insumo 3*")</f>
        <v>0</v>
      </c>
      <c r="Z38" s="101">
        <f>((A7_A_L11*Otro3_A)+(A7_B_L11*Otro3_B)+(A7_C_L11*Otro3_C)+(A7_D_L11*Otro3_D)+(A7_Y_L11*Otro3_Y))*Inflación_7</f>
        <v>0</v>
      </c>
      <c r="AA38" s="101">
        <f>SUMIFS('9'!$E:$E,'9'!$A:$A,Año_Inicial+6,'9'!$B:$B,'12'!Z$4,'9'!$D:$D,"Otro insumo 3*")</f>
        <v>0</v>
      </c>
      <c r="AB38" s="101">
        <f>((A7_A_L12*Otro3_A)+(A7_B_L12*Otro3_B)+(A7_C_L12*Otro3_C)+(A7_D_L12*Otro3_D)+(A7_Y_L12*Otro3_Y))*Inflación_7</f>
        <v>0</v>
      </c>
      <c r="AC38" s="101">
        <f>SUMIFS('9'!$E:$E,'9'!$A:$A,Año_Inicial+6,'9'!$B:$B,'12'!AB$4,'9'!$D:$D,"Otro insumo 3*")</f>
        <v>0</v>
      </c>
      <c r="AD38" s="101">
        <f>((A7_A_L13*Otro3_A)+(A7_B_L13*Otro3_B)+(A7_C_L13*Otro3_C)+(A7_D_L13*Otro3_D)+(A7_Y_L13*Otro3_Y))*Inflación_7</f>
        <v>0</v>
      </c>
      <c r="AE38" s="101">
        <f>SUMIFS('9'!$E:$E,'9'!$A:$A,Año_Inicial+6,'9'!$B:$B,'12'!AD$4,'9'!$D:$D,"Otro insumo 3*")</f>
        <v>0</v>
      </c>
      <c r="AF38" s="101">
        <f>((A7_A_L14*Otro3_A)+(A7_B_L14*Otro3_B)+(A7_C_L14*Otro3_C)+(A7_D_L14*Otro3_D)+(A7_Y_L14*Otro3_Y))*Inflación_7</f>
        <v>0</v>
      </c>
      <c r="AG38" s="101">
        <f>SUMIFS('9'!$E:$E,'9'!$A:$A,Año_Inicial+6,'9'!$B:$B,'12'!AF$4,'9'!$D:$D,"Otro insumo 3*")</f>
        <v>0</v>
      </c>
      <c r="AH38" s="101">
        <f>((A7_A_L15*Otro3_A)+(A7_B_L15*Otro3_B)+(A7_C_L15*Otro3_C)+(A7_D_L15*Otro3_D)+(A7_Y_L15*Otro3_Y))*Inflación_7</f>
        <v>0</v>
      </c>
      <c r="AI38" s="101">
        <f>SUMIFS('9'!$E:$E,'9'!$A:$A,Año_Inicial+6,'9'!$B:$B,'12'!AH$4,'9'!$D:$D,"Otro insumo 3*")</f>
        <v>0</v>
      </c>
      <c r="AJ38" s="101">
        <f>((A7_A_L16*Otro3_A)+(A7_B_L16*Otro3_B)+(A7_C_L16*Otro3_C)+(A7_D_L16*Otro3_D)+(A7_Y_L16*Otro3_Y))*Inflación_7</f>
        <v>0</v>
      </c>
      <c r="AK38" s="101">
        <f>SUMIFS('9'!$E:$E,'9'!$A:$A,Año_Inicial+6,'9'!$B:$B,'12'!AJ$4,'9'!$D:$D,"Otro insumo 3*")</f>
        <v>0</v>
      </c>
      <c r="AL38" s="101">
        <f>((A7_A_L17*Otro3_A)+(A7_B_L17*Otro3_B)+(A7_C_L17*Otro3_C)+(A7_D_L17*Otro3_D)+(A7_Y_L17*Otro3_Y))*Inflación_7</f>
        <v>0</v>
      </c>
      <c r="AM38" s="101">
        <f>SUMIFS('9'!$E:$E,'9'!$A:$A,Año_Inicial+6,'9'!$B:$B,'12'!AL$4,'9'!$D:$D,"Otro insumo 3*")</f>
        <v>0</v>
      </c>
      <c r="AN38" s="101">
        <f>((A7_A_L18*Otro3_A)+(A7_B_L18*Otro3_B)+(A7_C_L18*Otro3_C)+(A7_D_L18*Otro3_D)+(A7_Y_L18*Otro3_Y))*Inflación_7</f>
        <v>0</v>
      </c>
      <c r="AO38" s="101">
        <f>SUMIFS('9'!$E:$E,'9'!$A:$A,Año_Inicial+6,'9'!$B:$B,'12'!AN$4,'9'!$D:$D,"Otro insumo 3*")</f>
        <v>0</v>
      </c>
      <c r="AP38" s="101">
        <f>((A7_A_L19*Otro3_A)+(A7_B_L19*Otro3_B)+(A7_C_L19*Otro3_C)+(A7_D_L19*Otro3_D)+(A7_Y_L19*Otro3_Y))*Inflación_7</f>
        <v>0</v>
      </c>
      <c r="AQ38" s="101">
        <f>SUMIFS('9'!$E:$E,'9'!$A:$A,Año_Inicial+6,'9'!$B:$B,'12'!AP$4,'9'!$D:$D,"Otro insumo 3*")</f>
        <v>0</v>
      </c>
      <c r="AR38" s="101">
        <f>((A7_A_L20*Otro3_A)+(A7_B_L20*Otro3_B)+(A7_C_L20*Otro3_C)+(A7_D_L20*Otro3_D)+(A7_Y_L20*Otro3_Y))*Inflación_7</f>
        <v>0</v>
      </c>
      <c r="AS38" s="101">
        <f>SUMIFS('9'!$E:$E,'9'!$A:$A,Año_Inicial+6,'9'!$B:$B,'12'!AR$4,'9'!$D:$D,"Otro insumo 3*")</f>
        <v>0</v>
      </c>
      <c r="AT38" s="101">
        <f>((A7_A_L21*Otro3_A)+(A7_B_L21*Otro3_B)+(A7_C_L21*Otro3_C)+(A7_D_L21*Otro3_D)+(A7_Y_L21*Otro3_Y))*Inflación_7</f>
        <v>0</v>
      </c>
      <c r="AU38" s="101">
        <f>SUMIFS('9'!$E:$E,'9'!$A:$A,Año_Inicial+6,'9'!$B:$B,'12'!AT$4,'9'!$D:$D,"Otro insumo 3*")</f>
        <v>0</v>
      </c>
      <c r="AV38" s="101">
        <f>((A7_A_L22*Otro3_A)+(A7_B_L22*Otro3_B)+(A7_C_L22*Otro3_C)+(A7_D_L22*Otro3_D)+(A7_Y_L22*Otro3_Y))*Inflación_7</f>
        <v>0</v>
      </c>
      <c r="AW38" s="101">
        <f>SUMIFS('9'!$E:$E,'9'!$A:$A,Año_Inicial+6,'9'!$B:$B,'12'!AV$4,'9'!$D:$D,"Otro insumo 3*")</f>
        <v>0</v>
      </c>
      <c r="AX38" s="101">
        <f>((A7_A_L23*Otro3_A)+(A7_B_L23*Otro3_B)+(A7_C_L23*Otro3_C)+(A7_D_L23*Otro3_D)+(A7_Y_L23*Otro3_Y))*Inflación_7</f>
        <v>0</v>
      </c>
      <c r="AY38" s="101">
        <f>SUMIFS('9'!$E:$E,'9'!$A:$A,Año_Inicial+6,'9'!$B:$B,'12'!AX$4,'9'!$D:$D,"Otro insumo 3*")</f>
        <v>0</v>
      </c>
      <c r="AZ38" s="101">
        <f>((A7_A_L24*Otro3_A)+(A7_B_L24*Otro3_B)+(A7_C_L24*Otro3_C)+(A7_D_L24*Otro3_D)+(A7_Y_L24*Otro3_Y))*Inflación_7</f>
        <v>0</v>
      </c>
      <c r="BA38" s="101">
        <f>SUMIFS('9'!$E:$E,'9'!$A:$A,Año_Inicial+6,'9'!$B:$B,'12'!AZ$4,'9'!$D:$D,"Otro insumo 3*")</f>
        <v>0</v>
      </c>
      <c r="BB38" s="101">
        <f>((A7_A_L25*Otro3_A)+(A7_B_L25*Otro3_B)+(A7_C_L25*Otro3_C)+(A7_D_L25*Otro3_D)+(A7_Y_L25*Otro3_Y))*Inflación_7</f>
        <v>0</v>
      </c>
      <c r="BC38" s="101">
        <f>SUMIFS('9'!$E:$E,'9'!$A:$A,Año_Inicial+6,'9'!$B:$B,'12'!BB$4,'9'!$D:$D,"Otro insumo 3*")</f>
        <v>0</v>
      </c>
      <c r="BD38" s="101">
        <f>((A7_A_L26*Otro3_A)+(A7_B_L26*Otro3_B)+(A7_C_L26*Otro3_C)+(A7_D_L26*Otro3_D)+(A7_Y_L26*Otro3_Y))*Inflación_7</f>
        <v>0</v>
      </c>
      <c r="BE38" s="101">
        <f>SUMIFS('9'!$E:$E,'9'!$A:$A,Año_Inicial+6,'9'!$B:$B,'12'!BD$4,'9'!$D:$D,"Otro insumo 3*")</f>
        <v>0</v>
      </c>
      <c r="BF38" s="101">
        <f>((A7_A_L27*Otro3_A)+(A7_B_L27*Otro3_B)+(A7_C_L27*Otro3_C)+(A7_D_L27*Otro3_D)+(A7_Y_L27*Otro3_Y))*Inflación_7</f>
        <v>0</v>
      </c>
      <c r="BG38" s="101">
        <f>SUMIFS('9'!$E:$E,'9'!$A:$A,Año_Inicial+6,'9'!$B:$B,'12'!BF$4,'9'!$D:$D,"Otro insumo 3*")</f>
        <v>0</v>
      </c>
      <c r="BH38" s="101">
        <f>((A7_A_L28*Otro3_A)+(A7_B_L28*Otro3_B)+(A7_C_L28*Otro3_C)+(A7_D_L28*Otro3_D)+(A7_Y_L28*Otro3_Y))*Inflación_7</f>
        <v>0</v>
      </c>
      <c r="BI38" s="101">
        <f>SUMIFS('9'!$E:$E,'9'!$A:$A,Año_Inicial+6,'9'!$B:$B,'12'!BH$4,'9'!$D:$D,"Otro insumo 3*")</f>
        <v>0</v>
      </c>
      <c r="BJ38" s="101">
        <f>((A7_A_L29*Otro3_A)+(A7_B_L29*Otro3_B)+(A7_C_L29*Otro3_C)+(A7_D_L29*Otro3_D)+(A7_Y_L29*Otro3_Y))*Inflación_7</f>
        <v>0</v>
      </c>
      <c r="BK38" s="101">
        <f>SUMIFS('9'!$E:$E,'9'!$A:$A,Año_Inicial+6,'9'!$B:$B,'12'!BJ$4,'9'!$D:$D,"Otro insumo 3*")</f>
        <v>0</v>
      </c>
      <c r="BL38" s="101">
        <f>((A7_A_L30*Otro3_A)+(A7_B_L30*Otro3_B)+(A7_C_L30*Otro3_C)+(A7_D_L30*Otro3_D)+(A7_Y_L30*Otro3_Y))*Inflación_7</f>
        <v>0</v>
      </c>
      <c r="BM38" s="101">
        <f>SUMIFS('9'!$E:$E,'9'!$A:$A,Año_Inicial+6,'9'!$B:$B,'12'!BL$4,'9'!$D:$D,"Otro insumo 3*")</f>
        <v>0</v>
      </c>
      <c r="BN38" s="101">
        <f>((A7_A_L31*Otro3_A)+(A7_B_L31*Otro3_B)+(A7_C_L31*Otro3_C)+(A7_D_L31*Otro3_D)+(A7_Y_L31*Otro3_Y))*Inflación_7</f>
        <v>0</v>
      </c>
      <c r="BO38" s="101">
        <f>SUMIFS('9'!$E:$E,'9'!$A:$A,Año_Inicial+6,'9'!$B:$B,'12'!BN$4,'9'!$D:$D,"Otro insumo 3*")</f>
        <v>0</v>
      </c>
      <c r="BP38" s="101">
        <f>((A7_A_L32*Otro3_A)+(A7_B_L32*Otro3_B)+(A7_C_L32*Otro3_C)+(A7_D_L32*Otro3_D)+(A7_Y_L32*Otro3_Y))*Inflación_7</f>
        <v>0</v>
      </c>
      <c r="BQ38" s="101">
        <f>SUMIFS('9'!$E:$E,'9'!$A:$A,Año_Inicial+6,'9'!$B:$B,'12'!BP$4,'9'!$D:$D,"Otro insumo 3*")</f>
        <v>0</v>
      </c>
      <c r="BR38" s="101">
        <f>((A7_A_L33*Otro3_A)+(A7_B_L33*Otro3_B)+(A7_C_L33*Otro3_C)+(A7_D_L33*Otro3_D)+(A7_Y_L33*Otro3_Y))*Inflación_7</f>
        <v>0</v>
      </c>
      <c r="BS38" s="101">
        <f>SUMIFS('9'!$E:$E,'9'!$A:$A,Año_Inicial+6,'9'!$B:$B,'12'!BR$4,'9'!$D:$D,"Otro insumo 3*")</f>
        <v>0</v>
      </c>
      <c r="BT38" s="101">
        <f>((A7_A_L34*Otro3_A)+(A7_B_L34*Otro3_B)+(A7_C_L34*Otro3_C)+(A7_D_L34*Otro3_D)+(A7_Y_L34*Otro3_Y))*Inflación_7</f>
        <v>0</v>
      </c>
      <c r="BU38" s="101">
        <f>SUMIFS('9'!$E:$E,'9'!$A:$A,Año_Inicial+6,'9'!$B:$B,'12'!BT$4,'9'!$D:$D,"Otro insumo 3*")</f>
        <v>0</v>
      </c>
      <c r="BV38" s="101">
        <f>((A7_A_L35*Otro3_A)+(A7_B_L35*Otro3_B)+(A7_C_L35*Otro3_C)+(A7_D_L35*Otro3_D)+(A7_Y_L35*Otro3_Y))*Inflación_7</f>
        <v>0</v>
      </c>
      <c r="BW38" s="101">
        <f>SUMIFS('9'!$E:$E,'9'!$A:$A,Año_Inicial+6,'9'!$B:$B,'12'!BV$4,'9'!$D:$D,"Otro insumo 3*")</f>
        <v>0</v>
      </c>
      <c r="BX38" s="101">
        <f>((A7_A_L36*Otro3_A)+(A7_B_L36*Otro3_B)+(A7_C_L36*Otro3_C)+(A7_D_L36*Otro3_D)+(A7_Y_L36*Otro3_Y))*Inflación_7</f>
        <v>0</v>
      </c>
      <c r="BY38" s="101">
        <f>SUMIFS('9'!$E:$E,'9'!$A:$A,Año_Inicial+6,'9'!$B:$B,'12'!BX$4,'9'!$D:$D,"Otro insumo 3*")</f>
        <v>0</v>
      </c>
      <c r="BZ38" s="101">
        <f>((A7_A_L37*Otro3_A)+(A7_B_L37*Otro3_B)+(A7_C_L37*Otro3_C)+(A7_D_L37*Otro3_D)+(A7_Y_L37*Otro3_Y))*Inflación_7</f>
        <v>0</v>
      </c>
      <c r="CA38" s="101">
        <f>SUMIFS('9'!$E:$E,'9'!$A:$A,Año_Inicial+6,'9'!$B:$B,'12'!BZ$4,'9'!$D:$D,"Otro insumo 3*")</f>
        <v>0</v>
      </c>
      <c r="CB38" s="101">
        <f>((A7_A_L38*Otro3_A)+(A7_B_L38*Otro3_B)+(A7_C_L38*Otro3_C)+(A7_D_L38*Otro3_D)+(A7_Y_L38*Otro3_Y))*Inflación_7</f>
        <v>0</v>
      </c>
      <c r="CC38" s="101">
        <f>SUMIFS('9'!$E:$E,'9'!$A:$A,Año_Inicial+6,'9'!$B:$B,'12'!CB$4,'9'!$D:$D,"Otro insumo 3*")</f>
        <v>0</v>
      </c>
      <c r="CD38" s="101">
        <f>((A7_A_L39*Otro3_A)+(A7_B_L39*Otro3_B)+(A7_C_L39*Otro3_C)+(A7_D_L39*Otro3_D)+(A7_Y_L39*Otro3_Y))*Inflación_7</f>
        <v>0</v>
      </c>
      <c r="CE38" s="101">
        <f>SUMIFS('9'!$E:$E,'9'!$A:$A,Año_Inicial+6,'9'!$B:$B,'12'!CD$4,'9'!$D:$D,"Otro insumo 3*")</f>
        <v>0</v>
      </c>
      <c r="CF38" s="101">
        <f>((A7_A_L40*Otro3_A)+(A7_B_L40*Otro3_B)+(A7_C_L40*Otro3_C)+(A7_D_L40*Otro3_D)+(A7_Y_L40*Otro3_Y))*Inflación_7</f>
        <v>0</v>
      </c>
      <c r="CG38" s="101">
        <f>SUMIFS('9'!$E:$E,'9'!$A:$A,Año_Inicial+6,'9'!$B:$B,'12'!CF$4,'9'!$D:$D,"Otro insumo 3*")</f>
        <v>0</v>
      </c>
      <c r="CH38" s="473"/>
      <c r="CI38" s="101">
        <f>Plantas_A_A7*Otro3_A*Inflación_7</f>
        <v>0</v>
      </c>
      <c r="CJ38" s="101">
        <f>Plantas_B_A7*Otro3_B</f>
        <v>0</v>
      </c>
      <c r="CK38" s="101">
        <f>Plantas_C_A7*Otro3_C</f>
        <v>0</v>
      </c>
      <c r="CL38" s="101">
        <f>Plantas_D_A7*Otro3_D</f>
        <v>0</v>
      </c>
      <c r="CM38" s="101"/>
      <c r="CN38" s="101">
        <f>Plantas_Y_A7*Otro3_Y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SUMIFS('9'!$E:$E,'9'!$A:$A,Año_Inicial+6,'9'!$D:$D,"Corte")</f>
        <v>0</v>
      </c>
      <c r="D40" s="100">
        <f t="shared" si="45"/>
        <v>0</v>
      </c>
      <c r="E40" s="473"/>
      <c r="F40" s="101">
        <f>P_A7_L1*CUI_Corte*Inflación_7</f>
        <v>0</v>
      </c>
      <c r="G40" s="101">
        <f>SUMIFS('9'!$E:$E,'9'!$A:$A,Año_Inicial+6,'9'!$B:$B,'12'!F$4,'9'!$D:$D,"Corte")</f>
        <v>0</v>
      </c>
      <c r="H40" s="101">
        <f>P_A7_L2*CUI_Corte*Inflación_7</f>
        <v>0</v>
      </c>
      <c r="I40" s="101">
        <f>SUMIFS('9'!$E:$E,'9'!$A:$A,Año_Inicial+6,'9'!$B:$B,'12'!H$4,'9'!$D:$D,"Corte")</f>
        <v>0</v>
      </c>
      <c r="J40" s="101">
        <f>P_A7_L3*CUI_Corte*Inflación_7</f>
        <v>0</v>
      </c>
      <c r="K40" s="101">
        <f>SUMIFS('9'!$E:$E,'9'!$A:$A,Año_Inicial+6,'9'!$B:$B,'12'!J$4,'9'!$D:$D,"Corte")</f>
        <v>0</v>
      </c>
      <c r="L40" s="101">
        <f>P_A7_L4*CUI_Corte*Inflación_7</f>
        <v>0</v>
      </c>
      <c r="M40" s="101">
        <f>SUMIFS('9'!$E:$E,'9'!$A:$A,Año_Inicial+6,'9'!$B:$B,'12'!L$4,'9'!$D:$D,"Corte")</f>
        <v>0</v>
      </c>
      <c r="N40" s="101">
        <f>P_A7_L5*CUI_Corte*Inflación_7</f>
        <v>0</v>
      </c>
      <c r="O40" s="101">
        <f>SUMIFS('9'!$E:$E,'9'!$A:$A,Año_Inicial+6,'9'!$B:$B,'12'!N$4,'9'!$D:$D,"Corte")</f>
        <v>0</v>
      </c>
      <c r="P40" s="101">
        <f>P_A7_L6*CUI_Corte*Inflación_7</f>
        <v>0</v>
      </c>
      <c r="Q40" s="101">
        <f>SUMIFS('9'!$E:$E,'9'!$A:$A,Año_Inicial+6,'9'!$B:$B,'12'!P$4,'9'!$D:$D,"Corte")</f>
        <v>0</v>
      </c>
      <c r="R40" s="101">
        <f>P_A7_L7*CUI_Corte*Inflación_7</f>
        <v>0</v>
      </c>
      <c r="S40" s="101">
        <f>SUMIFS('9'!$E:$E,'9'!$A:$A,Año_Inicial+6,'9'!$B:$B,'12'!R$4,'9'!$D:$D,"Corte")</f>
        <v>0</v>
      </c>
      <c r="T40" s="101">
        <f>P_A7_L8*CUI_Corte*Inflación_7</f>
        <v>0</v>
      </c>
      <c r="U40" s="101">
        <f>SUMIFS('9'!$E:$E,'9'!$A:$A,Año_Inicial+6,'9'!$B:$B,'12'!T$4,'9'!$D:$D,"Corte")</f>
        <v>0</v>
      </c>
      <c r="V40" s="101">
        <f>P_A7_L9*CUI_Corte*Inflación_7</f>
        <v>0</v>
      </c>
      <c r="W40" s="101">
        <f>SUMIFS('9'!$E:$E,'9'!$A:$A,Año_Inicial+6,'9'!$B:$B,'12'!V$4,'9'!$D:$D,"Corte")</f>
        <v>0</v>
      </c>
      <c r="X40" s="101">
        <f>P_A7_L10*CUI_Corte*Inflación_7</f>
        <v>0</v>
      </c>
      <c r="Y40" s="101">
        <f>SUMIFS('9'!$E:$E,'9'!$A:$A,Año_Inicial+6,'9'!$B:$B,'12'!X$4,'9'!$D:$D,"Corte")</f>
        <v>0</v>
      </c>
      <c r="Z40" s="101">
        <f>P_A7_L11*CUI_Corte*Inflación_7</f>
        <v>0</v>
      </c>
      <c r="AA40" s="101">
        <f>SUMIFS('9'!$E:$E,'9'!$A:$A,Año_Inicial+6,'9'!$B:$B,'12'!Z$4,'9'!$D:$D,"Corte")</f>
        <v>0</v>
      </c>
      <c r="AB40" s="101">
        <f>P_A7_L12*CUI_Corte*Inflación_7</f>
        <v>0</v>
      </c>
      <c r="AC40" s="101">
        <f>SUMIFS('9'!$E:$E,'9'!$A:$A,Año_Inicial+6,'9'!$B:$B,'12'!AB$4,'9'!$D:$D,"Corte")</f>
        <v>0</v>
      </c>
      <c r="AD40" s="101">
        <f>P_A7_L13*CUI_Corte*Inflación_7</f>
        <v>0</v>
      </c>
      <c r="AE40" s="101">
        <f>SUMIFS('9'!$E:$E,'9'!$A:$A,Año_Inicial+6,'9'!$B:$B,'12'!AD$4,'9'!$D:$D,"Corte")</f>
        <v>0</v>
      </c>
      <c r="AF40" s="101">
        <f>P_A7_L14*CUI_Corte*Inflación_7</f>
        <v>0</v>
      </c>
      <c r="AG40" s="101">
        <f>SUMIFS('9'!$E:$E,'9'!$A:$A,Año_Inicial+6,'9'!$B:$B,'12'!AF$4,'9'!$D:$D,"Corte")</f>
        <v>0</v>
      </c>
      <c r="AH40" s="101">
        <f>P_A7_L15*CUI_Corte*Inflación_7</f>
        <v>0</v>
      </c>
      <c r="AI40" s="101">
        <f>SUMIFS('9'!$E:$E,'9'!$A:$A,Año_Inicial+6,'9'!$B:$B,'12'!AH$4,'9'!$D:$D,"Corte")</f>
        <v>0</v>
      </c>
      <c r="AJ40" s="101">
        <f>P_A7_L16*CUI_Corte*Inflación_7</f>
        <v>0</v>
      </c>
      <c r="AK40" s="101">
        <f>SUMIFS('9'!$E:$E,'9'!$A:$A,Año_Inicial+6,'9'!$B:$B,'12'!AJ$4,'9'!$D:$D,"Corte")</f>
        <v>0</v>
      </c>
      <c r="AL40" s="101">
        <f>P_A7_L17*CUI_Corte*Inflación_7</f>
        <v>0</v>
      </c>
      <c r="AM40" s="101">
        <f>SUMIFS('9'!$E:$E,'9'!$A:$A,Año_Inicial+6,'9'!$B:$B,'12'!AL$4,'9'!$D:$D,"Corte")</f>
        <v>0</v>
      </c>
      <c r="AN40" s="101">
        <f>P_A7_L18*CUI_Corte*Inflación_7</f>
        <v>0</v>
      </c>
      <c r="AO40" s="101">
        <f>SUMIFS('9'!$E:$E,'9'!$A:$A,Año_Inicial+6,'9'!$B:$B,'12'!AN$4,'9'!$D:$D,"Corte")</f>
        <v>0</v>
      </c>
      <c r="AP40" s="101">
        <f>P_A7_L19*CUI_Corte*Inflación_7</f>
        <v>0</v>
      </c>
      <c r="AQ40" s="101">
        <f>SUMIFS('9'!$E:$E,'9'!$A:$A,Año_Inicial+6,'9'!$B:$B,'12'!AP$4,'9'!$D:$D,"Corte")</f>
        <v>0</v>
      </c>
      <c r="AR40" s="101">
        <f>P_A7_L20*CUI_Corte*Inflación_7</f>
        <v>0</v>
      </c>
      <c r="AS40" s="101">
        <f>SUMIFS('9'!$E:$E,'9'!$A:$A,Año_Inicial+6,'9'!$B:$B,'12'!AR$4,'9'!$D:$D,"Corte")</f>
        <v>0</v>
      </c>
      <c r="AT40" s="101">
        <f>P_A7_L21*CUI_Corte*Inflación_7</f>
        <v>0</v>
      </c>
      <c r="AU40" s="101">
        <f>SUMIFS('9'!$E:$E,'9'!$A:$A,Año_Inicial+6,'9'!$B:$B,'12'!AT$4,'9'!$D:$D,"Corte")</f>
        <v>0</v>
      </c>
      <c r="AV40" s="101">
        <f>P_A7_L22*CUI_Corte*Inflación_7</f>
        <v>0</v>
      </c>
      <c r="AW40" s="101">
        <f>SUMIFS('9'!$E:$E,'9'!$A:$A,Año_Inicial+6,'9'!$B:$B,'12'!AV$4,'9'!$D:$D,"Corte")</f>
        <v>0</v>
      </c>
      <c r="AX40" s="101">
        <f>P_A7_L23*CUI_Corte*Inflación_7</f>
        <v>0</v>
      </c>
      <c r="AY40" s="101">
        <f>SUMIFS('9'!$E:$E,'9'!$A:$A,Año_Inicial+6,'9'!$B:$B,'12'!AX$4,'9'!$D:$D,"Corte")</f>
        <v>0</v>
      </c>
      <c r="AZ40" s="101">
        <f>P_A7_L24*CUI_Corte*Inflación_7</f>
        <v>0</v>
      </c>
      <c r="BA40" s="101">
        <f>SUMIFS('9'!$E:$E,'9'!$A:$A,Año_Inicial+6,'9'!$B:$B,'12'!AZ$4,'9'!$D:$D,"Corte")</f>
        <v>0</v>
      </c>
      <c r="BB40" s="101">
        <f>P_A7_L25*CUI_Corte*Inflación_7</f>
        <v>0</v>
      </c>
      <c r="BC40" s="101">
        <f>SUMIFS('9'!$E:$E,'9'!$A:$A,Año_Inicial+6,'9'!$B:$B,'12'!BB$4,'9'!$D:$D,"Corte")</f>
        <v>0</v>
      </c>
      <c r="BD40" s="101">
        <f>P_A7_L26*CUI_Corte*Inflación_7</f>
        <v>0</v>
      </c>
      <c r="BE40" s="101">
        <f>SUMIFS('9'!$E:$E,'9'!$A:$A,Año_Inicial+6,'9'!$B:$B,'12'!BD$4,'9'!$D:$D,"Corte")</f>
        <v>0</v>
      </c>
      <c r="BF40" s="101">
        <f>P_A7_L27*CUI_Corte*Inflación_7</f>
        <v>0</v>
      </c>
      <c r="BG40" s="101">
        <f>SUMIFS('9'!$E:$E,'9'!$A:$A,Año_Inicial+6,'9'!$B:$B,'12'!BF$4,'9'!$D:$D,"Corte")</f>
        <v>0</v>
      </c>
      <c r="BH40" s="101">
        <f>P_A7_L28*CUI_Corte*Inflación_7</f>
        <v>0</v>
      </c>
      <c r="BI40" s="101">
        <f>SUMIFS('9'!$E:$E,'9'!$A:$A,Año_Inicial+6,'9'!$B:$B,'12'!BH$4,'9'!$D:$D,"Corte")</f>
        <v>0</v>
      </c>
      <c r="BJ40" s="101">
        <f>P_A7_L29*CUI_Corte*Inflación_7</f>
        <v>0</v>
      </c>
      <c r="BK40" s="101">
        <f>SUMIFS('9'!$E:$E,'9'!$A:$A,Año_Inicial+6,'9'!$B:$B,'12'!BJ$4,'9'!$D:$D,"Corte")</f>
        <v>0</v>
      </c>
      <c r="BL40" s="101">
        <f>P_A7_L30*CUI_Corte*Inflación_7</f>
        <v>0</v>
      </c>
      <c r="BM40" s="101">
        <f>SUMIFS('9'!$E:$E,'9'!$A:$A,Año_Inicial+6,'9'!$B:$B,'12'!BL$4,'9'!$D:$D,"Corte")</f>
        <v>0</v>
      </c>
      <c r="BN40" s="101">
        <f>P_A7_L31*CUI_Corte*Inflación_7</f>
        <v>0</v>
      </c>
      <c r="BO40" s="101">
        <f>SUMIFS('9'!$E:$E,'9'!$A:$A,Año_Inicial+6,'9'!$B:$B,'12'!BN$4,'9'!$D:$D,"Corte")</f>
        <v>0</v>
      </c>
      <c r="BP40" s="101">
        <f>P_A7_L32*CUI_Corte*Inflación_7</f>
        <v>0</v>
      </c>
      <c r="BQ40" s="101">
        <f>SUMIFS('9'!$E:$E,'9'!$A:$A,Año_Inicial+6,'9'!$B:$B,'12'!BP$4,'9'!$D:$D,"Corte")</f>
        <v>0</v>
      </c>
      <c r="BR40" s="101">
        <f>P_A7_L33*CUI_Corte*Inflación_7</f>
        <v>0</v>
      </c>
      <c r="BS40" s="101">
        <f>SUMIFS('9'!$E:$E,'9'!$A:$A,Año_Inicial+6,'9'!$B:$B,'12'!BR$4,'9'!$D:$D,"Corte")</f>
        <v>0</v>
      </c>
      <c r="BT40" s="101">
        <f>P_A7_L34*CUI_Corte*Inflación_7</f>
        <v>0</v>
      </c>
      <c r="BU40" s="101">
        <f>SUMIFS('9'!$E:$E,'9'!$A:$A,Año_Inicial+6,'9'!$B:$B,'12'!BT$4,'9'!$D:$D,"Corte")</f>
        <v>0</v>
      </c>
      <c r="BV40" s="101">
        <f>P_A7_L35*CUI_Corte*Inflación_7</f>
        <v>0</v>
      </c>
      <c r="BW40" s="101">
        <f>SUMIFS('9'!$E:$E,'9'!$A:$A,Año_Inicial+6,'9'!$B:$B,'12'!BV$4,'9'!$D:$D,"Corte")</f>
        <v>0</v>
      </c>
      <c r="BX40" s="101">
        <f>P_A7_L36*CUI_Corte*Inflación_7</f>
        <v>0</v>
      </c>
      <c r="BY40" s="101">
        <f>SUMIFS('9'!$E:$E,'9'!$A:$A,Año_Inicial+6,'9'!$B:$B,'12'!BX$4,'9'!$D:$D,"Corte")</f>
        <v>0</v>
      </c>
      <c r="BZ40" s="101">
        <f>P_A7_L37*CUI_Corte*Inflación_7</f>
        <v>0</v>
      </c>
      <c r="CA40" s="101">
        <f>SUMIFS('9'!$E:$E,'9'!$A:$A,Año_Inicial+6,'9'!$B:$B,'12'!BZ$4,'9'!$D:$D,"Corte")</f>
        <v>0</v>
      </c>
      <c r="CB40" s="101">
        <f>P_A7_L38*CUI_Corte*Inflación_7</f>
        <v>0</v>
      </c>
      <c r="CC40" s="101">
        <f>SUMIFS('9'!$E:$E,'9'!$A:$A,Año_Inicial+6,'9'!$B:$B,'12'!CB$4,'9'!$D:$D,"Corte")</f>
        <v>0</v>
      </c>
      <c r="CD40" s="101">
        <f>P_A7_L39*CUI_Corte*Inflación_7</f>
        <v>0</v>
      </c>
      <c r="CE40" s="101">
        <f>SUMIFS('9'!$E:$E,'9'!$A:$A,Año_Inicial+6,'9'!$B:$B,'12'!CD$4,'9'!$D:$D,"Corte")</f>
        <v>0</v>
      </c>
      <c r="CF40" s="101">
        <f>P_A7_L40*CUI_Corte*Inflación_7</f>
        <v>0</v>
      </c>
      <c r="CG40" s="101">
        <f>SUMIFS('9'!$E:$E,'9'!$A:$A,Año_Inicial+6,'9'!$B:$B,'12'!CF$4,'9'!$D:$D,"Corte")</f>
        <v>0</v>
      </c>
      <c r="CH40" s="473"/>
      <c r="CI40" s="101">
        <f>CI7*CUI_Corte*Inflación_7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SUMIFS('9'!$E:$E,'9'!$A:$A,Año_Inicial+6,'9'!$D:$D,"Beneficiado")</f>
        <v>0</v>
      </c>
      <c r="D41" s="100" t="e">
        <f t="shared" si="45"/>
        <v>#DIV/0!</v>
      </c>
      <c r="E41" s="473"/>
      <c r="F41" s="101">
        <f>(P_A7_L1/5)*CUI_Poscosecha*Inflación_7</f>
        <v>0</v>
      </c>
      <c r="G41" s="101">
        <f>SUMIFS('9'!$E:$E,'9'!$A:$A,Año_Inicial+6,'9'!$B:$B,'12'!F$4,'9'!$D:$D,"Beneficiado")</f>
        <v>0</v>
      </c>
      <c r="H41" s="101">
        <f>(P_A7_L2/5)*CUI_Poscosecha*Inflación_7</f>
        <v>0</v>
      </c>
      <c r="I41" s="101">
        <f>SUMIFS('9'!$E:$E,'9'!$A:$A,Año_Inicial+6,'9'!$B:$B,'12'!H$4,'9'!$D:$D,"Beneficiado")</f>
        <v>0</v>
      </c>
      <c r="J41" s="101">
        <f>(P_A7_L3/5)*CUI_Poscosecha*Inflación_7</f>
        <v>0</v>
      </c>
      <c r="K41" s="101">
        <f>SUMIFS('9'!$E:$E,'9'!$A:$A,Año_Inicial+6,'9'!$B:$B,'12'!J$4,'9'!$D:$D,"Beneficiado")</f>
        <v>0</v>
      </c>
      <c r="L41" s="101">
        <f>(P_A7_L4/5)*CUI_Poscosecha*Inflación_7</f>
        <v>0</v>
      </c>
      <c r="M41" s="101">
        <f>SUMIFS('9'!$E:$E,'9'!$A:$A,Año_Inicial+6,'9'!$B:$B,'12'!L$4,'9'!$D:$D,"Beneficiado")</f>
        <v>0</v>
      </c>
      <c r="N41" s="101">
        <f>(P_A7_L5/5)*CUI_Poscosecha*Inflación_7</f>
        <v>0</v>
      </c>
      <c r="O41" s="101">
        <f>SUMIFS('9'!$E:$E,'9'!$A:$A,Año_Inicial+6,'9'!$B:$B,'12'!N$4,'9'!$D:$D,"Beneficiado")</f>
        <v>0</v>
      </c>
      <c r="P41" s="101">
        <f>(P_A7_L6/5)*CUI_Poscosecha*Inflación_7</f>
        <v>0</v>
      </c>
      <c r="Q41" s="101">
        <f>SUMIFS('9'!$E:$E,'9'!$A:$A,Año_Inicial+6,'9'!$B:$B,'12'!P$4,'9'!$D:$D,"Beneficiado")</f>
        <v>0</v>
      </c>
      <c r="R41" s="101">
        <f>(P_A7_L7/5)*CUI_Poscosecha*Inflación_7</f>
        <v>0</v>
      </c>
      <c r="S41" s="101">
        <f>SUMIFS('9'!$E:$E,'9'!$A:$A,Año_Inicial+6,'9'!$B:$B,'12'!R$4,'9'!$D:$D,"Beneficiado")</f>
        <v>0</v>
      </c>
      <c r="T41" s="101">
        <f>(P_A7_L8/5)*CUI_Poscosecha*Inflación_7</f>
        <v>0</v>
      </c>
      <c r="U41" s="101">
        <f>SUMIFS('9'!$E:$E,'9'!$A:$A,Año_Inicial+6,'9'!$B:$B,'12'!T$4,'9'!$D:$D,"Beneficiado")</f>
        <v>0</v>
      </c>
      <c r="V41" s="101">
        <f>(P_A7_L9/5)*CUI_Poscosecha*Inflación_7</f>
        <v>0</v>
      </c>
      <c r="W41" s="101">
        <f>SUMIFS('9'!$E:$E,'9'!$A:$A,Año_Inicial+6,'9'!$B:$B,'12'!V$4,'9'!$D:$D,"Beneficiado")</f>
        <v>0</v>
      </c>
      <c r="X41" s="101">
        <f>(P_A7_L10/5)*CUI_Poscosecha*Inflación_7</f>
        <v>0</v>
      </c>
      <c r="Y41" s="101">
        <f>SUMIFS('9'!$E:$E,'9'!$A:$A,Año_Inicial+6,'9'!$B:$B,'12'!X$4,'9'!$D:$D,"Beneficiado")</f>
        <v>0</v>
      </c>
      <c r="Z41" s="101">
        <f>(P_A7_L11/5)*CUI_Poscosecha*Inflación_7</f>
        <v>0</v>
      </c>
      <c r="AA41" s="101">
        <f>SUMIFS('9'!$E:$E,'9'!$A:$A,Año_Inicial+6,'9'!$B:$B,'12'!Z$4,'9'!$D:$D,"Beneficiado")</f>
        <v>0</v>
      </c>
      <c r="AB41" s="101">
        <f>(P_A7_L12/5)*CUI_Poscosecha*Inflación_7</f>
        <v>0</v>
      </c>
      <c r="AC41" s="101">
        <f>SUMIFS('9'!$E:$E,'9'!$A:$A,Año_Inicial+6,'9'!$B:$B,'12'!AB$4,'9'!$D:$D,"Beneficiado")</f>
        <v>0</v>
      </c>
      <c r="AD41" s="101">
        <f>(P_A7_L13/5)*CUI_Poscosecha*Inflación_7</f>
        <v>0</v>
      </c>
      <c r="AE41" s="101">
        <f>SUMIFS('9'!$E:$E,'9'!$A:$A,Año_Inicial+6,'9'!$B:$B,'12'!AD$4,'9'!$D:$D,"Beneficiado")</f>
        <v>0</v>
      </c>
      <c r="AF41" s="101">
        <f>(P_A7_L14/5)*CUI_Poscosecha*Inflación_7</f>
        <v>0</v>
      </c>
      <c r="AG41" s="101">
        <f>SUMIFS('9'!$E:$E,'9'!$A:$A,Año_Inicial+6,'9'!$B:$B,'12'!AF$4,'9'!$D:$D,"Beneficiado")</f>
        <v>0</v>
      </c>
      <c r="AH41" s="101">
        <f>(P_A7_L15/5)*CUI_Poscosecha*Inflación_7</f>
        <v>0</v>
      </c>
      <c r="AI41" s="101">
        <f>SUMIFS('9'!$E:$E,'9'!$A:$A,Año_Inicial+6,'9'!$B:$B,'12'!AH$4,'9'!$D:$D,"Beneficiado")</f>
        <v>0</v>
      </c>
      <c r="AJ41" s="101">
        <f>(P_A7_L16/5)*CUI_Poscosecha*Inflación_7</f>
        <v>0</v>
      </c>
      <c r="AK41" s="101">
        <f>SUMIFS('9'!$E:$E,'9'!$A:$A,Año_Inicial+6,'9'!$B:$B,'12'!AJ$4,'9'!$D:$D,"Beneficiado")</f>
        <v>0</v>
      </c>
      <c r="AL41" s="101">
        <f>(P_A7_L17/5)*CUI_Poscosecha*Inflación_7</f>
        <v>0</v>
      </c>
      <c r="AM41" s="101">
        <f>SUMIFS('9'!$E:$E,'9'!$A:$A,Año_Inicial+6,'9'!$B:$B,'12'!AL$4,'9'!$D:$D,"Beneficiado")</f>
        <v>0</v>
      </c>
      <c r="AN41" s="101">
        <f>(P_A7_L18/5)*CUI_Poscosecha*Inflación_7</f>
        <v>0</v>
      </c>
      <c r="AO41" s="101">
        <f>SUMIFS('9'!$E:$E,'9'!$A:$A,Año_Inicial+6,'9'!$B:$B,'12'!AN$4,'9'!$D:$D,"Beneficiado")</f>
        <v>0</v>
      </c>
      <c r="AP41" s="101">
        <f>(P_A7_L19/5)*CUI_Poscosecha*Inflación_7</f>
        <v>0</v>
      </c>
      <c r="AQ41" s="101">
        <f>SUMIFS('9'!$E:$E,'9'!$A:$A,Año_Inicial+6,'9'!$B:$B,'12'!AP$4,'9'!$D:$D,"Beneficiado")</f>
        <v>0</v>
      </c>
      <c r="AR41" s="101">
        <f>(P_A7_L20/5)*CUI_Poscosecha*Inflación_7</f>
        <v>0</v>
      </c>
      <c r="AS41" s="101">
        <f>SUMIFS('9'!$E:$E,'9'!$A:$A,Año_Inicial+6,'9'!$B:$B,'12'!AR$4,'9'!$D:$D,"Beneficiado")</f>
        <v>0</v>
      </c>
      <c r="AT41" s="101">
        <f>(P_A7_L21/5)*CUI_Poscosecha*Inflación_7</f>
        <v>0</v>
      </c>
      <c r="AU41" s="101">
        <f>SUMIFS('9'!$E:$E,'9'!$A:$A,Año_Inicial+6,'9'!$B:$B,'12'!AT$4,'9'!$D:$D,"Beneficiado")</f>
        <v>0</v>
      </c>
      <c r="AV41" s="101">
        <f>(P_A7_L22/5)*CUI_Poscosecha*Inflación_7</f>
        <v>0</v>
      </c>
      <c r="AW41" s="101">
        <f>SUMIFS('9'!$E:$E,'9'!$A:$A,Año_Inicial+6,'9'!$B:$B,'12'!AV$4,'9'!$D:$D,"Beneficiado")</f>
        <v>0</v>
      </c>
      <c r="AX41" s="101">
        <f>(P_A7_L23/5)*CUI_Poscosecha*Inflación_7</f>
        <v>0</v>
      </c>
      <c r="AY41" s="101">
        <f>SUMIFS('9'!$E:$E,'9'!$A:$A,Año_Inicial+6,'9'!$B:$B,'12'!AX$4,'9'!$D:$D,"Beneficiado")</f>
        <v>0</v>
      </c>
      <c r="AZ41" s="101">
        <f>(P_A7_L24/5)*CUI_Poscosecha*Inflación_7</f>
        <v>0</v>
      </c>
      <c r="BA41" s="101">
        <f>SUMIFS('9'!$E:$E,'9'!$A:$A,Año_Inicial+6,'9'!$B:$B,'12'!AZ$4,'9'!$D:$D,"Beneficiado")</f>
        <v>0</v>
      </c>
      <c r="BB41" s="101">
        <f>(P_A7_L25/5)*CUI_Poscosecha*Inflación_7</f>
        <v>0</v>
      </c>
      <c r="BC41" s="101">
        <f>SUMIFS('9'!$E:$E,'9'!$A:$A,Año_Inicial+6,'9'!$B:$B,'12'!BB$4,'9'!$D:$D,"Beneficiado")</f>
        <v>0</v>
      </c>
      <c r="BD41" s="101">
        <f>(P_A7_L26/5)*CUI_Poscosecha*Inflación_7</f>
        <v>0</v>
      </c>
      <c r="BE41" s="101">
        <f>SUMIFS('9'!$E:$E,'9'!$A:$A,Año_Inicial+6,'9'!$B:$B,'12'!BD$4,'9'!$D:$D,"Beneficiado")</f>
        <v>0</v>
      </c>
      <c r="BF41" s="101">
        <f>(P_A7_L27/5)*CUI_Poscosecha*Inflación_7</f>
        <v>0</v>
      </c>
      <c r="BG41" s="101">
        <f>SUMIFS('9'!$E:$E,'9'!$A:$A,Año_Inicial+6,'9'!$B:$B,'12'!BF$4,'9'!$D:$D,"Beneficiado")</f>
        <v>0</v>
      </c>
      <c r="BH41" s="101">
        <f>(P_A7_L28/5)*CUI_Poscosecha*Inflación_7</f>
        <v>0</v>
      </c>
      <c r="BI41" s="101">
        <f>SUMIFS('9'!$E:$E,'9'!$A:$A,Año_Inicial+6,'9'!$B:$B,'12'!BH$4,'9'!$D:$D,"Beneficiado")</f>
        <v>0</v>
      </c>
      <c r="BJ41" s="101">
        <f>(P_A7_L29/5)*CUI_Poscosecha*Inflación_7</f>
        <v>0</v>
      </c>
      <c r="BK41" s="101">
        <f>SUMIFS('9'!$E:$E,'9'!$A:$A,Año_Inicial+6,'9'!$B:$B,'12'!BJ$4,'9'!$D:$D,"Beneficiado")</f>
        <v>0</v>
      </c>
      <c r="BL41" s="101">
        <f>(P_A7_L30/5)*CUI_Poscosecha*Inflación_7</f>
        <v>0</v>
      </c>
      <c r="BM41" s="101">
        <f>SUMIFS('9'!$E:$E,'9'!$A:$A,Año_Inicial+6,'9'!$B:$B,'12'!BL$4,'9'!$D:$D,"Beneficiado")</f>
        <v>0</v>
      </c>
      <c r="BN41" s="101">
        <f>(P_A7_L31/5)*CUI_Poscosecha*Inflación_7</f>
        <v>0</v>
      </c>
      <c r="BO41" s="101">
        <f>SUMIFS('9'!$E:$E,'9'!$A:$A,Año_Inicial+6,'9'!$B:$B,'12'!BN$4,'9'!$D:$D,"Beneficiado")</f>
        <v>0</v>
      </c>
      <c r="BP41" s="101">
        <f>(P_A7_L32/5)*CUI_Poscosecha*Inflación_7</f>
        <v>0</v>
      </c>
      <c r="BQ41" s="101">
        <f>SUMIFS('9'!$E:$E,'9'!$A:$A,Año_Inicial+6,'9'!$B:$B,'12'!BP$4,'9'!$D:$D,"Beneficiado")</f>
        <v>0</v>
      </c>
      <c r="BR41" s="101">
        <f>(P_A7_L33/5)*CUI_Poscosecha*Inflación_7</f>
        <v>0</v>
      </c>
      <c r="BS41" s="101">
        <f>SUMIFS('9'!$E:$E,'9'!$A:$A,Año_Inicial+6,'9'!$B:$B,'12'!BR$4,'9'!$D:$D,"Beneficiado")</f>
        <v>0</v>
      </c>
      <c r="BT41" s="101">
        <f>(P_A7_L34/5)*CUI_Poscosecha*Inflación_7</f>
        <v>0</v>
      </c>
      <c r="BU41" s="101">
        <f>SUMIFS('9'!$E:$E,'9'!$A:$A,Año_Inicial+6,'9'!$B:$B,'12'!BT$4,'9'!$D:$D,"Beneficiado")</f>
        <v>0</v>
      </c>
      <c r="BV41" s="101">
        <f>(P_A7_L35/5)*CUI_Poscosecha*Inflación_7</f>
        <v>0</v>
      </c>
      <c r="BW41" s="101">
        <f>SUMIFS('9'!$E:$E,'9'!$A:$A,Año_Inicial+6,'9'!$B:$B,'12'!BV$4,'9'!$D:$D,"Beneficiado")</f>
        <v>0</v>
      </c>
      <c r="BX41" s="101">
        <f>(P_A7_L36/5)*CUI_Poscosecha*Inflación_7</f>
        <v>0</v>
      </c>
      <c r="BY41" s="101">
        <f>SUMIFS('9'!$E:$E,'9'!$A:$A,Año_Inicial+6,'9'!$B:$B,'12'!BX$4,'9'!$D:$D,"Beneficiado")</f>
        <v>0</v>
      </c>
      <c r="BZ41" s="101">
        <f>(P_A7_L37/5)*CUI_Poscosecha*Inflación_7</f>
        <v>0</v>
      </c>
      <c r="CA41" s="101">
        <f>SUMIFS('9'!$E:$E,'9'!$A:$A,Año_Inicial+6,'9'!$B:$B,'12'!BZ$4,'9'!$D:$D,"Beneficiado")</f>
        <v>0</v>
      </c>
      <c r="CB41" s="101">
        <f>(P_A7_L38/5)*CUI_Poscosecha*Inflación_7</f>
        <v>0</v>
      </c>
      <c r="CC41" s="101">
        <f>SUMIFS('9'!$E:$E,'9'!$A:$A,Año_Inicial+6,'9'!$B:$B,'12'!CB$4,'9'!$D:$D,"Beneficiado")</f>
        <v>0</v>
      </c>
      <c r="CD41" s="101">
        <f>(P_A7_L39/5)*CUI_Poscosecha*Inflación_7</f>
        <v>0</v>
      </c>
      <c r="CE41" s="101">
        <f>SUMIFS('9'!$E:$E,'9'!$A:$A,Año_Inicial+6,'9'!$B:$B,'12'!CD$4,'9'!$D:$D,"Beneficiado")</f>
        <v>0</v>
      </c>
      <c r="CF41" s="101">
        <f>(P_A7_L40/5)*CUI_Poscosecha*Inflación_7</f>
        <v>0</v>
      </c>
      <c r="CG41" s="101">
        <f>SUMIFS('9'!$E:$E,'9'!$A:$A,Año_Inicial+6,'9'!$B:$B,'12'!CF$4,'9'!$D:$D,"Beneficiado")</f>
        <v>0</v>
      </c>
      <c r="CH41" s="473"/>
      <c r="CI41" s="101" t="e">
        <f>(CI7/Pergo)*CUI_Poscosecha*Inflación_7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SUMIFS('9'!$E:$E,'9'!$A:$A,Año_Inicial+6,'9'!$C:$C,"Renovación")</f>
        <v>0</v>
      </c>
      <c r="D43" s="100">
        <f t="shared" si="45"/>
        <v>0</v>
      </c>
      <c r="E43" s="473"/>
      <c r="F43" s="101">
        <f>A7_Z_L1*Planta_Z*Inflación_7</f>
        <v>0</v>
      </c>
      <c r="G43" s="101">
        <f>SUMIFS('9'!$E:$E,'9'!$A:$A,Año_Inicial+6,'9'!$B:$B,'12'!F$4,'9'!$C:$C,"Renovación")</f>
        <v>0</v>
      </c>
      <c r="H43" s="101">
        <f>A7_Z_L2*Planta_Z*Inflación_7</f>
        <v>0</v>
      </c>
      <c r="I43" s="101">
        <f>SUMIFS('9'!$E:$E,'9'!$A:$A,Año_Inicial+6,'9'!$B:$B,'12'!H$4,'9'!$C:$C,"Renovación")</f>
        <v>0</v>
      </c>
      <c r="J43" s="101">
        <f>A7_Z_L3*Planta_Z*Inflación_7</f>
        <v>0</v>
      </c>
      <c r="K43" s="101">
        <f>SUMIFS('9'!$E:$E,'9'!$A:$A,Año_Inicial+6,'9'!$B:$B,'12'!J$4,'9'!$C:$C,"Renovación")</f>
        <v>0</v>
      </c>
      <c r="L43" s="101">
        <f>A7_Z_L4*Planta_Z*Inflación_7</f>
        <v>0</v>
      </c>
      <c r="M43" s="101">
        <f>SUMIFS('9'!$E:$E,'9'!$A:$A,Año_Inicial+6,'9'!$B:$B,'12'!L$4,'9'!$C:$C,"Renovación")</f>
        <v>0</v>
      </c>
      <c r="N43" s="101">
        <f>A7_Z_L5*Planta_Z*Inflación_7</f>
        <v>0</v>
      </c>
      <c r="O43" s="101">
        <f>SUMIFS('9'!$E:$E,'9'!$A:$A,Año_Inicial+6,'9'!$B:$B,'12'!N$4,'9'!$C:$C,"Renovación")</f>
        <v>0</v>
      </c>
      <c r="P43" s="101">
        <f>A7_Z_L6*Planta_Z*Inflación_7</f>
        <v>0</v>
      </c>
      <c r="Q43" s="101">
        <f>SUMIFS('9'!$E:$E,'9'!$A:$A,Año_Inicial+6,'9'!$B:$B,'12'!P$4,'9'!$C:$C,"Renovación")</f>
        <v>0</v>
      </c>
      <c r="R43" s="101">
        <f>A7_Z_L7*Planta_Z*Inflación_7</f>
        <v>0</v>
      </c>
      <c r="S43" s="101">
        <f>SUMIFS('9'!$E:$E,'9'!$A:$A,Año_Inicial+6,'9'!$B:$B,'12'!R$4,'9'!$C:$C,"Renovación")</f>
        <v>0</v>
      </c>
      <c r="T43" s="101">
        <f>A7_Z_L8*Planta_Z*Inflación_7</f>
        <v>0</v>
      </c>
      <c r="U43" s="101">
        <f>SUMIFS('9'!$E:$E,'9'!$A:$A,Año_Inicial+6,'9'!$B:$B,'12'!T$4,'9'!$C:$C,"Renovación")</f>
        <v>0</v>
      </c>
      <c r="V43" s="101">
        <f>A7_Z_L9*Planta_Z*Inflación_7</f>
        <v>0</v>
      </c>
      <c r="W43" s="101">
        <f>SUMIFS('9'!$E:$E,'9'!$A:$A,Año_Inicial+6,'9'!$B:$B,'12'!V$4,'9'!$C:$C,"Renovación")</f>
        <v>0</v>
      </c>
      <c r="X43" s="101">
        <f>A7_Z_L10*Planta_Z*Inflación_7</f>
        <v>0</v>
      </c>
      <c r="Y43" s="101">
        <f>SUMIFS('9'!$E:$E,'9'!$A:$A,Año_Inicial+6,'9'!$B:$B,'12'!X$4,'9'!$C:$C,"Renovación")</f>
        <v>0</v>
      </c>
      <c r="Z43" s="101">
        <f>A7_Z_L11*Planta_Z*Inflación_7</f>
        <v>0</v>
      </c>
      <c r="AA43" s="101">
        <f>SUMIFS('9'!$E:$E,'9'!$A:$A,Año_Inicial+6,'9'!$B:$B,'12'!Z$4,'9'!$C:$C,"Renovación")</f>
        <v>0</v>
      </c>
      <c r="AB43" s="101">
        <f>A7_Z_L12*Planta_Z*Inflación_7</f>
        <v>0</v>
      </c>
      <c r="AC43" s="101">
        <f>SUMIFS('9'!$E:$E,'9'!$A:$A,Año_Inicial+6,'9'!$B:$B,'12'!AB$4,'9'!$C:$C,"Renovación")</f>
        <v>0</v>
      </c>
      <c r="AD43" s="101">
        <f>A7_Z_L13*Planta_Z*Inflación_7</f>
        <v>0</v>
      </c>
      <c r="AE43" s="101">
        <f>SUMIFS('9'!$E:$E,'9'!$A:$A,Año_Inicial+6,'9'!$B:$B,'12'!AD$4,'9'!$C:$C,"Renovación")</f>
        <v>0</v>
      </c>
      <c r="AF43" s="101">
        <f>A7_Z_L14*Planta_Z*Inflación_7</f>
        <v>0</v>
      </c>
      <c r="AG43" s="101">
        <f>SUMIFS('9'!$E:$E,'9'!$A:$A,Año_Inicial+6,'9'!$B:$B,'12'!AF$4,'9'!$C:$C,"Renovación")</f>
        <v>0</v>
      </c>
      <c r="AH43" s="101">
        <f>A7_Z_L15*Planta_Z*Inflación_7</f>
        <v>0</v>
      </c>
      <c r="AI43" s="101">
        <f>SUMIFS('9'!$E:$E,'9'!$A:$A,Año_Inicial+6,'9'!$B:$B,'12'!AH$4,'9'!$C:$C,"Renovación")</f>
        <v>0</v>
      </c>
      <c r="AJ43" s="101">
        <f>A7_Z_L16*Planta_Z*Inflación_7</f>
        <v>0</v>
      </c>
      <c r="AK43" s="101">
        <f>SUMIFS('9'!$E:$E,'9'!$A:$A,Año_Inicial+6,'9'!$B:$B,'12'!AJ$4,'9'!$C:$C,"Renovación")</f>
        <v>0</v>
      </c>
      <c r="AL43" s="101">
        <f>A7_Z_L17*Planta_Z*Inflación_7</f>
        <v>0</v>
      </c>
      <c r="AM43" s="101">
        <f>SUMIFS('9'!$E:$E,'9'!$A:$A,Año_Inicial+6,'9'!$B:$B,'12'!AL$4,'9'!$C:$C,"Renovación")</f>
        <v>0</v>
      </c>
      <c r="AN43" s="101">
        <f>A7_Z_L18*Planta_Z*Inflación_7</f>
        <v>0</v>
      </c>
      <c r="AO43" s="101">
        <f>SUMIFS('9'!$E:$E,'9'!$A:$A,Año_Inicial+6,'9'!$B:$B,'12'!AN$4,'9'!$C:$C,"Renovación")</f>
        <v>0</v>
      </c>
      <c r="AP43" s="101">
        <f>A7_Z_L19*Planta_Z*Inflación_7</f>
        <v>0</v>
      </c>
      <c r="AQ43" s="101">
        <f>SUMIFS('9'!$E:$E,'9'!$A:$A,Año_Inicial+6,'9'!$B:$B,'12'!AP$4,'9'!$C:$C,"Renovación")</f>
        <v>0</v>
      </c>
      <c r="AR43" s="101">
        <f>A7_Z_L20*Planta_Z*Inflación_7</f>
        <v>0</v>
      </c>
      <c r="AS43" s="101">
        <f>SUMIFS('9'!$E:$E,'9'!$A:$A,Año_Inicial+6,'9'!$B:$B,'12'!AR$4,'9'!$C:$C,"Renovación")</f>
        <v>0</v>
      </c>
      <c r="AT43" s="101">
        <f>A7_Z_L21*Planta_Z*Inflación_7</f>
        <v>0</v>
      </c>
      <c r="AU43" s="101">
        <f>SUMIFS('9'!$E:$E,'9'!$A:$A,Año_Inicial+6,'9'!$B:$B,'12'!AT$4,'9'!$C:$C,"Renovación")</f>
        <v>0</v>
      </c>
      <c r="AV43" s="101">
        <f>A7_Z_L22*Planta_Z*Inflación_7</f>
        <v>0</v>
      </c>
      <c r="AW43" s="101">
        <f>SUMIFS('9'!$E:$E,'9'!$A:$A,Año_Inicial+6,'9'!$B:$B,'12'!AV$4,'9'!$C:$C,"Renovación")</f>
        <v>0</v>
      </c>
      <c r="AX43" s="101">
        <f>A7_Z_L23*Planta_Z*Inflación_7</f>
        <v>0</v>
      </c>
      <c r="AY43" s="101">
        <f>SUMIFS('9'!$E:$E,'9'!$A:$A,Año_Inicial+6,'9'!$B:$B,'12'!AX$4,'9'!$C:$C,"Renovación")</f>
        <v>0</v>
      </c>
      <c r="AZ43" s="101">
        <f>A7_Z_L24*Planta_Z*Inflación_7</f>
        <v>0</v>
      </c>
      <c r="BA43" s="101">
        <f>SUMIFS('9'!$E:$E,'9'!$A:$A,Año_Inicial+6,'9'!$B:$B,'12'!AZ$4,'9'!$C:$C,"Renovación")</f>
        <v>0</v>
      </c>
      <c r="BB43" s="101">
        <f>A7_Z_L25*Planta_Z*Inflación_7</f>
        <v>0</v>
      </c>
      <c r="BC43" s="101">
        <f>SUMIFS('9'!$E:$E,'9'!$A:$A,Año_Inicial+6,'9'!$B:$B,'12'!BB$4,'9'!$C:$C,"Renovación")</f>
        <v>0</v>
      </c>
      <c r="BD43" s="101">
        <f>A7_Z_L26*Planta_Z*Inflación_7</f>
        <v>0</v>
      </c>
      <c r="BE43" s="101">
        <f>SUMIFS('9'!$E:$E,'9'!$A:$A,Año_Inicial+6,'9'!$B:$B,'12'!BD$4,'9'!$C:$C,"Renovación")</f>
        <v>0</v>
      </c>
      <c r="BF43" s="101">
        <f>A7_Z_L27*Planta_Z*Inflación_7</f>
        <v>0</v>
      </c>
      <c r="BG43" s="101">
        <f>SUMIFS('9'!$E:$E,'9'!$A:$A,Año_Inicial+6,'9'!$B:$B,'12'!BF$4,'9'!$C:$C,"Renovación")</f>
        <v>0</v>
      </c>
      <c r="BH43" s="101">
        <f>A7_Z_L28*Planta_Z*Inflación_7</f>
        <v>0</v>
      </c>
      <c r="BI43" s="101">
        <f>SUMIFS('9'!$E:$E,'9'!$A:$A,Año_Inicial+6,'9'!$B:$B,'12'!BH$4,'9'!$C:$C,"Renovación")</f>
        <v>0</v>
      </c>
      <c r="BJ43" s="101">
        <f>A7_Z_L29*Planta_Z*Inflación_7</f>
        <v>0</v>
      </c>
      <c r="BK43" s="101">
        <f>SUMIFS('9'!$E:$E,'9'!$A:$A,Año_Inicial+6,'9'!$B:$B,'12'!BJ$4,'9'!$C:$C,"Renovación")</f>
        <v>0</v>
      </c>
      <c r="BL43" s="101">
        <f>A7_Z_L30*Planta_Z*Inflación_7</f>
        <v>0</v>
      </c>
      <c r="BM43" s="101">
        <f>SUMIFS('9'!$E:$E,'9'!$A:$A,Año_Inicial+6,'9'!$B:$B,'12'!BL$4,'9'!$C:$C,"Renovación")</f>
        <v>0</v>
      </c>
      <c r="BN43" s="101">
        <f>A7_Z_L31*Planta_Z*Inflación_7</f>
        <v>0</v>
      </c>
      <c r="BO43" s="101">
        <f>SUMIFS('9'!$E:$E,'9'!$A:$A,Año_Inicial+6,'9'!$B:$B,'12'!BN$4,'9'!$C:$C,"Renovación")</f>
        <v>0</v>
      </c>
      <c r="BP43" s="101">
        <f>A7_Z_L32*Planta_Z*Inflación_7</f>
        <v>0</v>
      </c>
      <c r="BQ43" s="101">
        <f>SUMIFS('9'!$E:$E,'9'!$A:$A,Año_Inicial+6,'9'!$B:$B,'12'!BP$4,'9'!$C:$C,"Renovación")</f>
        <v>0</v>
      </c>
      <c r="BR43" s="101">
        <f>A7_Z_L33*Planta_Z*Inflación_7</f>
        <v>0</v>
      </c>
      <c r="BS43" s="101">
        <f>SUMIFS('9'!$E:$E,'9'!$A:$A,Año_Inicial+6,'9'!$B:$B,'12'!BR$4,'9'!$C:$C,"Renovación")</f>
        <v>0</v>
      </c>
      <c r="BT43" s="101">
        <f>A7_Z_L34*Planta_Z*Inflación_7</f>
        <v>0</v>
      </c>
      <c r="BU43" s="101">
        <f>SUMIFS('9'!$E:$E,'9'!$A:$A,Año_Inicial+6,'9'!$B:$B,'12'!BT$4,'9'!$C:$C,"Renovación")</f>
        <v>0</v>
      </c>
      <c r="BV43" s="101">
        <f>A7_Z_L35*Planta_Z*Inflación_7</f>
        <v>0</v>
      </c>
      <c r="BW43" s="101">
        <f>SUMIFS('9'!$E:$E,'9'!$A:$A,Año_Inicial+6,'9'!$B:$B,'12'!BV$4,'9'!$C:$C,"Renovación")</f>
        <v>0</v>
      </c>
      <c r="BX43" s="101">
        <f>A7_Z_L36*Planta_Z*Inflación_7</f>
        <v>0</v>
      </c>
      <c r="BY43" s="101">
        <f>SUMIFS('9'!$E:$E,'9'!$A:$A,Año_Inicial+6,'9'!$B:$B,'12'!BX$4,'9'!$C:$C,"Renovación")</f>
        <v>0</v>
      </c>
      <c r="BZ43" s="101">
        <f>A7_Z_L37*Planta_Z*Inflación_7</f>
        <v>0</v>
      </c>
      <c r="CA43" s="101">
        <f>SUMIFS('9'!$E:$E,'9'!$A:$A,Año_Inicial+6,'9'!$B:$B,'12'!BZ$4,'9'!$C:$C,"Renovación")</f>
        <v>0</v>
      </c>
      <c r="CB43" s="101">
        <f>A7_Z_L38*Planta_Z*Inflación_7</f>
        <v>0</v>
      </c>
      <c r="CC43" s="101">
        <f>SUMIFS('9'!$E:$E,'9'!$A:$A,Año_Inicial+6,'9'!$B:$B,'12'!CB$4,'9'!$C:$C,"Renovación")</f>
        <v>0</v>
      </c>
      <c r="CD43" s="101">
        <f>A7_Z_L39*Planta_Z*Inflación_7</f>
        <v>0</v>
      </c>
      <c r="CE43" s="101">
        <f>SUMIFS('9'!$E:$E,'9'!$A:$A,Año_Inicial+6,'9'!$B:$B,'12'!CD$4,'9'!$C:$C,"Renovación")</f>
        <v>0</v>
      </c>
      <c r="CF43" s="101">
        <f>A7_Z_L40*Planta_Z*Inflación_7</f>
        <v>0</v>
      </c>
      <c r="CG43" s="101">
        <f>SUMIFS('9'!$E:$E,'9'!$A:$A,Año_Inicial+6,'9'!$B:$B,'12'!CF$4,'9'!$C:$C,"Renovación")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(Plantas_Z_A7*Planta_Z)*Inflación_7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Admin_2*Inflación_7</f>
        <v>0</v>
      </c>
      <c r="C44" s="101">
        <f>SUMIFS('9'!$E:$E,'9'!$A:$A,Año_Inicial+6,'9'!$C:$C,"Gastos_administrativos")</f>
        <v>0</v>
      </c>
      <c r="D44" s="100">
        <f t="shared" si="45"/>
        <v>0</v>
      </c>
      <c r="E44" s="473"/>
      <c r="F44" s="101">
        <f>($B44/$B47)*F47*Inflación_7</f>
        <v>0</v>
      </c>
      <c r="G44" s="101">
        <f>($C44/$B47)*F47</f>
        <v>0</v>
      </c>
      <c r="H44" s="101">
        <f>($B44/$B47)*H47*Inflación_7</f>
        <v>0</v>
      </c>
      <c r="I44" s="101">
        <f>($C44/$B47)*H47</f>
        <v>0</v>
      </c>
      <c r="J44" s="101">
        <f>($B44/$B47)*J47*Inflación_7</f>
        <v>0</v>
      </c>
      <c r="K44" s="101">
        <f>($C44/$B47)*J47</f>
        <v>0</v>
      </c>
      <c r="L44" s="101">
        <f>($B44/$B47)*L47*Inflación_7</f>
        <v>0</v>
      </c>
      <c r="M44" s="101">
        <f>($C44/$B47)*L47</f>
        <v>0</v>
      </c>
      <c r="N44" s="101">
        <f>($B44/$B47)*N47*Inflación_7</f>
        <v>0</v>
      </c>
      <c r="O44" s="101">
        <f>($C44/$B47)*N47</f>
        <v>0</v>
      </c>
      <c r="P44" s="101">
        <f>($B44/$B47)*P47*Inflación_7</f>
        <v>0</v>
      </c>
      <c r="Q44" s="101">
        <f>($C44/$B47)*P47</f>
        <v>0</v>
      </c>
      <c r="R44" s="101">
        <f>($B44/$B47)*R47*Inflación_7</f>
        <v>0</v>
      </c>
      <c r="S44" s="101">
        <f>($C44/$B47)*R47</f>
        <v>0</v>
      </c>
      <c r="T44" s="101">
        <f>($B44/$B47)*T47*Inflación_7</f>
        <v>0</v>
      </c>
      <c r="U44" s="101">
        <f>($C44/$B47)*T47</f>
        <v>0</v>
      </c>
      <c r="V44" s="101">
        <f>($B44/$B47)*V47*Inflación_7</f>
        <v>0</v>
      </c>
      <c r="W44" s="101">
        <f>($C44/$B47)*V47</f>
        <v>0</v>
      </c>
      <c r="X44" s="101">
        <f>($B44/$B47)*X47*Inflación_7</f>
        <v>0</v>
      </c>
      <c r="Y44" s="101">
        <f>($C44/$B47)*X47</f>
        <v>0</v>
      </c>
      <c r="Z44" s="101">
        <f>($B44/$B47)*Z47*Inflación_7</f>
        <v>0</v>
      </c>
      <c r="AA44" s="101">
        <f>($C44/$B47)*Z47</f>
        <v>0</v>
      </c>
      <c r="AB44" s="101">
        <f>($B44/$B47)*AB47*Inflación_7</f>
        <v>0</v>
      </c>
      <c r="AC44" s="101">
        <f>($C44/$B47)*AB47</f>
        <v>0</v>
      </c>
      <c r="AD44" s="101">
        <f>($B44/$B47)*AD47*Inflación_7</f>
        <v>0</v>
      </c>
      <c r="AE44" s="101">
        <f>($C44/$B47)*AD47</f>
        <v>0</v>
      </c>
      <c r="AF44" s="101">
        <f>($B44/$B47)*AF47*Inflación_7</f>
        <v>0</v>
      </c>
      <c r="AG44" s="101">
        <f>($C44/$B47)*AF47</f>
        <v>0</v>
      </c>
      <c r="AH44" s="101">
        <f>($B44/$B47)*AH47*Inflación_7</f>
        <v>0</v>
      </c>
      <c r="AI44" s="101">
        <f>($C44/$B47)*AH47</f>
        <v>0</v>
      </c>
      <c r="AJ44" s="101">
        <f>($B44/$B47)*AJ47*Inflación_7</f>
        <v>0</v>
      </c>
      <c r="AK44" s="101">
        <f>($C44/$B47)*AJ47</f>
        <v>0</v>
      </c>
      <c r="AL44" s="101">
        <f>($B44/$B47)*AL47*Inflación_7</f>
        <v>0</v>
      </c>
      <c r="AM44" s="101">
        <f>($C44/$B47)*AL47</f>
        <v>0</v>
      </c>
      <c r="AN44" s="101">
        <f>($B44/$B47)*AN47*Inflación_7</f>
        <v>0</v>
      </c>
      <c r="AO44" s="101">
        <f>($C44/$B47)*AN47</f>
        <v>0</v>
      </c>
      <c r="AP44" s="101">
        <f>($B44/$B47)*AP47*Inflación_7</f>
        <v>0</v>
      </c>
      <c r="AQ44" s="101">
        <f>($C44/$B47)*AP47</f>
        <v>0</v>
      </c>
      <c r="AR44" s="101">
        <f>($B44/$B47)*AR47*Inflación_7</f>
        <v>0</v>
      </c>
      <c r="AS44" s="101">
        <f>($C44/$B47)*AR47</f>
        <v>0</v>
      </c>
      <c r="AT44" s="101">
        <f>($B44/$B47)*AT47*Inflación_7</f>
        <v>0</v>
      </c>
      <c r="AU44" s="101">
        <f>($C44/$B47)*AT47</f>
        <v>0</v>
      </c>
      <c r="AV44" s="101">
        <f>($B44/$B47)*AV47*Inflación_7</f>
        <v>0</v>
      </c>
      <c r="AW44" s="101">
        <f>($C44/$B47)*AV47</f>
        <v>0</v>
      </c>
      <c r="AX44" s="101">
        <f>($B44/$B47)*AX47*Inflación_7</f>
        <v>0</v>
      </c>
      <c r="AY44" s="101">
        <f>($C44/$B47)*AX47</f>
        <v>0</v>
      </c>
      <c r="AZ44" s="101">
        <f>($B44/$B47)*AZ47*Inflación_7</f>
        <v>0</v>
      </c>
      <c r="BA44" s="101">
        <f>($C44/$B47)*AZ47</f>
        <v>0</v>
      </c>
      <c r="BB44" s="101">
        <f>($B44/$B47)*BB47*Inflación_7</f>
        <v>0</v>
      </c>
      <c r="BC44" s="101">
        <f>($C44/$B47)*BB47</f>
        <v>0</v>
      </c>
      <c r="BD44" s="101">
        <f>($B44/$B47)*BD47*Inflación_7</f>
        <v>0</v>
      </c>
      <c r="BE44" s="101">
        <f>($C44/$B47)*BD47</f>
        <v>0</v>
      </c>
      <c r="BF44" s="101">
        <f>($B44/$B47)*BF47*Inflación_7</f>
        <v>0</v>
      </c>
      <c r="BG44" s="101">
        <f>($C44/$B47)*BF47</f>
        <v>0</v>
      </c>
      <c r="BH44" s="101">
        <f>($B44/$B47)*BH47*Inflación_7</f>
        <v>0</v>
      </c>
      <c r="BI44" s="101">
        <f>($C44/$B47)*BH47</f>
        <v>0</v>
      </c>
      <c r="BJ44" s="101">
        <f>($B44/$B47)*BJ47*Inflación_7</f>
        <v>0</v>
      </c>
      <c r="BK44" s="101">
        <f>($C44/$B47)*BJ47</f>
        <v>0</v>
      </c>
      <c r="BL44" s="101">
        <f>($B44/$B47)*BL47*Inflación_7</f>
        <v>0</v>
      </c>
      <c r="BM44" s="101">
        <f>($C44/$B47)*BL47</f>
        <v>0</v>
      </c>
      <c r="BN44" s="101">
        <f>($B44/$B47)*BN47*Inflación_7</f>
        <v>0</v>
      </c>
      <c r="BO44" s="101">
        <f>($C44/$B47)*BN47</f>
        <v>0</v>
      </c>
      <c r="BP44" s="101">
        <f>($B44/$B47)*BP47*Inflación_7</f>
        <v>0</v>
      </c>
      <c r="BQ44" s="101">
        <f>($C44/$B47)*BP47</f>
        <v>0</v>
      </c>
      <c r="BR44" s="101">
        <f>($B44/$B47)*BR47*Inflación_7</f>
        <v>0</v>
      </c>
      <c r="BS44" s="101">
        <f>($C44/$B47)*BR47</f>
        <v>0</v>
      </c>
      <c r="BT44" s="101">
        <f>($B44/$B47)*BT47*Inflación_7</f>
        <v>0</v>
      </c>
      <c r="BU44" s="101">
        <f>($C44/$B47)*BT47</f>
        <v>0</v>
      </c>
      <c r="BV44" s="101">
        <f>($B44/$B47)*BV47*Inflación_7</f>
        <v>0</v>
      </c>
      <c r="BW44" s="101">
        <f>($C44/$B47)*BV47</f>
        <v>0</v>
      </c>
      <c r="BX44" s="101">
        <f>($B44/$B47)*BX47*Inflación_7</f>
        <v>0</v>
      </c>
      <c r="BY44" s="101">
        <f>($C44/$B47)*BX47</f>
        <v>0</v>
      </c>
      <c r="BZ44" s="101">
        <f>($B44/$B47)*BZ47*Inflación_7</f>
        <v>0</v>
      </c>
      <c r="CA44" s="101">
        <f>($C44/$B47)*BZ47</f>
        <v>0</v>
      </c>
      <c r="CB44" s="101">
        <f>($B44/$B47)*CB47*Inflación_7</f>
        <v>0</v>
      </c>
      <c r="CC44" s="101">
        <f>($C44/$B47)*CB47</f>
        <v>0</v>
      </c>
      <c r="CD44" s="101">
        <f>($B44/$B47)*CD47*Inflación_7</f>
        <v>0</v>
      </c>
      <c r="CE44" s="101">
        <f>($C44/$B47)*CD47</f>
        <v>0</v>
      </c>
      <c r="CF44" s="101">
        <f>($B44/$B47)*CF47*Inflación_7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A7_A_L1+A7_B_L1+A7_C_L1+A7_D_L1+A7_Y_L1+A7_Z_L1+A7_X_L1</f>
        <v>7000</v>
      </c>
      <c r="G47" s="479"/>
      <c r="H47" s="478">
        <f>A7_A_L2+A7_B_L2+A7_C_L2+A7_D_L2+A7_Y_L2+A7_Z_L2+A7_X_L2</f>
        <v>0</v>
      </c>
      <c r="I47" s="479"/>
      <c r="J47" s="478">
        <f>A7_A_L3+A7_B_L3+A7_C_L3+A7_D_L3+A7_Y_L3+A7_Z_L3+A7_X_L3</f>
        <v>0</v>
      </c>
      <c r="K47" s="479"/>
      <c r="L47" s="478">
        <f>A7_A_L4+A7_B_L4+A7_C_L4+A7_D_L4+A7_Y_L4+A7_Z_L4+A7_X_L4</f>
        <v>0</v>
      </c>
      <c r="M47" s="479"/>
      <c r="N47" s="478">
        <f>A7_A_L5+A7_B_L5+A7_C_L5+A7_D_L5+A7_Y_L5+A7_Z_L5+A7_X_L5</f>
        <v>0</v>
      </c>
      <c r="O47" s="479"/>
      <c r="P47" s="478">
        <f>A7_A_L6+A7_B_L6+A7_C_L6+A7_D_L6+A7_Y_L6+A7_Z_L6+A7_X_L6</f>
        <v>0</v>
      </c>
      <c r="Q47" s="479"/>
      <c r="R47" s="478">
        <f>A7_A_L7+A7_B_L7+A7_C_L7+A7_D_L7+A7_Y_L7+A7_Z_L7+A7_X_L7</f>
        <v>0</v>
      </c>
      <c r="S47" s="479"/>
      <c r="T47" s="478">
        <f>A7_A_L8+A7_B_L8+A7_C_L8+A7_D_L8+A7_Y_L8+A7_Z_L8+A7_X_L8</f>
        <v>0</v>
      </c>
      <c r="U47" s="479"/>
      <c r="V47" s="478">
        <f>A7_A_L9+A7_B_L9+A7_C_L9+A7_D_L9+A7_Y_L9+A7_Z_L9+A7_X_L9</f>
        <v>0</v>
      </c>
      <c r="W47" s="479"/>
      <c r="X47" s="478">
        <f>A7_A_L10+A7_B_L10+A7_C_L10+A7_D_L10+A7_Y_L10+A7_Z_L10+A7_X_L10</f>
        <v>0</v>
      </c>
      <c r="Y47" s="479"/>
      <c r="Z47" s="478">
        <f>A7_A_L11+A7_B_L11+A7_C_L11+A7_D_L11+A7_Y_L11+A7_Z_L11+A7_X_L11</f>
        <v>0</v>
      </c>
      <c r="AA47" s="479"/>
      <c r="AB47" s="478">
        <f>A7_A_L12+A7_B_L12+A7_C_L12+A7_D_L12+A7_Y_L12+A7_Z_L12+A7_X_L12</f>
        <v>0</v>
      </c>
      <c r="AC47" s="479"/>
      <c r="AD47" s="478">
        <f>A7_A_L13+A7_B_L13+A7_C_L13+A7_D_L13+A7_Y_L13+A7_Z_L13+A7_X_L13</f>
        <v>0</v>
      </c>
      <c r="AE47" s="479"/>
      <c r="AF47" s="478">
        <f>A7_A_L14+A7_B_L14+A7_C_L14+A7_D_L14+A7_Y_L14+A7_Z_L14+A7_X_L14</f>
        <v>0</v>
      </c>
      <c r="AG47" s="479"/>
      <c r="AH47" s="478">
        <f>A7_A_L15+A7_B_L15+A7_C_L15+A7_D_L15+A7_Y_L15+A7_Z_L15+A7_X_L15</f>
        <v>0</v>
      </c>
      <c r="AI47" s="479"/>
      <c r="AJ47" s="478">
        <f>A7_A_L16+A7_B_L16+A7_C_L16+A7_D_L16+A7_Y_L16+A7_Z_L16+A7_X_L16</f>
        <v>0</v>
      </c>
      <c r="AK47" s="479"/>
      <c r="AL47" s="478">
        <f>A7_A_L17+A7_B_L17+A7_C_L17+A7_D_L17+A7_Y_L17+A7_Z_L17+A7_X_L17</f>
        <v>0</v>
      </c>
      <c r="AM47" s="479"/>
      <c r="AN47" s="478">
        <f>A7_A_L18+A7_B_L18+A7_C_L18+A7_D_L18+A7_Y_L18+A7_Z_L18+A7_X_L18</f>
        <v>0</v>
      </c>
      <c r="AO47" s="479"/>
      <c r="AP47" s="478">
        <f>A7_A_L19+A7_B_L19+A7_C_L19+A7_D_L19+A7_Y_L19+A7_Z_L19+A7_X_L19</f>
        <v>0</v>
      </c>
      <c r="AQ47" s="479"/>
      <c r="AR47" s="478">
        <f>A7_A_L20+A7_B_L20+A7_C_L20+A7_D_L20+A7_Y_L20+A7_Z_L20+A7_X_L20</f>
        <v>0</v>
      </c>
      <c r="AS47" s="479"/>
      <c r="AT47" s="478">
        <f>A7_A_L21+A7_B_L21+A7_C_L21+A7_D_L21+A7_Y_L21+A7_Z_L21+A7_X_L21</f>
        <v>0</v>
      </c>
      <c r="AU47" s="479"/>
      <c r="AV47" s="478">
        <f>A7_A_L22+A7_B_L22+A7_C_L22+A7_D_L22+A7_Y_L22+A7_Z_L22+A7_X_L22</f>
        <v>0</v>
      </c>
      <c r="AW47" s="479"/>
      <c r="AX47" s="478">
        <f>A7_A_L23+A7_B_L23+A7_C_L23+A7_D_L23+A7_Y_L23+A7_Z_L23+A7_X_L23</f>
        <v>0</v>
      </c>
      <c r="AY47" s="479"/>
      <c r="AZ47" s="478">
        <f>A7_A_L24+A7_B_L24+A7_C_L24+A7_D_L24+A7_Y_L24+A7_Z_L24+A7_X_L24</f>
        <v>0</v>
      </c>
      <c r="BA47" s="479"/>
      <c r="BB47" s="478">
        <f>A7_A_L25+A7_B_L25+A7_C_L25+A7_D_L25+A7_Y_L25+A7_Z_L25+A7_X_L25</f>
        <v>0</v>
      </c>
      <c r="BC47" s="479"/>
      <c r="BD47" s="478">
        <f>A7_A_L26+A7_B_L26+A7_C_L26+A7_D_L26+A7_Y_L26+A7_Z_L26+A7_X_L26</f>
        <v>0</v>
      </c>
      <c r="BE47" s="479"/>
      <c r="BF47" s="478">
        <f>A7_A_L27+A7_B_L27+A7_C_L27+A7_D_L27+A7_Y_L27+A7_Z_L27+A7_X_L27</f>
        <v>0</v>
      </c>
      <c r="BG47" s="479"/>
      <c r="BH47" s="478">
        <f>A7_A_L28+A7_B_L28+A7_C_L28+A7_D_L28+A7_Y_L28+A7_Z_L28+A7_X_L28</f>
        <v>0</v>
      </c>
      <c r="BI47" s="479"/>
      <c r="BJ47" s="478">
        <f>A7_A_L29+A7_B_L29+A7_C_L29+A7_D_L29+A7_Y_L29+A7_Z_L29+A7_X_L29</f>
        <v>0</v>
      </c>
      <c r="BK47" s="479"/>
      <c r="BL47" s="478">
        <f>A7_A_L30+A7_B_L30+A7_C_L30+A7_D_L30+A7_Y_L30+A7_Z_L30+A7_X_L30</f>
        <v>0</v>
      </c>
      <c r="BM47" s="479"/>
      <c r="BN47" s="478">
        <f>A7_A_L31+A7_B_L31+A7_C_L31+A7_D_L31+A7_Y_L31+A7_Z_L31+A7_X_L31</f>
        <v>0</v>
      </c>
      <c r="BO47" s="479"/>
      <c r="BP47" s="478">
        <f>A7_A_L32+A7_B_L32+A7_C_L32+A7_D_L32+A7_Y_L32+A7_Z_L32+A7_X_L32</f>
        <v>0</v>
      </c>
      <c r="BQ47" s="479"/>
      <c r="BR47" s="478">
        <f>A7_A_L33+A7_B_L33+A7_C_L33+A7_D_L33+A7_Y_L33+A7_Z_L33+A7_X_L33</f>
        <v>0</v>
      </c>
      <c r="BS47" s="479"/>
      <c r="BT47" s="478">
        <f>A7_A_L34+A7_B_L34+A7_C_L34+A7_D_L34+A7_Y_L34+A7_Z_L34+A7_X_L34</f>
        <v>0</v>
      </c>
      <c r="BU47" s="479"/>
      <c r="BV47" s="478">
        <f>A7_A_L35+A7_B_L35+A7_C_L35+A7_D_L35+A7_Y_L35+A7_Z_L35+A7_X_L35</f>
        <v>0</v>
      </c>
      <c r="BW47" s="479"/>
      <c r="BX47" s="478">
        <f>A7_A_L36+A7_B_L36+A7_C_L36+A7_D_L36+A7_Y_L36+A7_Z_L36+A7_X_L36</f>
        <v>0</v>
      </c>
      <c r="BY47" s="479"/>
      <c r="BZ47" s="478">
        <f>A7_A_L37+A7_B_L37+A7_C_L37+A7_D_L37+A7_Y_L37+A7_Z_L37+A7_X_L37</f>
        <v>0</v>
      </c>
      <c r="CA47" s="479"/>
      <c r="CB47" s="478">
        <f>A7_A_L38+A7_B_L38+A7_C_L38+A7_D_L38+A7_Y_L38+A7_Z_L38+A7_X_L38</f>
        <v>0</v>
      </c>
      <c r="CC47" s="479"/>
      <c r="CD47" s="478">
        <f>A7_A_L39+A7_B_L39+A7_C_L39+A7_D_L39+A7_Y_L39+A7_Z_L39+A7_X_L39</f>
        <v>0</v>
      </c>
      <c r="CE47" s="479"/>
      <c r="CF47" s="478">
        <f>A7_A_L40+A7_B_L40+A7_C_L40+A7_D_L40+A7_Y_L40+A7_Z_L40+A7_X_L40</f>
        <v>0</v>
      </c>
      <c r="CG47" s="479"/>
      <c r="CH47" s="473"/>
      <c r="CI47" s="118">
        <f>Plantas_A_A7</f>
        <v>0</v>
      </c>
      <c r="CJ47" s="119">
        <f>Plantas_B_A7</f>
        <v>0</v>
      </c>
      <c r="CK47" s="119">
        <f>Plantas_C_A7</f>
        <v>0</v>
      </c>
      <c r="CL47" s="119">
        <f>Plantas_D_A7</f>
        <v>7000</v>
      </c>
      <c r="CM47" s="119">
        <f>Plantas_Z_A7</f>
        <v>0</v>
      </c>
      <c r="CN47" s="119">
        <f>Plantas_Y_A7</f>
        <v>0</v>
      </c>
      <c r="CO47" s="120">
        <f>Plantas_X_A7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8CmhxYV57nLX1ZX06M32jvu7TilHk6DXXD3dAstMbs3DTfDJyzaoRRxOC9HlKFaquA/Cn/Qjkc6K0hznjIWRIw==" saltValue="GloJqM677Id57BufKXq3wg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AJ4:AK4"/>
    <mergeCell ref="AL4:AM4"/>
    <mergeCell ref="AN4:AO4"/>
    <mergeCell ref="AP4:AQ4"/>
    <mergeCell ref="AR4:AS4"/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50:C50"/>
  </mergeCells>
  <hyperlinks>
    <hyperlink ref="CH1" location="Inicio!A15" display="Regresar" xr:uid="{11F4BCF5-179C-4C19-8744-C9614217DDFC}"/>
    <hyperlink ref="A1" location="Inicio!A16" display="Regresar" xr:uid="{07F44E36-3C34-488C-A992-1665757D3A4B}"/>
    <hyperlink ref="A1:CO1" location="Inicio!A16" display="Regresar" xr:uid="{E594773F-2C2B-4736-8F78-C719EE81A772}"/>
  </hyperlink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87914-7274-324B-B18A-4181C21CC0E9}">
  <sheetPr codeName="Hoja10">
    <pageSetUpPr fitToPage="1"/>
  </sheetPr>
  <dimension ref="A1:XEI45"/>
  <sheetViews>
    <sheetView showGridLines="0" zoomScaleNormal="80" workbookViewId="0">
      <pane xSplit="2" ySplit="4" topLeftCell="C5" activePane="bottomRight" state="frozen"/>
      <selection pane="topRight" activeCell="C5" sqref="C5"/>
      <selection pane="bottomLeft" activeCell="C5" sqref="C5"/>
      <selection pane="bottomRight" activeCell="F6" sqref="F6"/>
    </sheetView>
  </sheetViews>
  <sheetFormatPr baseColWidth="10" defaultColWidth="11" defaultRowHeight="17.25" x14ac:dyDescent="0.3"/>
  <cols>
    <col min="1" max="1" width="4.5" style="4" customWidth="1"/>
    <col min="2" max="2" width="28.375" style="4" customWidth="1"/>
    <col min="3" max="3" width="15" style="4" customWidth="1"/>
    <col min="4" max="5" width="19" style="4" customWidth="1"/>
    <col min="6" max="6" width="13.875" style="4" customWidth="1"/>
    <col min="7" max="20" width="11" style="4"/>
    <col min="21" max="22" width="11" style="58"/>
    <col min="23" max="26" width="28.875" style="58" customWidth="1"/>
    <col min="27" max="27" width="11" style="58"/>
    <col min="28" max="28" width="22" style="58" customWidth="1"/>
    <col min="29" max="29" width="23.375" style="58" customWidth="1"/>
    <col min="30" max="30" width="43.375" style="58" customWidth="1"/>
    <col min="31" max="31" width="15.5" style="58" customWidth="1"/>
    <col min="32" max="32" width="14.625" style="58" customWidth="1"/>
    <col min="33" max="33" width="25.375" style="58" customWidth="1"/>
    <col min="34" max="16384" width="11" style="4"/>
  </cols>
  <sheetData>
    <row r="1" spans="1:16363" ht="35.1" customHeight="1" thickBot="1" x14ac:dyDescent="0.35">
      <c r="A1" s="23" t="s">
        <v>21</v>
      </c>
      <c r="B1" s="24"/>
      <c r="C1" s="25"/>
      <c r="D1" s="25"/>
      <c r="E1" s="25"/>
      <c r="F1" s="25"/>
      <c r="G1" s="25"/>
      <c r="H1" s="25"/>
      <c r="I1" s="25"/>
      <c r="J1" s="25"/>
      <c r="K1" s="25"/>
      <c r="L1" s="25"/>
      <c r="M1" s="25"/>
      <c r="N1" s="25"/>
      <c r="O1" s="25"/>
      <c r="P1" s="25"/>
      <c r="Q1" s="25"/>
      <c r="R1" s="26"/>
    </row>
    <row r="2" spans="1:16363" ht="50.1" customHeight="1" thickBot="1" x14ac:dyDescent="0.35">
      <c r="A2" s="421" t="str">
        <f>CONCATENATE("Planificación financiera ",Up," | Nombre de lotes, densidad de siembra y % efectivo de plantas")</f>
        <v>Planificación financiera  | Nombre de lotes, densidad de siembra y % efectivo de plantas</v>
      </c>
      <c r="B2" s="422"/>
      <c r="C2" s="422"/>
      <c r="D2" s="422"/>
      <c r="E2" s="422"/>
      <c r="F2" s="422"/>
      <c r="G2" s="422"/>
      <c r="H2" s="422"/>
      <c r="I2" s="422"/>
      <c r="J2" s="422"/>
      <c r="K2" s="422"/>
      <c r="L2" s="422"/>
      <c r="M2" s="422"/>
      <c r="N2" s="422"/>
      <c r="O2" s="422"/>
      <c r="P2" s="422"/>
      <c r="Q2" s="422"/>
      <c r="R2" s="423"/>
    </row>
    <row r="3" spans="1:16363" s="12" customFormat="1" ht="20.100000000000001" customHeight="1" thickBot="1" x14ac:dyDescent="0.35">
      <c r="A3" s="345"/>
      <c r="B3" s="258"/>
      <c r="C3" s="258"/>
      <c r="D3" s="258"/>
      <c r="E3" s="258"/>
      <c r="F3" s="346"/>
      <c r="G3" s="417" t="s">
        <v>22</v>
      </c>
      <c r="H3" s="417"/>
      <c r="I3" s="417"/>
      <c r="J3" s="417"/>
      <c r="K3" s="417"/>
      <c r="L3" s="417"/>
      <c r="M3" s="417"/>
      <c r="N3" s="417"/>
      <c r="O3" s="417"/>
      <c r="P3" s="417"/>
      <c r="Q3" s="417"/>
      <c r="R3" s="418"/>
      <c r="S3" s="420"/>
      <c r="T3" s="420"/>
      <c r="U3" s="192" t="s">
        <v>23</v>
      </c>
      <c r="V3" s="47"/>
      <c r="W3" s="47"/>
      <c r="X3" s="47"/>
      <c r="Y3" s="47"/>
      <c r="Z3" s="47"/>
      <c r="AA3" s="47"/>
      <c r="AB3" s="419" t="s">
        <v>23</v>
      </c>
      <c r="AC3" s="420"/>
      <c r="AD3" s="420"/>
      <c r="AE3" s="420"/>
      <c r="AF3" s="419" t="s">
        <v>23</v>
      </c>
      <c r="AG3" s="420"/>
      <c r="AH3" s="420"/>
      <c r="AI3" s="420"/>
      <c r="AJ3" s="419" t="s">
        <v>23</v>
      </c>
      <c r="AK3" s="420"/>
      <c r="AL3" s="420"/>
      <c r="AM3" s="420"/>
      <c r="AN3" s="419" t="s">
        <v>23</v>
      </c>
      <c r="AO3" s="420"/>
      <c r="AP3" s="420"/>
      <c r="AQ3" s="420"/>
      <c r="AR3" s="419" t="s">
        <v>23</v>
      </c>
      <c r="AS3" s="420"/>
      <c r="AT3" s="420"/>
      <c r="AU3" s="420"/>
      <c r="AV3" s="419" t="s">
        <v>23</v>
      </c>
      <c r="AW3" s="420"/>
      <c r="AX3" s="420"/>
      <c r="AY3" s="420"/>
      <c r="AZ3" s="419" t="s">
        <v>23</v>
      </c>
      <c r="BA3" s="420"/>
      <c r="BB3" s="420"/>
      <c r="BC3" s="420"/>
      <c r="BD3" s="419" t="s">
        <v>23</v>
      </c>
      <c r="BE3" s="420"/>
      <c r="BF3" s="420"/>
      <c r="BG3" s="420"/>
      <c r="BH3" s="419" t="s">
        <v>23</v>
      </c>
      <c r="BI3" s="420"/>
      <c r="BJ3" s="420"/>
      <c r="BK3" s="420"/>
      <c r="BL3" s="419" t="s">
        <v>23</v>
      </c>
      <c r="BM3" s="420"/>
      <c r="BN3" s="420"/>
      <c r="BO3" s="420"/>
      <c r="BP3" s="419" t="s">
        <v>23</v>
      </c>
      <c r="BQ3" s="420"/>
      <c r="BR3" s="420"/>
      <c r="BS3" s="420"/>
      <c r="BT3" s="419" t="s">
        <v>23</v>
      </c>
      <c r="BU3" s="420"/>
      <c r="BV3" s="420"/>
      <c r="BW3" s="420"/>
      <c r="BX3" s="419" t="s">
        <v>23</v>
      </c>
      <c r="BY3" s="420"/>
      <c r="BZ3" s="420"/>
      <c r="CA3" s="420"/>
      <c r="CB3" s="419" t="s">
        <v>23</v>
      </c>
      <c r="CC3" s="420"/>
      <c r="CD3" s="420"/>
      <c r="CE3" s="420"/>
      <c r="CF3" s="419" t="s">
        <v>23</v>
      </c>
      <c r="CG3" s="420"/>
      <c r="CH3" s="420"/>
      <c r="CI3" s="420"/>
      <c r="CJ3" s="419" t="s">
        <v>23</v>
      </c>
      <c r="CK3" s="420"/>
      <c r="CL3" s="420"/>
      <c r="CM3" s="420"/>
      <c r="CN3" s="419" t="s">
        <v>23</v>
      </c>
      <c r="CO3" s="420"/>
      <c r="CP3" s="420"/>
      <c r="CQ3" s="420"/>
      <c r="CR3" s="419" t="s">
        <v>23</v>
      </c>
      <c r="CS3" s="420"/>
      <c r="CT3" s="420"/>
      <c r="CU3" s="420"/>
      <c r="CV3" s="419" t="s">
        <v>23</v>
      </c>
      <c r="CW3" s="420"/>
      <c r="CX3" s="420"/>
      <c r="CY3" s="420"/>
      <c r="CZ3" s="419" t="s">
        <v>23</v>
      </c>
      <c r="DA3" s="420"/>
      <c r="DB3" s="420"/>
      <c r="DC3" s="420"/>
      <c r="DD3" s="419" t="s">
        <v>23</v>
      </c>
      <c r="DE3" s="420"/>
      <c r="DF3" s="420"/>
      <c r="DG3" s="420"/>
      <c r="DH3" s="419" t="s">
        <v>23</v>
      </c>
      <c r="DI3" s="420"/>
      <c r="DJ3" s="420"/>
      <c r="DK3" s="420"/>
      <c r="DL3" s="419" t="s">
        <v>23</v>
      </c>
      <c r="DM3" s="420"/>
      <c r="DN3" s="420"/>
      <c r="DO3" s="420"/>
      <c r="DP3" s="419" t="s">
        <v>23</v>
      </c>
      <c r="DQ3" s="420"/>
      <c r="DR3" s="420"/>
      <c r="DS3" s="420"/>
      <c r="DT3" s="419" t="s">
        <v>23</v>
      </c>
      <c r="DU3" s="420"/>
      <c r="DV3" s="420"/>
      <c r="DW3" s="420"/>
      <c r="DX3" s="419" t="s">
        <v>23</v>
      </c>
      <c r="DY3" s="420"/>
      <c r="DZ3" s="420"/>
      <c r="EA3" s="420"/>
      <c r="EB3" s="419" t="s">
        <v>23</v>
      </c>
      <c r="EC3" s="420"/>
      <c r="ED3" s="420"/>
      <c r="EE3" s="420"/>
      <c r="EF3" s="419" t="s">
        <v>23</v>
      </c>
      <c r="EG3" s="420"/>
      <c r="EH3" s="420"/>
      <c r="EI3" s="420"/>
      <c r="EJ3" s="419" t="s">
        <v>23</v>
      </c>
      <c r="EK3" s="420"/>
      <c r="EL3" s="420"/>
      <c r="EM3" s="420"/>
      <c r="EN3" s="419" t="s">
        <v>23</v>
      </c>
      <c r="EO3" s="420"/>
      <c r="EP3" s="420"/>
      <c r="EQ3" s="420"/>
      <c r="ER3" s="419" t="s">
        <v>23</v>
      </c>
      <c r="ES3" s="420"/>
      <c r="ET3" s="420"/>
      <c r="EU3" s="420"/>
      <c r="EV3" s="419" t="s">
        <v>23</v>
      </c>
      <c r="EW3" s="420"/>
      <c r="EX3" s="420"/>
      <c r="EY3" s="420"/>
      <c r="EZ3" s="419" t="s">
        <v>23</v>
      </c>
      <c r="FA3" s="420"/>
      <c r="FB3" s="420"/>
      <c r="FC3" s="420"/>
      <c r="FD3" s="419" t="s">
        <v>23</v>
      </c>
      <c r="FE3" s="420"/>
      <c r="FF3" s="420"/>
      <c r="FG3" s="420"/>
      <c r="FH3" s="419" t="s">
        <v>23</v>
      </c>
      <c r="FI3" s="420"/>
      <c r="FJ3" s="420"/>
      <c r="FK3" s="420"/>
      <c r="FL3" s="419" t="s">
        <v>23</v>
      </c>
      <c r="FM3" s="420"/>
      <c r="FN3" s="420"/>
      <c r="FO3" s="420"/>
      <c r="FP3" s="419" t="s">
        <v>23</v>
      </c>
      <c r="FQ3" s="420"/>
      <c r="FR3" s="420"/>
      <c r="FS3" s="420"/>
      <c r="FT3" s="419" t="s">
        <v>23</v>
      </c>
      <c r="FU3" s="420"/>
      <c r="FV3" s="420"/>
      <c r="FW3" s="420"/>
      <c r="FX3" s="419" t="s">
        <v>23</v>
      </c>
      <c r="FY3" s="420"/>
      <c r="FZ3" s="420"/>
      <c r="GA3" s="420"/>
      <c r="GB3" s="419" t="s">
        <v>23</v>
      </c>
      <c r="GC3" s="420"/>
      <c r="GD3" s="420"/>
      <c r="GE3" s="420"/>
      <c r="GF3" s="419" t="s">
        <v>23</v>
      </c>
      <c r="GG3" s="420"/>
      <c r="GH3" s="420"/>
      <c r="GI3" s="420"/>
      <c r="GJ3" s="419" t="s">
        <v>23</v>
      </c>
      <c r="GK3" s="420"/>
      <c r="GL3" s="420"/>
      <c r="GM3" s="420"/>
      <c r="GN3" s="419" t="s">
        <v>23</v>
      </c>
      <c r="GO3" s="420"/>
      <c r="GP3" s="420"/>
      <c r="GQ3" s="420"/>
      <c r="GR3" s="419" t="s">
        <v>23</v>
      </c>
      <c r="GS3" s="420"/>
      <c r="GT3" s="420"/>
      <c r="GU3" s="420"/>
      <c r="GV3" s="419" t="s">
        <v>23</v>
      </c>
      <c r="GW3" s="420"/>
      <c r="GX3" s="420"/>
      <c r="GY3" s="420"/>
      <c r="GZ3" s="419" t="s">
        <v>23</v>
      </c>
      <c r="HA3" s="420"/>
      <c r="HB3" s="420"/>
      <c r="HC3" s="420"/>
      <c r="HD3" s="419" t="s">
        <v>23</v>
      </c>
      <c r="HE3" s="420"/>
      <c r="HF3" s="420"/>
      <c r="HG3" s="420"/>
      <c r="HH3" s="419" t="s">
        <v>23</v>
      </c>
      <c r="HI3" s="420"/>
      <c r="HJ3" s="420"/>
      <c r="HK3" s="420"/>
      <c r="HL3" s="419" t="s">
        <v>23</v>
      </c>
      <c r="HM3" s="420"/>
      <c r="HN3" s="420"/>
      <c r="HO3" s="420"/>
      <c r="HP3" s="419" t="s">
        <v>23</v>
      </c>
      <c r="HQ3" s="420"/>
      <c r="HR3" s="420"/>
      <c r="HS3" s="420"/>
      <c r="HT3" s="419" t="s">
        <v>23</v>
      </c>
      <c r="HU3" s="420"/>
      <c r="HV3" s="420"/>
      <c r="HW3" s="420"/>
      <c r="HX3" s="419" t="s">
        <v>23</v>
      </c>
      <c r="HY3" s="420"/>
      <c r="HZ3" s="420"/>
      <c r="IA3" s="420"/>
      <c r="IB3" s="419" t="s">
        <v>23</v>
      </c>
      <c r="IC3" s="420"/>
      <c r="ID3" s="420"/>
      <c r="IE3" s="420"/>
      <c r="IF3" s="419" t="s">
        <v>23</v>
      </c>
      <c r="IG3" s="420"/>
      <c r="IH3" s="420"/>
      <c r="II3" s="420"/>
      <c r="IJ3" s="419" t="s">
        <v>23</v>
      </c>
      <c r="IK3" s="420"/>
      <c r="IL3" s="420"/>
      <c r="IM3" s="420"/>
      <c r="IN3" s="419" t="s">
        <v>23</v>
      </c>
      <c r="IO3" s="420"/>
      <c r="IP3" s="420"/>
      <c r="IQ3" s="420"/>
      <c r="IR3" s="419" t="s">
        <v>23</v>
      </c>
      <c r="IS3" s="420"/>
      <c r="IT3" s="420"/>
      <c r="IU3" s="420"/>
      <c r="IV3" s="419" t="s">
        <v>23</v>
      </c>
      <c r="IW3" s="420"/>
      <c r="IX3" s="420"/>
      <c r="IY3" s="420"/>
      <c r="IZ3" s="419" t="s">
        <v>23</v>
      </c>
      <c r="JA3" s="420"/>
      <c r="JB3" s="420"/>
      <c r="JC3" s="420"/>
      <c r="JD3" s="419" t="s">
        <v>23</v>
      </c>
      <c r="JE3" s="420"/>
      <c r="JF3" s="420"/>
      <c r="JG3" s="420"/>
      <c r="JH3" s="419" t="s">
        <v>23</v>
      </c>
      <c r="JI3" s="420"/>
      <c r="JJ3" s="420"/>
      <c r="JK3" s="420"/>
      <c r="JL3" s="419" t="s">
        <v>23</v>
      </c>
      <c r="JM3" s="420"/>
      <c r="JN3" s="420"/>
      <c r="JO3" s="420"/>
      <c r="JP3" s="419" t="s">
        <v>23</v>
      </c>
      <c r="JQ3" s="420"/>
      <c r="JR3" s="420"/>
      <c r="JS3" s="420"/>
      <c r="JT3" s="419" t="s">
        <v>23</v>
      </c>
      <c r="JU3" s="420"/>
      <c r="JV3" s="420"/>
      <c r="JW3" s="420"/>
      <c r="JX3" s="419" t="s">
        <v>23</v>
      </c>
      <c r="JY3" s="420"/>
      <c r="JZ3" s="420"/>
      <c r="KA3" s="420"/>
      <c r="KB3" s="419" t="s">
        <v>23</v>
      </c>
      <c r="KC3" s="420"/>
      <c r="KD3" s="420"/>
      <c r="KE3" s="420"/>
      <c r="KF3" s="419" t="s">
        <v>23</v>
      </c>
      <c r="KG3" s="420"/>
      <c r="KH3" s="420"/>
      <c r="KI3" s="420"/>
      <c r="KJ3" s="419" t="s">
        <v>23</v>
      </c>
      <c r="KK3" s="420"/>
      <c r="KL3" s="420"/>
      <c r="KM3" s="420"/>
      <c r="KN3" s="419" t="s">
        <v>23</v>
      </c>
      <c r="KO3" s="420"/>
      <c r="KP3" s="420"/>
      <c r="KQ3" s="420"/>
      <c r="KR3" s="419" t="s">
        <v>23</v>
      </c>
      <c r="KS3" s="420"/>
      <c r="KT3" s="420"/>
      <c r="KU3" s="420"/>
      <c r="KV3" s="419" t="s">
        <v>23</v>
      </c>
      <c r="KW3" s="420"/>
      <c r="KX3" s="420"/>
      <c r="KY3" s="420"/>
      <c r="KZ3" s="419" t="s">
        <v>23</v>
      </c>
      <c r="LA3" s="420"/>
      <c r="LB3" s="420"/>
      <c r="LC3" s="420"/>
      <c r="LD3" s="419" t="s">
        <v>23</v>
      </c>
      <c r="LE3" s="420"/>
      <c r="LF3" s="420"/>
      <c r="LG3" s="420"/>
      <c r="LH3" s="419" t="s">
        <v>23</v>
      </c>
      <c r="LI3" s="420"/>
      <c r="LJ3" s="420"/>
      <c r="LK3" s="420"/>
      <c r="LL3" s="419" t="s">
        <v>23</v>
      </c>
      <c r="LM3" s="420"/>
      <c r="LN3" s="420"/>
      <c r="LO3" s="420"/>
      <c r="LP3" s="419" t="s">
        <v>23</v>
      </c>
      <c r="LQ3" s="420"/>
      <c r="LR3" s="420"/>
      <c r="LS3" s="420"/>
      <c r="LT3" s="419" t="s">
        <v>23</v>
      </c>
      <c r="LU3" s="420"/>
      <c r="LV3" s="420"/>
      <c r="LW3" s="420"/>
      <c r="LX3" s="419" t="s">
        <v>23</v>
      </c>
      <c r="LY3" s="420"/>
      <c r="LZ3" s="420"/>
      <c r="MA3" s="420"/>
      <c r="MB3" s="419" t="s">
        <v>23</v>
      </c>
      <c r="MC3" s="420"/>
      <c r="MD3" s="420"/>
      <c r="ME3" s="420"/>
      <c r="MF3" s="419" t="s">
        <v>23</v>
      </c>
      <c r="MG3" s="420"/>
      <c r="MH3" s="420"/>
      <c r="MI3" s="420"/>
      <c r="MJ3" s="419" t="s">
        <v>23</v>
      </c>
      <c r="MK3" s="420"/>
      <c r="ML3" s="420"/>
      <c r="MM3" s="420"/>
      <c r="MN3" s="419" t="s">
        <v>23</v>
      </c>
      <c r="MO3" s="420"/>
      <c r="MP3" s="420"/>
      <c r="MQ3" s="420"/>
      <c r="MR3" s="419" t="s">
        <v>23</v>
      </c>
      <c r="MS3" s="420"/>
      <c r="MT3" s="420"/>
      <c r="MU3" s="420"/>
      <c r="MV3" s="419" t="s">
        <v>23</v>
      </c>
      <c r="MW3" s="420"/>
      <c r="MX3" s="420"/>
      <c r="MY3" s="420"/>
      <c r="MZ3" s="419" t="s">
        <v>23</v>
      </c>
      <c r="NA3" s="420"/>
      <c r="NB3" s="420"/>
      <c r="NC3" s="420"/>
      <c r="ND3" s="419" t="s">
        <v>23</v>
      </c>
      <c r="NE3" s="420"/>
      <c r="NF3" s="420"/>
      <c r="NG3" s="420"/>
      <c r="NH3" s="419" t="s">
        <v>23</v>
      </c>
      <c r="NI3" s="420"/>
      <c r="NJ3" s="420"/>
      <c r="NK3" s="420"/>
      <c r="NL3" s="419" t="s">
        <v>23</v>
      </c>
      <c r="NM3" s="420"/>
      <c r="NN3" s="420"/>
      <c r="NO3" s="420"/>
      <c r="NP3" s="419" t="s">
        <v>23</v>
      </c>
      <c r="NQ3" s="420"/>
      <c r="NR3" s="420"/>
      <c r="NS3" s="420"/>
      <c r="NT3" s="419" t="s">
        <v>23</v>
      </c>
      <c r="NU3" s="420"/>
      <c r="NV3" s="420"/>
      <c r="NW3" s="420"/>
      <c r="NX3" s="419" t="s">
        <v>23</v>
      </c>
      <c r="NY3" s="420"/>
      <c r="NZ3" s="420"/>
      <c r="OA3" s="420"/>
      <c r="OB3" s="419" t="s">
        <v>23</v>
      </c>
      <c r="OC3" s="420"/>
      <c r="OD3" s="420"/>
      <c r="OE3" s="420"/>
      <c r="OF3" s="419" t="s">
        <v>23</v>
      </c>
      <c r="OG3" s="420"/>
      <c r="OH3" s="420"/>
      <c r="OI3" s="420"/>
      <c r="OJ3" s="419" t="s">
        <v>23</v>
      </c>
      <c r="OK3" s="420"/>
      <c r="OL3" s="420"/>
      <c r="OM3" s="420"/>
      <c r="ON3" s="419" t="s">
        <v>23</v>
      </c>
      <c r="OO3" s="420"/>
      <c r="OP3" s="420"/>
      <c r="OQ3" s="420"/>
      <c r="OR3" s="419" t="s">
        <v>23</v>
      </c>
      <c r="OS3" s="420"/>
      <c r="OT3" s="420"/>
      <c r="OU3" s="420"/>
      <c r="OV3" s="419" t="s">
        <v>23</v>
      </c>
      <c r="OW3" s="420"/>
      <c r="OX3" s="420"/>
      <c r="OY3" s="420"/>
      <c r="OZ3" s="419" t="s">
        <v>23</v>
      </c>
      <c r="PA3" s="420"/>
      <c r="PB3" s="420"/>
      <c r="PC3" s="420"/>
      <c r="PD3" s="419" t="s">
        <v>23</v>
      </c>
      <c r="PE3" s="420"/>
      <c r="PF3" s="420"/>
      <c r="PG3" s="420"/>
      <c r="PH3" s="419" t="s">
        <v>23</v>
      </c>
      <c r="PI3" s="420"/>
      <c r="PJ3" s="420"/>
      <c r="PK3" s="420"/>
      <c r="PL3" s="419" t="s">
        <v>23</v>
      </c>
      <c r="PM3" s="420"/>
      <c r="PN3" s="420"/>
      <c r="PO3" s="420"/>
      <c r="PP3" s="419" t="s">
        <v>23</v>
      </c>
      <c r="PQ3" s="420"/>
      <c r="PR3" s="420"/>
      <c r="PS3" s="420"/>
      <c r="PT3" s="419" t="s">
        <v>23</v>
      </c>
      <c r="PU3" s="420"/>
      <c r="PV3" s="420"/>
      <c r="PW3" s="420"/>
      <c r="PX3" s="419" t="s">
        <v>23</v>
      </c>
      <c r="PY3" s="420"/>
      <c r="PZ3" s="420"/>
      <c r="QA3" s="420"/>
      <c r="QB3" s="419" t="s">
        <v>23</v>
      </c>
      <c r="QC3" s="420"/>
      <c r="QD3" s="420"/>
      <c r="QE3" s="420"/>
      <c r="QF3" s="419" t="s">
        <v>23</v>
      </c>
      <c r="QG3" s="420"/>
      <c r="QH3" s="420"/>
      <c r="QI3" s="420"/>
      <c r="QJ3" s="419" t="s">
        <v>23</v>
      </c>
      <c r="QK3" s="420"/>
      <c r="QL3" s="420"/>
      <c r="QM3" s="420"/>
      <c r="QN3" s="419" t="s">
        <v>23</v>
      </c>
      <c r="QO3" s="420"/>
      <c r="QP3" s="420"/>
      <c r="QQ3" s="420"/>
      <c r="QR3" s="419" t="s">
        <v>23</v>
      </c>
      <c r="QS3" s="420"/>
      <c r="QT3" s="420"/>
      <c r="QU3" s="420"/>
      <c r="QV3" s="419" t="s">
        <v>23</v>
      </c>
      <c r="QW3" s="420"/>
      <c r="QX3" s="420"/>
      <c r="QY3" s="420"/>
      <c r="QZ3" s="419" t="s">
        <v>23</v>
      </c>
      <c r="RA3" s="420"/>
      <c r="RB3" s="420"/>
      <c r="RC3" s="420"/>
      <c r="RD3" s="419" t="s">
        <v>23</v>
      </c>
      <c r="RE3" s="420"/>
      <c r="RF3" s="420"/>
      <c r="RG3" s="420"/>
      <c r="RH3" s="419" t="s">
        <v>23</v>
      </c>
      <c r="RI3" s="420"/>
      <c r="RJ3" s="420"/>
      <c r="RK3" s="420"/>
      <c r="RL3" s="419" t="s">
        <v>23</v>
      </c>
      <c r="RM3" s="420"/>
      <c r="RN3" s="420"/>
      <c r="RO3" s="420"/>
      <c r="RP3" s="419" t="s">
        <v>23</v>
      </c>
      <c r="RQ3" s="420"/>
      <c r="RR3" s="420"/>
      <c r="RS3" s="420"/>
      <c r="RT3" s="419" t="s">
        <v>23</v>
      </c>
      <c r="RU3" s="420"/>
      <c r="RV3" s="420"/>
      <c r="RW3" s="420"/>
      <c r="RX3" s="419" t="s">
        <v>23</v>
      </c>
      <c r="RY3" s="420"/>
      <c r="RZ3" s="420"/>
      <c r="SA3" s="420"/>
      <c r="SB3" s="419" t="s">
        <v>23</v>
      </c>
      <c r="SC3" s="420"/>
      <c r="SD3" s="420"/>
      <c r="SE3" s="420"/>
      <c r="SF3" s="419" t="s">
        <v>23</v>
      </c>
      <c r="SG3" s="420"/>
      <c r="SH3" s="420"/>
      <c r="SI3" s="420"/>
      <c r="SJ3" s="419" t="s">
        <v>23</v>
      </c>
      <c r="SK3" s="420"/>
      <c r="SL3" s="420"/>
      <c r="SM3" s="420"/>
      <c r="SN3" s="419" t="s">
        <v>23</v>
      </c>
      <c r="SO3" s="420"/>
      <c r="SP3" s="420"/>
      <c r="SQ3" s="420"/>
      <c r="SR3" s="419" t="s">
        <v>23</v>
      </c>
      <c r="SS3" s="420"/>
      <c r="ST3" s="420"/>
      <c r="SU3" s="420"/>
      <c r="SV3" s="419" t="s">
        <v>23</v>
      </c>
      <c r="SW3" s="420"/>
      <c r="SX3" s="420"/>
      <c r="SY3" s="420"/>
      <c r="SZ3" s="419" t="s">
        <v>23</v>
      </c>
      <c r="TA3" s="420"/>
      <c r="TB3" s="420"/>
      <c r="TC3" s="420"/>
      <c r="TD3" s="419" t="s">
        <v>23</v>
      </c>
      <c r="TE3" s="420"/>
      <c r="TF3" s="420"/>
      <c r="TG3" s="420"/>
      <c r="TH3" s="419" t="s">
        <v>23</v>
      </c>
      <c r="TI3" s="420"/>
      <c r="TJ3" s="420"/>
      <c r="TK3" s="420"/>
      <c r="TL3" s="419" t="s">
        <v>23</v>
      </c>
      <c r="TM3" s="420"/>
      <c r="TN3" s="420"/>
      <c r="TO3" s="420"/>
      <c r="TP3" s="419" t="s">
        <v>23</v>
      </c>
      <c r="TQ3" s="420"/>
      <c r="TR3" s="420"/>
      <c r="TS3" s="420"/>
      <c r="TT3" s="419" t="s">
        <v>23</v>
      </c>
      <c r="TU3" s="420"/>
      <c r="TV3" s="420"/>
      <c r="TW3" s="420"/>
      <c r="TX3" s="419" t="s">
        <v>23</v>
      </c>
      <c r="TY3" s="420"/>
      <c r="TZ3" s="420"/>
      <c r="UA3" s="420"/>
      <c r="UB3" s="419" t="s">
        <v>23</v>
      </c>
      <c r="UC3" s="420"/>
      <c r="UD3" s="420"/>
      <c r="UE3" s="420"/>
      <c r="UF3" s="419" t="s">
        <v>23</v>
      </c>
      <c r="UG3" s="420"/>
      <c r="UH3" s="420"/>
      <c r="UI3" s="420"/>
      <c r="UJ3" s="419" t="s">
        <v>23</v>
      </c>
      <c r="UK3" s="420"/>
      <c r="UL3" s="420"/>
      <c r="UM3" s="420"/>
      <c r="UN3" s="419" t="s">
        <v>23</v>
      </c>
      <c r="UO3" s="420"/>
      <c r="UP3" s="420"/>
      <c r="UQ3" s="420"/>
      <c r="UR3" s="419" t="s">
        <v>23</v>
      </c>
      <c r="US3" s="420"/>
      <c r="UT3" s="420"/>
      <c r="UU3" s="420"/>
      <c r="UV3" s="419" t="s">
        <v>23</v>
      </c>
      <c r="UW3" s="420"/>
      <c r="UX3" s="420"/>
      <c r="UY3" s="420"/>
      <c r="UZ3" s="419" t="s">
        <v>23</v>
      </c>
      <c r="VA3" s="420"/>
      <c r="VB3" s="420"/>
      <c r="VC3" s="420"/>
      <c r="VD3" s="419" t="s">
        <v>23</v>
      </c>
      <c r="VE3" s="420"/>
      <c r="VF3" s="420"/>
      <c r="VG3" s="420"/>
      <c r="VH3" s="419" t="s">
        <v>23</v>
      </c>
      <c r="VI3" s="420"/>
      <c r="VJ3" s="420"/>
      <c r="VK3" s="420"/>
      <c r="VL3" s="419" t="s">
        <v>23</v>
      </c>
      <c r="VM3" s="420"/>
      <c r="VN3" s="420"/>
      <c r="VO3" s="420"/>
      <c r="VP3" s="419" t="s">
        <v>23</v>
      </c>
      <c r="VQ3" s="420"/>
      <c r="VR3" s="420"/>
      <c r="VS3" s="420"/>
      <c r="VT3" s="419" t="s">
        <v>23</v>
      </c>
      <c r="VU3" s="420"/>
      <c r="VV3" s="420"/>
      <c r="VW3" s="420"/>
      <c r="VX3" s="419" t="s">
        <v>23</v>
      </c>
      <c r="VY3" s="420"/>
      <c r="VZ3" s="420"/>
      <c r="WA3" s="420"/>
      <c r="WB3" s="419" t="s">
        <v>23</v>
      </c>
      <c r="WC3" s="420"/>
      <c r="WD3" s="420"/>
      <c r="WE3" s="420"/>
      <c r="WF3" s="419" t="s">
        <v>23</v>
      </c>
      <c r="WG3" s="420"/>
      <c r="WH3" s="420"/>
      <c r="WI3" s="420"/>
      <c r="WJ3" s="419" t="s">
        <v>23</v>
      </c>
      <c r="WK3" s="420"/>
      <c r="WL3" s="420"/>
      <c r="WM3" s="420"/>
      <c r="WN3" s="419" t="s">
        <v>23</v>
      </c>
      <c r="WO3" s="420"/>
      <c r="WP3" s="420"/>
      <c r="WQ3" s="420"/>
      <c r="WR3" s="419" t="s">
        <v>23</v>
      </c>
      <c r="WS3" s="420"/>
      <c r="WT3" s="420"/>
      <c r="WU3" s="420"/>
      <c r="WV3" s="419" t="s">
        <v>23</v>
      </c>
      <c r="WW3" s="420"/>
      <c r="WX3" s="420"/>
      <c r="WY3" s="420"/>
      <c r="WZ3" s="419" t="s">
        <v>23</v>
      </c>
      <c r="XA3" s="420"/>
      <c r="XB3" s="420"/>
      <c r="XC3" s="420"/>
      <c r="XD3" s="419" t="s">
        <v>23</v>
      </c>
      <c r="XE3" s="420"/>
      <c r="XF3" s="420"/>
      <c r="XG3" s="420"/>
      <c r="XH3" s="419" t="s">
        <v>23</v>
      </c>
      <c r="XI3" s="420"/>
      <c r="XJ3" s="420"/>
      <c r="XK3" s="420"/>
      <c r="XL3" s="419" t="s">
        <v>23</v>
      </c>
      <c r="XM3" s="420"/>
      <c r="XN3" s="420"/>
      <c r="XO3" s="420"/>
      <c r="XP3" s="419" t="s">
        <v>23</v>
      </c>
      <c r="XQ3" s="420"/>
      <c r="XR3" s="420"/>
      <c r="XS3" s="420"/>
      <c r="XT3" s="419" t="s">
        <v>23</v>
      </c>
      <c r="XU3" s="420"/>
      <c r="XV3" s="420"/>
      <c r="XW3" s="420"/>
      <c r="XX3" s="419" t="s">
        <v>23</v>
      </c>
      <c r="XY3" s="420"/>
      <c r="XZ3" s="420"/>
      <c r="YA3" s="420"/>
      <c r="YB3" s="419" t="s">
        <v>23</v>
      </c>
      <c r="YC3" s="420"/>
      <c r="YD3" s="420"/>
      <c r="YE3" s="420"/>
      <c r="YF3" s="419" t="s">
        <v>23</v>
      </c>
      <c r="YG3" s="420"/>
      <c r="YH3" s="420"/>
      <c r="YI3" s="420"/>
      <c r="YJ3" s="419" t="s">
        <v>23</v>
      </c>
      <c r="YK3" s="420"/>
      <c r="YL3" s="420"/>
      <c r="YM3" s="420"/>
      <c r="YN3" s="419" t="s">
        <v>23</v>
      </c>
      <c r="YO3" s="420"/>
      <c r="YP3" s="420"/>
      <c r="YQ3" s="420"/>
      <c r="YR3" s="419" t="s">
        <v>23</v>
      </c>
      <c r="YS3" s="420"/>
      <c r="YT3" s="420"/>
      <c r="YU3" s="420"/>
      <c r="YV3" s="419" t="s">
        <v>23</v>
      </c>
      <c r="YW3" s="420"/>
      <c r="YX3" s="420"/>
      <c r="YY3" s="420"/>
      <c r="YZ3" s="419" t="s">
        <v>23</v>
      </c>
      <c r="ZA3" s="420"/>
      <c r="ZB3" s="420"/>
      <c r="ZC3" s="420"/>
      <c r="ZD3" s="419" t="s">
        <v>23</v>
      </c>
      <c r="ZE3" s="420"/>
      <c r="ZF3" s="420"/>
      <c r="ZG3" s="420"/>
      <c r="ZH3" s="419" t="s">
        <v>23</v>
      </c>
      <c r="ZI3" s="420"/>
      <c r="ZJ3" s="420"/>
      <c r="ZK3" s="420"/>
      <c r="ZL3" s="419" t="s">
        <v>23</v>
      </c>
      <c r="ZM3" s="420"/>
      <c r="ZN3" s="420"/>
      <c r="ZO3" s="420"/>
      <c r="ZP3" s="419" t="s">
        <v>23</v>
      </c>
      <c r="ZQ3" s="420"/>
      <c r="ZR3" s="420"/>
      <c r="ZS3" s="420"/>
      <c r="ZT3" s="419" t="s">
        <v>23</v>
      </c>
      <c r="ZU3" s="420"/>
      <c r="ZV3" s="420"/>
      <c r="ZW3" s="420"/>
      <c r="ZX3" s="419" t="s">
        <v>23</v>
      </c>
      <c r="ZY3" s="420"/>
      <c r="ZZ3" s="420"/>
      <c r="AAA3" s="420"/>
      <c r="AAB3" s="419" t="s">
        <v>23</v>
      </c>
      <c r="AAC3" s="420"/>
      <c r="AAD3" s="420"/>
      <c r="AAE3" s="420"/>
      <c r="AAF3" s="419" t="s">
        <v>23</v>
      </c>
      <c r="AAG3" s="420"/>
      <c r="AAH3" s="420"/>
      <c r="AAI3" s="420"/>
      <c r="AAJ3" s="419" t="s">
        <v>23</v>
      </c>
      <c r="AAK3" s="420"/>
      <c r="AAL3" s="420"/>
      <c r="AAM3" s="420"/>
      <c r="AAN3" s="419" t="s">
        <v>23</v>
      </c>
      <c r="AAO3" s="420"/>
      <c r="AAP3" s="420"/>
      <c r="AAQ3" s="420"/>
      <c r="AAR3" s="419" t="s">
        <v>23</v>
      </c>
      <c r="AAS3" s="420"/>
      <c r="AAT3" s="420"/>
      <c r="AAU3" s="420"/>
      <c r="AAV3" s="419" t="s">
        <v>23</v>
      </c>
      <c r="AAW3" s="420"/>
      <c r="AAX3" s="420"/>
      <c r="AAY3" s="420"/>
      <c r="AAZ3" s="419" t="s">
        <v>23</v>
      </c>
      <c r="ABA3" s="420"/>
      <c r="ABB3" s="420"/>
      <c r="ABC3" s="420"/>
      <c r="ABD3" s="419" t="s">
        <v>23</v>
      </c>
      <c r="ABE3" s="420"/>
      <c r="ABF3" s="420"/>
      <c r="ABG3" s="420"/>
      <c r="ABH3" s="419" t="s">
        <v>23</v>
      </c>
      <c r="ABI3" s="420"/>
      <c r="ABJ3" s="420"/>
      <c r="ABK3" s="420"/>
      <c r="ABL3" s="419" t="s">
        <v>23</v>
      </c>
      <c r="ABM3" s="420"/>
      <c r="ABN3" s="420"/>
      <c r="ABO3" s="420"/>
      <c r="ABP3" s="419" t="s">
        <v>23</v>
      </c>
      <c r="ABQ3" s="420"/>
      <c r="ABR3" s="420"/>
      <c r="ABS3" s="420"/>
      <c r="ABT3" s="419" t="s">
        <v>23</v>
      </c>
      <c r="ABU3" s="420"/>
      <c r="ABV3" s="420"/>
      <c r="ABW3" s="420"/>
      <c r="ABX3" s="419" t="s">
        <v>23</v>
      </c>
      <c r="ABY3" s="420"/>
      <c r="ABZ3" s="420"/>
      <c r="ACA3" s="420"/>
      <c r="ACB3" s="419" t="s">
        <v>23</v>
      </c>
      <c r="ACC3" s="420"/>
      <c r="ACD3" s="420"/>
      <c r="ACE3" s="420"/>
      <c r="ACF3" s="419" t="s">
        <v>23</v>
      </c>
      <c r="ACG3" s="420"/>
      <c r="ACH3" s="420"/>
      <c r="ACI3" s="420"/>
      <c r="ACJ3" s="419" t="s">
        <v>23</v>
      </c>
      <c r="ACK3" s="420"/>
      <c r="ACL3" s="420"/>
      <c r="ACM3" s="420"/>
      <c r="ACN3" s="419" t="s">
        <v>23</v>
      </c>
      <c r="ACO3" s="420"/>
      <c r="ACP3" s="420"/>
      <c r="ACQ3" s="420"/>
      <c r="ACR3" s="419" t="s">
        <v>23</v>
      </c>
      <c r="ACS3" s="420"/>
      <c r="ACT3" s="420"/>
      <c r="ACU3" s="420"/>
      <c r="ACV3" s="419" t="s">
        <v>23</v>
      </c>
      <c r="ACW3" s="420"/>
      <c r="ACX3" s="420"/>
      <c r="ACY3" s="420"/>
      <c r="ACZ3" s="419" t="s">
        <v>23</v>
      </c>
      <c r="ADA3" s="420"/>
      <c r="ADB3" s="420"/>
      <c r="ADC3" s="420"/>
      <c r="ADD3" s="419" t="s">
        <v>23</v>
      </c>
      <c r="ADE3" s="420"/>
      <c r="ADF3" s="420"/>
      <c r="ADG3" s="420"/>
      <c r="ADH3" s="419" t="s">
        <v>23</v>
      </c>
      <c r="ADI3" s="420"/>
      <c r="ADJ3" s="420"/>
      <c r="ADK3" s="420"/>
      <c r="ADL3" s="419" t="s">
        <v>23</v>
      </c>
      <c r="ADM3" s="420"/>
      <c r="ADN3" s="420"/>
      <c r="ADO3" s="420"/>
      <c r="ADP3" s="419" t="s">
        <v>23</v>
      </c>
      <c r="ADQ3" s="420"/>
      <c r="ADR3" s="420"/>
      <c r="ADS3" s="420"/>
      <c r="ADT3" s="419" t="s">
        <v>23</v>
      </c>
      <c r="ADU3" s="420"/>
      <c r="ADV3" s="420"/>
      <c r="ADW3" s="420"/>
      <c r="ADX3" s="419" t="s">
        <v>23</v>
      </c>
      <c r="ADY3" s="420"/>
      <c r="ADZ3" s="420"/>
      <c r="AEA3" s="420"/>
      <c r="AEB3" s="419" t="s">
        <v>23</v>
      </c>
      <c r="AEC3" s="420"/>
      <c r="AED3" s="420"/>
      <c r="AEE3" s="420"/>
      <c r="AEF3" s="419" t="s">
        <v>23</v>
      </c>
      <c r="AEG3" s="420"/>
      <c r="AEH3" s="420"/>
      <c r="AEI3" s="420"/>
      <c r="AEJ3" s="419" t="s">
        <v>23</v>
      </c>
      <c r="AEK3" s="420"/>
      <c r="AEL3" s="420"/>
      <c r="AEM3" s="420"/>
      <c r="AEN3" s="419" t="s">
        <v>23</v>
      </c>
      <c r="AEO3" s="420"/>
      <c r="AEP3" s="420"/>
      <c r="AEQ3" s="420"/>
      <c r="AER3" s="419" t="s">
        <v>23</v>
      </c>
      <c r="AES3" s="420"/>
      <c r="AET3" s="420"/>
      <c r="AEU3" s="420"/>
      <c r="AEV3" s="419" t="s">
        <v>23</v>
      </c>
      <c r="AEW3" s="420"/>
      <c r="AEX3" s="420"/>
      <c r="AEY3" s="420"/>
      <c r="AEZ3" s="419" t="s">
        <v>23</v>
      </c>
      <c r="AFA3" s="420"/>
      <c r="AFB3" s="420"/>
      <c r="AFC3" s="420"/>
      <c r="AFD3" s="419" t="s">
        <v>23</v>
      </c>
      <c r="AFE3" s="420"/>
      <c r="AFF3" s="420"/>
      <c r="AFG3" s="420"/>
      <c r="AFH3" s="419" t="s">
        <v>23</v>
      </c>
      <c r="AFI3" s="420"/>
      <c r="AFJ3" s="420"/>
      <c r="AFK3" s="420"/>
      <c r="AFL3" s="419" t="s">
        <v>23</v>
      </c>
      <c r="AFM3" s="420"/>
      <c r="AFN3" s="420"/>
      <c r="AFO3" s="420"/>
      <c r="AFP3" s="419" t="s">
        <v>23</v>
      </c>
      <c r="AFQ3" s="420"/>
      <c r="AFR3" s="420"/>
      <c r="AFS3" s="420"/>
      <c r="AFT3" s="419" t="s">
        <v>23</v>
      </c>
      <c r="AFU3" s="420"/>
      <c r="AFV3" s="420"/>
      <c r="AFW3" s="420"/>
      <c r="AFX3" s="419" t="s">
        <v>23</v>
      </c>
      <c r="AFY3" s="420"/>
      <c r="AFZ3" s="420"/>
      <c r="AGA3" s="420"/>
      <c r="AGB3" s="419" t="s">
        <v>23</v>
      </c>
      <c r="AGC3" s="420"/>
      <c r="AGD3" s="420"/>
      <c r="AGE3" s="420"/>
      <c r="AGF3" s="419" t="s">
        <v>23</v>
      </c>
      <c r="AGG3" s="420"/>
      <c r="AGH3" s="420"/>
      <c r="AGI3" s="420"/>
      <c r="AGJ3" s="419" t="s">
        <v>23</v>
      </c>
      <c r="AGK3" s="420"/>
      <c r="AGL3" s="420"/>
      <c r="AGM3" s="420"/>
      <c r="AGN3" s="419" t="s">
        <v>23</v>
      </c>
      <c r="AGO3" s="420"/>
      <c r="AGP3" s="420"/>
      <c r="AGQ3" s="420"/>
      <c r="AGR3" s="419" t="s">
        <v>23</v>
      </c>
      <c r="AGS3" s="420"/>
      <c r="AGT3" s="420"/>
      <c r="AGU3" s="420"/>
      <c r="AGV3" s="419" t="s">
        <v>23</v>
      </c>
      <c r="AGW3" s="420"/>
      <c r="AGX3" s="420"/>
      <c r="AGY3" s="420"/>
      <c r="AGZ3" s="419" t="s">
        <v>23</v>
      </c>
      <c r="AHA3" s="420"/>
      <c r="AHB3" s="420"/>
      <c r="AHC3" s="420"/>
      <c r="AHD3" s="419" t="s">
        <v>23</v>
      </c>
      <c r="AHE3" s="420"/>
      <c r="AHF3" s="420"/>
      <c r="AHG3" s="420"/>
      <c r="AHH3" s="419" t="s">
        <v>23</v>
      </c>
      <c r="AHI3" s="420"/>
      <c r="AHJ3" s="420"/>
      <c r="AHK3" s="420"/>
      <c r="AHL3" s="419" t="s">
        <v>23</v>
      </c>
      <c r="AHM3" s="420"/>
      <c r="AHN3" s="420"/>
      <c r="AHO3" s="420"/>
      <c r="AHP3" s="419" t="s">
        <v>23</v>
      </c>
      <c r="AHQ3" s="420"/>
      <c r="AHR3" s="420"/>
      <c r="AHS3" s="420"/>
      <c r="AHT3" s="419" t="s">
        <v>23</v>
      </c>
      <c r="AHU3" s="420"/>
      <c r="AHV3" s="420"/>
      <c r="AHW3" s="420"/>
      <c r="AHX3" s="419" t="s">
        <v>23</v>
      </c>
      <c r="AHY3" s="420"/>
      <c r="AHZ3" s="420"/>
      <c r="AIA3" s="420"/>
      <c r="AIB3" s="419" t="s">
        <v>23</v>
      </c>
      <c r="AIC3" s="420"/>
      <c r="AID3" s="420"/>
      <c r="AIE3" s="420"/>
      <c r="AIF3" s="419" t="s">
        <v>23</v>
      </c>
      <c r="AIG3" s="420"/>
      <c r="AIH3" s="420"/>
      <c r="AII3" s="420"/>
      <c r="AIJ3" s="419" t="s">
        <v>23</v>
      </c>
      <c r="AIK3" s="420"/>
      <c r="AIL3" s="420"/>
      <c r="AIM3" s="420"/>
      <c r="AIN3" s="419" t="s">
        <v>23</v>
      </c>
      <c r="AIO3" s="420"/>
      <c r="AIP3" s="420"/>
      <c r="AIQ3" s="420"/>
      <c r="AIR3" s="419" t="s">
        <v>23</v>
      </c>
      <c r="AIS3" s="420"/>
      <c r="AIT3" s="420"/>
      <c r="AIU3" s="420"/>
      <c r="AIV3" s="419" t="s">
        <v>23</v>
      </c>
      <c r="AIW3" s="420"/>
      <c r="AIX3" s="420"/>
      <c r="AIY3" s="420"/>
      <c r="AIZ3" s="419" t="s">
        <v>23</v>
      </c>
      <c r="AJA3" s="420"/>
      <c r="AJB3" s="420"/>
      <c r="AJC3" s="420"/>
      <c r="AJD3" s="419" t="s">
        <v>23</v>
      </c>
      <c r="AJE3" s="420"/>
      <c r="AJF3" s="420"/>
      <c r="AJG3" s="420"/>
      <c r="AJH3" s="419" t="s">
        <v>23</v>
      </c>
      <c r="AJI3" s="420"/>
      <c r="AJJ3" s="420"/>
      <c r="AJK3" s="420"/>
      <c r="AJL3" s="419" t="s">
        <v>23</v>
      </c>
      <c r="AJM3" s="420"/>
      <c r="AJN3" s="420"/>
      <c r="AJO3" s="420"/>
      <c r="AJP3" s="419" t="s">
        <v>23</v>
      </c>
      <c r="AJQ3" s="420"/>
      <c r="AJR3" s="420"/>
      <c r="AJS3" s="420"/>
      <c r="AJT3" s="419" t="s">
        <v>23</v>
      </c>
      <c r="AJU3" s="420"/>
      <c r="AJV3" s="420"/>
      <c r="AJW3" s="420"/>
      <c r="AJX3" s="419" t="s">
        <v>23</v>
      </c>
      <c r="AJY3" s="420"/>
      <c r="AJZ3" s="420"/>
      <c r="AKA3" s="420"/>
      <c r="AKB3" s="419" t="s">
        <v>23</v>
      </c>
      <c r="AKC3" s="420"/>
      <c r="AKD3" s="420"/>
      <c r="AKE3" s="420"/>
      <c r="AKF3" s="419" t="s">
        <v>23</v>
      </c>
      <c r="AKG3" s="420"/>
      <c r="AKH3" s="420"/>
      <c r="AKI3" s="420"/>
      <c r="AKJ3" s="419" t="s">
        <v>23</v>
      </c>
      <c r="AKK3" s="420"/>
      <c r="AKL3" s="420"/>
      <c r="AKM3" s="420"/>
      <c r="AKN3" s="419" t="s">
        <v>23</v>
      </c>
      <c r="AKO3" s="420"/>
      <c r="AKP3" s="420"/>
      <c r="AKQ3" s="420"/>
      <c r="AKR3" s="419" t="s">
        <v>23</v>
      </c>
      <c r="AKS3" s="420"/>
      <c r="AKT3" s="420"/>
      <c r="AKU3" s="420"/>
      <c r="AKV3" s="419" t="s">
        <v>23</v>
      </c>
      <c r="AKW3" s="420"/>
      <c r="AKX3" s="420"/>
      <c r="AKY3" s="420"/>
      <c r="AKZ3" s="419" t="s">
        <v>23</v>
      </c>
      <c r="ALA3" s="420"/>
      <c r="ALB3" s="420"/>
      <c r="ALC3" s="420"/>
      <c r="ALD3" s="419" t="s">
        <v>23</v>
      </c>
      <c r="ALE3" s="420"/>
      <c r="ALF3" s="420"/>
      <c r="ALG3" s="420"/>
      <c r="ALH3" s="419" t="s">
        <v>23</v>
      </c>
      <c r="ALI3" s="420"/>
      <c r="ALJ3" s="420"/>
      <c r="ALK3" s="420"/>
      <c r="ALL3" s="419" t="s">
        <v>23</v>
      </c>
      <c r="ALM3" s="420"/>
      <c r="ALN3" s="420"/>
      <c r="ALO3" s="420"/>
      <c r="ALP3" s="419" t="s">
        <v>23</v>
      </c>
      <c r="ALQ3" s="420"/>
      <c r="ALR3" s="420"/>
      <c r="ALS3" s="420"/>
      <c r="ALT3" s="419" t="s">
        <v>23</v>
      </c>
      <c r="ALU3" s="420"/>
      <c r="ALV3" s="420"/>
      <c r="ALW3" s="420"/>
      <c r="ALX3" s="419" t="s">
        <v>23</v>
      </c>
      <c r="ALY3" s="420"/>
      <c r="ALZ3" s="420"/>
      <c r="AMA3" s="420"/>
      <c r="AMB3" s="419" t="s">
        <v>23</v>
      </c>
      <c r="AMC3" s="420"/>
      <c r="AMD3" s="420"/>
      <c r="AME3" s="420"/>
      <c r="AMF3" s="419" t="s">
        <v>23</v>
      </c>
      <c r="AMG3" s="420"/>
      <c r="AMH3" s="420"/>
      <c r="AMI3" s="420"/>
      <c r="AMJ3" s="419" t="s">
        <v>23</v>
      </c>
      <c r="AMK3" s="420"/>
      <c r="AML3" s="420"/>
      <c r="AMM3" s="420"/>
      <c r="AMN3" s="419" t="s">
        <v>23</v>
      </c>
      <c r="AMO3" s="420"/>
      <c r="AMP3" s="420"/>
      <c r="AMQ3" s="420"/>
      <c r="AMR3" s="419" t="s">
        <v>23</v>
      </c>
      <c r="AMS3" s="420"/>
      <c r="AMT3" s="420"/>
      <c r="AMU3" s="420"/>
      <c r="AMV3" s="419" t="s">
        <v>23</v>
      </c>
      <c r="AMW3" s="420"/>
      <c r="AMX3" s="420"/>
      <c r="AMY3" s="420"/>
      <c r="AMZ3" s="419" t="s">
        <v>23</v>
      </c>
      <c r="ANA3" s="420"/>
      <c r="ANB3" s="420"/>
      <c r="ANC3" s="420"/>
      <c r="AND3" s="419" t="s">
        <v>23</v>
      </c>
      <c r="ANE3" s="420"/>
      <c r="ANF3" s="420"/>
      <c r="ANG3" s="420"/>
      <c r="ANH3" s="419" t="s">
        <v>23</v>
      </c>
      <c r="ANI3" s="420"/>
      <c r="ANJ3" s="420"/>
      <c r="ANK3" s="420"/>
      <c r="ANL3" s="419" t="s">
        <v>23</v>
      </c>
      <c r="ANM3" s="420"/>
      <c r="ANN3" s="420"/>
      <c r="ANO3" s="420"/>
      <c r="ANP3" s="419" t="s">
        <v>23</v>
      </c>
      <c r="ANQ3" s="420"/>
      <c r="ANR3" s="420"/>
      <c r="ANS3" s="420"/>
      <c r="ANT3" s="419" t="s">
        <v>23</v>
      </c>
      <c r="ANU3" s="420"/>
      <c r="ANV3" s="420"/>
      <c r="ANW3" s="420"/>
      <c r="ANX3" s="419" t="s">
        <v>23</v>
      </c>
      <c r="ANY3" s="420"/>
      <c r="ANZ3" s="420"/>
      <c r="AOA3" s="420"/>
      <c r="AOB3" s="419" t="s">
        <v>23</v>
      </c>
      <c r="AOC3" s="420"/>
      <c r="AOD3" s="420"/>
      <c r="AOE3" s="420"/>
      <c r="AOF3" s="419" t="s">
        <v>23</v>
      </c>
      <c r="AOG3" s="420"/>
      <c r="AOH3" s="420"/>
      <c r="AOI3" s="420"/>
      <c r="AOJ3" s="419" t="s">
        <v>23</v>
      </c>
      <c r="AOK3" s="420"/>
      <c r="AOL3" s="420"/>
      <c r="AOM3" s="420"/>
      <c r="AON3" s="419" t="s">
        <v>23</v>
      </c>
      <c r="AOO3" s="420"/>
      <c r="AOP3" s="420"/>
      <c r="AOQ3" s="420"/>
      <c r="AOR3" s="419" t="s">
        <v>23</v>
      </c>
      <c r="AOS3" s="420"/>
      <c r="AOT3" s="420"/>
      <c r="AOU3" s="420"/>
      <c r="AOV3" s="419" t="s">
        <v>23</v>
      </c>
      <c r="AOW3" s="420"/>
      <c r="AOX3" s="420"/>
      <c r="AOY3" s="420"/>
      <c r="AOZ3" s="419" t="s">
        <v>23</v>
      </c>
      <c r="APA3" s="420"/>
      <c r="APB3" s="420"/>
      <c r="APC3" s="420"/>
      <c r="APD3" s="419" t="s">
        <v>23</v>
      </c>
      <c r="APE3" s="420"/>
      <c r="APF3" s="420"/>
      <c r="APG3" s="420"/>
      <c r="APH3" s="419" t="s">
        <v>23</v>
      </c>
      <c r="API3" s="420"/>
      <c r="APJ3" s="420"/>
      <c r="APK3" s="420"/>
      <c r="APL3" s="419" t="s">
        <v>23</v>
      </c>
      <c r="APM3" s="420"/>
      <c r="APN3" s="420"/>
      <c r="APO3" s="420"/>
      <c r="APP3" s="419" t="s">
        <v>23</v>
      </c>
      <c r="APQ3" s="420"/>
      <c r="APR3" s="420"/>
      <c r="APS3" s="420"/>
      <c r="APT3" s="419" t="s">
        <v>23</v>
      </c>
      <c r="APU3" s="420"/>
      <c r="APV3" s="420"/>
      <c r="APW3" s="420"/>
      <c r="APX3" s="419" t="s">
        <v>23</v>
      </c>
      <c r="APY3" s="420"/>
      <c r="APZ3" s="420"/>
      <c r="AQA3" s="420"/>
      <c r="AQB3" s="419" t="s">
        <v>23</v>
      </c>
      <c r="AQC3" s="420"/>
      <c r="AQD3" s="420"/>
      <c r="AQE3" s="420"/>
      <c r="AQF3" s="419" t="s">
        <v>23</v>
      </c>
      <c r="AQG3" s="420"/>
      <c r="AQH3" s="420"/>
      <c r="AQI3" s="420"/>
      <c r="AQJ3" s="419" t="s">
        <v>23</v>
      </c>
      <c r="AQK3" s="420"/>
      <c r="AQL3" s="420"/>
      <c r="AQM3" s="420"/>
      <c r="AQN3" s="419" t="s">
        <v>23</v>
      </c>
      <c r="AQO3" s="420"/>
      <c r="AQP3" s="420"/>
      <c r="AQQ3" s="420"/>
      <c r="AQR3" s="419" t="s">
        <v>23</v>
      </c>
      <c r="AQS3" s="420"/>
      <c r="AQT3" s="420"/>
      <c r="AQU3" s="420"/>
      <c r="AQV3" s="419" t="s">
        <v>23</v>
      </c>
      <c r="AQW3" s="420"/>
      <c r="AQX3" s="420"/>
      <c r="AQY3" s="420"/>
      <c r="AQZ3" s="419" t="s">
        <v>23</v>
      </c>
      <c r="ARA3" s="420"/>
      <c r="ARB3" s="420"/>
      <c r="ARC3" s="420"/>
      <c r="ARD3" s="419" t="s">
        <v>23</v>
      </c>
      <c r="ARE3" s="420"/>
      <c r="ARF3" s="420"/>
      <c r="ARG3" s="420"/>
      <c r="ARH3" s="419" t="s">
        <v>23</v>
      </c>
      <c r="ARI3" s="420"/>
      <c r="ARJ3" s="420"/>
      <c r="ARK3" s="420"/>
      <c r="ARL3" s="419" t="s">
        <v>23</v>
      </c>
      <c r="ARM3" s="420"/>
      <c r="ARN3" s="420"/>
      <c r="ARO3" s="420"/>
      <c r="ARP3" s="419" t="s">
        <v>23</v>
      </c>
      <c r="ARQ3" s="420"/>
      <c r="ARR3" s="420"/>
      <c r="ARS3" s="420"/>
      <c r="ART3" s="419" t="s">
        <v>23</v>
      </c>
      <c r="ARU3" s="420"/>
      <c r="ARV3" s="420"/>
      <c r="ARW3" s="420"/>
      <c r="ARX3" s="419" t="s">
        <v>23</v>
      </c>
      <c r="ARY3" s="420"/>
      <c r="ARZ3" s="420"/>
      <c r="ASA3" s="420"/>
      <c r="ASB3" s="419" t="s">
        <v>23</v>
      </c>
      <c r="ASC3" s="420"/>
      <c r="ASD3" s="420"/>
      <c r="ASE3" s="420"/>
      <c r="ASF3" s="419" t="s">
        <v>23</v>
      </c>
      <c r="ASG3" s="420"/>
      <c r="ASH3" s="420"/>
      <c r="ASI3" s="420"/>
      <c r="ASJ3" s="419" t="s">
        <v>23</v>
      </c>
      <c r="ASK3" s="420"/>
      <c r="ASL3" s="420"/>
      <c r="ASM3" s="420"/>
      <c r="ASN3" s="419" t="s">
        <v>23</v>
      </c>
      <c r="ASO3" s="420"/>
      <c r="ASP3" s="420"/>
      <c r="ASQ3" s="420"/>
      <c r="ASR3" s="419" t="s">
        <v>23</v>
      </c>
      <c r="ASS3" s="420"/>
      <c r="AST3" s="420"/>
      <c r="ASU3" s="420"/>
      <c r="ASV3" s="419" t="s">
        <v>23</v>
      </c>
      <c r="ASW3" s="420"/>
      <c r="ASX3" s="420"/>
      <c r="ASY3" s="420"/>
      <c r="ASZ3" s="419" t="s">
        <v>23</v>
      </c>
      <c r="ATA3" s="420"/>
      <c r="ATB3" s="420"/>
      <c r="ATC3" s="420"/>
      <c r="ATD3" s="419" t="s">
        <v>23</v>
      </c>
      <c r="ATE3" s="420"/>
      <c r="ATF3" s="420"/>
      <c r="ATG3" s="420"/>
      <c r="ATH3" s="419" t="s">
        <v>23</v>
      </c>
      <c r="ATI3" s="420"/>
      <c r="ATJ3" s="420"/>
      <c r="ATK3" s="420"/>
      <c r="ATL3" s="419" t="s">
        <v>23</v>
      </c>
      <c r="ATM3" s="420"/>
      <c r="ATN3" s="420"/>
      <c r="ATO3" s="420"/>
      <c r="ATP3" s="419" t="s">
        <v>23</v>
      </c>
      <c r="ATQ3" s="420"/>
      <c r="ATR3" s="420"/>
      <c r="ATS3" s="420"/>
      <c r="ATT3" s="419" t="s">
        <v>23</v>
      </c>
      <c r="ATU3" s="420"/>
      <c r="ATV3" s="420"/>
      <c r="ATW3" s="420"/>
      <c r="ATX3" s="419" t="s">
        <v>23</v>
      </c>
      <c r="ATY3" s="420"/>
      <c r="ATZ3" s="420"/>
      <c r="AUA3" s="420"/>
      <c r="AUB3" s="419" t="s">
        <v>23</v>
      </c>
      <c r="AUC3" s="420"/>
      <c r="AUD3" s="420"/>
      <c r="AUE3" s="420"/>
      <c r="AUF3" s="419" t="s">
        <v>23</v>
      </c>
      <c r="AUG3" s="420"/>
      <c r="AUH3" s="420"/>
      <c r="AUI3" s="420"/>
      <c r="AUJ3" s="419" t="s">
        <v>23</v>
      </c>
      <c r="AUK3" s="420"/>
      <c r="AUL3" s="420"/>
      <c r="AUM3" s="420"/>
      <c r="AUN3" s="419" t="s">
        <v>23</v>
      </c>
      <c r="AUO3" s="420"/>
      <c r="AUP3" s="420"/>
      <c r="AUQ3" s="420"/>
      <c r="AUR3" s="419" t="s">
        <v>23</v>
      </c>
      <c r="AUS3" s="420"/>
      <c r="AUT3" s="420"/>
      <c r="AUU3" s="420"/>
      <c r="AUV3" s="419" t="s">
        <v>23</v>
      </c>
      <c r="AUW3" s="420"/>
      <c r="AUX3" s="420"/>
      <c r="AUY3" s="420"/>
      <c r="AUZ3" s="419" t="s">
        <v>23</v>
      </c>
      <c r="AVA3" s="420"/>
      <c r="AVB3" s="420"/>
      <c r="AVC3" s="420"/>
      <c r="AVD3" s="419" t="s">
        <v>23</v>
      </c>
      <c r="AVE3" s="420"/>
      <c r="AVF3" s="420"/>
      <c r="AVG3" s="420"/>
      <c r="AVH3" s="419" t="s">
        <v>23</v>
      </c>
      <c r="AVI3" s="420"/>
      <c r="AVJ3" s="420"/>
      <c r="AVK3" s="420"/>
      <c r="AVL3" s="419" t="s">
        <v>23</v>
      </c>
      <c r="AVM3" s="420"/>
      <c r="AVN3" s="420"/>
      <c r="AVO3" s="420"/>
      <c r="AVP3" s="419" t="s">
        <v>23</v>
      </c>
      <c r="AVQ3" s="420"/>
      <c r="AVR3" s="420"/>
      <c r="AVS3" s="420"/>
      <c r="AVT3" s="419" t="s">
        <v>23</v>
      </c>
      <c r="AVU3" s="420"/>
      <c r="AVV3" s="420"/>
      <c r="AVW3" s="420"/>
      <c r="AVX3" s="419" t="s">
        <v>23</v>
      </c>
      <c r="AVY3" s="420"/>
      <c r="AVZ3" s="420"/>
      <c r="AWA3" s="420"/>
      <c r="AWB3" s="419" t="s">
        <v>23</v>
      </c>
      <c r="AWC3" s="420"/>
      <c r="AWD3" s="420"/>
      <c r="AWE3" s="420"/>
      <c r="AWF3" s="419" t="s">
        <v>23</v>
      </c>
      <c r="AWG3" s="420"/>
      <c r="AWH3" s="420"/>
      <c r="AWI3" s="420"/>
      <c r="AWJ3" s="419" t="s">
        <v>23</v>
      </c>
      <c r="AWK3" s="420"/>
      <c r="AWL3" s="420"/>
      <c r="AWM3" s="420"/>
      <c r="AWN3" s="419" t="s">
        <v>23</v>
      </c>
      <c r="AWO3" s="420"/>
      <c r="AWP3" s="420"/>
      <c r="AWQ3" s="420"/>
      <c r="AWR3" s="419" t="s">
        <v>23</v>
      </c>
      <c r="AWS3" s="420"/>
      <c r="AWT3" s="420"/>
      <c r="AWU3" s="420"/>
      <c r="AWV3" s="419" t="s">
        <v>23</v>
      </c>
      <c r="AWW3" s="420"/>
      <c r="AWX3" s="420"/>
      <c r="AWY3" s="420"/>
      <c r="AWZ3" s="419" t="s">
        <v>23</v>
      </c>
      <c r="AXA3" s="420"/>
      <c r="AXB3" s="420"/>
      <c r="AXC3" s="420"/>
      <c r="AXD3" s="419" t="s">
        <v>23</v>
      </c>
      <c r="AXE3" s="420"/>
      <c r="AXF3" s="420"/>
      <c r="AXG3" s="420"/>
      <c r="AXH3" s="419" t="s">
        <v>23</v>
      </c>
      <c r="AXI3" s="420"/>
      <c r="AXJ3" s="420"/>
      <c r="AXK3" s="420"/>
      <c r="AXL3" s="419" t="s">
        <v>23</v>
      </c>
      <c r="AXM3" s="420"/>
      <c r="AXN3" s="420"/>
      <c r="AXO3" s="420"/>
      <c r="AXP3" s="419" t="s">
        <v>23</v>
      </c>
      <c r="AXQ3" s="420"/>
      <c r="AXR3" s="420"/>
      <c r="AXS3" s="420"/>
      <c r="AXT3" s="419" t="s">
        <v>23</v>
      </c>
      <c r="AXU3" s="420"/>
      <c r="AXV3" s="420"/>
      <c r="AXW3" s="420"/>
      <c r="AXX3" s="419" t="s">
        <v>23</v>
      </c>
      <c r="AXY3" s="420"/>
      <c r="AXZ3" s="420"/>
      <c r="AYA3" s="420"/>
      <c r="AYB3" s="419" t="s">
        <v>23</v>
      </c>
      <c r="AYC3" s="420"/>
      <c r="AYD3" s="420"/>
      <c r="AYE3" s="420"/>
      <c r="AYF3" s="419" t="s">
        <v>23</v>
      </c>
      <c r="AYG3" s="420"/>
      <c r="AYH3" s="420"/>
      <c r="AYI3" s="420"/>
      <c r="AYJ3" s="419" t="s">
        <v>23</v>
      </c>
      <c r="AYK3" s="420"/>
      <c r="AYL3" s="420"/>
      <c r="AYM3" s="420"/>
      <c r="AYN3" s="419" t="s">
        <v>23</v>
      </c>
      <c r="AYO3" s="420"/>
      <c r="AYP3" s="420"/>
      <c r="AYQ3" s="420"/>
      <c r="AYR3" s="419" t="s">
        <v>23</v>
      </c>
      <c r="AYS3" s="420"/>
      <c r="AYT3" s="420"/>
      <c r="AYU3" s="420"/>
      <c r="AYV3" s="419" t="s">
        <v>23</v>
      </c>
      <c r="AYW3" s="420"/>
      <c r="AYX3" s="420"/>
      <c r="AYY3" s="420"/>
      <c r="AYZ3" s="419" t="s">
        <v>23</v>
      </c>
      <c r="AZA3" s="420"/>
      <c r="AZB3" s="420"/>
      <c r="AZC3" s="420"/>
      <c r="AZD3" s="419" t="s">
        <v>23</v>
      </c>
      <c r="AZE3" s="420"/>
      <c r="AZF3" s="420"/>
      <c r="AZG3" s="420"/>
      <c r="AZH3" s="419" t="s">
        <v>23</v>
      </c>
      <c r="AZI3" s="420"/>
      <c r="AZJ3" s="420"/>
      <c r="AZK3" s="420"/>
      <c r="AZL3" s="419" t="s">
        <v>23</v>
      </c>
      <c r="AZM3" s="420"/>
      <c r="AZN3" s="420"/>
      <c r="AZO3" s="420"/>
      <c r="AZP3" s="419" t="s">
        <v>23</v>
      </c>
      <c r="AZQ3" s="420"/>
      <c r="AZR3" s="420"/>
      <c r="AZS3" s="420"/>
      <c r="AZT3" s="419" t="s">
        <v>23</v>
      </c>
      <c r="AZU3" s="420"/>
      <c r="AZV3" s="420"/>
      <c r="AZW3" s="420"/>
      <c r="AZX3" s="419" t="s">
        <v>23</v>
      </c>
      <c r="AZY3" s="420"/>
      <c r="AZZ3" s="420"/>
      <c r="BAA3" s="420"/>
      <c r="BAB3" s="419" t="s">
        <v>23</v>
      </c>
      <c r="BAC3" s="420"/>
      <c r="BAD3" s="420"/>
      <c r="BAE3" s="420"/>
      <c r="BAF3" s="419" t="s">
        <v>23</v>
      </c>
      <c r="BAG3" s="420"/>
      <c r="BAH3" s="420"/>
      <c r="BAI3" s="420"/>
      <c r="BAJ3" s="419" t="s">
        <v>23</v>
      </c>
      <c r="BAK3" s="420"/>
      <c r="BAL3" s="420"/>
      <c r="BAM3" s="420"/>
      <c r="BAN3" s="419" t="s">
        <v>23</v>
      </c>
      <c r="BAO3" s="420"/>
      <c r="BAP3" s="420"/>
      <c r="BAQ3" s="420"/>
      <c r="BAR3" s="419" t="s">
        <v>23</v>
      </c>
      <c r="BAS3" s="420"/>
      <c r="BAT3" s="420"/>
      <c r="BAU3" s="420"/>
      <c r="BAV3" s="419" t="s">
        <v>23</v>
      </c>
      <c r="BAW3" s="420"/>
      <c r="BAX3" s="420"/>
      <c r="BAY3" s="420"/>
      <c r="BAZ3" s="419" t="s">
        <v>23</v>
      </c>
      <c r="BBA3" s="420"/>
      <c r="BBB3" s="420"/>
      <c r="BBC3" s="420"/>
      <c r="BBD3" s="419" t="s">
        <v>23</v>
      </c>
      <c r="BBE3" s="420"/>
      <c r="BBF3" s="420"/>
      <c r="BBG3" s="420"/>
      <c r="BBH3" s="419" t="s">
        <v>23</v>
      </c>
      <c r="BBI3" s="420"/>
      <c r="BBJ3" s="420"/>
      <c r="BBK3" s="420"/>
      <c r="BBL3" s="419" t="s">
        <v>23</v>
      </c>
      <c r="BBM3" s="420"/>
      <c r="BBN3" s="420"/>
      <c r="BBO3" s="420"/>
      <c r="BBP3" s="419" t="s">
        <v>23</v>
      </c>
      <c r="BBQ3" s="420"/>
      <c r="BBR3" s="420"/>
      <c r="BBS3" s="420"/>
      <c r="BBT3" s="419" t="s">
        <v>23</v>
      </c>
      <c r="BBU3" s="420"/>
      <c r="BBV3" s="420"/>
      <c r="BBW3" s="420"/>
      <c r="BBX3" s="419" t="s">
        <v>23</v>
      </c>
      <c r="BBY3" s="420"/>
      <c r="BBZ3" s="420"/>
      <c r="BCA3" s="420"/>
      <c r="BCB3" s="419" t="s">
        <v>23</v>
      </c>
      <c r="BCC3" s="420"/>
      <c r="BCD3" s="420"/>
      <c r="BCE3" s="420"/>
      <c r="BCF3" s="419" t="s">
        <v>23</v>
      </c>
      <c r="BCG3" s="420"/>
      <c r="BCH3" s="420"/>
      <c r="BCI3" s="420"/>
      <c r="BCJ3" s="419" t="s">
        <v>23</v>
      </c>
      <c r="BCK3" s="420"/>
      <c r="BCL3" s="420"/>
      <c r="BCM3" s="420"/>
      <c r="BCN3" s="419" t="s">
        <v>23</v>
      </c>
      <c r="BCO3" s="420"/>
      <c r="BCP3" s="420"/>
      <c r="BCQ3" s="420"/>
      <c r="BCR3" s="419" t="s">
        <v>23</v>
      </c>
      <c r="BCS3" s="420"/>
      <c r="BCT3" s="420"/>
      <c r="BCU3" s="420"/>
      <c r="BCV3" s="419" t="s">
        <v>23</v>
      </c>
      <c r="BCW3" s="420"/>
      <c r="BCX3" s="420"/>
      <c r="BCY3" s="420"/>
      <c r="BCZ3" s="419" t="s">
        <v>23</v>
      </c>
      <c r="BDA3" s="420"/>
      <c r="BDB3" s="420"/>
      <c r="BDC3" s="420"/>
      <c r="BDD3" s="419" t="s">
        <v>23</v>
      </c>
      <c r="BDE3" s="420"/>
      <c r="BDF3" s="420"/>
      <c r="BDG3" s="420"/>
      <c r="BDH3" s="419" t="s">
        <v>23</v>
      </c>
      <c r="BDI3" s="420"/>
      <c r="BDJ3" s="420"/>
      <c r="BDK3" s="420"/>
      <c r="BDL3" s="419" t="s">
        <v>23</v>
      </c>
      <c r="BDM3" s="420"/>
      <c r="BDN3" s="420"/>
      <c r="BDO3" s="420"/>
      <c r="BDP3" s="419" t="s">
        <v>23</v>
      </c>
      <c r="BDQ3" s="420"/>
      <c r="BDR3" s="420"/>
      <c r="BDS3" s="420"/>
      <c r="BDT3" s="419" t="s">
        <v>23</v>
      </c>
      <c r="BDU3" s="420"/>
      <c r="BDV3" s="420"/>
      <c r="BDW3" s="420"/>
      <c r="BDX3" s="419" t="s">
        <v>23</v>
      </c>
      <c r="BDY3" s="420"/>
      <c r="BDZ3" s="420"/>
      <c r="BEA3" s="420"/>
      <c r="BEB3" s="419" t="s">
        <v>23</v>
      </c>
      <c r="BEC3" s="420"/>
      <c r="BED3" s="420"/>
      <c r="BEE3" s="420"/>
      <c r="BEF3" s="419" t="s">
        <v>23</v>
      </c>
      <c r="BEG3" s="420"/>
      <c r="BEH3" s="420"/>
      <c r="BEI3" s="420"/>
      <c r="BEJ3" s="419" t="s">
        <v>23</v>
      </c>
      <c r="BEK3" s="420"/>
      <c r="BEL3" s="420"/>
      <c r="BEM3" s="420"/>
      <c r="BEN3" s="419" t="s">
        <v>23</v>
      </c>
      <c r="BEO3" s="420"/>
      <c r="BEP3" s="420"/>
      <c r="BEQ3" s="420"/>
      <c r="BER3" s="419" t="s">
        <v>23</v>
      </c>
      <c r="BES3" s="420"/>
      <c r="BET3" s="420"/>
      <c r="BEU3" s="420"/>
      <c r="BEV3" s="419" t="s">
        <v>23</v>
      </c>
      <c r="BEW3" s="420"/>
      <c r="BEX3" s="420"/>
      <c r="BEY3" s="420"/>
      <c r="BEZ3" s="419" t="s">
        <v>23</v>
      </c>
      <c r="BFA3" s="420"/>
      <c r="BFB3" s="420"/>
      <c r="BFC3" s="420"/>
      <c r="BFD3" s="419" t="s">
        <v>23</v>
      </c>
      <c r="BFE3" s="420"/>
      <c r="BFF3" s="420"/>
      <c r="BFG3" s="420"/>
      <c r="BFH3" s="419" t="s">
        <v>23</v>
      </c>
      <c r="BFI3" s="420"/>
      <c r="BFJ3" s="420"/>
      <c r="BFK3" s="420"/>
      <c r="BFL3" s="419" t="s">
        <v>23</v>
      </c>
      <c r="BFM3" s="420"/>
      <c r="BFN3" s="420"/>
      <c r="BFO3" s="420"/>
      <c r="BFP3" s="419" t="s">
        <v>23</v>
      </c>
      <c r="BFQ3" s="420"/>
      <c r="BFR3" s="420"/>
      <c r="BFS3" s="420"/>
      <c r="BFT3" s="419" t="s">
        <v>23</v>
      </c>
      <c r="BFU3" s="420"/>
      <c r="BFV3" s="420"/>
      <c r="BFW3" s="420"/>
      <c r="BFX3" s="419" t="s">
        <v>23</v>
      </c>
      <c r="BFY3" s="420"/>
      <c r="BFZ3" s="420"/>
      <c r="BGA3" s="420"/>
      <c r="BGB3" s="419" t="s">
        <v>23</v>
      </c>
      <c r="BGC3" s="420"/>
      <c r="BGD3" s="420"/>
      <c r="BGE3" s="420"/>
      <c r="BGF3" s="419" t="s">
        <v>23</v>
      </c>
      <c r="BGG3" s="420"/>
      <c r="BGH3" s="420"/>
      <c r="BGI3" s="420"/>
      <c r="BGJ3" s="419" t="s">
        <v>23</v>
      </c>
      <c r="BGK3" s="420"/>
      <c r="BGL3" s="420"/>
      <c r="BGM3" s="420"/>
      <c r="BGN3" s="419" t="s">
        <v>23</v>
      </c>
      <c r="BGO3" s="420"/>
      <c r="BGP3" s="420"/>
      <c r="BGQ3" s="420"/>
      <c r="BGR3" s="419" t="s">
        <v>23</v>
      </c>
      <c r="BGS3" s="420"/>
      <c r="BGT3" s="420"/>
      <c r="BGU3" s="420"/>
      <c r="BGV3" s="419" t="s">
        <v>23</v>
      </c>
      <c r="BGW3" s="420"/>
      <c r="BGX3" s="420"/>
      <c r="BGY3" s="420"/>
      <c r="BGZ3" s="419" t="s">
        <v>23</v>
      </c>
      <c r="BHA3" s="420"/>
      <c r="BHB3" s="420"/>
      <c r="BHC3" s="420"/>
      <c r="BHD3" s="419" t="s">
        <v>23</v>
      </c>
      <c r="BHE3" s="420"/>
      <c r="BHF3" s="420"/>
      <c r="BHG3" s="420"/>
      <c r="BHH3" s="419" t="s">
        <v>23</v>
      </c>
      <c r="BHI3" s="420"/>
      <c r="BHJ3" s="420"/>
      <c r="BHK3" s="420"/>
      <c r="BHL3" s="419" t="s">
        <v>23</v>
      </c>
      <c r="BHM3" s="420"/>
      <c r="BHN3" s="420"/>
      <c r="BHO3" s="420"/>
      <c r="BHP3" s="419" t="s">
        <v>23</v>
      </c>
      <c r="BHQ3" s="420"/>
      <c r="BHR3" s="420"/>
      <c r="BHS3" s="420"/>
      <c r="BHT3" s="419" t="s">
        <v>23</v>
      </c>
      <c r="BHU3" s="420"/>
      <c r="BHV3" s="420"/>
      <c r="BHW3" s="420"/>
      <c r="BHX3" s="419" t="s">
        <v>23</v>
      </c>
      <c r="BHY3" s="420"/>
      <c r="BHZ3" s="420"/>
      <c r="BIA3" s="420"/>
      <c r="BIB3" s="419" t="s">
        <v>23</v>
      </c>
      <c r="BIC3" s="420"/>
      <c r="BID3" s="420"/>
      <c r="BIE3" s="420"/>
      <c r="BIF3" s="419" t="s">
        <v>23</v>
      </c>
      <c r="BIG3" s="420"/>
      <c r="BIH3" s="420"/>
      <c r="BII3" s="420"/>
      <c r="BIJ3" s="419" t="s">
        <v>23</v>
      </c>
      <c r="BIK3" s="420"/>
      <c r="BIL3" s="420"/>
      <c r="BIM3" s="420"/>
      <c r="BIN3" s="419" t="s">
        <v>23</v>
      </c>
      <c r="BIO3" s="420"/>
      <c r="BIP3" s="420"/>
      <c r="BIQ3" s="420"/>
      <c r="BIR3" s="419" t="s">
        <v>23</v>
      </c>
      <c r="BIS3" s="420"/>
      <c r="BIT3" s="420"/>
      <c r="BIU3" s="420"/>
      <c r="BIV3" s="419" t="s">
        <v>23</v>
      </c>
      <c r="BIW3" s="420"/>
      <c r="BIX3" s="420"/>
      <c r="BIY3" s="420"/>
      <c r="BIZ3" s="419" t="s">
        <v>23</v>
      </c>
      <c r="BJA3" s="420"/>
      <c r="BJB3" s="420"/>
      <c r="BJC3" s="420"/>
      <c r="BJD3" s="419" t="s">
        <v>23</v>
      </c>
      <c r="BJE3" s="420"/>
      <c r="BJF3" s="420"/>
      <c r="BJG3" s="420"/>
      <c r="BJH3" s="419" t="s">
        <v>23</v>
      </c>
      <c r="BJI3" s="420"/>
      <c r="BJJ3" s="420"/>
      <c r="BJK3" s="420"/>
      <c r="BJL3" s="419" t="s">
        <v>23</v>
      </c>
      <c r="BJM3" s="420"/>
      <c r="BJN3" s="420"/>
      <c r="BJO3" s="420"/>
      <c r="BJP3" s="419" t="s">
        <v>23</v>
      </c>
      <c r="BJQ3" s="420"/>
      <c r="BJR3" s="420"/>
      <c r="BJS3" s="420"/>
      <c r="BJT3" s="419" t="s">
        <v>23</v>
      </c>
      <c r="BJU3" s="420"/>
      <c r="BJV3" s="420"/>
      <c r="BJW3" s="420"/>
      <c r="BJX3" s="419" t="s">
        <v>23</v>
      </c>
      <c r="BJY3" s="420"/>
      <c r="BJZ3" s="420"/>
      <c r="BKA3" s="420"/>
      <c r="BKB3" s="419" t="s">
        <v>23</v>
      </c>
      <c r="BKC3" s="420"/>
      <c r="BKD3" s="420"/>
      <c r="BKE3" s="420"/>
      <c r="BKF3" s="419" t="s">
        <v>23</v>
      </c>
      <c r="BKG3" s="420"/>
      <c r="BKH3" s="420"/>
      <c r="BKI3" s="420"/>
      <c r="BKJ3" s="419" t="s">
        <v>23</v>
      </c>
      <c r="BKK3" s="420"/>
      <c r="BKL3" s="420"/>
      <c r="BKM3" s="420"/>
      <c r="BKN3" s="419" t="s">
        <v>23</v>
      </c>
      <c r="BKO3" s="420"/>
      <c r="BKP3" s="420"/>
      <c r="BKQ3" s="420"/>
      <c r="BKR3" s="419" t="s">
        <v>23</v>
      </c>
      <c r="BKS3" s="420"/>
      <c r="BKT3" s="420"/>
      <c r="BKU3" s="420"/>
      <c r="BKV3" s="419" t="s">
        <v>23</v>
      </c>
      <c r="BKW3" s="420"/>
      <c r="BKX3" s="420"/>
      <c r="BKY3" s="420"/>
      <c r="BKZ3" s="419" t="s">
        <v>23</v>
      </c>
      <c r="BLA3" s="420"/>
      <c r="BLB3" s="420"/>
      <c r="BLC3" s="420"/>
      <c r="BLD3" s="419" t="s">
        <v>23</v>
      </c>
      <c r="BLE3" s="420"/>
      <c r="BLF3" s="420"/>
      <c r="BLG3" s="420"/>
      <c r="BLH3" s="419" t="s">
        <v>23</v>
      </c>
      <c r="BLI3" s="420"/>
      <c r="BLJ3" s="420"/>
      <c r="BLK3" s="420"/>
      <c r="BLL3" s="419" t="s">
        <v>23</v>
      </c>
      <c r="BLM3" s="420"/>
      <c r="BLN3" s="420"/>
      <c r="BLO3" s="420"/>
      <c r="BLP3" s="419" t="s">
        <v>23</v>
      </c>
      <c r="BLQ3" s="420"/>
      <c r="BLR3" s="420"/>
      <c r="BLS3" s="420"/>
      <c r="BLT3" s="419" t="s">
        <v>23</v>
      </c>
      <c r="BLU3" s="420"/>
      <c r="BLV3" s="420"/>
      <c r="BLW3" s="420"/>
      <c r="BLX3" s="419" t="s">
        <v>23</v>
      </c>
      <c r="BLY3" s="420"/>
      <c r="BLZ3" s="420"/>
      <c r="BMA3" s="420"/>
      <c r="BMB3" s="419" t="s">
        <v>23</v>
      </c>
      <c r="BMC3" s="420"/>
      <c r="BMD3" s="420"/>
      <c r="BME3" s="420"/>
      <c r="BMF3" s="419" t="s">
        <v>23</v>
      </c>
      <c r="BMG3" s="420"/>
      <c r="BMH3" s="420"/>
      <c r="BMI3" s="420"/>
      <c r="BMJ3" s="419" t="s">
        <v>23</v>
      </c>
      <c r="BMK3" s="420"/>
      <c r="BML3" s="420"/>
      <c r="BMM3" s="420"/>
      <c r="BMN3" s="419" t="s">
        <v>23</v>
      </c>
      <c r="BMO3" s="420"/>
      <c r="BMP3" s="420"/>
      <c r="BMQ3" s="420"/>
      <c r="BMR3" s="419" t="s">
        <v>23</v>
      </c>
      <c r="BMS3" s="420"/>
      <c r="BMT3" s="420"/>
      <c r="BMU3" s="420"/>
      <c r="BMV3" s="419" t="s">
        <v>23</v>
      </c>
      <c r="BMW3" s="420"/>
      <c r="BMX3" s="420"/>
      <c r="BMY3" s="420"/>
      <c r="BMZ3" s="419" t="s">
        <v>23</v>
      </c>
      <c r="BNA3" s="420"/>
      <c r="BNB3" s="420"/>
      <c r="BNC3" s="420"/>
      <c r="BND3" s="419" t="s">
        <v>23</v>
      </c>
      <c r="BNE3" s="420"/>
      <c r="BNF3" s="420"/>
      <c r="BNG3" s="420"/>
      <c r="BNH3" s="419" t="s">
        <v>23</v>
      </c>
      <c r="BNI3" s="420"/>
      <c r="BNJ3" s="420"/>
      <c r="BNK3" s="420"/>
      <c r="BNL3" s="419" t="s">
        <v>23</v>
      </c>
      <c r="BNM3" s="420"/>
      <c r="BNN3" s="420"/>
      <c r="BNO3" s="420"/>
      <c r="BNP3" s="419" t="s">
        <v>23</v>
      </c>
      <c r="BNQ3" s="420"/>
      <c r="BNR3" s="420"/>
      <c r="BNS3" s="420"/>
      <c r="BNT3" s="419" t="s">
        <v>23</v>
      </c>
      <c r="BNU3" s="420"/>
      <c r="BNV3" s="420"/>
      <c r="BNW3" s="420"/>
      <c r="BNX3" s="419" t="s">
        <v>23</v>
      </c>
      <c r="BNY3" s="420"/>
      <c r="BNZ3" s="420"/>
      <c r="BOA3" s="420"/>
      <c r="BOB3" s="419" t="s">
        <v>23</v>
      </c>
      <c r="BOC3" s="420"/>
      <c r="BOD3" s="420"/>
      <c r="BOE3" s="420"/>
      <c r="BOF3" s="419" t="s">
        <v>23</v>
      </c>
      <c r="BOG3" s="420"/>
      <c r="BOH3" s="420"/>
      <c r="BOI3" s="420"/>
      <c r="BOJ3" s="419" t="s">
        <v>23</v>
      </c>
      <c r="BOK3" s="420"/>
      <c r="BOL3" s="420"/>
      <c r="BOM3" s="420"/>
      <c r="BON3" s="419" t="s">
        <v>23</v>
      </c>
      <c r="BOO3" s="420"/>
      <c r="BOP3" s="420"/>
      <c r="BOQ3" s="420"/>
      <c r="BOR3" s="419" t="s">
        <v>23</v>
      </c>
      <c r="BOS3" s="420"/>
      <c r="BOT3" s="420"/>
      <c r="BOU3" s="420"/>
      <c r="BOV3" s="419" t="s">
        <v>23</v>
      </c>
      <c r="BOW3" s="420"/>
      <c r="BOX3" s="420"/>
      <c r="BOY3" s="420"/>
      <c r="BOZ3" s="419" t="s">
        <v>23</v>
      </c>
      <c r="BPA3" s="420"/>
      <c r="BPB3" s="420"/>
      <c r="BPC3" s="420"/>
      <c r="BPD3" s="419" t="s">
        <v>23</v>
      </c>
      <c r="BPE3" s="420"/>
      <c r="BPF3" s="420"/>
      <c r="BPG3" s="420"/>
      <c r="BPH3" s="419" t="s">
        <v>23</v>
      </c>
      <c r="BPI3" s="420"/>
      <c r="BPJ3" s="420"/>
      <c r="BPK3" s="420"/>
      <c r="BPL3" s="419" t="s">
        <v>23</v>
      </c>
      <c r="BPM3" s="420"/>
      <c r="BPN3" s="420"/>
      <c r="BPO3" s="420"/>
      <c r="BPP3" s="419" t="s">
        <v>23</v>
      </c>
      <c r="BPQ3" s="420"/>
      <c r="BPR3" s="420"/>
      <c r="BPS3" s="420"/>
      <c r="BPT3" s="419" t="s">
        <v>23</v>
      </c>
      <c r="BPU3" s="420"/>
      <c r="BPV3" s="420"/>
      <c r="BPW3" s="420"/>
      <c r="BPX3" s="419" t="s">
        <v>23</v>
      </c>
      <c r="BPY3" s="420"/>
      <c r="BPZ3" s="420"/>
      <c r="BQA3" s="420"/>
      <c r="BQB3" s="419" t="s">
        <v>23</v>
      </c>
      <c r="BQC3" s="420"/>
      <c r="BQD3" s="420"/>
      <c r="BQE3" s="420"/>
      <c r="BQF3" s="419" t="s">
        <v>23</v>
      </c>
      <c r="BQG3" s="420"/>
      <c r="BQH3" s="420"/>
      <c r="BQI3" s="420"/>
      <c r="BQJ3" s="419" t="s">
        <v>23</v>
      </c>
      <c r="BQK3" s="420"/>
      <c r="BQL3" s="420"/>
      <c r="BQM3" s="420"/>
      <c r="BQN3" s="419" t="s">
        <v>23</v>
      </c>
      <c r="BQO3" s="420"/>
      <c r="BQP3" s="420"/>
      <c r="BQQ3" s="420"/>
      <c r="BQR3" s="419" t="s">
        <v>23</v>
      </c>
      <c r="BQS3" s="420"/>
      <c r="BQT3" s="420"/>
      <c r="BQU3" s="420"/>
      <c r="BQV3" s="419" t="s">
        <v>23</v>
      </c>
      <c r="BQW3" s="420"/>
      <c r="BQX3" s="420"/>
      <c r="BQY3" s="420"/>
      <c r="BQZ3" s="419" t="s">
        <v>23</v>
      </c>
      <c r="BRA3" s="420"/>
      <c r="BRB3" s="420"/>
      <c r="BRC3" s="420"/>
      <c r="BRD3" s="419" t="s">
        <v>23</v>
      </c>
      <c r="BRE3" s="420"/>
      <c r="BRF3" s="420"/>
      <c r="BRG3" s="420"/>
      <c r="BRH3" s="419" t="s">
        <v>23</v>
      </c>
      <c r="BRI3" s="420"/>
      <c r="BRJ3" s="420"/>
      <c r="BRK3" s="420"/>
      <c r="BRL3" s="419" t="s">
        <v>23</v>
      </c>
      <c r="BRM3" s="420"/>
      <c r="BRN3" s="420"/>
      <c r="BRO3" s="420"/>
      <c r="BRP3" s="419" t="s">
        <v>23</v>
      </c>
      <c r="BRQ3" s="420"/>
      <c r="BRR3" s="420"/>
      <c r="BRS3" s="420"/>
      <c r="BRT3" s="419" t="s">
        <v>23</v>
      </c>
      <c r="BRU3" s="420"/>
      <c r="BRV3" s="420"/>
      <c r="BRW3" s="420"/>
      <c r="BRX3" s="419" t="s">
        <v>23</v>
      </c>
      <c r="BRY3" s="420"/>
      <c r="BRZ3" s="420"/>
      <c r="BSA3" s="420"/>
      <c r="BSB3" s="419" t="s">
        <v>23</v>
      </c>
      <c r="BSC3" s="420"/>
      <c r="BSD3" s="420"/>
      <c r="BSE3" s="420"/>
      <c r="BSF3" s="419" t="s">
        <v>23</v>
      </c>
      <c r="BSG3" s="420"/>
      <c r="BSH3" s="420"/>
      <c r="BSI3" s="420"/>
      <c r="BSJ3" s="419" t="s">
        <v>23</v>
      </c>
      <c r="BSK3" s="420"/>
      <c r="BSL3" s="420"/>
      <c r="BSM3" s="420"/>
      <c r="BSN3" s="419" t="s">
        <v>23</v>
      </c>
      <c r="BSO3" s="420"/>
      <c r="BSP3" s="420"/>
      <c r="BSQ3" s="420"/>
      <c r="BSR3" s="419" t="s">
        <v>23</v>
      </c>
      <c r="BSS3" s="420"/>
      <c r="BST3" s="420"/>
      <c r="BSU3" s="420"/>
      <c r="BSV3" s="419" t="s">
        <v>23</v>
      </c>
      <c r="BSW3" s="420"/>
      <c r="BSX3" s="420"/>
      <c r="BSY3" s="420"/>
      <c r="BSZ3" s="419" t="s">
        <v>23</v>
      </c>
      <c r="BTA3" s="420"/>
      <c r="BTB3" s="420"/>
      <c r="BTC3" s="420"/>
      <c r="BTD3" s="419" t="s">
        <v>23</v>
      </c>
      <c r="BTE3" s="420"/>
      <c r="BTF3" s="420"/>
      <c r="BTG3" s="420"/>
      <c r="BTH3" s="419" t="s">
        <v>23</v>
      </c>
      <c r="BTI3" s="420"/>
      <c r="BTJ3" s="420"/>
      <c r="BTK3" s="420"/>
      <c r="BTL3" s="419" t="s">
        <v>23</v>
      </c>
      <c r="BTM3" s="420"/>
      <c r="BTN3" s="420"/>
      <c r="BTO3" s="420"/>
      <c r="BTP3" s="419" t="s">
        <v>23</v>
      </c>
      <c r="BTQ3" s="420"/>
      <c r="BTR3" s="420"/>
      <c r="BTS3" s="420"/>
      <c r="BTT3" s="419" t="s">
        <v>23</v>
      </c>
      <c r="BTU3" s="420"/>
      <c r="BTV3" s="420"/>
      <c r="BTW3" s="420"/>
      <c r="BTX3" s="419" t="s">
        <v>23</v>
      </c>
      <c r="BTY3" s="420"/>
      <c r="BTZ3" s="420"/>
      <c r="BUA3" s="420"/>
      <c r="BUB3" s="419" t="s">
        <v>23</v>
      </c>
      <c r="BUC3" s="420"/>
      <c r="BUD3" s="420"/>
      <c r="BUE3" s="420"/>
      <c r="BUF3" s="419" t="s">
        <v>23</v>
      </c>
      <c r="BUG3" s="420"/>
      <c r="BUH3" s="420"/>
      <c r="BUI3" s="420"/>
      <c r="BUJ3" s="419" t="s">
        <v>23</v>
      </c>
      <c r="BUK3" s="420"/>
      <c r="BUL3" s="420"/>
      <c r="BUM3" s="420"/>
      <c r="BUN3" s="419" t="s">
        <v>23</v>
      </c>
      <c r="BUO3" s="420"/>
      <c r="BUP3" s="420"/>
      <c r="BUQ3" s="420"/>
      <c r="BUR3" s="419" t="s">
        <v>23</v>
      </c>
      <c r="BUS3" s="420"/>
      <c r="BUT3" s="420"/>
      <c r="BUU3" s="420"/>
      <c r="BUV3" s="419" t="s">
        <v>23</v>
      </c>
      <c r="BUW3" s="420"/>
      <c r="BUX3" s="420"/>
      <c r="BUY3" s="420"/>
      <c r="BUZ3" s="419" t="s">
        <v>23</v>
      </c>
      <c r="BVA3" s="420"/>
      <c r="BVB3" s="420"/>
      <c r="BVC3" s="420"/>
      <c r="BVD3" s="419" t="s">
        <v>23</v>
      </c>
      <c r="BVE3" s="420"/>
      <c r="BVF3" s="420"/>
      <c r="BVG3" s="420"/>
      <c r="BVH3" s="419" t="s">
        <v>23</v>
      </c>
      <c r="BVI3" s="420"/>
      <c r="BVJ3" s="420"/>
      <c r="BVK3" s="420"/>
      <c r="BVL3" s="419" t="s">
        <v>23</v>
      </c>
      <c r="BVM3" s="420"/>
      <c r="BVN3" s="420"/>
      <c r="BVO3" s="420"/>
      <c r="BVP3" s="419" t="s">
        <v>23</v>
      </c>
      <c r="BVQ3" s="420"/>
      <c r="BVR3" s="420"/>
      <c r="BVS3" s="420"/>
      <c r="BVT3" s="419" t="s">
        <v>23</v>
      </c>
      <c r="BVU3" s="420"/>
      <c r="BVV3" s="420"/>
      <c r="BVW3" s="420"/>
      <c r="BVX3" s="419" t="s">
        <v>23</v>
      </c>
      <c r="BVY3" s="420"/>
      <c r="BVZ3" s="420"/>
      <c r="BWA3" s="420"/>
      <c r="BWB3" s="419" t="s">
        <v>23</v>
      </c>
      <c r="BWC3" s="420"/>
      <c r="BWD3" s="420"/>
      <c r="BWE3" s="420"/>
      <c r="BWF3" s="419" t="s">
        <v>23</v>
      </c>
      <c r="BWG3" s="420"/>
      <c r="BWH3" s="420"/>
      <c r="BWI3" s="420"/>
      <c r="BWJ3" s="419" t="s">
        <v>23</v>
      </c>
      <c r="BWK3" s="420"/>
      <c r="BWL3" s="420"/>
      <c r="BWM3" s="420"/>
      <c r="BWN3" s="419" t="s">
        <v>23</v>
      </c>
      <c r="BWO3" s="420"/>
      <c r="BWP3" s="420"/>
      <c r="BWQ3" s="420"/>
      <c r="BWR3" s="419" t="s">
        <v>23</v>
      </c>
      <c r="BWS3" s="420"/>
      <c r="BWT3" s="420"/>
      <c r="BWU3" s="420"/>
      <c r="BWV3" s="419" t="s">
        <v>23</v>
      </c>
      <c r="BWW3" s="420"/>
      <c r="BWX3" s="420"/>
      <c r="BWY3" s="420"/>
      <c r="BWZ3" s="419" t="s">
        <v>23</v>
      </c>
      <c r="BXA3" s="420"/>
      <c r="BXB3" s="420"/>
      <c r="BXC3" s="420"/>
      <c r="BXD3" s="419" t="s">
        <v>23</v>
      </c>
      <c r="BXE3" s="420"/>
      <c r="BXF3" s="420"/>
      <c r="BXG3" s="420"/>
      <c r="BXH3" s="419" t="s">
        <v>23</v>
      </c>
      <c r="BXI3" s="420"/>
      <c r="BXJ3" s="420"/>
      <c r="BXK3" s="420"/>
      <c r="BXL3" s="419" t="s">
        <v>23</v>
      </c>
      <c r="BXM3" s="420"/>
      <c r="BXN3" s="420"/>
      <c r="BXO3" s="420"/>
      <c r="BXP3" s="419" t="s">
        <v>23</v>
      </c>
      <c r="BXQ3" s="420"/>
      <c r="BXR3" s="420"/>
      <c r="BXS3" s="420"/>
      <c r="BXT3" s="419" t="s">
        <v>23</v>
      </c>
      <c r="BXU3" s="420"/>
      <c r="BXV3" s="420"/>
      <c r="BXW3" s="420"/>
      <c r="BXX3" s="419" t="s">
        <v>23</v>
      </c>
      <c r="BXY3" s="420"/>
      <c r="BXZ3" s="420"/>
      <c r="BYA3" s="420"/>
      <c r="BYB3" s="419" t="s">
        <v>23</v>
      </c>
      <c r="BYC3" s="420"/>
      <c r="BYD3" s="420"/>
      <c r="BYE3" s="420"/>
      <c r="BYF3" s="419" t="s">
        <v>23</v>
      </c>
      <c r="BYG3" s="420"/>
      <c r="BYH3" s="420"/>
      <c r="BYI3" s="420"/>
      <c r="BYJ3" s="419" t="s">
        <v>23</v>
      </c>
      <c r="BYK3" s="420"/>
      <c r="BYL3" s="420"/>
      <c r="BYM3" s="420"/>
      <c r="BYN3" s="419" t="s">
        <v>23</v>
      </c>
      <c r="BYO3" s="420"/>
      <c r="BYP3" s="420"/>
      <c r="BYQ3" s="420"/>
      <c r="BYR3" s="419" t="s">
        <v>23</v>
      </c>
      <c r="BYS3" s="420"/>
      <c r="BYT3" s="420"/>
      <c r="BYU3" s="420"/>
      <c r="BYV3" s="419" t="s">
        <v>23</v>
      </c>
      <c r="BYW3" s="420"/>
      <c r="BYX3" s="420"/>
      <c r="BYY3" s="420"/>
      <c r="BYZ3" s="419" t="s">
        <v>23</v>
      </c>
      <c r="BZA3" s="420"/>
      <c r="BZB3" s="420"/>
      <c r="BZC3" s="420"/>
      <c r="BZD3" s="419" t="s">
        <v>23</v>
      </c>
      <c r="BZE3" s="420"/>
      <c r="BZF3" s="420"/>
      <c r="BZG3" s="420"/>
      <c r="BZH3" s="419" t="s">
        <v>23</v>
      </c>
      <c r="BZI3" s="420"/>
      <c r="BZJ3" s="420"/>
      <c r="BZK3" s="420"/>
      <c r="BZL3" s="419" t="s">
        <v>23</v>
      </c>
      <c r="BZM3" s="420"/>
      <c r="BZN3" s="420"/>
      <c r="BZO3" s="420"/>
      <c r="BZP3" s="419" t="s">
        <v>23</v>
      </c>
      <c r="BZQ3" s="420"/>
      <c r="BZR3" s="420"/>
      <c r="BZS3" s="420"/>
      <c r="BZT3" s="419" t="s">
        <v>23</v>
      </c>
      <c r="BZU3" s="420"/>
      <c r="BZV3" s="420"/>
      <c r="BZW3" s="420"/>
      <c r="BZX3" s="419" t="s">
        <v>23</v>
      </c>
      <c r="BZY3" s="420"/>
      <c r="BZZ3" s="420"/>
      <c r="CAA3" s="420"/>
      <c r="CAB3" s="419" t="s">
        <v>23</v>
      </c>
      <c r="CAC3" s="420"/>
      <c r="CAD3" s="420"/>
      <c r="CAE3" s="420"/>
      <c r="CAF3" s="419" t="s">
        <v>23</v>
      </c>
      <c r="CAG3" s="420"/>
      <c r="CAH3" s="420"/>
      <c r="CAI3" s="420"/>
      <c r="CAJ3" s="419" t="s">
        <v>23</v>
      </c>
      <c r="CAK3" s="420"/>
      <c r="CAL3" s="420"/>
      <c r="CAM3" s="420"/>
      <c r="CAN3" s="419" t="s">
        <v>23</v>
      </c>
      <c r="CAO3" s="420"/>
      <c r="CAP3" s="420"/>
      <c r="CAQ3" s="420"/>
      <c r="CAR3" s="419" t="s">
        <v>23</v>
      </c>
      <c r="CAS3" s="420"/>
      <c r="CAT3" s="420"/>
      <c r="CAU3" s="420"/>
      <c r="CAV3" s="419" t="s">
        <v>23</v>
      </c>
      <c r="CAW3" s="420"/>
      <c r="CAX3" s="420"/>
      <c r="CAY3" s="420"/>
      <c r="CAZ3" s="419" t="s">
        <v>23</v>
      </c>
      <c r="CBA3" s="420"/>
      <c r="CBB3" s="420"/>
      <c r="CBC3" s="420"/>
      <c r="CBD3" s="419" t="s">
        <v>23</v>
      </c>
      <c r="CBE3" s="420"/>
      <c r="CBF3" s="420"/>
      <c r="CBG3" s="420"/>
      <c r="CBH3" s="419" t="s">
        <v>23</v>
      </c>
      <c r="CBI3" s="420"/>
      <c r="CBJ3" s="420"/>
      <c r="CBK3" s="420"/>
      <c r="CBL3" s="419" t="s">
        <v>23</v>
      </c>
      <c r="CBM3" s="420"/>
      <c r="CBN3" s="420"/>
      <c r="CBO3" s="420"/>
      <c r="CBP3" s="419" t="s">
        <v>23</v>
      </c>
      <c r="CBQ3" s="420"/>
      <c r="CBR3" s="420"/>
      <c r="CBS3" s="420"/>
      <c r="CBT3" s="419" t="s">
        <v>23</v>
      </c>
      <c r="CBU3" s="420"/>
      <c r="CBV3" s="420"/>
      <c r="CBW3" s="420"/>
      <c r="CBX3" s="419" t="s">
        <v>23</v>
      </c>
      <c r="CBY3" s="420"/>
      <c r="CBZ3" s="420"/>
      <c r="CCA3" s="420"/>
      <c r="CCB3" s="419" t="s">
        <v>23</v>
      </c>
      <c r="CCC3" s="420"/>
      <c r="CCD3" s="420"/>
      <c r="CCE3" s="420"/>
      <c r="CCF3" s="419" t="s">
        <v>23</v>
      </c>
      <c r="CCG3" s="420"/>
      <c r="CCH3" s="420"/>
      <c r="CCI3" s="420"/>
      <c r="CCJ3" s="419" t="s">
        <v>23</v>
      </c>
      <c r="CCK3" s="420"/>
      <c r="CCL3" s="420"/>
      <c r="CCM3" s="420"/>
      <c r="CCN3" s="419" t="s">
        <v>23</v>
      </c>
      <c r="CCO3" s="420"/>
      <c r="CCP3" s="420"/>
      <c r="CCQ3" s="420"/>
      <c r="CCR3" s="419" t="s">
        <v>23</v>
      </c>
      <c r="CCS3" s="420"/>
      <c r="CCT3" s="420"/>
      <c r="CCU3" s="420"/>
      <c r="CCV3" s="419" t="s">
        <v>23</v>
      </c>
      <c r="CCW3" s="420"/>
      <c r="CCX3" s="420"/>
      <c r="CCY3" s="420"/>
      <c r="CCZ3" s="419" t="s">
        <v>23</v>
      </c>
      <c r="CDA3" s="420"/>
      <c r="CDB3" s="420"/>
      <c r="CDC3" s="420"/>
      <c r="CDD3" s="419" t="s">
        <v>23</v>
      </c>
      <c r="CDE3" s="420"/>
      <c r="CDF3" s="420"/>
      <c r="CDG3" s="420"/>
      <c r="CDH3" s="419" t="s">
        <v>23</v>
      </c>
      <c r="CDI3" s="420"/>
      <c r="CDJ3" s="420"/>
      <c r="CDK3" s="420"/>
      <c r="CDL3" s="419" t="s">
        <v>23</v>
      </c>
      <c r="CDM3" s="420"/>
      <c r="CDN3" s="420"/>
      <c r="CDO3" s="420"/>
      <c r="CDP3" s="419" t="s">
        <v>23</v>
      </c>
      <c r="CDQ3" s="420"/>
      <c r="CDR3" s="420"/>
      <c r="CDS3" s="420"/>
      <c r="CDT3" s="419" t="s">
        <v>23</v>
      </c>
      <c r="CDU3" s="420"/>
      <c r="CDV3" s="420"/>
      <c r="CDW3" s="420"/>
      <c r="CDX3" s="419" t="s">
        <v>23</v>
      </c>
      <c r="CDY3" s="420"/>
      <c r="CDZ3" s="420"/>
      <c r="CEA3" s="420"/>
      <c r="CEB3" s="419" t="s">
        <v>23</v>
      </c>
      <c r="CEC3" s="420"/>
      <c r="CED3" s="420"/>
      <c r="CEE3" s="420"/>
      <c r="CEF3" s="419" t="s">
        <v>23</v>
      </c>
      <c r="CEG3" s="420"/>
      <c r="CEH3" s="420"/>
      <c r="CEI3" s="420"/>
      <c r="CEJ3" s="419" t="s">
        <v>23</v>
      </c>
      <c r="CEK3" s="420"/>
      <c r="CEL3" s="420"/>
      <c r="CEM3" s="420"/>
      <c r="CEN3" s="419" t="s">
        <v>23</v>
      </c>
      <c r="CEO3" s="420"/>
      <c r="CEP3" s="420"/>
      <c r="CEQ3" s="420"/>
      <c r="CER3" s="419" t="s">
        <v>23</v>
      </c>
      <c r="CES3" s="420"/>
      <c r="CET3" s="420"/>
      <c r="CEU3" s="420"/>
      <c r="CEV3" s="419" t="s">
        <v>23</v>
      </c>
      <c r="CEW3" s="420"/>
      <c r="CEX3" s="420"/>
      <c r="CEY3" s="420"/>
      <c r="CEZ3" s="419" t="s">
        <v>23</v>
      </c>
      <c r="CFA3" s="420"/>
      <c r="CFB3" s="420"/>
      <c r="CFC3" s="420"/>
      <c r="CFD3" s="419" t="s">
        <v>23</v>
      </c>
      <c r="CFE3" s="420"/>
      <c r="CFF3" s="420"/>
      <c r="CFG3" s="420"/>
      <c r="CFH3" s="419" t="s">
        <v>23</v>
      </c>
      <c r="CFI3" s="420"/>
      <c r="CFJ3" s="420"/>
      <c r="CFK3" s="420"/>
      <c r="CFL3" s="419" t="s">
        <v>23</v>
      </c>
      <c r="CFM3" s="420"/>
      <c r="CFN3" s="420"/>
      <c r="CFO3" s="420"/>
      <c r="CFP3" s="419" t="s">
        <v>23</v>
      </c>
      <c r="CFQ3" s="420"/>
      <c r="CFR3" s="420"/>
      <c r="CFS3" s="420"/>
      <c r="CFT3" s="419" t="s">
        <v>23</v>
      </c>
      <c r="CFU3" s="420"/>
      <c r="CFV3" s="420"/>
      <c r="CFW3" s="420"/>
      <c r="CFX3" s="419" t="s">
        <v>23</v>
      </c>
      <c r="CFY3" s="420"/>
      <c r="CFZ3" s="420"/>
      <c r="CGA3" s="420"/>
      <c r="CGB3" s="419" t="s">
        <v>23</v>
      </c>
      <c r="CGC3" s="420"/>
      <c r="CGD3" s="420"/>
      <c r="CGE3" s="420"/>
      <c r="CGF3" s="419" t="s">
        <v>23</v>
      </c>
      <c r="CGG3" s="420"/>
      <c r="CGH3" s="420"/>
      <c r="CGI3" s="420"/>
      <c r="CGJ3" s="419" t="s">
        <v>23</v>
      </c>
      <c r="CGK3" s="420"/>
      <c r="CGL3" s="420"/>
      <c r="CGM3" s="420"/>
      <c r="CGN3" s="419" t="s">
        <v>23</v>
      </c>
      <c r="CGO3" s="420"/>
      <c r="CGP3" s="420"/>
      <c r="CGQ3" s="420"/>
      <c r="CGR3" s="419" t="s">
        <v>23</v>
      </c>
      <c r="CGS3" s="420"/>
      <c r="CGT3" s="420"/>
      <c r="CGU3" s="420"/>
      <c r="CGV3" s="419" t="s">
        <v>23</v>
      </c>
      <c r="CGW3" s="420"/>
      <c r="CGX3" s="420"/>
      <c r="CGY3" s="420"/>
      <c r="CGZ3" s="419" t="s">
        <v>23</v>
      </c>
      <c r="CHA3" s="420"/>
      <c r="CHB3" s="420"/>
      <c r="CHC3" s="420"/>
      <c r="CHD3" s="419" t="s">
        <v>23</v>
      </c>
      <c r="CHE3" s="420"/>
      <c r="CHF3" s="420"/>
      <c r="CHG3" s="420"/>
      <c r="CHH3" s="419" t="s">
        <v>23</v>
      </c>
      <c r="CHI3" s="420"/>
      <c r="CHJ3" s="420"/>
      <c r="CHK3" s="420"/>
      <c r="CHL3" s="419" t="s">
        <v>23</v>
      </c>
      <c r="CHM3" s="420"/>
      <c r="CHN3" s="420"/>
      <c r="CHO3" s="420"/>
      <c r="CHP3" s="419" t="s">
        <v>23</v>
      </c>
      <c r="CHQ3" s="420"/>
      <c r="CHR3" s="420"/>
      <c r="CHS3" s="420"/>
      <c r="CHT3" s="419" t="s">
        <v>23</v>
      </c>
      <c r="CHU3" s="420"/>
      <c r="CHV3" s="420"/>
      <c r="CHW3" s="420"/>
      <c r="CHX3" s="419" t="s">
        <v>23</v>
      </c>
      <c r="CHY3" s="420"/>
      <c r="CHZ3" s="420"/>
      <c r="CIA3" s="420"/>
      <c r="CIB3" s="419" t="s">
        <v>23</v>
      </c>
      <c r="CIC3" s="420"/>
      <c r="CID3" s="420"/>
      <c r="CIE3" s="420"/>
      <c r="CIF3" s="419" t="s">
        <v>23</v>
      </c>
      <c r="CIG3" s="420"/>
      <c r="CIH3" s="420"/>
      <c r="CII3" s="420"/>
      <c r="CIJ3" s="419" t="s">
        <v>23</v>
      </c>
      <c r="CIK3" s="420"/>
      <c r="CIL3" s="420"/>
      <c r="CIM3" s="420"/>
      <c r="CIN3" s="419" t="s">
        <v>23</v>
      </c>
      <c r="CIO3" s="420"/>
      <c r="CIP3" s="420"/>
      <c r="CIQ3" s="420"/>
      <c r="CIR3" s="419" t="s">
        <v>23</v>
      </c>
      <c r="CIS3" s="420"/>
      <c r="CIT3" s="420"/>
      <c r="CIU3" s="420"/>
      <c r="CIV3" s="419" t="s">
        <v>23</v>
      </c>
      <c r="CIW3" s="420"/>
      <c r="CIX3" s="420"/>
      <c r="CIY3" s="420"/>
      <c r="CIZ3" s="419" t="s">
        <v>23</v>
      </c>
      <c r="CJA3" s="420"/>
      <c r="CJB3" s="420"/>
      <c r="CJC3" s="420"/>
      <c r="CJD3" s="419" t="s">
        <v>23</v>
      </c>
      <c r="CJE3" s="420"/>
      <c r="CJF3" s="420"/>
      <c r="CJG3" s="420"/>
      <c r="CJH3" s="419" t="s">
        <v>23</v>
      </c>
      <c r="CJI3" s="420"/>
      <c r="CJJ3" s="420"/>
      <c r="CJK3" s="420"/>
      <c r="CJL3" s="419" t="s">
        <v>23</v>
      </c>
      <c r="CJM3" s="420"/>
      <c r="CJN3" s="420"/>
      <c r="CJO3" s="420"/>
      <c r="CJP3" s="419" t="s">
        <v>23</v>
      </c>
      <c r="CJQ3" s="420"/>
      <c r="CJR3" s="420"/>
      <c r="CJS3" s="420"/>
      <c r="CJT3" s="419" t="s">
        <v>23</v>
      </c>
      <c r="CJU3" s="420"/>
      <c r="CJV3" s="420"/>
      <c r="CJW3" s="420"/>
      <c r="CJX3" s="419" t="s">
        <v>23</v>
      </c>
      <c r="CJY3" s="420"/>
      <c r="CJZ3" s="420"/>
      <c r="CKA3" s="420"/>
      <c r="CKB3" s="419" t="s">
        <v>23</v>
      </c>
      <c r="CKC3" s="420"/>
      <c r="CKD3" s="420"/>
      <c r="CKE3" s="420"/>
      <c r="CKF3" s="419" t="s">
        <v>23</v>
      </c>
      <c r="CKG3" s="420"/>
      <c r="CKH3" s="420"/>
      <c r="CKI3" s="420"/>
      <c r="CKJ3" s="419" t="s">
        <v>23</v>
      </c>
      <c r="CKK3" s="420"/>
      <c r="CKL3" s="420"/>
      <c r="CKM3" s="420"/>
      <c r="CKN3" s="419" t="s">
        <v>23</v>
      </c>
      <c r="CKO3" s="420"/>
      <c r="CKP3" s="420"/>
      <c r="CKQ3" s="420"/>
      <c r="CKR3" s="419" t="s">
        <v>23</v>
      </c>
      <c r="CKS3" s="420"/>
      <c r="CKT3" s="420"/>
      <c r="CKU3" s="420"/>
      <c r="CKV3" s="419" t="s">
        <v>23</v>
      </c>
      <c r="CKW3" s="420"/>
      <c r="CKX3" s="420"/>
      <c r="CKY3" s="420"/>
      <c r="CKZ3" s="419" t="s">
        <v>23</v>
      </c>
      <c r="CLA3" s="420"/>
      <c r="CLB3" s="420"/>
      <c r="CLC3" s="420"/>
      <c r="CLD3" s="419" t="s">
        <v>23</v>
      </c>
      <c r="CLE3" s="420"/>
      <c r="CLF3" s="420"/>
      <c r="CLG3" s="420"/>
      <c r="CLH3" s="419" t="s">
        <v>23</v>
      </c>
      <c r="CLI3" s="420"/>
      <c r="CLJ3" s="420"/>
      <c r="CLK3" s="420"/>
      <c r="CLL3" s="419" t="s">
        <v>23</v>
      </c>
      <c r="CLM3" s="420"/>
      <c r="CLN3" s="420"/>
      <c r="CLO3" s="420"/>
      <c r="CLP3" s="419" t="s">
        <v>23</v>
      </c>
      <c r="CLQ3" s="420"/>
      <c r="CLR3" s="420"/>
      <c r="CLS3" s="420"/>
      <c r="CLT3" s="419" t="s">
        <v>23</v>
      </c>
      <c r="CLU3" s="420"/>
      <c r="CLV3" s="420"/>
      <c r="CLW3" s="420"/>
      <c r="CLX3" s="419" t="s">
        <v>23</v>
      </c>
      <c r="CLY3" s="420"/>
      <c r="CLZ3" s="420"/>
      <c r="CMA3" s="420"/>
      <c r="CMB3" s="419" t="s">
        <v>23</v>
      </c>
      <c r="CMC3" s="420"/>
      <c r="CMD3" s="420"/>
      <c r="CME3" s="420"/>
      <c r="CMF3" s="419" t="s">
        <v>23</v>
      </c>
      <c r="CMG3" s="420"/>
      <c r="CMH3" s="420"/>
      <c r="CMI3" s="420"/>
      <c r="CMJ3" s="419" t="s">
        <v>23</v>
      </c>
      <c r="CMK3" s="420"/>
      <c r="CML3" s="420"/>
      <c r="CMM3" s="420"/>
      <c r="CMN3" s="419" t="s">
        <v>23</v>
      </c>
      <c r="CMO3" s="420"/>
      <c r="CMP3" s="420"/>
      <c r="CMQ3" s="420"/>
      <c r="CMR3" s="419" t="s">
        <v>23</v>
      </c>
      <c r="CMS3" s="420"/>
      <c r="CMT3" s="420"/>
      <c r="CMU3" s="420"/>
      <c r="CMV3" s="419" t="s">
        <v>23</v>
      </c>
      <c r="CMW3" s="420"/>
      <c r="CMX3" s="420"/>
      <c r="CMY3" s="420"/>
      <c r="CMZ3" s="419" t="s">
        <v>23</v>
      </c>
      <c r="CNA3" s="420"/>
      <c r="CNB3" s="420"/>
      <c r="CNC3" s="420"/>
      <c r="CND3" s="419" t="s">
        <v>23</v>
      </c>
      <c r="CNE3" s="420"/>
      <c r="CNF3" s="420"/>
      <c r="CNG3" s="420"/>
      <c r="CNH3" s="419" t="s">
        <v>23</v>
      </c>
      <c r="CNI3" s="420"/>
      <c r="CNJ3" s="420"/>
      <c r="CNK3" s="420"/>
      <c r="CNL3" s="419" t="s">
        <v>23</v>
      </c>
      <c r="CNM3" s="420"/>
      <c r="CNN3" s="420"/>
      <c r="CNO3" s="420"/>
      <c r="CNP3" s="419" t="s">
        <v>23</v>
      </c>
      <c r="CNQ3" s="420"/>
      <c r="CNR3" s="420"/>
      <c r="CNS3" s="420"/>
      <c r="CNT3" s="419" t="s">
        <v>23</v>
      </c>
      <c r="CNU3" s="420"/>
      <c r="CNV3" s="420"/>
      <c r="CNW3" s="420"/>
      <c r="CNX3" s="419" t="s">
        <v>23</v>
      </c>
      <c r="CNY3" s="420"/>
      <c r="CNZ3" s="420"/>
      <c r="COA3" s="420"/>
      <c r="COB3" s="419" t="s">
        <v>23</v>
      </c>
      <c r="COC3" s="420"/>
      <c r="COD3" s="420"/>
      <c r="COE3" s="420"/>
      <c r="COF3" s="419" t="s">
        <v>23</v>
      </c>
      <c r="COG3" s="420"/>
      <c r="COH3" s="420"/>
      <c r="COI3" s="420"/>
      <c r="COJ3" s="419" t="s">
        <v>23</v>
      </c>
      <c r="COK3" s="420"/>
      <c r="COL3" s="420"/>
      <c r="COM3" s="420"/>
      <c r="CON3" s="419" t="s">
        <v>23</v>
      </c>
      <c r="COO3" s="420"/>
      <c r="COP3" s="420"/>
      <c r="COQ3" s="420"/>
      <c r="COR3" s="419" t="s">
        <v>23</v>
      </c>
      <c r="COS3" s="420"/>
      <c r="COT3" s="420"/>
      <c r="COU3" s="420"/>
      <c r="COV3" s="419" t="s">
        <v>23</v>
      </c>
      <c r="COW3" s="420"/>
      <c r="COX3" s="420"/>
      <c r="COY3" s="420"/>
      <c r="COZ3" s="419" t="s">
        <v>23</v>
      </c>
      <c r="CPA3" s="420"/>
      <c r="CPB3" s="420"/>
      <c r="CPC3" s="420"/>
      <c r="CPD3" s="419" t="s">
        <v>23</v>
      </c>
      <c r="CPE3" s="420"/>
      <c r="CPF3" s="420"/>
      <c r="CPG3" s="420"/>
      <c r="CPH3" s="419" t="s">
        <v>23</v>
      </c>
      <c r="CPI3" s="420"/>
      <c r="CPJ3" s="420"/>
      <c r="CPK3" s="420"/>
      <c r="CPL3" s="419" t="s">
        <v>23</v>
      </c>
      <c r="CPM3" s="420"/>
      <c r="CPN3" s="420"/>
      <c r="CPO3" s="420"/>
      <c r="CPP3" s="419" t="s">
        <v>23</v>
      </c>
      <c r="CPQ3" s="420"/>
      <c r="CPR3" s="420"/>
      <c r="CPS3" s="420"/>
      <c r="CPT3" s="419" t="s">
        <v>23</v>
      </c>
      <c r="CPU3" s="420"/>
      <c r="CPV3" s="420"/>
      <c r="CPW3" s="420"/>
      <c r="CPX3" s="419" t="s">
        <v>23</v>
      </c>
      <c r="CPY3" s="420"/>
      <c r="CPZ3" s="420"/>
      <c r="CQA3" s="420"/>
      <c r="CQB3" s="419" t="s">
        <v>23</v>
      </c>
      <c r="CQC3" s="420"/>
      <c r="CQD3" s="420"/>
      <c r="CQE3" s="420"/>
      <c r="CQF3" s="419" t="s">
        <v>23</v>
      </c>
      <c r="CQG3" s="420"/>
      <c r="CQH3" s="420"/>
      <c r="CQI3" s="420"/>
      <c r="CQJ3" s="419" t="s">
        <v>23</v>
      </c>
      <c r="CQK3" s="420"/>
      <c r="CQL3" s="420"/>
      <c r="CQM3" s="420"/>
      <c r="CQN3" s="419" t="s">
        <v>23</v>
      </c>
      <c r="CQO3" s="420"/>
      <c r="CQP3" s="420"/>
      <c r="CQQ3" s="420"/>
      <c r="CQR3" s="419" t="s">
        <v>23</v>
      </c>
      <c r="CQS3" s="420"/>
      <c r="CQT3" s="420"/>
      <c r="CQU3" s="420"/>
      <c r="CQV3" s="419" t="s">
        <v>23</v>
      </c>
      <c r="CQW3" s="420"/>
      <c r="CQX3" s="420"/>
      <c r="CQY3" s="420"/>
      <c r="CQZ3" s="419" t="s">
        <v>23</v>
      </c>
      <c r="CRA3" s="420"/>
      <c r="CRB3" s="420"/>
      <c r="CRC3" s="420"/>
      <c r="CRD3" s="419" t="s">
        <v>23</v>
      </c>
      <c r="CRE3" s="420"/>
      <c r="CRF3" s="420"/>
      <c r="CRG3" s="420"/>
      <c r="CRH3" s="419" t="s">
        <v>23</v>
      </c>
      <c r="CRI3" s="420"/>
      <c r="CRJ3" s="420"/>
      <c r="CRK3" s="420"/>
      <c r="CRL3" s="419" t="s">
        <v>23</v>
      </c>
      <c r="CRM3" s="420"/>
      <c r="CRN3" s="420"/>
      <c r="CRO3" s="420"/>
      <c r="CRP3" s="419" t="s">
        <v>23</v>
      </c>
      <c r="CRQ3" s="420"/>
      <c r="CRR3" s="420"/>
      <c r="CRS3" s="420"/>
      <c r="CRT3" s="419" t="s">
        <v>23</v>
      </c>
      <c r="CRU3" s="420"/>
      <c r="CRV3" s="420"/>
      <c r="CRW3" s="420"/>
      <c r="CRX3" s="419" t="s">
        <v>23</v>
      </c>
      <c r="CRY3" s="420"/>
      <c r="CRZ3" s="420"/>
      <c r="CSA3" s="420"/>
      <c r="CSB3" s="419" t="s">
        <v>23</v>
      </c>
      <c r="CSC3" s="420"/>
      <c r="CSD3" s="420"/>
      <c r="CSE3" s="420"/>
      <c r="CSF3" s="419" t="s">
        <v>23</v>
      </c>
      <c r="CSG3" s="420"/>
      <c r="CSH3" s="420"/>
      <c r="CSI3" s="420"/>
      <c r="CSJ3" s="419" t="s">
        <v>23</v>
      </c>
      <c r="CSK3" s="420"/>
      <c r="CSL3" s="420"/>
      <c r="CSM3" s="420"/>
      <c r="CSN3" s="419" t="s">
        <v>23</v>
      </c>
      <c r="CSO3" s="420"/>
      <c r="CSP3" s="420"/>
      <c r="CSQ3" s="420"/>
      <c r="CSR3" s="419" t="s">
        <v>23</v>
      </c>
      <c r="CSS3" s="420"/>
      <c r="CST3" s="420"/>
      <c r="CSU3" s="420"/>
      <c r="CSV3" s="419" t="s">
        <v>23</v>
      </c>
      <c r="CSW3" s="420"/>
      <c r="CSX3" s="420"/>
      <c r="CSY3" s="420"/>
      <c r="CSZ3" s="419" t="s">
        <v>23</v>
      </c>
      <c r="CTA3" s="420"/>
      <c r="CTB3" s="420"/>
      <c r="CTC3" s="420"/>
      <c r="CTD3" s="419" t="s">
        <v>23</v>
      </c>
      <c r="CTE3" s="420"/>
      <c r="CTF3" s="420"/>
      <c r="CTG3" s="420"/>
      <c r="CTH3" s="419" t="s">
        <v>23</v>
      </c>
      <c r="CTI3" s="420"/>
      <c r="CTJ3" s="420"/>
      <c r="CTK3" s="420"/>
      <c r="CTL3" s="419" t="s">
        <v>23</v>
      </c>
      <c r="CTM3" s="420"/>
      <c r="CTN3" s="420"/>
      <c r="CTO3" s="420"/>
      <c r="CTP3" s="419" t="s">
        <v>23</v>
      </c>
      <c r="CTQ3" s="420"/>
      <c r="CTR3" s="420"/>
      <c r="CTS3" s="420"/>
      <c r="CTT3" s="419" t="s">
        <v>23</v>
      </c>
      <c r="CTU3" s="420"/>
      <c r="CTV3" s="420"/>
      <c r="CTW3" s="420"/>
      <c r="CTX3" s="419" t="s">
        <v>23</v>
      </c>
      <c r="CTY3" s="420"/>
      <c r="CTZ3" s="420"/>
      <c r="CUA3" s="420"/>
      <c r="CUB3" s="419" t="s">
        <v>23</v>
      </c>
      <c r="CUC3" s="420"/>
      <c r="CUD3" s="420"/>
      <c r="CUE3" s="420"/>
      <c r="CUF3" s="419" t="s">
        <v>23</v>
      </c>
      <c r="CUG3" s="420"/>
      <c r="CUH3" s="420"/>
      <c r="CUI3" s="420"/>
      <c r="CUJ3" s="419" t="s">
        <v>23</v>
      </c>
      <c r="CUK3" s="420"/>
      <c r="CUL3" s="420"/>
      <c r="CUM3" s="420"/>
      <c r="CUN3" s="419" t="s">
        <v>23</v>
      </c>
      <c r="CUO3" s="420"/>
      <c r="CUP3" s="420"/>
      <c r="CUQ3" s="420"/>
      <c r="CUR3" s="419" t="s">
        <v>23</v>
      </c>
      <c r="CUS3" s="420"/>
      <c r="CUT3" s="420"/>
      <c r="CUU3" s="420"/>
      <c r="CUV3" s="419" t="s">
        <v>23</v>
      </c>
      <c r="CUW3" s="420"/>
      <c r="CUX3" s="420"/>
      <c r="CUY3" s="420"/>
      <c r="CUZ3" s="419" t="s">
        <v>23</v>
      </c>
      <c r="CVA3" s="420"/>
      <c r="CVB3" s="420"/>
      <c r="CVC3" s="420"/>
      <c r="CVD3" s="419" t="s">
        <v>23</v>
      </c>
      <c r="CVE3" s="420"/>
      <c r="CVF3" s="420"/>
      <c r="CVG3" s="420"/>
      <c r="CVH3" s="419" t="s">
        <v>23</v>
      </c>
      <c r="CVI3" s="420"/>
      <c r="CVJ3" s="420"/>
      <c r="CVK3" s="420"/>
      <c r="CVL3" s="419" t="s">
        <v>23</v>
      </c>
      <c r="CVM3" s="420"/>
      <c r="CVN3" s="420"/>
      <c r="CVO3" s="420"/>
      <c r="CVP3" s="419" t="s">
        <v>23</v>
      </c>
      <c r="CVQ3" s="420"/>
      <c r="CVR3" s="420"/>
      <c r="CVS3" s="420"/>
      <c r="CVT3" s="419" t="s">
        <v>23</v>
      </c>
      <c r="CVU3" s="420"/>
      <c r="CVV3" s="420"/>
      <c r="CVW3" s="420"/>
      <c r="CVX3" s="419" t="s">
        <v>23</v>
      </c>
      <c r="CVY3" s="420"/>
      <c r="CVZ3" s="420"/>
      <c r="CWA3" s="420"/>
      <c r="CWB3" s="419" t="s">
        <v>23</v>
      </c>
      <c r="CWC3" s="420"/>
      <c r="CWD3" s="420"/>
      <c r="CWE3" s="420"/>
      <c r="CWF3" s="419" t="s">
        <v>23</v>
      </c>
      <c r="CWG3" s="420"/>
      <c r="CWH3" s="420"/>
      <c r="CWI3" s="420"/>
      <c r="CWJ3" s="419" t="s">
        <v>23</v>
      </c>
      <c r="CWK3" s="420"/>
      <c r="CWL3" s="420"/>
      <c r="CWM3" s="420"/>
      <c r="CWN3" s="419" t="s">
        <v>23</v>
      </c>
      <c r="CWO3" s="420"/>
      <c r="CWP3" s="420"/>
      <c r="CWQ3" s="420"/>
      <c r="CWR3" s="419" t="s">
        <v>23</v>
      </c>
      <c r="CWS3" s="420"/>
      <c r="CWT3" s="420"/>
      <c r="CWU3" s="420"/>
      <c r="CWV3" s="419" t="s">
        <v>23</v>
      </c>
      <c r="CWW3" s="420"/>
      <c r="CWX3" s="420"/>
      <c r="CWY3" s="420"/>
      <c r="CWZ3" s="419" t="s">
        <v>23</v>
      </c>
      <c r="CXA3" s="420"/>
      <c r="CXB3" s="420"/>
      <c r="CXC3" s="420"/>
      <c r="CXD3" s="419" t="s">
        <v>23</v>
      </c>
      <c r="CXE3" s="420"/>
      <c r="CXF3" s="420"/>
      <c r="CXG3" s="420"/>
      <c r="CXH3" s="419" t="s">
        <v>23</v>
      </c>
      <c r="CXI3" s="420"/>
      <c r="CXJ3" s="420"/>
      <c r="CXK3" s="420"/>
      <c r="CXL3" s="419" t="s">
        <v>23</v>
      </c>
      <c r="CXM3" s="420"/>
      <c r="CXN3" s="420"/>
      <c r="CXO3" s="420"/>
      <c r="CXP3" s="419" t="s">
        <v>23</v>
      </c>
      <c r="CXQ3" s="420"/>
      <c r="CXR3" s="420"/>
      <c r="CXS3" s="420"/>
      <c r="CXT3" s="419" t="s">
        <v>23</v>
      </c>
      <c r="CXU3" s="420"/>
      <c r="CXV3" s="420"/>
      <c r="CXW3" s="420"/>
      <c r="CXX3" s="419" t="s">
        <v>23</v>
      </c>
      <c r="CXY3" s="420"/>
      <c r="CXZ3" s="420"/>
      <c r="CYA3" s="420"/>
      <c r="CYB3" s="419" t="s">
        <v>23</v>
      </c>
      <c r="CYC3" s="420"/>
      <c r="CYD3" s="420"/>
      <c r="CYE3" s="420"/>
      <c r="CYF3" s="419" t="s">
        <v>23</v>
      </c>
      <c r="CYG3" s="420"/>
      <c r="CYH3" s="420"/>
      <c r="CYI3" s="420"/>
      <c r="CYJ3" s="419" t="s">
        <v>23</v>
      </c>
      <c r="CYK3" s="420"/>
      <c r="CYL3" s="420"/>
      <c r="CYM3" s="420"/>
      <c r="CYN3" s="419" t="s">
        <v>23</v>
      </c>
      <c r="CYO3" s="420"/>
      <c r="CYP3" s="420"/>
      <c r="CYQ3" s="420"/>
      <c r="CYR3" s="419" t="s">
        <v>23</v>
      </c>
      <c r="CYS3" s="420"/>
      <c r="CYT3" s="420"/>
      <c r="CYU3" s="420"/>
      <c r="CYV3" s="419" t="s">
        <v>23</v>
      </c>
      <c r="CYW3" s="420"/>
      <c r="CYX3" s="420"/>
      <c r="CYY3" s="420"/>
      <c r="CYZ3" s="419" t="s">
        <v>23</v>
      </c>
      <c r="CZA3" s="420"/>
      <c r="CZB3" s="420"/>
      <c r="CZC3" s="420"/>
      <c r="CZD3" s="419" t="s">
        <v>23</v>
      </c>
      <c r="CZE3" s="420"/>
      <c r="CZF3" s="420"/>
      <c r="CZG3" s="420"/>
      <c r="CZH3" s="419" t="s">
        <v>23</v>
      </c>
      <c r="CZI3" s="420"/>
      <c r="CZJ3" s="420"/>
      <c r="CZK3" s="420"/>
      <c r="CZL3" s="419" t="s">
        <v>23</v>
      </c>
      <c r="CZM3" s="420"/>
      <c r="CZN3" s="420"/>
      <c r="CZO3" s="420"/>
      <c r="CZP3" s="419" t="s">
        <v>23</v>
      </c>
      <c r="CZQ3" s="420"/>
      <c r="CZR3" s="420"/>
      <c r="CZS3" s="420"/>
      <c r="CZT3" s="419" t="s">
        <v>23</v>
      </c>
      <c r="CZU3" s="420"/>
      <c r="CZV3" s="420"/>
      <c r="CZW3" s="420"/>
      <c r="CZX3" s="419" t="s">
        <v>23</v>
      </c>
      <c r="CZY3" s="420"/>
      <c r="CZZ3" s="420"/>
      <c r="DAA3" s="420"/>
      <c r="DAB3" s="419" t="s">
        <v>23</v>
      </c>
      <c r="DAC3" s="420"/>
      <c r="DAD3" s="420"/>
      <c r="DAE3" s="420"/>
      <c r="DAF3" s="419" t="s">
        <v>23</v>
      </c>
      <c r="DAG3" s="420"/>
      <c r="DAH3" s="420"/>
      <c r="DAI3" s="420"/>
      <c r="DAJ3" s="419" t="s">
        <v>23</v>
      </c>
      <c r="DAK3" s="420"/>
      <c r="DAL3" s="420"/>
      <c r="DAM3" s="420"/>
      <c r="DAN3" s="419" t="s">
        <v>23</v>
      </c>
      <c r="DAO3" s="420"/>
      <c r="DAP3" s="420"/>
      <c r="DAQ3" s="420"/>
      <c r="DAR3" s="419" t="s">
        <v>23</v>
      </c>
      <c r="DAS3" s="420"/>
      <c r="DAT3" s="420"/>
      <c r="DAU3" s="420"/>
      <c r="DAV3" s="419" t="s">
        <v>23</v>
      </c>
      <c r="DAW3" s="420"/>
      <c r="DAX3" s="420"/>
      <c r="DAY3" s="420"/>
      <c r="DAZ3" s="419" t="s">
        <v>23</v>
      </c>
      <c r="DBA3" s="420"/>
      <c r="DBB3" s="420"/>
      <c r="DBC3" s="420"/>
      <c r="DBD3" s="419" t="s">
        <v>23</v>
      </c>
      <c r="DBE3" s="420"/>
      <c r="DBF3" s="420"/>
      <c r="DBG3" s="420"/>
      <c r="DBH3" s="419" t="s">
        <v>23</v>
      </c>
      <c r="DBI3" s="420"/>
      <c r="DBJ3" s="420"/>
      <c r="DBK3" s="420"/>
      <c r="DBL3" s="419" t="s">
        <v>23</v>
      </c>
      <c r="DBM3" s="420"/>
      <c r="DBN3" s="420"/>
      <c r="DBO3" s="420"/>
      <c r="DBP3" s="419" t="s">
        <v>23</v>
      </c>
      <c r="DBQ3" s="420"/>
      <c r="DBR3" s="420"/>
      <c r="DBS3" s="420"/>
      <c r="DBT3" s="419" t="s">
        <v>23</v>
      </c>
      <c r="DBU3" s="420"/>
      <c r="DBV3" s="420"/>
      <c r="DBW3" s="420"/>
      <c r="DBX3" s="419" t="s">
        <v>23</v>
      </c>
      <c r="DBY3" s="420"/>
      <c r="DBZ3" s="420"/>
      <c r="DCA3" s="420"/>
      <c r="DCB3" s="419" t="s">
        <v>23</v>
      </c>
      <c r="DCC3" s="420"/>
      <c r="DCD3" s="420"/>
      <c r="DCE3" s="420"/>
      <c r="DCF3" s="419" t="s">
        <v>23</v>
      </c>
      <c r="DCG3" s="420"/>
      <c r="DCH3" s="420"/>
      <c r="DCI3" s="420"/>
      <c r="DCJ3" s="419" t="s">
        <v>23</v>
      </c>
      <c r="DCK3" s="420"/>
      <c r="DCL3" s="420"/>
      <c r="DCM3" s="420"/>
      <c r="DCN3" s="419" t="s">
        <v>23</v>
      </c>
      <c r="DCO3" s="420"/>
      <c r="DCP3" s="420"/>
      <c r="DCQ3" s="420"/>
      <c r="DCR3" s="419" t="s">
        <v>23</v>
      </c>
      <c r="DCS3" s="420"/>
      <c r="DCT3" s="420"/>
      <c r="DCU3" s="420"/>
      <c r="DCV3" s="419" t="s">
        <v>23</v>
      </c>
      <c r="DCW3" s="420"/>
      <c r="DCX3" s="420"/>
      <c r="DCY3" s="420"/>
      <c r="DCZ3" s="419" t="s">
        <v>23</v>
      </c>
      <c r="DDA3" s="420"/>
      <c r="DDB3" s="420"/>
      <c r="DDC3" s="420"/>
      <c r="DDD3" s="419" t="s">
        <v>23</v>
      </c>
      <c r="DDE3" s="420"/>
      <c r="DDF3" s="420"/>
      <c r="DDG3" s="420"/>
      <c r="DDH3" s="419" t="s">
        <v>23</v>
      </c>
      <c r="DDI3" s="420"/>
      <c r="DDJ3" s="420"/>
      <c r="DDK3" s="420"/>
      <c r="DDL3" s="419" t="s">
        <v>23</v>
      </c>
      <c r="DDM3" s="420"/>
      <c r="DDN3" s="420"/>
      <c r="DDO3" s="420"/>
      <c r="DDP3" s="419" t="s">
        <v>23</v>
      </c>
      <c r="DDQ3" s="420"/>
      <c r="DDR3" s="420"/>
      <c r="DDS3" s="420"/>
      <c r="DDT3" s="419" t="s">
        <v>23</v>
      </c>
      <c r="DDU3" s="420"/>
      <c r="DDV3" s="420"/>
      <c r="DDW3" s="420"/>
      <c r="DDX3" s="419" t="s">
        <v>23</v>
      </c>
      <c r="DDY3" s="420"/>
      <c r="DDZ3" s="420"/>
      <c r="DEA3" s="420"/>
      <c r="DEB3" s="419" t="s">
        <v>23</v>
      </c>
      <c r="DEC3" s="420"/>
      <c r="DED3" s="420"/>
      <c r="DEE3" s="420"/>
      <c r="DEF3" s="419" t="s">
        <v>23</v>
      </c>
      <c r="DEG3" s="420"/>
      <c r="DEH3" s="420"/>
      <c r="DEI3" s="420"/>
      <c r="DEJ3" s="419" t="s">
        <v>23</v>
      </c>
      <c r="DEK3" s="420"/>
      <c r="DEL3" s="420"/>
      <c r="DEM3" s="420"/>
      <c r="DEN3" s="419" t="s">
        <v>23</v>
      </c>
      <c r="DEO3" s="420"/>
      <c r="DEP3" s="420"/>
      <c r="DEQ3" s="420"/>
      <c r="DER3" s="419" t="s">
        <v>23</v>
      </c>
      <c r="DES3" s="420"/>
      <c r="DET3" s="420"/>
      <c r="DEU3" s="420"/>
      <c r="DEV3" s="419" t="s">
        <v>23</v>
      </c>
      <c r="DEW3" s="420"/>
      <c r="DEX3" s="420"/>
      <c r="DEY3" s="420"/>
      <c r="DEZ3" s="419" t="s">
        <v>23</v>
      </c>
      <c r="DFA3" s="420"/>
      <c r="DFB3" s="420"/>
      <c r="DFC3" s="420"/>
      <c r="DFD3" s="419" t="s">
        <v>23</v>
      </c>
      <c r="DFE3" s="420"/>
      <c r="DFF3" s="420"/>
      <c r="DFG3" s="420"/>
      <c r="DFH3" s="419" t="s">
        <v>23</v>
      </c>
      <c r="DFI3" s="420"/>
      <c r="DFJ3" s="420"/>
      <c r="DFK3" s="420"/>
      <c r="DFL3" s="419" t="s">
        <v>23</v>
      </c>
      <c r="DFM3" s="420"/>
      <c r="DFN3" s="420"/>
      <c r="DFO3" s="420"/>
      <c r="DFP3" s="419" t="s">
        <v>23</v>
      </c>
      <c r="DFQ3" s="420"/>
      <c r="DFR3" s="420"/>
      <c r="DFS3" s="420"/>
      <c r="DFT3" s="419" t="s">
        <v>23</v>
      </c>
      <c r="DFU3" s="420"/>
      <c r="DFV3" s="420"/>
      <c r="DFW3" s="420"/>
      <c r="DFX3" s="419" t="s">
        <v>23</v>
      </c>
      <c r="DFY3" s="420"/>
      <c r="DFZ3" s="420"/>
      <c r="DGA3" s="420"/>
      <c r="DGB3" s="419" t="s">
        <v>23</v>
      </c>
      <c r="DGC3" s="420"/>
      <c r="DGD3" s="420"/>
      <c r="DGE3" s="420"/>
      <c r="DGF3" s="419" t="s">
        <v>23</v>
      </c>
      <c r="DGG3" s="420"/>
      <c r="DGH3" s="420"/>
      <c r="DGI3" s="420"/>
      <c r="DGJ3" s="419" t="s">
        <v>23</v>
      </c>
      <c r="DGK3" s="420"/>
      <c r="DGL3" s="420"/>
      <c r="DGM3" s="420"/>
      <c r="DGN3" s="419" t="s">
        <v>23</v>
      </c>
      <c r="DGO3" s="420"/>
      <c r="DGP3" s="420"/>
      <c r="DGQ3" s="420"/>
      <c r="DGR3" s="419" t="s">
        <v>23</v>
      </c>
      <c r="DGS3" s="420"/>
      <c r="DGT3" s="420"/>
      <c r="DGU3" s="420"/>
      <c r="DGV3" s="419" t="s">
        <v>23</v>
      </c>
      <c r="DGW3" s="420"/>
      <c r="DGX3" s="420"/>
      <c r="DGY3" s="420"/>
      <c r="DGZ3" s="419" t="s">
        <v>23</v>
      </c>
      <c r="DHA3" s="420"/>
      <c r="DHB3" s="420"/>
      <c r="DHC3" s="420"/>
      <c r="DHD3" s="419" t="s">
        <v>23</v>
      </c>
      <c r="DHE3" s="420"/>
      <c r="DHF3" s="420"/>
      <c r="DHG3" s="420"/>
      <c r="DHH3" s="419" t="s">
        <v>23</v>
      </c>
      <c r="DHI3" s="420"/>
      <c r="DHJ3" s="420"/>
      <c r="DHK3" s="420"/>
      <c r="DHL3" s="419" t="s">
        <v>23</v>
      </c>
      <c r="DHM3" s="420"/>
      <c r="DHN3" s="420"/>
      <c r="DHO3" s="420"/>
      <c r="DHP3" s="419" t="s">
        <v>23</v>
      </c>
      <c r="DHQ3" s="420"/>
      <c r="DHR3" s="420"/>
      <c r="DHS3" s="420"/>
      <c r="DHT3" s="419" t="s">
        <v>23</v>
      </c>
      <c r="DHU3" s="420"/>
      <c r="DHV3" s="420"/>
      <c r="DHW3" s="420"/>
      <c r="DHX3" s="419" t="s">
        <v>23</v>
      </c>
      <c r="DHY3" s="420"/>
      <c r="DHZ3" s="420"/>
      <c r="DIA3" s="420"/>
      <c r="DIB3" s="419" t="s">
        <v>23</v>
      </c>
      <c r="DIC3" s="420"/>
      <c r="DID3" s="420"/>
      <c r="DIE3" s="420"/>
      <c r="DIF3" s="419" t="s">
        <v>23</v>
      </c>
      <c r="DIG3" s="420"/>
      <c r="DIH3" s="420"/>
      <c r="DII3" s="420"/>
      <c r="DIJ3" s="419" t="s">
        <v>23</v>
      </c>
      <c r="DIK3" s="420"/>
      <c r="DIL3" s="420"/>
      <c r="DIM3" s="420"/>
      <c r="DIN3" s="419" t="s">
        <v>23</v>
      </c>
      <c r="DIO3" s="420"/>
      <c r="DIP3" s="420"/>
      <c r="DIQ3" s="420"/>
      <c r="DIR3" s="419" t="s">
        <v>23</v>
      </c>
      <c r="DIS3" s="420"/>
      <c r="DIT3" s="420"/>
      <c r="DIU3" s="420"/>
      <c r="DIV3" s="419" t="s">
        <v>23</v>
      </c>
      <c r="DIW3" s="420"/>
      <c r="DIX3" s="420"/>
      <c r="DIY3" s="420"/>
      <c r="DIZ3" s="419" t="s">
        <v>23</v>
      </c>
      <c r="DJA3" s="420"/>
      <c r="DJB3" s="420"/>
      <c r="DJC3" s="420"/>
      <c r="DJD3" s="419" t="s">
        <v>23</v>
      </c>
      <c r="DJE3" s="420"/>
      <c r="DJF3" s="420"/>
      <c r="DJG3" s="420"/>
      <c r="DJH3" s="419" t="s">
        <v>23</v>
      </c>
      <c r="DJI3" s="420"/>
      <c r="DJJ3" s="420"/>
      <c r="DJK3" s="420"/>
      <c r="DJL3" s="419" t="s">
        <v>23</v>
      </c>
      <c r="DJM3" s="420"/>
      <c r="DJN3" s="420"/>
      <c r="DJO3" s="420"/>
      <c r="DJP3" s="419" t="s">
        <v>23</v>
      </c>
      <c r="DJQ3" s="420"/>
      <c r="DJR3" s="420"/>
      <c r="DJS3" s="420"/>
      <c r="DJT3" s="419" t="s">
        <v>23</v>
      </c>
      <c r="DJU3" s="420"/>
      <c r="DJV3" s="420"/>
      <c r="DJW3" s="420"/>
      <c r="DJX3" s="419" t="s">
        <v>23</v>
      </c>
      <c r="DJY3" s="420"/>
      <c r="DJZ3" s="420"/>
      <c r="DKA3" s="420"/>
      <c r="DKB3" s="419" t="s">
        <v>23</v>
      </c>
      <c r="DKC3" s="420"/>
      <c r="DKD3" s="420"/>
      <c r="DKE3" s="420"/>
      <c r="DKF3" s="419" t="s">
        <v>23</v>
      </c>
      <c r="DKG3" s="420"/>
      <c r="DKH3" s="420"/>
      <c r="DKI3" s="420"/>
      <c r="DKJ3" s="419" t="s">
        <v>23</v>
      </c>
      <c r="DKK3" s="420"/>
      <c r="DKL3" s="420"/>
      <c r="DKM3" s="420"/>
      <c r="DKN3" s="419" t="s">
        <v>23</v>
      </c>
      <c r="DKO3" s="420"/>
      <c r="DKP3" s="420"/>
      <c r="DKQ3" s="420"/>
      <c r="DKR3" s="419" t="s">
        <v>23</v>
      </c>
      <c r="DKS3" s="420"/>
      <c r="DKT3" s="420"/>
      <c r="DKU3" s="420"/>
      <c r="DKV3" s="419" t="s">
        <v>23</v>
      </c>
      <c r="DKW3" s="420"/>
      <c r="DKX3" s="420"/>
      <c r="DKY3" s="420"/>
      <c r="DKZ3" s="419" t="s">
        <v>23</v>
      </c>
      <c r="DLA3" s="420"/>
      <c r="DLB3" s="420"/>
      <c r="DLC3" s="420"/>
      <c r="DLD3" s="419" t="s">
        <v>23</v>
      </c>
      <c r="DLE3" s="420"/>
      <c r="DLF3" s="420"/>
      <c r="DLG3" s="420"/>
      <c r="DLH3" s="419" t="s">
        <v>23</v>
      </c>
      <c r="DLI3" s="420"/>
      <c r="DLJ3" s="420"/>
      <c r="DLK3" s="420"/>
      <c r="DLL3" s="419" t="s">
        <v>23</v>
      </c>
      <c r="DLM3" s="420"/>
      <c r="DLN3" s="420"/>
      <c r="DLO3" s="420"/>
      <c r="DLP3" s="419" t="s">
        <v>23</v>
      </c>
      <c r="DLQ3" s="420"/>
      <c r="DLR3" s="420"/>
      <c r="DLS3" s="420"/>
      <c r="DLT3" s="419" t="s">
        <v>23</v>
      </c>
      <c r="DLU3" s="420"/>
      <c r="DLV3" s="420"/>
      <c r="DLW3" s="420"/>
      <c r="DLX3" s="419" t="s">
        <v>23</v>
      </c>
      <c r="DLY3" s="420"/>
      <c r="DLZ3" s="420"/>
      <c r="DMA3" s="420"/>
      <c r="DMB3" s="419" t="s">
        <v>23</v>
      </c>
      <c r="DMC3" s="420"/>
      <c r="DMD3" s="420"/>
      <c r="DME3" s="420"/>
      <c r="DMF3" s="419" t="s">
        <v>23</v>
      </c>
      <c r="DMG3" s="420"/>
      <c r="DMH3" s="420"/>
      <c r="DMI3" s="420"/>
      <c r="DMJ3" s="419" t="s">
        <v>23</v>
      </c>
      <c r="DMK3" s="420"/>
      <c r="DML3" s="420"/>
      <c r="DMM3" s="420"/>
      <c r="DMN3" s="419" t="s">
        <v>23</v>
      </c>
      <c r="DMO3" s="420"/>
      <c r="DMP3" s="420"/>
      <c r="DMQ3" s="420"/>
      <c r="DMR3" s="419" t="s">
        <v>23</v>
      </c>
      <c r="DMS3" s="420"/>
      <c r="DMT3" s="420"/>
      <c r="DMU3" s="420"/>
      <c r="DMV3" s="419" t="s">
        <v>23</v>
      </c>
      <c r="DMW3" s="420"/>
      <c r="DMX3" s="420"/>
      <c r="DMY3" s="420"/>
      <c r="DMZ3" s="419" t="s">
        <v>23</v>
      </c>
      <c r="DNA3" s="420"/>
      <c r="DNB3" s="420"/>
      <c r="DNC3" s="420"/>
      <c r="DND3" s="419" t="s">
        <v>23</v>
      </c>
      <c r="DNE3" s="420"/>
      <c r="DNF3" s="420"/>
      <c r="DNG3" s="420"/>
      <c r="DNH3" s="419" t="s">
        <v>23</v>
      </c>
      <c r="DNI3" s="420"/>
      <c r="DNJ3" s="420"/>
      <c r="DNK3" s="420"/>
      <c r="DNL3" s="419" t="s">
        <v>23</v>
      </c>
      <c r="DNM3" s="420"/>
      <c r="DNN3" s="420"/>
      <c r="DNO3" s="420"/>
      <c r="DNP3" s="419" t="s">
        <v>23</v>
      </c>
      <c r="DNQ3" s="420"/>
      <c r="DNR3" s="420"/>
      <c r="DNS3" s="420"/>
      <c r="DNT3" s="419" t="s">
        <v>23</v>
      </c>
      <c r="DNU3" s="420"/>
      <c r="DNV3" s="420"/>
      <c r="DNW3" s="420"/>
      <c r="DNX3" s="419" t="s">
        <v>23</v>
      </c>
      <c r="DNY3" s="420"/>
      <c r="DNZ3" s="420"/>
      <c r="DOA3" s="420"/>
      <c r="DOB3" s="419" t="s">
        <v>23</v>
      </c>
      <c r="DOC3" s="420"/>
      <c r="DOD3" s="420"/>
      <c r="DOE3" s="420"/>
      <c r="DOF3" s="419" t="s">
        <v>23</v>
      </c>
      <c r="DOG3" s="420"/>
      <c r="DOH3" s="420"/>
      <c r="DOI3" s="420"/>
      <c r="DOJ3" s="419" t="s">
        <v>23</v>
      </c>
      <c r="DOK3" s="420"/>
      <c r="DOL3" s="420"/>
      <c r="DOM3" s="420"/>
      <c r="DON3" s="419" t="s">
        <v>23</v>
      </c>
      <c r="DOO3" s="420"/>
      <c r="DOP3" s="420"/>
      <c r="DOQ3" s="420"/>
      <c r="DOR3" s="419" t="s">
        <v>23</v>
      </c>
      <c r="DOS3" s="420"/>
      <c r="DOT3" s="420"/>
      <c r="DOU3" s="420"/>
      <c r="DOV3" s="419" t="s">
        <v>23</v>
      </c>
      <c r="DOW3" s="420"/>
      <c r="DOX3" s="420"/>
      <c r="DOY3" s="420"/>
      <c r="DOZ3" s="419" t="s">
        <v>23</v>
      </c>
      <c r="DPA3" s="420"/>
      <c r="DPB3" s="420"/>
      <c r="DPC3" s="420"/>
      <c r="DPD3" s="419" t="s">
        <v>23</v>
      </c>
      <c r="DPE3" s="420"/>
      <c r="DPF3" s="420"/>
      <c r="DPG3" s="420"/>
      <c r="DPH3" s="419" t="s">
        <v>23</v>
      </c>
      <c r="DPI3" s="420"/>
      <c r="DPJ3" s="420"/>
      <c r="DPK3" s="420"/>
      <c r="DPL3" s="419" t="s">
        <v>23</v>
      </c>
      <c r="DPM3" s="420"/>
      <c r="DPN3" s="420"/>
      <c r="DPO3" s="420"/>
      <c r="DPP3" s="419" t="s">
        <v>23</v>
      </c>
      <c r="DPQ3" s="420"/>
      <c r="DPR3" s="420"/>
      <c r="DPS3" s="420"/>
      <c r="DPT3" s="419" t="s">
        <v>23</v>
      </c>
      <c r="DPU3" s="420"/>
      <c r="DPV3" s="420"/>
      <c r="DPW3" s="420"/>
      <c r="DPX3" s="419" t="s">
        <v>23</v>
      </c>
      <c r="DPY3" s="420"/>
      <c r="DPZ3" s="420"/>
      <c r="DQA3" s="420"/>
      <c r="DQB3" s="419" t="s">
        <v>23</v>
      </c>
      <c r="DQC3" s="420"/>
      <c r="DQD3" s="420"/>
      <c r="DQE3" s="420"/>
      <c r="DQF3" s="419" t="s">
        <v>23</v>
      </c>
      <c r="DQG3" s="420"/>
      <c r="DQH3" s="420"/>
      <c r="DQI3" s="420"/>
      <c r="DQJ3" s="419" t="s">
        <v>23</v>
      </c>
      <c r="DQK3" s="420"/>
      <c r="DQL3" s="420"/>
      <c r="DQM3" s="420"/>
      <c r="DQN3" s="419" t="s">
        <v>23</v>
      </c>
      <c r="DQO3" s="420"/>
      <c r="DQP3" s="420"/>
      <c r="DQQ3" s="420"/>
      <c r="DQR3" s="419" t="s">
        <v>23</v>
      </c>
      <c r="DQS3" s="420"/>
      <c r="DQT3" s="420"/>
      <c r="DQU3" s="420"/>
      <c r="DQV3" s="419" t="s">
        <v>23</v>
      </c>
      <c r="DQW3" s="420"/>
      <c r="DQX3" s="420"/>
      <c r="DQY3" s="420"/>
      <c r="DQZ3" s="419" t="s">
        <v>23</v>
      </c>
      <c r="DRA3" s="420"/>
      <c r="DRB3" s="420"/>
      <c r="DRC3" s="420"/>
      <c r="DRD3" s="419" t="s">
        <v>23</v>
      </c>
      <c r="DRE3" s="420"/>
      <c r="DRF3" s="420"/>
      <c r="DRG3" s="420"/>
      <c r="DRH3" s="419" t="s">
        <v>23</v>
      </c>
      <c r="DRI3" s="420"/>
      <c r="DRJ3" s="420"/>
      <c r="DRK3" s="420"/>
      <c r="DRL3" s="419" t="s">
        <v>23</v>
      </c>
      <c r="DRM3" s="420"/>
      <c r="DRN3" s="420"/>
      <c r="DRO3" s="420"/>
      <c r="DRP3" s="419" t="s">
        <v>23</v>
      </c>
      <c r="DRQ3" s="420"/>
      <c r="DRR3" s="420"/>
      <c r="DRS3" s="420"/>
      <c r="DRT3" s="419" t="s">
        <v>23</v>
      </c>
      <c r="DRU3" s="420"/>
      <c r="DRV3" s="420"/>
      <c r="DRW3" s="420"/>
      <c r="DRX3" s="419" t="s">
        <v>23</v>
      </c>
      <c r="DRY3" s="420"/>
      <c r="DRZ3" s="420"/>
      <c r="DSA3" s="420"/>
      <c r="DSB3" s="419" t="s">
        <v>23</v>
      </c>
      <c r="DSC3" s="420"/>
      <c r="DSD3" s="420"/>
      <c r="DSE3" s="420"/>
      <c r="DSF3" s="419" t="s">
        <v>23</v>
      </c>
      <c r="DSG3" s="420"/>
      <c r="DSH3" s="420"/>
      <c r="DSI3" s="420"/>
      <c r="DSJ3" s="419" t="s">
        <v>23</v>
      </c>
      <c r="DSK3" s="420"/>
      <c r="DSL3" s="420"/>
      <c r="DSM3" s="420"/>
      <c r="DSN3" s="419" t="s">
        <v>23</v>
      </c>
      <c r="DSO3" s="420"/>
      <c r="DSP3" s="420"/>
      <c r="DSQ3" s="420"/>
      <c r="DSR3" s="419" t="s">
        <v>23</v>
      </c>
      <c r="DSS3" s="420"/>
      <c r="DST3" s="420"/>
      <c r="DSU3" s="420"/>
      <c r="DSV3" s="419" t="s">
        <v>23</v>
      </c>
      <c r="DSW3" s="420"/>
      <c r="DSX3" s="420"/>
      <c r="DSY3" s="420"/>
      <c r="DSZ3" s="419" t="s">
        <v>23</v>
      </c>
      <c r="DTA3" s="420"/>
      <c r="DTB3" s="420"/>
      <c r="DTC3" s="420"/>
      <c r="DTD3" s="419" t="s">
        <v>23</v>
      </c>
      <c r="DTE3" s="420"/>
      <c r="DTF3" s="420"/>
      <c r="DTG3" s="420"/>
      <c r="DTH3" s="419" t="s">
        <v>23</v>
      </c>
      <c r="DTI3" s="420"/>
      <c r="DTJ3" s="420"/>
      <c r="DTK3" s="420"/>
      <c r="DTL3" s="419" t="s">
        <v>23</v>
      </c>
      <c r="DTM3" s="420"/>
      <c r="DTN3" s="420"/>
      <c r="DTO3" s="420"/>
      <c r="DTP3" s="419" t="s">
        <v>23</v>
      </c>
      <c r="DTQ3" s="420"/>
      <c r="DTR3" s="420"/>
      <c r="DTS3" s="420"/>
      <c r="DTT3" s="419" t="s">
        <v>23</v>
      </c>
      <c r="DTU3" s="420"/>
      <c r="DTV3" s="420"/>
      <c r="DTW3" s="420"/>
      <c r="DTX3" s="419" t="s">
        <v>23</v>
      </c>
      <c r="DTY3" s="420"/>
      <c r="DTZ3" s="420"/>
      <c r="DUA3" s="420"/>
      <c r="DUB3" s="419" t="s">
        <v>23</v>
      </c>
      <c r="DUC3" s="420"/>
      <c r="DUD3" s="420"/>
      <c r="DUE3" s="420"/>
      <c r="DUF3" s="419" t="s">
        <v>23</v>
      </c>
      <c r="DUG3" s="420"/>
      <c r="DUH3" s="420"/>
      <c r="DUI3" s="420"/>
      <c r="DUJ3" s="419" t="s">
        <v>23</v>
      </c>
      <c r="DUK3" s="420"/>
      <c r="DUL3" s="420"/>
      <c r="DUM3" s="420"/>
      <c r="DUN3" s="419" t="s">
        <v>23</v>
      </c>
      <c r="DUO3" s="420"/>
      <c r="DUP3" s="420"/>
      <c r="DUQ3" s="420"/>
      <c r="DUR3" s="419" t="s">
        <v>23</v>
      </c>
      <c r="DUS3" s="420"/>
      <c r="DUT3" s="420"/>
      <c r="DUU3" s="420"/>
      <c r="DUV3" s="419" t="s">
        <v>23</v>
      </c>
      <c r="DUW3" s="420"/>
      <c r="DUX3" s="420"/>
      <c r="DUY3" s="420"/>
      <c r="DUZ3" s="419" t="s">
        <v>23</v>
      </c>
      <c r="DVA3" s="420"/>
      <c r="DVB3" s="420"/>
      <c r="DVC3" s="420"/>
      <c r="DVD3" s="419" t="s">
        <v>23</v>
      </c>
      <c r="DVE3" s="420"/>
      <c r="DVF3" s="420"/>
      <c r="DVG3" s="420"/>
      <c r="DVH3" s="419" t="s">
        <v>23</v>
      </c>
      <c r="DVI3" s="420"/>
      <c r="DVJ3" s="420"/>
      <c r="DVK3" s="420"/>
      <c r="DVL3" s="419" t="s">
        <v>23</v>
      </c>
      <c r="DVM3" s="420"/>
      <c r="DVN3" s="420"/>
      <c r="DVO3" s="420"/>
      <c r="DVP3" s="419" t="s">
        <v>23</v>
      </c>
      <c r="DVQ3" s="420"/>
      <c r="DVR3" s="420"/>
      <c r="DVS3" s="420"/>
      <c r="DVT3" s="419" t="s">
        <v>23</v>
      </c>
      <c r="DVU3" s="420"/>
      <c r="DVV3" s="420"/>
      <c r="DVW3" s="420"/>
      <c r="DVX3" s="419" t="s">
        <v>23</v>
      </c>
      <c r="DVY3" s="420"/>
      <c r="DVZ3" s="420"/>
      <c r="DWA3" s="420"/>
      <c r="DWB3" s="419" t="s">
        <v>23</v>
      </c>
      <c r="DWC3" s="420"/>
      <c r="DWD3" s="420"/>
      <c r="DWE3" s="420"/>
      <c r="DWF3" s="419" t="s">
        <v>23</v>
      </c>
      <c r="DWG3" s="420"/>
      <c r="DWH3" s="420"/>
      <c r="DWI3" s="420"/>
      <c r="DWJ3" s="419" t="s">
        <v>23</v>
      </c>
      <c r="DWK3" s="420"/>
      <c r="DWL3" s="420"/>
      <c r="DWM3" s="420"/>
      <c r="DWN3" s="419" t="s">
        <v>23</v>
      </c>
      <c r="DWO3" s="420"/>
      <c r="DWP3" s="420"/>
      <c r="DWQ3" s="420"/>
      <c r="DWR3" s="419" t="s">
        <v>23</v>
      </c>
      <c r="DWS3" s="420"/>
      <c r="DWT3" s="420"/>
      <c r="DWU3" s="420"/>
      <c r="DWV3" s="419" t="s">
        <v>23</v>
      </c>
      <c r="DWW3" s="420"/>
      <c r="DWX3" s="420"/>
      <c r="DWY3" s="420"/>
      <c r="DWZ3" s="419" t="s">
        <v>23</v>
      </c>
      <c r="DXA3" s="420"/>
      <c r="DXB3" s="420"/>
      <c r="DXC3" s="420"/>
      <c r="DXD3" s="419" t="s">
        <v>23</v>
      </c>
      <c r="DXE3" s="420"/>
      <c r="DXF3" s="420"/>
      <c r="DXG3" s="420"/>
      <c r="DXH3" s="419" t="s">
        <v>23</v>
      </c>
      <c r="DXI3" s="420"/>
      <c r="DXJ3" s="420"/>
      <c r="DXK3" s="420"/>
      <c r="DXL3" s="419" t="s">
        <v>23</v>
      </c>
      <c r="DXM3" s="420"/>
      <c r="DXN3" s="420"/>
      <c r="DXO3" s="420"/>
      <c r="DXP3" s="419" t="s">
        <v>23</v>
      </c>
      <c r="DXQ3" s="420"/>
      <c r="DXR3" s="420"/>
      <c r="DXS3" s="420"/>
      <c r="DXT3" s="419" t="s">
        <v>23</v>
      </c>
      <c r="DXU3" s="420"/>
      <c r="DXV3" s="420"/>
      <c r="DXW3" s="420"/>
      <c r="DXX3" s="419" t="s">
        <v>23</v>
      </c>
      <c r="DXY3" s="420"/>
      <c r="DXZ3" s="420"/>
      <c r="DYA3" s="420"/>
      <c r="DYB3" s="419" t="s">
        <v>23</v>
      </c>
      <c r="DYC3" s="420"/>
      <c r="DYD3" s="420"/>
      <c r="DYE3" s="420"/>
      <c r="DYF3" s="419" t="s">
        <v>23</v>
      </c>
      <c r="DYG3" s="420"/>
      <c r="DYH3" s="420"/>
      <c r="DYI3" s="420"/>
      <c r="DYJ3" s="419" t="s">
        <v>23</v>
      </c>
      <c r="DYK3" s="420"/>
      <c r="DYL3" s="420"/>
      <c r="DYM3" s="420"/>
      <c r="DYN3" s="419" t="s">
        <v>23</v>
      </c>
      <c r="DYO3" s="420"/>
      <c r="DYP3" s="420"/>
      <c r="DYQ3" s="420"/>
      <c r="DYR3" s="419" t="s">
        <v>23</v>
      </c>
      <c r="DYS3" s="420"/>
      <c r="DYT3" s="420"/>
      <c r="DYU3" s="420"/>
      <c r="DYV3" s="419" t="s">
        <v>23</v>
      </c>
      <c r="DYW3" s="420"/>
      <c r="DYX3" s="420"/>
      <c r="DYY3" s="420"/>
      <c r="DYZ3" s="419" t="s">
        <v>23</v>
      </c>
      <c r="DZA3" s="420"/>
      <c r="DZB3" s="420"/>
      <c r="DZC3" s="420"/>
      <c r="DZD3" s="419" t="s">
        <v>23</v>
      </c>
      <c r="DZE3" s="420"/>
      <c r="DZF3" s="420"/>
      <c r="DZG3" s="420"/>
      <c r="DZH3" s="419" t="s">
        <v>23</v>
      </c>
      <c r="DZI3" s="420"/>
      <c r="DZJ3" s="420"/>
      <c r="DZK3" s="420"/>
      <c r="DZL3" s="419" t="s">
        <v>23</v>
      </c>
      <c r="DZM3" s="420"/>
      <c r="DZN3" s="420"/>
      <c r="DZO3" s="420"/>
      <c r="DZP3" s="419" t="s">
        <v>23</v>
      </c>
      <c r="DZQ3" s="420"/>
      <c r="DZR3" s="420"/>
      <c r="DZS3" s="420"/>
      <c r="DZT3" s="419" t="s">
        <v>23</v>
      </c>
      <c r="DZU3" s="420"/>
      <c r="DZV3" s="420"/>
      <c r="DZW3" s="420"/>
      <c r="DZX3" s="419" t="s">
        <v>23</v>
      </c>
      <c r="DZY3" s="420"/>
      <c r="DZZ3" s="420"/>
      <c r="EAA3" s="420"/>
      <c r="EAB3" s="419" t="s">
        <v>23</v>
      </c>
      <c r="EAC3" s="420"/>
      <c r="EAD3" s="420"/>
      <c r="EAE3" s="420"/>
      <c r="EAF3" s="419" t="s">
        <v>23</v>
      </c>
      <c r="EAG3" s="420"/>
      <c r="EAH3" s="420"/>
      <c r="EAI3" s="420"/>
      <c r="EAJ3" s="419" t="s">
        <v>23</v>
      </c>
      <c r="EAK3" s="420"/>
      <c r="EAL3" s="420"/>
      <c r="EAM3" s="420"/>
      <c r="EAN3" s="419" t="s">
        <v>23</v>
      </c>
      <c r="EAO3" s="420"/>
      <c r="EAP3" s="420"/>
      <c r="EAQ3" s="420"/>
      <c r="EAR3" s="419" t="s">
        <v>23</v>
      </c>
      <c r="EAS3" s="420"/>
      <c r="EAT3" s="420"/>
      <c r="EAU3" s="420"/>
      <c r="EAV3" s="419" t="s">
        <v>23</v>
      </c>
      <c r="EAW3" s="420"/>
      <c r="EAX3" s="420"/>
      <c r="EAY3" s="420"/>
      <c r="EAZ3" s="419" t="s">
        <v>23</v>
      </c>
      <c r="EBA3" s="420"/>
      <c r="EBB3" s="420"/>
      <c r="EBC3" s="420"/>
      <c r="EBD3" s="419" t="s">
        <v>23</v>
      </c>
      <c r="EBE3" s="420"/>
      <c r="EBF3" s="420"/>
      <c r="EBG3" s="420"/>
      <c r="EBH3" s="419" t="s">
        <v>23</v>
      </c>
      <c r="EBI3" s="420"/>
      <c r="EBJ3" s="420"/>
      <c r="EBK3" s="420"/>
      <c r="EBL3" s="419" t="s">
        <v>23</v>
      </c>
      <c r="EBM3" s="420"/>
      <c r="EBN3" s="420"/>
      <c r="EBO3" s="420"/>
      <c r="EBP3" s="419" t="s">
        <v>23</v>
      </c>
      <c r="EBQ3" s="420"/>
      <c r="EBR3" s="420"/>
      <c r="EBS3" s="420"/>
      <c r="EBT3" s="419" t="s">
        <v>23</v>
      </c>
      <c r="EBU3" s="420"/>
      <c r="EBV3" s="420"/>
      <c r="EBW3" s="420"/>
      <c r="EBX3" s="419" t="s">
        <v>23</v>
      </c>
      <c r="EBY3" s="420"/>
      <c r="EBZ3" s="420"/>
      <c r="ECA3" s="420"/>
      <c r="ECB3" s="419" t="s">
        <v>23</v>
      </c>
      <c r="ECC3" s="420"/>
      <c r="ECD3" s="420"/>
      <c r="ECE3" s="420"/>
      <c r="ECF3" s="419" t="s">
        <v>23</v>
      </c>
      <c r="ECG3" s="420"/>
      <c r="ECH3" s="420"/>
      <c r="ECI3" s="420"/>
      <c r="ECJ3" s="419" t="s">
        <v>23</v>
      </c>
      <c r="ECK3" s="420"/>
      <c r="ECL3" s="420"/>
      <c r="ECM3" s="420"/>
      <c r="ECN3" s="419" t="s">
        <v>23</v>
      </c>
      <c r="ECO3" s="420"/>
      <c r="ECP3" s="420"/>
      <c r="ECQ3" s="420"/>
      <c r="ECR3" s="419" t="s">
        <v>23</v>
      </c>
      <c r="ECS3" s="420"/>
      <c r="ECT3" s="420"/>
      <c r="ECU3" s="420"/>
      <c r="ECV3" s="419" t="s">
        <v>23</v>
      </c>
      <c r="ECW3" s="420"/>
      <c r="ECX3" s="420"/>
      <c r="ECY3" s="420"/>
      <c r="ECZ3" s="419" t="s">
        <v>23</v>
      </c>
      <c r="EDA3" s="420"/>
      <c r="EDB3" s="420"/>
      <c r="EDC3" s="420"/>
      <c r="EDD3" s="419" t="s">
        <v>23</v>
      </c>
      <c r="EDE3" s="420"/>
      <c r="EDF3" s="420"/>
      <c r="EDG3" s="420"/>
      <c r="EDH3" s="419" t="s">
        <v>23</v>
      </c>
      <c r="EDI3" s="420"/>
      <c r="EDJ3" s="420"/>
      <c r="EDK3" s="420"/>
      <c r="EDL3" s="419" t="s">
        <v>23</v>
      </c>
      <c r="EDM3" s="420"/>
      <c r="EDN3" s="420"/>
      <c r="EDO3" s="420"/>
      <c r="EDP3" s="419" t="s">
        <v>23</v>
      </c>
      <c r="EDQ3" s="420"/>
      <c r="EDR3" s="420"/>
      <c r="EDS3" s="420"/>
      <c r="EDT3" s="419" t="s">
        <v>23</v>
      </c>
      <c r="EDU3" s="420"/>
      <c r="EDV3" s="420"/>
      <c r="EDW3" s="420"/>
      <c r="EDX3" s="419" t="s">
        <v>23</v>
      </c>
      <c r="EDY3" s="420"/>
      <c r="EDZ3" s="420"/>
      <c r="EEA3" s="420"/>
      <c r="EEB3" s="419" t="s">
        <v>23</v>
      </c>
      <c r="EEC3" s="420"/>
      <c r="EED3" s="420"/>
      <c r="EEE3" s="420"/>
      <c r="EEF3" s="419" t="s">
        <v>23</v>
      </c>
      <c r="EEG3" s="420"/>
      <c r="EEH3" s="420"/>
      <c r="EEI3" s="420"/>
      <c r="EEJ3" s="419" t="s">
        <v>23</v>
      </c>
      <c r="EEK3" s="420"/>
      <c r="EEL3" s="420"/>
      <c r="EEM3" s="420"/>
      <c r="EEN3" s="419" t="s">
        <v>23</v>
      </c>
      <c r="EEO3" s="420"/>
      <c r="EEP3" s="420"/>
      <c r="EEQ3" s="420"/>
      <c r="EER3" s="419" t="s">
        <v>23</v>
      </c>
      <c r="EES3" s="420"/>
      <c r="EET3" s="420"/>
      <c r="EEU3" s="420"/>
      <c r="EEV3" s="419" t="s">
        <v>23</v>
      </c>
      <c r="EEW3" s="420"/>
      <c r="EEX3" s="420"/>
      <c r="EEY3" s="420"/>
      <c r="EEZ3" s="419" t="s">
        <v>23</v>
      </c>
      <c r="EFA3" s="420"/>
      <c r="EFB3" s="420"/>
      <c r="EFC3" s="420"/>
      <c r="EFD3" s="419" t="s">
        <v>23</v>
      </c>
      <c r="EFE3" s="420"/>
      <c r="EFF3" s="420"/>
      <c r="EFG3" s="420"/>
      <c r="EFH3" s="419" t="s">
        <v>23</v>
      </c>
      <c r="EFI3" s="420"/>
      <c r="EFJ3" s="420"/>
      <c r="EFK3" s="420"/>
      <c r="EFL3" s="419" t="s">
        <v>23</v>
      </c>
      <c r="EFM3" s="420"/>
      <c r="EFN3" s="420"/>
      <c r="EFO3" s="420"/>
      <c r="EFP3" s="419" t="s">
        <v>23</v>
      </c>
      <c r="EFQ3" s="420"/>
      <c r="EFR3" s="420"/>
      <c r="EFS3" s="420"/>
      <c r="EFT3" s="419" t="s">
        <v>23</v>
      </c>
      <c r="EFU3" s="420"/>
      <c r="EFV3" s="420"/>
      <c r="EFW3" s="420"/>
      <c r="EFX3" s="419" t="s">
        <v>23</v>
      </c>
      <c r="EFY3" s="420"/>
      <c r="EFZ3" s="420"/>
      <c r="EGA3" s="420"/>
      <c r="EGB3" s="419" t="s">
        <v>23</v>
      </c>
      <c r="EGC3" s="420"/>
      <c r="EGD3" s="420"/>
      <c r="EGE3" s="420"/>
      <c r="EGF3" s="419" t="s">
        <v>23</v>
      </c>
      <c r="EGG3" s="420"/>
      <c r="EGH3" s="420"/>
      <c r="EGI3" s="420"/>
      <c r="EGJ3" s="419" t="s">
        <v>23</v>
      </c>
      <c r="EGK3" s="420"/>
      <c r="EGL3" s="420"/>
      <c r="EGM3" s="420"/>
      <c r="EGN3" s="419" t="s">
        <v>23</v>
      </c>
      <c r="EGO3" s="420"/>
      <c r="EGP3" s="420"/>
      <c r="EGQ3" s="420"/>
      <c r="EGR3" s="419" t="s">
        <v>23</v>
      </c>
      <c r="EGS3" s="420"/>
      <c r="EGT3" s="420"/>
      <c r="EGU3" s="420"/>
      <c r="EGV3" s="419" t="s">
        <v>23</v>
      </c>
      <c r="EGW3" s="420"/>
      <c r="EGX3" s="420"/>
      <c r="EGY3" s="420"/>
      <c r="EGZ3" s="419" t="s">
        <v>23</v>
      </c>
      <c r="EHA3" s="420"/>
      <c r="EHB3" s="420"/>
      <c r="EHC3" s="420"/>
      <c r="EHD3" s="419" t="s">
        <v>23</v>
      </c>
      <c r="EHE3" s="420"/>
      <c r="EHF3" s="420"/>
      <c r="EHG3" s="420"/>
      <c r="EHH3" s="419" t="s">
        <v>23</v>
      </c>
      <c r="EHI3" s="420"/>
      <c r="EHJ3" s="420"/>
      <c r="EHK3" s="420"/>
      <c r="EHL3" s="419" t="s">
        <v>23</v>
      </c>
      <c r="EHM3" s="420"/>
      <c r="EHN3" s="420"/>
      <c r="EHO3" s="420"/>
      <c r="EHP3" s="419" t="s">
        <v>23</v>
      </c>
      <c r="EHQ3" s="420"/>
      <c r="EHR3" s="420"/>
      <c r="EHS3" s="420"/>
      <c r="EHT3" s="419" t="s">
        <v>23</v>
      </c>
      <c r="EHU3" s="420"/>
      <c r="EHV3" s="420"/>
      <c r="EHW3" s="420"/>
      <c r="EHX3" s="419" t="s">
        <v>23</v>
      </c>
      <c r="EHY3" s="420"/>
      <c r="EHZ3" s="420"/>
      <c r="EIA3" s="420"/>
      <c r="EIB3" s="419" t="s">
        <v>23</v>
      </c>
      <c r="EIC3" s="420"/>
      <c r="EID3" s="420"/>
      <c r="EIE3" s="420"/>
      <c r="EIF3" s="419" t="s">
        <v>23</v>
      </c>
      <c r="EIG3" s="420"/>
      <c r="EIH3" s="420"/>
      <c r="EII3" s="420"/>
      <c r="EIJ3" s="419" t="s">
        <v>23</v>
      </c>
      <c r="EIK3" s="420"/>
      <c r="EIL3" s="420"/>
      <c r="EIM3" s="420"/>
      <c r="EIN3" s="419" t="s">
        <v>23</v>
      </c>
      <c r="EIO3" s="420"/>
      <c r="EIP3" s="420"/>
      <c r="EIQ3" s="420"/>
      <c r="EIR3" s="419" t="s">
        <v>23</v>
      </c>
      <c r="EIS3" s="420"/>
      <c r="EIT3" s="420"/>
      <c r="EIU3" s="420"/>
      <c r="EIV3" s="419" t="s">
        <v>23</v>
      </c>
      <c r="EIW3" s="420"/>
      <c r="EIX3" s="420"/>
      <c r="EIY3" s="420"/>
      <c r="EIZ3" s="419" t="s">
        <v>23</v>
      </c>
      <c r="EJA3" s="420"/>
      <c r="EJB3" s="420"/>
      <c r="EJC3" s="420"/>
      <c r="EJD3" s="419" t="s">
        <v>23</v>
      </c>
      <c r="EJE3" s="420"/>
      <c r="EJF3" s="420"/>
      <c r="EJG3" s="420"/>
      <c r="EJH3" s="419" t="s">
        <v>23</v>
      </c>
      <c r="EJI3" s="420"/>
      <c r="EJJ3" s="420"/>
      <c r="EJK3" s="420"/>
      <c r="EJL3" s="419" t="s">
        <v>23</v>
      </c>
      <c r="EJM3" s="420"/>
      <c r="EJN3" s="420"/>
      <c r="EJO3" s="420"/>
      <c r="EJP3" s="419" t="s">
        <v>23</v>
      </c>
      <c r="EJQ3" s="420"/>
      <c r="EJR3" s="420"/>
      <c r="EJS3" s="420"/>
      <c r="EJT3" s="419" t="s">
        <v>23</v>
      </c>
      <c r="EJU3" s="420"/>
      <c r="EJV3" s="420"/>
      <c r="EJW3" s="420"/>
      <c r="EJX3" s="419" t="s">
        <v>23</v>
      </c>
      <c r="EJY3" s="420"/>
      <c r="EJZ3" s="420"/>
      <c r="EKA3" s="420"/>
      <c r="EKB3" s="419" t="s">
        <v>23</v>
      </c>
      <c r="EKC3" s="420"/>
      <c r="EKD3" s="420"/>
      <c r="EKE3" s="420"/>
      <c r="EKF3" s="419" t="s">
        <v>23</v>
      </c>
      <c r="EKG3" s="420"/>
      <c r="EKH3" s="420"/>
      <c r="EKI3" s="420"/>
      <c r="EKJ3" s="419" t="s">
        <v>23</v>
      </c>
      <c r="EKK3" s="420"/>
      <c r="EKL3" s="420"/>
      <c r="EKM3" s="420"/>
      <c r="EKN3" s="419" t="s">
        <v>23</v>
      </c>
      <c r="EKO3" s="420"/>
      <c r="EKP3" s="420"/>
      <c r="EKQ3" s="420"/>
      <c r="EKR3" s="419" t="s">
        <v>23</v>
      </c>
      <c r="EKS3" s="420"/>
      <c r="EKT3" s="420"/>
      <c r="EKU3" s="420"/>
      <c r="EKV3" s="419" t="s">
        <v>23</v>
      </c>
      <c r="EKW3" s="420"/>
      <c r="EKX3" s="420"/>
      <c r="EKY3" s="420"/>
      <c r="EKZ3" s="419" t="s">
        <v>23</v>
      </c>
      <c r="ELA3" s="420"/>
      <c r="ELB3" s="420"/>
      <c r="ELC3" s="420"/>
      <c r="ELD3" s="419" t="s">
        <v>23</v>
      </c>
      <c r="ELE3" s="420"/>
      <c r="ELF3" s="420"/>
      <c r="ELG3" s="420"/>
      <c r="ELH3" s="419" t="s">
        <v>23</v>
      </c>
      <c r="ELI3" s="420"/>
      <c r="ELJ3" s="420"/>
      <c r="ELK3" s="420"/>
      <c r="ELL3" s="419" t="s">
        <v>23</v>
      </c>
      <c r="ELM3" s="420"/>
      <c r="ELN3" s="420"/>
      <c r="ELO3" s="420"/>
      <c r="ELP3" s="419" t="s">
        <v>23</v>
      </c>
      <c r="ELQ3" s="420"/>
      <c r="ELR3" s="420"/>
      <c r="ELS3" s="420"/>
      <c r="ELT3" s="419" t="s">
        <v>23</v>
      </c>
      <c r="ELU3" s="420"/>
      <c r="ELV3" s="420"/>
      <c r="ELW3" s="420"/>
      <c r="ELX3" s="419" t="s">
        <v>23</v>
      </c>
      <c r="ELY3" s="420"/>
      <c r="ELZ3" s="420"/>
      <c r="EMA3" s="420"/>
      <c r="EMB3" s="419" t="s">
        <v>23</v>
      </c>
      <c r="EMC3" s="420"/>
      <c r="EMD3" s="420"/>
      <c r="EME3" s="420"/>
      <c r="EMF3" s="419" t="s">
        <v>23</v>
      </c>
      <c r="EMG3" s="420"/>
      <c r="EMH3" s="420"/>
      <c r="EMI3" s="420"/>
      <c r="EMJ3" s="419" t="s">
        <v>23</v>
      </c>
      <c r="EMK3" s="420"/>
      <c r="EML3" s="420"/>
      <c r="EMM3" s="420"/>
      <c r="EMN3" s="419" t="s">
        <v>23</v>
      </c>
      <c r="EMO3" s="420"/>
      <c r="EMP3" s="420"/>
      <c r="EMQ3" s="420"/>
      <c r="EMR3" s="419" t="s">
        <v>23</v>
      </c>
      <c r="EMS3" s="420"/>
      <c r="EMT3" s="420"/>
      <c r="EMU3" s="420"/>
      <c r="EMV3" s="419" t="s">
        <v>23</v>
      </c>
      <c r="EMW3" s="420"/>
      <c r="EMX3" s="420"/>
      <c r="EMY3" s="420"/>
      <c r="EMZ3" s="419" t="s">
        <v>23</v>
      </c>
      <c r="ENA3" s="420"/>
      <c r="ENB3" s="420"/>
      <c r="ENC3" s="420"/>
      <c r="END3" s="419" t="s">
        <v>23</v>
      </c>
      <c r="ENE3" s="420"/>
      <c r="ENF3" s="420"/>
      <c r="ENG3" s="420"/>
      <c r="ENH3" s="419" t="s">
        <v>23</v>
      </c>
      <c r="ENI3" s="420"/>
      <c r="ENJ3" s="420"/>
      <c r="ENK3" s="420"/>
      <c r="ENL3" s="419" t="s">
        <v>23</v>
      </c>
      <c r="ENM3" s="420"/>
      <c r="ENN3" s="420"/>
      <c r="ENO3" s="420"/>
      <c r="ENP3" s="419" t="s">
        <v>23</v>
      </c>
      <c r="ENQ3" s="420"/>
      <c r="ENR3" s="420"/>
      <c r="ENS3" s="420"/>
      <c r="ENT3" s="419" t="s">
        <v>23</v>
      </c>
      <c r="ENU3" s="420"/>
      <c r="ENV3" s="420"/>
      <c r="ENW3" s="420"/>
      <c r="ENX3" s="419" t="s">
        <v>23</v>
      </c>
      <c r="ENY3" s="420"/>
      <c r="ENZ3" s="420"/>
      <c r="EOA3" s="420"/>
      <c r="EOB3" s="419" t="s">
        <v>23</v>
      </c>
      <c r="EOC3" s="420"/>
      <c r="EOD3" s="420"/>
      <c r="EOE3" s="420"/>
      <c r="EOF3" s="419" t="s">
        <v>23</v>
      </c>
      <c r="EOG3" s="420"/>
      <c r="EOH3" s="420"/>
      <c r="EOI3" s="420"/>
      <c r="EOJ3" s="419" t="s">
        <v>23</v>
      </c>
      <c r="EOK3" s="420"/>
      <c r="EOL3" s="420"/>
      <c r="EOM3" s="420"/>
      <c r="EON3" s="419" t="s">
        <v>23</v>
      </c>
      <c r="EOO3" s="420"/>
      <c r="EOP3" s="420"/>
      <c r="EOQ3" s="420"/>
      <c r="EOR3" s="419" t="s">
        <v>23</v>
      </c>
      <c r="EOS3" s="420"/>
      <c r="EOT3" s="420"/>
      <c r="EOU3" s="420"/>
      <c r="EOV3" s="419" t="s">
        <v>23</v>
      </c>
      <c r="EOW3" s="420"/>
      <c r="EOX3" s="420"/>
      <c r="EOY3" s="420"/>
      <c r="EOZ3" s="419" t="s">
        <v>23</v>
      </c>
      <c r="EPA3" s="420"/>
      <c r="EPB3" s="420"/>
      <c r="EPC3" s="420"/>
      <c r="EPD3" s="419" t="s">
        <v>23</v>
      </c>
      <c r="EPE3" s="420"/>
      <c r="EPF3" s="420"/>
      <c r="EPG3" s="420"/>
      <c r="EPH3" s="419" t="s">
        <v>23</v>
      </c>
      <c r="EPI3" s="420"/>
      <c r="EPJ3" s="420"/>
      <c r="EPK3" s="420"/>
      <c r="EPL3" s="419" t="s">
        <v>23</v>
      </c>
      <c r="EPM3" s="420"/>
      <c r="EPN3" s="420"/>
      <c r="EPO3" s="420"/>
      <c r="EPP3" s="419" t="s">
        <v>23</v>
      </c>
      <c r="EPQ3" s="420"/>
      <c r="EPR3" s="420"/>
      <c r="EPS3" s="420"/>
      <c r="EPT3" s="419" t="s">
        <v>23</v>
      </c>
      <c r="EPU3" s="420"/>
      <c r="EPV3" s="420"/>
      <c r="EPW3" s="420"/>
      <c r="EPX3" s="419" t="s">
        <v>23</v>
      </c>
      <c r="EPY3" s="420"/>
      <c r="EPZ3" s="420"/>
      <c r="EQA3" s="420"/>
      <c r="EQB3" s="419" t="s">
        <v>23</v>
      </c>
      <c r="EQC3" s="420"/>
      <c r="EQD3" s="420"/>
      <c r="EQE3" s="420"/>
      <c r="EQF3" s="419" t="s">
        <v>23</v>
      </c>
      <c r="EQG3" s="420"/>
      <c r="EQH3" s="420"/>
      <c r="EQI3" s="420"/>
      <c r="EQJ3" s="419" t="s">
        <v>23</v>
      </c>
      <c r="EQK3" s="420"/>
      <c r="EQL3" s="420"/>
      <c r="EQM3" s="420"/>
      <c r="EQN3" s="419" t="s">
        <v>23</v>
      </c>
      <c r="EQO3" s="420"/>
      <c r="EQP3" s="420"/>
      <c r="EQQ3" s="420"/>
      <c r="EQR3" s="419" t="s">
        <v>23</v>
      </c>
      <c r="EQS3" s="420"/>
      <c r="EQT3" s="420"/>
      <c r="EQU3" s="420"/>
      <c r="EQV3" s="419" t="s">
        <v>23</v>
      </c>
      <c r="EQW3" s="420"/>
      <c r="EQX3" s="420"/>
      <c r="EQY3" s="420"/>
      <c r="EQZ3" s="419" t="s">
        <v>23</v>
      </c>
      <c r="ERA3" s="420"/>
      <c r="ERB3" s="420"/>
      <c r="ERC3" s="420"/>
      <c r="ERD3" s="419" t="s">
        <v>23</v>
      </c>
      <c r="ERE3" s="420"/>
      <c r="ERF3" s="420"/>
      <c r="ERG3" s="420"/>
      <c r="ERH3" s="419" t="s">
        <v>23</v>
      </c>
      <c r="ERI3" s="420"/>
      <c r="ERJ3" s="420"/>
      <c r="ERK3" s="420"/>
      <c r="ERL3" s="419" t="s">
        <v>23</v>
      </c>
      <c r="ERM3" s="420"/>
      <c r="ERN3" s="420"/>
      <c r="ERO3" s="420"/>
      <c r="ERP3" s="419" t="s">
        <v>23</v>
      </c>
      <c r="ERQ3" s="420"/>
      <c r="ERR3" s="420"/>
      <c r="ERS3" s="420"/>
      <c r="ERT3" s="419" t="s">
        <v>23</v>
      </c>
      <c r="ERU3" s="420"/>
      <c r="ERV3" s="420"/>
      <c r="ERW3" s="420"/>
      <c r="ERX3" s="419" t="s">
        <v>23</v>
      </c>
      <c r="ERY3" s="420"/>
      <c r="ERZ3" s="420"/>
      <c r="ESA3" s="420"/>
      <c r="ESB3" s="419" t="s">
        <v>23</v>
      </c>
      <c r="ESC3" s="420"/>
      <c r="ESD3" s="420"/>
      <c r="ESE3" s="420"/>
      <c r="ESF3" s="419" t="s">
        <v>23</v>
      </c>
      <c r="ESG3" s="420"/>
      <c r="ESH3" s="420"/>
      <c r="ESI3" s="420"/>
      <c r="ESJ3" s="419" t="s">
        <v>23</v>
      </c>
      <c r="ESK3" s="420"/>
      <c r="ESL3" s="420"/>
      <c r="ESM3" s="420"/>
      <c r="ESN3" s="419" t="s">
        <v>23</v>
      </c>
      <c r="ESO3" s="420"/>
      <c r="ESP3" s="420"/>
      <c r="ESQ3" s="420"/>
      <c r="ESR3" s="419" t="s">
        <v>23</v>
      </c>
      <c r="ESS3" s="420"/>
      <c r="EST3" s="420"/>
      <c r="ESU3" s="420"/>
      <c r="ESV3" s="419" t="s">
        <v>23</v>
      </c>
      <c r="ESW3" s="420"/>
      <c r="ESX3" s="420"/>
      <c r="ESY3" s="420"/>
      <c r="ESZ3" s="419" t="s">
        <v>23</v>
      </c>
      <c r="ETA3" s="420"/>
      <c r="ETB3" s="420"/>
      <c r="ETC3" s="420"/>
      <c r="ETD3" s="419" t="s">
        <v>23</v>
      </c>
      <c r="ETE3" s="420"/>
      <c r="ETF3" s="420"/>
      <c r="ETG3" s="420"/>
      <c r="ETH3" s="419" t="s">
        <v>23</v>
      </c>
      <c r="ETI3" s="420"/>
      <c r="ETJ3" s="420"/>
      <c r="ETK3" s="420"/>
      <c r="ETL3" s="419" t="s">
        <v>23</v>
      </c>
      <c r="ETM3" s="420"/>
      <c r="ETN3" s="420"/>
      <c r="ETO3" s="420"/>
      <c r="ETP3" s="419" t="s">
        <v>23</v>
      </c>
      <c r="ETQ3" s="420"/>
      <c r="ETR3" s="420"/>
      <c r="ETS3" s="420"/>
      <c r="ETT3" s="419" t="s">
        <v>23</v>
      </c>
      <c r="ETU3" s="420"/>
      <c r="ETV3" s="420"/>
      <c r="ETW3" s="420"/>
      <c r="ETX3" s="419" t="s">
        <v>23</v>
      </c>
      <c r="ETY3" s="420"/>
      <c r="ETZ3" s="420"/>
      <c r="EUA3" s="420"/>
      <c r="EUB3" s="419" t="s">
        <v>23</v>
      </c>
      <c r="EUC3" s="420"/>
      <c r="EUD3" s="420"/>
      <c r="EUE3" s="420"/>
      <c r="EUF3" s="419" t="s">
        <v>23</v>
      </c>
      <c r="EUG3" s="420"/>
      <c r="EUH3" s="420"/>
      <c r="EUI3" s="420"/>
      <c r="EUJ3" s="419" t="s">
        <v>23</v>
      </c>
      <c r="EUK3" s="420"/>
      <c r="EUL3" s="420"/>
      <c r="EUM3" s="420"/>
      <c r="EUN3" s="419" t="s">
        <v>23</v>
      </c>
      <c r="EUO3" s="420"/>
      <c r="EUP3" s="420"/>
      <c r="EUQ3" s="420"/>
      <c r="EUR3" s="419" t="s">
        <v>23</v>
      </c>
      <c r="EUS3" s="420"/>
      <c r="EUT3" s="420"/>
      <c r="EUU3" s="420"/>
      <c r="EUV3" s="419" t="s">
        <v>23</v>
      </c>
      <c r="EUW3" s="420"/>
      <c r="EUX3" s="420"/>
      <c r="EUY3" s="420"/>
      <c r="EUZ3" s="419" t="s">
        <v>23</v>
      </c>
      <c r="EVA3" s="420"/>
      <c r="EVB3" s="420"/>
      <c r="EVC3" s="420"/>
      <c r="EVD3" s="419" t="s">
        <v>23</v>
      </c>
      <c r="EVE3" s="420"/>
      <c r="EVF3" s="420"/>
      <c r="EVG3" s="420"/>
      <c r="EVH3" s="419" t="s">
        <v>23</v>
      </c>
      <c r="EVI3" s="420"/>
      <c r="EVJ3" s="420"/>
      <c r="EVK3" s="420"/>
      <c r="EVL3" s="419" t="s">
        <v>23</v>
      </c>
      <c r="EVM3" s="420"/>
      <c r="EVN3" s="420"/>
      <c r="EVO3" s="420"/>
      <c r="EVP3" s="419" t="s">
        <v>23</v>
      </c>
      <c r="EVQ3" s="420"/>
      <c r="EVR3" s="420"/>
      <c r="EVS3" s="420"/>
      <c r="EVT3" s="419" t="s">
        <v>23</v>
      </c>
      <c r="EVU3" s="420"/>
      <c r="EVV3" s="420"/>
      <c r="EVW3" s="420"/>
      <c r="EVX3" s="419" t="s">
        <v>23</v>
      </c>
      <c r="EVY3" s="420"/>
      <c r="EVZ3" s="420"/>
      <c r="EWA3" s="420"/>
      <c r="EWB3" s="419" t="s">
        <v>23</v>
      </c>
      <c r="EWC3" s="420"/>
      <c r="EWD3" s="420"/>
      <c r="EWE3" s="420"/>
      <c r="EWF3" s="419" t="s">
        <v>23</v>
      </c>
      <c r="EWG3" s="420"/>
      <c r="EWH3" s="420"/>
      <c r="EWI3" s="420"/>
      <c r="EWJ3" s="419" t="s">
        <v>23</v>
      </c>
      <c r="EWK3" s="420"/>
      <c r="EWL3" s="420"/>
      <c r="EWM3" s="420"/>
      <c r="EWN3" s="419" t="s">
        <v>23</v>
      </c>
      <c r="EWO3" s="420"/>
      <c r="EWP3" s="420"/>
      <c r="EWQ3" s="420"/>
      <c r="EWR3" s="419" t="s">
        <v>23</v>
      </c>
      <c r="EWS3" s="420"/>
      <c r="EWT3" s="420"/>
      <c r="EWU3" s="420"/>
      <c r="EWV3" s="419" t="s">
        <v>23</v>
      </c>
      <c r="EWW3" s="420"/>
      <c r="EWX3" s="420"/>
      <c r="EWY3" s="420"/>
      <c r="EWZ3" s="419" t="s">
        <v>23</v>
      </c>
      <c r="EXA3" s="420"/>
      <c r="EXB3" s="420"/>
      <c r="EXC3" s="420"/>
      <c r="EXD3" s="419" t="s">
        <v>23</v>
      </c>
      <c r="EXE3" s="420"/>
      <c r="EXF3" s="420"/>
      <c r="EXG3" s="420"/>
      <c r="EXH3" s="419" t="s">
        <v>23</v>
      </c>
      <c r="EXI3" s="420"/>
      <c r="EXJ3" s="420"/>
      <c r="EXK3" s="420"/>
      <c r="EXL3" s="419" t="s">
        <v>23</v>
      </c>
      <c r="EXM3" s="420"/>
      <c r="EXN3" s="420"/>
      <c r="EXO3" s="420"/>
      <c r="EXP3" s="419" t="s">
        <v>23</v>
      </c>
      <c r="EXQ3" s="420"/>
      <c r="EXR3" s="420"/>
      <c r="EXS3" s="420"/>
      <c r="EXT3" s="419" t="s">
        <v>23</v>
      </c>
      <c r="EXU3" s="420"/>
      <c r="EXV3" s="420"/>
      <c r="EXW3" s="420"/>
      <c r="EXX3" s="419" t="s">
        <v>23</v>
      </c>
      <c r="EXY3" s="420"/>
      <c r="EXZ3" s="420"/>
      <c r="EYA3" s="420"/>
      <c r="EYB3" s="419" t="s">
        <v>23</v>
      </c>
      <c r="EYC3" s="420"/>
      <c r="EYD3" s="420"/>
      <c r="EYE3" s="420"/>
      <c r="EYF3" s="419" t="s">
        <v>23</v>
      </c>
      <c r="EYG3" s="420"/>
      <c r="EYH3" s="420"/>
      <c r="EYI3" s="420"/>
      <c r="EYJ3" s="419" t="s">
        <v>23</v>
      </c>
      <c r="EYK3" s="420"/>
      <c r="EYL3" s="420"/>
      <c r="EYM3" s="420"/>
      <c r="EYN3" s="419" t="s">
        <v>23</v>
      </c>
      <c r="EYO3" s="420"/>
      <c r="EYP3" s="420"/>
      <c r="EYQ3" s="420"/>
      <c r="EYR3" s="419" t="s">
        <v>23</v>
      </c>
      <c r="EYS3" s="420"/>
      <c r="EYT3" s="420"/>
      <c r="EYU3" s="420"/>
      <c r="EYV3" s="419" t="s">
        <v>23</v>
      </c>
      <c r="EYW3" s="420"/>
      <c r="EYX3" s="420"/>
      <c r="EYY3" s="420"/>
      <c r="EYZ3" s="419" t="s">
        <v>23</v>
      </c>
      <c r="EZA3" s="420"/>
      <c r="EZB3" s="420"/>
      <c r="EZC3" s="420"/>
      <c r="EZD3" s="419" t="s">
        <v>23</v>
      </c>
      <c r="EZE3" s="420"/>
      <c r="EZF3" s="420"/>
      <c r="EZG3" s="420"/>
      <c r="EZH3" s="419" t="s">
        <v>23</v>
      </c>
      <c r="EZI3" s="420"/>
      <c r="EZJ3" s="420"/>
      <c r="EZK3" s="420"/>
      <c r="EZL3" s="419" t="s">
        <v>23</v>
      </c>
      <c r="EZM3" s="420"/>
      <c r="EZN3" s="420"/>
      <c r="EZO3" s="420"/>
      <c r="EZP3" s="419" t="s">
        <v>23</v>
      </c>
      <c r="EZQ3" s="420"/>
      <c r="EZR3" s="420"/>
      <c r="EZS3" s="420"/>
      <c r="EZT3" s="419" t="s">
        <v>23</v>
      </c>
      <c r="EZU3" s="420"/>
      <c r="EZV3" s="420"/>
      <c r="EZW3" s="420"/>
      <c r="EZX3" s="419" t="s">
        <v>23</v>
      </c>
      <c r="EZY3" s="420"/>
      <c r="EZZ3" s="420"/>
      <c r="FAA3" s="420"/>
      <c r="FAB3" s="419" t="s">
        <v>23</v>
      </c>
      <c r="FAC3" s="420"/>
      <c r="FAD3" s="420"/>
      <c r="FAE3" s="420"/>
      <c r="FAF3" s="419" t="s">
        <v>23</v>
      </c>
      <c r="FAG3" s="420"/>
      <c r="FAH3" s="420"/>
      <c r="FAI3" s="420"/>
      <c r="FAJ3" s="419" t="s">
        <v>23</v>
      </c>
      <c r="FAK3" s="420"/>
      <c r="FAL3" s="420"/>
      <c r="FAM3" s="420"/>
      <c r="FAN3" s="419" t="s">
        <v>23</v>
      </c>
      <c r="FAO3" s="420"/>
      <c r="FAP3" s="420"/>
      <c r="FAQ3" s="420"/>
      <c r="FAR3" s="419" t="s">
        <v>23</v>
      </c>
      <c r="FAS3" s="420"/>
      <c r="FAT3" s="420"/>
      <c r="FAU3" s="420"/>
      <c r="FAV3" s="419" t="s">
        <v>23</v>
      </c>
      <c r="FAW3" s="420"/>
      <c r="FAX3" s="420"/>
      <c r="FAY3" s="420"/>
      <c r="FAZ3" s="419" t="s">
        <v>23</v>
      </c>
      <c r="FBA3" s="420"/>
      <c r="FBB3" s="420"/>
      <c r="FBC3" s="420"/>
      <c r="FBD3" s="419" t="s">
        <v>23</v>
      </c>
      <c r="FBE3" s="420"/>
      <c r="FBF3" s="420"/>
      <c r="FBG3" s="420"/>
      <c r="FBH3" s="419" t="s">
        <v>23</v>
      </c>
      <c r="FBI3" s="420"/>
      <c r="FBJ3" s="420"/>
      <c r="FBK3" s="420"/>
      <c r="FBL3" s="419" t="s">
        <v>23</v>
      </c>
      <c r="FBM3" s="420"/>
      <c r="FBN3" s="420"/>
      <c r="FBO3" s="420"/>
      <c r="FBP3" s="419" t="s">
        <v>23</v>
      </c>
      <c r="FBQ3" s="420"/>
      <c r="FBR3" s="420"/>
      <c r="FBS3" s="420"/>
      <c r="FBT3" s="419" t="s">
        <v>23</v>
      </c>
      <c r="FBU3" s="420"/>
      <c r="FBV3" s="420"/>
      <c r="FBW3" s="420"/>
      <c r="FBX3" s="419" t="s">
        <v>23</v>
      </c>
      <c r="FBY3" s="420"/>
      <c r="FBZ3" s="420"/>
      <c r="FCA3" s="420"/>
      <c r="FCB3" s="419" t="s">
        <v>23</v>
      </c>
      <c r="FCC3" s="420"/>
      <c r="FCD3" s="420"/>
      <c r="FCE3" s="420"/>
      <c r="FCF3" s="419" t="s">
        <v>23</v>
      </c>
      <c r="FCG3" s="420"/>
      <c r="FCH3" s="420"/>
      <c r="FCI3" s="420"/>
      <c r="FCJ3" s="419" t="s">
        <v>23</v>
      </c>
      <c r="FCK3" s="420"/>
      <c r="FCL3" s="420"/>
      <c r="FCM3" s="420"/>
      <c r="FCN3" s="419" t="s">
        <v>23</v>
      </c>
      <c r="FCO3" s="420"/>
      <c r="FCP3" s="420"/>
      <c r="FCQ3" s="420"/>
      <c r="FCR3" s="419" t="s">
        <v>23</v>
      </c>
      <c r="FCS3" s="420"/>
      <c r="FCT3" s="420"/>
      <c r="FCU3" s="420"/>
      <c r="FCV3" s="419" t="s">
        <v>23</v>
      </c>
      <c r="FCW3" s="420"/>
      <c r="FCX3" s="420"/>
      <c r="FCY3" s="420"/>
      <c r="FCZ3" s="419" t="s">
        <v>23</v>
      </c>
      <c r="FDA3" s="420"/>
      <c r="FDB3" s="420"/>
      <c r="FDC3" s="420"/>
      <c r="FDD3" s="419" t="s">
        <v>23</v>
      </c>
      <c r="FDE3" s="420"/>
      <c r="FDF3" s="420"/>
      <c r="FDG3" s="420"/>
      <c r="FDH3" s="419" t="s">
        <v>23</v>
      </c>
      <c r="FDI3" s="420"/>
      <c r="FDJ3" s="420"/>
      <c r="FDK3" s="420"/>
      <c r="FDL3" s="419" t="s">
        <v>23</v>
      </c>
      <c r="FDM3" s="420"/>
      <c r="FDN3" s="420"/>
      <c r="FDO3" s="420"/>
      <c r="FDP3" s="419" t="s">
        <v>23</v>
      </c>
      <c r="FDQ3" s="420"/>
      <c r="FDR3" s="420"/>
      <c r="FDS3" s="420"/>
      <c r="FDT3" s="419" t="s">
        <v>23</v>
      </c>
      <c r="FDU3" s="420"/>
      <c r="FDV3" s="420"/>
      <c r="FDW3" s="420"/>
      <c r="FDX3" s="419" t="s">
        <v>23</v>
      </c>
      <c r="FDY3" s="420"/>
      <c r="FDZ3" s="420"/>
      <c r="FEA3" s="420"/>
      <c r="FEB3" s="419" t="s">
        <v>23</v>
      </c>
      <c r="FEC3" s="420"/>
      <c r="FED3" s="420"/>
      <c r="FEE3" s="420"/>
      <c r="FEF3" s="419" t="s">
        <v>23</v>
      </c>
      <c r="FEG3" s="420"/>
      <c r="FEH3" s="420"/>
      <c r="FEI3" s="420"/>
      <c r="FEJ3" s="419" t="s">
        <v>23</v>
      </c>
      <c r="FEK3" s="420"/>
      <c r="FEL3" s="420"/>
      <c r="FEM3" s="420"/>
      <c r="FEN3" s="419" t="s">
        <v>23</v>
      </c>
      <c r="FEO3" s="420"/>
      <c r="FEP3" s="420"/>
      <c r="FEQ3" s="420"/>
      <c r="FER3" s="419" t="s">
        <v>23</v>
      </c>
      <c r="FES3" s="420"/>
      <c r="FET3" s="420"/>
      <c r="FEU3" s="420"/>
      <c r="FEV3" s="419" t="s">
        <v>23</v>
      </c>
      <c r="FEW3" s="420"/>
      <c r="FEX3" s="420"/>
      <c r="FEY3" s="420"/>
      <c r="FEZ3" s="419" t="s">
        <v>23</v>
      </c>
      <c r="FFA3" s="420"/>
      <c r="FFB3" s="420"/>
      <c r="FFC3" s="420"/>
      <c r="FFD3" s="419" t="s">
        <v>23</v>
      </c>
      <c r="FFE3" s="420"/>
      <c r="FFF3" s="420"/>
      <c r="FFG3" s="420"/>
      <c r="FFH3" s="419" t="s">
        <v>23</v>
      </c>
      <c r="FFI3" s="420"/>
      <c r="FFJ3" s="420"/>
      <c r="FFK3" s="420"/>
      <c r="FFL3" s="419" t="s">
        <v>23</v>
      </c>
      <c r="FFM3" s="420"/>
      <c r="FFN3" s="420"/>
      <c r="FFO3" s="420"/>
      <c r="FFP3" s="419" t="s">
        <v>23</v>
      </c>
      <c r="FFQ3" s="420"/>
      <c r="FFR3" s="420"/>
      <c r="FFS3" s="420"/>
      <c r="FFT3" s="419" t="s">
        <v>23</v>
      </c>
      <c r="FFU3" s="420"/>
      <c r="FFV3" s="420"/>
      <c r="FFW3" s="420"/>
      <c r="FFX3" s="419" t="s">
        <v>23</v>
      </c>
      <c r="FFY3" s="420"/>
      <c r="FFZ3" s="420"/>
      <c r="FGA3" s="420"/>
      <c r="FGB3" s="419" t="s">
        <v>23</v>
      </c>
      <c r="FGC3" s="420"/>
      <c r="FGD3" s="420"/>
      <c r="FGE3" s="420"/>
      <c r="FGF3" s="419" t="s">
        <v>23</v>
      </c>
      <c r="FGG3" s="420"/>
      <c r="FGH3" s="420"/>
      <c r="FGI3" s="420"/>
      <c r="FGJ3" s="419" t="s">
        <v>23</v>
      </c>
      <c r="FGK3" s="420"/>
      <c r="FGL3" s="420"/>
      <c r="FGM3" s="420"/>
      <c r="FGN3" s="419" t="s">
        <v>23</v>
      </c>
      <c r="FGO3" s="420"/>
      <c r="FGP3" s="420"/>
      <c r="FGQ3" s="420"/>
      <c r="FGR3" s="419" t="s">
        <v>23</v>
      </c>
      <c r="FGS3" s="420"/>
      <c r="FGT3" s="420"/>
      <c r="FGU3" s="420"/>
      <c r="FGV3" s="419" t="s">
        <v>23</v>
      </c>
      <c r="FGW3" s="420"/>
      <c r="FGX3" s="420"/>
      <c r="FGY3" s="420"/>
      <c r="FGZ3" s="419" t="s">
        <v>23</v>
      </c>
      <c r="FHA3" s="420"/>
      <c r="FHB3" s="420"/>
      <c r="FHC3" s="420"/>
      <c r="FHD3" s="419" t="s">
        <v>23</v>
      </c>
      <c r="FHE3" s="420"/>
      <c r="FHF3" s="420"/>
      <c r="FHG3" s="420"/>
      <c r="FHH3" s="419" t="s">
        <v>23</v>
      </c>
      <c r="FHI3" s="420"/>
      <c r="FHJ3" s="420"/>
      <c r="FHK3" s="420"/>
      <c r="FHL3" s="419" t="s">
        <v>23</v>
      </c>
      <c r="FHM3" s="420"/>
      <c r="FHN3" s="420"/>
      <c r="FHO3" s="420"/>
      <c r="FHP3" s="419" t="s">
        <v>23</v>
      </c>
      <c r="FHQ3" s="420"/>
      <c r="FHR3" s="420"/>
      <c r="FHS3" s="420"/>
      <c r="FHT3" s="419" t="s">
        <v>23</v>
      </c>
      <c r="FHU3" s="420"/>
      <c r="FHV3" s="420"/>
      <c r="FHW3" s="420"/>
      <c r="FHX3" s="419" t="s">
        <v>23</v>
      </c>
      <c r="FHY3" s="420"/>
      <c r="FHZ3" s="420"/>
      <c r="FIA3" s="420"/>
      <c r="FIB3" s="419" t="s">
        <v>23</v>
      </c>
      <c r="FIC3" s="420"/>
      <c r="FID3" s="420"/>
      <c r="FIE3" s="420"/>
      <c r="FIF3" s="419" t="s">
        <v>23</v>
      </c>
      <c r="FIG3" s="420"/>
      <c r="FIH3" s="420"/>
      <c r="FII3" s="420"/>
      <c r="FIJ3" s="419" t="s">
        <v>23</v>
      </c>
      <c r="FIK3" s="420"/>
      <c r="FIL3" s="420"/>
      <c r="FIM3" s="420"/>
      <c r="FIN3" s="419" t="s">
        <v>23</v>
      </c>
      <c r="FIO3" s="420"/>
      <c r="FIP3" s="420"/>
      <c r="FIQ3" s="420"/>
      <c r="FIR3" s="419" t="s">
        <v>23</v>
      </c>
      <c r="FIS3" s="420"/>
      <c r="FIT3" s="420"/>
      <c r="FIU3" s="420"/>
      <c r="FIV3" s="419" t="s">
        <v>23</v>
      </c>
      <c r="FIW3" s="420"/>
      <c r="FIX3" s="420"/>
      <c r="FIY3" s="420"/>
      <c r="FIZ3" s="419" t="s">
        <v>23</v>
      </c>
      <c r="FJA3" s="420"/>
      <c r="FJB3" s="420"/>
      <c r="FJC3" s="420"/>
      <c r="FJD3" s="419" t="s">
        <v>23</v>
      </c>
      <c r="FJE3" s="420"/>
      <c r="FJF3" s="420"/>
      <c r="FJG3" s="420"/>
      <c r="FJH3" s="419" t="s">
        <v>23</v>
      </c>
      <c r="FJI3" s="420"/>
      <c r="FJJ3" s="420"/>
      <c r="FJK3" s="420"/>
      <c r="FJL3" s="419" t="s">
        <v>23</v>
      </c>
      <c r="FJM3" s="420"/>
      <c r="FJN3" s="420"/>
      <c r="FJO3" s="420"/>
      <c r="FJP3" s="419" t="s">
        <v>23</v>
      </c>
      <c r="FJQ3" s="420"/>
      <c r="FJR3" s="420"/>
      <c r="FJS3" s="420"/>
      <c r="FJT3" s="419" t="s">
        <v>23</v>
      </c>
      <c r="FJU3" s="420"/>
      <c r="FJV3" s="420"/>
      <c r="FJW3" s="420"/>
      <c r="FJX3" s="419" t="s">
        <v>23</v>
      </c>
      <c r="FJY3" s="420"/>
      <c r="FJZ3" s="420"/>
      <c r="FKA3" s="420"/>
      <c r="FKB3" s="419" t="s">
        <v>23</v>
      </c>
      <c r="FKC3" s="420"/>
      <c r="FKD3" s="420"/>
      <c r="FKE3" s="420"/>
      <c r="FKF3" s="419" t="s">
        <v>23</v>
      </c>
      <c r="FKG3" s="420"/>
      <c r="FKH3" s="420"/>
      <c r="FKI3" s="420"/>
      <c r="FKJ3" s="419" t="s">
        <v>23</v>
      </c>
      <c r="FKK3" s="420"/>
      <c r="FKL3" s="420"/>
      <c r="FKM3" s="420"/>
      <c r="FKN3" s="419" t="s">
        <v>23</v>
      </c>
      <c r="FKO3" s="420"/>
      <c r="FKP3" s="420"/>
      <c r="FKQ3" s="420"/>
      <c r="FKR3" s="419" t="s">
        <v>23</v>
      </c>
      <c r="FKS3" s="420"/>
      <c r="FKT3" s="420"/>
      <c r="FKU3" s="420"/>
      <c r="FKV3" s="419" t="s">
        <v>23</v>
      </c>
      <c r="FKW3" s="420"/>
      <c r="FKX3" s="420"/>
      <c r="FKY3" s="420"/>
      <c r="FKZ3" s="419" t="s">
        <v>23</v>
      </c>
      <c r="FLA3" s="420"/>
      <c r="FLB3" s="420"/>
      <c r="FLC3" s="420"/>
      <c r="FLD3" s="419" t="s">
        <v>23</v>
      </c>
      <c r="FLE3" s="420"/>
      <c r="FLF3" s="420"/>
      <c r="FLG3" s="420"/>
      <c r="FLH3" s="419" t="s">
        <v>23</v>
      </c>
      <c r="FLI3" s="420"/>
      <c r="FLJ3" s="420"/>
      <c r="FLK3" s="420"/>
      <c r="FLL3" s="419" t="s">
        <v>23</v>
      </c>
      <c r="FLM3" s="420"/>
      <c r="FLN3" s="420"/>
      <c r="FLO3" s="420"/>
      <c r="FLP3" s="419" t="s">
        <v>23</v>
      </c>
      <c r="FLQ3" s="420"/>
      <c r="FLR3" s="420"/>
      <c r="FLS3" s="420"/>
      <c r="FLT3" s="419" t="s">
        <v>23</v>
      </c>
      <c r="FLU3" s="420"/>
      <c r="FLV3" s="420"/>
      <c r="FLW3" s="420"/>
      <c r="FLX3" s="419" t="s">
        <v>23</v>
      </c>
      <c r="FLY3" s="420"/>
      <c r="FLZ3" s="420"/>
      <c r="FMA3" s="420"/>
      <c r="FMB3" s="419" t="s">
        <v>23</v>
      </c>
      <c r="FMC3" s="420"/>
      <c r="FMD3" s="420"/>
      <c r="FME3" s="420"/>
      <c r="FMF3" s="419" t="s">
        <v>23</v>
      </c>
      <c r="FMG3" s="420"/>
      <c r="FMH3" s="420"/>
      <c r="FMI3" s="420"/>
      <c r="FMJ3" s="419" t="s">
        <v>23</v>
      </c>
      <c r="FMK3" s="420"/>
      <c r="FML3" s="420"/>
      <c r="FMM3" s="420"/>
      <c r="FMN3" s="419" t="s">
        <v>23</v>
      </c>
      <c r="FMO3" s="420"/>
      <c r="FMP3" s="420"/>
      <c r="FMQ3" s="420"/>
      <c r="FMR3" s="419" t="s">
        <v>23</v>
      </c>
      <c r="FMS3" s="420"/>
      <c r="FMT3" s="420"/>
      <c r="FMU3" s="420"/>
      <c r="FMV3" s="419" t="s">
        <v>23</v>
      </c>
      <c r="FMW3" s="420"/>
      <c r="FMX3" s="420"/>
      <c r="FMY3" s="420"/>
      <c r="FMZ3" s="419" t="s">
        <v>23</v>
      </c>
      <c r="FNA3" s="420"/>
      <c r="FNB3" s="420"/>
      <c r="FNC3" s="420"/>
      <c r="FND3" s="419" t="s">
        <v>23</v>
      </c>
      <c r="FNE3" s="420"/>
      <c r="FNF3" s="420"/>
      <c r="FNG3" s="420"/>
      <c r="FNH3" s="419" t="s">
        <v>23</v>
      </c>
      <c r="FNI3" s="420"/>
      <c r="FNJ3" s="420"/>
      <c r="FNK3" s="420"/>
      <c r="FNL3" s="419" t="s">
        <v>23</v>
      </c>
      <c r="FNM3" s="420"/>
      <c r="FNN3" s="420"/>
      <c r="FNO3" s="420"/>
      <c r="FNP3" s="419" t="s">
        <v>23</v>
      </c>
      <c r="FNQ3" s="420"/>
      <c r="FNR3" s="420"/>
      <c r="FNS3" s="420"/>
      <c r="FNT3" s="419" t="s">
        <v>23</v>
      </c>
      <c r="FNU3" s="420"/>
      <c r="FNV3" s="420"/>
      <c r="FNW3" s="420"/>
      <c r="FNX3" s="419" t="s">
        <v>23</v>
      </c>
      <c r="FNY3" s="420"/>
      <c r="FNZ3" s="420"/>
      <c r="FOA3" s="420"/>
      <c r="FOB3" s="419" t="s">
        <v>23</v>
      </c>
      <c r="FOC3" s="420"/>
      <c r="FOD3" s="420"/>
      <c r="FOE3" s="420"/>
      <c r="FOF3" s="419" t="s">
        <v>23</v>
      </c>
      <c r="FOG3" s="420"/>
      <c r="FOH3" s="420"/>
      <c r="FOI3" s="420"/>
      <c r="FOJ3" s="419" t="s">
        <v>23</v>
      </c>
      <c r="FOK3" s="420"/>
      <c r="FOL3" s="420"/>
      <c r="FOM3" s="420"/>
      <c r="FON3" s="419" t="s">
        <v>23</v>
      </c>
      <c r="FOO3" s="420"/>
      <c r="FOP3" s="420"/>
      <c r="FOQ3" s="420"/>
      <c r="FOR3" s="419" t="s">
        <v>23</v>
      </c>
      <c r="FOS3" s="420"/>
      <c r="FOT3" s="420"/>
      <c r="FOU3" s="420"/>
      <c r="FOV3" s="419" t="s">
        <v>23</v>
      </c>
      <c r="FOW3" s="420"/>
      <c r="FOX3" s="420"/>
      <c r="FOY3" s="420"/>
      <c r="FOZ3" s="419" t="s">
        <v>23</v>
      </c>
      <c r="FPA3" s="420"/>
      <c r="FPB3" s="420"/>
      <c r="FPC3" s="420"/>
      <c r="FPD3" s="419" t="s">
        <v>23</v>
      </c>
      <c r="FPE3" s="420"/>
      <c r="FPF3" s="420"/>
      <c r="FPG3" s="420"/>
      <c r="FPH3" s="419" t="s">
        <v>23</v>
      </c>
      <c r="FPI3" s="420"/>
      <c r="FPJ3" s="420"/>
      <c r="FPK3" s="420"/>
      <c r="FPL3" s="419" t="s">
        <v>23</v>
      </c>
      <c r="FPM3" s="420"/>
      <c r="FPN3" s="420"/>
      <c r="FPO3" s="420"/>
      <c r="FPP3" s="419" t="s">
        <v>23</v>
      </c>
      <c r="FPQ3" s="420"/>
      <c r="FPR3" s="420"/>
      <c r="FPS3" s="420"/>
      <c r="FPT3" s="419" t="s">
        <v>23</v>
      </c>
      <c r="FPU3" s="420"/>
      <c r="FPV3" s="420"/>
      <c r="FPW3" s="420"/>
      <c r="FPX3" s="419" t="s">
        <v>23</v>
      </c>
      <c r="FPY3" s="420"/>
      <c r="FPZ3" s="420"/>
      <c r="FQA3" s="420"/>
      <c r="FQB3" s="419" t="s">
        <v>23</v>
      </c>
      <c r="FQC3" s="420"/>
      <c r="FQD3" s="420"/>
      <c r="FQE3" s="420"/>
      <c r="FQF3" s="419" t="s">
        <v>23</v>
      </c>
      <c r="FQG3" s="420"/>
      <c r="FQH3" s="420"/>
      <c r="FQI3" s="420"/>
      <c r="FQJ3" s="419" t="s">
        <v>23</v>
      </c>
      <c r="FQK3" s="420"/>
      <c r="FQL3" s="420"/>
      <c r="FQM3" s="420"/>
      <c r="FQN3" s="419" t="s">
        <v>23</v>
      </c>
      <c r="FQO3" s="420"/>
      <c r="FQP3" s="420"/>
      <c r="FQQ3" s="420"/>
      <c r="FQR3" s="419" t="s">
        <v>23</v>
      </c>
      <c r="FQS3" s="420"/>
      <c r="FQT3" s="420"/>
      <c r="FQU3" s="420"/>
      <c r="FQV3" s="419" t="s">
        <v>23</v>
      </c>
      <c r="FQW3" s="420"/>
      <c r="FQX3" s="420"/>
      <c r="FQY3" s="420"/>
      <c r="FQZ3" s="419" t="s">
        <v>23</v>
      </c>
      <c r="FRA3" s="420"/>
      <c r="FRB3" s="420"/>
      <c r="FRC3" s="420"/>
      <c r="FRD3" s="419" t="s">
        <v>23</v>
      </c>
      <c r="FRE3" s="420"/>
      <c r="FRF3" s="420"/>
      <c r="FRG3" s="420"/>
      <c r="FRH3" s="419" t="s">
        <v>23</v>
      </c>
      <c r="FRI3" s="420"/>
      <c r="FRJ3" s="420"/>
      <c r="FRK3" s="420"/>
      <c r="FRL3" s="419" t="s">
        <v>23</v>
      </c>
      <c r="FRM3" s="420"/>
      <c r="FRN3" s="420"/>
      <c r="FRO3" s="420"/>
      <c r="FRP3" s="419" t="s">
        <v>23</v>
      </c>
      <c r="FRQ3" s="420"/>
      <c r="FRR3" s="420"/>
      <c r="FRS3" s="420"/>
      <c r="FRT3" s="419" t="s">
        <v>23</v>
      </c>
      <c r="FRU3" s="420"/>
      <c r="FRV3" s="420"/>
      <c r="FRW3" s="420"/>
      <c r="FRX3" s="419" t="s">
        <v>23</v>
      </c>
      <c r="FRY3" s="420"/>
      <c r="FRZ3" s="420"/>
      <c r="FSA3" s="420"/>
      <c r="FSB3" s="419" t="s">
        <v>23</v>
      </c>
      <c r="FSC3" s="420"/>
      <c r="FSD3" s="420"/>
      <c r="FSE3" s="420"/>
      <c r="FSF3" s="419" t="s">
        <v>23</v>
      </c>
      <c r="FSG3" s="420"/>
      <c r="FSH3" s="420"/>
      <c r="FSI3" s="420"/>
      <c r="FSJ3" s="419" t="s">
        <v>23</v>
      </c>
      <c r="FSK3" s="420"/>
      <c r="FSL3" s="420"/>
      <c r="FSM3" s="420"/>
      <c r="FSN3" s="419" t="s">
        <v>23</v>
      </c>
      <c r="FSO3" s="420"/>
      <c r="FSP3" s="420"/>
      <c r="FSQ3" s="420"/>
      <c r="FSR3" s="419" t="s">
        <v>23</v>
      </c>
      <c r="FSS3" s="420"/>
      <c r="FST3" s="420"/>
      <c r="FSU3" s="420"/>
      <c r="FSV3" s="419" t="s">
        <v>23</v>
      </c>
      <c r="FSW3" s="420"/>
      <c r="FSX3" s="420"/>
      <c r="FSY3" s="420"/>
      <c r="FSZ3" s="419" t="s">
        <v>23</v>
      </c>
      <c r="FTA3" s="420"/>
      <c r="FTB3" s="420"/>
      <c r="FTC3" s="420"/>
      <c r="FTD3" s="419" t="s">
        <v>23</v>
      </c>
      <c r="FTE3" s="420"/>
      <c r="FTF3" s="420"/>
      <c r="FTG3" s="420"/>
      <c r="FTH3" s="419" t="s">
        <v>23</v>
      </c>
      <c r="FTI3" s="420"/>
      <c r="FTJ3" s="420"/>
      <c r="FTK3" s="420"/>
      <c r="FTL3" s="419" t="s">
        <v>23</v>
      </c>
      <c r="FTM3" s="420"/>
      <c r="FTN3" s="420"/>
      <c r="FTO3" s="420"/>
      <c r="FTP3" s="419" t="s">
        <v>23</v>
      </c>
      <c r="FTQ3" s="420"/>
      <c r="FTR3" s="420"/>
      <c r="FTS3" s="420"/>
      <c r="FTT3" s="419" t="s">
        <v>23</v>
      </c>
      <c r="FTU3" s="420"/>
      <c r="FTV3" s="420"/>
      <c r="FTW3" s="420"/>
      <c r="FTX3" s="419" t="s">
        <v>23</v>
      </c>
      <c r="FTY3" s="420"/>
      <c r="FTZ3" s="420"/>
      <c r="FUA3" s="420"/>
      <c r="FUB3" s="419" t="s">
        <v>23</v>
      </c>
      <c r="FUC3" s="420"/>
      <c r="FUD3" s="420"/>
      <c r="FUE3" s="420"/>
      <c r="FUF3" s="419" t="s">
        <v>23</v>
      </c>
      <c r="FUG3" s="420"/>
      <c r="FUH3" s="420"/>
      <c r="FUI3" s="420"/>
      <c r="FUJ3" s="419" t="s">
        <v>23</v>
      </c>
      <c r="FUK3" s="420"/>
      <c r="FUL3" s="420"/>
      <c r="FUM3" s="420"/>
      <c r="FUN3" s="419" t="s">
        <v>23</v>
      </c>
      <c r="FUO3" s="420"/>
      <c r="FUP3" s="420"/>
      <c r="FUQ3" s="420"/>
      <c r="FUR3" s="419" t="s">
        <v>23</v>
      </c>
      <c r="FUS3" s="420"/>
      <c r="FUT3" s="420"/>
      <c r="FUU3" s="420"/>
      <c r="FUV3" s="419" t="s">
        <v>23</v>
      </c>
      <c r="FUW3" s="420"/>
      <c r="FUX3" s="420"/>
      <c r="FUY3" s="420"/>
      <c r="FUZ3" s="419" t="s">
        <v>23</v>
      </c>
      <c r="FVA3" s="420"/>
      <c r="FVB3" s="420"/>
      <c r="FVC3" s="420"/>
      <c r="FVD3" s="419" t="s">
        <v>23</v>
      </c>
      <c r="FVE3" s="420"/>
      <c r="FVF3" s="420"/>
      <c r="FVG3" s="420"/>
      <c r="FVH3" s="419" t="s">
        <v>23</v>
      </c>
      <c r="FVI3" s="420"/>
      <c r="FVJ3" s="420"/>
      <c r="FVK3" s="420"/>
      <c r="FVL3" s="419" t="s">
        <v>23</v>
      </c>
      <c r="FVM3" s="420"/>
      <c r="FVN3" s="420"/>
      <c r="FVO3" s="420"/>
      <c r="FVP3" s="419" t="s">
        <v>23</v>
      </c>
      <c r="FVQ3" s="420"/>
      <c r="FVR3" s="420"/>
      <c r="FVS3" s="420"/>
      <c r="FVT3" s="419" t="s">
        <v>23</v>
      </c>
      <c r="FVU3" s="420"/>
      <c r="FVV3" s="420"/>
      <c r="FVW3" s="420"/>
      <c r="FVX3" s="419" t="s">
        <v>23</v>
      </c>
      <c r="FVY3" s="420"/>
      <c r="FVZ3" s="420"/>
      <c r="FWA3" s="420"/>
      <c r="FWB3" s="419" t="s">
        <v>23</v>
      </c>
      <c r="FWC3" s="420"/>
      <c r="FWD3" s="420"/>
      <c r="FWE3" s="420"/>
      <c r="FWF3" s="419" t="s">
        <v>23</v>
      </c>
      <c r="FWG3" s="420"/>
      <c r="FWH3" s="420"/>
      <c r="FWI3" s="420"/>
      <c r="FWJ3" s="419" t="s">
        <v>23</v>
      </c>
      <c r="FWK3" s="420"/>
      <c r="FWL3" s="420"/>
      <c r="FWM3" s="420"/>
      <c r="FWN3" s="419" t="s">
        <v>23</v>
      </c>
      <c r="FWO3" s="420"/>
      <c r="FWP3" s="420"/>
      <c r="FWQ3" s="420"/>
      <c r="FWR3" s="419" t="s">
        <v>23</v>
      </c>
      <c r="FWS3" s="420"/>
      <c r="FWT3" s="420"/>
      <c r="FWU3" s="420"/>
      <c r="FWV3" s="419" t="s">
        <v>23</v>
      </c>
      <c r="FWW3" s="420"/>
      <c r="FWX3" s="420"/>
      <c r="FWY3" s="420"/>
      <c r="FWZ3" s="419" t="s">
        <v>23</v>
      </c>
      <c r="FXA3" s="420"/>
      <c r="FXB3" s="420"/>
      <c r="FXC3" s="420"/>
      <c r="FXD3" s="419" t="s">
        <v>23</v>
      </c>
      <c r="FXE3" s="420"/>
      <c r="FXF3" s="420"/>
      <c r="FXG3" s="420"/>
      <c r="FXH3" s="419" t="s">
        <v>23</v>
      </c>
      <c r="FXI3" s="420"/>
      <c r="FXJ3" s="420"/>
      <c r="FXK3" s="420"/>
      <c r="FXL3" s="419" t="s">
        <v>23</v>
      </c>
      <c r="FXM3" s="420"/>
      <c r="FXN3" s="420"/>
      <c r="FXO3" s="420"/>
      <c r="FXP3" s="419" t="s">
        <v>23</v>
      </c>
      <c r="FXQ3" s="420"/>
      <c r="FXR3" s="420"/>
      <c r="FXS3" s="420"/>
      <c r="FXT3" s="419" t="s">
        <v>23</v>
      </c>
      <c r="FXU3" s="420"/>
      <c r="FXV3" s="420"/>
      <c r="FXW3" s="420"/>
      <c r="FXX3" s="419" t="s">
        <v>23</v>
      </c>
      <c r="FXY3" s="420"/>
      <c r="FXZ3" s="420"/>
      <c r="FYA3" s="420"/>
      <c r="FYB3" s="419" t="s">
        <v>23</v>
      </c>
      <c r="FYC3" s="420"/>
      <c r="FYD3" s="420"/>
      <c r="FYE3" s="420"/>
      <c r="FYF3" s="419" t="s">
        <v>23</v>
      </c>
      <c r="FYG3" s="420"/>
      <c r="FYH3" s="420"/>
      <c r="FYI3" s="420"/>
      <c r="FYJ3" s="419" t="s">
        <v>23</v>
      </c>
      <c r="FYK3" s="420"/>
      <c r="FYL3" s="420"/>
      <c r="FYM3" s="420"/>
      <c r="FYN3" s="419" t="s">
        <v>23</v>
      </c>
      <c r="FYO3" s="420"/>
      <c r="FYP3" s="420"/>
      <c r="FYQ3" s="420"/>
      <c r="FYR3" s="419" t="s">
        <v>23</v>
      </c>
      <c r="FYS3" s="420"/>
      <c r="FYT3" s="420"/>
      <c r="FYU3" s="420"/>
      <c r="FYV3" s="419" t="s">
        <v>23</v>
      </c>
      <c r="FYW3" s="420"/>
      <c r="FYX3" s="420"/>
      <c r="FYY3" s="420"/>
      <c r="FYZ3" s="419" t="s">
        <v>23</v>
      </c>
      <c r="FZA3" s="420"/>
      <c r="FZB3" s="420"/>
      <c r="FZC3" s="420"/>
      <c r="FZD3" s="419" t="s">
        <v>23</v>
      </c>
      <c r="FZE3" s="420"/>
      <c r="FZF3" s="420"/>
      <c r="FZG3" s="420"/>
      <c r="FZH3" s="419" t="s">
        <v>23</v>
      </c>
      <c r="FZI3" s="420"/>
      <c r="FZJ3" s="420"/>
      <c r="FZK3" s="420"/>
      <c r="FZL3" s="419" t="s">
        <v>23</v>
      </c>
      <c r="FZM3" s="420"/>
      <c r="FZN3" s="420"/>
      <c r="FZO3" s="420"/>
      <c r="FZP3" s="419" t="s">
        <v>23</v>
      </c>
      <c r="FZQ3" s="420"/>
      <c r="FZR3" s="420"/>
      <c r="FZS3" s="420"/>
      <c r="FZT3" s="419" t="s">
        <v>23</v>
      </c>
      <c r="FZU3" s="420"/>
      <c r="FZV3" s="420"/>
      <c r="FZW3" s="420"/>
      <c r="FZX3" s="419" t="s">
        <v>23</v>
      </c>
      <c r="FZY3" s="420"/>
      <c r="FZZ3" s="420"/>
      <c r="GAA3" s="420"/>
      <c r="GAB3" s="419" t="s">
        <v>23</v>
      </c>
      <c r="GAC3" s="420"/>
      <c r="GAD3" s="420"/>
      <c r="GAE3" s="420"/>
      <c r="GAF3" s="419" t="s">
        <v>23</v>
      </c>
      <c r="GAG3" s="420"/>
      <c r="GAH3" s="420"/>
      <c r="GAI3" s="420"/>
      <c r="GAJ3" s="419" t="s">
        <v>23</v>
      </c>
      <c r="GAK3" s="420"/>
      <c r="GAL3" s="420"/>
      <c r="GAM3" s="420"/>
      <c r="GAN3" s="419" t="s">
        <v>23</v>
      </c>
      <c r="GAO3" s="420"/>
      <c r="GAP3" s="420"/>
      <c r="GAQ3" s="420"/>
      <c r="GAR3" s="419" t="s">
        <v>23</v>
      </c>
      <c r="GAS3" s="420"/>
      <c r="GAT3" s="420"/>
      <c r="GAU3" s="420"/>
      <c r="GAV3" s="419" t="s">
        <v>23</v>
      </c>
      <c r="GAW3" s="420"/>
      <c r="GAX3" s="420"/>
      <c r="GAY3" s="420"/>
      <c r="GAZ3" s="419" t="s">
        <v>23</v>
      </c>
      <c r="GBA3" s="420"/>
      <c r="GBB3" s="420"/>
      <c r="GBC3" s="420"/>
      <c r="GBD3" s="419" t="s">
        <v>23</v>
      </c>
      <c r="GBE3" s="420"/>
      <c r="GBF3" s="420"/>
      <c r="GBG3" s="420"/>
      <c r="GBH3" s="419" t="s">
        <v>23</v>
      </c>
      <c r="GBI3" s="420"/>
      <c r="GBJ3" s="420"/>
      <c r="GBK3" s="420"/>
      <c r="GBL3" s="419" t="s">
        <v>23</v>
      </c>
      <c r="GBM3" s="420"/>
      <c r="GBN3" s="420"/>
      <c r="GBO3" s="420"/>
      <c r="GBP3" s="419" t="s">
        <v>23</v>
      </c>
      <c r="GBQ3" s="420"/>
      <c r="GBR3" s="420"/>
      <c r="GBS3" s="420"/>
      <c r="GBT3" s="419" t="s">
        <v>23</v>
      </c>
      <c r="GBU3" s="420"/>
      <c r="GBV3" s="420"/>
      <c r="GBW3" s="420"/>
      <c r="GBX3" s="419" t="s">
        <v>23</v>
      </c>
      <c r="GBY3" s="420"/>
      <c r="GBZ3" s="420"/>
      <c r="GCA3" s="420"/>
      <c r="GCB3" s="419" t="s">
        <v>23</v>
      </c>
      <c r="GCC3" s="420"/>
      <c r="GCD3" s="420"/>
      <c r="GCE3" s="420"/>
      <c r="GCF3" s="419" t="s">
        <v>23</v>
      </c>
      <c r="GCG3" s="420"/>
      <c r="GCH3" s="420"/>
      <c r="GCI3" s="420"/>
      <c r="GCJ3" s="419" t="s">
        <v>23</v>
      </c>
      <c r="GCK3" s="420"/>
      <c r="GCL3" s="420"/>
      <c r="GCM3" s="420"/>
      <c r="GCN3" s="419" t="s">
        <v>23</v>
      </c>
      <c r="GCO3" s="420"/>
      <c r="GCP3" s="420"/>
      <c r="GCQ3" s="420"/>
      <c r="GCR3" s="419" t="s">
        <v>23</v>
      </c>
      <c r="GCS3" s="420"/>
      <c r="GCT3" s="420"/>
      <c r="GCU3" s="420"/>
      <c r="GCV3" s="419" t="s">
        <v>23</v>
      </c>
      <c r="GCW3" s="420"/>
      <c r="GCX3" s="420"/>
      <c r="GCY3" s="420"/>
      <c r="GCZ3" s="419" t="s">
        <v>23</v>
      </c>
      <c r="GDA3" s="420"/>
      <c r="GDB3" s="420"/>
      <c r="GDC3" s="420"/>
      <c r="GDD3" s="419" t="s">
        <v>23</v>
      </c>
      <c r="GDE3" s="420"/>
      <c r="GDF3" s="420"/>
      <c r="GDG3" s="420"/>
      <c r="GDH3" s="419" t="s">
        <v>23</v>
      </c>
      <c r="GDI3" s="420"/>
      <c r="GDJ3" s="420"/>
      <c r="GDK3" s="420"/>
      <c r="GDL3" s="419" t="s">
        <v>23</v>
      </c>
      <c r="GDM3" s="420"/>
      <c r="GDN3" s="420"/>
      <c r="GDO3" s="420"/>
      <c r="GDP3" s="419" t="s">
        <v>23</v>
      </c>
      <c r="GDQ3" s="420"/>
      <c r="GDR3" s="420"/>
      <c r="GDS3" s="420"/>
      <c r="GDT3" s="419" t="s">
        <v>23</v>
      </c>
      <c r="GDU3" s="420"/>
      <c r="GDV3" s="420"/>
      <c r="GDW3" s="420"/>
      <c r="GDX3" s="419" t="s">
        <v>23</v>
      </c>
      <c r="GDY3" s="420"/>
      <c r="GDZ3" s="420"/>
      <c r="GEA3" s="420"/>
      <c r="GEB3" s="419" t="s">
        <v>23</v>
      </c>
      <c r="GEC3" s="420"/>
      <c r="GED3" s="420"/>
      <c r="GEE3" s="420"/>
      <c r="GEF3" s="419" t="s">
        <v>23</v>
      </c>
      <c r="GEG3" s="420"/>
      <c r="GEH3" s="420"/>
      <c r="GEI3" s="420"/>
      <c r="GEJ3" s="419" t="s">
        <v>23</v>
      </c>
      <c r="GEK3" s="420"/>
      <c r="GEL3" s="420"/>
      <c r="GEM3" s="420"/>
      <c r="GEN3" s="419" t="s">
        <v>23</v>
      </c>
      <c r="GEO3" s="420"/>
      <c r="GEP3" s="420"/>
      <c r="GEQ3" s="420"/>
      <c r="GER3" s="419" t="s">
        <v>23</v>
      </c>
      <c r="GES3" s="420"/>
      <c r="GET3" s="420"/>
      <c r="GEU3" s="420"/>
      <c r="GEV3" s="419" t="s">
        <v>23</v>
      </c>
      <c r="GEW3" s="420"/>
      <c r="GEX3" s="420"/>
      <c r="GEY3" s="420"/>
      <c r="GEZ3" s="419" t="s">
        <v>23</v>
      </c>
      <c r="GFA3" s="420"/>
      <c r="GFB3" s="420"/>
      <c r="GFC3" s="420"/>
      <c r="GFD3" s="419" t="s">
        <v>23</v>
      </c>
      <c r="GFE3" s="420"/>
      <c r="GFF3" s="420"/>
      <c r="GFG3" s="420"/>
      <c r="GFH3" s="419" t="s">
        <v>23</v>
      </c>
      <c r="GFI3" s="420"/>
      <c r="GFJ3" s="420"/>
      <c r="GFK3" s="420"/>
      <c r="GFL3" s="419" t="s">
        <v>23</v>
      </c>
      <c r="GFM3" s="420"/>
      <c r="GFN3" s="420"/>
      <c r="GFO3" s="420"/>
      <c r="GFP3" s="419" t="s">
        <v>23</v>
      </c>
      <c r="GFQ3" s="420"/>
      <c r="GFR3" s="420"/>
      <c r="GFS3" s="420"/>
      <c r="GFT3" s="419" t="s">
        <v>23</v>
      </c>
      <c r="GFU3" s="420"/>
      <c r="GFV3" s="420"/>
      <c r="GFW3" s="420"/>
      <c r="GFX3" s="419" t="s">
        <v>23</v>
      </c>
      <c r="GFY3" s="420"/>
      <c r="GFZ3" s="420"/>
      <c r="GGA3" s="420"/>
      <c r="GGB3" s="419" t="s">
        <v>23</v>
      </c>
      <c r="GGC3" s="420"/>
      <c r="GGD3" s="420"/>
      <c r="GGE3" s="420"/>
      <c r="GGF3" s="419" t="s">
        <v>23</v>
      </c>
      <c r="GGG3" s="420"/>
      <c r="GGH3" s="420"/>
      <c r="GGI3" s="420"/>
      <c r="GGJ3" s="419" t="s">
        <v>23</v>
      </c>
      <c r="GGK3" s="420"/>
      <c r="GGL3" s="420"/>
      <c r="GGM3" s="420"/>
      <c r="GGN3" s="419" t="s">
        <v>23</v>
      </c>
      <c r="GGO3" s="420"/>
      <c r="GGP3" s="420"/>
      <c r="GGQ3" s="420"/>
      <c r="GGR3" s="419" t="s">
        <v>23</v>
      </c>
      <c r="GGS3" s="420"/>
      <c r="GGT3" s="420"/>
      <c r="GGU3" s="420"/>
      <c r="GGV3" s="419" t="s">
        <v>23</v>
      </c>
      <c r="GGW3" s="420"/>
      <c r="GGX3" s="420"/>
      <c r="GGY3" s="420"/>
      <c r="GGZ3" s="419" t="s">
        <v>23</v>
      </c>
      <c r="GHA3" s="420"/>
      <c r="GHB3" s="420"/>
      <c r="GHC3" s="420"/>
      <c r="GHD3" s="419" t="s">
        <v>23</v>
      </c>
      <c r="GHE3" s="420"/>
      <c r="GHF3" s="420"/>
      <c r="GHG3" s="420"/>
      <c r="GHH3" s="419" t="s">
        <v>23</v>
      </c>
      <c r="GHI3" s="420"/>
      <c r="GHJ3" s="420"/>
      <c r="GHK3" s="420"/>
      <c r="GHL3" s="419" t="s">
        <v>23</v>
      </c>
      <c r="GHM3" s="420"/>
      <c r="GHN3" s="420"/>
      <c r="GHO3" s="420"/>
      <c r="GHP3" s="419" t="s">
        <v>23</v>
      </c>
      <c r="GHQ3" s="420"/>
      <c r="GHR3" s="420"/>
      <c r="GHS3" s="420"/>
      <c r="GHT3" s="419" t="s">
        <v>23</v>
      </c>
      <c r="GHU3" s="420"/>
      <c r="GHV3" s="420"/>
      <c r="GHW3" s="420"/>
      <c r="GHX3" s="419" t="s">
        <v>23</v>
      </c>
      <c r="GHY3" s="420"/>
      <c r="GHZ3" s="420"/>
      <c r="GIA3" s="420"/>
      <c r="GIB3" s="419" t="s">
        <v>23</v>
      </c>
      <c r="GIC3" s="420"/>
      <c r="GID3" s="420"/>
      <c r="GIE3" s="420"/>
      <c r="GIF3" s="419" t="s">
        <v>23</v>
      </c>
      <c r="GIG3" s="420"/>
      <c r="GIH3" s="420"/>
      <c r="GII3" s="420"/>
      <c r="GIJ3" s="419" t="s">
        <v>23</v>
      </c>
      <c r="GIK3" s="420"/>
      <c r="GIL3" s="420"/>
      <c r="GIM3" s="420"/>
      <c r="GIN3" s="419" t="s">
        <v>23</v>
      </c>
      <c r="GIO3" s="420"/>
      <c r="GIP3" s="420"/>
      <c r="GIQ3" s="420"/>
      <c r="GIR3" s="419" t="s">
        <v>23</v>
      </c>
      <c r="GIS3" s="420"/>
      <c r="GIT3" s="420"/>
      <c r="GIU3" s="420"/>
      <c r="GIV3" s="419" t="s">
        <v>23</v>
      </c>
      <c r="GIW3" s="420"/>
      <c r="GIX3" s="420"/>
      <c r="GIY3" s="420"/>
      <c r="GIZ3" s="419" t="s">
        <v>23</v>
      </c>
      <c r="GJA3" s="420"/>
      <c r="GJB3" s="420"/>
      <c r="GJC3" s="420"/>
      <c r="GJD3" s="419" t="s">
        <v>23</v>
      </c>
      <c r="GJE3" s="420"/>
      <c r="GJF3" s="420"/>
      <c r="GJG3" s="420"/>
      <c r="GJH3" s="419" t="s">
        <v>23</v>
      </c>
      <c r="GJI3" s="420"/>
      <c r="GJJ3" s="420"/>
      <c r="GJK3" s="420"/>
      <c r="GJL3" s="419" t="s">
        <v>23</v>
      </c>
      <c r="GJM3" s="420"/>
      <c r="GJN3" s="420"/>
      <c r="GJO3" s="420"/>
      <c r="GJP3" s="419" t="s">
        <v>23</v>
      </c>
      <c r="GJQ3" s="420"/>
      <c r="GJR3" s="420"/>
      <c r="GJS3" s="420"/>
      <c r="GJT3" s="419" t="s">
        <v>23</v>
      </c>
      <c r="GJU3" s="420"/>
      <c r="GJV3" s="420"/>
      <c r="GJW3" s="420"/>
      <c r="GJX3" s="419" t="s">
        <v>23</v>
      </c>
      <c r="GJY3" s="420"/>
      <c r="GJZ3" s="420"/>
      <c r="GKA3" s="420"/>
      <c r="GKB3" s="419" t="s">
        <v>23</v>
      </c>
      <c r="GKC3" s="420"/>
      <c r="GKD3" s="420"/>
      <c r="GKE3" s="420"/>
      <c r="GKF3" s="419" t="s">
        <v>23</v>
      </c>
      <c r="GKG3" s="420"/>
      <c r="GKH3" s="420"/>
      <c r="GKI3" s="420"/>
      <c r="GKJ3" s="419" t="s">
        <v>23</v>
      </c>
      <c r="GKK3" s="420"/>
      <c r="GKL3" s="420"/>
      <c r="GKM3" s="420"/>
      <c r="GKN3" s="419" t="s">
        <v>23</v>
      </c>
      <c r="GKO3" s="420"/>
      <c r="GKP3" s="420"/>
      <c r="GKQ3" s="420"/>
      <c r="GKR3" s="419" t="s">
        <v>23</v>
      </c>
      <c r="GKS3" s="420"/>
      <c r="GKT3" s="420"/>
      <c r="GKU3" s="420"/>
      <c r="GKV3" s="419" t="s">
        <v>23</v>
      </c>
      <c r="GKW3" s="420"/>
      <c r="GKX3" s="420"/>
      <c r="GKY3" s="420"/>
      <c r="GKZ3" s="419" t="s">
        <v>23</v>
      </c>
      <c r="GLA3" s="420"/>
      <c r="GLB3" s="420"/>
      <c r="GLC3" s="420"/>
      <c r="GLD3" s="419" t="s">
        <v>23</v>
      </c>
      <c r="GLE3" s="420"/>
      <c r="GLF3" s="420"/>
      <c r="GLG3" s="420"/>
      <c r="GLH3" s="419" t="s">
        <v>23</v>
      </c>
      <c r="GLI3" s="420"/>
      <c r="GLJ3" s="420"/>
      <c r="GLK3" s="420"/>
      <c r="GLL3" s="419" t="s">
        <v>23</v>
      </c>
      <c r="GLM3" s="420"/>
      <c r="GLN3" s="420"/>
      <c r="GLO3" s="420"/>
      <c r="GLP3" s="419" t="s">
        <v>23</v>
      </c>
      <c r="GLQ3" s="420"/>
      <c r="GLR3" s="420"/>
      <c r="GLS3" s="420"/>
      <c r="GLT3" s="419" t="s">
        <v>23</v>
      </c>
      <c r="GLU3" s="420"/>
      <c r="GLV3" s="420"/>
      <c r="GLW3" s="420"/>
      <c r="GLX3" s="419" t="s">
        <v>23</v>
      </c>
      <c r="GLY3" s="420"/>
      <c r="GLZ3" s="420"/>
      <c r="GMA3" s="420"/>
      <c r="GMB3" s="419" t="s">
        <v>23</v>
      </c>
      <c r="GMC3" s="420"/>
      <c r="GMD3" s="420"/>
      <c r="GME3" s="420"/>
      <c r="GMF3" s="419" t="s">
        <v>23</v>
      </c>
      <c r="GMG3" s="420"/>
      <c r="GMH3" s="420"/>
      <c r="GMI3" s="420"/>
      <c r="GMJ3" s="419" t="s">
        <v>23</v>
      </c>
      <c r="GMK3" s="420"/>
      <c r="GML3" s="420"/>
      <c r="GMM3" s="420"/>
      <c r="GMN3" s="419" t="s">
        <v>23</v>
      </c>
      <c r="GMO3" s="420"/>
      <c r="GMP3" s="420"/>
      <c r="GMQ3" s="420"/>
      <c r="GMR3" s="419" t="s">
        <v>23</v>
      </c>
      <c r="GMS3" s="420"/>
      <c r="GMT3" s="420"/>
      <c r="GMU3" s="420"/>
      <c r="GMV3" s="419" t="s">
        <v>23</v>
      </c>
      <c r="GMW3" s="420"/>
      <c r="GMX3" s="420"/>
      <c r="GMY3" s="420"/>
      <c r="GMZ3" s="419" t="s">
        <v>23</v>
      </c>
      <c r="GNA3" s="420"/>
      <c r="GNB3" s="420"/>
      <c r="GNC3" s="420"/>
      <c r="GND3" s="419" t="s">
        <v>23</v>
      </c>
      <c r="GNE3" s="420"/>
      <c r="GNF3" s="420"/>
      <c r="GNG3" s="420"/>
      <c r="GNH3" s="419" t="s">
        <v>23</v>
      </c>
      <c r="GNI3" s="420"/>
      <c r="GNJ3" s="420"/>
      <c r="GNK3" s="420"/>
      <c r="GNL3" s="419" t="s">
        <v>23</v>
      </c>
      <c r="GNM3" s="420"/>
      <c r="GNN3" s="420"/>
      <c r="GNO3" s="420"/>
      <c r="GNP3" s="419" t="s">
        <v>23</v>
      </c>
      <c r="GNQ3" s="420"/>
      <c r="GNR3" s="420"/>
      <c r="GNS3" s="420"/>
      <c r="GNT3" s="419" t="s">
        <v>23</v>
      </c>
      <c r="GNU3" s="420"/>
      <c r="GNV3" s="420"/>
      <c r="GNW3" s="420"/>
      <c r="GNX3" s="419" t="s">
        <v>23</v>
      </c>
      <c r="GNY3" s="420"/>
      <c r="GNZ3" s="420"/>
      <c r="GOA3" s="420"/>
      <c r="GOB3" s="419" t="s">
        <v>23</v>
      </c>
      <c r="GOC3" s="420"/>
      <c r="GOD3" s="420"/>
      <c r="GOE3" s="420"/>
      <c r="GOF3" s="419" t="s">
        <v>23</v>
      </c>
      <c r="GOG3" s="420"/>
      <c r="GOH3" s="420"/>
      <c r="GOI3" s="420"/>
      <c r="GOJ3" s="419" t="s">
        <v>23</v>
      </c>
      <c r="GOK3" s="420"/>
      <c r="GOL3" s="420"/>
      <c r="GOM3" s="420"/>
      <c r="GON3" s="419" t="s">
        <v>23</v>
      </c>
      <c r="GOO3" s="420"/>
      <c r="GOP3" s="420"/>
      <c r="GOQ3" s="420"/>
      <c r="GOR3" s="419" t="s">
        <v>23</v>
      </c>
      <c r="GOS3" s="420"/>
      <c r="GOT3" s="420"/>
      <c r="GOU3" s="420"/>
      <c r="GOV3" s="419" t="s">
        <v>23</v>
      </c>
      <c r="GOW3" s="420"/>
      <c r="GOX3" s="420"/>
      <c r="GOY3" s="420"/>
      <c r="GOZ3" s="419" t="s">
        <v>23</v>
      </c>
      <c r="GPA3" s="420"/>
      <c r="GPB3" s="420"/>
      <c r="GPC3" s="420"/>
      <c r="GPD3" s="419" t="s">
        <v>23</v>
      </c>
      <c r="GPE3" s="420"/>
      <c r="GPF3" s="420"/>
      <c r="GPG3" s="420"/>
      <c r="GPH3" s="419" t="s">
        <v>23</v>
      </c>
      <c r="GPI3" s="420"/>
      <c r="GPJ3" s="420"/>
      <c r="GPK3" s="420"/>
      <c r="GPL3" s="419" t="s">
        <v>23</v>
      </c>
      <c r="GPM3" s="420"/>
      <c r="GPN3" s="420"/>
      <c r="GPO3" s="420"/>
      <c r="GPP3" s="419" t="s">
        <v>23</v>
      </c>
      <c r="GPQ3" s="420"/>
      <c r="GPR3" s="420"/>
      <c r="GPS3" s="420"/>
      <c r="GPT3" s="419" t="s">
        <v>23</v>
      </c>
      <c r="GPU3" s="420"/>
      <c r="GPV3" s="420"/>
      <c r="GPW3" s="420"/>
      <c r="GPX3" s="419" t="s">
        <v>23</v>
      </c>
      <c r="GPY3" s="420"/>
      <c r="GPZ3" s="420"/>
      <c r="GQA3" s="420"/>
      <c r="GQB3" s="419" t="s">
        <v>23</v>
      </c>
      <c r="GQC3" s="420"/>
      <c r="GQD3" s="420"/>
      <c r="GQE3" s="420"/>
      <c r="GQF3" s="419" t="s">
        <v>23</v>
      </c>
      <c r="GQG3" s="420"/>
      <c r="GQH3" s="420"/>
      <c r="GQI3" s="420"/>
      <c r="GQJ3" s="419" t="s">
        <v>23</v>
      </c>
      <c r="GQK3" s="420"/>
      <c r="GQL3" s="420"/>
      <c r="GQM3" s="420"/>
      <c r="GQN3" s="419" t="s">
        <v>23</v>
      </c>
      <c r="GQO3" s="420"/>
      <c r="GQP3" s="420"/>
      <c r="GQQ3" s="420"/>
      <c r="GQR3" s="419" t="s">
        <v>23</v>
      </c>
      <c r="GQS3" s="420"/>
      <c r="GQT3" s="420"/>
      <c r="GQU3" s="420"/>
      <c r="GQV3" s="419" t="s">
        <v>23</v>
      </c>
      <c r="GQW3" s="420"/>
      <c r="GQX3" s="420"/>
      <c r="GQY3" s="420"/>
      <c r="GQZ3" s="419" t="s">
        <v>23</v>
      </c>
      <c r="GRA3" s="420"/>
      <c r="GRB3" s="420"/>
      <c r="GRC3" s="420"/>
      <c r="GRD3" s="419" t="s">
        <v>23</v>
      </c>
      <c r="GRE3" s="420"/>
      <c r="GRF3" s="420"/>
      <c r="GRG3" s="420"/>
      <c r="GRH3" s="419" t="s">
        <v>23</v>
      </c>
      <c r="GRI3" s="420"/>
      <c r="GRJ3" s="420"/>
      <c r="GRK3" s="420"/>
      <c r="GRL3" s="419" t="s">
        <v>23</v>
      </c>
      <c r="GRM3" s="420"/>
      <c r="GRN3" s="420"/>
      <c r="GRO3" s="420"/>
      <c r="GRP3" s="419" t="s">
        <v>23</v>
      </c>
      <c r="GRQ3" s="420"/>
      <c r="GRR3" s="420"/>
      <c r="GRS3" s="420"/>
      <c r="GRT3" s="419" t="s">
        <v>23</v>
      </c>
      <c r="GRU3" s="420"/>
      <c r="GRV3" s="420"/>
      <c r="GRW3" s="420"/>
      <c r="GRX3" s="419" t="s">
        <v>23</v>
      </c>
      <c r="GRY3" s="420"/>
      <c r="GRZ3" s="420"/>
      <c r="GSA3" s="420"/>
      <c r="GSB3" s="419" t="s">
        <v>23</v>
      </c>
      <c r="GSC3" s="420"/>
      <c r="GSD3" s="420"/>
      <c r="GSE3" s="420"/>
      <c r="GSF3" s="419" t="s">
        <v>23</v>
      </c>
      <c r="GSG3" s="420"/>
      <c r="GSH3" s="420"/>
      <c r="GSI3" s="420"/>
      <c r="GSJ3" s="419" t="s">
        <v>23</v>
      </c>
      <c r="GSK3" s="420"/>
      <c r="GSL3" s="420"/>
      <c r="GSM3" s="420"/>
      <c r="GSN3" s="419" t="s">
        <v>23</v>
      </c>
      <c r="GSO3" s="420"/>
      <c r="GSP3" s="420"/>
      <c r="GSQ3" s="420"/>
      <c r="GSR3" s="419" t="s">
        <v>23</v>
      </c>
      <c r="GSS3" s="420"/>
      <c r="GST3" s="420"/>
      <c r="GSU3" s="420"/>
      <c r="GSV3" s="419" t="s">
        <v>23</v>
      </c>
      <c r="GSW3" s="420"/>
      <c r="GSX3" s="420"/>
      <c r="GSY3" s="420"/>
      <c r="GSZ3" s="419" t="s">
        <v>23</v>
      </c>
      <c r="GTA3" s="420"/>
      <c r="GTB3" s="420"/>
      <c r="GTC3" s="420"/>
      <c r="GTD3" s="419" t="s">
        <v>23</v>
      </c>
      <c r="GTE3" s="420"/>
      <c r="GTF3" s="420"/>
      <c r="GTG3" s="420"/>
      <c r="GTH3" s="419" t="s">
        <v>23</v>
      </c>
      <c r="GTI3" s="420"/>
      <c r="GTJ3" s="420"/>
      <c r="GTK3" s="420"/>
      <c r="GTL3" s="419" t="s">
        <v>23</v>
      </c>
      <c r="GTM3" s="420"/>
      <c r="GTN3" s="420"/>
      <c r="GTO3" s="420"/>
      <c r="GTP3" s="419" t="s">
        <v>23</v>
      </c>
      <c r="GTQ3" s="420"/>
      <c r="GTR3" s="420"/>
      <c r="GTS3" s="420"/>
      <c r="GTT3" s="419" t="s">
        <v>23</v>
      </c>
      <c r="GTU3" s="420"/>
      <c r="GTV3" s="420"/>
      <c r="GTW3" s="420"/>
      <c r="GTX3" s="419" t="s">
        <v>23</v>
      </c>
      <c r="GTY3" s="420"/>
      <c r="GTZ3" s="420"/>
      <c r="GUA3" s="420"/>
      <c r="GUB3" s="419" t="s">
        <v>23</v>
      </c>
      <c r="GUC3" s="420"/>
      <c r="GUD3" s="420"/>
      <c r="GUE3" s="420"/>
      <c r="GUF3" s="419" t="s">
        <v>23</v>
      </c>
      <c r="GUG3" s="420"/>
      <c r="GUH3" s="420"/>
      <c r="GUI3" s="420"/>
      <c r="GUJ3" s="419" t="s">
        <v>23</v>
      </c>
      <c r="GUK3" s="420"/>
      <c r="GUL3" s="420"/>
      <c r="GUM3" s="420"/>
      <c r="GUN3" s="419" t="s">
        <v>23</v>
      </c>
      <c r="GUO3" s="420"/>
      <c r="GUP3" s="420"/>
      <c r="GUQ3" s="420"/>
      <c r="GUR3" s="419" t="s">
        <v>23</v>
      </c>
      <c r="GUS3" s="420"/>
      <c r="GUT3" s="420"/>
      <c r="GUU3" s="420"/>
      <c r="GUV3" s="419" t="s">
        <v>23</v>
      </c>
      <c r="GUW3" s="420"/>
      <c r="GUX3" s="420"/>
      <c r="GUY3" s="420"/>
      <c r="GUZ3" s="419" t="s">
        <v>23</v>
      </c>
      <c r="GVA3" s="420"/>
      <c r="GVB3" s="420"/>
      <c r="GVC3" s="420"/>
      <c r="GVD3" s="419" t="s">
        <v>23</v>
      </c>
      <c r="GVE3" s="420"/>
      <c r="GVF3" s="420"/>
      <c r="GVG3" s="420"/>
      <c r="GVH3" s="419" t="s">
        <v>23</v>
      </c>
      <c r="GVI3" s="420"/>
      <c r="GVJ3" s="420"/>
      <c r="GVK3" s="420"/>
      <c r="GVL3" s="419" t="s">
        <v>23</v>
      </c>
      <c r="GVM3" s="420"/>
      <c r="GVN3" s="420"/>
      <c r="GVO3" s="420"/>
      <c r="GVP3" s="419" t="s">
        <v>23</v>
      </c>
      <c r="GVQ3" s="420"/>
      <c r="GVR3" s="420"/>
      <c r="GVS3" s="420"/>
      <c r="GVT3" s="419" t="s">
        <v>23</v>
      </c>
      <c r="GVU3" s="420"/>
      <c r="GVV3" s="420"/>
      <c r="GVW3" s="420"/>
      <c r="GVX3" s="419" t="s">
        <v>23</v>
      </c>
      <c r="GVY3" s="420"/>
      <c r="GVZ3" s="420"/>
      <c r="GWA3" s="420"/>
      <c r="GWB3" s="419" t="s">
        <v>23</v>
      </c>
      <c r="GWC3" s="420"/>
      <c r="GWD3" s="420"/>
      <c r="GWE3" s="420"/>
      <c r="GWF3" s="419" t="s">
        <v>23</v>
      </c>
      <c r="GWG3" s="420"/>
      <c r="GWH3" s="420"/>
      <c r="GWI3" s="420"/>
      <c r="GWJ3" s="419" t="s">
        <v>23</v>
      </c>
      <c r="GWK3" s="420"/>
      <c r="GWL3" s="420"/>
      <c r="GWM3" s="420"/>
      <c r="GWN3" s="419" t="s">
        <v>23</v>
      </c>
      <c r="GWO3" s="420"/>
      <c r="GWP3" s="420"/>
      <c r="GWQ3" s="420"/>
      <c r="GWR3" s="419" t="s">
        <v>23</v>
      </c>
      <c r="GWS3" s="420"/>
      <c r="GWT3" s="420"/>
      <c r="GWU3" s="420"/>
      <c r="GWV3" s="419" t="s">
        <v>23</v>
      </c>
      <c r="GWW3" s="420"/>
      <c r="GWX3" s="420"/>
      <c r="GWY3" s="420"/>
      <c r="GWZ3" s="419" t="s">
        <v>23</v>
      </c>
      <c r="GXA3" s="420"/>
      <c r="GXB3" s="420"/>
      <c r="GXC3" s="420"/>
      <c r="GXD3" s="419" t="s">
        <v>23</v>
      </c>
      <c r="GXE3" s="420"/>
      <c r="GXF3" s="420"/>
      <c r="GXG3" s="420"/>
      <c r="GXH3" s="419" t="s">
        <v>23</v>
      </c>
      <c r="GXI3" s="420"/>
      <c r="GXJ3" s="420"/>
      <c r="GXK3" s="420"/>
      <c r="GXL3" s="419" t="s">
        <v>23</v>
      </c>
      <c r="GXM3" s="420"/>
      <c r="GXN3" s="420"/>
      <c r="GXO3" s="420"/>
      <c r="GXP3" s="419" t="s">
        <v>23</v>
      </c>
      <c r="GXQ3" s="420"/>
      <c r="GXR3" s="420"/>
      <c r="GXS3" s="420"/>
      <c r="GXT3" s="419" t="s">
        <v>23</v>
      </c>
      <c r="GXU3" s="420"/>
      <c r="GXV3" s="420"/>
      <c r="GXW3" s="420"/>
      <c r="GXX3" s="419" t="s">
        <v>23</v>
      </c>
      <c r="GXY3" s="420"/>
      <c r="GXZ3" s="420"/>
      <c r="GYA3" s="420"/>
      <c r="GYB3" s="419" t="s">
        <v>23</v>
      </c>
      <c r="GYC3" s="420"/>
      <c r="GYD3" s="420"/>
      <c r="GYE3" s="420"/>
      <c r="GYF3" s="419" t="s">
        <v>23</v>
      </c>
      <c r="GYG3" s="420"/>
      <c r="GYH3" s="420"/>
      <c r="GYI3" s="420"/>
      <c r="GYJ3" s="419" t="s">
        <v>23</v>
      </c>
      <c r="GYK3" s="420"/>
      <c r="GYL3" s="420"/>
      <c r="GYM3" s="420"/>
      <c r="GYN3" s="419" t="s">
        <v>23</v>
      </c>
      <c r="GYO3" s="420"/>
      <c r="GYP3" s="420"/>
      <c r="GYQ3" s="420"/>
      <c r="GYR3" s="419" t="s">
        <v>23</v>
      </c>
      <c r="GYS3" s="420"/>
      <c r="GYT3" s="420"/>
      <c r="GYU3" s="420"/>
      <c r="GYV3" s="419" t="s">
        <v>23</v>
      </c>
      <c r="GYW3" s="420"/>
      <c r="GYX3" s="420"/>
      <c r="GYY3" s="420"/>
      <c r="GYZ3" s="419" t="s">
        <v>23</v>
      </c>
      <c r="GZA3" s="420"/>
      <c r="GZB3" s="420"/>
      <c r="GZC3" s="420"/>
      <c r="GZD3" s="419" t="s">
        <v>23</v>
      </c>
      <c r="GZE3" s="420"/>
      <c r="GZF3" s="420"/>
      <c r="GZG3" s="420"/>
      <c r="GZH3" s="419" t="s">
        <v>23</v>
      </c>
      <c r="GZI3" s="420"/>
      <c r="GZJ3" s="420"/>
      <c r="GZK3" s="420"/>
      <c r="GZL3" s="419" t="s">
        <v>23</v>
      </c>
      <c r="GZM3" s="420"/>
      <c r="GZN3" s="420"/>
      <c r="GZO3" s="420"/>
      <c r="GZP3" s="419" t="s">
        <v>23</v>
      </c>
      <c r="GZQ3" s="420"/>
      <c r="GZR3" s="420"/>
      <c r="GZS3" s="420"/>
      <c r="GZT3" s="419" t="s">
        <v>23</v>
      </c>
      <c r="GZU3" s="420"/>
      <c r="GZV3" s="420"/>
      <c r="GZW3" s="420"/>
      <c r="GZX3" s="419" t="s">
        <v>23</v>
      </c>
      <c r="GZY3" s="420"/>
      <c r="GZZ3" s="420"/>
      <c r="HAA3" s="420"/>
      <c r="HAB3" s="419" t="s">
        <v>23</v>
      </c>
      <c r="HAC3" s="420"/>
      <c r="HAD3" s="420"/>
      <c r="HAE3" s="420"/>
      <c r="HAF3" s="419" t="s">
        <v>23</v>
      </c>
      <c r="HAG3" s="420"/>
      <c r="HAH3" s="420"/>
      <c r="HAI3" s="420"/>
      <c r="HAJ3" s="419" t="s">
        <v>23</v>
      </c>
      <c r="HAK3" s="420"/>
      <c r="HAL3" s="420"/>
      <c r="HAM3" s="420"/>
      <c r="HAN3" s="419" t="s">
        <v>23</v>
      </c>
      <c r="HAO3" s="420"/>
      <c r="HAP3" s="420"/>
      <c r="HAQ3" s="420"/>
      <c r="HAR3" s="419" t="s">
        <v>23</v>
      </c>
      <c r="HAS3" s="420"/>
      <c r="HAT3" s="420"/>
      <c r="HAU3" s="420"/>
      <c r="HAV3" s="419" t="s">
        <v>23</v>
      </c>
      <c r="HAW3" s="420"/>
      <c r="HAX3" s="420"/>
      <c r="HAY3" s="420"/>
      <c r="HAZ3" s="419" t="s">
        <v>23</v>
      </c>
      <c r="HBA3" s="420"/>
      <c r="HBB3" s="420"/>
      <c r="HBC3" s="420"/>
      <c r="HBD3" s="419" t="s">
        <v>23</v>
      </c>
      <c r="HBE3" s="420"/>
      <c r="HBF3" s="420"/>
      <c r="HBG3" s="420"/>
      <c r="HBH3" s="419" t="s">
        <v>23</v>
      </c>
      <c r="HBI3" s="420"/>
      <c r="HBJ3" s="420"/>
      <c r="HBK3" s="420"/>
      <c r="HBL3" s="419" t="s">
        <v>23</v>
      </c>
      <c r="HBM3" s="420"/>
      <c r="HBN3" s="420"/>
      <c r="HBO3" s="420"/>
      <c r="HBP3" s="419" t="s">
        <v>23</v>
      </c>
      <c r="HBQ3" s="420"/>
      <c r="HBR3" s="420"/>
      <c r="HBS3" s="420"/>
      <c r="HBT3" s="419" t="s">
        <v>23</v>
      </c>
      <c r="HBU3" s="420"/>
      <c r="HBV3" s="420"/>
      <c r="HBW3" s="420"/>
      <c r="HBX3" s="419" t="s">
        <v>23</v>
      </c>
      <c r="HBY3" s="420"/>
      <c r="HBZ3" s="420"/>
      <c r="HCA3" s="420"/>
      <c r="HCB3" s="419" t="s">
        <v>23</v>
      </c>
      <c r="HCC3" s="420"/>
      <c r="HCD3" s="420"/>
      <c r="HCE3" s="420"/>
      <c r="HCF3" s="419" t="s">
        <v>23</v>
      </c>
      <c r="HCG3" s="420"/>
      <c r="HCH3" s="420"/>
      <c r="HCI3" s="420"/>
      <c r="HCJ3" s="419" t="s">
        <v>23</v>
      </c>
      <c r="HCK3" s="420"/>
      <c r="HCL3" s="420"/>
      <c r="HCM3" s="420"/>
      <c r="HCN3" s="419" t="s">
        <v>23</v>
      </c>
      <c r="HCO3" s="420"/>
      <c r="HCP3" s="420"/>
      <c r="HCQ3" s="420"/>
      <c r="HCR3" s="419" t="s">
        <v>23</v>
      </c>
      <c r="HCS3" s="420"/>
      <c r="HCT3" s="420"/>
      <c r="HCU3" s="420"/>
      <c r="HCV3" s="419" t="s">
        <v>23</v>
      </c>
      <c r="HCW3" s="420"/>
      <c r="HCX3" s="420"/>
      <c r="HCY3" s="420"/>
      <c r="HCZ3" s="419" t="s">
        <v>23</v>
      </c>
      <c r="HDA3" s="420"/>
      <c r="HDB3" s="420"/>
      <c r="HDC3" s="420"/>
      <c r="HDD3" s="419" t="s">
        <v>23</v>
      </c>
      <c r="HDE3" s="420"/>
      <c r="HDF3" s="420"/>
      <c r="HDG3" s="420"/>
      <c r="HDH3" s="419" t="s">
        <v>23</v>
      </c>
      <c r="HDI3" s="420"/>
      <c r="HDJ3" s="420"/>
      <c r="HDK3" s="420"/>
      <c r="HDL3" s="419" t="s">
        <v>23</v>
      </c>
      <c r="HDM3" s="420"/>
      <c r="HDN3" s="420"/>
      <c r="HDO3" s="420"/>
      <c r="HDP3" s="419" t="s">
        <v>23</v>
      </c>
      <c r="HDQ3" s="420"/>
      <c r="HDR3" s="420"/>
      <c r="HDS3" s="420"/>
      <c r="HDT3" s="419" t="s">
        <v>23</v>
      </c>
      <c r="HDU3" s="420"/>
      <c r="HDV3" s="420"/>
      <c r="HDW3" s="420"/>
      <c r="HDX3" s="419" t="s">
        <v>23</v>
      </c>
      <c r="HDY3" s="420"/>
      <c r="HDZ3" s="420"/>
      <c r="HEA3" s="420"/>
      <c r="HEB3" s="419" t="s">
        <v>23</v>
      </c>
      <c r="HEC3" s="420"/>
      <c r="HED3" s="420"/>
      <c r="HEE3" s="420"/>
      <c r="HEF3" s="419" t="s">
        <v>23</v>
      </c>
      <c r="HEG3" s="420"/>
      <c r="HEH3" s="420"/>
      <c r="HEI3" s="420"/>
      <c r="HEJ3" s="419" t="s">
        <v>23</v>
      </c>
      <c r="HEK3" s="420"/>
      <c r="HEL3" s="420"/>
      <c r="HEM3" s="420"/>
      <c r="HEN3" s="419" t="s">
        <v>23</v>
      </c>
      <c r="HEO3" s="420"/>
      <c r="HEP3" s="420"/>
      <c r="HEQ3" s="420"/>
      <c r="HER3" s="419" t="s">
        <v>23</v>
      </c>
      <c r="HES3" s="420"/>
      <c r="HET3" s="420"/>
      <c r="HEU3" s="420"/>
      <c r="HEV3" s="419" t="s">
        <v>23</v>
      </c>
      <c r="HEW3" s="420"/>
      <c r="HEX3" s="420"/>
      <c r="HEY3" s="420"/>
      <c r="HEZ3" s="419" t="s">
        <v>23</v>
      </c>
      <c r="HFA3" s="420"/>
      <c r="HFB3" s="420"/>
      <c r="HFC3" s="420"/>
      <c r="HFD3" s="419" t="s">
        <v>23</v>
      </c>
      <c r="HFE3" s="420"/>
      <c r="HFF3" s="420"/>
      <c r="HFG3" s="420"/>
      <c r="HFH3" s="419" t="s">
        <v>23</v>
      </c>
      <c r="HFI3" s="420"/>
      <c r="HFJ3" s="420"/>
      <c r="HFK3" s="420"/>
      <c r="HFL3" s="419" t="s">
        <v>23</v>
      </c>
      <c r="HFM3" s="420"/>
      <c r="HFN3" s="420"/>
      <c r="HFO3" s="420"/>
      <c r="HFP3" s="419" t="s">
        <v>23</v>
      </c>
      <c r="HFQ3" s="420"/>
      <c r="HFR3" s="420"/>
      <c r="HFS3" s="420"/>
      <c r="HFT3" s="419" t="s">
        <v>23</v>
      </c>
      <c r="HFU3" s="420"/>
      <c r="HFV3" s="420"/>
      <c r="HFW3" s="420"/>
      <c r="HFX3" s="419" t="s">
        <v>23</v>
      </c>
      <c r="HFY3" s="420"/>
      <c r="HFZ3" s="420"/>
      <c r="HGA3" s="420"/>
      <c r="HGB3" s="419" t="s">
        <v>23</v>
      </c>
      <c r="HGC3" s="420"/>
      <c r="HGD3" s="420"/>
      <c r="HGE3" s="420"/>
      <c r="HGF3" s="419" t="s">
        <v>23</v>
      </c>
      <c r="HGG3" s="420"/>
      <c r="HGH3" s="420"/>
      <c r="HGI3" s="420"/>
      <c r="HGJ3" s="419" t="s">
        <v>23</v>
      </c>
      <c r="HGK3" s="420"/>
      <c r="HGL3" s="420"/>
      <c r="HGM3" s="420"/>
      <c r="HGN3" s="419" t="s">
        <v>23</v>
      </c>
      <c r="HGO3" s="420"/>
      <c r="HGP3" s="420"/>
      <c r="HGQ3" s="420"/>
      <c r="HGR3" s="419" t="s">
        <v>23</v>
      </c>
      <c r="HGS3" s="420"/>
      <c r="HGT3" s="420"/>
      <c r="HGU3" s="420"/>
      <c r="HGV3" s="419" t="s">
        <v>23</v>
      </c>
      <c r="HGW3" s="420"/>
      <c r="HGX3" s="420"/>
      <c r="HGY3" s="420"/>
      <c r="HGZ3" s="419" t="s">
        <v>23</v>
      </c>
      <c r="HHA3" s="420"/>
      <c r="HHB3" s="420"/>
      <c r="HHC3" s="420"/>
      <c r="HHD3" s="419" t="s">
        <v>23</v>
      </c>
      <c r="HHE3" s="420"/>
      <c r="HHF3" s="420"/>
      <c r="HHG3" s="420"/>
      <c r="HHH3" s="419" t="s">
        <v>23</v>
      </c>
      <c r="HHI3" s="420"/>
      <c r="HHJ3" s="420"/>
      <c r="HHK3" s="420"/>
      <c r="HHL3" s="419" t="s">
        <v>23</v>
      </c>
      <c r="HHM3" s="420"/>
      <c r="HHN3" s="420"/>
      <c r="HHO3" s="420"/>
      <c r="HHP3" s="419" t="s">
        <v>23</v>
      </c>
      <c r="HHQ3" s="420"/>
      <c r="HHR3" s="420"/>
      <c r="HHS3" s="420"/>
      <c r="HHT3" s="419" t="s">
        <v>23</v>
      </c>
      <c r="HHU3" s="420"/>
      <c r="HHV3" s="420"/>
      <c r="HHW3" s="420"/>
      <c r="HHX3" s="419" t="s">
        <v>23</v>
      </c>
      <c r="HHY3" s="420"/>
      <c r="HHZ3" s="420"/>
      <c r="HIA3" s="420"/>
      <c r="HIB3" s="419" t="s">
        <v>23</v>
      </c>
      <c r="HIC3" s="420"/>
      <c r="HID3" s="420"/>
      <c r="HIE3" s="420"/>
      <c r="HIF3" s="419" t="s">
        <v>23</v>
      </c>
      <c r="HIG3" s="420"/>
      <c r="HIH3" s="420"/>
      <c r="HII3" s="420"/>
      <c r="HIJ3" s="419" t="s">
        <v>23</v>
      </c>
      <c r="HIK3" s="420"/>
      <c r="HIL3" s="420"/>
      <c r="HIM3" s="420"/>
      <c r="HIN3" s="419" t="s">
        <v>23</v>
      </c>
      <c r="HIO3" s="420"/>
      <c r="HIP3" s="420"/>
      <c r="HIQ3" s="420"/>
      <c r="HIR3" s="419" t="s">
        <v>23</v>
      </c>
      <c r="HIS3" s="420"/>
      <c r="HIT3" s="420"/>
      <c r="HIU3" s="420"/>
      <c r="HIV3" s="419" t="s">
        <v>23</v>
      </c>
      <c r="HIW3" s="420"/>
      <c r="HIX3" s="420"/>
      <c r="HIY3" s="420"/>
      <c r="HIZ3" s="419" t="s">
        <v>23</v>
      </c>
      <c r="HJA3" s="420"/>
      <c r="HJB3" s="420"/>
      <c r="HJC3" s="420"/>
      <c r="HJD3" s="419" t="s">
        <v>23</v>
      </c>
      <c r="HJE3" s="420"/>
      <c r="HJF3" s="420"/>
      <c r="HJG3" s="420"/>
      <c r="HJH3" s="419" t="s">
        <v>23</v>
      </c>
      <c r="HJI3" s="420"/>
      <c r="HJJ3" s="420"/>
      <c r="HJK3" s="420"/>
      <c r="HJL3" s="419" t="s">
        <v>23</v>
      </c>
      <c r="HJM3" s="420"/>
      <c r="HJN3" s="420"/>
      <c r="HJO3" s="420"/>
      <c r="HJP3" s="419" t="s">
        <v>23</v>
      </c>
      <c r="HJQ3" s="420"/>
      <c r="HJR3" s="420"/>
      <c r="HJS3" s="420"/>
      <c r="HJT3" s="419" t="s">
        <v>23</v>
      </c>
      <c r="HJU3" s="420"/>
      <c r="HJV3" s="420"/>
      <c r="HJW3" s="420"/>
      <c r="HJX3" s="419" t="s">
        <v>23</v>
      </c>
      <c r="HJY3" s="420"/>
      <c r="HJZ3" s="420"/>
      <c r="HKA3" s="420"/>
      <c r="HKB3" s="419" t="s">
        <v>23</v>
      </c>
      <c r="HKC3" s="420"/>
      <c r="HKD3" s="420"/>
      <c r="HKE3" s="420"/>
      <c r="HKF3" s="419" t="s">
        <v>23</v>
      </c>
      <c r="HKG3" s="420"/>
      <c r="HKH3" s="420"/>
      <c r="HKI3" s="420"/>
      <c r="HKJ3" s="419" t="s">
        <v>23</v>
      </c>
      <c r="HKK3" s="420"/>
      <c r="HKL3" s="420"/>
      <c r="HKM3" s="420"/>
      <c r="HKN3" s="419" t="s">
        <v>23</v>
      </c>
      <c r="HKO3" s="420"/>
      <c r="HKP3" s="420"/>
      <c r="HKQ3" s="420"/>
      <c r="HKR3" s="419" t="s">
        <v>23</v>
      </c>
      <c r="HKS3" s="420"/>
      <c r="HKT3" s="420"/>
      <c r="HKU3" s="420"/>
      <c r="HKV3" s="419" t="s">
        <v>23</v>
      </c>
      <c r="HKW3" s="420"/>
      <c r="HKX3" s="420"/>
      <c r="HKY3" s="420"/>
      <c r="HKZ3" s="419" t="s">
        <v>23</v>
      </c>
      <c r="HLA3" s="420"/>
      <c r="HLB3" s="420"/>
      <c r="HLC3" s="420"/>
      <c r="HLD3" s="419" t="s">
        <v>23</v>
      </c>
      <c r="HLE3" s="420"/>
      <c r="HLF3" s="420"/>
      <c r="HLG3" s="420"/>
      <c r="HLH3" s="419" t="s">
        <v>23</v>
      </c>
      <c r="HLI3" s="420"/>
      <c r="HLJ3" s="420"/>
      <c r="HLK3" s="420"/>
      <c r="HLL3" s="419" t="s">
        <v>23</v>
      </c>
      <c r="HLM3" s="420"/>
      <c r="HLN3" s="420"/>
      <c r="HLO3" s="420"/>
      <c r="HLP3" s="419" t="s">
        <v>23</v>
      </c>
      <c r="HLQ3" s="420"/>
      <c r="HLR3" s="420"/>
      <c r="HLS3" s="420"/>
      <c r="HLT3" s="419" t="s">
        <v>23</v>
      </c>
      <c r="HLU3" s="420"/>
      <c r="HLV3" s="420"/>
      <c r="HLW3" s="420"/>
      <c r="HLX3" s="419" t="s">
        <v>23</v>
      </c>
      <c r="HLY3" s="420"/>
      <c r="HLZ3" s="420"/>
      <c r="HMA3" s="420"/>
      <c r="HMB3" s="419" t="s">
        <v>23</v>
      </c>
      <c r="HMC3" s="420"/>
      <c r="HMD3" s="420"/>
      <c r="HME3" s="420"/>
      <c r="HMF3" s="419" t="s">
        <v>23</v>
      </c>
      <c r="HMG3" s="420"/>
      <c r="HMH3" s="420"/>
      <c r="HMI3" s="420"/>
      <c r="HMJ3" s="419" t="s">
        <v>23</v>
      </c>
      <c r="HMK3" s="420"/>
      <c r="HML3" s="420"/>
      <c r="HMM3" s="420"/>
      <c r="HMN3" s="419" t="s">
        <v>23</v>
      </c>
      <c r="HMO3" s="420"/>
      <c r="HMP3" s="420"/>
      <c r="HMQ3" s="420"/>
      <c r="HMR3" s="419" t="s">
        <v>23</v>
      </c>
      <c r="HMS3" s="420"/>
      <c r="HMT3" s="420"/>
      <c r="HMU3" s="420"/>
      <c r="HMV3" s="419" t="s">
        <v>23</v>
      </c>
      <c r="HMW3" s="420"/>
      <c r="HMX3" s="420"/>
      <c r="HMY3" s="420"/>
      <c r="HMZ3" s="419" t="s">
        <v>23</v>
      </c>
      <c r="HNA3" s="420"/>
      <c r="HNB3" s="420"/>
      <c r="HNC3" s="420"/>
      <c r="HND3" s="419" t="s">
        <v>23</v>
      </c>
      <c r="HNE3" s="420"/>
      <c r="HNF3" s="420"/>
      <c r="HNG3" s="420"/>
      <c r="HNH3" s="419" t="s">
        <v>23</v>
      </c>
      <c r="HNI3" s="420"/>
      <c r="HNJ3" s="420"/>
      <c r="HNK3" s="420"/>
      <c r="HNL3" s="419" t="s">
        <v>23</v>
      </c>
      <c r="HNM3" s="420"/>
      <c r="HNN3" s="420"/>
      <c r="HNO3" s="420"/>
      <c r="HNP3" s="419" t="s">
        <v>23</v>
      </c>
      <c r="HNQ3" s="420"/>
      <c r="HNR3" s="420"/>
      <c r="HNS3" s="420"/>
      <c r="HNT3" s="419" t="s">
        <v>23</v>
      </c>
      <c r="HNU3" s="420"/>
      <c r="HNV3" s="420"/>
      <c r="HNW3" s="420"/>
      <c r="HNX3" s="419" t="s">
        <v>23</v>
      </c>
      <c r="HNY3" s="420"/>
      <c r="HNZ3" s="420"/>
      <c r="HOA3" s="420"/>
      <c r="HOB3" s="419" t="s">
        <v>23</v>
      </c>
      <c r="HOC3" s="420"/>
      <c r="HOD3" s="420"/>
      <c r="HOE3" s="420"/>
      <c r="HOF3" s="419" t="s">
        <v>23</v>
      </c>
      <c r="HOG3" s="420"/>
      <c r="HOH3" s="420"/>
      <c r="HOI3" s="420"/>
      <c r="HOJ3" s="419" t="s">
        <v>23</v>
      </c>
      <c r="HOK3" s="420"/>
      <c r="HOL3" s="420"/>
      <c r="HOM3" s="420"/>
      <c r="HON3" s="419" t="s">
        <v>23</v>
      </c>
      <c r="HOO3" s="420"/>
      <c r="HOP3" s="420"/>
      <c r="HOQ3" s="420"/>
      <c r="HOR3" s="419" t="s">
        <v>23</v>
      </c>
      <c r="HOS3" s="420"/>
      <c r="HOT3" s="420"/>
      <c r="HOU3" s="420"/>
      <c r="HOV3" s="419" t="s">
        <v>23</v>
      </c>
      <c r="HOW3" s="420"/>
      <c r="HOX3" s="420"/>
      <c r="HOY3" s="420"/>
      <c r="HOZ3" s="419" t="s">
        <v>23</v>
      </c>
      <c r="HPA3" s="420"/>
      <c r="HPB3" s="420"/>
      <c r="HPC3" s="420"/>
      <c r="HPD3" s="419" t="s">
        <v>23</v>
      </c>
      <c r="HPE3" s="420"/>
      <c r="HPF3" s="420"/>
      <c r="HPG3" s="420"/>
      <c r="HPH3" s="419" t="s">
        <v>23</v>
      </c>
      <c r="HPI3" s="420"/>
      <c r="HPJ3" s="420"/>
      <c r="HPK3" s="420"/>
      <c r="HPL3" s="419" t="s">
        <v>23</v>
      </c>
      <c r="HPM3" s="420"/>
      <c r="HPN3" s="420"/>
      <c r="HPO3" s="420"/>
      <c r="HPP3" s="419" t="s">
        <v>23</v>
      </c>
      <c r="HPQ3" s="420"/>
      <c r="HPR3" s="420"/>
      <c r="HPS3" s="420"/>
      <c r="HPT3" s="419" t="s">
        <v>23</v>
      </c>
      <c r="HPU3" s="420"/>
      <c r="HPV3" s="420"/>
      <c r="HPW3" s="420"/>
      <c r="HPX3" s="419" t="s">
        <v>23</v>
      </c>
      <c r="HPY3" s="420"/>
      <c r="HPZ3" s="420"/>
      <c r="HQA3" s="420"/>
      <c r="HQB3" s="419" t="s">
        <v>23</v>
      </c>
      <c r="HQC3" s="420"/>
      <c r="HQD3" s="420"/>
      <c r="HQE3" s="420"/>
      <c r="HQF3" s="419" t="s">
        <v>23</v>
      </c>
      <c r="HQG3" s="420"/>
      <c r="HQH3" s="420"/>
      <c r="HQI3" s="420"/>
      <c r="HQJ3" s="419" t="s">
        <v>23</v>
      </c>
      <c r="HQK3" s="420"/>
      <c r="HQL3" s="420"/>
      <c r="HQM3" s="420"/>
      <c r="HQN3" s="419" t="s">
        <v>23</v>
      </c>
      <c r="HQO3" s="420"/>
      <c r="HQP3" s="420"/>
      <c r="HQQ3" s="420"/>
      <c r="HQR3" s="419" t="s">
        <v>23</v>
      </c>
      <c r="HQS3" s="420"/>
      <c r="HQT3" s="420"/>
      <c r="HQU3" s="420"/>
      <c r="HQV3" s="419" t="s">
        <v>23</v>
      </c>
      <c r="HQW3" s="420"/>
      <c r="HQX3" s="420"/>
      <c r="HQY3" s="420"/>
      <c r="HQZ3" s="419" t="s">
        <v>23</v>
      </c>
      <c r="HRA3" s="420"/>
      <c r="HRB3" s="420"/>
      <c r="HRC3" s="420"/>
      <c r="HRD3" s="419" t="s">
        <v>23</v>
      </c>
      <c r="HRE3" s="420"/>
      <c r="HRF3" s="420"/>
      <c r="HRG3" s="420"/>
      <c r="HRH3" s="419" t="s">
        <v>23</v>
      </c>
      <c r="HRI3" s="420"/>
      <c r="HRJ3" s="420"/>
      <c r="HRK3" s="420"/>
      <c r="HRL3" s="419" t="s">
        <v>23</v>
      </c>
      <c r="HRM3" s="420"/>
      <c r="HRN3" s="420"/>
      <c r="HRO3" s="420"/>
      <c r="HRP3" s="419" t="s">
        <v>23</v>
      </c>
      <c r="HRQ3" s="420"/>
      <c r="HRR3" s="420"/>
      <c r="HRS3" s="420"/>
      <c r="HRT3" s="419" t="s">
        <v>23</v>
      </c>
      <c r="HRU3" s="420"/>
      <c r="HRV3" s="420"/>
      <c r="HRW3" s="420"/>
      <c r="HRX3" s="419" t="s">
        <v>23</v>
      </c>
      <c r="HRY3" s="420"/>
      <c r="HRZ3" s="420"/>
      <c r="HSA3" s="420"/>
      <c r="HSB3" s="419" t="s">
        <v>23</v>
      </c>
      <c r="HSC3" s="420"/>
      <c r="HSD3" s="420"/>
      <c r="HSE3" s="420"/>
      <c r="HSF3" s="419" t="s">
        <v>23</v>
      </c>
      <c r="HSG3" s="420"/>
      <c r="HSH3" s="420"/>
      <c r="HSI3" s="420"/>
      <c r="HSJ3" s="419" t="s">
        <v>23</v>
      </c>
      <c r="HSK3" s="420"/>
      <c r="HSL3" s="420"/>
      <c r="HSM3" s="420"/>
      <c r="HSN3" s="419" t="s">
        <v>23</v>
      </c>
      <c r="HSO3" s="420"/>
      <c r="HSP3" s="420"/>
      <c r="HSQ3" s="420"/>
      <c r="HSR3" s="419" t="s">
        <v>23</v>
      </c>
      <c r="HSS3" s="420"/>
      <c r="HST3" s="420"/>
      <c r="HSU3" s="420"/>
      <c r="HSV3" s="419" t="s">
        <v>23</v>
      </c>
      <c r="HSW3" s="420"/>
      <c r="HSX3" s="420"/>
      <c r="HSY3" s="420"/>
      <c r="HSZ3" s="419" t="s">
        <v>23</v>
      </c>
      <c r="HTA3" s="420"/>
      <c r="HTB3" s="420"/>
      <c r="HTC3" s="420"/>
      <c r="HTD3" s="419" t="s">
        <v>23</v>
      </c>
      <c r="HTE3" s="420"/>
      <c r="HTF3" s="420"/>
      <c r="HTG3" s="420"/>
      <c r="HTH3" s="419" t="s">
        <v>23</v>
      </c>
      <c r="HTI3" s="420"/>
      <c r="HTJ3" s="420"/>
      <c r="HTK3" s="420"/>
      <c r="HTL3" s="419" t="s">
        <v>23</v>
      </c>
      <c r="HTM3" s="420"/>
      <c r="HTN3" s="420"/>
      <c r="HTO3" s="420"/>
      <c r="HTP3" s="419" t="s">
        <v>23</v>
      </c>
      <c r="HTQ3" s="420"/>
      <c r="HTR3" s="420"/>
      <c r="HTS3" s="420"/>
      <c r="HTT3" s="419" t="s">
        <v>23</v>
      </c>
      <c r="HTU3" s="420"/>
      <c r="HTV3" s="420"/>
      <c r="HTW3" s="420"/>
      <c r="HTX3" s="419" t="s">
        <v>23</v>
      </c>
      <c r="HTY3" s="420"/>
      <c r="HTZ3" s="420"/>
      <c r="HUA3" s="420"/>
      <c r="HUB3" s="419" t="s">
        <v>23</v>
      </c>
      <c r="HUC3" s="420"/>
      <c r="HUD3" s="420"/>
      <c r="HUE3" s="420"/>
      <c r="HUF3" s="419" t="s">
        <v>23</v>
      </c>
      <c r="HUG3" s="420"/>
      <c r="HUH3" s="420"/>
      <c r="HUI3" s="420"/>
      <c r="HUJ3" s="419" t="s">
        <v>23</v>
      </c>
      <c r="HUK3" s="420"/>
      <c r="HUL3" s="420"/>
      <c r="HUM3" s="420"/>
      <c r="HUN3" s="419" t="s">
        <v>23</v>
      </c>
      <c r="HUO3" s="420"/>
      <c r="HUP3" s="420"/>
      <c r="HUQ3" s="420"/>
      <c r="HUR3" s="419" t="s">
        <v>23</v>
      </c>
      <c r="HUS3" s="420"/>
      <c r="HUT3" s="420"/>
      <c r="HUU3" s="420"/>
      <c r="HUV3" s="419" t="s">
        <v>23</v>
      </c>
      <c r="HUW3" s="420"/>
      <c r="HUX3" s="420"/>
      <c r="HUY3" s="420"/>
      <c r="HUZ3" s="419" t="s">
        <v>23</v>
      </c>
      <c r="HVA3" s="420"/>
      <c r="HVB3" s="420"/>
      <c r="HVC3" s="420"/>
      <c r="HVD3" s="419" t="s">
        <v>23</v>
      </c>
      <c r="HVE3" s="420"/>
      <c r="HVF3" s="420"/>
      <c r="HVG3" s="420"/>
      <c r="HVH3" s="419" t="s">
        <v>23</v>
      </c>
      <c r="HVI3" s="420"/>
      <c r="HVJ3" s="420"/>
      <c r="HVK3" s="420"/>
      <c r="HVL3" s="419" t="s">
        <v>23</v>
      </c>
      <c r="HVM3" s="420"/>
      <c r="HVN3" s="420"/>
      <c r="HVO3" s="420"/>
      <c r="HVP3" s="419" t="s">
        <v>23</v>
      </c>
      <c r="HVQ3" s="420"/>
      <c r="HVR3" s="420"/>
      <c r="HVS3" s="420"/>
      <c r="HVT3" s="419" t="s">
        <v>23</v>
      </c>
      <c r="HVU3" s="420"/>
      <c r="HVV3" s="420"/>
      <c r="HVW3" s="420"/>
      <c r="HVX3" s="419" t="s">
        <v>23</v>
      </c>
      <c r="HVY3" s="420"/>
      <c r="HVZ3" s="420"/>
      <c r="HWA3" s="420"/>
      <c r="HWB3" s="419" t="s">
        <v>23</v>
      </c>
      <c r="HWC3" s="420"/>
      <c r="HWD3" s="420"/>
      <c r="HWE3" s="420"/>
      <c r="HWF3" s="419" t="s">
        <v>23</v>
      </c>
      <c r="HWG3" s="420"/>
      <c r="HWH3" s="420"/>
      <c r="HWI3" s="420"/>
      <c r="HWJ3" s="419" t="s">
        <v>23</v>
      </c>
      <c r="HWK3" s="420"/>
      <c r="HWL3" s="420"/>
      <c r="HWM3" s="420"/>
      <c r="HWN3" s="419" t="s">
        <v>23</v>
      </c>
      <c r="HWO3" s="420"/>
      <c r="HWP3" s="420"/>
      <c r="HWQ3" s="420"/>
      <c r="HWR3" s="419" t="s">
        <v>23</v>
      </c>
      <c r="HWS3" s="420"/>
      <c r="HWT3" s="420"/>
      <c r="HWU3" s="420"/>
      <c r="HWV3" s="419" t="s">
        <v>23</v>
      </c>
      <c r="HWW3" s="420"/>
      <c r="HWX3" s="420"/>
      <c r="HWY3" s="420"/>
      <c r="HWZ3" s="419" t="s">
        <v>23</v>
      </c>
      <c r="HXA3" s="420"/>
      <c r="HXB3" s="420"/>
      <c r="HXC3" s="420"/>
      <c r="HXD3" s="419" t="s">
        <v>23</v>
      </c>
      <c r="HXE3" s="420"/>
      <c r="HXF3" s="420"/>
      <c r="HXG3" s="420"/>
      <c r="HXH3" s="419" t="s">
        <v>23</v>
      </c>
      <c r="HXI3" s="420"/>
      <c r="HXJ3" s="420"/>
      <c r="HXK3" s="420"/>
      <c r="HXL3" s="419" t="s">
        <v>23</v>
      </c>
      <c r="HXM3" s="420"/>
      <c r="HXN3" s="420"/>
      <c r="HXO3" s="420"/>
      <c r="HXP3" s="419" t="s">
        <v>23</v>
      </c>
      <c r="HXQ3" s="420"/>
      <c r="HXR3" s="420"/>
      <c r="HXS3" s="420"/>
      <c r="HXT3" s="419" t="s">
        <v>23</v>
      </c>
      <c r="HXU3" s="420"/>
      <c r="HXV3" s="420"/>
      <c r="HXW3" s="420"/>
      <c r="HXX3" s="419" t="s">
        <v>23</v>
      </c>
      <c r="HXY3" s="420"/>
      <c r="HXZ3" s="420"/>
      <c r="HYA3" s="420"/>
      <c r="HYB3" s="419" t="s">
        <v>23</v>
      </c>
      <c r="HYC3" s="420"/>
      <c r="HYD3" s="420"/>
      <c r="HYE3" s="420"/>
      <c r="HYF3" s="419" t="s">
        <v>23</v>
      </c>
      <c r="HYG3" s="420"/>
      <c r="HYH3" s="420"/>
      <c r="HYI3" s="420"/>
      <c r="HYJ3" s="419" t="s">
        <v>23</v>
      </c>
      <c r="HYK3" s="420"/>
      <c r="HYL3" s="420"/>
      <c r="HYM3" s="420"/>
      <c r="HYN3" s="419" t="s">
        <v>23</v>
      </c>
      <c r="HYO3" s="420"/>
      <c r="HYP3" s="420"/>
      <c r="HYQ3" s="420"/>
      <c r="HYR3" s="419" t="s">
        <v>23</v>
      </c>
      <c r="HYS3" s="420"/>
      <c r="HYT3" s="420"/>
      <c r="HYU3" s="420"/>
      <c r="HYV3" s="419" t="s">
        <v>23</v>
      </c>
      <c r="HYW3" s="420"/>
      <c r="HYX3" s="420"/>
      <c r="HYY3" s="420"/>
      <c r="HYZ3" s="419" t="s">
        <v>23</v>
      </c>
      <c r="HZA3" s="420"/>
      <c r="HZB3" s="420"/>
      <c r="HZC3" s="420"/>
      <c r="HZD3" s="419" t="s">
        <v>23</v>
      </c>
      <c r="HZE3" s="420"/>
      <c r="HZF3" s="420"/>
      <c r="HZG3" s="420"/>
      <c r="HZH3" s="419" t="s">
        <v>23</v>
      </c>
      <c r="HZI3" s="420"/>
      <c r="HZJ3" s="420"/>
      <c r="HZK3" s="420"/>
      <c r="HZL3" s="419" t="s">
        <v>23</v>
      </c>
      <c r="HZM3" s="420"/>
      <c r="HZN3" s="420"/>
      <c r="HZO3" s="420"/>
      <c r="HZP3" s="419" t="s">
        <v>23</v>
      </c>
      <c r="HZQ3" s="420"/>
      <c r="HZR3" s="420"/>
      <c r="HZS3" s="420"/>
      <c r="HZT3" s="419" t="s">
        <v>23</v>
      </c>
      <c r="HZU3" s="420"/>
      <c r="HZV3" s="420"/>
      <c r="HZW3" s="420"/>
      <c r="HZX3" s="419" t="s">
        <v>23</v>
      </c>
      <c r="HZY3" s="420"/>
      <c r="HZZ3" s="420"/>
      <c r="IAA3" s="420"/>
      <c r="IAB3" s="419" t="s">
        <v>23</v>
      </c>
      <c r="IAC3" s="420"/>
      <c r="IAD3" s="420"/>
      <c r="IAE3" s="420"/>
      <c r="IAF3" s="419" t="s">
        <v>23</v>
      </c>
      <c r="IAG3" s="420"/>
      <c r="IAH3" s="420"/>
      <c r="IAI3" s="420"/>
      <c r="IAJ3" s="419" t="s">
        <v>23</v>
      </c>
      <c r="IAK3" s="420"/>
      <c r="IAL3" s="420"/>
      <c r="IAM3" s="420"/>
      <c r="IAN3" s="419" t="s">
        <v>23</v>
      </c>
      <c r="IAO3" s="420"/>
      <c r="IAP3" s="420"/>
      <c r="IAQ3" s="420"/>
      <c r="IAR3" s="419" t="s">
        <v>23</v>
      </c>
      <c r="IAS3" s="420"/>
      <c r="IAT3" s="420"/>
      <c r="IAU3" s="420"/>
      <c r="IAV3" s="419" t="s">
        <v>23</v>
      </c>
      <c r="IAW3" s="420"/>
      <c r="IAX3" s="420"/>
      <c r="IAY3" s="420"/>
      <c r="IAZ3" s="419" t="s">
        <v>23</v>
      </c>
      <c r="IBA3" s="420"/>
      <c r="IBB3" s="420"/>
      <c r="IBC3" s="420"/>
      <c r="IBD3" s="419" t="s">
        <v>23</v>
      </c>
      <c r="IBE3" s="420"/>
      <c r="IBF3" s="420"/>
      <c r="IBG3" s="420"/>
      <c r="IBH3" s="419" t="s">
        <v>23</v>
      </c>
      <c r="IBI3" s="420"/>
      <c r="IBJ3" s="420"/>
      <c r="IBK3" s="420"/>
      <c r="IBL3" s="419" t="s">
        <v>23</v>
      </c>
      <c r="IBM3" s="420"/>
      <c r="IBN3" s="420"/>
      <c r="IBO3" s="420"/>
      <c r="IBP3" s="419" t="s">
        <v>23</v>
      </c>
      <c r="IBQ3" s="420"/>
      <c r="IBR3" s="420"/>
      <c r="IBS3" s="420"/>
      <c r="IBT3" s="419" t="s">
        <v>23</v>
      </c>
      <c r="IBU3" s="420"/>
      <c r="IBV3" s="420"/>
      <c r="IBW3" s="420"/>
      <c r="IBX3" s="419" t="s">
        <v>23</v>
      </c>
      <c r="IBY3" s="420"/>
      <c r="IBZ3" s="420"/>
      <c r="ICA3" s="420"/>
      <c r="ICB3" s="419" t="s">
        <v>23</v>
      </c>
      <c r="ICC3" s="420"/>
      <c r="ICD3" s="420"/>
      <c r="ICE3" s="420"/>
      <c r="ICF3" s="419" t="s">
        <v>23</v>
      </c>
      <c r="ICG3" s="420"/>
      <c r="ICH3" s="420"/>
      <c r="ICI3" s="420"/>
      <c r="ICJ3" s="419" t="s">
        <v>23</v>
      </c>
      <c r="ICK3" s="420"/>
      <c r="ICL3" s="420"/>
      <c r="ICM3" s="420"/>
      <c r="ICN3" s="419" t="s">
        <v>23</v>
      </c>
      <c r="ICO3" s="420"/>
      <c r="ICP3" s="420"/>
      <c r="ICQ3" s="420"/>
      <c r="ICR3" s="419" t="s">
        <v>23</v>
      </c>
      <c r="ICS3" s="420"/>
      <c r="ICT3" s="420"/>
      <c r="ICU3" s="420"/>
      <c r="ICV3" s="419" t="s">
        <v>23</v>
      </c>
      <c r="ICW3" s="420"/>
      <c r="ICX3" s="420"/>
      <c r="ICY3" s="420"/>
      <c r="ICZ3" s="419" t="s">
        <v>23</v>
      </c>
      <c r="IDA3" s="420"/>
      <c r="IDB3" s="420"/>
      <c r="IDC3" s="420"/>
      <c r="IDD3" s="419" t="s">
        <v>23</v>
      </c>
      <c r="IDE3" s="420"/>
      <c r="IDF3" s="420"/>
      <c r="IDG3" s="420"/>
      <c r="IDH3" s="419" t="s">
        <v>23</v>
      </c>
      <c r="IDI3" s="420"/>
      <c r="IDJ3" s="420"/>
      <c r="IDK3" s="420"/>
      <c r="IDL3" s="419" t="s">
        <v>23</v>
      </c>
      <c r="IDM3" s="420"/>
      <c r="IDN3" s="420"/>
      <c r="IDO3" s="420"/>
      <c r="IDP3" s="419" t="s">
        <v>23</v>
      </c>
      <c r="IDQ3" s="420"/>
      <c r="IDR3" s="420"/>
      <c r="IDS3" s="420"/>
      <c r="IDT3" s="419" t="s">
        <v>23</v>
      </c>
      <c r="IDU3" s="420"/>
      <c r="IDV3" s="420"/>
      <c r="IDW3" s="420"/>
      <c r="IDX3" s="419" t="s">
        <v>23</v>
      </c>
      <c r="IDY3" s="420"/>
      <c r="IDZ3" s="420"/>
      <c r="IEA3" s="420"/>
      <c r="IEB3" s="419" t="s">
        <v>23</v>
      </c>
      <c r="IEC3" s="420"/>
      <c r="IED3" s="420"/>
      <c r="IEE3" s="420"/>
      <c r="IEF3" s="419" t="s">
        <v>23</v>
      </c>
      <c r="IEG3" s="420"/>
      <c r="IEH3" s="420"/>
      <c r="IEI3" s="420"/>
      <c r="IEJ3" s="419" t="s">
        <v>23</v>
      </c>
      <c r="IEK3" s="420"/>
      <c r="IEL3" s="420"/>
      <c r="IEM3" s="420"/>
      <c r="IEN3" s="419" t="s">
        <v>23</v>
      </c>
      <c r="IEO3" s="420"/>
      <c r="IEP3" s="420"/>
      <c r="IEQ3" s="420"/>
      <c r="IER3" s="419" t="s">
        <v>23</v>
      </c>
      <c r="IES3" s="420"/>
      <c r="IET3" s="420"/>
      <c r="IEU3" s="420"/>
      <c r="IEV3" s="419" t="s">
        <v>23</v>
      </c>
      <c r="IEW3" s="420"/>
      <c r="IEX3" s="420"/>
      <c r="IEY3" s="420"/>
      <c r="IEZ3" s="419" t="s">
        <v>23</v>
      </c>
      <c r="IFA3" s="420"/>
      <c r="IFB3" s="420"/>
      <c r="IFC3" s="420"/>
      <c r="IFD3" s="419" t="s">
        <v>23</v>
      </c>
      <c r="IFE3" s="420"/>
      <c r="IFF3" s="420"/>
      <c r="IFG3" s="420"/>
      <c r="IFH3" s="419" t="s">
        <v>23</v>
      </c>
      <c r="IFI3" s="420"/>
      <c r="IFJ3" s="420"/>
      <c r="IFK3" s="420"/>
      <c r="IFL3" s="419" t="s">
        <v>23</v>
      </c>
      <c r="IFM3" s="420"/>
      <c r="IFN3" s="420"/>
      <c r="IFO3" s="420"/>
      <c r="IFP3" s="419" t="s">
        <v>23</v>
      </c>
      <c r="IFQ3" s="420"/>
      <c r="IFR3" s="420"/>
      <c r="IFS3" s="420"/>
      <c r="IFT3" s="419" t="s">
        <v>23</v>
      </c>
      <c r="IFU3" s="420"/>
      <c r="IFV3" s="420"/>
      <c r="IFW3" s="420"/>
      <c r="IFX3" s="419" t="s">
        <v>23</v>
      </c>
      <c r="IFY3" s="420"/>
      <c r="IFZ3" s="420"/>
      <c r="IGA3" s="420"/>
      <c r="IGB3" s="419" t="s">
        <v>23</v>
      </c>
      <c r="IGC3" s="420"/>
      <c r="IGD3" s="420"/>
      <c r="IGE3" s="420"/>
      <c r="IGF3" s="419" t="s">
        <v>23</v>
      </c>
      <c r="IGG3" s="420"/>
      <c r="IGH3" s="420"/>
      <c r="IGI3" s="420"/>
      <c r="IGJ3" s="419" t="s">
        <v>23</v>
      </c>
      <c r="IGK3" s="420"/>
      <c r="IGL3" s="420"/>
      <c r="IGM3" s="420"/>
      <c r="IGN3" s="419" t="s">
        <v>23</v>
      </c>
      <c r="IGO3" s="420"/>
      <c r="IGP3" s="420"/>
      <c r="IGQ3" s="420"/>
      <c r="IGR3" s="419" t="s">
        <v>23</v>
      </c>
      <c r="IGS3" s="420"/>
      <c r="IGT3" s="420"/>
      <c r="IGU3" s="420"/>
      <c r="IGV3" s="419" t="s">
        <v>23</v>
      </c>
      <c r="IGW3" s="420"/>
      <c r="IGX3" s="420"/>
      <c r="IGY3" s="420"/>
      <c r="IGZ3" s="419" t="s">
        <v>23</v>
      </c>
      <c r="IHA3" s="420"/>
      <c r="IHB3" s="420"/>
      <c r="IHC3" s="420"/>
      <c r="IHD3" s="419" t="s">
        <v>23</v>
      </c>
      <c r="IHE3" s="420"/>
      <c r="IHF3" s="420"/>
      <c r="IHG3" s="420"/>
      <c r="IHH3" s="419" t="s">
        <v>23</v>
      </c>
      <c r="IHI3" s="420"/>
      <c r="IHJ3" s="420"/>
      <c r="IHK3" s="420"/>
      <c r="IHL3" s="419" t="s">
        <v>23</v>
      </c>
      <c r="IHM3" s="420"/>
      <c r="IHN3" s="420"/>
      <c r="IHO3" s="420"/>
      <c r="IHP3" s="419" t="s">
        <v>23</v>
      </c>
      <c r="IHQ3" s="420"/>
      <c r="IHR3" s="420"/>
      <c r="IHS3" s="420"/>
      <c r="IHT3" s="419" t="s">
        <v>23</v>
      </c>
      <c r="IHU3" s="420"/>
      <c r="IHV3" s="420"/>
      <c r="IHW3" s="420"/>
      <c r="IHX3" s="419" t="s">
        <v>23</v>
      </c>
      <c r="IHY3" s="420"/>
      <c r="IHZ3" s="420"/>
      <c r="IIA3" s="420"/>
      <c r="IIB3" s="419" t="s">
        <v>23</v>
      </c>
      <c r="IIC3" s="420"/>
      <c r="IID3" s="420"/>
      <c r="IIE3" s="420"/>
      <c r="IIF3" s="419" t="s">
        <v>23</v>
      </c>
      <c r="IIG3" s="420"/>
      <c r="IIH3" s="420"/>
      <c r="III3" s="420"/>
      <c r="IIJ3" s="419" t="s">
        <v>23</v>
      </c>
      <c r="IIK3" s="420"/>
      <c r="IIL3" s="420"/>
      <c r="IIM3" s="420"/>
      <c r="IIN3" s="419" t="s">
        <v>23</v>
      </c>
      <c r="IIO3" s="420"/>
      <c r="IIP3" s="420"/>
      <c r="IIQ3" s="420"/>
      <c r="IIR3" s="419" t="s">
        <v>23</v>
      </c>
      <c r="IIS3" s="420"/>
      <c r="IIT3" s="420"/>
      <c r="IIU3" s="420"/>
      <c r="IIV3" s="419" t="s">
        <v>23</v>
      </c>
      <c r="IIW3" s="420"/>
      <c r="IIX3" s="420"/>
      <c r="IIY3" s="420"/>
      <c r="IIZ3" s="419" t="s">
        <v>23</v>
      </c>
      <c r="IJA3" s="420"/>
      <c r="IJB3" s="420"/>
      <c r="IJC3" s="420"/>
      <c r="IJD3" s="419" t="s">
        <v>23</v>
      </c>
      <c r="IJE3" s="420"/>
      <c r="IJF3" s="420"/>
      <c r="IJG3" s="420"/>
      <c r="IJH3" s="419" t="s">
        <v>23</v>
      </c>
      <c r="IJI3" s="420"/>
      <c r="IJJ3" s="420"/>
      <c r="IJK3" s="420"/>
      <c r="IJL3" s="419" t="s">
        <v>23</v>
      </c>
      <c r="IJM3" s="420"/>
      <c r="IJN3" s="420"/>
      <c r="IJO3" s="420"/>
      <c r="IJP3" s="419" t="s">
        <v>23</v>
      </c>
      <c r="IJQ3" s="420"/>
      <c r="IJR3" s="420"/>
      <c r="IJS3" s="420"/>
      <c r="IJT3" s="419" t="s">
        <v>23</v>
      </c>
      <c r="IJU3" s="420"/>
      <c r="IJV3" s="420"/>
      <c r="IJW3" s="420"/>
      <c r="IJX3" s="419" t="s">
        <v>23</v>
      </c>
      <c r="IJY3" s="420"/>
      <c r="IJZ3" s="420"/>
      <c r="IKA3" s="420"/>
      <c r="IKB3" s="419" t="s">
        <v>23</v>
      </c>
      <c r="IKC3" s="420"/>
      <c r="IKD3" s="420"/>
      <c r="IKE3" s="420"/>
      <c r="IKF3" s="419" t="s">
        <v>23</v>
      </c>
      <c r="IKG3" s="420"/>
      <c r="IKH3" s="420"/>
      <c r="IKI3" s="420"/>
      <c r="IKJ3" s="419" t="s">
        <v>23</v>
      </c>
      <c r="IKK3" s="420"/>
      <c r="IKL3" s="420"/>
      <c r="IKM3" s="420"/>
      <c r="IKN3" s="419" t="s">
        <v>23</v>
      </c>
      <c r="IKO3" s="420"/>
      <c r="IKP3" s="420"/>
      <c r="IKQ3" s="420"/>
      <c r="IKR3" s="419" t="s">
        <v>23</v>
      </c>
      <c r="IKS3" s="420"/>
      <c r="IKT3" s="420"/>
      <c r="IKU3" s="420"/>
      <c r="IKV3" s="419" t="s">
        <v>23</v>
      </c>
      <c r="IKW3" s="420"/>
      <c r="IKX3" s="420"/>
      <c r="IKY3" s="420"/>
      <c r="IKZ3" s="419" t="s">
        <v>23</v>
      </c>
      <c r="ILA3" s="420"/>
      <c r="ILB3" s="420"/>
      <c r="ILC3" s="420"/>
      <c r="ILD3" s="419" t="s">
        <v>23</v>
      </c>
      <c r="ILE3" s="420"/>
      <c r="ILF3" s="420"/>
      <c r="ILG3" s="420"/>
      <c r="ILH3" s="419" t="s">
        <v>23</v>
      </c>
      <c r="ILI3" s="420"/>
      <c r="ILJ3" s="420"/>
      <c r="ILK3" s="420"/>
      <c r="ILL3" s="419" t="s">
        <v>23</v>
      </c>
      <c r="ILM3" s="420"/>
      <c r="ILN3" s="420"/>
      <c r="ILO3" s="420"/>
      <c r="ILP3" s="419" t="s">
        <v>23</v>
      </c>
      <c r="ILQ3" s="420"/>
      <c r="ILR3" s="420"/>
      <c r="ILS3" s="420"/>
      <c r="ILT3" s="419" t="s">
        <v>23</v>
      </c>
      <c r="ILU3" s="420"/>
      <c r="ILV3" s="420"/>
      <c r="ILW3" s="420"/>
      <c r="ILX3" s="419" t="s">
        <v>23</v>
      </c>
      <c r="ILY3" s="420"/>
      <c r="ILZ3" s="420"/>
      <c r="IMA3" s="420"/>
      <c r="IMB3" s="419" t="s">
        <v>23</v>
      </c>
      <c r="IMC3" s="420"/>
      <c r="IMD3" s="420"/>
      <c r="IME3" s="420"/>
      <c r="IMF3" s="419" t="s">
        <v>23</v>
      </c>
      <c r="IMG3" s="420"/>
      <c r="IMH3" s="420"/>
      <c r="IMI3" s="420"/>
      <c r="IMJ3" s="419" t="s">
        <v>23</v>
      </c>
      <c r="IMK3" s="420"/>
      <c r="IML3" s="420"/>
      <c r="IMM3" s="420"/>
      <c r="IMN3" s="419" t="s">
        <v>23</v>
      </c>
      <c r="IMO3" s="420"/>
      <c r="IMP3" s="420"/>
      <c r="IMQ3" s="420"/>
      <c r="IMR3" s="419" t="s">
        <v>23</v>
      </c>
      <c r="IMS3" s="420"/>
      <c r="IMT3" s="420"/>
      <c r="IMU3" s="420"/>
      <c r="IMV3" s="419" t="s">
        <v>23</v>
      </c>
      <c r="IMW3" s="420"/>
      <c r="IMX3" s="420"/>
      <c r="IMY3" s="420"/>
      <c r="IMZ3" s="419" t="s">
        <v>23</v>
      </c>
      <c r="INA3" s="420"/>
      <c r="INB3" s="420"/>
      <c r="INC3" s="420"/>
      <c r="IND3" s="419" t="s">
        <v>23</v>
      </c>
      <c r="INE3" s="420"/>
      <c r="INF3" s="420"/>
      <c r="ING3" s="420"/>
      <c r="INH3" s="419" t="s">
        <v>23</v>
      </c>
      <c r="INI3" s="420"/>
      <c r="INJ3" s="420"/>
      <c r="INK3" s="420"/>
      <c r="INL3" s="419" t="s">
        <v>23</v>
      </c>
      <c r="INM3" s="420"/>
      <c r="INN3" s="420"/>
      <c r="INO3" s="420"/>
      <c r="INP3" s="419" t="s">
        <v>23</v>
      </c>
      <c r="INQ3" s="420"/>
      <c r="INR3" s="420"/>
      <c r="INS3" s="420"/>
      <c r="INT3" s="419" t="s">
        <v>23</v>
      </c>
      <c r="INU3" s="420"/>
      <c r="INV3" s="420"/>
      <c r="INW3" s="420"/>
      <c r="INX3" s="419" t="s">
        <v>23</v>
      </c>
      <c r="INY3" s="420"/>
      <c r="INZ3" s="420"/>
      <c r="IOA3" s="420"/>
      <c r="IOB3" s="419" t="s">
        <v>23</v>
      </c>
      <c r="IOC3" s="420"/>
      <c r="IOD3" s="420"/>
      <c r="IOE3" s="420"/>
      <c r="IOF3" s="419" t="s">
        <v>23</v>
      </c>
      <c r="IOG3" s="420"/>
      <c r="IOH3" s="420"/>
      <c r="IOI3" s="420"/>
      <c r="IOJ3" s="419" t="s">
        <v>23</v>
      </c>
      <c r="IOK3" s="420"/>
      <c r="IOL3" s="420"/>
      <c r="IOM3" s="420"/>
      <c r="ION3" s="419" t="s">
        <v>23</v>
      </c>
      <c r="IOO3" s="420"/>
      <c r="IOP3" s="420"/>
      <c r="IOQ3" s="420"/>
      <c r="IOR3" s="419" t="s">
        <v>23</v>
      </c>
      <c r="IOS3" s="420"/>
      <c r="IOT3" s="420"/>
      <c r="IOU3" s="420"/>
      <c r="IOV3" s="419" t="s">
        <v>23</v>
      </c>
      <c r="IOW3" s="420"/>
      <c r="IOX3" s="420"/>
      <c r="IOY3" s="420"/>
      <c r="IOZ3" s="419" t="s">
        <v>23</v>
      </c>
      <c r="IPA3" s="420"/>
      <c r="IPB3" s="420"/>
      <c r="IPC3" s="420"/>
      <c r="IPD3" s="419" t="s">
        <v>23</v>
      </c>
      <c r="IPE3" s="420"/>
      <c r="IPF3" s="420"/>
      <c r="IPG3" s="420"/>
      <c r="IPH3" s="419" t="s">
        <v>23</v>
      </c>
      <c r="IPI3" s="420"/>
      <c r="IPJ3" s="420"/>
      <c r="IPK3" s="420"/>
      <c r="IPL3" s="419" t="s">
        <v>23</v>
      </c>
      <c r="IPM3" s="420"/>
      <c r="IPN3" s="420"/>
      <c r="IPO3" s="420"/>
      <c r="IPP3" s="419" t="s">
        <v>23</v>
      </c>
      <c r="IPQ3" s="420"/>
      <c r="IPR3" s="420"/>
      <c r="IPS3" s="420"/>
      <c r="IPT3" s="419" t="s">
        <v>23</v>
      </c>
      <c r="IPU3" s="420"/>
      <c r="IPV3" s="420"/>
      <c r="IPW3" s="420"/>
      <c r="IPX3" s="419" t="s">
        <v>23</v>
      </c>
      <c r="IPY3" s="420"/>
      <c r="IPZ3" s="420"/>
      <c r="IQA3" s="420"/>
      <c r="IQB3" s="419" t="s">
        <v>23</v>
      </c>
      <c r="IQC3" s="420"/>
      <c r="IQD3" s="420"/>
      <c r="IQE3" s="420"/>
      <c r="IQF3" s="419" t="s">
        <v>23</v>
      </c>
      <c r="IQG3" s="420"/>
      <c r="IQH3" s="420"/>
      <c r="IQI3" s="420"/>
      <c r="IQJ3" s="419" t="s">
        <v>23</v>
      </c>
      <c r="IQK3" s="420"/>
      <c r="IQL3" s="420"/>
      <c r="IQM3" s="420"/>
      <c r="IQN3" s="419" t="s">
        <v>23</v>
      </c>
      <c r="IQO3" s="420"/>
      <c r="IQP3" s="420"/>
      <c r="IQQ3" s="420"/>
      <c r="IQR3" s="419" t="s">
        <v>23</v>
      </c>
      <c r="IQS3" s="420"/>
      <c r="IQT3" s="420"/>
      <c r="IQU3" s="420"/>
      <c r="IQV3" s="419" t="s">
        <v>23</v>
      </c>
      <c r="IQW3" s="420"/>
      <c r="IQX3" s="420"/>
      <c r="IQY3" s="420"/>
      <c r="IQZ3" s="419" t="s">
        <v>23</v>
      </c>
      <c r="IRA3" s="420"/>
      <c r="IRB3" s="420"/>
      <c r="IRC3" s="420"/>
      <c r="IRD3" s="419" t="s">
        <v>23</v>
      </c>
      <c r="IRE3" s="420"/>
      <c r="IRF3" s="420"/>
      <c r="IRG3" s="420"/>
      <c r="IRH3" s="419" t="s">
        <v>23</v>
      </c>
      <c r="IRI3" s="420"/>
      <c r="IRJ3" s="420"/>
      <c r="IRK3" s="420"/>
      <c r="IRL3" s="419" t="s">
        <v>23</v>
      </c>
      <c r="IRM3" s="420"/>
      <c r="IRN3" s="420"/>
      <c r="IRO3" s="420"/>
      <c r="IRP3" s="419" t="s">
        <v>23</v>
      </c>
      <c r="IRQ3" s="420"/>
      <c r="IRR3" s="420"/>
      <c r="IRS3" s="420"/>
      <c r="IRT3" s="419" t="s">
        <v>23</v>
      </c>
      <c r="IRU3" s="420"/>
      <c r="IRV3" s="420"/>
      <c r="IRW3" s="420"/>
      <c r="IRX3" s="419" t="s">
        <v>23</v>
      </c>
      <c r="IRY3" s="420"/>
      <c r="IRZ3" s="420"/>
      <c r="ISA3" s="420"/>
      <c r="ISB3" s="419" t="s">
        <v>23</v>
      </c>
      <c r="ISC3" s="420"/>
      <c r="ISD3" s="420"/>
      <c r="ISE3" s="420"/>
      <c r="ISF3" s="419" t="s">
        <v>23</v>
      </c>
      <c r="ISG3" s="420"/>
      <c r="ISH3" s="420"/>
      <c r="ISI3" s="420"/>
      <c r="ISJ3" s="419" t="s">
        <v>23</v>
      </c>
      <c r="ISK3" s="420"/>
      <c r="ISL3" s="420"/>
      <c r="ISM3" s="420"/>
      <c r="ISN3" s="419" t="s">
        <v>23</v>
      </c>
      <c r="ISO3" s="420"/>
      <c r="ISP3" s="420"/>
      <c r="ISQ3" s="420"/>
      <c r="ISR3" s="419" t="s">
        <v>23</v>
      </c>
      <c r="ISS3" s="420"/>
      <c r="IST3" s="420"/>
      <c r="ISU3" s="420"/>
      <c r="ISV3" s="419" t="s">
        <v>23</v>
      </c>
      <c r="ISW3" s="420"/>
      <c r="ISX3" s="420"/>
      <c r="ISY3" s="420"/>
      <c r="ISZ3" s="419" t="s">
        <v>23</v>
      </c>
      <c r="ITA3" s="420"/>
      <c r="ITB3" s="420"/>
      <c r="ITC3" s="420"/>
      <c r="ITD3" s="419" t="s">
        <v>23</v>
      </c>
      <c r="ITE3" s="420"/>
      <c r="ITF3" s="420"/>
      <c r="ITG3" s="420"/>
      <c r="ITH3" s="419" t="s">
        <v>23</v>
      </c>
      <c r="ITI3" s="420"/>
      <c r="ITJ3" s="420"/>
      <c r="ITK3" s="420"/>
      <c r="ITL3" s="419" t="s">
        <v>23</v>
      </c>
      <c r="ITM3" s="420"/>
      <c r="ITN3" s="420"/>
      <c r="ITO3" s="420"/>
      <c r="ITP3" s="419" t="s">
        <v>23</v>
      </c>
      <c r="ITQ3" s="420"/>
      <c r="ITR3" s="420"/>
      <c r="ITS3" s="420"/>
      <c r="ITT3" s="419" t="s">
        <v>23</v>
      </c>
      <c r="ITU3" s="420"/>
      <c r="ITV3" s="420"/>
      <c r="ITW3" s="420"/>
      <c r="ITX3" s="419" t="s">
        <v>23</v>
      </c>
      <c r="ITY3" s="420"/>
      <c r="ITZ3" s="420"/>
      <c r="IUA3" s="420"/>
      <c r="IUB3" s="419" t="s">
        <v>23</v>
      </c>
      <c r="IUC3" s="420"/>
      <c r="IUD3" s="420"/>
      <c r="IUE3" s="420"/>
      <c r="IUF3" s="419" t="s">
        <v>23</v>
      </c>
      <c r="IUG3" s="420"/>
      <c r="IUH3" s="420"/>
      <c r="IUI3" s="420"/>
      <c r="IUJ3" s="419" t="s">
        <v>23</v>
      </c>
      <c r="IUK3" s="420"/>
      <c r="IUL3" s="420"/>
      <c r="IUM3" s="420"/>
      <c r="IUN3" s="419" t="s">
        <v>23</v>
      </c>
      <c r="IUO3" s="420"/>
      <c r="IUP3" s="420"/>
      <c r="IUQ3" s="420"/>
      <c r="IUR3" s="419" t="s">
        <v>23</v>
      </c>
      <c r="IUS3" s="420"/>
      <c r="IUT3" s="420"/>
      <c r="IUU3" s="420"/>
      <c r="IUV3" s="419" t="s">
        <v>23</v>
      </c>
      <c r="IUW3" s="420"/>
      <c r="IUX3" s="420"/>
      <c r="IUY3" s="420"/>
      <c r="IUZ3" s="419" t="s">
        <v>23</v>
      </c>
      <c r="IVA3" s="420"/>
      <c r="IVB3" s="420"/>
      <c r="IVC3" s="420"/>
      <c r="IVD3" s="419" t="s">
        <v>23</v>
      </c>
      <c r="IVE3" s="420"/>
      <c r="IVF3" s="420"/>
      <c r="IVG3" s="420"/>
      <c r="IVH3" s="419" t="s">
        <v>23</v>
      </c>
      <c r="IVI3" s="420"/>
      <c r="IVJ3" s="420"/>
      <c r="IVK3" s="420"/>
      <c r="IVL3" s="419" t="s">
        <v>23</v>
      </c>
      <c r="IVM3" s="420"/>
      <c r="IVN3" s="420"/>
      <c r="IVO3" s="420"/>
      <c r="IVP3" s="419" t="s">
        <v>23</v>
      </c>
      <c r="IVQ3" s="420"/>
      <c r="IVR3" s="420"/>
      <c r="IVS3" s="420"/>
      <c r="IVT3" s="419" t="s">
        <v>23</v>
      </c>
      <c r="IVU3" s="420"/>
      <c r="IVV3" s="420"/>
      <c r="IVW3" s="420"/>
      <c r="IVX3" s="419" t="s">
        <v>23</v>
      </c>
      <c r="IVY3" s="420"/>
      <c r="IVZ3" s="420"/>
      <c r="IWA3" s="420"/>
      <c r="IWB3" s="419" t="s">
        <v>23</v>
      </c>
      <c r="IWC3" s="420"/>
      <c r="IWD3" s="420"/>
      <c r="IWE3" s="420"/>
      <c r="IWF3" s="419" t="s">
        <v>23</v>
      </c>
      <c r="IWG3" s="420"/>
      <c r="IWH3" s="420"/>
      <c r="IWI3" s="420"/>
      <c r="IWJ3" s="419" t="s">
        <v>23</v>
      </c>
      <c r="IWK3" s="420"/>
      <c r="IWL3" s="420"/>
      <c r="IWM3" s="420"/>
      <c r="IWN3" s="419" t="s">
        <v>23</v>
      </c>
      <c r="IWO3" s="420"/>
      <c r="IWP3" s="420"/>
      <c r="IWQ3" s="420"/>
      <c r="IWR3" s="419" t="s">
        <v>23</v>
      </c>
      <c r="IWS3" s="420"/>
      <c r="IWT3" s="420"/>
      <c r="IWU3" s="420"/>
      <c r="IWV3" s="419" t="s">
        <v>23</v>
      </c>
      <c r="IWW3" s="420"/>
      <c r="IWX3" s="420"/>
      <c r="IWY3" s="420"/>
      <c r="IWZ3" s="419" t="s">
        <v>23</v>
      </c>
      <c r="IXA3" s="420"/>
      <c r="IXB3" s="420"/>
      <c r="IXC3" s="420"/>
      <c r="IXD3" s="419" t="s">
        <v>23</v>
      </c>
      <c r="IXE3" s="420"/>
      <c r="IXF3" s="420"/>
      <c r="IXG3" s="420"/>
      <c r="IXH3" s="419" t="s">
        <v>23</v>
      </c>
      <c r="IXI3" s="420"/>
      <c r="IXJ3" s="420"/>
      <c r="IXK3" s="420"/>
      <c r="IXL3" s="419" t="s">
        <v>23</v>
      </c>
      <c r="IXM3" s="420"/>
      <c r="IXN3" s="420"/>
      <c r="IXO3" s="420"/>
      <c r="IXP3" s="419" t="s">
        <v>23</v>
      </c>
      <c r="IXQ3" s="420"/>
      <c r="IXR3" s="420"/>
      <c r="IXS3" s="420"/>
      <c r="IXT3" s="419" t="s">
        <v>23</v>
      </c>
      <c r="IXU3" s="420"/>
      <c r="IXV3" s="420"/>
      <c r="IXW3" s="420"/>
      <c r="IXX3" s="419" t="s">
        <v>23</v>
      </c>
      <c r="IXY3" s="420"/>
      <c r="IXZ3" s="420"/>
      <c r="IYA3" s="420"/>
      <c r="IYB3" s="419" t="s">
        <v>23</v>
      </c>
      <c r="IYC3" s="420"/>
      <c r="IYD3" s="420"/>
      <c r="IYE3" s="420"/>
      <c r="IYF3" s="419" t="s">
        <v>23</v>
      </c>
      <c r="IYG3" s="420"/>
      <c r="IYH3" s="420"/>
      <c r="IYI3" s="420"/>
      <c r="IYJ3" s="419" t="s">
        <v>23</v>
      </c>
      <c r="IYK3" s="420"/>
      <c r="IYL3" s="420"/>
      <c r="IYM3" s="420"/>
      <c r="IYN3" s="419" t="s">
        <v>23</v>
      </c>
      <c r="IYO3" s="420"/>
      <c r="IYP3" s="420"/>
      <c r="IYQ3" s="420"/>
      <c r="IYR3" s="419" t="s">
        <v>23</v>
      </c>
      <c r="IYS3" s="420"/>
      <c r="IYT3" s="420"/>
      <c r="IYU3" s="420"/>
      <c r="IYV3" s="419" t="s">
        <v>23</v>
      </c>
      <c r="IYW3" s="420"/>
      <c r="IYX3" s="420"/>
      <c r="IYY3" s="420"/>
      <c r="IYZ3" s="419" t="s">
        <v>23</v>
      </c>
      <c r="IZA3" s="420"/>
      <c r="IZB3" s="420"/>
      <c r="IZC3" s="420"/>
      <c r="IZD3" s="419" t="s">
        <v>23</v>
      </c>
      <c r="IZE3" s="420"/>
      <c r="IZF3" s="420"/>
      <c r="IZG3" s="420"/>
      <c r="IZH3" s="419" t="s">
        <v>23</v>
      </c>
      <c r="IZI3" s="420"/>
      <c r="IZJ3" s="420"/>
      <c r="IZK3" s="420"/>
      <c r="IZL3" s="419" t="s">
        <v>23</v>
      </c>
      <c r="IZM3" s="420"/>
      <c r="IZN3" s="420"/>
      <c r="IZO3" s="420"/>
      <c r="IZP3" s="419" t="s">
        <v>23</v>
      </c>
      <c r="IZQ3" s="420"/>
      <c r="IZR3" s="420"/>
      <c r="IZS3" s="420"/>
      <c r="IZT3" s="419" t="s">
        <v>23</v>
      </c>
      <c r="IZU3" s="420"/>
      <c r="IZV3" s="420"/>
      <c r="IZW3" s="420"/>
      <c r="IZX3" s="419" t="s">
        <v>23</v>
      </c>
      <c r="IZY3" s="420"/>
      <c r="IZZ3" s="420"/>
      <c r="JAA3" s="420"/>
      <c r="JAB3" s="419" t="s">
        <v>23</v>
      </c>
      <c r="JAC3" s="420"/>
      <c r="JAD3" s="420"/>
      <c r="JAE3" s="420"/>
      <c r="JAF3" s="419" t="s">
        <v>23</v>
      </c>
      <c r="JAG3" s="420"/>
      <c r="JAH3" s="420"/>
      <c r="JAI3" s="420"/>
      <c r="JAJ3" s="419" t="s">
        <v>23</v>
      </c>
      <c r="JAK3" s="420"/>
      <c r="JAL3" s="420"/>
      <c r="JAM3" s="420"/>
      <c r="JAN3" s="419" t="s">
        <v>23</v>
      </c>
      <c r="JAO3" s="420"/>
      <c r="JAP3" s="420"/>
      <c r="JAQ3" s="420"/>
      <c r="JAR3" s="419" t="s">
        <v>23</v>
      </c>
      <c r="JAS3" s="420"/>
      <c r="JAT3" s="420"/>
      <c r="JAU3" s="420"/>
      <c r="JAV3" s="419" t="s">
        <v>23</v>
      </c>
      <c r="JAW3" s="420"/>
      <c r="JAX3" s="420"/>
      <c r="JAY3" s="420"/>
      <c r="JAZ3" s="419" t="s">
        <v>23</v>
      </c>
      <c r="JBA3" s="420"/>
      <c r="JBB3" s="420"/>
      <c r="JBC3" s="420"/>
      <c r="JBD3" s="419" t="s">
        <v>23</v>
      </c>
      <c r="JBE3" s="420"/>
      <c r="JBF3" s="420"/>
      <c r="JBG3" s="420"/>
      <c r="JBH3" s="419" t="s">
        <v>23</v>
      </c>
      <c r="JBI3" s="420"/>
      <c r="JBJ3" s="420"/>
      <c r="JBK3" s="420"/>
      <c r="JBL3" s="419" t="s">
        <v>23</v>
      </c>
      <c r="JBM3" s="420"/>
      <c r="JBN3" s="420"/>
      <c r="JBO3" s="420"/>
      <c r="JBP3" s="419" t="s">
        <v>23</v>
      </c>
      <c r="JBQ3" s="420"/>
      <c r="JBR3" s="420"/>
      <c r="JBS3" s="420"/>
      <c r="JBT3" s="419" t="s">
        <v>23</v>
      </c>
      <c r="JBU3" s="420"/>
      <c r="JBV3" s="420"/>
      <c r="JBW3" s="420"/>
      <c r="JBX3" s="419" t="s">
        <v>23</v>
      </c>
      <c r="JBY3" s="420"/>
      <c r="JBZ3" s="420"/>
      <c r="JCA3" s="420"/>
      <c r="JCB3" s="419" t="s">
        <v>23</v>
      </c>
      <c r="JCC3" s="420"/>
      <c r="JCD3" s="420"/>
      <c r="JCE3" s="420"/>
      <c r="JCF3" s="419" t="s">
        <v>23</v>
      </c>
      <c r="JCG3" s="420"/>
      <c r="JCH3" s="420"/>
      <c r="JCI3" s="420"/>
      <c r="JCJ3" s="419" t="s">
        <v>23</v>
      </c>
      <c r="JCK3" s="420"/>
      <c r="JCL3" s="420"/>
      <c r="JCM3" s="420"/>
      <c r="JCN3" s="419" t="s">
        <v>23</v>
      </c>
      <c r="JCO3" s="420"/>
      <c r="JCP3" s="420"/>
      <c r="JCQ3" s="420"/>
      <c r="JCR3" s="419" t="s">
        <v>23</v>
      </c>
      <c r="JCS3" s="420"/>
      <c r="JCT3" s="420"/>
      <c r="JCU3" s="420"/>
      <c r="JCV3" s="419" t="s">
        <v>23</v>
      </c>
      <c r="JCW3" s="420"/>
      <c r="JCX3" s="420"/>
      <c r="JCY3" s="420"/>
      <c r="JCZ3" s="419" t="s">
        <v>23</v>
      </c>
      <c r="JDA3" s="420"/>
      <c r="JDB3" s="420"/>
      <c r="JDC3" s="420"/>
      <c r="JDD3" s="419" t="s">
        <v>23</v>
      </c>
      <c r="JDE3" s="420"/>
      <c r="JDF3" s="420"/>
      <c r="JDG3" s="420"/>
      <c r="JDH3" s="419" t="s">
        <v>23</v>
      </c>
      <c r="JDI3" s="420"/>
      <c r="JDJ3" s="420"/>
      <c r="JDK3" s="420"/>
      <c r="JDL3" s="419" t="s">
        <v>23</v>
      </c>
      <c r="JDM3" s="420"/>
      <c r="JDN3" s="420"/>
      <c r="JDO3" s="420"/>
      <c r="JDP3" s="419" t="s">
        <v>23</v>
      </c>
      <c r="JDQ3" s="420"/>
      <c r="JDR3" s="420"/>
      <c r="JDS3" s="420"/>
      <c r="JDT3" s="419" t="s">
        <v>23</v>
      </c>
      <c r="JDU3" s="420"/>
      <c r="JDV3" s="420"/>
      <c r="JDW3" s="420"/>
      <c r="JDX3" s="419" t="s">
        <v>23</v>
      </c>
      <c r="JDY3" s="420"/>
      <c r="JDZ3" s="420"/>
      <c r="JEA3" s="420"/>
      <c r="JEB3" s="419" t="s">
        <v>23</v>
      </c>
      <c r="JEC3" s="420"/>
      <c r="JED3" s="420"/>
      <c r="JEE3" s="420"/>
      <c r="JEF3" s="419" t="s">
        <v>23</v>
      </c>
      <c r="JEG3" s="420"/>
      <c r="JEH3" s="420"/>
      <c r="JEI3" s="420"/>
      <c r="JEJ3" s="419" t="s">
        <v>23</v>
      </c>
      <c r="JEK3" s="420"/>
      <c r="JEL3" s="420"/>
      <c r="JEM3" s="420"/>
      <c r="JEN3" s="419" t="s">
        <v>23</v>
      </c>
      <c r="JEO3" s="420"/>
      <c r="JEP3" s="420"/>
      <c r="JEQ3" s="420"/>
      <c r="JER3" s="419" t="s">
        <v>23</v>
      </c>
      <c r="JES3" s="420"/>
      <c r="JET3" s="420"/>
      <c r="JEU3" s="420"/>
      <c r="JEV3" s="419" t="s">
        <v>23</v>
      </c>
      <c r="JEW3" s="420"/>
      <c r="JEX3" s="420"/>
      <c r="JEY3" s="420"/>
      <c r="JEZ3" s="419" t="s">
        <v>23</v>
      </c>
      <c r="JFA3" s="420"/>
      <c r="JFB3" s="420"/>
      <c r="JFC3" s="420"/>
      <c r="JFD3" s="419" t="s">
        <v>23</v>
      </c>
      <c r="JFE3" s="420"/>
      <c r="JFF3" s="420"/>
      <c r="JFG3" s="420"/>
      <c r="JFH3" s="419" t="s">
        <v>23</v>
      </c>
      <c r="JFI3" s="420"/>
      <c r="JFJ3" s="420"/>
      <c r="JFK3" s="420"/>
      <c r="JFL3" s="419" t="s">
        <v>23</v>
      </c>
      <c r="JFM3" s="420"/>
      <c r="JFN3" s="420"/>
      <c r="JFO3" s="420"/>
      <c r="JFP3" s="419" t="s">
        <v>23</v>
      </c>
      <c r="JFQ3" s="420"/>
      <c r="JFR3" s="420"/>
      <c r="JFS3" s="420"/>
      <c r="JFT3" s="419" t="s">
        <v>23</v>
      </c>
      <c r="JFU3" s="420"/>
      <c r="JFV3" s="420"/>
      <c r="JFW3" s="420"/>
      <c r="JFX3" s="419" t="s">
        <v>23</v>
      </c>
      <c r="JFY3" s="420"/>
      <c r="JFZ3" s="420"/>
      <c r="JGA3" s="420"/>
      <c r="JGB3" s="419" t="s">
        <v>23</v>
      </c>
      <c r="JGC3" s="420"/>
      <c r="JGD3" s="420"/>
      <c r="JGE3" s="420"/>
      <c r="JGF3" s="419" t="s">
        <v>23</v>
      </c>
      <c r="JGG3" s="420"/>
      <c r="JGH3" s="420"/>
      <c r="JGI3" s="420"/>
      <c r="JGJ3" s="419" t="s">
        <v>23</v>
      </c>
      <c r="JGK3" s="420"/>
      <c r="JGL3" s="420"/>
      <c r="JGM3" s="420"/>
      <c r="JGN3" s="419" t="s">
        <v>23</v>
      </c>
      <c r="JGO3" s="420"/>
      <c r="JGP3" s="420"/>
      <c r="JGQ3" s="420"/>
      <c r="JGR3" s="419" t="s">
        <v>23</v>
      </c>
      <c r="JGS3" s="420"/>
      <c r="JGT3" s="420"/>
      <c r="JGU3" s="420"/>
      <c r="JGV3" s="419" t="s">
        <v>23</v>
      </c>
      <c r="JGW3" s="420"/>
      <c r="JGX3" s="420"/>
      <c r="JGY3" s="420"/>
      <c r="JGZ3" s="419" t="s">
        <v>23</v>
      </c>
      <c r="JHA3" s="420"/>
      <c r="JHB3" s="420"/>
      <c r="JHC3" s="420"/>
      <c r="JHD3" s="419" t="s">
        <v>23</v>
      </c>
      <c r="JHE3" s="420"/>
      <c r="JHF3" s="420"/>
      <c r="JHG3" s="420"/>
      <c r="JHH3" s="419" t="s">
        <v>23</v>
      </c>
      <c r="JHI3" s="420"/>
      <c r="JHJ3" s="420"/>
      <c r="JHK3" s="420"/>
      <c r="JHL3" s="419" t="s">
        <v>23</v>
      </c>
      <c r="JHM3" s="420"/>
      <c r="JHN3" s="420"/>
      <c r="JHO3" s="420"/>
      <c r="JHP3" s="419" t="s">
        <v>23</v>
      </c>
      <c r="JHQ3" s="420"/>
      <c r="JHR3" s="420"/>
      <c r="JHS3" s="420"/>
      <c r="JHT3" s="419" t="s">
        <v>23</v>
      </c>
      <c r="JHU3" s="420"/>
      <c r="JHV3" s="420"/>
      <c r="JHW3" s="420"/>
      <c r="JHX3" s="419" t="s">
        <v>23</v>
      </c>
      <c r="JHY3" s="420"/>
      <c r="JHZ3" s="420"/>
      <c r="JIA3" s="420"/>
      <c r="JIB3" s="419" t="s">
        <v>23</v>
      </c>
      <c r="JIC3" s="420"/>
      <c r="JID3" s="420"/>
      <c r="JIE3" s="420"/>
      <c r="JIF3" s="419" t="s">
        <v>23</v>
      </c>
      <c r="JIG3" s="420"/>
      <c r="JIH3" s="420"/>
      <c r="JII3" s="420"/>
      <c r="JIJ3" s="419" t="s">
        <v>23</v>
      </c>
      <c r="JIK3" s="420"/>
      <c r="JIL3" s="420"/>
      <c r="JIM3" s="420"/>
      <c r="JIN3" s="419" t="s">
        <v>23</v>
      </c>
      <c r="JIO3" s="420"/>
      <c r="JIP3" s="420"/>
      <c r="JIQ3" s="420"/>
      <c r="JIR3" s="419" t="s">
        <v>23</v>
      </c>
      <c r="JIS3" s="420"/>
      <c r="JIT3" s="420"/>
      <c r="JIU3" s="420"/>
      <c r="JIV3" s="419" t="s">
        <v>23</v>
      </c>
      <c r="JIW3" s="420"/>
      <c r="JIX3" s="420"/>
      <c r="JIY3" s="420"/>
      <c r="JIZ3" s="419" t="s">
        <v>23</v>
      </c>
      <c r="JJA3" s="420"/>
      <c r="JJB3" s="420"/>
      <c r="JJC3" s="420"/>
      <c r="JJD3" s="419" t="s">
        <v>23</v>
      </c>
      <c r="JJE3" s="420"/>
      <c r="JJF3" s="420"/>
      <c r="JJG3" s="420"/>
      <c r="JJH3" s="419" t="s">
        <v>23</v>
      </c>
      <c r="JJI3" s="420"/>
      <c r="JJJ3" s="420"/>
      <c r="JJK3" s="420"/>
      <c r="JJL3" s="419" t="s">
        <v>23</v>
      </c>
      <c r="JJM3" s="420"/>
      <c r="JJN3" s="420"/>
      <c r="JJO3" s="420"/>
      <c r="JJP3" s="419" t="s">
        <v>23</v>
      </c>
      <c r="JJQ3" s="420"/>
      <c r="JJR3" s="420"/>
      <c r="JJS3" s="420"/>
      <c r="JJT3" s="419" t="s">
        <v>23</v>
      </c>
      <c r="JJU3" s="420"/>
      <c r="JJV3" s="420"/>
      <c r="JJW3" s="420"/>
      <c r="JJX3" s="419" t="s">
        <v>23</v>
      </c>
      <c r="JJY3" s="420"/>
      <c r="JJZ3" s="420"/>
      <c r="JKA3" s="420"/>
      <c r="JKB3" s="419" t="s">
        <v>23</v>
      </c>
      <c r="JKC3" s="420"/>
      <c r="JKD3" s="420"/>
      <c r="JKE3" s="420"/>
      <c r="JKF3" s="419" t="s">
        <v>23</v>
      </c>
      <c r="JKG3" s="420"/>
      <c r="JKH3" s="420"/>
      <c r="JKI3" s="420"/>
      <c r="JKJ3" s="419" t="s">
        <v>23</v>
      </c>
      <c r="JKK3" s="420"/>
      <c r="JKL3" s="420"/>
      <c r="JKM3" s="420"/>
      <c r="JKN3" s="419" t="s">
        <v>23</v>
      </c>
      <c r="JKO3" s="420"/>
      <c r="JKP3" s="420"/>
      <c r="JKQ3" s="420"/>
      <c r="JKR3" s="419" t="s">
        <v>23</v>
      </c>
      <c r="JKS3" s="420"/>
      <c r="JKT3" s="420"/>
      <c r="JKU3" s="420"/>
      <c r="JKV3" s="419" t="s">
        <v>23</v>
      </c>
      <c r="JKW3" s="420"/>
      <c r="JKX3" s="420"/>
      <c r="JKY3" s="420"/>
      <c r="JKZ3" s="419" t="s">
        <v>23</v>
      </c>
      <c r="JLA3" s="420"/>
      <c r="JLB3" s="420"/>
      <c r="JLC3" s="420"/>
      <c r="JLD3" s="419" t="s">
        <v>23</v>
      </c>
      <c r="JLE3" s="420"/>
      <c r="JLF3" s="420"/>
      <c r="JLG3" s="420"/>
      <c r="JLH3" s="419" t="s">
        <v>23</v>
      </c>
      <c r="JLI3" s="420"/>
      <c r="JLJ3" s="420"/>
      <c r="JLK3" s="420"/>
      <c r="JLL3" s="419" t="s">
        <v>23</v>
      </c>
      <c r="JLM3" s="420"/>
      <c r="JLN3" s="420"/>
      <c r="JLO3" s="420"/>
      <c r="JLP3" s="419" t="s">
        <v>23</v>
      </c>
      <c r="JLQ3" s="420"/>
      <c r="JLR3" s="420"/>
      <c r="JLS3" s="420"/>
      <c r="JLT3" s="419" t="s">
        <v>23</v>
      </c>
      <c r="JLU3" s="420"/>
      <c r="JLV3" s="420"/>
      <c r="JLW3" s="420"/>
      <c r="JLX3" s="419" t="s">
        <v>23</v>
      </c>
      <c r="JLY3" s="420"/>
      <c r="JLZ3" s="420"/>
      <c r="JMA3" s="420"/>
      <c r="JMB3" s="419" t="s">
        <v>23</v>
      </c>
      <c r="JMC3" s="420"/>
      <c r="JMD3" s="420"/>
      <c r="JME3" s="420"/>
      <c r="JMF3" s="419" t="s">
        <v>23</v>
      </c>
      <c r="JMG3" s="420"/>
      <c r="JMH3" s="420"/>
      <c r="JMI3" s="420"/>
      <c r="JMJ3" s="419" t="s">
        <v>23</v>
      </c>
      <c r="JMK3" s="420"/>
      <c r="JML3" s="420"/>
      <c r="JMM3" s="420"/>
      <c r="JMN3" s="419" t="s">
        <v>23</v>
      </c>
      <c r="JMO3" s="420"/>
      <c r="JMP3" s="420"/>
      <c r="JMQ3" s="420"/>
      <c r="JMR3" s="419" t="s">
        <v>23</v>
      </c>
      <c r="JMS3" s="420"/>
      <c r="JMT3" s="420"/>
      <c r="JMU3" s="420"/>
      <c r="JMV3" s="419" t="s">
        <v>23</v>
      </c>
      <c r="JMW3" s="420"/>
      <c r="JMX3" s="420"/>
      <c r="JMY3" s="420"/>
      <c r="JMZ3" s="419" t="s">
        <v>23</v>
      </c>
      <c r="JNA3" s="420"/>
      <c r="JNB3" s="420"/>
      <c r="JNC3" s="420"/>
      <c r="JND3" s="419" t="s">
        <v>23</v>
      </c>
      <c r="JNE3" s="420"/>
      <c r="JNF3" s="420"/>
      <c r="JNG3" s="420"/>
      <c r="JNH3" s="419" t="s">
        <v>23</v>
      </c>
      <c r="JNI3" s="420"/>
      <c r="JNJ3" s="420"/>
      <c r="JNK3" s="420"/>
      <c r="JNL3" s="419" t="s">
        <v>23</v>
      </c>
      <c r="JNM3" s="420"/>
      <c r="JNN3" s="420"/>
      <c r="JNO3" s="420"/>
      <c r="JNP3" s="419" t="s">
        <v>23</v>
      </c>
      <c r="JNQ3" s="420"/>
      <c r="JNR3" s="420"/>
      <c r="JNS3" s="420"/>
      <c r="JNT3" s="419" t="s">
        <v>23</v>
      </c>
      <c r="JNU3" s="420"/>
      <c r="JNV3" s="420"/>
      <c r="JNW3" s="420"/>
      <c r="JNX3" s="419" t="s">
        <v>23</v>
      </c>
      <c r="JNY3" s="420"/>
      <c r="JNZ3" s="420"/>
      <c r="JOA3" s="420"/>
      <c r="JOB3" s="419" t="s">
        <v>23</v>
      </c>
      <c r="JOC3" s="420"/>
      <c r="JOD3" s="420"/>
      <c r="JOE3" s="420"/>
      <c r="JOF3" s="419" t="s">
        <v>23</v>
      </c>
      <c r="JOG3" s="420"/>
      <c r="JOH3" s="420"/>
      <c r="JOI3" s="420"/>
      <c r="JOJ3" s="419" t="s">
        <v>23</v>
      </c>
      <c r="JOK3" s="420"/>
      <c r="JOL3" s="420"/>
      <c r="JOM3" s="420"/>
      <c r="JON3" s="419" t="s">
        <v>23</v>
      </c>
      <c r="JOO3" s="420"/>
      <c r="JOP3" s="420"/>
      <c r="JOQ3" s="420"/>
      <c r="JOR3" s="419" t="s">
        <v>23</v>
      </c>
      <c r="JOS3" s="420"/>
      <c r="JOT3" s="420"/>
      <c r="JOU3" s="420"/>
      <c r="JOV3" s="419" t="s">
        <v>23</v>
      </c>
      <c r="JOW3" s="420"/>
      <c r="JOX3" s="420"/>
      <c r="JOY3" s="420"/>
      <c r="JOZ3" s="419" t="s">
        <v>23</v>
      </c>
      <c r="JPA3" s="420"/>
      <c r="JPB3" s="420"/>
      <c r="JPC3" s="420"/>
      <c r="JPD3" s="419" t="s">
        <v>23</v>
      </c>
      <c r="JPE3" s="420"/>
      <c r="JPF3" s="420"/>
      <c r="JPG3" s="420"/>
      <c r="JPH3" s="419" t="s">
        <v>23</v>
      </c>
      <c r="JPI3" s="420"/>
      <c r="JPJ3" s="420"/>
      <c r="JPK3" s="420"/>
      <c r="JPL3" s="419" t="s">
        <v>23</v>
      </c>
      <c r="JPM3" s="420"/>
      <c r="JPN3" s="420"/>
      <c r="JPO3" s="420"/>
      <c r="JPP3" s="419" t="s">
        <v>23</v>
      </c>
      <c r="JPQ3" s="420"/>
      <c r="JPR3" s="420"/>
      <c r="JPS3" s="420"/>
      <c r="JPT3" s="419" t="s">
        <v>23</v>
      </c>
      <c r="JPU3" s="420"/>
      <c r="JPV3" s="420"/>
      <c r="JPW3" s="420"/>
      <c r="JPX3" s="419" t="s">
        <v>23</v>
      </c>
      <c r="JPY3" s="420"/>
      <c r="JPZ3" s="420"/>
      <c r="JQA3" s="420"/>
      <c r="JQB3" s="419" t="s">
        <v>23</v>
      </c>
      <c r="JQC3" s="420"/>
      <c r="JQD3" s="420"/>
      <c r="JQE3" s="420"/>
      <c r="JQF3" s="419" t="s">
        <v>23</v>
      </c>
      <c r="JQG3" s="420"/>
      <c r="JQH3" s="420"/>
      <c r="JQI3" s="420"/>
      <c r="JQJ3" s="419" t="s">
        <v>23</v>
      </c>
      <c r="JQK3" s="420"/>
      <c r="JQL3" s="420"/>
      <c r="JQM3" s="420"/>
      <c r="JQN3" s="419" t="s">
        <v>23</v>
      </c>
      <c r="JQO3" s="420"/>
      <c r="JQP3" s="420"/>
      <c r="JQQ3" s="420"/>
      <c r="JQR3" s="419" t="s">
        <v>23</v>
      </c>
      <c r="JQS3" s="420"/>
      <c r="JQT3" s="420"/>
      <c r="JQU3" s="420"/>
      <c r="JQV3" s="419" t="s">
        <v>23</v>
      </c>
      <c r="JQW3" s="420"/>
      <c r="JQX3" s="420"/>
      <c r="JQY3" s="420"/>
      <c r="JQZ3" s="419" t="s">
        <v>23</v>
      </c>
      <c r="JRA3" s="420"/>
      <c r="JRB3" s="420"/>
      <c r="JRC3" s="420"/>
      <c r="JRD3" s="419" t="s">
        <v>23</v>
      </c>
      <c r="JRE3" s="420"/>
      <c r="JRF3" s="420"/>
      <c r="JRG3" s="420"/>
      <c r="JRH3" s="419" t="s">
        <v>23</v>
      </c>
      <c r="JRI3" s="420"/>
      <c r="JRJ3" s="420"/>
      <c r="JRK3" s="420"/>
      <c r="JRL3" s="419" t="s">
        <v>23</v>
      </c>
      <c r="JRM3" s="420"/>
      <c r="JRN3" s="420"/>
      <c r="JRO3" s="420"/>
      <c r="JRP3" s="419" t="s">
        <v>23</v>
      </c>
      <c r="JRQ3" s="420"/>
      <c r="JRR3" s="420"/>
      <c r="JRS3" s="420"/>
      <c r="JRT3" s="419" t="s">
        <v>23</v>
      </c>
      <c r="JRU3" s="420"/>
      <c r="JRV3" s="420"/>
      <c r="JRW3" s="420"/>
      <c r="JRX3" s="419" t="s">
        <v>23</v>
      </c>
      <c r="JRY3" s="420"/>
      <c r="JRZ3" s="420"/>
      <c r="JSA3" s="420"/>
      <c r="JSB3" s="419" t="s">
        <v>23</v>
      </c>
      <c r="JSC3" s="420"/>
      <c r="JSD3" s="420"/>
      <c r="JSE3" s="420"/>
      <c r="JSF3" s="419" t="s">
        <v>23</v>
      </c>
      <c r="JSG3" s="420"/>
      <c r="JSH3" s="420"/>
      <c r="JSI3" s="420"/>
      <c r="JSJ3" s="419" t="s">
        <v>23</v>
      </c>
      <c r="JSK3" s="420"/>
      <c r="JSL3" s="420"/>
      <c r="JSM3" s="420"/>
      <c r="JSN3" s="419" t="s">
        <v>23</v>
      </c>
      <c r="JSO3" s="420"/>
      <c r="JSP3" s="420"/>
      <c r="JSQ3" s="420"/>
      <c r="JSR3" s="419" t="s">
        <v>23</v>
      </c>
      <c r="JSS3" s="420"/>
      <c r="JST3" s="420"/>
      <c r="JSU3" s="420"/>
      <c r="JSV3" s="419" t="s">
        <v>23</v>
      </c>
      <c r="JSW3" s="420"/>
      <c r="JSX3" s="420"/>
      <c r="JSY3" s="420"/>
      <c r="JSZ3" s="419" t="s">
        <v>23</v>
      </c>
      <c r="JTA3" s="420"/>
      <c r="JTB3" s="420"/>
      <c r="JTC3" s="420"/>
      <c r="JTD3" s="419" t="s">
        <v>23</v>
      </c>
      <c r="JTE3" s="420"/>
      <c r="JTF3" s="420"/>
      <c r="JTG3" s="420"/>
      <c r="JTH3" s="419" t="s">
        <v>23</v>
      </c>
      <c r="JTI3" s="420"/>
      <c r="JTJ3" s="420"/>
      <c r="JTK3" s="420"/>
      <c r="JTL3" s="419" t="s">
        <v>23</v>
      </c>
      <c r="JTM3" s="420"/>
      <c r="JTN3" s="420"/>
      <c r="JTO3" s="420"/>
      <c r="JTP3" s="419" t="s">
        <v>23</v>
      </c>
      <c r="JTQ3" s="420"/>
      <c r="JTR3" s="420"/>
      <c r="JTS3" s="420"/>
      <c r="JTT3" s="419" t="s">
        <v>23</v>
      </c>
      <c r="JTU3" s="420"/>
      <c r="JTV3" s="420"/>
      <c r="JTW3" s="420"/>
      <c r="JTX3" s="419" t="s">
        <v>23</v>
      </c>
      <c r="JTY3" s="420"/>
      <c r="JTZ3" s="420"/>
      <c r="JUA3" s="420"/>
      <c r="JUB3" s="419" t="s">
        <v>23</v>
      </c>
      <c r="JUC3" s="420"/>
      <c r="JUD3" s="420"/>
      <c r="JUE3" s="420"/>
      <c r="JUF3" s="419" t="s">
        <v>23</v>
      </c>
      <c r="JUG3" s="420"/>
      <c r="JUH3" s="420"/>
      <c r="JUI3" s="420"/>
      <c r="JUJ3" s="419" t="s">
        <v>23</v>
      </c>
      <c r="JUK3" s="420"/>
      <c r="JUL3" s="420"/>
      <c r="JUM3" s="420"/>
      <c r="JUN3" s="419" t="s">
        <v>23</v>
      </c>
      <c r="JUO3" s="420"/>
      <c r="JUP3" s="420"/>
      <c r="JUQ3" s="420"/>
      <c r="JUR3" s="419" t="s">
        <v>23</v>
      </c>
      <c r="JUS3" s="420"/>
      <c r="JUT3" s="420"/>
      <c r="JUU3" s="420"/>
      <c r="JUV3" s="419" t="s">
        <v>23</v>
      </c>
      <c r="JUW3" s="420"/>
      <c r="JUX3" s="420"/>
      <c r="JUY3" s="420"/>
      <c r="JUZ3" s="419" t="s">
        <v>23</v>
      </c>
      <c r="JVA3" s="420"/>
      <c r="JVB3" s="420"/>
      <c r="JVC3" s="420"/>
      <c r="JVD3" s="419" t="s">
        <v>23</v>
      </c>
      <c r="JVE3" s="420"/>
      <c r="JVF3" s="420"/>
      <c r="JVG3" s="420"/>
      <c r="JVH3" s="419" t="s">
        <v>23</v>
      </c>
      <c r="JVI3" s="420"/>
      <c r="JVJ3" s="420"/>
      <c r="JVK3" s="420"/>
      <c r="JVL3" s="419" t="s">
        <v>23</v>
      </c>
      <c r="JVM3" s="420"/>
      <c r="JVN3" s="420"/>
      <c r="JVO3" s="420"/>
      <c r="JVP3" s="419" t="s">
        <v>23</v>
      </c>
      <c r="JVQ3" s="420"/>
      <c r="JVR3" s="420"/>
      <c r="JVS3" s="420"/>
      <c r="JVT3" s="419" t="s">
        <v>23</v>
      </c>
      <c r="JVU3" s="420"/>
      <c r="JVV3" s="420"/>
      <c r="JVW3" s="420"/>
      <c r="JVX3" s="419" t="s">
        <v>23</v>
      </c>
      <c r="JVY3" s="420"/>
      <c r="JVZ3" s="420"/>
      <c r="JWA3" s="420"/>
      <c r="JWB3" s="419" t="s">
        <v>23</v>
      </c>
      <c r="JWC3" s="420"/>
      <c r="JWD3" s="420"/>
      <c r="JWE3" s="420"/>
      <c r="JWF3" s="419" t="s">
        <v>23</v>
      </c>
      <c r="JWG3" s="420"/>
      <c r="JWH3" s="420"/>
      <c r="JWI3" s="420"/>
      <c r="JWJ3" s="419" t="s">
        <v>23</v>
      </c>
      <c r="JWK3" s="420"/>
      <c r="JWL3" s="420"/>
      <c r="JWM3" s="420"/>
      <c r="JWN3" s="419" t="s">
        <v>23</v>
      </c>
      <c r="JWO3" s="420"/>
      <c r="JWP3" s="420"/>
      <c r="JWQ3" s="420"/>
      <c r="JWR3" s="419" t="s">
        <v>23</v>
      </c>
      <c r="JWS3" s="420"/>
      <c r="JWT3" s="420"/>
      <c r="JWU3" s="420"/>
      <c r="JWV3" s="419" t="s">
        <v>23</v>
      </c>
      <c r="JWW3" s="420"/>
      <c r="JWX3" s="420"/>
      <c r="JWY3" s="420"/>
      <c r="JWZ3" s="419" t="s">
        <v>23</v>
      </c>
      <c r="JXA3" s="420"/>
      <c r="JXB3" s="420"/>
      <c r="JXC3" s="420"/>
      <c r="JXD3" s="419" t="s">
        <v>23</v>
      </c>
      <c r="JXE3" s="420"/>
      <c r="JXF3" s="420"/>
      <c r="JXG3" s="420"/>
      <c r="JXH3" s="419" t="s">
        <v>23</v>
      </c>
      <c r="JXI3" s="420"/>
      <c r="JXJ3" s="420"/>
      <c r="JXK3" s="420"/>
      <c r="JXL3" s="419" t="s">
        <v>23</v>
      </c>
      <c r="JXM3" s="420"/>
      <c r="JXN3" s="420"/>
      <c r="JXO3" s="420"/>
      <c r="JXP3" s="419" t="s">
        <v>23</v>
      </c>
      <c r="JXQ3" s="420"/>
      <c r="JXR3" s="420"/>
      <c r="JXS3" s="420"/>
      <c r="JXT3" s="419" t="s">
        <v>23</v>
      </c>
      <c r="JXU3" s="420"/>
      <c r="JXV3" s="420"/>
      <c r="JXW3" s="420"/>
      <c r="JXX3" s="419" t="s">
        <v>23</v>
      </c>
      <c r="JXY3" s="420"/>
      <c r="JXZ3" s="420"/>
      <c r="JYA3" s="420"/>
      <c r="JYB3" s="419" t="s">
        <v>23</v>
      </c>
      <c r="JYC3" s="420"/>
      <c r="JYD3" s="420"/>
      <c r="JYE3" s="420"/>
      <c r="JYF3" s="419" t="s">
        <v>23</v>
      </c>
      <c r="JYG3" s="420"/>
      <c r="JYH3" s="420"/>
      <c r="JYI3" s="420"/>
      <c r="JYJ3" s="419" t="s">
        <v>23</v>
      </c>
      <c r="JYK3" s="420"/>
      <c r="JYL3" s="420"/>
      <c r="JYM3" s="420"/>
      <c r="JYN3" s="419" t="s">
        <v>23</v>
      </c>
      <c r="JYO3" s="420"/>
      <c r="JYP3" s="420"/>
      <c r="JYQ3" s="420"/>
      <c r="JYR3" s="419" t="s">
        <v>23</v>
      </c>
      <c r="JYS3" s="420"/>
      <c r="JYT3" s="420"/>
      <c r="JYU3" s="420"/>
      <c r="JYV3" s="419" t="s">
        <v>23</v>
      </c>
      <c r="JYW3" s="420"/>
      <c r="JYX3" s="420"/>
      <c r="JYY3" s="420"/>
      <c r="JYZ3" s="419" t="s">
        <v>23</v>
      </c>
      <c r="JZA3" s="420"/>
      <c r="JZB3" s="420"/>
      <c r="JZC3" s="420"/>
      <c r="JZD3" s="419" t="s">
        <v>23</v>
      </c>
      <c r="JZE3" s="420"/>
      <c r="JZF3" s="420"/>
      <c r="JZG3" s="420"/>
      <c r="JZH3" s="419" t="s">
        <v>23</v>
      </c>
      <c r="JZI3" s="420"/>
      <c r="JZJ3" s="420"/>
      <c r="JZK3" s="420"/>
      <c r="JZL3" s="419" t="s">
        <v>23</v>
      </c>
      <c r="JZM3" s="420"/>
      <c r="JZN3" s="420"/>
      <c r="JZO3" s="420"/>
      <c r="JZP3" s="419" t="s">
        <v>23</v>
      </c>
      <c r="JZQ3" s="420"/>
      <c r="JZR3" s="420"/>
      <c r="JZS3" s="420"/>
      <c r="JZT3" s="419" t="s">
        <v>23</v>
      </c>
      <c r="JZU3" s="420"/>
      <c r="JZV3" s="420"/>
      <c r="JZW3" s="420"/>
      <c r="JZX3" s="419" t="s">
        <v>23</v>
      </c>
      <c r="JZY3" s="420"/>
      <c r="JZZ3" s="420"/>
      <c r="KAA3" s="420"/>
      <c r="KAB3" s="419" t="s">
        <v>23</v>
      </c>
      <c r="KAC3" s="420"/>
      <c r="KAD3" s="420"/>
      <c r="KAE3" s="420"/>
      <c r="KAF3" s="419" t="s">
        <v>23</v>
      </c>
      <c r="KAG3" s="420"/>
      <c r="KAH3" s="420"/>
      <c r="KAI3" s="420"/>
      <c r="KAJ3" s="419" t="s">
        <v>23</v>
      </c>
      <c r="KAK3" s="420"/>
      <c r="KAL3" s="420"/>
      <c r="KAM3" s="420"/>
      <c r="KAN3" s="419" t="s">
        <v>23</v>
      </c>
      <c r="KAO3" s="420"/>
      <c r="KAP3" s="420"/>
      <c r="KAQ3" s="420"/>
      <c r="KAR3" s="419" t="s">
        <v>23</v>
      </c>
      <c r="KAS3" s="420"/>
      <c r="KAT3" s="420"/>
      <c r="KAU3" s="420"/>
      <c r="KAV3" s="419" t="s">
        <v>23</v>
      </c>
      <c r="KAW3" s="420"/>
      <c r="KAX3" s="420"/>
      <c r="KAY3" s="420"/>
      <c r="KAZ3" s="419" t="s">
        <v>23</v>
      </c>
      <c r="KBA3" s="420"/>
      <c r="KBB3" s="420"/>
      <c r="KBC3" s="420"/>
      <c r="KBD3" s="419" t="s">
        <v>23</v>
      </c>
      <c r="KBE3" s="420"/>
      <c r="KBF3" s="420"/>
      <c r="KBG3" s="420"/>
      <c r="KBH3" s="419" t="s">
        <v>23</v>
      </c>
      <c r="KBI3" s="420"/>
      <c r="KBJ3" s="420"/>
      <c r="KBK3" s="420"/>
      <c r="KBL3" s="419" t="s">
        <v>23</v>
      </c>
      <c r="KBM3" s="420"/>
      <c r="KBN3" s="420"/>
      <c r="KBO3" s="420"/>
      <c r="KBP3" s="419" t="s">
        <v>23</v>
      </c>
      <c r="KBQ3" s="420"/>
      <c r="KBR3" s="420"/>
      <c r="KBS3" s="420"/>
      <c r="KBT3" s="419" t="s">
        <v>23</v>
      </c>
      <c r="KBU3" s="420"/>
      <c r="KBV3" s="420"/>
      <c r="KBW3" s="420"/>
      <c r="KBX3" s="419" t="s">
        <v>23</v>
      </c>
      <c r="KBY3" s="420"/>
      <c r="KBZ3" s="420"/>
      <c r="KCA3" s="420"/>
      <c r="KCB3" s="419" t="s">
        <v>23</v>
      </c>
      <c r="KCC3" s="420"/>
      <c r="KCD3" s="420"/>
      <c r="KCE3" s="420"/>
      <c r="KCF3" s="419" t="s">
        <v>23</v>
      </c>
      <c r="KCG3" s="420"/>
      <c r="KCH3" s="420"/>
      <c r="KCI3" s="420"/>
      <c r="KCJ3" s="419" t="s">
        <v>23</v>
      </c>
      <c r="KCK3" s="420"/>
      <c r="KCL3" s="420"/>
      <c r="KCM3" s="420"/>
      <c r="KCN3" s="419" t="s">
        <v>23</v>
      </c>
      <c r="KCO3" s="420"/>
      <c r="KCP3" s="420"/>
      <c r="KCQ3" s="420"/>
      <c r="KCR3" s="419" t="s">
        <v>23</v>
      </c>
      <c r="KCS3" s="420"/>
      <c r="KCT3" s="420"/>
      <c r="KCU3" s="420"/>
      <c r="KCV3" s="419" t="s">
        <v>23</v>
      </c>
      <c r="KCW3" s="420"/>
      <c r="KCX3" s="420"/>
      <c r="KCY3" s="420"/>
      <c r="KCZ3" s="419" t="s">
        <v>23</v>
      </c>
      <c r="KDA3" s="420"/>
      <c r="KDB3" s="420"/>
      <c r="KDC3" s="420"/>
      <c r="KDD3" s="419" t="s">
        <v>23</v>
      </c>
      <c r="KDE3" s="420"/>
      <c r="KDF3" s="420"/>
      <c r="KDG3" s="420"/>
      <c r="KDH3" s="419" t="s">
        <v>23</v>
      </c>
      <c r="KDI3" s="420"/>
      <c r="KDJ3" s="420"/>
      <c r="KDK3" s="420"/>
      <c r="KDL3" s="419" t="s">
        <v>23</v>
      </c>
      <c r="KDM3" s="420"/>
      <c r="KDN3" s="420"/>
      <c r="KDO3" s="420"/>
      <c r="KDP3" s="419" t="s">
        <v>23</v>
      </c>
      <c r="KDQ3" s="420"/>
      <c r="KDR3" s="420"/>
      <c r="KDS3" s="420"/>
      <c r="KDT3" s="419" t="s">
        <v>23</v>
      </c>
      <c r="KDU3" s="420"/>
      <c r="KDV3" s="420"/>
      <c r="KDW3" s="420"/>
      <c r="KDX3" s="419" t="s">
        <v>23</v>
      </c>
      <c r="KDY3" s="420"/>
      <c r="KDZ3" s="420"/>
      <c r="KEA3" s="420"/>
      <c r="KEB3" s="419" t="s">
        <v>23</v>
      </c>
      <c r="KEC3" s="420"/>
      <c r="KED3" s="420"/>
      <c r="KEE3" s="420"/>
      <c r="KEF3" s="419" t="s">
        <v>23</v>
      </c>
      <c r="KEG3" s="420"/>
      <c r="KEH3" s="420"/>
      <c r="KEI3" s="420"/>
      <c r="KEJ3" s="419" t="s">
        <v>23</v>
      </c>
      <c r="KEK3" s="420"/>
      <c r="KEL3" s="420"/>
      <c r="KEM3" s="420"/>
      <c r="KEN3" s="419" t="s">
        <v>23</v>
      </c>
      <c r="KEO3" s="420"/>
      <c r="KEP3" s="420"/>
      <c r="KEQ3" s="420"/>
      <c r="KER3" s="419" t="s">
        <v>23</v>
      </c>
      <c r="KES3" s="420"/>
      <c r="KET3" s="420"/>
      <c r="KEU3" s="420"/>
      <c r="KEV3" s="419" t="s">
        <v>23</v>
      </c>
      <c r="KEW3" s="420"/>
      <c r="KEX3" s="420"/>
      <c r="KEY3" s="420"/>
      <c r="KEZ3" s="419" t="s">
        <v>23</v>
      </c>
      <c r="KFA3" s="420"/>
      <c r="KFB3" s="420"/>
      <c r="KFC3" s="420"/>
      <c r="KFD3" s="419" t="s">
        <v>23</v>
      </c>
      <c r="KFE3" s="420"/>
      <c r="KFF3" s="420"/>
      <c r="KFG3" s="420"/>
      <c r="KFH3" s="419" t="s">
        <v>23</v>
      </c>
      <c r="KFI3" s="420"/>
      <c r="KFJ3" s="420"/>
      <c r="KFK3" s="420"/>
      <c r="KFL3" s="419" t="s">
        <v>23</v>
      </c>
      <c r="KFM3" s="420"/>
      <c r="KFN3" s="420"/>
      <c r="KFO3" s="420"/>
      <c r="KFP3" s="419" t="s">
        <v>23</v>
      </c>
      <c r="KFQ3" s="420"/>
      <c r="KFR3" s="420"/>
      <c r="KFS3" s="420"/>
      <c r="KFT3" s="419" t="s">
        <v>23</v>
      </c>
      <c r="KFU3" s="420"/>
      <c r="KFV3" s="420"/>
      <c r="KFW3" s="420"/>
      <c r="KFX3" s="419" t="s">
        <v>23</v>
      </c>
      <c r="KFY3" s="420"/>
      <c r="KFZ3" s="420"/>
      <c r="KGA3" s="420"/>
      <c r="KGB3" s="419" t="s">
        <v>23</v>
      </c>
      <c r="KGC3" s="420"/>
      <c r="KGD3" s="420"/>
      <c r="KGE3" s="420"/>
      <c r="KGF3" s="419" t="s">
        <v>23</v>
      </c>
      <c r="KGG3" s="420"/>
      <c r="KGH3" s="420"/>
      <c r="KGI3" s="420"/>
      <c r="KGJ3" s="419" t="s">
        <v>23</v>
      </c>
      <c r="KGK3" s="420"/>
      <c r="KGL3" s="420"/>
      <c r="KGM3" s="420"/>
      <c r="KGN3" s="419" t="s">
        <v>23</v>
      </c>
      <c r="KGO3" s="420"/>
      <c r="KGP3" s="420"/>
      <c r="KGQ3" s="420"/>
      <c r="KGR3" s="419" t="s">
        <v>23</v>
      </c>
      <c r="KGS3" s="420"/>
      <c r="KGT3" s="420"/>
      <c r="KGU3" s="420"/>
      <c r="KGV3" s="419" t="s">
        <v>23</v>
      </c>
      <c r="KGW3" s="420"/>
      <c r="KGX3" s="420"/>
      <c r="KGY3" s="420"/>
      <c r="KGZ3" s="419" t="s">
        <v>23</v>
      </c>
      <c r="KHA3" s="420"/>
      <c r="KHB3" s="420"/>
      <c r="KHC3" s="420"/>
      <c r="KHD3" s="419" t="s">
        <v>23</v>
      </c>
      <c r="KHE3" s="420"/>
      <c r="KHF3" s="420"/>
      <c r="KHG3" s="420"/>
      <c r="KHH3" s="419" t="s">
        <v>23</v>
      </c>
      <c r="KHI3" s="420"/>
      <c r="KHJ3" s="420"/>
      <c r="KHK3" s="420"/>
      <c r="KHL3" s="419" t="s">
        <v>23</v>
      </c>
      <c r="KHM3" s="420"/>
      <c r="KHN3" s="420"/>
      <c r="KHO3" s="420"/>
      <c r="KHP3" s="419" t="s">
        <v>23</v>
      </c>
      <c r="KHQ3" s="420"/>
      <c r="KHR3" s="420"/>
      <c r="KHS3" s="420"/>
      <c r="KHT3" s="419" t="s">
        <v>23</v>
      </c>
      <c r="KHU3" s="420"/>
      <c r="KHV3" s="420"/>
      <c r="KHW3" s="420"/>
      <c r="KHX3" s="419" t="s">
        <v>23</v>
      </c>
      <c r="KHY3" s="420"/>
      <c r="KHZ3" s="420"/>
      <c r="KIA3" s="420"/>
      <c r="KIB3" s="419" t="s">
        <v>23</v>
      </c>
      <c r="KIC3" s="420"/>
      <c r="KID3" s="420"/>
      <c r="KIE3" s="420"/>
      <c r="KIF3" s="419" t="s">
        <v>23</v>
      </c>
      <c r="KIG3" s="420"/>
      <c r="KIH3" s="420"/>
      <c r="KII3" s="420"/>
      <c r="KIJ3" s="419" t="s">
        <v>23</v>
      </c>
      <c r="KIK3" s="420"/>
      <c r="KIL3" s="420"/>
      <c r="KIM3" s="420"/>
      <c r="KIN3" s="419" t="s">
        <v>23</v>
      </c>
      <c r="KIO3" s="420"/>
      <c r="KIP3" s="420"/>
      <c r="KIQ3" s="420"/>
      <c r="KIR3" s="419" t="s">
        <v>23</v>
      </c>
      <c r="KIS3" s="420"/>
      <c r="KIT3" s="420"/>
      <c r="KIU3" s="420"/>
      <c r="KIV3" s="419" t="s">
        <v>23</v>
      </c>
      <c r="KIW3" s="420"/>
      <c r="KIX3" s="420"/>
      <c r="KIY3" s="420"/>
      <c r="KIZ3" s="419" t="s">
        <v>23</v>
      </c>
      <c r="KJA3" s="420"/>
      <c r="KJB3" s="420"/>
      <c r="KJC3" s="420"/>
      <c r="KJD3" s="419" t="s">
        <v>23</v>
      </c>
      <c r="KJE3" s="420"/>
      <c r="KJF3" s="420"/>
      <c r="KJG3" s="420"/>
      <c r="KJH3" s="419" t="s">
        <v>23</v>
      </c>
      <c r="KJI3" s="420"/>
      <c r="KJJ3" s="420"/>
      <c r="KJK3" s="420"/>
      <c r="KJL3" s="419" t="s">
        <v>23</v>
      </c>
      <c r="KJM3" s="420"/>
      <c r="KJN3" s="420"/>
      <c r="KJO3" s="420"/>
      <c r="KJP3" s="419" t="s">
        <v>23</v>
      </c>
      <c r="KJQ3" s="420"/>
      <c r="KJR3" s="420"/>
      <c r="KJS3" s="420"/>
      <c r="KJT3" s="419" t="s">
        <v>23</v>
      </c>
      <c r="KJU3" s="420"/>
      <c r="KJV3" s="420"/>
      <c r="KJW3" s="420"/>
      <c r="KJX3" s="419" t="s">
        <v>23</v>
      </c>
      <c r="KJY3" s="420"/>
      <c r="KJZ3" s="420"/>
      <c r="KKA3" s="420"/>
      <c r="KKB3" s="419" t="s">
        <v>23</v>
      </c>
      <c r="KKC3" s="420"/>
      <c r="KKD3" s="420"/>
      <c r="KKE3" s="420"/>
      <c r="KKF3" s="419" t="s">
        <v>23</v>
      </c>
      <c r="KKG3" s="420"/>
      <c r="KKH3" s="420"/>
      <c r="KKI3" s="420"/>
      <c r="KKJ3" s="419" t="s">
        <v>23</v>
      </c>
      <c r="KKK3" s="420"/>
      <c r="KKL3" s="420"/>
      <c r="KKM3" s="420"/>
      <c r="KKN3" s="419" t="s">
        <v>23</v>
      </c>
      <c r="KKO3" s="420"/>
      <c r="KKP3" s="420"/>
      <c r="KKQ3" s="420"/>
      <c r="KKR3" s="419" t="s">
        <v>23</v>
      </c>
      <c r="KKS3" s="420"/>
      <c r="KKT3" s="420"/>
      <c r="KKU3" s="420"/>
      <c r="KKV3" s="419" t="s">
        <v>23</v>
      </c>
      <c r="KKW3" s="420"/>
      <c r="KKX3" s="420"/>
      <c r="KKY3" s="420"/>
      <c r="KKZ3" s="419" t="s">
        <v>23</v>
      </c>
      <c r="KLA3" s="420"/>
      <c r="KLB3" s="420"/>
      <c r="KLC3" s="420"/>
      <c r="KLD3" s="419" t="s">
        <v>23</v>
      </c>
      <c r="KLE3" s="420"/>
      <c r="KLF3" s="420"/>
      <c r="KLG3" s="420"/>
      <c r="KLH3" s="419" t="s">
        <v>23</v>
      </c>
      <c r="KLI3" s="420"/>
      <c r="KLJ3" s="420"/>
      <c r="KLK3" s="420"/>
      <c r="KLL3" s="419" t="s">
        <v>23</v>
      </c>
      <c r="KLM3" s="420"/>
      <c r="KLN3" s="420"/>
      <c r="KLO3" s="420"/>
      <c r="KLP3" s="419" t="s">
        <v>23</v>
      </c>
      <c r="KLQ3" s="420"/>
      <c r="KLR3" s="420"/>
      <c r="KLS3" s="420"/>
      <c r="KLT3" s="419" t="s">
        <v>23</v>
      </c>
      <c r="KLU3" s="420"/>
      <c r="KLV3" s="420"/>
      <c r="KLW3" s="420"/>
      <c r="KLX3" s="419" t="s">
        <v>23</v>
      </c>
      <c r="KLY3" s="420"/>
      <c r="KLZ3" s="420"/>
      <c r="KMA3" s="420"/>
      <c r="KMB3" s="419" t="s">
        <v>23</v>
      </c>
      <c r="KMC3" s="420"/>
      <c r="KMD3" s="420"/>
      <c r="KME3" s="420"/>
      <c r="KMF3" s="419" t="s">
        <v>23</v>
      </c>
      <c r="KMG3" s="420"/>
      <c r="KMH3" s="420"/>
      <c r="KMI3" s="420"/>
      <c r="KMJ3" s="419" t="s">
        <v>23</v>
      </c>
      <c r="KMK3" s="420"/>
      <c r="KML3" s="420"/>
      <c r="KMM3" s="420"/>
      <c r="KMN3" s="419" t="s">
        <v>23</v>
      </c>
      <c r="KMO3" s="420"/>
      <c r="KMP3" s="420"/>
      <c r="KMQ3" s="420"/>
      <c r="KMR3" s="419" t="s">
        <v>23</v>
      </c>
      <c r="KMS3" s="420"/>
      <c r="KMT3" s="420"/>
      <c r="KMU3" s="420"/>
      <c r="KMV3" s="419" t="s">
        <v>23</v>
      </c>
      <c r="KMW3" s="420"/>
      <c r="KMX3" s="420"/>
      <c r="KMY3" s="420"/>
      <c r="KMZ3" s="419" t="s">
        <v>23</v>
      </c>
      <c r="KNA3" s="420"/>
      <c r="KNB3" s="420"/>
      <c r="KNC3" s="420"/>
      <c r="KND3" s="419" t="s">
        <v>23</v>
      </c>
      <c r="KNE3" s="420"/>
      <c r="KNF3" s="420"/>
      <c r="KNG3" s="420"/>
      <c r="KNH3" s="419" t="s">
        <v>23</v>
      </c>
      <c r="KNI3" s="420"/>
      <c r="KNJ3" s="420"/>
      <c r="KNK3" s="420"/>
      <c r="KNL3" s="419" t="s">
        <v>23</v>
      </c>
      <c r="KNM3" s="420"/>
      <c r="KNN3" s="420"/>
      <c r="KNO3" s="420"/>
      <c r="KNP3" s="419" t="s">
        <v>23</v>
      </c>
      <c r="KNQ3" s="420"/>
      <c r="KNR3" s="420"/>
      <c r="KNS3" s="420"/>
      <c r="KNT3" s="419" t="s">
        <v>23</v>
      </c>
      <c r="KNU3" s="420"/>
      <c r="KNV3" s="420"/>
      <c r="KNW3" s="420"/>
      <c r="KNX3" s="419" t="s">
        <v>23</v>
      </c>
      <c r="KNY3" s="420"/>
      <c r="KNZ3" s="420"/>
      <c r="KOA3" s="420"/>
      <c r="KOB3" s="419" t="s">
        <v>23</v>
      </c>
      <c r="KOC3" s="420"/>
      <c r="KOD3" s="420"/>
      <c r="KOE3" s="420"/>
      <c r="KOF3" s="419" t="s">
        <v>23</v>
      </c>
      <c r="KOG3" s="420"/>
      <c r="KOH3" s="420"/>
      <c r="KOI3" s="420"/>
      <c r="KOJ3" s="419" t="s">
        <v>23</v>
      </c>
      <c r="KOK3" s="420"/>
      <c r="KOL3" s="420"/>
      <c r="KOM3" s="420"/>
      <c r="KON3" s="419" t="s">
        <v>23</v>
      </c>
      <c r="KOO3" s="420"/>
      <c r="KOP3" s="420"/>
      <c r="KOQ3" s="420"/>
      <c r="KOR3" s="419" t="s">
        <v>23</v>
      </c>
      <c r="KOS3" s="420"/>
      <c r="KOT3" s="420"/>
      <c r="KOU3" s="420"/>
      <c r="KOV3" s="419" t="s">
        <v>23</v>
      </c>
      <c r="KOW3" s="420"/>
      <c r="KOX3" s="420"/>
      <c r="KOY3" s="420"/>
      <c r="KOZ3" s="419" t="s">
        <v>23</v>
      </c>
      <c r="KPA3" s="420"/>
      <c r="KPB3" s="420"/>
      <c r="KPC3" s="420"/>
      <c r="KPD3" s="419" t="s">
        <v>23</v>
      </c>
      <c r="KPE3" s="420"/>
      <c r="KPF3" s="420"/>
      <c r="KPG3" s="420"/>
      <c r="KPH3" s="419" t="s">
        <v>23</v>
      </c>
      <c r="KPI3" s="420"/>
      <c r="KPJ3" s="420"/>
      <c r="KPK3" s="420"/>
      <c r="KPL3" s="419" t="s">
        <v>23</v>
      </c>
      <c r="KPM3" s="420"/>
      <c r="KPN3" s="420"/>
      <c r="KPO3" s="420"/>
      <c r="KPP3" s="419" t="s">
        <v>23</v>
      </c>
      <c r="KPQ3" s="420"/>
      <c r="KPR3" s="420"/>
      <c r="KPS3" s="420"/>
      <c r="KPT3" s="419" t="s">
        <v>23</v>
      </c>
      <c r="KPU3" s="420"/>
      <c r="KPV3" s="420"/>
      <c r="KPW3" s="420"/>
      <c r="KPX3" s="419" t="s">
        <v>23</v>
      </c>
      <c r="KPY3" s="420"/>
      <c r="KPZ3" s="420"/>
      <c r="KQA3" s="420"/>
      <c r="KQB3" s="419" t="s">
        <v>23</v>
      </c>
      <c r="KQC3" s="420"/>
      <c r="KQD3" s="420"/>
      <c r="KQE3" s="420"/>
      <c r="KQF3" s="419" t="s">
        <v>23</v>
      </c>
      <c r="KQG3" s="420"/>
      <c r="KQH3" s="420"/>
      <c r="KQI3" s="420"/>
      <c r="KQJ3" s="419" t="s">
        <v>23</v>
      </c>
      <c r="KQK3" s="420"/>
      <c r="KQL3" s="420"/>
      <c r="KQM3" s="420"/>
      <c r="KQN3" s="419" t="s">
        <v>23</v>
      </c>
      <c r="KQO3" s="420"/>
      <c r="KQP3" s="420"/>
      <c r="KQQ3" s="420"/>
      <c r="KQR3" s="419" t="s">
        <v>23</v>
      </c>
      <c r="KQS3" s="420"/>
      <c r="KQT3" s="420"/>
      <c r="KQU3" s="420"/>
      <c r="KQV3" s="419" t="s">
        <v>23</v>
      </c>
      <c r="KQW3" s="420"/>
      <c r="KQX3" s="420"/>
      <c r="KQY3" s="420"/>
      <c r="KQZ3" s="419" t="s">
        <v>23</v>
      </c>
      <c r="KRA3" s="420"/>
      <c r="KRB3" s="420"/>
      <c r="KRC3" s="420"/>
      <c r="KRD3" s="419" t="s">
        <v>23</v>
      </c>
      <c r="KRE3" s="420"/>
      <c r="KRF3" s="420"/>
      <c r="KRG3" s="420"/>
      <c r="KRH3" s="419" t="s">
        <v>23</v>
      </c>
      <c r="KRI3" s="420"/>
      <c r="KRJ3" s="420"/>
      <c r="KRK3" s="420"/>
      <c r="KRL3" s="419" t="s">
        <v>23</v>
      </c>
      <c r="KRM3" s="420"/>
      <c r="KRN3" s="420"/>
      <c r="KRO3" s="420"/>
      <c r="KRP3" s="419" t="s">
        <v>23</v>
      </c>
      <c r="KRQ3" s="420"/>
      <c r="KRR3" s="420"/>
      <c r="KRS3" s="420"/>
      <c r="KRT3" s="419" t="s">
        <v>23</v>
      </c>
      <c r="KRU3" s="420"/>
      <c r="KRV3" s="420"/>
      <c r="KRW3" s="420"/>
      <c r="KRX3" s="419" t="s">
        <v>23</v>
      </c>
      <c r="KRY3" s="420"/>
      <c r="KRZ3" s="420"/>
      <c r="KSA3" s="420"/>
      <c r="KSB3" s="419" t="s">
        <v>23</v>
      </c>
      <c r="KSC3" s="420"/>
      <c r="KSD3" s="420"/>
      <c r="KSE3" s="420"/>
      <c r="KSF3" s="419" t="s">
        <v>23</v>
      </c>
      <c r="KSG3" s="420"/>
      <c r="KSH3" s="420"/>
      <c r="KSI3" s="420"/>
      <c r="KSJ3" s="419" t="s">
        <v>23</v>
      </c>
      <c r="KSK3" s="420"/>
      <c r="KSL3" s="420"/>
      <c r="KSM3" s="420"/>
      <c r="KSN3" s="419" t="s">
        <v>23</v>
      </c>
      <c r="KSO3" s="420"/>
      <c r="KSP3" s="420"/>
      <c r="KSQ3" s="420"/>
      <c r="KSR3" s="419" t="s">
        <v>23</v>
      </c>
      <c r="KSS3" s="420"/>
      <c r="KST3" s="420"/>
      <c r="KSU3" s="420"/>
      <c r="KSV3" s="419" t="s">
        <v>23</v>
      </c>
      <c r="KSW3" s="420"/>
      <c r="KSX3" s="420"/>
      <c r="KSY3" s="420"/>
      <c r="KSZ3" s="419" t="s">
        <v>23</v>
      </c>
      <c r="KTA3" s="420"/>
      <c r="KTB3" s="420"/>
      <c r="KTC3" s="420"/>
      <c r="KTD3" s="419" t="s">
        <v>23</v>
      </c>
      <c r="KTE3" s="420"/>
      <c r="KTF3" s="420"/>
      <c r="KTG3" s="420"/>
      <c r="KTH3" s="419" t="s">
        <v>23</v>
      </c>
      <c r="KTI3" s="420"/>
      <c r="KTJ3" s="420"/>
      <c r="KTK3" s="420"/>
      <c r="KTL3" s="419" t="s">
        <v>23</v>
      </c>
      <c r="KTM3" s="420"/>
      <c r="KTN3" s="420"/>
      <c r="KTO3" s="420"/>
      <c r="KTP3" s="419" t="s">
        <v>23</v>
      </c>
      <c r="KTQ3" s="420"/>
      <c r="KTR3" s="420"/>
      <c r="KTS3" s="420"/>
      <c r="KTT3" s="419" t="s">
        <v>23</v>
      </c>
      <c r="KTU3" s="420"/>
      <c r="KTV3" s="420"/>
      <c r="KTW3" s="420"/>
      <c r="KTX3" s="419" t="s">
        <v>23</v>
      </c>
      <c r="KTY3" s="420"/>
      <c r="KTZ3" s="420"/>
      <c r="KUA3" s="420"/>
      <c r="KUB3" s="419" t="s">
        <v>23</v>
      </c>
      <c r="KUC3" s="420"/>
      <c r="KUD3" s="420"/>
      <c r="KUE3" s="420"/>
      <c r="KUF3" s="419" t="s">
        <v>23</v>
      </c>
      <c r="KUG3" s="420"/>
      <c r="KUH3" s="420"/>
      <c r="KUI3" s="420"/>
      <c r="KUJ3" s="419" t="s">
        <v>23</v>
      </c>
      <c r="KUK3" s="420"/>
      <c r="KUL3" s="420"/>
      <c r="KUM3" s="420"/>
      <c r="KUN3" s="419" t="s">
        <v>23</v>
      </c>
      <c r="KUO3" s="420"/>
      <c r="KUP3" s="420"/>
      <c r="KUQ3" s="420"/>
      <c r="KUR3" s="419" t="s">
        <v>23</v>
      </c>
      <c r="KUS3" s="420"/>
      <c r="KUT3" s="420"/>
      <c r="KUU3" s="420"/>
      <c r="KUV3" s="419" t="s">
        <v>23</v>
      </c>
      <c r="KUW3" s="420"/>
      <c r="KUX3" s="420"/>
      <c r="KUY3" s="420"/>
      <c r="KUZ3" s="419" t="s">
        <v>23</v>
      </c>
      <c r="KVA3" s="420"/>
      <c r="KVB3" s="420"/>
      <c r="KVC3" s="420"/>
      <c r="KVD3" s="419" t="s">
        <v>23</v>
      </c>
      <c r="KVE3" s="420"/>
      <c r="KVF3" s="420"/>
      <c r="KVG3" s="420"/>
      <c r="KVH3" s="419" t="s">
        <v>23</v>
      </c>
      <c r="KVI3" s="420"/>
      <c r="KVJ3" s="420"/>
      <c r="KVK3" s="420"/>
      <c r="KVL3" s="419" t="s">
        <v>23</v>
      </c>
      <c r="KVM3" s="420"/>
      <c r="KVN3" s="420"/>
      <c r="KVO3" s="420"/>
      <c r="KVP3" s="419" t="s">
        <v>23</v>
      </c>
      <c r="KVQ3" s="420"/>
      <c r="KVR3" s="420"/>
      <c r="KVS3" s="420"/>
      <c r="KVT3" s="419" t="s">
        <v>23</v>
      </c>
      <c r="KVU3" s="420"/>
      <c r="KVV3" s="420"/>
      <c r="KVW3" s="420"/>
      <c r="KVX3" s="419" t="s">
        <v>23</v>
      </c>
      <c r="KVY3" s="420"/>
      <c r="KVZ3" s="420"/>
      <c r="KWA3" s="420"/>
      <c r="KWB3" s="419" t="s">
        <v>23</v>
      </c>
      <c r="KWC3" s="420"/>
      <c r="KWD3" s="420"/>
      <c r="KWE3" s="420"/>
      <c r="KWF3" s="419" t="s">
        <v>23</v>
      </c>
      <c r="KWG3" s="420"/>
      <c r="KWH3" s="420"/>
      <c r="KWI3" s="420"/>
      <c r="KWJ3" s="419" t="s">
        <v>23</v>
      </c>
      <c r="KWK3" s="420"/>
      <c r="KWL3" s="420"/>
      <c r="KWM3" s="420"/>
      <c r="KWN3" s="419" t="s">
        <v>23</v>
      </c>
      <c r="KWO3" s="420"/>
      <c r="KWP3" s="420"/>
      <c r="KWQ3" s="420"/>
      <c r="KWR3" s="419" t="s">
        <v>23</v>
      </c>
      <c r="KWS3" s="420"/>
      <c r="KWT3" s="420"/>
      <c r="KWU3" s="420"/>
      <c r="KWV3" s="419" t="s">
        <v>23</v>
      </c>
      <c r="KWW3" s="420"/>
      <c r="KWX3" s="420"/>
      <c r="KWY3" s="420"/>
      <c r="KWZ3" s="419" t="s">
        <v>23</v>
      </c>
      <c r="KXA3" s="420"/>
      <c r="KXB3" s="420"/>
      <c r="KXC3" s="420"/>
      <c r="KXD3" s="419" t="s">
        <v>23</v>
      </c>
      <c r="KXE3" s="420"/>
      <c r="KXF3" s="420"/>
      <c r="KXG3" s="420"/>
      <c r="KXH3" s="419" t="s">
        <v>23</v>
      </c>
      <c r="KXI3" s="420"/>
      <c r="KXJ3" s="420"/>
      <c r="KXK3" s="420"/>
      <c r="KXL3" s="419" t="s">
        <v>23</v>
      </c>
      <c r="KXM3" s="420"/>
      <c r="KXN3" s="420"/>
      <c r="KXO3" s="420"/>
      <c r="KXP3" s="419" t="s">
        <v>23</v>
      </c>
      <c r="KXQ3" s="420"/>
      <c r="KXR3" s="420"/>
      <c r="KXS3" s="420"/>
      <c r="KXT3" s="419" t="s">
        <v>23</v>
      </c>
      <c r="KXU3" s="420"/>
      <c r="KXV3" s="420"/>
      <c r="KXW3" s="420"/>
      <c r="KXX3" s="419" t="s">
        <v>23</v>
      </c>
      <c r="KXY3" s="420"/>
      <c r="KXZ3" s="420"/>
      <c r="KYA3" s="420"/>
      <c r="KYB3" s="419" t="s">
        <v>23</v>
      </c>
      <c r="KYC3" s="420"/>
      <c r="KYD3" s="420"/>
      <c r="KYE3" s="420"/>
      <c r="KYF3" s="419" t="s">
        <v>23</v>
      </c>
      <c r="KYG3" s="420"/>
      <c r="KYH3" s="420"/>
      <c r="KYI3" s="420"/>
      <c r="KYJ3" s="419" t="s">
        <v>23</v>
      </c>
      <c r="KYK3" s="420"/>
      <c r="KYL3" s="420"/>
      <c r="KYM3" s="420"/>
      <c r="KYN3" s="419" t="s">
        <v>23</v>
      </c>
      <c r="KYO3" s="420"/>
      <c r="KYP3" s="420"/>
      <c r="KYQ3" s="420"/>
      <c r="KYR3" s="419" t="s">
        <v>23</v>
      </c>
      <c r="KYS3" s="420"/>
      <c r="KYT3" s="420"/>
      <c r="KYU3" s="420"/>
      <c r="KYV3" s="419" t="s">
        <v>23</v>
      </c>
      <c r="KYW3" s="420"/>
      <c r="KYX3" s="420"/>
      <c r="KYY3" s="420"/>
      <c r="KYZ3" s="419" t="s">
        <v>23</v>
      </c>
      <c r="KZA3" s="420"/>
      <c r="KZB3" s="420"/>
      <c r="KZC3" s="420"/>
      <c r="KZD3" s="419" t="s">
        <v>23</v>
      </c>
      <c r="KZE3" s="420"/>
      <c r="KZF3" s="420"/>
      <c r="KZG3" s="420"/>
      <c r="KZH3" s="419" t="s">
        <v>23</v>
      </c>
      <c r="KZI3" s="420"/>
      <c r="KZJ3" s="420"/>
      <c r="KZK3" s="420"/>
      <c r="KZL3" s="419" t="s">
        <v>23</v>
      </c>
      <c r="KZM3" s="420"/>
      <c r="KZN3" s="420"/>
      <c r="KZO3" s="420"/>
      <c r="KZP3" s="419" t="s">
        <v>23</v>
      </c>
      <c r="KZQ3" s="420"/>
      <c r="KZR3" s="420"/>
      <c r="KZS3" s="420"/>
      <c r="KZT3" s="419" t="s">
        <v>23</v>
      </c>
      <c r="KZU3" s="420"/>
      <c r="KZV3" s="420"/>
      <c r="KZW3" s="420"/>
      <c r="KZX3" s="419" t="s">
        <v>23</v>
      </c>
      <c r="KZY3" s="420"/>
      <c r="KZZ3" s="420"/>
      <c r="LAA3" s="420"/>
      <c r="LAB3" s="419" t="s">
        <v>23</v>
      </c>
      <c r="LAC3" s="420"/>
      <c r="LAD3" s="420"/>
      <c r="LAE3" s="420"/>
      <c r="LAF3" s="419" t="s">
        <v>23</v>
      </c>
      <c r="LAG3" s="420"/>
      <c r="LAH3" s="420"/>
      <c r="LAI3" s="420"/>
      <c r="LAJ3" s="419" t="s">
        <v>23</v>
      </c>
      <c r="LAK3" s="420"/>
      <c r="LAL3" s="420"/>
      <c r="LAM3" s="420"/>
      <c r="LAN3" s="419" t="s">
        <v>23</v>
      </c>
      <c r="LAO3" s="420"/>
      <c r="LAP3" s="420"/>
      <c r="LAQ3" s="420"/>
      <c r="LAR3" s="419" t="s">
        <v>23</v>
      </c>
      <c r="LAS3" s="420"/>
      <c r="LAT3" s="420"/>
      <c r="LAU3" s="420"/>
      <c r="LAV3" s="419" t="s">
        <v>23</v>
      </c>
      <c r="LAW3" s="420"/>
      <c r="LAX3" s="420"/>
      <c r="LAY3" s="420"/>
      <c r="LAZ3" s="419" t="s">
        <v>23</v>
      </c>
      <c r="LBA3" s="420"/>
      <c r="LBB3" s="420"/>
      <c r="LBC3" s="420"/>
      <c r="LBD3" s="419" t="s">
        <v>23</v>
      </c>
      <c r="LBE3" s="420"/>
      <c r="LBF3" s="420"/>
      <c r="LBG3" s="420"/>
      <c r="LBH3" s="419" t="s">
        <v>23</v>
      </c>
      <c r="LBI3" s="420"/>
      <c r="LBJ3" s="420"/>
      <c r="LBK3" s="420"/>
      <c r="LBL3" s="419" t="s">
        <v>23</v>
      </c>
      <c r="LBM3" s="420"/>
      <c r="LBN3" s="420"/>
      <c r="LBO3" s="420"/>
      <c r="LBP3" s="419" t="s">
        <v>23</v>
      </c>
      <c r="LBQ3" s="420"/>
      <c r="LBR3" s="420"/>
      <c r="LBS3" s="420"/>
      <c r="LBT3" s="419" t="s">
        <v>23</v>
      </c>
      <c r="LBU3" s="420"/>
      <c r="LBV3" s="420"/>
      <c r="LBW3" s="420"/>
      <c r="LBX3" s="419" t="s">
        <v>23</v>
      </c>
      <c r="LBY3" s="420"/>
      <c r="LBZ3" s="420"/>
      <c r="LCA3" s="420"/>
      <c r="LCB3" s="419" t="s">
        <v>23</v>
      </c>
      <c r="LCC3" s="420"/>
      <c r="LCD3" s="420"/>
      <c r="LCE3" s="420"/>
      <c r="LCF3" s="419" t="s">
        <v>23</v>
      </c>
      <c r="LCG3" s="420"/>
      <c r="LCH3" s="420"/>
      <c r="LCI3" s="420"/>
      <c r="LCJ3" s="419" t="s">
        <v>23</v>
      </c>
      <c r="LCK3" s="420"/>
      <c r="LCL3" s="420"/>
      <c r="LCM3" s="420"/>
      <c r="LCN3" s="419" t="s">
        <v>23</v>
      </c>
      <c r="LCO3" s="420"/>
      <c r="LCP3" s="420"/>
      <c r="LCQ3" s="420"/>
      <c r="LCR3" s="419" t="s">
        <v>23</v>
      </c>
      <c r="LCS3" s="420"/>
      <c r="LCT3" s="420"/>
      <c r="LCU3" s="420"/>
      <c r="LCV3" s="419" t="s">
        <v>23</v>
      </c>
      <c r="LCW3" s="420"/>
      <c r="LCX3" s="420"/>
      <c r="LCY3" s="420"/>
      <c r="LCZ3" s="419" t="s">
        <v>23</v>
      </c>
      <c r="LDA3" s="420"/>
      <c r="LDB3" s="420"/>
      <c r="LDC3" s="420"/>
      <c r="LDD3" s="419" t="s">
        <v>23</v>
      </c>
      <c r="LDE3" s="420"/>
      <c r="LDF3" s="420"/>
      <c r="LDG3" s="420"/>
      <c r="LDH3" s="419" t="s">
        <v>23</v>
      </c>
      <c r="LDI3" s="420"/>
      <c r="LDJ3" s="420"/>
      <c r="LDK3" s="420"/>
      <c r="LDL3" s="419" t="s">
        <v>23</v>
      </c>
      <c r="LDM3" s="420"/>
      <c r="LDN3" s="420"/>
      <c r="LDO3" s="420"/>
      <c r="LDP3" s="419" t="s">
        <v>23</v>
      </c>
      <c r="LDQ3" s="420"/>
      <c r="LDR3" s="420"/>
      <c r="LDS3" s="420"/>
      <c r="LDT3" s="419" t="s">
        <v>23</v>
      </c>
      <c r="LDU3" s="420"/>
      <c r="LDV3" s="420"/>
      <c r="LDW3" s="420"/>
      <c r="LDX3" s="419" t="s">
        <v>23</v>
      </c>
      <c r="LDY3" s="420"/>
      <c r="LDZ3" s="420"/>
      <c r="LEA3" s="420"/>
      <c r="LEB3" s="419" t="s">
        <v>23</v>
      </c>
      <c r="LEC3" s="420"/>
      <c r="LED3" s="420"/>
      <c r="LEE3" s="420"/>
      <c r="LEF3" s="419" t="s">
        <v>23</v>
      </c>
      <c r="LEG3" s="420"/>
      <c r="LEH3" s="420"/>
      <c r="LEI3" s="420"/>
      <c r="LEJ3" s="419" t="s">
        <v>23</v>
      </c>
      <c r="LEK3" s="420"/>
      <c r="LEL3" s="420"/>
      <c r="LEM3" s="420"/>
      <c r="LEN3" s="419" t="s">
        <v>23</v>
      </c>
      <c r="LEO3" s="420"/>
      <c r="LEP3" s="420"/>
      <c r="LEQ3" s="420"/>
      <c r="LER3" s="419" t="s">
        <v>23</v>
      </c>
      <c r="LES3" s="420"/>
      <c r="LET3" s="420"/>
      <c r="LEU3" s="420"/>
      <c r="LEV3" s="419" t="s">
        <v>23</v>
      </c>
      <c r="LEW3" s="420"/>
      <c r="LEX3" s="420"/>
      <c r="LEY3" s="420"/>
      <c r="LEZ3" s="419" t="s">
        <v>23</v>
      </c>
      <c r="LFA3" s="420"/>
      <c r="LFB3" s="420"/>
      <c r="LFC3" s="420"/>
      <c r="LFD3" s="419" t="s">
        <v>23</v>
      </c>
      <c r="LFE3" s="420"/>
      <c r="LFF3" s="420"/>
      <c r="LFG3" s="420"/>
      <c r="LFH3" s="419" t="s">
        <v>23</v>
      </c>
      <c r="LFI3" s="420"/>
      <c r="LFJ3" s="420"/>
      <c r="LFK3" s="420"/>
      <c r="LFL3" s="419" t="s">
        <v>23</v>
      </c>
      <c r="LFM3" s="420"/>
      <c r="LFN3" s="420"/>
      <c r="LFO3" s="420"/>
      <c r="LFP3" s="419" t="s">
        <v>23</v>
      </c>
      <c r="LFQ3" s="420"/>
      <c r="LFR3" s="420"/>
      <c r="LFS3" s="420"/>
      <c r="LFT3" s="419" t="s">
        <v>23</v>
      </c>
      <c r="LFU3" s="420"/>
      <c r="LFV3" s="420"/>
      <c r="LFW3" s="420"/>
      <c r="LFX3" s="419" t="s">
        <v>23</v>
      </c>
      <c r="LFY3" s="420"/>
      <c r="LFZ3" s="420"/>
      <c r="LGA3" s="420"/>
      <c r="LGB3" s="419" t="s">
        <v>23</v>
      </c>
      <c r="LGC3" s="420"/>
      <c r="LGD3" s="420"/>
      <c r="LGE3" s="420"/>
      <c r="LGF3" s="419" t="s">
        <v>23</v>
      </c>
      <c r="LGG3" s="420"/>
      <c r="LGH3" s="420"/>
      <c r="LGI3" s="420"/>
      <c r="LGJ3" s="419" t="s">
        <v>23</v>
      </c>
      <c r="LGK3" s="420"/>
      <c r="LGL3" s="420"/>
      <c r="LGM3" s="420"/>
      <c r="LGN3" s="419" t="s">
        <v>23</v>
      </c>
      <c r="LGO3" s="420"/>
      <c r="LGP3" s="420"/>
      <c r="LGQ3" s="420"/>
      <c r="LGR3" s="419" t="s">
        <v>23</v>
      </c>
      <c r="LGS3" s="420"/>
      <c r="LGT3" s="420"/>
      <c r="LGU3" s="420"/>
      <c r="LGV3" s="419" t="s">
        <v>23</v>
      </c>
      <c r="LGW3" s="420"/>
      <c r="LGX3" s="420"/>
      <c r="LGY3" s="420"/>
      <c r="LGZ3" s="419" t="s">
        <v>23</v>
      </c>
      <c r="LHA3" s="420"/>
      <c r="LHB3" s="420"/>
      <c r="LHC3" s="420"/>
      <c r="LHD3" s="419" t="s">
        <v>23</v>
      </c>
      <c r="LHE3" s="420"/>
      <c r="LHF3" s="420"/>
      <c r="LHG3" s="420"/>
      <c r="LHH3" s="419" t="s">
        <v>23</v>
      </c>
      <c r="LHI3" s="420"/>
      <c r="LHJ3" s="420"/>
      <c r="LHK3" s="420"/>
      <c r="LHL3" s="419" t="s">
        <v>23</v>
      </c>
      <c r="LHM3" s="420"/>
      <c r="LHN3" s="420"/>
      <c r="LHO3" s="420"/>
      <c r="LHP3" s="419" t="s">
        <v>23</v>
      </c>
      <c r="LHQ3" s="420"/>
      <c r="LHR3" s="420"/>
      <c r="LHS3" s="420"/>
      <c r="LHT3" s="419" t="s">
        <v>23</v>
      </c>
      <c r="LHU3" s="420"/>
      <c r="LHV3" s="420"/>
      <c r="LHW3" s="420"/>
      <c r="LHX3" s="419" t="s">
        <v>23</v>
      </c>
      <c r="LHY3" s="420"/>
      <c r="LHZ3" s="420"/>
      <c r="LIA3" s="420"/>
      <c r="LIB3" s="419" t="s">
        <v>23</v>
      </c>
      <c r="LIC3" s="420"/>
      <c r="LID3" s="420"/>
      <c r="LIE3" s="420"/>
      <c r="LIF3" s="419" t="s">
        <v>23</v>
      </c>
      <c r="LIG3" s="420"/>
      <c r="LIH3" s="420"/>
      <c r="LII3" s="420"/>
      <c r="LIJ3" s="419" t="s">
        <v>23</v>
      </c>
      <c r="LIK3" s="420"/>
      <c r="LIL3" s="420"/>
      <c r="LIM3" s="420"/>
      <c r="LIN3" s="419" t="s">
        <v>23</v>
      </c>
      <c r="LIO3" s="420"/>
      <c r="LIP3" s="420"/>
      <c r="LIQ3" s="420"/>
      <c r="LIR3" s="419" t="s">
        <v>23</v>
      </c>
      <c r="LIS3" s="420"/>
      <c r="LIT3" s="420"/>
      <c r="LIU3" s="420"/>
      <c r="LIV3" s="419" t="s">
        <v>23</v>
      </c>
      <c r="LIW3" s="420"/>
      <c r="LIX3" s="420"/>
      <c r="LIY3" s="420"/>
      <c r="LIZ3" s="419" t="s">
        <v>23</v>
      </c>
      <c r="LJA3" s="420"/>
      <c r="LJB3" s="420"/>
      <c r="LJC3" s="420"/>
      <c r="LJD3" s="419" t="s">
        <v>23</v>
      </c>
      <c r="LJE3" s="420"/>
      <c r="LJF3" s="420"/>
      <c r="LJG3" s="420"/>
      <c r="LJH3" s="419" t="s">
        <v>23</v>
      </c>
      <c r="LJI3" s="420"/>
      <c r="LJJ3" s="420"/>
      <c r="LJK3" s="420"/>
      <c r="LJL3" s="419" t="s">
        <v>23</v>
      </c>
      <c r="LJM3" s="420"/>
      <c r="LJN3" s="420"/>
      <c r="LJO3" s="420"/>
      <c r="LJP3" s="419" t="s">
        <v>23</v>
      </c>
      <c r="LJQ3" s="420"/>
      <c r="LJR3" s="420"/>
      <c r="LJS3" s="420"/>
      <c r="LJT3" s="419" t="s">
        <v>23</v>
      </c>
      <c r="LJU3" s="420"/>
      <c r="LJV3" s="420"/>
      <c r="LJW3" s="420"/>
      <c r="LJX3" s="419" t="s">
        <v>23</v>
      </c>
      <c r="LJY3" s="420"/>
      <c r="LJZ3" s="420"/>
      <c r="LKA3" s="420"/>
      <c r="LKB3" s="419" t="s">
        <v>23</v>
      </c>
      <c r="LKC3" s="420"/>
      <c r="LKD3" s="420"/>
      <c r="LKE3" s="420"/>
      <c r="LKF3" s="419" t="s">
        <v>23</v>
      </c>
      <c r="LKG3" s="420"/>
      <c r="LKH3" s="420"/>
      <c r="LKI3" s="420"/>
      <c r="LKJ3" s="419" t="s">
        <v>23</v>
      </c>
      <c r="LKK3" s="420"/>
      <c r="LKL3" s="420"/>
      <c r="LKM3" s="420"/>
      <c r="LKN3" s="419" t="s">
        <v>23</v>
      </c>
      <c r="LKO3" s="420"/>
      <c r="LKP3" s="420"/>
      <c r="LKQ3" s="420"/>
      <c r="LKR3" s="419" t="s">
        <v>23</v>
      </c>
      <c r="LKS3" s="420"/>
      <c r="LKT3" s="420"/>
      <c r="LKU3" s="420"/>
      <c r="LKV3" s="419" t="s">
        <v>23</v>
      </c>
      <c r="LKW3" s="420"/>
      <c r="LKX3" s="420"/>
      <c r="LKY3" s="420"/>
      <c r="LKZ3" s="419" t="s">
        <v>23</v>
      </c>
      <c r="LLA3" s="420"/>
      <c r="LLB3" s="420"/>
      <c r="LLC3" s="420"/>
      <c r="LLD3" s="419" t="s">
        <v>23</v>
      </c>
      <c r="LLE3" s="420"/>
      <c r="LLF3" s="420"/>
      <c r="LLG3" s="420"/>
      <c r="LLH3" s="419" t="s">
        <v>23</v>
      </c>
      <c r="LLI3" s="420"/>
      <c r="LLJ3" s="420"/>
      <c r="LLK3" s="420"/>
      <c r="LLL3" s="419" t="s">
        <v>23</v>
      </c>
      <c r="LLM3" s="420"/>
      <c r="LLN3" s="420"/>
      <c r="LLO3" s="420"/>
      <c r="LLP3" s="419" t="s">
        <v>23</v>
      </c>
      <c r="LLQ3" s="420"/>
      <c r="LLR3" s="420"/>
      <c r="LLS3" s="420"/>
      <c r="LLT3" s="419" t="s">
        <v>23</v>
      </c>
      <c r="LLU3" s="420"/>
      <c r="LLV3" s="420"/>
      <c r="LLW3" s="420"/>
      <c r="LLX3" s="419" t="s">
        <v>23</v>
      </c>
      <c r="LLY3" s="420"/>
      <c r="LLZ3" s="420"/>
      <c r="LMA3" s="420"/>
      <c r="LMB3" s="419" t="s">
        <v>23</v>
      </c>
      <c r="LMC3" s="420"/>
      <c r="LMD3" s="420"/>
      <c r="LME3" s="420"/>
      <c r="LMF3" s="419" t="s">
        <v>23</v>
      </c>
      <c r="LMG3" s="420"/>
      <c r="LMH3" s="420"/>
      <c r="LMI3" s="420"/>
      <c r="LMJ3" s="419" t="s">
        <v>23</v>
      </c>
      <c r="LMK3" s="420"/>
      <c r="LML3" s="420"/>
      <c r="LMM3" s="420"/>
      <c r="LMN3" s="419" t="s">
        <v>23</v>
      </c>
      <c r="LMO3" s="420"/>
      <c r="LMP3" s="420"/>
      <c r="LMQ3" s="420"/>
      <c r="LMR3" s="419" t="s">
        <v>23</v>
      </c>
      <c r="LMS3" s="420"/>
      <c r="LMT3" s="420"/>
      <c r="LMU3" s="420"/>
      <c r="LMV3" s="419" t="s">
        <v>23</v>
      </c>
      <c r="LMW3" s="420"/>
      <c r="LMX3" s="420"/>
      <c r="LMY3" s="420"/>
      <c r="LMZ3" s="419" t="s">
        <v>23</v>
      </c>
      <c r="LNA3" s="420"/>
      <c r="LNB3" s="420"/>
      <c r="LNC3" s="420"/>
      <c r="LND3" s="419" t="s">
        <v>23</v>
      </c>
      <c r="LNE3" s="420"/>
      <c r="LNF3" s="420"/>
      <c r="LNG3" s="420"/>
      <c r="LNH3" s="419" t="s">
        <v>23</v>
      </c>
      <c r="LNI3" s="420"/>
      <c r="LNJ3" s="420"/>
      <c r="LNK3" s="420"/>
      <c r="LNL3" s="419" t="s">
        <v>23</v>
      </c>
      <c r="LNM3" s="420"/>
      <c r="LNN3" s="420"/>
      <c r="LNO3" s="420"/>
      <c r="LNP3" s="419" t="s">
        <v>23</v>
      </c>
      <c r="LNQ3" s="420"/>
      <c r="LNR3" s="420"/>
      <c r="LNS3" s="420"/>
      <c r="LNT3" s="419" t="s">
        <v>23</v>
      </c>
      <c r="LNU3" s="420"/>
      <c r="LNV3" s="420"/>
      <c r="LNW3" s="420"/>
      <c r="LNX3" s="419" t="s">
        <v>23</v>
      </c>
      <c r="LNY3" s="420"/>
      <c r="LNZ3" s="420"/>
      <c r="LOA3" s="420"/>
      <c r="LOB3" s="419" t="s">
        <v>23</v>
      </c>
      <c r="LOC3" s="420"/>
      <c r="LOD3" s="420"/>
      <c r="LOE3" s="420"/>
      <c r="LOF3" s="419" t="s">
        <v>23</v>
      </c>
      <c r="LOG3" s="420"/>
      <c r="LOH3" s="420"/>
      <c r="LOI3" s="420"/>
      <c r="LOJ3" s="419" t="s">
        <v>23</v>
      </c>
      <c r="LOK3" s="420"/>
      <c r="LOL3" s="420"/>
      <c r="LOM3" s="420"/>
      <c r="LON3" s="419" t="s">
        <v>23</v>
      </c>
      <c r="LOO3" s="420"/>
      <c r="LOP3" s="420"/>
      <c r="LOQ3" s="420"/>
      <c r="LOR3" s="419" t="s">
        <v>23</v>
      </c>
      <c r="LOS3" s="420"/>
      <c r="LOT3" s="420"/>
      <c r="LOU3" s="420"/>
      <c r="LOV3" s="419" t="s">
        <v>23</v>
      </c>
      <c r="LOW3" s="420"/>
      <c r="LOX3" s="420"/>
      <c r="LOY3" s="420"/>
      <c r="LOZ3" s="419" t="s">
        <v>23</v>
      </c>
      <c r="LPA3" s="420"/>
      <c r="LPB3" s="420"/>
      <c r="LPC3" s="420"/>
      <c r="LPD3" s="419" t="s">
        <v>23</v>
      </c>
      <c r="LPE3" s="420"/>
      <c r="LPF3" s="420"/>
      <c r="LPG3" s="420"/>
      <c r="LPH3" s="419" t="s">
        <v>23</v>
      </c>
      <c r="LPI3" s="420"/>
      <c r="LPJ3" s="420"/>
      <c r="LPK3" s="420"/>
      <c r="LPL3" s="419" t="s">
        <v>23</v>
      </c>
      <c r="LPM3" s="420"/>
      <c r="LPN3" s="420"/>
      <c r="LPO3" s="420"/>
      <c r="LPP3" s="419" t="s">
        <v>23</v>
      </c>
      <c r="LPQ3" s="420"/>
      <c r="LPR3" s="420"/>
      <c r="LPS3" s="420"/>
      <c r="LPT3" s="419" t="s">
        <v>23</v>
      </c>
      <c r="LPU3" s="420"/>
      <c r="LPV3" s="420"/>
      <c r="LPW3" s="420"/>
      <c r="LPX3" s="419" t="s">
        <v>23</v>
      </c>
      <c r="LPY3" s="420"/>
      <c r="LPZ3" s="420"/>
      <c r="LQA3" s="420"/>
      <c r="LQB3" s="419" t="s">
        <v>23</v>
      </c>
      <c r="LQC3" s="420"/>
      <c r="LQD3" s="420"/>
      <c r="LQE3" s="420"/>
      <c r="LQF3" s="419" t="s">
        <v>23</v>
      </c>
      <c r="LQG3" s="420"/>
      <c r="LQH3" s="420"/>
      <c r="LQI3" s="420"/>
      <c r="LQJ3" s="419" t="s">
        <v>23</v>
      </c>
      <c r="LQK3" s="420"/>
      <c r="LQL3" s="420"/>
      <c r="LQM3" s="420"/>
      <c r="LQN3" s="419" t="s">
        <v>23</v>
      </c>
      <c r="LQO3" s="420"/>
      <c r="LQP3" s="420"/>
      <c r="LQQ3" s="420"/>
      <c r="LQR3" s="419" t="s">
        <v>23</v>
      </c>
      <c r="LQS3" s="420"/>
      <c r="LQT3" s="420"/>
      <c r="LQU3" s="420"/>
      <c r="LQV3" s="419" t="s">
        <v>23</v>
      </c>
      <c r="LQW3" s="420"/>
      <c r="LQX3" s="420"/>
      <c r="LQY3" s="420"/>
      <c r="LQZ3" s="419" t="s">
        <v>23</v>
      </c>
      <c r="LRA3" s="420"/>
      <c r="LRB3" s="420"/>
      <c r="LRC3" s="420"/>
      <c r="LRD3" s="419" t="s">
        <v>23</v>
      </c>
      <c r="LRE3" s="420"/>
      <c r="LRF3" s="420"/>
      <c r="LRG3" s="420"/>
      <c r="LRH3" s="419" t="s">
        <v>23</v>
      </c>
      <c r="LRI3" s="420"/>
      <c r="LRJ3" s="420"/>
      <c r="LRK3" s="420"/>
      <c r="LRL3" s="419" t="s">
        <v>23</v>
      </c>
      <c r="LRM3" s="420"/>
      <c r="LRN3" s="420"/>
      <c r="LRO3" s="420"/>
      <c r="LRP3" s="419" t="s">
        <v>23</v>
      </c>
      <c r="LRQ3" s="420"/>
      <c r="LRR3" s="420"/>
      <c r="LRS3" s="420"/>
      <c r="LRT3" s="419" t="s">
        <v>23</v>
      </c>
      <c r="LRU3" s="420"/>
      <c r="LRV3" s="420"/>
      <c r="LRW3" s="420"/>
      <c r="LRX3" s="419" t="s">
        <v>23</v>
      </c>
      <c r="LRY3" s="420"/>
      <c r="LRZ3" s="420"/>
      <c r="LSA3" s="420"/>
      <c r="LSB3" s="419" t="s">
        <v>23</v>
      </c>
      <c r="LSC3" s="420"/>
      <c r="LSD3" s="420"/>
      <c r="LSE3" s="420"/>
      <c r="LSF3" s="419" t="s">
        <v>23</v>
      </c>
      <c r="LSG3" s="420"/>
      <c r="LSH3" s="420"/>
      <c r="LSI3" s="420"/>
      <c r="LSJ3" s="419" t="s">
        <v>23</v>
      </c>
      <c r="LSK3" s="420"/>
      <c r="LSL3" s="420"/>
      <c r="LSM3" s="420"/>
      <c r="LSN3" s="419" t="s">
        <v>23</v>
      </c>
      <c r="LSO3" s="420"/>
      <c r="LSP3" s="420"/>
      <c r="LSQ3" s="420"/>
      <c r="LSR3" s="419" t="s">
        <v>23</v>
      </c>
      <c r="LSS3" s="420"/>
      <c r="LST3" s="420"/>
      <c r="LSU3" s="420"/>
      <c r="LSV3" s="419" t="s">
        <v>23</v>
      </c>
      <c r="LSW3" s="420"/>
      <c r="LSX3" s="420"/>
      <c r="LSY3" s="420"/>
      <c r="LSZ3" s="419" t="s">
        <v>23</v>
      </c>
      <c r="LTA3" s="420"/>
      <c r="LTB3" s="420"/>
      <c r="LTC3" s="420"/>
      <c r="LTD3" s="419" t="s">
        <v>23</v>
      </c>
      <c r="LTE3" s="420"/>
      <c r="LTF3" s="420"/>
      <c r="LTG3" s="420"/>
      <c r="LTH3" s="419" t="s">
        <v>23</v>
      </c>
      <c r="LTI3" s="420"/>
      <c r="LTJ3" s="420"/>
      <c r="LTK3" s="420"/>
      <c r="LTL3" s="419" t="s">
        <v>23</v>
      </c>
      <c r="LTM3" s="420"/>
      <c r="LTN3" s="420"/>
      <c r="LTO3" s="420"/>
      <c r="LTP3" s="419" t="s">
        <v>23</v>
      </c>
      <c r="LTQ3" s="420"/>
      <c r="LTR3" s="420"/>
      <c r="LTS3" s="420"/>
      <c r="LTT3" s="419" t="s">
        <v>23</v>
      </c>
      <c r="LTU3" s="420"/>
      <c r="LTV3" s="420"/>
      <c r="LTW3" s="420"/>
      <c r="LTX3" s="419" t="s">
        <v>23</v>
      </c>
      <c r="LTY3" s="420"/>
      <c r="LTZ3" s="420"/>
      <c r="LUA3" s="420"/>
      <c r="LUB3" s="419" t="s">
        <v>23</v>
      </c>
      <c r="LUC3" s="420"/>
      <c r="LUD3" s="420"/>
      <c r="LUE3" s="420"/>
      <c r="LUF3" s="419" t="s">
        <v>23</v>
      </c>
      <c r="LUG3" s="420"/>
      <c r="LUH3" s="420"/>
      <c r="LUI3" s="420"/>
      <c r="LUJ3" s="419" t="s">
        <v>23</v>
      </c>
      <c r="LUK3" s="420"/>
      <c r="LUL3" s="420"/>
      <c r="LUM3" s="420"/>
      <c r="LUN3" s="419" t="s">
        <v>23</v>
      </c>
      <c r="LUO3" s="420"/>
      <c r="LUP3" s="420"/>
      <c r="LUQ3" s="420"/>
      <c r="LUR3" s="419" t="s">
        <v>23</v>
      </c>
      <c r="LUS3" s="420"/>
      <c r="LUT3" s="420"/>
      <c r="LUU3" s="420"/>
      <c r="LUV3" s="419" t="s">
        <v>23</v>
      </c>
      <c r="LUW3" s="420"/>
      <c r="LUX3" s="420"/>
      <c r="LUY3" s="420"/>
      <c r="LUZ3" s="419" t="s">
        <v>23</v>
      </c>
      <c r="LVA3" s="420"/>
      <c r="LVB3" s="420"/>
      <c r="LVC3" s="420"/>
      <c r="LVD3" s="419" t="s">
        <v>23</v>
      </c>
      <c r="LVE3" s="420"/>
      <c r="LVF3" s="420"/>
      <c r="LVG3" s="420"/>
      <c r="LVH3" s="419" t="s">
        <v>23</v>
      </c>
      <c r="LVI3" s="420"/>
      <c r="LVJ3" s="420"/>
      <c r="LVK3" s="420"/>
      <c r="LVL3" s="419" t="s">
        <v>23</v>
      </c>
      <c r="LVM3" s="420"/>
      <c r="LVN3" s="420"/>
      <c r="LVO3" s="420"/>
      <c r="LVP3" s="419" t="s">
        <v>23</v>
      </c>
      <c r="LVQ3" s="420"/>
      <c r="LVR3" s="420"/>
      <c r="LVS3" s="420"/>
      <c r="LVT3" s="419" t="s">
        <v>23</v>
      </c>
      <c r="LVU3" s="420"/>
      <c r="LVV3" s="420"/>
      <c r="LVW3" s="420"/>
      <c r="LVX3" s="419" t="s">
        <v>23</v>
      </c>
      <c r="LVY3" s="420"/>
      <c r="LVZ3" s="420"/>
      <c r="LWA3" s="420"/>
      <c r="LWB3" s="419" t="s">
        <v>23</v>
      </c>
      <c r="LWC3" s="420"/>
      <c r="LWD3" s="420"/>
      <c r="LWE3" s="420"/>
      <c r="LWF3" s="419" t="s">
        <v>23</v>
      </c>
      <c r="LWG3" s="420"/>
      <c r="LWH3" s="420"/>
      <c r="LWI3" s="420"/>
      <c r="LWJ3" s="419" t="s">
        <v>23</v>
      </c>
      <c r="LWK3" s="420"/>
      <c r="LWL3" s="420"/>
      <c r="LWM3" s="420"/>
      <c r="LWN3" s="419" t="s">
        <v>23</v>
      </c>
      <c r="LWO3" s="420"/>
      <c r="LWP3" s="420"/>
      <c r="LWQ3" s="420"/>
      <c r="LWR3" s="419" t="s">
        <v>23</v>
      </c>
      <c r="LWS3" s="420"/>
      <c r="LWT3" s="420"/>
      <c r="LWU3" s="420"/>
      <c r="LWV3" s="419" t="s">
        <v>23</v>
      </c>
      <c r="LWW3" s="420"/>
      <c r="LWX3" s="420"/>
      <c r="LWY3" s="420"/>
      <c r="LWZ3" s="419" t="s">
        <v>23</v>
      </c>
      <c r="LXA3" s="420"/>
      <c r="LXB3" s="420"/>
      <c r="LXC3" s="420"/>
      <c r="LXD3" s="419" t="s">
        <v>23</v>
      </c>
      <c r="LXE3" s="420"/>
      <c r="LXF3" s="420"/>
      <c r="LXG3" s="420"/>
      <c r="LXH3" s="419" t="s">
        <v>23</v>
      </c>
      <c r="LXI3" s="420"/>
      <c r="LXJ3" s="420"/>
      <c r="LXK3" s="420"/>
      <c r="LXL3" s="419" t="s">
        <v>23</v>
      </c>
      <c r="LXM3" s="420"/>
      <c r="LXN3" s="420"/>
      <c r="LXO3" s="420"/>
      <c r="LXP3" s="419" t="s">
        <v>23</v>
      </c>
      <c r="LXQ3" s="420"/>
      <c r="LXR3" s="420"/>
      <c r="LXS3" s="420"/>
      <c r="LXT3" s="419" t="s">
        <v>23</v>
      </c>
      <c r="LXU3" s="420"/>
      <c r="LXV3" s="420"/>
      <c r="LXW3" s="420"/>
      <c r="LXX3" s="419" t="s">
        <v>23</v>
      </c>
      <c r="LXY3" s="420"/>
      <c r="LXZ3" s="420"/>
      <c r="LYA3" s="420"/>
      <c r="LYB3" s="419" t="s">
        <v>23</v>
      </c>
      <c r="LYC3" s="420"/>
      <c r="LYD3" s="420"/>
      <c r="LYE3" s="420"/>
      <c r="LYF3" s="419" t="s">
        <v>23</v>
      </c>
      <c r="LYG3" s="420"/>
      <c r="LYH3" s="420"/>
      <c r="LYI3" s="420"/>
      <c r="LYJ3" s="419" t="s">
        <v>23</v>
      </c>
      <c r="LYK3" s="420"/>
      <c r="LYL3" s="420"/>
      <c r="LYM3" s="420"/>
      <c r="LYN3" s="419" t="s">
        <v>23</v>
      </c>
      <c r="LYO3" s="420"/>
      <c r="LYP3" s="420"/>
      <c r="LYQ3" s="420"/>
      <c r="LYR3" s="419" t="s">
        <v>23</v>
      </c>
      <c r="LYS3" s="420"/>
      <c r="LYT3" s="420"/>
      <c r="LYU3" s="420"/>
      <c r="LYV3" s="419" t="s">
        <v>23</v>
      </c>
      <c r="LYW3" s="420"/>
      <c r="LYX3" s="420"/>
      <c r="LYY3" s="420"/>
      <c r="LYZ3" s="419" t="s">
        <v>23</v>
      </c>
      <c r="LZA3" s="420"/>
      <c r="LZB3" s="420"/>
      <c r="LZC3" s="420"/>
      <c r="LZD3" s="419" t="s">
        <v>23</v>
      </c>
      <c r="LZE3" s="420"/>
      <c r="LZF3" s="420"/>
      <c r="LZG3" s="420"/>
      <c r="LZH3" s="419" t="s">
        <v>23</v>
      </c>
      <c r="LZI3" s="420"/>
      <c r="LZJ3" s="420"/>
      <c r="LZK3" s="420"/>
      <c r="LZL3" s="419" t="s">
        <v>23</v>
      </c>
      <c r="LZM3" s="420"/>
      <c r="LZN3" s="420"/>
      <c r="LZO3" s="420"/>
      <c r="LZP3" s="419" t="s">
        <v>23</v>
      </c>
      <c r="LZQ3" s="420"/>
      <c r="LZR3" s="420"/>
      <c r="LZS3" s="420"/>
      <c r="LZT3" s="419" t="s">
        <v>23</v>
      </c>
      <c r="LZU3" s="420"/>
      <c r="LZV3" s="420"/>
      <c r="LZW3" s="420"/>
      <c r="LZX3" s="419" t="s">
        <v>23</v>
      </c>
      <c r="LZY3" s="420"/>
      <c r="LZZ3" s="420"/>
      <c r="MAA3" s="420"/>
      <c r="MAB3" s="419" t="s">
        <v>23</v>
      </c>
      <c r="MAC3" s="420"/>
      <c r="MAD3" s="420"/>
      <c r="MAE3" s="420"/>
      <c r="MAF3" s="419" t="s">
        <v>23</v>
      </c>
      <c r="MAG3" s="420"/>
      <c r="MAH3" s="420"/>
      <c r="MAI3" s="420"/>
      <c r="MAJ3" s="419" t="s">
        <v>23</v>
      </c>
      <c r="MAK3" s="420"/>
      <c r="MAL3" s="420"/>
      <c r="MAM3" s="420"/>
      <c r="MAN3" s="419" t="s">
        <v>23</v>
      </c>
      <c r="MAO3" s="420"/>
      <c r="MAP3" s="420"/>
      <c r="MAQ3" s="420"/>
      <c r="MAR3" s="419" t="s">
        <v>23</v>
      </c>
      <c r="MAS3" s="420"/>
      <c r="MAT3" s="420"/>
      <c r="MAU3" s="420"/>
      <c r="MAV3" s="419" t="s">
        <v>23</v>
      </c>
      <c r="MAW3" s="420"/>
      <c r="MAX3" s="420"/>
      <c r="MAY3" s="420"/>
      <c r="MAZ3" s="419" t="s">
        <v>23</v>
      </c>
      <c r="MBA3" s="420"/>
      <c r="MBB3" s="420"/>
      <c r="MBC3" s="420"/>
      <c r="MBD3" s="419" t="s">
        <v>23</v>
      </c>
      <c r="MBE3" s="420"/>
      <c r="MBF3" s="420"/>
      <c r="MBG3" s="420"/>
      <c r="MBH3" s="419" t="s">
        <v>23</v>
      </c>
      <c r="MBI3" s="420"/>
      <c r="MBJ3" s="420"/>
      <c r="MBK3" s="420"/>
      <c r="MBL3" s="419" t="s">
        <v>23</v>
      </c>
      <c r="MBM3" s="420"/>
      <c r="MBN3" s="420"/>
      <c r="MBO3" s="420"/>
      <c r="MBP3" s="419" t="s">
        <v>23</v>
      </c>
      <c r="MBQ3" s="420"/>
      <c r="MBR3" s="420"/>
      <c r="MBS3" s="420"/>
      <c r="MBT3" s="419" t="s">
        <v>23</v>
      </c>
      <c r="MBU3" s="420"/>
      <c r="MBV3" s="420"/>
      <c r="MBW3" s="420"/>
      <c r="MBX3" s="419" t="s">
        <v>23</v>
      </c>
      <c r="MBY3" s="420"/>
      <c r="MBZ3" s="420"/>
      <c r="MCA3" s="420"/>
      <c r="MCB3" s="419" t="s">
        <v>23</v>
      </c>
      <c r="MCC3" s="420"/>
      <c r="MCD3" s="420"/>
      <c r="MCE3" s="420"/>
      <c r="MCF3" s="419" t="s">
        <v>23</v>
      </c>
      <c r="MCG3" s="420"/>
      <c r="MCH3" s="420"/>
      <c r="MCI3" s="420"/>
      <c r="MCJ3" s="419" t="s">
        <v>23</v>
      </c>
      <c r="MCK3" s="420"/>
      <c r="MCL3" s="420"/>
      <c r="MCM3" s="420"/>
      <c r="MCN3" s="419" t="s">
        <v>23</v>
      </c>
      <c r="MCO3" s="420"/>
      <c r="MCP3" s="420"/>
      <c r="MCQ3" s="420"/>
      <c r="MCR3" s="419" t="s">
        <v>23</v>
      </c>
      <c r="MCS3" s="420"/>
      <c r="MCT3" s="420"/>
      <c r="MCU3" s="420"/>
      <c r="MCV3" s="419" t="s">
        <v>23</v>
      </c>
      <c r="MCW3" s="420"/>
      <c r="MCX3" s="420"/>
      <c r="MCY3" s="420"/>
      <c r="MCZ3" s="419" t="s">
        <v>23</v>
      </c>
      <c r="MDA3" s="420"/>
      <c r="MDB3" s="420"/>
      <c r="MDC3" s="420"/>
      <c r="MDD3" s="419" t="s">
        <v>23</v>
      </c>
      <c r="MDE3" s="420"/>
      <c r="MDF3" s="420"/>
      <c r="MDG3" s="420"/>
      <c r="MDH3" s="419" t="s">
        <v>23</v>
      </c>
      <c r="MDI3" s="420"/>
      <c r="MDJ3" s="420"/>
      <c r="MDK3" s="420"/>
      <c r="MDL3" s="419" t="s">
        <v>23</v>
      </c>
      <c r="MDM3" s="420"/>
      <c r="MDN3" s="420"/>
      <c r="MDO3" s="420"/>
      <c r="MDP3" s="419" t="s">
        <v>23</v>
      </c>
      <c r="MDQ3" s="420"/>
      <c r="MDR3" s="420"/>
      <c r="MDS3" s="420"/>
      <c r="MDT3" s="419" t="s">
        <v>23</v>
      </c>
      <c r="MDU3" s="420"/>
      <c r="MDV3" s="420"/>
      <c r="MDW3" s="420"/>
      <c r="MDX3" s="419" t="s">
        <v>23</v>
      </c>
      <c r="MDY3" s="420"/>
      <c r="MDZ3" s="420"/>
      <c r="MEA3" s="420"/>
      <c r="MEB3" s="419" t="s">
        <v>23</v>
      </c>
      <c r="MEC3" s="420"/>
      <c r="MED3" s="420"/>
      <c r="MEE3" s="420"/>
      <c r="MEF3" s="419" t="s">
        <v>23</v>
      </c>
      <c r="MEG3" s="420"/>
      <c r="MEH3" s="420"/>
      <c r="MEI3" s="420"/>
      <c r="MEJ3" s="419" t="s">
        <v>23</v>
      </c>
      <c r="MEK3" s="420"/>
      <c r="MEL3" s="420"/>
      <c r="MEM3" s="420"/>
      <c r="MEN3" s="419" t="s">
        <v>23</v>
      </c>
      <c r="MEO3" s="420"/>
      <c r="MEP3" s="420"/>
      <c r="MEQ3" s="420"/>
      <c r="MER3" s="419" t="s">
        <v>23</v>
      </c>
      <c r="MES3" s="420"/>
      <c r="MET3" s="420"/>
      <c r="MEU3" s="420"/>
      <c r="MEV3" s="419" t="s">
        <v>23</v>
      </c>
      <c r="MEW3" s="420"/>
      <c r="MEX3" s="420"/>
      <c r="MEY3" s="420"/>
      <c r="MEZ3" s="419" t="s">
        <v>23</v>
      </c>
      <c r="MFA3" s="420"/>
      <c r="MFB3" s="420"/>
      <c r="MFC3" s="420"/>
      <c r="MFD3" s="419" t="s">
        <v>23</v>
      </c>
      <c r="MFE3" s="420"/>
      <c r="MFF3" s="420"/>
      <c r="MFG3" s="420"/>
      <c r="MFH3" s="419" t="s">
        <v>23</v>
      </c>
      <c r="MFI3" s="420"/>
      <c r="MFJ3" s="420"/>
      <c r="MFK3" s="420"/>
      <c r="MFL3" s="419" t="s">
        <v>23</v>
      </c>
      <c r="MFM3" s="420"/>
      <c r="MFN3" s="420"/>
      <c r="MFO3" s="420"/>
      <c r="MFP3" s="419" t="s">
        <v>23</v>
      </c>
      <c r="MFQ3" s="420"/>
      <c r="MFR3" s="420"/>
      <c r="MFS3" s="420"/>
      <c r="MFT3" s="419" t="s">
        <v>23</v>
      </c>
      <c r="MFU3" s="420"/>
      <c r="MFV3" s="420"/>
      <c r="MFW3" s="420"/>
      <c r="MFX3" s="419" t="s">
        <v>23</v>
      </c>
      <c r="MFY3" s="420"/>
      <c r="MFZ3" s="420"/>
      <c r="MGA3" s="420"/>
      <c r="MGB3" s="419" t="s">
        <v>23</v>
      </c>
      <c r="MGC3" s="420"/>
      <c r="MGD3" s="420"/>
      <c r="MGE3" s="420"/>
      <c r="MGF3" s="419" t="s">
        <v>23</v>
      </c>
      <c r="MGG3" s="420"/>
      <c r="MGH3" s="420"/>
      <c r="MGI3" s="420"/>
      <c r="MGJ3" s="419" t="s">
        <v>23</v>
      </c>
      <c r="MGK3" s="420"/>
      <c r="MGL3" s="420"/>
      <c r="MGM3" s="420"/>
      <c r="MGN3" s="419" t="s">
        <v>23</v>
      </c>
      <c r="MGO3" s="420"/>
      <c r="MGP3" s="420"/>
      <c r="MGQ3" s="420"/>
      <c r="MGR3" s="419" t="s">
        <v>23</v>
      </c>
      <c r="MGS3" s="420"/>
      <c r="MGT3" s="420"/>
      <c r="MGU3" s="420"/>
      <c r="MGV3" s="419" t="s">
        <v>23</v>
      </c>
      <c r="MGW3" s="420"/>
      <c r="MGX3" s="420"/>
      <c r="MGY3" s="420"/>
      <c r="MGZ3" s="419" t="s">
        <v>23</v>
      </c>
      <c r="MHA3" s="420"/>
      <c r="MHB3" s="420"/>
      <c r="MHC3" s="420"/>
      <c r="MHD3" s="419" t="s">
        <v>23</v>
      </c>
      <c r="MHE3" s="420"/>
      <c r="MHF3" s="420"/>
      <c r="MHG3" s="420"/>
      <c r="MHH3" s="419" t="s">
        <v>23</v>
      </c>
      <c r="MHI3" s="420"/>
      <c r="MHJ3" s="420"/>
      <c r="MHK3" s="420"/>
      <c r="MHL3" s="419" t="s">
        <v>23</v>
      </c>
      <c r="MHM3" s="420"/>
      <c r="MHN3" s="420"/>
      <c r="MHO3" s="420"/>
      <c r="MHP3" s="419" t="s">
        <v>23</v>
      </c>
      <c r="MHQ3" s="420"/>
      <c r="MHR3" s="420"/>
      <c r="MHS3" s="420"/>
      <c r="MHT3" s="419" t="s">
        <v>23</v>
      </c>
      <c r="MHU3" s="420"/>
      <c r="MHV3" s="420"/>
      <c r="MHW3" s="420"/>
      <c r="MHX3" s="419" t="s">
        <v>23</v>
      </c>
      <c r="MHY3" s="420"/>
      <c r="MHZ3" s="420"/>
      <c r="MIA3" s="420"/>
      <c r="MIB3" s="419" t="s">
        <v>23</v>
      </c>
      <c r="MIC3" s="420"/>
      <c r="MID3" s="420"/>
      <c r="MIE3" s="420"/>
      <c r="MIF3" s="419" t="s">
        <v>23</v>
      </c>
      <c r="MIG3" s="420"/>
      <c r="MIH3" s="420"/>
      <c r="MII3" s="420"/>
      <c r="MIJ3" s="419" t="s">
        <v>23</v>
      </c>
      <c r="MIK3" s="420"/>
      <c r="MIL3" s="420"/>
      <c r="MIM3" s="420"/>
      <c r="MIN3" s="419" t="s">
        <v>23</v>
      </c>
      <c r="MIO3" s="420"/>
      <c r="MIP3" s="420"/>
      <c r="MIQ3" s="420"/>
      <c r="MIR3" s="419" t="s">
        <v>23</v>
      </c>
      <c r="MIS3" s="420"/>
      <c r="MIT3" s="420"/>
      <c r="MIU3" s="420"/>
      <c r="MIV3" s="419" t="s">
        <v>23</v>
      </c>
      <c r="MIW3" s="420"/>
      <c r="MIX3" s="420"/>
      <c r="MIY3" s="420"/>
      <c r="MIZ3" s="419" t="s">
        <v>23</v>
      </c>
      <c r="MJA3" s="420"/>
      <c r="MJB3" s="420"/>
      <c r="MJC3" s="420"/>
      <c r="MJD3" s="419" t="s">
        <v>23</v>
      </c>
      <c r="MJE3" s="420"/>
      <c r="MJF3" s="420"/>
      <c r="MJG3" s="420"/>
      <c r="MJH3" s="419" t="s">
        <v>23</v>
      </c>
      <c r="MJI3" s="420"/>
      <c r="MJJ3" s="420"/>
      <c r="MJK3" s="420"/>
      <c r="MJL3" s="419" t="s">
        <v>23</v>
      </c>
      <c r="MJM3" s="420"/>
      <c r="MJN3" s="420"/>
      <c r="MJO3" s="420"/>
      <c r="MJP3" s="419" t="s">
        <v>23</v>
      </c>
      <c r="MJQ3" s="420"/>
      <c r="MJR3" s="420"/>
      <c r="MJS3" s="420"/>
      <c r="MJT3" s="419" t="s">
        <v>23</v>
      </c>
      <c r="MJU3" s="420"/>
      <c r="MJV3" s="420"/>
      <c r="MJW3" s="420"/>
      <c r="MJX3" s="419" t="s">
        <v>23</v>
      </c>
      <c r="MJY3" s="420"/>
      <c r="MJZ3" s="420"/>
      <c r="MKA3" s="420"/>
      <c r="MKB3" s="419" t="s">
        <v>23</v>
      </c>
      <c r="MKC3" s="420"/>
      <c r="MKD3" s="420"/>
      <c r="MKE3" s="420"/>
      <c r="MKF3" s="419" t="s">
        <v>23</v>
      </c>
      <c r="MKG3" s="420"/>
      <c r="MKH3" s="420"/>
      <c r="MKI3" s="420"/>
      <c r="MKJ3" s="419" t="s">
        <v>23</v>
      </c>
      <c r="MKK3" s="420"/>
      <c r="MKL3" s="420"/>
      <c r="MKM3" s="420"/>
      <c r="MKN3" s="419" t="s">
        <v>23</v>
      </c>
      <c r="MKO3" s="420"/>
      <c r="MKP3" s="420"/>
      <c r="MKQ3" s="420"/>
      <c r="MKR3" s="419" t="s">
        <v>23</v>
      </c>
      <c r="MKS3" s="420"/>
      <c r="MKT3" s="420"/>
      <c r="MKU3" s="420"/>
      <c r="MKV3" s="419" t="s">
        <v>23</v>
      </c>
      <c r="MKW3" s="420"/>
      <c r="MKX3" s="420"/>
      <c r="MKY3" s="420"/>
      <c r="MKZ3" s="419" t="s">
        <v>23</v>
      </c>
      <c r="MLA3" s="420"/>
      <c r="MLB3" s="420"/>
      <c r="MLC3" s="420"/>
      <c r="MLD3" s="419" t="s">
        <v>23</v>
      </c>
      <c r="MLE3" s="420"/>
      <c r="MLF3" s="420"/>
      <c r="MLG3" s="420"/>
      <c r="MLH3" s="419" t="s">
        <v>23</v>
      </c>
      <c r="MLI3" s="420"/>
      <c r="MLJ3" s="420"/>
      <c r="MLK3" s="420"/>
      <c r="MLL3" s="419" t="s">
        <v>23</v>
      </c>
      <c r="MLM3" s="420"/>
      <c r="MLN3" s="420"/>
      <c r="MLO3" s="420"/>
      <c r="MLP3" s="419" t="s">
        <v>23</v>
      </c>
      <c r="MLQ3" s="420"/>
      <c r="MLR3" s="420"/>
      <c r="MLS3" s="420"/>
      <c r="MLT3" s="419" t="s">
        <v>23</v>
      </c>
      <c r="MLU3" s="420"/>
      <c r="MLV3" s="420"/>
      <c r="MLW3" s="420"/>
      <c r="MLX3" s="419" t="s">
        <v>23</v>
      </c>
      <c r="MLY3" s="420"/>
      <c r="MLZ3" s="420"/>
      <c r="MMA3" s="420"/>
      <c r="MMB3" s="419" t="s">
        <v>23</v>
      </c>
      <c r="MMC3" s="420"/>
      <c r="MMD3" s="420"/>
      <c r="MME3" s="420"/>
      <c r="MMF3" s="419" t="s">
        <v>23</v>
      </c>
      <c r="MMG3" s="420"/>
      <c r="MMH3" s="420"/>
      <c r="MMI3" s="420"/>
      <c r="MMJ3" s="419" t="s">
        <v>23</v>
      </c>
      <c r="MMK3" s="420"/>
      <c r="MML3" s="420"/>
      <c r="MMM3" s="420"/>
      <c r="MMN3" s="419" t="s">
        <v>23</v>
      </c>
      <c r="MMO3" s="420"/>
      <c r="MMP3" s="420"/>
      <c r="MMQ3" s="420"/>
      <c r="MMR3" s="419" t="s">
        <v>23</v>
      </c>
      <c r="MMS3" s="420"/>
      <c r="MMT3" s="420"/>
      <c r="MMU3" s="420"/>
      <c r="MMV3" s="419" t="s">
        <v>23</v>
      </c>
      <c r="MMW3" s="420"/>
      <c r="MMX3" s="420"/>
      <c r="MMY3" s="420"/>
      <c r="MMZ3" s="419" t="s">
        <v>23</v>
      </c>
      <c r="MNA3" s="420"/>
      <c r="MNB3" s="420"/>
      <c r="MNC3" s="420"/>
      <c r="MND3" s="419" t="s">
        <v>23</v>
      </c>
      <c r="MNE3" s="420"/>
      <c r="MNF3" s="420"/>
      <c r="MNG3" s="420"/>
      <c r="MNH3" s="419" t="s">
        <v>23</v>
      </c>
      <c r="MNI3" s="420"/>
      <c r="MNJ3" s="420"/>
      <c r="MNK3" s="420"/>
      <c r="MNL3" s="419" t="s">
        <v>23</v>
      </c>
      <c r="MNM3" s="420"/>
      <c r="MNN3" s="420"/>
      <c r="MNO3" s="420"/>
      <c r="MNP3" s="419" t="s">
        <v>23</v>
      </c>
      <c r="MNQ3" s="420"/>
      <c r="MNR3" s="420"/>
      <c r="MNS3" s="420"/>
      <c r="MNT3" s="419" t="s">
        <v>23</v>
      </c>
      <c r="MNU3" s="420"/>
      <c r="MNV3" s="420"/>
      <c r="MNW3" s="420"/>
      <c r="MNX3" s="419" t="s">
        <v>23</v>
      </c>
      <c r="MNY3" s="420"/>
      <c r="MNZ3" s="420"/>
      <c r="MOA3" s="420"/>
      <c r="MOB3" s="419" t="s">
        <v>23</v>
      </c>
      <c r="MOC3" s="420"/>
      <c r="MOD3" s="420"/>
      <c r="MOE3" s="420"/>
      <c r="MOF3" s="419" t="s">
        <v>23</v>
      </c>
      <c r="MOG3" s="420"/>
      <c r="MOH3" s="420"/>
      <c r="MOI3" s="420"/>
      <c r="MOJ3" s="419" t="s">
        <v>23</v>
      </c>
      <c r="MOK3" s="420"/>
      <c r="MOL3" s="420"/>
      <c r="MOM3" s="420"/>
      <c r="MON3" s="419" t="s">
        <v>23</v>
      </c>
      <c r="MOO3" s="420"/>
      <c r="MOP3" s="420"/>
      <c r="MOQ3" s="420"/>
      <c r="MOR3" s="419" t="s">
        <v>23</v>
      </c>
      <c r="MOS3" s="420"/>
      <c r="MOT3" s="420"/>
      <c r="MOU3" s="420"/>
      <c r="MOV3" s="419" t="s">
        <v>23</v>
      </c>
      <c r="MOW3" s="420"/>
      <c r="MOX3" s="420"/>
      <c r="MOY3" s="420"/>
      <c r="MOZ3" s="419" t="s">
        <v>23</v>
      </c>
      <c r="MPA3" s="420"/>
      <c r="MPB3" s="420"/>
      <c r="MPC3" s="420"/>
      <c r="MPD3" s="419" t="s">
        <v>23</v>
      </c>
      <c r="MPE3" s="420"/>
      <c r="MPF3" s="420"/>
      <c r="MPG3" s="420"/>
      <c r="MPH3" s="419" t="s">
        <v>23</v>
      </c>
      <c r="MPI3" s="420"/>
      <c r="MPJ3" s="420"/>
      <c r="MPK3" s="420"/>
      <c r="MPL3" s="419" t="s">
        <v>23</v>
      </c>
      <c r="MPM3" s="420"/>
      <c r="MPN3" s="420"/>
      <c r="MPO3" s="420"/>
      <c r="MPP3" s="419" t="s">
        <v>23</v>
      </c>
      <c r="MPQ3" s="420"/>
      <c r="MPR3" s="420"/>
      <c r="MPS3" s="420"/>
      <c r="MPT3" s="419" t="s">
        <v>23</v>
      </c>
      <c r="MPU3" s="420"/>
      <c r="MPV3" s="420"/>
      <c r="MPW3" s="420"/>
      <c r="MPX3" s="419" t="s">
        <v>23</v>
      </c>
      <c r="MPY3" s="420"/>
      <c r="MPZ3" s="420"/>
      <c r="MQA3" s="420"/>
      <c r="MQB3" s="419" t="s">
        <v>23</v>
      </c>
      <c r="MQC3" s="420"/>
      <c r="MQD3" s="420"/>
      <c r="MQE3" s="420"/>
      <c r="MQF3" s="419" t="s">
        <v>23</v>
      </c>
      <c r="MQG3" s="420"/>
      <c r="MQH3" s="420"/>
      <c r="MQI3" s="420"/>
      <c r="MQJ3" s="419" t="s">
        <v>23</v>
      </c>
      <c r="MQK3" s="420"/>
      <c r="MQL3" s="420"/>
      <c r="MQM3" s="420"/>
      <c r="MQN3" s="419" t="s">
        <v>23</v>
      </c>
      <c r="MQO3" s="420"/>
      <c r="MQP3" s="420"/>
      <c r="MQQ3" s="420"/>
      <c r="MQR3" s="419" t="s">
        <v>23</v>
      </c>
      <c r="MQS3" s="420"/>
      <c r="MQT3" s="420"/>
      <c r="MQU3" s="420"/>
      <c r="MQV3" s="419" t="s">
        <v>23</v>
      </c>
      <c r="MQW3" s="420"/>
      <c r="MQX3" s="420"/>
      <c r="MQY3" s="420"/>
      <c r="MQZ3" s="419" t="s">
        <v>23</v>
      </c>
      <c r="MRA3" s="420"/>
      <c r="MRB3" s="420"/>
      <c r="MRC3" s="420"/>
      <c r="MRD3" s="419" t="s">
        <v>23</v>
      </c>
      <c r="MRE3" s="420"/>
      <c r="MRF3" s="420"/>
      <c r="MRG3" s="420"/>
      <c r="MRH3" s="419" t="s">
        <v>23</v>
      </c>
      <c r="MRI3" s="420"/>
      <c r="MRJ3" s="420"/>
      <c r="MRK3" s="420"/>
      <c r="MRL3" s="419" t="s">
        <v>23</v>
      </c>
      <c r="MRM3" s="420"/>
      <c r="MRN3" s="420"/>
      <c r="MRO3" s="420"/>
      <c r="MRP3" s="419" t="s">
        <v>23</v>
      </c>
      <c r="MRQ3" s="420"/>
      <c r="MRR3" s="420"/>
      <c r="MRS3" s="420"/>
      <c r="MRT3" s="419" t="s">
        <v>23</v>
      </c>
      <c r="MRU3" s="420"/>
      <c r="MRV3" s="420"/>
      <c r="MRW3" s="420"/>
      <c r="MRX3" s="419" t="s">
        <v>23</v>
      </c>
      <c r="MRY3" s="420"/>
      <c r="MRZ3" s="420"/>
      <c r="MSA3" s="420"/>
      <c r="MSB3" s="419" t="s">
        <v>23</v>
      </c>
      <c r="MSC3" s="420"/>
      <c r="MSD3" s="420"/>
      <c r="MSE3" s="420"/>
      <c r="MSF3" s="419" t="s">
        <v>23</v>
      </c>
      <c r="MSG3" s="420"/>
      <c r="MSH3" s="420"/>
      <c r="MSI3" s="420"/>
      <c r="MSJ3" s="419" t="s">
        <v>23</v>
      </c>
      <c r="MSK3" s="420"/>
      <c r="MSL3" s="420"/>
      <c r="MSM3" s="420"/>
      <c r="MSN3" s="419" t="s">
        <v>23</v>
      </c>
      <c r="MSO3" s="420"/>
      <c r="MSP3" s="420"/>
      <c r="MSQ3" s="420"/>
      <c r="MSR3" s="419" t="s">
        <v>23</v>
      </c>
      <c r="MSS3" s="420"/>
      <c r="MST3" s="420"/>
      <c r="MSU3" s="420"/>
      <c r="MSV3" s="419" t="s">
        <v>23</v>
      </c>
      <c r="MSW3" s="420"/>
      <c r="MSX3" s="420"/>
      <c r="MSY3" s="420"/>
      <c r="MSZ3" s="419" t="s">
        <v>23</v>
      </c>
      <c r="MTA3" s="420"/>
      <c r="MTB3" s="420"/>
      <c r="MTC3" s="420"/>
      <c r="MTD3" s="419" t="s">
        <v>23</v>
      </c>
      <c r="MTE3" s="420"/>
      <c r="MTF3" s="420"/>
      <c r="MTG3" s="420"/>
      <c r="MTH3" s="419" t="s">
        <v>23</v>
      </c>
      <c r="MTI3" s="420"/>
      <c r="MTJ3" s="420"/>
      <c r="MTK3" s="420"/>
      <c r="MTL3" s="419" t="s">
        <v>23</v>
      </c>
      <c r="MTM3" s="420"/>
      <c r="MTN3" s="420"/>
      <c r="MTO3" s="420"/>
      <c r="MTP3" s="419" t="s">
        <v>23</v>
      </c>
      <c r="MTQ3" s="420"/>
      <c r="MTR3" s="420"/>
      <c r="MTS3" s="420"/>
      <c r="MTT3" s="419" t="s">
        <v>23</v>
      </c>
      <c r="MTU3" s="420"/>
      <c r="MTV3" s="420"/>
      <c r="MTW3" s="420"/>
      <c r="MTX3" s="419" t="s">
        <v>23</v>
      </c>
      <c r="MTY3" s="420"/>
      <c r="MTZ3" s="420"/>
      <c r="MUA3" s="420"/>
      <c r="MUB3" s="419" t="s">
        <v>23</v>
      </c>
      <c r="MUC3" s="420"/>
      <c r="MUD3" s="420"/>
      <c r="MUE3" s="420"/>
      <c r="MUF3" s="419" t="s">
        <v>23</v>
      </c>
      <c r="MUG3" s="420"/>
      <c r="MUH3" s="420"/>
      <c r="MUI3" s="420"/>
      <c r="MUJ3" s="419" t="s">
        <v>23</v>
      </c>
      <c r="MUK3" s="420"/>
      <c r="MUL3" s="420"/>
      <c r="MUM3" s="420"/>
      <c r="MUN3" s="419" t="s">
        <v>23</v>
      </c>
      <c r="MUO3" s="420"/>
      <c r="MUP3" s="420"/>
      <c r="MUQ3" s="420"/>
      <c r="MUR3" s="419" t="s">
        <v>23</v>
      </c>
      <c r="MUS3" s="420"/>
      <c r="MUT3" s="420"/>
      <c r="MUU3" s="420"/>
      <c r="MUV3" s="419" t="s">
        <v>23</v>
      </c>
      <c r="MUW3" s="420"/>
      <c r="MUX3" s="420"/>
      <c r="MUY3" s="420"/>
      <c r="MUZ3" s="419" t="s">
        <v>23</v>
      </c>
      <c r="MVA3" s="420"/>
      <c r="MVB3" s="420"/>
      <c r="MVC3" s="420"/>
      <c r="MVD3" s="419" t="s">
        <v>23</v>
      </c>
      <c r="MVE3" s="420"/>
      <c r="MVF3" s="420"/>
      <c r="MVG3" s="420"/>
      <c r="MVH3" s="419" t="s">
        <v>23</v>
      </c>
      <c r="MVI3" s="420"/>
      <c r="MVJ3" s="420"/>
      <c r="MVK3" s="420"/>
      <c r="MVL3" s="419" t="s">
        <v>23</v>
      </c>
      <c r="MVM3" s="420"/>
      <c r="MVN3" s="420"/>
      <c r="MVO3" s="420"/>
      <c r="MVP3" s="419" t="s">
        <v>23</v>
      </c>
      <c r="MVQ3" s="420"/>
      <c r="MVR3" s="420"/>
      <c r="MVS3" s="420"/>
      <c r="MVT3" s="419" t="s">
        <v>23</v>
      </c>
      <c r="MVU3" s="420"/>
      <c r="MVV3" s="420"/>
      <c r="MVW3" s="420"/>
      <c r="MVX3" s="419" t="s">
        <v>23</v>
      </c>
      <c r="MVY3" s="420"/>
      <c r="MVZ3" s="420"/>
      <c r="MWA3" s="420"/>
      <c r="MWB3" s="419" t="s">
        <v>23</v>
      </c>
      <c r="MWC3" s="420"/>
      <c r="MWD3" s="420"/>
      <c r="MWE3" s="420"/>
      <c r="MWF3" s="419" t="s">
        <v>23</v>
      </c>
      <c r="MWG3" s="420"/>
      <c r="MWH3" s="420"/>
      <c r="MWI3" s="420"/>
      <c r="MWJ3" s="419" t="s">
        <v>23</v>
      </c>
      <c r="MWK3" s="420"/>
      <c r="MWL3" s="420"/>
      <c r="MWM3" s="420"/>
      <c r="MWN3" s="419" t="s">
        <v>23</v>
      </c>
      <c r="MWO3" s="420"/>
      <c r="MWP3" s="420"/>
      <c r="MWQ3" s="420"/>
      <c r="MWR3" s="419" t="s">
        <v>23</v>
      </c>
      <c r="MWS3" s="420"/>
      <c r="MWT3" s="420"/>
      <c r="MWU3" s="420"/>
      <c r="MWV3" s="419" t="s">
        <v>23</v>
      </c>
      <c r="MWW3" s="420"/>
      <c r="MWX3" s="420"/>
      <c r="MWY3" s="420"/>
      <c r="MWZ3" s="419" t="s">
        <v>23</v>
      </c>
      <c r="MXA3" s="420"/>
      <c r="MXB3" s="420"/>
      <c r="MXC3" s="420"/>
      <c r="MXD3" s="419" t="s">
        <v>23</v>
      </c>
      <c r="MXE3" s="420"/>
      <c r="MXF3" s="420"/>
      <c r="MXG3" s="420"/>
      <c r="MXH3" s="419" t="s">
        <v>23</v>
      </c>
      <c r="MXI3" s="420"/>
      <c r="MXJ3" s="420"/>
      <c r="MXK3" s="420"/>
      <c r="MXL3" s="419" t="s">
        <v>23</v>
      </c>
      <c r="MXM3" s="420"/>
      <c r="MXN3" s="420"/>
      <c r="MXO3" s="420"/>
      <c r="MXP3" s="419" t="s">
        <v>23</v>
      </c>
      <c r="MXQ3" s="420"/>
      <c r="MXR3" s="420"/>
      <c r="MXS3" s="420"/>
      <c r="MXT3" s="419" t="s">
        <v>23</v>
      </c>
      <c r="MXU3" s="420"/>
      <c r="MXV3" s="420"/>
      <c r="MXW3" s="420"/>
      <c r="MXX3" s="419" t="s">
        <v>23</v>
      </c>
      <c r="MXY3" s="420"/>
      <c r="MXZ3" s="420"/>
      <c r="MYA3" s="420"/>
      <c r="MYB3" s="419" t="s">
        <v>23</v>
      </c>
      <c r="MYC3" s="420"/>
      <c r="MYD3" s="420"/>
      <c r="MYE3" s="420"/>
      <c r="MYF3" s="419" t="s">
        <v>23</v>
      </c>
      <c r="MYG3" s="420"/>
      <c r="MYH3" s="420"/>
      <c r="MYI3" s="420"/>
      <c r="MYJ3" s="419" t="s">
        <v>23</v>
      </c>
      <c r="MYK3" s="420"/>
      <c r="MYL3" s="420"/>
      <c r="MYM3" s="420"/>
      <c r="MYN3" s="419" t="s">
        <v>23</v>
      </c>
      <c r="MYO3" s="420"/>
      <c r="MYP3" s="420"/>
      <c r="MYQ3" s="420"/>
      <c r="MYR3" s="419" t="s">
        <v>23</v>
      </c>
      <c r="MYS3" s="420"/>
      <c r="MYT3" s="420"/>
      <c r="MYU3" s="420"/>
      <c r="MYV3" s="419" t="s">
        <v>23</v>
      </c>
      <c r="MYW3" s="420"/>
      <c r="MYX3" s="420"/>
      <c r="MYY3" s="420"/>
      <c r="MYZ3" s="419" t="s">
        <v>23</v>
      </c>
      <c r="MZA3" s="420"/>
      <c r="MZB3" s="420"/>
      <c r="MZC3" s="420"/>
      <c r="MZD3" s="419" t="s">
        <v>23</v>
      </c>
      <c r="MZE3" s="420"/>
      <c r="MZF3" s="420"/>
      <c r="MZG3" s="420"/>
      <c r="MZH3" s="419" t="s">
        <v>23</v>
      </c>
      <c r="MZI3" s="420"/>
      <c r="MZJ3" s="420"/>
      <c r="MZK3" s="420"/>
      <c r="MZL3" s="419" t="s">
        <v>23</v>
      </c>
      <c r="MZM3" s="420"/>
      <c r="MZN3" s="420"/>
      <c r="MZO3" s="420"/>
      <c r="MZP3" s="419" t="s">
        <v>23</v>
      </c>
      <c r="MZQ3" s="420"/>
      <c r="MZR3" s="420"/>
      <c r="MZS3" s="420"/>
      <c r="MZT3" s="419" t="s">
        <v>23</v>
      </c>
      <c r="MZU3" s="420"/>
      <c r="MZV3" s="420"/>
      <c r="MZW3" s="420"/>
      <c r="MZX3" s="419" t="s">
        <v>23</v>
      </c>
      <c r="MZY3" s="420"/>
      <c r="MZZ3" s="420"/>
      <c r="NAA3" s="420"/>
      <c r="NAB3" s="419" t="s">
        <v>23</v>
      </c>
      <c r="NAC3" s="420"/>
      <c r="NAD3" s="420"/>
      <c r="NAE3" s="420"/>
      <c r="NAF3" s="419" t="s">
        <v>23</v>
      </c>
      <c r="NAG3" s="420"/>
      <c r="NAH3" s="420"/>
      <c r="NAI3" s="420"/>
      <c r="NAJ3" s="419" t="s">
        <v>23</v>
      </c>
      <c r="NAK3" s="420"/>
      <c r="NAL3" s="420"/>
      <c r="NAM3" s="420"/>
      <c r="NAN3" s="419" t="s">
        <v>23</v>
      </c>
      <c r="NAO3" s="420"/>
      <c r="NAP3" s="420"/>
      <c r="NAQ3" s="420"/>
      <c r="NAR3" s="419" t="s">
        <v>23</v>
      </c>
      <c r="NAS3" s="420"/>
      <c r="NAT3" s="420"/>
      <c r="NAU3" s="420"/>
      <c r="NAV3" s="419" t="s">
        <v>23</v>
      </c>
      <c r="NAW3" s="420"/>
      <c r="NAX3" s="420"/>
      <c r="NAY3" s="420"/>
      <c r="NAZ3" s="419" t="s">
        <v>23</v>
      </c>
      <c r="NBA3" s="420"/>
      <c r="NBB3" s="420"/>
      <c r="NBC3" s="420"/>
      <c r="NBD3" s="419" t="s">
        <v>23</v>
      </c>
      <c r="NBE3" s="420"/>
      <c r="NBF3" s="420"/>
      <c r="NBG3" s="420"/>
      <c r="NBH3" s="419" t="s">
        <v>23</v>
      </c>
      <c r="NBI3" s="420"/>
      <c r="NBJ3" s="420"/>
      <c r="NBK3" s="420"/>
      <c r="NBL3" s="419" t="s">
        <v>23</v>
      </c>
      <c r="NBM3" s="420"/>
      <c r="NBN3" s="420"/>
      <c r="NBO3" s="420"/>
      <c r="NBP3" s="419" t="s">
        <v>23</v>
      </c>
      <c r="NBQ3" s="420"/>
      <c r="NBR3" s="420"/>
      <c r="NBS3" s="420"/>
      <c r="NBT3" s="419" t="s">
        <v>23</v>
      </c>
      <c r="NBU3" s="420"/>
      <c r="NBV3" s="420"/>
      <c r="NBW3" s="420"/>
      <c r="NBX3" s="419" t="s">
        <v>23</v>
      </c>
      <c r="NBY3" s="420"/>
      <c r="NBZ3" s="420"/>
      <c r="NCA3" s="420"/>
      <c r="NCB3" s="419" t="s">
        <v>23</v>
      </c>
      <c r="NCC3" s="420"/>
      <c r="NCD3" s="420"/>
      <c r="NCE3" s="420"/>
      <c r="NCF3" s="419" t="s">
        <v>23</v>
      </c>
      <c r="NCG3" s="420"/>
      <c r="NCH3" s="420"/>
      <c r="NCI3" s="420"/>
      <c r="NCJ3" s="419" t="s">
        <v>23</v>
      </c>
      <c r="NCK3" s="420"/>
      <c r="NCL3" s="420"/>
      <c r="NCM3" s="420"/>
      <c r="NCN3" s="419" t="s">
        <v>23</v>
      </c>
      <c r="NCO3" s="420"/>
      <c r="NCP3" s="420"/>
      <c r="NCQ3" s="420"/>
      <c r="NCR3" s="419" t="s">
        <v>23</v>
      </c>
      <c r="NCS3" s="420"/>
      <c r="NCT3" s="420"/>
      <c r="NCU3" s="420"/>
      <c r="NCV3" s="419" t="s">
        <v>23</v>
      </c>
      <c r="NCW3" s="420"/>
      <c r="NCX3" s="420"/>
      <c r="NCY3" s="420"/>
      <c r="NCZ3" s="419" t="s">
        <v>23</v>
      </c>
      <c r="NDA3" s="420"/>
      <c r="NDB3" s="420"/>
      <c r="NDC3" s="420"/>
      <c r="NDD3" s="419" t="s">
        <v>23</v>
      </c>
      <c r="NDE3" s="420"/>
      <c r="NDF3" s="420"/>
      <c r="NDG3" s="420"/>
      <c r="NDH3" s="419" t="s">
        <v>23</v>
      </c>
      <c r="NDI3" s="420"/>
      <c r="NDJ3" s="420"/>
      <c r="NDK3" s="420"/>
      <c r="NDL3" s="419" t="s">
        <v>23</v>
      </c>
      <c r="NDM3" s="420"/>
      <c r="NDN3" s="420"/>
      <c r="NDO3" s="420"/>
      <c r="NDP3" s="419" t="s">
        <v>23</v>
      </c>
      <c r="NDQ3" s="420"/>
      <c r="NDR3" s="420"/>
      <c r="NDS3" s="420"/>
      <c r="NDT3" s="419" t="s">
        <v>23</v>
      </c>
      <c r="NDU3" s="420"/>
      <c r="NDV3" s="420"/>
      <c r="NDW3" s="420"/>
      <c r="NDX3" s="419" t="s">
        <v>23</v>
      </c>
      <c r="NDY3" s="420"/>
      <c r="NDZ3" s="420"/>
      <c r="NEA3" s="420"/>
      <c r="NEB3" s="419" t="s">
        <v>23</v>
      </c>
      <c r="NEC3" s="420"/>
      <c r="NED3" s="420"/>
      <c r="NEE3" s="420"/>
      <c r="NEF3" s="419" t="s">
        <v>23</v>
      </c>
      <c r="NEG3" s="420"/>
      <c r="NEH3" s="420"/>
      <c r="NEI3" s="420"/>
      <c r="NEJ3" s="419" t="s">
        <v>23</v>
      </c>
      <c r="NEK3" s="420"/>
      <c r="NEL3" s="420"/>
      <c r="NEM3" s="420"/>
      <c r="NEN3" s="419" t="s">
        <v>23</v>
      </c>
      <c r="NEO3" s="420"/>
      <c r="NEP3" s="420"/>
      <c r="NEQ3" s="420"/>
      <c r="NER3" s="419" t="s">
        <v>23</v>
      </c>
      <c r="NES3" s="420"/>
      <c r="NET3" s="420"/>
      <c r="NEU3" s="420"/>
      <c r="NEV3" s="419" t="s">
        <v>23</v>
      </c>
      <c r="NEW3" s="420"/>
      <c r="NEX3" s="420"/>
      <c r="NEY3" s="420"/>
      <c r="NEZ3" s="419" t="s">
        <v>23</v>
      </c>
      <c r="NFA3" s="420"/>
      <c r="NFB3" s="420"/>
      <c r="NFC3" s="420"/>
      <c r="NFD3" s="419" t="s">
        <v>23</v>
      </c>
      <c r="NFE3" s="420"/>
      <c r="NFF3" s="420"/>
      <c r="NFG3" s="420"/>
      <c r="NFH3" s="419" t="s">
        <v>23</v>
      </c>
      <c r="NFI3" s="420"/>
      <c r="NFJ3" s="420"/>
      <c r="NFK3" s="420"/>
      <c r="NFL3" s="419" t="s">
        <v>23</v>
      </c>
      <c r="NFM3" s="420"/>
      <c r="NFN3" s="420"/>
      <c r="NFO3" s="420"/>
      <c r="NFP3" s="419" t="s">
        <v>23</v>
      </c>
      <c r="NFQ3" s="420"/>
      <c r="NFR3" s="420"/>
      <c r="NFS3" s="420"/>
      <c r="NFT3" s="419" t="s">
        <v>23</v>
      </c>
      <c r="NFU3" s="420"/>
      <c r="NFV3" s="420"/>
      <c r="NFW3" s="420"/>
      <c r="NFX3" s="419" t="s">
        <v>23</v>
      </c>
      <c r="NFY3" s="420"/>
      <c r="NFZ3" s="420"/>
      <c r="NGA3" s="420"/>
      <c r="NGB3" s="419" t="s">
        <v>23</v>
      </c>
      <c r="NGC3" s="420"/>
      <c r="NGD3" s="420"/>
      <c r="NGE3" s="420"/>
      <c r="NGF3" s="419" t="s">
        <v>23</v>
      </c>
      <c r="NGG3" s="420"/>
      <c r="NGH3" s="420"/>
      <c r="NGI3" s="420"/>
      <c r="NGJ3" s="419" t="s">
        <v>23</v>
      </c>
      <c r="NGK3" s="420"/>
      <c r="NGL3" s="420"/>
      <c r="NGM3" s="420"/>
      <c r="NGN3" s="419" t="s">
        <v>23</v>
      </c>
      <c r="NGO3" s="420"/>
      <c r="NGP3" s="420"/>
      <c r="NGQ3" s="420"/>
      <c r="NGR3" s="419" t="s">
        <v>23</v>
      </c>
      <c r="NGS3" s="420"/>
      <c r="NGT3" s="420"/>
      <c r="NGU3" s="420"/>
      <c r="NGV3" s="419" t="s">
        <v>23</v>
      </c>
      <c r="NGW3" s="420"/>
      <c r="NGX3" s="420"/>
      <c r="NGY3" s="420"/>
      <c r="NGZ3" s="419" t="s">
        <v>23</v>
      </c>
      <c r="NHA3" s="420"/>
      <c r="NHB3" s="420"/>
      <c r="NHC3" s="420"/>
      <c r="NHD3" s="419" t="s">
        <v>23</v>
      </c>
      <c r="NHE3" s="420"/>
      <c r="NHF3" s="420"/>
      <c r="NHG3" s="420"/>
      <c r="NHH3" s="419" t="s">
        <v>23</v>
      </c>
      <c r="NHI3" s="420"/>
      <c r="NHJ3" s="420"/>
      <c r="NHK3" s="420"/>
      <c r="NHL3" s="419" t="s">
        <v>23</v>
      </c>
      <c r="NHM3" s="420"/>
      <c r="NHN3" s="420"/>
      <c r="NHO3" s="420"/>
      <c r="NHP3" s="419" t="s">
        <v>23</v>
      </c>
      <c r="NHQ3" s="420"/>
      <c r="NHR3" s="420"/>
      <c r="NHS3" s="420"/>
      <c r="NHT3" s="419" t="s">
        <v>23</v>
      </c>
      <c r="NHU3" s="420"/>
      <c r="NHV3" s="420"/>
      <c r="NHW3" s="420"/>
      <c r="NHX3" s="419" t="s">
        <v>23</v>
      </c>
      <c r="NHY3" s="420"/>
      <c r="NHZ3" s="420"/>
      <c r="NIA3" s="420"/>
      <c r="NIB3" s="419" t="s">
        <v>23</v>
      </c>
      <c r="NIC3" s="420"/>
      <c r="NID3" s="420"/>
      <c r="NIE3" s="420"/>
      <c r="NIF3" s="419" t="s">
        <v>23</v>
      </c>
      <c r="NIG3" s="420"/>
      <c r="NIH3" s="420"/>
      <c r="NII3" s="420"/>
      <c r="NIJ3" s="419" t="s">
        <v>23</v>
      </c>
      <c r="NIK3" s="420"/>
      <c r="NIL3" s="420"/>
      <c r="NIM3" s="420"/>
      <c r="NIN3" s="419" t="s">
        <v>23</v>
      </c>
      <c r="NIO3" s="420"/>
      <c r="NIP3" s="420"/>
      <c r="NIQ3" s="420"/>
      <c r="NIR3" s="419" t="s">
        <v>23</v>
      </c>
      <c r="NIS3" s="420"/>
      <c r="NIT3" s="420"/>
      <c r="NIU3" s="420"/>
      <c r="NIV3" s="419" t="s">
        <v>23</v>
      </c>
      <c r="NIW3" s="420"/>
      <c r="NIX3" s="420"/>
      <c r="NIY3" s="420"/>
      <c r="NIZ3" s="419" t="s">
        <v>23</v>
      </c>
      <c r="NJA3" s="420"/>
      <c r="NJB3" s="420"/>
      <c r="NJC3" s="420"/>
      <c r="NJD3" s="419" t="s">
        <v>23</v>
      </c>
      <c r="NJE3" s="420"/>
      <c r="NJF3" s="420"/>
      <c r="NJG3" s="420"/>
      <c r="NJH3" s="419" t="s">
        <v>23</v>
      </c>
      <c r="NJI3" s="420"/>
      <c r="NJJ3" s="420"/>
      <c r="NJK3" s="420"/>
      <c r="NJL3" s="419" t="s">
        <v>23</v>
      </c>
      <c r="NJM3" s="420"/>
      <c r="NJN3" s="420"/>
      <c r="NJO3" s="420"/>
      <c r="NJP3" s="419" t="s">
        <v>23</v>
      </c>
      <c r="NJQ3" s="420"/>
      <c r="NJR3" s="420"/>
      <c r="NJS3" s="420"/>
      <c r="NJT3" s="419" t="s">
        <v>23</v>
      </c>
      <c r="NJU3" s="420"/>
      <c r="NJV3" s="420"/>
      <c r="NJW3" s="420"/>
      <c r="NJX3" s="419" t="s">
        <v>23</v>
      </c>
      <c r="NJY3" s="420"/>
      <c r="NJZ3" s="420"/>
      <c r="NKA3" s="420"/>
      <c r="NKB3" s="419" t="s">
        <v>23</v>
      </c>
      <c r="NKC3" s="420"/>
      <c r="NKD3" s="420"/>
      <c r="NKE3" s="420"/>
      <c r="NKF3" s="419" t="s">
        <v>23</v>
      </c>
      <c r="NKG3" s="420"/>
      <c r="NKH3" s="420"/>
      <c r="NKI3" s="420"/>
      <c r="NKJ3" s="419" t="s">
        <v>23</v>
      </c>
      <c r="NKK3" s="420"/>
      <c r="NKL3" s="420"/>
      <c r="NKM3" s="420"/>
      <c r="NKN3" s="419" t="s">
        <v>23</v>
      </c>
      <c r="NKO3" s="420"/>
      <c r="NKP3" s="420"/>
      <c r="NKQ3" s="420"/>
      <c r="NKR3" s="419" t="s">
        <v>23</v>
      </c>
      <c r="NKS3" s="420"/>
      <c r="NKT3" s="420"/>
      <c r="NKU3" s="420"/>
      <c r="NKV3" s="419" t="s">
        <v>23</v>
      </c>
      <c r="NKW3" s="420"/>
      <c r="NKX3" s="420"/>
      <c r="NKY3" s="420"/>
      <c r="NKZ3" s="419" t="s">
        <v>23</v>
      </c>
      <c r="NLA3" s="420"/>
      <c r="NLB3" s="420"/>
      <c r="NLC3" s="420"/>
      <c r="NLD3" s="419" t="s">
        <v>23</v>
      </c>
      <c r="NLE3" s="420"/>
      <c r="NLF3" s="420"/>
      <c r="NLG3" s="420"/>
      <c r="NLH3" s="419" t="s">
        <v>23</v>
      </c>
      <c r="NLI3" s="420"/>
      <c r="NLJ3" s="420"/>
      <c r="NLK3" s="420"/>
      <c r="NLL3" s="419" t="s">
        <v>23</v>
      </c>
      <c r="NLM3" s="420"/>
      <c r="NLN3" s="420"/>
      <c r="NLO3" s="420"/>
      <c r="NLP3" s="419" t="s">
        <v>23</v>
      </c>
      <c r="NLQ3" s="420"/>
      <c r="NLR3" s="420"/>
      <c r="NLS3" s="420"/>
      <c r="NLT3" s="419" t="s">
        <v>23</v>
      </c>
      <c r="NLU3" s="420"/>
      <c r="NLV3" s="420"/>
      <c r="NLW3" s="420"/>
      <c r="NLX3" s="419" t="s">
        <v>23</v>
      </c>
      <c r="NLY3" s="420"/>
      <c r="NLZ3" s="420"/>
      <c r="NMA3" s="420"/>
      <c r="NMB3" s="419" t="s">
        <v>23</v>
      </c>
      <c r="NMC3" s="420"/>
      <c r="NMD3" s="420"/>
      <c r="NME3" s="420"/>
      <c r="NMF3" s="419" t="s">
        <v>23</v>
      </c>
      <c r="NMG3" s="420"/>
      <c r="NMH3" s="420"/>
      <c r="NMI3" s="420"/>
      <c r="NMJ3" s="419" t="s">
        <v>23</v>
      </c>
      <c r="NMK3" s="420"/>
      <c r="NML3" s="420"/>
      <c r="NMM3" s="420"/>
      <c r="NMN3" s="419" t="s">
        <v>23</v>
      </c>
      <c r="NMO3" s="420"/>
      <c r="NMP3" s="420"/>
      <c r="NMQ3" s="420"/>
      <c r="NMR3" s="419" t="s">
        <v>23</v>
      </c>
      <c r="NMS3" s="420"/>
      <c r="NMT3" s="420"/>
      <c r="NMU3" s="420"/>
      <c r="NMV3" s="419" t="s">
        <v>23</v>
      </c>
      <c r="NMW3" s="420"/>
      <c r="NMX3" s="420"/>
      <c r="NMY3" s="420"/>
      <c r="NMZ3" s="419" t="s">
        <v>23</v>
      </c>
      <c r="NNA3" s="420"/>
      <c r="NNB3" s="420"/>
      <c r="NNC3" s="420"/>
      <c r="NND3" s="419" t="s">
        <v>23</v>
      </c>
      <c r="NNE3" s="420"/>
      <c r="NNF3" s="420"/>
      <c r="NNG3" s="420"/>
      <c r="NNH3" s="419" t="s">
        <v>23</v>
      </c>
      <c r="NNI3" s="420"/>
      <c r="NNJ3" s="420"/>
      <c r="NNK3" s="420"/>
      <c r="NNL3" s="419" t="s">
        <v>23</v>
      </c>
      <c r="NNM3" s="420"/>
      <c r="NNN3" s="420"/>
      <c r="NNO3" s="420"/>
      <c r="NNP3" s="419" t="s">
        <v>23</v>
      </c>
      <c r="NNQ3" s="420"/>
      <c r="NNR3" s="420"/>
      <c r="NNS3" s="420"/>
      <c r="NNT3" s="419" t="s">
        <v>23</v>
      </c>
      <c r="NNU3" s="420"/>
      <c r="NNV3" s="420"/>
      <c r="NNW3" s="420"/>
      <c r="NNX3" s="419" t="s">
        <v>23</v>
      </c>
      <c r="NNY3" s="420"/>
      <c r="NNZ3" s="420"/>
      <c r="NOA3" s="420"/>
      <c r="NOB3" s="419" t="s">
        <v>23</v>
      </c>
      <c r="NOC3" s="420"/>
      <c r="NOD3" s="420"/>
      <c r="NOE3" s="420"/>
      <c r="NOF3" s="419" t="s">
        <v>23</v>
      </c>
      <c r="NOG3" s="420"/>
      <c r="NOH3" s="420"/>
      <c r="NOI3" s="420"/>
      <c r="NOJ3" s="419" t="s">
        <v>23</v>
      </c>
      <c r="NOK3" s="420"/>
      <c r="NOL3" s="420"/>
      <c r="NOM3" s="420"/>
      <c r="NON3" s="419" t="s">
        <v>23</v>
      </c>
      <c r="NOO3" s="420"/>
      <c r="NOP3" s="420"/>
      <c r="NOQ3" s="420"/>
      <c r="NOR3" s="419" t="s">
        <v>23</v>
      </c>
      <c r="NOS3" s="420"/>
      <c r="NOT3" s="420"/>
      <c r="NOU3" s="420"/>
      <c r="NOV3" s="419" t="s">
        <v>23</v>
      </c>
      <c r="NOW3" s="420"/>
      <c r="NOX3" s="420"/>
      <c r="NOY3" s="420"/>
      <c r="NOZ3" s="419" t="s">
        <v>23</v>
      </c>
      <c r="NPA3" s="420"/>
      <c r="NPB3" s="420"/>
      <c r="NPC3" s="420"/>
      <c r="NPD3" s="419" t="s">
        <v>23</v>
      </c>
      <c r="NPE3" s="420"/>
      <c r="NPF3" s="420"/>
      <c r="NPG3" s="420"/>
      <c r="NPH3" s="419" t="s">
        <v>23</v>
      </c>
      <c r="NPI3" s="420"/>
      <c r="NPJ3" s="420"/>
      <c r="NPK3" s="420"/>
      <c r="NPL3" s="419" t="s">
        <v>23</v>
      </c>
      <c r="NPM3" s="420"/>
      <c r="NPN3" s="420"/>
      <c r="NPO3" s="420"/>
      <c r="NPP3" s="419" t="s">
        <v>23</v>
      </c>
      <c r="NPQ3" s="420"/>
      <c r="NPR3" s="420"/>
      <c r="NPS3" s="420"/>
      <c r="NPT3" s="419" t="s">
        <v>23</v>
      </c>
      <c r="NPU3" s="420"/>
      <c r="NPV3" s="420"/>
      <c r="NPW3" s="420"/>
      <c r="NPX3" s="419" t="s">
        <v>23</v>
      </c>
      <c r="NPY3" s="420"/>
      <c r="NPZ3" s="420"/>
      <c r="NQA3" s="420"/>
      <c r="NQB3" s="419" t="s">
        <v>23</v>
      </c>
      <c r="NQC3" s="420"/>
      <c r="NQD3" s="420"/>
      <c r="NQE3" s="420"/>
      <c r="NQF3" s="419" t="s">
        <v>23</v>
      </c>
      <c r="NQG3" s="420"/>
      <c r="NQH3" s="420"/>
      <c r="NQI3" s="420"/>
      <c r="NQJ3" s="419" t="s">
        <v>23</v>
      </c>
      <c r="NQK3" s="420"/>
      <c r="NQL3" s="420"/>
      <c r="NQM3" s="420"/>
      <c r="NQN3" s="419" t="s">
        <v>23</v>
      </c>
      <c r="NQO3" s="420"/>
      <c r="NQP3" s="420"/>
      <c r="NQQ3" s="420"/>
      <c r="NQR3" s="419" t="s">
        <v>23</v>
      </c>
      <c r="NQS3" s="420"/>
      <c r="NQT3" s="420"/>
      <c r="NQU3" s="420"/>
      <c r="NQV3" s="419" t="s">
        <v>23</v>
      </c>
      <c r="NQW3" s="420"/>
      <c r="NQX3" s="420"/>
      <c r="NQY3" s="420"/>
      <c r="NQZ3" s="419" t="s">
        <v>23</v>
      </c>
      <c r="NRA3" s="420"/>
      <c r="NRB3" s="420"/>
      <c r="NRC3" s="420"/>
      <c r="NRD3" s="419" t="s">
        <v>23</v>
      </c>
      <c r="NRE3" s="420"/>
      <c r="NRF3" s="420"/>
      <c r="NRG3" s="420"/>
      <c r="NRH3" s="419" t="s">
        <v>23</v>
      </c>
      <c r="NRI3" s="420"/>
      <c r="NRJ3" s="420"/>
      <c r="NRK3" s="420"/>
      <c r="NRL3" s="419" t="s">
        <v>23</v>
      </c>
      <c r="NRM3" s="420"/>
      <c r="NRN3" s="420"/>
      <c r="NRO3" s="420"/>
      <c r="NRP3" s="419" t="s">
        <v>23</v>
      </c>
      <c r="NRQ3" s="420"/>
      <c r="NRR3" s="420"/>
      <c r="NRS3" s="420"/>
      <c r="NRT3" s="419" t="s">
        <v>23</v>
      </c>
      <c r="NRU3" s="420"/>
      <c r="NRV3" s="420"/>
      <c r="NRW3" s="420"/>
      <c r="NRX3" s="419" t="s">
        <v>23</v>
      </c>
      <c r="NRY3" s="420"/>
      <c r="NRZ3" s="420"/>
      <c r="NSA3" s="420"/>
      <c r="NSB3" s="419" t="s">
        <v>23</v>
      </c>
      <c r="NSC3" s="420"/>
      <c r="NSD3" s="420"/>
      <c r="NSE3" s="420"/>
      <c r="NSF3" s="419" t="s">
        <v>23</v>
      </c>
      <c r="NSG3" s="420"/>
      <c r="NSH3" s="420"/>
      <c r="NSI3" s="420"/>
      <c r="NSJ3" s="419" t="s">
        <v>23</v>
      </c>
      <c r="NSK3" s="420"/>
      <c r="NSL3" s="420"/>
      <c r="NSM3" s="420"/>
      <c r="NSN3" s="419" t="s">
        <v>23</v>
      </c>
      <c r="NSO3" s="420"/>
      <c r="NSP3" s="420"/>
      <c r="NSQ3" s="420"/>
      <c r="NSR3" s="419" t="s">
        <v>23</v>
      </c>
      <c r="NSS3" s="420"/>
      <c r="NST3" s="420"/>
      <c r="NSU3" s="420"/>
      <c r="NSV3" s="419" t="s">
        <v>23</v>
      </c>
      <c r="NSW3" s="420"/>
      <c r="NSX3" s="420"/>
      <c r="NSY3" s="420"/>
      <c r="NSZ3" s="419" t="s">
        <v>23</v>
      </c>
      <c r="NTA3" s="420"/>
      <c r="NTB3" s="420"/>
      <c r="NTC3" s="420"/>
      <c r="NTD3" s="419" t="s">
        <v>23</v>
      </c>
      <c r="NTE3" s="420"/>
      <c r="NTF3" s="420"/>
      <c r="NTG3" s="420"/>
      <c r="NTH3" s="419" t="s">
        <v>23</v>
      </c>
      <c r="NTI3" s="420"/>
      <c r="NTJ3" s="420"/>
      <c r="NTK3" s="420"/>
      <c r="NTL3" s="419" t="s">
        <v>23</v>
      </c>
      <c r="NTM3" s="420"/>
      <c r="NTN3" s="420"/>
      <c r="NTO3" s="420"/>
      <c r="NTP3" s="419" t="s">
        <v>23</v>
      </c>
      <c r="NTQ3" s="420"/>
      <c r="NTR3" s="420"/>
      <c r="NTS3" s="420"/>
      <c r="NTT3" s="419" t="s">
        <v>23</v>
      </c>
      <c r="NTU3" s="420"/>
      <c r="NTV3" s="420"/>
      <c r="NTW3" s="420"/>
      <c r="NTX3" s="419" t="s">
        <v>23</v>
      </c>
      <c r="NTY3" s="420"/>
      <c r="NTZ3" s="420"/>
      <c r="NUA3" s="420"/>
      <c r="NUB3" s="419" t="s">
        <v>23</v>
      </c>
      <c r="NUC3" s="420"/>
      <c r="NUD3" s="420"/>
      <c r="NUE3" s="420"/>
      <c r="NUF3" s="419" t="s">
        <v>23</v>
      </c>
      <c r="NUG3" s="420"/>
      <c r="NUH3" s="420"/>
      <c r="NUI3" s="420"/>
      <c r="NUJ3" s="419" t="s">
        <v>23</v>
      </c>
      <c r="NUK3" s="420"/>
      <c r="NUL3" s="420"/>
      <c r="NUM3" s="420"/>
      <c r="NUN3" s="419" t="s">
        <v>23</v>
      </c>
      <c r="NUO3" s="420"/>
      <c r="NUP3" s="420"/>
      <c r="NUQ3" s="420"/>
      <c r="NUR3" s="419" t="s">
        <v>23</v>
      </c>
      <c r="NUS3" s="420"/>
      <c r="NUT3" s="420"/>
      <c r="NUU3" s="420"/>
      <c r="NUV3" s="419" t="s">
        <v>23</v>
      </c>
      <c r="NUW3" s="420"/>
      <c r="NUX3" s="420"/>
      <c r="NUY3" s="420"/>
      <c r="NUZ3" s="419" t="s">
        <v>23</v>
      </c>
      <c r="NVA3" s="420"/>
      <c r="NVB3" s="420"/>
      <c r="NVC3" s="420"/>
      <c r="NVD3" s="419" t="s">
        <v>23</v>
      </c>
      <c r="NVE3" s="420"/>
      <c r="NVF3" s="420"/>
      <c r="NVG3" s="420"/>
      <c r="NVH3" s="419" t="s">
        <v>23</v>
      </c>
      <c r="NVI3" s="420"/>
      <c r="NVJ3" s="420"/>
      <c r="NVK3" s="420"/>
      <c r="NVL3" s="419" t="s">
        <v>23</v>
      </c>
      <c r="NVM3" s="420"/>
      <c r="NVN3" s="420"/>
      <c r="NVO3" s="420"/>
      <c r="NVP3" s="419" t="s">
        <v>23</v>
      </c>
      <c r="NVQ3" s="420"/>
      <c r="NVR3" s="420"/>
      <c r="NVS3" s="420"/>
      <c r="NVT3" s="419" t="s">
        <v>23</v>
      </c>
      <c r="NVU3" s="420"/>
      <c r="NVV3" s="420"/>
      <c r="NVW3" s="420"/>
      <c r="NVX3" s="419" t="s">
        <v>23</v>
      </c>
      <c r="NVY3" s="420"/>
      <c r="NVZ3" s="420"/>
      <c r="NWA3" s="420"/>
      <c r="NWB3" s="419" t="s">
        <v>23</v>
      </c>
      <c r="NWC3" s="420"/>
      <c r="NWD3" s="420"/>
      <c r="NWE3" s="420"/>
      <c r="NWF3" s="419" t="s">
        <v>23</v>
      </c>
      <c r="NWG3" s="420"/>
      <c r="NWH3" s="420"/>
      <c r="NWI3" s="420"/>
      <c r="NWJ3" s="419" t="s">
        <v>23</v>
      </c>
      <c r="NWK3" s="420"/>
      <c r="NWL3" s="420"/>
      <c r="NWM3" s="420"/>
      <c r="NWN3" s="419" t="s">
        <v>23</v>
      </c>
      <c r="NWO3" s="420"/>
      <c r="NWP3" s="420"/>
      <c r="NWQ3" s="420"/>
      <c r="NWR3" s="419" t="s">
        <v>23</v>
      </c>
      <c r="NWS3" s="420"/>
      <c r="NWT3" s="420"/>
      <c r="NWU3" s="420"/>
      <c r="NWV3" s="419" t="s">
        <v>23</v>
      </c>
      <c r="NWW3" s="420"/>
      <c r="NWX3" s="420"/>
      <c r="NWY3" s="420"/>
      <c r="NWZ3" s="419" t="s">
        <v>23</v>
      </c>
      <c r="NXA3" s="420"/>
      <c r="NXB3" s="420"/>
      <c r="NXC3" s="420"/>
      <c r="NXD3" s="419" t="s">
        <v>23</v>
      </c>
      <c r="NXE3" s="420"/>
      <c r="NXF3" s="420"/>
      <c r="NXG3" s="420"/>
      <c r="NXH3" s="419" t="s">
        <v>23</v>
      </c>
      <c r="NXI3" s="420"/>
      <c r="NXJ3" s="420"/>
      <c r="NXK3" s="420"/>
      <c r="NXL3" s="419" t="s">
        <v>23</v>
      </c>
      <c r="NXM3" s="420"/>
      <c r="NXN3" s="420"/>
      <c r="NXO3" s="420"/>
      <c r="NXP3" s="419" t="s">
        <v>23</v>
      </c>
      <c r="NXQ3" s="420"/>
      <c r="NXR3" s="420"/>
      <c r="NXS3" s="420"/>
      <c r="NXT3" s="419" t="s">
        <v>23</v>
      </c>
      <c r="NXU3" s="420"/>
      <c r="NXV3" s="420"/>
      <c r="NXW3" s="420"/>
      <c r="NXX3" s="419" t="s">
        <v>23</v>
      </c>
      <c r="NXY3" s="420"/>
      <c r="NXZ3" s="420"/>
      <c r="NYA3" s="420"/>
      <c r="NYB3" s="419" t="s">
        <v>23</v>
      </c>
      <c r="NYC3" s="420"/>
      <c r="NYD3" s="420"/>
      <c r="NYE3" s="420"/>
      <c r="NYF3" s="419" t="s">
        <v>23</v>
      </c>
      <c r="NYG3" s="420"/>
      <c r="NYH3" s="420"/>
      <c r="NYI3" s="420"/>
      <c r="NYJ3" s="419" t="s">
        <v>23</v>
      </c>
      <c r="NYK3" s="420"/>
      <c r="NYL3" s="420"/>
      <c r="NYM3" s="420"/>
      <c r="NYN3" s="419" t="s">
        <v>23</v>
      </c>
      <c r="NYO3" s="420"/>
      <c r="NYP3" s="420"/>
      <c r="NYQ3" s="420"/>
      <c r="NYR3" s="419" t="s">
        <v>23</v>
      </c>
      <c r="NYS3" s="420"/>
      <c r="NYT3" s="420"/>
      <c r="NYU3" s="420"/>
      <c r="NYV3" s="419" t="s">
        <v>23</v>
      </c>
      <c r="NYW3" s="420"/>
      <c r="NYX3" s="420"/>
      <c r="NYY3" s="420"/>
      <c r="NYZ3" s="419" t="s">
        <v>23</v>
      </c>
      <c r="NZA3" s="420"/>
      <c r="NZB3" s="420"/>
      <c r="NZC3" s="420"/>
      <c r="NZD3" s="419" t="s">
        <v>23</v>
      </c>
      <c r="NZE3" s="420"/>
      <c r="NZF3" s="420"/>
      <c r="NZG3" s="420"/>
      <c r="NZH3" s="419" t="s">
        <v>23</v>
      </c>
      <c r="NZI3" s="420"/>
      <c r="NZJ3" s="420"/>
      <c r="NZK3" s="420"/>
      <c r="NZL3" s="419" t="s">
        <v>23</v>
      </c>
      <c r="NZM3" s="420"/>
      <c r="NZN3" s="420"/>
      <c r="NZO3" s="420"/>
      <c r="NZP3" s="419" t="s">
        <v>23</v>
      </c>
      <c r="NZQ3" s="420"/>
      <c r="NZR3" s="420"/>
      <c r="NZS3" s="420"/>
      <c r="NZT3" s="419" t="s">
        <v>23</v>
      </c>
      <c r="NZU3" s="420"/>
      <c r="NZV3" s="420"/>
      <c r="NZW3" s="420"/>
      <c r="NZX3" s="419" t="s">
        <v>23</v>
      </c>
      <c r="NZY3" s="420"/>
      <c r="NZZ3" s="420"/>
      <c r="OAA3" s="420"/>
      <c r="OAB3" s="419" t="s">
        <v>23</v>
      </c>
      <c r="OAC3" s="420"/>
      <c r="OAD3" s="420"/>
      <c r="OAE3" s="420"/>
      <c r="OAF3" s="419" t="s">
        <v>23</v>
      </c>
      <c r="OAG3" s="420"/>
      <c r="OAH3" s="420"/>
      <c r="OAI3" s="420"/>
      <c r="OAJ3" s="419" t="s">
        <v>23</v>
      </c>
      <c r="OAK3" s="420"/>
      <c r="OAL3" s="420"/>
      <c r="OAM3" s="420"/>
      <c r="OAN3" s="419" t="s">
        <v>23</v>
      </c>
      <c r="OAO3" s="420"/>
      <c r="OAP3" s="420"/>
      <c r="OAQ3" s="420"/>
      <c r="OAR3" s="419" t="s">
        <v>23</v>
      </c>
      <c r="OAS3" s="420"/>
      <c r="OAT3" s="420"/>
      <c r="OAU3" s="420"/>
      <c r="OAV3" s="419" t="s">
        <v>23</v>
      </c>
      <c r="OAW3" s="420"/>
      <c r="OAX3" s="420"/>
      <c r="OAY3" s="420"/>
      <c r="OAZ3" s="419" t="s">
        <v>23</v>
      </c>
      <c r="OBA3" s="420"/>
      <c r="OBB3" s="420"/>
      <c r="OBC3" s="420"/>
      <c r="OBD3" s="419" t="s">
        <v>23</v>
      </c>
      <c r="OBE3" s="420"/>
      <c r="OBF3" s="420"/>
      <c r="OBG3" s="420"/>
      <c r="OBH3" s="419" t="s">
        <v>23</v>
      </c>
      <c r="OBI3" s="420"/>
      <c r="OBJ3" s="420"/>
      <c r="OBK3" s="420"/>
      <c r="OBL3" s="419" t="s">
        <v>23</v>
      </c>
      <c r="OBM3" s="420"/>
      <c r="OBN3" s="420"/>
      <c r="OBO3" s="420"/>
      <c r="OBP3" s="419" t="s">
        <v>23</v>
      </c>
      <c r="OBQ3" s="420"/>
      <c r="OBR3" s="420"/>
      <c r="OBS3" s="420"/>
      <c r="OBT3" s="419" t="s">
        <v>23</v>
      </c>
      <c r="OBU3" s="420"/>
      <c r="OBV3" s="420"/>
      <c r="OBW3" s="420"/>
      <c r="OBX3" s="419" t="s">
        <v>23</v>
      </c>
      <c r="OBY3" s="420"/>
      <c r="OBZ3" s="420"/>
      <c r="OCA3" s="420"/>
      <c r="OCB3" s="419" t="s">
        <v>23</v>
      </c>
      <c r="OCC3" s="420"/>
      <c r="OCD3" s="420"/>
      <c r="OCE3" s="420"/>
      <c r="OCF3" s="419" t="s">
        <v>23</v>
      </c>
      <c r="OCG3" s="420"/>
      <c r="OCH3" s="420"/>
      <c r="OCI3" s="420"/>
      <c r="OCJ3" s="419" t="s">
        <v>23</v>
      </c>
      <c r="OCK3" s="420"/>
      <c r="OCL3" s="420"/>
      <c r="OCM3" s="420"/>
      <c r="OCN3" s="419" t="s">
        <v>23</v>
      </c>
      <c r="OCO3" s="420"/>
      <c r="OCP3" s="420"/>
      <c r="OCQ3" s="420"/>
      <c r="OCR3" s="419" t="s">
        <v>23</v>
      </c>
      <c r="OCS3" s="420"/>
      <c r="OCT3" s="420"/>
      <c r="OCU3" s="420"/>
      <c r="OCV3" s="419" t="s">
        <v>23</v>
      </c>
      <c r="OCW3" s="420"/>
      <c r="OCX3" s="420"/>
      <c r="OCY3" s="420"/>
      <c r="OCZ3" s="419" t="s">
        <v>23</v>
      </c>
      <c r="ODA3" s="420"/>
      <c r="ODB3" s="420"/>
      <c r="ODC3" s="420"/>
      <c r="ODD3" s="419" t="s">
        <v>23</v>
      </c>
      <c r="ODE3" s="420"/>
      <c r="ODF3" s="420"/>
      <c r="ODG3" s="420"/>
      <c r="ODH3" s="419" t="s">
        <v>23</v>
      </c>
      <c r="ODI3" s="420"/>
      <c r="ODJ3" s="420"/>
      <c r="ODK3" s="420"/>
      <c r="ODL3" s="419" t="s">
        <v>23</v>
      </c>
      <c r="ODM3" s="420"/>
      <c r="ODN3" s="420"/>
      <c r="ODO3" s="420"/>
      <c r="ODP3" s="419" t="s">
        <v>23</v>
      </c>
      <c r="ODQ3" s="420"/>
      <c r="ODR3" s="420"/>
      <c r="ODS3" s="420"/>
      <c r="ODT3" s="419" t="s">
        <v>23</v>
      </c>
      <c r="ODU3" s="420"/>
      <c r="ODV3" s="420"/>
      <c r="ODW3" s="420"/>
      <c r="ODX3" s="419" t="s">
        <v>23</v>
      </c>
      <c r="ODY3" s="420"/>
      <c r="ODZ3" s="420"/>
      <c r="OEA3" s="420"/>
      <c r="OEB3" s="419" t="s">
        <v>23</v>
      </c>
      <c r="OEC3" s="420"/>
      <c r="OED3" s="420"/>
      <c r="OEE3" s="420"/>
      <c r="OEF3" s="419" t="s">
        <v>23</v>
      </c>
      <c r="OEG3" s="420"/>
      <c r="OEH3" s="420"/>
      <c r="OEI3" s="420"/>
      <c r="OEJ3" s="419" t="s">
        <v>23</v>
      </c>
      <c r="OEK3" s="420"/>
      <c r="OEL3" s="420"/>
      <c r="OEM3" s="420"/>
      <c r="OEN3" s="419" t="s">
        <v>23</v>
      </c>
      <c r="OEO3" s="420"/>
      <c r="OEP3" s="420"/>
      <c r="OEQ3" s="420"/>
      <c r="OER3" s="419" t="s">
        <v>23</v>
      </c>
      <c r="OES3" s="420"/>
      <c r="OET3" s="420"/>
      <c r="OEU3" s="420"/>
      <c r="OEV3" s="419" t="s">
        <v>23</v>
      </c>
      <c r="OEW3" s="420"/>
      <c r="OEX3" s="420"/>
      <c r="OEY3" s="420"/>
      <c r="OEZ3" s="419" t="s">
        <v>23</v>
      </c>
      <c r="OFA3" s="420"/>
      <c r="OFB3" s="420"/>
      <c r="OFC3" s="420"/>
      <c r="OFD3" s="419" t="s">
        <v>23</v>
      </c>
      <c r="OFE3" s="420"/>
      <c r="OFF3" s="420"/>
      <c r="OFG3" s="420"/>
      <c r="OFH3" s="419" t="s">
        <v>23</v>
      </c>
      <c r="OFI3" s="420"/>
      <c r="OFJ3" s="420"/>
      <c r="OFK3" s="420"/>
      <c r="OFL3" s="419" t="s">
        <v>23</v>
      </c>
      <c r="OFM3" s="420"/>
      <c r="OFN3" s="420"/>
      <c r="OFO3" s="420"/>
      <c r="OFP3" s="419" t="s">
        <v>23</v>
      </c>
      <c r="OFQ3" s="420"/>
      <c r="OFR3" s="420"/>
      <c r="OFS3" s="420"/>
      <c r="OFT3" s="419" t="s">
        <v>23</v>
      </c>
      <c r="OFU3" s="420"/>
      <c r="OFV3" s="420"/>
      <c r="OFW3" s="420"/>
      <c r="OFX3" s="419" t="s">
        <v>23</v>
      </c>
      <c r="OFY3" s="420"/>
      <c r="OFZ3" s="420"/>
      <c r="OGA3" s="420"/>
      <c r="OGB3" s="419" t="s">
        <v>23</v>
      </c>
      <c r="OGC3" s="420"/>
      <c r="OGD3" s="420"/>
      <c r="OGE3" s="420"/>
      <c r="OGF3" s="419" t="s">
        <v>23</v>
      </c>
      <c r="OGG3" s="420"/>
      <c r="OGH3" s="420"/>
      <c r="OGI3" s="420"/>
      <c r="OGJ3" s="419" t="s">
        <v>23</v>
      </c>
      <c r="OGK3" s="420"/>
      <c r="OGL3" s="420"/>
      <c r="OGM3" s="420"/>
      <c r="OGN3" s="419" t="s">
        <v>23</v>
      </c>
      <c r="OGO3" s="420"/>
      <c r="OGP3" s="420"/>
      <c r="OGQ3" s="420"/>
      <c r="OGR3" s="419" t="s">
        <v>23</v>
      </c>
      <c r="OGS3" s="420"/>
      <c r="OGT3" s="420"/>
      <c r="OGU3" s="420"/>
      <c r="OGV3" s="419" t="s">
        <v>23</v>
      </c>
      <c r="OGW3" s="420"/>
      <c r="OGX3" s="420"/>
      <c r="OGY3" s="420"/>
      <c r="OGZ3" s="419" t="s">
        <v>23</v>
      </c>
      <c r="OHA3" s="420"/>
      <c r="OHB3" s="420"/>
      <c r="OHC3" s="420"/>
      <c r="OHD3" s="419" t="s">
        <v>23</v>
      </c>
      <c r="OHE3" s="420"/>
      <c r="OHF3" s="420"/>
      <c r="OHG3" s="420"/>
      <c r="OHH3" s="419" t="s">
        <v>23</v>
      </c>
      <c r="OHI3" s="420"/>
      <c r="OHJ3" s="420"/>
      <c r="OHK3" s="420"/>
      <c r="OHL3" s="419" t="s">
        <v>23</v>
      </c>
      <c r="OHM3" s="420"/>
      <c r="OHN3" s="420"/>
      <c r="OHO3" s="420"/>
      <c r="OHP3" s="419" t="s">
        <v>23</v>
      </c>
      <c r="OHQ3" s="420"/>
      <c r="OHR3" s="420"/>
      <c r="OHS3" s="420"/>
      <c r="OHT3" s="419" t="s">
        <v>23</v>
      </c>
      <c r="OHU3" s="420"/>
      <c r="OHV3" s="420"/>
      <c r="OHW3" s="420"/>
      <c r="OHX3" s="419" t="s">
        <v>23</v>
      </c>
      <c r="OHY3" s="420"/>
      <c r="OHZ3" s="420"/>
      <c r="OIA3" s="420"/>
      <c r="OIB3" s="419" t="s">
        <v>23</v>
      </c>
      <c r="OIC3" s="420"/>
      <c r="OID3" s="420"/>
      <c r="OIE3" s="420"/>
      <c r="OIF3" s="419" t="s">
        <v>23</v>
      </c>
      <c r="OIG3" s="420"/>
      <c r="OIH3" s="420"/>
      <c r="OII3" s="420"/>
      <c r="OIJ3" s="419" t="s">
        <v>23</v>
      </c>
      <c r="OIK3" s="420"/>
      <c r="OIL3" s="420"/>
      <c r="OIM3" s="420"/>
      <c r="OIN3" s="419" t="s">
        <v>23</v>
      </c>
      <c r="OIO3" s="420"/>
      <c r="OIP3" s="420"/>
      <c r="OIQ3" s="420"/>
      <c r="OIR3" s="419" t="s">
        <v>23</v>
      </c>
      <c r="OIS3" s="420"/>
      <c r="OIT3" s="420"/>
      <c r="OIU3" s="420"/>
      <c r="OIV3" s="419" t="s">
        <v>23</v>
      </c>
      <c r="OIW3" s="420"/>
      <c r="OIX3" s="420"/>
      <c r="OIY3" s="420"/>
      <c r="OIZ3" s="419" t="s">
        <v>23</v>
      </c>
      <c r="OJA3" s="420"/>
      <c r="OJB3" s="420"/>
      <c r="OJC3" s="420"/>
      <c r="OJD3" s="419" t="s">
        <v>23</v>
      </c>
      <c r="OJE3" s="420"/>
      <c r="OJF3" s="420"/>
      <c r="OJG3" s="420"/>
      <c r="OJH3" s="419" t="s">
        <v>23</v>
      </c>
      <c r="OJI3" s="420"/>
      <c r="OJJ3" s="420"/>
      <c r="OJK3" s="420"/>
      <c r="OJL3" s="419" t="s">
        <v>23</v>
      </c>
      <c r="OJM3" s="420"/>
      <c r="OJN3" s="420"/>
      <c r="OJO3" s="420"/>
      <c r="OJP3" s="419" t="s">
        <v>23</v>
      </c>
      <c r="OJQ3" s="420"/>
      <c r="OJR3" s="420"/>
      <c r="OJS3" s="420"/>
      <c r="OJT3" s="419" t="s">
        <v>23</v>
      </c>
      <c r="OJU3" s="420"/>
      <c r="OJV3" s="420"/>
      <c r="OJW3" s="420"/>
      <c r="OJX3" s="419" t="s">
        <v>23</v>
      </c>
      <c r="OJY3" s="420"/>
      <c r="OJZ3" s="420"/>
      <c r="OKA3" s="420"/>
      <c r="OKB3" s="419" t="s">
        <v>23</v>
      </c>
      <c r="OKC3" s="420"/>
      <c r="OKD3" s="420"/>
      <c r="OKE3" s="420"/>
      <c r="OKF3" s="419" t="s">
        <v>23</v>
      </c>
      <c r="OKG3" s="420"/>
      <c r="OKH3" s="420"/>
      <c r="OKI3" s="420"/>
      <c r="OKJ3" s="419" t="s">
        <v>23</v>
      </c>
      <c r="OKK3" s="420"/>
      <c r="OKL3" s="420"/>
      <c r="OKM3" s="420"/>
      <c r="OKN3" s="419" t="s">
        <v>23</v>
      </c>
      <c r="OKO3" s="420"/>
      <c r="OKP3" s="420"/>
      <c r="OKQ3" s="420"/>
      <c r="OKR3" s="419" t="s">
        <v>23</v>
      </c>
      <c r="OKS3" s="420"/>
      <c r="OKT3" s="420"/>
      <c r="OKU3" s="420"/>
      <c r="OKV3" s="419" t="s">
        <v>23</v>
      </c>
      <c r="OKW3" s="420"/>
      <c r="OKX3" s="420"/>
      <c r="OKY3" s="420"/>
      <c r="OKZ3" s="419" t="s">
        <v>23</v>
      </c>
      <c r="OLA3" s="420"/>
      <c r="OLB3" s="420"/>
      <c r="OLC3" s="420"/>
      <c r="OLD3" s="419" t="s">
        <v>23</v>
      </c>
      <c r="OLE3" s="420"/>
      <c r="OLF3" s="420"/>
      <c r="OLG3" s="420"/>
      <c r="OLH3" s="419" t="s">
        <v>23</v>
      </c>
      <c r="OLI3" s="420"/>
      <c r="OLJ3" s="420"/>
      <c r="OLK3" s="420"/>
      <c r="OLL3" s="419" t="s">
        <v>23</v>
      </c>
      <c r="OLM3" s="420"/>
      <c r="OLN3" s="420"/>
      <c r="OLO3" s="420"/>
      <c r="OLP3" s="419" t="s">
        <v>23</v>
      </c>
      <c r="OLQ3" s="420"/>
      <c r="OLR3" s="420"/>
      <c r="OLS3" s="420"/>
      <c r="OLT3" s="419" t="s">
        <v>23</v>
      </c>
      <c r="OLU3" s="420"/>
      <c r="OLV3" s="420"/>
      <c r="OLW3" s="420"/>
      <c r="OLX3" s="419" t="s">
        <v>23</v>
      </c>
      <c r="OLY3" s="420"/>
      <c r="OLZ3" s="420"/>
      <c r="OMA3" s="420"/>
      <c r="OMB3" s="419" t="s">
        <v>23</v>
      </c>
      <c r="OMC3" s="420"/>
      <c r="OMD3" s="420"/>
      <c r="OME3" s="420"/>
      <c r="OMF3" s="419" t="s">
        <v>23</v>
      </c>
      <c r="OMG3" s="420"/>
      <c r="OMH3" s="420"/>
      <c r="OMI3" s="420"/>
      <c r="OMJ3" s="419" t="s">
        <v>23</v>
      </c>
      <c r="OMK3" s="420"/>
      <c r="OML3" s="420"/>
      <c r="OMM3" s="420"/>
      <c r="OMN3" s="419" t="s">
        <v>23</v>
      </c>
      <c r="OMO3" s="420"/>
      <c r="OMP3" s="420"/>
      <c r="OMQ3" s="420"/>
      <c r="OMR3" s="419" t="s">
        <v>23</v>
      </c>
      <c r="OMS3" s="420"/>
      <c r="OMT3" s="420"/>
      <c r="OMU3" s="420"/>
      <c r="OMV3" s="419" t="s">
        <v>23</v>
      </c>
      <c r="OMW3" s="420"/>
      <c r="OMX3" s="420"/>
      <c r="OMY3" s="420"/>
      <c r="OMZ3" s="419" t="s">
        <v>23</v>
      </c>
      <c r="ONA3" s="420"/>
      <c r="ONB3" s="420"/>
      <c r="ONC3" s="420"/>
      <c r="OND3" s="419" t="s">
        <v>23</v>
      </c>
      <c r="ONE3" s="420"/>
      <c r="ONF3" s="420"/>
      <c r="ONG3" s="420"/>
      <c r="ONH3" s="419" t="s">
        <v>23</v>
      </c>
      <c r="ONI3" s="420"/>
      <c r="ONJ3" s="420"/>
      <c r="ONK3" s="420"/>
      <c r="ONL3" s="419" t="s">
        <v>23</v>
      </c>
      <c r="ONM3" s="420"/>
      <c r="ONN3" s="420"/>
      <c r="ONO3" s="420"/>
      <c r="ONP3" s="419" t="s">
        <v>23</v>
      </c>
      <c r="ONQ3" s="420"/>
      <c r="ONR3" s="420"/>
      <c r="ONS3" s="420"/>
      <c r="ONT3" s="419" t="s">
        <v>23</v>
      </c>
      <c r="ONU3" s="420"/>
      <c r="ONV3" s="420"/>
      <c r="ONW3" s="420"/>
      <c r="ONX3" s="419" t="s">
        <v>23</v>
      </c>
      <c r="ONY3" s="420"/>
      <c r="ONZ3" s="420"/>
      <c r="OOA3" s="420"/>
      <c r="OOB3" s="419" t="s">
        <v>23</v>
      </c>
      <c r="OOC3" s="420"/>
      <c r="OOD3" s="420"/>
      <c r="OOE3" s="420"/>
      <c r="OOF3" s="419" t="s">
        <v>23</v>
      </c>
      <c r="OOG3" s="420"/>
      <c r="OOH3" s="420"/>
      <c r="OOI3" s="420"/>
      <c r="OOJ3" s="419" t="s">
        <v>23</v>
      </c>
      <c r="OOK3" s="420"/>
      <c r="OOL3" s="420"/>
      <c r="OOM3" s="420"/>
      <c r="OON3" s="419" t="s">
        <v>23</v>
      </c>
      <c r="OOO3" s="420"/>
      <c r="OOP3" s="420"/>
      <c r="OOQ3" s="420"/>
      <c r="OOR3" s="419" t="s">
        <v>23</v>
      </c>
      <c r="OOS3" s="420"/>
      <c r="OOT3" s="420"/>
      <c r="OOU3" s="420"/>
      <c r="OOV3" s="419" t="s">
        <v>23</v>
      </c>
      <c r="OOW3" s="420"/>
      <c r="OOX3" s="420"/>
      <c r="OOY3" s="420"/>
      <c r="OOZ3" s="419" t="s">
        <v>23</v>
      </c>
      <c r="OPA3" s="420"/>
      <c r="OPB3" s="420"/>
      <c r="OPC3" s="420"/>
      <c r="OPD3" s="419" t="s">
        <v>23</v>
      </c>
      <c r="OPE3" s="420"/>
      <c r="OPF3" s="420"/>
      <c r="OPG3" s="420"/>
      <c r="OPH3" s="419" t="s">
        <v>23</v>
      </c>
      <c r="OPI3" s="420"/>
      <c r="OPJ3" s="420"/>
      <c r="OPK3" s="420"/>
      <c r="OPL3" s="419" t="s">
        <v>23</v>
      </c>
      <c r="OPM3" s="420"/>
      <c r="OPN3" s="420"/>
      <c r="OPO3" s="420"/>
      <c r="OPP3" s="419" t="s">
        <v>23</v>
      </c>
      <c r="OPQ3" s="420"/>
      <c r="OPR3" s="420"/>
      <c r="OPS3" s="420"/>
      <c r="OPT3" s="419" t="s">
        <v>23</v>
      </c>
      <c r="OPU3" s="420"/>
      <c r="OPV3" s="420"/>
      <c r="OPW3" s="420"/>
      <c r="OPX3" s="419" t="s">
        <v>23</v>
      </c>
      <c r="OPY3" s="420"/>
      <c r="OPZ3" s="420"/>
      <c r="OQA3" s="420"/>
      <c r="OQB3" s="419" t="s">
        <v>23</v>
      </c>
      <c r="OQC3" s="420"/>
      <c r="OQD3" s="420"/>
      <c r="OQE3" s="420"/>
      <c r="OQF3" s="419" t="s">
        <v>23</v>
      </c>
      <c r="OQG3" s="420"/>
      <c r="OQH3" s="420"/>
      <c r="OQI3" s="420"/>
      <c r="OQJ3" s="419" t="s">
        <v>23</v>
      </c>
      <c r="OQK3" s="420"/>
      <c r="OQL3" s="420"/>
      <c r="OQM3" s="420"/>
      <c r="OQN3" s="419" t="s">
        <v>23</v>
      </c>
      <c r="OQO3" s="420"/>
      <c r="OQP3" s="420"/>
      <c r="OQQ3" s="420"/>
      <c r="OQR3" s="419" t="s">
        <v>23</v>
      </c>
      <c r="OQS3" s="420"/>
      <c r="OQT3" s="420"/>
      <c r="OQU3" s="420"/>
      <c r="OQV3" s="419" t="s">
        <v>23</v>
      </c>
      <c r="OQW3" s="420"/>
      <c r="OQX3" s="420"/>
      <c r="OQY3" s="420"/>
      <c r="OQZ3" s="419" t="s">
        <v>23</v>
      </c>
      <c r="ORA3" s="420"/>
      <c r="ORB3" s="420"/>
      <c r="ORC3" s="420"/>
      <c r="ORD3" s="419" t="s">
        <v>23</v>
      </c>
      <c r="ORE3" s="420"/>
      <c r="ORF3" s="420"/>
      <c r="ORG3" s="420"/>
      <c r="ORH3" s="419" t="s">
        <v>23</v>
      </c>
      <c r="ORI3" s="420"/>
      <c r="ORJ3" s="420"/>
      <c r="ORK3" s="420"/>
      <c r="ORL3" s="419" t="s">
        <v>23</v>
      </c>
      <c r="ORM3" s="420"/>
      <c r="ORN3" s="420"/>
      <c r="ORO3" s="420"/>
      <c r="ORP3" s="419" t="s">
        <v>23</v>
      </c>
      <c r="ORQ3" s="420"/>
      <c r="ORR3" s="420"/>
      <c r="ORS3" s="420"/>
      <c r="ORT3" s="419" t="s">
        <v>23</v>
      </c>
      <c r="ORU3" s="420"/>
      <c r="ORV3" s="420"/>
      <c r="ORW3" s="420"/>
      <c r="ORX3" s="419" t="s">
        <v>23</v>
      </c>
      <c r="ORY3" s="420"/>
      <c r="ORZ3" s="420"/>
      <c r="OSA3" s="420"/>
      <c r="OSB3" s="419" t="s">
        <v>23</v>
      </c>
      <c r="OSC3" s="420"/>
      <c r="OSD3" s="420"/>
      <c r="OSE3" s="420"/>
      <c r="OSF3" s="419" t="s">
        <v>23</v>
      </c>
      <c r="OSG3" s="420"/>
      <c r="OSH3" s="420"/>
      <c r="OSI3" s="420"/>
      <c r="OSJ3" s="419" t="s">
        <v>23</v>
      </c>
      <c r="OSK3" s="420"/>
      <c r="OSL3" s="420"/>
      <c r="OSM3" s="420"/>
      <c r="OSN3" s="419" t="s">
        <v>23</v>
      </c>
      <c r="OSO3" s="420"/>
      <c r="OSP3" s="420"/>
      <c r="OSQ3" s="420"/>
      <c r="OSR3" s="419" t="s">
        <v>23</v>
      </c>
      <c r="OSS3" s="420"/>
      <c r="OST3" s="420"/>
      <c r="OSU3" s="420"/>
      <c r="OSV3" s="419" t="s">
        <v>23</v>
      </c>
      <c r="OSW3" s="420"/>
      <c r="OSX3" s="420"/>
      <c r="OSY3" s="420"/>
      <c r="OSZ3" s="419" t="s">
        <v>23</v>
      </c>
      <c r="OTA3" s="420"/>
      <c r="OTB3" s="420"/>
      <c r="OTC3" s="420"/>
      <c r="OTD3" s="419" t="s">
        <v>23</v>
      </c>
      <c r="OTE3" s="420"/>
      <c r="OTF3" s="420"/>
      <c r="OTG3" s="420"/>
      <c r="OTH3" s="419" t="s">
        <v>23</v>
      </c>
      <c r="OTI3" s="420"/>
      <c r="OTJ3" s="420"/>
      <c r="OTK3" s="420"/>
      <c r="OTL3" s="419" t="s">
        <v>23</v>
      </c>
      <c r="OTM3" s="420"/>
      <c r="OTN3" s="420"/>
      <c r="OTO3" s="420"/>
      <c r="OTP3" s="419" t="s">
        <v>23</v>
      </c>
      <c r="OTQ3" s="420"/>
      <c r="OTR3" s="420"/>
      <c r="OTS3" s="420"/>
      <c r="OTT3" s="419" t="s">
        <v>23</v>
      </c>
      <c r="OTU3" s="420"/>
      <c r="OTV3" s="420"/>
      <c r="OTW3" s="420"/>
      <c r="OTX3" s="419" t="s">
        <v>23</v>
      </c>
      <c r="OTY3" s="420"/>
      <c r="OTZ3" s="420"/>
      <c r="OUA3" s="420"/>
      <c r="OUB3" s="419" t="s">
        <v>23</v>
      </c>
      <c r="OUC3" s="420"/>
      <c r="OUD3" s="420"/>
      <c r="OUE3" s="420"/>
      <c r="OUF3" s="419" t="s">
        <v>23</v>
      </c>
      <c r="OUG3" s="420"/>
      <c r="OUH3" s="420"/>
      <c r="OUI3" s="420"/>
      <c r="OUJ3" s="419" t="s">
        <v>23</v>
      </c>
      <c r="OUK3" s="420"/>
      <c r="OUL3" s="420"/>
      <c r="OUM3" s="420"/>
      <c r="OUN3" s="419" t="s">
        <v>23</v>
      </c>
      <c r="OUO3" s="420"/>
      <c r="OUP3" s="420"/>
      <c r="OUQ3" s="420"/>
      <c r="OUR3" s="419" t="s">
        <v>23</v>
      </c>
      <c r="OUS3" s="420"/>
      <c r="OUT3" s="420"/>
      <c r="OUU3" s="420"/>
      <c r="OUV3" s="419" t="s">
        <v>23</v>
      </c>
      <c r="OUW3" s="420"/>
      <c r="OUX3" s="420"/>
      <c r="OUY3" s="420"/>
      <c r="OUZ3" s="419" t="s">
        <v>23</v>
      </c>
      <c r="OVA3" s="420"/>
      <c r="OVB3" s="420"/>
      <c r="OVC3" s="420"/>
      <c r="OVD3" s="419" t="s">
        <v>23</v>
      </c>
      <c r="OVE3" s="420"/>
      <c r="OVF3" s="420"/>
      <c r="OVG3" s="420"/>
      <c r="OVH3" s="419" t="s">
        <v>23</v>
      </c>
      <c r="OVI3" s="420"/>
      <c r="OVJ3" s="420"/>
      <c r="OVK3" s="420"/>
      <c r="OVL3" s="419" t="s">
        <v>23</v>
      </c>
      <c r="OVM3" s="420"/>
      <c r="OVN3" s="420"/>
      <c r="OVO3" s="420"/>
      <c r="OVP3" s="419" t="s">
        <v>23</v>
      </c>
      <c r="OVQ3" s="420"/>
      <c r="OVR3" s="420"/>
      <c r="OVS3" s="420"/>
      <c r="OVT3" s="419" t="s">
        <v>23</v>
      </c>
      <c r="OVU3" s="420"/>
      <c r="OVV3" s="420"/>
      <c r="OVW3" s="420"/>
      <c r="OVX3" s="419" t="s">
        <v>23</v>
      </c>
      <c r="OVY3" s="420"/>
      <c r="OVZ3" s="420"/>
      <c r="OWA3" s="420"/>
      <c r="OWB3" s="419" t="s">
        <v>23</v>
      </c>
      <c r="OWC3" s="420"/>
      <c r="OWD3" s="420"/>
      <c r="OWE3" s="420"/>
      <c r="OWF3" s="419" t="s">
        <v>23</v>
      </c>
      <c r="OWG3" s="420"/>
      <c r="OWH3" s="420"/>
      <c r="OWI3" s="420"/>
      <c r="OWJ3" s="419" t="s">
        <v>23</v>
      </c>
      <c r="OWK3" s="420"/>
      <c r="OWL3" s="420"/>
      <c r="OWM3" s="420"/>
      <c r="OWN3" s="419" t="s">
        <v>23</v>
      </c>
      <c r="OWO3" s="420"/>
      <c r="OWP3" s="420"/>
      <c r="OWQ3" s="420"/>
      <c r="OWR3" s="419" t="s">
        <v>23</v>
      </c>
      <c r="OWS3" s="420"/>
      <c r="OWT3" s="420"/>
      <c r="OWU3" s="420"/>
      <c r="OWV3" s="419" t="s">
        <v>23</v>
      </c>
      <c r="OWW3" s="420"/>
      <c r="OWX3" s="420"/>
      <c r="OWY3" s="420"/>
      <c r="OWZ3" s="419" t="s">
        <v>23</v>
      </c>
      <c r="OXA3" s="420"/>
      <c r="OXB3" s="420"/>
      <c r="OXC3" s="420"/>
      <c r="OXD3" s="419" t="s">
        <v>23</v>
      </c>
      <c r="OXE3" s="420"/>
      <c r="OXF3" s="420"/>
      <c r="OXG3" s="420"/>
      <c r="OXH3" s="419" t="s">
        <v>23</v>
      </c>
      <c r="OXI3" s="420"/>
      <c r="OXJ3" s="420"/>
      <c r="OXK3" s="420"/>
      <c r="OXL3" s="419" t="s">
        <v>23</v>
      </c>
      <c r="OXM3" s="420"/>
      <c r="OXN3" s="420"/>
      <c r="OXO3" s="420"/>
      <c r="OXP3" s="419" t="s">
        <v>23</v>
      </c>
      <c r="OXQ3" s="420"/>
      <c r="OXR3" s="420"/>
      <c r="OXS3" s="420"/>
      <c r="OXT3" s="419" t="s">
        <v>23</v>
      </c>
      <c r="OXU3" s="420"/>
      <c r="OXV3" s="420"/>
      <c r="OXW3" s="420"/>
      <c r="OXX3" s="419" t="s">
        <v>23</v>
      </c>
      <c r="OXY3" s="420"/>
      <c r="OXZ3" s="420"/>
      <c r="OYA3" s="420"/>
      <c r="OYB3" s="419" t="s">
        <v>23</v>
      </c>
      <c r="OYC3" s="420"/>
      <c r="OYD3" s="420"/>
      <c r="OYE3" s="420"/>
      <c r="OYF3" s="419" t="s">
        <v>23</v>
      </c>
      <c r="OYG3" s="420"/>
      <c r="OYH3" s="420"/>
      <c r="OYI3" s="420"/>
      <c r="OYJ3" s="419" t="s">
        <v>23</v>
      </c>
      <c r="OYK3" s="420"/>
      <c r="OYL3" s="420"/>
      <c r="OYM3" s="420"/>
      <c r="OYN3" s="419" t="s">
        <v>23</v>
      </c>
      <c r="OYO3" s="420"/>
      <c r="OYP3" s="420"/>
      <c r="OYQ3" s="420"/>
      <c r="OYR3" s="419" t="s">
        <v>23</v>
      </c>
      <c r="OYS3" s="420"/>
      <c r="OYT3" s="420"/>
      <c r="OYU3" s="420"/>
      <c r="OYV3" s="419" t="s">
        <v>23</v>
      </c>
      <c r="OYW3" s="420"/>
      <c r="OYX3" s="420"/>
      <c r="OYY3" s="420"/>
      <c r="OYZ3" s="419" t="s">
        <v>23</v>
      </c>
      <c r="OZA3" s="420"/>
      <c r="OZB3" s="420"/>
      <c r="OZC3" s="420"/>
      <c r="OZD3" s="419" t="s">
        <v>23</v>
      </c>
      <c r="OZE3" s="420"/>
      <c r="OZF3" s="420"/>
      <c r="OZG3" s="420"/>
      <c r="OZH3" s="419" t="s">
        <v>23</v>
      </c>
      <c r="OZI3" s="420"/>
      <c r="OZJ3" s="420"/>
      <c r="OZK3" s="420"/>
      <c r="OZL3" s="419" t="s">
        <v>23</v>
      </c>
      <c r="OZM3" s="420"/>
      <c r="OZN3" s="420"/>
      <c r="OZO3" s="420"/>
      <c r="OZP3" s="419" t="s">
        <v>23</v>
      </c>
      <c r="OZQ3" s="420"/>
      <c r="OZR3" s="420"/>
      <c r="OZS3" s="420"/>
      <c r="OZT3" s="419" t="s">
        <v>23</v>
      </c>
      <c r="OZU3" s="420"/>
      <c r="OZV3" s="420"/>
      <c r="OZW3" s="420"/>
      <c r="OZX3" s="419" t="s">
        <v>23</v>
      </c>
      <c r="OZY3" s="420"/>
      <c r="OZZ3" s="420"/>
      <c r="PAA3" s="420"/>
      <c r="PAB3" s="419" t="s">
        <v>23</v>
      </c>
      <c r="PAC3" s="420"/>
      <c r="PAD3" s="420"/>
      <c r="PAE3" s="420"/>
      <c r="PAF3" s="419" t="s">
        <v>23</v>
      </c>
      <c r="PAG3" s="420"/>
      <c r="PAH3" s="420"/>
      <c r="PAI3" s="420"/>
      <c r="PAJ3" s="419" t="s">
        <v>23</v>
      </c>
      <c r="PAK3" s="420"/>
      <c r="PAL3" s="420"/>
      <c r="PAM3" s="420"/>
      <c r="PAN3" s="419" t="s">
        <v>23</v>
      </c>
      <c r="PAO3" s="420"/>
      <c r="PAP3" s="420"/>
      <c r="PAQ3" s="420"/>
      <c r="PAR3" s="419" t="s">
        <v>23</v>
      </c>
      <c r="PAS3" s="420"/>
      <c r="PAT3" s="420"/>
      <c r="PAU3" s="420"/>
      <c r="PAV3" s="419" t="s">
        <v>23</v>
      </c>
      <c r="PAW3" s="420"/>
      <c r="PAX3" s="420"/>
      <c r="PAY3" s="420"/>
      <c r="PAZ3" s="419" t="s">
        <v>23</v>
      </c>
      <c r="PBA3" s="420"/>
      <c r="PBB3" s="420"/>
      <c r="PBC3" s="420"/>
      <c r="PBD3" s="419" t="s">
        <v>23</v>
      </c>
      <c r="PBE3" s="420"/>
      <c r="PBF3" s="420"/>
      <c r="PBG3" s="420"/>
      <c r="PBH3" s="419" t="s">
        <v>23</v>
      </c>
      <c r="PBI3" s="420"/>
      <c r="PBJ3" s="420"/>
      <c r="PBK3" s="420"/>
      <c r="PBL3" s="419" t="s">
        <v>23</v>
      </c>
      <c r="PBM3" s="420"/>
      <c r="PBN3" s="420"/>
      <c r="PBO3" s="420"/>
      <c r="PBP3" s="419" t="s">
        <v>23</v>
      </c>
      <c r="PBQ3" s="420"/>
      <c r="PBR3" s="420"/>
      <c r="PBS3" s="420"/>
      <c r="PBT3" s="419" t="s">
        <v>23</v>
      </c>
      <c r="PBU3" s="420"/>
      <c r="PBV3" s="420"/>
      <c r="PBW3" s="420"/>
      <c r="PBX3" s="419" t="s">
        <v>23</v>
      </c>
      <c r="PBY3" s="420"/>
      <c r="PBZ3" s="420"/>
      <c r="PCA3" s="420"/>
      <c r="PCB3" s="419" t="s">
        <v>23</v>
      </c>
      <c r="PCC3" s="420"/>
      <c r="PCD3" s="420"/>
      <c r="PCE3" s="420"/>
      <c r="PCF3" s="419" t="s">
        <v>23</v>
      </c>
      <c r="PCG3" s="420"/>
      <c r="PCH3" s="420"/>
      <c r="PCI3" s="420"/>
      <c r="PCJ3" s="419" t="s">
        <v>23</v>
      </c>
      <c r="PCK3" s="420"/>
      <c r="PCL3" s="420"/>
      <c r="PCM3" s="420"/>
      <c r="PCN3" s="419" t="s">
        <v>23</v>
      </c>
      <c r="PCO3" s="420"/>
      <c r="PCP3" s="420"/>
      <c r="PCQ3" s="420"/>
      <c r="PCR3" s="419" t="s">
        <v>23</v>
      </c>
      <c r="PCS3" s="420"/>
      <c r="PCT3" s="420"/>
      <c r="PCU3" s="420"/>
      <c r="PCV3" s="419" t="s">
        <v>23</v>
      </c>
      <c r="PCW3" s="420"/>
      <c r="PCX3" s="420"/>
      <c r="PCY3" s="420"/>
      <c r="PCZ3" s="419" t="s">
        <v>23</v>
      </c>
      <c r="PDA3" s="420"/>
      <c r="PDB3" s="420"/>
      <c r="PDC3" s="420"/>
      <c r="PDD3" s="419" t="s">
        <v>23</v>
      </c>
      <c r="PDE3" s="420"/>
      <c r="PDF3" s="420"/>
      <c r="PDG3" s="420"/>
      <c r="PDH3" s="419" t="s">
        <v>23</v>
      </c>
      <c r="PDI3" s="420"/>
      <c r="PDJ3" s="420"/>
      <c r="PDK3" s="420"/>
      <c r="PDL3" s="419" t="s">
        <v>23</v>
      </c>
      <c r="PDM3" s="420"/>
      <c r="PDN3" s="420"/>
      <c r="PDO3" s="420"/>
      <c r="PDP3" s="419" t="s">
        <v>23</v>
      </c>
      <c r="PDQ3" s="420"/>
      <c r="PDR3" s="420"/>
      <c r="PDS3" s="420"/>
      <c r="PDT3" s="419" t="s">
        <v>23</v>
      </c>
      <c r="PDU3" s="420"/>
      <c r="PDV3" s="420"/>
      <c r="PDW3" s="420"/>
      <c r="PDX3" s="419" t="s">
        <v>23</v>
      </c>
      <c r="PDY3" s="420"/>
      <c r="PDZ3" s="420"/>
      <c r="PEA3" s="420"/>
      <c r="PEB3" s="419" t="s">
        <v>23</v>
      </c>
      <c r="PEC3" s="420"/>
      <c r="PED3" s="420"/>
      <c r="PEE3" s="420"/>
      <c r="PEF3" s="419" t="s">
        <v>23</v>
      </c>
      <c r="PEG3" s="420"/>
      <c r="PEH3" s="420"/>
      <c r="PEI3" s="420"/>
      <c r="PEJ3" s="419" t="s">
        <v>23</v>
      </c>
      <c r="PEK3" s="420"/>
      <c r="PEL3" s="420"/>
      <c r="PEM3" s="420"/>
      <c r="PEN3" s="419" t="s">
        <v>23</v>
      </c>
      <c r="PEO3" s="420"/>
      <c r="PEP3" s="420"/>
      <c r="PEQ3" s="420"/>
      <c r="PER3" s="419" t="s">
        <v>23</v>
      </c>
      <c r="PES3" s="420"/>
      <c r="PET3" s="420"/>
      <c r="PEU3" s="420"/>
      <c r="PEV3" s="419" t="s">
        <v>23</v>
      </c>
      <c r="PEW3" s="420"/>
      <c r="PEX3" s="420"/>
      <c r="PEY3" s="420"/>
      <c r="PEZ3" s="419" t="s">
        <v>23</v>
      </c>
      <c r="PFA3" s="420"/>
      <c r="PFB3" s="420"/>
      <c r="PFC3" s="420"/>
      <c r="PFD3" s="419" t="s">
        <v>23</v>
      </c>
      <c r="PFE3" s="420"/>
      <c r="PFF3" s="420"/>
      <c r="PFG3" s="420"/>
      <c r="PFH3" s="419" t="s">
        <v>23</v>
      </c>
      <c r="PFI3" s="420"/>
      <c r="PFJ3" s="420"/>
      <c r="PFK3" s="420"/>
      <c r="PFL3" s="419" t="s">
        <v>23</v>
      </c>
      <c r="PFM3" s="420"/>
      <c r="PFN3" s="420"/>
      <c r="PFO3" s="420"/>
      <c r="PFP3" s="419" t="s">
        <v>23</v>
      </c>
      <c r="PFQ3" s="420"/>
      <c r="PFR3" s="420"/>
      <c r="PFS3" s="420"/>
      <c r="PFT3" s="419" t="s">
        <v>23</v>
      </c>
      <c r="PFU3" s="420"/>
      <c r="PFV3" s="420"/>
      <c r="PFW3" s="420"/>
      <c r="PFX3" s="419" t="s">
        <v>23</v>
      </c>
      <c r="PFY3" s="420"/>
      <c r="PFZ3" s="420"/>
      <c r="PGA3" s="420"/>
      <c r="PGB3" s="419" t="s">
        <v>23</v>
      </c>
      <c r="PGC3" s="420"/>
      <c r="PGD3" s="420"/>
      <c r="PGE3" s="420"/>
      <c r="PGF3" s="419" t="s">
        <v>23</v>
      </c>
      <c r="PGG3" s="420"/>
      <c r="PGH3" s="420"/>
      <c r="PGI3" s="420"/>
      <c r="PGJ3" s="419" t="s">
        <v>23</v>
      </c>
      <c r="PGK3" s="420"/>
      <c r="PGL3" s="420"/>
      <c r="PGM3" s="420"/>
      <c r="PGN3" s="419" t="s">
        <v>23</v>
      </c>
      <c r="PGO3" s="420"/>
      <c r="PGP3" s="420"/>
      <c r="PGQ3" s="420"/>
      <c r="PGR3" s="419" t="s">
        <v>23</v>
      </c>
      <c r="PGS3" s="420"/>
      <c r="PGT3" s="420"/>
      <c r="PGU3" s="420"/>
      <c r="PGV3" s="419" t="s">
        <v>23</v>
      </c>
      <c r="PGW3" s="420"/>
      <c r="PGX3" s="420"/>
      <c r="PGY3" s="420"/>
      <c r="PGZ3" s="419" t="s">
        <v>23</v>
      </c>
      <c r="PHA3" s="420"/>
      <c r="PHB3" s="420"/>
      <c r="PHC3" s="420"/>
      <c r="PHD3" s="419" t="s">
        <v>23</v>
      </c>
      <c r="PHE3" s="420"/>
      <c r="PHF3" s="420"/>
      <c r="PHG3" s="420"/>
      <c r="PHH3" s="419" t="s">
        <v>23</v>
      </c>
      <c r="PHI3" s="420"/>
      <c r="PHJ3" s="420"/>
      <c r="PHK3" s="420"/>
      <c r="PHL3" s="419" t="s">
        <v>23</v>
      </c>
      <c r="PHM3" s="420"/>
      <c r="PHN3" s="420"/>
      <c r="PHO3" s="420"/>
      <c r="PHP3" s="419" t="s">
        <v>23</v>
      </c>
      <c r="PHQ3" s="420"/>
      <c r="PHR3" s="420"/>
      <c r="PHS3" s="420"/>
      <c r="PHT3" s="419" t="s">
        <v>23</v>
      </c>
      <c r="PHU3" s="420"/>
      <c r="PHV3" s="420"/>
      <c r="PHW3" s="420"/>
      <c r="PHX3" s="419" t="s">
        <v>23</v>
      </c>
      <c r="PHY3" s="420"/>
      <c r="PHZ3" s="420"/>
      <c r="PIA3" s="420"/>
      <c r="PIB3" s="419" t="s">
        <v>23</v>
      </c>
      <c r="PIC3" s="420"/>
      <c r="PID3" s="420"/>
      <c r="PIE3" s="420"/>
      <c r="PIF3" s="419" t="s">
        <v>23</v>
      </c>
      <c r="PIG3" s="420"/>
      <c r="PIH3" s="420"/>
      <c r="PII3" s="420"/>
      <c r="PIJ3" s="419" t="s">
        <v>23</v>
      </c>
      <c r="PIK3" s="420"/>
      <c r="PIL3" s="420"/>
      <c r="PIM3" s="420"/>
      <c r="PIN3" s="419" t="s">
        <v>23</v>
      </c>
      <c r="PIO3" s="420"/>
      <c r="PIP3" s="420"/>
      <c r="PIQ3" s="420"/>
      <c r="PIR3" s="419" t="s">
        <v>23</v>
      </c>
      <c r="PIS3" s="420"/>
      <c r="PIT3" s="420"/>
      <c r="PIU3" s="420"/>
      <c r="PIV3" s="419" t="s">
        <v>23</v>
      </c>
      <c r="PIW3" s="420"/>
      <c r="PIX3" s="420"/>
      <c r="PIY3" s="420"/>
      <c r="PIZ3" s="419" t="s">
        <v>23</v>
      </c>
      <c r="PJA3" s="420"/>
      <c r="PJB3" s="420"/>
      <c r="PJC3" s="420"/>
      <c r="PJD3" s="419" t="s">
        <v>23</v>
      </c>
      <c r="PJE3" s="420"/>
      <c r="PJF3" s="420"/>
      <c r="PJG3" s="420"/>
      <c r="PJH3" s="419" t="s">
        <v>23</v>
      </c>
      <c r="PJI3" s="420"/>
      <c r="PJJ3" s="420"/>
      <c r="PJK3" s="420"/>
      <c r="PJL3" s="419" t="s">
        <v>23</v>
      </c>
      <c r="PJM3" s="420"/>
      <c r="PJN3" s="420"/>
      <c r="PJO3" s="420"/>
      <c r="PJP3" s="419" t="s">
        <v>23</v>
      </c>
      <c r="PJQ3" s="420"/>
      <c r="PJR3" s="420"/>
      <c r="PJS3" s="420"/>
      <c r="PJT3" s="419" t="s">
        <v>23</v>
      </c>
      <c r="PJU3" s="420"/>
      <c r="PJV3" s="420"/>
      <c r="PJW3" s="420"/>
      <c r="PJX3" s="419" t="s">
        <v>23</v>
      </c>
      <c r="PJY3" s="420"/>
      <c r="PJZ3" s="420"/>
      <c r="PKA3" s="420"/>
      <c r="PKB3" s="419" t="s">
        <v>23</v>
      </c>
      <c r="PKC3" s="420"/>
      <c r="PKD3" s="420"/>
      <c r="PKE3" s="420"/>
      <c r="PKF3" s="419" t="s">
        <v>23</v>
      </c>
      <c r="PKG3" s="420"/>
      <c r="PKH3" s="420"/>
      <c r="PKI3" s="420"/>
      <c r="PKJ3" s="419" t="s">
        <v>23</v>
      </c>
      <c r="PKK3" s="420"/>
      <c r="PKL3" s="420"/>
      <c r="PKM3" s="420"/>
      <c r="PKN3" s="419" t="s">
        <v>23</v>
      </c>
      <c r="PKO3" s="420"/>
      <c r="PKP3" s="420"/>
      <c r="PKQ3" s="420"/>
      <c r="PKR3" s="419" t="s">
        <v>23</v>
      </c>
      <c r="PKS3" s="420"/>
      <c r="PKT3" s="420"/>
      <c r="PKU3" s="420"/>
      <c r="PKV3" s="419" t="s">
        <v>23</v>
      </c>
      <c r="PKW3" s="420"/>
      <c r="PKX3" s="420"/>
      <c r="PKY3" s="420"/>
      <c r="PKZ3" s="419" t="s">
        <v>23</v>
      </c>
      <c r="PLA3" s="420"/>
      <c r="PLB3" s="420"/>
      <c r="PLC3" s="420"/>
      <c r="PLD3" s="419" t="s">
        <v>23</v>
      </c>
      <c r="PLE3" s="420"/>
      <c r="PLF3" s="420"/>
      <c r="PLG3" s="420"/>
      <c r="PLH3" s="419" t="s">
        <v>23</v>
      </c>
      <c r="PLI3" s="420"/>
      <c r="PLJ3" s="420"/>
      <c r="PLK3" s="420"/>
      <c r="PLL3" s="419" t="s">
        <v>23</v>
      </c>
      <c r="PLM3" s="420"/>
      <c r="PLN3" s="420"/>
      <c r="PLO3" s="420"/>
      <c r="PLP3" s="419" t="s">
        <v>23</v>
      </c>
      <c r="PLQ3" s="420"/>
      <c r="PLR3" s="420"/>
      <c r="PLS3" s="420"/>
      <c r="PLT3" s="419" t="s">
        <v>23</v>
      </c>
      <c r="PLU3" s="420"/>
      <c r="PLV3" s="420"/>
      <c r="PLW3" s="420"/>
      <c r="PLX3" s="419" t="s">
        <v>23</v>
      </c>
      <c r="PLY3" s="420"/>
      <c r="PLZ3" s="420"/>
      <c r="PMA3" s="420"/>
      <c r="PMB3" s="419" t="s">
        <v>23</v>
      </c>
      <c r="PMC3" s="420"/>
      <c r="PMD3" s="420"/>
      <c r="PME3" s="420"/>
      <c r="PMF3" s="419" t="s">
        <v>23</v>
      </c>
      <c r="PMG3" s="420"/>
      <c r="PMH3" s="420"/>
      <c r="PMI3" s="420"/>
      <c r="PMJ3" s="419" t="s">
        <v>23</v>
      </c>
      <c r="PMK3" s="420"/>
      <c r="PML3" s="420"/>
      <c r="PMM3" s="420"/>
      <c r="PMN3" s="419" t="s">
        <v>23</v>
      </c>
      <c r="PMO3" s="420"/>
      <c r="PMP3" s="420"/>
      <c r="PMQ3" s="420"/>
      <c r="PMR3" s="419" t="s">
        <v>23</v>
      </c>
      <c r="PMS3" s="420"/>
      <c r="PMT3" s="420"/>
      <c r="PMU3" s="420"/>
      <c r="PMV3" s="419" t="s">
        <v>23</v>
      </c>
      <c r="PMW3" s="420"/>
      <c r="PMX3" s="420"/>
      <c r="PMY3" s="420"/>
      <c r="PMZ3" s="419" t="s">
        <v>23</v>
      </c>
      <c r="PNA3" s="420"/>
      <c r="PNB3" s="420"/>
      <c r="PNC3" s="420"/>
      <c r="PND3" s="419" t="s">
        <v>23</v>
      </c>
      <c r="PNE3" s="420"/>
      <c r="PNF3" s="420"/>
      <c r="PNG3" s="420"/>
      <c r="PNH3" s="419" t="s">
        <v>23</v>
      </c>
      <c r="PNI3" s="420"/>
      <c r="PNJ3" s="420"/>
      <c r="PNK3" s="420"/>
      <c r="PNL3" s="419" t="s">
        <v>23</v>
      </c>
      <c r="PNM3" s="420"/>
      <c r="PNN3" s="420"/>
      <c r="PNO3" s="420"/>
      <c r="PNP3" s="419" t="s">
        <v>23</v>
      </c>
      <c r="PNQ3" s="420"/>
      <c r="PNR3" s="420"/>
      <c r="PNS3" s="420"/>
      <c r="PNT3" s="419" t="s">
        <v>23</v>
      </c>
      <c r="PNU3" s="420"/>
      <c r="PNV3" s="420"/>
      <c r="PNW3" s="420"/>
      <c r="PNX3" s="419" t="s">
        <v>23</v>
      </c>
      <c r="PNY3" s="420"/>
      <c r="PNZ3" s="420"/>
      <c r="POA3" s="420"/>
      <c r="POB3" s="419" t="s">
        <v>23</v>
      </c>
      <c r="POC3" s="420"/>
      <c r="POD3" s="420"/>
      <c r="POE3" s="420"/>
      <c r="POF3" s="419" t="s">
        <v>23</v>
      </c>
      <c r="POG3" s="420"/>
      <c r="POH3" s="420"/>
      <c r="POI3" s="420"/>
      <c r="POJ3" s="419" t="s">
        <v>23</v>
      </c>
      <c r="POK3" s="420"/>
      <c r="POL3" s="420"/>
      <c r="POM3" s="420"/>
      <c r="PON3" s="419" t="s">
        <v>23</v>
      </c>
      <c r="POO3" s="420"/>
      <c r="POP3" s="420"/>
      <c r="POQ3" s="420"/>
      <c r="POR3" s="419" t="s">
        <v>23</v>
      </c>
      <c r="POS3" s="420"/>
      <c r="POT3" s="420"/>
      <c r="POU3" s="420"/>
      <c r="POV3" s="419" t="s">
        <v>23</v>
      </c>
      <c r="POW3" s="420"/>
      <c r="POX3" s="420"/>
      <c r="POY3" s="420"/>
      <c r="POZ3" s="419" t="s">
        <v>23</v>
      </c>
      <c r="PPA3" s="420"/>
      <c r="PPB3" s="420"/>
      <c r="PPC3" s="420"/>
      <c r="PPD3" s="419" t="s">
        <v>23</v>
      </c>
      <c r="PPE3" s="420"/>
      <c r="PPF3" s="420"/>
      <c r="PPG3" s="420"/>
      <c r="PPH3" s="419" t="s">
        <v>23</v>
      </c>
      <c r="PPI3" s="420"/>
      <c r="PPJ3" s="420"/>
      <c r="PPK3" s="420"/>
      <c r="PPL3" s="419" t="s">
        <v>23</v>
      </c>
      <c r="PPM3" s="420"/>
      <c r="PPN3" s="420"/>
      <c r="PPO3" s="420"/>
      <c r="PPP3" s="419" t="s">
        <v>23</v>
      </c>
      <c r="PPQ3" s="420"/>
      <c r="PPR3" s="420"/>
      <c r="PPS3" s="420"/>
      <c r="PPT3" s="419" t="s">
        <v>23</v>
      </c>
      <c r="PPU3" s="420"/>
      <c r="PPV3" s="420"/>
      <c r="PPW3" s="420"/>
      <c r="PPX3" s="419" t="s">
        <v>23</v>
      </c>
      <c r="PPY3" s="420"/>
      <c r="PPZ3" s="420"/>
      <c r="PQA3" s="420"/>
      <c r="PQB3" s="419" t="s">
        <v>23</v>
      </c>
      <c r="PQC3" s="420"/>
      <c r="PQD3" s="420"/>
      <c r="PQE3" s="420"/>
      <c r="PQF3" s="419" t="s">
        <v>23</v>
      </c>
      <c r="PQG3" s="420"/>
      <c r="PQH3" s="420"/>
      <c r="PQI3" s="420"/>
      <c r="PQJ3" s="419" t="s">
        <v>23</v>
      </c>
      <c r="PQK3" s="420"/>
      <c r="PQL3" s="420"/>
      <c r="PQM3" s="420"/>
      <c r="PQN3" s="419" t="s">
        <v>23</v>
      </c>
      <c r="PQO3" s="420"/>
      <c r="PQP3" s="420"/>
      <c r="PQQ3" s="420"/>
      <c r="PQR3" s="419" t="s">
        <v>23</v>
      </c>
      <c r="PQS3" s="420"/>
      <c r="PQT3" s="420"/>
      <c r="PQU3" s="420"/>
      <c r="PQV3" s="419" t="s">
        <v>23</v>
      </c>
      <c r="PQW3" s="420"/>
      <c r="PQX3" s="420"/>
      <c r="PQY3" s="420"/>
      <c r="PQZ3" s="419" t="s">
        <v>23</v>
      </c>
      <c r="PRA3" s="420"/>
      <c r="PRB3" s="420"/>
      <c r="PRC3" s="420"/>
      <c r="PRD3" s="419" t="s">
        <v>23</v>
      </c>
      <c r="PRE3" s="420"/>
      <c r="PRF3" s="420"/>
      <c r="PRG3" s="420"/>
      <c r="PRH3" s="419" t="s">
        <v>23</v>
      </c>
      <c r="PRI3" s="420"/>
      <c r="PRJ3" s="420"/>
      <c r="PRK3" s="420"/>
      <c r="PRL3" s="419" t="s">
        <v>23</v>
      </c>
      <c r="PRM3" s="420"/>
      <c r="PRN3" s="420"/>
      <c r="PRO3" s="420"/>
      <c r="PRP3" s="419" t="s">
        <v>23</v>
      </c>
      <c r="PRQ3" s="420"/>
      <c r="PRR3" s="420"/>
      <c r="PRS3" s="420"/>
      <c r="PRT3" s="419" t="s">
        <v>23</v>
      </c>
      <c r="PRU3" s="420"/>
      <c r="PRV3" s="420"/>
      <c r="PRW3" s="420"/>
      <c r="PRX3" s="419" t="s">
        <v>23</v>
      </c>
      <c r="PRY3" s="420"/>
      <c r="PRZ3" s="420"/>
      <c r="PSA3" s="420"/>
      <c r="PSB3" s="419" t="s">
        <v>23</v>
      </c>
      <c r="PSC3" s="420"/>
      <c r="PSD3" s="420"/>
      <c r="PSE3" s="420"/>
      <c r="PSF3" s="419" t="s">
        <v>23</v>
      </c>
      <c r="PSG3" s="420"/>
      <c r="PSH3" s="420"/>
      <c r="PSI3" s="420"/>
      <c r="PSJ3" s="419" t="s">
        <v>23</v>
      </c>
      <c r="PSK3" s="420"/>
      <c r="PSL3" s="420"/>
      <c r="PSM3" s="420"/>
      <c r="PSN3" s="419" t="s">
        <v>23</v>
      </c>
      <c r="PSO3" s="420"/>
      <c r="PSP3" s="420"/>
      <c r="PSQ3" s="420"/>
      <c r="PSR3" s="419" t="s">
        <v>23</v>
      </c>
      <c r="PSS3" s="420"/>
      <c r="PST3" s="420"/>
      <c r="PSU3" s="420"/>
      <c r="PSV3" s="419" t="s">
        <v>23</v>
      </c>
      <c r="PSW3" s="420"/>
      <c r="PSX3" s="420"/>
      <c r="PSY3" s="420"/>
      <c r="PSZ3" s="419" t="s">
        <v>23</v>
      </c>
      <c r="PTA3" s="420"/>
      <c r="PTB3" s="420"/>
      <c r="PTC3" s="420"/>
      <c r="PTD3" s="419" t="s">
        <v>23</v>
      </c>
      <c r="PTE3" s="420"/>
      <c r="PTF3" s="420"/>
      <c r="PTG3" s="420"/>
      <c r="PTH3" s="419" t="s">
        <v>23</v>
      </c>
      <c r="PTI3" s="420"/>
      <c r="PTJ3" s="420"/>
      <c r="PTK3" s="420"/>
      <c r="PTL3" s="419" t="s">
        <v>23</v>
      </c>
      <c r="PTM3" s="420"/>
      <c r="PTN3" s="420"/>
      <c r="PTO3" s="420"/>
      <c r="PTP3" s="419" t="s">
        <v>23</v>
      </c>
      <c r="PTQ3" s="420"/>
      <c r="PTR3" s="420"/>
      <c r="PTS3" s="420"/>
      <c r="PTT3" s="419" t="s">
        <v>23</v>
      </c>
      <c r="PTU3" s="420"/>
      <c r="PTV3" s="420"/>
      <c r="PTW3" s="420"/>
      <c r="PTX3" s="419" t="s">
        <v>23</v>
      </c>
      <c r="PTY3" s="420"/>
      <c r="PTZ3" s="420"/>
      <c r="PUA3" s="420"/>
      <c r="PUB3" s="419" t="s">
        <v>23</v>
      </c>
      <c r="PUC3" s="420"/>
      <c r="PUD3" s="420"/>
      <c r="PUE3" s="420"/>
      <c r="PUF3" s="419" t="s">
        <v>23</v>
      </c>
      <c r="PUG3" s="420"/>
      <c r="PUH3" s="420"/>
      <c r="PUI3" s="420"/>
      <c r="PUJ3" s="419" t="s">
        <v>23</v>
      </c>
      <c r="PUK3" s="420"/>
      <c r="PUL3" s="420"/>
      <c r="PUM3" s="420"/>
      <c r="PUN3" s="419" t="s">
        <v>23</v>
      </c>
      <c r="PUO3" s="420"/>
      <c r="PUP3" s="420"/>
      <c r="PUQ3" s="420"/>
      <c r="PUR3" s="419" t="s">
        <v>23</v>
      </c>
      <c r="PUS3" s="420"/>
      <c r="PUT3" s="420"/>
      <c r="PUU3" s="420"/>
      <c r="PUV3" s="419" t="s">
        <v>23</v>
      </c>
      <c r="PUW3" s="420"/>
      <c r="PUX3" s="420"/>
      <c r="PUY3" s="420"/>
      <c r="PUZ3" s="419" t="s">
        <v>23</v>
      </c>
      <c r="PVA3" s="420"/>
      <c r="PVB3" s="420"/>
      <c r="PVC3" s="420"/>
      <c r="PVD3" s="419" t="s">
        <v>23</v>
      </c>
      <c r="PVE3" s="420"/>
      <c r="PVF3" s="420"/>
      <c r="PVG3" s="420"/>
      <c r="PVH3" s="419" t="s">
        <v>23</v>
      </c>
      <c r="PVI3" s="420"/>
      <c r="PVJ3" s="420"/>
      <c r="PVK3" s="420"/>
      <c r="PVL3" s="419" t="s">
        <v>23</v>
      </c>
      <c r="PVM3" s="420"/>
      <c r="PVN3" s="420"/>
      <c r="PVO3" s="420"/>
      <c r="PVP3" s="419" t="s">
        <v>23</v>
      </c>
      <c r="PVQ3" s="420"/>
      <c r="PVR3" s="420"/>
      <c r="PVS3" s="420"/>
      <c r="PVT3" s="419" t="s">
        <v>23</v>
      </c>
      <c r="PVU3" s="420"/>
      <c r="PVV3" s="420"/>
      <c r="PVW3" s="420"/>
      <c r="PVX3" s="419" t="s">
        <v>23</v>
      </c>
      <c r="PVY3" s="420"/>
      <c r="PVZ3" s="420"/>
      <c r="PWA3" s="420"/>
      <c r="PWB3" s="419" t="s">
        <v>23</v>
      </c>
      <c r="PWC3" s="420"/>
      <c r="PWD3" s="420"/>
      <c r="PWE3" s="420"/>
      <c r="PWF3" s="419" t="s">
        <v>23</v>
      </c>
      <c r="PWG3" s="420"/>
      <c r="PWH3" s="420"/>
      <c r="PWI3" s="420"/>
      <c r="PWJ3" s="419" t="s">
        <v>23</v>
      </c>
      <c r="PWK3" s="420"/>
      <c r="PWL3" s="420"/>
      <c r="PWM3" s="420"/>
      <c r="PWN3" s="419" t="s">
        <v>23</v>
      </c>
      <c r="PWO3" s="420"/>
      <c r="PWP3" s="420"/>
      <c r="PWQ3" s="420"/>
      <c r="PWR3" s="419" t="s">
        <v>23</v>
      </c>
      <c r="PWS3" s="420"/>
      <c r="PWT3" s="420"/>
      <c r="PWU3" s="420"/>
      <c r="PWV3" s="419" t="s">
        <v>23</v>
      </c>
      <c r="PWW3" s="420"/>
      <c r="PWX3" s="420"/>
      <c r="PWY3" s="420"/>
      <c r="PWZ3" s="419" t="s">
        <v>23</v>
      </c>
      <c r="PXA3" s="420"/>
      <c r="PXB3" s="420"/>
      <c r="PXC3" s="420"/>
      <c r="PXD3" s="419" t="s">
        <v>23</v>
      </c>
      <c r="PXE3" s="420"/>
      <c r="PXF3" s="420"/>
      <c r="PXG3" s="420"/>
      <c r="PXH3" s="419" t="s">
        <v>23</v>
      </c>
      <c r="PXI3" s="420"/>
      <c r="PXJ3" s="420"/>
      <c r="PXK3" s="420"/>
      <c r="PXL3" s="419" t="s">
        <v>23</v>
      </c>
      <c r="PXM3" s="420"/>
      <c r="PXN3" s="420"/>
      <c r="PXO3" s="420"/>
      <c r="PXP3" s="419" t="s">
        <v>23</v>
      </c>
      <c r="PXQ3" s="420"/>
      <c r="PXR3" s="420"/>
      <c r="PXS3" s="420"/>
      <c r="PXT3" s="419" t="s">
        <v>23</v>
      </c>
      <c r="PXU3" s="420"/>
      <c r="PXV3" s="420"/>
      <c r="PXW3" s="420"/>
      <c r="PXX3" s="419" t="s">
        <v>23</v>
      </c>
      <c r="PXY3" s="420"/>
      <c r="PXZ3" s="420"/>
      <c r="PYA3" s="420"/>
      <c r="PYB3" s="419" t="s">
        <v>23</v>
      </c>
      <c r="PYC3" s="420"/>
      <c r="PYD3" s="420"/>
      <c r="PYE3" s="420"/>
      <c r="PYF3" s="419" t="s">
        <v>23</v>
      </c>
      <c r="PYG3" s="420"/>
      <c r="PYH3" s="420"/>
      <c r="PYI3" s="420"/>
      <c r="PYJ3" s="419" t="s">
        <v>23</v>
      </c>
      <c r="PYK3" s="420"/>
      <c r="PYL3" s="420"/>
      <c r="PYM3" s="420"/>
      <c r="PYN3" s="419" t="s">
        <v>23</v>
      </c>
      <c r="PYO3" s="420"/>
      <c r="PYP3" s="420"/>
      <c r="PYQ3" s="420"/>
      <c r="PYR3" s="419" t="s">
        <v>23</v>
      </c>
      <c r="PYS3" s="420"/>
      <c r="PYT3" s="420"/>
      <c r="PYU3" s="420"/>
      <c r="PYV3" s="419" t="s">
        <v>23</v>
      </c>
      <c r="PYW3" s="420"/>
      <c r="PYX3" s="420"/>
      <c r="PYY3" s="420"/>
      <c r="PYZ3" s="419" t="s">
        <v>23</v>
      </c>
      <c r="PZA3" s="420"/>
      <c r="PZB3" s="420"/>
      <c r="PZC3" s="420"/>
      <c r="PZD3" s="419" t="s">
        <v>23</v>
      </c>
      <c r="PZE3" s="420"/>
      <c r="PZF3" s="420"/>
      <c r="PZG3" s="420"/>
      <c r="PZH3" s="419" t="s">
        <v>23</v>
      </c>
      <c r="PZI3" s="420"/>
      <c r="PZJ3" s="420"/>
      <c r="PZK3" s="420"/>
      <c r="PZL3" s="419" t="s">
        <v>23</v>
      </c>
      <c r="PZM3" s="420"/>
      <c r="PZN3" s="420"/>
      <c r="PZO3" s="420"/>
      <c r="PZP3" s="419" t="s">
        <v>23</v>
      </c>
      <c r="PZQ3" s="420"/>
      <c r="PZR3" s="420"/>
      <c r="PZS3" s="420"/>
      <c r="PZT3" s="419" t="s">
        <v>23</v>
      </c>
      <c r="PZU3" s="420"/>
      <c r="PZV3" s="420"/>
      <c r="PZW3" s="420"/>
      <c r="PZX3" s="419" t="s">
        <v>23</v>
      </c>
      <c r="PZY3" s="420"/>
      <c r="PZZ3" s="420"/>
      <c r="QAA3" s="420"/>
      <c r="QAB3" s="419" t="s">
        <v>23</v>
      </c>
      <c r="QAC3" s="420"/>
      <c r="QAD3" s="420"/>
      <c r="QAE3" s="420"/>
      <c r="QAF3" s="419" t="s">
        <v>23</v>
      </c>
      <c r="QAG3" s="420"/>
      <c r="QAH3" s="420"/>
      <c r="QAI3" s="420"/>
      <c r="QAJ3" s="419" t="s">
        <v>23</v>
      </c>
      <c r="QAK3" s="420"/>
      <c r="QAL3" s="420"/>
      <c r="QAM3" s="420"/>
      <c r="QAN3" s="419" t="s">
        <v>23</v>
      </c>
      <c r="QAO3" s="420"/>
      <c r="QAP3" s="420"/>
      <c r="QAQ3" s="420"/>
      <c r="QAR3" s="419" t="s">
        <v>23</v>
      </c>
      <c r="QAS3" s="420"/>
      <c r="QAT3" s="420"/>
      <c r="QAU3" s="420"/>
      <c r="QAV3" s="419" t="s">
        <v>23</v>
      </c>
      <c r="QAW3" s="420"/>
      <c r="QAX3" s="420"/>
      <c r="QAY3" s="420"/>
      <c r="QAZ3" s="419" t="s">
        <v>23</v>
      </c>
      <c r="QBA3" s="420"/>
      <c r="QBB3" s="420"/>
      <c r="QBC3" s="420"/>
      <c r="QBD3" s="419" t="s">
        <v>23</v>
      </c>
      <c r="QBE3" s="420"/>
      <c r="QBF3" s="420"/>
      <c r="QBG3" s="420"/>
      <c r="QBH3" s="419" t="s">
        <v>23</v>
      </c>
      <c r="QBI3" s="420"/>
      <c r="QBJ3" s="420"/>
      <c r="QBK3" s="420"/>
      <c r="QBL3" s="419" t="s">
        <v>23</v>
      </c>
      <c r="QBM3" s="420"/>
      <c r="QBN3" s="420"/>
      <c r="QBO3" s="420"/>
      <c r="QBP3" s="419" t="s">
        <v>23</v>
      </c>
      <c r="QBQ3" s="420"/>
      <c r="QBR3" s="420"/>
      <c r="QBS3" s="420"/>
      <c r="QBT3" s="419" t="s">
        <v>23</v>
      </c>
      <c r="QBU3" s="420"/>
      <c r="QBV3" s="420"/>
      <c r="QBW3" s="420"/>
      <c r="QBX3" s="419" t="s">
        <v>23</v>
      </c>
      <c r="QBY3" s="420"/>
      <c r="QBZ3" s="420"/>
      <c r="QCA3" s="420"/>
      <c r="QCB3" s="419" t="s">
        <v>23</v>
      </c>
      <c r="QCC3" s="420"/>
      <c r="QCD3" s="420"/>
      <c r="QCE3" s="420"/>
      <c r="QCF3" s="419" t="s">
        <v>23</v>
      </c>
      <c r="QCG3" s="420"/>
      <c r="QCH3" s="420"/>
      <c r="QCI3" s="420"/>
      <c r="QCJ3" s="419" t="s">
        <v>23</v>
      </c>
      <c r="QCK3" s="420"/>
      <c r="QCL3" s="420"/>
      <c r="QCM3" s="420"/>
      <c r="QCN3" s="419" t="s">
        <v>23</v>
      </c>
      <c r="QCO3" s="420"/>
      <c r="QCP3" s="420"/>
      <c r="QCQ3" s="420"/>
      <c r="QCR3" s="419" t="s">
        <v>23</v>
      </c>
      <c r="QCS3" s="420"/>
      <c r="QCT3" s="420"/>
      <c r="QCU3" s="420"/>
      <c r="QCV3" s="419" t="s">
        <v>23</v>
      </c>
      <c r="QCW3" s="420"/>
      <c r="QCX3" s="420"/>
      <c r="QCY3" s="420"/>
      <c r="QCZ3" s="419" t="s">
        <v>23</v>
      </c>
      <c r="QDA3" s="420"/>
      <c r="QDB3" s="420"/>
      <c r="QDC3" s="420"/>
      <c r="QDD3" s="419" t="s">
        <v>23</v>
      </c>
      <c r="QDE3" s="420"/>
      <c r="QDF3" s="420"/>
      <c r="QDG3" s="420"/>
      <c r="QDH3" s="419" t="s">
        <v>23</v>
      </c>
      <c r="QDI3" s="420"/>
      <c r="QDJ3" s="420"/>
      <c r="QDK3" s="420"/>
      <c r="QDL3" s="419" t="s">
        <v>23</v>
      </c>
      <c r="QDM3" s="420"/>
      <c r="QDN3" s="420"/>
      <c r="QDO3" s="420"/>
      <c r="QDP3" s="419" t="s">
        <v>23</v>
      </c>
      <c r="QDQ3" s="420"/>
      <c r="QDR3" s="420"/>
      <c r="QDS3" s="420"/>
      <c r="QDT3" s="419" t="s">
        <v>23</v>
      </c>
      <c r="QDU3" s="420"/>
      <c r="QDV3" s="420"/>
      <c r="QDW3" s="420"/>
      <c r="QDX3" s="419" t="s">
        <v>23</v>
      </c>
      <c r="QDY3" s="420"/>
      <c r="QDZ3" s="420"/>
      <c r="QEA3" s="420"/>
      <c r="QEB3" s="419" t="s">
        <v>23</v>
      </c>
      <c r="QEC3" s="420"/>
      <c r="QED3" s="420"/>
      <c r="QEE3" s="420"/>
      <c r="QEF3" s="419" t="s">
        <v>23</v>
      </c>
      <c r="QEG3" s="420"/>
      <c r="QEH3" s="420"/>
      <c r="QEI3" s="420"/>
      <c r="QEJ3" s="419" t="s">
        <v>23</v>
      </c>
      <c r="QEK3" s="420"/>
      <c r="QEL3" s="420"/>
      <c r="QEM3" s="420"/>
      <c r="QEN3" s="419" t="s">
        <v>23</v>
      </c>
      <c r="QEO3" s="420"/>
      <c r="QEP3" s="420"/>
      <c r="QEQ3" s="420"/>
      <c r="QER3" s="419" t="s">
        <v>23</v>
      </c>
      <c r="QES3" s="420"/>
      <c r="QET3" s="420"/>
      <c r="QEU3" s="420"/>
      <c r="QEV3" s="419" t="s">
        <v>23</v>
      </c>
      <c r="QEW3" s="420"/>
      <c r="QEX3" s="420"/>
      <c r="QEY3" s="420"/>
      <c r="QEZ3" s="419" t="s">
        <v>23</v>
      </c>
      <c r="QFA3" s="420"/>
      <c r="QFB3" s="420"/>
      <c r="QFC3" s="420"/>
      <c r="QFD3" s="419" t="s">
        <v>23</v>
      </c>
      <c r="QFE3" s="420"/>
      <c r="QFF3" s="420"/>
      <c r="QFG3" s="420"/>
      <c r="QFH3" s="419" t="s">
        <v>23</v>
      </c>
      <c r="QFI3" s="420"/>
      <c r="QFJ3" s="420"/>
      <c r="QFK3" s="420"/>
      <c r="QFL3" s="419" t="s">
        <v>23</v>
      </c>
      <c r="QFM3" s="420"/>
      <c r="QFN3" s="420"/>
      <c r="QFO3" s="420"/>
      <c r="QFP3" s="419" t="s">
        <v>23</v>
      </c>
      <c r="QFQ3" s="420"/>
      <c r="QFR3" s="420"/>
      <c r="QFS3" s="420"/>
      <c r="QFT3" s="419" t="s">
        <v>23</v>
      </c>
      <c r="QFU3" s="420"/>
      <c r="QFV3" s="420"/>
      <c r="QFW3" s="420"/>
      <c r="QFX3" s="419" t="s">
        <v>23</v>
      </c>
      <c r="QFY3" s="420"/>
      <c r="QFZ3" s="420"/>
      <c r="QGA3" s="420"/>
      <c r="QGB3" s="419" t="s">
        <v>23</v>
      </c>
      <c r="QGC3" s="420"/>
      <c r="QGD3" s="420"/>
      <c r="QGE3" s="420"/>
      <c r="QGF3" s="419" t="s">
        <v>23</v>
      </c>
      <c r="QGG3" s="420"/>
      <c r="QGH3" s="420"/>
      <c r="QGI3" s="420"/>
      <c r="QGJ3" s="419" t="s">
        <v>23</v>
      </c>
      <c r="QGK3" s="420"/>
      <c r="QGL3" s="420"/>
      <c r="QGM3" s="420"/>
      <c r="QGN3" s="419" t="s">
        <v>23</v>
      </c>
      <c r="QGO3" s="420"/>
      <c r="QGP3" s="420"/>
      <c r="QGQ3" s="420"/>
      <c r="QGR3" s="419" t="s">
        <v>23</v>
      </c>
      <c r="QGS3" s="420"/>
      <c r="QGT3" s="420"/>
      <c r="QGU3" s="420"/>
      <c r="QGV3" s="419" t="s">
        <v>23</v>
      </c>
      <c r="QGW3" s="420"/>
      <c r="QGX3" s="420"/>
      <c r="QGY3" s="420"/>
      <c r="QGZ3" s="419" t="s">
        <v>23</v>
      </c>
      <c r="QHA3" s="420"/>
      <c r="QHB3" s="420"/>
      <c r="QHC3" s="420"/>
      <c r="QHD3" s="419" t="s">
        <v>23</v>
      </c>
      <c r="QHE3" s="420"/>
      <c r="QHF3" s="420"/>
      <c r="QHG3" s="420"/>
      <c r="QHH3" s="419" t="s">
        <v>23</v>
      </c>
      <c r="QHI3" s="420"/>
      <c r="QHJ3" s="420"/>
      <c r="QHK3" s="420"/>
      <c r="QHL3" s="419" t="s">
        <v>23</v>
      </c>
      <c r="QHM3" s="420"/>
      <c r="QHN3" s="420"/>
      <c r="QHO3" s="420"/>
      <c r="QHP3" s="419" t="s">
        <v>23</v>
      </c>
      <c r="QHQ3" s="420"/>
      <c r="QHR3" s="420"/>
      <c r="QHS3" s="420"/>
      <c r="QHT3" s="419" t="s">
        <v>23</v>
      </c>
      <c r="QHU3" s="420"/>
      <c r="QHV3" s="420"/>
      <c r="QHW3" s="420"/>
      <c r="QHX3" s="419" t="s">
        <v>23</v>
      </c>
      <c r="QHY3" s="420"/>
      <c r="QHZ3" s="420"/>
      <c r="QIA3" s="420"/>
      <c r="QIB3" s="419" t="s">
        <v>23</v>
      </c>
      <c r="QIC3" s="420"/>
      <c r="QID3" s="420"/>
      <c r="QIE3" s="420"/>
      <c r="QIF3" s="419" t="s">
        <v>23</v>
      </c>
      <c r="QIG3" s="420"/>
      <c r="QIH3" s="420"/>
      <c r="QII3" s="420"/>
      <c r="QIJ3" s="419" t="s">
        <v>23</v>
      </c>
      <c r="QIK3" s="420"/>
      <c r="QIL3" s="420"/>
      <c r="QIM3" s="420"/>
      <c r="QIN3" s="419" t="s">
        <v>23</v>
      </c>
      <c r="QIO3" s="420"/>
      <c r="QIP3" s="420"/>
      <c r="QIQ3" s="420"/>
      <c r="QIR3" s="419" t="s">
        <v>23</v>
      </c>
      <c r="QIS3" s="420"/>
      <c r="QIT3" s="420"/>
      <c r="QIU3" s="420"/>
      <c r="QIV3" s="419" t="s">
        <v>23</v>
      </c>
      <c r="QIW3" s="420"/>
      <c r="QIX3" s="420"/>
      <c r="QIY3" s="420"/>
      <c r="QIZ3" s="419" t="s">
        <v>23</v>
      </c>
      <c r="QJA3" s="420"/>
      <c r="QJB3" s="420"/>
      <c r="QJC3" s="420"/>
      <c r="QJD3" s="419" t="s">
        <v>23</v>
      </c>
      <c r="QJE3" s="420"/>
      <c r="QJF3" s="420"/>
      <c r="QJG3" s="420"/>
      <c r="QJH3" s="419" t="s">
        <v>23</v>
      </c>
      <c r="QJI3" s="420"/>
      <c r="QJJ3" s="420"/>
      <c r="QJK3" s="420"/>
      <c r="QJL3" s="419" t="s">
        <v>23</v>
      </c>
      <c r="QJM3" s="420"/>
      <c r="QJN3" s="420"/>
      <c r="QJO3" s="420"/>
      <c r="QJP3" s="419" t="s">
        <v>23</v>
      </c>
      <c r="QJQ3" s="420"/>
      <c r="QJR3" s="420"/>
      <c r="QJS3" s="420"/>
      <c r="QJT3" s="419" t="s">
        <v>23</v>
      </c>
      <c r="QJU3" s="420"/>
      <c r="QJV3" s="420"/>
      <c r="QJW3" s="420"/>
      <c r="QJX3" s="419" t="s">
        <v>23</v>
      </c>
      <c r="QJY3" s="420"/>
      <c r="QJZ3" s="420"/>
      <c r="QKA3" s="420"/>
      <c r="QKB3" s="419" t="s">
        <v>23</v>
      </c>
      <c r="QKC3" s="420"/>
      <c r="QKD3" s="420"/>
      <c r="QKE3" s="420"/>
      <c r="QKF3" s="419" t="s">
        <v>23</v>
      </c>
      <c r="QKG3" s="420"/>
      <c r="QKH3" s="420"/>
      <c r="QKI3" s="420"/>
      <c r="QKJ3" s="419" t="s">
        <v>23</v>
      </c>
      <c r="QKK3" s="420"/>
      <c r="QKL3" s="420"/>
      <c r="QKM3" s="420"/>
      <c r="QKN3" s="419" t="s">
        <v>23</v>
      </c>
      <c r="QKO3" s="420"/>
      <c r="QKP3" s="420"/>
      <c r="QKQ3" s="420"/>
      <c r="QKR3" s="419" t="s">
        <v>23</v>
      </c>
      <c r="QKS3" s="420"/>
      <c r="QKT3" s="420"/>
      <c r="QKU3" s="420"/>
      <c r="QKV3" s="419" t="s">
        <v>23</v>
      </c>
      <c r="QKW3" s="420"/>
      <c r="QKX3" s="420"/>
      <c r="QKY3" s="420"/>
      <c r="QKZ3" s="419" t="s">
        <v>23</v>
      </c>
      <c r="QLA3" s="420"/>
      <c r="QLB3" s="420"/>
      <c r="QLC3" s="420"/>
      <c r="QLD3" s="419" t="s">
        <v>23</v>
      </c>
      <c r="QLE3" s="420"/>
      <c r="QLF3" s="420"/>
      <c r="QLG3" s="420"/>
      <c r="QLH3" s="419" t="s">
        <v>23</v>
      </c>
      <c r="QLI3" s="420"/>
      <c r="QLJ3" s="420"/>
      <c r="QLK3" s="420"/>
      <c r="QLL3" s="419" t="s">
        <v>23</v>
      </c>
      <c r="QLM3" s="420"/>
      <c r="QLN3" s="420"/>
      <c r="QLO3" s="420"/>
      <c r="QLP3" s="419" t="s">
        <v>23</v>
      </c>
      <c r="QLQ3" s="420"/>
      <c r="QLR3" s="420"/>
      <c r="QLS3" s="420"/>
      <c r="QLT3" s="419" t="s">
        <v>23</v>
      </c>
      <c r="QLU3" s="420"/>
      <c r="QLV3" s="420"/>
      <c r="QLW3" s="420"/>
      <c r="QLX3" s="419" t="s">
        <v>23</v>
      </c>
      <c r="QLY3" s="420"/>
      <c r="QLZ3" s="420"/>
      <c r="QMA3" s="420"/>
      <c r="QMB3" s="419" t="s">
        <v>23</v>
      </c>
      <c r="QMC3" s="420"/>
      <c r="QMD3" s="420"/>
      <c r="QME3" s="420"/>
      <c r="QMF3" s="419" t="s">
        <v>23</v>
      </c>
      <c r="QMG3" s="420"/>
      <c r="QMH3" s="420"/>
      <c r="QMI3" s="420"/>
      <c r="QMJ3" s="419" t="s">
        <v>23</v>
      </c>
      <c r="QMK3" s="420"/>
      <c r="QML3" s="420"/>
      <c r="QMM3" s="420"/>
      <c r="QMN3" s="419" t="s">
        <v>23</v>
      </c>
      <c r="QMO3" s="420"/>
      <c r="QMP3" s="420"/>
      <c r="QMQ3" s="420"/>
      <c r="QMR3" s="419" t="s">
        <v>23</v>
      </c>
      <c r="QMS3" s="420"/>
      <c r="QMT3" s="420"/>
      <c r="QMU3" s="420"/>
      <c r="QMV3" s="419" t="s">
        <v>23</v>
      </c>
      <c r="QMW3" s="420"/>
      <c r="QMX3" s="420"/>
      <c r="QMY3" s="420"/>
      <c r="QMZ3" s="419" t="s">
        <v>23</v>
      </c>
      <c r="QNA3" s="420"/>
      <c r="QNB3" s="420"/>
      <c r="QNC3" s="420"/>
      <c r="QND3" s="419" t="s">
        <v>23</v>
      </c>
      <c r="QNE3" s="420"/>
      <c r="QNF3" s="420"/>
      <c r="QNG3" s="420"/>
      <c r="QNH3" s="419" t="s">
        <v>23</v>
      </c>
      <c r="QNI3" s="420"/>
      <c r="QNJ3" s="420"/>
      <c r="QNK3" s="420"/>
      <c r="QNL3" s="419" t="s">
        <v>23</v>
      </c>
      <c r="QNM3" s="420"/>
      <c r="QNN3" s="420"/>
      <c r="QNO3" s="420"/>
      <c r="QNP3" s="419" t="s">
        <v>23</v>
      </c>
      <c r="QNQ3" s="420"/>
      <c r="QNR3" s="420"/>
      <c r="QNS3" s="420"/>
      <c r="QNT3" s="419" t="s">
        <v>23</v>
      </c>
      <c r="QNU3" s="420"/>
      <c r="QNV3" s="420"/>
      <c r="QNW3" s="420"/>
      <c r="QNX3" s="419" t="s">
        <v>23</v>
      </c>
      <c r="QNY3" s="420"/>
      <c r="QNZ3" s="420"/>
      <c r="QOA3" s="420"/>
      <c r="QOB3" s="419" t="s">
        <v>23</v>
      </c>
      <c r="QOC3" s="420"/>
      <c r="QOD3" s="420"/>
      <c r="QOE3" s="420"/>
      <c r="QOF3" s="419" t="s">
        <v>23</v>
      </c>
      <c r="QOG3" s="420"/>
      <c r="QOH3" s="420"/>
      <c r="QOI3" s="420"/>
      <c r="QOJ3" s="419" t="s">
        <v>23</v>
      </c>
      <c r="QOK3" s="420"/>
      <c r="QOL3" s="420"/>
      <c r="QOM3" s="420"/>
      <c r="QON3" s="419" t="s">
        <v>23</v>
      </c>
      <c r="QOO3" s="420"/>
      <c r="QOP3" s="420"/>
      <c r="QOQ3" s="420"/>
      <c r="QOR3" s="419" t="s">
        <v>23</v>
      </c>
      <c r="QOS3" s="420"/>
      <c r="QOT3" s="420"/>
      <c r="QOU3" s="420"/>
      <c r="QOV3" s="419" t="s">
        <v>23</v>
      </c>
      <c r="QOW3" s="420"/>
      <c r="QOX3" s="420"/>
      <c r="QOY3" s="420"/>
      <c r="QOZ3" s="419" t="s">
        <v>23</v>
      </c>
      <c r="QPA3" s="420"/>
      <c r="QPB3" s="420"/>
      <c r="QPC3" s="420"/>
      <c r="QPD3" s="419" t="s">
        <v>23</v>
      </c>
      <c r="QPE3" s="420"/>
      <c r="QPF3" s="420"/>
      <c r="QPG3" s="420"/>
      <c r="QPH3" s="419" t="s">
        <v>23</v>
      </c>
      <c r="QPI3" s="420"/>
      <c r="QPJ3" s="420"/>
      <c r="QPK3" s="420"/>
      <c r="QPL3" s="419" t="s">
        <v>23</v>
      </c>
      <c r="QPM3" s="420"/>
      <c r="QPN3" s="420"/>
      <c r="QPO3" s="420"/>
      <c r="QPP3" s="419" t="s">
        <v>23</v>
      </c>
      <c r="QPQ3" s="420"/>
      <c r="QPR3" s="420"/>
      <c r="QPS3" s="420"/>
      <c r="QPT3" s="419" t="s">
        <v>23</v>
      </c>
      <c r="QPU3" s="420"/>
      <c r="QPV3" s="420"/>
      <c r="QPW3" s="420"/>
      <c r="QPX3" s="419" t="s">
        <v>23</v>
      </c>
      <c r="QPY3" s="420"/>
      <c r="QPZ3" s="420"/>
      <c r="QQA3" s="420"/>
      <c r="QQB3" s="419" t="s">
        <v>23</v>
      </c>
      <c r="QQC3" s="420"/>
      <c r="QQD3" s="420"/>
      <c r="QQE3" s="420"/>
      <c r="QQF3" s="419" t="s">
        <v>23</v>
      </c>
      <c r="QQG3" s="420"/>
      <c r="QQH3" s="420"/>
      <c r="QQI3" s="420"/>
      <c r="QQJ3" s="419" t="s">
        <v>23</v>
      </c>
      <c r="QQK3" s="420"/>
      <c r="QQL3" s="420"/>
      <c r="QQM3" s="420"/>
      <c r="QQN3" s="419" t="s">
        <v>23</v>
      </c>
      <c r="QQO3" s="420"/>
      <c r="QQP3" s="420"/>
      <c r="QQQ3" s="420"/>
      <c r="QQR3" s="419" t="s">
        <v>23</v>
      </c>
      <c r="QQS3" s="420"/>
      <c r="QQT3" s="420"/>
      <c r="QQU3" s="420"/>
      <c r="QQV3" s="419" t="s">
        <v>23</v>
      </c>
      <c r="QQW3" s="420"/>
      <c r="QQX3" s="420"/>
      <c r="QQY3" s="420"/>
      <c r="QQZ3" s="419" t="s">
        <v>23</v>
      </c>
      <c r="QRA3" s="420"/>
      <c r="QRB3" s="420"/>
      <c r="QRC3" s="420"/>
      <c r="QRD3" s="419" t="s">
        <v>23</v>
      </c>
      <c r="QRE3" s="420"/>
      <c r="QRF3" s="420"/>
      <c r="QRG3" s="420"/>
      <c r="QRH3" s="419" t="s">
        <v>23</v>
      </c>
      <c r="QRI3" s="420"/>
      <c r="QRJ3" s="420"/>
      <c r="QRK3" s="420"/>
      <c r="QRL3" s="419" t="s">
        <v>23</v>
      </c>
      <c r="QRM3" s="420"/>
      <c r="QRN3" s="420"/>
      <c r="QRO3" s="420"/>
      <c r="QRP3" s="419" t="s">
        <v>23</v>
      </c>
      <c r="QRQ3" s="420"/>
      <c r="QRR3" s="420"/>
      <c r="QRS3" s="420"/>
      <c r="QRT3" s="419" t="s">
        <v>23</v>
      </c>
      <c r="QRU3" s="420"/>
      <c r="QRV3" s="420"/>
      <c r="QRW3" s="420"/>
      <c r="QRX3" s="419" t="s">
        <v>23</v>
      </c>
      <c r="QRY3" s="420"/>
      <c r="QRZ3" s="420"/>
      <c r="QSA3" s="420"/>
      <c r="QSB3" s="419" t="s">
        <v>23</v>
      </c>
      <c r="QSC3" s="420"/>
      <c r="QSD3" s="420"/>
      <c r="QSE3" s="420"/>
      <c r="QSF3" s="419" t="s">
        <v>23</v>
      </c>
      <c r="QSG3" s="420"/>
      <c r="QSH3" s="420"/>
      <c r="QSI3" s="420"/>
      <c r="QSJ3" s="419" t="s">
        <v>23</v>
      </c>
      <c r="QSK3" s="420"/>
      <c r="QSL3" s="420"/>
      <c r="QSM3" s="420"/>
      <c r="QSN3" s="419" t="s">
        <v>23</v>
      </c>
      <c r="QSO3" s="420"/>
      <c r="QSP3" s="420"/>
      <c r="QSQ3" s="420"/>
      <c r="QSR3" s="419" t="s">
        <v>23</v>
      </c>
      <c r="QSS3" s="420"/>
      <c r="QST3" s="420"/>
      <c r="QSU3" s="420"/>
      <c r="QSV3" s="419" t="s">
        <v>23</v>
      </c>
      <c r="QSW3" s="420"/>
      <c r="QSX3" s="420"/>
      <c r="QSY3" s="420"/>
      <c r="QSZ3" s="419" t="s">
        <v>23</v>
      </c>
      <c r="QTA3" s="420"/>
      <c r="QTB3" s="420"/>
      <c r="QTC3" s="420"/>
      <c r="QTD3" s="419" t="s">
        <v>23</v>
      </c>
      <c r="QTE3" s="420"/>
      <c r="QTF3" s="420"/>
      <c r="QTG3" s="420"/>
      <c r="QTH3" s="419" t="s">
        <v>23</v>
      </c>
      <c r="QTI3" s="420"/>
      <c r="QTJ3" s="420"/>
      <c r="QTK3" s="420"/>
      <c r="QTL3" s="419" t="s">
        <v>23</v>
      </c>
      <c r="QTM3" s="420"/>
      <c r="QTN3" s="420"/>
      <c r="QTO3" s="420"/>
      <c r="QTP3" s="419" t="s">
        <v>23</v>
      </c>
      <c r="QTQ3" s="420"/>
      <c r="QTR3" s="420"/>
      <c r="QTS3" s="420"/>
      <c r="QTT3" s="419" t="s">
        <v>23</v>
      </c>
      <c r="QTU3" s="420"/>
      <c r="QTV3" s="420"/>
      <c r="QTW3" s="420"/>
      <c r="QTX3" s="419" t="s">
        <v>23</v>
      </c>
      <c r="QTY3" s="420"/>
      <c r="QTZ3" s="420"/>
      <c r="QUA3" s="420"/>
      <c r="QUB3" s="419" t="s">
        <v>23</v>
      </c>
      <c r="QUC3" s="420"/>
      <c r="QUD3" s="420"/>
      <c r="QUE3" s="420"/>
      <c r="QUF3" s="419" t="s">
        <v>23</v>
      </c>
      <c r="QUG3" s="420"/>
      <c r="QUH3" s="420"/>
      <c r="QUI3" s="420"/>
      <c r="QUJ3" s="419" t="s">
        <v>23</v>
      </c>
      <c r="QUK3" s="420"/>
      <c r="QUL3" s="420"/>
      <c r="QUM3" s="420"/>
      <c r="QUN3" s="419" t="s">
        <v>23</v>
      </c>
      <c r="QUO3" s="420"/>
      <c r="QUP3" s="420"/>
      <c r="QUQ3" s="420"/>
      <c r="QUR3" s="419" t="s">
        <v>23</v>
      </c>
      <c r="QUS3" s="420"/>
      <c r="QUT3" s="420"/>
      <c r="QUU3" s="420"/>
      <c r="QUV3" s="419" t="s">
        <v>23</v>
      </c>
      <c r="QUW3" s="420"/>
      <c r="QUX3" s="420"/>
      <c r="QUY3" s="420"/>
      <c r="QUZ3" s="419" t="s">
        <v>23</v>
      </c>
      <c r="QVA3" s="420"/>
      <c r="QVB3" s="420"/>
      <c r="QVC3" s="420"/>
      <c r="QVD3" s="419" t="s">
        <v>23</v>
      </c>
      <c r="QVE3" s="420"/>
      <c r="QVF3" s="420"/>
      <c r="QVG3" s="420"/>
      <c r="QVH3" s="419" t="s">
        <v>23</v>
      </c>
      <c r="QVI3" s="420"/>
      <c r="QVJ3" s="420"/>
      <c r="QVK3" s="420"/>
      <c r="QVL3" s="419" t="s">
        <v>23</v>
      </c>
      <c r="QVM3" s="420"/>
      <c r="QVN3" s="420"/>
      <c r="QVO3" s="420"/>
      <c r="QVP3" s="419" t="s">
        <v>23</v>
      </c>
      <c r="QVQ3" s="420"/>
      <c r="QVR3" s="420"/>
      <c r="QVS3" s="420"/>
      <c r="QVT3" s="419" t="s">
        <v>23</v>
      </c>
      <c r="QVU3" s="420"/>
      <c r="QVV3" s="420"/>
      <c r="QVW3" s="420"/>
      <c r="QVX3" s="419" t="s">
        <v>23</v>
      </c>
      <c r="QVY3" s="420"/>
      <c r="QVZ3" s="420"/>
      <c r="QWA3" s="420"/>
      <c r="QWB3" s="419" t="s">
        <v>23</v>
      </c>
      <c r="QWC3" s="420"/>
      <c r="QWD3" s="420"/>
      <c r="QWE3" s="420"/>
      <c r="QWF3" s="419" t="s">
        <v>23</v>
      </c>
      <c r="QWG3" s="420"/>
      <c r="QWH3" s="420"/>
      <c r="QWI3" s="420"/>
      <c r="QWJ3" s="419" t="s">
        <v>23</v>
      </c>
      <c r="QWK3" s="420"/>
      <c r="QWL3" s="420"/>
      <c r="QWM3" s="420"/>
      <c r="QWN3" s="419" t="s">
        <v>23</v>
      </c>
      <c r="QWO3" s="420"/>
      <c r="QWP3" s="420"/>
      <c r="QWQ3" s="420"/>
      <c r="QWR3" s="419" t="s">
        <v>23</v>
      </c>
      <c r="QWS3" s="420"/>
      <c r="QWT3" s="420"/>
      <c r="QWU3" s="420"/>
      <c r="QWV3" s="419" t="s">
        <v>23</v>
      </c>
      <c r="QWW3" s="420"/>
      <c r="QWX3" s="420"/>
      <c r="QWY3" s="420"/>
      <c r="QWZ3" s="419" t="s">
        <v>23</v>
      </c>
      <c r="QXA3" s="420"/>
      <c r="QXB3" s="420"/>
      <c r="QXC3" s="420"/>
      <c r="QXD3" s="419" t="s">
        <v>23</v>
      </c>
      <c r="QXE3" s="420"/>
      <c r="QXF3" s="420"/>
      <c r="QXG3" s="420"/>
      <c r="QXH3" s="419" t="s">
        <v>23</v>
      </c>
      <c r="QXI3" s="420"/>
      <c r="QXJ3" s="420"/>
      <c r="QXK3" s="420"/>
      <c r="QXL3" s="419" t="s">
        <v>23</v>
      </c>
      <c r="QXM3" s="420"/>
      <c r="QXN3" s="420"/>
      <c r="QXO3" s="420"/>
      <c r="QXP3" s="419" t="s">
        <v>23</v>
      </c>
      <c r="QXQ3" s="420"/>
      <c r="QXR3" s="420"/>
      <c r="QXS3" s="420"/>
      <c r="QXT3" s="419" t="s">
        <v>23</v>
      </c>
      <c r="QXU3" s="420"/>
      <c r="QXV3" s="420"/>
      <c r="QXW3" s="420"/>
      <c r="QXX3" s="419" t="s">
        <v>23</v>
      </c>
      <c r="QXY3" s="420"/>
      <c r="QXZ3" s="420"/>
      <c r="QYA3" s="420"/>
      <c r="QYB3" s="419" t="s">
        <v>23</v>
      </c>
      <c r="QYC3" s="420"/>
      <c r="QYD3" s="420"/>
      <c r="QYE3" s="420"/>
      <c r="QYF3" s="419" t="s">
        <v>23</v>
      </c>
      <c r="QYG3" s="420"/>
      <c r="QYH3" s="420"/>
      <c r="QYI3" s="420"/>
      <c r="QYJ3" s="419" t="s">
        <v>23</v>
      </c>
      <c r="QYK3" s="420"/>
      <c r="QYL3" s="420"/>
      <c r="QYM3" s="420"/>
      <c r="QYN3" s="419" t="s">
        <v>23</v>
      </c>
      <c r="QYO3" s="420"/>
      <c r="QYP3" s="420"/>
      <c r="QYQ3" s="420"/>
      <c r="QYR3" s="419" t="s">
        <v>23</v>
      </c>
      <c r="QYS3" s="420"/>
      <c r="QYT3" s="420"/>
      <c r="QYU3" s="420"/>
      <c r="QYV3" s="419" t="s">
        <v>23</v>
      </c>
      <c r="QYW3" s="420"/>
      <c r="QYX3" s="420"/>
      <c r="QYY3" s="420"/>
      <c r="QYZ3" s="419" t="s">
        <v>23</v>
      </c>
      <c r="QZA3" s="420"/>
      <c r="QZB3" s="420"/>
      <c r="QZC3" s="420"/>
      <c r="QZD3" s="419" t="s">
        <v>23</v>
      </c>
      <c r="QZE3" s="420"/>
      <c r="QZF3" s="420"/>
      <c r="QZG3" s="420"/>
      <c r="QZH3" s="419" t="s">
        <v>23</v>
      </c>
      <c r="QZI3" s="420"/>
      <c r="QZJ3" s="420"/>
      <c r="QZK3" s="420"/>
      <c r="QZL3" s="419" t="s">
        <v>23</v>
      </c>
      <c r="QZM3" s="420"/>
      <c r="QZN3" s="420"/>
      <c r="QZO3" s="420"/>
      <c r="QZP3" s="419" t="s">
        <v>23</v>
      </c>
      <c r="QZQ3" s="420"/>
      <c r="QZR3" s="420"/>
      <c r="QZS3" s="420"/>
      <c r="QZT3" s="419" t="s">
        <v>23</v>
      </c>
      <c r="QZU3" s="420"/>
      <c r="QZV3" s="420"/>
      <c r="QZW3" s="420"/>
      <c r="QZX3" s="419" t="s">
        <v>23</v>
      </c>
      <c r="QZY3" s="420"/>
      <c r="QZZ3" s="420"/>
      <c r="RAA3" s="420"/>
      <c r="RAB3" s="419" t="s">
        <v>23</v>
      </c>
      <c r="RAC3" s="420"/>
      <c r="RAD3" s="420"/>
      <c r="RAE3" s="420"/>
      <c r="RAF3" s="419" t="s">
        <v>23</v>
      </c>
      <c r="RAG3" s="420"/>
      <c r="RAH3" s="420"/>
      <c r="RAI3" s="420"/>
      <c r="RAJ3" s="419" t="s">
        <v>23</v>
      </c>
      <c r="RAK3" s="420"/>
      <c r="RAL3" s="420"/>
      <c r="RAM3" s="420"/>
      <c r="RAN3" s="419" t="s">
        <v>23</v>
      </c>
      <c r="RAO3" s="420"/>
      <c r="RAP3" s="420"/>
      <c r="RAQ3" s="420"/>
      <c r="RAR3" s="419" t="s">
        <v>23</v>
      </c>
      <c r="RAS3" s="420"/>
      <c r="RAT3" s="420"/>
      <c r="RAU3" s="420"/>
      <c r="RAV3" s="419" t="s">
        <v>23</v>
      </c>
      <c r="RAW3" s="420"/>
      <c r="RAX3" s="420"/>
      <c r="RAY3" s="420"/>
      <c r="RAZ3" s="419" t="s">
        <v>23</v>
      </c>
      <c r="RBA3" s="420"/>
      <c r="RBB3" s="420"/>
      <c r="RBC3" s="420"/>
      <c r="RBD3" s="419" t="s">
        <v>23</v>
      </c>
      <c r="RBE3" s="420"/>
      <c r="RBF3" s="420"/>
      <c r="RBG3" s="420"/>
      <c r="RBH3" s="419" t="s">
        <v>23</v>
      </c>
      <c r="RBI3" s="420"/>
      <c r="RBJ3" s="420"/>
      <c r="RBK3" s="420"/>
      <c r="RBL3" s="419" t="s">
        <v>23</v>
      </c>
      <c r="RBM3" s="420"/>
      <c r="RBN3" s="420"/>
      <c r="RBO3" s="420"/>
      <c r="RBP3" s="419" t="s">
        <v>23</v>
      </c>
      <c r="RBQ3" s="420"/>
      <c r="RBR3" s="420"/>
      <c r="RBS3" s="420"/>
      <c r="RBT3" s="419" t="s">
        <v>23</v>
      </c>
      <c r="RBU3" s="420"/>
      <c r="RBV3" s="420"/>
      <c r="RBW3" s="420"/>
      <c r="RBX3" s="419" t="s">
        <v>23</v>
      </c>
      <c r="RBY3" s="420"/>
      <c r="RBZ3" s="420"/>
      <c r="RCA3" s="420"/>
      <c r="RCB3" s="419" t="s">
        <v>23</v>
      </c>
      <c r="RCC3" s="420"/>
      <c r="RCD3" s="420"/>
      <c r="RCE3" s="420"/>
      <c r="RCF3" s="419" t="s">
        <v>23</v>
      </c>
      <c r="RCG3" s="420"/>
      <c r="RCH3" s="420"/>
      <c r="RCI3" s="420"/>
      <c r="RCJ3" s="419" t="s">
        <v>23</v>
      </c>
      <c r="RCK3" s="420"/>
      <c r="RCL3" s="420"/>
      <c r="RCM3" s="420"/>
      <c r="RCN3" s="419" t="s">
        <v>23</v>
      </c>
      <c r="RCO3" s="420"/>
      <c r="RCP3" s="420"/>
      <c r="RCQ3" s="420"/>
      <c r="RCR3" s="419" t="s">
        <v>23</v>
      </c>
      <c r="RCS3" s="420"/>
      <c r="RCT3" s="420"/>
      <c r="RCU3" s="420"/>
      <c r="RCV3" s="419" t="s">
        <v>23</v>
      </c>
      <c r="RCW3" s="420"/>
      <c r="RCX3" s="420"/>
      <c r="RCY3" s="420"/>
      <c r="RCZ3" s="419" t="s">
        <v>23</v>
      </c>
      <c r="RDA3" s="420"/>
      <c r="RDB3" s="420"/>
      <c r="RDC3" s="420"/>
      <c r="RDD3" s="419" t="s">
        <v>23</v>
      </c>
      <c r="RDE3" s="420"/>
      <c r="RDF3" s="420"/>
      <c r="RDG3" s="420"/>
      <c r="RDH3" s="419" t="s">
        <v>23</v>
      </c>
      <c r="RDI3" s="420"/>
      <c r="RDJ3" s="420"/>
      <c r="RDK3" s="420"/>
      <c r="RDL3" s="419" t="s">
        <v>23</v>
      </c>
      <c r="RDM3" s="420"/>
      <c r="RDN3" s="420"/>
      <c r="RDO3" s="420"/>
      <c r="RDP3" s="419" t="s">
        <v>23</v>
      </c>
      <c r="RDQ3" s="420"/>
      <c r="RDR3" s="420"/>
      <c r="RDS3" s="420"/>
      <c r="RDT3" s="419" t="s">
        <v>23</v>
      </c>
      <c r="RDU3" s="420"/>
      <c r="RDV3" s="420"/>
      <c r="RDW3" s="420"/>
      <c r="RDX3" s="419" t="s">
        <v>23</v>
      </c>
      <c r="RDY3" s="420"/>
      <c r="RDZ3" s="420"/>
      <c r="REA3" s="420"/>
      <c r="REB3" s="419" t="s">
        <v>23</v>
      </c>
      <c r="REC3" s="420"/>
      <c r="RED3" s="420"/>
      <c r="REE3" s="420"/>
      <c r="REF3" s="419" t="s">
        <v>23</v>
      </c>
      <c r="REG3" s="420"/>
      <c r="REH3" s="420"/>
      <c r="REI3" s="420"/>
      <c r="REJ3" s="419" t="s">
        <v>23</v>
      </c>
      <c r="REK3" s="420"/>
      <c r="REL3" s="420"/>
      <c r="REM3" s="420"/>
      <c r="REN3" s="419" t="s">
        <v>23</v>
      </c>
      <c r="REO3" s="420"/>
      <c r="REP3" s="420"/>
      <c r="REQ3" s="420"/>
      <c r="RER3" s="419" t="s">
        <v>23</v>
      </c>
      <c r="RES3" s="420"/>
      <c r="RET3" s="420"/>
      <c r="REU3" s="420"/>
      <c r="REV3" s="419" t="s">
        <v>23</v>
      </c>
      <c r="REW3" s="420"/>
      <c r="REX3" s="420"/>
      <c r="REY3" s="420"/>
      <c r="REZ3" s="419" t="s">
        <v>23</v>
      </c>
      <c r="RFA3" s="420"/>
      <c r="RFB3" s="420"/>
      <c r="RFC3" s="420"/>
      <c r="RFD3" s="419" t="s">
        <v>23</v>
      </c>
      <c r="RFE3" s="420"/>
      <c r="RFF3" s="420"/>
      <c r="RFG3" s="420"/>
      <c r="RFH3" s="419" t="s">
        <v>23</v>
      </c>
      <c r="RFI3" s="420"/>
      <c r="RFJ3" s="420"/>
      <c r="RFK3" s="420"/>
      <c r="RFL3" s="419" t="s">
        <v>23</v>
      </c>
      <c r="RFM3" s="420"/>
      <c r="RFN3" s="420"/>
      <c r="RFO3" s="420"/>
      <c r="RFP3" s="419" t="s">
        <v>23</v>
      </c>
      <c r="RFQ3" s="420"/>
      <c r="RFR3" s="420"/>
      <c r="RFS3" s="420"/>
      <c r="RFT3" s="419" t="s">
        <v>23</v>
      </c>
      <c r="RFU3" s="420"/>
      <c r="RFV3" s="420"/>
      <c r="RFW3" s="420"/>
      <c r="RFX3" s="419" t="s">
        <v>23</v>
      </c>
      <c r="RFY3" s="420"/>
      <c r="RFZ3" s="420"/>
      <c r="RGA3" s="420"/>
      <c r="RGB3" s="419" t="s">
        <v>23</v>
      </c>
      <c r="RGC3" s="420"/>
      <c r="RGD3" s="420"/>
      <c r="RGE3" s="420"/>
      <c r="RGF3" s="419" t="s">
        <v>23</v>
      </c>
      <c r="RGG3" s="420"/>
      <c r="RGH3" s="420"/>
      <c r="RGI3" s="420"/>
      <c r="RGJ3" s="419" t="s">
        <v>23</v>
      </c>
      <c r="RGK3" s="420"/>
      <c r="RGL3" s="420"/>
      <c r="RGM3" s="420"/>
      <c r="RGN3" s="419" t="s">
        <v>23</v>
      </c>
      <c r="RGO3" s="420"/>
      <c r="RGP3" s="420"/>
      <c r="RGQ3" s="420"/>
      <c r="RGR3" s="419" t="s">
        <v>23</v>
      </c>
      <c r="RGS3" s="420"/>
      <c r="RGT3" s="420"/>
      <c r="RGU3" s="420"/>
      <c r="RGV3" s="419" t="s">
        <v>23</v>
      </c>
      <c r="RGW3" s="420"/>
      <c r="RGX3" s="420"/>
      <c r="RGY3" s="420"/>
      <c r="RGZ3" s="419" t="s">
        <v>23</v>
      </c>
      <c r="RHA3" s="420"/>
      <c r="RHB3" s="420"/>
      <c r="RHC3" s="420"/>
      <c r="RHD3" s="419" t="s">
        <v>23</v>
      </c>
      <c r="RHE3" s="420"/>
      <c r="RHF3" s="420"/>
      <c r="RHG3" s="420"/>
      <c r="RHH3" s="419" t="s">
        <v>23</v>
      </c>
      <c r="RHI3" s="420"/>
      <c r="RHJ3" s="420"/>
      <c r="RHK3" s="420"/>
      <c r="RHL3" s="419" t="s">
        <v>23</v>
      </c>
      <c r="RHM3" s="420"/>
      <c r="RHN3" s="420"/>
      <c r="RHO3" s="420"/>
      <c r="RHP3" s="419" t="s">
        <v>23</v>
      </c>
      <c r="RHQ3" s="420"/>
      <c r="RHR3" s="420"/>
      <c r="RHS3" s="420"/>
      <c r="RHT3" s="419" t="s">
        <v>23</v>
      </c>
      <c r="RHU3" s="420"/>
      <c r="RHV3" s="420"/>
      <c r="RHW3" s="420"/>
      <c r="RHX3" s="419" t="s">
        <v>23</v>
      </c>
      <c r="RHY3" s="420"/>
      <c r="RHZ3" s="420"/>
      <c r="RIA3" s="420"/>
      <c r="RIB3" s="419" t="s">
        <v>23</v>
      </c>
      <c r="RIC3" s="420"/>
      <c r="RID3" s="420"/>
      <c r="RIE3" s="420"/>
      <c r="RIF3" s="419" t="s">
        <v>23</v>
      </c>
      <c r="RIG3" s="420"/>
      <c r="RIH3" s="420"/>
      <c r="RII3" s="420"/>
      <c r="RIJ3" s="419" t="s">
        <v>23</v>
      </c>
      <c r="RIK3" s="420"/>
      <c r="RIL3" s="420"/>
      <c r="RIM3" s="420"/>
      <c r="RIN3" s="419" t="s">
        <v>23</v>
      </c>
      <c r="RIO3" s="420"/>
      <c r="RIP3" s="420"/>
      <c r="RIQ3" s="420"/>
      <c r="RIR3" s="419" t="s">
        <v>23</v>
      </c>
      <c r="RIS3" s="420"/>
      <c r="RIT3" s="420"/>
      <c r="RIU3" s="420"/>
      <c r="RIV3" s="419" t="s">
        <v>23</v>
      </c>
      <c r="RIW3" s="420"/>
      <c r="RIX3" s="420"/>
      <c r="RIY3" s="420"/>
      <c r="RIZ3" s="419" t="s">
        <v>23</v>
      </c>
      <c r="RJA3" s="420"/>
      <c r="RJB3" s="420"/>
      <c r="RJC3" s="420"/>
      <c r="RJD3" s="419" t="s">
        <v>23</v>
      </c>
      <c r="RJE3" s="420"/>
      <c r="RJF3" s="420"/>
      <c r="RJG3" s="420"/>
      <c r="RJH3" s="419" t="s">
        <v>23</v>
      </c>
      <c r="RJI3" s="420"/>
      <c r="RJJ3" s="420"/>
      <c r="RJK3" s="420"/>
      <c r="RJL3" s="419" t="s">
        <v>23</v>
      </c>
      <c r="RJM3" s="420"/>
      <c r="RJN3" s="420"/>
      <c r="RJO3" s="420"/>
      <c r="RJP3" s="419" t="s">
        <v>23</v>
      </c>
      <c r="RJQ3" s="420"/>
      <c r="RJR3" s="420"/>
      <c r="RJS3" s="420"/>
      <c r="RJT3" s="419" t="s">
        <v>23</v>
      </c>
      <c r="RJU3" s="420"/>
      <c r="RJV3" s="420"/>
      <c r="RJW3" s="420"/>
      <c r="RJX3" s="419" t="s">
        <v>23</v>
      </c>
      <c r="RJY3" s="420"/>
      <c r="RJZ3" s="420"/>
      <c r="RKA3" s="420"/>
      <c r="RKB3" s="419" t="s">
        <v>23</v>
      </c>
      <c r="RKC3" s="420"/>
      <c r="RKD3" s="420"/>
      <c r="RKE3" s="420"/>
      <c r="RKF3" s="419" t="s">
        <v>23</v>
      </c>
      <c r="RKG3" s="420"/>
      <c r="RKH3" s="420"/>
      <c r="RKI3" s="420"/>
      <c r="RKJ3" s="419" t="s">
        <v>23</v>
      </c>
      <c r="RKK3" s="420"/>
      <c r="RKL3" s="420"/>
      <c r="RKM3" s="420"/>
      <c r="RKN3" s="419" t="s">
        <v>23</v>
      </c>
      <c r="RKO3" s="420"/>
      <c r="RKP3" s="420"/>
      <c r="RKQ3" s="420"/>
      <c r="RKR3" s="419" t="s">
        <v>23</v>
      </c>
      <c r="RKS3" s="420"/>
      <c r="RKT3" s="420"/>
      <c r="RKU3" s="420"/>
      <c r="RKV3" s="419" t="s">
        <v>23</v>
      </c>
      <c r="RKW3" s="420"/>
      <c r="RKX3" s="420"/>
      <c r="RKY3" s="420"/>
      <c r="RKZ3" s="419" t="s">
        <v>23</v>
      </c>
      <c r="RLA3" s="420"/>
      <c r="RLB3" s="420"/>
      <c r="RLC3" s="420"/>
      <c r="RLD3" s="419" t="s">
        <v>23</v>
      </c>
      <c r="RLE3" s="420"/>
      <c r="RLF3" s="420"/>
      <c r="RLG3" s="420"/>
      <c r="RLH3" s="419" t="s">
        <v>23</v>
      </c>
      <c r="RLI3" s="420"/>
      <c r="RLJ3" s="420"/>
      <c r="RLK3" s="420"/>
      <c r="RLL3" s="419" t="s">
        <v>23</v>
      </c>
      <c r="RLM3" s="420"/>
      <c r="RLN3" s="420"/>
      <c r="RLO3" s="420"/>
      <c r="RLP3" s="419" t="s">
        <v>23</v>
      </c>
      <c r="RLQ3" s="420"/>
      <c r="RLR3" s="420"/>
      <c r="RLS3" s="420"/>
      <c r="RLT3" s="419" t="s">
        <v>23</v>
      </c>
      <c r="RLU3" s="420"/>
      <c r="RLV3" s="420"/>
      <c r="RLW3" s="420"/>
      <c r="RLX3" s="419" t="s">
        <v>23</v>
      </c>
      <c r="RLY3" s="420"/>
      <c r="RLZ3" s="420"/>
      <c r="RMA3" s="420"/>
      <c r="RMB3" s="419" t="s">
        <v>23</v>
      </c>
      <c r="RMC3" s="420"/>
      <c r="RMD3" s="420"/>
      <c r="RME3" s="420"/>
      <c r="RMF3" s="419" t="s">
        <v>23</v>
      </c>
      <c r="RMG3" s="420"/>
      <c r="RMH3" s="420"/>
      <c r="RMI3" s="420"/>
      <c r="RMJ3" s="419" t="s">
        <v>23</v>
      </c>
      <c r="RMK3" s="420"/>
      <c r="RML3" s="420"/>
      <c r="RMM3" s="420"/>
      <c r="RMN3" s="419" t="s">
        <v>23</v>
      </c>
      <c r="RMO3" s="420"/>
      <c r="RMP3" s="420"/>
      <c r="RMQ3" s="420"/>
      <c r="RMR3" s="419" t="s">
        <v>23</v>
      </c>
      <c r="RMS3" s="420"/>
      <c r="RMT3" s="420"/>
      <c r="RMU3" s="420"/>
      <c r="RMV3" s="419" t="s">
        <v>23</v>
      </c>
      <c r="RMW3" s="420"/>
      <c r="RMX3" s="420"/>
      <c r="RMY3" s="420"/>
      <c r="RMZ3" s="419" t="s">
        <v>23</v>
      </c>
      <c r="RNA3" s="420"/>
      <c r="RNB3" s="420"/>
      <c r="RNC3" s="420"/>
      <c r="RND3" s="419" t="s">
        <v>23</v>
      </c>
      <c r="RNE3" s="420"/>
      <c r="RNF3" s="420"/>
      <c r="RNG3" s="420"/>
      <c r="RNH3" s="419" t="s">
        <v>23</v>
      </c>
      <c r="RNI3" s="420"/>
      <c r="RNJ3" s="420"/>
      <c r="RNK3" s="420"/>
      <c r="RNL3" s="419" t="s">
        <v>23</v>
      </c>
      <c r="RNM3" s="420"/>
      <c r="RNN3" s="420"/>
      <c r="RNO3" s="420"/>
      <c r="RNP3" s="419" t="s">
        <v>23</v>
      </c>
      <c r="RNQ3" s="420"/>
      <c r="RNR3" s="420"/>
      <c r="RNS3" s="420"/>
      <c r="RNT3" s="419" t="s">
        <v>23</v>
      </c>
      <c r="RNU3" s="420"/>
      <c r="RNV3" s="420"/>
      <c r="RNW3" s="420"/>
      <c r="RNX3" s="419" t="s">
        <v>23</v>
      </c>
      <c r="RNY3" s="420"/>
      <c r="RNZ3" s="420"/>
      <c r="ROA3" s="420"/>
      <c r="ROB3" s="419" t="s">
        <v>23</v>
      </c>
      <c r="ROC3" s="420"/>
      <c r="ROD3" s="420"/>
      <c r="ROE3" s="420"/>
      <c r="ROF3" s="419" t="s">
        <v>23</v>
      </c>
      <c r="ROG3" s="420"/>
      <c r="ROH3" s="420"/>
      <c r="ROI3" s="420"/>
      <c r="ROJ3" s="419" t="s">
        <v>23</v>
      </c>
      <c r="ROK3" s="420"/>
      <c r="ROL3" s="420"/>
      <c r="ROM3" s="420"/>
      <c r="RON3" s="419" t="s">
        <v>23</v>
      </c>
      <c r="ROO3" s="420"/>
      <c r="ROP3" s="420"/>
      <c r="ROQ3" s="420"/>
      <c r="ROR3" s="419" t="s">
        <v>23</v>
      </c>
      <c r="ROS3" s="420"/>
      <c r="ROT3" s="420"/>
      <c r="ROU3" s="420"/>
      <c r="ROV3" s="419" t="s">
        <v>23</v>
      </c>
      <c r="ROW3" s="420"/>
      <c r="ROX3" s="420"/>
      <c r="ROY3" s="420"/>
      <c r="ROZ3" s="419" t="s">
        <v>23</v>
      </c>
      <c r="RPA3" s="420"/>
      <c r="RPB3" s="420"/>
      <c r="RPC3" s="420"/>
      <c r="RPD3" s="419" t="s">
        <v>23</v>
      </c>
      <c r="RPE3" s="420"/>
      <c r="RPF3" s="420"/>
      <c r="RPG3" s="420"/>
      <c r="RPH3" s="419" t="s">
        <v>23</v>
      </c>
      <c r="RPI3" s="420"/>
      <c r="RPJ3" s="420"/>
      <c r="RPK3" s="420"/>
      <c r="RPL3" s="419" t="s">
        <v>23</v>
      </c>
      <c r="RPM3" s="420"/>
      <c r="RPN3" s="420"/>
      <c r="RPO3" s="420"/>
      <c r="RPP3" s="419" t="s">
        <v>23</v>
      </c>
      <c r="RPQ3" s="420"/>
      <c r="RPR3" s="420"/>
      <c r="RPS3" s="420"/>
      <c r="RPT3" s="419" t="s">
        <v>23</v>
      </c>
      <c r="RPU3" s="420"/>
      <c r="RPV3" s="420"/>
      <c r="RPW3" s="420"/>
      <c r="RPX3" s="419" t="s">
        <v>23</v>
      </c>
      <c r="RPY3" s="420"/>
      <c r="RPZ3" s="420"/>
      <c r="RQA3" s="420"/>
      <c r="RQB3" s="419" t="s">
        <v>23</v>
      </c>
      <c r="RQC3" s="420"/>
      <c r="RQD3" s="420"/>
      <c r="RQE3" s="420"/>
      <c r="RQF3" s="419" t="s">
        <v>23</v>
      </c>
      <c r="RQG3" s="420"/>
      <c r="RQH3" s="420"/>
      <c r="RQI3" s="420"/>
      <c r="RQJ3" s="419" t="s">
        <v>23</v>
      </c>
      <c r="RQK3" s="420"/>
      <c r="RQL3" s="420"/>
      <c r="RQM3" s="420"/>
      <c r="RQN3" s="419" t="s">
        <v>23</v>
      </c>
      <c r="RQO3" s="420"/>
      <c r="RQP3" s="420"/>
      <c r="RQQ3" s="420"/>
      <c r="RQR3" s="419" t="s">
        <v>23</v>
      </c>
      <c r="RQS3" s="420"/>
      <c r="RQT3" s="420"/>
      <c r="RQU3" s="420"/>
      <c r="RQV3" s="419" t="s">
        <v>23</v>
      </c>
      <c r="RQW3" s="420"/>
      <c r="RQX3" s="420"/>
      <c r="RQY3" s="420"/>
      <c r="RQZ3" s="419" t="s">
        <v>23</v>
      </c>
      <c r="RRA3" s="420"/>
      <c r="RRB3" s="420"/>
      <c r="RRC3" s="420"/>
      <c r="RRD3" s="419" t="s">
        <v>23</v>
      </c>
      <c r="RRE3" s="420"/>
      <c r="RRF3" s="420"/>
      <c r="RRG3" s="420"/>
      <c r="RRH3" s="419" t="s">
        <v>23</v>
      </c>
      <c r="RRI3" s="420"/>
      <c r="RRJ3" s="420"/>
      <c r="RRK3" s="420"/>
      <c r="RRL3" s="419" t="s">
        <v>23</v>
      </c>
      <c r="RRM3" s="420"/>
      <c r="RRN3" s="420"/>
      <c r="RRO3" s="420"/>
      <c r="RRP3" s="419" t="s">
        <v>23</v>
      </c>
      <c r="RRQ3" s="420"/>
      <c r="RRR3" s="420"/>
      <c r="RRS3" s="420"/>
      <c r="RRT3" s="419" t="s">
        <v>23</v>
      </c>
      <c r="RRU3" s="420"/>
      <c r="RRV3" s="420"/>
      <c r="RRW3" s="420"/>
      <c r="RRX3" s="419" t="s">
        <v>23</v>
      </c>
      <c r="RRY3" s="420"/>
      <c r="RRZ3" s="420"/>
      <c r="RSA3" s="420"/>
      <c r="RSB3" s="419" t="s">
        <v>23</v>
      </c>
      <c r="RSC3" s="420"/>
      <c r="RSD3" s="420"/>
      <c r="RSE3" s="420"/>
      <c r="RSF3" s="419" t="s">
        <v>23</v>
      </c>
      <c r="RSG3" s="420"/>
      <c r="RSH3" s="420"/>
      <c r="RSI3" s="420"/>
      <c r="RSJ3" s="419" t="s">
        <v>23</v>
      </c>
      <c r="RSK3" s="420"/>
      <c r="RSL3" s="420"/>
      <c r="RSM3" s="420"/>
      <c r="RSN3" s="419" t="s">
        <v>23</v>
      </c>
      <c r="RSO3" s="420"/>
      <c r="RSP3" s="420"/>
      <c r="RSQ3" s="420"/>
      <c r="RSR3" s="419" t="s">
        <v>23</v>
      </c>
      <c r="RSS3" s="420"/>
      <c r="RST3" s="420"/>
      <c r="RSU3" s="420"/>
      <c r="RSV3" s="419" t="s">
        <v>23</v>
      </c>
      <c r="RSW3" s="420"/>
      <c r="RSX3" s="420"/>
      <c r="RSY3" s="420"/>
      <c r="RSZ3" s="419" t="s">
        <v>23</v>
      </c>
      <c r="RTA3" s="420"/>
      <c r="RTB3" s="420"/>
      <c r="RTC3" s="420"/>
      <c r="RTD3" s="419" t="s">
        <v>23</v>
      </c>
      <c r="RTE3" s="420"/>
      <c r="RTF3" s="420"/>
      <c r="RTG3" s="420"/>
      <c r="RTH3" s="419" t="s">
        <v>23</v>
      </c>
      <c r="RTI3" s="420"/>
      <c r="RTJ3" s="420"/>
      <c r="RTK3" s="420"/>
      <c r="RTL3" s="419" t="s">
        <v>23</v>
      </c>
      <c r="RTM3" s="420"/>
      <c r="RTN3" s="420"/>
      <c r="RTO3" s="420"/>
      <c r="RTP3" s="419" t="s">
        <v>23</v>
      </c>
      <c r="RTQ3" s="420"/>
      <c r="RTR3" s="420"/>
      <c r="RTS3" s="420"/>
      <c r="RTT3" s="419" t="s">
        <v>23</v>
      </c>
      <c r="RTU3" s="420"/>
      <c r="RTV3" s="420"/>
      <c r="RTW3" s="420"/>
      <c r="RTX3" s="419" t="s">
        <v>23</v>
      </c>
      <c r="RTY3" s="420"/>
      <c r="RTZ3" s="420"/>
      <c r="RUA3" s="420"/>
      <c r="RUB3" s="419" t="s">
        <v>23</v>
      </c>
      <c r="RUC3" s="420"/>
      <c r="RUD3" s="420"/>
      <c r="RUE3" s="420"/>
      <c r="RUF3" s="419" t="s">
        <v>23</v>
      </c>
      <c r="RUG3" s="420"/>
      <c r="RUH3" s="420"/>
      <c r="RUI3" s="420"/>
      <c r="RUJ3" s="419" t="s">
        <v>23</v>
      </c>
      <c r="RUK3" s="420"/>
      <c r="RUL3" s="420"/>
      <c r="RUM3" s="420"/>
      <c r="RUN3" s="419" t="s">
        <v>23</v>
      </c>
      <c r="RUO3" s="420"/>
      <c r="RUP3" s="420"/>
      <c r="RUQ3" s="420"/>
      <c r="RUR3" s="419" t="s">
        <v>23</v>
      </c>
      <c r="RUS3" s="420"/>
      <c r="RUT3" s="420"/>
      <c r="RUU3" s="420"/>
      <c r="RUV3" s="419" t="s">
        <v>23</v>
      </c>
      <c r="RUW3" s="420"/>
      <c r="RUX3" s="420"/>
      <c r="RUY3" s="420"/>
      <c r="RUZ3" s="419" t="s">
        <v>23</v>
      </c>
      <c r="RVA3" s="420"/>
      <c r="RVB3" s="420"/>
      <c r="RVC3" s="420"/>
      <c r="RVD3" s="419" t="s">
        <v>23</v>
      </c>
      <c r="RVE3" s="420"/>
      <c r="RVF3" s="420"/>
      <c r="RVG3" s="420"/>
      <c r="RVH3" s="419" t="s">
        <v>23</v>
      </c>
      <c r="RVI3" s="420"/>
      <c r="RVJ3" s="420"/>
      <c r="RVK3" s="420"/>
      <c r="RVL3" s="419" t="s">
        <v>23</v>
      </c>
      <c r="RVM3" s="420"/>
      <c r="RVN3" s="420"/>
      <c r="RVO3" s="420"/>
      <c r="RVP3" s="419" t="s">
        <v>23</v>
      </c>
      <c r="RVQ3" s="420"/>
      <c r="RVR3" s="420"/>
      <c r="RVS3" s="420"/>
      <c r="RVT3" s="419" t="s">
        <v>23</v>
      </c>
      <c r="RVU3" s="420"/>
      <c r="RVV3" s="420"/>
      <c r="RVW3" s="420"/>
      <c r="RVX3" s="419" t="s">
        <v>23</v>
      </c>
      <c r="RVY3" s="420"/>
      <c r="RVZ3" s="420"/>
      <c r="RWA3" s="420"/>
      <c r="RWB3" s="419" t="s">
        <v>23</v>
      </c>
      <c r="RWC3" s="420"/>
      <c r="RWD3" s="420"/>
      <c r="RWE3" s="420"/>
      <c r="RWF3" s="419" t="s">
        <v>23</v>
      </c>
      <c r="RWG3" s="420"/>
      <c r="RWH3" s="420"/>
      <c r="RWI3" s="420"/>
      <c r="RWJ3" s="419" t="s">
        <v>23</v>
      </c>
      <c r="RWK3" s="420"/>
      <c r="RWL3" s="420"/>
      <c r="RWM3" s="420"/>
      <c r="RWN3" s="419" t="s">
        <v>23</v>
      </c>
      <c r="RWO3" s="420"/>
      <c r="RWP3" s="420"/>
      <c r="RWQ3" s="420"/>
      <c r="RWR3" s="419" t="s">
        <v>23</v>
      </c>
      <c r="RWS3" s="420"/>
      <c r="RWT3" s="420"/>
      <c r="RWU3" s="420"/>
      <c r="RWV3" s="419" t="s">
        <v>23</v>
      </c>
      <c r="RWW3" s="420"/>
      <c r="RWX3" s="420"/>
      <c r="RWY3" s="420"/>
      <c r="RWZ3" s="419" t="s">
        <v>23</v>
      </c>
      <c r="RXA3" s="420"/>
      <c r="RXB3" s="420"/>
      <c r="RXC3" s="420"/>
      <c r="RXD3" s="419" t="s">
        <v>23</v>
      </c>
      <c r="RXE3" s="420"/>
      <c r="RXF3" s="420"/>
      <c r="RXG3" s="420"/>
      <c r="RXH3" s="419" t="s">
        <v>23</v>
      </c>
      <c r="RXI3" s="420"/>
      <c r="RXJ3" s="420"/>
      <c r="RXK3" s="420"/>
      <c r="RXL3" s="419" t="s">
        <v>23</v>
      </c>
      <c r="RXM3" s="420"/>
      <c r="RXN3" s="420"/>
      <c r="RXO3" s="420"/>
      <c r="RXP3" s="419" t="s">
        <v>23</v>
      </c>
      <c r="RXQ3" s="420"/>
      <c r="RXR3" s="420"/>
      <c r="RXS3" s="420"/>
      <c r="RXT3" s="419" t="s">
        <v>23</v>
      </c>
      <c r="RXU3" s="420"/>
      <c r="RXV3" s="420"/>
      <c r="RXW3" s="420"/>
      <c r="RXX3" s="419" t="s">
        <v>23</v>
      </c>
      <c r="RXY3" s="420"/>
      <c r="RXZ3" s="420"/>
      <c r="RYA3" s="420"/>
      <c r="RYB3" s="419" t="s">
        <v>23</v>
      </c>
      <c r="RYC3" s="420"/>
      <c r="RYD3" s="420"/>
      <c r="RYE3" s="420"/>
      <c r="RYF3" s="419" t="s">
        <v>23</v>
      </c>
      <c r="RYG3" s="420"/>
      <c r="RYH3" s="420"/>
      <c r="RYI3" s="420"/>
      <c r="RYJ3" s="419" t="s">
        <v>23</v>
      </c>
      <c r="RYK3" s="420"/>
      <c r="RYL3" s="420"/>
      <c r="RYM3" s="420"/>
      <c r="RYN3" s="419" t="s">
        <v>23</v>
      </c>
      <c r="RYO3" s="420"/>
      <c r="RYP3" s="420"/>
      <c r="RYQ3" s="420"/>
      <c r="RYR3" s="419" t="s">
        <v>23</v>
      </c>
      <c r="RYS3" s="420"/>
      <c r="RYT3" s="420"/>
      <c r="RYU3" s="420"/>
      <c r="RYV3" s="419" t="s">
        <v>23</v>
      </c>
      <c r="RYW3" s="420"/>
      <c r="RYX3" s="420"/>
      <c r="RYY3" s="420"/>
      <c r="RYZ3" s="419" t="s">
        <v>23</v>
      </c>
      <c r="RZA3" s="420"/>
      <c r="RZB3" s="420"/>
      <c r="RZC3" s="420"/>
      <c r="RZD3" s="419" t="s">
        <v>23</v>
      </c>
      <c r="RZE3" s="420"/>
      <c r="RZF3" s="420"/>
      <c r="RZG3" s="420"/>
      <c r="RZH3" s="419" t="s">
        <v>23</v>
      </c>
      <c r="RZI3" s="420"/>
      <c r="RZJ3" s="420"/>
      <c r="RZK3" s="420"/>
      <c r="RZL3" s="419" t="s">
        <v>23</v>
      </c>
      <c r="RZM3" s="420"/>
      <c r="RZN3" s="420"/>
      <c r="RZO3" s="420"/>
      <c r="RZP3" s="419" t="s">
        <v>23</v>
      </c>
      <c r="RZQ3" s="420"/>
      <c r="RZR3" s="420"/>
      <c r="RZS3" s="420"/>
      <c r="RZT3" s="419" t="s">
        <v>23</v>
      </c>
      <c r="RZU3" s="420"/>
      <c r="RZV3" s="420"/>
      <c r="RZW3" s="420"/>
      <c r="RZX3" s="419" t="s">
        <v>23</v>
      </c>
      <c r="RZY3" s="420"/>
      <c r="RZZ3" s="420"/>
      <c r="SAA3" s="420"/>
      <c r="SAB3" s="419" t="s">
        <v>23</v>
      </c>
      <c r="SAC3" s="420"/>
      <c r="SAD3" s="420"/>
      <c r="SAE3" s="420"/>
      <c r="SAF3" s="419" t="s">
        <v>23</v>
      </c>
      <c r="SAG3" s="420"/>
      <c r="SAH3" s="420"/>
      <c r="SAI3" s="420"/>
      <c r="SAJ3" s="419" t="s">
        <v>23</v>
      </c>
      <c r="SAK3" s="420"/>
      <c r="SAL3" s="420"/>
      <c r="SAM3" s="420"/>
      <c r="SAN3" s="419" t="s">
        <v>23</v>
      </c>
      <c r="SAO3" s="420"/>
      <c r="SAP3" s="420"/>
      <c r="SAQ3" s="420"/>
      <c r="SAR3" s="419" t="s">
        <v>23</v>
      </c>
      <c r="SAS3" s="420"/>
      <c r="SAT3" s="420"/>
      <c r="SAU3" s="420"/>
      <c r="SAV3" s="419" t="s">
        <v>23</v>
      </c>
      <c r="SAW3" s="420"/>
      <c r="SAX3" s="420"/>
      <c r="SAY3" s="420"/>
      <c r="SAZ3" s="419" t="s">
        <v>23</v>
      </c>
      <c r="SBA3" s="420"/>
      <c r="SBB3" s="420"/>
      <c r="SBC3" s="420"/>
      <c r="SBD3" s="419" t="s">
        <v>23</v>
      </c>
      <c r="SBE3" s="420"/>
      <c r="SBF3" s="420"/>
      <c r="SBG3" s="420"/>
      <c r="SBH3" s="419" t="s">
        <v>23</v>
      </c>
      <c r="SBI3" s="420"/>
      <c r="SBJ3" s="420"/>
      <c r="SBK3" s="420"/>
      <c r="SBL3" s="419" t="s">
        <v>23</v>
      </c>
      <c r="SBM3" s="420"/>
      <c r="SBN3" s="420"/>
      <c r="SBO3" s="420"/>
      <c r="SBP3" s="419" t="s">
        <v>23</v>
      </c>
      <c r="SBQ3" s="420"/>
      <c r="SBR3" s="420"/>
      <c r="SBS3" s="420"/>
      <c r="SBT3" s="419" t="s">
        <v>23</v>
      </c>
      <c r="SBU3" s="420"/>
      <c r="SBV3" s="420"/>
      <c r="SBW3" s="420"/>
      <c r="SBX3" s="419" t="s">
        <v>23</v>
      </c>
      <c r="SBY3" s="420"/>
      <c r="SBZ3" s="420"/>
      <c r="SCA3" s="420"/>
      <c r="SCB3" s="419" t="s">
        <v>23</v>
      </c>
      <c r="SCC3" s="420"/>
      <c r="SCD3" s="420"/>
      <c r="SCE3" s="420"/>
      <c r="SCF3" s="419" t="s">
        <v>23</v>
      </c>
      <c r="SCG3" s="420"/>
      <c r="SCH3" s="420"/>
      <c r="SCI3" s="420"/>
      <c r="SCJ3" s="419" t="s">
        <v>23</v>
      </c>
      <c r="SCK3" s="420"/>
      <c r="SCL3" s="420"/>
      <c r="SCM3" s="420"/>
      <c r="SCN3" s="419" t="s">
        <v>23</v>
      </c>
      <c r="SCO3" s="420"/>
      <c r="SCP3" s="420"/>
      <c r="SCQ3" s="420"/>
      <c r="SCR3" s="419" t="s">
        <v>23</v>
      </c>
      <c r="SCS3" s="420"/>
      <c r="SCT3" s="420"/>
      <c r="SCU3" s="420"/>
      <c r="SCV3" s="419" t="s">
        <v>23</v>
      </c>
      <c r="SCW3" s="420"/>
      <c r="SCX3" s="420"/>
      <c r="SCY3" s="420"/>
      <c r="SCZ3" s="419" t="s">
        <v>23</v>
      </c>
      <c r="SDA3" s="420"/>
      <c r="SDB3" s="420"/>
      <c r="SDC3" s="420"/>
      <c r="SDD3" s="419" t="s">
        <v>23</v>
      </c>
      <c r="SDE3" s="420"/>
      <c r="SDF3" s="420"/>
      <c r="SDG3" s="420"/>
      <c r="SDH3" s="419" t="s">
        <v>23</v>
      </c>
      <c r="SDI3" s="420"/>
      <c r="SDJ3" s="420"/>
      <c r="SDK3" s="420"/>
      <c r="SDL3" s="419" t="s">
        <v>23</v>
      </c>
      <c r="SDM3" s="420"/>
      <c r="SDN3" s="420"/>
      <c r="SDO3" s="420"/>
      <c r="SDP3" s="419" t="s">
        <v>23</v>
      </c>
      <c r="SDQ3" s="420"/>
      <c r="SDR3" s="420"/>
      <c r="SDS3" s="420"/>
      <c r="SDT3" s="419" t="s">
        <v>23</v>
      </c>
      <c r="SDU3" s="420"/>
      <c r="SDV3" s="420"/>
      <c r="SDW3" s="420"/>
      <c r="SDX3" s="419" t="s">
        <v>23</v>
      </c>
      <c r="SDY3" s="420"/>
      <c r="SDZ3" s="420"/>
      <c r="SEA3" s="420"/>
      <c r="SEB3" s="419" t="s">
        <v>23</v>
      </c>
      <c r="SEC3" s="420"/>
      <c r="SED3" s="420"/>
      <c r="SEE3" s="420"/>
      <c r="SEF3" s="419" t="s">
        <v>23</v>
      </c>
      <c r="SEG3" s="420"/>
      <c r="SEH3" s="420"/>
      <c r="SEI3" s="420"/>
      <c r="SEJ3" s="419" t="s">
        <v>23</v>
      </c>
      <c r="SEK3" s="420"/>
      <c r="SEL3" s="420"/>
      <c r="SEM3" s="420"/>
      <c r="SEN3" s="419" t="s">
        <v>23</v>
      </c>
      <c r="SEO3" s="420"/>
      <c r="SEP3" s="420"/>
      <c r="SEQ3" s="420"/>
      <c r="SER3" s="419" t="s">
        <v>23</v>
      </c>
      <c r="SES3" s="420"/>
      <c r="SET3" s="420"/>
      <c r="SEU3" s="420"/>
      <c r="SEV3" s="419" t="s">
        <v>23</v>
      </c>
      <c r="SEW3" s="420"/>
      <c r="SEX3" s="420"/>
      <c r="SEY3" s="420"/>
      <c r="SEZ3" s="419" t="s">
        <v>23</v>
      </c>
      <c r="SFA3" s="420"/>
      <c r="SFB3" s="420"/>
      <c r="SFC3" s="420"/>
      <c r="SFD3" s="419" t="s">
        <v>23</v>
      </c>
      <c r="SFE3" s="420"/>
      <c r="SFF3" s="420"/>
      <c r="SFG3" s="420"/>
      <c r="SFH3" s="419" t="s">
        <v>23</v>
      </c>
      <c r="SFI3" s="420"/>
      <c r="SFJ3" s="420"/>
      <c r="SFK3" s="420"/>
      <c r="SFL3" s="419" t="s">
        <v>23</v>
      </c>
      <c r="SFM3" s="420"/>
      <c r="SFN3" s="420"/>
      <c r="SFO3" s="420"/>
      <c r="SFP3" s="419" t="s">
        <v>23</v>
      </c>
      <c r="SFQ3" s="420"/>
      <c r="SFR3" s="420"/>
      <c r="SFS3" s="420"/>
      <c r="SFT3" s="419" t="s">
        <v>23</v>
      </c>
      <c r="SFU3" s="420"/>
      <c r="SFV3" s="420"/>
      <c r="SFW3" s="420"/>
      <c r="SFX3" s="419" t="s">
        <v>23</v>
      </c>
      <c r="SFY3" s="420"/>
      <c r="SFZ3" s="420"/>
      <c r="SGA3" s="420"/>
      <c r="SGB3" s="419" t="s">
        <v>23</v>
      </c>
      <c r="SGC3" s="420"/>
      <c r="SGD3" s="420"/>
      <c r="SGE3" s="420"/>
      <c r="SGF3" s="419" t="s">
        <v>23</v>
      </c>
      <c r="SGG3" s="420"/>
      <c r="SGH3" s="420"/>
      <c r="SGI3" s="420"/>
      <c r="SGJ3" s="419" t="s">
        <v>23</v>
      </c>
      <c r="SGK3" s="420"/>
      <c r="SGL3" s="420"/>
      <c r="SGM3" s="420"/>
      <c r="SGN3" s="419" t="s">
        <v>23</v>
      </c>
      <c r="SGO3" s="420"/>
      <c r="SGP3" s="420"/>
      <c r="SGQ3" s="420"/>
      <c r="SGR3" s="419" t="s">
        <v>23</v>
      </c>
      <c r="SGS3" s="420"/>
      <c r="SGT3" s="420"/>
      <c r="SGU3" s="420"/>
      <c r="SGV3" s="419" t="s">
        <v>23</v>
      </c>
      <c r="SGW3" s="420"/>
      <c r="SGX3" s="420"/>
      <c r="SGY3" s="420"/>
      <c r="SGZ3" s="419" t="s">
        <v>23</v>
      </c>
      <c r="SHA3" s="420"/>
      <c r="SHB3" s="420"/>
      <c r="SHC3" s="420"/>
      <c r="SHD3" s="419" t="s">
        <v>23</v>
      </c>
      <c r="SHE3" s="420"/>
      <c r="SHF3" s="420"/>
      <c r="SHG3" s="420"/>
      <c r="SHH3" s="419" t="s">
        <v>23</v>
      </c>
      <c r="SHI3" s="420"/>
      <c r="SHJ3" s="420"/>
      <c r="SHK3" s="420"/>
      <c r="SHL3" s="419" t="s">
        <v>23</v>
      </c>
      <c r="SHM3" s="420"/>
      <c r="SHN3" s="420"/>
      <c r="SHO3" s="420"/>
      <c r="SHP3" s="419" t="s">
        <v>23</v>
      </c>
      <c r="SHQ3" s="420"/>
      <c r="SHR3" s="420"/>
      <c r="SHS3" s="420"/>
      <c r="SHT3" s="419" t="s">
        <v>23</v>
      </c>
      <c r="SHU3" s="420"/>
      <c r="SHV3" s="420"/>
      <c r="SHW3" s="420"/>
      <c r="SHX3" s="419" t="s">
        <v>23</v>
      </c>
      <c r="SHY3" s="420"/>
      <c r="SHZ3" s="420"/>
      <c r="SIA3" s="420"/>
      <c r="SIB3" s="419" t="s">
        <v>23</v>
      </c>
      <c r="SIC3" s="420"/>
      <c r="SID3" s="420"/>
      <c r="SIE3" s="420"/>
      <c r="SIF3" s="419" t="s">
        <v>23</v>
      </c>
      <c r="SIG3" s="420"/>
      <c r="SIH3" s="420"/>
      <c r="SII3" s="420"/>
      <c r="SIJ3" s="419" t="s">
        <v>23</v>
      </c>
      <c r="SIK3" s="420"/>
      <c r="SIL3" s="420"/>
      <c r="SIM3" s="420"/>
      <c r="SIN3" s="419" t="s">
        <v>23</v>
      </c>
      <c r="SIO3" s="420"/>
      <c r="SIP3" s="420"/>
      <c r="SIQ3" s="420"/>
      <c r="SIR3" s="419" t="s">
        <v>23</v>
      </c>
      <c r="SIS3" s="420"/>
      <c r="SIT3" s="420"/>
      <c r="SIU3" s="420"/>
      <c r="SIV3" s="419" t="s">
        <v>23</v>
      </c>
      <c r="SIW3" s="420"/>
      <c r="SIX3" s="420"/>
      <c r="SIY3" s="420"/>
      <c r="SIZ3" s="419" t="s">
        <v>23</v>
      </c>
      <c r="SJA3" s="420"/>
      <c r="SJB3" s="420"/>
      <c r="SJC3" s="420"/>
      <c r="SJD3" s="419" t="s">
        <v>23</v>
      </c>
      <c r="SJE3" s="420"/>
      <c r="SJF3" s="420"/>
      <c r="SJG3" s="420"/>
      <c r="SJH3" s="419" t="s">
        <v>23</v>
      </c>
      <c r="SJI3" s="420"/>
      <c r="SJJ3" s="420"/>
      <c r="SJK3" s="420"/>
      <c r="SJL3" s="419" t="s">
        <v>23</v>
      </c>
      <c r="SJM3" s="420"/>
      <c r="SJN3" s="420"/>
      <c r="SJO3" s="420"/>
      <c r="SJP3" s="419" t="s">
        <v>23</v>
      </c>
      <c r="SJQ3" s="420"/>
      <c r="SJR3" s="420"/>
      <c r="SJS3" s="420"/>
      <c r="SJT3" s="419" t="s">
        <v>23</v>
      </c>
      <c r="SJU3" s="420"/>
      <c r="SJV3" s="420"/>
      <c r="SJW3" s="420"/>
      <c r="SJX3" s="419" t="s">
        <v>23</v>
      </c>
      <c r="SJY3" s="420"/>
      <c r="SJZ3" s="420"/>
      <c r="SKA3" s="420"/>
      <c r="SKB3" s="419" t="s">
        <v>23</v>
      </c>
      <c r="SKC3" s="420"/>
      <c r="SKD3" s="420"/>
      <c r="SKE3" s="420"/>
      <c r="SKF3" s="419" t="s">
        <v>23</v>
      </c>
      <c r="SKG3" s="420"/>
      <c r="SKH3" s="420"/>
      <c r="SKI3" s="420"/>
      <c r="SKJ3" s="419" t="s">
        <v>23</v>
      </c>
      <c r="SKK3" s="420"/>
      <c r="SKL3" s="420"/>
      <c r="SKM3" s="420"/>
      <c r="SKN3" s="419" t="s">
        <v>23</v>
      </c>
      <c r="SKO3" s="420"/>
      <c r="SKP3" s="420"/>
      <c r="SKQ3" s="420"/>
      <c r="SKR3" s="419" t="s">
        <v>23</v>
      </c>
      <c r="SKS3" s="420"/>
      <c r="SKT3" s="420"/>
      <c r="SKU3" s="420"/>
      <c r="SKV3" s="419" t="s">
        <v>23</v>
      </c>
      <c r="SKW3" s="420"/>
      <c r="SKX3" s="420"/>
      <c r="SKY3" s="420"/>
      <c r="SKZ3" s="419" t="s">
        <v>23</v>
      </c>
      <c r="SLA3" s="420"/>
      <c r="SLB3" s="420"/>
      <c r="SLC3" s="420"/>
      <c r="SLD3" s="419" t="s">
        <v>23</v>
      </c>
      <c r="SLE3" s="420"/>
      <c r="SLF3" s="420"/>
      <c r="SLG3" s="420"/>
      <c r="SLH3" s="419" t="s">
        <v>23</v>
      </c>
      <c r="SLI3" s="420"/>
      <c r="SLJ3" s="420"/>
      <c r="SLK3" s="420"/>
      <c r="SLL3" s="419" t="s">
        <v>23</v>
      </c>
      <c r="SLM3" s="420"/>
      <c r="SLN3" s="420"/>
      <c r="SLO3" s="420"/>
      <c r="SLP3" s="419" t="s">
        <v>23</v>
      </c>
      <c r="SLQ3" s="420"/>
      <c r="SLR3" s="420"/>
      <c r="SLS3" s="420"/>
      <c r="SLT3" s="419" t="s">
        <v>23</v>
      </c>
      <c r="SLU3" s="420"/>
      <c r="SLV3" s="420"/>
      <c r="SLW3" s="420"/>
      <c r="SLX3" s="419" t="s">
        <v>23</v>
      </c>
      <c r="SLY3" s="420"/>
      <c r="SLZ3" s="420"/>
      <c r="SMA3" s="420"/>
      <c r="SMB3" s="419" t="s">
        <v>23</v>
      </c>
      <c r="SMC3" s="420"/>
      <c r="SMD3" s="420"/>
      <c r="SME3" s="420"/>
      <c r="SMF3" s="419" t="s">
        <v>23</v>
      </c>
      <c r="SMG3" s="420"/>
      <c r="SMH3" s="420"/>
      <c r="SMI3" s="420"/>
      <c r="SMJ3" s="419" t="s">
        <v>23</v>
      </c>
      <c r="SMK3" s="420"/>
      <c r="SML3" s="420"/>
      <c r="SMM3" s="420"/>
      <c r="SMN3" s="419" t="s">
        <v>23</v>
      </c>
      <c r="SMO3" s="420"/>
      <c r="SMP3" s="420"/>
      <c r="SMQ3" s="420"/>
      <c r="SMR3" s="419" t="s">
        <v>23</v>
      </c>
      <c r="SMS3" s="420"/>
      <c r="SMT3" s="420"/>
      <c r="SMU3" s="420"/>
      <c r="SMV3" s="419" t="s">
        <v>23</v>
      </c>
      <c r="SMW3" s="420"/>
      <c r="SMX3" s="420"/>
      <c r="SMY3" s="420"/>
      <c r="SMZ3" s="419" t="s">
        <v>23</v>
      </c>
      <c r="SNA3" s="420"/>
      <c r="SNB3" s="420"/>
      <c r="SNC3" s="420"/>
      <c r="SND3" s="419" t="s">
        <v>23</v>
      </c>
      <c r="SNE3" s="420"/>
      <c r="SNF3" s="420"/>
      <c r="SNG3" s="420"/>
      <c r="SNH3" s="419" t="s">
        <v>23</v>
      </c>
      <c r="SNI3" s="420"/>
      <c r="SNJ3" s="420"/>
      <c r="SNK3" s="420"/>
      <c r="SNL3" s="419" t="s">
        <v>23</v>
      </c>
      <c r="SNM3" s="420"/>
      <c r="SNN3" s="420"/>
      <c r="SNO3" s="420"/>
      <c r="SNP3" s="419" t="s">
        <v>23</v>
      </c>
      <c r="SNQ3" s="420"/>
      <c r="SNR3" s="420"/>
      <c r="SNS3" s="420"/>
      <c r="SNT3" s="419" t="s">
        <v>23</v>
      </c>
      <c r="SNU3" s="420"/>
      <c r="SNV3" s="420"/>
      <c r="SNW3" s="420"/>
      <c r="SNX3" s="419" t="s">
        <v>23</v>
      </c>
      <c r="SNY3" s="420"/>
      <c r="SNZ3" s="420"/>
      <c r="SOA3" s="420"/>
      <c r="SOB3" s="419" t="s">
        <v>23</v>
      </c>
      <c r="SOC3" s="420"/>
      <c r="SOD3" s="420"/>
      <c r="SOE3" s="420"/>
      <c r="SOF3" s="419" t="s">
        <v>23</v>
      </c>
      <c r="SOG3" s="420"/>
      <c r="SOH3" s="420"/>
      <c r="SOI3" s="420"/>
      <c r="SOJ3" s="419" t="s">
        <v>23</v>
      </c>
      <c r="SOK3" s="420"/>
      <c r="SOL3" s="420"/>
      <c r="SOM3" s="420"/>
      <c r="SON3" s="419" t="s">
        <v>23</v>
      </c>
      <c r="SOO3" s="420"/>
      <c r="SOP3" s="420"/>
      <c r="SOQ3" s="420"/>
      <c r="SOR3" s="419" t="s">
        <v>23</v>
      </c>
      <c r="SOS3" s="420"/>
      <c r="SOT3" s="420"/>
      <c r="SOU3" s="420"/>
      <c r="SOV3" s="419" t="s">
        <v>23</v>
      </c>
      <c r="SOW3" s="420"/>
      <c r="SOX3" s="420"/>
      <c r="SOY3" s="420"/>
      <c r="SOZ3" s="419" t="s">
        <v>23</v>
      </c>
      <c r="SPA3" s="420"/>
      <c r="SPB3" s="420"/>
      <c r="SPC3" s="420"/>
      <c r="SPD3" s="419" t="s">
        <v>23</v>
      </c>
      <c r="SPE3" s="420"/>
      <c r="SPF3" s="420"/>
      <c r="SPG3" s="420"/>
      <c r="SPH3" s="419" t="s">
        <v>23</v>
      </c>
      <c r="SPI3" s="420"/>
      <c r="SPJ3" s="420"/>
      <c r="SPK3" s="420"/>
      <c r="SPL3" s="419" t="s">
        <v>23</v>
      </c>
      <c r="SPM3" s="420"/>
      <c r="SPN3" s="420"/>
      <c r="SPO3" s="420"/>
      <c r="SPP3" s="419" t="s">
        <v>23</v>
      </c>
      <c r="SPQ3" s="420"/>
      <c r="SPR3" s="420"/>
      <c r="SPS3" s="420"/>
      <c r="SPT3" s="419" t="s">
        <v>23</v>
      </c>
      <c r="SPU3" s="420"/>
      <c r="SPV3" s="420"/>
      <c r="SPW3" s="420"/>
      <c r="SPX3" s="419" t="s">
        <v>23</v>
      </c>
      <c r="SPY3" s="420"/>
      <c r="SPZ3" s="420"/>
      <c r="SQA3" s="420"/>
      <c r="SQB3" s="419" t="s">
        <v>23</v>
      </c>
      <c r="SQC3" s="420"/>
      <c r="SQD3" s="420"/>
      <c r="SQE3" s="420"/>
      <c r="SQF3" s="419" t="s">
        <v>23</v>
      </c>
      <c r="SQG3" s="420"/>
      <c r="SQH3" s="420"/>
      <c r="SQI3" s="420"/>
      <c r="SQJ3" s="419" t="s">
        <v>23</v>
      </c>
      <c r="SQK3" s="420"/>
      <c r="SQL3" s="420"/>
      <c r="SQM3" s="420"/>
      <c r="SQN3" s="419" t="s">
        <v>23</v>
      </c>
      <c r="SQO3" s="420"/>
      <c r="SQP3" s="420"/>
      <c r="SQQ3" s="420"/>
      <c r="SQR3" s="419" t="s">
        <v>23</v>
      </c>
      <c r="SQS3" s="420"/>
      <c r="SQT3" s="420"/>
      <c r="SQU3" s="420"/>
      <c r="SQV3" s="419" t="s">
        <v>23</v>
      </c>
      <c r="SQW3" s="420"/>
      <c r="SQX3" s="420"/>
      <c r="SQY3" s="420"/>
      <c r="SQZ3" s="419" t="s">
        <v>23</v>
      </c>
      <c r="SRA3" s="420"/>
      <c r="SRB3" s="420"/>
      <c r="SRC3" s="420"/>
      <c r="SRD3" s="419" t="s">
        <v>23</v>
      </c>
      <c r="SRE3" s="420"/>
      <c r="SRF3" s="420"/>
      <c r="SRG3" s="420"/>
      <c r="SRH3" s="419" t="s">
        <v>23</v>
      </c>
      <c r="SRI3" s="420"/>
      <c r="SRJ3" s="420"/>
      <c r="SRK3" s="420"/>
      <c r="SRL3" s="419" t="s">
        <v>23</v>
      </c>
      <c r="SRM3" s="420"/>
      <c r="SRN3" s="420"/>
      <c r="SRO3" s="420"/>
      <c r="SRP3" s="419" t="s">
        <v>23</v>
      </c>
      <c r="SRQ3" s="420"/>
      <c r="SRR3" s="420"/>
      <c r="SRS3" s="420"/>
      <c r="SRT3" s="419" t="s">
        <v>23</v>
      </c>
      <c r="SRU3" s="420"/>
      <c r="SRV3" s="420"/>
      <c r="SRW3" s="420"/>
      <c r="SRX3" s="419" t="s">
        <v>23</v>
      </c>
      <c r="SRY3" s="420"/>
      <c r="SRZ3" s="420"/>
      <c r="SSA3" s="420"/>
      <c r="SSB3" s="419" t="s">
        <v>23</v>
      </c>
      <c r="SSC3" s="420"/>
      <c r="SSD3" s="420"/>
      <c r="SSE3" s="420"/>
      <c r="SSF3" s="419" t="s">
        <v>23</v>
      </c>
      <c r="SSG3" s="420"/>
      <c r="SSH3" s="420"/>
      <c r="SSI3" s="420"/>
      <c r="SSJ3" s="419" t="s">
        <v>23</v>
      </c>
      <c r="SSK3" s="420"/>
      <c r="SSL3" s="420"/>
      <c r="SSM3" s="420"/>
      <c r="SSN3" s="419" t="s">
        <v>23</v>
      </c>
      <c r="SSO3" s="420"/>
      <c r="SSP3" s="420"/>
      <c r="SSQ3" s="420"/>
      <c r="SSR3" s="419" t="s">
        <v>23</v>
      </c>
      <c r="SSS3" s="420"/>
      <c r="SST3" s="420"/>
      <c r="SSU3" s="420"/>
      <c r="SSV3" s="419" t="s">
        <v>23</v>
      </c>
      <c r="SSW3" s="420"/>
      <c r="SSX3" s="420"/>
      <c r="SSY3" s="420"/>
      <c r="SSZ3" s="419" t="s">
        <v>23</v>
      </c>
      <c r="STA3" s="420"/>
      <c r="STB3" s="420"/>
      <c r="STC3" s="420"/>
      <c r="STD3" s="419" t="s">
        <v>23</v>
      </c>
      <c r="STE3" s="420"/>
      <c r="STF3" s="420"/>
      <c r="STG3" s="420"/>
      <c r="STH3" s="419" t="s">
        <v>23</v>
      </c>
      <c r="STI3" s="420"/>
      <c r="STJ3" s="420"/>
      <c r="STK3" s="420"/>
      <c r="STL3" s="419" t="s">
        <v>23</v>
      </c>
      <c r="STM3" s="420"/>
      <c r="STN3" s="420"/>
      <c r="STO3" s="420"/>
      <c r="STP3" s="419" t="s">
        <v>23</v>
      </c>
      <c r="STQ3" s="420"/>
      <c r="STR3" s="420"/>
      <c r="STS3" s="420"/>
      <c r="STT3" s="419" t="s">
        <v>23</v>
      </c>
      <c r="STU3" s="420"/>
      <c r="STV3" s="420"/>
      <c r="STW3" s="420"/>
      <c r="STX3" s="419" t="s">
        <v>23</v>
      </c>
      <c r="STY3" s="420"/>
      <c r="STZ3" s="420"/>
      <c r="SUA3" s="420"/>
      <c r="SUB3" s="419" t="s">
        <v>23</v>
      </c>
      <c r="SUC3" s="420"/>
      <c r="SUD3" s="420"/>
      <c r="SUE3" s="420"/>
      <c r="SUF3" s="419" t="s">
        <v>23</v>
      </c>
      <c r="SUG3" s="420"/>
      <c r="SUH3" s="420"/>
      <c r="SUI3" s="420"/>
      <c r="SUJ3" s="419" t="s">
        <v>23</v>
      </c>
      <c r="SUK3" s="420"/>
      <c r="SUL3" s="420"/>
      <c r="SUM3" s="420"/>
      <c r="SUN3" s="419" t="s">
        <v>23</v>
      </c>
      <c r="SUO3" s="420"/>
      <c r="SUP3" s="420"/>
      <c r="SUQ3" s="420"/>
      <c r="SUR3" s="419" t="s">
        <v>23</v>
      </c>
      <c r="SUS3" s="420"/>
      <c r="SUT3" s="420"/>
      <c r="SUU3" s="420"/>
      <c r="SUV3" s="419" t="s">
        <v>23</v>
      </c>
      <c r="SUW3" s="420"/>
      <c r="SUX3" s="420"/>
      <c r="SUY3" s="420"/>
      <c r="SUZ3" s="419" t="s">
        <v>23</v>
      </c>
      <c r="SVA3" s="420"/>
      <c r="SVB3" s="420"/>
      <c r="SVC3" s="420"/>
      <c r="SVD3" s="419" t="s">
        <v>23</v>
      </c>
      <c r="SVE3" s="420"/>
      <c r="SVF3" s="420"/>
      <c r="SVG3" s="420"/>
      <c r="SVH3" s="419" t="s">
        <v>23</v>
      </c>
      <c r="SVI3" s="420"/>
      <c r="SVJ3" s="420"/>
      <c r="SVK3" s="420"/>
      <c r="SVL3" s="419" t="s">
        <v>23</v>
      </c>
      <c r="SVM3" s="420"/>
      <c r="SVN3" s="420"/>
      <c r="SVO3" s="420"/>
      <c r="SVP3" s="419" t="s">
        <v>23</v>
      </c>
      <c r="SVQ3" s="420"/>
      <c r="SVR3" s="420"/>
      <c r="SVS3" s="420"/>
      <c r="SVT3" s="419" t="s">
        <v>23</v>
      </c>
      <c r="SVU3" s="420"/>
      <c r="SVV3" s="420"/>
      <c r="SVW3" s="420"/>
      <c r="SVX3" s="419" t="s">
        <v>23</v>
      </c>
      <c r="SVY3" s="420"/>
      <c r="SVZ3" s="420"/>
      <c r="SWA3" s="420"/>
      <c r="SWB3" s="419" t="s">
        <v>23</v>
      </c>
      <c r="SWC3" s="420"/>
      <c r="SWD3" s="420"/>
      <c r="SWE3" s="420"/>
      <c r="SWF3" s="419" t="s">
        <v>23</v>
      </c>
      <c r="SWG3" s="420"/>
      <c r="SWH3" s="420"/>
      <c r="SWI3" s="420"/>
      <c r="SWJ3" s="419" t="s">
        <v>23</v>
      </c>
      <c r="SWK3" s="420"/>
      <c r="SWL3" s="420"/>
      <c r="SWM3" s="420"/>
      <c r="SWN3" s="419" t="s">
        <v>23</v>
      </c>
      <c r="SWO3" s="420"/>
      <c r="SWP3" s="420"/>
      <c r="SWQ3" s="420"/>
      <c r="SWR3" s="419" t="s">
        <v>23</v>
      </c>
      <c r="SWS3" s="420"/>
      <c r="SWT3" s="420"/>
      <c r="SWU3" s="420"/>
      <c r="SWV3" s="419" t="s">
        <v>23</v>
      </c>
      <c r="SWW3" s="420"/>
      <c r="SWX3" s="420"/>
      <c r="SWY3" s="420"/>
      <c r="SWZ3" s="419" t="s">
        <v>23</v>
      </c>
      <c r="SXA3" s="420"/>
      <c r="SXB3" s="420"/>
      <c r="SXC3" s="420"/>
      <c r="SXD3" s="419" t="s">
        <v>23</v>
      </c>
      <c r="SXE3" s="420"/>
      <c r="SXF3" s="420"/>
      <c r="SXG3" s="420"/>
      <c r="SXH3" s="419" t="s">
        <v>23</v>
      </c>
      <c r="SXI3" s="420"/>
      <c r="SXJ3" s="420"/>
      <c r="SXK3" s="420"/>
      <c r="SXL3" s="419" t="s">
        <v>23</v>
      </c>
      <c r="SXM3" s="420"/>
      <c r="SXN3" s="420"/>
      <c r="SXO3" s="420"/>
      <c r="SXP3" s="419" t="s">
        <v>23</v>
      </c>
      <c r="SXQ3" s="420"/>
      <c r="SXR3" s="420"/>
      <c r="SXS3" s="420"/>
      <c r="SXT3" s="419" t="s">
        <v>23</v>
      </c>
      <c r="SXU3" s="420"/>
      <c r="SXV3" s="420"/>
      <c r="SXW3" s="420"/>
      <c r="SXX3" s="419" t="s">
        <v>23</v>
      </c>
      <c r="SXY3" s="420"/>
      <c r="SXZ3" s="420"/>
      <c r="SYA3" s="420"/>
      <c r="SYB3" s="419" t="s">
        <v>23</v>
      </c>
      <c r="SYC3" s="420"/>
      <c r="SYD3" s="420"/>
      <c r="SYE3" s="420"/>
      <c r="SYF3" s="419" t="s">
        <v>23</v>
      </c>
      <c r="SYG3" s="420"/>
      <c r="SYH3" s="420"/>
      <c r="SYI3" s="420"/>
      <c r="SYJ3" s="419" t="s">
        <v>23</v>
      </c>
      <c r="SYK3" s="420"/>
      <c r="SYL3" s="420"/>
      <c r="SYM3" s="420"/>
      <c r="SYN3" s="419" t="s">
        <v>23</v>
      </c>
      <c r="SYO3" s="420"/>
      <c r="SYP3" s="420"/>
      <c r="SYQ3" s="420"/>
      <c r="SYR3" s="419" t="s">
        <v>23</v>
      </c>
      <c r="SYS3" s="420"/>
      <c r="SYT3" s="420"/>
      <c r="SYU3" s="420"/>
      <c r="SYV3" s="419" t="s">
        <v>23</v>
      </c>
      <c r="SYW3" s="420"/>
      <c r="SYX3" s="420"/>
      <c r="SYY3" s="420"/>
      <c r="SYZ3" s="419" t="s">
        <v>23</v>
      </c>
      <c r="SZA3" s="420"/>
      <c r="SZB3" s="420"/>
      <c r="SZC3" s="420"/>
      <c r="SZD3" s="419" t="s">
        <v>23</v>
      </c>
      <c r="SZE3" s="420"/>
      <c r="SZF3" s="420"/>
      <c r="SZG3" s="420"/>
      <c r="SZH3" s="419" t="s">
        <v>23</v>
      </c>
      <c r="SZI3" s="420"/>
      <c r="SZJ3" s="420"/>
      <c r="SZK3" s="420"/>
      <c r="SZL3" s="419" t="s">
        <v>23</v>
      </c>
      <c r="SZM3" s="420"/>
      <c r="SZN3" s="420"/>
      <c r="SZO3" s="420"/>
      <c r="SZP3" s="419" t="s">
        <v>23</v>
      </c>
      <c r="SZQ3" s="420"/>
      <c r="SZR3" s="420"/>
      <c r="SZS3" s="420"/>
      <c r="SZT3" s="419" t="s">
        <v>23</v>
      </c>
      <c r="SZU3" s="420"/>
      <c r="SZV3" s="420"/>
      <c r="SZW3" s="420"/>
      <c r="SZX3" s="419" t="s">
        <v>23</v>
      </c>
      <c r="SZY3" s="420"/>
      <c r="SZZ3" s="420"/>
      <c r="TAA3" s="420"/>
      <c r="TAB3" s="419" t="s">
        <v>23</v>
      </c>
      <c r="TAC3" s="420"/>
      <c r="TAD3" s="420"/>
      <c r="TAE3" s="420"/>
      <c r="TAF3" s="419" t="s">
        <v>23</v>
      </c>
      <c r="TAG3" s="420"/>
      <c r="TAH3" s="420"/>
      <c r="TAI3" s="420"/>
      <c r="TAJ3" s="419" t="s">
        <v>23</v>
      </c>
      <c r="TAK3" s="420"/>
      <c r="TAL3" s="420"/>
      <c r="TAM3" s="420"/>
      <c r="TAN3" s="419" t="s">
        <v>23</v>
      </c>
      <c r="TAO3" s="420"/>
      <c r="TAP3" s="420"/>
      <c r="TAQ3" s="420"/>
      <c r="TAR3" s="419" t="s">
        <v>23</v>
      </c>
      <c r="TAS3" s="420"/>
      <c r="TAT3" s="420"/>
      <c r="TAU3" s="420"/>
      <c r="TAV3" s="419" t="s">
        <v>23</v>
      </c>
      <c r="TAW3" s="420"/>
      <c r="TAX3" s="420"/>
      <c r="TAY3" s="420"/>
      <c r="TAZ3" s="419" t="s">
        <v>23</v>
      </c>
      <c r="TBA3" s="420"/>
      <c r="TBB3" s="420"/>
      <c r="TBC3" s="420"/>
      <c r="TBD3" s="419" t="s">
        <v>23</v>
      </c>
      <c r="TBE3" s="420"/>
      <c r="TBF3" s="420"/>
      <c r="TBG3" s="420"/>
      <c r="TBH3" s="419" t="s">
        <v>23</v>
      </c>
      <c r="TBI3" s="420"/>
      <c r="TBJ3" s="420"/>
      <c r="TBK3" s="420"/>
      <c r="TBL3" s="419" t="s">
        <v>23</v>
      </c>
      <c r="TBM3" s="420"/>
      <c r="TBN3" s="420"/>
      <c r="TBO3" s="420"/>
      <c r="TBP3" s="419" t="s">
        <v>23</v>
      </c>
      <c r="TBQ3" s="420"/>
      <c r="TBR3" s="420"/>
      <c r="TBS3" s="420"/>
      <c r="TBT3" s="419" t="s">
        <v>23</v>
      </c>
      <c r="TBU3" s="420"/>
      <c r="TBV3" s="420"/>
      <c r="TBW3" s="420"/>
      <c r="TBX3" s="419" t="s">
        <v>23</v>
      </c>
      <c r="TBY3" s="420"/>
      <c r="TBZ3" s="420"/>
      <c r="TCA3" s="420"/>
      <c r="TCB3" s="419" t="s">
        <v>23</v>
      </c>
      <c r="TCC3" s="420"/>
      <c r="TCD3" s="420"/>
      <c r="TCE3" s="420"/>
      <c r="TCF3" s="419" t="s">
        <v>23</v>
      </c>
      <c r="TCG3" s="420"/>
      <c r="TCH3" s="420"/>
      <c r="TCI3" s="420"/>
      <c r="TCJ3" s="419" t="s">
        <v>23</v>
      </c>
      <c r="TCK3" s="420"/>
      <c r="TCL3" s="420"/>
      <c r="TCM3" s="420"/>
      <c r="TCN3" s="419" t="s">
        <v>23</v>
      </c>
      <c r="TCO3" s="420"/>
      <c r="TCP3" s="420"/>
      <c r="TCQ3" s="420"/>
      <c r="TCR3" s="419" t="s">
        <v>23</v>
      </c>
      <c r="TCS3" s="420"/>
      <c r="TCT3" s="420"/>
      <c r="TCU3" s="420"/>
      <c r="TCV3" s="419" t="s">
        <v>23</v>
      </c>
      <c r="TCW3" s="420"/>
      <c r="TCX3" s="420"/>
      <c r="TCY3" s="420"/>
      <c r="TCZ3" s="419" t="s">
        <v>23</v>
      </c>
      <c r="TDA3" s="420"/>
      <c r="TDB3" s="420"/>
      <c r="TDC3" s="420"/>
      <c r="TDD3" s="419" t="s">
        <v>23</v>
      </c>
      <c r="TDE3" s="420"/>
      <c r="TDF3" s="420"/>
      <c r="TDG3" s="420"/>
      <c r="TDH3" s="419" t="s">
        <v>23</v>
      </c>
      <c r="TDI3" s="420"/>
      <c r="TDJ3" s="420"/>
      <c r="TDK3" s="420"/>
      <c r="TDL3" s="419" t="s">
        <v>23</v>
      </c>
      <c r="TDM3" s="420"/>
      <c r="TDN3" s="420"/>
      <c r="TDO3" s="420"/>
      <c r="TDP3" s="419" t="s">
        <v>23</v>
      </c>
      <c r="TDQ3" s="420"/>
      <c r="TDR3" s="420"/>
      <c r="TDS3" s="420"/>
      <c r="TDT3" s="419" t="s">
        <v>23</v>
      </c>
      <c r="TDU3" s="420"/>
      <c r="TDV3" s="420"/>
      <c r="TDW3" s="420"/>
      <c r="TDX3" s="419" t="s">
        <v>23</v>
      </c>
      <c r="TDY3" s="420"/>
      <c r="TDZ3" s="420"/>
      <c r="TEA3" s="420"/>
      <c r="TEB3" s="419" t="s">
        <v>23</v>
      </c>
      <c r="TEC3" s="420"/>
      <c r="TED3" s="420"/>
      <c r="TEE3" s="420"/>
      <c r="TEF3" s="419" t="s">
        <v>23</v>
      </c>
      <c r="TEG3" s="420"/>
      <c r="TEH3" s="420"/>
      <c r="TEI3" s="420"/>
      <c r="TEJ3" s="419" t="s">
        <v>23</v>
      </c>
      <c r="TEK3" s="420"/>
      <c r="TEL3" s="420"/>
      <c r="TEM3" s="420"/>
      <c r="TEN3" s="419" t="s">
        <v>23</v>
      </c>
      <c r="TEO3" s="420"/>
      <c r="TEP3" s="420"/>
      <c r="TEQ3" s="420"/>
      <c r="TER3" s="419" t="s">
        <v>23</v>
      </c>
      <c r="TES3" s="420"/>
      <c r="TET3" s="420"/>
      <c r="TEU3" s="420"/>
      <c r="TEV3" s="419" t="s">
        <v>23</v>
      </c>
      <c r="TEW3" s="420"/>
      <c r="TEX3" s="420"/>
      <c r="TEY3" s="420"/>
      <c r="TEZ3" s="419" t="s">
        <v>23</v>
      </c>
      <c r="TFA3" s="420"/>
      <c r="TFB3" s="420"/>
      <c r="TFC3" s="420"/>
      <c r="TFD3" s="419" t="s">
        <v>23</v>
      </c>
      <c r="TFE3" s="420"/>
      <c r="TFF3" s="420"/>
      <c r="TFG3" s="420"/>
      <c r="TFH3" s="419" t="s">
        <v>23</v>
      </c>
      <c r="TFI3" s="420"/>
      <c r="TFJ3" s="420"/>
      <c r="TFK3" s="420"/>
      <c r="TFL3" s="419" t="s">
        <v>23</v>
      </c>
      <c r="TFM3" s="420"/>
      <c r="TFN3" s="420"/>
      <c r="TFO3" s="420"/>
      <c r="TFP3" s="419" t="s">
        <v>23</v>
      </c>
      <c r="TFQ3" s="420"/>
      <c r="TFR3" s="420"/>
      <c r="TFS3" s="420"/>
      <c r="TFT3" s="419" t="s">
        <v>23</v>
      </c>
      <c r="TFU3" s="420"/>
      <c r="TFV3" s="420"/>
      <c r="TFW3" s="420"/>
      <c r="TFX3" s="419" t="s">
        <v>23</v>
      </c>
      <c r="TFY3" s="420"/>
      <c r="TFZ3" s="420"/>
      <c r="TGA3" s="420"/>
      <c r="TGB3" s="419" t="s">
        <v>23</v>
      </c>
      <c r="TGC3" s="420"/>
      <c r="TGD3" s="420"/>
      <c r="TGE3" s="420"/>
      <c r="TGF3" s="419" t="s">
        <v>23</v>
      </c>
      <c r="TGG3" s="420"/>
      <c r="TGH3" s="420"/>
      <c r="TGI3" s="420"/>
      <c r="TGJ3" s="419" t="s">
        <v>23</v>
      </c>
      <c r="TGK3" s="420"/>
      <c r="TGL3" s="420"/>
      <c r="TGM3" s="420"/>
      <c r="TGN3" s="419" t="s">
        <v>23</v>
      </c>
      <c r="TGO3" s="420"/>
      <c r="TGP3" s="420"/>
      <c r="TGQ3" s="420"/>
      <c r="TGR3" s="419" t="s">
        <v>23</v>
      </c>
      <c r="TGS3" s="420"/>
      <c r="TGT3" s="420"/>
      <c r="TGU3" s="420"/>
      <c r="TGV3" s="419" t="s">
        <v>23</v>
      </c>
      <c r="TGW3" s="420"/>
      <c r="TGX3" s="420"/>
      <c r="TGY3" s="420"/>
      <c r="TGZ3" s="419" t="s">
        <v>23</v>
      </c>
      <c r="THA3" s="420"/>
      <c r="THB3" s="420"/>
      <c r="THC3" s="420"/>
      <c r="THD3" s="419" t="s">
        <v>23</v>
      </c>
      <c r="THE3" s="420"/>
      <c r="THF3" s="420"/>
      <c r="THG3" s="420"/>
      <c r="THH3" s="419" t="s">
        <v>23</v>
      </c>
      <c r="THI3" s="420"/>
      <c r="THJ3" s="420"/>
      <c r="THK3" s="420"/>
      <c r="THL3" s="419" t="s">
        <v>23</v>
      </c>
      <c r="THM3" s="420"/>
      <c r="THN3" s="420"/>
      <c r="THO3" s="420"/>
      <c r="THP3" s="419" t="s">
        <v>23</v>
      </c>
      <c r="THQ3" s="420"/>
      <c r="THR3" s="420"/>
      <c r="THS3" s="420"/>
      <c r="THT3" s="419" t="s">
        <v>23</v>
      </c>
      <c r="THU3" s="420"/>
      <c r="THV3" s="420"/>
      <c r="THW3" s="420"/>
      <c r="THX3" s="419" t="s">
        <v>23</v>
      </c>
      <c r="THY3" s="420"/>
      <c r="THZ3" s="420"/>
      <c r="TIA3" s="420"/>
      <c r="TIB3" s="419" t="s">
        <v>23</v>
      </c>
      <c r="TIC3" s="420"/>
      <c r="TID3" s="420"/>
      <c r="TIE3" s="420"/>
      <c r="TIF3" s="419" t="s">
        <v>23</v>
      </c>
      <c r="TIG3" s="420"/>
      <c r="TIH3" s="420"/>
      <c r="TII3" s="420"/>
      <c r="TIJ3" s="419" t="s">
        <v>23</v>
      </c>
      <c r="TIK3" s="420"/>
      <c r="TIL3" s="420"/>
      <c r="TIM3" s="420"/>
      <c r="TIN3" s="419" t="s">
        <v>23</v>
      </c>
      <c r="TIO3" s="420"/>
      <c r="TIP3" s="420"/>
      <c r="TIQ3" s="420"/>
      <c r="TIR3" s="419" t="s">
        <v>23</v>
      </c>
      <c r="TIS3" s="420"/>
      <c r="TIT3" s="420"/>
      <c r="TIU3" s="420"/>
      <c r="TIV3" s="419" t="s">
        <v>23</v>
      </c>
      <c r="TIW3" s="420"/>
      <c r="TIX3" s="420"/>
      <c r="TIY3" s="420"/>
      <c r="TIZ3" s="419" t="s">
        <v>23</v>
      </c>
      <c r="TJA3" s="420"/>
      <c r="TJB3" s="420"/>
      <c r="TJC3" s="420"/>
      <c r="TJD3" s="419" t="s">
        <v>23</v>
      </c>
      <c r="TJE3" s="420"/>
      <c r="TJF3" s="420"/>
      <c r="TJG3" s="420"/>
      <c r="TJH3" s="419" t="s">
        <v>23</v>
      </c>
      <c r="TJI3" s="420"/>
      <c r="TJJ3" s="420"/>
      <c r="TJK3" s="420"/>
      <c r="TJL3" s="419" t="s">
        <v>23</v>
      </c>
      <c r="TJM3" s="420"/>
      <c r="TJN3" s="420"/>
      <c r="TJO3" s="420"/>
      <c r="TJP3" s="419" t="s">
        <v>23</v>
      </c>
      <c r="TJQ3" s="420"/>
      <c r="TJR3" s="420"/>
      <c r="TJS3" s="420"/>
      <c r="TJT3" s="419" t="s">
        <v>23</v>
      </c>
      <c r="TJU3" s="420"/>
      <c r="TJV3" s="420"/>
      <c r="TJW3" s="420"/>
      <c r="TJX3" s="419" t="s">
        <v>23</v>
      </c>
      <c r="TJY3" s="420"/>
      <c r="TJZ3" s="420"/>
      <c r="TKA3" s="420"/>
      <c r="TKB3" s="419" t="s">
        <v>23</v>
      </c>
      <c r="TKC3" s="420"/>
      <c r="TKD3" s="420"/>
      <c r="TKE3" s="420"/>
      <c r="TKF3" s="419" t="s">
        <v>23</v>
      </c>
      <c r="TKG3" s="420"/>
      <c r="TKH3" s="420"/>
      <c r="TKI3" s="420"/>
      <c r="TKJ3" s="419" t="s">
        <v>23</v>
      </c>
      <c r="TKK3" s="420"/>
      <c r="TKL3" s="420"/>
      <c r="TKM3" s="420"/>
      <c r="TKN3" s="419" t="s">
        <v>23</v>
      </c>
      <c r="TKO3" s="420"/>
      <c r="TKP3" s="420"/>
      <c r="TKQ3" s="420"/>
      <c r="TKR3" s="419" t="s">
        <v>23</v>
      </c>
      <c r="TKS3" s="420"/>
      <c r="TKT3" s="420"/>
      <c r="TKU3" s="420"/>
      <c r="TKV3" s="419" t="s">
        <v>23</v>
      </c>
      <c r="TKW3" s="420"/>
      <c r="TKX3" s="420"/>
      <c r="TKY3" s="420"/>
      <c r="TKZ3" s="419" t="s">
        <v>23</v>
      </c>
      <c r="TLA3" s="420"/>
      <c r="TLB3" s="420"/>
      <c r="TLC3" s="420"/>
      <c r="TLD3" s="419" t="s">
        <v>23</v>
      </c>
      <c r="TLE3" s="420"/>
      <c r="TLF3" s="420"/>
      <c r="TLG3" s="420"/>
      <c r="TLH3" s="419" t="s">
        <v>23</v>
      </c>
      <c r="TLI3" s="420"/>
      <c r="TLJ3" s="420"/>
      <c r="TLK3" s="420"/>
      <c r="TLL3" s="419" t="s">
        <v>23</v>
      </c>
      <c r="TLM3" s="420"/>
      <c r="TLN3" s="420"/>
      <c r="TLO3" s="420"/>
      <c r="TLP3" s="419" t="s">
        <v>23</v>
      </c>
      <c r="TLQ3" s="420"/>
      <c r="TLR3" s="420"/>
      <c r="TLS3" s="420"/>
      <c r="TLT3" s="419" t="s">
        <v>23</v>
      </c>
      <c r="TLU3" s="420"/>
      <c r="TLV3" s="420"/>
      <c r="TLW3" s="420"/>
      <c r="TLX3" s="419" t="s">
        <v>23</v>
      </c>
      <c r="TLY3" s="420"/>
      <c r="TLZ3" s="420"/>
      <c r="TMA3" s="420"/>
      <c r="TMB3" s="419" t="s">
        <v>23</v>
      </c>
      <c r="TMC3" s="420"/>
      <c r="TMD3" s="420"/>
      <c r="TME3" s="420"/>
      <c r="TMF3" s="419" t="s">
        <v>23</v>
      </c>
      <c r="TMG3" s="420"/>
      <c r="TMH3" s="420"/>
      <c r="TMI3" s="420"/>
      <c r="TMJ3" s="419" t="s">
        <v>23</v>
      </c>
      <c r="TMK3" s="420"/>
      <c r="TML3" s="420"/>
      <c r="TMM3" s="420"/>
      <c r="TMN3" s="419" t="s">
        <v>23</v>
      </c>
      <c r="TMO3" s="420"/>
      <c r="TMP3" s="420"/>
      <c r="TMQ3" s="420"/>
      <c r="TMR3" s="419" t="s">
        <v>23</v>
      </c>
      <c r="TMS3" s="420"/>
      <c r="TMT3" s="420"/>
      <c r="TMU3" s="420"/>
      <c r="TMV3" s="419" t="s">
        <v>23</v>
      </c>
      <c r="TMW3" s="420"/>
      <c r="TMX3" s="420"/>
      <c r="TMY3" s="420"/>
      <c r="TMZ3" s="419" t="s">
        <v>23</v>
      </c>
      <c r="TNA3" s="420"/>
      <c r="TNB3" s="420"/>
      <c r="TNC3" s="420"/>
      <c r="TND3" s="419" t="s">
        <v>23</v>
      </c>
      <c r="TNE3" s="420"/>
      <c r="TNF3" s="420"/>
      <c r="TNG3" s="420"/>
      <c r="TNH3" s="419" t="s">
        <v>23</v>
      </c>
      <c r="TNI3" s="420"/>
      <c r="TNJ3" s="420"/>
      <c r="TNK3" s="420"/>
      <c r="TNL3" s="419" t="s">
        <v>23</v>
      </c>
      <c r="TNM3" s="420"/>
      <c r="TNN3" s="420"/>
      <c r="TNO3" s="420"/>
      <c r="TNP3" s="419" t="s">
        <v>23</v>
      </c>
      <c r="TNQ3" s="420"/>
      <c r="TNR3" s="420"/>
      <c r="TNS3" s="420"/>
      <c r="TNT3" s="419" t="s">
        <v>23</v>
      </c>
      <c r="TNU3" s="420"/>
      <c r="TNV3" s="420"/>
      <c r="TNW3" s="420"/>
      <c r="TNX3" s="419" t="s">
        <v>23</v>
      </c>
      <c r="TNY3" s="420"/>
      <c r="TNZ3" s="420"/>
      <c r="TOA3" s="420"/>
      <c r="TOB3" s="419" t="s">
        <v>23</v>
      </c>
      <c r="TOC3" s="420"/>
      <c r="TOD3" s="420"/>
      <c r="TOE3" s="420"/>
      <c r="TOF3" s="419" t="s">
        <v>23</v>
      </c>
      <c r="TOG3" s="420"/>
      <c r="TOH3" s="420"/>
      <c r="TOI3" s="420"/>
      <c r="TOJ3" s="419" t="s">
        <v>23</v>
      </c>
      <c r="TOK3" s="420"/>
      <c r="TOL3" s="420"/>
      <c r="TOM3" s="420"/>
      <c r="TON3" s="419" t="s">
        <v>23</v>
      </c>
      <c r="TOO3" s="420"/>
      <c r="TOP3" s="420"/>
      <c r="TOQ3" s="420"/>
      <c r="TOR3" s="419" t="s">
        <v>23</v>
      </c>
      <c r="TOS3" s="420"/>
      <c r="TOT3" s="420"/>
      <c r="TOU3" s="420"/>
      <c r="TOV3" s="419" t="s">
        <v>23</v>
      </c>
      <c r="TOW3" s="420"/>
      <c r="TOX3" s="420"/>
      <c r="TOY3" s="420"/>
      <c r="TOZ3" s="419" t="s">
        <v>23</v>
      </c>
      <c r="TPA3" s="420"/>
      <c r="TPB3" s="420"/>
      <c r="TPC3" s="420"/>
      <c r="TPD3" s="419" t="s">
        <v>23</v>
      </c>
      <c r="TPE3" s="420"/>
      <c r="TPF3" s="420"/>
      <c r="TPG3" s="420"/>
      <c r="TPH3" s="419" t="s">
        <v>23</v>
      </c>
      <c r="TPI3" s="420"/>
      <c r="TPJ3" s="420"/>
      <c r="TPK3" s="420"/>
      <c r="TPL3" s="419" t="s">
        <v>23</v>
      </c>
      <c r="TPM3" s="420"/>
      <c r="TPN3" s="420"/>
      <c r="TPO3" s="420"/>
      <c r="TPP3" s="419" t="s">
        <v>23</v>
      </c>
      <c r="TPQ3" s="420"/>
      <c r="TPR3" s="420"/>
      <c r="TPS3" s="420"/>
      <c r="TPT3" s="419" t="s">
        <v>23</v>
      </c>
      <c r="TPU3" s="420"/>
      <c r="TPV3" s="420"/>
      <c r="TPW3" s="420"/>
      <c r="TPX3" s="419" t="s">
        <v>23</v>
      </c>
      <c r="TPY3" s="420"/>
      <c r="TPZ3" s="420"/>
      <c r="TQA3" s="420"/>
      <c r="TQB3" s="419" t="s">
        <v>23</v>
      </c>
      <c r="TQC3" s="420"/>
      <c r="TQD3" s="420"/>
      <c r="TQE3" s="420"/>
      <c r="TQF3" s="419" t="s">
        <v>23</v>
      </c>
      <c r="TQG3" s="420"/>
      <c r="TQH3" s="420"/>
      <c r="TQI3" s="420"/>
      <c r="TQJ3" s="419" t="s">
        <v>23</v>
      </c>
      <c r="TQK3" s="420"/>
      <c r="TQL3" s="420"/>
      <c r="TQM3" s="420"/>
      <c r="TQN3" s="419" t="s">
        <v>23</v>
      </c>
      <c r="TQO3" s="420"/>
      <c r="TQP3" s="420"/>
      <c r="TQQ3" s="420"/>
      <c r="TQR3" s="419" t="s">
        <v>23</v>
      </c>
      <c r="TQS3" s="420"/>
      <c r="TQT3" s="420"/>
      <c r="TQU3" s="420"/>
      <c r="TQV3" s="419" t="s">
        <v>23</v>
      </c>
      <c r="TQW3" s="420"/>
      <c r="TQX3" s="420"/>
      <c r="TQY3" s="420"/>
      <c r="TQZ3" s="419" t="s">
        <v>23</v>
      </c>
      <c r="TRA3" s="420"/>
      <c r="TRB3" s="420"/>
      <c r="TRC3" s="420"/>
      <c r="TRD3" s="419" t="s">
        <v>23</v>
      </c>
      <c r="TRE3" s="420"/>
      <c r="TRF3" s="420"/>
      <c r="TRG3" s="420"/>
      <c r="TRH3" s="419" t="s">
        <v>23</v>
      </c>
      <c r="TRI3" s="420"/>
      <c r="TRJ3" s="420"/>
      <c r="TRK3" s="420"/>
      <c r="TRL3" s="419" t="s">
        <v>23</v>
      </c>
      <c r="TRM3" s="420"/>
      <c r="TRN3" s="420"/>
      <c r="TRO3" s="420"/>
      <c r="TRP3" s="419" t="s">
        <v>23</v>
      </c>
      <c r="TRQ3" s="420"/>
      <c r="TRR3" s="420"/>
      <c r="TRS3" s="420"/>
      <c r="TRT3" s="419" t="s">
        <v>23</v>
      </c>
      <c r="TRU3" s="420"/>
      <c r="TRV3" s="420"/>
      <c r="TRW3" s="420"/>
      <c r="TRX3" s="419" t="s">
        <v>23</v>
      </c>
      <c r="TRY3" s="420"/>
      <c r="TRZ3" s="420"/>
      <c r="TSA3" s="420"/>
      <c r="TSB3" s="419" t="s">
        <v>23</v>
      </c>
      <c r="TSC3" s="420"/>
      <c r="TSD3" s="420"/>
      <c r="TSE3" s="420"/>
      <c r="TSF3" s="419" t="s">
        <v>23</v>
      </c>
      <c r="TSG3" s="420"/>
      <c r="TSH3" s="420"/>
      <c r="TSI3" s="420"/>
      <c r="TSJ3" s="419" t="s">
        <v>23</v>
      </c>
      <c r="TSK3" s="420"/>
      <c r="TSL3" s="420"/>
      <c r="TSM3" s="420"/>
      <c r="TSN3" s="419" t="s">
        <v>23</v>
      </c>
      <c r="TSO3" s="420"/>
      <c r="TSP3" s="420"/>
      <c r="TSQ3" s="420"/>
      <c r="TSR3" s="419" t="s">
        <v>23</v>
      </c>
      <c r="TSS3" s="420"/>
      <c r="TST3" s="420"/>
      <c r="TSU3" s="420"/>
      <c r="TSV3" s="419" t="s">
        <v>23</v>
      </c>
      <c r="TSW3" s="420"/>
      <c r="TSX3" s="420"/>
      <c r="TSY3" s="420"/>
      <c r="TSZ3" s="419" t="s">
        <v>23</v>
      </c>
      <c r="TTA3" s="420"/>
      <c r="TTB3" s="420"/>
      <c r="TTC3" s="420"/>
      <c r="TTD3" s="419" t="s">
        <v>23</v>
      </c>
      <c r="TTE3" s="420"/>
      <c r="TTF3" s="420"/>
      <c r="TTG3" s="420"/>
      <c r="TTH3" s="419" t="s">
        <v>23</v>
      </c>
      <c r="TTI3" s="420"/>
      <c r="TTJ3" s="420"/>
      <c r="TTK3" s="420"/>
      <c r="TTL3" s="419" t="s">
        <v>23</v>
      </c>
      <c r="TTM3" s="420"/>
      <c r="TTN3" s="420"/>
      <c r="TTO3" s="420"/>
      <c r="TTP3" s="419" t="s">
        <v>23</v>
      </c>
      <c r="TTQ3" s="420"/>
      <c r="TTR3" s="420"/>
      <c r="TTS3" s="420"/>
      <c r="TTT3" s="419" t="s">
        <v>23</v>
      </c>
      <c r="TTU3" s="420"/>
      <c r="TTV3" s="420"/>
      <c r="TTW3" s="420"/>
      <c r="TTX3" s="419" t="s">
        <v>23</v>
      </c>
      <c r="TTY3" s="420"/>
      <c r="TTZ3" s="420"/>
      <c r="TUA3" s="420"/>
      <c r="TUB3" s="419" t="s">
        <v>23</v>
      </c>
      <c r="TUC3" s="420"/>
      <c r="TUD3" s="420"/>
      <c r="TUE3" s="420"/>
      <c r="TUF3" s="419" t="s">
        <v>23</v>
      </c>
      <c r="TUG3" s="420"/>
      <c r="TUH3" s="420"/>
      <c r="TUI3" s="420"/>
      <c r="TUJ3" s="419" t="s">
        <v>23</v>
      </c>
      <c r="TUK3" s="420"/>
      <c r="TUL3" s="420"/>
      <c r="TUM3" s="420"/>
      <c r="TUN3" s="419" t="s">
        <v>23</v>
      </c>
      <c r="TUO3" s="420"/>
      <c r="TUP3" s="420"/>
      <c r="TUQ3" s="420"/>
      <c r="TUR3" s="419" t="s">
        <v>23</v>
      </c>
      <c r="TUS3" s="420"/>
      <c r="TUT3" s="420"/>
      <c r="TUU3" s="420"/>
      <c r="TUV3" s="419" t="s">
        <v>23</v>
      </c>
      <c r="TUW3" s="420"/>
      <c r="TUX3" s="420"/>
      <c r="TUY3" s="420"/>
      <c r="TUZ3" s="419" t="s">
        <v>23</v>
      </c>
      <c r="TVA3" s="420"/>
      <c r="TVB3" s="420"/>
      <c r="TVC3" s="420"/>
      <c r="TVD3" s="419" t="s">
        <v>23</v>
      </c>
      <c r="TVE3" s="420"/>
      <c r="TVF3" s="420"/>
      <c r="TVG3" s="420"/>
      <c r="TVH3" s="419" t="s">
        <v>23</v>
      </c>
      <c r="TVI3" s="420"/>
      <c r="TVJ3" s="420"/>
      <c r="TVK3" s="420"/>
      <c r="TVL3" s="419" t="s">
        <v>23</v>
      </c>
      <c r="TVM3" s="420"/>
      <c r="TVN3" s="420"/>
      <c r="TVO3" s="420"/>
      <c r="TVP3" s="419" t="s">
        <v>23</v>
      </c>
      <c r="TVQ3" s="420"/>
      <c r="TVR3" s="420"/>
      <c r="TVS3" s="420"/>
      <c r="TVT3" s="419" t="s">
        <v>23</v>
      </c>
      <c r="TVU3" s="420"/>
      <c r="TVV3" s="420"/>
      <c r="TVW3" s="420"/>
      <c r="TVX3" s="419" t="s">
        <v>23</v>
      </c>
      <c r="TVY3" s="420"/>
      <c r="TVZ3" s="420"/>
      <c r="TWA3" s="420"/>
      <c r="TWB3" s="419" t="s">
        <v>23</v>
      </c>
      <c r="TWC3" s="420"/>
      <c r="TWD3" s="420"/>
      <c r="TWE3" s="420"/>
      <c r="TWF3" s="419" t="s">
        <v>23</v>
      </c>
      <c r="TWG3" s="420"/>
      <c r="TWH3" s="420"/>
      <c r="TWI3" s="420"/>
      <c r="TWJ3" s="419" t="s">
        <v>23</v>
      </c>
      <c r="TWK3" s="420"/>
      <c r="TWL3" s="420"/>
      <c r="TWM3" s="420"/>
      <c r="TWN3" s="419" t="s">
        <v>23</v>
      </c>
      <c r="TWO3" s="420"/>
      <c r="TWP3" s="420"/>
      <c r="TWQ3" s="420"/>
      <c r="TWR3" s="419" t="s">
        <v>23</v>
      </c>
      <c r="TWS3" s="420"/>
      <c r="TWT3" s="420"/>
      <c r="TWU3" s="420"/>
      <c r="TWV3" s="419" t="s">
        <v>23</v>
      </c>
      <c r="TWW3" s="420"/>
      <c r="TWX3" s="420"/>
      <c r="TWY3" s="420"/>
      <c r="TWZ3" s="419" t="s">
        <v>23</v>
      </c>
      <c r="TXA3" s="420"/>
      <c r="TXB3" s="420"/>
      <c r="TXC3" s="420"/>
      <c r="TXD3" s="419" t="s">
        <v>23</v>
      </c>
      <c r="TXE3" s="420"/>
      <c r="TXF3" s="420"/>
      <c r="TXG3" s="420"/>
      <c r="TXH3" s="419" t="s">
        <v>23</v>
      </c>
      <c r="TXI3" s="420"/>
      <c r="TXJ3" s="420"/>
      <c r="TXK3" s="420"/>
      <c r="TXL3" s="419" t="s">
        <v>23</v>
      </c>
      <c r="TXM3" s="420"/>
      <c r="TXN3" s="420"/>
      <c r="TXO3" s="420"/>
      <c r="TXP3" s="419" t="s">
        <v>23</v>
      </c>
      <c r="TXQ3" s="420"/>
      <c r="TXR3" s="420"/>
      <c r="TXS3" s="420"/>
      <c r="TXT3" s="419" t="s">
        <v>23</v>
      </c>
      <c r="TXU3" s="420"/>
      <c r="TXV3" s="420"/>
      <c r="TXW3" s="420"/>
      <c r="TXX3" s="419" t="s">
        <v>23</v>
      </c>
      <c r="TXY3" s="420"/>
      <c r="TXZ3" s="420"/>
      <c r="TYA3" s="420"/>
      <c r="TYB3" s="419" t="s">
        <v>23</v>
      </c>
      <c r="TYC3" s="420"/>
      <c r="TYD3" s="420"/>
      <c r="TYE3" s="420"/>
      <c r="TYF3" s="419" t="s">
        <v>23</v>
      </c>
      <c r="TYG3" s="420"/>
      <c r="TYH3" s="420"/>
      <c r="TYI3" s="420"/>
      <c r="TYJ3" s="419" t="s">
        <v>23</v>
      </c>
      <c r="TYK3" s="420"/>
      <c r="TYL3" s="420"/>
      <c r="TYM3" s="420"/>
      <c r="TYN3" s="419" t="s">
        <v>23</v>
      </c>
      <c r="TYO3" s="420"/>
      <c r="TYP3" s="420"/>
      <c r="TYQ3" s="420"/>
      <c r="TYR3" s="419" t="s">
        <v>23</v>
      </c>
      <c r="TYS3" s="420"/>
      <c r="TYT3" s="420"/>
      <c r="TYU3" s="420"/>
      <c r="TYV3" s="419" t="s">
        <v>23</v>
      </c>
      <c r="TYW3" s="420"/>
      <c r="TYX3" s="420"/>
      <c r="TYY3" s="420"/>
      <c r="TYZ3" s="419" t="s">
        <v>23</v>
      </c>
      <c r="TZA3" s="420"/>
      <c r="TZB3" s="420"/>
      <c r="TZC3" s="420"/>
      <c r="TZD3" s="419" t="s">
        <v>23</v>
      </c>
      <c r="TZE3" s="420"/>
      <c r="TZF3" s="420"/>
      <c r="TZG3" s="420"/>
      <c r="TZH3" s="419" t="s">
        <v>23</v>
      </c>
      <c r="TZI3" s="420"/>
      <c r="TZJ3" s="420"/>
      <c r="TZK3" s="420"/>
      <c r="TZL3" s="419" t="s">
        <v>23</v>
      </c>
      <c r="TZM3" s="420"/>
      <c r="TZN3" s="420"/>
      <c r="TZO3" s="420"/>
      <c r="TZP3" s="419" t="s">
        <v>23</v>
      </c>
      <c r="TZQ3" s="420"/>
      <c r="TZR3" s="420"/>
      <c r="TZS3" s="420"/>
      <c r="TZT3" s="419" t="s">
        <v>23</v>
      </c>
      <c r="TZU3" s="420"/>
      <c r="TZV3" s="420"/>
      <c r="TZW3" s="420"/>
      <c r="TZX3" s="419" t="s">
        <v>23</v>
      </c>
      <c r="TZY3" s="420"/>
      <c r="TZZ3" s="420"/>
      <c r="UAA3" s="420"/>
      <c r="UAB3" s="419" t="s">
        <v>23</v>
      </c>
      <c r="UAC3" s="420"/>
      <c r="UAD3" s="420"/>
      <c r="UAE3" s="420"/>
      <c r="UAF3" s="419" t="s">
        <v>23</v>
      </c>
      <c r="UAG3" s="420"/>
      <c r="UAH3" s="420"/>
      <c r="UAI3" s="420"/>
      <c r="UAJ3" s="419" t="s">
        <v>23</v>
      </c>
      <c r="UAK3" s="420"/>
      <c r="UAL3" s="420"/>
      <c r="UAM3" s="420"/>
      <c r="UAN3" s="419" t="s">
        <v>23</v>
      </c>
      <c r="UAO3" s="420"/>
      <c r="UAP3" s="420"/>
      <c r="UAQ3" s="420"/>
      <c r="UAR3" s="419" t="s">
        <v>23</v>
      </c>
      <c r="UAS3" s="420"/>
      <c r="UAT3" s="420"/>
      <c r="UAU3" s="420"/>
      <c r="UAV3" s="419" t="s">
        <v>23</v>
      </c>
      <c r="UAW3" s="420"/>
      <c r="UAX3" s="420"/>
      <c r="UAY3" s="420"/>
      <c r="UAZ3" s="419" t="s">
        <v>23</v>
      </c>
      <c r="UBA3" s="420"/>
      <c r="UBB3" s="420"/>
      <c r="UBC3" s="420"/>
      <c r="UBD3" s="419" t="s">
        <v>23</v>
      </c>
      <c r="UBE3" s="420"/>
      <c r="UBF3" s="420"/>
      <c r="UBG3" s="420"/>
      <c r="UBH3" s="419" t="s">
        <v>23</v>
      </c>
      <c r="UBI3" s="420"/>
      <c r="UBJ3" s="420"/>
      <c r="UBK3" s="420"/>
      <c r="UBL3" s="419" t="s">
        <v>23</v>
      </c>
      <c r="UBM3" s="420"/>
      <c r="UBN3" s="420"/>
      <c r="UBO3" s="420"/>
      <c r="UBP3" s="419" t="s">
        <v>23</v>
      </c>
      <c r="UBQ3" s="420"/>
      <c r="UBR3" s="420"/>
      <c r="UBS3" s="420"/>
      <c r="UBT3" s="419" t="s">
        <v>23</v>
      </c>
      <c r="UBU3" s="420"/>
      <c r="UBV3" s="420"/>
      <c r="UBW3" s="420"/>
      <c r="UBX3" s="419" t="s">
        <v>23</v>
      </c>
      <c r="UBY3" s="420"/>
      <c r="UBZ3" s="420"/>
      <c r="UCA3" s="420"/>
      <c r="UCB3" s="419" t="s">
        <v>23</v>
      </c>
      <c r="UCC3" s="420"/>
      <c r="UCD3" s="420"/>
      <c r="UCE3" s="420"/>
      <c r="UCF3" s="419" t="s">
        <v>23</v>
      </c>
      <c r="UCG3" s="420"/>
      <c r="UCH3" s="420"/>
      <c r="UCI3" s="420"/>
      <c r="UCJ3" s="419" t="s">
        <v>23</v>
      </c>
      <c r="UCK3" s="420"/>
      <c r="UCL3" s="420"/>
      <c r="UCM3" s="420"/>
      <c r="UCN3" s="419" t="s">
        <v>23</v>
      </c>
      <c r="UCO3" s="420"/>
      <c r="UCP3" s="420"/>
      <c r="UCQ3" s="420"/>
      <c r="UCR3" s="419" t="s">
        <v>23</v>
      </c>
      <c r="UCS3" s="420"/>
      <c r="UCT3" s="420"/>
      <c r="UCU3" s="420"/>
      <c r="UCV3" s="419" t="s">
        <v>23</v>
      </c>
      <c r="UCW3" s="420"/>
      <c r="UCX3" s="420"/>
      <c r="UCY3" s="420"/>
      <c r="UCZ3" s="419" t="s">
        <v>23</v>
      </c>
      <c r="UDA3" s="420"/>
      <c r="UDB3" s="420"/>
      <c r="UDC3" s="420"/>
      <c r="UDD3" s="419" t="s">
        <v>23</v>
      </c>
      <c r="UDE3" s="420"/>
      <c r="UDF3" s="420"/>
      <c r="UDG3" s="420"/>
      <c r="UDH3" s="419" t="s">
        <v>23</v>
      </c>
      <c r="UDI3" s="420"/>
      <c r="UDJ3" s="420"/>
      <c r="UDK3" s="420"/>
      <c r="UDL3" s="419" t="s">
        <v>23</v>
      </c>
      <c r="UDM3" s="420"/>
      <c r="UDN3" s="420"/>
      <c r="UDO3" s="420"/>
      <c r="UDP3" s="419" t="s">
        <v>23</v>
      </c>
      <c r="UDQ3" s="420"/>
      <c r="UDR3" s="420"/>
      <c r="UDS3" s="420"/>
      <c r="UDT3" s="419" t="s">
        <v>23</v>
      </c>
      <c r="UDU3" s="420"/>
      <c r="UDV3" s="420"/>
      <c r="UDW3" s="420"/>
      <c r="UDX3" s="419" t="s">
        <v>23</v>
      </c>
      <c r="UDY3" s="420"/>
      <c r="UDZ3" s="420"/>
      <c r="UEA3" s="420"/>
      <c r="UEB3" s="419" t="s">
        <v>23</v>
      </c>
      <c r="UEC3" s="420"/>
      <c r="UED3" s="420"/>
      <c r="UEE3" s="420"/>
      <c r="UEF3" s="419" t="s">
        <v>23</v>
      </c>
      <c r="UEG3" s="420"/>
      <c r="UEH3" s="420"/>
      <c r="UEI3" s="420"/>
      <c r="UEJ3" s="419" t="s">
        <v>23</v>
      </c>
      <c r="UEK3" s="420"/>
      <c r="UEL3" s="420"/>
      <c r="UEM3" s="420"/>
      <c r="UEN3" s="419" t="s">
        <v>23</v>
      </c>
      <c r="UEO3" s="420"/>
      <c r="UEP3" s="420"/>
      <c r="UEQ3" s="420"/>
      <c r="UER3" s="419" t="s">
        <v>23</v>
      </c>
      <c r="UES3" s="420"/>
      <c r="UET3" s="420"/>
      <c r="UEU3" s="420"/>
      <c r="UEV3" s="419" t="s">
        <v>23</v>
      </c>
      <c r="UEW3" s="420"/>
      <c r="UEX3" s="420"/>
      <c r="UEY3" s="420"/>
      <c r="UEZ3" s="419" t="s">
        <v>23</v>
      </c>
      <c r="UFA3" s="420"/>
      <c r="UFB3" s="420"/>
      <c r="UFC3" s="420"/>
      <c r="UFD3" s="419" t="s">
        <v>23</v>
      </c>
      <c r="UFE3" s="420"/>
      <c r="UFF3" s="420"/>
      <c r="UFG3" s="420"/>
      <c r="UFH3" s="419" t="s">
        <v>23</v>
      </c>
      <c r="UFI3" s="420"/>
      <c r="UFJ3" s="420"/>
      <c r="UFK3" s="420"/>
      <c r="UFL3" s="419" t="s">
        <v>23</v>
      </c>
      <c r="UFM3" s="420"/>
      <c r="UFN3" s="420"/>
      <c r="UFO3" s="420"/>
      <c r="UFP3" s="419" t="s">
        <v>23</v>
      </c>
      <c r="UFQ3" s="420"/>
      <c r="UFR3" s="420"/>
      <c r="UFS3" s="420"/>
      <c r="UFT3" s="419" t="s">
        <v>23</v>
      </c>
      <c r="UFU3" s="420"/>
      <c r="UFV3" s="420"/>
      <c r="UFW3" s="420"/>
      <c r="UFX3" s="419" t="s">
        <v>23</v>
      </c>
      <c r="UFY3" s="420"/>
      <c r="UFZ3" s="420"/>
      <c r="UGA3" s="420"/>
      <c r="UGB3" s="419" t="s">
        <v>23</v>
      </c>
      <c r="UGC3" s="420"/>
      <c r="UGD3" s="420"/>
      <c r="UGE3" s="420"/>
      <c r="UGF3" s="419" t="s">
        <v>23</v>
      </c>
      <c r="UGG3" s="420"/>
      <c r="UGH3" s="420"/>
      <c r="UGI3" s="420"/>
      <c r="UGJ3" s="419" t="s">
        <v>23</v>
      </c>
      <c r="UGK3" s="420"/>
      <c r="UGL3" s="420"/>
      <c r="UGM3" s="420"/>
      <c r="UGN3" s="419" t="s">
        <v>23</v>
      </c>
      <c r="UGO3" s="420"/>
      <c r="UGP3" s="420"/>
      <c r="UGQ3" s="420"/>
      <c r="UGR3" s="419" t="s">
        <v>23</v>
      </c>
      <c r="UGS3" s="420"/>
      <c r="UGT3" s="420"/>
      <c r="UGU3" s="420"/>
      <c r="UGV3" s="419" t="s">
        <v>23</v>
      </c>
      <c r="UGW3" s="420"/>
      <c r="UGX3" s="420"/>
      <c r="UGY3" s="420"/>
      <c r="UGZ3" s="419" t="s">
        <v>23</v>
      </c>
      <c r="UHA3" s="420"/>
      <c r="UHB3" s="420"/>
      <c r="UHC3" s="420"/>
      <c r="UHD3" s="419" t="s">
        <v>23</v>
      </c>
      <c r="UHE3" s="420"/>
      <c r="UHF3" s="420"/>
      <c r="UHG3" s="420"/>
      <c r="UHH3" s="419" t="s">
        <v>23</v>
      </c>
      <c r="UHI3" s="420"/>
      <c r="UHJ3" s="420"/>
      <c r="UHK3" s="420"/>
      <c r="UHL3" s="419" t="s">
        <v>23</v>
      </c>
      <c r="UHM3" s="420"/>
      <c r="UHN3" s="420"/>
      <c r="UHO3" s="420"/>
      <c r="UHP3" s="419" t="s">
        <v>23</v>
      </c>
      <c r="UHQ3" s="420"/>
      <c r="UHR3" s="420"/>
      <c r="UHS3" s="420"/>
      <c r="UHT3" s="419" t="s">
        <v>23</v>
      </c>
      <c r="UHU3" s="420"/>
      <c r="UHV3" s="420"/>
      <c r="UHW3" s="420"/>
      <c r="UHX3" s="419" t="s">
        <v>23</v>
      </c>
      <c r="UHY3" s="420"/>
      <c r="UHZ3" s="420"/>
      <c r="UIA3" s="420"/>
      <c r="UIB3" s="419" t="s">
        <v>23</v>
      </c>
      <c r="UIC3" s="420"/>
      <c r="UID3" s="420"/>
      <c r="UIE3" s="420"/>
      <c r="UIF3" s="419" t="s">
        <v>23</v>
      </c>
      <c r="UIG3" s="420"/>
      <c r="UIH3" s="420"/>
      <c r="UII3" s="420"/>
      <c r="UIJ3" s="419" t="s">
        <v>23</v>
      </c>
      <c r="UIK3" s="420"/>
      <c r="UIL3" s="420"/>
      <c r="UIM3" s="420"/>
      <c r="UIN3" s="419" t="s">
        <v>23</v>
      </c>
      <c r="UIO3" s="420"/>
      <c r="UIP3" s="420"/>
      <c r="UIQ3" s="420"/>
      <c r="UIR3" s="419" t="s">
        <v>23</v>
      </c>
      <c r="UIS3" s="420"/>
      <c r="UIT3" s="420"/>
      <c r="UIU3" s="420"/>
      <c r="UIV3" s="419" t="s">
        <v>23</v>
      </c>
      <c r="UIW3" s="420"/>
      <c r="UIX3" s="420"/>
      <c r="UIY3" s="420"/>
      <c r="UIZ3" s="419" t="s">
        <v>23</v>
      </c>
      <c r="UJA3" s="420"/>
      <c r="UJB3" s="420"/>
      <c r="UJC3" s="420"/>
      <c r="UJD3" s="419" t="s">
        <v>23</v>
      </c>
      <c r="UJE3" s="420"/>
      <c r="UJF3" s="420"/>
      <c r="UJG3" s="420"/>
      <c r="UJH3" s="419" t="s">
        <v>23</v>
      </c>
      <c r="UJI3" s="420"/>
      <c r="UJJ3" s="420"/>
      <c r="UJK3" s="420"/>
      <c r="UJL3" s="419" t="s">
        <v>23</v>
      </c>
      <c r="UJM3" s="420"/>
      <c r="UJN3" s="420"/>
      <c r="UJO3" s="420"/>
      <c r="UJP3" s="419" t="s">
        <v>23</v>
      </c>
      <c r="UJQ3" s="420"/>
      <c r="UJR3" s="420"/>
      <c r="UJS3" s="420"/>
      <c r="UJT3" s="419" t="s">
        <v>23</v>
      </c>
      <c r="UJU3" s="420"/>
      <c r="UJV3" s="420"/>
      <c r="UJW3" s="420"/>
      <c r="UJX3" s="419" t="s">
        <v>23</v>
      </c>
      <c r="UJY3" s="420"/>
      <c r="UJZ3" s="420"/>
      <c r="UKA3" s="420"/>
      <c r="UKB3" s="419" t="s">
        <v>23</v>
      </c>
      <c r="UKC3" s="420"/>
      <c r="UKD3" s="420"/>
      <c r="UKE3" s="420"/>
      <c r="UKF3" s="419" t="s">
        <v>23</v>
      </c>
      <c r="UKG3" s="420"/>
      <c r="UKH3" s="420"/>
      <c r="UKI3" s="420"/>
      <c r="UKJ3" s="419" t="s">
        <v>23</v>
      </c>
      <c r="UKK3" s="420"/>
      <c r="UKL3" s="420"/>
      <c r="UKM3" s="420"/>
      <c r="UKN3" s="419" t="s">
        <v>23</v>
      </c>
      <c r="UKO3" s="420"/>
      <c r="UKP3" s="420"/>
      <c r="UKQ3" s="420"/>
      <c r="UKR3" s="419" t="s">
        <v>23</v>
      </c>
      <c r="UKS3" s="420"/>
      <c r="UKT3" s="420"/>
      <c r="UKU3" s="420"/>
      <c r="UKV3" s="419" t="s">
        <v>23</v>
      </c>
      <c r="UKW3" s="420"/>
      <c r="UKX3" s="420"/>
      <c r="UKY3" s="420"/>
      <c r="UKZ3" s="419" t="s">
        <v>23</v>
      </c>
      <c r="ULA3" s="420"/>
      <c r="ULB3" s="420"/>
      <c r="ULC3" s="420"/>
      <c r="ULD3" s="419" t="s">
        <v>23</v>
      </c>
      <c r="ULE3" s="420"/>
      <c r="ULF3" s="420"/>
      <c r="ULG3" s="420"/>
      <c r="ULH3" s="419" t="s">
        <v>23</v>
      </c>
      <c r="ULI3" s="420"/>
      <c r="ULJ3" s="420"/>
      <c r="ULK3" s="420"/>
      <c r="ULL3" s="419" t="s">
        <v>23</v>
      </c>
      <c r="ULM3" s="420"/>
      <c r="ULN3" s="420"/>
      <c r="ULO3" s="420"/>
      <c r="ULP3" s="419" t="s">
        <v>23</v>
      </c>
      <c r="ULQ3" s="420"/>
      <c r="ULR3" s="420"/>
      <c r="ULS3" s="420"/>
      <c r="ULT3" s="419" t="s">
        <v>23</v>
      </c>
      <c r="ULU3" s="420"/>
      <c r="ULV3" s="420"/>
      <c r="ULW3" s="420"/>
      <c r="ULX3" s="419" t="s">
        <v>23</v>
      </c>
      <c r="ULY3" s="420"/>
      <c r="ULZ3" s="420"/>
      <c r="UMA3" s="420"/>
      <c r="UMB3" s="419" t="s">
        <v>23</v>
      </c>
      <c r="UMC3" s="420"/>
      <c r="UMD3" s="420"/>
      <c r="UME3" s="420"/>
      <c r="UMF3" s="419" t="s">
        <v>23</v>
      </c>
      <c r="UMG3" s="420"/>
      <c r="UMH3" s="420"/>
      <c r="UMI3" s="420"/>
      <c r="UMJ3" s="419" t="s">
        <v>23</v>
      </c>
      <c r="UMK3" s="420"/>
      <c r="UML3" s="420"/>
      <c r="UMM3" s="420"/>
      <c r="UMN3" s="419" t="s">
        <v>23</v>
      </c>
      <c r="UMO3" s="420"/>
      <c r="UMP3" s="420"/>
      <c r="UMQ3" s="420"/>
      <c r="UMR3" s="419" t="s">
        <v>23</v>
      </c>
      <c r="UMS3" s="420"/>
      <c r="UMT3" s="420"/>
      <c r="UMU3" s="420"/>
      <c r="UMV3" s="419" t="s">
        <v>23</v>
      </c>
      <c r="UMW3" s="420"/>
      <c r="UMX3" s="420"/>
      <c r="UMY3" s="420"/>
      <c r="UMZ3" s="419" t="s">
        <v>23</v>
      </c>
      <c r="UNA3" s="420"/>
      <c r="UNB3" s="420"/>
      <c r="UNC3" s="420"/>
      <c r="UND3" s="419" t="s">
        <v>23</v>
      </c>
      <c r="UNE3" s="420"/>
      <c r="UNF3" s="420"/>
      <c r="UNG3" s="420"/>
      <c r="UNH3" s="419" t="s">
        <v>23</v>
      </c>
      <c r="UNI3" s="420"/>
      <c r="UNJ3" s="420"/>
      <c r="UNK3" s="420"/>
      <c r="UNL3" s="419" t="s">
        <v>23</v>
      </c>
      <c r="UNM3" s="420"/>
      <c r="UNN3" s="420"/>
      <c r="UNO3" s="420"/>
      <c r="UNP3" s="419" t="s">
        <v>23</v>
      </c>
      <c r="UNQ3" s="420"/>
      <c r="UNR3" s="420"/>
      <c r="UNS3" s="420"/>
      <c r="UNT3" s="419" t="s">
        <v>23</v>
      </c>
      <c r="UNU3" s="420"/>
      <c r="UNV3" s="420"/>
      <c r="UNW3" s="420"/>
      <c r="UNX3" s="419" t="s">
        <v>23</v>
      </c>
      <c r="UNY3" s="420"/>
      <c r="UNZ3" s="420"/>
      <c r="UOA3" s="420"/>
      <c r="UOB3" s="419" t="s">
        <v>23</v>
      </c>
      <c r="UOC3" s="420"/>
      <c r="UOD3" s="420"/>
      <c r="UOE3" s="420"/>
      <c r="UOF3" s="419" t="s">
        <v>23</v>
      </c>
      <c r="UOG3" s="420"/>
      <c r="UOH3" s="420"/>
      <c r="UOI3" s="420"/>
      <c r="UOJ3" s="419" t="s">
        <v>23</v>
      </c>
      <c r="UOK3" s="420"/>
      <c r="UOL3" s="420"/>
      <c r="UOM3" s="420"/>
      <c r="UON3" s="419" t="s">
        <v>23</v>
      </c>
      <c r="UOO3" s="420"/>
      <c r="UOP3" s="420"/>
      <c r="UOQ3" s="420"/>
      <c r="UOR3" s="419" t="s">
        <v>23</v>
      </c>
      <c r="UOS3" s="420"/>
      <c r="UOT3" s="420"/>
      <c r="UOU3" s="420"/>
      <c r="UOV3" s="419" t="s">
        <v>23</v>
      </c>
      <c r="UOW3" s="420"/>
      <c r="UOX3" s="420"/>
      <c r="UOY3" s="420"/>
      <c r="UOZ3" s="419" t="s">
        <v>23</v>
      </c>
      <c r="UPA3" s="420"/>
      <c r="UPB3" s="420"/>
      <c r="UPC3" s="420"/>
      <c r="UPD3" s="419" t="s">
        <v>23</v>
      </c>
      <c r="UPE3" s="420"/>
      <c r="UPF3" s="420"/>
      <c r="UPG3" s="420"/>
      <c r="UPH3" s="419" t="s">
        <v>23</v>
      </c>
      <c r="UPI3" s="420"/>
      <c r="UPJ3" s="420"/>
      <c r="UPK3" s="420"/>
      <c r="UPL3" s="419" t="s">
        <v>23</v>
      </c>
      <c r="UPM3" s="420"/>
      <c r="UPN3" s="420"/>
      <c r="UPO3" s="420"/>
      <c r="UPP3" s="419" t="s">
        <v>23</v>
      </c>
      <c r="UPQ3" s="420"/>
      <c r="UPR3" s="420"/>
      <c r="UPS3" s="420"/>
      <c r="UPT3" s="419" t="s">
        <v>23</v>
      </c>
      <c r="UPU3" s="420"/>
      <c r="UPV3" s="420"/>
      <c r="UPW3" s="420"/>
      <c r="UPX3" s="419" t="s">
        <v>23</v>
      </c>
      <c r="UPY3" s="420"/>
      <c r="UPZ3" s="420"/>
      <c r="UQA3" s="420"/>
      <c r="UQB3" s="419" t="s">
        <v>23</v>
      </c>
      <c r="UQC3" s="420"/>
      <c r="UQD3" s="420"/>
      <c r="UQE3" s="420"/>
      <c r="UQF3" s="419" t="s">
        <v>23</v>
      </c>
      <c r="UQG3" s="420"/>
      <c r="UQH3" s="420"/>
      <c r="UQI3" s="420"/>
      <c r="UQJ3" s="419" t="s">
        <v>23</v>
      </c>
      <c r="UQK3" s="420"/>
      <c r="UQL3" s="420"/>
      <c r="UQM3" s="420"/>
      <c r="UQN3" s="419" t="s">
        <v>23</v>
      </c>
      <c r="UQO3" s="420"/>
      <c r="UQP3" s="420"/>
      <c r="UQQ3" s="420"/>
      <c r="UQR3" s="419" t="s">
        <v>23</v>
      </c>
      <c r="UQS3" s="420"/>
      <c r="UQT3" s="420"/>
      <c r="UQU3" s="420"/>
      <c r="UQV3" s="419" t="s">
        <v>23</v>
      </c>
      <c r="UQW3" s="420"/>
      <c r="UQX3" s="420"/>
      <c r="UQY3" s="420"/>
      <c r="UQZ3" s="419" t="s">
        <v>23</v>
      </c>
      <c r="URA3" s="420"/>
      <c r="URB3" s="420"/>
      <c r="URC3" s="420"/>
      <c r="URD3" s="419" t="s">
        <v>23</v>
      </c>
      <c r="URE3" s="420"/>
      <c r="URF3" s="420"/>
      <c r="URG3" s="420"/>
      <c r="URH3" s="419" t="s">
        <v>23</v>
      </c>
      <c r="URI3" s="420"/>
      <c r="URJ3" s="420"/>
      <c r="URK3" s="420"/>
      <c r="URL3" s="419" t="s">
        <v>23</v>
      </c>
      <c r="URM3" s="420"/>
      <c r="URN3" s="420"/>
      <c r="URO3" s="420"/>
      <c r="URP3" s="419" t="s">
        <v>23</v>
      </c>
      <c r="URQ3" s="420"/>
      <c r="URR3" s="420"/>
      <c r="URS3" s="420"/>
      <c r="URT3" s="419" t="s">
        <v>23</v>
      </c>
      <c r="URU3" s="420"/>
      <c r="URV3" s="420"/>
      <c r="URW3" s="420"/>
      <c r="URX3" s="419" t="s">
        <v>23</v>
      </c>
      <c r="URY3" s="420"/>
      <c r="URZ3" s="420"/>
      <c r="USA3" s="420"/>
      <c r="USB3" s="419" t="s">
        <v>23</v>
      </c>
      <c r="USC3" s="420"/>
      <c r="USD3" s="420"/>
      <c r="USE3" s="420"/>
      <c r="USF3" s="419" t="s">
        <v>23</v>
      </c>
      <c r="USG3" s="420"/>
      <c r="USH3" s="420"/>
      <c r="USI3" s="420"/>
      <c r="USJ3" s="419" t="s">
        <v>23</v>
      </c>
      <c r="USK3" s="420"/>
      <c r="USL3" s="420"/>
      <c r="USM3" s="420"/>
      <c r="USN3" s="419" t="s">
        <v>23</v>
      </c>
      <c r="USO3" s="420"/>
      <c r="USP3" s="420"/>
      <c r="USQ3" s="420"/>
      <c r="USR3" s="419" t="s">
        <v>23</v>
      </c>
      <c r="USS3" s="420"/>
      <c r="UST3" s="420"/>
      <c r="USU3" s="420"/>
      <c r="USV3" s="419" t="s">
        <v>23</v>
      </c>
      <c r="USW3" s="420"/>
      <c r="USX3" s="420"/>
      <c r="USY3" s="420"/>
      <c r="USZ3" s="419" t="s">
        <v>23</v>
      </c>
      <c r="UTA3" s="420"/>
      <c r="UTB3" s="420"/>
      <c r="UTC3" s="420"/>
      <c r="UTD3" s="419" t="s">
        <v>23</v>
      </c>
      <c r="UTE3" s="420"/>
      <c r="UTF3" s="420"/>
      <c r="UTG3" s="420"/>
      <c r="UTH3" s="419" t="s">
        <v>23</v>
      </c>
      <c r="UTI3" s="420"/>
      <c r="UTJ3" s="420"/>
      <c r="UTK3" s="420"/>
      <c r="UTL3" s="419" t="s">
        <v>23</v>
      </c>
      <c r="UTM3" s="420"/>
      <c r="UTN3" s="420"/>
      <c r="UTO3" s="420"/>
      <c r="UTP3" s="419" t="s">
        <v>23</v>
      </c>
      <c r="UTQ3" s="420"/>
      <c r="UTR3" s="420"/>
      <c r="UTS3" s="420"/>
      <c r="UTT3" s="419" t="s">
        <v>23</v>
      </c>
      <c r="UTU3" s="420"/>
      <c r="UTV3" s="420"/>
      <c r="UTW3" s="420"/>
      <c r="UTX3" s="419" t="s">
        <v>23</v>
      </c>
      <c r="UTY3" s="420"/>
      <c r="UTZ3" s="420"/>
      <c r="UUA3" s="420"/>
      <c r="UUB3" s="419" t="s">
        <v>23</v>
      </c>
      <c r="UUC3" s="420"/>
      <c r="UUD3" s="420"/>
      <c r="UUE3" s="420"/>
      <c r="UUF3" s="419" t="s">
        <v>23</v>
      </c>
      <c r="UUG3" s="420"/>
      <c r="UUH3" s="420"/>
      <c r="UUI3" s="420"/>
      <c r="UUJ3" s="419" t="s">
        <v>23</v>
      </c>
      <c r="UUK3" s="420"/>
      <c r="UUL3" s="420"/>
      <c r="UUM3" s="420"/>
      <c r="UUN3" s="419" t="s">
        <v>23</v>
      </c>
      <c r="UUO3" s="420"/>
      <c r="UUP3" s="420"/>
      <c r="UUQ3" s="420"/>
      <c r="UUR3" s="419" t="s">
        <v>23</v>
      </c>
      <c r="UUS3" s="420"/>
      <c r="UUT3" s="420"/>
      <c r="UUU3" s="420"/>
      <c r="UUV3" s="419" t="s">
        <v>23</v>
      </c>
      <c r="UUW3" s="420"/>
      <c r="UUX3" s="420"/>
      <c r="UUY3" s="420"/>
      <c r="UUZ3" s="419" t="s">
        <v>23</v>
      </c>
      <c r="UVA3" s="420"/>
      <c r="UVB3" s="420"/>
      <c r="UVC3" s="420"/>
      <c r="UVD3" s="419" t="s">
        <v>23</v>
      </c>
      <c r="UVE3" s="420"/>
      <c r="UVF3" s="420"/>
      <c r="UVG3" s="420"/>
      <c r="UVH3" s="419" t="s">
        <v>23</v>
      </c>
      <c r="UVI3" s="420"/>
      <c r="UVJ3" s="420"/>
      <c r="UVK3" s="420"/>
      <c r="UVL3" s="419" t="s">
        <v>23</v>
      </c>
      <c r="UVM3" s="420"/>
      <c r="UVN3" s="420"/>
      <c r="UVO3" s="420"/>
      <c r="UVP3" s="419" t="s">
        <v>23</v>
      </c>
      <c r="UVQ3" s="420"/>
      <c r="UVR3" s="420"/>
      <c r="UVS3" s="420"/>
      <c r="UVT3" s="419" t="s">
        <v>23</v>
      </c>
      <c r="UVU3" s="420"/>
      <c r="UVV3" s="420"/>
      <c r="UVW3" s="420"/>
      <c r="UVX3" s="419" t="s">
        <v>23</v>
      </c>
      <c r="UVY3" s="420"/>
      <c r="UVZ3" s="420"/>
      <c r="UWA3" s="420"/>
      <c r="UWB3" s="419" t="s">
        <v>23</v>
      </c>
      <c r="UWC3" s="420"/>
      <c r="UWD3" s="420"/>
      <c r="UWE3" s="420"/>
      <c r="UWF3" s="419" t="s">
        <v>23</v>
      </c>
      <c r="UWG3" s="420"/>
      <c r="UWH3" s="420"/>
      <c r="UWI3" s="420"/>
      <c r="UWJ3" s="419" t="s">
        <v>23</v>
      </c>
      <c r="UWK3" s="420"/>
      <c r="UWL3" s="420"/>
      <c r="UWM3" s="420"/>
      <c r="UWN3" s="419" t="s">
        <v>23</v>
      </c>
      <c r="UWO3" s="420"/>
      <c r="UWP3" s="420"/>
      <c r="UWQ3" s="420"/>
      <c r="UWR3" s="419" t="s">
        <v>23</v>
      </c>
      <c r="UWS3" s="420"/>
      <c r="UWT3" s="420"/>
      <c r="UWU3" s="420"/>
      <c r="UWV3" s="419" t="s">
        <v>23</v>
      </c>
      <c r="UWW3" s="420"/>
      <c r="UWX3" s="420"/>
      <c r="UWY3" s="420"/>
      <c r="UWZ3" s="419" t="s">
        <v>23</v>
      </c>
      <c r="UXA3" s="420"/>
      <c r="UXB3" s="420"/>
      <c r="UXC3" s="420"/>
      <c r="UXD3" s="419" t="s">
        <v>23</v>
      </c>
      <c r="UXE3" s="420"/>
      <c r="UXF3" s="420"/>
      <c r="UXG3" s="420"/>
      <c r="UXH3" s="419" t="s">
        <v>23</v>
      </c>
      <c r="UXI3" s="420"/>
      <c r="UXJ3" s="420"/>
      <c r="UXK3" s="420"/>
      <c r="UXL3" s="419" t="s">
        <v>23</v>
      </c>
      <c r="UXM3" s="420"/>
      <c r="UXN3" s="420"/>
      <c r="UXO3" s="420"/>
      <c r="UXP3" s="419" t="s">
        <v>23</v>
      </c>
      <c r="UXQ3" s="420"/>
      <c r="UXR3" s="420"/>
      <c r="UXS3" s="420"/>
      <c r="UXT3" s="419" t="s">
        <v>23</v>
      </c>
      <c r="UXU3" s="420"/>
      <c r="UXV3" s="420"/>
      <c r="UXW3" s="420"/>
      <c r="UXX3" s="419" t="s">
        <v>23</v>
      </c>
      <c r="UXY3" s="420"/>
      <c r="UXZ3" s="420"/>
      <c r="UYA3" s="420"/>
      <c r="UYB3" s="419" t="s">
        <v>23</v>
      </c>
      <c r="UYC3" s="420"/>
      <c r="UYD3" s="420"/>
      <c r="UYE3" s="420"/>
      <c r="UYF3" s="419" t="s">
        <v>23</v>
      </c>
      <c r="UYG3" s="420"/>
      <c r="UYH3" s="420"/>
      <c r="UYI3" s="420"/>
      <c r="UYJ3" s="419" t="s">
        <v>23</v>
      </c>
      <c r="UYK3" s="420"/>
      <c r="UYL3" s="420"/>
      <c r="UYM3" s="420"/>
      <c r="UYN3" s="419" t="s">
        <v>23</v>
      </c>
      <c r="UYO3" s="420"/>
      <c r="UYP3" s="420"/>
      <c r="UYQ3" s="420"/>
      <c r="UYR3" s="419" t="s">
        <v>23</v>
      </c>
      <c r="UYS3" s="420"/>
      <c r="UYT3" s="420"/>
      <c r="UYU3" s="420"/>
      <c r="UYV3" s="419" t="s">
        <v>23</v>
      </c>
      <c r="UYW3" s="420"/>
      <c r="UYX3" s="420"/>
      <c r="UYY3" s="420"/>
      <c r="UYZ3" s="419" t="s">
        <v>23</v>
      </c>
      <c r="UZA3" s="420"/>
      <c r="UZB3" s="420"/>
      <c r="UZC3" s="420"/>
      <c r="UZD3" s="419" t="s">
        <v>23</v>
      </c>
      <c r="UZE3" s="420"/>
      <c r="UZF3" s="420"/>
      <c r="UZG3" s="420"/>
      <c r="UZH3" s="419" t="s">
        <v>23</v>
      </c>
      <c r="UZI3" s="420"/>
      <c r="UZJ3" s="420"/>
      <c r="UZK3" s="420"/>
      <c r="UZL3" s="419" t="s">
        <v>23</v>
      </c>
      <c r="UZM3" s="420"/>
      <c r="UZN3" s="420"/>
      <c r="UZO3" s="420"/>
      <c r="UZP3" s="419" t="s">
        <v>23</v>
      </c>
      <c r="UZQ3" s="420"/>
      <c r="UZR3" s="420"/>
      <c r="UZS3" s="420"/>
      <c r="UZT3" s="419" t="s">
        <v>23</v>
      </c>
      <c r="UZU3" s="420"/>
      <c r="UZV3" s="420"/>
      <c r="UZW3" s="420"/>
      <c r="UZX3" s="419" t="s">
        <v>23</v>
      </c>
      <c r="UZY3" s="420"/>
      <c r="UZZ3" s="420"/>
      <c r="VAA3" s="420"/>
      <c r="VAB3" s="419" t="s">
        <v>23</v>
      </c>
      <c r="VAC3" s="420"/>
      <c r="VAD3" s="420"/>
      <c r="VAE3" s="420"/>
      <c r="VAF3" s="419" t="s">
        <v>23</v>
      </c>
      <c r="VAG3" s="420"/>
      <c r="VAH3" s="420"/>
      <c r="VAI3" s="420"/>
      <c r="VAJ3" s="419" t="s">
        <v>23</v>
      </c>
      <c r="VAK3" s="420"/>
      <c r="VAL3" s="420"/>
      <c r="VAM3" s="420"/>
      <c r="VAN3" s="419" t="s">
        <v>23</v>
      </c>
      <c r="VAO3" s="420"/>
      <c r="VAP3" s="420"/>
      <c r="VAQ3" s="420"/>
      <c r="VAR3" s="419" t="s">
        <v>23</v>
      </c>
      <c r="VAS3" s="420"/>
      <c r="VAT3" s="420"/>
      <c r="VAU3" s="420"/>
      <c r="VAV3" s="419" t="s">
        <v>23</v>
      </c>
      <c r="VAW3" s="420"/>
      <c r="VAX3" s="420"/>
      <c r="VAY3" s="420"/>
      <c r="VAZ3" s="419" t="s">
        <v>23</v>
      </c>
      <c r="VBA3" s="420"/>
      <c r="VBB3" s="420"/>
      <c r="VBC3" s="420"/>
      <c r="VBD3" s="419" t="s">
        <v>23</v>
      </c>
      <c r="VBE3" s="420"/>
      <c r="VBF3" s="420"/>
      <c r="VBG3" s="420"/>
      <c r="VBH3" s="419" t="s">
        <v>23</v>
      </c>
      <c r="VBI3" s="420"/>
      <c r="VBJ3" s="420"/>
      <c r="VBK3" s="420"/>
      <c r="VBL3" s="419" t="s">
        <v>23</v>
      </c>
      <c r="VBM3" s="420"/>
      <c r="VBN3" s="420"/>
      <c r="VBO3" s="420"/>
      <c r="VBP3" s="419" t="s">
        <v>23</v>
      </c>
      <c r="VBQ3" s="420"/>
      <c r="VBR3" s="420"/>
      <c r="VBS3" s="420"/>
      <c r="VBT3" s="419" t="s">
        <v>23</v>
      </c>
      <c r="VBU3" s="420"/>
      <c r="VBV3" s="420"/>
      <c r="VBW3" s="420"/>
      <c r="VBX3" s="419" t="s">
        <v>23</v>
      </c>
      <c r="VBY3" s="420"/>
      <c r="VBZ3" s="420"/>
      <c r="VCA3" s="420"/>
      <c r="VCB3" s="419" t="s">
        <v>23</v>
      </c>
      <c r="VCC3" s="420"/>
      <c r="VCD3" s="420"/>
      <c r="VCE3" s="420"/>
      <c r="VCF3" s="419" t="s">
        <v>23</v>
      </c>
      <c r="VCG3" s="420"/>
      <c r="VCH3" s="420"/>
      <c r="VCI3" s="420"/>
      <c r="VCJ3" s="419" t="s">
        <v>23</v>
      </c>
      <c r="VCK3" s="420"/>
      <c r="VCL3" s="420"/>
      <c r="VCM3" s="420"/>
      <c r="VCN3" s="419" t="s">
        <v>23</v>
      </c>
      <c r="VCO3" s="420"/>
      <c r="VCP3" s="420"/>
      <c r="VCQ3" s="420"/>
      <c r="VCR3" s="419" t="s">
        <v>23</v>
      </c>
      <c r="VCS3" s="420"/>
      <c r="VCT3" s="420"/>
      <c r="VCU3" s="420"/>
      <c r="VCV3" s="419" t="s">
        <v>23</v>
      </c>
      <c r="VCW3" s="420"/>
      <c r="VCX3" s="420"/>
      <c r="VCY3" s="420"/>
      <c r="VCZ3" s="419" t="s">
        <v>23</v>
      </c>
      <c r="VDA3" s="420"/>
      <c r="VDB3" s="420"/>
      <c r="VDC3" s="420"/>
      <c r="VDD3" s="419" t="s">
        <v>23</v>
      </c>
      <c r="VDE3" s="420"/>
      <c r="VDF3" s="420"/>
      <c r="VDG3" s="420"/>
      <c r="VDH3" s="419" t="s">
        <v>23</v>
      </c>
      <c r="VDI3" s="420"/>
      <c r="VDJ3" s="420"/>
      <c r="VDK3" s="420"/>
      <c r="VDL3" s="419" t="s">
        <v>23</v>
      </c>
      <c r="VDM3" s="420"/>
      <c r="VDN3" s="420"/>
      <c r="VDO3" s="420"/>
      <c r="VDP3" s="419" t="s">
        <v>23</v>
      </c>
      <c r="VDQ3" s="420"/>
      <c r="VDR3" s="420"/>
      <c r="VDS3" s="420"/>
      <c r="VDT3" s="419" t="s">
        <v>23</v>
      </c>
      <c r="VDU3" s="420"/>
      <c r="VDV3" s="420"/>
      <c r="VDW3" s="420"/>
      <c r="VDX3" s="419" t="s">
        <v>23</v>
      </c>
      <c r="VDY3" s="420"/>
      <c r="VDZ3" s="420"/>
      <c r="VEA3" s="420"/>
      <c r="VEB3" s="419" t="s">
        <v>23</v>
      </c>
      <c r="VEC3" s="420"/>
      <c r="VED3" s="420"/>
      <c r="VEE3" s="420"/>
      <c r="VEF3" s="419" t="s">
        <v>23</v>
      </c>
      <c r="VEG3" s="420"/>
      <c r="VEH3" s="420"/>
      <c r="VEI3" s="420"/>
      <c r="VEJ3" s="419" t="s">
        <v>23</v>
      </c>
      <c r="VEK3" s="420"/>
      <c r="VEL3" s="420"/>
      <c r="VEM3" s="420"/>
      <c r="VEN3" s="419" t="s">
        <v>23</v>
      </c>
      <c r="VEO3" s="420"/>
      <c r="VEP3" s="420"/>
      <c r="VEQ3" s="420"/>
      <c r="VER3" s="419" t="s">
        <v>23</v>
      </c>
      <c r="VES3" s="420"/>
      <c r="VET3" s="420"/>
      <c r="VEU3" s="420"/>
      <c r="VEV3" s="419" t="s">
        <v>23</v>
      </c>
      <c r="VEW3" s="420"/>
      <c r="VEX3" s="420"/>
      <c r="VEY3" s="420"/>
      <c r="VEZ3" s="419" t="s">
        <v>23</v>
      </c>
      <c r="VFA3" s="420"/>
      <c r="VFB3" s="420"/>
      <c r="VFC3" s="420"/>
      <c r="VFD3" s="419" t="s">
        <v>23</v>
      </c>
      <c r="VFE3" s="420"/>
      <c r="VFF3" s="420"/>
      <c r="VFG3" s="420"/>
      <c r="VFH3" s="419" t="s">
        <v>23</v>
      </c>
      <c r="VFI3" s="420"/>
      <c r="VFJ3" s="420"/>
      <c r="VFK3" s="420"/>
      <c r="VFL3" s="419" t="s">
        <v>23</v>
      </c>
      <c r="VFM3" s="420"/>
      <c r="VFN3" s="420"/>
      <c r="VFO3" s="420"/>
      <c r="VFP3" s="419" t="s">
        <v>23</v>
      </c>
      <c r="VFQ3" s="420"/>
      <c r="VFR3" s="420"/>
      <c r="VFS3" s="420"/>
      <c r="VFT3" s="419" t="s">
        <v>23</v>
      </c>
      <c r="VFU3" s="420"/>
      <c r="VFV3" s="420"/>
      <c r="VFW3" s="420"/>
      <c r="VFX3" s="419" t="s">
        <v>23</v>
      </c>
      <c r="VFY3" s="420"/>
      <c r="VFZ3" s="420"/>
      <c r="VGA3" s="420"/>
      <c r="VGB3" s="419" t="s">
        <v>23</v>
      </c>
      <c r="VGC3" s="420"/>
      <c r="VGD3" s="420"/>
      <c r="VGE3" s="420"/>
      <c r="VGF3" s="419" t="s">
        <v>23</v>
      </c>
      <c r="VGG3" s="420"/>
      <c r="VGH3" s="420"/>
      <c r="VGI3" s="420"/>
      <c r="VGJ3" s="419" t="s">
        <v>23</v>
      </c>
      <c r="VGK3" s="420"/>
      <c r="VGL3" s="420"/>
      <c r="VGM3" s="420"/>
      <c r="VGN3" s="419" t="s">
        <v>23</v>
      </c>
      <c r="VGO3" s="420"/>
      <c r="VGP3" s="420"/>
      <c r="VGQ3" s="420"/>
      <c r="VGR3" s="419" t="s">
        <v>23</v>
      </c>
      <c r="VGS3" s="420"/>
      <c r="VGT3" s="420"/>
      <c r="VGU3" s="420"/>
      <c r="VGV3" s="419" t="s">
        <v>23</v>
      </c>
      <c r="VGW3" s="420"/>
      <c r="VGX3" s="420"/>
      <c r="VGY3" s="420"/>
      <c r="VGZ3" s="419" t="s">
        <v>23</v>
      </c>
      <c r="VHA3" s="420"/>
      <c r="VHB3" s="420"/>
      <c r="VHC3" s="420"/>
      <c r="VHD3" s="419" t="s">
        <v>23</v>
      </c>
      <c r="VHE3" s="420"/>
      <c r="VHF3" s="420"/>
      <c r="VHG3" s="420"/>
      <c r="VHH3" s="419" t="s">
        <v>23</v>
      </c>
      <c r="VHI3" s="420"/>
      <c r="VHJ3" s="420"/>
      <c r="VHK3" s="420"/>
      <c r="VHL3" s="419" t="s">
        <v>23</v>
      </c>
      <c r="VHM3" s="420"/>
      <c r="VHN3" s="420"/>
      <c r="VHO3" s="420"/>
      <c r="VHP3" s="419" t="s">
        <v>23</v>
      </c>
      <c r="VHQ3" s="420"/>
      <c r="VHR3" s="420"/>
      <c r="VHS3" s="420"/>
      <c r="VHT3" s="419" t="s">
        <v>23</v>
      </c>
      <c r="VHU3" s="420"/>
      <c r="VHV3" s="420"/>
      <c r="VHW3" s="420"/>
      <c r="VHX3" s="419" t="s">
        <v>23</v>
      </c>
      <c r="VHY3" s="420"/>
      <c r="VHZ3" s="420"/>
      <c r="VIA3" s="420"/>
      <c r="VIB3" s="419" t="s">
        <v>23</v>
      </c>
      <c r="VIC3" s="420"/>
      <c r="VID3" s="420"/>
      <c r="VIE3" s="420"/>
      <c r="VIF3" s="419" t="s">
        <v>23</v>
      </c>
      <c r="VIG3" s="420"/>
      <c r="VIH3" s="420"/>
      <c r="VII3" s="420"/>
      <c r="VIJ3" s="419" t="s">
        <v>23</v>
      </c>
      <c r="VIK3" s="420"/>
      <c r="VIL3" s="420"/>
      <c r="VIM3" s="420"/>
      <c r="VIN3" s="419" t="s">
        <v>23</v>
      </c>
      <c r="VIO3" s="420"/>
      <c r="VIP3" s="420"/>
      <c r="VIQ3" s="420"/>
      <c r="VIR3" s="419" t="s">
        <v>23</v>
      </c>
      <c r="VIS3" s="420"/>
      <c r="VIT3" s="420"/>
      <c r="VIU3" s="420"/>
      <c r="VIV3" s="419" t="s">
        <v>23</v>
      </c>
      <c r="VIW3" s="420"/>
      <c r="VIX3" s="420"/>
      <c r="VIY3" s="420"/>
      <c r="VIZ3" s="419" t="s">
        <v>23</v>
      </c>
      <c r="VJA3" s="420"/>
      <c r="VJB3" s="420"/>
      <c r="VJC3" s="420"/>
      <c r="VJD3" s="419" t="s">
        <v>23</v>
      </c>
      <c r="VJE3" s="420"/>
      <c r="VJF3" s="420"/>
      <c r="VJG3" s="420"/>
      <c r="VJH3" s="419" t="s">
        <v>23</v>
      </c>
      <c r="VJI3" s="420"/>
      <c r="VJJ3" s="420"/>
      <c r="VJK3" s="420"/>
      <c r="VJL3" s="419" t="s">
        <v>23</v>
      </c>
      <c r="VJM3" s="420"/>
      <c r="VJN3" s="420"/>
      <c r="VJO3" s="420"/>
      <c r="VJP3" s="419" t="s">
        <v>23</v>
      </c>
      <c r="VJQ3" s="420"/>
      <c r="VJR3" s="420"/>
      <c r="VJS3" s="420"/>
      <c r="VJT3" s="419" t="s">
        <v>23</v>
      </c>
      <c r="VJU3" s="420"/>
      <c r="VJV3" s="420"/>
      <c r="VJW3" s="420"/>
      <c r="VJX3" s="419" t="s">
        <v>23</v>
      </c>
      <c r="VJY3" s="420"/>
      <c r="VJZ3" s="420"/>
      <c r="VKA3" s="420"/>
      <c r="VKB3" s="419" t="s">
        <v>23</v>
      </c>
      <c r="VKC3" s="420"/>
      <c r="VKD3" s="420"/>
      <c r="VKE3" s="420"/>
      <c r="VKF3" s="419" t="s">
        <v>23</v>
      </c>
      <c r="VKG3" s="420"/>
      <c r="VKH3" s="420"/>
      <c r="VKI3" s="420"/>
      <c r="VKJ3" s="419" t="s">
        <v>23</v>
      </c>
      <c r="VKK3" s="420"/>
      <c r="VKL3" s="420"/>
      <c r="VKM3" s="420"/>
      <c r="VKN3" s="419" t="s">
        <v>23</v>
      </c>
      <c r="VKO3" s="420"/>
      <c r="VKP3" s="420"/>
      <c r="VKQ3" s="420"/>
      <c r="VKR3" s="419" t="s">
        <v>23</v>
      </c>
      <c r="VKS3" s="420"/>
      <c r="VKT3" s="420"/>
      <c r="VKU3" s="420"/>
      <c r="VKV3" s="419" t="s">
        <v>23</v>
      </c>
      <c r="VKW3" s="420"/>
      <c r="VKX3" s="420"/>
      <c r="VKY3" s="420"/>
      <c r="VKZ3" s="419" t="s">
        <v>23</v>
      </c>
      <c r="VLA3" s="420"/>
      <c r="VLB3" s="420"/>
      <c r="VLC3" s="420"/>
      <c r="VLD3" s="419" t="s">
        <v>23</v>
      </c>
      <c r="VLE3" s="420"/>
      <c r="VLF3" s="420"/>
      <c r="VLG3" s="420"/>
      <c r="VLH3" s="419" t="s">
        <v>23</v>
      </c>
      <c r="VLI3" s="420"/>
      <c r="VLJ3" s="420"/>
      <c r="VLK3" s="420"/>
      <c r="VLL3" s="419" t="s">
        <v>23</v>
      </c>
      <c r="VLM3" s="420"/>
      <c r="VLN3" s="420"/>
      <c r="VLO3" s="420"/>
      <c r="VLP3" s="419" t="s">
        <v>23</v>
      </c>
      <c r="VLQ3" s="420"/>
      <c r="VLR3" s="420"/>
      <c r="VLS3" s="420"/>
      <c r="VLT3" s="419" t="s">
        <v>23</v>
      </c>
      <c r="VLU3" s="420"/>
      <c r="VLV3" s="420"/>
      <c r="VLW3" s="420"/>
      <c r="VLX3" s="419" t="s">
        <v>23</v>
      </c>
      <c r="VLY3" s="420"/>
      <c r="VLZ3" s="420"/>
      <c r="VMA3" s="420"/>
      <c r="VMB3" s="419" t="s">
        <v>23</v>
      </c>
      <c r="VMC3" s="420"/>
      <c r="VMD3" s="420"/>
      <c r="VME3" s="420"/>
      <c r="VMF3" s="419" t="s">
        <v>23</v>
      </c>
      <c r="VMG3" s="420"/>
      <c r="VMH3" s="420"/>
      <c r="VMI3" s="420"/>
      <c r="VMJ3" s="419" t="s">
        <v>23</v>
      </c>
      <c r="VMK3" s="420"/>
      <c r="VML3" s="420"/>
      <c r="VMM3" s="420"/>
      <c r="VMN3" s="419" t="s">
        <v>23</v>
      </c>
      <c r="VMO3" s="420"/>
      <c r="VMP3" s="420"/>
      <c r="VMQ3" s="420"/>
      <c r="VMR3" s="419" t="s">
        <v>23</v>
      </c>
      <c r="VMS3" s="420"/>
      <c r="VMT3" s="420"/>
      <c r="VMU3" s="420"/>
      <c r="VMV3" s="419" t="s">
        <v>23</v>
      </c>
      <c r="VMW3" s="420"/>
      <c r="VMX3" s="420"/>
      <c r="VMY3" s="420"/>
      <c r="VMZ3" s="419" t="s">
        <v>23</v>
      </c>
      <c r="VNA3" s="420"/>
      <c r="VNB3" s="420"/>
      <c r="VNC3" s="420"/>
      <c r="VND3" s="419" t="s">
        <v>23</v>
      </c>
      <c r="VNE3" s="420"/>
      <c r="VNF3" s="420"/>
      <c r="VNG3" s="420"/>
      <c r="VNH3" s="419" t="s">
        <v>23</v>
      </c>
      <c r="VNI3" s="420"/>
      <c r="VNJ3" s="420"/>
      <c r="VNK3" s="420"/>
      <c r="VNL3" s="419" t="s">
        <v>23</v>
      </c>
      <c r="VNM3" s="420"/>
      <c r="VNN3" s="420"/>
      <c r="VNO3" s="420"/>
      <c r="VNP3" s="419" t="s">
        <v>23</v>
      </c>
      <c r="VNQ3" s="420"/>
      <c r="VNR3" s="420"/>
      <c r="VNS3" s="420"/>
      <c r="VNT3" s="419" t="s">
        <v>23</v>
      </c>
      <c r="VNU3" s="420"/>
      <c r="VNV3" s="420"/>
      <c r="VNW3" s="420"/>
      <c r="VNX3" s="419" t="s">
        <v>23</v>
      </c>
      <c r="VNY3" s="420"/>
      <c r="VNZ3" s="420"/>
      <c r="VOA3" s="420"/>
      <c r="VOB3" s="419" t="s">
        <v>23</v>
      </c>
      <c r="VOC3" s="420"/>
      <c r="VOD3" s="420"/>
      <c r="VOE3" s="420"/>
      <c r="VOF3" s="419" t="s">
        <v>23</v>
      </c>
      <c r="VOG3" s="420"/>
      <c r="VOH3" s="420"/>
      <c r="VOI3" s="420"/>
      <c r="VOJ3" s="419" t="s">
        <v>23</v>
      </c>
      <c r="VOK3" s="420"/>
      <c r="VOL3" s="420"/>
      <c r="VOM3" s="420"/>
      <c r="VON3" s="419" t="s">
        <v>23</v>
      </c>
      <c r="VOO3" s="420"/>
      <c r="VOP3" s="420"/>
      <c r="VOQ3" s="420"/>
      <c r="VOR3" s="419" t="s">
        <v>23</v>
      </c>
      <c r="VOS3" s="420"/>
      <c r="VOT3" s="420"/>
      <c r="VOU3" s="420"/>
      <c r="VOV3" s="419" t="s">
        <v>23</v>
      </c>
      <c r="VOW3" s="420"/>
      <c r="VOX3" s="420"/>
      <c r="VOY3" s="420"/>
      <c r="VOZ3" s="419" t="s">
        <v>23</v>
      </c>
      <c r="VPA3" s="420"/>
      <c r="VPB3" s="420"/>
      <c r="VPC3" s="420"/>
      <c r="VPD3" s="419" t="s">
        <v>23</v>
      </c>
      <c r="VPE3" s="420"/>
      <c r="VPF3" s="420"/>
      <c r="VPG3" s="420"/>
      <c r="VPH3" s="419" t="s">
        <v>23</v>
      </c>
      <c r="VPI3" s="420"/>
      <c r="VPJ3" s="420"/>
      <c r="VPK3" s="420"/>
      <c r="VPL3" s="419" t="s">
        <v>23</v>
      </c>
      <c r="VPM3" s="420"/>
      <c r="VPN3" s="420"/>
      <c r="VPO3" s="420"/>
      <c r="VPP3" s="419" t="s">
        <v>23</v>
      </c>
      <c r="VPQ3" s="420"/>
      <c r="VPR3" s="420"/>
      <c r="VPS3" s="420"/>
      <c r="VPT3" s="419" t="s">
        <v>23</v>
      </c>
      <c r="VPU3" s="420"/>
      <c r="VPV3" s="420"/>
      <c r="VPW3" s="420"/>
      <c r="VPX3" s="419" t="s">
        <v>23</v>
      </c>
      <c r="VPY3" s="420"/>
      <c r="VPZ3" s="420"/>
      <c r="VQA3" s="420"/>
      <c r="VQB3" s="419" t="s">
        <v>23</v>
      </c>
      <c r="VQC3" s="420"/>
      <c r="VQD3" s="420"/>
      <c r="VQE3" s="420"/>
      <c r="VQF3" s="419" t="s">
        <v>23</v>
      </c>
      <c r="VQG3" s="420"/>
      <c r="VQH3" s="420"/>
      <c r="VQI3" s="420"/>
      <c r="VQJ3" s="419" t="s">
        <v>23</v>
      </c>
      <c r="VQK3" s="420"/>
      <c r="VQL3" s="420"/>
      <c r="VQM3" s="420"/>
      <c r="VQN3" s="419" t="s">
        <v>23</v>
      </c>
      <c r="VQO3" s="420"/>
      <c r="VQP3" s="420"/>
      <c r="VQQ3" s="420"/>
      <c r="VQR3" s="419" t="s">
        <v>23</v>
      </c>
      <c r="VQS3" s="420"/>
      <c r="VQT3" s="420"/>
      <c r="VQU3" s="420"/>
      <c r="VQV3" s="419" t="s">
        <v>23</v>
      </c>
      <c r="VQW3" s="420"/>
      <c r="VQX3" s="420"/>
      <c r="VQY3" s="420"/>
      <c r="VQZ3" s="419" t="s">
        <v>23</v>
      </c>
      <c r="VRA3" s="420"/>
      <c r="VRB3" s="420"/>
      <c r="VRC3" s="420"/>
      <c r="VRD3" s="419" t="s">
        <v>23</v>
      </c>
      <c r="VRE3" s="420"/>
      <c r="VRF3" s="420"/>
      <c r="VRG3" s="420"/>
      <c r="VRH3" s="419" t="s">
        <v>23</v>
      </c>
      <c r="VRI3" s="420"/>
      <c r="VRJ3" s="420"/>
      <c r="VRK3" s="420"/>
      <c r="VRL3" s="419" t="s">
        <v>23</v>
      </c>
      <c r="VRM3" s="420"/>
      <c r="VRN3" s="420"/>
      <c r="VRO3" s="420"/>
      <c r="VRP3" s="419" t="s">
        <v>23</v>
      </c>
      <c r="VRQ3" s="420"/>
      <c r="VRR3" s="420"/>
      <c r="VRS3" s="420"/>
      <c r="VRT3" s="419" t="s">
        <v>23</v>
      </c>
      <c r="VRU3" s="420"/>
      <c r="VRV3" s="420"/>
      <c r="VRW3" s="420"/>
      <c r="VRX3" s="419" t="s">
        <v>23</v>
      </c>
      <c r="VRY3" s="420"/>
      <c r="VRZ3" s="420"/>
      <c r="VSA3" s="420"/>
      <c r="VSB3" s="419" t="s">
        <v>23</v>
      </c>
      <c r="VSC3" s="420"/>
      <c r="VSD3" s="420"/>
      <c r="VSE3" s="420"/>
      <c r="VSF3" s="419" t="s">
        <v>23</v>
      </c>
      <c r="VSG3" s="420"/>
      <c r="VSH3" s="420"/>
      <c r="VSI3" s="420"/>
      <c r="VSJ3" s="419" t="s">
        <v>23</v>
      </c>
      <c r="VSK3" s="420"/>
      <c r="VSL3" s="420"/>
      <c r="VSM3" s="420"/>
      <c r="VSN3" s="419" t="s">
        <v>23</v>
      </c>
      <c r="VSO3" s="420"/>
      <c r="VSP3" s="420"/>
      <c r="VSQ3" s="420"/>
      <c r="VSR3" s="419" t="s">
        <v>23</v>
      </c>
      <c r="VSS3" s="420"/>
      <c r="VST3" s="420"/>
      <c r="VSU3" s="420"/>
      <c r="VSV3" s="419" t="s">
        <v>23</v>
      </c>
      <c r="VSW3" s="420"/>
      <c r="VSX3" s="420"/>
      <c r="VSY3" s="420"/>
      <c r="VSZ3" s="419" t="s">
        <v>23</v>
      </c>
      <c r="VTA3" s="420"/>
      <c r="VTB3" s="420"/>
      <c r="VTC3" s="420"/>
      <c r="VTD3" s="419" t="s">
        <v>23</v>
      </c>
      <c r="VTE3" s="420"/>
      <c r="VTF3" s="420"/>
      <c r="VTG3" s="420"/>
      <c r="VTH3" s="419" t="s">
        <v>23</v>
      </c>
      <c r="VTI3" s="420"/>
      <c r="VTJ3" s="420"/>
      <c r="VTK3" s="420"/>
      <c r="VTL3" s="419" t="s">
        <v>23</v>
      </c>
      <c r="VTM3" s="420"/>
      <c r="VTN3" s="420"/>
      <c r="VTO3" s="420"/>
      <c r="VTP3" s="419" t="s">
        <v>23</v>
      </c>
      <c r="VTQ3" s="420"/>
      <c r="VTR3" s="420"/>
      <c r="VTS3" s="420"/>
      <c r="VTT3" s="419" t="s">
        <v>23</v>
      </c>
      <c r="VTU3" s="420"/>
      <c r="VTV3" s="420"/>
      <c r="VTW3" s="420"/>
      <c r="VTX3" s="419" t="s">
        <v>23</v>
      </c>
      <c r="VTY3" s="420"/>
      <c r="VTZ3" s="420"/>
      <c r="VUA3" s="420"/>
      <c r="VUB3" s="419" t="s">
        <v>23</v>
      </c>
      <c r="VUC3" s="420"/>
      <c r="VUD3" s="420"/>
      <c r="VUE3" s="420"/>
      <c r="VUF3" s="419" t="s">
        <v>23</v>
      </c>
      <c r="VUG3" s="420"/>
      <c r="VUH3" s="420"/>
      <c r="VUI3" s="420"/>
      <c r="VUJ3" s="419" t="s">
        <v>23</v>
      </c>
      <c r="VUK3" s="420"/>
      <c r="VUL3" s="420"/>
      <c r="VUM3" s="420"/>
      <c r="VUN3" s="419" t="s">
        <v>23</v>
      </c>
      <c r="VUO3" s="420"/>
      <c r="VUP3" s="420"/>
      <c r="VUQ3" s="420"/>
      <c r="VUR3" s="419" t="s">
        <v>23</v>
      </c>
      <c r="VUS3" s="420"/>
      <c r="VUT3" s="420"/>
      <c r="VUU3" s="420"/>
      <c r="VUV3" s="419" t="s">
        <v>23</v>
      </c>
      <c r="VUW3" s="420"/>
      <c r="VUX3" s="420"/>
      <c r="VUY3" s="420"/>
      <c r="VUZ3" s="419" t="s">
        <v>23</v>
      </c>
      <c r="VVA3" s="420"/>
      <c r="VVB3" s="420"/>
      <c r="VVC3" s="420"/>
      <c r="VVD3" s="419" t="s">
        <v>23</v>
      </c>
      <c r="VVE3" s="420"/>
      <c r="VVF3" s="420"/>
      <c r="VVG3" s="420"/>
      <c r="VVH3" s="419" t="s">
        <v>23</v>
      </c>
      <c r="VVI3" s="420"/>
      <c r="VVJ3" s="420"/>
      <c r="VVK3" s="420"/>
      <c r="VVL3" s="419" t="s">
        <v>23</v>
      </c>
      <c r="VVM3" s="420"/>
      <c r="VVN3" s="420"/>
      <c r="VVO3" s="420"/>
      <c r="VVP3" s="419" t="s">
        <v>23</v>
      </c>
      <c r="VVQ3" s="420"/>
      <c r="VVR3" s="420"/>
      <c r="VVS3" s="420"/>
      <c r="VVT3" s="419" t="s">
        <v>23</v>
      </c>
      <c r="VVU3" s="420"/>
      <c r="VVV3" s="420"/>
      <c r="VVW3" s="420"/>
      <c r="VVX3" s="419" t="s">
        <v>23</v>
      </c>
      <c r="VVY3" s="420"/>
      <c r="VVZ3" s="420"/>
      <c r="VWA3" s="420"/>
      <c r="VWB3" s="419" t="s">
        <v>23</v>
      </c>
      <c r="VWC3" s="420"/>
      <c r="VWD3" s="420"/>
      <c r="VWE3" s="420"/>
      <c r="VWF3" s="419" t="s">
        <v>23</v>
      </c>
      <c r="VWG3" s="420"/>
      <c r="VWH3" s="420"/>
      <c r="VWI3" s="420"/>
      <c r="VWJ3" s="419" t="s">
        <v>23</v>
      </c>
      <c r="VWK3" s="420"/>
      <c r="VWL3" s="420"/>
      <c r="VWM3" s="420"/>
      <c r="VWN3" s="419" t="s">
        <v>23</v>
      </c>
      <c r="VWO3" s="420"/>
      <c r="VWP3" s="420"/>
      <c r="VWQ3" s="420"/>
      <c r="VWR3" s="419" t="s">
        <v>23</v>
      </c>
      <c r="VWS3" s="420"/>
      <c r="VWT3" s="420"/>
      <c r="VWU3" s="420"/>
      <c r="VWV3" s="419" t="s">
        <v>23</v>
      </c>
      <c r="VWW3" s="420"/>
      <c r="VWX3" s="420"/>
      <c r="VWY3" s="420"/>
      <c r="VWZ3" s="419" t="s">
        <v>23</v>
      </c>
      <c r="VXA3" s="420"/>
      <c r="VXB3" s="420"/>
      <c r="VXC3" s="420"/>
      <c r="VXD3" s="419" t="s">
        <v>23</v>
      </c>
      <c r="VXE3" s="420"/>
      <c r="VXF3" s="420"/>
      <c r="VXG3" s="420"/>
      <c r="VXH3" s="419" t="s">
        <v>23</v>
      </c>
      <c r="VXI3" s="420"/>
      <c r="VXJ3" s="420"/>
      <c r="VXK3" s="420"/>
      <c r="VXL3" s="419" t="s">
        <v>23</v>
      </c>
      <c r="VXM3" s="420"/>
      <c r="VXN3" s="420"/>
      <c r="VXO3" s="420"/>
      <c r="VXP3" s="419" t="s">
        <v>23</v>
      </c>
      <c r="VXQ3" s="420"/>
      <c r="VXR3" s="420"/>
      <c r="VXS3" s="420"/>
      <c r="VXT3" s="419" t="s">
        <v>23</v>
      </c>
      <c r="VXU3" s="420"/>
      <c r="VXV3" s="420"/>
      <c r="VXW3" s="420"/>
      <c r="VXX3" s="419" t="s">
        <v>23</v>
      </c>
      <c r="VXY3" s="420"/>
      <c r="VXZ3" s="420"/>
      <c r="VYA3" s="420"/>
      <c r="VYB3" s="419" t="s">
        <v>23</v>
      </c>
      <c r="VYC3" s="420"/>
      <c r="VYD3" s="420"/>
      <c r="VYE3" s="420"/>
      <c r="VYF3" s="419" t="s">
        <v>23</v>
      </c>
      <c r="VYG3" s="420"/>
      <c r="VYH3" s="420"/>
      <c r="VYI3" s="420"/>
      <c r="VYJ3" s="419" t="s">
        <v>23</v>
      </c>
      <c r="VYK3" s="420"/>
      <c r="VYL3" s="420"/>
      <c r="VYM3" s="420"/>
      <c r="VYN3" s="419" t="s">
        <v>23</v>
      </c>
      <c r="VYO3" s="420"/>
      <c r="VYP3" s="420"/>
      <c r="VYQ3" s="420"/>
      <c r="VYR3" s="419" t="s">
        <v>23</v>
      </c>
      <c r="VYS3" s="420"/>
      <c r="VYT3" s="420"/>
      <c r="VYU3" s="420"/>
      <c r="VYV3" s="419" t="s">
        <v>23</v>
      </c>
      <c r="VYW3" s="420"/>
      <c r="VYX3" s="420"/>
      <c r="VYY3" s="420"/>
      <c r="VYZ3" s="419" t="s">
        <v>23</v>
      </c>
      <c r="VZA3" s="420"/>
      <c r="VZB3" s="420"/>
      <c r="VZC3" s="420"/>
      <c r="VZD3" s="419" t="s">
        <v>23</v>
      </c>
      <c r="VZE3" s="420"/>
      <c r="VZF3" s="420"/>
      <c r="VZG3" s="420"/>
      <c r="VZH3" s="419" t="s">
        <v>23</v>
      </c>
      <c r="VZI3" s="420"/>
      <c r="VZJ3" s="420"/>
      <c r="VZK3" s="420"/>
      <c r="VZL3" s="419" t="s">
        <v>23</v>
      </c>
      <c r="VZM3" s="420"/>
      <c r="VZN3" s="420"/>
      <c r="VZO3" s="420"/>
      <c r="VZP3" s="419" t="s">
        <v>23</v>
      </c>
      <c r="VZQ3" s="420"/>
      <c r="VZR3" s="420"/>
      <c r="VZS3" s="420"/>
      <c r="VZT3" s="419" t="s">
        <v>23</v>
      </c>
      <c r="VZU3" s="420"/>
      <c r="VZV3" s="420"/>
      <c r="VZW3" s="420"/>
      <c r="VZX3" s="419" t="s">
        <v>23</v>
      </c>
      <c r="VZY3" s="420"/>
      <c r="VZZ3" s="420"/>
      <c r="WAA3" s="420"/>
      <c r="WAB3" s="419" t="s">
        <v>23</v>
      </c>
      <c r="WAC3" s="420"/>
      <c r="WAD3" s="420"/>
      <c r="WAE3" s="420"/>
      <c r="WAF3" s="419" t="s">
        <v>23</v>
      </c>
      <c r="WAG3" s="420"/>
      <c r="WAH3" s="420"/>
      <c r="WAI3" s="420"/>
      <c r="WAJ3" s="419" t="s">
        <v>23</v>
      </c>
      <c r="WAK3" s="420"/>
      <c r="WAL3" s="420"/>
      <c r="WAM3" s="420"/>
      <c r="WAN3" s="419" t="s">
        <v>23</v>
      </c>
      <c r="WAO3" s="420"/>
      <c r="WAP3" s="420"/>
      <c r="WAQ3" s="420"/>
      <c r="WAR3" s="419" t="s">
        <v>23</v>
      </c>
      <c r="WAS3" s="420"/>
      <c r="WAT3" s="420"/>
      <c r="WAU3" s="420"/>
      <c r="WAV3" s="419" t="s">
        <v>23</v>
      </c>
      <c r="WAW3" s="420"/>
      <c r="WAX3" s="420"/>
      <c r="WAY3" s="420"/>
      <c r="WAZ3" s="419" t="s">
        <v>23</v>
      </c>
      <c r="WBA3" s="420"/>
      <c r="WBB3" s="420"/>
      <c r="WBC3" s="420"/>
      <c r="WBD3" s="419" t="s">
        <v>23</v>
      </c>
      <c r="WBE3" s="420"/>
      <c r="WBF3" s="420"/>
      <c r="WBG3" s="420"/>
      <c r="WBH3" s="419" t="s">
        <v>23</v>
      </c>
      <c r="WBI3" s="420"/>
      <c r="WBJ3" s="420"/>
      <c r="WBK3" s="420"/>
      <c r="WBL3" s="419" t="s">
        <v>23</v>
      </c>
      <c r="WBM3" s="420"/>
      <c r="WBN3" s="420"/>
      <c r="WBO3" s="420"/>
      <c r="WBP3" s="419" t="s">
        <v>23</v>
      </c>
      <c r="WBQ3" s="420"/>
      <c r="WBR3" s="420"/>
      <c r="WBS3" s="420"/>
      <c r="WBT3" s="419" t="s">
        <v>23</v>
      </c>
      <c r="WBU3" s="420"/>
      <c r="WBV3" s="420"/>
      <c r="WBW3" s="420"/>
      <c r="WBX3" s="419" t="s">
        <v>23</v>
      </c>
      <c r="WBY3" s="420"/>
      <c r="WBZ3" s="420"/>
      <c r="WCA3" s="420"/>
      <c r="WCB3" s="419" t="s">
        <v>23</v>
      </c>
      <c r="WCC3" s="420"/>
      <c r="WCD3" s="420"/>
      <c r="WCE3" s="420"/>
      <c r="WCF3" s="419" t="s">
        <v>23</v>
      </c>
      <c r="WCG3" s="420"/>
      <c r="WCH3" s="420"/>
      <c r="WCI3" s="420"/>
      <c r="WCJ3" s="419" t="s">
        <v>23</v>
      </c>
      <c r="WCK3" s="420"/>
      <c r="WCL3" s="420"/>
      <c r="WCM3" s="420"/>
      <c r="WCN3" s="419" t="s">
        <v>23</v>
      </c>
      <c r="WCO3" s="420"/>
      <c r="WCP3" s="420"/>
      <c r="WCQ3" s="420"/>
      <c r="WCR3" s="419" t="s">
        <v>23</v>
      </c>
      <c r="WCS3" s="420"/>
      <c r="WCT3" s="420"/>
      <c r="WCU3" s="420"/>
      <c r="WCV3" s="419" t="s">
        <v>23</v>
      </c>
      <c r="WCW3" s="420"/>
      <c r="WCX3" s="420"/>
      <c r="WCY3" s="420"/>
      <c r="WCZ3" s="419" t="s">
        <v>23</v>
      </c>
      <c r="WDA3" s="420"/>
      <c r="WDB3" s="420"/>
      <c r="WDC3" s="420"/>
      <c r="WDD3" s="419" t="s">
        <v>23</v>
      </c>
      <c r="WDE3" s="420"/>
      <c r="WDF3" s="420"/>
      <c r="WDG3" s="420"/>
      <c r="WDH3" s="419" t="s">
        <v>23</v>
      </c>
      <c r="WDI3" s="420"/>
      <c r="WDJ3" s="420"/>
      <c r="WDK3" s="420"/>
      <c r="WDL3" s="419" t="s">
        <v>23</v>
      </c>
      <c r="WDM3" s="420"/>
      <c r="WDN3" s="420"/>
      <c r="WDO3" s="420"/>
      <c r="WDP3" s="419" t="s">
        <v>23</v>
      </c>
      <c r="WDQ3" s="420"/>
      <c r="WDR3" s="420"/>
      <c r="WDS3" s="420"/>
      <c r="WDT3" s="419" t="s">
        <v>23</v>
      </c>
      <c r="WDU3" s="420"/>
      <c r="WDV3" s="420"/>
      <c r="WDW3" s="420"/>
      <c r="WDX3" s="419" t="s">
        <v>23</v>
      </c>
      <c r="WDY3" s="420"/>
      <c r="WDZ3" s="420"/>
      <c r="WEA3" s="420"/>
      <c r="WEB3" s="419" t="s">
        <v>23</v>
      </c>
      <c r="WEC3" s="420"/>
      <c r="WED3" s="420"/>
      <c r="WEE3" s="420"/>
      <c r="WEF3" s="419" t="s">
        <v>23</v>
      </c>
      <c r="WEG3" s="420"/>
      <c r="WEH3" s="420"/>
      <c r="WEI3" s="420"/>
      <c r="WEJ3" s="419" t="s">
        <v>23</v>
      </c>
      <c r="WEK3" s="420"/>
      <c r="WEL3" s="420"/>
      <c r="WEM3" s="420"/>
      <c r="WEN3" s="419" t="s">
        <v>23</v>
      </c>
      <c r="WEO3" s="420"/>
      <c r="WEP3" s="420"/>
      <c r="WEQ3" s="420"/>
      <c r="WER3" s="419" t="s">
        <v>23</v>
      </c>
      <c r="WES3" s="420"/>
      <c r="WET3" s="420"/>
      <c r="WEU3" s="420"/>
      <c r="WEV3" s="419" t="s">
        <v>23</v>
      </c>
      <c r="WEW3" s="420"/>
      <c r="WEX3" s="420"/>
      <c r="WEY3" s="420"/>
      <c r="WEZ3" s="419" t="s">
        <v>23</v>
      </c>
      <c r="WFA3" s="420"/>
      <c r="WFB3" s="420"/>
      <c r="WFC3" s="420"/>
      <c r="WFD3" s="419" t="s">
        <v>23</v>
      </c>
      <c r="WFE3" s="420"/>
      <c r="WFF3" s="420"/>
      <c r="WFG3" s="420"/>
      <c r="WFH3" s="419" t="s">
        <v>23</v>
      </c>
      <c r="WFI3" s="420"/>
      <c r="WFJ3" s="420"/>
      <c r="WFK3" s="420"/>
      <c r="WFL3" s="419" t="s">
        <v>23</v>
      </c>
      <c r="WFM3" s="420"/>
      <c r="WFN3" s="420"/>
      <c r="WFO3" s="420"/>
      <c r="WFP3" s="419" t="s">
        <v>23</v>
      </c>
      <c r="WFQ3" s="420"/>
      <c r="WFR3" s="420"/>
      <c r="WFS3" s="420"/>
      <c r="WFT3" s="419" t="s">
        <v>23</v>
      </c>
      <c r="WFU3" s="420"/>
      <c r="WFV3" s="420"/>
      <c r="WFW3" s="420"/>
      <c r="WFX3" s="419" t="s">
        <v>23</v>
      </c>
      <c r="WFY3" s="420"/>
      <c r="WFZ3" s="420"/>
      <c r="WGA3" s="420"/>
      <c r="WGB3" s="419" t="s">
        <v>23</v>
      </c>
      <c r="WGC3" s="420"/>
      <c r="WGD3" s="420"/>
      <c r="WGE3" s="420"/>
      <c r="WGF3" s="419" t="s">
        <v>23</v>
      </c>
      <c r="WGG3" s="420"/>
      <c r="WGH3" s="420"/>
      <c r="WGI3" s="420"/>
      <c r="WGJ3" s="419" t="s">
        <v>23</v>
      </c>
      <c r="WGK3" s="420"/>
      <c r="WGL3" s="420"/>
      <c r="WGM3" s="420"/>
      <c r="WGN3" s="419" t="s">
        <v>23</v>
      </c>
      <c r="WGO3" s="420"/>
      <c r="WGP3" s="420"/>
      <c r="WGQ3" s="420"/>
      <c r="WGR3" s="419" t="s">
        <v>23</v>
      </c>
      <c r="WGS3" s="420"/>
      <c r="WGT3" s="420"/>
      <c r="WGU3" s="420"/>
      <c r="WGV3" s="419" t="s">
        <v>23</v>
      </c>
      <c r="WGW3" s="420"/>
      <c r="WGX3" s="420"/>
      <c r="WGY3" s="420"/>
      <c r="WGZ3" s="419" t="s">
        <v>23</v>
      </c>
      <c r="WHA3" s="420"/>
      <c r="WHB3" s="420"/>
      <c r="WHC3" s="420"/>
      <c r="WHD3" s="419" t="s">
        <v>23</v>
      </c>
      <c r="WHE3" s="420"/>
      <c r="WHF3" s="420"/>
      <c r="WHG3" s="420"/>
      <c r="WHH3" s="419" t="s">
        <v>23</v>
      </c>
      <c r="WHI3" s="420"/>
      <c r="WHJ3" s="420"/>
      <c r="WHK3" s="420"/>
      <c r="WHL3" s="419" t="s">
        <v>23</v>
      </c>
      <c r="WHM3" s="420"/>
      <c r="WHN3" s="420"/>
      <c r="WHO3" s="420"/>
      <c r="WHP3" s="419" t="s">
        <v>23</v>
      </c>
      <c r="WHQ3" s="420"/>
      <c r="WHR3" s="420"/>
      <c r="WHS3" s="420"/>
      <c r="WHT3" s="419" t="s">
        <v>23</v>
      </c>
      <c r="WHU3" s="420"/>
      <c r="WHV3" s="420"/>
      <c r="WHW3" s="420"/>
      <c r="WHX3" s="419" t="s">
        <v>23</v>
      </c>
      <c r="WHY3" s="420"/>
      <c r="WHZ3" s="420"/>
      <c r="WIA3" s="420"/>
      <c r="WIB3" s="419" t="s">
        <v>23</v>
      </c>
      <c r="WIC3" s="420"/>
      <c r="WID3" s="420"/>
      <c r="WIE3" s="420"/>
      <c r="WIF3" s="419" t="s">
        <v>23</v>
      </c>
      <c r="WIG3" s="420"/>
      <c r="WIH3" s="420"/>
      <c r="WII3" s="420"/>
      <c r="WIJ3" s="419" t="s">
        <v>23</v>
      </c>
      <c r="WIK3" s="420"/>
      <c r="WIL3" s="420"/>
      <c r="WIM3" s="420"/>
      <c r="WIN3" s="419" t="s">
        <v>23</v>
      </c>
      <c r="WIO3" s="420"/>
      <c r="WIP3" s="420"/>
      <c r="WIQ3" s="420"/>
      <c r="WIR3" s="419" t="s">
        <v>23</v>
      </c>
      <c r="WIS3" s="420"/>
      <c r="WIT3" s="420"/>
      <c r="WIU3" s="420"/>
      <c r="WIV3" s="419" t="s">
        <v>23</v>
      </c>
      <c r="WIW3" s="420"/>
      <c r="WIX3" s="420"/>
      <c r="WIY3" s="420"/>
      <c r="WIZ3" s="419" t="s">
        <v>23</v>
      </c>
      <c r="WJA3" s="420"/>
      <c r="WJB3" s="420"/>
      <c r="WJC3" s="420"/>
      <c r="WJD3" s="419" t="s">
        <v>23</v>
      </c>
      <c r="WJE3" s="420"/>
      <c r="WJF3" s="420"/>
      <c r="WJG3" s="420"/>
      <c r="WJH3" s="419" t="s">
        <v>23</v>
      </c>
      <c r="WJI3" s="420"/>
      <c r="WJJ3" s="420"/>
      <c r="WJK3" s="420"/>
      <c r="WJL3" s="419" t="s">
        <v>23</v>
      </c>
      <c r="WJM3" s="420"/>
      <c r="WJN3" s="420"/>
      <c r="WJO3" s="420"/>
      <c r="WJP3" s="419" t="s">
        <v>23</v>
      </c>
      <c r="WJQ3" s="420"/>
      <c r="WJR3" s="420"/>
      <c r="WJS3" s="420"/>
      <c r="WJT3" s="419" t="s">
        <v>23</v>
      </c>
      <c r="WJU3" s="420"/>
      <c r="WJV3" s="420"/>
      <c r="WJW3" s="420"/>
      <c r="WJX3" s="419" t="s">
        <v>23</v>
      </c>
      <c r="WJY3" s="420"/>
      <c r="WJZ3" s="420"/>
      <c r="WKA3" s="420"/>
      <c r="WKB3" s="419" t="s">
        <v>23</v>
      </c>
      <c r="WKC3" s="420"/>
      <c r="WKD3" s="420"/>
      <c r="WKE3" s="420"/>
      <c r="WKF3" s="419" t="s">
        <v>23</v>
      </c>
      <c r="WKG3" s="420"/>
      <c r="WKH3" s="420"/>
      <c r="WKI3" s="420"/>
      <c r="WKJ3" s="419" t="s">
        <v>23</v>
      </c>
      <c r="WKK3" s="420"/>
      <c r="WKL3" s="420"/>
      <c r="WKM3" s="420"/>
      <c r="WKN3" s="419" t="s">
        <v>23</v>
      </c>
      <c r="WKO3" s="420"/>
      <c r="WKP3" s="420"/>
      <c r="WKQ3" s="420"/>
      <c r="WKR3" s="419" t="s">
        <v>23</v>
      </c>
      <c r="WKS3" s="420"/>
      <c r="WKT3" s="420"/>
      <c r="WKU3" s="420"/>
      <c r="WKV3" s="419" t="s">
        <v>23</v>
      </c>
      <c r="WKW3" s="420"/>
      <c r="WKX3" s="420"/>
      <c r="WKY3" s="420"/>
      <c r="WKZ3" s="419" t="s">
        <v>23</v>
      </c>
      <c r="WLA3" s="420"/>
      <c r="WLB3" s="420"/>
      <c r="WLC3" s="420"/>
      <c r="WLD3" s="419" t="s">
        <v>23</v>
      </c>
      <c r="WLE3" s="420"/>
      <c r="WLF3" s="420"/>
      <c r="WLG3" s="420"/>
      <c r="WLH3" s="419" t="s">
        <v>23</v>
      </c>
      <c r="WLI3" s="420"/>
      <c r="WLJ3" s="420"/>
      <c r="WLK3" s="420"/>
      <c r="WLL3" s="419" t="s">
        <v>23</v>
      </c>
      <c r="WLM3" s="420"/>
      <c r="WLN3" s="420"/>
      <c r="WLO3" s="420"/>
      <c r="WLP3" s="419" t="s">
        <v>23</v>
      </c>
      <c r="WLQ3" s="420"/>
      <c r="WLR3" s="420"/>
      <c r="WLS3" s="420"/>
      <c r="WLT3" s="419" t="s">
        <v>23</v>
      </c>
      <c r="WLU3" s="420"/>
      <c r="WLV3" s="420"/>
      <c r="WLW3" s="420"/>
      <c r="WLX3" s="419" t="s">
        <v>23</v>
      </c>
      <c r="WLY3" s="420"/>
      <c r="WLZ3" s="420"/>
      <c r="WMA3" s="420"/>
      <c r="WMB3" s="419" t="s">
        <v>23</v>
      </c>
      <c r="WMC3" s="420"/>
      <c r="WMD3" s="420"/>
      <c r="WME3" s="420"/>
      <c r="WMF3" s="419" t="s">
        <v>23</v>
      </c>
      <c r="WMG3" s="420"/>
      <c r="WMH3" s="420"/>
      <c r="WMI3" s="420"/>
      <c r="WMJ3" s="419" t="s">
        <v>23</v>
      </c>
      <c r="WMK3" s="420"/>
      <c r="WML3" s="420"/>
      <c r="WMM3" s="420"/>
      <c r="WMN3" s="419" t="s">
        <v>23</v>
      </c>
      <c r="WMO3" s="420"/>
      <c r="WMP3" s="420"/>
      <c r="WMQ3" s="420"/>
      <c r="WMR3" s="419" t="s">
        <v>23</v>
      </c>
      <c r="WMS3" s="420"/>
      <c r="WMT3" s="420"/>
      <c r="WMU3" s="420"/>
      <c r="WMV3" s="419" t="s">
        <v>23</v>
      </c>
      <c r="WMW3" s="420"/>
      <c r="WMX3" s="420"/>
      <c r="WMY3" s="420"/>
      <c r="WMZ3" s="419" t="s">
        <v>23</v>
      </c>
      <c r="WNA3" s="420"/>
      <c r="WNB3" s="420"/>
      <c r="WNC3" s="420"/>
      <c r="WND3" s="419" t="s">
        <v>23</v>
      </c>
      <c r="WNE3" s="420"/>
      <c r="WNF3" s="420"/>
      <c r="WNG3" s="420"/>
      <c r="WNH3" s="419" t="s">
        <v>23</v>
      </c>
      <c r="WNI3" s="420"/>
      <c r="WNJ3" s="420"/>
      <c r="WNK3" s="420"/>
      <c r="WNL3" s="419" t="s">
        <v>23</v>
      </c>
      <c r="WNM3" s="420"/>
      <c r="WNN3" s="420"/>
      <c r="WNO3" s="420"/>
      <c r="WNP3" s="419" t="s">
        <v>23</v>
      </c>
      <c r="WNQ3" s="420"/>
      <c r="WNR3" s="420"/>
      <c r="WNS3" s="420"/>
      <c r="WNT3" s="419" t="s">
        <v>23</v>
      </c>
      <c r="WNU3" s="420"/>
      <c r="WNV3" s="420"/>
      <c r="WNW3" s="420"/>
      <c r="WNX3" s="419" t="s">
        <v>23</v>
      </c>
      <c r="WNY3" s="420"/>
      <c r="WNZ3" s="420"/>
      <c r="WOA3" s="420"/>
      <c r="WOB3" s="419" t="s">
        <v>23</v>
      </c>
      <c r="WOC3" s="420"/>
      <c r="WOD3" s="420"/>
      <c r="WOE3" s="420"/>
      <c r="WOF3" s="419" t="s">
        <v>23</v>
      </c>
      <c r="WOG3" s="420"/>
      <c r="WOH3" s="420"/>
      <c r="WOI3" s="420"/>
      <c r="WOJ3" s="419" t="s">
        <v>23</v>
      </c>
      <c r="WOK3" s="420"/>
      <c r="WOL3" s="420"/>
      <c r="WOM3" s="420"/>
      <c r="WON3" s="419" t="s">
        <v>23</v>
      </c>
      <c r="WOO3" s="420"/>
      <c r="WOP3" s="420"/>
      <c r="WOQ3" s="420"/>
      <c r="WOR3" s="419" t="s">
        <v>23</v>
      </c>
      <c r="WOS3" s="420"/>
      <c r="WOT3" s="420"/>
      <c r="WOU3" s="420"/>
      <c r="WOV3" s="419" t="s">
        <v>23</v>
      </c>
      <c r="WOW3" s="420"/>
      <c r="WOX3" s="420"/>
      <c r="WOY3" s="420"/>
      <c r="WOZ3" s="419" t="s">
        <v>23</v>
      </c>
      <c r="WPA3" s="420"/>
      <c r="WPB3" s="420"/>
      <c r="WPC3" s="420"/>
      <c r="WPD3" s="419" t="s">
        <v>23</v>
      </c>
      <c r="WPE3" s="420"/>
      <c r="WPF3" s="420"/>
      <c r="WPG3" s="420"/>
      <c r="WPH3" s="419" t="s">
        <v>23</v>
      </c>
      <c r="WPI3" s="420"/>
      <c r="WPJ3" s="420"/>
      <c r="WPK3" s="420"/>
      <c r="WPL3" s="419" t="s">
        <v>23</v>
      </c>
      <c r="WPM3" s="420"/>
      <c r="WPN3" s="420"/>
      <c r="WPO3" s="420"/>
      <c r="WPP3" s="419" t="s">
        <v>23</v>
      </c>
      <c r="WPQ3" s="420"/>
      <c r="WPR3" s="420"/>
      <c r="WPS3" s="420"/>
      <c r="WPT3" s="419" t="s">
        <v>23</v>
      </c>
      <c r="WPU3" s="420"/>
      <c r="WPV3" s="420"/>
      <c r="WPW3" s="420"/>
      <c r="WPX3" s="419" t="s">
        <v>23</v>
      </c>
      <c r="WPY3" s="420"/>
      <c r="WPZ3" s="420"/>
      <c r="WQA3" s="420"/>
      <c r="WQB3" s="419" t="s">
        <v>23</v>
      </c>
      <c r="WQC3" s="420"/>
      <c r="WQD3" s="420"/>
      <c r="WQE3" s="420"/>
      <c r="WQF3" s="419" t="s">
        <v>23</v>
      </c>
      <c r="WQG3" s="420"/>
      <c r="WQH3" s="420"/>
      <c r="WQI3" s="420"/>
      <c r="WQJ3" s="419" t="s">
        <v>23</v>
      </c>
      <c r="WQK3" s="420"/>
      <c r="WQL3" s="420"/>
      <c r="WQM3" s="420"/>
      <c r="WQN3" s="419" t="s">
        <v>23</v>
      </c>
      <c r="WQO3" s="420"/>
      <c r="WQP3" s="420"/>
      <c r="WQQ3" s="420"/>
      <c r="WQR3" s="419" t="s">
        <v>23</v>
      </c>
      <c r="WQS3" s="420"/>
      <c r="WQT3" s="420"/>
      <c r="WQU3" s="420"/>
      <c r="WQV3" s="419" t="s">
        <v>23</v>
      </c>
      <c r="WQW3" s="420"/>
      <c r="WQX3" s="420"/>
      <c r="WQY3" s="420"/>
      <c r="WQZ3" s="419" t="s">
        <v>23</v>
      </c>
      <c r="WRA3" s="420"/>
      <c r="WRB3" s="420"/>
      <c r="WRC3" s="420"/>
      <c r="WRD3" s="419" t="s">
        <v>23</v>
      </c>
      <c r="WRE3" s="420"/>
      <c r="WRF3" s="420"/>
      <c r="WRG3" s="420"/>
      <c r="WRH3" s="419" t="s">
        <v>23</v>
      </c>
      <c r="WRI3" s="420"/>
      <c r="WRJ3" s="420"/>
      <c r="WRK3" s="420"/>
      <c r="WRL3" s="419" t="s">
        <v>23</v>
      </c>
      <c r="WRM3" s="420"/>
      <c r="WRN3" s="420"/>
      <c r="WRO3" s="420"/>
      <c r="WRP3" s="419" t="s">
        <v>23</v>
      </c>
      <c r="WRQ3" s="420"/>
      <c r="WRR3" s="420"/>
      <c r="WRS3" s="420"/>
      <c r="WRT3" s="419" t="s">
        <v>23</v>
      </c>
      <c r="WRU3" s="420"/>
      <c r="WRV3" s="420"/>
      <c r="WRW3" s="420"/>
      <c r="WRX3" s="419" t="s">
        <v>23</v>
      </c>
      <c r="WRY3" s="420"/>
      <c r="WRZ3" s="420"/>
      <c r="WSA3" s="420"/>
      <c r="WSB3" s="419" t="s">
        <v>23</v>
      </c>
      <c r="WSC3" s="420"/>
      <c r="WSD3" s="420"/>
      <c r="WSE3" s="420"/>
      <c r="WSF3" s="419" t="s">
        <v>23</v>
      </c>
      <c r="WSG3" s="420"/>
      <c r="WSH3" s="420"/>
      <c r="WSI3" s="420"/>
      <c r="WSJ3" s="419" t="s">
        <v>23</v>
      </c>
      <c r="WSK3" s="420"/>
      <c r="WSL3" s="420"/>
      <c r="WSM3" s="420"/>
      <c r="WSN3" s="419" t="s">
        <v>23</v>
      </c>
      <c r="WSO3" s="420"/>
      <c r="WSP3" s="420"/>
      <c r="WSQ3" s="420"/>
      <c r="WSR3" s="419" t="s">
        <v>23</v>
      </c>
      <c r="WSS3" s="420"/>
      <c r="WST3" s="420"/>
      <c r="WSU3" s="420"/>
      <c r="WSV3" s="419" t="s">
        <v>23</v>
      </c>
      <c r="WSW3" s="420"/>
      <c r="WSX3" s="420"/>
      <c r="WSY3" s="420"/>
      <c r="WSZ3" s="419" t="s">
        <v>23</v>
      </c>
      <c r="WTA3" s="420"/>
      <c r="WTB3" s="420"/>
      <c r="WTC3" s="420"/>
      <c r="WTD3" s="419" t="s">
        <v>23</v>
      </c>
      <c r="WTE3" s="420"/>
      <c r="WTF3" s="420"/>
      <c r="WTG3" s="420"/>
      <c r="WTH3" s="419" t="s">
        <v>23</v>
      </c>
      <c r="WTI3" s="420"/>
      <c r="WTJ3" s="420"/>
      <c r="WTK3" s="420"/>
      <c r="WTL3" s="419" t="s">
        <v>23</v>
      </c>
      <c r="WTM3" s="420"/>
      <c r="WTN3" s="420"/>
      <c r="WTO3" s="420"/>
      <c r="WTP3" s="419" t="s">
        <v>23</v>
      </c>
      <c r="WTQ3" s="420"/>
      <c r="WTR3" s="420"/>
      <c r="WTS3" s="420"/>
      <c r="WTT3" s="419" t="s">
        <v>23</v>
      </c>
      <c r="WTU3" s="420"/>
      <c r="WTV3" s="420"/>
      <c r="WTW3" s="420"/>
      <c r="WTX3" s="419" t="s">
        <v>23</v>
      </c>
      <c r="WTY3" s="420"/>
      <c r="WTZ3" s="420"/>
      <c r="WUA3" s="420"/>
      <c r="WUB3" s="419" t="s">
        <v>23</v>
      </c>
      <c r="WUC3" s="420"/>
      <c r="WUD3" s="420"/>
      <c r="WUE3" s="420"/>
      <c r="WUF3" s="419" t="s">
        <v>23</v>
      </c>
      <c r="WUG3" s="420"/>
      <c r="WUH3" s="420"/>
      <c r="WUI3" s="420"/>
      <c r="WUJ3" s="419" t="s">
        <v>23</v>
      </c>
      <c r="WUK3" s="420"/>
      <c r="WUL3" s="420"/>
      <c r="WUM3" s="420"/>
      <c r="WUN3" s="419" t="s">
        <v>23</v>
      </c>
      <c r="WUO3" s="420"/>
      <c r="WUP3" s="420"/>
      <c r="WUQ3" s="420"/>
      <c r="WUR3" s="419" t="s">
        <v>23</v>
      </c>
      <c r="WUS3" s="420"/>
      <c r="WUT3" s="420"/>
      <c r="WUU3" s="420"/>
      <c r="WUV3" s="419" t="s">
        <v>23</v>
      </c>
      <c r="WUW3" s="420"/>
      <c r="WUX3" s="420"/>
      <c r="WUY3" s="420"/>
      <c r="WUZ3" s="419" t="s">
        <v>23</v>
      </c>
      <c r="WVA3" s="420"/>
      <c r="WVB3" s="420"/>
      <c r="WVC3" s="420"/>
      <c r="WVD3" s="419" t="s">
        <v>23</v>
      </c>
      <c r="WVE3" s="420"/>
      <c r="WVF3" s="420"/>
      <c r="WVG3" s="420"/>
      <c r="WVH3" s="419" t="s">
        <v>23</v>
      </c>
      <c r="WVI3" s="420"/>
      <c r="WVJ3" s="420"/>
      <c r="WVK3" s="420"/>
      <c r="WVL3" s="419" t="s">
        <v>23</v>
      </c>
      <c r="WVM3" s="420"/>
      <c r="WVN3" s="420"/>
      <c r="WVO3" s="420"/>
      <c r="WVP3" s="419" t="s">
        <v>23</v>
      </c>
      <c r="WVQ3" s="420"/>
      <c r="WVR3" s="420"/>
      <c r="WVS3" s="420"/>
      <c r="WVT3" s="419" t="s">
        <v>23</v>
      </c>
      <c r="WVU3" s="420"/>
      <c r="WVV3" s="420"/>
      <c r="WVW3" s="420"/>
      <c r="WVX3" s="419" t="s">
        <v>23</v>
      </c>
      <c r="WVY3" s="420"/>
      <c r="WVZ3" s="420"/>
      <c r="WWA3" s="420"/>
      <c r="WWB3" s="419" t="s">
        <v>23</v>
      </c>
      <c r="WWC3" s="420"/>
      <c r="WWD3" s="420"/>
      <c r="WWE3" s="420"/>
      <c r="WWF3" s="419" t="s">
        <v>23</v>
      </c>
      <c r="WWG3" s="420"/>
      <c r="WWH3" s="420"/>
      <c r="WWI3" s="420"/>
      <c r="WWJ3" s="419" t="s">
        <v>23</v>
      </c>
      <c r="WWK3" s="420"/>
      <c r="WWL3" s="420"/>
      <c r="WWM3" s="420"/>
      <c r="WWN3" s="419" t="s">
        <v>23</v>
      </c>
      <c r="WWO3" s="420"/>
      <c r="WWP3" s="420"/>
      <c r="WWQ3" s="420"/>
      <c r="WWR3" s="419" t="s">
        <v>23</v>
      </c>
      <c r="WWS3" s="420"/>
      <c r="WWT3" s="420"/>
      <c r="WWU3" s="420"/>
      <c r="WWV3" s="419" t="s">
        <v>23</v>
      </c>
      <c r="WWW3" s="420"/>
      <c r="WWX3" s="420"/>
      <c r="WWY3" s="420"/>
      <c r="WWZ3" s="419" t="s">
        <v>23</v>
      </c>
      <c r="WXA3" s="420"/>
      <c r="WXB3" s="420"/>
      <c r="WXC3" s="420"/>
      <c r="WXD3" s="419" t="s">
        <v>23</v>
      </c>
      <c r="WXE3" s="420"/>
      <c r="WXF3" s="420"/>
      <c r="WXG3" s="420"/>
      <c r="WXH3" s="419" t="s">
        <v>23</v>
      </c>
      <c r="WXI3" s="420"/>
      <c r="WXJ3" s="420"/>
      <c r="WXK3" s="420"/>
      <c r="WXL3" s="419" t="s">
        <v>23</v>
      </c>
      <c r="WXM3" s="420"/>
      <c r="WXN3" s="420"/>
      <c r="WXO3" s="420"/>
      <c r="WXP3" s="419" t="s">
        <v>23</v>
      </c>
      <c r="WXQ3" s="420"/>
      <c r="WXR3" s="420"/>
      <c r="WXS3" s="420"/>
      <c r="WXT3" s="419" t="s">
        <v>23</v>
      </c>
      <c r="WXU3" s="420"/>
      <c r="WXV3" s="420"/>
      <c r="WXW3" s="420"/>
      <c r="WXX3" s="419" t="s">
        <v>23</v>
      </c>
      <c r="WXY3" s="420"/>
      <c r="WXZ3" s="420"/>
      <c r="WYA3" s="420"/>
      <c r="WYB3" s="419" t="s">
        <v>23</v>
      </c>
      <c r="WYC3" s="420"/>
      <c r="WYD3" s="420"/>
      <c r="WYE3" s="420"/>
      <c r="WYF3" s="419" t="s">
        <v>23</v>
      </c>
      <c r="WYG3" s="420"/>
      <c r="WYH3" s="420"/>
      <c r="WYI3" s="420"/>
      <c r="WYJ3" s="419" t="s">
        <v>23</v>
      </c>
      <c r="WYK3" s="420"/>
      <c r="WYL3" s="420"/>
      <c r="WYM3" s="420"/>
      <c r="WYN3" s="419" t="s">
        <v>23</v>
      </c>
      <c r="WYO3" s="420"/>
      <c r="WYP3" s="420"/>
      <c r="WYQ3" s="420"/>
      <c r="WYR3" s="419" t="s">
        <v>23</v>
      </c>
      <c r="WYS3" s="420"/>
      <c r="WYT3" s="420"/>
      <c r="WYU3" s="420"/>
      <c r="WYV3" s="419" t="s">
        <v>23</v>
      </c>
      <c r="WYW3" s="420"/>
      <c r="WYX3" s="420"/>
      <c r="WYY3" s="420"/>
      <c r="WYZ3" s="419" t="s">
        <v>23</v>
      </c>
      <c r="WZA3" s="420"/>
      <c r="WZB3" s="420"/>
      <c r="WZC3" s="420"/>
      <c r="WZD3" s="419" t="s">
        <v>23</v>
      </c>
      <c r="WZE3" s="420"/>
      <c r="WZF3" s="420"/>
      <c r="WZG3" s="420"/>
      <c r="WZH3" s="419" t="s">
        <v>23</v>
      </c>
      <c r="WZI3" s="420"/>
      <c r="WZJ3" s="420"/>
      <c r="WZK3" s="420"/>
      <c r="WZL3" s="419" t="s">
        <v>23</v>
      </c>
      <c r="WZM3" s="420"/>
      <c r="WZN3" s="420"/>
      <c r="WZO3" s="420"/>
      <c r="WZP3" s="419" t="s">
        <v>23</v>
      </c>
      <c r="WZQ3" s="420"/>
      <c r="WZR3" s="420"/>
      <c r="WZS3" s="420"/>
      <c r="WZT3" s="419" t="s">
        <v>23</v>
      </c>
      <c r="WZU3" s="420"/>
      <c r="WZV3" s="420"/>
      <c r="WZW3" s="420"/>
      <c r="WZX3" s="419" t="s">
        <v>23</v>
      </c>
      <c r="WZY3" s="420"/>
      <c r="WZZ3" s="420"/>
      <c r="XAA3" s="420"/>
      <c r="XAB3" s="419" t="s">
        <v>23</v>
      </c>
      <c r="XAC3" s="420"/>
      <c r="XAD3" s="420"/>
      <c r="XAE3" s="420"/>
      <c r="XAF3" s="419" t="s">
        <v>23</v>
      </c>
      <c r="XAG3" s="420"/>
      <c r="XAH3" s="420"/>
      <c r="XAI3" s="420"/>
      <c r="XAJ3" s="419" t="s">
        <v>23</v>
      </c>
      <c r="XAK3" s="420"/>
      <c r="XAL3" s="420"/>
      <c r="XAM3" s="420"/>
      <c r="XAN3" s="419" t="s">
        <v>23</v>
      </c>
      <c r="XAO3" s="420"/>
      <c r="XAP3" s="420"/>
      <c r="XAQ3" s="420"/>
      <c r="XAR3" s="419" t="s">
        <v>23</v>
      </c>
      <c r="XAS3" s="420"/>
      <c r="XAT3" s="420"/>
      <c r="XAU3" s="420"/>
      <c r="XAV3" s="419" t="s">
        <v>23</v>
      </c>
      <c r="XAW3" s="420"/>
      <c r="XAX3" s="420"/>
      <c r="XAY3" s="420"/>
      <c r="XAZ3" s="419" t="s">
        <v>23</v>
      </c>
      <c r="XBA3" s="420"/>
      <c r="XBB3" s="420"/>
      <c r="XBC3" s="420"/>
      <c r="XBD3" s="419" t="s">
        <v>23</v>
      </c>
      <c r="XBE3" s="420"/>
      <c r="XBF3" s="420"/>
      <c r="XBG3" s="420"/>
      <c r="XBH3" s="419" t="s">
        <v>23</v>
      </c>
      <c r="XBI3" s="420"/>
      <c r="XBJ3" s="420"/>
      <c r="XBK3" s="420"/>
      <c r="XBL3" s="419" t="s">
        <v>23</v>
      </c>
      <c r="XBM3" s="420"/>
      <c r="XBN3" s="420"/>
      <c r="XBO3" s="420"/>
      <c r="XBP3" s="419" t="s">
        <v>23</v>
      </c>
      <c r="XBQ3" s="420"/>
      <c r="XBR3" s="420"/>
      <c r="XBS3" s="420"/>
      <c r="XBT3" s="419" t="s">
        <v>23</v>
      </c>
      <c r="XBU3" s="420"/>
      <c r="XBV3" s="420"/>
      <c r="XBW3" s="420"/>
      <c r="XBX3" s="419" t="s">
        <v>23</v>
      </c>
      <c r="XBY3" s="420"/>
      <c r="XBZ3" s="420"/>
      <c r="XCA3" s="420"/>
      <c r="XCB3" s="419" t="s">
        <v>23</v>
      </c>
      <c r="XCC3" s="420"/>
      <c r="XCD3" s="420"/>
      <c r="XCE3" s="420"/>
      <c r="XCF3" s="419" t="s">
        <v>23</v>
      </c>
      <c r="XCG3" s="420"/>
      <c r="XCH3" s="420"/>
      <c r="XCI3" s="420"/>
      <c r="XCJ3" s="419" t="s">
        <v>23</v>
      </c>
      <c r="XCK3" s="420"/>
      <c r="XCL3" s="420"/>
      <c r="XCM3" s="420"/>
      <c r="XCN3" s="419" t="s">
        <v>23</v>
      </c>
      <c r="XCO3" s="420"/>
      <c r="XCP3" s="420"/>
      <c r="XCQ3" s="420"/>
      <c r="XCR3" s="419" t="s">
        <v>23</v>
      </c>
      <c r="XCS3" s="420"/>
      <c r="XCT3" s="420"/>
      <c r="XCU3" s="420"/>
      <c r="XCV3" s="419" t="s">
        <v>23</v>
      </c>
      <c r="XCW3" s="420"/>
      <c r="XCX3" s="420"/>
      <c r="XCY3" s="420"/>
      <c r="XCZ3" s="419" t="s">
        <v>23</v>
      </c>
      <c r="XDA3" s="420"/>
      <c r="XDB3" s="420"/>
      <c r="XDC3" s="420"/>
      <c r="XDD3" s="419" t="s">
        <v>23</v>
      </c>
      <c r="XDE3" s="420"/>
      <c r="XDF3" s="420"/>
      <c r="XDG3" s="420"/>
      <c r="XDH3" s="419" t="s">
        <v>23</v>
      </c>
      <c r="XDI3" s="420"/>
      <c r="XDJ3" s="420"/>
      <c r="XDK3" s="420"/>
      <c r="XDL3" s="419" t="s">
        <v>23</v>
      </c>
      <c r="XDM3" s="420"/>
      <c r="XDN3" s="420"/>
      <c r="XDO3" s="420"/>
      <c r="XDP3" s="419" t="s">
        <v>23</v>
      </c>
      <c r="XDQ3" s="420"/>
      <c r="XDR3" s="420"/>
      <c r="XDS3" s="420"/>
      <c r="XDT3" s="419" t="s">
        <v>23</v>
      </c>
      <c r="XDU3" s="420"/>
      <c r="XDV3" s="420"/>
      <c r="XDW3" s="420"/>
      <c r="XDX3" s="419" t="s">
        <v>23</v>
      </c>
      <c r="XDY3" s="420"/>
      <c r="XDZ3" s="420"/>
      <c r="XEA3" s="420"/>
      <c r="XEB3" s="419" t="s">
        <v>23</v>
      </c>
      <c r="XEC3" s="420"/>
      <c r="XED3" s="420"/>
      <c r="XEE3" s="420"/>
      <c r="XEF3" s="419" t="s">
        <v>23</v>
      </c>
      <c r="XEG3" s="419"/>
      <c r="XEH3" s="419"/>
      <c r="XEI3" s="419"/>
    </row>
    <row r="4" spans="1:16363" ht="36.950000000000003" customHeight="1" thickBot="1" x14ac:dyDescent="0.35">
      <c r="A4" s="347" t="s">
        <v>24</v>
      </c>
      <c r="B4" s="348" t="s">
        <v>25</v>
      </c>
      <c r="C4" s="349" t="str">
        <f>CONCATENATE("Área: ",ROUND(SUM(C5:C44),2),IF(UM=2," Mz."," Ha."))</f>
        <v>Área: 1 Mz.</v>
      </c>
      <c r="D4" s="350" t="s">
        <v>26</v>
      </c>
      <c r="E4" s="350" t="s">
        <v>27</v>
      </c>
      <c r="F4" s="351" t="str">
        <f>CONCATENATE("Plantas por ",IF(UM=2,"Mz","Ha."))</f>
        <v>Plantas por Mz</v>
      </c>
      <c r="G4" s="36">
        <f>Año_Inicial</f>
        <v>2023</v>
      </c>
      <c r="H4" s="37">
        <f>Año_Inicial+1</f>
        <v>2024</v>
      </c>
      <c r="I4" s="37">
        <f>Año_Inicial+2</f>
        <v>2025</v>
      </c>
      <c r="J4" s="37">
        <f>Año_Inicial+3</f>
        <v>2026</v>
      </c>
      <c r="K4" s="37">
        <f>Año_Inicial+4</f>
        <v>2027</v>
      </c>
      <c r="L4" s="37">
        <f>Año_Inicial+5</f>
        <v>2028</v>
      </c>
      <c r="M4" s="37">
        <f>Año_Inicial+6</f>
        <v>2029</v>
      </c>
      <c r="N4" s="37">
        <f>Año_Inicial+7</f>
        <v>2030</v>
      </c>
      <c r="O4" s="37">
        <f>Año_Inicial+8</f>
        <v>2031</v>
      </c>
      <c r="P4" s="37">
        <f>Año_Inicial+9</f>
        <v>2032</v>
      </c>
      <c r="Q4" s="37">
        <f>Año_Inicial+10</f>
        <v>2033</v>
      </c>
      <c r="R4" s="352">
        <f>Año_Inicial+11</f>
        <v>2034</v>
      </c>
      <c r="Y4" s="58" t="s">
        <v>28</v>
      </c>
      <c r="Z4" s="58" t="s">
        <v>29</v>
      </c>
      <c r="AA4" s="58" t="s">
        <v>30</v>
      </c>
      <c r="AB4" s="58" t="s">
        <v>31</v>
      </c>
      <c r="AC4" s="58" t="s">
        <v>32</v>
      </c>
      <c r="AD4" s="58" t="s">
        <v>33</v>
      </c>
      <c r="AE4" s="58" t="s">
        <v>34</v>
      </c>
      <c r="AF4" s="58" t="s">
        <v>35</v>
      </c>
      <c r="AG4" s="58" t="s">
        <v>36</v>
      </c>
    </row>
    <row r="5" spans="1:16363" ht="24" customHeight="1" x14ac:dyDescent="0.3">
      <c r="A5" s="38">
        <v>1</v>
      </c>
      <c r="B5" s="39" t="s">
        <v>4569</v>
      </c>
      <c r="C5" s="40">
        <v>1</v>
      </c>
      <c r="D5" s="41">
        <v>1</v>
      </c>
      <c r="E5" s="41">
        <v>1</v>
      </c>
      <c r="F5" s="190">
        <f t="shared" ref="F5:F36" si="0">IFERROR(IF(UM=1,10000/(D5*E5),7000/(D5*E5)),0)</f>
        <v>7000</v>
      </c>
      <c r="G5" s="357">
        <v>1</v>
      </c>
      <c r="H5" s="358">
        <v>1</v>
      </c>
      <c r="I5" s="358">
        <v>1</v>
      </c>
      <c r="J5" s="358">
        <v>1</v>
      </c>
      <c r="K5" s="358">
        <v>1</v>
      </c>
      <c r="L5" s="358">
        <v>1</v>
      </c>
      <c r="M5" s="358">
        <v>1</v>
      </c>
      <c r="N5" s="358">
        <v>1</v>
      </c>
      <c r="O5" s="358">
        <v>1</v>
      </c>
      <c r="P5" s="358">
        <v>1</v>
      </c>
      <c r="Q5" s="358">
        <v>1</v>
      </c>
      <c r="R5" s="358">
        <v>1</v>
      </c>
      <c r="U5" s="58" t="s">
        <v>37</v>
      </c>
      <c r="W5" s="58" t="s">
        <v>38</v>
      </c>
      <c r="Z5" s="58" t="s">
        <v>39</v>
      </c>
      <c r="AA5" s="58" t="s">
        <v>40</v>
      </c>
      <c r="AB5" s="58" t="s">
        <v>41</v>
      </c>
      <c r="AC5" s="58" t="s">
        <v>42</v>
      </c>
      <c r="AD5" s="58" t="s">
        <v>43</v>
      </c>
      <c r="AE5" s="58" t="s">
        <v>44</v>
      </c>
      <c r="AF5" s="58" t="s">
        <v>45</v>
      </c>
      <c r="AG5" s="58" t="str">
        <f>IF('4'!A7="","",'4'!A7)</f>
        <v>Salarios</v>
      </c>
      <c r="AL5" s="42"/>
    </row>
    <row r="6" spans="1:16363" ht="24" customHeight="1" x14ac:dyDescent="0.3">
      <c r="A6" s="43" t="str">
        <f>IF(B6="","",A5+1)</f>
        <v/>
      </c>
      <c r="B6" s="39"/>
      <c r="C6" s="40"/>
      <c r="D6" s="41"/>
      <c r="E6" s="41"/>
      <c r="F6" s="188">
        <f t="shared" si="0"/>
        <v>0</v>
      </c>
      <c r="G6" s="359">
        <v>1</v>
      </c>
      <c r="H6" s="360">
        <v>1</v>
      </c>
      <c r="I6" s="360">
        <v>1</v>
      </c>
      <c r="J6" s="360">
        <v>1</v>
      </c>
      <c r="K6" s="360">
        <v>1</v>
      </c>
      <c r="L6" s="360">
        <v>1</v>
      </c>
      <c r="M6" s="360">
        <v>1</v>
      </c>
      <c r="N6" s="360">
        <v>1</v>
      </c>
      <c r="O6" s="360">
        <v>1</v>
      </c>
      <c r="P6" s="360">
        <v>1</v>
      </c>
      <c r="Q6" s="360">
        <v>1</v>
      </c>
      <c r="R6" s="360">
        <v>1</v>
      </c>
      <c r="U6" s="58" t="s">
        <v>46</v>
      </c>
      <c r="W6" s="191" t="str">
        <f>B5</f>
        <v>La Cumbre</v>
      </c>
      <c r="X6" s="191"/>
      <c r="Z6" s="58" t="s">
        <v>47</v>
      </c>
      <c r="AA6" s="58" t="s">
        <v>48</v>
      </c>
      <c r="AB6" s="58" t="s">
        <v>49</v>
      </c>
      <c r="AC6" s="58" t="s">
        <v>50</v>
      </c>
      <c r="AD6" s="58" t="s">
        <v>51</v>
      </c>
      <c r="AE6" s="58" t="s">
        <v>52</v>
      </c>
      <c r="AF6" s="58" t="s">
        <v>53</v>
      </c>
      <c r="AG6" s="58" t="str">
        <f>IF('4'!A8="","",'4'!A8)</f>
        <v>Gastos Administrativos</v>
      </c>
      <c r="AL6" s="42"/>
    </row>
    <row r="7" spans="1:16363" ht="24" customHeight="1" x14ac:dyDescent="0.3">
      <c r="A7" s="43" t="str">
        <f t="shared" ref="A7:A44" si="1">IF(B7="","",A6+1)</f>
        <v/>
      </c>
      <c r="B7" s="39"/>
      <c r="C7" s="40"/>
      <c r="D7" s="41"/>
      <c r="E7" s="41"/>
      <c r="F7" s="188">
        <f t="shared" si="0"/>
        <v>0</v>
      </c>
      <c r="G7" s="359">
        <v>1</v>
      </c>
      <c r="H7" s="360">
        <v>1</v>
      </c>
      <c r="I7" s="360">
        <v>1</v>
      </c>
      <c r="J7" s="360">
        <v>1</v>
      </c>
      <c r="K7" s="360">
        <v>1</v>
      </c>
      <c r="L7" s="360">
        <v>1</v>
      </c>
      <c r="M7" s="360">
        <v>1</v>
      </c>
      <c r="N7" s="360">
        <v>1</v>
      </c>
      <c r="O7" s="360">
        <v>1</v>
      </c>
      <c r="P7" s="360">
        <v>1</v>
      </c>
      <c r="Q7" s="360">
        <v>1</v>
      </c>
      <c r="R7" s="360">
        <v>1</v>
      </c>
      <c r="U7" s="58" t="s">
        <v>54</v>
      </c>
      <c r="W7" s="191">
        <f t="shared" ref="W7:W44" si="2">B6</f>
        <v>0</v>
      </c>
      <c r="X7" s="191"/>
      <c r="AB7" s="58" t="s">
        <v>55</v>
      </c>
      <c r="AC7" s="58" t="s">
        <v>56</v>
      </c>
      <c r="AD7" s="58" t="s">
        <v>57</v>
      </c>
      <c r="AE7" s="58" t="s">
        <v>58</v>
      </c>
      <c r="AG7" s="58" t="str">
        <f>IF('4'!A9="","",'4'!A9)</f>
        <v>Energia Eléctrica, agua y teléfono</v>
      </c>
      <c r="AL7" s="42"/>
    </row>
    <row r="8" spans="1:16363" ht="24" customHeight="1" x14ac:dyDescent="0.3">
      <c r="A8" s="43" t="str">
        <f t="shared" si="1"/>
        <v/>
      </c>
      <c r="B8" s="39"/>
      <c r="C8" s="40"/>
      <c r="D8" s="41"/>
      <c r="E8" s="41"/>
      <c r="F8" s="188">
        <f t="shared" si="0"/>
        <v>0</v>
      </c>
      <c r="G8" s="359">
        <v>1</v>
      </c>
      <c r="H8" s="360">
        <v>1</v>
      </c>
      <c r="I8" s="360">
        <v>1</v>
      </c>
      <c r="J8" s="360">
        <v>1</v>
      </c>
      <c r="K8" s="360">
        <v>1</v>
      </c>
      <c r="L8" s="360">
        <v>1</v>
      </c>
      <c r="M8" s="360">
        <v>1</v>
      </c>
      <c r="N8" s="360">
        <v>1</v>
      </c>
      <c r="O8" s="360">
        <v>1</v>
      </c>
      <c r="P8" s="360">
        <v>1</v>
      </c>
      <c r="Q8" s="360">
        <v>1</v>
      </c>
      <c r="R8" s="360">
        <v>1</v>
      </c>
      <c r="U8" s="58" t="s">
        <v>59</v>
      </c>
      <c r="W8" s="191">
        <f t="shared" si="2"/>
        <v>0</v>
      </c>
      <c r="X8" s="191"/>
      <c r="Y8" s="191"/>
      <c r="Z8" s="191"/>
      <c r="AB8" s="58" t="s">
        <v>60</v>
      </c>
      <c r="AD8" s="58" t="s">
        <v>61</v>
      </c>
      <c r="AE8" s="58" t="str">
        <f>CONCATENATE("Otro insumo 1: ",'2'!C11)</f>
        <v xml:space="preserve">Otro insumo 1: </v>
      </c>
      <c r="AG8" s="58" t="str">
        <f>IF('4'!A10="","",'4'!A10)</f>
        <v>Gastos Generales</v>
      </c>
      <c r="AL8" s="42"/>
    </row>
    <row r="9" spans="1:16363" ht="24" customHeight="1" x14ac:dyDescent="0.3">
      <c r="A9" s="43" t="str">
        <f t="shared" si="1"/>
        <v/>
      </c>
      <c r="B9" s="39"/>
      <c r="C9" s="40"/>
      <c r="D9" s="41"/>
      <c r="E9" s="41"/>
      <c r="F9" s="188">
        <f t="shared" si="0"/>
        <v>0</v>
      </c>
      <c r="G9" s="359">
        <v>1</v>
      </c>
      <c r="H9" s="360">
        <v>1</v>
      </c>
      <c r="I9" s="360">
        <v>1</v>
      </c>
      <c r="J9" s="360">
        <v>1</v>
      </c>
      <c r="K9" s="360">
        <v>1</v>
      </c>
      <c r="L9" s="360">
        <v>1</v>
      </c>
      <c r="M9" s="360">
        <v>1</v>
      </c>
      <c r="N9" s="360">
        <v>1</v>
      </c>
      <c r="O9" s="360">
        <v>1</v>
      </c>
      <c r="P9" s="360">
        <v>1</v>
      </c>
      <c r="Q9" s="360">
        <v>1</v>
      </c>
      <c r="R9" s="360">
        <v>1</v>
      </c>
      <c r="U9" s="191">
        <f>SUM(C5:C44)</f>
        <v>1</v>
      </c>
      <c r="W9" s="191">
        <f t="shared" si="2"/>
        <v>0</v>
      </c>
      <c r="X9" s="191"/>
      <c r="Y9" s="191"/>
      <c r="Z9" s="191"/>
      <c r="AD9" s="58" t="s">
        <v>62</v>
      </c>
      <c r="AE9" s="58" t="str">
        <f>CONCATENATE("Otro insumo 2: ",'2'!C12)</f>
        <v xml:space="preserve">Otro insumo 2: </v>
      </c>
      <c r="AG9" s="58" t="str">
        <f>IF('4'!A11="","",'4'!A11)</f>
        <v/>
      </c>
      <c r="AL9" s="42"/>
    </row>
    <row r="10" spans="1:16363" ht="24" customHeight="1" x14ac:dyDescent="0.3">
      <c r="A10" s="43" t="str">
        <f t="shared" si="1"/>
        <v/>
      </c>
      <c r="B10" s="39"/>
      <c r="C10" s="40"/>
      <c r="D10" s="41"/>
      <c r="E10" s="41"/>
      <c r="F10" s="188">
        <f t="shared" si="0"/>
        <v>0</v>
      </c>
      <c r="G10" s="359">
        <v>1</v>
      </c>
      <c r="H10" s="360">
        <v>1</v>
      </c>
      <c r="I10" s="360">
        <v>1</v>
      </c>
      <c r="J10" s="360">
        <v>1</v>
      </c>
      <c r="K10" s="360">
        <v>1</v>
      </c>
      <c r="L10" s="360">
        <v>1</v>
      </c>
      <c r="M10" s="360">
        <v>1</v>
      </c>
      <c r="N10" s="360">
        <v>1</v>
      </c>
      <c r="O10" s="360">
        <v>1</v>
      </c>
      <c r="P10" s="360">
        <v>1</v>
      </c>
      <c r="Q10" s="360">
        <v>1</v>
      </c>
      <c r="R10" s="360">
        <v>1</v>
      </c>
      <c r="W10" s="191">
        <f t="shared" si="2"/>
        <v>0</v>
      </c>
      <c r="X10" s="191"/>
      <c r="Y10" s="191"/>
      <c r="Z10" s="191"/>
      <c r="AE10" s="58" t="str">
        <f>CONCATENATE("Otro insumo 3: ",'2'!C13)</f>
        <v xml:space="preserve">Otro insumo 3: </v>
      </c>
      <c r="AG10" s="58" t="str">
        <f>IF('4'!A12="","",'4'!A12)</f>
        <v/>
      </c>
      <c r="AL10" s="42"/>
    </row>
    <row r="11" spans="1:16363" ht="24" customHeight="1" x14ac:dyDescent="0.3">
      <c r="A11" s="43" t="str">
        <f t="shared" si="1"/>
        <v/>
      </c>
      <c r="B11" s="39"/>
      <c r="C11" s="40"/>
      <c r="D11" s="41"/>
      <c r="E11" s="41"/>
      <c r="F11" s="188">
        <f t="shared" si="0"/>
        <v>0</v>
      </c>
      <c r="G11" s="359">
        <v>1</v>
      </c>
      <c r="H11" s="360">
        <v>1</v>
      </c>
      <c r="I11" s="360">
        <v>1</v>
      </c>
      <c r="J11" s="360">
        <v>1</v>
      </c>
      <c r="K11" s="360">
        <v>1</v>
      </c>
      <c r="L11" s="360">
        <v>1</v>
      </c>
      <c r="M11" s="360">
        <v>1</v>
      </c>
      <c r="N11" s="360">
        <v>1</v>
      </c>
      <c r="O11" s="360">
        <v>1</v>
      </c>
      <c r="P11" s="360">
        <v>1</v>
      </c>
      <c r="Q11" s="360">
        <v>1</v>
      </c>
      <c r="R11" s="360">
        <v>1</v>
      </c>
      <c r="W11" s="191">
        <f t="shared" si="2"/>
        <v>0</v>
      </c>
      <c r="X11" s="191"/>
      <c r="Y11" s="191"/>
      <c r="Z11" s="191"/>
      <c r="AG11" s="58" t="str">
        <f>IF('4'!A13="","",'4'!A13)</f>
        <v/>
      </c>
      <c r="AL11" s="42"/>
    </row>
    <row r="12" spans="1:16363" ht="24" customHeight="1" x14ac:dyDescent="0.3">
      <c r="A12" s="43" t="str">
        <f t="shared" si="1"/>
        <v/>
      </c>
      <c r="B12" s="39"/>
      <c r="C12" s="40"/>
      <c r="D12" s="41"/>
      <c r="E12" s="41"/>
      <c r="F12" s="188">
        <f t="shared" si="0"/>
        <v>0</v>
      </c>
      <c r="G12" s="359">
        <v>1</v>
      </c>
      <c r="H12" s="360">
        <v>1</v>
      </c>
      <c r="I12" s="360">
        <v>1</v>
      </c>
      <c r="J12" s="360">
        <v>1</v>
      </c>
      <c r="K12" s="360">
        <v>1</v>
      </c>
      <c r="L12" s="360">
        <v>1</v>
      </c>
      <c r="M12" s="360">
        <v>1</v>
      </c>
      <c r="N12" s="360">
        <v>1</v>
      </c>
      <c r="O12" s="360">
        <v>1</v>
      </c>
      <c r="P12" s="360">
        <v>1</v>
      </c>
      <c r="Q12" s="360">
        <v>1</v>
      </c>
      <c r="R12" s="360">
        <v>1</v>
      </c>
      <c r="W12" s="191">
        <f t="shared" si="2"/>
        <v>0</v>
      </c>
      <c r="X12" s="191"/>
      <c r="Y12" s="191"/>
      <c r="Z12" s="191"/>
      <c r="AG12" s="58" t="str">
        <f>IF('4'!A14="","",'4'!A14)</f>
        <v/>
      </c>
      <c r="AL12" s="42"/>
    </row>
    <row r="13" spans="1:16363" ht="24" customHeight="1" x14ac:dyDescent="0.3">
      <c r="A13" s="43" t="str">
        <f t="shared" si="1"/>
        <v/>
      </c>
      <c r="B13" s="39"/>
      <c r="C13" s="40"/>
      <c r="D13" s="41"/>
      <c r="E13" s="41"/>
      <c r="F13" s="188">
        <f t="shared" si="0"/>
        <v>0</v>
      </c>
      <c r="G13" s="359">
        <v>1</v>
      </c>
      <c r="H13" s="360">
        <v>1</v>
      </c>
      <c r="I13" s="360">
        <v>1</v>
      </c>
      <c r="J13" s="360">
        <v>1</v>
      </c>
      <c r="K13" s="360">
        <v>1</v>
      </c>
      <c r="L13" s="360">
        <v>1</v>
      </c>
      <c r="M13" s="360">
        <v>1</v>
      </c>
      <c r="N13" s="360">
        <v>1</v>
      </c>
      <c r="O13" s="360">
        <v>1</v>
      </c>
      <c r="P13" s="360">
        <v>1</v>
      </c>
      <c r="Q13" s="360">
        <v>1</v>
      </c>
      <c r="R13" s="360">
        <v>1</v>
      </c>
      <c r="W13" s="191">
        <f t="shared" si="2"/>
        <v>0</v>
      </c>
      <c r="X13" s="191"/>
      <c r="Y13" s="191"/>
      <c r="Z13" s="191"/>
      <c r="AL13" s="42"/>
    </row>
    <row r="14" spans="1:16363" ht="24" customHeight="1" x14ac:dyDescent="0.3">
      <c r="A14" s="43" t="str">
        <f t="shared" si="1"/>
        <v/>
      </c>
      <c r="B14" s="39"/>
      <c r="C14" s="40"/>
      <c r="D14" s="41"/>
      <c r="E14" s="41"/>
      <c r="F14" s="188">
        <f t="shared" si="0"/>
        <v>0</v>
      </c>
      <c r="G14" s="359">
        <v>1</v>
      </c>
      <c r="H14" s="360">
        <v>1</v>
      </c>
      <c r="I14" s="360">
        <v>1</v>
      </c>
      <c r="J14" s="360">
        <v>1</v>
      </c>
      <c r="K14" s="360">
        <v>1</v>
      </c>
      <c r="L14" s="360">
        <v>1</v>
      </c>
      <c r="M14" s="360">
        <v>1</v>
      </c>
      <c r="N14" s="360">
        <v>1</v>
      </c>
      <c r="O14" s="360">
        <v>1</v>
      </c>
      <c r="P14" s="360">
        <v>1</v>
      </c>
      <c r="Q14" s="360">
        <v>1</v>
      </c>
      <c r="R14" s="360">
        <v>1</v>
      </c>
      <c r="W14" s="191">
        <f t="shared" si="2"/>
        <v>0</v>
      </c>
      <c r="X14" s="191"/>
      <c r="Y14" s="191"/>
      <c r="Z14" s="191"/>
      <c r="AL14" s="42"/>
    </row>
    <row r="15" spans="1:16363" ht="24" customHeight="1" x14ac:dyDescent="0.3">
      <c r="A15" s="43" t="str">
        <f t="shared" si="1"/>
        <v/>
      </c>
      <c r="B15" s="39"/>
      <c r="C15" s="40"/>
      <c r="D15" s="41"/>
      <c r="E15" s="41"/>
      <c r="F15" s="188">
        <f t="shared" si="0"/>
        <v>0</v>
      </c>
      <c r="G15" s="359">
        <v>1</v>
      </c>
      <c r="H15" s="360">
        <v>1</v>
      </c>
      <c r="I15" s="360">
        <v>1</v>
      </c>
      <c r="J15" s="360">
        <v>1</v>
      </c>
      <c r="K15" s="360">
        <v>1</v>
      </c>
      <c r="L15" s="360">
        <v>1</v>
      </c>
      <c r="M15" s="360">
        <v>1</v>
      </c>
      <c r="N15" s="360">
        <v>1</v>
      </c>
      <c r="O15" s="360">
        <v>1</v>
      </c>
      <c r="P15" s="360">
        <v>1</v>
      </c>
      <c r="Q15" s="360">
        <v>1</v>
      </c>
      <c r="R15" s="360">
        <v>1</v>
      </c>
      <c r="W15" s="191">
        <f t="shared" si="2"/>
        <v>0</v>
      </c>
      <c r="X15" s="191"/>
      <c r="Y15" s="191"/>
      <c r="Z15" s="191"/>
      <c r="AL15" s="42"/>
    </row>
    <row r="16" spans="1:16363" ht="24" customHeight="1" x14ac:dyDescent="0.3">
      <c r="A16" s="43" t="str">
        <f t="shared" si="1"/>
        <v/>
      </c>
      <c r="B16" s="39"/>
      <c r="C16" s="40"/>
      <c r="D16" s="41"/>
      <c r="E16" s="41"/>
      <c r="F16" s="188">
        <f t="shared" si="0"/>
        <v>0</v>
      </c>
      <c r="G16" s="359">
        <v>1</v>
      </c>
      <c r="H16" s="360">
        <v>1</v>
      </c>
      <c r="I16" s="360">
        <v>1</v>
      </c>
      <c r="J16" s="360">
        <v>1</v>
      </c>
      <c r="K16" s="360">
        <v>1</v>
      </c>
      <c r="L16" s="360">
        <v>1</v>
      </c>
      <c r="M16" s="360">
        <v>1</v>
      </c>
      <c r="N16" s="360">
        <v>1</v>
      </c>
      <c r="O16" s="360">
        <v>1</v>
      </c>
      <c r="P16" s="360">
        <v>1</v>
      </c>
      <c r="Q16" s="360">
        <v>1</v>
      </c>
      <c r="R16" s="360">
        <v>1</v>
      </c>
      <c r="W16" s="191">
        <f t="shared" si="2"/>
        <v>0</v>
      </c>
      <c r="X16" s="191"/>
      <c r="Y16" s="191"/>
      <c r="Z16" s="191"/>
      <c r="AL16" s="42"/>
    </row>
    <row r="17" spans="1:38" ht="24" customHeight="1" x14ac:dyDescent="0.3">
      <c r="A17" s="43" t="str">
        <f t="shared" si="1"/>
        <v/>
      </c>
      <c r="B17" s="39"/>
      <c r="C17" s="40"/>
      <c r="D17" s="41"/>
      <c r="E17" s="41"/>
      <c r="F17" s="188">
        <f t="shared" si="0"/>
        <v>0</v>
      </c>
      <c r="G17" s="359">
        <v>1</v>
      </c>
      <c r="H17" s="360">
        <v>1</v>
      </c>
      <c r="I17" s="360">
        <v>1</v>
      </c>
      <c r="J17" s="360">
        <v>1</v>
      </c>
      <c r="K17" s="360">
        <v>1</v>
      </c>
      <c r="L17" s="360">
        <v>1</v>
      </c>
      <c r="M17" s="360">
        <v>1</v>
      </c>
      <c r="N17" s="360">
        <v>1</v>
      </c>
      <c r="O17" s="360">
        <v>1</v>
      </c>
      <c r="P17" s="360">
        <v>1</v>
      </c>
      <c r="Q17" s="360">
        <v>1</v>
      </c>
      <c r="R17" s="360">
        <v>1</v>
      </c>
      <c r="W17" s="191">
        <f t="shared" si="2"/>
        <v>0</v>
      </c>
      <c r="X17" s="191"/>
      <c r="Y17" s="191"/>
      <c r="Z17" s="191"/>
      <c r="AL17" s="42"/>
    </row>
    <row r="18" spans="1:38" ht="24" customHeight="1" x14ac:dyDescent="0.3">
      <c r="A18" s="43" t="str">
        <f t="shared" si="1"/>
        <v/>
      </c>
      <c r="B18" s="39"/>
      <c r="C18" s="40"/>
      <c r="D18" s="41"/>
      <c r="E18" s="41"/>
      <c r="F18" s="188">
        <f t="shared" si="0"/>
        <v>0</v>
      </c>
      <c r="G18" s="359">
        <v>1</v>
      </c>
      <c r="H18" s="360">
        <v>1</v>
      </c>
      <c r="I18" s="360">
        <v>1</v>
      </c>
      <c r="J18" s="360">
        <v>1</v>
      </c>
      <c r="K18" s="360">
        <v>1</v>
      </c>
      <c r="L18" s="360">
        <v>1</v>
      </c>
      <c r="M18" s="360">
        <v>1</v>
      </c>
      <c r="N18" s="360">
        <v>1</v>
      </c>
      <c r="O18" s="360">
        <v>1</v>
      </c>
      <c r="P18" s="360">
        <v>1</v>
      </c>
      <c r="Q18" s="360">
        <v>1</v>
      </c>
      <c r="R18" s="360">
        <v>1</v>
      </c>
      <c r="W18" s="191">
        <f t="shared" si="2"/>
        <v>0</v>
      </c>
      <c r="X18" s="191"/>
      <c r="Y18" s="191"/>
      <c r="Z18" s="191"/>
      <c r="AL18" s="42"/>
    </row>
    <row r="19" spans="1:38" ht="24" customHeight="1" x14ac:dyDescent="0.3">
      <c r="A19" s="43" t="str">
        <f t="shared" si="1"/>
        <v/>
      </c>
      <c r="B19" s="39"/>
      <c r="C19" s="40"/>
      <c r="D19" s="41"/>
      <c r="E19" s="41"/>
      <c r="F19" s="188">
        <f t="shared" si="0"/>
        <v>0</v>
      </c>
      <c r="G19" s="359">
        <v>1</v>
      </c>
      <c r="H19" s="360">
        <v>1</v>
      </c>
      <c r="I19" s="360">
        <v>1</v>
      </c>
      <c r="J19" s="360">
        <v>1</v>
      </c>
      <c r="K19" s="360">
        <v>1</v>
      </c>
      <c r="L19" s="360">
        <v>1</v>
      </c>
      <c r="M19" s="360">
        <v>1</v>
      </c>
      <c r="N19" s="360">
        <v>1</v>
      </c>
      <c r="O19" s="360">
        <v>1</v>
      </c>
      <c r="P19" s="360">
        <v>1</v>
      </c>
      <c r="Q19" s="360">
        <v>1</v>
      </c>
      <c r="R19" s="360">
        <v>1</v>
      </c>
      <c r="W19" s="191">
        <f t="shared" si="2"/>
        <v>0</v>
      </c>
      <c r="X19" s="191"/>
      <c r="Y19" s="191"/>
      <c r="Z19" s="191"/>
      <c r="AL19" s="42"/>
    </row>
    <row r="20" spans="1:38" ht="24" customHeight="1" x14ac:dyDescent="0.3">
      <c r="A20" s="43" t="str">
        <f t="shared" si="1"/>
        <v/>
      </c>
      <c r="B20" s="39"/>
      <c r="C20" s="40"/>
      <c r="D20" s="41"/>
      <c r="E20" s="41"/>
      <c r="F20" s="188">
        <f t="shared" si="0"/>
        <v>0</v>
      </c>
      <c r="G20" s="359">
        <v>1</v>
      </c>
      <c r="H20" s="360">
        <v>1</v>
      </c>
      <c r="I20" s="360">
        <v>1</v>
      </c>
      <c r="J20" s="360">
        <v>1</v>
      </c>
      <c r="K20" s="360">
        <v>1</v>
      </c>
      <c r="L20" s="360">
        <v>1</v>
      </c>
      <c r="M20" s="360">
        <v>1</v>
      </c>
      <c r="N20" s="360">
        <v>1</v>
      </c>
      <c r="O20" s="360">
        <v>1</v>
      </c>
      <c r="P20" s="360">
        <v>1</v>
      </c>
      <c r="Q20" s="360">
        <v>1</v>
      </c>
      <c r="R20" s="360">
        <v>1</v>
      </c>
      <c r="W20" s="191">
        <f t="shared" si="2"/>
        <v>0</v>
      </c>
      <c r="X20" s="191"/>
      <c r="Y20" s="191"/>
      <c r="Z20" s="191"/>
      <c r="AL20" s="42"/>
    </row>
    <row r="21" spans="1:38" ht="24" customHeight="1" x14ac:dyDescent="0.3">
      <c r="A21" s="43" t="str">
        <f t="shared" si="1"/>
        <v/>
      </c>
      <c r="B21" s="39"/>
      <c r="C21" s="40"/>
      <c r="D21" s="41"/>
      <c r="E21" s="41"/>
      <c r="F21" s="188">
        <f t="shared" si="0"/>
        <v>0</v>
      </c>
      <c r="G21" s="359">
        <v>1</v>
      </c>
      <c r="H21" s="360">
        <v>1</v>
      </c>
      <c r="I21" s="360">
        <v>1</v>
      </c>
      <c r="J21" s="360">
        <v>1</v>
      </c>
      <c r="K21" s="360">
        <v>1</v>
      </c>
      <c r="L21" s="360">
        <v>1</v>
      </c>
      <c r="M21" s="360">
        <v>1</v>
      </c>
      <c r="N21" s="360">
        <v>1</v>
      </c>
      <c r="O21" s="360">
        <v>1</v>
      </c>
      <c r="P21" s="360">
        <v>1</v>
      </c>
      <c r="Q21" s="360">
        <v>1</v>
      </c>
      <c r="R21" s="360">
        <v>1</v>
      </c>
      <c r="W21" s="191">
        <f t="shared" si="2"/>
        <v>0</v>
      </c>
      <c r="X21" s="191"/>
      <c r="Y21" s="191"/>
      <c r="Z21" s="191"/>
      <c r="AL21" s="42"/>
    </row>
    <row r="22" spans="1:38" ht="24" customHeight="1" x14ac:dyDescent="0.3">
      <c r="A22" s="43" t="str">
        <f t="shared" si="1"/>
        <v/>
      </c>
      <c r="B22" s="39"/>
      <c r="C22" s="40"/>
      <c r="D22" s="41"/>
      <c r="E22" s="41"/>
      <c r="F22" s="188">
        <f t="shared" si="0"/>
        <v>0</v>
      </c>
      <c r="G22" s="359">
        <v>1</v>
      </c>
      <c r="H22" s="360">
        <v>1</v>
      </c>
      <c r="I22" s="360">
        <v>1</v>
      </c>
      <c r="J22" s="360">
        <v>1</v>
      </c>
      <c r="K22" s="360">
        <v>1</v>
      </c>
      <c r="L22" s="360">
        <v>1</v>
      </c>
      <c r="M22" s="360">
        <v>1</v>
      </c>
      <c r="N22" s="360">
        <v>1</v>
      </c>
      <c r="O22" s="360">
        <v>1</v>
      </c>
      <c r="P22" s="360">
        <v>1</v>
      </c>
      <c r="Q22" s="360">
        <v>1</v>
      </c>
      <c r="R22" s="360">
        <v>1</v>
      </c>
      <c r="W22" s="191">
        <f t="shared" si="2"/>
        <v>0</v>
      </c>
      <c r="X22" s="191"/>
      <c r="Y22" s="191"/>
      <c r="Z22" s="191"/>
      <c r="AL22" s="42"/>
    </row>
    <row r="23" spans="1:38" ht="24" customHeight="1" x14ac:dyDescent="0.3">
      <c r="A23" s="43" t="str">
        <f t="shared" si="1"/>
        <v/>
      </c>
      <c r="B23" s="39"/>
      <c r="C23" s="40"/>
      <c r="D23" s="41"/>
      <c r="E23" s="41"/>
      <c r="F23" s="188">
        <f t="shared" si="0"/>
        <v>0</v>
      </c>
      <c r="G23" s="359">
        <v>1</v>
      </c>
      <c r="H23" s="360">
        <v>1</v>
      </c>
      <c r="I23" s="360">
        <v>1</v>
      </c>
      <c r="J23" s="360">
        <v>1</v>
      </c>
      <c r="K23" s="360">
        <v>1</v>
      </c>
      <c r="L23" s="360">
        <v>1</v>
      </c>
      <c r="M23" s="360">
        <v>1</v>
      </c>
      <c r="N23" s="360">
        <v>1</v>
      </c>
      <c r="O23" s="360">
        <v>1</v>
      </c>
      <c r="P23" s="360">
        <v>1</v>
      </c>
      <c r="Q23" s="360">
        <v>1</v>
      </c>
      <c r="R23" s="360">
        <v>1</v>
      </c>
      <c r="W23" s="191">
        <f t="shared" si="2"/>
        <v>0</v>
      </c>
      <c r="X23" s="191"/>
      <c r="Y23" s="191"/>
      <c r="Z23" s="191"/>
      <c r="AL23" s="42"/>
    </row>
    <row r="24" spans="1:38" ht="24" customHeight="1" x14ac:dyDescent="0.3">
      <c r="A24" s="43" t="str">
        <f t="shared" si="1"/>
        <v/>
      </c>
      <c r="B24" s="39"/>
      <c r="C24" s="40"/>
      <c r="D24" s="41"/>
      <c r="E24" s="41"/>
      <c r="F24" s="188">
        <f t="shared" si="0"/>
        <v>0</v>
      </c>
      <c r="G24" s="359">
        <v>1</v>
      </c>
      <c r="H24" s="360">
        <v>1</v>
      </c>
      <c r="I24" s="360">
        <v>1</v>
      </c>
      <c r="J24" s="360">
        <v>1</v>
      </c>
      <c r="K24" s="360">
        <v>1</v>
      </c>
      <c r="L24" s="360">
        <v>1</v>
      </c>
      <c r="M24" s="360">
        <v>1</v>
      </c>
      <c r="N24" s="360">
        <v>1</v>
      </c>
      <c r="O24" s="360">
        <v>1</v>
      </c>
      <c r="P24" s="360">
        <v>1</v>
      </c>
      <c r="Q24" s="360">
        <v>1</v>
      </c>
      <c r="R24" s="360">
        <v>1</v>
      </c>
      <c r="W24" s="191">
        <f t="shared" si="2"/>
        <v>0</v>
      </c>
      <c r="X24" s="191"/>
      <c r="Y24" s="191"/>
      <c r="Z24" s="191"/>
      <c r="AL24" s="42"/>
    </row>
    <row r="25" spans="1:38" ht="24" customHeight="1" x14ac:dyDescent="0.3">
      <c r="A25" s="43" t="str">
        <f t="shared" si="1"/>
        <v/>
      </c>
      <c r="B25" s="39"/>
      <c r="C25" s="40"/>
      <c r="D25" s="41"/>
      <c r="E25" s="41"/>
      <c r="F25" s="188">
        <f t="shared" si="0"/>
        <v>0</v>
      </c>
      <c r="G25" s="359">
        <v>1</v>
      </c>
      <c r="H25" s="360">
        <v>1</v>
      </c>
      <c r="I25" s="360">
        <v>1</v>
      </c>
      <c r="J25" s="360">
        <v>1</v>
      </c>
      <c r="K25" s="360">
        <v>1</v>
      </c>
      <c r="L25" s="360">
        <v>1</v>
      </c>
      <c r="M25" s="360">
        <v>1</v>
      </c>
      <c r="N25" s="360">
        <v>1</v>
      </c>
      <c r="O25" s="360">
        <v>1</v>
      </c>
      <c r="P25" s="360">
        <v>1</v>
      </c>
      <c r="Q25" s="360">
        <v>1</v>
      </c>
      <c r="R25" s="360">
        <v>1</v>
      </c>
      <c r="W25" s="191">
        <f t="shared" si="2"/>
        <v>0</v>
      </c>
      <c r="X25" s="191"/>
      <c r="Y25" s="191"/>
      <c r="Z25" s="191"/>
      <c r="AL25" s="42"/>
    </row>
    <row r="26" spans="1:38" ht="24" customHeight="1" x14ac:dyDescent="0.3">
      <c r="A26" s="43" t="str">
        <f t="shared" si="1"/>
        <v/>
      </c>
      <c r="B26" s="39"/>
      <c r="C26" s="40"/>
      <c r="D26" s="41"/>
      <c r="E26" s="41"/>
      <c r="F26" s="188">
        <f t="shared" si="0"/>
        <v>0</v>
      </c>
      <c r="G26" s="359">
        <v>1</v>
      </c>
      <c r="H26" s="360">
        <v>1</v>
      </c>
      <c r="I26" s="360">
        <v>1</v>
      </c>
      <c r="J26" s="360">
        <v>1</v>
      </c>
      <c r="K26" s="360">
        <v>1</v>
      </c>
      <c r="L26" s="360">
        <v>1</v>
      </c>
      <c r="M26" s="360">
        <v>1</v>
      </c>
      <c r="N26" s="360">
        <v>1</v>
      </c>
      <c r="O26" s="360">
        <v>1</v>
      </c>
      <c r="P26" s="360">
        <v>1</v>
      </c>
      <c r="Q26" s="360">
        <v>1</v>
      </c>
      <c r="R26" s="360">
        <v>1</v>
      </c>
      <c r="W26" s="191">
        <f t="shared" si="2"/>
        <v>0</v>
      </c>
      <c r="X26" s="191"/>
      <c r="Y26" s="191"/>
      <c r="Z26" s="191"/>
      <c r="AL26" s="42"/>
    </row>
    <row r="27" spans="1:38" ht="24" customHeight="1" x14ac:dyDescent="0.3">
      <c r="A27" s="43" t="str">
        <f t="shared" si="1"/>
        <v/>
      </c>
      <c r="B27" s="39"/>
      <c r="C27" s="40"/>
      <c r="D27" s="41"/>
      <c r="E27" s="41"/>
      <c r="F27" s="188">
        <f t="shared" si="0"/>
        <v>0</v>
      </c>
      <c r="G27" s="359">
        <v>1</v>
      </c>
      <c r="H27" s="360">
        <v>1</v>
      </c>
      <c r="I27" s="360">
        <v>1</v>
      </c>
      <c r="J27" s="360">
        <v>1</v>
      </c>
      <c r="K27" s="360">
        <v>1</v>
      </c>
      <c r="L27" s="360">
        <v>1</v>
      </c>
      <c r="M27" s="360">
        <v>1</v>
      </c>
      <c r="N27" s="360">
        <v>1</v>
      </c>
      <c r="O27" s="360">
        <v>1</v>
      </c>
      <c r="P27" s="360">
        <v>1</v>
      </c>
      <c r="Q27" s="360">
        <v>1</v>
      </c>
      <c r="R27" s="360">
        <v>1</v>
      </c>
      <c r="W27" s="191">
        <f t="shared" si="2"/>
        <v>0</v>
      </c>
      <c r="X27" s="191"/>
      <c r="Y27" s="191"/>
      <c r="Z27" s="191"/>
      <c r="AL27" s="42"/>
    </row>
    <row r="28" spans="1:38" ht="24" customHeight="1" x14ac:dyDescent="0.3">
      <c r="A28" s="43" t="str">
        <f t="shared" si="1"/>
        <v/>
      </c>
      <c r="B28" s="39"/>
      <c r="C28" s="40"/>
      <c r="D28" s="41"/>
      <c r="E28" s="41"/>
      <c r="F28" s="188">
        <f t="shared" si="0"/>
        <v>0</v>
      </c>
      <c r="G28" s="359">
        <v>1</v>
      </c>
      <c r="H28" s="360">
        <v>1</v>
      </c>
      <c r="I28" s="360">
        <v>1</v>
      </c>
      <c r="J28" s="360">
        <v>1</v>
      </c>
      <c r="K28" s="360">
        <v>1</v>
      </c>
      <c r="L28" s="360">
        <v>1</v>
      </c>
      <c r="M28" s="360">
        <v>1</v>
      </c>
      <c r="N28" s="360">
        <v>1</v>
      </c>
      <c r="O28" s="360">
        <v>1</v>
      </c>
      <c r="P28" s="360">
        <v>1</v>
      </c>
      <c r="Q28" s="360">
        <v>1</v>
      </c>
      <c r="R28" s="360">
        <v>1</v>
      </c>
      <c r="W28" s="191">
        <f t="shared" si="2"/>
        <v>0</v>
      </c>
      <c r="X28" s="191"/>
      <c r="Y28" s="191"/>
      <c r="Z28" s="191"/>
      <c r="AL28" s="42"/>
    </row>
    <row r="29" spans="1:38" ht="24" customHeight="1" x14ac:dyDescent="0.3">
      <c r="A29" s="43" t="str">
        <f t="shared" si="1"/>
        <v/>
      </c>
      <c r="B29" s="39"/>
      <c r="C29" s="40"/>
      <c r="D29" s="41"/>
      <c r="E29" s="41"/>
      <c r="F29" s="188">
        <f t="shared" si="0"/>
        <v>0</v>
      </c>
      <c r="G29" s="359">
        <v>1</v>
      </c>
      <c r="H29" s="360">
        <v>1</v>
      </c>
      <c r="I29" s="360">
        <v>1</v>
      </c>
      <c r="J29" s="360">
        <v>1</v>
      </c>
      <c r="K29" s="360">
        <v>1</v>
      </c>
      <c r="L29" s="360">
        <v>1</v>
      </c>
      <c r="M29" s="360">
        <v>1</v>
      </c>
      <c r="N29" s="360">
        <v>1</v>
      </c>
      <c r="O29" s="360">
        <v>1</v>
      </c>
      <c r="P29" s="360">
        <v>1</v>
      </c>
      <c r="Q29" s="360">
        <v>1</v>
      </c>
      <c r="R29" s="360">
        <v>1</v>
      </c>
      <c r="W29" s="191">
        <f t="shared" si="2"/>
        <v>0</v>
      </c>
      <c r="X29" s="191"/>
      <c r="Y29" s="191"/>
      <c r="Z29" s="191"/>
      <c r="AL29" s="42"/>
    </row>
    <row r="30" spans="1:38" ht="24" customHeight="1" x14ac:dyDescent="0.3">
      <c r="A30" s="43" t="str">
        <f t="shared" si="1"/>
        <v/>
      </c>
      <c r="B30" s="39"/>
      <c r="C30" s="40"/>
      <c r="D30" s="41"/>
      <c r="E30" s="41"/>
      <c r="F30" s="188">
        <f t="shared" si="0"/>
        <v>0</v>
      </c>
      <c r="G30" s="359">
        <v>1</v>
      </c>
      <c r="H30" s="360">
        <v>1</v>
      </c>
      <c r="I30" s="360">
        <v>1</v>
      </c>
      <c r="J30" s="360">
        <v>1</v>
      </c>
      <c r="K30" s="360">
        <v>1</v>
      </c>
      <c r="L30" s="360">
        <v>1</v>
      </c>
      <c r="M30" s="360">
        <v>1</v>
      </c>
      <c r="N30" s="360">
        <v>1</v>
      </c>
      <c r="O30" s="360">
        <v>1</v>
      </c>
      <c r="P30" s="360">
        <v>1</v>
      </c>
      <c r="Q30" s="360">
        <v>1</v>
      </c>
      <c r="R30" s="360">
        <v>1</v>
      </c>
      <c r="W30" s="191">
        <f t="shared" si="2"/>
        <v>0</v>
      </c>
      <c r="X30" s="191"/>
      <c r="Y30" s="191"/>
      <c r="Z30" s="191"/>
      <c r="AL30" s="42"/>
    </row>
    <row r="31" spans="1:38" ht="24" customHeight="1" x14ac:dyDescent="0.3">
      <c r="A31" s="43" t="str">
        <f t="shared" si="1"/>
        <v/>
      </c>
      <c r="B31" s="39"/>
      <c r="C31" s="40"/>
      <c r="D31" s="41"/>
      <c r="E31" s="41"/>
      <c r="F31" s="188">
        <f t="shared" si="0"/>
        <v>0</v>
      </c>
      <c r="G31" s="359">
        <v>1</v>
      </c>
      <c r="H31" s="360">
        <v>1</v>
      </c>
      <c r="I31" s="360">
        <v>1</v>
      </c>
      <c r="J31" s="360">
        <v>1</v>
      </c>
      <c r="K31" s="360">
        <v>1</v>
      </c>
      <c r="L31" s="360">
        <v>1</v>
      </c>
      <c r="M31" s="360">
        <v>1</v>
      </c>
      <c r="N31" s="360">
        <v>1</v>
      </c>
      <c r="O31" s="360">
        <v>1</v>
      </c>
      <c r="P31" s="360">
        <v>1</v>
      </c>
      <c r="Q31" s="360">
        <v>1</v>
      </c>
      <c r="R31" s="360">
        <v>1</v>
      </c>
      <c r="W31" s="191">
        <f t="shared" si="2"/>
        <v>0</v>
      </c>
      <c r="X31" s="191"/>
      <c r="Y31" s="191"/>
      <c r="Z31" s="191"/>
      <c r="AL31" s="42"/>
    </row>
    <row r="32" spans="1:38" ht="24" customHeight="1" x14ac:dyDescent="0.3">
      <c r="A32" s="43" t="str">
        <f t="shared" si="1"/>
        <v/>
      </c>
      <c r="B32" s="39"/>
      <c r="C32" s="40"/>
      <c r="D32" s="41"/>
      <c r="E32" s="41"/>
      <c r="F32" s="188">
        <f t="shared" si="0"/>
        <v>0</v>
      </c>
      <c r="G32" s="359">
        <v>1</v>
      </c>
      <c r="H32" s="360">
        <v>1</v>
      </c>
      <c r="I32" s="360">
        <v>1</v>
      </c>
      <c r="J32" s="360">
        <v>1</v>
      </c>
      <c r="K32" s="360">
        <v>1</v>
      </c>
      <c r="L32" s="360">
        <v>1</v>
      </c>
      <c r="M32" s="360">
        <v>1</v>
      </c>
      <c r="N32" s="360">
        <v>1</v>
      </c>
      <c r="O32" s="360">
        <v>1</v>
      </c>
      <c r="P32" s="360">
        <v>1</v>
      </c>
      <c r="Q32" s="360">
        <v>1</v>
      </c>
      <c r="R32" s="360">
        <v>1</v>
      </c>
      <c r="W32" s="191">
        <f t="shared" si="2"/>
        <v>0</v>
      </c>
      <c r="X32" s="191"/>
      <c r="Y32" s="191"/>
      <c r="Z32" s="191"/>
      <c r="AL32" s="42"/>
    </row>
    <row r="33" spans="1:38" ht="24" customHeight="1" x14ac:dyDescent="0.3">
      <c r="A33" s="43" t="str">
        <f t="shared" si="1"/>
        <v/>
      </c>
      <c r="B33" s="39"/>
      <c r="C33" s="40"/>
      <c r="D33" s="41"/>
      <c r="E33" s="41"/>
      <c r="F33" s="188">
        <f t="shared" si="0"/>
        <v>0</v>
      </c>
      <c r="G33" s="359">
        <v>1</v>
      </c>
      <c r="H33" s="360">
        <v>1</v>
      </c>
      <c r="I33" s="360">
        <v>1</v>
      </c>
      <c r="J33" s="360">
        <v>1</v>
      </c>
      <c r="K33" s="360">
        <v>1</v>
      </c>
      <c r="L33" s="360">
        <v>1</v>
      </c>
      <c r="M33" s="360">
        <v>1</v>
      </c>
      <c r="N33" s="360">
        <v>1</v>
      </c>
      <c r="O33" s="360">
        <v>1</v>
      </c>
      <c r="P33" s="360">
        <v>1</v>
      </c>
      <c r="Q33" s="360">
        <v>1</v>
      </c>
      <c r="R33" s="360">
        <v>1</v>
      </c>
      <c r="W33" s="191">
        <f t="shared" si="2"/>
        <v>0</v>
      </c>
      <c r="X33" s="191"/>
      <c r="Y33" s="191"/>
      <c r="Z33" s="191"/>
      <c r="AL33" s="42"/>
    </row>
    <row r="34" spans="1:38" ht="24" customHeight="1" x14ac:dyDescent="0.3">
      <c r="A34" s="43" t="str">
        <f t="shared" si="1"/>
        <v/>
      </c>
      <c r="B34" s="39"/>
      <c r="C34" s="40"/>
      <c r="D34" s="41"/>
      <c r="E34" s="41"/>
      <c r="F34" s="188">
        <f t="shared" si="0"/>
        <v>0</v>
      </c>
      <c r="G34" s="359">
        <v>1</v>
      </c>
      <c r="H34" s="360">
        <v>1</v>
      </c>
      <c r="I34" s="360">
        <v>1</v>
      </c>
      <c r="J34" s="360">
        <v>1</v>
      </c>
      <c r="K34" s="360">
        <v>1</v>
      </c>
      <c r="L34" s="360">
        <v>1</v>
      </c>
      <c r="M34" s="360">
        <v>1</v>
      </c>
      <c r="N34" s="360">
        <v>1</v>
      </c>
      <c r="O34" s="360">
        <v>1</v>
      </c>
      <c r="P34" s="360">
        <v>1</v>
      </c>
      <c r="Q34" s="360">
        <v>1</v>
      </c>
      <c r="R34" s="360">
        <v>1</v>
      </c>
      <c r="W34" s="191">
        <f t="shared" si="2"/>
        <v>0</v>
      </c>
      <c r="X34" s="191"/>
      <c r="Y34" s="191"/>
      <c r="Z34" s="191"/>
      <c r="AL34" s="42"/>
    </row>
    <row r="35" spans="1:38" ht="24" customHeight="1" x14ac:dyDescent="0.3">
      <c r="A35" s="43" t="str">
        <f t="shared" si="1"/>
        <v/>
      </c>
      <c r="B35" s="39"/>
      <c r="C35" s="40"/>
      <c r="D35" s="41"/>
      <c r="E35" s="41"/>
      <c r="F35" s="188">
        <f t="shared" si="0"/>
        <v>0</v>
      </c>
      <c r="G35" s="359">
        <v>1</v>
      </c>
      <c r="H35" s="360">
        <v>1</v>
      </c>
      <c r="I35" s="360">
        <v>1</v>
      </c>
      <c r="J35" s="360">
        <v>1</v>
      </c>
      <c r="K35" s="360">
        <v>1</v>
      </c>
      <c r="L35" s="360">
        <v>1</v>
      </c>
      <c r="M35" s="360">
        <v>1</v>
      </c>
      <c r="N35" s="360">
        <v>1</v>
      </c>
      <c r="O35" s="360">
        <v>1</v>
      </c>
      <c r="P35" s="360">
        <v>1</v>
      </c>
      <c r="Q35" s="360">
        <v>1</v>
      </c>
      <c r="R35" s="360">
        <v>1</v>
      </c>
      <c r="W35" s="191">
        <f t="shared" si="2"/>
        <v>0</v>
      </c>
      <c r="X35" s="191"/>
      <c r="Y35" s="191"/>
      <c r="Z35" s="191"/>
      <c r="AL35" s="42"/>
    </row>
    <row r="36" spans="1:38" ht="24" customHeight="1" x14ac:dyDescent="0.3">
      <c r="A36" s="43" t="str">
        <f t="shared" si="1"/>
        <v/>
      </c>
      <c r="B36" s="39"/>
      <c r="C36" s="40"/>
      <c r="D36" s="41"/>
      <c r="E36" s="41"/>
      <c r="F36" s="188">
        <f t="shared" si="0"/>
        <v>0</v>
      </c>
      <c r="G36" s="359">
        <v>1</v>
      </c>
      <c r="H36" s="360">
        <v>1</v>
      </c>
      <c r="I36" s="360">
        <v>1</v>
      </c>
      <c r="J36" s="360">
        <v>1</v>
      </c>
      <c r="K36" s="360">
        <v>1</v>
      </c>
      <c r="L36" s="360">
        <v>1</v>
      </c>
      <c r="M36" s="360">
        <v>1</v>
      </c>
      <c r="N36" s="360">
        <v>1</v>
      </c>
      <c r="O36" s="360">
        <v>1</v>
      </c>
      <c r="P36" s="360">
        <v>1</v>
      </c>
      <c r="Q36" s="360">
        <v>1</v>
      </c>
      <c r="R36" s="360">
        <v>1</v>
      </c>
      <c r="W36" s="191">
        <f t="shared" si="2"/>
        <v>0</v>
      </c>
      <c r="X36" s="191"/>
      <c r="Y36" s="191"/>
      <c r="Z36" s="191"/>
      <c r="AL36" s="42"/>
    </row>
    <row r="37" spans="1:38" ht="24" customHeight="1" x14ac:dyDescent="0.3">
      <c r="A37" s="43" t="str">
        <f t="shared" si="1"/>
        <v/>
      </c>
      <c r="B37" s="39"/>
      <c r="C37" s="40"/>
      <c r="D37" s="41"/>
      <c r="E37" s="41"/>
      <c r="F37" s="188">
        <f t="shared" ref="F37:F44" si="3">IFERROR(IF(UM=1,10000/(D37*E37),7000/(D37*E37)),0)</f>
        <v>0</v>
      </c>
      <c r="G37" s="359">
        <v>1</v>
      </c>
      <c r="H37" s="360">
        <v>1</v>
      </c>
      <c r="I37" s="360">
        <v>1</v>
      </c>
      <c r="J37" s="360">
        <v>1</v>
      </c>
      <c r="K37" s="360">
        <v>1</v>
      </c>
      <c r="L37" s="360">
        <v>1</v>
      </c>
      <c r="M37" s="360">
        <v>1</v>
      </c>
      <c r="N37" s="360">
        <v>1</v>
      </c>
      <c r="O37" s="360">
        <v>1</v>
      </c>
      <c r="P37" s="360">
        <v>1</v>
      </c>
      <c r="Q37" s="360">
        <v>1</v>
      </c>
      <c r="R37" s="360">
        <v>1</v>
      </c>
      <c r="W37" s="191">
        <f t="shared" si="2"/>
        <v>0</v>
      </c>
      <c r="X37" s="191"/>
      <c r="Y37" s="191"/>
      <c r="Z37" s="191"/>
      <c r="AL37" s="42"/>
    </row>
    <row r="38" spans="1:38" ht="24" customHeight="1" x14ac:dyDescent="0.3">
      <c r="A38" s="43" t="str">
        <f t="shared" si="1"/>
        <v/>
      </c>
      <c r="B38" s="39"/>
      <c r="C38" s="40"/>
      <c r="D38" s="41"/>
      <c r="E38" s="41"/>
      <c r="F38" s="188">
        <f t="shared" si="3"/>
        <v>0</v>
      </c>
      <c r="G38" s="359">
        <v>1</v>
      </c>
      <c r="H38" s="360">
        <v>1</v>
      </c>
      <c r="I38" s="360">
        <v>1</v>
      </c>
      <c r="J38" s="360">
        <v>1</v>
      </c>
      <c r="K38" s="360">
        <v>1</v>
      </c>
      <c r="L38" s="360">
        <v>1</v>
      </c>
      <c r="M38" s="360">
        <v>1</v>
      </c>
      <c r="N38" s="360">
        <v>1</v>
      </c>
      <c r="O38" s="360">
        <v>1</v>
      </c>
      <c r="P38" s="360">
        <v>1</v>
      </c>
      <c r="Q38" s="360">
        <v>1</v>
      </c>
      <c r="R38" s="360">
        <v>1</v>
      </c>
      <c r="W38" s="191">
        <f t="shared" si="2"/>
        <v>0</v>
      </c>
      <c r="X38" s="191"/>
      <c r="Y38" s="191"/>
      <c r="Z38" s="191"/>
      <c r="AL38" s="42"/>
    </row>
    <row r="39" spans="1:38" ht="24" customHeight="1" x14ac:dyDescent="0.3">
      <c r="A39" s="43" t="str">
        <f t="shared" si="1"/>
        <v/>
      </c>
      <c r="B39" s="39"/>
      <c r="C39" s="40"/>
      <c r="D39" s="41"/>
      <c r="E39" s="41"/>
      <c r="F39" s="188">
        <f t="shared" si="3"/>
        <v>0</v>
      </c>
      <c r="G39" s="359">
        <v>1</v>
      </c>
      <c r="H39" s="360">
        <v>1</v>
      </c>
      <c r="I39" s="360">
        <v>1</v>
      </c>
      <c r="J39" s="360">
        <v>1</v>
      </c>
      <c r="K39" s="360">
        <v>1</v>
      </c>
      <c r="L39" s="360">
        <v>1</v>
      </c>
      <c r="M39" s="360">
        <v>1</v>
      </c>
      <c r="N39" s="360">
        <v>1</v>
      </c>
      <c r="O39" s="360">
        <v>1</v>
      </c>
      <c r="P39" s="360">
        <v>1</v>
      </c>
      <c r="Q39" s="360">
        <v>1</v>
      </c>
      <c r="R39" s="360">
        <v>1</v>
      </c>
      <c r="W39" s="191">
        <f t="shared" si="2"/>
        <v>0</v>
      </c>
      <c r="X39" s="191"/>
      <c r="Y39" s="191"/>
      <c r="Z39" s="191"/>
      <c r="AL39" s="42"/>
    </row>
    <row r="40" spans="1:38" ht="24" customHeight="1" x14ac:dyDescent="0.3">
      <c r="A40" s="43" t="str">
        <f t="shared" si="1"/>
        <v/>
      </c>
      <c r="B40" s="39"/>
      <c r="C40" s="40"/>
      <c r="D40" s="41"/>
      <c r="E40" s="41"/>
      <c r="F40" s="188">
        <f t="shared" si="3"/>
        <v>0</v>
      </c>
      <c r="G40" s="359">
        <v>1</v>
      </c>
      <c r="H40" s="360">
        <v>1</v>
      </c>
      <c r="I40" s="360">
        <v>1</v>
      </c>
      <c r="J40" s="360">
        <v>1</v>
      </c>
      <c r="K40" s="360">
        <v>1</v>
      </c>
      <c r="L40" s="360">
        <v>1</v>
      </c>
      <c r="M40" s="360">
        <v>1</v>
      </c>
      <c r="N40" s="360">
        <v>1</v>
      </c>
      <c r="O40" s="360">
        <v>1</v>
      </c>
      <c r="P40" s="360">
        <v>1</v>
      </c>
      <c r="Q40" s="360">
        <v>1</v>
      </c>
      <c r="R40" s="360">
        <v>1</v>
      </c>
      <c r="W40" s="191">
        <f t="shared" si="2"/>
        <v>0</v>
      </c>
      <c r="X40" s="191"/>
      <c r="Y40" s="191"/>
      <c r="Z40" s="191"/>
      <c r="AL40" s="42"/>
    </row>
    <row r="41" spans="1:38" ht="24" customHeight="1" x14ac:dyDescent="0.3">
      <c r="A41" s="43" t="str">
        <f t="shared" si="1"/>
        <v/>
      </c>
      <c r="B41" s="39"/>
      <c r="C41" s="40"/>
      <c r="D41" s="41"/>
      <c r="E41" s="41"/>
      <c r="F41" s="188">
        <f t="shared" si="3"/>
        <v>0</v>
      </c>
      <c r="G41" s="359">
        <v>1</v>
      </c>
      <c r="H41" s="360">
        <v>1</v>
      </c>
      <c r="I41" s="360">
        <v>1</v>
      </c>
      <c r="J41" s="360">
        <v>1</v>
      </c>
      <c r="K41" s="360">
        <v>1</v>
      </c>
      <c r="L41" s="360">
        <v>1</v>
      </c>
      <c r="M41" s="360">
        <v>1</v>
      </c>
      <c r="N41" s="360">
        <v>1</v>
      </c>
      <c r="O41" s="360">
        <v>1</v>
      </c>
      <c r="P41" s="360">
        <v>1</v>
      </c>
      <c r="Q41" s="360">
        <v>1</v>
      </c>
      <c r="R41" s="360">
        <v>1</v>
      </c>
      <c r="W41" s="191">
        <f t="shared" si="2"/>
        <v>0</v>
      </c>
      <c r="X41" s="191"/>
      <c r="Y41" s="191"/>
      <c r="Z41" s="191"/>
      <c r="AL41" s="42"/>
    </row>
    <row r="42" spans="1:38" ht="24" customHeight="1" x14ac:dyDescent="0.3">
      <c r="A42" s="43" t="str">
        <f t="shared" si="1"/>
        <v/>
      </c>
      <c r="B42" s="39"/>
      <c r="C42" s="40"/>
      <c r="D42" s="41"/>
      <c r="E42" s="41"/>
      <c r="F42" s="188">
        <f t="shared" si="3"/>
        <v>0</v>
      </c>
      <c r="G42" s="359">
        <v>1</v>
      </c>
      <c r="H42" s="360">
        <v>1</v>
      </c>
      <c r="I42" s="360">
        <v>1</v>
      </c>
      <c r="J42" s="360">
        <v>1</v>
      </c>
      <c r="K42" s="360">
        <v>1</v>
      </c>
      <c r="L42" s="360">
        <v>1</v>
      </c>
      <c r="M42" s="360">
        <v>1</v>
      </c>
      <c r="N42" s="360">
        <v>1</v>
      </c>
      <c r="O42" s="360">
        <v>1</v>
      </c>
      <c r="P42" s="360">
        <v>1</v>
      </c>
      <c r="Q42" s="360">
        <v>1</v>
      </c>
      <c r="R42" s="360">
        <v>1</v>
      </c>
      <c r="W42" s="191">
        <f t="shared" si="2"/>
        <v>0</v>
      </c>
      <c r="X42" s="191"/>
      <c r="Y42" s="191"/>
      <c r="Z42" s="191"/>
      <c r="AL42" s="42"/>
    </row>
    <row r="43" spans="1:38" ht="24" customHeight="1" x14ac:dyDescent="0.3">
      <c r="A43" s="43" t="str">
        <f t="shared" si="1"/>
        <v/>
      </c>
      <c r="B43" s="39"/>
      <c r="C43" s="40"/>
      <c r="D43" s="41"/>
      <c r="E43" s="41"/>
      <c r="F43" s="188">
        <f t="shared" si="3"/>
        <v>0</v>
      </c>
      <c r="G43" s="359">
        <v>1</v>
      </c>
      <c r="H43" s="360">
        <v>1</v>
      </c>
      <c r="I43" s="360">
        <v>1</v>
      </c>
      <c r="J43" s="360">
        <v>1</v>
      </c>
      <c r="K43" s="360">
        <v>1</v>
      </c>
      <c r="L43" s="360">
        <v>1</v>
      </c>
      <c r="M43" s="360">
        <v>1</v>
      </c>
      <c r="N43" s="360">
        <v>1</v>
      </c>
      <c r="O43" s="360">
        <v>1</v>
      </c>
      <c r="P43" s="360">
        <v>1</v>
      </c>
      <c r="Q43" s="360">
        <v>1</v>
      </c>
      <c r="R43" s="360">
        <v>1</v>
      </c>
      <c r="W43" s="191">
        <f t="shared" si="2"/>
        <v>0</v>
      </c>
      <c r="X43" s="191"/>
      <c r="Y43" s="191"/>
      <c r="Z43" s="191"/>
      <c r="AL43" s="42"/>
    </row>
    <row r="44" spans="1:38" ht="24" customHeight="1" thickBot="1" x14ac:dyDescent="0.35">
      <c r="A44" s="353" t="str">
        <f t="shared" si="1"/>
        <v/>
      </c>
      <c r="B44" s="44"/>
      <c r="C44" s="45"/>
      <c r="D44" s="46"/>
      <c r="E44" s="46"/>
      <c r="F44" s="189">
        <f t="shared" si="3"/>
        <v>0</v>
      </c>
      <c r="G44" s="361">
        <v>1</v>
      </c>
      <c r="H44" s="362">
        <v>1</v>
      </c>
      <c r="I44" s="362">
        <v>1</v>
      </c>
      <c r="J44" s="362">
        <v>1</v>
      </c>
      <c r="K44" s="362">
        <v>1</v>
      </c>
      <c r="L44" s="362">
        <v>1</v>
      </c>
      <c r="M44" s="362">
        <v>1</v>
      </c>
      <c r="N44" s="362">
        <v>1</v>
      </c>
      <c r="O44" s="362">
        <v>1</v>
      </c>
      <c r="P44" s="362">
        <v>1</v>
      </c>
      <c r="Q44" s="362">
        <v>1</v>
      </c>
      <c r="R44" s="362">
        <v>1</v>
      </c>
      <c r="W44" s="191">
        <f t="shared" si="2"/>
        <v>0</v>
      </c>
      <c r="X44" s="191"/>
      <c r="Y44" s="191"/>
      <c r="Z44" s="191"/>
      <c r="AL44" s="42"/>
    </row>
    <row r="45" spans="1:38" x14ac:dyDescent="0.3">
      <c r="W45" s="191" t="e">
        <f>#REF!</f>
        <v>#REF!</v>
      </c>
      <c r="X45" s="191"/>
      <c r="Y45" s="191"/>
      <c r="Z45" s="191"/>
    </row>
  </sheetData>
  <sheetProtection algorithmName="SHA-512" hashValue="L2rX72PHN6QImJl/SogLRR6vPdq8/zHAWEr6ZkN9gFe1otBemEqDrLx6fBzYGWxMVkzuMcqbB+RxpZ0AYBaxiA==" saltValue="fzJMILGk57/GQ12vZ935NA==" spinCount="100000" sheet="1" objects="1" scenarios="1"/>
  <mergeCells count="4087">
    <mergeCell ref="XAF3:XAI3"/>
    <mergeCell ref="XAJ3:XAM3"/>
    <mergeCell ref="XAN3:XAQ3"/>
    <mergeCell ref="XAR3:XAU3"/>
    <mergeCell ref="XAV3:XAY3"/>
    <mergeCell ref="XAZ3:XBC3"/>
    <mergeCell ref="WZH3:WZK3"/>
    <mergeCell ref="WZL3:WZO3"/>
    <mergeCell ref="WZP3:WZS3"/>
    <mergeCell ref="WZT3:WZW3"/>
    <mergeCell ref="XDX3:XEA3"/>
    <mergeCell ref="XEB3:XEE3"/>
    <mergeCell ref="XEF3:XEI3"/>
    <mergeCell ref="XCZ3:XDC3"/>
    <mergeCell ref="XDD3:XDG3"/>
    <mergeCell ref="XDH3:XDK3"/>
    <mergeCell ref="XDL3:XDO3"/>
    <mergeCell ref="XDP3:XDS3"/>
    <mergeCell ref="XDT3:XDW3"/>
    <mergeCell ref="XCB3:XCE3"/>
    <mergeCell ref="XCF3:XCI3"/>
    <mergeCell ref="XCJ3:XCM3"/>
    <mergeCell ref="XCN3:XCQ3"/>
    <mergeCell ref="XCR3:XCU3"/>
    <mergeCell ref="XCV3:XCY3"/>
    <mergeCell ref="XBD3:XBG3"/>
    <mergeCell ref="XBH3:XBK3"/>
    <mergeCell ref="XBL3:XBO3"/>
    <mergeCell ref="XBP3:XBS3"/>
    <mergeCell ref="XBT3:XBW3"/>
    <mergeCell ref="XBX3:XCA3"/>
    <mergeCell ref="WZX3:XAA3"/>
    <mergeCell ref="XAB3:XAE3"/>
    <mergeCell ref="WYJ3:WYM3"/>
    <mergeCell ref="WYN3:WYQ3"/>
    <mergeCell ref="WYR3:WYU3"/>
    <mergeCell ref="WYV3:WYY3"/>
    <mergeCell ref="WYZ3:WZC3"/>
    <mergeCell ref="WZD3:WZG3"/>
    <mergeCell ref="WXL3:WXO3"/>
    <mergeCell ref="WXP3:WXS3"/>
    <mergeCell ref="WXT3:WXW3"/>
    <mergeCell ref="WXX3:WYA3"/>
    <mergeCell ref="WYB3:WYE3"/>
    <mergeCell ref="WYF3:WYI3"/>
    <mergeCell ref="WWN3:WWQ3"/>
    <mergeCell ref="WWR3:WWU3"/>
    <mergeCell ref="WWV3:WWY3"/>
    <mergeCell ref="WWZ3:WXC3"/>
    <mergeCell ref="WXD3:WXG3"/>
    <mergeCell ref="WXH3:WXK3"/>
    <mergeCell ref="WVP3:WVS3"/>
    <mergeCell ref="WVT3:WVW3"/>
    <mergeCell ref="WVX3:WWA3"/>
    <mergeCell ref="WWB3:WWE3"/>
    <mergeCell ref="WWF3:WWI3"/>
    <mergeCell ref="WWJ3:WWM3"/>
    <mergeCell ref="WUR3:WUU3"/>
    <mergeCell ref="WUV3:WUY3"/>
    <mergeCell ref="WUZ3:WVC3"/>
    <mergeCell ref="WVD3:WVG3"/>
    <mergeCell ref="WVH3:WVK3"/>
    <mergeCell ref="WVL3:WVO3"/>
    <mergeCell ref="WTT3:WTW3"/>
    <mergeCell ref="WTX3:WUA3"/>
    <mergeCell ref="WUB3:WUE3"/>
    <mergeCell ref="WUF3:WUI3"/>
    <mergeCell ref="WUJ3:WUM3"/>
    <mergeCell ref="WUN3:WUQ3"/>
    <mergeCell ref="WSV3:WSY3"/>
    <mergeCell ref="WSZ3:WTC3"/>
    <mergeCell ref="WTD3:WTG3"/>
    <mergeCell ref="WTH3:WTK3"/>
    <mergeCell ref="WTL3:WTO3"/>
    <mergeCell ref="WTP3:WTS3"/>
    <mergeCell ref="WRX3:WSA3"/>
    <mergeCell ref="WSB3:WSE3"/>
    <mergeCell ref="WSF3:WSI3"/>
    <mergeCell ref="WSJ3:WSM3"/>
    <mergeCell ref="WSN3:WSQ3"/>
    <mergeCell ref="WSR3:WSU3"/>
    <mergeCell ref="WQZ3:WRC3"/>
    <mergeCell ref="WRD3:WRG3"/>
    <mergeCell ref="WRH3:WRK3"/>
    <mergeCell ref="WRL3:WRO3"/>
    <mergeCell ref="WRP3:WRS3"/>
    <mergeCell ref="WRT3:WRW3"/>
    <mergeCell ref="WQB3:WQE3"/>
    <mergeCell ref="WQF3:WQI3"/>
    <mergeCell ref="WQJ3:WQM3"/>
    <mergeCell ref="WQN3:WQQ3"/>
    <mergeCell ref="WQR3:WQU3"/>
    <mergeCell ref="WQV3:WQY3"/>
    <mergeCell ref="WPD3:WPG3"/>
    <mergeCell ref="WPH3:WPK3"/>
    <mergeCell ref="WPL3:WPO3"/>
    <mergeCell ref="WPP3:WPS3"/>
    <mergeCell ref="WPT3:WPW3"/>
    <mergeCell ref="WPX3:WQA3"/>
    <mergeCell ref="WOF3:WOI3"/>
    <mergeCell ref="WOJ3:WOM3"/>
    <mergeCell ref="WON3:WOQ3"/>
    <mergeCell ref="WOR3:WOU3"/>
    <mergeCell ref="WOV3:WOY3"/>
    <mergeCell ref="WOZ3:WPC3"/>
    <mergeCell ref="WNH3:WNK3"/>
    <mergeCell ref="WNL3:WNO3"/>
    <mergeCell ref="WNP3:WNS3"/>
    <mergeCell ref="WNT3:WNW3"/>
    <mergeCell ref="WNX3:WOA3"/>
    <mergeCell ref="WOB3:WOE3"/>
    <mergeCell ref="WMJ3:WMM3"/>
    <mergeCell ref="WMN3:WMQ3"/>
    <mergeCell ref="WMR3:WMU3"/>
    <mergeCell ref="WMV3:WMY3"/>
    <mergeCell ref="WMZ3:WNC3"/>
    <mergeCell ref="WND3:WNG3"/>
    <mergeCell ref="WLL3:WLO3"/>
    <mergeCell ref="WLP3:WLS3"/>
    <mergeCell ref="WLT3:WLW3"/>
    <mergeCell ref="WLX3:WMA3"/>
    <mergeCell ref="WMB3:WME3"/>
    <mergeCell ref="WMF3:WMI3"/>
    <mergeCell ref="WKN3:WKQ3"/>
    <mergeCell ref="WKR3:WKU3"/>
    <mergeCell ref="WKV3:WKY3"/>
    <mergeCell ref="WKZ3:WLC3"/>
    <mergeCell ref="WLD3:WLG3"/>
    <mergeCell ref="WLH3:WLK3"/>
    <mergeCell ref="WJP3:WJS3"/>
    <mergeCell ref="WJT3:WJW3"/>
    <mergeCell ref="WJX3:WKA3"/>
    <mergeCell ref="WKB3:WKE3"/>
    <mergeCell ref="WKF3:WKI3"/>
    <mergeCell ref="WKJ3:WKM3"/>
    <mergeCell ref="WIR3:WIU3"/>
    <mergeCell ref="WIV3:WIY3"/>
    <mergeCell ref="WIZ3:WJC3"/>
    <mergeCell ref="WJD3:WJG3"/>
    <mergeCell ref="WJH3:WJK3"/>
    <mergeCell ref="WJL3:WJO3"/>
    <mergeCell ref="WHT3:WHW3"/>
    <mergeCell ref="WHX3:WIA3"/>
    <mergeCell ref="WIB3:WIE3"/>
    <mergeCell ref="WIF3:WII3"/>
    <mergeCell ref="WIJ3:WIM3"/>
    <mergeCell ref="WIN3:WIQ3"/>
    <mergeCell ref="WGV3:WGY3"/>
    <mergeCell ref="WGZ3:WHC3"/>
    <mergeCell ref="WHD3:WHG3"/>
    <mergeCell ref="WHH3:WHK3"/>
    <mergeCell ref="WHL3:WHO3"/>
    <mergeCell ref="WHP3:WHS3"/>
    <mergeCell ref="WFX3:WGA3"/>
    <mergeCell ref="WGB3:WGE3"/>
    <mergeCell ref="WGF3:WGI3"/>
    <mergeCell ref="WGJ3:WGM3"/>
    <mergeCell ref="WGN3:WGQ3"/>
    <mergeCell ref="WGR3:WGU3"/>
    <mergeCell ref="WEZ3:WFC3"/>
    <mergeCell ref="WFD3:WFG3"/>
    <mergeCell ref="WFH3:WFK3"/>
    <mergeCell ref="WFL3:WFO3"/>
    <mergeCell ref="WFP3:WFS3"/>
    <mergeCell ref="WFT3:WFW3"/>
    <mergeCell ref="WEB3:WEE3"/>
    <mergeCell ref="WEF3:WEI3"/>
    <mergeCell ref="WEJ3:WEM3"/>
    <mergeCell ref="WEN3:WEQ3"/>
    <mergeCell ref="WER3:WEU3"/>
    <mergeCell ref="WEV3:WEY3"/>
    <mergeCell ref="WDD3:WDG3"/>
    <mergeCell ref="WDH3:WDK3"/>
    <mergeCell ref="WDL3:WDO3"/>
    <mergeCell ref="WDP3:WDS3"/>
    <mergeCell ref="WDT3:WDW3"/>
    <mergeCell ref="WDX3:WEA3"/>
    <mergeCell ref="WCF3:WCI3"/>
    <mergeCell ref="WCJ3:WCM3"/>
    <mergeCell ref="WCN3:WCQ3"/>
    <mergeCell ref="WCR3:WCU3"/>
    <mergeCell ref="WCV3:WCY3"/>
    <mergeCell ref="WCZ3:WDC3"/>
    <mergeCell ref="WBH3:WBK3"/>
    <mergeCell ref="WBL3:WBO3"/>
    <mergeCell ref="WBP3:WBS3"/>
    <mergeCell ref="WBT3:WBW3"/>
    <mergeCell ref="WBX3:WCA3"/>
    <mergeCell ref="WCB3:WCE3"/>
    <mergeCell ref="WAJ3:WAM3"/>
    <mergeCell ref="WAN3:WAQ3"/>
    <mergeCell ref="WAR3:WAU3"/>
    <mergeCell ref="WAV3:WAY3"/>
    <mergeCell ref="WAZ3:WBC3"/>
    <mergeCell ref="WBD3:WBG3"/>
    <mergeCell ref="VZL3:VZO3"/>
    <mergeCell ref="VZP3:VZS3"/>
    <mergeCell ref="VZT3:VZW3"/>
    <mergeCell ref="VZX3:WAA3"/>
    <mergeCell ref="WAB3:WAE3"/>
    <mergeCell ref="WAF3:WAI3"/>
    <mergeCell ref="VYN3:VYQ3"/>
    <mergeCell ref="VYR3:VYU3"/>
    <mergeCell ref="VYV3:VYY3"/>
    <mergeCell ref="VYZ3:VZC3"/>
    <mergeCell ref="VZD3:VZG3"/>
    <mergeCell ref="VZH3:VZK3"/>
    <mergeCell ref="VXP3:VXS3"/>
    <mergeCell ref="VXT3:VXW3"/>
    <mergeCell ref="VXX3:VYA3"/>
    <mergeCell ref="VYB3:VYE3"/>
    <mergeCell ref="VYF3:VYI3"/>
    <mergeCell ref="VYJ3:VYM3"/>
    <mergeCell ref="VWR3:VWU3"/>
    <mergeCell ref="VWV3:VWY3"/>
    <mergeCell ref="VWZ3:VXC3"/>
    <mergeCell ref="VXD3:VXG3"/>
    <mergeCell ref="VXH3:VXK3"/>
    <mergeCell ref="VXL3:VXO3"/>
    <mergeCell ref="VVT3:VVW3"/>
    <mergeCell ref="VVX3:VWA3"/>
    <mergeCell ref="VWB3:VWE3"/>
    <mergeCell ref="VWF3:VWI3"/>
    <mergeCell ref="VWJ3:VWM3"/>
    <mergeCell ref="VWN3:VWQ3"/>
    <mergeCell ref="VUV3:VUY3"/>
    <mergeCell ref="VUZ3:VVC3"/>
    <mergeCell ref="VVD3:VVG3"/>
    <mergeCell ref="VVH3:VVK3"/>
    <mergeCell ref="VVL3:VVO3"/>
    <mergeCell ref="VVP3:VVS3"/>
    <mergeCell ref="VTX3:VUA3"/>
    <mergeCell ref="VUB3:VUE3"/>
    <mergeCell ref="VUF3:VUI3"/>
    <mergeCell ref="VUJ3:VUM3"/>
    <mergeCell ref="VUN3:VUQ3"/>
    <mergeCell ref="VUR3:VUU3"/>
    <mergeCell ref="VSZ3:VTC3"/>
    <mergeCell ref="VTD3:VTG3"/>
    <mergeCell ref="VTH3:VTK3"/>
    <mergeCell ref="VTL3:VTO3"/>
    <mergeCell ref="VTP3:VTS3"/>
    <mergeCell ref="VTT3:VTW3"/>
    <mergeCell ref="VSB3:VSE3"/>
    <mergeCell ref="VSF3:VSI3"/>
    <mergeCell ref="VSJ3:VSM3"/>
    <mergeCell ref="VSN3:VSQ3"/>
    <mergeCell ref="VSR3:VSU3"/>
    <mergeCell ref="VSV3:VSY3"/>
    <mergeCell ref="VRD3:VRG3"/>
    <mergeCell ref="VRH3:VRK3"/>
    <mergeCell ref="VRL3:VRO3"/>
    <mergeCell ref="VRP3:VRS3"/>
    <mergeCell ref="VRT3:VRW3"/>
    <mergeCell ref="VRX3:VSA3"/>
    <mergeCell ref="VQF3:VQI3"/>
    <mergeCell ref="VQJ3:VQM3"/>
    <mergeCell ref="VQN3:VQQ3"/>
    <mergeCell ref="VQR3:VQU3"/>
    <mergeCell ref="VQV3:VQY3"/>
    <mergeCell ref="VQZ3:VRC3"/>
    <mergeCell ref="VPH3:VPK3"/>
    <mergeCell ref="VPL3:VPO3"/>
    <mergeCell ref="VPP3:VPS3"/>
    <mergeCell ref="VPT3:VPW3"/>
    <mergeCell ref="VPX3:VQA3"/>
    <mergeCell ref="VQB3:VQE3"/>
    <mergeCell ref="VOJ3:VOM3"/>
    <mergeCell ref="VON3:VOQ3"/>
    <mergeCell ref="VOR3:VOU3"/>
    <mergeCell ref="VOV3:VOY3"/>
    <mergeCell ref="VOZ3:VPC3"/>
    <mergeCell ref="VPD3:VPG3"/>
    <mergeCell ref="VNL3:VNO3"/>
    <mergeCell ref="VNP3:VNS3"/>
    <mergeCell ref="VNT3:VNW3"/>
    <mergeCell ref="VNX3:VOA3"/>
    <mergeCell ref="VOB3:VOE3"/>
    <mergeCell ref="VOF3:VOI3"/>
    <mergeCell ref="VMN3:VMQ3"/>
    <mergeCell ref="VMR3:VMU3"/>
    <mergeCell ref="VMV3:VMY3"/>
    <mergeCell ref="VMZ3:VNC3"/>
    <mergeCell ref="VND3:VNG3"/>
    <mergeCell ref="VNH3:VNK3"/>
    <mergeCell ref="VLP3:VLS3"/>
    <mergeCell ref="VLT3:VLW3"/>
    <mergeCell ref="VLX3:VMA3"/>
    <mergeCell ref="VMB3:VME3"/>
    <mergeCell ref="VMF3:VMI3"/>
    <mergeCell ref="VMJ3:VMM3"/>
    <mergeCell ref="VKR3:VKU3"/>
    <mergeCell ref="VKV3:VKY3"/>
    <mergeCell ref="VKZ3:VLC3"/>
    <mergeCell ref="VLD3:VLG3"/>
    <mergeCell ref="VLH3:VLK3"/>
    <mergeCell ref="VLL3:VLO3"/>
    <mergeCell ref="VJT3:VJW3"/>
    <mergeCell ref="VJX3:VKA3"/>
    <mergeCell ref="VKB3:VKE3"/>
    <mergeCell ref="VKF3:VKI3"/>
    <mergeCell ref="VKJ3:VKM3"/>
    <mergeCell ref="VKN3:VKQ3"/>
    <mergeCell ref="VIV3:VIY3"/>
    <mergeCell ref="VIZ3:VJC3"/>
    <mergeCell ref="VJD3:VJG3"/>
    <mergeCell ref="VJH3:VJK3"/>
    <mergeCell ref="VJL3:VJO3"/>
    <mergeCell ref="VJP3:VJS3"/>
    <mergeCell ref="VHX3:VIA3"/>
    <mergeCell ref="VIB3:VIE3"/>
    <mergeCell ref="VIF3:VII3"/>
    <mergeCell ref="VIJ3:VIM3"/>
    <mergeCell ref="VIN3:VIQ3"/>
    <mergeCell ref="VIR3:VIU3"/>
    <mergeCell ref="VGZ3:VHC3"/>
    <mergeCell ref="VHD3:VHG3"/>
    <mergeCell ref="VHH3:VHK3"/>
    <mergeCell ref="VHL3:VHO3"/>
    <mergeCell ref="VHP3:VHS3"/>
    <mergeCell ref="VHT3:VHW3"/>
    <mergeCell ref="VGB3:VGE3"/>
    <mergeCell ref="VGF3:VGI3"/>
    <mergeCell ref="VGJ3:VGM3"/>
    <mergeCell ref="VGN3:VGQ3"/>
    <mergeCell ref="VGR3:VGU3"/>
    <mergeCell ref="VGV3:VGY3"/>
    <mergeCell ref="VFD3:VFG3"/>
    <mergeCell ref="VFH3:VFK3"/>
    <mergeCell ref="VFL3:VFO3"/>
    <mergeCell ref="VFP3:VFS3"/>
    <mergeCell ref="VFT3:VFW3"/>
    <mergeCell ref="VFX3:VGA3"/>
    <mergeCell ref="VEF3:VEI3"/>
    <mergeCell ref="VEJ3:VEM3"/>
    <mergeCell ref="VEN3:VEQ3"/>
    <mergeCell ref="VER3:VEU3"/>
    <mergeCell ref="VEV3:VEY3"/>
    <mergeCell ref="VEZ3:VFC3"/>
    <mergeCell ref="VDH3:VDK3"/>
    <mergeCell ref="VDL3:VDO3"/>
    <mergeCell ref="VDP3:VDS3"/>
    <mergeCell ref="VDT3:VDW3"/>
    <mergeCell ref="VDX3:VEA3"/>
    <mergeCell ref="VEB3:VEE3"/>
    <mergeCell ref="VCJ3:VCM3"/>
    <mergeCell ref="VCN3:VCQ3"/>
    <mergeCell ref="VCR3:VCU3"/>
    <mergeCell ref="VCV3:VCY3"/>
    <mergeCell ref="VCZ3:VDC3"/>
    <mergeCell ref="VDD3:VDG3"/>
    <mergeCell ref="VBL3:VBO3"/>
    <mergeCell ref="VBP3:VBS3"/>
    <mergeCell ref="VBT3:VBW3"/>
    <mergeCell ref="VBX3:VCA3"/>
    <mergeCell ref="VCB3:VCE3"/>
    <mergeCell ref="VCF3:VCI3"/>
    <mergeCell ref="VAN3:VAQ3"/>
    <mergeCell ref="VAR3:VAU3"/>
    <mergeCell ref="VAV3:VAY3"/>
    <mergeCell ref="VAZ3:VBC3"/>
    <mergeCell ref="VBD3:VBG3"/>
    <mergeCell ref="VBH3:VBK3"/>
    <mergeCell ref="UZP3:UZS3"/>
    <mergeCell ref="UZT3:UZW3"/>
    <mergeCell ref="UZX3:VAA3"/>
    <mergeCell ref="VAB3:VAE3"/>
    <mergeCell ref="VAF3:VAI3"/>
    <mergeCell ref="VAJ3:VAM3"/>
    <mergeCell ref="UYR3:UYU3"/>
    <mergeCell ref="UYV3:UYY3"/>
    <mergeCell ref="UYZ3:UZC3"/>
    <mergeCell ref="UZD3:UZG3"/>
    <mergeCell ref="UZH3:UZK3"/>
    <mergeCell ref="UZL3:UZO3"/>
    <mergeCell ref="UXT3:UXW3"/>
    <mergeCell ref="UXX3:UYA3"/>
    <mergeCell ref="UYB3:UYE3"/>
    <mergeCell ref="UYF3:UYI3"/>
    <mergeCell ref="UYJ3:UYM3"/>
    <mergeCell ref="UYN3:UYQ3"/>
    <mergeCell ref="UWV3:UWY3"/>
    <mergeCell ref="UWZ3:UXC3"/>
    <mergeCell ref="UXD3:UXG3"/>
    <mergeCell ref="UXH3:UXK3"/>
    <mergeCell ref="UXL3:UXO3"/>
    <mergeCell ref="UXP3:UXS3"/>
    <mergeCell ref="UVX3:UWA3"/>
    <mergeCell ref="UWB3:UWE3"/>
    <mergeCell ref="UWF3:UWI3"/>
    <mergeCell ref="UWJ3:UWM3"/>
    <mergeCell ref="UWN3:UWQ3"/>
    <mergeCell ref="UWR3:UWU3"/>
    <mergeCell ref="UUZ3:UVC3"/>
    <mergeCell ref="UVD3:UVG3"/>
    <mergeCell ref="UVH3:UVK3"/>
    <mergeCell ref="UVL3:UVO3"/>
    <mergeCell ref="UVP3:UVS3"/>
    <mergeCell ref="UVT3:UVW3"/>
    <mergeCell ref="UUB3:UUE3"/>
    <mergeCell ref="UUF3:UUI3"/>
    <mergeCell ref="UUJ3:UUM3"/>
    <mergeCell ref="UUN3:UUQ3"/>
    <mergeCell ref="UUR3:UUU3"/>
    <mergeCell ref="UUV3:UUY3"/>
    <mergeCell ref="UTD3:UTG3"/>
    <mergeCell ref="UTH3:UTK3"/>
    <mergeCell ref="UTL3:UTO3"/>
    <mergeCell ref="UTP3:UTS3"/>
    <mergeCell ref="UTT3:UTW3"/>
    <mergeCell ref="UTX3:UUA3"/>
    <mergeCell ref="USF3:USI3"/>
    <mergeCell ref="USJ3:USM3"/>
    <mergeCell ref="USN3:USQ3"/>
    <mergeCell ref="USR3:USU3"/>
    <mergeCell ref="USV3:USY3"/>
    <mergeCell ref="USZ3:UTC3"/>
    <mergeCell ref="URH3:URK3"/>
    <mergeCell ref="URL3:URO3"/>
    <mergeCell ref="URP3:URS3"/>
    <mergeCell ref="URT3:URW3"/>
    <mergeCell ref="URX3:USA3"/>
    <mergeCell ref="USB3:USE3"/>
    <mergeCell ref="UQJ3:UQM3"/>
    <mergeCell ref="UQN3:UQQ3"/>
    <mergeCell ref="UQR3:UQU3"/>
    <mergeCell ref="UQV3:UQY3"/>
    <mergeCell ref="UQZ3:URC3"/>
    <mergeCell ref="URD3:URG3"/>
    <mergeCell ref="UPL3:UPO3"/>
    <mergeCell ref="UPP3:UPS3"/>
    <mergeCell ref="UPT3:UPW3"/>
    <mergeCell ref="UPX3:UQA3"/>
    <mergeCell ref="UQB3:UQE3"/>
    <mergeCell ref="UQF3:UQI3"/>
    <mergeCell ref="UON3:UOQ3"/>
    <mergeCell ref="UOR3:UOU3"/>
    <mergeCell ref="UOV3:UOY3"/>
    <mergeCell ref="UOZ3:UPC3"/>
    <mergeCell ref="UPD3:UPG3"/>
    <mergeCell ref="UPH3:UPK3"/>
    <mergeCell ref="UNP3:UNS3"/>
    <mergeCell ref="UNT3:UNW3"/>
    <mergeCell ref="UNX3:UOA3"/>
    <mergeCell ref="UOB3:UOE3"/>
    <mergeCell ref="UOF3:UOI3"/>
    <mergeCell ref="UOJ3:UOM3"/>
    <mergeCell ref="UMR3:UMU3"/>
    <mergeCell ref="UMV3:UMY3"/>
    <mergeCell ref="UMZ3:UNC3"/>
    <mergeCell ref="UND3:UNG3"/>
    <mergeCell ref="UNH3:UNK3"/>
    <mergeCell ref="UNL3:UNO3"/>
    <mergeCell ref="ULT3:ULW3"/>
    <mergeCell ref="ULX3:UMA3"/>
    <mergeCell ref="UMB3:UME3"/>
    <mergeCell ref="UMF3:UMI3"/>
    <mergeCell ref="UMJ3:UMM3"/>
    <mergeCell ref="UMN3:UMQ3"/>
    <mergeCell ref="UKV3:UKY3"/>
    <mergeCell ref="UKZ3:ULC3"/>
    <mergeCell ref="ULD3:ULG3"/>
    <mergeCell ref="ULH3:ULK3"/>
    <mergeCell ref="ULL3:ULO3"/>
    <mergeCell ref="ULP3:ULS3"/>
    <mergeCell ref="UJX3:UKA3"/>
    <mergeCell ref="UKB3:UKE3"/>
    <mergeCell ref="UKF3:UKI3"/>
    <mergeCell ref="UKJ3:UKM3"/>
    <mergeCell ref="UKN3:UKQ3"/>
    <mergeCell ref="UKR3:UKU3"/>
    <mergeCell ref="UIZ3:UJC3"/>
    <mergeCell ref="UJD3:UJG3"/>
    <mergeCell ref="UJH3:UJK3"/>
    <mergeCell ref="UJL3:UJO3"/>
    <mergeCell ref="UJP3:UJS3"/>
    <mergeCell ref="UJT3:UJW3"/>
    <mergeCell ref="UIB3:UIE3"/>
    <mergeCell ref="UIF3:UII3"/>
    <mergeCell ref="UIJ3:UIM3"/>
    <mergeCell ref="UIN3:UIQ3"/>
    <mergeCell ref="UIR3:UIU3"/>
    <mergeCell ref="UIV3:UIY3"/>
    <mergeCell ref="UHD3:UHG3"/>
    <mergeCell ref="UHH3:UHK3"/>
    <mergeCell ref="UHL3:UHO3"/>
    <mergeCell ref="UHP3:UHS3"/>
    <mergeCell ref="UHT3:UHW3"/>
    <mergeCell ref="UHX3:UIA3"/>
    <mergeCell ref="UGF3:UGI3"/>
    <mergeCell ref="UGJ3:UGM3"/>
    <mergeCell ref="UGN3:UGQ3"/>
    <mergeCell ref="UGR3:UGU3"/>
    <mergeCell ref="UGV3:UGY3"/>
    <mergeCell ref="UGZ3:UHC3"/>
    <mergeCell ref="UFH3:UFK3"/>
    <mergeCell ref="UFL3:UFO3"/>
    <mergeCell ref="UFP3:UFS3"/>
    <mergeCell ref="UFT3:UFW3"/>
    <mergeCell ref="UFX3:UGA3"/>
    <mergeCell ref="UGB3:UGE3"/>
    <mergeCell ref="UEJ3:UEM3"/>
    <mergeCell ref="UEN3:UEQ3"/>
    <mergeCell ref="UER3:UEU3"/>
    <mergeCell ref="UEV3:UEY3"/>
    <mergeCell ref="UEZ3:UFC3"/>
    <mergeCell ref="UFD3:UFG3"/>
    <mergeCell ref="UDL3:UDO3"/>
    <mergeCell ref="UDP3:UDS3"/>
    <mergeCell ref="UDT3:UDW3"/>
    <mergeCell ref="UDX3:UEA3"/>
    <mergeCell ref="UEB3:UEE3"/>
    <mergeCell ref="UEF3:UEI3"/>
    <mergeCell ref="UCN3:UCQ3"/>
    <mergeCell ref="UCR3:UCU3"/>
    <mergeCell ref="UCV3:UCY3"/>
    <mergeCell ref="UCZ3:UDC3"/>
    <mergeCell ref="UDD3:UDG3"/>
    <mergeCell ref="UDH3:UDK3"/>
    <mergeCell ref="UBP3:UBS3"/>
    <mergeCell ref="UBT3:UBW3"/>
    <mergeCell ref="UBX3:UCA3"/>
    <mergeCell ref="UCB3:UCE3"/>
    <mergeCell ref="UCF3:UCI3"/>
    <mergeCell ref="UCJ3:UCM3"/>
    <mergeCell ref="UAR3:UAU3"/>
    <mergeCell ref="UAV3:UAY3"/>
    <mergeCell ref="UAZ3:UBC3"/>
    <mergeCell ref="UBD3:UBG3"/>
    <mergeCell ref="UBH3:UBK3"/>
    <mergeCell ref="UBL3:UBO3"/>
    <mergeCell ref="TZT3:TZW3"/>
    <mergeCell ref="TZX3:UAA3"/>
    <mergeCell ref="UAB3:UAE3"/>
    <mergeCell ref="UAF3:UAI3"/>
    <mergeCell ref="UAJ3:UAM3"/>
    <mergeCell ref="UAN3:UAQ3"/>
    <mergeCell ref="TYV3:TYY3"/>
    <mergeCell ref="TYZ3:TZC3"/>
    <mergeCell ref="TZD3:TZG3"/>
    <mergeCell ref="TZH3:TZK3"/>
    <mergeCell ref="TZL3:TZO3"/>
    <mergeCell ref="TZP3:TZS3"/>
    <mergeCell ref="TXX3:TYA3"/>
    <mergeCell ref="TYB3:TYE3"/>
    <mergeCell ref="TYF3:TYI3"/>
    <mergeCell ref="TYJ3:TYM3"/>
    <mergeCell ref="TYN3:TYQ3"/>
    <mergeCell ref="TYR3:TYU3"/>
    <mergeCell ref="TWZ3:TXC3"/>
    <mergeCell ref="TXD3:TXG3"/>
    <mergeCell ref="TXH3:TXK3"/>
    <mergeCell ref="TXL3:TXO3"/>
    <mergeCell ref="TXP3:TXS3"/>
    <mergeCell ref="TXT3:TXW3"/>
    <mergeCell ref="TWB3:TWE3"/>
    <mergeCell ref="TWF3:TWI3"/>
    <mergeCell ref="TWJ3:TWM3"/>
    <mergeCell ref="TWN3:TWQ3"/>
    <mergeCell ref="TWR3:TWU3"/>
    <mergeCell ref="TWV3:TWY3"/>
    <mergeCell ref="TVD3:TVG3"/>
    <mergeCell ref="TVH3:TVK3"/>
    <mergeCell ref="TVL3:TVO3"/>
    <mergeCell ref="TVP3:TVS3"/>
    <mergeCell ref="TVT3:TVW3"/>
    <mergeCell ref="TVX3:TWA3"/>
    <mergeCell ref="TUF3:TUI3"/>
    <mergeCell ref="TUJ3:TUM3"/>
    <mergeCell ref="TUN3:TUQ3"/>
    <mergeCell ref="TUR3:TUU3"/>
    <mergeCell ref="TUV3:TUY3"/>
    <mergeCell ref="TUZ3:TVC3"/>
    <mergeCell ref="TTH3:TTK3"/>
    <mergeCell ref="TTL3:TTO3"/>
    <mergeCell ref="TTP3:TTS3"/>
    <mergeCell ref="TTT3:TTW3"/>
    <mergeCell ref="TTX3:TUA3"/>
    <mergeCell ref="TUB3:TUE3"/>
    <mergeCell ref="TSJ3:TSM3"/>
    <mergeCell ref="TSN3:TSQ3"/>
    <mergeCell ref="TSR3:TSU3"/>
    <mergeCell ref="TSV3:TSY3"/>
    <mergeCell ref="TSZ3:TTC3"/>
    <mergeCell ref="TTD3:TTG3"/>
    <mergeCell ref="TRL3:TRO3"/>
    <mergeCell ref="TRP3:TRS3"/>
    <mergeCell ref="TRT3:TRW3"/>
    <mergeCell ref="TRX3:TSA3"/>
    <mergeCell ref="TSB3:TSE3"/>
    <mergeCell ref="TSF3:TSI3"/>
    <mergeCell ref="TQN3:TQQ3"/>
    <mergeCell ref="TQR3:TQU3"/>
    <mergeCell ref="TQV3:TQY3"/>
    <mergeCell ref="TQZ3:TRC3"/>
    <mergeCell ref="TRD3:TRG3"/>
    <mergeCell ref="TRH3:TRK3"/>
    <mergeCell ref="TPP3:TPS3"/>
    <mergeCell ref="TPT3:TPW3"/>
    <mergeCell ref="TPX3:TQA3"/>
    <mergeCell ref="TQB3:TQE3"/>
    <mergeCell ref="TQF3:TQI3"/>
    <mergeCell ref="TQJ3:TQM3"/>
    <mergeCell ref="TOR3:TOU3"/>
    <mergeCell ref="TOV3:TOY3"/>
    <mergeCell ref="TOZ3:TPC3"/>
    <mergeCell ref="TPD3:TPG3"/>
    <mergeCell ref="TPH3:TPK3"/>
    <mergeCell ref="TPL3:TPO3"/>
    <mergeCell ref="TNT3:TNW3"/>
    <mergeCell ref="TNX3:TOA3"/>
    <mergeCell ref="TOB3:TOE3"/>
    <mergeCell ref="TOF3:TOI3"/>
    <mergeCell ref="TOJ3:TOM3"/>
    <mergeCell ref="TON3:TOQ3"/>
    <mergeCell ref="TMV3:TMY3"/>
    <mergeCell ref="TMZ3:TNC3"/>
    <mergeCell ref="TND3:TNG3"/>
    <mergeCell ref="TNH3:TNK3"/>
    <mergeCell ref="TNL3:TNO3"/>
    <mergeCell ref="TNP3:TNS3"/>
    <mergeCell ref="TLX3:TMA3"/>
    <mergeCell ref="TMB3:TME3"/>
    <mergeCell ref="TMF3:TMI3"/>
    <mergeCell ref="TMJ3:TMM3"/>
    <mergeCell ref="TMN3:TMQ3"/>
    <mergeCell ref="TMR3:TMU3"/>
    <mergeCell ref="TKZ3:TLC3"/>
    <mergeCell ref="TLD3:TLG3"/>
    <mergeCell ref="TLH3:TLK3"/>
    <mergeCell ref="TLL3:TLO3"/>
    <mergeCell ref="TLP3:TLS3"/>
    <mergeCell ref="TLT3:TLW3"/>
    <mergeCell ref="TKB3:TKE3"/>
    <mergeCell ref="TKF3:TKI3"/>
    <mergeCell ref="TKJ3:TKM3"/>
    <mergeCell ref="TKN3:TKQ3"/>
    <mergeCell ref="TKR3:TKU3"/>
    <mergeCell ref="TKV3:TKY3"/>
    <mergeCell ref="TJD3:TJG3"/>
    <mergeCell ref="TJH3:TJK3"/>
    <mergeCell ref="TJL3:TJO3"/>
    <mergeCell ref="TJP3:TJS3"/>
    <mergeCell ref="TJT3:TJW3"/>
    <mergeCell ref="TJX3:TKA3"/>
    <mergeCell ref="TIF3:TII3"/>
    <mergeCell ref="TIJ3:TIM3"/>
    <mergeCell ref="TIN3:TIQ3"/>
    <mergeCell ref="TIR3:TIU3"/>
    <mergeCell ref="TIV3:TIY3"/>
    <mergeCell ref="TIZ3:TJC3"/>
    <mergeCell ref="THH3:THK3"/>
    <mergeCell ref="THL3:THO3"/>
    <mergeCell ref="THP3:THS3"/>
    <mergeCell ref="THT3:THW3"/>
    <mergeCell ref="THX3:TIA3"/>
    <mergeCell ref="TIB3:TIE3"/>
    <mergeCell ref="TGJ3:TGM3"/>
    <mergeCell ref="TGN3:TGQ3"/>
    <mergeCell ref="TGR3:TGU3"/>
    <mergeCell ref="TGV3:TGY3"/>
    <mergeCell ref="TGZ3:THC3"/>
    <mergeCell ref="THD3:THG3"/>
    <mergeCell ref="TFL3:TFO3"/>
    <mergeCell ref="TFP3:TFS3"/>
    <mergeCell ref="TFT3:TFW3"/>
    <mergeCell ref="TFX3:TGA3"/>
    <mergeCell ref="TGB3:TGE3"/>
    <mergeCell ref="TGF3:TGI3"/>
    <mergeCell ref="TEN3:TEQ3"/>
    <mergeCell ref="TER3:TEU3"/>
    <mergeCell ref="TEV3:TEY3"/>
    <mergeCell ref="TEZ3:TFC3"/>
    <mergeCell ref="TFD3:TFG3"/>
    <mergeCell ref="TFH3:TFK3"/>
    <mergeCell ref="TDP3:TDS3"/>
    <mergeCell ref="TDT3:TDW3"/>
    <mergeCell ref="TDX3:TEA3"/>
    <mergeCell ref="TEB3:TEE3"/>
    <mergeCell ref="TEF3:TEI3"/>
    <mergeCell ref="TEJ3:TEM3"/>
    <mergeCell ref="TCR3:TCU3"/>
    <mergeCell ref="TCV3:TCY3"/>
    <mergeCell ref="TCZ3:TDC3"/>
    <mergeCell ref="TDD3:TDG3"/>
    <mergeCell ref="TDH3:TDK3"/>
    <mergeCell ref="TDL3:TDO3"/>
    <mergeCell ref="TBT3:TBW3"/>
    <mergeCell ref="TBX3:TCA3"/>
    <mergeCell ref="TCB3:TCE3"/>
    <mergeCell ref="TCF3:TCI3"/>
    <mergeCell ref="TCJ3:TCM3"/>
    <mergeCell ref="TCN3:TCQ3"/>
    <mergeCell ref="TAV3:TAY3"/>
    <mergeCell ref="TAZ3:TBC3"/>
    <mergeCell ref="TBD3:TBG3"/>
    <mergeCell ref="TBH3:TBK3"/>
    <mergeCell ref="TBL3:TBO3"/>
    <mergeCell ref="TBP3:TBS3"/>
    <mergeCell ref="SZX3:TAA3"/>
    <mergeCell ref="TAB3:TAE3"/>
    <mergeCell ref="TAF3:TAI3"/>
    <mergeCell ref="TAJ3:TAM3"/>
    <mergeCell ref="TAN3:TAQ3"/>
    <mergeCell ref="TAR3:TAU3"/>
    <mergeCell ref="SYZ3:SZC3"/>
    <mergeCell ref="SZD3:SZG3"/>
    <mergeCell ref="SZH3:SZK3"/>
    <mergeCell ref="SZL3:SZO3"/>
    <mergeCell ref="SZP3:SZS3"/>
    <mergeCell ref="SZT3:SZW3"/>
    <mergeCell ref="SYB3:SYE3"/>
    <mergeCell ref="SYF3:SYI3"/>
    <mergeCell ref="SYJ3:SYM3"/>
    <mergeCell ref="SYN3:SYQ3"/>
    <mergeCell ref="SYR3:SYU3"/>
    <mergeCell ref="SYV3:SYY3"/>
    <mergeCell ref="SXD3:SXG3"/>
    <mergeCell ref="SXH3:SXK3"/>
    <mergeCell ref="SXL3:SXO3"/>
    <mergeCell ref="SXP3:SXS3"/>
    <mergeCell ref="SXT3:SXW3"/>
    <mergeCell ref="SXX3:SYA3"/>
    <mergeCell ref="SWF3:SWI3"/>
    <mergeCell ref="SWJ3:SWM3"/>
    <mergeCell ref="SWN3:SWQ3"/>
    <mergeCell ref="SWR3:SWU3"/>
    <mergeCell ref="SWV3:SWY3"/>
    <mergeCell ref="SWZ3:SXC3"/>
    <mergeCell ref="SVH3:SVK3"/>
    <mergeCell ref="SVL3:SVO3"/>
    <mergeCell ref="SVP3:SVS3"/>
    <mergeCell ref="SVT3:SVW3"/>
    <mergeCell ref="SVX3:SWA3"/>
    <mergeCell ref="SWB3:SWE3"/>
    <mergeCell ref="SUJ3:SUM3"/>
    <mergeCell ref="SUN3:SUQ3"/>
    <mergeCell ref="SUR3:SUU3"/>
    <mergeCell ref="SUV3:SUY3"/>
    <mergeCell ref="SUZ3:SVC3"/>
    <mergeCell ref="SVD3:SVG3"/>
    <mergeCell ref="STL3:STO3"/>
    <mergeCell ref="STP3:STS3"/>
    <mergeCell ref="STT3:STW3"/>
    <mergeCell ref="STX3:SUA3"/>
    <mergeCell ref="SUB3:SUE3"/>
    <mergeCell ref="SUF3:SUI3"/>
    <mergeCell ref="SSN3:SSQ3"/>
    <mergeCell ref="SSR3:SSU3"/>
    <mergeCell ref="SSV3:SSY3"/>
    <mergeCell ref="SSZ3:STC3"/>
    <mergeCell ref="STD3:STG3"/>
    <mergeCell ref="STH3:STK3"/>
    <mergeCell ref="SRP3:SRS3"/>
    <mergeCell ref="SRT3:SRW3"/>
    <mergeCell ref="SRX3:SSA3"/>
    <mergeCell ref="SSB3:SSE3"/>
    <mergeCell ref="SSF3:SSI3"/>
    <mergeCell ref="SSJ3:SSM3"/>
    <mergeCell ref="SQR3:SQU3"/>
    <mergeCell ref="SQV3:SQY3"/>
    <mergeCell ref="SQZ3:SRC3"/>
    <mergeCell ref="SRD3:SRG3"/>
    <mergeCell ref="SRH3:SRK3"/>
    <mergeCell ref="SRL3:SRO3"/>
    <mergeCell ref="SPT3:SPW3"/>
    <mergeCell ref="SPX3:SQA3"/>
    <mergeCell ref="SQB3:SQE3"/>
    <mergeCell ref="SQF3:SQI3"/>
    <mergeCell ref="SQJ3:SQM3"/>
    <mergeCell ref="SQN3:SQQ3"/>
    <mergeCell ref="SOV3:SOY3"/>
    <mergeCell ref="SOZ3:SPC3"/>
    <mergeCell ref="SPD3:SPG3"/>
    <mergeCell ref="SPH3:SPK3"/>
    <mergeCell ref="SPL3:SPO3"/>
    <mergeCell ref="SPP3:SPS3"/>
    <mergeCell ref="SNX3:SOA3"/>
    <mergeCell ref="SOB3:SOE3"/>
    <mergeCell ref="SOF3:SOI3"/>
    <mergeCell ref="SOJ3:SOM3"/>
    <mergeCell ref="SON3:SOQ3"/>
    <mergeCell ref="SOR3:SOU3"/>
    <mergeCell ref="SMZ3:SNC3"/>
    <mergeCell ref="SND3:SNG3"/>
    <mergeCell ref="SNH3:SNK3"/>
    <mergeCell ref="SNL3:SNO3"/>
    <mergeCell ref="SNP3:SNS3"/>
    <mergeCell ref="SNT3:SNW3"/>
    <mergeCell ref="SMB3:SME3"/>
    <mergeCell ref="SMF3:SMI3"/>
    <mergeCell ref="SMJ3:SMM3"/>
    <mergeCell ref="SMN3:SMQ3"/>
    <mergeCell ref="SMR3:SMU3"/>
    <mergeCell ref="SMV3:SMY3"/>
    <mergeCell ref="SLD3:SLG3"/>
    <mergeCell ref="SLH3:SLK3"/>
    <mergeCell ref="SLL3:SLO3"/>
    <mergeCell ref="SLP3:SLS3"/>
    <mergeCell ref="SLT3:SLW3"/>
    <mergeCell ref="SLX3:SMA3"/>
    <mergeCell ref="SKF3:SKI3"/>
    <mergeCell ref="SKJ3:SKM3"/>
    <mergeCell ref="SKN3:SKQ3"/>
    <mergeCell ref="SKR3:SKU3"/>
    <mergeCell ref="SKV3:SKY3"/>
    <mergeCell ref="SKZ3:SLC3"/>
    <mergeCell ref="SJH3:SJK3"/>
    <mergeCell ref="SJL3:SJO3"/>
    <mergeCell ref="SJP3:SJS3"/>
    <mergeCell ref="SJT3:SJW3"/>
    <mergeCell ref="SJX3:SKA3"/>
    <mergeCell ref="SKB3:SKE3"/>
    <mergeCell ref="SIJ3:SIM3"/>
    <mergeCell ref="SIN3:SIQ3"/>
    <mergeCell ref="SIR3:SIU3"/>
    <mergeCell ref="SIV3:SIY3"/>
    <mergeCell ref="SIZ3:SJC3"/>
    <mergeCell ref="SJD3:SJG3"/>
    <mergeCell ref="SHL3:SHO3"/>
    <mergeCell ref="SHP3:SHS3"/>
    <mergeCell ref="SHT3:SHW3"/>
    <mergeCell ref="SHX3:SIA3"/>
    <mergeCell ref="SIB3:SIE3"/>
    <mergeCell ref="SIF3:SII3"/>
    <mergeCell ref="SGN3:SGQ3"/>
    <mergeCell ref="SGR3:SGU3"/>
    <mergeCell ref="SGV3:SGY3"/>
    <mergeCell ref="SGZ3:SHC3"/>
    <mergeCell ref="SHD3:SHG3"/>
    <mergeCell ref="SHH3:SHK3"/>
    <mergeCell ref="SFP3:SFS3"/>
    <mergeCell ref="SFT3:SFW3"/>
    <mergeCell ref="SFX3:SGA3"/>
    <mergeCell ref="SGB3:SGE3"/>
    <mergeCell ref="SGF3:SGI3"/>
    <mergeCell ref="SGJ3:SGM3"/>
    <mergeCell ref="SER3:SEU3"/>
    <mergeCell ref="SEV3:SEY3"/>
    <mergeCell ref="SEZ3:SFC3"/>
    <mergeCell ref="SFD3:SFG3"/>
    <mergeCell ref="SFH3:SFK3"/>
    <mergeCell ref="SFL3:SFO3"/>
    <mergeCell ref="SDT3:SDW3"/>
    <mergeCell ref="SDX3:SEA3"/>
    <mergeCell ref="SEB3:SEE3"/>
    <mergeCell ref="SEF3:SEI3"/>
    <mergeCell ref="SEJ3:SEM3"/>
    <mergeCell ref="SEN3:SEQ3"/>
    <mergeCell ref="SCV3:SCY3"/>
    <mergeCell ref="SCZ3:SDC3"/>
    <mergeCell ref="SDD3:SDG3"/>
    <mergeCell ref="SDH3:SDK3"/>
    <mergeCell ref="SDL3:SDO3"/>
    <mergeCell ref="SDP3:SDS3"/>
    <mergeCell ref="SBX3:SCA3"/>
    <mergeCell ref="SCB3:SCE3"/>
    <mergeCell ref="SCF3:SCI3"/>
    <mergeCell ref="SCJ3:SCM3"/>
    <mergeCell ref="SCN3:SCQ3"/>
    <mergeCell ref="SCR3:SCU3"/>
    <mergeCell ref="SAZ3:SBC3"/>
    <mergeCell ref="SBD3:SBG3"/>
    <mergeCell ref="SBH3:SBK3"/>
    <mergeCell ref="SBL3:SBO3"/>
    <mergeCell ref="SBP3:SBS3"/>
    <mergeCell ref="SBT3:SBW3"/>
    <mergeCell ref="SAB3:SAE3"/>
    <mergeCell ref="SAF3:SAI3"/>
    <mergeCell ref="SAJ3:SAM3"/>
    <mergeCell ref="SAN3:SAQ3"/>
    <mergeCell ref="SAR3:SAU3"/>
    <mergeCell ref="SAV3:SAY3"/>
    <mergeCell ref="RZD3:RZG3"/>
    <mergeCell ref="RZH3:RZK3"/>
    <mergeCell ref="RZL3:RZO3"/>
    <mergeCell ref="RZP3:RZS3"/>
    <mergeCell ref="RZT3:RZW3"/>
    <mergeCell ref="RZX3:SAA3"/>
    <mergeCell ref="RYF3:RYI3"/>
    <mergeCell ref="RYJ3:RYM3"/>
    <mergeCell ref="RYN3:RYQ3"/>
    <mergeCell ref="RYR3:RYU3"/>
    <mergeCell ref="RYV3:RYY3"/>
    <mergeCell ref="RYZ3:RZC3"/>
    <mergeCell ref="RXH3:RXK3"/>
    <mergeCell ref="RXL3:RXO3"/>
    <mergeCell ref="RXP3:RXS3"/>
    <mergeCell ref="RXT3:RXW3"/>
    <mergeCell ref="RXX3:RYA3"/>
    <mergeCell ref="RYB3:RYE3"/>
    <mergeCell ref="RWJ3:RWM3"/>
    <mergeCell ref="RWN3:RWQ3"/>
    <mergeCell ref="RWR3:RWU3"/>
    <mergeCell ref="RWV3:RWY3"/>
    <mergeCell ref="RWZ3:RXC3"/>
    <mergeCell ref="RXD3:RXG3"/>
    <mergeCell ref="RVL3:RVO3"/>
    <mergeCell ref="RVP3:RVS3"/>
    <mergeCell ref="RVT3:RVW3"/>
    <mergeCell ref="RVX3:RWA3"/>
    <mergeCell ref="RWB3:RWE3"/>
    <mergeCell ref="RWF3:RWI3"/>
    <mergeCell ref="RUN3:RUQ3"/>
    <mergeCell ref="RUR3:RUU3"/>
    <mergeCell ref="RUV3:RUY3"/>
    <mergeCell ref="RUZ3:RVC3"/>
    <mergeCell ref="RVD3:RVG3"/>
    <mergeCell ref="RVH3:RVK3"/>
    <mergeCell ref="RTP3:RTS3"/>
    <mergeCell ref="RTT3:RTW3"/>
    <mergeCell ref="RTX3:RUA3"/>
    <mergeCell ref="RUB3:RUE3"/>
    <mergeCell ref="RUF3:RUI3"/>
    <mergeCell ref="RUJ3:RUM3"/>
    <mergeCell ref="RSR3:RSU3"/>
    <mergeCell ref="RSV3:RSY3"/>
    <mergeCell ref="RSZ3:RTC3"/>
    <mergeCell ref="RTD3:RTG3"/>
    <mergeCell ref="RTH3:RTK3"/>
    <mergeCell ref="RTL3:RTO3"/>
    <mergeCell ref="RRT3:RRW3"/>
    <mergeCell ref="RRX3:RSA3"/>
    <mergeCell ref="RSB3:RSE3"/>
    <mergeCell ref="RSF3:RSI3"/>
    <mergeCell ref="RSJ3:RSM3"/>
    <mergeCell ref="RSN3:RSQ3"/>
    <mergeCell ref="RQV3:RQY3"/>
    <mergeCell ref="RQZ3:RRC3"/>
    <mergeCell ref="RRD3:RRG3"/>
    <mergeCell ref="RRH3:RRK3"/>
    <mergeCell ref="RRL3:RRO3"/>
    <mergeCell ref="RRP3:RRS3"/>
    <mergeCell ref="RPX3:RQA3"/>
    <mergeCell ref="RQB3:RQE3"/>
    <mergeCell ref="RQF3:RQI3"/>
    <mergeCell ref="RQJ3:RQM3"/>
    <mergeCell ref="RQN3:RQQ3"/>
    <mergeCell ref="RQR3:RQU3"/>
    <mergeCell ref="ROZ3:RPC3"/>
    <mergeCell ref="RPD3:RPG3"/>
    <mergeCell ref="RPH3:RPK3"/>
    <mergeCell ref="RPL3:RPO3"/>
    <mergeCell ref="RPP3:RPS3"/>
    <mergeCell ref="RPT3:RPW3"/>
    <mergeCell ref="ROB3:ROE3"/>
    <mergeCell ref="ROF3:ROI3"/>
    <mergeCell ref="ROJ3:ROM3"/>
    <mergeCell ref="RON3:ROQ3"/>
    <mergeCell ref="ROR3:ROU3"/>
    <mergeCell ref="ROV3:ROY3"/>
    <mergeCell ref="RND3:RNG3"/>
    <mergeCell ref="RNH3:RNK3"/>
    <mergeCell ref="RNL3:RNO3"/>
    <mergeCell ref="RNP3:RNS3"/>
    <mergeCell ref="RNT3:RNW3"/>
    <mergeCell ref="RNX3:ROA3"/>
    <mergeCell ref="RMF3:RMI3"/>
    <mergeCell ref="RMJ3:RMM3"/>
    <mergeCell ref="RMN3:RMQ3"/>
    <mergeCell ref="RMR3:RMU3"/>
    <mergeCell ref="RMV3:RMY3"/>
    <mergeCell ref="RMZ3:RNC3"/>
    <mergeCell ref="RLH3:RLK3"/>
    <mergeCell ref="RLL3:RLO3"/>
    <mergeCell ref="RLP3:RLS3"/>
    <mergeCell ref="RLT3:RLW3"/>
    <mergeCell ref="RLX3:RMA3"/>
    <mergeCell ref="RMB3:RME3"/>
    <mergeCell ref="RKJ3:RKM3"/>
    <mergeCell ref="RKN3:RKQ3"/>
    <mergeCell ref="RKR3:RKU3"/>
    <mergeCell ref="RKV3:RKY3"/>
    <mergeCell ref="RKZ3:RLC3"/>
    <mergeCell ref="RLD3:RLG3"/>
    <mergeCell ref="RJL3:RJO3"/>
    <mergeCell ref="RJP3:RJS3"/>
    <mergeCell ref="RJT3:RJW3"/>
    <mergeCell ref="RJX3:RKA3"/>
    <mergeCell ref="RKB3:RKE3"/>
    <mergeCell ref="RKF3:RKI3"/>
    <mergeCell ref="RIN3:RIQ3"/>
    <mergeCell ref="RIR3:RIU3"/>
    <mergeCell ref="RIV3:RIY3"/>
    <mergeCell ref="RIZ3:RJC3"/>
    <mergeCell ref="RJD3:RJG3"/>
    <mergeCell ref="RJH3:RJK3"/>
    <mergeCell ref="RHP3:RHS3"/>
    <mergeCell ref="RHT3:RHW3"/>
    <mergeCell ref="RHX3:RIA3"/>
    <mergeCell ref="RIB3:RIE3"/>
    <mergeCell ref="RIF3:RII3"/>
    <mergeCell ref="RIJ3:RIM3"/>
    <mergeCell ref="RGR3:RGU3"/>
    <mergeCell ref="RGV3:RGY3"/>
    <mergeCell ref="RGZ3:RHC3"/>
    <mergeCell ref="RHD3:RHG3"/>
    <mergeCell ref="RHH3:RHK3"/>
    <mergeCell ref="RHL3:RHO3"/>
    <mergeCell ref="RFT3:RFW3"/>
    <mergeCell ref="RFX3:RGA3"/>
    <mergeCell ref="RGB3:RGE3"/>
    <mergeCell ref="RGF3:RGI3"/>
    <mergeCell ref="RGJ3:RGM3"/>
    <mergeCell ref="RGN3:RGQ3"/>
    <mergeCell ref="REV3:REY3"/>
    <mergeCell ref="REZ3:RFC3"/>
    <mergeCell ref="RFD3:RFG3"/>
    <mergeCell ref="RFH3:RFK3"/>
    <mergeCell ref="RFL3:RFO3"/>
    <mergeCell ref="RFP3:RFS3"/>
    <mergeCell ref="RDX3:REA3"/>
    <mergeCell ref="REB3:REE3"/>
    <mergeCell ref="REF3:REI3"/>
    <mergeCell ref="REJ3:REM3"/>
    <mergeCell ref="REN3:REQ3"/>
    <mergeCell ref="RER3:REU3"/>
    <mergeCell ref="RCZ3:RDC3"/>
    <mergeCell ref="RDD3:RDG3"/>
    <mergeCell ref="RDH3:RDK3"/>
    <mergeCell ref="RDL3:RDO3"/>
    <mergeCell ref="RDP3:RDS3"/>
    <mergeCell ref="RDT3:RDW3"/>
    <mergeCell ref="RCB3:RCE3"/>
    <mergeCell ref="RCF3:RCI3"/>
    <mergeCell ref="RCJ3:RCM3"/>
    <mergeCell ref="RCN3:RCQ3"/>
    <mergeCell ref="RCR3:RCU3"/>
    <mergeCell ref="RCV3:RCY3"/>
    <mergeCell ref="RBD3:RBG3"/>
    <mergeCell ref="RBH3:RBK3"/>
    <mergeCell ref="RBL3:RBO3"/>
    <mergeCell ref="RBP3:RBS3"/>
    <mergeCell ref="RBT3:RBW3"/>
    <mergeCell ref="RBX3:RCA3"/>
    <mergeCell ref="RAF3:RAI3"/>
    <mergeCell ref="RAJ3:RAM3"/>
    <mergeCell ref="RAN3:RAQ3"/>
    <mergeCell ref="RAR3:RAU3"/>
    <mergeCell ref="RAV3:RAY3"/>
    <mergeCell ref="RAZ3:RBC3"/>
    <mergeCell ref="QZH3:QZK3"/>
    <mergeCell ref="QZL3:QZO3"/>
    <mergeCell ref="QZP3:QZS3"/>
    <mergeCell ref="QZT3:QZW3"/>
    <mergeCell ref="QZX3:RAA3"/>
    <mergeCell ref="RAB3:RAE3"/>
    <mergeCell ref="QYJ3:QYM3"/>
    <mergeCell ref="QYN3:QYQ3"/>
    <mergeCell ref="QYR3:QYU3"/>
    <mergeCell ref="QYV3:QYY3"/>
    <mergeCell ref="QYZ3:QZC3"/>
    <mergeCell ref="QZD3:QZG3"/>
    <mergeCell ref="QXL3:QXO3"/>
    <mergeCell ref="QXP3:QXS3"/>
    <mergeCell ref="QXT3:QXW3"/>
    <mergeCell ref="QXX3:QYA3"/>
    <mergeCell ref="QYB3:QYE3"/>
    <mergeCell ref="QYF3:QYI3"/>
    <mergeCell ref="QWN3:QWQ3"/>
    <mergeCell ref="QWR3:QWU3"/>
    <mergeCell ref="QWV3:QWY3"/>
    <mergeCell ref="QWZ3:QXC3"/>
    <mergeCell ref="QXD3:QXG3"/>
    <mergeCell ref="QXH3:QXK3"/>
    <mergeCell ref="QVP3:QVS3"/>
    <mergeCell ref="QVT3:QVW3"/>
    <mergeCell ref="QVX3:QWA3"/>
    <mergeCell ref="QWB3:QWE3"/>
    <mergeCell ref="QWF3:QWI3"/>
    <mergeCell ref="QWJ3:QWM3"/>
    <mergeCell ref="QUR3:QUU3"/>
    <mergeCell ref="QUV3:QUY3"/>
    <mergeCell ref="QUZ3:QVC3"/>
    <mergeCell ref="QVD3:QVG3"/>
    <mergeCell ref="QVH3:QVK3"/>
    <mergeCell ref="QVL3:QVO3"/>
    <mergeCell ref="QTT3:QTW3"/>
    <mergeCell ref="QTX3:QUA3"/>
    <mergeCell ref="QUB3:QUE3"/>
    <mergeCell ref="QUF3:QUI3"/>
    <mergeCell ref="QUJ3:QUM3"/>
    <mergeCell ref="QUN3:QUQ3"/>
    <mergeCell ref="QSV3:QSY3"/>
    <mergeCell ref="QSZ3:QTC3"/>
    <mergeCell ref="QTD3:QTG3"/>
    <mergeCell ref="QTH3:QTK3"/>
    <mergeCell ref="QTL3:QTO3"/>
    <mergeCell ref="QTP3:QTS3"/>
    <mergeCell ref="QRX3:QSA3"/>
    <mergeCell ref="QSB3:QSE3"/>
    <mergeCell ref="QSF3:QSI3"/>
    <mergeCell ref="QSJ3:QSM3"/>
    <mergeCell ref="QSN3:QSQ3"/>
    <mergeCell ref="QSR3:QSU3"/>
    <mergeCell ref="QQZ3:QRC3"/>
    <mergeCell ref="QRD3:QRG3"/>
    <mergeCell ref="QRH3:QRK3"/>
    <mergeCell ref="QRL3:QRO3"/>
    <mergeCell ref="QRP3:QRS3"/>
    <mergeCell ref="QRT3:QRW3"/>
    <mergeCell ref="QQB3:QQE3"/>
    <mergeCell ref="QQF3:QQI3"/>
    <mergeCell ref="QQJ3:QQM3"/>
    <mergeCell ref="QQN3:QQQ3"/>
    <mergeCell ref="QQR3:QQU3"/>
    <mergeCell ref="QQV3:QQY3"/>
    <mergeCell ref="QPD3:QPG3"/>
    <mergeCell ref="QPH3:QPK3"/>
    <mergeCell ref="QPL3:QPO3"/>
    <mergeCell ref="QPP3:QPS3"/>
    <mergeCell ref="QPT3:QPW3"/>
    <mergeCell ref="QPX3:QQA3"/>
    <mergeCell ref="QOF3:QOI3"/>
    <mergeCell ref="QOJ3:QOM3"/>
    <mergeCell ref="QON3:QOQ3"/>
    <mergeCell ref="QOR3:QOU3"/>
    <mergeCell ref="QOV3:QOY3"/>
    <mergeCell ref="QOZ3:QPC3"/>
    <mergeCell ref="QNH3:QNK3"/>
    <mergeCell ref="QNL3:QNO3"/>
    <mergeCell ref="QNP3:QNS3"/>
    <mergeCell ref="QNT3:QNW3"/>
    <mergeCell ref="QNX3:QOA3"/>
    <mergeCell ref="QOB3:QOE3"/>
    <mergeCell ref="QMJ3:QMM3"/>
    <mergeCell ref="QMN3:QMQ3"/>
    <mergeCell ref="QMR3:QMU3"/>
    <mergeCell ref="QMV3:QMY3"/>
    <mergeCell ref="QMZ3:QNC3"/>
    <mergeCell ref="QND3:QNG3"/>
    <mergeCell ref="QLL3:QLO3"/>
    <mergeCell ref="QLP3:QLS3"/>
    <mergeCell ref="QLT3:QLW3"/>
    <mergeCell ref="QLX3:QMA3"/>
    <mergeCell ref="QMB3:QME3"/>
    <mergeCell ref="QMF3:QMI3"/>
    <mergeCell ref="QKN3:QKQ3"/>
    <mergeCell ref="QKR3:QKU3"/>
    <mergeCell ref="QKV3:QKY3"/>
    <mergeCell ref="QKZ3:QLC3"/>
    <mergeCell ref="QLD3:QLG3"/>
    <mergeCell ref="QLH3:QLK3"/>
    <mergeCell ref="QJP3:QJS3"/>
    <mergeCell ref="QJT3:QJW3"/>
    <mergeCell ref="QJX3:QKA3"/>
    <mergeCell ref="QKB3:QKE3"/>
    <mergeCell ref="QKF3:QKI3"/>
    <mergeCell ref="QKJ3:QKM3"/>
    <mergeCell ref="QIR3:QIU3"/>
    <mergeCell ref="QIV3:QIY3"/>
    <mergeCell ref="QIZ3:QJC3"/>
    <mergeCell ref="QJD3:QJG3"/>
    <mergeCell ref="QJH3:QJK3"/>
    <mergeCell ref="QJL3:QJO3"/>
    <mergeCell ref="QHT3:QHW3"/>
    <mergeCell ref="QHX3:QIA3"/>
    <mergeCell ref="QIB3:QIE3"/>
    <mergeCell ref="QIF3:QII3"/>
    <mergeCell ref="QIJ3:QIM3"/>
    <mergeCell ref="QIN3:QIQ3"/>
    <mergeCell ref="QGV3:QGY3"/>
    <mergeCell ref="QGZ3:QHC3"/>
    <mergeCell ref="QHD3:QHG3"/>
    <mergeCell ref="QHH3:QHK3"/>
    <mergeCell ref="QHL3:QHO3"/>
    <mergeCell ref="QHP3:QHS3"/>
    <mergeCell ref="QFX3:QGA3"/>
    <mergeCell ref="QGB3:QGE3"/>
    <mergeCell ref="QGF3:QGI3"/>
    <mergeCell ref="QGJ3:QGM3"/>
    <mergeCell ref="QGN3:QGQ3"/>
    <mergeCell ref="QGR3:QGU3"/>
    <mergeCell ref="QEZ3:QFC3"/>
    <mergeCell ref="QFD3:QFG3"/>
    <mergeCell ref="QFH3:QFK3"/>
    <mergeCell ref="QFL3:QFO3"/>
    <mergeCell ref="QFP3:QFS3"/>
    <mergeCell ref="QFT3:QFW3"/>
    <mergeCell ref="QEB3:QEE3"/>
    <mergeCell ref="QEF3:QEI3"/>
    <mergeCell ref="QEJ3:QEM3"/>
    <mergeCell ref="QEN3:QEQ3"/>
    <mergeCell ref="QER3:QEU3"/>
    <mergeCell ref="QEV3:QEY3"/>
    <mergeCell ref="QDD3:QDG3"/>
    <mergeCell ref="QDH3:QDK3"/>
    <mergeCell ref="QDL3:QDO3"/>
    <mergeCell ref="QDP3:QDS3"/>
    <mergeCell ref="QDT3:QDW3"/>
    <mergeCell ref="QDX3:QEA3"/>
    <mergeCell ref="QCF3:QCI3"/>
    <mergeCell ref="QCJ3:QCM3"/>
    <mergeCell ref="QCN3:QCQ3"/>
    <mergeCell ref="QCR3:QCU3"/>
    <mergeCell ref="QCV3:QCY3"/>
    <mergeCell ref="QCZ3:QDC3"/>
    <mergeCell ref="QBH3:QBK3"/>
    <mergeCell ref="QBL3:QBO3"/>
    <mergeCell ref="QBP3:QBS3"/>
    <mergeCell ref="QBT3:QBW3"/>
    <mergeCell ref="QBX3:QCA3"/>
    <mergeCell ref="QCB3:QCE3"/>
    <mergeCell ref="QAJ3:QAM3"/>
    <mergeCell ref="QAN3:QAQ3"/>
    <mergeCell ref="QAR3:QAU3"/>
    <mergeCell ref="QAV3:QAY3"/>
    <mergeCell ref="QAZ3:QBC3"/>
    <mergeCell ref="QBD3:QBG3"/>
    <mergeCell ref="PZL3:PZO3"/>
    <mergeCell ref="PZP3:PZS3"/>
    <mergeCell ref="PZT3:PZW3"/>
    <mergeCell ref="PZX3:QAA3"/>
    <mergeCell ref="QAB3:QAE3"/>
    <mergeCell ref="QAF3:QAI3"/>
    <mergeCell ref="PYN3:PYQ3"/>
    <mergeCell ref="PYR3:PYU3"/>
    <mergeCell ref="PYV3:PYY3"/>
    <mergeCell ref="PYZ3:PZC3"/>
    <mergeCell ref="PZD3:PZG3"/>
    <mergeCell ref="PZH3:PZK3"/>
    <mergeCell ref="PXP3:PXS3"/>
    <mergeCell ref="PXT3:PXW3"/>
    <mergeCell ref="PXX3:PYA3"/>
    <mergeCell ref="PYB3:PYE3"/>
    <mergeCell ref="PYF3:PYI3"/>
    <mergeCell ref="PYJ3:PYM3"/>
    <mergeCell ref="PWR3:PWU3"/>
    <mergeCell ref="PWV3:PWY3"/>
    <mergeCell ref="PWZ3:PXC3"/>
    <mergeCell ref="PXD3:PXG3"/>
    <mergeCell ref="PXH3:PXK3"/>
    <mergeCell ref="PXL3:PXO3"/>
    <mergeCell ref="PVT3:PVW3"/>
    <mergeCell ref="PVX3:PWA3"/>
    <mergeCell ref="PWB3:PWE3"/>
    <mergeCell ref="PWF3:PWI3"/>
    <mergeCell ref="PWJ3:PWM3"/>
    <mergeCell ref="PWN3:PWQ3"/>
    <mergeCell ref="PUV3:PUY3"/>
    <mergeCell ref="PUZ3:PVC3"/>
    <mergeCell ref="PVD3:PVG3"/>
    <mergeCell ref="PVH3:PVK3"/>
    <mergeCell ref="PVL3:PVO3"/>
    <mergeCell ref="PVP3:PVS3"/>
    <mergeCell ref="PTX3:PUA3"/>
    <mergeCell ref="PUB3:PUE3"/>
    <mergeCell ref="PUF3:PUI3"/>
    <mergeCell ref="PUJ3:PUM3"/>
    <mergeCell ref="PUN3:PUQ3"/>
    <mergeCell ref="PUR3:PUU3"/>
    <mergeCell ref="PSZ3:PTC3"/>
    <mergeCell ref="PTD3:PTG3"/>
    <mergeCell ref="PTH3:PTK3"/>
    <mergeCell ref="PTL3:PTO3"/>
    <mergeCell ref="PTP3:PTS3"/>
    <mergeCell ref="PTT3:PTW3"/>
    <mergeCell ref="PSB3:PSE3"/>
    <mergeCell ref="PSF3:PSI3"/>
    <mergeCell ref="PSJ3:PSM3"/>
    <mergeCell ref="PSN3:PSQ3"/>
    <mergeCell ref="PSR3:PSU3"/>
    <mergeCell ref="PSV3:PSY3"/>
    <mergeCell ref="PRD3:PRG3"/>
    <mergeCell ref="PRH3:PRK3"/>
    <mergeCell ref="PRL3:PRO3"/>
    <mergeCell ref="PRP3:PRS3"/>
    <mergeCell ref="PRT3:PRW3"/>
    <mergeCell ref="PRX3:PSA3"/>
    <mergeCell ref="PQF3:PQI3"/>
    <mergeCell ref="PQJ3:PQM3"/>
    <mergeCell ref="PQN3:PQQ3"/>
    <mergeCell ref="PQR3:PQU3"/>
    <mergeCell ref="PQV3:PQY3"/>
    <mergeCell ref="PQZ3:PRC3"/>
    <mergeCell ref="PPH3:PPK3"/>
    <mergeCell ref="PPL3:PPO3"/>
    <mergeCell ref="PPP3:PPS3"/>
    <mergeCell ref="PPT3:PPW3"/>
    <mergeCell ref="PPX3:PQA3"/>
    <mergeCell ref="PQB3:PQE3"/>
    <mergeCell ref="POJ3:POM3"/>
    <mergeCell ref="PON3:POQ3"/>
    <mergeCell ref="POR3:POU3"/>
    <mergeCell ref="POV3:POY3"/>
    <mergeCell ref="POZ3:PPC3"/>
    <mergeCell ref="PPD3:PPG3"/>
    <mergeCell ref="PNL3:PNO3"/>
    <mergeCell ref="PNP3:PNS3"/>
    <mergeCell ref="PNT3:PNW3"/>
    <mergeCell ref="PNX3:POA3"/>
    <mergeCell ref="POB3:POE3"/>
    <mergeCell ref="POF3:POI3"/>
    <mergeCell ref="PMN3:PMQ3"/>
    <mergeCell ref="PMR3:PMU3"/>
    <mergeCell ref="PMV3:PMY3"/>
    <mergeCell ref="PMZ3:PNC3"/>
    <mergeCell ref="PND3:PNG3"/>
    <mergeCell ref="PNH3:PNK3"/>
    <mergeCell ref="PLP3:PLS3"/>
    <mergeCell ref="PLT3:PLW3"/>
    <mergeCell ref="PLX3:PMA3"/>
    <mergeCell ref="PMB3:PME3"/>
    <mergeCell ref="PMF3:PMI3"/>
    <mergeCell ref="PMJ3:PMM3"/>
    <mergeCell ref="PKR3:PKU3"/>
    <mergeCell ref="PKV3:PKY3"/>
    <mergeCell ref="PKZ3:PLC3"/>
    <mergeCell ref="PLD3:PLG3"/>
    <mergeCell ref="PLH3:PLK3"/>
    <mergeCell ref="PLL3:PLO3"/>
    <mergeCell ref="PJT3:PJW3"/>
    <mergeCell ref="PJX3:PKA3"/>
    <mergeCell ref="PKB3:PKE3"/>
    <mergeCell ref="PKF3:PKI3"/>
    <mergeCell ref="PKJ3:PKM3"/>
    <mergeCell ref="PKN3:PKQ3"/>
    <mergeCell ref="PIV3:PIY3"/>
    <mergeCell ref="PIZ3:PJC3"/>
    <mergeCell ref="PJD3:PJG3"/>
    <mergeCell ref="PJH3:PJK3"/>
    <mergeCell ref="PJL3:PJO3"/>
    <mergeCell ref="PJP3:PJS3"/>
    <mergeCell ref="PHX3:PIA3"/>
    <mergeCell ref="PIB3:PIE3"/>
    <mergeCell ref="PIF3:PII3"/>
    <mergeCell ref="PIJ3:PIM3"/>
    <mergeCell ref="PIN3:PIQ3"/>
    <mergeCell ref="PIR3:PIU3"/>
    <mergeCell ref="PGZ3:PHC3"/>
    <mergeCell ref="PHD3:PHG3"/>
    <mergeCell ref="PHH3:PHK3"/>
    <mergeCell ref="PHL3:PHO3"/>
    <mergeCell ref="PHP3:PHS3"/>
    <mergeCell ref="PHT3:PHW3"/>
    <mergeCell ref="PGB3:PGE3"/>
    <mergeCell ref="PGF3:PGI3"/>
    <mergeCell ref="PGJ3:PGM3"/>
    <mergeCell ref="PGN3:PGQ3"/>
    <mergeCell ref="PGR3:PGU3"/>
    <mergeCell ref="PGV3:PGY3"/>
    <mergeCell ref="PFD3:PFG3"/>
    <mergeCell ref="PFH3:PFK3"/>
    <mergeCell ref="PFL3:PFO3"/>
    <mergeCell ref="PFP3:PFS3"/>
    <mergeCell ref="PFT3:PFW3"/>
    <mergeCell ref="PFX3:PGA3"/>
    <mergeCell ref="PEF3:PEI3"/>
    <mergeCell ref="PEJ3:PEM3"/>
    <mergeCell ref="PEN3:PEQ3"/>
    <mergeCell ref="PER3:PEU3"/>
    <mergeCell ref="PEV3:PEY3"/>
    <mergeCell ref="PEZ3:PFC3"/>
    <mergeCell ref="PDH3:PDK3"/>
    <mergeCell ref="PDL3:PDO3"/>
    <mergeCell ref="PDP3:PDS3"/>
    <mergeCell ref="PDT3:PDW3"/>
    <mergeCell ref="PDX3:PEA3"/>
    <mergeCell ref="PEB3:PEE3"/>
    <mergeCell ref="PCJ3:PCM3"/>
    <mergeCell ref="PCN3:PCQ3"/>
    <mergeCell ref="PCR3:PCU3"/>
    <mergeCell ref="PCV3:PCY3"/>
    <mergeCell ref="PCZ3:PDC3"/>
    <mergeCell ref="PDD3:PDG3"/>
    <mergeCell ref="PBL3:PBO3"/>
    <mergeCell ref="PBP3:PBS3"/>
    <mergeCell ref="PBT3:PBW3"/>
    <mergeCell ref="PBX3:PCA3"/>
    <mergeCell ref="PCB3:PCE3"/>
    <mergeCell ref="PCF3:PCI3"/>
    <mergeCell ref="PAN3:PAQ3"/>
    <mergeCell ref="PAR3:PAU3"/>
    <mergeCell ref="PAV3:PAY3"/>
    <mergeCell ref="PAZ3:PBC3"/>
    <mergeCell ref="PBD3:PBG3"/>
    <mergeCell ref="PBH3:PBK3"/>
    <mergeCell ref="OZP3:OZS3"/>
    <mergeCell ref="OZT3:OZW3"/>
    <mergeCell ref="OZX3:PAA3"/>
    <mergeCell ref="PAB3:PAE3"/>
    <mergeCell ref="PAF3:PAI3"/>
    <mergeCell ref="PAJ3:PAM3"/>
    <mergeCell ref="OYR3:OYU3"/>
    <mergeCell ref="OYV3:OYY3"/>
    <mergeCell ref="OYZ3:OZC3"/>
    <mergeCell ref="OZD3:OZG3"/>
    <mergeCell ref="OZH3:OZK3"/>
    <mergeCell ref="OZL3:OZO3"/>
    <mergeCell ref="OXT3:OXW3"/>
    <mergeCell ref="OXX3:OYA3"/>
    <mergeCell ref="OYB3:OYE3"/>
    <mergeCell ref="OYF3:OYI3"/>
    <mergeCell ref="OYJ3:OYM3"/>
    <mergeCell ref="OYN3:OYQ3"/>
    <mergeCell ref="OWV3:OWY3"/>
    <mergeCell ref="OWZ3:OXC3"/>
    <mergeCell ref="OXD3:OXG3"/>
    <mergeCell ref="OXH3:OXK3"/>
    <mergeCell ref="OXL3:OXO3"/>
    <mergeCell ref="OXP3:OXS3"/>
    <mergeCell ref="OVX3:OWA3"/>
    <mergeCell ref="OWB3:OWE3"/>
    <mergeCell ref="OWF3:OWI3"/>
    <mergeCell ref="OWJ3:OWM3"/>
    <mergeCell ref="OWN3:OWQ3"/>
    <mergeCell ref="OWR3:OWU3"/>
    <mergeCell ref="OUZ3:OVC3"/>
    <mergeCell ref="OVD3:OVG3"/>
    <mergeCell ref="OVH3:OVK3"/>
    <mergeCell ref="OVL3:OVO3"/>
    <mergeCell ref="OVP3:OVS3"/>
    <mergeCell ref="OVT3:OVW3"/>
    <mergeCell ref="OUB3:OUE3"/>
    <mergeCell ref="OUF3:OUI3"/>
    <mergeCell ref="OUJ3:OUM3"/>
    <mergeCell ref="OUN3:OUQ3"/>
    <mergeCell ref="OUR3:OUU3"/>
    <mergeCell ref="OUV3:OUY3"/>
    <mergeCell ref="OTD3:OTG3"/>
    <mergeCell ref="OTH3:OTK3"/>
    <mergeCell ref="OTL3:OTO3"/>
    <mergeCell ref="OTP3:OTS3"/>
    <mergeCell ref="OTT3:OTW3"/>
    <mergeCell ref="OTX3:OUA3"/>
    <mergeCell ref="OSF3:OSI3"/>
    <mergeCell ref="OSJ3:OSM3"/>
    <mergeCell ref="OSN3:OSQ3"/>
    <mergeCell ref="OSR3:OSU3"/>
    <mergeCell ref="OSV3:OSY3"/>
    <mergeCell ref="OSZ3:OTC3"/>
    <mergeCell ref="ORH3:ORK3"/>
    <mergeCell ref="ORL3:ORO3"/>
    <mergeCell ref="ORP3:ORS3"/>
    <mergeCell ref="ORT3:ORW3"/>
    <mergeCell ref="ORX3:OSA3"/>
    <mergeCell ref="OSB3:OSE3"/>
    <mergeCell ref="OQJ3:OQM3"/>
    <mergeCell ref="OQN3:OQQ3"/>
    <mergeCell ref="OQR3:OQU3"/>
    <mergeCell ref="OQV3:OQY3"/>
    <mergeCell ref="OQZ3:ORC3"/>
    <mergeCell ref="ORD3:ORG3"/>
    <mergeCell ref="OPL3:OPO3"/>
    <mergeCell ref="OPP3:OPS3"/>
    <mergeCell ref="OPT3:OPW3"/>
    <mergeCell ref="OPX3:OQA3"/>
    <mergeCell ref="OQB3:OQE3"/>
    <mergeCell ref="OQF3:OQI3"/>
    <mergeCell ref="OON3:OOQ3"/>
    <mergeCell ref="OOR3:OOU3"/>
    <mergeCell ref="OOV3:OOY3"/>
    <mergeCell ref="OOZ3:OPC3"/>
    <mergeCell ref="OPD3:OPG3"/>
    <mergeCell ref="OPH3:OPK3"/>
    <mergeCell ref="ONP3:ONS3"/>
    <mergeCell ref="ONT3:ONW3"/>
    <mergeCell ref="ONX3:OOA3"/>
    <mergeCell ref="OOB3:OOE3"/>
    <mergeCell ref="OOF3:OOI3"/>
    <mergeCell ref="OOJ3:OOM3"/>
    <mergeCell ref="OMR3:OMU3"/>
    <mergeCell ref="OMV3:OMY3"/>
    <mergeCell ref="OMZ3:ONC3"/>
    <mergeCell ref="OND3:ONG3"/>
    <mergeCell ref="ONH3:ONK3"/>
    <mergeCell ref="ONL3:ONO3"/>
    <mergeCell ref="OLT3:OLW3"/>
    <mergeCell ref="OLX3:OMA3"/>
    <mergeCell ref="OMB3:OME3"/>
    <mergeCell ref="OMF3:OMI3"/>
    <mergeCell ref="OMJ3:OMM3"/>
    <mergeCell ref="OMN3:OMQ3"/>
    <mergeCell ref="OKV3:OKY3"/>
    <mergeCell ref="OKZ3:OLC3"/>
    <mergeCell ref="OLD3:OLG3"/>
    <mergeCell ref="OLH3:OLK3"/>
    <mergeCell ref="OLL3:OLO3"/>
    <mergeCell ref="OLP3:OLS3"/>
    <mergeCell ref="OJX3:OKA3"/>
    <mergeCell ref="OKB3:OKE3"/>
    <mergeCell ref="OKF3:OKI3"/>
    <mergeCell ref="OKJ3:OKM3"/>
    <mergeCell ref="OKN3:OKQ3"/>
    <mergeCell ref="OKR3:OKU3"/>
    <mergeCell ref="OIZ3:OJC3"/>
    <mergeCell ref="OJD3:OJG3"/>
    <mergeCell ref="OJH3:OJK3"/>
    <mergeCell ref="OJL3:OJO3"/>
    <mergeCell ref="OJP3:OJS3"/>
    <mergeCell ref="OJT3:OJW3"/>
    <mergeCell ref="OIB3:OIE3"/>
    <mergeCell ref="OIF3:OII3"/>
    <mergeCell ref="OIJ3:OIM3"/>
    <mergeCell ref="OIN3:OIQ3"/>
    <mergeCell ref="OIR3:OIU3"/>
    <mergeCell ref="OIV3:OIY3"/>
    <mergeCell ref="OHD3:OHG3"/>
    <mergeCell ref="OHH3:OHK3"/>
    <mergeCell ref="OHL3:OHO3"/>
    <mergeCell ref="OHP3:OHS3"/>
    <mergeCell ref="OHT3:OHW3"/>
    <mergeCell ref="OHX3:OIA3"/>
    <mergeCell ref="OGF3:OGI3"/>
    <mergeCell ref="OGJ3:OGM3"/>
    <mergeCell ref="OGN3:OGQ3"/>
    <mergeCell ref="OGR3:OGU3"/>
    <mergeCell ref="OGV3:OGY3"/>
    <mergeCell ref="OGZ3:OHC3"/>
    <mergeCell ref="OFH3:OFK3"/>
    <mergeCell ref="OFL3:OFO3"/>
    <mergeCell ref="OFP3:OFS3"/>
    <mergeCell ref="OFT3:OFW3"/>
    <mergeCell ref="OFX3:OGA3"/>
    <mergeCell ref="OGB3:OGE3"/>
    <mergeCell ref="OEJ3:OEM3"/>
    <mergeCell ref="OEN3:OEQ3"/>
    <mergeCell ref="OER3:OEU3"/>
    <mergeCell ref="OEV3:OEY3"/>
    <mergeCell ref="OEZ3:OFC3"/>
    <mergeCell ref="OFD3:OFG3"/>
    <mergeCell ref="ODL3:ODO3"/>
    <mergeCell ref="ODP3:ODS3"/>
    <mergeCell ref="ODT3:ODW3"/>
    <mergeCell ref="ODX3:OEA3"/>
    <mergeCell ref="OEB3:OEE3"/>
    <mergeCell ref="OEF3:OEI3"/>
    <mergeCell ref="OCN3:OCQ3"/>
    <mergeCell ref="OCR3:OCU3"/>
    <mergeCell ref="OCV3:OCY3"/>
    <mergeCell ref="OCZ3:ODC3"/>
    <mergeCell ref="ODD3:ODG3"/>
    <mergeCell ref="ODH3:ODK3"/>
    <mergeCell ref="OBP3:OBS3"/>
    <mergeCell ref="OBT3:OBW3"/>
    <mergeCell ref="OBX3:OCA3"/>
    <mergeCell ref="OCB3:OCE3"/>
    <mergeCell ref="OCF3:OCI3"/>
    <mergeCell ref="OCJ3:OCM3"/>
    <mergeCell ref="OAR3:OAU3"/>
    <mergeCell ref="OAV3:OAY3"/>
    <mergeCell ref="OAZ3:OBC3"/>
    <mergeCell ref="OBD3:OBG3"/>
    <mergeCell ref="OBH3:OBK3"/>
    <mergeCell ref="OBL3:OBO3"/>
    <mergeCell ref="NZT3:NZW3"/>
    <mergeCell ref="NZX3:OAA3"/>
    <mergeCell ref="OAB3:OAE3"/>
    <mergeCell ref="OAF3:OAI3"/>
    <mergeCell ref="OAJ3:OAM3"/>
    <mergeCell ref="OAN3:OAQ3"/>
    <mergeCell ref="NYV3:NYY3"/>
    <mergeCell ref="NYZ3:NZC3"/>
    <mergeCell ref="NZD3:NZG3"/>
    <mergeCell ref="NZH3:NZK3"/>
    <mergeCell ref="NZL3:NZO3"/>
    <mergeCell ref="NZP3:NZS3"/>
    <mergeCell ref="NXX3:NYA3"/>
    <mergeCell ref="NYB3:NYE3"/>
    <mergeCell ref="NYF3:NYI3"/>
    <mergeCell ref="NYJ3:NYM3"/>
    <mergeCell ref="NYN3:NYQ3"/>
    <mergeCell ref="NYR3:NYU3"/>
    <mergeCell ref="NWZ3:NXC3"/>
    <mergeCell ref="NXD3:NXG3"/>
    <mergeCell ref="NXH3:NXK3"/>
    <mergeCell ref="NXL3:NXO3"/>
    <mergeCell ref="NXP3:NXS3"/>
    <mergeCell ref="NXT3:NXW3"/>
    <mergeCell ref="NWB3:NWE3"/>
    <mergeCell ref="NWF3:NWI3"/>
    <mergeCell ref="NWJ3:NWM3"/>
    <mergeCell ref="NWN3:NWQ3"/>
    <mergeCell ref="NWR3:NWU3"/>
    <mergeCell ref="NWV3:NWY3"/>
    <mergeCell ref="NVD3:NVG3"/>
    <mergeCell ref="NVH3:NVK3"/>
    <mergeCell ref="NVL3:NVO3"/>
    <mergeCell ref="NVP3:NVS3"/>
    <mergeCell ref="NVT3:NVW3"/>
    <mergeCell ref="NVX3:NWA3"/>
    <mergeCell ref="NUF3:NUI3"/>
    <mergeCell ref="NUJ3:NUM3"/>
    <mergeCell ref="NUN3:NUQ3"/>
    <mergeCell ref="NUR3:NUU3"/>
    <mergeCell ref="NUV3:NUY3"/>
    <mergeCell ref="NUZ3:NVC3"/>
    <mergeCell ref="NTH3:NTK3"/>
    <mergeCell ref="NTL3:NTO3"/>
    <mergeCell ref="NTP3:NTS3"/>
    <mergeCell ref="NTT3:NTW3"/>
    <mergeCell ref="NTX3:NUA3"/>
    <mergeCell ref="NUB3:NUE3"/>
    <mergeCell ref="NSJ3:NSM3"/>
    <mergeCell ref="NSN3:NSQ3"/>
    <mergeCell ref="NSR3:NSU3"/>
    <mergeCell ref="NSV3:NSY3"/>
    <mergeCell ref="NSZ3:NTC3"/>
    <mergeCell ref="NTD3:NTG3"/>
    <mergeCell ref="NRL3:NRO3"/>
    <mergeCell ref="NRP3:NRS3"/>
    <mergeCell ref="NRT3:NRW3"/>
    <mergeCell ref="NRX3:NSA3"/>
    <mergeCell ref="NSB3:NSE3"/>
    <mergeCell ref="NSF3:NSI3"/>
    <mergeCell ref="NQN3:NQQ3"/>
    <mergeCell ref="NQR3:NQU3"/>
    <mergeCell ref="NQV3:NQY3"/>
    <mergeCell ref="NQZ3:NRC3"/>
    <mergeCell ref="NRD3:NRG3"/>
    <mergeCell ref="NRH3:NRK3"/>
    <mergeCell ref="NPP3:NPS3"/>
    <mergeCell ref="NPT3:NPW3"/>
    <mergeCell ref="NPX3:NQA3"/>
    <mergeCell ref="NQB3:NQE3"/>
    <mergeCell ref="NQF3:NQI3"/>
    <mergeCell ref="NQJ3:NQM3"/>
    <mergeCell ref="NOR3:NOU3"/>
    <mergeCell ref="NOV3:NOY3"/>
    <mergeCell ref="NOZ3:NPC3"/>
    <mergeCell ref="NPD3:NPG3"/>
    <mergeCell ref="NPH3:NPK3"/>
    <mergeCell ref="NPL3:NPO3"/>
    <mergeCell ref="NNT3:NNW3"/>
    <mergeCell ref="NNX3:NOA3"/>
    <mergeCell ref="NOB3:NOE3"/>
    <mergeCell ref="NOF3:NOI3"/>
    <mergeCell ref="NOJ3:NOM3"/>
    <mergeCell ref="NON3:NOQ3"/>
    <mergeCell ref="NMV3:NMY3"/>
    <mergeCell ref="NMZ3:NNC3"/>
    <mergeCell ref="NND3:NNG3"/>
    <mergeCell ref="NNH3:NNK3"/>
    <mergeCell ref="NNL3:NNO3"/>
    <mergeCell ref="NNP3:NNS3"/>
    <mergeCell ref="NLX3:NMA3"/>
    <mergeCell ref="NMB3:NME3"/>
    <mergeCell ref="NMF3:NMI3"/>
    <mergeCell ref="NMJ3:NMM3"/>
    <mergeCell ref="NMN3:NMQ3"/>
    <mergeCell ref="NMR3:NMU3"/>
    <mergeCell ref="NKZ3:NLC3"/>
    <mergeCell ref="NLD3:NLG3"/>
    <mergeCell ref="NLH3:NLK3"/>
    <mergeCell ref="NLL3:NLO3"/>
    <mergeCell ref="NLP3:NLS3"/>
    <mergeCell ref="NLT3:NLW3"/>
    <mergeCell ref="NKB3:NKE3"/>
    <mergeCell ref="NKF3:NKI3"/>
    <mergeCell ref="NKJ3:NKM3"/>
    <mergeCell ref="NKN3:NKQ3"/>
    <mergeCell ref="NKR3:NKU3"/>
    <mergeCell ref="NKV3:NKY3"/>
    <mergeCell ref="NJD3:NJG3"/>
    <mergeCell ref="NJH3:NJK3"/>
    <mergeCell ref="NJL3:NJO3"/>
    <mergeCell ref="NJP3:NJS3"/>
    <mergeCell ref="NJT3:NJW3"/>
    <mergeCell ref="NJX3:NKA3"/>
    <mergeCell ref="NIF3:NII3"/>
    <mergeCell ref="NIJ3:NIM3"/>
    <mergeCell ref="NIN3:NIQ3"/>
    <mergeCell ref="NIR3:NIU3"/>
    <mergeCell ref="NIV3:NIY3"/>
    <mergeCell ref="NIZ3:NJC3"/>
    <mergeCell ref="NHH3:NHK3"/>
    <mergeCell ref="NHL3:NHO3"/>
    <mergeCell ref="NHP3:NHS3"/>
    <mergeCell ref="NHT3:NHW3"/>
    <mergeCell ref="NHX3:NIA3"/>
    <mergeCell ref="NIB3:NIE3"/>
    <mergeCell ref="NGJ3:NGM3"/>
    <mergeCell ref="NGN3:NGQ3"/>
    <mergeCell ref="NGR3:NGU3"/>
    <mergeCell ref="NGV3:NGY3"/>
    <mergeCell ref="NGZ3:NHC3"/>
    <mergeCell ref="NHD3:NHG3"/>
    <mergeCell ref="NFL3:NFO3"/>
    <mergeCell ref="NFP3:NFS3"/>
    <mergeCell ref="NFT3:NFW3"/>
    <mergeCell ref="NFX3:NGA3"/>
    <mergeCell ref="NGB3:NGE3"/>
    <mergeCell ref="NGF3:NGI3"/>
    <mergeCell ref="NEN3:NEQ3"/>
    <mergeCell ref="NER3:NEU3"/>
    <mergeCell ref="NEV3:NEY3"/>
    <mergeCell ref="NEZ3:NFC3"/>
    <mergeCell ref="NFD3:NFG3"/>
    <mergeCell ref="NFH3:NFK3"/>
    <mergeCell ref="NDP3:NDS3"/>
    <mergeCell ref="NDT3:NDW3"/>
    <mergeCell ref="NDX3:NEA3"/>
    <mergeCell ref="NEB3:NEE3"/>
    <mergeCell ref="NEF3:NEI3"/>
    <mergeCell ref="NEJ3:NEM3"/>
    <mergeCell ref="NCR3:NCU3"/>
    <mergeCell ref="NCV3:NCY3"/>
    <mergeCell ref="NCZ3:NDC3"/>
    <mergeCell ref="NDD3:NDG3"/>
    <mergeCell ref="NDH3:NDK3"/>
    <mergeCell ref="NDL3:NDO3"/>
    <mergeCell ref="NBT3:NBW3"/>
    <mergeCell ref="NBX3:NCA3"/>
    <mergeCell ref="NCB3:NCE3"/>
    <mergeCell ref="NCF3:NCI3"/>
    <mergeCell ref="NCJ3:NCM3"/>
    <mergeCell ref="NCN3:NCQ3"/>
    <mergeCell ref="NAV3:NAY3"/>
    <mergeCell ref="NAZ3:NBC3"/>
    <mergeCell ref="NBD3:NBG3"/>
    <mergeCell ref="NBH3:NBK3"/>
    <mergeCell ref="NBL3:NBO3"/>
    <mergeCell ref="NBP3:NBS3"/>
    <mergeCell ref="MZX3:NAA3"/>
    <mergeCell ref="NAB3:NAE3"/>
    <mergeCell ref="NAF3:NAI3"/>
    <mergeCell ref="NAJ3:NAM3"/>
    <mergeCell ref="NAN3:NAQ3"/>
    <mergeCell ref="NAR3:NAU3"/>
    <mergeCell ref="MYZ3:MZC3"/>
    <mergeCell ref="MZD3:MZG3"/>
    <mergeCell ref="MZH3:MZK3"/>
    <mergeCell ref="MZL3:MZO3"/>
    <mergeCell ref="MZP3:MZS3"/>
    <mergeCell ref="MZT3:MZW3"/>
    <mergeCell ref="MYB3:MYE3"/>
    <mergeCell ref="MYF3:MYI3"/>
    <mergeCell ref="MYJ3:MYM3"/>
    <mergeCell ref="MYN3:MYQ3"/>
    <mergeCell ref="MYR3:MYU3"/>
    <mergeCell ref="MYV3:MYY3"/>
    <mergeCell ref="MXD3:MXG3"/>
    <mergeCell ref="MXH3:MXK3"/>
    <mergeCell ref="MXL3:MXO3"/>
    <mergeCell ref="MXP3:MXS3"/>
    <mergeCell ref="MXT3:MXW3"/>
    <mergeCell ref="MXX3:MYA3"/>
    <mergeCell ref="MWF3:MWI3"/>
    <mergeCell ref="MWJ3:MWM3"/>
    <mergeCell ref="MWN3:MWQ3"/>
    <mergeCell ref="MWR3:MWU3"/>
    <mergeCell ref="MWV3:MWY3"/>
    <mergeCell ref="MWZ3:MXC3"/>
    <mergeCell ref="MVH3:MVK3"/>
    <mergeCell ref="MVL3:MVO3"/>
    <mergeCell ref="MVP3:MVS3"/>
    <mergeCell ref="MVT3:MVW3"/>
    <mergeCell ref="MVX3:MWA3"/>
    <mergeCell ref="MWB3:MWE3"/>
    <mergeCell ref="MUJ3:MUM3"/>
    <mergeCell ref="MUN3:MUQ3"/>
    <mergeCell ref="MUR3:MUU3"/>
    <mergeCell ref="MUV3:MUY3"/>
    <mergeCell ref="MUZ3:MVC3"/>
    <mergeCell ref="MVD3:MVG3"/>
    <mergeCell ref="MTL3:MTO3"/>
    <mergeCell ref="MTP3:MTS3"/>
    <mergeCell ref="MTT3:MTW3"/>
    <mergeCell ref="MTX3:MUA3"/>
    <mergeCell ref="MUB3:MUE3"/>
    <mergeCell ref="MUF3:MUI3"/>
    <mergeCell ref="MSN3:MSQ3"/>
    <mergeCell ref="MSR3:MSU3"/>
    <mergeCell ref="MSV3:MSY3"/>
    <mergeCell ref="MSZ3:MTC3"/>
    <mergeCell ref="MTD3:MTG3"/>
    <mergeCell ref="MTH3:MTK3"/>
    <mergeCell ref="MRP3:MRS3"/>
    <mergeCell ref="MRT3:MRW3"/>
    <mergeCell ref="MRX3:MSA3"/>
    <mergeCell ref="MSB3:MSE3"/>
    <mergeCell ref="MSF3:MSI3"/>
    <mergeCell ref="MSJ3:MSM3"/>
    <mergeCell ref="MQR3:MQU3"/>
    <mergeCell ref="MQV3:MQY3"/>
    <mergeCell ref="MQZ3:MRC3"/>
    <mergeCell ref="MRD3:MRG3"/>
    <mergeCell ref="MRH3:MRK3"/>
    <mergeCell ref="MRL3:MRO3"/>
    <mergeCell ref="MPT3:MPW3"/>
    <mergeCell ref="MPX3:MQA3"/>
    <mergeCell ref="MQB3:MQE3"/>
    <mergeCell ref="MQF3:MQI3"/>
    <mergeCell ref="MQJ3:MQM3"/>
    <mergeCell ref="MQN3:MQQ3"/>
    <mergeCell ref="MOV3:MOY3"/>
    <mergeCell ref="MOZ3:MPC3"/>
    <mergeCell ref="MPD3:MPG3"/>
    <mergeCell ref="MPH3:MPK3"/>
    <mergeCell ref="MPL3:MPO3"/>
    <mergeCell ref="MPP3:MPS3"/>
    <mergeCell ref="MNX3:MOA3"/>
    <mergeCell ref="MOB3:MOE3"/>
    <mergeCell ref="MOF3:MOI3"/>
    <mergeCell ref="MOJ3:MOM3"/>
    <mergeCell ref="MON3:MOQ3"/>
    <mergeCell ref="MOR3:MOU3"/>
    <mergeCell ref="MMZ3:MNC3"/>
    <mergeCell ref="MND3:MNG3"/>
    <mergeCell ref="MNH3:MNK3"/>
    <mergeCell ref="MNL3:MNO3"/>
    <mergeCell ref="MNP3:MNS3"/>
    <mergeCell ref="MNT3:MNW3"/>
    <mergeCell ref="MMB3:MME3"/>
    <mergeCell ref="MMF3:MMI3"/>
    <mergeCell ref="MMJ3:MMM3"/>
    <mergeCell ref="MMN3:MMQ3"/>
    <mergeCell ref="MMR3:MMU3"/>
    <mergeCell ref="MMV3:MMY3"/>
    <mergeCell ref="MLD3:MLG3"/>
    <mergeCell ref="MLH3:MLK3"/>
    <mergeCell ref="MLL3:MLO3"/>
    <mergeCell ref="MLP3:MLS3"/>
    <mergeCell ref="MLT3:MLW3"/>
    <mergeCell ref="MLX3:MMA3"/>
    <mergeCell ref="MKF3:MKI3"/>
    <mergeCell ref="MKJ3:MKM3"/>
    <mergeCell ref="MKN3:MKQ3"/>
    <mergeCell ref="MKR3:MKU3"/>
    <mergeCell ref="MKV3:MKY3"/>
    <mergeCell ref="MKZ3:MLC3"/>
    <mergeCell ref="MJH3:MJK3"/>
    <mergeCell ref="MJL3:MJO3"/>
    <mergeCell ref="MJP3:MJS3"/>
    <mergeCell ref="MJT3:MJW3"/>
    <mergeCell ref="MJX3:MKA3"/>
    <mergeCell ref="MKB3:MKE3"/>
    <mergeCell ref="MIJ3:MIM3"/>
    <mergeCell ref="MIN3:MIQ3"/>
    <mergeCell ref="MIR3:MIU3"/>
    <mergeCell ref="MIV3:MIY3"/>
    <mergeCell ref="MIZ3:MJC3"/>
    <mergeCell ref="MJD3:MJG3"/>
    <mergeCell ref="MHL3:MHO3"/>
    <mergeCell ref="MHP3:MHS3"/>
    <mergeCell ref="MHT3:MHW3"/>
    <mergeCell ref="MHX3:MIA3"/>
    <mergeCell ref="MIB3:MIE3"/>
    <mergeCell ref="MIF3:MII3"/>
    <mergeCell ref="MGN3:MGQ3"/>
    <mergeCell ref="MGR3:MGU3"/>
    <mergeCell ref="MGV3:MGY3"/>
    <mergeCell ref="MGZ3:MHC3"/>
    <mergeCell ref="MHD3:MHG3"/>
    <mergeCell ref="MHH3:MHK3"/>
    <mergeCell ref="MFP3:MFS3"/>
    <mergeCell ref="MFT3:MFW3"/>
    <mergeCell ref="MFX3:MGA3"/>
    <mergeCell ref="MGB3:MGE3"/>
    <mergeCell ref="MGF3:MGI3"/>
    <mergeCell ref="MGJ3:MGM3"/>
    <mergeCell ref="MER3:MEU3"/>
    <mergeCell ref="MEV3:MEY3"/>
    <mergeCell ref="MEZ3:MFC3"/>
    <mergeCell ref="MFD3:MFG3"/>
    <mergeCell ref="MFH3:MFK3"/>
    <mergeCell ref="MFL3:MFO3"/>
    <mergeCell ref="MDT3:MDW3"/>
    <mergeCell ref="MDX3:MEA3"/>
    <mergeCell ref="MEB3:MEE3"/>
    <mergeCell ref="MEF3:MEI3"/>
    <mergeCell ref="MEJ3:MEM3"/>
    <mergeCell ref="MEN3:MEQ3"/>
    <mergeCell ref="MCV3:MCY3"/>
    <mergeCell ref="MCZ3:MDC3"/>
    <mergeCell ref="MDD3:MDG3"/>
    <mergeCell ref="MDH3:MDK3"/>
    <mergeCell ref="MDL3:MDO3"/>
    <mergeCell ref="MDP3:MDS3"/>
    <mergeCell ref="MBX3:MCA3"/>
    <mergeCell ref="MCB3:MCE3"/>
    <mergeCell ref="MCF3:MCI3"/>
    <mergeCell ref="MCJ3:MCM3"/>
    <mergeCell ref="MCN3:MCQ3"/>
    <mergeCell ref="MCR3:MCU3"/>
    <mergeCell ref="MAZ3:MBC3"/>
    <mergeCell ref="MBD3:MBG3"/>
    <mergeCell ref="MBH3:MBK3"/>
    <mergeCell ref="MBL3:MBO3"/>
    <mergeCell ref="MBP3:MBS3"/>
    <mergeCell ref="MBT3:MBW3"/>
    <mergeCell ref="MAB3:MAE3"/>
    <mergeCell ref="MAF3:MAI3"/>
    <mergeCell ref="MAJ3:MAM3"/>
    <mergeCell ref="MAN3:MAQ3"/>
    <mergeCell ref="MAR3:MAU3"/>
    <mergeCell ref="MAV3:MAY3"/>
    <mergeCell ref="LZD3:LZG3"/>
    <mergeCell ref="LZH3:LZK3"/>
    <mergeCell ref="LZL3:LZO3"/>
    <mergeCell ref="LZP3:LZS3"/>
    <mergeCell ref="LZT3:LZW3"/>
    <mergeCell ref="LZX3:MAA3"/>
    <mergeCell ref="LYF3:LYI3"/>
    <mergeCell ref="LYJ3:LYM3"/>
    <mergeCell ref="LYN3:LYQ3"/>
    <mergeCell ref="LYR3:LYU3"/>
    <mergeCell ref="LYV3:LYY3"/>
    <mergeCell ref="LYZ3:LZC3"/>
    <mergeCell ref="LXH3:LXK3"/>
    <mergeCell ref="LXL3:LXO3"/>
    <mergeCell ref="LXP3:LXS3"/>
    <mergeCell ref="LXT3:LXW3"/>
    <mergeCell ref="LXX3:LYA3"/>
    <mergeCell ref="LYB3:LYE3"/>
    <mergeCell ref="LWJ3:LWM3"/>
    <mergeCell ref="LWN3:LWQ3"/>
    <mergeCell ref="LWR3:LWU3"/>
    <mergeCell ref="LWV3:LWY3"/>
    <mergeCell ref="LWZ3:LXC3"/>
    <mergeCell ref="LXD3:LXG3"/>
    <mergeCell ref="LVL3:LVO3"/>
    <mergeCell ref="LVP3:LVS3"/>
    <mergeCell ref="LVT3:LVW3"/>
    <mergeCell ref="LVX3:LWA3"/>
    <mergeCell ref="LWB3:LWE3"/>
    <mergeCell ref="LWF3:LWI3"/>
    <mergeCell ref="LUN3:LUQ3"/>
    <mergeCell ref="LUR3:LUU3"/>
    <mergeCell ref="LUV3:LUY3"/>
    <mergeCell ref="LUZ3:LVC3"/>
    <mergeCell ref="LVD3:LVG3"/>
    <mergeCell ref="LVH3:LVK3"/>
    <mergeCell ref="LTP3:LTS3"/>
    <mergeCell ref="LTT3:LTW3"/>
    <mergeCell ref="LTX3:LUA3"/>
    <mergeCell ref="LUB3:LUE3"/>
    <mergeCell ref="LUF3:LUI3"/>
    <mergeCell ref="LUJ3:LUM3"/>
    <mergeCell ref="LSR3:LSU3"/>
    <mergeCell ref="LSV3:LSY3"/>
    <mergeCell ref="LSZ3:LTC3"/>
    <mergeCell ref="LTD3:LTG3"/>
    <mergeCell ref="LTH3:LTK3"/>
    <mergeCell ref="LTL3:LTO3"/>
    <mergeCell ref="LRT3:LRW3"/>
    <mergeCell ref="LRX3:LSA3"/>
    <mergeCell ref="LSB3:LSE3"/>
    <mergeCell ref="LSF3:LSI3"/>
    <mergeCell ref="LSJ3:LSM3"/>
    <mergeCell ref="LSN3:LSQ3"/>
    <mergeCell ref="LQV3:LQY3"/>
    <mergeCell ref="LQZ3:LRC3"/>
    <mergeCell ref="LRD3:LRG3"/>
    <mergeCell ref="LRH3:LRK3"/>
    <mergeCell ref="LRL3:LRO3"/>
    <mergeCell ref="LRP3:LRS3"/>
    <mergeCell ref="LPX3:LQA3"/>
    <mergeCell ref="LQB3:LQE3"/>
    <mergeCell ref="LQF3:LQI3"/>
    <mergeCell ref="LQJ3:LQM3"/>
    <mergeCell ref="LQN3:LQQ3"/>
    <mergeCell ref="LQR3:LQU3"/>
    <mergeCell ref="LOZ3:LPC3"/>
    <mergeCell ref="LPD3:LPG3"/>
    <mergeCell ref="LPH3:LPK3"/>
    <mergeCell ref="LPL3:LPO3"/>
    <mergeCell ref="LPP3:LPS3"/>
    <mergeCell ref="LPT3:LPW3"/>
    <mergeCell ref="LOB3:LOE3"/>
    <mergeCell ref="LOF3:LOI3"/>
    <mergeCell ref="LOJ3:LOM3"/>
    <mergeCell ref="LON3:LOQ3"/>
    <mergeCell ref="LOR3:LOU3"/>
    <mergeCell ref="LOV3:LOY3"/>
    <mergeCell ref="LND3:LNG3"/>
    <mergeCell ref="LNH3:LNK3"/>
    <mergeCell ref="LNL3:LNO3"/>
    <mergeCell ref="LNP3:LNS3"/>
    <mergeCell ref="LNT3:LNW3"/>
    <mergeCell ref="LNX3:LOA3"/>
    <mergeCell ref="LMF3:LMI3"/>
    <mergeCell ref="LMJ3:LMM3"/>
    <mergeCell ref="LMN3:LMQ3"/>
    <mergeCell ref="LMR3:LMU3"/>
    <mergeCell ref="LMV3:LMY3"/>
    <mergeCell ref="LMZ3:LNC3"/>
    <mergeCell ref="LLH3:LLK3"/>
    <mergeCell ref="LLL3:LLO3"/>
    <mergeCell ref="LLP3:LLS3"/>
    <mergeCell ref="LLT3:LLW3"/>
    <mergeCell ref="LLX3:LMA3"/>
    <mergeCell ref="LMB3:LME3"/>
    <mergeCell ref="LKJ3:LKM3"/>
    <mergeCell ref="LKN3:LKQ3"/>
    <mergeCell ref="LKR3:LKU3"/>
    <mergeCell ref="LKV3:LKY3"/>
    <mergeCell ref="LKZ3:LLC3"/>
    <mergeCell ref="LLD3:LLG3"/>
    <mergeCell ref="LJL3:LJO3"/>
    <mergeCell ref="LJP3:LJS3"/>
    <mergeCell ref="LJT3:LJW3"/>
    <mergeCell ref="LJX3:LKA3"/>
    <mergeCell ref="LKB3:LKE3"/>
    <mergeCell ref="LKF3:LKI3"/>
    <mergeCell ref="LIN3:LIQ3"/>
    <mergeCell ref="LIR3:LIU3"/>
    <mergeCell ref="LIV3:LIY3"/>
    <mergeCell ref="LIZ3:LJC3"/>
    <mergeCell ref="LJD3:LJG3"/>
    <mergeCell ref="LJH3:LJK3"/>
    <mergeCell ref="LHP3:LHS3"/>
    <mergeCell ref="LHT3:LHW3"/>
    <mergeCell ref="LHX3:LIA3"/>
    <mergeCell ref="LIB3:LIE3"/>
    <mergeCell ref="LIF3:LII3"/>
    <mergeCell ref="LIJ3:LIM3"/>
    <mergeCell ref="LGR3:LGU3"/>
    <mergeCell ref="LGV3:LGY3"/>
    <mergeCell ref="LGZ3:LHC3"/>
    <mergeCell ref="LHD3:LHG3"/>
    <mergeCell ref="LHH3:LHK3"/>
    <mergeCell ref="LHL3:LHO3"/>
    <mergeCell ref="LFT3:LFW3"/>
    <mergeCell ref="LFX3:LGA3"/>
    <mergeCell ref="LGB3:LGE3"/>
    <mergeCell ref="LGF3:LGI3"/>
    <mergeCell ref="LGJ3:LGM3"/>
    <mergeCell ref="LGN3:LGQ3"/>
    <mergeCell ref="LEV3:LEY3"/>
    <mergeCell ref="LEZ3:LFC3"/>
    <mergeCell ref="LFD3:LFG3"/>
    <mergeCell ref="LFH3:LFK3"/>
    <mergeCell ref="LFL3:LFO3"/>
    <mergeCell ref="LFP3:LFS3"/>
    <mergeCell ref="LDX3:LEA3"/>
    <mergeCell ref="LEB3:LEE3"/>
    <mergeCell ref="LEF3:LEI3"/>
    <mergeCell ref="LEJ3:LEM3"/>
    <mergeCell ref="LEN3:LEQ3"/>
    <mergeCell ref="LER3:LEU3"/>
    <mergeCell ref="LCZ3:LDC3"/>
    <mergeCell ref="LDD3:LDG3"/>
    <mergeCell ref="LDH3:LDK3"/>
    <mergeCell ref="LDL3:LDO3"/>
    <mergeCell ref="LDP3:LDS3"/>
    <mergeCell ref="LDT3:LDW3"/>
    <mergeCell ref="LCB3:LCE3"/>
    <mergeCell ref="LCF3:LCI3"/>
    <mergeCell ref="LCJ3:LCM3"/>
    <mergeCell ref="LCN3:LCQ3"/>
    <mergeCell ref="LCR3:LCU3"/>
    <mergeCell ref="LCV3:LCY3"/>
    <mergeCell ref="LBD3:LBG3"/>
    <mergeCell ref="LBH3:LBK3"/>
    <mergeCell ref="LBL3:LBO3"/>
    <mergeCell ref="LBP3:LBS3"/>
    <mergeCell ref="LBT3:LBW3"/>
    <mergeCell ref="LBX3:LCA3"/>
    <mergeCell ref="LAF3:LAI3"/>
    <mergeCell ref="LAJ3:LAM3"/>
    <mergeCell ref="LAN3:LAQ3"/>
    <mergeCell ref="LAR3:LAU3"/>
    <mergeCell ref="LAV3:LAY3"/>
    <mergeCell ref="LAZ3:LBC3"/>
    <mergeCell ref="KZH3:KZK3"/>
    <mergeCell ref="KZL3:KZO3"/>
    <mergeCell ref="KZP3:KZS3"/>
    <mergeCell ref="KZT3:KZW3"/>
    <mergeCell ref="KZX3:LAA3"/>
    <mergeCell ref="LAB3:LAE3"/>
    <mergeCell ref="KYJ3:KYM3"/>
    <mergeCell ref="KYN3:KYQ3"/>
    <mergeCell ref="KYR3:KYU3"/>
    <mergeCell ref="KYV3:KYY3"/>
    <mergeCell ref="KYZ3:KZC3"/>
    <mergeCell ref="KZD3:KZG3"/>
    <mergeCell ref="KXL3:KXO3"/>
    <mergeCell ref="KXP3:KXS3"/>
    <mergeCell ref="KXT3:KXW3"/>
    <mergeCell ref="KXX3:KYA3"/>
    <mergeCell ref="KYB3:KYE3"/>
    <mergeCell ref="KYF3:KYI3"/>
    <mergeCell ref="KWN3:KWQ3"/>
    <mergeCell ref="KWR3:KWU3"/>
    <mergeCell ref="KWV3:KWY3"/>
    <mergeCell ref="KWZ3:KXC3"/>
    <mergeCell ref="KXD3:KXG3"/>
    <mergeCell ref="KXH3:KXK3"/>
    <mergeCell ref="KVP3:KVS3"/>
    <mergeCell ref="KVT3:KVW3"/>
    <mergeCell ref="KVX3:KWA3"/>
    <mergeCell ref="KWB3:KWE3"/>
    <mergeCell ref="KWF3:KWI3"/>
    <mergeCell ref="KWJ3:KWM3"/>
    <mergeCell ref="KUR3:KUU3"/>
    <mergeCell ref="KUV3:KUY3"/>
    <mergeCell ref="KUZ3:KVC3"/>
    <mergeCell ref="KVD3:KVG3"/>
    <mergeCell ref="KVH3:KVK3"/>
    <mergeCell ref="KVL3:KVO3"/>
    <mergeCell ref="KTT3:KTW3"/>
    <mergeCell ref="KTX3:KUA3"/>
    <mergeCell ref="KUB3:KUE3"/>
    <mergeCell ref="KUF3:KUI3"/>
    <mergeCell ref="KUJ3:KUM3"/>
    <mergeCell ref="KUN3:KUQ3"/>
    <mergeCell ref="KSV3:KSY3"/>
    <mergeCell ref="KSZ3:KTC3"/>
    <mergeCell ref="KTD3:KTG3"/>
    <mergeCell ref="KTH3:KTK3"/>
    <mergeCell ref="KTL3:KTO3"/>
    <mergeCell ref="KTP3:KTS3"/>
    <mergeCell ref="KRX3:KSA3"/>
    <mergeCell ref="KSB3:KSE3"/>
    <mergeCell ref="KSF3:KSI3"/>
    <mergeCell ref="KSJ3:KSM3"/>
    <mergeCell ref="KSN3:KSQ3"/>
    <mergeCell ref="KSR3:KSU3"/>
    <mergeCell ref="KQZ3:KRC3"/>
    <mergeCell ref="KRD3:KRG3"/>
    <mergeCell ref="KRH3:KRK3"/>
    <mergeCell ref="KRL3:KRO3"/>
    <mergeCell ref="KRP3:KRS3"/>
    <mergeCell ref="KRT3:KRW3"/>
    <mergeCell ref="KQB3:KQE3"/>
    <mergeCell ref="KQF3:KQI3"/>
    <mergeCell ref="KQJ3:KQM3"/>
    <mergeCell ref="KQN3:KQQ3"/>
    <mergeCell ref="KQR3:KQU3"/>
    <mergeCell ref="KQV3:KQY3"/>
    <mergeCell ref="KPD3:KPG3"/>
    <mergeCell ref="KPH3:KPK3"/>
    <mergeCell ref="KPL3:KPO3"/>
    <mergeCell ref="KPP3:KPS3"/>
    <mergeCell ref="KPT3:KPW3"/>
    <mergeCell ref="KPX3:KQA3"/>
    <mergeCell ref="KOF3:KOI3"/>
    <mergeCell ref="KOJ3:KOM3"/>
    <mergeCell ref="KON3:KOQ3"/>
    <mergeCell ref="KOR3:KOU3"/>
    <mergeCell ref="KOV3:KOY3"/>
    <mergeCell ref="KOZ3:KPC3"/>
    <mergeCell ref="KNH3:KNK3"/>
    <mergeCell ref="KNL3:KNO3"/>
    <mergeCell ref="KNP3:KNS3"/>
    <mergeCell ref="KNT3:KNW3"/>
    <mergeCell ref="KNX3:KOA3"/>
    <mergeCell ref="KOB3:KOE3"/>
    <mergeCell ref="KMJ3:KMM3"/>
    <mergeCell ref="KMN3:KMQ3"/>
    <mergeCell ref="KMR3:KMU3"/>
    <mergeCell ref="KMV3:KMY3"/>
    <mergeCell ref="KMZ3:KNC3"/>
    <mergeCell ref="KND3:KNG3"/>
    <mergeCell ref="KLL3:KLO3"/>
    <mergeCell ref="KLP3:KLS3"/>
    <mergeCell ref="KLT3:KLW3"/>
    <mergeCell ref="KLX3:KMA3"/>
    <mergeCell ref="KMB3:KME3"/>
    <mergeCell ref="KMF3:KMI3"/>
    <mergeCell ref="KKN3:KKQ3"/>
    <mergeCell ref="KKR3:KKU3"/>
    <mergeCell ref="KKV3:KKY3"/>
    <mergeCell ref="KKZ3:KLC3"/>
    <mergeCell ref="KLD3:KLG3"/>
    <mergeCell ref="KLH3:KLK3"/>
    <mergeCell ref="KJP3:KJS3"/>
    <mergeCell ref="KJT3:KJW3"/>
    <mergeCell ref="KJX3:KKA3"/>
    <mergeCell ref="KKB3:KKE3"/>
    <mergeCell ref="KKF3:KKI3"/>
    <mergeCell ref="KKJ3:KKM3"/>
    <mergeCell ref="KIR3:KIU3"/>
    <mergeCell ref="KIV3:KIY3"/>
    <mergeCell ref="KIZ3:KJC3"/>
    <mergeCell ref="KJD3:KJG3"/>
    <mergeCell ref="KJH3:KJK3"/>
    <mergeCell ref="KJL3:KJO3"/>
    <mergeCell ref="KHT3:KHW3"/>
    <mergeCell ref="KHX3:KIA3"/>
    <mergeCell ref="KIB3:KIE3"/>
    <mergeCell ref="KIF3:KII3"/>
    <mergeCell ref="KIJ3:KIM3"/>
    <mergeCell ref="KIN3:KIQ3"/>
    <mergeCell ref="KGV3:KGY3"/>
    <mergeCell ref="KGZ3:KHC3"/>
    <mergeCell ref="KHD3:KHG3"/>
    <mergeCell ref="KHH3:KHK3"/>
    <mergeCell ref="KHL3:KHO3"/>
    <mergeCell ref="KHP3:KHS3"/>
    <mergeCell ref="KFX3:KGA3"/>
    <mergeCell ref="KGB3:KGE3"/>
    <mergeCell ref="KGF3:KGI3"/>
    <mergeCell ref="KGJ3:KGM3"/>
    <mergeCell ref="KGN3:KGQ3"/>
    <mergeCell ref="KGR3:KGU3"/>
    <mergeCell ref="KEZ3:KFC3"/>
    <mergeCell ref="KFD3:KFG3"/>
    <mergeCell ref="KFH3:KFK3"/>
    <mergeCell ref="KFL3:KFO3"/>
    <mergeCell ref="KFP3:KFS3"/>
    <mergeCell ref="KFT3:KFW3"/>
    <mergeCell ref="KEB3:KEE3"/>
    <mergeCell ref="KEF3:KEI3"/>
    <mergeCell ref="KEJ3:KEM3"/>
    <mergeCell ref="KEN3:KEQ3"/>
    <mergeCell ref="KER3:KEU3"/>
    <mergeCell ref="KEV3:KEY3"/>
    <mergeCell ref="KDD3:KDG3"/>
    <mergeCell ref="KDH3:KDK3"/>
    <mergeCell ref="KDL3:KDO3"/>
    <mergeCell ref="KDP3:KDS3"/>
    <mergeCell ref="KDT3:KDW3"/>
    <mergeCell ref="KDX3:KEA3"/>
    <mergeCell ref="KCF3:KCI3"/>
    <mergeCell ref="KCJ3:KCM3"/>
    <mergeCell ref="KCN3:KCQ3"/>
    <mergeCell ref="KCR3:KCU3"/>
    <mergeCell ref="KCV3:KCY3"/>
    <mergeCell ref="KCZ3:KDC3"/>
    <mergeCell ref="KBH3:KBK3"/>
    <mergeCell ref="KBL3:KBO3"/>
    <mergeCell ref="KBP3:KBS3"/>
    <mergeCell ref="KBT3:KBW3"/>
    <mergeCell ref="KBX3:KCA3"/>
    <mergeCell ref="KCB3:KCE3"/>
    <mergeCell ref="KAJ3:KAM3"/>
    <mergeCell ref="KAN3:KAQ3"/>
    <mergeCell ref="KAR3:KAU3"/>
    <mergeCell ref="KAV3:KAY3"/>
    <mergeCell ref="KAZ3:KBC3"/>
    <mergeCell ref="KBD3:KBG3"/>
    <mergeCell ref="JZL3:JZO3"/>
    <mergeCell ref="JZP3:JZS3"/>
    <mergeCell ref="JZT3:JZW3"/>
    <mergeCell ref="JZX3:KAA3"/>
    <mergeCell ref="KAB3:KAE3"/>
    <mergeCell ref="KAF3:KAI3"/>
    <mergeCell ref="JYN3:JYQ3"/>
    <mergeCell ref="JYR3:JYU3"/>
    <mergeCell ref="JYV3:JYY3"/>
    <mergeCell ref="JYZ3:JZC3"/>
    <mergeCell ref="JZD3:JZG3"/>
    <mergeCell ref="JZH3:JZK3"/>
    <mergeCell ref="JXP3:JXS3"/>
    <mergeCell ref="JXT3:JXW3"/>
    <mergeCell ref="JXX3:JYA3"/>
    <mergeCell ref="JYB3:JYE3"/>
    <mergeCell ref="JYF3:JYI3"/>
    <mergeCell ref="JYJ3:JYM3"/>
    <mergeCell ref="JWR3:JWU3"/>
    <mergeCell ref="JWV3:JWY3"/>
    <mergeCell ref="JWZ3:JXC3"/>
    <mergeCell ref="JXD3:JXG3"/>
    <mergeCell ref="JXH3:JXK3"/>
    <mergeCell ref="JXL3:JXO3"/>
    <mergeCell ref="JVT3:JVW3"/>
    <mergeCell ref="JVX3:JWA3"/>
    <mergeCell ref="JWB3:JWE3"/>
    <mergeCell ref="JWF3:JWI3"/>
    <mergeCell ref="JWJ3:JWM3"/>
    <mergeCell ref="JWN3:JWQ3"/>
    <mergeCell ref="JUV3:JUY3"/>
    <mergeCell ref="JUZ3:JVC3"/>
    <mergeCell ref="JVD3:JVG3"/>
    <mergeCell ref="JVH3:JVK3"/>
    <mergeCell ref="JVL3:JVO3"/>
    <mergeCell ref="JVP3:JVS3"/>
    <mergeCell ref="JTX3:JUA3"/>
    <mergeCell ref="JUB3:JUE3"/>
    <mergeCell ref="JUF3:JUI3"/>
    <mergeCell ref="JUJ3:JUM3"/>
    <mergeCell ref="JUN3:JUQ3"/>
    <mergeCell ref="JUR3:JUU3"/>
    <mergeCell ref="JSZ3:JTC3"/>
    <mergeCell ref="JTD3:JTG3"/>
    <mergeCell ref="JTH3:JTK3"/>
    <mergeCell ref="JTL3:JTO3"/>
    <mergeCell ref="JTP3:JTS3"/>
    <mergeCell ref="JTT3:JTW3"/>
    <mergeCell ref="JSB3:JSE3"/>
    <mergeCell ref="JSF3:JSI3"/>
    <mergeCell ref="JSJ3:JSM3"/>
    <mergeCell ref="JSN3:JSQ3"/>
    <mergeCell ref="JSR3:JSU3"/>
    <mergeCell ref="JSV3:JSY3"/>
    <mergeCell ref="JRD3:JRG3"/>
    <mergeCell ref="JRH3:JRK3"/>
    <mergeCell ref="JRL3:JRO3"/>
    <mergeCell ref="JRP3:JRS3"/>
    <mergeCell ref="JRT3:JRW3"/>
    <mergeCell ref="JRX3:JSA3"/>
    <mergeCell ref="JQF3:JQI3"/>
    <mergeCell ref="JQJ3:JQM3"/>
    <mergeCell ref="JQN3:JQQ3"/>
    <mergeCell ref="JQR3:JQU3"/>
    <mergeCell ref="JQV3:JQY3"/>
    <mergeCell ref="JQZ3:JRC3"/>
    <mergeCell ref="JPH3:JPK3"/>
    <mergeCell ref="JPL3:JPO3"/>
    <mergeCell ref="JPP3:JPS3"/>
    <mergeCell ref="JPT3:JPW3"/>
    <mergeCell ref="JPX3:JQA3"/>
    <mergeCell ref="JQB3:JQE3"/>
    <mergeCell ref="JOJ3:JOM3"/>
    <mergeCell ref="JON3:JOQ3"/>
    <mergeCell ref="JOR3:JOU3"/>
    <mergeCell ref="JOV3:JOY3"/>
    <mergeCell ref="JOZ3:JPC3"/>
    <mergeCell ref="JPD3:JPG3"/>
    <mergeCell ref="JNL3:JNO3"/>
    <mergeCell ref="JNP3:JNS3"/>
    <mergeCell ref="JNT3:JNW3"/>
    <mergeCell ref="JNX3:JOA3"/>
    <mergeCell ref="JOB3:JOE3"/>
    <mergeCell ref="JOF3:JOI3"/>
    <mergeCell ref="JMN3:JMQ3"/>
    <mergeCell ref="JMR3:JMU3"/>
    <mergeCell ref="JMV3:JMY3"/>
    <mergeCell ref="JMZ3:JNC3"/>
    <mergeCell ref="JND3:JNG3"/>
    <mergeCell ref="JNH3:JNK3"/>
    <mergeCell ref="JLP3:JLS3"/>
    <mergeCell ref="JLT3:JLW3"/>
    <mergeCell ref="JLX3:JMA3"/>
    <mergeCell ref="JMB3:JME3"/>
    <mergeCell ref="JMF3:JMI3"/>
    <mergeCell ref="JMJ3:JMM3"/>
    <mergeCell ref="JKR3:JKU3"/>
    <mergeCell ref="JKV3:JKY3"/>
    <mergeCell ref="JKZ3:JLC3"/>
    <mergeCell ref="JLD3:JLG3"/>
    <mergeCell ref="JLH3:JLK3"/>
    <mergeCell ref="JLL3:JLO3"/>
    <mergeCell ref="JJT3:JJW3"/>
    <mergeCell ref="JJX3:JKA3"/>
    <mergeCell ref="JKB3:JKE3"/>
    <mergeCell ref="JKF3:JKI3"/>
    <mergeCell ref="JKJ3:JKM3"/>
    <mergeCell ref="JKN3:JKQ3"/>
    <mergeCell ref="JIV3:JIY3"/>
    <mergeCell ref="JIZ3:JJC3"/>
    <mergeCell ref="JJD3:JJG3"/>
    <mergeCell ref="JJH3:JJK3"/>
    <mergeCell ref="JJL3:JJO3"/>
    <mergeCell ref="JJP3:JJS3"/>
    <mergeCell ref="JHX3:JIA3"/>
    <mergeCell ref="JIB3:JIE3"/>
    <mergeCell ref="JIF3:JII3"/>
    <mergeCell ref="JIJ3:JIM3"/>
    <mergeCell ref="JIN3:JIQ3"/>
    <mergeCell ref="JIR3:JIU3"/>
    <mergeCell ref="JGZ3:JHC3"/>
    <mergeCell ref="JHD3:JHG3"/>
    <mergeCell ref="JHH3:JHK3"/>
    <mergeCell ref="JHL3:JHO3"/>
    <mergeCell ref="JHP3:JHS3"/>
    <mergeCell ref="JHT3:JHW3"/>
    <mergeCell ref="JGB3:JGE3"/>
    <mergeCell ref="JGF3:JGI3"/>
    <mergeCell ref="JGJ3:JGM3"/>
    <mergeCell ref="JGN3:JGQ3"/>
    <mergeCell ref="JGR3:JGU3"/>
    <mergeCell ref="JGV3:JGY3"/>
    <mergeCell ref="JFD3:JFG3"/>
    <mergeCell ref="JFH3:JFK3"/>
    <mergeCell ref="JFL3:JFO3"/>
    <mergeCell ref="JFP3:JFS3"/>
    <mergeCell ref="JFT3:JFW3"/>
    <mergeCell ref="JFX3:JGA3"/>
    <mergeCell ref="JEF3:JEI3"/>
    <mergeCell ref="JEJ3:JEM3"/>
    <mergeCell ref="JEN3:JEQ3"/>
    <mergeCell ref="JER3:JEU3"/>
    <mergeCell ref="JEV3:JEY3"/>
    <mergeCell ref="JEZ3:JFC3"/>
    <mergeCell ref="JDH3:JDK3"/>
    <mergeCell ref="JDL3:JDO3"/>
    <mergeCell ref="JDP3:JDS3"/>
    <mergeCell ref="JDT3:JDW3"/>
    <mergeCell ref="JDX3:JEA3"/>
    <mergeCell ref="JEB3:JEE3"/>
    <mergeCell ref="JCJ3:JCM3"/>
    <mergeCell ref="JCN3:JCQ3"/>
    <mergeCell ref="JCR3:JCU3"/>
    <mergeCell ref="JCV3:JCY3"/>
    <mergeCell ref="JCZ3:JDC3"/>
    <mergeCell ref="JDD3:JDG3"/>
    <mergeCell ref="JBL3:JBO3"/>
    <mergeCell ref="JBP3:JBS3"/>
    <mergeCell ref="JBT3:JBW3"/>
    <mergeCell ref="JBX3:JCA3"/>
    <mergeCell ref="JCB3:JCE3"/>
    <mergeCell ref="JCF3:JCI3"/>
    <mergeCell ref="JAN3:JAQ3"/>
    <mergeCell ref="JAR3:JAU3"/>
    <mergeCell ref="JAV3:JAY3"/>
    <mergeCell ref="JAZ3:JBC3"/>
    <mergeCell ref="JBD3:JBG3"/>
    <mergeCell ref="JBH3:JBK3"/>
    <mergeCell ref="IZP3:IZS3"/>
    <mergeCell ref="IZT3:IZW3"/>
    <mergeCell ref="IZX3:JAA3"/>
    <mergeCell ref="JAB3:JAE3"/>
    <mergeCell ref="JAF3:JAI3"/>
    <mergeCell ref="JAJ3:JAM3"/>
    <mergeCell ref="IYR3:IYU3"/>
    <mergeCell ref="IYV3:IYY3"/>
    <mergeCell ref="IYZ3:IZC3"/>
    <mergeCell ref="IZD3:IZG3"/>
    <mergeCell ref="IZH3:IZK3"/>
    <mergeCell ref="IZL3:IZO3"/>
    <mergeCell ref="IXT3:IXW3"/>
    <mergeCell ref="IXX3:IYA3"/>
    <mergeCell ref="IYB3:IYE3"/>
    <mergeCell ref="IYF3:IYI3"/>
    <mergeCell ref="IYJ3:IYM3"/>
    <mergeCell ref="IYN3:IYQ3"/>
    <mergeCell ref="IWV3:IWY3"/>
    <mergeCell ref="IWZ3:IXC3"/>
    <mergeCell ref="IXD3:IXG3"/>
    <mergeCell ref="IXH3:IXK3"/>
    <mergeCell ref="IXL3:IXO3"/>
    <mergeCell ref="IXP3:IXS3"/>
    <mergeCell ref="IVX3:IWA3"/>
    <mergeCell ref="IWB3:IWE3"/>
    <mergeCell ref="IWF3:IWI3"/>
    <mergeCell ref="IWJ3:IWM3"/>
    <mergeCell ref="IWN3:IWQ3"/>
    <mergeCell ref="IWR3:IWU3"/>
    <mergeCell ref="IUZ3:IVC3"/>
    <mergeCell ref="IVD3:IVG3"/>
    <mergeCell ref="IVH3:IVK3"/>
    <mergeCell ref="IVL3:IVO3"/>
    <mergeCell ref="IVP3:IVS3"/>
    <mergeCell ref="IVT3:IVW3"/>
    <mergeCell ref="IUB3:IUE3"/>
    <mergeCell ref="IUF3:IUI3"/>
    <mergeCell ref="IUJ3:IUM3"/>
    <mergeCell ref="IUN3:IUQ3"/>
    <mergeCell ref="IUR3:IUU3"/>
    <mergeCell ref="IUV3:IUY3"/>
    <mergeCell ref="ITD3:ITG3"/>
    <mergeCell ref="ITH3:ITK3"/>
    <mergeCell ref="ITL3:ITO3"/>
    <mergeCell ref="ITP3:ITS3"/>
    <mergeCell ref="ITT3:ITW3"/>
    <mergeCell ref="ITX3:IUA3"/>
    <mergeCell ref="ISF3:ISI3"/>
    <mergeCell ref="ISJ3:ISM3"/>
    <mergeCell ref="ISN3:ISQ3"/>
    <mergeCell ref="ISR3:ISU3"/>
    <mergeCell ref="ISV3:ISY3"/>
    <mergeCell ref="ISZ3:ITC3"/>
    <mergeCell ref="IRH3:IRK3"/>
    <mergeCell ref="IRL3:IRO3"/>
    <mergeCell ref="IRP3:IRS3"/>
    <mergeCell ref="IRT3:IRW3"/>
    <mergeCell ref="IRX3:ISA3"/>
    <mergeCell ref="ISB3:ISE3"/>
    <mergeCell ref="IQJ3:IQM3"/>
    <mergeCell ref="IQN3:IQQ3"/>
    <mergeCell ref="IQR3:IQU3"/>
    <mergeCell ref="IQV3:IQY3"/>
    <mergeCell ref="IQZ3:IRC3"/>
    <mergeCell ref="IRD3:IRG3"/>
    <mergeCell ref="IPL3:IPO3"/>
    <mergeCell ref="IPP3:IPS3"/>
    <mergeCell ref="IPT3:IPW3"/>
    <mergeCell ref="IPX3:IQA3"/>
    <mergeCell ref="IQB3:IQE3"/>
    <mergeCell ref="IQF3:IQI3"/>
    <mergeCell ref="ION3:IOQ3"/>
    <mergeCell ref="IOR3:IOU3"/>
    <mergeCell ref="IOV3:IOY3"/>
    <mergeCell ref="IOZ3:IPC3"/>
    <mergeCell ref="IPD3:IPG3"/>
    <mergeCell ref="IPH3:IPK3"/>
    <mergeCell ref="INP3:INS3"/>
    <mergeCell ref="INT3:INW3"/>
    <mergeCell ref="INX3:IOA3"/>
    <mergeCell ref="IOB3:IOE3"/>
    <mergeCell ref="IOF3:IOI3"/>
    <mergeCell ref="IOJ3:IOM3"/>
    <mergeCell ref="IMR3:IMU3"/>
    <mergeCell ref="IMV3:IMY3"/>
    <mergeCell ref="IMZ3:INC3"/>
    <mergeCell ref="IND3:ING3"/>
    <mergeCell ref="INH3:INK3"/>
    <mergeCell ref="INL3:INO3"/>
    <mergeCell ref="ILT3:ILW3"/>
    <mergeCell ref="ILX3:IMA3"/>
    <mergeCell ref="IMB3:IME3"/>
    <mergeCell ref="IMF3:IMI3"/>
    <mergeCell ref="IMJ3:IMM3"/>
    <mergeCell ref="IMN3:IMQ3"/>
    <mergeCell ref="IKV3:IKY3"/>
    <mergeCell ref="IKZ3:ILC3"/>
    <mergeCell ref="ILD3:ILG3"/>
    <mergeCell ref="ILH3:ILK3"/>
    <mergeCell ref="ILL3:ILO3"/>
    <mergeCell ref="ILP3:ILS3"/>
    <mergeCell ref="IJX3:IKA3"/>
    <mergeCell ref="IKB3:IKE3"/>
    <mergeCell ref="IKF3:IKI3"/>
    <mergeCell ref="IKJ3:IKM3"/>
    <mergeCell ref="IKN3:IKQ3"/>
    <mergeCell ref="IKR3:IKU3"/>
    <mergeCell ref="IIZ3:IJC3"/>
    <mergeCell ref="IJD3:IJG3"/>
    <mergeCell ref="IJH3:IJK3"/>
    <mergeCell ref="IJL3:IJO3"/>
    <mergeCell ref="IJP3:IJS3"/>
    <mergeCell ref="IJT3:IJW3"/>
    <mergeCell ref="IIB3:IIE3"/>
    <mergeCell ref="IIF3:III3"/>
    <mergeCell ref="IIJ3:IIM3"/>
    <mergeCell ref="IIN3:IIQ3"/>
    <mergeCell ref="IIR3:IIU3"/>
    <mergeCell ref="IIV3:IIY3"/>
    <mergeCell ref="IHD3:IHG3"/>
    <mergeCell ref="IHH3:IHK3"/>
    <mergeCell ref="IHL3:IHO3"/>
    <mergeCell ref="IHP3:IHS3"/>
    <mergeCell ref="IHT3:IHW3"/>
    <mergeCell ref="IHX3:IIA3"/>
    <mergeCell ref="IGF3:IGI3"/>
    <mergeCell ref="IGJ3:IGM3"/>
    <mergeCell ref="IGN3:IGQ3"/>
    <mergeCell ref="IGR3:IGU3"/>
    <mergeCell ref="IGV3:IGY3"/>
    <mergeCell ref="IGZ3:IHC3"/>
    <mergeCell ref="IFH3:IFK3"/>
    <mergeCell ref="IFL3:IFO3"/>
    <mergeCell ref="IFP3:IFS3"/>
    <mergeCell ref="IFT3:IFW3"/>
    <mergeCell ref="IFX3:IGA3"/>
    <mergeCell ref="IGB3:IGE3"/>
    <mergeCell ref="IEJ3:IEM3"/>
    <mergeCell ref="IEN3:IEQ3"/>
    <mergeCell ref="IER3:IEU3"/>
    <mergeCell ref="IEV3:IEY3"/>
    <mergeCell ref="IEZ3:IFC3"/>
    <mergeCell ref="IFD3:IFG3"/>
    <mergeCell ref="IDL3:IDO3"/>
    <mergeCell ref="IDP3:IDS3"/>
    <mergeCell ref="IDT3:IDW3"/>
    <mergeCell ref="IDX3:IEA3"/>
    <mergeCell ref="IEB3:IEE3"/>
    <mergeCell ref="IEF3:IEI3"/>
    <mergeCell ref="ICN3:ICQ3"/>
    <mergeCell ref="ICR3:ICU3"/>
    <mergeCell ref="ICV3:ICY3"/>
    <mergeCell ref="ICZ3:IDC3"/>
    <mergeCell ref="IDD3:IDG3"/>
    <mergeCell ref="IDH3:IDK3"/>
    <mergeCell ref="IBP3:IBS3"/>
    <mergeCell ref="IBT3:IBW3"/>
    <mergeCell ref="IBX3:ICA3"/>
    <mergeCell ref="ICB3:ICE3"/>
    <mergeCell ref="ICF3:ICI3"/>
    <mergeCell ref="ICJ3:ICM3"/>
    <mergeCell ref="IAR3:IAU3"/>
    <mergeCell ref="IAV3:IAY3"/>
    <mergeCell ref="IAZ3:IBC3"/>
    <mergeCell ref="IBD3:IBG3"/>
    <mergeCell ref="IBH3:IBK3"/>
    <mergeCell ref="IBL3:IBO3"/>
    <mergeCell ref="HZT3:HZW3"/>
    <mergeCell ref="HZX3:IAA3"/>
    <mergeCell ref="IAB3:IAE3"/>
    <mergeCell ref="IAF3:IAI3"/>
    <mergeCell ref="IAJ3:IAM3"/>
    <mergeCell ref="IAN3:IAQ3"/>
    <mergeCell ref="HYV3:HYY3"/>
    <mergeCell ref="HYZ3:HZC3"/>
    <mergeCell ref="HZD3:HZG3"/>
    <mergeCell ref="HZH3:HZK3"/>
    <mergeCell ref="HZL3:HZO3"/>
    <mergeCell ref="HZP3:HZS3"/>
    <mergeCell ref="HXX3:HYA3"/>
    <mergeCell ref="HYB3:HYE3"/>
    <mergeCell ref="HYF3:HYI3"/>
    <mergeCell ref="HYJ3:HYM3"/>
    <mergeCell ref="HYN3:HYQ3"/>
    <mergeCell ref="HYR3:HYU3"/>
    <mergeCell ref="HWZ3:HXC3"/>
    <mergeCell ref="HXD3:HXG3"/>
    <mergeCell ref="HXH3:HXK3"/>
    <mergeCell ref="HXL3:HXO3"/>
    <mergeCell ref="HXP3:HXS3"/>
    <mergeCell ref="HXT3:HXW3"/>
    <mergeCell ref="HWB3:HWE3"/>
    <mergeCell ref="HWF3:HWI3"/>
    <mergeCell ref="HWJ3:HWM3"/>
    <mergeCell ref="HWN3:HWQ3"/>
    <mergeCell ref="HWR3:HWU3"/>
    <mergeCell ref="HWV3:HWY3"/>
    <mergeCell ref="HVD3:HVG3"/>
    <mergeCell ref="HVH3:HVK3"/>
    <mergeCell ref="HVL3:HVO3"/>
    <mergeCell ref="HVP3:HVS3"/>
    <mergeCell ref="HVT3:HVW3"/>
    <mergeCell ref="HVX3:HWA3"/>
    <mergeCell ref="HUF3:HUI3"/>
    <mergeCell ref="HUJ3:HUM3"/>
    <mergeCell ref="HUN3:HUQ3"/>
    <mergeCell ref="HUR3:HUU3"/>
    <mergeCell ref="HUV3:HUY3"/>
    <mergeCell ref="HUZ3:HVC3"/>
    <mergeCell ref="HTH3:HTK3"/>
    <mergeCell ref="HTL3:HTO3"/>
    <mergeCell ref="HTP3:HTS3"/>
    <mergeCell ref="HTT3:HTW3"/>
    <mergeCell ref="HTX3:HUA3"/>
    <mergeCell ref="HUB3:HUE3"/>
    <mergeCell ref="HSJ3:HSM3"/>
    <mergeCell ref="HSN3:HSQ3"/>
    <mergeCell ref="HSR3:HSU3"/>
    <mergeCell ref="HSV3:HSY3"/>
    <mergeCell ref="HSZ3:HTC3"/>
    <mergeCell ref="HTD3:HTG3"/>
    <mergeCell ref="HRL3:HRO3"/>
    <mergeCell ref="HRP3:HRS3"/>
    <mergeCell ref="HRT3:HRW3"/>
    <mergeCell ref="HRX3:HSA3"/>
    <mergeCell ref="HSB3:HSE3"/>
    <mergeCell ref="HSF3:HSI3"/>
    <mergeCell ref="HQN3:HQQ3"/>
    <mergeCell ref="HQR3:HQU3"/>
    <mergeCell ref="HQV3:HQY3"/>
    <mergeCell ref="HQZ3:HRC3"/>
    <mergeCell ref="HRD3:HRG3"/>
    <mergeCell ref="HRH3:HRK3"/>
    <mergeCell ref="HPP3:HPS3"/>
    <mergeCell ref="HPT3:HPW3"/>
    <mergeCell ref="HPX3:HQA3"/>
    <mergeCell ref="HQB3:HQE3"/>
    <mergeCell ref="HQF3:HQI3"/>
    <mergeCell ref="HQJ3:HQM3"/>
    <mergeCell ref="HOR3:HOU3"/>
    <mergeCell ref="HOV3:HOY3"/>
    <mergeCell ref="HOZ3:HPC3"/>
    <mergeCell ref="HPD3:HPG3"/>
    <mergeCell ref="HPH3:HPK3"/>
    <mergeCell ref="HPL3:HPO3"/>
    <mergeCell ref="HNT3:HNW3"/>
    <mergeCell ref="HNX3:HOA3"/>
    <mergeCell ref="HOB3:HOE3"/>
    <mergeCell ref="HOF3:HOI3"/>
    <mergeCell ref="HOJ3:HOM3"/>
    <mergeCell ref="HON3:HOQ3"/>
    <mergeCell ref="HMV3:HMY3"/>
    <mergeCell ref="HMZ3:HNC3"/>
    <mergeCell ref="HND3:HNG3"/>
    <mergeCell ref="HNH3:HNK3"/>
    <mergeCell ref="HNL3:HNO3"/>
    <mergeCell ref="HNP3:HNS3"/>
    <mergeCell ref="HLX3:HMA3"/>
    <mergeCell ref="HMB3:HME3"/>
    <mergeCell ref="HMF3:HMI3"/>
    <mergeCell ref="HMJ3:HMM3"/>
    <mergeCell ref="HMN3:HMQ3"/>
    <mergeCell ref="HMR3:HMU3"/>
    <mergeCell ref="HKZ3:HLC3"/>
    <mergeCell ref="HLD3:HLG3"/>
    <mergeCell ref="HLH3:HLK3"/>
    <mergeCell ref="HLL3:HLO3"/>
    <mergeCell ref="HLP3:HLS3"/>
    <mergeCell ref="HLT3:HLW3"/>
    <mergeCell ref="HKB3:HKE3"/>
    <mergeCell ref="HKF3:HKI3"/>
    <mergeCell ref="HKJ3:HKM3"/>
    <mergeCell ref="HKN3:HKQ3"/>
    <mergeCell ref="HKR3:HKU3"/>
    <mergeCell ref="HKV3:HKY3"/>
    <mergeCell ref="HJD3:HJG3"/>
    <mergeCell ref="HJH3:HJK3"/>
    <mergeCell ref="HJL3:HJO3"/>
    <mergeCell ref="HJP3:HJS3"/>
    <mergeCell ref="HJT3:HJW3"/>
    <mergeCell ref="HJX3:HKA3"/>
    <mergeCell ref="HIF3:HII3"/>
    <mergeCell ref="HIJ3:HIM3"/>
    <mergeCell ref="HIN3:HIQ3"/>
    <mergeCell ref="HIR3:HIU3"/>
    <mergeCell ref="HIV3:HIY3"/>
    <mergeCell ref="HIZ3:HJC3"/>
    <mergeCell ref="HHH3:HHK3"/>
    <mergeCell ref="HHL3:HHO3"/>
    <mergeCell ref="HHP3:HHS3"/>
    <mergeCell ref="HHT3:HHW3"/>
    <mergeCell ref="HHX3:HIA3"/>
    <mergeCell ref="HIB3:HIE3"/>
    <mergeCell ref="HGJ3:HGM3"/>
    <mergeCell ref="HGN3:HGQ3"/>
    <mergeCell ref="HGR3:HGU3"/>
    <mergeCell ref="HGV3:HGY3"/>
    <mergeCell ref="HGZ3:HHC3"/>
    <mergeCell ref="HHD3:HHG3"/>
    <mergeCell ref="HFL3:HFO3"/>
    <mergeCell ref="HFP3:HFS3"/>
    <mergeCell ref="HFT3:HFW3"/>
    <mergeCell ref="HFX3:HGA3"/>
    <mergeCell ref="HGB3:HGE3"/>
    <mergeCell ref="HGF3:HGI3"/>
    <mergeCell ref="HEN3:HEQ3"/>
    <mergeCell ref="HER3:HEU3"/>
    <mergeCell ref="HEV3:HEY3"/>
    <mergeCell ref="HEZ3:HFC3"/>
    <mergeCell ref="HFD3:HFG3"/>
    <mergeCell ref="HFH3:HFK3"/>
    <mergeCell ref="HDP3:HDS3"/>
    <mergeCell ref="HDT3:HDW3"/>
    <mergeCell ref="HDX3:HEA3"/>
    <mergeCell ref="HEB3:HEE3"/>
    <mergeCell ref="HEF3:HEI3"/>
    <mergeCell ref="HEJ3:HEM3"/>
    <mergeCell ref="HCR3:HCU3"/>
    <mergeCell ref="HCV3:HCY3"/>
    <mergeCell ref="HCZ3:HDC3"/>
    <mergeCell ref="HDD3:HDG3"/>
    <mergeCell ref="HDH3:HDK3"/>
    <mergeCell ref="HDL3:HDO3"/>
    <mergeCell ref="HBT3:HBW3"/>
    <mergeCell ref="HBX3:HCA3"/>
    <mergeCell ref="HCB3:HCE3"/>
    <mergeCell ref="HCF3:HCI3"/>
    <mergeCell ref="HCJ3:HCM3"/>
    <mergeCell ref="HCN3:HCQ3"/>
    <mergeCell ref="HAV3:HAY3"/>
    <mergeCell ref="HAZ3:HBC3"/>
    <mergeCell ref="HBD3:HBG3"/>
    <mergeCell ref="HBH3:HBK3"/>
    <mergeCell ref="HBL3:HBO3"/>
    <mergeCell ref="HBP3:HBS3"/>
    <mergeCell ref="GZX3:HAA3"/>
    <mergeCell ref="HAB3:HAE3"/>
    <mergeCell ref="HAF3:HAI3"/>
    <mergeCell ref="HAJ3:HAM3"/>
    <mergeCell ref="HAN3:HAQ3"/>
    <mergeCell ref="HAR3:HAU3"/>
    <mergeCell ref="GYZ3:GZC3"/>
    <mergeCell ref="GZD3:GZG3"/>
    <mergeCell ref="GZH3:GZK3"/>
    <mergeCell ref="GZL3:GZO3"/>
    <mergeCell ref="GZP3:GZS3"/>
    <mergeCell ref="GZT3:GZW3"/>
    <mergeCell ref="GYB3:GYE3"/>
    <mergeCell ref="GYF3:GYI3"/>
    <mergeCell ref="GYJ3:GYM3"/>
    <mergeCell ref="GYN3:GYQ3"/>
    <mergeCell ref="GYR3:GYU3"/>
    <mergeCell ref="GYV3:GYY3"/>
    <mergeCell ref="GXD3:GXG3"/>
    <mergeCell ref="GXH3:GXK3"/>
    <mergeCell ref="GXL3:GXO3"/>
    <mergeCell ref="GXP3:GXS3"/>
    <mergeCell ref="GXT3:GXW3"/>
    <mergeCell ref="GXX3:GYA3"/>
    <mergeCell ref="GWF3:GWI3"/>
    <mergeCell ref="GWJ3:GWM3"/>
    <mergeCell ref="GWN3:GWQ3"/>
    <mergeCell ref="GWR3:GWU3"/>
    <mergeCell ref="GWV3:GWY3"/>
    <mergeCell ref="GWZ3:GXC3"/>
    <mergeCell ref="GVH3:GVK3"/>
    <mergeCell ref="GVL3:GVO3"/>
    <mergeCell ref="GVP3:GVS3"/>
    <mergeCell ref="GVT3:GVW3"/>
    <mergeCell ref="GVX3:GWA3"/>
    <mergeCell ref="GWB3:GWE3"/>
    <mergeCell ref="GUJ3:GUM3"/>
    <mergeCell ref="GUN3:GUQ3"/>
    <mergeCell ref="GUR3:GUU3"/>
    <mergeCell ref="GUV3:GUY3"/>
    <mergeCell ref="GUZ3:GVC3"/>
    <mergeCell ref="GVD3:GVG3"/>
    <mergeCell ref="GTL3:GTO3"/>
    <mergeCell ref="GTP3:GTS3"/>
    <mergeCell ref="GTT3:GTW3"/>
    <mergeCell ref="GTX3:GUA3"/>
    <mergeCell ref="GUB3:GUE3"/>
    <mergeCell ref="GUF3:GUI3"/>
    <mergeCell ref="GSN3:GSQ3"/>
    <mergeCell ref="GSR3:GSU3"/>
    <mergeCell ref="GSV3:GSY3"/>
    <mergeCell ref="GSZ3:GTC3"/>
    <mergeCell ref="GTD3:GTG3"/>
    <mergeCell ref="GTH3:GTK3"/>
    <mergeCell ref="GRP3:GRS3"/>
    <mergeCell ref="GRT3:GRW3"/>
    <mergeCell ref="GRX3:GSA3"/>
    <mergeCell ref="GSB3:GSE3"/>
    <mergeCell ref="GSF3:GSI3"/>
    <mergeCell ref="GSJ3:GSM3"/>
    <mergeCell ref="GQR3:GQU3"/>
    <mergeCell ref="GQV3:GQY3"/>
    <mergeCell ref="GQZ3:GRC3"/>
    <mergeCell ref="GRD3:GRG3"/>
    <mergeCell ref="GRH3:GRK3"/>
    <mergeCell ref="GRL3:GRO3"/>
    <mergeCell ref="GPT3:GPW3"/>
    <mergeCell ref="GPX3:GQA3"/>
    <mergeCell ref="GQB3:GQE3"/>
    <mergeCell ref="GQF3:GQI3"/>
    <mergeCell ref="GQJ3:GQM3"/>
    <mergeCell ref="GQN3:GQQ3"/>
    <mergeCell ref="GOV3:GOY3"/>
    <mergeCell ref="GOZ3:GPC3"/>
    <mergeCell ref="GPD3:GPG3"/>
    <mergeCell ref="GPH3:GPK3"/>
    <mergeCell ref="GPL3:GPO3"/>
    <mergeCell ref="GPP3:GPS3"/>
    <mergeCell ref="GNX3:GOA3"/>
    <mergeCell ref="GOB3:GOE3"/>
    <mergeCell ref="GOF3:GOI3"/>
    <mergeCell ref="GOJ3:GOM3"/>
    <mergeCell ref="GON3:GOQ3"/>
    <mergeCell ref="GOR3:GOU3"/>
    <mergeCell ref="GMZ3:GNC3"/>
    <mergeCell ref="GND3:GNG3"/>
    <mergeCell ref="GNH3:GNK3"/>
    <mergeCell ref="GNL3:GNO3"/>
    <mergeCell ref="GNP3:GNS3"/>
    <mergeCell ref="GNT3:GNW3"/>
    <mergeCell ref="GMB3:GME3"/>
    <mergeCell ref="GMF3:GMI3"/>
    <mergeCell ref="GMJ3:GMM3"/>
    <mergeCell ref="GMN3:GMQ3"/>
    <mergeCell ref="GMR3:GMU3"/>
    <mergeCell ref="GMV3:GMY3"/>
    <mergeCell ref="GLD3:GLG3"/>
    <mergeCell ref="GLH3:GLK3"/>
    <mergeCell ref="GLL3:GLO3"/>
    <mergeCell ref="GLP3:GLS3"/>
    <mergeCell ref="GLT3:GLW3"/>
    <mergeCell ref="GLX3:GMA3"/>
    <mergeCell ref="GKF3:GKI3"/>
    <mergeCell ref="GKJ3:GKM3"/>
    <mergeCell ref="GKN3:GKQ3"/>
    <mergeCell ref="GKR3:GKU3"/>
    <mergeCell ref="GKV3:GKY3"/>
    <mergeCell ref="GKZ3:GLC3"/>
    <mergeCell ref="GJH3:GJK3"/>
    <mergeCell ref="GJL3:GJO3"/>
    <mergeCell ref="GJP3:GJS3"/>
    <mergeCell ref="GJT3:GJW3"/>
    <mergeCell ref="GJX3:GKA3"/>
    <mergeCell ref="GKB3:GKE3"/>
    <mergeCell ref="GIJ3:GIM3"/>
    <mergeCell ref="GIN3:GIQ3"/>
    <mergeCell ref="GIR3:GIU3"/>
    <mergeCell ref="GIV3:GIY3"/>
    <mergeCell ref="GIZ3:GJC3"/>
    <mergeCell ref="GJD3:GJG3"/>
    <mergeCell ref="GHL3:GHO3"/>
    <mergeCell ref="GHP3:GHS3"/>
    <mergeCell ref="GHT3:GHW3"/>
    <mergeCell ref="GHX3:GIA3"/>
    <mergeCell ref="GIB3:GIE3"/>
    <mergeCell ref="GIF3:GII3"/>
    <mergeCell ref="GGN3:GGQ3"/>
    <mergeCell ref="GGR3:GGU3"/>
    <mergeCell ref="GGV3:GGY3"/>
    <mergeCell ref="GGZ3:GHC3"/>
    <mergeCell ref="GHD3:GHG3"/>
    <mergeCell ref="GHH3:GHK3"/>
    <mergeCell ref="GFP3:GFS3"/>
    <mergeCell ref="GFT3:GFW3"/>
    <mergeCell ref="GFX3:GGA3"/>
    <mergeCell ref="GGB3:GGE3"/>
    <mergeCell ref="GGF3:GGI3"/>
    <mergeCell ref="GGJ3:GGM3"/>
    <mergeCell ref="GER3:GEU3"/>
    <mergeCell ref="GEV3:GEY3"/>
    <mergeCell ref="GEZ3:GFC3"/>
    <mergeCell ref="GFD3:GFG3"/>
    <mergeCell ref="GFH3:GFK3"/>
    <mergeCell ref="GFL3:GFO3"/>
    <mergeCell ref="GDT3:GDW3"/>
    <mergeCell ref="GDX3:GEA3"/>
    <mergeCell ref="GEB3:GEE3"/>
    <mergeCell ref="GEF3:GEI3"/>
    <mergeCell ref="GEJ3:GEM3"/>
    <mergeCell ref="GEN3:GEQ3"/>
    <mergeCell ref="GCV3:GCY3"/>
    <mergeCell ref="GCZ3:GDC3"/>
    <mergeCell ref="GDD3:GDG3"/>
    <mergeCell ref="GDH3:GDK3"/>
    <mergeCell ref="GDL3:GDO3"/>
    <mergeCell ref="GDP3:GDS3"/>
    <mergeCell ref="GBX3:GCA3"/>
    <mergeCell ref="GCB3:GCE3"/>
    <mergeCell ref="GCF3:GCI3"/>
    <mergeCell ref="GCJ3:GCM3"/>
    <mergeCell ref="GCN3:GCQ3"/>
    <mergeCell ref="GCR3:GCU3"/>
    <mergeCell ref="GAZ3:GBC3"/>
    <mergeCell ref="GBD3:GBG3"/>
    <mergeCell ref="GBH3:GBK3"/>
    <mergeCell ref="GBL3:GBO3"/>
    <mergeCell ref="GBP3:GBS3"/>
    <mergeCell ref="GBT3:GBW3"/>
    <mergeCell ref="GAB3:GAE3"/>
    <mergeCell ref="GAF3:GAI3"/>
    <mergeCell ref="GAJ3:GAM3"/>
    <mergeCell ref="GAN3:GAQ3"/>
    <mergeCell ref="GAR3:GAU3"/>
    <mergeCell ref="GAV3:GAY3"/>
    <mergeCell ref="FZD3:FZG3"/>
    <mergeCell ref="FZH3:FZK3"/>
    <mergeCell ref="FZL3:FZO3"/>
    <mergeCell ref="FZP3:FZS3"/>
    <mergeCell ref="FZT3:FZW3"/>
    <mergeCell ref="FZX3:GAA3"/>
    <mergeCell ref="FYF3:FYI3"/>
    <mergeCell ref="FYJ3:FYM3"/>
    <mergeCell ref="FYN3:FYQ3"/>
    <mergeCell ref="FYR3:FYU3"/>
    <mergeCell ref="FYV3:FYY3"/>
    <mergeCell ref="FYZ3:FZC3"/>
    <mergeCell ref="FXH3:FXK3"/>
    <mergeCell ref="FXL3:FXO3"/>
    <mergeCell ref="FXP3:FXS3"/>
    <mergeCell ref="FXT3:FXW3"/>
    <mergeCell ref="FXX3:FYA3"/>
    <mergeCell ref="FYB3:FYE3"/>
    <mergeCell ref="FWJ3:FWM3"/>
    <mergeCell ref="FWN3:FWQ3"/>
    <mergeCell ref="FWR3:FWU3"/>
    <mergeCell ref="FWV3:FWY3"/>
    <mergeCell ref="FWZ3:FXC3"/>
    <mergeCell ref="FXD3:FXG3"/>
    <mergeCell ref="FVL3:FVO3"/>
    <mergeCell ref="FVP3:FVS3"/>
    <mergeCell ref="FVT3:FVW3"/>
    <mergeCell ref="FVX3:FWA3"/>
    <mergeCell ref="FWB3:FWE3"/>
    <mergeCell ref="FWF3:FWI3"/>
    <mergeCell ref="FUN3:FUQ3"/>
    <mergeCell ref="FUR3:FUU3"/>
    <mergeCell ref="FUV3:FUY3"/>
    <mergeCell ref="FUZ3:FVC3"/>
    <mergeCell ref="FVD3:FVG3"/>
    <mergeCell ref="FVH3:FVK3"/>
    <mergeCell ref="FTP3:FTS3"/>
    <mergeCell ref="FTT3:FTW3"/>
    <mergeCell ref="FTX3:FUA3"/>
    <mergeCell ref="FUB3:FUE3"/>
    <mergeCell ref="FUF3:FUI3"/>
    <mergeCell ref="FUJ3:FUM3"/>
    <mergeCell ref="FSR3:FSU3"/>
    <mergeCell ref="FSV3:FSY3"/>
    <mergeCell ref="FSZ3:FTC3"/>
    <mergeCell ref="FTD3:FTG3"/>
    <mergeCell ref="FTH3:FTK3"/>
    <mergeCell ref="FTL3:FTO3"/>
    <mergeCell ref="FRT3:FRW3"/>
    <mergeCell ref="FRX3:FSA3"/>
    <mergeCell ref="FSB3:FSE3"/>
    <mergeCell ref="FSF3:FSI3"/>
    <mergeCell ref="FSJ3:FSM3"/>
    <mergeCell ref="FSN3:FSQ3"/>
    <mergeCell ref="FQV3:FQY3"/>
    <mergeCell ref="FQZ3:FRC3"/>
    <mergeCell ref="FRD3:FRG3"/>
    <mergeCell ref="FRH3:FRK3"/>
    <mergeCell ref="FRL3:FRO3"/>
    <mergeCell ref="FRP3:FRS3"/>
    <mergeCell ref="FPX3:FQA3"/>
    <mergeCell ref="FQB3:FQE3"/>
    <mergeCell ref="FQF3:FQI3"/>
    <mergeCell ref="FQJ3:FQM3"/>
    <mergeCell ref="FQN3:FQQ3"/>
    <mergeCell ref="FQR3:FQU3"/>
    <mergeCell ref="FOZ3:FPC3"/>
    <mergeCell ref="FPD3:FPG3"/>
    <mergeCell ref="FPH3:FPK3"/>
    <mergeCell ref="FPL3:FPO3"/>
    <mergeCell ref="FPP3:FPS3"/>
    <mergeCell ref="FPT3:FPW3"/>
    <mergeCell ref="FOB3:FOE3"/>
    <mergeCell ref="FOF3:FOI3"/>
    <mergeCell ref="FOJ3:FOM3"/>
    <mergeCell ref="FON3:FOQ3"/>
    <mergeCell ref="FOR3:FOU3"/>
    <mergeCell ref="FOV3:FOY3"/>
    <mergeCell ref="FND3:FNG3"/>
    <mergeCell ref="FNH3:FNK3"/>
    <mergeCell ref="FNL3:FNO3"/>
    <mergeCell ref="FNP3:FNS3"/>
    <mergeCell ref="FNT3:FNW3"/>
    <mergeCell ref="FNX3:FOA3"/>
    <mergeCell ref="FMF3:FMI3"/>
    <mergeCell ref="FMJ3:FMM3"/>
    <mergeCell ref="FMN3:FMQ3"/>
    <mergeCell ref="FMR3:FMU3"/>
    <mergeCell ref="FMV3:FMY3"/>
    <mergeCell ref="FMZ3:FNC3"/>
    <mergeCell ref="FLH3:FLK3"/>
    <mergeCell ref="FLL3:FLO3"/>
    <mergeCell ref="FLP3:FLS3"/>
    <mergeCell ref="FLT3:FLW3"/>
    <mergeCell ref="FLX3:FMA3"/>
    <mergeCell ref="FMB3:FME3"/>
    <mergeCell ref="FKJ3:FKM3"/>
    <mergeCell ref="FKN3:FKQ3"/>
    <mergeCell ref="FKR3:FKU3"/>
    <mergeCell ref="FKV3:FKY3"/>
    <mergeCell ref="FKZ3:FLC3"/>
    <mergeCell ref="FLD3:FLG3"/>
    <mergeCell ref="FJL3:FJO3"/>
    <mergeCell ref="FJP3:FJS3"/>
    <mergeCell ref="FJT3:FJW3"/>
    <mergeCell ref="FJX3:FKA3"/>
    <mergeCell ref="FKB3:FKE3"/>
    <mergeCell ref="FKF3:FKI3"/>
    <mergeCell ref="FIN3:FIQ3"/>
    <mergeCell ref="FIR3:FIU3"/>
    <mergeCell ref="FIV3:FIY3"/>
    <mergeCell ref="FIZ3:FJC3"/>
    <mergeCell ref="FJD3:FJG3"/>
    <mergeCell ref="FJH3:FJK3"/>
    <mergeCell ref="FHP3:FHS3"/>
    <mergeCell ref="FHT3:FHW3"/>
    <mergeCell ref="FHX3:FIA3"/>
    <mergeCell ref="FIB3:FIE3"/>
    <mergeCell ref="FIF3:FII3"/>
    <mergeCell ref="FIJ3:FIM3"/>
    <mergeCell ref="FGR3:FGU3"/>
    <mergeCell ref="FGV3:FGY3"/>
    <mergeCell ref="FGZ3:FHC3"/>
    <mergeCell ref="FHD3:FHG3"/>
    <mergeCell ref="FHH3:FHK3"/>
    <mergeCell ref="FHL3:FHO3"/>
    <mergeCell ref="FFT3:FFW3"/>
    <mergeCell ref="FFX3:FGA3"/>
    <mergeCell ref="FGB3:FGE3"/>
    <mergeCell ref="FGF3:FGI3"/>
    <mergeCell ref="FGJ3:FGM3"/>
    <mergeCell ref="FGN3:FGQ3"/>
    <mergeCell ref="FEV3:FEY3"/>
    <mergeCell ref="FEZ3:FFC3"/>
    <mergeCell ref="FFD3:FFG3"/>
    <mergeCell ref="FFH3:FFK3"/>
    <mergeCell ref="FFL3:FFO3"/>
    <mergeCell ref="FFP3:FFS3"/>
    <mergeCell ref="FDX3:FEA3"/>
    <mergeCell ref="FEB3:FEE3"/>
    <mergeCell ref="FEF3:FEI3"/>
    <mergeCell ref="FEJ3:FEM3"/>
    <mergeCell ref="FEN3:FEQ3"/>
    <mergeCell ref="FER3:FEU3"/>
    <mergeCell ref="FCZ3:FDC3"/>
    <mergeCell ref="FDD3:FDG3"/>
    <mergeCell ref="FDH3:FDK3"/>
    <mergeCell ref="FDL3:FDO3"/>
    <mergeCell ref="FDP3:FDS3"/>
    <mergeCell ref="FDT3:FDW3"/>
    <mergeCell ref="FCB3:FCE3"/>
    <mergeCell ref="FCF3:FCI3"/>
    <mergeCell ref="FCJ3:FCM3"/>
    <mergeCell ref="FCN3:FCQ3"/>
    <mergeCell ref="FCR3:FCU3"/>
    <mergeCell ref="FCV3:FCY3"/>
    <mergeCell ref="FBD3:FBG3"/>
    <mergeCell ref="FBH3:FBK3"/>
    <mergeCell ref="FBL3:FBO3"/>
    <mergeCell ref="FBP3:FBS3"/>
    <mergeCell ref="FBT3:FBW3"/>
    <mergeCell ref="FBX3:FCA3"/>
    <mergeCell ref="FAF3:FAI3"/>
    <mergeCell ref="FAJ3:FAM3"/>
    <mergeCell ref="FAN3:FAQ3"/>
    <mergeCell ref="FAR3:FAU3"/>
    <mergeCell ref="FAV3:FAY3"/>
    <mergeCell ref="FAZ3:FBC3"/>
    <mergeCell ref="EZH3:EZK3"/>
    <mergeCell ref="EZL3:EZO3"/>
    <mergeCell ref="EZP3:EZS3"/>
    <mergeCell ref="EZT3:EZW3"/>
    <mergeCell ref="EZX3:FAA3"/>
    <mergeCell ref="FAB3:FAE3"/>
    <mergeCell ref="EYJ3:EYM3"/>
    <mergeCell ref="EYN3:EYQ3"/>
    <mergeCell ref="EYR3:EYU3"/>
    <mergeCell ref="EYV3:EYY3"/>
    <mergeCell ref="EYZ3:EZC3"/>
    <mergeCell ref="EZD3:EZG3"/>
    <mergeCell ref="EXL3:EXO3"/>
    <mergeCell ref="EXP3:EXS3"/>
    <mergeCell ref="EXT3:EXW3"/>
    <mergeCell ref="EXX3:EYA3"/>
    <mergeCell ref="EYB3:EYE3"/>
    <mergeCell ref="EYF3:EYI3"/>
    <mergeCell ref="EWN3:EWQ3"/>
    <mergeCell ref="EWR3:EWU3"/>
    <mergeCell ref="EWV3:EWY3"/>
    <mergeCell ref="EWZ3:EXC3"/>
    <mergeCell ref="EXD3:EXG3"/>
    <mergeCell ref="EXH3:EXK3"/>
    <mergeCell ref="EVP3:EVS3"/>
    <mergeCell ref="EVT3:EVW3"/>
    <mergeCell ref="EVX3:EWA3"/>
    <mergeCell ref="EWB3:EWE3"/>
    <mergeCell ref="EWF3:EWI3"/>
    <mergeCell ref="EWJ3:EWM3"/>
    <mergeCell ref="EUR3:EUU3"/>
    <mergeCell ref="EUV3:EUY3"/>
    <mergeCell ref="EUZ3:EVC3"/>
    <mergeCell ref="EVD3:EVG3"/>
    <mergeCell ref="EVH3:EVK3"/>
    <mergeCell ref="EVL3:EVO3"/>
    <mergeCell ref="ETT3:ETW3"/>
    <mergeCell ref="ETX3:EUA3"/>
    <mergeCell ref="EUB3:EUE3"/>
    <mergeCell ref="EUF3:EUI3"/>
    <mergeCell ref="EUJ3:EUM3"/>
    <mergeCell ref="EUN3:EUQ3"/>
    <mergeCell ref="ESV3:ESY3"/>
    <mergeCell ref="ESZ3:ETC3"/>
    <mergeCell ref="ETD3:ETG3"/>
    <mergeCell ref="ETH3:ETK3"/>
    <mergeCell ref="ETL3:ETO3"/>
    <mergeCell ref="ETP3:ETS3"/>
    <mergeCell ref="ERX3:ESA3"/>
    <mergeCell ref="ESB3:ESE3"/>
    <mergeCell ref="ESF3:ESI3"/>
    <mergeCell ref="ESJ3:ESM3"/>
    <mergeCell ref="ESN3:ESQ3"/>
    <mergeCell ref="ESR3:ESU3"/>
    <mergeCell ref="EQZ3:ERC3"/>
    <mergeCell ref="ERD3:ERG3"/>
    <mergeCell ref="ERH3:ERK3"/>
    <mergeCell ref="ERL3:ERO3"/>
    <mergeCell ref="ERP3:ERS3"/>
    <mergeCell ref="ERT3:ERW3"/>
    <mergeCell ref="EQB3:EQE3"/>
    <mergeCell ref="EQF3:EQI3"/>
    <mergeCell ref="EQJ3:EQM3"/>
    <mergeCell ref="EQN3:EQQ3"/>
    <mergeCell ref="EQR3:EQU3"/>
    <mergeCell ref="EQV3:EQY3"/>
    <mergeCell ref="EPD3:EPG3"/>
    <mergeCell ref="EPH3:EPK3"/>
    <mergeCell ref="EPL3:EPO3"/>
    <mergeCell ref="EPP3:EPS3"/>
    <mergeCell ref="EPT3:EPW3"/>
    <mergeCell ref="EPX3:EQA3"/>
    <mergeCell ref="EOF3:EOI3"/>
    <mergeCell ref="EOJ3:EOM3"/>
    <mergeCell ref="EON3:EOQ3"/>
    <mergeCell ref="EOR3:EOU3"/>
    <mergeCell ref="EOV3:EOY3"/>
    <mergeCell ref="EOZ3:EPC3"/>
    <mergeCell ref="ENH3:ENK3"/>
    <mergeCell ref="ENL3:ENO3"/>
    <mergeCell ref="ENP3:ENS3"/>
    <mergeCell ref="ENT3:ENW3"/>
    <mergeCell ref="ENX3:EOA3"/>
    <mergeCell ref="EOB3:EOE3"/>
    <mergeCell ref="EMJ3:EMM3"/>
    <mergeCell ref="EMN3:EMQ3"/>
    <mergeCell ref="EMR3:EMU3"/>
    <mergeCell ref="EMV3:EMY3"/>
    <mergeCell ref="EMZ3:ENC3"/>
    <mergeCell ref="END3:ENG3"/>
    <mergeCell ref="ELL3:ELO3"/>
    <mergeCell ref="ELP3:ELS3"/>
    <mergeCell ref="ELT3:ELW3"/>
    <mergeCell ref="ELX3:EMA3"/>
    <mergeCell ref="EMB3:EME3"/>
    <mergeCell ref="EMF3:EMI3"/>
    <mergeCell ref="EKN3:EKQ3"/>
    <mergeCell ref="EKR3:EKU3"/>
    <mergeCell ref="EKV3:EKY3"/>
    <mergeCell ref="EKZ3:ELC3"/>
    <mergeCell ref="ELD3:ELG3"/>
    <mergeCell ref="ELH3:ELK3"/>
    <mergeCell ref="EJP3:EJS3"/>
    <mergeCell ref="EJT3:EJW3"/>
    <mergeCell ref="EJX3:EKA3"/>
    <mergeCell ref="EKB3:EKE3"/>
    <mergeCell ref="EKF3:EKI3"/>
    <mergeCell ref="EKJ3:EKM3"/>
    <mergeCell ref="EIR3:EIU3"/>
    <mergeCell ref="EIV3:EIY3"/>
    <mergeCell ref="EIZ3:EJC3"/>
    <mergeCell ref="EJD3:EJG3"/>
    <mergeCell ref="EJH3:EJK3"/>
    <mergeCell ref="EJL3:EJO3"/>
    <mergeCell ref="EHT3:EHW3"/>
    <mergeCell ref="EHX3:EIA3"/>
    <mergeCell ref="EIB3:EIE3"/>
    <mergeCell ref="EIF3:EII3"/>
    <mergeCell ref="EIJ3:EIM3"/>
    <mergeCell ref="EIN3:EIQ3"/>
    <mergeCell ref="EGV3:EGY3"/>
    <mergeCell ref="EGZ3:EHC3"/>
    <mergeCell ref="EHD3:EHG3"/>
    <mergeCell ref="EHH3:EHK3"/>
    <mergeCell ref="EHL3:EHO3"/>
    <mergeCell ref="EHP3:EHS3"/>
    <mergeCell ref="EFX3:EGA3"/>
    <mergeCell ref="EGB3:EGE3"/>
    <mergeCell ref="EGF3:EGI3"/>
    <mergeCell ref="EGJ3:EGM3"/>
    <mergeCell ref="EGN3:EGQ3"/>
    <mergeCell ref="EGR3:EGU3"/>
    <mergeCell ref="EEZ3:EFC3"/>
    <mergeCell ref="EFD3:EFG3"/>
    <mergeCell ref="EFH3:EFK3"/>
    <mergeCell ref="EFL3:EFO3"/>
    <mergeCell ref="EFP3:EFS3"/>
    <mergeCell ref="EFT3:EFW3"/>
    <mergeCell ref="EEB3:EEE3"/>
    <mergeCell ref="EEF3:EEI3"/>
    <mergeCell ref="EEJ3:EEM3"/>
    <mergeCell ref="EEN3:EEQ3"/>
    <mergeCell ref="EER3:EEU3"/>
    <mergeCell ref="EEV3:EEY3"/>
    <mergeCell ref="EDD3:EDG3"/>
    <mergeCell ref="EDH3:EDK3"/>
    <mergeCell ref="EDL3:EDO3"/>
    <mergeCell ref="EDP3:EDS3"/>
    <mergeCell ref="EDT3:EDW3"/>
    <mergeCell ref="EDX3:EEA3"/>
    <mergeCell ref="ECF3:ECI3"/>
    <mergeCell ref="ECJ3:ECM3"/>
    <mergeCell ref="ECN3:ECQ3"/>
    <mergeCell ref="ECR3:ECU3"/>
    <mergeCell ref="ECV3:ECY3"/>
    <mergeCell ref="ECZ3:EDC3"/>
    <mergeCell ref="EBH3:EBK3"/>
    <mergeCell ref="EBL3:EBO3"/>
    <mergeCell ref="EBP3:EBS3"/>
    <mergeCell ref="EBT3:EBW3"/>
    <mergeCell ref="EBX3:ECA3"/>
    <mergeCell ref="ECB3:ECE3"/>
    <mergeCell ref="EAJ3:EAM3"/>
    <mergeCell ref="EAN3:EAQ3"/>
    <mergeCell ref="EAR3:EAU3"/>
    <mergeCell ref="EAV3:EAY3"/>
    <mergeCell ref="EAZ3:EBC3"/>
    <mergeCell ref="EBD3:EBG3"/>
    <mergeCell ref="DZL3:DZO3"/>
    <mergeCell ref="DZP3:DZS3"/>
    <mergeCell ref="DZT3:DZW3"/>
    <mergeCell ref="DZX3:EAA3"/>
    <mergeCell ref="EAB3:EAE3"/>
    <mergeCell ref="EAF3:EAI3"/>
    <mergeCell ref="DYN3:DYQ3"/>
    <mergeCell ref="DYR3:DYU3"/>
    <mergeCell ref="DYV3:DYY3"/>
    <mergeCell ref="DYZ3:DZC3"/>
    <mergeCell ref="DZD3:DZG3"/>
    <mergeCell ref="DZH3:DZK3"/>
    <mergeCell ref="DXP3:DXS3"/>
    <mergeCell ref="DXT3:DXW3"/>
    <mergeCell ref="DXX3:DYA3"/>
    <mergeCell ref="DYB3:DYE3"/>
    <mergeCell ref="DYF3:DYI3"/>
    <mergeCell ref="DYJ3:DYM3"/>
    <mergeCell ref="DWR3:DWU3"/>
    <mergeCell ref="DWV3:DWY3"/>
    <mergeCell ref="DWZ3:DXC3"/>
    <mergeCell ref="DXD3:DXG3"/>
    <mergeCell ref="DXH3:DXK3"/>
    <mergeCell ref="DXL3:DXO3"/>
    <mergeCell ref="DVT3:DVW3"/>
    <mergeCell ref="DVX3:DWA3"/>
    <mergeCell ref="DWB3:DWE3"/>
    <mergeCell ref="DWF3:DWI3"/>
    <mergeCell ref="DWJ3:DWM3"/>
    <mergeCell ref="DWN3:DWQ3"/>
    <mergeCell ref="DUV3:DUY3"/>
    <mergeCell ref="DUZ3:DVC3"/>
    <mergeCell ref="DVD3:DVG3"/>
    <mergeCell ref="DVH3:DVK3"/>
    <mergeCell ref="DVL3:DVO3"/>
    <mergeCell ref="DVP3:DVS3"/>
    <mergeCell ref="DTX3:DUA3"/>
    <mergeCell ref="DUB3:DUE3"/>
    <mergeCell ref="DUF3:DUI3"/>
    <mergeCell ref="DUJ3:DUM3"/>
    <mergeCell ref="DUN3:DUQ3"/>
    <mergeCell ref="DUR3:DUU3"/>
    <mergeCell ref="DSZ3:DTC3"/>
    <mergeCell ref="DTD3:DTG3"/>
    <mergeCell ref="DTH3:DTK3"/>
    <mergeCell ref="DTL3:DTO3"/>
    <mergeCell ref="DTP3:DTS3"/>
    <mergeCell ref="DTT3:DTW3"/>
    <mergeCell ref="DSB3:DSE3"/>
    <mergeCell ref="DSF3:DSI3"/>
    <mergeCell ref="DSJ3:DSM3"/>
    <mergeCell ref="DSN3:DSQ3"/>
    <mergeCell ref="DSR3:DSU3"/>
    <mergeCell ref="DSV3:DSY3"/>
    <mergeCell ref="DRD3:DRG3"/>
    <mergeCell ref="DRH3:DRK3"/>
    <mergeCell ref="DRL3:DRO3"/>
    <mergeCell ref="DRP3:DRS3"/>
    <mergeCell ref="DRT3:DRW3"/>
    <mergeCell ref="DRX3:DSA3"/>
    <mergeCell ref="DQF3:DQI3"/>
    <mergeCell ref="DQJ3:DQM3"/>
    <mergeCell ref="DQN3:DQQ3"/>
    <mergeCell ref="DQR3:DQU3"/>
    <mergeCell ref="DQV3:DQY3"/>
    <mergeCell ref="DQZ3:DRC3"/>
    <mergeCell ref="DPH3:DPK3"/>
    <mergeCell ref="DPL3:DPO3"/>
    <mergeCell ref="DPP3:DPS3"/>
    <mergeCell ref="DPT3:DPW3"/>
    <mergeCell ref="DPX3:DQA3"/>
    <mergeCell ref="DQB3:DQE3"/>
    <mergeCell ref="DOJ3:DOM3"/>
    <mergeCell ref="DON3:DOQ3"/>
    <mergeCell ref="DOR3:DOU3"/>
    <mergeCell ref="DOV3:DOY3"/>
    <mergeCell ref="DOZ3:DPC3"/>
    <mergeCell ref="DPD3:DPG3"/>
    <mergeCell ref="DNL3:DNO3"/>
    <mergeCell ref="DNP3:DNS3"/>
    <mergeCell ref="DNT3:DNW3"/>
    <mergeCell ref="DNX3:DOA3"/>
    <mergeCell ref="DOB3:DOE3"/>
    <mergeCell ref="DOF3:DOI3"/>
    <mergeCell ref="DMN3:DMQ3"/>
    <mergeCell ref="DMR3:DMU3"/>
    <mergeCell ref="DMV3:DMY3"/>
    <mergeCell ref="DMZ3:DNC3"/>
    <mergeCell ref="DND3:DNG3"/>
    <mergeCell ref="DNH3:DNK3"/>
    <mergeCell ref="DLP3:DLS3"/>
    <mergeCell ref="DLT3:DLW3"/>
    <mergeCell ref="DLX3:DMA3"/>
    <mergeCell ref="DMB3:DME3"/>
    <mergeCell ref="DMF3:DMI3"/>
    <mergeCell ref="DMJ3:DMM3"/>
    <mergeCell ref="DKR3:DKU3"/>
    <mergeCell ref="DKV3:DKY3"/>
    <mergeCell ref="DKZ3:DLC3"/>
    <mergeCell ref="DLD3:DLG3"/>
    <mergeCell ref="DLH3:DLK3"/>
    <mergeCell ref="DLL3:DLO3"/>
    <mergeCell ref="DJT3:DJW3"/>
    <mergeCell ref="DJX3:DKA3"/>
    <mergeCell ref="DKB3:DKE3"/>
    <mergeCell ref="DKF3:DKI3"/>
    <mergeCell ref="DKJ3:DKM3"/>
    <mergeCell ref="DKN3:DKQ3"/>
    <mergeCell ref="DIV3:DIY3"/>
    <mergeCell ref="DIZ3:DJC3"/>
    <mergeCell ref="DJD3:DJG3"/>
    <mergeCell ref="DJH3:DJK3"/>
    <mergeCell ref="DJL3:DJO3"/>
    <mergeCell ref="DJP3:DJS3"/>
    <mergeCell ref="DHX3:DIA3"/>
    <mergeCell ref="DIB3:DIE3"/>
    <mergeCell ref="DIF3:DII3"/>
    <mergeCell ref="DIJ3:DIM3"/>
    <mergeCell ref="DIN3:DIQ3"/>
    <mergeCell ref="DIR3:DIU3"/>
    <mergeCell ref="DGZ3:DHC3"/>
    <mergeCell ref="DHD3:DHG3"/>
    <mergeCell ref="DHH3:DHK3"/>
    <mergeCell ref="DHL3:DHO3"/>
    <mergeCell ref="DHP3:DHS3"/>
    <mergeCell ref="DHT3:DHW3"/>
    <mergeCell ref="DGB3:DGE3"/>
    <mergeCell ref="DGF3:DGI3"/>
    <mergeCell ref="DGJ3:DGM3"/>
    <mergeCell ref="DGN3:DGQ3"/>
    <mergeCell ref="DGR3:DGU3"/>
    <mergeCell ref="DGV3:DGY3"/>
    <mergeCell ref="DFD3:DFG3"/>
    <mergeCell ref="DFH3:DFK3"/>
    <mergeCell ref="DFL3:DFO3"/>
    <mergeCell ref="DFP3:DFS3"/>
    <mergeCell ref="DFT3:DFW3"/>
    <mergeCell ref="DFX3:DGA3"/>
    <mergeCell ref="DEF3:DEI3"/>
    <mergeCell ref="DEJ3:DEM3"/>
    <mergeCell ref="DEN3:DEQ3"/>
    <mergeCell ref="DER3:DEU3"/>
    <mergeCell ref="DEV3:DEY3"/>
    <mergeCell ref="DEZ3:DFC3"/>
    <mergeCell ref="DDH3:DDK3"/>
    <mergeCell ref="DDL3:DDO3"/>
    <mergeCell ref="DDP3:DDS3"/>
    <mergeCell ref="DDT3:DDW3"/>
    <mergeCell ref="DDX3:DEA3"/>
    <mergeCell ref="DEB3:DEE3"/>
    <mergeCell ref="DCJ3:DCM3"/>
    <mergeCell ref="DCN3:DCQ3"/>
    <mergeCell ref="DCR3:DCU3"/>
    <mergeCell ref="DCV3:DCY3"/>
    <mergeCell ref="DCZ3:DDC3"/>
    <mergeCell ref="DDD3:DDG3"/>
    <mergeCell ref="DBL3:DBO3"/>
    <mergeCell ref="DBP3:DBS3"/>
    <mergeCell ref="DBT3:DBW3"/>
    <mergeCell ref="DBX3:DCA3"/>
    <mergeCell ref="DCB3:DCE3"/>
    <mergeCell ref="DCF3:DCI3"/>
    <mergeCell ref="DAN3:DAQ3"/>
    <mergeCell ref="DAR3:DAU3"/>
    <mergeCell ref="DAV3:DAY3"/>
    <mergeCell ref="DAZ3:DBC3"/>
    <mergeCell ref="DBD3:DBG3"/>
    <mergeCell ref="DBH3:DBK3"/>
    <mergeCell ref="CZP3:CZS3"/>
    <mergeCell ref="CZT3:CZW3"/>
    <mergeCell ref="CZX3:DAA3"/>
    <mergeCell ref="DAB3:DAE3"/>
    <mergeCell ref="DAF3:DAI3"/>
    <mergeCell ref="DAJ3:DAM3"/>
    <mergeCell ref="CYR3:CYU3"/>
    <mergeCell ref="CYV3:CYY3"/>
    <mergeCell ref="CYZ3:CZC3"/>
    <mergeCell ref="CZD3:CZG3"/>
    <mergeCell ref="CZH3:CZK3"/>
    <mergeCell ref="CZL3:CZO3"/>
    <mergeCell ref="CXT3:CXW3"/>
    <mergeCell ref="CXX3:CYA3"/>
    <mergeCell ref="CYB3:CYE3"/>
    <mergeCell ref="CYF3:CYI3"/>
    <mergeCell ref="CYJ3:CYM3"/>
    <mergeCell ref="CYN3:CYQ3"/>
    <mergeCell ref="CWV3:CWY3"/>
    <mergeCell ref="CWZ3:CXC3"/>
    <mergeCell ref="CXD3:CXG3"/>
    <mergeCell ref="CXH3:CXK3"/>
    <mergeCell ref="CXL3:CXO3"/>
    <mergeCell ref="CXP3:CXS3"/>
    <mergeCell ref="CVX3:CWA3"/>
    <mergeCell ref="CWB3:CWE3"/>
    <mergeCell ref="CWF3:CWI3"/>
    <mergeCell ref="CWJ3:CWM3"/>
    <mergeCell ref="CWN3:CWQ3"/>
    <mergeCell ref="CWR3:CWU3"/>
    <mergeCell ref="CUZ3:CVC3"/>
    <mergeCell ref="CVD3:CVG3"/>
    <mergeCell ref="CVH3:CVK3"/>
    <mergeCell ref="CVL3:CVO3"/>
    <mergeCell ref="CVP3:CVS3"/>
    <mergeCell ref="CVT3:CVW3"/>
    <mergeCell ref="CUB3:CUE3"/>
    <mergeCell ref="CUF3:CUI3"/>
    <mergeCell ref="CUJ3:CUM3"/>
    <mergeCell ref="CUN3:CUQ3"/>
    <mergeCell ref="CUR3:CUU3"/>
    <mergeCell ref="CUV3:CUY3"/>
    <mergeCell ref="CTD3:CTG3"/>
    <mergeCell ref="CTH3:CTK3"/>
    <mergeCell ref="CTL3:CTO3"/>
    <mergeCell ref="CTP3:CTS3"/>
    <mergeCell ref="CTT3:CTW3"/>
    <mergeCell ref="CTX3:CUA3"/>
    <mergeCell ref="CSF3:CSI3"/>
    <mergeCell ref="CSJ3:CSM3"/>
    <mergeCell ref="CSN3:CSQ3"/>
    <mergeCell ref="CSR3:CSU3"/>
    <mergeCell ref="CSV3:CSY3"/>
    <mergeCell ref="CSZ3:CTC3"/>
    <mergeCell ref="CRH3:CRK3"/>
    <mergeCell ref="CRL3:CRO3"/>
    <mergeCell ref="CRP3:CRS3"/>
    <mergeCell ref="CRT3:CRW3"/>
    <mergeCell ref="CRX3:CSA3"/>
    <mergeCell ref="CSB3:CSE3"/>
    <mergeCell ref="CQJ3:CQM3"/>
    <mergeCell ref="CQN3:CQQ3"/>
    <mergeCell ref="CQR3:CQU3"/>
    <mergeCell ref="CQV3:CQY3"/>
    <mergeCell ref="CQZ3:CRC3"/>
    <mergeCell ref="CRD3:CRG3"/>
    <mergeCell ref="CPL3:CPO3"/>
    <mergeCell ref="CPP3:CPS3"/>
    <mergeCell ref="CPT3:CPW3"/>
    <mergeCell ref="CPX3:CQA3"/>
    <mergeCell ref="CQB3:CQE3"/>
    <mergeCell ref="CQF3:CQI3"/>
    <mergeCell ref="CON3:COQ3"/>
    <mergeCell ref="COR3:COU3"/>
    <mergeCell ref="COV3:COY3"/>
    <mergeCell ref="COZ3:CPC3"/>
    <mergeCell ref="CPD3:CPG3"/>
    <mergeCell ref="CPH3:CPK3"/>
    <mergeCell ref="CNP3:CNS3"/>
    <mergeCell ref="CNT3:CNW3"/>
    <mergeCell ref="CNX3:COA3"/>
    <mergeCell ref="COB3:COE3"/>
    <mergeCell ref="COF3:COI3"/>
    <mergeCell ref="COJ3:COM3"/>
    <mergeCell ref="CMR3:CMU3"/>
    <mergeCell ref="CMV3:CMY3"/>
    <mergeCell ref="CMZ3:CNC3"/>
    <mergeCell ref="CND3:CNG3"/>
    <mergeCell ref="CNH3:CNK3"/>
    <mergeCell ref="CNL3:CNO3"/>
    <mergeCell ref="CLT3:CLW3"/>
    <mergeCell ref="CLX3:CMA3"/>
    <mergeCell ref="CMB3:CME3"/>
    <mergeCell ref="CMF3:CMI3"/>
    <mergeCell ref="CMJ3:CMM3"/>
    <mergeCell ref="CMN3:CMQ3"/>
    <mergeCell ref="CKV3:CKY3"/>
    <mergeCell ref="CKZ3:CLC3"/>
    <mergeCell ref="CLD3:CLG3"/>
    <mergeCell ref="CLH3:CLK3"/>
    <mergeCell ref="CLL3:CLO3"/>
    <mergeCell ref="CLP3:CLS3"/>
    <mergeCell ref="CJX3:CKA3"/>
    <mergeCell ref="CKB3:CKE3"/>
    <mergeCell ref="CKF3:CKI3"/>
    <mergeCell ref="CKJ3:CKM3"/>
    <mergeCell ref="CKN3:CKQ3"/>
    <mergeCell ref="CKR3:CKU3"/>
    <mergeCell ref="CIZ3:CJC3"/>
    <mergeCell ref="CJD3:CJG3"/>
    <mergeCell ref="CJH3:CJK3"/>
    <mergeCell ref="CJL3:CJO3"/>
    <mergeCell ref="CJP3:CJS3"/>
    <mergeCell ref="CJT3:CJW3"/>
    <mergeCell ref="CIB3:CIE3"/>
    <mergeCell ref="CIF3:CII3"/>
    <mergeCell ref="CIJ3:CIM3"/>
    <mergeCell ref="CIN3:CIQ3"/>
    <mergeCell ref="CIR3:CIU3"/>
    <mergeCell ref="CIV3:CIY3"/>
    <mergeCell ref="CHD3:CHG3"/>
    <mergeCell ref="CHH3:CHK3"/>
    <mergeCell ref="CHL3:CHO3"/>
    <mergeCell ref="CHP3:CHS3"/>
    <mergeCell ref="CHT3:CHW3"/>
    <mergeCell ref="CHX3:CIA3"/>
    <mergeCell ref="CGF3:CGI3"/>
    <mergeCell ref="CGJ3:CGM3"/>
    <mergeCell ref="CGN3:CGQ3"/>
    <mergeCell ref="CGR3:CGU3"/>
    <mergeCell ref="CGV3:CGY3"/>
    <mergeCell ref="CGZ3:CHC3"/>
    <mergeCell ref="CFH3:CFK3"/>
    <mergeCell ref="CFL3:CFO3"/>
    <mergeCell ref="CFP3:CFS3"/>
    <mergeCell ref="CFT3:CFW3"/>
    <mergeCell ref="CFX3:CGA3"/>
    <mergeCell ref="CGB3:CGE3"/>
    <mergeCell ref="CEJ3:CEM3"/>
    <mergeCell ref="CEN3:CEQ3"/>
    <mergeCell ref="CER3:CEU3"/>
    <mergeCell ref="CEV3:CEY3"/>
    <mergeCell ref="CEZ3:CFC3"/>
    <mergeCell ref="CFD3:CFG3"/>
    <mergeCell ref="CDL3:CDO3"/>
    <mergeCell ref="CDP3:CDS3"/>
    <mergeCell ref="CDT3:CDW3"/>
    <mergeCell ref="CDX3:CEA3"/>
    <mergeCell ref="CEB3:CEE3"/>
    <mergeCell ref="CEF3:CEI3"/>
    <mergeCell ref="CCN3:CCQ3"/>
    <mergeCell ref="CCR3:CCU3"/>
    <mergeCell ref="CCV3:CCY3"/>
    <mergeCell ref="CCZ3:CDC3"/>
    <mergeCell ref="CDD3:CDG3"/>
    <mergeCell ref="CDH3:CDK3"/>
    <mergeCell ref="CBP3:CBS3"/>
    <mergeCell ref="CBT3:CBW3"/>
    <mergeCell ref="CBX3:CCA3"/>
    <mergeCell ref="CCB3:CCE3"/>
    <mergeCell ref="CCF3:CCI3"/>
    <mergeCell ref="CCJ3:CCM3"/>
    <mergeCell ref="CAR3:CAU3"/>
    <mergeCell ref="CAV3:CAY3"/>
    <mergeCell ref="CAZ3:CBC3"/>
    <mergeCell ref="CBD3:CBG3"/>
    <mergeCell ref="CBH3:CBK3"/>
    <mergeCell ref="CBL3:CBO3"/>
    <mergeCell ref="BZT3:BZW3"/>
    <mergeCell ref="BZX3:CAA3"/>
    <mergeCell ref="CAB3:CAE3"/>
    <mergeCell ref="CAF3:CAI3"/>
    <mergeCell ref="CAJ3:CAM3"/>
    <mergeCell ref="CAN3:CAQ3"/>
    <mergeCell ref="BYV3:BYY3"/>
    <mergeCell ref="BYZ3:BZC3"/>
    <mergeCell ref="BZD3:BZG3"/>
    <mergeCell ref="BZH3:BZK3"/>
    <mergeCell ref="BZL3:BZO3"/>
    <mergeCell ref="BZP3:BZS3"/>
    <mergeCell ref="BXX3:BYA3"/>
    <mergeCell ref="BYB3:BYE3"/>
    <mergeCell ref="BYF3:BYI3"/>
    <mergeCell ref="BYJ3:BYM3"/>
    <mergeCell ref="BYN3:BYQ3"/>
    <mergeCell ref="BYR3:BYU3"/>
    <mergeCell ref="BWZ3:BXC3"/>
    <mergeCell ref="BXD3:BXG3"/>
    <mergeCell ref="BXH3:BXK3"/>
    <mergeCell ref="BXL3:BXO3"/>
    <mergeCell ref="BXP3:BXS3"/>
    <mergeCell ref="BXT3:BXW3"/>
    <mergeCell ref="BWB3:BWE3"/>
    <mergeCell ref="BWF3:BWI3"/>
    <mergeCell ref="BWJ3:BWM3"/>
    <mergeCell ref="BWN3:BWQ3"/>
    <mergeCell ref="BWR3:BWU3"/>
    <mergeCell ref="BWV3:BWY3"/>
    <mergeCell ref="BVD3:BVG3"/>
    <mergeCell ref="BVH3:BVK3"/>
    <mergeCell ref="BVL3:BVO3"/>
    <mergeCell ref="BVP3:BVS3"/>
    <mergeCell ref="BVT3:BVW3"/>
    <mergeCell ref="BVX3:BWA3"/>
    <mergeCell ref="BUF3:BUI3"/>
    <mergeCell ref="BUJ3:BUM3"/>
    <mergeCell ref="BUN3:BUQ3"/>
    <mergeCell ref="BUR3:BUU3"/>
    <mergeCell ref="BUV3:BUY3"/>
    <mergeCell ref="BUZ3:BVC3"/>
    <mergeCell ref="BTH3:BTK3"/>
    <mergeCell ref="BTL3:BTO3"/>
    <mergeCell ref="BTP3:BTS3"/>
    <mergeCell ref="BTT3:BTW3"/>
    <mergeCell ref="BTX3:BUA3"/>
    <mergeCell ref="BUB3:BUE3"/>
    <mergeCell ref="BSJ3:BSM3"/>
    <mergeCell ref="BSN3:BSQ3"/>
    <mergeCell ref="BSR3:BSU3"/>
    <mergeCell ref="BSV3:BSY3"/>
    <mergeCell ref="BSZ3:BTC3"/>
    <mergeCell ref="BTD3:BTG3"/>
    <mergeCell ref="BRL3:BRO3"/>
    <mergeCell ref="BRP3:BRS3"/>
    <mergeCell ref="BRT3:BRW3"/>
    <mergeCell ref="BRX3:BSA3"/>
    <mergeCell ref="BSB3:BSE3"/>
    <mergeCell ref="BSF3:BSI3"/>
    <mergeCell ref="BQN3:BQQ3"/>
    <mergeCell ref="BQR3:BQU3"/>
    <mergeCell ref="BQV3:BQY3"/>
    <mergeCell ref="BQZ3:BRC3"/>
    <mergeCell ref="BRD3:BRG3"/>
    <mergeCell ref="BRH3:BRK3"/>
    <mergeCell ref="BPP3:BPS3"/>
    <mergeCell ref="BPT3:BPW3"/>
    <mergeCell ref="BPX3:BQA3"/>
    <mergeCell ref="BQB3:BQE3"/>
    <mergeCell ref="BQF3:BQI3"/>
    <mergeCell ref="BQJ3:BQM3"/>
    <mergeCell ref="BOR3:BOU3"/>
    <mergeCell ref="BOV3:BOY3"/>
    <mergeCell ref="BOZ3:BPC3"/>
    <mergeCell ref="BPD3:BPG3"/>
    <mergeCell ref="BPH3:BPK3"/>
    <mergeCell ref="BPL3:BPO3"/>
    <mergeCell ref="BNT3:BNW3"/>
    <mergeCell ref="BNX3:BOA3"/>
    <mergeCell ref="BOB3:BOE3"/>
    <mergeCell ref="BOF3:BOI3"/>
    <mergeCell ref="BOJ3:BOM3"/>
    <mergeCell ref="BON3:BOQ3"/>
    <mergeCell ref="BMV3:BMY3"/>
    <mergeCell ref="BMZ3:BNC3"/>
    <mergeCell ref="BND3:BNG3"/>
    <mergeCell ref="BNH3:BNK3"/>
    <mergeCell ref="BNL3:BNO3"/>
    <mergeCell ref="BNP3:BNS3"/>
    <mergeCell ref="BLX3:BMA3"/>
    <mergeCell ref="BMB3:BME3"/>
    <mergeCell ref="BMF3:BMI3"/>
    <mergeCell ref="BMJ3:BMM3"/>
    <mergeCell ref="BMN3:BMQ3"/>
    <mergeCell ref="BMR3:BMU3"/>
    <mergeCell ref="BKZ3:BLC3"/>
    <mergeCell ref="BLD3:BLG3"/>
    <mergeCell ref="BLH3:BLK3"/>
    <mergeCell ref="BLL3:BLO3"/>
    <mergeCell ref="BLP3:BLS3"/>
    <mergeCell ref="BLT3:BLW3"/>
    <mergeCell ref="BKB3:BKE3"/>
    <mergeCell ref="BKF3:BKI3"/>
    <mergeCell ref="BKJ3:BKM3"/>
    <mergeCell ref="BKN3:BKQ3"/>
    <mergeCell ref="BKR3:BKU3"/>
    <mergeCell ref="BKV3:BKY3"/>
    <mergeCell ref="BJD3:BJG3"/>
    <mergeCell ref="BJH3:BJK3"/>
    <mergeCell ref="BJL3:BJO3"/>
    <mergeCell ref="BJP3:BJS3"/>
    <mergeCell ref="BJT3:BJW3"/>
    <mergeCell ref="BJX3:BKA3"/>
    <mergeCell ref="BIF3:BII3"/>
    <mergeCell ref="BIJ3:BIM3"/>
    <mergeCell ref="BIN3:BIQ3"/>
    <mergeCell ref="BIR3:BIU3"/>
    <mergeCell ref="BIV3:BIY3"/>
    <mergeCell ref="BIZ3:BJC3"/>
    <mergeCell ref="BHH3:BHK3"/>
    <mergeCell ref="BHL3:BHO3"/>
    <mergeCell ref="BHP3:BHS3"/>
    <mergeCell ref="BHT3:BHW3"/>
    <mergeCell ref="BHX3:BIA3"/>
    <mergeCell ref="BIB3:BIE3"/>
    <mergeCell ref="BGJ3:BGM3"/>
    <mergeCell ref="BGN3:BGQ3"/>
    <mergeCell ref="BGR3:BGU3"/>
    <mergeCell ref="BGV3:BGY3"/>
    <mergeCell ref="BGZ3:BHC3"/>
    <mergeCell ref="BHD3:BHG3"/>
    <mergeCell ref="BFL3:BFO3"/>
    <mergeCell ref="BFP3:BFS3"/>
    <mergeCell ref="BFT3:BFW3"/>
    <mergeCell ref="BFX3:BGA3"/>
    <mergeCell ref="BGB3:BGE3"/>
    <mergeCell ref="BGF3:BGI3"/>
    <mergeCell ref="BEN3:BEQ3"/>
    <mergeCell ref="BER3:BEU3"/>
    <mergeCell ref="BEV3:BEY3"/>
    <mergeCell ref="BEZ3:BFC3"/>
    <mergeCell ref="BFD3:BFG3"/>
    <mergeCell ref="BFH3:BFK3"/>
    <mergeCell ref="BDP3:BDS3"/>
    <mergeCell ref="BDT3:BDW3"/>
    <mergeCell ref="BDX3:BEA3"/>
    <mergeCell ref="BEB3:BEE3"/>
    <mergeCell ref="BEF3:BEI3"/>
    <mergeCell ref="BEJ3:BEM3"/>
    <mergeCell ref="BCR3:BCU3"/>
    <mergeCell ref="BCV3:BCY3"/>
    <mergeCell ref="BCZ3:BDC3"/>
    <mergeCell ref="BDD3:BDG3"/>
    <mergeCell ref="BDH3:BDK3"/>
    <mergeCell ref="BDL3:BDO3"/>
    <mergeCell ref="BBT3:BBW3"/>
    <mergeCell ref="BBX3:BCA3"/>
    <mergeCell ref="BCB3:BCE3"/>
    <mergeCell ref="BCF3:BCI3"/>
    <mergeCell ref="BCJ3:BCM3"/>
    <mergeCell ref="BCN3:BCQ3"/>
    <mergeCell ref="BAV3:BAY3"/>
    <mergeCell ref="BAZ3:BBC3"/>
    <mergeCell ref="BBD3:BBG3"/>
    <mergeCell ref="BBH3:BBK3"/>
    <mergeCell ref="BBL3:BBO3"/>
    <mergeCell ref="BBP3:BBS3"/>
    <mergeCell ref="AZX3:BAA3"/>
    <mergeCell ref="BAB3:BAE3"/>
    <mergeCell ref="BAF3:BAI3"/>
    <mergeCell ref="BAJ3:BAM3"/>
    <mergeCell ref="BAN3:BAQ3"/>
    <mergeCell ref="BAR3:BAU3"/>
    <mergeCell ref="AYZ3:AZC3"/>
    <mergeCell ref="AZD3:AZG3"/>
    <mergeCell ref="AZH3:AZK3"/>
    <mergeCell ref="AZL3:AZO3"/>
    <mergeCell ref="AZP3:AZS3"/>
    <mergeCell ref="AZT3:AZW3"/>
    <mergeCell ref="AYB3:AYE3"/>
    <mergeCell ref="AYF3:AYI3"/>
    <mergeCell ref="AYJ3:AYM3"/>
    <mergeCell ref="AYN3:AYQ3"/>
    <mergeCell ref="AYR3:AYU3"/>
    <mergeCell ref="AYV3:AYY3"/>
    <mergeCell ref="AXD3:AXG3"/>
    <mergeCell ref="AXH3:AXK3"/>
    <mergeCell ref="AXL3:AXO3"/>
    <mergeCell ref="AXP3:AXS3"/>
    <mergeCell ref="AXT3:AXW3"/>
    <mergeCell ref="AXX3:AYA3"/>
    <mergeCell ref="AWF3:AWI3"/>
    <mergeCell ref="AWJ3:AWM3"/>
    <mergeCell ref="AWN3:AWQ3"/>
    <mergeCell ref="AWR3:AWU3"/>
    <mergeCell ref="AWV3:AWY3"/>
    <mergeCell ref="AWZ3:AXC3"/>
    <mergeCell ref="AVH3:AVK3"/>
    <mergeCell ref="AVL3:AVO3"/>
    <mergeCell ref="AVP3:AVS3"/>
    <mergeCell ref="AVT3:AVW3"/>
    <mergeCell ref="AVX3:AWA3"/>
    <mergeCell ref="AWB3:AWE3"/>
    <mergeCell ref="AUJ3:AUM3"/>
    <mergeCell ref="AUN3:AUQ3"/>
    <mergeCell ref="AUR3:AUU3"/>
    <mergeCell ref="AUV3:AUY3"/>
    <mergeCell ref="AUZ3:AVC3"/>
    <mergeCell ref="AVD3:AVG3"/>
    <mergeCell ref="ATL3:ATO3"/>
    <mergeCell ref="ATP3:ATS3"/>
    <mergeCell ref="ATT3:ATW3"/>
    <mergeCell ref="ATX3:AUA3"/>
    <mergeCell ref="AUB3:AUE3"/>
    <mergeCell ref="AUF3:AUI3"/>
    <mergeCell ref="ASN3:ASQ3"/>
    <mergeCell ref="ASR3:ASU3"/>
    <mergeCell ref="ASV3:ASY3"/>
    <mergeCell ref="ASZ3:ATC3"/>
    <mergeCell ref="ATD3:ATG3"/>
    <mergeCell ref="ATH3:ATK3"/>
    <mergeCell ref="ARP3:ARS3"/>
    <mergeCell ref="ART3:ARW3"/>
    <mergeCell ref="ARX3:ASA3"/>
    <mergeCell ref="ASB3:ASE3"/>
    <mergeCell ref="ASF3:ASI3"/>
    <mergeCell ref="ASJ3:ASM3"/>
    <mergeCell ref="AQR3:AQU3"/>
    <mergeCell ref="AQV3:AQY3"/>
    <mergeCell ref="AQZ3:ARC3"/>
    <mergeCell ref="ARD3:ARG3"/>
    <mergeCell ref="ARH3:ARK3"/>
    <mergeCell ref="ARL3:ARO3"/>
    <mergeCell ref="APT3:APW3"/>
    <mergeCell ref="APX3:AQA3"/>
    <mergeCell ref="AQB3:AQE3"/>
    <mergeCell ref="AQF3:AQI3"/>
    <mergeCell ref="AQJ3:AQM3"/>
    <mergeCell ref="AQN3:AQQ3"/>
    <mergeCell ref="AOV3:AOY3"/>
    <mergeCell ref="AOZ3:APC3"/>
    <mergeCell ref="APD3:APG3"/>
    <mergeCell ref="APH3:APK3"/>
    <mergeCell ref="APL3:APO3"/>
    <mergeCell ref="APP3:APS3"/>
    <mergeCell ref="ANX3:AOA3"/>
    <mergeCell ref="AOB3:AOE3"/>
    <mergeCell ref="AOF3:AOI3"/>
    <mergeCell ref="AOJ3:AOM3"/>
    <mergeCell ref="AON3:AOQ3"/>
    <mergeCell ref="AOR3:AOU3"/>
    <mergeCell ref="AMZ3:ANC3"/>
    <mergeCell ref="AND3:ANG3"/>
    <mergeCell ref="ANH3:ANK3"/>
    <mergeCell ref="ANL3:ANO3"/>
    <mergeCell ref="ANP3:ANS3"/>
    <mergeCell ref="ANT3:ANW3"/>
    <mergeCell ref="AMB3:AME3"/>
    <mergeCell ref="AMF3:AMI3"/>
    <mergeCell ref="AMJ3:AMM3"/>
    <mergeCell ref="AMN3:AMQ3"/>
    <mergeCell ref="AMR3:AMU3"/>
    <mergeCell ref="AMV3:AMY3"/>
    <mergeCell ref="ALD3:ALG3"/>
    <mergeCell ref="ALH3:ALK3"/>
    <mergeCell ref="ALL3:ALO3"/>
    <mergeCell ref="ALP3:ALS3"/>
    <mergeCell ref="ALT3:ALW3"/>
    <mergeCell ref="ALX3:AMA3"/>
    <mergeCell ref="AKF3:AKI3"/>
    <mergeCell ref="AKJ3:AKM3"/>
    <mergeCell ref="AKN3:AKQ3"/>
    <mergeCell ref="AKR3:AKU3"/>
    <mergeCell ref="AKV3:AKY3"/>
    <mergeCell ref="AKZ3:ALC3"/>
    <mergeCell ref="AJH3:AJK3"/>
    <mergeCell ref="AJL3:AJO3"/>
    <mergeCell ref="AJP3:AJS3"/>
    <mergeCell ref="AJT3:AJW3"/>
    <mergeCell ref="AJX3:AKA3"/>
    <mergeCell ref="AKB3:AKE3"/>
    <mergeCell ref="AIJ3:AIM3"/>
    <mergeCell ref="AIN3:AIQ3"/>
    <mergeCell ref="AIR3:AIU3"/>
    <mergeCell ref="AIV3:AIY3"/>
    <mergeCell ref="AIZ3:AJC3"/>
    <mergeCell ref="AJD3:AJG3"/>
    <mergeCell ref="AHL3:AHO3"/>
    <mergeCell ref="AHP3:AHS3"/>
    <mergeCell ref="AHT3:AHW3"/>
    <mergeCell ref="AHX3:AIA3"/>
    <mergeCell ref="AIB3:AIE3"/>
    <mergeCell ref="AIF3:AII3"/>
    <mergeCell ref="AGN3:AGQ3"/>
    <mergeCell ref="AGR3:AGU3"/>
    <mergeCell ref="AGV3:AGY3"/>
    <mergeCell ref="AGZ3:AHC3"/>
    <mergeCell ref="AHD3:AHG3"/>
    <mergeCell ref="AHH3:AHK3"/>
    <mergeCell ref="AFP3:AFS3"/>
    <mergeCell ref="AFT3:AFW3"/>
    <mergeCell ref="AFX3:AGA3"/>
    <mergeCell ref="AGB3:AGE3"/>
    <mergeCell ref="AGF3:AGI3"/>
    <mergeCell ref="AGJ3:AGM3"/>
    <mergeCell ref="AER3:AEU3"/>
    <mergeCell ref="AEV3:AEY3"/>
    <mergeCell ref="AEZ3:AFC3"/>
    <mergeCell ref="AFD3:AFG3"/>
    <mergeCell ref="AFH3:AFK3"/>
    <mergeCell ref="AFL3:AFO3"/>
    <mergeCell ref="ADT3:ADW3"/>
    <mergeCell ref="ADX3:AEA3"/>
    <mergeCell ref="AEB3:AEE3"/>
    <mergeCell ref="AEF3:AEI3"/>
    <mergeCell ref="AEJ3:AEM3"/>
    <mergeCell ref="AEN3:AEQ3"/>
    <mergeCell ref="ACV3:ACY3"/>
    <mergeCell ref="ACZ3:ADC3"/>
    <mergeCell ref="ADD3:ADG3"/>
    <mergeCell ref="ADH3:ADK3"/>
    <mergeCell ref="ADL3:ADO3"/>
    <mergeCell ref="ADP3:ADS3"/>
    <mergeCell ref="ABX3:ACA3"/>
    <mergeCell ref="ACB3:ACE3"/>
    <mergeCell ref="ACF3:ACI3"/>
    <mergeCell ref="ACJ3:ACM3"/>
    <mergeCell ref="ACN3:ACQ3"/>
    <mergeCell ref="ACR3:ACU3"/>
    <mergeCell ref="AAZ3:ABC3"/>
    <mergeCell ref="ABD3:ABG3"/>
    <mergeCell ref="ABH3:ABK3"/>
    <mergeCell ref="ABL3:ABO3"/>
    <mergeCell ref="ABP3:ABS3"/>
    <mergeCell ref="ABT3:ABW3"/>
    <mergeCell ref="AAB3:AAE3"/>
    <mergeCell ref="AAF3:AAI3"/>
    <mergeCell ref="AAJ3:AAM3"/>
    <mergeCell ref="AAN3:AAQ3"/>
    <mergeCell ref="AAR3:AAU3"/>
    <mergeCell ref="AAV3:AAY3"/>
    <mergeCell ref="ZD3:ZG3"/>
    <mergeCell ref="ZH3:ZK3"/>
    <mergeCell ref="ZL3:ZO3"/>
    <mergeCell ref="ZP3:ZS3"/>
    <mergeCell ref="ZT3:ZW3"/>
    <mergeCell ref="ZX3:AAA3"/>
    <mergeCell ref="YF3:YI3"/>
    <mergeCell ref="YJ3:YM3"/>
    <mergeCell ref="YN3:YQ3"/>
    <mergeCell ref="YR3:YU3"/>
    <mergeCell ref="YV3:YY3"/>
    <mergeCell ref="YZ3:ZC3"/>
    <mergeCell ref="XH3:XK3"/>
    <mergeCell ref="XL3:XO3"/>
    <mergeCell ref="XP3:XS3"/>
    <mergeCell ref="XT3:XW3"/>
    <mergeCell ref="XX3:YA3"/>
    <mergeCell ref="YB3:YE3"/>
    <mergeCell ref="WJ3:WM3"/>
    <mergeCell ref="WN3:WQ3"/>
    <mergeCell ref="WR3:WU3"/>
    <mergeCell ref="WV3:WY3"/>
    <mergeCell ref="WZ3:XC3"/>
    <mergeCell ref="XD3:XG3"/>
    <mergeCell ref="VL3:VO3"/>
    <mergeCell ref="VP3:VS3"/>
    <mergeCell ref="VT3:VW3"/>
    <mergeCell ref="VX3:WA3"/>
    <mergeCell ref="WB3:WE3"/>
    <mergeCell ref="WF3:WI3"/>
    <mergeCell ref="UN3:UQ3"/>
    <mergeCell ref="UR3:UU3"/>
    <mergeCell ref="UV3:UY3"/>
    <mergeCell ref="UZ3:VC3"/>
    <mergeCell ref="VD3:VG3"/>
    <mergeCell ref="VH3:VK3"/>
    <mergeCell ref="TP3:TS3"/>
    <mergeCell ref="TT3:TW3"/>
    <mergeCell ref="TX3:UA3"/>
    <mergeCell ref="UB3:UE3"/>
    <mergeCell ref="UF3:UI3"/>
    <mergeCell ref="UJ3:UM3"/>
    <mergeCell ref="SR3:SU3"/>
    <mergeCell ref="SV3:SY3"/>
    <mergeCell ref="SZ3:TC3"/>
    <mergeCell ref="TD3:TG3"/>
    <mergeCell ref="TH3:TK3"/>
    <mergeCell ref="TL3:TO3"/>
    <mergeCell ref="RT3:RW3"/>
    <mergeCell ref="RX3:SA3"/>
    <mergeCell ref="SB3:SE3"/>
    <mergeCell ref="SF3:SI3"/>
    <mergeCell ref="SJ3:SM3"/>
    <mergeCell ref="SN3:SQ3"/>
    <mergeCell ref="QV3:QY3"/>
    <mergeCell ref="QZ3:RC3"/>
    <mergeCell ref="RD3:RG3"/>
    <mergeCell ref="RH3:RK3"/>
    <mergeCell ref="RL3:RO3"/>
    <mergeCell ref="RP3:RS3"/>
    <mergeCell ref="PX3:QA3"/>
    <mergeCell ref="QB3:QE3"/>
    <mergeCell ref="QF3:QI3"/>
    <mergeCell ref="QJ3:QM3"/>
    <mergeCell ref="QN3:QQ3"/>
    <mergeCell ref="QR3:QU3"/>
    <mergeCell ref="OZ3:PC3"/>
    <mergeCell ref="PD3:PG3"/>
    <mergeCell ref="PH3:PK3"/>
    <mergeCell ref="PL3:PO3"/>
    <mergeCell ref="PP3:PS3"/>
    <mergeCell ref="PT3:PW3"/>
    <mergeCell ref="OB3:OE3"/>
    <mergeCell ref="OF3:OI3"/>
    <mergeCell ref="OJ3:OM3"/>
    <mergeCell ref="ON3:OQ3"/>
    <mergeCell ref="OR3:OU3"/>
    <mergeCell ref="OV3:OY3"/>
    <mergeCell ref="ND3:NG3"/>
    <mergeCell ref="NH3:NK3"/>
    <mergeCell ref="NL3:NO3"/>
    <mergeCell ref="NP3:NS3"/>
    <mergeCell ref="NT3:NW3"/>
    <mergeCell ref="NX3:OA3"/>
    <mergeCell ref="MF3:MI3"/>
    <mergeCell ref="MJ3:MM3"/>
    <mergeCell ref="MN3:MQ3"/>
    <mergeCell ref="MR3:MU3"/>
    <mergeCell ref="MV3:MY3"/>
    <mergeCell ref="MZ3:NC3"/>
    <mergeCell ref="LH3:LK3"/>
    <mergeCell ref="LL3:LO3"/>
    <mergeCell ref="LP3:LS3"/>
    <mergeCell ref="LT3:LW3"/>
    <mergeCell ref="LX3:MA3"/>
    <mergeCell ref="MB3:ME3"/>
    <mergeCell ref="KJ3:KM3"/>
    <mergeCell ref="KN3:KQ3"/>
    <mergeCell ref="KR3:KU3"/>
    <mergeCell ref="KV3:KY3"/>
    <mergeCell ref="KZ3:LC3"/>
    <mergeCell ref="LD3:LG3"/>
    <mergeCell ref="JL3:JO3"/>
    <mergeCell ref="JP3:JS3"/>
    <mergeCell ref="JT3:JW3"/>
    <mergeCell ref="JX3:KA3"/>
    <mergeCell ref="KB3:KE3"/>
    <mergeCell ref="KF3:KI3"/>
    <mergeCell ref="IN3:IQ3"/>
    <mergeCell ref="IR3:IU3"/>
    <mergeCell ref="IV3:IY3"/>
    <mergeCell ref="IZ3:JC3"/>
    <mergeCell ref="JD3:JG3"/>
    <mergeCell ref="JH3:JK3"/>
    <mergeCell ref="HP3:HS3"/>
    <mergeCell ref="HT3:HW3"/>
    <mergeCell ref="HX3:IA3"/>
    <mergeCell ref="IB3:IE3"/>
    <mergeCell ref="IF3:II3"/>
    <mergeCell ref="IJ3:IM3"/>
    <mergeCell ref="GR3:GU3"/>
    <mergeCell ref="GV3:GY3"/>
    <mergeCell ref="GZ3:HC3"/>
    <mergeCell ref="HD3:HG3"/>
    <mergeCell ref="HH3:HK3"/>
    <mergeCell ref="HL3:HO3"/>
    <mergeCell ref="FT3:FW3"/>
    <mergeCell ref="FX3:GA3"/>
    <mergeCell ref="GB3:GE3"/>
    <mergeCell ref="GF3:GI3"/>
    <mergeCell ref="GJ3:GM3"/>
    <mergeCell ref="GN3:GQ3"/>
    <mergeCell ref="EV3:EY3"/>
    <mergeCell ref="S3:T3"/>
    <mergeCell ref="AB3:AE3"/>
    <mergeCell ref="CB3:CE3"/>
    <mergeCell ref="CF3:CI3"/>
    <mergeCell ref="CJ3:CM3"/>
    <mergeCell ref="EZ3:FC3"/>
    <mergeCell ref="FD3:FG3"/>
    <mergeCell ref="FH3:FK3"/>
    <mergeCell ref="FL3:FO3"/>
    <mergeCell ref="FP3:FS3"/>
    <mergeCell ref="DX3:EA3"/>
    <mergeCell ref="EB3:EE3"/>
    <mergeCell ref="EF3:EI3"/>
    <mergeCell ref="EJ3:EM3"/>
    <mergeCell ref="EN3:EQ3"/>
    <mergeCell ref="ER3:EU3"/>
    <mergeCell ref="CZ3:DC3"/>
    <mergeCell ref="DD3:DG3"/>
    <mergeCell ref="DH3:DK3"/>
    <mergeCell ref="DL3:DO3"/>
    <mergeCell ref="DP3:DS3"/>
    <mergeCell ref="DT3:DW3"/>
    <mergeCell ref="G3:R3"/>
    <mergeCell ref="CN3:CQ3"/>
    <mergeCell ref="CR3:CU3"/>
    <mergeCell ref="CV3:CY3"/>
    <mergeCell ref="BD3:BG3"/>
    <mergeCell ref="BH3:BK3"/>
    <mergeCell ref="BL3:BO3"/>
    <mergeCell ref="BP3:BS3"/>
    <mergeCell ref="BT3:BW3"/>
    <mergeCell ref="BX3:CA3"/>
    <mergeCell ref="AF3:AI3"/>
    <mergeCell ref="AJ3:AM3"/>
    <mergeCell ref="AN3:AQ3"/>
    <mergeCell ref="AR3:AU3"/>
    <mergeCell ref="AV3:AY3"/>
    <mergeCell ref="AZ3:BC3"/>
    <mergeCell ref="A2:R2"/>
  </mergeCells>
  <phoneticPr fontId="4" type="noConversion"/>
  <conditionalFormatting sqref="G5:R44">
    <cfRule type="colorScale" priority="835">
      <colorScale>
        <cfvo type="percent" val="0"/>
        <cfvo type="percent" val="50"/>
        <cfvo type="percent" val="98"/>
        <color rgb="FFF8696B"/>
        <color rgb="FFFFEB84"/>
        <color rgb="FF63BE7B"/>
      </colorScale>
    </cfRule>
  </conditionalFormatting>
  <dataValidations count="1">
    <dataValidation type="decimal" allowBlank="1" showInputMessage="1" showErrorMessage="1" sqref="G5:R44" xr:uid="{A10698D3-BCB6-CB46-91C7-229349A517B0}">
      <formula1>0</formula1>
      <formula2>100</formula2>
    </dataValidation>
  </dataValidations>
  <hyperlinks>
    <hyperlink ref="A1" location="Planificación!A1" display="Atrás" xr:uid="{40083931-F6F1-6C4C-92EE-3F3CABC11B3E}"/>
    <hyperlink ref="A1:R1" location="Inicio!A8" display="Regresar" xr:uid="{9152E16B-6420-5C45-95F7-27682AB461A6}"/>
  </hyperlinks>
  <pageMargins left="0.7" right="0.7" top="0.75" bottom="0.75" header="0.3" footer="0.3"/>
  <pageSetup scale="29" fitToWidth="0" orientation="portrait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064AF-58E2-4FD9-8574-8E113070F82C}">
  <sheetPr codeName="Hoja20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320" t="s">
        <v>21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2"/>
    </row>
    <row r="2" spans="1:93" s="59" customFormat="1" ht="50.1" customHeight="1" thickBot="1" x14ac:dyDescent="0.3">
      <c r="A2" s="480" t="str">
        <f>CONCATENATE("Planificación financiera ",Up," | Presupuesto y ejecución ",Año_Inicial+7)</f>
        <v>Planificación financiera  | Presupuesto y ejecución 2030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156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P_A8_L1</f>
        <v>0</v>
      </c>
      <c r="G7" s="96" t="e">
        <f>G40/CUI_Corte</f>
        <v>#DIV/0!</v>
      </c>
      <c r="H7" s="97">
        <f>P_A8_L2</f>
        <v>0</v>
      </c>
      <c r="I7" s="96" t="e">
        <f>I40/CUI_Corte</f>
        <v>#DIV/0!</v>
      </c>
      <c r="J7" s="97">
        <f>P_A8_L3</f>
        <v>0</v>
      </c>
      <c r="K7" s="96" t="e">
        <f>K40/CUI_Corte</f>
        <v>#DIV/0!</v>
      </c>
      <c r="L7" s="97">
        <f>P_A8_L4</f>
        <v>0</v>
      </c>
      <c r="M7" s="96" t="e">
        <f>M40/CUI_Corte</f>
        <v>#DIV/0!</v>
      </c>
      <c r="N7" s="97">
        <f>P_A8_L5</f>
        <v>0</v>
      </c>
      <c r="O7" s="96" t="e">
        <f>O40/CUI_Corte</f>
        <v>#DIV/0!</v>
      </c>
      <c r="P7" s="97">
        <f>P_A8_L6</f>
        <v>0</v>
      </c>
      <c r="Q7" s="96" t="e">
        <f>Q40/CUI_Corte</f>
        <v>#DIV/0!</v>
      </c>
      <c r="R7" s="97">
        <f>P_A8_L7</f>
        <v>0</v>
      </c>
      <c r="S7" s="96" t="e">
        <f>S40/CUI_Corte</f>
        <v>#DIV/0!</v>
      </c>
      <c r="T7" s="97">
        <f>P_A8_L8</f>
        <v>0</v>
      </c>
      <c r="U7" s="96" t="e">
        <f>U40/CUI_Corte</f>
        <v>#DIV/0!</v>
      </c>
      <c r="V7" s="97">
        <f>P_A8_L9</f>
        <v>0</v>
      </c>
      <c r="W7" s="96" t="e">
        <f>W40/CUI_Corte</f>
        <v>#DIV/0!</v>
      </c>
      <c r="X7" s="97">
        <f>P_A8_L10</f>
        <v>0</v>
      </c>
      <c r="Y7" s="96" t="e">
        <f>Y40/CUI_Corte</f>
        <v>#DIV/0!</v>
      </c>
      <c r="Z7" s="97">
        <f>P_A8_L11</f>
        <v>0</v>
      </c>
      <c r="AA7" s="96" t="e">
        <f>AA40/CUI_Corte</f>
        <v>#DIV/0!</v>
      </c>
      <c r="AB7" s="97">
        <f>P_A8_L12</f>
        <v>0</v>
      </c>
      <c r="AC7" s="96" t="e">
        <f>AC40/CUI_Corte</f>
        <v>#DIV/0!</v>
      </c>
      <c r="AD7" s="97">
        <f>P_A8_L13</f>
        <v>0</v>
      </c>
      <c r="AE7" s="96" t="e">
        <f>AE40/CUI_Corte</f>
        <v>#DIV/0!</v>
      </c>
      <c r="AF7" s="97">
        <f>P_A8_L14</f>
        <v>0</v>
      </c>
      <c r="AG7" s="96" t="e">
        <f>AG40/CUI_Corte</f>
        <v>#DIV/0!</v>
      </c>
      <c r="AH7" s="97">
        <f>P_A8_L15</f>
        <v>0</v>
      </c>
      <c r="AI7" s="96" t="e">
        <f>AI40/CUI_Corte</f>
        <v>#DIV/0!</v>
      </c>
      <c r="AJ7" s="97">
        <f>P_A8_L16</f>
        <v>0</v>
      </c>
      <c r="AK7" s="96" t="e">
        <f>AK40/CUI_Corte</f>
        <v>#DIV/0!</v>
      </c>
      <c r="AL7" s="97">
        <f>P_A8_L17</f>
        <v>0</v>
      </c>
      <c r="AM7" s="96" t="e">
        <f>AM40/CUI_Corte</f>
        <v>#DIV/0!</v>
      </c>
      <c r="AN7" s="97">
        <f>P_A8_L18</f>
        <v>0</v>
      </c>
      <c r="AO7" s="96" t="e">
        <f>AO40/CUI_Corte</f>
        <v>#DIV/0!</v>
      </c>
      <c r="AP7" s="97">
        <f>P_A8_L19</f>
        <v>0</v>
      </c>
      <c r="AQ7" s="96" t="e">
        <f>AQ40/CUI_Corte</f>
        <v>#DIV/0!</v>
      </c>
      <c r="AR7" s="97">
        <f>P_A8_L20</f>
        <v>0</v>
      </c>
      <c r="AS7" s="96" t="e">
        <f>AS40/CUI_Corte</f>
        <v>#DIV/0!</v>
      </c>
      <c r="AT7" s="97">
        <f>P_A8_L21</f>
        <v>0</v>
      </c>
      <c r="AU7" s="96" t="e">
        <f>AU40/CUI_Corte</f>
        <v>#DIV/0!</v>
      </c>
      <c r="AV7" s="97">
        <f>P_A8_L22</f>
        <v>0</v>
      </c>
      <c r="AW7" s="96" t="e">
        <f>AW40/CUI_Corte</f>
        <v>#DIV/0!</v>
      </c>
      <c r="AX7" s="97">
        <f>P_A8_L23</f>
        <v>0</v>
      </c>
      <c r="AY7" s="96" t="e">
        <f>AY40/CUI_Corte</f>
        <v>#DIV/0!</v>
      </c>
      <c r="AZ7" s="97">
        <f>P_A8_L24</f>
        <v>0</v>
      </c>
      <c r="BA7" s="96" t="e">
        <f>BA40/CUI_Corte</f>
        <v>#DIV/0!</v>
      </c>
      <c r="BB7" s="97">
        <f>P_A8_L25</f>
        <v>0</v>
      </c>
      <c r="BC7" s="96" t="e">
        <f>BC40/CUI_Corte</f>
        <v>#DIV/0!</v>
      </c>
      <c r="BD7" s="97">
        <f>P_A8_L26</f>
        <v>0</v>
      </c>
      <c r="BE7" s="96" t="e">
        <f>BE40/CUI_Corte</f>
        <v>#DIV/0!</v>
      </c>
      <c r="BF7" s="97">
        <f>P_A8_L27</f>
        <v>0</v>
      </c>
      <c r="BG7" s="96" t="e">
        <f>BG40/CUI_Corte</f>
        <v>#DIV/0!</v>
      </c>
      <c r="BH7" s="97">
        <f>P_A8_L28</f>
        <v>0</v>
      </c>
      <c r="BI7" s="96" t="e">
        <f>BI40/CUI_Corte</f>
        <v>#DIV/0!</v>
      </c>
      <c r="BJ7" s="97">
        <f>P_A8_L29</f>
        <v>0</v>
      </c>
      <c r="BK7" s="96" t="e">
        <f>BK40/CUI_Corte</f>
        <v>#DIV/0!</v>
      </c>
      <c r="BL7" s="97">
        <f>P_A8_L30</f>
        <v>0</v>
      </c>
      <c r="BM7" s="96" t="e">
        <f>BM40/CUI_Corte</f>
        <v>#DIV/0!</v>
      </c>
      <c r="BN7" s="97">
        <f>P_A8_L31</f>
        <v>0</v>
      </c>
      <c r="BO7" s="96" t="e">
        <f>BO40/CUI_Corte</f>
        <v>#DIV/0!</v>
      </c>
      <c r="BP7" s="97">
        <f>P_A8_L32</f>
        <v>0</v>
      </c>
      <c r="BQ7" s="96" t="e">
        <f>BQ40/CUI_Corte</f>
        <v>#DIV/0!</v>
      </c>
      <c r="BR7" s="97">
        <f>P_A8_L33</f>
        <v>0</v>
      </c>
      <c r="BS7" s="96" t="e">
        <f>BS40/CUI_Corte</f>
        <v>#DIV/0!</v>
      </c>
      <c r="BT7" s="97">
        <f>P_A8_L34</f>
        <v>0</v>
      </c>
      <c r="BU7" s="96" t="e">
        <f>BU40/CUI_Corte</f>
        <v>#DIV/0!</v>
      </c>
      <c r="BV7" s="97">
        <f>P_A8_L35</f>
        <v>0</v>
      </c>
      <c r="BW7" s="96" t="e">
        <f>BW40/CUI_Corte</f>
        <v>#DIV/0!</v>
      </c>
      <c r="BX7" s="97">
        <f>P_A8_L36</f>
        <v>0</v>
      </c>
      <c r="BY7" s="96" t="e">
        <f>BY40/CUI_Corte</f>
        <v>#DIV/0!</v>
      </c>
      <c r="BZ7" s="97">
        <f>P_A8_L37</f>
        <v>0</v>
      </c>
      <c r="CA7" s="96" t="e">
        <f>CA40/CUI_Corte</f>
        <v>#DIV/0!</v>
      </c>
      <c r="CB7" s="97">
        <f>P_A8_L38</f>
        <v>0</v>
      </c>
      <c r="CC7" s="96" t="e">
        <f>CC40/CUI_Corte</f>
        <v>#DIV/0!</v>
      </c>
      <c r="CD7" s="97">
        <f>P_A8_L39</f>
        <v>0</v>
      </c>
      <c r="CE7" s="96" t="e">
        <f>CE40/CUI_Corte</f>
        <v>#DIV/0!</v>
      </c>
      <c r="CF7" s="97">
        <f>P_A8_L40</f>
        <v>0</v>
      </c>
      <c r="CG7" s="96" t="e">
        <f>CG40/CUI_Corte</f>
        <v>#DIV/0!</v>
      </c>
      <c r="CH7" s="473"/>
      <c r="CI7" s="96">
        <f>(IF(Diseño="Bloque",Bloque_A8_A,Surco_A8_A)/100)</f>
        <v>0</v>
      </c>
      <c r="CJ7" s="96">
        <f>(IF(Diseño="Bloque",Bloque_A8_B,Surco_A8_B)/100)</f>
        <v>0</v>
      </c>
      <c r="CK7" s="96">
        <f>(IF(Diseño="Bloque",Bloque_A8_C,Surco_A8_C)/100)</f>
        <v>0</v>
      </c>
      <c r="CL7" s="96">
        <f>(IF(Diseño="Bloque",Bloque_A8_D,Surco_A8_D)/100)</f>
        <v>0</v>
      </c>
      <c r="CM7" s="96"/>
      <c r="CN7" s="96">
        <f>(IF(Diseño="Bloque",Bloque_A8_Y,Surco_A8_Y)/100)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",Precio_A8,".00")</f>
        <v>Ventas de café de primera:  0% | Q. .00</v>
      </c>
      <c r="B8" s="100">
        <f>B7*P_Primera*Precio_A8*Inflación_8</f>
        <v>0</v>
      </c>
      <c r="C8" s="100" t="e">
        <f>C7*P_Primera*Precio_A8</f>
        <v>#DIV/0!</v>
      </c>
      <c r="D8" s="100" t="e">
        <f>C8-B8</f>
        <v>#DIV/0!</v>
      </c>
      <c r="E8" s="475"/>
      <c r="F8" s="101">
        <f>P_A8_L1*P_Primera*Precio_A8*Inflación_8</f>
        <v>0</v>
      </c>
      <c r="G8" s="100" t="e">
        <f>G7*P_Primera*Precio_A8</f>
        <v>#DIV/0!</v>
      </c>
      <c r="H8" s="101">
        <f>P_A8_L2*P_Primera*Precio_A8*Inflación_8</f>
        <v>0</v>
      </c>
      <c r="I8" s="100" t="e">
        <f>I7*P_Primera*Precio_A8</f>
        <v>#DIV/0!</v>
      </c>
      <c r="J8" s="101">
        <f>P_A8_L3*P_Primera*Precio_A8*Inflación_8</f>
        <v>0</v>
      </c>
      <c r="K8" s="100" t="e">
        <f>K7*P_Primera*Precio_A8</f>
        <v>#DIV/0!</v>
      </c>
      <c r="L8" s="101">
        <f>P_A8_L4*P_Primera*Precio_A8*Inflación_8</f>
        <v>0</v>
      </c>
      <c r="M8" s="100" t="e">
        <f>M7*P_Primera*Precio_A8</f>
        <v>#DIV/0!</v>
      </c>
      <c r="N8" s="101">
        <f>P_A8_L5*P_Primera*Precio_A8*Inflación_8</f>
        <v>0</v>
      </c>
      <c r="O8" s="100" t="e">
        <f>O7*P_Primera*Precio_A8</f>
        <v>#DIV/0!</v>
      </c>
      <c r="P8" s="101">
        <f>P_A8_L6*P_Primera*Precio_A8*Inflación_8</f>
        <v>0</v>
      </c>
      <c r="Q8" s="100" t="e">
        <f>Q7*P_Primera*Precio_A8</f>
        <v>#DIV/0!</v>
      </c>
      <c r="R8" s="101">
        <f>P_A8_L7*P_Primera*Precio_A8*Inflación_8</f>
        <v>0</v>
      </c>
      <c r="S8" s="100" t="e">
        <f>S7*P_Primera*Precio_A8</f>
        <v>#DIV/0!</v>
      </c>
      <c r="T8" s="101">
        <f>P_A8_L8*P_Primera*Precio_A8*Inflación_8</f>
        <v>0</v>
      </c>
      <c r="U8" s="100" t="e">
        <f>U7*P_Primera*Precio_A8</f>
        <v>#DIV/0!</v>
      </c>
      <c r="V8" s="101">
        <f>P_A8_L9*P_Primera*Precio_A8*Inflación_8</f>
        <v>0</v>
      </c>
      <c r="W8" s="100" t="e">
        <f>W7*P_Primera*Precio_A8</f>
        <v>#DIV/0!</v>
      </c>
      <c r="X8" s="101">
        <f>P_A8_L10*P_Primera*Precio_A8*Inflación_8</f>
        <v>0</v>
      </c>
      <c r="Y8" s="100" t="e">
        <f>Y7*P_Primera*Precio_A8</f>
        <v>#DIV/0!</v>
      </c>
      <c r="Z8" s="101">
        <f>P_A8_L11*P_Primera*Precio_A8*Inflación_8</f>
        <v>0</v>
      </c>
      <c r="AA8" s="100" t="e">
        <f>AA7*P_Primera*Precio_A8</f>
        <v>#DIV/0!</v>
      </c>
      <c r="AB8" s="101">
        <f>P_A8_L12*P_Primera*Precio_A8*Inflación_8</f>
        <v>0</v>
      </c>
      <c r="AC8" s="100" t="e">
        <f>AC7*P_Primera*Precio_A8</f>
        <v>#DIV/0!</v>
      </c>
      <c r="AD8" s="101">
        <f>P_A8_L13*P_Primera*Precio_A8*Inflación_8</f>
        <v>0</v>
      </c>
      <c r="AE8" s="100" t="e">
        <f>AE7*P_Primera*Precio_A8</f>
        <v>#DIV/0!</v>
      </c>
      <c r="AF8" s="101">
        <f>P_A8_L14*P_Primera*Precio_A8*Inflación_8</f>
        <v>0</v>
      </c>
      <c r="AG8" s="100" t="e">
        <f>AG7*P_Primera*Precio_A8</f>
        <v>#DIV/0!</v>
      </c>
      <c r="AH8" s="101">
        <f>P_A8_L15*P_Primera*Precio_A8*Inflación_8</f>
        <v>0</v>
      </c>
      <c r="AI8" s="100" t="e">
        <f>AI7*P_Primera*Precio_A8</f>
        <v>#DIV/0!</v>
      </c>
      <c r="AJ8" s="101">
        <f>P_A8_L16*P_Primera*Precio_A8*Inflación_8</f>
        <v>0</v>
      </c>
      <c r="AK8" s="100" t="e">
        <f>AK7*P_Primera*Precio_A8</f>
        <v>#DIV/0!</v>
      </c>
      <c r="AL8" s="101">
        <f>P_A8_L17*P_Primera*Precio_A8*Inflación_8</f>
        <v>0</v>
      </c>
      <c r="AM8" s="100" t="e">
        <f>AM7*P_Primera*Precio_A8</f>
        <v>#DIV/0!</v>
      </c>
      <c r="AN8" s="101">
        <f>P_A8_L18*P_Primera*Precio_A8*Inflación_8</f>
        <v>0</v>
      </c>
      <c r="AO8" s="100" t="e">
        <f>AO7*P_Primera*Precio_A8</f>
        <v>#DIV/0!</v>
      </c>
      <c r="AP8" s="101">
        <f>P_A8_L19*P_Primera*Precio_A8*Inflación_8</f>
        <v>0</v>
      </c>
      <c r="AQ8" s="100" t="e">
        <f>AQ7*P_Primera*Precio_A8</f>
        <v>#DIV/0!</v>
      </c>
      <c r="AR8" s="101">
        <f>P_A8_L20*P_Primera*Precio_A8*Inflación_8</f>
        <v>0</v>
      </c>
      <c r="AS8" s="100" t="e">
        <f>AS7*P_Primera*Precio_A8</f>
        <v>#DIV/0!</v>
      </c>
      <c r="AT8" s="101">
        <f>P_A8_L21*P_Primera*Precio_A8*Inflación_8</f>
        <v>0</v>
      </c>
      <c r="AU8" s="100" t="e">
        <f>AU7*P_Primera*Precio_A8</f>
        <v>#DIV/0!</v>
      </c>
      <c r="AV8" s="101">
        <f>P_A8_L22*P_Primera*Precio_A8*Inflación_8</f>
        <v>0</v>
      </c>
      <c r="AW8" s="100" t="e">
        <f>AW7*P_Primera*Precio_A8</f>
        <v>#DIV/0!</v>
      </c>
      <c r="AX8" s="101">
        <f>P_A8_L23*P_Primera*Precio_A8*Inflación_8</f>
        <v>0</v>
      </c>
      <c r="AY8" s="100" t="e">
        <f>AY7*P_Primera*Precio_A8</f>
        <v>#DIV/0!</v>
      </c>
      <c r="AZ8" s="101">
        <f>P_A8_L24*P_Primera*Precio_A8*Inflación_8</f>
        <v>0</v>
      </c>
      <c r="BA8" s="100" t="e">
        <f>BA7*P_Primera*Precio_A8</f>
        <v>#DIV/0!</v>
      </c>
      <c r="BB8" s="101">
        <f>P_A8_L25*P_Primera*Precio_A8*Inflación_8</f>
        <v>0</v>
      </c>
      <c r="BC8" s="100" t="e">
        <f>BC7*P_Primera*Precio_A8</f>
        <v>#DIV/0!</v>
      </c>
      <c r="BD8" s="101">
        <f>P_A8_L26*P_Primera*Precio_A8*Inflación_8</f>
        <v>0</v>
      </c>
      <c r="BE8" s="100" t="e">
        <f>BE7*P_Primera*Precio_A8</f>
        <v>#DIV/0!</v>
      </c>
      <c r="BF8" s="101">
        <f>P_A8_L27*P_Primera*Precio_A8*Inflación_8</f>
        <v>0</v>
      </c>
      <c r="BG8" s="100" t="e">
        <f>BG7*P_Primera*Precio_A8</f>
        <v>#DIV/0!</v>
      </c>
      <c r="BH8" s="101">
        <f>P_A8_L28*P_Primera*Precio_A8*Inflación_8</f>
        <v>0</v>
      </c>
      <c r="BI8" s="100" t="e">
        <f>BI7*P_Primera*Precio_A8</f>
        <v>#DIV/0!</v>
      </c>
      <c r="BJ8" s="101">
        <f>P_A8_L29*P_Primera*Precio_A8*Inflación_8</f>
        <v>0</v>
      </c>
      <c r="BK8" s="100" t="e">
        <f>BK7*P_Primera*Precio_A8</f>
        <v>#DIV/0!</v>
      </c>
      <c r="BL8" s="101">
        <f>P_A8_L30*P_Primera*Precio_A8*Inflación_8</f>
        <v>0</v>
      </c>
      <c r="BM8" s="100" t="e">
        <f>BM7*P_Primera*Precio_A8</f>
        <v>#DIV/0!</v>
      </c>
      <c r="BN8" s="101">
        <f>P_A8_L31*P_Primera*Precio_A8*Inflación_8</f>
        <v>0</v>
      </c>
      <c r="BO8" s="100" t="e">
        <f>BO7*P_Primera*Precio_A8</f>
        <v>#DIV/0!</v>
      </c>
      <c r="BP8" s="101">
        <f>P_A8_L32*P_Primera*Precio_A8*Inflación_8</f>
        <v>0</v>
      </c>
      <c r="BQ8" s="100" t="e">
        <f>BQ7*P_Primera*Precio_A8</f>
        <v>#DIV/0!</v>
      </c>
      <c r="BR8" s="101">
        <f>P_A8_L33*P_Primera*Precio_A8*Inflación_8</f>
        <v>0</v>
      </c>
      <c r="BS8" s="100" t="e">
        <f>BS7*P_Primera*Precio_A8</f>
        <v>#DIV/0!</v>
      </c>
      <c r="BT8" s="101">
        <f>P_A8_L34*P_Primera*Precio_A8*Inflación_8</f>
        <v>0</v>
      </c>
      <c r="BU8" s="100" t="e">
        <f>BU7*P_Primera*Precio_A8</f>
        <v>#DIV/0!</v>
      </c>
      <c r="BV8" s="101">
        <f>P_A8_L35*P_Primera*Precio_A8*Inflación_8</f>
        <v>0</v>
      </c>
      <c r="BW8" s="100" t="e">
        <f>BW7*P_Primera*Precio_A8</f>
        <v>#DIV/0!</v>
      </c>
      <c r="BX8" s="101">
        <f>P_A8_L36*P_Primera*Precio_A8*Inflación_8</f>
        <v>0</v>
      </c>
      <c r="BY8" s="100" t="e">
        <f>BY7*P_Primera*Precio_A8</f>
        <v>#DIV/0!</v>
      </c>
      <c r="BZ8" s="101">
        <f>P_A8_L37*P_Primera*Precio_A8*Inflación_8</f>
        <v>0</v>
      </c>
      <c r="CA8" s="100" t="e">
        <f>CA7*P_Primera*Precio_A8</f>
        <v>#DIV/0!</v>
      </c>
      <c r="CB8" s="101">
        <f>P_A8_L38*P_Primera*Precio_A8*Inflación_8</f>
        <v>0</v>
      </c>
      <c r="CC8" s="100" t="e">
        <f>CC7*P_Primera*Precio_A8</f>
        <v>#DIV/0!</v>
      </c>
      <c r="CD8" s="101">
        <f>P_A8_L39*P_Primera*Precio_A8*Inflación_8</f>
        <v>0</v>
      </c>
      <c r="CE8" s="100" t="e">
        <f>CE7*P_Primera*Precio_A8</f>
        <v>#DIV/0!</v>
      </c>
      <c r="CF8" s="101">
        <f>P_A8_L40*P_Primera*Precio_A8*Inflación_8</f>
        <v>0</v>
      </c>
      <c r="CG8" s="100" t="e">
        <f>CG7*P_Primera*Precio_A8</f>
        <v>#DIV/0!</v>
      </c>
      <c r="CH8" s="473"/>
      <c r="CI8" s="101">
        <f>CI7*P_Primera*Precio_A8*Inflación_8</f>
        <v>0</v>
      </c>
      <c r="CJ8" s="101">
        <f>CJ7*P_Primera*Precio_A8*Inflación_8</f>
        <v>0</v>
      </c>
      <c r="CK8" s="101">
        <f>CK7*P_Primera*Precio_A8*Inflación_8</f>
        <v>0</v>
      </c>
      <c r="CL8" s="101">
        <f>CL7*P_Primera*Precio_A8*Inflación_8</f>
        <v>0</v>
      </c>
      <c r="CM8" s="101"/>
      <c r="CN8" s="101">
        <f>CN7*P_Primera*Precio_A8*Inflación_8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B7*P_Segunda*Segunda*Inflación_8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P_A8_L1*P_Segunda*Segunda*Inflación_8</f>
        <v>0</v>
      </c>
      <c r="G9" s="100" t="e">
        <f t="shared" ref="G9" si="2">G7*P_Segunda*Segunda</f>
        <v>#DIV/0!</v>
      </c>
      <c r="H9" s="101">
        <f>P_A8_L2*P_Segunda*Segunda*Inflación_8</f>
        <v>0</v>
      </c>
      <c r="I9" s="100" t="e">
        <f>I7*P_Segunda*Segunda</f>
        <v>#DIV/0!</v>
      </c>
      <c r="J9" s="101">
        <f>P_A8_L3*P_Segunda*Segunda*Inflación_8</f>
        <v>0</v>
      </c>
      <c r="K9" s="100" t="e">
        <f t="shared" ref="K9" si="3">K7*P_Segunda*Segunda</f>
        <v>#DIV/0!</v>
      </c>
      <c r="L9" s="101">
        <f>P_A8_L4*P_Segunda*Segunda*Inflación_8</f>
        <v>0</v>
      </c>
      <c r="M9" s="100" t="e">
        <f>M7*P_Segunda*Segunda</f>
        <v>#DIV/0!</v>
      </c>
      <c r="N9" s="101">
        <f>P_A8_L5*P_Segunda*Segunda*Inflación_8</f>
        <v>0</v>
      </c>
      <c r="O9" s="100" t="e">
        <f t="shared" ref="O9:Q9" si="4">O7*P_Segunda*Segunda</f>
        <v>#DIV/0!</v>
      </c>
      <c r="P9" s="101">
        <f>P_A8_L6*P_Segunda*Segunda*Inflación_8</f>
        <v>0</v>
      </c>
      <c r="Q9" s="100" t="e">
        <f t="shared" si="4"/>
        <v>#DIV/0!</v>
      </c>
      <c r="R9" s="101">
        <f>P_A8_L7*P_Segunda*Segunda*Inflación_8</f>
        <v>0</v>
      </c>
      <c r="S9" s="100" t="e">
        <f t="shared" ref="S9:U9" si="5">S7*P_Segunda*Segunda</f>
        <v>#DIV/0!</v>
      </c>
      <c r="T9" s="101">
        <f>P_A8_L8*P_Segunda*Segunda*Inflación_8</f>
        <v>0</v>
      </c>
      <c r="U9" s="100" t="e">
        <f t="shared" si="5"/>
        <v>#DIV/0!</v>
      </c>
      <c r="V9" s="101">
        <f>P_A8_L9*P_Segunda*Segunda*Inflación_8</f>
        <v>0</v>
      </c>
      <c r="W9" s="100" t="e">
        <f t="shared" ref="W9:Y9" si="6">W7*P_Segunda*Segunda</f>
        <v>#DIV/0!</v>
      </c>
      <c r="X9" s="101">
        <f>P_A8_L10*P_Segunda*Segunda*Inflación_8</f>
        <v>0</v>
      </c>
      <c r="Y9" s="100" t="e">
        <f t="shared" si="6"/>
        <v>#DIV/0!</v>
      </c>
      <c r="Z9" s="101">
        <f>P_A8_L11*P_Segunda*Segunda*Inflación_8</f>
        <v>0</v>
      </c>
      <c r="AA9" s="100" t="e">
        <f t="shared" ref="AA9:AC9" si="7">AA7*P_Segunda*Segunda</f>
        <v>#DIV/0!</v>
      </c>
      <c r="AB9" s="101">
        <f>P_A8_L12*P_Segunda*Segunda*Inflación_8</f>
        <v>0</v>
      </c>
      <c r="AC9" s="100" t="e">
        <f t="shared" si="7"/>
        <v>#DIV/0!</v>
      </c>
      <c r="AD9" s="101">
        <f>P_A8_L13*P_Segunda*Segunda*Inflación_8</f>
        <v>0</v>
      </c>
      <c r="AE9" s="100" t="e">
        <f t="shared" ref="AE9:AG9" si="8">AE7*P_Segunda*Segunda</f>
        <v>#DIV/0!</v>
      </c>
      <c r="AF9" s="101">
        <f>P_A8_L14*P_Segunda*Segunda*Inflación_8</f>
        <v>0</v>
      </c>
      <c r="AG9" s="100" t="e">
        <f t="shared" si="8"/>
        <v>#DIV/0!</v>
      </c>
      <c r="AH9" s="101">
        <f>P_A8_L15*P_Segunda*Segunda*Inflación_8</f>
        <v>0</v>
      </c>
      <c r="AI9" s="100" t="e">
        <f t="shared" ref="AI9:AK9" si="9">AI7*P_Segunda*Segunda</f>
        <v>#DIV/0!</v>
      </c>
      <c r="AJ9" s="101">
        <f>P_A8_L16*P_Segunda*Segunda*Inflación_8</f>
        <v>0</v>
      </c>
      <c r="AK9" s="100" t="e">
        <f t="shared" si="9"/>
        <v>#DIV/0!</v>
      </c>
      <c r="AL9" s="101">
        <f>P_A8_L17*P_Segunda*Segunda*Inflación_8</f>
        <v>0</v>
      </c>
      <c r="AM9" s="100" t="e">
        <f t="shared" ref="AM9:AO9" si="10">AM7*P_Segunda*Segunda</f>
        <v>#DIV/0!</v>
      </c>
      <c r="AN9" s="101">
        <f>P_A8_L18*P_Segunda*Segunda*Inflación_8</f>
        <v>0</v>
      </c>
      <c r="AO9" s="100" t="e">
        <f t="shared" si="10"/>
        <v>#DIV/0!</v>
      </c>
      <c r="AP9" s="101">
        <f>P_A8_L19*P_Segunda*Segunda*Inflación_8</f>
        <v>0</v>
      </c>
      <c r="AQ9" s="100" t="e">
        <f t="shared" ref="AQ9:AS9" si="11">AQ7*P_Segunda*Segunda</f>
        <v>#DIV/0!</v>
      </c>
      <c r="AR9" s="101">
        <f>P_A8_L20*P_Segunda*Segunda*Inflación_8</f>
        <v>0</v>
      </c>
      <c r="AS9" s="100" t="e">
        <f t="shared" si="11"/>
        <v>#DIV/0!</v>
      </c>
      <c r="AT9" s="101">
        <f>P_A8_L21*P_Segunda*Segunda*Inflación_8</f>
        <v>0</v>
      </c>
      <c r="AU9" s="100" t="e">
        <f t="shared" ref="AU9:AW9" si="12">AU7*P_Segunda*Segunda</f>
        <v>#DIV/0!</v>
      </c>
      <c r="AV9" s="101">
        <f>P_A8_L22*P_Segunda*Segunda*Inflación_8</f>
        <v>0</v>
      </c>
      <c r="AW9" s="100" t="e">
        <f t="shared" si="12"/>
        <v>#DIV/0!</v>
      </c>
      <c r="AX9" s="101">
        <f>P_A8_L23*P_Segunda*Segunda*Inflación_8</f>
        <v>0</v>
      </c>
      <c r="AY9" s="100" t="e">
        <f t="shared" ref="AY9:BA9" si="13">AY7*P_Segunda*Segunda</f>
        <v>#DIV/0!</v>
      </c>
      <c r="AZ9" s="101">
        <f>P_A8_L24*P_Segunda*Segunda*Inflación_8</f>
        <v>0</v>
      </c>
      <c r="BA9" s="100" t="e">
        <f t="shared" si="13"/>
        <v>#DIV/0!</v>
      </c>
      <c r="BB9" s="101">
        <f>P_A8_L25*P_Segunda*Segunda*Inflación_8</f>
        <v>0</v>
      </c>
      <c r="BC9" s="100" t="e">
        <f t="shared" ref="BC9:BE9" si="14">BC7*P_Segunda*Segunda</f>
        <v>#DIV/0!</v>
      </c>
      <c r="BD9" s="101">
        <f>P_A8_L26*P_Segunda*Segunda*Inflación_8</f>
        <v>0</v>
      </c>
      <c r="BE9" s="100" t="e">
        <f t="shared" si="14"/>
        <v>#DIV/0!</v>
      </c>
      <c r="BF9" s="101">
        <f>P_A8_L27*P_Segunda*Segunda*Inflación_8</f>
        <v>0</v>
      </c>
      <c r="BG9" s="100" t="e">
        <f t="shared" ref="BG9:BI9" si="15">BG7*P_Segunda*Segunda</f>
        <v>#DIV/0!</v>
      </c>
      <c r="BH9" s="101">
        <f>P_A8_L28*P_Segunda*Segunda*Inflación_8</f>
        <v>0</v>
      </c>
      <c r="BI9" s="100" t="e">
        <f t="shared" si="15"/>
        <v>#DIV/0!</v>
      </c>
      <c r="BJ9" s="101">
        <f>P_A8_L29*P_Segunda*Segunda*Inflación_8</f>
        <v>0</v>
      </c>
      <c r="BK9" s="100" t="e">
        <f t="shared" ref="BK9:BM9" si="16">BK7*P_Segunda*Segunda</f>
        <v>#DIV/0!</v>
      </c>
      <c r="BL9" s="101">
        <f>P_A8_L30*P_Segunda*Segunda*Inflación_8</f>
        <v>0</v>
      </c>
      <c r="BM9" s="100" t="e">
        <f t="shared" si="16"/>
        <v>#DIV/0!</v>
      </c>
      <c r="BN9" s="101">
        <f>P_A8_L31*P_Segunda*Segunda*Inflación_8</f>
        <v>0</v>
      </c>
      <c r="BO9" s="100" t="e">
        <f t="shared" ref="BO9:BQ9" si="17">BO7*P_Segunda*Segunda</f>
        <v>#DIV/0!</v>
      </c>
      <c r="BP9" s="101">
        <f>P_A8_L32*P_Segunda*Segunda*Inflación_8</f>
        <v>0</v>
      </c>
      <c r="BQ9" s="100" t="e">
        <f t="shared" si="17"/>
        <v>#DIV/0!</v>
      </c>
      <c r="BR9" s="101">
        <f>P_A8_L33*P_Segunda*Segunda*Inflación_8</f>
        <v>0</v>
      </c>
      <c r="BS9" s="100" t="e">
        <f t="shared" ref="BS9:BU9" si="18">BS7*P_Segunda*Segunda</f>
        <v>#DIV/0!</v>
      </c>
      <c r="BT9" s="101">
        <f>P_A8_L34*P_Segunda*Segunda*Inflación_8</f>
        <v>0</v>
      </c>
      <c r="BU9" s="100" t="e">
        <f t="shared" si="18"/>
        <v>#DIV/0!</v>
      </c>
      <c r="BV9" s="101">
        <f>P_A8_L35*P_Segunda*Segunda*Inflación_8</f>
        <v>0</v>
      </c>
      <c r="BW9" s="100" t="e">
        <f t="shared" ref="BW9:BY9" si="19">BW7*P_Segunda*Segunda</f>
        <v>#DIV/0!</v>
      </c>
      <c r="BX9" s="101">
        <f>P_A8_L36*P_Segunda*Segunda*Inflación_8</f>
        <v>0</v>
      </c>
      <c r="BY9" s="100" t="e">
        <f t="shared" si="19"/>
        <v>#DIV/0!</v>
      </c>
      <c r="BZ9" s="101">
        <f>P_A8_L37*P_Segunda*Segunda*Inflación_8</f>
        <v>0</v>
      </c>
      <c r="CA9" s="100" t="e">
        <f t="shared" ref="CA9:CC9" si="20">CA7*P_Segunda*Segunda</f>
        <v>#DIV/0!</v>
      </c>
      <c r="CB9" s="101">
        <f>P_A8_L38*P_Segunda*Segunda*Inflación_8</f>
        <v>0</v>
      </c>
      <c r="CC9" s="100" t="e">
        <f t="shared" si="20"/>
        <v>#DIV/0!</v>
      </c>
      <c r="CD9" s="101">
        <f>P_A8_L39*P_Segunda*Segunda*Inflación_8</f>
        <v>0</v>
      </c>
      <c r="CE9" s="100" t="e">
        <f t="shared" ref="CE9:CG9" si="21">CE7*P_Segunda*Segunda</f>
        <v>#DIV/0!</v>
      </c>
      <c r="CF9" s="101">
        <f>P_A8_L40*P_Segunda*Segunda*Inflación_8</f>
        <v>0</v>
      </c>
      <c r="CG9" s="100" t="e">
        <f t="shared" si="21"/>
        <v>#DIV/0!</v>
      </c>
      <c r="CH9" s="473"/>
      <c r="CI9" s="101">
        <f>CI7*P_Segunda*Segunda*Inflación_8</f>
        <v>0</v>
      </c>
      <c r="CJ9" s="101">
        <f>CJ7*P_Segunda*Segunda*Inflación_8</f>
        <v>0</v>
      </c>
      <c r="CK9" s="101">
        <f>CK7*P_Segunda*Segunda*Inflación_8</f>
        <v>0</v>
      </c>
      <c r="CL9" s="101">
        <f>CL7*P_Segunda*Segunda*Inflación_8</f>
        <v>0</v>
      </c>
      <c r="CM9" s="101"/>
      <c r="CN9" s="101">
        <f>CN7*P_Segunda*Segunda*Inflación_8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B7*P_Inferior*Inferior*Inflación_8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P_A8_L1*P_Inferior*Inferior*Inflación_8</f>
        <v>0</v>
      </c>
      <c r="G10" s="100" t="e">
        <f t="shared" ref="G10" si="23">G7*P_Inferior*Inferior</f>
        <v>#DIV/0!</v>
      </c>
      <c r="H10" s="101">
        <f>P_A8_L2*P_Inferior*Inferior*Inflación_8</f>
        <v>0</v>
      </c>
      <c r="I10" s="100" t="e">
        <f>I7*P_Inferior*Inferior</f>
        <v>#DIV/0!</v>
      </c>
      <c r="J10" s="101">
        <f>P_A8_L3*P_Inferior*Inferior*Inflación_8</f>
        <v>0</v>
      </c>
      <c r="K10" s="100" t="e">
        <f t="shared" ref="K10" si="24">K7*P_Inferior*Inferior</f>
        <v>#DIV/0!</v>
      </c>
      <c r="L10" s="101">
        <f>P_A8_L4*P_Inferior*Inferior*Inflación_8</f>
        <v>0</v>
      </c>
      <c r="M10" s="100" t="e">
        <f>M7*P_Inferior*Inferior</f>
        <v>#DIV/0!</v>
      </c>
      <c r="N10" s="101">
        <f>P_A8_L5*P_Inferior*Inferior*Inflación_8</f>
        <v>0</v>
      </c>
      <c r="O10" s="100" t="e">
        <f t="shared" ref="O10:Q10" si="25">O7*P_Inferior*Inferior</f>
        <v>#DIV/0!</v>
      </c>
      <c r="P10" s="101">
        <f>P_A8_L6*P_Inferior*Inferior*Inflación_8</f>
        <v>0</v>
      </c>
      <c r="Q10" s="100" t="e">
        <f t="shared" si="25"/>
        <v>#DIV/0!</v>
      </c>
      <c r="R10" s="101">
        <f>P_A8_L7*P_Inferior*Inferior*Inflación_8</f>
        <v>0</v>
      </c>
      <c r="S10" s="100" t="e">
        <f t="shared" ref="S10:U10" si="26">S7*P_Inferior*Inferior</f>
        <v>#DIV/0!</v>
      </c>
      <c r="T10" s="101">
        <f>P_A8_L8*P_Inferior*Inferior*Inflación_8</f>
        <v>0</v>
      </c>
      <c r="U10" s="100" t="e">
        <f t="shared" si="26"/>
        <v>#DIV/0!</v>
      </c>
      <c r="V10" s="101">
        <f>P_A8_L9*P_Inferior*Inferior*Inflación_8</f>
        <v>0</v>
      </c>
      <c r="W10" s="100" t="e">
        <f t="shared" ref="W10:Y10" si="27">W7*P_Inferior*Inferior</f>
        <v>#DIV/0!</v>
      </c>
      <c r="X10" s="101">
        <f>P_A8_L10*P_Inferior*Inferior*Inflación_8</f>
        <v>0</v>
      </c>
      <c r="Y10" s="100" t="e">
        <f t="shared" si="27"/>
        <v>#DIV/0!</v>
      </c>
      <c r="Z10" s="101">
        <f>P_A8_L11*P_Inferior*Inferior*Inflación_8</f>
        <v>0</v>
      </c>
      <c r="AA10" s="100" t="e">
        <f t="shared" ref="AA10:AC10" si="28">AA7*P_Inferior*Inferior</f>
        <v>#DIV/0!</v>
      </c>
      <c r="AB10" s="101">
        <f>P_A8_L12*P_Inferior*Inferior*Inflación_8</f>
        <v>0</v>
      </c>
      <c r="AC10" s="100" t="e">
        <f t="shared" si="28"/>
        <v>#DIV/0!</v>
      </c>
      <c r="AD10" s="101">
        <f>P_A8_L13*P_Inferior*Inferior*Inflación_8</f>
        <v>0</v>
      </c>
      <c r="AE10" s="100" t="e">
        <f t="shared" ref="AE10:AG10" si="29">AE7*P_Inferior*Inferior</f>
        <v>#DIV/0!</v>
      </c>
      <c r="AF10" s="101">
        <f>P_A8_L14*P_Inferior*Inferior*Inflación_8</f>
        <v>0</v>
      </c>
      <c r="AG10" s="100" t="e">
        <f t="shared" si="29"/>
        <v>#DIV/0!</v>
      </c>
      <c r="AH10" s="101">
        <f>P_A8_L15*P_Inferior*Inferior*Inflación_8</f>
        <v>0</v>
      </c>
      <c r="AI10" s="100" t="e">
        <f t="shared" ref="AI10:AK10" si="30">AI7*P_Inferior*Inferior</f>
        <v>#DIV/0!</v>
      </c>
      <c r="AJ10" s="101">
        <f>P_A8_L16*P_Inferior*Inferior*Inflación_8</f>
        <v>0</v>
      </c>
      <c r="AK10" s="100" t="e">
        <f t="shared" si="30"/>
        <v>#DIV/0!</v>
      </c>
      <c r="AL10" s="101">
        <f>P_A8_L17*P_Inferior*Inferior*Inflación_8</f>
        <v>0</v>
      </c>
      <c r="AM10" s="100" t="e">
        <f t="shared" ref="AM10:AO10" si="31">AM7*P_Inferior*Inferior</f>
        <v>#DIV/0!</v>
      </c>
      <c r="AN10" s="101">
        <f>P_A8_L18*P_Inferior*Inferior*Inflación_8</f>
        <v>0</v>
      </c>
      <c r="AO10" s="100" t="e">
        <f t="shared" si="31"/>
        <v>#DIV/0!</v>
      </c>
      <c r="AP10" s="101">
        <f>P_A8_L19*P_Inferior*Inferior*Inflación_8</f>
        <v>0</v>
      </c>
      <c r="AQ10" s="100" t="e">
        <f t="shared" ref="AQ10:AS10" si="32">AQ7*P_Inferior*Inferior</f>
        <v>#DIV/0!</v>
      </c>
      <c r="AR10" s="101">
        <f>P_A8_L20*P_Inferior*Inferior*Inflación_8</f>
        <v>0</v>
      </c>
      <c r="AS10" s="100" t="e">
        <f t="shared" si="32"/>
        <v>#DIV/0!</v>
      </c>
      <c r="AT10" s="101">
        <f>P_A8_L21*P_Inferior*Inferior*Inflación_8</f>
        <v>0</v>
      </c>
      <c r="AU10" s="100" t="e">
        <f t="shared" ref="AU10:AW10" si="33">AU7*P_Inferior*Inferior</f>
        <v>#DIV/0!</v>
      </c>
      <c r="AV10" s="101">
        <f>P_A8_L22*P_Inferior*Inferior*Inflación_8</f>
        <v>0</v>
      </c>
      <c r="AW10" s="100" t="e">
        <f t="shared" si="33"/>
        <v>#DIV/0!</v>
      </c>
      <c r="AX10" s="101">
        <f>P_A8_L23*P_Inferior*Inferior*Inflación_8</f>
        <v>0</v>
      </c>
      <c r="AY10" s="100" t="e">
        <f t="shared" ref="AY10:BA10" si="34">AY7*P_Inferior*Inferior</f>
        <v>#DIV/0!</v>
      </c>
      <c r="AZ10" s="101">
        <f>P_A8_L24*P_Inferior*Inferior*Inflación_8</f>
        <v>0</v>
      </c>
      <c r="BA10" s="100" t="e">
        <f t="shared" si="34"/>
        <v>#DIV/0!</v>
      </c>
      <c r="BB10" s="101">
        <f>P_A8_L25*P_Inferior*Inferior*Inflación_8</f>
        <v>0</v>
      </c>
      <c r="BC10" s="100" t="e">
        <f t="shared" ref="BC10:BE10" si="35">BC7*P_Inferior*Inferior</f>
        <v>#DIV/0!</v>
      </c>
      <c r="BD10" s="101">
        <f>P_A8_L26*P_Inferior*Inferior*Inflación_8</f>
        <v>0</v>
      </c>
      <c r="BE10" s="100" t="e">
        <f t="shared" si="35"/>
        <v>#DIV/0!</v>
      </c>
      <c r="BF10" s="101">
        <f>P_A8_L27*P_Inferior*Inferior*Inflación_8</f>
        <v>0</v>
      </c>
      <c r="BG10" s="100" t="e">
        <f t="shared" ref="BG10:BI10" si="36">BG7*P_Inferior*Inferior</f>
        <v>#DIV/0!</v>
      </c>
      <c r="BH10" s="101">
        <f>P_A8_L28*P_Inferior*Inferior*Inflación_8</f>
        <v>0</v>
      </c>
      <c r="BI10" s="100" t="e">
        <f t="shared" si="36"/>
        <v>#DIV/0!</v>
      </c>
      <c r="BJ10" s="101">
        <f>P_A8_L29*P_Inferior*Inferior*Inflación_8</f>
        <v>0</v>
      </c>
      <c r="BK10" s="100" t="e">
        <f t="shared" ref="BK10:BM10" si="37">BK7*P_Inferior*Inferior</f>
        <v>#DIV/0!</v>
      </c>
      <c r="BL10" s="101">
        <f>P_A8_L30*P_Inferior*Inferior*Inflación_8</f>
        <v>0</v>
      </c>
      <c r="BM10" s="100" t="e">
        <f t="shared" si="37"/>
        <v>#DIV/0!</v>
      </c>
      <c r="BN10" s="101">
        <f>P_A8_L31*P_Inferior*Inferior*Inflación_8</f>
        <v>0</v>
      </c>
      <c r="BO10" s="100" t="e">
        <f t="shared" ref="BO10:BQ10" si="38">BO7*P_Inferior*Inferior</f>
        <v>#DIV/0!</v>
      </c>
      <c r="BP10" s="101">
        <f>P_A8_L32*P_Inferior*Inferior*Inflación_8</f>
        <v>0</v>
      </c>
      <c r="BQ10" s="100" t="e">
        <f t="shared" si="38"/>
        <v>#DIV/0!</v>
      </c>
      <c r="BR10" s="101">
        <f>P_A8_L33*P_Inferior*Inferior*Inflación_8</f>
        <v>0</v>
      </c>
      <c r="BS10" s="100" t="e">
        <f t="shared" ref="BS10:BU10" si="39">BS7*P_Inferior*Inferior</f>
        <v>#DIV/0!</v>
      </c>
      <c r="BT10" s="101">
        <f>P_A8_L34*P_Inferior*Inferior*Inflación_8</f>
        <v>0</v>
      </c>
      <c r="BU10" s="100" t="e">
        <f t="shared" si="39"/>
        <v>#DIV/0!</v>
      </c>
      <c r="BV10" s="101">
        <f>P_A8_L35*P_Inferior*Inferior*Inflación_8</f>
        <v>0</v>
      </c>
      <c r="BW10" s="100" t="e">
        <f t="shared" ref="BW10:BY10" si="40">BW7*P_Inferior*Inferior</f>
        <v>#DIV/0!</v>
      </c>
      <c r="BX10" s="101">
        <f>P_A8_L36*P_Inferior*Inferior*Inflación_8</f>
        <v>0</v>
      </c>
      <c r="BY10" s="100" t="e">
        <f t="shared" si="40"/>
        <v>#DIV/0!</v>
      </c>
      <c r="BZ10" s="101">
        <f>P_A8_L37*P_Inferior*Inferior*Inflación_8</f>
        <v>0</v>
      </c>
      <c r="CA10" s="100" t="e">
        <f t="shared" ref="CA10:CC10" si="41">CA7*P_Inferior*Inferior</f>
        <v>#DIV/0!</v>
      </c>
      <c r="CB10" s="101">
        <f>P_A8_L38*P_Inferior*Inferior*Inflación_8</f>
        <v>0</v>
      </c>
      <c r="CC10" s="100" t="e">
        <f t="shared" si="41"/>
        <v>#DIV/0!</v>
      </c>
      <c r="CD10" s="101">
        <f>P_A8_L39*P_Inferior*Inferior*Inflación_8</f>
        <v>0</v>
      </c>
      <c r="CE10" s="100" t="e">
        <f t="shared" ref="CE10:CG10" si="42">CE7*P_Inferior*Inferior</f>
        <v>#DIV/0!</v>
      </c>
      <c r="CF10" s="101">
        <f>P_A8_L40*P_Inferior*Inferior*Inflación_8</f>
        <v>0</v>
      </c>
      <c r="CG10" s="100" t="e">
        <f t="shared" si="42"/>
        <v>#DIV/0!</v>
      </c>
      <c r="CH10" s="473"/>
      <c r="CI10" s="101">
        <f>CI7*P_Inferior*Inferior*Inflación_8</f>
        <v>0</v>
      </c>
      <c r="CJ10" s="101">
        <f>CJ7*P_Inferior*Inferior*Inflación_8</f>
        <v>0</v>
      </c>
      <c r="CK10" s="101">
        <f>CK7*P_Inferior*Inferior*Inflación_8</f>
        <v>0</v>
      </c>
      <c r="CL10" s="101">
        <f>CL7*P_Inferior*Inferior*Inflación_8</f>
        <v>0</v>
      </c>
      <c r="CM10" s="101"/>
      <c r="CN10" s="101">
        <f>CN7*P_Inferior*Inferior*Inflación_8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SUMIFS('9'!$E:$E,'9'!$A:$A,Año_Inicial+7,'9'!$D:$D,"Poda")</f>
        <v>0</v>
      </c>
      <c r="D14" s="100">
        <f t="shared" ref="D14:D44" si="45">C14-B14</f>
        <v>0</v>
      </c>
      <c r="E14" s="473"/>
      <c r="F14" s="101">
        <f>((A8_A_L1*Poda_A)+(A8_B_L1*Poda_B)+(A8_C_L1*Poda_C)+(A8_D_L1*Poda_D)+(A8_Y_L1*Poda_Y))*Inflación_8</f>
        <v>0</v>
      </c>
      <c r="G14" s="101">
        <f>SUMIFS('9'!$E:$E,'9'!$A:$A,Año_Inicial+7,'9'!$B:$B,'12'!F$4,'9'!$D:$D,"Poda")</f>
        <v>0</v>
      </c>
      <c r="H14" s="101">
        <f>((A8_A_L2*Poda_A)+(A8_B_L2*Poda_B)+(A8_C_L2*Poda_C)+(A8_D_L2*Poda_D)+(A8_Y_L2*Poda_Y))*Inflación_8</f>
        <v>0</v>
      </c>
      <c r="I14" s="101">
        <f>SUMIFS('9'!$E:$E,'9'!$A:$A,Año_Inicial+7,'9'!$B:$B,'12'!H$4,'9'!$D:$D,"Poda")</f>
        <v>0</v>
      </c>
      <c r="J14" s="101">
        <f>((A8_A_L3*Poda_A)+(A8_B_L3*Poda_B)+(A8_C_L3*Poda_C)+(A8_D_L3*Poda_D)+(A8_Y_L3*Poda_Y))*Inflación_8</f>
        <v>0</v>
      </c>
      <c r="K14" s="101">
        <f>SUMIFS('9'!$E:$E,'9'!$A:$A,Año_Inicial+7,'9'!$B:$B,'12'!J$4,'9'!$D:$D,"Poda")</f>
        <v>0</v>
      </c>
      <c r="L14" s="101">
        <f>((A8_A_L4*Poda_A)+(A8_B_L4*Poda_B)+(A8_C_L4*Poda_C)+(A8_D_L4*Poda_D)+(A8_Y_L4*Poda_Y))*Inflación_8</f>
        <v>0</v>
      </c>
      <c r="M14" s="101">
        <f>SUMIFS('9'!$E:$E,'9'!$A:$A,Año_Inicial+7,'9'!$B:$B,'12'!L$4,'9'!$D:$D,"Poda")</f>
        <v>0</v>
      </c>
      <c r="N14" s="101">
        <f>((A8_A_L5*Poda_A)+(A8_B_L5*Poda_B)+(A8_C_L5*Poda_C)+(A8_D_L5*Poda_D)+(A8_Y_L5*Poda_Y))*Inflación_8</f>
        <v>0</v>
      </c>
      <c r="O14" s="101">
        <f>SUMIFS('9'!$E:$E,'9'!$A:$A,Año_Inicial+7,'9'!$B:$B,'12'!N$4,'9'!$D:$D,"Poda")</f>
        <v>0</v>
      </c>
      <c r="P14" s="101">
        <f>((A8_A_L6*Poda_A)+(A8_B_L6*Poda_B)+(A8_C_L6*Poda_C)+(A8_D_L6*Poda_D)+(A8_Y_L6*Poda_Y))*Inflación_8</f>
        <v>0</v>
      </c>
      <c r="Q14" s="101">
        <f>SUMIFS('9'!$E:$E,'9'!$A:$A,Año_Inicial+7,'9'!$B:$B,'12'!P$4,'9'!$D:$D,"Poda")</f>
        <v>0</v>
      </c>
      <c r="R14" s="101">
        <f>((A8_A_L7*Poda_A)+(A8_B_L7*Poda_B)+(A8_C_L7*Poda_C)+(A8_D_L7*Poda_D)+(A8_Y_L7*Poda_Y))*Inflación_8</f>
        <v>0</v>
      </c>
      <c r="S14" s="101">
        <f>SUMIFS('9'!$E:$E,'9'!$A:$A,Año_Inicial+7,'9'!$B:$B,'12'!R$4,'9'!$D:$D,"Poda")</f>
        <v>0</v>
      </c>
      <c r="T14" s="101">
        <f>((A8_A_L8*Poda_A)+(A8_B_L8*Poda_B)+(A8_C_L8*Poda_C)+(A8_D_L8*Poda_D)+(A8_Y_L8*Poda_Y))*Inflación_8</f>
        <v>0</v>
      </c>
      <c r="U14" s="101">
        <f>SUMIFS('9'!$E:$E,'9'!$A:$A,Año_Inicial+7,'9'!$B:$B,'12'!T$4,'9'!$D:$D,"Poda")</f>
        <v>0</v>
      </c>
      <c r="V14" s="101">
        <f>((A8_A_L9*Poda_A)+(A8_B_L9*Poda_B)+(A8_C_L9*Poda_C)+(A8_D_L9*Poda_D)+(A8_Y_L9*Poda_Y))*Inflación_8</f>
        <v>0</v>
      </c>
      <c r="W14" s="101">
        <f>SUMIFS('9'!$E:$E,'9'!$A:$A,Año_Inicial+7,'9'!$B:$B,'12'!V$4,'9'!$D:$D,"Poda")</f>
        <v>0</v>
      </c>
      <c r="X14" s="101">
        <f>((A8_A_L10*Poda_A)+(A8_B_L10*Poda_B)+(A8_C_L10*Poda_C)+(A8_D_L10*Poda_D)+(A8_Y_L10*Poda_Y))*Inflación_8</f>
        <v>0</v>
      </c>
      <c r="Y14" s="101">
        <f>SUMIFS('9'!$E:$E,'9'!$A:$A,Año_Inicial+7,'9'!$B:$B,'12'!X$4,'9'!$D:$D,"Poda")</f>
        <v>0</v>
      </c>
      <c r="Z14" s="101">
        <f>((A8_A_L11*Poda_A)+(A8_B_L11*Poda_B)+(A8_C_L11*Poda_C)+(A8_D_L11*Poda_D)+(A8_Y_L11*Poda_Y))*Inflación_8</f>
        <v>0</v>
      </c>
      <c r="AA14" s="101">
        <f>SUMIFS('9'!$E:$E,'9'!$A:$A,Año_Inicial+7,'9'!$B:$B,'12'!Z$4,'9'!$D:$D,"Poda")</f>
        <v>0</v>
      </c>
      <c r="AB14" s="101">
        <f>((A8_A_L12*Poda_A)+(A8_B_L12*Poda_B)+(A8_C_L12*Poda_C)+(A8_D_L12*Poda_D)+(A8_Y_L12*Poda_Y))*Inflación_8</f>
        <v>0</v>
      </c>
      <c r="AC14" s="101">
        <f>SUMIFS('9'!$E:$E,'9'!$A:$A,Año_Inicial+7,'9'!$B:$B,'12'!AB$4,'9'!$D:$D,"Poda")</f>
        <v>0</v>
      </c>
      <c r="AD14" s="101">
        <f>((A8_A_L13*Poda_A)+(A8_B_L13*Poda_B)+(A8_C_L13*Poda_C)+(A8_D_L13*Poda_D)+(A8_Y_L13*Poda_Y))*Inflación_8</f>
        <v>0</v>
      </c>
      <c r="AE14" s="101">
        <f>SUMIFS('9'!$E:$E,'9'!$A:$A,Año_Inicial+7,'9'!$B:$B,'12'!AD$4,'9'!$D:$D,"Poda")</f>
        <v>0</v>
      </c>
      <c r="AF14" s="101">
        <f>((A8_A_L14*Poda_A)+(A8_B_L14*Poda_B)+(A8_C_L14*Poda_C)+(A8_D_L14*Poda_D)+(A8_Y_L14*Poda_Y))*Inflación_8</f>
        <v>0</v>
      </c>
      <c r="AG14" s="101">
        <f>SUMIFS('9'!$E:$E,'9'!$A:$A,Año_Inicial+7,'9'!$B:$B,'12'!AF$4,'9'!$D:$D,"Poda")</f>
        <v>0</v>
      </c>
      <c r="AH14" s="101">
        <f>((A8_A_L15*Poda_A)+(A8_B_L15*Poda_B)+(A8_C_L15*Poda_C)+(A8_D_L15*Poda_D)+(A8_Y_L15*Poda_Y))*Inflación_8</f>
        <v>0</v>
      </c>
      <c r="AI14" s="101">
        <f>SUMIFS('9'!$E:$E,'9'!$A:$A,Año_Inicial+7,'9'!$B:$B,'12'!AH$4,'9'!$D:$D,"Poda")</f>
        <v>0</v>
      </c>
      <c r="AJ14" s="101">
        <f>((A8_A_L16*Poda_A)+(A8_B_L16*Poda_B)+(A8_C_L16*Poda_C)+(A8_D_L16*Poda_D)+(A8_Y_L16*Poda_Y))*Inflación_8</f>
        <v>0</v>
      </c>
      <c r="AK14" s="101">
        <f>SUMIFS('9'!$E:$E,'9'!$A:$A,Año_Inicial+7,'9'!$B:$B,'12'!AJ$4,'9'!$D:$D,"Poda")</f>
        <v>0</v>
      </c>
      <c r="AL14" s="101">
        <f>((A8_A_L17*Poda_A)+(A8_B_L17*Poda_B)+(A8_C_L17*Poda_C)+(A8_D_L17*Poda_D)+(A8_Y_L17*Poda_Y))*Inflación_8</f>
        <v>0</v>
      </c>
      <c r="AM14" s="101">
        <f>SUMIFS('9'!$E:$E,'9'!$A:$A,Año_Inicial+7,'9'!$B:$B,'12'!AL$4,'9'!$D:$D,"Poda")</f>
        <v>0</v>
      </c>
      <c r="AN14" s="101">
        <f>((A8_A_L18*Poda_A)+(A8_B_L18*Poda_B)+(A8_C_L18*Poda_C)+(A8_D_L18*Poda_D)+(A8_Y_L18*Poda_Y))*Inflación_8</f>
        <v>0</v>
      </c>
      <c r="AO14" s="101">
        <f>SUMIFS('9'!$E:$E,'9'!$A:$A,Año_Inicial+7,'9'!$B:$B,'12'!AN$4,'9'!$D:$D,"Poda")</f>
        <v>0</v>
      </c>
      <c r="AP14" s="101">
        <f>((A8_A_L19*Poda_A)+(A8_B_L19*Poda_B)+(A8_C_L19*Poda_C)+(A8_D_L19*Poda_D)+(A8_Y_L19*Poda_Y))*Inflación_8</f>
        <v>0</v>
      </c>
      <c r="AQ14" s="101">
        <f>SUMIFS('9'!$E:$E,'9'!$A:$A,Año_Inicial+7,'9'!$B:$B,'12'!AP$4,'9'!$D:$D,"Poda")</f>
        <v>0</v>
      </c>
      <c r="AR14" s="101">
        <f>((A8_A_L20*Poda_A)+(A8_B_L20*Poda_B)+(A8_C_L20*Poda_C)+(A8_D_L20*Poda_D)+(A8_Y_L20*Poda_Y))*Inflación_8</f>
        <v>0</v>
      </c>
      <c r="AS14" s="101">
        <f>SUMIFS('9'!$E:$E,'9'!$A:$A,Año_Inicial+7,'9'!$B:$B,'12'!AR$4,'9'!$D:$D,"Poda")</f>
        <v>0</v>
      </c>
      <c r="AT14" s="101">
        <f>((A8_A_L21*Poda_A)+(A8_B_L21*Poda_B)+(A8_C_L21*Poda_C)+(A8_D_L21*Poda_D)+(A8_Y_L21*Poda_Y))*Inflación_8</f>
        <v>0</v>
      </c>
      <c r="AU14" s="101">
        <f>SUMIFS('9'!$E:$E,'9'!$A:$A,Año_Inicial+7,'9'!$B:$B,'12'!AT$4,'9'!$D:$D,"Poda")</f>
        <v>0</v>
      </c>
      <c r="AV14" s="101">
        <f>((A8_A_L22*Poda_A)+(A8_B_L22*Poda_B)+(A8_C_L22*Poda_C)+(A8_D_L22*Poda_D)+(A8_Y_L22*Poda_Y))*Inflación_8</f>
        <v>0</v>
      </c>
      <c r="AW14" s="101">
        <f>SUMIFS('9'!$E:$E,'9'!$A:$A,Año_Inicial+7,'9'!$B:$B,'12'!AV$4,'9'!$D:$D,"Poda")</f>
        <v>0</v>
      </c>
      <c r="AX14" s="101">
        <f>((A8_A_L23*Poda_A)+(A8_B_L23*Poda_B)+(A8_C_L23*Poda_C)+(A8_D_L23*Poda_D)+(A8_Y_L23*Poda_Y))*Inflación_8</f>
        <v>0</v>
      </c>
      <c r="AY14" s="101">
        <f>SUMIFS('9'!$E:$E,'9'!$A:$A,Año_Inicial+7,'9'!$B:$B,'12'!AX$4,'9'!$D:$D,"Poda")</f>
        <v>0</v>
      </c>
      <c r="AZ14" s="101">
        <f>((A8_A_L24*Poda_A)+(A8_B_L24*Poda_B)+(A8_C_L24*Poda_C)+(A8_D_L24*Poda_D)+(A8_Y_L24*Poda_Y))*Inflación_8</f>
        <v>0</v>
      </c>
      <c r="BA14" s="101">
        <f>SUMIFS('9'!$E:$E,'9'!$A:$A,Año_Inicial+7,'9'!$B:$B,'12'!AZ$4,'9'!$D:$D,"Poda")</f>
        <v>0</v>
      </c>
      <c r="BB14" s="101">
        <f>((A8_A_L25*Poda_A)+(A8_B_L25*Poda_B)+(A8_C_L25*Poda_C)+(A8_D_L25*Poda_D)+(A8_Y_L25*Poda_Y))*Inflación_8</f>
        <v>0</v>
      </c>
      <c r="BC14" s="101">
        <f>SUMIFS('9'!$E:$E,'9'!$A:$A,Año_Inicial+7,'9'!$B:$B,'12'!BB$4,'9'!$D:$D,"Poda")</f>
        <v>0</v>
      </c>
      <c r="BD14" s="101">
        <f>((A8_A_L26*Poda_A)+(A8_B_L26*Poda_B)+(A8_C_L26*Poda_C)+(A8_D_L26*Poda_D)+(A8_Y_L26*Poda_Y))*Inflación_8</f>
        <v>0</v>
      </c>
      <c r="BE14" s="101">
        <f>SUMIFS('9'!$E:$E,'9'!$A:$A,Año_Inicial+7,'9'!$B:$B,'12'!BD$4,'9'!$D:$D,"Poda")</f>
        <v>0</v>
      </c>
      <c r="BF14" s="101">
        <f>((A8_A_L27*Poda_A)+(A8_B_L27*Poda_B)+(A8_C_L27*Poda_C)+(A8_D_L27*Poda_D)+(A8_Y_L27*Poda_Y))*Inflación_8</f>
        <v>0</v>
      </c>
      <c r="BG14" s="101">
        <f>SUMIFS('9'!$E:$E,'9'!$A:$A,Año_Inicial+7,'9'!$B:$B,'12'!BF$4,'9'!$D:$D,"Poda")</f>
        <v>0</v>
      </c>
      <c r="BH14" s="101">
        <f>((A8_A_L28*Poda_A)+(A8_B_L28*Poda_B)+(A8_C_L28*Poda_C)+(A8_D_L28*Poda_D)+(A8_Y_L28*Poda_Y))*Inflación_8</f>
        <v>0</v>
      </c>
      <c r="BI14" s="101">
        <f>SUMIFS('9'!$E:$E,'9'!$A:$A,Año_Inicial+7,'9'!$B:$B,'12'!BH$4,'9'!$D:$D,"Poda")</f>
        <v>0</v>
      </c>
      <c r="BJ14" s="101">
        <f>((A8_A_L29*Poda_A)+(A8_B_L29*Poda_B)+(A8_C_L29*Poda_C)+(A8_D_L29*Poda_D)+(A8_Y_L29*Poda_Y))*Inflación_8</f>
        <v>0</v>
      </c>
      <c r="BK14" s="101">
        <f>SUMIFS('9'!$E:$E,'9'!$A:$A,Año_Inicial+7,'9'!$B:$B,'12'!BJ$4,'9'!$D:$D,"Poda")</f>
        <v>0</v>
      </c>
      <c r="BL14" s="101">
        <f>((A8_A_L30*Poda_A)+(A8_B_L30*Poda_B)+(A8_C_L30*Poda_C)+(A8_D_L30*Poda_D)+(A8_Y_L30*Poda_Y))*Inflación_8</f>
        <v>0</v>
      </c>
      <c r="BM14" s="101">
        <f>SUMIFS('9'!$E:$E,'9'!$A:$A,Año_Inicial+7,'9'!$B:$B,'12'!BL$4,'9'!$D:$D,"Poda")</f>
        <v>0</v>
      </c>
      <c r="BN14" s="101">
        <f>((A8_A_L31*Poda_A)+(A8_B_L31*Poda_B)+(A8_C_L31*Poda_C)+(A8_D_L31*Poda_D)+(A8_Y_L31*Poda_Y))*Inflación_8</f>
        <v>0</v>
      </c>
      <c r="BO14" s="101">
        <f>SUMIFS('9'!$E:$E,'9'!$A:$A,Año_Inicial+7,'9'!$B:$B,'12'!BN$4,'9'!$D:$D,"Poda")</f>
        <v>0</v>
      </c>
      <c r="BP14" s="101">
        <f>((A8_A_L32*Poda_A)+(A8_B_L32*Poda_B)+(A8_C_L32*Poda_C)+(A8_D_L32*Poda_D)+(A8_Y_L32*Poda_Y))*Inflación_8</f>
        <v>0</v>
      </c>
      <c r="BQ14" s="101">
        <f>SUMIFS('9'!$E:$E,'9'!$A:$A,Año_Inicial+7,'9'!$B:$B,'12'!BP$4,'9'!$D:$D,"Poda")</f>
        <v>0</v>
      </c>
      <c r="BR14" s="101">
        <f>((A8_A_L33*Poda_A)+(A8_B_L33*Poda_B)+(A8_C_L33*Poda_C)+(A8_D_L33*Poda_D)+(A8_Y_L33*Poda_Y))*Inflación_8</f>
        <v>0</v>
      </c>
      <c r="BS14" s="101">
        <f>SUMIFS('9'!$E:$E,'9'!$A:$A,Año_Inicial+7,'9'!$B:$B,'12'!BR$4,'9'!$D:$D,"Poda")</f>
        <v>0</v>
      </c>
      <c r="BT14" s="101">
        <f>((A8_A_L34*Poda_A)+(A8_B_L34*Poda_B)+(A8_C_L34*Poda_C)+(A8_D_L34*Poda_D)+(A8_Y_L34*Poda_Y))*Inflación_8</f>
        <v>0</v>
      </c>
      <c r="BU14" s="101">
        <f>SUMIFS('9'!$E:$E,'9'!$A:$A,Año_Inicial+7,'9'!$B:$B,'12'!BT$4,'9'!$D:$D,"Poda")</f>
        <v>0</v>
      </c>
      <c r="BV14" s="101">
        <f>((A8_A_L35*Poda_A)+(A8_B_L35*Poda_B)+(A8_C_L35*Poda_C)+(A8_D_L35*Poda_D)+(A8_Y_L35*Poda_Y))*Inflación_8</f>
        <v>0</v>
      </c>
      <c r="BW14" s="101">
        <f>SUMIFS('9'!$E:$E,'9'!$A:$A,Año_Inicial+7,'9'!$B:$B,'12'!BV$4,'9'!$D:$D,"Poda")</f>
        <v>0</v>
      </c>
      <c r="BX14" s="101">
        <f>((A8_A_L36*Poda_A)+(A8_B_L36*Poda_B)+(A8_C_L36*Poda_C)+(A8_D_L36*Poda_D)+(A8_Y_L36*Poda_Y))*Inflación_8</f>
        <v>0</v>
      </c>
      <c r="BY14" s="101">
        <f>SUMIFS('9'!$E:$E,'9'!$A:$A,Año_Inicial+7,'9'!$B:$B,'12'!BX$4,'9'!$D:$D,"Poda")</f>
        <v>0</v>
      </c>
      <c r="BZ14" s="101">
        <f>((A8_A_L37*Poda_A)+(A8_B_L37*Poda_B)+(A8_C_L37*Poda_C)+(A8_D_L37*Poda_D)+(A8_Y_L37*Poda_Y))*Inflación_8</f>
        <v>0</v>
      </c>
      <c r="CA14" s="101">
        <f>SUMIFS('9'!$E:$E,'9'!$A:$A,Año_Inicial+7,'9'!$B:$B,'12'!BZ$4,'9'!$D:$D,"Poda")</f>
        <v>0</v>
      </c>
      <c r="CB14" s="101">
        <f>((A8_A_L38*Poda_A)+(A8_B_L38*Poda_B)+(A8_C_L38*Poda_C)+(A8_D_L38*Poda_D)+(A8_Y_L38*Poda_Y))*Inflación_8</f>
        <v>0</v>
      </c>
      <c r="CC14" s="101">
        <f>SUMIFS('9'!$E:$E,'9'!$A:$A,Año_Inicial+7,'9'!$B:$B,'12'!CB$4,'9'!$D:$D,"Poda")</f>
        <v>0</v>
      </c>
      <c r="CD14" s="101">
        <f>((A8_A_L39*Poda_A)+(A8_B_L39*Poda_B)+(A8_C_L39*Poda_C)+(A8_D_L39*Poda_D)+(A8_Y_L39*Poda_Y))*Inflación_8</f>
        <v>0</v>
      </c>
      <c r="CE14" s="101">
        <f>SUMIFS('9'!$E:$E,'9'!$A:$A,Año_Inicial+7,'9'!$B:$B,'12'!CD$4,'9'!$D:$D,"Poda")</f>
        <v>0</v>
      </c>
      <c r="CF14" s="101">
        <f>((A8_A_L40*Poda_A)+(A8_B_L40*Poda_B)+(A8_C_L40*Poda_C)+(A8_D_L40*Poda_D)+(A8_Y_L40*Poda_Y))*Inflación_8</f>
        <v>0</v>
      </c>
      <c r="CG14" s="101">
        <f>SUMIFS('9'!$E:$E,'9'!$A:$A,Año_Inicial+7,'9'!$B:$B,'12'!CF$4,'9'!$D:$D,"Poda")</f>
        <v>0</v>
      </c>
      <c r="CH14" s="473"/>
      <c r="CI14" s="101">
        <f>Plantas_A_A8*Poda_A*Inflación_8</f>
        <v>0</v>
      </c>
      <c r="CJ14" s="101">
        <f>Plantas_B_A8*Poda_B</f>
        <v>0</v>
      </c>
      <c r="CK14" s="101">
        <f>Plantas_C_A8*Poda_C</f>
        <v>0</v>
      </c>
      <c r="CL14" s="101">
        <f>Plantas_D_A8*Poda_D</f>
        <v>0</v>
      </c>
      <c r="CM14" s="101"/>
      <c r="CN14" s="101">
        <f>Plantas_Y_A8*Poda_Y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SUMIFS('9'!$E:$E,'9'!$A:$A,Año_Inicial+7,'9'!$D:$D,"Deshije")</f>
        <v>0</v>
      </c>
      <c r="D15" s="100">
        <f t="shared" si="45"/>
        <v>0</v>
      </c>
      <c r="E15" s="473"/>
      <c r="F15" s="101">
        <f>((A8_A_L1*Deshije_A)+(A8_B_L1*Deshije_B)+(A8_C_L1*Deshije_C)+(A8_D_L1*Deshije_D)+(A8_Y_L1*Deshije_Y))*Inflación_8</f>
        <v>0</v>
      </c>
      <c r="G15" s="101">
        <f>SUMIFS('9'!$E:$E,'9'!$A:$A,Año_Inicial+7,'9'!$B:$B,'12'!F$4,'9'!$D:$D,"Deshije")</f>
        <v>0</v>
      </c>
      <c r="H15" s="101">
        <f>((A8_A_L2*Deshije_A)+(A8_B_L2*Deshije_B)+(A8_C_L2*Deshije_C)+(A8_D_L2*Deshije_D)+(A8_Y_L2*Deshije_Y))*Inflación_8</f>
        <v>0</v>
      </c>
      <c r="I15" s="101">
        <f>SUMIFS('9'!$E:$E,'9'!$A:$A,Año_Inicial+7,'9'!$B:$B,'12'!H$4,'9'!$D:$D,"Deshije")</f>
        <v>0</v>
      </c>
      <c r="J15" s="101">
        <f>((A8_A_L3*Deshije_A)+(A8_B_L3*Deshije_B)+(A8_C_L3*Deshije_C)+(A8_D_L3*Deshije_D)+(A8_Y_L3*Deshije_Y))*Inflación_8</f>
        <v>0</v>
      </c>
      <c r="K15" s="101">
        <f>SUMIFS('9'!$E:$E,'9'!$A:$A,Año_Inicial+7,'9'!$B:$B,'12'!J$4,'9'!$D:$D,"Deshije")</f>
        <v>0</v>
      </c>
      <c r="L15" s="101">
        <f>((A8_A_L4*Deshije_A)+(A8_B_L4*Deshije_B)+(A8_C_L4*Deshije_C)+(A8_D_L4*Deshije_D)+(A8_Y_L4*Deshije_Y))*Inflación_8</f>
        <v>0</v>
      </c>
      <c r="M15" s="101">
        <f>SUMIFS('9'!$E:$E,'9'!$A:$A,Año_Inicial+7,'9'!$B:$B,'12'!L$4,'9'!$D:$D,"Deshije")</f>
        <v>0</v>
      </c>
      <c r="N15" s="101">
        <f>((A8_A_L5*Deshije_A)+(A8_B_L5*Deshije_B)+(A8_C_L5*Deshije_C)+(A8_D_L5*Deshije_D)+(A8_Y_L5*Deshije_Y))*Inflación_8</f>
        <v>0</v>
      </c>
      <c r="O15" s="101">
        <f>SUMIFS('9'!$E:$E,'9'!$A:$A,Año_Inicial+7,'9'!$B:$B,'12'!N$4,'9'!$D:$D,"Deshije")</f>
        <v>0</v>
      </c>
      <c r="P15" s="101">
        <f>((A8_A_L6*Deshije_A)+(A8_B_L6*Deshije_B)+(A8_C_L6*Deshije_C)+(A8_D_L6*Deshije_D)+(A8_Y_L6*Deshije_Y))*Inflación_8</f>
        <v>0</v>
      </c>
      <c r="Q15" s="101">
        <f>SUMIFS('9'!$E:$E,'9'!$A:$A,Año_Inicial+7,'9'!$B:$B,'12'!P$4,'9'!$D:$D,"Deshije")</f>
        <v>0</v>
      </c>
      <c r="R15" s="101">
        <f>((A8_A_L7*Deshije_A)+(A8_B_L7*Deshije_B)+(A8_C_L7*Deshije_C)+(A8_D_L7*Deshije_D)+(A8_Y_L7*Deshije_Y))*Inflación_8</f>
        <v>0</v>
      </c>
      <c r="S15" s="101">
        <f>SUMIFS('9'!$E:$E,'9'!$A:$A,Año_Inicial+7,'9'!$B:$B,'12'!R$4,'9'!$D:$D,"Deshije")</f>
        <v>0</v>
      </c>
      <c r="T15" s="101">
        <f>((A8_A_L8*Deshije_A)+(A8_B_L8*Deshije_B)+(A8_C_L8*Deshije_C)+(A8_D_L8*Deshije_D)+(A8_Y_L8*Deshije_Y))*Inflación_8</f>
        <v>0</v>
      </c>
      <c r="U15" s="101">
        <f>SUMIFS('9'!$E:$E,'9'!$A:$A,Año_Inicial+7,'9'!$B:$B,'12'!T$4,'9'!$D:$D,"Deshije")</f>
        <v>0</v>
      </c>
      <c r="V15" s="101">
        <f>((A8_A_L9*Deshije_A)+(A8_B_L9*Deshije_B)+(A8_C_L9*Deshije_C)+(A8_D_L9*Deshije_D)+(A8_Y_L9*Deshije_Y))*Inflación_8</f>
        <v>0</v>
      </c>
      <c r="W15" s="101">
        <f>SUMIFS('9'!$E:$E,'9'!$A:$A,Año_Inicial+7,'9'!$B:$B,'12'!V$4,'9'!$D:$D,"Deshije")</f>
        <v>0</v>
      </c>
      <c r="X15" s="101">
        <f>((A8_A_L10*Deshije_A)+(A8_B_L10*Deshije_B)+(A8_C_L10*Deshije_C)+(A8_D_L10*Deshije_D)+(A8_Y_L10*Deshije_Y))*Inflación_8</f>
        <v>0</v>
      </c>
      <c r="Y15" s="101">
        <f>SUMIFS('9'!$E:$E,'9'!$A:$A,Año_Inicial+7,'9'!$B:$B,'12'!X$4,'9'!$D:$D,"Deshije")</f>
        <v>0</v>
      </c>
      <c r="Z15" s="101">
        <f>((A8_A_L11*Deshije_A)+(A8_B_L11*Deshije_B)+(A8_C_L11*Deshije_C)+(A8_D_L11*Deshije_D)+(A8_Y_L11*Deshije_Y))*Inflación_8</f>
        <v>0</v>
      </c>
      <c r="AA15" s="101">
        <f>SUMIFS('9'!$E:$E,'9'!$A:$A,Año_Inicial+7,'9'!$B:$B,'12'!Z$4,'9'!$D:$D,"Deshije")</f>
        <v>0</v>
      </c>
      <c r="AB15" s="101">
        <f>((A8_A_L12*Deshije_A)+(A8_B_L12*Deshije_B)+(A8_C_L12*Deshije_C)+(A8_D_L12*Deshije_D)+(A8_Y_L12*Deshije_Y))*Inflación_8</f>
        <v>0</v>
      </c>
      <c r="AC15" s="101">
        <f>SUMIFS('9'!$E:$E,'9'!$A:$A,Año_Inicial+7,'9'!$B:$B,'12'!AB$4,'9'!$D:$D,"Deshije")</f>
        <v>0</v>
      </c>
      <c r="AD15" s="101">
        <f>((A8_A_L13*Deshije_A)+(A8_B_L13*Deshije_B)+(A8_C_L13*Deshije_C)+(A8_D_L13*Deshije_D)+(A8_Y_L13*Deshije_Y))*Inflación_8</f>
        <v>0</v>
      </c>
      <c r="AE15" s="101">
        <f>SUMIFS('9'!$E:$E,'9'!$A:$A,Año_Inicial+7,'9'!$B:$B,'12'!AD$4,'9'!$D:$D,"Deshije")</f>
        <v>0</v>
      </c>
      <c r="AF15" s="101">
        <f>((A8_A_L14*Deshije_A)+(A8_B_L14*Deshije_B)+(A8_C_L14*Deshije_C)+(A8_D_L14*Deshije_D)+(A8_Y_L14*Deshije_Y))*Inflación_8</f>
        <v>0</v>
      </c>
      <c r="AG15" s="101">
        <f>SUMIFS('9'!$E:$E,'9'!$A:$A,Año_Inicial+7,'9'!$B:$B,'12'!AF$4,'9'!$D:$D,"Deshije")</f>
        <v>0</v>
      </c>
      <c r="AH15" s="101">
        <f>((A8_A_L15*Deshije_A)+(A8_B_L15*Deshije_B)+(A8_C_L15*Deshije_C)+(A8_D_L15*Deshije_D)+(A8_Y_L15*Deshije_Y))*Inflación_8</f>
        <v>0</v>
      </c>
      <c r="AI15" s="101">
        <f>SUMIFS('9'!$E:$E,'9'!$A:$A,Año_Inicial+7,'9'!$B:$B,'12'!AH$4,'9'!$D:$D,"Deshije")</f>
        <v>0</v>
      </c>
      <c r="AJ15" s="101">
        <f>((A8_A_L16*Deshije_A)+(A8_B_L16*Deshije_B)+(A8_C_L16*Deshije_C)+(A8_D_L16*Deshije_D)+(A8_Y_L16*Deshije_Y))*Inflación_8</f>
        <v>0</v>
      </c>
      <c r="AK15" s="101">
        <f>SUMIFS('9'!$E:$E,'9'!$A:$A,Año_Inicial+7,'9'!$B:$B,'12'!AJ$4,'9'!$D:$D,"Deshije")</f>
        <v>0</v>
      </c>
      <c r="AL15" s="101">
        <f>((A8_A_L17*Deshije_A)+(A8_B_L17*Deshije_B)+(A8_C_L17*Deshije_C)+(A8_D_L17*Deshije_D)+(A8_Y_L17*Deshije_Y))*Inflación_8</f>
        <v>0</v>
      </c>
      <c r="AM15" s="101">
        <f>SUMIFS('9'!$E:$E,'9'!$A:$A,Año_Inicial+7,'9'!$B:$B,'12'!AL$4,'9'!$D:$D,"Deshije")</f>
        <v>0</v>
      </c>
      <c r="AN15" s="101">
        <f>((A8_A_L18*Deshije_A)+(A8_B_L18*Deshije_B)+(A8_C_L18*Deshije_C)+(A8_D_L18*Deshije_D)+(A8_Y_L18*Deshije_Y))*Inflación_8</f>
        <v>0</v>
      </c>
      <c r="AO15" s="101">
        <f>SUMIFS('9'!$E:$E,'9'!$A:$A,Año_Inicial+7,'9'!$B:$B,'12'!AN$4,'9'!$D:$D,"Deshije")</f>
        <v>0</v>
      </c>
      <c r="AP15" s="101">
        <f>((A8_A_L19*Deshije_A)+(A8_B_L19*Deshije_B)+(A8_C_L19*Deshije_C)+(A8_D_L19*Deshije_D)+(A8_Y_L19*Deshije_Y))*Inflación_8</f>
        <v>0</v>
      </c>
      <c r="AQ15" s="101">
        <f>SUMIFS('9'!$E:$E,'9'!$A:$A,Año_Inicial+7,'9'!$B:$B,'12'!AP$4,'9'!$D:$D,"Deshije")</f>
        <v>0</v>
      </c>
      <c r="AR15" s="101">
        <f>((A8_A_L20*Deshije_A)+(A8_B_L20*Deshije_B)+(A8_C_L20*Deshije_C)+(A8_D_L20*Deshije_D)+(A8_Y_L20*Deshije_Y))*Inflación_8</f>
        <v>0</v>
      </c>
      <c r="AS15" s="101">
        <f>SUMIFS('9'!$E:$E,'9'!$A:$A,Año_Inicial+7,'9'!$B:$B,'12'!AR$4,'9'!$D:$D,"Deshije")</f>
        <v>0</v>
      </c>
      <c r="AT15" s="101">
        <f>((A8_A_L21*Deshije_A)+(A8_B_L21*Deshije_B)+(A8_C_L21*Deshije_C)+(A8_D_L21*Deshije_D)+(A8_Y_L21*Deshije_Y))*Inflación_8</f>
        <v>0</v>
      </c>
      <c r="AU15" s="101">
        <f>SUMIFS('9'!$E:$E,'9'!$A:$A,Año_Inicial+7,'9'!$B:$B,'12'!AT$4,'9'!$D:$D,"Deshije")</f>
        <v>0</v>
      </c>
      <c r="AV15" s="101">
        <f>((A8_A_L22*Deshije_A)+(A8_B_L22*Deshije_B)+(A8_C_L22*Deshije_C)+(A8_D_L22*Deshije_D)+(A8_Y_L22*Deshije_Y))*Inflación_8</f>
        <v>0</v>
      </c>
      <c r="AW15" s="101">
        <f>SUMIFS('9'!$E:$E,'9'!$A:$A,Año_Inicial+7,'9'!$B:$B,'12'!AV$4,'9'!$D:$D,"Deshije")</f>
        <v>0</v>
      </c>
      <c r="AX15" s="101">
        <f>((A8_A_L23*Deshije_A)+(A8_B_L23*Deshije_B)+(A8_C_L23*Deshije_C)+(A8_D_L23*Deshije_D)+(A8_Y_L23*Deshije_Y))*Inflación_8</f>
        <v>0</v>
      </c>
      <c r="AY15" s="101">
        <f>SUMIFS('9'!$E:$E,'9'!$A:$A,Año_Inicial+7,'9'!$B:$B,'12'!AX$4,'9'!$D:$D,"Deshije")</f>
        <v>0</v>
      </c>
      <c r="AZ15" s="101">
        <f>((A8_A_L24*Deshije_A)+(A8_B_L24*Deshije_B)+(A8_C_L24*Deshije_C)+(A8_D_L24*Deshije_D)+(A8_Y_L24*Deshije_Y))*Inflación_8</f>
        <v>0</v>
      </c>
      <c r="BA15" s="101">
        <f>SUMIFS('9'!$E:$E,'9'!$A:$A,Año_Inicial+7,'9'!$B:$B,'12'!AZ$4,'9'!$D:$D,"Deshije")</f>
        <v>0</v>
      </c>
      <c r="BB15" s="101">
        <f>((A8_A_L25*Deshije_A)+(A8_B_L25*Deshije_B)+(A8_C_L25*Deshije_C)+(A8_D_L25*Deshije_D)+(A8_Y_L25*Deshije_Y))*Inflación_8</f>
        <v>0</v>
      </c>
      <c r="BC15" s="101">
        <f>SUMIFS('9'!$E:$E,'9'!$A:$A,Año_Inicial+7,'9'!$B:$B,'12'!BB$4,'9'!$D:$D,"Deshije")</f>
        <v>0</v>
      </c>
      <c r="BD15" s="101">
        <f>((A8_A_L26*Deshije_A)+(A8_B_L26*Deshije_B)+(A8_C_L26*Deshije_C)+(A8_D_L26*Deshije_D)+(A8_Y_L26*Deshije_Y))*Inflación_8</f>
        <v>0</v>
      </c>
      <c r="BE15" s="101">
        <f>SUMIFS('9'!$E:$E,'9'!$A:$A,Año_Inicial+7,'9'!$B:$B,'12'!BD$4,'9'!$D:$D,"Deshije")</f>
        <v>0</v>
      </c>
      <c r="BF15" s="101">
        <f>((A8_A_L27*Deshije_A)+(A8_B_L27*Deshije_B)+(A8_C_L27*Deshije_C)+(A8_D_L27*Deshije_D)+(A8_Y_L27*Deshije_Y))*Inflación_8</f>
        <v>0</v>
      </c>
      <c r="BG15" s="101">
        <f>SUMIFS('9'!$E:$E,'9'!$A:$A,Año_Inicial+7,'9'!$B:$B,'12'!BF$4,'9'!$D:$D,"Deshije")</f>
        <v>0</v>
      </c>
      <c r="BH15" s="101">
        <f>((A8_A_L28*Deshije_A)+(A8_B_L28*Deshije_B)+(A8_C_L28*Deshije_C)+(A8_D_L28*Deshije_D)+(A8_Y_L28*Deshije_Y))*Inflación_8</f>
        <v>0</v>
      </c>
      <c r="BI15" s="101">
        <f>SUMIFS('9'!$E:$E,'9'!$A:$A,Año_Inicial+7,'9'!$B:$B,'12'!BH$4,'9'!$D:$D,"Deshije")</f>
        <v>0</v>
      </c>
      <c r="BJ15" s="101">
        <f>((A8_A_L29*Deshije_A)+(A8_B_L29*Deshije_B)+(A8_C_L29*Deshije_C)+(A8_D_L29*Deshije_D)+(A8_Y_L29*Deshije_Y))*Inflación_8</f>
        <v>0</v>
      </c>
      <c r="BK15" s="101">
        <f>SUMIFS('9'!$E:$E,'9'!$A:$A,Año_Inicial+7,'9'!$B:$B,'12'!BJ$4,'9'!$D:$D,"Deshije")</f>
        <v>0</v>
      </c>
      <c r="BL15" s="101">
        <f>((A8_A_L30*Deshije_A)+(A8_B_L30*Deshije_B)+(A8_C_L30*Deshije_C)+(A8_D_L30*Deshije_D)+(A8_Y_L30*Deshije_Y))*Inflación_8</f>
        <v>0</v>
      </c>
      <c r="BM15" s="101">
        <f>SUMIFS('9'!$E:$E,'9'!$A:$A,Año_Inicial+7,'9'!$B:$B,'12'!BL$4,'9'!$D:$D,"Deshije")</f>
        <v>0</v>
      </c>
      <c r="BN15" s="101">
        <f>((A8_A_L31*Deshije_A)+(A8_B_L31*Deshije_B)+(A8_C_L31*Deshije_C)+(A8_D_L31*Deshije_D)+(A8_Y_L31*Deshije_Y))*Inflación_8</f>
        <v>0</v>
      </c>
      <c r="BO15" s="101">
        <f>SUMIFS('9'!$E:$E,'9'!$A:$A,Año_Inicial+7,'9'!$B:$B,'12'!BN$4,'9'!$D:$D,"Deshije")</f>
        <v>0</v>
      </c>
      <c r="BP15" s="101">
        <f>((A8_A_L32*Deshije_A)+(A8_B_L32*Deshije_B)+(A8_C_L32*Deshije_C)+(A8_D_L32*Deshije_D)+(A8_Y_L32*Deshije_Y))*Inflación_8</f>
        <v>0</v>
      </c>
      <c r="BQ15" s="101">
        <f>SUMIFS('9'!$E:$E,'9'!$A:$A,Año_Inicial+7,'9'!$B:$B,'12'!BP$4,'9'!$D:$D,"Deshije")</f>
        <v>0</v>
      </c>
      <c r="BR15" s="101">
        <f>((A8_A_L33*Deshije_A)+(A8_B_L33*Deshije_B)+(A8_C_L33*Deshije_C)+(A8_D_L33*Deshije_D)+(A8_Y_L33*Deshije_Y))*Inflación_8</f>
        <v>0</v>
      </c>
      <c r="BS15" s="101">
        <f>SUMIFS('9'!$E:$E,'9'!$A:$A,Año_Inicial+7,'9'!$B:$B,'12'!BR$4,'9'!$D:$D,"Deshije")</f>
        <v>0</v>
      </c>
      <c r="BT15" s="101">
        <f>((A8_A_L34*Deshije_A)+(A8_B_L34*Deshije_B)+(A8_C_L34*Deshije_C)+(A8_D_L34*Deshije_D)+(A8_Y_L34*Deshije_Y))*Inflación_8</f>
        <v>0</v>
      </c>
      <c r="BU15" s="101">
        <f>SUMIFS('9'!$E:$E,'9'!$A:$A,Año_Inicial+7,'9'!$B:$B,'12'!BT$4,'9'!$D:$D,"Deshije")</f>
        <v>0</v>
      </c>
      <c r="BV15" s="101">
        <f>((A8_A_L35*Deshije_A)+(A8_B_L35*Deshije_B)+(A8_C_L35*Deshije_C)+(A8_D_L35*Deshije_D)+(A8_Y_L35*Deshije_Y))*Inflación_8</f>
        <v>0</v>
      </c>
      <c r="BW15" s="101">
        <f>SUMIFS('9'!$E:$E,'9'!$A:$A,Año_Inicial+7,'9'!$B:$B,'12'!BV$4,'9'!$D:$D,"Deshije")</f>
        <v>0</v>
      </c>
      <c r="BX15" s="101">
        <f>((A8_A_L36*Deshije_A)+(A8_B_L36*Deshije_B)+(A8_C_L36*Deshije_C)+(A8_D_L36*Deshije_D)+(A8_Y_L36*Deshije_Y))*Inflación_8</f>
        <v>0</v>
      </c>
      <c r="BY15" s="101">
        <f>SUMIFS('9'!$E:$E,'9'!$A:$A,Año_Inicial+7,'9'!$B:$B,'12'!BX$4,'9'!$D:$D,"Deshije")</f>
        <v>0</v>
      </c>
      <c r="BZ15" s="101">
        <f>((A8_A_L37*Deshije_A)+(A8_B_L37*Deshije_B)+(A8_C_L37*Deshije_C)+(A8_D_L37*Deshije_D)+(A8_Y_L37*Deshije_Y))*Inflación_8</f>
        <v>0</v>
      </c>
      <c r="CA15" s="101">
        <f>SUMIFS('9'!$E:$E,'9'!$A:$A,Año_Inicial+7,'9'!$B:$B,'12'!BZ$4,'9'!$D:$D,"Deshije")</f>
        <v>0</v>
      </c>
      <c r="CB15" s="101">
        <f>((A8_A_L38*Deshije_A)+(A8_B_L38*Deshije_B)+(A8_C_L38*Deshije_C)+(A8_D_L38*Deshije_D)+(A8_Y_L38*Deshije_Y))*Inflación_8</f>
        <v>0</v>
      </c>
      <c r="CC15" s="101">
        <f>SUMIFS('9'!$E:$E,'9'!$A:$A,Año_Inicial+7,'9'!$B:$B,'12'!CB$4,'9'!$D:$D,"Deshije")</f>
        <v>0</v>
      </c>
      <c r="CD15" s="101">
        <f>((A8_A_L39*Deshije_A)+(A8_B_L39*Deshije_B)+(A8_C_L39*Deshije_C)+(A8_D_L39*Deshije_D)+(A8_Y_L39*Deshije_Y))*Inflación_8</f>
        <v>0</v>
      </c>
      <c r="CE15" s="101">
        <f>SUMIFS('9'!$E:$E,'9'!$A:$A,Año_Inicial+7,'9'!$B:$B,'12'!CD$4,'9'!$D:$D,"Deshije")</f>
        <v>0</v>
      </c>
      <c r="CF15" s="101">
        <f>((A8_A_L40*Deshije_A)+(A8_B_L40*Deshije_B)+(A8_C_L40*Deshije_C)+(A8_D_L40*Deshije_D)+(A8_Y_L40*Deshije_Y))*Inflación_8</f>
        <v>0</v>
      </c>
      <c r="CG15" s="101">
        <f>SUMIFS('9'!$E:$E,'9'!$A:$A,Año_Inicial+7,'9'!$B:$B,'12'!CF$4,'9'!$D:$D,"Deshije")</f>
        <v>0</v>
      </c>
      <c r="CH15" s="473"/>
      <c r="CI15" s="101">
        <f>Plantas_A_A8*Deshije_A*Inflación_8</f>
        <v>0</v>
      </c>
      <c r="CJ15" s="101">
        <f>Plantas_B_A8*Deshije_B</f>
        <v>0</v>
      </c>
      <c r="CK15" s="101">
        <f>Plantas_C_A8*Deshije_C</f>
        <v>0</v>
      </c>
      <c r="CL15" s="101">
        <f>Plantas_D_A8*Deshije_D</f>
        <v>0</v>
      </c>
      <c r="CM15" s="101"/>
      <c r="CN15" s="101">
        <f>Plantas_Y_A8*Deshije_Y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SUMIFS('9'!$E:$E,'9'!$A:$A,Año_Inicial+7,'9'!$D:$D,"Aplicación de fertilizante")</f>
        <v>0</v>
      </c>
      <c r="D17" s="100">
        <f t="shared" si="45"/>
        <v>0</v>
      </c>
      <c r="E17" s="473"/>
      <c r="F17" s="101">
        <f>((A8_A_L1*Nutrición_A)+(A8_B_L1*Nutrición_B)+(A8_C_L1*Nutrición_C)+(A8_D_L1*Nutrición_D)+(A8_Y_L1*Nutrición_Y))*Inflación_8</f>
        <v>0</v>
      </c>
      <c r="G17" s="101">
        <f>SUMIFS('9'!$E:$E,'9'!$A:$A,Año_Inicial+7,'9'!$B:$B,'12'!F$4,'9'!$D:$D,"Aplicación de fertilizante")</f>
        <v>0</v>
      </c>
      <c r="H17" s="101">
        <f>((A8_A_L2*Nutrición_A)+(A8_B_L2*Nutrición_B)+(A8_C_L2*Nutrición_C)+(A8_D_L2*Nutrición_D)+(A8_Y_L2*Nutrición_Y))*Inflación_8</f>
        <v>0</v>
      </c>
      <c r="I17" s="101">
        <f>SUMIFS('9'!$E:$E,'9'!$A:$A,Año_Inicial+7,'9'!$B:$B,'12'!H$4,'9'!$D:$D,"Aplicación de fertilizante")</f>
        <v>0</v>
      </c>
      <c r="J17" s="101">
        <f>((A8_A_L3*Nutrición_A)+(A8_B_L3*Nutrición_B)+(A8_C_L3*Nutrición_C)+(A8_D_L3*Nutrición_D)+(A8_Y_L3*Nutrición_Y))*Inflación_8</f>
        <v>0</v>
      </c>
      <c r="K17" s="101">
        <f>SUMIFS('9'!$E:$E,'9'!$A:$A,Año_Inicial+7,'9'!$B:$B,'12'!J$4,'9'!$D:$D,"Aplicación de fertilizante")</f>
        <v>0</v>
      </c>
      <c r="L17" s="101">
        <f>((A8_A_L4*Nutrición_A)+(A8_B_L4*Nutrición_B)+(A8_C_L4*Nutrición_C)+(A8_D_L4*Nutrición_D)+(A8_Y_L4*Nutrición_Y))*Inflación_8</f>
        <v>0</v>
      </c>
      <c r="M17" s="101">
        <f>SUMIFS('9'!$E:$E,'9'!$A:$A,Año_Inicial+7,'9'!$B:$B,'12'!L$4,'9'!$D:$D,"Aplicación de fertilizante")</f>
        <v>0</v>
      </c>
      <c r="N17" s="101">
        <f>((A8_A_L5*Nutrición_A)+(A8_B_L5*Nutrición_B)+(A8_C_L5*Nutrición_C)+(A8_D_L5*Nutrición_D)+(A8_Y_L5*Nutrición_Y))*Inflación_8</f>
        <v>0</v>
      </c>
      <c r="O17" s="101">
        <f>SUMIFS('9'!$E:$E,'9'!$A:$A,Año_Inicial+7,'9'!$B:$B,'12'!N$4,'9'!$D:$D,"Aplicación de fertilizante")</f>
        <v>0</v>
      </c>
      <c r="P17" s="101">
        <f>((A8_A_L6*Nutrición_A)+(A8_B_L6*Nutrición_B)+(A8_C_L6*Nutrición_C)+(A8_D_L6*Nutrición_D)+(A8_Y_L6*Nutrición_Y))*Inflación_8</f>
        <v>0</v>
      </c>
      <c r="Q17" s="101">
        <f>SUMIFS('9'!$E:$E,'9'!$A:$A,Año_Inicial+7,'9'!$B:$B,'12'!P$4,'9'!$D:$D,"Aplicación de fertilizante")</f>
        <v>0</v>
      </c>
      <c r="R17" s="101">
        <f>((A8_A_L7*Nutrición_A)+(A8_B_L7*Nutrición_B)+(A8_C_L7*Nutrición_C)+(A8_D_L7*Nutrición_D)+(A8_Y_L7*Nutrición_Y))*Inflación_8</f>
        <v>0</v>
      </c>
      <c r="S17" s="101">
        <f>SUMIFS('9'!$E:$E,'9'!$A:$A,Año_Inicial+7,'9'!$B:$B,'12'!R$4,'9'!$D:$D,"Aplicación de fertilizante")</f>
        <v>0</v>
      </c>
      <c r="T17" s="101">
        <f>((A8_A_L8*Nutrición_A)+(A8_B_L8*Nutrición_B)+(A8_C_L8*Nutrición_C)+(A8_D_L8*Nutrición_D)+(A8_Y_L8*Nutrición_Y))*Inflación_8</f>
        <v>0</v>
      </c>
      <c r="U17" s="101">
        <f>SUMIFS('9'!$E:$E,'9'!$A:$A,Año_Inicial+7,'9'!$B:$B,'12'!T$4,'9'!$D:$D,"Aplicación de fertilizante")</f>
        <v>0</v>
      </c>
      <c r="V17" s="101">
        <f>((A8_A_L9*Nutrición_A)+(A8_B_L9*Nutrición_B)+(A8_C_L9*Nutrición_C)+(A8_D_L9*Nutrición_D)+(A8_Y_L9*Nutrición_Y))*Inflación_8</f>
        <v>0</v>
      </c>
      <c r="W17" s="101">
        <f>SUMIFS('9'!$E:$E,'9'!$A:$A,Año_Inicial+7,'9'!$B:$B,'12'!V$4,'9'!$D:$D,"Aplicación de fertilizante")</f>
        <v>0</v>
      </c>
      <c r="X17" s="101">
        <f>((A8_A_L10*Nutrición_A)+(A8_B_L10*Nutrición_B)+(A8_C_L10*Nutrición_C)+(A8_D_L10*Nutrición_D)+(A8_Y_L10*Nutrición_Y))*Inflación_8</f>
        <v>0</v>
      </c>
      <c r="Y17" s="101">
        <f>SUMIFS('9'!$E:$E,'9'!$A:$A,Año_Inicial+7,'9'!$B:$B,'12'!X$4,'9'!$D:$D,"Aplicación de fertilizante")</f>
        <v>0</v>
      </c>
      <c r="Z17" s="101">
        <f>((A8_A_L11*Nutrición_A)+(A8_B_L11*Nutrición_B)+(A8_C_L11*Nutrición_C)+(A8_D_L11*Nutrición_D)+(A8_Y_L11*Nutrición_Y))*Inflación_8</f>
        <v>0</v>
      </c>
      <c r="AA17" s="101">
        <f>SUMIFS('9'!$E:$E,'9'!$A:$A,Año_Inicial+7,'9'!$B:$B,'12'!Z$4,'9'!$D:$D,"Aplicación de fertilizante")</f>
        <v>0</v>
      </c>
      <c r="AB17" s="101">
        <f>((A8_A_L12*Nutrición_A)+(A8_B_L12*Nutrición_B)+(A8_C_L12*Nutrición_C)+(A8_D_L12*Nutrición_D)+(A8_Y_L12*Nutrición_Y))*Inflación_8</f>
        <v>0</v>
      </c>
      <c r="AC17" s="101">
        <f>SUMIFS('9'!$E:$E,'9'!$A:$A,Año_Inicial+7,'9'!$B:$B,'12'!AB$4,'9'!$D:$D,"Aplicación de fertilizante")</f>
        <v>0</v>
      </c>
      <c r="AD17" s="101">
        <f>((A8_A_L13*Nutrición_A)+(A8_B_L13*Nutrición_B)+(A8_C_L13*Nutrición_C)+(A8_D_L13*Nutrición_D)+(A8_Y_L13*Nutrición_Y))*Inflación_8</f>
        <v>0</v>
      </c>
      <c r="AE17" s="101">
        <f>SUMIFS('9'!$E:$E,'9'!$A:$A,Año_Inicial+7,'9'!$B:$B,'12'!AD$4,'9'!$D:$D,"Aplicación de fertilizante")</f>
        <v>0</v>
      </c>
      <c r="AF17" s="101">
        <f>((A8_A_L14*Nutrición_A)+(A8_B_L14*Nutrición_B)+(A8_C_L14*Nutrición_C)+(A8_D_L14*Nutrición_D)+(A8_Y_L14*Nutrición_Y))*Inflación_8</f>
        <v>0</v>
      </c>
      <c r="AG17" s="101">
        <f>SUMIFS('9'!$E:$E,'9'!$A:$A,Año_Inicial+7,'9'!$B:$B,'12'!AF$4,'9'!$D:$D,"Aplicación de fertilizante")</f>
        <v>0</v>
      </c>
      <c r="AH17" s="101">
        <f>((A8_A_L15*Nutrición_A)+(A8_B_L15*Nutrición_B)+(A8_C_L15*Nutrición_C)+(A8_D_L15*Nutrición_D)+(A8_Y_L15*Nutrición_Y))*Inflación_8</f>
        <v>0</v>
      </c>
      <c r="AI17" s="101">
        <f>SUMIFS('9'!$E:$E,'9'!$A:$A,Año_Inicial+7,'9'!$B:$B,'12'!AH$4,'9'!$D:$D,"Aplicación de fertilizante")</f>
        <v>0</v>
      </c>
      <c r="AJ17" s="101">
        <f>((A8_A_L16*Nutrición_A)+(A8_B_L16*Nutrición_B)+(A8_C_L16*Nutrición_C)+(A8_D_L16*Nutrición_D)+(A8_Y_L16*Nutrición_Y))*Inflación_8</f>
        <v>0</v>
      </c>
      <c r="AK17" s="101">
        <f>SUMIFS('9'!$E:$E,'9'!$A:$A,Año_Inicial+7,'9'!$B:$B,'12'!AJ$4,'9'!$D:$D,"Aplicación de fertilizante")</f>
        <v>0</v>
      </c>
      <c r="AL17" s="101">
        <f>((A8_A_L17*Nutrición_A)+(A8_B_L17*Nutrición_B)+(A8_C_L17*Nutrición_C)+(A8_D_L17*Nutrición_D)+(A8_Y_L17*Nutrición_Y))*Inflación_8</f>
        <v>0</v>
      </c>
      <c r="AM17" s="101">
        <f>SUMIFS('9'!$E:$E,'9'!$A:$A,Año_Inicial+7,'9'!$B:$B,'12'!AL$4,'9'!$D:$D,"Aplicación de fertilizante")</f>
        <v>0</v>
      </c>
      <c r="AN17" s="101">
        <f>((A8_A_L18*Nutrición_A)+(A8_B_L18*Nutrición_B)+(A8_C_L18*Nutrición_C)+(A8_D_L18*Nutrición_D)+(A8_Y_L18*Nutrición_Y))*Inflación_8</f>
        <v>0</v>
      </c>
      <c r="AO17" s="101">
        <f>SUMIFS('9'!$E:$E,'9'!$A:$A,Año_Inicial+7,'9'!$B:$B,'12'!AN$4,'9'!$D:$D,"Aplicación de fertilizante")</f>
        <v>0</v>
      </c>
      <c r="AP17" s="101">
        <f>((A8_A_L19*Nutrición_A)+(A8_B_L19*Nutrición_B)+(A8_C_L19*Nutrición_C)+(A8_D_L19*Nutrición_D)+(A8_Y_L19*Nutrición_Y))*Inflación_8</f>
        <v>0</v>
      </c>
      <c r="AQ17" s="101">
        <f>SUMIFS('9'!$E:$E,'9'!$A:$A,Año_Inicial+7,'9'!$B:$B,'12'!AP$4,'9'!$D:$D,"Aplicación de fertilizante")</f>
        <v>0</v>
      </c>
      <c r="AR17" s="101">
        <f>((A8_A_L20*Nutrición_A)+(A8_B_L20*Nutrición_B)+(A8_C_L20*Nutrición_C)+(A8_D_L20*Nutrición_D)+(A8_Y_L20*Nutrición_Y))*Inflación_8</f>
        <v>0</v>
      </c>
      <c r="AS17" s="101">
        <f>SUMIFS('9'!$E:$E,'9'!$A:$A,Año_Inicial+7,'9'!$B:$B,'12'!AR$4,'9'!$D:$D,"Aplicación de fertilizante")</f>
        <v>0</v>
      </c>
      <c r="AT17" s="101">
        <f>((A8_A_L21*Nutrición_A)+(A8_B_L21*Nutrición_B)+(A8_C_L21*Nutrición_C)+(A8_D_L21*Nutrición_D)+(A8_Y_L21*Nutrición_Y))*Inflación_8</f>
        <v>0</v>
      </c>
      <c r="AU17" s="101">
        <f>SUMIFS('9'!$E:$E,'9'!$A:$A,Año_Inicial+7,'9'!$B:$B,'12'!AT$4,'9'!$D:$D,"Aplicación de fertilizante")</f>
        <v>0</v>
      </c>
      <c r="AV17" s="101">
        <f>((A8_A_L22*Nutrición_A)+(A8_B_L22*Nutrición_B)+(A8_C_L22*Nutrición_C)+(A8_D_L22*Nutrición_D)+(A8_Y_L22*Nutrición_Y))*Inflación_8</f>
        <v>0</v>
      </c>
      <c r="AW17" s="101">
        <f>SUMIFS('9'!$E:$E,'9'!$A:$A,Año_Inicial+7,'9'!$B:$B,'12'!AV$4,'9'!$D:$D,"Aplicación de fertilizante")</f>
        <v>0</v>
      </c>
      <c r="AX17" s="101">
        <f>((A8_A_L23*Nutrición_A)+(A8_B_L23*Nutrición_B)+(A8_C_L23*Nutrición_C)+(A8_D_L23*Nutrición_D)+(A8_Y_L23*Nutrición_Y))*Inflación_8</f>
        <v>0</v>
      </c>
      <c r="AY17" s="101">
        <f>SUMIFS('9'!$E:$E,'9'!$A:$A,Año_Inicial+7,'9'!$B:$B,'12'!AX$4,'9'!$D:$D,"Aplicación de fertilizante")</f>
        <v>0</v>
      </c>
      <c r="AZ17" s="101">
        <f>((A8_A_L24*Nutrición_A)+(A8_B_L24*Nutrición_B)+(A8_C_L24*Nutrición_C)+(A8_D_L24*Nutrición_D)+(A8_Y_L24*Nutrición_Y))*Inflación_8</f>
        <v>0</v>
      </c>
      <c r="BA17" s="101">
        <f>SUMIFS('9'!$E:$E,'9'!$A:$A,Año_Inicial+7,'9'!$B:$B,'12'!AZ$4,'9'!$D:$D,"Aplicación de fertilizante")</f>
        <v>0</v>
      </c>
      <c r="BB17" s="101">
        <f>((A8_A_L25*Nutrición_A)+(A8_B_L25*Nutrición_B)+(A8_C_L25*Nutrición_C)+(A8_D_L25*Nutrición_D)+(A8_Y_L25*Nutrición_Y))*Inflación_8</f>
        <v>0</v>
      </c>
      <c r="BC17" s="101">
        <f>SUMIFS('9'!$E:$E,'9'!$A:$A,Año_Inicial+7,'9'!$B:$B,'12'!BB$4,'9'!$D:$D,"Aplicación de fertilizante")</f>
        <v>0</v>
      </c>
      <c r="BD17" s="101">
        <f>((A8_A_L26*Nutrición_A)+(A8_B_L26*Nutrición_B)+(A8_C_L26*Nutrición_C)+(A8_D_L26*Nutrición_D)+(A8_Y_L26*Nutrición_Y))*Inflación_8</f>
        <v>0</v>
      </c>
      <c r="BE17" s="101">
        <f>SUMIFS('9'!$E:$E,'9'!$A:$A,Año_Inicial+7,'9'!$B:$B,'12'!BD$4,'9'!$D:$D,"Aplicación de fertilizante")</f>
        <v>0</v>
      </c>
      <c r="BF17" s="101">
        <f>((A8_A_L27*Nutrición_A)+(A8_B_L27*Nutrición_B)+(A8_C_L27*Nutrición_C)+(A8_D_L27*Nutrición_D)+(A8_Y_L27*Nutrición_Y))*Inflación_8</f>
        <v>0</v>
      </c>
      <c r="BG17" s="101">
        <f>SUMIFS('9'!$E:$E,'9'!$A:$A,Año_Inicial+7,'9'!$B:$B,'12'!BF$4,'9'!$D:$D,"Aplicación de fertilizante")</f>
        <v>0</v>
      </c>
      <c r="BH17" s="101">
        <f>((A8_A_L28*Nutrición_A)+(A8_B_L28*Nutrición_B)+(A8_C_L28*Nutrición_C)+(A8_D_L28*Nutrición_D)+(A8_Y_L28*Nutrición_Y))*Inflación_8</f>
        <v>0</v>
      </c>
      <c r="BI17" s="101">
        <f>SUMIFS('9'!$E:$E,'9'!$A:$A,Año_Inicial+7,'9'!$B:$B,'12'!BH$4,'9'!$D:$D,"Aplicación de fertilizante")</f>
        <v>0</v>
      </c>
      <c r="BJ17" s="101">
        <f>((A8_A_L29*Nutrición_A)+(A8_B_L29*Nutrición_B)+(A8_C_L29*Nutrición_C)+(A8_D_L29*Nutrición_D)+(A8_Y_L29*Nutrición_Y))*Inflación_8</f>
        <v>0</v>
      </c>
      <c r="BK17" s="101">
        <f>SUMIFS('9'!$E:$E,'9'!$A:$A,Año_Inicial+7,'9'!$B:$B,'12'!BJ$4,'9'!$D:$D,"Aplicación de fertilizante")</f>
        <v>0</v>
      </c>
      <c r="BL17" s="101">
        <f>((A8_A_L30*Nutrición_A)+(A8_B_L30*Nutrición_B)+(A8_C_L30*Nutrición_C)+(A8_D_L30*Nutrición_D)+(A8_Y_L30*Nutrición_Y))*Inflación_8</f>
        <v>0</v>
      </c>
      <c r="BM17" s="101">
        <f>SUMIFS('9'!$E:$E,'9'!$A:$A,Año_Inicial+7,'9'!$B:$B,'12'!BL$4,'9'!$D:$D,"Aplicación de fertilizante")</f>
        <v>0</v>
      </c>
      <c r="BN17" s="101">
        <f>((A8_A_L31*Nutrición_A)+(A8_B_L31*Nutrición_B)+(A8_C_L31*Nutrición_C)+(A8_D_L31*Nutrición_D)+(A8_Y_L31*Nutrición_Y))*Inflación_8</f>
        <v>0</v>
      </c>
      <c r="BO17" s="101">
        <f>SUMIFS('9'!$E:$E,'9'!$A:$A,Año_Inicial+7,'9'!$B:$B,'12'!BN$4,'9'!$D:$D,"Aplicación de fertilizante")</f>
        <v>0</v>
      </c>
      <c r="BP17" s="101">
        <f>((A8_A_L32*Nutrición_A)+(A8_B_L32*Nutrición_B)+(A8_C_L32*Nutrición_C)+(A8_D_L32*Nutrición_D)+(A8_Y_L32*Nutrición_Y))*Inflación_8</f>
        <v>0</v>
      </c>
      <c r="BQ17" s="101">
        <f>SUMIFS('9'!$E:$E,'9'!$A:$A,Año_Inicial+7,'9'!$B:$B,'12'!BP$4,'9'!$D:$D,"Aplicación de fertilizante")</f>
        <v>0</v>
      </c>
      <c r="BR17" s="101">
        <f>((A8_A_L33*Nutrición_A)+(A8_B_L33*Nutrición_B)+(A8_C_L33*Nutrición_C)+(A8_D_L33*Nutrición_D)+(A8_Y_L33*Nutrición_Y))*Inflación_8</f>
        <v>0</v>
      </c>
      <c r="BS17" s="101">
        <f>SUMIFS('9'!$E:$E,'9'!$A:$A,Año_Inicial+7,'9'!$B:$B,'12'!BR$4,'9'!$D:$D,"Aplicación de fertilizante")</f>
        <v>0</v>
      </c>
      <c r="BT17" s="101">
        <f>((A8_A_L34*Nutrición_A)+(A8_B_L34*Nutrición_B)+(A8_C_L34*Nutrición_C)+(A8_D_L34*Nutrición_D)+(A8_Y_L34*Nutrición_Y))*Inflación_8</f>
        <v>0</v>
      </c>
      <c r="BU17" s="101">
        <f>SUMIFS('9'!$E:$E,'9'!$A:$A,Año_Inicial+7,'9'!$B:$B,'12'!BT$4,'9'!$D:$D,"Aplicación de fertilizante")</f>
        <v>0</v>
      </c>
      <c r="BV17" s="101">
        <f>((A8_A_L35*Nutrición_A)+(A8_B_L35*Nutrición_B)+(A8_C_L35*Nutrición_C)+(A8_D_L35*Nutrición_D)+(A8_Y_L35*Nutrición_Y))*Inflación_8</f>
        <v>0</v>
      </c>
      <c r="BW17" s="101">
        <f>SUMIFS('9'!$E:$E,'9'!$A:$A,Año_Inicial+7,'9'!$B:$B,'12'!BV$4,'9'!$D:$D,"Aplicación de fertilizante")</f>
        <v>0</v>
      </c>
      <c r="BX17" s="101">
        <f>((A8_A_L36*Nutrición_A)+(A8_B_L36*Nutrición_B)+(A8_C_L36*Nutrición_C)+(A8_D_L36*Nutrición_D)+(A8_Y_L36*Nutrición_Y))*Inflación_8</f>
        <v>0</v>
      </c>
      <c r="BY17" s="101">
        <f>SUMIFS('9'!$E:$E,'9'!$A:$A,Año_Inicial+7,'9'!$B:$B,'12'!BX$4,'9'!$D:$D,"Aplicación de fertilizante")</f>
        <v>0</v>
      </c>
      <c r="BZ17" s="101">
        <f>((A8_A_L37*Nutrición_A)+(A8_B_L37*Nutrición_B)+(A8_C_L37*Nutrición_C)+(A8_D_L37*Nutrición_D)+(A8_Y_L37*Nutrición_Y))*Inflación_8</f>
        <v>0</v>
      </c>
      <c r="CA17" s="101">
        <f>SUMIFS('9'!$E:$E,'9'!$A:$A,Año_Inicial+7,'9'!$B:$B,'12'!BZ$4,'9'!$D:$D,"Aplicación de fertilizante")</f>
        <v>0</v>
      </c>
      <c r="CB17" s="101">
        <f>((A8_A_L38*Nutrición_A)+(A8_B_L38*Nutrición_B)+(A8_C_L38*Nutrición_C)+(A8_D_L38*Nutrición_D)+(A8_Y_L38*Nutrición_Y))*Inflación_8</f>
        <v>0</v>
      </c>
      <c r="CC17" s="101">
        <f>SUMIFS('9'!$E:$E,'9'!$A:$A,Año_Inicial+7,'9'!$B:$B,'12'!CB$4,'9'!$D:$D,"Aplicación de fertilizante")</f>
        <v>0</v>
      </c>
      <c r="CD17" s="101">
        <f>((A8_A_L39*Nutrición_A)+(A8_B_L39*Nutrición_B)+(A8_C_L39*Nutrición_C)+(A8_D_L39*Nutrición_D)+(A8_Y_L39*Nutrición_Y))*Inflación_8</f>
        <v>0</v>
      </c>
      <c r="CE17" s="101">
        <f>SUMIFS('9'!$E:$E,'9'!$A:$A,Año_Inicial+7,'9'!$B:$B,'12'!CD$4,'9'!$D:$D,"Aplicación de fertilizante")</f>
        <v>0</v>
      </c>
      <c r="CF17" s="101">
        <f>((A8_A_L40*Nutrición_A)+(A8_B_L40*Nutrición_B)+(A8_C_L40*Nutrición_C)+(A8_D_L40*Nutrición_D)+(A8_Y_L40*Nutrición_Y))*Inflación_8</f>
        <v>0</v>
      </c>
      <c r="CG17" s="101">
        <f>SUMIFS('9'!$E:$E,'9'!$A:$A,Año_Inicial+7,'9'!$B:$B,'12'!CF$4,'9'!$D:$D,"Aplicación de fertilizante")</f>
        <v>0</v>
      </c>
      <c r="CH17" s="473"/>
      <c r="CI17" s="101">
        <f>Plantas_A_A8*Nutrición_A*Inflación_8</f>
        <v>0</v>
      </c>
      <c r="CJ17" s="101">
        <f>Plantas_B_A8*Nutrición_B</f>
        <v>0</v>
      </c>
      <c r="CK17" s="101">
        <f>Plantas_C_A8*Nutrición_C</f>
        <v>0</v>
      </c>
      <c r="CL17" s="101">
        <f>Plantas_D_A8*Nutrición_D</f>
        <v>0</v>
      </c>
      <c r="CM17" s="101"/>
      <c r="CN17" s="101">
        <f>Plantas_Y_A8*Nutrición_Y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SUMIFS('9'!$E:$E,'9'!$A:$A,Año_Inicial+7,'9'!$D:$D,"Aplicación de enmiendas")</f>
        <v>0</v>
      </c>
      <c r="D18" s="100">
        <f t="shared" si="45"/>
        <v>0</v>
      </c>
      <c r="E18" s="473"/>
      <c r="F18" s="101">
        <f>((A8_A_L1*Enmienda_A)+(A8_B_L1*Enmienda_B)+(A8_C_L1*Enmienda_C)+(A8_D_L1*Enmienda_D)+(A8_Y_L1*Enmienda_Y))*Inflación_8</f>
        <v>0</v>
      </c>
      <c r="G18" s="101">
        <f>SUMIFS('9'!$E:$E,'9'!$A:$A,Año_Inicial+7,'9'!$B:$B,'12'!F$4,'9'!$D:$D,"Aplicación de enmiendas")</f>
        <v>0</v>
      </c>
      <c r="H18" s="101">
        <f>((A8_A_L2*Enmienda_A)+(A8_B_L2*Enmienda_B)+(A8_C_L2*Enmienda_C)+(A8_D_L2*Enmienda_D)+(A8_Y_L2*Enmienda_Y))*Inflación_8</f>
        <v>0</v>
      </c>
      <c r="I18" s="101">
        <f>SUMIFS('9'!$E:$E,'9'!$A:$A,Año_Inicial+7,'9'!$B:$B,'12'!H$4,'9'!$D:$D,"Aplicación de enmiendas")</f>
        <v>0</v>
      </c>
      <c r="J18" s="101">
        <f>((A8_A_L3*Enmienda_A)+(A8_B_L3*Enmienda_B)+(A8_C_L3*Enmienda_C)+(A8_D_L3*Enmienda_D)+(A8_Y_L3*Enmienda_Y))*Inflación_8</f>
        <v>0</v>
      </c>
      <c r="K18" s="101">
        <f>SUMIFS('9'!$E:$E,'9'!$A:$A,Año_Inicial+7,'9'!$B:$B,'12'!J$4,'9'!$D:$D,"Aplicación de enmiendas")</f>
        <v>0</v>
      </c>
      <c r="L18" s="101">
        <f>((A8_A_L4*Enmienda_A)+(A8_B_L4*Enmienda_B)+(A8_C_L4*Enmienda_C)+(A8_D_L4*Enmienda_D)+(A8_Y_L4*Enmienda_Y))*Inflación_8</f>
        <v>0</v>
      </c>
      <c r="M18" s="101">
        <f>SUMIFS('9'!$E:$E,'9'!$A:$A,Año_Inicial+7,'9'!$B:$B,'12'!L$4,'9'!$D:$D,"Aplicación de enmiendas")</f>
        <v>0</v>
      </c>
      <c r="N18" s="101">
        <f>((A8_A_L5*Enmienda_A)+(A8_B_L5*Enmienda_B)+(A8_C_L5*Enmienda_C)+(A8_D_L5*Enmienda_D)+(A8_Y_L5*Enmienda_Y))*Inflación_8</f>
        <v>0</v>
      </c>
      <c r="O18" s="101">
        <f>SUMIFS('9'!$E:$E,'9'!$A:$A,Año_Inicial+7,'9'!$B:$B,'12'!N$4,'9'!$D:$D,"Aplicación de enmiendas")</f>
        <v>0</v>
      </c>
      <c r="P18" s="101">
        <f>((A8_A_L6*Enmienda_A)+(A8_B_L6*Enmienda_B)+(A8_C_L6*Enmienda_C)+(A8_D_L6*Enmienda_D)+(A8_Y_L6*Enmienda_Y))*Inflación_8</f>
        <v>0</v>
      </c>
      <c r="Q18" s="101">
        <f>SUMIFS('9'!$E:$E,'9'!$A:$A,Año_Inicial+7,'9'!$B:$B,'12'!P$4,'9'!$D:$D,"Aplicación de enmiendas")</f>
        <v>0</v>
      </c>
      <c r="R18" s="101">
        <f>((A8_A_L7*Enmienda_A)+(A8_B_L7*Enmienda_B)+(A8_C_L7*Enmienda_C)+(A8_D_L7*Enmienda_D)+(A8_Y_L7*Enmienda_Y))*Inflación_8</f>
        <v>0</v>
      </c>
      <c r="S18" s="101">
        <f>SUMIFS('9'!$E:$E,'9'!$A:$A,Año_Inicial+7,'9'!$B:$B,'12'!R$4,'9'!$D:$D,"Aplicación de enmiendas")</f>
        <v>0</v>
      </c>
      <c r="T18" s="101">
        <f>((A8_A_L8*Enmienda_A)+(A8_B_L8*Enmienda_B)+(A8_C_L8*Enmienda_C)+(A8_D_L8*Enmienda_D)+(A8_Y_L8*Enmienda_Y))*Inflación_8</f>
        <v>0</v>
      </c>
      <c r="U18" s="101">
        <f>SUMIFS('9'!$E:$E,'9'!$A:$A,Año_Inicial+7,'9'!$B:$B,'12'!T$4,'9'!$D:$D,"Aplicación de enmiendas")</f>
        <v>0</v>
      </c>
      <c r="V18" s="101">
        <f>((A8_A_L9*Enmienda_A)+(A8_B_L9*Enmienda_B)+(A8_C_L9*Enmienda_C)+(A8_D_L9*Enmienda_D)+(A8_Y_L9*Enmienda_Y))*Inflación_8</f>
        <v>0</v>
      </c>
      <c r="W18" s="101">
        <f>SUMIFS('9'!$E:$E,'9'!$A:$A,Año_Inicial+7,'9'!$B:$B,'12'!V$4,'9'!$D:$D,"Aplicación de enmiendas")</f>
        <v>0</v>
      </c>
      <c r="X18" s="101">
        <f>((A8_A_L10*Enmienda_A)+(A8_B_L10*Enmienda_B)+(A8_C_L10*Enmienda_C)+(A8_D_L10*Enmienda_D)+(A8_Y_L10*Enmienda_Y))*Inflación_8</f>
        <v>0</v>
      </c>
      <c r="Y18" s="101">
        <f>SUMIFS('9'!$E:$E,'9'!$A:$A,Año_Inicial+7,'9'!$B:$B,'12'!X$4,'9'!$D:$D,"Aplicación de enmiendas")</f>
        <v>0</v>
      </c>
      <c r="Z18" s="101">
        <f>((A8_A_L11*Enmienda_A)+(A8_B_L11*Enmienda_B)+(A8_C_L11*Enmienda_C)+(A8_D_L11*Enmienda_D)+(A8_Y_L11*Enmienda_Y))*Inflación_8</f>
        <v>0</v>
      </c>
      <c r="AA18" s="101">
        <f>SUMIFS('9'!$E:$E,'9'!$A:$A,Año_Inicial+7,'9'!$B:$B,'12'!Z$4,'9'!$D:$D,"Aplicación de enmiendas")</f>
        <v>0</v>
      </c>
      <c r="AB18" s="101">
        <f>((A8_A_L12*Enmienda_A)+(A8_B_L12*Enmienda_B)+(A8_C_L12*Enmienda_C)+(A8_D_L12*Enmienda_D)+(A8_Y_L12*Enmienda_Y))*Inflación_8</f>
        <v>0</v>
      </c>
      <c r="AC18" s="101">
        <f>SUMIFS('9'!$E:$E,'9'!$A:$A,Año_Inicial+7,'9'!$B:$B,'12'!AB$4,'9'!$D:$D,"Aplicación de enmiendas")</f>
        <v>0</v>
      </c>
      <c r="AD18" s="101">
        <f>((A8_A_L13*Enmienda_A)+(A8_B_L13*Enmienda_B)+(A8_C_L13*Enmienda_C)+(A8_D_L13*Enmienda_D)+(A8_Y_L13*Enmienda_Y))*Inflación_8</f>
        <v>0</v>
      </c>
      <c r="AE18" s="101">
        <f>SUMIFS('9'!$E:$E,'9'!$A:$A,Año_Inicial+7,'9'!$B:$B,'12'!AD$4,'9'!$D:$D,"Aplicación de enmiendas")</f>
        <v>0</v>
      </c>
      <c r="AF18" s="101">
        <f>((A8_A_L14*Enmienda_A)+(A8_B_L14*Enmienda_B)+(A8_C_L14*Enmienda_C)+(A8_D_L14*Enmienda_D)+(A8_Y_L14*Enmienda_Y))*Inflación_8</f>
        <v>0</v>
      </c>
      <c r="AG18" s="101">
        <f>SUMIFS('9'!$E:$E,'9'!$A:$A,Año_Inicial+7,'9'!$B:$B,'12'!AF$4,'9'!$D:$D,"Aplicación de enmiendas")</f>
        <v>0</v>
      </c>
      <c r="AH18" s="101">
        <f>((A8_A_L15*Enmienda_A)+(A8_B_L15*Enmienda_B)+(A8_C_L15*Enmienda_C)+(A8_D_L15*Enmienda_D)+(A8_Y_L15*Enmienda_Y))*Inflación_8</f>
        <v>0</v>
      </c>
      <c r="AI18" s="101">
        <f>SUMIFS('9'!$E:$E,'9'!$A:$A,Año_Inicial+7,'9'!$B:$B,'12'!AH$4,'9'!$D:$D,"Aplicación de enmiendas")</f>
        <v>0</v>
      </c>
      <c r="AJ18" s="101">
        <f>((A8_A_L16*Enmienda_A)+(A8_B_L16*Enmienda_B)+(A8_C_L16*Enmienda_C)+(A8_D_L16*Enmienda_D)+(A8_Y_L16*Enmienda_Y))*Inflación_8</f>
        <v>0</v>
      </c>
      <c r="AK18" s="101">
        <f>SUMIFS('9'!$E:$E,'9'!$A:$A,Año_Inicial+7,'9'!$B:$B,'12'!AJ$4,'9'!$D:$D,"Aplicación de enmiendas")</f>
        <v>0</v>
      </c>
      <c r="AL18" s="101">
        <f>((A8_A_L17*Enmienda_A)+(A8_B_L17*Enmienda_B)+(A8_C_L17*Enmienda_C)+(A8_D_L17*Enmienda_D)+(A8_Y_L17*Enmienda_Y))*Inflación_8</f>
        <v>0</v>
      </c>
      <c r="AM18" s="101">
        <f>SUMIFS('9'!$E:$E,'9'!$A:$A,Año_Inicial+7,'9'!$B:$B,'12'!AL$4,'9'!$D:$D,"Aplicación de enmiendas")</f>
        <v>0</v>
      </c>
      <c r="AN18" s="101">
        <f>((A8_A_L18*Enmienda_A)+(A8_B_L18*Enmienda_B)+(A8_C_L18*Enmienda_C)+(A8_D_L18*Enmienda_D)+(A8_Y_L18*Enmienda_Y))*Inflación_8</f>
        <v>0</v>
      </c>
      <c r="AO18" s="101">
        <f>SUMIFS('9'!$E:$E,'9'!$A:$A,Año_Inicial+7,'9'!$B:$B,'12'!AN$4,'9'!$D:$D,"Aplicación de enmiendas")</f>
        <v>0</v>
      </c>
      <c r="AP18" s="101">
        <f>((A8_A_L19*Enmienda_A)+(A8_B_L19*Enmienda_B)+(A8_C_L19*Enmienda_C)+(A8_D_L19*Enmienda_D)+(A8_Y_L19*Enmienda_Y))*Inflación_8</f>
        <v>0</v>
      </c>
      <c r="AQ18" s="101">
        <f>SUMIFS('9'!$E:$E,'9'!$A:$A,Año_Inicial+7,'9'!$B:$B,'12'!AP$4,'9'!$D:$D,"Aplicación de enmiendas")</f>
        <v>0</v>
      </c>
      <c r="AR18" s="101">
        <f>((A8_A_L20*Enmienda_A)+(A8_B_L20*Enmienda_B)+(A8_C_L20*Enmienda_C)+(A8_D_L20*Enmienda_D)+(A8_Y_L20*Enmienda_Y))*Inflación_8</f>
        <v>0</v>
      </c>
      <c r="AS18" s="101">
        <f>SUMIFS('9'!$E:$E,'9'!$A:$A,Año_Inicial+7,'9'!$B:$B,'12'!AR$4,'9'!$D:$D,"Aplicación de enmiendas")</f>
        <v>0</v>
      </c>
      <c r="AT18" s="101">
        <f>((A8_A_L21*Enmienda_A)+(A8_B_L21*Enmienda_B)+(A8_C_L21*Enmienda_C)+(A8_D_L21*Enmienda_D)+(A8_Y_L21*Enmienda_Y))*Inflación_8</f>
        <v>0</v>
      </c>
      <c r="AU18" s="101">
        <f>SUMIFS('9'!$E:$E,'9'!$A:$A,Año_Inicial+7,'9'!$B:$B,'12'!AT$4,'9'!$D:$D,"Aplicación de enmiendas")</f>
        <v>0</v>
      </c>
      <c r="AV18" s="101">
        <f>((A8_A_L22*Enmienda_A)+(A8_B_L22*Enmienda_B)+(A8_C_L22*Enmienda_C)+(A8_D_L22*Enmienda_D)+(A8_Y_L22*Enmienda_Y))*Inflación_8</f>
        <v>0</v>
      </c>
      <c r="AW18" s="101">
        <f>SUMIFS('9'!$E:$E,'9'!$A:$A,Año_Inicial+7,'9'!$B:$B,'12'!AV$4,'9'!$D:$D,"Aplicación de enmiendas")</f>
        <v>0</v>
      </c>
      <c r="AX18" s="101">
        <f>((A8_A_L23*Enmienda_A)+(A8_B_L23*Enmienda_B)+(A8_C_L23*Enmienda_C)+(A8_D_L23*Enmienda_D)+(A8_Y_L23*Enmienda_Y))*Inflación_8</f>
        <v>0</v>
      </c>
      <c r="AY18" s="101">
        <f>SUMIFS('9'!$E:$E,'9'!$A:$A,Año_Inicial+7,'9'!$B:$B,'12'!AX$4,'9'!$D:$D,"Aplicación de enmiendas")</f>
        <v>0</v>
      </c>
      <c r="AZ18" s="101">
        <f>((A8_A_L24*Enmienda_A)+(A8_B_L24*Enmienda_B)+(A8_C_L24*Enmienda_C)+(A8_D_L24*Enmienda_D)+(A8_Y_L24*Enmienda_Y))*Inflación_8</f>
        <v>0</v>
      </c>
      <c r="BA18" s="101">
        <f>SUMIFS('9'!$E:$E,'9'!$A:$A,Año_Inicial+7,'9'!$B:$B,'12'!AZ$4,'9'!$D:$D,"Aplicación de enmiendas")</f>
        <v>0</v>
      </c>
      <c r="BB18" s="101">
        <f>((A8_A_L25*Enmienda_A)+(A8_B_L25*Enmienda_B)+(A8_C_L25*Enmienda_C)+(A8_D_L25*Enmienda_D)+(A8_Y_L25*Enmienda_Y))*Inflación_8</f>
        <v>0</v>
      </c>
      <c r="BC18" s="101">
        <f>SUMIFS('9'!$E:$E,'9'!$A:$A,Año_Inicial+7,'9'!$B:$B,'12'!BB$4,'9'!$D:$D,"Aplicación de enmiendas")</f>
        <v>0</v>
      </c>
      <c r="BD18" s="101">
        <f>((A8_A_L26*Enmienda_A)+(A8_B_L26*Enmienda_B)+(A8_C_L26*Enmienda_C)+(A8_D_L26*Enmienda_D)+(A8_Y_L26*Enmienda_Y))*Inflación_8</f>
        <v>0</v>
      </c>
      <c r="BE18" s="101">
        <f>SUMIFS('9'!$E:$E,'9'!$A:$A,Año_Inicial+7,'9'!$B:$B,'12'!BD$4,'9'!$D:$D,"Aplicación de enmiendas")</f>
        <v>0</v>
      </c>
      <c r="BF18" s="101">
        <f>((A8_A_L27*Enmienda_A)+(A8_B_L27*Enmienda_B)+(A8_C_L27*Enmienda_C)+(A8_D_L27*Enmienda_D)+(A8_Y_L27*Enmienda_Y))*Inflación_8</f>
        <v>0</v>
      </c>
      <c r="BG18" s="101">
        <f>SUMIFS('9'!$E:$E,'9'!$A:$A,Año_Inicial+7,'9'!$B:$B,'12'!BF$4,'9'!$D:$D,"Aplicación de enmiendas")</f>
        <v>0</v>
      </c>
      <c r="BH18" s="101">
        <f>((A8_A_L28*Enmienda_A)+(A8_B_L28*Enmienda_B)+(A8_C_L28*Enmienda_C)+(A8_D_L28*Enmienda_D)+(A8_Y_L28*Enmienda_Y))*Inflación_8</f>
        <v>0</v>
      </c>
      <c r="BI18" s="101">
        <f>SUMIFS('9'!$E:$E,'9'!$A:$A,Año_Inicial+7,'9'!$B:$B,'12'!BH$4,'9'!$D:$D,"Aplicación de enmiendas")</f>
        <v>0</v>
      </c>
      <c r="BJ18" s="101">
        <f>((A8_A_L29*Enmienda_A)+(A8_B_L29*Enmienda_B)+(A8_C_L29*Enmienda_C)+(A8_D_L29*Enmienda_D)+(A8_Y_L29*Enmienda_Y))*Inflación_8</f>
        <v>0</v>
      </c>
      <c r="BK18" s="101">
        <f>SUMIFS('9'!$E:$E,'9'!$A:$A,Año_Inicial+7,'9'!$B:$B,'12'!BJ$4,'9'!$D:$D,"Aplicación de enmiendas")</f>
        <v>0</v>
      </c>
      <c r="BL18" s="101">
        <f>((A8_A_L30*Enmienda_A)+(A8_B_L30*Enmienda_B)+(A8_C_L30*Enmienda_C)+(A8_D_L30*Enmienda_D)+(A8_Y_L30*Enmienda_Y))*Inflación_8</f>
        <v>0</v>
      </c>
      <c r="BM18" s="101">
        <f>SUMIFS('9'!$E:$E,'9'!$A:$A,Año_Inicial+7,'9'!$B:$B,'12'!BL$4,'9'!$D:$D,"Aplicación de enmiendas")</f>
        <v>0</v>
      </c>
      <c r="BN18" s="101">
        <f>((A8_A_L31*Enmienda_A)+(A8_B_L31*Enmienda_B)+(A8_C_L31*Enmienda_C)+(A8_D_L31*Enmienda_D)+(A8_Y_L31*Enmienda_Y))*Inflación_8</f>
        <v>0</v>
      </c>
      <c r="BO18" s="101">
        <f>SUMIFS('9'!$E:$E,'9'!$A:$A,Año_Inicial+7,'9'!$B:$B,'12'!BN$4,'9'!$D:$D,"Aplicación de enmiendas")</f>
        <v>0</v>
      </c>
      <c r="BP18" s="101">
        <f>((A8_A_L32*Enmienda_A)+(A8_B_L32*Enmienda_B)+(A8_C_L32*Enmienda_C)+(A8_D_L32*Enmienda_D)+(A8_Y_L32*Enmienda_Y))*Inflación_8</f>
        <v>0</v>
      </c>
      <c r="BQ18" s="101">
        <f>SUMIFS('9'!$E:$E,'9'!$A:$A,Año_Inicial+7,'9'!$B:$B,'12'!BP$4,'9'!$D:$D,"Aplicación de enmiendas")</f>
        <v>0</v>
      </c>
      <c r="BR18" s="101">
        <f>((A8_A_L33*Enmienda_A)+(A8_B_L33*Enmienda_B)+(A8_C_L33*Enmienda_C)+(A8_D_L33*Enmienda_D)+(A8_Y_L33*Enmienda_Y))*Inflación_8</f>
        <v>0</v>
      </c>
      <c r="BS18" s="101">
        <f>SUMIFS('9'!$E:$E,'9'!$A:$A,Año_Inicial+7,'9'!$B:$B,'12'!BR$4,'9'!$D:$D,"Aplicación de enmiendas")</f>
        <v>0</v>
      </c>
      <c r="BT18" s="101">
        <f>((A8_A_L34*Enmienda_A)+(A8_B_L34*Enmienda_B)+(A8_C_L34*Enmienda_C)+(A8_D_L34*Enmienda_D)+(A8_Y_L34*Enmienda_Y))*Inflación_8</f>
        <v>0</v>
      </c>
      <c r="BU18" s="101">
        <f>SUMIFS('9'!$E:$E,'9'!$A:$A,Año_Inicial+7,'9'!$B:$B,'12'!BT$4,'9'!$D:$D,"Aplicación de enmiendas")</f>
        <v>0</v>
      </c>
      <c r="BV18" s="101">
        <f>((A8_A_L35*Enmienda_A)+(A8_B_L35*Enmienda_B)+(A8_C_L35*Enmienda_C)+(A8_D_L35*Enmienda_D)+(A8_Y_L35*Enmienda_Y))*Inflación_8</f>
        <v>0</v>
      </c>
      <c r="BW18" s="101">
        <f>SUMIFS('9'!$E:$E,'9'!$A:$A,Año_Inicial+7,'9'!$B:$B,'12'!BV$4,'9'!$D:$D,"Aplicación de enmiendas")</f>
        <v>0</v>
      </c>
      <c r="BX18" s="101">
        <f>((A8_A_L36*Enmienda_A)+(A8_B_L36*Enmienda_B)+(A8_C_L36*Enmienda_C)+(A8_D_L36*Enmienda_D)+(A8_Y_L36*Enmienda_Y))*Inflación_8</f>
        <v>0</v>
      </c>
      <c r="BY18" s="101">
        <f>SUMIFS('9'!$E:$E,'9'!$A:$A,Año_Inicial+7,'9'!$B:$B,'12'!BX$4,'9'!$D:$D,"Aplicación de enmiendas")</f>
        <v>0</v>
      </c>
      <c r="BZ18" s="101">
        <f>((A8_A_L37*Enmienda_A)+(A8_B_L37*Enmienda_B)+(A8_C_L37*Enmienda_C)+(A8_D_L37*Enmienda_D)+(A8_Y_L37*Enmienda_Y))*Inflación_8</f>
        <v>0</v>
      </c>
      <c r="CA18" s="101">
        <f>SUMIFS('9'!$E:$E,'9'!$A:$A,Año_Inicial+7,'9'!$B:$B,'12'!BZ$4,'9'!$D:$D,"Aplicación de enmiendas")</f>
        <v>0</v>
      </c>
      <c r="CB18" s="101">
        <f>((A8_A_L38*Enmienda_A)+(A8_B_L38*Enmienda_B)+(A8_C_L38*Enmienda_C)+(A8_D_L38*Enmienda_D)+(A8_Y_L38*Enmienda_Y))*Inflación_8</f>
        <v>0</v>
      </c>
      <c r="CC18" s="101">
        <f>SUMIFS('9'!$E:$E,'9'!$A:$A,Año_Inicial+7,'9'!$B:$B,'12'!CB$4,'9'!$D:$D,"Aplicación de enmiendas")</f>
        <v>0</v>
      </c>
      <c r="CD18" s="101">
        <f>((A8_A_L39*Enmienda_A)+(A8_B_L39*Enmienda_B)+(A8_C_L39*Enmienda_C)+(A8_D_L39*Enmienda_D)+(A8_Y_L39*Enmienda_Y))*Inflación_8</f>
        <v>0</v>
      </c>
      <c r="CE18" s="101">
        <f>SUMIFS('9'!$E:$E,'9'!$A:$A,Año_Inicial+7,'9'!$B:$B,'12'!CD$4,'9'!$D:$D,"Aplicación de enmiendas")</f>
        <v>0</v>
      </c>
      <c r="CF18" s="101">
        <f>((A8_A_L40*Enmienda_A)+(A8_B_L40*Enmienda_B)+(A8_C_L40*Enmienda_C)+(A8_D_L40*Enmienda_D)+(A8_Y_L40*Enmienda_Y))*Inflación_8</f>
        <v>0</v>
      </c>
      <c r="CG18" s="101">
        <f>SUMIFS('9'!$E:$E,'9'!$A:$A,Año_Inicial+7,'9'!$B:$B,'12'!CF$4,'9'!$D:$D,"Aplicación de enmiendas")</f>
        <v>0</v>
      </c>
      <c r="CH18" s="473"/>
      <c r="CI18" s="101">
        <f>Plantas_A_A8*Enmienda_A*Inflación_8</f>
        <v>0</v>
      </c>
      <c r="CJ18" s="101">
        <f>Plantas_B_A8*Enmienda_B</f>
        <v>0</v>
      </c>
      <c r="CK18" s="101">
        <f>Plantas_C_A8*Enmienda_C</f>
        <v>0</v>
      </c>
      <c r="CL18" s="101">
        <f>Plantas_D_A8*Enmienda_D</f>
        <v>0</v>
      </c>
      <c r="CM18" s="101"/>
      <c r="CN18" s="101">
        <f>Plantas_Y_A8*Enmienda_Y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SUMIFS('9'!$E:$E,'9'!$A:$A,Año_Inicial+7,'9'!$D:$D,"Fertilizante químico")</f>
        <v>0</v>
      </c>
      <c r="D19" s="100">
        <f t="shared" si="45"/>
        <v>0</v>
      </c>
      <c r="E19" s="473"/>
      <c r="F19" s="101">
        <f>((A8_A_L1*Fertilizante_A)+(A8_B_L1*Fertilizante_B)+(A8_C_L1*Fertilizante_C)+(A8_D_L1*Fertilizante_D)+(A8_Y_L1*Fertilizante_Y))*Inflación_8</f>
        <v>0</v>
      </c>
      <c r="G19" s="101">
        <f>SUMIFS('9'!$E:$E,'9'!$A:$A,Año_Inicial+7,'9'!$B:$B,'12'!F$4,'9'!$D:$D,"Fertilizante químico")</f>
        <v>0</v>
      </c>
      <c r="H19" s="101">
        <f>((A8_A_L2*Fertilizante_A)+(A8_B_L2*Fertilizante_B)+(A8_C_L2*Fertilizante_C)+(A8_D_L2*Fertilizante_D)+(A8_Y_L2*Fertilizante_Y))*Inflación_8</f>
        <v>0</v>
      </c>
      <c r="I19" s="101">
        <f>SUMIFS('9'!$E:$E,'9'!$A:$A,Año_Inicial+7,'9'!$B:$B,'12'!H$4,'9'!$D:$D,"Fertilizante químico")</f>
        <v>0</v>
      </c>
      <c r="J19" s="101">
        <f>((A8_A_L3*Fertilizante_A)+(A8_B_L3*Fertilizante_B)+(A8_C_L3*Fertilizante_C)+(A8_D_L3*Fertilizante_D)+(A8_Y_L3*Fertilizante_Y))*Inflación_8</f>
        <v>0</v>
      </c>
      <c r="K19" s="101">
        <f>SUMIFS('9'!$E:$E,'9'!$A:$A,Año_Inicial+7,'9'!$B:$B,'12'!J$4,'9'!$D:$D,"Fertilizante químico")</f>
        <v>0</v>
      </c>
      <c r="L19" s="101">
        <f>((A8_A_L4*Fertilizante_A)+(A8_B_L4*Fertilizante_B)+(A8_C_L4*Fertilizante_C)+(A8_D_L4*Fertilizante_D)+(A8_Y_L4*Fertilizante_Y))*Inflación_8</f>
        <v>0</v>
      </c>
      <c r="M19" s="101">
        <f>SUMIFS('9'!$E:$E,'9'!$A:$A,Año_Inicial+7,'9'!$B:$B,'12'!L$4,'9'!$D:$D,"Fertilizante químico")</f>
        <v>0</v>
      </c>
      <c r="N19" s="101">
        <f>((A8_A_L5*Fertilizante_A)+(A8_B_L5*Fertilizante_B)+(A8_C_L5*Fertilizante_C)+(A8_D_L5*Fertilizante_D)+(A8_Y_L5*Fertilizante_Y))*Inflación_8</f>
        <v>0</v>
      </c>
      <c r="O19" s="101">
        <f>SUMIFS('9'!$E:$E,'9'!$A:$A,Año_Inicial+7,'9'!$B:$B,'12'!N$4,'9'!$D:$D,"Fertilizante químico")</f>
        <v>0</v>
      </c>
      <c r="P19" s="101">
        <f>((A8_A_L6*Fertilizante_A)+(A8_B_L6*Fertilizante_B)+(A8_C_L6*Fertilizante_C)+(A8_D_L6*Fertilizante_D)+(A8_Y_L6*Fertilizante_Y))*Inflación_8</f>
        <v>0</v>
      </c>
      <c r="Q19" s="101">
        <f>SUMIFS('9'!$E:$E,'9'!$A:$A,Año_Inicial+7,'9'!$B:$B,'12'!P$4,'9'!$D:$D,"Fertilizante químico")</f>
        <v>0</v>
      </c>
      <c r="R19" s="101">
        <f>((A8_A_L7*Fertilizante_A)+(A8_B_L7*Fertilizante_B)+(A8_C_L7*Fertilizante_C)+(A8_D_L7*Fertilizante_D)+(A8_Y_L7*Fertilizante_Y))*Inflación_8</f>
        <v>0</v>
      </c>
      <c r="S19" s="101">
        <f>SUMIFS('9'!$E:$E,'9'!$A:$A,Año_Inicial+7,'9'!$B:$B,'12'!R$4,'9'!$D:$D,"Fertilizante químico")</f>
        <v>0</v>
      </c>
      <c r="T19" s="101">
        <f>((A8_A_L8*Fertilizante_A)+(A8_B_L8*Fertilizante_B)+(A8_C_L8*Fertilizante_C)+(A8_D_L8*Fertilizante_D)+(A8_Y_L8*Fertilizante_Y))*Inflación_8</f>
        <v>0</v>
      </c>
      <c r="U19" s="101">
        <f>SUMIFS('9'!$E:$E,'9'!$A:$A,Año_Inicial+7,'9'!$B:$B,'12'!T$4,'9'!$D:$D,"Fertilizante químico")</f>
        <v>0</v>
      </c>
      <c r="V19" s="101">
        <f>((A8_A_L9*Fertilizante_A)+(A8_B_L9*Fertilizante_B)+(A8_C_L9*Fertilizante_C)+(A8_D_L9*Fertilizante_D)+(A8_Y_L9*Fertilizante_Y))*Inflación_8</f>
        <v>0</v>
      </c>
      <c r="W19" s="101">
        <f>SUMIFS('9'!$E:$E,'9'!$A:$A,Año_Inicial+7,'9'!$B:$B,'12'!V$4,'9'!$D:$D,"Fertilizante químico")</f>
        <v>0</v>
      </c>
      <c r="X19" s="101">
        <f>((A8_A_L10*Fertilizante_A)+(A8_B_L10*Fertilizante_B)+(A8_C_L10*Fertilizante_C)+(A8_D_L10*Fertilizante_D)+(A8_Y_L10*Fertilizante_Y))*Inflación_8</f>
        <v>0</v>
      </c>
      <c r="Y19" s="101">
        <f>SUMIFS('9'!$E:$E,'9'!$A:$A,Año_Inicial+7,'9'!$B:$B,'12'!X$4,'9'!$D:$D,"Fertilizante químico")</f>
        <v>0</v>
      </c>
      <c r="Z19" s="101">
        <f>((A8_A_L11*Fertilizante_A)+(A8_B_L11*Fertilizante_B)+(A8_C_L11*Fertilizante_C)+(A8_D_L11*Fertilizante_D)+(A8_Y_L11*Fertilizante_Y))*Inflación_8</f>
        <v>0</v>
      </c>
      <c r="AA19" s="101">
        <f>SUMIFS('9'!$E:$E,'9'!$A:$A,Año_Inicial+7,'9'!$B:$B,'12'!Z$4,'9'!$D:$D,"Fertilizante químico")</f>
        <v>0</v>
      </c>
      <c r="AB19" s="101">
        <f>((A8_A_L12*Fertilizante_A)+(A8_B_L12*Fertilizante_B)+(A8_C_L12*Fertilizante_C)+(A8_D_L12*Fertilizante_D)+(A8_Y_L12*Fertilizante_Y))*Inflación_8</f>
        <v>0</v>
      </c>
      <c r="AC19" s="101">
        <f>SUMIFS('9'!$E:$E,'9'!$A:$A,Año_Inicial+7,'9'!$B:$B,'12'!AB$4,'9'!$D:$D,"Fertilizante químico")</f>
        <v>0</v>
      </c>
      <c r="AD19" s="101">
        <f>((A8_A_L13*Fertilizante_A)+(A8_B_L13*Fertilizante_B)+(A8_C_L13*Fertilizante_C)+(A8_D_L13*Fertilizante_D)+(A8_Y_L13*Fertilizante_Y))*Inflación_8</f>
        <v>0</v>
      </c>
      <c r="AE19" s="101">
        <f>SUMIFS('9'!$E:$E,'9'!$A:$A,Año_Inicial+7,'9'!$B:$B,'12'!AD$4,'9'!$D:$D,"Fertilizante químico")</f>
        <v>0</v>
      </c>
      <c r="AF19" s="101">
        <f>((A8_A_L14*Fertilizante_A)+(A8_B_L14*Fertilizante_B)+(A8_C_L14*Fertilizante_C)+(A8_D_L14*Fertilizante_D)+(A8_Y_L14*Fertilizante_Y))*Inflación_8</f>
        <v>0</v>
      </c>
      <c r="AG19" s="101">
        <f>SUMIFS('9'!$E:$E,'9'!$A:$A,Año_Inicial+7,'9'!$B:$B,'12'!AF$4,'9'!$D:$D,"Fertilizante químico")</f>
        <v>0</v>
      </c>
      <c r="AH19" s="101">
        <f>((A8_A_L15*Fertilizante_A)+(A8_B_L15*Fertilizante_B)+(A8_C_L15*Fertilizante_C)+(A8_D_L15*Fertilizante_D)+(A8_Y_L15*Fertilizante_Y))*Inflación_8</f>
        <v>0</v>
      </c>
      <c r="AI19" s="101">
        <f>SUMIFS('9'!$E:$E,'9'!$A:$A,Año_Inicial+7,'9'!$B:$B,'12'!AH$4,'9'!$D:$D,"Fertilizante químico")</f>
        <v>0</v>
      </c>
      <c r="AJ19" s="101">
        <f>((A8_A_L16*Fertilizante_A)+(A8_B_L16*Fertilizante_B)+(A8_C_L16*Fertilizante_C)+(A8_D_L16*Fertilizante_D)+(A8_Y_L16*Fertilizante_Y))*Inflación_8</f>
        <v>0</v>
      </c>
      <c r="AK19" s="101">
        <f>SUMIFS('9'!$E:$E,'9'!$A:$A,Año_Inicial+7,'9'!$B:$B,'12'!AJ$4,'9'!$D:$D,"Fertilizante químico")</f>
        <v>0</v>
      </c>
      <c r="AL19" s="101">
        <f>((A8_A_L17*Fertilizante_A)+(A8_B_L17*Fertilizante_B)+(A8_C_L17*Fertilizante_C)+(A8_D_L17*Fertilizante_D)+(A8_Y_L17*Fertilizante_Y))*Inflación_8</f>
        <v>0</v>
      </c>
      <c r="AM19" s="101">
        <f>SUMIFS('9'!$E:$E,'9'!$A:$A,Año_Inicial+7,'9'!$B:$B,'12'!AL$4,'9'!$D:$D,"Fertilizante químico")</f>
        <v>0</v>
      </c>
      <c r="AN19" s="101">
        <f>((A8_A_L18*Fertilizante_A)+(A8_B_L18*Fertilizante_B)+(A8_C_L18*Fertilizante_C)+(A8_D_L18*Fertilizante_D)+(A8_Y_L18*Fertilizante_Y))*Inflación_8</f>
        <v>0</v>
      </c>
      <c r="AO19" s="101">
        <f>SUMIFS('9'!$E:$E,'9'!$A:$A,Año_Inicial+7,'9'!$B:$B,'12'!AN$4,'9'!$D:$D,"Fertilizante químico")</f>
        <v>0</v>
      </c>
      <c r="AP19" s="101">
        <f>((A8_A_L19*Fertilizante_A)+(A8_B_L19*Fertilizante_B)+(A8_C_L19*Fertilizante_C)+(A8_D_L19*Fertilizante_D)+(A8_Y_L19*Fertilizante_Y))*Inflación_8</f>
        <v>0</v>
      </c>
      <c r="AQ19" s="101">
        <f>SUMIFS('9'!$E:$E,'9'!$A:$A,Año_Inicial+7,'9'!$B:$B,'12'!AP$4,'9'!$D:$D,"Fertilizante químico")</f>
        <v>0</v>
      </c>
      <c r="AR19" s="101">
        <f>((A8_A_L20*Fertilizante_A)+(A8_B_L20*Fertilizante_B)+(A8_C_L20*Fertilizante_C)+(A8_D_L20*Fertilizante_D)+(A8_Y_L20*Fertilizante_Y))*Inflación_8</f>
        <v>0</v>
      </c>
      <c r="AS19" s="101">
        <f>SUMIFS('9'!$E:$E,'9'!$A:$A,Año_Inicial+7,'9'!$B:$B,'12'!AR$4,'9'!$D:$D,"Fertilizante químico")</f>
        <v>0</v>
      </c>
      <c r="AT19" s="101">
        <f>((A8_A_L21*Fertilizante_A)+(A8_B_L21*Fertilizante_B)+(A8_C_L21*Fertilizante_C)+(A8_D_L21*Fertilizante_D)+(A8_Y_L21*Fertilizante_Y))*Inflación_8</f>
        <v>0</v>
      </c>
      <c r="AU19" s="101">
        <f>SUMIFS('9'!$E:$E,'9'!$A:$A,Año_Inicial+7,'9'!$B:$B,'12'!AT$4,'9'!$D:$D,"Fertilizante químico")</f>
        <v>0</v>
      </c>
      <c r="AV19" s="101">
        <f>((A8_A_L22*Fertilizante_A)+(A8_B_L22*Fertilizante_B)+(A8_C_L22*Fertilizante_C)+(A8_D_L22*Fertilizante_D)+(A8_Y_L22*Fertilizante_Y))*Inflación_8</f>
        <v>0</v>
      </c>
      <c r="AW19" s="101">
        <f>SUMIFS('9'!$E:$E,'9'!$A:$A,Año_Inicial+7,'9'!$B:$B,'12'!AV$4,'9'!$D:$D,"Fertilizante químico")</f>
        <v>0</v>
      </c>
      <c r="AX19" s="101">
        <f>((A8_A_L23*Fertilizante_A)+(A8_B_L23*Fertilizante_B)+(A8_C_L23*Fertilizante_C)+(A8_D_L23*Fertilizante_D)+(A8_Y_L23*Fertilizante_Y))*Inflación_8</f>
        <v>0</v>
      </c>
      <c r="AY19" s="101">
        <f>SUMIFS('9'!$E:$E,'9'!$A:$A,Año_Inicial+7,'9'!$B:$B,'12'!AX$4,'9'!$D:$D,"Fertilizante químico")</f>
        <v>0</v>
      </c>
      <c r="AZ19" s="101">
        <f>((A8_A_L24*Fertilizante_A)+(A8_B_L24*Fertilizante_B)+(A8_C_L24*Fertilizante_C)+(A8_D_L24*Fertilizante_D)+(A8_Y_L24*Fertilizante_Y))*Inflación_8</f>
        <v>0</v>
      </c>
      <c r="BA19" s="101">
        <f>SUMIFS('9'!$E:$E,'9'!$A:$A,Año_Inicial+7,'9'!$B:$B,'12'!AZ$4,'9'!$D:$D,"Fertilizante químico")</f>
        <v>0</v>
      </c>
      <c r="BB19" s="101">
        <f>((A8_A_L25*Fertilizante_A)+(A8_B_L25*Fertilizante_B)+(A8_C_L25*Fertilizante_C)+(A8_D_L25*Fertilizante_D)+(A8_Y_L25*Fertilizante_Y))*Inflación_8</f>
        <v>0</v>
      </c>
      <c r="BC19" s="101">
        <f>SUMIFS('9'!$E:$E,'9'!$A:$A,Año_Inicial+7,'9'!$B:$B,'12'!BB$4,'9'!$D:$D,"Fertilizante químico")</f>
        <v>0</v>
      </c>
      <c r="BD19" s="101">
        <f>((A8_A_L26*Fertilizante_A)+(A8_B_L26*Fertilizante_B)+(A8_C_L26*Fertilizante_C)+(A8_D_L26*Fertilizante_D)+(A8_Y_L26*Fertilizante_Y))*Inflación_8</f>
        <v>0</v>
      </c>
      <c r="BE19" s="101">
        <f>SUMIFS('9'!$E:$E,'9'!$A:$A,Año_Inicial+7,'9'!$B:$B,'12'!BD$4,'9'!$D:$D,"Fertilizante químico")</f>
        <v>0</v>
      </c>
      <c r="BF19" s="101">
        <f>((A8_A_L27*Fertilizante_A)+(A8_B_L27*Fertilizante_B)+(A8_C_L27*Fertilizante_C)+(A8_D_L27*Fertilizante_D)+(A8_Y_L27*Fertilizante_Y))*Inflación_8</f>
        <v>0</v>
      </c>
      <c r="BG19" s="101">
        <f>SUMIFS('9'!$E:$E,'9'!$A:$A,Año_Inicial+7,'9'!$B:$B,'12'!BF$4,'9'!$D:$D,"Fertilizante químico")</f>
        <v>0</v>
      </c>
      <c r="BH19" s="101">
        <f>((A8_A_L28*Fertilizante_A)+(A8_B_L28*Fertilizante_B)+(A8_C_L28*Fertilizante_C)+(A8_D_L28*Fertilizante_D)+(A8_Y_L28*Fertilizante_Y))*Inflación_8</f>
        <v>0</v>
      </c>
      <c r="BI19" s="101">
        <f>SUMIFS('9'!$E:$E,'9'!$A:$A,Año_Inicial+7,'9'!$B:$B,'12'!BH$4,'9'!$D:$D,"Fertilizante químico")</f>
        <v>0</v>
      </c>
      <c r="BJ19" s="101">
        <f>((A8_A_L29*Fertilizante_A)+(A8_B_L29*Fertilizante_B)+(A8_C_L29*Fertilizante_C)+(A8_D_L29*Fertilizante_D)+(A8_Y_L29*Fertilizante_Y))*Inflación_8</f>
        <v>0</v>
      </c>
      <c r="BK19" s="101">
        <f>SUMIFS('9'!$E:$E,'9'!$A:$A,Año_Inicial+7,'9'!$B:$B,'12'!BJ$4,'9'!$D:$D,"Fertilizante químico")</f>
        <v>0</v>
      </c>
      <c r="BL19" s="101">
        <f>((A8_A_L30*Fertilizante_A)+(A8_B_L30*Fertilizante_B)+(A8_C_L30*Fertilizante_C)+(A8_D_L30*Fertilizante_D)+(A8_Y_L30*Fertilizante_Y))*Inflación_8</f>
        <v>0</v>
      </c>
      <c r="BM19" s="101">
        <f>SUMIFS('9'!$E:$E,'9'!$A:$A,Año_Inicial+7,'9'!$B:$B,'12'!BL$4,'9'!$D:$D,"Fertilizante químico")</f>
        <v>0</v>
      </c>
      <c r="BN19" s="101">
        <f>((A8_A_L31*Fertilizante_A)+(A8_B_L31*Fertilizante_B)+(A8_C_L31*Fertilizante_C)+(A8_D_L31*Fertilizante_D)+(A8_Y_L31*Fertilizante_Y))*Inflación_8</f>
        <v>0</v>
      </c>
      <c r="BO19" s="101">
        <f>SUMIFS('9'!$E:$E,'9'!$A:$A,Año_Inicial+7,'9'!$B:$B,'12'!BN$4,'9'!$D:$D,"Fertilizante químico")</f>
        <v>0</v>
      </c>
      <c r="BP19" s="101">
        <f>((A8_A_L32*Fertilizante_A)+(A8_B_L32*Fertilizante_B)+(A8_C_L32*Fertilizante_C)+(A8_D_L32*Fertilizante_D)+(A8_Y_L32*Fertilizante_Y))*Inflación_8</f>
        <v>0</v>
      </c>
      <c r="BQ19" s="101">
        <f>SUMIFS('9'!$E:$E,'9'!$A:$A,Año_Inicial+7,'9'!$B:$B,'12'!BP$4,'9'!$D:$D,"Fertilizante químico")</f>
        <v>0</v>
      </c>
      <c r="BR19" s="101">
        <f>((A8_A_L33*Fertilizante_A)+(A8_B_L33*Fertilizante_B)+(A8_C_L33*Fertilizante_C)+(A8_D_L33*Fertilizante_D)+(A8_Y_L33*Fertilizante_Y))*Inflación_8</f>
        <v>0</v>
      </c>
      <c r="BS19" s="101">
        <f>SUMIFS('9'!$E:$E,'9'!$A:$A,Año_Inicial+7,'9'!$B:$B,'12'!BR$4,'9'!$D:$D,"Fertilizante químico")</f>
        <v>0</v>
      </c>
      <c r="BT19" s="101">
        <f>((A8_A_L34*Fertilizante_A)+(A8_B_L34*Fertilizante_B)+(A8_C_L34*Fertilizante_C)+(A8_D_L34*Fertilizante_D)+(A8_Y_L34*Fertilizante_Y))*Inflación_8</f>
        <v>0</v>
      </c>
      <c r="BU19" s="101">
        <f>SUMIFS('9'!$E:$E,'9'!$A:$A,Año_Inicial+7,'9'!$B:$B,'12'!BT$4,'9'!$D:$D,"Fertilizante químico")</f>
        <v>0</v>
      </c>
      <c r="BV19" s="101">
        <f>((A8_A_L35*Fertilizante_A)+(A8_B_L35*Fertilizante_B)+(A8_C_L35*Fertilizante_C)+(A8_D_L35*Fertilizante_D)+(A8_Y_L35*Fertilizante_Y))*Inflación_8</f>
        <v>0</v>
      </c>
      <c r="BW19" s="101">
        <f>SUMIFS('9'!$E:$E,'9'!$A:$A,Año_Inicial+7,'9'!$B:$B,'12'!BV$4,'9'!$D:$D,"Fertilizante químico")</f>
        <v>0</v>
      </c>
      <c r="BX19" s="101">
        <f>((A8_A_L36*Fertilizante_A)+(A8_B_L36*Fertilizante_B)+(A8_C_L36*Fertilizante_C)+(A8_D_L36*Fertilizante_D)+(A8_Y_L36*Fertilizante_Y))*Inflación_8</f>
        <v>0</v>
      </c>
      <c r="BY19" s="101">
        <f>SUMIFS('9'!$E:$E,'9'!$A:$A,Año_Inicial+7,'9'!$B:$B,'12'!BX$4,'9'!$D:$D,"Fertilizante químico")</f>
        <v>0</v>
      </c>
      <c r="BZ19" s="101">
        <f>((A8_A_L37*Fertilizante_A)+(A8_B_L37*Fertilizante_B)+(A8_C_L37*Fertilizante_C)+(A8_D_L37*Fertilizante_D)+(A8_Y_L37*Fertilizante_Y))*Inflación_8</f>
        <v>0</v>
      </c>
      <c r="CA19" s="101">
        <f>SUMIFS('9'!$E:$E,'9'!$A:$A,Año_Inicial+7,'9'!$B:$B,'12'!BZ$4,'9'!$D:$D,"Fertilizante químico")</f>
        <v>0</v>
      </c>
      <c r="CB19" s="101">
        <f>((A8_A_L38*Fertilizante_A)+(A8_B_L38*Fertilizante_B)+(A8_C_L38*Fertilizante_C)+(A8_D_L38*Fertilizante_D)+(A8_Y_L38*Fertilizante_Y))*Inflación_8</f>
        <v>0</v>
      </c>
      <c r="CC19" s="101">
        <f>SUMIFS('9'!$E:$E,'9'!$A:$A,Año_Inicial+7,'9'!$B:$B,'12'!CB$4,'9'!$D:$D,"Fertilizante químico")</f>
        <v>0</v>
      </c>
      <c r="CD19" s="101">
        <f>((A8_A_L39*Fertilizante_A)+(A8_B_L39*Fertilizante_B)+(A8_C_L39*Fertilizante_C)+(A8_D_L39*Fertilizante_D)+(A8_Y_L39*Fertilizante_Y))*Inflación_8</f>
        <v>0</v>
      </c>
      <c r="CE19" s="101">
        <f>SUMIFS('9'!$E:$E,'9'!$A:$A,Año_Inicial+7,'9'!$B:$B,'12'!CD$4,'9'!$D:$D,"Fertilizante químico")</f>
        <v>0</v>
      </c>
      <c r="CF19" s="101">
        <f>((A8_A_L40*Fertilizante_A)+(A8_B_L40*Fertilizante_B)+(A8_C_L40*Fertilizante_C)+(A8_D_L40*Fertilizante_D)+(A8_Y_L40*Fertilizante_Y))*Inflación_8</f>
        <v>0</v>
      </c>
      <c r="CG19" s="101">
        <f>SUMIFS('9'!$E:$E,'9'!$A:$A,Año_Inicial+7,'9'!$B:$B,'12'!CF$4,'9'!$D:$D,"Fertilizante químico")</f>
        <v>0</v>
      </c>
      <c r="CH19" s="473"/>
      <c r="CI19" s="101">
        <f>Plantas_A_A8*Fertilizante_A*Inflación_8</f>
        <v>0</v>
      </c>
      <c r="CJ19" s="101">
        <f>Plantas_B_A8*Fertilizante_B</f>
        <v>0</v>
      </c>
      <c r="CK19" s="101">
        <f>Plantas_C_A8*Fertilizante_C</f>
        <v>0</v>
      </c>
      <c r="CL19" s="101">
        <f>Plantas_D_A8*Fertilizante_D</f>
        <v>0</v>
      </c>
      <c r="CM19" s="101"/>
      <c r="CN19" s="101">
        <f>Plantas_Y_A8*Fertilizante_Y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SUMIFS('9'!$E:$E,'9'!$A:$A,Año_Inicial+7,'9'!$D:$D,"Material de enmienda")</f>
        <v>0</v>
      </c>
      <c r="D20" s="100">
        <f t="shared" si="45"/>
        <v>0</v>
      </c>
      <c r="E20" s="473"/>
      <c r="F20" s="101">
        <f>((A8_A_L1*Enmiendas_A)+(A8_B_L1*Enmiendas_B)+(A8_C_L1*Enmiendas_C)+(A8_D_L1*Enmiendas_D)+(A8_Y_L1*Enmiendas_Y))*Inflación_8</f>
        <v>0</v>
      </c>
      <c r="G20" s="101">
        <f>SUMIFS('9'!$E:$E,'9'!$A:$A,Año_Inicial+7,'9'!$B:$B,'12'!F$4,'9'!$D:$D,"Material de enmienda")</f>
        <v>0</v>
      </c>
      <c r="H20" s="101">
        <f>((A8_A_L2*Enmiendas_A)+(A8_B_L2*Enmiendas_B)+(A8_C_L2*Enmiendas_C)+(A8_D_L2*Enmiendas_D)+(A8_Y_L2*Enmiendas_Y))*Inflación_8</f>
        <v>0</v>
      </c>
      <c r="I20" s="101">
        <f>SUMIFS('9'!$E:$E,'9'!$A:$A,Año_Inicial+7,'9'!$B:$B,'12'!H$4,'9'!$D:$D,"Material de enmienda")</f>
        <v>0</v>
      </c>
      <c r="J20" s="101">
        <f>((A8_A_L3*Enmiendas_A)+(A8_B_L3*Enmiendas_B)+(A8_C_L3*Enmiendas_C)+(A8_D_L3*Enmiendas_D)+(A8_Y_L3*Enmiendas_Y))*Inflación_8</f>
        <v>0</v>
      </c>
      <c r="K20" s="101">
        <f>SUMIFS('9'!$E:$E,'9'!$A:$A,Año_Inicial+7,'9'!$B:$B,'12'!J$4,'9'!$D:$D,"Material de enmienda")</f>
        <v>0</v>
      </c>
      <c r="L20" s="101">
        <f>((A8_A_L4*Enmiendas_A)+(A8_B_L4*Enmiendas_B)+(A8_C_L4*Enmiendas_C)+(A8_D_L4*Enmiendas_D)+(A8_Y_L4*Enmiendas_Y))*Inflación_8</f>
        <v>0</v>
      </c>
      <c r="M20" s="101">
        <f>SUMIFS('9'!$E:$E,'9'!$A:$A,Año_Inicial+7,'9'!$B:$B,'12'!L$4,'9'!$D:$D,"Material de enmienda")</f>
        <v>0</v>
      </c>
      <c r="N20" s="101">
        <f>((A8_A_L5*Enmiendas_A)+(A8_B_L5*Enmiendas_B)+(A8_C_L5*Enmiendas_C)+(A8_D_L5*Enmiendas_D)+(A8_Y_L5*Enmiendas_Y))*Inflación_8</f>
        <v>0</v>
      </c>
      <c r="O20" s="101">
        <f>SUMIFS('9'!$E:$E,'9'!$A:$A,Año_Inicial+7,'9'!$B:$B,'12'!N$4,'9'!$D:$D,"Material de enmienda")</f>
        <v>0</v>
      </c>
      <c r="P20" s="101">
        <f>((A8_A_L6*Enmiendas_A)+(A8_B_L6*Enmiendas_B)+(A8_C_L6*Enmiendas_C)+(A8_D_L6*Enmiendas_D)+(A8_Y_L6*Enmiendas_Y))*Inflación_8</f>
        <v>0</v>
      </c>
      <c r="Q20" s="101">
        <f>SUMIFS('9'!$E:$E,'9'!$A:$A,Año_Inicial+7,'9'!$B:$B,'12'!P$4,'9'!$D:$D,"Material de enmienda")</f>
        <v>0</v>
      </c>
      <c r="R20" s="101">
        <f>((A8_A_L7*Enmiendas_A)+(A8_B_L7*Enmiendas_B)+(A8_C_L7*Enmiendas_C)+(A8_D_L7*Enmiendas_D)+(A8_Y_L7*Enmiendas_Y))*Inflación_8</f>
        <v>0</v>
      </c>
      <c r="S20" s="101">
        <f>SUMIFS('9'!$E:$E,'9'!$A:$A,Año_Inicial+7,'9'!$B:$B,'12'!R$4,'9'!$D:$D,"Material de enmienda")</f>
        <v>0</v>
      </c>
      <c r="T20" s="101">
        <f>((A8_A_L8*Enmiendas_A)+(A8_B_L8*Enmiendas_B)+(A8_C_L8*Enmiendas_C)+(A8_D_L8*Enmiendas_D)+(A8_Y_L8*Enmiendas_Y))*Inflación_8</f>
        <v>0</v>
      </c>
      <c r="U20" s="101">
        <f>SUMIFS('9'!$E:$E,'9'!$A:$A,Año_Inicial+7,'9'!$B:$B,'12'!T$4,'9'!$D:$D,"Material de enmienda")</f>
        <v>0</v>
      </c>
      <c r="V20" s="101">
        <f>((A8_A_L9*Enmiendas_A)+(A8_B_L9*Enmiendas_B)+(A8_C_L9*Enmiendas_C)+(A8_D_L9*Enmiendas_D)+(A8_Y_L9*Enmiendas_Y))*Inflación_8</f>
        <v>0</v>
      </c>
      <c r="W20" s="101">
        <f>SUMIFS('9'!$E:$E,'9'!$A:$A,Año_Inicial+7,'9'!$B:$B,'12'!V$4,'9'!$D:$D,"Material de enmienda")</f>
        <v>0</v>
      </c>
      <c r="X20" s="101">
        <f>((A8_A_L10*Enmiendas_A)+(A8_B_L10*Enmiendas_B)+(A8_C_L10*Enmiendas_C)+(A8_D_L10*Enmiendas_D)+(A8_Y_L10*Enmiendas_Y))*Inflación_8</f>
        <v>0</v>
      </c>
      <c r="Y20" s="101">
        <f>SUMIFS('9'!$E:$E,'9'!$A:$A,Año_Inicial+7,'9'!$B:$B,'12'!X$4,'9'!$D:$D,"Material de enmienda")</f>
        <v>0</v>
      </c>
      <c r="Z20" s="101">
        <f>((A8_A_L11*Enmiendas_A)+(A8_B_L11*Enmiendas_B)+(A8_C_L11*Enmiendas_C)+(A8_D_L11*Enmiendas_D)+(A8_Y_L11*Enmiendas_Y))*Inflación_8</f>
        <v>0</v>
      </c>
      <c r="AA20" s="101">
        <f>SUMIFS('9'!$E:$E,'9'!$A:$A,Año_Inicial+7,'9'!$B:$B,'12'!Z$4,'9'!$D:$D,"Material de enmienda")</f>
        <v>0</v>
      </c>
      <c r="AB20" s="101">
        <f>((A8_A_L12*Enmiendas_A)+(A8_B_L12*Enmiendas_B)+(A8_C_L12*Enmiendas_C)+(A8_D_L12*Enmiendas_D)+(A8_Y_L12*Enmiendas_Y))*Inflación_8</f>
        <v>0</v>
      </c>
      <c r="AC20" s="101">
        <f>SUMIFS('9'!$E:$E,'9'!$A:$A,Año_Inicial+7,'9'!$B:$B,'12'!AB$4,'9'!$D:$D,"Material de enmienda")</f>
        <v>0</v>
      </c>
      <c r="AD20" s="101">
        <f>((A8_A_L13*Enmiendas_A)+(A8_B_L13*Enmiendas_B)+(A8_C_L13*Enmiendas_C)+(A8_D_L13*Enmiendas_D)+(A8_Y_L13*Enmiendas_Y))*Inflación_8</f>
        <v>0</v>
      </c>
      <c r="AE20" s="101">
        <f>SUMIFS('9'!$E:$E,'9'!$A:$A,Año_Inicial+7,'9'!$B:$B,'12'!AD$4,'9'!$D:$D,"Material de enmienda")</f>
        <v>0</v>
      </c>
      <c r="AF20" s="101">
        <f>((A8_A_L14*Enmiendas_A)+(A8_B_L14*Enmiendas_B)+(A8_C_L14*Enmiendas_C)+(A8_D_L14*Enmiendas_D)+(A8_Y_L14*Enmiendas_Y))*Inflación_8</f>
        <v>0</v>
      </c>
      <c r="AG20" s="101">
        <f>SUMIFS('9'!$E:$E,'9'!$A:$A,Año_Inicial+7,'9'!$B:$B,'12'!AF$4,'9'!$D:$D,"Material de enmienda")</f>
        <v>0</v>
      </c>
      <c r="AH20" s="101">
        <f>((A8_A_L15*Enmiendas_A)+(A8_B_L15*Enmiendas_B)+(A8_C_L15*Enmiendas_C)+(A8_D_L15*Enmiendas_D)+(A8_Y_L15*Enmiendas_Y))*Inflación_8</f>
        <v>0</v>
      </c>
      <c r="AI20" s="101">
        <f>SUMIFS('9'!$E:$E,'9'!$A:$A,Año_Inicial+7,'9'!$B:$B,'12'!AH$4,'9'!$D:$D,"Material de enmienda")</f>
        <v>0</v>
      </c>
      <c r="AJ20" s="101">
        <f>((A8_A_L16*Enmiendas_A)+(A8_B_L16*Enmiendas_B)+(A8_C_L16*Enmiendas_C)+(A8_D_L16*Enmiendas_D)+(A8_Y_L16*Enmiendas_Y))*Inflación_8</f>
        <v>0</v>
      </c>
      <c r="AK20" s="101">
        <f>SUMIFS('9'!$E:$E,'9'!$A:$A,Año_Inicial+7,'9'!$B:$B,'12'!AJ$4,'9'!$D:$D,"Material de enmienda")</f>
        <v>0</v>
      </c>
      <c r="AL20" s="101">
        <f>((A8_A_L17*Enmiendas_A)+(A8_B_L17*Enmiendas_B)+(A8_C_L17*Enmiendas_C)+(A8_D_L17*Enmiendas_D)+(A8_Y_L17*Enmiendas_Y))*Inflación_8</f>
        <v>0</v>
      </c>
      <c r="AM20" s="101">
        <f>SUMIFS('9'!$E:$E,'9'!$A:$A,Año_Inicial+7,'9'!$B:$B,'12'!AL$4,'9'!$D:$D,"Material de enmienda")</f>
        <v>0</v>
      </c>
      <c r="AN20" s="101">
        <f>((A8_A_L18*Enmiendas_A)+(A8_B_L18*Enmiendas_B)+(A8_C_L18*Enmiendas_C)+(A8_D_L18*Enmiendas_D)+(A8_Y_L18*Enmiendas_Y))*Inflación_8</f>
        <v>0</v>
      </c>
      <c r="AO20" s="101">
        <f>SUMIFS('9'!$E:$E,'9'!$A:$A,Año_Inicial+7,'9'!$B:$B,'12'!AN$4,'9'!$D:$D,"Material de enmienda")</f>
        <v>0</v>
      </c>
      <c r="AP20" s="101">
        <f>((A8_A_L19*Enmiendas_A)+(A8_B_L19*Enmiendas_B)+(A8_C_L19*Enmiendas_C)+(A8_D_L19*Enmiendas_D)+(A8_Y_L19*Enmiendas_Y))*Inflación_8</f>
        <v>0</v>
      </c>
      <c r="AQ20" s="101">
        <f>SUMIFS('9'!$E:$E,'9'!$A:$A,Año_Inicial+7,'9'!$B:$B,'12'!AP$4,'9'!$D:$D,"Material de enmienda")</f>
        <v>0</v>
      </c>
      <c r="AR20" s="101">
        <f>((A8_A_L20*Enmiendas_A)+(A8_B_L20*Enmiendas_B)+(A8_C_L20*Enmiendas_C)+(A8_D_L20*Enmiendas_D)+(A8_Y_L20*Enmiendas_Y))*Inflación_8</f>
        <v>0</v>
      </c>
      <c r="AS20" s="101">
        <f>SUMIFS('9'!$E:$E,'9'!$A:$A,Año_Inicial+7,'9'!$B:$B,'12'!AR$4,'9'!$D:$D,"Material de enmienda")</f>
        <v>0</v>
      </c>
      <c r="AT20" s="101">
        <f>((A8_A_L21*Enmiendas_A)+(A8_B_L21*Enmiendas_B)+(A8_C_L21*Enmiendas_C)+(A8_D_L21*Enmiendas_D)+(A8_Y_L21*Enmiendas_Y))*Inflación_8</f>
        <v>0</v>
      </c>
      <c r="AU20" s="101">
        <f>SUMIFS('9'!$E:$E,'9'!$A:$A,Año_Inicial+7,'9'!$B:$B,'12'!AT$4,'9'!$D:$D,"Material de enmienda")</f>
        <v>0</v>
      </c>
      <c r="AV20" s="101">
        <f>((A8_A_L22*Enmiendas_A)+(A8_B_L22*Enmiendas_B)+(A8_C_L22*Enmiendas_C)+(A8_D_L22*Enmiendas_D)+(A8_Y_L22*Enmiendas_Y))*Inflación_8</f>
        <v>0</v>
      </c>
      <c r="AW20" s="101">
        <f>SUMIFS('9'!$E:$E,'9'!$A:$A,Año_Inicial+7,'9'!$B:$B,'12'!AV$4,'9'!$D:$D,"Material de enmienda")</f>
        <v>0</v>
      </c>
      <c r="AX20" s="101">
        <f>((A8_A_L23*Enmiendas_A)+(A8_B_L23*Enmiendas_B)+(A8_C_L23*Enmiendas_C)+(A8_D_L23*Enmiendas_D)+(A8_Y_L23*Enmiendas_Y))*Inflación_8</f>
        <v>0</v>
      </c>
      <c r="AY20" s="101">
        <f>SUMIFS('9'!$E:$E,'9'!$A:$A,Año_Inicial+7,'9'!$B:$B,'12'!AX$4,'9'!$D:$D,"Material de enmienda")</f>
        <v>0</v>
      </c>
      <c r="AZ20" s="101">
        <f>((A8_A_L24*Enmiendas_A)+(A8_B_L24*Enmiendas_B)+(A8_C_L24*Enmiendas_C)+(A8_D_L24*Enmiendas_D)+(A8_Y_L24*Enmiendas_Y))*Inflación_8</f>
        <v>0</v>
      </c>
      <c r="BA20" s="101">
        <f>SUMIFS('9'!$E:$E,'9'!$A:$A,Año_Inicial+7,'9'!$B:$B,'12'!AZ$4,'9'!$D:$D,"Material de enmienda")</f>
        <v>0</v>
      </c>
      <c r="BB20" s="101">
        <f>((A8_A_L25*Enmiendas_A)+(A8_B_L25*Enmiendas_B)+(A8_C_L25*Enmiendas_C)+(A8_D_L25*Enmiendas_D)+(A8_Y_L25*Enmiendas_Y))*Inflación_8</f>
        <v>0</v>
      </c>
      <c r="BC20" s="101">
        <f>SUMIFS('9'!$E:$E,'9'!$A:$A,Año_Inicial+7,'9'!$B:$B,'12'!BB$4,'9'!$D:$D,"Material de enmienda")</f>
        <v>0</v>
      </c>
      <c r="BD20" s="101">
        <f>((A8_A_L26*Enmiendas_A)+(A8_B_L26*Enmiendas_B)+(A8_C_L26*Enmiendas_C)+(A8_D_L26*Enmiendas_D)+(A8_Y_L26*Enmiendas_Y))*Inflación_8</f>
        <v>0</v>
      </c>
      <c r="BE20" s="101">
        <f>SUMIFS('9'!$E:$E,'9'!$A:$A,Año_Inicial+7,'9'!$B:$B,'12'!BD$4,'9'!$D:$D,"Material de enmienda")</f>
        <v>0</v>
      </c>
      <c r="BF20" s="101">
        <f>((A8_A_L27*Enmiendas_A)+(A8_B_L27*Enmiendas_B)+(A8_C_L27*Enmiendas_C)+(A8_D_L27*Enmiendas_D)+(A8_Y_L27*Enmiendas_Y))*Inflación_8</f>
        <v>0</v>
      </c>
      <c r="BG20" s="101">
        <f>SUMIFS('9'!$E:$E,'9'!$A:$A,Año_Inicial+7,'9'!$B:$B,'12'!BF$4,'9'!$D:$D,"Material de enmienda")</f>
        <v>0</v>
      </c>
      <c r="BH20" s="101">
        <f>((A8_A_L28*Enmiendas_A)+(A8_B_L28*Enmiendas_B)+(A8_C_L28*Enmiendas_C)+(A8_D_L28*Enmiendas_D)+(A8_Y_L28*Enmiendas_Y))*Inflación_8</f>
        <v>0</v>
      </c>
      <c r="BI20" s="101">
        <f>SUMIFS('9'!$E:$E,'9'!$A:$A,Año_Inicial+7,'9'!$B:$B,'12'!BH$4,'9'!$D:$D,"Material de enmienda")</f>
        <v>0</v>
      </c>
      <c r="BJ20" s="101">
        <f>((A8_A_L29*Enmiendas_A)+(A8_B_L29*Enmiendas_B)+(A8_C_L29*Enmiendas_C)+(A8_D_L29*Enmiendas_D)+(A8_Y_L29*Enmiendas_Y))*Inflación_8</f>
        <v>0</v>
      </c>
      <c r="BK20" s="101">
        <f>SUMIFS('9'!$E:$E,'9'!$A:$A,Año_Inicial+7,'9'!$B:$B,'12'!BJ$4,'9'!$D:$D,"Material de enmienda")</f>
        <v>0</v>
      </c>
      <c r="BL20" s="101">
        <f>((A8_A_L30*Enmiendas_A)+(A8_B_L30*Enmiendas_B)+(A8_C_L30*Enmiendas_C)+(A8_D_L30*Enmiendas_D)+(A8_Y_L30*Enmiendas_Y))*Inflación_8</f>
        <v>0</v>
      </c>
      <c r="BM20" s="101">
        <f>SUMIFS('9'!$E:$E,'9'!$A:$A,Año_Inicial+7,'9'!$B:$B,'12'!BL$4,'9'!$D:$D,"Material de enmienda")</f>
        <v>0</v>
      </c>
      <c r="BN20" s="101">
        <f>((A8_A_L31*Enmiendas_A)+(A8_B_L31*Enmiendas_B)+(A8_C_L31*Enmiendas_C)+(A8_D_L31*Enmiendas_D)+(A8_Y_L31*Enmiendas_Y))*Inflación_8</f>
        <v>0</v>
      </c>
      <c r="BO20" s="101">
        <f>SUMIFS('9'!$E:$E,'9'!$A:$A,Año_Inicial+7,'9'!$B:$B,'12'!BN$4,'9'!$D:$D,"Material de enmienda")</f>
        <v>0</v>
      </c>
      <c r="BP20" s="101">
        <f>((A8_A_L32*Enmiendas_A)+(A8_B_L32*Enmiendas_B)+(A8_C_L32*Enmiendas_C)+(A8_D_L32*Enmiendas_D)+(A8_Y_L32*Enmiendas_Y))*Inflación_8</f>
        <v>0</v>
      </c>
      <c r="BQ20" s="101">
        <f>SUMIFS('9'!$E:$E,'9'!$A:$A,Año_Inicial+7,'9'!$B:$B,'12'!BP$4,'9'!$D:$D,"Material de enmienda")</f>
        <v>0</v>
      </c>
      <c r="BR20" s="101">
        <f>((A8_A_L33*Enmiendas_A)+(A8_B_L33*Enmiendas_B)+(A8_C_L33*Enmiendas_C)+(A8_D_L33*Enmiendas_D)+(A8_Y_L33*Enmiendas_Y))*Inflación_8</f>
        <v>0</v>
      </c>
      <c r="BS20" s="101">
        <f>SUMIFS('9'!$E:$E,'9'!$A:$A,Año_Inicial+7,'9'!$B:$B,'12'!BR$4,'9'!$D:$D,"Material de enmienda")</f>
        <v>0</v>
      </c>
      <c r="BT20" s="101">
        <f>((A8_A_L34*Enmiendas_A)+(A8_B_L34*Enmiendas_B)+(A8_C_L34*Enmiendas_C)+(A8_D_L34*Enmiendas_D)+(A8_Y_L34*Enmiendas_Y))*Inflación_8</f>
        <v>0</v>
      </c>
      <c r="BU20" s="101">
        <f>SUMIFS('9'!$E:$E,'9'!$A:$A,Año_Inicial+7,'9'!$B:$B,'12'!BT$4,'9'!$D:$D,"Material de enmienda")</f>
        <v>0</v>
      </c>
      <c r="BV20" s="101">
        <f>((A8_A_L35*Enmiendas_A)+(A8_B_L35*Enmiendas_B)+(A8_C_L35*Enmiendas_C)+(A8_D_L35*Enmiendas_D)+(A8_Y_L35*Enmiendas_Y))*Inflación_8</f>
        <v>0</v>
      </c>
      <c r="BW20" s="101">
        <f>SUMIFS('9'!$E:$E,'9'!$A:$A,Año_Inicial+7,'9'!$B:$B,'12'!BV$4,'9'!$D:$D,"Material de enmienda")</f>
        <v>0</v>
      </c>
      <c r="BX20" s="101">
        <f>((A8_A_L36*Enmiendas_A)+(A8_B_L36*Enmiendas_B)+(A8_C_L36*Enmiendas_C)+(A8_D_L36*Enmiendas_D)+(A8_Y_L36*Enmiendas_Y))*Inflación_8</f>
        <v>0</v>
      </c>
      <c r="BY20" s="101">
        <f>SUMIFS('9'!$E:$E,'9'!$A:$A,Año_Inicial+7,'9'!$B:$B,'12'!BX$4,'9'!$D:$D,"Material de enmienda")</f>
        <v>0</v>
      </c>
      <c r="BZ20" s="101">
        <f>((A8_A_L37*Enmiendas_A)+(A8_B_L37*Enmiendas_B)+(A8_C_L37*Enmiendas_C)+(A8_D_L37*Enmiendas_D)+(A8_Y_L37*Enmiendas_Y))*Inflación_8</f>
        <v>0</v>
      </c>
      <c r="CA20" s="101">
        <f>SUMIFS('9'!$E:$E,'9'!$A:$A,Año_Inicial+7,'9'!$B:$B,'12'!BZ$4,'9'!$D:$D,"Material de enmienda")</f>
        <v>0</v>
      </c>
      <c r="CB20" s="101">
        <f>((A8_A_L38*Enmiendas_A)+(A8_B_L38*Enmiendas_B)+(A8_C_L38*Enmiendas_C)+(A8_D_L38*Enmiendas_D)+(A8_Y_L38*Enmiendas_Y))*Inflación_8</f>
        <v>0</v>
      </c>
      <c r="CC20" s="101">
        <f>SUMIFS('9'!$E:$E,'9'!$A:$A,Año_Inicial+7,'9'!$B:$B,'12'!CB$4,'9'!$D:$D,"Material de enmienda")</f>
        <v>0</v>
      </c>
      <c r="CD20" s="101">
        <f>((A8_A_L39*Enmiendas_A)+(A8_B_L39*Enmiendas_B)+(A8_C_L39*Enmiendas_C)+(A8_D_L39*Enmiendas_D)+(A8_Y_L39*Enmiendas_Y))*Inflación_8</f>
        <v>0</v>
      </c>
      <c r="CE20" s="101">
        <f>SUMIFS('9'!$E:$E,'9'!$A:$A,Año_Inicial+7,'9'!$B:$B,'12'!CD$4,'9'!$D:$D,"Material de enmienda")</f>
        <v>0</v>
      </c>
      <c r="CF20" s="101">
        <f>((A8_A_L40*Enmiendas_A)+(A8_B_L40*Enmiendas_B)+(A8_C_L40*Enmiendas_C)+(A8_D_L40*Enmiendas_D)+(A8_Y_L40*Enmiendas_Y))*Inflación_8</f>
        <v>0</v>
      </c>
      <c r="CG20" s="101">
        <f>SUMIFS('9'!$E:$E,'9'!$A:$A,Año_Inicial+7,'9'!$B:$B,'12'!CF$4,'9'!$D:$D,"Material de enmienda")</f>
        <v>0</v>
      </c>
      <c r="CH20" s="473"/>
      <c r="CI20" s="101">
        <f>Plantas_A_A8*Enmiendas_A*Inflación_8</f>
        <v>0</v>
      </c>
      <c r="CJ20" s="101">
        <f>Plantas_B_A8*Enmiendas_B</f>
        <v>0</v>
      </c>
      <c r="CK20" s="101">
        <f>Plantas_C_A8*Enmiendas_C</f>
        <v>0</v>
      </c>
      <c r="CL20" s="101">
        <f>Plantas_D_A8*Enmiendas_D</f>
        <v>0</v>
      </c>
      <c r="CM20" s="101"/>
      <c r="CN20" s="101">
        <f>Plantas_Y_A8*Enmiendas_Y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SUMIFS('9'!$E:$E,'9'!$A:$A,Año_Inicial+7,'9'!$D:$D,"Aplicación de herbicida")</f>
        <v>0</v>
      </c>
      <c r="D22" s="100">
        <f t="shared" si="45"/>
        <v>0</v>
      </c>
      <c r="E22" s="473"/>
      <c r="F22" s="101">
        <f>((A8_A_L1*Malezas_A)+(A8_B_L1*Malezas_B)+(A8_C_L1*Malezas_C)+(A8_D_L1*Malezas_D)+(A8_Y_L1*Malezas_Y))*Inflación_8</f>
        <v>0</v>
      </c>
      <c r="G22" s="101">
        <f>SUMIFS('9'!$E:$E,'9'!$A:$A,Año_Inicial+7,'9'!$B:$B,'12'!F$4,'9'!$D:$D,"Aplicación de herbicida")</f>
        <v>0</v>
      </c>
      <c r="H22" s="101">
        <f>((A8_A_L2*Malezas_A)+(A8_B_L2*Malezas_B)+(A8_C_L2*Malezas_C)+(A8_D_L2*Malezas_D)+(A8_Y_L2*Malezas_Y))*Inflación_8</f>
        <v>0</v>
      </c>
      <c r="I22" s="101">
        <f>SUMIFS('9'!$E:$E,'9'!$A:$A,Año_Inicial+7,'9'!$B:$B,'12'!H$4,'9'!$D:$D,"Aplicación de herbicida")</f>
        <v>0</v>
      </c>
      <c r="J22" s="101">
        <f>((A8_A_L3*Malezas_A)+(A8_B_L3*Malezas_B)+(A8_C_L3*Malezas_C)+(A8_D_L3*Malezas_D)+(A8_Y_L3*Malezas_Y))*Inflación_8</f>
        <v>0</v>
      </c>
      <c r="K22" s="101">
        <f>SUMIFS('9'!$E:$E,'9'!$A:$A,Año_Inicial+7,'9'!$B:$B,'12'!J$4,'9'!$D:$D,"Aplicación de herbicida")</f>
        <v>0</v>
      </c>
      <c r="L22" s="101">
        <f>((A8_A_L4*Malezas_A)+(A8_B_L4*Malezas_B)+(A8_C_L4*Malezas_C)+(A8_D_L4*Malezas_D)+(A8_Y_L4*Malezas_Y))*Inflación_8</f>
        <v>0</v>
      </c>
      <c r="M22" s="101">
        <f>SUMIFS('9'!$E:$E,'9'!$A:$A,Año_Inicial+7,'9'!$B:$B,'12'!L$4,'9'!$D:$D,"Aplicación de herbicida")</f>
        <v>0</v>
      </c>
      <c r="N22" s="101">
        <f>((A8_A_L5*Malezas_A)+(A8_B_L5*Malezas_B)+(A8_C_L5*Malezas_C)+(A8_D_L5*Malezas_D)+(A8_Y_L5*Malezas_Y))*Inflación_8</f>
        <v>0</v>
      </c>
      <c r="O22" s="101">
        <f>SUMIFS('9'!$E:$E,'9'!$A:$A,Año_Inicial+7,'9'!$B:$B,'12'!N$4,'9'!$D:$D,"Aplicación de herbicida")</f>
        <v>0</v>
      </c>
      <c r="P22" s="101">
        <f>((A8_A_L6*Malezas_A)+(A8_B_L6*Malezas_B)+(A8_C_L6*Malezas_C)+(A8_D_L6*Malezas_D)+(A8_Y_L6*Malezas_Y))*Inflación_8</f>
        <v>0</v>
      </c>
      <c r="Q22" s="101">
        <f>SUMIFS('9'!$E:$E,'9'!$A:$A,Año_Inicial+7,'9'!$B:$B,'12'!P$4,'9'!$D:$D,"Aplicación de herbicida")</f>
        <v>0</v>
      </c>
      <c r="R22" s="101">
        <f>((A8_A_L7*Malezas_A)+(A8_B_L7*Malezas_B)+(A8_C_L7*Malezas_C)+(A8_D_L7*Malezas_D)+(A8_Y_L7*Malezas_Y))*Inflación_8</f>
        <v>0</v>
      </c>
      <c r="S22" s="101">
        <f>SUMIFS('9'!$E:$E,'9'!$A:$A,Año_Inicial+7,'9'!$B:$B,'12'!R$4,'9'!$D:$D,"Aplicación de herbicida")</f>
        <v>0</v>
      </c>
      <c r="T22" s="101">
        <f>((A8_A_L8*Malezas_A)+(A8_B_L8*Malezas_B)+(A8_C_L8*Malezas_C)+(A8_D_L8*Malezas_D)+(A8_Y_L8*Malezas_Y))*Inflación_8</f>
        <v>0</v>
      </c>
      <c r="U22" s="101">
        <f>SUMIFS('9'!$E:$E,'9'!$A:$A,Año_Inicial+7,'9'!$B:$B,'12'!T$4,'9'!$D:$D,"Aplicación de herbicida")</f>
        <v>0</v>
      </c>
      <c r="V22" s="101">
        <f>((A8_A_L9*Malezas_A)+(A8_B_L9*Malezas_B)+(A8_C_L9*Malezas_C)+(A8_D_L9*Malezas_D)+(A8_Y_L9*Malezas_Y))*Inflación_8</f>
        <v>0</v>
      </c>
      <c r="W22" s="101">
        <f>SUMIFS('9'!$E:$E,'9'!$A:$A,Año_Inicial+7,'9'!$B:$B,'12'!V$4,'9'!$D:$D,"Aplicación de herbicida")</f>
        <v>0</v>
      </c>
      <c r="X22" s="101">
        <f>((A8_A_L10*Malezas_A)+(A8_B_L10*Malezas_B)+(A8_C_L10*Malezas_C)+(A8_D_L10*Malezas_D)+(A8_Y_L10*Malezas_Y))*Inflación_8</f>
        <v>0</v>
      </c>
      <c r="Y22" s="101">
        <f>SUMIFS('9'!$E:$E,'9'!$A:$A,Año_Inicial+7,'9'!$B:$B,'12'!X$4,'9'!$D:$D,"Aplicación de herbicida")</f>
        <v>0</v>
      </c>
      <c r="Z22" s="101">
        <f>((A8_A_L11*Malezas_A)+(A8_B_L11*Malezas_B)+(A8_C_L11*Malezas_C)+(A8_D_L11*Malezas_D)+(A8_Y_L11*Malezas_Y))*Inflación_8</f>
        <v>0</v>
      </c>
      <c r="AA22" s="101">
        <f>SUMIFS('9'!$E:$E,'9'!$A:$A,Año_Inicial+7,'9'!$B:$B,'12'!Z$4,'9'!$D:$D,"Aplicación de herbicida")</f>
        <v>0</v>
      </c>
      <c r="AB22" s="101">
        <f>((A8_A_L12*Malezas_A)+(A8_B_L12*Malezas_B)+(A8_C_L12*Malezas_C)+(A8_D_L12*Malezas_D)+(A8_Y_L12*Malezas_Y))*Inflación_8</f>
        <v>0</v>
      </c>
      <c r="AC22" s="101">
        <f>SUMIFS('9'!$E:$E,'9'!$A:$A,Año_Inicial+7,'9'!$B:$B,'12'!AB$4,'9'!$D:$D,"Aplicación de herbicida")</f>
        <v>0</v>
      </c>
      <c r="AD22" s="101">
        <f>((A8_A_L13*Malezas_A)+(A8_B_L13*Malezas_B)+(A8_C_L13*Malezas_C)+(A8_D_L13*Malezas_D)+(A8_Y_L13*Malezas_Y))*Inflación_8</f>
        <v>0</v>
      </c>
      <c r="AE22" s="101">
        <f>SUMIFS('9'!$E:$E,'9'!$A:$A,Año_Inicial+7,'9'!$B:$B,'12'!AD$4,'9'!$D:$D,"Aplicación de herbicida")</f>
        <v>0</v>
      </c>
      <c r="AF22" s="101">
        <f>((A8_A_L14*Malezas_A)+(A8_B_L14*Malezas_B)+(A8_C_L14*Malezas_C)+(A8_D_L14*Malezas_D)+(A8_Y_L14*Malezas_Y))*Inflación_8</f>
        <v>0</v>
      </c>
      <c r="AG22" s="101">
        <f>SUMIFS('9'!$E:$E,'9'!$A:$A,Año_Inicial+7,'9'!$B:$B,'12'!AF$4,'9'!$D:$D,"Aplicación de herbicida")</f>
        <v>0</v>
      </c>
      <c r="AH22" s="101">
        <f>((A8_A_L15*Malezas_A)+(A8_B_L15*Malezas_B)+(A8_C_L15*Malezas_C)+(A8_D_L15*Malezas_D)+(A8_Y_L15*Malezas_Y))*Inflación_8</f>
        <v>0</v>
      </c>
      <c r="AI22" s="101">
        <f>SUMIFS('9'!$E:$E,'9'!$A:$A,Año_Inicial+7,'9'!$B:$B,'12'!AH$4,'9'!$D:$D,"Aplicación de herbicida")</f>
        <v>0</v>
      </c>
      <c r="AJ22" s="101">
        <f>((A8_A_L16*Malezas_A)+(A8_B_L16*Malezas_B)+(A8_C_L16*Malezas_C)+(A8_D_L16*Malezas_D)+(A8_Y_L16*Malezas_Y))*Inflación_8</f>
        <v>0</v>
      </c>
      <c r="AK22" s="101">
        <f>SUMIFS('9'!$E:$E,'9'!$A:$A,Año_Inicial+7,'9'!$B:$B,'12'!AJ$4,'9'!$D:$D,"Aplicación de herbicida")</f>
        <v>0</v>
      </c>
      <c r="AL22" s="101">
        <f>((A8_A_L17*Malezas_A)+(A8_B_L17*Malezas_B)+(A8_C_L17*Malezas_C)+(A8_D_L17*Malezas_D)+(A8_Y_L17*Malezas_Y))*Inflación_8</f>
        <v>0</v>
      </c>
      <c r="AM22" s="101">
        <f>SUMIFS('9'!$E:$E,'9'!$A:$A,Año_Inicial+7,'9'!$B:$B,'12'!AL$4,'9'!$D:$D,"Aplicación de herbicida")</f>
        <v>0</v>
      </c>
      <c r="AN22" s="101">
        <f>((A8_A_L18*Malezas_A)+(A8_B_L18*Malezas_B)+(A8_C_L18*Malezas_C)+(A8_D_L18*Malezas_D)+(A8_Y_L18*Malezas_Y))*Inflación_8</f>
        <v>0</v>
      </c>
      <c r="AO22" s="101">
        <f>SUMIFS('9'!$E:$E,'9'!$A:$A,Año_Inicial+7,'9'!$B:$B,'12'!AN$4,'9'!$D:$D,"Aplicación de herbicida")</f>
        <v>0</v>
      </c>
      <c r="AP22" s="101">
        <f>((A8_A_L19*Malezas_A)+(A8_B_L19*Malezas_B)+(A8_C_L19*Malezas_C)+(A8_D_L19*Malezas_D)+(A8_Y_L19*Malezas_Y))*Inflación_8</f>
        <v>0</v>
      </c>
      <c r="AQ22" s="101">
        <f>SUMIFS('9'!$E:$E,'9'!$A:$A,Año_Inicial+7,'9'!$B:$B,'12'!AP$4,'9'!$D:$D,"Aplicación de herbicida")</f>
        <v>0</v>
      </c>
      <c r="AR22" s="101">
        <f>((A8_A_L20*Malezas_A)+(A8_B_L20*Malezas_B)+(A8_C_L20*Malezas_C)+(A8_D_L20*Malezas_D)+(A8_Y_L20*Malezas_Y))*Inflación_8</f>
        <v>0</v>
      </c>
      <c r="AS22" s="101">
        <f>SUMIFS('9'!$E:$E,'9'!$A:$A,Año_Inicial+7,'9'!$B:$B,'12'!AR$4,'9'!$D:$D,"Aplicación de herbicida")</f>
        <v>0</v>
      </c>
      <c r="AT22" s="101">
        <f>((A8_A_L21*Malezas_A)+(A8_B_L21*Malezas_B)+(A8_C_L21*Malezas_C)+(A8_D_L21*Malezas_D)+(A8_Y_L21*Malezas_Y))*Inflación_8</f>
        <v>0</v>
      </c>
      <c r="AU22" s="101">
        <f>SUMIFS('9'!$E:$E,'9'!$A:$A,Año_Inicial+7,'9'!$B:$B,'12'!AT$4,'9'!$D:$D,"Aplicación de herbicida")</f>
        <v>0</v>
      </c>
      <c r="AV22" s="101">
        <f>((A8_A_L22*Malezas_A)+(A8_B_L22*Malezas_B)+(A8_C_L22*Malezas_C)+(A8_D_L22*Malezas_D)+(A8_Y_L22*Malezas_Y))*Inflación_8</f>
        <v>0</v>
      </c>
      <c r="AW22" s="101">
        <f>SUMIFS('9'!$E:$E,'9'!$A:$A,Año_Inicial+7,'9'!$B:$B,'12'!AV$4,'9'!$D:$D,"Aplicación de herbicida")</f>
        <v>0</v>
      </c>
      <c r="AX22" s="101">
        <f>((A8_A_L23*Malezas_A)+(A8_B_L23*Malezas_B)+(A8_C_L23*Malezas_C)+(A8_D_L23*Malezas_D)+(A8_Y_L23*Malezas_Y))*Inflación_8</f>
        <v>0</v>
      </c>
      <c r="AY22" s="101">
        <f>SUMIFS('9'!$E:$E,'9'!$A:$A,Año_Inicial+7,'9'!$B:$B,'12'!AX$4,'9'!$D:$D,"Aplicación de herbicida")</f>
        <v>0</v>
      </c>
      <c r="AZ22" s="101">
        <f>((A8_A_L24*Malezas_A)+(A8_B_L24*Malezas_B)+(A8_C_L24*Malezas_C)+(A8_D_L24*Malezas_D)+(A8_Y_L24*Malezas_Y))*Inflación_8</f>
        <v>0</v>
      </c>
      <c r="BA22" s="101">
        <f>SUMIFS('9'!$E:$E,'9'!$A:$A,Año_Inicial+7,'9'!$B:$B,'12'!AZ$4,'9'!$D:$D,"Aplicación de herbicida")</f>
        <v>0</v>
      </c>
      <c r="BB22" s="101">
        <f>((A8_A_L25*Malezas_A)+(A8_B_L25*Malezas_B)+(A8_C_L25*Malezas_C)+(A8_D_L25*Malezas_D)+(A8_Y_L25*Malezas_Y))*Inflación_8</f>
        <v>0</v>
      </c>
      <c r="BC22" s="101">
        <f>SUMIFS('9'!$E:$E,'9'!$A:$A,Año_Inicial+7,'9'!$B:$B,'12'!BB$4,'9'!$D:$D,"Aplicación de herbicida")</f>
        <v>0</v>
      </c>
      <c r="BD22" s="101">
        <f>((A8_A_L26*Malezas_A)+(A8_B_L26*Malezas_B)+(A8_C_L26*Malezas_C)+(A8_D_L26*Malezas_D)+(A8_Y_L26*Malezas_Y))*Inflación_8</f>
        <v>0</v>
      </c>
      <c r="BE22" s="101">
        <f>SUMIFS('9'!$E:$E,'9'!$A:$A,Año_Inicial+7,'9'!$B:$B,'12'!BD$4,'9'!$D:$D,"Aplicación de herbicida")</f>
        <v>0</v>
      </c>
      <c r="BF22" s="101">
        <f>((A8_A_L27*Malezas_A)+(A8_B_L27*Malezas_B)+(A8_C_L27*Malezas_C)+(A8_D_L27*Malezas_D)+(A8_Y_L27*Malezas_Y))*Inflación_8</f>
        <v>0</v>
      </c>
      <c r="BG22" s="101">
        <f>SUMIFS('9'!$E:$E,'9'!$A:$A,Año_Inicial+7,'9'!$B:$B,'12'!BF$4,'9'!$D:$D,"Aplicación de herbicida")</f>
        <v>0</v>
      </c>
      <c r="BH22" s="101">
        <f>((A8_A_L28*Malezas_A)+(A8_B_L28*Malezas_B)+(A8_C_L28*Malezas_C)+(A8_D_L28*Malezas_D)+(A8_Y_L28*Malezas_Y))*Inflación_8</f>
        <v>0</v>
      </c>
      <c r="BI22" s="101">
        <f>SUMIFS('9'!$E:$E,'9'!$A:$A,Año_Inicial+7,'9'!$B:$B,'12'!BH$4,'9'!$D:$D,"Aplicación de herbicida")</f>
        <v>0</v>
      </c>
      <c r="BJ22" s="101">
        <f>((A8_A_L29*Malezas_A)+(A8_B_L29*Malezas_B)+(A8_C_L29*Malezas_C)+(A8_D_L29*Malezas_D)+(A8_Y_L29*Malezas_Y))*Inflación_8</f>
        <v>0</v>
      </c>
      <c r="BK22" s="101">
        <f>SUMIFS('9'!$E:$E,'9'!$A:$A,Año_Inicial+7,'9'!$B:$B,'12'!BJ$4,'9'!$D:$D,"Aplicación de herbicida")</f>
        <v>0</v>
      </c>
      <c r="BL22" s="101">
        <f>((A8_A_L30*Malezas_A)+(A8_B_L30*Malezas_B)+(A8_C_L30*Malezas_C)+(A8_D_L30*Malezas_D)+(A8_Y_L30*Malezas_Y))*Inflación_8</f>
        <v>0</v>
      </c>
      <c r="BM22" s="101">
        <f>SUMIFS('9'!$E:$E,'9'!$A:$A,Año_Inicial+7,'9'!$B:$B,'12'!BL$4,'9'!$D:$D,"Aplicación de herbicida")</f>
        <v>0</v>
      </c>
      <c r="BN22" s="101">
        <f>((A8_A_L31*Malezas_A)+(A8_B_L31*Malezas_B)+(A8_C_L31*Malezas_C)+(A8_D_L31*Malezas_D)+(A8_Y_L31*Malezas_Y))*Inflación_8</f>
        <v>0</v>
      </c>
      <c r="BO22" s="101">
        <f>SUMIFS('9'!$E:$E,'9'!$A:$A,Año_Inicial+7,'9'!$B:$B,'12'!BN$4,'9'!$D:$D,"Aplicación de herbicida")</f>
        <v>0</v>
      </c>
      <c r="BP22" s="101">
        <f>((A8_A_L32*Malezas_A)+(A8_B_L32*Malezas_B)+(A8_C_L32*Malezas_C)+(A8_D_L32*Malezas_D)+(A8_Y_L32*Malezas_Y))*Inflación_8</f>
        <v>0</v>
      </c>
      <c r="BQ22" s="101">
        <f>SUMIFS('9'!$E:$E,'9'!$A:$A,Año_Inicial+7,'9'!$B:$B,'12'!BP$4,'9'!$D:$D,"Aplicación de herbicida")</f>
        <v>0</v>
      </c>
      <c r="BR22" s="101">
        <f>((A8_A_L33*Malezas_A)+(A8_B_L33*Malezas_B)+(A8_C_L33*Malezas_C)+(A8_D_L33*Malezas_D)+(A8_Y_L33*Malezas_Y))*Inflación_8</f>
        <v>0</v>
      </c>
      <c r="BS22" s="101">
        <f>SUMIFS('9'!$E:$E,'9'!$A:$A,Año_Inicial+7,'9'!$B:$B,'12'!BR$4,'9'!$D:$D,"Aplicación de herbicida")</f>
        <v>0</v>
      </c>
      <c r="BT22" s="101">
        <f>((A8_A_L34*Malezas_A)+(A8_B_L34*Malezas_B)+(A8_C_L34*Malezas_C)+(A8_D_L34*Malezas_D)+(A8_Y_L34*Malezas_Y))*Inflación_8</f>
        <v>0</v>
      </c>
      <c r="BU22" s="101">
        <f>SUMIFS('9'!$E:$E,'9'!$A:$A,Año_Inicial+7,'9'!$B:$B,'12'!BT$4,'9'!$D:$D,"Aplicación de herbicida")</f>
        <v>0</v>
      </c>
      <c r="BV22" s="101">
        <f>((A8_A_L35*Malezas_A)+(A8_B_L35*Malezas_B)+(A8_C_L35*Malezas_C)+(A8_D_L35*Malezas_D)+(A8_Y_L35*Malezas_Y))*Inflación_8</f>
        <v>0</v>
      </c>
      <c r="BW22" s="101">
        <f>SUMIFS('9'!$E:$E,'9'!$A:$A,Año_Inicial+7,'9'!$B:$B,'12'!BV$4,'9'!$D:$D,"Aplicación de herbicida")</f>
        <v>0</v>
      </c>
      <c r="BX22" s="101">
        <f>((A8_A_L36*Malezas_A)+(A8_B_L36*Malezas_B)+(A8_C_L36*Malezas_C)+(A8_D_L36*Malezas_D)+(A8_Y_L36*Malezas_Y))*Inflación_8</f>
        <v>0</v>
      </c>
      <c r="BY22" s="101">
        <f>SUMIFS('9'!$E:$E,'9'!$A:$A,Año_Inicial+7,'9'!$B:$B,'12'!BX$4,'9'!$D:$D,"Aplicación de herbicida")</f>
        <v>0</v>
      </c>
      <c r="BZ22" s="101">
        <f>((A8_A_L37*Malezas_A)+(A8_B_L37*Malezas_B)+(A8_C_L37*Malezas_C)+(A8_D_L37*Malezas_D)+(A8_Y_L37*Malezas_Y))*Inflación_8</f>
        <v>0</v>
      </c>
      <c r="CA22" s="101">
        <f>SUMIFS('9'!$E:$E,'9'!$A:$A,Año_Inicial+7,'9'!$B:$B,'12'!BZ$4,'9'!$D:$D,"Aplicación de herbicida")</f>
        <v>0</v>
      </c>
      <c r="CB22" s="101">
        <f>((A8_A_L38*Malezas_A)+(A8_B_L38*Malezas_B)+(A8_C_L38*Malezas_C)+(A8_D_L38*Malezas_D)+(A8_Y_L38*Malezas_Y))*Inflación_8</f>
        <v>0</v>
      </c>
      <c r="CC22" s="101">
        <f>SUMIFS('9'!$E:$E,'9'!$A:$A,Año_Inicial+7,'9'!$B:$B,'12'!CB$4,'9'!$D:$D,"Aplicación de herbicida")</f>
        <v>0</v>
      </c>
      <c r="CD22" s="101">
        <f>((A8_A_L39*Malezas_A)+(A8_B_L39*Malezas_B)+(A8_C_L39*Malezas_C)+(A8_D_L39*Malezas_D)+(A8_Y_L39*Malezas_Y))*Inflación_8</f>
        <v>0</v>
      </c>
      <c r="CE22" s="101">
        <f>SUMIFS('9'!$E:$E,'9'!$A:$A,Año_Inicial+7,'9'!$B:$B,'12'!CD$4,'9'!$D:$D,"Aplicación de herbicida")</f>
        <v>0</v>
      </c>
      <c r="CF22" s="101">
        <f>((A8_A_L40*Malezas_A)+(A8_B_L40*Malezas_B)+(A8_C_L40*Malezas_C)+(A8_D_L40*Malezas_D)+(A8_Y_L40*Malezas_Y))*Inflación_8</f>
        <v>0</v>
      </c>
      <c r="CG22" s="101">
        <f>SUMIFS('9'!$E:$E,'9'!$A:$A,Año_Inicial+7,'9'!$B:$B,'12'!CF$4,'9'!$D:$D,"Aplicación de herbicida")</f>
        <v>0</v>
      </c>
      <c r="CH22" s="473"/>
      <c r="CI22" s="101">
        <f>Plantas_A_A8*Malezas_A*Inflación_8</f>
        <v>0</v>
      </c>
      <c r="CJ22" s="101">
        <f>Plantas_B_A8*Malezas_B</f>
        <v>0</v>
      </c>
      <c r="CK22" s="101">
        <f>Plantas_C_A8*Malezas_C</f>
        <v>0</v>
      </c>
      <c r="CL22" s="101">
        <f>Plantas_D_A8*Malezas_D</f>
        <v>0</v>
      </c>
      <c r="CM22" s="101"/>
      <c r="CN22" s="101">
        <f>Plantas_Y_A8*Malezas_Y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SUMIFS('9'!$E:$E,'9'!$A:$A,Año_Inicial+7,'9'!$D:$D,"Limpias manuales")</f>
        <v>0</v>
      </c>
      <c r="D23" s="100">
        <f t="shared" si="45"/>
        <v>0</v>
      </c>
      <c r="E23" s="473"/>
      <c r="F23" s="101">
        <f>((A8_A_L1*Limpias_A)+(A8_B_L1*Limpias_B)+(A8_C_L1*Limpias_C)+(A8_D_L1*Limpias_D)+(A8_Y_L1*Limpias_Y))*Inflación_8</f>
        <v>0</v>
      </c>
      <c r="G23" s="101">
        <f>SUMIFS('9'!$E:$E,'9'!$A:$A,Año_Inicial+7,'9'!$B:$B,'12'!F$4,'9'!$D:$D,"Limpias manuales")</f>
        <v>0</v>
      </c>
      <c r="H23" s="101">
        <f>((A8_A_L2*Limpias_A)+(A8_B_L2*Limpias_B)+(A8_C_L2*Limpias_C)+(A8_D_L2*Limpias_D)+(A8_Y_L2*Limpias_Y))*Inflación_8</f>
        <v>0</v>
      </c>
      <c r="I23" s="101">
        <f>SUMIFS('9'!$E:$E,'9'!$A:$A,Año_Inicial+7,'9'!$B:$B,'12'!H$4,'9'!$D:$D,"Limpias manuales")</f>
        <v>0</v>
      </c>
      <c r="J23" s="101">
        <f>((A8_A_L3*Limpias_A)+(A8_B_L3*Limpias_B)+(A8_C_L3*Limpias_C)+(A8_D_L3*Limpias_D)+(A8_Y_L3*Limpias_Y))*Inflación_8</f>
        <v>0</v>
      </c>
      <c r="K23" s="101">
        <f>SUMIFS('9'!$E:$E,'9'!$A:$A,Año_Inicial+7,'9'!$B:$B,'12'!J$4,'9'!$D:$D,"Limpias manuales")</f>
        <v>0</v>
      </c>
      <c r="L23" s="101">
        <f>((A8_A_L4*Limpias_A)+(A8_B_L4*Limpias_B)+(A8_C_L4*Limpias_C)+(A8_D_L4*Limpias_D)+(A8_Y_L4*Limpias_Y))*Inflación_8</f>
        <v>0</v>
      </c>
      <c r="M23" s="101">
        <f>SUMIFS('9'!$E:$E,'9'!$A:$A,Año_Inicial+7,'9'!$B:$B,'12'!L$4,'9'!$D:$D,"Limpias manuales")</f>
        <v>0</v>
      </c>
      <c r="N23" s="101">
        <f>((A8_A_L5*Limpias_A)+(A8_B_L5*Limpias_B)+(A8_C_L5*Limpias_C)+(A8_D_L5*Limpias_D)+(A8_Y_L5*Limpias_Y))*Inflación_8</f>
        <v>0</v>
      </c>
      <c r="O23" s="101">
        <f>SUMIFS('9'!$E:$E,'9'!$A:$A,Año_Inicial+7,'9'!$B:$B,'12'!N$4,'9'!$D:$D,"Limpias manuales")</f>
        <v>0</v>
      </c>
      <c r="P23" s="101">
        <f>((A8_A_L6*Limpias_A)+(A8_B_L6*Limpias_B)+(A8_C_L6*Limpias_C)+(A8_D_L6*Limpias_D)+(A8_Y_L6*Limpias_Y))*Inflación_8</f>
        <v>0</v>
      </c>
      <c r="Q23" s="101">
        <f>SUMIFS('9'!$E:$E,'9'!$A:$A,Año_Inicial+7,'9'!$B:$B,'12'!P$4,'9'!$D:$D,"Limpias manuales")</f>
        <v>0</v>
      </c>
      <c r="R23" s="101">
        <f>((A8_A_L7*Limpias_A)+(A8_B_L7*Limpias_B)+(A8_C_L7*Limpias_C)+(A8_D_L7*Limpias_D)+(A8_Y_L7*Limpias_Y))*Inflación_8</f>
        <v>0</v>
      </c>
      <c r="S23" s="101">
        <f>SUMIFS('9'!$E:$E,'9'!$A:$A,Año_Inicial+7,'9'!$B:$B,'12'!R$4,'9'!$D:$D,"Limpias manuales")</f>
        <v>0</v>
      </c>
      <c r="T23" s="101">
        <f>((A8_A_L8*Limpias_A)+(A8_B_L8*Limpias_B)+(A8_C_L8*Limpias_C)+(A8_D_L8*Limpias_D)+(A8_Y_L8*Limpias_Y))*Inflación_8</f>
        <v>0</v>
      </c>
      <c r="U23" s="101">
        <f>SUMIFS('9'!$E:$E,'9'!$A:$A,Año_Inicial+7,'9'!$B:$B,'12'!T$4,'9'!$D:$D,"Limpias manuales")</f>
        <v>0</v>
      </c>
      <c r="V23" s="101">
        <f>((A8_A_L9*Limpias_A)+(A8_B_L9*Limpias_B)+(A8_C_L9*Limpias_C)+(A8_D_L9*Limpias_D)+(A8_Y_L9*Limpias_Y))*Inflación_8</f>
        <v>0</v>
      </c>
      <c r="W23" s="101">
        <f>SUMIFS('9'!$E:$E,'9'!$A:$A,Año_Inicial+7,'9'!$B:$B,'12'!V$4,'9'!$D:$D,"Limpias manuales")</f>
        <v>0</v>
      </c>
      <c r="X23" s="101">
        <f>((A8_A_L10*Limpias_A)+(A8_B_L10*Limpias_B)+(A8_C_L10*Limpias_C)+(A8_D_L10*Limpias_D)+(A8_Y_L10*Limpias_Y))*Inflación_8</f>
        <v>0</v>
      </c>
      <c r="Y23" s="101">
        <f>SUMIFS('9'!$E:$E,'9'!$A:$A,Año_Inicial+7,'9'!$B:$B,'12'!X$4,'9'!$D:$D,"Limpias manuales")</f>
        <v>0</v>
      </c>
      <c r="Z23" s="101">
        <f>((A8_A_L11*Limpias_A)+(A8_B_L11*Limpias_B)+(A8_C_L11*Limpias_C)+(A8_D_L11*Limpias_D)+(A8_Y_L11*Limpias_Y))*Inflación_8</f>
        <v>0</v>
      </c>
      <c r="AA23" s="101">
        <f>SUMIFS('9'!$E:$E,'9'!$A:$A,Año_Inicial+7,'9'!$B:$B,'12'!Z$4,'9'!$D:$D,"Limpias manuales")</f>
        <v>0</v>
      </c>
      <c r="AB23" s="101">
        <f>((A8_A_L12*Limpias_A)+(A8_B_L12*Limpias_B)+(A8_C_L12*Limpias_C)+(A8_D_L12*Limpias_D)+(A8_Y_L12*Limpias_Y))*Inflación_8</f>
        <v>0</v>
      </c>
      <c r="AC23" s="101">
        <f>SUMIFS('9'!$E:$E,'9'!$A:$A,Año_Inicial+7,'9'!$B:$B,'12'!AB$4,'9'!$D:$D,"Limpias manuales")</f>
        <v>0</v>
      </c>
      <c r="AD23" s="101">
        <f>((A8_A_L13*Limpias_A)+(A8_B_L13*Limpias_B)+(A8_C_L13*Limpias_C)+(A8_D_L13*Limpias_D)+(A8_Y_L13*Limpias_Y))*Inflación_8</f>
        <v>0</v>
      </c>
      <c r="AE23" s="101">
        <f>SUMIFS('9'!$E:$E,'9'!$A:$A,Año_Inicial+7,'9'!$B:$B,'12'!AD$4,'9'!$D:$D,"Limpias manuales")</f>
        <v>0</v>
      </c>
      <c r="AF23" s="101">
        <f>((A8_A_L14*Limpias_A)+(A8_B_L14*Limpias_B)+(A8_C_L14*Limpias_C)+(A8_D_L14*Limpias_D)+(A8_Y_L14*Limpias_Y))*Inflación_8</f>
        <v>0</v>
      </c>
      <c r="AG23" s="101">
        <f>SUMIFS('9'!$E:$E,'9'!$A:$A,Año_Inicial+7,'9'!$B:$B,'12'!AF$4,'9'!$D:$D,"Limpias manuales")</f>
        <v>0</v>
      </c>
      <c r="AH23" s="101">
        <f>((A8_A_L15*Limpias_A)+(A8_B_L15*Limpias_B)+(A8_C_L15*Limpias_C)+(A8_D_L15*Limpias_D)+(A8_Y_L15*Limpias_Y))*Inflación_8</f>
        <v>0</v>
      </c>
      <c r="AI23" s="101">
        <f>SUMIFS('9'!$E:$E,'9'!$A:$A,Año_Inicial+7,'9'!$B:$B,'12'!AH$4,'9'!$D:$D,"Limpias manuales")</f>
        <v>0</v>
      </c>
      <c r="AJ23" s="101">
        <f>((A8_A_L16*Limpias_A)+(A8_B_L16*Limpias_B)+(A8_C_L16*Limpias_C)+(A8_D_L16*Limpias_D)+(A8_Y_L16*Limpias_Y))*Inflación_8</f>
        <v>0</v>
      </c>
      <c r="AK23" s="101">
        <f>SUMIFS('9'!$E:$E,'9'!$A:$A,Año_Inicial+7,'9'!$B:$B,'12'!AJ$4,'9'!$D:$D,"Limpias manuales")</f>
        <v>0</v>
      </c>
      <c r="AL23" s="101">
        <f>((A8_A_L17*Limpias_A)+(A8_B_L17*Limpias_B)+(A8_C_L17*Limpias_C)+(A8_D_L17*Limpias_D)+(A8_Y_L17*Limpias_Y))*Inflación_8</f>
        <v>0</v>
      </c>
      <c r="AM23" s="101">
        <f>SUMIFS('9'!$E:$E,'9'!$A:$A,Año_Inicial+7,'9'!$B:$B,'12'!AL$4,'9'!$D:$D,"Limpias manuales")</f>
        <v>0</v>
      </c>
      <c r="AN23" s="101">
        <f>((A8_A_L18*Limpias_A)+(A8_B_L18*Limpias_B)+(A8_C_L18*Limpias_C)+(A8_D_L18*Limpias_D)+(A8_Y_L18*Limpias_Y))*Inflación_8</f>
        <v>0</v>
      </c>
      <c r="AO23" s="101">
        <f>SUMIFS('9'!$E:$E,'9'!$A:$A,Año_Inicial+7,'9'!$B:$B,'12'!AN$4,'9'!$D:$D,"Limpias manuales")</f>
        <v>0</v>
      </c>
      <c r="AP23" s="101">
        <f>((A8_A_L19*Limpias_A)+(A8_B_L19*Limpias_B)+(A8_C_L19*Limpias_C)+(A8_D_L19*Limpias_D)+(A8_Y_L19*Limpias_Y))*Inflación_8</f>
        <v>0</v>
      </c>
      <c r="AQ23" s="101">
        <f>SUMIFS('9'!$E:$E,'9'!$A:$A,Año_Inicial+7,'9'!$B:$B,'12'!AP$4,'9'!$D:$D,"Limpias manuales")</f>
        <v>0</v>
      </c>
      <c r="AR23" s="101">
        <f>((A8_A_L20*Limpias_A)+(A8_B_L20*Limpias_B)+(A8_C_L20*Limpias_C)+(A8_D_L20*Limpias_D)+(A8_Y_L20*Limpias_Y))*Inflación_8</f>
        <v>0</v>
      </c>
      <c r="AS23" s="101">
        <f>SUMIFS('9'!$E:$E,'9'!$A:$A,Año_Inicial+7,'9'!$B:$B,'12'!AR$4,'9'!$D:$D,"Limpias manuales")</f>
        <v>0</v>
      </c>
      <c r="AT23" s="101">
        <f>((A8_A_L21*Limpias_A)+(A8_B_L21*Limpias_B)+(A8_C_L21*Limpias_C)+(A8_D_L21*Limpias_D)+(A8_Y_L21*Limpias_Y))*Inflación_8</f>
        <v>0</v>
      </c>
      <c r="AU23" s="101">
        <f>SUMIFS('9'!$E:$E,'9'!$A:$A,Año_Inicial+7,'9'!$B:$B,'12'!AT$4,'9'!$D:$D,"Limpias manuales")</f>
        <v>0</v>
      </c>
      <c r="AV23" s="101">
        <f>((A8_A_L22*Limpias_A)+(A8_B_L22*Limpias_B)+(A8_C_L22*Limpias_C)+(A8_D_L22*Limpias_D)+(A8_Y_L22*Limpias_Y))*Inflación_8</f>
        <v>0</v>
      </c>
      <c r="AW23" s="101">
        <f>SUMIFS('9'!$E:$E,'9'!$A:$A,Año_Inicial+7,'9'!$B:$B,'12'!AV$4,'9'!$D:$D,"Limpias manuales")</f>
        <v>0</v>
      </c>
      <c r="AX23" s="101">
        <f>((A8_A_L23*Limpias_A)+(A8_B_L23*Limpias_B)+(A8_C_L23*Limpias_C)+(A8_D_L23*Limpias_D)+(A8_Y_L23*Limpias_Y))*Inflación_8</f>
        <v>0</v>
      </c>
      <c r="AY23" s="101">
        <f>SUMIFS('9'!$E:$E,'9'!$A:$A,Año_Inicial+7,'9'!$B:$B,'12'!AX$4,'9'!$D:$D,"Limpias manuales")</f>
        <v>0</v>
      </c>
      <c r="AZ23" s="101">
        <f>((A8_A_L24*Limpias_A)+(A8_B_L24*Limpias_B)+(A8_C_L24*Limpias_C)+(A8_D_L24*Limpias_D)+(A8_Y_L24*Limpias_Y))*Inflación_8</f>
        <v>0</v>
      </c>
      <c r="BA23" s="101">
        <f>SUMIFS('9'!$E:$E,'9'!$A:$A,Año_Inicial+7,'9'!$B:$B,'12'!AZ$4,'9'!$D:$D,"Limpias manuales")</f>
        <v>0</v>
      </c>
      <c r="BB23" s="101">
        <f>((A8_A_L25*Limpias_A)+(A8_B_L25*Limpias_B)+(A8_C_L25*Limpias_C)+(A8_D_L25*Limpias_D)+(A8_Y_L25*Limpias_Y))*Inflación_8</f>
        <v>0</v>
      </c>
      <c r="BC23" s="101">
        <f>SUMIFS('9'!$E:$E,'9'!$A:$A,Año_Inicial+7,'9'!$B:$B,'12'!BB$4,'9'!$D:$D,"Limpias manuales")</f>
        <v>0</v>
      </c>
      <c r="BD23" s="101">
        <f>((A8_A_L26*Limpias_A)+(A8_B_L26*Limpias_B)+(A8_C_L26*Limpias_C)+(A8_D_L26*Limpias_D)+(A8_Y_L26*Limpias_Y))*Inflación_8</f>
        <v>0</v>
      </c>
      <c r="BE23" s="101">
        <f>SUMIFS('9'!$E:$E,'9'!$A:$A,Año_Inicial+7,'9'!$B:$B,'12'!BD$4,'9'!$D:$D,"Limpias manuales")</f>
        <v>0</v>
      </c>
      <c r="BF23" s="101">
        <f>((A8_A_L27*Limpias_A)+(A8_B_L27*Limpias_B)+(A8_C_L27*Limpias_C)+(A8_D_L27*Limpias_D)+(A8_Y_L27*Limpias_Y))*Inflación_8</f>
        <v>0</v>
      </c>
      <c r="BG23" s="101">
        <f>SUMIFS('9'!$E:$E,'9'!$A:$A,Año_Inicial+7,'9'!$B:$B,'12'!BF$4,'9'!$D:$D,"Limpias manuales")</f>
        <v>0</v>
      </c>
      <c r="BH23" s="101">
        <f>((A8_A_L28*Limpias_A)+(A8_B_L28*Limpias_B)+(A8_C_L28*Limpias_C)+(A8_D_L28*Limpias_D)+(A8_Y_L28*Limpias_Y))*Inflación_8</f>
        <v>0</v>
      </c>
      <c r="BI23" s="101">
        <f>SUMIFS('9'!$E:$E,'9'!$A:$A,Año_Inicial+7,'9'!$B:$B,'12'!BH$4,'9'!$D:$D,"Limpias manuales")</f>
        <v>0</v>
      </c>
      <c r="BJ23" s="101">
        <f>((A8_A_L29*Limpias_A)+(A8_B_L29*Limpias_B)+(A8_C_L29*Limpias_C)+(A8_D_L29*Limpias_D)+(A8_Y_L29*Limpias_Y))*Inflación_8</f>
        <v>0</v>
      </c>
      <c r="BK23" s="101">
        <f>SUMIFS('9'!$E:$E,'9'!$A:$A,Año_Inicial+7,'9'!$B:$B,'12'!BJ$4,'9'!$D:$D,"Limpias manuales")</f>
        <v>0</v>
      </c>
      <c r="BL23" s="101">
        <f>((A8_A_L30*Limpias_A)+(A8_B_L30*Limpias_B)+(A8_C_L30*Limpias_C)+(A8_D_L30*Limpias_D)+(A8_Y_L30*Limpias_Y))*Inflación_8</f>
        <v>0</v>
      </c>
      <c r="BM23" s="101">
        <f>SUMIFS('9'!$E:$E,'9'!$A:$A,Año_Inicial+7,'9'!$B:$B,'12'!BL$4,'9'!$D:$D,"Limpias manuales")</f>
        <v>0</v>
      </c>
      <c r="BN23" s="101">
        <f>((A8_A_L31*Limpias_A)+(A8_B_L31*Limpias_B)+(A8_C_L31*Limpias_C)+(A8_D_L31*Limpias_D)+(A8_Y_L31*Limpias_Y))*Inflación_8</f>
        <v>0</v>
      </c>
      <c r="BO23" s="101">
        <f>SUMIFS('9'!$E:$E,'9'!$A:$A,Año_Inicial+7,'9'!$B:$B,'12'!BN$4,'9'!$D:$D,"Limpias manuales")</f>
        <v>0</v>
      </c>
      <c r="BP23" s="101">
        <f>((A8_A_L32*Limpias_A)+(A8_B_L32*Limpias_B)+(A8_C_L32*Limpias_C)+(A8_D_L32*Limpias_D)+(A8_Y_L32*Limpias_Y))*Inflación_8</f>
        <v>0</v>
      </c>
      <c r="BQ23" s="101">
        <f>SUMIFS('9'!$E:$E,'9'!$A:$A,Año_Inicial+7,'9'!$B:$B,'12'!BP$4,'9'!$D:$D,"Limpias manuales")</f>
        <v>0</v>
      </c>
      <c r="BR23" s="101">
        <f>((A8_A_L33*Limpias_A)+(A8_B_L33*Limpias_B)+(A8_C_L33*Limpias_C)+(A8_D_L33*Limpias_D)+(A8_Y_L33*Limpias_Y))*Inflación_8</f>
        <v>0</v>
      </c>
      <c r="BS23" s="101">
        <f>SUMIFS('9'!$E:$E,'9'!$A:$A,Año_Inicial+7,'9'!$B:$B,'12'!BR$4,'9'!$D:$D,"Limpias manuales")</f>
        <v>0</v>
      </c>
      <c r="BT23" s="101">
        <f>((A8_A_L34*Limpias_A)+(A8_B_L34*Limpias_B)+(A8_C_L34*Limpias_C)+(A8_D_L34*Limpias_D)+(A8_Y_L34*Limpias_Y))*Inflación_8</f>
        <v>0</v>
      </c>
      <c r="BU23" s="101">
        <f>SUMIFS('9'!$E:$E,'9'!$A:$A,Año_Inicial+7,'9'!$B:$B,'12'!BT$4,'9'!$D:$D,"Limpias manuales")</f>
        <v>0</v>
      </c>
      <c r="BV23" s="101">
        <f>((A8_A_L35*Limpias_A)+(A8_B_L35*Limpias_B)+(A8_C_L35*Limpias_C)+(A8_D_L35*Limpias_D)+(A8_Y_L35*Limpias_Y))*Inflación_8</f>
        <v>0</v>
      </c>
      <c r="BW23" s="101">
        <f>SUMIFS('9'!$E:$E,'9'!$A:$A,Año_Inicial+7,'9'!$B:$B,'12'!BV$4,'9'!$D:$D,"Limpias manuales")</f>
        <v>0</v>
      </c>
      <c r="BX23" s="101">
        <f>((A8_A_L36*Limpias_A)+(A8_B_L36*Limpias_B)+(A8_C_L36*Limpias_C)+(A8_D_L36*Limpias_D)+(A8_Y_L36*Limpias_Y))*Inflación_8</f>
        <v>0</v>
      </c>
      <c r="BY23" s="101">
        <f>SUMIFS('9'!$E:$E,'9'!$A:$A,Año_Inicial+7,'9'!$B:$B,'12'!BX$4,'9'!$D:$D,"Limpias manuales")</f>
        <v>0</v>
      </c>
      <c r="BZ23" s="101">
        <f>((A8_A_L37*Limpias_A)+(A8_B_L37*Limpias_B)+(A8_C_L37*Limpias_C)+(A8_D_L37*Limpias_D)+(A8_Y_L37*Limpias_Y))*Inflación_8</f>
        <v>0</v>
      </c>
      <c r="CA23" s="101">
        <f>SUMIFS('9'!$E:$E,'9'!$A:$A,Año_Inicial+7,'9'!$B:$B,'12'!BZ$4,'9'!$D:$D,"Limpias manuales")</f>
        <v>0</v>
      </c>
      <c r="CB23" s="101">
        <f>((A8_A_L38*Limpias_A)+(A8_B_L38*Limpias_B)+(A8_C_L38*Limpias_C)+(A8_D_L38*Limpias_D)+(A8_Y_L38*Limpias_Y))*Inflación_8</f>
        <v>0</v>
      </c>
      <c r="CC23" s="101">
        <f>SUMIFS('9'!$E:$E,'9'!$A:$A,Año_Inicial+7,'9'!$B:$B,'12'!CB$4,'9'!$D:$D,"Limpias manuales")</f>
        <v>0</v>
      </c>
      <c r="CD23" s="101">
        <f>((A8_A_L39*Limpias_A)+(A8_B_L39*Limpias_B)+(A8_C_L39*Limpias_C)+(A8_D_L39*Limpias_D)+(A8_Y_L39*Limpias_Y))*Inflación_8</f>
        <v>0</v>
      </c>
      <c r="CE23" s="101">
        <f>SUMIFS('9'!$E:$E,'9'!$A:$A,Año_Inicial+7,'9'!$B:$B,'12'!CD$4,'9'!$D:$D,"Limpias manuales")</f>
        <v>0</v>
      </c>
      <c r="CF23" s="101">
        <f>((A8_A_L40*Limpias_A)+(A8_B_L40*Limpias_B)+(A8_C_L40*Limpias_C)+(A8_D_L40*Limpias_D)+(A8_Y_L40*Limpias_Y))*Inflación_8</f>
        <v>0</v>
      </c>
      <c r="CG23" s="101">
        <f>SUMIFS('9'!$E:$E,'9'!$A:$A,Año_Inicial+7,'9'!$B:$B,'12'!CF$4,'9'!$D:$D,"Limpias manuales")</f>
        <v>0</v>
      </c>
      <c r="CH23" s="473"/>
      <c r="CI23" s="101">
        <f>Plantas_A_A8*Limpias_A*Inflación_8</f>
        <v>0</v>
      </c>
      <c r="CJ23" s="101">
        <f>Plantas_B_A8*Limpias_B</f>
        <v>0</v>
      </c>
      <c r="CK23" s="101">
        <f>Plantas_C_A8*Limpias_C</f>
        <v>0</v>
      </c>
      <c r="CL23" s="101">
        <f>Plantas_D_A8*Limpias_D</f>
        <v>0</v>
      </c>
      <c r="CM23" s="101"/>
      <c r="CN23" s="101">
        <f>Plantas_Y_A8*Limpias_Y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SUMIFS('9'!$E:$E,'9'!$A:$A,Año_Inicial+7,'9'!$D:$D,"Herbicida")</f>
        <v>0</v>
      </c>
      <c r="D24" s="100">
        <f t="shared" si="45"/>
        <v>0</v>
      </c>
      <c r="E24" s="473"/>
      <c r="F24" s="101">
        <f>((A8_A_L1*Herbicida_A)+(A8_B_L1*Herbicida_B)+(A8_C_L1*Herbicida_C)+(A8_D_L1*Herbicida_D)+(A8_Y_L1*Herbicida_Y))*Inflación_8</f>
        <v>0</v>
      </c>
      <c r="G24" s="101">
        <f>SUMIFS('9'!$E:$E,'9'!$A:$A,Año_Inicial+7,'9'!$B:$B,'12'!F$4,'9'!$D:$D,"Herbicida")</f>
        <v>0</v>
      </c>
      <c r="H24" s="101">
        <f>((A8_A_L2*Herbicida_A)+(A8_B_L2*Herbicida_B)+(A8_C_L2*Herbicida_C)+(A8_D_L2*Herbicida_D)+(A8_Y_L2*Herbicida_Y))*Inflación_8</f>
        <v>0</v>
      </c>
      <c r="I24" s="101">
        <f>SUMIFS('9'!$E:$E,'9'!$A:$A,Año_Inicial+7,'9'!$B:$B,'12'!H$4,'9'!$D:$D,"Herbicida")</f>
        <v>0</v>
      </c>
      <c r="J24" s="101">
        <f>((A8_A_L3*Herbicida_A)+(A8_B_L3*Herbicida_B)+(A8_C_L3*Herbicida_C)+(A8_D_L3*Herbicida_D)+(A8_Y_L3*Herbicida_Y))*Inflación_8</f>
        <v>0</v>
      </c>
      <c r="K24" s="101">
        <f>SUMIFS('9'!$E:$E,'9'!$A:$A,Año_Inicial+7,'9'!$B:$B,'12'!J$4,'9'!$D:$D,"Herbicida")</f>
        <v>0</v>
      </c>
      <c r="L24" s="101">
        <f>((A8_A_L4*Herbicida_A)+(A8_B_L4*Herbicida_B)+(A8_C_L4*Herbicida_C)+(A8_D_L4*Herbicida_D)+(A8_Y_L4*Herbicida_Y))*Inflación_8</f>
        <v>0</v>
      </c>
      <c r="M24" s="101">
        <f>SUMIFS('9'!$E:$E,'9'!$A:$A,Año_Inicial+7,'9'!$B:$B,'12'!L$4,'9'!$D:$D,"Herbicida")</f>
        <v>0</v>
      </c>
      <c r="N24" s="101">
        <f>((A8_A_L5*Herbicida_A)+(A8_B_L5*Herbicida_B)+(A8_C_L5*Herbicida_C)+(A8_D_L5*Herbicida_D)+(A8_Y_L5*Herbicida_Y))*Inflación_8</f>
        <v>0</v>
      </c>
      <c r="O24" s="101">
        <f>SUMIFS('9'!$E:$E,'9'!$A:$A,Año_Inicial+7,'9'!$B:$B,'12'!N$4,'9'!$D:$D,"Herbicida")</f>
        <v>0</v>
      </c>
      <c r="P24" s="101">
        <f>((A8_A_L6*Herbicida_A)+(A8_B_L6*Herbicida_B)+(A8_C_L6*Herbicida_C)+(A8_D_L6*Herbicida_D)+(A8_Y_L6*Herbicida_Y))*Inflación_8</f>
        <v>0</v>
      </c>
      <c r="Q24" s="101">
        <f>SUMIFS('9'!$E:$E,'9'!$A:$A,Año_Inicial+7,'9'!$B:$B,'12'!P$4,'9'!$D:$D,"Herbicida")</f>
        <v>0</v>
      </c>
      <c r="R24" s="101">
        <f>((A8_A_L7*Herbicida_A)+(A8_B_L7*Herbicida_B)+(A8_C_L7*Herbicida_C)+(A8_D_L7*Herbicida_D)+(A8_Y_L7*Herbicida_Y))*Inflación_8</f>
        <v>0</v>
      </c>
      <c r="S24" s="101">
        <f>SUMIFS('9'!$E:$E,'9'!$A:$A,Año_Inicial+7,'9'!$B:$B,'12'!R$4,'9'!$D:$D,"Herbicida")</f>
        <v>0</v>
      </c>
      <c r="T24" s="101">
        <f>((A8_A_L8*Herbicida_A)+(A8_B_L8*Herbicida_B)+(A8_C_L8*Herbicida_C)+(A8_D_L8*Herbicida_D)+(A8_Y_L8*Herbicida_Y))*Inflación_8</f>
        <v>0</v>
      </c>
      <c r="U24" s="101">
        <f>SUMIFS('9'!$E:$E,'9'!$A:$A,Año_Inicial+7,'9'!$B:$B,'12'!T$4,'9'!$D:$D,"Herbicida")</f>
        <v>0</v>
      </c>
      <c r="V24" s="101">
        <f>((A8_A_L9*Herbicida_A)+(A8_B_L9*Herbicida_B)+(A8_C_L9*Herbicida_C)+(A8_D_L9*Herbicida_D)+(A8_Y_L9*Herbicida_Y))*Inflación_8</f>
        <v>0</v>
      </c>
      <c r="W24" s="101">
        <f>SUMIFS('9'!$E:$E,'9'!$A:$A,Año_Inicial+7,'9'!$B:$B,'12'!V$4,'9'!$D:$D,"Herbicida")</f>
        <v>0</v>
      </c>
      <c r="X24" s="101">
        <f>((A8_A_L10*Herbicida_A)+(A8_B_L10*Herbicida_B)+(A8_C_L10*Herbicida_C)+(A8_D_L10*Herbicida_D)+(A8_Y_L10*Herbicida_Y))*Inflación_8</f>
        <v>0</v>
      </c>
      <c r="Y24" s="101">
        <f>SUMIFS('9'!$E:$E,'9'!$A:$A,Año_Inicial+7,'9'!$B:$B,'12'!X$4,'9'!$D:$D,"Herbicida")</f>
        <v>0</v>
      </c>
      <c r="Z24" s="101">
        <f>((A8_A_L11*Herbicida_A)+(A8_B_L11*Herbicida_B)+(A8_C_L11*Herbicida_C)+(A8_D_L11*Herbicida_D)+(A8_Y_L11*Herbicida_Y))*Inflación_8</f>
        <v>0</v>
      </c>
      <c r="AA24" s="101">
        <f>SUMIFS('9'!$E:$E,'9'!$A:$A,Año_Inicial+7,'9'!$B:$B,'12'!Z$4,'9'!$D:$D,"Herbicida")</f>
        <v>0</v>
      </c>
      <c r="AB24" s="101">
        <f>((A8_A_L12*Herbicida_A)+(A8_B_L12*Herbicida_B)+(A8_C_L12*Herbicida_C)+(A8_D_L12*Herbicida_D)+(A8_Y_L12*Herbicida_Y))*Inflación_8</f>
        <v>0</v>
      </c>
      <c r="AC24" s="101">
        <f>SUMIFS('9'!$E:$E,'9'!$A:$A,Año_Inicial+7,'9'!$B:$B,'12'!AB$4,'9'!$D:$D,"Herbicida")</f>
        <v>0</v>
      </c>
      <c r="AD24" s="101">
        <f>((A8_A_L13*Herbicida_A)+(A8_B_L13*Herbicida_B)+(A8_C_L13*Herbicida_C)+(A8_D_L13*Herbicida_D)+(A8_Y_L13*Herbicida_Y))*Inflación_8</f>
        <v>0</v>
      </c>
      <c r="AE24" s="101">
        <f>SUMIFS('9'!$E:$E,'9'!$A:$A,Año_Inicial+7,'9'!$B:$B,'12'!AD$4,'9'!$D:$D,"Herbicida")</f>
        <v>0</v>
      </c>
      <c r="AF24" s="101">
        <f>((A8_A_L14*Herbicida_A)+(A8_B_L14*Herbicida_B)+(A8_C_L14*Herbicida_C)+(A8_D_L14*Herbicida_D)+(A8_Y_L14*Herbicida_Y))*Inflación_8</f>
        <v>0</v>
      </c>
      <c r="AG24" s="101">
        <f>SUMIFS('9'!$E:$E,'9'!$A:$A,Año_Inicial+7,'9'!$B:$B,'12'!AF$4,'9'!$D:$D,"Herbicida")</f>
        <v>0</v>
      </c>
      <c r="AH24" s="101">
        <f>((A8_A_L15*Herbicida_A)+(A8_B_L15*Herbicida_B)+(A8_C_L15*Herbicida_C)+(A8_D_L15*Herbicida_D)+(A8_Y_L15*Herbicida_Y))*Inflación_8</f>
        <v>0</v>
      </c>
      <c r="AI24" s="101">
        <f>SUMIFS('9'!$E:$E,'9'!$A:$A,Año_Inicial+7,'9'!$B:$B,'12'!AH$4,'9'!$D:$D,"Herbicida")</f>
        <v>0</v>
      </c>
      <c r="AJ24" s="101">
        <f>((A8_A_L16*Herbicida_A)+(A8_B_L16*Herbicida_B)+(A8_C_L16*Herbicida_C)+(A8_D_L16*Herbicida_D)+(A8_Y_L16*Herbicida_Y))*Inflación_8</f>
        <v>0</v>
      </c>
      <c r="AK24" s="101">
        <f>SUMIFS('9'!$E:$E,'9'!$A:$A,Año_Inicial+7,'9'!$B:$B,'12'!AJ$4,'9'!$D:$D,"Herbicida")</f>
        <v>0</v>
      </c>
      <c r="AL24" s="101">
        <f>((A8_A_L17*Herbicida_A)+(A8_B_L17*Herbicida_B)+(A8_C_L17*Herbicida_C)+(A8_D_L17*Herbicida_D)+(A8_Y_L17*Herbicida_Y))*Inflación_8</f>
        <v>0</v>
      </c>
      <c r="AM24" s="101">
        <f>SUMIFS('9'!$E:$E,'9'!$A:$A,Año_Inicial+7,'9'!$B:$B,'12'!AL$4,'9'!$D:$D,"Herbicida")</f>
        <v>0</v>
      </c>
      <c r="AN24" s="101">
        <f>((A8_A_L18*Herbicida_A)+(A8_B_L18*Herbicida_B)+(A8_C_L18*Herbicida_C)+(A8_D_L18*Herbicida_D)+(A8_Y_L18*Herbicida_Y))*Inflación_8</f>
        <v>0</v>
      </c>
      <c r="AO24" s="101">
        <f>SUMIFS('9'!$E:$E,'9'!$A:$A,Año_Inicial+7,'9'!$B:$B,'12'!AN$4,'9'!$D:$D,"Herbicida")</f>
        <v>0</v>
      </c>
      <c r="AP24" s="101">
        <f>((A8_A_L19*Herbicida_A)+(A8_B_L19*Herbicida_B)+(A8_C_L19*Herbicida_C)+(A8_D_L19*Herbicida_D)+(A8_Y_L19*Herbicida_Y))*Inflación_8</f>
        <v>0</v>
      </c>
      <c r="AQ24" s="101">
        <f>SUMIFS('9'!$E:$E,'9'!$A:$A,Año_Inicial+7,'9'!$B:$B,'12'!AP$4,'9'!$D:$D,"Herbicida")</f>
        <v>0</v>
      </c>
      <c r="AR24" s="101">
        <f>((A8_A_L20*Herbicida_A)+(A8_B_L20*Herbicida_B)+(A8_C_L20*Herbicida_C)+(A8_D_L20*Herbicida_D)+(A8_Y_L20*Herbicida_Y))*Inflación_8</f>
        <v>0</v>
      </c>
      <c r="AS24" s="101">
        <f>SUMIFS('9'!$E:$E,'9'!$A:$A,Año_Inicial+7,'9'!$B:$B,'12'!AR$4,'9'!$D:$D,"Herbicida")</f>
        <v>0</v>
      </c>
      <c r="AT24" s="101">
        <f>((A8_A_L21*Herbicida_A)+(A8_B_L21*Herbicida_B)+(A8_C_L21*Herbicida_C)+(A8_D_L21*Herbicida_D)+(A8_Y_L21*Herbicida_Y))*Inflación_8</f>
        <v>0</v>
      </c>
      <c r="AU24" s="101">
        <f>SUMIFS('9'!$E:$E,'9'!$A:$A,Año_Inicial+7,'9'!$B:$B,'12'!AT$4,'9'!$D:$D,"Herbicida")</f>
        <v>0</v>
      </c>
      <c r="AV24" s="101">
        <f>((A8_A_L22*Herbicida_A)+(A8_B_L22*Herbicida_B)+(A8_C_L22*Herbicida_C)+(A8_D_L22*Herbicida_D)+(A8_Y_L22*Herbicida_Y))*Inflación_8</f>
        <v>0</v>
      </c>
      <c r="AW24" s="101">
        <f>SUMIFS('9'!$E:$E,'9'!$A:$A,Año_Inicial+7,'9'!$B:$B,'12'!AV$4,'9'!$D:$D,"Herbicida")</f>
        <v>0</v>
      </c>
      <c r="AX24" s="101">
        <f>((A8_A_L23*Herbicida_A)+(A8_B_L23*Herbicida_B)+(A8_C_L23*Herbicida_C)+(A8_D_L23*Herbicida_D)+(A8_Y_L23*Herbicida_Y))*Inflación_8</f>
        <v>0</v>
      </c>
      <c r="AY24" s="101">
        <f>SUMIFS('9'!$E:$E,'9'!$A:$A,Año_Inicial+7,'9'!$B:$B,'12'!AX$4,'9'!$D:$D,"Herbicida")</f>
        <v>0</v>
      </c>
      <c r="AZ24" s="101">
        <f>((A8_A_L24*Herbicida_A)+(A8_B_L24*Herbicida_B)+(A8_C_L24*Herbicida_C)+(A8_D_L24*Herbicida_D)+(A8_Y_L24*Herbicida_Y))*Inflación_8</f>
        <v>0</v>
      </c>
      <c r="BA24" s="101">
        <f>SUMIFS('9'!$E:$E,'9'!$A:$A,Año_Inicial+7,'9'!$B:$B,'12'!AZ$4,'9'!$D:$D,"Herbicida")</f>
        <v>0</v>
      </c>
      <c r="BB24" s="101">
        <f>((A8_A_L25*Herbicida_A)+(A8_B_L25*Herbicida_B)+(A8_C_L25*Herbicida_C)+(A8_D_L25*Herbicida_D)+(A8_Y_L25*Herbicida_Y))*Inflación_8</f>
        <v>0</v>
      </c>
      <c r="BC24" s="101">
        <f>SUMIFS('9'!$E:$E,'9'!$A:$A,Año_Inicial+7,'9'!$B:$B,'12'!BB$4,'9'!$D:$D,"Herbicida")</f>
        <v>0</v>
      </c>
      <c r="BD24" s="101">
        <f>((A8_A_L26*Herbicida_A)+(A8_B_L26*Herbicida_B)+(A8_C_L26*Herbicida_C)+(A8_D_L26*Herbicida_D)+(A8_Y_L26*Herbicida_Y))*Inflación_8</f>
        <v>0</v>
      </c>
      <c r="BE24" s="101">
        <f>SUMIFS('9'!$E:$E,'9'!$A:$A,Año_Inicial+7,'9'!$B:$B,'12'!BD$4,'9'!$D:$D,"Herbicida")</f>
        <v>0</v>
      </c>
      <c r="BF24" s="101">
        <f>((A8_A_L27*Herbicida_A)+(A8_B_L27*Herbicida_B)+(A8_C_L27*Herbicida_C)+(A8_D_L27*Herbicida_D)+(A8_Y_L27*Herbicida_Y))*Inflación_8</f>
        <v>0</v>
      </c>
      <c r="BG24" s="101">
        <f>SUMIFS('9'!$E:$E,'9'!$A:$A,Año_Inicial+7,'9'!$B:$B,'12'!BF$4,'9'!$D:$D,"Herbicida")</f>
        <v>0</v>
      </c>
      <c r="BH24" s="101">
        <f>((A8_A_L28*Herbicida_A)+(A8_B_L28*Herbicida_B)+(A8_C_L28*Herbicida_C)+(A8_D_L28*Herbicida_D)+(A8_Y_L28*Herbicida_Y))*Inflación_8</f>
        <v>0</v>
      </c>
      <c r="BI24" s="101">
        <f>SUMIFS('9'!$E:$E,'9'!$A:$A,Año_Inicial+7,'9'!$B:$B,'12'!BH$4,'9'!$D:$D,"Herbicida")</f>
        <v>0</v>
      </c>
      <c r="BJ24" s="101">
        <f>((A8_A_L29*Herbicida_A)+(A8_B_L29*Herbicida_B)+(A8_C_L29*Herbicida_C)+(A8_D_L29*Herbicida_D)+(A8_Y_L29*Herbicida_Y))*Inflación_8</f>
        <v>0</v>
      </c>
      <c r="BK24" s="101">
        <f>SUMIFS('9'!$E:$E,'9'!$A:$A,Año_Inicial+7,'9'!$B:$B,'12'!BJ$4,'9'!$D:$D,"Herbicida")</f>
        <v>0</v>
      </c>
      <c r="BL24" s="101">
        <f>((A8_A_L30*Herbicida_A)+(A8_B_L30*Herbicida_B)+(A8_C_L30*Herbicida_C)+(A8_D_L30*Herbicida_D)+(A8_Y_L30*Herbicida_Y))*Inflación_8</f>
        <v>0</v>
      </c>
      <c r="BM24" s="101">
        <f>SUMIFS('9'!$E:$E,'9'!$A:$A,Año_Inicial+7,'9'!$B:$B,'12'!BL$4,'9'!$D:$D,"Herbicida")</f>
        <v>0</v>
      </c>
      <c r="BN24" s="101">
        <f>((A8_A_L31*Herbicida_A)+(A8_B_L31*Herbicida_B)+(A8_C_L31*Herbicida_C)+(A8_D_L31*Herbicida_D)+(A8_Y_L31*Herbicida_Y))*Inflación_8</f>
        <v>0</v>
      </c>
      <c r="BO24" s="101">
        <f>SUMIFS('9'!$E:$E,'9'!$A:$A,Año_Inicial+7,'9'!$B:$B,'12'!BN$4,'9'!$D:$D,"Herbicida")</f>
        <v>0</v>
      </c>
      <c r="BP24" s="101">
        <f>((A8_A_L32*Herbicida_A)+(A8_B_L32*Herbicida_B)+(A8_C_L32*Herbicida_C)+(A8_D_L32*Herbicida_D)+(A8_Y_L32*Herbicida_Y))*Inflación_8</f>
        <v>0</v>
      </c>
      <c r="BQ24" s="101">
        <f>SUMIFS('9'!$E:$E,'9'!$A:$A,Año_Inicial+7,'9'!$B:$B,'12'!BP$4,'9'!$D:$D,"Herbicida")</f>
        <v>0</v>
      </c>
      <c r="BR24" s="101">
        <f>((A8_A_L33*Herbicida_A)+(A8_B_L33*Herbicida_B)+(A8_C_L33*Herbicida_C)+(A8_D_L33*Herbicida_D)+(A8_Y_L33*Herbicida_Y))*Inflación_8</f>
        <v>0</v>
      </c>
      <c r="BS24" s="101">
        <f>SUMIFS('9'!$E:$E,'9'!$A:$A,Año_Inicial+7,'9'!$B:$B,'12'!BR$4,'9'!$D:$D,"Herbicida")</f>
        <v>0</v>
      </c>
      <c r="BT24" s="101">
        <f>((A8_A_L34*Herbicida_A)+(A8_B_L34*Herbicida_B)+(A8_C_L34*Herbicida_C)+(A8_D_L34*Herbicida_D)+(A8_Y_L34*Herbicida_Y))*Inflación_8</f>
        <v>0</v>
      </c>
      <c r="BU24" s="101">
        <f>SUMIFS('9'!$E:$E,'9'!$A:$A,Año_Inicial+7,'9'!$B:$B,'12'!BT$4,'9'!$D:$D,"Herbicida")</f>
        <v>0</v>
      </c>
      <c r="BV24" s="101">
        <f>((A8_A_L35*Herbicida_A)+(A8_B_L35*Herbicida_B)+(A8_C_L35*Herbicida_C)+(A8_D_L35*Herbicida_D)+(A8_Y_L35*Herbicida_Y))*Inflación_8</f>
        <v>0</v>
      </c>
      <c r="BW24" s="101">
        <f>SUMIFS('9'!$E:$E,'9'!$A:$A,Año_Inicial+7,'9'!$B:$B,'12'!BV$4,'9'!$D:$D,"Herbicida")</f>
        <v>0</v>
      </c>
      <c r="BX24" s="101">
        <f>((A8_A_L36*Herbicida_A)+(A8_B_L36*Herbicida_B)+(A8_C_L36*Herbicida_C)+(A8_D_L36*Herbicida_D)+(A8_Y_L36*Herbicida_Y))*Inflación_8</f>
        <v>0</v>
      </c>
      <c r="BY24" s="101">
        <f>SUMIFS('9'!$E:$E,'9'!$A:$A,Año_Inicial+7,'9'!$B:$B,'12'!BX$4,'9'!$D:$D,"Herbicida")</f>
        <v>0</v>
      </c>
      <c r="BZ24" s="101">
        <f>((A8_A_L37*Herbicida_A)+(A8_B_L37*Herbicida_B)+(A8_C_L37*Herbicida_C)+(A8_D_L37*Herbicida_D)+(A8_Y_L37*Herbicida_Y))*Inflación_8</f>
        <v>0</v>
      </c>
      <c r="CA24" s="101">
        <f>SUMIFS('9'!$E:$E,'9'!$A:$A,Año_Inicial+7,'9'!$B:$B,'12'!BZ$4,'9'!$D:$D,"Herbicida")</f>
        <v>0</v>
      </c>
      <c r="CB24" s="101">
        <f>((A8_A_L38*Herbicida_A)+(A8_B_L38*Herbicida_B)+(A8_C_L38*Herbicida_C)+(A8_D_L38*Herbicida_D)+(A8_Y_L38*Herbicida_Y))*Inflación_8</f>
        <v>0</v>
      </c>
      <c r="CC24" s="101">
        <f>SUMIFS('9'!$E:$E,'9'!$A:$A,Año_Inicial+7,'9'!$B:$B,'12'!CB$4,'9'!$D:$D,"Herbicida")</f>
        <v>0</v>
      </c>
      <c r="CD24" s="101">
        <f>((A8_A_L39*Herbicida_A)+(A8_B_L39*Herbicida_B)+(A8_C_L39*Herbicida_C)+(A8_D_L39*Herbicida_D)+(A8_Y_L39*Herbicida_Y))*Inflación_8</f>
        <v>0</v>
      </c>
      <c r="CE24" s="101">
        <f>SUMIFS('9'!$E:$E,'9'!$A:$A,Año_Inicial+7,'9'!$B:$B,'12'!CD$4,'9'!$D:$D,"Herbicida")</f>
        <v>0</v>
      </c>
      <c r="CF24" s="101">
        <f>((A8_A_L40*Herbicida_A)+(A8_B_L40*Herbicida_B)+(A8_C_L40*Herbicida_C)+(A8_D_L40*Herbicida_D)+(A8_Y_L40*Herbicida_Y))*Inflación_8</f>
        <v>0</v>
      </c>
      <c r="CG24" s="101">
        <f>SUMIFS('9'!$E:$E,'9'!$A:$A,Año_Inicial+7,'9'!$B:$B,'12'!CF$4,'9'!$D:$D,"Herbicida")</f>
        <v>0</v>
      </c>
      <c r="CH24" s="473"/>
      <c r="CI24" s="101">
        <f>Plantas_A_A8*Herbicida_A*Inflación_8</f>
        <v>0</v>
      </c>
      <c r="CJ24" s="101">
        <f>Plantas_B_A8*Herbicida_B</f>
        <v>0</v>
      </c>
      <c r="CK24" s="101">
        <f>Plantas_C_A8*Herbicida_C</f>
        <v>0</v>
      </c>
      <c r="CL24" s="101">
        <f>Plantas_D_A8*Herbicida_D</f>
        <v>0</v>
      </c>
      <c r="CM24" s="101"/>
      <c r="CN24" s="101">
        <f>Plantas_Y_A8*Herbicida_Y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SUMIFS('9'!$E:$E,'9'!$A:$A,Año_Inicial+7,'9'!$D:$D,"Prevención de plagas")</f>
        <v>0</v>
      </c>
      <c r="D26" s="100">
        <f t="shared" si="45"/>
        <v>0</v>
      </c>
      <c r="E26" s="473"/>
      <c r="F26" s="101">
        <f>((A8_A_L1*Plagas_A)+(A8_B_L1*Plagas_B)+(A8_C_L1*Plagas_C)+(A8_D_L1*Plagas_D)+(A8_Y_L1*Plagas_Y))*Inflación_8</f>
        <v>0</v>
      </c>
      <c r="G26" s="101">
        <f>SUMIFS('9'!$E:$E,'9'!$A:$A,Año_Inicial+7,'9'!$B:$B,'12'!F$4,'9'!$D:$D,"Prevención de plagas")</f>
        <v>0</v>
      </c>
      <c r="H26" s="101">
        <f>((A8_A_L2*Plagas_A)+(A8_B_L2*Plagas_B)+(A8_C_L2*Plagas_C)+(A8_D_L2*Plagas_D)+(A8_Y_L2*Plagas_Y))*Inflación_8</f>
        <v>0</v>
      </c>
      <c r="I26" s="101">
        <f>SUMIFS('9'!$E:$E,'9'!$A:$A,Año_Inicial+7,'9'!$B:$B,'12'!H$4,'9'!$D:$D,"Prevención de plagas")</f>
        <v>0</v>
      </c>
      <c r="J26" s="101">
        <f>((A8_A_L3*Plagas_A)+(A8_B_L3*Plagas_B)+(A8_C_L3*Plagas_C)+(A8_D_L3*Plagas_D)+(A8_Y_L3*Plagas_Y))*Inflación_8</f>
        <v>0</v>
      </c>
      <c r="K26" s="101">
        <f>SUMIFS('9'!$E:$E,'9'!$A:$A,Año_Inicial+7,'9'!$B:$B,'12'!J$4,'9'!$D:$D,"Prevención de plagas")</f>
        <v>0</v>
      </c>
      <c r="L26" s="101">
        <f>((A8_A_L4*Plagas_A)+(A8_B_L4*Plagas_B)+(A8_C_L4*Plagas_C)+(A8_D_L4*Plagas_D)+(A8_Y_L4*Plagas_Y))*Inflación_8</f>
        <v>0</v>
      </c>
      <c r="M26" s="101">
        <f>SUMIFS('9'!$E:$E,'9'!$A:$A,Año_Inicial+7,'9'!$B:$B,'12'!L$4,'9'!$D:$D,"Prevención de plagas")</f>
        <v>0</v>
      </c>
      <c r="N26" s="101">
        <f>((A8_A_L5*Plagas_A)+(A8_B_L5*Plagas_B)+(A8_C_L5*Plagas_C)+(A8_D_L5*Plagas_D)+(A8_Y_L5*Plagas_Y))*Inflación_8</f>
        <v>0</v>
      </c>
      <c r="O26" s="101">
        <f>SUMIFS('9'!$E:$E,'9'!$A:$A,Año_Inicial+7,'9'!$B:$B,'12'!N$4,'9'!$D:$D,"Prevención de plagas")</f>
        <v>0</v>
      </c>
      <c r="P26" s="101">
        <f>((A8_A_L6*Plagas_A)+(A8_B_L6*Plagas_B)+(A8_C_L6*Plagas_C)+(A8_D_L6*Plagas_D)+(A8_Y_L6*Plagas_Y))*Inflación_8</f>
        <v>0</v>
      </c>
      <c r="Q26" s="101">
        <f>SUMIFS('9'!$E:$E,'9'!$A:$A,Año_Inicial+7,'9'!$B:$B,'12'!P$4,'9'!$D:$D,"Prevención de plagas")</f>
        <v>0</v>
      </c>
      <c r="R26" s="101">
        <f>((A8_A_L7*Plagas_A)+(A8_B_L7*Plagas_B)+(A8_C_L7*Plagas_C)+(A8_D_L7*Plagas_D)+(A8_Y_L7*Plagas_Y))*Inflación_8</f>
        <v>0</v>
      </c>
      <c r="S26" s="101">
        <f>SUMIFS('9'!$E:$E,'9'!$A:$A,Año_Inicial+7,'9'!$B:$B,'12'!R$4,'9'!$D:$D,"Prevención de plagas")</f>
        <v>0</v>
      </c>
      <c r="T26" s="101">
        <f>((A8_A_L8*Plagas_A)+(A8_B_L8*Plagas_B)+(A8_C_L8*Plagas_C)+(A8_D_L8*Plagas_D)+(A8_Y_L8*Plagas_Y))*Inflación_8</f>
        <v>0</v>
      </c>
      <c r="U26" s="101">
        <f>SUMIFS('9'!$E:$E,'9'!$A:$A,Año_Inicial+7,'9'!$B:$B,'12'!T$4,'9'!$D:$D,"Prevención de plagas")</f>
        <v>0</v>
      </c>
      <c r="V26" s="101">
        <f>((A8_A_L9*Plagas_A)+(A8_B_L9*Plagas_B)+(A8_C_L9*Plagas_C)+(A8_D_L9*Plagas_D)+(A8_Y_L9*Plagas_Y))*Inflación_8</f>
        <v>0</v>
      </c>
      <c r="W26" s="101">
        <f>SUMIFS('9'!$E:$E,'9'!$A:$A,Año_Inicial+7,'9'!$B:$B,'12'!V$4,'9'!$D:$D,"Prevención de plagas")</f>
        <v>0</v>
      </c>
      <c r="X26" s="101">
        <f>((A8_A_L10*Plagas_A)+(A8_B_L10*Plagas_B)+(A8_C_L10*Plagas_C)+(A8_D_L10*Plagas_D)+(A8_Y_L10*Plagas_Y))*Inflación_8</f>
        <v>0</v>
      </c>
      <c r="Y26" s="101">
        <f>SUMIFS('9'!$E:$E,'9'!$A:$A,Año_Inicial+7,'9'!$B:$B,'12'!X$4,'9'!$D:$D,"Prevención de plagas")</f>
        <v>0</v>
      </c>
      <c r="Z26" s="101">
        <f>((A8_A_L11*Plagas_A)+(A8_B_L11*Plagas_B)+(A8_C_L11*Plagas_C)+(A8_D_L11*Plagas_D)+(A8_Y_L11*Plagas_Y))*Inflación_8</f>
        <v>0</v>
      </c>
      <c r="AA26" s="101">
        <f>SUMIFS('9'!$E:$E,'9'!$A:$A,Año_Inicial+7,'9'!$B:$B,'12'!Z$4,'9'!$D:$D,"Prevención de plagas")</f>
        <v>0</v>
      </c>
      <c r="AB26" s="101">
        <f>((A8_A_L12*Plagas_A)+(A8_B_L12*Plagas_B)+(A8_C_L12*Plagas_C)+(A8_D_L12*Plagas_D)+(A8_Y_L12*Plagas_Y))*Inflación_8</f>
        <v>0</v>
      </c>
      <c r="AC26" s="101">
        <f>SUMIFS('9'!$E:$E,'9'!$A:$A,Año_Inicial+7,'9'!$B:$B,'12'!AB$4,'9'!$D:$D,"Prevención de plagas")</f>
        <v>0</v>
      </c>
      <c r="AD26" s="101">
        <f>((A8_A_L13*Plagas_A)+(A8_B_L13*Plagas_B)+(A8_C_L13*Plagas_C)+(A8_D_L13*Plagas_D)+(A8_Y_L13*Plagas_Y))*Inflación_8</f>
        <v>0</v>
      </c>
      <c r="AE26" s="101">
        <f>SUMIFS('9'!$E:$E,'9'!$A:$A,Año_Inicial+7,'9'!$B:$B,'12'!AD$4,'9'!$D:$D,"Prevención de plagas")</f>
        <v>0</v>
      </c>
      <c r="AF26" s="101">
        <f>((A8_A_L14*Plagas_A)+(A8_B_L14*Plagas_B)+(A8_C_L14*Plagas_C)+(A8_D_L14*Plagas_D)+(A8_Y_L14*Plagas_Y))*Inflación_8</f>
        <v>0</v>
      </c>
      <c r="AG26" s="101">
        <f>SUMIFS('9'!$E:$E,'9'!$A:$A,Año_Inicial+7,'9'!$B:$B,'12'!AF$4,'9'!$D:$D,"Prevención de plagas")</f>
        <v>0</v>
      </c>
      <c r="AH26" s="101">
        <f>((A8_A_L15*Plagas_A)+(A8_B_L15*Plagas_B)+(A8_C_L15*Plagas_C)+(A8_D_L15*Plagas_D)+(A8_Y_L15*Plagas_Y))*Inflación_8</f>
        <v>0</v>
      </c>
      <c r="AI26" s="101">
        <f>SUMIFS('9'!$E:$E,'9'!$A:$A,Año_Inicial+7,'9'!$B:$B,'12'!AH$4,'9'!$D:$D,"Prevención de plagas")</f>
        <v>0</v>
      </c>
      <c r="AJ26" s="101">
        <f>((A8_A_L16*Plagas_A)+(A8_B_L16*Plagas_B)+(A8_C_L16*Plagas_C)+(A8_D_L16*Plagas_D)+(A8_Y_L16*Plagas_Y))*Inflación_8</f>
        <v>0</v>
      </c>
      <c r="AK26" s="101">
        <f>SUMIFS('9'!$E:$E,'9'!$A:$A,Año_Inicial+7,'9'!$B:$B,'12'!AJ$4,'9'!$D:$D,"Prevención de plagas")</f>
        <v>0</v>
      </c>
      <c r="AL26" s="101">
        <f>((A8_A_L17*Plagas_A)+(A8_B_L17*Plagas_B)+(A8_C_L17*Plagas_C)+(A8_D_L17*Plagas_D)+(A8_Y_L17*Plagas_Y))*Inflación_8</f>
        <v>0</v>
      </c>
      <c r="AM26" s="101">
        <f>SUMIFS('9'!$E:$E,'9'!$A:$A,Año_Inicial+7,'9'!$B:$B,'12'!AL$4,'9'!$D:$D,"Prevención de plagas")</f>
        <v>0</v>
      </c>
      <c r="AN26" s="101">
        <f>((A8_A_L18*Plagas_A)+(A8_B_L18*Plagas_B)+(A8_C_L18*Plagas_C)+(A8_D_L18*Plagas_D)+(A8_Y_L18*Plagas_Y))*Inflación_8</f>
        <v>0</v>
      </c>
      <c r="AO26" s="101">
        <f>SUMIFS('9'!$E:$E,'9'!$A:$A,Año_Inicial+7,'9'!$B:$B,'12'!AN$4,'9'!$D:$D,"Prevención de plagas")</f>
        <v>0</v>
      </c>
      <c r="AP26" s="101">
        <f>((A8_A_L19*Plagas_A)+(A8_B_L19*Plagas_B)+(A8_C_L19*Plagas_C)+(A8_D_L19*Plagas_D)+(A8_Y_L19*Plagas_Y))*Inflación_8</f>
        <v>0</v>
      </c>
      <c r="AQ26" s="101">
        <f>SUMIFS('9'!$E:$E,'9'!$A:$A,Año_Inicial+7,'9'!$B:$B,'12'!AP$4,'9'!$D:$D,"Prevención de plagas")</f>
        <v>0</v>
      </c>
      <c r="AR26" s="101">
        <f>((A8_A_L20*Plagas_A)+(A8_B_L20*Plagas_B)+(A8_C_L20*Plagas_C)+(A8_D_L20*Plagas_D)+(A8_Y_L20*Plagas_Y))*Inflación_8</f>
        <v>0</v>
      </c>
      <c r="AS26" s="101">
        <f>SUMIFS('9'!$E:$E,'9'!$A:$A,Año_Inicial+7,'9'!$B:$B,'12'!AR$4,'9'!$D:$D,"Prevención de plagas")</f>
        <v>0</v>
      </c>
      <c r="AT26" s="101">
        <f>((A8_A_L21*Plagas_A)+(A8_B_L21*Plagas_B)+(A8_C_L21*Plagas_C)+(A8_D_L21*Plagas_D)+(A8_Y_L21*Plagas_Y))*Inflación_8</f>
        <v>0</v>
      </c>
      <c r="AU26" s="101">
        <f>SUMIFS('9'!$E:$E,'9'!$A:$A,Año_Inicial+7,'9'!$B:$B,'12'!AT$4,'9'!$D:$D,"Prevención de plagas")</f>
        <v>0</v>
      </c>
      <c r="AV26" s="101">
        <f>((A8_A_L22*Plagas_A)+(A8_B_L22*Plagas_B)+(A8_C_L22*Plagas_C)+(A8_D_L22*Plagas_D)+(A8_Y_L22*Plagas_Y))*Inflación_8</f>
        <v>0</v>
      </c>
      <c r="AW26" s="101">
        <f>SUMIFS('9'!$E:$E,'9'!$A:$A,Año_Inicial+7,'9'!$B:$B,'12'!AV$4,'9'!$D:$D,"Prevención de plagas")</f>
        <v>0</v>
      </c>
      <c r="AX26" s="101">
        <f>((A8_A_L23*Plagas_A)+(A8_B_L23*Plagas_B)+(A8_C_L23*Plagas_C)+(A8_D_L23*Plagas_D)+(A8_Y_L23*Plagas_Y))*Inflación_8</f>
        <v>0</v>
      </c>
      <c r="AY26" s="101">
        <f>SUMIFS('9'!$E:$E,'9'!$A:$A,Año_Inicial+7,'9'!$B:$B,'12'!AX$4,'9'!$D:$D,"Prevención de plagas")</f>
        <v>0</v>
      </c>
      <c r="AZ26" s="101">
        <f>((A8_A_L24*Plagas_A)+(A8_B_L24*Plagas_B)+(A8_C_L24*Plagas_C)+(A8_D_L24*Plagas_D)+(A8_Y_L24*Plagas_Y))*Inflación_8</f>
        <v>0</v>
      </c>
      <c r="BA26" s="101">
        <f>SUMIFS('9'!$E:$E,'9'!$A:$A,Año_Inicial+7,'9'!$B:$B,'12'!AZ$4,'9'!$D:$D,"Prevención de plagas")</f>
        <v>0</v>
      </c>
      <c r="BB26" s="101">
        <f>((A8_A_L25*Plagas_A)+(A8_B_L25*Plagas_B)+(A8_C_L25*Plagas_C)+(A8_D_L25*Plagas_D)+(A8_Y_L25*Plagas_Y))*Inflación_8</f>
        <v>0</v>
      </c>
      <c r="BC26" s="101">
        <f>SUMIFS('9'!$E:$E,'9'!$A:$A,Año_Inicial+7,'9'!$B:$B,'12'!BB$4,'9'!$D:$D,"Prevención de plagas")</f>
        <v>0</v>
      </c>
      <c r="BD26" s="101">
        <f>((A8_A_L26*Plagas_A)+(A8_B_L26*Plagas_B)+(A8_C_L26*Plagas_C)+(A8_D_L26*Plagas_D)+(A8_Y_L26*Plagas_Y))*Inflación_8</f>
        <v>0</v>
      </c>
      <c r="BE26" s="101">
        <f>SUMIFS('9'!$E:$E,'9'!$A:$A,Año_Inicial+7,'9'!$B:$B,'12'!BD$4,'9'!$D:$D,"Prevención de plagas")</f>
        <v>0</v>
      </c>
      <c r="BF26" s="101">
        <f>((A8_A_L27*Plagas_A)+(A8_B_L27*Plagas_B)+(A8_C_L27*Plagas_C)+(A8_D_L27*Plagas_D)+(A8_Y_L27*Plagas_Y))*Inflación_8</f>
        <v>0</v>
      </c>
      <c r="BG26" s="101">
        <f>SUMIFS('9'!$E:$E,'9'!$A:$A,Año_Inicial+7,'9'!$B:$B,'12'!BF$4,'9'!$D:$D,"Prevención de plagas")</f>
        <v>0</v>
      </c>
      <c r="BH26" s="101">
        <f>((A8_A_L28*Plagas_A)+(A8_B_L28*Plagas_B)+(A8_C_L28*Plagas_C)+(A8_D_L28*Plagas_D)+(A8_Y_L28*Plagas_Y))*Inflación_8</f>
        <v>0</v>
      </c>
      <c r="BI26" s="101">
        <f>SUMIFS('9'!$E:$E,'9'!$A:$A,Año_Inicial+7,'9'!$B:$B,'12'!BH$4,'9'!$D:$D,"Prevención de plagas")</f>
        <v>0</v>
      </c>
      <c r="BJ26" s="101">
        <f>((A8_A_L29*Plagas_A)+(A8_B_L29*Plagas_B)+(A8_C_L29*Plagas_C)+(A8_D_L29*Plagas_D)+(A8_Y_L29*Plagas_Y))*Inflación_8</f>
        <v>0</v>
      </c>
      <c r="BK26" s="101">
        <f>SUMIFS('9'!$E:$E,'9'!$A:$A,Año_Inicial+7,'9'!$B:$B,'12'!BJ$4,'9'!$D:$D,"Prevención de plagas")</f>
        <v>0</v>
      </c>
      <c r="BL26" s="101">
        <f>((A8_A_L30*Plagas_A)+(A8_B_L30*Plagas_B)+(A8_C_L30*Plagas_C)+(A8_D_L30*Plagas_D)+(A8_Y_L30*Plagas_Y))*Inflación_8</f>
        <v>0</v>
      </c>
      <c r="BM26" s="101">
        <f>SUMIFS('9'!$E:$E,'9'!$A:$A,Año_Inicial+7,'9'!$B:$B,'12'!BL$4,'9'!$D:$D,"Prevención de plagas")</f>
        <v>0</v>
      </c>
      <c r="BN26" s="101">
        <f>((A8_A_L31*Plagas_A)+(A8_B_L31*Plagas_B)+(A8_C_L31*Plagas_C)+(A8_D_L31*Plagas_D)+(A8_Y_L31*Plagas_Y))*Inflación_8</f>
        <v>0</v>
      </c>
      <c r="BO26" s="101">
        <f>SUMIFS('9'!$E:$E,'9'!$A:$A,Año_Inicial+7,'9'!$B:$B,'12'!BN$4,'9'!$D:$D,"Prevención de plagas")</f>
        <v>0</v>
      </c>
      <c r="BP26" s="101">
        <f>((A8_A_L32*Plagas_A)+(A8_B_L32*Plagas_B)+(A8_C_L32*Plagas_C)+(A8_D_L32*Plagas_D)+(A8_Y_L32*Plagas_Y))*Inflación_8</f>
        <v>0</v>
      </c>
      <c r="BQ26" s="101">
        <f>SUMIFS('9'!$E:$E,'9'!$A:$A,Año_Inicial+7,'9'!$B:$B,'12'!BP$4,'9'!$D:$D,"Prevención de plagas")</f>
        <v>0</v>
      </c>
      <c r="BR26" s="101">
        <f>((A8_A_L33*Plagas_A)+(A8_B_L33*Plagas_B)+(A8_C_L33*Plagas_C)+(A8_D_L33*Plagas_D)+(A8_Y_L33*Plagas_Y))*Inflación_8</f>
        <v>0</v>
      </c>
      <c r="BS26" s="101">
        <f>SUMIFS('9'!$E:$E,'9'!$A:$A,Año_Inicial+7,'9'!$B:$B,'12'!BR$4,'9'!$D:$D,"Prevención de plagas")</f>
        <v>0</v>
      </c>
      <c r="BT26" s="101">
        <f>((A8_A_L34*Plagas_A)+(A8_B_L34*Plagas_B)+(A8_C_L34*Plagas_C)+(A8_D_L34*Plagas_D)+(A8_Y_L34*Plagas_Y))*Inflación_8</f>
        <v>0</v>
      </c>
      <c r="BU26" s="101">
        <f>SUMIFS('9'!$E:$E,'9'!$A:$A,Año_Inicial+7,'9'!$B:$B,'12'!BT$4,'9'!$D:$D,"Prevención de plagas")</f>
        <v>0</v>
      </c>
      <c r="BV26" s="101">
        <f>((A8_A_L35*Plagas_A)+(A8_B_L35*Plagas_B)+(A8_C_L35*Plagas_C)+(A8_D_L35*Plagas_D)+(A8_Y_L35*Plagas_Y))*Inflación_8</f>
        <v>0</v>
      </c>
      <c r="BW26" s="101">
        <f>SUMIFS('9'!$E:$E,'9'!$A:$A,Año_Inicial+7,'9'!$B:$B,'12'!BV$4,'9'!$D:$D,"Prevención de plagas")</f>
        <v>0</v>
      </c>
      <c r="BX26" s="101">
        <f>((A8_A_L36*Plagas_A)+(A8_B_L36*Plagas_B)+(A8_C_L36*Plagas_C)+(A8_D_L36*Plagas_D)+(A8_Y_L36*Plagas_Y))*Inflación_8</f>
        <v>0</v>
      </c>
      <c r="BY26" s="101">
        <f>SUMIFS('9'!$E:$E,'9'!$A:$A,Año_Inicial+7,'9'!$B:$B,'12'!BX$4,'9'!$D:$D,"Prevención de plagas")</f>
        <v>0</v>
      </c>
      <c r="BZ26" s="101">
        <f>((A8_A_L37*Plagas_A)+(A8_B_L37*Plagas_B)+(A8_C_L37*Plagas_C)+(A8_D_L37*Plagas_D)+(A8_Y_L37*Plagas_Y))*Inflación_8</f>
        <v>0</v>
      </c>
      <c r="CA26" s="101">
        <f>SUMIFS('9'!$E:$E,'9'!$A:$A,Año_Inicial+7,'9'!$B:$B,'12'!BZ$4,'9'!$D:$D,"Prevención de plagas")</f>
        <v>0</v>
      </c>
      <c r="CB26" s="101">
        <f>((A8_A_L38*Plagas_A)+(A8_B_L38*Plagas_B)+(A8_C_L38*Plagas_C)+(A8_D_L38*Plagas_D)+(A8_Y_L38*Plagas_Y))*Inflación_8</f>
        <v>0</v>
      </c>
      <c r="CC26" s="101">
        <f>SUMIFS('9'!$E:$E,'9'!$A:$A,Año_Inicial+7,'9'!$B:$B,'12'!CB$4,'9'!$D:$D,"Prevención de plagas")</f>
        <v>0</v>
      </c>
      <c r="CD26" s="101">
        <f>((A8_A_L39*Plagas_A)+(A8_B_L39*Plagas_B)+(A8_C_L39*Plagas_C)+(A8_D_L39*Plagas_D)+(A8_Y_L39*Plagas_Y))*Inflación_8</f>
        <v>0</v>
      </c>
      <c r="CE26" s="101">
        <f>SUMIFS('9'!$E:$E,'9'!$A:$A,Año_Inicial+7,'9'!$B:$B,'12'!CD$4,'9'!$D:$D,"Prevención de plagas")</f>
        <v>0</v>
      </c>
      <c r="CF26" s="101">
        <f>((A8_A_L40*Plagas_A)+(A8_B_L40*Plagas_B)+(A8_C_L40*Plagas_C)+(A8_D_L40*Plagas_D)+(A8_Y_L40*Plagas_Y))*Inflación_8</f>
        <v>0</v>
      </c>
      <c r="CG26" s="101">
        <f>SUMIFS('9'!$E:$E,'9'!$A:$A,Año_Inicial+7,'9'!$B:$B,'12'!CF$4,'9'!$D:$D,"Prevención de plagas")</f>
        <v>0</v>
      </c>
      <c r="CH26" s="473"/>
      <c r="CI26" s="101">
        <f>Plantas_A_A8*Plagas_A*Inflación_8</f>
        <v>0</v>
      </c>
      <c r="CJ26" s="101">
        <f>Plantas_B_A8*Plagas_B</f>
        <v>0</v>
      </c>
      <c r="CK26" s="101">
        <f>Plantas_C_A8*Plagas_C</f>
        <v>0</v>
      </c>
      <c r="CL26" s="101">
        <f>Plantas_D_A8*Plagas_D</f>
        <v>0</v>
      </c>
      <c r="CM26" s="101"/>
      <c r="CN26" s="101">
        <f>Plantas_Y_A8*Plagas_Y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SUMIFS('9'!$E:$E,'9'!$A:$A,Año_Inicial+7,'9'!$D:$D,"Insecticida")</f>
        <v>0</v>
      </c>
      <c r="D27" s="100">
        <f t="shared" si="45"/>
        <v>0</v>
      </c>
      <c r="E27" s="473"/>
      <c r="F27" s="101">
        <f>((A8_A_L1*Insecticida_A)+(A8_B_L1*Insecticida_B)+(A8_C_L1*Insecticida_C)+(A8_D_L1*Insecticida_D)+(A8_Y_L1*Insecticida_Y))*Inflación_8</f>
        <v>0</v>
      </c>
      <c r="G27" s="101">
        <f>SUMIFS('9'!$E:$E,'9'!$A:$A,Año_Inicial+7,'9'!$B:$B,'12'!F$4,'9'!$D:$D,"Insecticida")</f>
        <v>0</v>
      </c>
      <c r="H27" s="101">
        <f>((A8_A_L2*Insecticida_A)+(A8_B_L2*Insecticida_B)+(A8_C_L2*Insecticida_C)+(A8_D_L2*Insecticida_D)+(A8_Y_L2*Insecticida_Y))*Inflación_8</f>
        <v>0</v>
      </c>
      <c r="I27" s="101">
        <f>SUMIFS('9'!$E:$E,'9'!$A:$A,Año_Inicial+7,'9'!$B:$B,'12'!H$4,'9'!$D:$D,"Insecticida")</f>
        <v>0</v>
      </c>
      <c r="J27" s="101">
        <f>((A8_A_L3*Insecticida_A)+(A8_B_L3*Insecticida_B)+(A8_C_L3*Insecticida_C)+(A8_D_L3*Insecticida_D)+(A8_Y_L3*Insecticida_Y))*Inflación_8</f>
        <v>0</v>
      </c>
      <c r="K27" s="101">
        <f>SUMIFS('9'!$E:$E,'9'!$A:$A,Año_Inicial+7,'9'!$B:$B,'12'!J$4,'9'!$D:$D,"Insecticida")</f>
        <v>0</v>
      </c>
      <c r="L27" s="101">
        <f>((A8_A_L4*Insecticida_A)+(A8_B_L4*Insecticida_B)+(A8_C_L4*Insecticida_C)+(A8_D_L4*Insecticida_D)+(A8_Y_L4*Insecticida_Y))*Inflación_8</f>
        <v>0</v>
      </c>
      <c r="M27" s="101">
        <f>SUMIFS('9'!$E:$E,'9'!$A:$A,Año_Inicial+7,'9'!$B:$B,'12'!L$4,'9'!$D:$D,"Insecticida")</f>
        <v>0</v>
      </c>
      <c r="N27" s="101">
        <f>((A8_A_L5*Insecticida_A)+(A8_B_L5*Insecticida_B)+(A8_C_L5*Insecticida_C)+(A8_D_L5*Insecticida_D)+(A8_Y_L5*Insecticida_Y))*Inflación_8</f>
        <v>0</v>
      </c>
      <c r="O27" s="101">
        <f>SUMIFS('9'!$E:$E,'9'!$A:$A,Año_Inicial+7,'9'!$B:$B,'12'!N$4,'9'!$D:$D,"Insecticida")</f>
        <v>0</v>
      </c>
      <c r="P27" s="101">
        <f>((A8_A_L6*Insecticida_A)+(A8_B_L6*Insecticida_B)+(A8_C_L6*Insecticida_C)+(A8_D_L6*Insecticida_D)+(A8_Y_L6*Insecticida_Y))*Inflación_8</f>
        <v>0</v>
      </c>
      <c r="Q27" s="101">
        <f>SUMIFS('9'!$E:$E,'9'!$A:$A,Año_Inicial+7,'9'!$B:$B,'12'!P$4,'9'!$D:$D,"Insecticida")</f>
        <v>0</v>
      </c>
      <c r="R27" s="101">
        <f>((A8_A_L7*Insecticida_A)+(A8_B_L7*Insecticida_B)+(A8_C_L7*Insecticida_C)+(A8_D_L7*Insecticida_D)+(A8_Y_L7*Insecticida_Y))*Inflación_8</f>
        <v>0</v>
      </c>
      <c r="S27" s="101">
        <f>SUMIFS('9'!$E:$E,'9'!$A:$A,Año_Inicial+7,'9'!$B:$B,'12'!R$4,'9'!$D:$D,"Insecticida")</f>
        <v>0</v>
      </c>
      <c r="T27" s="101">
        <f>((A8_A_L8*Insecticida_A)+(A8_B_L8*Insecticida_B)+(A8_C_L8*Insecticida_C)+(A8_D_L8*Insecticida_D)+(A8_Y_L8*Insecticida_Y))*Inflación_8</f>
        <v>0</v>
      </c>
      <c r="U27" s="101">
        <f>SUMIFS('9'!$E:$E,'9'!$A:$A,Año_Inicial+7,'9'!$B:$B,'12'!T$4,'9'!$D:$D,"Insecticida")</f>
        <v>0</v>
      </c>
      <c r="V27" s="101">
        <f>((A8_A_L9*Insecticida_A)+(A8_B_L9*Insecticida_B)+(A8_C_L9*Insecticida_C)+(A8_D_L9*Insecticida_D)+(A8_Y_L9*Insecticida_Y))*Inflación_8</f>
        <v>0</v>
      </c>
      <c r="W27" s="101">
        <f>SUMIFS('9'!$E:$E,'9'!$A:$A,Año_Inicial+7,'9'!$B:$B,'12'!V$4,'9'!$D:$D,"Insecticida")</f>
        <v>0</v>
      </c>
      <c r="X27" s="101">
        <f>((A8_A_L10*Insecticida_A)+(A8_B_L10*Insecticida_B)+(A8_C_L10*Insecticida_C)+(A8_D_L10*Insecticida_D)+(A8_Y_L10*Insecticida_Y))*Inflación_8</f>
        <v>0</v>
      </c>
      <c r="Y27" s="101">
        <f>SUMIFS('9'!$E:$E,'9'!$A:$A,Año_Inicial+7,'9'!$B:$B,'12'!X$4,'9'!$D:$D,"Insecticida")</f>
        <v>0</v>
      </c>
      <c r="Z27" s="101">
        <f>((A8_A_L11*Insecticida_A)+(A8_B_L11*Insecticida_B)+(A8_C_L11*Insecticida_C)+(A8_D_L11*Insecticida_D)+(A8_Y_L11*Insecticida_Y))*Inflación_8</f>
        <v>0</v>
      </c>
      <c r="AA27" s="101">
        <f>SUMIFS('9'!$E:$E,'9'!$A:$A,Año_Inicial+7,'9'!$B:$B,'12'!Z$4,'9'!$D:$D,"Insecticida")</f>
        <v>0</v>
      </c>
      <c r="AB27" s="101">
        <f>((A8_A_L12*Insecticida_A)+(A8_B_L12*Insecticida_B)+(A8_C_L12*Insecticida_C)+(A8_D_L12*Insecticida_D)+(A8_Y_L12*Insecticida_Y))*Inflación_8</f>
        <v>0</v>
      </c>
      <c r="AC27" s="101">
        <f>SUMIFS('9'!$E:$E,'9'!$A:$A,Año_Inicial+7,'9'!$B:$B,'12'!AB$4,'9'!$D:$D,"Insecticida")</f>
        <v>0</v>
      </c>
      <c r="AD27" s="101">
        <f>((A8_A_L13*Insecticida_A)+(A8_B_L13*Insecticida_B)+(A8_C_L13*Insecticida_C)+(A8_D_L13*Insecticida_D)+(A8_Y_L13*Insecticida_Y))*Inflación_8</f>
        <v>0</v>
      </c>
      <c r="AE27" s="101">
        <f>SUMIFS('9'!$E:$E,'9'!$A:$A,Año_Inicial+7,'9'!$B:$B,'12'!AD$4,'9'!$D:$D,"Insecticida")</f>
        <v>0</v>
      </c>
      <c r="AF27" s="101">
        <f>((A8_A_L14*Insecticida_A)+(A8_B_L14*Insecticida_B)+(A8_C_L14*Insecticida_C)+(A8_D_L14*Insecticida_D)+(A8_Y_L14*Insecticida_Y))*Inflación_8</f>
        <v>0</v>
      </c>
      <c r="AG27" s="101">
        <f>SUMIFS('9'!$E:$E,'9'!$A:$A,Año_Inicial+7,'9'!$B:$B,'12'!AF$4,'9'!$D:$D,"Insecticida")</f>
        <v>0</v>
      </c>
      <c r="AH27" s="101">
        <f>((A8_A_L15*Insecticida_A)+(A8_B_L15*Insecticida_B)+(A8_C_L15*Insecticida_C)+(A8_D_L15*Insecticida_D)+(A8_Y_L15*Insecticida_Y))*Inflación_8</f>
        <v>0</v>
      </c>
      <c r="AI27" s="101">
        <f>SUMIFS('9'!$E:$E,'9'!$A:$A,Año_Inicial+7,'9'!$B:$B,'12'!AH$4,'9'!$D:$D,"Insecticida")</f>
        <v>0</v>
      </c>
      <c r="AJ27" s="101">
        <f>((A8_A_L16*Insecticida_A)+(A8_B_L16*Insecticida_B)+(A8_C_L16*Insecticida_C)+(A8_D_L16*Insecticida_D)+(A8_Y_L16*Insecticida_Y))*Inflación_8</f>
        <v>0</v>
      </c>
      <c r="AK27" s="101">
        <f>SUMIFS('9'!$E:$E,'9'!$A:$A,Año_Inicial+7,'9'!$B:$B,'12'!AJ$4,'9'!$D:$D,"Insecticida")</f>
        <v>0</v>
      </c>
      <c r="AL27" s="101">
        <f>((A8_A_L17*Insecticida_A)+(A8_B_L17*Insecticida_B)+(A8_C_L17*Insecticida_C)+(A8_D_L17*Insecticida_D)+(A8_Y_L17*Insecticida_Y))*Inflación_8</f>
        <v>0</v>
      </c>
      <c r="AM27" s="101">
        <f>SUMIFS('9'!$E:$E,'9'!$A:$A,Año_Inicial+7,'9'!$B:$B,'12'!AL$4,'9'!$D:$D,"Insecticida")</f>
        <v>0</v>
      </c>
      <c r="AN27" s="101">
        <f>((A8_A_L18*Insecticida_A)+(A8_B_L18*Insecticida_B)+(A8_C_L18*Insecticida_C)+(A8_D_L18*Insecticida_D)+(A8_Y_L18*Insecticida_Y))*Inflación_8</f>
        <v>0</v>
      </c>
      <c r="AO27" s="101">
        <f>SUMIFS('9'!$E:$E,'9'!$A:$A,Año_Inicial+7,'9'!$B:$B,'12'!AN$4,'9'!$D:$D,"Insecticida")</f>
        <v>0</v>
      </c>
      <c r="AP27" s="101">
        <f>((A8_A_L19*Insecticida_A)+(A8_B_L19*Insecticida_B)+(A8_C_L19*Insecticida_C)+(A8_D_L19*Insecticida_D)+(A8_Y_L19*Insecticida_Y))*Inflación_8</f>
        <v>0</v>
      </c>
      <c r="AQ27" s="101">
        <f>SUMIFS('9'!$E:$E,'9'!$A:$A,Año_Inicial+7,'9'!$B:$B,'12'!AP$4,'9'!$D:$D,"Insecticida")</f>
        <v>0</v>
      </c>
      <c r="AR27" s="101">
        <f>((A8_A_L20*Insecticida_A)+(A8_B_L20*Insecticida_B)+(A8_C_L20*Insecticida_C)+(A8_D_L20*Insecticida_D)+(A8_Y_L20*Insecticida_Y))*Inflación_8</f>
        <v>0</v>
      </c>
      <c r="AS27" s="101">
        <f>SUMIFS('9'!$E:$E,'9'!$A:$A,Año_Inicial+7,'9'!$B:$B,'12'!AR$4,'9'!$D:$D,"Insecticida")</f>
        <v>0</v>
      </c>
      <c r="AT27" s="101">
        <f>((A8_A_L21*Insecticida_A)+(A8_B_L21*Insecticida_B)+(A8_C_L21*Insecticida_C)+(A8_D_L21*Insecticida_D)+(A8_Y_L21*Insecticida_Y))*Inflación_8</f>
        <v>0</v>
      </c>
      <c r="AU27" s="101">
        <f>SUMIFS('9'!$E:$E,'9'!$A:$A,Año_Inicial+7,'9'!$B:$B,'12'!AT$4,'9'!$D:$D,"Insecticida")</f>
        <v>0</v>
      </c>
      <c r="AV27" s="101">
        <f>((A8_A_L22*Insecticida_A)+(A8_B_L22*Insecticida_B)+(A8_C_L22*Insecticida_C)+(A8_D_L22*Insecticida_D)+(A8_Y_L22*Insecticida_Y))*Inflación_8</f>
        <v>0</v>
      </c>
      <c r="AW27" s="101">
        <f>SUMIFS('9'!$E:$E,'9'!$A:$A,Año_Inicial+7,'9'!$B:$B,'12'!AV$4,'9'!$D:$D,"Insecticida")</f>
        <v>0</v>
      </c>
      <c r="AX27" s="101">
        <f>((A8_A_L23*Insecticida_A)+(A8_B_L23*Insecticida_B)+(A8_C_L23*Insecticida_C)+(A8_D_L23*Insecticida_D)+(A8_Y_L23*Insecticida_Y))*Inflación_8</f>
        <v>0</v>
      </c>
      <c r="AY27" s="101">
        <f>SUMIFS('9'!$E:$E,'9'!$A:$A,Año_Inicial+7,'9'!$B:$B,'12'!AX$4,'9'!$D:$D,"Insecticida")</f>
        <v>0</v>
      </c>
      <c r="AZ27" s="101">
        <f>((A8_A_L24*Insecticida_A)+(A8_B_L24*Insecticida_B)+(A8_C_L24*Insecticida_C)+(A8_D_L24*Insecticida_D)+(A8_Y_L24*Insecticida_Y))*Inflación_8</f>
        <v>0</v>
      </c>
      <c r="BA27" s="101">
        <f>SUMIFS('9'!$E:$E,'9'!$A:$A,Año_Inicial+7,'9'!$B:$B,'12'!AZ$4,'9'!$D:$D,"Insecticida")</f>
        <v>0</v>
      </c>
      <c r="BB27" s="101">
        <f>((A8_A_L25*Insecticida_A)+(A8_B_L25*Insecticida_B)+(A8_C_L25*Insecticida_C)+(A8_D_L25*Insecticida_D)+(A8_Y_L25*Insecticida_Y))*Inflación_8</f>
        <v>0</v>
      </c>
      <c r="BC27" s="101">
        <f>SUMIFS('9'!$E:$E,'9'!$A:$A,Año_Inicial+7,'9'!$B:$B,'12'!BB$4,'9'!$D:$D,"Insecticida")</f>
        <v>0</v>
      </c>
      <c r="BD27" s="101">
        <f>((A8_A_L26*Insecticida_A)+(A8_B_L26*Insecticida_B)+(A8_C_L26*Insecticida_C)+(A8_D_L26*Insecticida_D)+(A8_Y_L26*Insecticida_Y))*Inflación_8</f>
        <v>0</v>
      </c>
      <c r="BE27" s="101">
        <f>SUMIFS('9'!$E:$E,'9'!$A:$A,Año_Inicial+7,'9'!$B:$B,'12'!BD$4,'9'!$D:$D,"Insecticida")</f>
        <v>0</v>
      </c>
      <c r="BF27" s="101">
        <f>((A8_A_L27*Insecticida_A)+(A8_B_L27*Insecticida_B)+(A8_C_L27*Insecticida_C)+(A8_D_L27*Insecticida_D)+(A8_Y_L27*Insecticida_Y))*Inflación_8</f>
        <v>0</v>
      </c>
      <c r="BG27" s="101">
        <f>SUMIFS('9'!$E:$E,'9'!$A:$A,Año_Inicial+7,'9'!$B:$B,'12'!BF$4,'9'!$D:$D,"Insecticida")</f>
        <v>0</v>
      </c>
      <c r="BH27" s="101">
        <f>((A8_A_L28*Insecticida_A)+(A8_B_L28*Insecticida_B)+(A8_C_L28*Insecticida_C)+(A8_D_L28*Insecticida_D)+(A8_Y_L28*Insecticida_Y))*Inflación_8</f>
        <v>0</v>
      </c>
      <c r="BI27" s="101">
        <f>SUMIFS('9'!$E:$E,'9'!$A:$A,Año_Inicial+7,'9'!$B:$B,'12'!BH$4,'9'!$D:$D,"Insecticida")</f>
        <v>0</v>
      </c>
      <c r="BJ27" s="101">
        <f>((A8_A_L29*Insecticida_A)+(A8_B_L29*Insecticida_B)+(A8_C_L29*Insecticida_C)+(A8_D_L29*Insecticida_D)+(A8_Y_L29*Insecticida_Y))*Inflación_8</f>
        <v>0</v>
      </c>
      <c r="BK27" s="101">
        <f>SUMIFS('9'!$E:$E,'9'!$A:$A,Año_Inicial+7,'9'!$B:$B,'12'!BJ$4,'9'!$D:$D,"Insecticida")</f>
        <v>0</v>
      </c>
      <c r="BL27" s="101">
        <f>((A8_A_L30*Insecticida_A)+(A8_B_L30*Insecticida_B)+(A8_C_L30*Insecticida_C)+(A8_D_L30*Insecticida_D)+(A8_Y_L30*Insecticida_Y))*Inflación_8</f>
        <v>0</v>
      </c>
      <c r="BM27" s="101">
        <f>SUMIFS('9'!$E:$E,'9'!$A:$A,Año_Inicial+7,'9'!$B:$B,'12'!BL$4,'9'!$D:$D,"Insecticida")</f>
        <v>0</v>
      </c>
      <c r="BN27" s="101">
        <f>((A8_A_L31*Insecticida_A)+(A8_B_L31*Insecticida_B)+(A8_C_L31*Insecticida_C)+(A8_D_L31*Insecticida_D)+(A8_Y_L31*Insecticida_Y))*Inflación_8</f>
        <v>0</v>
      </c>
      <c r="BO27" s="101">
        <f>SUMIFS('9'!$E:$E,'9'!$A:$A,Año_Inicial+7,'9'!$B:$B,'12'!BN$4,'9'!$D:$D,"Insecticida")</f>
        <v>0</v>
      </c>
      <c r="BP27" s="101">
        <f>((A8_A_L32*Insecticida_A)+(A8_B_L32*Insecticida_B)+(A8_C_L32*Insecticida_C)+(A8_D_L32*Insecticida_D)+(A8_Y_L32*Insecticida_Y))*Inflación_8</f>
        <v>0</v>
      </c>
      <c r="BQ27" s="101">
        <f>SUMIFS('9'!$E:$E,'9'!$A:$A,Año_Inicial+7,'9'!$B:$B,'12'!BP$4,'9'!$D:$D,"Insecticida")</f>
        <v>0</v>
      </c>
      <c r="BR27" s="101">
        <f>((A8_A_L33*Insecticida_A)+(A8_B_L33*Insecticida_B)+(A8_C_L33*Insecticida_C)+(A8_D_L33*Insecticida_D)+(A8_Y_L33*Insecticida_Y))*Inflación_8</f>
        <v>0</v>
      </c>
      <c r="BS27" s="101">
        <f>SUMIFS('9'!$E:$E,'9'!$A:$A,Año_Inicial+7,'9'!$B:$B,'12'!BR$4,'9'!$D:$D,"Insecticida")</f>
        <v>0</v>
      </c>
      <c r="BT27" s="101">
        <f>((A8_A_L34*Insecticida_A)+(A8_B_L34*Insecticida_B)+(A8_C_L34*Insecticida_C)+(A8_D_L34*Insecticida_D)+(A8_Y_L34*Insecticida_Y))*Inflación_8</f>
        <v>0</v>
      </c>
      <c r="BU27" s="101">
        <f>SUMIFS('9'!$E:$E,'9'!$A:$A,Año_Inicial+7,'9'!$B:$B,'12'!BT$4,'9'!$D:$D,"Insecticida")</f>
        <v>0</v>
      </c>
      <c r="BV27" s="101">
        <f>((A8_A_L35*Insecticida_A)+(A8_B_L35*Insecticida_B)+(A8_C_L35*Insecticida_C)+(A8_D_L35*Insecticida_D)+(A8_Y_L35*Insecticida_Y))*Inflación_8</f>
        <v>0</v>
      </c>
      <c r="BW27" s="101">
        <f>SUMIFS('9'!$E:$E,'9'!$A:$A,Año_Inicial+7,'9'!$B:$B,'12'!BV$4,'9'!$D:$D,"Insecticida")</f>
        <v>0</v>
      </c>
      <c r="BX27" s="101">
        <f>((A8_A_L36*Insecticida_A)+(A8_B_L36*Insecticida_B)+(A8_C_L36*Insecticida_C)+(A8_D_L36*Insecticida_D)+(A8_Y_L36*Insecticida_Y))*Inflación_8</f>
        <v>0</v>
      </c>
      <c r="BY27" s="101">
        <f>SUMIFS('9'!$E:$E,'9'!$A:$A,Año_Inicial+7,'9'!$B:$B,'12'!BX$4,'9'!$D:$D,"Insecticida")</f>
        <v>0</v>
      </c>
      <c r="BZ27" s="101">
        <f>((A8_A_L37*Insecticida_A)+(A8_B_L37*Insecticida_B)+(A8_C_L37*Insecticida_C)+(A8_D_L37*Insecticida_D)+(A8_Y_L37*Insecticida_Y))*Inflación_8</f>
        <v>0</v>
      </c>
      <c r="CA27" s="101">
        <f>SUMIFS('9'!$E:$E,'9'!$A:$A,Año_Inicial+7,'9'!$B:$B,'12'!BZ$4,'9'!$D:$D,"Insecticida")</f>
        <v>0</v>
      </c>
      <c r="CB27" s="101">
        <f>((A8_A_L38*Insecticida_A)+(A8_B_L38*Insecticida_B)+(A8_C_L38*Insecticida_C)+(A8_D_L38*Insecticida_D)+(A8_Y_L38*Insecticida_Y))*Inflación_8</f>
        <v>0</v>
      </c>
      <c r="CC27" s="101">
        <f>SUMIFS('9'!$E:$E,'9'!$A:$A,Año_Inicial+7,'9'!$B:$B,'12'!CB$4,'9'!$D:$D,"Insecticida")</f>
        <v>0</v>
      </c>
      <c r="CD27" s="101">
        <f>((A8_A_L39*Insecticida_A)+(A8_B_L39*Insecticida_B)+(A8_C_L39*Insecticida_C)+(A8_D_L39*Insecticida_D)+(A8_Y_L39*Insecticida_Y))*Inflación_8</f>
        <v>0</v>
      </c>
      <c r="CE27" s="101">
        <f>SUMIFS('9'!$E:$E,'9'!$A:$A,Año_Inicial+7,'9'!$B:$B,'12'!CD$4,'9'!$D:$D,"Insecticida")</f>
        <v>0</v>
      </c>
      <c r="CF27" s="101">
        <f>((A8_A_L40*Insecticida_A)+(A8_B_L40*Insecticida_B)+(A8_C_L40*Insecticida_C)+(A8_D_L40*Insecticida_D)+(A8_Y_L40*Insecticida_Y))*Inflación_8</f>
        <v>0</v>
      </c>
      <c r="CG27" s="101">
        <f>SUMIFS('9'!$E:$E,'9'!$A:$A,Año_Inicial+7,'9'!$B:$B,'12'!CF$4,'9'!$D:$D,"Insecticida")</f>
        <v>0</v>
      </c>
      <c r="CH27" s="473"/>
      <c r="CI27" s="101">
        <f>Plantas_A_A8*Insecticida_A*Inflación_8</f>
        <v>0</v>
      </c>
      <c r="CJ27" s="101">
        <f>Plantas_B_A8*Insecticida_B</f>
        <v>0</v>
      </c>
      <c r="CK27" s="101">
        <f>Plantas_C_A8*Insecticida_C</f>
        <v>0</v>
      </c>
      <c r="CL27" s="101">
        <f>Plantas_D_A8*Insecticida_D</f>
        <v>0</v>
      </c>
      <c r="CM27" s="101"/>
      <c r="CN27" s="101">
        <f>Plantas_Y_A8*Insecticida_Y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SUMIFS('9'!$E:$E,'9'!$A:$A,Año_Inicial+7,'9'!$D:$D,"Prevención de enfermedades")</f>
        <v>0</v>
      </c>
      <c r="D29" s="100">
        <f t="shared" si="45"/>
        <v>0</v>
      </c>
      <c r="E29" s="473"/>
      <c r="F29" s="101">
        <f>((A8_A_L1*Enfermedades_A)+(A8_B_L1*Enfermedades_B)+(A8_C_L1*Enfermedades_C)+(A8_D_L1*Enfermedades_D)+(A8_Y_L1*Enfermedades_Y))*Inflación_8</f>
        <v>0</v>
      </c>
      <c r="G29" s="101">
        <f>SUMIFS('9'!$E:$E,'9'!$A:$A,Año_Inicial+7,'9'!$B:$B,'12'!F$4,'9'!$D:$D,"Prevención de enfermedades")</f>
        <v>0</v>
      </c>
      <c r="H29" s="101">
        <f>((A8_A_L2*Enfermedades_A)+(A8_B_L2*Enfermedades_B)+(A8_C_L2*Enfermedades_C)+(A8_D_L2*Enfermedades_D)+(A8_Y_L2*Enfermedades_Y))*Inflación_8</f>
        <v>0</v>
      </c>
      <c r="I29" s="101">
        <f>SUMIFS('9'!$E:$E,'9'!$A:$A,Año_Inicial+7,'9'!$B:$B,'12'!H$4,'9'!$D:$D,"Prevención de enfermedades")</f>
        <v>0</v>
      </c>
      <c r="J29" s="101">
        <f>((A8_A_L3*Enfermedades_A)+(A8_B_L3*Enfermedades_B)+(A8_C_L3*Enfermedades_C)+(A8_D_L3*Enfermedades_D)+(A8_Y_L3*Enfermedades_Y))*Inflación_8</f>
        <v>0</v>
      </c>
      <c r="K29" s="101">
        <f>SUMIFS('9'!$E:$E,'9'!$A:$A,Año_Inicial+7,'9'!$B:$B,'12'!J$4,'9'!$D:$D,"Prevención de enfermedades")</f>
        <v>0</v>
      </c>
      <c r="L29" s="101">
        <f>((A8_A_L4*Enfermedades_A)+(A8_B_L4*Enfermedades_B)+(A8_C_L4*Enfermedades_C)+(A8_D_L4*Enfermedades_D)+(A8_Y_L4*Enfermedades_Y))*Inflación_8</f>
        <v>0</v>
      </c>
      <c r="M29" s="101">
        <f>SUMIFS('9'!$E:$E,'9'!$A:$A,Año_Inicial+7,'9'!$B:$B,'12'!L$4,'9'!$D:$D,"Prevención de enfermedades")</f>
        <v>0</v>
      </c>
      <c r="N29" s="101">
        <f>((A8_A_L5*Enfermedades_A)+(A8_B_L5*Enfermedades_B)+(A8_C_L5*Enfermedades_C)+(A8_D_L5*Enfermedades_D)+(A8_Y_L5*Enfermedades_Y))*Inflación_8</f>
        <v>0</v>
      </c>
      <c r="O29" s="101">
        <f>SUMIFS('9'!$E:$E,'9'!$A:$A,Año_Inicial+7,'9'!$B:$B,'12'!N$4,'9'!$D:$D,"Prevención de enfermedades")</f>
        <v>0</v>
      </c>
      <c r="P29" s="101">
        <f>((A8_A_L6*Enfermedades_A)+(A8_B_L6*Enfermedades_B)+(A8_C_L6*Enfermedades_C)+(A8_D_L6*Enfermedades_D)+(A8_Y_L6*Enfermedades_Y))*Inflación_8</f>
        <v>0</v>
      </c>
      <c r="Q29" s="101">
        <f>SUMIFS('9'!$E:$E,'9'!$A:$A,Año_Inicial+7,'9'!$B:$B,'12'!P$4,'9'!$D:$D,"Prevención de enfermedades")</f>
        <v>0</v>
      </c>
      <c r="R29" s="101">
        <f>((A8_A_L7*Enfermedades_A)+(A8_B_L7*Enfermedades_B)+(A8_C_L7*Enfermedades_C)+(A8_D_L7*Enfermedades_D)+(A8_Y_L7*Enfermedades_Y))*Inflación_8</f>
        <v>0</v>
      </c>
      <c r="S29" s="101">
        <f>SUMIFS('9'!$E:$E,'9'!$A:$A,Año_Inicial+7,'9'!$B:$B,'12'!R$4,'9'!$D:$D,"Prevención de enfermedades")</f>
        <v>0</v>
      </c>
      <c r="T29" s="101">
        <f>((A8_A_L8*Enfermedades_A)+(A8_B_L8*Enfermedades_B)+(A8_C_L8*Enfermedades_C)+(A8_D_L8*Enfermedades_D)+(A8_Y_L8*Enfermedades_Y))*Inflación_8</f>
        <v>0</v>
      </c>
      <c r="U29" s="101">
        <f>SUMIFS('9'!$E:$E,'9'!$A:$A,Año_Inicial+7,'9'!$B:$B,'12'!T$4,'9'!$D:$D,"Prevención de enfermedades")</f>
        <v>0</v>
      </c>
      <c r="V29" s="101">
        <f>((A8_A_L9*Enfermedades_A)+(A8_B_L9*Enfermedades_B)+(A8_C_L9*Enfermedades_C)+(A8_D_L9*Enfermedades_D)+(A8_Y_L9*Enfermedades_Y))*Inflación_8</f>
        <v>0</v>
      </c>
      <c r="W29" s="101">
        <f>SUMIFS('9'!$E:$E,'9'!$A:$A,Año_Inicial+7,'9'!$B:$B,'12'!V$4,'9'!$D:$D,"Prevención de enfermedades")</f>
        <v>0</v>
      </c>
      <c r="X29" s="101">
        <f>((A8_A_L10*Enfermedades_A)+(A8_B_L10*Enfermedades_B)+(A8_C_L10*Enfermedades_C)+(A8_D_L10*Enfermedades_D)+(A8_Y_L10*Enfermedades_Y))*Inflación_8</f>
        <v>0</v>
      </c>
      <c r="Y29" s="101">
        <f>SUMIFS('9'!$E:$E,'9'!$A:$A,Año_Inicial+7,'9'!$B:$B,'12'!X$4,'9'!$D:$D,"Prevención de enfermedades")</f>
        <v>0</v>
      </c>
      <c r="Z29" s="101">
        <f>((A8_A_L11*Enfermedades_A)+(A8_B_L11*Enfermedades_B)+(A8_C_L11*Enfermedades_C)+(A8_D_L11*Enfermedades_D)+(A8_Y_L11*Enfermedades_Y))*Inflación_8</f>
        <v>0</v>
      </c>
      <c r="AA29" s="101">
        <f>SUMIFS('9'!$E:$E,'9'!$A:$A,Año_Inicial+7,'9'!$B:$B,'12'!Z$4,'9'!$D:$D,"Prevención de enfermedades")</f>
        <v>0</v>
      </c>
      <c r="AB29" s="101">
        <f>((A8_A_L12*Enfermedades_A)+(A8_B_L12*Enfermedades_B)+(A8_C_L12*Enfermedades_C)+(A8_D_L12*Enfermedades_D)+(A8_Y_L12*Enfermedades_Y))*Inflación_8</f>
        <v>0</v>
      </c>
      <c r="AC29" s="101">
        <f>SUMIFS('9'!$E:$E,'9'!$A:$A,Año_Inicial+7,'9'!$B:$B,'12'!AB$4,'9'!$D:$D,"Prevención de enfermedades")</f>
        <v>0</v>
      </c>
      <c r="AD29" s="101">
        <f>((A8_A_L13*Enfermedades_A)+(A8_B_L13*Enfermedades_B)+(A8_C_L13*Enfermedades_C)+(A8_D_L13*Enfermedades_D)+(A8_Y_L13*Enfermedades_Y))*Inflación_8</f>
        <v>0</v>
      </c>
      <c r="AE29" s="101">
        <f>SUMIFS('9'!$E:$E,'9'!$A:$A,Año_Inicial+7,'9'!$B:$B,'12'!AD$4,'9'!$D:$D,"Prevención de enfermedades")</f>
        <v>0</v>
      </c>
      <c r="AF29" s="101">
        <f>((A8_A_L14*Enfermedades_A)+(A8_B_L14*Enfermedades_B)+(A8_C_L14*Enfermedades_C)+(A8_D_L14*Enfermedades_D)+(A8_Y_L14*Enfermedades_Y))*Inflación_8</f>
        <v>0</v>
      </c>
      <c r="AG29" s="101">
        <f>SUMIFS('9'!$E:$E,'9'!$A:$A,Año_Inicial+7,'9'!$B:$B,'12'!AF$4,'9'!$D:$D,"Prevención de enfermedades")</f>
        <v>0</v>
      </c>
      <c r="AH29" s="101">
        <f>((A8_A_L15*Enfermedades_A)+(A8_B_L15*Enfermedades_B)+(A8_C_L15*Enfermedades_C)+(A8_D_L15*Enfermedades_D)+(A8_Y_L15*Enfermedades_Y))*Inflación_8</f>
        <v>0</v>
      </c>
      <c r="AI29" s="101">
        <f>SUMIFS('9'!$E:$E,'9'!$A:$A,Año_Inicial+7,'9'!$B:$B,'12'!AH$4,'9'!$D:$D,"Prevención de enfermedades")</f>
        <v>0</v>
      </c>
      <c r="AJ29" s="101">
        <f>((A8_A_L16*Enfermedades_A)+(A8_B_L16*Enfermedades_B)+(A8_C_L16*Enfermedades_C)+(A8_D_L16*Enfermedades_D)+(A8_Y_L16*Enfermedades_Y))*Inflación_8</f>
        <v>0</v>
      </c>
      <c r="AK29" s="101">
        <f>SUMIFS('9'!$E:$E,'9'!$A:$A,Año_Inicial+7,'9'!$B:$B,'12'!AJ$4,'9'!$D:$D,"Prevención de enfermedades")</f>
        <v>0</v>
      </c>
      <c r="AL29" s="101">
        <f>((A8_A_L17*Enfermedades_A)+(A8_B_L17*Enfermedades_B)+(A8_C_L17*Enfermedades_C)+(A8_D_L17*Enfermedades_D)+(A8_Y_L17*Enfermedades_Y))*Inflación_8</f>
        <v>0</v>
      </c>
      <c r="AM29" s="101">
        <f>SUMIFS('9'!$E:$E,'9'!$A:$A,Año_Inicial+7,'9'!$B:$B,'12'!AL$4,'9'!$D:$D,"Prevención de enfermedades")</f>
        <v>0</v>
      </c>
      <c r="AN29" s="101">
        <f>((A8_A_L18*Enfermedades_A)+(A8_B_L18*Enfermedades_B)+(A8_C_L18*Enfermedades_C)+(A8_D_L18*Enfermedades_D)+(A8_Y_L18*Enfermedades_Y))*Inflación_8</f>
        <v>0</v>
      </c>
      <c r="AO29" s="101">
        <f>SUMIFS('9'!$E:$E,'9'!$A:$A,Año_Inicial+7,'9'!$B:$B,'12'!AN$4,'9'!$D:$D,"Prevención de enfermedades")</f>
        <v>0</v>
      </c>
      <c r="AP29" s="101">
        <f>((A8_A_L19*Enfermedades_A)+(A8_B_L19*Enfermedades_B)+(A8_C_L19*Enfermedades_C)+(A8_D_L19*Enfermedades_D)+(A8_Y_L19*Enfermedades_Y))*Inflación_8</f>
        <v>0</v>
      </c>
      <c r="AQ29" s="101">
        <f>SUMIFS('9'!$E:$E,'9'!$A:$A,Año_Inicial+7,'9'!$B:$B,'12'!AP$4,'9'!$D:$D,"Prevención de enfermedades")</f>
        <v>0</v>
      </c>
      <c r="AR29" s="101">
        <f>((A8_A_L20*Enfermedades_A)+(A8_B_L20*Enfermedades_B)+(A8_C_L20*Enfermedades_C)+(A8_D_L20*Enfermedades_D)+(A8_Y_L20*Enfermedades_Y))*Inflación_8</f>
        <v>0</v>
      </c>
      <c r="AS29" s="101">
        <f>SUMIFS('9'!$E:$E,'9'!$A:$A,Año_Inicial+7,'9'!$B:$B,'12'!AR$4,'9'!$D:$D,"Prevención de enfermedades")</f>
        <v>0</v>
      </c>
      <c r="AT29" s="101">
        <f>((A8_A_L21*Enfermedades_A)+(A8_B_L21*Enfermedades_B)+(A8_C_L21*Enfermedades_C)+(A8_D_L21*Enfermedades_D)+(A8_Y_L21*Enfermedades_Y))*Inflación_8</f>
        <v>0</v>
      </c>
      <c r="AU29" s="101">
        <f>SUMIFS('9'!$E:$E,'9'!$A:$A,Año_Inicial+7,'9'!$B:$B,'12'!AT$4,'9'!$D:$D,"Prevención de enfermedades")</f>
        <v>0</v>
      </c>
      <c r="AV29" s="101">
        <f>((A8_A_L22*Enfermedades_A)+(A8_B_L22*Enfermedades_B)+(A8_C_L22*Enfermedades_C)+(A8_D_L22*Enfermedades_D)+(A8_Y_L22*Enfermedades_Y))*Inflación_8</f>
        <v>0</v>
      </c>
      <c r="AW29" s="101">
        <f>SUMIFS('9'!$E:$E,'9'!$A:$A,Año_Inicial+7,'9'!$B:$B,'12'!AV$4,'9'!$D:$D,"Prevención de enfermedades")</f>
        <v>0</v>
      </c>
      <c r="AX29" s="101">
        <f>((A8_A_L23*Enfermedades_A)+(A8_B_L23*Enfermedades_B)+(A8_C_L23*Enfermedades_C)+(A8_D_L23*Enfermedades_D)+(A8_Y_L23*Enfermedades_Y))*Inflación_8</f>
        <v>0</v>
      </c>
      <c r="AY29" s="101">
        <f>SUMIFS('9'!$E:$E,'9'!$A:$A,Año_Inicial+7,'9'!$B:$B,'12'!AX$4,'9'!$D:$D,"Prevención de enfermedades")</f>
        <v>0</v>
      </c>
      <c r="AZ29" s="101">
        <f>((A8_A_L24*Enfermedades_A)+(A8_B_L24*Enfermedades_B)+(A8_C_L24*Enfermedades_C)+(A8_D_L24*Enfermedades_D)+(A8_Y_L24*Enfermedades_Y))*Inflación_8</f>
        <v>0</v>
      </c>
      <c r="BA29" s="101">
        <f>SUMIFS('9'!$E:$E,'9'!$A:$A,Año_Inicial+7,'9'!$B:$B,'12'!AZ$4,'9'!$D:$D,"Prevención de enfermedades")</f>
        <v>0</v>
      </c>
      <c r="BB29" s="101">
        <f>((A8_A_L25*Enfermedades_A)+(A8_B_L25*Enfermedades_B)+(A8_C_L25*Enfermedades_C)+(A8_D_L25*Enfermedades_D)+(A8_Y_L25*Enfermedades_Y))*Inflación_8</f>
        <v>0</v>
      </c>
      <c r="BC29" s="101">
        <f>SUMIFS('9'!$E:$E,'9'!$A:$A,Año_Inicial+7,'9'!$B:$B,'12'!BB$4,'9'!$D:$D,"Prevención de enfermedades")</f>
        <v>0</v>
      </c>
      <c r="BD29" s="101">
        <f>((A8_A_L26*Enfermedades_A)+(A8_B_L26*Enfermedades_B)+(A8_C_L26*Enfermedades_C)+(A8_D_L26*Enfermedades_D)+(A8_Y_L26*Enfermedades_Y))*Inflación_8</f>
        <v>0</v>
      </c>
      <c r="BE29" s="101">
        <f>SUMIFS('9'!$E:$E,'9'!$A:$A,Año_Inicial+7,'9'!$B:$B,'12'!BD$4,'9'!$D:$D,"Prevención de enfermedades")</f>
        <v>0</v>
      </c>
      <c r="BF29" s="101">
        <f>((A8_A_L27*Enfermedades_A)+(A8_B_L27*Enfermedades_B)+(A8_C_L27*Enfermedades_C)+(A8_D_L27*Enfermedades_D)+(A8_Y_L27*Enfermedades_Y))*Inflación_8</f>
        <v>0</v>
      </c>
      <c r="BG29" s="101">
        <f>SUMIFS('9'!$E:$E,'9'!$A:$A,Año_Inicial+7,'9'!$B:$B,'12'!BF$4,'9'!$D:$D,"Prevención de enfermedades")</f>
        <v>0</v>
      </c>
      <c r="BH29" s="101">
        <f>((A8_A_L28*Enfermedades_A)+(A8_B_L28*Enfermedades_B)+(A8_C_L28*Enfermedades_C)+(A8_D_L28*Enfermedades_D)+(A8_Y_L28*Enfermedades_Y))*Inflación_8</f>
        <v>0</v>
      </c>
      <c r="BI29" s="101">
        <f>SUMIFS('9'!$E:$E,'9'!$A:$A,Año_Inicial+7,'9'!$B:$B,'12'!BH$4,'9'!$D:$D,"Prevención de enfermedades")</f>
        <v>0</v>
      </c>
      <c r="BJ29" s="101">
        <f>((A8_A_L29*Enfermedades_A)+(A8_B_L29*Enfermedades_B)+(A8_C_L29*Enfermedades_C)+(A8_D_L29*Enfermedades_D)+(A8_Y_L29*Enfermedades_Y))*Inflación_8</f>
        <v>0</v>
      </c>
      <c r="BK29" s="101">
        <f>SUMIFS('9'!$E:$E,'9'!$A:$A,Año_Inicial+7,'9'!$B:$B,'12'!BJ$4,'9'!$D:$D,"Prevención de enfermedades")</f>
        <v>0</v>
      </c>
      <c r="BL29" s="101">
        <f>((A8_A_L30*Enfermedades_A)+(A8_B_L30*Enfermedades_B)+(A8_C_L30*Enfermedades_C)+(A8_D_L30*Enfermedades_D)+(A8_Y_L30*Enfermedades_Y))*Inflación_8</f>
        <v>0</v>
      </c>
      <c r="BM29" s="101">
        <f>SUMIFS('9'!$E:$E,'9'!$A:$A,Año_Inicial+7,'9'!$B:$B,'12'!BL$4,'9'!$D:$D,"Prevención de enfermedades")</f>
        <v>0</v>
      </c>
      <c r="BN29" s="101">
        <f>((A8_A_L31*Enfermedades_A)+(A8_B_L31*Enfermedades_B)+(A8_C_L31*Enfermedades_C)+(A8_D_L31*Enfermedades_D)+(A8_Y_L31*Enfermedades_Y))*Inflación_8</f>
        <v>0</v>
      </c>
      <c r="BO29" s="101">
        <f>SUMIFS('9'!$E:$E,'9'!$A:$A,Año_Inicial+7,'9'!$B:$B,'12'!BN$4,'9'!$D:$D,"Prevención de enfermedades")</f>
        <v>0</v>
      </c>
      <c r="BP29" s="101">
        <f>((A8_A_L32*Enfermedades_A)+(A8_B_L32*Enfermedades_B)+(A8_C_L32*Enfermedades_C)+(A8_D_L32*Enfermedades_D)+(A8_Y_L32*Enfermedades_Y))*Inflación_8</f>
        <v>0</v>
      </c>
      <c r="BQ29" s="101">
        <f>SUMIFS('9'!$E:$E,'9'!$A:$A,Año_Inicial+7,'9'!$B:$B,'12'!BP$4,'9'!$D:$D,"Prevención de enfermedades")</f>
        <v>0</v>
      </c>
      <c r="BR29" s="101">
        <f>((A8_A_L33*Enfermedades_A)+(A8_B_L33*Enfermedades_B)+(A8_C_L33*Enfermedades_C)+(A8_D_L33*Enfermedades_D)+(A8_Y_L33*Enfermedades_Y))*Inflación_8</f>
        <v>0</v>
      </c>
      <c r="BS29" s="101">
        <f>SUMIFS('9'!$E:$E,'9'!$A:$A,Año_Inicial+7,'9'!$B:$B,'12'!BR$4,'9'!$D:$D,"Prevención de enfermedades")</f>
        <v>0</v>
      </c>
      <c r="BT29" s="101">
        <f>((A8_A_L34*Enfermedades_A)+(A8_B_L34*Enfermedades_B)+(A8_C_L34*Enfermedades_C)+(A8_D_L34*Enfermedades_D)+(A8_Y_L34*Enfermedades_Y))*Inflación_8</f>
        <v>0</v>
      </c>
      <c r="BU29" s="101">
        <f>SUMIFS('9'!$E:$E,'9'!$A:$A,Año_Inicial+7,'9'!$B:$B,'12'!BT$4,'9'!$D:$D,"Prevención de enfermedades")</f>
        <v>0</v>
      </c>
      <c r="BV29" s="101">
        <f>((A8_A_L35*Enfermedades_A)+(A8_B_L35*Enfermedades_B)+(A8_C_L35*Enfermedades_C)+(A8_D_L35*Enfermedades_D)+(A8_Y_L35*Enfermedades_Y))*Inflación_8</f>
        <v>0</v>
      </c>
      <c r="BW29" s="101">
        <f>SUMIFS('9'!$E:$E,'9'!$A:$A,Año_Inicial+7,'9'!$B:$B,'12'!BV$4,'9'!$D:$D,"Prevención de enfermedades")</f>
        <v>0</v>
      </c>
      <c r="BX29" s="101">
        <f>((A8_A_L36*Enfermedades_A)+(A8_B_L36*Enfermedades_B)+(A8_C_L36*Enfermedades_C)+(A8_D_L36*Enfermedades_D)+(A8_Y_L36*Enfermedades_Y))*Inflación_8</f>
        <v>0</v>
      </c>
      <c r="BY29" s="101">
        <f>SUMIFS('9'!$E:$E,'9'!$A:$A,Año_Inicial+7,'9'!$B:$B,'12'!BX$4,'9'!$D:$D,"Prevención de enfermedades")</f>
        <v>0</v>
      </c>
      <c r="BZ29" s="101">
        <f>((A8_A_L37*Enfermedades_A)+(A8_B_L37*Enfermedades_B)+(A8_C_L37*Enfermedades_C)+(A8_D_L37*Enfermedades_D)+(A8_Y_L37*Enfermedades_Y))*Inflación_8</f>
        <v>0</v>
      </c>
      <c r="CA29" s="101">
        <f>SUMIFS('9'!$E:$E,'9'!$A:$A,Año_Inicial+7,'9'!$B:$B,'12'!BZ$4,'9'!$D:$D,"Prevención de enfermedades")</f>
        <v>0</v>
      </c>
      <c r="CB29" s="101">
        <f>((A8_A_L38*Enfermedades_A)+(A8_B_L38*Enfermedades_B)+(A8_C_L38*Enfermedades_C)+(A8_D_L38*Enfermedades_D)+(A8_Y_L38*Enfermedades_Y))*Inflación_8</f>
        <v>0</v>
      </c>
      <c r="CC29" s="101">
        <f>SUMIFS('9'!$E:$E,'9'!$A:$A,Año_Inicial+7,'9'!$B:$B,'12'!CB$4,'9'!$D:$D,"Prevención de enfermedades")</f>
        <v>0</v>
      </c>
      <c r="CD29" s="101">
        <f>((A8_A_L39*Enfermedades_A)+(A8_B_L39*Enfermedades_B)+(A8_C_L39*Enfermedades_C)+(A8_D_L39*Enfermedades_D)+(A8_Y_L39*Enfermedades_Y))*Inflación_8</f>
        <v>0</v>
      </c>
      <c r="CE29" s="101">
        <f>SUMIFS('9'!$E:$E,'9'!$A:$A,Año_Inicial+7,'9'!$B:$B,'12'!CD$4,'9'!$D:$D,"Prevención de enfermedades")</f>
        <v>0</v>
      </c>
      <c r="CF29" s="101">
        <f>((A8_A_L40*Enfermedades_A)+(A8_B_L40*Enfermedades_B)+(A8_C_L40*Enfermedades_C)+(A8_D_L40*Enfermedades_D)+(A8_Y_L40*Enfermedades_Y))*Inflación_8</f>
        <v>0</v>
      </c>
      <c r="CG29" s="101">
        <f>SUMIFS('9'!$E:$E,'9'!$A:$A,Año_Inicial+7,'9'!$B:$B,'12'!CF$4,'9'!$D:$D,"Prevención de enfermedades")</f>
        <v>0</v>
      </c>
      <c r="CH29" s="473"/>
      <c r="CI29" s="101">
        <f>Plantas_A_A8*Enfermedades_A*Inflación_8</f>
        <v>0</v>
      </c>
      <c r="CJ29" s="101">
        <f>Plantas_B_A8*Enfermedades_B</f>
        <v>0</v>
      </c>
      <c r="CK29" s="101">
        <f>Plantas_C_A8*Enfermedades_C</f>
        <v>0</v>
      </c>
      <c r="CL29" s="101">
        <f>Plantas_D_A8*Enfermedades_D</f>
        <v>0</v>
      </c>
      <c r="CM29" s="101"/>
      <c r="CN29" s="101">
        <f>Plantas_Y_A8*Enfermedades_Y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SUMIFS('9'!$E:$E,'9'!$A:$A,Año_Inicial+7,'9'!$D:$D,"Fungicida")</f>
        <v>0</v>
      </c>
      <c r="D30" s="100">
        <f t="shared" si="45"/>
        <v>0</v>
      </c>
      <c r="E30" s="473"/>
      <c r="F30" s="101">
        <f>((A8_A_L1*Fungicida_A)+(A8_B_L1*Fungicida_B)+(A8_C_L1*Fungicida_C)+(A8_D_L1*Fungicida_D)+(A8_Y_L1*Fungicida_Y))*Inflación_8</f>
        <v>0</v>
      </c>
      <c r="G30" s="101">
        <f>SUMIFS('9'!$E:$E,'9'!$A:$A,Año_Inicial+7,'9'!$B:$B,'12'!F$4,'9'!$D:$D,"Fungicida")</f>
        <v>0</v>
      </c>
      <c r="H30" s="101">
        <f>((A8_A_L2*Fungicida_A)+(A8_B_L2*Fungicida_B)+(A8_C_L2*Fungicida_C)+(A8_D_L2*Fungicida_D)+(A8_Y_L2*Fungicida_Y))*Inflación_8</f>
        <v>0</v>
      </c>
      <c r="I30" s="101">
        <f>SUMIFS('9'!$E:$E,'9'!$A:$A,Año_Inicial+7,'9'!$B:$B,'12'!H$4,'9'!$D:$D,"Fungicida")</f>
        <v>0</v>
      </c>
      <c r="J30" s="101">
        <f>((A8_A_L3*Fungicida_A)+(A8_B_L3*Fungicida_B)+(A8_C_L3*Fungicida_C)+(A8_D_L3*Fungicida_D)+(A8_Y_L3*Fungicida_Y))*Inflación_8</f>
        <v>0</v>
      </c>
      <c r="K30" s="101">
        <f>SUMIFS('9'!$E:$E,'9'!$A:$A,Año_Inicial+7,'9'!$B:$B,'12'!J$4,'9'!$D:$D,"Fungicida")</f>
        <v>0</v>
      </c>
      <c r="L30" s="101">
        <f>((A8_A_L4*Fungicida_A)+(A8_B_L4*Fungicida_B)+(A8_C_L4*Fungicida_C)+(A8_D_L4*Fungicida_D)+(A8_Y_L4*Fungicida_Y))*Inflación_8</f>
        <v>0</v>
      </c>
      <c r="M30" s="101">
        <f>SUMIFS('9'!$E:$E,'9'!$A:$A,Año_Inicial+7,'9'!$B:$B,'12'!L$4,'9'!$D:$D,"Fungicida")</f>
        <v>0</v>
      </c>
      <c r="N30" s="101">
        <f>((A8_A_L5*Fungicida_A)+(A8_B_L5*Fungicida_B)+(A8_C_L5*Fungicida_C)+(A8_D_L5*Fungicida_D)+(A8_Y_L5*Fungicida_Y))*Inflación_8</f>
        <v>0</v>
      </c>
      <c r="O30" s="101">
        <f>SUMIFS('9'!$E:$E,'9'!$A:$A,Año_Inicial+7,'9'!$B:$B,'12'!N$4,'9'!$D:$D,"Fungicida")</f>
        <v>0</v>
      </c>
      <c r="P30" s="101">
        <f>((A8_A_L6*Fungicida_A)+(A8_B_L6*Fungicida_B)+(A8_C_L6*Fungicida_C)+(A8_D_L6*Fungicida_D)+(A8_Y_L6*Fungicida_Y))*Inflación_8</f>
        <v>0</v>
      </c>
      <c r="Q30" s="101">
        <f>SUMIFS('9'!$E:$E,'9'!$A:$A,Año_Inicial+7,'9'!$B:$B,'12'!P$4,'9'!$D:$D,"Fungicida")</f>
        <v>0</v>
      </c>
      <c r="R30" s="101">
        <f>((A8_A_L7*Fungicida_A)+(A8_B_L7*Fungicida_B)+(A8_C_L7*Fungicida_C)+(A8_D_L7*Fungicida_D)+(A8_Y_L7*Fungicida_Y))*Inflación_8</f>
        <v>0</v>
      </c>
      <c r="S30" s="101">
        <f>SUMIFS('9'!$E:$E,'9'!$A:$A,Año_Inicial+7,'9'!$B:$B,'12'!R$4,'9'!$D:$D,"Fungicida")</f>
        <v>0</v>
      </c>
      <c r="T30" s="101">
        <f>((A8_A_L8*Fungicida_A)+(A8_B_L8*Fungicida_B)+(A8_C_L8*Fungicida_C)+(A8_D_L8*Fungicida_D)+(A8_Y_L8*Fungicida_Y))*Inflación_8</f>
        <v>0</v>
      </c>
      <c r="U30" s="101">
        <f>SUMIFS('9'!$E:$E,'9'!$A:$A,Año_Inicial+7,'9'!$B:$B,'12'!T$4,'9'!$D:$D,"Fungicida")</f>
        <v>0</v>
      </c>
      <c r="V30" s="101">
        <f>((A8_A_L9*Fungicida_A)+(A8_B_L9*Fungicida_B)+(A8_C_L9*Fungicida_C)+(A8_D_L9*Fungicida_D)+(A8_Y_L9*Fungicida_Y))*Inflación_8</f>
        <v>0</v>
      </c>
      <c r="W30" s="101">
        <f>SUMIFS('9'!$E:$E,'9'!$A:$A,Año_Inicial+7,'9'!$B:$B,'12'!V$4,'9'!$D:$D,"Fungicida")</f>
        <v>0</v>
      </c>
      <c r="X30" s="101">
        <f>((A8_A_L10*Fungicida_A)+(A8_B_L10*Fungicida_B)+(A8_C_L10*Fungicida_C)+(A8_D_L10*Fungicida_D)+(A8_Y_L10*Fungicida_Y))*Inflación_8</f>
        <v>0</v>
      </c>
      <c r="Y30" s="101">
        <f>SUMIFS('9'!$E:$E,'9'!$A:$A,Año_Inicial+7,'9'!$B:$B,'12'!X$4,'9'!$D:$D,"Fungicida")</f>
        <v>0</v>
      </c>
      <c r="Z30" s="101">
        <f>((A8_A_L11*Fungicida_A)+(A8_B_L11*Fungicida_B)+(A8_C_L11*Fungicida_C)+(A8_D_L11*Fungicida_D)+(A8_Y_L11*Fungicida_Y))*Inflación_8</f>
        <v>0</v>
      </c>
      <c r="AA30" s="101">
        <f>SUMIFS('9'!$E:$E,'9'!$A:$A,Año_Inicial+7,'9'!$B:$B,'12'!Z$4,'9'!$D:$D,"Fungicida")</f>
        <v>0</v>
      </c>
      <c r="AB30" s="101">
        <f>((A8_A_L12*Fungicida_A)+(A8_B_L12*Fungicida_B)+(A8_C_L12*Fungicida_C)+(A8_D_L12*Fungicida_D)+(A8_Y_L12*Fungicida_Y))*Inflación_8</f>
        <v>0</v>
      </c>
      <c r="AC30" s="101">
        <f>SUMIFS('9'!$E:$E,'9'!$A:$A,Año_Inicial+7,'9'!$B:$B,'12'!AB$4,'9'!$D:$D,"Fungicida")</f>
        <v>0</v>
      </c>
      <c r="AD30" s="101">
        <f>((A8_A_L13*Fungicida_A)+(A8_B_L13*Fungicida_B)+(A8_C_L13*Fungicida_C)+(A8_D_L13*Fungicida_D)+(A8_Y_L13*Fungicida_Y))*Inflación_8</f>
        <v>0</v>
      </c>
      <c r="AE30" s="101">
        <f>SUMIFS('9'!$E:$E,'9'!$A:$A,Año_Inicial+7,'9'!$B:$B,'12'!AD$4,'9'!$D:$D,"Fungicida")</f>
        <v>0</v>
      </c>
      <c r="AF30" s="101">
        <f>((A8_A_L14*Fungicida_A)+(A8_B_L14*Fungicida_B)+(A8_C_L14*Fungicida_C)+(A8_D_L14*Fungicida_D)+(A8_Y_L14*Fungicida_Y))*Inflación_8</f>
        <v>0</v>
      </c>
      <c r="AG30" s="101">
        <f>SUMIFS('9'!$E:$E,'9'!$A:$A,Año_Inicial+7,'9'!$B:$B,'12'!AF$4,'9'!$D:$D,"Fungicida")</f>
        <v>0</v>
      </c>
      <c r="AH30" s="101">
        <f>((A8_A_L15*Fungicida_A)+(A8_B_L15*Fungicida_B)+(A8_C_L15*Fungicida_C)+(A8_D_L15*Fungicida_D)+(A8_Y_L15*Fungicida_Y))*Inflación_8</f>
        <v>0</v>
      </c>
      <c r="AI30" s="101">
        <f>SUMIFS('9'!$E:$E,'9'!$A:$A,Año_Inicial+7,'9'!$B:$B,'12'!AH$4,'9'!$D:$D,"Fungicida")</f>
        <v>0</v>
      </c>
      <c r="AJ30" s="101">
        <f>((A8_A_L16*Fungicida_A)+(A8_B_L16*Fungicida_B)+(A8_C_L16*Fungicida_C)+(A8_D_L16*Fungicida_D)+(A8_Y_L16*Fungicida_Y))*Inflación_8</f>
        <v>0</v>
      </c>
      <c r="AK30" s="101">
        <f>SUMIFS('9'!$E:$E,'9'!$A:$A,Año_Inicial+7,'9'!$B:$B,'12'!AJ$4,'9'!$D:$D,"Fungicida")</f>
        <v>0</v>
      </c>
      <c r="AL30" s="101">
        <f>((A8_A_L17*Fungicida_A)+(A8_B_L17*Fungicida_B)+(A8_C_L17*Fungicida_C)+(A8_D_L17*Fungicida_D)+(A8_Y_L17*Fungicida_Y))*Inflación_8</f>
        <v>0</v>
      </c>
      <c r="AM30" s="101">
        <f>SUMIFS('9'!$E:$E,'9'!$A:$A,Año_Inicial+7,'9'!$B:$B,'12'!AL$4,'9'!$D:$D,"Fungicida")</f>
        <v>0</v>
      </c>
      <c r="AN30" s="101">
        <f>((A8_A_L18*Fungicida_A)+(A8_B_L18*Fungicida_B)+(A8_C_L18*Fungicida_C)+(A8_D_L18*Fungicida_D)+(A8_Y_L18*Fungicida_Y))*Inflación_8</f>
        <v>0</v>
      </c>
      <c r="AO30" s="101">
        <f>SUMIFS('9'!$E:$E,'9'!$A:$A,Año_Inicial+7,'9'!$B:$B,'12'!AN$4,'9'!$D:$D,"Fungicida")</f>
        <v>0</v>
      </c>
      <c r="AP30" s="101">
        <f>((A8_A_L19*Fungicida_A)+(A8_B_L19*Fungicida_B)+(A8_C_L19*Fungicida_C)+(A8_D_L19*Fungicida_D)+(A8_Y_L19*Fungicida_Y))*Inflación_8</f>
        <v>0</v>
      </c>
      <c r="AQ30" s="101">
        <f>SUMIFS('9'!$E:$E,'9'!$A:$A,Año_Inicial+7,'9'!$B:$B,'12'!AP$4,'9'!$D:$D,"Fungicida")</f>
        <v>0</v>
      </c>
      <c r="AR30" s="101">
        <f>((A8_A_L20*Fungicida_A)+(A8_B_L20*Fungicida_B)+(A8_C_L20*Fungicida_C)+(A8_D_L20*Fungicida_D)+(A8_Y_L20*Fungicida_Y))*Inflación_8</f>
        <v>0</v>
      </c>
      <c r="AS30" s="101">
        <f>SUMIFS('9'!$E:$E,'9'!$A:$A,Año_Inicial+7,'9'!$B:$B,'12'!AR$4,'9'!$D:$D,"Fungicida")</f>
        <v>0</v>
      </c>
      <c r="AT30" s="101">
        <f>((A8_A_L21*Fungicida_A)+(A8_B_L21*Fungicida_B)+(A8_C_L21*Fungicida_C)+(A8_D_L21*Fungicida_D)+(A8_Y_L21*Fungicida_Y))*Inflación_8</f>
        <v>0</v>
      </c>
      <c r="AU30" s="101">
        <f>SUMIFS('9'!$E:$E,'9'!$A:$A,Año_Inicial+7,'9'!$B:$B,'12'!AT$4,'9'!$D:$D,"Fungicida")</f>
        <v>0</v>
      </c>
      <c r="AV30" s="101">
        <f>((A8_A_L22*Fungicida_A)+(A8_B_L22*Fungicida_B)+(A8_C_L22*Fungicida_C)+(A8_D_L22*Fungicida_D)+(A8_Y_L22*Fungicida_Y))*Inflación_8</f>
        <v>0</v>
      </c>
      <c r="AW30" s="101">
        <f>SUMIFS('9'!$E:$E,'9'!$A:$A,Año_Inicial+7,'9'!$B:$B,'12'!AV$4,'9'!$D:$D,"Fungicida")</f>
        <v>0</v>
      </c>
      <c r="AX30" s="101">
        <f>((A8_A_L23*Fungicida_A)+(A8_B_L23*Fungicida_B)+(A8_C_L23*Fungicida_C)+(A8_D_L23*Fungicida_D)+(A8_Y_L23*Fungicida_Y))*Inflación_8</f>
        <v>0</v>
      </c>
      <c r="AY30" s="101">
        <f>SUMIFS('9'!$E:$E,'9'!$A:$A,Año_Inicial+7,'9'!$B:$B,'12'!AX$4,'9'!$D:$D,"Fungicida")</f>
        <v>0</v>
      </c>
      <c r="AZ30" s="101">
        <f>((A8_A_L24*Fungicida_A)+(A8_B_L24*Fungicida_B)+(A8_C_L24*Fungicida_C)+(A8_D_L24*Fungicida_D)+(A8_Y_L24*Fungicida_Y))*Inflación_8</f>
        <v>0</v>
      </c>
      <c r="BA30" s="101">
        <f>SUMIFS('9'!$E:$E,'9'!$A:$A,Año_Inicial+7,'9'!$B:$B,'12'!AZ$4,'9'!$D:$D,"Fungicida")</f>
        <v>0</v>
      </c>
      <c r="BB30" s="101">
        <f>((A8_A_L25*Fungicida_A)+(A8_B_L25*Fungicida_B)+(A8_C_L25*Fungicida_C)+(A8_D_L25*Fungicida_D)+(A8_Y_L25*Fungicida_Y))*Inflación_8</f>
        <v>0</v>
      </c>
      <c r="BC30" s="101">
        <f>SUMIFS('9'!$E:$E,'9'!$A:$A,Año_Inicial+7,'9'!$B:$B,'12'!BB$4,'9'!$D:$D,"Fungicida")</f>
        <v>0</v>
      </c>
      <c r="BD30" s="101">
        <f>((A8_A_L26*Fungicida_A)+(A8_B_L26*Fungicida_B)+(A8_C_L26*Fungicida_C)+(A8_D_L26*Fungicida_D)+(A8_Y_L26*Fungicida_Y))*Inflación_8</f>
        <v>0</v>
      </c>
      <c r="BE30" s="101">
        <f>SUMIFS('9'!$E:$E,'9'!$A:$A,Año_Inicial+7,'9'!$B:$B,'12'!BD$4,'9'!$D:$D,"Fungicida")</f>
        <v>0</v>
      </c>
      <c r="BF30" s="101">
        <f>((A8_A_L27*Fungicida_A)+(A8_B_L27*Fungicida_B)+(A8_C_L27*Fungicida_C)+(A8_D_L27*Fungicida_D)+(A8_Y_L27*Fungicida_Y))*Inflación_8</f>
        <v>0</v>
      </c>
      <c r="BG30" s="101">
        <f>SUMIFS('9'!$E:$E,'9'!$A:$A,Año_Inicial+7,'9'!$B:$B,'12'!BF$4,'9'!$D:$D,"Fungicida")</f>
        <v>0</v>
      </c>
      <c r="BH30" s="101">
        <f>((A8_A_L28*Fungicida_A)+(A8_B_L28*Fungicida_B)+(A8_C_L28*Fungicida_C)+(A8_D_L28*Fungicida_D)+(A8_Y_L28*Fungicida_Y))*Inflación_8</f>
        <v>0</v>
      </c>
      <c r="BI30" s="101">
        <f>SUMIFS('9'!$E:$E,'9'!$A:$A,Año_Inicial+7,'9'!$B:$B,'12'!BH$4,'9'!$D:$D,"Fungicida")</f>
        <v>0</v>
      </c>
      <c r="BJ30" s="101">
        <f>((A8_A_L29*Fungicida_A)+(A8_B_L29*Fungicida_B)+(A8_C_L29*Fungicida_C)+(A8_D_L29*Fungicida_D)+(A8_Y_L29*Fungicida_Y))*Inflación_8</f>
        <v>0</v>
      </c>
      <c r="BK30" s="101">
        <f>SUMIFS('9'!$E:$E,'9'!$A:$A,Año_Inicial+7,'9'!$B:$B,'12'!BJ$4,'9'!$D:$D,"Fungicida")</f>
        <v>0</v>
      </c>
      <c r="BL30" s="101">
        <f>((A8_A_L30*Fungicida_A)+(A8_B_L30*Fungicida_B)+(A8_C_L30*Fungicida_C)+(A8_D_L30*Fungicida_D)+(A8_Y_L30*Fungicida_Y))*Inflación_8</f>
        <v>0</v>
      </c>
      <c r="BM30" s="101">
        <f>SUMIFS('9'!$E:$E,'9'!$A:$A,Año_Inicial+7,'9'!$B:$B,'12'!BL$4,'9'!$D:$D,"Fungicida")</f>
        <v>0</v>
      </c>
      <c r="BN30" s="101">
        <f>((A8_A_L31*Fungicida_A)+(A8_B_L31*Fungicida_B)+(A8_C_L31*Fungicida_C)+(A8_D_L31*Fungicida_D)+(A8_Y_L31*Fungicida_Y))*Inflación_8</f>
        <v>0</v>
      </c>
      <c r="BO30" s="101">
        <f>SUMIFS('9'!$E:$E,'9'!$A:$A,Año_Inicial+7,'9'!$B:$B,'12'!BN$4,'9'!$D:$D,"Fungicida")</f>
        <v>0</v>
      </c>
      <c r="BP30" s="101">
        <f>((A8_A_L32*Fungicida_A)+(A8_B_L32*Fungicida_B)+(A8_C_L32*Fungicida_C)+(A8_D_L32*Fungicida_D)+(A8_Y_L32*Fungicida_Y))*Inflación_8</f>
        <v>0</v>
      </c>
      <c r="BQ30" s="101">
        <f>SUMIFS('9'!$E:$E,'9'!$A:$A,Año_Inicial+7,'9'!$B:$B,'12'!BP$4,'9'!$D:$D,"Fungicida")</f>
        <v>0</v>
      </c>
      <c r="BR30" s="101">
        <f>((A8_A_L33*Fungicida_A)+(A8_B_L33*Fungicida_B)+(A8_C_L33*Fungicida_C)+(A8_D_L33*Fungicida_D)+(A8_Y_L33*Fungicida_Y))*Inflación_8</f>
        <v>0</v>
      </c>
      <c r="BS30" s="101">
        <f>SUMIFS('9'!$E:$E,'9'!$A:$A,Año_Inicial+7,'9'!$B:$B,'12'!BR$4,'9'!$D:$D,"Fungicida")</f>
        <v>0</v>
      </c>
      <c r="BT30" s="101">
        <f>((A8_A_L34*Fungicida_A)+(A8_B_L34*Fungicida_B)+(A8_C_L34*Fungicida_C)+(A8_D_L34*Fungicida_D)+(A8_Y_L34*Fungicida_Y))*Inflación_8</f>
        <v>0</v>
      </c>
      <c r="BU30" s="101">
        <f>SUMIFS('9'!$E:$E,'9'!$A:$A,Año_Inicial+7,'9'!$B:$B,'12'!BT$4,'9'!$D:$D,"Fungicida")</f>
        <v>0</v>
      </c>
      <c r="BV30" s="101">
        <f>((A8_A_L35*Fungicida_A)+(A8_B_L35*Fungicida_B)+(A8_C_L35*Fungicida_C)+(A8_D_L35*Fungicida_D)+(A8_Y_L35*Fungicida_Y))*Inflación_8</f>
        <v>0</v>
      </c>
      <c r="BW30" s="101">
        <f>SUMIFS('9'!$E:$E,'9'!$A:$A,Año_Inicial+7,'9'!$B:$B,'12'!BV$4,'9'!$D:$D,"Fungicida")</f>
        <v>0</v>
      </c>
      <c r="BX30" s="101">
        <f>((A8_A_L36*Fungicida_A)+(A8_B_L36*Fungicida_B)+(A8_C_L36*Fungicida_C)+(A8_D_L36*Fungicida_D)+(A8_Y_L36*Fungicida_Y))*Inflación_8</f>
        <v>0</v>
      </c>
      <c r="BY30" s="101">
        <f>SUMIFS('9'!$E:$E,'9'!$A:$A,Año_Inicial+7,'9'!$B:$B,'12'!BX$4,'9'!$D:$D,"Fungicida")</f>
        <v>0</v>
      </c>
      <c r="BZ30" s="101">
        <f>((A8_A_L37*Fungicida_A)+(A8_B_L37*Fungicida_B)+(A8_C_L37*Fungicida_C)+(A8_D_L37*Fungicida_D)+(A8_Y_L37*Fungicida_Y))*Inflación_8</f>
        <v>0</v>
      </c>
      <c r="CA30" s="101">
        <f>SUMIFS('9'!$E:$E,'9'!$A:$A,Año_Inicial+7,'9'!$B:$B,'12'!BZ$4,'9'!$D:$D,"Fungicida")</f>
        <v>0</v>
      </c>
      <c r="CB30" s="101">
        <f>((A8_A_L38*Fungicida_A)+(A8_B_L38*Fungicida_B)+(A8_C_L38*Fungicida_C)+(A8_D_L38*Fungicida_D)+(A8_Y_L38*Fungicida_Y))*Inflación_8</f>
        <v>0</v>
      </c>
      <c r="CC30" s="101">
        <f>SUMIFS('9'!$E:$E,'9'!$A:$A,Año_Inicial+7,'9'!$B:$B,'12'!CB$4,'9'!$D:$D,"Fungicida")</f>
        <v>0</v>
      </c>
      <c r="CD30" s="101">
        <f>((A8_A_L39*Fungicida_A)+(A8_B_L39*Fungicida_B)+(A8_C_L39*Fungicida_C)+(A8_D_L39*Fungicida_D)+(A8_Y_L39*Fungicida_Y))*Inflación_8</f>
        <v>0</v>
      </c>
      <c r="CE30" s="101">
        <f>SUMIFS('9'!$E:$E,'9'!$A:$A,Año_Inicial+7,'9'!$B:$B,'12'!CD$4,'9'!$D:$D,"Fungicida")</f>
        <v>0</v>
      </c>
      <c r="CF30" s="101">
        <f>((A8_A_L40*Fungicida_A)+(A8_B_L40*Fungicida_B)+(A8_C_L40*Fungicida_C)+(A8_D_L40*Fungicida_D)+(A8_Y_L40*Fungicida_Y))*Inflación_8</f>
        <v>0</v>
      </c>
      <c r="CG30" s="101">
        <f>SUMIFS('9'!$E:$E,'9'!$A:$A,Año_Inicial+7,'9'!$B:$B,'12'!CF$4,'9'!$D:$D,"Fungicida")</f>
        <v>0</v>
      </c>
      <c r="CH30" s="473"/>
      <c r="CI30" s="101">
        <f>Plantas_A_A8*Fungicida_A*Inflación_8</f>
        <v>0</v>
      </c>
      <c r="CJ30" s="101">
        <f>Plantas_B_A8*Fungicida_B</f>
        <v>0</v>
      </c>
      <c r="CK30" s="101">
        <f>Plantas_C_A8*Fungicida_C</f>
        <v>0</v>
      </c>
      <c r="CL30" s="101">
        <f>Plantas_D_A8*Fungicida_D</f>
        <v>0</v>
      </c>
      <c r="CM30" s="101"/>
      <c r="CN30" s="101">
        <f>Plantas_Y_A8*Fungicida_Y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SUMIFS('9'!$E:$E,'9'!$A:$A,Año_Inicial+7,'9'!$D:$D,"Manejo de sombra")</f>
        <v>0</v>
      </c>
      <c r="D32" s="100">
        <f t="shared" si="45"/>
        <v>0</v>
      </c>
      <c r="E32" s="473"/>
      <c r="F32" s="101">
        <f>((A8_A_L1*Sombra_A)+(A8_B_L1*Sombra_B)+(A8_C_L1*Sombra_C)+(A8_D_L1*Sombra_D)+(A8_Y_L1*Sombra_Y))*Inflación_8</f>
        <v>0</v>
      </c>
      <c r="G32" s="101">
        <f>SUMIFS('9'!$E:$E,'9'!$A:$A,Año_Inicial+7,'9'!$B:$B,'12'!F$4,'9'!$D:$D,"Manejo de sombra")</f>
        <v>0</v>
      </c>
      <c r="H32" s="101">
        <f>((A8_A_L2*Sombra_A)+(A8_B_L2*Sombra_B)+(A8_C_L2*Sombra_C)+(A8_D_L2*Sombra_D)+(A8_Y_L2*Sombra_Y))*Inflación_8</f>
        <v>0</v>
      </c>
      <c r="I32" s="101">
        <f>SUMIFS('9'!$E:$E,'9'!$A:$A,Año_Inicial+7,'9'!$B:$B,'12'!H$4,'9'!$D:$D,"Manejo de sombra")</f>
        <v>0</v>
      </c>
      <c r="J32" s="101">
        <f>((A8_A_L3*Sombra_A)+(A8_B_L3*Sombra_B)+(A8_C_L3*Sombra_C)+(A8_D_L3*Sombra_D)+(A8_Y_L3*Sombra_Y))*Inflación_8</f>
        <v>0</v>
      </c>
      <c r="K32" s="101">
        <f>SUMIFS('9'!$E:$E,'9'!$A:$A,Año_Inicial+7,'9'!$B:$B,'12'!J$4,'9'!$D:$D,"Manejo de sombra")</f>
        <v>0</v>
      </c>
      <c r="L32" s="101">
        <f>((A8_A_L4*Sombra_A)+(A8_B_L4*Sombra_B)+(A8_C_L4*Sombra_C)+(A8_D_L4*Sombra_D)+(A8_Y_L4*Sombra_Y))*Inflación_8</f>
        <v>0</v>
      </c>
      <c r="M32" s="101">
        <f>SUMIFS('9'!$E:$E,'9'!$A:$A,Año_Inicial+7,'9'!$B:$B,'12'!L$4,'9'!$D:$D,"Manejo de sombra")</f>
        <v>0</v>
      </c>
      <c r="N32" s="101">
        <f>((A8_A_L5*Sombra_A)+(A8_B_L5*Sombra_B)+(A8_C_L5*Sombra_C)+(A8_D_L5*Sombra_D)+(A8_Y_L5*Sombra_Y))*Inflación_8</f>
        <v>0</v>
      </c>
      <c r="O32" s="101">
        <f>SUMIFS('9'!$E:$E,'9'!$A:$A,Año_Inicial+7,'9'!$B:$B,'12'!N$4,'9'!$D:$D,"Manejo de sombra")</f>
        <v>0</v>
      </c>
      <c r="P32" s="101">
        <f>((A8_A_L6*Sombra_A)+(A8_B_L6*Sombra_B)+(A8_C_L6*Sombra_C)+(A8_D_L6*Sombra_D)+(A8_Y_L6*Sombra_Y))*Inflación_8</f>
        <v>0</v>
      </c>
      <c r="Q32" s="101">
        <f>SUMIFS('9'!$E:$E,'9'!$A:$A,Año_Inicial+7,'9'!$B:$B,'12'!P$4,'9'!$D:$D,"Manejo de sombra")</f>
        <v>0</v>
      </c>
      <c r="R32" s="101">
        <f>((A8_A_L7*Sombra_A)+(A8_B_L7*Sombra_B)+(A8_C_L7*Sombra_C)+(A8_D_L7*Sombra_D)+(A8_Y_L7*Sombra_Y))*Inflación_8</f>
        <v>0</v>
      </c>
      <c r="S32" s="101">
        <f>SUMIFS('9'!$E:$E,'9'!$A:$A,Año_Inicial+7,'9'!$B:$B,'12'!R$4,'9'!$D:$D,"Manejo de sombra")</f>
        <v>0</v>
      </c>
      <c r="T32" s="101">
        <f>((A8_A_L8*Sombra_A)+(A8_B_L8*Sombra_B)+(A8_C_L8*Sombra_C)+(A8_D_L8*Sombra_D)+(A8_Y_L8*Sombra_Y))*Inflación_8</f>
        <v>0</v>
      </c>
      <c r="U32" s="101">
        <f>SUMIFS('9'!$E:$E,'9'!$A:$A,Año_Inicial+7,'9'!$B:$B,'12'!T$4,'9'!$D:$D,"Manejo de sombra")</f>
        <v>0</v>
      </c>
      <c r="V32" s="101">
        <f>((A8_A_L9*Sombra_A)+(A8_B_L9*Sombra_B)+(A8_C_L9*Sombra_C)+(A8_D_L9*Sombra_D)+(A8_Y_L9*Sombra_Y))*Inflación_8</f>
        <v>0</v>
      </c>
      <c r="W32" s="101">
        <f>SUMIFS('9'!$E:$E,'9'!$A:$A,Año_Inicial+7,'9'!$B:$B,'12'!V$4,'9'!$D:$D,"Manejo de sombra")</f>
        <v>0</v>
      </c>
      <c r="X32" s="101">
        <f>((A8_A_L10*Sombra_A)+(A8_B_L10*Sombra_B)+(A8_C_L10*Sombra_C)+(A8_D_L10*Sombra_D)+(A8_Y_L10*Sombra_Y))*Inflación_8</f>
        <v>0</v>
      </c>
      <c r="Y32" s="101">
        <f>SUMIFS('9'!$E:$E,'9'!$A:$A,Año_Inicial+7,'9'!$B:$B,'12'!X$4,'9'!$D:$D,"Manejo de sombra")</f>
        <v>0</v>
      </c>
      <c r="Z32" s="101">
        <f>((A8_A_L11*Sombra_A)+(A8_B_L11*Sombra_B)+(A8_C_L11*Sombra_C)+(A8_D_L11*Sombra_D)+(A8_Y_L11*Sombra_Y))*Inflación_8</f>
        <v>0</v>
      </c>
      <c r="AA32" s="101">
        <f>SUMIFS('9'!$E:$E,'9'!$A:$A,Año_Inicial+7,'9'!$B:$B,'12'!Z$4,'9'!$D:$D,"Manejo de sombra")</f>
        <v>0</v>
      </c>
      <c r="AB32" s="101">
        <f>((A8_A_L12*Sombra_A)+(A8_B_L12*Sombra_B)+(A8_C_L12*Sombra_C)+(A8_D_L12*Sombra_D)+(A8_Y_L12*Sombra_Y))*Inflación_8</f>
        <v>0</v>
      </c>
      <c r="AC32" s="101">
        <f>SUMIFS('9'!$E:$E,'9'!$A:$A,Año_Inicial+7,'9'!$B:$B,'12'!AB$4,'9'!$D:$D,"Manejo de sombra")</f>
        <v>0</v>
      </c>
      <c r="AD32" s="101">
        <f>((A8_A_L13*Sombra_A)+(A8_B_L13*Sombra_B)+(A8_C_L13*Sombra_C)+(A8_D_L13*Sombra_D)+(A8_Y_L13*Sombra_Y))*Inflación_8</f>
        <v>0</v>
      </c>
      <c r="AE32" s="101">
        <f>SUMIFS('9'!$E:$E,'9'!$A:$A,Año_Inicial+7,'9'!$B:$B,'12'!AD$4,'9'!$D:$D,"Manejo de sombra")</f>
        <v>0</v>
      </c>
      <c r="AF32" s="101">
        <f>((A8_A_L14*Sombra_A)+(A8_B_L14*Sombra_B)+(A8_C_L14*Sombra_C)+(A8_D_L14*Sombra_D)+(A8_Y_L14*Sombra_Y))*Inflación_8</f>
        <v>0</v>
      </c>
      <c r="AG32" s="101">
        <f>SUMIFS('9'!$E:$E,'9'!$A:$A,Año_Inicial+7,'9'!$B:$B,'12'!AF$4,'9'!$D:$D,"Manejo de sombra")</f>
        <v>0</v>
      </c>
      <c r="AH32" s="101">
        <f>((A8_A_L15*Sombra_A)+(A8_B_L15*Sombra_B)+(A8_C_L15*Sombra_C)+(A8_D_L15*Sombra_D)+(A8_Y_L15*Sombra_Y))*Inflación_8</f>
        <v>0</v>
      </c>
      <c r="AI32" s="101">
        <f>SUMIFS('9'!$E:$E,'9'!$A:$A,Año_Inicial+7,'9'!$B:$B,'12'!AH$4,'9'!$D:$D,"Manejo de sombra")</f>
        <v>0</v>
      </c>
      <c r="AJ32" s="101">
        <f>((A8_A_L16*Sombra_A)+(A8_B_L16*Sombra_B)+(A8_C_L16*Sombra_C)+(A8_D_L16*Sombra_D)+(A8_Y_L16*Sombra_Y))*Inflación_8</f>
        <v>0</v>
      </c>
      <c r="AK32" s="101">
        <f>SUMIFS('9'!$E:$E,'9'!$A:$A,Año_Inicial+7,'9'!$B:$B,'12'!AJ$4,'9'!$D:$D,"Manejo de sombra")</f>
        <v>0</v>
      </c>
      <c r="AL32" s="101">
        <f>((A8_A_L17*Sombra_A)+(A8_B_L17*Sombra_B)+(A8_C_L17*Sombra_C)+(A8_D_L17*Sombra_D)+(A8_Y_L17*Sombra_Y))*Inflación_8</f>
        <v>0</v>
      </c>
      <c r="AM32" s="101">
        <f>SUMIFS('9'!$E:$E,'9'!$A:$A,Año_Inicial+7,'9'!$B:$B,'12'!AL$4,'9'!$D:$D,"Manejo de sombra")</f>
        <v>0</v>
      </c>
      <c r="AN32" s="101">
        <f>((A8_A_L18*Sombra_A)+(A8_B_L18*Sombra_B)+(A8_C_L18*Sombra_C)+(A8_D_L18*Sombra_D)+(A8_Y_L18*Sombra_Y))*Inflación_8</f>
        <v>0</v>
      </c>
      <c r="AO32" s="101">
        <f>SUMIFS('9'!$E:$E,'9'!$A:$A,Año_Inicial+7,'9'!$B:$B,'12'!AN$4,'9'!$D:$D,"Manejo de sombra")</f>
        <v>0</v>
      </c>
      <c r="AP32" s="101">
        <f>((A8_A_L19*Sombra_A)+(A8_B_L19*Sombra_B)+(A8_C_L19*Sombra_C)+(A8_D_L19*Sombra_D)+(A8_Y_L19*Sombra_Y))*Inflación_8</f>
        <v>0</v>
      </c>
      <c r="AQ32" s="101">
        <f>SUMIFS('9'!$E:$E,'9'!$A:$A,Año_Inicial+7,'9'!$B:$B,'12'!AP$4,'9'!$D:$D,"Manejo de sombra")</f>
        <v>0</v>
      </c>
      <c r="AR32" s="101">
        <f>((A8_A_L20*Sombra_A)+(A8_B_L20*Sombra_B)+(A8_C_L20*Sombra_C)+(A8_D_L20*Sombra_D)+(A8_Y_L20*Sombra_Y))*Inflación_8</f>
        <v>0</v>
      </c>
      <c r="AS32" s="101">
        <f>SUMIFS('9'!$E:$E,'9'!$A:$A,Año_Inicial+7,'9'!$B:$B,'12'!AR$4,'9'!$D:$D,"Manejo de sombra")</f>
        <v>0</v>
      </c>
      <c r="AT32" s="101">
        <f>((A8_A_L21*Sombra_A)+(A8_B_L21*Sombra_B)+(A8_C_L21*Sombra_C)+(A8_D_L21*Sombra_D)+(A8_Y_L21*Sombra_Y))*Inflación_8</f>
        <v>0</v>
      </c>
      <c r="AU32" s="101">
        <f>SUMIFS('9'!$E:$E,'9'!$A:$A,Año_Inicial+7,'9'!$B:$B,'12'!AT$4,'9'!$D:$D,"Manejo de sombra")</f>
        <v>0</v>
      </c>
      <c r="AV32" s="101">
        <f>((A8_A_L22*Sombra_A)+(A8_B_L22*Sombra_B)+(A8_C_L22*Sombra_C)+(A8_D_L22*Sombra_D)+(A8_Y_L22*Sombra_Y))*Inflación_8</f>
        <v>0</v>
      </c>
      <c r="AW32" s="101">
        <f>SUMIFS('9'!$E:$E,'9'!$A:$A,Año_Inicial+7,'9'!$B:$B,'12'!AV$4,'9'!$D:$D,"Manejo de sombra")</f>
        <v>0</v>
      </c>
      <c r="AX32" s="101">
        <f>((A8_A_L23*Sombra_A)+(A8_B_L23*Sombra_B)+(A8_C_L23*Sombra_C)+(A8_D_L23*Sombra_D)+(A8_Y_L23*Sombra_Y))*Inflación_8</f>
        <v>0</v>
      </c>
      <c r="AY32" s="101">
        <f>SUMIFS('9'!$E:$E,'9'!$A:$A,Año_Inicial+7,'9'!$B:$B,'12'!AX$4,'9'!$D:$D,"Manejo de sombra")</f>
        <v>0</v>
      </c>
      <c r="AZ32" s="101">
        <f>((A8_A_L24*Sombra_A)+(A8_B_L24*Sombra_B)+(A8_C_L24*Sombra_C)+(A8_D_L24*Sombra_D)+(A8_Y_L24*Sombra_Y))*Inflación_8</f>
        <v>0</v>
      </c>
      <c r="BA32" s="101">
        <f>SUMIFS('9'!$E:$E,'9'!$A:$A,Año_Inicial+7,'9'!$B:$B,'12'!AZ$4,'9'!$D:$D,"Manejo de sombra")</f>
        <v>0</v>
      </c>
      <c r="BB32" s="101">
        <f>((A8_A_L25*Sombra_A)+(A8_B_L25*Sombra_B)+(A8_C_L25*Sombra_C)+(A8_D_L25*Sombra_D)+(A8_Y_L25*Sombra_Y))*Inflación_8</f>
        <v>0</v>
      </c>
      <c r="BC32" s="101">
        <f>SUMIFS('9'!$E:$E,'9'!$A:$A,Año_Inicial+7,'9'!$B:$B,'12'!BB$4,'9'!$D:$D,"Manejo de sombra")</f>
        <v>0</v>
      </c>
      <c r="BD32" s="101">
        <f>((A8_A_L26*Sombra_A)+(A8_B_L26*Sombra_B)+(A8_C_L26*Sombra_C)+(A8_D_L26*Sombra_D)+(A8_Y_L26*Sombra_Y))*Inflación_8</f>
        <v>0</v>
      </c>
      <c r="BE32" s="101">
        <f>SUMIFS('9'!$E:$E,'9'!$A:$A,Año_Inicial+7,'9'!$B:$B,'12'!BD$4,'9'!$D:$D,"Manejo de sombra")</f>
        <v>0</v>
      </c>
      <c r="BF32" s="101">
        <f>((A8_A_L27*Sombra_A)+(A8_B_L27*Sombra_B)+(A8_C_L27*Sombra_C)+(A8_D_L27*Sombra_D)+(A8_Y_L27*Sombra_Y))*Inflación_8</f>
        <v>0</v>
      </c>
      <c r="BG32" s="101">
        <f>SUMIFS('9'!$E:$E,'9'!$A:$A,Año_Inicial+7,'9'!$B:$B,'12'!BF$4,'9'!$D:$D,"Manejo de sombra")</f>
        <v>0</v>
      </c>
      <c r="BH32" s="101">
        <f>((A8_A_L28*Sombra_A)+(A8_B_L28*Sombra_B)+(A8_C_L28*Sombra_C)+(A8_D_L28*Sombra_D)+(A8_Y_L28*Sombra_Y))*Inflación_8</f>
        <v>0</v>
      </c>
      <c r="BI32" s="101">
        <f>SUMIFS('9'!$E:$E,'9'!$A:$A,Año_Inicial+7,'9'!$B:$B,'12'!BH$4,'9'!$D:$D,"Manejo de sombra")</f>
        <v>0</v>
      </c>
      <c r="BJ32" s="101">
        <f>((A8_A_L29*Sombra_A)+(A8_B_L29*Sombra_B)+(A8_C_L29*Sombra_C)+(A8_D_L29*Sombra_D)+(A8_Y_L29*Sombra_Y))*Inflación_8</f>
        <v>0</v>
      </c>
      <c r="BK32" s="101">
        <f>SUMIFS('9'!$E:$E,'9'!$A:$A,Año_Inicial+7,'9'!$B:$B,'12'!BJ$4,'9'!$D:$D,"Manejo de sombra")</f>
        <v>0</v>
      </c>
      <c r="BL32" s="101">
        <f>((A8_A_L30*Sombra_A)+(A8_B_L30*Sombra_B)+(A8_C_L30*Sombra_C)+(A8_D_L30*Sombra_D)+(A8_Y_L30*Sombra_Y))*Inflación_8</f>
        <v>0</v>
      </c>
      <c r="BM32" s="101">
        <f>SUMIFS('9'!$E:$E,'9'!$A:$A,Año_Inicial+7,'9'!$B:$B,'12'!BL$4,'9'!$D:$D,"Manejo de sombra")</f>
        <v>0</v>
      </c>
      <c r="BN32" s="101">
        <f>((A8_A_L31*Sombra_A)+(A8_B_L31*Sombra_B)+(A8_C_L31*Sombra_C)+(A8_D_L31*Sombra_D)+(A8_Y_L31*Sombra_Y))*Inflación_8</f>
        <v>0</v>
      </c>
      <c r="BO32" s="101">
        <f>SUMIFS('9'!$E:$E,'9'!$A:$A,Año_Inicial+7,'9'!$B:$B,'12'!BN$4,'9'!$D:$D,"Manejo de sombra")</f>
        <v>0</v>
      </c>
      <c r="BP32" s="101">
        <f>((A8_A_L32*Sombra_A)+(A8_B_L32*Sombra_B)+(A8_C_L32*Sombra_C)+(A8_D_L32*Sombra_D)+(A8_Y_L32*Sombra_Y))*Inflación_8</f>
        <v>0</v>
      </c>
      <c r="BQ32" s="101">
        <f>SUMIFS('9'!$E:$E,'9'!$A:$A,Año_Inicial+7,'9'!$B:$B,'12'!BP$4,'9'!$D:$D,"Manejo de sombra")</f>
        <v>0</v>
      </c>
      <c r="BR32" s="101">
        <f>((A8_A_L33*Sombra_A)+(A8_B_L33*Sombra_B)+(A8_C_L33*Sombra_C)+(A8_D_L33*Sombra_D)+(A8_Y_L33*Sombra_Y))*Inflación_8</f>
        <v>0</v>
      </c>
      <c r="BS32" s="101">
        <f>SUMIFS('9'!$E:$E,'9'!$A:$A,Año_Inicial+7,'9'!$B:$B,'12'!BR$4,'9'!$D:$D,"Manejo de sombra")</f>
        <v>0</v>
      </c>
      <c r="BT32" s="101">
        <f>((A8_A_L34*Sombra_A)+(A8_B_L34*Sombra_B)+(A8_C_L34*Sombra_C)+(A8_D_L34*Sombra_D)+(A8_Y_L34*Sombra_Y))*Inflación_8</f>
        <v>0</v>
      </c>
      <c r="BU32" s="101">
        <f>SUMIFS('9'!$E:$E,'9'!$A:$A,Año_Inicial+7,'9'!$B:$B,'12'!BT$4,'9'!$D:$D,"Manejo de sombra")</f>
        <v>0</v>
      </c>
      <c r="BV32" s="101">
        <f>((A8_A_L35*Sombra_A)+(A8_B_L35*Sombra_B)+(A8_C_L35*Sombra_C)+(A8_D_L35*Sombra_D)+(A8_Y_L35*Sombra_Y))*Inflación_8</f>
        <v>0</v>
      </c>
      <c r="BW32" s="101">
        <f>SUMIFS('9'!$E:$E,'9'!$A:$A,Año_Inicial+7,'9'!$B:$B,'12'!BV$4,'9'!$D:$D,"Manejo de sombra")</f>
        <v>0</v>
      </c>
      <c r="BX32" s="101">
        <f>((A8_A_L36*Sombra_A)+(A8_B_L36*Sombra_B)+(A8_C_L36*Sombra_C)+(A8_D_L36*Sombra_D)+(A8_Y_L36*Sombra_Y))*Inflación_8</f>
        <v>0</v>
      </c>
      <c r="BY32" s="101">
        <f>SUMIFS('9'!$E:$E,'9'!$A:$A,Año_Inicial+7,'9'!$B:$B,'12'!BX$4,'9'!$D:$D,"Manejo de sombra")</f>
        <v>0</v>
      </c>
      <c r="BZ32" s="101">
        <f>((A8_A_L37*Sombra_A)+(A8_B_L37*Sombra_B)+(A8_C_L37*Sombra_C)+(A8_D_L37*Sombra_D)+(A8_Y_L37*Sombra_Y))*Inflación_8</f>
        <v>0</v>
      </c>
      <c r="CA32" s="101">
        <f>SUMIFS('9'!$E:$E,'9'!$A:$A,Año_Inicial+7,'9'!$B:$B,'12'!BZ$4,'9'!$D:$D,"Manejo de sombra")</f>
        <v>0</v>
      </c>
      <c r="CB32" s="101">
        <f>((A8_A_L38*Sombra_A)+(A8_B_L38*Sombra_B)+(A8_C_L38*Sombra_C)+(A8_D_L38*Sombra_D)+(A8_Y_L38*Sombra_Y))*Inflación_8</f>
        <v>0</v>
      </c>
      <c r="CC32" s="101">
        <f>SUMIFS('9'!$E:$E,'9'!$A:$A,Año_Inicial+7,'9'!$B:$B,'12'!CB$4,'9'!$D:$D,"Manejo de sombra")</f>
        <v>0</v>
      </c>
      <c r="CD32" s="101">
        <f>((A8_A_L39*Sombra_A)+(A8_B_L39*Sombra_B)+(A8_C_L39*Sombra_C)+(A8_D_L39*Sombra_D)+(A8_Y_L39*Sombra_Y))*Inflación_8</f>
        <v>0</v>
      </c>
      <c r="CE32" s="101">
        <f>SUMIFS('9'!$E:$E,'9'!$A:$A,Año_Inicial+7,'9'!$B:$B,'12'!CD$4,'9'!$D:$D,"Manejo de sombra")</f>
        <v>0</v>
      </c>
      <c r="CF32" s="101">
        <f>((A8_A_L40*Sombra_A)+(A8_B_L40*Sombra_B)+(A8_C_L40*Sombra_C)+(A8_D_L40*Sombra_D)+(A8_Y_L40*Sombra_Y))*Inflación_8</f>
        <v>0</v>
      </c>
      <c r="CG32" s="101">
        <f>SUMIFS('9'!$E:$E,'9'!$A:$A,Año_Inicial+7,'9'!$B:$B,'12'!CF$4,'9'!$D:$D,"Manejo de sombra")</f>
        <v>0</v>
      </c>
      <c r="CH32" s="473"/>
      <c r="CI32" s="101">
        <f>Plantas_A_A8*Sombra_A*Inflación_8</f>
        <v>0</v>
      </c>
      <c r="CJ32" s="101">
        <f>Plantas_B_A8*Sombra_B</f>
        <v>0</v>
      </c>
      <c r="CK32" s="101">
        <f>Plantas_C_A8*Sombra_C</f>
        <v>0</v>
      </c>
      <c r="CL32" s="101">
        <f>Plantas_D_A8*Sombra_D</f>
        <v>0</v>
      </c>
      <c r="CM32" s="101"/>
      <c r="CN32" s="101">
        <f>Plantas_Y_A8*Sombra_Y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SUMIFS('9'!$E:$E,'9'!$A:$A,Año_Inicial+7,'9'!$D:$D,"Conservación de suelos")</f>
        <v>0</v>
      </c>
      <c r="D33" s="100">
        <f t="shared" si="45"/>
        <v>0</v>
      </c>
      <c r="E33" s="473"/>
      <c r="F33" s="101">
        <f>((A8_A_L1*Conservación_A)+(A8_B_L1*Conservación_B)+(A8_C_L1*Conservación_C)+(A8_D_L1*Conservación_D)+(A8_Y_L1*Conservación_Y))*Inflación_8</f>
        <v>0</v>
      </c>
      <c r="G33" s="101">
        <f>SUMIFS('9'!$E:$E,'9'!$A:$A,Año_Inicial+7,'9'!$B:$B,'12'!F$4,'9'!$D:$D,"Conservación de suelos")</f>
        <v>0</v>
      </c>
      <c r="H33" s="101">
        <f>((A8_A_L2*Conservación_A)+(A8_B_L2*Conservación_B)+(A8_C_L2*Conservación_C)+(A8_D_L2*Conservación_D)+(A8_Y_L2*Conservación_Y))*Inflación_8</f>
        <v>0</v>
      </c>
      <c r="I33" s="101">
        <f>SUMIFS('9'!$E:$E,'9'!$A:$A,Año_Inicial+7,'9'!$B:$B,'12'!H$4,'9'!$D:$D,"Conservación de suelos")</f>
        <v>0</v>
      </c>
      <c r="J33" s="101">
        <f>((A8_A_L3*Conservación_A)+(A8_B_L3*Conservación_B)+(A8_C_L3*Conservación_C)+(A8_D_L3*Conservación_D)+(A8_Y_L3*Conservación_Y))*Inflación_8</f>
        <v>0</v>
      </c>
      <c r="K33" s="101">
        <f>SUMIFS('9'!$E:$E,'9'!$A:$A,Año_Inicial+7,'9'!$B:$B,'12'!J$4,'9'!$D:$D,"Conservación de suelos")</f>
        <v>0</v>
      </c>
      <c r="L33" s="101">
        <f>((A8_A_L4*Conservación_A)+(A8_B_L4*Conservación_B)+(A8_C_L4*Conservación_C)+(A8_D_L4*Conservación_D)+(A8_Y_L4*Conservación_Y))*Inflación_8</f>
        <v>0</v>
      </c>
      <c r="M33" s="101">
        <f>SUMIFS('9'!$E:$E,'9'!$A:$A,Año_Inicial+7,'9'!$B:$B,'12'!L$4,'9'!$D:$D,"Conservación de suelos")</f>
        <v>0</v>
      </c>
      <c r="N33" s="101">
        <f>((A8_A_L5*Conservación_A)+(A8_B_L5*Conservación_B)+(A8_C_L5*Conservación_C)+(A8_D_L5*Conservación_D)+(A8_Y_L5*Conservación_Y))*Inflación_8</f>
        <v>0</v>
      </c>
      <c r="O33" s="101">
        <f>SUMIFS('9'!$E:$E,'9'!$A:$A,Año_Inicial+7,'9'!$B:$B,'12'!N$4,'9'!$D:$D,"Conservación de suelos")</f>
        <v>0</v>
      </c>
      <c r="P33" s="101">
        <f>((A8_A_L6*Conservación_A)+(A8_B_L6*Conservación_B)+(A8_C_L6*Conservación_C)+(A8_D_L6*Conservación_D)+(A8_Y_L6*Conservación_Y))*Inflación_8</f>
        <v>0</v>
      </c>
      <c r="Q33" s="101">
        <f>SUMIFS('9'!$E:$E,'9'!$A:$A,Año_Inicial+7,'9'!$B:$B,'12'!P$4,'9'!$D:$D,"Conservación de suelos")</f>
        <v>0</v>
      </c>
      <c r="R33" s="101">
        <f>((A8_A_L7*Conservación_A)+(A8_B_L7*Conservación_B)+(A8_C_L7*Conservación_C)+(A8_D_L7*Conservación_D)+(A8_Y_L7*Conservación_Y))*Inflación_8</f>
        <v>0</v>
      </c>
      <c r="S33" s="101">
        <f>SUMIFS('9'!$E:$E,'9'!$A:$A,Año_Inicial+7,'9'!$B:$B,'12'!R$4,'9'!$D:$D,"Conservación de suelos")</f>
        <v>0</v>
      </c>
      <c r="T33" s="101">
        <f>((A8_A_L8*Conservación_A)+(A8_B_L8*Conservación_B)+(A8_C_L8*Conservación_C)+(A8_D_L8*Conservación_D)+(A8_Y_L8*Conservación_Y))*Inflación_8</f>
        <v>0</v>
      </c>
      <c r="U33" s="101">
        <f>SUMIFS('9'!$E:$E,'9'!$A:$A,Año_Inicial+7,'9'!$B:$B,'12'!T$4,'9'!$D:$D,"Conservación de suelos")</f>
        <v>0</v>
      </c>
      <c r="V33" s="101">
        <f>((A8_A_L9*Conservación_A)+(A8_B_L9*Conservación_B)+(A8_C_L9*Conservación_C)+(A8_D_L9*Conservación_D)+(A8_Y_L9*Conservación_Y))*Inflación_8</f>
        <v>0</v>
      </c>
      <c r="W33" s="101">
        <f>SUMIFS('9'!$E:$E,'9'!$A:$A,Año_Inicial+7,'9'!$B:$B,'12'!V$4,'9'!$D:$D,"Conservación de suelos")</f>
        <v>0</v>
      </c>
      <c r="X33" s="101">
        <f>((A8_A_L10*Conservación_A)+(A8_B_L10*Conservación_B)+(A8_C_L10*Conservación_C)+(A8_D_L10*Conservación_D)+(A8_Y_L10*Conservación_Y))*Inflación_8</f>
        <v>0</v>
      </c>
      <c r="Y33" s="101">
        <f>SUMIFS('9'!$E:$E,'9'!$A:$A,Año_Inicial+7,'9'!$B:$B,'12'!X$4,'9'!$D:$D,"Conservación de suelos")</f>
        <v>0</v>
      </c>
      <c r="Z33" s="101">
        <f>((A8_A_L11*Conservación_A)+(A8_B_L11*Conservación_B)+(A8_C_L11*Conservación_C)+(A8_D_L11*Conservación_D)+(A8_Y_L11*Conservación_Y))*Inflación_8</f>
        <v>0</v>
      </c>
      <c r="AA33" s="101">
        <f>SUMIFS('9'!$E:$E,'9'!$A:$A,Año_Inicial+7,'9'!$B:$B,'12'!Z$4,'9'!$D:$D,"Conservación de suelos")</f>
        <v>0</v>
      </c>
      <c r="AB33" s="101">
        <f>((A8_A_L12*Conservación_A)+(A8_B_L12*Conservación_B)+(A8_C_L12*Conservación_C)+(A8_D_L12*Conservación_D)+(A8_Y_L12*Conservación_Y))*Inflación_8</f>
        <v>0</v>
      </c>
      <c r="AC33" s="101">
        <f>SUMIFS('9'!$E:$E,'9'!$A:$A,Año_Inicial+7,'9'!$B:$B,'12'!AB$4,'9'!$D:$D,"Conservación de suelos")</f>
        <v>0</v>
      </c>
      <c r="AD33" s="101">
        <f>((A8_A_L13*Conservación_A)+(A8_B_L13*Conservación_B)+(A8_C_L13*Conservación_C)+(A8_D_L13*Conservación_D)+(A8_Y_L13*Conservación_Y))*Inflación_8</f>
        <v>0</v>
      </c>
      <c r="AE33" s="101">
        <f>SUMIFS('9'!$E:$E,'9'!$A:$A,Año_Inicial+7,'9'!$B:$B,'12'!AD$4,'9'!$D:$D,"Conservación de suelos")</f>
        <v>0</v>
      </c>
      <c r="AF33" s="101">
        <f>((A8_A_L14*Conservación_A)+(A8_B_L14*Conservación_B)+(A8_C_L14*Conservación_C)+(A8_D_L14*Conservación_D)+(A8_Y_L14*Conservación_Y))*Inflación_8</f>
        <v>0</v>
      </c>
      <c r="AG33" s="101">
        <f>SUMIFS('9'!$E:$E,'9'!$A:$A,Año_Inicial+7,'9'!$B:$B,'12'!AF$4,'9'!$D:$D,"Conservación de suelos")</f>
        <v>0</v>
      </c>
      <c r="AH33" s="101">
        <f>((A8_A_L15*Conservación_A)+(A8_B_L15*Conservación_B)+(A8_C_L15*Conservación_C)+(A8_D_L15*Conservación_D)+(A8_Y_L15*Conservación_Y))*Inflación_8</f>
        <v>0</v>
      </c>
      <c r="AI33" s="101">
        <f>SUMIFS('9'!$E:$E,'9'!$A:$A,Año_Inicial+7,'9'!$B:$B,'12'!AH$4,'9'!$D:$D,"Conservación de suelos")</f>
        <v>0</v>
      </c>
      <c r="AJ33" s="101">
        <f>((A8_A_L16*Conservación_A)+(A8_B_L16*Conservación_B)+(A8_C_L16*Conservación_C)+(A8_D_L16*Conservación_D)+(A8_Y_L16*Conservación_Y))*Inflación_8</f>
        <v>0</v>
      </c>
      <c r="AK33" s="101">
        <f>SUMIFS('9'!$E:$E,'9'!$A:$A,Año_Inicial+7,'9'!$B:$B,'12'!AJ$4,'9'!$D:$D,"Conservación de suelos")</f>
        <v>0</v>
      </c>
      <c r="AL33" s="101">
        <f>((A8_A_L17*Conservación_A)+(A8_B_L17*Conservación_B)+(A8_C_L17*Conservación_C)+(A8_D_L17*Conservación_D)+(A8_Y_L17*Conservación_Y))*Inflación_8</f>
        <v>0</v>
      </c>
      <c r="AM33" s="101">
        <f>SUMIFS('9'!$E:$E,'9'!$A:$A,Año_Inicial+7,'9'!$B:$B,'12'!AL$4,'9'!$D:$D,"Conservación de suelos")</f>
        <v>0</v>
      </c>
      <c r="AN33" s="101">
        <f>((A8_A_L18*Conservación_A)+(A8_B_L18*Conservación_B)+(A8_C_L18*Conservación_C)+(A8_D_L18*Conservación_D)+(A8_Y_L18*Conservación_Y))*Inflación_8</f>
        <v>0</v>
      </c>
      <c r="AO33" s="101">
        <f>SUMIFS('9'!$E:$E,'9'!$A:$A,Año_Inicial+7,'9'!$B:$B,'12'!AN$4,'9'!$D:$D,"Conservación de suelos")</f>
        <v>0</v>
      </c>
      <c r="AP33" s="101">
        <f>((A8_A_L19*Conservación_A)+(A8_B_L19*Conservación_B)+(A8_C_L19*Conservación_C)+(A8_D_L19*Conservación_D)+(A8_Y_L19*Conservación_Y))*Inflación_8</f>
        <v>0</v>
      </c>
      <c r="AQ33" s="101">
        <f>SUMIFS('9'!$E:$E,'9'!$A:$A,Año_Inicial+7,'9'!$B:$B,'12'!AP$4,'9'!$D:$D,"Conservación de suelos")</f>
        <v>0</v>
      </c>
      <c r="AR33" s="101">
        <f>((A8_A_L20*Conservación_A)+(A8_B_L20*Conservación_B)+(A8_C_L20*Conservación_C)+(A8_D_L20*Conservación_D)+(A8_Y_L20*Conservación_Y))*Inflación_8</f>
        <v>0</v>
      </c>
      <c r="AS33" s="101">
        <f>SUMIFS('9'!$E:$E,'9'!$A:$A,Año_Inicial+7,'9'!$B:$B,'12'!AR$4,'9'!$D:$D,"Conservación de suelos")</f>
        <v>0</v>
      </c>
      <c r="AT33" s="101">
        <f>((A8_A_L21*Conservación_A)+(A8_B_L21*Conservación_B)+(A8_C_L21*Conservación_C)+(A8_D_L21*Conservación_D)+(A8_Y_L21*Conservación_Y))*Inflación_8</f>
        <v>0</v>
      </c>
      <c r="AU33" s="101">
        <f>SUMIFS('9'!$E:$E,'9'!$A:$A,Año_Inicial+7,'9'!$B:$B,'12'!AT$4,'9'!$D:$D,"Conservación de suelos")</f>
        <v>0</v>
      </c>
      <c r="AV33" s="101">
        <f>((A8_A_L22*Conservación_A)+(A8_B_L22*Conservación_B)+(A8_C_L22*Conservación_C)+(A8_D_L22*Conservación_D)+(A8_Y_L22*Conservación_Y))*Inflación_8</f>
        <v>0</v>
      </c>
      <c r="AW33" s="101">
        <f>SUMIFS('9'!$E:$E,'9'!$A:$A,Año_Inicial+7,'9'!$B:$B,'12'!AV$4,'9'!$D:$D,"Conservación de suelos")</f>
        <v>0</v>
      </c>
      <c r="AX33" s="101">
        <f>((A8_A_L23*Conservación_A)+(A8_B_L23*Conservación_B)+(A8_C_L23*Conservación_C)+(A8_D_L23*Conservación_D)+(A8_Y_L23*Conservación_Y))*Inflación_8</f>
        <v>0</v>
      </c>
      <c r="AY33" s="101">
        <f>SUMIFS('9'!$E:$E,'9'!$A:$A,Año_Inicial+7,'9'!$B:$B,'12'!AX$4,'9'!$D:$D,"Conservación de suelos")</f>
        <v>0</v>
      </c>
      <c r="AZ33" s="101">
        <f>((A8_A_L24*Conservación_A)+(A8_B_L24*Conservación_B)+(A8_C_L24*Conservación_C)+(A8_D_L24*Conservación_D)+(A8_Y_L24*Conservación_Y))*Inflación_8</f>
        <v>0</v>
      </c>
      <c r="BA33" s="101">
        <f>SUMIFS('9'!$E:$E,'9'!$A:$A,Año_Inicial+7,'9'!$B:$B,'12'!AZ$4,'9'!$D:$D,"Conservación de suelos")</f>
        <v>0</v>
      </c>
      <c r="BB33" s="101">
        <f>((A8_A_L25*Conservación_A)+(A8_B_L25*Conservación_B)+(A8_C_L25*Conservación_C)+(A8_D_L25*Conservación_D)+(A8_Y_L25*Conservación_Y))*Inflación_8</f>
        <v>0</v>
      </c>
      <c r="BC33" s="101">
        <f>SUMIFS('9'!$E:$E,'9'!$A:$A,Año_Inicial+7,'9'!$B:$B,'12'!BB$4,'9'!$D:$D,"Conservación de suelos")</f>
        <v>0</v>
      </c>
      <c r="BD33" s="101">
        <f>((A8_A_L26*Conservación_A)+(A8_B_L26*Conservación_B)+(A8_C_L26*Conservación_C)+(A8_D_L26*Conservación_D)+(A8_Y_L26*Conservación_Y))*Inflación_8</f>
        <v>0</v>
      </c>
      <c r="BE33" s="101">
        <f>SUMIFS('9'!$E:$E,'9'!$A:$A,Año_Inicial+7,'9'!$B:$B,'12'!BD$4,'9'!$D:$D,"Conservación de suelos")</f>
        <v>0</v>
      </c>
      <c r="BF33" s="101">
        <f>((A8_A_L27*Conservación_A)+(A8_B_L27*Conservación_B)+(A8_C_L27*Conservación_C)+(A8_D_L27*Conservación_D)+(A8_Y_L27*Conservación_Y))*Inflación_8</f>
        <v>0</v>
      </c>
      <c r="BG33" s="101">
        <f>SUMIFS('9'!$E:$E,'9'!$A:$A,Año_Inicial+7,'9'!$B:$B,'12'!BF$4,'9'!$D:$D,"Conservación de suelos")</f>
        <v>0</v>
      </c>
      <c r="BH33" s="101">
        <f>((A8_A_L28*Conservación_A)+(A8_B_L28*Conservación_B)+(A8_C_L28*Conservación_C)+(A8_D_L28*Conservación_D)+(A8_Y_L28*Conservación_Y))*Inflación_8</f>
        <v>0</v>
      </c>
      <c r="BI33" s="101">
        <f>SUMIFS('9'!$E:$E,'9'!$A:$A,Año_Inicial+7,'9'!$B:$B,'12'!BH$4,'9'!$D:$D,"Conservación de suelos")</f>
        <v>0</v>
      </c>
      <c r="BJ33" s="101">
        <f>((A8_A_L29*Conservación_A)+(A8_B_L29*Conservación_B)+(A8_C_L29*Conservación_C)+(A8_D_L29*Conservación_D)+(A8_Y_L29*Conservación_Y))*Inflación_8</f>
        <v>0</v>
      </c>
      <c r="BK33" s="101">
        <f>SUMIFS('9'!$E:$E,'9'!$A:$A,Año_Inicial+7,'9'!$B:$B,'12'!BJ$4,'9'!$D:$D,"Conservación de suelos")</f>
        <v>0</v>
      </c>
      <c r="BL33" s="101">
        <f>((A8_A_L30*Conservación_A)+(A8_B_L30*Conservación_B)+(A8_C_L30*Conservación_C)+(A8_D_L30*Conservación_D)+(A8_Y_L30*Conservación_Y))*Inflación_8</f>
        <v>0</v>
      </c>
      <c r="BM33" s="101">
        <f>SUMIFS('9'!$E:$E,'9'!$A:$A,Año_Inicial+7,'9'!$B:$B,'12'!BL$4,'9'!$D:$D,"Conservación de suelos")</f>
        <v>0</v>
      </c>
      <c r="BN33" s="101">
        <f>((A8_A_L31*Conservación_A)+(A8_B_L31*Conservación_B)+(A8_C_L31*Conservación_C)+(A8_D_L31*Conservación_D)+(A8_Y_L31*Conservación_Y))*Inflación_8</f>
        <v>0</v>
      </c>
      <c r="BO33" s="101">
        <f>SUMIFS('9'!$E:$E,'9'!$A:$A,Año_Inicial+7,'9'!$B:$B,'12'!BN$4,'9'!$D:$D,"Conservación de suelos")</f>
        <v>0</v>
      </c>
      <c r="BP33" s="101">
        <f>((A8_A_L32*Conservación_A)+(A8_B_L32*Conservación_B)+(A8_C_L32*Conservación_C)+(A8_D_L32*Conservación_D)+(A8_Y_L32*Conservación_Y))*Inflación_8</f>
        <v>0</v>
      </c>
      <c r="BQ33" s="101">
        <f>SUMIFS('9'!$E:$E,'9'!$A:$A,Año_Inicial+7,'9'!$B:$B,'12'!BP$4,'9'!$D:$D,"Conservación de suelos")</f>
        <v>0</v>
      </c>
      <c r="BR33" s="101">
        <f>((A8_A_L33*Conservación_A)+(A8_B_L33*Conservación_B)+(A8_C_L33*Conservación_C)+(A8_D_L33*Conservación_D)+(A8_Y_L33*Conservación_Y))*Inflación_8</f>
        <v>0</v>
      </c>
      <c r="BS33" s="101">
        <f>SUMIFS('9'!$E:$E,'9'!$A:$A,Año_Inicial+7,'9'!$B:$B,'12'!BR$4,'9'!$D:$D,"Conservación de suelos")</f>
        <v>0</v>
      </c>
      <c r="BT33" s="101">
        <f>((A8_A_L34*Conservación_A)+(A8_B_L34*Conservación_B)+(A8_C_L34*Conservación_C)+(A8_D_L34*Conservación_D)+(A8_Y_L34*Conservación_Y))*Inflación_8</f>
        <v>0</v>
      </c>
      <c r="BU33" s="101">
        <f>SUMIFS('9'!$E:$E,'9'!$A:$A,Año_Inicial+7,'9'!$B:$B,'12'!BT$4,'9'!$D:$D,"Conservación de suelos")</f>
        <v>0</v>
      </c>
      <c r="BV33" s="101">
        <f>((A8_A_L35*Conservación_A)+(A8_B_L35*Conservación_B)+(A8_C_L35*Conservación_C)+(A8_D_L35*Conservación_D)+(A8_Y_L35*Conservación_Y))*Inflación_8</f>
        <v>0</v>
      </c>
      <c r="BW33" s="101">
        <f>SUMIFS('9'!$E:$E,'9'!$A:$A,Año_Inicial+7,'9'!$B:$B,'12'!BV$4,'9'!$D:$D,"Conservación de suelos")</f>
        <v>0</v>
      </c>
      <c r="BX33" s="101">
        <f>((A8_A_L36*Conservación_A)+(A8_B_L36*Conservación_B)+(A8_C_L36*Conservación_C)+(A8_D_L36*Conservación_D)+(A8_Y_L36*Conservación_Y))*Inflación_8</f>
        <v>0</v>
      </c>
      <c r="BY33" s="101">
        <f>SUMIFS('9'!$E:$E,'9'!$A:$A,Año_Inicial+7,'9'!$B:$B,'12'!BX$4,'9'!$D:$D,"Conservación de suelos")</f>
        <v>0</v>
      </c>
      <c r="BZ33" s="101">
        <f>((A8_A_L37*Conservación_A)+(A8_B_L37*Conservación_B)+(A8_C_L37*Conservación_C)+(A8_D_L37*Conservación_D)+(A8_Y_L37*Conservación_Y))*Inflación_8</f>
        <v>0</v>
      </c>
      <c r="CA33" s="101">
        <f>SUMIFS('9'!$E:$E,'9'!$A:$A,Año_Inicial+7,'9'!$B:$B,'12'!BZ$4,'9'!$D:$D,"Conservación de suelos")</f>
        <v>0</v>
      </c>
      <c r="CB33" s="101">
        <f>((A8_A_L38*Conservación_A)+(A8_B_L38*Conservación_B)+(A8_C_L38*Conservación_C)+(A8_D_L38*Conservación_D)+(A8_Y_L38*Conservación_Y))*Inflación_8</f>
        <v>0</v>
      </c>
      <c r="CC33" s="101">
        <f>SUMIFS('9'!$E:$E,'9'!$A:$A,Año_Inicial+7,'9'!$B:$B,'12'!CB$4,'9'!$D:$D,"Conservación de suelos")</f>
        <v>0</v>
      </c>
      <c r="CD33" s="101">
        <f>((A8_A_L39*Conservación_A)+(A8_B_L39*Conservación_B)+(A8_C_L39*Conservación_C)+(A8_D_L39*Conservación_D)+(A8_Y_L39*Conservación_Y))*Inflación_8</f>
        <v>0</v>
      </c>
      <c r="CE33" s="101">
        <f>SUMIFS('9'!$E:$E,'9'!$A:$A,Año_Inicial+7,'9'!$B:$B,'12'!CD$4,'9'!$D:$D,"Conservación de suelos")</f>
        <v>0</v>
      </c>
      <c r="CF33" s="101">
        <f>((A8_A_L40*Conservación_A)+(A8_B_L40*Conservación_B)+(A8_C_L40*Conservación_C)+(A8_D_L40*Conservación_D)+(A8_Y_L40*Conservación_Y))*Inflación_8</f>
        <v>0</v>
      </c>
      <c r="CG33" s="101">
        <f>SUMIFS('9'!$E:$E,'9'!$A:$A,Año_Inicial+7,'9'!$B:$B,'12'!CF$4,'9'!$D:$D,"Conservación de suelos")</f>
        <v>0</v>
      </c>
      <c r="CH33" s="473"/>
      <c r="CI33" s="101">
        <f>Plantas_A_A8*Conservación_A*Inflación_8</f>
        <v>0</v>
      </c>
      <c r="CJ33" s="101">
        <f>Plantas_B_A8*Conservación_B</f>
        <v>0</v>
      </c>
      <c r="CK33" s="101">
        <f>Plantas_C_A8*Conservación_C</f>
        <v>0</v>
      </c>
      <c r="CL33" s="101">
        <f>Plantas_D_A8*Conservación_D</f>
        <v>0</v>
      </c>
      <c r="CM33" s="101"/>
      <c r="CN33" s="101">
        <f>Plantas_Y_A8*Conservación_Y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SUMIFS('9'!$E:$E,'9'!$A:$A,Año_Inicial+7,'9'!$D:$D,"Otras actividades")</f>
        <v>0</v>
      </c>
      <c r="D34" s="100">
        <f t="shared" si="45"/>
        <v>0</v>
      </c>
      <c r="E34" s="473"/>
      <c r="F34" s="101">
        <f>((A8_A_L1*Otras_A)+(A8_B_L1*Otras_B)+(A8_C_L1*Otras_C)+(A8_D_L1*Otras_D)+(A8_Y_L1*Otras_Y))*Inflación_8</f>
        <v>0</v>
      </c>
      <c r="G34" s="101">
        <f>SUMIFS('9'!$E:$E,'9'!$A:$A,Año_Inicial+7,'9'!$B:$B,'12'!F$4,'9'!$D:$D,"Otras actividades")</f>
        <v>0</v>
      </c>
      <c r="H34" s="101">
        <f>((A8_A_L2*Otras_A)+(A8_B_L2*Otras_B)+(A8_C_L2*Otras_C)+(A8_D_L2*Otras_D)+(A8_Y_L2*Otras_Y))*Inflación_8</f>
        <v>0</v>
      </c>
      <c r="I34" s="101">
        <f>SUMIFS('9'!$E:$E,'9'!$A:$A,Año_Inicial+7,'9'!$B:$B,'12'!H$4,'9'!$D:$D,"Otras actividades")</f>
        <v>0</v>
      </c>
      <c r="J34" s="101">
        <f>((A8_A_L3*Otras_A)+(A8_B_L3*Otras_B)+(A8_C_L3*Otras_C)+(A8_D_L3*Otras_D)+(A8_Y_L3*Otras_Y))*Inflación_8</f>
        <v>0</v>
      </c>
      <c r="K34" s="101">
        <f>SUMIFS('9'!$E:$E,'9'!$A:$A,Año_Inicial+7,'9'!$B:$B,'12'!J$4,'9'!$D:$D,"Otras actividades")</f>
        <v>0</v>
      </c>
      <c r="L34" s="101">
        <f>((A8_A_L4*Otras_A)+(A8_B_L4*Otras_B)+(A8_C_L4*Otras_C)+(A8_D_L4*Otras_D)+(A8_Y_L4*Otras_Y))*Inflación_8</f>
        <v>0</v>
      </c>
      <c r="M34" s="101">
        <f>SUMIFS('9'!$E:$E,'9'!$A:$A,Año_Inicial+7,'9'!$B:$B,'12'!L$4,'9'!$D:$D,"Otras actividades")</f>
        <v>0</v>
      </c>
      <c r="N34" s="101">
        <f>((A8_A_L5*Otras_A)+(A8_B_L5*Otras_B)+(A8_C_L5*Otras_C)+(A8_D_L5*Otras_D)+(A8_Y_L5*Otras_Y))*Inflación_8</f>
        <v>0</v>
      </c>
      <c r="O34" s="101">
        <f>SUMIFS('9'!$E:$E,'9'!$A:$A,Año_Inicial+7,'9'!$B:$B,'12'!N$4,'9'!$D:$D,"Otras actividades")</f>
        <v>0</v>
      </c>
      <c r="P34" s="101">
        <f>((A8_A_L6*Otras_A)+(A8_B_L6*Otras_B)+(A8_C_L6*Otras_C)+(A8_D_L6*Otras_D)+(A8_Y_L6*Otras_Y))*Inflación_8</f>
        <v>0</v>
      </c>
      <c r="Q34" s="101">
        <f>SUMIFS('9'!$E:$E,'9'!$A:$A,Año_Inicial+7,'9'!$B:$B,'12'!P$4,'9'!$D:$D,"Otras actividades")</f>
        <v>0</v>
      </c>
      <c r="R34" s="101">
        <f>((A8_A_L7*Otras_A)+(A8_B_L7*Otras_B)+(A8_C_L7*Otras_C)+(A8_D_L7*Otras_D)+(A8_Y_L7*Otras_Y))*Inflación_8</f>
        <v>0</v>
      </c>
      <c r="S34" s="101">
        <f>SUMIFS('9'!$E:$E,'9'!$A:$A,Año_Inicial+7,'9'!$B:$B,'12'!R$4,'9'!$D:$D,"Otras actividades")</f>
        <v>0</v>
      </c>
      <c r="T34" s="101">
        <f>((A8_A_L8*Otras_A)+(A8_B_L8*Otras_B)+(A8_C_L8*Otras_C)+(A8_D_L8*Otras_D)+(A8_Y_L8*Otras_Y))*Inflación_8</f>
        <v>0</v>
      </c>
      <c r="U34" s="101">
        <f>SUMIFS('9'!$E:$E,'9'!$A:$A,Año_Inicial+7,'9'!$B:$B,'12'!T$4,'9'!$D:$D,"Otras actividades")</f>
        <v>0</v>
      </c>
      <c r="V34" s="101">
        <f>((A8_A_L9*Otras_A)+(A8_B_L9*Otras_B)+(A8_C_L9*Otras_C)+(A8_D_L9*Otras_D)+(A8_Y_L9*Otras_Y))*Inflación_8</f>
        <v>0</v>
      </c>
      <c r="W34" s="101">
        <f>SUMIFS('9'!$E:$E,'9'!$A:$A,Año_Inicial+7,'9'!$B:$B,'12'!V$4,'9'!$D:$D,"Otras actividades")</f>
        <v>0</v>
      </c>
      <c r="X34" s="101">
        <f>((A8_A_L10*Otras_A)+(A8_B_L10*Otras_B)+(A8_C_L10*Otras_C)+(A8_D_L10*Otras_D)+(A8_Y_L10*Otras_Y))*Inflación_8</f>
        <v>0</v>
      </c>
      <c r="Y34" s="101">
        <f>SUMIFS('9'!$E:$E,'9'!$A:$A,Año_Inicial+7,'9'!$B:$B,'12'!X$4,'9'!$D:$D,"Otras actividades")</f>
        <v>0</v>
      </c>
      <c r="Z34" s="101">
        <f>((A8_A_L11*Otras_A)+(A8_B_L11*Otras_B)+(A8_C_L11*Otras_C)+(A8_D_L11*Otras_D)+(A8_Y_L11*Otras_Y))*Inflación_8</f>
        <v>0</v>
      </c>
      <c r="AA34" s="101">
        <f>SUMIFS('9'!$E:$E,'9'!$A:$A,Año_Inicial+7,'9'!$B:$B,'12'!Z$4,'9'!$D:$D,"Otras actividades")</f>
        <v>0</v>
      </c>
      <c r="AB34" s="101">
        <f>((A8_A_L12*Otras_A)+(A8_B_L12*Otras_B)+(A8_C_L12*Otras_C)+(A8_D_L12*Otras_D)+(A8_Y_L12*Otras_Y))*Inflación_8</f>
        <v>0</v>
      </c>
      <c r="AC34" s="101">
        <f>SUMIFS('9'!$E:$E,'9'!$A:$A,Año_Inicial+7,'9'!$B:$B,'12'!AB$4,'9'!$D:$D,"Otras actividades")</f>
        <v>0</v>
      </c>
      <c r="AD34" s="101">
        <f>((A8_A_L13*Otras_A)+(A8_B_L13*Otras_B)+(A8_C_L13*Otras_C)+(A8_D_L13*Otras_D)+(A8_Y_L13*Otras_Y))*Inflación_8</f>
        <v>0</v>
      </c>
      <c r="AE34" s="101">
        <f>SUMIFS('9'!$E:$E,'9'!$A:$A,Año_Inicial+7,'9'!$B:$B,'12'!AD$4,'9'!$D:$D,"Otras actividades")</f>
        <v>0</v>
      </c>
      <c r="AF34" s="101">
        <f>((A8_A_L14*Otras_A)+(A8_B_L14*Otras_B)+(A8_C_L14*Otras_C)+(A8_D_L14*Otras_D)+(A8_Y_L14*Otras_Y))*Inflación_8</f>
        <v>0</v>
      </c>
      <c r="AG34" s="101">
        <f>SUMIFS('9'!$E:$E,'9'!$A:$A,Año_Inicial+7,'9'!$B:$B,'12'!AF$4,'9'!$D:$D,"Otras actividades")</f>
        <v>0</v>
      </c>
      <c r="AH34" s="101">
        <f>((A8_A_L15*Otras_A)+(A8_B_L15*Otras_B)+(A8_C_L15*Otras_C)+(A8_D_L15*Otras_D)+(A8_Y_L15*Otras_Y))*Inflación_8</f>
        <v>0</v>
      </c>
      <c r="AI34" s="101">
        <f>SUMIFS('9'!$E:$E,'9'!$A:$A,Año_Inicial+7,'9'!$B:$B,'12'!AH$4,'9'!$D:$D,"Otras actividades")</f>
        <v>0</v>
      </c>
      <c r="AJ34" s="101">
        <f>((A8_A_L16*Otras_A)+(A8_B_L16*Otras_B)+(A8_C_L16*Otras_C)+(A8_D_L16*Otras_D)+(A8_Y_L16*Otras_Y))*Inflación_8</f>
        <v>0</v>
      </c>
      <c r="AK34" s="101">
        <f>SUMIFS('9'!$E:$E,'9'!$A:$A,Año_Inicial+7,'9'!$B:$B,'12'!AJ$4,'9'!$D:$D,"Otras actividades")</f>
        <v>0</v>
      </c>
      <c r="AL34" s="101">
        <f>((A8_A_L17*Otras_A)+(A8_B_L17*Otras_B)+(A8_C_L17*Otras_C)+(A8_D_L17*Otras_D)+(A8_Y_L17*Otras_Y))*Inflación_8</f>
        <v>0</v>
      </c>
      <c r="AM34" s="101">
        <f>SUMIFS('9'!$E:$E,'9'!$A:$A,Año_Inicial+7,'9'!$B:$B,'12'!AL$4,'9'!$D:$D,"Otras actividades")</f>
        <v>0</v>
      </c>
      <c r="AN34" s="101">
        <f>((A8_A_L18*Otras_A)+(A8_B_L18*Otras_B)+(A8_C_L18*Otras_C)+(A8_D_L18*Otras_D)+(A8_Y_L18*Otras_Y))*Inflación_8</f>
        <v>0</v>
      </c>
      <c r="AO34" s="101">
        <f>SUMIFS('9'!$E:$E,'9'!$A:$A,Año_Inicial+7,'9'!$B:$B,'12'!AN$4,'9'!$D:$D,"Otras actividades")</f>
        <v>0</v>
      </c>
      <c r="AP34" s="101">
        <f>((A8_A_L19*Otras_A)+(A8_B_L19*Otras_B)+(A8_C_L19*Otras_C)+(A8_D_L19*Otras_D)+(A8_Y_L19*Otras_Y))*Inflación_8</f>
        <v>0</v>
      </c>
      <c r="AQ34" s="101">
        <f>SUMIFS('9'!$E:$E,'9'!$A:$A,Año_Inicial+7,'9'!$B:$B,'12'!AP$4,'9'!$D:$D,"Otras actividades")</f>
        <v>0</v>
      </c>
      <c r="AR34" s="101">
        <f>((A8_A_L20*Otras_A)+(A8_B_L20*Otras_B)+(A8_C_L20*Otras_C)+(A8_D_L20*Otras_D)+(A8_Y_L20*Otras_Y))*Inflación_8</f>
        <v>0</v>
      </c>
      <c r="AS34" s="101">
        <f>SUMIFS('9'!$E:$E,'9'!$A:$A,Año_Inicial+7,'9'!$B:$B,'12'!AR$4,'9'!$D:$D,"Otras actividades")</f>
        <v>0</v>
      </c>
      <c r="AT34" s="101">
        <f>((A8_A_L21*Otras_A)+(A8_B_L21*Otras_B)+(A8_C_L21*Otras_C)+(A8_D_L21*Otras_D)+(A8_Y_L21*Otras_Y))*Inflación_8</f>
        <v>0</v>
      </c>
      <c r="AU34" s="101">
        <f>SUMIFS('9'!$E:$E,'9'!$A:$A,Año_Inicial+7,'9'!$B:$B,'12'!AT$4,'9'!$D:$D,"Otras actividades")</f>
        <v>0</v>
      </c>
      <c r="AV34" s="101">
        <f>((A8_A_L22*Otras_A)+(A8_B_L22*Otras_B)+(A8_C_L22*Otras_C)+(A8_D_L22*Otras_D)+(A8_Y_L22*Otras_Y))*Inflación_8</f>
        <v>0</v>
      </c>
      <c r="AW34" s="101">
        <f>SUMIFS('9'!$E:$E,'9'!$A:$A,Año_Inicial+7,'9'!$B:$B,'12'!AV$4,'9'!$D:$D,"Otras actividades")</f>
        <v>0</v>
      </c>
      <c r="AX34" s="101">
        <f>((A8_A_L23*Otras_A)+(A8_B_L23*Otras_B)+(A8_C_L23*Otras_C)+(A8_D_L23*Otras_D)+(A8_Y_L23*Otras_Y))*Inflación_8</f>
        <v>0</v>
      </c>
      <c r="AY34" s="101">
        <f>SUMIFS('9'!$E:$E,'9'!$A:$A,Año_Inicial+7,'9'!$B:$B,'12'!AX$4,'9'!$D:$D,"Otras actividades")</f>
        <v>0</v>
      </c>
      <c r="AZ34" s="101">
        <f>((A8_A_L24*Otras_A)+(A8_B_L24*Otras_B)+(A8_C_L24*Otras_C)+(A8_D_L24*Otras_D)+(A8_Y_L24*Otras_Y))*Inflación_8</f>
        <v>0</v>
      </c>
      <c r="BA34" s="101">
        <f>SUMIFS('9'!$E:$E,'9'!$A:$A,Año_Inicial+7,'9'!$B:$B,'12'!AZ$4,'9'!$D:$D,"Otras actividades")</f>
        <v>0</v>
      </c>
      <c r="BB34" s="101">
        <f>((A8_A_L25*Otras_A)+(A8_B_L25*Otras_B)+(A8_C_L25*Otras_C)+(A8_D_L25*Otras_D)+(A8_Y_L25*Otras_Y))*Inflación_8</f>
        <v>0</v>
      </c>
      <c r="BC34" s="101">
        <f>SUMIFS('9'!$E:$E,'9'!$A:$A,Año_Inicial+7,'9'!$B:$B,'12'!BB$4,'9'!$D:$D,"Otras actividades")</f>
        <v>0</v>
      </c>
      <c r="BD34" s="101">
        <f>((A8_A_L26*Otras_A)+(A8_B_L26*Otras_B)+(A8_C_L26*Otras_C)+(A8_D_L26*Otras_D)+(A8_Y_L26*Otras_Y))*Inflación_8</f>
        <v>0</v>
      </c>
      <c r="BE34" s="101">
        <f>SUMIFS('9'!$E:$E,'9'!$A:$A,Año_Inicial+7,'9'!$B:$B,'12'!BD$4,'9'!$D:$D,"Otras actividades")</f>
        <v>0</v>
      </c>
      <c r="BF34" s="101">
        <f>((A8_A_L27*Otras_A)+(A8_B_L27*Otras_B)+(A8_C_L27*Otras_C)+(A8_D_L27*Otras_D)+(A8_Y_L27*Otras_Y))*Inflación_8</f>
        <v>0</v>
      </c>
      <c r="BG34" s="101">
        <f>SUMIFS('9'!$E:$E,'9'!$A:$A,Año_Inicial+7,'9'!$B:$B,'12'!BF$4,'9'!$D:$D,"Otras actividades")</f>
        <v>0</v>
      </c>
      <c r="BH34" s="101">
        <f>((A8_A_L28*Otras_A)+(A8_B_L28*Otras_B)+(A8_C_L28*Otras_C)+(A8_D_L28*Otras_D)+(A8_Y_L28*Otras_Y))*Inflación_8</f>
        <v>0</v>
      </c>
      <c r="BI34" s="101">
        <f>SUMIFS('9'!$E:$E,'9'!$A:$A,Año_Inicial+7,'9'!$B:$B,'12'!BH$4,'9'!$D:$D,"Otras actividades")</f>
        <v>0</v>
      </c>
      <c r="BJ34" s="101">
        <f>((A8_A_L29*Otras_A)+(A8_B_L29*Otras_B)+(A8_C_L29*Otras_C)+(A8_D_L29*Otras_D)+(A8_Y_L29*Otras_Y))*Inflación_8</f>
        <v>0</v>
      </c>
      <c r="BK34" s="101">
        <f>SUMIFS('9'!$E:$E,'9'!$A:$A,Año_Inicial+7,'9'!$B:$B,'12'!BJ$4,'9'!$D:$D,"Otras actividades")</f>
        <v>0</v>
      </c>
      <c r="BL34" s="101">
        <f>((A8_A_L30*Otras_A)+(A8_B_L30*Otras_B)+(A8_C_L30*Otras_C)+(A8_D_L30*Otras_D)+(A8_Y_L30*Otras_Y))*Inflación_8</f>
        <v>0</v>
      </c>
      <c r="BM34" s="101">
        <f>SUMIFS('9'!$E:$E,'9'!$A:$A,Año_Inicial+7,'9'!$B:$B,'12'!BL$4,'9'!$D:$D,"Otras actividades")</f>
        <v>0</v>
      </c>
      <c r="BN34" s="101">
        <f>((A8_A_L31*Otras_A)+(A8_B_L31*Otras_B)+(A8_C_L31*Otras_C)+(A8_D_L31*Otras_D)+(A8_Y_L31*Otras_Y))*Inflación_8</f>
        <v>0</v>
      </c>
      <c r="BO34" s="101">
        <f>SUMIFS('9'!$E:$E,'9'!$A:$A,Año_Inicial+7,'9'!$B:$B,'12'!BN$4,'9'!$D:$D,"Otras actividades")</f>
        <v>0</v>
      </c>
      <c r="BP34" s="101">
        <f>((A8_A_L32*Otras_A)+(A8_B_L32*Otras_B)+(A8_C_L32*Otras_C)+(A8_D_L32*Otras_D)+(A8_Y_L32*Otras_Y))*Inflación_8</f>
        <v>0</v>
      </c>
      <c r="BQ34" s="101">
        <f>SUMIFS('9'!$E:$E,'9'!$A:$A,Año_Inicial+7,'9'!$B:$B,'12'!BP$4,'9'!$D:$D,"Otras actividades")</f>
        <v>0</v>
      </c>
      <c r="BR34" s="101">
        <f>((A8_A_L33*Otras_A)+(A8_B_L33*Otras_B)+(A8_C_L33*Otras_C)+(A8_D_L33*Otras_D)+(A8_Y_L33*Otras_Y))*Inflación_8</f>
        <v>0</v>
      </c>
      <c r="BS34" s="101">
        <f>SUMIFS('9'!$E:$E,'9'!$A:$A,Año_Inicial+7,'9'!$B:$B,'12'!BR$4,'9'!$D:$D,"Otras actividades")</f>
        <v>0</v>
      </c>
      <c r="BT34" s="101">
        <f>((A8_A_L34*Otras_A)+(A8_B_L34*Otras_B)+(A8_C_L34*Otras_C)+(A8_D_L34*Otras_D)+(A8_Y_L34*Otras_Y))*Inflación_8</f>
        <v>0</v>
      </c>
      <c r="BU34" s="101">
        <f>SUMIFS('9'!$E:$E,'9'!$A:$A,Año_Inicial+7,'9'!$B:$B,'12'!BT$4,'9'!$D:$D,"Otras actividades")</f>
        <v>0</v>
      </c>
      <c r="BV34" s="101">
        <f>((A8_A_L35*Otras_A)+(A8_B_L35*Otras_B)+(A8_C_L35*Otras_C)+(A8_D_L35*Otras_D)+(A8_Y_L35*Otras_Y))*Inflación_8</f>
        <v>0</v>
      </c>
      <c r="BW34" s="101">
        <f>SUMIFS('9'!$E:$E,'9'!$A:$A,Año_Inicial+7,'9'!$B:$B,'12'!BV$4,'9'!$D:$D,"Otras actividades")</f>
        <v>0</v>
      </c>
      <c r="BX34" s="101">
        <f>((A8_A_L36*Otras_A)+(A8_B_L36*Otras_B)+(A8_C_L36*Otras_C)+(A8_D_L36*Otras_D)+(A8_Y_L36*Otras_Y))*Inflación_8</f>
        <v>0</v>
      </c>
      <c r="BY34" s="101">
        <f>SUMIFS('9'!$E:$E,'9'!$A:$A,Año_Inicial+7,'9'!$B:$B,'12'!BX$4,'9'!$D:$D,"Otras actividades")</f>
        <v>0</v>
      </c>
      <c r="BZ34" s="101">
        <f>((A8_A_L37*Otras_A)+(A8_B_L37*Otras_B)+(A8_C_L37*Otras_C)+(A8_D_L37*Otras_D)+(A8_Y_L37*Otras_Y))*Inflación_8</f>
        <v>0</v>
      </c>
      <c r="CA34" s="101">
        <f>SUMIFS('9'!$E:$E,'9'!$A:$A,Año_Inicial+7,'9'!$B:$B,'12'!BZ$4,'9'!$D:$D,"Otras actividades")</f>
        <v>0</v>
      </c>
      <c r="CB34" s="101">
        <f>((A8_A_L38*Otras_A)+(A8_B_L38*Otras_B)+(A8_C_L38*Otras_C)+(A8_D_L38*Otras_D)+(A8_Y_L38*Otras_Y))*Inflación_8</f>
        <v>0</v>
      </c>
      <c r="CC34" s="101">
        <f>SUMIFS('9'!$E:$E,'9'!$A:$A,Año_Inicial+7,'9'!$B:$B,'12'!CB$4,'9'!$D:$D,"Otras actividades")</f>
        <v>0</v>
      </c>
      <c r="CD34" s="101">
        <f>((A8_A_L39*Otras_A)+(A8_B_L39*Otras_B)+(A8_C_L39*Otras_C)+(A8_D_L39*Otras_D)+(A8_Y_L39*Otras_Y))*Inflación_8</f>
        <v>0</v>
      </c>
      <c r="CE34" s="101">
        <f>SUMIFS('9'!$E:$E,'9'!$A:$A,Año_Inicial+7,'9'!$B:$B,'12'!CD$4,'9'!$D:$D,"Otras actividades")</f>
        <v>0</v>
      </c>
      <c r="CF34" s="101">
        <f>((A8_A_L40*Otras_A)+(A8_B_L40*Otras_B)+(A8_C_L40*Otras_C)+(A8_D_L40*Otras_D)+(A8_Y_L40*Otras_Y))*Inflación_8</f>
        <v>0</v>
      </c>
      <c r="CG34" s="101">
        <f>SUMIFS('9'!$E:$E,'9'!$A:$A,Año_Inicial+7,'9'!$B:$B,'12'!CF$4,'9'!$D:$D,"Otras actividades")</f>
        <v>0</v>
      </c>
      <c r="CH34" s="473"/>
      <c r="CI34" s="101">
        <f>Plantas_A_A8*Otras_A*Inflación_8</f>
        <v>0</v>
      </c>
      <c r="CJ34" s="101">
        <f>Plantas_B_A8*Otras_B</f>
        <v>0</v>
      </c>
      <c r="CK34" s="101">
        <f>Plantas_C_A8*Otras_C</f>
        <v>0</v>
      </c>
      <c r="CL34" s="101">
        <f>Plantas_D_A8*Otras_D</f>
        <v>0</v>
      </c>
      <c r="CM34" s="101"/>
      <c r="CN34" s="101">
        <f>Plantas_Y_A8*Otras_Y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SUMIFS('9'!$E:$E,'9'!$A:$A,Año_Inicial+7,'9'!$D:$D,"Coadyuvantes")</f>
        <v>0</v>
      </c>
      <c r="D35" s="100">
        <f t="shared" si="45"/>
        <v>0</v>
      </c>
      <c r="E35" s="473"/>
      <c r="F35" s="101">
        <f>((A8_A_L1*Coad_A)+(A8_B_L1*Coad_B)+(A8_C_L1*Coad_C)+(A8_D_L1*Coad_D)+(A8_Y_L1*Coad_Y))*Inflación_8</f>
        <v>0</v>
      </c>
      <c r="G35" s="101">
        <f>SUMIFS('9'!$E:$E,'9'!$A:$A,Año_Inicial+7,'9'!$B:$B,'12'!F$4,'9'!$D:$D,"Coadyuvantes")</f>
        <v>0</v>
      </c>
      <c r="H35" s="101">
        <f>((A8_A_L2*Coad_A)+(A8_B_L2*Coad_B)+(A8_C_L2*Coad_C)+(A8_D_L2*Coad_D)+(A8_Y_L2*Coad_Y))*Inflación_8</f>
        <v>0</v>
      </c>
      <c r="I35" s="101">
        <f>SUMIFS('9'!$E:$E,'9'!$A:$A,Año_Inicial+7,'9'!$B:$B,'12'!H$4,'9'!$D:$D,"Coadyuvantes")</f>
        <v>0</v>
      </c>
      <c r="J35" s="101">
        <f>((A8_A_L3*Coad_A)+(A8_B_L3*Coad_B)+(A8_C_L3*Coad_C)+(A8_D_L3*Coad_D)+(A8_Y_L3*Coad_Y))*Inflación_8</f>
        <v>0</v>
      </c>
      <c r="K35" s="101">
        <f>SUMIFS('9'!$E:$E,'9'!$A:$A,Año_Inicial+7,'9'!$B:$B,'12'!J$4,'9'!$D:$D,"Coadyuvantes")</f>
        <v>0</v>
      </c>
      <c r="L35" s="101">
        <f>((A8_A_L4*Coad_A)+(A8_B_L4*Coad_B)+(A8_C_L4*Coad_C)+(A8_D_L4*Coad_D)+(A8_Y_L4*Coad_Y))*Inflación_8</f>
        <v>0</v>
      </c>
      <c r="M35" s="101">
        <f>SUMIFS('9'!$E:$E,'9'!$A:$A,Año_Inicial+7,'9'!$B:$B,'12'!L$4,'9'!$D:$D,"Coadyuvantes")</f>
        <v>0</v>
      </c>
      <c r="N35" s="101">
        <f>((A8_A_L5*Coad_A)+(A8_B_L5*Coad_B)+(A8_C_L5*Coad_C)+(A8_D_L5*Coad_D)+(A8_Y_L5*Coad_Y))*Inflación_8</f>
        <v>0</v>
      </c>
      <c r="O35" s="101">
        <f>SUMIFS('9'!$E:$E,'9'!$A:$A,Año_Inicial+7,'9'!$B:$B,'12'!N$4,'9'!$D:$D,"Coadyuvantes")</f>
        <v>0</v>
      </c>
      <c r="P35" s="101">
        <f>((A8_A_L6*Coad_A)+(A8_B_L6*Coad_B)+(A8_C_L6*Coad_C)+(A8_D_L6*Coad_D)+(A8_Y_L6*Coad_Y))*Inflación_8</f>
        <v>0</v>
      </c>
      <c r="Q35" s="101">
        <f>SUMIFS('9'!$E:$E,'9'!$A:$A,Año_Inicial+7,'9'!$B:$B,'12'!P$4,'9'!$D:$D,"Coadyuvantes")</f>
        <v>0</v>
      </c>
      <c r="R35" s="101">
        <f>((A8_A_L7*Coad_A)+(A8_B_L7*Coad_B)+(A8_C_L7*Coad_C)+(A8_D_L7*Coad_D)+(A8_Y_L7*Coad_Y))*Inflación_8</f>
        <v>0</v>
      </c>
      <c r="S35" s="101">
        <f>SUMIFS('9'!$E:$E,'9'!$A:$A,Año_Inicial+7,'9'!$B:$B,'12'!R$4,'9'!$D:$D,"Coadyuvantes")</f>
        <v>0</v>
      </c>
      <c r="T35" s="101">
        <f>((A8_A_L8*Coad_A)+(A8_B_L8*Coad_B)+(A8_C_L8*Coad_C)+(A8_D_L8*Coad_D)+(A8_Y_L8*Coad_Y))*Inflación_8</f>
        <v>0</v>
      </c>
      <c r="U35" s="101">
        <f>SUMIFS('9'!$E:$E,'9'!$A:$A,Año_Inicial+7,'9'!$B:$B,'12'!T$4,'9'!$D:$D,"Coadyuvantes")</f>
        <v>0</v>
      </c>
      <c r="V35" s="101">
        <f>((A8_A_L9*Coad_A)+(A8_B_L9*Coad_B)+(A8_C_L9*Coad_C)+(A8_D_L9*Coad_D)+(A8_Y_L9*Coad_Y))*Inflación_8</f>
        <v>0</v>
      </c>
      <c r="W35" s="101">
        <f>SUMIFS('9'!$E:$E,'9'!$A:$A,Año_Inicial+7,'9'!$B:$B,'12'!V$4,'9'!$D:$D,"Coadyuvantes")</f>
        <v>0</v>
      </c>
      <c r="X35" s="101">
        <f>((A8_A_L10*Coad_A)+(A8_B_L10*Coad_B)+(A8_C_L10*Coad_C)+(A8_D_L10*Coad_D)+(A8_Y_L10*Coad_Y))*Inflación_8</f>
        <v>0</v>
      </c>
      <c r="Y35" s="101">
        <f>SUMIFS('9'!$E:$E,'9'!$A:$A,Año_Inicial+7,'9'!$B:$B,'12'!X$4,'9'!$D:$D,"Coadyuvantes")</f>
        <v>0</v>
      </c>
      <c r="Z35" s="101">
        <f>((A8_A_L11*Coad_A)+(A8_B_L11*Coad_B)+(A8_C_L11*Coad_C)+(A8_D_L11*Coad_D)+(A8_Y_L11*Coad_Y))*Inflación_8</f>
        <v>0</v>
      </c>
      <c r="AA35" s="101">
        <f>SUMIFS('9'!$E:$E,'9'!$A:$A,Año_Inicial+7,'9'!$B:$B,'12'!Z$4,'9'!$D:$D,"Coadyuvantes")</f>
        <v>0</v>
      </c>
      <c r="AB35" s="101">
        <f>((A8_A_L12*Coad_A)+(A8_B_L12*Coad_B)+(A8_C_L12*Coad_C)+(A8_D_L12*Coad_D)+(A8_Y_L12*Coad_Y))*Inflación_8</f>
        <v>0</v>
      </c>
      <c r="AC35" s="101">
        <f>SUMIFS('9'!$E:$E,'9'!$A:$A,Año_Inicial+7,'9'!$B:$B,'12'!AB$4,'9'!$D:$D,"Coadyuvantes")</f>
        <v>0</v>
      </c>
      <c r="AD35" s="101">
        <f>((A8_A_L13*Coad_A)+(A8_B_L13*Coad_B)+(A8_C_L13*Coad_C)+(A8_D_L13*Coad_D)+(A8_Y_L13*Coad_Y))*Inflación_8</f>
        <v>0</v>
      </c>
      <c r="AE35" s="101">
        <f>SUMIFS('9'!$E:$E,'9'!$A:$A,Año_Inicial+7,'9'!$B:$B,'12'!AD$4,'9'!$D:$D,"Coadyuvantes")</f>
        <v>0</v>
      </c>
      <c r="AF35" s="101">
        <f>((A8_A_L14*Coad_A)+(A8_B_L14*Coad_B)+(A8_C_L14*Coad_C)+(A8_D_L14*Coad_D)+(A8_Y_L14*Coad_Y))*Inflación_8</f>
        <v>0</v>
      </c>
      <c r="AG35" s="101">
        <f>SUMIFS('9'!$E:$E,'9'!$A:$A,Año_Inicial+7,'9'!$B:$B,'12'!AF$4,'9'!$D:$D,"Coadyuvantes")</f>
        <v>0</v>
      </c>
      <c r="AH35" s="101">
        <f>((A8_A_L15*Coad_A)+(A8_B_L15*Coad_B)+(A8_C_L15*Coad_C)+(A8_D_L15*Coad_D)+(A8_Y_L15*Coad_Y))*Inflación_8</f>
        <v>0</v>
      </c>
      <c r="AI35" s="101">
        <f>SUMIFS('9'!$E:$E,'9'!$A:$A,Año_Inicial+7,'9'!$B:$B,'12'!AH$4,'9'!$D:$D,"Coadyuvantes")</f>
        <v>0</v>
      </c>
      <c r="AJ35" s="101">
        <f>((A8_A_L16*Coad_A)+(A8_B_L16*Coad_B)+(A8_C_L16*Coad_C)+(A8_D_L16*Coad_D)+(A8_Y_L16*Coad_Y))*Inflación_8</f>
        <v>0</v>
      </c>
      <c r="AK35" s="101">
        <f>SUMIFS('9'!$E:$E,'9'!$A:$A,Año_Inicial+7,'9'!$B:$B,'12'!AJ$4,'9'!$D:$D,"Coadyuvantes")</f>
        <v>0</v>
      </c>
      <c r="AL35" s="101">
        <f>((A8_A_L17*Coad_A)+(A8_B_L17*Coad_B)+(A8_C_L17*Coad_C)+(A8_D_L17*Coad_D)+(A8_Y_L17*Coad_Y))*Inflación_8</f>
        <v>0</v>
      </c>
      <c r="AM35" s="101">
        <f>SUMIFS('9'!$E:$E,'9'!$A:$A,Año_Inicial+7,'9'!$B:$B,'12'!AL$4,'9'!$D:$D,"Coadyuvantes")</f>
        <v>0</v>
      </c>
      <c r="AN35" s="101">
        <f>((A8_A_L18*Coad_A)+(A8_B_L18*Coad_B)+(A8_C_L18*Coad_C)+(A8_D_L18*Coad_D)+(A8_Y_L18*Coad_Y))*Inflación_8</f>
        <v>0</v>
      </c>
      <c r="AO35" s="101">
        <f>SUMIFS('9'!$E:$E,'9'!$A:$A,Año_Inicial+7,'9'!$B:$B,'12'!AN$4,'9'!$D:$D,"Coadyuvantes")</f>
        <v>0</v>
      </c>
      <c r="AP35" s="101">
        <f>((A8_A_L19*Coad_A)+(A8_B_L19*Coad_B)+(A8_C_L19*Coad_C)+(A8_D_L19*Coad_D)+(A8_Y_L19*Coad_Y))*Inflación_8</f>
        <v>0</v>
      </c>
      <c r="AQ35" s="101">
        <f>SUMIFS('9'!$E:$E,'9'!$A:$A,Año_Inicial+7,'9'!$B:$B,'12'!AP$4,'9'!$D:$D,"Coadyuvantes")</f>
        <v>0</v>
      </c>
      <c r="AR35" s="101">
        <f>((A8_A_L20*Coad_A)+(A8_B_L20*Coad_B)+(A8_C_L20*Coad_C)+(A8_D_L20*Coad_D)+(A8_Y_L20*Coad_Y))*Inflación_8</f>
        <v>0</v>
      </c>
      <c r="AS35" s="101">
        <f>SUMIFS('9'!$E:$E,'9'!$A:$A,Año_Inicial+7,'9'!$B:$B,'12'!AR$4,'9'!$D:$D,"Coadyuvantes")</f>
        <v>0</v>
      </c>
      <c r="AT35" s="101">
        <f>((A8_A_L21*Coad_A)+(A8_B_L21*Coad_B)+(A8_C_L21*Coad_C)+(A8_D_L21*Coad_D)+(A8_Y_L21*Coad_Y))*Inflación_8</f>
        <v>0</v>
      </c>
      <c r="AU35" s="101">
        <f>SUMIFS('9'!$E:$E,'9'!$A:$A,Año_Inicial+7,'9'!$B:$B,'12'!AT$4,'9'!$D:$D,"Coadyuvantes")</f>
        <v>0</v>
      </c>
      <c r="AV35" s="101">
        <f>((A8_A_L22*Coad_A)+(A8_B_L22*Coad_B)+(A8_C_L22*Coad_C)+(A8_D_L22*Coad_D)+(A8_Y_L22*Coad_Y))*Inflación_8</f>
        <v>0</v>
      </c>
      <c r="AW35" s="101">
        <f>SUMIFS('9'!$E:$E,'9'!$A:$A,Año_Inicial+7,'9'!$B:$B,'12'!AV$4,'9'!$D:$D,"Coadyuvantes")</f>
        <v>0</v>
      </c>
      <c r="AX35" s="101">
        <f>((A8_A_L23*Coad_A)+(A8_B_L23*Coad_B)+(A8_C_L23*Coad_C)+(A8_D_L23*Coad_D)+(A8_Y_L23*Coad_Y))*Inflación_8</f>
        <v>0</v>
      </c>
      <c r="AY35" s="101">
        <f>SUMIFS('9'!$E:$E,'9'!$A:$A,Año_Inicial+7,'9'!$B:$B,'12'!AX$4,'9'!$D:$D,"Coadyuvantes")</f>
        <v>0</v>
      </c>
      <c r="AZ35" s="101">
        <f>((A8_A_L24*Coad_A)+(A8_B_L24*Coad_B)+(A8_C_L24*Coad_C)+(A8_D_L24*Coad_D)+(A8_Y_L24*Coad_Y))*Inflación_8</f>
        <v>0</v>
      </c>
      <c r="BA35" s="101">
        <f>SUMIFS('9'!$E:$E,'9'!$A:$A,Año_Inicial+7,'9'!$B:$B,'12'!AZ$4,'9'!$D:$D,"Coadyuvantes")</f>
        <v>0</v>
      </c>
      <c r="BB35" s="101">
        <f>((A8_A_L25*Coad_A)+(A8_B_L25*Coad_B)+(A8_C_L25*Coad_C)+(A8_D_L25*Coad_D)+(A8_Y_L25*Coad_Y))*Inflación_8</f>
        <v>0</v>
      </c>
      <c r="BC35" s="101">
        <f>SUMIFS('9'!$E:$E,'9'!$A:$A,Año_Inicial+7,'9'!$B:$B,'12'!BB$4,'9'!$D:$D,"Coadyuvantes")</f>
        <v>0</v>
      </c>
      <c r="BD35" s="101">
        <f>((A8_A_L26*Coad_A)+(A8_B_L26*Coad_B)+(A8_C_L26*Coad_C)+(A8_D_L26*Coad_D)+(A8_Y_L26*Coad_Y))*Inflación_8</f>
        <v>0</v>
      </c>
      <c r="BE35" s="101">
        <f>SUMIFS('9'!$E:$E,'9'!$A:$A,Año_Inicial+7,'9'!$B:$B,'12'!BD$4,'9'!$D:$D,"Coadyuvantes")</f>
        <v>0</v>
      </c>
      <c r="BF35" s="101">
        <f>((A8_A_L27*Coad_A)+(A8_B_L27*Coad_B)+(A8_C_L27*Coad_C)+(A8_D_L27*Coad_D)+(A8_Y_L27*Coad_Y))*Inflación_8</f>
        <v>0</v>
      </c>
      <c r="BG35" s="101">
        <f>SUMIFS('9'!$E:$E,'9'!$A:$A,Año_Inicial+7,'9'!$B:$B,'12'!BF$4,'9'!$D:$D,"Coadyuvantes")</f>
        <v>0</v>
      </c>
      <c r="BH35" s="101">
        <f>((A8_A_L28*Coad_A)+(A8_B_L28*Coad_B)+(A8_C_L28*Coad_C)+(A8_D_L28*Coad_D)+(A8_Y_L28*Coad_Y))*Inflación_8</f>
        <v>0</v>
      </c>
      <c r="BI35" s="101">
        <f>SUMIFS('9'!$E:$E,'9'!$A:$A,Año_Inicial+7,'9'!$B:$B,'12'!BH$4,'9'!$D:$D,"Coadyuvantes")</f>
        <v>0</v>
      </c>
      <c r="BJ35" s="101">
        <f>((A8_A_L29*Coad_A)+(A8_B_L29*Coad_B)+(A8_C_L29*Coad_C)+(A8_D_L29*Coad_D)+(A8_Y_L29*Coad_Y))*Inflación_8</f>
        <v>0</v>
      </c>
      <c r="BK35" s="101">
        <f>SUMIFS('9'!$E:$E,'9'!$A:$A,Año_Inicial+7,'9'!$B:$B,'12'!BJ$4,'9'!$D:$D,"Coadyuvantes")</f>
        <v>0</v>
      </c>
      <c r="BL35" s="101">
        <f>((A8_A_L30*Coad_A)+(A8_B_L30*Coad_B)+(A8_C_L30*Coad_C)+(A8_D_L30*Coad_D)+(A8_Y_L30*Coad_Y))*Inflación_8</f>
        <v>0</v>
      </c>
      <c r="BM35" s="101">
        <f>SUMIFS('9'!$E:$E,'9'!$A:$A,Año_Inicial+7,'9'!$B:$B,'12'!BL$4,'9'!$D:$D,"Coadyuvantes")</f>
        <v>0</v>
      </c>
      <c r="BN35" s="101">
        <f>((A8_A_L31*Coad_A)+(A8_B_L31*Coad_B)+(A8_C_L31*Coad_C)+(A8_D_L31*Coad_D)+(A8_Y_L31*Coad_Y))*Inflación_8</f>
        <v>0</v>
      </c>
      <c r="BO35" s="101">
        <f>SUMIFS('9'!$E:$E,'9'!$A:$A,Año_Inicial+7,'9'!$B:$B,'12'!BN$4,'9'!$D:$D,"Coadyuvantes")</f>
        <v>0</v>
      </c>
      <c r="BP35" s="101">
        <f>((A8_A_L32*Coad_A)+(A8_B_L32*Coad_B)+(A8_C_L32*Coad_C)+(A8_D_L32*Coad_D)+(A8_Y_L32*Coad_Y))*Inflación_8</f>
        <v>0</v>
      </c>
      <c r="BQ35" s="101">
        <f>SUMIFS('9'!$E:$E,'9'!$A:$A,Año_Inicial+7,'9'!$B:$B,'12'!BP$4,'9'!$D:$D,"Coadyuvantes")</f>
        <v>0</v>
      </c>
      <c r="BR35" s="101">
        <f>((A8_A_L33*Coad_A)+(A8_B_L33*Coad_B)+(A8_C_L33*Coad_C)+(A8_D_L33*Coad_D)+(A8_Y_L33*Coad_Y))*Inflación_8</f>
        <v>0</v>
      </c>
      <c r="BS35" s="101">
        <f>SUMIFS('9'!$E:$E,'9'!$A:$A,Año_Inicial+7,'9'!$B:$B,'12'!BR$4,'9'!$D:$D,"Coadyuvantes")</f>
        <v>0</v>
      </c>
      <c r="BT35" s="101">
        <f>((A8_A_L34*Coad_A)+(A8_B_L34*Coad_B)+(A8_C_L34*Coad_C)+(A8_D_L34*Coad_D)+(A8_Y_L34*Coad_Y))*Inflación_8</f>
        <v>0</v>
      </c>
      <c r="BU35" s="101">
        <f>SUMIFS('9'!$E:$E,'9'!$A:$A,Año_Inicial+7,'9'!$B:$B,'12'!BT$4,'9'!$D:$D,"Coadyuvantes")</f>
        <v>0</v>
      </c>
      <c r="BV35" s="101">
        <f>((A8_A_L35*Coad_A)+(A8_B_L35*Coad_B)+(A8_C_L35*Coad_C)+(A8_D_L35*Coad_D)+(A8_Y_L35*Coad_Y))*Inflación_8</f>
        <v>0</v>
      </c>
      <c r="BW35" s="101">
        <f>SUMIFS('9'!$E:$E,'9'!$A:$A,Año_Inicial+7,'9'!$B:$B,'12'!BV$4,'9'!$D:$D,"Coadyuvantes")</f>
        <v>0</v>
      </c>
      <c r="BX35" s="101">
        <f>((A8_A_L36*Coad_A)+(A8_B_L36*Coad_B)+(A8_C_L36*Coad_C)+(A8_D_L36*Coad_D)+(A8_Y_L36*Coad_Y))*Inflación_8</f>
        <v>0</v>
      </c>
      <c r="BY35" s="101">
        <f>SUMIFS('9'!$E:$E,'9'!$A:$A,Año_Inicial+7,'9'!$B:$B,'12'!BX$4,'9'!$D:$D,"Coadyuvantes")</f>
        <v>0</v>
      </c>
      <c r="BZ35" s="101">
        <f>((A8_A_L37*Coad_A)+(A8_B_L37*Coad_B)+(A8_C_L37*Coad_C)+(A8_D_L37*Coad_D)+(A8_Y_L37*Coad_Y))*Inflación_8</f>
        <v>0</v>
      </c>
      <c r="CA35" s="101">
        <f>SUMIFS('9'!$E:$E,'9'!$A:$A,Año_Inicial+7,'9'!$B:$B,'12'!BZ$4,'9'!$D:$D,"Coadyuvantes")</f>
        <v>0</v>
      </c>
      <c r="CB35" s="101">
        <f>((A8_A_L38*Coad_A)+(A8_B_L38*Coad_B)+(A8_C_L38*Coad_C)+(A8_D_L38*Coad_D)+(A8_Y_L38*Coad_Y))*Inflación_8</f>
        <v>0</v>
      </c>
      <c r="CC35" s="101">
        <f>SUMIFS('9'!$E:$E,'9'!$A:$A,Año_Inicial+7,'9'!$B:$B,'12'!CB$4,'9'!$D:$D,"Coadyuvantes")</f>
        <v>0</v>
      </c>
      <c r="CD35" s="101">
        <f>((A8_A_L39*Coad_A)+(A8_B_L39*Coad_B)+(A8_C_L39*Coad_C)+(A8_D_L39*Coad_D)+(A8_Y_L39*Coad_Y))*Inflación_8</f>
        <v>0</v>
      </c>
      <c r="CE35" s="101">
        <f>SUMIFS('9'!$E:$E,'9'!$A:$A,Año_Inicial+7,'9'!$B:$B,'12'!CD$4,'9'!$D:$D,"Coadyuvantes")</f>
        <v>0</v>
      </c>
      <c r="CF35" s="101">
        <f>((A8_A_L40*Coad_A)+(A8_B_L40*Coad_B)+(A8_C_L40*Coad_C)+(A8_D_L40*Coad_D)+(A8_Y_L40*Coad_Y))*Inflación_8</f>
        <v>0</v>
      </c>
      <c r="CG35" s="101">
        <f>SUMIFS('9'!$E:$E,'9'!$A:$A,Año_Inicial+7,'9'!$B:$B,'12'!CF$4,'9'!$D:$D,"Coadyuvantes")</f>
        <v>0</v>
      </c>
      <c r="CH35" s="473"/>
      <c r="CI35" s="101">
        <f>Plantas_A_A8*Coad_A*Inflación_8</f>
        <v>0</v>
      </c>
      <c r="CJ35" s="101">
        <f>Plantas_B_A8*Coad_B</f>
        <v>0</v>
      </c>
      <c r="CK35" s="101">
        <f>Plantas_C_A8*Coad_C</f>
        <v>0</v>
      </c>
      <c r="CL35" s="101">
        <f>Plantas_D_A8*Coad_D</f>
        <v>0</v>
      </c>
      <c r="CM35" s="101"/>
      <c r="CN35" s="101">
        <f>Plantas_Y_A8*Coad_Y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SUMIFS('9'!$E:$E,'9'!$A:$A,Año_Inicial+7,'9'!$D:$D,"Otro insumo 1*")</f>
        <v>0</v>
      </c>
      <c r="D36" s="100">
        <f t="shared" si="45"/>
        <v>0</v>
      </c>
      <c r="E36" s="473"/>
      <c r="F36" s="101">
        <f>((A8_A_L1*Otro1_A)+(A8_B_L1*Otro1_B)+(A8_C_L1*Otro1_C)+(A8_D_L1*Otro1_D)+(A8_Y_L1*Otro1_Y))*Inflación_8</f>
        <v>0</v>
      </c>
      <c r="G36" s="101">
        <f>SUMIFS('9'!$E:$E,'9'!$A:$A,Año_Inicial+7,'9'!$B:$B,'12'!F$4,'9'!$D:$D,"Otro insumo 1*")</f>
        <v>0</v>
      </c>
      <c r="H36" s="101">
        <f>((A8_A_L2*Otro1_A)+(A8_B_L2*Otro1_B)+(A8_C_L2*Otro1_C)+(A8_D_L2*Otro1_D)+(A8_Y_L2*Otro1_Y))*Inflación_8</f>
        <v>0</v>
      </c>
      <c r="I36" s="101">
        <f>SUMIFS('9'!$E:$E,'9'!$A:$A,Año_Inicial+7,'9'!$B:$B,'12'!H$4,'9'!$D:$D,"Otro insumo 1*")</f>
        <v>0</v>
      </c>
      <c r="J36" s="101">
        <f>((A8_A_L3*Otro1_A)+(A8_B_L3*Otro1_B)+(A8_C_L3*Otro1_C)+(A8_D_L3*Otro1_D)+(A8_Y_L3*Otro1_Y))*Inflación_8</f>
        <v>0</v>
      </c>
      <c r="K36" s="101">
        <f>SUMIFS('9'!$E:$E,'9'!$A:$A,Año_Inicial+7,'9'!$B:$B,'12'!J$4,'9'!$D:$D,"Otro insumo 1*")</f>
        <v>0</v>
      </c>
      <c r="L36" s="101">
        <f>((A8_A_L4*Otro1_A)+(A8_B_L4*Otro1_B)+(A8_C_L4*Otro1_C)+(A8_D_L4*Otro1_D)+(A8_Y_L4*Otro1_Y))*Inflación_8</f>
        <v>0</v>
      </c>
      <c r="M36" s="101">
        <f>SUMIFS('9'!$E:$E,'9'!$A:$A,Año_Inicial+7,'9'!$B:$B,'12'!L$4,'9'!$D:$D,"Otro insumo 1*")</f>
        <v>0</v>
      </c>
      <c r="N36" s="101">
        <f>((A8_A_L5*Otro1_A)+(A8_B_L5*Otro1_B)+(A8_C_L5*Otro1_C)+(A8_D_L5*Otro1_D)+(A8_Y_L5*Otro1_Y))*Inflación_8</f>
        <v>0</v>
      </c>
      <c r="O36" s="101">
        <f>SUMIFS('9'!$E:$E,'9'!$A:$A,Año_Inicial+7,'9'!$B:$B,'12'!N$4,'9'!$D:$D,"Otro insumo 1*")</f>
        <v>0</v>
      </c>
      <c r="P36" s="101">
        <f>((A8_A_L6*Otro1_A)+(A8_B_L6*Otro1_B)+(A8_C_L6*Otro1_C)+(A8_D_L6*Otro1_D)+(A8_Y_L6*Otro1_Y))*Inflación_8</f>
        <v>0</v>
      </c>
      <c r="Q36" s="101">
        <f>SUMIFS('9'!$E:$E,'9'!$A:$A,Año_Inicial+7,'9'!$B:$B,'12'!P$4,'9'!$D:$D,"Otro insumo 1*")</f>
        <v>0</v>
      </c>
      <c r="R36" s="101">
        <f>((A8_A_L7*Otro1_A)+(A8_B_L7*Otro1_B)+(A8_C_L7*Otro1_C)+(A8_D_L7*Otro1_D)+(A8_Y_L7*Otro1_Y))*Inflación_8</f>
        <v>0</v>
      </c>
      <c r="S36" s="101">
        <f>SUMIFS('9'!$E:$E,'9'!$A:$A,Año_Inicial+7,'9'!$B:$B,'12'!R$4,'9'!$D:$D,"Otro insumo 1*")</f>
        <v>0</v>
      </c>
      <c r="T36" s="101">
        <f>((A8_A_L8*Otro1_A)+(A8_B_L8*Otro1_B)+(A8_C_L8*Otro1_C)+(A8_D_L8*Otro1_D)+(A8_Y_L8*Otro1_Y))*Inflación_8</f>
        <v>0</v>
      </c>
      <c r="U36" s="101">
        <f>SUMIFS('9'!$E:$E,'9'!$A:$A,Año_Inicial+7,'9'!$B:$B,'12'!T$4,'9'!$D:$D,"Otro insumo 1*")</f>
        <v>0</v>
      </c>
      <c r="V36" s="101">
        <f>((A8_A_L9*Otro1_A)+(A8_B_L9*Otro1_B)+(A8_C_L9*Otro1_C)+(A8_D_L9*Otro1_D)+(A8_Y_L9*Otro1_Y))*Inflación_8</f>
        <v>0</v>
      </c>
      <c r="W36" s="101">
        <f>SUMIFS('9'!$E:$E,'9'!$A:$A,Año_Inicial+7,'9'!$B:$B,'12'!V$4,'9'!$D:$D,"Otro insumo 1*")</f>
        <v>0</v>
      </c>
      <c r="X36" s="101">
        <f>((A8_A_L10*Otro1_A)+(A8_B_L10*Otro1_B)+(A8_C_L10*Otro1_C)+(A8_D_L10*Otro1_D)+(A8_Y_L10*Otro1_Y))*Inflación_8</f>
        <v>0</v>
      </c>
      <c r="Y36" s="101">
        <f>SUMIFS('9'!$E:$E,'9'!$A:$A,Año_Inicial+7,'9'!$B:$B,'12'!X$4,'9'!$D:$D,"Otro insumo 1*")</f>
        <v>0</v>
      </c>
      <c r="Z36" s="101">
        <f>((A8_A_L11*Otro1_A)+(A8_B_L11*Otro1_B)+(A8_C_L11*Otro1_C)+(A8_D_L11*Otro1_D)+(A8_Y_L11*Otro1_Y))*Inflación_8</f>
        <v>0</v>
      </c>
      <c r="AA36" s="101">
        <f>SUMIFS('9'!$E:$E,'9'!$A:$A,Año_Inicial+7,'9'!$B:$B,'12'!Z$4,'9'!$D:$D,"Otro insumo 1*")</f>
        <v>0</v>
      </c>
      <c r="AB36" s="101">
        <f>((A8_A_L12*Otro1_A)+(A8_B_L12*Otro1_B)+(A8_C_L12*Otro1_C)+(A8_D_L12*Otro1_D)+(A8_Y_L12*Otro1_Y))*Inflación_8</f>
        <v>0</v>
      </c>
      <c r="AC36" s="101">
        <f>SUMIFS('9'!$E:$E,'9'!$A:$A,Año_Inicial+7,'9'!$B:$B,'12'!AB$4,'9'!$D:$D,"Otro insumo 1*")</f>
        <v>0</v>
      </c>
      <c r="AD36" s="101">
        <f>((A8_A_L13*Otro1_A)+(A8_B_L13*Otro1_B)+(A8_C_L13*Otro1_C)+(A8_D_L13*Otro1_D)+(A8_Y_L13*Otro1_Y))*Inflación_8</f>
        <v>0</v>
      </c>
      <c r="AE36" s="101">
        <f>SUMIFS('9'!$E:$E,'9'!$A:$A,Año_Inicial+7,'9'!$B:$B,'12'!AD$4,'9'!$D:$D,"Otro insumo 1*")</f>
        <v>0</v>
      </c>
      <c r="AF36" s="101">
        <f>((A8_A_L14*Otro1_A)+(A8_B_L14*Otro1_B)+(A8_C_L14*Otro1_C)+(A8_D_L14*Otro1_D)+(A8_Y_L14*Otro1_Y))*Inflación_8</f>
        <v>0</v>
      </c>
      <c r="AG36" s="101">
        <f>SUMIFS('9'!$E:$E,'9'!$A:$A,Año_Inicial+7,'9'!$B:$B,'12'!AF$4,'9'!$D:$D,"Otro insumo 1*")</f>
        <v>0</v>
      </c>
      <c r="AH36" s="101">
        <f>((A8_A_L15*Otro1_A)+(A8_B_L15*Otro1_B)+(A8_C_L15*Otro1_C)+(A8_D_L15*Otro1_D)+(A8_Y_L15*Otro1_Y))*Inflación_8</f>
        <v>0</v>
      </c>
      <c r="AI36" s="101">
        <f>SUMIFS('9'!$E:$E,'9'!$A:$A,Año_Inicial+7,'9'!$B:$B,'12'!AH$4,'9'!$D:$D,"Otro insumo 1*")</f>
        <v>0</v>
      </c>
      <c r="AJ36" s="101">
        <f>((A8_A_L16*Otro1_A)+(A8_B_L16*Otro1_B)+(A8_C_L16*Otro1_C)+(A8_D_L16*Otro1_D)+(A8_Y_L16*Otro1_Y))*Inflación_8</f>
        <v>0</v>
      </c>
      <c r="AK36" s="101">
        <f>SUMIFS('9'!$E:$E,'9'!$A:$A,Año_Inicial+7,'9'!$B:$B,'12'!AJ$4,'9'!$D:$D,"Otro insumo 1*")</f>
        <v>0</v>
      </c>
      <c r="AL36" s="101">
        <f>((A8_A_L17*Otro1_A)+(A8_B_L17*Otro1_B)+(A8_C_L17*Otro1_C)+(A8_D_L17*Otro1_D)+(A8_Y_L17*Otro1_Y))*Inflación_8</f>
        <v>0</v>
      </c>
      <c r="AM36" s="101">
        <f>SUMIFS('9'!$E:$E,'9'!$A:$A,Año_Inicial+7,'9'!$B:$B,'12'!AL$4,'9'!$D:$D,"Otro insumo 1*")</f>
        <v>0</v>
      </c>
      <c r="AN36" s="101">
        <f>((A8_A_L18*Otro1_A)+(A8_B_L18*Otro1_B)+(A8_C_L18*Otro1_C)+(A8_D_L18*Otro1_D)+(A8_Y_L18*Otro1_Y))*Inflación_8</f>
        <v>0</v>
      </c>
      <c r="AO36" s="101">
        <f>SUMIFS('9'!$E:$E,'9'!$A:$A,Año_Inicial+7,'9'!$B:$B,'12'!AN$4,'9'!$D:$D,"Otro insumo 1*")</f>
        <v>0</v>
      </c>
      <c r="AP36" s="101">
        <f>((A8_A_L19*Otro1_A)+(A8_B_L19*Otro1_B)+(A8_C_L19*Otro1_C)+(A8_D_L19*Otro1_D)+(A8_Y_L19*Otro1_Y))*Inflación_8</f>
        <v>0</v>
      </c>
      <c r="AQ36" s="101">
        <f>SUMIFS('9'!$E:$E,'9'!$A:$A,Año_Inicial+7,'9'!$B:$B,'12'!AP$4,'9'!$D:$D,"Otro insumo 1*")</f>
        <v>0</v>
      </c>
      <c r="AR36" s="101">
        <f>((A8_A_L20*Otro1_A)+(A8_B_L20*Otro1_B)+(A8_C_L20*Otro1_C)+(A8_D_L20*Otro1_D)+(A8_Y_L20*Otro1_Y))*Inflación_8</f>
        <v>0</v>
      </c>
      <c r="AS36" s="101">
        <f>SUMIFS('9'!$E:$E,'9'!$A:$A,Año_Inicial+7,'9'!$B:$B,'12'!AR$4,'9'!$D:$D,"Otro insumo 1*")</f>
        <v>0</v>
      </c>
      <c r="AT36" s="101">
        <f>((A8_A_L21*Otro1_A)+(A8_B_L21*Otro1_B)+(A8_C_L21*Otro1_C)+(A8_D_L21*Otro1_D)+(A8_Y_L21*Otro1_Y))*Inflación_8</f>
        <v>0</v>
      </c>
      <c r="AU36" s="101">
        <f>SUMIFS('9'!$E:$E,'9'!$A:$A,Año_Inicial+7,'9'!$B:$B,'12'!AT$4,'9'!$D:$D,"Otro insumo 1*")</f>
        <v>0</v>
      </c>
      <c r="AV36" s="101">
        <f>((A8_A_L22*Otro1_A)+(A8_B_L22*Otro1_B)+(A8_C_L22*Otro1_C)+(A8_D_L22*Otro1_D)+(A8_Y_L22*Otro1_Y))*Inflación_8</f>
        <v>0</v>
      </c>
      <c r="AW36" s="101">
        <f>SUMIFS('9'!$E:$E,'9'!$A:$A,Año_Inicial+7,'9'!$B:$B,'12'!AV$4,'9'!$D:$D,"Otro insumo 1*")</f>
        <v>0</v>
      </c>
      <c r="AX36" s="101">
        <f>((A8_A_L23*Otro1_A)+(A8_B_L23*Otro1_B)+(A8_C_L23*Otro1_C)+(A8_D_L23*Otro1_D)+(A8_Y_L23*Otro1_Y))*Inflación_8</f>
        <v>0</v>
      </c>
      <c r="AY36" s="101">
        <f>SUMIFS('9'!$E:$E,'9'!$A:$A,Año_Inicial+7,'9'!$B:$B,'12'!AX$4,'9'!$D:$D,"Otro insumo 1*")</f>
        <v>0</v>
      </c>
      <c r="AZ36" s="101">
        <f>((A8_A_L24*Otro1_A)+(A8_B_L24*Otro1_B)+(A8_C_L24*Otro1_C)+(A8_D_L24*Otro1_D)+(A8_Y_L24*Otro1_Y))*Inflación_8</f>
        <v>0</v>
      </c>
      <c r="BA36" s="101">
        <f>SUMIFS('9'!$E:$E,'9'!$A:$A,Año_Inicial+7,'9'!$B:$B,'12'!AZ$4,'9'!$D:$D,"Otro insumo 1*")</f>
        <v>0</v>
      </c>
      <c r="BB36" s="101">
        <f>((A8_A_L25*Otro1_A)+(A8_B_L25*Otro1_B)+(A8_C_L25*Otro1_C)+(A8_D_L25*Otro1_D)+(A8_Y_L25*Otro1_Y))*Inflación_8</f>
        <v>0</v>
      </c>
      <c r="BC36" s="101">
        <f>SUMIFS('9'!$E:$E,'9'!$A:$A,Año_Inicial+7,'9'!$B:$B,'12'!BB$4,'9'!$D:$D,"Otro insumo 1*")</f>
        <v>0</v>
      </c>
      <c r="BD36" s="101">
        <f>((A8_A_L26*Otro1_A)+(A8_B_L26*Otro1_B)+(A8_C_L26*Otro1_C)+(A8_D_L26*Otro1_D)+(A8_Y_L26*Otro1_Y))*Inflación_8</f>
        <v>0</v>
      </c>
      <c r="BE36" s="101">
        <f>SUMIFS('9'!$E:$E,'9'!$A:$A,Año_Inicial+7,'9'!$B:$B,'12'!BD$4,'9'!$D:$D,"Otro insumo 1*")</f>
        <v>0</v>
      </c>
      <c r="BF36" s="101">
        <f>((A8_A_L27*Otro1_A)+(A8_B_L27*Otro1_B)+(A8_C_L27*Otro1_C)+(A8_D_L27*Otro1_D)+(A8_Y_L27*Otro1_Y))*Inflación_8</f>
        <v>0</v>
      </c>
      <c r="BG36" s="101">
        <f>SUMIFS('9'!$E:$E,'9'!$A:$A,Año_Inicial+7,'9'!$B:$B,'12'!BF$4,'9'!$D:$D,"Otro insumo 1*")</f>
        <v>0</v>
      </c>
      <c r="BH36" s="101">
        <f>((A8_A_L28*Otro1_A)+(A8_B_L28*Otro1_B)+(A8_C_L28*Otro1_C)+(A8_D_L28*Otro1_D)+(A8_Y_L28*Otro1_Y))*Inflación_8</f>
        <v>0</v>
      </c>
      <c r="BI36" s="101">
        <f>SUMIFS('9'!$E:$E,'9'!$A:$A,Año_Inicial+7,'9'!$B:$B,'12'!BH$4,'9'!$D:$D,"Otro insumo 1*")</f>
        <v>0</v>
      </c>
      <c r="BJ36" s="101">
        <f>((A8_A_L29*Otro1_A)+(A8_B_L29*Otro1_B)+(A8_C_L29*Otro1_C)+(A8_D_L29*Otro1_D)+(A8_Y_L29*Otro1_Y))*Inflación_8</f>
        <v>0</v>
      </c>
      <c r="BK36" s="101">
        <f>SUMIFS('9'!$E:$E,'9'!$A:$A,Año_Inicial+7,'9'!$B:$B,'12'!BJ$4,'9'!$D:$D,"Otro insumo 1*")</f>
        <v>0</v>
      </c>
      <c r="BL36" s="101">
        <f>((A8_A_L30*Otro1_A)+(A8_B_L30*Otro1_B)+(A8_C_L30*Otro1_C)+(A8_D_L30*Otro1_D)+(A8_Y_L30*Otro1_Y))*Inflación_8</f>
        <v>0</v>
      </c>
      <c r="BM36" s="101">
        <f>SUMIFS('9'!$E:$E,'9'!$A:$A,Año_Inicial+7,'9'!$B:$B,'12'!BL$4,'9'!$D:$D,"Otro insumo 1*")</f>
        <v>0</v>
      </c>
      <c r="BN36" s="101">
        <f>((A8_A_L31*Otro1_A)+(A8_B_L31*Otro1_B)+(A8_C_L31*Otro1_C)+(A8_D_L31*Otro1_D)+(A8_Y_L31*Otro1_Y))*Inflación_8</f>
        <v>0</v>
      </c>
      <c r="BO36" s="101">
        <f>SUMIFS('9'!$E:$E,'9'!$A:$A,Año_Inicial+7,'9'!$B:$B,'12'!BN$4,'9'!$D:$D,"Otro insumo 1*")</f>
        <v>0</v>
      </c>
      <c r="BP36" s="101">
        <f>((A8_A_L32*Otro1_A)+(A8_B_L32*Otro1_B)+(A8_C_L32*Otro1_C)+(A8_D_L32*Otro1_D)+(A8_Y_L32*Otro1_Y))*Inflación_8</f>
        <v>0</v>
      </c>
      <c r="BQ36" s="101">
        <f>SUMIFS('9'!$E:$E,'9'!$A:$A,Año_Inicial+7,'9'!$B:$B,'12'!BP$4,'9'!$D:$D,"Otro insumo 1*")</f>
        <v>0</v>
      </c>
      <c r="BR36" s="101">
        <f>((A8_A_L33*Otro1_A)+(A8_B_L33*Otro1_B)+(A8_C_L33*Otro1_C)+(A8_D_L33*Otro1_D)+(A8_Y_L33*Otro1_Y))*Inflación_8</f>
        <v>0</v>
      </c>
      <c r="BS36" s="101">
        <f>SUMIFS('9'!$E:$E,'9'!$A:$A,Año_Inicial+7,'9'!$B:$B,'12'!BR$4,'9'!$D:$D,"Otro insumo 1*")</f>
        <v>0</v>
      </c>
      <c r="BT36" s="101">
        <f>((A8_A_L34*Otro1_A)+(A8_B_L34*Otro1_B)+(A8_C_L34*Otro1_C)+(A8_D_L34*Otro1_D)+(A8_Y_L34*Otro1_Y))*Inflación_8</f>
        <v>0</v>
      </c>
      <c r="BU36" s="101">
        <f>SUMIFS('9'!$E:$E,'9'!$A:$A,Año_Inicial+7,'9'!$B:$B,'12'!BT$4,'9'!$D:$D,"Otro insumo 1*")</f>
        <v>0</v>
      </c>
      <c r="BV36" s="101">
        <f>((A8_A_L35*Otro1_A)+(A8_B_L35*Otro1_B)+(A8_C_L35*Otro1_C)+(A8_D_L35*Otro1_D)+(A8_Y_L35*Otro1_Y))*Inflación_8</f>
        <v>0</v>
      </c>
      <c r="BW36" s="101">
        <f>SUMIFS('9'!$E:$E,'9'!$A:$A,Año_Inicial+7,'9'!$B:$B,'12'!BV$4,'9'!$D:$D,"Otro insumo 1*")</f>
        <v>0</v>
      </c>
      <c r="BX36" s="101">
        <f>((A8_A_L36*Otro1_A)+(A8_B_L36*Otro1_B)+(A8_C_L36*Otro1_C)+(A8_D_L36*Otro1_D)+(A8_Y_L36*Otro1_Y))*Inflación_8</f>
        <v>0</v>
      </c>
      <c r="BY36" s="101">
        <f>SUMIFS('9'!$E:$E,'9'!$A:$A,Año_Inicial+7,'9'!$B:$B,'12'!BX$4,'9'!$D:$D,"Otro insumo 1*")</f>
        <v>0</v>
      </c>
      <c r="BZ36" s="101">
        <f>((A8_A_L37*Otro1_A)+(A8_B_L37*Otro1_B)+(A8_C_L37*Otro1_C)+(A8_D_L37*Otro1_D)+(A8_Y_L37*Otro1_Y))*Inflación_8</f>
        <v>0</v>
      </c>
      <c r="CA36" s="101">
        <f>SUMIFS('9'!$E:$E,'9'!$A:$A,Año_Inicial+7,'9'!$B:$B,'12'!BZ$4,'9'!$D:$D,"Otro insumo 1*")</f>
        <v>0</v>
      </c>
      <c r="CB36" s="101">
        <f>((A8_A_L38*Otro1_A)+(A8_B_L38*Otro1_B)+(A8_C_L38*Otro1_C)+(A8_D_L38*Otro1_D)+(A8_Y_L38*Otro1_Y))*Inflación_8</f>
        <v>0</v>
      </c>
      <c r="CC36" s="101">
        <f>SUMIFS('9'!$E:$E,'9'!$A:$A,Año_Inicial+7,'9'!$B:$B,'12'!CB$4,'9'!$D:$D,"Otro insumo 1*")</f>
        <v>0</v>
      </c>
      <c r="CD36" s="101">
        <f>((A8_A_L39*Otro1_A)+(A8_B_L39*Otro1_B)+(A8_C_L39*Otro1_C)+(A8_D_L39*Otro1_D)+(A8_Y_L39*Otro1_Y))*Inflación_8</f>
        <v>0</v>
      </c>
      <c r="CE36" s="101">
        <f>SUMIFS('9'!$E:$E,'9'!$A:$A,Año_Inicial+7,'9'!$B:$B,'12'!CD$4,'9'!$D:$D,"Otro insumo 1*")</f>
        <v>0</v>
      </c>
      <c r="CF36" s="101">
        <f>((A8_A_L40*Otro1_A)+(A8_B_L40*Otro1_B)+(A8_C_L40*Otro1_C)+(A8_D_L40*Otro1_D)+(A8_Y_L40*Otro1_Y))*Inflación_8</f>
        <v>0</v>
      </c>
      <c r="CG36" s="101">
        <f>SUMIFS('9'!$E:$E,'9'!$A:$A,Año_Inicial+7,'9'!$B:$B,'12'!CF$4,'9'!$D:$D,"Otro insumo 1*")</f>
        <v>0</v>
      </c>
      <c r="CH36" s="473"/>
      <c r="CI36" s="101">
        <f>Plantas_A_A8*Otro1_A*Inflación_8</f>
        <v>0</v>
      </c>
      <c r="CJ36" s="101">
        <f>Plantas_B_A8*Otro1_B</f>
        <v>0</v>
      </c>
      <c r="CK36" s="101">
        <f>Plantas_C_A8*Otro1_C</f>
        <v>0</v>
      </c>
      <c r="CL36" s="101">
        <f>Plantas_D_A8*Otro1_D</f>
        <v>0</v>
      </c>
      <c r="CM36" s="101"/>
      <c r="CN36" s="101">
        <f>Plantas_Y_A8*Otro1_Y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SUMIFS('9'!$E:$E,'9'!$A:$A,Año_Inicial+7,'9'!$D:$D,"Otro insumo 2*")</f>
        <v>0</v>
      </c>
      <c r="D37" s="100">
        <f t="shared" si="45"/>
        <v>0</v>
      </c>
      <c r="E37" s="473"/>
      <c r="F37" s="101">
        <f>((A8_A_L1*Otro2_A)+(A8_B_L1*Otro2_B)+(A8_C_L1*Otro2_C)+(A8_D_L1*Otro2_D)+(A8_Y_L1*Otro2_Y))*Inflación_8</f>
        <v>0</v>
      </c>
      <c r="G37" s="101">
        <f>SUMIFS('9'!$E:$E,'9'!$A:$A,Año_Inicial+7,'9'!$B:$B,'12'!F$4,'9'!$D:$D,"Otro insumo 2*")</f>
        <v>0</v>
      </c>
      <c r="H37" s="101">
        <f>((A8_A_L2*Otro2_A)+(A8_B_L2*Otro2_B)+(A8_C_L2*Otro2_C)+(A8_D_L2*Otro2_D)+(A8_Y_L2*Otro2_Y))*Inflación_8</f>
        <v>0</v>
      </c>
      <c r="I37" s="101">
        <f>SUMIFS('9'!$E:$E,'9'!$A:$A,Año_Inicial+7,'9'!$B:$B,'12'!H$4,'9'!$D:$D,"Otro insumo 2*")</f>
        <v>0</v>
      </c>
      <c r="J37" s="101">
        <f>((A8_A_L3*Otro2_A)+(A8_B_L3*Otro2_B)+(A8_C_L3*Otro2_C)+(A8_D_L3*Otro2_D)+(A8_Y_L3*Otro2_Y))*Inflación_8</f>
        <v>0</v>
      </c>
      <c r="K37" s="101">
        <f>SUMIFS('9'!$E:$E,'9'!$A:$A,Año_Inicial+7,'9'!$B:$B,'12'!J$4,'9'!$D:$D,"Otro insumo 2*")</f>
        <v>0</v>
      </c>
      <c r="L37" s="101">
        <f>((A8_A_L4*Otro2_A)+(A8_B_L4*Otro2_B)+(A8_C_L4*Otro2_C)+(A8_D_L4*Otro2_D)+(A8_Y_L4*Otro2_Y))*Inflación_8</f>
        <v>0</v>
      </c>
      <c r="M37" s="101">
        <f>SUMIFS('9'!$E:$E,'9'!$A:$A,Año_Inicial+7,'9'!$B:$B,'12'!L$4,'9'!$D:$D,"Otro insumo 2*")</f>
        <v>0</v>
      </c>
      <c r="N37" s="101">
        <f>((A8_A_L5*Otro2_A)+(A8_B_L5*Otro2_B)+(A8_C_L5*Otro2_C)+(A8_D_L5*Otro2_D)+(A8_Y_L5*Otro2_Y))*Inflación_8</f>
        <v>0</v>
      </c>
      <c r="O37" s="101">
        <f>SUMIFS('9'!$E:$E,'9'!$A:$A,Año_Inicial+7,'9'!$B:$B,'12'!N$4,'9'!$D:$D,"Otro insumo 2*")</f>
        <v>0</v>
      </c>
      <c r="P37" s="101">
        <f>((A8_A_L6*Otro2_A)+(A8_B_L6*Otro2_B)+(A8_C_L6*Otro2_C)+(A8_D_L6*Otro2_D)+(A8_Y_L6*Otro2_Y))*Inflación_8</f>
        <v>0</v>
      </c>
      <c r="Q37" s="101">
        <f>SUMIFS('9'!$E:$E,'9'!$A:$A,Año_Inicial+7,'9'!$B:$B,'12'!P$4,'9'!$D:$D,"Otro insumo 2*")</f>
        <v>0</v>
      </c>
      <c r="R37" s="101">
        <f>((A8_A_L7*Otro2_A)+(A8_B_L7*Otro2_B)+(A8_C_L7*Otro2_C)+(A8_D_L7*Otro2_D)+(A8_Y_L7*Otro2_Y))*Inflación_8</f>
        <v>0</v>
      </c>
      <c r="S37" s="101">
        <f>SUMIFS('9'!$E:$E,'9'!$A:$A,Año_Inicial+7,'9'!$B:$B,'12'!R$4,'9'!$D:$D,"Otro insumo 2*")</f>
        <v>0</v>
      </c>
      <c r="T37" s="101">
        <f>((A8_A_L8*Otro2_A)+(A8_B_L8*Otro2_B)+(A8_C_L8*Otro2_C)+(A8_D_L8*Otro2_D)+(A8_Y_L8*Otro2_Y))*Inflación_8</f>
        <v>0</v>
      </c>
      <c r="U37" s="101">
        <f>SUMIFS('9'!$E:$E,'9'!$A:$A,Año_Inicial+7,'9'!$B:$B,'12'!T$4,'9'!$D:$D,"Otro insumo 2*")</f>
        <v>0</v>
      </c>
      <c r="V37" s="101">
        <f>((A8_A_L9*Otro2_A)+(A8_B_L9*Otro2_B)+(A8_C_L9*Otro2_C)+(A8_D_L9*Otro2_D)+(A8_Y_L9*Otro2_Y))*Inflación_8</f>
        <v>0</v>
      </c>
      <c r="W37" s="101">
        <f>SUMIFS('9'!$E:$E,'9'!$A:$A,Año_Inicial+7,'9'!$B:$B,'12'!V$4,'9'!$D:$D,"Otro insumo 2*")</f>
        <v>0</v>
      </c>
      <c r="X37" s="101">
        <f>((A8_A_L10*Otro2_A)+(A8_B_L10*Otro2_B)+(A8_C_L10*Otro2_C)+(A8_D_L10*Otro2_D)+(A8_Y_L10*Otro2_Y))*Inflación_8</f>
        <v>0</v>
      </c>
      <c r="Y37" s="101">
        <f>SUMIFS('9'!$E:$E,'9'!$A:$A,Año_Inicial+7,'9'!$B:$B,'12'!X$4,'9'!$D:$D,"Otro insumo 2*")</f>
        <v>0</v>
      </c>
      <c r="Z37" s="101">
        <f>((A8_A_L11*Otro2_A)+(A8_B_L11*Otro2_B)+(A8_C_L11*Otro2_C)+(A8_D_L11*Otro2_D)+(A8_Y_L11*Otro2_Y))*Inflación_8</f>
        <v>0</v>
      </c>
      <c r="AA37" s="101">
        <f>SUMIFS('9'!$E:$E,'9'!$A:$A,Año_Inicial+7,'9'!$B:$B,'12'!Z$4,'9'!$D:$D,"Otro insumo 2*")</f>
        <v>0</v>
      </c>
      <c r="AB37" s="101">
        <f>((A8_A_L12*Otro2_A)+(A8_B_L12*Otro2_B)+(A8_C_L12*Otro2_C)+(A8_D_L12*Otro2_D)+(A8_Y_L12*Otro2_Y))*Inflación_8</f>
        <v>0</v>
      </c>
      <c r="AC37" s="101">
        <f>SUMIFS('9'!$E:$E,'9'!$A:$A,Año_Inicial+7,'9'!$B:$B,'12'!AB$4,'9'!$D:$D,"Otro insumo 2*")</f>
        <v>0</v>
      </c>
      <c r="AD37" s="101">
        <f>((A8_A_L13*Otro2_A)+(A8_B_L13*Otro2_B)+(A8_C_L13*Otro2_C)+(A8_D_L13*Otro2_D)+(A8_Y_L13*Otro2_Y))*Inflación_8</f>
        <v>0</v>
      </c>
      <c r="AE37" s="101">
        <f>SUMIFS('9'!$E:$E,'9'!$A:$A,Año_Inicial+7,'9'!$B:$B,'12'!AD$4,'9'!$D:$D,"Otro insumo 2*")</f>
        <v>0</v>
      </c>
      <c r="AF37" s="101">
        <f>((A8_A_L14*Otro2_A)+(A8_B_L14*Otro2_B)+(A8_C_L14*Otro2_C)+(A8_D_L14*Otro2_D)+(A8_Y_L14*Otro2_Y))*Inflación_8</f>
        <v>0</v>
      </c>
      <c r="AG37" s="101">
        <f>SUMIFS('9'!$E:$E,'9'!$A:$A,Año_Inicial+7,'9'!$B:$B,'12'!AF$4,'9'!$D:$D,"Otro insumo 2*")</f>
        <v>0</v>
      </c>
      <c r="AH37" s="101">
        <f>((A8_A_L15*Otro2_A)+(A8_B_L15*Otro2_B)+(A8_C_L15*Otro2_C)+(A8_D_L15*Otro2_D)+(A8_Y_L15*Otro2_Y))*Inflación_8</f>
        <v>0</v>
      </c>
      <c r="AI37" s="101">
        <f>SUMIFS('9'!$E:$E,'9'!$A:$A,Año_Inicial+7,'9'!$B:$B,'12'!AH$4,'9'!$D:$D,"Otro insumo 2*")</f>
        <v>0</v>
      </c>
      <c r="AJ37" s="101">
        <f>((A8_A_L16*Otro2_A)+(A8_B_L16*Otro2_B)+(A8_C_L16*Otro2_C)+(A8_D_L16*Otro2_D)+(A8_Y_L16*Otro2_Y))*Inflación_8</f>
        <v>0</v>
      </c>
      <c r="AK37" s="101">
        <f>SUMIFS('9'!$E:$E,'9'!$A:$A,Año_Inicial+7,'9'!$B:$B,'12'!AJ$4,'9'!$D:$D,"Otro insumo 2*")</f>
        <v>0</v>
      </c>
      <c r="AL37" s="101">
        <f>((A8_A_L17*Otro2_A)+(A8_B_L17*Otro2_B)+(A8_C_L17*Otro2_C)+(A8_D_L17*Otro2_D)+(A8_Y_L17*Otro2_Y))*Inflación_8</f>
        <v>0</v>
      </c>
      <c r="AM37" s="101">
        <f>SUMIFS('9'!$E:$E,'9'!$A:$A,Año_Inicial+7,'9'!$B:$B,'12'!AL$4,'9'!$D:$D,"Otro insumo 2*")</f>
        <v>0</v>
      </c>
      <c r="AN37" s="101">
        <f>((A8_A_L18*Otro2_A)+(A8_B_L18*Otro2_B)+(A8_C_L18*Otro2_C)+(A8_D_L18*Otro2_D)+(A8_Y_L18*Otro2_Y))*Inflación_8</f>
        <v>0</v>
      </c>
      <c r="AO37" s="101">
        <f>SUMIFS('9'!$E:$E,'9'!$A:$A,Año_Inicial+7,'9'!$B:$B,'12'!AN$4,'9'!$D:$D,"Otro insumo 2*")</f>
        <v>0</v>
      </c>
      <c r="AP37" s="101">
        <f>((A8_A_L19*Otro2_A)+(A8_B_L19*Otro2_B)+(A8_C_L19*Otro2_C)+(A8_D_L19*Otro2_D)+(A8_Y_L19*Otro2_Y))*Inflación_8</f>
        <v>0</v>
      </c>
      <c r="AQ37" s="101">
        <f>SUMIFS('9'!$E:$E,'9'!$A:$A,Año_Inicial+7,'9'!$B:$B,'12'!AP$4,'9'!$D:$D,"Otro insumo 2*")</f>
        <v>0</v>
      </c>
      <c r="AR37" s="101">
        <f>((A8_A_L20*Otro2_A)+(A8_B_L20*Otro2_B)+(A8_C_L20*Otro2_C)+(A8_D_L20*Otro2_D)+(A8_Y_L20*Otro2_Y))*Inflación_8</f>
        <v>0</v>
      </c>
      <c r="AS37" s="101">
        <f>SUMIFS('9'!$E:$E,'9'!$A:$A,Año_Inicial+7,'9'!$B:$B,'12'!AR$4,'9'!$D:$D,"Otro insumo 2*")</f>
        <v>0</v>
      </c>
      <c r="AT37" s="101">
        <f>((A8_A_L21*Otro2_A)+(A8_B_L21*Otro2_B)+(A8_C_L21*Otro2_C)+(A8_D_L21*Otro2_D)+(A8_Y_L21*Otro2_Y))*Inflación_8</f>
        <v>0</v>
      </c>
      <c r="AU37" s="101">
        <f>SUMIFS('9'!$E:$E,'9'!$A:$A,Año_Inicial+7,'9'!$B:$B,'12'!AT$4,'9'!$D:$D,"Otro insumo 2*")</f>
        <v>0</v>
      </c>
      <c r="AV37" s="101">
        <f>((A8_A_L22*Otro2_A)+(A8_B_L22*Otro2_B)+(A8_C_L22*Otro2_C)+(A8_D_L22*Otro2_D)+(A8_Y_L22*Otro2_Y))*Inflación_8</f>
        <v>0</v>
      </c>
      <c r="AW37" s="101">
        <f>SUMIFS('9'!$E:$E,'9'!$A:$A,Año_Inicial+7,'9'!$B:$B,'12'!AV$4,'9'!$D:$D,"Otro insumo 2*")</f>
        <v>0</v>
      </c>
      <c r="AX37" s="101">
        <f>((A8_A_L23*Otro2_A)+(A8_B_L23*Otro2_B)+(A8_C_L23*Otro2_C)+(A8_D_L23*Otro2_D)+(A8_Y_L23*Otro2_Y))*Inflación_8</f>
        <v>0</v>
      </c>
      <c r="AY37" s="101">
        <f>SUMIFS('9'!$E:$E,'9'!$A:$A,Año_Inicial+7,'9'!$B:$B,'12'!AX$4,'9'!$D:$D,"Otro insumo 2*")</f>
        <v>0</v>
      </c>
      <c r="AZ37" s="101">
        <f>((A8_A_L24*Otro2_A)+(A8_B_L24*Otro2_B)+(A8_C_L24*Otro2_C)+(A8_D_L24*Otro2_D)+(A8_Y_L24*Otro2_Y))*Inflación_8</f>
        <v>0</v>
      </c>
      <c r="BA37" s="101">
        <f>SUMIFS('9'!$E:$E,'9'!$A:$A,Año_Inicial+7,'9'!$B:$B,'12'!AZ$4,'9'!$D:$D,"Otro insumo 2*")</f>
        <v>0</v>
      </c>
      <c r="BB37" s="101">
        <f>((A8_A_L25*Otro2_A)+(A8_B_L25*Otro2_B)+(A8_C_L25*Otro2_C)+(A8_D_L25*Otro2_D)+(A8_Y_L25*Otro2_Y))*Inflación_8</f>
        <v>0</v>
      </c>
      <c r="BC37" s="101">
        <f>SUMIFS('9'!$E:$E,'9'!$A:$A,Año_Inicial+7,'9'!$B:$B,'12'!BB$4,'9'!$D:$D,"Otro insumo 2*")</f>
        <v>0</v>
      </c>
      <c r="BD37" s="101">
        <f>((A8_A_L26*Otro2_A)+(A8_B_L26*Otro2_B)+(A8_C_L26*Otro2_C)+(A8_D_L26*Otro2_D)+(A8_Y_L26*Otro2_Y))*Inflación_8</f>
        <v>0</v>
      </c>
      <c r="BE37" s="101">
        <f>SUMIFS('9'!$E:$E,'9'!$A:$A,Año_Inicial+7,'9'!$B:$B,'12'!BD$4,'9'!$D:$D,"Otro insumo 2*")</f>
        <v>0</v>
      </c>
      <c r="BF37" s="101">
        <f>((A8_A_L27*Otro2_A)+(A8_B_L27*Otro2_B)+(A8_C_L27*Otro2_C)+(A8_D_L27*Otro2_D)+(A8_Y_L27*Otro2_Y))*Inflación_8</f>
        <v>0</v>
      </c>
      <c r="BG37" s="101">
        <f>SUMIFS('9'!$E:$E,'9'!$A:$A,Año_Inicial+7,'9'!$B:$B,'12'!BF$4,'9'!$D:$D,"Otro insumo 2*")</f>
        <v>0</v>
      </c>
      <c r="BH37" s="101">
        <f>((A8_A_L28*Otro2_A)+(A8_B_L28*Otro2_B)+(A8_C_L28*Otro2_C)+(A8_D_L28*Otro2_D)+(A8_Y_L28*Otro2_Y))*Inflación_8</f>
        <v>0</v>
      </c>
      <c r="BI37" s="101">
        <f>SUMIFS('9'!$E:$E,'9'!$A:$A,Año_Inicial+7,'9'!$B:$B,'12'!BH$4,'9'!$D:$D,"Otro insumo 2*")</f>
        <v>0</v>
      </c>
      <c r="BJ37" s="101">
        <f>((A8_A_L29*Otro2_A)+(A8_B_L29*Otro2_B)+(A8_C_L29*Otro2_C)+(A8_D_L29*Otro2_D)+(A8_Y_L29*Otro2_Y))*Inflación_8</f>
        <v>0</v>
      </c>
      <c r="BK37" s="101">
        <f>SUMIFS('9'!$E:$E,'9'!$A:$A,Año_Inicial+7,'9'!$B:$B,'12'!BJ$4,'9'!$D:$D,"Otro insumo 2*")</f>
        <v>0</v>
      </c>
      <c r="BL37" s="101">
        <f>((A8_A_L30*Otro2_A)+(A8_B_L30*Otro2_B)+(A8_C_L30*Otro2_C)+(A8_D_L30*Otro2_D)+(A8_Y_L30*Otro2_Y))*Inflación_8</f>
        <v>0</v>
      </c>
      <c r="BM37" s="101">
        <f>SUMIFS('9'!$E:$E,'9'!$A:$A,Año_Inicial+7,'9'!$B:$B,'12'!BL$4,'9'!$D:$D,"Otro insumo 2*")</f>
        <v>0</v>
      </c>
      <c r="BN37" s="101">
        <f>((A8_A_L31*Otro2_A)+(A8_B_L31*Otro2_B)+(A8_C_L31*Otro2_C)+(A8_D_L31*Otro2_D)+(A8_Y_L31*Otro2_Y))*Inflación_8</f>
        <v>0</v>
      </c>
      <c r="BO37" s="101">
        <f>SUMIFS('9'!$E:$E,'9'!$A:$A,Año_Inicial+7,'9'!$B:$B,'12'!BN$4,'9'!$D:$D,"Otro insumo 2*")</f>
        <v>0</v>
      </c>
      <c r="BP37" s="101">
        <f>((A8_A_L32*Otro2_A)+(A8_B_L32*Otro2_B)+(A8_C_L32*Otro2_C)+(A8_D_L32*Otro2_D)+(A8_Y_L32*Otro2_Y))*Inflación_8</f>
        <v>0</v>
      </c>
      <c r="BQ37" s="101">
        <f>SUMIFS('9'!$E:$E,'9'!$A:$A,Año_Inicial+7,'9'!$B:$B,'12'!BP$4,'9'!$D:$D,"Otro insumo 2*")</f>
        <v>0</v>
      </c>
      <c r="BR37" s="101">
        <f>((A8_A_L33*Otro2_A)+(A8_B_L33*Otro2_B)+(A8_C_L33*Otro2_C)+(A8_D_L33*Otro2_D)+(A8_Y_L33*Otro2_Y))*Inflación_8</f>
        <v>0</v>
      </c>
      <c r="BS37" s="101">
        <f>SUMIFS('9'!$E:$E,'9'!$A:$A,Año_Inicial+7,'9'!$B:$B,'12'!BR$4,'9'!$D:$D,"Otro insumo 2*")</f>
        <v>0</v>
      </c>
      <c r="BT37" s="101">
        <f>((A8_A_L34*Otro2_A)+(A8_B_L34*Otro2_B)+(A8_C_L34*Otro2_C)+(A8_D_L34*Otro2_D)+(A8_Y_L34*Otro2_Y))*Inflación_8</f>
        <v>0</v>
      </c>
      <c r="BU37" s="101">
        <f>SUMIFS('9'!$E:$E,'9'!$A:$A,Año_Inicial+7,'9'!$B:$B,'12'!BT$4,'9'!$D:$D,"Otro insumo 2*")</f>
        <v>0</v>
      </c>
      <c r="BV37" s="101">
        <f>((A8_A_L35*Otro2_A)+(A8_B_L35*Otro2_B)+(A8_C_L35*Otro2_C)+(A8_D_L35*Otro2_D)+(A8_Y_L35*Otro2_Y))*Inflación_8</f>
        <v>0</v>
      </c>
      <c r="BW37" s="101">
        <f>SUMIFS('9'!$E:$E,'9'!$A:$A,Año_Inicial+7,'9'!$B:$B,'12'!BV$4,'9'!$D:$D,"Otro insumo 2*")</f>
        <v>0</v>
      </c>
      <c r="BX37" s="101">
        <f>((A8_A_L36*Otro2_A)+(A8_B_L36*Otro2_B)+(A8_C_L36*Otro2_C)+(A8_D_L36*Otro2_D)+(A8_Y_L36*Otro2_Y))*Inflación_8</f>
        <v>0</v>
      </c>
      <c r="BY37" s="101">
        <f>SUMIFS('9'!$E:$E,'9'!$A:$A,Año_Inicial+7,'9'!$B:$B,'12'!BX$4,'9'!$D:$D,"Otro insumo 2*")</f>
        <v>0</v>
      </c>
      <c r="BZ37" s="101">
        <f>((A8_A_L37*Otro2_A)+(A8_B_L37*Otro2_B)+(A8_C_L37*Otro2_C)+(A8_D_L37*Otro2_D)+(A8_Y_L37*Otro2_Y))*Inflación_8</f>
        <v>0</v>
      </c>
      <c r="CA37" s="101">
        <f>SUMIFS('9'!$E:$E,'9'!$A:$A,Año_Inicial+7,'9'!$B:$B,'12'!BZ$4,'9'!$D:$D,"Otro insumo 2*")</f>
        <v>0</v>
      </c>
      <c r="CB37" s="101">
        <f>((A8_A_L38*Otro2_A)+(A8_B_L38*Otro2_B)+(A8_C_L38*Otro2_C)+(A8_D_L38*Otro2_D)+(A8_Y_L38*Otro2_Y))*Inflación_8</f>
        <v>0</v>
      </c>
      <c r="CC37" s="101">
        <f>SUMIFS('9'!$E:$E,'9'!$A:$A,Año_Inicial+7,'9'!$B:$B,'12'!CB$4,'9'!$D:$D,"Otro insumo 2*")</f>
        <v>0</v>
      </c>
      <c r="CD37" s="101">
        <f>((A8_A_L39*Otro2_A)+(A8_B_L39*Otro2_B)+(A8_C_L39*Otro2_C)+(A8_D_L39*Otro2_D)+(A8_Y_L39*Otro2_Y))*Inflación_8</f>
        <v>0</v>
      </c>
      <c r="CE37" s="101">
        <f>SUMIFS('9'!$E:$E,'9'!$A:$A,Año_Inicial+7,'9'!$B:$B,'12'!CD$4,'9'!$D:$D,"Otro insumo 2*")</f>
        <v>0</v>
      </c>
      <c r="CF37" s="101">
        <f>((A8_A_L40*Otro2_A)+(A8_B_L40*Otro2_B)+(A8_C_L40*Otro2_C)+(A8_D_L40*Otro2_D)+(A8_Y_L40*Otro2_Y))*Inflación_8</f>
        <v>0</v>
      </c>
      <c r="CG37" s="101">
        <f>SUMIFS('9'!$E:$E,'9'!$A:$A,Año_Inicial+7,'9'!$B:$B,'12'!CF$4,'9'!$D:$D,"Otro insumo 2*")</f>
        <v>0</v>
      </c>
      <c r="CH37" s="473"/>
      <c r="CI37" s="101">
        <f>Plantas_A_A8*Otro2_A*Inflación_8</f>
        <v>0</v>
      </c>
      <c r="CJ37" s="101">
        <f>Plantas_B_A8*Otro2_B</f>
        <v>0</v>
      </c>
      <c r="CK37" s="101">
        <f>Plantas_C_A8*Otro2_C</f>
        <v>0</v>
      </c>
      <c r="CL37" s="101">
        <f>Plantas_D_A8*Otro2_D</f>
        <v>0</v>
      </c>
      <c r="CM37" s="101"/>
      <c r="CN37" s="101">
        <f>Plantas_Y_A8*Otro2_Y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SUMIFS('9'!$E:$E,'9'!$A:$A,Año_Inicial+7,'9'!$D:$D,"Otro insumo 3*")</f>
        <v>0</v>
      </c>
      <c r="D38" s="100">
        <f t="shared" si="45"/>
        <v>0</v>
      </c>
      <c r="E38" s="473"/>
      <c r="F38" s="101">
        <f>((A8_A_L1*Otro3_A)+(A8_B_L1*Otro3_B)+(A8_C_L1*Otro3_C)+(A8_D_L1*Otro3_D)+(A8_Y_L1*Otro3_Y))*Inflación_8</f>
        <v>0</v>
      </c>
      <c r="G38" s="101">
        <f>SUMIFS('9'!$E:$E,'9'!$A:$A,Año_Inicial+7,'9'!$B:$B,'12'!F$4,'9'!$D:$D,"Otro insumo 3*")</f>
        <v>0</v>
      </c>
      <c r="H38" s="101">
        <f>((A8_A_L2*Otro3_A)+(A8_B_L2*Otro3_B)+(A8_C_L2*Otro3_C)+(A8_D_L2*Otro3_D)+(A8_Y_L2*Otro3_Y))*Inflación_8</f>
        <v>0</v>
      </c>
      <c r="I38" s="101">
        <f>SUMIFS('9'!$E:$E,'9'!$A:$A,Año_Inicial+7,'9'!$B:$B,'12'!H$4,'9'!$D:$D,"Otro insumo 3*")</f>
        <v>0</v>
      </c>
      <c r="J38" s="101">
        <f>((A8_A_L3*Otro3_A)+(A8_B_L3*Otro3_B)+(A8_C_L3*Otro3_C)+(A8_D_L3*Otro3_D)+(A8_Y_L3*Otro3_Y))*Inflación_8</f>
        <v>0</v>
      </c>
      <c r="K38" s="101">
        <f>SUMIFS('9'!$E:$E,'9'!$A:$A,Año_Inicial+7,'9'!$B:$B,'12'!J$4,'9'!$D:$D,"Otro insumo 3*")</f>
        <v>0</v>
      </c>
      <c r="L38" s="101">
        <f>((A8_A_L4*Otro3_A)+(A8_B_L4*Otro3_B)+(A8_C_L4*Otro3_C)+(A8_D_L4*Otro3_D)+(A8_Y_L4*Otro3_Y))*Inflación_8</f>
        <v>0</v>
      </c>
      <c r="M38" s="101">
        <f>SUMIFS('9'!$E:$E,'9'!$A:$A,Año_Inicial+7,'9'!$B:$B,'12'!L$4,'9'!$D:$D,"Otro insumo 3*")</f>
        <v>0</v>
      </c>
      <c r="N38" s="101">
        <f>((A8_A_L5*Otro3_A)+(A8_B_L5*Otro3_B)+(A8_C_L5*Otro3_C)+(A8_D_L5*Otro3_D)+(A8_Y_L5*Otro3_Y))*Inflación_8</f>
        <v>0</v>
      </c>
      <c r="O38" s="101">
        <f>SUMIFS('9'!$E:$E,'9'!$A:$A,Año_Inicial+7,'9'!$B:$B,'12'!N$4,'9'!$D:$D,"Otro insumo 3*")</f>
        <v>0</v>
      </c>
      <c r="P38" s="101">
        <f>((A8_A_L6*Otro3_A)+(A8_B_L6*Otro3_B)+(A8_C_L6*Otro3_C)+(A8_D_L6*Otro3_D)+(A8_Y_L6*Otro3_Y))*Inflación_8</f>
        <v>0</v>
      </c>
      <c r="Q38" s="101">
        <f>SUMIFS('9'!$E:$E,'9'!$A:$A,Año_Inicial+7,'9'!$B:$B,'12'!P$4,'9'!$D:$D,"Otro insumo 3*")</f>
        <v>0</v>
      </c>
      <c r="R38" s="101">
        <f>((A8_A_L7*Otro3_A)+(A8_B_L7*Otro3_B)+(A8_C_L7*Otro3_C)+(A8_D_L7*Otro3_D)+(A8_Y_L7*Otro3_Y))*Inflación_8</f>
        <v>0</v>
      </c>
      <c r="S38" s="101">
        <f>SUMIFS('9'!$E:$E,'9'!$A:$A,Año_Inicial+7,'9'!$B:$B,'12'!R$4,'9'!$D:$D,"Otro insumo 3*")</f>
        <v>0</v>
      </c>
      <c r="T38" s="101">
        <f>((A8_A_L8*Otro3_A)+(A8_B_L8*Otro3_B)+(A8_C_L8*Otro3_C)+(A8_D_L8*Otro3_D)+(A8_Y_L8*Otro3_Y))*Inflación_8</f>
        <v>0</v>
      </c>
      <c r="U38" s="101">
        <f>SUMIFS('9'!$E:$E,'9'!$A:$A,Año_Inicial+7,'9'!$B:$B,'12'!T$4,'9'!$D:$D,"Otro insumo 3*")</f>
        <v>0</v>
      </c>
      <c r="V38" s="101">
        <f>((A8_A_L9*Otro3_A)+(A8_B_L9*Otro3_B)+(A8_C_L9*Otro3_C)+(A8_D_L9*Otro3_D)+(A8_Y_L9*Otro3_Y))*Inflación_8</f>
        <v>0</v>
      </c>
      <c r="W38" s="101">
        <f>SUMIFS('9'!$E:$E,'9'!$A:$A,Año_Inicial+7,'9'!$B:$B,'12'!V$4,'9'!$D:$D,"Otro insumo 3*")</f>
        <v>0</v>
      </c>
      <c r="X38" s="101">
        <f>((A8_A_L10*Otro3_A)+(A8_B_L10*Otro3_B)+(A8_C_L10*Otro3_C)+(A8_D_L10*Otro3_D)+(A8_Y_L10*Otro3_Y))*Inflación_8</f>
        <v>0</v>
      </c>
      <c r="Y38" s="101">
        <f>SUMIFS('9'!$E:$E,'9'!$A:$A,Año_Inicial+7,'9'!$B:$B,'12'!X$4,'9'!$D:$D,"Otro insumo 3*")</f>
        <v>0</v>
      </c>
      <c r="Z38" s="101">
        <f>((A8_A_L11*Otro3_A)+(A8_B_L11*Otro3_B)+(A8_C_L11*Otro3_C)+(A8_D_L11*Otro3_D)+(A8_Y_L11*Otro3_Y))*Inflación_8</f>
        <v>0</v>
      </c>
      <c r="AA38" s="101">
        <f>SUMIFS('9'!$E:$E,'9'!$A:$A,Año_Inicial+7,'9'!$B:$B,'12'!Z$4,'9'!$D:$D,"Otro insumo 3*")</f>
        <v>0</v>
      </c>
      <c r="AB38" s="101">
        <f>((A8_A_L12*Otro3_A)+(A8_B_L12*Otro3_B)+(A8_C_L12*Otro3_C)+(A8_D_L12*Otro3_D)+(A8_Y_L12*Otro3_Y))*Inflación_8</f>
        <v>0</v>
      </c>
      <c r="AC38" s="101">
        <f>SUMIFS('9'!$E:$E,'9'!$A:$A,Año_Inicial+7,'9'!$B:$B,'12'!AB$4,'9'!$D:$D,"Otro insumo 3*")</f>
        <v>0</v>
      </c>
      <c r="AD38" s="101">
        <f>((A8_A_L13*Otro3_A)+(A8_B_L13*Otro3_B)+(A8_C_L13*Otro3_C)+(A8_D_L13*Otro3_D)+(A8_Y_L13*Otro3_Y))*Inflación_8</f>
        <v>0</v>
      </c>
      <c r="AE38" s="101">
        <f>SUMIFS('9'!$E:$E,'9'!$A:$A,Año_Inicial+7,'9'!$B:$B,'12'!AD$4,'9'!$D:$D,"Otro insumo 3*")</f>
        <v>0</v>
      </c>
      <c r="AF38" s="101">
        <f>((A8_A_L14*Otro3_A)+(A8_B_L14*Otro3_B)+(A8_C_L14*Otro3_C)+(A8_D_L14*Otro3_D)+(A8_Y_L14*Otro3_Y))*Inflación_8</f>
        <v>0</v>
      </c>
      <c r="AG38" s="101">
        <f>SUMIFS('9'!$E:$E,'9'!$A:$A,Año_Inicial+7,'9'!$B:$B,'12'!AF$4,'9'!$D:$D,"Otro insumo 3*")</f>
        <v>0</v>
      </c>
      <c r="AH38" s="101">
        <f>((A8_A_L15*Otro3_A)+(A8_B_L15*Otro3_B)+(A8_C_L15*Otro3_C)+(A8_D_L15*Otro3_D)+(A8_Y_L15*Otro3_Y))*Inflación_8</f>
        <v>0</v>
      </c>
      <c r="AI38" s="101">
        <f>SUMIFS('9'!$E:$E,'9'!$A:$A,Año_Inicial+7,'9'!$B:$B,'12'!AH$4,'9'!$D:$D,"Otro insumo 3*")</f>
        <v>0</v>
      </c>
      <c r="AJ38" s="101">
        <f>((A8_A_L16*Otro3_A)+(A8_B_L16*Otro3_B)+(A8_C_L16*Otro3_C)+(A8_D_L16*Otro3_D)+(A8_Y_L16*Otro3_Y))*Inflación_8</f>
        <v>0</v>
      </c>
      <c r="AK38" s="101">
        <f>SUMIFS('9'!$E:$E,'9'!$A:$A,Año_Inicial+7,'9'!$B:$B,'12'!AJ$4,'9'!$D:$D,"Otro insumo 3*")</f>
        <v>0</v>
      </c>
      <c r="AL38" s="101">
        <f>((A8_A_L17*Otro3_A)+(A8_B_L17*Otro3_B)+(A8_C_L17*Otro3_C)+(A8_D_L17*Otro3_D)+(A8_Y_L17*Otro3_Y))*Inflación_8</f>
        <v>0</v>
      </c>
      <c r="AM38" s="101">
        <f>SUMIFS('9'!$E:$E,'9'!$A:$A,Año_Inicial+7,'9'!$B:$B,'12'!AL$4,'9'!$D:$D,"Otro insumo 3*")</f>
        <v>0</v>
      </c>
      <c r="AN38" s="101">
        <f>((A8_A_L18*Otro3_A)+(A8_B_L18*Otro3_B)+(A8_C_L18*Otro3_C)+(A8_D_L18*Otro3_D)+(A8_Y_L18*Otro3_Y))*Inflación_8</f>
        <v>0</v>
      </c>
      <c r="AO38" s="101">
        <f>SUMIFS('9'!$E:$E,'9'!$A:$A,Año_Inicial+7,'9'!$B:$B,'12'!AN$4,'9'!$D:$D,"Otro insumo 3*")</f>
        <v>0</v>
      </c>
      <c r="AP38" s="101">
        <f>((A8_A_L19*Otro3_A)+(A8_B_L19*Otro3_B)+(A8_C_L19*Otro3_C)+(A8_D_L19*Otro3_D)+(A8_Y_L19*Otro3_Y))*Inflación_8</f>
        <v>0</v>
      </c>
      <c r="AQ38" s="101">
        <f>SUMIFS('9'!$E:$E,'9'!$A:$A,Año_Inicial+7,'9'!$B:$B,'12'!AP$4,'9'!$D:$D,"Otro insumo 3*")</f>
        <v>0</v>
      </c>
      <c r="AR38" s="101">
        <f>((A8_A_L20*Otro3_A)+(A8_B_L20*Otro3_B)+(A8_C_L20*Otro3_C)+(A8_D_L20*Otro3_D)+(A8_Y_L20*Otro3_Y))*Inflación_8</f>
        <v>0</v>
      </c>
      <c r="AS38" s="101">
        <f>SUMIFS('9'!$E:$E,'9'!$A:$A,Año_Inicial+7,'9'!$B:$B,'12'!AR$4,'9'!$D:$D,"Otro insumo 3*")</f>
        <v>0</v>
      </c>
      <c r="AT38" s="101">
        <f>((A8_A_L21*Otro3_A)+(A8_B_L21*Otro3_B)+(A8_C_L21*Otro3_C)+(A8_D_L21*Otro3_D)+(A8_Y_L21*Otro3_Y))*Inflación_8</f>
        <v>0</v>
      </c>
      <c r="AU38" s="101">
        <f>SUMIFS('9'!$E:$E,'9'!$A:$A,Año_Inicial+7,'9'!$B:$B,'12'!AT$4,'9'!$D:$D,"Otro insumo 3*")</f>
        <v>0</v>
      </c>
      <c r="AV38" s="101">
        <f>((A8_A_L22*Otro3_A)+(A8_B_L22*Otro3_B)+(A8_C_L22*Otro3_C)+(A8_D_L22*Otro3_D)+(A8_Y_L22*Otro3_Y))*Inflación_8</f>
        <v>0</v>
      </c>
      <c r="AW38" s="101">
        <f>SUMIFS('9'!$E:$E,'9'!$A:$A,Año_Inicial+7,'9'!$B:$B,'12'!AV$4,'9'!$D:$D,"Otro insumo 3*")</f>
        <v>0</v>
      </c>
      <c r="AX38" s="101">
        <f>((A8_A_L23*Otro3_A)+(A8_B_L23*Otro3_B)+(A8_C_L23*Otro3_C)+(A8_D_L23*Otro3_D)+(A8_Y_L23*Otro3_Y))*Inflación_8</f>
        <v>0</v>
      </c>
      <c r="AY38" s="101">
        <f>SUMIFS('9'!$E:$E,'9'!$A:$A,Año_Inicial+7,'9'!$B:$B,'12'!AX$4,'9'!$D:$D,"Otro insumo 3*")</f>
        <v>0</v>
      </c>
      <c r="AZ38" s="101">
        <f>((A8_A_L24*Otro3_A)+(A8_B_L24*Otro3_B)+(A8_C_L24*Otro3_C)+(A8_D_L24*Otro3_D)+(A8_Y_L24*Otro3_Y))*Inflación_8</f>
        <v>0</v>
      </c>
      <c r="BA38" s="101">
        <f>SUMIFS('9'!$E:$E,'9'!$A:$A,Año_Inicial+7,'9'!$B:$B,'12'!AZ$4,'9'!$D:$D,"Otro insumo 3*")</f>
        <v>0</v>
      </c>
      <c r="BB38" s="101">
        <f>((A8_A_L25*Otro3_A)+(A8_B_L25*Otro3_B)+(A8_C_L25*Otro3_C)+(A8_D_L25*Otro3_D)+(A8_Y_L25*Otro3_Y))*Inflación_8</f>
        <v>0</v>
      </c>
      <c r="BC38" s="101">
        <f>SUMIFS('9'!$E:$E,'9'!$A:$A,Año_Inicial+7,'9'!$B:$B,'12'!BB$4,'9'!$D:$D,"Otro insumo 3*")</f>
        <v>0</v>
      </c>
      <c r="BD38" s="101">
        <f>((A8_A_L26*Otro3_A)+(A8_B_L26*Otro3_B)+(A8_C_L26*Otro3_C)+(A8_D_L26*Otro3_D)+(A8_Y_L26*Otro3_Y))*Inflación_8</f>
        <v>0</v>
      </c>
      <c r="BE38" s="101">
        <f>SUMIFS('9'!$E:$E,'9'!$A:$A,Año_Inicial+7,'9'!$B:$B,'12'!BD$4,'9'!$D:$D,"Otro insumo 3*")</f>
        <v>0</v>
      </c>
      <c r="BF38" s="101">
        <f>((A8_A_L27*Otro3_A)+(A8_B_L27*Otro3_B)+(A8_C_L27*Otro3_C)+(A8_D_L27*Otro3_D)+(A8_Y_L27*Otro3_Y))*Inflación_8</f>
        <v>0</v>
      </c>
      <c r="BG38" s="101">
        <f>SUMIFS('9'!$E:$E,'9'!$A:$A,Año_Inicial+7,'9'!$B:$B,'12'!BF$4,'9'!$D:$D,"Otro insumo 3*")</f>
        <v>0</v>
      </c>
      <c r="BH38" s="101">
        <f>((A8_A_L28*Otro3_A)+(A8_B_L28*Otro3_B)+(A8_C_L28*Otro3_C)+(A8_D_L28*Otro3_D)+(A8_Y_L28*Otro3_Y))*Inflación_8</f>
        <v>0</v>
      </c>
      <c r="BI38" s="101">
        <f>SUMIFS('9'!$E:$E,'9'!$A:$A,Año_Inicial+7,'9'!$B:$B,'12'!BH$4,'9'!$D:$D,"Otro insumo 3*")</f>
        <v>0</v>
      </c>
      <c r="BJ38" s="101">
        <f>((A8_A_L29*Otro3_A)+(A8_B_L29*Otro3_B)+(A8_C_L29*Otro3_C)+(A8_D_L29*Otro3_D)+(A8_Y_L29*Otro3_Y))*Inflación_8</f>
        <v>0</v>
      </c>
      <c r="BK38" s="101">
        <f>SUMIFS('9'!$E:$E,'9'!$A:$A,Año_Inicial+7,'9'!$B:$B,'12'!BJ$4,'9'!$D:$D,"Otro insumo 3*")</f>
        <v>0</v>
      </c>
      <c r="BL38" s="101">
        <f>((A8_A_L30*Otro3_A)+(A8_B_L30*Otro3_B)+(A8_C_L30*Otro3_C)+(A8_D_L30*Otro3_D)+(A8_Y_L30*Otro3_Y))*Inflación_8</f>
        <v>0</v>
      </c>
      <c r="BM38" s="101">
        <f>SUMIFS('9'!$E:$E,'9'!$A:$A,Año_Inicial+7,'9'!$B:$B,'12'!BL$4,'9'!$D:$D,"Otro insumo 3*")</f>
        <v>0</v>
      </c>
      <c r="BN38" s="101">
        <f>((A8_A_L31*Otro3_A)+(A8_B_L31*Otro3_B)+(A8_C_L31*Otro3_C)+(A8_D_L31*Otro3_D)+(A8_Y_L31*Otro3_Y))*Inflación_8</f>
        <v>0</v>
      </c>
      <c r="BO38" s="101">
        <f>SUMIFS('9'!$E:$E,'9'!$A:$A,Año_Inicial+7,'9'!$B:$B,'12'!BN$4,'9'!$D:$D,"Otro insumo 3*")</f>
        <v>0</v>
      </c>
      <c r="BP38" s="101">
        <f>((A8_A_L32*Otro3_A)+(A8_B_L32*Otro3_B)+(A8_C_L32*Otro3_C)+(A8_D_L32*Otro3_D)+(A8_Y_L32*Otro3_Y))*Inflación_8</f>
        <v>0</v>
      </c>
      <c r="BQ38" s="101">
        <f>SUMIFS('9'!$E:$E,'9'!$A:$A,Año_Inicial+7,'9'!$B:$B,'12'!BP$4,'9'!$D:$D,"Otro insumo 3*")</f>
        <v>0</v>
      </c>
      <c r="BR38" s="101">
        <f>((A8_A_L33*Otro3_A)+(A8_B_L33*Otro3_B)+(A8_C_L33*Otro3_C)+(A8_D_L33*Otro3_D)+(A8_Y_L33*Otro3_Y))*Inflación_8</f>
        <v>0</v>
      </c>
      <c r="BS38" s="101">
        <f>SUMIFS('9'!$E:$E,'9'!$A:$A,Año_Inicial+7,'9'!$B:$B,'12'!BR$4,'9'!$D:$D,"Otro insumo 3*")</f>
        <v>0</v>
      </c>
      <c r="BT38" s="101">
        <f>((A8_A_L34*Otro3_A)+(A8_B_L34*Otro3_B)+(A8_C_L34*Otro3_C)+(A8_D_L34*Otro3_D)+(A8_Y_L34*Otro3_Y))*Inflación_8</f>
        <v>0</v>
      </c>
      <c r="BU38" s="101">
        <f>SUMIFS('9'!$E:$E,'9'!$A:$A,Año_Inicial+7,'9'!$B:$B,'12'!BT$4,'9'!$D:$D,"Otro insumo 3*")</f>
        <v>0</v>
      </c>
      <c r="BV38" s="101">
        <f>((A8_A_L35*Otro3_A)+(A8_B_L35*Otro3_B)+(A8_C_L35*Otro3_C)+(A8_D_L35*Otro3_D)+(A8_Y_L35*Otro3_Y))*Inflación_8</f>
        <v>0</v>
      </c>
      <c r="BW38" s="101">
        <f>SUMIFS('9'!$E:$E,'9'!$A:$A,Año_Inicial+7,'9'!$B:$B,'12'!BV$4,'9'!$D:$D,"Otro insumo 3*")</f>
        <v>0</v>
      </c>
      <c r="BX38" s="101">
        <f>((A8_A_L36*Otro3_A)+(A8_B_L36*Otro3_B)+(A8_C_L36*Otro3_C)+(A8_D_L36*Otro3_D)+(A8_Y_L36*Otro3_Y))*Inflación_8</f>
        <v>0</v>
      </c>
      <c r="BY38" s="101">
        <f>SUMIFS('9'!$E:$E,'9'!$A:$A,Año_Inicial+7,'9'!$B:$B,'12'!BX$4,'9'!$D:$D,"Otro insumo 3*")</f>
        <v>0</v>
      </c>
      <c r="BZ38" s="101">
        <f>((A8_A_L37*Otro3_A)+(A8_B_L37*Otro3_B)+(A8_C_L37*Otro3_C)+(A8_D_L37*Otro3_D)+(A8_Y_L37*Otro3_Y))*Inflación_8</f>
        <v>0</v>
      </c>
      <c r="CA38" s="101">
        <f>SUMIFS('9'!$E:$E,'9'!$A:$A,Año_Inicial+7,'9'!$B:$B,'12'!BZ$4,'9'!$D:$D,"Otro insumo 3*")</f>
        <v>0</v>
      </c>
      <c r="CB38" s="101">
        <f>((A8_A_L38*Otro3_A)+(A8_B_L38*Otro3_B)+(A8_C_L38*Otro3_C)+(A8_D_L38*Otro3_D)+(A8_Y_L38*Otro3_Y))*Inflación_8</f>
        <v>0</v>
      </c>
      <c r="CC38" s="101">
        <f>SUMIFS('9'!$E:$E,'9'!$A:$A,Año_Inicial+7,'9'!$B:$B,'12'!CB$4,'9'!$D:$D,"Otro insumo 3*")</f>
        <v>0</v>
      </c>
      <c r="CD38" s="101">
        <f>((A8_A_L39*Otro3_A)+(A8_B_L39*Otro3_B)+(A8_C_L39*Otro3_C)+(A8_D_L39*Otro3_D)+(A8_Y_L39*Otro3_Y))*Inflación_8</f>
        <v>0</v>
      </c>
      <c r="CE38" s="101">
        <f>SUMIFS('9'!$E:$E,'9'!$A:$A,Año_Inicial+7,'9'!$B:$B,'12'!CD$4,'9'!$D:$D,"Otro insumo 3*")</f>
        <v>0</v>
      </c>
      <c r="CF38" s="101">
        <f>((A8_A_L40*Otro3_A)+(A8_B_L40*Otro3_B)+(A8_C_L40*Otro3_C)+(A8_D_L40*Otro3_D)+(A8_Y_L40*Otro3_Y))*Inflación_8</f>
        <v>0</v>
      </c>
      <c r="CG38" s="101">
        <f>SUMIFS('9'!$E:$E,'9'!$A:$A,Año_Inicial+7,'9'!$B:$B,'12'!CF$4,'9'!$D:$D,"Otro insumo 3*")</f>
        <v>0</v>
      </c>
      <c r="CH38" s="473"/>
      <c r="CI38" s="101">
        <f>Plantas_A_A8*Otro3_A*Inflación_8</f>
        <v>0</v>
      </c>
      <c r="CJ38" s="101">
        <f>Plantas_B_A8*Otro3_B</f>
        <v>0</v>
      </c>
      <c r="CK38" s="101">
        <f>Plantas_C_A8*Otro3_C</f>
        <v>0</v>
      </c>
      <c r="CL38" s="101">
        <f>Plantas_D_A8*Otro3_D</f>
        <v>0</v>
      </c>
      <c r="CM38" s="101"/>
      <c r="CN38" s="101">
        <f>Plantas_Y_A8*Otro3_Y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SUMIFS('9'!$E:$E,'9'!$A:$A,Año_Inicial+7,'9'!$D:$D,"Corte")</f>
        <v>0</v>
      </c>
      <c r="D40" s="100">
        <f t="shared" si="45"/>
        <v>0</v>
      </c>
      <c r="E40" s="473"/>
      <c r="F40" s="101">
        <f>P_A8_L1*CUI_Corte*Inflación_8</f>
        <v>0</v>
      </c>
      <c r="G40" s="101">
        <f>SUMIFS('9'!$E:$E,'9'!$A:$A,Año_Inicial+7,'9'!$B:$B,'12'!F$4,'9'!$D:$D,"Corte")</f>
        <v>0</v>
      </c>
      <c r="H40" s="101">
        <f>P_A8_L2*CUI_Corte*Inflación_8</f>
        <v>0</v>
      </c>
      <c r="I40" s="101">
        <f>SUMIFS('9'!$E:$E,'9'!$A:$A,Año_Inicial+7,'9'!$B:$B,'12'!H$4,'9'!$D:$D,"Corte")</f>
        <v>0</v>
      </c>
      <c r="J40" s="101">
        <f>P_A8_L3*CUI_Corte*Inflación_8</f>
        <v>0</v>
      </c>
      <c r="K40" s="101">
        <f>SUMIFS('9'!$E:$E,'9'!$A:$A,Año_Inicial+7,'9'!$B:$B,'12'!J$4,'9'!$D:$D,"Corte")</f>
        <v>0</v>
      </c>
      <c r="L40" s="101">
        <f>P_A8_L4*CUI_Corte*Inflación_8</f>
        <v>0</v>
      </c>
      <c r="M40" s="101">
        <f>SUMIFS('9'!$E:$E,'9'!$A:$A,Año_Inicial+7,'9'!$B:$B,'12'!L$4,'9'!$D:$D,"Corte")</f>
        <v>0</v>
      </c>
      <c r="N40" s="101">
        <f>P_A8_L5*CUI_Corte*Inflación_8</f>
        <v>0</v>
      </c>
      <c r="O40" s="101">
        <f>SUMIFS('9'!$E:$E,'9'!$A:$A,Año_Inicial+7,'9'!$B:$B,'12'!N$4,'9'!$D:$D,"Corte")</f>
        <v>0</v>
      </c>
      <c r="P40" s="101">
        <f>P_A8_L6*CUI_Corte*Inflación_8</f>
        <v>0</v>
      </c>
      <c r="Q40" s="101">
        <f>SUMIFS('9'!$E:$E,'9'!$A:$A,Año_Inicial+7,'9'!$B:$B,'12'!P$4,'9'!$D:$D,"Corte")</f>
        <v>0</v>
      </c>
      <c r="R40" s="101">
        <f>P_A8_L7*CUI_Corte*Inflación_8</f>
        <v>0</v>
      </c>
      <c r="S40" s="101">
        <f>SUMIFS('9'!$E:$E,'9'!$A:$A,Año_Inicial+7,'9'!$B:$B,'12'!R$4,'9'!$D:$D,"Corte")</f>
        <v>0</v>
      </c>
      <c r="T40" s="101">
        <f>P_A8_L8*CUI_Corte*Inflación_8</f>
        <v>0</v>
      </c>
      <c r="U40" s="101">
        <f>SUMIFS('9'!$E:$E,'9'!$A:$A,Año_Inicial+7,'9'!$B:$B,'12'!T$4,'9'!$D:$D,"Corte")</f>
        <v>0</v>
      </c>
      <c r="V40" s="101">
        <f>P_A8_L9*CUI_Corte*Inflación_8</f>
        <v>0</v>
      </c>
      <c r="W40" s="101">
        <f>SUMIFS('9'!$E:$E,'9'!$A:$A,Año_Inicial+7,'9'!$B:$B,'12'!V$4,'9'!$D:$D,"Corte")</f>
        <v>0</v>
      </c>
      <c r="X40" s="101">
        <f>P_A8_L10*CUI_Corte*Inflación_8</f>
        <v>0</v>
      </c>
      <c r="Y40" s="101">
        <f>SUMIFS('9'!$E:$E,'9'!$A:$A,Año_Inicial+7,'9'!$B:$B,'12'!X$4,'9'!$D:$D,"Corte")</f>
        <v>0</v>
      </c>
      <c r="Z40" s="101">
        <f>P_A8_L11*CUI_Corte*Inflación_8</f>
        <v>0</v>
      </c>
      <c r="AA40" s="101">
        <f>SUMIFS('9'!$E:$E,'9'!$A:$A,Año_Inicial+7,'9'!$B:$B,'12'!Z$4,'9'!$D:$D,"Corte")</f>
        <v>0</v>
      </c>
      <c r="AB40" s="101">
        <f>P_A8_L12*CUI_Corte*Inflación_8</f>
        <v>0</v>
      </c>
      <c r="AC40" s="101">
        <f>SUMIFS('9'!$E:$E,'9'!$A:$A,Año_Inicial+7,'9'!$B:$B,'12'!AB$4,'9'!$D:$D,"Corte")</f>
        <v>0</v>
      </c>
      <c r="AD40" s="101">
        <f>P_A8_L13*CUI_Corte*Inflación_8</f>
        <v>0</v>
      </c>
      <c r="AE40" s="101">
        <f>SUMIFS('9'!$E:$E,'9'!$A:$A,Año_Inicial+7,'9'!$B:$B,'12'!AD$4,'9'!$D:$D,"Corte")</f>
        <v>0</v>
      </c>
      <c r="AF40" s="101">
        <f>P_A8_L14*CUI_Corte*Inflación_8</f>
        <v>0</v>
      </c>
      <c r="AG40" s="101">
        <f>SUMIFS('9'!$E:$E,'9'!$A:$A,Año_Inicial+7,'9'!$B:$B,'12'!AF$4,'9'!$D:$D,"Corte")</f>
        <v>0</v>
      </c>
      <c r="AH40" s="101">
        <f>P_A8_L15*CUI_Corte*Inflación_8</f>
        <v>0</v>
      </c>
      <c r="AI40" s="101">
        <f>SUMIFS('9'!$E:$E,'9'!$A:$A,Año_Inicial+7,'9'!$B:$B,'12'!AH$4,'9'!$D:$D,"Corte")</f>
        <v>0</v>
      </c>
      <c r="AJ40" s="101">
        <f>P_A8_L16*CUI_Corte*Inflación_8</f>
        <v>0</v>
      </c>
      <c r="AK40" s="101">
        <f>SUMIFS('9'!$E:$E,'9'!$A:$A,Año_Inicial+7,'9'!$B:$B,'12'!AJ$4,'9'!$D:$D,"Corte")</f>
        <v>0</v>
      </c>
      <c r="AL40" s="101">
        <f>P_A8_L17*CUI_Corte*Inflación_8</f>
        <v>0</v>
      </c>
      <c r="AM40" s="101">
        <f>SUMIFS('9'!$E:$E,'9'!$A:$A,Año_Inicial+7,'9'!$B:$B,'12'!AL$4,'9'!$D:$D,"Corte")</f>
        <v>0</v>
      </c>
      <c r="AN40" s="101">
        <f>P_A8_L18*CUI_Corte*Inflación_8</f>
        <v>0</v>
      </c>
      <c r="AO40" s="101">
        <f>SUMIFS('9'!$E:$E,'9'!$A:$A,Año_Inicial+7,'9'!$B:$B,'12'!AN$4,'9'!$D:$D,"Corte")</f>
        <v>0</v>
      </c>
      <c r="AP40" s="101">
        <f>P_A8_L19*CUI_Corte*Inflación_8</f>
        <v>0</v>
      </c>
      <c r="AQ40" s="101">
        <f>SUMIFS('9'!$E:$E,'9'!$A:$A,Año_Inicial+7,'9'!$B:$B,'12'!AP$4,'9'!$D:$D,"Corte")</f>
        <v>0</v>
      </c>
      <c r="AR40" s="101">
        <f>P_A8_L20*CUI_Corte*Inflación_8</f>
        <v>0</v>
      </c>
      <c r="AS40" s="101">
        <f>SUMIFS('9'!$E:$E,'9'!$A:$A,Año_Inicial+7,'9'!$B:$B,'12'!AR$4,'9'!$D:$D,"Corte")</f>
        <v>0</v>
      </c>
      <c r="AT40" s="101">
        <f>P_A8_L21*CUI_Corte*Inflación_8</f>
        <v>0</v>
      </c>
      <c r="AU40" s="101">
        <f>SUMIFS('9'!$E:$E,'9'!$A:$A,Año_Inicial+7,'9'!$B:$B,'12'!AT$4,'9'!$D:$D,"Corte")</f>
        <v>0</v>
      </c>
      <c r="AV40" s="101">
        <f>P_A8_L22*CUI_Corte*Inflación_8</f>
        <v>0</v>
      </c>
      <c r="AW40" s="101">
        <f>SUMIFS('9'!$E:$E,'9'!$A:$A,Año_Inicial+7,'9'!$B:$B,'12'!AV$4,'9'!$D:$D,"Corte")</f>
        <v>0</v>
      </c>
      <c r="AX40" s="101">
        <f>P_A8_L23*CUI_Corte*Inflación_8</f>
        <v>0</v>
      </c>
      <c r="AY40" s="101">
        <f>SUMIFS('9'!$E:$E,'9'!$A:$A,Año_Inicial+7,'9'!$B:$B,'12'!AX$4,'9'!$D:$D,"Corte")</f>
        <v>0</v>
      </c>
      <c r="AZ40" s="101">
        <f>P_A8_L24*CUI_Corte*Inflación_8</f>
        <v>0</v>
      </c>
      <c r="BA40" s="101">
        <f>SUMIFS('9'!$E:$E,'9'!$A:$A,Año_Inicial+7,'9'!$B:$B,'12'!AZ$4,'9'!$D:$D,"Corte")</f>
        <v>0</v>
      </c>
      <c r="BB40" s="101">
        <f>P_A8_L25*CUI_Corte*Inflación_8</f>
        <v>0</v>
      </c>
      <c r="BC40" s="101">
        <f>SUMIFS('9'!$E:$E,'9'!$A:$A,Año_Inicial+7,'9'!$B:$B,'12'!BB$4,'9'!$D:$D,"Corte")</f>
        <v>0</v>
      </c>
      <c r="BD40" s="101">
        <f>P_A8_L26*CUI_Corte*Inflación_8</f>
        <v>0</v>
      </c>
      <c r="BE40" s="101">
        <f>SUMIFS('9'!$E:$E,'9'!$A:$A,Año_Inicial+7,'9'!$B:$B,'12'!BD$4,'9'!$D:$D,"Corte")</f>
        <v>0</v>
      </c>
      <c r="BF40" s="101">
        <f>P_A8_L27*CUI_Corte*Inflación_8</f>
        <v>0</v>
      </c>
      <c r="BG40" s="101">
        <f>SUMIFS('9'!$E:$E,'9'!$A:$A,Año_Inicial+7,'9'!$B:$B,'12'!BF$4,'9'!$D:$D,"Corte")</f>
        <v>0</v>
      </c>
      <c r="BH40" s="101">
        <f>P_A8_L28*CUI_Corte*Inflación_8</f>
        <v>0</v>
      </c>
      <c r="BI40" s="101">
        <f>SUMIFS('9'!$E:$E,'9'!$A:$A,Año_Inicial+7,'9'!$B:$B,'12'!BH$4,'9'!$D:$D,"Corte")</f>
        <v>0</v>
      </c>
      <c r="BJ40" s="101">
        <f>P_A8_L29*CUI_Corte*Inflación_8</f>
        <v>0</v>
      </c>
      <c r="BK40" s="101">
        <f>SUMIFS('9'!$E:$E,'9'!$A:$A,Año_Inicial+7,'9'!$B:$B,'12'!BJ$4,'9'!$D:$D,"Corte")</f>
        <v>0</v>
      </c>
      <c r="BL40" s="101">
        <f>P_A8_L30*CUI_Corte*Inflación_8</f>
        <v>0</v>
      </c>
      <c r="BM40" s="101">
        <f>SUMIFS('9'!$E:$E,'9'!$A:$A,Año_Inicial+7,'9'!$B:$B,'12'!BL$4,'9'!$D:$D,"Corte")</f>
        <v>0</v>
      </c>
      <c r="BN40" s="101">
        <f>P_A8_L31*CUI_Corte*Inflación_8</f>
        <v>0</v>
      </c>
      <c r="BO40" s="101">
        <f>SUMIFS('9'!$E:$E,'9'!$A:$A,Año_Inicial+7,'9'!$B:$B,'12'!BN$4,'9'!$D:$D,"Corte")</f>
        <v>0</v>
      </c>
      <c r="BP40" s="101">
        <f>P_A8_L32*CUI_Corte*Inflación_8</f>
        <v>0</v>
      </c>
      <c r="BQ40" s="101">
        <f>SUMIFS('9'!$E:$E,'9'!$A:$A,Año_Inicial+7,'9'!$B:$B,'12'!BP$4,'9'!$D:$D,"Corte")</f>
        <v>0</v>
      </c>
      <c r="BR40" s="101">
        <f>P_A8_L33*CUI_Corte*Inflación_8</f>
        <v>0</v>
      </c>
      <c r="BS40" s="101">
        <f>SUMIFS('9'!$E:$E,'9'!$A:$A,Año_Inicial+7,'9'!$B:$B,'12'!BR$4,'9'!$D:$D,"Corte")</f>
        <v>0</v>
      </c>
      <c r="BT40" s="101">
        <f>P_A8_L34*CUI_Corte*Inflación_8</f>
        <v>0</v>
      </c>
      <c r="BU40" s="101">
        <f>SUMIFS('9'!$E:$E,'9'!$A:$A,Año_Inicial+7,'9'!$B:$B,'12'!BT$4,'9'!$D:$D,"Corte")</f>
        <v>0</v>
      </c>
      <c r="BV40" s="101">
        <f>P_A8_L35*CUI_Corte*Inflación_8</f>
        <v>0</v>
      </c>
      <c r="BW40" s="101">
        <f>SUMIFS('9'!$E:$E,'9'!$A:$A,Año_Inicial+7,'9'!$B:$B,'12'!BV$4,'9'!$D:$D,"Corte")</f>
        <v>0</v>
      </c>
      <c r="BX40" s="101">
        <f>P_A8_L36*CUI_Corte*Inflación_8</f>
        <v>0</v>
      </c>
      <c r="BY40" s="101">
        <f>SUMIFS('9'!$E:$E,'9'!$A:$A,Año_Inicial+7,'9'!$B:$B,'12'!BX$4,'9'!$D:$D,"Corte")</f>
        <v>0</v>
      </c>
      <c r="BZ40" s="101">
        <f>P_A8_L37*CUI_Corte*Inflación_8</f>
        <v>0</v>
      </c>
      <c r="CA40" s="101">
        <f>SUMIFS('9'!$E:$E,'9'!$A:$A,Año_Inicial+7,'9'!$B:$B,'12'!BZ$4,'9'!$D:$D,"Corte")</f>
        <v>0</v>
      </c>
      <c r="CB40" s="101">
        <f>P_A8_L38*CUI_Corte*Inflación_8</f>
        <v>0</v>
      </c>
      <c r="CC40" s="101">
        <f>SUMIFS('9'!$E:$E,'9'!$A:$A,Año_Inicial+7,'9'!$B:$B,'12'!CB$4,'9'!$D:$D,"Corte")</f>
        <v>0</v>
      </c>
      <c r="CD40" s="101">
        <f>P_A8_L39*CUI_Corte*Inflación_8</f>
        <v>0</v>
      </c>
      <c r="CE40" s="101">
        <f>SUMIFS('9'!$E:$E,'9'!$A:$A,Año_Inicial+7,'9'!$B:$B,'12'!CD$4,'9'!$D:$D,"Corte")</f>
        <v>0</v>
      </c>
      <c r="CF40" s="101">
        <f>P_A8_L40*CUI_Corte*Inflación_8</f>
        <v>0</v>
      </c>
      <c r="CG40" s="101">
        <f>SUMIFS('9'!$E:$E,'9'!$A:$A,Año_Inicial+7,'9'!$B:$B,'12'!CF$4,'9'!$D:$D,"Corte")</f>
        <v>0</v>
      </c>
      <c r="CH40" s="473"/>
      <c r="CI40" s="101">
        <f>CI7*CUI_Corte*Inflación_8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SUMIFS('9'!$E:$E,'9'!$A:$A,Año_Inicial+7,'9'!$D:$D,"Beneficiado")</f>
        <v>0</v>
      </c>
      <c r="D41" s="100" t="e">
        <f t="shared" si="45"/>
        <v>#DIV/0!</v>
      </c>
      <c r="E41" s="473"/>
      <c r="F41" s="101">
        <f>(P_A8_L1/5)*CUI_Poscosecha*Inflación_8</f>
        <v>0</v>
      </c>
      <c r="G41" s="101">
        <f>SUMIFS('9'!$E:$E,'9'!$A:$A,Año_Inicial+7,'9'!$B:$B,'12'!F$4,'9'!$D:$D,"Beneficiado")</f>
        <v>0</v>
      </c>
      <c r="H41" s="101">
        <f>(P_A8_L2/5)*CUI_Poscosecha*Inflación_8</f>
        <v>0</v>
      </c>
      <c r="I41" s="101">
        <f>SUMIFS('9'!$E:$E,'9'!$A:$A,Año_Inicial+7,'9'!$B:$B,'12'!H$4,'9'!$D:$D,"Beneficiado")</f>
        <v>0</v>
      </c>
      <c r="J41" s="101">
        <f>(P_A8_L3/5)*CUI_Poscosecha*Inflación_8</f>
        <v>0</v>
      </c>
      <c r="K41" s="101">
        <f>SUMIFS('9'!$E:$E,'9'!$A:$A,Año_Inicial+7,'9'!$B:$B,'12'!J$4,'9'!$D:$D,"Beneficiado")</f>
        <v>0</v>
      </c>
      <c r="L41" s="101">
        <f>(P_A8_L4/5)*CUI_Poscosecha*Inflación_8</f>
        <v>0</v>
      </c>
      <c r="M41" s="101">
        <f>SUMIFS('9'!$E:$E,'9'!$A:$A,Año_Inicial+7,'9'!$B:$B,'12'!L$4,'9'!$D:$D,"Beneficiado")</f>
        <v>0</v>
      </c>
      <c r="N41" s="101">
        <f>(P_A8_L5/5)*CUI_Poscosecha*Inflación_8</f>
        <v>0</v>
      </c>
      <c r="O41" s="101">
        <f>SUMIFS('9'!$E:$E,'9'!$A:$A,Año_Inicial+7,'9'!$B:$B,'12'!N$4,'9'!$D:$D,"Beneficiado")</f>
        <v>0</v>
      </c>
      <c r="P41" s="101">
        <f>(P_A8_L6/5)*CUI_Poscosecha*Inflación_8</f>
        <v>0</v>
      </c>
      <c r="Q41" s="101">
        <f>SUMIFS('9'!$E:$E,'9'!$A:$A,Año_Inicial+7,'9'!$B:$B,'12'!P$4,'9'!$D:$D,"Beneficiado")</f>
        <v>0</v>
      </c>
      <c r="R41" s="101">
        <f>(P_A8_L7/5)*CUI_Poscosecha*Inflación_8</f>
        <v>0</v>
      </c>
      <c r="S41" s="101">
        <f>SUMIFS('9'!$E:$E,'9'!$A:$A,Año_Inicial+7,'9'!$B:$B,'12'!R$4,'9'!$D:$D,"Beneficiado")</f>
        <v>0</v>
      </c>
      <c r="T41" s="101">
        <f>(P_A8_L8/5)*CUI_Poscosecha*Inflación_8</f>
        <v>0</v>
      </c>
      <c r="U41" s="101">
        <f>SUMIFS('9'!$E:$E,'9'!$A:$A,Año_Inicial+7,'9'!$B:$B,'12'!T$4,'9'!$D:$D,"Beneficiado")</f>
        <v>0</v>
      </c>
      <c r="V41" s="101">
        <f>(P_A8_L9/5)*CUI_Poscosecha*Inflación_8</f>
        <v>0</v>
      </c>
      <c r="W41" s="101">
        <f>SUMIFS('9'!$E:$E,'9'!$A:$A,Año_Inicial+7,'9'!$B:$B,'12'!V$4,'9'!$D:$D,"Beneficiado")</f>
        <v>0</v>
      </c>
      <c r="X41" s="101">
        <f>(P_A8_L10/5)*CUI_Poscosecha*Inflación_8</f>
        <v>0</v>
      </c>
      <c r="Y41" s="101">
        <f>SUMIFS('9'!$E:$E,'9'!$A:$A,Año_Inicial+7,'9'!$B:$B,'12'!X$4,'9'!$D:$D,"Beneficiado")</f>
        <v>0</v>
      </c>
      <c r="Z41" s="101">
        <f>(P_A8_L11/5)*CUI_Poscosecha*Inflación_8</f>
        <v>0</v>
      </c>
      <c r="AA41" s="101">
        <f>SUMIFS('9'!$E:$E,'9'!$A:$A,Año_Inicial+7,'9'!$B:$B,'12'!Z$4,'9'!$D:$D,"Beneficiado")</f>
        <v>0</v>
      </c>
      <c r="AB41" s="101">
        <f>(P_A8_L12/5)*CUI_Poscosecha*Inflación_8</f>
        <v>0</v>
      </c>
      <c r="AC41" s="101">
        <f>SUMIFS('9'!$E:$E,'9'!$A:$A,Año_Inicial+7,'9'!$B:$B,'12'!AB$4,'9'!$D:$D,"Beneficiado")</f>
        <v>0</v>
      </c>
      <c r="AD41" s="101">
        <f>(P_A8_L13/5)*CUI_Poscosecha*Inflación_8</f>
        <v>0</v>
      </c>
      <c r="AE41" s="101">
        <f>SUMIFS('9'!$E:$E,'9'!$A:$A,Año_Inicial+7,'9'!$B:$B,'12'!AD$4,'9'!$D:$D,"Beneficiado")</f>
        <v>0</v>
      </c>
      <c r="AF41" s="101">
        <f>(P_A8_L14/5)*CUI_Poscosecha*Inflación_8</f>
        <v>0</v>
      </c>
      <c r="AG41" s="101">
        <f>SUMIFS('9'!$E:$E,'9'!$A:$A,Año_Inicial+7,'9'!$B:$B,'12'!AF$4,'9'!$D:$D,"Beneficiado")</f>
        <v>0</v>
      </c>
      <c r="AH41" s="101">
        <f>(P_A8_L15/5)*CUI_Poscosecha*Inflación_8</f>
        <v>0</v>
      </c>
      <c r="AI41" s="101">
        <f>SUMIFS('9'!$E:$E,'9'!$A:$A,Año_Inicial+7,'9'!$B:$B,'12'!AH$4,'9'!$D:$D,"Beneficiado")</f>
        <v>0</v>
      </c>
      <c r="AJ41" s="101">
        <f>(P_A8_L16/5)*CUI_Poscosecha*Inflación_8</f>
        <v>0</v>
      </c>
      <c r="AK41" s="101">
        <f>SUMIFS('9'!$E:$E,'9'!$A:$A,Año_Inicial+7,'9'!$B:$B,'12'!AJ$4,'9'!$D:$D,"Beneficiado")</f>
        <v>0</v>
      </c>
      <c r="AL41" s="101">
        <f>(P_A8_L17/5)*CUI_Poscosecha*Inflación_8</f>
        <v>0</v>
      </c>
      <c r="AM41" s="101">
        <f>SUMIFS('9'!$E:$E,'9'!$A:$A,Año_Inicial+7,'9'!$B:$B,'12'!AL$4,'9'!$D:$D,"Beneficiado")</f>
        <v>0</v>
      </c>
      <c r="AN41" s="101">
        <f>(P_A8_L18/5)*CUI_Poscosecha*Inflación_8</f>
        <v>0</v>
      </c>
      <c r="AO41" s="101">
        <f>SUMIFS('9'!$E:$E,'9'!$A:$A,Año_Inicial+7,'9'!$B:$B,'12'!AN$4,'9'!$D:$D,"Beneficiado")</f>
        <v>0</v>
      </c>
      <c r="AP41" s="101">
        <f>(P_A8_L19/5)*CUI_Poscosecha*Inflación_8</f>
        <v>0</v>
      </c>
      <c r="AQ41" s="101">
        <f>SUMIFS('9'!$E:$E,'9'!$A:$A,Año_Inicial+7,'9'!$B:$B,'12'!AP$4,'9'!$D:$D,"Beneficiado")</f>
        <v>0</v>
      </c>
      <c r="AR41" s="101">
        <f>(P_A8_L20/5)*CUI_Poscosecha*Inflación_8</f>
        <v>0</v>
      </c>
      <c r="AS41" s="101">
        <f>SUMIFS('9'!$E:$E,'9'!$A:$A,Año_Inicial+7,'9'!$B:$B,'12'!AR$4,'9'!$D:$D,"Beneficiado")</f>
        <v>0</v>
      </c>
      <c r="AT41" s="101">
        <f>(P_A8_L21/5)*CUI_Poscosecha*Inflación_8</f>
        <v>0</v>
      </c>
      <c r="AU41" s="101">
        <f>SUMIFS('9'!$E:$E,'9'!$A:$A,Año_Inicial+7,'9'!$B:$B,'12'!AT$4,'9'!$D:$D,"Beneficiado")</f>
        <v>0</v>
      </c>
      <c r="AV41" s="101">
        <f>(P_A8_L22/5)*CUI_Poscosecha*Inflación_8</f>
        <v>0</v>
      </c>
      <c r="AW41" s="101">
        <f>SUMIFS('9'!$E:$E,'9'!$A:$A,Año_Inicial+7,'9'!$B:$B,'12'!AV$4,'9'!$D:$D,"Beneficiado")</f>
        <v>0</v>
      </c>
      <c r="AX41" s="101">
        <f>(P_A8_L23/5)*CUI_Poscosecha*Inflación_8</f>
        <v>0</v>
      </c>
      <c r="AY41" s="101">
        <f>SUMIFS('9'!$E:$E,'9'!$A:$A,Año_Inicial+7,'9'!$B:$B,'12'!AX$4,'9'!$D:$D,"Beneficiado")</f>
        <v>0</v>
      </c>
      <c r="AZ41" s="101">
        <f>(P_A8_L24/5)*CUI_Poscosecha*Inflación_8</f>
        <v>0</v>
      </c>
      <c r="BA41" s="101">
        <f>SUMIFS('9'!$E:$E,'9'!$A:$A,Año_Inicial+7,'9'!$B:$B,'12'!AZ$4,'9'!$D:$D,"Beneficiado")</f>
        <v>0</v>
      </c>
      <c r="BB41" s="101">
        <f>(P_A8_L25/5)*CUI_Poscosecha*Inflación_8</f>
        <v>0</v>
      </c>
      <c r="BC41" s="101">
        <f>SUMIFS('9'!$E:$E,'9'!$A:$A,Año_Inicial+7,'9'!$B:$B,'12'!BB$4,'9'!$D:$D,"Beneficiado")</f>
        <v>0</v>
      </c>
      <c r="BD41" s="101">
        <f>(P_A8_L26/5)*CUI_Poscosecha*Inflación_8</f>
        <v>0</v>
      </c>
      <c r="BE41" s="101">
        <f>SUMIFS('9'!$E:$E,'9'!$A:$A,Año_Inicial+7,'9'!$B:$B,'12'!BD$4,'9'!$D:$D,"Beneficiado")</f>
        <v>0</v>
      </c>
      <c r="BF41" s="101">
        <f>(P_A8_L27/5)*CUI_Poscosecha*Inflación_8</f>
        <v>0</v>
      </c>
      <c r="BG41" s="101">
        <f>SUMIFS('9'!$E:$E,'9'!$A:$A,Año_Inicial+7,'9'!$B:$B,'12'!BF$4,'9'!$D:$D,"Beneficiado")</f>
        <v>0</v>
      </c>
      <c r="BH41" s="101">
        <f>(P_A8_L28/5)*CUI_Poscosecha*Inflación_8</f>
        <v>0</v>
      </c>
      <c r="BI41" s="101">
        <f>SUMIFS('9'!$E:$E,'9'!$A:$A,Año_Inicial+7,'9'!$B:$B,'12'!BH$4,'9'!$D:$D,"Beneficiado")</f>
        <v>0</v>
      </c>
      <c r="BJ41" s="101">
        <f>(P_A8_L29/5)*CUI_Poscosecha*Inflación_8</f>
        <v>0</v>
      </c>
      <c r="BK41" s="101">
        <f>SUMIFS('9'!$E:$E,'9'!$A:$A,Año_Inicial+7,'9'!$B:$B,'12'!BJ$4,'9'!$D:$D,"Beneficiado")</f>
        <v>0</v>
      </c>
      <c r="BL41" s="101">
        <f>(P_A8_L30/5)*CUI_Poscosecha*Inflación_8</f>
        <v>0</v>
      </c>
      <c r="BM41" s="101">
        <f>SUMIFS('9'!$E:$E,'9'!$A:$A,Año_Inicial+7,'9'!$B:$B,'12'!BL$4,'9'!$D:$D,"Beneficiado")</f>
        <v>0</v>
      </c>
      <c r="BN41" s="101">
        <f>(P_A8_L31/5)*CUI_Poscosecha*Inflación_8</f>
        <v>0</v>
      </c>
      <c r="BO41" s="101">
        <f>SUMIFS('9'!$E:$E,'9'!$A:$A,Año_Inicial+7,'9'!$B:$B,'12'!BN$4,'9'!$D:$D,"Beneficiado")</f>
        <v>0</v>
      </c>
      <c r="BP41" s="101">
        <f>(P_A8_L32/5)*CUI_Poscosecha*Inflación_8</f>
        <v>0</v>
      </c>
      <c r="BQ41" s="101">
        <f>SUMIFS('9'!$E:$E,'9'!$A:$A,Año_Inicial+7,'9'!$B:$B,'12'!BP$4,'9'!$D:$D,"Beneficiado")</f>
        <v>0</v>
      </c>
      <c r="BR41" s="101">
        <f>(P_A8_L33/5)*CUI_Poscosecha*Inflación_8</f>
        <v>0</v>
      </c>
      <c r="BS41" s="101">
        <f>SUMIFS('9'!$E:$E,'9'!$A:$A,Año_Inicial+7,'9'!$B:$B,'12'!BR$4,'9'!$D:$D,"Beneficiado")</f>
        <v>0</v>
      </c>
      <c r="BT41" s="101">
        <f>(P_A8_L34/5)*CUI_Poscosecha*Inflación_8</f>
        <v>0</v>
      </c>
      <c r="BU41" s="101">
        <f>SUMIFS('9'!$E:$E,'9'!$A:$A,Año_Inicial+7,'9'!$B:$B,'12'!BT$4,'9'!$D:$D,"Beneficiado")</f>
        <v>0</v>
      </c>
      <c r="BV41" s="101">
        <f>(P_A8_L35/5)*CUI_Poscosecha*Inflación_8</f>
        <v>0</v>
      </c>
      <c r="BW41" s="101">
        <f>SUMIFS('9'!$E:$E,'9'!$A:$A,Año_Inicial+7,'9'!$B:$B,'12'!BV$4,'9'!$D:$D,"Beneficiado")</f>
        <v>0</v>
      </c>
      <c r="BX41" s="101">
        <f>(P_A8_L36/5)*CUI_Poscosecha*Inflación_8</f>
        <v>0</v>
      </c>
      <c r="BY41" s="101">
        <f>SUMIFS('9'!$E:$E,'9'!$A:$A,Año_Inicial+7,'9'!$B:$B,'12'!BX$4,'9'!$D:$D,"Beneficiado")</f>
        <v>0</v>
      </c>
      <c r="BZ41" s="101">
        <f>(P_A8_L37/5)*CUI_Poscosecha*Inflación_8</f>
        <v>0</v>
      </c>
      <c r="CA41" s="101">
        <f>SUMIFS('9'!$E:$E,'9'!$A:$A,Año_Inicial+7,'9'!$B:$B,'12'!BZ$4,'9'!$D:$D,"Beneficiado")</f>
        <v>0</v>
      </c>
      <c r="CB41" s="101">
        <f>(P_A8_L38/5)*CUI_Poscosecha*Inflación_8</f>
        <v>0</v>
      </c>
      <c r="CC41" s="101">
        <f>SUMIFS('9'!$E:$E,'9'!$A:$A,Año_Inicial+7,'9'!$B:$B,'12'!CB$4,'9'!$D:$D,"Beneficiado")</f>
        <v>0</v>
      </c>
      <c r="CD41" s="101">
        <f>(P_A8_L39/5)*CUI_Poscosecha*Inflación_8</f>
        <v>0</v>
      </c>
      <c r="CE41" s="101">
        <f>SUMIFS('9'!$E:$E,'9'!$A:$A,Año_Inicial+7,'9'!$B:$B,'12'!CD$4,'9'!$D:$D,"Beneficiado")</f>
        <v>0</v>
      </c>
      <c r="CF41" s="101">
        <f>(P_A8_L40/5)*CUI_Poscosecha*Inflación_8</f>
        <v>0</v>
      </c>
      <c r="CG41" s="101">
        <f>SUMIFS('9'!$E:$E,'9'!$A:$A,Año_Inicial+7,'9'!$B:$B,'12'!CF$4,'9'!$D:$D,"Beneficiado")</f>
        <v>0</v>
      </c>
      <c r="CH41" s="473"/>
      <c r="CI41" s="101" t="e">
        <f>(CI7/Pergo)*CUI_Poscosecha*Inflación_8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SUMIFS('9'!$E:$E,'9'!$A:$A,Año_Inicial+7,'9'!$C:$C,"Renovación")</f>
        <v>0</v>
      </c>
      <c r="D43" s="100">
        <f t="shared" si="45"/>
        <v>0</v>
      </c>
      <c r="E43" s="473"/>
      <c r="F43" s="101">
        <f>A8_Z_L1*Planta_Z*Inflación_8</f>
        <v>0</v>
      </c>
      <c r="G43" s="101">
        <f>SUMIFS('9'!$E:$E,'9'!$A:$A,Año_Inicial+7,'9'!$B:$B,'12'!F$4,'9'!$C:$C,"Renovación")</f>
        <v>0</v>
      </c>
      <c r="H43" s="101">
        <f>A8_Z_L2*Planta_Z*Inflación_8</f>
        <v>0</v>
      </c>
      <c r="I43" s="101">
        <f>SUMIFS('9'!$E:$E,'9'!$A:$A,Año_Inicial+7,'9'!$B:$B,'12'!H$4,'9'!$C:$C,"Renovación")</f>
        <v>0</v>
      </c>
      <c r="J43" s="101">
        <f>A8_Z_L3*Planta_Z*Inflación_8</f>
        <v>0</v>
      </c>
      <c r="K43" s="101">
        <f>SUMIFS('9'!$E:$E,'9'!$A:$A,Año_Inicial+7,'9'!$B:$B,'12'!J$4,'9'!$C:$C,"Renovación")</f>
        <v>0</v>
      </c>
      <c r="L43" s="101">
        <f>A8_Z_L4*Planta_Z*Inflación_8</f>
        <v>0</v>
      </c>
      <c r="M43" s="101">
        <f>SUMIFS('9'!$E:$E,'9'!$A:$A,Año_Inicial+7,'9'!$B:$B,'12'!L$4,'9'!$C:$C,"Renovación")</f>
        <v>0</v>
      </c>
      <c r="N43" s="101">
        <f>A8_Z_L5*Planta_Z*Inflación_8</f>
        <v>0</v>
      </c>
      <c r="O43" s="101">
        <f>SUMIFS('9'!$E:$E,'9'!$A:$A,Año_Inicial+7,'9'!$B:$B,'12'!N$4,'9'!$C:$C,"Renovación")</f>
        <v>0</v>
      </c>
      <c r="P43" s="101">
        <f>A8_Z_L6*Planta_Z*Inflación_8</f>
        <v>0</v>
      </c>
      <c r="Q43" s="101">
        <f>SUMIFS('9'!$E:$E,'9'!$A:$A,Año_Inicial+7,'9'!$B:$B,'12'!P$4,'9'!$C:$C,"Renovación")</f>
        <v>0</v>
      </c>
      <c r="R43" s="101">
        <f>A8_Z_L7*Planta_Z*Inflación_8</f>
        <v>0</v>
      </c>
      <c r="S43" s="101">
        <f>SUMIFS('9'!$E:$E,'9'!$A:$A,Año_Inicial+7,'9'!$B:$B,'12'!R$4,'9'!$C:$C,"Renovación")</f>
        <v>0</v>
      </c>
      <c r="T43" s="101">
        <f>A8_Z_L8*Planta_Z*Inflación_8</f>
        <v>0</v>
      </c>
      <c r="U43" s="101">
        <f>SUMIFS('9'!$E:$E,'9'!$A:$A,Año_Inicial+7,'9'!$B:$B,'12'!T$4,'9'!$C:$C,"Renovación")</f>
        <v>0</v>
      </c>
      <c r="V43" s="101">
        <f>A8_Z_L9*Planta_Z*Inflación_8</f>
        <v>0</v>
      </c>
      <c r="W43" s="101">
        <f>SUMIFS('9'!$E:$E,'9'!$A:$A,Año_Inicial+7,'9'!$B:$B,'12'!V$4,'9'!$C:$C,"Renovación")</f>
        <v>0</v>
      </c>
      <c r="X43" s="101">
        <f>A8_Z_L10*Planta_Z*Inflación_8</f>
        <v>0</v>
      </c>
      <c r="Y43" s="101">
        <f>SUMIFS('9'!$E:$E,'9'!$A:$A,Año_Inicial+7,'9'!$B:$B,'12'!X$4,'9'!$C:$C,"Renovación")</f>
        <v>0</v>
      </c>
      <c r="Z43" s="101">
        <f>A8_Z_L11*Planta_Z*Inflación_8</f>
        <v>0</v>
      </c>
      <c r="AA43" s="101">
        <f>SUMIFS('9'!$E:$E,'9'!$A:$A,Año_Inicial+7,'9'!$B:$B,'12'!Z$4,'9'!$C:$C,"Renovación")</f>
        <v>0</v>
      </c>
      <c r="AB43" s="101">
        <f>A8_Z_L12*Planta_Z*Inflación_8</f>
        <v>0</v>
      </c>
      <c r="AC43" s="101">
        <f>SUMIFS('9'!$E:$E,'9'!$A:$A,Año_Inicial+7,'9'!$B:$B,'12'!AB$4,'9'!$C:$C,"Renovación")</f>
        <v>0</v>
      </c>
      <c r="AD43" s="101">
        <f>A8_Z_L13*Planta_Z*Inflación_8</f>
        <v>0</v>
      </c>
      <c r="AE43" s="101">
        <f>SUMIFS('9'!$E:$E,'9'!$A:$A,Año_Inicial+7,'9'!$B:$B,'12'!AD$4,'9'!$C:$C,"Renovación")</f>
        <v>0</v>
      </c>
      <c r="AF43" s="101">
        <f>A8_Z_L14*Planta_Z*Inflación_8</f>
        <v>0</v>
      </c>
      <c r="AG43" s="101">
        <f>SUMIFS('9'!$E:$E,'9'!$A:$A,Año_Inicial+7,'9'!$B:$B,'12'!AF$4,'9'!$C:$C,"Renovación")</f>
        <v>0</v>
      </c>
      <c r="AH43" s="101">
        <f>A8_Z_L15*Planta_Z*Inflación_8</f>
        <v>0</v>
      </c>
      <c r="AI43" s="101">
        <f>SUMIFS('9'!$E:$E,'9'!$A:$A,Año_Inicial+7,'9'!$B:$B,'12'!AH$4,'9'!$C:$C,"Renovación")</f>
        <v>0</v>
      </c>
      <c r="AJ43" s="101">
        <f>A8_Z_L16*Planta_Z*Inflación_8</f>
        <v>0</v>
      </c>
      <c r="AK43" s="101">
        <f>SUMIFS('9'!$E:$E,'9'!$A:$A,Año_Inicial+7,'9'!$B:$B,'12'!AJ$4,'9'!$C:$C,"Renovación")</f>
        <v>0</v>
      </c>
      <c r="AL43" s="101">
        <f>A8_Z_L17*Planta_Z*Inflación_8</f>
        <v>0</v>
      </c>
      <c r="AM43" s="101">
        <f>SUMIFS('9'!$E:$E,'9'!$A:$A,Año_Inicial+7,'9'!$B:$B,'12'!AL$4,'9'!$C:$C,"Renovación")</f>
        <v>0</v>
      </c>
      <c r="AN43" s="101">
        <f>A8_Z_L18*Planta_Z*Inflación_8</f>
        <v>0</v>
      </c>
      <c r="AO43" s="101">
        <f>SUMIFS('9'!$E:$E,'9'!$A:$A,Año_Inicial+7,'9'!$B:$B,'12'!AN$4,'9'!$C:$C,"Renovación")</f>
        <v>0</v>
      </c>
      <c r="AP43" s="101">
        <f>A8_Z_L19*Planta_Z*Inflación_8</f>
        <v>0</v>
      </c>
      <c r="AQ43" s="101">
        <f>SUMIFS('9'!$E:$E,'9'!$A:$A,Año_Inicial+7,'9'!$B:$B,'12'!AP$4,'9'!$C:$C,"Renovación")</f>
        <v>0</v>
      </c>
      <c r="AR43" s="101">
        <f>A8_Z_L20*Planta_Z*Inflación_8</f>
        <v>0</v>
      </c>
      <c r="AS43" s="101">
        <f>SUMIFS('9'!$E:$E,'9'!$A:$A,Año_Inicial+7,'9'!$B:$B,'12'!AR$4,'9'!$C:$C,"Renovación")</f>
        <v>0</v>
      </c>
      <c r="AT43" s="101">
        <f>A8_Z_L21*Planta_Z*Inflación_8</f>
        <v>0</v>
      </c>
      <c r="AU43" s="101">
        <f>SUMIFS('9'!$E:$E,'9'!$A:$A,Año_Inicial+7,'9'!$B:$B,'12'!AT$4,'9'!$C:$C,"Renovación")</f>
        <v>0</v>
      </c>
      <c r="AV43" s="101">
        <f>A8_Z_L22*Planta_Z*Inflación_8</f>
        <v>0</v>
      </c>
      <c r="AW43" s="101">
        <f>SUMIFS('9'!$E:$E,'9'!$A:$A,Año_Inicial+7,'9'!$B:$B,'12'!AV$4,'9'!$C:$C,"Renovación")</f>
        <v>0</v>
      </c>
      <c r="AX43" s="101">
        <f>A8_Z_L23*Planta_Z*Inflación_8</f>
        <v>0</v>
      </c>
      <c r="AY43" s="101">
        <f>SUMIFS('9'!$E:$E,'9'!$A:$A,Año_Inicial+7,'9'!$B:$B,'12'!AX$4,'9'!$C:$C,"Renovación")</f>
        <v>0</v>
      </c>
      <c r="AZ43" s="101">
        <f>A8_Z_L24*Planta_Z*Inflación_8</f>
        <v>0</v>
      </c>
      <c r="BA43" s="101">
        <f>SUMIFS('9'!$E:$E,'9'!$A:$A,Año_Inicial+7,'9'!$B:$B,'12'!AZ$4,'9'!$C:$C,"Renovación")</f>
        <v>0</v>
      </c>
      <c r="BB43" s="101">
        <f>A8_Z_L25*Planta_Z*Inflación_8</f>
        <v>0</v>
      </c>
      <c r="BC43" s="101">
        <f>SUMIFS('9'!$E:$E,'9'!$A:$A,Año_Inicial+7,'9'!$B:$B,'12'!BB$4,'9'!$C:$C,"Renovación")</f>
        <v>0</v>
      </c>
      <c r="BD43" s="101">
        <f>A8_Z_L26*Planta_Z*Inflación_8</f>
        <v>0</v>
      </c>
      <c r="BE43" s="101">
        <f>SUMIFS('9'!$E:$E,'9'!$A:$A,Año_Inicial+7,'9'!$B:$B,'12'!BD$4,'9'!$C:$C,"Renovación")</f>
        <v>0</v>
      </c>
      <c r="BF43" s="101">
        <f>A8_Z_L27*Planta_Z*Inflación_8</f>
        <v>0</v>
      </c>
      <c r="BG43" s="101">
        <f>SUMIFS('9'!$E:$E,'9'!$A:$A,Año_Inicial+7,'9'!$B:$B,'12'!BF$4,'9'!$C:$C,"Renovación")</f>
        <v>0</v>
      </c>
      <c r="BH43" s="101">
        <f>A8_Z_L28*Planta_Z*Inflación_8</f>
        <v>0</v>
      </c>
      <c r="BI43" s="101">
        <f>SUMIFS('9'!$E:$E,'9'!$A:$A,Año_Inicial+7,'9'!$B:$B,'12'!BH$4,'9'!$C:$C,"Renovación")</f>
        <v>0</v>
      </c>
      <c r="BJ43" s="101">
        <f>A8_Z_L29*Planta_Z*Inflación_8</f>
        <v>0</v>
      </c>
      <c r="BK43" s="101">
        <f>SUMIFS('9'!$E:$E,'9'!$A:$A,Año_Inicial+7,'9'!$B:$B,'12'!BJ$4,'9'!$C:$C,"Renovación")</f>
        <v>0</v>
      </c>
      <c r="BL43" s="101">
        <f>A8_Z_L30*Planta_Z*Inflación_8</f>
        <v>0</v>
      </c>
      <c r="BM43" s="101">
        <f>SUMIFS('9'!$E:$E,'9'!$A:$A,Año_Inicial+7,'9'!$B:$B,'12'!BL$4,'9'!$C:$C,"Renovación")</f>
        <v>0</v>
      </c>
      <c r="BN43" s="101">
        <f>A8_Z_L31*Planta_Z*Inflación_8</f>
        <v>0</v>
      </c>
      <c r="BO43" s="101">
        <f>SUMIFS('9'!$E:$E,'9'!$A:$A,Año_Inicial+7,'9'!$B:$B,'12'!BN$4,'9'!$C:$C,"Renovación")</f>
        <v>0</v>
      </c>
      <c r="BP43" s="101">
        <f>A8_Z_L32*Planta_Z*Inflación_8</f>
        <v>0</v>
      </c>
      <c r="BQ43" s="101">
        <f>SUMIFS('9'!$E:$E,'9'!$A:$A,Año_Inicial+7,'9'!$B:$B,'12'!BP$4,'9'!$C:$C,"Renovación")</f>
        <v>0</v>
      </c>
      <c r="BR43" s="101">
        <f>A8_Z_L33*Planta_Z*Inflación_8</f>
        <v>0</v>
      </c>
      <c r="BS43" s="101">
        <f>SUMIFS('9'!$E:$E,'9'!$A:$A,Año_Inicial+7,'9'!$B:$B,'12'!BR$4,'9'!$C:$C,"Renovación")</f>
        <v>0</v>
      </c>
      <c r="BT43" s="101">
        <f>A8_Z_L34*Planta_Z*Inflación_8</f>
        <v>0</v>
      </c>
      <c r="BU43" s="101">
        <f>SUMIFS('9'!$E:$E,'9'!$A:$A,Año_Inicial+7,'9'!$B:$B,'12'!BT$4,'9'!$C:$C,"Renovación")</f>
        <v>0</v>
      </c>
      <c r="BV43" s="101">
        <f>A8_Z_L35*Planta_Z*Inflación_8</f>
        <v>0</v>
      </c>
      <c r="BW43" s="101">
        <f>SUMIFS('9'!$E:$E,'9'!$A:$A,Año_Inicial+7,'9'!$B:$B,'12'!BV$4,'9'!$C:$C,"Renovación")</f>
        <v>0</v>
      </c>
      <c r="BX43" s="101">
        <f>A8_Z_L36*Planta_Z*Inflación_8</f>
        <v>0</v>
      </c>
      <c r="BY43" s="101">
        <f>SUMIFS('9'!$E:$E,'9'!$A:$A,Año_Inicial+7,'9'!$B:$B,'12'!BX$4,'9'!$C:$C,"Renovación")</f>
        <v>0</v>
      </c>
      <c r="BZ43" s="101">
        <f>A8_Z_L37*Planta_Z*Inflación_8</f>
        <v>0</v>
      </c>
      <c r="CA43" s="101">
        <f>SUMIFS('9'!$E:$E,'9'!$A:$A,Año_Inicial+7,'9'!$B:$B,'12'!BZ$4,'9'!$C:$C,"Renovación")</f>
        <v>0</v>
      </c>
      <c r="CB43" s="101">
        <f>A8_Z_L38*Planta_Z*Inflación_8</f>
        <v>0</v>
      </c>
      <c r="CC43" s="101">
        <f>SUMIFS('9'!$E:$E,'9'!$A:$A,Año_Inicial+7,'9'!$B:$B,'12'!CB$4,'9'!$C:$C,"Renovación")</f>
        <v>0</v>
      </c>
      <c r="CD43" s="101">
        <f>A8_Z_L39*Planta_Z*Inflación_8</f>
        <v>0</v>
      </c>
      <c r="CE43" s="101">
        <f>SUMIFS('9'!$E:$E,'9'!$A:$A,Año_Inicial+7,'9'!$B:$B,'12'!CD$4,'9'!$C:$C,"Renovación")</f>
        <v>0</v>
      </c>
      <c r="CF43" s="101">
        <f>A8_Z_L40*Planta_Z*Inflación_8</f>
        <v>0</v>
      </c>
      <c r="CG43" s="101">
        <f>SUMIFS('9'!$E:$E,'9'!$A:$A,Año_Inicial+7,'9'!$B:$B,'12'!CF$4,'9'!$C:$C,"Renovación")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(Plantas_Z_A8*Planta_Z)*Inflación_8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Admin_2*Inflación_8</f>
        <v>0</v>
      </c>
      <c r="C44" s="101">
        <f>SUMIFS('9'!$E:$E,'9'!$A:$A,Año_Inicial+7,'9'!$C:$C,"Gastos_administrativos")</f>
        <v>0</v>
      </c>
      <c r="D44" s="100">
        <f t="shared" si="45"/>
        <v>0</v>
      </c>
      <c r="E44" s="473"/>
      <c r="F44" s="101">
        <f>($B44/$B47)*F47*Inflación_8</f>
        <v>0</v>
      </c>
      <c r="G44" s="101">
        <f>($C44/$B47)*F47</f>
        <v>0</v>
      </c>
      <c r="H44" s="101">
        <f>($B44/$B47)*H47*Inflación_8</f>
        <v>0</v>
      </c>
      <c r="I44" s="101">
        <f>($C44/$B47)*H47</f>
        <v>0</v>
      </c>
      <c r="J44" s="101">
        <f>($B44/$B47)*J47*Inflación_8</f>
        <v>0</v>
      </c>
      <c r="K44" s="101">
        <f>($C44/$B47)*J47</f>
        <v>0</v>
      </c>
      <c r="L44" s="101">
        <f>($B44/$B47)*L47*Inflación_8</f>
        <v>0</v>
      </c>
      <c r="M44" s="101">
        <f>($C44/$B47)*L47</f>
        <v>0</v>
      </c>
      <c r="N44" s="101">
        <f>($B44/$B47)*N47*Inflación_8</f>
        <v>0</v>
      </c>
      <c r="O44" s="101">
        <f>($C44/$B47)*N47</f>
        <v>0</v>
      </c>
      <c r="P44" s="101">
        <f>($B44/$B47)*P47*Inflación_8</f>
        <v>0</v>
      </c>
      <c r="Q44" s="101">
        <f>($C44/$B47)*P47</f>
        <v>0</v>
      </c>
      <c r="R44" s="101">
        <f>($B44/$B47)*R47*Inflación_8</f>
        <v>0</v>
      </c>
      <c r="S44" s="101">
        <f>($C44/$B47)*R47</f>
        <v>0</v>
      </c>
      <c r="T44" s="101">
        <f>($B44/$B47)*T47*Inflación_8</f>
        <v>0</v>
      </c>
      <c r="U44" s="101">
        <f>($C44/$B47)*T47</f>
        <v>0</v>
      </c>
      <c r="V44" s="101">
        <f>($B44/$B47)*V47*Inflación_8</f>
        <v>0</v>
      </c>
      <c r="W44" s="101">
        <f>($C44/$B47)*V47</f>
        <v>0</v>
      </c>
      <c r="X44" s="101">
        <f>($B44/$B47)*X47*Inflación_8</f>
        <v>0</v>
      </c>
      <c r="Y44" s="101">
        <f>($C44/$B47)*X47</f>
        <v>0</v>
      </c>
      <c r="Z44" s="101">
        <f>($B44/$B47)*Z47*Inflación_8</f>
        <v>0</v>
      </c>
      <c r="AA44" s="101">
        <f>($C44/$B47)*Z47</f>
        <v>0</v>
      </c>
      <c r="AB44" s="101">
        <f>($B44/$B47)*AB47*Inflación_8</f>
        <v>0</v>
      </c>
      <c r="AC44" s="101">
        <f>($C44/$B47)*AB47</f>
        <v>0</v>
      </c>
      <c r="AD44" s="101">
        <f>($B44/$B47)*AD47*Inflación_8</f>
        <v>0</v>
      </c>
      <c r="AE44" s="101">
        <f>($C44/$B47)*AD47</f>
        <v>0</v>
      </c>
      <c r="AF44" s="101">
        <f>($B44/$B47)*AF47*Inflación_8</f>
        <v>0</v>
      </c>
      <c r="AG44" s="101">
        <f>($C44/$B47)*AF47</f>
        <v>0</v>
      </c>
      <c r="AH44" s="101">
        <f>($B44/$B47)*AH47*Inflación_8</f>
        <v>0</v>
      </c>
      <c r="AI44" s="101">
        <f>($C44/$B47)*AH47</f>
        <v>0</v>
      </c>
      <c r="AJ44" s="101">
        <f>($B44/$B47)*AJ47*Inflación_8</f>
        <v>0</v>
      </c>
      <c r="AK44" s="101">
        <f>($C44/$B47)*AJ47</f>
        <v>0</v>
      </c>
      <c r="AL44" s="101">
        <f>($B44/$B47)*AL47*Inflación_8</f>
        <v>0</v>
      </c>
      <c r="AM44" s="101">
        <f>($C44/$B47)*AL47</f>
        <v>0</v>
      </c>
      <c r="AN44" s="101">
        <f>($B44/$B47)*AN47*Inflación_8</f>
        <v>0</v>
      </c>
      <c r="AO44" s="101">
        <f>($C44/$B47)*AN47</f>
        <v>0</v>
      </c>
      <c r="AP44" s="101">
        <f>($B44/$B47)*AP47*Inflación_8</f>
        <v>0</v>
      </c>
      <c r="AQ44" s="101">
        <f>($C44/$B47)*AP47</f>
        <v>0</v>
      </c>
      <c r="AR44" s="101">
        <f>($B44/$B47)*AR47*Inflación_8</f>
        <v>0</v>
      </c>
      <c r="AS44" s="101">
        <f>($C44/$B47)*AR47</f>
        <v>0</v>
      </c>
      <c r="AT44" s="101">
        <f>($B44/$B47)*AT47*Inflación_8</f>
        <v>0</v>
      </c>
      <c r="AU44" s="101">
        <f>($C44/$B47)*AT47</f>
        <v>0</v>
      </c>
      <c r="AV44" s="101">
        <f>($B44/$B47)*AV47*Inflación_8</f>
        <v>0</v>
      </c>
      <c r="AW44" s="101">
        <f>($C44/$B47)*AV47</f>
        <v>0</v>
      </c>
      <c r="AX44" s="101">
        <f>($B44/$B47)*AX47*Inflación_8</f>
        <v>0</v>
      </c>
      <c r="AY44" s="101">
        <f>($C44/$B47)*AX47</f>
        <v>0</v>
      </c>
      <c r="AZ44" s="101">
        <f>($B44/$B47)*AZ47*Inflación_8</f>
        <v>0</v>
      </c>
      <c r="BA44" s="101">
        <f>($C44/$B47)*AZ47</f>
        <v>0</v>
      </c>
      <c r="BB44" s="101">
        <f>($B44/$B47)*BB47*Inflación_8</f>
        <v>0</v>
      </c>
      <c r="BC44" s="101">
        <f>($C44/$B47)*BB47</f>
        <v>0</v>
      </c>
      <c r="BD44" s="101">
        <f>($B44/$B47)*BD47*Inflación_8</f>
        <v>0</v>
      </c>
      <c r="BE44" s="101">
        <f>($C44/$B47)*BD47</f>
        <v>0</v>
      </c>
      <c r="BF44" s="101">
        <f>($B44/$B47)*BF47*Inflación_8</f>
        <v>0</v>
      </c>
      <c r="BG44" s="101">
        <f>($C44/$B47)*BF47</f>
        <v>0</v>
      </c>
      <c r="BH44" s="101">
        <f>($B44/$B47)*BH47*Inflación_8</f>
        <v>0</v>
      </c>
      <c r="BI44" s="101">
        <f>($C44/$B47)*BH47</f>
        <v>0</v>
      </c>
      <c r="BJ44" s="101">
        <f>($B44/$B47)*BJ47*Inflación_8</f>
        <v>0</v>
      </c>
      <c r="BK44" s="101">
        <f>($C44/$B47)*BJ47</f>
        <v>0</v>
      </c>
      <c r="BL44" s="101">
        <f>($B44/$B47)*BL47*Inflación_8</f>
        <v>0</v>
      </c>
      <c r="BM44" s="101">
        <f>($C44/$B47)*BL47</f>
        <v>0</v>
      </c>
      <c r="BN44" s="101">
        <f>($B44/$B47)*BN47*Inflación_8</f>
        <v>0</v>
      </c>
      <c r="BO44" s="101">
        <f>($C44/$B47)*BN47</f>
        <v>0</v>
      </c>
      <c r="BP44" s="101">
        <f>($B44/$B47)*BP47*Inflación_8</f>
        <v>0</v>
      </c>
      <c r="BQ44" s="101">
        <f>($C44/$B47)*BP47</f>
        <v>0</v>
      </c>
      <c r="BR44" s="101">
        <f>($B44/$B47)*BR47*Inflación_8</f>
        <v>0</v>
      </c>
      <c r="BS44" s="101">
        <f>($C44/$B47)*BR47</f>
        <v>0</v>
      </c>
      <c r="BT44" s="101">
        <f>($B44/$B47)*BT47*Inflación_8</f>
        <v>0</v>
      </c>
      <c r="BU44" s="101">
        <f>($C44/$B47)*BT47</f>
        <v>0</v>
      </c>
      <c r="BV44" s="101">
        <f>($B44/$B47)*BV47*Inflación_8</f>
        <v>0</v>
      </c>
      <c r="BW44" s="101">
        <f>($C44/$B47)*BV47</f>
        <v>0</v>
      </c>
      <c r="BX44" s="101">
        <f>($B44/$B47)*BX47*Inflación_8</f>
        <v>0</v>
      </c>
      <c r="BY44" s="101">
        <f>($C44/$B47)*BX47</f>
        <v>0</v>
      </c>
      <c r="BZ44" s="101">
        <f>($B44/$B47)*BZ47*Inflación_8</f>
        <v>0</v>
      </c>
      <c r="CA44" s="101">
        <f>($C44/$B47)*BZ47</f>
        <v>0</v>
      </c>
      <c r="CB44" s="101">
        <f>($B44/$B47)*CB47*Inflación_8</f>
        <v>0</v>
      </c>
      <c r="CC44" s="101">
        <f>($C44/$B47)*CB47</f>
        <v>0</v>
      </c>
      <c r="CD44" s="101">
        <f>($B44/$B47)*CD47*Inflación_8</f>
        <v>0</v>
      </c>
      <c r="CE44" s="101">
        <f>($C44/$B47)*CD47</f>
        <v>0</v>
      </c>
      <c r="CF44" s="101">
        <f>($B44/$B47)*CF47*Inflación_8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A8_A_L1+A8_B_L1+A8_C_L1+A8_D_L1+A8_Y_L1+A8_Z_L1+A8_X_L1</f>
        <v>7000</v>
      </c>
      <c r="G47" s="479"/>
      <c r="H47" s="478">
        <f>A8_A_L2+A8_B_L2+A8_C_L2+A8_D_L2+A8_Y_L2+A8_Z_L2+A8_X_L2</f>
        <v>0</v>
      </c>
      <c r="I47" s="479"/>
      <c r="J47" s="478">
        <f>A8_A_L3+A8_B_L3+A8_C_L3+A8_D_L3+A8_Y_L3+A8_Z_L3+A8_X_L3</f>
        <v>0</v>
      </c>
      <c r="K47" s="479"/>
      <c r="L47" s="478">
        <f>A8_A_L4+A8_B_L4+A8_C_L4+A8_D_L4+A8_Y_L4+A8_Z_L4+A8_X_L4</f>
        <v>0</v>
      </c>
      <c r="M47" s="479"/>
      <c r="N47" s="478">
        <f>A8_A_L5+A8_B_L5+A8_C_L5+A8_D_L5+A8_Y_L5+A8_Z_L5+A8_X_L5</f>
        <v>0</v>
      </c>
      <c r="O47" s="479"/>
      <c r="P47" s="478">
        <f>A8_A_L6+A8_B_L6+A8_C_L6+A8_D_L6+A8_Y_L6+A8_Z_L6+A8_X_L6</f>
        <v>0</v>
      </c>
      <c r="Q47" s="479"/>
      <c r="R47" s="478">
        <f>A8_A_L7+A8_B_L7+A8_C_L7+A8_D_L7+A8_Y_L7+A8_Z_L7+A8_X_L7</f>
        <v>0</v>
      </c>
      <c r="S47" s="479"/>
      <c r="T47" s="478">
        <f>A8_A_L8+A8_B_L8+A8_C_L8+A8_D_L8+A8_Y_L8+A8_Z_L8+A8_X_L8</f>
        <v>0</v>
      </c>
      <c r="U47" s="479"/>
      <c r="V47" s="478">
        <f>A8_A_L9+A8_B_L9+A8_C_L9+A8_D_L9+A8_Y_L9+A8_Z_L9+A8_X_L9</f>
        <v>0</v>
      </c>
      <c r="W47" s="479"/>
      <c r="X47" s="478">
        <f>A8_A_L10+A8_B_L10+A8_C_L10+A8_D_L10+A8_Y_L10+A8_Z_L10+A8_X_L10</f>
        <v>0</v>
      </c>
      <c r="Y47" s="479"/>
      <c r="Z47" s="478">
        <f>A8_A_L11+A8_B_L11+A8_C_L11+A8_D_L11+A8_Y_L11+A8_Z_L11+A8_X_L11</f>
        <v>0</v>
      </c>
      <c r="AA47" s="479"/>
      <c r="AB47" s="478">
        <f>A8_A_L12+A8_B_L12+A8_C_L12+A8_D_L12+A8_Y_L12+A8_Z_L12+A8_X_L12</f>
        <v>0</v>
      </c>
      <c r="AC47" s="479"/>
      <c r="AD47" s="478">
        <f>A8_A_L13+A8_B_L13+A8_C_L13+A8_D_L13+A8_Y_L13+A8_Z_L13+A8_X_L13</f>
        <v>0</v>
      </c>
      <c r="AE47" s="479"/>
      <c r="AF47" s="478">
        <f>A8_A_L14+A8_B_L14+A8_C_L14+A8_D_L14+A8_Y_L14+A8_Z_L14+A8_X_L14</f>
        <v>0</v>
      </c>
      <c r="AG47" s="479"/>
      <c r="AH47" s="478">
        <f>A8_A_L15+A8_B_L15+A8_C_L15+A8_D_L15+A8_Y_L15+A8_Z_L15+A8_X_L15</f>
        <v>0</v>
      </c>
      <c r="AI47" s="479"/>
      <c r="AJ47" s="478">
        <f>A8_A_L16+A8_B_L16+A8_C_L16+A8_D_L16+A8_Y_L16+A8_Z_L16+A8_X_L16</f>
        <v>0</v>
      </c>
      <c r="AK47" s="479"/>
      <c r="AL47" s="478">
        <f>A8_A_L17+A8_B_L17+A8_C_L17+A8_D_L17+A8_Y_L17+A8_Z_L17+A8_X_L17</f>
        <v>0</v>
      </c>
      <c r="AM47" s="479"/>
      <c r="AN47" s="478">
        <f>A8_A_L18+A8_B_L18+A8_C_L18+A8_D_L18+A8_Y_L18+A8_Z_L18+A8_X_L18</f>
        <v>0</v>
      </c>
      <c r="AO47" s="479"/>
      <c r="AP47" s="478">
        <f>A8_A_L19+A8_B_L19+A8_C_L19+A8_D_L19+A8_Y_L19+A8_Z_L19+A8_X_L19</f>
        <v>0</v>
      </c>
      <c r="AQ47" s="479"/>
      <c r="AR47" s="478">
        <f>A8_A_L20+A8_B_L20+A8_C_L20+A8_D_L20+A8_Y_L20+A8_Z_L20+A8_X_L20</f>
        <v>0</v>
      </c>
      <c r="AS47" s="479"/>
      <c r="AT47" s="478">
        <f>A8_A_L21+A8_B_L21+A8_C_L21+A8_D_L21+A8_Y_L21+A8_Z_L21+A8_X_L21</f>
        <v>0</v>
      </c>
      <c r="AU47" s="479"/>
      <c r="AV47" s="478">
        <f>A8_A_L22+A8_B_L22+A8_C_L22+A8_D_L22+A8_Y_L22+A8_Z_L22+A8_X_L22</f>
        <v>0</v>
      </c>
      <c r="AW47" s="479"/>
      <c r="AX47" s="478">
        <f>A8_A_L23+A8_B_L23+A8_C_L23+A8_D_L23+A8_Y_L23+A8_Z_L23+A8_X_L23</f>
        <v>0</v>
      </c>
      <c r="AY47" s="479"/>
      <c r="AZ47" s="478">
        <f>A8_A_L24+A8_B_L24+A8_C_L24+A8_D_L24+A8_Y_L24+A8_Z_L24+A8_X_L24</f>
        <v>0</v>
      </c>
      <c r="BA47" s="479"/>
      <c r="BB47" s="478">
        <f>A8_A_L25+A8_B_L25+A8_C_L25+A8_D_L25+A8_Y_L25+A8_Z_L25+A8_X_L25</f>
        <v>0</v>
      </c>
      <c r="BC47" s="479"/>
      <c r="BD47" s="478">
        <f>A8_A_L26+A8_B_L26+A8_C_L26+A8_D_L26+A8_Y_L26+A8_Z_L26+A8_X_L26</f>
        <v>0</v>
      </c>
      <c r="BE47" s="479"/>
      <c r="BF47" s="478">
        <f>A8_A_L27+A8_B_L27+A8_C_L27+A8_D_L27+A8_Y_L27+A8_Z_L27+A8_X_L27</f>
        <v>0</v>
      </c>
      <c r="BG47" s="479"/>
      <c r="BH47" s="478">
        <f>A8_A_L28+A8_B_L28+A8_C_L28+A8_D_L28+A8_Y_L28+A8_Z_L28+A8_X_L28</f>
        <v>0</v>
      </c>
      <c r="BI47" s="479"/>
      <c r="BJ47" s="478">
        <f>A8_A_L29+A8_B_L29+A8_C_L29+A8_D_L29+A8_Y_L29+A8_Z_L29+A8_X_L29</f>
        <v>0</v>
      </c>
      <c r="BK47" s="479"/>
      <c r="BL47" s="478">
        <f>A8_A_L30+A8_B_L30+A8_C_L30+A8_D_L30+A8_Y_L30+A8_Z_L30+A8_X_L30</f>
        <v>0</v>
      </c>
      <c r="BM47" s="479"/>
      <c r="BN47" s="478">
        <f>A8_A_L31+A8_B_L31+A8_C_L31+A8_D_L31+A8_Y_L31+A8_Z_L31+A8_X_L31</f>
        <v>0</v>
      </c>
      <c r="BO47" s="479"/>
      <c r="BP47" s="478">
        <f>A8_A_L32+A8_B_L32+A8_C_L32+A8_D_L32+A8_Y_L32+A8_Z_L32+A8_X_L32</f>
        <v>0</v>
      </c>
      <c r="BQ47" s="479"/>
      <c r="BR47" s="478">
        <f>A8_A_L33+A8_B_L33+A8_C_L33+A8_D_L33+A8_Y_L33+A8_Z_L33+A8_X_L33</f>
        <v>0</v>
      </c>
      <c r="BS47" s="479"/>
      <c r="BT47" s="478">
        <f>A8_A_L34+A8_B_L34+A8_C_L34+A8_D_L34+A8_Y_L34+A8_Z_L34+A8_X_L34</f>
        <v>0</v>
      </c>
      <c r="BU47" s="479"/>
      <c r="BV47" s="478">
        <f>A8_A_L35+A8_B_L35+A8_C_L35+A8_D_L35+A8_Y_L35+A8_Z_L35+A8_X_L35</f>
        <v>0</v>
      </c>
      <c r="BW47" s="479"/>
      <c r="BX47" s="478">
        <f>A8_A_L36+A8_B_L36+A8_C_L36+A8_D_L36+A8_Y_L36+A8_Z_L36+A8_X_L36</f>
        <v>0</v>
      </c>
      <c r="BY47" s="479"/>
      <c r="BZ47" s="478">
        <f>A8_A_L37+A8_B_L37+A8_C_L37+A8_D_L37+A8_Y_L37+A8_Z_L37+A8_X_L37</f>
        <v>0</v>
      </c>
      <c r="CA47" s="479"/>
      <c r="CB47" s="478">
        <f>A8_A_L38+A8_B_L38+A8_C_L38+A8_D_L38+A8_Y_L38+A8_Z_L38+A8_X_L38</f>
        <v>0</v>
      </c>
      <c r="CC47" s="479"/>
      <c r="CD47" s="478">
        <f>A8_A_L39+A8_B_L39+A8_C_L39+A8_D_L39+A8_Y_L39+A8_Z_L39+A8_X_L39</f>
        <v>0</v>
      </c>
      <c r="CE47" s="479"/>
      <c r="CF47" s="478">
        <f>A8_A_L40+A8_B_L40+A8_C_L40+A8_D_L40+A8_Y_L40+A8_Z_L40+A8_X_L40</f>
        <v>0</v>
      </c>
      <c r="CG47" s="479"/>
      <c r="CH47" s="473"/>
      <c r="CI47" s="118">
        <f>Plantas_A_A8</f>
        <v>0</v>
      </c>
      <c r="CJ47" s="119">
        <f>Plantas_B_A8</f>
        <v>0</v>
      </c>
      <c r="CK47" s="119">
        <f>Plantas_C_A8</f>
        <v>0</v>
      </c>
      <c r="CL47" s="119">
        <f>Plantas_D_A8</f>
        <v>7000</v>
      </c>
      <c r="CM47" s="119">
        <f>Plantas_Z_A8</f>
        <v>0</v>
      </c>
      <c r="CN47" s="119">
        <f>Plantas_Y_A8</f>
        <v>0</v>
      </c>
      <c r="CO47" s="120">
        <f>Plantas_X_A8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zMvxJMMU26X4Nl7nlJJyGplo8EorUiXpHQkiwl3SdxzfASI8cHe7gUq5XKmCdXTa95tMxmS5GJt79ffK1SnGKw==" saltValue="96np/Z2F9StYTHEf0+8G3w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AJ4:AK4"/>
    <mergeCell ref="AL4:AM4"/>
    <mergeCell ref="AN4:AO4"/>
    <mergeCell ref="AP4:AQ4"/>
    <mergeCell ref="AR4:AS4"/>
    <mergeCell ref="A2:D2"/>
    <mergeCell ref="B4:C4"/>
    <mergeCell ref="E4:E49"/>
    <mergeCell ref="F4:G4"/>
    <mergeCell ref="H4:I4"/>
    <mergeCell ref="J4:K4"/>
    <mergeCell ref="X4:Y4"/>
    <mergeCell ref="Z4:AA4"/>
    <mergeCell ref="AB4:AC4"/>
    <mergeCell ref="A50:C50"/>
  </mergeCells>
  <hyperlinks>
    <hyperlink ref="CH1" location="Inicio!A15" display="Regresar" xr:uid="{741514DE-8886-4A7A-9C1E-C56B816BCE41}"/>
    <hyperlink ref="A1" location="Inicio!C16" display="Regresar" xr:uid="{52AF417E-1835-4923-A0BD-667282E7FF69}"/>
    <hyperlink ref="A1:CO1" location="Inicio!C16" display="Regresar" xr:uid="{FC2DD821-62C3-41E5-9DBC-841D288A4666}"/>
  </hyperlinks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CD6233-D940-49B1-8FDE-CADB1E9B37A0}">
  <sheetPr codeName="Hoja21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3.950000000000003" customHeight="1" thickBot="1" x14ac:dyDescent="0.3">
      <c r="A1" s="320" t="s">
        <v>21</v>
      </c>
      <c r="B1" s="321"/>
      <c r="C1" s="321"/>
      <c r="D1" s="321"/>
      <c r="E1" s="321"/>
      <c r="F1" s="321"/>
      <c r="G1" s="321"/>
      <c r="H1" s="321"/>
      <c r="I1" s="321"/>
      <c r="J1" s="321"/>
      <c r="K1" s="321"/>
      <c r="L1" s="321"/>
      <c r="M1" s="321"/>
      <c r="N1" s="321"/>
      <c r="O1" s="321"/>
      <c r="P1" s="321"/>
      <c r="Q1" s="321"/>
      <c r="R1" s="321"/>
      <c r="S1" s="321"/>
      <c r="T1" s="321"/>
      <c r="U1" s="321"/>
      <c r="V1" s="321"/>
      <c r="W1" s="321"/>
      <c r="X1" s="321"/>
      <c r="Y1" s="321"/>
      <c r="Z1" s="321"/>
      <c r="AA1" s="321"/>
      <c r="AB1" s="321"/>
      <c r="AC1" s="321"/>
      <c r="AD1" s="321"/>
      <c r="AE1" s="321"/>
      <c r="AF1" s="321"/>
      <c r="AG1" s="321"/>
      <c r="AH1" s="321"/>
      <c r="AI1" s="321"/>
      <c r="AJ1" s="321"/>
      <c r="AK1" s="321"/>
      <c r="AL1" s="321"/>
      <c r="AM1" s="321"/>
      <c r="AN1" s="321"/>
      <c r="AO1" s="321"/>
      <c r="AP1" s="321"/>
      <c r="AQ1" s="321"/>
      <c r="AR1" s="321"/>
      <c r="AS1" s="321"/>
      <c r="AT1" s="321"/>
      <c r="AU1" s="321"/>
      <c r="AV1" s="321"/>
      <c r="AW1" s="321"/>
      <c r="AX1" s="321"/>
      <c r="AY1" s="321"/>
      <c r="AZ1" s="321"/>
      <c r="BA1" s="321"/>
      <c r="BB1" s="321"/>
      <c r="BC1" s="321"/>
      <c r="BD1" s="321"/>
      <c r="BE1" s="321"/>
      <c r="BF1" s="321"/>
      <c r="BG1" s="321"/>
      <c r="BH1" s="321"/>
      <c r="BI1" s="321"/>
      <c r="BJ1" s="321"/>
      <c r="BK1" s="321"/>
      <c r="BL1" s="321"/>
      <c r="BM1" s="321"/>
      <c r="BN1" s="321"/>
      <c r="BO1" s="321"/>
      <c r="BP1" s="321"/>
      <c r="BQ1" s="321"/>
      <c r="BR1" s="321"/>
      <c r="BS1" s="321"/>
      <c r="BT1" s="321"/>
      <c r="BU1" s="321"/>
      <c r="BV1" s="321"/>
      <c r="BW1" s="321"/>
      <c r="BX1" s="321"/>
      <c r="BY1" s="321"/>
      <c r="BZ1" s="321"/>
      <c r="CA1" s="321"/>
      <c r="CB1" s="321"/>
      <c r="CC1" s="321"/>
      <c r="CD1" s="321"/>
      <c r="CE1" s="321"/>
      <c r="CF1" s="321"/>
      <c r="CG1" s="321"/>
      <c r="CH1" s="321"/>
      <c r="CI1" s="321"/>
      <c r="CJ1" s="321"/>
      <c r="CK1" s="321"/>
      <c r="CL1" s="321"/>
      <c r="CM1" s="321"/>
      <c r="CN1" s="321"/>
      <c r="CO1" s="322"/>
    </row>
    <row r="2" spans="1:93" s="59" customFormat="1" ht="50.1" customHeight="1" thickBot="1" x14ac:dyDescent="0.3">
      <c r="A2" s="480" t="str">
        <f>CONCATENATE("Planificación financiera ",Up," | Presupuesto y ejecución ",Año_Inicial+8)</f>
        <v>Planificación financiera  | Presupuesto y ejecución 2031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492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P_A9_L1</f>
        <v>0</v>
      </c>
      <c r="G7" s="96" t="e">
        <f>G40/CUI_Corte</f>
        <v>#DIV/0!</v>
      </c>
      <c r="H7" s="97">
        <f>P_A9_L2</f>
        <v>0</v>
      </c>
      <c r="I7" s="96" t="e">
        <f>I40/CUI_Corte</f>
        <v>#DIV/0!</v>
      </c>
      <c r="J7" s="97">
        <f>P_A9_L3</f>
        <v>0</v>
      </c>
      <c r="K7" s="96" t="e">
        <f>K40/CUI_Corte</f>
        <v>#DIV/0!</v>
      </c>
      <c r="L7" s="97">
        <f>P_A9_L4</f>
        <v>0</v>
      </c>
      <c r="M7" s="96" t="e">
        <f>M40/CUI_Corte</f>
        <v>#DIV/0!</v>
      </c>
      <c r="N7" s="97">
        <f>P_A9_L5</f>
        <v>0</v>
      </c>
      <c r="O7" s="96" t="e">
        <f>O40/CUI_Corte</f>
        <v>#DIV/0!</v>
      </c>
      <c r="P7" s="97">
        <f>P_A9_L6</f>
        <v>0</v>
      </c>
      <c r="Q7" s="96" t="e">
        <f>Q40/CUI_Corte</f>
        <v>#DIV/0!</v>
      </c>
      <c r="R7" s="97">
        <f>P_A9_L7</f>
        <v>0</v>
      </c>
      <c r="S7" s="96" t="e">
        <f>S40/CUI_Corte</f>
        <v>#DIV/0!</v>
      </c>
      <c r="T7" s="97">
        <f>P_A9_L8</f>
        <v>0</v>
      </c>
      <c r="U7" s="96" t="e">
        <f>U40/CUI_Corte</f>
        <v>#DIV/0!</v>
      </c>
      <c r="V7" s="97">
        <f>P_A9_L9</f>
        <v>0</v>
      </c>
      <c r="W7" s="96" t="e">
        <f>W40/CUI_Corte</f>
        <v>#DIV/0!</v>
      </c>
      <c r="X7" s="97">
        <f>P_A9_L10</f>
        <v>0</v>
      </c>
      <c r="Y7" s="96" t="e">
        <f>Y40/CUI_Corte</f>
        <v>#DIV/0!</v>
      </c>
      <c r="Z7" s="97">
        <f>P_A9_L11</f>
        <v>0</v>
      </c>
      <c r="AA7" s="96" t="e">
        <f>AA40/CUI_Corte</f>
        <v>#DIV/0!</v>
      </c>
      <c r="AB7" s="97">
        <f>P_A9_L12</f>
        <v>0</v>
      </c>
      <c r="AC7" s="96" t="e">
        <f>AC40/CUI_Corte</f>
        <v>#DIV/0!</v>
      </c>
      <c r="AD7" s="97">
        <f>P_A9_L13</f>
        <v>0</v>
      </c>
      <c r="AE7" s="96" t="e">
        <f>AE40/CUI_Corte</f>
        <v>#DIV/0!</v>
      </c>
      <c r="AF7" s="97">
        <f>P_A9_L14</f>
        <v>0</v>
      </c>
      <c r="AG7" s="96" t="e">
        <f>AG40/CUI_Corte</f>
        <v>#DIV/0!</v>
      </c>
      <c r="AH7" s="97">
        <f>P_A9_L15</f>
        <v>0</v>
      </c>
      <c r="AI7" s="96" t="e">
        <f>AI40/CUI_Corte</f>
        <v>#DIV/0!</v>
      </c>
      <c r="AJ7" s="97">
        <f>P_A9_L16</f>
        <v>0</v>
      </c>
      <c r="AK7" s="96" t="e">
        <f>AK40/CUI_Corte</f>
        <v>#DIV/0!</v>
      </c>
      <c r="AL7" s="97">
        <f>P_A9_L17</f>
        <v>0</v>
      </c>
      <c r="AM7" s="96" t="e">
        <f>AM40/CUI_Corte</f>
        <v>#DIV/0!</v>
      </c>
      <c r="AN7" s="97">
        <f>P_A9_L18</f>
        <v>0</v>
      </c>
      <c r="AO7" s="96" t="e">
        <f>AO40/CUI_Corte</f>
        <v>#DIV/0!</v>
      </c>
      <c r="AP7" s="97">
        <f>P_A9_L19</f>
        <v>0</v>
      </c>
      <c r="AQ7" s="96" t="e">
        <f>AQ40/CUI_Corte</f>
        <v>#DIV/0!</v>
      </c>
      <c r="AR7" s="97">
        <f>P_A9_L20</f>
        <v>0</v>
      </c>
      <c r="AS7" s="96" t="e">
        <f>AS40/CUI_Corte</f>
        <v>#DIV/0!</v>
      </c>
      <c r="AT7" s="97">
        <f>P_A9_L21</f>
        <v>0</v>
      </c>
      <c r="AU7" s="96" t="e">
        <f>AU40/CUI_Corte</f>
        <v>#DIV/0!</v>
      </c>
      <c r="AV7" s="97">
        <f>P_A9_L22</f>
        <v>0</v>
      </c>
      <c r="AW7" s="96" t="e">
        <f>AW40/CUI_Corte</f>
        <v>#DIV/0!</v>
      </c>
      <c r="AX7" s="97">
        <f>P_A9_L23</f>
        <v>0</v>
      </c>
      <c r="AY7" s="96" t="e">
        <f>AY40/CUI_Corte</f>
        <v>#DIV/0!</v>
      </c>
      <c r="AZ7" s="97">
        <f>P_A9_L24</f>
        <v>0</v>
      </c>
      <c r="BA7" s="96" t="e">
        <f>BA40/CUI_Corte</f>
        <v>#DIV/0!</v>
      </c>
      <c r="BB7" s="97">
        <f>P_A9_L25</f>
        <v>0</v>
      </c>
      <c r="BC7" s="96" t="e">
        <f>BC40/CUI_Corte</f>
        <v>#DIV/0!</v>
      </c>
      <c r="BD7" s="97">
        <f>P_A9_L26</f>
        <v>0</v>
      </c>
      <c r="BE7" s="96" t="e">
        <f>BE40/CUI_Corte</f>
        <v>#DIV/0!</v>
      </c>
      <c r="BF7" s="97">
        <f>P_A9_L27</f>
        <v>0</v>
      </c>
      <c r="BG7" s="96" t="e">
        <f>BG40/CUI_Corte</f>
        <v>#DIV/0!</v>
      </c>
      <c r="BH7" s="97">
        <f>P_A9_L28</f>
        <v>0</v>
      </c>
      <c r="BI7" s="96" t="e">
        <f>BI40/CUI_Corte</f>
        <v>#DIV/0!</v>
      </c>
      <c r="BJ7" s="97">
        <f>P_A9_L29</f>
        <v>0</v>
      </c>
      <c r="BK7" s="96" t="e">
        <f>BK40/CUI_Corte</f>
        <v>#DIV/0!</v>
      </c>
      <c r="BL7" s="97">
        <f>P_A9_L30</f>
        <v>0</v>
      </c>
      <c r="BM7" s="96" t="e">
        <f>BM40/CUI_Corte</f>
        <v>#DIV/0!</v>
      </c>
      <c r="BN7" s="97">
        <f>P_A9_L31</f>
        <v>0</v>
      </c>
      <c r="BO7" s="96" t="e">
        <f>BO40/CUI_Corte</f>
        <v>#DIV/0!</v>
      </c>
      <c r="BP7" s="97">
        <f>P_A9_L32</f>
        <v>0</v>
      </c>
      <c r="BQ7" s="96" t="e">
        <f>BQ40/CUI_Corte</f>
        <v>#DIV/0!</v>
      </c>
      <c r="BR7" s="97">
        <f>P_A9_L33</f>
        <v>0</v>
      </c>
      <c r="BS7" s="96" t="e">
        <f>BS40/CUI_Corte</f>
        <v>#DIV/0!</v>
      </c>
      <c r="BT7" s="97">
        <f>P_A9_L34</f>
        <v>0</v>
      </c>
      <c r="BU7" s="96" t="e">
        <f>BU40/CUI_Corte</f>
        <v>#DIV/0!</v>
      </c>
      <c r="BV7" s="97">
        <f>P_A9_L35</f>
        <v>0</v>
      </c>
      <c r="BW7" s="96" t="e">
        <f>BW40/CUI_Corte</f>
        <v>#DIV/0!</v>
      </c>
      <c r="BX7" s="97">
        <f>P_A9_L36</f>
        <v>0</v>
      </c>
      <c r="BY7" s="96" t="e">
        <f>BY40/CUI_Corte</f>
        <v>#DIV/0!</v>
      </c>
      <c r="BZ7" s="97">
        <f>P_A9_L37</f>
        <v>0</v>
      </c>
      <c r="CA7" s="96" t="e">
        <f>CA40/CUI_Corte</f>
        <v>#DIV/0!</v>
      </c>
      <c r="CB7" s="97">
        <f>P_A9_L38</f>
        <v>0</v>
      </c>
      <c r="CC7" s="96" t="e">
        <f>CC40/CUI_Corte</f>
        <v>#DIV/0!</v>
      </c>
      <c r="CD7" s="97">
        <f>P_A9_L39</f>
        <v>0</v>
      </c>
      <c r="CE7" s="96" t="e">
        <f>CE40/CUI_Corte</f>
        <v>#DIV/0!</v>
      </c>
      <c r="CF7" s="97">
        <f>P_A9_L40</f>
        <v>0</v>
      </c>
      <c r="CG7" s="96" t="e">
        <f>CG40/CUI_Corte</f>
        <v>#DIV/0!</v>
      </c>
      <c r="CH7" s="473"/>
      <c r="CI7" s="96">
        <f>(IF(Diseño="Bloque",Bloque_A9_A,Surco_A9_A)/100)</f>
        <v>0</v>
      </c>
      <c r="CJ7" s="96">
        <f>(IF(Diseño="Bloque",Bloque_A9_B,Surco_A9_B)/100)</f>
        <v>0</v>
      </c>
      <c r="CK7" s="96">
        <f>(IF(Diseño="Bloque",Bloque_A9_C,Surco_A9_C)/100)</f>
        <v>0</v>
      </c>
      <c r="CL7" s="96">
        <f>(IF(Diseño="Bloque",Bloque_A9_D,Surco_A9_D)/100)</f>
        <v>0</v>
      </c>
      <c r="CM7" s="96"/>
      <c r="CN7" s="96">
        <f>(IF(Diseño="Bloque",Bloque_A9_Y,Surco_A9_Y)/100)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",Precio_A9,".00")</f>
        <v>Ventas de café de primera:  0% | Q. .00</v>
      </c>
      <c r="B8" s="100">
        <f>B7*P_Primera*Precio_A9*Inflación_9</f>
        <v>0</v>
      </c>
      <c r="C8" s="100" t="e">
        <f>C7*P_Primera*Precio_A9</f>
        <v>#DIV/0!</v>
      </c>
      <c r="D8" s="100" t="e">
        <f>C8-B8</f>
        <v>#DIV/0!</v>
      </c>
      <c r="E8" s="475"/>
      <c r="F8" s="101">
        <f>P_A9_L1*P_Primera*Precio_A9*Inflación_9</f>
        <v>0</v>
      </c>
      <c r="G8" s="100" t="e">
        <f>G7*P_Primera*Precio_A9</f>
        <v>#DIV/0!</v>
      </c>
      <c r="H8" s="101">
        <f>P_A9_L2*P_Primera*Precio_A9*Inflación_9</f>
        <v>0</v>
      </c>
      <c r="I8" s="100" t="e">
        <f>I7*P_Primera*Precio_A9</f>
        <v>#DIV/0!</v>
      </c>
      <c r="J8" s="101">
        <f>P_A9_L3*P_Primera*Precio_A9*Inflación_9</f>
        <v>0</v>
      </c>
      <c r="K8" s="100" t="e">
        <f>K7*P_Primera*Precio_A9</f>
        <v>#DIV/0!</v>
      </c>
      <c r="L8" s="101">
        <f>P_A9_L4*P_Primera*Precio_A9*Inflación_9</f>
        <v>0</v>
      </c>
      <c r="M8" s="100" t="e">
        <f>M7*P_Primera*Precio_A9</f>
        <v>#DIV/0!</v>
      </c>
      <c r="N8" s="101">
        <f>P_A9_L5*P_Primera*Precio_A9*Inflación_9</f>
        <v>0</v>
      </c>
      <c r="O8" s="100" t="e">
        <f>O7*P_Primera*Precio_A9</f>
        <v>#DIV/0!</v>
      </c>
      <c r="P8" s="101">
        <f>P_A9_L6*P_Primera*Precio_A9*Inflación_9</f>
        <v>0</v>
      </c>
      <c r="Q8" s="100" t="e">
        <f>Q7*P_Primera*Precio_A9</f>
        <v>#DIV/0!</v>
      </c>
      <c r="R8" s="101">
        <f>P_A9_L7*P_Primera*Precio_A9*Inflación_9</f>
        <v>0</v>
      </c>
      <c r="S8" s="100" t="e">
        <f>S7*P_Primera*Precio_A9</f>
        <v>#DIV/0!</v>
      </c>
      <c r="T8" s="101">
        <f>P_A9_L8*P_Primera*Precio_A9*Inflación_9</f>
        <v>0</v>
      </c>
      <c r="U8" s="100" t="e">
        <f>U7*P_Primera*Precio_A9</f>
        <v>#DIV/0!</v>
      </c>
      <c r="V8" s="101">
        <f>P_A9_L9*P_Primera*Precio_A9*Inflación_9</f>
        <v>0</v>
      </c>
      <c r="W8" s="100" t="e">
        <f>W7*P_Primera*Precio_A9</f>
        <v>#DIV/0!</v>
      </c>
      <c r="X8" s="101">
        <f>P_A9_L10*P_Primera*Precio_A9*Inflación_9</f>
        <v>0</v>
      </c>
      <c r="Y8" s="100" t="e">
        <f>Y7*P_Primera*Precio_A9</f>
        <v>#DIV/0!</v>
      </c>
      <c r="Z8" s="101">
        <f>P_A9_L11*P_Primera*Precio_A9*Inflación_9</f>
        <v>0</v>
      </c>
      <c r="AA8" s="100" t="e">
        <f>AA7*P_Primera*Precio_A9</f>
        <v>#DIV/0!</v>
      </c>
      <c r="AB8" s="101">
        <f>P_A9_L12*P_Primera*Precio_A9*Inflación_9</f>
        <v>0</v>
      </c>
      <c r="AC8" s="100" t="e">
        <f>AC7*P_Primera*Precio_A9</f>
        <v>#DIV/0!</v>
      </c>
      <c r="AD8" s="101">
        <f>P_A9_L13*P_Primera*Precio_A9*Inflación_9</f>
        <v>0</v>
      </c>
      <c r="AE8" s="100" t="e">
        <f>AE7*P_Primera*Precio_A9</f>
        <v>#DIV/0!</v>
      </c>
      <c r="AF8" s="101">
        <f>P_A9_L14*P_Primera*Precio_A9*Inflación_9</f>
        <v>0</v>
      </c>
      <c r="AG8" s="100" t="e">
        <f>AG7*P_Primera*Precio_A9</f>
        <v>#DIV/0!</v>
      </c>
      <c r="AH8" s="101">
        <f>P_A9_L15*P_Primera*Precio_A9*Inflación_9</f>
        <v>0</v>
      </c>
      <c r="AI8" s="100" t="e">
        <f>AI7*P_Primera*Precio_A9</f>
        <v>#DIV/0!</v>
      </c>
      <c r="AJ8" s="101">
        <f>P_A9_L16*P_Primera*Precio_A9*Inflación_9</f>
        <v>0</v>
      </c>
      <c r="AK8" s="100" t="e">
        <f>AK7*P_Primera*Precio_A9</f>
        <v>#DIV/0!</v>
      </c>
      <c r="AL8" s="101">
        <f>P_A9_L17*P_Primera*Precio_A9*Inflación_9</f>
        <v>0</v>
      </c>
      <c r="AM8" s="100" t="e">
        <f>AM7*P_Primera*Precio_A9</f>
        <v>#DIV/0!</v>
      </c>
      <c r="AN8" s="101">
        <f>P_A9_L18*P_Primera*Precio_A9*Inflación_9</f>
        <v>0</v>
      </c>
      <c r="AO8" s="100" t="e">
        <f>AO7*P_Primera*Precio_A9</f>
        <v>#DIV/0!</v>
      </c>
      <c r="AP8" s="101">
        <f>P_A9_L19*P_Primera*Precio_A9*Inflación_9</f>
        <v>0</v>
      </c>
      <c r="AQ8" s="100" t="e">
        <f>AQ7*P_Primera*Precio_A9</f>
        <v>#DIV/0!</v>
      </c>
      <c r="AR8" s="101">
        <f>P_A9_L20*P_Primera*Precio_A9*Inflación_9</f>
        <v>0</v>
      </c>
      <c r="AS8" s="100" t="e">
        <f>AS7*P_Primera*Precio_A9</f>
        <v>#DIV/0!</v>
      </c>
      <c r="AT8" s="101">
        <f>P_A9_L21*P_Primera*Precio_A9*Inflación_9</f>
        <v>0</v>
      </c>
      <c r="AU8" s="100" t="e">
        <f>AU7*P_Primera*Precio_A9</f>
        <v>#DIV/0!</v>
      </c>
      <c r="AV8" s="101">
        <f>P_A9_L22*P_Primera*Precio_A9*Inflación_9</f>
        <v>0</v>
      </c>
      <c r="AW8" s="100" t="e">
        <f>AW7*P_Primera*Precio_A9</f>
        <v>#DIV/0!</v>
      </c>
      <c r="AX8" s="101">
        <f>P_A9_L23*P_Primera*Precio_A9*Inflación_9</f>
        <v>0</v>
      </c>
      <c r="AY8" s="100" t="e">
        <f>AY7*P_Primera*Precio_A9</f>
        <v>#DIV/0!</v>
      </c>
      <c r="AZ8" s="101">
        <f>P_A9_L24*P_Primera*Precio_A9*Inflación_9</f>
        <v>0</v>
      </c>
      <c r="BA8" s="100" t="e">
        <f>BA7*P_Primera*Precio_A9</f>
        <v>#DIV/0!</v>
      </c>
      <c r="BB8" s="101">
        <f>P_A9_L25*P_Primera*Precio_A9*Inflación_9</f>
        <v>0</v>
      </c>
      <c r="BC8" s="100" t="e">
        <f>BC7*P_Primera*Precio_A9</f>
        <v>#DIV/0!</v>
      </c>
      <c r="BD8" s="101">
        <f>P_A9_L26*P_Primera*Precio_A9*Inflación_9</f>
        <v>0</v>
      </c>
      <c r="BE8" s="100" t="e">
        <f>BE7*P_Primera*Precio_A9</f>
        <v>#DIV/0!</v>
      </c>
      <c r="BF8" s="101">
        <f>P_A9_L27*P_Primera*Precio_A9*Inflación_9</f>
        <v>0</v>
      </c>
      <c r="BG8" s="100" t="e">
        <f>BG7*P_Primera*Precio_A9</f>
        <v>#DIV/0!</v>
      </c>
      <c r="BH8" s="101">
        <f>P_A9_L28*P_Primera*Precio_A9*Inflación_9</f>
        <v>0</v>
      </c>
      <c r="BI8" s="100" t="e">
        <f>BI7*P_Primera*Precio_A9</f>
        <v>#DIV/0!</v>
      </c>
      <c r="BJ8" s="101">
        <f>P_A9_L29*P_Primera*Precio_A9*Inflación_9</f>
        <v>0</v>
      </c>
      <c r="BK8" s="100" t="e">
        <f>BK7*P_Primera*Precio_A9</f>
        <v>#DIV/0!</v>
      </c>
      <c r="BL8" s="101">
        <f>P_A9_L30*P_Primera*Precio_A9*Inflación_9</f>
        <v>0</v>
      </c>
      <c r="BM8" s="100" t="e">
        <f>BM7*P_Primera*Precio_A9</f>
        <v>#DIV/0!</v>
      </c>
      <c r="BN8" s="101">
        <f>P_A9_L31*P_Primera*Precio_A9*Inflación_9</f>
        <v>0</v>
      </c>
      <c r="BO8" s="100" t="e">
        <f>BO7*P_Primera*Precio_A9</f>
        <v>#DIV/0!</v>
      </c>
      <c r="BP8" s="101">
        <f>P_A9_L32*P_Primera*Precio_A9*Inflación_9</f>
        <v>0</v>
      </c>
      <c r="BQ8" s="100" t="e">
        <f>BQ7*P_Primera*Precio_A9</f>
        <v>#DIV/0!</v>
      </c>
      <c r="BR8" s="101">
        <f>P_A9_L33*P_Primera*Precio_A9*Inflación_9</f>
        <v>0</v>
      </c>
      <c r="BS8" s="100" t="e">
        <f>BS7*P_Primera*Precio_A9</f>
        <v>#DIV/0!</v>
      </c>
      <c r="BT8" s="101">
        <f>P_A9_L34*P_Primera*Precio_A9*Inflación_9</f>
        <v>0</v>
      </c>
      <c r="BU8" s="100" t="e">
        <f>BU7*P_Primera*Precio_A9</f>
        <v>#DIV/0!</v>
      </c>
      <c r="BV8" s="101">
        <f>P_A9_L35*P_Primera*Precio_A9*Inflación_9</f>
        <v>0</v>
      </c>
      <c r="BW8" s="100" t="e">
        <f>BW7*P_Primera*Precio_A9</f>
        <v>#DIV/0!</v>
      </c>
      <c r="BX8" s="101">
        <f>P_A9_L36*P_Primera*Precio_A9*Inflación_9</f>
        <v>0</v>
      </c>
      <c r="BY8" s="100" t="e">
        <f>BY7*P_Primera*Precio_A9</f>
        <v>#DIV/0!</v>
      </c>
      <c r="BZ8" s="101">
        <f>P_A9_L37*P_Primera*Precio_A9*Inflación_9</f>
        <v>0</v>
      </c>
      <c r="CA8" s="100" t="e">
        <f>CA7*P_Primera*Precio_A9</f>
        <v>#DIV/0!</v>
      </c>
      <c r="CB8" s="101">
        <f>P_A9_L38*P_Primera*Precio_A9*Inflación_9</f>
        <v>0</v>
      </c>
      <c r="CC8" s="100" t="e">
        <f>CC7*P_Primera*Precio_A9</f>
        <v>#DIV/0!</v>
      </c>
      <c r="CD8" s="101">
        <f>P_A9_L39*P_Primera*Precio_A9*Inflación_9</f>
        <v>0</v>
      </c>
      <c r="CE8" s="100" t="e">
        <f>CE7*P_Primera*Precio_A9</f>
        <v>#DIV/0!</v>
      </c>
      <c r="CF8" s="101">
        <f>P_A9_L40*P_Primera*Precio_A9*Inflación_9</f>
        <v>0</v>
      </c>
      <c r="CG8" s="100" t="e">
        <f>CG7*P_Primera*Precio_A9</f>
        <v>#DIV/0!</v>
      </c>
      <c r="CH8" s="473"/>
      <c r="CI8" s="101">
        <f>CI7*P_Primera*Precio_A9*Inflación_9</f>
        <v>0</v>
      </c>
      <c r="CJ8" s="101">
        <f>CJ7*P_Primera*Precio_A9*Inflación_9</f>
        <v>0</v>
      </c>
      <c r="CK8" s="101">
        <f>CK7*P_Primera*Precio_A9*Inflación_9</f>
        <v>0</v>
      </c>
      <c r="CL8" s="101">
        <f>CL7*P_Primera*Precio_A9*Inflación_9</f>
        <v>0</v>
      </c>
      <c r="CM8" s="101"/>
      <c r="CN8" s="101">
        <f>CN7*P_Primera*Precio_A9*Inflación_9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B7*P_Segunda*Segunda*Inflación_9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P_A9_L1*P_Segunda*Segunda*Inflación_9</f>
        <v>0</v>
      </c>
      <c r="G9" s="100" t="e">
        <f t="shared" ref="G9" si="2">G7*P_Segunda*Segunda</f>
        <v>#DIV/0!</v>
      </c>
      <c r="H9" s="101">
        <f>P_A9_L2*P_Segunda*Segunda*Inflación_9</f>
        <v>0</v>
      </c>
      <c r="I9" s="100" t="e">
        <f>I7*P_Segunda*Segunda</f>
        <v>#DIV/0!</v>
      </c>
      <c r="J9" s="101">
        <f>P_A9_L3*P_Segunda*Segunda*Inflación_9</f>
        <v>0</v>
      </c>
      <c r="K9" s="100" t="e">
        <f t="shared" ref="K9" si="3">K7*P_Segunda*Segunda</f>
        <v>#DIV/0!</v>
      </c>
      <c r="L9" s="101">
        <f>P_A9_L4*P_Segunda*Segunda*Inflación_9</f>
        <v>0</v>
      </c>
      <c r="M9" s="100" t="e">
        <f>M7*P_Segunda*Segunda</f>
        <v>#DIV/0!</v>
      </c>
      <c r="N9" s="101">
        <f>P_A9_L5*P_Segunda*Segunda*Inflación_9</f>
        <v>0</v>
      </c>
      <c r="O9" s="100" t="e">
        <f t="shared" ref="O9:Q9" si="4">O7*P_Segunda*Segunda</f>
        <v>#DIV/0!</v>
      </c>
      <c r="P9" s="101">
        <f>P_A9_L6*P_Segunda*Segunda*Inflación_9</f>
        <v>0</v>
      </c>
      <c r="Q9" s="100" t="e">
        <f t="shared" si="4"/>
        <v>#DIV/0!</v>
      </c>
      <c r="R9" s="101">
        <f>P_A9_L7*P_Segunda*Segunda*Inflación_9</f>
        <v>0</v>
      </c>
      <c r="S9" s="100" t="e">
        <f t="shared" ref="S9:U9" si="5">S7*P_Segunda*Segunda</f>
        <v>#DIV/0!</v>
      </c>
      <c r="T9" s="101">
        <f>P_A9_L8*P_Segunda*Segunda*Inflación_9</f>
        <v>0</v>
      </c>
      <c r="U9" s="100" t="e">
        <f t="shared" si="5"/>
        <v>#DIV/0!</v>
      </c>
      <c r="V9" s="101">
        <f>P_A9_L9*P_Segunda*Segunda*Inflación_9</f>
        <v>0</v>
      </c>
      <c r="W9" s="100" t="e">
        <f t="shared" ref="W9:Y9" si="6">W7*P_Segunda*Segunda</f>
        <v>#DIV/0!</v>
      </c>
      <c r="X9" s="101">
        <f>P_A9_L10*P_Segunda*Segunda*Inflación_9</f>
        <v>0</v>
      </c>
      <c r="Y9" s="100" t="e">
        <f t="shared" si="6"/>
        <v>#DIV/0!</v>
      </c>
      <c r="Z9" s="101">
        <f>P_A9_L11*P_Segunda*Segunda*Inflación_9</f>
        <v>0</v>
      </c>
      <c r="AA9" s="100" t="e">
        <f t="shared" ref="AA9:AC9" si="7">AA7*P_Segunda*Segunda</f>
        <v>#DIV/0!</v>
      </c>
      <c r="AB9" s="101">
        <f>P_A9_L12*P_Segunda*Segunda*Inflación_9</f>
        <v>0</v>
      </c>
      <c r="AC9" s="100" t="e">
        <f t="shared" si="7"/>
        <v>#DIV/0!</v>
      </c>
      <c r="AD9" s="101">
        <f>P_A9_L13*P_Segunda*Segunda*Inflación_9</f>
        <v>0</v>
      </c>
      <c r="AE9" s="100" t="e">
        <f t="shared" ref="AE9:AG9" si="8">AE7*P_Segunda*Segunda</f>
        <v>#DIV/0!</v>
      </c>
      <c r="AF9" s="101">
        <f>P_A9_L14*P_Segunda*Segunda*Inflación_9</f>
        <v>0</v>
      </c>
      <c r="AG9" s="100" t="e">
        <f t="shared" si="8"/>
        <v>#DIV/0!</v>
      </c>
      <c r="AH9" s="101">
        <f>P_A9_L15*P_Segunda*Segunda*Inflación_9</f>
        <v>0</v>
      </c>
      <c r="AI9" s="100" t="e">
        <f t="shared" ref="AI9:AK9" si="9">AI7*P_Segunda*Segunda</f>
        <v>#DIV/0!</v>
      </c>
      <c r="AJ9" s="101">
        <f>P_A9_L16*P_Segunda*Segunda*Inflación_9</f>
        <v>0</v>
      </c>
      <c r="AK9" s="100" t="e">
        <f t="shared" si="9"/>
        <v>#DIV/0!</v>
      </c>
      <c r="AL9" s="101">
        <f>P_A9_L17*P_Segunda*Segunda*Inflación_9</f>
        <v>0</v>
      </c>
      <c r="AM9" s="100" t="e">
        <f t="shared" ref="AM9:AO9" si="10">AM7*P_Segunda*Segunda</f>
        <v>#DIV/0!</v>
      </c>
      <c r="AN9" s="101">
        <f>P_A9_L18*P_Segunda*Segunda*Inflación_9</f>
        <v>0</v>
      </c>
      <c r="AO9" s="100" t="e">
        <f t="shared" si="10"/>
        <v>#DIV/0!</v>
      </c>
      <c r="AP9" s="101">
        <f>P_A9_L19*P_Segunda*Segunda*Inflación_9</f>
        <v>0</v>
      </c>
      <c r="AQ9" s="100" t="e">
        <f t="shared" ref="AQ9:AS9" si="11">AQ7*P_Segunda*Segunda</f>
        <v>#DIV/0!</v>
      </c>
      <c r="AR9" s="101">
        <f>P_A9_L20*P_Segunda*Segunda*Inflación_9</f>
        <v>0</v>
      </c>
      <c r="AS9" s="100" t="e">
        <f t="shared" si="11"/>
        <v>#DIV/0!</v>
      </c>
      <c r="AT9" s="101">
        <f>P_A9_L21*P_Segunda*Segunda*Inflación_9</f>
        <v>0</v>
      </c>
      <c r="AU9" s="100" t="e">
        <f t="shared" ref="AU9:AW9" si="12">AU7*P_Segunda*Segunda</f>
        <v>#DIV/0!</v>
      </c>
      <c r="AV9" s="101">
        <f>P_A9_L22*P_Segunda*Segunda*Inflación_9</f>
        <v>0</v>
      </c>
      <c r="AW9" s="100" t="e">
        <f t="shared" si="12"/>
        <v>#DIV/0!</v>
      </c>
      <c r="AX9" s="101">
        <f>P_A9_L23*P_Segunda*Segunda*Inflación_9</f>
        <v>0</v>
      </c>
      <c r="AY9" s="100" t="e">
        <f t="shared" ref="AY9:BA9" si="13">AY7*P_Segunda*Segunda</f>
        <v>#DIV/0!</v>
      </c>
      <c r="AZ9" s="101">
        <f>P_A9_L24*P_Segunda*Segunda*Inflación_9</f>
        <v>0</v>
      </c>
      <c r="BA9" s="100" t="e">
        <f t="shared" si="13"/>
        <v>#DIV/0!</v>
      </c>
      <c r="BB9" s="101">
        <f>P_A9_L25*P_Segunda*Segunda*Inflación_9</f>
        <v>0</v>
      </c>
      <c r="BC9" s="100" t="e">
        <f t="shared" ref="BC9:BE9" si="14">BC7*P_Segunda*Segunda</f>
        <v>#DIV/0!</v>
      </c>
      <c r="BD9" s="101">
        <f>P_A9_L26*P_Segunda*Segunda*Inflación_9</f>
        <v>0</v>
      </c>
      <c r="BE9" s="100" t="e">
        <f t="shared" si="14"/>
        <v>#DIV/0!</v>
      </c>
      <c r="BF9" s="101">
        <f>P_A9_L27*P_Segunda*Segunda*Inflación_9</f>
        <v>0</v>
      </c>
      <c r="BG9" s="100" t="e">
        <f t="shared" ref="BG9:BI9" si="15">BG7*P_Segunda*Segunda</f>
        <v>#DIV/0!</v>
      </c>
      <c r="BH9" s="101">
        <f>P_A9_L28*P_Segunda*Segunda*Inflación_9</f>
        <v>0</v>
      </c>
      <c r="BI9" s="100" t="e">
        <f t="shared" si="15"/>
        <v>#DIV/0!</v>
      </c>
      <c r="BJ9" s="101">
        <f>P_A9_L29*P_Segunda*Segunda*Inflación_9</f>
        <v>0</v>
      </c>
      <c r="BK9" s="100" t="e">
        <f t="shared" ref="BK9:BM9" si="16">BK7*P_Segunda*Segunda</f>
        <v>#DIV/0!</v>
      </c>
      <c r="BL9" s="101">
        <f>P_A9_L30*P_Segunda*Segunda*Inflación_9</f>
        <v>0</v>
      </c>
      <c r="BM9" s="100" t="e">
        <f t="shared" si="16"/>
        <v>#DIV/0!</v>
      </c>
      <c r="BN9" s="101">
        <f>P_A9_L31*P_Segunda*Segunda*Inflación_9</f>
        <v>0</v>
      </c>
      <c r="BO9" s="100" t="e">
        <f t="shared" ref="BO9:BQ9" si="17">BO7*P_Segunda*Segunda</f>
        <v>#DIV/0!</v>
      </c>
      <c r="BP9" s="101">
        <f>P_A9_L32*P_Segunda*Segunda*Inflación_9</f>
        <v>0</v>
      </c>
      <c r="BQ9" s="100" t="e">
        <f t="shared" si="17"/>
        <v>#DIV/0!</v>
      </c>
      <c r="BR9" s="101">
        <f>P_A9_L33*P_Segunda*Segunda*Inflación_9</f>
        <v>0</v>
      </c>
      <c r="BS9" s="100" t="e">
        <f t="shared" ref="BS9:BU9" si="18">BS7*P_Segunda*Segunda</f>
        <v>#DIV/0!</v>
      </c>
      <c r="BT9" s="101">
        <f>P_A9_L34*P_Segunda*Segunda*Inflación_9</f>
        <v>0</v>
      </c>
      <c r="BU9" s="100" t="e">
        <f t="shared" si="18"/>
        <v>#DIV/0!</v>
      </c>
      <c r="BV9" s="101">
        <f>P_A9_L35*P_Segunda*Segunda*Inflación_9</f>
        <v>0</v>
      </c>
      <c r="BW9" s="100" t="e">
        <f t="shared" ref="BW9:BY9" si="19">BW7*P_Segunda*Segunda</f>
        <v>#DIV/0!</v>
      </c>
      <c r="BX9" s="101">
        <f>P_A9_L36*P_Segunda*Segunda*Inflación_9</f>
        <v>0</v>
      </c>
      <c r="BY9" s="100" t="e">
        <f t="shared" si="19"/>
        <v>#DIV/0!</v>
      </c>
      <c r="BZ9" s="101">
        <f>P_A9_L37*P_Segunda*Segunda*Inflación_9</f>
        <v>0</v>
      </c>
      <c r="CA9" s="100" t="e">
        <f t="shared" ref="CA9:CC9" si="20">CA7*P_Segunda*Segunda</f>
        <v>#DIV/0!</v>
      </c>
      <c r="CB9" s="101">
        <f>P_A9_L38*P_Segunda*Segunda*Inflación_9</f>
        <v>0</v>
      </c>
      <c r="CC9" s="100" t="e">
        <f t="shared" si="20"/>
        <v>#DIV/0!</v>
      </c>
      <c r="CD9" s="101">
        <f>P_A9_L39*P_Segunda*Segunda*Inflación_9</f>
        <v>0</v>
      </c>
      <c r="CE9" s="100" t="e">
        <f t="shared" ref="CE9:CG9" si="21">CE7*P_Segunda*Segunda</f>
        <v>#DIV/0!</v>
      </c>
      <c r="CF9" s="101">
        <f>P_A9_L40*P_Segunda*Segunda*Inflación_9</f>
        <v>0</v>
      </c>
      <c r="CG9" s="100" t="e">
        <f t="shared" si="21"/>
        <v>#DIV/0!</v>
      </c>
      <c r="CH9" s="473"/>
      <c r="CI9" s="101">
        <f>CI7*P_Segunda*Segunda*Inflación_9</f>
        <v>0</v>
      </c>
      <c r="CJ9" s="101">
        <f>CJ7*P_Segunda*Segunda*Inflación_9</f>
        <v>0</v>
      </c>
      <c r="CK9" s="101">
        <f>CK7*P_Segunda*Segunda*Inflación_9</f>
        <v>0</v>
      </c>
      <c r="CL9" s="101">
        <f>CL7*P_Segunda*Segunda*Inflación_9</f>
        <v>0</v>
      </c>
      <c r="CM9" s="101"/>
      <c r="CN9" s="101">
        <f>CN7*P_Segunda*Segunda*Inflación_9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B7*P_Inferior*Inferior*Inflación_9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P_A9_L1*P_Inferior*Inferior*Inflación_9</f>
        <v>0</v>
      </c>
      <c r="G10" s="100" t="e">
        <f t="shared" ref="G10" si="23">G7*P_Inferior*Inferior</f>
        <v>#DIV/0!</v>
      </c>
      <c r="H10" s="101">
        <f>P_A9_L2*P_Inferior*Inferior*Inflación_9</f>
        <v>0</v>
      </c>
      <c r="I10" s="100" t="e">
        <f>I7*P_Inferior*Inferior</f>
        <v>#DIV/0!</v>
      </c>
      <c r="J10" s="101">
        <f>P_A9_L3*P_Inferior*Inferior*Inflación_9</f>
        <v>0</v>
      </c>
      <c r="K10" s="100" t="e">
        <f t="shared" ref="K10" si="24">K7*P_Inferior*Inferior</f>
        <v>#DIV/0!</v>
      </c>
      <c r="L10" s="101">
        <f>P_A9_L4*P_Inferior*Inferior*Inflación_9</f>
        <v>0</v>
      </c>
      <c r="M10" s="100" t="e">
        <f>M7*P_Inferior*Inferior</f>
        <v>#DIV/0!</v>
      </c>
      <c r="N10" s="101">
        <f>P_A9_L5*P_Inferior*Inferior*Inflación_9</f>
        <v>0</v>
      </c>
      <c r="O10" s="100" t="e">
        <f t="shared" ref="O10:Q10" si="25">O7*P_Inferior*Inferior</f>
        <v>#DIV/0!</v>
      </c>
      <c r="P10" s="101">
        <f>P_A9_L6*P_Inferior*Inferior*Inflación_9</f>
        <v>0</v>
      </c>
      <c r="Q10" s="100" t="e">
        <f t="shared" si="25"/>
        <v>#DIV/0!</v>
      </c>
      <c r="R10" s="101">
        <f>P_A9_L7*P_Inferior*Inferior*Inflación_9</f>
        <v>0</v>
      </c>
      <c r="S10" s="100" t="e">
        <f t="shared" ref="S10:U10" si="26">S7*P_Inferior*Inferior</f>
        <v>#DIV/0!</v>
      </c>
      <c r="T10" s="101">
        <f>P_A9_L8*P_Inferior*Inferior*Inflación_9</f>
        <v>0</v>
      </c>
      <c r="U10" s="100" t="e">
        <f t="shared" si="26"/>
        <v>#DIV/0!</v>
      </c>
      <c r="V10" s="101">
        <f>P_A9_L9*P_Inferior*Inferior*Inflación_9</f>
        <v>0</v>
      </c>
      <c r="W10" s="100" t="e">
        <f t="shared" ref="W10:Y10" si="27">W7*P_Inferior*Inferior</f>
        <v>#DIV/0!</v>
      </c>
      <c r="X10" s="101">
        <f>P_A9_L10*P_Inferior*Inferior*Inflación_9</f>
        <v>0</v>
      </c>
      <c r="Y10" s="100" t="e">
        <f t="shared" si="27"/>
        <v>#DIV/0!</v>
      </c>
      <c r="Z10" s="101">
        <f>P_A9_L11*P_Inferior*Inferior*Inflación_9</f>
        <v>0</v>
      </c>
      <c r="AA10" s="100" t="e">
        <f t="shared" ref="AA10:AC10" si="28">AA7*P_Inferior*Inferior</f>
        <v>#DIV/0!</v>
      </c>
      <c r="AB10" s="101">
        <f>P_A9_L12*P_Inferior*Inferior*Inflación_9</f>
        <v>0</v>
      </c>
      <c r="AC10" s="100" t="e">
        <f t="shared" si="28"/>
        <v>#DIV/0!</v>
      </c>
      <c r="AD10" s="101">
        <f>P_A9_L13*P_Inferior*Inferior*Inflación_9</f>
        <v>0</v>
      </c>
      <c r="AE10" s="100" t="e">
        <f t="shared" ref="AE10:AG10" si="29">AE7*P_Inferior*Inferior</f>
        <v>#DIV/0!</v>
      </c>
      <c r="AF10" s="101">
        <f>P_A9_L14*P_Inferior*Inferior*Inflación_9</f>
        <v>0</v>
      </c>
      <c r="AG10" s="100" t="e">
        <f t="shared" si="29"/>
        <v>#DIV/0!</v>
      </c>
      <c r="AH10" s="101">
        <f>P_A9_L15*P_Inferior*Inferior*Inflación_9</f>
        <v>0</v>
      </c>
      <c r="AI10" s="100" t="e">
        <f t="shared" ref="AI10:AK10" si="30">AI7*P_Inferior*Inferior</f>
        <v>#DIV/0!</v>
      </c>
      <c r="AJ10" s="101">
        <f>P_A9_L16*P_Inferior*Inferior*Inflación_9</f>
        <v>0</v>
      </c>
      <c r="AK10" s="100" t="e">
        <f t="shared" si="30"/>
        <v>#DIV/0!</v>
      </c>
      <c r="AL10" s="101">
        <f>P_A9_L17*P_Inferior*Inferior*Inflación_9</f>
        <v>0</v>
      </c>
      <c r="AM10" s="100" t="e">
        <f t="shared" ref="AM10:AO10" si="31">AM7*P_Inferior*Inferior</f>
        <v>#DIV/0!</v>
      </c>
      <c r="AN10" s="101">
        <f>P_A9_L18*P_Inferior*Inferior*Inflación_9</f>
        <v>0</v>
      </c>
      <c r="AO10" s="100" t="e">
        <f t="shared" si="31"/>
        <v>#DIV/0!</v>
      </c>
      <c r="AP10" s="101">
        <f>P_A9_L19*P_Inferior*Inferior*Inflación_9</f>
        <v>0</v>
      </c>
      <c r="AQ10" s="100" t="e">
        <f t="shared" ref="AQ10:AS10" si="32">AQ7*P_Inferior*Inferior</f>
        <v>#DIV/0!</v>
      </c>
      <c r="AR10" s="101">
        <f>P_A9_L20*P_Inferior*Inferior*Inflación_9</f>
        <v>0</v>
      </c>
      <c r="AS10" s="100" t="e">
        <f t="shared" si="32"/>
        <v>#DIV/0!</v>
      </c>
      <c r="AT10" s="101">
        <f>P_A9_L21*P_Inferior*Inferior*Inflación_9</f>
        <v>0</v>
      </c>
      <c r="AU10" s="100" t="e">
        <f t="shared" ref="AU10:AW10" si="33">AU7*P_Inferior*Inferior</f>
        <v>#DIV/0!</v>
      </c>
      <c r="AV10" s="101">
        <f>P_A9_L22*P_Inferior*Inferior*Inflación_9</f>
        <v>0</v>
      </c>
      <c r="AW10" s="100" t="e">
        <f t="shared" si="33"/>
        <v>#DIV/0!</v>
      </c>
      <c r="AX10" s="101">
        <f>P_A9_L23*P_Inferior*Inferior*Inflación_9</f>
        <v>0</v>
      </c>
      <c r="AY10" s="100" t="e">
        <f t="shared" ref="AY10:BA10" si="34">AY7*P_Inferior*Inferior</f>
        <v>#DIV/0!</v>
      </c>
      <c r="AZ10" s="101">
        <f>P_A9_L24*P_Inferior*Inferior*Inflación_9</f>
        <v>0</v>
      </c>
      <c r="BA10" s="100" t="e">
        <f t="shared" si="34"/>
        <v>#DIV/0!</v>
      </c>
      <c r="BB10" s="101">
        <f>P_A9_L25*P_Inferior*Inferior*Inflación_9</f>
        <v>0</v>
      </c>
      <c r="BC10" s="100" t="e">
        <f t="shared" ref="BC10:BE10" si="35">BC7*P_Inferior*Inferior</f>
        <v>#DIV/0!</v>
      </c>
      <c r="BD10" s="101">
        <f>P_A9_L26*P_Inferior*Inferior*Inflación_9</f>
        <v>0</v>
      </c>
      <c r="BE10" s="100" t="e">
        <f t="shared" si="35"/>
        <v>#DIV/0!</v>
      </c>
      <c r="BF10" s="101">
        <f>P_A9_L27*P_Inferior*Inferior*Inflación_9</f>
        <v>0</v>
      </c>
      <c r="BG10" s="100" t="e">
        <f t="shared" ref="BG10:BI10" si="36">BG7*P_Inferior*Inferior</f>
        <v>#DIV/0!</v>
      </c>
      <c r="BH10" s="101">
        <f>P_A9_L28*P_Inferior*Inferior*Inflación_9</f>
        <v>0</v>
      </c>
      <c r="BI10" s="100" t="e">
        <f t="shared" si="36"/>
        <v>#DIV/0!</v>
      </c>
      <c r="BJ10" s="101">
        <f>P_A9_L29*P_Inferior*Inferior*Inflación_9</f>
        <v>0</v>
      </c>
      <c r="BK10" s="100" t="e">
        <f t="shared" ref="BK10:BM10" si="37">BK7*P_Inferior*Inferior</f>
        <v>#DIV/0!</v>
      </c>
      <c r="BL10" s="101">
        <f>P_A9_L30*P_Inferior*Inferior*Inflación_9</f>
        <v>0</v>
      </c>
      <c r="BM10" s="100" t="e">
        <f t="shared" si="37"/>
        <v>#DIV/0!</v>
      </c>
      <c r="BN10" s="101">
        <f>P_A9_L31*P_Inferior*Inferior*Inflación_9</f>
        <v>0</v>
      </c>
      <c r="BO10" s="100" t="e">
        <f t="shared" ref="BO10:BQ10" si="38">BO7*P_Inferior*Inferior</f>
        <v>#DIV/0!</v>
      </c>
      <c r="BP10" s="101">
        <f>P_A9_L32*P_Inferior*Inferior*Inflación_9</f>
        <v>0</v>
      </c>
      <c r="BQ10" s="100" t="e">
        <f t="shared" si="38"/>
        <v>#DIV/0!</v>
      </c>
      <c r="BR10" s="101">
        <f>P_A9_L33*P_Inferior*Inferior*Inflación_9</f>
        <v>0</v>
      </c>
      <c r="BS10" s="100" t="e">
        <f t="shared" ref="BS10:BU10" si="39">BS7*P_Inferior*Inferior</f>
        <v>#DIV/0!</v>
      </c>
      <c r="BT10" s="101">
        <f>P_A9_L34*P_Inferior*Inferior*Inflación_9</f>
        <v>0</v>
      </c>
      <c r="BU10" s="100" t="e">
        <f t="shared" si="39"/>
        <v>#DIV/0!</v>
      </c>
      <c r="BV10" s="101">
        <f>P_A9_L35*P_Inferior*Inferior*Inflación_9</f>
        <v>0</v>
      </c>
      <c r="BW10" s="100" t="e">
        <f t="shared" ref="BW10:BY10" si="40">BW7*P_Inferior*Inferior</f>
        <v>#DIV/0!</v>
      </c>
      <c r="BX10" s="101">
        <f>P_A9_L36*P_Inferior*Inferior*Inflación_9</f>
        <v>0</v>
      </c>
      <c r="BY10" s="100" t="e">
        <f t="shared" si="40"/>
        <v>#DIV/0!</v>
      </c>
      <c r="BZ10" s="101">
        <f>P_A9_L37*P_Inferior*Inferior*Inflación_9</f>
        <v>0</v>
      </c>
      <c r="CA10" s="100" t="e">
        <f t="shared" ref="CA10:CC10" si="41">CA7*P_Inferior*Inferior</f>
        <v>#DIV/0!</v>
      </c>
      <c r="CB10" s="101">
        <f>P_A9_L38*P_Inferior*Inferior*Inflación_9</f>
        <v>0</v>
      </c>
      <c r="CC10" s="100" t="e">
        <f t="shared" si="41"/>
        <v>#DIV/0!</v>
      </c>
      <c r="CD10" s="101">
        <f>P_A9_L39*P_Inferior*Inferior*Inflación_9</f>
        <v>0</v>
      </c>
      <c r="CE10" s="100" t="e">
        <f t="shared" ref="CE10:CG10" si="42">CE7*P_Inferior*Inferior</f>
        <v>#DIV/0!</v>
      </c>
      <c r="CF10" s="101">
        <f>P_A9_L40*P_Inferior*Inferior*Inflación_9</f>
        <v>0</v>
      </c>
      <c r="CG10" s="100" t="e">
        <f t="shared" si="42"/>
        <v>#DIV/0!</v>
      </c>
      <c r="CH10" s="473"/>
      <c r="CI10" s="101">
        <f>CI7*P_Inferior*Inferior*Inflación_9</f>
        <v>0</v>
      </c>
      <c r="CJ10" s="101">
        <f>CJ7*P_Inferior*Inferior*Inflación_9</f>
        <v>0</v>
      </c>
      <c r="CK10" s="101">
        <f>CK7*P_Inferior*Inferior*Inflación_9</f>
        <v>0</v>
      </c>
      <c r="CL10" s="101">
        <f>CL7*P_Inferior*Inferior*Inflación_9</f>
        <v>0</v>
      </c>
      <c r="CM10" s="101"/>
      <c r="CN10" s="101">
        <f>CN7*P_Inferior*Inferior*Inflación_9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SUMIFS('9'!$E:$E,'9'!$A:$A,Año_Inicial+8,'9'!$D:$D,"Poda")</f>
        <v>0</v>
      </c>
      <c r="D14" s="100">
        <f t="shared" ref="D14:D44" si="45">C14-B14</f>
        <v>0</v>
      </c>
      <c r="E14" s="473"/>
      <c r="F14" s="101">
        <f>((A9_A_L1*Poda_A)+(A9_B_L1*Poda_B)+(A9_C_L1*Poda_C)+(A9_D_L1*Poda_D)+(A9_Y_L1*Poda_Y))*Inflación_9</f>
        <v>0</v>
      </c>
      <c r="G14" s="101">
        <f>SUMIFS('9'!$E:$E,'9'!$A:$A,Año_Inicial+8,'9'!$B:$B,'12'!F$4,'9'!$D:$D,"Poda")</f>
        <v>0</v>
      </c>
      <c r="H14" s="101">
        <f>((A9_A_L2*Poda_A)+(A9_B_L2*Poda_B)+(A9_C_L2*Poda_C)+(A9_D_L2*Poda_D)+(A9_Y_L2*Poda_Y))*Inflación_9</f>
        <v>0</v>
      </c>
      <c r="I14" s="101">
        <f>SUMIFS('9'!$E:$E,'9'!$A:$A,Año_Inicial+8,'9'!$B:$B,'12'!H$4,'9'!$D:$D,"Poda")</f>
        <v>0</v>
      </c>
      <c r="J14" s="101">
        <f>((A9_A_L3*Poda_A)+(A9_B_L3*Poda_B)+(A9_C_L3*Poda_C)+(A9_D_L3*Poda_D)+(A9_Y_L3*Poda_Y))*Inflación_9</f>
        <v>0</v>
      </c>
      <c r="K14" s="101">
        <f>SUMIFS('9'!$E:$E,'9'!$A:$A,Año_Inicial+8,'9'!$B:$B,'12'!J$4,'9'!$D:$D,"Poda")</f>
        <v>0</v>
      </c>
      <c r="L14" s="101">
        <f>((A9_A_L4*Poda_A)+(A9_B_L4*Poda_B)+(A9_C_L4*Poda_C)+(A9_D_L4*Poda_D)+(A9_Y_L4*Poda_Y))*Inflación_9</f>
        <v>0</v>
      </c>
      <c r="M14" s="101">
        <f>SUMIFS('9'!$E:$E,'9'!$A:$A,Año_Inicial+8,'9'!$B:$B,'12'!L$4,'9'!$D:$D,"Poda")</f>
        <v>0</v>
      </c>
      <c r="N14" s="101">
        <f>((A9_A_L5*Poda_A)+(A9_B_L5*Poda_B)+(A9_C_L5*Poda_C)+(A9_D_L5*Poda_D)+(A9_Y_L5*Poda_Y))*Inflación_9</f>
        <v>0</v>
      </c>
      <c r="O14" s="101">
        <f>SUMIFS('9'!$E:$E,'9'!$A:$A,Año_Inicial+8,'9'!$B:$B,'12'!N$4,'9'!$D:$D,"Poda")</f>
        <v>0</v>
      </c>
      <c r="P14" s="101">
        <f>((A9_A_L6*Poda_A)+(A9_B_L6*Poda_B)+(A9_C_L6*Poda_C)+(A9_D_L6*Poda_D)+(A9_Y_L6*Poda_Y))*Inflación_9</f>
        <v>0</v>
      </c>
      <c r="Q14" s="101">
        <f>SUMIFS('9'!$E:$E,'9'!$A:$A,Año_Inicial+8,'9'!$B:$B,'12'!P$4,'9'!$D:$D,"Poda")</f>
        <v>0</v>
      </c>
      <c r="R14" s="101">
        <f>((A9_A_L7*Poda_A)+(A9_B_L7*Poda_B)+(A9_C_L7*Poda_C)+(A9_D_L7*Poda_D)+(A9_Y_L7*Poda_Y))*Inflación_9</f>
        <v>0</v>
      </c>
      <c r="S14" s="101">
        <f>SUMIFS('9'!$E:$E,'9'!$A:$A,Año_Inicial+8,'9'!$B:$B,'12'!R$4,'9'!$D:$D,"Poda")</f>
        <v>0</v>
      </c>
      <c r="T14" s="101">
        <f>((A9_A_L8*Poda_A)+(A9_B_L8*Poda_B)+(A9_C_L8*Poda_C)+(A9_D_L8*Poda_D)+(A9_Y_L8*Poda_Y))*Inflación_9</f>
        <v>0</v>
      </c>
      <c r="U14" s="101">
        <f>SUMIFS('9'!$E:$E,'9'!$A:$A,Año_Inicial+8,'9'!$B:$B,'12'!T$4,'9'!$D:$D,"Poda")</f>
        <v>0</v>
      </c>
      <c r="V14" s="101">
        <f>((A9_A_L9*Poda_A)+(A9_B_L9*Poda_B)+(A9_C_L9*Poda_C)+(A9_D_L9*Poda_D)+(A9_Y_L9*Poda_Y))*Inflación_9</f>
        <v>0</v>
      </c>
      <c r="W14" s="101">
        <f>SUMIFS('9'!$E:$E,'9'!$A:$A,Año_Inicial+8,'9'!$B:$B,'12'!V$4,'9'!$D:$D,"Poda")</f>
        <v>0</v>
      </c>
      <c r="X14" s="101">
        <f>((A9_A_L10*Poda_A)+(A9_B_L10*Poda_B)+(A9_C_L10*Poda_C)+(A9_D_L10*Poda_D)+(A9_Y_L10*Poda_Y))*Inflación_9</f>
        <v>0</v>
      </c>
      <c r="Y14" s="101">
        <f>SUMIFS('9'!$E:$E,'9'!$A:$A,Año_Inicial+8,'9'!$B:$B,'12'!X$4,'9'!$D:$D,"Poda")</f>
        <v>0</v>
      </c>
      <c r="Z14" s="101">
        <f>((A9_A_L11*Poda_A)+(A9_B_L11*Poda_B)+(A9_C_L11*Poda_C)+(A9_D_L11*Poda_D)+(A9_Y_L11*Poda_Y))*Inflación_9</f>
        <v>0</v>
      </c>
      <c r="AA14" s="101">
        <f>SUMIFS('9'!$E:$E,'9'!$A:$A,Año_Inicial+8,'9'!$B:$B,'12'!Z$4,'9'!$D:$D,"Poda")</f>
        <v>0</v>
      </c>
      <c r="AB14" s="101">
        <f>((A9_A_L12*Poda_A)+(A9_B_L12*Poda_B)+(A9_C_L12*Poda_C)+(A9_D_L12*Poda_D)+(A9_Y_L12*Poda_Y))*Inflación_9</f>
        <v>0</v>
      </c>
      <c r="AC14" s="101">
        <f>SUMIFS('9'!$E:$E,'9'!$A:$A,Año_Inicial+8,'9'!$B:$B,'12'!AB$4,'9'!$D:$D,"Poda")</f>
        <v>0</v>
      </c>
      <c r="AD14" s="101">
        <f>((A9_A_L13*Poda_A)+(A9_B_L13*Poda_B)+(A9_C_L13*Poda_C)+(A9_D_L13*Poda_D)+(A9_Y_L13*Poda_Y))*Inflación_9</f>
        <v>0</v>
      </c>
      <c r="AE14" s="101">
        <f>SUMIFS('9'!$E:$E,'9'!$A:$A,Año_Inicial+8,'9'!$B:$B,'12'!AD$4,'9'!$D:$D,"Poda")</f>
        <v>0</v>
      </c>
      <c r="AF14" s="101">
        <f>((A9_A_L14*Poda_A)+(A9_B_L14*Poda_B)+(A9_C_L14*Poda_C)+(A9_D_L14*Poda_D)+(A9_Y_L14*Poda_Y))*Inflación_9</f>
        <v>0</v>
      </c>
      <c r="AG14" s="101">
        <f>SUMIFS('9'!$E:$E,'9'!$A:$A,Año_Inicial+8,'9'!$B:$B,'12'!AF$4,'9'!$D:$D,"Poda")</f>
        <v>0</v>
      </c>
      <c r="AH14" s="101">
        <f>((A9_A_L15*Poda_A)+(A9_B_L15*Poda_B)+(A9_C_L15*Poda_C)+(A9_D_L15*Poda_D)+(A9_Y_L15*Poda_Y))*Inflación_9</f>
        <v>0</v>
      </c>
      <c r="AI14" s="101">
        <f>SUMIFS('9'!$E:$E,'9'!$A:$A,Año_Inicial+8,'9'!$B:$B,'12'!AH$4,'9'!$D:$D,"Poda")</f>
        <v>0</v>
      </c>
      <c r="AJ14" s="101">
        <f>((A9_A_L16*Poda_A)+(A9_B_L16*Poda_B)+(A9_C_L16*Poda_C)+(A9_D_L16*Poda_D)+(A9_Y_L16*Poda_Y))*Inflación_9</f>
        <v>0</v>
      </c>
      <c r="AK14" s="101">
        <f>SUMIFS('9'!$E:$E,'9'!$A:$A,Año_Inicial+8,'9'!$B:$B,'12'!AJ$4,'9'!$D:$D,"Poda")</f>
        <v>0</v>
      </c>
      <c r="AL14" s="101">
        <f>((A9_A_L17*Poda_A)+(A9_B_L17*Poda_B)+(A9_C_L17*Poda_C)+(A9_D_L17*Poda_D)+(A9_Y_L17*Poda_Y))*Inflación_9</f>
        <v>0</v>
      </c>
      <c r="AM14" s="101">
        <f>SUMIFS('9'!$E:$E,'9'!$A:$A,Año_Inicial+8,'9'!$B:$B,'12'!AL$4,'9'!$D:$D,"Poda")</f>
        <v>0</v>
      </c>
      <c r="AN14" s="101">
        <f>((A9_A_L18*Poda_A)+(A9_B_L18*Poda_B)+(A9_C_L18*Poda_C)+(A9_D_L18*Poda_D)+(A9_Y_L18*Poda_Y))*Inflación_9</f>
        <v>0</v>
      </c>
      <c r="AO14" s="101">
        <f>SUMIFS('9'!$E:$E,'9'!$A:$A,Año_Inicial+8,'9'!$B:$B,'12'!AN$4,'9'!$D:$D,"Poda")</f>
        <v>0</v>
      </c>
      <c r="AP14" s="101">
        <f>((A9_A_L19*Poda_A)+(A9_B_L19*Poda_B)+(A9_C_L19*Poda_C)+(A9_D_L19*Poda_D)+(A9_Y_L19*Poda_Y))*Inflación_9</f>
        <v>0</v>
      </c>
      <c r="AQ14" s="101">
        <f>SUMIFS('9'!$E:$E,'9'!$A:$A,Año_Inicial+8,'9'!$B:$B,'12'!AP$4,'9'!$D:$D,"Poda")</f>
        <v>0</v>
      </c>
      <c r="AR14" s="101">
        <f>((A9_A_L20*Poda_A)+(A9_B_L20*Poda_B)+(A9_C_L20*Poda_C)+(A9_D_L20*Poda_D)+(A9_Y_L20*Poda_Y))*Inflación_9</f>
        <v>0</v>
      </c>
      <c r="AS14" s="101">
        <f>SUMIFS('9'!$E:$E,'9'!$A:$A,Año_Inicial+8,'9'!$B:$B,'12'!AR$4,'9'!$D:$D,"Poda")</f>
        <v>0</v>
      </c>
      <c r="AT14" s="101">
        <f>((A9_A_L21*Poda_A)+(A9_B_L21*Poda_B)+(A9_C_L21*Poda_C)+(A9_D_L21*Poda_D)+(A9_Y_L21*Poda_Y))*Inflación_9</f>
        <v>0</v>
      </c>
      <c r="AU14" s="101">
        <f>SUMIFS('9'!$E:$E,'9'!$A:$A,Año_Inicial+8,'9'!$B:$B,'12'!AT$4,'9'!$D:$D,"Poda")</f>
        <v>0</v>
      </c>
      <c r="AV14" s="101">
        <f>((A9_A_L22*Poda_A)+(A9_B_L22*Poda_B)+(A9_C_L22*Poda_C)+(A9_D_L22*Poda_D)+(A9_Y_L22*Poda_Y))*Inflación_9</f>
        <v>0</v>
      </c>
      <c r="AW14" s="101">
        <f>SUMIFS('9'!$E:$E,'9'!$A:$A,Año_Inicial+8,'9'!$B:$B,'12'!AV$4,'9'!$D:$D,"Poda")</f>
        <v>0</v>
      </c>
      <c r="AX14" s="101">
        <f>((A9_A_L23*Poda_A)+(A9_B_L23*Poda_B)+(A9_C_L23*Poda_C)+(A9_D_L23*Poda_D)+(A9_Y_L23*Poda_Y))*Inflación_9</f>
        <v>0</v>
      </c>
      <c r="AY14" s="101">
        <f>SUMIFS('9'!$E:$E,'9'!$A:$A,Año_Inicial+8,'9'!$B:$B,'12'!AX$4,'9'!$D:$D,"Poda")</f>
        <v>0</v>
      </c>
      <c r="AZ14" s="101">
        <f>((A9_A_L24*Poda_A)+(A9_B_L24*Poda_B)+(A9_C_L24*Poda_C)+(A9_D_L24*Poda_D)+(A9_Y_L24*Poda_Y))*Inflación_9</f>
        <v>0</v>
      </c>
      <c r="BA14" s="101">
        <f>SUMIFS('9'!$E:$E,'9'!$A:$A,Año_Inicial+8,'9'!$B:$B,'12'!AZ$4,'9'!$D:$D,"Poda")</f>
        <v>0</v>
      </c>
      <c r="BB14" s="101">
        <f>((A9_A_L25*Poda_A)+(A9_B_L25*Poda_B)+(A9_C_L25*Poda_C)+(A9_D_L25*Poda_D)+(A9_Y_L25*Poda_Y))*Inflación_9</f>
        <v>0</v>
      </c>
      <c r="BC14" s="101">
        <f>SUMIFS('9'!$E:$E,'9'!$A:$A,Año_Inicial+8,'9'!$B:$B,'12'!BB$4,'9'!$D:$D,"Poda")</f>
        <v>0</v>
      </c>
      <c r="BD14" s="101">
        <f>((A9_A_L26*Poda_A)+(A9_B_L26*Poda_B)+(A9_C_L26*Poda_C)+(A9_D_L26*Poda_D)+(A9_Y_L26*Poda_Y))*Inflación_9</f>
        <v>0</v>
      </c>
      <c r="BE14" s="101">
        <f>SUMIFS('9'!$E:$E,'9'!$A:$A,Año_Inicial+8,'9'!$B:$B,'12'!BD$4,'9'!$D:$D,"Poda")</f>
        <v>0</v>
      </c>
      <c r="BF14" s="101">
        <f>((A9_A_L27*Poda_A)+(A9_B_L27*Poda_B)+(A9_C_L27*Poda_C)+(A9_D_L27*Poda_D)+(A9_Y_L27*Poda_Y))*Inflación_9</f>
        <v>0</v>
      </c>
      <c r="BG14" s="101">
        <f>SUMIFS('9'!$E:$E,'9'!$A:$A,Año_Inicial+8,'9'!$B:$B,'12'!BF$4,'9'!$D:$D,"Poda")</f>
        <v>0</v>
      </c>
      <c r="BH14" s="101">
        <f>((A9_A_L28*Poda_A)+(A9_B_L28*Poda_B)+(A9_C_L28*Poda_C)+(A9_D_L28*Poda_D)+(A9_Y_L28*Poda_Y))*Inflación_9</f>
        <v>0</v>
      </c>
      <c r="BI14" s="101">
        <f>SUMIFS('9'!$E:$E,'9'!$A:$A,Año_Inicial+8,'9'!$B:$B,'12'!BH$4,'9'!$D:$D,"Poda")</f>
        <v>0</v>
      </c>
      <c r="BJ14" s="101">
        <f>((A9_A_L29*Poda_A)+(A9_B_L29*Poda_B)+(A9_C_L29*Poda_C)+(A9_D_L29*Poda_D)+(A9_Y_L29*Poda_Y))*Inflación_9</f>
        <v>0</v>
      </c>
      <c r="BK14" s="101">
        <f>SUMIFS('9'!$E:$E,'9'!$A:$A,Año_Inicial+8,'9'!$B:$B,'12'!BJ$4,'9'!$D:$D,"Poda")</f>
        <v>0</v>
      </c>
      <c r="BL14" s="101">
        <f>((A9_A_L30*Poda_A)+(A9_B_L30*Poda_B)+(A9_C_L30*Poda_C)+(A9_D_L30*Poda_D)+(A9_Y_L30*Poda_Y))*Inflación_9</f>
        <v>0</v>
      </c>
      <c r="BM14" s="101">
        <f>SUMIFS('9'!$E:$E,'9'!$A:$A,Año_Inicial+8,'9'!$B:$B,'12'!BL$4,'9'!$D:$D,"Poda")</f>
        <v>0</v>
      </c>
      <c r="BN14" s="101">
        <f>((A9_A_L31*Poda_A)+(A9_B_L31*Poda_B)+(A9_C_L31*Poda_C)+(A9_D_L31*Poda_D)+(A9_Y_L31*Poda_Y))*Inflación_9</f>
        <v>0</v>
      </c>
      <c r="BO14" s="101">
        <f>SUMIFS('9'!$E:$E,'9'!$A:$A,Año_Inicial+8,'9'!$B:$B,'12'!BN$4,'9'!$D:$D,"Poda")</f>
        <v>0</v>
      </c>
      <c r="BP14" s="101">
        <f>((A9_A_L32*Poda_A)+(A9_B_L32*Poda_B)+(A9_C_L32*Poda_C)+(A9_D_L32*Poda_D)+(A9_Y_L32*Poda_Y))*Inflación_9</f>
        <v>0</v>
      </c>
      <c r="BQ14" s="101">
        <f>SUMIFS('9'!$E:$E,'9'!$A:$A,Año_Inicial+8,'9'!$B:$B,'12'!BP$4,'9'!$D:$D,"Poda")</f>
        <v>0</v>
      </c>
      <c r="BR14" s="101">
        <f>((A9_A_L33*Poda_A)+(A9_B_L33*Poda_B)+(A9_C_L33*Poda_C)+(A9_D_L33*Poda_D)+(A9_Y_L33*Poda_Y))*Inflación_9</f>
        <v>0</v>
      </c>
      <c r="BS14" s="101">
        <f>SUMIFS('9'!$E:$E,'9'!$A:$A,Año_Inicial+8,'9'!$B:$B,'12'!BR$4,'9'!$D:$D,"Poda")</f>
        <v>0</v>
      </c>
      <c r="BT14" s="101">
        <f>((A9_A_L34*Poda_A)+(A9_B_L34*Poda_B)+(A9_C_L34*Poda_C)+(A9_D_L34*Poda_D)+(A9_Y_L34*Poda_Y))*Inflación_9</f>
        <v>0</v>
      </c>
      <c r="BU14" s="101">
        <f>SUMIFS('9'!$E:$E,'9'!$A:$A,Año_Inicial+8,'9'!$B:$B,'12'!BT$4,'9'!$D:$D,"Poda")</f>
        <v>0</v>
      </c>
      <c r="BV14" s="101">
        <f>((A9_A_L35*Poda_A)+(A9_B_L35*Poda_B)+(A9_C_L35*Poda_C)+(A9_D_L35*Poda_D)+(A9_Y_L35*Poda_Y))*Inflación_9</f>
        <v>0</v>
      </c>
      <c r="BW14" s="101">
        <f>SUMIFS('9'!$E:$E,'9'!$A:$A,Año_Inicial+8,'9'!$B:$B,'12'!BV$4,'9'!$D:$D,"Poda")</f>
        <v>0</v>
      </c>
      <c r="BX14" s="101">
        <f>((A9_A_L36*Poda_A)+(A9_B_L36*Poda_B)+(A9_C_L36*Poda_C)+(A9_D_L36*Poda_D)+(A9_Y_L36*Poda_Y))*Inflación_9</f>
        <v>0</v>
      </c>
      <c r="BY14" s="101">
        <f>SUMIFS('9'!$E:$E,'9'!$A:$A,Año_Inicial+8,'9'!$B:$B,'12'!BX$4,'9'!$D:$D,"Poda")</f>
        <v>0</v>
      </c>
      <c r="BZ14" s="101">
        <f>((A9_A_L37*Poda_A)+(A9_B_L37*Poda_B)+(A9_C_L37*Poda_C)+(A9_D_L37*Poda_D)+(A9_Y_L37*Poda_Y))*Inflación_9</f>
        <v>0</v>
      </c>
      <c r="CA14" s="101">
        <f>SUMIFS('9'!$E:$E,'9'!$A:$A,Año_Inicial+8,'9'!$B:$B,'12'!BZ$4,'9'!$D:$D,"Poda")</f>
        <v>0</v>
      </c>
      <c r="CB14" s="101">
        <f>((A9_A_L38*Poda_A)+(A9_B_L38*Poda_B)+(A9_C_L38*Poda_C)+(A9_D_L38*Poda_D)+(A9_Y_L38*Poda_Y))*Inflación_9</f>
        <v>0</v>
      </c>
      <c r="CC14" s="101">
        <f>SUMIFS('9'!$E:$E,'9'!$A:$A,Año_Inicial+8,'9'!$B:$B,'12'!CB$4,'9'!$D:$D,"Poda")</f>
        <v>0</v>
      </c>
      <c r="CD14" s="101">
        <f>((A9_A_L39*Poda_A)+(A9_B_L39*Poda_B)+(A9_C_L39*Poda_C)+(A9_D_L39*Poda_D)+(A9_Y_L39*Poda_Y))*Inflación_9</f>
        <v>0</v>
      </c>
      <c r="CE14" s="101">
        <f>SUMIFS('9'!$E:$E,'9'!$A:$A,Año_Inicial+8,'9'!$B:$B,'12'!CD$4,'9'!$D:$D,"Poda")</f>
        <v>0</v>
      </c>
      <c r="CF14" s="101">
        <f>((A9_A_L40*Poda_A)+(A9_B_L40*Poda_B)+(A9_C_L40*Poda_C)+(A9_D_L40*Poda_D)+(A9_Y_L40*Poda_Y))*Inflación_9</f>
        <v>0</v>
      </c>
      <c r="CG14" s="101">
        <f>SUMIFS('9'!$E:$E,'9'!$A:$A,Año_Inicial+8,'9'!$B:$B,'12'!CF$4,'9'!$D:$D,"Poda")</f>
        <v>0</v>
      </c>
      <c r="CH14" s="473"/>
      <c r="CI14" s="101">
        <f>Plantas_A_A9*Poda_A*Inflación_9</f>
        <v>0</v>
      </c>
      <c r="CJ14" s="101">
        <f>Plantas_B_A9*Poda_B</f>
        <v>0</v>
      </c>
      <c r="CK14" s="101">
        <f>Plantas_C_A9*Poda_C</f>
        <v>0</v>
      </c>
      <c r="CL14" s="101">
        <f>Plantas_D_A9*Poda_D</f>
        <v>0</v>
      </c>
      <c r="CM14" s="101"/>
      <c r="CN14" s="101">
        <f>Plantas_Y_A9*Poda_Y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SUMIFS('9'!$E:$E,'9'!$A:$A,Año_Inicial+8,'9'!$D:$D,"Deshije")</f>
        <v>0</v>
      </c>
      <c r="D15" s="100">
        <f t="shared" si="45"/>
        <v>0</v>
      </c>
      <c r="E15" s="473"/>
      <c r="F15" s="101">
        <f>((A9_A_L1*Deshije_A)+(A9_B_L1*Deshije_B)+(A9_C_L1*Deshije_C)+(A9_D_L1*Deshije_D)+(A9_Y_L1*Deshije_Y))*Inflación_9</f>
        <v>0</v>
      </c>
      <c r="G15" s="101">
        <f>SUMIFS('9'!$E:$E,'9'!$A:$A,Año_Inicial+8,'9'!$B:$B,'12'!F$4,'9'!$D:$D,"Deshije")</f>
        <v>0</v>
      </c>
      <c r="H15" s="101">
        <f>((A9_A_L2*Deshije_A)+(A9_B_L2*Deshije_B)+(A9_C_L2*Deshije_C)+(A9_D_L2*Deshije_D)+(A9_Y_L2*Deshije_Y))*Inflación_9</f>
        <v>0</v>
      </c>
      <c r="I15" s="101">
        <f>SUMIFS('9'!$E:$E,'9'!$A:$A,Año_Inicial+8,'9'!$B:$B,'12'!H$4,'9'!$D:$D,"Deshije")</f>
        <v>0</v>
      </c>
      <c r="J15" s="101">
        <f>((A9_A_L3*Deshije_A)+(A9_B_L3*Deshije_B)+(A9_C_L3*Deshije_C)+(A9_D_L3*Deshije_D)+(A9_Y_L3*Deshije_Y))*Inflación_9</f>
        <v>0</v>
      </c>
      <c r="K15" s="101">
        <f>SUMIFS('9'!$E:$E,'9'!$A:$A,Año_Inicial+8,'9'!$B:$B,'12'!J$4,'9'!$D:$D,"Deshije")</f>
        <v>0</v>
      </c>
      <c r="L15" s="101">
        <f>((A9_A_L4*Deshije_A)+(A9_B_L4*Deshije_B)+(A9_C_L4*Deshije_C)+(A9_D_L4*Deshije_D)+(A9_Y_L4*Deshije_Y))*Inflación_9</f>
        <v>0</v>
      </c>
      <c r="M15" s="101">
        <f>SUMIFS('9'!$E:$E,'9'!$A:$A,Año_Inicial+8,'9'!$B:$B,'12'!L$4,'9'!$D:$D,"Deshije")</f>
        <v>0</v>
      </c>
      <c r="N15" s="101">
        <f>((A9_A_L5*Deshije_A)+(A9_B_L5*Deshije_B)+(A9_C_L5*Deshije_C)+(A9_D_L5*Deshije_D)+(A9_Y_L5*Deshije_Y))*Inflación_9</f>
        <v>0</v>
      </c>
      <c r="O15" s="101">
        <f>SUMIFS('9'!$E:$E,'9'!$A:$A,Año_Inicial+8,'9'!$B:$B,'12'!N$4,'9'!$D:$D,"Deshije")</f>
        <v>0</v>
      </c>
      <c r="P15" s="101">
        <f>((A9_A_L6*Deshije_A)+(A9_B_L6*Deshije_B)+(A9_C_L6*Deshije_C)+(A9_D_L6*Deshije_D)+(A9_Y_L6*Deshije_Y))*Inflación_9</f>
        <v>0</v>
      </c>
      <c r="Q15" s="101">
        <f>SUMIFS('9'!$E:$E,'9'!$A:$A,Año_Inicial+8,'9'!$B:$B,'12'!P$4,'9'!$D:$D,"Deshije")</f>
        <v>0</v>
      </c>
      <c r="R15" s="101">
        <f>((A9_A_L7*Deshije_A)+(A9_B_L7*Deshije_B)+(A9_C_L7*Deshije_C)+(A9_D_L7*Deshije_D)+(A9_Y_L7*Deshije_Y))*Inflación_9</f>
        <v>0</v>
      </c>
      <c r="S15" s="101">
        <f>SUMIFS('9'!$E:$E,'9'!$A:$A,Año_Inicial+8,'9'!$B:$B,'12'!R$4,'9'!$D:$D,"Deshije")</f>
        <v>0</v>
      </c>
      <c r="T15" s="101">
        <f>((A9_A_L8*Deshije_A)+(A9_B_L8*Deshije_B)+(A9_C_L8*Deshije_C)+(A9_D_L8*Deshije_D)+(A9_Y_L8*Deshije_Y))*Inflación_9</f>
        <v>0</v>
      </c>
      <c r="U15" s="101">
        <f>SUMIFS('9'!$E:$E,'9'!$A:$A,Año_Inicial+8,'9'!$B:$B,'12'!T$4,'9'!$D:$D,"Deshije")</f>
        <v>0</v>
      </c>
      <c r="V15" s="101">
        <f>((A9_A_L9*Deshije_A)+(A9_B_L9*Deshije_B)+(A9_C_L9*Deshije_C)+(A9_D_L9*Deshije_D)+(A9_Y_L9*Deshije_Y))*Inflación_9</f>
        <v>0</v>
      </c>
      <c r="W15" s="101">
        <f>SUMIFS('9'!$E:$E,'9'!$A:$A,Año_Inicial+8,'9'!$B:$B,'12'!V$4,'9'!$D:$D,"Deshije")</f>
        <v>0</v>
      </c>
      <c r="X15" s="101">
        <f>((A9_A_L10*Deshije_A)+(A9_B_L10*Deshije_B)+(A9_C_L10*Deshije_C)+(A9_D_L10*Deshije_D)+(A9_Y_L10*Deshije_Y))*Inflación_9</f>
        <v>0</v>
      </c>
      <c r="Y15" s="101">
        <f>SUMIFS('9'!$E:$E,'9'!$A:$A,Año_Inicial+8,'9'!$B:$B,'12'!X$4,'9'!$D:$D,"Deshije")</f>
        <v>0</v>
      </c>
      <c r="Z15" s="101">
        <f>((A9_A_L11*Deshije_A)+(A9_B_L11*Deshije_B)+(A9_C_L11*Deshije_C)+(A9_D_L11*Deshije_D)+(A9_Y_L11*Deshije_Y))*Inflación_9</f>
        <v>0</v>
      </c>
      <c r="AA15" s="101">
        <f>SUMIFS('9'!$E:$E,'9'!$A:$A,Año_Inicial+8,'9'!$B:$B,'12'!Z$4,'9'!$D:$D,"Deshije")</f>
        <v>0</v>
      </c>
      <c r="AB15" s="101">
        <f>((A9_A_L12*Deshije_A)+(A9_B_L12*Deshije_B)+(A9_C_L12*Deshije_C)+(A9_D_L12*Deshije_D)+(A9_Y_L12*Deshije_Y))*Inflación_9</f>
        <v>0</v>
      </c>
      <c r="AC15" s="101">
        <f>SUMIFS('9'!$E:$E,'9'!$A:$A,Año_Inicial+8,'9'!$B:$B,'12'!AB$4,'9'!$D:$D,"Deshije")</f>
        <v>0</v>
      </c>
      <c r="AD15" s="101">
        <f>((A9_A_L13*Deshije_A)+(A9_B_L13*Deshije_B)+(A9_C_L13*Deshije_C)+(A9_D_L13*Deshije_D)+(A9_Y_L13*Deshije_Y))*Inflación_9</f>
        <v>0</v>
      </c>
      <c r="AE15" s="101">
        <f>SUMIFS('9'!$E:$E,'9'!$A:$A,Año_Inicial+8,'9'!$B:$B,'12'!AD$4,'9'!$D:$D,"Deshije")</f>
        <v>0</v>
      </c>
      <c r="AF15" s="101">
        <f>((A9_A_L14*Deshije_A)+(A9_B_L14*Deshije_B)+(A9_C_L14*Deshije_C)+(A9_D_L14*Deshije_D)+(A9_Y_L14*Deshije_Y))*Inflación_9</f>
        <v>0</v>
      </c>
      <c r="AG15" s="101">
        <f>SUMIFS('9'!$E:$E,'9'!$A:$A,Año_Inicial+8,'9'!$B:$B,'12'!AF$4,'9'!$D:$D,"Deshije")</f>
        <v>0</v>
      </c>
      <c r="AH15" s="101">
        <f>((A9_A_L15*Deshije_A)+(A9_B_L15*Deshije_B)+(A9_C_L15*Deshije_C)+(A9_D_L15*Deshije_D)+(A9_Y_L15*Deshije_Y))*Inflación_9</f>
        <v>0</v>
      </c>
      <c r="AI15" s="101">
        <f>SUMIFS('9'!$E:$E,'9'!$A:$A,Año_Inicial+8,'9'!$B:$B,'12'!AH$4,'9'!$D:$D,"Deshije")</f>
        <v>0</v>
      </c>
      <c r="AJ15" s="101">
        <f>((A9_A_L16*Deshije_A)+(A9_B_L16*Deshije_B)+(A9_C_L16*Deshije_C)+(A9_D_L16*Deshije_D)+(A9_Y_L16*Deshije_Y))*Inflación_9</f>
        <v>0</v>
      </c>
      <c r="AK15" s="101">
        <f>SUMIFS('9'!$E:$E,'9'!$A:$A,Año_Inicial+8,'9'!$B:$B,'12'!AJ$4,'9'!$D:$D,"Deshije")</f>
        <v>0</v>
      </c>
      <c r="AL15" s="101">
        <f>((A9_A_L17*Deshije_A)+(A9_B_L17*Deshije_B)+(A9_C_L17*Deshije_C)+(A9_D_L17*Deshije_D)+(A9_Y_L17*Deshije_Y))*Inflación_9</f>
        <v>0</v>
      </c>
      <c r="AM15" s="101">
        <f>SUMIFS('9'!$E:$E,'9'!$A:$A,Año_Inicial+8,'9'!$B:$B,'12'!AL$4,'9'!$D:$D,"Deshije")</f>
        <v>0</v>
      </c>
      <c r="AN15" s="101">
        <f>((A9_A_L18*Deshije_A)+(A9_B_L18*Deshije_B)+(A9_C_L18*Deshije_C)+(A9_D_L18*Deshije_D)+(A9_Y_L18*Deshije_Y))*Inflación_9</f>
        <v>0</v>
      </c>
      <c r="AO15" s="101">
        <f>SUMIFS('9'!$E:$E,'9'!$A:$A,Año_Inicial+8,'9'!$B:$B,'12'!AN$4,'9'!$D:$D,"Deshije")</f>
        <v>0</v>
      </c>
      <c r="AP15" s="101">
        <f>((A9_A_L19*Deshije_A)+(A9_B_L19*Deshije_B)+(A9_C_L19*Deshije_C)+(A9_D_L19*Deshije_D)+(A9_Y_L19*Deshije_Y))*Inflación_9</f>
        <v>0</v>
      </c>
      <c r="AQ15" s="101">
        <f>SUMIFS('9'!$E:$E,'9'!$A:$A,Año_Inicial+8,'9'!$B:$B,'12'!AP$4,'9'!$D:$D,"Deshije")</f>
        <v>0</v>
      </c>
      <c r="AR15" s="101">
        <f>((A9_A_L20*Deshije_A)+(A9_B_L20*Deshije_B)+(A9_C_L20*Deshije_C)+(A9_D_L20*Deshije_D)+(A9_Y_L20*Deshije_Y))*Inflación_9</f>
        <v>0</v>
      </c>
      <c r="AS15" s="101">
        <f>SUMIFS('9'!$E:$E,'9'!$A:$A,Año_Inicial+8,'9'!$B:$B,'12'!AR$4,'9'!$D:$D,"Deshije")</f>
        <v>0</v>
      </c>
      <c r="AT15" s="101">
        <f>((A9_A_L21*Deshije_A)+(A9_B_L21*Deshije_B)+(A9_C_L21*Deshije_C)+(A9_D_L21*Deshije_D)+(A9_Y_L21*Deshije_Y))*Inflación_9</f>
        <v>0</v>
      </c>
      <c r="AU15" s="101">
        <f>SUMIFS('9'!$E:$E,'9'!$A:$A,Año_Inicial+8,'9'!$B:$B,'12'!AT$4,'9'!$D:$D,"Deshije")</f>
        <v>0</v>
      </c>
      <c r="AV15" s="101">
        <f>((A9_A_L22*Deshije_A)+(A9_B_L22*Deshije_B)+(A9_C_L22*Deshije_C)+(A9_D_L22*Deshije_D)+(A9_Y_L22*Deshije_Y))*Inflación_9</f>
        <v>0</v>
      </c>
      <c r="AW15" s="101">
        <f>SUMIFS('9'!$E:$E,'9'!$A:$A,Año_Inicial+8,'9'!$B:$B,'12'!AV$4,'9'!$D:$D,"Deshije")</f>
        <v>0</v>
      </c>
      <c r="AX15" s="101">
        <f>((A9_A_L23*Deshije_A)+(A9_B_L23*Deshije_B)+(A9_C_L23*Deshije_C)+(A9_D_L23*Deshije_D)+(A9_Y_L23*Deshije_Y))*Inflación_9</f>
        <v>0</v>
      </c>
      <c r="AY15" s="101">
        <f>SUMIFS('9'!$E:$E,'9'!$A:$A,Año_Inicial+8,'9'!$B:$B,'12'!AX$4,'9'!$D:$D,"Deshije")</f>
        <v>0</v>
      </c>
      <c r="AZ15" s="101">
        <f>((A9_A_L24*Deshije_A)+(A9_B_L24*Deshije_B)+(A9_C_L24*Deshije_C)+(A9_D_L24*Deshije_D)+(A9_Y_L24*Deshije_Y))*Inflación_9</f>
        <v>0</v>
      </c>
      <c r="BA15" s="101">
        <f>SUMIFS('9'!$E:$E,'9'!$A:$A,Año_Inicial+8,'9'!$B:$B,'12'!AZ$4,'9'!$D:$D,"Deshije")</f>
        <v>0</v>
      </c>
      <c r="BB15" s="101">
        <f>((A9_A_L25*Deshije_A)+(A9_B_L25*Deshije_B)+(A9_C_L25*Deshije_C)+(A9_D_L25*Deshije_D)+(A9_Y_L25*Deshije_Y))*Inflación_9</f>
        <v>0</v>
      </c>
      <c r="BC15" s="101">
        <f>SUMIFS('9'!$E:$E,'9'!$A:$A,Año_Inicial+8,'9'!$B:$B,'12'!BB$4,'9'!$D:$D,"Deshije")</f>
        <v>0</v>
      </c>
      <c r="BD15" s="101">
        <f>((A9_A_L26*Deshije_A)+(A9_B_L26*Deshije_B)+(A9_C_L26*Deshije_C)+(A9_D_L26*Deshije_D)+(A9_Y_L26*Deshije_Y))*Inflación_9</f>
        <v>0</v>
      </c>
      <c r="BE15" s="101">
        <f>SUMIFS('9'!$E:$E,'9'!$A:$A,Año_Inicial+8,'9'!$B:$B,'12'!BD$4,'9'!$D:$D,"Deshije")</f>
        <v>0</v>
      </c>
      <c r="BF15" s="101">
        <f>((A9_A_L27*Deshije_A)+(A9_B_L27*Deshije_B)+(A9_C_L27*Deshije_C)+(A9_D_L27*Deshije_D)+(A9_Y_L27*Deshije_Y))*Inflación_9</f>
        <v>0</v>
      </c>
      <c r="BG15" s="101">
        <f>SUMIFS('9'!$E:$E,'9'!$A:$A,Año_Inicial+8,'9'!$B:$B,'12'!BF$4,'9'!$D:$D,"Deshije")</f>
        <v>0</v>
      </c>
      <c r="BH15" s="101">
        <f>((A9_A_L28*Deshije_A)+(A9_B_L28*Deshije_B)+(A9_C_L28*Deshije_C)+(A9_D_L28*Deshije_D)+(A9_Y_L28*Deshije_Y))*Inflación_9</f>
        <v>0</v>
      </c>
      <c r="BI15" s="101">
        <f>SUMIFS('9'!$E:$E,'9'!$A:$A,Año_Inicial+8,'9'!$B:$B,'12'!BH$4,'9'!$D:$D,"Deshije")</f>
        <v>0</v>
      </c>
      <c r="BJ15" s="101">
        <f>((A9_A_L29*Deshije_A)+(A9_B_L29*Deshije_B)+(A9_C_L29*Deshije_C)+(A9_D_L29*Deshije_D)+(A9_Y_L29*Deshije_Y))*Inflación_9</f>
        <v>0</v>
      </c>
      <c r="BK15" s="101">
        <f>SUMIFS('9'!$E:$E,'9'!$A:$A,Año_Inicial+8,'9'!$B:$B,'12'!BJ$4,'9'!$D:$D,"Deshije")</f>
        <v>0</v>
      </c>
      <c r="BL15" s="101">
        <f>((A9_A_L30*Deshije_A)+(A9_B_L30*Deshije_B)+(A9_C_L30*Deshije_C)+(A9_D_L30*Deshije_D)+(A9_Y_L30*Deshije_Y))*Inflación_9</f>
        <v>0</v>
      </c>
      <c r="BM15" s="101">
        <f>SUMIFS('9'!$E:$E,'9'!$A:$A,Año_Inicial+8,'9'!$B:$B,'12'!BL$4,'9'!$D:$D,"Deshije")</f>
        <v>0</v>
      </c>
      <c r="BN15" s="101">
        <f>((A9_A_L31*Deshije_A)+(A9_B_L31*Deshije_B)+(A9_C_L31*Deshije_C)+(A9_D_L31*Deshije_D)+(A9_Y_L31*Deshije_Y))*Inflación_9</f>
        <v>0</v>
      </c>
      <c r="BO15" s="101">
        <f>SUMIFS('9'!$E:$E,'9'!$A:$A,Año_Inicial+8,'9'!$B:$B,'12'!BN$4,'9'!$D:$D,"Deshije")</f>
        <v>0</v>
      </c>
      <c r="BP15" s="101">
        <f>((A9_A_L32*Deshije_A)+(A9_B_L32*Deshije_B)+(A9_C_L32*Deshije_C)+(A9_D_L32*Deshije_D)+(A9_Y_L32*Deshije_Y))*Inflación_9</f>
        <v>0</v>
      </c>
      <c r="BQ15" s="101">
        <f>SUMIFS('9'!$E:$E,'9'!$A:$A,Año_Inicial+8,'9'!$B:$B,'12'!BP$4,'9'!$D:$D,"Deshije")</f>
        <v>0</v>
      </c>
      <c r="BR15" s="101">
        <f>((A9_A_L33*Deshije_A)+(A9_B_L33*Deshije_B)+(A9_C_L33*Deshije_C)+(A9_D_L33*Deshije_D)+(A9_Y_L33*Deshije_Y))*Inflación_9</f>
        <v>0</v>
      </c>
      <c r="BS15" s="101">
        <f>SUMIFS('9'!$E:$E,'9'!$A:$A,Año_Inicial+8,'9'!$B:$B,'12'!BR$4,'9'!$D:$D,"Deshije")</f>
        <v>0</v>
      </c>
      <c r="BT15" s="101">
        <f>((A9_A_L34*Deshije_A)+(A9_B_L34*Deshije_B)+(A9_C_L34*Deshije_C)+(A9_D_L34*Deshije_D)+(A9_Y_L34*Deshije_Y))*Inflación_9</f>
        <v>0</v>
      </c>
      <c r="BU15" s="101">
        <f>SUMIFS('9'!$E:$E,'9'!$A:$A,Año_Inicial+8,'9'!$B:$B,'12'!BT$4,'9'!$D:$D,"Deshije")</f>
        <v>0</v>
      </c>
      <c r="BV15" s="101">
        <f>((A9_A_L35*Deshije_A)+(A9_B_L35*Deshije_B)+(A9_C_L35*Deshije_C)+(A9_D_L35*Deshije_D)+(A9_Y_L35*Deshije_Y))*Inflación_9</f>
        <v>0</v>
      </c>
      <c r="BW15" s="101">
        <f>SUMIFS('9'!$E:$E,'9'!$A:$A,Año_Inicial+8,'9'!$B:$B,'12'!BV$4,'9'!$D:$D,"Deshije")</f>
        <v>0</v>
      </c>
      <c r="BX15" s="101">
        <f>((A9_A_L36*Deshije_A)+(A9_B_L36*Deshije_B)+(A9_C_L36*Deshije_C)+(A9_D_L36*Deshije_D)+(A9_Y_L36*Deshije_Y))*Inflación_9</f>
        <v>0</v>
      </c>
      <c r="BY15" s="101">
        <f>SUMIFS('9'!$E:$E,'9'!$A:$A,Año_Inicial+8,'9'!$B:$B,'12'!BX$4,'9'!$D:$D,"Deshije")</f>
        <v>0</v>
      </c>
      <c r="BZ15" s="101">
        <f>((A9_A_L37*Deshije_A)+(A9_B_L37*Deshije_B)+(A9_C_L37*Deshije_C)+(A9_D_L37*Deshije_D)+(A9_Y_L37*Deshije_Y))*Inflación_9</f>
        <v>0</v>
      </c>
      <c r="CA15" s="101">
        <f>SUMIFS('9'!$E:$E,'9'!$A:$A,Año_Inicial+8,'9'!$B:$B,'12'!BZ$4,'9'!$D:$D,"Deshije")</f>
        <v>0</v>
      </c>
      <c r="CB15" s="101">
        <f>((A9_A_L38*Deshije_A)+(A9_B_L38*Deshije_B)+(A9_C_L38*Deshije_C)+(A9_D_L38*Deshije_D)+(A9_Y_L38*Deshije_Y))*Inflación_9</f>
        <v>0</v>
      </c>
      <c r="CC15" s="101">
        <f>SUMIFS('9'!$E:$E,'9'!$A:$A,Año_Inicial+8,'9'!$B:$B,'12'!CB$4,'9'!$D:$D,"Deshije")</f>
        <v>0</v>
      </c>
      <c r="CD15" s="101">
        <f>((A9_A_L39*Deshije_A)+(A9_B_L39*Deshije_B)+(A9_C_L39*Deshije_C)+(A9_D_L39*Deshije_D)+(A9_Y_L39*Deshije_Y))*Inflación_9</f>
        <v>0</v>
      </c>
      <c r="CE15" s="101">
        <f>SUMIFS('9'!$E:$E,'9'!$A:$A,Año_Inicial+8,'9'!$B:$B,'12'!CD$4,'9'!$D:$D,"Deshije")</f>
        <v>0</v>
      </c>
      <c r="CF15" s="101">
        <f>((A9_A_L40*Deshije_A)+(A9_B_L40*Deshije_B)+(A9_C_L40*Deshije_C)+(A9_D_L40*Deshije_D)+(A9_Y_L40*Deshije_Y))*Inflación_9</f>
        <v>0</v>
      </c>
      <c r="CG15" s="101">
        <f>SUMIFS('9'!$E:$E,'9'!$A:$A,Año_Inicial+8,'9'!$B:$B,'12'!CF$4,'9'!$D:$D,"Deshije")</f>
        <v>0</v>
      </c>
      <c r="CH15" s="473"/>
      <c r="CI15" s="101">
        <f>Plantas_A_A9*Deshije_A*Inflación_9</f>
        <v>0</v>
      </c>
      <c r="CJ15" s="101">
        <f>Plantas_B_A9*Deshije_B</f>
        <v>0</v>
      </c>
      <c r="CK15" s="101">
        <f>Plantas_C_A9*Deshije_C</f>
        <v>0</v>
      </c>
      <c r="CL15" s="101">
        <f>Plantas_D_A9*Deshije_D</f>
        <v>0</v>
      </c>
      <c r="CM15" s="101"/>
      <c r="CN15" s="101">
        <f>Plantas_Y_A9*Deshije_Y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SUMIFS('9'!$E:$E,'9'!$A:$A,Año_Inicial+8,'9'!$D:$D,"Aplicación de fertilizante")</f>
        <v>0</v>
      </c>
      <c r="D17" s="100">
        <f t="shared" si="45"/>
        <v>0</v>
      </c>
      <c r="E17" s="473"/>
      <c r="F17" s="101">
        <f>((A9_A_L1*Nutrición_A)+(A9_B_L1*Nutrición_B)+(A9_C_L1*Nutrición_C)+(A9_D_L1*Nutrición_D)+(A9_Y_L1*Nutrición_Y))*Inflación_9</f>
        <v>0</v>
      </c>
      <c r="G17" s="101">
        <f>SUMIFS('9'!$E:$E,'9'!$A:$A,Año_Inicial+8,'9'!$B:$B,'12'!F$4,'9'!$D:$D,"Aplicación de fertilizante")</f>
        <v>0</v>
      </c>
      <c r="H17" s="101">
        <f>((A9_A_L2*Nutrición_A)+(A9_B_L2*Nutrición_B)+(A9_C_L2*Nutrición_C)+(A9_D_L2*Nutrición_D)+(A9_Y_L2*Nutrición_Y))*Inflación_9</f>
        <v>0</v>
      </c>
      <c r="I17" s="101">
        <f>SUMIFS('9'!$E:$E,'9'!$A:$A,Año_Inicial+8,'9'!$B:$B,'12'!H$4,'9'!$D:$D,"Aplicación de fertilizante")</f>
        <v>0</v>
      </c>
      <c r="J17" s="101">
        <f>((A9_A_L3*Nutrición_A)+(A9_B_L3*Nutrición_B)+(A9_C_L3*Nutrición_C)+(A9_D_L3*Nutrición_D)+(A9_Y_L3*Nutrición_Y))*Inflación_9</f>
        <v>0</v>
      </c>
      <c r="K17" s="101">
        <f>SUMIFS('9'!$E:$E,'9'!$A:$A,Año_Inicial+8,'9'!$B:$B,'12'!J$4,'9'!$D:$D,"Aplicación de fertilizante")</f>
        <v>0</v>
      </c>
      <c r="L17" s="101">
        <f>((A9_A_L4*Nutrición_A)+(A9_B_L4*Nutrición_B)+(A9_C_L4*Nutrición_C)+(A9_D_L4*Nutrición_D)+(A9_Y_L4*Nutrición_Y))*Inflación_9</f>
        <v>0</v>
      </c>
      <c r="M17" s="101">
        <f>SUMIFS('9'!$E:$E,'9'!$A:$A,Año_Inicial+8,'9'!$B:$B,'12'!L$4,'9'!$D:$D,"Aplicación de fertilizante")</f>
        <v>0</v>
      </c>
      <c r="N17" s="101">
        <f>((A9_A_L5*Nutrición_A)+(A9_B_L5*Nutrición_B)+(A9_C_L5*Nutrición_C)+(A9_D_L5*Nutrición_D)+(A9_Y_L5*Nutrición_Y))*Inflación_9</f>
        <v>0</v>
      </c>
      <c r="O17" s="101">
        <f>SUMIFS('9'!$E:$E,'9'!$A:$A,Año_Inicial+8,'9'!$B:$B,'12'!N$4,'9'!$D:$D,"Aplicación de fertilizante")</f>
        <v>0</v>
      </c>
      <c r="P17" s="101">
        <f>((A9_A_L6*Nutrición_A)+(A9_B_L6*Nutrición_B)+(A9_C_L6*Nutrición_C)+(A9_D_L6*Nutrición_D)+(A9_Y_L6*Nutrición_Y))*Inflación_9</f>
        <v>0</v>
      </c>
      <c r="Q17" s="101">
        <f>SUMIFS('9'!$E:$E,'9'!$A:$A,Año_Inicial+8,'9'!$B:$B,'12'!P$4,'9'!$D:$D,"Aplicación de fertilizante")</f>
        <v>0</v>
      </c>
      <c r="R17" s="101">
        <f>((A9_A_L7*Nutrición_A)+(A9_B_L7*Nutrición_B)+(A9_C_L7*Nutrición_C)+(A9_D_L7*Nutrición_D)+(A9_Y_L7*Nutrición_Y))*Inflación_9</f>
        <v>0</v>
      </c>
      <c r="S17" s="101">
        <f>SUMIFS('9'!$E:$E,'9'!$A:$A,Año_Inicial+8,'9'!$B:$B,'12'!R$4,'9'!$D:$D,"Aplicación de fertilizante")</f>
        <v>0</v>
      </c>
      <c r="T17" s="101">
        <f>((A9_A_L8*Nutrición_A)+(A9_B_L8*Nutrición_B)+(A9_C_L8*Nutrición_C)+(A9_D_L8*Nutrición_D)+(A9_Y_L8*Nutrición_Y))*Inflación_9</f>
        <v>0</v>
      </c>
      <c r="U17" s="101">
        <f>SUMIFS('9'!$E:$E,'9'!$A:$A,Año_Inicial+8,'9'!$B:$B,'12'!T$4,'9'!$D:$D,"Aplicación de fertilizante")</f>
        <v>0</v>
      </c>
      <c r="V17" s="101">
        <f>((A9_A_L9*Nutrición_A)+(A9_B_L9*Nutrición_B)+(A9_C_L9*Nutrición_C)+(A9_D_L9*Nutrición_D)+(A9_Y_L9*Nutrición_Y))*Inflación_9</f>
        <v>0</v>
      </c>
      <c r="W17" s="101">
        <f>SUMIFS('9'!$E:$E,'9'!$A:$A,Año_Inicial+8,'9'!$B:$B,'12'!V$4,'9'!$D:$D,"Aplicación de fertilizante")</f>
        <v>0</v>
      </c>
      <c r="X17" s="101">
        <f>((A9_A_L10*Nutrición_A)+(A9_B_L10*Nutrición_B)+(A9_C_L10*Nutrición_C)+(A9_D_L10*Nutrición_D)+(A9_Y_L10*Nutrición_Y))*Inflación_9</f>
        <v>0</v>
      </c>
      <c r="Y17" s="101">
        <f>SUMIFS('9'!$E:$E,'9'!$A:$A,Año_Inicial+8,'9'!$B:$B,'12'!X$4,'9'!$D:$D,"Aplicación de fertilizante")</f>
        <v>0</v>
      </c>
      <c r="Z17" s="101">
        <f>((A9_A_L11*Nutrición_A)+(A9_B_L11*Nutrición_B)+(A9_C_L11*Nutrición_C)+(A9_D_L11*Nutrición_D)+(A9_Y_L11*Nutrición_Y))*Inflación_9</f>
        <v>0</v>
      </c>
      <c r="AA17" s="101">
        <f>SUMIFS('9'!$E:$E,'9'!$A:$A,Año_Inicial+8,'9'!$B:$B,'12'!Z$4,'9'!$D:$D,"Aplicación de fertilizante")</f>
        <v>0</v>
      </c>
      <c r="AB17" s="101">
        <f>((A9_A_L12*Nutrición_A)+(A9_B_L12*Nutrición_B)+(A9_C_L12*Nutrición_C)+(A9_D_L12*Nutrición_D)+(A9_Y_L12*Nutrición_Y))*Inflación_9</f>
        <v>0</v>
      </c>
      <c r="AC17" s="101">
        <f>SUMIFS('9'!$E:$E,'9'!$A:$A,Año_Inicial+8,'9'!$B:$B,'12'!AB$4,'9'!$D:$D,"Aplicación de fertilizante")</f>
        <v>0</v>
      </c>
      <c r="AD17" s="101">
        <f>((A9_A_L13*Nutrición_A)+(A9_B_L13*Nutrición_B)+(A9_C_L13*Nutrición_C)+(A9_D_L13*Nutrición_D)+(A9_Y_L13*Nutrición_Y))*Inflación_9</f>
        <v>0</v>
      </c>
      <c r="AE17" s="101">
        <f>SUMIFS('9'!$E:$E,'9'!$A:$A,Año_Inicial+8,'9'!$B:$B,'12'!AD$4,'9'!$D:$D,"Aplicación de fertilizante")</f>
        <v>0</v>
      </c>
      <c r="AF17" s="101">
        <f>((A9_A_L14*Nutrición_A)+(A9_B_L14*Nutrición_B)+(A9_C_L14*Nutrición_C)+(A9_D_L14*Nutrición_D)+(A9_Y_L14*Nutrición_Y))*Inflación_9</f>
        <v>0</v>
      </c>
      <c r="AG17" s="101">
        <f>SUMIFS('9'!$E:$E,'9'!$A:$A,Año_Inicial+8,'9'!$B:$B,'12'!AF$4,'9'!$D:$D,"Aplicación de fertilizante")</f>
        <v>0</v>
      </c>
      <c r="AH17" s="101">
        <f>((A9_A_L15*Nutrición_A)+(A9_B_L15*Nutrición_B)+(A9_C_L15*Nutrición_C)+(A9_D_L15*Nutrición_D)+(A9_Y_L15*Nutrición_Y))*Inflación_9</f>
        <v>0</v>
      </c>
      <c r="AI17" s="101">
        <f>SUMIFS('9'!$E:$E,'9'!$A:$A,Año_Inicial+8,'9'!$B:$B,'12'!AH$4,'9'!$D:$D,"Aplicación de fertilizante")</f>
        <v>0</v>
      </c>
      <c r="AJ17" s="101">
        <f>((A9_A_L16*Nutrición_A)+(A9_B_L16*Nutrición_B)+(A9_C_L16*Nutrición_C)+(A9_D_L16*Nutrición_D)+(A9_Y_L16*Nutrición_Y))*Inflación_9</f>
        <v>0</v>
      </c>
      <c r="AK17" s="101">
        <f>SUMIFS('9'!$E:$E,'9'!$A:$A,Año_Inicial+8,'9'!$B:$B,'12'!AJ$4,'9'!$D:$D,"Aplicación de fertilizante")</f>
        <v>0</v>
      </c>
      <c r="AL17" s="101">
        <f>((A9_A_L17*Nutrición_A)+(A9_B_L17*Nutrición_B)+(A9_C_L17*Nutrición_C)+(A9_D_L17*Nutrición_D)+(A9_Y_L17*Nutrición_Y))*Inflación_9</f>
        <v>0</v>
      </c>
      <c r="AM17" s="101">
        <f>SUMIFS('9'!$E:$E,'9'!$A:$A,Año_Inicial+8,'9'!$B:$B,'12'!AL$4,'9'!$D:$D,"Aplicación de fertilizante")</f>
        <v>0</v>
      </c>
      <c r="AN17" s="101">
        <f>((A9_A_L18*Nutrición_A)+(A9_B_L18*Nutrición_B)+(A9_C_L18*Nutrición_C)+(A9_D_L18*Nutrición_D)+(A9_Y_L18*Nutrición_Y))*Inflación_9</f>
        <v>0</v>
      </c>
      <c r="AO17" s="101">
        <f>SUMIFS('9'!$E:$E,'9'!$A:$A,Año_Inicial+8,'9'!$B:$B,'12'!AN$4,'9'!$D:$D,"Aplicación de fertilizante")</f>
        <v>0</v>
      </c>
      <c r="AP17" s="101">
        <f>((A9_A_L19*Nutrición_A)+(A9_B_L19*Nutrición_B)+(A9_C_L19*Nutrición_C)+(A9_D_L19*Nutrición_D)+(A9_Y_L19*Nutrición_Y))*Inflación_9</f>
        <v>0</v>
      </c>
      <c r="AQ17" s="101">
        <f>SUMIFS('9'!$E:$E,'9'!$A:$A,Año_Inicial+8,'9'!$B:$B,'12'!AP$4,'9'!$D:$D,"Aplicación de fertilizante")</f>
        <v>0</v>
      </c>
      <c r="AR17" s="101">
        <f>((A9_A_L20*Nutrición_A)+(A9_B_L20*Nutrición_B)+(A9_C_L20*Nutrición_C)+(A9_D_L20*Nutrición_D)+(A9_Y_L20*Nutrición_Y))*Inflación_9</f>
        <v>0</v>
      </c>
      <c r="AS17" s="101">
        <f>SUMIFS('9'!$E:$E,'9'!$A:$A,Año_Inicial+8,'9'!$B:$B,'12'!AR$4,'9'!$D:$D,"Aplicación de fertilizante")</f>
        <v>0</v>
      </c>
      <c r="AT17" s="101">
        <f>((A9_A_L21*Nutrición_A)+(A9_B_L21*Nutrición_B)+(A9_C_L21*Nutrición_C)+(A9_D_L21*Nutrición_D)+(A9_Y_L21*Nutrición_Y))*Inflación_9</f>
        <v>0</v>
      </c>
      <c r="AU17" s="101">
        <f>SUMIFS('9'!$E:$E,'9'!$A:$A,Año_Inicial+8,'9'!$B:$B,'12'!AT$4,'9'!$D:$D,"Aplicación de fertilizante")</f>
        <v>0</v>
      </c>
      <c r="AV17" s="101">
        <f>((A9_A_L22*Nutrición_A)+(A9_B_L22*Nutrición_B)+(A9_C_L22*Nutrición_C)+(A9_D_L22*Nutrición_D)+(A9_Y_L22*Nutrición_Y))*Inflación_9</f>
        <v>0</v>
      </c>
      <c r="AW17" s="101">
        <f>SUMIFS('9'!$E:$E,'9'!$A:$A,Año_Inicial+8,'9'!$B:$B,'12'!AV$4,'9'!$D:$D,"Aplicación de fertilizante")</f>
        <v>0</v>
      </c>
      <c r="AX17" s="101">
        <f>((A9_A_L23*Nutrición_A)+(A9_B_L23*Nutrición_B)+(A9_C_L23*Nutrición_C)+(A9_D_L23*Nutrición_D)+(A9_Y_L23*Nutrición_Y))*Inflación_9</f>
        <v>0</v>
      </c>
      <c r="AY17" s="101">
        <f>SUMIFS('9'!$E:$E,'9'!$A:$A,Año_Inicial+8,'9'!$B:$B,'12'!AX$4,'9'!$D:$D,"Aplicación de fertilizante")</f>
        <v>0</v>
      </c>
      <c r="AZ17" s="101">
        <f>((A9_A_L24*Nutrición_A)+(A9_B_L24*Nutrición_B)+(A9_C_L24*Nutrición_C)+(A9_D_L24*Nutrición_D)+(A9_Y_L24*Nutrición_Y))*Inflación_9</f>
        <v>0</v>
      </c>
      <c r="BA17" s="101">
        <f>SUMIFS('9'!$E:$E,'9'!$A:$A,Año_Inicial+8,'9'!$B:$B,'12'!AZ$4,'9'!$D:$D,"Aplicación de fertilizante")</f>
        <v>0</v>
      </c>
      <c r="BB17" s="101">
        <f>((A9_A_L25*Nutrición_A)+(A9_B_L25*Nutrición_B)+(A9_C_L25*Nutrición_C)+(A9_D_L25*Nutrición_D)+(A9_Y_L25*Nutrición_Y))*Inflación_9</f>
        <v>0</v>
      </c>
      <c r="BC17" s="101">
        <f>SUMIFS('9'!$E:$E,'9'!$A:$A,Año_Inicial+8,'9'!$B:$B,'12'!BB$4,'9'!$D:$D,"Aplicación de fertilizante")</f>
        <v>0</v>
      </c>
      <c r="BD17" s="101">
        <f>((A9_A_L26*Nutrición_A)+(A9_B_L26*Nutrición_B)+(A9_C_L26*Nutrición_C)+(A9_D_L26*Nutrición_D)+(A9_Y_L26*Nutrición_Y))*Inflación_9</f>
        <v>0</v>
      </c>
      <c r="BE17" s="101">
        <f>SUMIFS('9'!$E:$E,'9'!$A:$A,Año_Inicial+8,'9'!$B:$B,'12'!BD$4,'9'!$D:$D,"Aplicación de fertilizante")</f>
        <v>0</v>
      </c>
      <c r="BF17" s="101">
        <f>((A9_A_L27*Nutrición_A)+(A9_B_L27*Nutrición_B)+(A9_C_L27*Nutrición_C)+(A9_D_L27*Nutrición_D)+(A9_Y_L27*Nutrición_Y))*Inflación_9</f>
        <v>0</v>
      </c>
      <c r="BG17" s="101">
        <f>SUMIFS('9'!$E:$E,'9'!$A:$A,Año_Inicial+8,'9'!$B:$B,'12'!BF$4,'9'!$D:$D,"Aplicación de fertilizante")</f>
        <v>0</v>
      </c>
      <c r="BH17" s="101">
        <f>((A9_A_L28*Nutrición_A)+(A9_B_L28*Nutrición_B)+(A9_C_L28*Nutrición_C)+(A9_D_L28*Nutrición_D)+(A9_Y_L28*Nutrición_Y))*Inflación_9</f>
        <v>0</v>
      </c>
      <c r="BI17" s="101">
        <f>SUMIFS('9'!$E:$E,'9'!$A:$A,Año_Inicial+8,'9'!$B:$B,'12'!BH$4,'9'!$D:$D,"Aplicación de fertilizante")</f>
        <v>0</v>
      </c>
      <c r="BJ17" s="101">
        <f>((A9_A_L29*Nutrición_A)+(A9_B_L29*Nutrición_B)+(A9_C_L29*Nutrición_C)+(A9_D_L29*Nutrición_D)+(A9_Y_L29*Nutrición_Y))*Inflación_9</f>
        <v>0</v>
      </c>
      <c r="BK17" s="101">
        <f>SUMIFS('9'!$E:$E,'9'!$A:$A,Año_Inicial+8,'9'!$B:$B,'12'!BJ$4,'9'!$D:$D,"Aplicación de fertilizante")</f>
        <v>0</v>
      </c>
      <c r="BL17" s="101">
        <f>((A9_A_L30*Nutrición_A)+(A9_B_L30*Nutrición_B)+(A9_C_L30*Nutrición_C)+(A9_D_L30*Nutrición_D)+(A9_Y_L30*Nutrición_Y))*Inflación_9</f>
        <v>0</v>
      </c>
      <c r="BM17" s="101">
        <f>SUMIFS('9'!$E:$E,'9'!$A:$A,Año_Inicial+8,'9'!$B:$B,'12'!BL$4,'9'!$D:$D,"Aplicación de fertilizante")</f>
        <v>0</v>
      </c>
      <c r="BN17" s="101">
        <f>((A9_A_L31*Nutrición_A)+(A9_B_L31*Nutrición_B)+(A9_C_L31*Nutrición_C)+(A9_D_L31*Nutrición_D)+(A9_Y_L31*Nutrición_Y))*Inflación_9</f>
        <v>0</v>
      </c>
      <c r="BO17" s="101">
        <f>SUMIFS('9'!$E:$E,'9'!$A:$A,Año_Inicial+8,'9'!$B:$B,'12'!BN$4,'9'!$D:$D,"Aplicación de fertilizante")</f>
        <v>0</v>
      </c>
      <c r="BP17" s="101">
        <f>((A9_A_L32*Nutrición_A)+(A9_B_L32*Nutrición_B)+(A9_C_L32*Nutrición_C)+(A9_D_L32*Nutrición_D)+(A9_Y_L32*Nutrición_Y))*Inflación_9</f>
        <v>0</v>
      </c>
      <c r="BQ17" s="101">
        <f>SUMIFS('9'!$E:$E,'9'!$A:$A,Año_Inicial+8,'9'!$B:$B,'12'!BP$4,'9'!$D:$D,"Aplicación de fertilizante")</f>
        <v>0</v>
      </c>
      <c r="BR17" s="101">
        <f>((A9_A_L33*Nutrición_A)+(A9_B_L33*Nutrición_B)+(A9_C_L33*Nutrición_C)+(A9_D_L33*Nutrición_D)+(A9_Y_L33*Nutrición_Y))*Inflación_9</f>
        <v>0</v>
      </c>
      <c r="BS17" s="101">
        <f>SUMIFS('9'!$E:$E,'9'!$A:$A,Año_Inicial+8,'9'!$B:$B,'12'!BR$4,'9'!$D:$D,"Aplicación de fertilizante")</f>
        <v>0</v>
      </c>
      <c r="BT17" s="101">
        <f>((A9_A_L34*Nutrición_A)+(A9_B_L34*Nutrición_B)+(A9_C_L34*Nutrición_C)+(A9_D_L34*Nutrición_D)+(A9_Y_L34*Nutrición_Y))*Inflación_9</f>
        <v>0</v>
      </c>
      <c r="BU17" s="101">
        <f>SUMIFS('9'!$E:$E,'9'!$A:$A,Año_Inicial+8,'9'!$B:$B,'12'!BT$4,'9'!$D:$D,"Aplicación de fertilizante")</f>
        <v>0</v>
      </c>
      <c r="BV17" s="101">
        <f>((A9_A_L35*Nutrición_A)+(A9_B_L35*Nutrición_B)+(A9_C_L35*Nutrición_C)+(A9_D_L35*Nutrición_D)+(A9_Y_L35*Nutrición_Y))*Inflación_9</f>
        <v>0</v>
      </c>
      <c r="BW17" s="101">
        <f>SUMIFS('9'!$E:$E,'9'!$A:$A,Año_Inicial+8,'9'!$B:$B,'12'!BV$4,'9'!$D:$D,"Aplicación de fertilizante")</f>
        <v>0</v>
      </c>
      <c r="BX17" s="101">
        <f>((A9_A_L36*Nutrición_A)+(A9_B_L36*Nutrición_B)+(A9_C_L36*Nutrición_C)+(A9_D_L36*Nutrición_D)+(A9_Y_L36*Nutrición_Y))*Inflación_9</f>
        <v>0</v>
      </c>
      <c r="BY17" s="101">
        <f>SUMIFS('9'!$E:$E,'9'!$A:$A,Año_Inicial+8,'9'!$B:$B,'12'!BX$4,'9'!$D:$D,"Aplicación de fertilizante")</f>
        <v>0</v>
      </c>
      <c r="BZ17" s="101">
        <f>((A9_A_L37*Nutrición_A)+(A9_B_L37*Nutrición_B)+(A9_C_L37*Nutrición_C)+(A9_D_L37*Nutrición_D)+(A9_Y_L37*Nutrición_Y))*Inflación_9</f>
        <v>0</v>
      </c>
      <c r="CA17" s="101">
        <f>SUMIFS('9'!$E:$E,'9'!$A:$A,Año_Inicial+8,'9'!$B:$B,'12'!BZ$4,'9'!$D:$D,"Aplicación de fertilizante")</f>
        <v>0</v>
      </c>
      <c r="CB17" s="101">
        <f>((A9_A_L38*Nutrición_A)+(A9_B_L38*Nutrición_B)+(A9_C_L38*Nutrición_C)+(A9_D_L38*Nutrición_D)+(A9_Y_L38*Nutrición_Y))*Inflación_9</f>
        <v>0</v>
      </c>
      <c r="CC17" s="101">
        <f>SUMIFS('9'!$E:$E,'9'!$A:$A,Año_Inicial+8,'9'!$B:$B,'12'!CB$4,'9'!$D:$D,"Aplicación de fertilizante")</f>
        <v>0</v>
      </c>
      <c r="CD17" s="101">
        <f>((A9_A_L39*Nutrición_A)+(A9_B_L39*Nutrición_B)+(A9_C_L39*Nutrición_C)+(A9_D_L39*Nutrición_D)+(A9_Y_L39*Nutrición_Y))*Inflación_9</f>
        <v>0</v>
      </c>
      <c r="CE17" s="101">
        <f>SUMIFS('9'!$E:$E,'9'!$A:$A,Año_Inicial+8,'9'!$B:$B,'12'!CD$4,'9'!$D:$D,"Aplicación de fertilizante")</f>
        <v>0</v>
      </c>
      <c r="CF17" s="101">
        <f>((A9_A_L40*Nutrición_A)+(A9_B_L40*Nutrición_B)+(A9_C_L40*Nutrición_C)+(A9_D_L40*Nutrición_D)+(A9_Y_L40*Nutrición_Y))*Inflación_9</f>
        <v>0</v>
      </c>
      <c r="CG17" s="101">
        <f>SUMIFS('9'!$E:$E,'9'!$A:$A,Año_Inicial+8,'9'!$B:$B,'12'!CF$4,'9'!$D:$D,"Aplicación de fertilizante")</f>
        <v>0</v>
      </c>
      <c r="CH17" s="473"/>
      <c r="CI17" s="101">
        <f>Plantas_A_A9*Nutrición_A*Inflación_9</f>
        <v>0</v>
      </c>
      <c r="CJ17" s="101">
        <f>Plantas_B_A9*Nutrición_B</f>
        <v>0</v>
      </c>
      <c r="CK17" s="101">
        <f>Plantas_C_A9*Nutrición_C</f>
        <v>0</v>
      </c>
      <c r="CL17" s="101">
        <f>Plantas_D_A9*Nutrición_D</f>
        <v>0</v>
      </c>
      <c r="CM17" s="101"/>
      <c r="CN17" s="101">
        <f>Plantas_Y_A9*Nutrición_Y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SUMIFS('9'!$E:$E,'9'!$A:$A,Año_Inicial+8,'9'!$D:$D,"Aplicación de enmiendas")</f>
        <v>0</v>
      </c>
      <c r="D18" s="100">
        <f t="shared" si="45"/>
        <v>0</v>
      </c>
      <c r="E18" s="473"/>
      <c r="F18" s="101">
        <f>((A9_A_L1*Enmienda_A)+(A9_B_L1*Enmienda_B)+(A9_C_L1*Enmienda_C)+(A9_D_L1*Enmienda_D)+(A9_Y_L1*Enmienda_Y))*Inflación_9</f>
        <v>0</v>
      </c>
      <c r="G18" s="101">
        <f>SUMIFS('9'!$E:$E,'9'!$A:$A,Año_Inicial+8,'9'!$B:$B,'12'!F$4,'9'!$D:$D,"Aplicación de enmiendas")</f>
        <v>0</v>
      </c>
      <c r="H18" s="101">
        <f>((A9_A_L2*Enmienda_A)+(A9_B_L2*Enmienda_B)+(A9_C_L2*Enmienda_C)+(A9_D_L2*Enmienda_D)+(A9_Y_L2*Enmienda_Y))*Inflación_9</f>
        <v>0</v>
      </c>
      <c r="I18" s="101">
        <f>SUMIFS('9'!$E:$E,'9'!$A:$A,Año_Inicial+8,'9'!$B:$B,'12'!H$4,'9'!$D:$D,"Aplicación de enmiendas")</f>
        <v>0</v>
      </c>
      <c r="J18" s="101">
        <f>((A9_A_L3*Enmienda_A)+(A9_B_L3*Enmienda_B)+(A9_C_L3*Enmienda_C)+(A9_D_L3*Enmienda_D)+(A9_Y_L3*Enmienda_Y))*Inflación_9</f>
        <v>0</v>
      </c>
      <c r="K18" s="101">
        <f>SUMIFS('9'!$E:$E,'9'!$A:$A,Año_Inicial+8,'9'!$B:$B,'12'!J$4,'9'!$D:$D,"Aplicación de enmiendas")</f>
        <v>0</v>
      </c>
      <c r="L18" s="101">
        <f>((A9_A_L4*Enmienda_A)+(A9_B_L4*Enmienda_B)+(A9_C_L4*Enmienda_C)+(A9_D_L4*Enmienda_D)+(A9_Y_L4*Enmienda_Y))*Inflación_9</f>
        <v>0</v>
      </c>
      <c r="M18" s="101">
        <f>SUMIFS('9'!$E:$E,'9'!$A:$A,Año_Inicial+8,'9'!$B:$B,'12'!L$4,'9'!$D:$D,"Aplicación de enmiendas")</f>
        <v>0</v>
      </c>
      <c r="N18" s="101">
        <f>((A9_A_L5*Enmienda_A)+(A9_B_L5*Enmienda_B)+(A9_C_L5*Enmienda_C)+(A9_D_L5*Enmienda_D)+(A9_Y_L5*Enmienda_Y))*Inflación_9</f>
        <v>0</v>
      </c>
      <c r="O18" s="101">
        <f>SUMIFS('9'!$E:$E,'9'!$A:$A,Año_Inicial+8,'9'!$B:$B,'12'!N$4,'9'!$D:$D,"Aplicación de enmiendas")</f>
        <v>0</v>
      </c>
      <c r="P18" s="101">
        <f>((A9_A_L6*Enmienda_A)+(A9_B_L6*Enmienda_B)+(A9_C_L6*Enmienda_C)+(A9_D_L6*Enmienda_D)+(A9_Y_L6*Enmienda_Y))*Inflación_9</f>
        <v>0</v>
      </c>
      <c r="Q18" s="101">
        <f>SUMIFS('9'!$E:$E,'9'!$A:$A,Año_Inicial+8,'9'!$B:$B,'12'!P$4,'9'!$D:$D,"Aplicación de enmiendas")</f>
        <v>0</v>
      </c>
      <c r="R18" s="101">
        <f>((A9_A_L7*Enmienda_A)+(A9_B_L7*Enmienda_B)+(A9_C_L7*Enmienda_C)+(A9_D_L7*Enmienda_D)+(A9_Y_L7*Enmienda_Y))*Inflación_9</f>
        <v>0</v>
      </c>
      <c r="S18" s="101">
        <f>SUMIFS('9'!$E:$E,'9'!$A:$A,Año_Inicial+8,'9'!$B:$B,'12'!R$4,'9'!$D:$D,"Aplicación de enmiendas")</f>
        <v>0</v>
      </c>
      <c r="T18" s="101">
        <f>((A9_A_L8*Enmienda_A)+(A9_B_L8*Enmienda_B)+(A9_C_L8*Enmienda_C)+(A9_D_L8*Enmienda_D)+(A9_Y_L8*Enmienda_Y))*Inflación_9</f>
        <v>0</v>
      </c>
      <c r="U18" s="101">
        <f>SUMIFS('9'!$E:$E,'9'!$A:$A,Año_Inicial+8,'9'!$B:$B,'12'!T$4,'9'!$D:$D,"Aplicación de enmiendas")</f>
        <v>0</v>
      </c>
      <c r="V18" s="101">
        <f>((A9_A_L9*Enmienda_A)+(A9_B_L9*Enmienda_B)+(A9_C_L9*Enmienda_C)+(A9_D_L9*Enmienda_D)+(A9_Y_L9*Enmienda_Y))*Inflación_9</f>
        <v>0</v>
      </c>
      <c r="W18" s="101">
        <f>SUMIFS('9'!$E:$E,'9'!$A:$A,Año_Inicial+8,'9'!$B:$B,'12'!V$4,'9'!$D:$D,"Aplicación de enmiendas")</f>
        <v>0</v>
      </c>
      <c r="X18" s="101">
        <f>((A9_A_L10*Enmienda_A)+(A9_B_L10*Enmienda_B)+(A9_C_L10*Enmienda_C)+(A9_D_L10*Enmienda_D)+(A9_Y_L10*Enmienda_Y))*Inflación_9</f>
        <v>0</v>
      </c>
      <c r="Y18" s="101">
        <f>SUMIFS('9'!$E:$E,'9'!$A:$A,Año_Inicial+8,'9'!$B:$B,'12'!X$4,'9'!$D:$D,"Aplicación de enmiendas")</f>
        <v>0</v>
      </c>
      <c r="Z18" s="101">
        <f>((A9_A_L11*Enmienda_A)+(A9_B_L11*Enmienda_B)+(A9_C_L11*Enmienda_C)+(A9_D_L11*Enmienda_D)+(A9_Y_L11*Enmienda_Y))*Inflación_9</f>
        <v>0</v>
      </c>
      <c r="AA18" s="101">
        <f>SUMIFS('9'!$E:$E,'9'!$A:$A,Año_Inicial+8,'9'!$B:$B,'12'!Z$4,'9'!$D:$D,"Aplicación de enmiendas")</f>
        <v>0</v>
      </c>
      <c r="AB18" s="101">
        <f>((A9_A_L12*Enmienda_A)+(A9_B_L12*Enmienda_B)+(A9_C_L12*Enmienda_C)+(A9_D_L12*Enmienda_D)+(A9_Y_L12*Enmienda_Y))*Inflación_9</f>
        <v>0</v>
      </c>
      <c r="AC18" s="101">
        <f>SUMIFS('9'!$E:$E,'9'!$A:$A,Año_Inicial+8,'9'!$B:$B,'12'!AB$4,'9'!$D:$D,"Aplicación de enmiendas")</f>
        <v>0</v>
      </c>
      <c r="AD18" s="101">
        <f>((A9_A_L13*Enmienda_A)+(A9_B_L13*Enmienda_B)+(A9_C_L13*Enmienda_C)+(A9_D_L13*Enmienda_D)+(A9_Y_L13*Enmienda_Y))*Inflación_9</f>
        <v>0</v>
      </c>
      <c r="AE18" s="101">
        <f>SUMIFS('9'!$E:$E,'9'!$A:$A,Año_Inicial+8,'9'!$B:$B,'12'!AD$4,'9'!$D:$D,"Aplicación de enmiendas")</f>
        <v>0</v>
      </c>
      <c r="AF18" s="101">
        <f>((A9_A_L14*Enmienda_A)+(A9_B_L14*Enmienda_B)+(A9_C_L14*Enmienda_C)+(A9_D_L14*Enmienda_D)+(A9_Y_L14*Enmienda_Y))*Inflación_9</f>
        <v>0</v>
      </c>
      <c r="AG18" s="101">
        <f>SUMIFS('9'!$E:$E,'9'!$A:$A,Año_Inicial+8,'9'!$B:$B,'12'!AF$4,'9'!$D:$D,"Aplicación de enmiendas")</f>
        <v>0</v>
      </c>
      <c r="AH18" s="101">
        <f>((A9_A_L15*Enmienda_A)+(A9_B_L15*Enmienda_B)+(A9_C_L15*Enmienda_C)+(A9_D_L15*Enmienda_D)+(A9_Y_L15*Enmienda_Y))*Inflación_9</f>
        <v>0</v>
      </c>
      <c r="AI18" s="101">
        <f>SUMIFS('9'!$E:$E,'9'!$A:$A,Año_Inicial+8,'9'!$B:$B,'12'!AH$4,'9'!$D:$D,"Aplicación de enmiendas")</f>
        <v>0</v>
      </c>
      <c r="AJ18" s="101">
        <f>((A9_A_L16*Enmienda_A)+(A9_B_L16*Enmienda_B)+(A9_C_L16*Enmienda_C)+(A9_D_L16*Enmienda_D)+(A9_Y_L16*Enmienda_Y))*Inflación_9</f>
        <v>0</v>
      </c>
      <c r="AK18" s="101">
        <f>SUMIFS('9'!$E:$E,'9'!$A:$A,Año_Inicial+8,'9'!$B:$B,'12'!AJ$4,'9'!$D:$D,"Aplicación de enmiendas")</f>
        <v>0</v>
      </c>
      <c r="AL18" s="101">
        <f>((A9_A_L17*Enmienda_A)+(A9_B_L17*Enmienda_B)+(A9_C_L17*Enmienda_C)+(A9_D_L17*Enmienda_D)+(A9_Y_L17*Enmienda_Y))*Inflación_9</f>
        <v>0</v>
      </c>
      <c r="AM18" s="101">
        <f>SUMIFS('9'!$E:$E,'9'!$A:$A,Año_Inicial+8,'9'!$B:$B,'12'!AL$4,'9'!$D:$D,"Aplicación de enmiendas")</f>
        <v>0</v>
      </c>
      <c r="AN18" s="101">
        <f>((A9_A_L18*Enmienda_A)+(A9_B_L18*Enmienda_B)+(A9_C_L18*Enmienda_C)+(A9_D_L18*Enmienda_D)+(A9_Y_L18*Enmienda_Y))*Inflación_9</f>
        <v>0</v>
      </c>
      <c r="AO18" s="101">
        <f>SUMIFS('9'!$E:$E,'9'!$A:$A,Año_Inicial+8,'9'!$B:$B,'12'!AN$4,'9'!$D:$D,"Aplicación de enmiendas")</f>
        <v>0</v>
      </c>
      <c r="AP18" s="101">
        <f>((A9_A_L19*Enmienda_A)+(A9_B_L19*Enmienda_B)+(A9_C_L19*Enmienda_C)+(A9_D_L19*Enmienda_D)+(A9_Y_L19*Enmienda_Y))*Inflación_9</f>
        <v>0</v>
      </c>
      <c r="AQ18" s="101">
        <f>SUMIFS('9'!$E:$E,'9'!$A:$A,Año_Inicial+8,'9'!$B:$B,'12'!AP$4,'9'!$D:$D,"Aplicación de enmiendas")</f>
        <v>0</v>
      </c>
      <c r="AR18" s="101">
        <f>((A9_A_L20*Enmienda_A)+(A9_B_L20*Enmienda_B)+(A9_C_L20*Enmienda_C)+(A9_D_L20*Enmienda_D)+(A9_Y_L20*Enmienda_Y))*Inflación_9</f>
        <v>0</v>
      </c>
      <c r="AS18" s="101">
        <f>SUMIFS('9'!$E:$E,'9'!$A:$A,Año_Inicial+8,'9'!$B:$B,'12'!AR$4,'9'!$D:$D,"Aplicación de enmiendas")</f>
        <v>0</v>
      </c>
      <c r="AT18" s="101">
        <f>((A9_A_L21*Enmienda_A)+(A9_B_L21*Enmienda_B)+(A9_C_L21*Enmienda_C)+(A9_D_L21*Enmienda_D)+(A9_Y_L21*Enmienda_Y))*Inflación_9</f>
        <v>0</v>
      </c>
      <c r="AU18" s="101">
        <f>SUMIFS('9'!$E:$E,'9'!$A:$A,Año_Inicial+8,'9'!$B:$B,'12'!AT$4,'9'!$D:$D,"Aplicación de enmiendas")</f>
        <v>0</v>
      </c>
      <c r="AV18" s="101">
        <f>((A9_A_L22*Enmienda_A)+(A9_B_L22*Enmienda_B)+(A9_C_L22*Enmienda_C)+(A9_D_L22*Enmienda_D)+(A9_Y_L22*Enmienda_Y))*Inflación_9</f>
        <v>0</v>
      </c>
      <c r="AW18" s="101">
        <f>SUMIFS('9'!$E:$E,'9'!$A:$A,Año_Inicial+8,'9'!$B:$B,'12'!AV$4,'9'!$D:$D,"Aplicación de enmiendas")</f>
        <v>0</v>
      </c>
      <c r="AX18" s="101">
        <f>((A9_A_L23*Enmienda_A)+(A9_B_L23*Enmienda_B)+(A9_C_L23*Enmienda_C)+(A9_D_L23*Enmienda_D)+(A9_Y_L23*Enmienda_Y))*Inflación_9</f>
        <v>0</v>
      </c>
      <c r="AY18" s="101">
        <f>SUMIFS('9'!$E:$E,'9'!$A:$A,Año_Inicial+8,'9'!$B:$B,'12'!AX$4,'9'!$D:$D,"Aplicación de enmiendas")</f>
        <v>0</v>
      </c>
      <c r="AZ18" s="101">
        <f>((A9_A_L24*Enmienda_A)+(A9_B_L24*Enmienda_B)+(A9_C_L24*Enmienda_C)+(A9_D_L24*Enmienda_D)+(A9_Y_L24*Enmienda_Y))*Inflación_9</f>
        <v>0</v>
      </c>
      <c r="BA18" s="101">
        <f>SUMIFS('9'!$E:$E,'9'!$A:$A,Año_Inicial+8,'9'!$B:$B,'12'!AZ$4,'9'!$D:$D,"Aplicación de enmiendas")</f>
        <v>0</v>
      </c>
      <c r="BB18" s="101">
        <f>((A9_A_L25*Enmienda_A)+(A9_B_L25*Enmienda_B)+(A9_C_L25*Enmienda_C)+(A9_D_L25*Enmienda_D)+(A9_Y_L25*Enmienda_Y))*Inflación_9</f>
        <v>0</v>
      </c>
      <c r="BC18" s="101">
        <f>SUMIFS('9'!$E:$E,'9'!$A:$A,Año_Inicial+8,'9'!$B:$B,'12'!BB$4,'9'!$D:$D,"Aplicación de enmiendas")</f>
        <v>0</v>
      </c>
      <c r="BD18" s="101">
        <f>((A9_A_L26*Enmienda_A)+(A9_B_L26*Enmienda_B)+(A9_C_L26*Enmienda_C)+(A9_D_L26*Enmienda_D)+(A9_Y_L26*Enmienda_Y))*Inflación_9</f>
        <v>0</v>
      </c>
      <c r="BE18" s="101">
        <f>SUMIFS('9'!$E:$E,'9'!$A:$A,Año_Inicial+8,'9'!$B:$B,'12'!BD$4,'9'!$D:$D,"Aplicación de enmiendas")</f>
        <v>0</v>
      </c>
      <c r="BF18" s="101">
        <f>((A9_A_L27*Enmienda_A)+(A9_B_L27*Enmienda_B)+(A9_C_L27*Enmienda_C)+(A9_D_L27*Enmienda_D)+(A9_Y_L27*Enmienda_Y))*Inflación_9</f>
        <v>0</v>
      </c>
      <c r="BG18" s="101">
        <f>SUMIFS('9'!$E:$E,'9'!$A:$A,Año_Inicial+8,'9'!$B:$B,'12'!BF$4,'9'!$D:$D,"Aplicación de enmiendas")</f>
        <v>0</v>
      </c>
      <c r="BH18" s="101">
        <f>((A9_A_L28*Enmienda_A)+(A9_B_L28*Enmienda_B)+(A9_C_L28*Enmienda_C)+(A9_D_L28*Enmienda_D)+(A9_Y_L28*Enmienda_Y))*Inflación_9</f>
        <v>0</v>
      </c>
      <c r="BI18" s="101">
        <f>SUMIFS('9'!$E:$E,'9'!$A:$A,Año_Inicial+8,'9'!$B:$B,'12'!BH$4,'9'!$D:$D,"Aplicación de enmiendas")</f>
        <v>0</v>
      </c>
      <c r="BJ18" s="101">
        <f>((A9_A_L29*Enmienda_A)+(A9_B_L29*Enmienda_B)+(A9_C_L29*Enmienda_C)+(A9_D_L29*Enmienda_D)+(A9_Y_L29*Enmienda_Y))*Inflación_9</f>
        <v>0</v>
      </c>
      <c r="BK18" s="101">
        <f>SUMIFS('9'!$E:$E,'9'!$A:$A,Año_Inicial+8,'9'!$B:$B,'12'!BJ$4,'9'!$D:$D,"Aplicación de enmiendas")</f>
        <v>0</v>
      </c>
      <c r="BL18" s="101">
        <f>((A9_A_L30*Enmienda_A)+(A9_B_L30*Enmienda_B)+(A9_C_L30*Enmienda_C)+(A9_D_L30*Enmienda_D)+(A9_Y_L30*Enmienda_Y))*Inflación_9</f>
        <v>0</v>
      </c>
      <c r="BM18" s="101">
        <f>SUMIFS('9'!$E:$E,'9'!$A:$A,Año_Inicial+8,'9'!$B:$B,'12'!BL$4,'9'!$D:$D,"Aplicación de enmiendas")</f>
        <v>0</v>
      </c>
      <c r="BN18" s="101">
        <f>((A9_A_L31*Enmienda_A)+(A9_B_L31*Enmienda_B)+(A9_C_L31*Enmienda_C)+(A9_D_L31*Enmienda_D)+(A9_Y_L31*Enmienda_Y))*Inflación_9</f>
        <v>0</v>
      </c>
      <c r="BO18" s="101">
        <f>SUMIFS('9'!$E:$E,'9'!$A:$A,Año_Inicial+8,'9'!$B:$B,'12'!BN$4,'9'!$D:$D,"Aplicación de enmiendas")</f>
        <v>0</v>
      </c>
      <c r="BP18" s="101">
        <f>((A9_A_L32*Enmienda_A)+(A9_B_L32*Enmienda_B)+(A9_C_L32*Enmienda_C)+(A9_D_L32*Enmienda_D)+(A9_Y_L32*Enmienda_Y))*Inflación_9</f>
        <v>0</v>
      </c>
      <c r="BQ18" s="101">
        <f>SUMIFS('9'!$E:$E,'9'!$A:$A,Año_Inicial+8,'9'!$B:$B,'12'!BP$4,'9'!$D:$D,"Aplicación de enmiendas")</f>
        <v>0</v>
      </c>
      <c r="BR18" s="101">
        <f>((A9_A_L33*Enmienda_A)+(A9_B_L33*Enmienda_B)+(A9_C_L33*Enmienda_C)+(A9_D_L33*Enmienda_D)+(A9_Y_L33*Enmienda_Y))*Inflación_9</f>
        <v>0</v>
      </c>
      <c r="BS18" s="101">
        <f>SUMIFS('9'!$E:$E,'9'!$A:$A,Año_Inicial+8,'9'!$B:$B,'12'!BR$4,'9'!$D:$D,"Aplicación de enmiendas")</f>
        <v>0</v>
      </c>
      <c r="BT18" s="101">
        <f>((A9_A_L34*Enmienda_A)+(A9_B_L34*Enmienda_B)+(A9_C_L34*Enmienda_C)+(A9_D_L34*Enmienda_D)+(A9_Y_L34*Enmienda_Y))*Inflación_9</f>
        <v>0</v>
      </c>
      <c r="BU18" s="101">
        <f>SUMIFS('9'!$E:$E,'9'!$A:$A,Año_Inicial+8,'9'!$B:$B,'12'!BT$4,'9'!$D:$D,"Aplicación de enmiendas")</f>
        <v>0</v>
      </c>
      <c r="BV18" s="101">
        <f>((A9_A_L35*Enmienda_A)+(A9_B_L35*Enmienda_B)+(A9_C_L35*Enmienda_C)+(A9_D_L35*Enmienda_D)+(A9_Y_L35*Enmienda_Y))*Inflación_9</f>
        <v>0</v>
      </c>
      <c r="BW18" s="101">
        <f>SUMIFS('9'!$E:$E,'9'!$A:$A,Año_Inicial+8,'9'!$B:$B,'12'!BV$4,'9'!$D:$D,"Aplicación de enmiendas")</f>
        <v>0</v>
      </c>
      <c r="BX18" s="101">
        <f>((A9_A_L36*Enmienda_A)+(A9_B_L36*Enmienda_B)+(A9_C_L36*Enmienda_C)+(A9_D_L36*Enmienda_D)+(A9_Y_L36*Enmienda_Y))*Inflación_9</f>
        <v>0</v>
      </c>
      <c r="BY18" s="101">
        <f>SUMIFS('9'!$E:$E,'9'!$A:$A,Año_Inicial+8,'9'!$B:$B,'12'!BX$4,'9'!$D:$D,"Aplicación de enmiendas")</f>
        <v>0</v>
      </c>
      <c r="BZ18" s="101">
        <f>((A9_A_L37*Enmienda_A)+(A9_B_L37*Enmienda_B)+(A9_C_L37*Enmienda_C)+(A9_D_L37*Enmienda_D)+(A9_Y_L37*Enmienda_Y))*Inflación_9</f>
        <v>0</v>
      </c>
      <c r="CA18" s="101">
        <f>SUMIFS('9'!$E:$E,'9'!$A:$A,Año_Inicial+8,'9'!$B:$B,'12'!BZ$4,'9'!$D:$D,"Aplicación de enmiendas")</f>
        <v>0</v>
      </c>
      <c r="CB18" s="101">
        <f>((A9_A_L38*Enmienda_A)+(A9_B_L38*Enmienda_B)+(A9_C_L38*Enmienda_C)+(A9_D_L38*Enmienda_D)+(A9_Y_L38*Enmienda_Y))*Inflación_9</f>
        <v>0</v>
      </c>
      <c r="CC18" s="101">
        <f>SUMIFS('9'!$E:$E,'9'!$A:$A,Año_Inicial+8,'9'!$B:$B,'12'!CB$4,'9'!$D:$D,"Aplicación de enmiendas")</f>
        <v>0</v>
      </c>
      <c r="CD18" s="101">
        <f>((A9_A_L39*Enmienda_A)+(A9_B_L39*Enmienda_B)+(A9_C_L39*Enmienda_C)+(A9_D_L39*Enmienda_D)+(A9_Y_L39*Enmienda_Y))*Inflación_9</f>
        <v>0</v>
      </c>
      <c r="CE18" s="101">
        <f>SUMIFS('9'!$E:$E,'9'!$A:$A,Año_Inicial+8,'9'!$B:$B,'12'!CD$4,'9'!$D:$D,"Aplicación de enmiendas")</f>
        <v>0</v>
      </c>
      <c r="CF18" s="101">
        <f>((A9_A_L40*Enmienda_A)+(A9_B_L40*Enmienda_B)+(A9_C_L40*Enmienda_C)+(A9_D_L40*Enmienda_D)+(A9_Y_L40*Enmienda_Y))*Inflación_9</f>
        <v>0</v>
      </c>
      <c r="CG18" s="101">
        <f>SUMIFS('9'!$E:$E,'9'!$A:$A,Año_Inicial+8,'9'!$B:$B,'12'!CF$4,'9'!$D:$D,"Aplicación de enmiendas")</f>
        <v>0</v>
      </c>
      <c r="CH18" s="473"/>
      <c r="CI18" s="101">
        <f>Plantas_A_A9*Enmienda_A*Inflación_9</f>
        <v>0</v>
      </c>
      <c r="CJ18" s="101">
        <f>Plantas_B_A9*Enmienda_B</f>
        <v>0</v>
      </c>
      <c r="CK18" s="101">
        <f>Plantas_C_A9*Enmienda_C</f>
        <v>0</v>
      </c>
      <c r="CL18" s="101">
        <f>Plantas_D_A9*Enmienda_D</f>
        <v>0</v>
      </c>
      <c r="CM18" s="101"/>
      <c r="CN18" s="101">
        <f>Plantas_Y_A9*Enmienda_Y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SUMIFS('9'!$E:$E,'9'!$A:$A,Año_Inicial+8,'9'!$D:$D,"Fertilizante químico")</f>
        <v>0</v>
      </c>
      <c r="D19" s="100">
        <f t="shared" si="45"/>
        <v>0</v>
      </c>
      <c r="E19" s="473"/>
      <c r="F19" s="101">
        <f>((A9_A_L1*Fertilizante_A)+(A9_B_L1*Fertilizante_B)+(A9_C_L1*Fertilizante_C)+(A9_D_L1*Fertilizante_D)+(A9_Y_L1*Fertilizante_Y))*Inflación_9</f>
        <v>0</v>
      </c>
      <c r="G19" s="101">
        <f>SUMIFS('9'!$E:$E,'9'!$A:$A,Año_Inicial+8,'9'!$B:$B,'12'!F$4,'9'!$D:$D,"Fertilizante químico")</f>
        <v>0</v>
      </c>
      <c r="H19" s="101">
        <f>((A9_A_L2*Fertilizante_A)+(A9_B_L2*Fertilizante_B)+(A9_C_L2*Fertilizante_C)+(A9_D_L2*Fertilizante_D)+(A9_Y_L2*Fertilizante_Y))*Inflación_9</f>
        <v>0</v>
      </c>
      <c r="I19" s="101">
        <f>SUMIFS('9'!$E:$E,'9'!$A:$A,Año_Inicial+8,'9'!$B:$B,'12'!H$4,'9'!$D:$D,"Fertilizante químico")</f>
        <v>0</v>
      </c>
      <c r="J19" s="101">
        <f>((A9_A_L3*Fertilizante_A)+(A9_B_L3*Fertilizante_B)+(A9_C_L3*Fertilizante_C)+(A9_D_L3*Fertilizante_D)+(A9_Y_L3*Fertilizante_Y))*Inflación_9</f>
        <v>0</v>
      </c>
      <c r="K19" s="101">
        <f>SUMIFS('9'!$E:$E,'9'!$A:$A,Año_Inicial+8,'9'!$B:$B,'12'!J$4,'9'!$D:$D,"Fertilizante químico")</f>
        <v>0</v>
      </c>
      <c r="L19" s="101">
        <f>((A9_A_L4*Fertilizante_A)+(A9_B_L4*Fertilizante_B)+(A9_C_L4*Fertilizante_C)+(A9_D_L4*Fertilizante_D)+(A9_Y_L4*Fertilizante_Y))*Inflación_9</f>
        <v>0</v>
      </c>
      <c r="M19" s="101">
        <f>SUMIFS('9'!$E:$E,'9'!$A:$A,Año_Inicial+8,'9'!$B:$B,'12'!L$4,'9'!$D:$D,"Fertilizante químico")</f>
        <v>0</v>
      </c>
      <c r="N19" s="101">
        <f>((A9_A_L5*Fertilizante_A)+(A9_B_L5*Fertilizante_B)+(A9_C_L5*Fertilizante_C)+(A9_D_L5*Fertilizante_D)+(A9_Y_L5*Fertilizante_Y))*Inflación_9</f>
        <v>0</v>
      </c>
      <c r="O19" s="101">
        <f>SUMIFS('9'!$E:$E,'9'!$A:$A,Año_Inicial+8,'9'!$B:$B,'12'!N$4,'9'!$D:$D,"Fertilizante químico")</f>
        <v>0</v>
      </c>
      <c r="P19" s="101">
        <f>((A9_A_L6*Fertilizante_A)+(A9_B_L6*Fertilizante_B)+(A9_C_L6*Fertilizante_C)+(A9_D_L6*Fertilizante_D)+(A9_Y_L6*Fertilizante_Y))*Inflación_9</f>
        <v>0</v>
      </c>
      <c r="Q19" s="101">
        <f>SUMIFS('9'!$E:$E,'9'!$A:$A,Año_Inicial+8,'9'!$B:$B,'12'!P$4,'9'!$D:$D,"Fertilizante químico")</f>
        <v>0</v>
      </c>
      <c r="R19" s="101">
        <f>((A9_A_L7*Fertilizante_A)+(A9_B_L7*Fertilizante_B)+(A9_C_L7*Fertilizante_C)+(A9_D_L7*Fertilizante_D)+(A9_Y_L7*Fertilizante_Y))*Inflación_9</f>
        <v>0</v>
      </c>
      <c r="S19" s="101">
        <f>SUMIFS('9'!$E:$E,'9'!$A:$A,Año_Inicial+8,'9'!$B:$B,'12'!R$4,'9'!$D:$D,"Fertilizante químico")</f>
        <v>0</v>
      </c>
      <c r="T19" s="101">
        <f>((A9_A_L8*Fertilizante_A)+(A9_B_L8*Fertilizante_B)+(A9_C_L8*Fertilizante_C)+(A9_D_L8*Fertilizante_D)+(A9_Y_L8*Fertilizante_Y))*Inflación_9</f>
        <v>0</v>
      </c>
      <c r="U19" s="101">
        <f>SUMIFS('9'!$E:$E,'9'!$A:$A,Año_Inicial+8,'9'!$B:$B,'12'!T$4,'9'!$D:$D,"Fertilizante químico")</f>
        <v>0</v>
      </c>
      <c r="V19" s="101">
        <f>((A9_A_L9*Fertilizante_A)+(A9_B_L9*Fertilizante_B)+(A9_C_L9*Fertilizante_C)+(A9_D_L9*Fertilizante_D)+(A9_Y_L9*Fertilizante_Y))*Inflación_9</f>
        <v>0</v>
      </c>
      <c r="W19" s="101">
        <f>SUMIFS('9'!$E:$E,'9'!$A:$A,Año_Inicial+8,'9'!$B:$B,'12'!V$4,'9'!$D:$D,"Fertilizante químico")</f>
        <v>0</v>
      </c>
      <c r="X19" s="101">
        <f>((A9_A_L10*Fertilizante_A)+(A9_B_L10*Fertilizante_B)+(A9_C_L10*Fertilizante_C)+(A9_D_L10*Fertilizante_D)+(A9_Y_L10*Fertilizante_Y))*Inflación_9</f>
        <v>0</v>
      </c>
      <c r="Y19" s="101">
        <f>SUMIFS('9'!$E:$E,'9'!$A:$A,Año_Inicial+8,'9'!$B:$B,'12'!X$4,'9'!$D:$D,"Fertilizante químico")</f>
        <v>0</v>
      </c>
      <c r="Z19" s="101">
        <f>((A9_A_L11*Fertilizante_A)+(A9_B_L11*Fertilizante_B)+(A9_C_L11*Fertilizante_C)+(A9_D_L11*Fertilizante_D)+(A9_Y_L11*Fertilizante_Y))*Inflación_9</f>
        <v>0</v>
      </c>
      <c r="AA19" s="101">
        <f>SUMIFS('9'!$E:$E,'9'!$A:$A,Año_Inicial+8,'9'!$B:$B,'12'!Z$4,'9'!$D:$D,"Fertilizante químico")</f>
        <v>0</v>
      </c>
      <c r="AB19" s="101">
        <f>((A9_A_L12*Fertilizante_A)+(A9_B_L12*Fertilizante_B)+(A9_C_L12*Fertilizante_C)+(A9_D_L12*Fertilizante_D)+(A9_Y_L12*Fertilizante_Y))*Inflación_9</f>
        <v>0</v>
      </c>
      <c r="AC19" s="101">
        <f>SUMIFS('9'!$E:$E,'9'!$A:$A,Año_Inicial+8,'9'!$B:$B,'12'!AB$4,'9'!$D:$D,"Fertilizante químico")</f>
        <v>0</v>
      </c>
      <c r="AD19" s="101">
        <f>((A9_A_L13*Fertilizante_A)+(A9_B_L13*Fertilizante_B)+(A9_C_L13*Fertilizante_C)+(A9_D_L13*Fertilizante_D)+(A9_Y_L13*Fertilizante_Y))*Inflación_9</f>
        <v>0</v>
      </c>
      <c r="AE19" s="101">
        <f>SUMIFS('9'!$E:$E,'9'!$A:$A,Año_Inicial+8,'9'!$B:$B,'12'!AD$4,'9'!$D:$D,"Fertilizante químico")</f>
        <v>0</v>
      </c>
      <c r="AF19" s="101">
        <f>((A9_A_L14*Fertilizante_A)+(A9_B_L14*Fertilizante_B)+(A9_C_L14*Fertilizante_C)+(A9_D_L14*Fertilizante_D)+(A9_Y_L14*Fertilizante_Y))*Inflación_9</f>
        <v>0</v>
      </c>
      <c r="AG19" s="101">
        <f>SUMIFS('9'!$E:$E,'9'!$A:$A,Año_Inicial+8,'9'!$B:$B,'12'!AF$4,'9'!$D:$D,"Fertilizante químico")</f>
        <v>0</v>
      </c>
      <c r="AH19" s="101">
        <f>((A9_A_L15*Fertilizante_A)+(A9_B_L15*Fertilizante_B)+(A9_C_L15*Fertilizante_C)+(A9_D_L15*Fertilizante_D)+(A9_Y_L15*Fertilizante_Y))*Inflación_9</f>
        <v>0</v>
      </c>
      <c r="AI19" s="101">
        <f>SUMIFS('9'!$E:$E,'9'!$A:$A,Año_Inicial+8,'9'!$B:$B,'12'!AH$4,'9'!$D:$D,"Fertilizante químico")</f>
        <v>0</v>
      </c>
      <c r="AJ19" s="101">
        <f>((A9_A_L16*Fertilizante_A)+(A9_B_L16*Fertilizante_B)+(A9_C_L16*Fertilizante_C)+(A9_D_L16*Fertilizante_D)+(A9_Y_L16*Fertilizante_Y))*Inflación_9</f>
        <v>0</v>
      </c>
      <c r="AK19" s="101">
        <f>SUMIFS('9'!$E:$E,'9'!$A:$A,Año_Inicial+8,'9'!$B:$B,'12'!AJ$4,'9'!$D:$D,"Fertilizante químico")</f>
        <v>0</v>
      </c>
      <c r="AL19" s="101">
        <f>((A9_A_L17*Fertilizante_A)+(A9_B_L17*Fertilizante_B)+(A9_C_L17*Fertilizante_C)+(A9_D_L17*Fertilizante_D)+(A9_Y_L17*Fertilizante_Y))*Inflación_9</f>
        <v>0</v>
      </c>
      <c r="AM19" s="101">
        <f>SUMIFS('9'!$E:$E,'9'!$A:$A,Año_Inicial+8,'9'!$B:$B,'12'!AL$4,'9'!$D:$D,"Fertilizante químico")</f>
        <v>0</v>
      </c>
      <c r="AN19" s="101">
        <f>((A9_A_L18*Fertilizante_A)+(A9_B_L18*Fertilizante_B)+(A9_C_L18*Fertilizante_C)+(A9_D_L18*Fertilizante_D)+(A9_Y_L18*Fertilizante_Y))*Inflación_9</f>
        <v>0</v>
      </c>
      <c r="AO19" s="101">
        <f>SUMIFS('9'!$E:$E,'9'!$A:$A,Año_Inicial+8,'9'!$B:$B,'12'!AN$4,'9'!$D:$D,"Fertilizante químico")</f>
        <v>0</v>
      </c>
      <c r="AP19" s="101">
        <f>((A9_A_L19*Fertilizante_A)+(A9_B_L19*Fertilizante_B)+(A9_C_L19*Fertilizante_C)+(A9_D_L19*Fertilizante_D)+(A9_Y_L19*Fertilizante_Y))*Inflación_9</f>
        <v>0</v>
      </c>
      <c r="AQ19" s="101">
        <f>SUMIFS('9'!$E:$E,'9'!$A:$A,Año_Inicial+8,'9'!$B:$B,'12'!AP$4,'9'!$D:$D,"Fertilizante químico")</f>
        <v>0</v>
      </c>
      <c r="AR19" s="101">
        <f>((A9_A_L20*Fertilizante_A)+(A9_B_L20*Fertilizante_B)+(A9_C_L20*Fertilizante_C)+(A9_D_L20*Fertilizante_D)+(A9_Y_L20*Fertilizante_Y))*Inflación_9</f>
        <v>0</v>
      </c>
      <c r="AS19" s="101">
        <f>SUMIFS('9'!$E:$E,'9'!$A:$A,Año_Inicial+8,'9'!$B:$B,'12'!AR$4,'9'!$D:$D,"Fertilizante químico")</f>
        <v>0</v>
      </c>
      <c r="AT19" s="101">
        <f>((A9_A_L21*Fertilizante_A)+(A9_B_L21*Fertilizante_B)+(A9_C_L21*Fertilizante_C)+(A9_D_L21*Fertilizante_D)+(A9_Y_L21*Fertilizante_Y))*Inflación_9</f>
        <v>0</v>
      </c>
      <c r="AU19" s="101">
        <f>SUMIFS('9'!$E:$E,'9'!$A:$A,Año_Inicial+8,'9'!$B:$B,'12'!AT$4,'9'!$D:$D,"Fertilizante químico")</f>
        <v>0</v>
      </c>
      <c r="AV19" s="101">
        <f>((A9_A_L22*Fertilizante_A)+(A9_B_L22*Fertilizante_B)+(A9_C_L22*Fertilizante_C)+(A9_D_L22*Fertilizante_D)+(A9_Y_L22*Fertilizante_Y))*Inflación_9</f>
        <v>0</v>
      </c>
      <c r="AW19" s="101">
        <f>SUMIFS('9'!$E:$E,'9'!$A:$A,Año_Inicial+8,'9'!$B:$B,'12'!AV$4,'9'!$D:$D,"Fertilizante químico")</f>
        <v>0</v>
      </c>
      <c r="AX19" s="101">
        <f>((A9_A_L23*Fertilizante_A)+(A9_B_L23*Fertilizante_B)+(A9_C_L23*Fertilizante_C)+(A9_D_L23*Fertilizante_D)+(A9_Y_L23*Fertilizante_Y))*Inflación_9</f>
        <v>0</v>
      </c>
      <c r="AY19" s="101">
        <f>SUMIFS('9'!$E:$E,'9'!$A:$A,Año_Inicial+8,'9'!$B:$B,'12'!AX$4,'9'!$D:$D,"Fertilizante químico")</f>
        <v>0</v>
      </c>
      <c r="AZ19" s="101">
        <f>((A9_A_L24*Fertilizante_A)+(A9_B_L24*Fertilizante_B)+(A9_C_L24*Fertilizante_C)+(A9_D_L24*Fertilizante_D)+(A9_Y_L24*Fertilizante_Y))*Inflación_9</f>
        <v>0</v>
      </c>
      <c r="BA19" s="101">
        <f>SUMIFS('9'!$E:$E,'9'!$A:$A,Año_Inicial+8,'9'!$B:$B,'12'!AZ$4,'9'!$D:$D,"Fertilizante químico")</f>
        <v>0</v>
      </c>
      <c r="BB19" s="101">
        <f>((A9_A_L25*Fertilizante_A)+(A9_B_L25*Fertilizante_B)+(A9_C_L25*Fertilizante_C)+(A9_D_L25*Fertilizante_D)+(A9_Y_L25*Fertilizante_Y))*Inflación_9</f>
        <v>0</v>
      </c>
      <c r="BC19" s="101">
        <f>SUMIFS('9'!$E:$E,'9'!$A:$A,Año_Inicial+8,'9'!$B:$B,'12'!BB$4,'9'!$D:$D,"Fertilizante químico")</f>
        <v>0</v>
      </c>
      <c r="BD19" s="101">
        <f>((A9_A_L26*Fertilizante_A)+(A9_B_L26*Fertilizante_B)+(A9_C_L26*Fertilizante_C)+(A9_D_L26*Fertilizante_D)+(A9_Y_L26*Fertilizante_Y))*Inflación_9</f>
        <v>0</v>
      </c>
      <c r="BE19" s="101">
        <f>SUMIFS('9'!$E:$E,'9'!$A:$A,Año_Inicial+8,'9'!$B:$B,'12'!BD$4,'9'!$D:$D,"Fertilizante químico")</f>
        <v>0</v>
      </c>
      <c r="BF19" s="101">
        <f>((A9_A_L27*Fertilizante_A)+(A9_B_L27*Fertilizante_B)+(A9_C_L27*Fertilizante_C)+(A9_D_L27*Fertilizante_D)+(A9_Y_L27*Fertilizante_Y))*Inflación_9</f>
        <v>0</v>
      </c>
      <c r="BG19" s="101">
        <f>SUMIFS('9'!$E:$E,'9'!$A:$A,Año_Inicial+8,'9'!$B:$B,'12'!BF$4,'9'!$D:$D,"Fertilizante químico")</f>
        <v>0</v>
      </c>
      <c r="BH19" s="101">
        <f>((A9_A_L28*Fertilizante_A)+(A9_B_L28*Fertilizante_B)+(A9_C_L28*Fertilizante_C)+(A9_D_L28*Fertilizante_D)+(A9_Y_L28*Fertilizante_Y))*Inflación_9</f>
        <v>0</v>
      </c>
      <c r="BI19" s="101">
        <f>SUMIFS('9'!$E:$E,'9'!$A:$A,Año_Inicial+8,'9'!$B:$B,'12'!BH$4,'9'!$D:$D,"Fertilizante químico")</f>
        <v>0</v>
      </c>
      <c r="BJ19" s="101">
        <f>((A9_A_L29*Fertilizante_A)+(A9_B_L29*Fertilizante_B)+(A9_C_L29*Fertilizante_C)+(A9_D_L29*Fertilizante_D)+(A9_Y_L29*Fertilizante_Y))*Inflación_9</f>
        <v>0</v>
      </c>
      <c r="BK19" s="101">
        <f>SUMIFS('9'!$E:$E,'9'!$A:$A,Año_Inicial+8,'9'!$B:$B,'12'!BJ$4,'9'!$D:$D,"Fertilizante químico")</f>
        <v>0</v>
      </c>
      <c r="BL19" s="101">
        <f>((A9_A_L30*Fertilizante_A)+(A9_B_L30*Fertilizante_B)+(A9_C_L30*Fertilizante_C)+(A9_D_L30*Fertilizante_D)+(A9_Y_L30*Fertilizante_Y))*Inflación_9</f>
        <v>0</v>
      </c>
      <c r="BM19" s="101">
        <f>SUMIFS('9'!$E:$E,'9'!$A:$A,Año_Inicial+8,'9'!$B:$B,'12'!BL$4,'9'!$D:$D,"Fertilizante químico")</f>
        <v>0</v>
      </c>
      <c r="BN19" s="101">
        <f>((A9_A_L31*Fertilizante_A)+(A9_B_L31*Fertilizante_B)+(A9_C_L31*Fertilizante_C)+(A9_D_L31*Fertilizante_D)+(A9_Y_L31*Fertilizante_Y))*Inflación_9</f>
        <v>0</v>
      </c>
      <c r="BO19" s="101">
        <f>SUMIFS('9'!$E:$E,'9'!$A:$A,Año_Inicial+8,'9'!$B:$B,'12'!BN$4,'9'!$D:$D,"Fertilizante químico")</f>
        <v>0</v>
      </c>
      <c r="BP19" s="101">
        <f>((A9_A_L32*Fertilizante_A)+(A9_B_L32*Fertilizante_B)+(A9_C_L32*Fertilizante_C)+(A9_D_L32*Fertilizante_D)+(A9_Y_L32*Fertilizante_Y))*Inflación_9</f>
        <v>0</v>
      </c>
      <c r="BQ19" s="101">
        <f>SUMIFS('9'!$E:$E,'9'!$A:$A,Año_Inicial+8,'9'!$B:$B,'12'!BP$4,'9'!$D:$D,"Fertilizante químico")</f>
        <v>0</v>
      </c>
      <c r="BR19" s="101">
        <f>((A9_A_L33*Fertilizante_A)+(A9_B_L33*Fertilizante_B)+(A9_C_L33*Fertilizante_C)+(A9_D_L33*Fertilizante_D)+(A9_Y_L33*Fertilizante_Y))*Inflación_9</f>
        <v>0</v>
      </c>
      <c r="BS19" s="101">
        <f>SUMIFS('9'!$E:$E,'9'!$A:$A,Año_Inicial+8,'9'!$B:$B,'12'!BR$4,'9'!$D:$D,"Fertilizante químico")</f>
        <v>0</v>
      </c>
      <c r="BT19" s="101">
        <f>((A9_A_L34*Fertilizante_A)+(A9_B_L34*Fertilizante_B)+(A9_C_L34*Fertilizante_C)+(A9_D_L34*Fertilizante_D)+(A9_Y_L34*Fertilizante_Y))*Inflación_9</f>
        <v>0</v>
      </c>
      <c r="BU19" s="101">
        <f>SUMIFS('9'!$E:$E,'9'!$A:$A,Año_Inicial+8,'9'!$B:$B,'12'!BT$4,'9'!$D:$D,"Fertilizante químico")</f>
        <v>0</v>
      </c>
      <c r="BV19" s="101">
        <f>((A9_A_L35*Fertilizante_A)+(A9_B_L35*Fertilizante_B)+(A9_C_L35*Fertilizante_C)+(A9_D_L35*Fertilizante_D)+(A9_Y_L35*Fertilizante_Y))*Inflación_9</f>
        <v>0</v>
      </c>
      <c r="BW19" s="101">
        <f>SUMIFS('9'!$E:$E,'9'!$A:$A,Año_Inicial+8,'9'!$B:$B,'12'!BV$4,'9'!$D:$D,"Fertilizante químico")</f>
        <v>0</v>
      </c>
      <c r="BX19" s="101">
        <f>((A9_A_L36*Fertilizante_A)+(A9_B_L36*Fertilizante_B)+(A9_C_L36*Fertilizante_C)+(A9_D_L36*Fertilizante_D)+(A9_Y_L36*Fertilizante_Y))*Inflación_9</f>
        <v>0</v>
      </c>
      <c r="BY19" s="101">
        <f>SUMIFS('9'!$E:$E,'9'!$A:$A,Año_Inicial+8,'9'!$B:$B,'12'!BX$4,'9'!$D:$D,"Fertilizante químico")</f>
        <v>0</v>
      </c>
      <c r="BZ19" s="101">
        <f>((A9_A_L37*Fertilizante_A)+(A9_B_L37*Fertilizante_B)+(A9_C_L37*Fertilizante_C)+(A9_D_L37*Fertilizante_D)+(A9_Y_L37*Fertilizante_Y))*Inflación_9</f>
        <v>0</v>
      </c>
      <c r="CA19" s="101">
        <f>SUMIFS('9'!$E:$E,'9'!$A:$A,Año_Inicial+8,'9'!$B:$B,'12'!BZ$4,'9'!$D:$D,"Fertilizante químico")</f>
        <v>0</v>
      </c>
      <c r="CB19" s="101">
        <f>((A9_A_L38*Fertilizante_A)+(A9_B_L38*Fertilizante_B)+(A9_C_L38*Fertilizante_C)+(A9_D_L38*Fertilizante_D)+(A9_Y_L38*Fertilizante_Y))*Inflación_9</f>
        <v>0</v>
      </c>
      <c r="CC19" s="101">
        <f>SUMIFS('9'!$E:$E,'9'!$A:$A,Año_Inicial+8,'9'!$B:$B,'12'!CB$4,'9'!$D:$D,"Fertilizante químico")</f>
        <v>0</v>
      </c>
      <c r="CD19" s="101">
        <f>((A9_A_L39*Fertilizante_A)+(A9_B_L39*Fertilizante_B)+(A9_C_L39*Fertilizante_C)+(A9_D_L39*Fertilizante_D)+(A9_Y_L39*Fertilizante_Y))*Inflación_9</f>
        <v>0</v>
      </c>
      <c r="CE19" s="101">
        <f>SUMIFS('9'!$E:$E,'9'!$A:$A,Año_Inicial+8,'9'!$B:$B,'12'!CD$4,'9'!$D:$D,"Fertilizante químico")</f>
        <v>0</v>
      </c>
      <c r="CF19" s="101">
        <f>((A9_A_L40*Fertilizante_A)+(A9_B_L40*Fertilizante_B)+(A9_C_L40*Fertilizante_C)+(A9_D_L40*Fertilizante_D)+(A9_Y_L40*Fertilizante_Y))*Inflación_9</f>
        <v>0</v>
      </c>
      <c r="CG19" s="101">
        <f>SUMIFS('9'!$E:$E,'9'!$A:$A,Año_Inicial+8,'9'!$B:$B,'12'!CF$4,'9'!$D:$D,"Fertilizante químico")</f>
        <v>0</v>
      </c>
      <c r="CH19" s="473"/>
      <c r="CI19" s="101">
        <f>Plantas_A_A9*Fertilizante_A*Inflación_9</f>
        <v>0</v>
      </c>
      <c r="CJ19" s="101">
        <f>Plantas_B_A9*Fertilizante_B</f>
        <v>0</v>
      </c>
      <c r="CK19" s="101">
        <f>Plantas_C_A9*Fertilizante_C</f>
        <v>0</v>
      </c>
      <c r="CL19" s="101">
        <f>Plantas_D_A9*Fertilizante_D</f>
        <v>0</v>
      </c>
      <c r="CM19" s="101"/>
      <c r="CN19" s="101">
        <f>Plantas_Y_A9*Fertilizante_Y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SUMIFS('9'!$E:$E,'9'!$A:$A,Año_Inicial+8,'9'!$D:$D,"Material de enmienda")</f>
        <v>0</v>
      </c>
      <c r="D20" s="100">
        <f t="shared" si="45"/>
        <v>0</v>
      </c>
      <c r="E20" s="473"/>
      <c r="F20" s="101">
        <f>((A9_A_L1*Enmiendas_A)+(A9_B_L1*Enmiendas_B)+(A9_C_L1*Enmiendas_C)+(A9_D_L1*Enmiendas_D)+(A9_Y_L1*Enmiendas_Y))*Inflación_9</f>
        <v>0</v>
      </c>
      <c r="G20" s="101">
        <f>SUMIFS('9'!$E:$E,'9'!$A:$A,Año_Inicial+8,'9'!$B:$B,'12'!F$4,'9'!$D:$D,"Material de enmienda")</f>
        <v>0</v>
      </c>
      <c r="H20" s="101">
        <f>((A9_A_L2*Enmiendas_A)+(A9_B_L2*Enmiendas_B)+(A9_C_L2*Enmiendas_C)+(A9_D_L2*Enmiendas_D)+(A9_Y_L2*Enmiendas_Y))*Inflación_9</f>
        <v>0</v>
      </c>
      <c r="I20" s="101">
        <f>SUMIFS('9'!$E:$E,'9'!$A:$A,Año_Inicial+8,'9'!$B:$B,'12'!H$4,'9'!$D:$D,"Material de enmienda")</f>
        <v>0</v>
      </c>
      <c r="J20" s="101">
        <f>((A9_A_L3*Enmiendas_A)+(A9_B_L3*Enmiendas_B)+(A9_C_L3*Enmiendas_C)+(A9_D_L3*Enmiendas_D)+(A9_Y_L3*Enmiendas_Y))*Inflación_9</f>
        <v>0</v>
      </c>
      <c r="K20" s="101">
        <f>SUMIFS('9'!$E:$E,'9'!$A:$A,Año_Inicial+8,'9'!$B:$B,'12'!J$4,'9'!$D:$D,"Material de enmienda")</f>
        <v>0</v>
      </c>
      <c r="L20" s="101">
        <f>((A9_A_L4*Enmiendas_A)+(A9_B_L4*Enmiendas_B)+(A9_C_L4*Enmiendas_C)+(A9_D_L4*Enmiendas_D)+(A9_Y_L4*Enmiendas_Y))*Inflación_9</f>
        <v>0</v>
      </c>
      <c r="M20" s="101">
        <f>SUMIFS('9'!$E:$E,'9'!$A:$A,Año_Inicial+8,'9'!$B:$B,'12'!L$4,'9'!$D:$D,"Material de enmienda")</f>
        <v>0</v>
      </c>
      <c r="N20" s="101">
        <f>((A9_A_L5*Enmiendas_A)+(A9_B_L5*Enmiendas_B)+(A9_C_L5*Enmiendas_C)+(A9_D_L5*Enmiendas_D)+(A9_Y_L5*Enmiendas_Y))*Inflación_9</f>
        <v>0</v>
      </c>
      <c r="O20" s="101">
        <f>SUMIFS('9'!$E:$E,'9'!$A:$A,Año_Inicial+8,'9'!$B:$B,'12'!N$4,'9'!$D:$D,"Material de enmienda")</f>
        <v>0</v>
      </c>
      <c r="P20" s="101">
        <f>((A9_A_L6*Enmiendas_A)+(A9_B_L6*Enmiendas_B)+(A9_C_L6*Enmiendas_C)+(A9_D_L6*Enmiendas_D)+(A9_Y_L6*Enmiendas_Y))*Inflación_9</f>
        <v>0</v>
      </c>
      <c r="Q20" s="101">
        <f>SUMIFS('9'!$E:$E,'9'!$A:$A,Año_Inicial+8,'9'!$B:$B,'12'!P$4,'9'!$D:$D,"Material de enmienda")</f>
        <v>0</v>
      </c>
      <c r="R20" s="101">
        <f>((A9_A_L7*Enmiendas_A)+(A9_B_L7*Enmiendas_B)+(A9_C_L7*Enmiendas_C)+(A9_D_L7*Enmiendas_D)+(A9_Y_L7*Enmiendas_Y))*Inflación_9</f>
        <v>0</v>
      </c>
      <c r="S20" s="101">
        <f>SUMIFS('9'!$E:$E,'9'!$A:$A,Año_Inicial+8,'9'!$B:$B,'12'!R$4,'9'!$D:$D,"Material de enmienda")</f>
        <v>0</v>
      </c>
      <c r="T20" s="101">
        <f>((A9_A_L8*Enmiendas_A)+(A9_B_L8*Enmiendas_B)+(A9_C_L8*Enmiendas_C)+(A9_D_L8*Enmiendas_D)+(A9_Y_L8*Enmiendas_Y))*Inflación_9</f>
        <v>0</v>
      </c>
      <c r="U20" s="101">
        <f>SUMIFS('9'!$E:$E,'9'!$A:$A,Año_Inicial+8,'9'!$B:$B,'12'!T$4,'9'!$D:$D,"Material de enmienda")</f>
        <v>0</v>
      </c>
      <c r="V20" s="101">
        <f>((A9_A_L9*Enmiendas_A)+(A9_B_L9*Enmiendas_B)+(A9_C_L9*Enmiendas_C)+(A9_D_L9*Enmiendas_D)+(A9_Y_L9*Enmiendas_Y))*Inflación_9</f>
        <v>0</v>
      </c>
      <c r="W20" s="101">
        <f>SUMIFS('9'!$E:$E,'9'!$A:$A,Año_Inicial+8,'9'!$B:$B,'12'!V$4,'9'!$D:$D,"Material de enmienda")</f>
        <v>0</v>
      </c>
      <c r="X20" s="101">
        <f>((A9_A_L10*Enmiendas_A)+(A9_B_L10*Enmiendas_B)+(A9_C_L10*Enmiendas_C)+(A9_D_L10*Enmiendas_D)+(A9_Y_L10*Enmiendas_Y))*Inflación_9</f>
        <v>0</v>
      </c>
      <c r="Y20" s="101">
        <f>SUMIFS('9'!$E:$E,'9'!$A:$A,Año_Inicial+8,'9'!$B:$B,'12'!X$4,'9'!$D:$D,"Material de enmienda")</f>
        <v>0</v>
      </c>
      <c r="Z20" s="101">
        <f>((A9_A_L11*Enmiendas_A)+(A9_B_L11*Enmiendas_B)+(A9_C_L11*Enmiendas_C)+(A9_D_L11*Enmiendas_D)+(A9_Y_L11*Enmiendas_Y))*Inflación_9</f>
        <v>0</v>
      </c>
      <c r="AA20" s="101">
        <f>SUMIFS('9'!$E:$E,'9'!$A:$A,Año_Inicial+8,'9'!$B:$B,'12'!Z$4,'9'!$D:$D,"Material de enmienda")</f>
        <v>0</v>
      </c>
      <c r="AB20" s="101">
        <f>((A9_A_L12*Enmiendas_A)+(A9_B_L12*Enmiendas_B)+(A9_C_L12*Enmiendas_C)+(A9_D_L12*Enmiendas_D)+(A9_Y_L12*Enmiendas_Y))*Inflación_9</f>
        <v>0</v>
      </c>
      <c r="AC20" s="101">
        <f>SUMIFS('9'!$E:$E,'9'!$A:$A,Año_Inicial+8,'9'!$B:$B,'12'!AB$4,'9'!$D:$D,"Material de enmienda")</f>
        <v>0</v>
      </c>
      <c r="AD20" s="101">
        <f>((A9_A_L13*Enmiendas_A)+(A9_B_L13*Enmiendas_B)+(A9_C_L13*Enmiendas_C)+(A9_D_L13*Enmiendas_D)+(A9_Y_L13*Enmiendas_Y))*Inflación_9</f>
        <v>0</v>
      </c>
      <c r="AE20" s="101">
        <f>SUMIFS('9'!$E:$E,'9'!$A:$A,Año_Inicial+8,'9'!$B:$B,'12'!AD$4,'9'!$D:$D,"Material de enmienda")</f>
        <v>0</v>
      </c>
      <c r="AF20" s="101">
        <f>((A9_A_L14*Enmiendas_A)+(A9_B_L14*Enmiendas_B)+(A9_C_L14*Enmiendas_C)+(A9_D_L14*Enmiendas_D)+(A9_Y_L14*Enmiendas_Y))*Inflación_9</f>
        <v>0</v>
      </c>
      <c r="AG20" s="101">
        <f>SUMIFS('9'!$E:$E,'9'!$A:$A,Año_Inicial+8,'9'!$B:$B,'12'!AF$4,'9'!$D:$D,"Material de enmienda")</f>
        <v>0</v>
      </c>
      <c r="AH20" s="101">
        <f>((A9_A_L15*Enmiendas_A)+(A9_B_L15*Enmiendas_B)+(A9_C_L15*Enmiendas_C)+(A9_D_L15*Enmiendas_D)+(A9_Y_L15*Enmiendas_Y))*Inflación_9</f>
        <v>0</v>
      </c>
      <c r="AI20" s="101">
        <f>SUMIFS('9'!$E:$E,'9'!$A:$A,Año_Inicial+8,'9'!$B:$B,'12'!AH$4,'9'!$D:$D,"Material de enmienda")</f>
        <v>0</v>
      </c>
      <c r="AJ20" s="101">
        <f>((A9_A_L16*Enmiendas_A)+(A9_B_L16*Enmiendas_B)+(A9_C_L16*Enmiendas_C)+(A9_D_L16*Enmiendas_D)+(A9_Y_L16*Enmiendas_Y))*Inflación_9</f>
        <v>0</v>
      </c>
      <c r="AK20" s="101">
        <f>SUMIFS('9'!$E:$E,'9'!$A:$A,Año_Inicial+8,'9'!$B:$B,'12'!AJ$4,'9'!$D:$D,"Material de enmienda")</f>
        <v>0</v>
      </c>
      <c r="AL20" s="101">
        <f>((A9_A_L17*Enmiendas_A)+(A9_B_L17*Enmiendas_B)+(A9_C_L17*Enmiendas_C)+(A9_D_L17*Enmiendas_D)+(A9_Y_L17*Enmiendas_Y))*Inflación_9</f>
        <v>0</v>
      </c>
      <c r="AM20" s="101">
        <f>SUMIFS('9'!$E:$E,'9'!$A:$A,Año_Inicial+8,'9'!$B:$B,'12'!AL$4,'9'!$D:$D,"Material de enmienda")</f>
        <v>0</v>
      </c>
      <c r="AN20" s="101">
        <f>((A9_A_L18*Enmiendas_A)+(A9_B_L18*Enmiendas_B)+(A9_C_L18*Enmiendas_C)+(A9_D_L18*Enmiendas_D)+(A9_Y_L18*Enmiendas_Y))*Inflación_9</f>
        <v>0</v>
      </c>
      <c r="AO20" s="101">
        <f>SUMIFS('9'!$E:$E,'9'!$A:$A,Año_Inicial+8,'9'!$B:$B,'12'!AN$4,'9'!$D:$D,"Material de enmienda")</f>
        <v>0</v>
      </c>
      <c r="AP20" s="101">
        <f>((A9_A_L19*Enmiendas_A)+(A9_B_L19*Enmiendas_B)+(A9_C_L19*Enmiendas_C)+(A9_D_L19*Enmiendas_D)+(A9_Y_L19*Enmiendas_Y))*Inflación_9</f>
        <v>0</v>
      </c>
      <c r="AQ20" s="101">
        <f>SUMIFS('9'!$E:$E,'9'!$A:$A,Año_Inicial+8,'9'!$B:$B,'12'!AP$4,'9'!$D:$D,"Material de enmienda")</f>
        <v>0</v>
      </c>
      <c r="AR20" s="101">
        <f>((A9_A_L20*Enmiendas_A)+(A9_B_L20*Enmiendas_B)+(A9_C_L20*Enmiendas_C)+(A9_D_L20*Enmiendas_D)+(A9_Y_L20*Enmiendas_Y))*Inflación_9</f>
        <v>0</v>
      </c>
      <c r="AS20" s="101">
        <f>SUMIFS('9'!$E:$E,'9'!$A:$A,Año_Inicial+8,'9'!$B:$B,'12'!AR$4,'9'!$D:$D,"Material de enmienda")</f>
        <v>0</v>
      </c>
      <c r="AT20" s="101">
        <f>((A9_A_L21*Enmiendas_A)+(A9_B_L21*Enmiendas_B)+(A9_C_L21*Enmiendas_C)+(A9_D_L21*Enmiendas_D)+(A9_Y_L21*Enmiendas_Y))*Inflación_9</f>
        <v>0</v>
      </c>
      <c r="AU20" s="101">
        <f>SUMIFS('9'!$E:$E,'9'!$A:$A,Año_Inicial+8,'9'!$B:$B,'12'!AT$4,'9'!$D:$D,"Material de enmienda")</f>
        <v>0</v>
      </c>
      <c r="AV20" s="101">
        <f>((A9_A_L22*Enmiendas_A)+(A9_B_L22*Enmiendas_B)+(A9_C_L22*Enmiendas_C)+(A9_D_L22*Enmiendas_D)+(A9_Y_L22*Enmiendas_Y))*Inflación_9</f>
        <v>0</v>
      </c>
      <c r="AW20" s="101">
        <f>SUMIFS('9'!$E:$E,'9'!$A:$A,Año_Inicial+8,'9'!$B:$B,'12'!AV$4,'9'!$D:$D,"Material de enmienda")</f>
        <v>0</v>
      </c>
      <c r="AX20" s="101">
        <f>((A9_A_L23*Enmiendas_A)+(A9_B_L23*Enmiendas_B)+(A9_C_L23*Enmiendas_C)+(A9_D_L23*Enmiendas_D)+(A9_Y_L23*Enmiendas_Y))*Inflación_9</f>
        <v>0</v>
      </c>
      <c r="AY20" s="101">
        <f>SUMIFS('9'!$E:$E,'9'!$A:$A,Año_Inicial+8,'9'!$B:$B,'12'!AX$4,'9'!$D:$D,"Material de enmienda")</f>
        <v>0</v>
      </c>
      <c r="AZ20" s="101">
        <f>((A9_A_L24*Enmiendas_A)+(A9_B_L24*Enmiendas_B)+(A9_C_L24*Enmiendas_C)+(A9_D_L24*Enmiendas_D)+(A9_Y_L24*Enmiendas_Y))*Inflación_9</f>
        <v>0</v>
      </c>
      <c r="BA20" s="101">
        <f>SUMIFS('9'!$E:$E,'9'!$A:$A,Año_Inicial+8,'9'!$B:$B,'12'!AZ$4,'9'!$D:$D,"Material de enmienda")</f>
        <v>0</v>
      </c>
      <c r="BB20" s="101">
        <f>((A9_A_L25*Enmiendas_A)+(A9_B_L25*Enmiendas_B)+(A9_C_L25*Enmiendas_C)+(A9_D_L25*Enmiendas_D)+(A9_Y_L25*Enmiendas_Y))*Inflación_9</f>
        <v>0</v>
      </c>
      <c r="BC20" s="101">
        <f>SUMIFS('9'!$E:$E,'9'!$A:$A,Año_Inicial+8,'9'!$B:$B,'12'!BB$4,'9'!$D:$D,"Material de enmienda")</f>
        <v>0</v>
      </c>
      <c r="BD20" s="101">
        <f>((A9_A_L26*Enmiendas_A)+(A9_B_L26*Enmiendas_B)+(A9_C_L26*Enmiendas_C)+(A9_D_L26*Enmiendas_D)+(A9_Y_L26*Enmiendas_Y))*Inflación_9</f>
        <v>0</v>
      </c>
      <c r="BE20" s="101">
        <f>SUMIFS('9'!$E:$E,'9'!$A:$A,Año_Inicial+8,'9'!$B:$B,'12'!BD$4,'9'!$D:$D,"Material de enmienda")</f>
        <v>0</v>
      </c>
      <c r="BF20" s="101">
        <f>((A9_A_L27*Enmiendas_A)+(A9_B_L27*Enmiendas_B)+(A9_C_L27*Enmiendas_C)+(A9_D_L27*Enmiendas_D)+(A9_Y_L27*Enmiendas_Y))*Inflación_9</f>
        <v>0</v>
      </c>
      <c r="BG20" s="101">
        <f>SUMIFS('9'!$E:$E,'9'!$A:$A,Año_Inicial+8,'9'!$B:$B,'12'!BF$4,'9'!$D:$D,"Material de enmienda")</f>
        <v>0</v>
      </c>
      <c r="BH20" s="101">
        <f>((A9_A_L28*Enmiendas_A)+(A9_B_L28*Enmiendas_B)+(A9_C_L28*Enmiendas_C)+(A9_D_L28*Enmiendas_D)+(A9_Y_L28*Enmiendas_Y))*Inflación_9</f>
        <v>0</v>
      </c>
      <c r="BI20" s="101">
        <f>SUMIFS('9'!$E:$E,'9'!$A:$A,Año_Inicial+8,'9'!$B:$B,'12'!BH$4,'9'!$D:$D,"Material de enmienda")</f>
        <v>0</v>
      </c>
      <c r="BJ20" s="101">
        <f>((A9_A_L29*Enmiendas_A)+(A9_B_L29*Enmiendas_B)+(A9_C_L29*Enmiendas_C)+(A9_D_L29*Enmiendas_D)+(A9_Y_L29*Enmiendas_Y))*Inflación_9</f>
        <v>0</v>
      </c>
      <c r="BK20" s="101">
        <f>SUMIFS('9'!$E:$E,'9'!$A:$A,Año_Inicial+8,'9'!$B:$B,'12'!BJ$4,'9'!$D:$D,"Material de enmienda")</f>
        <v>0</v>
      </c>
      <c r="BL20" s="101">
        <f>((A9_A_L30*Enmiendas_A)+(A9_B_L30*Enmiendas_B)+(A9_C_L30*Enmiendas_C)+(A9_D_L30*Enmiendas_D)+(A9_Y_L30*Enmiendas_Y))*Inflación_9</f>
        <v>0</v>
      </c>
      <c r="BM20" s="101">
        <f>SUMIFS('9'!$E:$E,'9'!$A:$A,Año_Inicial+8,'9'!$B:$B,'12'!BL$4,'9'!$D:$D,"Material de enmienda")</f>
        <v>0</v>
      </c>
      <c r="BN20" s="101">
        <f>((A9_A_L31*Enmiendas_A)+(A9_B_L31*Enmiendas_B)+(A9_C_L31*Enmiendas_C)+(A9_D_L31*Enmiendas_D)+(A9_Y_L31*Enmiendas_Y))*Inflación_9</f>
        <v>0</v>
      </c>
      <c r="BO20" s="101">
        <f>SUMIFS('9'!$E:$E,'9'!$A:$A,Año_Inicial+8,'9'!$B:$B,'12'!BN$4,'9'!$D:$D,"Material de enmienda")</f>
        <v>0</v>
      </c>
      <c r="BP20" s="101">
        <f>((A9_A_L32*Enmiendas_A)+(A9_B_L32*Enmiendas_B)+(A9_C_L32*Enmiendas_C)+(A9_D_L32*Enmiendas_D)+(A9_Y_L32*Enmiendas_Y))*Inflación_9</f>
        <v>0</v>
      </c>
      <c r="BQ20" s="101">
        <f>SUMIFS('9'!$E:$E,'9'!$A:$A,Año_Inicial+8,'9'!$B:$B,'12'!BP$4,'9'!$D:$D,"Material de enmienda")</f>
        <v>0</v>
      </c>
      <c r="BR20" s="101">
        <f>((A9_A_L33*Enmiendas_A)+(A9_B_L33*Enmiendas_B)+(A9_C_L33*Enmiendas_C)+(A9_D_L33*Enmiendas_D)+(A9_Y_L33*Enmiendas_Y))*Inflación_9</f>
        <v>0</v>
      </c>
      <c r="BS20" s="101">
        <f>SUMIFS('9'!$E:$E,'9'!$A:$A,Año_Inicial+8,'9'!$B:$B,'12'!BR$4,'9'!$D:$D,"Material de enmienda")</f>
        <v>0</v>
      </c>
      <c r="BT20" s="101">
        <f>((A9_A_L34*Enmiendas_A)+(A9_B_L34*Enmiendas_B)+(A9_C_L34*Enmiendas_C)+(A9_D_L34*Enmiendas_D)+(A9_Y_L34*Enmiendas_Y))*Inflación_9</f>
        <v>0</v>
      </c>
      <c r="BU20" s="101">
        <f>SUMIFS('9'!$E:$E,'9'!$A:$A,Año_Inicial+8,'9'!$B:$B,'12'!BT$4,'9'!$D:$D,"Material de enmienda")</f>
        <v>0</v>
      </c>
      <c r="BV20" s="101">
        <f>((A9_A_L35*Enmiendas_A)+(A9_B_L35*Enmiendas_B)+(A9_C_L35*Enmiendas_C)+(A9_D_L35*Enmiendas_D)+(A9_Y_L35*Enmiendas_Y))*Inflación_9</f>
        <v>0</v>
      </c>
      <c r="BW20" s="101">
        <f>SUMIFS('9'!$E:$E,'9'!$A:$A,Año_Inicial+8,'9'!$B:$B,'12'!BV$4,'9'!$D:$D,"Material de enmienda")</f>
        <v>0</v>
      </c>
      <c r="BX20" s="101">
        <f>((A9_A_L36*Enmiendas_A)+(A9_B_L36*Enmiendas_B)+(A9_C_L36*Enmiendas_C)+(A9_D_L36*Enmiendas_D)+(A9_Y_L36*Enmiendas_Y))*Inflación_9</f>
        <v>0</v>
      </c>
      <c r="BY20" s="101">
        <f>SUMIFS('9'!$E:$E,'9'!$A:$A,Año_Inicial+8,'9'!$B:$B,'12'!BX$4,'9'!$D:$D,"Material de enmienda")</f>
        <v>0</v>
      </c>
      <c r="BZ20" s="101">
        <f>((A9_A_L37*Enmiendas_A)+(A9_B_L37*Enmiendas_B)+(A9_C_L37*Enmiendas_C)+(A9_D_L37*Enmiendas_D)+(A9_Y_L37*Enmiendas_Y))*Inflación_9</f>
        <v>0</v>
      </c>
      <c r="CA20" s="101">
        <f>SUMIFS('9'!$E:$E,'9'!$A:$A,Año_Inicial+8,'9'!$B:$B,'12'!BZ$4,'9'!$D:$D,"Material de enmienda")</f>
        <v>0</v>
      </c>
      <c r="CB20" s="101">
        <f>((A9_A_L38*Enmiendas_A)+(A9_B_L38*Enmiendas_B)+(A9_C_L38*Enmiendas_C)+(A9_D_L38*Enmiendas_D)+(A9_Y_L38*Enmiendas_Y))*Inflación_9</f>
        <v>0</v>
      </c>
      <c r="CC20" s="101">
        <f>SUMIFS('9'!$E:$E,'9'!$A:$A,Año_Inicial+8,'9'!$B:$B,'12'!CB$4,'9'!$D:$D,"Material de enmienda")</f>
        <v>0</v>
      </c>
      <c r="CD20" s="101">
        <f>((A9_A_L39*Enmiendas_A)+(A9_B_L39*Enmiendas_B)+(A9_C_L39*Enmiendas_C)+(A9_D_L39*Enmiendas_D)+(A9_Y_L39*Enmiendas_Y))*Inflación_9</f>
        <v>0</v>
      </c>
      <c r="CE20" s="101">
        <f>SUMIFS('9'!$E:$E,'9'!$A:$A,Año_Inicial+8,'9'!$B:$B,'12'!CD$4,'9'!$D:$D,"Material de enmienda")</f>
        <v>0</v>
      </c>
      <c r="CF20" s="101">
        <f>((A9_A_L40*Enmiendas_A)+(A9_B_L40*Enmiendas_B)+(A9_C_L40*Enmiendas_C)+(A9_D_L40*Enmiendas_D)+(A9_Y_L40*Enmiendas_Y))*Inflación_9</f>
        <v>0</v>
      </c>
      <c r="CG20" s="101">
        <f>SUMIFS('9'!$E:$E,'9'!$A:$A,Año_Inicial+8,'9'!$B:$B,'12'!CF$4,'9'!$D:$D,"Material de enmienda")</f>
        <v>0</v>
      </c>
      <c r="CH20" s="473"/>
      <c r="CI20" s="101">
        <f>Plantas_A_A9*Enmiendas_A*Inflación_9</f>
        <v>0</v>
      </c>
      <c r="CJ20" s="101">
        <f>Plantas_B_A9*Enmiendas_B</f>
        <v>0</v>
      </c>
      <c r="CK20" s="101">
        <f>Plantas_C_A9*Enmiendas_C</f>
        <v>0</v>
      </c>
      <c r="CL20" s="101">
        <f>Plantas_D_A9*Enmiendas_D</f>
        <v>0</v>
      </c>
      <c r="CM20" s="101"/>
      <c r="CN20" s="101">
        <f>Plantas_Y_A9*Enmiendas_Y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SUMIFS('9'!$E:$E,'9'!$A:$A,Año_Inicial+8,'9'!$D:$D,"Aplicación de herbicida")</f>
        <v>0</v>
      </c>
      <c r="D22" s="100">
        <f t="shared" si="45"/>
        <v>0</v>
      </c>
      <c r="E22" s="473"/>
      <c r="F22" s="101">
        <f>((A9_A_L1*Malezas_A)+(A9_B_L1*Malezas_B)+(A9_C_L1*Malezas_C)+(A9_D_L1*Malezas_D)+(A9_Y_L1*Malezas_Y))*Inflación_9</f>
        <v>0</v>
      </c>
      <c r="G22" s="101">
        <f>SUMIFS('9'!$E:$E,'9'!$A:$A,Año_Inicial+8,'9'!$B:$B,'12'!F$4,'9'!$D:$D,"Aplicación de herbicida")</f>
        <v>0</v>
      </c>
      <c r="H22" s="101">
        <f>((A9_A_L2*Malezas_A)+(A9_B_L2*Malezas_B)+(A9_C_L2*Malezas_C)+(A9_D_L2*Malezas_D)+(A9_Y_L2*Malezas_Y))*Inflación_9</f>
        <v>0</v>
      </c>
      <c r="I22" s="101">
        <f>SUMIFS('9'!$E:$E,'9'!$A:$A,Año_Inicial+8,'9'!$B:$B,'12'!H$4,'9'!$D:$D,"Aplicación de herbicida")</f>
        <v>0</v>
      </c>
      <c r="J22" s="101">
        <f>((A9_A_L3*Malezas_A)+(A9_B_L3*Malezas_B)+(A9_C_L3*Malezas_C)+(A9_D_L3*Malezas_D)+(A9_Y_L3*Malezas_Y))*Inflación_9</f>
        <v>0</v>
      </c>
      <c r="K22" s="101">
        <f>SUMIFS('9'!$E:$E,'9'!$A:$A,Año_Inicial+8,'9'!$B:$B,'12'!J$4,'9'!$D:$D,"Aplicación de herbicida")</f>
        <v>0</v>
      </c>
      <c r="L22" s="101">
        <f>((A9_A_L4*Malezas_A)+(A9_B_L4*Malezas_B)+(A9_C_L4*Malezas_C)+(A9_D_L4*Malezas_D)+(A9_Y_L4*Malezas_Y))*Inflación_9</f>
        <v>0</v>
      </c>
      <c r="M22" s="101">
        <f>SUMIFS('9'!$E:$E,'9'!$A:$A,Año_Inicial+8,'9'!$B:$B,'12'!L$4,'9'!$D:$D,"Aplicación de herbicida")</f>
        <v>0</v>
      </c>
      <c r="N22" s="101">
        <f>((A9_A_L5*Malezas_A)+(A9_B_L5*Malezas_B)+(A9_C_L5*Malezas_C)+(A9_D_L5*Malezas_D)+(A9_Y_L5*Malezas_Y))*Inflación_9</f>
        <v>0</v>
      </c>
      <c r="O22" s="101">
        <f>SUMIFS('9'!$E:$E,'9'!$A:$A,Año_Inicial+8,'9'!$B:$B,'12'!N$4,'9'!$D:$D,"Aplicación de herbicida")</f>
        <v>0</v>
      </c>
      <c r="P22" s="101">
        <f>((A9_A_L6*Malezas_A)+(A9_B_L6*Malezas_B)+(A9_C_L6*Malezas_C)+(A9_D_L6*Malezas_D)+(A9_Y_L6*Malezas_Y))*Inflación_9</f>
        <v>0</v>
      </c>
      <c r="Q22" s="101">
        <f>SUMIFS('9'!$E:$E,'9'!$A:$A,Año_Inicial+8,'9'!$B:$B,'12'!P$4,'9'!$D:$D,"Aplicación de herbicida")</f>
        <v>0</v>
      </c>
      <c r="R22" s="101">
        <f>((A9_A_L7*Malezas_A)+(A9_B_L7*Malezas_B)+(A9_C_L7*Malezas_C)+(A9_D_L7*Malezas_D)+(A9_Y_L7*Malezas_Y))*Inflación_9</f>
        <v>0</v>
      </c>
      <c r="S22" s="101">
        <f>SUMIFS('9'!$E:$E,'9'!$A:$A,Año_Inicial+8,'9'!$B:$B,'12'!R$4,'9'!$D:$D,"Aplicación de herbicida")</f>
        <v>0</v>
      </c>
      <c r="T22" s="101">
        <f>((A9_A_L8*Malezas_A)+(A9_B_L8*Malezas_B)+(A9_C_L8*Malezas_C)+(A9_D_L8*Malezas_D)+(A9_Y_L8*Malezas_Y))*Inflación_9</f>
        <v>0</v>
      </c>
      <c r="U22" s="101">
        <f>SUMIFS('9'!$E:$E,'9'!$A:$A,Año_Inicial+8,'9'!$B:$B,'12'!T$4,'9'!$D:$D,"Aplicación de herbicida")</f>
        <v>0</v>
      </c>
      <c r="V22" s="101">
        <f>((A9_A_L9*Malezas_A)+(A9_B_L9*Malezas_B)+(A9_C_L9*Malezas_C)+(A9_D_L9*Malezas_D)+(A9_Y_L9*Malezas_Y))*Inflación_9</f>
        <v>0</v>
      </c>
      <c r="W22" s="101">
        <f>SUMIFS('9'!$E:$E,'9'!$A:$A,Año_Inicial+8,'9'!$B:$B,'12'!V$4,'9'!$D:$D,"Aplicación de herbicida")</f>
        <v>0</v>
      </c>
      <c r="X22" s="101">
        <f>((A9_A_L10*Malezas_A)+(A9_B_L10*Malezas_B)+(A9_C_L10*Malezas_C)+(A9_D_L10*Malezas_D)+(A9_Y_L10*Malezas_Y))*Inflación_9</f>
        <v>0</v>
      </c>
      <c r="Y22" s="101">
        <f>SUMIFS('9'!$E:$E,'9'!$A:$A,Año_Inicial+8,'9'!$B:$B,'12'!X$4,'9'!$D:$D,"Aplicación de herbicida")</f>
        <v>0</v>
      </c>
      <c r="Z22" s="101">
        <f>((A9_A_L11*Malezas_A)+(A9_B_L11*Malezas_B)+(A9_C_L11*Malezas_C)+(A9_D_L11*Malezas_D)+(A9_Y_L11*Malezas_Y))*Inflación_9</f>
        <v>0</v>
      </c>
      <c r="AA22" s="101">
        <f>SUMIFS('9'!$E:$E,'9'!$A:$A,Año_Inicial+8,'9'!$B:$B,'12'!Z$4,'9'!$D:$D,"Aplicación de herbicida")</f>
        <v>0</v>
      </c>
      <c r="AB22" s="101">
        <f>((A9_A_L12*Malezas_A)+(A9_B_L12*Malezas_B)+(A9_C_L12*Malezas_C)+(A9_D_L12*Malezas_D)+(A9_Y_L12*Malezas_Y))*Inflación_9</f>
        <v>0</v>
      </c>
      <c r="AC22" s="101">
        <f>SUMIFS('9'!$E:$E,'9'!$A:$A,Año_Inicial+8,'9'!$B:$B,'12'!AB$4,'9'!$D:$D,"Aplicación de herbicida")</f>
        <v>0</v>
      </c>
      <c r="AD22" s="101">
        <f>((A9_A_L13*Malezas_A)+(A9_B_L13*Malezas_B)+(A9_C_L13*Malezas_C)+(A9_D_L13*Malezas_D)+(A9_Y_L13*Malezas_Y))*Inflación_9</f>
        <v>0</v>
      </c>
      <c r="AE22" s="101">
        <f>SUMIFS('9'!$E:$E,'9'!$A:$A,Año_Inicial+8,'9'!$B:$B,'12'!AD$4,'9'!$D:$D,"Aplicación de herbicida")</f>
        <v>0</v>
      </c>
      <c r="AF22" s="101">
        <f>((A9_A_L14*Malezas_A)+(A9_B_L14*Malezas_B)+(A9_C_L14*Malezas_C)+(A9_D_L14*Malezas_D)+(A9_Y_L14*Malezas_Y))*Inflación_9</f>
        <v>0</v>
      </c>
      <c r="AG22" s="101">
        <f>SUMIFS('9'!$E:$E,'9'!$A:$A,Año_Inicial+8,'9'!$B:$B,'12'!AF$4,'9'!$D:$D,"Aplicación de herbicida")</f>
        <v>0</v>
      </c>
      <c r="AH22" s="101">
        <f>((A9_A_L15*Malezas_A)+(A9_B_L15*Malezas_B)+(A9_C_L15*Malezas_C)+(A9_D_L15*Malezas_D)+(A9_Y_L15*Malezas_Y))*Inflación_9</f>
        <v>0</v>
      </c>
      <c r="AI22" s="101">
        <f>SUMIFS('9'!$E:$E,'9'!$A:$A,Año_Inicial+8,'9'!$B:$B,'12'!AH$4,'9'!$D:$D,"Aplicación de herbicida")</f>
        <v>0</v>
      </c>
      <c r="AJ22" s="101">
        <f>((A9_A_L16*Malezas_A)+(A9_B_L16*Malezas_B)+(A9_C_L16*Malezas_C)+(A9_D_L16*Malezas_D)+(A9_Y_L16*Malezas_Y))*Inflación_9</f>
        <v>0</v>
      </c>
      <c r="AK22" s="101">
        <f>SUMIFS('9'!$E:$E,'9'!$A:$A,Año_Inicial+8,'9'!$B:$B,'12'!AJ$4,'9'!$D:$D,"Aplicación de herbicida")</f>
        <v>0</v>
      </c>
      <c r="AL22" s="101">
        <f>((A9_A_L17*Malezas_A)+(A9_B_L17*Malezas_B)+(A9_C_L17*Malezas_C)+(A9_D_L17*Malezas_D)+(A9_Y_L17*Malezas_Y))*Inflación_9</f>
        <v>0</v>
      </c>
      <c r="AM22" s="101">
        <f>SUMIFS('9'!$E:$E,'9'!$A:$A,Año_Inicial+8,'9'!$B:$B,'12'!AL$4,'9'!$D:$D,"Aplicación de herbicida")</f>
        <v>0</v>
      </c>
      <c r="AN22" s="101">
        <f>((A9_A_L18*Malezas_A)+(A9_B_L18*Malezas_B)+(A9_C_L18*Malezas_C)+(A9_D_L18*Malezas_D)+(A9_Y_L18*Malezas_Y))*Inflación_9</f>
        <v>0</v>
      </c>
      <c r="AO22" s="101">
        <f>SUMIFS('9'!$E:$E,'9'!$A:$A,Año_Inicial+8,'9'!$B:$B,'12'!AN$4,'9'!$D:$D,"Aplicación de herbicida")</f>
        <v>0</v>
      </c>
      <c r="AP22" s="101">
        <f>((A9_A_L19*Malezas_A)+(A9_B_L19*Malezas_B)+(A9_C_L19*Malezas_C)+(A9_D_L19*Malezas_D)+(A9_Y_L19*Malezas_Y))*Inflación_9</f>
        <v>0</v>
      </c>
      <c r="AQ22" s="101">
        <f>SUMIFS('9'!$E:$E,'9'!$A:$A,Año_Inicial+8,'9'!$B:$B,'12'!AP$4,'9'!$D:$D,"Aplicación de herbicida")</f>
        <v>0</v>
      </c>
      <c r="AR22" s="101">
        <f>((A9_A_L20*Malezas_A)+(A9_B_L20*Malezas_B)+(A9_C_L20*Malezas_C)+(A9_D_L20*Malezas_D)+(A9_Y_L20*Malezas_Y))*Inflación_9</f>
        <v>0</v>
      </c>
      <c r="AS22" s="101">
        <f>SUMIFS('9'!$E:$E,'9'!$A:$A,Año_Inicial+8,'9'!$B:$B,'12'!AR$4,'9'!$D:$D,"Aplicación de herbicida")</f>
        <v>0</v>
      </c>
      <c r="AT22" s="101">
        <f>((A9_A_L21*Malezas_A)+(A9_B_L21*Malezas_B)+(A9_C_L21*Malezas_C)+(A9_D_L21*Malezas_D)+(A9_Y_L21*Malezas_Y))*Inflación_9</f>
        <v>0</v>
      </c>
      <c r="AU22" s="101">
        <f>SUMIFS('9'!$E:$E,'9'!$A:$A,Año_Inicial+8,'9'!$B:$B,'12'!AT$4,'9'!$D:$D,"Aplicación de herbicida")</f>
        <v>0</v>
      </c>
      <c r="AV22" s="101">
        <f>((A9_A_L22*Malezas_A)+(A9_B_L22*Malezas_B)+(A9_C_L22*Malezas_C)+(A9_D_L22*Malezas_D)+(A9_Y_L22*Malezas_Y))*Inflación_9</f>
        <v>0</v>
      </c>
      <c r="AW22" s="101">
        <f>SUMIFS('9'!$E:$E,'9'!$A:$A,Año_Inicial+8,'9'!$B:$B,'12'!AV$4,'9'!$D:$D,"Aplicación de herbicida")</f>
        <v>0</v>
      </c>
      <c r="AX22" s="101">
        <f>((A9_A_L23*Malezas_A)+(A9_B_L23*Malezas_B)+(A9_C_L23*Malezas_C)+(A9_D_L23*Malezas_D)+(A9_Y_L23*Malezas_Y))*Inflación_9</f>
        <v>0</v>
      </c>
      <c r="AY22" s="101">
        <f>SUMIFS('9'!$E:$E,'9'!$A:$A,Año_Inicial+8,'9'!$B:$B,'12'!AX$4,'9'!$D:$D,"Aplicación de herbicida")</f>
        <v>0</v>
      </c>
      <c r="AZ22" s="101">
        <f>((A9_A_L24*Malezas_A)+(A9_B_L24*Malezas_B)+(A9_C_L24*Malezas_C)+(A9_D_L24*Malezas_D)+(A9_Y_L24*Malezas_Y))*Inflación_9</f>
        <v>0</v>
      </c>
      <c r="BA22" s="101">
        <f>SUMIFS('9'!$E:$E,'9'!$A:$A,Año_Inicial+8,'9'!$B:$B,'12'!AZ$4,'9'!$D:$D,"Aplicación de herbicida")</f>
        <v>0</v>
      </c>
      <c r="BB22" s="101">
        <f>((A9_A_L25*Malezas_A)+(A9_B_L25*Malezas_B)+(A9_C_L25*Malezas_C)+(A9_D_L25*Malezas_D)+(A9_Y_L25*Malezas_Y))*Inflación_9</f>
        <v>0</v>
      </c>
      <c r="BC22" s="101">
        <f>SUMIFS('9'!$E:$E,'9'!$A:$A,Año_Inicial+8,'9'!$B:$B,'12'!BB$4,'9'!$D:$D,"Aplicación de herbicida")</f>
        <v>0</v>
      </c>
      <c r="BD22" s="101">
        <f>((A9_A_L26*Malezas_A)+(A9_B_L26*Malezas_B)+(A9_C_L26*Malezas_C)+(A9_D_L26*Malezas_D)+(A9_Y_L26*Malezas_Y))*Inflación_9</f>
        <v>0</v>
      </c>
      <c r="BE22" s="101">
        <f>SUMIFS('9'!$E:$E,'9'!$A:$A,Año_Inicial+8,'9'!$B:$B,'12'!BD$4,'9'!$D:$D,"Aplicación de herbicida")</f>
        <v>0</v>
      </c>
      <c r="BF22" s="101">
        <f>((A9_A_L27*Malezas_A)+(A9_B_L27*Malezas_B)+(A9_C_L27*Malezas_C)+(A9_D_L27*Malezas_D)+(A9_Y_L27*Malezas_Y))*Inflación_9</f>
        <v>0</v>
      </c>
      <c r="BG22" s="101">
        <f>SUMIFS('9'!$E:$E,'9'!$A:$A,Año_Inicial+8,'9'!$B:$B,'12'!BF$4,'9'!$D:$D,"Aplicación de herbicida")</f>
        <v>0</v>
      </c>
      <c r="BH22" s="101">
        <f>((A9_A_L28*Malezas_A)+(A9_B_L28*Malezas_B)+(A9_C_L28*Malezas_C)+(A9_D_L28*Malezas_D)+(A9_Y_L28*Malezas_Y))*Inflación_9</f>
        <v>0</v>
      </c>
      <c r="BI22" s="101">
        <f>SUMIFS('9'!$E:$E,'9'!$A:$A,Año_Inicial+8,'9'!$B:$B,'12'!BH$4,'9'!$D:$D,"Aplicación de herbicida")</f>
        <v>0</v>
      </c>
      <c r="BJ22" s="101">
        <f>((A9_A_L29*Malezas_A)+(A9_B_L29*Malezas_B)+(A9_C_L29*Malezas_C)+(A9_D_L29*Malezas_D)+(A9_Y_L29*Malezas_Y))*Inflación_9</f>
        <v>0</v>
      </c>
      <c r="BK22" s="101">
        <f>SUMIFS('9'!$E:$E,'9'!$A:$A,Año_Inicial+8,'9'!$B:$B,'12'!BJ$4,'9'!$D:$D,"Aplicación de herbicida")</f>
        <v>0</v>
      </c>
      <c r="BL22" s="101">
        <f>((A9_A_L30*Malezas_A)+(A9_B_L30*Malezas_B)+(A9_C_L30*Malezas_C)+(A9_D_L30*Malezas_D)+(A9_Y_L30*Malezas_Y))*Inflación_9</f>
        <v>0</v>
      </c>
      <c r="BM22" s="101">
        <f>SUMIFS('9'!$E:$E,'9'!$A:$A,Año_Inicial+8,'9'!$B:$B,'12'!BL$4,'9'!$D:$D,"Aplicación de herbicida")</f>
        <v>0</v>
      </c>
      <c r="BN22" s="101">
        <f>((A9_A_L31*Malezas_A)+(A9_B_L31*Malezas_B)+(A9_C_L31*Malezas_C)+(A9_D_L31*Malezas_D)+(A9_Y_L31*Malezas_Y))*Inflación_9</f>
        <v>0</v>
      </c>
      <c r="BO22" s="101">
        <f>SUMIFS('9'!$E:$E,'9'!$A:$A,Año_Inicial+8,'9'!$B:$B,'12'!BN$4,'9'!$D:$D,"Aplicación de herbicida")</f>
        <v>0</v>
      </c>
      <c r="BP22" s="101">
        <f>((A9_A_L32*Malezas_A)+(A9_B_L32*Malezas_B)+(A9_C_L32*Malezas_C)+(A9_D_L32*Malezas_D)+(A9_Y_L32*Malezas_Y))*Inflación_9</f>
        <v>0</v>
      </c>
      <c r="BQ22" s="101">
        <f>SUMIFS('9'!$E:$E,'9'!$A:$A,Año_Inicial+8,'9'!$B:$B,'12'!BP$4,'9'!$D:$D,"Aplicación de herbicida")</f>
        <v>0</v>
      </c>
      <c r="BR22" s="101">
        <f>((A9_A_L33*Malezas_A)+(A9_B_L33*Malezas_B)+(A9_C_L33*Malezas_C)+(A9_D_L33*Malezas_D)+(A9_Y_L33*Malezas_Y))*Inflación_9</f>
        <v>0</v>
      </c>
      <c r="BS22" s="101">
        <f>SUMIFS('9'!$E:$E,'9'!$A:$A,Año_Inicial+8,'9'!$B:$B,'12'!BR$4,'9'!$D:$D,"Aplicación de herbicida")</f>
        <v>0</v>
      </c>
      <c r="BT22" s="101">
        <f>((A9_A_L34*Malezas_A)+(A9_B_L34*Malezas_B)+(A9_C_L34*Malezas_C)+(A9_D_L34*Malezas_D)+(A9_Y_L34*Malezas_Y))*Inflación_9</f>
        <v>0</v>
      </c>
      <c r="BU22" s="101">
        <f>SUMIFS('9'!$E:$E,'9'!$A:$A,Año_Inicial+8,'9'!$B:$B,'12'!BT$4,'9'!$D:$D,"Aplicación de herbicida")</f>
        <v>0</v>
      </c>
      <c r="BV22" s="101">
        <f>((A9_A_L35*Malezas_A)+(A9_B_L35*Malezas_B)+(A9_C_L35*Malezas_C)+(A9_D_L35*Malezas_D)+(A9_Y_L35*Malezas_Y))*Inflación_9</f>
        <v>0</v>
      </c>
      <c r="BW22" s="101">
        <f>SUMIFS('9'!$E:$E,'9'!$A:$A,Año_Inicial+8,'9'!$B:$B,'12'!BV$4,'9'!$D:$D,"Aplicación de herbicida")</f>
        <v>0</v>
      </c>
      <c r="BX22" s="101">
        <f>((A9_A_L36*Malezas_A)+(A9_B_L36*Malezas_B)+(A9_C_L36*Malezas_C)+(A9_D_L36*Malezas_D)+(A9_Y_L36*Malezas_Y))*Inflación_9</f>
        <v>0</v>
      </c>
      <c r="BY22" s="101">
        <f>SUMIFS('9'!$E:$E,'9'!$A:$A,Año_Inicial+8,'9'!$B:$B,'12'!BX$4,'9'!$D:$D,"Aplicación de herbicida")</f>
        <v>0</v>
      </c>
      <c r="BZ22" s="101">
        <f>((A9_A_L37*Malezas_A)+(A9_B_L37*Malezas_B)+(A9_C_L37*Malezas_C)+(A9_D_L37*Malezas_D)+(A9_Y_L37*Malezas_Y))*Inflación_9</f>
        <v>0</v>
      </c>
      <c r="CA22" s="101">
        <f>SUMIFS('9'!$E:$E,'9'!$A:$A,Año_Inicial+8,'9'!$B:$B,'12'!BZ$4,'9'!$D:$D,"Aplicación de herbicida")</f>
        <v>0</v>
      </c>
      <c r="CB22" s="101">
        <f>((A9_A_L38*Malezas_A)+(A9_B_L38*Malezas_B)+(A9_C_L38*Malezas_C)+(A9_D_L38*Malezas_D)+(A9_Y_L38*Malezas_Y))*Inflación_9</f>
        <v>0</v>
      </c>
      <c r="CC22" s="101">
        <f>SUMIFS('9'!$E:$E,'9'!$A:$A,Año_Inicial+8,'9'!$B:$B,'12'!CB$4,'9'!$D:$D,"Aplicación de herbicida")</f>
        <v>0</v>
      </c>
      <c r="CD22" s="101">
        <f>((A9_A_L39*Malezas_A)+(A9_B_L39*Malezas_B)+(A9_C_L39*Malezas_C)+(A9_D_L39*Malezas_D)+(A9_Y_L39*Malezas_Y))*Inflación_9</f>
        <v>0</v>
      </c>
      <c r="CE22" s="101">
        <f>SUMIFS('9'!$E:$E,'9'!$A:$A,Año_Inicial+8,'9'!$B:$B,'12'!CD$4,'9'!$D:$D,"Aplicación de herbicida")</f>
        <v>0</v>
      </c>
      <c r="CF22" s="101">
        <f>((A9_A_L40*Malezas_A)+(A9_B_L40*Malezas_B)+(A9_C_L40*Malezas_C)+(A9_D_L40*Malezas_D)+(A9_Y_L40*Malezas_Y))*Inflación_9</f>
        <v>0</v>
      </c>
      <c r="CG22" s="101">
        <f>SUMIFS('9'!$E:$E,'9'!$A:$A,Año_Inicial+8,'9'!$B:$B,'12'!CF$4,'9'!$D:$D,"Aplicación de herbicida")</f>
        <v>0</v>
      </c>
      <c r="CH22" s="473"/>
      <c r="CI22" s="101">
        <f>Plantas_A_A9*Malezas_A*Inflación_9</f>
        <v>0</v>
      </c>
      <c r="CJ22" s="101">
        <f>Plantas_B_A9*Malezas_B</f>
        <v>0</v>
      </c>
      <c r="CK22" s="101">
        <f>Plantas_C_A9*Malezas_C</f>
        <v>0</v>
      </c>
      <c r="CL22" s="101">
        <f>Plantas_D_A9*Malezas_D</f>
        <v>0</v>
      </c>
      <c r="CM22" s="101"/>
      <c r="CN22" s="101">
        <f>Plantas_Y_A9*Malezas_Y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SUMIFS('9'!$E:$E,'9'!$A:$A,Año_Inicial+8,'9'!$D:$D,"Limpias manuales")</f>
        <v>0</v>
      </c>
      <c r="D23" s="100">
        <f t="shared" si="45"/>
        <v>0</v>
      </c>
      <c r="E23" s="473"/>
      <c r="F23" s="101">
        <f>((A9_A_L1*Limpias_A)+(A9_B_L1*Limpias_B)+(A9_C_L1*Limpias_C)+(A9_D_L1*Limpias_D)+(A9_Y_L1*Limpias_Y))*Inflación_9</f>
        <v>0</v>
      </c>
      <c r="G23" s="101">
        <f>SUMIFS('9'!$E:$E,'9'!$A:$A,Año_Inicial+8,'9'!$B:$B,'12'!F$4,'9'!$D:$D,"Limpias manuales")</f>
        <v>0</v>
      </c>
      <c r="H23" s="101">
        <f>((A9_A_L2*Limpias_A)+(A9_B_L2*Limpias_B)+(A9_C_L2*Limpias_C)+(A9_D_L2*Limpias_D)+(A9_Y_L2*Limpias_Y))*Inflación_9</f>
        <v>0</v>
      </c>
      <c r="I23" s="101">
        <f>SUMIFS('9'!$E:$E,'9'!$A:$A,Año_Inicial+8,'9'!$B:$B,'12'!H$4,'9'!$D:$D,"Limpias manuales")</f>
        <v>0</v>
      </c>
      <c r="J23" s="101">
        <f>((A9_A_L3*Limpias_A)+(A9_B_L3*Limpias_B)+(A9_C_L3*Limpias_C)+(A9_D_L3*Limpias_D)+(A9_Y_L3*Limpias_Y))*Inflación_9</f>
        <v>0</v>
      </c>
      <c r="K23" s="101">
        <f>SUMIFS('9'!$E:$E,'9'!$A:$A,Año_Inicial+8,'9'!$B:$B,'12'!J$4,'9'!$D:$D,"Limpias manuales")</f>
        <v>0</v>
      </c>
      <c r="L23" s="101">
        <f>((A9_A_L4*Limpias_A)+(A9_B_L4*Limpias_B)+(A9_C_L4*Limpias_C)+(A9_D_L4*Limpias_D)+(A9_Y_L4*Limpias_Y))*Inflación_9</f>
        <v>0</v>
      </c>
      <c r="M23" s="101">
        <f>SUMIFS('9'!$E:$E,'9'!$A:$A,Año_Inicial+8,'9'!$B:$B,'12'!L$4,'9'!$D:$D,"Limpias manuales")</f>
        <v>0</v>
      </c>
      <c r="N23" s="101">
        <f>((A9_A_L5*Limpias_A)+(A9_B_L5*Limpias_B)+(A9_C_L5*Limpias_C)+(A9_D_L5*Limpias_D)+(A9_Y_L5*Limpias_Y))*Inflación_9</f>
        <v>0</v>
      </c>
      <c r="O23" s="101">
        <f>SUMIFS('9'!$E:$E,'9'!$A:$A,Año_Inicial+8,'9'!$B:$B,'12'!N$4,'9'!$D:$D,"Limpias manuales")</f>
        <v>0</v>
      </c>
      <c r="P23" s="101">
        <f>((A9_A_L6*Limpias_A)+(A9_B_L6*Limpias_B)+(A9_C_L6*Limpias_C)+(A9_D_L6*Limpias_D)+(A9_Y_L6*Limpias_Y))*Inflación_9</f>
        <v>0</v>
      </c>
      <c r="Q23" s="101">
        <f>SUMIFS('9'!$E:$E,'9'!$A:$A,Año_Inicial+8,'9'!$B:$B,'12'!P$4,'9'!$D:$D,"Limpias manuales")</f>
        <v>0</v>
      </c>
      <c r="R23" s="101">
        <f>((A9_A_L7*Limpias_A)+(A9_B_L7*Limpias_B)+(A9_C_L7*Limpias_C)+(A9_D_L7*Limpias_D)+(A9_Y_L7*Limpias_Y))*Inflación_9</f>
        <v>0</v>
      </c>
      <c r="S23" s="101">
        <f>SUMIFS('9'!$E:$E,'9'!$A:$A,Año_Inicial+8,'9'!$B:$B,'12'!R$4,'9'!$D:$D,"Limpias manuales")</f>
        <v>0</v>
      </c>
      <c r="T23" s="101">
        <f>((A9_A_L8*Limpias_A)+(A9_B_L8*Limpias_B)+(A9_C_L8*Limpias_C)+(A9_D_L8*Limpias_D)+(A9_Y_L8*Limpias_Y))*Inflación_9</f>
        <v>0</v>
      </c>
      <c r="U23" s="101">
        <f>SUMIFS('9'!$E:$E,'9'!$A:$A,Año_Inicial+8,'9'!$B:$B,'12'!T$4,'9'!$D:$D,"Limpias manuales")</f>
        <v>0</v>
      </c>
      <c r="V23" s="101">
        <f>((A9_A_L9*Limpias_A)+(A9_B_L9*Limpias_B)+(A9_C_L9*Limpias_C)+(A9_D_L9*Limpias_D)+(A9_Y_L9*Limpias_Y))*Inflación_9</f>
        <v>0</v>
      </c>
      <c r="W23" s="101">
        <f>SUMIFS('9'!$E:$E,'9'!$A:$A,Año_Inicial+8,'9'!$B:$B,'12'!V$4,'9'!$D:$D,"Limpias manuales")</f>
        <v>0</v>
      </c>
      <c r="X23" s="101">
        <f>((A9_A_L10*Limpias_A)+(A9_B_L10*Limpias_B)+(A9_C_L10*Limpias_C)+(A9_D_L10*Limpias_D)+(A9_Y_L10*Limpias_Y))*Inflación_9</f>
        <v>0</v>
      </c>
      <c r="Y23" s="101">
        <f>SUMIFS('9'!$E:$E,'9'!$A:$A,Año_Inicial+8,'9'!$B:$B,'12'!X$4,'9'!$D:$D,"Limpias manuales")</f>
        <v>0</v>
      </c>
      <c r="Z23" s="101">
        <f>((A9_A_L11*Limpias_A)+(A9_B_L11*Limpias_B)+(A9_C_L11*Limpias_C)+(A9_D_L11*Limpias_D)+(A9_Y_L11*Limpias_Y))*Inflación_9</f>
        <v>0</v>
      </c>
      <c r="AA23" s="101">
        <f>SUMIFS('9'!$E:$E,'9'!$A:$A,Año_Inicial+8,'9'!$B:$B,'12'!Z$4,'9'!$D:$D,"Limpias manuales")</f>
        <v>0</v>
      </c>
      <c r="AB23" s="101">
        <f>((A9_A_L12*Limpias_A)+(A9_B_L12*Limpias_B)+(A9_C_L12*Limpias_C)+(A9_D_L12*Limpias_D)+(A9_Y_L12*Limpias_Y))*Inflación_9</f>
        <v>0</v>
      </c>
      <c r="AC23" s="101">
        <f>SUMIFS('9'!$E:$E,'9'!$A:$A,Año_Inicial+8,'9'!$B:$B,'12'!AB$4,'9'!$D:$D,"Limpias manuales")</f>
        <v>0</v>
      </c>
      <c r="AD23" s="101">
        <f>((A9_A_L13*Limpias_A)+(A9_B_L13*Limpias_B)+(A9_C_L13*Limpias_C)+(A9_D_L13*Limpias_D)+(A9_Y_L13*Limpias_Y))*Inflación_9</f>
        <v>0</v>
      </c>
      <c r="AE23" s="101">
        <f>SUMIFS('9'!$E:$E,'9'!$A:$A,Año_Inicial+8,'9'!$B:$B,'12'!AD$4,'9'!$D:$D,"Limpias manuales")</f>
        <v>0</v>
      </c>
      <c r="AF23" s="101">
        <f>((A9_A_L14*Limpias_A)+(A9_B_L14*Limpias_B)+(A9_C_L14*Limpias_C)+(A9_D_L14*Limpias_D)+(A9_Y_L14*Limpias_Y))*Inflación_9</f>
        <v>0</v>
      </c>
      <c r="AG23" s="101">
        <f>SUMIFS('9'!$E:$E,'9'!$A:$A,Año_Inicial+8,'9'!$B:$B,'12'!AF$4,'9'!$D:$D,"Limpias manuales")</f>
        <v>0</v>
      </c>
      <c r="AH23" s="101">
        <f>((A9_A_L15*Limpias_A)+(A9_B_L15*Limpias_B)+(A9_C_L15*Limpias_C)+(A9_D_L15*Limpias_D)+(A9_Y_L15*Limpias_Y))*Inflación_9</f>
        <v>0</v>
      </c>
      <c r="AI23" s="101">
        <f>SUMIFS('9'!$E:$E,'9'!$A:$A,Año_Inicial+8,'9'!$B:$B,'12'!AH$4,'9'!$D:$D,"Limpias manuales")</f>
        <v>0</v>
      </c>
      <c r="AJ23" s="101">
        <f>((A9_A_L16*Limpias_A)+(A9_B_L16*Limpias_B)+(A9_C_L16*Limpias_C)+(A9_D_L16*Limpias_D)+(A9_Y_L16*Limpias_Y))*Inflación_9</f>
        <v>0</v>
      </c>
      <c r="AK23" s="101">
        <f>SUMIFS('9'!$E:$E,'9'!$A:$A,Año_Inicial+8,'9'!$B:$B,'12'!AJ$4,'9'!$D:$D,"Limpias manuales")</f>
        <v>0</v>
      </c>
      <c r="AL23" s="101">
        <f>((A9_A_L17*Limpias_A)+(A9_B_L17*Limpias_B)+(A9_C_L17*Limpias_C)+(A9_D_L17*Limpias_D)+(A9_Y_L17*Limpias_Y))*Inflación_9</f>
        <v>0</v>
      </c>
      <c r="AM23" s="101">
        <f>SUMIFS('9'!$E:$E,'9'!$A:$A,Año_Inicial+8,'9'!$B:$B,'12'!AL$4,'9'!$D:$D,"Limpias manuales")</f>
        <v>0</v>
      </c>
      <c r="AN23" s="101">
        <f>((A9_A_L18*Limpias_A)+(A9_B_L18*Limpias_B)+(A9_C_L18*Limpias_C)+(A9_D_L18*Limpias_D)+(A9_Y_L18*Limpias_Y))*Inflación_9</f>
        <v>0</v>
      </c>
      <c r="AO23" s="101">
        <f>SUMIFS('9'!$E:$E,'9'!$A:$A,Año_Inicial+8,'9'!$B:$B,'12'!AN$4,'9'!$D:$D,"Limpias manuales")</f>
        <v>0</v>
      </c>
      <c r="AP23" s="101">
        <f>((A9_A_L19*Limpias_A)+(A9_B_L19*Limpias_B)+(A9_C_L19*Limpias_C)+(A9_D_L19*Limpias_D)+(A9_Y_L19*Limpias_Y))*Inflación_9</f>
        <v>0</v>
      </c>
      <c r="AQ23" s="101">
        <f>SUMIFS('9'!$E:$E,'9'!$A:$A,Año_Inicial+8,'9'!$B:$B,'12'!AP$4,'9'!$D:$D,"Limpias manuales")</f>
        <v>0</v>
      </c>
      <c r="AR23" s="101">
        <f>((A9_A_L20*Limpias_A)+(A9_B_L20*Limpias_B)+(A9_C_L20*Limpias_C)+(A9_D_L20*Limpias_D)+(A9_Y_L20*Limpias_Y))*Inflación_9</f>
        <v>0</v>
      </c>
      <c r="AS23" s="101">
        <f>SUMIFS('9'!$E:$E,'9'!$A:$A,Año_Inicial+8,'9'!$B:$B,'12'!AR$4,'9'!$D:$D,"Limpias manuales")</f>
        <v>0</v>
      </c>
      <c r="AT23" s="101">
        <f>((A9_A_L21*Limpias_A)+(A9_B_L21*Limpias_B)+(A9_C_L21*Limpias_C)+(A9_D_L21*Limpias_D)+(A9_Y_L21*Limpias_Y))*Inflación_9</f>
        <v>0</v>
      </c>
      <c r="AU23" s="101">
        <f>SUMIFS('9'!$E:$E,'9'!$A:$A,Año_Inicial+8,'9'!$B:$B,'12'!AT$4,'9'!$D:$D,"Limpias manuales")</f>
        <v>0</v>
      </c>
      <c r="AV23" s="101">
        <f>((A9_A_L22*Limpias_A)+(A9_B_L22*Limpias_B)+(A9_C_L22*Limpias_C)+(A9_D_L22*Limpias_D)+(A9_Y_L22*Limpias_Y))*Inflación_9</f>
        <v>0</v>
      </c>
      <c r="AW23" s="101">
        <f>SUMIFS('9'!$E:$E,'9'!$A:$A,Año_Inicial+8,'9'!$B:$B,'12'!AV$4,'9'!$D:$D,"Limpias manuales")</f>
        <v>0</v>
      </c>
      <c r="AX23" s="101">
        <f>((A9_A_L23*Limpias_A)+(A9_B_L23*Limpias_B)+(A9_C_L23*Limpias_C)+(A9_D_L23*Limpias_D)+(A9_Y_L23*Limpias_Y))*Inflación_9</f>
        <v>0</v>
      </c>
      <c r="AY23" s="101">
        <f>SUMIFS('9'!$E:$E,'9'!$A:$A,Año_Inicial+8,'9'!$B:$B,'12'!AX$4,'9'!$D:$D,"Limpias manuales")</f>
        <v>0</v>
      </c>
      <c r="AZ23" s="101">
        <f>((A9_A_L24*Limpias_A)+(A9_B_L24*Limpias_B)+(A9_C_L24*Limpias_C)+(A9_D_L24*Limpias_D)+(A9_Y_L24*Limpias_Y))*Inflación_9</f>
        <v>0</v>
      </c>
      <c r="BA23" s="101">
        <f>SUMIFS('9'!$E:$E,'9'!$A:$A,Año_Inicial+8,'9'!$B:$B,'12'!AZ$4,'9'!$D:$D,"Limpias manuales")</f>
        <v>0</v>
      </c>
      <c r="BB23" s="101">
        <f>((A9_A_L25*Limpias_A)+(A9_B_L25*Limpias_B)+(A9_C_L25*Limpias_C)+(A9_D_L25*Limpias_D)+(A9_Y_L25*Limpias_Y))*Inflación_9</f>
        <v>0</v>
      </c>
      <c r="BC23" s="101">
        <f>SUMIFS('9'!$E:$E,'9'!$A:$A,Año_Inicial+8,'9'!$B:$B,'12'!BB$4,'9'!$D:$D,"Limpias manuales")</f>
        <v>0</v>
      </c>
      <c r="BD23" s="101">
        <f>((A9_A_L26*Limpias_A)+(A9_B_L26*Limpias_B)+(A9_C_L26*Limpias_C)+(A9_D_L26*Limpias_D)+(A9_Y_L26*Limpias_Y))*Inflación_9</f>
        <v>0</v>
      </c>
      <c r="BE23" s="101">
        <f>SUMIFS('9'!$E:$E,'9'!$A:$A,Año_Inicial+8,'9'!$B:$B,'12'!BD$4,'9'!$D:$D,"Limpias manuales")</f>
        <v>0</v>
      </c>
      <c r="BF23" s="101">
        <f>((A9_A_L27*Limpias_A)+(A9_B_L27*Limpias_B)+(A9_C_L27*Limpias_C)+(A9_D_L27*Limpias_D)+(A9_Y_L27*Limpias_Y))*Inflación_9</f>
        <v>0</v>
      </c>
      <c r="BG23" s="101">
        <f>SUMIFS('9'!$E:$E,'9'!$A:$A,Año_Inicial+8,'9'!$B:$B,'12'!BF$4,'9'!$D:$D,"Limpias manuales")</f>
        <v>0</v>
      </c>
      <c r="BH23" s="101">
        <f>((A9_A_L28*Limpias_A)+(A9_B_L28*Limpias_B)+(A9_C_L28*Limpias_C)+(A9_D_L28*Limpias_D)+(A9_Y_L28*Limpias_Y))*Inflación_9</f>
        <v>0</v>
      </c>
      <c r="BI23" s="101">
        <f>SUMIFS('9'!$E:$E,'9'!$A:$A,Año_Inicial+8,'9'!$B:$B,'12'!BH$4,'9'!$D:$D,"Limpias manuales")</f>
        <v>0</v>
      </c>
      <c r="BJ23" s="101">
        <f>((A9_A_L29*Limpias_A)+(A9_B_L29*Limpias_B)+(A9_C_L29*Limpias_C)+(A9_D_L29*Limpias_D)+(A9_Y_L29*Limpias_Y))*Inflación_9</f>
        <v>0</v>
      </c>
      <c r="BK23" s="101">
        <f>SUMIFS('9'!$E:$E,'9'!$A:$A,Año_Inicial+8,'9'!$B:$B,'12'!BJ$4,'9'!$D:$D,"Limpias manuales")</f>
        <v>0</v>
      </c>
      <c r="BL23" s="101">
        <f>((A9_A_L30*Limpias_A)+(A9_B_L30*Limpias_B)+(A9_C_L30*Limpias_C)+(A9_D_L30*Limpias_D)+(A9_Y_L30*Limpias_Y))*Inflación_9</f>
        <v>0</v>
      </c>
      <c r="BM23" s="101">
        <f>SUMIFS('9'!$E:$E,'9'!$A:$A,Año_Inicial+8,'9'!$B:$B,'12'!BL$4,'9'!$D:$D,"Limpias manuales")</f>
        <v>0</v>
      </c>
      <c r="BN23" s="101">
        <f>((A9_A_L31*Limpias_A)+(A9_B_L31*Limpias_B)+(A9_C_L31*Limpias_C)+(A9_D_L31*Limpias_D)+(A9_Y_L31*Limpias_Y))*Inflación_9</f>
        <v>0</v>
      </c>
      <c r="BO23" s="101">
        <f>SUMIFS('9'!$E:$E,'9'!$A:$A,Año_Inicial+8,'9'!$B:$B,'12'!BN$4,'9'!$D:$D,"Limpias manuales")</f>
        <v>0</v>
      </c>
      <c r="BP23" s="101">
        <f>((A9_A_L32*Limpias_A)+(A9_B_L32*Limpias_B)+(A9_C_L32*Limpias_C)+(A9_D_L32*Limpias_D)+(A9_Y_L32*Limpias_Y))*Inflación_9</f>
        <v>0</v>
      </c>
      <c r="BQ23" s="101">
        <f>SUMIFS('9'!$E:$E,'9'!$A:$A,Año_Inicial+8,'9'!$B:$B,'12'!BP$4,'9'!$D:$D,"Limpias manuales")</f>
        <v>0</v>
      </c>
      <c r="BR23" s="101">
        <f>((A9_A_L33*Limpias_A)+(A9_B_L33*Limpias_B)+(A9_C_L33*Limpias_C)+(A9_D_L33*Limpias_D)+(A9_Y_L33*Limpias_Y))*Inflación_9</f>
        <v>0</v>
      </c>
      <c r="BS23" s="101">
        <f>SUMIFS('9'!$E:$E,'9'!$A:$A,Año_Inicial+8,'9'!$B:$B,'12'!BR$4,'9'!$D:$D,"Limpias manuales")</f>
        <v>0</v>
      </c>
      <c r="BT23" s="101">
        <f>((A9_A_L34*Limpias_A)+(A9_B_L34*Limpias_B)+(A9_C_L34*Limpias_C)+(A9_D_L34*Limpias_D)+(A9_Y_L34*Limpias_Y))*Inflación_9</f>
        <v>0</v>
      </c>
      <c r="BU23" s="101">
        <f>SUMIFS('9'!$E:$E,'9'!$A:$A,Año_Inicial+8,'9'!$B:$B,'12'!BT$4,'9'!$D:$D,"Limpias manuales")</f>
        <v>0</v>
      </c>
      <c r="BV23" s="101">
        <f>((A9_A_L35*Limpias_A)+(A9_B_L35*Limpias_B)+(A9_C_L35*Limpias_C)+(A9_D_L35*Limpias_D)+(A9_Y_L35*Limpias_Y))*Inflación_9</f>
        <v>0</v>
      </c>
      <c r="BW23" s="101">
        <f>SUMIFS('9'!$E:$E,'9'!$A:$A,Año_Inicial+8,'9'!$B:$B,'12'!BV$4,'9'!$D:$D,"Limpias manuales")</f>
        <v>0</v>
      </c>
      <c r="BX23" s="101">
        <f>((A9_A_L36*Limpias_A)+(A9_B_L36*Limpias_B)+(A9_C_L36*Limpias_C)+(A9_D_L36*Limpias_D)+(A9_Y_L36*Limpias_Y))*Inflación_9</f>
        <v>0</v>
      </c>
      <c r="BY23" s="101">
        <f>SUMIFS('9'!$E:$E,'9'!$A:$A,Año_Inicial+8,'9'!$B:$B,'12'!BX$4,'9'!$D:$D,"Limpias manuales")</f>
        <v>0</v>
      </c>
      <c r="BZ23" s="101">
        <f>((A9_A_L37*Limpias_A)+(A9_B_L37*Limpias_B)+(A9_C_L37*Limpias_C)+(A9_D_L37*Limpias_D)+(A9_Y_L37*Limpias_Y))*Inflación_9</f>
        <v>0</v>
      </c>
      <c r="CA23" s="101">
        <f>SUMIFS('9'!$E:$E,'9'!$A:$A,Año_Inicial+8,'9'!$B:$B,'12'!BZ$4,'9'!$D:$D,"Limpias manuales")</f>
        <v>0</v>
      </c>
      <c r="CB23" s="101">
        <f>((A9_A_L38*Limpias_A)+(A9_B_L38*Limpias_B)+(A9_C_L38*Limpias_C)+(A9_D_L38*Limpias_D)+(A9_Y_L38*Limpias_Y))*Inflación_9</f>
        <v>0</v>
      </c>
      <c r="CC23" s="101">
        <f>SUMIFS('9'!$E:$E,'9'!$A:$A,Año_Inicial+8,'9'!$B:$B,'12'!CB$4,'9'!$D:$D,"Limpias manuales")</f>
        <v>0</v>
      </c>
      <c r="CD23" s="101">
        <f>((A9_A_L39*Limpias_A)+(A9_B_L39*Limpias_B)+(A9_C_L39*Limpias_C)+(A9_D_L39*Limpias_D)+(A9_Y_L39*Limpias_Y))*Inflación_9</f>
        <v>0</v>
      </c>
      <c r="CE23" s="101">
        <f>SUMIFS('9'!$E:$E,'9'!$A:$A,Año_Inicial+8,'9'!$B:$B,'12'!CD$4,'9'!$D:$D,"Limpias manuales")</f>
        <v>0</v>
      </c>
      <c r="CF23" s="101">
        <f>((A9_A_L40*Limpias_A)+(A9_B_L40*Limpias_B)+(A9_C_L40*Limpias_C)+(A9_D_L40*Limpias_D)+(A9_Y_L40*Limpias_Y))*Inflación_9</f>
        <v>0</v>
      </c>
      <c r="CG23" s="101">
        <f>SUMIFS('9'!$E:$E,'9'!$A:$A,Año_Inicial+8,'9'!$B:$B,'12'!CF$4,'9'!$D:$D,"Limpias manuales")</f>
        <v>0</v>
      </c>
      <c r="CH23" s="473"/>
      <c r="CI23" s="101">
        <f>Plantas_A_A9*Limpias_A*Inflación_9</f>
        <v>0</v>
      </c>
      <c r="CJ23" s="101">
        <f>Plantas_B_A9*Limpias_B</f>
        <v>0</v>
      </c>
      <c r="CK23" s="101">
        <f>Plantas_C_A9*Limpias_C</f>
        <v>0</v>
      </c>
      <c r="CL23" s="101">
        <f>Plantas_D_A9*Limpias_D</f>
        <v>0</v>
      </c>
      <c r="CM23" s="101"/>
      <c r="CN23" s="101">
        <f>Plantas_Y_A9*Limpias_Y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SUMIFS('9'!$E:$E,'9'!$A:$A,Año_Inicial+8,'9'!$D:$D,"Herbicida")</f>
        <v>0</v>
      </c>
      <c r="D24" s="100">
        <f t="shared" si="45"/>
        <v>0</v>
      </c>
      <c r="E24" s="473"/>
      <c r="F24" s="101">
        <f>((A9_A_L1*Herbicida_A)+(A9_B_L1*Herbicida_B)+(A9_C_L1*Herbicida_C)+(A9_D_L1*Herbicida_D)+(A9_Y_L1*Herbicida_Y))*Inflación_9</f>
        <v>0</v>
      </c>
      <c r="G24" s="101">
        <f>SUMIFS('9'!$E:$E,'9'!$A:$A,Año_Inicial+8,'9'!$B:$B,'12'!F$4,'9'!$D:$D,"Herbicida")</f>
        <v>0</v>
      </c>
      <c r="H24" s="101">
        <f>((A9_A_L2*Herbicida_A)+(A9_B_L2*Herbicida_B)+(A9_C_L2*Herbicida_C)+(A9_D_L2*Herbicida_D)+(A9_Y_L2*Herbicida_Y))*Inflación_9</f>
        <v>0</v>
      </c>
      <c r="I24" s="101">
        <f>SUMIFS('9'!$E:$E,'9'!$A:$A,Año_Inicial+8,'9'!$B:$B,'12'!H$4,'9'!$D:$D,"Herbicida")</f>
        <v>0</v>
      </c>
      <c r="J24" s="101">
        <f>((A9_A_L3*Herbicida_A)+(A9_B_L3*Herbicida_B)+(A9_C_L3*Herbicida_C)+(A9_D_L3*Herbicida_D)+(A9_Y_L3*Herbicida_Y))*Inflación_9</f>
        <v>0</v>
      </c>
      <c r="K24" s="101">
        <f>SUMIFS('9'!$E:$E,'9'!$A:$A,Año_Inicial+8,'9'!$B:$B,'12'!J$4,'9'!$D:$D,"Herbicida")</f>
        <v>0</v>
      </c>
      <c r="L24" s="101">
        <f>((A9_A_L4*Herbicida_A)+(A9_B_L4*Herbicida_B)+(A9_C_L4*Herbicida_C)+(A9_D_L4*Herbicida_D)+(A9_Y_L4*Herbicida_Y))*Inflación_9</f>
        <v>0</v>
      </c>
      <c r="M24" s="101">
        <f>SUMIFS('9'!$E:$E,'9'!$A:$A,Año_Inicial+8,'9'!$B:$B,'12'!L$4,'9'!$D:$D,"Herbicida")</f>
        <v>0</v>
      </c>
      <c r="N24" s="101">
        <f>((A9_A_L5*Herbicida_A)+(A9_B_L5*Herbicida_B)+(A9_C_L5*Herbicida_C)+(A9_D_L5*Herbicida_D)+(A9_Y_L5*Herbicida_Y))*Inflación_9</f>
        <v>0</v>
      </c>
      <c r="O24" s="101">
        <f>SUMIFS('9'!$E:$E,'9'!$A:$A,Año_Inicial+8,'9'!$B:$B,'12'!N$4,'9'!$D:$D,"Herbicida")</f>
        <v>0</v>
      </c>
      <c r="P24" s="101">
        <f>((A9_A_L6*Herbicida_A)+(A9_B_L6*Herbicida_B)+(A9_C_L6*Herbicida_C)+(A9_D_L6*Herbicida_D)+(A9_Y_L6*Herbicida_Y))*Inflación_9</f>
        <v>0</v>
      </c>
      <c r="Q24" s="101">
        <f>SUMIFS('9'!$E:$E,'9'!$A:$A,Año_Inicial+8,'9'!$B:$B,'12'!P$4,'9'!$D:$D,"Herbicida")</f>
        <v>0</v>
      </c>
      <c r="R24" s="101">
        <f>((A9_A_L7*Herbicida_A)+(A9_B_L7*Herbicida_B)+(A9_C_L7*Herbicida_C)+(A9_D_L7*Herbicida_D)+(A9_Y_L7*Herbicida_Y))*Inflación_9</f>
        <v>0</v>
      </c>
      <c r="S24" s="101">
        <f>SUMIFS('9'!$E:$E,'9'!$A:$A,Año_Inicial+8,'9'!$B:$B,'12'!R$4,'9'!$D:$D,"Herbicida")</f>
        <v>0</v>
      </c>
      <c r="T24" s="101">
        <f>((A9_A_L8*Herbicida_A)+(A9_B_L8*Herbicida_B)+(A9_C_L8*Herbicida_C)+(A9_D_L8*Herbicida_D)+(A9_Y_L8*Herbicida_Y))*Inflación_9</f>
        <v>0</v>
      </c>
      <c r="U24" s="101">
        <f>SUMIFS('9'!$E:$E,'9'!$A:$A,Año_Inicial+8,'9'!$B:$B,'12'!T$4,'9'!$D:$D,"Herbicida")</f>
        <v>0</v>
      </c>
      <c r="V24" s="101">
        <f>((A9_A_L9*Herbicida_A)+(A9_B_L9*Herbicida_B)+(A9_C_L9*Herbicida_C)+(A9_D_L9*Herbicida_D)+(A9_Y_L9*Herbicida_Y))*Inflación_9</f>
        <v>0</v>
      </c>
      <c r="W24" s="101">
        <f>SUMIFS('9'!$E:$E,'9'!$A:$A,Año_Inicial+8,'9'!$B:$B,'12'!V$4,'9'!$D:$D,"Herbicida")</f>
        <v>0</v>
      </c>
      <c r="X24" s="101">
        <f>((A9_A_L10*Herbicida_A)+(A9_B_L10*Herbicida_B)+(A9_C_L10*Herbicida_C)+(A9_D_L10*Herbicida_D)+(A9_Y_L10*Herbicida_Y))*Inflación_9</f>
        <v>0</v>
      </c>
      <c r="Y24" s="101">
        <f>SUMIFS('9'!$E:$E,'9'!$A:$A,Año_Inicial+8,'9'!$B:$B,'12'!X$4,'9'!$D:$D,"Herbicida")</f>
        <v>0</v>
      </c>
      <c r="Z24" s="101">
        <f>((A9_A_L11*Herbicida_A)+(A9_B_L11*Herbicida_B)+(A9_C_L11*Herbicida_C)+(A9_D_L11*Herbicida_D)+(A9_Y_L11*Herbicida_Y))*Inflación_9</f>
        <v>0</v>
      </c>
      <c r="AA24" s="101">
        <f>SUMIFS('9'!$E:$E,'9'!$A:$A,Año_Inicial+8,'9'!$B:$B,'12'!Z$4,'9'!$D:$D,"Herbicida")</f>
        <v>0</v>
      </c>
      <c r="AB24" s="101">
        <f>((A9_A_L12*Herbicida_A)+(A9_B_L12*Herbicida_B)+(A9_C_L12*Herbicida_C)+(A9_D_L12*Herbicida_D)+(A9_Y_L12*Herbicida_Y))*Inflación_9</f>
        <v>0</v>
      </c>
      <c r="AC24" s="101">
        <f>SUMIFS('9'!$E:$E,'9'!$A:$A,Año_Inicial+8,'9'!$B:$B,'12'!AB$4,'9'!$D:$D,"Herbicida")</f>
        <v>0</v>
      </c>
      <c r="AD24" s="101">
        <f>((A9_A_L13*Herbicida_A)+(A9_B_L13*Herbicida_B)+(A9_C_L13*Herbicida_C)+(A9_D_L13*Herbicida_D)+(A9_Y_L13*Herbicida_Y))*Inflación_9</f>
        <v>0</v>
      </c>
      <c r="AE24" s="101">
        <f>SUMIFS('9'!$E:$E,'9'!$A:$A,Año_Inicial+8,'9'!$B:$B,'12'!AD$4,'9'!$D:$D,"Herbicida")</f>
        <v>0</v>
      </c>
      <c r="AF24" s="101">
        <f>((A9_A_L14*Herbicida_A)+(A9_B_L14*Herbicida_B)+(A9_C_L14*Herbicida_C)+(A9_D_L14*Herbicida_D)+(A9_Y_L14*Herbicida_Y))*Inflación_9</f>
        <v>0</v>
      </c>
      <c r="AG24" s="101">
        <f>SUMIFS('9'!$E:$E,'9'!$A:$A,Año_Inicial+8,'9'!$B:$B,'12'!AF$4,'9'!$D:$D,"Herbicida")</f>
        <v>0</v>
      </c>
      <c r="AH24" s="101">
        <f>((A9_A_L15*Herbicida_A)+(A9_B_L15*Herbicida_B)+(A9_C_L15*Herbicida_C)+(A9_D_L15*Herbicida_D)+(A9_Y_L15*Herbicida_Y))*Inflación_9</f>
        <v>0</v>
      </c>
      <c r="AI24" s="101">
        <f>SUMIFS('9'!$E:$E,'9'!$A:$A,Año_Inicial+8,'9'!$B:$B,'12'!AH$4,'9'!$D:$D,"Herbicida")</f>
        <v>0</v>
      </c>
      <c r="AJ24" s="101">
        <f>((A9_A_L16*Herbicida_A)+(A9_B_L16*Herbicida_B)+(A9_C_L16*Herbicida_C)+(A9_D_L16*Herbicida_D)+(A9_Y_L16*Herbicida_Y))*Inflación_9</f>
        <v>0</v>
      </c>
      <c r="AK24" s="101">
        <f>SUMIFS('9'!$E:$E,'9'!$A:$A,Año_Inicial+8,'9'!$B:$B,'12'!AJ$4,'9'!$D:$D,"Herbicida")</f>
        <v>0</v>
      </c>
      <c r="AL24" s="101">
        <f>((A9_A_L17*Herbicida_A)+(A9_B_L17*Herbicida_B)+(A9_C_L17*Herbicida_C)+(A9_D_L17*Herbicida_D)+(A9_Y_L17*Herbicida_Y))*Inflación_9</f>
        <v>0</v>
      </c>
      <c r="AM24" s="101">
        <f>SUMIFS('9'!$E:$E,'9'!$A:$A,Año_Inicial+8,'9'!$B:$B,'12'!AL$4,'9'!$D:$D,"Herbicida")</f>
        <v>0</v>
      </c>
      <c r="AN24" s="101">
        <f>((A9_A_L18*Herbicida_A)+(A9_B_L18*Herbicida_B)+(A9_C_L18*Herbicida_C)+(A9_D_L18*Herbicida_D)+(A9_Y_L18*Herbicida_Y))*Inflación_9</f>
        <v>0</v>
      </c>
      <c r="AO24" s="101">
        <f>SUMIFS('9'!$E:$E,'9'!$A:$A,Año_Inicial+8,'9'!$B:$B,'12'!AN$4,'9'!$D:$D,"Herbicida")</f>
        <v>0</v>
      </c>
      <c r="AP24" s="101">
        <f>((A9_A_L19*Herbicida_A)+(A9_B_L19*Herbicida_B)+(A9_C_L19*Herbicida_C)+(A9_D_L19*Herbicida_D)+(A9_Y_L19*Herbicida_Y))*Inflación_9</f>
        <v>0</v>
      </c>
      <c r="AQ24" s="101">
        <f>SUMIFS('9'!$E:$E,'9'!$A:$A,Año_Inicial+8,'9'!$B:$B,'12'!AP$4,'9'!$D:$D,"Herbicida")</f>
        <v>0</v>
      </c>
      <c r="AR24" s="101">
        <f>((A9_A_L20*Herbicida_A)+(A9_B_L20*Herbicida_B)+(A9_C_L20*Herbicida_C)+(A9_D_L20*Herbicida_D)+(A9_Y_L20*Herbicida_Y))*Inflación_9</f>
        <v>0</v>
      </c>
      <c r="AS24" s="101">
        <f>SUMIFS('9'!$E:$E,'9'!$A:$A,Año_Inicial+8,'9'!$B:$B,'12'!AR$4,'9'!$D:$D,"Herbicida")</f>
        <v>0</v>
      </c>
      <c r="AT24" s="101">
        <f>((A9_A_L21*Herbicida_A)+(A9_B_L21*Herbicida_B)+(A9_C_L21*Herbicida_C)+(A9_D_L21*Herbicida_D)+(A9_Y_L21*Herbicida_Y))*Inflación_9</f>
        <v>0</v>
      </c>
      <c r="AU24" s="101">
        <f>SUMIFS('9'!$E:$E,'9'!$A:$A,Año_Inicial+8,'9'!$B:$B,'12'!AT$4,'9'!$D:$D,"Herbicida")</f>
        <v>0</v>
      </c>
      <c r="AV24" s="101">
        <f>((A9_A_L22*Herbicida_A)+(A9_B_L22*Herbicida_B)+(A9_C_L22*Herbicida_C)+(A9_D_L22*Herbicida_D)+(A9_Y_L22*Herbicida_Y))*Inflación_9</f>
        <v>0</v>
      </c>
      <c r="AW24" s="101">
        <f>SUMIFS('9'!$E:$E,'9'!$A:$A,Año_Inicial+8,'9'!$B:$B,'12'!AV$4,'9'!$D:$D,"Herbicida")</f>
        <v>0</v>
      </c>
      <c r="AX24" s="101">
        <f>((A9_A_L23*Herbicida_A)+(A9_B_L23*Herbicida_B)+(A9_C_L23*Herbicida_C)+(A9_D_L23*Herbicida_D)+(A9_Y_L23*Herbicida_Y))*Inflación_9</f>
        <v>0</v>
      </c>
      <c r="AY24" s="101">
        <f>SUMIFS('9'!$E:$E,'9'!$A:$A,Año_Inicial+8,'9'!$B:$B,'12'!AX$4,'9'!$D:$D,"Herbicida")</f>
        <v>0</v>
      </c>
      <c r="AZ24" s="101">
        <f>((A9_A_L24*Herbicida_A)+(A9_B_L24*Herbicida_B)+(A9_C_L24*Herbicida_C)+(A9_D_L24*Herbicida_D)+(A9_Y_L24*Herbicida_Y))*Inflación_9</f>
        <v>0</v>
      </c>
      <c r="BA24" s="101">
        <f>SUMIFS('9'!$E:$E,'9'!$A:$A,Año_Inicial+8,'9'!$B:$B,'12'!AZ$4,'9'!$D:$D,"Herbicida")</f>
        <v>0</v>
      </c>
      <c r="BB24" s="101">
        <f>((A9_A_L25*Herbicida_A)+(A9_B_L25*Herbicida_B)+(A9_C_L25*Herbicida_C)+(A9_D_L25*Herbicida_D)+(A9_Y_L25*Herbicida_Y))*Inflación_9</f>
        <v>0</v>
      </c>
      <c r="BC24" s="101">
        <f>SUMIFS('9'!$E:$E,'9'!$A:$A,Año_Inicial+8,'9'!$B:$B,'12'!BB$4,'9'!$D:$D,"Herbicida")</f>
        <v>0</v>
      </c>
      <c r="BD24" s="101">
        <f>((A9_A_L26*Herbicida_A)+(A9_B_L26*Herbicida_B)+(A9_C_L26*Herbicida_C)+(A9_D_L26*Herbicida_D)+(A9_Y_L26*Herbicida_Y))*Inflación_9</f>
        <v>0</v>
      </c>
      <c r="BE24" s="101">
        <f>SUMIFS('9'!$E:$E,'9'!$A:$A,Año_Inicial+8,'9'!$B:$B,'12'!BD$4,'9'!$D:$D,"Herbicida")</f>
        <v>0</v>
      </c>
      <c r="BF24" s="101">
        <f>((A9_A_L27*Herbicida_A)+(A9_B_L27*Herbicida_B)+(A9_C_L27*Herbicida_C)+(A9_D_L27*Herbicida_D)+(A9_Y_L27*Herbicida_Y))*Inflación_9</f>
        <v>0</v>
      </c>
      <c r="BG24" s="101">
        <f>SUMIFS('9'!$E:$E,'9'!$A:$A,Año_Inicial+8,'9'!$B:$B,'12'!BF$4,'9'!$D:$D,"Herbicida")</f>
        <v>0</v>
      </c>
      <c r="BH24" s="101">
        <f>((A9_A_L28*Herbicida_A)+(A9_B_L28*Herbicida_B)+(A9_C_L28*Herbicida_C)+(A9_D_L28*Herbicida_D)+(A9_Y_L28*Herbicida_Y))*Inflación_9</f>
        <v>0</v>
      </c>
      <c r="BI24" s="101">
        <f>SUMIFS('9'!$E:$E,'9'!$A:$A,Año_Inicial+8,'9'!$B:$B,'12'!BH$4,'9'!$D:$D,"Herbicida")</f>
        <v>0</v>
      </c>
      <c r="BJ24" s="101">
        <f>((A9_A_L29*Herbicida_A)+(A9_B_L29*Herbicida_B)+(A9_C_L29*Herbicida_C)+(A9_D_L29*Herbicida_D)+(A9_Y_L29*Herbicida_Y))*Inflación_9</f>
        <v>0</v>
      </c>
      <c r="BK24" s="101">
        <f>SUMIFS('9'!$E:$E,'9'!$A:$A,Año_Inicial+8,'9'!$B:$B,'12'!BJ$4,'9'!$D:$D,"Herbicida")</f>
        <v>0</v>
      </c>
      <c r="BL24" s="101">
        <f>((A9_A_L30*Herbicida_A)+(A9_B_L30*Herbicida_B)+(A9_C_L30*Herbicida_C)+(A9_D_L30*Herbicida_D)+(A9_Y_L30*Herbicida_Y))*Inflación_9</f>
        <v>0</v>
      </c>
      <c r="BM24" s="101">
        <f>SUMIFS('9'!$E:$E,'9'!$A:$A,Año_Inicial+8,'9'!$B:$B,'12'!BL$4,'9'!$D:$D,"Herbicida")</f>
        <v>0</v>
      </c>
      <c r="BN24" s="101">
        <f>((A9_A_L31*Herbicida_A)+(A9_B_L31*Herbicida_B)+(A9_C_L31*Herbicida_C)+(A9_D_L31*Herbicida_D)+(A9_Y_L31*Herbicida_Y))*Inflación_9</f>
        <v>0</v>
      </c>
      <c r="BO24" s="101">
        <f>SUMIFS('9'!$E:$E,'9'!$A:$A,Año_Inicial+8,'9'!$B:$B,'12'!BN$4,'9'!$D:$D,"Herbicida")</f>
        <v>0</v>
      </c>
      <c r="BP24" s="101">
        <f>((A9_A_L32*Herbicida_A)+(A9_B_L32*Herbicida_B)+(A9_C_L32*Herbicida_C)+(A9_D_L32*Herbicida_D)+(A9_Y_L32*Herbicida_Y))*Inflación_9</f>
        <v>0</v>
      </c>
      <c r="BQ24" s="101">
        <f>SUMIFS('9'!$E:$E,'9'!$A:$A,Año_Inicial+8,'9'!$B:$B,'12'!BP$4,'9'!$D:$D,"Herbicida")</f>
        <v>0</v>
      </c>
      <c r="BR24" s="101">
        <f>((A9_A_L33*Herbicida_A)+(A9_B_L33*Herbicida_B)+(A9_C_L33*Herbicida_C)+(A9_D_L33*Herbicida_D)+(A9_Y_L33*Herbicida_Y))*Inflación_9</f>
        <v>0</v>
      </c>
      <c r="BS24" s="101">
        <f>SUMIFS('9'!$E:$E,'9'!$A:$A,Año_Inicial+8,'9'!$B:$B,'12'!BR$4,'9'!$D:$D,"Herbicida")</f>
        <v>0</v>
      </c>
      <c r="BT24" s="101">
        <f>((A9_A_L34*Herbicida_A)+(A9_B_L34*Herbicida_B)+(A9_C_L34*Herbicida_C)+(A9_D_L34*Herbicida_D)+(A9_Y_L34*Herbicida_Y))*Inflación_9</f>
        <v>0</v>
      </c>
      <c r="BU24" s="101">
        <f>SUMIFS('9'!$E:$E,'9'!$A:$A,Año_Inicial+8,'9'!$B:$B,'12'!BT$4,'9'!$D:$D,"Herbicida")</f>
        <v>0</v>
      </c>
      <c r="BV24" s="101">
        <f>((A9_A_L35*Herbicida_A)+(A9_B_L35*Herbicida_B)+(A9_C_L35*Herbicida_C)+(A9_D_L35*Herbicida_D)+(A9_Y_L35*Herbicida_Y))*Inflación_9</f>
        <v>0</v>
      </c>
      <c r="BW24" s="101">
        <f>SUMIFS('9'!$E:$E,'9'!$A:$A,Año_Inicial+8,'9'!$B:$B,'12'!BV$4,'9'!$D:$D,"Herbicida")</f>
        <v>0</v>
      </c>
      <c r="BX24" s="101">
        <f>((A9_A_L36*Herbicida_A)+(A9_B_L36*Herbicida_B)+(A9_C_L36*Herbicida_C)+(A9_D_L36*Herbicida_D)+(A9_Y_L36*Herbicida_Y))*Inflación_9</f>
        <v>0</v>
      </c>
      <c r="BY24" s="101">
        <f>SUMIFS('9'!$E:$E,'9'!$A:$A,Año_Inicial+8,'9'!$B:$B,'12'!BX$4,'9'!$D:$D,"Herbicida")</f>
        <v>0</v>
      </c>
      <c r="BZ24" s="101">
        <f>((A9_A_L37*Herbicida_A)+(A9_B_L37*Herbicida_B)+(A9_C_L37*Herbicida_C)+(A9_D_L37*Herbicida_D)+(A9_Y_L37*Herbicida_Y))*Inflación_9</f>
        <v>0</v>
      </c>
      <c r="CA24" s="101">
        <f>SUMIFS('9'!$E:$E,'9'!$A:$A,Año_Inicial+8,'9'!$B:$B,'12'!BZ$4,'9'!$D:$D,"Herbicida")</f>
        <v>0</v>
      </c>
      <c r="CB24" s="101">
        <f>((A9_A_L38*Herbicida_A)+(A9_B_L38*Herbicida_B)+(A9_C_L38*Herbicida_C)+(A9_D_L38*Herbicida_D)+(A9_Y_L38*Herbicida_Y))*Inflación_9</f>
        <v>0</v>
      </c>
      <c r="CC24" s="101">
        <f>SUMIFS('9'!$E:$E,'9'!$A:$A,Año_Inicial+8,'9'!$B:$B,'12'!CB$4,'9'!$D:$D,"Herbicida")</f>
        <v>0</v>
      </c>
      <c r="CD24" s="101">
        <f>((A9_A_L39*Herbicida_A)+(A9_B_L39*Herbicida_B)+(A9_C_L39*Herbicida_C)+(A9_D_L39*Herbicida_D)+(A9_Y_L39*Herbicida_Y))*Inflación_9</f>
        <v>0</v>
      </c>
      <c r="CE24" s="101">
        <f>SUMIFS('9'!$E:$E,'9'!$A:$A,Año_Inicial+8,'9'!$B:$B,'12'!CD$4,'9'!$D:$D,"Herbicida")</f>
        <v>0</v>
      </c>
      <c r="CF24" s="101">
        <f>((A9_A_L40*Herbicida_A)+(A9_B_L40*Herbicida_B)+(A9_C_L40*Herbicida_C)+(A9_D_L40*Herbicida_D)+(A9_Y_L40*Herbicida_Y))*Inflación_9</f>
        <v>0</v>
      </c>
      <c r="CG24" s="101">
        <f>SUMIFS('9'!$E:$E,'9'!$A:$A,Año_Inicial+8,'9'!$B:$B,'12'!CF$4,'9'!$D:$D,"Herbicida")</f>
        <v>0</v>
      </c>
      <c r="CH24" s="473"/>
      <c r="CI24" s="101">
        <f>Plantas_A_A9*Herbicida_A*Inflación_9</f>
        <v>0</v>
      </c>
      <c r="CJ24" s="101">
        <f>Plantas_B_A9*Herbicida_B</f>
        <v>0</v>
      </c>
      <c r="CK24" s="101">
        <f>Plantas_C_A9*Herbicida_C</f>
        <v>0</v>
      </c>
      <c r="CL24" s="101">
        <f>Plantas_D_A9*Herbicida_D</f>
        <v>0</v>
      </c>
      <c r="CM24" s="101"/>
      <c r="CN24" s="101">
        <f>Plantas_Y_A9*Herbicida_Y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SUMIFS('9'!$E:$E,'9'!$A:$A,Año_Inicial+8,'9'!$D:$D,"Prevención de plagas")</f>
        <v>0</v>
      </c>
      <c r="D26" s="100">
        <f t="shared" si="45"/>
        <v>0</v>
      </c>
      <c r="E26" s="473"/>
      <c r="F26" s="101">
        <f>((A9_A_L1*Plagas_A)+(A9_B_L1*Plagas_B)+(A9_C_L1*Plagas_C)+(A9_D_L1*Plagas_D)+(A9_Y_L1*Plagas_Y))*Inflación_9</f>
        <v>0</v>
      </c>
      <c r="G26" s="101">
        <f>SUMIFS('9'!$E:$E,'9'!$A:$A,Año_Inicial+8,'9'!$B:$B,'12'!F$4,'9'!$D:$D,"Prevención de plagas")</f>
        <v>0</v>
      </c>
      <c r="H26" s="101">
        <f>((A9_A_L2*Plagas_A)+(A9_B_L2*Plagas_B)+(A9_C_L2*Plagas_C)+(A9_D_L2*Plagas_D)+(A9_Y_L2*Plagas_Y))*Inflación_9</f>
        <v>0</v>
      </c>
      <c r="I26" s="101">
        <f>SUMIFS('9'!$E:$E,'9'!$A:$A,Año_Inicial+8,'9'!$B:$B,'12'!H$4,'9'!$D:$D,"Prevención de plagas")</f>
        <v>0</v>
      </c>
      <c r="J26" s="101">
        <f>((A9_A_L3*Plagas_A)+(A9_B_L3*Plagas_B)+(A9_C_L3*Plagas_C)+(A9_D_L3*Plagas_D)+(A9_Y_L3*Plagas_Y))*Inflación_9</f>
        <v>0</v>
      </c>
      <c r="K26" s="101">
        <f>SUMIFS('9'!$E:$E,'9'!$A:$A,Año_Inicial+8,'9'!$B:$B,'12'!J$4,'9'!$D:$D,"Prevención de plagas")</f>
        <v>0</v>
      </c>
      <c r="L26" s="101">
        <f>((A9_A_L4*Plagas_A)+(A9_B_L4*Plagas_B)+(A9_C_L4*Plagas_C)+(A9_D_L4*Plagas_D)+(A9_Y_L4*Plagas_Y))*Inflación_9</f>
        <v>0</v>
      </c>
      <c r="M26" s="101">
        <f>SUMIFS('9'!$E:$E,'9'!$A:$A,Año_Inicial+8,'9'!$B:$B,'12'!L$4,'9'!$D:$D,"Prevención de plagas")</f>
        <v>0</v>
      </c>
      <c r="N26" s="101">
        <f>((A9_A_L5*Plagas_A)+(A9_B_L5*Plagas_B)+(A9_C_L5*Plagas_C)+(A9_D_L5*Plagas_D)+(A9_Y_L5*Plagas_Y))*Inflación_9</f>
        <v>0</v>
      </c>
      <c r="O26" s="101">
        <f>SUMIFS('9'!$E:$E,'9'!$A:$A,Año_Inicial+8,'9'!$B:$B,'12'!N$4,'9'!$D:$D,"Prevención de plagas")</f>
        <v>0</v>
      </c>
      <c r="P26" s="101">
        <f>((A9_A_L6*Plagas_A)+(A9_B_L6*Plagas_B)+(A9_C_L6*Plagas_C)+(A9_D_L6*Plagas_D)+(A9_Y_L6*Plagas_Y))*Inflación_9</f>
        <v>0</v>
      </c>
      <c r="Q26" s="101">
        <f>SUMIFS('9'!$E:$E,'9'!$A:$A,Año_Inicial+8,'9'!$B:$B,'12'!P$4,'9'!$D:$D,"Prevención de plagas")</f>
        <v>0</v>
      </c>
      <c r="R26" s="101">
        <f>((A9_A_L7*Plagas_A)+(A9_B_L7*Plagas_B)+(A9_C_L7*Plagas_C)+(A9_D_L7*Plagas_D)+(A9_Y_L7*Plagas_Y))*Inflación_9</f>
        <v>0</v>
      </c>
      <c r="S26" s="101">
        <f>SUMIFS('9'!$E:$E,'9'!$A:$A,Año_Inicial+8,'9'!$B:$B,'12'!R$4,'9'!$D:$D,"Prevención de plagas")</f>
        <v>0</v>
      </c>
      <c r="T26" s="101">
        <f>((A9_A_L8*Plagas_A)+(A9_B_L8*Plagas_B)+(A9_C_L8*Plagas_C)+(A9_D_L8*Plagas_D)+(A9_Y_L8*Plagas_Y))*Inflación_9</f>
        <v>0</v>
      </c>
      <c r="U26" s="101">
        <f>SUMIFS('9'!$E:$E,'9'!$A:$A,Año_Inicial+8,'9'!$B:$B,'12'!T$4,'9'!$D:$D,"Prevención de plagas")</f>
        <v>0</v>
      </c>
      <c r="V26" s="101">
        <f>((A9_A_L9*Plagas_A)+(A9_B_L9*Plagas_B)+(A9_C_L9*Plagas_C)+(A9_D_L9*Plagas_D)+(A9_Y_L9*Plagas_Y))*Inflación_9</f>
        <v>0</v>
      </c>
      <c r="W26" s="101">
        <f>SUMIFS('9'!$E:$E,'9'!$A:$A,Año_Inicial+8,'9'!$B:$B,'12'!V$4,'9'!$D:$D,"Prevención de plagas")</f>
        <v>0</v>
      </c>
      <c r="X26" s="101">
        <f>((A9_A_L10*Plagas_A)+(A9_B_L10*Plagas_B)+(A9_C_L10*Plagas_C)+(A9_D_L10*Plagas_D)+(A9_Y_L10*Plagas_Y))*Inflación_9</f>
        <v>0</v>
      </c>
      <c r="Y26" s="101">
        <f>SUMIFS('9'!$E:$E,'9'!$A:$A,Año_Inicial+8,'9'!$B:$B,'12'!X$4,'9'!$D:$D,"Prevención de plagas")</f>
        <v>0</v>
      </c>
      <c r="Z26" s="101">
        <f>((A9_A_L11*Plagas_A)+(A9_B_L11*Plagas_B)+(A9_C_L11*Plagas_C)+(A9_D_L11*Plagas_D)+(A9_Y_L11*Plagas_Y))*Inflación_9</f>
        <v>0</v>
      </c>
      <c r="AA26" s="101">
        <f>SUMIFS('9'!$E:$E,'9'!$A:$A,Año_Inicial+8,'9'!$B:$B,'12'!Z$4,'9'!$D:$D,"Prevención de plagas")</f>
        <v>0</v>
      </c>
      <c r="AB26" s="101">
        <f>((A9_A_L12*Plagas_A)+(A9_B_L12*Plagas_B)+(A9_C_L12*Plagas_C)+(A9_D_L12*Plagas_D)+(A9_Y_L12*Plagas_Y))*Inflación_9</f>
        <v>0</v>
      </c>
      <c r="AC26" s="101">
        <f>SUMIFS('9'!$E:$E,'9'!$A:$A,Año_Inicial+8,'9'!$B:$B,'12'!AB$4,'9'!$D:$D,"Prevención de plagas")</f>
        <v>0</v>
      </c>
      <c r="AD26" s="101">
        <f>((A9_A_L13*Plagas_A)+(A9_B_L13*Plagas_B)+(A9_C_L13*Plagas_C)+(A9_D_L13*Plagas_D)+(A9_Y_L13*Plagas_Y))*Inflación_9</f>
        <v>0</v>
      </c>
      <c r="AE26" s="101">
        <f>SUMIFS('9'!$E:$E,'9'!$A:$A,Año_Inicial+8,'9'!$B:$B,'12'!AD$4,'9'!$D:$D,"Prevención de plagas")</f>
        <v>0</v>
      </c>
      <c r="AF26" s="101">
        <f>((A9_A_L14*Plagas_A)+(A9_B_L14*Plagas_B)+(A9_C_L14*Plagas_C)+(A9_D_L14*Plagas_D)+(A9_Y_L14*Plagas_Y))*Inflación_9</f>
        <v>0</v>
      </c>
      <c r="AG26" s="101">
        <f>SUMIFS('9'!$E:$E,'9'!$A:$A,Año_Inicial+8,'9'!$B:$B,'12'!AF$4,'9'!$D:$D,"Prevención de plagas")</f>
        <v>0</v>
      </c>
      <c r="AH26" s="101">
        <f>((A9_A_L15*Plagas_A)+(A9_B_L15*Plagas_B)+(A9_C_L15*Plagas_C)+(A9_D_L15*Plagas_D)+(A9_Y_L15*Plagas_Y))*Inflación_9</f>
        <v>0</v>
      </c>
      <c r="AI26" s="101">
        <f>SUMIFS('9'!$E:$E,'9'!$A:$A,Año_Inicial+8,'9'!$B:$B,'12'!AH$4,'9'!$D:$D,"Prevención de plagas")</f>
        <v>0</v>
      </c>
      <c r="AJ26" s="101">
        <f>((A9_A_L16*Plagas_A)+(A9_B_L16*Plagas_B)+(A9_C_L16*Plagas_C)+(A9_D_L16*Plagas_D)+(A9_Y_L16*Plagas_Y))*Inflación_9</f>
        <v>0</v>
      </c>
      <c r="AK26" s="101">
        <f>SUMIFS('9'!$E:$E,'9'!$A:$A,Año_Inicial+8,'9'!$B:$B,'12'!AJ$4,'9'!$D:$D,"Prevención de plagas")</f>
        <v>0</v>
      </c>
      <c r="AL26" s="101">
        <f>((A9_A_L17*Plagas_A)+(A9_B_L17*Plagas_B)+(A9_C_L17*Plagas_C)+(A9_D_L17*Plagas_D)+(A9_Y_L17*Plagas_Y))*Inflación_9</f>
        <v>0</v>
      </c>
      <c r="AM26" s="101">
        <f>SUMIFS('9'!$E:$E,'9'!$A:$A,Año_Inicial+8,'9'!$B:$B,'12'!AL$4,'9'!$D:$D,"Prevención de plagas")</f>
        <v>0</v>
      </c>
      <c r="AN26" s="101">
        <f>((A9_A_L18*Plagas_A)+(A9_B_L18*Plagas_B)+(A9_C_L18*Plagas_C)+(A9_D_L18*Plagas_D)+(A9_Y_L18*Plagas_Y))*Inflación_9</f>
        <v>0</v>
      </c>
      <c r="AO26" s="101">
        <f>SUMIFS('9'!$E:$E,'9'!$A:$A,Año_Inicial+8,'9'!$B:$B,'12'!AN$4,'9'!$D:$D,"Prevención de plagas")</f>
        <v>0</v>
      </c>
      <c r="AP26" s="101">
        <f>((A9_A_L19*Plagas_A)+(A9_B_L19*Plagas_B)+(A9_C_L19*Plagas_C)+(A9_D_L19*Plagas_D)+(A9_Y_L19*Plagas_Y))*Inflación_9</f>
        <v>0</v>
      </c>
      <c r="AQ26" s="101">
        <f>SUMIFS('9'!$E:$E,'9'!$A:$A,Año_Inicial+8,'9'!$B:$B,'12'!AP$4,'9'!$D:$D,"Prevención de plagas")</f>
        <v>0</v>
      </c>
      <c r="AR26" s="101">
        <f>((A9_A_L20*Plagas_A)+(A9_B_L20*Plagas_B)+(A9_C_L20*Plagas_C)+(A9_D_L20*Plagas_D)+(A9_Y_L20*Plagas_Y))*Inflación_9</f>
        <v>0</v>
      </c>
      <c r="AS26" s="101">
        <f>SUMIFS('9'!$E:$E,'9'!$A:$A,Año_Inicial+8,'9'!$B:$B,'12'!AR$4,'9'!$D:$D,"Prevención de plagas")</f>
        <v>0</v>
      </c>
      <c r="AT26" s="101">
        <f>((A9_A_L21*Plagas_A)+(A9_B_L21*Plagas_B)+(A9_C_L21*Plagas_C)+(A9_D_L21*Plagas_D)+(A9_Y_L21*Plagas_Y))*Inflación_9</f>
        <v>0</v>
      </c>
      <c r="AU26" s="101">
        <f>SUMIFS('9'!$E:$E,'9'!$A:$A,Año_Inicial+8,'9'!$B:$B,'12'!AT$4,'9'!$D:$D,"Prevención de plagas")</f>
        <v>0</v>
      </c>
      <c r="AV26" s="101">
        <f>((A9_A_L22*Plagas_A)+(A9_B_L22*Plagas_B)+(A9_C_L22*Plagas_C)+(A9_D_L22*Plagas_D)+(A9_Y_L22*Plagas_Y))*Inflación_9</f>
        <v>0</v>
      </c>
      <c r="AW26" s="101">
        <f>SUMIFS('9'!$E:$E,'9'!$A:$A,Año_Inicial+8,'9'!$B:$B,'12'!AV$4,'9'!$D:$D,"Prevención de plagas")</f>
        <v>0</v>
      </c>
      <c r="AX26" s="101">
        <f>((A9_A_L23*Plagas_A)+(A9_B_L23*Plagas_B)+(A9_C_L23*Plagas_C)+(A9_D_L23*Plagas_D)+(A9_Y_L23*Plagas_Y))*Inflación_9</f>
        <v>0</v>
      </c>
      <c r="AY26" s="101">
        <f>SUMIFS('9'!$E:$E,'9'!$A:$A,Año_Inicial+8,'9'!$B:$B,'12'!AX$4,'9'!$D:$D,"Prevención de plagas")</f>
        <v>0</v>
      </c>
      <c r="AZ26" s="101">
        <f>((A9_A_L24*Plagas_A)+(A9_B_L24*Plagas_B)+(A9_C_L24*Plagas_C)+(A9_D_L24*Plagas_D)+(A9_Y_L24*Plagas_Y))*Inflación_9</f>
        <v>0</v>
      </c>
      <c r="BA26" s="101">
        <f>SUMIFS('9'!$E:$E,'9'!$A:$A,Año_Inicial+8,'9'!$B:$B,'12'!AZ$4,'9'!$D:$D,"Prevención de plagas")</f>
        <v>0</v>
      </c>
      <c r="BB26" s="101">
        <f>((A9_A_L25*Plagas_A)+(A9_B_L25*Plagas_B)+(A9_C_L25*Plagas_C)+(A9_D_L25*Plagas_D)+(A9_Y_L25*Plagas_Y))*Inflación_9</f>
        <v>0</v>
      </c>
      <c r="BC26" s="101">
        <f>SUMIFS('9'!$E:$E,'9'!$A:$A,Año_Inicial+8,'9'!$B:$B,'12'!BB$4,'9'!$D:$D,"Prevención de plagas")</f>
        <v>0</v>
      </c>
      <c r="BD26" s="101">
        <f>((A9_A_L26*Plagas_A)+(A9_B_L26*Plagas_B)+(A9_C_L26*Plagas_C)+(A9_D_L26*Plagas_D)+(A9_Y_L26*Plagas_Y))*Inflación_9</f>
        <v>0</v>
      </c>
      <c r="BE26" s="101">
        <f>SUMIFS('9'!$E:$E,'9'!$A:$A,Año_Inicial+8,'9'!$B:$B,'12'!BD$4,'9'!$D:$D,"Prevención de plagas")</f>
        <v>0</v>
      </c>
      <c r="BF26" s="101">
        <f>((A9_A_L27*Plagas_A)+(A9_B_L27*Plagas_B)+(A9_C_L27*Plagas_C)+(A9_D_L27*Plagas_D)+(A9_Y_L27*Plagas_Y))*Inflación_9</f>
        <v>0</v>
      </c>
      <c r="BG26" s="101">
        <f>SUMIFS('9'!$E:$E,'9'!$A:$A,Año_Inicial+8,'9'!$B:$B,'12'!BF$4,'9'!$D:$D,"Prevención de plagas")</f>
        <v>0</v>
      </c>
      <c r="BH26" s="101">
        <f>((A9_A_L28*Plagas_A)+(A9_B_L28*Plagas_B)+(A9_C_L28*Plagas_C)+(A9_D_L28*Plagas_D)+(A9_Y_L28*Plagas_Y))*Inflación_9</f>
        <v>0</v>
      </c>
      <c r="BI26" s="101">
        <f>SUMIFS('9'!$E:$E,'9'!$A:$A,Año_Inicial+8,'9'!$B:$B,'12'!BH$4,'9'!$D:$D,"Prevención de plagas")</f>
        <v>0</v>
      </c>
      <c r="BJ26" s="101">
        <f>((A9_A_L29*Plagas_A)+(A9_B_L29*Plagas_B)+(A9_C_L29*Plagas_C)+(A9_D_L29*Plagas_D)+(A9_Y_L29*Plagas_Y))*Inflación_9</f>
        <v>0</v>
      </c>
      <c r="BK26" s="101">
        <f>SUMIFS('9'!$E:$E,'9'!$A:$A,Año_Inicial+8,'9'!$B:$B,'12'!BJ$4,'9'!$D:$D,"Prevención de plagas")</f>
        <v>0</v>
      </c>
      <c r="BL26" s="101">
        <f>((A9_A_L30*Plagas_A)+(A9_B_L30*Plagas_B)+(A9_C_L30*Plagas_C)+(A9_D_L30*Plagas_D)+(A9_Y_L30*Plagas_Y))*Inflación_9</f>
        <v>0</v>
      </c>
      <c r="BM26" s="101">
        <f>SUMIFS('9'!$E:$E,'9'!$A:$A,Año_Inicial+8,'9'!$B:$B,'12'!BL$4,'9'!$D:$D,"Prevención de plagas")</f>
        <v>0</v>
      </c>
      <c r="BN26" s="101">
        <f>((A9_A_L31*Plagas_A)+(A9_B_L31*Plagas_B)+(A9_C_L31*Plagas_C)+(A9_D_L31*Plagas_D)+(A9_Y_L31*Plagas_Y))*Inflación_9</f>
        <v>0</v>
      </c>
      <c r="BO26" s="101">
        <f>SUMIFS('9'!$E:$E,'9'!$A:$A,Año_Inicial+8,'9'!$B:$B,'12'!BN$4,'9'!$D:$D,"Prevención de plagas")</f>
        <v>0</v>
      </c>
      <c r="BP26" s="101">
        <f>((A9_A_L32*Plagas_A)+(A9_B_L32*Plagas_B)+(A9_C_L32*Plagas_C)+(A9_D_L32*Plagas_D)+(A9_Y_L32*Plagas_Y))*Inflación_9</f>
        <v>0</v>
      </c>
      <c r="BQ26" s="101">
        <f>SUMIFS('9'!$E:$E,'9'!$A:$A,Año_Inicial+8,'9'!$B:$B,'12'!BP$4,'9'!$D:$D,"Prevención de plagas")</f>
        <v>0</v>
      </c>
      <c r="BR26" s="101">
        <f>((A9_A_L33*Plagas_A)+(A9_B_L33*Plagas_B)+(A9_C_L33*Plagas_C)+(A9_D_L33*Plagas_D)+(A9_Y_L33*Plagas_Y))*Inflación_9</f>
        <v>0</v>
      </c>
      <c r="BS26" s="101">
        <f>SUMIFS('9'!$E:$E,'9'!$A:$A,Año_Inicial+8,'9'!$B:$B,'12'!BR$4,'9'!$D:$D,"Prevención de plagas")</f>
        <v>0</v>
      </c>
      <c r="BT26" s="101">
        <f>((A9_A_L34*Plagas_A)+(A9_B_L34*Plagas_B)+(A9_C_L34*Plagas_C)+(A9_D_L34*Plagas_D)+(A9_Y_L34*Plagas_Y))*Inflación_9</f>
        <v>0</v>
      </c>
      <c r="BU26" s="101">
        <f>SUMIFS('9'!$E:$E,'9'!$A:$A,Año_Inicial+8,'9'!$B:$B,'12'!BT$4,'9'!$D:$D,"Prevención de plagas")</f>
        <v>0</v>
      </c>
      <c r="BV26" s="101">
        <f>((A9_A_L35*Plagas_A)+(A9_B_L35*Plagas_B)+(A9_C_L35*Plagas_C)+(A9_D_L35*Plagas_D)+(A9_Y_L35*Plagas_Y))*Inflación_9</f>
        <v>0</v>
      </c>
      <c r="BW26" s="101">
        <f>SUMIFS('9'!$E:$E,'9'!$A:$A,Año_Inicial+8,'9'!$B:$B,'12'!BV$4,'9'!$D:$D,"Prevención de plagas")</f>
        <v>0</v>
      </c>
      <c r="BX26" s="101">
        <f>((A9_A_L36*Plagas_A)+(A9_B_L36*Plagas_B)+(A9_C_L36*Plagas_C)+(A9_D_L36*Plagas_D)+(A9_Y_L36*Plagas_Y))*Inflación_9</f>
        <v>0</v>
      </c>
      <c r="BY26" s="101">
        <f>SUMIFS('9'!$E:$E,'9'!$A:$A,Año_Inicial+8,'9'!$B:$B,'12'!BX$4,'9'!$D:$D,"Prevención de plagas")</f>
        <v>0</v>
      </c>
      <c r="BZ26" s="101">
        <f>((A9_A_L37*Plagas_A)+(A9_B_L37*Plagas_B)+(A9_C_L37*Plagas_C)+(A9_D_L37*Plagas_D)+(A9_Y_L37*Plagas_Y))*Inflación_9</f>
        <v>0</v>
      </c>
      <c r="CA26" s="101">
        <f>SUMIFS('9'!$E:$E,'9'!$A:$A,Año_Inicial+8,'9'!$B:$B,'12'!BZ$4,'9'!$D:$D,"Prevención de plagas")</f>
        <v>0</v>
      </c>
      <c r="CB26" s="101">
        <f>((A9_A_L38*Plagas_A)+(A9_B_L38*Plagas_B)+(A9_C_L38*Plagas_C)+(A9_D_L38*Plagas_D)+(A9_Y_L38*Plagas_Y))*Inflación_9</f>
        <v>0</v>
      </c>
      <c r="CC26" s="101">
        <f>SUMIFS('9'!$E:$E,'9'!$A:$A,Año_Inicial+8,'9'!$B:$B,'12'!CB$4,'9'!$D:$D,"Prevención de plagas")</f>
        <v>0</v>
      </c>
      <c r="CD26" s="101">
        <f>((A9_A_L39*Plagas_A)+(A9_B_L39*Plagas_B)+(A9_C_L39*Plagas_C)+(A9_D_L39*Plagas_D)+(A9_Y_L39*Plagas_Y))*Inflación_9</f>
        <v>0</v>
      </c>
      <c r="CE26" s="101">
        <f>SUMIFS('9'!$E:$E,'9'!$A:$A,Año_Inicial+8,'9'!$B:$B,'12'!CD$4,'9'!$D:$D,"Prevención de plagas")</f>
        <v>0</v>
      </c>
      <c r="CF26" s="101">
        <f>((A9_A_L40*Plagas_A)+(A9_B_L40*Plagas_B)+(A9_C_L40*Plagas_C)+(A9_D_L40*Plagas_D)+(A9_Y_L40*Plagas_Y))*Inflación_9</f>
        <v>0</v>
      </c>
      <c r="CG26" s="101">
        <f>SUMIFS('9'!$E:$E,'9'!$A:$A,Año_Inicial+8,'9'!$B:$B,'12'!CF$4,'9'!$D:$D,"Prevención de plagas")</f>
        <v>0</v>
      </c>
      <c r="CH26" s="473"/>
      <c r="CI26" s="101">
        <f>Plantas_A_A9*Plagas_A*Inflación_9</f>
        <v>0</v>
      </c>
      <c r="CJ26" s="101">
        <f>Plantas_B_A9*Plagas_B</f>
        <v>0</v>
      </c>
      <c r="CK26" s="101">
        <f>Plantas_C_A9*Plagas_C</f>
        <v>0</v>
      </c>
      <c r="CL26" s="101">
        <f>Plantas_D_A9*Plagas_D</f>
        <v>0</v>
      </c>
      <c r="CM26" s="101"/>
      <c r="CN26" s="101">
        <f>Plantas_Y_A9*Plagas_Y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SUMIFS('9'!$E:$E,'9'!$A:$A,Año_Inicial+8,'9'!$D:$D,"Insecticida")</f>
        <v>0</v>
      </c>
      <c r="D27" s="100">
        <f t="shared" si="45"/>
        <v>0</v>
      </c>
      <c r="E27" s="473"/>
      <c r="F27" s="101">
        <f>((A9_A_L1*Insecticida_A)+(A9_B_L1*Insecticida_B)+(A9_C_L1*Insecticida_C)+(A9_D_L1*Insecticida_D)+(A9_Y_L1*Insecticida_Y))*Inflación_9</f>
        <v>0</v>
      </c>
      <c r="G27" s="101">
        <f>SUMIFS('9'!$E:$E,'9'!$A:$A,Año_Inicial+8,'9'!$B:$B,'12'!F$4,'9'!$D:$D,"Insecticida")</f>
        <v>0</v>
      </c>
      <c r="H27" s="101">
        <f>((A9_A_L2*Insecticida_A)+(A9_B_L2*Insecticida_B)+(A9_C_L2*Insecticida_C)+(A9_D_L2*Insecticida_D)+(A9_Y_L2*Insecticida_Y))*Inflación_9</f>
        <v>0</v>
      </c>
      <c r="I27" s="101">
        <f>SUMIFS('9'!$E:$E,'9'!$A:$A,Año_Inicial+8,'9'!$B:$B,'12'!H$4,'9'!$D:$D,"Insecticida")</f>
        <v>0</v>
      </c>
      <c r="J27" s="101">
        <f>((A9_A_L3*Insecticida_A)+(A9_B_L3*Insecticida_B)+(A9_C_L3*Insecticida_C)+(A9_D_L3*Insecticida_D)+(A9_Y_L3*Insecticida_Y))*Inflación_9</f>
        <v>0</v>
      </c>
      <c r="K27" s="101">
        <f>SUMIFS('9'!$E:$E,'9'!$A:$A,Año_Inicial+8,'9'!$B:$B,'12'!J$4,'9'!$D:$D,"Insecticida")</f>
        <v>0</v>
      </c>
      <c r="L27" s="101">
        <f>((A9_A_L4*Insecticida_A)+(A9_B_L4*Insecticida_B)+(A9_C_L4*Insecticida_C)+(A9_D_L4*Insecticida_D)+(A9_Y_L4*Insecticida_Y))*Inflación_9</f>
        <v>0</v>
      </c>
      <c r="M27" s="101">
        <f>SUMIFS('9'!$E:$E,'9'!$A:$A,Año_Inicial+8,'9'!$B:$B,'12'!L$4,'9'!$D:$D,"Insecticida")</f>
        <v>0</v>
      </c>
      <c r="N27" s="101">
        <f>((A9_A_L5*Insecticida_A)+(A9_B_L5*Insecticida_B)+(A9_C_L5*Insecticida_C)+(A9_D_L5*Insecticida_D)+(A9_Y_L5*Insecticida_Y))*Inflación_9</f>
        <v>0</v>
      </c>
      <c r="O27" s="101">
        <f>SUMIFS('9'!$E:$E,'9'!$A:$A,Año_Inicial+8,'9'!$B:$B,'12'!N$4,'9'!$D:$D,"Insecticida")</f>
        <v>0</v>
      </c>
      <c r="P27" s="101">
        <f>((A9_A_L6*Insecticida_A)+(A9_B_L6*Insecticida_B)+(A9_C_L6*Insecticida_C)+(A9_D_L6*Insecticida_D)+(A9_Y_L6*Insecticida_Y))*Inflación_9</f>
        <v>0</v>
      </c>
      <c r="Q27" s="101">
        <f>SUMIFS('9'!$E:$E,'9'!$A:$A,Año_Inicial+8,'9'!$B:$B,'12'!P$4,'9'!$D:$D,"Insecticida")</f>
        <v>0</v>
      </c>
      <c r="R27" s="101">
        <f>((A9_A_L7*Insecticida_A)+(A9_B_L7*Insecticida_B)+(A9_C_L7*Insecticida_C)+(A9_D_L7*Insecticida_D)+(A9_Y_L7*Insecticida_Y))*Inflación_9</f>
        <v>0</v>
      </c>
      <c r="S27" s="101">
        <f>SUMIFS('9'!$E:$E,'9'!$A:$A,Año_Inicial+8,'9'!$B:$B,'12'!R$4,'9'!$D:$D,"Insecticida")</f>
        <v>0</v>
      </c>
      <c r="T27" s="101">
        <f>((A9_A_L8*Insecticida_A)+(A9_B_L8*Insecticida_B)+(A9_C_L8*Insecticida_C)+(A9_D_L8*Insecticida_D)+(A9_Y_L8*Insecticida_Y))*Inflación_9</f>
        <v>0</v>
      </c>
      <c r="U27" s="101">
        <f>SUMIFS('9'!$E:$E,'9'!$A:$A,Año_Inicial+8,'9'!$B:$B,'12'!T$4,'9'!$D:$D,"Insecticida")</f>
        <v>0</v>
      </c>
      <c r="V27" s="101">
        <f>((A9_A_L9*Insecticida_A)+(A9_B_L9*Insecticida_B)+(A9_C_L9*Insecticida_C)+(A9_D_L9*Insecticida_D)+(A9_Y_L9*Insecticida_Y))*Inflación_9</f>
        <v>0</v>
      </c>
      <c r="W27" s="101">
        <f>SUMIFS('9'!$E:$E,'9'!$A:$A,Año_Inicial+8,'9'!$B:$B,'12'!V$4,'9'!$D:$D,"Insecticida")</f>
        <v>0</v>
      </c>
      <c r="X27" s="101">
        <f>((A9_A_L10*Insecticida_A)+(A9_B_L10*Insecticida_B)+(A9_C_L10*Insecticida_C)+(A9_D_L10*Insecticida_D)+(A9_Y_L10*Insecticida_Y))*Inflación_9</f>
        <v>0</v>
      </c>
      <c r="Y27" s="101">
        <f>SUMIFS('9'!$E:$E,'9'!$A:$A,Año_Inicial+8,'9'!$B:$B,'12'!X$4,'9'!$D:$D,"Insecticida")</f>
        <v>0</v>
      </c>
      <c r="Z27" s="101">
        <f>((A9_A_L11*Insecticida_A)+(A9_B_L11*Insecticida_B)+(A9_C_L11*Insecticida_C)+(A9_D_L11*Insecticida_D)+(A9_Y_L11*Insecticida_Y))*Inflación_9</f>
        <v>0</v>
      </c>
      <c r="AA27" s="101">
        <f>SUMIFS('9'!$E:$E,'9'!$A:$A,Año_Inicial+8,'9'!$B:$B,'12'!Z$4,'9'!$D:$D,"Insecticida")</f>
        <v>0</v>
      </c>
      <c r="AB27" s="101">
        <f>((A9_A_L12*Insecticida_A)+(A9_B_L12*Insecticida_B)+(A9_C_L12*Insecticida_C)+(A9_D_L12*Insecticida_D)+(A9_Y_L12*Insecticida_Y))*Inflación_9</f>
        <v>0</v>
      </c>
      <c r="AC27" s="101">
        <f>SUMIFS('9'!$E:$E,'9'!$A:$A,Año_Inicial+8,'9'!$B:$B,'12'!AB$4,'9'!$D:$D,"Insecticida")</f>
        <v>0</v>
      </c>
      <c r="AD27" s="101">
        <f>((A9_A_L13*Insecticida_A)+(A9_B_L13*Insecticida_B)+(A9_C_L13*Insecticida_C)+(A9_D_L13*Insecticida_D)+(A9_Y_L13*Insecticida_Y))*Inflación_9</f>
        <v>0</v>
      </c>
      <c r="AE27" s="101">
        <f>SUMIFS('9'!$E:$E,'9'!$A:$A,Año_Inicial+8,'9'!$B:$B,'12'!AD$4,'9'!$D:$D,"Insecticida")</f>
        <v>0</v>
      </c>
      <c r="AF27" s="101">
        <f>((A9_A_L14*Insecticida_A)+(A9_B_L14*Insecticida_B)+(A9_C_L14*Insecticida_C)+(A9_D_L14*Insecticida_D)+(A9_Y_L14*Insecticida_Y))*Inflación_9</f>
        <v>0</v>
      </c>
      <c r="AG27" s="101">
        <f>SUMIFS('9'!$E:$E,'9'!$A:$A,Año_Inicial+8,'9'!$B:$B,'12'!AF$4,'9'!$D:$D,"Insecticida")</f>
        <v>0</v>
      </c>
      <c r="AH27" s="101">
        <f>((A9_A_L15*Insecticida_A)+(A9_B_L15*Insecticida_B)+(A9_C_L15*Insecticida_C)+(A9_D_L15*Insecticida_D)+(A9_Y_L15*Insecticida_Y))*Inflación_9</f>
        <v>0</v>
      </c>
      <c r="AI27" s="101">
        <f>SUMIFS('9'!$E:$E,'9'!$A:$A,Año_Inicial+8,'9'!$B:$B,'12'!AH$4,'9'!$D:$D,"Insecticida")</f>
        <v>0</v>
      </c>
      <c r="AJ27" s="101">
        <f>((A9_A_L16*Insecticida_A)+(A9_B_L16*Insecticida_B)+(A9_C_L16*Insecticida_C)+(A9_D_L16*Insecticida_D)+(A9_Y_L16*Insecticida_Y))*Inflación_9</f>
        <v>0</v>
      </c>
      <c r="AK27" s="101">
        <f>SUMIFS('9'!$E:$E,'9'!$A:$A,Año_Inicial+8,'9'!$B:$B,'12'!AJ$4,'9'!$D:$D,"Insecticida")</f>
        <v>0</v>
      </c>
      <c r="AL27" s="101">
        <f>((A9_A_L17*Insecticida_A)+(A9_B_L17*Insecticida_B)+(A9_C_L17*Insecticida_C)+(A9_D_L17*Insecticida_D)+(A9_Y_L17*Insecticida_Y))*Inflación_9</f>
        <v>0</v>
      </c>
      <c r="AM27" s="101">
        <f>SUMIFS('9'!$E:$E,'9'!$A:$A,Año_Inicial+8,'9'!$B:$B,'12'!AL$4,'9'!$D:$D,"Insecticida")</f>
        <v>0</v>
      </c>
      <c r="AN27" s="101">
        <f>((A9_A_L18*Insecticida_A)+(A9_B_L18*Insecticida_B)+(A9_C_L18*Insecticida_C)+(A9_D_L18*Insecticida_D)+(A9_Y_L18*Insecticida_Y))*Inflación_9</f>
        <v>0</v>
      </c>
      <c r="AO27" s="101">
        <f>SUMIFS('9'!$E:$E,'9'!$A:$A,Año_Inicial+8,'9'!$B:$B,'12'!AN$4,'9'!$D:$D,"Insecticida")</f>
        <v>0</v>
      </c>
      <c r="AP27" s="101">
        <f>((A9_A_L19*Insecticida_A)+(A9_B_L19*Insecticida_B)+(A9_C_L19*Insecticida_C)+(A9_D_L19*Insecticida_D)+(A9_Y_L19*Insecticida_Y))*Inflación_9</f>
        <v>0</v>
      </c>
      <c r="AQ27" s="101">
        <f>SUMIFS('9'!$E:$E,'9'!$A:$A,Año_Inicial+8,'9'!$B:$B,'12'!AP$4,'9'!$D:$D,"Insecticida")</f>
        <v>0</v>
      </c>
      <c r="AR27" s="101">
        <f>((A9_A_L20*Insecticida_A)+(A9_B_L20*Insecticida_B)+(A9_C_L20*Insecticida_C)+(A9_D_L20*Insecticida_D)+(A9_Y_L20*Insecticida_Y))*Inflación_9</f>
        <v>0</v>
      </c>
      <c r="AS27" s="101">
        <f>SUMIFS('9'!$E:$E,'9'!$A:$A,Año_Inicial+8,'9'!$B:$B,'12'!AR$4,'9'!$D:$D,"Insecticida")</f>
        <v>0</v>
      </c>
      <c r="AT27" s="101">
        <f>((A9_A_L21*Insecticida_A)+(A9_B_L21*Insecticida_B)+(A9_C_L21*Insecticida_C)+(A9_D_L21*Insecticida_D)+(A9_Y_L21*Insecticida_Y))*Inflación_9</f>
        <v>0</v>
      </c>
      <c r="AU27" s="101">
        <f>SUMIFS('9'!$E:$E,'9'!$A:$A,Año_Inicial+8,'9'!$B:$B,'12'!AT$4,'9'!$D:$D,"Insecticida")</f>
        <v>0</v>
      </c>
      <c r="AV27" s="101">
        <f>((A9_A_L22*Insecticida_A)+(A9_B_L22*Insecticida_B)+(A9_C_L22*Insecticida_C)+(A9_D_L22*Insecticida_D)+(A9_Y_L22*Insecticida_Y))*Inflación_9</f>
        <v>0</v>
      </c>
      <c r="AW27" s="101">
        <f>SUMIFS('9'!$E:$E,'9'!$A:$A,Año_Inicial+8,'9'!$B:$B,'12'!AV$4,'9'!$D:$D,"Insecticida")</f>
        <v>0</v>
      </c>
      <c r="AX27" s="101">
        <f>((A9_A_L23*Insecticida_A)+(A9_B_L23*Insecticida_B)+(A9_C_L23*Insecticida_C)+(A9_D_L23*Insecticida_D)+(A9_Y_L23*Insecticida_Y))*Inflación_9</f>
        <v>0</v>
      </c>
      <c r="AY27" s="101">
        <f>SUMIFS('9'!$E:$E,'9'!$A:$A,Año_Inicial+8,'9'!$B:$B,'12'!AX$4,'9'!$D:$D,"Insecticida")</f>
        <v>0</v>
      </c>
      <c r="AZ27" s="101">
        <f>((A9_A_L24*Insecticida_A)+(A9_B_L24*Insecticida_B)+(A9_C_L24*Insecticida_C)+(A9_D_L24*Insecticida_D)+(A9_Y_L24*Insecticida_Y))*Inflación_9</f>
        <v>0</v>
      </c>
      <c r="BA27" s="101">
        <f>SUMIFS('9'!$E:$E,'9'!$A:$A,Año_Inicial+8,'9'!$B:$B,'12'!AZ$4,'9'!$D:$D,"Insecticida")</f>
        <v>0</v>
      </c>
      <c r="BB27" s="101">
        <f>((A9_A_L25*Insecticida_A)+(A9_B_L25*Insecticida_B)+(A9_C_L25*Insecticida_C)+(A9_D_L25*Insecticida_D)+(A9_Y_L25*Insecticida_Y))*Inflación_9</f>
        <v>0</v>
      </c>
      <c r="BC27" s="101">
        <f>SUMIFS('9'!$E:$E,'9'!$A:$A,Año_Inicial+8,'9'!$B:$B,'12'!BB$4,'9'!$D:$D,"Insecticida")</f>
        <v>0</v>
      </c>
      <c r="BD27" s="101">
        <f>((A9_A_L26*Insecticida_A)+(A9_B_L26*Insecticida_B)+(A9_C_L26*Insecticida_C)+(A9_D_L26*Insecticida_D)+(A9_Y_L26*Insecticida_Y))*Inflación_9</f>
        <v>0</v>
      </c>
      <c r="BE27" s="101">
        <f>SUMIFS('9'!$E:$E,'9'!$A:$A,Año_Inicial+8,'9'!$B:$B,'12'!BD$4,'9'!$D:$D,"Insecticida")</f>
        <v>0</v>
      </c>
      <c r="BF27" s="101">
        <f>((A9_A_L27*Insecticida_A)+(A9_B_L27*Insecticida_B)+(A9_C_L27*Insecticida_C)+(A9_D_L27*Insecticida_D)+(A9_Y_L27*Insecticida_Y))*Inflación_9</f>
        <v>0</v>
      </c>
      <c r="BG27" s="101">
        <f>SUMIFS('9'!$E:$E,'9'!$A:$A,Año_Inicial+8,'9'!$B:$B,'12'!BF$4,'9'!$D:$D,"Insecticida")</f>
        <v>0</v>
      </c>
      <c r="BH27" s="101">
        <f>((A9_A_L28*Insecticida_A)+(A9_B_L28*Insecticida_B)+(A9_C_L28*Insecticida_C)+(A9_D_L28*Insecticida_D)+(A9_Y_L28*Insecticida_Y))*Inflación_9</f>
        <v>0</v>
      </c>
      <c r="BI27" s="101">
        <f>SUMIFS('9'!$E:$E,'9'!$A:$A,Año_Inicial+8,'9'!$B:$B,'12'!BH$4,'9'!$D:$D,"Insecticida")</f>
        <v>0</v>
      </c>
      <c r="BJ27" s="101">
        <f>((A9_A_L29*Insecticida_A)+(A9_B_L29*Insecticida_B)+(A9_C_L29*Insecticida_C)+(A9_D_L29*Insecticida_D)+(A9_Y_L29*Insecticida_Y))*Inflación_9</f>
        <v>0</v>
      </c>
      <c r="BK27" s="101">
        <f>SUMIFS('9'!$E:$E,'9'!$A:$A,Año_Inicial+8,'9'!$B:$B,'12'!BJ$4,'9'!$D:$D,"Insecticida")</f>
        <v>0</v>
      </c>
      <c r="BL27" s="101">
        <f>((A9_A_L30*Insecticida_A)+(A9_B_L30*Insecticida_B)+(A9_C_L30*Insecticida_C)+(A9_D_L30*Insecticida_D)+(A9_Y_L30*Insecticida_Y))*Inflación_9</f>
        <v>0</v>
      </c>
      <c r="BM27" s="101">
        <f>SUMIFS('9'!$E:$E,'9'!$A:$A,Año_Inicial+8,'9'!$B:$B,'12'!BL$4,'9'!$D:$D,"Insecticida")</f>
        <v>0</v>
      </c>
      <c r="BN27" s="101">
        <f>((A9_A_L31*Insecticida_A)+(A9_B_L31*Insecticida_B)+(A9_C_L31*Insecticida_C)+(A9_D_L31*Insecticida_D)+(A9_Y_L31*Insecticida_Y))*Inflación_9</f>
        <v>0</v>
      </c>
      <c r="BO27" s="101">
        <f>SUMIFS('9'!$E:$E,'9'!$A:$A,Año_Inicial+8,'9'!$B:$B,'12'!BN$4,'9'!$D:$D,"Insecticida")</f>
        <v>0</v>
      </c>
      <c r="BP27" s="101">
        <f>((A9_A_L32*Insecticida_A)+(A9_B_L32*Insecticida_B)+(A9_C_L32*Insecticida_C)+(A9_D_L32*Insecticida_D)+(A9_Y_L32*Insecticida_Y))*Inflación_9</f>
        <v>0</v>
      </c>
      <c r="BQ27" s="101">
        <f>SUMIFS('9'!$E:$E,'9'!$A:$A,Año_Inicial+8,'9'!$B:$B,'12'!BP$4,'9'!$D:$D,"Insecticida")</f>
        <v>0</v>
      </c>
      <c r="BR27" s="101">
        <f>((A9_A_L33*Insecticida_A)+(A9_B_L33*Insecticida_B)+(A9_C_L33*Insecticida_C)+(A9_D_L33*Insecticida_D)+(A9_Y_L33*Insecticida_Y))*Inflación_9</f>
        <v>0</v>
      </c>
      <c r="BS27" s="101">
        <f>SUMIFS('9'!$E:$E,'9'!$A:$A,Año_Inicial+8,'9'!$B:$B,'12'!BR$4,'9'!$D:$D,"Insecticida")</f>
        <v>0</v>
      </c>
      <c r="BT27" s="101">
        <f>((A9_A_L34*Insecticida_A)+(A9_B_L34*Insecticida_B)+(A9_C_L34*Insecticida_C)+(A9_D_L34*Insecticida_D)+(A9_Y_L34*Insecticida_Y))*Inflación_9</f>
        <v>0</v>
      </c>
      <c r="BU27" s="101">
        <f>SUMIFS('9'!$E:$E,'9'!$A:$A,Año_Inicial+8,'9'!$B:$B,'12'!BT$4,'9'!$D:$D,"Insecticida")</f>
        <v>0</v>
      </c>
      <c r="BV27" s="101">
        <f>((A9_A_L35*Insecticida_A)+(A9_B_L35*Insecticida_B)+(A9_C_L35*Insecticida_C)+(A9_D_L35*Insecticida_D)+(A9_Y_L35*Insecticida_Y))*Inflación_9</f>
        <v>0</v>
      </c>
      <c r="BW27" s="101">
        <f>SUMIFS('9'!$E:$E,'9'!$A:$A,Año_Inicial+8,'9'!$B:$B,'12'!BV$4,'9'!$D:$D,"Insecticida")</f>
        <v>0</v>
      </c>
      <c r="BX27" s="101">
        <f>((A9_A_L36*Insecticida_A)+(A9_B_L36*Insecticida_B)+(A9_C_L36*Insecticida_C)+(A9_D_L36*Insecticida_D)+(A9_Y_L36*Insecticida_Y))*Inflación_9</f>
        <v>0</v>
      </c>
      <c r="BY27" s="101">
        <f>SUMIFS('9'!$E:$E,'9'!$A:$A,Año_Inicial+8,'9'!$B:$B,'12'!BX$4,'9'!$D:$D,"Insecticida")</f>
        <v>0</v>
      </c>
      <c r="BZ27" s="101">
        <f>((A9_A_L37*Insecticida_A)+(A9_B_L37*Insecticida_B)+(A9_C_L37*Insecticida_C)+(A9_D_L37*Insecticida_D)+(A9_Y_L37*Insecticida_Y))*Inflación_9</f>
        <v>0</v>
      </c>
      <c r="CA27" s="101">
        <f>SUMIFS('9'!$E:$E,'9'!$A:$A,Año_Inicial+8,'9'!$B:$B,'12'!BZ$4,'9'!$D:$D,"Insecticida")</f>
        <v>0</v>
      </c>
      <c r="CB27" s="101">
        <f>((A9_A_L38*Insecticida_A)+(A9_B_L38*Insecticida_B)+(A9_C_L38*Insecticida_C)+(A9_D_L38*Insecticida_D)+(A9_Y_L38*Insecticida_Y))*Inflación_9</f>
        <v>0</v>
      </c>
      <c r="CC27" s="101">
        <f>SUMIFS('9'!$E:$E,'9'!$A:$A,Año_Inicial+8,'9'!$B:$B,'12'!CB$4,'9'!$D:$D,"Insecticida")</f>
        <v>0</v>
      </c>
      <c r="CD27" s="101">
        <f>((A9_A_L39*Insecticida_A)+(A9_B_L39*Insecticida_B)+(A9_C_L39*Insecticida_C)+(A9_D_L39*Insecticida_D)+(A9_Y_L39*Insecticida_Y))*Inflación_9</f>
        <v>0</v>
      </c>
      <c r="CE27" s="101">
        <f>SUMIFS('9'!$E:$E,'9'!$A:$A,Año_Inicial+8,'9'!$B:$B,'12'!CD$4,'9'!$D:$D,"Insecticida")</f>
        <v>0</v>
      </c>
      <c r="CF27" s="101">
        <f>((A9_A_L40*Insecticida_A)+(A9_B_L40*Insecticida_B)+(A9_C_L40*Insecticida_C)+(A9_D_L40*Insecticida_D)+(A9_Y_L40*Insecticida_Y))*Inflación_9</f>
        <v>0</v>
      </c>
      <c r="CG27" s="101">
        <f>SUMIFS('9'!$E:$E,'9'!$A:$A,Año_Inicial+8,'9'!$B:$B,'12'!CF$4,'9'!$D:$D,"Insecticida")</f>
        <v>0</v>
      </c>
      <c r="CH27" s="473"/>
      <c r="CI27" s="101">
        <f>Plantas_A_A9*Insecticida_A*Inflación_9</f>
        <v>0</v>
      </c>
      <c r="CJ27" s="101">
        <f>Plantas_B_A9*Insecticida_B</f>
        <v>0</v>
      </c>
      <c r="CK27" s="101">
        <f>Plantas_C_A9*Insecticida_C</f>
        <v>0</v>
      </c>
      <c r="CL27" s="101">
        <f>Plantas_D_A9*Insecticida_D</f>
        <v>0</v>
      </c>
      <c r="CM27" s="101"/>
      <c r="CN27" s="101">
        <f>Plantas_Y_A9*Insecticida_Y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SUMIFS('9'!$E:$E,'9'!$A:$A,Año_Inicial+8,'9'!$D:$D,"Prevención de enfermedades")</f>
        <v>0</v>
      </c>
      <c r="D29" s="100">
        <f t="shared" si="45"/>
        <v>0</v>
      </c>
      <c r="E29" s="473"/>
      <c r="F29" s="101">
        <f>((A9_A_L1*Enfermedades_A)+(A9_B_L1*Enfermedades_B)+(A9_C_L1*Enfermedades_C)+(A9_D_L1*Enfermedades_D)+(A9_Y_L1*Enfermedades_Y))*Inflación_9</f>
        <v>0</v>
      </c>
      <c r="G29" s="101">
        <f>SUMIFS('9'!$E:$E,'9'!$A:$A,Año_Inicial+8,'9'!$B:$B,'12'!F$4,'9'!$D:$D,"Prevención de enfermedades")</f>
        <v>0</v>
      </c>
      <c r="H29" s="101">
        <f>((A9_A_L2*Enfermedades_A)+(A9_B_L2*Enfermedades_B)+(A9_C_L2*Enfermedades_C)+(A9_D_L2*Enfermedades_D)+(A9_Y_L2*Enfermedades_Y))*Inflación_9</f>
        <v>0</v>
      </c>
      <c r="I29" s="101">
        <f>SUMIFS('9'!$E:$E,'9'!$A:$A,Año_Inicial+8,'9'!$B:$B,'12'!H$4,'9'!$D:$D,"Prevención de enfermedades")</f>
        <v>0</v>
      </c>
      <c r="J29" s="101">
        <f>((A9_A_L3*Enfermedades_A)+(A9_B_L3*Enfermedades_B)+(A9_C_L3*Enfermedades_C)+(A9_D_L3*Enfermedades_D)+(A9_Y_L3*Enfermedades_Y))*Inflación_9</f>
        <v>0</v>
      </c>
      <c r="K29" s="101">
        <f>SUMIFS('9'!$E:$E,'9'!$A:$A,Año_Inicial+8,'9'!$B:$B,'12'!J$4,'9'!$D:$D,"Prevención de enfermedades")</f>
        <v>0</v>
      </c>
      <c r="L29" s="101">
        <f>((A9_A_L4*Enfermedades_A)+(A9_B_L4*Enfermedades_B)+(A9_C_L4*Enfermedades_C)+(A9_D_L4*Enfermedades_D)+(A9_Y_L4*Enfermedades_Y))*Inflación_9</f>
        <v>0</v>
      </c>
      <c r="M29" s="101">
        <f>SUMIFS('9'!$E:$E,'9'!$A:$A,Año_Inicial+8,'9'!$B:$B,'12'!L$4,'9'!$D:$D,"Prevención de enfermedades")</f>
        <v>0</v>
      </c>
      <c r="N29" s="101">
        <f>((A9_A_L5*Enfermedades_A)+(A9_B_L5*Enfermedades_B)+(A9_C_L5*Enfermedades_C)+(A9_D_L5*Enfermedades_D)+(A9_Y_L5*Enfermedades_Y))*Inflación_9</f>
        <v>0</v>
      </c>
      <c r="O29" s="101">
        <f>SUMIFS('9'!$E:$E,'9'!$A:$A,Año_Inicial+8,'9'!$B:$B,'12'!N$4,'9'!$D:$D,"Prevención de enfermedades")</f>
        <v>0</v>
      </c>
      <c r="P29" s="101">
        <f>((A9_A_L6*Enfermedades_A)+(A9_B_L6*Enfermedades_B)+(A9_C_L6*Enfermedades_C)+(A9_D_L6*Enfermedades_D)+(A9_Y_L6*Enfermedades_Y))*Inflación_9</f>
        <v>0</v>
      </c>
      <c r="Q29" s="101">
        <f>SUMIFS('9'!$E:$E,'9'!$A:$A,Año_Inicial+8,'9'!$B:$B,'12'!P$4,'9'!$D:$D,"Prevención de enfermedades")</f>
        <v>0</v>
      </c>
      <c r="R29" s="101">
        <f>((A9_A_L7*Enfermedades_A)+(A9_B_L7*Enfermedades_B)+(A9_C_L7*Enfermedades_C)+(A9_D_L7*Enfermedades_D)+(A9_Y_L7*Enfermedades_Y))*Inflación_9</f>
        <v>0</v>
      </c>
      <c r="S29" s="101">
        <f>SUMIFS('9'!$E:$E,'9'!$A:$A,Año_Inicial+8,'9'!$B:$B,'12'!R$4,'9'!$D:$D,"Prevención de enfermedades")</f>
        <v>0</v>
      </c>
      <c r="T29" s="101">
        <f>((A9_A_L8*Enfermedades_A)+(A9_B_L8*Enfermedades_B)+(A9_C_L8*Enfermedades_C)+(A9_D_L8*Enfermedades_D)+(A9_Y_L8*Enfermedades_Y))*Inflación_9</f>
        <v>0</v>
      </c>
      <c r="U29" s="101">
        <f>SUMIFS('9'!$E:$E,'9'!$A:$A,Año_Inicial+8,'9'!$B:$B,'12'!T$4,'9'!$D:$D,"Prevención de enfermedades")</f>
        <v>0</v>
      </c>
      <c r="V29" s="101">
        <f>((A9_A_L9*Enfermedades_A)+(A9_B_L9*Enfermedades_B)+(A9_C_L9*Enfermedades_C)+(A9_D_L9*Enfermedades_D)+(A9_Y_L9*Enfermedades_Y))*Inflación_9</f>
        <v>0</v>
      </c>
      <c r="W29" s="101">
        <f>SUMIFS('9'!$E:$E,'9'!$A:$A,Año_Inicial+8,'9'!$B:$B,'12'!V$4,'9'!$D:$D,"Prevención de enfermedades")</f>
        <v>0</v>
      </c>
      <c r="X29" s="101">
        <f>((A9_A_L10*Enfermedades_A)+(A9_B_L10*Enfermedades_B)+(A9_C_L10*Enfermedades_C)+(A9_D_L10*Enfermedades_D)+(A9_Y_L10*Enfermedades_Y))*Inflación_9</f>
        <v>0</v>
      </c>
      <c r="Y29" s="101">
        <f>SUMIFS('9'!$E:$E,'9'!$A:$A,Año_Inicial+8,'9'!$B:$B,'12'!X$4,'9'!$D:$D,"Prevención de enfermedades")</f>
        <v>0</v>
      </c>
      <c r="Z29" s="101">
        <f>((A9_A_L11*Enfermedades_A)+(A9_B_L11*Enfermedades_B)+(A9_C_L11*Enfermedades_C)+(A9_D_L11*Enfermedades_D)+(A9_Y_L11*Enfermedades_Y))*Inflación_9</f>
        <v>0</v>
      </c>
      <c r="AA29" s="101">
        <f>SUMIFS('9'!$E:$E,'9'!$A:$A,Año_Inicial+8,'9'!$B:$B,'12'!Z$4,'9'!$D:$D,"Prevención de enfermedades")</f>
        <v>0</v>
      </c>
      <c r="AB29" s="101">
        <f>((A9_A_L12*Enfermedades_A)+(A9_B_L12*Enfermedades_B)+(A9_C_L12*Enfermedades_C)+(A9_D_L12*Enfermedades_D)+(A9_Y_L12*Enfermedades_Y))*Inflación_9</f>
        <v>0</v>
      </c>
      <c r="AC29" s="101">
        <f>SUMIFS('9'!$E:$E,'9'!$A:$A,Año_Inicial+8,'9'!$B:$B,'12'!AB$4,'9'!$D:$D,"Prevención de enfermedades")</f>
        <v>0</v>
      </c>
      <c r="AD29" s="101">
        <f>((A9_A_L13*Enfermedades_A)+(A9_B_L13*Enfermedades_B)+(A9_C_L13*Enfermedades_C)+(A9_D_L13*Enfermedades_D)+(A9_Y_L13*Enfermedades_Y))*Inflación_9</f>
        <v>0</v>
      </c>
      <c r="AE29" s="101">
        <f>SUMIFS('9'!$E:$E,'9'!$A:$A,Año_Inicial+8,'9'!$B:$B,'12'!AD$4,'9'!$D:$D,"Prevención de enfermedades")</f>
        <v>0</v>
      </c>
      <c r="AF29" s="101">
        <f>((A9_A_L14*Enfermedades_A)+(A9_B_L14*Enfermedades_B)+(A9_C_L14*Enfermedades_C)+(A9_D_L14*Enfermedades_D)+(A9_Y_L14*Enfermedades_Y))*Inflación_9</f>
        <v>0</v>
      </c>
      <c r="AG29" s="101">
        <f>SUMIFS('9'!$E:$E,'9'!$A:$A,Año_Inicial+8,'9'!$B:$B,'12'!AF$4,'9'!$D:$D,"Prevención de enfermedades")</f>
        <v>0</v>
      </c>
      <c r="AH29" s="101">
        <f>((A9_A_L15*Enfermedades_A)+(A9_B_L15*Enfermedades_B)+(A9_C_L15*Enfermedades_C)+(A9_D_L15*Enfermedades_D)+(A9_Y_L15*Enfermedades_Y))*Inflación_9</f>
        <v>0</v>
      </c>
      <c r="AI29" s="101">
        <f>SUMIFS('9'!$E:$E,'9'!$A:$A,Año_Inicial+8,'9'!$B:$B,'12'!AH$4,'9'!$D:$D,"Prevención de enfermedades")</f>
        <v>0</v>
      </c>
      <c r="AJ29" s="101">
        <f>((A9_A_L16*Enfermedades_A)+(A9_B_L16*Enfermedades_B)+(A9_C_L16*Enfermedades_C)+(A9_D_L16*Enfermedades_D)+(A9_Y_L16*Enfermedades_Y))*Inflación_9</f>
        <v>0</v>
      </c>
      <c r="AK29" s="101">
        <f>SUMIFS('9'!$E:$E,'9'!$A:$A,Año_Inicial+8,'9'!$B:$B,'12'!AJ$4,'9'!$D:$D,"Prevención de enfermedades")</f>
        <v>0</v>
      </c>
      <c r="AL29" s="101">
        <f>((A9_A_L17*Enfermedades_A)+(A9_B_L17*Enfermedades_B)+(A9_C_L17*Enfermedades_C)+(A9_D_L17*Enfermedades_D)+(A9_Y_L17*Enfermedades_Y))*Inflación_9</f>
        <v>0</v>
      </c>
      <c r="AM29" s="101">
        <f>SUMIFS('9'!$E:$E,'9'!$A:$A,Año_Inicial+8,'9'!$B:$B,'12'!AL$4,'9'!$D:$D,"Prevención de enfermedades")</f>
        <v>0</v>
      </c>
      <c r="AN29" s="101">
        <f>((A9_A_L18*Enfermedades_A)+(A9_B_L18*Enfermedades_B)+(A9_C_L18*Enfermedades_C)+(A9_D_L18*Enfermedades_D)+(A9_Y_L18*Enfermedades_Y))*Inflación_9</f>
        <v>0</v>
      </c>
      <c r="AO29" s="101">
        <f>SUMIFS('9'!$E:$E,'9'!$A:$A,Año_Inicial+8,'9'!$B:$B,'12'!AN$4,'9'!$D:$D,"Prevención de enfermedades")</f>
        <v>0</v>
      </c>
      <c r="AP29" s="101">
        <f>((A9_A_L19*Enfermedades_A)+(A9_B_L19*Enfermedades_B)+(A9_C_L19*Enfermedades_C)+(A9_D_L19*Enfermedades_D)+(A9_Y_L19*Enfermedades_Y))*Inflación_9</f>
        <v>0</v>
      </c>
      <c r="AQ29" s="101">
        <f>SUMIFS('9'!$E:$E,'9'!$A:$A,Año_Inicial+8,'9'!$B:$B,'12'!AP$4,'9'!$D:$D,"Prevención de enfermedades")</f>
        <v>0</v>
      </c>
      <c r="AR29" s="101">
        <f>((A9_A_L20*Enfermedades_A)+(A9_B_L20*Enfermedades_B)+(A9_C_L20*Enfermedades_C)+(A9_D_L20*Enfermedades_D)+(A9_Y_L20*Enfermedades_Y))*Inflación_9</f>
        <v>0</v>
      </c>
      <c r="AS29" s="101">
        <f>SUMIFS('9'!$E:$E,'9'!$A:$A,Año_Inicial+8,'9'!$B:$B,'12'!AR$4,'9'!$D:$D,"Prevención de enfermedades")</f>
        <v>0</v>
      </c>
      <c r="AT29" s="101">
        <f>((A9_A_L21*Enfermedades_A)+(A9_B_L21*Enfermedades_B)+(A9_C_L21*Enfermedades_C)+(A9_D_L21*Enfermedades_D)+(A9_Y_L21*Enfermedades_Y))*Inflación_9</f>
        <v>0</v>
      </c>
      <c r="AU29" s="101">
        <f>SUMIFS('9'!$E:$E,'9'!$A:$A,Año_Inicial+8,'9'!$B:$B,'12'!AT$4,'9'!$D:$D,"Prevención de enfermedades")</f>
        <v>0</v>
      </c>
      <c r="AV29" s="101">
        <f>((A9_A_L22*Enfermedades_A)+(A9_B_L22*Enfermedades_B)+(A9_C_L22*Enfermedades_C)+(A9_D_L22*Enfermedades_D)+(A9_Y_L22*Enfermedades_Y))*Inflación_9</f>
        <v>0</v>
      </c>
      <c r="AW29" s="101">
        <f>SUMIFS('9'!$E:$E,'9'!$A:$A,Año_Inicial+8,'9'!$B:$B,'12'!AV$4,'9'!$D:$D,"Prevención de enfermedades")</f>
        <v>0</v>
      </c>
      <c r="AX29" s="101">
        <f>((A9_A_L23*Enfermedades_A)+(A9_B_L23*Enfermedades_B)+(A9_C_L23*Enfermedades_C)+(A9_D_L23*Enfermedades_D)+(A9_Y_L23*Enfermedades_Y))*Inflación_9</f>
        <v>0</v>
      </c>
      <c r="AY29" s="101">
        <f>SUMIFS('9'!$E:$E,'9'!$A:$A,Año_Inicial+8,'9'!$B:$B,'12'!AX$4,'9'!$D:$D,"Prevención de enfermedades")</f>
        <v>0</v>
      </c>
      <c r="AZ29" s="101">
        <f>((A9_A_L24*Enfermedades_A)+(A9_B_L24*Enfermedades_B)+(A9_C_L24*Enfermedades_C)+(A9_D_L24*Enfermedades_D)+(A9_Y_L24*Enfermedades_Y))*Inflación_9</f>
        <v>0</v>
      </c>
      <c r="BA29" s="101">
        <f>SUMIFS('9'!$E:$E,'9'!$A:$A,Año_Inicial+8,'9'!$B:$B,'12'!AZ$4,'9'!$D:$D,"Prevención de enfermedades")</f>
        <v>0</v>
      </c>
      <c r="BB29" s="101">
        <f>((A9_A_L25*Enfermedades_A)+(A9_B_L25*Enfermedades_B)+(A9_C_L25*Enfermedades_C)+(A9_D_L25*Enfermedades_D)+(A9_Y_L25*Enfermedades_Y))*Inflación_9</f>
        <v>0</v>
      </c>
      <c r="BC29" s="101">
        <f>SUMIFS('9'!$E:$E,'9'!$A:$A,Año_Inicial+8,'9'!$B:$B,'12'!BB$4,'9'!$D:$D,"Prevención de enfermedades")</f>
        <v>0</v>
      </c>
      <c r="BD29" s="101">
        <f>((A9_A_L26*Enfermedades_A)+(A9_B_L26*Enfermedades_B)+(A9_C_L26*Enfermedades_C)+(A9_D_L26*Enfermedades_D)+(A9_Y_L26*Enfermedades_Y))*Inflación_9</f>
        <v>0</v>
      </c>
      <c r="BE29" s="101">
        <f>SUMIFS('9'!$E:$E,'9'!$A:$A,Año_Inicial+8,'9'!$B:$B,'12'!BD$4,'9'!$D:$D,"Prevención de enfermedades")</f>
        <v>0</v>
      </c>
      <c r="BF29" s="101">
        <f>((A9_A_L27*Enfermedades_A)+(A9_B_L27*Enfermedades_B)+(A9_C_L27*Enfermedades_C)+(A9_D_L27*Enfermedades_D)+(A9_Y_L27*Enfermedades_Y))*Inflación_9</f>
        <v>0</v>
      </c>
      <c r="BG29" s="101">
        <f>SUMIFS('9'!$E:$E,'9'!$A:$A,Año_Inicial+8,'9'!$B:$B,'12'!BF$4,'9'!$D:$D,"Prevención de enfermedades")</f>
        <v>0</v>
      </c>
      <c r="BH29" s="101">
        <f>((A9_A_L28*Enfermedades_A)+(A9_B_L28*Enfermedades_B)+(A9_C_L28*Enfermedades_C)+(A9_D_L28*Enfermedades_D)+(A9_Y_L28*Enfermedades_Y))*Inflación_9</f>
        <v>0</v>
      </c>
      <c r="BI29" s="101">
        <f>SUMIFS('9'!$E:$E,'9'!$A:$A,Año_Inicial+8,'9'!$B:$B,'12'!BH$4,'9'!$D:$D,"Prevención de enfermedades")</f>
        <v>0</v>
      </c>
      <c r="BJ29" s="101">
        <f>((A9_A_L29*Enfermedades_A)+(A9_B_L29*Enfermedades_B)+(A9_C_L29*Enfermedades_C)+(A9_D_L29*Enfermedades_D)+(A9_Y_L29*Enfermedades_Y))*Inflación_9</f>
        <v>0</v>
      </c>
      <c r="BK29" s="101">
        <f>SUMIFS('9'!$E:$E,'9'!$A:$A,Año_Inicial+8,'9'!$B:$B,'12'!BJ$4,'9'!$D:$D,"Prevención de enfermedades")</f>
        <v>0</v>
      </c>
      <c r="BL29" s="101">
        <f>((A9_A_L30*Enfermedades_A)+(A9_B_L30*Enfermedades_B)+(A9_C_L30*Enfermedades_C)+(A9_D_L30*Enfermedades_D)+(A9_Y_L30*Enfermedades_Y))*Inflación_9</f>
        <v>0</v>
      </c>
      <c r="BM29" s="101">
        <f>SUMIFS('9'!$E:$E,'9'!$A:$A,Año_Inicial+8,'9'!$B:$B,'12'!BL$4,'9'!$D:$D,"Prevención de enfermedades")</f>
        <v>0</v>
      </c>
      <c r="BN29" s="101">
        <f>((A9_A_L31*Enfermedades_A)+(A9_B_L31*Enfermedades_B)+(A9_C_L31*Enfermedades_C)+(A9_D_L31*Enfermedades_D)+(A9_Y_L31*Enfermedades_Y))*Inflación_9</f>
        <v>0</v>
      </c>
      <c r="BO29" s="101">
        <f>SUMIFS('9'!$E:$E,'9'!$A:$A,Año_Inicial+8,'9'!$B:$B,'12'!BN$4,'9'!$D:$D,"Prevención de enfermedades")</f>
        <v>0</v>
      </c>
      <c r="BP29" s="101">
        <f>((A9_A_L32*Enfermedades_A)+(A9_B_L32*Enfermedades_B)+(A9_C_L32*Enfermedades_C)+(A9_D_L32*Enfermedades_D)+(A9_Y_L32*Enfermedades_Y))*Inflación_9</f>
        <v>0</v>
      </c>
      <c r="BQ29" s="101">
        <f>SUMIFS('9'!$E:$E,'9'!$A:$A,Año_Inicial+8,'9'!$B:$B,'12'!BP$4,'9'!$D:$D,"Prevención de enfermedades")</f>
        <v>0</v>
      </c>
      <c r="BR29" s="101">
        <f>((A9_A_L33*Enfermedades_A)+(A9_B_L33*Enfermedades_B)+(A9_C_L33*Enfermedades_C)+(A9_D_L33*Enfermedades_D)+(A9_Y_L33*Enfermedades_Y))*Inflación_9</f>
        <v>0</v>
      </c>
      <c r="BS29" s="101">
        <f>SUMIFS('9'!$E:$E,'9'!$A:$A,Año_Inicial+8,'9'!$B:$B,'12'!BR$4,'9'!$D:$D,"Prevención de enfermedades")</f>
        <v>0</v>
      </c>
      <c r="BT29" s="101">
        <f>((A9_A_L34*Enfermedades_A)+(A9_B_L34*Enfermedades_B)+(A9_C_L34*Enfermedades_C)+(A9_D_L34*Enfermedades_D)+(A9_Y_L34*Enfermedades_Y))*Inflación_9</f>
        <v>0</v>
      </c>
      <c r="BU29" s="101">
        <f>SUMIFS('9'!$E:$E,'9'!$A:$A,Año_Inicial+8,'9'!$B:$B,'12'!BT$4,'9'!$D:$D,"Prevención de enfermedades")</f>
        <v>0</v>
      </c>
      <c r="BV29" s="101">
        <f>((A9_A_L35*Enfermedades_A)+(A9_B_L35*Enfermedades_B)+(A9_C_L35*Enfermedades_C)+(A9_D_L35*Enfermedades_D)+(A9_Y_L35*Enfermedades_Y))*Inflación_9</f>
        <v>0</v>
      </c>
      <c r="BW29" s="101">
        <f>SUMIFS('9'!$E:$E,'9'!$A:$A,Año_Inicial+8,'9'!$B:$B,'12'!BV$4,'9'!$D:$D,"Prevención de enfermedades")</f>
        <v>0</v>
      </c>
      <c r="BX29" s="101">
        <f>((A9_A_L36*Enfermedades_A)+(A9_B_L36*Enfermedades_B)+(A9_C_L36*Enfermedades_C)+(A9_D_L36*Enfermedades_D)+(A9_Y_L36*Enfermedades_Y))*Inflación_9</f>
        <v>0</v>
      </c>
      <c r="BY29" s="101">
        <f>SUMIFS('9'!$E:$E,'9'!$A:$A,Año_Inicial+8,'9'!$B:$B,'12'!BX$4,'9'!$D:$D,"Prevención de enfermedades")</f>
        <v>0</v>
      </c>
      <c r="BZ29" s="101">
        <f>((A9_A_L37*Enfermedades_A)+(A9_B_L37*Enfermedades_B)+(A9_C_L37*Enfermedades_C)+(A9_D_L37*Enfermedades_D)+(A9_Y_L37*Enfermedades_Y))*Inflación_9</f>
        <v>0</v>
      </c>
      <c r="CA29" s="101">
        <f>SUMIFS('9'!$E:$E,'9'!$A:$A,Año_Inicial+8,'9'!$B:$B,'12'!BZ$4,'9'!$D:$D,"Prevención de enfermedades")</f>
        <v>0</v>
      </c>
      <c r="CB29" s="101">
        <f>((A9_A_L38*Enfermedades_A)+(A9_B_L38*Enfermedades_B)+(A9_C_L38*Enfermedades_C)+(A9_D_L38*Enfermedades_D)+(A9_Y_L38*Enfermedades_Y))*Inflación_9</f>
        <v>0</v>
      </c>
      <c r="CC29" s="101">
        <f>SUMIFS('9'!$E:$E,'9'!$A:$A,Año_Inicial+8,'9'!$B:$B,'12'!CB$4,'9'!$D:$D,"Prevención de enfermedades")</f>
        <v>0</v>
      </c>
      <c r="CD29" s="101">
        <f>((A9_A_L39*Enfermedades_A)+(A9_B_L39*Enfermedades_B)+(A9_C_L39*Enfermedades_C)+(A9_D_L39*Enfermedades_D)+(A9_Y_L39*Enfermedades_Y))*Inflación_9</f>
        <v>0</v>
      </c>
      <c r="CE29" s="101">
        <f>SUMIFS('9'!$E:$E,'9'!$A:$A,Año_Inicial+8,'9'!$B:$B,'12'!CD$4,'9'!$D:$D,"Prevención de enfermedades")</f>
        <v>0</v>
      </c>
      <c r="CF29" s="101">
        <f>((A9_A_L40*Enfermedades_A)+(A9_B_L40*Enfermedades_B)+(A9_C_L40*Enfermedades_C)+(A9_D_L40*Enfermedades_D)+(A9_Y_L40*Enfermedades_Y))*Inflación_9</f>
        <v>0</v>
      </c>
      <c r="CG29" s="101">
        <f>SUMIFS('9'!$E:$E,'9'!$A:$A,Año_Inicial+8,'9'!$B:$B,'12'!CF$4,'9'!$D:$D,"Prevención de enfermedades")</f>
        <v>0</v>
      </c>
      <c r="CH29" s="473"/>
      <c r="CI29" s="101">
        <f>Plantas_A_A9*Enfermedades_A*Inflación_9</f>
        <v>0</v>
      </c>
      <c r="CJ29" s="101">
        <f>Plantas_B_A9*Enfermedades_B</f>
        <v>0</v>
      </c>
      <c r="CK29" s="101">
        <f>Plantas_C_A9*Enfermedades_C</f>
        <v>0</v>
      </c>
      <c r="CL29" s="101">
        <f>Plantas_D_A9*Enfermedades_D</f>
        <v>0</v>
      </c>
      <c r="CM29" s="101"/>
      <c r="CN29" s="101">
        <f>Plantas_Y_A9*Enfermedades_Y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SUMIFS('9'!$E:$E,'9'!$A:$A,Año_Inicial+8,'9'!$D:$D,"Fungicida")</f>
        <v>0</v>
      </c>
      <c r="D30" s="100">
        <f t="shared" si="45"/>
        <v>0</v>
      </c>
      <c r="E30" s="473"/>
      <c r="F30" s="101">
        <f>((A9_A_L1*Fungicida_A)+(A9_B_L1*Fungicida_B)+(A9_C_L1*Fungicida_C)+(A9_D_L1*Fungicida_D)+(A9_Y_L1*Fungicida_Y))*Inflación_9</f>
        <v>0</v>
      </c>
      <c r="G30" s="101">
        <f>SUMIFS('9'!$E:$E,'9'!$A:$A,Año_Inicial+8,'9'!$B:$B,'12'!F$4,'9'!$D:$D,"Fungicida")</f>
        <v>0</v>
      </c>
      <c r="H30" s="101">
        <f>((A9_A_L2*Fungicida_A)+(A9_B_L2*Fungicida_B)+(A9_C_L2*Fungicida_C)+(A9_D_L2*Fungicida_D)+(A9_Y_L2*Fungicida_Y))*Inflación_9</f>
        <v>0</v>
      </c>
      <c r="I30" s="101">
        <f>SUMIFS('9'!$E:$E,'9'!$A:$A,Año_Inicial+8,'9'!$B:$B,'12'!H$4,'9'!$D:$D,"Fungicida")</f>
        <v>0</v>
      </c>
      <c r="J30" s="101">
        <f>((A9_A_L3*Fungicida_A)+(A9_B_L3*Fungicida_B)+(A9_C_L3*Fungicida_C)+(A9_D_L3*Fungicida_D)+(A9_Y_L3*Fungicida_Y))*Inflación_9</f>
        <v>0</v>
      </c>
      <c r="K30" s="101">
        <f>SUMIFS('9'!$E:$E,'9'!$A:$A,Año_Inicial+8,'9'!$B:$B,'12'!J$4,'9'!$D:$D,"Fungicida")</f>
        <v>0</v>
      </c>
      <c r="L30" s="101">
        <f>((A9_A_L4*Fungicida_A)+(A9_B_L4*Fungicida_B)+(A9_C_L4*Fungicida_C)+(A9_D_L4*Fungicida_D)+(A9_Y_L4*Fungicida_Y))*Inflación_9</f>
        <v>0</v>
      </c>
      <c r="M30" s="101">
        <f>SUMIFS('9'!$E:$E,'9'!$A:$A,Año_Inicial+8,'9'!$B:$B,'12'!L$4,'9'!$D:$D,"Fungicida")</f>
        <v>0</v>
      </c>
      <c r="N30" s="101">
        <f>((A9_A_L5*Fungicida_A)+(A9_B_L5*Fungicida_B)+(A9_C_L5*Fungicida_C)+(A9_D_L5*Fungicida_D)+(A9_Y_L5*Fungicida_Y))*Inflación_9</f>
        <v>0</v>
      </c>
      <c r="O30" s="101">
        <f>SUMIFS('9'!$E:$E,'9'!$A:$A,Año_Inicial+8,'9'!$B:$B,'12'!N$4,'9'!$D:$D,"Fungicida")</f>
        <v>0</v>
      </c>
      <c r="P30" s="101">
        <f>((A9_A_L6*Fungicida_A)+(A9_B_L6*Fungicida_B)+(A9_C_L6*Fungicida_C)+(A9_D_L6*Fungicida_D)+(A9_Y_L6*Fungicida_Y))*Inflación_9</f>
        <v>0</v>
      </c>
      <c r="Q30" s="101">
        <f>SUMIFS('9'!$E:$E,'9'!$A:$A,Año_Inicial+8,'9'!$B:$B,'12'!P$4,'9'!$D:$D,"Fungicida")</f>
        <v>0</v>
      </c>
      <c r="R30" s="101">
        <f>((A9_A_L7*Fungicida_A)+(A9_B_L7*Fungicida_B)+(A9_C_L7*Fungicida_C)+(A9_D_L7*Fungicida_D)+(A9_Y_L7*Fungicida_Y))*Inflación_9</f>
        <v>0</v>
      </c>
      <c r="S30" s="101">
        <f>SUMIFS('9'!$E:$E,'9'!$A:$A,Año_Inicial+8,'9'!$B:$B,'12'!R$4,'9'!$D:$D,"Fungicida")</f>
        <v>0</v>
      </c>
      <c r="T30" s="101">
        <f>((A9_A_L8*Fungicida_A)+(A9_B_L8*Fungicida_B)+(A9_C_L8*Fungicida_C)+(A9_D_L8*Fungicida_D)+(A9_Y_L8*Fungicida_Y))*Inflación_9</f>
        <v>0</v>
      </c>
      <c r="U30" s="101">
        <f>SUMIFS('9'!$E:$E,'9'!$A:$A,Año_Inicial+8,'9'!$B:$B,'12'!T$4,'9'!$D:$D,"Fungicida")</f>
        <v>0</v>
      </c>
      <c r="V30" s="101">
        <f>((A9_A_L9*Fungicida_A)+(A9_B_L9*Fungicida_B)+(A9_C_L9*Fungicida_C)+(A9_D_L9*Fungicida_D)+(A9_Y_L9*Fungicida_Y))*Inflación_9</f>
        <v>0</v>
      </c>
      <c r="W30" s="101">
        <f>SUMIFS('9'!$E:$E,'9'!$A:$A,Año_Inicial+8,'9'!$B:$B,'12'!V$4,'9'!$D:$D,"Fungicida")</f>
        <v>0</v>
      </c>
      <c r="X30" s="101">
        <f>((A9_A_L10*Fungicida_A)+(A9_B_L10*Fungicida_B)+(A9_C_L10*Fungicida_C)+(A9_D_L10*Fungicida_D)+(A9_Y_L10*Fungicida_Y))*Inflación_9</f>
        <v>0</v>
      </c>
      <c r="Y30" s="101">
        <f>SUMIFS('9'!$E:$E,'9'!$A:$A,Año_Inicial+8,'9'!$B:$B,'12'!X$4,'9'!$D:$D,"Fungicida")</f>
        <v>0</v>
      </c>
      <c r="Z30" s="101">
        <f>((A9_A_L11*Fungicida_A)+(A9_B_L11*Fungicida_B)+(A9_C_L11*Fungicida_C)+(A9_D_L11*Fungicida_D)+(A9_Y_L11*Fungicida_Y))*Inflación_9</f>
        <v>0</v>
      </c>
      <c r="AA30" s="101">
        <f>SUMIFS('9'!$E:$E,'9'!$A:$A,Año_Inicial+8,'9'!$B:$B,'12'!Z$4,'9'!$D:$D,"Fungicida")</f>
        <v>0</v>
      </c>
      <c r="AB30" s="101">
        <f>((A9_A_L12*Fungicida_A)+(A9_B_L12*Fungicida_B)+(A9_C_L12*Fungicida_C)+(A9_D_L12*Fungicida_D)+(A9_Y_L12*Fungicida_Y))*Inflación_9</f>
        <v>0</v>
      </c>
      <c r="AC30" s="101">
        <f>SUMIFS('9'!$E:$E,'9'!$A:$A,Año_Inicial+8,'9'!$B:$B,'12'!AB$4,'9'!$D:$D,"Fungicida")</f>
        <v>0</v>
      </c>
      <c r="AD30" s="101">
        <f>((A9_A_L13*Fungicida_A)+(A9_B_L13*Fungicida_B)+(A9_C_L13*Fungicida_C)+(A9_D_L13*Fungicida_D)+(A9_Y_L13*Fungicida_Y))*Inflación_9</f>
        <v>0</v>
      </c>
      <c r="AE30" s="101">
        <f>SUMIFS('9'!$E:$E,'9'!$A:$A,Año_Inicial+8,'9'!$B:$B,'12'!AD$4,'9'!$D:$D,"Fungicida")</f>
        <v>0</v>
      </c>
      <c r="AF30" s="101">
        <f>((A9_A_L14*Fungicida_A)+(A9_B_L14*Fungicida_B)+(A9_C_L14*Fungicida_C)+(A9_D_L14*Fungicida_D)+(A9_Y_L14*Fungicida_Y))*Inflación_9</f>
        <v>0</v>
      </c>
      <c r="AG30" s="101">
        <f>SUMIFS('9'!$E:$E,'9'!$A:$A,Año_Inicial+8,'9'!$B:$B,'12'!AF$4,'9'!$D:$D,"Fungicida")</f>
        <v>0</v>
      </c>
      <c r="AH30" s="101">
        <f>((A9_A_L15*Fungicida_A)+(A9_B_L15*Fungicida_B)+(A9_C_L15*Fungicida_C)+(A9_D_L15*Fungicida_D)+(A9_Y_L15*Fungicida_Y))*Inflación_9</f>
        <v>0</v>
      </c>
      <c r="AI30" s="101">
        <f>SUMIFS('9'!$E:$E,'9'!$A:$A,Año_Inicial+8,'9'!$B:$B,'12'!AH$4,'9'!$D:$D,"Fungicida")</f>
        <v>0</v>
      </c>
      <c r="AJ30" s="101">
        <f>((A9_A_L16*Fungicida_A)+(A9_B_L16*Fungicida_B)+(A9_C_L16*Fungicida_C)+(A9_D_L16*Fungicida_D)+(A9_Y_L16*Fungicida_Y))*Inflación_9</f>
        <v>0</v>
      </c>
      <c r="AK30" s="101">
        <f>SUMIFS('9'!$E:$E,'9'!$A:$A,Año_Inicial+8,'9'!$B:$B,'12'!AJ$4,'9'!$D:$D,"Fungicida")</f>
        <v>0</v>
      </c>
      <c r="AL30" s="101">
        <f>((A9_A_L17*Fungicida_A)+(A9_B_L17*Fungicida_B)+(A9_C_L17*Fungicida_C)+(A9_D_L17*Fungicida_D)+(A9_Y_L17*Fungicida_Y))*Inflación_9</f>
        <v>0</v>
      </c>
      <c r="AM30" s="101">
        <f>SUMIFS('9'!$E:$E,'9'!$A:$A,Año_Inicial+8,'9'!$B:$B,'12'!AL$4,'9'!$D:$D,"Fungicida")</f>
        <v>0</v>
      </c>
      <c r="AN30" s="101">
        <f>((A9_A_L18*Fungicida_A)+(A9_B_L18*Fungicida_B)+(A9_C_L18*Fungicida_C)+(A9_D_L18*Fungicida_D)+(A9_Y_L18*Fungicida_Y))*Inflación_9</f>
        <v>0</v>
      </c>
      <c r="AO30" s="101">
        <f>SUMIFS('9'!$E:$E,'9'!$A:$A,Año_Inicial+8,'9'!$B:$B,'12'!AN$4,'9'!$D:$D,"Fungicida")</f>
        <v>0</v>
      </c>
      <c r="AP30" s="101">
        <f>((A9_A_L19*Fungicida_A)+(A9_B_L19*Fungicida_B)+(A9_C_L19*Fungicida_C)+(A9_D_L19*Fungicida_D)+(A9_Y_L19*Fungicida_Y))*Inflación_9</f>
        <v>0</v>
      </c>
      <c r="AQ30" s="101">
        <f>SUMIFS('9'!$E:$E,'9'!$A:$A,Año_Inicial+8,'9'!$B:$B,'12'!AP$4,'9'!$D:$D,"Fungicida")</f>
        <v>0</v>
      </c>
      <c r="AR30" s="101">
        <f>((A9_A_L20*Fungicida_A)+(A9_B_L20*Fungicida_B)+(A9_C_L20*Fungicida_C)+(A9_D_L20*Fungicida_D)+(A9_Y_L20*Fungicida_Y))*Inflación_9</f>
        <v>0</v>
      </c>
      <c r="AS30" s="101">
        <f>SUMIFS('9'!$E:$E,'9'!$A:$A,Año_Inicial+8,'9'!$B:$B,'12'!AR$4,'9'!$D:$D,"Fungicida")</f>
        <v>0</v>
      </c>
      <c r="AT30" s="101">
        <f>((A9_A_L21*Fungicida_A)+(A9_B_L21*Fungicida_B)+(A9_C_L21*Fungicida_C)+(A9_D_L21*Fungicida_D)+(A9_Y_L21*Fungicida_Y))*Inflación_9</f>
        <v>0</v>
      </c>
      <c r="AU30" s="101">
        <f>SUMIFS('9'!$E:$E,'9'!$A:$A,Año_Inicial+8,'9'!$B:$B,'12'!AT$4,'9'!$D:$D,"Fungicida")</f>
        <v>0</v>
      </c>
      <c r="AV30" s="101">
        <f>((A9_A_L22*Fungicida_A)+(A9_B_L22*Fungicida_B)+(A9_C_L22*Fungicida_C)+(A9_D_L22*Fungicida_D)+(A9_Y_L22*Fungicida_Y))*Inflación_9</f>
        <v>0</v>
      </c>
      <c r="AW30" s="101">
        <f>SUMIFS('9'!$E:$E,'9'!$A:$A,Año_Inicial+8,'9'!$B:$B,'12'!AV$4,'9'!$D:$D,"Fungicida")</f>
        <v>0</v>
      </c>
      <c r="AX30" s="101">
        <f>((A9_A_L23*Fungicida_A)+(A9_B_L23*Fungicida_B)+(A9_C_L23*Fungicida_C)+(A9_D_L23*Fungicida_D)+(A9_Y_L23*Fungicida_Y))*Inflación_9</f>
        <v>0</v>
      </c>
      <c r="AY30" s="101">
        <f>SUMIFS('9'!$E:$E,'9'!$A:$A,Año_Inicial+8,'9'!$B:$B,'12'!AX$4,'9'!$D:$D,"Fungicida")</f>
        <v>0</v>
      </c>
      <c r="AZ30" s="101">
        <f>((A9_A_L24*Fungicida_A)+(A9_B_L24*Fungicida_B)+(A9_C_L24*Fungicida_C)+(A9_D_L24*Fungicida_D)+(A9_Y_L24*Fungicida_Y))*Inflación_9</f>
        <v>0</v>
      </c>
      <c r="BA30" s="101">
        <f>SUMIFS('9'!$E:$E,'9'!$A:$A,Año_Inicial+8,'9'!$B:$B,'12'!AZ$4,'9'!$D:$D,"Fungicida")</f>
        <v>0</v>
      </c>
      <c r="BB30" s="101">
        <f>((A9_A_L25*Fungicida_A)+(A9_B_L25*Fungicida_B)+(A9_C_L25*Fungicida_C)+(A9_D_L25*Fungicida_D)+(A9_Y_L25*Fungicida_Y))*Inflación_9</f>
        <v>0</v>
      </c>
      <c r="BC30" s="101">
        <f>SUMIFS('9'!$E:$E,'9'!$A:$A,Año_Inicial+8,'9'!$B:$B,'12'!BB$4,'9'!$D:$D,"Fungicida")</f>
        <v>0</v>
      </c>
      <c r="BD30" s="101">
        <f>((A9_A_L26*Fungicida_A)+(A9_B_L26*Fungicida_B)+(A9_C_L26*Fungicida_C)+(A9_D_L26*Fungicida_D)+(A9_Y_L26*Fungicida_Y))*Inflación_9</f>
        <v>0</v>
      </c>
      <c r="BE30" s="101">
        <f>SUMIFS('9'!$E:$E,'9'!$A:$A,Año_Inicial+8,'9'!$B:$B,'12'!BD$4,'9'!$D:$D,"Fungicida")</f>
        <v>0</v>
      </c>
      <c r="BF30" s="101">
        <f>((A9_A_L27*Fungicida_A)+(A9_B_L27*Fungicida_B)+(A9_C_L27*Fungicida_C)+(A9_D_L27*Fungicida_D)+(A9_Y_L27*Fungicida_Y))*Inflación_9</f>
        <v>0</v>
      </c>
      <c r="BG30" s="101">
        <f>SUMIFS('9'!$E:$E,'9'!$A:$A,Año_Inicial+8,'9'!$B:$B,'12'!BF$4,'9'!$D:$D,"Fungicida")</f>
        <v>0</v>
      </c>
      <c r="BH30" s="101">
        <f>((A9_A_L28*Fungicida_A)+(A9_B_L28*Fungicida_B)+(A9_C_L28*Fungicida_C)+(A9_D_L28*Fungicida_D)+(A9_Y_L28*Fungicida_Y))*Inflación_9</f>
        <v>0</v>
      </c>
      <c r="BI30" s="101">
        <f>SUMIFS('9'!$E:$E,'9'!$A:$A,Año_Inicial+8,'9'!$B:$B,'12'!BH$4,'9'!$D:$D,"Fungicida")</f>
        <v>0</v>
      </c>
      <c r="BJ30" s="101">
        <f>((A9_A_L29*Fungicida_A)+(A9_B_L29*Fungicida_B)+(A9_C_L29*Fungicida_C)+(A9_D_L29*Fungicida_D)+(A9_Y_L29*Fungicida_Y))*Inflación_9</f>
        <v>0</v>
      </c>
      <c r="BK30" s="101">
        <f>SUMIFS('9'!$E:$E,'9'!$A:$A,Año_Inicial+8,'9'!$B:$B,'12'!BJ$4,'9'!$D:$D,"Fungicida")</f>
        <v>0</v>
      </c>
      <c r="BL30" s="101">
        <f>((A9_A_L30*Fungicida_A)+(A9_B_L30*Fungicida_B)+(A9_C_L30*Fungicida_C)+(A9_D_L30*Fungicida_D)+(A9_Y_L30*Fungicida_Y))*Inflación_9</f>
        <v>0</v>
      </c>
      <c r="BM30" s="101">
        <f>SUMIFS('9'!$E:$E,'9'!$A:$A,Año_Inicial+8,'9'!$B:$B,'12'!BL$4,'9'!$D:$D,"Fungicida")</f>
        <v>0</v>
      </c>
      <c r="BN30" s="101">
        <f>((A9_A_L31*Fungicida_A)+(A9_B_L31*Fungicida_B)+(A9_C_L31*Fungicida_C)+(A9_D_L31*Fungicida_D)+(A9_Y_L31*Fungicida_Y))*Inflación_9</f>
        <v>0</v>
      </c>
      <c r="BO30" s="101">
        <f>SUMIFS('9'!$E:$E,'9'!$A:$A,Año_Inicial+8,'9'!$B:$B,'12'!BN$4,'9'!$D:$D,"Fungicida")</f>
        <v>0</v>
      </c>
      <c r="BP30" s="101">
        <f>((A9_A_L32*Fungicida_A)+(A9_B_L32*Fungicida_B)+(A9_C_L32*Fungicida_C)+(A9_D_L32*Fungicida_D)+(A9_Y_L32*Fungicida_Y))*Inflación_9</f>
        <v>0</v>
      </c>
      <c r="BQ30" s="101">
        <f>SUMIFS('9'!$E:$E,'9'!$A:$A,Año_Inicial+8,'9'!$B:$B,'12'!BP$4,'9'!$D:$D,"Fungicida")</f>
        <v>0</v>
      </c>
      <c r="BR30" s="101">
        <f>((A9_A_L33*Fungicida_A)+(A9_B_L33*Fungicida_B)+(A9_C_L33*Fungicida_C)+(A9_D_L33*Fungicida_D)+(A9_Y_L33*Fungicida_Y))*Inflación_9</f>
        <v>0</v>
      </c>
      <c r="BS30" s="101">
        <f>SUMIFS('9'!$E:$E,'9'!$A:$A,Año_Inicial+8,'9'!$B:$B,'12'!BR$4,'9'!$D:$D,"Fungicida")</f>
        <v>0</v>
      </c>
      <c r="BT30" s="101">
        <f>((A9_A_L34*Fungicida_A)+(A9_B_L34*Fungicida_B)+(A9_C_L34*Fungicida_C)+(A9_D_L34*Fungicida_D)+(A9_Y_L34*Fungicida_Y))*Inflación_9</f>
        <v>0</v>
      </c>
      <c r="BU30" s="101">
        <f>SUMIFS('9'!$E:$E,'9'!$A:$A,Año_Inicial+8,'9'!$B:$B,'12'!BT$4,'9'!$D:$D,"Fungicida")</f>
        <v>0</v>
      </c>
      <c r="BV30" s="101">
        <f>((A9_A_L35*Fungicida_A)+(A9_B_L35*Fungicida_B)+(A9_C_L35*Fungicida_C)+(A9_D_L35*Fungicida_D)+(A9_Y_L35*Fungicida_Y))*Inflación_9</f>
        <v>0</v>
      </c>
      <c r="BW30" s="101">
        <f>SUMIFS('9'!$E:$E,'9'!$A:$A,Año_Inicial+8,'9'!$B:$B,'12'!BV$4,'9'!$D:$D,"Fungicida")</f>
        <v>0</v>
      </c>
      <c r="BX30" s="101">
        <f>((A9_A_L36*Fungicida_A)+(A9_B_L36*Fungicida_B)+(A9_C_L36*Fungicida_C)+(A9_D_L36*Fungicida_D)+(A9_Y_L36*Fungicida_Y))*Inflación_9</f>
        <v>0</v>
      </c>
      <c r="BY30" s="101">
        <f>SUMIFS('9'!$E:$E,'9'!$A:$A,Año_Inicial+8,'9'!$B:$B,'12'!BX$4,'9'!$D:$D,"Fungicida")</f>
        <v>0</v>
      </c>
      <c r="BZ30" s="101">
        <f>((A9_A_L37*Fungicida_A)+(A9_B_L37*Fungicida_B)+(A9_C_L37*Fungicida_C)+(A9_D_L37*Fungicida_D)+(A9_Y_L37*Fungicida_Y))*Inflación_9</f>
        <v>0</v>
      </c>
      <c r="CA30" s="101">
        <f>SUMIFS('9'!$E:$E,'9'!$A:$A,Año_Inicial+8,'9'!$B:$B,'12'!BZ$4,'9'!$D:$D,"Fungicida")</f>
        <v>0</v>
      </c>
      <c r="CB30" s="101">
        <f>((A9_A_L38*Fungicida_A)+(A9_B_L38*Fungicida_B)+(A9_C_L38*Fungicida_C)+(A9_D_L38*Fungicida_D)+(A9_Y_L38*Fungicida_Y))*Inflación_9</f>
        <v>0</v>
      </c>
      <c r="CC30" s="101">
        <f>SUMIFS('9'!$E:$E,'9'!$A:$A,Año_Inicial+8,'9'!$B:$B,'12'!CB$4,'9'!$D:$D,"Fungicida")</f>
        <v>0</v>
      </c>
      <c r="CD30" s="101">
        <f>((A9_A_L39*Fungicida_A)+(A9_B_L39*Fungicida_B)+(A9_C_L39*Fungicida_C)+(A9_D_L39*Fungicida_D)+(A9_Y_L39*Fungicida_Y))*Inflación_9</f>
        <v>0</v>
      </c>
      <c r="CE30" s="101">
        <f>SUMIFS('9'!$E:$E,'9'!$A:$A,Año_Inicial+8,'9'!$B:$B,'12'!CD$4,'9'!$D:$D,"Fungicida")</f>
        <v>0</v>
      </c>
      <c r="CF30" s="101">
        <f>((A9_A_L40*Fungicida_A)+(A9_B_L40*Fungicida_B)+(A9_C_L40*Fungicida_C)+(A9_D_L40*Fungicida_D)+(A9_Y_L40*Fungicida_Y))*Inflación_9</f>
        <v>0</v>
      </c>
      <c r="CG30" s="101">
        <f>SUMIFS('9'!$E:$E,'9'!$A:$A,Año_Inicial+8,'9'!$B:$B,'12'!CF$4,'9'!$D:$D,"Fungicida")</f>
        <v>0</v>
      </c>
      <c r="CH30" s="473"/>
      <c r="CI30" s="101">
        <f>Plantas_A_A9*Fungicida_A*Inflación_9</f>
        <v>0</v>
      </c>
      <c r="CJ30" s="101">
        <f>Plantas_B_A9*Fungicida_B</f>
        <v>0</v>
      </c>
      <c r="CK30" s="101">
        <f>Plantas_C_A9*Fungicida_C</f>
        <v>0</v>
      </c>
      <c r="CL30" s="101">
        <f>Plantas_D_A9*Fungicida_D</f>
        <v>0</v>
      </c>
      <c r="CM30" s="101"/>
      <c r="CN30" s="101">
        <f>Plantas_Y_A9*Fungicida_Y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SUMIFS('9'!$E:$E,'9'!$A:$A,Año_Inicial+8,'9'!$D:$D,"Manejo de sombra")</f>
        <v>0</v>
      </c>
      <c r="D32" s="100">
        <f t="shared" si="45"/>
        <v>0</v>
      </c>
      <c r="E32" s="473"/>
      <c r="F32" s="101">
        <f>((A9_A_L1*Sombra_A)+(A9_B_L1*Sombra_B)+(A9_C_L1*Sombra_C)+(A9_D_L1*Sombra_D)+(A9_Y_L1*Sombra_Y))*Inflación_9</f>
        <v>0</v>
      </c>
      <c r="G32" s="101">
        <f>SUMIFS('9'!$E:$E,'9'!$A:$A,Año_Inicial+8,'9'!$B:$B,'12'!F$4,'9'!$D:$D,"Manejo de sombra")</f>
        <v>0</v>
      </c>
      <c r="H32" s="101">
        <f>((A9_A_L2*Sombra_A)+(A9_B_L2*Sombra_B)+(A9_C_L2*Sombra_C)+(A9_D_L2*Sombra_D)+(A9_Y_L2*Sombra_Y))*Inflación_9</f>
        <v>0</v>
      </c>
      <c r="I32" s="101">
        <f>SUMIFS('9'!$E:$E,'9'!$A:$A,Año_Inicial+8,'9'!$B:$B,'12'!H$4,'9'!$D:$D,"Manejo de sombra")</f>
        <v>0</v>
      </c>
      <c r="J32" s="101">
        <f>((A9_A_L3*Sombra_A)+(A9_B_L3*Sombra_B)+(A9_C_L3*Sombra_C)+(A9_D_L3*Sombra_D)+(A9_Y_L3*Sombra_Y))*Inflación_9</f>
        <v>0</v>
      </c>
      <c r="K32" s="101">
        <f>SUMIFS('9'!$E:$E,'9'!$A:$A,Año_Inicial+8,'9'!$B:$B,'12'!J$4,'9'!$D:$D,"Manejo de sombra")</f>
        <v>0</v>
      </c>
      <c r="L32" s="101">
        <f>((A9_A_L4*Sombra_A)+(A9_B_L4*Sombra_B)+(A9_C_L4*Sombra_C)+(A9_D_L4*Sombra_D)+(A9_Y_L4*Sombra_Y))*Inflación_9</f>
        <v>0</v>
      </c>
      <c r="M32" s="101">
        <f>SUMIFS('9'!$E:$E,'9'!$A:$A,Año_Inicial+8,'9'!$B:$B,'12'!L$4,'9'!$D:$D,"Manejo de sombra")</f>
        <v>0</v>
      </c>
      <c r="N32" s="101">
        <f>((A9_A_L5*Sombra_A)+(A9_B_L5*Sombra_B)+(A9_C_L5*Sombra_C)+(A9_D_L5*Sombra_D)+(A9_Y_L5*Sombra_Y))*Inflación_9</f>
        <v>0</v>
      </c>
      <c r="O32" s="101">
        <f>SUMIFS('9'!$E:$E,'9'!$A:$A,Año_Inicial+8,'9'!$B:$B,'12'!N$4,'9'!$D:$D,"Manejo de sombra")</f>
        <v>0</v>
      </c>
      <c r="P32" s="101">
        <f>((A9_A_L6*Sombra_A)+(A9_B_L6*Sombra_B)+(A9_C_L6*Sombra_C)+(A9_D_L6*Sombra_D)+(A9_Y_L6*Sombra_Y))*Inflación_9</f>
        <v>0</v>
      </c>
      <c r="Q32" s="101">
        <f>SUMIFS('9'!$E:$E,'9'!$A:$A,Año_Inicial+8,'9'!$B:$B,'12'!P$4,'9'!$D:$D,"Manejo de sombra")</f>
        <v>0</v>
      </c>
      <c r="R32" s="101">
        <f>((A9_A_L7*Sombra_A)+(A9_B_L7*Sombra_B)+(A9_C_L7*Sombra_C)+(A9_D_L7*Sombra_D)+(A9_Y_L7*Sombra_Y))*Inflación_9</f>
        <v>0</v>
      </c>
      <c r="S32" s="101">
        <f>SUMIFS('9'!$E:$E,'9'!$A:$A,Año_Inicial+8,'9'!$B:$B,'12'!R$4,'9'!$D:$D,"Manejo de sombra")</f>
        <v>0</v>
      </c>
      <c r="T32" s="101">
        <f>((A9_A_L8*Sombra_A)+(A9_B_L8*Sombra_B)+(A9_C_L8*Sombra_C)+(A9_D_L8*Sombra_D)+(A9_Y_L8*Sombra_Y))*Inflación_9</f>
        <v>0</v>
      </c>
      <c r="U32" s="101">
        <f>SUMIFS('9'!$E:$E,'9'!$A:$A,Año_Inicial+8,'9'!$B:$B,'12'!T$4,'9'!$D:$D,"Manejo de sombra")</f>
        <v>0</v>
      </c>
      <c r="V32" s="101">
        <f>((A9_A_L9*Sombra_A)+(A9_B_L9*Sombra_B)+(A9_C_L9*Sombra_C)+(A9_D_L9*Sombra_D)+(A9_Y_L9*Sombra_Y))*Inflación_9</f>
        <v>0</v>
      </c>
      <c r="W32" s="101">
        <f>SUMIFS('9'!$E:$E,'9'!$A:$A,Año_Inicial+8,'9'!$B:$B,'12'!V$4,'9'!$D:$D,"Manejo de sombra")</f>
        <v>0</v>
      </c>
      <c r="X32" s="101">
        <f>((A9_A_L10*Sombra_A)+(A9_B_L10*Sombra_B)+(A9_C_L10*Sombra_C)+(A9_D_L10*Sombra_D)+(A9_Y_L10*Sombra_Y))*Inflación_9</f>
        <v>0</v>
      </c>
      <c r="Y32" s="101">
        <f>SUMIFS('9'!$E:$E,'9'!$A:$A,Año_Inicial+8,'9'!$B:$B,'12'!X$4,'9'!$D:$D,"Manejo de sombra")</f>
        <v>0</v>
      </c>
      <c r="Z32" s="101">
        <f>((A9_A_L11*Sombra_A)+(A9_B_L11*Sombra_B)+(A9_C_L11*Sombra_C)+(A9_D_L11*Sombra_D)+(A9_Y_L11*Sombra_Y))*Inflación_9</f>
        <v>0</v>
      </c>
      <c r="AA32" s="101">
        <f>SUMIFS('9'!$E:$E,'9'!$A:$A,Año_Inicial+8,'9'!$B:$B,'12'!Z$4,'9'!$D:$D,"Manejo de sombra")</f>
        <v>0</v>
      </c>
      <c r="AB32" s="101">
        <f>((A9_A_L12*Sombra_A)+(A9_B_L12*Sombra_B)+(A9_C_L12*Sombra_C)+(A9_D_L12*Sombra_D)+(A9_Y_L12*Sombra_Y))*Inflación_9</f>
        <v>0</v>
      </c>
      <c r="AC32" s="101">
        <f>SUMIFS('9'!$E:$E,'9'!$A:$A,Año_Inicial+8,'9'!$B:$B,'12'!AB$4,'9'!$D:$D,"Manejo de sombra")</f>
        <v>0</v>
      </c>
      <c r="AD32" s="101">
        <f>((A9_A_L13*Sombra_A)+(A9_B_L13*Sombra_B)+(A9_C_L13*Sombra_C)+(A9_D_L13*Sombra_D)+(A9_Y_L13*Sombra_Y))*Inflación_9</f>
        <v>0</v>
      </c>
      <c r="AE32" s="101">
        <f>SUMIFS('9'!$E:$E,'9'!$A:$A,Año_Inicial+8,'9'!$B:$B,'12'!AD$4,'9'!$D:$D,"Manejo de sombra")</f>
        <v>0</v>
      </c>
      <c r="AF32" s="101">
        <f>((A9_A_L14*Sombra_A)+(A9_B_L14*Sombra_B)+(A9_C_L14*Sombra_C)+(A9_D_L14*Sombra_D)+(A9_Y_L14*Sombra_Y))*Inflación_9</f>
        <v>0</v>
      </c>
      <c r="AG32" s="101">
        <f>SUMIFS('9'!$E:$E,'9'!$A:$A,Año_Inicial+8,'9'!$B:$B,'12'!AF$4,'9'!$D:$D,"Manejo de sombra")</f>
        <v>0</v>
      </c>
      <c r="AH32" s="101">
        <f>((A9_A_L15*Sombra_A)+(A9_B_L15*Sombra_B)+(A9_C_L15*Sombra_C)+(A9_D_L15*Sombra_D)+(A9_Y_L15*Sombra_Y))*Inflación_9</f>
        <v>0</v>
      </c>
      <c r="AI32" s="101">
        <f>SUMIFS('9'!$E:$E,'9'!$A:$A,Año_Inicial+8,'9'!$B:$B,'12'!AH$4,'9'!$D:$D,"Manejo de sombra")</f>
        <v>0</v>
      </c>
      <c r="AJ32" s="101">
        <f>((A9_A_L16*Sombra_A)+(A9_B_L16*Sombra_B)+(A9_C_L16*Sombra_C)+(A9_D_L16*Sombra_D)+(A9_Y_L16*Sombra_Y))*Inflación_9</f>
        <v>0</v>
      </c>
      <c r="AK32" s="101">
        <f>SUMIFS('9'!$E:$E,'9'!$A:$A,Año_Inicial+8,'9'!$B:$B,'12'!AJ$4,'9'!$D:$D,"Manejo de sombra")</f>
        <v>0</v>
      </c>
      <c r="AL32" s="101">
        <f>((A9_A_L17*Sombra_A)+(A9_B_L17*Sombra_B)+(A9_C_L17*Sombra_C)+(A9_D_L17*Sombra_D)+(A9_Y_L17*Sombra_Y))*Inflación_9</f>
        <v>0</v>
      </c>
      <c r="AM32" s="101">
        <f>SUMIFS('9'!$E:$E,'9'!$A:$A,Año_Inicial+8,'9'!$B:$B,'12'!AL$4,'9'!$D:$D,"Manejo de sombra")</f>
        <v>0</v>
      </c>
      <c r="AN32" s="101">
        <f>((A9_A_L18*Sombra_A)+(A9_B_L18*Sombra_B)+(A9_C_L18*Sombra_C)+(A9_D_L18*Sombra_D)+(A9_Y_L18*Sombra_Y))*Inflación_9</f>
        <v>0</v>
      </c>
      <c r="AO32" s="101">
        <f>SUMIFS('9'!$E:$E,'9'!$A:$A,Año_Inicial+8,'9'!$B:$B,'12'!AN$4,'9'!$D:$D,"Manejo de sombra")</f>
        <v>0</v>
      </c>
      <c r="AP32" s="101">
        <f>((A9_A_L19*Sombra_A)+(A9_B_L19*Sombra_B)+(A9_C_L19*Sombra_C)+(A9_D_L19*Sombra_D)+(A9_Y_L19*Sombra_Y))*Inflación_9</f>
        <v>0</v>
      </c>
      <c r="AQ32" s="101">
        <f>SUMIFS('9'!$E:$E,'9'!$A:$A,Año_Inicial+8,'9'!$B:$B,'12'!AP$4,'9'!$D:$D,"Manejo de sombra")</f>
        <v>0</v>
      </c>
      <c r="AR32" s="101">
        <f>((A9_A_L20*Sombra_A)+(A9_B_L20*Sombra_B)+(A9_C_L20*Sombra_C)+(A9_D_L20*Sombra_D)+(A9_Y_L20*Sombra_Y))*Inflación_9</f>
        <v>0</v>
      </c>
      <c r="AS32" s="101">
        <f>SUMIFS('9'!$E:$E,'9'!$A:$A,Año_Inicial+8,'9'!$B:$B,'12'!AR$4,'9'!$D:$D,"Manejo de sombra")</f>
        <v>0</v>
      </c>
      <c r="AT32" s="101">
        <f>((A9_A_L21*Sombra_A)+(A9_B_L21*Sombra_B)+(A9_C_L21*Sombra_C)+(A9_D_L21*Sombra_D)+(A9_Y_L21*Sombra_Y))*Inflación_9</f>
        <v>0</v>
      </c>
      <c r="AU32" s="101">
        <f>SUMIFS('9'!$E:$E,'9'!$A:$A,Año_Inicial+8,'9'!$B:$B,'12'!AT$4,'9'!$D:$D,"Manejo de sombra")</f>
        <v>0</v>
      </c>
      <c r="AV32" s="101">
        <f>((A9_A_L22*Sombra_A)+(A9_B_L22*Sombra_B)+(A9_C_L22*Sombra_C)+(A9_D_L22*Sombra_D)+(A9_Y_L22*Sombra_Y))*Inflación_9</f>
        <v>0</v>
      </c>
      <c r="AW32" s="101">
        <f>SUMIFS('9'!$E:$E,'9'!$A:$A,Año_Inicial+8,'9'!$B:$B,'12'!AV$4,'9'!$D:$D,"Manejo de sombra")</f>
        <v>0</v>
      </c>
      <c r="AX32" s="101">
        <f>((A9_A_L23*Sombra_A)+(A9_B_L23*Sombra_B)+(A9_C_L23*Sombra_C)+(A9_D_L23*Sombra_D)+(A9_Y_L23*Sombra_Y))*Inflación_9</f>
        <v>0</v>
      </c>
      <c r="AY32" s="101">
        <f>SUMIFS('9'!$E:$E,'9'!$A:$A,Año_Inicial+8,'9'!$B:$B,'12'!AX$4,'9'!$D:$D,"Manejo de sombra")</f>
        <v>0</v>
      </c>
      <c r="AZ32" s="101">
        <f>((A9_A_L24*Sombra_A)+(A9_B_L24*Sombra_B)+(A9_C_L24*Sombra_C)+(A9_D_L24*Sombra_D)+(A9_Y_L24*Sombra_Y))*Inflación_9</f>
        <v>0</v>
      </c>
      <c r="BA32" s="101">
        <f>SUMIFS('9'!$E:$E,'9'!$A:$A,Año_Inicial+8,'9'!$B:$B,'12'!AZ$4,'9'!$D:$D,"Manejo de sombra")</f>
        <v>0</v>
      </c>
      <c r="BB32" s="101">
        <f>((A9_A_L25*Sombra_A)+(A9_B_L25*Sombra_B)+(A9_C_L25*Sombra_C)+(A9_D_L25*Sombra_D)+(A9_Y_L25*Sombra_Y))*Inflación_9</f>
        <v>0</v>
      </c>
      <c r="BC32" s="101">
        <f>SUMIFS('9'!$E:$E,'9'!$A:$A,Año_Inicial+8,'9'!$B:$B,'12'!BB$4,'9'!$D:$D,"Manejo de sombra")</f>
        <v>0</v>
      </c>
      <c r="BD32" s="101">
        <f>((A9_A_L26*Sombra_A)+(A9_B_L26*Sombra_B)+(A9_C_L26*Sombra_C)+(A9_D_L26*Sombra_D)+(A9_Y_L26*Sombra_Y))*Inflación_9</f>
        <v>0</v>
      </c>
      <c r="BE32" s="101">
        <f>SUMIFS('9'!$E:$E,'9'!$A:$A,Año_Inicial+8,'9'!$B:$B,'12'!BD$4,'9'!$D:$D,"Manejo de sombra")</f>
        <v>0</v>
      </c>
      <c r="BF32" s="101">
        <f>((A9_A_L27*Sombra_A)+(A9_B_L27*Sombra_B)+(A9_C_L27*Sombra_C)+(A9_D_L27*Sombra_D)+(A9_Y_L27*Sombra_Y))*Inflación_9</f>
        <v>0</v>
      </c>
      <c r="BG32" s="101">
        <f>SUMIFS('9'!$E:$E,'9'!$A:$A,Año_Inicial+8,'9'!$B:$B,'12'!BF$4,'9'!$D:$D,"Manejo de sombra")</f>
        <v>0</v>
      </c>
      <c r="BH32" s="101">
        <f>((A9_A_L28*Sombra_A)+(A9_B_L28*Sombra_B)+(A9_C_L28*Sombra_C)+(A9_D_L28*Sombra_D)+(A9_Y_L28*Sombra_Y))*Inflación_9</f>
        <v>0</v>
      </c>
      <c r="BI32" s="101">
        <f>SUMIFS('9'!$E:$E,'9'!$A:$A,Año_Inicial+8,'9'!$B:$B,'12'!BH$4,'9'!$D:$D,"Manejo de sombra")</f>
        <v>0</v>
      </c>
      <c r="BJ32" s="101">
        <f>((A9_A_L29*Sombra_A)+(A9_B_L29*Sombra_B)+(A9_C_L29*Sombra_C)+(A9_D_L29*Sombra_D)+(A9_Y_L29*Sombra_Y))*Inflación_9</f>
        <v>0</v>
      </c>
      <c r="BK32" s="101">
        <f>SUMIFS('9'!$E:$E,'9'!$A:$A,Año_Inicial+8,'9'!$B:$B,'12'!BJ$4,'9'!$D:$D,"Manejo de sombra")</f>
        <v>0</v>
      </c>
      <c r="BL32" s="101">
        <f>((A9_A_L30*Sombra_A)+(A9_B_L30*Sombra_B)+(A9_C_L30*Sombra_C)+(A9_D_L30*Sombra_D)+(A9_Y_L30*Sombra_Y))*Inflación_9</f>
        <v>0</v>
      </c>
      <c r="BM32" s="101">
        <f>SUMIFS('9'!$E:$E,'9'!$A:$A,Año_Inicial+8,'9'!$B:$B,'12'!BL$4,'9'!$D:$D,"Manejo de sombra")</f>
        <v>0</v>
      </c>
      <c r="BN32" s="101">
        <f>((A9_A_L31*Sombra_A)+(A9_B_L31*Sombra_B)+(A9_C_L31*Sombra_C)+(A9_D_L31*Sombra_D)+(A9_Y_L31*Sombra_Y))*Inflación_9</f>
        <v>0</v>
      </c>
      <c r="BO32" s="101">
        <f>SUMIFS('9'!$E:$E,'9'!$A:$A,Año_Inicial+8,'9'!$B:$B,'12'!BN$4,'9'!$D:$D,"Manejo de sombra")</f>
        <v>0</v>
      </c>
      <c r="BP32" s="101">
        <f>((A9_A_L32*Sombra_A)+(A9_B_L32*Sombra_B)+(A9_C_L32*Sombra_C)+(A9_D_L32*Sombra_D)+(A9_Y_L32*Sombra_Y))*Inflación_9</f>
        <v>0</v>
      </c>
      <c r="BQ32" s="101">
        <f>SUMIFS('9'!$E:$E,'9'!$A:$A,Año_Inicial+8,'9'!$B:$B,'12'!BP$4,'9'!$D:$D,"Manejo de sombra")</f>
        <v>0</v>
      </c>
      <c r="BR32" s="101">
        <f>((A9_A_L33*Sombra_A)+(A9_B_L33*Sombra_B)+(A9_C_L33*Sombra_C)+(A9_D_L33*Sombra_D)+(A9_Y_L33*Sombra_Y))*Inflación_9</f>
        <v>0</v>
      </c>
      <c r="BS32" s="101">
        <f>SUMIFS('9'!$E:$E,'9'!$A:$A,Año_Inicial+8,'9'!$B:$B,'12'!BR$4,'9'!$D:$D,"Manejo de sombra")</f>
        <v>0</v>
      </c>
      <c r="BT32" s="101">
        <f>((A9_A_L34*Sombra_A)+(A9_B_L34*Sombra_B)+(A9_C_L34*Sombra_C)+(A9_D_L34*Sombra_D)+(A9_Y_L34*Sombra_Y))*Inflación_9</f>
        <v>0</v>
      </c>
      <c r="BU32" s="101">
        <f>SUMIFS('9'!$E:$E,'9'!$A:$A,Año_Inicial+8,'9'!$B:$B,'12'!BT$4,'9'!$D:$D,"Manejo de sombra")</f>
        <v>0</v>
      </c>
      <c r="BV32" s="101">
        <f>((A9_A_L35*Sombra_A)+(A9_B_L35*Sombra_B)+(A9_C_L35*Sombra_C)+(A9_D_L35*Sombra_D)+(A9_Y_L35*Sombra_Y))*Inflación_9</f>
        <v>0</v>
      </c>
      <c r="BW32" s="101">
        <f>SUMIFS('9'!$E:$E,'9'!$A:$A,Año_Inicial+8,'9'!$B:$B,'12'!BV$4,'9'!$D:$D,"Manejo de sombra")</f>
        <v>0</v>
      </c>
      <c r="BX32" s="101">
        <f>((A9_A_L36*Sombra_A)+(A9_B_L36*Sombra_B)+(A9_C_L36*Sombra_C)+(A9_D_L36*Sombra_D)+(A9_Y_L36*Sombra_Y))*Inflación_9</f>
        <v>0</v>
      </c>
      <c r="BY32" s="101">
        <f>SUMIFS('9'!$E:$E,'9'!$A:$A,Año_Inicial+8,'9'!$B:$B,'12'!BX$4,'9'!$D:$D,"Manejo de sombra")</f>
        <v>0</v>
      </c>
      <c r="BZ32" s="101">
        <f>((A9_A_L37*Sombra_A)+(A9_B_L37*Sombra_B)+(A9_C_L37*Sombra_C)+(A9_D_L37*Sombra_D)+(A9_Y_L37*Sombra_Y))*Inflación_9</f>
        <v>0</v>
      </c>
      <c r="CA32" s="101">
        <f>SUMIFS('9'!$E:$E,'9'!$A:$A,Año_Inicial+8,'9'!$B:$B,'12'!BZ$4,'9'!$D:$D,"Manejo de sombra")</f>
        <v>0</v>
      </c>
      <c r="CB32" s="101">
        <f>((A9_A_L38*Sombra_A)+(A9_B_L38*Sombra_B)+(A9_C_L38*Sombra_C)+(A9_D_L38*Sombra_D)+(A9_Y_L38*Sombra_Y))*Inflación_9</f>
        <v>0</v>
      </c>
      <c r="CC32" s="101">
        <f>SUMIFS('9'!$E:$E,'9'!$A:$A,Año_Inicial+8,'9'!$B:$B,'12'!CB$4,'9'!$D:$D,"Manejo de sombra")</f>
        <v>0</v>
      </c>
      <c r="CD32" s="101">
        <f>((A9_A_L39*Sombra_A)+(A9_B_L39*Sombra_B)+(A9_C_L39*Sombra_C)+(A9_D_L39*Sombra_D)+(A9_Y_L39*Sombra_Y))*Inflación_9</f>
        <v>0</v>
      </c>
      <c r="CE32" s="101">
        <f>SUMIFS('9'!$E:$E,'9'!$A:$A,Año_Inicial+8,'9'!$B:$B,'12'!CD$4,'9'!$D:$D,"Manejo de sombra")</f>
        <v>0</v>
      </c>
      <c r="CF32" s="101">
        <f>((A9_A_L40*Sombra_A)+(A9_B_L40*Sombra_B)+(A9_C_L40*Sombra_C)+(A9_D_L40*Sombra_D)+(A9_Y_L40*Sombra_Y))*Inflación_9</f>
        <v>0</v>
      </c>
      <c r="CG32" s="101">
        <f>SUMIFS('9'!$E:$E,'9'!$A:$A,Año_Inicial+8,'9'!$B:$B,'12'!CF$4,'9'!$D:$D,"Manejo de sombra")</f>
        <v>0</v>
      </c>
      <c r="CH32" s="473"/>
      <c r="CI32" s="101">
        <f>Plantas_A_A9*Sombra_A*Inflación_9</f>
        <v>0</v>
      </c>
      <c r="CJ32" s="101">
        <f>Plantas_B_A9*Sombra_B</f>
        <v>0</v>
      </c>
      <c r="CK32" s="101">
        <f>Plantas_C_A9*Sombra_C</f>
        <v>0</v>
      </c>
      <c r="CL32" s="101">
        <f>Plantas_D_A9*Sombra_D</f>
        <v>0</v>
      </c>
      <c r="CM32" s="101"/>
      <c r="CN32" s="101">
        <f>Plantas_Y_A9*Sombra_Y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SUMIFS('9'!$E:$E,'9'!$A:$A,Año_Inicial+8,'9'!$D:$D,"Conservación de suelos")</f>
        <v>0</v>
      </c>
      <c r="D33" s="100">
        <f t="shared" si="45"/>
        <v>0</v>
      </c>
      <c r="E33" s="473"/>
      <c r="F33" s="101">
        <f>((A9_A_L1*Conservación_A)+(A9_B_L1*Conservación_B)+(A9_C_L1*Conservación_C)+(A9_D_L1*Conservación_D)+(A9_Y_L1*Conservación_Y))*Inflación_9</f>
        <v>0</v>
      </c>
      <c r="G33" s="101">
        <f>SUMIFS('9'!$E:$E,'9'!$A:$A,Año_Inicial+8,'9'!$B:$B,'12'!F$4,'9'!$D:$D,"Conservación de suelos")</f>
        <v>0</v>
      </c>
      <c r="H33" s="101">
        <f>((A9_A_L2*Conservación_A)+(A9_B_L2*Conservación_B)+(A9_C_L2*Conservación_C)+(A9_D_L2*Conservación_D)+(A9_Y_L2*Conservación_Y))*Inflación_9</f>
        <v>0</v>
      </c>
      <c r="I33" s="101">
        <f>SUMIFS('9'!$E:$E,'9'!$A:$A,Año_Inicial+8,'9'!$B:$B,'12'!H$4,'9'!$D:$D,"Conservación de suelos")</f>
        <v>0</v>
      </c>
      <c r="J33" s="101">
        <f>((A9_A_L3*Conservación_A)+(A9_B_L3*Conservación_B)+(A9_C_L3*Conservación_C)+(A9_D_L3*Conservación_D)+(A9_Y_L3*Conservación_Y))*Inflación_9</f>
        <v>0</v>
      </c>
      <c r="K33" s="101">
        <f>SUMIFS('9'!$E:$E,'9'!$A:$A,Año_Inicial+8,'9'!$B:$B,'12'!J$4,'9'!$D:$D,"Conservación de suelos")</f>
        <v>0</v>
      </c>
      <c r="L33" s="101">
        <f>((A9_A_L4*Conservación_A)+(A9_B_L4*Conservación_B)+(A9_C_L4*Conservación_C)+(A9_D_L4*Conservación_D)+(A9_Y_L4*Conservación_Y))*Inflación_9</f>
        <v>0</v>
      </c>
      <c r="M33" s="101">
        <f>SUMIFS('9'!$E:$E,'9'!$A:$A,Año_Inicial+8,'9'!$B:$B,'12'!L$4,'9'!$D:$D,"Conservación de suelos")</f>
        <v>0</v>
      </c>
      <c r="N33" s="101">
        <f>((A9_A_L5*Conservación_A)+(A9_B_L5*Conservación_B)+(A9_C_L5*Conservación_C)+(A9_D_L5*Conservación_D)+(A9_Y_L5*Conservación_Y))*Inflación_9</f>
        <v>0</v>
      </c>
      <c r="O33" s="101">
        <f>SUMIFS('9'!$E:$E,'9'!$A:$A,Año_Inicial+8,'9'!$B:$B,'12'!N$4,'9'!$D:$D,"Conservación de suelos")</f>
        <v>0</v>
      </c>
      <c r="P33" s="101">
        <f>((A9_A_L6*Conservación_A)+(A9_B_L6*Conservación_B)+(A9_C_L6*Conservación_C)+(A9_D_L6*Conservación_D)+(A9_Y_L6*Conservación_Y))*Inflación_9</f>
        <v>0</v>
      </c>
      <c r="Q33" s="101">
        <f>SUMIFS('9'!$E:$E,'9'!$A:$A,Año_Inicial+8,'9'!$B:$B,'12'!P$4,'9'!$D:$D,"Conservación de suelos")</f>
        <v>0</v>
      </c>
      <c r="R33" s="101">
        <f>((A9_A_L7*Conservación_A)+(A9_B_L7*Conservación_B)+(A9_C_L7*Conservación_C)+(A9_D_L7*Conservación_D)+(A9_Y_L7*Conservación_Y))*Inflación_9</f>
        <v>0</v>
      </c>
      <c r="S33" s="101">
        <f>SUMIFS('9'!$E:$E,'9'!$A:$A,Año_Inicial+8,'9'!$B:$B,'12'!R$4,'9'!$D:$D,"Conservación de suelos")</f>
        <v>0</v>
      </c>
      <c r="T33" s="101">
        <f>((A9_A_L8*Conservación_A)+(A9_B_L8*Conservación_B)+(A9_C_L8*Conservación_C)+(A9_D_L8*Conservación_D)+(A9_Y_L8*Conservación_Y))*Inflación_9</f>
        <v>0</v>
      </c>
      <c r="U33" s="101">
        <f>SUMIFS('9'!$E:$E,'9'!$A:$A,Año_Inicial+8,'9'!$B:$B,'12'!T$4,'9'!$D:$D,"Conservación de suelos")</f>
        <v>0</v>
      </c>
      <c r="V33" s="101">
        <f>((A9_A_L9*Conservación_A)+(A9_B_L9*Conservación_B)+(A9_C_L9*Conservación_C)+(A9_D_L9*Conservación_D)+(A9_Y_L9*Conservación_Y))*Inflación_9</f>
        <v>0</v>
      </c>
      <c r="W33" s="101">
        <f>SUMIFS('9'!$E:$E,'9'!$A:$A,Año_Inicial+8,'9'!$B:$B,'12'!V$4,'9'!$D:$D,"Conservación de suelos")</f>
        <v>0</v>
      </c>
      <c r="X33" s="101">
        <f>((A9_A_L10*Conservación_A)+(A9_B_L10*Conservación_B)+(A9_C_L10*Conservación_C)+(A9_D_L10*Conservación_D)+(A9_Y_L10*Conservación_Y))*Inflación_9</f>
        <v>0</v>
      </c>
      <c r="Y33" s="101">
        <f>SUMIFS('9'!$E:$E,'9'!$A:$A,Año_Inicial+8,'9'!$B:$B,'12'!X$4,'9'!$D:$D,"Conservación de suelos")</f>
        <v>0</v>
      </c>
      <c r="Z33" s="101">
        <f>((A9_A_L11*Conservación_A)+(A9_B_L11*Conservación_B)+(A9_C_L11*Conservación_C)+(A9_D_L11*Conservación_D)+(A9_Y_L11*Conservación_Y))*Inflación_9</f>
        <v>0</v>
      </c>
      <c r="AA33" s="101">
        <f>SUMIFS('9'!$E:$E,'9'!$A:$A,Año_Inicial+8,'9'!$B:$B,'12'!Z$4,'9'!$D:$D,"Conservación de suelos")</f>
        <v>0</v>
      </c>
      <c r="AB33" s="101">
        <f>((A9_A_L12*Conservación_A)+(A9_B_L12*Conservación_B)+(A9_C_L12*Conservación_C)+(A9_D_L12*Conservación_D)+(A9_Y_L12*Conservación_Y))*Inflación_9</f>
        <v>0</v>
      </c>
      <c r="AC33" s="101">
        <f>SUMIFS('9'!$E:$E,'9'!$A:$A,Año_Inicial+8,'9'!$B:$B,'12'!AB$4,'9'!$D:$D,"Conservación de suelos")</f>
        <v>0</v>
      </c>
      <c r="AD33" s="101">
        <f>((A9_A_L13*Conservación_A)+(A9_B_L13*Conservación_B)+(A9_C_L13*Conservación_C)+(A9_D_L13*Conservación_D)+(A9_Y_L13*Conservación_Y))*Inflación_9</f>
        <v>0</v>
      </c>
      <c r="AE33" s="101">
        <f>SUMIFS('9'!$E:$E,'9'!$A:$A,Año_Inicial+8,'9'!$B:$B,'12'!AD$4,'9'!$D:$D,"Conservación de suelos")</f>
        <v>0</v>
      </c>
      <c r="AF33" s="101">
        <f>((A9_A_L14*Conservación_A)+(A9_B_L14*Conservación_B)+(A9_C_L14*Conservación_C)+(A9_D_L14*Conservación_D)+(A9_Y_L14*Conservación_Y))*Inflación_9</f>
        <v>0</v>
      </c>
      <c r="AG33" s="101">
        <f>SUMIFS('9'!$E:$E,'9'!$A:$A,Año_Inicial+8,'9'!$B:$B,'12'!AF$4,'9'!$D:$D,"Conservación de suelos")</f>
        <v>0</v>
      </c>
      <c r="AH33" s="101">
        <f>((A9_A_L15*Conservación_A)+(A9_B_L15*Conservación_B)+(A9_C_L15*Conservación_C)+(A9_D_L15*Conservación_D)+(A9_Y_L15*Conservación_Y))*Inflación_9</f>
        <v>0</v>
      </c>
      <c r="AI33" s="101">
        <f>SUMIFS('9'!$E:$E,'9'!$A:$A,Año_Inicial+8,'9'!$B:$B,'12'!AH$4,'9'!$D:$D,"Conservación de suelos")</f>
        <v>0</v>
      </c>
      <c r="AJ33" s="101">
        <f>((A9_A_L16*Conservación_A)+(A9_B_L16*Conservación_B)+(A9_C_L16*Conservación_C)+(A9_D_L16*Conservación_D)+(A9_Y_L16*Conservación_Y))*Inflación_9</f>
        <v>0</v>
      </c>
      <c r="AK33" s="101">
        <f>SUMIFS('9'!$E:$E,'9'!$A:$A,Año_Inicial+8,'9'!$B:$B,'12'!AJ$4,'9'!$D:$D,"Conservación de suelos")</f>
        <v>0</v>
      </c>
      <c r="AL33" s="101">
        <f>((A9_A_L17*Conservación_A)+(A9_B_L17*Conservación_B)+(A9_C_L17*Conservación_C)+(A9_D_L17*Conservación_D)+(A9_Y_L17*Conservación_Y))*Inflación_9</f>
        <v>0</v>
      </c>
      <c r="AM33" s="101">
        <f>SUMIFS('9'!$E:$E,'9'!$A:$A,Año_Inicial+8,'9'!$B:$B,'12'!AL$4,'9'!$D:$D,"Conservación de suelos")</f>
        <v>0</v>
      </c>
      <c r="AN33" s="101">
        <f>((A9_A_L18*Conservación_A)+(A9_B_L18*Conservación_B)+(A9_C_L18*Conservación_C)+(A9_D_L18*Conservación_D)+(A9_Y_L18*Conservación_Y))*Inflación_9</f>
        <v>0</v>
      </c>
      <c r="AO33" s="101">
        <f>SUMIFS('9'!$E:$E,'9'!$A:$A,Año_Inicial+8,'9'!$B:$B,'12'!AN$4,'9'!$D:$D,"Conservación de suelos")</f>
        <v>0</v>
      </c>
      <c r="AP33" s="101">
        <f>((A9_A_L19*Conservación_A)+(A9_B_L19*Conservación_B)+(A9_C_L19*Conservación_C)+(A9_D_L19*Conservación_D)+(A9_Y_L19*Conservación_Y))*Inflación_9</f>
        <v>0</v>
      </c>
      <c r="AQ33" s="101">
        <f>SUMIFS('9'!$E:$E,'9'!$A:$A,Año_Inicial+8,'9'!$B:$B,'12'!AP$4,'9'!$D:$D,"Conservación de suelos")</f>
        <v>0</v>
      </c>
      <c r="AR33" s="101">
        <f>((A9_A_L20*Conservación_A)+(A9_B_L20*Conservación_B)+(A9_C_L20*Conservación_C)+(A9_D_L20*Conservación_D)+(A9_Y_L20*Conservación_Y))*Inflación_9</f>
        <v>0</v>
      </c>
      <c r="AS33" s="101">
        <f>SUMIFS('9'!$E:$E,'9'!$A:$A,Año_Inicial+8,'9'!$B:$B,'12'!AR$4,'9'!$D:$D,"Conservación de suelos")</f>
        <v>0</v>
      </c>
      <c r="AT33" s="101">
        <f>((A9_A_L21*Conservación_A)+(A9_B_L21*Conservación_B)+(A9_C_L21*Conservación_C)+(A9_D_L21*Conservación_D)+(A9_Y_L21*Conservación_Y))*Inflación_9</f>
        <v>0</v>
      </c>
      <c r="AU33" s="101">
        <f>SUMIFS('9'!$E:$E,'9'!$A:$A,Año_Inicial+8,'9'!$B:$B,'12'!AT$4,'9'!$D:$D,"Conservación de suelos")</f>
        <v>0</v>
      </c>
      <c r="AV33" s="101">
        <f>((A9_A_L22*Conservación_A)+(A9_B_L22*Conservación_B)+(A9_C_L22*Conservación_C)+(A9_D_L22*Conservación_D)+(A9_Y_L22*Conservación_Y))*Inflación_9</f>
        <v>0</v>
      </c>
      <c r="AW33" s="101">
        <f>SUMIFS('9'!$E:$E,'9'!$A:$A,Año_Inicial+8,'9'!$B:$B,'12'!AV$4,'9'!$D:$D,"Conservación de suelos")</f>
        <v>0</v>
      </c>
      <c r="AX33" s="101">
        <f>((A9_A_L23*Conservación_A)+(A9_B_L23*Conservación_B)+(A9_C_L23*Conservación_C)+(A9_D_L23*Conservación_D)+(A9_Y_L23*Conservación_Y))*Inflación_9</f>
        <v>0</v>
      </c>
      <c r="AY33" s="101">
        <f>SUMIFS('9'!$E:$E,'9'!$A:$A,Año_Inicial+8,'9'!$B:$B,'12'!AX$4,'9'!$D:$D,"Conservación de suelos")</f>
        <v>0</v>
      </c>
      <c r="AZ33" s="101">
        <f>((A9_A_L24*Conservación_A)+(A9_B_L24*Conservación_B)+(A9_C_L24*Conservación_C)+(A9_D_L24*Conservación_D)+(A9_Y_L24*Conservación_Y))*Inflación_9</f>
        <v>0</v>
      </c>
      <c r="BA33" s="101">
        <f>SUMIFS('9'!$E:$E,'9'!$A:$A,Año_Inicial+8,'9'!$B:$B,'12'!AZ$4,'9'!$D:$D,"Conservación de suelos")</f>
        <v>0</v>
      </c>
      <c r="BB33" s="101">
        <f>((A9_A_L25*Conservación_A)+(A9_B_L25*Conservación_B)+(A9_C_L25*Conservación_C)+(A9_D_L25*Conservación_D)+(A9_Y_L25*Conservación_Y))*Inflación_9</f>
        <v>0</v>
      </c>
      <c r="BC33" s="101">
        <f>SUMIFS('9'!$E:$E,'9'!$A:$A,Año_Inicial+8,'9'!$B:$B,'12'!BB$4,'9'!$D:$D,"Conservación de suelos")</f>
        <v>0</v>
      </c>
      <c r="BD33" s="101">
        <f>((A9_A_L26*Conservación_A)+(A9_B_L26*Conservación_B)+(A9_C_L26*Conservación_C)+(A9_D_L26*Conservación_D)+(A9_Y_L26*Conservación_Y))*Inflación_9</f>
        <v>0</v>
      </c>
      <c r="BE33" s="101">
        <f>SUMIFS('9'!$E:$E,'9'!$A:$A,Año_Inicial+8,'9'!$B:$B,'12'!BD$4,'9'!$D:$D,"Conservación de suelos")</f>
        <v>0</v>
      </c>
      <c r="BF33" s="101">
        <f>((A9_A_L27*Conservación_A)+(A9_B_L27*Conservación_B)+(A9_C_L27*Conservación_C)+(A9_D_L27*Conservación_D)+(A9_Y_L27*Conservación_Y))*Inflación_9</f>
        <v>0</v>
      </c>
      <c r="BG33" s="101">
        <f>SUMIFS('9'!$E:$E,'9'!$A:$A,Año_Inicial+8,'9'!$B:$B,'12'!BF$4,'9'!$D:$D,"Conservación de suelos")</f>
        <v>0</v>
      </c>
      <c r="BH33" s="101">
        <f>((A9_A_L28*Conservación_A)+(A9_B_L28*Conservación_B)+(A9_C_L28*Conservación_C)+(A9_D_L28*Conservación_D)+(A9_Y_L28*Conservación_Y))*Inflación_9</f>
        <v>0</v>
      </c>
      <c r="BI33" s="101">
        <f>SUMIFS('9'!$E:$E,'9'!$A:$A,Año_Inicial+8,'9'!$B:$B,'12'!BH$4,'9'!$D:$D,"Conservación de suelos")</f>
        <v>0</v>
      </c>
      <c r="BJ33" s="101">
        <f>((A9_A_L29*Conservación_A)+(A9_B_L29*Conservación_B)+(A9_C_L29*Conservación_C)+(A9_D_L29*Conservación_D)+(A9_Y_L29*Conservación_Y))*Inflación_9</f>
        <v>0</v>
      </c>
      <c r="BK33" s="101">
        <f>SUMIFS('9'!$E:$E,'9'!$A:$A,Año_Inicial+8,'9'!$B:$B,'12'!BJ$4,'9'!$D:$D,"Conservación de suelos")</f>
        <v>0</v>
      </c>
      <c r="BL33" s="101">
        <f>((A9_A_L30*Conservación_A)+(A9_B_L30*Conservación_B)+(A9_C_L30*Conservación_C)+(A9_D_L30*Conservación_D)+(A9_Y_L30*Conservación_Y))*Inflación_9</f>
        <v>0</v>
      </c>
      <c r="BM33" s="101">
        <f>SUMIFS('9'!$E:$E,'9'!$A:$A,Año_Inicial+8,'9'!$B:$B,'12'!BL$4,'9'!$D:$D,"Conservación de suelos")</f>
        <v>0</v>
      </c>
      <c r="BN33" s="101">
        <f>((A9_A_L31*Conservación_A)+(A9_B_L31*Conservación_B)+(A9_C_L31*Conservación_C)+(A9_D_L31*Conservación_D)+(A9_Y_L31*Conservación_Y))*Inflación_9</f>
        <v>0</v>
      </c>
      <c r="BO33" s="101">
        <f>SUMIFS('9'!$E:$E,'9'!$A:$A,Año_Inicial+8,'9'!$B:$B,'12'!BN$4,'9'!$D:$D,"Conservación de suelos")</f>
        <v>0</v>
      </c>
      <c r="BP33" s="101">
        <f>((A9_A_L32*Conservación_A)+(A9_B_L32*Conservación_B)+(A9_C_L32*Conservación_C)+(A9_D_L32*Conservación_D)+(A9_Y_L32*Conservación_Y))*Inflación_9</f>
        <v>0</v>
      </c>
      <c r="BQ33" s="101">
        <f>SUMIFS('9'!$E:$E,'9'!$A:$A,Año_Inicial+8,'9'!$B:$B,'12'!BP$4,'9'!$D:$D,"Conservación de suelos")</f>
        <v>0</v>
      </c>
      <c r="BR33" s="101">
        <f>((A9_A_L33*Conservación_A)+(A9_B_L33*Conservación_B)+(A9_C_L33*Conservación_C)+(A9_D_L33*Conservación_D)+(A9_Y_L33*Conservación_Y))*Inflación_9</f>
        <v>0</v>
      </c>
      <c r="BS33" s="101">
        <f>SUMIFS('9'!$E:$E,'9'!$A:$A,Año_Inicial+8,'9'!$B:$B,'12'!BR$4,'9'!$D:$D,"Conservación de suelos")</f>
        <v>0</v>
      </c>
      <c r="BT33" s="101">
        <f>((A9_A_L34*Conservación_A)+(A9_B_L34*Conservación_B)+(A9_C_L34*Conservación_C)+(A9_D_L34*Conservación_D)+(A9_Y_L34*Conservación_Y))*Inflación_9</f>
        <v>0</v>
      </c>
      <c r="BU33" s="101">
        <f>SUMIFS('9'!$E:$E,'9'!$A:$A,Año_Inicial+8,'9'!$B:$B,'12'!BT$4,'9'!$D:$D,"Conservación de suelos")</f>
        <v>0</v>
      </c>
      <c r="BV33" s="101">
        <f>((A9_A_L35*Conservación_A)+(A9_B_L35*Conservación_B)+(A9_C_L35*Conservación_C)+(A9_D_L35*Conservación_D)+(A9_Y_L35*Conservación_Y))*Inflación_9</f>
        <v>0</v>
      </c>
      <c r="BW33" s="101">
        <f>SUMIFS('9'!$E:$E,'9'!$A:$A,Año_Inicial+8,'9'!$B:$B,'12'!BV$4,'9'!$D:$D,"Conservación de suelos")</f>
        <v>0</v>
      </c>
      <c r="BX33" s="101">
        <f>((A9_A_L36*Conservación_A)+(A9_B_L36*Conservación_B)+(A9_C_L36*Conservación_C)+(A9_D_L36*Conservación_D)+(A9_Y_L36*Conservación_Y))*Inflación_9</f>
        <v>0</v>
      </c>
      <c r="BY33" s="101">
        <f>SUMIFS('9'!$E:$E,'9'!$A:$A,Año_Inicial+8,'9'!$B:$B,'12'!BX$4,'9'!$D:$D,"Conservación de suelos")</f>
        <v>0</v>
      </c>
      <c r="BZ33" s="101">
        <f>((A9_A_L37*Conservación_A)+(A9_B_L37*Conservación_B)+(A9_C_L37*Conservación_C)+(A9_D_L37*Conservación_D)+(A9_Y_L37*Conservación_Y))*Inflación_9</f>
        <v>0</v>
      </c>
      <c r="CA33" s="101">
        <f>SUMIFS('9'!$E:$E,'9'!$A:$A,Año_Inicial+8,'9'!$B:$B,'12'!BZ$4,'9'!$D:$D,"Conservación de suelos")</f>
        <v>0</v>
      </c>
      <c r="CB33" s="101">
        <f>((A9_A_L38*Conservación_A)+(A9_B_L38*Conservación_B)+(A9_C_L38*Conservación_C)+(A9_D_L38*Conservación_D)+(A9_Y_L38*Conservación_Y))*Inflación_9</f>
        <v>0</v>
      </c>
      <c r="CC33" s="101">
        <f>SUMIFS('9'!$E:$E,'9'!$A:$A,Año_Inicial+8,'9'!$B:$B,'12'!CB$4,'9'!$D:$D,"Conservación de suelos")</f>
        <v>0</v>
      </c>
      <c r="CD33" s="101">
        <f>((A9_A_L39*Conservación_A)+(A9_B_L39*Conservación_B)+(A9_C_L39*Conservación_C)+(A9_D_L39*Conservación_D)+(A9_Y_L39*Conservación_Y))*Inflación_9</f>
        <v>0</v>
      </c>
      <c r="CE33" s="101">
        <f>SUMIFS('9'!$E:$E,'9'!$A:$A,Año_Inicial+8,'9'!$B:$B,'12'!CD$4,'9'!$D:$D,"Conservación de suelos")</f>
        <v>0</v>
      </c>
      <c r="CF33" s="101">
        <f>((A9_A_L40*Conservación_A)+(A9_B_L40*Conservación_B)+(A9_C_L40*Conservación_C)+(A9_D_L40*Conservación_D)+(A9_Y_L40*Conservación_Y))*Inflación_9</f>
        <v>0</v>
      </c>
      <c r="CG33" s="101">
        <f>SUMIFS('9'!$E:$E,'9'!$A:$A,Año_Inicial+8,'9'!$B:$B,'12'!CF$4,'9'!$D:$D,"Conservación de suelos")</f>
        <v>0</v>
      </c>
      <c r="CH33" s="473"/>
      <c r="CI33" s="101">
        <f>Plantas_A_A9*Conservación_A*Inflación_9</f>
        <v>0</v>
      </c>
      <c r="CJ33" s="101">
        <f>Plantas_B_A9*Conservación_B</f>
        <v>0</v>
      </c>
      <c r="CK33" s="101">
        <f>Plantas_C_A9*Conservación_C</f>
        <v>0</v>
      </c>
      <c r="CL33" s="101">
        <f>Plantas_D_A9*Conservación_D</f>
        <v>0</v>
      </c>
      <c r="CM33" s="101"/>
      <c r="CN33" s="101">
        <f>Plantas_Y_A9*Conservación_Y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SUMIFS('9'!$E:$E,'9'!$A:$A,Año_Inicial+8,'9'!$D:$D,"Otras actividades")</f>
        <v>0</v>
      </c>
      <c r="D34" s="100">
        <f t="shared" si="45"/>
        <v>0</v>
      </c>
      <c r="E34" s="473"/>
      <c r="F34" s="101">
        <f>((A9_A_L1*Otras_A)+(A9_B_L1*Otras_B)+(A9_C_L1*Otras_C)+(A9_D_L1*Otras_D)+(A9_Y_L1*Otras_Y))*Inflación_9</f>
        <v>0</v>
      </c>
      <c r="G34" s="101">
        <f>SUMIFS('9'!$E:$E,'9'!$A:$A,Año_Inicial+8,'9'!$B:$B,'12'!F$4,'9'!$D:$D,"Otras actividades")</f>
        <v>0</v>
      </c>
      <c r="H34" s="101">
        <f>((A9_A_L2*Otras_A)+(A9_B_L2*Otras_B)+(A9_C_L2*Otras_C)+(A9_D_L2*Otras_D)+(A9_Y_L2*Otras_Y))*Inflación_9</f>
        <v>0</v>
      </c>
      <c r="I34" s="101">
        <f>SUMIFS('9'!$E:$E,'9'!$A:$A,Año_Inicial+8,'9'!$B:$B,'12'!H$4,'9'!$D:$D,"Otras actividades")</f>
        <v>0</v>
      </c>
      <c r="J34" s="101">
        <f>((A9_A_L3*Otras_A)+(A9_B_L3*Otras_B)+(A9_C_L3*Otras_C)+(A9_D_L3*Otras_D)+(A9_Y_L3*Otras_Y))*Inflación_9</f>
        <v>0</v>
      </c>
      <c r="K34" s="101">
        <f>SUMIFS('9'!$E:$E,'9'!$A:$A,Año_Inicial+8,'9'!$B:$B,'12'!J$4,'9'!$D:$D,"Otras actividades")</f>
        <v>0</v>
      </c>
      <c r="L34" s="101">
        <f>((A9_A_L4*Otras_A)+(A9_B_L4*Otras_B)+(A9_C_L4*Otras_C)+(A9_D_L4*Otras_D)+(A9_Y_L4*Otras_Y))*Inflación_9</f>
        <v>0</v>
      </c>
      <c r="M34" s="101">
        <f>SUMIFS('9'!$E:$E,'9'!$A:$A,Año_Inicial+8,'9'!$B:$B,'12'!L$4,'9'!$D:$D,"Otras actividades")</f>
        <v>0</v>
      </c>
      <c r="N34" s="101">
        <f>((A9_A_L5*Otras_A)+(A9_B_L5*Otras_B)+(A9_C_L5*Otras_C)+(A9_D_L5*Otras_D)+(A9_Y_L5*Otras_Y))*Inflación_9</f>
        <v>0</v>
      </c>
      <c r="O34" s="101">
        <f>SUMIFS('9'!$E:$E,'9'!$A:$A,Año_Inicial+8,'9'!$B:$B,'12'!N$4,'9'!$D:$D,"Otras actividades")</f>
        <v>0</v>
      </c>
      <c r="P34" s="101">
        <f>((A9_A_L6*Otras_A)+(A9_B_L6*Otras_B)+(A9_C_L6*Otras_C)+(A9_D_L6*Otras_D)+(A9_Y_L6*Otras_Y))*Inflación_9</f>
        <v>0</v>
      </c>
      <c r="Q34" s="101">
        <f>SUMIFS('9'!$E:$E,'9'!$A:$A,Año_Inicial+8,'9'!$B:$B,'12'!P$4,'9'!$D:$D,"Otras actividades")</f>
        <v>0</v>
      </c>
      <c r="R34" s="101">
        <f>((A9_A_L7*Otras_A)+(A9_B_L7*Otras_B)+(A9_C_L7*Otras_C)+(A9_D_L7*Otras_D)+(A9_Y_L7*Otras_Y))*Inflación_9</f>
        <v>0</v>
      </c>
      <c r="S34" s="101">
        <f>SUMIFS('9'!$E:$E,'9'!$A:$A,Año_Inicial+8,'9'!$B:$B,'12'!R$4,'9'!$D:$D,"Otras actividades")</f>
        <v>0</v>
      </c>
      <c r="T34" s="101">
        <f>((A9_A_L8*Otras_A)+(A9_B_L8*Otras_B)+(A9_C_L8*Otras_C)+(A9_D_L8*Otras_D)+(A9_Y_L8*Otras_Y))*Inflación_9</f>
        <v>0</v>
      </c>
      <c r="U34" s="101">
        <f>SUMIFS('9'!$E:$E,'9'!$A:$A,Año_Inicial+8,'9'!$B:$B,'12'!T$4,'9'!$D:$D,"Otras actividades")</f>
        <v>0</v>
      </c>
      <c r="V34" s="101">
        <f>((A9_A_L9*Otras_A)+(A9_B_L9*Otras_B)+(A9_C_L9*Otras_C)+(A9_D_L9*Otras_D)+(A9_Y_L9*Otras_Y))*Inflación_9</f>
        <v>0</v>
      </c>
      <c r="W34" s="101">
        <f>SUMIFS('9'!$E:$E,'9'!$A:$A,Año_Inicial+8,'9'!$B:$B,'12'!V$4,'9'!$D:$D,"Otras actividades")</f>
        <v>0</v>
      </c>
      <c r="X34" s="101">
        <f>((A9_A_L10*Otras_A)+(A9_B_L10*Otras_B)+(A9_C_L10*Otras_C)+(A9_D_L10*Otras_D)+(A9_Y_L10*Otras_Y))*Inflación_9</f>
        <v>0</v>
      </c>
      <c r="Y34" s="101">
        <f>SUMIFS('9'!$E:$E,'9'!$A:$A,Año_Inicial+8,'9'!$B:$B,'12'!X$4,'9'!$D:$D,"Otras actividades")</f>
        <v>0</v>
      </c>
      <c r="Z34" s="101">
        <f>((A9_A_L11*Otras_A)+(A9_B_L11*Otras_B)+(A9_C_L11*Otras_C)+(A9_D_L11*Otras_D)+(A9_Y_L11*Otras_Y))*Inflación_9</f>
        <v>0</v>
      </c>
      <c r="AA34" s="101">
        <f>SUMIFS('9'!$E:$E,'9'!$A:$A,Año_Inicial+8,'9'!$B:$B,'12'!Z$4,'9'!$D:$D,"Otras actividades")</f>
        <v>0</v>
      </c>
      <c r="AB34" s="101">
        <f>((A9_A_L12*Otras_A)+(A9_B_L12*Otras_B)+(A9_C_L12*Otras_C)+(A9_D_L12*Otras_D)+(A9_Y_L12*Otras_Y))*Inflación_9</f>
        <v>0</v>
      </c>
      <c r="AC34" s="101">
        <f>SUMIFS('9'!$E:$E,'9'!$A:$A,Año_Inicial+8,'9'!$B:$B,'12'!AB$4,'9'!$D:$D,"Otras actividades")</f>
        <v>0</v>
      </c>
      <c r="AD34" s="101">
        <f>((A9_A_L13*Otras_A)+(A9_B_L13*Otras_B)+(A9_C_L13*Otras_C)+(A9_D_L13*Otras_D)+(A9_Y_L13*Otras_Y))*Inflación_9</f>
        <v>0</v>
      </c>
      <c r="AE34" s="101">
        <f>SUMIFS('9'!$E:$E,'9'!$A:$A,Año_Inicial+8,'9'!$B:$B,'12'!AD$4,'9'!$D:$D,"Otras actividades")</f>
        <v>0</v>
      </c>
      <c r="AF34" s="101">
        <f>((A9_A_L14*Otras_A)+(A9_B_L14*Otras_B)+(A9_C_L14*Otras_C)+(A9_D_L14*Otras_D)+(A9_Y_L14*Otras_Y))*Inflación_9</f>
        <v>0</v>
      </c>
      <c r="AG34" s="101">
        <f>SUMIFS('9'!$E:$E,'9'!$A:$A,Año_Inicial+8,'9'!$B:$B,'12'!AF$4,'9'!$D:$D,"Otras actividades")</f>
        <v>0</v>
      </c>
      <c r="AH34" s="101">
        <f>((A9_A_L15*Otras_A)+(A9_B_L15*Otras_B)+(A9_C_L15*Otras_C)+(A9_D_L15*Otras_D)+(A9_Y_L15*Otras_Y))*Inflación_9</f>
        <v>0</v>
      </c>
      <c r="AI34" s="101">
        <f>SUMIFS('9'!$E:$E,'9'!$A:$A,Año_Inicial+8,'9'!$B:$B,'12'!AH$4,'9'!$D:$D,"Otras actividades")</f>
        <v>0</v>
      </c>
      <c r="AJ34" s="101">
        <f>((A9_A_L16*Otras_A)+(A9_B_L16*Otras_B)+(A9_C_L16*Otras_C)+(A9_D_L16*Otras_D)+(A9_Y_L16*Otras_Y))*Inflación_9</f>
        <v>0</v>
      </c>
      <c r="AK34" s="101">
        <f>SUMIFS('9'!$E:$E,'9'!$A:$A,Año_Inicial+8,'9'!$B:$B,'12'!AJ$4,'9'!$D:$D,"Otras actividades")</f>
        <v>0</v>
      </c>
      <c r="AL34" s="101">
        <f>((A9_A_L17*Otras_A)+(A9_B_L17*Otras_B)+(A9_C_L17*Otras_C)+(A9_D_L17*Otras_D)+(A9_Y_L17*Otras_Y))*Inflación_9</f>
        <v>0</v>
      </c>
      <c r="AM34" s="101">
        <f>SUMIFS('9'!$E:$E,'9'!$A:$A,Año_Inicial+8,'9'!$B:$B,'12'!AL$4,'9'!$D:$D,"Otras actividades")</f>
        <v>0</v>
      </c>
      <c r="AN34" s="101">
        <f>((A9_A_L18*Otras_A)+(A9_B_L18*Otras_B)+(A9_C_L18*Otras_C)+(A9_D_L18*Otras_D)+(A9_Y_L18*Otras_Y))*Inflación_9</f>
        <v>0</v>
      </c>
      <c r="AO34" s="101">
        <f>SUMIFS('9'!$E:$E,'9'!$A:$A,Año_Inicial+8,'9'!$B:$B,'12'!AN$4,'9'!$D:$D,"Otras actividades")</f>
        <v>0</v>
      </c>
      <c r="AP34" s="101">
        <f>((A9_A_L19*Otras_A)+(A9_B_L19*Otras_B)+(A9_C_L19*Otras_C)+(A9_D_L19*Otras_D)+(A9_Y_L19*Otras_Y))*Inflación_9</f>
        <v>0</v>
      </c>
      <c r="AQ34" s="101">
        <f>SUMIFS('9'!$E:$E,'9'!$A:$A,Año_Inicial+8,'9'!$B:$B,'12'!AP$4,'9'!$D:$D,"Otras actividades")</f>
        <v>0</v>
      </c>
      <c r="AR34" s="101">
        <f>((A9_A_L20*Otras_A)+(A9_B_L20*Otras_B)+(A9_C_L20*Otras_C)+(A9_D_L20*Otras_D)+(A9_Y_L20*Otras_Y))*Inflación_9</f>
        <v>0</v>
      </c>
      <c r="AS34" s="101">
        <f>SUMIFS('9'!$E:$E,'9'!$A:$A,Año_Inicial+8,'9'!$B:$B,'12'!AR$4,'9'!$D:$D,"Otras actividades")</f>
        <v>0</v>
      </c>
      <c r="AT34" s="101">
        <f>((A9_A_L21*Otras_A)+(A9_B_L21*Otras_B)+(A9_C_L21*Otras_C)+(A9_D_L21*Otras_D)+(A9_Y_L21*Otras_Y))*Inflación_9</f>
        <v>0</v>
      </c>
      <c r="AU34" s="101">
        <f>SUMIFS('9'!$E:$E,'9'!$A:$A,Año_Inicial+8,'9'!$B:$B,'12'!AT$4,'9'!$D:$D,"Otras actividades")</f>
        <v>0</v>
      </c>
      <c r="AV34" s="101">
        <f>((A9_A_L22*Otras_A)+(A9_B_L22*Otras_B)+(A9_C_L22*Otras_C)+(A9_D_L22*Otras_D)+(A9_Y_L22*Otras_Y))*Inflación_9</f>
        <v>0</v>
      </c>
      <c r="AW34" s="101">
        <f>SUMIFS('9'!$E:$E,'9'!$A:$A,Año_Inicial+8,'9'!$B:$B,'12'!AV$4,'9'!$D:$D,"Otras actividades")</f>
        <v>0</v>
      </c>
      <c r="AX34" s="101">
        <f>((A9_A_L23*Otras_A)+(A9_B_L23*Otras_B)+(A9_C_L23*Otras_C)+(A9_D_L23*Otras_D)+(A9_Y_L23*Otras_Y))*Inflación_9</f>
        <v>0</v>
      </c>
      <c r="AY34" s="101">
        <f>SUMIFS('9'!$E:$E,'9'!$A:$A,Año_Inicial+8,'9'!$B:$B,'12'!AX$4,'9'!$D:$D,"Otras actividades")</f>
        <v>0</v>
      </c>
      <c r="AZ34" s="101">
        <f>((A9_A_L24*Otras_A)+(A9_B_L24*Otras_B)+(A9_C_L24*Otras_C)+(A9_D_L24*Otras_D)+(A9_Y_L24*Otras_Y))*Inflación_9</f>
        <v>0</v>
      </c>
      <c r="BA34" s="101">
        <f>SUMIFS('9'!$E:$E,'9'!$A:$A,Año_Inicial+8,'9'!$B:$B,'12'!AZ$4,'9'!$D:$D,"Otras actividades")</f>
        <v>0</v>
      </c>
      <c r="BB34" s="101">
        <f>((A9_A_L25*Otras_A)+(A9_B_L25*Otras_B)+(A9_C_L25*Otras_C)+(A9_D_L25*Otras_D)+(A9_Y_L25*Otras_Y))*Inflación_9</f>
        <v>0</v>
      </c>
      <c r="BC34" s="101">
        <f>SUMIFS('9'!$E:$E,'9'!$A:$A,Año_Inicial+8,'9'!$B:$B,'12'!BB$4,'9'!$D:$D,"Otras actividades")</f>
        <v>0</v>
      </c>
      <c r="BD34" s="101">
        <f>((A9_A_L26*Otras_A)+(A9_B_L26*Otras_B)+(A9_C_L26*Otras_C)+(A9_D_L26*Otras_D)+(A9_Y_L26*Otras_Y))*Inflación_9</f>
        <v>0</v>
      </c>
      <c r="BE34" s="101">
        <f>SUMIFS('9'!$E:$E,'9'!$A:$A,Año_Inicial+8,'9'!$B:$B,'12'!BD$4,'9'!$D:$D,"Otras actividades")</f>
        <v>0</v>
      </c>
      <c r="BF34" s="101">
        <f>((A9_A_L27*Otras_A)+(A9_B_L27*Otras_B)+(A9_C_L27*Otras_C)+(A9_D_L27*Otras_D)+(A9_Y_L27*Otras_Y))*Inflación_9</f>
        <v>0</v>
      </c>
      <c r="BG34" s="101">
        <f>SUMIFS('9'!$E:$E,'9'!$A:$A,Año_Inicial+8,'9'!$B:$B,'12'!BF$4,'9'!$D:$D,"Otras actividades")</f>
        <v>0</v>
      </c>
      <c r="BH34" s="101">
        <f>((A9_A_L28*Otras_A)+(A9_B_L28*Otras_B)+(A9_C_L28*Otras_C)+(A9_D_L28*Otras_D)+(A9_Y_L28*Otras_Y))*Inflación_9</f>
        <v>0</v>
      </c>
      <c r="BI34" s="101">
        <f>SUMIFS('9'!$E:$E,'9'!$A:$A,Año_Inicial+8,'9'!$B:$B,'12'!BH$4,'9'!$D:$D,"Otras actividades")</f>
        <v>0</v>
      </c>
      <c r="BJ34" s="101">
        <f>((A9_A_L29*Otras_A)+(A9_B_L29*Otras_B)+(A9_C_L29*Otras_C)+(A9_D_L29*Otras_D)+(A9_Y_L29*Otras_Y))*Inflación_9</f>
        <v>0</v>
      </c>
      <c r="BK34" s="101">
        <f>SUMIFS('9'!$E:$E,'9'!$A:$A,Año_Inicial+8,'9'!$B:$B,'12'!BJ$4,'9'!$D:$D,"Otras actividades")</f>
        <v>0</v>
      </c>
      <c r="BL34" s="101">
        <f>((A9_A_L30*Otras_A)+(A9_B_L30*Otras_B)+(A9_C_L30*Otras_C)+(A9_D_L30*Otras_D)+(A9_Y_L30*Otras_Y))*Inflación_9</f>
        <v>0</v>
      </c>
      <c r="BM34" s="101">
        <f>SUMIFS('9'!$E:$E,'9'!$A:$A,Año_Inicial+8,'9'!$B:$B,'12'!BL$4,'9'!$D:$D,"Otras actividades")</f>
        <v>0</v>
      </c>
      <c r="BN34" s="101">
        <f>((A9_A_L31*Otras_A)+(A9_B_L31*Otras_B)+(A9_C_L31*Otras_C)+(A9_D_L31*Otras_D)+(A9_Y_L31*Otras_Y))*Inflación_9</f>
        <v>0</v>
      </c>
      <c r="BO34" s="101">
        <f>SUMIFS('9'!$E:$E,'9'!$A:$A,Año_Inicial+8,'9'!$B:$B,'12'!BN$4,'9'!$D:$D,"Otras actividades")</f>
        <v>0</v>
      </c>
      <c r="BP34" s="101">
        <f>((A9_A_L32*Otras_A)+(A9_B_L32*Otras_B)+(A9_C_L32*Otras_C)+(A9_D_L32*Otras_D)+(A9_Y_L32*Otras_Y))*Inflación_9</f>
        <v>0</v>
      </c>
      <c r="BQ34" s="101">
        <f>SUMIFS('9'!$E:$E,'9'!$A:$A,Año_Inicial+8,'9'!$B:$B,'12'!BP$4,'9'!$D:$D,"Otras actividades")</f>
        <v>0</v>
      </c>
      <c r="BR34" s="101">
        <f>((A9_A_L33*Otras_A)+(A9_B_L33*Otras_B)+(A9_C_L33*Otras_C)+(A9_D_L33*Otras_D)+(A9_Y_L33*Otras_Y))*Inflación_9</f>
        <v>0</v>
      </c>
      <c r="BS34" s="101">
        <f>SUMIFS('9'!$E:$E,'9'!$A:$A,Año_Inicial+8,'9'!$B:$B,'12'!BR$4,'9'!$D:$D,"Otras actividades")</f>
        <v>0</v>
      </c>
      <c r="BT34" s="101">
        <f>((A9_A_L34*Otras_A)+(A9_B_L34*Otras_B)+(A9_C_L34*Otras_C)+(A9_D_L34*Otras_D)+(A9_Y_L34*Otras_Y))*Inflación_9</f>
        <v>0</v>
      </c>
      <c r="BU34" s="101">
        <f>SUMIFS('9'!$E:$E,'9'!$A:$A,Año_Inicial+8,'9'!$B:$B,'12'!BT$4,'9'!$D:$D,"Otras actividades")</f>
        <v>0</v>
      </c>
      <c r="BV34" s="101">
        <f>((A9_A_L35*Otras_A)+(A9_B_L35*Otras_B)+(A9_C_L35*Otras_C)+(A9_D_L35*Otras_D)+(A9_Y_L35*Otras_Y))*Inflación_9</f>
        <v>0</v>
      </c>
      <c r="BW34" s="101">
        <f>SUMIFS('9'!$E:$E,'9'!$A:$A,Año_Inicial+8,'9'!$B:$B,'12'!BV$4,'9'!$D:$D,"Otras actividades")</f>
        <v>0</v>
      </c>
      <c r="BX34" s="101">
        <f>((A9_A_L36*Otras_A)+(A9_B_L36*Otras_B)+(A9_C_L36*Otras_C)+(A9_D_L36*Otras_D)+(A9_Y_L36*Otras_Y))*Inflación_9</f>
        <v>0</v>
      </c>
      <c r="BY34" s="101">
        <f>SUMIFS('9'!$E:$E,'9'!$A:$A,Año_Inicial+8,'9'!$B:$B,'12'!BX$4,'9'!$D:$D,"Otras actividades")</f>
        <v>0</v>
      </c>
      <c r="BZ34" s="101">
        <f>((A9_A_L37*Otras_A)+(A9_B_L37*Otras_B)+(A9_C_L37*Otras_C)+(A9_D_L37*Otras_D)+(A9_Y_L37*Otras_Y))*Inflación_9</f>
        <v>0</v>
      </c>
      <c r="CA34" s="101">
        <f>SUMIFS('9'!$E:$E,'9'!$A:$A,Año_Inicial+8,'9'!$B:$B,'12'!BZ$4,'9'!$D:$D,"Otras actividades")</f>
        <v>0</v>
      </c>
      <c r="CB34" s="101">
        <f>((A9_A_L38*Otras_A)+(A9_B_L38*Otras_B)+(A9_C_L38*Otras_C)+(A9_D_L38*Otras_D)+(A9_Y_L38*Otras_Y))*Inflación_9</f>
        <v>0</v>
      </c>
      <c r="CC34" s="101">
        <f>SUMIFS('9'!$E:$E,'9'!$A:$A,Año_Inicial+8,'9'!$B:$B,'12'!CB$4,'9'!$D:$D,"Otras actividades")</f>
        <v>0</v>
      </c>
      <c r="CD34" s="101">
        <f>((A9_A_L39*Otras_A)+(A9_B_L39*Otras_B)+(A9_C_L39*Otras_C)+(A9_D_L39*Otras_D)+(A9_Y_L39*Otras_Y))*Inflación_9</f>
        <v>0</v>
      </c>
      <c r="CE34" s="101">
        <f>SUMIFS('9'!$E:$E,'9'!$A:$A,Año_Inicial+8,'9'!$B:$B,'12'!CD$4,'9'!$D:$D,"Otras actividades")</f>
        <v>0</v>
      </c>
      <c r="CF34" s="101">
        <f>((A9_A_L40*Otras_A)+(A9_B_L40*Otras_B)+(A9_C_L40*Otras_C)+(A9_D_L40*Otras_D)+(A9_Y_L40*Otras_Y))*Inflación_9</f>
        <v>0</v>
      </c>
      <c r="CG34" s="101">
        <f>SUMIFS('9'!$E:$E,'9'!$A:$A,Año_Inicial+8,'9'!$B:$B,'12'!CF$4,'9'!$D:$D,"Otras actividades")</f>
        <v>0</v>
      </c>
      <c r="CH34" s="473"/>
      <c r="CI34" s="101">
        <f>Plantas_A_A9*Otras_A*Inflación_9</f>
        <v>0</v>
      </c>
      <c r="CJ34" s="101">
        <f>Plantas_B_A9*Otras_B</f>
        <v>0</v>
      </c>
      <c r="CK34" s="101">
        <f>Plantas_C_A9*Otras_C</f>
        <v>0</v>
      </c>
      <c r="CL34" s="101">
        <f>Plantas_D_A9*Otras_D</f>
        <v>0</v>
      </c>
      <c r="CM34" s="101"/>
      <c r="CN34" s="101">
        <f>Plantas_Y_A9*Otras_Y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SUMIFS('9'!$E:$E,'9'!$A:$A,Año_Inicial+8,'9'!$D:$D,"Coadyuvantes")</f>
        <v>0</v>
      </c>
      <c r="D35" s="100">
        <f t="shared" si="45"/>
        <v>0</v>
      </c>
      <c r="E35" s="473"/>
      <c r="F35" s="101">
        <f>((A9_A_L1*Coad_A)+(A9_B_L1*Coad_B)+(A9_C_L1*Coad_C)+(A9_D_L1*Coad_D)+(A9_Y_L1*Coad_Y))*Inflación_9</f>
        <v>0</v>
      </c>
      <c r="G35" s="101">
        <f>SUMIFS('9'!$E:$E,'9'!$A:$A,Año_Inicial+8,'9'!$B:$B,'12'!F$4,'9'!$D:$D,"Coadyuvantes")</f>
        <v>0</v>
      </c>
      <c r="H35" s="101">
        <f>((A9_A_L2*Coad_A)+(A9_B_L2*Coad_B)+(A9_C_L2*Coad_C)+(A9_D_L2*Coad_D)+(A9_Y_L2*Coad_Y))*Inflación_9</f>
        <v>0</v>
      </c>
      <c r="I35" s="101">
        <f>SUMIFS('9'!$E:$E,'9'!$A:$A,Año_Inicial+8,'9'!$B:$B,'12'!H$4,'9'!$D:$D,"Coadyuvantes")</f>
        <v>0</v>
      </c>
      <c r="J35" s="101">
        <f>((A9_A_L3*Coad_A)+(A9_B_L3*Coad_B)+(A9_C_L3*Coad_C)+(A9_D_L3*Coad_D)+(A9_Y_L3*Coad_Y))*Inflación_9</f>
        <v>0</v>
      </c>
      <c r="K35" s="101">
        <f>SUMIFS('9'!$E:$E,'9'!$A:$A,Año_Inicial+8,'9'!$B:$B,'12'!J$4,'9'!$D:$D,"Coadyuvantes")</f>
        <v>0</v>
      </c>
      <c r="L35" s="101">
        <f>((A9_A_L4*Coad_A)+(A9_B_L4*Coad_B)+(A9_C_L4*Coad_C)+(A9_D_L4*Coad_D)+(A9_Y_L4*Coad_Y))*Inflación_9</f>
        <v>0</v>
      </c>
      <c r="M35" s="101">
        <f>SUMIFS('9'!$E:$E,'9'!$A:$A,Año_Inicial+8,'9'!$B:$B,'12'!L$4,'9'!$D:$D,"Coadyuvantes")</f>
        <v>0</v>
      </c>
      <c r="N35" s="101">
        <f>((A9_A_L5*Coad_A)+(A9_B_L5*Coad_B)+(A9_C_L5*Coad_C)+(A9_D_L5*Coad_D)+(A9_Y_L5*Coad_Y))*Inflación_9</f>
        <v>0</v>
      </c>
      <c r="O35" s="101">
        <f>SUMIFS('9'!$E:$E,'9'!$A:$A,Año_Inicial+8,'9'!$B:$B,'12'!N$4,'9'!$D:$D,"Coadyuvantes")</f>
        <v>0</v>
      </c>
      <c r="P35" s="101">
        <f>((A9_A_L6*Coad_A)+(A9_B_L6*Coad_B)+(A9_C_L6*Coad_C)+(A9_D_L6*Coad_D)+(A9_Y_L6*Coad_Y))*Inflación_9</f>
        <v>0</v>
      </c>
      <c r="Q35" s="101">
        <f>SUMIFS('9'!$E:$E,'9'!$A:$A,Año_Inicial+8,'9'!$B:$B,'12'!P$4,'9'!$D:$D,"Coadyuvantes")</f>
        <v>0</v>
      </c>
      <c r="R35" s="101">
        <f>((A9_A_L7*Coad_A)+(A9_B_L7*Coad_B)+(A9_C_L7*Coad_C)+(A9_D_L7*Coad_D)+(A9_Y_L7*Coad_Y))*Inflación_9</f>
        <v>0</v>
      </c>
      <c r="S35" s="101">
        <f>SUMIFS('9'!$E:$E,'9'!$A:$A,Año_Inicial+8,'9'!$B:$B,'12'!R$4,'9'!$D:$D,"Coadyuvantes")</f>
        <v>0</v>
      </c>
      <c r="T35" s="101">
        <f>((A9_A_L8*Coad_A)+(A9_B_L8*Coad_B)+(A9_C_L8*Coad_C)+(A9_D_L8*Coad_D)+(A9_Y_L8*Coad_Y))*Inflación_9</f>
        <v>0</v>
      </c>
      <c r="U35" s="101">
        <f>SUMIFS('9'!$E:$E,'9'!$A:$A,Año_Inicial+8,'9'!$B:$B,'12'!T$4,'9'!$D:$D,"Coadyuvantes")</f>
        <v>0</v>
      </c>
      <c r="V35" s="101">
        <f>((A9_A_L9*Coad_A)+(A9_B_L9*Coad_B)+(A9_C_L9*Coad_C)+(A9_D_L9*Coad_D)+(A9_Y_L9*Coad_Y))*Inflación_9</f>
        <v>0</v>
      </c>
      <c r="W35" s="101">
        <f>SUMIFS('9'!$E:$E,'9'!$A:$A,Año_Inicial+8,'9'!$B:$B,'12'!V$4,'9'!$D:$D,"Coadyuvantes")</f>
        <v>0</v>
      </c>
      <c r="X35" s="101">
        <f>((A9_A_L10*Coad_A)+(A9_B_L10*Coad_B)+(A9_C_L10*Coad_C)+(A9_D_L10*Coad_D)+(A9_Y_L10*Coad_Y))*Inflación_9</f>
        <v>0</v>
      </c>
      <c r="Y35" s="101">
        <f>SUMIFS('9'!$E:$E,'9'!$A:$A,Año_Inicial+8,'9'!$B:$B,'12'!X$4,'9'!$D:$D,"Coadyuvantes")</f>
        <v>0</v>
      </c>
      <c r="Z35" s="101">
        <f>((A9_A_L11*Coad_A)+(A9_B_L11*Coad_B)+(A9_C_L11*Coad_C)+(A9_D_L11*Coad_D)+(A9_Y_L11*Coad_Y))*Inflación_9</f>
        <v>0</v>
      </c>
      <c r="AA35" s="101">
        <f>SUMIFS('9'!$E:$E,'9'!$A:$A,Año_Inicial+8,'9'!$B:$B,'12'!Z$4,'9'!$D:$D,"Coadyuvantes")</f>
        <v>0</v>
      </c>
      <c r="AB35" s="101">
        <f>((A9_A_L12*Coad_A)+(A9_B_L12*Coad_B)+(A9_C_L12*Coad_C)+(A9_D_L12*Coad_D)+(A9_Y_L12*Coad_Y))*Inflación_9</f>
        <v>0</v>
      </c>
      <c r="AC35" s="101">
        <f>SUMIFS('9'!$E:$E,'9'!$A:$A,Año_Inicial+8,'9'!$B:$B,'12'!AB$4,'9'!$D:$D,"Coadyuvantes")</f>
        <v>0</v>
      </c>
      <c r="AD35" s="101">
        <f>((A9_A_L13*Coad_A)+(A9_B_L13*Coad_B)+(A9_C_L13*Coad_C)+(A9_D_L13*Coad_D)+(A9_Y_L13*Coad_Y))*Inflación_9</f>
        <v>0</v>
      </c>
      <c r="AE35" s="101">
        <f>SUMIFS('9'!$E:$E,'9'!$A:$A,Año_Inicial+8,'9'!$B:$B,'12'!AD$4,'9'!$D:$D,"Coadyuvantes")</f>
        <v>0</v>
      </c>
      <c r="AF35" s="101">
        <f>((A9_A_L14*Coad_A)+(A9_B_L14*Coad_B)+(A9_C_L14*Coad_C)+(A9_D_L14*Coad_D)+(A9_Y_L14*Coad_Y))*Inflación_9</f>
        <v>0</v>
      </c>
      <c r="AG35" s="101">
        <f>SUMIFS('9'!$E:$E,'9'!$A:$A,Año_Inicial+8,'9'!$B:$B,'12'!AF$4,'9'!$D:$D,"Coadyuvantes")</f>
        <v>0</v>
      </c>
      <c r="AH35" s="101">
        <f>((A9_A_L15*Coad_A)+(A9_B_L15*Coad_B)+(A9_C_L15*Coad_C)+(A9_D_L15*Coad_D)+(A9_Y_L15*Coad_Y))*Inflación_9</f>
        <v>0</v>
      </c>
      <c r="AI35" s="101">
        <f>SUMIFS('9'!$E:$E,'9'!$A:$A,Año_Inicial+8,'9'!$B:$B,'12'!AH$4,'9'!$D:$D,"Coadyuvantes")</f>
        <v>0</v>
      </c>
      <c r="AJ35" s="101">
        <f>((A9_A_L16*Coad_A)+(A9_B_L16*Coad_B)+(A9_C_L16*Coad_C)+(A9_D_L16*Coad_D)+(A9_Y_L16*Coad_Y))*Inflación_9</f>
        <v>0</v>
      </c>
      <c r="AK35" s="101">
        <f>SUMIFS('9'!$E:$E,'9'!$A:$A,Año_Inicial+8,'9'!$B:$B,'12'!AJ$4,'9'!$D:$D,"Coadyuvantes")</f>
        <v>0</v>
      </c>
      <c r="AL35" s="101">
        <f>((A9_A_L17*Coad_A)+(A9_B_L17*Coad_B)+(A9_C_L17*Coad_C)+(A9_D_L17*Coad_D)+(A9_Y_L17*Coad_Y))*Inflación_9</f>
        <v>0</v>
      </c>
      <c r="AM35" s="101">
        <f>SUMIFS('9'!$E:$E,'9'!$A:$A,Año_Inicial+8,'9'!$B:$B,'12'!AL$4,'9'!$D:$D,"Coadyuvantes")</f>
        <v>0</v>
      </c>
      <c r="AN35" s="101">
        <f>((A9_A_L18*Coad_A)+(A9_B_L18*Coad_B)+(A9_C_L18*Coad_C)+(A9_D_L18*Coad_D)+(A9_Y_L18*Coad_Y))*Inflación_9</f>
        <v>0</v>
      </c>
      <c r="AO35" s="101">
        <f>SUMIFS('9'!$E:$E,'9'!$A:$A,Año_Inicial+8,'9'!$B:$B,'12'!AN$4,'9'!$D:$D,"Coadyuvantes")</f>
        <v>0</v>
      </c>
      <c r="AP35" s="101">
        <f>((A9_A_L19*Coad_A)+(A9_B_L19*Coad_B)+(A9_C_L19*Coad_C)+(A9_D_L19*Coad_D)+(A9_Y_L19*Coad_Y))*Inflación_9</f>
        <v>0</v>
      </c>
      <c r="AQ35" s="101">
        <f>SUMIFS('9'!$E:$E,'9'!$A:$A,Año_Inicial+8,'9'!$B:$B,'12'!AP$4,'9'!$D:$D,"Coadyuvantes")</f>
        <v>0</v>
      </c>
      <c r="AR35" s="101">
        <f>((A9_A_L20*Coad_A)+(A9_B_L20*Coad_B)+(A9_C_L20*Coad_C)+(A9_D_L20*Coad_D)+(A9_Y_L20*Coad_Y))*Inflación_9</f>
        <v>0</v>
      </c>
      <c r="AS35" s="101">
        <f>SUMIFS('9'!$E:$E,'9'!$A:$A,Año_Inicial+8,'9'!$B:$B,'12'!AR$4,'9'!$D:$D,"Coadyuvantes")</f>
        <v>0</v>
      </c>
      <c r="AT35" s="101">
        <f>((A9_A_L21*Coad_A)+(A9_B_L21*Coad_B)+(A9_C_L21*Coad_C)+(A9_D_L21*Coad_D)+(A9_Y_L21*Coad_Y))*Inflación_9</f>
        <v>0</v>
      </c>
      <c r="AU35" s="101">
        <f>SUMIFS('9'!$E:$E,'9'!$A:$A,Año_Inicial+8,'9'!$B:$B,'12'!AT$4,'9'!$D:$D,"Coadyuvantes")</f>
        <v>0</v>
      </c>
      <c r="AV35" s="101">
        <f>((A9_A_L22*Coad_A)+(A9_B_L22*Coad_B)+(A9_C_L22*Coad_C)+(A9_D_L22*Coad_D)+(A9_Y_L22*Coad_Y))*Inflación_9</f>
        <v>0</v>
      </c>
      <c r="AW35" s="101">
        <f>SUMIFS('9'!$E:$E,'9'!$A:$A,Año_Inicial+8,'9'!$B:$B,'12'!AV$4,'9'!$D:$D,"Coadyuvantes")</f>
        <v>0</v>
      </c>
      <c r="AX35" s="101">
        <f>((A9_A_L23*Coad_A)+(A9_B_L23*Coad_B)+(A9_C_L23*Coad_C)+(A9_D_L23*Coad_D)+(A9_Y_L23*Coad_Y))*Inflación_9</f>
        <v>0</v>
      </c>
      <c r="AY35" s="101">
        <f>SUMIFS('9'!$E:$E,'9'!$A:$A,Año_Inicial+8,'9'!$B:$B,'12'!AX$4,'9'!$D:$D,"Coadyuvantes")</f>
        <v>0</v>
      </c>
      <c r="AZ35" s="101">
        <f>((A9_A_L24*Coad_A)+(A9_B_L24*Coad_B)+(A9_C_L24*Coad_C)+(A9_D_L24*Coad_D)+(A9_Y_L24*Coad_Y))*Inflación_9</f>
        <v>0</v>
      </c>
      <c r="BA35" s="101">
        <f>SUMIFS('9'!$E:$E,'9'!$A:$A,Año_Inicial+8,'9'!$B:$B,'12'!AZ$4,'9'!$D:$D,"Coadyuvantes")</f>
        <v>0</v>
      </c>
      <c r="BB35" s="101">
        <f>((A9_A_L25*Coad_A)+(A9_B_L25*Coad_B)+(A9_C_L25*Coad_C)+(A9_D_L25*Coad_D)+(A9_Y_L25*Coad_Y))*Inflación_9</f>
        <v>0</v>
      </c>
      <c r="BC35" s="101">
        <f>SUMIFS('9'!$E:$E,'9'!$A:$A,Año_Inicial+8,'9'!$B:$B,'12'!BB$4,'9'!$D:$D,"Coadyuvantes")</f>
        <v>0</v>
      </c>
      <c r="BD35" s="101">
        <f>((A9_A_L26*Coad_A)+(A9_B_L26*Coad_B)+(A9_C_L26*Coad_C)+(A9_D_L26*Coad_D)+(A9_Y_L26*Coad_Y))*Inflación_9</f>
        <v>0</v>
      </c>
      <c r="BE35" s="101">
        <f>SUMIFS('9'!$E:$E,'9'!$A:$A,Año_Inicial+8,'9'!$B:$B,'12'!BD$4,'9'!$D:$D,"Coadyuvantes")</f>
        <v>0</v>
      </c>
      <c r="BF35" s="101">
        <f>((A9_A_L27*Coad_A)+(A9_B_L27*Coad_B)+(A9_C_L27*Coad_C)+(A9_D_L27*Coad_D)+(A9_Y_L27*Coad_Y))*Inflación_9</f>
        <v>0</v>
      </c>
      <c r="BG35" s="101">
        <f>SUMIFS('9'!$E:$E,'9'!$A:$A,Año_Inicial+8,'9'!$B:$B,'12'!BF$4,'9'!$D:$D,"Coadyuvantes")</f>
        <v>0</v>
      </c>
      <c r="BH35" s="101">
        <f>((A9_A_L28*Coad_A)+(A9_B_L28*Coad_B)+(A9_C_L28*Coad_C)+(A9_D_L28*Coad_D)+(A9_Y_L28*Coad_Y))*Inflación_9</f>
        <v>0</v>
      </c>
      <c r="BI35" s="101">
        <f>SUMIFS('9'!$E:$E,'9'!$A:$A,Año_Inicial+8,'9'!$B:$B,'12'!BH$4,'9'!$D:$D,"Coadyuvantes")</f>
        <v>0</v>
      </c>
      <c r="BJ35" s="101">
        <f>((A9_A_L29*Coad_A)+(A9_B_L29*Coad_B)+(A9_C_L29*Coad_C)+(A9_D_L29*Coad_D)+(A9_Y_L29*Coad_Y))*Inflación_9</f>
        <v>0</v>
      </c>
      <c r="BK35" s="101">
        <f>SUMIFS('9'!$E:$E,'9'!$A:$A,Año_Inicial+8,'9'!$B:$B,'12'!BJ$4,'9'!$D:$D,"Coadyuvantes")</f>
        <v>0</v>
      </c>
      <c r="BL35" s="101">
        <f>((A9_A_L30*Coad_A)+(A9_B_L30*Coad_B)+(A9_C_L30*Coad_C)+(A9_D_L30*Coad_D)+(A9_Y_L30*Coad_Y))*Inflación_9</f>
        <v>0</v>
      </c>
      <c r="BM35" s="101">
        <f>SUMIFS('9'!$E:$E,'9'!$A:$A,Año_Inicial+8,'9'!$B:$B,'12'!BL$4,'9'!$D:$D,"Coadyuvantes")</f>
        <v>0</v>
      </c>
      <c r="BN35" s="101">
        <f>((A9_A_L31*Coad_A)+(A9_B_L31*Coad_B)+(A9_C_L31*Coad_C)+(A9_D_L31*Coad_D)+(A9_Y_L31*Coad_Y))*Inflación_9</f>
        <v>0</v>
      </c>
      <c r="BO35" s="101">
        <f>SUMIFS('9'!$E:$E,'9'!$A:$A,Año_Inicial+8,'9'!$B:$B,'12'!BN$4,'9'!$D:$D,"Coadyuvantes")</f>
        <v>0</v>
      </c>
      <c r="BP35" s="101">
        <f>((A9_A_L32*Coad_A)+(A9_B_L32*Coad_B)+(A9_C_L32*Coad_C)+(A9_D_L32*Coad_D)+(A9_Y_L32*Coad_Y))*Inflación_9</f>
        <v>0</v>
      </c>
      <c r="BQ35" s="101">
        <f>SUMIFS('9'!$E:$E,'9'!$A:$A,Año_Inicial+8,'9'!$B:$B,'12'!BP$4,'9'!$D:$D,"Coadyuvantes")</f>
        <v>0</v>
      </c>
      <c r="BR35" s="101">
        <f>((A9_A_L33*Coad_A)+(A9_B_L33*Coad_B)+(A9_C_L33*Coad_C)+(A9_D_L33*Coad_D)+(A9_Y_L33*Coad_Y))*Inflación_9</f>
        <v>0</v>
      </c>
      <c r="BS35" s="101">
        <f>SUMIFS('9'!$E:$E,'9'!$A:$A,Año_Inicial+8,'9'!$B:$B,'12'!BR$4,'9'!$D:$D,"Coadyuvantes")</f>
        <v>0</v>
      </c>
      <c r="BT35" s="101">
        <f>((A9_A_L34*Coad_A)+(A9_B_L34*Coad_B)+(A9_C_L34*Coad_C)+(A9_D_L34*Coad_D)+(A9_Y_L34*Coad_Y))*Inflación_9</f>
        <v>0</v>
      </c>
      <c r="BU35" s="101">
        <f>SUMIFS('9'!$E:$E,'9'!$A:$A,Año_Inicial+8,'9'!$B:$B,'12'!BT$4,'9'!$D:$D,"Coadyuvantes")</f>
        <v>0</v>
      </c>
      <c r="BV35" s="101">
        <f>((A9_A_L35*Coad_A)+(A9_B_L35*Coad_B)+(A9_C_L35*Coad_C)+(A9_D_L35*Coad_D)+(A9_Y_L35*Coad_Y))*Inflación_9</f>
        <v>0</v>
      </c>
      <c r="BW35" s="101">
        <f>SUMIFS('9'!$E:$E,'9'!$A:$A,Año_Inicial+8,'9'!$B:$B,'12'!BV$4,'9'!$D:$D,"Coadyuvantes")</f>
        <v>0</v>
      </c>
      <c r="BX35" s="101">
        <f>((A9_A_L36*Coad_A)+(A9_B_L36*Coad_B)+(A9_C_L36*Coad_C)+(A9_D_L36*Coad_D)+(A9_Y_L36*Coad_Y))*Inflación_9</f>
        <v>0</v>
      </c>
      <c r="BY35" s="101">
        <f>SUMIFS('9'!$E:$E,'9'!$A:$A,Año_Inicial+8,'9'!$B:$B,'12'!BX$4,'9'!$D:$D,"Coadyuvantes")</f>
        <v>0</v>
      </c>
      <c r="BZ35" s="101">
        <f>((A9_A_L37*Coad_A)+(A9_B_L37*Coad_B)+(A9_C_L37*Coad_C)+(A9_D_L37*Coad_D)+(A9_Y_L37*Coad_Y))*Inflación_9</f>
        <v>0</v>
      </c>
      <c r="CA35" s="101">
        <f>SUMIFS('9'!$E:$E,'9'!$A:$A,Año_Inicial+8,'9'!$B:$B,'12'!BZ$4,'9'!$D:$D,"Coadyuvantes")</f>
        <v>0</v>
      </c>
      <c r="CB35" s="101">
        <f>((A9_A_L38*Coad_A)+(A9_B_L38*Coad_B)+(A9_C_L38*Coad_C)+(A9_D_L38*Coad_D)+(A9_Y_L38*Coad_Y))*Inflación_9</f>
        <v>0</v>
      </c>
      <c r="CC35" s="101">
        <f>SUMIFS('9'!$E:$E,'9'!$A:$A,Año_Inicial+8,'9'!$B:$B,'12'!CB$4,'9'!$D:$D,"Coadyuvantes")</f>
        <v>0</v>
      </c>
      <c r="CD35" s="101">
        <f>((A9_A_L39*Coad_A)+(A9_B_L39*Coad_B)+(A9_C_L39*Coad_C)+(A9_D_L39*Coad_D)+(A9_Y_L39*Coad_Y))*Inflación_9</f>
        <v>0</v>
      </c>
      <c r="CE35" s="101">
        <f>SUMIFS('9'!$E:$E,'9'!$A:$A,Año_Inicial+8,'9'!$B:$B,'12'!CD$4,'9'!$D:$D,"Coadyuvantes")</f>
        <v>0</v>
      </c>
      <c r="CF35" s="101">
        <f>((A9_A_L40*Coad_A)+(A9_B_L40*Coad_B)+(A9_C_L40*Coad_C)+(A9_D_L40*Coad_D)+(A9_Y_L40*Coad_Y))*Inflación_9</f>
        <v>0</v>
      </c>
      <c r="CG35" s="101">
        <f>SUMIFS('9'!$E:$E,'9'!$A:$A,Año_Inicial+8,'9'!$B:$B,'12'!CF$4,'9'!$D:$D,"Coadyuvantes")</f>
        <v>0</v>
      </c>
      <c r="CH35" s="473"/>
      <c r="CI35" s="101">
        <f>Plantas_A_A9*Coad_A*Inflación_9</f>
        <v>0</v>
      </c>
      <c r="CJ35" s="101">
        <f>Plantas_B_A9*Coad_B</f>
        <v>0</v>
      </c>
      <c r="CK35" s="101">
        <f>Plantas_C_A9*Coad_C</f>
        <v>0</v>
      </c>
      <c r="CL35" s="101">
        <f>Plantas_D_A9*Coad_D</f>
        <v>0</v>
      </c>
      <c r="CM35" s="101"/>
      <c r="CN35" s="101">
        <f>Plantas_Y_A9*Coad_Y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SUMIFS('9'!$E:$E,'9'!$A:$A,Año_Inicial+8,'9'!$D:$D,"Otro insumo 1*")</f>
        <v>0</v>
      </c>
      <c r="D36" s="100">
        <f t="shared" si="45"/>
        <v>0</v>
      </c>
      <c r="E36" s="473"/>
      <c r="F36" s="101">
        <f>((A9_A_L1*Otro1_A)+(A9_B_L1*Otro1_B)+(A9_C_L1*Otro1_C)+(A9_D_L1*Otro1_D)+(A9_Y_L1*Otro1_Y))*Inflación_9</f>
        <v>0</v>
      </c>
      <c r="G36" s="101">
        <f>SUMIFS('9'!$E:$E,'9'!$A:$A,Año_Inicial+8,'9'!$B:$B,'12'!F$4,'9'!$D:$D,"Otro insumo 1*")</f>
        <v>0</v>
      </c>
      <c r="H36" s="101">
        <f>((A9_A_L2*Otro1_A)+(A9_B_L2*Otro1_B)+(A9_C_L2*Otro1_C)+(A9_D_L2*Otro1_D)+(A9_Y_L2*Otro1_Y))*Inflación_9</f>
        <v>0</v>
      </c>
      <c r="I36" s="101">
        <f>SUMIFS('9'!$E:$E,'9'!$A:$A,Año_Inicial+8,'9'!$B:$B,'12'!H$4,'9'!$D:$D,"Otro insumo 1*")</f>
        <v>0</v>
      </c>
      <c r="J36" s="101">
        <f>((A9_A_L3*Otro1_A)+(A9_B_L3*Otro1_B)+(A9_C_L3*Otro1_C)+(A9_D_L3*Otro1_D)+(A9_Y_L3*Otro1_Y))*Inflación_9</f>
        <v>0</v>
      </c>
      <c r="K36" s="101">
        <f>SUMIFS('9'!$E:$E,'9'!$A:$A,Año_Inicial+8,'9'!$B:$B,'12'!J$4,'9'!$D:$D,"Otro insumo 1*")</f>
        <v>0</v>
      </c>
      <c r="L36" s="101">
        <f>((A9_A_L4*Otro1_A)+(A9_B_L4*Otro1_B)+(A9_C_L4*Otro1_C)+(A9_D_L4*Otro1_D)+(A9_Y_L4*Otro1_Y))*Inflación_9</f>
        <v>0</v>
      </c>
      <c r="M36" s="101">
        <f>SUMIFS('9'!$E:$E,'9'!$A:$A,Año_Inicial+8,'9'!$B:$B,'12'!L$4,'9'!$D:$D,"Otro insumo 1*")</f>
        <v>0</v>
      </c>
      <c r="N36" s="101">
        <f>((A9_A_L5*Otro1_A)+(A9_B_L5*Otro1_B)+(A9_C_L5*Otro1_C)+(A9_D_L5*Otro1_D)+(A9_Y_L5*Otro1_Y))*Inflación_9</f>
        <v>0</v>
      </c>
      <c r="O36" s="101">
        <f>SUMIFS('9'!$E:$E,'9'!$A:$A,Año_Inicial+8,'9'!$B:$B,'12'!N$4,'9'!$D:$D,"Otro insumo 1*")</f>
        <v>0</v>
      </c>
      <c r="P36" s="101">
        <f>((A9_A_L6*Otro1_A)+(A9_B_L6*Otro1_B)+(A9_C_L6*Otro1_C)+(A9_D_L6*Otro1_D)+(A9_Y_L6*Otro1_Y))*Inflación_9</f>
        <v>0</v>
      </c>
      <c r="Q36" s="101">
        <f>SUMIFS('9'!$E:$E,'9'!$A:$A,Año_Inicial+8,'9'!$B:$B,'12'!P$4,'9'!$D:$D,"Otro insumo 1*")</f>
        <v>0</v>
      </c>
      <c r="R36" s="101">
        <f>((A9_A_L7*Otro1_A)+(A9_B_L7*Otro1_B)+(A9_C_L7*Otro1_C)+(A9_D_L7*Otro1_D)+(A9_Y_L7*Otro1_Y))*Inflación_9</f>
        <v>0</v>
      </c>
      <c r="S36" s="101">
        <f>SUMIFS('9'!$E:$E,'9'!$A:$A,Año_Inicial+8,'9'!$B:$B,'12'!R$4,'9'!$D:$D,"Otro insumo 1*")</f>
        <v>0</v>
      </c>
      <c r="T36" s="101">
        <f>((A9_A_L8*Otro1_A)+(A9_B_L8*Otro1_B)+(A9_C_L8*Otro1_C)+(A9_D_L8*Otro1_D)+(A9_Y_L8*Otro1_Y))*Inflación_9</f>
        <v>0</v>
      </c>
      <c r="U36" s="101">
        <f>SUMIFS('9'!$E:$E,'9'!$A:$A,Año_Inicial+8,'9'!$B:$B,'12'!T$4,'9'!$D:$D,"Otro insumo 1*")</f>
        <v>0</v>
      </c>
      <c r="V36" s="101">
        <f>((A9_A_L9*Otro1_A)+(A9_B_L9*Otro1_B)+(A9_C_L9*Otro1_C)+(A9_D_L9*Otro1_D)+(A9_Y_L9*Otro1_Y))*Inflación_9</f>
        <v>0</v>
      </c>
      <c r="W36" s="101">
        <f>SUMIFS('9'!$E:$E,'9'!$A:$A,Año_Inicial+8,'9'!$B:$B,'12'!V$4,'9'!$D:$D,"Otro insumo 1*")</f>
        <v>0</v>
      </c>
      <c r="X36" s="101">
        <f>((A9_A_L10*Otro1_A)+(A9_B_L10*Otro1_B)+(A9_C_L10*Otro1_C)+(A9_D_L10*Otro1_D)+(A9_Y_L10*Otro1_Y))*Inflación_9</f>
        <v>0</v>
      </c>
      <c r="Y36" s="101">
        <f>SUMIFS('9'!$E:$E,'9'!$A:$A,Año_Inicial+8,'9'!$B:$B,'12'!X$4,'9'!$D:$D,"Otro insumo 1*")</f>
        <v>0</v>
      </c>
      <c r="Z36" s="101">
        <f>((A9_A_L11*Otro1_A)+(A9_B_L11*Otro1_B)+(A9_C_L11*Otro1_C)+(A9_D_L11*Otro1_D)+(A9_Y_L11*Otro1_Y))*Inflación_9</f>
        <v>0</v>
      </c>
      <c r="AA36" s="101">
        <f>SUMIFS('9'!$E:$E,'9'!$A:$A,Año_Inicial+8,'9'!$B:$B,'12'!Z$4,'9'!$D:$D,"Otro insumo 1*")</f>
        <v>0</v>
      </c>
      <c r="AB36" s="101">
        <f>((A9_A_L12*Otro1_A)+(A9_B_L12*Otro1_B)+(A9_C_L12*Otro1_C)+(A9_D_L12*Otro1_D)+(A9_Y_L12*Otro1_Y))*Inflación_9</f>
        <v>0</v>
      </c>
      <c r="AC36" s="101">
        <f>SUMIFS('9'!$E:$E,'9'!$A:$A,Año_Inicial+8,'9'!$B:$B,'12'!AB$4,'9'!$D:$D,"Otro insumo 1*")</f>
        <v>0</v>
      </c>
      <c r="AD36" s="101">
        <f>((A9_A_L13*Otro1_A)+(A9_B_L13*Otro1_B)+(A9_C_L13*Otro1_C)+(A9_D_L13*Otro1_D)+(A9_Y_L13*Otro1_Y))*Inflación_9</f>
        <v>0</v>
      </c>
      <c r="AE36" s="101">
        <f>SUMIFS('9'!$E:$E,'9'!$A:$A,Año_Inicial+8,'9'!$B:$B,'12'!AD$4,'9'!$D:$D,"Otro insumo 1*")</f>
        <v>0</v>
      </c>
      <c r="AF36" s="101">
        <f>((A9_A_L14*Otro1_A)+(A9_B_L14*Otro1_B)+(A9_C_L14*Otro1_C)+(A9_D_L14*Otro1_D)+(A9_Y_L14*Otro1_Y))*Inflación_9</f>
        <v>0</v>
      </c>
      <c r="AG36" s="101">
        <f>SUMIFS('9'!$E:$E,'9'!$A:$A,Año_Inicial+8,'9'!$B:$B,'12'!AF$4,'9'!$D:$D,"Otro insumo 1*")</f>
        <v>0</v>
      </c>
      <c r="AH36" s="101">
        <f>((A9_A_L15*Otro1_A)+(A9_B_L15*Otro1_B)+(A9_C_L15*Otro1_C)+(A9_D_L15*Otro1_D)+(A9_Y_L15*Otro1_Y))*Inflación_9</f>
        <v>0</v>
      </c>
      <c r="AI36" s="101">
        <f>SUMIFS('9'!$E:$E,'9'!$A:$A,Año_Inicial+8,'9'!$B:$B,'12'!AH$4,'9'!$D:$D,"Otro insumo 1*")</f>
        <v>0</v>
      </c>
      <c r="AJ36" s="101">
        <f>((A9_A_L16*Otro1_A)+(A9_B_L16*Otro1_B)+(A9_C_L16*Otro1_C)+(A9_D_L16*Otro1_D)+(A9_Y_L16*Otro1_Y))*Inflación_9</f>
        <v>0</v>
      </c>
      <c r="AK36" s="101">
        <f>SUMIFS('9'!$E:$E,'9'!$A:$A,Año_Inicial+8,'9'!$B:$B,'12'!AJ$4,'9'!$D:$D,"Otro insumo 1*")</f>
        <v>0</v>
      </c>
      <c r="AL36" s="101">
        <f>((A9_A_L17*Otro1_A)+(A9_B_L17*Otro1_B)+(A9_C_L17*Otro1_C)+(A9_D_L17*Otro1_D)+(A9_Y_L17*Otro1_Y))*Inflación_9</f>
        <v>0</v>
      </c>
      <c r="AM36" s="101">
        <f>SUMIFS('9'!$E:$E,'9'!$A:$A,Año_Inicial+8,'9'!$B:$B,'12'!AL$4,'9'!$D:$D,"Otro insumo 1*")</f>
        <v>0</v>
      </c>
      <c r="AN36" s="101">
        <f>((A9_A_L18*Otro1_A)+(A9_B_L18*Otro1_B)+(A9_C_L18*Otro1_C)+(A9_D_L18*Otro1_D)+(A9_Y_L18*Otro1_Y))*Inflación_9</f>
        <v>0</v>
      </c>
      <c r="AO36" s="101">
        <f>SUMIFS('9'!$E:$E,'9'!$A:$A,Año_Inicial+8,'9'!$B:$B,'12'!AN$4,'9'!$D:$D,"Otro insumo 1*")</f>
        <v>0</v>
      </c>
      <c r="AP36" s="101">
        <f>((A9_A_L19*Otro1_A)+(A9_B_L19*Otro1_B)+(A9_C_L19*Otro1_C)+(A9_D_L19*Otro1_D)+(A9_Y_L19*Otro1_Y))*Inflación_9</f>
        <v>0</v>
      </c>
      <c r="AQ36" s="101">
        <f>SUMIFS('9'!$E:$E,'9'!$A:$A,Año_Inicial+8,'9'!$B:$B,'12'!AP$4,'9'!$D:$D,"Otro insumo 1*")</f>
        <v>0</v>
      </c>
      <c r="AR36" s="101">
        <f>((A9_A_L20*Otro1_A)+(A9_B_L20*Otro1_B)+(A9_C_L20*Otro1_C)+(A9_D_L20*Otro1_D)+(A9_Y_L20*Otro1_Y))*Inflación_9</f>
        <v>0</v>
      </c>
      <c r="AS36" s="101">
        <f>SUMIFS('9'!$E:$E,'9'!$A:$A,Año_Inicial+8,'9'!$B:$B,'12'!AR$4,'9'!$D:$D,"Otro insumo 1*")</f>
        <v>0</v>
      </c>
      <c r="AT36" s="101">
        <f>((A9_A_L21*Otro1_A)+(A9_B_L21*Otro1_B)+(A9_C_L21*Otro1_C)+(A9_D_L21*Otro1_D)+(A9_Y_L21*Otro1_Y))*Inflación_9</f>
        <v>0</v>
      </c>
      <c r="AU36" s="101">
        <f>SUMIFS('9'!$E:$E,'9'!$A:$A,Año_Inicial+8,'9'!$B:$B,'12'!AT$4,'9'!$D:$D,"Otro insumo 1*")</f>
        <v>0</v>
      </c>
      <c r="AV36" s="101">
        <f>((A9_A_L22*Otro1_A)+(A9_B_L22*Otro1_B)+(A9_C_L22*Otro1_C)+(A9_D_L22*Otro1_D)+(A9_Y_L22*Otro1_Y))*Inflación_9</f>
        <v>0</v>
      </c>
      <c r="AW36" s="101">
        <f>SUMIFS('9'!$E:$E,'9'!$A:$A,Año_Inicial+8,'9'!$B:$B,'12'!AV$4,'9'!$D:$D,"Otro insumo 1*")</f>
        <v>0</v>
      </c>
      <c r="AX36" s="101">
        <f>((A9_A_L23*Otro1_A)+(A9_B_L23*Otro1_B)+(A9_C_L23*Otro1_C)+(A9_D_L23*Otro1_D)+(A9_Y_L23*Otro1_Y))*Inflación_9</f>
        <v>0</v>
      </c>
      <c r="AY36" s="101">
        <f>SUMIFS('9'!$E:$E,'9'!$A:$A,Año_Inicial+8,'9'!$B:$B,'12'!AX$4,'9'!$D:$D,"Otro insumo 1*")</f>
        <v>0</v>
      </c>
      <c r="AZ36" s="101">
        <f>((A9_A_L24*Otro1_A)+(A9_B_L24*Otro1_B)+(A9_C_L24*Otro1_C)+(A9_D_L24*Otro1_D)+(A9_Y_L24*Otro1_Y))*Inflación_9</f>
        <v>0</v>
      </c>
      <c r="BA36" s="101">
        <f>SUMIFS('9'!$E:$E,'9'!$A:$A,Año_Inicial+8,'9'!$B:$B,'12'!AZ$4,'9'!$D:$D,"Otro insumo 1*")</f>
        <v>0</v>
      </c>
      <c r="BB36" s="101">
        <f>((A9_A_L25*Otro1_A)+(A9_B_L25*Otro1_B)+(A9_C_L25*Otro1_C)+(A9_D_L25*Otro1_D)+(A9_Y_L25*Otro1_Y))*Inflación_9</f>
        <v>0</v>
      </c>
      <c r="BC36" s="101">
        <f>SUMIFS('9'!$E:$E,'9'!$A:$A,Año_Inicial+8,'9'!$B:$B,'12'!BB$4,'9'!$D:$D,"Otro insumo 1*")</f>
        <v>0</v>
      </c>
      <c r="BD36" s="101">
        <f>((A9_A_L26*Otro1_A)+(A9_B_L26*Otro1_B)+(A9_C_L26*Otro1_C)+(A9_D_L26*Otro1_D)+(A9_Y_L26*Otro1_Y))*Inflación_9</f>
        <v>0</v>
      </c>
      <c r="BE36" s="101">
        <f>SUMIFS('9'!$E:$E,'9'!$A:$A,Año_Inicial+8,'9'!$B:$B,'12'!BD$4,'9'!$D:$D,"Otro insumo 1*")</f>
        <v>0</v>
      </c>
      <c r="BF36" s="101">
        <f>((A9_A_L27*Otro1_A)+(A9_B_L27*Otro1_B)+(A9_C_L27*Otro1_C)+(A9_D_L27*Otro1_D)+(A9_Y_L27*Otro1_Y))*Inflación_9</f>
        <v>0</v>
      </c>
      <c r="BG36" s="101">
        <f>SUMIFS('9'!$E:$E,'9'!$A:$A,Año_Inicial+8,'9'!$B:$B,'12'!BF$4,'9'!$D:$D,"Otro insumo 1*")</f>
        <v>0</v>
      </c>
      <c r="BH36" s="101">
        <f>((A9_A_L28*Otro1_A)+(A9_B_L28*Otro1_B)+(A9_C_L28*Otro1_C)+(A9_D_L28*Otro1_D)+(A9_Y_L28*Otro1_Y))*Inflación_9</f>
        <v>0</v>
      </c>
      <c r="BI36" s="101">
        <f>SUMIFS('9'!$E:$E,'9'!$A:$A,Año_Inicial+8,'9'!$B:$B,'12'!BH$4,'9'!$D:$D,"Otro insumo 1*")</f>
        <v>0</v>
      </c>
      <c r="BJ36" s="101">
        <f>((A9_A_L29*Otro1_A)+(A9_B_L29*Otro1_B)+(A9_C_L29*Otro1_C)+(A9_D_L29*Otro1_D)+(A9_Y_L29*Otro1_Y))*Inflación_9</f>
        <v>0</v>
      </c>
      <c r="BK36" s="101">
        <f>SUMIFS('9'!$E:$E,'9'!$A:$A,Año_Inicial+8,'9'!$B:$B,'12'!BJ$4,'9'!$D:$D,"Otro insumo 1*")</f>
        <v>0</v>
      </c>
      <c r="BL36" s="101">
        <f>((A9_A_L30*Otro1_A)+(A9_B_L30*Otro1_B)+(A9_C_L30*Otro1_C)+(A9_D_L30*Otro1_D)+(A9_Y_L30*Otro1_Y))*Inflación_9</f>
        <v>0</v>
      </c>
      <c r="BM36" s="101">
        <f>SUMIFS('9'!$E:$E,'9'!$A:$A,Año_Inicial+8,'9'!$B:$B,'12'!BL$4,'9'!$D:$D,"Otro insumo 1*")</f>
        <v>0</v>
      </c>
      <c r="BN36" s="101">
        <f>((A9_A_L31*Otro1_A)+(A9_B_L31*Otro1_B)+(A9_C_L31*Otro1_C)+(A9_D_L31*Otro1_D)+(A9_Y_L31*Otro1_Y))*Inflación_9</f>
        <v>0</v>
      </c>
      <c r="BO36" s="101">
        <f>SUMIFS('9'!$E:$E,'9'!$A:$A,Año_Inicial+8,'9'!$B:$B,'12'!BN$4,'9'!$D:$D,"Otro insumo 1*")</f>
        <v>0</v>
      </c>
      <c r="BP36" s="101">
        <f>((A9_A_L32*Otro1_A)+(A9_B_L32*Otro1_B)+(A9_C_L32*Otro1_C)+(A9_D_L32*Otro1_D)+(A9_Y_L32*Otro1_Y))*Inflación_9</f>
        <v>0</v>
      </c>
      <c r="BQ36" s="101">
        <f>SUMIFS('9'!$E:$E,'9'!$A:$A,Año_Inicial+8,'9'!$B:$B,'12'!BP$4,'9'!$D:$D,"Otro insumo 1*")</f>
        <v>0</v>
      </c>
      <c r="BR36" s="101">
        <f>((A9_A_L33*Otro1_A)+(A9_B_L33*Otro1_B)+(A9_C_L33*Otro1_C)+(A9_D_L33*Otro1_D)+(A9_Y_L33*Otro1_Y))*Inflación_9</f>
        <v>0</v>
      </c>
      <c r="BS36" s="101">
        <f>SUMIFS('9'!$E:$E,'9'!$A:$A,Año_Inicial+8,'9'!$B:$B,'12'!BR$4,'9'!$D:$D,"Otro insumo 1*")</f>
        <v>0</v>
      </c>
      <c r="BT36" s="101">
        <f>((A9_A_L34*Otro1_A)+(A9_B_L34*Otro1_B)+(A9_C_L34*Otro1_C)+(A9_D_L34*Otro1_D)+(A9_Y_L34*Otro1_Y))*Inflación_9</f>
        <v>0</v>
      </c>
      <c r="BU36" s="101">
        <f>SUMIFS('9'!$E:$E,'9'!$A:$A,Año_Inicial+8,'9'!$B:$B,'12'!BT$4,'9'!$D:$D,"Otro insumo 1*")</f>
        <v>0</v>
      </c>
      <c r="BV36" s="101">
        <f>((A9_A_L35*Otro1_A)+(A9_B_L35*Otro1_B)+(A9_C_L35*Otro1_C)+(A9_D_L35*Otro1_D)+(A9_Y_L35*Otro1_Y))*Inflación_9</f>
        <v>0</v>
      </c>
      <c r="BW36" s="101">
        <f>SUMIFS('9'!$E:$E,'9'!$A:$A,Año_Inicial+8,'9'!$B:$B,'12'!BV$4,'9'!$D:$D,"Otro insumo 1*")</f>
        <v>0</v>
      </c>
      <c r="BX36" s="101">
        <f>((A9_A_L36*Otro1_A)+(A9_B_L36*Otro1_B)+(A9_C_L36*Otro1_C)+(A9_D_L36*Otro1_D)+(A9_Y_L36*Otro1_Y))*Inflación_9</f>
        <v>0</v>
      </c>
      <c r="BY36" s="101">
        <f>SUMIFS('9'!$E:$E,'9'!$A:$A,Año_Inicial+8,'9'!$B:$B,'12'!BX$4,'9'!$D:$D,"Otro insumo 1*")</f>
        <v>0</v>
      </c>
      <c r="BZ36" s="101">
        <f>((A9_A_L37*Otro1_A)+(A9_B_L37*Otro1_B)+(A9_C_L37*Otro1_C)+(A9_D_L37*Otro1_D)+(A9_Y_L37*Otro1_Y))*Inflación_9</f>
        <v>0</v>
      </c>
      <c r="CA36" s="101">
        <f>SUMIFS('9'!$E:$E,'9'!$A:$A,Año_Inicial+8,'9'!$B:$B,'12'!BZ$4,'9'!$D:$D,"Otro insumo 1*")</f>
        <v>0</v>
      </c>
      <c r="CB36" s="101">
        <f>((A9_A_L38*Otro1_A)+(A9_B_L38*Otro1_B)+(A9_C_L38*Otro1_C)+(A9_D_L38*Otro1_D)+(A9_Y_L38*Otro1_Y))*Inflación_9</f>
        <v>0</v>
      </c>
      <c r="CC36" s="101">
        <f>SUMIFS('9'!$E:$E,'9'!$A:$A,Año_Inicial+8,'9'!$B:$B,'12'!CB$4,'9'!$D:$D,"Otro insumo 1*")</f>
        <v>0</v>
      </c>
      <c r="CD36" s="101">
        <f>((A9_A_L39*Otro1_A)+(A9_B_L39*Otro1_B)+(A9_C_L39*Otro1_C)+(A9_D_L39*Otro1_D)+(A9_Y_L39*Otro1_Y))*Inflación_9</f>
        <v>0</v>
      </c>
      <c r="CE36" s="101">
        <f>SUMIFS('9'!$E:$E,'9'!$A:$A,Año_Inicial+8,'9'!$B:$B,'12'!CD$4,'9'!$D:$D,"Otro insumo 1*")</f>
        <v>0</v>
      </c>
      <c r="CF36" s="101">
        <f>((A9_A_L40*Otro1_A)+(A9_B_L40*Otro1_B)+(A9_C_L40*Otro1_C)+(A9_D_L40*Otro1_D)+(A9_Y_L40*Otro1_Y))*Inflación_9</f>
        <v>0</v>
      </c>
      <c r="CG36" s="101">
        <f>SUMIFS('9'!$E:$E,'9'!$A:$A,Año_Inicial+8,'9'!$B:$B,'12'!CF$4,'9'!$D:$D,"Otro insumo 1*")</f>
        <v>0</v>
      </c>
      <c r="CH36" s="473"/>
      <c r="CI36" s="101">
        <f>Plantas_A_A9*Otro1_A*Inflación_9</f>
        <v>0</v>
      </c>
      <c r="CJ36" s="101">
        <f>Plantas_B_A9*Otro1_B</f>
        <v>0</v>
      </c>
      <c r="CK36" s="101">
        <f>Plantas_C_A9*Otro1_C</f>
        <v>0</v>
      </c>
      <c r="CL36" s="101">
        <f>Plantas_D_A9*Otro1_D</f>
        <v>0</v>
      </c>
      <c r="CM36" s="101"/>
      <c r="CN36" s="101">
        <f>Plantas_Y_A9*Otro1_Y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SUMIFS('9'!$E:$E,'9'!$A:$A,Año_Inicial+8,'9'!$D:$D,"Otro insumo 2*")</f>
        <v>0</v>
      </c>
      <c r="D37" s="100">
        <f t="shared" si="45"/>
        <v>0</v>
      </c>
      <c r="E37" s="473"/>
      <c r="F37" s="101">
        <f>((A9_A_L1*Otro2_A)+(A9_B_L1*Otro2_B)+(A9_C_L1*Otro2_C)+(A9_D_L1*Otro2_D)+(A9_Y_L1*Otro2_Y))*Inflación_9</f>
        <v>0</v>
      </c>
      <c r="G37" s="101">
        <f>SUMIFS('9'!$E:$E,'9'!$A:$A,Año_Inicial+8,'9'!$B:$B,'12'!F$4,'9'!$D:$D,"Otro insumo 2*")</f>
        <v>0</v>
      </c>
      <c r="H37" s="101">
        <f>((A9_A_L2*Otro2_A)+(A9_B_L2*Otro2_B)+(A9_C_L2*Otro2_C)+(A9_D_L2*Otro2_D)+(A9_Y_L2*Otro2_Y))*Inflación_9</f>
        <v>0</v>
      </c>
      <c r="I37" s="101">
        <f>SUMIFS('9'!$E:$E,'9'!$A:$A,Año_Inicial+8,'9'!$B:$B,'12'!H$4,'9'!$D:$D,"Otro insumo 2*")</f>
        <v>0</v>
      </c>
      <c r="J37" s="101">
        <f>((A9_A_L3*Otro2_A)+(A9_B_L3*Otro2_B)+(A9_C_L3*Otro2_C)+(A9_D_L3*Otro2_D)+(A9_Y_L3*Otro2_Y))*Inflación_9</f>
        <v>0</v>
      </c>
      <c r="K37" s="101">
        <f>SUMIFS('9'!$E:$E,'9'!$A:$A,Año_Inicial+8,'9'!$B:$B,'12'!J$4,'9'!$D:$D,"Otro insumo 2*")</f>
        <v>0</v>
      </c>
      <c r="L37" s="101">
        <f>((A9_A_L4*Otro2_A)+(A9_B_L4*Otro2_B)+(A9_C_L4*Otro2_C)+(A9_D_L4*Otro2_D)+(A9_Y_L4*Otro2_Y))*Inflación_9</f>
        <v>0</v>
      </c>
      <c r="M37" s="101">
        <f>SUMIFS('9'!$E:$E,'9'!$A:$A,Año_Inicial+8,'9'!$B:$B,'12'!L$4,'9'!$D:$D,"Otro insumo 2*")</f>
        <v>0</v>
      </c>
      <c r="N37" s="101">
        <f>((A9_A_L5*Otro2_A)+(A9_B_L5*Otro2_B)+(A9_C_L5*Otro2_C)+(A9_D_L5*Otro2_D)+(A9_Y_L5*Otro2_Y))*Inflación_9</f>
        <v>0</v>
      </c>
      <c r="O37" s="101">
        <f>SUMIFS('9'!$E:$E,'9'!$A:$A,Año_Inicial+8,'9'!$B:$B,'12'!N$4,'9'!$D:$D,"Otro insumo 2*")</f>
        <v>0</v>
      </c>
      <c r="P37" s="101">
        <f>((A9_A_L6*Otro2_A)+(A9_B_L6*Otro2_B)+(A9_C_L6*Otro2_C)+(A9_D_L6*Otro2_D)+(A9_Y_L6*Otro2_Y))*Inflación_9</f>
        <v>0</v>
      </c>
      <c r="Q37" s="101">
        <f>SUMIFS('9'!$E:$E,'9'!$A:$A,Año_Inicial+8,'9'!$B:$B,'12'!P$4,'9'!$D:$D,"Otro insumo 2*")</f>
        <v>0</v>
      </c>
      <c r="R37" s="101">
        <f>((A9_A_L7*Otro2_A)+(A9_B_L7*Otro2_B)+(A9_C_L7*Otro2_C)+(A9_D_L7*Otro2_D)+(A9_Y_L7*Otro2_Y))*Inflación_9</f>
        <v>0</v>
      </c>
      <c r="S37" s="101">
        <f>SUMIFS('9'!$E:$E,'9'!$A:$A,Año_Inicial+8,'9'!$B:$B,'12'!R$4,'9'!$D:$D,"Otro insumo 2*")</f>
        <v>0</v>
      </c>
      <c r="T37" s="101">
        <f>((A9_A_L8*Otro2_A)+(A9_B_L8*Otro2_B)+(A9_C_L8*Otro2_C)+(A9_D_L8*Otro2_D)+(A9_Y_L8*Otro2_Y))*Inflación_9</f>
        <v>0</v>
      </c>
      <c r="U37" s="101">
        <f>SUMIFS('9'!$E:$E,'9'!$A:$A,Año_Inicial+8,'9'!$B:$B,'12'!T$4,'9'!$D:$D,"Otro insumo 2*")</f>
        <v>0</v>
      </c>
      <c r="V37" s="101">
        <f>((A9_A_L9*Otro2_A)+(A9_B_L9*Otro2_B)+(A9_C_L9*Otro2_C)+(A9_D_L9*Otro2_D)+(A9_Y_L9*Otro2_Y))*Inflación_9</f>
        <v>0</v>
      </c>
      <c r="W37" s="101">
        <f>SUMIFS('9'!$E:$E,'9'!$A:$A,Año_Inicial+8,'9'!$B:$B,'12'!V$4,'9'!$D:$D,"Otro insumo 2*")</f>
        <v>0</v>
      </c>
      <c r="X37" s="101">
        <f>((A9_A_L10*Otro2_A)+(A9_B_L10*Otro2_B)+(A9_C_L10*Otro2_C)+(A9_D_L10*Otro2_D)+(A9_Y_L10*Otro2_Y))*Inflación_9</f>
        <v>0</v>
      </c>
      <c r="Y37" s="101">
        <f>SUMIFS('9'!$E:$E,'9'!$A:$A,Año_Inicial+8,'9'!$B:$B,'12'!X$4,'9'!$D:$D,"Otro insumo 2*")</f>
        <v>0</v>
      </c>
      <c r="Z37" s="101">
        <f>((A9_A_L11*Otro2_A)+(A9_B_L11*Otro2_B)+(A9_C_L11*Otro2_C)+(A9_D_L11*Otro2_D)+(A9_Y_L11*Otro2_Y))*Inflación_9</f>
        <v>0</v>
      </c>
      <c r="AA37" s="101">
        <f>SUMIFS('9'!$E:$E,'9'!$A:$A,Año_Inicial+8,'9'!$B:$B,'12'!Z$4,'9'!$D:$D,"Otro insumo 2*")</f>
        <v>0</v>
      </c>
      <c r="AB37" s="101">
        <f>((A9_A_L12*Otro2_A)+(A9_B_L12*Otro2_B)+(A9_C_L12*Otro2_C)+(A9_D_L12*Otro2_D)+(A9_Y_L12*Otro2_Y))*Inflación_9</f>
        <v>0</v>
      </c>
      <c r="AC37" s="101">
        <f>SUMIFS('9'!$E:$E,'9'!$A:$A,Año_Inicial+8,'9'!$B:$B,'12'!AB$4,'9'!$D:$D,"Otro insumo 2*")</f>
        <v>0</v>
      </c>
      <c r="AD37" s="101">
        <f>((A9_A_L13*Otro2_A)+(A9_B_L13*Otro2_B)+(A9_C_L13*Otro2_C)+(A9_D_L13*Otro2_D)+(A9_Y_L13*Otro2_Y))*Inflación_9</f>
        <v>0</v>
      </c>
      <c r="AE37" s="101">
        <f>SUMIFS('9'!$E:$E,'9'!$A:$A,Año_Inicial+8,'9'!$B:$B,'12'!AD$4,'9'!$D:$D,"Otro insumo 2*")</f>
        <v>0</v>
      </c>
      <c r="AF37" s="101">
        <f>((A9_A_L14*Otro2_A)+(A9_B_L14*Otro2_B)+(A9_C_L14*Otro2_C)+(A9_D_L14*Otro2_D)+(A9_Y_L14*Otro2_Y))*Inflación_9</f>
        <v>0</v>
      </c>
      <c r="AG37" s="101">
        <f>SUMIFS('9'!$E:$E,'9'!$A:$A,Año_Inicial+8,'9'!$B:$B,'12'!AF$4,'9'!$D:$D,"Otro insumo 2*")</f>
        <v>0</v>
      </c>
      <c r="AH37" s="101">
        <f>((A9_A_L15*Otro2_A)+(A9_B_L15*Otro2_B)+(A9_C_L15*Otro2_C)+(A9_D_L15*Otro2_D)+(A9_Y_L15*Otro2_Y))*Inflación_9</f>
        <v>0</v>
      </c>
      <c r="AI37" s="101">
        <f>SUMIFS('9'!$E:$E,'9'!$A:$A,Año_Inicial+8,'9'!$B:$B,'12'!AH$4,'9'!$D:$D,"Otro insumo 2*")</f>
        <v>0</v>
      </c>
      <c r="AJ37" s="101">
        <f>((A9_A_L16*Otro2_A)+(A9_B_L16*Otro2_B)+(A9_C_L16*Otro2_C)+(A9_D_L16*Otro2_D)+(A9_Y_L16*Otro2_Y))*Inflación_9</f>
        <v>0</v>
      </c>
      <c r="AK37" s="101">
        <f>SUMIFS('9'!$E:$E,'9'!$A:$A,Año_Inicial+8,'9'!$B:$B,'12'!AJ$4,'9'!$D:$D,"Otro insumo 2*")</f>
        <v>0</v>
      </c>
      <c r="AL37" s="101">
        <f>((A9_A_L17*Otro2_A)+(A9_B_L17*Otro2_B)+(A9_C_L17*Otro2_C)+(A9_D_L17*Otro2_D)+(A9_Y_L17*Otro2_Y))*Inflación_9</f>
        <v>0</v>
      </c>
      <c r="AM37" s="101">
        <f>SUMIFS('9'!$E:$E,'9'!$A:$A,Año_Inicial+8,'9'!$B:$B,'12'!AL$4,'9'!$D:$D,"Otro insumo 2*")</f>
        <v>0</v>
      </c>
      <c r="AN37" s="101">
        <f>((A9_A_L18*Otro2_A)+(A9_B_L18*Otro2_B)+(A9_C_L18*Otro2_C)+(A9_D_L18*Otro2_D)+(A9_Y_L18*Otro2_Y))*Inflación_9</f>
        <v>0</v>
      </c>
      <c r="AO37" s="101">
        <f>SUMIFS('9'!$E:$E,'9'!$A:$A,Año_Inicial+8,'9'!$B:$B,'12'!AN$4,'9'!$D:$D,"Otro insumo 2*")</f>
        <v>0</v>
      </c>
      <c r="AP37" s="101">
        <f>((A9_A_L19*Otro2_A)+(A9_B_L19*Otro2_B)+(A9_C_L19*Otro2_C)+(A9_D_L19*Otro2_D)+(A9_Y_L19*Otro2_Y))*Inflación_9</f>
        <v>0</v>
      </c>
      <c r="AQ37" s="101">
        <f>SUMIFS('9'!$E:$E,'9'!$A:$A,Año_Inicial+8,'9'!$B:$B,'12'!AP$4,'9'!$D:$D,"Otro insumo 2*")</f>
        <v>0</v>
      </c>
      <c r="AR37" s="101">
        <f>((A9_A_L20*Otro2_A)+(A9_B_L20*Otro2_B)+(A9_C_L20*Otro2_C)+(A9_D_L20*Otro2_D)+(A9_Y_L20*Otro2_Y))*Inflación_9</f>
        <v>0</v>
      </c>
      <c r="AS37" s="101">
        <f>SUMIFS('9'!$E:$E,'9'!$A:$A,Año_Inicial+8,'9'!$B:$B,'12'!AR$4,'9'!$D:$D,"Otro insumo 2*")</f>
        <v>0</v>
      </c>
      <c r="AT37" s="101">
        <f>((A9_A_L21*Otro2_A)+(A9_B_L21*Otro2_B)+(A9_C_L21*Otro2_C)+(A9_D_L21*Otro2_D)+(A9_Y_L21*Otro2_Y))*Inflación_9</f>
        <v>0</v>
      </c>
      <c r="AU37" s="101">
        <f>SUMIFS('9'!$E:$E,'9'!$A:$A,Año_Inicial+8,'9'!$B:$B,'12'!AT$4,'9'!$D:$D,"Otro insumo 2*")</f>
        <v>0</v>
      </c>
      <c r="AV37" s="101">
        <f>((A9_A_L22*Otro2_A)+(A9_B_L22*Otro2_B)+(A9_C_L22*Otro2_C)+(A9_D_L22*Otro2_D)+(A9_Y_L22*Otro2_Y))*Inflación_9</f>
        <v>0</v>
      </c>
      <c r="AW37" s="101">
        <f>SUMIFS('9'!$E:$E,'9'!$A:$A,Año_Inicial+8,'9'!$B:$B,'12'!AV$4,'9'!$D:$D,"Otro insumo 2*")</f>
        <v>0</v>
      </c>
      <c r="AX37" s="101">
        <f>((A9_A_L23*Otro2_A)+(A9_B_L23*Otro2_B)+(A9_C_L23*Otro2_C)+(A9_D_L23*Otro2_D)+(A9_Y_L23*Otro2_Y))*Inflación_9</f>
        <v>0</v>
      </c>
      <c r="AY37" s="101">
        <f>SUMIFS('9'!$E:$E,'9'!$A:$A,Año_Inicial+8,'9'!$B:$B,'12'!AX$4,'9'!$D:$D,"Otro insumo 2*")</f>
        <v>0</v>
      </c>
      <c r="AZ37" s="101">
        <f>((A9_A_L24*Otro2_A)+(A9_B_L24*Otro2_B)+(A9_C_L24*Otro2_C)+(A9_D_L24*Otro2_D)+(A9_Y_L24*Otro2_Y))*Inflación_9</f>
        <v>0</v>
      </c>
      <c r="BA37" s="101">
        <f>SUMIFS('9'!$E:$E,'9'!$A:$A,Año_Inicial+8,'9'!$B:$B,'12'!AZ$4,'9'!$D:$D,"Otro insumo 2*")</f>
        <v>0</v>
      </c>
      <c r="BB37" s="101">
        <f>((A9_A_L25*Otro2_A)+(A9_B_L25*Otro2_B)+(A9_C_L25*Otro2_C)+(A9_D_L25*Otro2_D)+(A9_Y_L25*Otro2_Y))*Inflación_9</f>
        <v>0</v>
      </c>
      <c r="BC37" s="101">
        <f>SUMIFS('9'!$E:$E,'9'!$A:$A,Año_Inicial+8,'9'!$B:$B,'12'!BB$4,'9'!$D:$D,"Otro insumo 2*")</f>
        <v>0</v>
      </c>
      <c r="BD37" s="101">
        <f>((A9_A_L26*Otro2_A)+(A9_B_L26*Otro2_B)+(A9_C_L26*Otro2_C)+(A9_D_L26*Otro2_D)+(A9_Y_L26*Otro2_Y))*Inflación_9</f>
        <v>0</v>
      </c>
      <c r="BE37" s="101">
        <f>SUMIFS('9'!$E:$E,'9'!$A:$A,Año_Inicial+8,'9'!$B:$B,'12'!BD$4,'9'!$D:$D,"Otro insumo 2*")</f>
        <v>0</v>
      </c>
      <c r="BF37" s="101">
        <f>((A9_A_L27*Otro2_A)+(A9_B_L27*Otro2_B)+(A9_C_L27*Otro2_C)+(A9_D_L27*Otro2_D)+(A9_Y_L27*Otro2_Y))*Inflación_9</f>
        <v>0</v>
      </c>
      <c r="BG37" s="101">
        <f>SUMIFS('9'!$E:$E,'9'!$A:$A,Año_Inicial+8,'9'!$B:$B,'12'!BF$4,'9'!$D:$D,"Otro insumo 2*")</f>
        <v>0</v>
      </c>
      <c r="BH37" s="101">
        <f>((A9_A_L28*Otro2_A)+(A9_B_L28*Otro2_B)+(A9_C_L28*Otro2_C)+(A9_D_L28*Otro2_D)+(A9_Y_L28*Otro2_Y))*Inflación_9</f>
        <v>0</v>
      </c>
      <c r="BI37" s="101">
        <f>SUMIFS('9'!$E:$E,'9'!$A:$A,Año_Inicial+8,'9'!$B:$B,'12'!BH$4,'9'!$D:$D,"Otro insumo 2*")</f>
        <v>0</v>
      </c>
      <c r="BJ37" s="101">
        <f>((A9_A_L29*Otro2_A)+(A9_B_L29*Otro2_B)+(A9_C_L29*Otro2_C)+(A9_D_L29*Otro2_D)+(A9_Y_L29*Otro2_Y))*Inflación_9</f>
        <v>0</v>
      </c>
      <c r="BK37" s="101">
        <f>SUMIFS('9'!$E:$E,'9'!$A:$A,Año_Inicial+8,'9'!$B:$B,'12'!BJ$4,'9'!$D:$D,"Otro insumo 2*")</f>
        <v>0</v>
      </c>
      <c r="BL37" s="101">
        <f>((A9_A_L30*Otro2_A)+(A9_B_L30*Otro2_B)+(A9_C_L30*Otro2_C)+(A9_D_L30*Otro2_D)+(A9_Y_L30*Otro2_Y))*Inflación_9</f>
        <v>0</v>
      </c>
      <c r="BM37" s="101">
        <f>SUMIFS('9'!$E:$E,'9'!$A:$A,Año_Inicial+8,'9'!$B:$B,'12'!BL$4,'9'!$D:$D,"Otro insumo 2*")</f>
        <v>0</v>
      </c>
      <c r="BN37" s="101">
        <f>((A9_A_L31*Otro2_A)+(A9_B_L31*Otro2_B)+(A9_C_L31*Otro2_C)+(A9_D_L31*Otro2_D)+(A9_Y_L31*Otro2_Y))*Inflación_9</f>
        <v>0</v>
      </c>
      <c r="BO37" s="101">
        <f>SUMIFS('9'!$E:$E,'9'!$A:$A,Año_Inicial+8,'9'!$B:$B,'12'!BN$4,'9'!$D:$D,"Otro insumo 2*")</f>
        <v>0</v>
      </c>
      <c r="BP37" s="101">
        <f>((A9_A_L32*Otro2_A)+(A9_B_L32*Otro2_B)+(A9_C_L32*Otro2_C)+(A9_D_L32*Otro2_D)+(A9_Y_L32*Otro2_Y))*Inflación_9</f>
        <v>0</v>
      </c>
      <c r="BQ37" s="101">
        <f>SUMIFS('9'!$E:$E,'9'!$A:$A,Año_Inicial+8,'9'!$B:$B,'12'!BP$4,'9'!$D:$D,"Otro insumo 2*")</f>
        <v>0</v>
      </c>
      <c r="BR37" s="101">
        <f>((A9_A_L33*Otro2_A)+(A9_B_L33*Otro2_B)+(A9_C_L33*Otro2_C)+(A9_D_L33*Otro2_D)+(A9_Y_L33*Otro2_Y))*Inflación_9</f>
        <v>0</v>
      </c>
      <c r="BS37" s="101">
        <f>SUMIFS('9'!$E:$E,'9'!$A:$A,Año_Inicial+8,'9'!$B:$B,'12'!BR$4,'9'!$D:$D,"Otro insumo 2*")</f>
        <v>0</v>
      </c>
      <c r="BT37" s="101">
        <f>((A9_A_L34*Otro2_A)+(A9_B_L34*Otro2_B)+(A9_C_L34*Otro2_C)+(A9_D_L34*Otro2_D)+(A9_Y_L34*Otro2_Y))*Inflación_9</f>
        <v>0</v>
      </c>
      <c r="BU37" s="101">
        <f>SUMIFS('9'!$E:$E,'9'!$A:$A,Año_Inicial+8,'9'!$B:$B,'12'!BT$4,'9'!$D:$D,"Otro insumo 2*")</f>
        <v>0</v>
      </c>
      <c r="BV37" s="101">
        <f>((A9_A_L35*Otro2_A)+(A9_B_L35*Otro2_B)+(A9_C_L35*Otro2_C)+(A9_D_L35*Otro2_D)+(A9_Y_L35*Otro2_Y))*Inflación_9</f>
        <v>0</v>
      </c>
      <c r="BW37" s="101">
        <f>SUMIFS('9'!$E:$E,'9'!$A:$A,Año_Inicial+8,'9'!$B:$B,'12'!BV$4,'9'!$D:$D,"Otro insumo 2*")</f>
        <v>0</v>
      </c>
      <c r="BX37" s="101">
        <f>((A9_A_L36*Otro2_A)+(A9_B_L36*Otro2_B)+(A9_C_L36*Otro2_C)+(A9_D_L36*Otro2_D)+(A9_Y_L36*Otro2_Y))*Inflación_9</f>
        <v>0</v>
      </c>
      <c r="BY37" s="101">
        <f>SUMIFS('9'!$E:$E,'9'!$A:$A,Año_Inicial+8,'9'!$B:$B,'12'!BX$4,'9'!$D:$D,"Otro insumo 2*")</f>
        <v>0</v>
      </c>
      <c r="BZ37" s="101">
        <f>((A9_A_L37*Otro2_A)+(A9_B_L37*Otro2_B)+(A9_C_L37*Otro2_C)+(A9_D_L37*Otro2_D)+(A9_Y_L37*Otro2_Y))*Inflación_9</f>
        <v>0</v>
      </c>
      <c r="CA37" s="101">
        <f>SUMIFS('9'!$E:$E,'9'!$A:$A,Año_Inicial+8,'9'!$B:$B,'12'!BZ$4,'9'!$D:$D,"Otro insumo 2*")</f>
        <v>0</v>
      </c>
      <c r="CB37" s="101">
        <f>((A9_A_L38*Otro2_A)+(A9_B_L38*Otro2_B)+(A9_C_L38*Otro2_C)+(A9_D_L38*Otro2_D)+(A9_Y_L38*Otro2_Y))*Inflación_9</f>
        <v>0</v>
      </c>
      <c r="CC37" s="101">
        <f>SUMIFS('9'!$E:$E,'9'!$A:$A,Año_Inicial+8,'9'!$B:$B,'12'!CB$4,'9'!$D:$D,"Otro insumo 2*")</f>
        <v>0</v>
      </c>
      <c r="CD37" s="101">
        <f>((A9_A_L39*Otro2_A)+(A9_B_L39*Otro2_B)+(A9_C_L39*Otro2_C)+(A9_D_L39*Otro2_D)+(A9_Y_L39*Otro2_Y))*Inflación_9</f>
        <v>0</v>
      </c>
      <c r="CE37" s="101">
        <f>SUMIFS('9'!$E:$E,'9'!$A:$A,Año_Inicial+8,'9'!$B:$B,'12'!CD$4,'9'!$D:$D,"Otro insumo 2*")</f>
        <v>0</v>
      </c>
      <c r="CF37" s="101">
        <f>((A9_A_L40*Otro2_A)+(A9_B_L40*Otro2_B)+(A9_C_L40*Otro2_C)+(A9_D_L40*Otro2_D)+(A9_Y_L40*Otro2_Y))*Inflación_9</f>
        <v>0</v>
      </c>
      <c r="CG37" s="101">
        <f>SUMIFS('9'!$E:$E,'9'!$A:$A,Año_Inicial+8,'9'!$B:$B,'12'!CF$4,'9'!$D:$D,"Otro insumo 2*")</f>
        <v>0</v>
      </c>
      <c r="CH37" s="473"/>
      <c r="CI37" s="101">
        <f>Plantas_A_A9*Otro2_A*Inflación_9</f>
        <v>0</v>
      </c>
      <c r="CJ37" s="101">
        <f>Plantas_B_A9*Otro2_B</f>
        <v>0</v>
      </c>
      <c r="CK37" s="101">
        <f>Plantas_C_A9*Otro2_C</f>
        <v>0</v>
      </c>
      <c r="CL37" s="101">
        <f>Plantas_D_A9*Otro2_D</f>
        <v>0</v>
      </c>
      <c r="CM37" s="101"/>
      <c r="CN37" s="101">
        <f>Plantas_Y_A9*Otro2_Y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SUMIFS('9'!$E:$E,'9'!$A:$A,Año_Inicial+8,'9'!$D:$D,"Otro insumo 3*")</f>
        <v>0</v>
      </c>
      <c r="D38" s="100">
        <f t="shared" si="45"/>
        <v>0</v>
      </c>
      <c r="E38" s="473"/>
      <c r="F38" s="101">
        <f>((A9_A_L1*Otro3_A)+(A9_B_L1*Otro3_B)+(A9_C_L1*Otro3_C)+(A9_D_L1*Otro3_D)+(A9_Y_L1*Otro3_Y))*Inflación_9</f>
        <v>0</v>
      </c>
      <c r="G38" s="101">
        <f>SUMIFS('9'!$E:$E,'9'!$A:$A,Año_Inicial+8,'9'!$B:$B,'12'!F$4,'9'!$D:$D,"Otro insumo 3*")</f>
        <v>0</v>
      </c>
      <c r="H38" s="101">
        <f>((A9_A_L2*Otro3_A)+(A9_B_L2*Otro3_B)+(A9_C_L2*Otro3_C)+(A9_D_L2*Otro3_D)+(A9_Y_L2*Otro3_Y))*Inflación_9</f>
        <v>0</v>
      </c>
      <c r="I38" s="101">
        <f>SUMIFS('9'!$E:$E,'9'!$A:$A,Año_Inicial+8,'9'!$B:$B,'12'!H$4,'9'!$D:$D,"Otro insumo 3*")</f>
        <v>0</v>
      </c>
      <c r="J38" s="101">
        <f>((A9_A_L3*Otro3_A)+(A9_B_L3*Otro3_B)+(A9_C_L3*Otro3_C)+(A9_D_L3*Otro3_D)+(A9_Y_L3*Otro3_Y))*Inflación_9</f>
        <v>0</v>
      </c>
      <c r="K38" s="101">
        <f>SUMIFS('9'!$E:$E,'9'!$A:$A,Año_Inicial+8,'9'!$B:$B,'12'!J$4,'9'!$D:$D,"Otro insumo 3*")</f>
        <v>0</v>
      </c>
      <c r="L38" s="101">
        <f>((A9_A_L4*Otro3_A)+(A9_B_L4*Otro3_B)+(A9_C_L4*Otro3_C)+(A9_D_L4*Otro3_D)+(A9_Y_L4*Otro3_Y))*Inflación_9</f>
        <v>0</v>
      </c>
      <c r="M38" s="101">
        <f>SUMIFS('9'!$E:$E,'9'!$A:$A,Año_Inicial+8,'9'!$B:$B,'12'!L$4,'9'!$D:$D,"Otro insumo 3*")</f>
        <v>0</v>
      </c>
      <c r="N38" s="101">
        <f>((A9_A_L5*Otro3_A)+(A9_B_L5*Otro3_B)+(A9_C_L5*Otro3_C)+(A9_D_L5*Otro3_D)+(A9_Y_L5*Otro3_Y))*Inflación_9</f>
        <v>0</v>
      </c>
      <c r="O38" s="101">
        <f>SUMIFS('9'!$E:$E,'9'!$A:$A,Año_Inicial+8,'9'!$B:$B,'12'!N$4,'9'!$D:$D,"Otro insumo 3*")</f>
        <v>0</v>
      </c>
      <c r="P38" s="101">
        <f>((A9_A_L6*Otro3_A)+(A9_B_L6*Otro3_B)+(A9_C_L6*Otro3_C)+(A9_D_L6*Otro3_D)+(A9_Y_L6*Otro3_Y))*Inflación_9</f>
        <v>0</v>
      </c>
      <c r="Q38" s="101">
        <f>SUMIFS('9'!$E:$E,'9'!$A:$A,Año_Inicial+8,'9'!$B:$B,'12'!P$4,'9'!$D:$D,"Otro insumo 3*")</f>
        <v>0</v>
      </c>
      <c r="R38" s="101">
        <f>((A9_A_L7*Otro3_A)+(A9_B_L7*Otro3_B)+(A9_C_L7*Otro3_C)+(A9_D_L7*Otro3_D)+(A9_Y_L7*Otro3_Y))*Inflación_9</f>
        <v>0</v>
      </c>
      <c r="S38" s="101">
        <f>SUMIFS('9'!$E:$E,'9'!$A:$A,Año_Inicial+8,'9'!$B:$B,'12'!R$4,'9'!$D:$D,"Otro insumo 3*")</f>
        <v>0</v>
      </c>
      <c r="T38" s="101">
        <f>((A9_A_L8*Otro3_A)+(A9_B_L8*Otro3_B)+(A9_C_L8*Otro3_C)+(A9_D_L8*Otro3_D)+(A9_Y_L8*Otro3_Y))*Inflación_9</f>
        <v>0</v>
      </c>
      <c r="U38" s="101">
        <f>SUMIFS('9'!$E:$E,'9'!$A:$A,Año_Inicial+8,'9'!$B:$B,'12'!T$4,'9'!$D:$D,"Otro insumo 3*")</f>
        <v>0</v>
      </c>
      <c r="V38" s="101">
        <f>((A9_A_L9*Otro3_A)+(A9_B_L9*Otro3_B)+(A9_C_L9*Otro3_C)+(A9_D_L9*Otro3_D)+(A9_Y_L9*Otro3_Y))*Inflación_9</f>
        <v>0</v>
      </c>
      <c r="W38" s="101">
        <f>SUMIFS('9'!$E:$E,'9'!$A:$A,Año_Inicial+8,'9'!$B:$B,'12'!V$4,'9'!$D:$D,"Otro insumo 3*")</f>
        <v>0</v>
      </c>
      <c r="X38" s="101">
        <f>((A9_A_L10*Otro3_A)+(A9_B_L10*Otro3_B)+(A9_C_L10*Otro3_C)+(A9_D_L10*Otro3_D)+(A9_Y_L10*Otro3_Y))*Inflación_9</f>
        <v>0</v>
      </c>
      <c r="Y38" s="101">
        <f>SUMIFS('9'!$E:$E,'9'!$A:$A,Año_Inicial+8,'9'!$B:$B,'12'!X$4,'9'!$D:$D,"Otro insumo 3*")</f>
        <v>0</v>
      </c>
      <c r="Z38" s="101">
        <f>((A9_A_L11*Otro3_A)+(A9_B_L11*Otro3_B)+(A9_C_L11*Otro3_C)+(A9_D_L11*Otro3_D)+(A9_Y_L11*Otro3_Y))*Inflación_9</f>
        <v>0</v>
      </c>
      <c r="AA38" s="101">
        <f>SUMIFS('9'!$E:$E,'9'!$A:$A,Año_Inicial+8,'9'!$B:$B,'12'!Z$4,'9'!$D:$D,"Otro insumo 3*")</f>
        <v>0</v>
      </c>
      <c r="AB38" s="101">
        <f>((A9_A_L12*Otro3_A)+(A9_B_L12*Otro3_B)+(A9_C_L12*Otro3_C)+(A9_D_L12*Otro3_D)+(A9_Y_L12*Otro3_Y))*Inflación_9</f>
        <v>0</v>
      </c>
      <c r="AC38" s="101">
        <f>SUMIFS('9'!$E:$E,'9'!$A:$A,Año_Inicial+8,'9'!$B:$B,'12'!AB$4,'9'!$D:$D,"Otro insumo 3*")</f>
        <v>0</v>
      </c>
      <c r="AD38" s="101">
        <f>((A9_A_L13*Otro3_A)+(A9_B_L13*Otro3_B)+(A9_C_L13*Otro3_C)+(A9_D_L13*Otro3_D)+(A9_Y_L13*Otro3_Y))*Inflación_9</f>
        <v>0</v>
      </c>
      <c r="AE38" s="101">
        <f>SUMIFS('9'!$E:$E,'9'!$A:$A,Año_Inicial+8,'9'!$B:$B,'12'!AD$4,'9'!$D:$D,"Otro insumo 3*")</f>
        <v>0</v>
      </c>
      <c r="AF38" s="101">
        <f>((A9_A_L14*Otro3_A)+(A9_B_L14*Otro3_B)+(A9_C_L14*Otro3_C)+(A9_D_L14*Otro3_D)+(A9_Y_L14*Otro3_Y))*Inflación_9</f>
        <v>0</v>
      </c>
      <c r="AG38" s="101">
        <f>SUMIFS('9'!$E:$E,'9'!$A:$A,Año_Inicial+8,'9'!$B:$B,'12'!AF$4,'9'!$D:$D,"Otro insumo 3*")</f>
        <v>0</v>
      </c>
      <c r="AH38" s="101">
        <f>((A9_A_L15*Otro3_A)+(A9_B_L15*Otro3_B)+(A9_C_L15*Otro3_C)+(A9_D_L15*Otro3_D)+(A9_Y_L15*Otro3_Y))*Inflación_9</f>
        <v>0</v>
      </c>
      <c r="AI38" s="101">
        <f>SUMIFS('9'!$E:$E,'9'!$A:$A,Año_Inicial+8,'9'!$B:$B,'12'!AH$4,'9'!$D:$D,"Otro insumo 3*")</f>
        <v>0</v>
      </c>
      <c r="AJ38" s="101">
        <f>((A9_A_L16*Otro3_A)+(A9_B_L16*Otro3_B)+(A9_C_L16*Otro3_C)+(A9_D_L16*Otro3_D)+(A9_Y_L16*Otro3_Y))*Inflación_9</f>
        <v>0</v>
      </c>
      <c r="AK38" s="101">
        <f>SUMIFS('9'!$E:$E,'9'!$A:$A,Año_Inicial+8,'9'!$B:$B,'12'!AJ$4,'9'!$D:$D,"Otro insumo 3*")</f>
        <v>0</v>
      </c>
      <c r="AL38" s="101">
        <f>((A9_A_L17*Otro3_A)+(A9_B_L17*Otro3_B)+(A9_C_L17*Otro3_C)+(A9_D_L17*Otro3_D)+(A9_Y_L17*Otro3_Y))*Inflación_9</f>
        <v>0</v>
      </c>
      <c r="AM38" s="101">
        <f>SUMIFS('9'!$E:$E,'9'!$A:$A,Año_Inicial+8,'9'!$B:$B,'12'!AL$4,'9'!$D:$D,"Otro insumo 3*")</f>
        <v>0</v>
      </c>
      <c r="AN38" s="101">
        <f>((A9_A_L18*Otro3_A)+(A9_B_L18*Otro3_B)+(A9_C_L18*Otro3_C)+(A9_D_L18*Otro3_D)+(A9_Y_L18*Otro3_Y))*Inflación_9</f>
        <v>0</v>
      </c>
      <c r="AO38" s="101">
        <f>SUMIFS('9'!$E:$E,'9'!$A:$A,Año_Inicial+8,'9'!$B:$B,'12'!AN$4,'9'!$D:$D,"Otro insumo 3*")</f>
        <v>0</v>
      </c>
      <c r="AP38" s="101">
        <f>((A9_A_L19*Otro3_A)+(A9_B_L19*Otro3_B)+(A9_C_L19*Otro3_C)+(A9_D_L19*Otro3_D)+(A9_Y_L19*Otro3_Y))*Inflación_9</f>
        <v>0</v>
      </c>
      <c r="AQ38" s="101">
        <f>SUMIFS('9'!$E:$E,'9'!$A:$A,Año_Inicial+8,'9'!$B:$B,'12'!AP$4,'9'!$D:$D,"Otro insumo 3*")</f>
        <v>0</v>
      </c>
      <c r="AR38" s="101">
        <f>((A9_A_L20*Otro3_A)+(A9_B_L20*Otro3_B)+(A9_C_L20*Otro3_C)+(A9_D_L20*Otro3_D)+(A9_Y_L20*Otro3_Y))*Inflación_9</f>
        <v>0</v>
      </c>
      <c r="AS38" s="101">
        <f>SUMIFS('9'!$E:$E,'9'!$A:$A,Año_Inicial+8,'9'!$B:$B,'12'!AR$4,'9'!$D:$D,"Otro insumo 3*")</f>
        <v>0</v>
      </c>
      <c r="AT38" s="101">
        <f>((A9_A_L21*Otro3_A)+(A9_B_L21*Otro3_B)+(A9_C_L21*Otro3_C)+(A9_D_L21*Otro3_D)+(A9_Y_L21*Otro3_Y))*Inflación_9</f>
        <v>0</v>
      </c>
      <c r="AU38" s="101">
        <f>SUMIFS('9'!$E:$E,'9'!$A:$A,Año_Inicial+8,'9'!$B:$B,'12'!AT$4,'9'!$D:$D,"Otro insumo 3*")</f>
        <v>0</v>
      </c>
      <c r="AV38" s="101">
        <f>((A9_A_L22*Otro3_A)+(A9_B_L22*Otro3_B)+(A9_C_L22*Otro3_C)+(A9_D_L22*Otro3_D)+(A9_Y_L22*Otro3_Y))*Inflación_9</f>
        <v>0</v>
      </c>
      <c r="AW38" s="101">
        <f>SUMIFS('9'!$E:$E,'9'!$A:$A,Año_Inicial+8,'9'!$B:$B,'12'!AV$4,'9'!$D:$D,"Otro insumo 3*")</f>
        <v>0</v>
      </c>
      <c r="AX38" s="101">
        <f>((A9_A_L23*Otro3_A)+(A9_B_L23*Otro3_B)+(A9_C_L23*Otro3_C)+(A9_D_L23*Otro3_D)+(A9_Y_L23*Otro3_Y))*Inflación_9</f>
        <v>0</v>
      </c>
      <c r="AY38" s="101">
        <f>SUMIFS('9'!$E:$E,'9'!$A:$A,Año_Inicial+8,'9'!$B:$B,'12'!AX$4,'9'!$D:$D,"Otro insumo 3*")</f>
        <v>0</v>
      </c>
      <c r="AZ38" s="101">
        <f>((A9_A_L24*Otro3_A)+(A9_B_L24*Otro3_B)+(A9_C_L24*Otro3_C)+(A9_D_L24*Otro3_D)+(A9_Y_L24*Otro3_Y))*Inflación_9</f>
        <v>0</v>
      </c>
      <c r="BA38" s="101">
        <f>SUMIFS('9'!$E:$E,'9'!$A:$A,Año_Inicial+8,'9'!$B:$B,'12'!AZ$4,'9'!$D:$D,"Otro insumo 3*")</f>
        <v>0</v>
      </c>
      <c r="BB38" s="101">
        <f>((A9_A_L25*Otro3_A)+(A9_B_L25*Otro3_B)+(A9_C_L25*Otro3_C)+(A9_D_L25*Otro3_D)+(A9_Y_L25*Otro3_Y))*Inflación_9</f>
        <v>0</v>
      </c>
      <c r="BC38" s="101">
        <f>SUMIFS('9'!$E:$E,'9'!$A:$A,Año_Inicial+8,'9'!$B:$B,'12'!BB$4,'9'!$D:$D,"Otro insumo 3*")</f>
        <v>0</v>
      </c>
      <c r="BD38" s="101">
        <f>((A9_A_L26*Otro3_A)+(A9_B_L26*Otro3_B)+(A9_C_L26*Otro3_C)+(A9_D_L26*Otro3_D)+(A9_Y_L26*Otro3_Y))*Inflación_9</f>
        <v>0</v>
      </c>
      <c r="BE38" s="101">
        <f>SUMIFS('9'!$E:$E,'9'!$A:$A,Año_Inicial+8,'9'!$B:$B,'12'!BD$4,'9'!$D:$D,"Otro insumo 3*")</f>
        <v>0</v>
      </c>
      <c r="BF38" s="101">
        <f>((A9_A_L27*Otro3_A)+(A9_B_L27*Otro3_B)+(A9_C_L27*Otro3_C)+(A9_D_L27*Otro3_D)+(A9_Y_L27*Otro3_Y))*Inflación_9</f>
        <v>0</v>
      </c>
      <c r="BG38" s="101">
        <f>SUMIFS('9'!$E:$E,'9'!$A:$A,Año_Inicial+8,'9'!$B:$B,'12'!BF$4,'9'!$D:$D,"Otro insumo 3*")</f>
        <v>0</v>
      </c>
      <c r="BH38" s="101">
        <f>((A9_A_L28*Otro3_A)+(A9_B_L28*Otro3_B)+(A9_C_L28*Otro3_C)+(A9_D_L28*Otro3_D)+(A9_Y_L28*Otro3_Y))*Inflación_9</f>
        <v>0</v>
      </c>
      <c r="BI38" s="101">
        <f>SUMIFS('9'!$E:$E,'9'!$A:$A,Año_Inicial+8,'9'!$B:$B,'12'!BH$4,'9'!$D:$D,"Otro insumo 3*")</f>
        <v>0</v>
      </c>
      <c r="BJ38" s="101">
        <f>((A9_A_L29*Otro3_A)+(A9_B_L29*Otro3_B)+(A9_C_L29*Otro3_C)+(A9_D_L29*Otro3_D)+(A9_Y_L29*Otro3_Y))*Inflación_9</f>
        <v>0</v>
      </c>
      <c r="BK38" s="101">
        <f>SUMIFS('9'!$E:$E,'9'!$A:$A,Año_Inicial+8,'9'!$B:$B,'12'!BJ$4,'9'!$D:$D,"Otro insumo 3*")</f>
        <v>0</v>
      </c>
      <c r="BL38" s="101">
        <f>((A9_A_L30*Otro3_A)+(A9_B_L30*Otro3_B)+(A9_C_L30*Otro3_C)+(A9_D_L30*Otro3_D)+(A9_Y_L30*Otro3_Y))*Inflación_9</f>
        <v>0</v>
      </c>
      <c r="BM38" s="101">
        <f>SUMIFS('9'!$E:$E,'9'!$A:$A,Año_Inicial+8,'9'!$B:$B,'12'!BL$4,'9'!$D:$D,"Otro insumo 3*")</f>
        <v>0</v>
      </c>
      <c r="BN38" s="101">
        <f>((A9_A_L31*Otro3_A)+(A9_B_L31*Otro3_B)+(A9_C_L31*Otro3_C)+(A9_D_L31*Otro3_D)+(A9_Y_L31*Otro3_Y))*Inflación_9</f>
        <v>0</v>
      </c>
      <c r="BO38" s="101">
        <f>SUMIFS('9'!$E:$E,'9'!$A:$A,Año_Inicial+8,'9'!$B:$B,'12'!BN$4,'9'!$D:$D,"Otro insumo 3*")</f>
        <v>0</v>
      </c>
      <c r="BP38" s="101">
        <f>((A9_A_L32*Otro3_A)+(A9_B_L32*Otro3_B)+(A9_C_L32*Otro3_C)+(A9_D_L32*Otro3_D)+(A9_Y_L32*Otro3_Y))*Inflación_9</f>
        <v>0</v>
      </c>
      <c r="BQ38" s="101">
        <f>SUMIFS('9'!$E:$E,'9'!$A:$A,Año_Inicial+8,'9'!$B:$B,'12'!BP$4,'9'!$D:$D,"Otro insumo 3*")</f>
        <v>0</v>
      </c>
      <c r="BR38" s="101">
        <f>((A9_A_L33*Otro3_A)+(A9_B_L33*Otro3_B)+(A9_C_L33*Otro3_C)+(A9_D_L33*Otro3_D)+(A9_Y_L33*Otro3_Y))*Inflación_9</f>
        <v>0</v>
      </c>
      <c r="BS38" s="101">
        <f>SUMIFS('9'!$E:$E,'9'!$A:$A,Año_Inicial+8,'9'!$B:$B,'12'!BR$4,'9'!$D:$D,"Otro insumo 3*")</f>
        <v>0</v>
      </c>
      <c r="BT38" s="101">
        <f>((A9_A_L34*Otro3_A)+(A9_B_L34*Otro3_B)+(A9_C_L34*Otro3_C)+(A9_D_L34*Otro3_D)+(A9_Y_L34*Otro3_Y))*Inflación_9</f>
        <v>0</v>
      </c>
      <c r="BU38" s="101">
        <f>SUMIFS('9'!$E:$E,'9'!$A:$A,Año_Inicial+8,'9'!$B:$B,'12'!BT$4,'9'!$D:$D,"Otro insumo 3*")</f>
        <v>0</v>
      </c>
      <c r="BV38" s="101">
        <f>((A9_A_L35*Otro3_A)+(A9_B_L35*Otro3_B)+(A9_C_L35*Otro3_C)+(A9_D_L35*Otro3_D)+(A9_Y_L35*Otro3_Y))*Inflación_9</f>
        <v>0</v>
      </c>
      <c r="BW38" s="101">
        <f>SUMIFS('9'!$E:$E,'9'!$A:$A,Año_Inicial+8,'9'!$B:$B,'12'!BV$4,'9'!$D:$D,"Otro insumo 3*")</f>
        <v>0</v>
      </c>
      <c r="BX38" s="101">
        <f>((A9_A_L36*Otro3_A)+(A9_B_L36*Otro3_B)+(A9_C_L36*Otro3_C)+(A9_D_L36*Otro3_D)+(A9_Y_L36*Otro3_Y))*Inflación_9</f>
        <v>0</v>
      </c>
      <c r="BY38" s="101">
        <f>SUMIFS('9'!$E:$E,'9'!$A:$A,Año_Inicial+8,'9'!$B:$B,'12'!BX$4,'9'!$D:$D,"Otro insumo 3*")</f>
        <v>0</v>
      </c>
      <c r="BZ38" s="101">
        <f>((A9_A_L37*Otro3_A)+(A9_B_L37*Otro3_B)+(A9_C_L37*Otro3_C)+(A9_D_L37*Otro3_D)+(A9_Y_L37*Otro3_Y))*Inflación_9</f>
        <v>0</v>
      </c>
      <c r="CA38" s="101">
        <f>SUMIFS('9'!$E:$E,'9'!$A:$A,Año_Inicial+8,'9'!$B:$B,'12'!BZ$4,'9'!$D:$D,"Otro insumo 3*")</f>
        <v>0</v>
      </c>
      <c r="CB38" s="101">
        <f>((A9_A_L38*Otro3_A)+(A9_B_L38*Otro3_B)+(A9_C_L38*Otro3_C)+(A9_D_L38*Otro3_D)+(A9_Y_L38*Otro3_Y))*Inflación_9</f>
        <v>0</v>
      </c>
      <c r="CC38" s="101">
        <f>SUMIFS('9'!$E:$E,'9'!$A:$A,Año_Inicial+8,'9'!$B:$B,'12'!CB$4,'9'!$D:$D,"Otro insumo 3*")</f>
        <v>0</v>
      </c>
      <c r="CD38" s="101">
        <f>((A9_A_L39*Otro3_A)+(A9_B_L39*Otro3_B)+(A9_C_L39*Otro3_C)+(A9_D_L39*Otro3_D)+(A9_Y_L39*Otro3_Y))*Inflación_9</f>
        <v>0</v>
      </c>
      <c r="CE38" s="101">
        <f>SUMIFS('9'!$E:$E,'9'!$A:$A,Año_Inicial+8,'9'!$B:$B,'12'!CD$4,'9'!$D:$D,"Otro insumo 3*")</f>
        <v>0</v>
      </c>
      <c r="CF38" s="101">
        <f>((A9_A_L40*Otro3_A)+(A9_B_L40*Otro3_B)+(A9_C_L40*Otro3_C)+(A9_D_L40*Otro3_D)+(A9_Y_L40*Otro3_Y))*Inflación_9</f>
        <v>0</v>
      </c>
      <c r="CG38" s="101">
        <f>SUMIFS('9'!$E:$E,'9'!$A:$A,Año_Inicial+8,'9'!$B:$B,'12'!CF$4,'9'!$D:$D,"Otro insumo 3*")</f>
        <v>0</v>
      </c>
      <c r="CH38" s="473"/>
      <c r="CI38" s="101">
        <f>Plantas_A_A9*Otro3_A*Inflación_9</f>
        <v>0</v>
      </c>
      <c r="CJ38" s="101">
        <f>Plantas_B_A9*Otro3_B</f>
        <v>0</v>
      </c>
      <c r="CK38" s="101">
        <f>Plantas_C_A9*Otro3_C</f>
        <v>0</v>
      </c>
      <c r="CL38" s="101">
        <f>Plantas_D_A9*Otro3_D</f>
        <v>0</v>
      </c>
      <c r="CM38" s="101"/>
      <c r="CN38" s="101">
        <f>Plantas_Y_A9*Otro3_Y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SUMIFS('9'!$E:$E,'9'!$A:$A,Año_Inicial+8,'9'!$D:$D,"Corte")</f>
        <v>0</v>
      </c>
      <c r="D40" s="100">
        <f t="shared" si="45"/>
        <v>0</v>
      </c>
      <c r="E40" s="473"/>
      <c r="F40" s="101">
        <f>P_A9_L1*CUI_Corte*Inflación_9</f>
        <v>0</v>
      </c>
      <c r="G40" s="101">
        <f>SUMIFS('9'!$E:$E,'9'!$A:$A,Año_Inicial+8,'9'!$B:$B,'12'!F$4,'9'!$D:$D,"Corte")</f>
        <v>0</v>
      </c>
      <c r="H40" s="101">
        <f>P_A9_L2*CUI_Corte*Inflación_9</f>
        <v>0</v>
      </c>
      <c r="I40" s="101">
        <f>SUMIFS('9'!$E:$E,'9'!$A:$A,Año_Inicial+8,'9'!$B:$B,'12'!H$4,'9'!$D:$D,"Corte")</f>
        <v>0</v>
      </c>
      <c r="J40" s="101">
        <f>P_A9_L3*CUI_Corte*Inflación_9</f>
        <v>0</v>
      </c>
      <c r="K40" s="101">
        <f>SUMIFS('9'!$E:$E,'9'!$A:$A,Año_Inicial+8,'9'!$B:$B,'12'!J$4,'9'!$D:$D,"Corte")</f>
        <v>0</v>
      </c>
      <c r="L40" s="101">
        <f>P_A9_L4*CUI_Corte*Inflación_9</f>
        <v>0</v>
      </c>
      <c r="M40" s="101">
        <f>SUMIFS('9'!$E:$E,'9'!$A:$A,Año_Inicial+8,'9'!$B:$B,'12'!L$4,'9'!$D:$D,"Corte")</f>
        <v>0</v>
      </c>
      <c r="N40" s="101">
        <f>P_A9_L5*CUI_Corte*Inflación_9</f>
        <v>0</v>
      </c>
      <c r="O40" s="101">
        <f>SUMIFS('9'!$E:$E,'9'!$A:$A,Año_Inicial+8,'9'!$B:$B,'12'!N$4,'9'!$D:$D,"Corte")</f>
        <v>0</v>
      </c>
      <c r="P40" s="101">
        <f>P_A9_L6*CUI_Corte*Inflación_9</f>
        <v>0</v>
      </c>
      <c r="Q40" s="101">
        <f>SUMIFS('9'!$E:$E,'9'!$A:$A,Año_Inicial+8,'9'!$B:$B,'12'!P$4,'9'!$D:$D,"Corte")</f>
        <v>0</v>
      </c>
      <c r="R40" s="101">
        <f>P_A9_L7*CUI_Corte*Inflación_9</f>
        <v>0</v>
      </c>
      <c r="S40" s="101">
        <f>SUMIFS('9'!$E:$E,'9'!$A:$A,Año_Inicial+8,'9'!$B:$B,'12'!R$4,'9'!$D:$D,"Corte")</f>
        <v>0</v>
      </c>
      <c r="T40" s="101">
        <f>P_A9_L8*CUI_Corte*Inflación_9</f>
        <v>0</v>
      </c>
      <c r="U40" s="101">
        <f>SUMIFS('9'!$E:$E,'9'!$A:$A,Año_Inicial+8,'9'!$B:$B,'12'!T$4,'9'!$D:$D,"Corte")</f>
        <v>0</v>
      </c>
      <c r="V40" s="101">
        <f>P_A9_L9*CUI_Corte*Inflación_9</f>
        <v>0</v>
      </c>
      <c r="W40" s="101">
        <f>SUMIFS('9'!$E:$E,'9'!$A:$A,Año_Inicial+8,'9'!$B:$B,'12'!V$4,'9'!$D:$D,"Corte")</f>
        <v>0</v>
      </c>
      <c r="X40" s="101">
        <f>P_A9_L10*CUI_Corte*Inflación_9</f>
        <v>0</v>
      </c>
      <c r="Y40" s="101">
        <f>SUMIFS('9'!$E:$E,'9'!$A:$A,Año_Inicial+8,'9'!$B:$B,'12'!X$4,'9'!$D:$D,"Corte")</f>
        <v>0</v>
      </c>
      <c r="Z40" s="101">
        <f>P_A9_L11*CUI_Corte*Inflación_9</f>
        <v>0</v>
      </c>
      <c r="AA40" s="101">
        <f>SUMIFS('9'!$E:$E,'9'!$A:$A,Año_Inicial+8,'9'!$B:$B,'12'!Z$4,'9'!$D:$D,"Corte")</f>
        <v>0</v>
      </c>
      <c r="AB40" s="101">
        <f>P_A9_L12*CUI_Corte*Inflación_9</f>
        <v>0</v>
      </c>
      <c r="AC40" s="101">
        <f>SUMIFS('9'!$E:$E,'9'!$A:$A,Año_Inicial+8,'9'!$B:$B,'12'!AB$4,'9'!$D:$D,"Corte")</f>
        <v>0</v>
      </c>
      <c r="AD40" s="101">
        <f>P_A9_L13*CUI_Corte*Inflación_9</f>
        <v>0</v>
      </c>
      <c r="AE40" s="101">
        <f>SUMIFS('9'!$E:$E,'9'!$A:$A,Año_Inicial+8,'9'!$B:$B,'12'!AD$4,'9'!$D:$D,"Corte")</f>
        <v>0</v>
      </c>
      <c r="AF40" s="101">
        <f>P_A9_L14*CUI_Corte*Inflación_9</f>
        <v>0</v>
      </c>
      <c r="AG40" s="101">
        <f>SUMIFS('9'!$E:$E,'9'!$A:$A,Año_Inicial+8,'9'!$B:$B,'12'!AF$4,'9'!$D:$D,"Corte")</f>
        <v>0</v>
      </c>
      <c r="AH40" s="101">
        <f>P_A9_L15*CUI_Corte*Inflación_9</f>
        <v>0</v>
      </c>
      <c r="AI40" s="101">
        <f>SUMIFS('9'!$E:$E,'9'!$A:$A,Año_Inicial+8,'9'!$B:$B,'12'!AH$4,'9'!$D:$D,"Corte")</f>
        <v>0</v>
      </c>
      <c r="AJ40" s="101">
        <f>P_A9_L16*CUI_Corte*Inflación_9</f>
        <v>0</v>
      </c>
      <c r="AK40" s="101">
        <f>SUMIFS('9'!$E:$E,'9'!$A:$A,Año_Inicial+8,'9'!$B:$B,'12'!AJ$4,'9'!$D:$D,"Corte")</f>
        <v>0</v>
      </c>
      <c r="AL40" s="101">
        <f>P_A9_L17*CUI_Corte*Inflación_9</f>
        <v>0</v>
      </c>
      <c r="AM40" s="101">
        <f>SUMIFS('9'!$E:$E,'9'!$A:$A,Año_Inicial+8,'9'!$B:$B,'12'!AL$4,'9'!$D:$D,"Corte")</f>
        <v>0</v>
      </c>
      <c r="AN40" s="101">
        <f>P_A9_L18*CUI_Corte*Inflación_9</f>
        <v>0</v>
      </c>
      <c r="AO40" s="101">
        <f>SUMIFS('9'!$E:$E,'9'!$A:$A,Año_Inicial+8,'9'!$B:$B,'12'!AN$4,'9'!$D:$D,"Corte")</f>
        <v>0</v>
      </c>
      <c r="AP40" s="101">
        <f>P_A9_L19*CUI_Corte*Inflación_9</f>
        <v>0</v>
      </c>
      <c r="AQ40" s="101">
        <f>SUMIFS('9'!$E:$E,'9'!$A:$A,Año_Inicial+8,'9'!$B:$B,'12'!AP$4,'9'!$D:$D,"Corte")</f>
        <v>0</v>
      </c>
      <c r="AR40" s="101">
        <f>P_A9_L20*CUI_Corte*Inflación_9</f>
        <v>0</v>
      </c>
      <c r="AS40" s="101">
        <f>SUMIFS('9'!$E:$E,'9'!$A:$A,Año_Inicial+8,'9'!$B:$B,'12'!AR$4,'9'!$D:$D,"Corte")</f>
        <v>0</v>
      </c>
      <c r="AT40" s="101">
        <f>P_A9_L21*CUI_Corte*Inflación_9</f>
        <v>0</v>
      </c>
      <c r="AU40" s="101">
        <f>SUMIFS('9'!$E:$E,'9'!$A:$A,Año_Inicial+8,'9'!$B:$B,'12'!AT$4,'9'!$D:$D,"Corte")</f>
        <v>0</v>
      </c>
      <c r="AV40" s="101">
        <f>P_A9_L22*CUI_Corte*Inflación_9</f>
        <v>0</v>
      </c>
      <c r="AW40" s="101">
        <f>SUMIFS('9'!$E:$E,'9'!$A:$A,Año_Inicial+8,'9'!$B:$B,'12'!AV$4,'9'!$D:$D,"Corte")</f>
        <v>0</v>
      </c>
      <c r="AX40" s="101">
        <f>P_A9_L23*CUI_Corte*Inflación_9</f>
        <v>0</v>
      </c>
      <c r="AY40" s="101">
        <f>SUMIFS('9'!$E:$E,'9'!$A:$A,Año_Inicial+8,'9'!$B:$B,'12'!AX$4,'9'!$D:$D,"Corte")</f>
        <v>0</v>
      </c>
      <c r="AZ40" s="101">
        <f>P_A9_L24*CUI_Corte*Inflación_9</f>
        <v>0</v>
      </c>
      <c r="BA40" s="101">
        <f>SUMIFS('9'!$E:$E,'9'!$A:$A,Año_Inicial+8,'9'!$B:$B,'12'!AZ$4,'9'!$D:$D,"Corte")</f>
        <v>0</v>
      </c>
      <c r="BB40" s="101">
        <f>P_A9_L25*CUI_Corte*Inflación_9</f>
        <v>0</v>
      </c>
      <c r="BC40" s="101">
        <f>SUMIFS('9'!$E:$E,'9'!$A:$A,Año_Inicial+8,'9'!$B:$B,'12'!BB$4,'9'!$D:$D,"Corte")</f>
        <v>0</v>
      </c>
      <c r="BD40" s="101">
        <f>P_A9_L26*CUI_Corte*Inflación_9</f>
        <v>0</v>
      </c>
      <c r="BE40" s="101">
        <f>SUMIFS('9'!$E:$E,'9'!$A:$A,Año_Inicial+8,'9'!$B:$B,'12'!BD$4,'9'!$D:$D,"Corte")</f>
        <v>0</v>
      </c>
      <c r="BF40" s="101">
        <f>P_A9_L27*CUI_Corte*Inflación_9</f>
        <v>0</v>
      </c>
      <c r="BG40" s="101">
        <f>SUMIFS('9'!$E:$E,'9'!$A:$A,Año_Inicial+8,'9'!$B:$B,'12'!BF$4,'9'!$D:$D,"Corte")</f>
        <v>0</v>
      </c>
      <c r="BH40" s="101">
        <f>P_A9_L28*CUI_Corte*Inflación_9</f>
        <v>0</v>
      </c>
      <c r="BI40" s="101">
        <f>SUMIFS('9'!$E:$E,'9'!$A:$A,Año_Inicial+8,'9'!$B:$B,'12'!BH$4,'9'!$D:$D,"Corte")</f>
        <v>0</v>
      </c>
      <c r="BJ40" s="101">
        <f>P_A9_L29*CUI_Corte*Inflación_9</f>
        <v>0</v>
      </c>
      <c r="BK40" s="101">
        <f>SUMIFS('9'!$E:$E,'9'!$A:$A,Año_Inicial+8,'9'!$B:$B,'12'!BJ$4,'9'!$D:$D,"Corte")</f>
        <v>0</v>
      </c>
      <c r="BL40" s="101">
        <f>P_A9_L30*CUI_Corte*Inflación_9</f>
        <v>0</v>
      </c>
      <c r="BM40" s="101">
        <f>SUMIFS('9'!$E:$E,'9'!$A:$A,Año_Inicial+8,'9'!$B:$B,'12'!BL$4,'9'!$D:$D,"Corte")</f>
        <v>0</v>
      </c>
      <c r="BN40" s="101">
        <f>P_A9_L31*CUI_Corte*Inflación_9</f>
        <v>0</v>
      </c>
      <c r="BO40" s="101">
        <f>SUMIFS('9'!$E:$E,'9'!$A:$A,Año_Inicial+8,'9'!$B:$B,'12'!BN$4,'9'!$D:$D,"Corte")</f>
        <v>0</v>
      </c>
      <c r="BP40" s="101">
        <f>P_A9_L32*CUI_Corte*Inflación_9</f>
        <v>0</v>
      </c>
      <c r="BQ40" s="101">
        <f>SUMIFS('9'!$E:$E,'9'!$A:$A,Año_Inicial+8,'9'!$B:$B,'12'!BP$4,'9'!$D:$D,"Corte")</f>
        <v>0</v>
      </c>
      <c r="BR40" s="101">
        <f>P_A9_L33*CUI_Corte*Inflación_9</f>
        <v>0</v>
      </c>
      <c r="BS40" s="101">
        <f>SUMIFS('9'!$E:$E,'9'!$A:$A,Año_Inicial+8,'9'!$B:$B,'12'!BR$4,'9'!$D:$D,"Corte")</f>
        <v>0</v>
      </c>
      <c r="BT40" s="101">
        <f>P_A9_L34*CUI_Corte*Inflación_9</f>
        <v>0</v>
      </c>
      <c r="BU40" s="101">
        <f>SUMIFS('9'!$E:$E,'9'!$A:$A,Año_Inicial+8,'9'!$B:$B,'12'!BT$4,'9'!$D:$D,"Corte")</f>
        <v>0</v>
      </c>
      <c r="BV40" s="101">
        <f>P_A9_L35*CUI_Corte*Inflación_9</f>
        <v>0</v>
      </c>
      <c r="BW40" s="101">
        <f>SUMIFS('9'!$E:$E,'9'!$A:$A,Año_Inicial+8,'9'!$B:$B,'12'!BV$4,'9'!$D:$D,"Corte")</f>
        <v>0</v>
      </c>
      <c r="BX40" s="101">
        <f>P_A9_L36*CUI_Corte*Inflación_9</f>
        <v>0</v>
      </c>
      <c r="BY40" s="101">
        <f>SUMIFS('9'!$E:$E,'9'!$A:$A,Año_Inicial+8,'9'!$B:$B,'12'!BX$4,'9'!$D:$D,"Corte")</f>
        <v>0</v>
      </c>
      <c r="BZ40" s="101">
        <f>P_A9_L37*CUI_Corte*Inflación_9</f>
        <v>0</v>
      </c>
      <c r="CA40" s="101">
        <f>SUMIFS('9'!$E:$E,'9'!$A:$A,Año_Inicial+8,'9'!$B:$B,'12'!BZ$4,'9'!$D:$D,"Corte")</f>
        <v>0</v>
      </c>
      <c r="CB40" s="101">
        <f>P_A9_L38*CUI_Corte*Inflación_9</f>
        <v>0</v>
      </c>
      <c r="CC40" s="101">
        <f>SUMIFS('9'!$E:$E,'9'!$A:$A,Año_Inicial+8,'9'!$B:$B,'12'!CB$4,'9'!$D:$D,"Corte")</f>
        <v>0</v>
      </c>
      <c r="CD40" s="101">
        <f>P_A9_L39*CUI_Corte*Inflación_9</f>
        <v>0</v>
      </c>
      <c r="CE40" s="101">
        <f>SUMIFS('9'!$E:$E,'9'!$A:$A,Año_Inicial+8,'9'!$B:$B,'12'!CD$4,'9'!$D:$D,"Corte")</f>
        <v>0</v>
      </c>
      <c r="CF40" s="101">
        <f>P_A9_L40*CUI_Corte*Inflación_9</f>
        <v>0</v>
      </c>
      <c r="CG40" s="101">
        <f>SUMIFS('9'!$E:$E,'9'!$A:$A,Año_Inicial+8,'9'!$B:$B,'12'!CF$4,'9'!$D:$D,"Corte")</f>
        <v>0</v>
      </c>
      <c r="CH40" s="473"/>
      <c r="CI40" s="101">
        <f>CI7*CUI_Corte*Inflación_9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SUMIFS('9'!$E:$E,'9'!$A:$A,Año_Inicial+8,'9'!$D:$D,"Beneficiado")</f>
        <v>0</v>
      </c>
      <c r="D41" s="100" t="e">
        <f t="shared" si="45"/>
        <v>#DIV/0!</v>
      </c>
      <c r="E41" s="473"/>
      <c r="F41" s="101">
        <f>(P_A9_L1/5)*CUI_Poscosecha*Inflación_9</f>
        <v>0</v>
      </c>
      <c r="G41" s="101">
        <f>SUMIFS('9'!$E:$E,'9'!$A:$A,Año_Inicial+8,'9'!$B:$B,'12'!F$4,'9'!$D:$D,"Beneficiado")</f>
        <v>0</v>
      </c>
      <c r="H41" s="101">
        <f>(P_A9_L2/5)*CUI_Poscosecha*Inflación_9</f>
        <v>0</v>
      </c>
      <c r="I41" s="101">
        <f>SUMIFS('9'!$E:$E,'9'!$A:$A,Año_Inicial+8,'9'!$B:$B,'12'!H$4,'9'!$D:$D,"Beneficiado")</f>
        <v>0</v>
      </c>
      <c r="J41" s="101">
        <f>(P_A9_L3/5)*CUI_Poscosecha*Inflación_9</f>
        <v>0</v>
      </c>
      <c r="K41" s="101">
        <f>SUMIFS('9'!$E:$E,'9'!$A:$A,Año_Inicial+8,'9'!$B:$B,'12'!J$4,'9'!$D:$D,"Beneficiado")</f>
        <v>0</v>
      </c>
      <c r="L41" s="101">
        <f>(P_A9_L4/5)*CUI_Poscosecha*Inflación_9</f>
        <v>0</v>
      </c>
      <c r="M41" s="101">
        <f>SUMIFS('9'!$E:$E,'9'!$A:$A,Año_Inicial+8,'9'!$B:$B,'12'!L$4,'9'!$D:$D,"Beneficiado")</f>
        <v>0</v>
      </c>
      <c r="N41" s="101">
        <f>(P_A9_L5/5)*CUI_Poscosecha*Inflación_9</f>
        <v>0</v>
      </c>
      <c r="O41" s="101">
        <f>SUMIFS('9'!$E:$E,'9'!$A:$A,Año_Inicial+8,'9'!$B:$B,'12'!N$4,'9'!$D:$D,"Beneficiado")</f>
        <v>0</v>
      </c>
      <c r="P41" s="101">
        <f>(P_A9_L6/5)*CUI_Poscosecha*Inflación_9</f>
        <v>0</v>
      </c>
      <c r="Q41" s="101">
        <f>SUMIFS('9'!$E:$E,'9'!$A:$A,Año_Inicial+8,'9'!$B:$B,'12'!P$4,'9'!$D:$D,"Beneficiado")</f>
        <v>0</v>
      </c>
      <c r="R41" s="101">
        <f>(P_A9_L7/5)*CUI_Poscosecha*Inflación_9</f>
        <v>0</v>
      </c>
      <c r="S41" s="101">
        <f>SUMIFS('9'!$E:$E,'9'!$A:$A,Año_Inicial+8,'9'!$B:$B,'12'!R$4,'9'!$D:$D,"Beneficiado")</f>
        <v>0</v>
      </c>
      <c r="T41" s="101">
        <f>(P_A9_L8/5)*CUI_Poscosecha*Inflación_9</f>
        <v>0</v>
      </c>
      <c r="U41" s="101">
        <f>SUMIFS('9'!$E:$E,'9'!$A:$A,Año_Inicial+8,'9'!$B:$B,'12'!T$4,'9'!$D:$D,"Beneficiado")</f>
        <v>0</v>
      </c>
      <c r="V41" s="101">
        <f>(P_A9_L9/5)*CUI_Poscosecha*Inflación_9</f>
        <v>0</v>
      </c>
      <c r="W41" s="101">
        <f>SUMIFS('9'!$E:$E,'9'!$A:$A,Año_Inicial+8,'9'!$B:$B,'12'!V$4,'9'!$D:$D,"Beneficiado")</f>
        <v>0</v>
      </c>
      <c r="X41" s="101">
        <f>(P_A9_L10/5)*CUI_Poscosecha*Inflación_9</f>
        <v>0</v>
      </c>
      <c r="Y41" s="101">
        <f>SUMIFS('9'!$E:$E,'9'!$A:$A,Año_Inicial+8,'9'!$B:$B,'12'!X$4,'9'!$D:$D,"Beneficiado")</f>
        <v>0</v>
      </c>
      <c r="Z41" s="101">
        <f>(P_A9_L11/5)*CUI_Poscosecha*Inflación_9</f>
        <v>0</v>
      </c>
      <c r="AA41" s="101">
        <f>SUMIFS('9'!$E:$E,'9'!$A:$A,Año_Inicial+8,'9'!$B:$B,'12'!Z$4,'9'!$D:$D,"Beneficiado")</f>
        <v>0</v>
      </c>
      <c r="AB41" s="101">
        <f>(P_A9_L12/5)*CUI_Poscosecha*Inflación_9</f>
        <v>0</v>
      </c>
      <c r="AC41" s="101">
        <f>SUMIFS('9'!$E:$E,'9'!$A:$A,Año_Inicial+8,'9'!$B:$B,'12'!AB$4,'9'!$D:$D,"Beneficiado")</f>
        <v>0</v>
      </c>
      <c r="AD41" s="101">
        <f>(P_A9_L13/5)*CUI_Poscosecha*Inflación_9</f>
        <v>0</v>
      </c>
      <c r="AE41" s="101">
        <f>SUMIFS('9'!$E:$E,'9'!$A:$A,Año_Inicial+8,'9'!$B:$B,'12'!AD$4,'9'!$D:$D,"Beneficiado")</f>
        <v>0</v>
      </c>
      <c r="AF41" s="101">
        <f>(P_A9_L14/5)*CUI_Poscosecha*Inflación_9</f>
        <v>0</v>
      </c>
      <c r="AG41" s="101">
        <f>SUMIFS('9'!$E:$E,'9'!$A:$A,Año_Inicial+8,'9'!$B:$B,'12'!AF$4,'9'!$D:$D,"Beneficiado")</f>
        <v>0</v>
      </c>
      <c r="AH41" s="101">
        <f>(P_A9_L15/5)*CUI_Poscosecha*Inflación_9</f>
        <v>0</v>
      </c>
      <c r="AI41" s="101">
        <f>SUMIFS('9'!$E:$E,'9'!$A:$A,Año_Inicial+8,'9'!$B:$B,'12'!AH$4,'9'!$D:$D,"Beneficiado")</f>
        <v>0</v>
      </c>
      <c r="AJ41" s="101">
        <f>(P_A9_L16/5)*CUI_Poscosecha*Inflación_9</f>
        <v>0</v>
      </c>
      <c r="AK41" s="101">
        <f>SUMIFS('9'!$E:$E,'9'!$A:$A,Año_Inicial+8,'9'!$B:$B,'12'!AJ$4,'9'!$D:$D,"Beneficiado")</f>
        <v>0</v>
      </c>
      <c r="AL41" s="101">
        <f>(P_A9_L17/5)*CUI_Poscosecha*Inflación_9</f>
        <v>0</v>
      </c>
      <c r="AM41" s="101">
        <f>SUMIFS('9'!$E:$E,'9'!$A:$A,Año_Inicial+8,'9'!$B:$B,'12'!AL$4,'9'!$D:$D,"Beneficiado")</f>
        <v>0</v>
      </c>
      <c r="AN41" s="101">
        <f>(P_A9_L18/5)*CUI_Poscosecha*Inflación_9</f>
        <v>0</v>
      </c>
      <c r="AO41" s="101">
        <f>SUMIFS('9'!$E:$E,'9'!$A:$A,Año_Inicial+8,'9'!$B:$B,'12'!AN$4,'9'!$D:$D,"Beneficiado")</f>
        <v>0</v>
      </c>
      <c r="AP41" s="101">
        <f>(P_A9_L19/5)*CUI_Poscosecha*Inflación_9</f>
        <v>0</v>
      </c>
      <c r="AQ41" s="101">
        <f>SUMIFS('9'!$E:$E,'9'!$A:$A,Año_Inicial+8,'9'!$B:$B,'12'!AP$4,'9'!$D:$D,"Beneficiado")</f>
        <v>0</v>
      </c>
      <c r="AR41" s="101">
        <f>(P_A9_L20/5)*CUI_Poscosecha*Inflación_9</f>
        <v>0</v>
      </c>
      <c r="AS41" s="101">
        <f>SUMIFS('9'!$E:$E,'9'!$A:$A,Año_Inicial+8,'9'!$B:$B,'12'!AR$4,'9'!$D:$D,"Beneficiado")</f>
        <v>0</v>
      </c>
      <c r="AT41" s="101">
        <f>(P_A9_L21/5)*CUI_Poscosecha*Inflación_9</f>
        <v>0</v>
      </c>
      <c r="AU41" s="101">
        <f>SUMIFS('9'!$E:$E,'9'!$A:$A,Año_Inicial+8,'9'!$B:$B,'12'!AT$4,'9'!$D:$D,"Beneficiado")</f>
        <v>0</v>
      </c>
      <c r="AV41" s="101">
        <f>(P_A9_L22/5)*CUI_Poscosecha*Inflación_9</f>
        <v>0</v>
      </c>
      <c r="AW41" s="101">
        <f>SUMIFS('9'!$E:$E,'9'!$A:$A,Año_Inicial+8,'9'!$B:$B,'12'!AV$4,'9'!$D:$D,"Beneficiado")</f>
        <v>0</v>
      </c>
      <c r="AX41" s="101">
        <f>(P_A9_L23/5)*CUI_Poscosecha*Inflación_9</f>
        <v>0</v>
      </c>
      <c r="AY41" s="101">
        <f>SUMIFS('9'!$E:$E,'9'!$A:$A,Año_Inicial+8,'9'!$B:$B,'12'!AX$4,'9'!$D:$D,"Beneficiado")</f>
        <v>0</v>
      </c>
      <c r="AZ41" s="101">
        <f>(P_A9_L24/5)*CUI_Poscosecha*Inflación_9</f>
        <v>0</v>
      </c>
      <c r="BA41" s="101">
        <f>SUMIFS('9'!$E:$E,'9'!$A:$A,Año_Inicial+8,'9'!$B:$B,'12'!AZ$4,'9'!$D:$D,"Beneficiado")</f>
        <v>0</v>
      </c>
      <c r="BB41" s="101">
        <f>(P_A9_L25/5)*CUI_Poscosecha*Inflación_9</f>
        <v>0</v>
      </c>
      <c r="BC41" s="101">
        <f>SUMIFS('9'!$E:$E,'9'!$A:$A,Año_Inicial+8,'9'!$B:$B,'12'!BB$4,'9'!$D:$D,"Beneficiado")</f>
        <v>0</v>
      </c>
      <c r="BD41" s="101">
        <f>(P_A9_L26/5)*CUI_Poscosecha*Inflación_9</f>
        <v>0</v>
      </c>
      <c r="BE41" s="101">
        <f>SUMIFS('9'!$E:$E,'9'!$A:$A,Año_Inicial+8,'9'!$B:$B,'12'!BD$4,'9'!$D:$D,"Beneficiado")</f>
        <v>0</v>
      </c>
      <c r="BF41" s="101">
        <f>(P_A9_L27/5)*CUI_Poscosecha*Inflación_9</f>
        <v>0</v>
      </c>
      <c r="BG41" s="101">
        <f>SUMIFS('9'!$E:$E,'9'!$A:$A,Año_Inicial+8,'9'!$B:$B,'12'!BF$4,'9'!$D:$D,"Beneficiado")</f>
        <v>0</v>
      </c>
      <c r="BH41" s="101">
        <f>(P_A9_L28/5)*CUI_Poscosecha*Inflación_9</f>
        <v>0</v>
      </c>
      <c r="BI41" s="101">
        <f>SUMIFS('9'!$E:$E,'9'!$A:$A,Año_Inicial+8,'9'!$B:$B,'12'!BH$4,'9'!$D:$D,"Beneficiado")</f>
        <v>0</v>
      </c>
      <c r="BJ41" s="101">
        <f>(P_A9_L29/5)*CUI_Poscosecha*Inflación_9</f>
        <v>0</v>
      </c>
      <c r="BK41" s="101">
        <f>SUMIFS('9'!$E:$E,'9'!$A:$A,Año_Inicial+8,'9'!$B:$B,'12'!BJ$4,'9'!$D:$D,"Beneficiado")</f>
        <v>0</v>
      </c>
      <c r="BL41" s="101">
        <f>(P_A9_L30/5)*CUI_Poscosecha*Inflación_9</f>
        <v>0</v>
      </c>
      <c r="BM41" s="101">
        <f>SUMIFS('9'!$E:$E,'9'!$A:$A,Año_Inicial+8,'9'!$B:$B,'12'!BL$4,'9'!$D:$D,"Beneficiado")</f>
        <v>0</v>
      </c>
      <c r="BN41" s="101">
        <f>(P_A9_L31/5)*CUI_Poscosecha*Inflación_9</f>
        <v>0</v>
      </c>
      <c r="BO41" s="101">
        <f>SUMIFS('9'!$E:$E,'9'!$A:$A,Año_Inicial+8,'9'!$B:$B,'12'!BN$4,'9'!$D:$D,"Beneficiado")</f>
        <v>0</v>
      </c>
      <c r="BP41" s="101">
        <f>(P_A9_L32/5)*CUI_Poscosecha*Inflación_9</f>
        <v>0</v>
      </c>
      <c r="BQ41" s="101">
        <f>SUMIFS('9'!$E:$E,'9'!$A:$A,Año_Inicial+8,'9'!$B:$B,'12'!BP$4,'9'!$D:$D,"Beneficiado")</f>
        <v>0</v>
      </c>
      <c r="BR41" s="101">
        <f>(P_A9_L33/5)*CUI_Poscosecha*Inflación_9</f>
        <v>0</v>
      </c>
      <c r="BS41" s="101">
        <f>SUMIFS('9'!$E:$E,'9'!$A:$A,Año_Inicial+8,'9'!$B:$B,'12'!BR$4,'9'!$D:$D,"Beneficiado")</f>
        <v>0</v>
      </c>
      <c r="BT41" s="101">
        <f>(P_A9_L34/5)*CUI_Poscosecha*Inflación_9</f>
        <v>0</v>
      </c>
      <c r="BU41" s="101">
        <f>SUMIFS('9'!$E:$E,'9'!$A:$A,Año_Inicial+8,'9'!$B:$B,'12'!BT$4,'9'!$D:$D,"Beneficiado")</f>
        <v>0</v>
      </c>
      <c r="BV41" s="101">
        <f>(P_A9_L35/5)*CUI_Poscosecha*Inflación_9</f>
        <v>0</v>
      </c>
      <c r="BW41" s="101">
        <f>SUMIFS('9'!$E:$E,'9'!$A:$A,Año_Inicial+8,'9'!$B:$B,'12'!BV$4,'9'!$D:$D,"Beneficiado")</f>
        <v>0</v>
      </c>
      <c r="BX41" s="101">
        <f>(P_A9_L36/5)*CUI_Poscosecha*Inflación_9</f>
        <v>0</v>
      </c>
      <c r="BY41" s="101">
        <f>SUMIFS('9'!$E:$E,'9'!$A:$A,Año_Inicial+8,'9'!$B:$B,'12'!BX$4,'9'!$D:$D,"Beneficiado")</f>
        <v>0</v>
      </c>
      <c r="BZ41" s="101">
        <f>(P_A9_L37/5)*CUI_Poscosecha*Inflación_9</f>
        <v>0</v>
      </c>
      <c r="CA41" s="101">
        <f>SUMIFS('9'!$E:$E,'9'!$A:$A,Año_Inicial+8,'9'!$B:$B,'12'!BZ$4,'9'!$D:$D,"Beneficiado")</f>
        <v>0</v>
      </c>
      <c r="CB41" s="101">
        <f>(P_A9_L38/5)*CUI_Poscosecha*Inflación_9</f>
        <v>0</v>
      </c>
      <c r="CC41" s="101">
        <f>SUMIFS('9'!$E:$E,'9'!$A:$A,Año_Inicial+8,'9'!$B:$B,'12'!CB$4,'9'!$D:$D,"Beneficiado")</f>
        <v>0</v>
      </c>
      <c r="CD41" s="101">
        <f>(P_A9_L39/5)*CUI_Poscosecha*Inflación_9</f>
        <v>0</v>
      </c>
      <c r="CE41" s="101">
        <f>SUMIFS('9'!$E:$E,'9'!$A:$A,Año_Inicial+8,'9'!$B:$B,'12'!CD$4,'9'!$D:$D,"Beneficiado")</f>
        <v>0</v>
      </c>
      <c r="CF41" s="101">
        <f>(P_A9_L40/5)*CUI_Poscosecha*Inflación_9</f>
        <v>0</v>
      </c>
      <c r="CG41" s="101">
        <f>SUMIFS('9'!$E:$E,'9'!$A:$A,Año_Inicial+8,'9'!$B:$B,'12'!CF$4,'9'!$D:$D,"Beneficiado")</f>
        <v>0</v>
      </c>
      <c r="CH41" s="473"/>
      <c r="CI41" s="101" t="e">
        <f>(CI7/Pergo)*CUI_Poscosecha*Inflación_9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SUMIFS('9'!$E:$E,'9'!$A:$A,Año_Inicial+8,'9'!$C:$C,"Renovación")</f>
        <v>0</v>
      </c>
      <c r="D43" s="100">
        <f t="shared" si="45"/>
        <v>0</v>
      </c>
      <c r="E43" s="473"/>
      <c r="F43" s="101">
        <f>A9_Z_L1*Planta_Z*Inflación_9</f>
        <v>0</v>
      </c>
      <c r="G43" s="101">
        <f>SUMIFS('9'!$E:$E,'9'!$A:$A,Año_Inicial+8,'9'!$B:$B,'12'!F$4,'9'!$C:$C,"Renovación")</f>
        <v>0</v>
      </c>
      <c r="H43" s="101">
        <f>A9_Z_L2*Planta_Z*Inflación_9</f>
        <v>0</v>
      </c>
      <c r="I43" s="101">
        <f>SUMIFS('9'!$E:$E,'9'!$A:$A,Año_Inicial+8,'9'!$B:$B,'12'!H$4,'9'!$C:$C,"Renovación")</f>
        <v>0</v>
      </c>
      <c r="J43" s="101">
        <f>A9_Z_L3*Planta_Z*Inflación_9</f>
        <v>0</v>
      </c>
      <c r="K43" s="101">
        <f>SUMIFS('9'!$E:$E,'9'!$A:$A,Año_Inicial+8,'9'!$B:$B,'12'!J$4,'9'!$C:$C,"Renovación")</f>
        <v>0</v>
      </c>
      <c r="L43" s="101">
        <f>A9_Z_L4*Planta_Z*Inflación_9</f>
        <v>0</v>
      </c>
      <c r="M43" s="101">
        <f>SUMIFS('9'!$E:$E,'9'!$A:$A,Año_Inicial+8,'9'!$B:$B,'12'!L$4,'9'!$C:$C,"Renovación")</f>
        <v>0</v>
      </c>
      <c r="N43" s="101">
        <f>A9_Z_L5*Planta_Z*Inflación_9</f>
        <v>0</v>
      </c>
      <c r="O43" s="101">
        <f>SUMIFS('9'!$E:$E,'9'!$A:$A,Año_Inicial+8,'9'!$B:$B,'12'!N$4,'9'!$C:$C,"Renovación")</f>
        <v>0</v>
      </c>
      <c r="P43" s="101">
        <f>A9_Z_L6*Planta_Z*Inflación_9</f>
        <v>0</v>
      </c>
      <c r="Q43" s="101">
        <f>SUMIFS('9'!$E:$E,'9'!$A:$A,Año_Inicial+8,'9'!$B:$B,'12'!P$4,'9'!$C:$C,"Renovación")</f>
        <v>0</v>
      </c>
      <c r="R43" s="101">
        <f>A9_Z_L7*Planta_Z*Inflación_9</f>
        <v>0</v>
      </c>
      <c r="S43" s="101">
        <f>SUMIFS('9'!$E:$E,'9'!$A:$A,Año_Inicial+8,'9'!$B:$B,'12'!R$4,'9'!$C:$C,"Renovación")</f>
        <v>0</v>
      </c>
      <c r="T43" s="101">
        <f>A9_Z_L8*Planta_Z*Inflación_9</f>
        <v>0</v>
      </c>
      <c r="U43" s="101">
        <f>SUMIFS('9'!$E:$E,'9'!$A:$A,Año_Inicial+8,'9'!$B:$B,'12'!T$4,'9'!$C:$C,"Renovación")</f>
        <v>0</v>
      </c>
      <c r="V43" s="101">
        <f>A9_Z_L9*Planta_Z*Inflación_9</f>
        <v>0</v>
      </c>
      <c r="W43" s="101">
        <f>SUMIFS('9'!$E:$E,'9'!$A:$A,Año_Inicial+8,'9'!$B:$B,'12'!V$4,'9'!$C:$C,"Renovación")</f>
        <v>0</v>
      </c>
      <c r="X43" s="101">
        <f>A9_Z_L10*Planta_Z*Inflación_9</f>
        <v>0</v>
      </c>
      <c r="Y43" s="101">
        <f>SUMIFS('9'!$E:$E,'9'!$A:$A,Año_Inicial+8,'9'!$B:$B,'12'!X$4,'9'!$C:$C,"Renovación")</f>
        <v>0</v>
      </c>
      <c r="Z43" s="101">
        <f>A9_Z_L11*Planta_Z*Inflación_9</f>
        <v>0</v>
      </c>
      <c r="AA43" s="101">
        <f>SUMIFS('9'!$E:$E,'9'!$A:$A,Año_Inicial+8,'9'!$B:$B,'12'!Z$4,'9'!$C:$C,"Renovación")</f>
        <v>0</v>
      </c>
      <c r="AB43" s="101">
        <f>A9_Z_L12*Planta_Z*Inflación_9</f>
        <v>0</v>
      </c>
      <c r="AC43" s="101">
        <f>SUMIFS('9'!$E:$E,'9'!$A:$A,Año_Inicial+8,'9'!$B:$B,'12'!AB$4,'9'!$C:$C,"Renovación")</f>
        <v>0</v>
      </c>
      <c r="AD43" s="101">
        <f>A9_Z_L13*Planta_Z*Inflación_9</f>
        <v>0</v>
      </c>
      <c r="AE43" s="101">
        <f>SUMIFS('9'!$E:$E,'9'!$A:$A,Año_Inicial+8,'9'!$B:$B,'12'!AD$4,'9'!$C:$C,"Renovación")</f>
        <v>0</v>
      </c>
      <c r="AF43" s="101">
        <f>A9_Z_L14*Planta_Z*Inflación_9</f>
        <v>0</v>
      </c>
      <c r="AG43" s="101">
        <f>SUMIFS('9'!$E:$E,'9'!$A:$A,Año_Inicial+8,'9'!$B:$B,'12'!AF$4,'9'!$C:$C,"Renovación")</f>
        <v>0</v>
      </c>
      <c r="AH43" s="101">
        <f>A9_Z_L15*Planta_Z*Inflación_9</f>
        <v>0</v>
      </c>
      <c r="AI43" s="101">
        <f>SUMIFS('9'!$E:$E,'9'!$A:$A,Año_Inicial+8,'9'!$B:$B,'12'!AH$4,'9'!$C:$C,"Renovación")</f>
        <v>0</v>
      </c>
      <c r="AJ43" s="101">
        <f>A9_Z_L16*Planta_Z*Inflación_9</f>
        <v>0</v>
      </c>
      <c r="AK43" s="101">
        <f>SUMIFS('9'!$E:$E,'9'!$A:$A,Año_Inicial+8,'9'!$B:$B,'12'!AJ$4,'9'!$C:$C,"Renovación")</f>
        <v>0</v>
      </c>
      <c r="AL43" s="101">
        <f>A9_Z_L17*Planta_Z*Inflación_9</f>
        <v>0</v>
      </c>
      <c r="AM43" s="101">
        <f>SUMIFS('9'!$E:$E,'9'!$A:$A,Año_Inicial+8,'9'!$B:$B,'12'!AL$4,'9'!$C:$C,"Renovación")</f>
        <v>0</v>
      </c>
      <c r="AN43" s="101">
        <f>A9_Z_L18*Planta_Z*Inflación_9</f>
        <v>0</v>
      </c>
      <c r="AO43" s="101">
        <f>SUMIFS('9'!$E:$E,'9'!$A:$A,Año_Inicial+8,'9'!$B:$B,'12'!AN$4,'9'!$C:$C,"Renovación")</f>
        <v>0</v>
      </c>
      <c r="AP43" s="101">
        <f>A9_Z_L19*Planta_Z*Inflación_9</f>
        <v>0</v>
      </c>
      <c r="AQ43" s="101">
        <f>SUMIFS('9'!$E:$E,'9'!$A:$A,Año_Inicial+8,'9'!$B:$B,'12'!AP$4,'9'!$C:$C,"Renovación")</f>
        <v>0</v>
      </c>
      <c r="AR43" s="101">
        <f>A9_Z_L20*Planta_Z*Inflación_9</f>
        <v>0</v>
      </c>
      <c r="AS43" s="101">
        <f>SUMIFS('9'!$E:$E,'9'!$A:$A,Año_Inicial+8,'9'!$B:$B,'12'!AR$4,'9'!$C:$C,"Renovación")</f>
        <v>0</v>
      </c>
      <c r="AT43" s="101">
        <f>A9_Z_L21*Planta_Z*Inflación_9</f>
        <v>0</v>
      </c>
      <c r="AU43" s="101">
        <f>SUMIFS('9'!$E:$E,'9'!$A:$A,Año_Inicial+8,'9'!$B:$B,'12'!AT$4,'9'!$C:$C,"Renovación")</f>
        <v>0</v>
      </c>
      <c r="AV43" s="101">
        <f>A9_Z_L22*Planta_Z*Inflación_9</f>
        <v>0</v>
      </c>
      <c r="AW43" s="101">
        <f>SUMIFS('9'!$E:$E,'9'!$A:$A,Año_Inicial+8,'9'!$B:$B,'12'!AV$4,'9'!$C:$C,"Renovación")</f>
        <v>0</v>
      </c>
      <c r="AX43" s="101">
        <f>A9_Z_L23*Planta_Z*Inflación_9</f>
        <v>0</v>
      </c>
      <c r="AY43" s="101">
        <f>SUMIFS('9'!$E:$E,'9'!$A:$A,Año_Inicial+8,'9'!$B:$B,'12'!AX$4,'9'!$C:$C,"Renovación")</f>
        <v>0</v>
      </c>
      <c r="AZ43" s="101">
        <f>A9_Z_L24*Planta_Z*Inflación_9</f>
        <v>0</v>
      </c>
      <c r="BA43" s="101">
        <f>SUMIFS('9'!$E:$E,'9'!$A:$A,Año_Inicial+8,'9'!$B:$B,'12'!AZ$4,'9'!$C:$C,"Renovación")</f>
        <v>0</v>
      </c>
      <c r="BB43" s="101">
        <f>A9_Z_L25*Planta_Z*Inflación_9</f>
        <v>0</v>
      </c>
      <c r="BC43" s="101">
        <f>SUMIFS('9'!$E:$E,'9'!$A:$A,Año_Inicial+8,'9'!$B:$B,'12'!BB$4,'9'!$C:$C,"Renovación")</f>
        <v>0</v>
      </c>
      <c r="BD43" s="101">
        <f>A9_Z_L26*Planta_Z*Inflación_9</f>
        <v>0</v>
      </c>
      <c r="BE43" s="101">
        <f>SUMIFS('9'!$E:$E,'9'!$A:$A,Año_Inicial+8,'9'!$B:$B,'12'!BD$4,'9'!$C:$C,"Renovación")</f>
        <v>0</v>
      </c>
      <c r="BF43" s="101">
        <f>A9_Z_L27*Planta_Z*Inflación_9</f>
        <v>0</v>
      </c>
      <c r="BG43" s="101">
        <f>SUMIFS('9'!$E:$E,'9'!$A:$A,Año_Inicial+8,'9'!$B:$B,'12'!BF$4,'9'!$C:$C,"Renovación")</f>
        <v>0</v>
      </c>
      <c r="BH43" s="101">
        <f>A9_Z_L28*Planta_Z*Inflación_9</f>
        <v>0</v>
      </c>
      <c r="BI43" s="101">
        <f>SUMIFS('9'!$E:$E,'9'!$A:$A,Año_Inicial+8,'9'!$B:$B,'12'!BH$4,'9'!$C:$C,"Renovación")</f>
        <v>0</v>
      </c>
      <c r="BJ43" s="101">
        <f>A9_Z_L29*Planta_Z*Inflación_9</f>
        <v>0</v>
      </c>
      <c r="BK43" s="101">
        <f>SUMIFS('9'!$E:$E,'9'!$A:$A,Año_Inicial+8,'9'!$B:$B,'12'!BJ$4,'9'!$C:$C,"Renovación")</f>
        <v>0</v>
      </c>
      <c r="BL43" s="101">
        <f>A9_Z_L30*Planta_Z*Inflación_9</f>
        <v>0</v>
      </c>
      <c r="BM43" s="101">
        <f>SUMIFS('9'!$E:$E,'9'!$A:$A,Año_Inicial+8,'9'!$B:$B,'12'!BL$4,'9'!$C:$C,"Renovación")</f>
        <v>0</v>
      </c>
      <c r="BN43" s="101">
        <f>A9_Z_L31*Planta_Z*Inflación_9</f>
        <v>0</v>
      </c>
      <c r="BO43" s="101">
        <f>SUMIFS('9'!$E:$E,'9'!$A:$A,Año_Inicial+8,'9'!$B:$B,'12'!BN$4,'9'!$C:$C,"Renovación")</f>
        <v>0</v>
      </c>
      <c r="BP43" s="101">
        <f>A9_Z_L32*Planta_Z*Inflación_9</f>
        <v>0</v>
      </c>
      <c r="BQ43" s="101">
        <f>SUMIFS('9'!$E:$E,'9'!$A:$A,Año_Inicial+8,'9'!$B:$B,'12'!BP$4,'9'!$C:$C,"Renovación")</f>
        <v>0</v>
      </c>
      <c r="BR43" s="101">
        <f>A9_Z_L33*Planta_Z*Inflación_9</f>
        <v>0</v>
      </c>
      <c r="BS43" s="101">
        <f>SUMIFS('9'!$E:$E,'9'!$A:$A,Año_Inicial+8,'9'!$B:$B,'12'!BR$4,'9'!$C:$C,"Renovación")</f>
        <v>0</v>
      </c>
      <c r="BT43" s="101">
        <f>A9_Z_L34*Planta_Z*Inflación_9</f>
        <v>0</v>
      </c>
      <c r="BU43" s="101">
        <f>SUMIFS('9'!$E:$E,'9'!$A:$A,Año_Inicial+8,'9'!$B:$B,'12'!BT$4,'9'!$C:$C,"Renovación")</f>
        <v>0</v>
      </c>
      <c r="BV43" s="101">
        <f>A9_Z_L35*Planta_Z*Inflación_9</f>
        <v>0</v>
      </c>
      <c r="BW43" s="101">
        <f>SUMIFS('9'!$E:$E,'9'!$A:$A,Año_Inicial+8,'9'!$B:$B,'12'!BV$4,'9'!$C:$C,"Renovación")</f>
        <v>0</v>
      </c>
      <c r="BX43" s="101">
        <f>A9_Z_L36*Planta_Z*Inflación_9</f>
        <v>0</v>
      </c>
      <c r="BY43" s="101">
        <f>SUMIFS('9'!$E:$E,'9'!$A:$A,Año_Inicial+8,'9'!$B:$B,'12'!BX$4,'9'!$C:$C,"Renovación")</f>
        <v>0</v>
      </c>
      <c r="BZ43" s="101">
        <f>A9_Z_L37*Planta_Z*Inflación_9</f>
        <v>0</v>
      </c>
      <c r="CA43" s="101">
        <f>SUMIFS('9'!$E:$E,'9'!$A:$A,Año_Inicial+8,'9'!$B:$B,'12'!BZ$4,'9'!$C:$C,"Renovación")</f>
        <v>0</v>
      </c>
      <c r="CB43" s="101">
        <f>A9_Z_L38*Planta_Z*Inflación_9</f>
        <v>0</v>
      </c>
      <c r="CC43" s="101">
        <f>SUMIFS('9'!$E:$E,'9'!$A:$A,Año_Inicial+8,'9'!$B:$B,'12'!CB$4,'9'!$C:$C,"Renovación")</f>
        <v>0</v>
      </c>
      <c r="CD43" s="101">
        <f>A9_Z_L39*Planta_Z*Inflación_9</f>
        <v>0</v>
      </c>
      <c r="CE43" s="101">
        <f>SUMIFS('9'!$E:$E,'9'!$A:$A,Año_Inicial+8,'9'!$B:$B,'12'!CD$4,'9'!$C:$C,"Renovación")</f>
        <v>0</v>
      </c>
      <c r="CF43" s="101">
        <f>A9_Z_L40*Planta_Z*Inflación_9</f>
        <v>0</v>
      </c>
      <c r="CG43" s="101">
        <f>SUMIFS('9'!$E:$E,'9'!$A:$A,Año_Inicial+8,'9'!$B:$B,'12'!CF$4,'9'!$C:$C,"Renovación")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(Plantas_Z_A9*Planta_Z)*Inflación_9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Admin_2*Inflación_9</f>
        <v>0</v>
      </c>
      <c r="C44" s="101">
        <f>SUMIFS('9'!$E:$E,'9'!$A:$A,Año_Inicial+8,'9'!$C:$C,"Gastos_administrativos")</f>
        <v>0</v>
      </c>
      <c r="D44" s="100">
        <f t="shared" si="45"/>
        <v>0</v>
      </c>
      <c r="E44" s="473"/>
      <c r="F44" s="101">
        <f>($B44/$B47)*F47*Inflación_9</f>
        <v>0</v>
      </c>
      <c r="G44" s="101">
        <f>($C44/$B47)*F47</f>
        <v>0</v>
      </c>
      <c r="H44" s="101">
        <f>($B44/$B47)*H47*Inflación_9</f>
        <v>0</v>
      </c>
      <c r="I44" s="101">
        <f>($C44/$B47)*H47</f>
        <v>0</v>
      </c>
      <c r="J44" s="101">
        <f>($B44/$B47)*J47*Inflación_9</f>
        <v>0</v>
      </c>
      <c r="K44" s="101">
        <f>($C44/$B47)*J47</f>
        <v>0</v>
      </c>
      <c r="L44" s="101">
        <f>($B44/$B47)*L47*Inflación_9</f>
        <v>0</v>
      </c>
      <c r="M44" s="101">
        <f>($C44/$B47)*L47</f>
        <v>0</v>
      </c>
      <c r="N44" s="101">
        <f>($B44/$B47)*N47*Inflación_9</f>
        <v>0</v>
      </c>
      <c r="O44" s="101">
        <f>($C44/$B47)*N47</f>
        <v>0</v>
      </c>
      <c r="P44" s="101">
        <f>($B44/$B47)*P47*Inflación_9</f>
        <v>0</v>
      </c>
      <c r="Q44" s="101">
        <f>($C44/$B47)*P47</f>
        <v>0</v>
      </c>
      <c r="R44" s="101">
        <f>($B44/$B47)*R47*Inflación_9</f>
        <v>0</v>
      </c>
      <c r="S44" s="101">
        <f>($C44/$B47)*R47</f>
        <v>0</v>
      </c>
      <c r="T44" s="101">
        <f>($B44/$B47)*T47*Inflación_9</f>
        <v>0</v>
      </c>
      <c r="U44" s="101">
        <f>($C44/$B47)*T47</f>
        <v>0</v>
      </c>
      <c r="V44" s="101">
        <f>($B44/$B47)*V47*Inflación_9</f>
        <v>0</v>
      </c>
      <c r="W44" s="101">
        <f>($C44/$B47)*V47</f>
        <v>0</v>
      </c>
      <c r="X44" s="101">
        <f>($B44/$B47)*X47*Inflación_9</f>
        <v>0</v>
      </c>
      <c r="Y44" s="101">
        <f>($C44/$B47)*X47</f>
        <v>0</v>
      </c>
      <c r="Z44" s="101">
        <f>($B44/$B47)*Z47*Inflación_9</f>
        <v>0</v>
      </c>
      <c r="AA44" s="101">
        <f>($C44/$B47)*Z47</f>
        <v>0</v>
      </c>
      <c r="AB44" s="101">
        <f>($B44/$B47)*AB47*Inflación_9</f>
        <v>0</v>
      </c>
      <c r="AC44" s="101">
        <f>($C44/$B47)*AB47</f>
        <v>0</v>
      </c>
      <c r="AD44" s="101">
        <f>($B44/$B47)*AD47*Inflación_9</f>
        <v>0</v>
      </c>
      <c r="AE44" s="101">
        <f>($C44/$B47)*AD47</f>
        <v>0</v>
      </c>
      <c r="AF44" s="101">
        <f>($B44/$B47)*AF47*Inflación_9</f>
        <v>0</v>
      </c>
      <c r="AG44" s="101">
        <f>($C44/$B47)*AF47</f>
        <v>0</v>
      </c>
      <c r="AH44" s="101">
        <f>($B44/$B47)*AH47*Inflación_9</f>
        <v>0</v>
      </c>
      <c r="AI44" s="101">
        <f>($C44/$B47)*AH47</f>
        <v>0</v>
      </c>
      <c r="AJ44" s="101">
        <f>($B44/$B47)*AJ47*Inflación_9</f>
        <v>0</v>
      </c>
      <c r="AK44" s="101">
        <f>($C44/$B47)*AJ47</f>
        <v>0</v>
      </c>
      <c r="AL44" s="101">
        <f>($B44/$B47)*AL47*Inflación_9</f>
        <v>0</v>
      </c>
      <c r="AM44" s="101">
        <f>($C44/$B47)*AL47</f>
        <v>0</v>
      </c>
      <c r="AN44" s="101">
        <f>($B44/$B47)*AN47*Inflación_9</f>
        <v>0</v>
      </c>
      <c r="AO44" s="101">
        <f>($C44/$B47)*AN47</f>
        <v>0</v>
      </c>
      <c r="AP44" s="101">
        <f>($B44/$B47)*AP47*Inflación_9</f>
        <v>0</v>
      </c>
      <c r="AQ44" s="101">
        <f>($C44/$B47)*AP47</f>
        <v>0</v>
      </c>
      <c r="AR44" s="101">
        <f>($B44/$B47)*AR47*Inflación_9</f>
        <v>0</v>
      </c>
      <c r="AS44" s="101">
        <f>($C44/$B47)*AR47</f>
        <v>0</v>
      </c>
      <c r="AT44" s="101">
        <f>($B44/$B47)*AT47*Inflación_9</f>
        <v>0</v>
      </c>
      <c r="AU44" s="101">
        <f>($C44/$B47)*AT47</f>
        <v>0</v>
      </c>
      <c r="AV44" s="101">
        <f>($B44/$B47)*AV47*Inflación_9</f>
        <v>0</v>
      </c>
      <c r="AW44" s="101">
        <f>($C44/$B47)*AV47</f>
        <v>0</v>
      </c>
      <c r="AX44" s="101">
        <f>($B44/$B47)*AX47*Inflación_9</f>
        <v>0</v>
      </c>
      <c r="AY44" s="101">
        <f>($C44/$B47)*AX47</f>
        <v>0</v>
      </c>
      <c r="AZ44" s="101">
        <f>($B44/$B47)*AZ47*Inflación_9</f>
        <v>0</v>
      </c>
      <c r="BA44" s="101">
        <f>($C44/$B47)*AZ47</f>
        <v>0</v>
      </c>
      <c r="BB44" s="101">
        <f>($B44/$B47)*BB47*Inflación_9</f>
        <v>0</v>
      </c>
      <c r="BC44" s="101">
        <f>($C44/$B47)*BB47</f>
        <v>0</v>
      </c>
      <c r="BD44" s="101">
        <f>($B44/$B47)*BD47*Inflación_9</f>
        <v>0</v>
      </c>
      <c r="BE44" s="101">
        <f>($C44/$B47)*BD47</f>
        <v>0</v>
      </c>
      <c r="BF44" s="101">
        <f>($B44/$B47)*BF47*Inflación_9</f>
        <v>0</v>
      </c>
      <c r="BG44" s="101">
        <f>($C44/$B47)*BF47</f>
        <v>0</v>
      </c>
      <c r="BH44" s="101">
        <f>($B44/$B47)*BH47*Inflación_9</f>
        <v>0</v>
      </c>
      <c r="BI44" s="101">
        <f>($C44/$B47)*BH47</f>
        <v>0</v>
      </c>
      <c r="BJ44" s="101">
        <f>($B44/$B47)*BJ47*Inflación_9</f>
        <v>0</v>
      </c>
      <c r="BK44" s="101">
        <f>($C44/$B47)*BJ47</f>
        <v>0</v>
      </c>
      <c r="BL44" s="101">
        <f>($B44/$B47)*BL47*Inflación_9</f>
        <v>0</v>
      </c>
      <c r="BM44" s="101">
        <f>($C44/$B47)*BL47</f>
        <v>0</v>
      </c>
      <c r="BN44" s="101">
        <f>($B44/$B47)*BN47*Inflación_9</f>
        <v>0</v>
      </c>
      <c r="BO44" s="101">
        <f>($C44/$B47)*BN47</f>
        <v>0</v>
      </c>
      <c r="BP44" s="101">
        <f>($B44/$B47)*BP47*Inflación_9</f>
        <v>0</v>
      </c>
      <c r="BQ44" s="101">
        <f>($C44/$B47)*BP47</f>
        <v>0</v>
      </c>
      <c r="BR44" s="101">
        <f>($B44/$B47)*BR47*Inflación_9</f>
        <v>0</v>
      </c>
      <c r="BS44" s="101">
        <f>($C44/$B47)*BR47</f>
        <v>0</v>
      </c>
      <c r="BT44" s="101">
        <f>($B44/$B47)*BT47*Inflación_9</f>
        <v>0</v>
      </c>
      <c r="BU44" s="101">
        <f>($C44/$B47)*BT47</f>
        <v>0</v>
      </c>
      <c r="BV44" s="101">
        <f>($B44/$B47)*BV47*Inflación_9</f>
        <v>0</v>
      </c>
      <c r="BW44" s="101">
        <f>($C44/$B47)*BV47</f>
        <v>0</v>
      </c>
      <c r="BX44" s="101">
        <f>($B44/$B47)*BX47*Inflación_9</f>
        <v>0</v>
      </c>
      <c r="BY44" s="101">
        <f>($C44/$B47)*BX47</f>
        <v>0</v>
      </c>
      <c r="BZ44" s="101">
        <f>($B44/$B47)*BZ47*Inflación_9</f>
        <v>0</v>
      </c>
      <c r="CA44" s="101">
        <f>($C44/$B47)*BZ47</f>
        <v>0</v>
      </c>
      <c r="CB44" s="101">
        <f>($B44/$B47)*CB47*Inflación_9</f>
        <v>0</v>
      </c>
      <c r="CC44" s="101">
        <f>($C44/$B47)*CB47</f>
        <v>0</v>
      </c>
      <c r="CD44" s="101">
        <f>($B44/$B47)*CD47*Inflación_9</f>
        <v>0</v>
      </c>
      <c r="CE44" s="101">
        <f>($C44/$B47)*CD47</f>
        <v>0</v>
      </c>
      <c r="CF44" s="101">
        <f>($B44/$B47)*CF47*Inflación_9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A9_A_L1+A9_B_L1+A9_C_L1+A9_D_L1+A9_Y_L1+A9_Z_L1+A9_X_L1</f>
        <v>7000</v>
      </c>
      <c r="G47" s="479"/>
      <c r="H47" s="478">
        <f>A9_A_L2+A9_B_L2+A9_C_L2+A9_D_L2+A9_Y_L2+A9_Z_L2+A9_X_L2</f>
        <v>0</v>
      </c>
      <c r="I47" s="479"/>
      <c r="J47" s="478">
        <f>A9_A_L3+A9_B_L3+A9_C_L3+A9_D_L3+A9_Y_L3+A9_Z_L3+A9_X_L3</f>
        <v>0</v>
      </c>
      <c r="K47" s="479"/>
      <c r="L47" s="478">
        <f>A9_A_L4+A9_B_L4+A9_C_L4+A9_D_L4+A9_Y_L4+A9_Z_L4+A9_X_L4</f>
        <v>0</v>
      </c>
      <c r="M47" s="479"/>
      <c r="N47" s="478">
        <f>A9_A_L5+A9_B_L5+A9_C_L5+A9_D_L5+A9_Y_L5+A9_Z_L5+A9_X_L5</f>
        <v>0</v>
      </c>
      <c r="O47" s="479"/>
      <c r="P47" s="478">
        <f>A9_A_L6+A9_B_L6+A9_C_L6+A9_D_L6+A9_Y_L6+A9_Z_L6+A9_X_L6</f>
        <v>0</v>
      </c>
      <c r="Q47" s="479"/>
      <c r="R47" s="478">
        <f>A9_A_L7+A9_B_L7+A9_C_L7+A9_D_L7+A9_Y_L7+A9_Z_L7+A9_X_L7</f>
        <v>0</v>
      </c>
      <c r="S47" s="479"/>
      <c r="T47" s="478">
        <f>A9_A_L8+A9_B_L8+A9_C_L8+A9_D_L8+A9_Y_L8+A9_Z_L8+A9_X_L8</f>
        <v>0</v>
      </c>
      <c r="U47" s="479"/>
      <c r="V47" s="478">
        <f>A9_A_L9+A9_B_L9+A9_C_L9+A9_D_L9+A9_Y_L9+A9_Z_L9+A9_X_L9</f>
        <v>0</v>
      </c>
      <c r="W47" s="479"/>
      <c r="X47" s="478">
        <f>A9_A_L10+A9_B_L10+A9_C_L10+A9_D_L10+A9_Y_L10+A9_Z_L10+A9_X_L10</f>
        <v>0</v>
      </c>
      <c r="Y47" s="479"/>
      <c r="Z47" s="478">
        <f>A9_A_L11+A9_B_L11+A9_C_L11+A9_D_L11+A9_Y_L11+A9_Z_L11+A9_X_L11</f>
        <v>0</v>
      </c>
      <c r="AA47" s="479"/>
      <c r="AB47" s="478">
        <f>A9_A_L12+A9_B_L12+A9_C_L12+A9_D_L12+A9_Y_L12+A9_Z_L12+A9_X_L12</f>
        <v>0</v>
      </c>
      <c r="AC47" s="479"/>
      <c r="AD47" s="478">
        <f>A9_A_L13+A9_B_L13+A9_C_L13+A9_D_L13+A9_Y_L13+A9_Z_L13+A9_X_L13</f>
        <v>0</v>
      </c>
      <c r="AE47" s="479"/>
      <c r="AF47" s="478">
        <f>A9_A_L14+A9_B_L14+A9_C_L14+A9_D_L14+A9_Y_L14+A9_Z_L14+A9_X_L14</f>
        <v>0</v>
      </c>
      <c r="AG47" s="479"/>
      <c r="AH47" s="478">
        <f>A9_A_L15+A9_B_L15+A9_C_L15+A9_D_L15+A9_Y_L15+A9_Z_L15+A9_X_L15</f>
        <v>0</v>
      </c>
      <c r="AI47" s="479"/>
      <c r="AJ47" s="478">
        <f>A9_A_L16+A9_B_L16+A9_C_L16+A9_D_L16+A9_Y_L16+A9_Z_L16+A9_X_L16</f>
        <v>0</v>
      </c>
      <c r="AK47" s="479"/>
      <c r="AL47" s="478">
        <f>A9_A_L17+A9_B_L17+A9_C_L17+A9_D_L17+A9_Y_L17+A9_Z_L17+A9_X_L17</f>
        <v>0</v>
      </c>
      <c r="AM47" s="479"/>
      <c r="AN47" s="478">
        <f>A9_A_L18+A9_B_L18+A9_C_L18+A9_D_L18+A9_Y_L18+A9_Z_L18+A9_X_L18</f>
        <v>0</v>
      </c>
      <c r="AO47" s="479"/>
      <c r="AP47" s="478">
        <f>A9_A_L19+A9_B_L19+A9_C_L19+A9_D_L19+A9_Y_L19+A9_Z_L19+A9_X_L19</f>
        <v>0</v>
      </c>
      <c r="AQ47" s="479"/>
      <c r="AR47" s="478">
        <f>A9_A_L20+A9_B_L20+A9_C_L20+A9_D_L20+A9_Y_L20+A9_Z_L20+A9_X_L20</f>
        <v>0</v>
      </c>
      <c r="AS47" s="479"/>
      <c r="AT47" s="478">
        <f>A9_A_L21+A9_B_L21+A9_C_L21+A9_D_L21+A9_Y_L21+A9_Z_L21+A9_X_L21</f>
        <v>0</v>
      </c>
      <c r="AU47" s="479"/>
      <c r="AV47" s="478">
        <f>A9_A_L22+A9_B_L22+A9_C_L22+A9_D_L22+A9_Y_L22+A9_Z_L22+A9_X_L22</f>
        <v>0</v>
      </c>
      <c r="AW47" s="479"/>
      <c r="AX47" s="478">
        <f>A9_A_L23+A9_B_L23+A9_C_L23+A9_D_L23+A9_Y_L23+A9_Z_L23+A9_X_L23</f>
        <v>0</v>
      </c>
      <c r="AY47" s="479"/>
      <c r="AZ47" s="478">
        <f>A9_A_L24+A9_B_L24+A9_C_L24+A9_D_L24+A9_Y_L24+A9_Z_L24+A9_X_L24</f>
        <v>0</v>
      </c>
      <c r="BA47" s="479"/>
      <c r="BB47" s="478">
        <f>A9_A_L25+A9_B_L25+A9_C_L25+A9_D_L25+A9_Y_L25+A9_Z_L25+A9_X_L25</f>
        <v>0</v>
      </c>
      <c r="BC47" s="479"/>
      <c r="BD47" s="478">
        <f>A9_A_L26+A9_B_L26+A9_C_L26+A9_D_L26+A9_Y_L26+A9_Z_L26+A9_X_L26</f>
        <v>0</v>
      </c>
      <c r="BE47" s="479"/>
      <c r="BF47" s="478">
        <f>A9_A_L27+A9_B_L27+A9_C_L27+A9_D_L27+A9_Y_L27+A9_Z_L27+A9_X_L27</f>
        <v>0</v>
      </c>
      <c r="BG47" s="479"/>
      <c r="BH47" s="478">
        <f>A9_A_L28+A9_B_L28+A9_C_L28+A9_D_L28+A9_Y_L28+A9_Z_L28+A9_X_L28</f>
        <v>0</v>
      </c>
      <c r="BI47" s="479"/>
      <c r="BJ47" s="478">
        <f>A9_A_L29+A9_B_L29+A9_C_L29+A9_D_L29+A9_Y_L29+A9_Z_L29+A9_X_L29</f>
        <v>0</v>
      </c>
      <c r="BK47" s="479"/>
      <c r="BL47" s="478">
        <f>A9_A_L30+A9_B_L30+A9_C_L30+A9_D_L30+A9_Y_L30+A9_Z_L30+A9_X_L30</f>
        <v>0</v>
      </c>
      <c r="BM47" s="479"/>
      <c r="BN47" s="478">
        <f>A9_A_L31+A9_B_L31+A9_C_L31+A9_D_L31+A9_Y_L31+A9_Z_L31+A9_X_L31</f>
        <v>0</v>
      </c>
      <c r="BO47" s="479"/>
      <c r="BP47" s="478">
        <f>A9_A_L32+A9_B_L32+A9_C_L32+A9_D_L32+A9_Y_L32+A9_Z_L32+A9_X_L32</f>
        <v>0</v>
      </c>
      <c r="BQ47" s="479"/>
      <c r="BR47" s="478">
        <f>A9_A_L33+A9_B_L33+A9_C_L33+A9_D_L33+A9_Y_L33+A9_Z_L33+A9_X_L33</f>
        <v>0</v>
      </c>
      <c r="BS47" s="479"/>
      <c r="BT47" s="478">
        <f>A9_A_L34+A9_B_L34+A9_C_L34+A9_D_L34+A9_Y_L34+A9_Z_L34+A9_X_L34</f>
        <v>0</v>
      </c>
      <c r="BU47" s="479"/>
      <c r="BV47" s="478">
        <f>A9_A_L35+A9_B_L35+A9_C_L35+A9_D_L35+A9_Y_L35+A9_Z_L35+A9_X_L35</f>
        <v>0</v>
      </c>
      <c r="BW47" s="479"/>
      <c r="BX47" s="478">
        <f>A9_A_L36+A9_B_L36+A9_C_L36+A9_D_L36+A9_Y_L36+A9_Z_L36+A9_X_L36</f>
        <v>0</v>
      </c>
      <c r="BY47" s="479"/>
      <c r="BZ47" s="478">
        <f>A9_A_L37+A9_B_L37+A9_C_L37+A9_D_L37+A9_Y_L37+A9_Z_L37+A9_X_L37</f>
        <v>0</v>
      </c>
      <c r="CA47" s="479"/>
      <c r="CB47" s="478">
        <f>A9_A_L38+A9_B_L38+A9_C_L38+A9_D_L38+A9_Y_L38+A9_Z_L38+A9_X_L38</f>
        <v>0</v>
      </c>
      <c r="CC47" s="479"/>
      <c r="CD47" s="478">
        <f>A9_A_L39+A9_B_L39+A9_C_L39+A9_D_L39+A9_Y_L39+A9_Z_L39+A9_X_L39</f>
        <v>0</v>
      </c>
      <c r="CE47" s="479"/>
      <c r="CF47" s="478">
        <f>A9_A_L40+A9_B_L40+A9_C_L40+A9_D_L40+A9_Y_L40+A9_Z_L40+A9_X_L40</f>
        <v>0</v>
      </c>
      <c r="CG47" s="479"/>
      <c r="CH47" s="473"/>
      <c r="CI47" s="118">
        <f>Plantas_A_A9</f>
        <v>0</v>
      </c>
      <c r="CJ47" s="119">
        <f>Plantas_B_A9</f>
        <v>0</v>
      </c>
      <c r="CK47" s="119">
        <f>Plantas_C_A9</f>
        <v>0</v>
      </c>
      <c r="CL47" s="119">
        <f>Plantas_D_A9</f>
        <v>7000</v>
      </c>
      <c r="CM47" s="119">
        <f>Plantas_Z_A9</f>
        <v>0</v>
      </c>
      <c r="CN47" s="119">
        <f>Plantas_Y_A9</f>
        <v>0</v>
      </c>
      <c r="CO47" s="120">
        <f>Plantas_X_A9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mHpECVah7LxOphXv2k2Uv/FtQQSSdXSr7l/7/7Rlzgb8S3VlsaHMhU+dnzMRJNyhz0k1yKdzFCkWi8q50gb7Nw==" saltValue="PBKxYp7L8JahTzp5bMGp7w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AL4:AM4"/>
    <mergeCell ref="AN4:AO4"/>
    <mergeCell ref="AP4:AQ4"/>
    <mergeCell ref="AR4:AS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J4:K4"/>
    <mergeCell ref="B4:D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J4:AK4"/>
    <mergeCell ref="A50:C50"/>
    <mergeCell ref="A2:D2"/>
    <mergeCell ref="E4:E49"/>
    <mergeCell ref="F4:G4"/>
    <mergeCell ref="H4:I4"/>
  </mergeCells>
  <hyperlinks>
    <hyperlink ref="CH1" location="Inicio!A15" display="Regresar" xr:uid="{E3C72F75-D7A1-4058-9F01-0CB014E46D43}"/>
    <hyperlink ref="A1" location="Inicio!A17" display="Regresar" xr:uid="{1D50A2F4-073D-4B26-91D1-5AF783C8E719}"/>
    <hyperlink ref="A1:CO1" location="Inicio!A17" display="Regresar" xr:uid="{12A55F91-EE40-45DA-ACFE-1076DB6EFA47}"/>
  </hyperlinks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878761-3D4F-4186-846A-A566AF675194}">
  <sheetPr codeName="Hoja22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collapsed="1"/>
    <col min="95" max="16384" width="11" style="131"/>
  </cols>
  <sheetData>
    <row r="1" spans="1:93" s="59" customFormat="1" ht="33.950000000000003" customHeight="1" thickBot="1" x14ac:dyDescent="0.3">
      <c r="A1" s="319" t="s">
        <v>21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19"/>
      <c r="AN1" s="319"/>
      <c r="AO1" s="319"/>
      <c r="AP1" s="319"/>
      <c r="AQ1" s="319"/>
      <c r="AR1" s="319"/>
      <c r="AS1" s="319"/>
      <c r="AT1" s="319"/>
      <c r="AU1" s="319"/>
      <c r="AV1" s="319"/>
      <c r="AW1" s="319"/>
      <c r="AX1" s="319"/>
      <c r="AY1" s="319"/>
      <c r="AZ1" s="319"/>
      <c r="BA1" s="319"/>
      <c r="BB1" s="319"/>
      <c r="BC1" s="319"/>
      <c r="BD1" s="319"/>
      <c r="BE1" s="319"/>
      <c r="BF1" s="319"/>
      <c r="BG1" s="319"/>
      <c r="BH1" s="319"/>
      <c r="BI1" s="319"/>
      <c r="BJ1" s="319"/>
      <c r="BK1" s="319"/>
      <c r="BL1" s="319"/>
      <c r="BM1" s="319"/>
      <c r="BN1" s="319"/>
      <c r="BO1" s="319"/>
      <c r="BP1" s="319"/>
      <c r="BQ1" s="319"/>
      <c r="BR1" s="319"/>
      <c r="BS1" s="319"/>
      <c r="BT1" s="319"/>
      <c r="BU1" s="319"/>
      <c r="BV1" s="319"/>
      <c r="BW1" s="319"/>
      <c r="BX1" s="319"/>
      <c r="BY1" s="319"/>
      <c r="BZ1" s="319"/>
      <c r="CA1" s="319"/>
      <c r="CB1" s="319"/>
      <c r="CC1" s="319"/>
      <c r="CD1" s="319"/>
      <c r="CE1" s="319"/>
      <c r="CF1" s="319"/>
      <c r="CG1" s="319"/>
      <c r="CH1" s="319"/>
      <c r="CI1" s="319"/>
      <c r="CJ1" s="319"/>
      <c r="CK1" s="319"/>
      <c r="CL1" s="319"/>
      <c r="CM1" s="319"/>
      <c r="CN1" s="319"/>
      <c r="CO1" s="319"/>
    </row>
    <row r="2" spans="1:93" s="59" customFormat="1" ht="50.1" customHeight="1" thickBot="1" x14ac:dyDescent="0.3">
      <c r="A2" s="480" t="str">
        <f>CONCATENATE("Planificación financiera ",Up," | Presupuesto y ejecución ",Año_Inicial+9)</f>
        <v>Planificación financiera  | Presupuesto y ejecución 2032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86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492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P_A10_L1</f>
        <v>0</v>
      </c>
      <c r="G7" s="96" t="e">
        <f>G40/CUI_Corte</f>
        <v>#DIV/0!</v>
      </c>
      <c r="H7" s="97">
        <f>P_A10_L2</f>
        <v>0</v>
      </c>
      <c r="I7" s="96" t="e">
        <f>I40/CUI_Corte</f>
        <v>#DIV/0!</v>
      </c>
      <c r="J7" s="97">
        <f>P_A10_L3</f>
        <v>0</v>
      </c>
      <c r="K7" s="96" t="e">
        <f>K40/CUI_Corte</f>
        <v>#DIV/0!</v>
      </c>
      <c r="L7" s="97">
        <f>P_A10_L4</f>
        <v>0</v>
      </c>
      <c r="M7" s="96" t="e">
        <f>M40/CUI_Corte</f>
        <v>#DIV/0!</v>
      </c>
      <c r="N7" s="97">
        <f>P_A10_L5</f>
        <v>0</v>
      </c>
      <c r="O7" s="96" t="e">
        <f>O40/CUI_Corte</f>
        <v>#DIV/0!</v>
      </c>
      <c r="P7" s="97">
        <f>P_A10_L6</f>
        <v>0</v>
      </c>
      <c r="Q7" s="96" t="e">
        <f>Q40/CUI_Corte</f>
        <v>#DIV/0!</v>
      </c>
      <c r="R7" s="97">
        <f>P_A10_L7</f>
        <v>0</v>
      </c>
      <c r="S7" s="96" t="e">
        <f>S40/CUI_Corte</f>
        <v>#DIV/0!</v>
      </c>
      <c r="T7" s="97">
        <f>P_A10_L8</f>
        <v>0</v>
      </c>
      <c r="U7" s="96" t="e">
        <f>U40/CUI_Corte</f>
        <v>#DIV/0!</v>
      </c>
      <c r="V7" s="97">
        <f>P_A10_L9</f>
        <v>0</v>
      </c>
      <c r="W7" s="96" t="e">
        <f>W40/CUI_Corte</f>
        <v>#DIV/0!</v>
      </c>
      <c r="X7" s="97">
        <f>P_A10_L10</f>
        <v>0</v>
      </c>
      <c r="Y7" s="96" t="e">
        <f>Y40/CUI_Corte</f>
        <v>#DIV/0!</v>
      </c>
      <c r="Z7" s="97">
        <f>P_A10_L11</f>
        <v>0</v>
      </c>
      <c r="AA7" s="96" t="e">
        <f>AA40/CUI_Corte</f>
        <v>#DIV/0!</v>
      </c>
      <c r="AB7" s="97">
        <f>P_A10_L12</f>
        <v>0</v>
      </c>
      <c r="AC7" s="96" t="e">
        <f>AC40/CUI_Corte</f>
        <v>#DIV/0!</v>
      </c>
      <c r="AD7" s="97">
        <f>P_A10_L13</f>
        <v>0</v>
      </c>
      <c r="AE7" s="96" t="e">
        <f>AE40/CUI_Corte</f>
        <v>#DIV/0!</v>
      </c>
      <c r="AF7" s="97">
        <f>P_A10_L14</f>
        <v>0</v>
      </c>
      <c r="AG7" s="96" t="e">
        <f>AG40/CUI_Corte</f>
        <v>#DIV/0!</v>
      </c>
      <c r="AH7" s="97">
        <f>P_A10_L15</f>
        <v>0</v>
      </c>
      <c r="AI7" s="96" t="e">
        <f>AI40/CUI_Corte</f>
        <v>#DIV/0!</v>
      </c>
      <c r="AJ7" s="97">
        <f>P_A10_L16</f>
        <v>0</v>
      </c>
      <c r="AK7" s="96" t="e">
        <f>AK40/CUI_Corte</f>
        <v>#DIV/0!</v>
      </c>
      <c r="AL7" s="97">
        <f>P_A10_L17</f>
        <v>0</v>
      </c>
      <c r="AM7" s="96" t="e">
        <f>AM40/CUI_Corte</f>
        <v>#DIV/0!</v>
      </c>
      <c r="AN7" s="97">
        <f>P_A10_L18</f>
        <v>0</v>
      </c>
      <c r="AO7" s="96" t="e">
        <f>AO40/CUI_Corte</f>
        <v>#DIV/0!</v>
      </c>
      <c r="AP7" s="97">
        <f>P_A10_L19</f>
        <v>0</v>
      </c>
      <c r="AQ7" s="96" t="e">
        <f>AQ40/CUI_Corte</f>
        <v>#DIV/0!</v>
      </c>
      <c r="AR7" s="97">
        <f>P_A10_L20</f>
        <v>0</v>
      </c>
      <c r="AS7" s="96" t="e">
        <f>AS40/CUI_Corte</f>
        <v>#DIV/0!</v>
      </c>
      <c r="AT7" s="97">
        <f>P_A10_L21</f>
        <v>0</v>
      </c>
      <c r="AU7" s="96" t="e">
        <f>AU40/CUI_Corte</f>
        <v>#DIV/0!</v>
      </c>
      <c r="AV7" s="97">
        <f>P_A10_L22</f>
        <v>0</v>
      </c>
      <c r="AW7" s="96" t="e">
        <f>AW40/CUI_Corte</f>
        <v>#DIV/0!</v>
      </c>
      <c r="AX7" s="97">
        <f>P_A10_L23</f>
        <v>0</v>
      </c>
      <c r="AY7" s="96" t="e">
        <f>AY40/CUI_Corte</f>
        <v>#DIV/0!</v>
      </c>
      <c r="AZ7" s="97">
        <f>P_A10_L24</f>
        <v>0</v>
      </c>
      <c r="BA7" s="96" t="e">
        <f>BA40/CUI_Corte</f>
        <v>#DIV/0!</v>
      </c>
      <c r="BB7" s="97">
        <f>P_A10_L25</f>
        <v>0</v>
      </c>
      <c r="BC7" s="96" t="e">
        <f>BC40/CUI_Corte</f>
        <v>#DIV/0!</v>
      </c>
      <c r="BD7" s="97">
        <f>P_A10_L26</f>
        <v>0</v>
      </c>
      <c r="BE7" s="96" t="e">
        <f>BE40/CUI_Corte</f>
        <v>#DIV/0!</v>
      </c>
      <c r="BF7" s="97">
        <f>P_A10_L27</f>
        <v>0</v>
      </c>
      <c r="BG7" s="96" t="e">
        <f>BG40/CUI_Corte</f>
        <v>#DIV/0!</v>
      </c>
      <c r="BH7" s="97">
        <f>P_A10_L28</f>
        <v>0</v>
      </c>
      <c r="BI7" s="96" t="e">
        <f>BI40/CUI_Corte</f>
        <v>#DIV/0!</v>
      </c>
      <c r="BJ7" s="97">
        <f>P_A10_L29</f>
        <v>0</v>
      </c>
      <c r="BK7" s="96" t="e">
        <f>BK40/CUI_Corte</f>
        <v>#DIV/0!</v>
      </c>
      <c r="BL7" s="97">
        <f>P_A10_L30</f>
        <v>0</v>
      </c>
      <c r="BM7" s="96" t="e">
        <f>BM40/CUI_Corte</f>
        <v>#DIV/0!</v>
      </c>
      <c r="BN7" s="97">
        <f>P_A10_L31</f>
        <v>0</v>
      </c>
      <c r="BO7" s="96" t="e">
        <f>BO40/CUI_Corte</f>
        <v>#DIV/0!</v>
      </c>
      <c r="BP7" s="97">
        <f>P_A10_L32</f>
        <v>0</v>
      </c>
      <c r="BQ7" s="96" t="e">
        <f>BQ40/CUI_Corte</f>
        <v>#DIV/0!</v>
      </c>
      <c r="BR7" s="97">
        <f>P_A10_L33</f>
        <v>0</v>
      </c>
      <c r="BS7" s="96" t="e">
        <f>BS40/CUI_Corte</f>
        <v>#DIV/0!</v>
      </c>
      <c r="BT7" s="97">
        <f>P_A10_L34</f>
        <v>0</v>
      </c>
      <c r="BU7" s="96" t="e">
        <f>BU40/CUI_Corte</f>
        <v>#DIV/0!</v>
      </c>
      <c r="BV7" s="97">
        <f>P_A10_L35</f>
        <v>0</v>
      </c>
      <c r="BW7" s="96" t="e">
        <f>BW40/CUI_Corte</f>
        <v>#DIV/0!</v>
      </c>
      <c r="BX7" s="97">
        <f>P_A10_L36</f>
        <v>0</v>
      </c>
      <c r="BY7" s="96" t="e">
        <f>BY40/CUI_Corte</f>
        <v>#DIV/0!</v>
      </c>
      <c r="BZ7" s="97">
        <f>P_A10_L37</f>
        <v>0</v>
      </c>
      <c r="CA7" s="96" t="e">
        <f>CA40/CUI_Corte</f>
        <v>#DIV/0!</v>
      </c>
      <c r="CB7" s="97">
        <f>P_A10_L38</f>
        <v>0</v>
      </c>
      <c r="CC7" s="96" t="e">
        <f>CC40/CUI_Corte</f>
        <v>#DIV/0!</v>
      </c>
      <c r="CD7" s="97">
        <f>P_A10_L39</f>
        <v>0</v>
      </c>
      <c r="CE7" s="96" t="e">
        <f>CE40/CUI_Corte</f>
        <v>#DIV/0!</v>
      </c>
      <c r="CF7" s="97">
        <f>P_A10_L40</f>
        <v>0</v>
      </c>
      <c r="CG7" s="96" t="e">
        <f>CG40/CUI_Corte</f>
        <v>#DIV/0!</v>
      </c>
      <c r="CH7" s="473"/>
      <c r="CI7" s="96">
        <f>(IF(Diseño="Bloque",Bloque_A10_A,Surco_A10_A)/100)</f>
        <v>0</v>
      </c>
      <c r="CJ7" s="96">
        <f>(IF(Diseño="Bloque",Bloque_A10_B,Surco_A10_B)/100)</f>
        <v>0</v>
      </c>
      <c r="CK7" s="96">
        <f>(IF(Diseño="Bloque",Bloque_A10_C,Surco_A10_C)/100)</f>
        <v>0</v>
      </c>
      <c r="CL7" s="96">
        <f>(IF(Diseño="Bloque",Bloque_A10_D,Surco_A10_D)/100)</f>
        <v>0</v>
      </c>
      <c r="CM7" s="96"/>
      <c r="CN7" s="96">
        <f>(IF(Diseño="Bloque",Bloque_A10_Y,Surco_A10_Y)/100)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",Precio_A10,".00")</f>
        <v>Ventas de café de primera:  0% | Q. .00</v>
      </c>
      <c r="B8" s="100">
        <f>B7*P_Primera*Precio_A10*Inflación_10</f>
        <v>0</v>
      </c>
      <c r="C8" s="100" t="e">
        <f>C7*P_Primera*Precio_A10</f>
        <v>#DIV/0!</v>
      </c>
      <c r="D8" s="100" t="e">
        <f>C8-B8</f>
        <v>#DIV/0!</v>
      </c>
      <c r="E8" s="475"/>
      <c r="F8" s="101">
        <f>P_A10_L1*P_Primera*Precio_A10*Inflación_10</f>
        <v>0</v>
      </c>
      <c r="G8" s="100" t="e">
        <f>G7*P_Primera*Precio_A10</f>
        <v>#DIV/0!</v>
      </c>
      <c r="H8" s="101">
        <f>P_A10_L2*P_Primera*Precio_A10*Inflación_10</f>
        <v>0</v>
      </c>
      <c r="I8" s="100" t="e">
        <f>I7*P_Primera*Precio_A10</f>
        <v>#DIV/0!</v>
      </c>
      <c r="J8" s="101">
        <f>P_A10_L3*P_Primera*Precio_A10*Inflación_10</f>
        <v>0</v>
      </c>
      <c r="K8" s="100" t="e">
        <f>K7*P_Primera*Precio_A10</f>
        <v>#DIV/0!</v>
      </c>
      <c r="L8" s="101">
        <f>P_A10_L4*P_Primera*Precio_A10*Inflación_10</f>
        <v>0</v>
      </c>
      <c r="M8" s="100" t="e">
        <f>M7*P_Primera*Precio_A10</f>
        <v>#DIV/0!</v>
      </c>
      <c r="N8" s="101">
        <f>P_A10_L5*P_Primera*Precio_A10*Inflación_10</f>
        <v>0</v>
      </c>
      <c r="O8" s="100" t="e">
        <f>O7*P_Primera*Precio_A10</f>
        <v>#DIV/0!</v>
      </c>
      <c r="P8" s="101">
        <f>P_A10_L6*P_Primera*Precio_A10*Inflación_10</f>
        <v>0</v>
      </c>
      <c r="Q8" s="100" t="e">
        <f>Q7*P_Primera*Precio_A10</f>
        <v>#DIV/0!</v>
      </c>
      <c r="R8" s="101">
        <f>P_A10_L7*P_Primera*Precio_A10*Inflación_10</f>
        <v>0</v>
      </c>
      <c r="S8" s="100" t="e">
        <f>S7*P_Primera*Precio_A10</f>
        <v>#DIV/0!</v>
      </c>
      <c r="T8" s="101">
        <f>P_A10_L8*P_Primera*Precio_A10*Inflación_10</f>
        <v>0</v>
      </c>
      <c r="U8" s="100" t="e">
        <f>U7*P_Primera*Precio_A10</f>
        <v>#DIV/0!</v>
      </c>
      <c r="V8" s="101">
        <f>P_A10_L9*P_Primera*Precio_A10*Inflación_10</f>
        <v>0</v>
      </c>
      <c r="W8" s="100" t="e">
        <f>W7*P_Primera*Precio_A10</f>
        <v>#DIV/0!</v>
      </c>
      <c r="X8" s="101">
        <f>P_A10_L10*P_Primera*Precio_A10*Inflación_10</f>
        <v>0</v>
      </c>
      <c r="Y8" s="100" t="e">
        <f>Y7*P_Primera*Precio_A10</f>
        <v>#DIV/0!</v>
      </c>
      <c r="Z8" s="101">
        <f>P_A10_L11*P_Primera*Precio_A10*Inflación_10</f>
        <v>0</v>
      </c>
      <c r="AA8" s="100" t="e">
        <f>AA7*P_Primera*Precio_A10</f>
        <v>#DIV/0!</v>
      </c>
      <c r="AB8" s="101">
        <f>P_A10_L12*P_Primera*Precio_A10*Inflación_10</f>
        <v>0</v>
      </c>
      <c r="AC8" s="100" t="e">
        <f>AC7*P_Primera*Precio_A10</f>
        <v>#DIV/0!</v>
      </c>
      <c r="AD8" s="101">
        <f>P_A10_L13*P_Primera*Precio_A10*Inflación_10</f>
        <v>0</v>
      </c>
      <c r="AE8" s="100" t="e">
        <f>AE7*P_Primera*Precio_A10</f>
        <v>#DIV/0!</v>
      </c>
      <c r="AF8" s="101">
        <f>P_A10_L14*P_Primera*Precio_A10*Inflación_10</f>
        <v>0</v>
      </c>
      <c r="AG8" s="100" t="e">
        <f>AG7*P_Primera*Precio_A10</f>
        <v>#DIV/0!</v>
      </c>
      <c r="AH8" s="101">
        <f>P_A10_L15*P_Primera*Precio_A10*Inflación_10</f>
        <v>0</v>
      </c>
      <c r="AI8" s="100" t="e">
        <f>AI7*P_Primera*Precio_A10</f>
        <v>#DIV/0!</v>
      </c>
      <c r="AJ8" s="101">
        <f>P_A10_L16*P_Primera*Precio_A10*Inflación_10</f>
        <v>0</v>
      </c>
      <c r="AK8" s="100" t="e">
        <f>AK7*P_Primera*Precio_A10</f>
        <v>#DIV/0!</v>
      </c>
      <c r="AL8" s="101">
        <f>P_A10_L17*P_Primera*Precio_A10*Inflación_10</f>
        <v>0</v>
      </c>
      <c r="AM8" s="100" t="e">
        <f>AM7*P_Primera*Precio_A10</f>
        <v>#DIV/0!</v>
      </c>
      <c r="AN8" s="101">
        <f>P_A10_L18*P_Primera*Precio_A10*Inflación_10</f>
        <v>0</v>
      </c>
      <c r="AO8" s="100" t="e">
        <f>AO7*P_Primera*Precio_A10</f>
        <v>#DIV/0!</v>
      </c>
      <c r="AP8" s="101">
        <f>P_A10_L19*P_Primera*Precio_A10*Inflación_10</f>
        <v>0</v>
      </c>
      <c r="AQ8" s="100" t="e">
        <f>AQ7*P_Primera*Precio_A10</f>
        <v>#DIV/0!</v>
      </c>
      <c r="AR8" s="101">
        <f>P_A10_L20*P_Primera*Precio_A10*Inflación_10</f>
        <v>0</v>
      </c>
      <c r="AS8" s="100" t="e">
        <f>AS7*P_Primera*Precio_A10</f>
        <v>#DIV/0!</v>
      </c>
      <c r="AT8" s="101">
        <f>P_A10_L21*P_Primera*Precio_A10*Inflación_10</f>
        <v>0</v>
      </c>
      <c r="AU8" s="100" t="e">
        <f>AU7*P_Primera*Precio_A10</f>
        <v>#DIV/0!</v>
      </c>
      <c r="AV8" s="101">
        <f>P_A10_L22*P_Primera*Precio_A10*Inflación_10</f>
        <v>0</v>
      </c>
      <c r="AW8" s="100" t="e">
        <f>AW7*P_Primera*Precio_A10</f>
        <v>#DIV/0!</v>
      </c>
      <c r="AX8" s="101">
        <f>P_A10_L23*P_Primera*Precio_A10*Inflación_10</f>
        <v>0</v>
      </c>
      <c r="AY8" s="100" t="e">
        <f>AY7*P_Primera*Precio_A10</f>
        <v>#DIV/0!</v>
      </c>
      <c r="AZ8" s="101">
        <f>P_A10_L24*P_Primera*Precio_A10*Inflación_10</f>
        <v>0</v>
      </c>
      <c r="BA8" s="100" t="e">
        <f>BA7*P_Primera*Precio_A10</f>
        <v>#DIV/0!</v>
      </c>
      <c r="BB8" s="101">
        <f>P_A10_L25*P_Primera*Precio_A10*Inflación_10</f>
        <v>0</v>
      </c>
      <c r="BC8" s="100" t="e">
        <f>BC7*P_Primera*Precio_A10</f>
        <v>#DIV/0!</v>
      </c>
      <c r="BD8" s="101">
        <f>P_A10_L26*P_Primera*Precio_A10*Inflación_10</f>
        <v>0</v>
      </c>
      <c r="BE8" s="100" t="e">
        <f>BE7*P_Primera*Precio_A10</f>
        <v>#DIV/0!</v>
      </c>
      <c r="BF8" s="101">
        <f>P_A10_L27*P_Primera*Precio_A10*Inflación_10</f>
        <v>0</v>
      </c>
      <c r="BG8" s="100" t="e">
        <f>BG7*P_Primera*Precio_A10</f>
        <v>#DIV/0!</v>
      </c>
      <c r="BH8" s="101">
        <f>P_A10_L28*P_Primera*Precio_A10*Inflación_10</f>
        <v>0</v>
      </c>
      <c r="BI8" s="100" t="e">
        <f>BI7*P_Primera*Precio_A10</f>
        <v>#DIV/0!</v>
      </c>
      <c r="BJ8" s="101">
        <f>P_A10_L29*P_Primera*Precio_A10*Inflación_10</f>
        <v>0</v>
      </c>
      <c r="BK8" s="100" t="e">
        <f>BK7*P_Primera*Precio_A10</f>
        <v>#DIV/0!</v>
      </c>
      <c r="BL8" s="101">
        <f>P_A10_L30*P_Primera*Precio_A10*Inflación_10</f>
        <v>0</v>
      </c>
      <c r="BM8" s="100" t="e">
        <f>BM7*P_Primera*Precio_A10</f>
        <v>#DIV/0!</v>
      </c>
      <c r="BN8" s="101">
        <f>P_A10_L31*P_Primera*Precio_A10*Inflación_10</f>
        <v>0</v>
      </c>
      <c r="BO8" s="100" t="e">
        <f>BO7*P_Primera*Precio_A10</f>
        <v>#DIV/0!</v>
      </c>
      <c r="BP8" s="101">
        <f>P_A10_L32*P_Primera*Precio_A10*Inflación_10</f>
        <v>0</v>
      </c>
      <c r="BQ8" s="100" t="e">
        <f>BQ7*P_Primera*Precio_A10</f>
        <v>#DIV/0!</v>
      </c>
      <c r="BR8" s="101">
        <f>P_A10_L33*P_Primera*Precio_A10*Inflación_10</f>
        <v>0</v>
      </c>
      <c r="BS8" s="100" t="e">
        <f>BS7*P_Primera*Precio_A10</f>
        <v>#DIV/0!</v>
      </c>
      <c r="BT8" s="101">
        <f>P_A10_L34*P_Primera*Precio_A10*Inflación_10</f>
        <v>0</v>
      </c>
      <c r="BU8" s="100" t="e">
        <f>BU7*P_Primera*Precio_A10</f>
        <v>#DIV/0!</v>
      </c>
      <c r="BV8" s="101">
        <f>P_A10_L35*P_Primera*Precio_A10*Inflación_10</f>
        <v>0</v>
      </c>
      <c r="BW8" s="100" t="e">
        <f>BW7*P_Primera*Precio_A10</f>
        <v>#DIV/0!</v>
      </c>
      <c r="BX8" s="101">
        <f>P_A10_L36*P_Primera*Precio_A10*Inflación_10</f>
        <v>0</v>
      </c>
      <c r="BY8" s="100" t="e">
        <f>BY7*P_Primera*Precio_A10</f>
        <v>#DIV/0!</v>
      </c>
      <c r="BZ8" s="101">
        <f>P_A10_L37*P_Primera*Precio_A10*Inflación_10</f>
        <v>0</v>
      </c>
      <c r="CA8" s="100" t="e">
        <f>CA7*P_Primera*Precio_A10</f>
        <v>#DIV/0!</v>
      </c>
      <c r="CB8" s="101">
        <f>P_A10_L38*P_Primera*Precio_A10*Inflación_10</f>
        <v>0</v>
      </c>
      <c r="CC8" s="100" t="e">
        <f>CC7*P_Primera*Precio_A10</f>
        <v>#DIV/0!</v>
      </c>
      <c r="CD8" s="101">
        <f>P_A10_L39*P_Primera*Precio_A10*Inflación_10</f>
        <v>0</v>
      </c>
      <c r="CE8" s="100" t="e">
        <f>CE7*P_Primera*Precio_A10</f>
        <v>#DIV/0!</v>
      </c>
      <c r="CF8" s="101">
        <f>P_A10_L40*P_Primera*Precio_A10*Inflación_10</f>
        <v>0</v>
      </c>
      <c r="CG8" s="100" t="e">
        <f>CG7*P_Primera*Precio_A10</f>
        <v>#DIV/0!</v>
      </c>
      <c r="CH8" s="473"/>
      <c r="CI8" s="101">
        <f>CI7*P_Primera*Precio_A10*Inflación_10</f>
        <v>0</v>
      </c>
      <c r="CJ8" s="101">
        <f>CJ7*P_Primera*Precio_A10*Inflación_10</f>
        <v>0</v>
      </c>
      <c r="CK8" s="101">
        <f>CK7*P_Primera*Precio_A10*Inflación_10</f>
        <v>0</v>
      </c>
      <c r="CL8" s="101">
        <f>CL7*P_Primera*Precio_A10*Inflación_10</f>
        <v>0</v>
      </c>
      <c r="CM8" s="101"/>
      <c r="CN8" s="101">
        <f>CN7*P_Primera*Precio_A10*Inflación_10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B7*P_Segunda*Segunda*Inflación_10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P_A10_L1*P_Segunda*Segunda*Inflación_10</f>
        <v>0</v>
      </c>
      <c r="G9" s="100" t="e">
        <f t="shared" ref="G9" si="2">G7*P_Segunda*Segunda</f>
        <v>#DIV/0!</v>
      </c>
      <c r="H9" s="101">
        <f>P_A10_L2*P_Segunda*Segunda*Inflación_10</f>
        <v>0</v>
      </c>
      <c r="I9" s="100" t="e">
        <f>I7*P_Segunda*Segunda</f>
        <v>#DIV/0!</v>
      </c>
      <c r="J9" s="101">
        <f>P_A10_L3*P_Segunda*Segunda*Inflación_10</f>
        <v>0</v>
      </c>
      <c r="K9" s="100" t="e">
        <f t="shared" ref="K9" si="3">K7*P_Segunda*Segunda</f>
        <v>#DIV/0!</v>
      </c>
      <c r="L9" s="101">
        <f>P_A10_L4*P_Segunda*Segunda*Inflación_10</f>
        <v>0</v>
      </c>
      <c r="M9" s="100" t="e">
        <f>M7*P_Segunda*Segunda</f>
        <v>#DIV/0!</v>
      </c>
      <c r="N9" s="101">
        <f>P_A10_L5*P_Segunda*Segunda*Inflación_10</f>
        <v>0</v>
      </c>
      <c r="O9" s="100" t="e">
        <f t="shared" ref="O9:Q9" si="4">O7*P_Segunda*Segunda</f>
        <v>#DIV/0!</v>
      </c>
      <c r="P9" s="101">
        <f>P_A10_L6*P_Segunda*Segunda*Inflación_10</f>
        <v>0</v>
      </c>
      <c r="Q9" s="100" t="e">
        <f t="shared" si="4"/>
        <v>#DIV/0!</v>
      </c>
      <c r="R9" s="101">
        <f>P_A10_L7*P_Segunda*Segunda*Inflación_10</f>
        <v>0</v>
      </c>
      <c r="S9" s="100" t="e">
        <f t="shared" ref="S9:U9" si="5">S7*P_Segunda*Segunda</f>
        <v>#DIV/0!</v>
      </c>
      <c r="T9" s="101">
        <f>P_A10_L8*P_Segunda*Segunda*Inflación_10</f>
        <v>0</v>
      </c>
      <c r="U9" s="100" t="e">
        <f t="shared" si="5"/>
        <v>#DIV/0!</v>
      </c>
      <c r="V9" s="101">
        <f>P_A10_L9*P_Segunda*Segunda*Inflación_10</f>
        <v>0</v>
      </c>
      <c r="W9" s="100" t="e">
        <f t="shared" ref="W9:Y9" si="6">W7*P_Segunda*Segunda</f>
        <v>#DIV/0!</v>
      </c>
      <c r="X9" s="101">
        <f>P_A10_L10*P_Segunda*Segunda*Inflación_10</f>
        <v>0</v>
      </c>
      <c r="Y9" s="100" t="e">
        <f t="shared" si="6"/>
        <v>#DIV/0!</v>
      </c>
      <c r="Z9" s="101">
        <f>P_A10_L11*P_Segunda*Segunda*Inflación_10</f>
        <v>0</v>
      </c>
      <c r="AA9" s="100" t="e">
        <f t="shared" ref="AA9:AC9" si="7">AA7*P_Segunda*Segunda</f>
        <v>#DIV/0!</v>
      </c>
      <c r="AB9" s="101">
        <f>P_A10_L12*P_Segunda*Segunda*Inflación_10</f>
        <v>0</v>
      </c>
      <c r="AC9" s="100" t="e">
        <f t="shared" si="7"/>
        <v>#DIV/0!</v>
      </c>
      <c r="AD9" s="101">
        <f>P_A10_L13*P_Segunda*Segunda*Inflación_10</f>
        <v>0</v>
      </c>
      <c r="AE9" s="100" t="e">
        <f t="shared" ref="AE9:AG9" si="8">AE7*P_Segunda*Segunda</f>
        <v>#DIV/0!</v>
      </c>
      <c r="AF9" s="101">
        <f>P_A10_L14*P_Segunda*Segunda*Inflación_10</f>
        <v>0</v>
      </c>
      <c r="AG9" s="100" t="e">
        <f t="shared" si="8"/>
        <v>#DIV/0!</v>
      </c>
      <c r="AH9" s="101">
        <f>P_A10_L15*P_Segunda*Segunda*Inflación_10</f>
        <v>0</v>
      </c>
      <c r="AI9" s="100" t="e">
        <f t="shared" ref="AI9:AK9" si="9">AI7*P_Segunda*Segunda</f>
        <v>#DIV/0!</v>
      </c>
      <c r="AJ9" s="101">
        <f>P_A10_L16*P_Segunda*Segunda*Inflación_10</f>
        <v>0</v>
      </c>
      <c r="AK9" s="100" t="e">
        <f t="shared" si="9"/>
        <v>#DIV/0!</v>
      </c>
      <c r="AL9" s="101">
        <f>P_A10_L17*P_Segunda*Segunda*Inflación_10</f>
        <v>0</v>
      </c>
      <c r="AM9" s="100" t="e">
        <f t="shared" ref="AM9:AO9" si="10">AM7*P_Segunda*Segunda</f>
        <v>#DIV/0!</v>
      </c>
      <c r="AN9" s="101">
        <f>P_A10_L18*P_Segunda*Segunda*Inflación_10</f>
        <v>0</v>
      </c>
      <c r="AO9" s="100" t="e">
        <f t="shared" si="10"/>
        <v>#DIV/0!</v>
      </c>
      <c r="AP9" s="101">
        <f>P_A10_L19*P_Segunda*Segunda*Inflación_10</f>
        <v>0</v>
      </c>
      <c r="AQ9" s="100" t="e">
        <f t="shared" ref="AQ9:AS9" si="11">AQ7*P_Segunda*Segunda</f>
        <v>#DIV/0!</v>
      </c>
      <c r="AR9" s="101">
        <f>P_A10_L20*P_Segunda*Segunda*Inflación_10</f>
        <v>0</v>
      </c>
      <c r="AS9" s="100" t="e">
        <f t="shared" si="11"/>
        <v>#DIV/0!</v>
      </c>
      <c r="AT9" s="101">
        <f>P_A10_L21*P_Segunda*Segunda*Inflación_10</f>
        <v>0</v>
      </c>
      <c r="AU9" s="100" t="e">
        <f t="shared" ref="AU9:AW9" si="12">AU7*P_Segunda*Segunda</f>
        <v>#DIV/0!</v>
      </c>
      <c r="AV9" s="101">
        <f>P_A10_L22*P_Segunda*Segunda*Inflación_10</f>
        <v>0</v>
      </c>
      <c r="AW9" s="100" t="e">
        <f t="shared" si="12"/>
        <v>#DIV/0!</v>
      </c>
      <c r="AX9" s="101">
        <f>P_A10_L23*P_Segunda*Segunda*Inflación_10</f>
        <v>0</v>
      </c>
      <c r="AY9" s="100" t="e">
        <f t="shared" ref="AY9:BA9" si="13">AY7*P_Segunda*Segunda</f>
        <v>#DIV/0!</v>
      </c>
      <c r="AZ9" s="101">
        <f>P_A10_L24*P_Segunda*Segunda*Inflación_10</f>
        <v>0</v>
      </c>
      <c r="BA9" s="100" t="e">
        <f t="shared" si="13"/>
        <v>#DIV/0!</v>
      </c>
      <c r="BB9" s="101">
        <f>P_A10_L25*P_Segunda*Segunda*Inflación_10</f>
        <v>0</v>
      </c>
      <c r="BC9" s="100" t="e">
        <f t="shared" ref="BC9:BE9" si="14">BC7*P_Segunda*Segunda</f>
        <v>#DIV/0!</v>
      </c>
      <c r="BD9" s="101">
        <f>P_A10_L26*P_Segunda*Segunda*Inflación_10</f>
        <v>0</v>
      </c>
      <c r="BE9" s="100" t="e">
        <f t="shared" si="14"/>
        <v>#DIV/0!</v>
      </c>
      <c r="BF9" s="101">
        <f>P_A10_L27*P_Segunda*Segunda*Inflación_10</f>
        <v>0</v>
      </c>
      <c r="BG9" s="100" t="e">
        <f t="shared" ref="BG9:BI9" si="15">BG7*P_Segunda*Segunda</f>
        <v>#DIV/0!</v>
      </c>
      <c r="BH9" s="101">
        <f>P_A10_L28*P_Segunda*Segunda*Inflación_10</f>
        <v>0</v>
      </c>
      <c r="BI9" s="100" t="e">
        <f t="shared" si="15"/>
        <v>#DIV/0!</v>
      </c>
      <c r="BJ9" s="101">
        <f>P_A10_L29*P_Segunda*Segunda*Inflación_10</f>
        <v>0</v>
      </c>
      <c r="BK9" s="100" t="e">
        <f t="shared" ref="BK9:BM9" si="16">BK7*P_Segunda*Segunda</f>
        <v>#DIV/0!</v>
      </c>
      <c r="BL9" s="101">
        <f>P_A10_L30*P_Segunda*Segunda*Inflación_10</f>
        <v>0</v>
      </c>
      <c r="BM9" s="100" t="e">
        <f t="shared" si="16"/>
        <v>#DIV/0!</v>
      </c>
      <c r="BN9" s="101">
        <f>P_A10_L31*P_Segunda*Segunda*Inflación_10</f>
        <v>0</v>
      </c>
      <c r="BO9" s="100" t="e">
        <f t="shared" ref="BO9:BQ9" si="17">BO7*P_Segunda*Segunda</f>
        <v>#DIV/0!</v>
      </c>
      <c r="BP9" s="101">
        <f>P_A10_L32*P_Segunda*Segunda*Inflación_10</f>
        <v>0</v>
      </c>
      <c r="BQ9" s="100" t="e">
        <f t="shared" si="17"/>
        <v>#DIV/0!</v>
      </c>
      <c r="BR9" s="101">
        <f>P_A10_L33*P_Segunda*Segunda*Inflación_10</f>
        <v>0</v>
      </c>
      <c r="BS9" s="100" t="e">
        <f t="shared" ref="BS9:BU9" si="18">BS7*P_Segunda*Segunda</f>
        <v>#DIV/0!</v>
      </c>
      <c r="BT9" s="101">
        <f>P_A10_L34*P_Segunda*Segunda*Inflación_10</f>
        <v>0</v>
      </c>
      <c r="BU9" s="100" t="e">
        <f t="shared" si="18"/>
        <v>#DIV/0!</v>
      </c>
      <c r="BV9" s="101">
        <f>P_A10_L35*P_Segunda*Segunda*Inflación_10</f>
        <v>0</v>
      </c>
      <c r="BW9" s="100" t="e">
        <f t="shared" ref="BW9:BY9" si="19">BW7*P_Segunda*Segunda</f>
        <v>#DIV/0!</v>
      </c>
      <c r="BX9" s="101">
        <f>P_A10_L36*P_Segunda*Segunda*Inflación_10</f>
        <v>0</v>
      </c>
      <c r="BY9" s="100" t="e">
        <f t="shared" si="19"/>
        <v>#DIV/0!</v>
      </c>
      <c r="BZ9" s="101">
        <f>P_A10_L37*P_Segunda*Segunda*Inflación_10</f>
        <v>0</v>
      </c>
      <c r="CA9" s="100" t="e">
        <f t="shared" ref="CA9:CC9" si="20">CA7*P_Segunda*Segunda</f>
        <v>#DIV/0!</v>
      </c>
      <c r="CB9" s="101">
        <f>P_A10_L38*P_Segunda*Segunda*Inflación_10</f>
        <v>0</v>
      </c>
      <c r="CC9" s="100" t="e">
        <f t="shared" si="20"/>
        <v>#DIV/0!</v>
      </c>
      <c r="CD9" s="101">
        <f>P_A10_L39*P_Segunda*Segunda*Inflación_10</f>
        <v>0</v>
      </c>
      <c r="CE9" s="100" t="e">
        <f t="shared" ref="CE9:CG9" si="21">CE7*P_Segunda*Segunda</f>
        <v>#DIV/0!</v>
      </c>
      <c r="CF9" s="101">
        <f>P_A10_L40*P_Segunda*Segunda*Inflación_10</f>
        <v>0</v>
      </c>
      <c r="CG9" s="100" t="e">
        <f t="shared" si="21"/>
        <v>#DIV/0!</v>
      </c>
      <c r="CH9" s="473"/>
      <c r="CI9" s="101">
        <f>CI7*P_Segunda*Segunda*Inflación_10</f>
        <v>0</v>
      </c>
      <c r="CJ9" s="101">
        <f>CJ7*P_Segunda*Segunda*Inflación_10</f>
        <v>0</v>
      </c>
      <c r="CK9" s="101">
        <f>CK7*P_Segunda*Segunda*Inflación_10</f>
        <v>0</v>
      </c>
      <c r="CL9" s="101">
        <f>CL7*P_Segunda*Segunda*Inflación_10</f>
        <v>0</v>
      </c>
      <c r="CM9" s="101"/>
      <c r="CN9" s="101">
        <f>CN7*P_Segunda*Segunda*Inflación_10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B7*P_Inferior*Inferior*Inflación_10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P_A10_L1*P_Inferior*Inferior*Inflación_10</f>
        <v>0</v>
      </c>
      <c r="G10" s="100" t="e">
        <f t="shared" ref="G10" si="23">G7*P_Inferior*Inferior</f>
        <v>#DIV/0!</v>
      </c>
      <c r="H10" s="101">
        <f>P_A10_L2*P_Inferior*Inferior*Inflación_10</f>
        <v>0</v>
      </c>
      <c r="I10" s="100" t="e">
        <f>I7*P_Inferior*Inferior</f>
        <v>#DIV/0!</v>
      </c>
      <c r="J10" s="101">
        <f>P_A10_L3*P_Inferior*Inferior*Inflación_10</f>
        <v>0</v>
      </c>
      <c r="K10" s="100" t="e">
        <f t="shared" ref="K10" si="24">K7*P_Inferior*Inferior</f>
        <v>#DIV/0!</v>
      </c>
      <c r="L10" s="101">
        <f>P_A10_L4*P_Inferior*Inferior*Inflación_10</f>
        <v>0</v>
      </c>
      <c r="M10" s="100" t="e">
        <f>M7*P_Inferior*Inferior</f>
        <v>#DIV/0!</v>
      </c>
      <c r="N10" s="101">
        <f>P_A10_L5*P_Inferior*Inferior*Inflación_10</f>
        <v>0</v>
      </c>
      <c r="O10" s="100" t="e">
        <f t="shared" ref="O10:Q10" si="25">O7*P_Inferior*Inferior</f>
        <v>#DIV/0!</v>
      </c>
      <c r="P10" s="101">
        <f>P_A10_L6*P_Inferior*Inferior*Inflación_10</f>
        <v>0</v>
      </c>
      <c r="Q10" s="100" t="e">
        <f t="shared" si="25"/>
        <v>#DIV/0!</v>
      </c>
      <c r="R10" s="101">
        <f>P_A10_L7*P_Inferior*Inferior*Inflación_10</f>
        <v>0</v>
      </c>
      <c r="S10" s="100" t="e">
        <f t="shared" ref="S10:U10" si="26">S7*P_Inferior*Inferior</f>
        <v>#DIV/0!</v>
      </c>
      <c r="T10" s="101">
        <f>P_A10_L8*P_Inferior*Inferior*Inflación_10</f>
        <v>0</v>
      </c>
      <c r="U10" s="100" t="e">
        <f t="shared" si="26"/>
        <v>#DIV/0!</v>
      </c>
      <c r="V10" s="101">
        <f>P_A10_L9*P_Inferior*Inferior*Inflación_10</f>
        <v>0</v>
      </c>
      <c r="W10" s="100" t="e">
        <f t="shared" ref="W10:Y10" si="27">W7*P_Inferior*Inferior</f>
        <v>#DIV/0!</v>
      </c>
      <c r="X10" s="101">
        <f>P_A10_L10*P_Inferior*Inferior*Inflación_10</f>
        <v>0</v>
      </c>
      <c r="Y10" s="100" t="e">
        <f t="shared" si="27"/>
        <v>#DIV/0!</v>
      </c>
      <c r="Z10" s="101">
        <f>P_A10_L11*P_Inferior*Inferior*Inflación_10</f>
        <v>0</v>
      </c>
      <c r="AA10" s="100" t="e">
        <f t="shared" ref="AA10:AC10" si="28">AA7*P_Inferior*Inferior</f>
        <v>#DIV/0!</v>
      </c>
      <c r="AB10" s="101">
        <f>P_A10_L12*P_Inferior*Inferior*Inflación_10</f>
        <v>0</v>
      </c>
      <c r="AC10" s="100" t="e">
        <f t="shared" si="28"/>
        <v>#DIV/0!</v>
      </c>
      <c r="AD10" s="101">
        <f>P_A10_L13*P_Inferior*Inferior*Inflación_10</f>
        <v>0</v>
      </c>
      <c r="AE10" s="100" t="e">
        <f t="shared" ref="AE10:AG10" si="29">AE7*P_Inferior*Inferior</f>
        <v>#DIV/0!</v>
      </c>
      <c r="AF10" s="101">
        <f>P_A10_L14*P_Inferior*Inferior*Inflación_10</f>
        <v>0</v>
      </c>
      <c r="AG10" s="100" t="e">
        <f t="shared" si="29"/>
        <v>#DIV/0!</v>
      </c>
      <c r="AH10" s="101">
        <f>P_A10_L15*P_Inferior*Inferior*Inflación_10</f>
        <v>0</v>
      </c>
      <c r="AI10" s="100" t="e">
        <f t="shared" ref="AI10:AK10" si="30">AI7*P_Inferior*Inferior</f>
        <v>#DIV/0!</v>
      </c>
      <c r="AJ10" s="101">
        <f>P_A10_L16*P_Inferior*Inferior*Inflación_10</f>
        <v>0</v>
      </c>
      <c r="AK10" s="100" t="e">
        <f t="shared" si="30"/>
        <v>#DIV/0!</v>
      </c>
      <c r="AL10" s="101">
        <f>P_A10_L17*P_Inferior*Inferior*Inflación_10</f>
        <v>0</v>
      </c>
      <c r="AM10" s="100" t="e">
        <f t="shared" ref="AM10:AO10" si="31">AM7*P_Inferior*Inferior</f>
        <v>#DIV/0!</v>
      </c>
      <c r="AN10" s="101">
        <f>P_A10_L18*P_Inferior*Inferior*Inflación_10</f>
        <v>0</v>
      </c>
      <c r="AO10" s="100" t="e">
        <f t="shared" si="31"/>
        <v>#DIV/0!</v>
      </c>
      <c r="AP10" s="101">
        <f>P_A10_L19*P_Inferior*Inferior*Inflación_10</f>
        <v>0</v>
      </c>
      <c r="AQ10" s="100" t="e">
        <f t="shared" ref="AQ10:AS10" si="32">AQ7*P_Inferior*Inferior</f>
        <v>#DIV/0!</v>
      </c>
      <c r="AR10" s="101">
        <f>P_A10_L20*P_Inferior*Inferior*Inflación_10</f>
        <v>0</v>
      </c>
      <c r="AS10" s="100" t="e">
        <f t="shared" si="32"/>
        <v>#DIV/0!</v>
      </c>
      <c r="AT10" s="101">
        <f>P_A10_L21*P_Inferior*Inferior*Inflación_10</f>
        <v>0</v>
      </c>
      <c r="AU10" s="100" t="e">
        <f t="shared" ref="AU10:AW10" si="33">AU7*P_Inferior*Inferior</f>
        <v>#DIV/0!</v>
      </c>
      <c r="AV10" s="101">
        <f>P_A10_L22*P_Inferior*Inferior*Inflación_10</f>
        <v>0</v>
      </c>
      <c r="AW10" s="100" t="e">
        <f t="shared" si="33"/>
        <v>#DIV/0!</v>
      </c>
      <c r="AX10" s="101">
        <f>P_A10_L23*P_Inferior*Inferior*Inflación_10</f>
        <v>0</v>
      </c>
      <c r="AY10" s="100" t="e">
        <f t="shared" ref="AY10:BA10" si="34">AY7*P_Inferior*Inferior</f>
        <v>#DIV/0!</v>
      </c>
      <c r="AZ10" s="101">
        <f>P_A10_L24*P_Inferior*Inferior*Inflación_10</f>
        <v>0</v>
      </c>
      <c r="BA10" s="100" t="e">
        <f t="shared" si="34"/>
        <v>#DIV/0!</v>
      </c>
      <c r="BB10" s="101">
        <f>P_A10_L25*P_Inferior*Inferior*Inflación_10</f>
        <v>0</v>
      </c>
      <c r="BC10" s="100" t="e">
        <f t="shared" ref="BC10:BE10" si="35">BC7*P_Inferior*Inferior</f>
        <v>#DIV/0!</v>
      </c>
      <c r="BD10" s="101">
        <f>P_A10_L26*P_Inferior*Inferior*Inflación_10</f>
        <v>0</v>
      </c>
      <c r="BE10" s="100" t="e">
        <f t="shared" si="35"/>
        <v>#DIV/0!</v>
      </c>
      <c r="BF10" s="101">
        <f>P_A10_L27*P_Inferior*Inferior*Inflación_10</f>
        <v>0</v>
      </c>
      <c r="BG10" s="100" t="e">
        <f t="shared" ref="BG10:BI10" si="36">BG7*P_Inferior*Inferior</f>
        <v>#DIV/0!</v>
      </c>
      <c r="BH10" s="101">
        <f>P_A10_L28*P_Inferior*Inferior*Inflación_10</f>
        <v>0</v>
      </c>
      <c r="BI10" s="100" t="e">
        <f t="shared" si="36"/>
        <v>#DIV/0!</v>
      </c>
      <c r="BJ10" s="101">
        <f>P_A10_L29*P_Inferior*Inferior*Inflación_10</f>
        <v>0</v>
      </c>
      <c r="BK10" s="100" t="e">
        <f t="shared" ref="BK10:BM10" si="37">BK7*P_Inferior*Inferior</f>
        <v>#DIV/0!</v>
      </c>
      <c r="BL10" s="101">
        <f>P_A10_L30*P_Inferior*Inferior*Inflación_10</f>
        <v>0</v>
      </c>
      <c r="BM10" s="100" t="e">
        <f t="shared" si="37"/>
        <v>#DIV/0!</v>
      </c>
      <c r="BN10" s="101">
        <f>P_A10_L31*P_Inferior*Inferior*Inflación_10</f>
        <v>0</v>
      </c>
      <c r="BO10" s="100" t="e">
        <f t="shared" ref="BO10:BQ10" si="38">BO7*P_Inferior*Inferior</f>
        <v>#DIV/0!</v>
      </c>
      <c r="BP10" s="101">
        <f>P_A10_L32*P_Inferior*Inferior*Inflación_10</f>
        <v>0</v>
      </c>
      <c r="BQ10" s="100" t="e">
        <f t="shared" si="38"/>
        <v>#DIV/0!</v>
      </c>
      <c r="BR10" s="101">
        <f>P_A10_L33*P_Inferior*Inferior*Inflación_10</f>
        <v>0</v>
      </c>
      <c r="BS10" s="100" t="e">
        <f t="shared" ref="BS10:BU10" si="39">BS7*P_Inferior*Inferior</f>
        <v>#DIV/0!</v>
      </c>
      <c r="BT10" s="101">
        <f>P_A10_L34*P_Inferior*Inferior*Inflación_10</f>
        <v>0</v>
      </c>
      <c r="BU10" s="100" t="e">
        <f t="shared" si="39"/>
        <v>#DIV/0!</v>
      </c>
      <c r="BV10" s="101">
        <f>P_A10_L35*P_Inferior*Inferior*Inflación_10</f>
        <v>0</v>
      </c>
      <c r="BW10" s="100" t="e">
        <f t="shared" ref="BW10:BY10" si="40">BW7*P_Inferior*Inferior</f>
        <v>#DIV/0!</v>
      </c>
      <c r="BX10" s="101">
        <f>P_A10_L36*P_Inferior*Inferior*Inflación_10</f>
        <v>0</v>
      </c>
      <c r="BY10" s="100" t="e">
        <f t="shared" si="40"/>
        <v>#DIV/0!</v>
      </c>
      <c r="BZ10" s="101">
        <f>P_A10_L37*P_Inferior*Inferior*Inflación_10</f>
        <v>0</v>
      </c>
      <c r="CA10" s="100" t="e">
        <f t="shared" ref="CA10:CC10" si="41">CA7*P_Inferior*Inferior</f>
        <v>#DIV/0!</v>
      </c>
      <c r="CB10" s="101">
        <f>P_A10_L38*P_Inferior*Inferior*Inflación_10</f>
        <v>0</v>
      </c>
      <c r="CC10" s="100" t="e">
        <f t="shared" si="41"/>
        <v>#DIV/0!</v>
      </c>
      <c r="CD10" s="101">
        <f>P_A10_L39*P_Inferior*Inferior*Inflación_10</f>
        <v>0</v>
      </c>
      <c r="CE10" s="100" t="e">
        <f t="shared" ref="CE10:CG10" si="42">CE7*P_Inferior*Inferior</f>
        <v>#DIV/0!</v>
      </c>
      <c r="CF10" s="101">
        <f>P_A10_L40*P_Inferior*Inferior*Inflación_10</f>
        <v>0</v>
      </c>
      <c r="CG10" s="100" t="e">
        <f t="shared" si="42"/>
        <v>#DIV/0!</v>
      </c>
      <c r="CH10" s="473"/>
      <c r="CI10" s="101">
        <f>CI7*P_Inferior*Inferior*Inflación_10</f>
        <v>0</v>
      </c>
      <c r="CJ10" s="101">
        <f>CJ7*P_Inferior*Inferior*Inflación_10</f>
        <v>0</v>
      </c>
      <c r="CK10" s="101">
        <f>CK7*P_Inferior*Inferior*Inflación_10</f>
        <v>0</v>
      </c>
      <c r="CL10" s="101">
        <f>CL7*P_Inferior*Inferior*Inflación_10</f>
        <v>0</v>
      </c>
      <c r="CM10" s="101"/>
      <c r="CN10" s="101">
        <f>CN7*P_Inferior*Inferior*Inflación_10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SUMIFS('9'!$E:$E,'9'!$A:$A,Año_Inicial+9,'9'!$D:$D,"Poda")</f>
        <v>0</v>
      </c>
      <c r="D14" s="100">
        <f t="shared" ref="D14:D44" si="45">C14-B14</f>
        <v>0</v>
      </c>
      <c r="E14" s="473"/>
      <c r="F14" s="101">
        <f>((A10_A_L1*Poda_A)+(A10_B_L1*Poda_B)+(A10_C_L1*Poda_C)+(A10_D_L1*Poda_D)+(A10_Y_L1*Poda_Y))*Inflación_10</f>
        <v>0</v>
      </c>
      <c r="G14" s="101">
        <f>SUMIFS('9'!$E:$E,'9'!$A:$A,Año_Inicial+9,'9'!$B:$B,'12'!F$4,'9'!$D:$D,"Poda")</f>
        <v>0</v>
      </c>
      <c r="H14" s="101">
        <f>((A10_A_L2*Poda_A)+(A10_B_L2*Poda_B)+(A10_C_L2*Poda_C)+(A10_D_L2*Poda_D)+(A10_Y_L2*Poda_Y))*Inflación_10</f>
        <v>0</v>
      </c>
      <c r="I14" s="101">
        <f>SUMIFS('9'!$E:$E,'9'!$A:$A,Año_Inicial+9,'9'!$B:$B,'12'!H$4,'9'!$D:$D,"Poda")</f>
        <v>0</v>
      </c>
      <c r="J14" s="101">
        <f>((A10_A_L3*Poda_A)+(A10_B_L3*Poda_B)+(A10_C_L3*Poda_C)+(A10_D_L3*Poda_D)+(A10_Y_L3*Poda_Y))*Inflación_10</f>
        <v>0</v>
      </c>
      <c r="K14" s="101">
        <f>SUMIFS('9'!$E:$E,'9'!$A:$A,Año_Inicial+9,'9'!$B:$B,'12'!J$4,'9'!$D:$D,"Poda")</f>
        <v>0</v>
      </c>
      <c r="L14" s="101">
        <f>((A10_A_L4*Poda_A)+(A10_B_L4*Poda_B)+(A10_C_L4*Poda_C)+(A10_D_L4*Poda_D)+(A10_Y_L4*Poda_Y))*Inflación_10</f>
        <v>0</v>
      </c>
      <c r="M14" s="101">
        <f>SUMIFS('9'!$E:$E,'9'!$A:$A,Año_Inicial+9,'9'!$B:$B,'12'!L$4,'9'!$D:$D,"Poda")</f>
        <v>0</v>
      </c>
      <c r="N14" s="101">
        <f>((A10_A_L5*Poda_A)+(A10_B_L5*Poda_B)+(A10_C_L5*Poda_C)+(A10_D_L5*Poda_D)+(A10_Y_L5*Poda_Y))*Inflación_10</f>
        <v>0</v>
      </c>
      <c r="O14" s="101">
        <f>SUMIFS('9'!$E:$E,'9'!$A:$A,Año_Inicial+9,'9'!$B:$B,'12'!N$4,'9'!$D:$D,"Poda")</f>
        <v>0</v>
      </c>
      <c r="P14" s="101">
        <f>((A10_A_L6*Poda_A)+(A10_B_L6*Poda_B)+(A10_C_L6*Poda_C)+(A10_D_L6*Poda_D)+(A10_Y_L6*Poda_Y))*Inflación_10</f>
        <v>0</v>
      </c>
      <c r="Q14" s="101">
        <f>SUMIFS('9'!$E:$E,'9'!$A:$A,Año_Inicial+9,'9'!$B:$B,'12'!P$4,'9'!$D:$D,"Poda")</f>
        <v>0</v>
      </c>
      <c r="R14" s="101">
        <f>((A10_A_L7*Poda_A)+(A10_B_L7*Poda_B)+(A10_C_L7*Poda_C)+(A10_D_L7*Poda_D)+(A10_Y_L7*Poda_Y))*Inflación_10</f>
        <v>0</v>
      </c>
      <c r="S14" s="101">
        <f>SUMIFS('9'!$E:$E,'9'!$A:$A,Año_Inicial+9,'9'!$B:$B,'12'!R$4,'9'!$D:$D,"Poda")</f>
        <v>0</v>
      </c>
      <c r="T14" s="101">
        <f>((A10_A_L8*Poda_A)+(A10_B_L8*Poda_B)+(A10_C_L8*Poda_C)+(A10_D_L8*Poda_D)+(A10_Y_L8*Poda_Y))*Inflación_10</f>
        <v>0</v>
      </c>
      <c r="U14" s="101">
        <f>SUMIFS('9'!$E:$E,'9'!$A:$A,Año_Inicial+9,'9'!$B:$B,'12'!T$4,'9'!$D:$D,"Poda")</f>
        <v>0</v>
      </c>
      <c r="V14" s="101">
        <f>((A10_A_L9*Poda_A)+(A10_B_L9*Poda_B)+(A10_C_L9*Poda_C)+(A10_D_L9*Poda_D)+(A10_Y_L9*Poda_Y))*Inflación_10</f>
        <v>0</v>
      </c>
      <c r="W14" s="101">
        <f>SUMIFS('9'!$E:$E,'9'!$A:$A,Año_Inicial+9,'9'!$B:$B,'12'!V$4,'9'!$D:$D,"Poda")</f>
        <v>0</v>
      </c>
      <c r="X14" s="101">
        <f>((A10_A_L10*Poda_A)+(A10_B_L10*Poda_B)+(A10_C_L10*Poda_C)+(A10_D_L10*Poda_D)+(A10_Y_L10*Poda_Y))*Inflación_10</f>
        <v>0</v>
      </c>
      <c r="Y14" s="101">
        <f>SUMIFS('9'!$E:$E,'9'!$A:$A,Año_Inicial+9,'9'!$B:$B,'12'!X$4,'9'!$D:$D,"Poda")</f>
        <v>0</v>
      </c>
      <c r="Z14" s="101">
        <f>((A10_A_L11*Poda_A)+(A10_B_L11*Poda_B)+(A10_C_L11*Poda_C)+(A10_D_L11*Poda_D)+(A10_Y_L11*Poda_Y))*Inflación_10</f>
        <v>0</v>
      </c>
      <c r="AA14" s="101">
        <f>SUMIFS('9'!$E:$E,'9'!$A:$A,Año_Inicial+9,'9'!$B:$B,'12'!Z$4,'9'!$D:$D,"Poda")</f>
        <v>0</v>
      </c>
      <c r="AB14" s="101">
        <f>((A10_A_L12*Poda_A)+(A10_B_L12*Poda_B)+(A10_C_L12*Poda_C)+(A10_D_L12*Poda_D)+(A10_Y_L12*Poda_Y))*Inflación_10</f>
        <v>0</v>
      </c>
      <c r="AC14" s="101">
        <f>SUMIFS('9'!$E:$E,'9'!$A:$A,Año_Inicial+9,'9'!$B:$B,'12'!AB$4,'9'!$D:$D,"Poda")</f>
        <v>0</v>
      </c>
      <c r="AD14" s="101">
        <f>((A10_A_L13*Poda_A)+(A10_B_L13*Poda_B)+(A10_C_L13*Poda_C)+(A10_D_L13*Poda_D)+(A10_Y_L13*Poda_Y))*Inflación_10</f>
        <v>0</v>
      </c>
      <c r="AE14" s="101">
        <f>SUMIFS('9'!$E:$E,'9'!$A:$A,Año_Inicial+9,'9'!$B:$B,'12'!AD$4,'9'!$D:$D,"Poda")</f>
        <v>0</v>
      </c>
      <c r="AF14" s="101">
        <f>((A10_A_L14*Poda_A)+(A10_B_L14*Poda_B)+(A10_C_L14*Poda_C)+(A10_D_L14*Poda_D)+(A10_Y_L14*Poda_Y))*Inflación_10</f>
        <v>0</v>
      </c>
      <c r="AG14" s="101">
        <f>SUMIFS('9'!$E:$E,'9'!$A:$A,Año_Inicial+9,'9'!$B:$B,'12'!AF$4,'9'!$D:$D,"Poda")</f>
        <v>0</v>
      </c>
      <c r="AH14" s="101">
        <f>((A10_A_L15*Poda_A)+(A10_B_L15*Poda_B)+(A10_C_L15*Poda_C)+(A10_D_L15*Poda_D)+(A10_Y_L15*Poda_Y))*Inflación_10</f>
        <v>0</v>
      </c>
      <c r="AI14" s="101">
        <f>SUMIFS('9'!$E:$E,'9'!$A:$A,Año_Inicial+9,'9'!$B:$B,'12'!AH$4,'9'!$D:$D,"Poda")</f>
        <v>0</v>
      </c>
      <c r="AJ14" s="101">
        <f>((A10_A_L16*Poda_A)+(A10_B_L16*Poda_B)+(A10_C_L16*Poda_C)+(A10_D_L16*Poda_D)+(A10_Y_L16*Poda_Y))*Inflación_10</f>
        <v>0</v>
      </c>
      <c r="AK14" s="101">
        <f>SUMIFS('9'!$E:$E,'9'!$A:$A,Año_Inicial+9,'9'!$B:$B,'12'!AJ$4,'9'!$D:$D,"Poda")</f>
        <v>0</v>
      </c>
      <c r="AL14" s="101">
        <f>((A10_A_L17*Poda_A)+(A10_B_L17*Poda_B)+(A10_C_L17*Poda_C)+(A10_D_L17*Poda_D)+(A10_Y_L17*Poda_Y))*Inflación_10</f>
        <v>0</v>
      </c>
      <c r="AM14" s="101">
        <f>SUMIFS('9'!$E:$E,'9'!$A:$A,Año_Inicial+9,'9'!$B:$B,'12'!AL$4,'9'!$D:$D,"Poda")</f>
        <v>0</v>
      </c>
      <c r="AN14" s="101">
        <f>((A10_A_L18*Poda_A)+(A10_B_L18*Poda_B)+(A10_C_L18*Poda_C)+(A10_D_L18*Poda_D)+(A10_Y_L18*Poda_Y))*Inflación_10</f>
        <v>0</v>
      </c>
      <c r="AO14" s="101">
        <f>SUMIFS('9'!$E:$E,'9'!$A:$A,Año_Inicial+9,'9'!$B:$B,'12'!AN$4,'9'!$D:$D,"Poda")</f>
        <v>0</v>
      </c>
      <c r="AP14" s="101">
        <f>((A10_A_L19*Poda_A)+(A10_B_L19*Poda_B)+(A10_C_L19*Poda_C)+(A10_D_L19*Poda_D)+(A10_Y_L19*Poda_Y))*Inflación_10</f>
        <v>0</v>
      </c>
      <c r="AQ14" s="101">
        <f>SUMIFS('9'!$E:$E,'9'!$A:$A,Año_Inicial+9,'9'!$B:$B,'12'!AP$4,'9'!$D:$D,"Poda")</f>
        <v>0</v>
      </c>
      <c r="AR14" s="101">
        <f>((A10_A_L20*Poda_A)+(A10_B_L20*Poda_B)+(A10_C_L20*Poda_C)+(A10_D_L20*Poda_D)+(A10_Y_L20*Poda_Y))*Inflación_10</f>
        <v>0</v>
      </c>
      <c r="AS14" s="101">
        <f>SUMIFS('9'!$E:$E,'9'!$A:$A,Año_Inicial+9,'9'!$B:$B,'12'!AR$4,'9'!$D:$D,"Poda")</f>
        <v>0</v>
      </c>
      <c r="AT14" s="101">
        <f>((A10_A_L21*Poda_A)+(A10_B_L21*Poda_B)+(A10_C_L21*Poda_C)+(A10_D_L21*Poda_D)+(A10_Y_L21*Poda_Y))*Inflación_10</f>
        <v>0</v>
      </c>
      <c r="AU14" s="101">
        <f>SUMIFS('9'!$E:$E,'9'!$A:$A,Año_Inicial+9,'9'!$B:$B,'12'!AT$4,'9'!$D:$D,"Poda")</f>
        <v>0</v>
      </c>
      <c r="AV14" s="101">
        <f>((A10_A_L22*Poda_A)+(A10_B_L22*Poda_B)+(A10_C_L22*Poda_C)+(A10_D_L22*Poda_D)+(A10_Y_L22*Poda_Y))*Inflación_10</f>
        <v>0</v>
      </c>
      <c r="AW14" s="101">
        <f>SUMIFS('9'!$E:$E,'9'!$A:$A,Año_Inicial+9,'9'!$B:$B,'12'!AV$4,'9'!$D:$D,"Poda")</f>
        <v>0</v>
      </c>
      <c r="AX14" s="101">
        <f>((A10_A_L23*Poda_A)+(A10_B_L23*Poda_B)+(A10_C_L23*Poda_C)+(A10_D_L23*Poda_D)+(A10_Y_L23*Poda_Y))*Inflación_10</f>
        <v>0</v>
      </c>
      <c r="AY14" s="101">
        <f>SUMIFS('9'!$E:$E,'9'!$A:$A,Año_Inicial+9,'9'!$B:$B,'12'!AX$4,'9'!$D:$D,"Poda")</f>
        <v>0</v>
      </c>
      <c r="AZ14" s="101">
        <f>((A10_A_L24*Poda_A)+(A10_B_L24*Poda_B)+(A10_C_L24*Poda_C)+(A10_D_L24*Poda_D)+(A10_Y_L24*Poda_Y))*Inflación_10</f>
        <v>0</v>
      </c>
      <c r="BA14" s="101">
        <f>SUMIFS('9'!$E:$E,'9'!$A:$A,Año_Inicial+9,'9'!$B:$B,'12'!AZ$4,'9'!$D:$D,"Poda")</f>
        <v>0</v>
      </c>
      <c r="BB14" s="101">
        <f>((A10_A_L25*Poda_A)+(A10_B_L25*Poda_B)+(A10_C_L25*Poda_C)+(A10_D_L25*Poda_D)+(A10_Y_L25*Poda_Y))*Inflación_10</f>
        <v>0</v>
      </c>
      <c r="BC14" s="101">
        <f>SUMIFS('9'!$E:$E,'9'!$A:$A,Año_Inicial+9,'9'!$B:$B,'12'!BB$4,'9'!$D:$D,"Poda")</f>
        <v>0</v>
      </c>
      <c r="BD14" s="101">
        <f>((A10_A_L26*Poda_A)+(A10_B_L26*Poda_B)+(A10_C_L26*Poda_C)+(A10_D_L26*Poda_D)+(A10_Y_L26*Poda_Y))*Inflación_10</f>
        <v>0</v>
      </c>
      <c r="BE14" s="101">
        <f>SUMIFS('9'!$E:$E,'9'!$A:$A,Año_Inicial+9,'9'!$B:$B,'12'!BD$4,'9'!$D:$D,"Poda")</f>
        <v>0</v>
      </c>
      <c r="BF14" s="101">
        <f>((A10_A_L27*Poda_A)+(A10_B_L27*Poda_B)+(A10_C_L27*Poda_C)+(A10_D_L27*Poda_D)+(A10_Y_L27*Poda_Y))*Inflación_10</f>
        <v>0</v>
      </c>
      <c r="BG14" s="101">
        <f>SUMIFS('9'!$E:$E,'9'!$A:$A,Año_Inicial+9,'9'!$B:$B,'12'!BF$4,'9'!$D:$D,"Poda")</f>
        <v>0</v>
      </c>
      <c r="BH14" s="101">
        <f>((A10_A_L28*Poda_A)+(A10_B_L28*Poda_B)+(A10_C_L28*Poda_C)+(A10_D_L28*Poda_D)+(A10_Y_L28*Poda_Y))*Inflación_10</f>
        <v>0</v>
      </c>
      <c r="BI14" s="101">
        <f>SUMIFS('9'!$E:$E,'9'!$A:$A,Año_Inicial+9,'9'!$B:$B,'12'!BH$4,'9'!$D:$D,"Poda")</f>
        <v>0</v>
      </c>
      <c r="BJ14" s="101">
        <f>((A10_A_L29*Poda_A)+(A10_B_L29*Poda_B)+(A10_C_L29*Poda_C)+(A10_D_L29*Poda_D)+(A10_Y_L29*Poda_Y))*Inflación_10</f>
        <v>0</v>
      </c>
      <c r="BK14" s="101">
        <f>SUMIFS('9'!$E:$E,'9'!$A:$A,Año_Inicial+9,'9'!$B:$B,'12'!BJ$4,'9'!$D:$D,"Poda")</f>
        <v>0</v>
      </c>
      <c r="BL14" s="101">
        <f>((A10_A_L30*Poda_A)+(A10_B_L30*Poda_B)+(A10_C_L30*Poda_C)+(A10_D_L30*Poda_D)+(A10_Y_L30*Poda_Y))*Inflación_10</f>
        <v>0</v>
      </c>
      <c r="BM14" s="101">
        <f>SUMIFS('9'!$E:$E,'9'!$A:$A,Año_Inicial+9,'9'!$B:$B,'12'!BL$4,'9'!$D:$D,"Poda")</f>
        <v>0</v>
      </c>
      <c r="BN14" s="101">
        <f>((A10_A_L31*Poda_A)+(A10_B_L31*Poda_B)+(A10_C_L31*Poda_C)+(A10_D_L31*Poda_D)+(A10_Y_L31*Poda_Y))*Inflación_10</f>
        <v>0</v>
      </c>
      <c r="BO14" s="101">
        <f>SUMIFS('9'!$E:$E,'9'!$A:$A,Año_Inicial+9,'9'!$B:$B,'12'!BN$4,'9'!$D:$D,"Poda")</f>
        <v>0</v>
      </c>
      <c r="BP14" s="101">
        <f>((A10_A_L32*Poda_A)+(A10_B_L32*Poda_B)+(A10_C_L32*Poda_C)+(A10_D_L32*Poda_D)+(A10_Y_L32*Poda_Y))*Inflación_10</f>
        <v>0</v>
      </c>
      <c r="BQ14" s="101">
        <f>SUMIFS('9'!$E:$E,'9'!$A:$A,Año_Inicial+9,'9'!$B:$B,'12'!BP$4,'9'!$D:$D,"Poda")</f>
        <v>0</v>
      </c>
      <c r="BR14" s="101">
        <f>((A10_A_L33*Poda_A)+(A10_B_L33*Poda_B)+(A10_C_L33*Poda_C)+(A10_D_L33*Poda_D)+(A10_Y_L33*Poda_Y))*Inflación_10</f>
        <v>0</v>
      </c>
      <c r="BS14" s="101">
        <f>SUMIFS('9'!$E:$E,'9'!$A:$A,Año_Inicial+9,'9'!$B:$B,'12'!BR$4,'9'!$D:$D,"Poda")</f>
        <v>0</v>
      </c>
      <c r="BT14" s="101">
        <f>((A10_A_L34*Poda_A)+(A10_B_L34*Poda_B)+(A10_C_L34*Poda_C)+(A10_D_L34*Poda_D)+(A10_Y_L34*Poda_Y))*Inflación_10</f>
        <v>0</v>
      </c>
      <c r="BU14" s="101">
        <f>SUMIFS('9'!$E:$E,'9'!$A:$A,Año_Inicial+9,'9'!$B:$B,'12'!BT$4,'9'!$D:$D,"Poda")</f>
        <v>0</v>
      </c>
      <c r="BV14" s="101">
        <f>((A10_A_L35*Poda_A)+(A10_B_L35*Poda_B)+(A10_C_L35*Poda_C)+(A10_D_L35*Poda_D)+(A10_Y_L35*Poda_Y))*Inflación_10</f>
        <v>0</v>
      </c>
      <c r="BW14" s="101">
        <f>SUMIFS('9'!$E:$E,'9'!$A:$A,Año_Inicial+9,'9'!$B:$B,'12'!BV$4,'9'!$D:$D,"Poda")</f>
        <v>0</v>
      </c>
      <c r="BX14" s="101">
        <f>((A10_A_L36*Poda_A)+(A10_B_L36*Poda_B)+(A10_C_L36*Poda_C)+(A10_D_L36*Poda_D)+(A10_Y_L36*Poda_Y))*Inflación_10</f>
        <v>0</v>
      </c>
      <c r="BY14" s="101">
        <f>SUMIFS('9'!$E:$E,'9'!$A:$A,Año_Inicial+9,'9'!$B:$B,'12'!BX$4,'9'!$D:$D,"Poda")</f>
        <v>0</v>
      </c>
      <c r="BZ14" s="101">
        <f>((A10_A_L37*Poda_A)+(A10_B_L37*Poda_B)+(A10_C_L37*Poda_C)+(A10_D_L37*Poda_D)+(A10_Y_L37*Poda_Y))*Inflación_10</f>
        <v>0</v>
      </c>
      <c r="CA14" s="101">
        <f>SUMIFS('9'!$E:$E,'9'!$A:$A,Año_Inicial+9,'9'!$B:$B,'12'!BZ$4,'9'!$D:$D,"Poda")</f>
        <v>0</v>
      </c>
      <c r="CB14" s="101">
        <f>((A10_A_L38*Poda_A)+(A10_B_L38*Poda_B)+(A10_C_L38*Poda_C)+(A10_D_L38*Poda_D)+(A10_Y_L38*Poda_Y))*Inflación_10</f>
        <v>0</v>
      </c>
      <c r="CC14" s="101">
        <f>SUMIFS('9'!$E:$E,'9'!$A:$A,Año_Inicial+9,'9'!$B:$B,'12'!CB$4,'9'!$D:$D,"Poda")</f>
        <v>0</v>
      </c>
      <c r="CD14" s="101">
        <f>((A10_A_L39*Poda_A)+(A10_B_L39*Poda_B)+(A10_C_L39*Poda_C)+(A10_D_L39*Poda_D)+(A10_Y_L39*Poda_Y))*Inflación_10</f>
        <v>0</v>
      </c>
      <c r="CE14" s="101">
        <f>SUMIFS('9'!$E:$E,'9'!$A:$A,Año_Inicial+9,'9'!$B:$B,'12'!CD$4,'9'!$D:$D,"Poda")</f>
        <v>0</v>
      </c>
      <c r="CF14" s="101">
        <f>((A10_A_L40*Poda_A)+(A10_B_L40*Poda_B)+(A10_C_L40*Poda_C)+(A10_D_L40*Poda_D)+(A10_Y_L40*Poda_Y))*Inflación_10</f>
        <v>0</v>
      </c>
      <c r="CG14" s="101">
        <f>SUMIFS('9'!$E:$E,'9'!$A:$A,Año_Inicial+9,'9'!$B:$B,'12'!CF$4,'9'!$D:$D,"Poda")</f>
        <v>0</v>
      </c>
      <c r="CH14" s="473"/>
      <c r="CI14" s="101">
        <f>Plantas_A_A10*Poda_A*Inflación_10</f>
        <v>0</v>
      </c>
      <c r="CJ14" s="101">
        <f>Plantas_B_A10*Poda_B</f>
        <v>0</v>
      </c>
      <c r="CK14" s="101">
        <f>Plantas_C_A10*Poda_C</f>
        <v>0</v>
      </c>
      <c r="CL14" s="101">
        <f>Plantas_D_A10*Poda_D</f>
        <v>0</v>
      </c>
      <c r="CM14" s="101"/>
      <c r="CN14" s="101">
        <f>Plantas_Y_A10*Poda_Y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SUMIFS('9'!$E:$E,'9'!$A:$A,Año_Inicial+9,'9'!$D:$D,"Deshije")</f>
        <v>0</v>
      </c>
      <c r="D15" s="100">
        <f t="shared" si="45"/>
        <v>0</v>
      </c>
      <c r="E15" s="473"/>
      <c r="F15" s="101">
        <f>((A10_A_L1*Deshije_A)+(A10_B_L1*Deshije_B)+(A10_C_L1*Deshije_C)+(A10_D_L1*Deshije_D)+(A10_Y_L1*Deshije_Y))*Inflación_10</f>
        <v>0</v>
      </c>
      <c r="G15" s="101">
        <f>SUMIFS('9'!$E:$E,'9'!$A:$A,Año_Inicial+9,'9'!$B:$B,'12'!F$4,'9'!$D:$D,"Deshije")</f>
        <v>0</v>
      </c>
      <c r="H15" s="101">
        <f>((A10_A_L2*Deshije_A)+(A10_B_L2*Deshije_B)+(A10_C_L2*Deshije_C)+(A10_D_L2*Deshije_D)+(A10_Y_L2*Deshije_Y))*Inflación_10</f>
        <v>0</v>
      </c>
      <c r="I15" s="101">
        <f>SUMIFS('9'!$E:$E,'9'!$A:$A,Año_Inicial+9,'9'!$B:$B,'12'!H$4,'9'!$D:$D,"Deshije")</f>
        <v>0</v>
      </c>
      <c r="J15" s="101">
        <f>((A10_A_L3*Deshije_A)+(A10_B_L3*Deshije_B)+(A10_C_L3*Deshije_C)+(A10_D_L3*Deshije_D)+(A10_Y_L3*Deshije_Y))*Inflación_10</f>
        <v>0</v>
      </c>
      <c r="K15" s="101">
        <f>SUMIFS('9'!$E:$E,'9'!$A:$A,Año_Inicial+9,'9'!$B:$B,'12'!J$4,'9'!$D:$D,"Deshije")</f>
        <v>0</v>
      </c>
      <c r="L15" s="101">
        <f>((A10_A_L4*Deshije_A)+(A10_B_L4*Deshije_B)+(A10_C_L4*Deshije_C)+(A10_D_L4*Deshije_D)+(A10_Y_L4*Deshije_Y))*Inflación_10</f>
        <v>0</v>
      </c>
      <c r="M15" s="101">
        <f>SUMIFS('9'!$E:$E,'9'!$A:$A,Año_Inicial+9,'9'!$B:$B,'12'!L$4,'9'!$D:$D,"Deshije")</f>
        <v>0</v>
      </c>
      <c r="N15" s="101">
        <f>((A10_A_L5*Deshije_A)+(A10_B_L5*Deshije_B)+(A10_C_L5*Deshije_C)+(A10_D_L5*Deshije_D)+(A10_Y_L5*Deshije_Y))*Inflación_10</f>
        <v>0</v>
      </c>
      <c r="O15" s="101">
        <f>SUMIFS('9'!$E:$E,'9'!$A:$A,Año_Inicial+9,'9'!$B:$B,'12'!N$4,'9'!$D:$D,"Deshije")</f>
        <v>0</v>
      </c>
      <c r="P15" s="101">
        <f>((A10_A_L6*Deshije_A)+(A10_B_L6*Deshije_B)+(A10_C_L6*Deshije_C)+(A10_D_L6*Deshije_D)+(A10_Y_L6*Deshije_Y))*Inflación_10</f>
        <v>0</v>
      </c>
      <c r="Q15" s="101">
        <f>SUMIFS('9'!$E:$E,'9'!$A:$A,Año_Inicial+9,'9'!$B:$B,'12'!P$4,'9'!$D:$D,"Deshije")</f>
        <v>0</v>
      </c>
      <c r="R15" s="101">
        <f>((A10_A_L7*Deshije_A)+(A10_B_L7*Deshije_B)+(A10_C_L7*Deshije_C)+(A10_D_L7*Deshije_D)+(A10_Y_L7*Deshije_Y))*Inflación_10</f>
        <v>0</v>
      </c>
      <c r="S15" s="101">
        <f>SUMIFS('9'!$E:$E,'9'!$A:$A,Año_Inicial+9,'9'!$B:$B,'12'!R$4,'9'!$D:$D,"Deshije")</f>
        <v>0</v>
      </c>
      <c r="T15" s="101">
        <f>((A10_A_L8*Deshije_A)+(A10_B_L8*Deshije_B)+(A10_C_L8*Deshije_C)+(A10_D_L8*Deshije_D)+(A10_Y_L8*Deshije_Y))*Inflación_10</f>
        <v>0</v>
      </c>
      <c r="U15" s="101">
        <f>SUMIFS('9'!$E:$E,'9'!$A:$A,Año_Inicial+9,'9'!$B:$B,'12'!T$4,'9'!$D:$D,"Deshije")</f>
        <v>0</v>
      </c>
      <c r="V15" s="101">
        <f>((A10_A_L9*Deshije_A)+(A10_B_L9*Deshije_B)+(A10_C_L9*Deshije_C)+(A10_D_L9*Deshije_D)+(A10_Y_L9*Deshije_Y))*Inflación_10</f>
        <v>0</v>
      </c>
      <c r="W15" s="101">
        <f>SUMIFS('9'!$E:$E,'9'!$A:$A,Año_Inicial+9,'9'!$B:$B,'12'!V$4,'9'!$D:$D,"Deshije")</f>
        <v>0</v>
      </c>
      <c r="X15" s="101">
        <f>((A10_A_L10*Deshije_A)+(A10_B_L10*Deshije_B)+(A10_C_L10*Deshije_C)+(A10_D_L10*Deshije_D)+(A10_Y_L10*Deshije_Y))*Inflación_10</f>
        <v>0</v>
      </c>
      <c r="Y15" s="101">
        <f>SUMIFS('9'!$E:$E,'9'!$A:$A,Año_Inicial+9,'9'!$B:$B,'12'!X$4,'9'!$D:$D,"Deshije")</f>
        <v>0</v>
      </c>
      <c r="Z15" s="101">
        <f>((A10_A_L11*Deshije_A)+(A10_B_L11*Deshije_B)+(A10_C_L11*Deshije_C)+(A10_D_L11*Deshije_D)+(A10_Y_L11*Deshije_Y))*Inflación_10</f>
        <v>0</v>
      </c>
      <c r="AA15" s="101">
        <f>SUMIFS('9'!$E:$E,'9'!$A:$A,Año_Inicial+9,'9'!$B:$B,'12'!Z$4,'9'!$D:$D,"Deshije")</f>
        <v>0</v>
      </c>
      <c r="AB15" s="101">
        <f>((A10_A_L12*Deshije_A)+(A10_B_L12*Deshije_B)+(A10_C_L12*Deshije_C)+(A10_D_L12*Deshije_D)+(A10_Y_L12*Deshije_Y))*Inflación_10</f>
        <v>0</v>
      </c>
      <c r="AC15" s="101">
        <f>SUMIFS('9'!$E:$E,'9'!$A:$A,Año_Inicial+9,'9'!$B:$B,'12'!AB$4,'9'!$D:$D,"Deshije")</f>
        <v>0</v>
      </c>
      <c r="AD15" s="101">
        <f>((A10_A_L13*Deshije_A)+(A10_B_L13*Deshije_B)+(A10_C_L13*Deshije_C)+(A10_D_L13*Deshije_D)+(A10_Y_L13*Deshije_Y))*Inflación_10</f>
        <v>0</v>
      </c>
      <c r="AE15" s="101">
        <f>SUMIFS('9'!$E:$E,'9'!$A:$A,Año_Inicial+9,'9'!$B:$B,'12'!AD$4,'9'!$D:$D,"Deshije")</f>
        <v>0</v>
      </c>
      <c r="AF15" s="101">
        <f>((A10_A_L14*Deshije_A)+(A10_B_L14*Deshije_B)+(A10_C_L14*Deshije_C)+(A10_D_L14*Deshije_D)+(A10_Y_L14*Deshije_Y))*Inflación_10</f>
        <v>0</v>
      </c>
      <c r="AG15" s="101">
        <f>SUMIFS('9'!$E:$E,'9'!$A:$A,Año_Inicial+9,'9'!$B:$B,'12'!AF$4,'9'!$D:$D,"Deshije")</f>
        <v>0</v>
      </c>
      <c r="AH15" s="101">
        <f>((A10_A_L15*Deshije_A)+(A10_B_L15*Deshije_B)+(A10_C_L15*Deshije_C)+(A10_D_L15*Deshije_D)+(A10_Y_L15*Deshije_Y))*Inflación_10</f>
        <v>0</v>
      </c>
      <c r="AI15" s="101">
        <f>SUMIFS('9'!$E:$E,'9'!$A:$A,Año_Inicial+9,'9'!$B:$B,'12'!AH$4,'9'!$D:$D,"Deshije")</f>
        <v>0</v>
      </c>
      <c r="AJ15" s="101">
        <f>((A10_A_L16*Deshije_A)+(A10_B_L16*Deshije_B)+(A10_C_L16*Deshije_C)+(A10_D_L16*Deshije_D)+(A10_Y_L16*Deshije_Y))*Inflación_10</f>
        <v>0</v>
      </c>
      <c r="AK15" s="101">
        <f>SUMIFS('9'!$E:$E,'9'!$A:$A,Año_Inicial+9,'9'!$B:$B,'12'!AJ$4,'9'!$D:$D,"Deshije")</f>
        <v>0</v>
      </c>
      <c r="AL15" s="101">
        <f>((A10_A_L17*Deshije_A)+(A10_B_L17*Deshije_B)+(A10_C_L17*Deshije_C)+(A10_D_L17*Deshije_D)+(A10_Y_L17*Deshije_Y))*Inflación_10</f>
        <v>0</v>
      </c>
      <c r="AM15" s="101">
        <f>SUMIFS('9'!$E:$E,'9'!$A:$A,Año_Inicial+9,'9'!$B:$B,'12'!AL$4,'9'!$D:$D,"Deshije")</f>
        <v>0</v>
      </c>
      <c r="AN15" s="101">
        <f>((A10_A_L18*Deshije_A)+(A10_B_L18*Deshije_B)+(A10_C_L18*Deshije_C)+(A10_D_L18*Deshije_D)+(A10_Y_L18*Deshije_Y))*Inflación_10</f>
        <v>0</v>
      </c>
      <c r="AO15" s="101">
        <f>SUMIFS('9'!$E:$E,'9'!$A:$A,Año_Inicial+9,'9'!$B:$B,'12'!AN$4,'9'!$D:$D,"Deshije")</f>
        <v>0</v>
      </c>
      <c r="AP15" s="101">
        <f>((A10_A_L19*Deshije_A)+(A10_B_L19*Deshije_B)+(A10_C_L19*Deshije_C)+(A10_D_L19*Deshije_D)+(A10_Y_L19*Deshije_Y))*Inflación_10</f>
        <v>0</v>
      </c>
      <c r="AQ15" s="101">
        <f>SUMIFS('9'!$E:$E,'9'!$A:$A,Año_Inicial+9,'9'!$B:$B,'12'!AP$4,'9'!$D:$D,"Deshije")</f>
        <v>0</v>
      </c>
      <c r="AR15" s="101">
        <f>((A10_A_L20*Deshije_A)+(A10_B_L20*Deshije_B)+(A10_C_L20*Deshije_C)+(A10_D_L20*Deshije_D)+(A10_Y_L20*Deshije_Y))*Inflación_10</f>
        <v>0</v>
      </c>
      <c r="AS15" s="101">
        <f>SUMIFS('9'!$E:$E,'9'!$A:$A,Año_Inicial+9,'9'!$B:$B,'12'!AR$4,'9'!$D:$D,"Deshije")</f>
        <v>0</v>
      </c>
      <c r="AT15" s="101">
        <f>((A10_A_L21*Deshije_A)+(A10_B_L21*Deshije_B)+(A10_C_L21*Deshije_C)+(A10_D_L21*Deshije_D)+(A10_Y_L21*Deshije_Y))*Inflación_10</f>
        <v>0</v>
      </c>
      <c r="AU15" s="101">
        <f>SUMIFS('9'!$E:$E,'9'!$A:$A,Año_Inicial+9,'9'!$B:$B,'12'!AT$4,'9'!$D:$D,"Deshije")</f>
        <v>0</v>
      </c>
      <c r="AV15" s="101">
        <f>((A10_A_L22*Deshije_A)+(A10_B_L22*Deshije_B)+(A10_C_L22*Deshije_C)+(A10_D_L22*Deshije_D)+(A10_Y_L22*Deshije_Y))*Inflación_10</f>
        <v>0</v>
      </c>
      <c r="AW15" s="101">
        <f>SUMIFS('9'!$E:$E,'9'!$A:$A,Año_Inicial+9,'9'!$B:$B,'12'!AV$4,'9'!$D:$D,"Deshije")</f>
        <v>0</v>
      </c>
      <c r="AX15" s="101">
        <f>((A10_A_L23*Deshije_A)+(A10_B_L23*Deshije_B)+(A10_C_L23*Deshije_C)+(A10_D_L23*Deshije_D)+(A10_Y_L23*Deshije_Y))*Inflación_10</f>
        <v>0</v>
      </c>
      <c r="AY15" s="101">
        <f>SUMIFS('9'!$E:$E,'9'!$A:$A,Año_Inicial+9,'9'!$B:$B,'12'!AX$4,'9'!$D:$D,"Deshije")</f>
        <v>0</v>
      </c>
      <c r="AZ15" s="101">
        <f>((A10_A_L24*Deshije_A)+(A10_B_L24*Deshije_B)+(A10_C_L24*Deshije_C)+(A10_D_L24*Deshije_D)+(A10_Y_L24*Deshije_Y))*Inflación_10</f>
        <v>0</v>
      </c>
      <c r="BA15" s="101">
        <f>SUMIFS('9'!$E:$E,'9'!$A:$A,Año_Inicial+9,'9'!$B:$B,'12'!AZ$4,'9'!$D:$D,"Deshije")</f>
        <v>0</v>
      </c>
      <c r="BB15" s="101">
        <f>((A10_A_L25*Deshije_A)+(A10_B_L25*Deshije_B)+(A10_C_L25*Deshije_C)+(A10_D_L25*Deshije_D)+(A10_Y_L25*Deshije_Y))*Inflación_10</f>
        <v>0</v>
      </c>
      <c r="BC15" s="101">
        <f>SUMIFS('9'!$E:$E,'9'!$A:$A,Año_Inicial+9,'9'!$B:$B,'12'!BB$4,'9'!$D:$D,"Deshije")</f>
        <v>0</v>
      </c>
      <c r="BD15" s="101">
        <f>((A10_A_L26*Deshije_A)+(A10_B_L26*Deshije_B)+(A10_C_L26*Deshije_C)+(A10_D_L26*Deshije_D)+(A10_Y_L26*Deshije_Y))*Inflación_10</f>
        <v>0</v>
      </c>
      <c r="BE15" s="101">
        <f>SUMIFS('9'!$E:$E,'9'!$A:$A,Año_Inicial+9,'9'!$B:$B,'12'!BD$4,'9'!$D:$D,"Deshije")</f>
        <v>0</v>
      </c>
      <c r="BF15" s="101">
        <f>((A10_A_L27*Deshije_A)+(A10_B_L27*Deshije_B)+(A10_C_L27*Deshije_C)+(A10_D_L27*Deshije_D)+(A10_Y_L27*Deshije_Y))*Inflación_10</f>
        <v>0</v>
      </c>
      <c r="BG15" s="101">
        <f>SUMIFS('9'!$E:$E,'9'!$A:$A,Año_Inicial+9,'9'!$B:$B,'12'!BF$4,'9'!$D:$D,"Deshije")</f>
        <v>0</v>
      </c>
      <c r="BH15" s="101">
        <f>((A10_A_L28*Deshije_A)+(A10_B_L28*Deshije_B)+(A10_C_L28*Deshije_C)+(A10_D_L28*Deshije_D)+(A10_Y_L28*Deshije_Y))*Inflación_10</f>
        <v>0</v>
      </c>
      <c r="BI15" s="101">
        <f>SUMIFS('9'!$E:$E,'9'!$A:$A,Año_Inicial+9,'9'!$B:$B,'12'!BH$4,'9'!$D:$D,"Deshije")</f>
        <v>0</v>
      </c>
      <c r="BJ15" s="101">
        <f>((A10_A_L29*Deshije_A)+(A10_B_L29*Deshije_B)+(A10_C_L29*Deshije_C)+(A10_D_L29*Deshije_D)+(A10_Y_L29*Deshije_Y))*Inflación_10</f>
        <v>0</v>
      </c>
      <c r="BK15" s="101">
        <f>SUMIFS('9'!$E:$E,'9'!$A:$A,Año_Inicial+9,'9'!$B:$B,'12'!BJ$4,'9'!$D:$D,"Deshije")</f>
        <v>0</v>
      </c>
      <c r="BL15" s="101">
        <f>((A10_A_L30*Deshije_A)+(A10_B_L30*Deshije_B)+(A10_C_L30*Deshije_C)+(A10_D_L30*Deshije_D)+(A10_Y_L30*Deshije_Y))*Inflación_10</f>
        <v>0</v>
      </c>
      <c r="BM15" s="101">
        <f>SUMIFS('9'!$E:$E,'9'!$A:$A,Año_Inicial+9,'9'!$B:$B,'12'!BL$4,'9'!$D:$D,"Deshije")</f>
        <v>0</v>
      </c>
      <c r="BN15" s="101">
        <f>((A10_A_L31*Deshije_A)+(A10_B_L31*Deshije_B)+(A10_C_L31*Deshije_C)+(A10_D_L31*Deshije_D)+(A10_Y_L31*Deshije_Y))*Inflación_10</f>
        <v>0</v>
      </c>
      <c r="BO15" s="101">
        <f>SUMIFS('9'!$E:$E,'9'!$A:$A,Año_Inicial+9,'9'!$B:$B,'12'!BN$4,'9'!$D:$D,"Deshije")</f>
        <v>0</v>
      </c>
      <c r="BP15" s="101">
        <f>((A10_A_L32*Deshije_A)+(A10_B_L32*Deshije_B)+(A10_C_L32*Deshije_C)+(A10_D_L32*Deshije_D)+(A10_Y_L32*Deshije_Y))*Inflación_10</f>
        <v>0</v>
      </c>
      <c r="BQ15" s="101">
        <f>SUMIFS('9'!$E:$E,'9'!$A:$A,Año_Inicial+9,'9'!$B:$B,'12'!BP$4,'9'!$D:$D,"Deshije")</f>
        <v>0</v>
      </c>
      <c r="BR15" s="101">
        <f>((A10_A_L33*Deshije_A)+(A10_B_L33*Deshije_B)+(A10_C_L33*Deshije_C)+(A10_D_L33*Deshije_D)+(A10_Y_L33*Deshije_Y))*Inflación_10</f>
        <v>0</v>
      </c>
      <c r="BS15" s="101">
        <f>SUMIFS('9'!$E:$E,'9'!$A:$A,Año_Inicial+9,'9'!$B:$B,'12'!BR$4,'9'!$D:$D,"Deshije")</f>
        <v>0</v>
      </c>
      <c r="BT15" s="101">
        <f>((A10_A_L34*Deshije_A)+(A10_B_L34*Deshije_B)+(A10_C_L34*Deshije_C)+(A10_D_L34*Deshije_D)+(A10_Y_L34*Deshije_Y))*Inflación_10</f>
        <v>0</v>
      </c>
      <c r="BU15" s="101">
        <f>SUMIFS('9'!$E:$E,'9'!$A:$A,Año_Inicial+9,'9'!$B:$B,'12'!BT$4,'9'!$D:$D,"Deshije")</f>
        <v>0</v>
      </c>
      <c r="BV15" s="101">
        <f>((A10_A_L35*Deshije_A)+(A10_B_L35*Deshije_B)+(A10_C_L35*Deshije_C)+(A10_D_L35*Deshije_D)+(A10_Y_L35*Deshije_Y))*Inflación_10</f>
        <v>0</v>
      </c>
      <c r="BW15" s="101">
        <f>SUMIFS('9'!$E:$E,'9'!$A:$A,Año_Inicial+9,'9'!$B:$B,'12'!BV$4,'9'!$D:$D,"Deshije")</f>
        <v>0</v>
      </c>
      <c r="BX15" s="101">
        <f>((A10_A_L36*Deshije_A)+(A10_B_L36*Deshije_B)+(A10_C_L36*Deshije_C)+(A10_D_L36*Deshije_D)+(A10_Y_L36*Deshije_Y))*Inflación_10</f>
        <v>0</v>
      </c>
      <c r="BY15" s="101">
        <f>SUMIFS('9'!$E:$E,'9'!$A:$A,Año_Inicial+9,'9'!$B:$B,'12'!BX$4,'9'!$D:$D,"Deshije")</f>
        <v>0</v>
      </c>
      <c r="BZ15" s="101">
        <f>((A10_A_L37*Deshije_A)+(A10_B_L37*Deshije_B)+(A10_C_L37*Deshije_C)+(A10_D_L37*Deshije_D)+(A10_Y_L37*Deshije_Y))*Inflación_10</f>
        <v>0</v>
      </c>
      <c r="CA15" s="101">
        <f>SUMIFS('9'!$E:$E,'9'!$A:$A,Año_Inicial+9,'9'!$B:$B,'12'!BZ$4,'9'!$D:$D,"Deshije")</f>
        <v>0</v>
      </c>
      <c r="CB15" s="101">
        <f>((A10_A_L38*Deshije_A)+(A10_B_L38*Deshije_B)+(A10_C_L38*Deshije_C)+(A10_D_L38*Deshije_D)+(A10_Y_L38*Deshije_Y))*Inflación_10</f>
        <v>0</v>
      </c>
      <c r="CC15" s="101">
        <f>SUMIFS('9'!$E:$E,'9'!$A:$A,Año_Inicial+9,'9'!$B:$B,'12'!CB$4,'9'!$D:$D,"Deshije")</f>
        <v>0</v>
      </c>
      <c r="CD15" s="101">
        <f>((A10_A_L39*Deshije_A)+(A10_B_L39*Deshije_B)+(A10_C_L39*Deshije_C)+(A10_D_L39*Deshije_D)+(A10_Y_L39*Deshije_Y))*Inflación_10</f>
        <v>0</v>
      </c>
      <c r="CE15" s="101">
        <f>SUMIFS('9'!$E:$E,'9'!$A:$A,Año_Inicial+9,'9'!$B:$B,'12'!CD$4,'9'!$D:$D,"Deshije")</f>
        <v>0</v>
      </c>
      <c r="CF15" s="101">
        <f>((A10_A_L40*Deshije_A)+(A10_B_L40*Deshije_B)+(A10_C_L40*Deshije_C)+(A10_D_L40*Deshije_D)+(A10_Y_L40*Deshije_Y))*Inflación_10</f>
        <v>0</v>
      </c>
      <c r="CG15" s="101">
        <f>SUMIFS('9'!$E:$E,'9'!$A:$A,Año_Inicial+9,'9'!$B:$B,'12'!CF$4,'9'!$D:$D,"Deshije")</f>
        <v>0</v>
      </c>
      <c r="CH15" s="473"/>
      <c r="CI15" s="101">
        <f>Plantas_A_A10*Deshije_A*Inflación_10</f>
        <v>0</v>
      </c>
      <c r="CJ15" s="101">
        <f>Plantas_B_A10*Deshije_B</f>
        <v>0</v>
      </c>
      <c r="CK15" s="101">
        <f>Plantas_C_A10*Deshije_C</f>
        <v>0</v>
      </c>
      <c r="CL15" s="101">
        <f>Plantas_D_A10*Deshije_D</f>
        <v>0</v>
      </c>
      <c r="CM15" s="101"/>
      <c r="CN15" s="101">
        <f>Plantas_Y_A10*Deshije_Y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SUMIFS('9'!$E:$E,'9'!$A:$A,Año_Inicial+9,'9'!$D:$D,"Aplicación de fertilizante")</f>
        <v>0</v>
      </c>
      <c r="D17" s="100">
        <f t="shared" si="45"/>
        <v>0</v>
      </c>
      <c r="E17" s="473"/>
      <c r="F17" s="101">
        <f>((A10_A_L1*Nutrición_A)+(A10_B_L1*Nutrición_B)+(A10_C_L1*Nutrición_C)+(A10_D_L1*Nutrición_D)+(A10_Y_L1*Nutrición_Y))*Inflación_10</f>
        <v>0</v>
      </c>
      <c r="G17" s="101">
        <f>SUMIFS('9'!$E:$E,'9'!$A:$A,Año_Inicial+9,'9'!$B:$B,'12'!F$4,'9'!$D:$D,"Aplicación de fertilizante")</f>
        <v>0</v>
      </c>
      <c r="H17" s="101">
        <f>((A10_A_L2*Nutrición_A)+(A10_B_L2*Nutrición_B)+(A10_C_L2*Nutrición_C)+(A10_D_L2*Nutrición_D)+(A10_Y_L2*Nutrición_Y))*Inflación_10</f>
        <v>0</v>
      </c>
      <c r="I17" s="101">
        <f>SUMIFS('9'!$E:$E,'9'!$A:$A,Año_Inicial+9,'9'!$B:$B,'12'!H$4,'9'!$D:$D,"Aplicación de fertilizante")</f>
        <v>0</v>
      </c>
      <c r="J17" s="101">
        <f>((A10_A_L3*Nutrición_A)+(A10_B_L3*Nutrición_B)+(A10_C_L3*Nutrición_C)+(A10_D_L3*Nutrición_D)+(A10_Y_L3*Nutrición_Y))*Inflación_10</f>
        <v>0</v>
      </c>
      <c r="K17" s="101">
        <f>SUMIFS('9'!$E:$E,'9'!$A:$A,Año_Inicial+9,'9'!$B:$B,'12'!J$4,'9'!$D:$D,"Aplicación de fertilizante")</f>
        <v>0</v>
      </c>
      <c r="L17" s="101">
        <f>((A10_A_L4*Nutrición_A)+(A10_B_L4*Nutrición_B)+(A10_C_L4*Nutrición_C)+(A10_D_L4*Nutrición_D)+(A10_Y_L4*Nutrición_Y))*Inflación_10</f>
        <v>0</v>
      </c>
      <c r="M17" s="101">
        <f>SUMIFS('9'!$E:$E,'9'!$A:$A,Año_Inicial+9,'9'!$B:$B,'12'!L$4,'9'!$D:$D,"Aplicación de fertilizante")</f>
        <v>0</v>
      </c>
      <c r="N17" s="101">
        <f>((A10_A_L5*Nutrición_A)+(A10_B_L5*Nutrición_B)+(A10_C_L5*Nutrición_C)+(A10_D_L5*Nutrición_D)+(A10_Y_L5*Nutrición_Y))*Inflación_10</f>
        <v>0</v>
      </c>
      <c r="O17" s="101">
        <f>SUMIFS('9'!$E:$E,'9'!$A:$A,Año_Inicial+9,'9'!$B:$B,'12'!N$4,'9'!$D:$D,"Aplicación de fertilizante")</f>
        <v>0</v>
      </c>
      <c r="P17" s="101">
        <f>((A10_A_L6*Nutrición_A)+(A10_B_L6*Nutrición_B)+(A10_C_L6*Nutrición_C)+(A10_D_L6*Nutrición_D)+(A10_Y_L6*Nutrición_Y))*Inflación_10</f>
        <v>0</v>
      </c>
      <c r="Q17" s="101">
        <f>SUMIFS('9'!$E:$E,'9'!$A:$A,Año_Inicial+9,'9'!$B:$B,'12'!P$4,'9'!$D:$D,"Aplicación de fertilizante")</f>
        <v>0</v>
      </c>
      <c r="R17" s="101">
        <f>((A10_A_L7*Nutrición_A)+(A10_B_L7*Nutrición_B)+(A10_C_L7*Nutrición_C)+(A10_D_L7*Nutrición_D)+(A10_Y_L7*Nutrición_Y))*Inflación_10</f>
        <v>0</v>
      </c>
      <c r="S17" s="101">
        <f>SUMIFS('9'!$E:$E,'9'!$A:$A,Año_Inicial+9,'9'!$B:$B,'12'!R$4,'9'!$D:$D,"Aplicación de fertilizante")</f>
        <v>0</v>
      </c>
      <c r="T17" s="101">
        <f>((A10_A_L8*Nutrición_A)+(A10_B_L8*Nutrición_B)+(A10_C_L8*Nutrición_C)+(A10_D_L8*Nutrición_D)+(A10_Y_L8*Nutrición_Y))*Inflación_10</f>
        <v>0</v>
      </c>
      <c r="U17" s="101">
        <f>SUMIFS('9'!$E:$E,'9'!$A:$A,Año_Inicial+9,'9'!$B:$B,'12'!T$4,'9'!$D:$D,"Aplicación de fertilizante")</f>
        <v>0</v>
      </c>
      <c r="V17" s="101">
        <f>((A10_A_L9*Nutrición_A)+(A10_B_L9*Nutrición_B)+(A10_C_L9*Nutrición_C)+(A10_D_L9*Nutrición_D)+(A10_Y_L9*Nutrición_Y))*Inflación_10</f>
        <v>0</v>
      </c>
      <c r="W17" s="101">
        <f>SUMIFS('9'!$E:$E,'9'!$A:$A,Año_Inicial+9,'9'!$B:$B,'12'!V$4,'9'!$D:$D,"Aplicación de fertilizante")</f>
        <v>0</v>
      </c>
      <c r="X17" s="101">
        <f>((A10_A_L10*Nutrición_A)+(A10_B_L10*Nutrición_B)+(A10_C_L10*Nutrición_C)+(A10_D_L10*Nutrición_D)+(A10_Y_L10*Nutrición_Y))*Inflación_10</f>
        <v>0</v>
      </c>
      <c r="Y17" s="101">
        <f>SUMIFS('9'!$E:$E,'9'!$A:$A,Año_Inicial+9,'9'!$B:$B,'12'!X$4,'9'!$D:$D,"Aplicación de fertilizante")</f>
        <v>0</v>
      </c>
      <c r="Z17" s="101">
        <f>((A10_A_L11*Nutrición_A)+(A10_B_L11*Nutrición_B)+(A10_C_L11*Nutrición_C)+(A10_D_L11*Nutrición_D)+(A10_Y_L11*Nutrición_Y))*Inflación_10</f>
        <v>0</v>
      </c>
      <c r="AA17" s="101">
        <f>SUMIFS('9'!$E:$E,'9'!$A:$A,Año_Inicial+9,'9'!$B:$B,'12'!Z$4,'9'!$D:$D,"Aplicación de fertilizante")</f>
        <v>0</v>
      </c>
      <c r="AB17" s="101">
        <f>((A10_A_L12*Nutrición_A)+(A10_B_L12*Nutrición_B)+(A10_C_L12*Nutrición_C)+(A10_D_L12*Nutrición_D)+(A10_Y_L12*Nutrición_Y))*Inflación_10</f>
        <v>0</v>
      </c>
      <c r="AC17" s="101">
        <f>SUMIFS('9'!$E:$E,'9'!$A:$A,Año_Inicial+9,'9'!$B:$B,'12'!AB$4,'9'!$D:$D,"Aplicación de fertilizante")</f>
        <v>0</v>
      </c>
      <c r="AD17" s="101">
        <f>((A10_A_L13*Nutrición_A)+(A10_B_L13*Nutrición_B)+(A10_C_L13*Nutrición_C)+(A10_D_L13*Nutrición_D)+(A10_Y_L13*Nutrición_Y))*Inflación_10</f>
        <v>0</v>
      </c>
      <c r="AE17" s="101">
        <f>SUMIFS('9'!$E:$E,'9'!$A:$A,Año_Inicial+9,'9'!$B:$B,'12'!AD$4,'9'!$D:$D,"Aplicación de fertilizante")</f>
        <v>0</v>
      </c>
      <c r="AF17" s="101">
        <f>((A10_A_L14*Nutrición_A)+(A10_B_L14*Nutrición_B)+(A10_C_L14*Nutrición_C)+(A10_D_L14*Nutrición_D)+(A10_Y_L14*Nutrición_Y))*Inflación_10</f>
        <v>0</v>
      </c>
      <c r="AG17" s="101">
        <f>SUMIFS('9'!$E:$E,'9'!$A:$A,Año_Inicial+9,'9'!$B:$B,'12'!AF$4,'9'!$D:$D,"Aplicación de fertilizante")</f>
        <v>0</v>
      </c>
      <c r="AH17" s="101">
        <f>((A10_A_L15*Nutrición_A)+(A10_B_L15*Nutrición_B)+(A10_C_L15*Nutrición_C)+(A10_D_L15*Nutrición_D)+(A10_Y_L15*Nutrición_Y))*Inflación_10</f>
        <v>0</v>
      </c>
      <c r="AI17" s="101">
        <f>SUMIFS('9'!$E:$E,'9'!$A:$A,Año_Inicial+9,'9'!$B:$B,'12'!AH$4,'9'!$D:$D,"Aplicación de fertilizante")</f>
        <v>0</v>
      </c>
      <c r="AJ17" s="101">
        <f>((A10_A_L16*Nutrición_A)+(A10_B_L16*Nutrición_B)+(A10_C_L16*Nutrición_C)+(A10_D_L16*Nutrición_D)+(A10_Y_L16*Nutrición_Y))*Inflación_10</f>
        <v>0</v>
      </c>
      <c r="AK17" s="101">
        <f>SUMIFS('9'!$E:$E,'9'!$A:$A,Año_Inicial+9,'9'!$B:$B,'12'!AJ$4,'9'!$D:$D,"Aplicación de fertilizante")</f>
        <v>0</v>
      </c>
      <c r="AL17" s="101">
        <f>((A10_A_L17*Nutrición_A)+(A10_B_L17*Nutrición_B)+(A10_C_L17*Nutrición_C)+(A10_D_L17*Nutrición_D)+(A10_Y_L17*Nutrición_Y))*Inflación_10</f>
        <v>0</v>
      </c>
      <c r="AM17" s="101">
        <f>SUMIFS('9'!$E:$E,'9'!$A:$A,Año_Inicial+9,'9'!$B:$B,'12'!AL$4,'9'!$D:$D,"Aplicación de fertilizante")</f>
        <v>0</v>
      </c>
      <c r="AN17" s="101">
        <f>((A10_A_L18*Nutrición_A)+(A10_B_L18*Nutrición_B)+(A10_C_L18*Nutrición_C)+(A10_D_L18*Nutrición_D)+(A10_Y_L18*Nutrición_Y))*Inflación_10</f>
        <v>0</v>
      </c>
      <c r="AO17" s="101">
        <f>SUMIFS('9'!$E:$E,'9'!$A:$A,Año_Inicial+9,'9'!$B:$B,'12'!AN$4,'9'!$D:$D,"Aplicación de fertilizante")</f>
        <v>0</v>
      </c>
      <c r="AP17" s="101">
        <f>((A10_A_L19*Nutrición_A)+(A10_B_L19*Nutrición_B)+(A10_C_L19*Nutrición_C)+(A10_D_L19*Nutrición_D)+(A10_Y_L19*Nutrición_Y))*Inflación_10</f>
        <v>0</v>
      </c>
      <c r="AQ17" s="101">
        <f>SUMIFS('9'!$E:$E,'9'!$A:$A,Año_Inicial+9,'9'!$B:$B,'12'!AP$4,'9'!$D:$D,"Aplicación de fertilizante")</f>
        <v>0</v>
      </c>
      <c r="AR17" s="101">
        <f>((A10_A_L20*Nutrición_A)+(A10_B_L20*Nutrición_B)+(A10_C_L20*Nutrición_C)+(A10_D_L20*Nutrición_D)+(A10_Y_L20*Nutrición_Y))*Inflación_10</f>
        <v>0</v>
      </c>
      <c r="AS17" s="101">
        <f>SUMIFS('9'!$E:$E,'9'!$A:$A,Año_Inicial+9,'9'!$B:$B,'12'!AR$4,'9'!$D:$D,"Aplicación de fertilizante")</f>
        <v>0</v>
      </c>
      <c r="AT17" s="101">
        <f>((A10_A_L21*Nutrición_A)+(A10_B_L21*Nutrición_B)+(A10_C_L21*Nutrición_C)+(A10_D_L21*Nutrición_D)+(A10_Y_L21*Nutrición_Y))*Inflación_10</f>
        <v>0</v>
      </c>
      <c r="AU17" s="101">
        <f>SUMIFS('9'!$E:$E,'9'!$A:$A,Año_Inicial+9,'9'!$B:$B,'12'!AT$4,'9'!$D:$D,"Aplicación de fertilizante")</f>
        <v>0</v>
      </c>
      <c r="AV17" s="101">
        <f>((A10_A_L22*Nutrición_A)+(A10_B_L22*Nutrición_B)+(A10_C_L22*Nutrición_C)+(A10_D_L22*Nutrición_D)+(A10_Y_L22*Nutrición_Y))*Inflación_10</f>
        <v>0</v>
      </c>
      <c r="AW17" s="101">
        <f>SUMIFS('9'!$E:$E,'9'!$A:$A,Año_Inicial+9,'9'!$B:$B,'12'!AV$4,'9'!$D:$D,"Aplicación de fertilizante")</f>
        <v>0</v>
      </c>
      <c r="AX17" s="101">
        <f>((A10_A_L23*Nutrición_A)+(A10_B_L23*Nutrición_B)+(A10_C_L23*Nutrición_C)+(A10_D_L23*Nutrición_D)+(A10_Y_L23*Nutrición_Y))*Inflación_10</f>
        <v>0</v>
      </c>
      <c r="AY17" s="101">
        <f>SUMIFS('9'!$E:$E,'9'!$A:$A,Año_Inicial+9,'9'!$B:$B,'12'!AX$4,'9'!$D:$D,"Aplicación de fertilizante")</f>
        <v>0</v>
      </c>
      <c r="AZ17" s="101">
        <f>((A10_A_L24*Nutrición_A)+(A10_B_L24*Nutrición_B)+(A10_C_L24*Nutrición_C)+(A10_D_L24*Nutrición_D)+(A10_Y_L24*Nutrición_Y))*Inflación_10</f>
        <v>0</v>
      </c>
      <c r="BA17" s="101">
        <f>SUMIFS('9'!$E:$E,'9'!$A:$A,Año_Inicial+9,'9'!$B:$B,'12'!AZ$4,'9'!$D:$D,"Aplicación de fertilizante")</f>
        <v>0</v>
      </c>
      <c r="BB17" s="101">
        <f>((A10_A_L25*Nutrición_A)+(A10_B_L25*Nutrición_B)+(A10_C_L25*Nutrición_C)+(A10_D_L25*Nutrición_D)+(A10_Y_L25*Nutrición_Y))*Inflación_10</f>
        <v>0</v>
      </c>
      <c r="BC17" s="101">
        <f>SUMIFS('9'!$E:$E,'9'!$A:$A,Año_Inicial+9,'9'!$B:$B,'12'!BB$4,'9'!$D:$D,"Aplicación de fertilizante")</f>
        <v>0</v>
      </c>
      <c r="BD17" s="101">
        <f>((A10_A_L26*Nutrición_A)+(A10_B_L26*Nutrición_B)+(A10_C_L26*Nutrición_C)+(A10_D_L26*Nutrición_D)+(A10_Y_L26*Nutrición_Y))*Inflación_10</f>
        <v>0</v>
      </c>
      <c r="BE17" s="101">
        <f>SUMIFS('9'!$E:$E,'9'!$A:$A,Año_Inicial+9,'9'!$B:$B,'12'!BD$4,'9'!$D:$D,"Aplicación de fertilizante")</f>
        <v>0</v>
      </c>
      <c r="BF17" s="101">
        <f>((A10_A_L27*Nutrición_A)+(A10_B_L27*Nutrición_B)+(A10_C_L27*Nutrición_C)+(A10_D_L27*Nutrición_D)+(A10_Y_L27*Nutrición_Y))*Inflación_10</f>
        <v>0</v>
      </c>
      <c r="BG17" s="101">
        <f>SUMIFS('9'!$E:$E,'9'!$A:$A,Año_Inicial+9,'9'!$B:$B,'12'!BF$4,'9'!$D:$D,"Aplicación de fertilizante")</f>
        <v>0</v>
      </c>
      <c r="BH17" s="101">
        <f>((A10_A_L28*Nutrición_A)+(A10_B_L28*Nutrición_B)+(A10_C_L28*Nutrición_C)+(A10_D_L28*Nutrición_D)+(A10_Y_L28*Nutrición_Y))*Inflación_10</f>
        <v>0</v>
      </c>
      <c r="BI17" s="101">
        <f>SUMIFS('9'!$E:$E,'9'!$A:$A,Año_Inicial+9,'9'!$B:$B,'12'!BH$4,'9'!$D:$D,"Aplicación de fertilizante")</f>
        <v>0</v>
      </c>
      <c r="BJ17" s="101">
        <f>((A10_A_L29*Nutrición_A)+(A10_B_L29*Nutrición_B)+(A10_C_L29*Nutrición_C)+(A10_D_L29*Nutrición_D)+(A10_Y_L29*Nutrición_Y))*Inflación_10</f>
        <v>0</v>
      </c>
      <c r="BK17" s="101">
        <f>SUMIFS('9'!$E:$E,'9'!$A:$A,Año_Inicial+9,'9'!$B:$B,'12'!BJ$4,'9'!$D:$D,"Aplicación de fertilizante")</f>
        <v>0</v>
      </c>
      <c r="BL17" s="101">
        <f>((A10_A_L30*Nutrición_A)+(A10_B_L30*Nutrición_B)+(A10_C_L30*Nutrición_C)+(A10_D_L30*Nutrición_D)+(A10_Y_L30*Nutrición_Y))*Inflación_10</f>
        <v>0</v>
      </c>
      <c r="BM17" s="101">
        <f>SUMIFS('9'!$E:$E,'9'!$A:$A,Año_Inicial+9,'9'!$B:$B,'12'!BL$4,'9'!$D:$D,"Aplicación de fertilizante")</f>
        <v>0</v>
      </c>
      <c r="BN17" s="101">
        <f>((A10_A_L31*Nutrición_A)+(A10_B_L31*Nutrición_B)+(A10_C_L31*Nutrición_C)+(A10_D_L31*Nutrición_D)+(A10_Y_L31*Nutrición_Y))*Inflación_10</f>
        <v>0</v>
      </c>
      <c r="BO17" s="101">
        <f>SUMIFS('9'!$E:$E,'9'!$A:$A,Año_Inicial+9,'9'!$B:$B,'12'!BN$4,'9'!$D:$D,"Aplicación de fertilizante")</f>
        <v>0</v>
      </c>
      <c r="BP17" s="101">
        <f>((A10_A_L32*Nutrición_A)+(A10_B_L32*Nutrición_B)+(A10_C_L32*Nutrición_C)+(A10_D_L32*Nutrición_D)+(A10_Y_L32*Nutrición_Y))*Inflación_10</f>
        <v>0</v>
      </c>
      <c r="BQ17" s="101">
        <f>SUMIFS('9'!$E:$E,'9'!$A:$A,Año_Inicial+9,'9'!$B:$B,'12'!BP$4,'9'!$D:$D,"Aplicación de fertilizante")</f>
        <v>0</v>
      </c>
      <c r="BR17" s="101">
        <f>((A10_A_L33*Nutrición_A)+(A10_B_L33*Nutrición_B)+(A10_C_L33*Nutrición_C)+(A10_D_L33*Nutrición_D)+(A10_Y_L33*Nutrición_Y))*Inflación_10</f>
        <v>0</v>
      </c>
      <c r="BS17" s="101">
        <f>SUMIFS('9'!$E:$E,'9'!$A:$A,Año_Inicial+9,'9'!$B:$B,'12'!BR$4,'9'!$D:$D,"Aplicación de fertilizante")</f>
        <v>0</v>
      </c>
      <c r="BT17" s="101">
        <f>((A10_A_L34*Nutrición_A)+(A10_B_L34*Nutrición_B)+(A10_C_L34*Nutrición_C)+(A10_D_L34*Nutrición_D)+(A10_Y_L34*Nutrición_Y))*Inflación_10</f>
        <v>0</v>
      </c>
      <c r="BU17" s="101">
        <f>SUMIFS('9'!$E:$E,'9'!$A:$A,Año_Inicial+9,'9'!$B:$B,'12'!BT$4,'9'!$D:$D,"Aplicación de fertilizante")</f>
        <v>0</v>
      </c>
      <c r="BV17" s="101">
        <f>((A10_A_L35*Nutrición_A)+(A10_B_L35*Nutrición_B)+(A10_C_L35*Nutrición_C)+(A10_D_L35*Nutrición_D)+(A10_Y_L35*Nutrición_Y))*Inflación_10</f>
        <v>0</v>
      </c>
      <c r="BW17" s="101">
        <f>SUMIFS('9'!$E:$E,'9'!$A:$A,Año_Inicial+9,'9'!$B:$B,'12'!BV$4,'9'!$D:$D,"Aplicación de fertilizante")</f>
        <v>0</v>
      </c>
      <c r="BX17" s="101">
        <f>((A10_A_L36*Nutrición_A)+(A10_B_L36*Nutrición_B)+(A10_C_L36*Nutrición_C)+(A10_D_L36*Nutrición_D)+(A10_Y_L36*Nutrición_Y))*Inflación_10</f>
        <v>0</v>
      </c>
      <c r="BY17" s="101">
        <f>SUMIFS('9'!$E:$E,'9'!$A:$A,Año_Inicial+9,'9'!$B:$B,'12'!BX$4,'9'!$D:$D,"Aplicación de fertilizante")</f>
        <v>0</v>
      </c>
      <c r="BZ17" s="101">
        <f>((A10_A_L37*Nutrición_A)+(A10_B_L37*Nutrición_B)+(A10_C_L37*Nutrición_C)+(A10_D_L37*Nutrición_D)+(A10_Y_L37*Nutrición_Y))*Inflación_10</f>
        <v>0</v>
      </c>
      <c r="CA17" s="101">
        <f>SUMIFS('9'!$E:$E,'9'!$A:$A,Año_Inicial+9,'9'!$B:$B,'12'!BZ$4,'9'!$D:$D,"Aplicación de fertilizante")</f>
        <v>0</v>
      </c>
      <c r="CB17" s="101">
        <f>((A10_A_L38*Nutrición_A)+(A10_B_L38*Nutrición_B)+(A10_C_L38*Nutrición_C)+(A10_D_L38*Nutrición_D)+(A10_Y_L38*Nutrición_Y))*Inflación_10</f>
        <v>0</v>
      </c>
      <c r="CC17" s="101">
        <f>SUMIFS('9'!$E:$E,'9'!$A:$A,Año_Inicial+9,'9'!$B:$B,'12'!CB$4,'9'!$D:$D,"Aplicación de fertilizante")</f>
        <v>0</v>
      </c>
      <c r="CD17" s="101">
        <f>((A10_A_L39*Nutrición_A)+(A10_B_L39*Nutrición_B)+(A10_C_L39*Nutrición_C)+(A10_D_L39*Nutrición_D)+(A10_Y_L39*Nutrición_Y))*Inflación_10</f>
        <v>0</v>
      </c>
      <c r="CE17" s="101">
        <f>SUMIFS('9'!$E:$E,'9'!$A:$A,Año_Inicial+9,'9'!$B:$B,'12'!CD$4,'9'!$D:$D,"Aplicación de fertilizante")</f>
        <v>0</v>
      </c>
      <c r="CF17" s="101">
        <f>((A10_A_L40*Nutrición_A)+(A10_B_L40*Nutrición_B)+(A10_C_L40*Nutrición_C)+(A10_D_L40*Nutrición_D)+(A10_Y_L40*Nutrición_Y))*Inflación_10</f>
        <v>0</v>
      </c>
      <c r="CG17" s="101">
        <f>SUMIFS('9'!$E:$E,'9'!$A:$A,Año_Inicial+9,'9'!$B:$B,'12'!CF$4,'9'!$D:$D,"Aplicación de fertilizante")</f>
        <v>0</v>
      </c>
      <c r="CH17" s="473"/>
      <c r="CI17" s="101">
        <f>Plantas_A_A10*Nutrición_A*Inflación_10</f>
        <v>0</v>
      </c>
      <c r="CJ17" s="101">
        <f>Plantas_B_A10*Nutrición_B</f>
        <v>0</v>
      </c>
      <c r="CK17" s="101">
        <f>Plantas_C_A10*Nutrición_C</f>
        <v>0</v>
      </c>
      <c r="CL17" s="101">
        <f>Plantas_D_A10*Nutrición_D</f>
        <v>0</v>
      </c>
      <c r="CM17" s="101"/>
      <c r="CN17" s="101">
        <f>Plantas_Y_A10*Nutrición_Y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SUMIFS('9'!$E:$E,'9'!$A:$A,Año_Inicial+9,'9'!$D:$D,"Aplicación de enmiendas")</f>
        <v>0</v>
      </c>
      <c r="D18" s="100">
        <f t="shared" si="45"/>
        <v>0</v>
      </c>
      <c r="E18" s="473"/>
      <c r="F18" s="101">
        <f>((A10_A_L1*Enmienda_A)+(A10_B_L1*Enmienda_B)+(A10_C_L1*Enmienda_C)+(A10_D_L1*Enmienda_D)+(A10_Y_L1*Enmienda_Y))*Inflación_10</f>
        <v>0</v>
      </c>
      <c r="G18" s="101">
        <f>SUMIFS('9'!$E:$E,'9'!$A:$A,Año_Inicial+9,'9'!$B:$B,'12'!F$4,'9'!$D:$D,"Aplicación de enmiendas")</f>
        <v>0</v>
      </c>
      <c r="H18" s="101">
        <f>((A10_A_L2*Enmienda_A)+(A10_B_L2*Enmienda_B)+(A10_C_L2*Enmienda_C)+(A10_D_L2*Enmienda_D)+(A10_Y_L2*Enmienda_Y))*Inflación_10</f>
        <v>0</v>
      </c>
      <c r="I18" s="101">
        <f>SUMIFS('9'!$E:$E,'9'!$A:$A,Año_Inicial+9,'9'!$B:$B,'12'!H$4,'9'!$D:$D,"Aplicación de enmiendas")</f>
        <v>0</v>
      </c>
      <c r="J18" s="101">
        <f>((A10_A_L3*Enmienda_A)+(A10_B_L3*Enmienda_B)+(A10_C_L3*Enmienda_C)+(A10_D_L3*Enmienda_D)+(A10_Y_L3*Enmienda_Y))*Inflación_10</f>
        <v>0</v>
      </c>
      <c r="K18" s="101">
        <f>SUMIFS('9'!$E:$E,'9'!$A:$A,Año_Inicial+9,'9'!$B:$B,'12'!J$4,'9'!$D:$D,"Aplicación de enmiendas")</f>
        <v>0</v>
      </c>
      <c r="L18" s="101">
        <f>((A10_A_L4*Enmienda_A)+(A10_B_L4*Enmienda_B)+(A10_C_L4*Enmienda_C)+(A10_D_L4*Enmienda_D)+(A10_Y_L4*Enmienda_Y))*Inflación_10</f>
        <v>0</v>
      </c>
      <c r="M18" s="101">
        <f>SUMIFS('9'!$E:$E,'9'!$A:$A,Año_Inicial+9,'9'!$B:$B,'12'!L$4,'9'!$D:$D,"Aplicación de enmiendas")</f>
        <v>0</v>
      </c>
      <c r="N18" s="101">
        <f>((A10_A_L5*Enmienda_A)+(A10_B_L5*Enmienda_B)+(A10_C_L5*Enmienda_C)+(A10_D_L5*Enmienda_D)+(A10_Y_L5*Enmienda_Y))*Inflación_10</f>
        <v>0</v>
      </c>
      <c r="O18" s="101">
        <f>SUMIFS('9'!$E:$E,'9'!$A:$A,Año_Inicial+9,'9'!$B:$B,'12'!N$4,'9'!$D:$D,"Aplicación de enmiendas")</f>
        <v>0</v>
      </c>
      <c r="P18" s="101">
        <f>((A10_A_L6*Enmienda_A)+(A10_B_L6*Enmienda_B)+(A10_C_L6*Enmienda_C)+(A10_D_L6*Enmienda_D)+(A10_Y_L6*Enmienda_Y))*Inflación_10</f>
        <v>0</v>
      </c>
      <c r="Q18" s="101">
        <f>SUMIFS('9'!$E:$E,'9'!$A:$A,Año_Inicial+9,'9'!$B:$B,'12'!P$4,'9'!$D:$D,"Aplicación de enmiendas")</f>
        <v>0</v>
      </c>
      <c r="R18" s="101">
        <f>((A10_A_L7*Enmienda_A)+(A10_B_L7*Enmienda_B)+(A10_C_L7*Enmienda_C)+(A10_D_L7*Enmienda_D)+(A10_Y_L7*Enmienda_Y))*Inflación_10</f>
        <v>0</v>
      </c>
      <c r="S18" s="101">
        <f>SUMIFS('9'!$E:$E,'9'!$A:$A,Año_Inicial+9,'9'!$B:$B,'12'!R$4,'9'!$D:$D,"Aplicación de enmiendas")</f>
        <v>0</v>
      </c>
      <c r="T18" s="101">
        <f>((A10_A_L8*Enmienda_A)+(A10_B_L8*Enmienda_B)+(A10_C_L8*Enmienda_C)+(A10_D_L8*Enmienda_D)+(A10_Y_L8*Enmienda_Y))*Inflación_10</f>
        <v>0</v>
      </c>
      <c r="U18" s="101">
        <f>SUMIFS('9'!$E:$E,'9'!$A:$A,Año_Inicial+9,'9'!$B:$B,'12'!T$4,'9'!$D:$D,"Aplicación de enmiendas")</f>
        <v>0</v>
      </c>
      <c r="V18" s="101">
        <f>((A10_A_L9*Enmienda_A)+(A10_B_L9*Enmienda_B)+(A10_C_L9*Enmienda_C)+(A10_D_L9*Enmienda_D)+(A10_Y_L9*Enmienda_Y))*Inflación_10</f>
        <v>0</v>
      </c>
      <c r="W18" s="101">
        <f>SUMIFS('9'!$E:$E,'9'!$A:$A,Año_Inicial+9,'9'!$B:$B,'12'!V$4,'9'!$D:$D,"Aplicación de enmiendas")</f>
        <v>0</v>
      </c>
      <c r="X18" s="101">
        <f>((A10_A_L10*Enmienda_A)+(A10_B_L10*Enmienda_B)+(A10_C_L10*Enmienda_C)+(A10_D_L10*Enmienda_D)+(A10_Y_L10*Enmienda_Y))*Inflación_10</f>
        <v>0</v>
      </c>
      <c r="Y18" s="101">
        <f>SUMIFS('9'!$E:$E,'9'!$A:$A,Año_Inicial+9,'9'!$B:$B,'12'!X$4,'9'!$D:$D,"Aplicación de enmiendas")</f>
        <v>0</v>
      </c>
      <c r="Z18" s="101">
        <f>((A10_A_L11*Enmienda_A)+(A10_B_L11*Enmienda_B)+(A10_C_L11*Enmienda_C)+(A10_D_L11*Enmienda_D)+(A10_Y_L11*Enmienda_Y))*Inflación_10</f>
        <v>0</v>
      </c>
      <c r="AA18" s="101">
        <f>SUMIFS('9'!$E:$E,'9'!$A:$A,Año_Inicial+9,'9'!$B:$B,'12'!Z$4,'9'!$D:$D,"Aplicación de enmiendas")</f>
        <v>0</v>
      </c>
      <c r="AB18" s="101">
        <f>((A10_A_L12*Enmienda_A)+(A10_B_L12*Enmienda_B)+(A10_C_L12*Enmienda_C)+(A10_D_L12*Enmienda_D)+(A10_Y_L12*Enmienda_Y))*Inflación_10</f>
        <v>0</v>
      </c>
      <c r="AC18" s="101">
        <f>SUMIFS('9'!$E:$E,'9'!$A:$A,Año_Inicial+9,'9'!$B:$B,'12'!AB$4,'9'!$D:$D,"Aplicación de enmiendas")</f>
        <v>0</v>
      </c>
      <c r="AD18" s="101">
        <f>((A10_A_L13*Enmienda_A)+(A10_B_L13*Enmienda_B)+(A10_C_L13*Enmienda_C)+(A10_D_L13*Enmienda_D)+(A10_Y_L13*Enmienda_Y))*Inflación_10</f>
        <v>0</v>
      </c>
      <c r="AE18" s="101">
        <f>SUMIFS('9'!$E:$E,'9'!$A:$A,Año_Inicial+9,'9'!$B:$B,'12'!AD$4,'9'!$D:$D,"Aplicación de enmiendas")</f>
        <v>0</v>
      </c>
      <c r="AF18" s="101">
        <f>((A10_A_L14*Enmienda_A)+(A10_B_L14*Enmienda_B)+(A10_C_L14*Enmienda_C)+(A10_D_L14*Enmienda_D)+(A10_Y_L14*Enmienda_Y))*Inflación_10</f>
        <v>0</v>
      </c>
      <c r="AG18" s="101">
        <f>SUMIFS('9'!$E:$E,'9'!$A:$A,Año_Inicial+9,'9'!$B:$B,'12'!AF$4,'9'!$D:$D,"Aplicación de enmiendas")</f>
        <v>0</v>
      </c>
      <c r="AH18" s="101">
        <f>((A10_A_L15*Enmienda_A)+(A10_B_L15*Enmienda_B)+(A10_C_L15*Enmienda_C)+(A10_D_L15*Enmienda_D)+(A10_Y_L15*Enmienda_Y))*Inflación_10</f>
        <v>0</v>
      </c>
      <c r="AI18" s="101">
        <f>SUMIFS('9'!$E:$E,'9'!$A:$A,Año_Inicial+9,'9'!$B:$B,'12'!AH$4,'9'!$D:$D,"Aplicación de enmiendas")</f>
        <v>0</v>
      </c>
      <c r="AJ18" s="101">
        <f>((A10_A_L16*Enmienda_A)+(A10_B_L16*Enmienda_B)+(A10_C_L16*Enmienda_C)+(A10_D_L16*Enmienda_D)+(A10_Y_L16*Enmienda_Y))*Inflación_10</f>
        <v>0</v>
      </c>
      <c r="AK18" s="101">
        <f>SUMIFS('9'!$E:$E,'9'!$A:$A,Año_Inicial+9,'9'!$B:$B,'12'!AJ$4,'9'!$D:$D,"Aplicación de enmiendas")</f>
        <v>0</v>
      </c>
      <c r="AL18" s="101">
        <f>((A10_A_L17*Enmienda_A)+(A10_B_L17*Enmienda_B)+(A10_C_L17*Enmienda_C)+(A10_D_L17*Enmienda_D)+(A10_Y_L17*Enmienda_Y))*Inflación_10</f>
        <v>0</v>
      </c>
      <c r="AM18" s="101">
        <f>SUMIFS('9'!$E:$E,'9'!$A:$A,Año_Inicial+9,'9'!$B:$B,'12'!AL$4,'9'!$D:$D,"Aplicación de enmiendas")</f>
        <v>0</v>
      </c>
      <c r="AN18" s="101">
        <f>((A10_A_L18*Enmienda_A)+(A10_B_L18*Enmienda_B)+(A10_C_L18*Enmienda_C)+(A10_D_L18*Enmienda_D)+(A10_Y_L18*Enmienda_Y))*Inflación_10</f>
        <v>0</v>
      </c>
      <c r="AO18" s="101">
        <f>SUMIFS('9'!$E:$E,'9'!$A:$A,Año_Inicial+9,'9'!$B:$B,'12'!AN$4,'9'!$D:$D,"Aplicación de enmiendas")</f>
        <v>0</v>
      </c>
      <c r="AP18" s="101">
        <f>((A10_A_L19*Enmienda_A)+(A10_B_L19*Enmienda_B)+(A10_C_L19*Enmienda_C)+(A10_D_L19*Enmienda_D)+(A10_Y_L19*Enmienda_Y))*Inflación_10</f>
        <v>0</v>
      </c>
      <c r="AQ18" s="101">
        <f>SUMIFS('9'!$E:$E,'9'!$A:$A,Año_Inicial+9,'9'!$B:$B,'12'!AP$4,'9'!$D:$D,"Aplicación de enmiendas")</f>
        <v>0</v>
      </c>
      <c r="AR18" s="101">
        <f>((A10_A_L20*Enmienda_A)+(A10_B_L20*Enmienda_B)+(A10_C_L20*Enmienda_C)+(A10_D_L20*Enmienda_D)+(A10_Y_L20*Enmienda_Y))*Inflación_10</f>
        <v>0</v>
      </c>
      <c r="AS18" s="101">
        <f>SUMIFS('9'!$E:$E,'9'!$A:$A,Año_Inicial+9,'9'!$B:$B,'12'!AR$4,'9'!$D:$D,"Aplicación de enmiendas")</f>
        <v>0</v>
      </c>
      <c r="AT18" s="101">
        <f>((A10_A_L21*Enmienda_A)+(A10_B_L21*Enmienda_B)+(A10_C_L21*Enmienda_C)+(A10_D_L21*Enmienda_D)+(A10_Y_L21*Enmienda_Y))*Inflación_10</f>
        <v>0</v>
      </c>
      <c r="AU18" s="101">
        <f>SUMIFS('9'!$E:$E,'9'!$A:$A,Año_Inicial+9,'9'!$B:$B,'12'!AT$4,'9'!$D:$D,"Aplicación de enmiendas")</f>
        <v>0</v>
      </c>
      <c r="AV18" s="101">
        <f>((A10_A_L22*Enmienda_A)+(A10_B_L22*Enmienda_B)+(A10_C_L22*Enmienda_C)+(A10_D_L22*Enmienda_D)+(A10_Y_L22*Enmienda_Y))*Inflación_10</f>
        <v>0</v>
      </c>
      <c r="AW18" s="101">
        <f>SUMIFS('9'!$E:$E,'9'!$A:$A,Año_Inicial+9,'9'!$B:$B,'12'!AV$4,'9'!$D:$D,"Aplicación de enmiendas")</f>
        <v>0</v>
      </c>
      <c r="AX18" s="101">
        <f>((A10_A_L23*Enmienda_A)+(A10_B_L23*Enmienda_B)+(A10_C_L23*Enmienda_C)+(A10_D_L23*Enmienda_D)+(A10_Y_L23*Enmienda_Y))*Inflación_10</f>
        <v>0</v>
      </c>
      <c r="AY18" s="101">
        <f>SUMIFS('9'!$E:$E,'9'!$A:$A,Año_Inicial+9,'9'!$B:$B,'12'!AX$4,'9'!$D:$D,"Aplicación de enmiendas")</f>
        <v>0</v>
      </c>
      <c r="AZ18" s="101">
        <f>((A10_A_L24*Enmienda_A)+(A10_B_L24*Enmienda_B)+(A10_C_L24*Enmienda_C)+(A10_D_L24*Enmienda_D)+(A10_Y_L24*Enmienda_Y))*Inflación_10</f>
        <v>0</v>
      </c>
      <c r="BA18" s="101">
        <f>SUMIFS('9'!$E:$E,'9'!$A:$A,Año_Inicial+9,'9'!$B:$B,'12'!AZ$4,'9'!$D:$D,"Aplicación de enmiendas")</f>
        <v>0</v>
      </c>
      <c r="BB18" s="101">
        <f>((A10_A_L25*Enmienda_A)+(A10_B_L25*Enmienda_B)+(A10_C_L25*Enmienda_C)+(A10_D_L25*Enmienda_D)+(A10_Y_L25*Enmienda_Y))*Inflación_10</f>
        <v>0</v>
      </c>
      <c r="BC18" s="101">
        <f>SUMIFS('9'!$E:$E,'9'!$A:$A,Año_Inicial+9,'9'!$B:$B,'12'!BB$4,'9'!$D:$D,"Aplicación de enmiendas")</f>
        <v>0</v>
      </c>
      <c r="BD18" s="101">
        <f>((A10_A_L26*Enmienda_A)+(A10_B_L26*Enmienda_B)+(A10_C_L26*Enmienda_C)+(A10_D_L26*Enmienda_D)+(A10_Y_L26*Enmienda_Y))*Inflación_10</f>
        <v>0</v>
      </c>
      <c r="BE18" s="101">
        <f>SUMIFS('9'!$E:$E,'9'!$A:$A,Año_Inicial+9,'9'!$B:$B,'12'!BD$4,'9'!$D:$D,"Aplicación de enmiendas")</f>
        <v>0</v>
      </c>
      <c r="BF18" s="101">
        <f>((A10_A_L27*Enmienda_A)+(A10_B_L27*Enmienda_B)+(A10_C_L27*Enmienda_C)+(A10_D_L27*Enmienda_D)+(A10_Y_L27*Enmienda_Y))*Inflación_10</f>
        <v>0</v>
      </c>
      <c r="BG18" s="101">
        <f>SUMIFS('9'!$E:$E,'9'!$A:$A,Año_Inicial+9,'9'!$B:$B,'12'!BF$4,'9'!$D:$D,"Aplicación de enmiendas")</f>
        <v>0</v>
      </c>
      <c r="BH18" s="101">
        <f>((A10_A_L28*Enmienda_A)+(A10_B_L28*Enmienda_B)+(A10_C_L28*Enmienda_C)+(A10_D_L28*Enmienda_D)+(A10_Y_L28*Enmienda_Y))*Inflación_10</f>
        <v>0</v>
      </c>
      <c r="BI18" s="101">
        <f>SUMIFS('9'!$E:$E,'9'!$A:$A,Año_Inicial+9,'9'!$B:$B,'12'!BH$4,'9'!$D:$D,"Aplicación de enmiendas")</f>
        <v>0</v>
      </c>
      <c r="BJ18" s="101">
        <f>((A10_A_L29*Enmienda_A)+(A10_B_L29*Enmienda_B)+(A10_C_L29*Enmienda_C)+(A10_D_L29*Enmienda_D)+(A10_Y_L29*Enmienda_Y))*Inflación_10</f>
        <v>0</v>
      </c>
      <c r="BK18" s="101">
        <f>SUMIFS('9'!$E:$E,'9'!$A:$A,Año_Inicial+9,'9'!$B:$B,'12'!BJ$4,'9'!$D:$D,"Aplicación de enmiendas")</f>
        <v>0</v>
      </c>
      <c r="BL18" s="101">
        <f>((A10_A_L30*Enmienda_A)+(A10_B_L30*Enmienda_B)+(A10_C_L30*Enmienda_C)+(A10_D_L30*Enmienda_D)+(A10_Y_L30*Enmienda_Y))*Inflación_10</f>
        <v>0</v>
      </c>
      <c r="BM18" s="101">
        <f>SUMIFS('9'!$E:$E,'9'!$A:$A,Año_Inicial+9,'9'!$B:$B,'12'!BL$4,'9'!$D:$D,"Aplicación de enmiendas")</f>
        <v>0</v>
      </c>
      <c r="BN18" s="101">
        <f>((A10_A_L31*Enmienda_A)+(A10_B_L31*Enmienda_B)+(A10_C_L31*Enmienda_C)+(A10_D_L31*Enmienda_D)+(A10_Y_L31*Enmienda_Y))*Inflación_10</f>
        <v>0</v>
      </c>
      <c r="BO18" s="101">
        <f>SUMIFS('9'!$E:$E,'9'!$A:$A,Año_Inicial+9,'9'!$B:$B,'12'!BN$4,'9'!$D:$D,"Aplicación de enmiendas")</f>
        <v>0</v>
      </c>
      <c r="BP18" s="101">
        <f>((A10_A_L32*Enmienda_A)+(A10_B_L32*Enmienda_B)+(A10_C_L32*Enmienda_C)+(A10_D_L32*Enmienda_D)+(A10_Y_L32*Enmienda_Y))*Inflación_10</f>
        <v>0</v>
      </c>
      <c r="BQ18" s="101">
        <f>SUMIFS('9'!$E:$E,'9'!$A:$A,Año_Inicial+9,'9'!$B:$B,'12'!BP$4,'9'!$D:$D,"Aplicación de enmiendas")</f>
        <v>0</v>
      </c>
      <c r="BR18" s="101">
        <f>((A10_A_L33*Enmienda_A)+(A10_B_L33*Enmienda_B)+(A10_C_L33*Enmienda_C)+(A10_D_L33*Enmienda_D)+(A10_Y_L33*Enmienda_Y))*Inflación_10</f>
        <v>0</v>
      </c>
      <c r="BS18" s="101">
        <f>SUMIFS('9'!$E:$E,'9'!$A:$A,Año_Inicial+9,'9'!$B:$B,'12'!BR$4,'9'!$D:$D,"Aplicación de enmiendas")</f>
        <v>0</v>
      </c>
      <c r="BT18" s="101">
        <f>((A10_A_L34*Enmienda_A)+(A10_B_L34*Enmienda_B)+(A10_C_L34*Enmienda_C)+(A10_D_L34*Enmienda_D)+(A10_Y_L34*Enmienda_Y))*Inflación_10</f>
        <v>0</v>
      </c>
      <c r="BU18" s="101">
        <f>SUMIFS('9'!$E:$E,'9'!$A:$A,Año_Inicial+9,'9'!$B:$B,'12'!BT$4,'9'!$D:$D,"Aplicación de enmiendas")</f>
        <v>0</v>
      </c>
      <c r="BV18" s="101">
        <f>((A10_A_L35*Enmienda_A)+(A10_B_L35*Enmienda_B)+(A10_C_L35*Enmienda_C)+(A10_D_L35*Enmienda_D)+(A10_Y_L35*Enmienda_Y))*Inflación_10</f>
        <v>0</v>
      </c>
      <c r="BW18" s="101">
        <f>SUMIFS('9'!$E:$E,'9'!$A:$A,Año_Inicial+9,'9'!$B:$B,'12'!BV$4,'9'!$D:$D,"Aplicación de enmiendas")</f>
        <v>0</v>
      </c>
      <c r="BX18" s="101">
        <f>((A10_A_L36*Enmienda_A)+(A10_B_L36*Enmienda_B)+(A10_C_L36*Enmienda_C)+(A10_D_L36*Enmienda_D)+(A10_Y_L36*Enmienda_Y))*Inflación_10</f>
        <v>0</v>
      </c>
      <c r="BY18" s="101">
        <f>SUMIFS('9'!$E:$E,'9'!$A:$A,Año_Inicial+9,'9'!$B:$B,'12'!BX$4,'9'!$D:$D,"Aplicación de enmiendas")</f>
        <v>0</v>
      </c>
      <c r="BZ18" s="101">
        <f>((A10_A_L37*Enmienda_A)+(A10_B_L37*Enmienda_B)+(A10_C_L37*Enmienda_C)+(A10_D_L37*Enmienda_D)+(A10_Y_L37*Enmienda_Y))*Inflación_10</f>
        <v>0</v>
      </c>
      <c r="CA18" s="101">
        <f>SUMIFS('9'!$E:$E,'9'!$A:$A,Año_Inicial+9,'9'!$B:$B,'12'!BZ$4,'9'!$D:$D,"Aplicación de enmiendas")</f>
        <v>0</v>
      </c>
      <c r="CB18" s="101">
        <f>((A10_A_L38*Enmienda_A)+(A10_B_L38*Enmienda_B)+(A10_C_L38*Enmienda_C)+(A10_D_L38*Enmienda_D)+(A10_Y_L38*Enmienda_Y))*Inflación_10</f>
        <v>0</v>
      </c>
      <c r="CC18" s="101">
        <f>SUMIFS('9'!$E:$E,'9'!$A:$A,Año_Inicial+9,'9'!$B:$B,'12'!CB$4,'9'!$D:$D,"Aplicación de enmiendas")</f>
        <v>0</v>
      </c>
      <c r="CD18" s="101">
        <f>((A10_A_L39*Enmienda_A)+(A10_B_L39*Enmienda_B)+(A10_C_L39*Enmienda_C)+(A10_D_L39*Enmienda_D)+(A10_Y_L39*Enmienda_Y))*Inflación_10</f>
        <v>0</v>
      </c>
      <c r="CE18" s="101">
        <f>SUMIFS('9'!$E:$E,'9'!$A:$A,Año_Inicial+9,'9'!$B:$B,'12'!CD$4,'9'!$D:$D,"Aplicación de enmiendas")</f>
        <v>0</v>
      </c>
      <c r="CF18" s="101">
        <f>((A10_A_L40*Enmienda_A)+(A10_B_L40*Enmienda_B)+(A10_C_L40*Enmienda_C)+(A10_D_L40*Enmienda_D)+(A10_Y_L40*Enmienda_Y))*Inflación_10</f>
        <v>0</v>
      </c>
      <c r="CG18" s="101">
        <f>SUMIFS('9'!$E:$E,'9'!$A:$A,Año_Inicial+9,'9'!$B:$B,'12'!CF$4,'9'!$D:$D,"Aplicación de enmiendas")</f>
        <v>0</v>
      </c>
      <c r="CH18" s="473"/>
      <c r="CI18" s="101">
        <f>Plantas_A_A10*Enmienda_A*Inflación_10</f>
        <v>0</v>
      </c>
      <c r="CJ18" s="101">
        <f>Plantas_B_A10*Enmienda_B</f>
        <v>0</v>
      </c>
      <c r="CK18" s="101">
        <f>Plantas_C_A10*Enmienda_C</f>
        <v>0</v>
      </c>
      <c r="CL18" s="101">
        <f>Plantas_D_A10*Enmienda_D</f>
        <v>0</v>
      </c>
      <c r="CM18" s="101"/>
      <c r="CN18" s="101">
        <f>Plantas_Y_A10*Enmienda_Y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SUMIFS('9'!$E:$E,'9'!$A:$A,Año_Inicial+9,'9'!$D:$D,"Fertilizante químico")</f>
        <v>0</v>
      </c>
      <c r="D19" s="100">
        <f t="shared" si="45"/>
        <v>0</v>
      </c>
      <c r="E19" s="473"/>
      <c r="F19" s="101">
        <f>((A10_A_L1*Fertilizante_A)+(A10_B_L1*Fertilizante_B)+(A10_C_L1*Fertilizante_C)+(A10_D_L1*Fertilizante_D)+(A10_Y_L1*Fertilizante_Y))*Inflación_10</f>
        <v>0</v>
      </c>
      <c r="G19" s="101">
        <f>SUMIFS('9'!$E:$E,'9'!$A:$A,Año_Inicial+9,'9'!$B:$B,'12'!F$4,'9'!$D:$D,"Fertilizante químico")</f>
        <v>0</v>
      </c>
      <c r="H19" s="101">
        <f>((A10_A_L2*Fertilizante_A)+(A10_B_L2*Fertilizante_B)+(A10_C_L2*Fertilizante_C)+(A10_D_L2*Fertilizante_D)+(A10_Y_L2*Fertilizante_Y))*Inflación_10</f>
        <v>0</v>
      </c>
      <c r="I19" s="101">
        <f>SUMIFS('9'!$E:$E,'9'!$A:$A,Año_Inicial+9,'9'!$B:$B,'12'!H$4,'9'!$D:$D,"Fertilizante químico")</f>
        <v>0</v>
      </c>
      <c r="J19" s="101">
        <f>((A10_A_L3*Fertilizante_A)+(A10_B_L3*Fertilizante_B)+(A10_C_L3*Fertilizante_C)+(A10_D_L3*Fertilizante_D)+(A10_Y_L3*Fertilizante_Y))*Inflación_10</f>
        <v>0</v>
      </c>
      <c r="K19" s="101">
        <f>SUMIFS('9'!$E:$E,'9'!$A:$A,Año_Inicial+9,'9'!$B:$B,'12'!J$4,'9'!$D:$D,"Fertilizante químico")</f>
        <v>0</v>
      </c>
      <c r="L19" s="101">
        <f>((A10_A_L4*Fertilizante_A)+(A10_B_L4*Fertilizante_B)+(A10_C_L4*Fertilizante_C)+(A10_D_L4*Fertilizante_D)+(A10_Y_L4*Fertilizante_Y))*Inflación_10</f>
        <v>0</v>
      </c>
      <c r="M19" s="101">
        <f>SUMIFS('9'!$E:$E,'9'!$A:$A,Año_Inicial+9,'9'!$B:$B,'12'!L$4,'9'!$D:$D,"Fertilizante químico")</f>
        <v>0</v>
      </c>
      <c r="N19" s="101">
        <f>((A10_A_L5*Fertilizante_A)+(A10_B_L5*Fertilizante_B)+(A10_C_L5*Fertilizante_C)+(A10_D_L5*Fertilizante_D)+(A10_Y_L5*Fertilizante_Y))*Inflación_10</f>
        <v>0</v>
      </c>
      <c r="O19" s="101">
        <f>SUMIFS('9'!$E:$E,'9'!$A:$A,Año_Inicial+9,'9'!$B:$B,'12'!N$4,'9'!$D:$D,"Fertilizante químico")</f>
        <v>0</v>
      </c>
      <c r="P19" s="101">
        <f>((A10_A_L6*Fertilizante_A)+(A10_B_L6*Fertilizante_B)+(A10_C_L6*Fertilizante_C)+(A10_D_L6*Fertilizante_D)+(A10_Y_L6*Fertilizante_Y))*Inflación_10</f>
        <v>0</v>
      </c>
      <c r="Q19" s="101">
        <f>SUMIFS('9'!$E:$E,'9'!$A:$A,Año_Inicial+9,'9'!$B:$B,'12'!P$4,'9'!$D:$D,"Fertilizante químico")</f>
        <v>0</v>
      </c>
      <c r="R19" s="101">
        <f>((A10_A_L7*Fertilizante_A)+(A10_B_L7*Fertilizante_B)+(A10_C_L7*Fertilizante_C)+(A10_D_L7*Fertilizante_D)+(A10_Y_L7*Fertilizante_Y))*Inflación_10</f>
        <v>0</v>
      </c>
      <c r="S19" s="101">
        <f>SUMIFS('9'!$E:$E,'9'!$A:$A,Año_Inicial+9,'9'!$B:$B,'12'!R$4,'9'!$D:$D,"Fertilizante químico")</f>
        <v>0</v>
      </c>
      <c r="T19" s="101">
        <f>((A10_A_L8*Fertilizante_A)+(A10_B_L8*Fertilizante_B)+(A10_C_L8*Fertilizante_C)+(A10_D_L8*Fertilizante_D)+(A10_Y_L8*Fertilizante_Y))*Inflación_10</f>
        <v>0</v>
      </c>
      <c r="U19" s="101">
        <f>SUMIFS('9'!$E:$E,'9'!$A:$A,Año_Inicial+9,'9'!$B:$B,'12'!T$4,'9'!$D:$D,"Fertilizante químico")</f>
        <v>0</v>
      </c>
      <c r="V19" s="101">
        <f>((A10_A_L9*Fertilizante_A)+(A10_B_L9*Fertilizante_B)+(A10_C_L9*Fertilizante_C)+(A10_D_L9*Fertilizante_D)+(A10_Y_L9*Fertilizante_Y))*Inflación_10</f>
        <v>0</v>
      </c>
      <c r="W19" s="101">
        <f>SUMIFS('9'!$E:$E,'9'!$A:$A,Año_Inicial+9,'9'!$B:$B,'12'!V$4,'9'!$D:$D,"Fertilizante químico")</f>
        <v>0</v>
      </c>
      <c r="X19" s="101">
        <f>((A10_A_L10*Fertilizante_A)+(A10_B_L10*Fertilizante_B)+(A10_C_L10*Fertilizante_C)+(A10_D_L10*Fertilizante_D)+(A10_Y_L10*Fertilizante_Y))*Inflación_10</f>
        <v>0</v>
      </c>
      <c r="Y19" s="101">
        <f>SUMIFS('9'!$E:$E,'9'!$A:$A,Año_Inicial+9,'9'!$B:$B,'12'!X$4,'9'!$D:$D,"Fertilizante químico")</f>
        <v>0</v>
      </c>
      <c r="Z19" s="101">
        <f>((A10_A_L11*Fertilizante_A)+(A10_B_L11*Fertilizante_B)+(A10_C_L11*Fertilizante_C)+(A10_D_L11*Fertilizante_D)+(A10_Y_L11*Fertilizante_Y))*Inflación_10</f>
        <v>0</v>
      </c>
      <c r="AA19" s="101">
        <f>SUMIFS('9'!$E:$E,'9'!$A:$A,Año_Inicial+9,'9'!$B:$B,'12'!Z$4,'9'!$D:$D,"Fertilizante químico")</f>
        <v>0</v>
      </c>
      <c r="AB19" s="101">
        <f>((A10_A_L12*Fertilizante_A)+(A10_B_L12*Fertilizante_B)+(A10_C_L12*Fertilizante_C)+(A10_D_L12*Fertilizante_D)+(A10_Y_L12*Fertilizante_Y))*Inflación_10</f>
        <v>0</v>
      </c>
      <c r="AC19" s="101">
        <f>SUMIFS('9'!$E:$E,'9'!$A:$A,Año_Inicial+9,'9'!$B:$B,'12'!AB$4,'9'!$D:$D,"Fertilizante químico")</f>
        <v>0</v>
      </c>
      <c r="AD19" s="101">
        <f>((A10_A_L13*Fertilizante_A)+(A10_B_L13*Fertilizante_B)+(A10_C_L13*Fertilizante_C)+(A10_D_L13*Fertilizante_D)+(A10_Y_L13*Fertilizante_Y))*Inflación_10</f>
        <v>0</v>
      </c>
      <c r="AE19" s="101">
        <f>SUMIFS('9'!$E:$E,'9'!$A:$A,Año_Inicial+9,'9'!$B:$B,'12'!AD$4,'9'!$D:$D,"Fertilizante químico")</f>
        <v>0</v>
      </c>
      <c r="AF19" s="101">
        <f>((A10_A_L14*Fertilizante_A)+(A10_B_L14*Fertilizante_B)+(A10_C_L14*Fertilizante_C)+(A10_D_L14*Fertilizante_D)+(A10_Y_L14*Fertilizante_Y))*Inflación_10</f>
        <v>0</v>
      </c>
      <c r="AG19" s="101">
        <f>SUMIFS('9'!$E:$E,'9'!$A:$A,Año_Inicial+9,'9'!$B:$B,'12'!AF$4,'9'!$D:$D,"Fertilizante químico")</f>
        <v>0</v>
      </c>
      <c r="AH19" s="101">
        <f>((A10_A_L15*Fertilizante_A)+(A10_B_L15*Fertilizante_B)+(A10_C_L15*Fertilizante_C)+(A10_D_L15*Fertilizante_D)+(A10_Y_L15*Fertilizante_Y))*Inflación_10</f>
        <v>0</v>
      </c>
      <c r="AI19" s="101">
        <f>SUMIFS('9'!$E:$E,'9'!$A:$A,Año_Inicial+9,'9'!$B:$B,'12'!AH$4,'9'!$D:$D,"Fertilizante químico")</f>
        <v>0</v>
      </c>
      <c r="AJ19" s="101">
        <f>((A10_A_L16*Fertilizante_A)+(A10_B_L16*Fertilizante_B)+(A10_C_L16*Fertilizante_C)+(A10_D_L16*Fertilizante_D)+(A10_Y_L16*Fertilizante_Y))*Inflación_10</f>
        <v>0</v>
      </c>
      <c r="AK19" s="101">
        <f>SUMIFS('9'!$E:$E,'9'!$A:$A,Año_Inicial+9,'9'!$B:$B,'12'!AJ$4,'9'!$D:$D,"Fertilizante químico")</f>
        <v>0</v>
      </c>
      <c r="AL19" s="101">
        <f>((A10_A_L17*Fertilizante_A)+(A10_B_L17*Fertilizante_B)+(A10_C_L17*Fertilizante_C)+(A10_D_L17*Fertilizante_D)+(A10_Y_L17*Fertilizante_Y))*Inflación_10</f>
        <v>0</v>
      </c>
      <c r="AM19" s="101">
        <f>SUMIFS('9'!$E:$E,'9'!$A:$A,Año_Inicial+9,'9'!$B:$B,'12'!AL$4,'9'!$D:$D,"Fertilizante químico")</f>
        <v>0</v>
      </c>
      <c r="AN19" s="101">
        <f>((A10_A_L18*Fertilizante_A)+(A10_B_L18*Fertilizante_B)+(A10_C_L18*Fertilizante_C)+(A10_D_L18*Fertilizante_D)+(A10_Y_L18*Fertilizante_Y))*Inflación_10</f>
        <v>0</v>
      </c>
      <c r="AO19" s="101">
        <f>SUMIFS('9'!$E:$E,'9'!$A:$A,Año_Inicial+9,'9'!$B:$B,'12'!AN$4,'9'!$D:$D,"Fertilizante químico")</f>
        <v>0</v>
      </c>
      <c r="AP19" s="101">
        <f>((A10_A_L19*Fertilizante_A)+(A10_B_L19*Fertilizante_B)+(A10_C_L19*Fertilizante_C)+(A10_D_L19*Fertilizante_D)+(A10_Y_L19*Fertilizante_Y))*Inflación_10</f>
        <v>0</v>
      </c>
      <c r="AQ19" s="101">
        <f>SUMIFS('9'!$E:$E,'9'!$A:$A,Año_Inicial+9,'9'!$B:$B,'12'!AP$4,'9'!$D:$D,"Fertilizante químico")</f>
        <v>0</v>
      </c>
      <c r="AR19" s="101">
        <f>((A10_A_L20*Fertilizante_A)+(A10_B_L20*Fertilizante_B)+(A10_C_L20*Fertilizante_C)+(A10_D_L20*Fertilizante_D)+(A10_Y_L20*Fertilizante_Y))*Inflación_10</f>
        <v>0</v>
      </c>
      <c r="AS19" s="101">
        <f>SUMIFS('9'!$E:$E,'9'!$A:$A,Año_Inicial+9,'9'!$B:$B,'12'!AR$4,'9'!$D:$D,"Fertilizante químico")</f>
        <v>0</v>
      </c>
      <c r="AT19" s="101">
        <f>((A10_A_L21*Fertilizante_A)+(A10_B_L21*Fertilizante_B)+(A10_C_L21*Fertilizante_C)+(A10_D_L21*Fertilizante_D)+(A10_Y_L21*Fertilizante_Y))*Inflación_10</f>
        <v>0</v>
      </c>
      <c r="AU19" s="101">
        <f>SUMIFS('9'!$E:$E,'9'!$A:$A,Año_Inicial+9,'9'!$B:$B,'12'!AT$4,'9'!$D:$D,"Fertilizante químico")</f>
        <v>0</v>
      </c>
      <c r="AV19" s="101">
        <f>((A10_A_L22*Fertilizante_A)+(A10_B_L22*Fertilizante_B)+(A10_C_L22*Fertilizante_C)+(A10_D_L22*Fertilizante_D)+(A10_Y_L22*Fertilizante_Y))*Inflación_10</f>
        <v>0</v>
      </c>
      <c r="AW19" s="101">
        <f>SUMIFS('9'!$E:$E,'9'!$A:$A,Año_Inicial+9,'9'!$B:$B,'12'!AV$4,'9'!$D:$D,"Fertilizante químico")</f>
        <v>0</v>
      </c>
      <c r="AX19" s="101">
        <f>((A10_A_L23*Fertilizante_A)+(A10_B_L23*Fertilizante_B)+(A10_C_L23*Fertilizante_C)+(A10_D_L23*Fertilizante_D)+(A10_Y_L23*Fertilizante_Y))*Inflación_10</f>
        <v>0</v>
      </c>
      <c r="AY19" s="101">
        <f>SUMIFS('9'!$E:$E,'9'!$A:$A,Año_Inicial+9,'9'!$B:$B,'12'!AX$4,'9'!$D:$D,"Fertilizante químico")</f>
        <v>0</v>
      </c>
      <c r="AZ19" s="101">
        <f>((A10_A_L24*Fertilizante_A)+(A10_B_L24*Fertilizante_B)+(A10_C_L24*Fertilizante_C)+(A10_D_L24*Fertilizante_D)+(A10_Y_L24*Fertilizante_Y))*Inflación_10</f>
        <v>0</v>
      </c>
      <c r="BA19" s="101">
        <f>SUMIFS('9'!$E:$E,'9'!$A:$A,Año_Inicial+9,'9'!$B:$B,'12'!AZ$4,'9'!$D:$D,"Fertilizante químico")</f>
        <v>0</v>
      </c>
      <c r="BB19" s="101">
        <f>((A10_A_L25*Fertilizante_A)+(A10_B_L25*Fertilizante_B)+(A10_C_L25*Fertilizante_C)+(A10_D_L25*Fertilizante_D)+(A10_Y_L25*Fertilizante_Y))*Inflación_10</f>
        <v>0</v>
      </c>
      <c r="BC19" s="101">
        <f>SUMIFS('9'!$E:$E,'9'!$A:$A,Año_Inicial+9,'9'!$B:$B,'12'!BB$4,'9'!$D:$D,"Fertilizante químico")</f>
        <v>0</v>
      </c>
      <c r="BD19" s="101">
        <f>((A10_A_L26*Fertilizante_A)+(A10_B_L26*Fertilizante_B)+(A10_C_L26*Fertilizante_C)+(A10_D_L26*Fertilizante_D)+(A10_Y_L26*Fertilizante_Y))*Inflación_10</f>
        <v>0</v>
      </c>
      <c r="BE19" s="101">
        <f>SUMIFS('9'!$E:$E,'9'!$A:$A,Año_Inicial+9,'9'!$B:$B,'12'!BD$4,'9'!$D:$D,"Fertilizante químico")</f>
        <v>0</v>
      </c>
      <c r="BF19" s="101">
        <f>((A10_A_L27*Fertilizante_A)+(A10_B_L27*Fertilizante_B)+(A10_C_L27*Fertilizante_C)+(A10_D_L27*Fertilizante_D)+(A10_Y_L27*Fertilizante_Y))*Inflación_10</f>
        <v>0</v>
      </c>
      <c r="BG19" s="101">
        <f>SUMIFS('9'!$E:$E,'9'!$A:$A,Año_Inicial+9,'9'!$B:$B,'12'!BF$4,'9'!$D:$D,"Fertilizante químico")</f>
        <v>0</v>
      </c>
      <c r="BH19" s="101">
        <f>((A10_A_L28*Fertilizante_A)+(A10_B_L28*Fertilizante_B)+(A10_C_L28*Fertilizante_C)+(A10_D_L28*Fertilizante_D)+(A10_Y_L28*Fertilizante_Y))*Inflación_10</f>
        <v>0</v>
      </c>
      <c r="BI19" s="101">
        <f>SUMIFS('9'!$E:$E,'9'!$A:$A,Año_Inicial+9,'9'!$B:$B,'12'!BH$4,'9'!$D:$D,"Fertilizante químico")</f>
        <v>0</v>
      </c>
      <c r="BJ19" s="101">
        <f>((A10_A_L29*Fertilizante_A)+(A10_B_L29*Fertilizante_B)+(A10_C_L29*Fertilizante_C)+(A10_D_L29*Fertilizante_D)+(A10_Y_L29*Fertilizante_Y))*Inflación_10</f>
        <v>0</v>
      </c>
      <c r="BK19" s="101">
        <f>SUMIFS('9'!$E:$E,'9'!$A:$A,Año_Inicial+9,'9'!$B:$B,'12'!BJ$4,'9'!$D:$D,"Fertilizante químico")</f>
        <v>0</v>
      </c>
      <c r="BL19" s="101">
        <f>((A10_A_L30*Fertilizante_A)+(A10_B_L30*Fertilizante_B)+(A10_C_L30*Fertilizante_C)+(A10_D_L30*Fertilizante_D)+(A10_Y_L30*Fertilizante_Y))*Inflación_10</f>
        <v>0</v>
      </c>
      <c r="BM19" s="101">
        <f>SUMIFS('9'!$E:$E,'9'!$A:$A,Año_Inicial+9,'9'!$B:$B,'12'!BL$4,'9'!$D:$D,"Fertilizante químico")</f>
        <v>0</v>
      </c>
      <c r="BN19" s="101">
        <f>((A10_A_L31*Fertilizante_A)+(A10_B_L31*Fertilizante_B)+(A10_C_L31*Fertilizante_C)+(A10_D_L31*Fertilizante_D)+(A10_Y_L31*Fertilizante_Y))*Inflación_10</f>
        <v>0</v>
      </c>
      <c r="BO19" s="101">
        <f>SUMIFS('9'!$E:$E,'9'!$A:$A,Año_Inicial+9,'9'!$B:$B,'12'!BN$4,'9'!$D:$D,"Fertilizante químico")</f>
        <v>0</v>
      </c>
      <c r="BP19" s="101">
        <f>((A10_A_L32*Fertilizante_A)+(A10_B_L32*Fertilizante_B)+(A10_C_L32*Fertilizante_C)+(A10_D_L32*Fertilizante_D)+(A10_Y_L32*Fertilizante_Y))*Inflación_10</f>
        <v>0</v>
      </c>
      <c r="BQ19" s="101">
        <f>SUMIFS('9'!$E:$E,'9'!$A:$A,Año_Inicial+9,'9'!$B:$B,'12'!BP$4,'9'!$D:$D,"Fertilizante químico")</f>
        <v>0</v>
      </c>
      <c r="BR19" s="101">
        <f>((A10_A_L33*Fertilizante_A)+(A10_B_L33*Fertilizante_B)+(A10_C_L33*Fertilizante_C)+(A10_D_L33*Fertilizante_D)+(A10_Y_L33*Fertilizante_Y))*Inflación_10</f>
        <v>0</v>
      </c>
      <c r="BS19" s="101">
        <f>SUMIFS('9'!$E:$E,'9'!$A:$A,Año_Inicial+9,'9'!$B:$B,'12'!BR$4,'9'!$D:$D,"Fertilizante químico")</f>
        <v>0</v>
      </c>
      <c r="BT19" s="101">
        <f>((A10_A_L34*Fertilizante_A)+(A10_B_L34*Fertilizante_B)+(A10_C_L34*Fertilizante_C)+(A10_D_L34*Fertilizante_D)+(A10_Y_L34*Fertilizante_Y))*Inflación_10</f>
        <v>0</v>
      </c>
      <c r="BU19" s="101">
        <f>SUMIFS('9'!$E:$E,'9'!$A:$A,Año_Inicial+9,'9'!$B:$B,'12'!BT$4,'9'!$D:$D,"Fertilizante químico")</f>
        <v>0</v>
      </c>
      <c r="BV19" s="101">
        <f>((A10_A_L35*Fertilizante_A)+(A10_B_L35*Fertilizante_B)+(A10_C_L35*Fertilizante_C)+(A10_D_L35*Fertilizante_D)+(A10_Y_L35*Fertilizante_Y))*Inflación_10</f>
        <v>0</v>
      </c>
      <c r="BW19" s="101">
        <f>SUMIFS('9'!$E:$E,'9'!$A:$A,Año_Inicial+9,'9'!$B:$B,'12'!BV$4,'9'!$D:$D,"Fertilizante químico")</f>
        <v>0</v>
      </c>
      <c r="BX19" s="101">
        <f>((A10_A_L36*Fertilizante_A)+(A10_B_L36*Fertilizante_B)+(A10_C_L36*Fertilizante_C)+(A10_D_L36*Fertilizante_D)+(A10_Y_L36*Fertilizante_Y))*Inflación_10</f>
        <v>0</v>
      </c>
      <c r="BY19" s="101">
        <f>SUMIFS('9'!$E:$E,'9'!$A:$A,Año_Inicial+9,'9'!$B:$B,'12'!BX$4,'9'!$D:$D,"Fertilizante químico")</f>
        <v>0</v>
      </c>
      <c r="BZ19" s="101">
        <f>((A10_A_L37*Fertilizante_A)+(A10_B_L37*Fertilizante_B)+(A10_C_L37*Fertilizante_C)+(A10_D_L37*Fertilizante_D)+(A10_Y_L37*Fertilizante_Y))*Inflación_10</f>
        <v>0</v>
      </c>
      <c r="CA19" s="101">
        <f>SUMIFS('9'!$E:$E,'9'!$A:$A,Año_Inicial+9,'9'!$B:$B,'12'!BZ$4,'9'!$D:$D,"Fertilizante químico")</f>
        <v>0</v>
      </c>
      <c r="CB19" s="101">
        <f>((A10_A_L38*Fertilizante_A)+(A10_B_L38*Fertilizante_B)+(A10_C_L38*Fertilizante_C)+(A10_D_L38*Fertilizante_D)+(A10_Y_L38*Fertilizante_Y))*Inflación_10</f>
        <v>0</v>
      </c>
      <c r="CC19" s="101">
        <f>SUMIFS('9'!$E:$E,'9'!$A:$A,Año_Inicial+9,'9'!$B:$B,'12'!CB$4,'9'!$D:$D,"Fertilizante químico")</f>
        <v>0</v>
      </c>
      <c r="CD19" s="101">
        <f>((A10_A_L39*Fertilizante_A)+(A10_B_L39*Fertilizante_B)+(A10_C_L39*Fertilizante_C)+(A10_D_L39*Fertilizante_D)+(A10_Y_L39*Fertilizante_Y))*Inflación_10</f>
        <v>0</v>
      </c>
      <c r="CE19" s="101">
        <f>SUMIFS('9'!$E:$E,'9'!$A:$A,Año_Inicial+9,'9'!$B:$B,'12'!CD$4,'9'!$D:$D,"Fertilizante químico")</f>
        <v>0</v>
      </c>
      <c r="CF19" s="101">
        <f>((A10_A_L40*Fertilizante_A)+(A10_B_L40*Fertilizante_B)+(A10_C_L40*Fertilizante_C)+(A10_D_L40*Fertilizante_D)+(A10_Y_L40*Fertilizante_Y))*Inflación_10</f>
        <v>0</v>
      </c>
      <c r="CG19" s="101">
        <f>SUMIFS('9'!$E:$E,'9'!$A:$A,Año_Inicial+9,'9'!$B:$B,'12'!CF$4,'9'!$D:$D,"Fertilizante químico")</f>
        <v>0</v>
      </c>
      <c r="CH19" s="473"/>
      <c r="CI19" s="101">
        <f>Plantas_A_A10*Fertilizante_A*Inflación_10</f>
        <v>0</v>
      </c>
      <c r="CJ19" s="101">
        <f>Plantas_B_A10*Fertilizante_B</f>
        <v>0</v>
      </c>
      <c r="CK19" s="101">
        <f>Plantas_C_A10*Fertilizante_C</f>
        <v>0</v>
      </c>
      <c r="CL19" s="101">
        <f>Plantas_D_A10*Fertilizante_D</f>
        <v>0</v>
      </c>
      <c r="CM19" s="101"/>
      <c r="CN19" s="101">
        <f>Plantas_Y_A10*Fertilizante_Y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SUMIFS('9'!$E:$E,'9'!$A:$A,Año_Inicial+9,'9'!$D:$D,"Material de enmienda")</f>
        <v>0</v>
      </c>
      <c r="D20" s="100">
        <f t="shared" si="45"/>
        <v>0</v>
      </c>
      <c r="E20" s="473"/>
      <c r="F20" s="101">
        <f>((A10_A_L1*Enmiendas_A)+(A10_B_L1*Enmiendas_B)+(A10_C_L1*Enmiendas_C)+(A10_D_L1*Enmiendas_D)+(A10_Y_L1*Enmiendas_Y))*Inflación_10</f>
        <v>0</v>
      </c>
      <c r="G20" s="101">
        <f>SUMIFS('9'!$E:$E,'9'!$A:$A,Año_Inicial+9,'9'!$B:$B,'12'!F$4,'9'!$D:$D,"Material de enmienda")</f>
        <v>0</v>
      </c>
      <c r="H20" s="101">
        <f>((A10_A_L2*Enmiendas_A)+(A10_B_L2*Enmiendas_B)+(A10_C_L2*Enmiendas_C)+(A10_D_L2*Enmiendas_D)+(A10_Y_L2*Enmiendas_Y))*Inflación_10</f>
        <v>0</v>
      </c>
      <c r="I20" s="101">
        <f>SUMIFS('9'!$E:$E,'9'!$A:$A,Año_Inicial+9,'9'!$B:$B,'12'!H$4,'9'!$D:$D,"Material de enmienda")</f>
        <v>0</v>
      </c>
      <c r="J20" s="101">
        <f>((A10_A_L3*Enmiendas_A)+(A10_B_L3*Enmiendas_B)+(A10_C_L3*Enmiendas_C)+(A10_D_L3*Enmiendas_D)+(A10_Y_L3*Enmiendas_Y))*Inflación_10</f>
        <v>0</v>
      </c>
      <c r="K20" s="101">
        <f>SUMIFS('9'!$E:$E,'9'!$A:$A,Año_Inicial+9,'9'!$B:$B,'12'!J$4,'9'!$D:$D,"Material de enmienda")</f>
        <v>0</v>
      </c>
      <c r="L20" s="101">
        <f>((A10_A_L4*Enmiendas_A)+(A10_B_L4*Enmiendas_B)+(A10_C_L4*Enmiendas_C)+(A10_D_L4*Enmiendas_D)+(A10_Y_L4*Enmiendas_Y))*Inflación_10</f>
        <v>0</v>
      </c>
      <c r="M20" s="101">
        <f>SUMIFS('9'!$E:$E,'9'!$A:$A,Año_Inicial+9,'9'!$B:$B,'12'!L$4,'9'!$D:$D,"Material de enmienda")</f>
        <v>0</v>
      </c>
      <c r="N20" s="101">
        <f>((A10_A_L5*Enmiendas_A)+(A10_B_L5*Enmiendas_B)+(A10_C_L5*Enmiendas_C)+(A10_D_L5*Enmiendas_D)+(A10_Y_L5*Enmiendas_Y))*Inflación_10</f>
        <v>0</v>
      </c>
      <c r="O20" s="101">
        <f>SUMIFS('9'!$E:$E,'9'!$A:$A,Año_Inicial+9,'9'!$B:$B,'12'!N$4,'9'!$D:$D,"Material de enmienda")</f>
        <v>0</v>
      </c>
      <c r="P20" s="101">
        <f>((A10_A_L6*Enmiendas_A)+(A10_B_L6*Enmiendas_B)+(A10_C_L6*Enmiendas_C)+(A10_D_L6*Enmiendas_D)+(A10_Y_L6*Enmiendas_Y))*Inflación_10</f>
        <v>0</v>
      </c>
      <c r="Q20" s="101">
        <f>SUMIFS('9'!$E:$E,'9'!$A:$A,Año_Inicial+9,'9'!$B:$B,'12'!P$4,'9'!$D:$D,"Material de enmienda")</f>
        <v>0</v>
      </c>
      <c r="R20" s="101">
        <f>((A10_A_L7*Enmiendas_A)+(A10_B_L7*Enmiendas_B)+(A10_C_L7*Enmiendas_C)+(A10_D_L7*Enmiendas_D)+(A10_Y_L7*Enmiendas_Y))*Inflación_10</f>
        <v>0</v>
      </c>
      <c r="S20" s="101">
        <f>SUMIFS('9'!$E:$E,'9'!$A:$A,Año_Inicial+9,'9'!$B:$B,'12'!R$4,'9'!$D:$D,"Material de enmienda")</f>
        <v>0</v>
      </c>
      <c r="T20" s="101">
        <f>((A10_A_L8*Enmiendas_A)+(A10_B_L8*Enmiendas_B)+(A10_C_L8*Enmiendas_C)+(A10_D_L8*Enmiendas_D)+(A10_Y_L8*Enmiendas_Y))*Inflación_10</f>
        <v>0</v>
      </c>
      <c r="U20" s="101">
        <f>SUMIFS('9'!$E:$E,'9'!$A:$A,Año_Inicial+9,'9'!$B:$B,'12'!T$4,'9'!$D:$D,"Material de enmienda")</f>
        <v>0</v>
      </c>
      <c r="V20" s="101">
        <f>((A10_A_L9*Enmiendas_A)+(A10_B_L9*Enmiendas_B)+(A10_C_L9*Enmiendas_C)+(A10_D_L9*Enmiendas_D)+(A10_Y_L9*Enmiendas_Y))*Inflación_10</f>
        <v>0</v>
      </c>
      <c r="W20" s="101">
        <f>SUMIFS('9'!$E:$E,'9'!$A:$A,Año_Inicial+9,'9'!$B:$B,'12'!V$4,'9'!$D:$D,"Material de enmienda")</f>
        <v>0</v>
      </c>
      <c r="X20" s="101">
        <f>((A10_A_L10*Enmiendas_A)+(A10_B_L10*Enmiendas_B)+(A10_C_L10*Enmiendas_C)+(A10_D_L10*Enmiendas_D)+(A10_Y_L10*Enmiendas_Y))*Inflación_10</f>
        <v>0</v>
      </c>
      <c r="Y20" s="101">
        <f>SUMIFS('9'!$E:$E,'9'!$A:$A,Año_Inicial+9,'9'!$B:$B,'12'!X$4,'9'!$D:$D,"Material de enmienda")</f>
        <v>0</v>
      </c>
      <c r="Z20" s="101">
        <f>((A10_A_L11*Enmiendas_A)+(A10_B_L11*Enmiendas_B)+(A10_C_L11*Enmiendas_C)+(A10_D_L11*Enmiendas_D)+(A10_Y_L11*Enmiendas_Y))*Inflación_10</f>
        <v>0</v>
      </c>
      <c r="AA20" s="101">
        <f>SUMIFS('9'!$E:$E,'9'!$A:$A,Año_Inicial+9,'9'!$B:$B,'12'!Z$4,'9'!$D:$D,"Material de enmienda")</f>
        <v>0</v>
      </c>
      <c r="AB20" s="101">
        <f>((A10_A_L12*Enmiendas_A)+(A10_B_L12*Enmiendas_B)+(A10_C_L12*Enmiendas_C)+(A10_D_L12*Enmiendas_D)+(A10_Y_L12*Enmiendas_Y))*Inflación_10</f>
        <v>0</v>
      </c>
      <c r="AC20" s="101">
        <f>SUMIFS('9'!$E:$E,'9'!$A:$A,Año_Inicial+9,'9'!$B:$B,'12'!AB$4,'9'!$D:$D,"Material de enmienda")</f>
        <v>0</v>
      </c>
      <c r="AD20" s="101">
        <f>((A10_A_L13*Enmiendas_A)+(A10_B_L13*Enmiendas_B)+(A10_C_L13*Enmiendas_C)+(A10_D_L13*Enmiendas_D)+(A10_Y_L13*Enmiendas_Y))*Inflación_10</f>
        <v>0</v>
      </c>
      <c r="AE20" s="101">
        <f>SUMIFS('9'!$E:$E,'9'!$A:$A,Año_Inicial+9,'9'!$B:$B,'12'!AD$4,'9'!$D:$D,"Material de enmienda")</f>
        <v>0</v>
      </c>
      <c r="AF20" s="101">
        <f>((A10_A_L14*Enmiendas_A)+(A10_B_L14*Enmiendas_B)+(A10_C_L14*Enmiendas_C)+(A10_D_L14*Enmiendas_D)+(A10_Y_L14*Enmiendas_Y))*Inflación_10</f>
        <v>0</v>
      </c>
      <c r="AG20" s="101">
        <f>SUMIFS('9'!$E:$E,'9'!$A:$A,Año_Inicial+9,'9'!$B:$B,'12'!AF$4,'9'!$D:$D,"Material de enmienda")</f>
        <v>0</v>
      </c>
      <c r="AH20" s="101">
        <f>((A10_A_L15*Enmiendas_A)+(A10_B_L15*Enmiendas_B)+(A10_C_L15*Enmiendas_C)+(A10_D_L15*Enmiendas_D)+(A10_Y_L15*Enmiendas_Y))*Inflación_10</f>
        <v>0</v>
      </c>
      <c r="AI20" s="101">
        <f>SUMIFS('9'!$E:$E,'9'!$A:$A,Año_Inicial+9,'9'!$B:$B,'12'!AH$4,'9'!$D:$D,"Material de enmienda")</f>
        <v>0</v>
      </c>
      <c r="AJ20" s="101">
        <f>((A10_A_L16*Enmiendas_A)+(A10_B_L16*Enmiendas_B)+(A10_C_L16*Enmiendas_C)+(A10_D_L16*Enmiendas_D)+(A10_Y_L16*Enmiendas_Y))*Inflación_10</f>
        <v>0</v>
      </c>
      <c r="AK20" s="101">
        <f>SUMIFS('9'!$E:$E,'9'!$A:$A,Año_Inicial+9,'9'!$B:$B,'12'!AJ$4,'9'!$D:$D,"Material de enmienda")</f>
        <v>0</v>
      </c>
      <c r="AL20" s="101">
        <f>((A10_A_L17*Enmiendas_A)+(A10_B_L17*Enmiendas_B)+(A10_C_L17*Enmiendas_C)+(A10_D_L17*Enmiendas_D)+(A10_Y_L17*Enmiendas_Y))*Inflación_10</f>
        <v>0</v>
      </c>
      <c r="AM20" s="101">
        <f>SUMIFS('9'!$E:$E,'9'!$A:$A,Año_Inicial+9,'9'!$B:$B,'12'!AL$4,'9'!$D:$D,"Material de enmienda")</f>
        <v>0</v>
      </c>
      <c r="AN20" s="101">
        <f>((A10_A_L18*Enmiendas_A)+(A10_B_L18*Enmiendas_B)+(A10_C_L18*Enmiendas_C)+(A10_D_L18*Enmiendas_D)+(A10_Y_L18*Enmiendas_Y))*Inflación_10</f>
        <v>0</v>
      </c>
      <c r="AO20" s="101">
        <f>SUMIFS('9'!$E:$E,'9'!$A:$A,Año_Inicial+9,'9'!$B:$B,'12'!AN$4,'9'!$D:$D,"Material de enmienda")</f>
        <v>0</v>
      </c>
      <c r="AP20" s="101">
        <f>((A10_A_L19*Enmiendas_A)+(A10_B_L19*Enmiendas_B)+(A10_C_L19*Enmiendas_C)+(A10_D_L19*Enmiendas_D)+(A10_Y_L19*Enmiendas_Y))*Inflación_10</f>
        <v>0</v>
      </c>
      <c r="AQ20" s="101">
        <f>SUMIFS('9'!$E:$E,'9'!$A:$A,Año_Inicial+9,'9'!$B:$B,'12'!AP$4,'9'!$D:$D,"Material de enmienda")</f>
        <v>0</v>
      </c>
      <c r="AR20" s="101">
        <f>((A10_A_L20*Enmiendas_A)+(A10_B_L20*Enmiendas_B)+(A10_C_L20*Enmiendas_C)+(A10_D_L20*Enmiendas_D)+(A10_Y_L20*Enmiendas_Y))*Inflación_10</f>
        <v>0</v>
      </c>
      <c r="AS20" s="101">
        <f>SUMIFS('9'!$E:$E,'9'!$A:$A,Año_Inicial+9,'9'!$B:$B,'12'!AR$4,'9'!$D:$D,"Material de enmienda")</f>
        <v>0</v>
      </c>
      <c r="AT20" s="101">
        <f>((A10_A_L21*Enmiendas_A)+(A10_B_L21*Enmiendas_B)+(A10_C_L21*Enmiendas_C)+(A10_D_L21*Enmiendas_D)+(A10_Y_L21*Enmiendas_Y))*Inflación_10</f>
        <v>0</v>
      </c>
      <c r="AU20" s="101">
        <f>SUMIFS('9'!$E:$E,'9'!$A:$A,Año_Inicial+9,'9'!$B:$B,'12'!AT$4,'9'!$D:$D,"Material de enmienda")</f>
        <v>0</v>
      </c>
      <c r="AV20" s="101">
        <f>((A10_A_L22*Enmiendas_A)+(A10_B_L22*Enmiendas_B)+(A10_C_L22*Enmiendas_C)+(A10_D_L22*Enmiendas_D)+(A10_Y_L22*Enmiendas_Y))*Inflación_10</f>
        <v>0</v>
      </c>
      <c r="AW20" s="101">
        <f>SUMIFS('9'!$E:$E,'9'!$A:$A,Año_Inicial+9,'9'!$B:$B,'12'!AV$4,'9'!$D:$D,"Material de enmienda")</f>
        <v>0</v>
      </c>
      <c r="AX20" s="101">
        <f>((A10_A_L23*Enmiendas_A)+(A10_B_L23*Enmiendas_B)+(A10_C_L23*Enmiendas_C)+(A10_D_L23*Enmiendas_D)+(A10_Y_L23*Enmiendas_Y))*Inflación_10</f>
        <v>0</v>
      </c>
      <c r="AY20" s="101">
        <f>SUMIFS('9'!$E:$E,'9'!$A:$A,Año_Inicial+9,'9'!$B:$B,'12'!AX$4,'9'!$D:$D,"Material de enmienda")</f>
        <v>0</v>
      </c>
      <c r="AZ20" s="101">
        <f>((A10_A_L24*Enmiendas_A)+(A10_B_L24*Enmiendas_B)+(A10_C_L24*Enmiendas_C)+(A10_D_L24*Enmiendas_D)+(A10_Y_L24*Enmiendas_Y))*Inflación_10</f>
        <v>0</v>
      </c>
      <c r="BA20" s="101">
        <f>SUMIFS('9'!$E:$E,'9'!$A:$A,Año_Inicial+9,'9'!$B:$B,'12'!AZ$4,'9'!$D:$D,"Material de enmienda")</f>
        <v>0</v>
      </c>
      <c r="BB20" s="101">
        <f>((A10_A_L25*Enmiendas_A)+(A10_B_L25*Enmiendas_B)+(A10_C_L25*Enmiendas_C)+(A10_D_L25*Enmiendas_D)+(A10_Y_L25*Enmiendas_Y))*Inflación_10</f>
        <v>0</v>
      </c>
      <c r="BC20" s="101">
        <f>SUMIFS('9'!$E:$E,'9'!$A:$A,Año_Inicial+9,'9'!$B:$B,'12'!BB$4,'9'!$D:$D,"Material de enmienda")</f>
        <v>0</v>
      </c>
      <c r="BD20" s="101">
        <f>((A10_A_L26*Enmiendas_A)+(A10_B_L26*Enmiendas_B)+(A10_C_L26*Enmiendas_C)+(A10_D_L26*Enmiendas_D)+(A10_Y_L26*Enmiendas_Y))*Inflación_10</f>
        <v>0</v>
      </c>
      <c r="BE20" s="101">
        <f>SUMIFS('9'!$E:$E,'9'!$A:$A,Año_Inicial+9,'9'!$B:$B,'12'!BD$4,'9'!$D:$D,"Material de enmienda")</f>
        <v>0</v>
      </c>
      <c r="BF20" s="101">
        <f>((A10_A_L27*Enmiendas_A)+(A10_B_L27*Enmiendas_B)+(A10_C_L27*Enmiendas_C)+(A10_D_L27*Enmiendas_D)+(A10_Y_L27*Enmiendas_Y))*Inflación_10</f>
        <v>0</v>
      </c>
      <c r="BG20" s="101">
        <f>SUMIFS('9'!$E:$E,'9'!$A:$A,Año_Inicial+9,'9'!$B:$B,'12'!BF$4,'9'!$D:$D,"Material de enmienda")</f>
        <v>0</v>
      </c>
      <c r="BH20" s="101">
        <f>((A10_A_L28*Enmiendas_A)+(A10_B_L28*Enmiendas_B)+(A10_C_L28*Enmiendas_C)+(A10_D_L28*Enmiendas_D)+(A10_Y_L28*Enmiendas_Y))*Inflación_10</f>
        <v>0</v>
      </c>
      <c r="BI20" s="101">
        <f>SUMIFS('9'!$E:$E,'9'!$A:$A,Año_Inicial+9,'9'!$B:$B,'12'!BH$4,'9'!$D:$D,"Material de enmienda")</f>
        <v>0</v>
      </c>
      <c r="BJ20" s="101">
        <f>((A10_A_L29*Enmiendas_A)+(A10_B_L29*Enmiendas_B)+(A10_C_L29*Enmiendas_C)+(A10_D_L29*Enmiendas_D)+(A10_Y_L29*Enmiendas_Y))*Inflación_10</f>
        <v>0</v>
      </c>
      <c r="BK20" s="101">
        <f>SUMIFS('9'!$E:$E,'9'!$A:$A,Año_Inicial+9,'9'!$B:$B,'12'!BJ$4,'9'!$D:$D,"Material de enmienda")</f>
        <v>0</v>
      </c>
      <c r="BL20" s="101">
        <f>((A10_A_L30*Enmiendas_A)+(A10_B_L30*Enmiendas_B)+(A10_C_L30*Enmiendas_C)+(A10_D_L30*Enmiendas_D)+(A10_Y_L30*Enmiendas_Y))*Inflación_10</f>
        <v>0</v>
      </c>
      <c r="BM20" s="101">
        <f>SUMIFS('9'!$E:$E,'9'!$A:$A,Año_Inicial+9,'9'!$B:$B,'12'!BL$4,'9'!$D:$D,"Material de enmienda")</f>
        <v>0</v>
      </c>
      <c r="BN20" s="101">
        <f>((A10_A_L31*Enmiendas_A)+(A10_B_L31*Enmiendas_B)+(A10_C_L31*Enmiendas_C)+(A10_D_L31*Enmiendas_D)+(A10_Y_L31*Enmiendas_Y))*Inflación_10</f>
        <v>0</v>
      </c>
      <c r="BO20" s="101">
        <f>SUMIFS('9'!$E:$E,'9'!$A:$A,Año_Inicial+9,'9'!$B:$B,'12'!BN$4,'9'!$D:$D,"Material de enmienda")</f>
        <v>0</v>
      </c>
      <c r="BP20" s="101">
        <f>((A10_A_L32*Enmiendas_A)+(A10_B_L32*Enmiendas_B)+(A10_C_L32*Enmiendas_C)+(A10_D_L32*Enmiendas_D)+(A10_Y_L32*Enmiendas_Y))*Inflación_10</f>
        <v>0</v>
      </c>
      <c r="BQ20" s="101">
        <f>SUMIFS('9'!$E:$E,'9'!$A:$A,Año_Inicial+9,'9'!$B:$B,'12'!BP$4,'9'!$D:$D,"Material de enmienda")</f>
        <v>0</v>
      </c>
      <c r="BR20" s="101">
        <f>((A10_A_L33*Enmiendas_A)+(A10_B_L33*Enmiendas_B)+(A10_C_L33*Enmiendas_C)+(A10_D_L33*Enmiendas_D)+(A10_Y_L33*Enmiendas_Y))*Inflación_10</f>
        <v>0</v>
      </c>
      <c r="BS20" s="101">
        <f>SUMIFS('9'!$E:$E,'9'!$A:$A,Año_Inicial+9,'9'!$B:$B,'12'!BR$4,'9'!$D:$D,"Material de enmienda")</f>
        <v>0</v>
      </c>
      <c r="BT20" s="101">
        <f>((A10_A_L34*Enmiendas_A)+(A10_B_L34*Enmiendas_B)+(A10_C_L34*Enmiendas_C)+(A10_D_L34*Enmiendas_D)+(A10_Y_L34*Enmiendas_Y))*Inflación_10</f>
        <v>0</v>
      </c>
      <c r="BU20" s="101">
        <f>SUMIFS('9'!$E:$E,'9'!$A:$A,Año_Inicial+9,'9'!$B:$B,'12'!BT$4,'9'!$D:$D,"Material de enmienda")</f>
        <v>0</v>
      </c>
      <c r="BV20" s="101">
        <f>((A10_A_L35*Enmiendas_A)+(A10_B_L35*Enmiendas_B)+(A10_C_L35*Enmiendas_C)+(A10_D_L35*Enmiendas_D)+(A10_Y_L35*Enmiendas_Y))*Inflación_10</f>
        <v>0</v>
      </c>
      <c r="BW20" s="101">
        <f>SUMIFS('9'!$E:$E,'9'!$A:$A,Año_Inicial+9,'9'!$B:$B,'12'!BV$4,'9'!$D:$D,"Material de enmienda")</f>
        <v>0</v>
      </c>
      <c r="BX20" s="101">
        <f>((A10_A_L36*Enmiendas_A)+(A10_B_L36*Enmiendas_B)+(A10_C_L36*Enmiendas_C)+(A10_D_L36*Enmiendas_D)+(A10_Y_L36*Enmiendas_Y))*Inflación_10</f>
        <v>0</v>
      </c>
      <c r="BY20" s="101">
        <f>SUMIFS('9'!$E:$E,'9'!$A:$A,Año_Inicial+9,'9'!$B:$B,'12'!BX$4,'9'!$D:$D,"Material de enmienda")</f>
        <v>0</v>
      </c>
      <c r="BZ20" s="101">
        <f>((A10_A_L37*Enmiendas_A)+(A10_B_L37*Enmiendas_B)+(A10_C_L37*Enmiendas_C)+(A10_D_L37*Enmiendas_D)+(A10_Y_L37*Enmiendas_Y))*Inflación_10</f>
        <v>0</v>
      </c>
      <c r="CA20" s="101">
        <f>SUMIFS('9'!$E:$E,'9'!$A:$A,Año_Inicial+9,'9'!$B:$B,'12'!BZ$4,'9'!$D:$D,"Material de enmienda")</f>
        <v>0</v>
      </c>
      <c r="CB20" s="101">
        <f>((A10_A_L38*Enmiendas_A)+(A10_B_L38*Enmiendas_B)+(A10_C_L38*Enmiendas_C)+(A10_D_L38*Enmiendas_D)+(A10_Y_L38*Enmiendas_Y))*Inflación_10</f>
        <v>0</v>
      </c>
      <c r="CC20" s="101">
        <f>SUMIFS('9'!$E:$E,'9'!$A:$A,Año_Inicial+9,'9'!$B:$B,'12'!CB$4,'9'!$D:$D,"Material de enmienda")</f>
        <v>0</v>
      </c>
      <c r="CD20" s="101">
        <f>((A10_A_L39*Enmiendas_A)+(A10_B_L39*Enmiendas_B)+(A10_C_L39*Enmiendas_C)+(A10_D_L39*Enmiendas_D)+(A10_Y_L39*Enmiendas_Y))*Inflación_10</f>
        <v>0</v>
      </c>
      <c r="CE20" s="101">
        <f>SUMIFS('9'!$E:$E,'9'!$A:$A,Año_Inicial+9,'9'!$B:$B,'12'!CD$4,'9'!$D:$D,"Material de enmienda")</f>
        <v>0</v>
      </c>
      <c r="CF20" s="101">
        <f>((A10_A_L40*Enmiendas_A)+(A10_B_L40*Enmiendas_B)+(A10_C_L40*Enmiendas_C)+(A10_D_L40*Enmiendas_D)+(A10_Y_L40*Enmiendas_Y))*Inflación_10</f>
        <v>0</v>
      </c>
      <c r="CG20" s="101">
        <f>SUMIFS('9'!$E:$E,'9'!$A:$A,Año_Inicial+9,'9'!$B:$B,'12'!CF$4,'9'!$D:$D,"Material de enmienda")</f>
        <v>0</v>
      </c>
      <c r="CH20" s="473"/>
      <c r="CI20" s="101">
        <f>Plantas_A_A10*Enmiendas_A*Inflación_10</f>
        <v>0</v>
      </c>
      <c r="CJ20" s="101">
        <f>Plantas_B_A10*Enmiendas_B</f>
        <v>0</v>
      </c>
      <c r="CK20" s="101">
        <f>Plantas_C_A10*Enmiendas_C</f>
        <v>0</v>
      </c>
      <c r="CL20" s="101">
        <f>Plantas_D_A10*Enmiendas_D</f>
        <v>0</v>
      </c>
      <c r="CM20" s="101"/>
      <c r="CN20" s="101">
        <f>Plantas_Y_A10*Enmiendas_Y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SUMIFS('9'!$E:$E,'9'!$A:$A,Año_Inicial+9,'9'!$D:$D,"Aplicación de herbicida")</f>
        <v>0</v>
      </c>
      <c r="D22" s="100">
        <f t="shared" si="45"/>
        <v>0</v>
      </c>
      <c r="E22" s="473"/>
      <c r="F22" s="101">
        <f>((A10_A_L1*Malezas_A)+(A10_B_L1*Malezas_B)+(A10_C_L1*Malezas_C)+(A10_D_L1*Malezas_D)+(A10_Y_L1*Malezas_Y))*Inflación_10</f>
        <v>0</v>
      </c>
      <c r="G22" s="101">
        <f>SUMIFS('9'!$E:$E,'9'!$A:$A,Año_Inicial+9,'9'!$B:$B,'12'!F$4,'9'!$D:$D,"Aplicación de herbicida")</f>
        <v>0</v>
      </c>
      <c r="H22" s="101">
        <f>((A10_A_L2*Malezas_A)+(A10_B_L2*Malezas_B)+(A10_C_L2*Malezas_C)+(A10_D_L2*Malezas_D)+(A10_Y_L2*Malezas_Y))*Inflación_10</f>
        <v>0</v>
      </c>
      <c r="I22" s="101">
        <f>SUMIFS('9'!$E:$E,'9'!$A:$A,Año_Inicial+9,'9'!$B:$B,'12'!H$4,'9'!$D:$D,"Aplicación de herbicida")</f>
        <v>0</v>
      </c>
      <c r="J22" s="101">
        <f>((A10_A_L3*Malezas_A)+(A10_B_L3*Malezas_B)+(A10_C_L3*Malezas_C)+(A10_D_L3*Malezas_D)+(A10_Y_L3*Malezas_Y))*Inflación_10</f>
        <v>0</v>
      </c>
      <c r="K22" s="101">
        <f>SUMIFS('9'!$E:$E,'9'!$A:$A,Año_Inicial+9,'9'!$B:$B,'12'!J$4,'9'!$D:$D,"Aplicación de herbicida")</f>
        <v>0</v>
      </c>
      <c r="L22" s="101">
        <f>((A10_A_L4*Malezas_A)+(A10_B_L4*Malezas_B)+(A10_C_L4*Malezas_C)+(A10_D_L4*Malezas_D)+(A10_Y_L4*Malezas_Y))*Inflación_10</f>
        <v>0</v>
      </c>
      <c r="M22" s="101">
        <f>SUMIFS('9'!$E:$E,'9'!$A:$A,Año_Inicial+9,'9'!$B:$B,'12'!L$4,'9'!$D:$D,"Aplicación de herbicida")</f>
        <v>0</v>
      </c>
      <c r="N22" s="101">
        <f>((A10_A_L5*Malezas_A)+(A10_B_L5*Malezas_B)+(A10_C_L5*Malezas_C)+(A10_D_L5*Malezas_D)+(A10_Y_L5*Malezas_Y))*Inflación_10</f>
        <v>0</v>
      </c>
      <c r="O22" s="101">
        <f>SUMIFS('9'!$E:$E,'9'!$A:$A,Año_Inicial+9,'9'!$B:$B,'12'!N$4,'9'!$D:$D,"Aplicación de herbicida")</f>
        <v>0</v>
      </c>
      <c r="P22" s="101">
        <f>((A10_A_L6*Malezas_A)+(A10_B_L6*Malezas_B)+(A10_C_L6*Malezas_C)+(A10_D_L6*Malezas_D)+(A10_Y_L6*Malezas_Y))*Inflación_10</f>
        <v>0</v>
      </c>
      <c r="Q22" s="101">
        <f>SUMIFS('9'!$E:$E,'9'!$A:$A,Año_Inicial+9,'9'!$B:$B,'12'!P$4,'9'!$D:$D,"Aplicación de herbicida")</f>
        <v>0</v>
      </c>
      <c r="R22" s="101">
        <f>((A10_A_L7*Malezas_A)+(A10_B_L7*Malezas_B)+(A10_C_L7*Malezas_C)+(A10_D_L7*Malezas_D)+(A10_Y_L7*Malezas_Y))*Inflación_10</f>
        <v>0</v>
      </c>
      <c r="S22" s="101">
        <f>SUMIFS('9'!$E:$E,'9'!$A:$A,Año_Inicial+9,'9'!$B:$B,'12'!R$4,'9'!$D:$D,"Aplicación de herbicida")</f>
        <v>0</v>
      </c>
      <c r="T22" s="101">
        <f>((A10_A_L8*Malezas_A)+(A10_B_L8*Malezas_B)+(A10_C_L8*Malezas_C)+(A10_D_L8*Malezas_D)+(A10_Y_L8*Malezas_Y))*Inflación_10</f>
        <v>0</v>
      </c>
      <c r="U22" s="101">
        <f>SUMIFS('9'!$E:$E,'9'!$A:$A,Año_Inicial+9,'9'!$B:$B,'12'!T$4,'9'!$D:$D,"Aplicación de herbicida")</f>
        <v>0</v>
      </c>
      <c r="V22" s="101">
        <f>((A10_A_L9*Malezas_A)+(A10_B_L9*Malezas_B)+(A10_C_L9*Malezas_C)+(A10_D_L9*Malezas_D)+(A10_Y_L9*Malezas_Y))*Inflación_10</f>
        <v>0</v>
      </c>
      <c r="W22" s="101">
        <f>SUMIFS('9'!$E:$E,'9'!$A:$A,Año_Inicial+9,'9'!$B:$B,'12'!V$4,'9'!$D:$D,"Aplicación de herbicida")</f>
        <v>0</v>
      </c>
      <c r="X22" s="101">
        <f>((A10_A_L10*Malezas_A)+(A10_B_L10*Malezas_B)+(A10_C_L10*Malezas_C)+(A10_D_L10*Malezas_D)+(A10_Y_L10*Malezas_Y))*Inflación_10</f>
        <v>0</v>
      </c>
      <c r="Y22" s="101">
        <f>SUMIFS('9'!$E:$E,'9'!$A:$A,Año_Inicial+9,'9'!$B:$B,'12'!X$4,'9'!$D:$D,"Aplicación de herbicida")</f>
        <v>0</v>
      </c>
      <c r="Z22" s="101">
        <f>((A10_A_L11*Malezas_A)+(A10_B_L11*Malezas_B)+(A10_C_L11*Malezas_C)+(A10_D_L11*Malezas_D)+(A10_Y_L11*Malezas_Y))*Inflación_10</f>
        <v>0</v>
      </c>
      <c r="AA22" s="101">
        <f>SUMIFS('9'!$E:$E,'9'!$A:$A,Año_Inicial+9,'9'!$B:$B,'12'!Z$4,'9'!$D:$D,"Aplicación de herbicida")</f>
        <v>0</v>
      </c>
      <c r="AB22" s="101">
        <f>((A10_A_L12*Malezas_A)+(A10_B_L12*Malezas_B)+(A10_C_L12*Malezas_C)+(A10_D_L12*Malezas_D)+(A10_Y_L12*Malezas_Y))*Inflación_10</f>
        <v>0</v>
      </c>
      <c r="AC22" s="101">
        <f>SUMIFS('9'!$E:$E,'9'!$A:$A,Año_Inicial+9,'9'!$B:$B,'12'!AB$4,'9'!$D:$D,"Aplicación de herbicida")</f>
        <v>0</v>
      </c>
      <c r="AD22" s="101">
        <f>((A10_A_L13*Malezas_A)+(A10_B_L13*Malezas_B)+(A10_C_L13*Malezas_C)+(A10_D_L13*Malezas_D)+(A10_Y_L13*Malezas_Y))*Inflación_10</f>
        <v>0</v>
      </c>
      <c r="AE22" s="101">
        <f>SUMIFS('9'!$E:$E,'9'!$A:$A,Año_Inicial+9,'9'!$B:$B,'12'!AD$4,'9'!$D:$D,"Aplicación de herbicida")</f>
        <v>0</v>
      </c>
      <c r="AF22" s="101">
        <f>((A10_A_L14*Malezas_A)+(A10_B_L14*Malezas_B)+(A10_C_L14*Malezas_C)+(A10_D_L14*Malezas_D)+(A10_Y_L14*Malezas_Y))*Inflación_10</f>
        <v>0</v>
      </c>
      <c r="AG22" s="101">
        <f>SUMIFS('9'!$E:$E,'9'!$A:$A,Año_Inicial+9,'9'!$B:$B,'12'!AF$4,'9'!$D:$D,"Aplicación de herbicida")</f>
        <v>0</v>
      </c>
      <c r="AH22" s="101">
        <f>((A10_A_L15*Malezas_A)+(A10_B_L15*Malezas_B)+(A10_C_L15*Malezas_C)+(A10_D_L15*Malezas_D)+(A10_Y_L15*Malezas_Y))*Inflación_10</f>
        <v>0</v>
      </c>
      <c r="AI22" s="101">
        <f>SUMIFS('9'!$E:$E,'9'!$A:$A,Año_Inicial+9,'9'!$B:$B,'12'!AH$4,'9'!$D:$D,"Aplicación de herbicida")</f>
        <v>0</v>
      </c>
      <c r="AJ22" s="101">
        <f>((A10_A_L16*Malezas_A)+(A10_B_L16*Malezas_B)+(A10_C_L16*Malezas_C)+(A10_D_L16*Malezas_D)+(A10_Y_L16*Malezas_Y))*Inflación_10</f>
        <v>0</v>
      </c>
      <c r="AK22" s="101">
        <f>SUMIFS('9'!$E:$E,'9'!$A:$A,Año_Inicial+9,'9'!$B:$B,'12'!AJ$4,'9'!$D:$D,"Aplicación de herbicida")</f>
        <v>0</v>
      </c>
      <c r="AL22" s="101">
        <f>((A10_A_L17*Malezas_A)+(A10_B_L17*Malezas_B)+(A10_C_L17*Malezas_C)+(A10_D_L17*Malezas_D)+(A10_Y_L17*Malezas_Y))*Inflación_10</f>
        <v>0</v>
      </c>
      <c r="AM22" s="101">
        <f>SUMIFS('9'!$E:$E,'9'!$A:$A,Año_Inicial+9,'9'!$B:$B,'12'!AL$4,'9'!$D:$D,"Aplicación de herbicida")</f>
        <v>0</v>
      </c>
      <c r="AN22" s="101">
        <f>((A10_A_L18*Malezas_A)+(A10_B_L18*Malezas_B)+(A10_C_L18*Malezas_C)+(A10_D_L18*Malezas_D)+(A10_Y_L18*Malezas_Y))*Inflación_10</f>
        <v>0</v>
      </c>
      <c r="AO22" s="101">
        <f>SUMIFS('9'!$E:$E,'9'!$A:$A,Año_Inicial+9,'9'!$B:$B,'12'!AN$4,'9'!$D:$D,"Aplicación de herbicida")</f>
        <v>0</v>
      </c>
      <c r="AP22" s="101">
        <f>((A10_A_L19*Malezas_A)+(A10_B_L19*Malezas_B)+(A10_C_L19*Malezas_C)+(A10_D_L19*Malezas_D)+(A10_Y_L19*Malezas_Y))*Inflación_10</f>
        <v>0</v>
      </c>
      <c r="AQ22" s="101">
        <f>SUMIFS('9'!$E:$E,'9'!$A:$A,Año_Inicial+9,'9'!$B:$B,'12'!AP$4,'9'!$D:$D,"Aplicación de herbicida")</f>
        <v>0</v>
      </c>
      <c r="AR22" s="101">
        <f>((A10_A_L20*Malezas_A)+(A10_B_L20*Malezas_B)+(A10_C_L20*Malezas_C)+(A10_D_L20*Malezas_D)+(A10_Y_L20*Malezas_Y))*Inflación_10</f>
        <v>0</v>
      </c>
      <c r="AS22" s="101">
        <f>SUMIFS('9'!$E:$E,'9'!$A:$A,Año_Inicial+9,'9'!$B:$B,'12'!AR$4,'9'!$D:$D,"Aplicación de herbicida")</f>
        <v>0</v>
      </c>
      <c r="AT22" s="101">
        <f>((A10_A_L21*Malezas_A)+(A10_B_L21*Malezas_B)+(A10_C_L21*Malezas_C)+(A10_D_L21*Malezas_D)+(A10_Y_L21*Malezas_Y))*Inflación_10</f>
        <v>0</v>
      </c>
      <c r="AU22" s="101">
        <f>SUMIFS('9'!$E:$E,'9'!$A:$A,Año_Inicial+9,'9'!$B:$B,'12'!AT$4,'9'!$D:$D,"Aplicación de herbicida")</f>
        <v>0</v>
      </c>
      <c r="AV22" s="101">
        <f>((A10_A_L22*Malezas_A)+(A10_B_L22*Malezas_B)+(A10_C_L22*Malezas_C)+(A10_D_L22*Malezas_D)+(A10_Y_L22*Malezas_Y))*Inflación_10</f>
        <v>0</v>
      </c>
      <c r="AW22" s="101">
        <f>SUMIFS('9'!$E:$E,'9'!$A:$A,Año_Inicial+9,'9'!$B:$B,'12'!AV$4,'9'!$D:$D,"Aplicación de herbicida")</f>
        <v>0</v>
      </c>
      <c r="AX22" s="101">
        <f>((A10_A_L23*Malezas_A)+(A10_B_L23*Malezas_B)+(A10_C_L23*Malezas_C)+(A10_D_L23*Malezas_D)+(A10_Y_L23*Malezas_Y))*Inflación_10</f>
        <v>0</v>
      </c>
      <c r="AY22" s="101">
        <f>SUMIFS('9'!$E:$E,'9'!$A:$A,Año_Inicial+9,'9'!$B:$B,'12'!AX$4,'9'!$D:$D,"Aplicación de herbicida")</f>
        <v>0</v>
      </c>
      <c r="AZ22" s="101">
        <f>((A10_A_L24*Malezas_A)+(A10_B_L24*Malezas_B)+(A10_C_L24*Malezas_C)+(A10_D_L24*Malezas_D)+(A10_Y_L24*Malezas_Y))*Inflación_10</f>
        <v>0</v>
      </c>
      <c r="BA22" s="101">
        <f>SUMIFS('9'!$E:$E,'9'!$A:$A,Año_Inicial+9,'9'!$B:$B,'12'!AZ$4,'9'!$D:$D,"Aplicación de herbicida")</f>
        <v>0</v>
      </c>
      <c r="BB22" s="101">
        <f>((A10_A_L25*Malezas_A)+(A10_B_L25*Malezas_B)+(A10_C_L25*Malezas_C)+(A10_D_L25*Malezas_D)+(A10_Y_L25*Malezas_Y))*Inflación_10</f>
        <v>0</v>
      </c>
      <c r="BC22" s="101">
        <f>SUMIFS('9'!$E:$E,'9'!$A:$A,Año_Inicial+9,'9'!$B:$B,'12'!BB$4,'9'!$D:$D,"Aplicación de herbicida")</f>
        <v>0</v>
      </c>
      <c r="BD22" s="101">
        <f>((A10_A_L26*Malezas_A)+(A10_B_L26*Malezas_B)+(A10_C_L26*Malezas_C)+(A10_D_L26*Malezas_D)+(A10_Y_L26*Malezas_Y))*Inflación_10</f>
        <v>0</v>
      </c>
      <c r="BE22" s="101">
        <f>SUMIFS('9'!$E:$E,'9'!$A:$A,Año_Inicial+9,'9'!$B:$B,'12'!BD$4,'9'!$D:$D,"Aplicación de herbicida")</f>
        <v>0</v>
      </c>
      <c r="BF22" s="101">
        <f>((A10_A_L27*Malezas_A)+(A10_B_L27*Malezas_B)+(A10_C_L27*Malezas_C)+(A10_D_L27*Malezas_D)+(A10_Y_L27*Malezas_Y))*Inflación_10</f>
        <v>0</v>
      </c>
      <c r="BG22" s="101">
        <f>SUMIFS('9'!$E:$E,'9'!$A:$A,Año_Inicial+9,'9'!$B:$B,'12'!BF$4,'9'!$D:$D,"Aplicación de herbicida")</f>
        <v>0</v>
      </c>
      <c r="BH22" s="101">
        <f>((A10_A_L28*Malezas_A)+(A10_B_L28*Malezas_B)+(A10_C_L28*Malezas_C)+(A10_D_L28*Malezas_D)+(A10_Y_L28*Malezas_Y))*Inflación_10</f>
        <v>0</v>
      </c>
      <c r="BI22" s="101">
        <f>SUMIFS('9'!$E:$E,'9'!$A:$A,Año_Inicial+9,'9'!$B:$B,'12'!BH$4,'9'!$D:$D,"Aplicación de herbicida")</f>
        <v>0</v>
      </c>
      <c r="BJ22" s="101">
        <f>((A10_A_L29*Malezas_A)+(A10_B_L29*Malezas_B)+(A10_C_L29*Malezas_C)+(A10_D_L29*Malezas_D)+(A10_Y_L29*Malezas_Y))*Inflación_10</f>
        <v>0</v>
      </c>
      <c r="BK22" s="101">
        <f>SUMIFS('9'!$E:$E,'9'!$A:$A,Año_Inicial+9,'9'!$B:$B,'12'!BJ$4,'9'!$D:$D,"Aplicación de herbicida")</f>
        <v>0</v>
      </c>
      <c r="BL22" s="101">
        <f>((A10_A_L30*Malezas_A)+(A10_B_L30*Malezas_B)+(A10_C_L30*Malezas_C)+(A10_D_L30*Malezas_D)+(A10_Y_L30*Malezas_Y))*Inflación_10</f>
        <v>0</v>
      </c>
      <c r="BM22" s="101">
        <f>SUMIFS('9'!$E:$E,'9'!$A:$A,Año_Inicial+9,'9'!$B:$B,'12'!BL$4,'9'!$D:$D,"Aplicación de herbicida")</f>
        <v>0</v>
      </c>
      <c r="BN22" s="101">
        <f>((A10_A_L31*Malezas_A)+(A10_B_L31*Malezas_B)+(A10_C_L31*Malezas_C)+(A10_D_L31*Malezas_D)+(A10_Y_L31*Malezas_Y))*Inflación_10</f>
        <v>0</v>
      </c>
      <c r="BO22" s="101">
        <f>SUMIFS('9'!$E:$E,'9'!$A:$A,Año_Inicial+9,'9'!$B:$B,'12'!BN$4,'9'!$D:$D,"Aplicación de herbicida")</f>
        <v>0</v>
      </c>
      <c r="BP22" s="101">
        <f>((A10_A_L32*Malezas_A)+(A10_B_L32*Malezas_B)+(A10_C_L32*Malezas_C)+(A10_D_L32*Malezas_D)+(A10_Y_L32*Malezas_Y))*Inflación_10</f>
        <v>0</v>
      </c>
      <c r="BQ22" s="101">
        <f>SUMIFS('9'!$E:$E,'9'!$A:$A,Año_Inicial+9,'9'!$B:$B,'12'!BP$4,'9'!$D:$D,"Aplicación de herbicida")</f>
        <v>0</v>
      </c>
      <c r="BR22" s="101">
        <f>((A10_A_L33*Malezas_A)+(A10_B_L33*Malezas_B)+(A10_C_L33*Malezas_C)+(A10_D_L33*Malezas_D)+(A10_Y_L33*Malezas_Y))*Inflación_10</f>
        <v>0</v>
      </c>
      <c r="BS22" s="101">
        <f>SUMIFS('9'!$E:$E,'9'!$A:$A,Año_Inicial+9,'9'!$B:$B,'12'!BR$4,'9'!$D:$D,"Aplicación de herbicida")</f>
        <v>0</v>
      </c>
      <c r="BT22" s="101">
        <f>((A10_A_L34*Malezas_A)+(A10_B_L34*Malezas_B)+(A10_C_L34*Malezas_C)+(A10_D_L34*Malezas_D)+(A10_Y_L34*Malezas_Y))*Inflación_10</f>
        <v>0</v>
      </c>
      <c r="BU22" s="101">
        <f>SUMIFS('9'!$E:$E,'9'!$A:$A,Año_Inicial+9,'9'!$B:$B,'12'!BT$4,'9'!$D:$D,"Aplicación de herbicida")</f>
        <v>0</v>
      </c>
      <c r="BV22" s="101">
        <f>((A10_A_L35*Malezas_A)+(A10_B_L35*Malezas_B)+(A10_C_L35*Malezas_C)+(A10_D_L35*Malezas_D)+(A10_Y_L35*Malezas_Y))*Inflación_10</f>
        <v>0</v>
      </c>
      <c r="BW22" s="101">
        <f>SUMIFS('9'!$E:$E,'9'!$A:$A,Año_Inicial+9,'9'!$B:$B,'12'!BV$4,'9'!$D:$D,"Aplicación de herbicida")</f>
        <v>0</v>
      </c>
      <c r="BX22" s="101">
        <f>((A10_A_L36*Malezas_A)+(A10_B_L36*Malezas_B)+(A10_C_L36*Malezas_C)+(A10_D_L36*Malezas_D)+(A10_Y_L36*Malezas_Y))*Inflación_10</f>
        <v>0</v>
      </c>
      <c r="BY22" s="101">
        <f>SUMIFS('9'!$E:$E,'9'!$A:$A,Año_Inicial+9,'9'!$B:$B,'12'!BX$4,'9'!$D:$D,"Aplicación de herbicida")</f>
        <v>0</v>
      </c>
      <c r="BZ22" s="101">
        <f>((A10_A_L37*Malezas_A)+(A10_B_L37*Malezas_B)+(A10_C_L37*Malezas_C)+(A10_D_L37*Malezas_D)+(A10_Y_L37*Malezas_Y))*Inflación_10</f>
        <v>0</v>
      </c>
      <c r="CA22" s="101">
        <f>SUMIFS('9'!$E:$E,'9'!$A:$A,Año_Inicial+9,'9'!$B:$B,'12'!BZ$4,'9'!$D:$D,"Aplicación de herbicida")</f>
        <v>0</v>
      </c>
      <c r="CB22" s="101">
        <f>((A10_A_L38*Malezas_A)+(A10_B_L38*Malezas_B)+(A10_C_L38*Malezas_C)+(A10_D_L38*Malezas_D)+(A10_Y_L38*Malezas_Y))*Inflación_10</f>
        <v>0</v>
      </c>
      <c r="CC22" s="101">
        <f>SUMIFS('9'!$E:$E,'9'!$A:$A,Año_Inicial+9,'9'!$B:$B,'12'!CB$4,'9'!$D:$D,"Aplicación de herbicida")</f>
        <v>0</v>
      </c>
      <c r="CD22" s="101">
        <f>((A10_A_L39*Malezas_A)+(A10_B_L39*Malezas_B)+(A10_C_L39*Malezas_C)+(A10_D_L39*Malezas_D)+(A10_Y_L39*Malezas_Y))*Inflación_10</f>
        <v>0</v>
      </c>
      <c r="CE22" s="101">
        <f>SUMIFS('9'!$E:$E,'9'!$A:$A,Año_Inicial+9,'9'!$B:$B,'12'!CD$4,'9'!$D:$D,"Aplicación de herbicida")</f>
        <v>0</v>
      </c>
      <c r="CF22" s="101">
        <f>((A10_A_L40*Malezas_A)+(A10_B_L40*Malezas_B)+(A10_C_L40*Malezas_C)+(A10_D_L40*Malezas_D)+(A10_Y_L40*Malezas_Y))*Inflación_10</f>
        <v>0</v>
      </c>
      <c r="CG22" s="101">
        <f>SUMIFS('9'!$E:$E,'9'!$A:$A,Año_Inicial+9,'9'!$B:$B,'12'!CF$4,'9'!$D:$D,"Aplicación de herbicida")</f>
        <v>0</v>
      </c>
      <c r="CH22" s="473"/>
      <c r="CI22" s="101">
        <f>Plantas_A_A10*Malezas_A*Inflación_10</f>
        <v>0</v>
      </c>
      <c r="CJ22" s="101">
        <f>Plantas_B_A10*Malezas_B</f>
        <v>0</v>
      </c>
      <c r="CK22" s="101">
        <f>Plantas_C_A10*Malezas_C</f>
        <v>0</v>
      </c>
      <c r="CL22" s="101">
        <f>Plantas_D_A10*Malezas_D</f>
        <v>0</v>
      </c>
      <c r="CM22" s="101"/>
      <c r="CN22" s="101">
        <f>Plantas_Y_A10*Malezas_Y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SUMIFS('9'!$E:$E,'9'!$A:$A,Año_Inicial+9,'9'!$D:$D,"Limpias manuales")</f>
        <v>0</v>
      </c>
      <c r="D23" s="100">
        <f t="shared" si="45"/>
        <v>0</v>
      </c>
      <c r="E23" s="473"/>
      <c r="F23" s="101">
        <f>((A10_A_L1*Limpias_A)+(A10_B_L1*Limpias_B)+(A10_C_L1*Limpias_C)+(A10_D_L1*Limpias_D)+(A10_Y_L1*Limpias_Y))*Inflación_10</f>
        <v>0</v>
      </c>
      <c r="G23" s="101">
        <f>SUMIFS('9'!$E:$E,'9'!$A:$A,Año_Inicial+9,'9'!$B:$B,'12'!F$4,'9'!$D:$D,"Limpias manuales")</f>
        <v>0</v>
      </c>
      <c r="H23" s="101">
        <f>((A10_A_L2*Limpias_A)+(A10_B_L2*Limpias_B)+(A10_C_L2*Limpias_C)+(A10_D_L2*Limpias_D)+(A10_Y_L2*Limpias_Y))*Inflación_10</f>
        <v>0</v>
      </c>
      <c r="I23" s="101">
        <f>SUMIFS('9'!$E:$E,'9'!$A:$A,Año_Inicial+9,'9'!$B:$B,'12'!H$4,'9'!$D:$D,"Limpias manuales")</f>
        <v>0</v>
      </c>
      <c r="J23" s="101">
        <f>((A10_A_L3*Limpias_A)+(A10_B_L3*Limpias_B)+(A10_C_L3*Limpias_C)+(A10_D_L3*Limpias_D)+(A10_Y_L3*Limpias_Y))*Inflación_10</f>
        <v>0</v>
      </c>
      <c r="K23" s="101">
        <f>SUMIFS('9'!$E:$E,'9'!$A:$A,Año_Inicial+9,'9'!$B:$B,'12'!J$4,'9'!$D:$D,"Limpias manuales")</f>
        <v>0</v>
      </c>
      <c r="L23" s="101">
        <f>((A10_A_L4*Limpias_A)+(A10_B_L4*Limpias_B)+(A10_C_L4*Limpias_C)+(A10_D_L4*Limpias_D)+(A10_Y_L4*Limpias_Y))*Inflación_10</f>
        <v>0</v>
      </c>
      <c r="M23" s="101">
        <f>SUMIFS('9'!$E:$E,'9'!$A:$A,Año_Inicial+9,'9'!$B:$B,'12'!L$4,'9'!$D:$D,"Limpias manuales")</f>
        <v>0</v>
      </c>
      <c r="N23" s="101">
        <f>((A10_A_L5*Limpias_A)+(A10_B_L5*Limpias_B)+(A10_C_L5*Limpias_C)+(A10_D_L5*Limpias_D)+(A10_Y_L5*Limpias_Y))*Inflación_10</f>
        <v>0</v>
      </c>
      <c r="O23" s="101">
        <f>SUMIFS('9'!$E:$E,'9'!$A:$A,Año_Inicial+9,'9'!$B:$B,'12'!N$4,'9'!$D:$D,"Limpias manuales")</f>
        <v>0</v>
      </c>
      <c r="P23" s="101">
        <f>((A10_A_L6*Limpias_A)+(A10_B_L6*Limpias_B)+(A10_C_L6*Limpias_C)+(A10_D_L6*Limpias_D)+(A10_Y_L6*Limpias_Y))*Inflación_10</f>
        <v>0</v>
      </c>
      <c r="Q23" s="101">
        <f>SUMIFS('9'!$E:$E,'9'!$A:$A,Año_Inicial+9,'9'!$B:$B,'12'!P$4,'9'!$D:$D,"Limpias manuales")</f>
        <v>0</v>
      </c>
      <c r="R23" s="101">
        <f>((A10_A_L7*Limpias_A)+(A10_B_L7*Limpias_B)+(A10_C_L7*Limpias_C)+(A10_D_L7*Limpias_D)+(A10_Y_L7*Limpias_Y))*Inflación_10</f>
        <v>0</v>
      </c>
      <c r="S23" s="101">
        <f>SUMIFS('9'!$E:$E,'9'!$A:$A,Año_Inicial+9,'9'!$B:$B,'12'!R$4,'9'!$D:$D,"Limpias manuales")</f>
        <v>0</v>
      </c>
      <c r="T23" s="101">
        <f>((A10_A_L8*Limpias_A)+(A10_B_L8*Limpias_B)+(A10_C_L8*Limpias_C)+(A10_D_L8*Limpias_D)+(A10_Y_L8*Limpias_Y))*Inflación_10</f>
        <v>0</v>
      </c>
      <c r="U23" s="101">
        <f>SUMIFS('9'!$E:$E,'9'!$A:$A,Año_Inicial+9,'9'!$B:$B,'12'!T$4,'9'!$D:$D,"Limpias manuales")</f>
        <v>0</v>
      </c>
      <c r="V23" s="101">
        <f>((A10_A_L9*Limpias_A)+(A10_B_L9*Limpias_B)+(A10_C_L9*Limpias_C)+(A10_D_L9*Limpias_D)+(A10_Y_L9*Limpias_Y))*Inflación_10</f>
        <v>0</v>
      </c>
      <c r="W23" s="101">
        <f>SUMIFS('9'!$E:$E,'9'!$A:$A,Año_Inicial+9,'9'!$B:$B,'12'!V$4,'9'!$D:$D,"Limpias manuales")</f>
        <v>0</v>
      </c>
      <c r="X23" s="101">
        <f>((A10_A_L10*Limpias_A)+(A10_B_L10*Limpias_B)+(A10_C_L10*Limpias_C)+(A10_D_L10*Limpias_D)+(A10_Y_L10*Limpias_Y))*Inflación_10</f>
        <v>0</v>
      </c>
      <c r="Y23" s="101">
        <f>SUMIFS('9'!$E:$E,'9'!$A:$A,Año_Inicial+9,'9'!$B:$B,'12'!X$4,'9'!$D:$D,"Limpias manuales")</f>
        <v>0</v>
      </c>
      <c r="Z23" s="101">
        <f>((A10_A_L11*Limpias_A)+(A10_B_L11*Limpias_B)+(A10_C_L11*Limpias_C)+(A10_D_L11*Limpias_D)+(A10_Y_L11*Limpias_Y))*Inflación_10</f>
        <v>0</v>
      </c>
      <c r="AA23" s="101">
        <f>SUMIFS('9'!$E:$E,'9'!$A:$A,Año_Inicial+9,'9'!$B:$B,'12'!Z$4,'9'!$D:$D,"Limpias manuales")</f>
        <v>0</v>
      </c>
      <c r="AB23" s="101">
        <f>((A10_A_L12*Limpias_A)+(A10_B_L12*Limpias_B)+(A10_C_L12*Limpias_C)+(A10_D_L12*Limpias_D)+(A10_Y_L12*Limpias_Y))*Inflación_10</f>
        <v>0</v>
      </c>
      <c r="AC23" s="101">
        <f>SUMIFS('9'!$E:$E,'9'!$A:$A,Año_Inicial+9,'9'!$B:$B,'12'!AB$4,'9'!$D:$D,"Limpias manuales")</f>
        <v>0</v>
      </c>
      <c r="AD23" s="101">
        <f>((A10_A_L13*Limpias_A)+(A10_B_L13*Limpias_B)+(A10_C_L13*Limpias_C)+(A10_D_L13*Limpias_D)+(A10_Y_L13*Limpias_Y))*Inflación_10</f>
        <v>0</v>
      </c>
      <c r="AE23" s="101">
        <f>SUMIFS('9'!$E:$E,'9'!$A:$A,Año_Inicial+9,'9'!$B:$B,'12'!AD$4,'9'!$D:$D,"Limpias manuales")</f>
        <v>0</v>
      </c>
      <c r="AF23" s="101">
        <f>((A10_A_L14*Limpias_A)+(A10_B_L14*Limpias_B)+(A10_C_L14*Limpias_C)+(A10_D_L14*Limpias_D)+(A10_Y_L14*Limpias_Y))*Inflación_10</f>
        <v>0</v>
      </c>
      <c r="AG23" s="101">
        <f>SUMIFS('9'!$E:$E,'9'!$A:$A,Año_Inicial+9,'9'!$B:$B,'12'!AF$4,'9'!$D:$D,"Limpias manuales")</f>
        <v>0</v>
      </c>
      <c r="AH23" s="101">
        <f>((A10_A_L15*Limpias_A)+(A10_B_L15*Limpias_B)+(A10_C_L15*Limpias_C)+(A10_D_L15*Limpias_D)+(A10_Y_L15*Limpias_Y))*Inflación_10</f>
        <v>0</v>
      </c>
      <c r="AI23" s="101">
        <f>SUMIFS('9'!$E:$E,'9'!$A:$A,Año_Inicial+9,'9'!$B:$B,'12'!AH$4,'9'!$D:$D,"Limpias manuales")</f>
        <v>0</v>
      </c>
      <c r="AJ23" s="101">
        <f>((A10_A_L16*Limpias_A)+(A10_B_L16*Limpias_B)+(A10_C_L16*Limpias_C)+(A10_D_L16*Limpias_D)+(A10_Y_L16*Limpias_Y))*Inflación_10</f>
        <v>0</v>
      </c>
      <c r="AK23" s="101">
        <f>SUMIFS('9'!$E:$E,'9'!$A:$A,Año_Inicial+9,'9'!$B:$B,'12'!AJ$4,'9'!$D:$D,"Limpias manuales")</f>
        <v>0</v>
      </c>
      <c r="AL23" s="101">
        <f>((A10_A_L17*Limpias_A)+(A10_B_L17*Limpias_B)+(A10_C_L17*Limpias_C)+(A10_D_L17*Limpias_D)+(A10_Y_L17*Limpias_Y))*Inflación_10</f>
        <v>0</v>
      </c>
      <c r="AM23" s="101">
        <f>SUMIFS('9'!$E:$E,'9'!$A:$A,Año_Inicial+9,'9'!$B:$B,'12'!AL$4,'9'!$D:$D,"Limpias manuales")</f>
        <v>0</v>
      </c>
      <c r="AN23" s="101">
        <f>((A10_A_L18*Limpias_A)+(A10_B_L18*Limpias_B)+(A10_C_L18*Limpias_C)+(A10_D_L18*Limpias_D)+(A10_Y_L18*Limpias_Y))*Inflación_10</f>
        <v>0</v>
      </c>
      <c r="AO23" s="101">
        <f>SUMIFS('9'!$E:$E,'9'!$A:$A,Año_Inicial+9,'9'!$B:$B,'12'!AN$4,'9'!$D:$D,"Limpias manuales")</f>
        <v>0</v>
      </c>
      <c r="AP23" s="101">
        <f>((A10_A_L19*Limpias_A)+(A10_B_L19*Limpias_B)+(A10_C_L19*Limpias_C)+(A10_D_L19*Limpias_D)+(A10_Y_L19*Limpias_Y))*Inflación_10</f>
        <v>0</v>
      </c>
      <c r="AQ23" s="101">
        <f>SUMIFS('9'!$E:$E,'9'!$A:$A,Año_Inicial+9,'9'!$B:$B,'12'!AP$4,'9'!$D:$D,"Limpias manuales")</f>
        <v>0</v>
      </c>
      <c r="AR23" s="101">
        <f>((A10_A_L20*Limpias_A)+(A10_B_L20*Limpias_B)+(A10_C_L20*Limpias_C)+(A10_D_L20*Limpias_D)+(A10_Y_L20*Limpias_Y))*Inflación_10</f>
        <v>0</v>
      </c>
      <c r="AS23" s="101">
        <f>SUMIFS('9'!$E:$E,'9'!$A:$A,Año_Inicial+9,'9'!$B:$B,'12'!AR$4,'9'!$D:$D,"Limpias manuales")</f>
        <v>0</v>
      </c>
      <c r="AT23" s="101">
        <f>((A10_A_L21*Limpias_A)+(A10_B_L21*Limpias_B)+(A10_C_L21*Limpias_C)+(A10_D_L21*Limpias_D)+(A10_Y_L21*Limpias_Y))*Inflación_10</f>
        <v>0</v>
      </c>
      <c r="AU23" s="101">
        <f>SUMIFS('9'!$E:$E,'9'!$A:$A,Año_Inicial+9,'9'!$B:$B,'12'!AT$4,'9'!$D:$D,"Limpias manuales")</f>
        <v>0</v>
      </c>
      <c r="AV23" s="101">
        <f>((A10_A_L22*Limpias_A)+(A10_B_L22*Limpias_B)+(A10_C_L22*Limpias_C)+(A10_D_L22*Limpias_D)+(A10_Y_L22*Limpias_Y))*Inflación_10</f>
        <v>0</v>
      </c>
      <c r="AW23" s="101">
        <f>SUMIFS('9'!$E:$E,'9'!$A:$A,Año_Inicial+9,'9'!$B:$B,'12'!AV$4,'9'!$D:$D,"Limpias manuales")</f>
        <v>0</v>
      </c>
      <c r="AX23" s="101">
        <f>((A10_A_L23*Limpias_A)+(A10_B_L23*Limpias_B)+(A10_C_L23*Limpias_C)+(A10_D_L23*Limpias_D)+(A10_Y_L23*Limpias_Y))*Inflación_10</f>
        <v>0</v>
      </c>
      <c r="AY23" s="101">
        <f>SUMIFS('9'!$E:$E,'9'!$A:$A,Año_Inicial+9,'9'!$B:$B,'12'!AX$4,'9'!$D:$D,"Limpias manuales")</f>
        <v>0</v>
      </c>
      <c r="AZ23" s="101">
        <f>((A10_A_L24*Limpias_A)+(A10_B_L24*Limpias_B)+(A10_C_L24*Limpias_C)+(A10_D_L24*Limpias_D)+(A10_Y_L24*Limpias_Y))*Inflación_10</f>
        <v>0</v>
      </c>
      <c r="BA23" s="101">
        <f>SUMIFS('9'!$E:$E,'9'!$A:$A,Año_Inicial+9,'9'!$B:$B,'12'!AZ$4,'9'!$D:$D,"Limpias manuales")</f>
        <v>0</v>
      </c>
      <c r="BB23" s="101">
        <f>((A10_A_L25*Limpias_A)+(A10_B_L25*Limpias_B)+(A10_C_L25*Limpias_C)+(A10_D_L25*Limpias_D)+(A10_Y_L25*Limpias_Y))*Inflación_10</f>
        <v>0</v>
      </c>
      <c r="BC23" s="101">
        <f>SUMIFS('9'!$E:$E,'9'!$A:$A,Año_Inicial+9,'9'!$B:$B,'12'!BB$4,'9'!$D:$D,"Limpias manuales")</f>
        <v>0</v>
      </c>
      <c r="BD23" s="101">
        <f>((A10_A_L26*Limpias_A)+(A10_B_L26*Limpias_B)+(A10_C_L26*Limpias_C)+(A10_D_L26*Limpias_D)+(A10_Y_L26*Limpias_Y))*Inflación_10</f>
        <v>0</v>
      </c>
      <c r="BE23" s="101">
        <f>SUMIFS('9'!$E:$E,'9'!$A:$A,Año_Inicial+9,'9'!$B:$B,'12'!BD$4,'9'!$D:$D,"Limpias manuales")</f>
        <v>0</v>
      </c>
      <c r="BF23" s="101">
        <f>((A10_A_L27*Limpias_A)+(A10_B_L27*Limpias_B)+(A10_C_L27*Limpias_C)+(A10_D_L27*Limpias_D)+(A10_Y_L27*Limpias_Y))*Inflación_10</f>
        <v>0</v>
      </c>
      <c r="BG23" s="101">
        <f>SUMIFS('9'!$E:$E,'9'!$A:$A,Año_Inicial+9,'9'!$B:$B,'12'!BF$4,'9'!$D:$D,"Limpias manuales")</f>
        <v>0</v>
      </c>
      <c r="BH23" s="101">
        <f>((A10_A_L28*Limpias_A)+(A10_B_L28*Limpias_B)+(A10_C_L28*Limpias_C)+(A10_D_L28*Limpias_D)+(A10_Y_L28*Limpias_Y))*Inflación_10</f>
        <v>0</v>
      </c>
      <c r="BI23" s="101">
        <f>SUMIFS('9'!$E:$E,'9'!$A:$A,Año_Inicial+9,'9'!$B:$B,'12'!BH$4,'9'!$D:$D,"Limpias manuales")</f>
        <v>0</v>
      </c>
      <c r="BJ23" s="101">
        <f>((A10_A_L29*Limpias_A)+(A10_B_L29*Limpias_B)+(A10_C_L29*Limpias_C)+(A10_D_L29*Limpias_D)+(A10_Y_L29*Limpias_Y))*Inflación_10</f>
        <v>0</v>
      </c>
      <c r="BK23" s="101">
        <f>SUMIFS('9'!$E:$E,'9'!$A:$A,Año_Inicial+9,'9'!$B:$B,'12'!BJ$4,'9'!$D:$D,"Limpias manuales")</f>
        <v>0</v>
      </c>
      <c r="BL23" s="101">
        <f>((A10_A_L30*Limpias_A)+(A10_B_L30*Limpias_B)+(A10_C_L30*Limpias_C)+(A10_D_L30*Limpias_D)+(A10_Y_L30*Limpias_Y))*Inflación_10</f>
        <v>0</v>
      </c>
      <c r="BM23" s="101">
        <f>SUMIFS('9'!$E:$E,'9'!$A:$A,Año_Inicial+9,'9'!$B:$B,'12'!BL$4,'9'!$D:$D,"Limpias manuales")</f>
        <v>0</v>
      </c>
      <c r="BN23" s="101">
        <f>((A10_A_L31*Limpias_A)+(A10_B_L31*Limpias_B)+(A10_C_L31*Limpias_C)+(A10_D_L31*Limpias_D)+(A10_Y_L31*Limpias_Y))*Inflación_10</f>
        <v>0</v>
      </c>
      <c r="BO23" s="101">
        <f>SUMIFS('9'!$E:$E,'9'!$A:$A,Año_Inicial+9,'9'!$B:$B,'12'!BN$4,'9'!$D:$D,"Limpias manuales")</f>
        <v>0</v>
      </c>
      <c r="BP23" s="101">
        <f>((A10_A_L32*Limpias_A)+(A10_B_L32*Limpias_B)+(A10_C_L32*Limpias_C)+(A10_D_L32*Limpias_D)+(A10_Y_L32*Limpias_Y))*Inflación_10</f>
        <v>0</v>
      </c>
      <c r="BQ23" s="101">
        <f>SUMIFS('9'!$E:$E,'9'!$A:$A,Año_Inicial+9,'9'!$B:$B,'12'!BP$4,'9'!$D:$D,"Limpias manuales")</f>
        <v>0</v>
      </c>
      <c r="BR23" s="101">
        <f>((A10_A_L33*Limpias_A)+(A10_B_L33*Limpias_B)+(A10_C_L33*Limpias_C)+(A10_D_L33*Limpias_D)+(A10_Y_L33*Limpias_Y))*Inflación_10</f>
        <v>0</v>
      </c>
      <c r="BS23" s="101">
        <f>SUMIFS('9'!$E:$E,'9'!$A:$A,Año_Inicial+9,'9'!$B:$B,'12'!BR$4,'9'!$D:$D,"Limpias manuales")</f>
        <v>0</v>
      </c>
      <c r="BT23" s="101">
        <f>((A10_A_L34*Limpias_A)+(A10_B_L34*Limpias_B)+(A10_C_L34*Limpias_C)+(A10_D_L34*Limpias_D)+(A10_Y_L34*Limpias_Y))*Inflación_10</f>
        <v>0</v>
      </c>
      <c r="BU23" s="101">
        <f>SUMIFS('9'!$E:$E,'9'!$A:$A,Año_Inicial+9,'9'!$B:$B,'12'!BT$4,'9'!$D:$D,"Limpias manuales")</f>
        <v>0</v>
      </c>
      <c r="BV23" s="101">
        <f>((A10_A_L35*Limpias_A)+(A10_B_L35*Limpias_B)+(A10_C_L35*Limpias_C)+(A10_D_L35*Limpias_D)+(A10_Y_L35*Limpias_Y))*Inflación_10</f>
        <v>0</v>
      </c>
      <c r="BW23" s="101">
        <f>SUMIFS('9'!$E:$E,'9'!$A:$A,Año_Inicial+9,'9'!$B:$B,'12'!BV$4,'9'!$D:$D,"Limpias manuales")</f>
        <v>0</v>
      </c>
      <c r="BX23" s="101">
        <f>((A10_A_L36*Limpias_A)+(A10_B_L36*Limpias_B)+(A10_C_L36*Limpias_C)+(A10_D_L36*Limpias_D)+(A10_Y_L36*Limpias_Y))*Inflación_10</f>
        <v>0</v>
      </c>
      <c r="BY23" s="101">
        <f>SUMIFS('9'!$E:$E,'9'!$A:$A,Año_Inicial+9,'9'!$B:$B,'12'!BX$4,'9'!$D:$D,"Limpias manuales")</f>
        <v>0</v>
      </c>
      <c r="BZ23" s="101">
        <f>((A10_A_L37*Limpias_A)+(A10_B_L37*Limpias_B)+(A10_C_L37*Limpias_C)+(A10_D_L37*Limpias_D)+(A10_Y_L37*Limpias_Y))*Inflación_10</f>
        <v>0</v>
      </c>
      <c r="CA23" s="101">
        <f>SUMIFS('9'!$E:$E,'9'!$A:$A,Año_Inicial+9,'9'!$B:$B,'12'!BZ$4,'9'!$D:$D,"Limpias manuales")</f>
        <v>0</v>
      </c>
      <c r="CB23" s="101">
        <f>((A10_A_L38*Limpias_A)+(A10_B_L38*Limpias_B)+(A10_C_L38*Limpias_C)+(A10_D_L38*Limpias_D)+(A10_Y_L38*Limpias_Y))*Inflación_10</f>
        <v>0</v>
      </c>
      <c r="CC23" s="101">
        <f>SUMIFS('9'!$E:$E,'9'!$A:$A,Año_Inicial+9,'9'!$B:$B,'12'!CB$4,'9'!$D:$D,"Limpias manuales")</f>
        <v>0</v>
      </c>
      <c r="CD23" s="101">
        <f>((A10_A_L39*Limpias_A)+(A10_B_L39*Limpias_B)+(A10_C_L39*Limpias_C)+(A10_D_L39*Limpias_D)+(A10_Y_L39*Limpias_Y))*Inflación_10</f>
        <v>0</v>
      </c>
      <c r="CE23" s="101">
        <f>SUMIFS('9'!$E:$E,'9'!$A:$A,Año_Inicial+9,'9'!$B:$B,'12'!CD$4,'9'!$D:$D,"Limpias manuales")</f>
        <v>0</v>
      </c>
      <c r="CF23" s="101">
        <f>((A10_A_L40*Limpias_A)+(A10_B_L40*Limpias_B)+(A10_C_L40*Limpias_C)+(A10_D_L40*Limpias_D)+(A10_Y_L40*Limpias_Y))*Inflación_10</f>
        <v>0</v>
      </c>
      <c r="CG23" s="101">
        <f>SUMIFS('9'!$E:$E,'9'!$A:$A,Año_Inicial+9,'9'!$B:$B,'12'!CF$4,'9'!$D:$D,"Limpias manuales")</f>
        <v>0</v>
      </c>
      <c r="CH23" s="473"/>
      <c r="CI23" s="101">
        <f>Plantas_A_A10*Limpias_A*Inflación_10</f>
        <v>0</v>
      </c>
      <c r="CJ23" s="101">
        <f>Plantas_B_A10*Limpias_B</f>
        <v>0</v>
      </c>
      <c r="CK23" s="101">
        <f>Plantas_C_A10*Limpias_C</f>
        <v>0</v>
      </c>
      <c r="CL23" s="101">
        <f>Plantas_D_A10*Limpias_D</f>
        <v>0</v>
      </c>
      <c r="CM23" s="101"/>
      <c r="CN23" s="101">
        <f>Plantas_Y_A10*Limpias_Y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SUMIFS('9'!$E:$E,'9'!$A:$A,Año_Inicial+9,'9'!$D:$D,"Herbicida")</f>
        <v>0</v>
      </c>
      <c r="D24" s="100">
        <f t="shared" si="45"/>
        <v>0</v>
      </c>
      <c r="E24" s="473"/>
      <c r="F24" s="101">
        <f>((A10_A_L1*Herbicida_A)+(A10_B_L1*Herbicida_B)+(A10_C_L1*Herbicida_C)+(A10_D_L1*Herbicida_D)+(A10_Y_L1*Herbicida_Y))*Inflación_10</f>
        <v>0</v>
      </c>
      <c r="G24" s="101">
        <f>SUMIFS('9'!$E:$E,'9'!$A:$A,Año_Inicial+9,'9'!$B:$B,'12'!F$4,'9'!$D:$D,"Herbicida")</f>
        <v>0</v>
      </c>
      <c r="H24" s="101">
        <f>((A10_A_L2*Herbicida_A)+(A10_B_L2*Herbicida_B)+(A10_C_L2*Herbicida_C)+(A10_D_L2*Herbicida_D)+(A10_Y_L2*Herbicida_Y))*Inflación_10</f>
        <v>0</v>
      </c>
      <c r="I24" s="101">
        <f>SUMIFS('9'!$E:$E,'9'!$A:$A,Año_Inicial+9,'9'!$B:$B,'12'!H$4,'9'!$D:$D,"Herbicida")</f>
        <v>0</v>
      </c>
      <c r="J24" s="101">
        <f>((A10_A_L3*Herbicida_A)+(A10_B_L3*Herbicida_B)+(A10_C_L3*Herbicida_C)+(A10_D_L3*Herbicida_D)+(A10_Y_L3*Herbicida_Y))*Inflación_10</f>
        <v>0</v>
      </c>
      <c r="K24" s="101">
        <f>SUMIFS('9'!$E:$E,'9'!$A:$A,Año_Inicial+9,'9'!$B:$B,'12'!J$4,'9'!$D:$D,"Herbicida")</f>
        <v>0</v>
      </c>
      <c r="L24" s="101">
        <f>((A10_A_L4*Herbicida_A)+(A10_B_L4*Herbicida_B)+(A10_C_L4*Herbicida_C)+(A10_D_L4*Herbicida_D)+(A10_Y_L4*Herbicida_Y))*Inflación_10</f>
        <v>0</v>
      </c>
      <c r="M24" s="101">
        <f>SUMIFS('9'!$E:$E,'9'!$A:$A,Año_Inicial+9,'9'!$B:$B,'12'!L$4,'9'!$D:$D,"Herbicida")</f>
        <v>0</v>
      </c>
      <c r="N24" s="101">
        <f>((A10_A_L5*Herbicida_A)+(A10_B_L5*Herbicida_B)+(A10_C_L5*Herbicida_C)+(A10_D_L5*Herbicida_D)+(A10_Y_L5*Herbicida_Y))*Inflación_10</f>
        <v>0</v>
      </c>
      <c r="O24" s="101">
        <f>SUMIFS('9'!$E:$E,'9'!$A:$A,Año_Inicial+9,'9'!$B:$B,'12'!N$4,'9'!$D:$D,"Herbicida")</f>
        <v>0</v>
      </c>
      <c r="P24" s="101">
        <f>((A10_A_L6*Herbicida_A)+(A10_B_L6*Herbicida_B)+(A10_C_L6*Herbicida_C)+(A10_D_L6*Herbicida_D)+(A10_Y_L6*Herbicida_Y))*Inflación_10</f>
        <v>0</v>
      </c>
      <c r="Q24" s="101">
        <f>SUMIFS('9'!$E:$E,'9'!$A:$A,Año_Inicial+9,'9'!$B:$B,'12'!P$4,'9'!$D:$D,"Herbicida")</f>
        <v>0</v>
      </c>
      <c r="R24" s="101">
        <f>((A10_A_L7*Herbicida_A)+(A10_B_L7*Herbicida_B)+(A10_C_L7*Herbicida_C)+(A10_D_L7*Herbicida_D)+(A10_Y_L7*Herbicida_Y))*Inflación_10</f>
        <v>0</v>
      </c>
      <c r="S24" s="101">
        <f>SUMIFS('9'!$E:$E,'9'!$A:$A,Año_Inicial+9,'9'!$B:$B,'12'!R$4,'9'!$D:$D,"Herbicida")</f>
        <v>0</v>
      </c>
      <c r="T24" s="101">
        <f>((A10_A_L8*Herbicida_A)+(A10_B_L8*Herbicida_B)+(A10_C_L8*Herbicida_C)+(A10_D_L8*Herbicida_D)+(A10_Y_L8*Herbicida_Y))*Inflación_10</f>
        <v>0</v>
      </c>
      <c r="U24" s="101">
        <f>SUMIFS('9'!$E:$E,'9'!$A:$A,Año_Inicial+9,'9'!$B:$B,'12'!T$4,'9'!$D:$D,"Herbicida")</f>
        <v>0</v>
      </c>
      <c r="V24" s="101">
        <f>((A10_A_L9*Herbicida_A)+(A10_B_L9*Herbicida_B)+(A10_C_L9*Herbicida_C)+(A10_D_L9*Herbicida_D)+(A10_Y_L9*Herbicida_Y))*Inflación_10</f>
        <v>0</v>
      </c>
      <c r="W24" s="101">
        <f>SUMIFS('9'!$E:$E,'9'!$A:$A,Año_Inicial+9,'9'!$B:$B,'12'!V$4,'9'!$D:$D,"Herbicida")</f>
        <v>0</v>
      </c>
      <c r="X24" s="101">
        <f>((A10_A_L10*Herbicida_A)+(A10_B_L10*Herbicida_B)+(A10_C_L10*Herbicida_C)+(A10_D_L10*Herbicida_D)+(A10_Y_L10*Herbicida_Y))*Inflación_10</f>
        <v>0</v>
      </c>
      <c r="Y24" s="101">
        <f>SUMIFS('9'!$E:$E,'9'!$A:$A,Año_Inicial+9,'9'!$B:$B,'12'!X$4,'9'!$D:$D,"Herbicida")</f>
        <v>0</v>
      </c>
      <c r="Z24" s="101">
        <f>((A10_A_L11*Herbicida_A)+(A10_B_L11*Herbicida_B)+(A10_C_L11*Herbicida_C)+(A10_D_L11*Herbicida_D)+(A10_Y_L11*Herbicida_Y))*Inflación_10</f>
        <v>0</v>
      </c>
      <c r="AA24" s="101">
        <f>SUMIFS('9'!$E:$E,'9'!$A:$A,Año_Inicial+9,'9'!$B:$B,'12'!Z$4,'9'!$D:$D,"Herbicida")</f>
        <v>0</v>
      </c>
      <c r="AB24" s="101">
        <f>((A10_A_L12*Herbicida_A)+(A10_B_L12*Herbicida_B)+(A10_C_L12*Herbicida_C)+(A10_D_L12*Herbicida_D)+(A10_Y_L12*Herbicida_Y))*Inflación_10</f>
        <v>0</v>
      </c>
      <c r="AC24" s="101">
        <f>SUMIFS('9'!$E:$E,'9'!$A:$A,Año_Inicial+9,'9'!$B:$B,'12'!AB$4,'9'!$D:$D,"Herbicida")</f>
        <v>0</v>
      </c>
      <c r="AD24" s="101">
        <f>((A10_A_L13*Herbicida_A)+(A10_B_L13*Herbicida_B)+(A10_C_L13*Herbicida_C)+(A10_D_L13*Herbicida_D)+(A10_Y_L13*Herbicida_Y))*Inflación_10</f>
        <v>0</v>
      </c>
      <c r="AE24" s="101">
        <f>SUMIFS('9'!$E:$E,'9'!$A:$A,Año_Inicial+9,'9'!$B:$B,'12'!AD$4,'9'!$D:$D,"Herbicida")</f>
        <v>0</v>
      </c>
      <c r="AF24" s="101">
        <f>((A10_A_L14*Herbicida_A)+(A10_B_L14*Herbicida_B)+(A10_C_L14*Herbicida_C)+(A10_D_L14*Herbicida_D)+(A10_Y_L14*Herbicida_Y))*Inflación_10</f>
        <v>0</v>
      </c>
      <c r="AG24" s="101">
        <f>SUMIFS('9'!$E:$E,'9'!$A:$A,Año_Inicial+9,'9'!$B:$B,'12'!AF$4,'9'!$D:$D,"Herbicida")</f>
        <v>0</v>
      </c>
      <c r="AH24" s="101">
        <f>((A10_A_L15*Herbicida_A)+(A10_B_L15*Herbicida_B)+(A10_C_L15*Herbicida_C)+(A10_D_L15*Herbicida_D)+(A10_Y_L15*Herbicida_Y))*Inflación_10</f>
        <v>0</v>
      </c>
      <c r="AI24" s="101">
        <f>SUMIFS('9'!$E:$E,'9'!$A:$A,Año_Inicial+9,'9'!$B:$B,'12'!AH$4,'9'!$D:$D,"Herbicida")</f>
        <v>0</v>
      </c>
      <c r="AJ24" s="101">
        <f>((A10_A_L16*Herbicida_A)+(A10_B_L16*Herbicida_B)+(A10_C_L16*Herbicida_C)+(A10_D_L16*Herbicida_D)+(A10_Y_L16*Herbicida_Y))*Inflación_10</f>
        <v>0</v>
      </c>
      <c r="AK24" s="101">
        <f>SUMIFS('9'!$E:$E,'9'!$A:$A,Año_Inicial+9,'9'!$B:$B,'12'!AJ$4,'9'!$D:$D,"Herbicida")</f>
        <v>0</v>
      </c>
      <c r="AL24" s="101">
        <f>((A10_A_L17*Herbicida_A)+(A10_B_L17*Herbicida_B)+(A10_C_L17*Herbicida_C)+(A10_D_L17*Herbicida_D)+(A10_Y_L17*Herbicida_Y))*Inflación_10</f>
        <v>0</v>
      </c>
      <c r="AM24" s="101">
        <f>SUMIFS('9'!$E:$E,'9'!$A:$A,Año_Inicial+9,'9'!$B:$B,'12'!AL$4,'9'!$D:$D,"Herbicida")</f>
        <v>0</v>
      </c>
      <c r="AN24" s="101">
        <f>((A10_A_L18*Herbicida_A)+(A10_B_L18*Herbicida_B)+(A10_C_L18*Herbicida_C)+(A10_D_L18*Herbicida_D)+(A10_Y_L18*Herbicida_Y))*Inflación_10</f>
        <v>0</v>
      </c>
      <c r="AO24" s="101">
        <f>SUMIFS('9'!$E:$E,'9'!$A:$A,Año_Inicial+9,'9'!$B:$B,'12'!AN$4,'9'!$D:$D,"Herbicida")</f>
        <v>0</v>
      </c>
      <c r="AP24" s="101">
        <f>((A10_A_L19*Herbicida_A)+(A10_B_L19*Herbicida_B)+(A10_C_L19*Herbicida_C)+(A10_D_L19*Herbicida_D)+(A10_Y_L19*Herbicida_Y))*Inflación_10</f>
        <v>0</v>
      </c>
      <c r="AQ24" s="101">
        <f>SUMIFS('9'!$E:$E,'9'!$A:$A,Año_Inicial+9,'9'!$B:$B,'12'!AP$4,'9'!$D:$D,"Herbicida")</f>
        <v>0</v>
      </c>
      <c r="AR24" s="101">
        <f>((A10_A_L20*Herbicida_A)+(A10_B_L20*Herbicida_B)+(A10_C_L20*Herbicida_C)+(A10_D_L20*Herbicida_D)+(A10_Y_L20*Herbicida_Y))*Inflación_10</f>
        <v>0</v>
      </c>
      <c r="AS24" s="101">
        <f>SUMIFS('9'!$E:$E,'9'!$A:$A,Año_Inicial+9,'9'!$B:$B,'12'!AR$4,'9'!$D:$D,"Herbicida")</f>
        <v>0</v>
      </c>
      <c r="AT24" s="101">
        <f>((A10_A_L21*Herbicida_A)+(A10_B_L21*Herbicida_B)+(A10_C_L21*Herbicida_C)+(A10_D_L21*Herbicida_D)+(A10_Y_L21*Herbicida_Y))*Inflación_10</f>
        <v>0</v>
      </c>
      <c r="AU24" s="101">
        <f>SUMIFS('9'!$E:$E,'9'!$A:$A,Año_Inicial+9,'9'!$B:$B,'12'!AT$4,'9'!$D:$D,"Herbicida")</f>
        <v>0</v>
      </c>
      <c r="AV24" s="101">
        <f>((A10_A_L22*Herbicida_A)+(A10_B_L22*Herbicida_B)+(A10_C_L22*Herbicida_C)+(A10_D_L22*Herbicida_D)+(A10_Y_L22*Herbicida_Y))*Inflación_10</f>
        <v>0</v>
      </c>
      <c r="AW24" s="101">
        <f>SUMIFS('9'!$E:$E,'9'!$A:$A,Año_Inicial+9,'9'!$B:$B,'12'!AV$4,'9'!$D:$D,"Herbicida")</f>
        <v>0</v>
      </c>
      <c r="AX24" s="101">
        <f>((A10_A_L23*Herbicida_A)+(A10_B_L23*Herbicida_B)+(A10_C_L23*Herbicida_C)+(A10_D_L23*Herbicida_D)+(A10_Y_L23*Herbicida_Y))*Inflación_10</f>
        <v>0</v>
      </c>
      <c r="AY24" s="101">
        <f>SUMIFS('9'!$E:$E,'9'!$A:$A,Año_Inicial+9,'9'!$B:$B,'12'!AX$4,'9'!$D:$D,"Herbicida")</f>
        <v>0</v>
      </c>
      <c r="AZ24" s="101">
        <f>((A10_A_L24*Herbicida_A)+(A10_B_L24*Herbicida_B)+(A10_C_L24*Herbicida_C)+(A10_D_L24*Herbicida_D)+(A10_Y_L24*Herbicida_Y))*Inflación_10</f>
        <v>0</v>
      </c>
      <c r="BA24" s="101">
        <f>SUMIFS('9'!$E:$E,'9'!$A:$A,Año_Inicial+9,'9'!$B:$B,'12'!AZ$4,'9'!$D:$D,"Herbicida")</f>
        <v>0</v>
      </c>
      <c r="BB24" s="101">
        <f>((A10_A_L25*Herbicida_A)+(A10_B_L25*Herbicida_B)+(A10_C_L25*Herbicida_C)+(A10_D_L25*Herbicida_D)+(A10_Y_L25*Herbicida_Y))*Inflación_10</f>
        <v>0</v>
      </c>
      <c r="BC24" s="101">
        <f>SUMIFS('9'!$E:$E,'9'!$A:$A,Año_Inicial+9,'9'!$B:$B,'12'!BB$4,'9'!$D:$D,"Herbicida")</f>
        <v>0</v>
      </c>
      <c r="BD24" s="101">
        <f>((A10_A_L26*Herbicida_A)+(A10_B_L26*Herbicida_B)+(A10_C_L26*Herbicida_C)+(A10_D_L26*Herbicida_D)+(A10_Y_L26*Herbicida_Y))*Inflación_10</f>
        <v>0</v>
      </c>
      <c r="BE24" s="101">
        <f>SUMIFS('9'!$E:$E,'9'!$A:$A,Año_Inicial+9,'9'!$B:$B,'12'!BD$4,'9'!$D:$D,"Herbicida")</f>
        <v>0</v>
      </c>
      <c r="BF24" s="101">
        <f>((A10_A_L27*Herbicida_A)+(A10_B_L27*Herbicida_B)+(A10_C_L27*Herbicida_C)+(A10_D_L27*Herbicida_D)+(A10_Y_L27*Herbicida_Y))*Inflación_10</f>
        <v>0</v>
      </c>
      <c r="BG24" s="101">
        <f>SUMIFS('9'!$E:$E,'9'!$A:$A,Año_Inicial+9,'9'!$B:$B,'12'!BF$4,'9'!$D:$D,"Herbicida")</f>
        <v>0</v>
      </c>
      <c r="BH24" s="101">
        <f>((A10_A_L28*Herbicida_A)+(A10_B_L28*Herbicida_B)+(A10_C_L28*Herbicida_C)+(A10_D_L28*Herbicida_D)+(A10_Y_L28*Herbicida_Y))*Inflación_10</f>
        <v>0</v>
      </c>
      <c r="BI24" s="101">
        <f>SUMIFS('9'!$E:$E,'9'!$A:$A,Año_Inicial+9,'9'!$B:$B,'12'!BH$4,'9'!$D:$D,"Herbicida")</f>
        <v>0</v>
      </c>
      <c r="BJ24" s="101">
        <f>((A10_A_L29*Herbicida_A)+(A10_B_L29*Herbicida_B)+(A10_C_L29*Herbicida_C)+(A10_D_L29*Herbicida_D)+(A10_Y_L29*Herbicida_Y))*Inflación_10</f>
        <v>0</v>
      </c>
      <c r="BK24" s="101">
        <f>SUMIFS('9'!$E:$E,'9'!$A:$A,Año_Inicial+9,'9'!$B:$B,'12'!BJ$4,'9'!$D:$D,"Herbicida")</f>
        <v>0</v>
      </c>
      <c r="BL24" s="101">
        <f>((A10_A_L30*Herbicida_A)+(A10_B_L30*Herbicida_B)+(A10_C_L30*Herbicida_C)+(A10_D_L30*Herbicida_D)+(A10_Y_L30*Herbicida_Y))*Inflación_10</f>
        <v>0</v>
      </c>
      <c r="BM24" s="101">
        <f>SUMIFS('9'!$E:$E,'9'!$A:$A,Año_Inicial+9,'9'!$B:$B,'12'!BL$4,'9'!$D:$D,"Herbicida")</f>
        <v>0</v>
      </c>
      <c r="BN24" s="101">
        <f>((A10_A_L31*Herbicida_A)+(A10_B_L31*Herbicida_B)+(A10_C_L31*Herbicida_C)+(A10_D_L31*Herbicida_D)+(A10_Y_L31*Herbicida_Y))*Inflación_10</f>
        <v>0</v>
      </c>
      <c r="BO24" s="101">
        <f>SUMIFS('9'!$E:$E,'9'!$A:$A,Año_Inicial+9,'9'!$B:$B,'12'!BN$4,'9'!$D:$D,"Herbicida")</f>
        <v>0</v>
      </c>
      <c r="BP24" s="101">
        <f>((A10_A_L32*Herbicida_A)+(A10_B_L32*Herbicida_B)+(A10_C_L32*Herbicida_C)+(A10_D_L32*Herbicida_D)+(A10_Y_L32*Herbicida_Y))*Inflación_10</f>
        <v>0</v>
      </c>
      <c r="BQ24" s="101">
        <f>SUMIFS('9'!$E:$E,'9'!$A:$A,Año_Inicial+9,'9'!$B:$B,'12'!BP$4,'9'!$D:$D,"Herbicida")</f>
        <v>0</v>
      </c>
      <c r="BR24" s="101">
        <f>((A10_A_L33*Herbicida_A)+(A10_B_L33*Herbicida_B)+(A10_C_L33*Herbicida_C)+(A10_D_L33*Herbicida_D)+(A10_Y_L33*Herbicida_Y))*Inflación_10</f>
        <v>0</v>
      </c>
      <c r="BS24" s="101">
        <f>SUMIFS('9'!$E:$E,'9'!$A:$A,Año_Inicial+9,'9'!$B:$B,'12'!BR$4,'9'!$D:$D,"Herbicida")</f>
        <v>0</v>
      </c>
      <c r="BT24" s="101">
        <f>((A10_A_L34*Herbicida_A)+(A10_B_L34*Herbicida_B)+(A10_C_L34*Herbicida_C)+(A10_D_L34*Herbicida_D)+(A10_Y_L34*Herbicida_Y))*Inflación_10</f>
        <v>0</v>
      </c>
      <c r="BU24" s="101">
        <f>SUMIFS('9'!$E:$E,'9'!$A:$A,Año_Inicial+9,'9'!$B:$B,'12'!BT$4,'9'!$D:$D,"Herbicida")</f>
        <v>0</v>
      </c>
      <c r="BV24" s="101">
        <f>((A10_A_L35*Herbicida_A)+(A10_B_L35*Herbicida_B)+(A10_C_L35*Herbicida_C)+(A10_D_L35*Herbicida_D)+(A10_Y_L35*Herbicida_Y))*Inflación_10</f>
        <v>0</v>
      </c>
      <c r="BW24" s="101">
        <f>SUMIFS('9'!$E:$E,'9'!$A:$A,Año_Inicial+9,'9'!$B:$B,'12'!BV$4,'9'!$D:$D,"Herbicida")</f>
        <v>0</v>
      </c>
      <c r="BX24" s="101">
        <f>((A10_A_L36*Herbicida_A)+(A10_B_L36*Herbicida_B)+(A10_C_L36*Herbicida_C)+(A10_D_L36*Herbicida_D)+(A10_Y_L36*Herbicida_Y))*Inflación_10</f>
        <v>0</v>
      </c>
      <c r="BY24" s="101">
        <f>SUMIFS('9'!$E:$E,'9'!$A:$A,Año_Inicial+9,'9'!$B:$B,'12'!BX$4,'9'!$D:$D,"Herbicida")</f>
        <v>0</v>
      </c>
      <c r="BZ24" s="101">
        <f>((A10_A_L37*Herbicida_A)+(A10_B_L37*Herbicida_B)+(A10_C_L37*Herbicida_C)+(A10_D_L37*Herbicida_D)+(A10_Y_L37*Herbicida_Y))*Inflación_10</f>
        <v>0</v>
      </c>
      <c r="CA24" s="101">
        <f>SUMIFS('9'!$E:$E,'9'!$A:$A,Año_Inicial+9,'9'!$B:$B,'12'!BZ$4,'9'!$D:$D,"Herbicida")</f>
        <v>0</v>
      </c>
      <c r="CB24" s="101">
        <f>((A10_A_L38*Herbicida_A)+(A10_B_L38*Herbicida_B)+(A10_C_L38*Herbicida_C)+(A10_D_L38*Herbicida_D)+(A10_Y_L38*Herbicida_Y))*Inflación_10</f>
        <v>0</v>
      </c>
      <c r="CC24" s="101">
        <f>SUMIFS('9'!$E:$E,'9'!$A:$A,Año_Inicial+9,'9'!$B:$B,'12'!CB$4,'9'!$D:$D,"Herbicida")</f>
        <v>0</v>
      </c>
      <c r="CD24" s="101">
        <f>((A10_A_L39*Herbicida_A)+(A10_B_L39*Herbicida_B)+(A10_C_L39*Herbicida_C)+(A10_D_L39*Herbicida_D)+(A10_Y_L39*Herbicida_Y))*Inflación_10</f>
        <v>0</v>
      </c>
      <c r="CE24" s="101">
        <f>SUMIFS('9'!$E:$E,'9'!$A:$A,Año_Inicial+9,'9'!$B:$B,'12'!CD$4,'9'!$D:$D,"Herbicida")</f>
        <v>0</v>
      </c>
      <c r="CF24" s="101">
        <f>((A10_A_L40*Herbicida_A)+(A10_B_L40*Herbicida_B)+(A10_C_L40*Herbicida_C)+(A10_D_L40*Herbicida_D)+(A10_Y_L40*Herbicida_Y))*Inflación_10</f>
        <v>0</v>
      </c>
      <c r="CG24" s="101">
        <f>SUMIFS('9'!$E:$E,'9'!$A:$A,Año_Inicial+9,'9'!$B:$B,'12'!CF$4,'9'!$D:$D,"Herbicida")</f>
        <v>0</v>
      </c>
      <c r="CH24" s="473"/>
      <c r="CI24" s="101">
        <f>Plantas_A_A10*Herbicida_A*Inflación_10</f>
        <v>0</v>
      </c>
      <c r="CJ24" s="101">
        <f>Plantas_B_A10*Herbicida_B</f>
        <v>0</v>
      </c>
      <c r="CK24" s="101">
        <f>Plantas_C_A10*Herbicida_C</f>
        <v>0</v>
      </c>
      <c r="CL24" s="101">
        <f>Plantas_D_A10*Herbicida_D</f>
        <v>0</v>
      </c>
      <c r="CM24" s="101"/>
      <c r="CN24" s="101">
        <f>Plantas_Y_A10*Herbicida_Y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SUMIFS('9'!$E:$E,'9'!$A:$A,Año_Inicial+9,'9'!$D:$D,"Prevención de plagas")</f>
        <v>0</v>
      </c>
      <c r="D26" s="100">
        <f t="shared" si="45"/>
        <v>0</v>
      </c>
      <c r="E26" s="473"/>
      <c r="F26" s="101">
        <f>((A10_A_L1*Plagas_A)+(A10_B_L1*Plagas_B)+(A10_C_L1*Plagas_C)+(A10_D_L1*Plagas_D)+(A10_Y_L1*Plagas_Y))*Inflación_10</f>
        <v>0</v>
      </c>
      <c r="G26" s="101">
        <f>SUMIFS('9'!$E:$E,'9'!$A:$A,Año_Inicial+9,'9'!$B:$B,'12'!F$4,'9'!$D:$D,"Prevención de plagas")</f>
        <v>0</v>
      </c>
      <c r="H26" s="101">
        <f>((A10_A_L2*Plagas_A)+(A10_B_L2*Plagas_B)+(A10_C_L2*Plagas_C)+(A10_D_L2*Plagas_D)+(A10_Y_L2*Plagas_Y))*Inflación_10</f>
        <v>0</v>
      </c>
      <c r="I26" s="101">
        <f>SUMIFS('9'!$E:$E,'9'!$A:$A,Año_Inicial+9,'9'!$B:$B,'12'!H$4,'9'!$D:$D,"Prevención de plagas")</f>
        <v>0</v>
      </c>
      <c r="J26" s="101">
        <f>((A10_A_L3*Plagas_A)+(A10_B_L3*Plagas_B)+(A10_C_L3*Plagas_C)+(A10_D_L3*Plagas_D)+(A10_Y_L3*Plagas_Y))*Inflación_10</f>
        <v>0</v>
      </c>
      <c r="K26" s="101">
        <f>SUMIFS('9'!$E:$E,'9'!$A:$A,Año_Inicial+9,'9'!$B:$B,'12'!J$4,'9'!$D:$D,"Prevención de plagas")</f>
        <v>0</v>
      </c>
      <c r="L26" s="101">
        <f>((A10_A_L4*Plagas_A)+(A10_B_L4*Plagas_B)+(A10_C_L4*Plagas_C)+(A10_D_L4*Plagas_D)+(A10_Y_L4*Plagas_Y))*Inflación_10</f>
        <v>0</v>
      </c>
      <c r="M26" s="101">
        <f>SUMIFS('9'!$E:$E,'9'!$A:$A,Año_Inicial+9,'9'!$B:$B,'12'!L$4,'9'!$D:$D,"Prevención de plagas")</f>
        <v>0</v>
      </c>
      <c r="N26" s="101">
        <f>((A10_A_L5*Plagas_A)+(A10_B_L5*Plagas_B)+(A10_C_L5*Plagas_C)+(A10_D_L5*Plagas_D)+(A10_Y_L5*Plagas_Y))*Inflación_10</f>
        <v>0</v>
      </c>
      <c r="O26" s="101">
        <f>SUMIFS('9'!$E:$E,'9'!$A:$A,Año_Inicial+9,'9'!$B:$B,'12'!N$4,'9'!$D:$D,"Prevención de plagas")</f>
        <v>0</v>
      </c>
      <c r="P26" s="101">
        <f>((A10_A_L6*Plagas_A)+(A10_B_L6*Plagas_B)+(A10_C_L6*Plagas_C)+(A10_D_L6*Plagas_D)+(A10_Y_L6*Plagas_Y))*Inflación_10</f>
        <v>0</v>
      </c>
      <c r="Q26" s="101">
        <f>SUMIFS('9'!$E:$E,'9'!$A:$A,Año_Inicial+9,'9'!$B:$B,'12'!P$4,'9'!$D:$D,"Prevención de plagas")</f>
        <v>0</v>
      </c>
      <c r="R26" s="101">
        <f>((A10_A_L7*Plagas_A)+(A10_B_L7*Plagas_B)+(A10_C_L7*Plagas_C)+(A10_D_L7*Plagas_D)+(A10_Y_L7*Plagas_Y))*Inflación_10</f>
        <v>0</v>
      </c>
      <c r="S26" s="101">
        <f>SUMIFS('9'!$E:$E,'9'!$A:$A,Año_Inicial+9,'9'!$B:$B,'12'!R$4,'9'!$D:$D,"Prevención de plagas")</f>
        <v>0</v>
      </c>
      <c r="T26" s="101">
        <f>((A10_A_L8*Plagas_A)+(A10_B_L8*Plagas_B)+(A10_C_L8*Plagas_C)+(A10_D_L8*Plagas_D)+(A10_Y_L8*Plagas_Y))*Inflación_10</f>
        <v>0</v>
      </c>
      <c r="U26" s="101">
        <f>SUMIFS('9'!$E:$E,'9'!$A:$A,Año_Inicial+9,'9'!$B:$B,'12'!T$4,'9'!$D:$D,"Prevención de plagas")</f>
        <v>0</v>
      </c>
      <c r="V26" s="101">
        <f>((A10_A_L9*Plagas_A)+(A10_B_L9*Plagas_B)+(A10_C_L9*Plagas_C)+(A10_D_L9*Plagas_D)+(A10_Y_L9*Plagas_Y))*Inflación_10</f>
        <v>0</v>
      </c>
      <c r="W26" s="101">
        <f>SUMIFS('9'!$E:$E,'9'!$A:$A,Año_Inicial+9,'9'!$B:$B,'12'!V$4,'9'!$D:$D,"Prevención de plagas")</f>
        <v>0</v>
      </c>
      <c r="X26" s="101">
        <f>((A10_A_L10*Plagas_A)+(A10_B_L10*Plagas_B)+(A10_C_L10*Plagas_C)+(A10_D_L10*Plagas_D)+(A10_Y_L10*Plagas_Y))*Inflación_10</f>
        <v>0</v>
      </c>
      <c r="Y26" s="101">
        <f>SUMIFS('9'!$E:$E,'9'!$A:$A,Año_Inicial+9,'9'!$B:$B,'12'!X$4,'9'!$D:$D,"Prevención de plagas")</f>
        <v>0</v>
      </c>
      <c r="Z26" s="101">
        <f>((A10_A_L11*Plagas_A)+(A10_B_L11*Plagas_B)+(A10_C_L11*Plagas_C)+(A10_D_L11*Plagas_D)+(A10_Y_L11*Plagas_Y))*Inflación_10</f>
        <v>0</v>
      </c>
      <c r="AA26" s="101">
        <f>SUMIFS('9'!$E:$E,'9'!$A:$A,Año_Inicial+9,'9'!$B:$B,'12'!Z$4,'9'!$D:$D,"Prevención de plagas")</f>
        <v>0</v>
      </c>
      <c r="AB26" s="101">
        <f>((A10_A_L12*Plagas_A)+(A10_B_L12*Plagas_B)+(A10_C_L12*Plagas_C)+(A10_D_L12*Plagas_D)+(A10_Y_L12*Plagas_Y))*Inflación_10</f>
        <v>0</v>
      </c>
      <c r="AC26" s="101">
        <f>SUMIFS('9'!$E:$E,'9'!$A:$A,Año_Inicial+9,'9'!$B:$B,'12'!AB$4,'9'!$D:$D,"Prevención de plagas")</f>
        <v>0</v>
      </c>
      <c r="AD26" s="101">
        <f>((A10_A_L13*Plagas_A)+(A10_B_L13*Plagas_B)+(A10_C_L13*Plagas_C)+(A10_D_L13*Plagas_D)+(A10_Y_L13*Plagas_Y))*Inflación_10</f>
        <v>0</v>
      </c>
      <c r="AE26" s="101">
        <f>SUMIFS('9'!$E:$E,'9'!$A:$A,Año_Inicial+9,'9'!$B:$B,'12'!AD$4,'9'!$D:$D,"Prevención de plagas")</f>
        <v>0</v>
      </c>
      <c r="AF26" s="101">
        <f>((A10_A_L14*Plagas_A)+(A10_B_L14*Plagas_B)+(A10_C_L14*Plagas_C)+(A10_D_L14*Plagas_D)+(A10_Y_L14*Plagas_Y))*Inflación_10</f>
        <v>0</v>
      </c>
      <c r="AG26" s="101">
        <f>SUMIFS('9'!$E:$E,'9'!$A:$A,Año_Inicial+9,'9'!$B:$B,'12'!AF$4,'9'!$D:$D,"Prevención de plagas")</f>
        <v>0</v>
      </c>
      <c r="AH26" s="101">
        <f>((A10_A_L15*Plagas_A)+(A10_B_L15*Plagas_B)+(A10_C_L15*Plagas_C)+(A10_D_L15*Plagas_D)+(A10_Y_L15*Plagas_Y))*Inflación_10</f>
        <v>0</v>
      </c>
      <c r="AI26" s="101">
        <f>SUMIFS('9'!$E:$E,'9'!$A:$A,Año_Inicial+9,'9'!$B:$B,'12'!AH$4,'9'!$D:$D,"Prevención de plagas")</f>
        <v>0</v>
      </c>
      <c r="AJ26" s="101">
        <f>((A10_A_L16*Plagas_A)+(A10_B_L16*Plagas_B)+(A10_C_L16*Plagas_C)+(A10_D_L16*Plagas_D)+(A10_Y_L16*Plagas_Y))*Inflación_10</f>
        <v>0</v>
      </c>
      <c r="AK26" s="101">
        <f>SUMIFS('9'!$E:$E,'9'!$A:$A,Año_Inicial+9,'9'!$B:$B,'12'!AJ$4,'9'!$D:$D,"Prevención de plagas")</f>
        <v>0</v>
      </c>
      <c r="AL26" s="101">
        <f>((A10_A_L17*Plagas_A)+(A10_B_L17*Plagas_B)+(A10_C_L17*Plagas_C)+(A10_D_L17*Plagas_D)+(A10_Y_L17*Plagas_Y))*Inflación_10</f>
        <v>0</v>
      </c>
      <c r="AM26" s="101">
        <f>SUMIFS('9'!$E:$E,'9'!$A:$A,Año_Inicial+9,'9'!$B:$B,'12'!AL$4,'9'!$D:$D,"Prevención de plagas")</f>
        <v>0</v>
      </c>
      <c r="AN26" s="101">
        <f>((A10_A_L18*Plagas_A)+(A10_B_L18*Plagas_B)+(A10_C_L18*Plagas_C)+(A10_D_L18*Plagas_D)+(A10_Y_L18*Plagas_Y))*Inflación_10</f>
        <v>0</v>
      </c>
      <c r="AO26" s="101">
        <f>SUMIFS('9'!$E:$E,'9'!$A:$A,Año_Inicial+9,'9'!$B:$B,'12'!AN$4,'9'!$D:$D,"Prevención de plagas")</f>
        <v>0</v>
      </c>
      <c r="AP26" s="101">
        <f>((A10_A_L19*Plagas_A)+(A10_B_L19*Plagas_B)+(A10_C_L19*Plagas_C)+(A10_D_L19*Plagas_D)+(A10_Y_L19*Plagas_Y))*Inflación_10</f>
        <v>0</v>
      </c>
      <c r="AQ26" s="101">
        <f>SUMIFS('9'!$E:$E,'9'!$A:$A,Año_Inicial+9,'9'!$B:$B,'12'!AP$4,'9'!$D:$D,"Prevención de plagas")</f>
        <v>0</v>
      </c>
      <c r="AR26" s="101">
        <f>((A10_A_L20*Plagas_A)+(A10_B_L20*Plagas_B)+(A10_C_L20*Plagas_C)+(A10_D_L20*Plagas_D)+(A10_Y_L20*Plagas_Y))*Inflación_10</f>
        <v>0</v>
      </c>
      <c r="AS26" s="101">
        <f>SUMIFS('9'!$E:$E,'9'!$A:$A,Año_Inicial+9,'9'!$B:$B,'12'!AR$4,'9'!$D:$D,"Prevención de plagas")</f>
        <v>0</v>
      </c>
      <c r="AT26" s="101">
        <f>((A10_A_L21*Plagas_A)+(A10_B_L21*Plagas_B)+(A10_C_L21*Plagas_C)+(A10_D_L21*Plagas_D)+(A10_Y_L21*Plagas_Y))*Inflación_10</f>
        <v>0</v>
      </c>
      <c r="AU26" s="101">
        <f>SUMIFS('9'!$E:$E,'9'!$A:$A,Año_Inicial+9,'9'!$B:$B,'12'!AT$4,'9'!$D:$D,"Prevención de plagas")</f>
        <v>0</v>
      </c>
      <c r="AV26" s="101">
        <f>((A10_A_L22*Plagas_A)+(A10_B_L22*Plagas_B)+(A10_C_L22*Plagas_C)+(A10_D_L22*Plagas_D)+(A10_Y_L22*Plagas_Y))*Inflación_10</f>
        <v>0</v>
      </c>
      <c r="AW26" s="101">
        <f>SUMIFS('9'!$E:$E,'9'!$A:$A,Año_Inicial+9,'9'!$B:$B,'12'!AV$4,'9'!$D:$D,"Prevención de plagas")</f>
        <v>0</v>
      </c>
      <c r="AX26" s="101">
        <f>((A10_A_L23*Plagas_A)+(A10_B_L23*Plagas_B)+(A10_C_L23*Plagas_C)+(A10_D_L23*Plagas_D)+(A10_Y_L23*Plagas_Y))*Inflación_10</f>
        <v>0</v>
      </c>
      <c r="AY26" s="101">
        <f>SUMIFS('9'!$E:$E,'9'!$A:$A,Año_Inicial+9,'9'!$B:$B,'12'!AX$4,'9'!$D:$D,"Prevención de plagas")</f>
        <v>0</v>
      </c>
      <c r="AZ26" s="101">
        <f>((A10_A_L24*Plagas_A)+(A10_B_L24*Plagas_B)+(A10_C_L24*Plagas_C)+(A10_D_L24*Plagas_D)+(A10_Y_L24*Plagas_Y))*Inflación_10</f>
        <v>0</v>
      </c>
      <c r="BA26" s="101">
        <f>SUMIFS('9'!$E:$E,'9'!$A:$A,Año_Inicial+9,'9'!$B:$B,'12'!AZ$4,'9'!$D:$D,"Prevención de plagas")</f>
        <v>0</v>
      </c>
      <c r="BB26" s="101">
        <f>((A10_A_L25*Plagas_A)+(A10_B_L25*Plagas_B)+(A10_C_L25*Plagas_C)+(A10_D_L25*Plagas_D)+(A10_Y_L25*Plagas_Y))*Inflación_10</f>
        <v>0</v>
      </c>
      <c r="BC26" s="101">
        <f>SUMIFS('9'!$E:$E,'9'!$A:$A,Año_Inicial+9,'9'!$B:$B,'12'!BB$4,'9'!$D:$D,"Prevención de plagas")</f>
        <v>0</v>
      </c>
      <c r="BD26" s="101">
        <f>((A10_A_L26*Plagas_A)+(A10_B_L26*Plagas_B)+(A10_C_L26*Plagas_C)+(A10_D_L26*Plagas_D)+(A10_Y_L26*Plagas_Y))*Inflación_10</f>
        <v>0</v>
      </c>
      <c r="BE26" s="101">
        <f>SUMIFS('9'!$E:$E,'9'!$A:$A,Año_Inicial+9,'9'!$B:$B,'12'!BD$4,'9'!$D:$D,"Prevención de plagas")</f>
        <v>0</v>
      </c>
      <c r="BF26" s="101">
        <f>((A10_A_L27*Plagas_A)+(A10_B_L27*Plagas_B)+(A10_C_L27*Plagas_C)+(A10_D_L27*Plagas_D)+(A10_Y_L27*Plagas_Y))*Inflación_10</f>
        <v>0</v>
      </c>
      <c r="BG26" s="101">
        <f>SUMIFS('9'!$E:$E,'9'!$A:$A,Año_Inicial+9,'9'!$B:$B,'12'!BF$4,'9'!$D:$D,"Prevención de plagas")</f>
        <v>0</v>
      </c>
      <c r="BH26" s="101">
        <f>((A10_A_L28*Plagas_A)+(A10_B_L28*Plagas_B)+(A10_C_L28*Plagas_C)+(A10_D_L28*Plagas_D)+(A10_Y_L28*Plagas_Y))*Inflación_10</f>
        <v>0</v>
      </c>
      <c r="BI26" s="101">
        <f>SUMIFS('9'!$E:$E,'9'!$A:$A,Año_Inicial+9,'9'!$B:$B,'12'!BH$4,'9'!$D:$D,"Prevención de plagas")</f>
        <v>0</v>
      </c>
      <c r="BJ26" s="101">
        <f>((A10_A_L29*Plagas_A)+(A10_B_L29*Plagas_B)+(A10_C_L29*Plagas_C)+(A10_D_L29*Plagas_D)+(A10_Y_L29*Plagas_Y))*Inflación_10</f>
        <v>0</v>
      </c>
      <c r="BK26" s="101">
        <f>SUMIFS('9'!$E:$E,'9'!$A:$A,Año_Inicial+9,'9'!$B:$B,'12'!BJ$4,'9'!$D:$D,"Prevención de plagas")</f>
        <v>0</v>
      </c>
      <c r="BL26" s="101">
        <f>((A10_A_L30*Plagas_A)+(A10_B_L30*Plagas_B)+(A10_C_L30*Plagas_C)+(A10_D_L30*Plagas_D)+(A10_Y_L30*Plagas_Y))*Inflación_10</f>
        <v>0</v>
      </c>
      <c r="BM26" s="101">
        <f>SUMIFS('9'!$E:$E,'9'!$A:$A,Año_Inicial+9,'9'!$B:$B,'12'!BL$4,'9'!$D:$D,"Prevención de plagas")</f>
        <v>0</v>
      </c>
      <c r="BN26" s="101">
        <f>((A10_A_L31*Plagas_A)+(A10_B_L31*Plagas_B)+(A10_C_L31*Plagas_C)+(A10_D_L31*Plagas_D)+(A10_Y_L31*Plagas_Y))*Inflación_10</f>
        <v>0</v>
      </c>
      <c r="BO26" s="101">
        <f>SUMIFS('9'!$E:$E,'9'!$A:$A,Año_Inicial+9,'9'!$B:$B,'12'!BN$4,'9'!$D:$D,"Prevención de plagas")</f>
        <v>0</v>
      </c>
      <c r="BP26" s="101">
        <f>((A10_A_L32*Plagas_A)+(A10_B_L32*Plagas_B)+(A10_C_L32*Plagas_C)+(A10_D_L32*Plagas_D)+(A10_Y_L32*Plagas_Y))*Inflación_10</f>
        <v>0</v>
      </c>
      <c r="BQ26" s="101">
        <f>SUMIFS('9'!$E:$E,'9'!$A:$A,Año_Inicial+9,'9'!$B:$B,'12'!BP$4,'9'!$D:$D,"Prevención de plagas")</f>
        <v>0</v>
      </c>
      <c r="BR26" s="101">
        <f>((A10_A_L33*Plagas_A)+(A10_B_L33*Plagas_B)+(A10_C_L33*Plagas_C)+(A10_D_L33*Plagas_D)+(A10_Y_L33*Plagas_Y))*Inflación_10</f>
        <v>0</v>
      </c>
      <c r="BS26" s="101">
        <f>SUMIFS('9'!$E:$E,'9'!$A:$A,Año_Inicial+9,'9'!$B:$B,'12'!BR$4,'9'!$D:$D,"Prevención de plagas")</f>
        <v>0</v>
      </c>
      <c r="BT26" s="101">
        <f>((A10_A_L34*Plagas_A)+(A10_B_L34*Plagas_B)+(A10_C_L34*Plagas_C)+(A10_D_L34*Plagas_D)+(A10_Y_L34*Plagas_Y))*Inflación_10</f>
        <v>0</v>
      </c>
      <c r="BU26" s="101">
        <f>SUMIFS('9'!$E:$E,'9'!$A:$A,Año_Inicial+9,'9'!$B:$B,'12'!BT$4,'9'!$D:$D,"Prevención de plagas")</f>
        <v>0</v>
      </c>
      <c r="BV26" s="101">
        <f>((A10_A_L35*Plagas_A)+(A10_B_L35*Plagas_B)+(A10_C_L35*Plagas_C)+(A10_D_L35*Plagas_D)+(A10_Y_L35*Plagas_Y))*Inflación_10</f>
        <v>0</v>
      </c>
      <c r="BW26" s="101">
        <f>SUMIFS('9'!$E:$E,'9'!$A:$A,Año_Inicial+9,'9'!$B:$B,'12'!BV$4,'9'!$D:$D,"Prevención de plagas")</f>
        <v>0</v>
      </c>
      <c r="BX26" s="101">
        <f>((A10_A_L36*Plagas_A)+(A10_B_L36*Plagas_B)+(A10_C_L36*Plagas_C)+(A10_D_L36*Plagas_D)+(A10_Y_L36*Plagas_Y))*Inflación_10</f>
        <v>0</v>
      </c>
      <c r="BY26" s="101">
        <f>SUMIFS('9'!$E:$E,'9'!$A:$A,Año_Inicial+9,'9'!$B:$B,'12'!BX$4,'9'!$D:$D,"Prevención de plagas")</f>
        <v>0</v>
      </c>
      <c r="BZ26" s="101">
        <f>((A10_A_L37*Plagas_A)+(A10_B_L37*Plagas_B)+(A10_C_L37*Plagas_C)+(A10_D_L37*Plagas_D)+(A10_Y_L37*Plagas_Y))*Inflación_10</f>
        <v>0</v>
      </c>
      <c r="CA26" s="101">
        <f>SUMIFS('9'!$E:$E,'9'!$A:$A,Año_Inicial+9,'9'!$B:$B,'12'!BZ$4,'9'!$D:$D,"Prevención de plagas")</f>
        <v>0</v>
      </c>
      <c r="CB26" s="101">
        <f>((A10_A_L38*Plagas_A)+(A10_B_L38*Plagas_B)+(A10_C_L38*Plagas_C)+(A10_D_L38*Plagas_D)+(A10_Y_L38*Plagas_Y))*Inflación_10</f>
        <v>0</v>
      </c>
      <c r="CC26" s="101">
        <f>SUMIFS('9'!$E:$E,'9'!$A:$A,Año_Inicial+9,'9'!$B:$B,'12'!CB$4,'9'!$D:$D,"Prevención de plagas")</f>
        <v>0</v>
      </c>
      <c r="CD26" s="101">
        <f>((A10_A_L39*Plagas_A)+(A10_B_L39*Plagas_B)+(A10_C_L39*Plagas_C)+(A10_D_L39*Plagas_D)+(A10_Y_L39*Plagas_Y))*Inflación_10</f>
        <v>0</v>
      </c>
      <c r="CE26" s="101">
        <f>SUMIFS('9'!$E:$E,'9'!$A:$A,Año_Inicial+9,'9'!$B:$B,'12'!CD$4,'9'!$D:$D,"Prevención de plagas")</f>
        <v>0</v>
      </c>
      <c r="CF26" s="101">
        <f>((A10_A_L40*Plagas_A)+(A10_B_L40*Plagas_B)+(A10_C_L40*Plagas_C)+(A10_D_L40*Plagas_D)+(A10_Y_L40*Plagas_Y))*Inflación_10</f>
        <v>0</v>
      </c>
      <c r="CG26" s="101">
        <f>SUMIFS('9'!$E:$E,'9'!$A:$A,Año_Inicial+9,'9'!$B:$B,'12'!CF$4,'9'!$D:$D,"Prevención de plagas")</f>
        <v>0</v>
      </c>
      <c r="CH26" s="473"/>
      <c r="CI26" s="101">
        <f>Plantas_A_A10*Plagas_A*Inflación_10</f>
        <v>0</v>
      </c>
      <c r="CJ26" s="101">
        <f>Plantas_B_A10*Plagas_B</f>
        <v>0</v>
      </c>
      <c r="CK26" s="101">
        <f>Plantas_C_A10*Plagas_C</f>
        <v>0</v>
      </c>
      <c r="CL26" s="101">
        <f>Plantas_D_A10*Plagas_D</f>
        <v>0</v>
      </c>
      <c r="CM26" s="101"/>
      <c r="CN26" s="101">
        <f>Plantas_Y_A10*Plagas_Y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SUMIFS('9'!$E:$E,'9'!$A:$A,Año_Inicial+9,'9'!$D:$D,"Insecticida")</f>
        <v>0</v>
      </c>
      <c r="D27" s="100">
        <f t="shared" si="45"/>
        <v>0</v>
      </c>
      <c r="E27" s="473"/>
      <c r="F27" s="101">
        <f>((A10_A_L1*Insecticida_A)+(A10_B_L1*Insecticida_B)+(A10_C_L1*Insecticida_C)+(A10_D_L1*Insecticida_D)+(A10_Y_L1*Insecticida_Y))*Inflación_10</f>
        <v>0</v>
      </c>
      <c r="G27" s="101">
        <f>SUMIFS('9'!$E:$E,'9'!$A:$A,Año_Inicial+9,'9'!$B:$B,'12'!F$4,'9'!$D:$D,"Insecticida")</f>
        <v>0</v>
      </c>
      <c r="H27" s="101">
        <f>((A10_A_L2*Insecticida_A)+(A10_B_L2*Insecticida_B)+(A10_C_L2*Insecticida_C)+(A10_D_L2*Insecticida_D)+(A10_Y_L2*Insecticida_Y))*Inflación_10</f>
        <v>0</v>
      </c>
      <c r="I27" s="101">
        <f>SUMIFS('9'!$E:$E,'9'!$A:$A,Año_Inicial+9,'9'!$B:$B,'12'!H$4,'9'!$D:$D,"Insecticida")</f>
        <v>0</v>
      </c>
      <c r="J27" s="101">
        <f>((A10_A_L3*Insecticida_A)+(A10_B_L3*Insecticida_B)+(A10_C_L3*Insecticida_C)+(A10_D_L3*Insecticida_D)+(A10_Y_L3*Insecticida_Y))*Inflación_10</f>
        <v>0</v>
      </c>
      <c r="K27" s="101">
        <f>SUMIFS('9'!$E:$E,'9'!$A:$A,Año_Inicial+9,'9'!$B:$B,'12'!J$4,'9'!$D:$D,"Insecticida")</f>
        <v>0</v>
      </c>
      <c r="L27" s="101">
        <f>((A10_A_L4*Insecticida_A)+(A10_B_L4*Insecticida_B)+(A10_C_L4*Insecticida_C)+(A10_D_L4*Insecticida_D)+(A10_Y_L4*Insecticida_Y))*Inflación_10</f>
        <v>0</v>
      </c>
      <c r="M27" s="101">
        <f>SUMIFS('9'!$E:$E,'9'!$A:$A,Año_Inicial+9,'9'!$B:$B,'12'!L$4,'9'!$D:$D,"Insecticida")</f>
        <v>0</v>
      </c>
      <c r="N27" s="101">
        <f>((A10_A_L5*Insecticida_A)+(A10_B_L5*Insecticida_B)+(A10_C_L5*Insecticida_C)+(A10_D_L5*Insecticida_D)+(A10_Y_L5*Insecticida_Y))*Inflación_10</f>
        <v>0</v>
      </c>
      <c r="O27" s="101">
        <f>SUMIFS('9'!$E:$E,'9'!$A:$A,Año_Inicial+9,'9'!$B:$B,'12'!N$4,'9'!$D:$D,"Insecticida")</f>
        <v>0</v>
      </c>
      <c r="P27" s="101">
        <f>((A10_A_L6*Insecticida_A)+(A10_B_L6*Insecticida_B)+(A10_C_L6*Insecticida_C)+(A10_D_L6*Insecticida_D)+(A10_Y_L6*Insecticida_Y))*Inflación_10</f>
        <v>0</v>
      </c>
      <c r="Q27" s="101">
        <f>SUMIFS('9'!$E:$E,'9'!$A:$A,Año_Inicial+9,'9'!$B:$B,'12'!P$4,'9'!$D:$D,"Insecticida")</f>
        <v>0</v>
      </c>
      <c r="R27" s="101">
        <f>((A10_A_L7*Insecticida_A)+(A10_B_L7*Insecticida_B)+(A10_C_L7*Insecticida_C)+(A10_D_L7*Insecticida_D)+(A10_Y_L7*Insecticida_Y))*Inflación_10</f>
        <v>0</v>
      </c>
      <c r="S27" s="101">
        <f>SUMIFS('9'!$E:$E,'9'!$A:$A,Año_Inicial+9,'9'!$B:$B,'12'!R$4,'9'!$D:$D,"Insecticida")</f>
        <v>0</v>
      </c>
      <c r="T27" s="101">
        <f>((A10_A_L8*Insecticida_A)+(A10_B_L8*Insecticida_B)+(A10_C_L8*Insecticida_C)+(A10_D_L8*Insecticida_D)+(A10_Y_L8*Insecticida_Y))*Inflación_10</f>
        <v>0</v>
      </c>
      <c r="U27" s="101">
        <f>SUMIFS('9'!$E:$E,'9'!$A:$A,Año_Inicial+9,'9'!$B:$B,'12'!T$4,'9'!$D:$D,"Insecticida")</f>
        <v>0</v>
      </c>
      <c r="V27" s="101">
        <f>((A10_A_L9*Insecticida_A)+(A10_B_L9*Insecticida_B)+(A10_C_L9*Insecticida_C)+(A10_D_L9*Insecticida_D)+(A10_Y_L9*Insecticida_Y))*Inflación_10</f>
        <v>0</v>
      </c>
      <c r="W27" s="101">
        <f>SUMIFS('9'!$E:$E,'9'!$A:$A,Año_Inicial+9,'9'!$B:$B,'12'!V$4,'9'!$D:$D,"Insecticida")</f>
        <v>0</v>
      </c>
      <c r="X27" s="101">
        <f>((A10_A_L10*Insecticida_A)+(A10_B_L10*Insecticida_B)+(A10_C_L10*Insecticida_C)+(A10_D_L10*Insecticida_D)+(A10_Y_L10*Insecticida_Y))*Inflación_10</f>
        <v>0</v>
      </c>
      <c r="Y27" s="101">
        <f>SUMIFS('9'!$E:$E,'9'!$A:$A,Año_Inicial+9,'9'!$B:$B,'12'!X$4,'9'!$D:$D,"Insecticida")</f>
        <v>0</v>
      </c>
      <c r="Z27" s="101">
        <f>((A10_A_L11*Insecticida_A)+(A10_B_L11*Insecticida_B)+(A10_C_L11*Insecticida_C)+(A10_D_L11*Insecticida_D)+(A10_Y_L11*Insecticida_Y))*Inflación_10</f>
        <v>0</v>
      </c>
      <c r="AA27" s="101">
        <f>SUMIFS('9'!$E:$E,'9'!$A:$A,Año_Inicial+9,'9'!$B:$B,'12'!Z$4,'9'!$D:$D,"Insecticida")</f>
        <v>0</v>
      </c>
      <c r="AB27" s="101">
        <f>((A10_A_L12*Insecticida_A)+(A10_B_L12*Insecticida_B)+(A10_C_L12*Insecticida_C)+(A10_D_L12*Insecticida_D)+(A10_Y_L12*Insecticida_Y))*Inflación_10</f>
        <v>0</v>
      </c>
      <c r="AC27" s="101">
        <f>SUMIFS('9'!$E:$E,'9'!$A:$A,Año_Inicial+9,'9'!$B:$B,'12'!AB$4,'9'!$D:$D,"Insecticida")</f>
        <v>0</v>
      </c>
      <c r="AD27" s="101">
        <f>((A10_A_L13*Insecticida_A)+(A10_B_L13*Insecticida_B)+(A10_C_L13*Insecticida_C)+(A10_D_L13*Insecticida_D)+(A10_Y_L13*Insecticida_Y))*Inflación_10</f>
        <v>0</v>
      </c>
      <c r="AE27" s="101">
        <f>SUMIFS('9'!$E:$E,'9'!$A:$A,Año_Inicial+9,'9'!$B:$B,'12'!AD$4,'9'!$D:$D,"Insecticida")</f>
        <v>0</v>
      </c>
      <c r="AF27" s="101">
        <f>((A10_A_L14*Insecticida_A)+(A10_B_L14*Insecticida_B)+(A10_C_L14*Insecticida_C)+(A10_D_L14*Insecticida_D)+(A10_Y_L14*Insecticida_Y))*Inflación_10</f>
        <v>0</v>
      </c>
      <c r="AG27" s="101">
        <f>SUMIFS('9'!$E:$E,'9'!$A:$A,Año_Inicial+9,'9'!$B:$B,'12'!AF$4,'9'!$D:$D,"Insecticida")</f>
        <v>0</v>
      </c>
      <c r="AH27" s="101">
        <f>((A10_A_L15*Insecticida_A)+(A10_B_L15*Insecticida_B)+(A10_C_L15*Insecticida_C)+(A10_D_L15*Insecticida_D)+(A10_Y_L15*Insecticida_Y))*Inflación_10</f>
        <v>0</v>
      </c>
      <c r="AI27" s="101">
        <f>SUMIFS('9'!$E:$E,'9'!$A:$A,Año_Inicial+9,'9'!$B:$B,'12'!AH$4,'9'!$D:$D,"Insecticida")</f>
        <v>0</v>
      </c>
      <c r="AJ27" s="101">
        <f>((A10_A_L16*Insecticida_A)+(A10_B_L16*Insecticida_B)+(A10_C_L16*Insecticida_C)+(A10_D_L16*Insecticida_D)+(A10_Y_L16*Insecticida_Y))*Inflación_10</f>
        <v>0</v>
      </c>
      <c r="AK27" s="101">
        <f>SUMIFS('9'!$E:$E,'9'!$A:$A,Año_Inicial+9,'9'!$B:$B,'12'!AJ$4,'9'!$D:$D,"Insecticida")</f>
        <v>0</v>
      </c>
      <c r="AL27" s="101">
        <f>((A10_A_L17*Insecticida_A)+(A10_B_L17*Insecticida_B)+(A10_C_L17*Insecticida_C)+(A10_D_L17*Insecticida_D)+(A10_Y_L17*Insecticida_Y))*Inflación_10</f>
        <v>0</v>
      </c>
      <c r="AM27" s="101">
        <f>SUMIFS('9'!$E:$E,'9'!$A:$A,Año_Inicial+9,'9'!$B:$B,'12'!AL$4,'9'!$D:$D,"Insecticida")</f>
        <v>0</v>
      </c>
      <c r="AN27" s="101">
        <f>((A10_A_L18*Insecticida_A)+(A10_B_L18*Insecticida_B)+(A10_C_L18*Insecticida_C)+(A10_D_L18*Insecticida_D)+(A10_Y_L18*Insecticida_Y))*Inflación_10</f>
        <v>0</v>
      </c>
      <c r="AO27" s="101">
        <f>SUMIFS('9'!$E:$E,'9'!$A:$A,Año_Inicial+9,'9'!$B:$B,'12'!AN$4,'9'!$D:$D,"Insecticida")</f>
        <v>0</v>
      </c>
      <c r="AP27" s="101">
        <f>((A10_A_L19*Insecticida_A)+(A10_B_L19*Insecticida_B)+(A10_C_L19*Insecticida_C)+(A10_D_L19*Insecticida_D)+(A10_Y_L19*Insecticida_Y))*Inflación_10</f>
        <v>0</v>
      </c>
      <c r="AQ27" s="101">
        <f>SUMIFS('9'!$E:$E,'9'!$A:$A,Año_Inicial+9,'9'!$B:$B,'12'!AP$4,'9'!$D:$D,"Insecticida")</f>
        <v>0</v>
      </c>
      <c r="AR27" s="101">
        <f>((A10_A_L20*Insecticida_A)+(A10_B_L20*Insecticida_B)+(A10_C_L20*Insecticida_C)+(A10_D_L20*Insecticida_D)+(A10_Y_L20*Insecticida_Y))*Inflación_10</f>
        <v>0</v>
      </c>
      <c r="AS27" s="101">
        <f>SUMIFS('9'!$E:$E,'9'!$A:$A,Año_Inicial+9,'9'!$B:$B,'12'!AR$4,'9'!$D:$D,"Insecticida")</f>
        <v>0</v>
      </c>
      <c r="AT27" s="101">
        <f>((A10_A_L21*Insecticida_A)+(A10_B_L21*Insecticida_B)+(A10_C_L21*Insecticida_C)+(A10_D_L21*Insecticida_D)+(A10_Y_L21*Insecticida_Y))*Inflación_10</f>
        <v>0</v>
      </c>
      <c r="AU27" s="101">
        <f>SUMIFS('9'!$E:$E,'9'!$A:$A,Año_Inicial+9,'9'!$B:$B,'12'!AT$4,'9'!$D:$D,"Insecticida")</f>
        <v>0</v>
      </c>
      <c r="AV27" s="101">
        <f>((A10_A_L22*Insecticida_A)+(A10_B_L22*Insecticida_B)+(A10_C_L22*Insecticida_C)+(A10_D_L22*Insecticida_D)+(A10_Y_L22*Insecticida_Y))*Inflación_10</f>
        <v>0</v>
      </c>
      <c r="AW27" s="101">
        <f>SUMIFS('9'!$E:$E,'9'!$A:$A,Año_Inicial+9,'9'!$B:$B,'12'!AV$4,'9'!$D:$D,"Insecticida")</f>
        <v>0</v>
      </c>
      <c r="AX27" s="101">
        <f>((A10_A_L23*Insecticida_A)+(A10_B_L23*Insecticida_B)+(A10_C_L23*Insecticida_C)+(A10_D_L23*Insecticida_D)+(A10_Y_L23*Insecticida_Y))*Inflación_10</f>
        <v>0</v>
      </c>
      <c r="AY27" s="101">
        <f>SUMIFS('9'!$E:$E,'9'!$A:$A,Año_Inicial+9,'9'!$B:$B,'12'!AX$4,'9'!$D:$D,"Insecticida")</f>
        <v>0</v>
      </c>
      <c r="AZ27" s="101">
        <f>((A10_A_L24*Insecticida_A)+(A10_B_L24*Insecticida_B)+(A10_C_L24*Insecticida_C)+(A10_D_L24*Insecticida_D)+(A10_Y_L24*Insecticida_Y))*Inflación_10</f>
        <v>0</v>
      </c>
      <c r="BA27" s="101">
        <f>SUMIFS('9'!$E:$E,'9'!$A:$A,Año_Inicial+9,'9'!$B:$B,'12'!AZ$4,'9'!$D:$D,"Insecticida")</f>
        <v>0</v>
      </c>
      <c r="BB27" s="101">
        <f>((A10_A_L25*Insecticida_A)+(A10_B_L25*Insecticida_B)+(A10_C_L25*Insecticida_C)+(A10_D_L25*Insecticida_D)+(A10_Y_L25*Insecticida_Y))*Inflación_10</f>
        <v>0</v>
      </c>
      <c r="BC27" s="101">
        <f>SUMIFS('9'!$E:$E,'9'!$A:$A,Año_Inicial+9,'9'!$B:$B,'12'!BB$4,'9'!$D:$D,"Insecticida")</f>
        <v>0</v>
      </c>
      <c r="BD27" s="101">
        <f>((A10_A_L26*Insecticida_A)+(A10_B_L26*Insecticida_B)+(A10_C_L26*Insecticida_C)+(A10_D_L26*Insecticida_D)+(A10_Y_L26*Insecticida_Y))*Inflación_10</f>
        <v>0</v>
      </c>
      <c r="BE27" s="101">
        <f>SUMIFS('9'!$E:$E,'9'!$A:$A,Año_Inicial+9,'9'!$B:$B,'12'!BD$4,'9'!$D:$D,"Insecticida")</f>
        <v>0</v>
      </c>
      <c r="BF27" s="101">
        <f>((A10_A_L27*Insecticida_A)+(A10_B_L27*Insecticida_B)+(A10_C_L27*Insecticida_C)+(A10_D_L27*Insecticida_D)+(A10_Y_L27*Insecticida_Y))*Inflación_10</f>
        <v>0</v>
      </c>
      <c r="BG27" s="101">
        <f>SUMIFS('9'!$E:$E,'9'!$A:$A,Año_Inicial+9,'9'!$B:$B,'12'!BF$4,'9'!$D:$D,"Insecticida")</f>
        <v>0</v>
      </c>
      <c r="BH27" s="101">
        <f>((A10_A_L28*Insecticida_A)+(A10_B_L28*Insecticida_B)+(A10_C_L28*Insecticida_C)+(A10_D_L28*Insecticida_D)+(A10_Y_L28*Insecticida_Y))*Inflación_10</f>
        <v>0</v>
      </c>
      <c r="BI27" s="101">
        <f>SUMIFS('9'!$E:$E,'9'!$A:$A,Año_Inicial+9,'9'!$B:$B,'12'!BH$4,'9'!$D:$D,"Insecticida")</f>
        <v>0</v>
      </c>
      <c r="BJ27" s="101">
        <f>((A10_A_L29*Insecticida_A)+(A10_B_L29*Insecticida_B)+(A10_C_L29*Insecticida_C)+(A10_D_L29*Insecticida_D)+(A10_Y_L29*Insecticida_Y))*Inflación_10</f>
        <v>0</v>
      </c>
      <c r="BK27" s="101">
        <f>SUMIFS('9'!$E:$E,'9'!$A:$A,Año_Inicial+9,'9'!$B:$B,'12'!BJ$4,'9'!$D:$D,"Insecticida")</f>
        <v>0</v>
      </c>
      <c r="BL27" s="101">
        <f>((A10_A_L30*Insecticida_A)+(A10_B_L30*Insecticida_B)+(A10_C_L30*Insecticida_C)+(A10_D_L30*Insecticida_D)+(A10_Y_L30*Insecticida_Y))*Inflación_10</f>
        <v>0</v>
      </c>
      <c r="BM27" s="101">
        <f>SUMIFS('9'!$E:$E,'9'!$A:$A,Año_Inicial+9,'9'!$B:$B,'12'!BL$4,'9'!$D:$D,"Insecticida")</f>
        <v>0</v>
      </c>
      <c r="BN27" s="101">
        <f>((A10_A_L31*Insecticida_A)+(A10_B_L31*Insecticida_B)+(A10_C_L31*Insecticida_C)+(A10_D_L31*Insecticida_D)+(A10_Y_L31*Insecticida_Y))*Inflación_10</f>
        <v>0</v>
      </c>
      <c r="BO27" s="101">
        <f>SUMIFS('9'!$E:$E,'9'!$A:$A,Año_Inicial+9,'9'!$B:$B,'12'!BN$4,'9'!$D:$D,"Insecticida")</f>
        <v>0</v>
      </c>
      <c r="BP27" s="101">
        <f>((A10_A_L32*Insecticida_A)+(A10_B_L32*Insecticida_B)+(A10_C_L32*Insecticida_C)+(A10_D_L32*Insecticida_D)+(A10_Y_L32*Insecticida_Y))*Inflación_10</f>
        <v>0</v>
      </c>
      <c r="BQ27" s="101">
        <f>SUMIFS('9'!$E:$E,'9'!$A:$A,Año_Inicial+9,'9'!$B:$B,'12'!BP$4,'9'!$D:$D,"Insecticida")</f>
        <v>0</v>
      </c>
      <c r="BR27" s="101">
        <f>((A10_A_L33*Insecticida_A)+(A10_B_L33*Insecticida_B)+(A10_C_L33*Insecticida_C)+(A10_D_L33*Insecticida_D)+(A10_Y_L33*Insecticida_Y))*Inflación_10</f>
        <v>0</v>
      </c>
      <c r="BS27" s="101">
        <f>SUMIFS('9'!$E:$E,'9'!$A:$A,Año_Inicial+9,'9'!$B:$B,'12'!BR$4,'9'!$D:$D,"Insecticida")</f>
        <v>0</v>
      </c>
      <c r="BT27" s="101">
        <f>((A10_A_L34*Insecticida_A)+(A10_B_L34*Insecticida_B)+(A10_C_L34*Insecticida_C)+(A10_D_L34*Insecticida_D)+(A10_Y_L34*Insecticida_Y))*Inflación_10</f>
        <v>0</v>
      </c>
      <c r="BU27" s="101">
        <f>SUMIFS('9'!$E:$E,'9'!$A:$A,Año_Inicial+9,'9'!$B:$B,'12'!BT$4,'9'!$D:$D,"Insecticida")</f>
        <v>0</v>
      </c>
      <c r="BV27" s="101">
        <f>((A10_A_L35*Insecticida_A)+(A10_B_L35*Insecticida_B)+(A10_C_L35*Insecticida_C)+(A10_D_L35*Insecticida_D)+(A10_Y_L35*Insecticida_Y))*Inflación_10</f>
        <v>0</v>
      </c>
      <c r="BW27" s="101">
        <f>SUMIFS('9'!$E:$E,'9'!$A:$A,Año_Inicial+9,'9'!$B:$B,'12'!BV$4,'9'!$D:$D,"Insecticida")</f>
        <v>0</v>
      </c>
      <c r="BX27" s="101">
        <f>((A10_A_L36*Insecticida_A)+(A10_B_L36*Insecticida_B)+(A10_C_L36*Insecticida_C)+(A10_D_L36*Insecticida_D)+(A10_Y_L36*Insecticida_Y))*Inflación_10</f>
        <v>0</v>
      </c>
      <c r="BY27" s="101">
        <f>SUMIFS('9'!$E:$E,'9'!$A:$A,Año_Inicial+9,'9'!$B:$B,'12'!BX$4,'9'!$D:$D,"Insecticida")</f>
        <v>0</v>
      </c>
      <c r="BZ27" s="101">
        <f>((A10_A_L37*Insecticida_A)+(A10_B_L37*Insecticida_B)+(A10_C_L37*Insecticida_C)+(A10_D_L37*Insecticida_D)+(A10_Y_L37*Insecticida_Y))*Inflación_10</f>
        <v>0</v>
      </c>
      <c r="CA27" s="101">
        <f>SUMIFS('9'!$E:$E,'9'!$A:$A,Año_Inicial+9,'9'!$B:$B,'12'!BZ$4,'9'!$D:$D,"Insecticida")</f>
        <v>0</v>
      </c>
      <c r="CB27" s="101">
        <f>((A10_A_L38*Insecticida_A)+(A10_B_L38*Insecticida_B)+(A10_C_L38*Insecticida_C)+(A10_D_L38*Insecticida_D)+(A10_Y_L38*Insecticida_Y))*Inflación_10</f>
        <v>0</v>
      </c>
      <c r="CC27" s="101">
        <f>SUMIFS('9'!$E:$E,'9'!$A:$A,Año_Inicial+9,'9'!$B:$B,'12'!CB$4,'9'!$D:$D,"Insecticida")</f>
        <v>0</v>
      </c>
      <c r="CD27" s="101">
        <f>((A10_A_L39*Insecticida_A)+(A10_B_L39*Insecticida_B)+(A10_C_L39*Insecticida_C)+(A10_D_L39*Insecticida_D)+(A10_Y_L39*Insecticida_Y))*Inflación_10</f>
        <v>0</v>
      </c>
      <c r="CE27" s="101">
        <f>SUMIFS('9'!$E:$E,'9'!$A:$A,Año_Inicial+9,'9'!$B:$B,'12'!CD$4,'9'!$D:$D,"Insecticida")</f>
        <v>0</v>
      </c>
      <c r="CF27" s="101">
        <f>((A10_A_L40*Insecticida_A)+(A10_B_L40*Insecticida_B)+(A10_C_L40*Insecticida_C)+(A10_D_L40*Insecticida_D)+(A10_Y_L40*Insecticida_Y))*Inflación_10</f>
        <v>0</v>
      </c>
      <c r="CG27" s="101">
        <f>SUMIFS('9'!$E:$E,'9'!$A:$A,Año_Inicial+9,'9'!$B:$B,'12'!CF$4,'9'!$D:$D,"Insecticida")</f>
        <v>0</v>
      </c>
      <c r="CH27" s="473"/>
      <c r="CI27" s="101">
        <f>Plantas_A_A10*Insecticida_A*Inflación_10</f>
        <v>0</v>
      </c>
      <c r="CJ27" s="101">
        <f>Plantas_B_A10*Insecticida_B</f>
        <v>0</v>
      </c>
      <c r="CK27" s="101">
        <f>Plantas_C_A10*Insecticida_C</f>
        <v>0</v>
      </c>
      <c r="CL27" s="101">
        <f>Plantas_D_A10*Insecticida_D</f>
        <v>0</v>
      </c>
      <c r="CM27" s="101"/>
      <c r="CN27" s="101">
        <f>Plantas_Y_A10*Insecticida_Y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SUMIFS('9'!$E:$E,'9'!$A:$A,Año_Inicial+9,'9'!$D:$D,"Prevención de enfermedades")</f>
        <v>0</v>
      </c>
      <c r="D29" s="100">
        <f t="shared" si="45"/>
        <v>0</v>
      </c>
      <c r="E29" s="473"/>
      <c r="F29" s="101">
        <f>((A10_A_L1*Enfermedades_A)+(A10_B_L1*Enfermedades_B)+(A10_C_L1*Enfermedades_C)+(A10_D_L1*Enfermedades_D)+(A10_Y_L1*Enfermedades_Y))*Inflación_10</f>
        <v>0</v>
      </c>
      <c r="G29" s="101">
        <f>SUMIFS('9'!$E:$E,'9'!$A:$A,Año_Inicial+9,'9'!$B:$B,'12'!F$4,'9'!$D:$D,"Prevención de enfermedades")</f>
        <v>0</v>
      </c>
      <c r="H29" s="101">
        <f>((A10_A_L2*Enfermedades_A)+(A10_B_L2*Enfermedades_B)+(A10_C_L2*Enfermedades_C)+(A10_D_L2*Enfermedades_D)+(A10_Y_L2*Enfermedades_Y))*Inflación_10</f>
        <v>0</v>
      </c>
      <c r="I29" s="101">
        <f>SUMIFS('9'!$E:$E,'9'!$A:$A,Año_Inicial+9,'9'!$B:$B,'12'!H$4,'9'!$D:$D,"Prevención de enfermedades")</f>
        <v>0</v>
      </c>
      <c r="J29" s="101">
        <f>((A10_A_L3*Enfermedades_A)+(A10_B_L3*Enfermedades_B)+(A10_C_L3*Enfermedades_C)+(A10_D_L3*Enfermedades_D)+(A10_Y_L3*Enfermedades_Y))*Inflación_10</f>
        <v>0</v>
      </c>
      <c r="K29" s="101">
        <f>SUMIFS('9'!$E:$E,'9'!$A:$A,Año_Inicial+9,'9'!$B:$B,'12'!J$4,'9'!$D:$D,"Prevención de enfermedades")</f>
        <v>0</v>
      </c>
      <c r="L29" s="101">
        <f>((A10_A_L4*Enfermedades_A)+(A10_B_L4*Enfermedades_B)+(A10_C_L4*Enfermedades_C)+(A10_D_L4*Enfermedades_D)+(A10_Y_L4*Enfermedades_Y))*Inflación_10</f>
        <v>0</v>
      </c>
      <c r="M29" s="101">
        <f>SUMIFS('9'!$E:$E,'9'!$A:$A,Año_Inicial+9,'9'!$B:$B,'12'!L$4,'9'!$D:$D,"Prevención de enfermedades")</f>
        <v>0</v>
      </c>
      <c r="N29" s="101">
        <f>((A10_A_L5*Enfermedades_A)+(A10_B_L5*Enfermedades_B)+(A10_C_L5*Enfermedades_C)+(A10_D_L5*Enfermedades_D)+(A10_Y_L5*Enfermedades_Y))*Inflación_10</f>
        <v>0</v>
      </c>
      <c r="O29" s="101">
        <f>SUMIFS('9'!$E:$E,'9'!$A:$A,Año_Inicial+9,'9'!$B:$B,'12'!N$4,'9'!$D:$D,"Prevención de enfermedades")</f>
        <v>0</v>
      </c>
      <c r="P29" s="101">
        <f>((A10_A_L6*Enfermedades_A)+(A10_B_L6*Enfermedades_B)+(A10_C_L6*Enfermedades_C)+(A10_D_L6*Enfermedades_D)+(A10_Y_L6*Enfermedades_Y))*Inflación_10</f>
        <v>0</v>
      </c>
      <c r="Q29" s="101">
        <f>SUMIFS('9'!$E:$E,'9'!$A:$A,Año_Inicial+9,'9'!$B:$B,'12'!P$4,'9'!$D:$D,"Prevención de enfermedades")</f>
        <v>0</v>
      </c>
      <c r="R29" s="101">
        <f>((A10_A_L7*Enfermedades_A)+(A10_B_L7*Enfermedades_B)+(A10_C_L7*Enfermedades_C)+(A10_D_L7*Enfermedades_D)+(A10_Y_L7*Enfermedades_Y))*Inflación_10</f>
        <v>0</v>
      </c>
      <c r="S29" s="101">
        <f>SUMIFS('9'!$E:$E,'9'!$A:$A,Año_Inicial+9,'9'!$B:$B,'12'!R$4,'9'!$D:$D,"Prevención de enfermedades")</f>
        <v>0</v>
      </c>
      <c r="T29" s="101">
        <f>((A10_A_L8*Enfermedades_A)+(A10_B_L8*Enfermedades_B)+(A10_C_L8*Enfermedades_C)+(A10_D_L8*Enfermedades_D)+(A10_Y_L8*Enfermedades_Y))*Inflación_10</f>
        <v>0</v>
      </c>
      <c r="U29" s="101">
        <f>SUMIFS('9'!$E:$E,'9'!$A:$A,Año_Inicial+9,'9'!$B:$B,'12'!T$4,'9'!$D:$D,"Prevención de enfermedades")</f>
        <v>0</v>
      </c>
      <c r="V29" s="101">
        <f>((A10_A_L9*Enfermedades_A)+(A10_B_L9*Enfermedades_B)+(A10_C_L9*Enfermedades_C)+(A10_D_L9*Enfermedades_D)+(A10_Y_L9*Enfermedades_Y))*Inflación_10</f>
        <v>0</v>
      </c>
      <c r="W29" s="101">
        <f>SUMIFS('9'!$E:$E,'9'!$A:$A,Año_Inicial+9,'9'!$B:$B,'12'!V$4,'9'!$D:$D,"Prevención de enfermedades")</f>
        <v>0</v>
      </c>
      <c r="X29" s="101">
        <f>((A10_A_L10*Enfermedades_A)+(A10_B_L10*Enfermedades_B)+(A10_C_L10*Enfermedades_C)+(A10_D_L10*Enfermedades_D)+(A10_Y_L10*Enfermedades_Y))*Inflación_10</f>
        <v>0</v>
      </c>
      <c r="Y29" s="101">
        <f>SUMIFS('9'!$E:$E,'9'!$A:$A,Año_Inicial+9,'9'!$B:$B,'12'!X$4,'9'!$D:$D,"Prevención de enfermedades")</f>
        <v>0</v>
      </c>
      <c r="Z29" s="101">
        <f>((A10_A_L11*Enfermedades_A)+(A10_B_L11*Enfermedades_B)+(A10_C_L11*Enfermedades_C)+(A10_D_L11*Enfermedades_D)+(A10_Y_L11*Enfermedades_Y))*Inflación_10</f>
        <v>0</v>
      </c>
      <c r="AA29" s="101">
        <f>SUMIFS('9'!$E:$E,'9'!$A:$A,Año_Inicial+9,'9'!$B:$B,'12'!Z$4,'9'!$D:$D,"Prevención de enfermedades")</f>
        <v>0</v>
      </c>
      <c r="AB29" s="101">
        <f>((A10_A_L12*Enfermedades_A)+(A10_B_L12*Enfermedades_B)+(A10_C_L12*Enfermedades_C)+(A10_D_L12*Enfermedades_D)+(A10_Y_L12*Enfermedades_Y))*Inflación_10</f>
        <v>0</v>
      </c>
      <c r="AC29" s="101">
        <f>SUMIFS('9'!$E:$E,'9'!$A:$A,Año_Inicial+9,'9'!$B:$B,'12'!AB$4,'9'!$D:$D,"Prevención de enfermedades")</f>
        <v>0</v>
      </c>
      <c r="AD29" s="101">
        <f>((A10_A_L13*Enfermedades_A)+(A10_B_L13*Enfermedades_B)+(A10_C_L13*Enfermedades_C)+(A10_D_L13*Enfermedades_D)+(A10_Y_L13*Enfermedades_Y))*Inflación_10</f>
        <v>0</v>
      </c>
      <c r="AE29" s="101">
        <f>SUMIFS('9'!$E:$E,'9'!$A:$A,Año_Inicial+9,'9'!$B:$B,'12'!AD$4,'9'!$D:$D,"Prevención de enfermedades")</f>
        <v>0</v>
      </c>
      <c r="AF29" s="101">
        <f>((A10_A_L14*Enfermedades_A)+(A10_B_L14*Enfermedades_B)+(A10_C_L14*Enfermedades_C)+(A10_D_L14*Enfermedades_D)+(A10_Y_L14*Enfermedades_Y))*Inflación_10</f>
        <v>0</v>
      </c>
      <c r="AG29" s="101">
        <f>SUMIFS('9'!$E:$E,'9'!$A:$A,Año_Inicial+9,'9'!$B:$B,'12'!AF$4,'9'!$D:$D,"Prevención de enfermedades")</f>
        <v>0</v>
      </c>
      <c r="AH29" s="101">
        <f>((A10_A_L15*Enfermedades_A)+(A10_B_L15*Enfermedades_B)+(A10_C_L15*Enfermedades_C)+(A10_D_L15*Enfermedades_D)+(A10_Y_L15*Enfermedades_Y))*Inflación_10</f>
        <v>0</v>
      </c>
      <c r="AI29" s="101">
        <f>SUMIFS('9'!$E:$E,'9'!$A:$A,Año_Inicial+9,'9'!$B:$B,'12'!AH$4,'9'!$D:$D,"Prevención de enfermedades")</f>
        <v>0</v>
      </c>
      <c r="AJ29" s="101">
        <f>((A10_A_L16*Enfermedades_A)+(A10_B_L16*Enfermedades_B)+(A10_C_L16*Enfermedades_C)+(A10_D_L16*Enfermedades_D)+(A10_Y_L16*Enfermedades_Y))*Inflación_10</f>
        <v>0</v>
      </c>
      <c r="AK29" s="101">
        <f>SUMIFS('9'!$E:$E,'9'!$A:$A,Año_Inicial+9,'9'!$B:$B,'12'!AJ$4,'9'!$D:$D,"Prevención de enfermedades")</f>
        <v>0</v>
      </c>
      <c r="AL29" s="101">
        <f>((A10_A_L17*Enfermedades_A)+(A10_B_L17*Enfermedades_B)+(A10_C_L17*Enfermedades_C)+(A10_D_L17*Enfermedades_D)+(A10_Y_L17*Enfermedades_Y))*Inflación_10</f>
        <v>0</v>
      </c>
      <c r="AM29" s="101">
        <f>SUMIFS('9'!$E:$E,'9'!$A:$A,Año_Inicial+9,'9'!$B:$B,'12'!AL$4,'9'!$D:$D,"Prevención de enfermedades")</f>
        <v>0</v>
      </c>
      <c r="AN29" s="101">
        <f>((A10_A_L18*Enfermedades_A)+(A10_B_L18*Enfermedades_B)+(A10_C_L18*Enfermedades_C)+(A10_D_L18*Enfermedades_D)+(A10_Y_L18*Enfermedades_Y))*Inflación_10</f>
        <v>0</v>
      </c>
      <c r="AO29" s="101">
        <f>SUMIFS('9'!$E:$E,'9'!$A:$A,Año_Inicial+9,'9'!$B:$B,'12'!AN$4,'9'!$D:$D,"Prevención de enfermedades")</f>
        <v>0</v>
      </c>
      <c r="AP29" s="101">
        <f>((A10_A_L19*Enfermedades_A)+(A10_B_L19*Enfermedades_B)+(A10_C_L19*Enfermedades_C)+(A10_D_L19*Enfermedades_D)+(A10_Y_L19*Enfermedades_Y))*Inflación_10</f>
        <v>0</v>
      </c>
      <c r="AQ29" s="101">
        <f>SUMIFS('9'!$E:$E,'9'!$A:$A,Año_Inicial+9,'9'!$B:$B,'12'!AP$4,'9'!$D:$D,"Prevención de enfermedades")</f>
        <v>0</v>
      </c>
      <c r="AR29" s="101">
        <f>((A10_A_L20*Enfermedades_A)+(A10_B_L20*Enfermedades_B)+(A10_C_L20*Enfermedades_C)+(A10_D_L20*Enfermedades_D)+(A10_Y_L20*Enfermedades_Y))*Inflación_10</f>
        <v>0</v>
      </c>
      <c r="AS29" s="101">
        <f>SUMIFS('9'!$E:$E,'9'!$A:$A,Año_Inicial+9,'9'!$B:$B,'12'!AR$4,'9'!$D:$D,"Prevención de enfermedades")</f>
        <v>0</v>
      </c>
      <c r="AT29" s="101">
        <f>((A10_A_L21*Enfermedades_A)+(A10_B_L21*Enfermedades_B)+(A10_C_L21*Enfermedades_C)+(A10_D_L21*Enfermedades_D)+(A10_Y_L21*Enfermedades_Y))*Inflación_10</f>
        <v>0</v>
      </c>
      <c r="AU29" s="101">
        <f>SUMIFS('9'!$E:$E,'9'!$A:$A,Año_Inicial+9,'9'!$B:$B,'12'!AT$4,'9'!$D:$D,"Prevención de enfermedades")</f>
        <v>0</v>
      </c>
      <c r="AV29" s="101">
        <f>((A10_A_L22*Enfermedades_A)+(A10_B_L22*Enfermedades_B)+(A10_C_L22*Enfermedades_C)+(A10_D_L22*Enfermedades_D)+(A10_Y_L22*Enfermedades_Y))*Inflación_10</f>
        <v>0</v>
      </c>
      <c r="AW29" s="101">
        <f>SUMIFS('9'!$E:$E,'9'!$A:$A,Año_Inicial+9,'9'!$B:$B,'12'!AV$4,'9'!$D:$D,"Prevención de enfermedades")</f>
        <v>0</v>
      </c>
      <c r="AX29" s="101">
        <f>((A10_A_L23*Enfermedades_A)+(A10_B_L23*Enfermedades_B)+(A10_C_L23*Enfermedades_C)+(A10_D_L23*Enfermedades_D)+(A10_Y_L23*Enfermedades_Y))*Inflación_10</f>
        <v>0</v>
      </c>
      <c r="AY29" s="101">
        <f>SUMIFS('9'!$E:$E,'9'!$A:$A,Año_Inicial+9,'9'!$B:$B,'12'!AX$4,'9'!$D:$D,"Prevención de enfermedades")</f>
        <v>0</v>
      </c>
      <c r="AZ29" s="101">
        <f>((A10_A_L24*Enfermedades_A)+(A10_B_L24*Enfermedades_B)+(A10_C_L24*Enfermedades_C)+(A10_D_L24*Enfermedades_D)+(A10_Y_L24*Enfermedades_Y))*Inflación_10</f>
        <v>0</v>
      </c>
      <c r="BA29" s="101">
        <f>SUMIFS('9'!$E:$E,'9'!$A:$A,Año_Inicial+9,'9'!$B:$B,'12'!AZ$4,'9'!$D:$D,"Prevención de enfermedades")</f>
        <v>0</v>
      </c>
      <c r="BB29" s="101">
        <f>((A10_A_L25*Enfermedades_A)+(A10_B_L25*Enfermedades_B)+(A10_C_L25*Enfermedades_C)+(A10_D_L25*Enfermedades_D)+(A10_Y_L25*Enfermedades_Y))*Inflación_10</f>
        <v>0</v>
      </c>
      <c r="BC29" s="101">
        <f>SUMIFS('9'!$E:$E,'9'!$A:$A,Año_Inicial+9,'9'!$B:$B,'12'!BB$4,'9'!$D:$D,"Prevención de enfermedades")</f>
        <v>0</v>
      </c>
      <c r="BD29" s="101">
        <f>((A10_A_L26*Enfermedades_A)+(A10_B_L26*Enfermedades_B)+(A10_C_L26*Enfermedades_C)+(A10_D_L26*Enfermedades_D)+(A10_Y_L26*Enfermedades_Y))*Inflación_10</f>
        <v>0</v>
      </c>
      <c r="BE29" s="101">
        <f>SUMIFS('9'!$E:$E,'9'!$A:$A,Año_Inicial+9,'9'!$B:$B,'12'!BD$4,'9'!$D:$D,"Prevención de enfermedades")</f>
        <v>0</v>
      </c>
      <c r="BF29" s="101">
        <f>((A10_A_L27*Enfermedades_A)+(A10_B_L27*Enfermedades_B)+(A10_C_L27*Enfermedades_C)+(A10_D_L27*Enfermedades_D)+(A10_Y_L27*Enfermedades_Y))*Inflación_10</f>
        <v>0</v>
      </c>
      <c r="BG29" s="101">
        <f>SUMIFS('9'!$E:$E,'9'!$A:$A,Año_Inicial+9,'9'!$B:$B,'12'!BF$4,'9'!$D:$D,"Prevención de enfermedades")</f>
        <v>0</v>
      </c>
      <c r="BH29" s="101">
        <f>((A10_A_L28*Enfermedades_A)+(A10_B_L28*Enfermedades_B)+(A10_C_L28*Enfermedades_C)+(A10_D_L28*Enfermedades_D)+(A10_Y_L28*Enfermedades_Y))*Inflación_10</f>
        <v>0</v>
      </c>
      <c r="BI29" s="101">
        <f>SUMIFS('9'!$E:$E,'9'!$A:$A,Año_Inicial+9,'9'!$B:$B,'12'!BH$4,'9'!$D:$D,"Prevención de enfermedades")</f>
        <v>0</v>
      </c>
      <c r="BJ29" s="101">
        <f>((A10_A_L29*Enfermedades_A)+(A10_B_L29*Enfermedades_B)+(A10_C_L29*Enfermedades_C)+(A10_D_L29*Enfermedades_D)+(A10_Y_L29*Enfermedades_Y))*Inflación_10</f>
        <v>0</v>
      </c>
      <c r="BK29" s="101">
        <f>SUMIFS('9'!$E:$E,'9'!$A:$A,Año_Inicial+9,'9'!$B:$B,'12'!BJ$4,'9'!$D:$D,"Prevención de enfermedades")</f>
        <v>0</v>
      </c>
      <c r="BL29" s="101">
        <f>((A10_A_L30*Enfermedades_A)+(A10_B_L30*Enfermedades_B)+(A10_C_L30*Enfermedades_C)+(A10_D_L30*Enfermedades_D)+(A10_Y_L30*Enfermedades_Y))*Inflación_10</f>
        <v>0</v>
      </c>
      <c r="BM29" s="101">
        <f>SUMIFS('9'!$E:$E,'9'!$A:$A,Año_Inicial+9,'9'!$B:$B,'12'!BL$4,'9'!$D:$D,"Prevención de enfermedades")</f>
        <v>0</v>
      </c>
      <c r="BN29" s="101">
        <f>((A10_A_L31*Enfermedades_A)+(A10_B_L31*Enfermedades_B)+(A10_C_L31*Enfermedades_C)+(A10_D_L31*Enfermedades_D)+(A10_Y_L31*Enfermedades_Y))*Inflación_10</f>
        <v>0</v>
      </c>
      <c r="BO29" s="101">
        <f>SUMIFS('9'!$E:$E,'9'!$A:$A,Año_Inicial+9,'9'!$B:$B,'12'!BN$4,'9'!$D:$D,"Prevención de enfermedades")</f>
        <v>0</v>
      </c>
      <c r="BP29" s="101">
        <f>((A10_A_L32*Enfermedades_A)+(A10_B_L32*Enfermedades_B)+(A10_C_L32*Enfermedades_C)+(A10_D_L32*Enfermedades_D)+(A10_Y_L32*Enfermedades_Y))*Inflación_10</f>
        <v>0</v>
      </c>
      <c r="BQ29" s="101">
        <f>SUMIFS('9'!$E:$E,'9'!$A:$A,Año_Inicial+9,'9'!$B:$B,'12'!BP$4,'9'!$D:$D,"Prevención de enfermedades")</f>
        <v>0</v>
      </c>
      <c r="BR29" s="101">
        <f>((A10_A_L33*Enfermedades_A)+(A10_B_L33*Enfermedades_B)+(A10_C_L33*Enfermedades_C)+(A10_D_L33*Enfermedades_D)+(A10_Y_L33*Enfermedades_Y))*Inflación_10</f>
        <v>0</v>
      </c>
      <c r="BS29" s="101">
        <f>SUMIFS('9'!$E:$E,'9'!$A:$A,Año_Inicial+9,'9'!$B:$B,'12'!BR$4,'9'!$D:$D,"Prevención de enfermedades")</f>
        <v>0</v>
      </c>
      <c r="BT29" s="101">
        <f>((A10_A_L34*Enfermedades_A)+(A10_B_L34*Enfermedades_B)+(A10_C_L34*Enfermedades_C)+(A10_D_L34*Enfermedades_D)+(A10_Y_L34*Enfermedades_Y))*Inflación_10</f>
        <v>0</v>
      </c>
      <c r="BU29" s="101">
        <f>SUMIFS('9'!$E:$E,'9'!$A:$A,Año_Inicial+9,'9'!$B:$B,'12'!BT$4,'9'!$D:$D,"Prevención de enfermedades")</f>
        <v>0</v>
      </c>
      <c r="BV29" s="101">
        <f>((A10_A_L35*Enfermedades_A)+(A10_B_L35*Enfermedades_B)+(A10_C_L35*Enfermedades_C)+(A10_D_L35*Enfermedades_D)+(A10_Y_L35*Enfermedades_Y))*Inflación_10</f>
        <v>0</v>
      </c>
      <c r="BW29" s="101">
        <f>SUMIFS('9'!$E:$E,'9'!$A:$A,Año_Inicial+9,'9'!$B:$B,'12'!BV$4,'9'!$D:$D,"Prevención de enfermedades")</f>
        <v>0</v>
      </c>
      <c r="BX29" s="101">
        <f>((A10_A_L36*Enfermedades_A)+(A10_B_L36*Enfermedades_B)+(A10_C_L36*Enfermedades_C)+(A10_D_L36*Enfermedades_D)+(A10_Y_L36*Enfermedades_Y))*Inflación_10</f>
        <v>0</v>
      </c>
      <c r="BY29" s="101">
        <f>SUMIFS('9'!$E:$E,'9'!$A:$A,Año_Inicial+9,'9'!$B:$B,'12'!BX$4,'9'!$D:$D,"Prevención de enfermedades")</f>
        <v>0</v>
      </c>
      <c r="BZ29" s="101">
        <f>((A10_A_L37*Enfermedades_A)+(A10_B_L37*Enfermedades_B)+(A10_C_L37*Enfermedades_C)+(A10_D_L37*Enfermedades_D)+(A10_Y_L37*Enfermedades_Y))*Inflación_10</f>
        <v>0</v>
      </c>
      <c r="CA29" s="101">
        <f>SUMIFS('9'!$E:$E,'9'!$A:$A,Año_Inicial+9,'9'!$B:$B,'12'!BZ$4,'9'!$D:$D,"Prevención de enfermedades")</f>
        <v>0</v>
      </c>
      <c r="CB29" s="101">
        <f>((A10_A_L38*Enfermedades_A)+(A10_B_L38*Enfermedades_B)+(A10_C_L38*Enfermedades_C)+(A10_D_L38*Enfermedades_D)+(A10_Y_L38*Enfermedades_Y))*Inflación_10</f>
        <v>0</v>
      </c>
      <c r="CC29" s="101">
        <f>SUMIFS('9'!$E:$E,'9'!$A:$A,Año_Inicial+9,'9'!$B:$B,'12'!CB$4,'9'!$D:$D,"Prevención de enfermedades")</f>
        <v>0</v>
      </c>
      <c r="CD29" s="101">
        <f>((A10_A_L39*Enfermedades_A)+(A10_B_L39*Enfermedades_B)+(A10_C_L39*Enfermedades_C)+(A10_D_L39*Enfermedades_D)+(A10_Y_L39*Enfermedades_Y))*Inflación_10</f>
        <v>0</v>
      </c>
      <c r="CE29" s="101">
        <f>SUMIFS('9'!$E:$E,'9'!$A:$A,Año_Inicial+9,'9'!$B:$B,'12'!CD$4,'9'!$D:$D,"Prevención de enfermedades")</f>
        <v>0</v>
      </c>
      <c r="CF29" s="101">
        <f>((A10_A_L40*Enfermedades_A)+(A10_B_L40*Enfermedades_B)+(A10_C_L40*Enfermedades_C)+(A10_D_L40*Enfermedades_D)+(A10_Y_L40*Enfermedades_Y))*Inflación_10</f>
        <v>0</v>
      </c>
      <c r="CG29" s="101">
        <f>SUMIFS('9'!$E:$E,'9'!$A:$A,Año_Inicial+9,'9'!$B:$B,'12'!CF$4,'9'!$D:$D,"Prevención de enfermedades")</f>
        <v>0</v>
      </c>
      <c r="CH29" s="473"/>
      <c r="CI29" s="101">
        <f>Plantas_A_A10*Enfermedades_A*Inflación_10</f>
        <v>0</v>
      </c>
      <c r="CJ29" s="101">
        <f>Plantas_B_A10*Enfermedades_B</f>
        <v>0</v>
      </c>
      <c r="CK29" s="101">
        <f>Plantas_C_A10*Enfermedades_C</f>
        <v>0</v>
      </c>
      <c r="CL29" s="101">
        <f>Plantas_D_A10*Enfermedades_D</f>
        <v>0</v>
      </c>
      <c r="CM29" s="101"/>
      <c r="CN29" s="101">
        <f>Plantas_Y_A10*Enfermedades_Y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SUMIFS('9'!$E:$E,'9'!$A:$A,Año_Inicial+9,'9'!$D:$D,"Fungicida")</f>
        <v>0</v>
      </c>
      <c r="D30" s="100">
        <f t="shared" si="45"/>
        <v>0</v>
      </c>
      <c r="E30" s="473"/>
      <c r="F30" s="101">
        <f>((A10_A_L1*Fungicida_A)+(A10_B_L1*Fungicida_B)+(A10_C_L1*Fungicida_C)+(A10_D_L1*Fungicida_D)+(A10_Y_L1*Fungicida_Y))*Inflación_10</f>
        <v>0</v>
      </c>
      <c r="G30" s="101">
        <f>SUMIFS('9'!$E:$E,'9'!$A:$A,Año_Inicial+9,'9'!$B:$B,'12'!F$4,'9'!$D:$D,"Fungicida")</f>
        <v>0</v>
      </c>
      <c r="H30" s="101">
        <f>((A10_A_L2*Fungicida_A)+(A10_B_L2*Fungicida_B)+(A10_C_L2*Fungicida_C)+(A10_D_L2*Fungicida_D)+(A10_Y_L2*Fungicida_Y))*Inflación_10</f>
        <v>0</v>
      </c>
      <c r="I30" s="101">
        <f>SUMIFS('9'!$E:$E,'9'!$A:$A,Año_Inicial+9,'9'!$B:$B,'12'!H$4,'9'!$D:$D,"Fungicida")</f>
        <v>0</v>
      </c>
      <c r="J30" s="101">
        <f>((A10_A_L3*Fungicida_A)+(A10_B_L3*Fungicida_B)+(A10_C_L3*Fungicida_C)+(A10_D_L3*Fungicida_D)+(A10_Y_L3*Fungicida_Y))*Inflación_10</f>
        <v>0</v>
      </c>
      <c r="K30" s="101">
        <f>SUMIFS('9'!$E:$E,'9'!$A:$A,Año_Inicial+9,'9'!$B:$B,'12'!J$4,'9'!$D:$D,"Fungicida")</f>
        <v>0</v>
      </c>
      <c r="L30" s="101">
        <f>((A10_A_L4*Fungicida_A)+(A10_B_L4*Fungicida_B)+(A10_C_L4*Fungicida_C)+(A10_D_L4*Fungicida_D)+(A10_Y_L4*Fungicida_Y))*Inflación_10</f>
        <v>0</v>
      </c>
      <c r="M30" s="101">
        <f>SUMIFS('9'!$E:$E,'9'!$A:$A,Año_Inicial+9,'9'!$B:$B,'12'!L$4,'9'!$D:$D,"Fungicida")</f>
        <v>0</v>
      </c>
      <c r="N30" s="101">
        <f>((A10_A_L5*Fungicida_A)+(A10_B_L5*Fungicida_B)+(A10_C_L5*Fungicida_C)+(A10_D_L5*Fungicida_D)+(A10_Y_L5*Fungicida_Y))*Inflación_10</f>
        <v>0</v>
      </c>
      <c r="O30" s="101">
        <f>SUMIFS('9'!$E:$E,'9'!$A:$A,Año_Inicial+9,'9'!$B:$B,'12'!N$4,'9'!$D:$D,"Fungicida")</f>
        <v>0</v>
      </c>
      <c r="P30" s="101">
        <f>((A10_A_L6*Fungicida_A)+(A10_B_L6*Fungicida_B)+(A10_C_L6*Fungicida_C)+(A10_D_L6*Fungicida_D)+(A10_Y_L6*Fungicida_Y))*Inflación_10</f>
        <v>0</v>
      </c>
      <c r="Q30" s="101">
        <f>SUMIFS('9'!$E:$E,'9'!$A:$A,Año_Inicial+9,'9'!$B:$B,'12'!P$4,'9'!$D:$D,"Fungicida")</f>
        <v>0</v>
      </c>
      <c r="R30" s="101">
        <f>((A10_A_L7*Fungicida_A)+(A10_B_L7*Fungicida_B)+(A10_C_L7*Fungicida_C)+(A10_D_L7*Fungicida_D)+(A10_Y_L7*Fungicida_Y))*Inflación_10</f>
        <v>0</v>
      </c>
      <c r="S30" s="101">
        <f>SUMIFS('9'!$E:$E,'9'!$A:$A,Año_Inicial+9,'9'!$B:$B,'12'!R$4,'9'!$D:$D,"Fungicida")</f>
        <v>0</v>
      </c>
      <c r="T30" s="101">
        <f>((A10_A_L8*Fungicida_A)+(A10_B_L8*Fungicida_B)+(A10_C_L8*Fungicida_C)+(A10_D_L8*Fungicida_D)+(A10_Y_L8*Fungicida_Y))*Inflación_10</f>
        <v>0</v>
      </c>
      <c r="U30" s="101">
        <f>SUMIFS('9'!$E:$E,'9'!$A:$A,Año_Inicial+9,'9'!$B:$B,'12'!T$4,'9'!$D:$D,"Fungicida")</f>
        <v>0</v>
      </c>
      <c r="V30" s="101">
        <f>((A10_A_L9*Fungicida_A)+(A10_B_L9*Fungicida_B)+(A10_C_L9*Fungicida_C)+(A10_D_L9*Fungicida_D)+(A10_Y_L9*Fungicida_Y))*Inflación_10</f>
        <v>0</v>
      </c>
      <c r="W30" s="101">
        <f>SUMIFS('9'!$E:$E,'9'!$A:$A,Año_Inicial+9,'9'!$B:$B,'12'!V$4,'9'!$D:$D,"Fungicida")</f>
        <v>0</v>
      </c>
      <c r="X30" s="101">
        <f>((A10_A_L10*Fungicida_A)+(A10_B_L10*Fungicida_B)+(A10_C_L10*Fungicida_C)+(A10_D_L10*Fungicida_D)+(A10_Y_L10*Fungicida_Y))*Inflación_10</f>
        <v>0</v>
      </c>
      <c r="Y30" s="101">
        <f>SUMIFS('9'!$E:$E,'9'!$A:$A,Año_Inicial+9,'9'!$B:$B,'12'!X$4,'9'!$D:$D,"Fungicida")</f>
        <v>0</v>
      </c>
      <c r="Z30" s="101">
        <f>((A10_A_L11*Fungicida_A)+(A10_B_L11*Fungicida_B)+(A10_C_L11*Fungicida_C)+(A10_D_L11*Fungicida_D)+(A10_Y_L11*Fungicida_Y))*Inflación_10</f>
        <v>0</v>
      </c>
      <c r="AA30" s="101">
        <f>SUMIFS('9'!$E:$E,'9'!$A:$A,Año_Inicial+9,'9'!$B:$B,'12'!Z$4,'9'!$D:$D,"Fungicida")</f>
        <v>0</v>
      </c>
      <c r="AB30" s="101">
        <f>((A10_A_L12*Fungicida_A)+(A10_B_L12*Fungicida_B)+(A10_C_L12*Fungicida_C)+(A10_D_L12*Fungicida_D)+(A10_Y_L12*Fungicida_Y))*Inflación_10</f>
        <v>0</v>
      </c>
      <c r="AC30" s="101">
        <f>SUMIFS('9'!$E:$E,'9'!$A:$A,Año_Inicial+9,'9'!$B:$B,'12'!AB$4,'9'!$D:$D,"Fungicida")</f>
        <v>0</v>
      </c>
      <c r="AD30" s="101">
        <f>((A10_A_L13*Fungicida_A)+(A10_B_L13*Fungicida_B)+(A10_C_L13*Fungicida_C)+(A10_D_L13*Fungicida_D)+(A10_Y_L13*Fungicida_Y))*Inflación_10</f>
        <v>0</v>
      </c>
      <c r="AE30" s="101">
        <f>SUMIFS('9'!$E:$E,'9'!$A:$A,Año_Inicial+9,'9'!$B:$B,'12'!AD$4,'9'!$D:$D,"Fungicida")</f>
        <v>0</v>
      </c>
      <c r="AF30" s="101">
        <f>((A10_A_L14*Fungicida_A)+(A10_B_L14*Fungicida_B)+(A10_C_L14*Fungicida_C)+(A10_D_L14*Fungicida_D)+(A10_Y_L14*Fungicida_Y))*Inflación_10</f>
        <v>0</v>
      </c>
      <c r="AG30" s="101">
        <f>SUMIFS('9'!$E:$E,'9'!$A:$A,Año_Inicial+9,'9'!$B:$B,'12'!AF$4,'9'!$D:$D,"Fungicida")</f>
        <v>0</v>
      </c>
      <c r="AH30" s="101">
        <f>((A10_A_L15*Fungicida_A)+(A10_B_L15*Fungicida_B)+(A10_C_L15*Fungicida_C)+(A10_D_L15*Fungicida_D)+(A10_Y_L15*Fungicida_Y))*Inflación_10</f>
        <v>0</v>
      </c>
      <c r="AI30" s="101">
        <f>SUMIFS('9'!$E:$E,'9'!$A:$A,Año_Inicial+9,'9'!$B:$B,'12'!AH$4,'9'!$D:$D,"Fungicida")</f>
        <v>0</v>
      </c>
      <c r="AJ30" s="101">
        <f>((A10_A_L16*Fungicida_A)+(A10_B_L16*Fungicida_B)+(A10_C_L16*Fungicida_C)+(A10_D_L16*Fungicida_D)+(A10_Y_L16*Fungicida_Y))*Inflación_10</f>
        <v>0</v>
      </c>
      <c r="AK30" s="101">
        <f>SUMIFS('9'!$E:$E,'9'!$A:$A,Año_Inicial+9,'9'!$B:$B,'12'!AJ$4,'9'!$D:$D,"Fungicida")</f>
        <v>0</v>
      </c>
      <c r="AL30" s="101">
        <f>((A10_A_L17*Fungicida_A)+(A10_B_L17*Fungicida_B)+(A10_C_L17*Fungicida_C)+(A10_D_L17*Fungicida_D)+(A10_Y_L17*Fungicida_Y))*Inflación_10</f>
        <v>0</v>
      </c>
      <c r="AM30" s="101">
        <f>SUMIFS('9'!$E:$E,'9'!$A:$A,Año_Inicial+9,'9'!$B:$B,'12'!AL$4,'9'!$D:$D,"Fungicida")</f>
        <v>0</v>
      </c>
      <c r="AN30" s="101">
        <f>((A10_A_L18*Fungicida_A)+(A10_B_L18*Fungicida_B)+(A10_C_L18*Fungicida_C)+(A10_D_L18*Fungicida_D)+(A10_Y_L18*Fungicida_Y))*Inflación_10</f>
        <v>0</v>
      </c>
      <c r="AO30" s="101">
        <f>SUMIFS('9'!$E:$E,'9'!$A:$A,Año_Inicial+9,'9'!$B:$B,'12'!AN$4,'9'!$D:$D,"Fungicida")</f>
        <v>0</v>
      </c>
      <c r="AP30" s="101">
        <f>((A10_A_L19*Fungicida_A)+(A10_B_L19*Fungicida_B)+(A10_C_L19*Fungicida_C)+(A10_D_L19*Fungicida_D)+(A10_Y_L19*Fungicida_Y))*Inflación_10</f>
        <v>0</v>
      </c>
      <c r="AQ30" s="101">
        <f>SUMIFS('9'!$E:$E,'9'!$A:$A,Año_Inicial+9,'9'!$B:$B,'12'!AP$4,'9'!$D:$D,"Fungicida")</f>
        <v>0</v>
      </c>
      <c r="AR30" s="101">
        <f>((A10_A_L20*Fungicida_A)+(A10_B_L20*Fungicida_B)+(A10_C_L20*Fungicida_C)+(A10_D_L20*Fungicida_D)+(A10_Y_L20*Fungicida_Y))*Inflación_10</f>
        <v>0</v>
      </c>
      <c r="AS30" s="101">
        <f>SUMIFS('9'!$E:$E,'9'!$A:$A,Año_Inicial+9,'9'!$B:$B,'12'!AR$4,'9'!$D:$D,"Fungicida")</f>
        <v>0</v>
      </c>
      <c r="AT30" s="101">
        <f>((A10_A_L21*Fungicida_A)+(A10_B_L21*Fungicida_B)+(A10_C_L21*Fungicida_C)+(A10_D_L21*Fungicida_D)+(A10_Y_L21*Fungicida_Y))*Inflación_10</f>
        <v>0</v>
      </c>
      <c r="AU30" s="101">
        <f>SUMIFS('9'!$E:$E,'9'!$A:$A,Año_Inicial+9,'9'!$B:$B,'12'!AT$4,'9'!$D:$D,"Fungicida")</f>
        <v>0</v>
      </c>
      <c r="AV30" s="101">
        <f>((A10_A_L22*Fungicida_A)+(A10_B_L22*Fungicida_B)+(A10_C_L22*Fungicida_C)+(A10_D_L22*Fungicida_D)+(A10_Y_L22*Fungicida_Y))*Inflación_10</f>
        <v>0</v>
      </c>
      <c r="AW30" s="101">
        <f>SUMIFS('9'!$E:$E,'9'!$A:$A,Año_Inicial+9,'9'!$B:$B,'12'!AV$4,'9'!$D:$D,"Fungicida")</f>
        <v>0</v>
      </c>
      <c r="AX30" s="101">
        <f>((A10_A_L23*Fungicida_A)+(A10_B_L23*Fungicida_B)+(A10_C_L23*Fungicida_C)+(A10_D_L23*Fungicida_D)+(A10_Y_L23*Fungicida_Y))*Inflación_10</f>
        <v>0</v>
      </c>
      <c r="AY30" s="101">
        <f>SUMIFS('9'!$E:$E,'9'!$A:$A,Año_Inicial+9,'9'!$B:$B,'12'!AX$4,'9'!$D:$D,"Fungicida")</f>
        <v>0</v>
      </c>
      <c r="AZ30" s="101">
        <f>((A10_A_L24*Fungicida_A)+(A10_B_L24*Fungicida_B)+(A10_C_L24*Fungicida_C)+(A10_D_L24*Fungicida_D)+(A10_Y_L24*Fungicida_Y))*Inflación_10</f>
        <v>0</v>
      </c>
      <c r="BA30" s="101">
        <f>SUMIFS('9'!$E:$E,'9'!$A:$A,Año_Inicial+9,'9'!$B:$B,'12'!AZ$4,'9'!$D:$D,"Fungicida")</f>
        <v>0</v>
      </c>
      <c r="BB30" s="101">
        <f>((A10_A_L25*Fungicida_A)+(A10_B_L25*Fungicida_B)+(A10_C_L25*Fungicida_C)+(A10_D_L25*Fungicida_D)+(A10_Y_L25*Fungicida_Y))*Inflación_10</f>
        <v>0</v>
      </c>
      <c r="BC30" s="101">
        <f>SUMIFS('9'!$E:$E,'9'!$A:$A,Año_Inicial+9,'9'!$B:$B,'12'!BB$4,'9'!$D:$D,"Fungicida")</f>
        <v>0</v>
      </c>
      <c r="BD30" s="101">
        <f>((A10_A_L26*Fungicida_A)+(A10_B_L26*Fungicida_B)+(A10_C_L26*Fungicida_C)+(A10_D_L26*Fungicida_D)+(A10_Y_L26*Fungicida_Y))*Inflación_10</f>
        <v>0</v>
      </c>
      <c r="BE30" s="101">
        <f>SUMIFS('9'!$E:$E,'9'!$A:$A,Año_Inicial+9,'9'!$B:$B,'12'!BD$4,'9'!$D:$D,"Fungicida")</f>
        <v>0</v>
      </c>
      <c r="BF30" s="101">
        <f>((A10_A_L27*Fungicida_A)+(A10_B_L27*Fungicida_B)+(A10_C_L27*Fungicida_C)+(A10_D_L27*Fungicida_D)+(A10_Y_L27*Fungicida_Y))*Inflación_10</f>
        <v>0</v>
      </c>
      <c r="BG30" s="101">
        <f>SUMIFS('9'!$E:$E,'9'!$A:$A,Año_Inicial+9,'9'!$B:$B,'12'!BF$4,'9'!$D:$D,"Fungicida")</f>
        <v>0</v>
      </c>
      <c r="BH30" s="101">
        <f>((A10_A_L28*Fungicida_A)+(A10_B_L28*Fungicida_B)+(A10_C_L28*Fungicida_C)+(A10_D_L28*Fungicida_D)+(A10_Y_L28*Fungicida_Y))*Inflación_10</f>
        <v>0</v>
      </c>
      <c r="BI30" s="101">
        <f>SUMIFS('9'!$E:$E,'9'!$A:$A,Año_Inicial+9,'9'!$B:$B,'12'!BH$4,'9'!$D:$D,"Fungicida")</f>
        <v>0</v>
      </c>
      <c r="BJ30" s="101">
        <f>((A10_A_L29*Fungicida_A)+(A10_B_L29*Fungicida_B)+(A10_C_L29*Fungicida_C)+(A10_D_L29*Fungicida_D)+(A10_Y_L29*Fungicida_Y))*Inflación_10</f>
        <v>0</v>
      </c>
      <c r="BK30" s="101">
        <f>SUMIFS('9'!$E:$E,'9'!$A:$A,Año_Inicial+9,'9'!$B:$B,'12'!BJ$4,'9'!$D:$D,"Fungicida")</f>
        <v>0</v>
      </c>
      <c r="BL30" s="101">
        <f>((A10_A_L30*Fungicida_A)+(A10_B_L30*Fungicida_B)+(A10_C_L30*Fungicida_C)+(A10_D_L30*Fungicida_D)+(A10_Y_L30*Fungicida_Y))*Inflación_10</f>
        <v>0</v>
      </c>
      <c r="BM30" s="101">
        <f>SUMIFS('9'!$E:$E,'9'!$A:$A,Año_Inicial+9,'9'!$B:$B,'12'!BL$4,'9'!$D:$D,"Fungicida")</f>
        <v>0</v>
      </c>
      <c r="BN30" s="101">
        <f>((A10_A_L31*Fungicida_A)+(A10_B_L31*Fungicida_B)+(A10_C_L31*Fungicida_C)+(A10_D_L31*Fungicida_D)+(A10_Y_L31*Fungicida_Y))*Inflación_10</f>
        <v>0</v>
      </c>
      <c r="BO30" s="101">
        <f>SUMIFS('9'!$E:$E,'9'!$A:$A,Año_Inicial+9,'9'!$B:$B,'12'!BN$4,'9'!$D:$D,"Fungicida")</f>
        <v>0</v>
      </c>
      <c r="BP30" s="101">
        <f>((A10_A_L32*Fungicida_A)+(A10_B_L32*Fungicida_B)+(A10_C_L32*Fungicida_C)+(A10_D_L32*Fungicida_D)+(A10_Y_L32*Fungicida_Y))*Inflación_10</f>
        <v>0</v>
      </c>
      <c r="BQ30" s="101">
        <f>SUMIFS('9'!$E:$E,'9'!$A:$A,Año_Inicial+9,'9'!$B:$B,'12'!BP$4,'9'!$D:$D,"Fungicida")</f>
        <v>0</v>
      </c>
      <c r="BR30" s="101">
        <f>((A10_A_L33*Fungicida_A)+(A10_B_L33*Fungicida_B)+(A10_C_L33*Fungicida_C)+(A10_D_L33*Fungicida_D)+(A10_Y_L33*Fungicida_Y))*Inflación_10</f>
        <v>0</v>
      </c>
      <c r="BS30" s="101">
        <f>SUMIFS('9'!$E:$E,'9'!$A:$A,Año_Inicial+9,'9'!$B:$B,'12'!BR$4,'9'!$D:$D,"Fungicida")</f>
        <v>0</v>
      </c>
      <c r="BT30" s="101">
        <f>((A10_A_L34*Fungicida_A)+(A10_B_L34*Fungicida_B)+(A10_C_L34*Fungicida_C)+(A10_D_L34*Fungicida_D)+(A10_Y_L34*Fungicida_Y))*Inflación_10</f>
        <v>0</v>
      </c>
      <c r="BU30" s="101">
        <f>SUMIFS('9'!$E:$E,'9'!$A:$A,Año_Inicial+9,'9'!$B:$B,'12'!BT$4,'9'!$D:$D,"Fungicida")</f>
        <v>0</v>
      </c>
      <c r="BV30" s="101">
        <f>((A10_A_L35*Fungicida_A)+(A10_B_L35*Fungicida_B)+(A10_C_L35*Fungicida_C)+(A10_D_L35*Fungicida_D)+(A10_Y_L35*Fungicida_Y))*Inflación_10</f>
        <v>0</v>
      </c>
      <c r="BW30" s="101">
        <f>SUMIFS('9'!$E:$E,'9'!$A:$A,Año_Inicial+9,'9'!$B:$B,'12'!BV$4,'9'!$D:$D,"Fungicida")</f>
        <v>0</v>
      </c>
      <c r="BX30" s="101">
        <f>((A10_A_L36*Fungicida_A)+(A10_B_L36*Fungicida_B)+(A10_C_L36*Fungicida_C)+(A10_D_L36*Fungicida_D)+(A10_Y_L36*Fungicida_Y))*Inflación_10</f>
        <v>0</v>
      </c>
      <c r="BY30" s="101">
        <f>SUMIFS('9'!$E:$E,'9'!$A:$A,Año_Inicial+9,'9'!$B:$B,'12'!BX$4,'9'!$D:$D,"Fungicida")</f>
        <v>0</v>
      </c>
      <c r="BZ30" s="101">
        <f>((A10_A_L37*Fungicida_A)+(A10_B_L37*Fungicida_B)+(A10_C_L37*Fungicida_C)+(A10_D_L37*Fungicida_D)+(A10_Y_L37*Fungicida_Y))*Inflación_10</f>
        <v>0</v>
      </c>
      <c r="CA30" s="101">
        <f>SUMIFS('9'!$E:$E,'9'!$A:$A,Año_Inicial+9,'9'!$B:$B,'12'!BZ$4,'9'!$D:$D,"Fungicida")</f>
        <v>0</v>
      </c>
      <c r="CB30" s="101">
        <f>((A10_A_L38*Fungicida_A)+(A10_B_L38*Fungicida_B)+(A10_C_L38*Fungicida_C)+(A10_D_L38*Fungicida_D)+(A10_Y_L38*Fungicida_Y))*Inflación_10</f>
        <v>0</v>
      </c>
      <c r="CC30" s="101">
        <f>SUMIFS('9'!$E:$E,'9'!$A:$A,Año_Inicial+9,'9'!$B:$B,'12'!CB$4,'9'!$D:$D,"Fungicida")</f>
        <v>0</v>
      </c>
      <c r="CD30" s="101">
        <f>((A10_A_L39*Fungicida_A)+(A10_B_L39*Fungicida_B)+(A10_C_L39*Fungicida_C)+(A10_D_L39*Fungicida_D)+(A10_Y_L39*Fungicida_Y))*Inflación_10</f>
        <v>0</v>
      </c>
      <c r="CE30" s="101">
        <f>SUMIFS('9'!$E:$E,'9'!$A:$A,Año_Inicial+9,'9'!$B:$B,'12'!CD$4,'9'!$D:$D,"Fungicida")</f>
        <v>0</v>
      </c>
      <c r="CF30" s="101">
        <f>((A10_A_L40*Fungicida_A)+(A10_B_L40*Fungicida_B)+(A10_C_L40*Fungicida_C)+(A10_D_L40*Fungicida_D)+(A10_Y_L40*Fungicida_Y))*Inflación_10</f>
        <v>0</v>
      </c>
      <c r="CG30" s="101">
        <f>SUMIFS('9'!$E:$E,'9'!$A:$A,Año_Inicial+9,'9'!$B:$B,'12'!CF$4,'9'!$D:$D,"Fungicida")</f>
        <v>0</v>
      </c>
      <c r="CH30" s="473"/>
      <c r="CI30" s="101">
        <f>Plantas_A_A10*Fungicida_A*Inflación_10</f>
        <v>0</v>
      </c>
      <c r="CJ30" s="101">
        <f>Plantas_B_A10*Fungicida_B</f>
        <v>0</v>
      </c>
      <c r="CK30" s="101">
        <f>Plantas_C_A10*Fungicida_C</f>
        <v>0</v>
      </c>
      <c r="CL30" s="101">
        <f>Plantas_D_A10*Fungicida_D</f>
        <v>0</v>
      </c>
      <c r="CM30" s="101"/>
      <c r="CN30" s="101">
        <f>Plantas_Y_A10*Fungicida_Y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SUMIFS('9'!$E:$E,'9'!$A:$A,Año_Inicial+9,'9'!$D:$D,"Manejo de sombra")</f>
        <v>0</v>
      </c>
      <c r="D32" s="100">
        <f t="shared" si="45"/>
        <v>0</v>
      </c>
      <c r="E32" s="473"/>
      <c r="F32" s="101">
        <f>((A10_A_L1*Sombra_A)+(A10_B_L1*Sombra_B)+(A10_C_L1*Sombra_C)+(A10_D_L1*Sombra_D)+(A10_Y_L1*Sombra_Y))*Inflación_10</f>
        <v>0</v>
      </c>
      <c r="G32" s="101">
        <f>SUMIFS('9'!$E:$E,'9'!$A:$A,Año_Inicial+9,'9'!$B:$B,'12'!F$4,'9'!$D:$D,"Manejo de sombra")</f>
        <v>0</v>
      </c>
      <c r="H32" s="101">
        <f>((A10_A_L2*Sombra_A)+(A10_B_L2*Sombra_B)+(A10_C_L2*Sombra_C)+(A10_D_L2*Sombra_D)+(A10_Y_L2*Sombra_Y))*Inflación_10</f>
        <v>0</v>
      </c>
      <c r="I32" s="101">
        <f>SUMIFS('9'!$E:$E,'9'!$A:$A,Año_Inicial+9,'9'!$B:$B,'12'!H$4,'9'!$D:$D,"Manejo de sombra")</f>
        <v>0</v>
      </c>
      <c r="J32" s="101">
        <f>((A10_A_L3*Sombra_A)+(A10_B_L3*Sombra_B)+(A10_C_L3*Sombra_C)+(A10_D_L3*Sombra_D)+(A10_Y_L3*Sombra_Y))*Inflación_10</f>
        <v>0</v>
      </c>
      <c r="K32" s="101">
        <f>SUMIFS('9'!$E:$E,'9'!$A:$A,Año_Inicial+9,'9'!$B:$B,'12'!J$4,'9'!$D:$D,"Manejo de sombra")</f>
        <v>0</v>
      </c>
      <c r="L32" s="101">
        <f>((A10_A_L4*Sombra_A)+(A10_B_L4*Sombra_B)+(A10_C_L4*Sombra_C)+(A10_D_L4*Sombra_D)+(A10_Y_L4*Sombra_Y))*Inflación_10</f>
        <v>0</v>
      </c>
      <c r="M32" s="101">
        <f>SUMIFS('9'!$E:$E,'9'!$A:$A,Año_Inicial+9,'9'!$B:$B,'12'!L$4,'9'!$D:$D,"Manejo de sombra")</f>
        <v>0</v>
      </c>
      <c r="N32" s="101">
        <f>((A10_A_L5*Sombra_A)+(A10_B_L5*Sombra_B)+(A10_C_L5*Sombra_C)+(A10_D_L5*Sombra_D)+(A10_Y_L5*Sombra_Y))*Inflación_10</f>
        <v>0</v>
      </c>
      <c r="O32" s="101">
        <f>SUMIFS('9'!$E:$E,'9'!$A:$A,Año_Inicial+9,'9'!$B:$B,'12'!N$4,'9'!$D:$D,"Manejo de sombra")</f>
        <v>0</v>
      </c>
      <c r="P32" s="101">
        <f>((A10_A_L6*Sombra_A)+(A10_B_L6*Sombra_B)+(A10_C_L6*Sombra_C)+(A10_D_L6*Sombra_D)+(A10_Y_L6*Sombra_Y))*Inflación_10</f>
        <v>0</v>
      </c>
      <c r="Q32" s="101">
        <f>SUMIFS('9'!$E:$E,'9'!$A:$A,Año_Inicial+9,'9'!$B:$B,'12'!P$4,'9'!$D:$D,"Manejo de sombra")</f>
        <v>0</v>
      </c>
      <c r="R32" s="101">
        <f>((A10_A_L7*Sombra_A)+(A10_B_L7*Sombra_B)+(A10_C_L7*Sombra_C)+(A10_D_L7*Sombra_D)+(A10_Y_L7*Sombra_Y))*Inflación_10</f>
        <v>0</v>
      </c>
      <c r="S32" s="101">
        <f>SUMIFS('9'!$E:$E,'9'!$A:$A,Año_Inicial+9,'9'!$B:$B,'12'!R$4,'9'!$D:$D,"Manejo de sombra")</f>
        <v>0</v>
      </c>
      <c r="T32" s="101">
        <f>((A10_A_L8*Sombra_A)+(A10_B_L8*Sombra_B)+(A10_C_L8*Sombra_C)+(A10_D_L8*Sombra_D)+(A10_Y_L8*Sombra_Y))*Inflación_10</f>
        <v>0</v>
      </c>
      <c r="U32" s="101">
        <f>SUMIFS('9'!$E:$E,'9'!$A:$A,Año_Inicial+9,'9'!$B:$B,'12'!T$4,'9'!$D:$D,"Manejo de sombra")</f>
        <v>0</v>
      </c>
      <c r="V32" s="101">
        <f>((A10_A_L9*Sombra_A)+(A10_B_L9*Sombra_B)+(A10_C_L9*Sombra_C)+(A10_D_L9*Sombra_D)+(A10_Y_L9*Sombra_Y))*Inflación_10</f>
        <v>0</v>
      </c>
      <c r="W32" s="101">
        <f>SUMIFS('9'!$E:$E,'9'!$A:$A,Año_Inicial+9,'9'!$B:$B,'12'!V$4,'9'!$D:$D,"Manejo de sombra")</f>
        <v>0</v>
      </c>
      <c r="X32" s="101">
        <f>((A10_A_L10*Sombra_A)+(A10_B_L10*Sombra_B)+(A10_C_L10*Sombra_C)+(A10_D_L10*Sombra_D)+(A10_Y_L10*Sombra_Y))*Inflación_10</f>
        <v>0</v>
      </c>
      <c r="Y32" s="101">
        <f>SUMIFS('9'!$E:$E,'9'!$A:$A,Año_Inicial+9,'9'!$B:$B,'12'!X$4,'9'!$D:$D,"Manejo de sombra")</f>
        <v>0</v>
      </c>
      <c r="Z32" s="101">
        <f>((A10_A_L11*Sombra_A)+(A10_B_L11*Sombra_B)+(A10_C_L11*Sombra_C)+(A10_D_L11*Sombra_D)+(A10_Y_L11*Sombra_Y))*Inflación_10</f>
        <v>0</v>
      </c>
      <c r="AA32" s="101">
        <f>SUMIFS('9'!$E:$E,'9'!$A:$A,Año_Inicial+9,'9'!$B:$B,'12'!Z$4,'9'!$D:$D,"Manejo de sombra")</f>
        <v>0</v>
      </c>
      <c r="AB32" s="101">
        <f>((A10_A_L12*Sombra_A)+(A10_B_L12*Sombra_B)+(A10_C_L12*Sombra_C)+(A10_D_L12*Sombra_D)+(A10_Y_L12*Sombra_Y))*Inflación_10</f>
        <v>0</v>
      </c>
      <c r="AC32" s="101">
        <f>SUMIFS('9'!$E:$E,'9'!$A:$A,Año_Inicial+9,'9'!$B:$B,'12'!AB$4,'9'!$D:$D,"Manejo de sombra")</f>
        <v>0</v>
      </c>
      <c r="AD32" s="101">
        <f>((A10_A_L13*Sombra_A)+(A10_B_L13*Sombra_B)+(A10_C_L13*Sombra_C)+(A10_D_L13*Sombra_D)+(A10_Y_L13*Sombra_Y))*Inflación_10</f>
        <v>0</v>
      </c>
      <c r="AE32" s="101">
        <f>SUMIFS('9'!$E:$E,'9'!$A:$A,Año_Inicial+9,'9'!$B:$B,'12'!AD$4,'9'!$D:$D,"Manejo de sombra")</f>
        <v>0</v>
      </c>
      <c r="AF32" s="101">
        <f>((A10_A_L14*Sombra_A)+(A10_B_L14*Sombra_B)+(A10_C_L14*Sombra_C)+(A10_D_L14*Sombra_D)+(A10_Y_L14*Sombra_Y))*Inflación_10</f>
        <v>0</v>
      </c>
      <c r="AG32" s="101">
        <f>SUMIFS('9'!$E:$E,'9'!$A:$A,Año_Inicial+9,'9'!$B:$B,'12'!AF$4,'9'!$D:$D,"Manejo de sombra")</f>
        <v>0</v>
      </c>
      <c r="AH32" s="101">
        <f>((A10_A_L15*Sombra_A)+(A10_B_L15*Sombra_B)+(A10_C_L15*Sombra_C)+(A10_D_L15*Sombra_D)+(A10_Y_L15*Sombra_Y))*Inflación_10</f>
        <v>0</v>
      </c>
      <c r="AI32" s="101">
        <f>SUMIFS('9'!$E:$E,'9'!$A:$A,Año_Inicial+9,'9'!$B:$B,'12'!AH$4,'9'!$D:$D,"Manejo de sombra")</f>
        <v>0</v>
      </c>
      <c r="AJ32" s="101">
        <f>((A10_A_L16*Sombra_A)+(A10_B_L16*Sombra_B)+(A10_C_L16*Sombra_C)+(A10_D_L16*Sombra_D)+(A10_Y_L16*Sombra_Y))*Inflación_10</f>
        <v>0</v>
      </c>
      <c r="AK32" s="101">
        <f>SUMIFS('9'!$E:$E,'9'!$A:$A,Año_Inicial+9,'9'!$B:$B,'12'!AJ$4,'9'!$D:$D,"Manejo de sombra")</f>
        <v>0</v>
      </c>
      <c r="AL32" s="101">
        <f>((A10_A_L17*Sombra_A)+(A10_B_L17*Sombra_B)+(A10_C_L17*Sombra_C)+(A10_D_L17*Sombra_D)+(A10_Y_L17*Sombra_Y))*Inflación_10</f>
        <v>0</v>
      </c>
      <c r="AM32" s="101">
        <f>SUMIFS('9'!$E:$E,'9'!$A:$A,Año_Inicial+9,'9'!$B:$B,'12'!AL$4,'9'!$D:$D,"Manejo de sombra")</f>
        <v>0</v>
      </c>
      <c r="AN32" s="101">
        <f>((A10_A_L18*Sombra_A)+(A10_B_L18*Sombra_B)+(A10_C_L18*Sombra_C)+(A10_D_L18*Sombra_D)+(A10_Y_L18*Sombra_Y))*Inflación_10</f>
        <v>0</v>
      </c>
      <c r="AO32" s="101">
        <f>SUMIFS('9'!$E:$E,'9'!$A:$A,Año_Inicial+9,'9'!$B:$B,'12'!AN$4,'9'!$D:$D,"Manejo de sombra")</f>
        <v>0</v>
      </c>
      <c r="AP32" s="101">
        <f>((A10_A_L19*Sombra_A)+(A10_B_L19*Sombra_B)+(A10_C_L19*Sombra_C)+(A10_D_L19*Sombra_D)+(A10_Y_L19*Sombra_Y))*Inflación_10</f>
        <v>0</v>
      </c>
      <c r="AQ32" s="101">
        <f>SUMIFS('9'!$E:$E,'9'!$A:$A,Año_Inicial+9,'9'!$B:$B,'12'!AP$4,'9'!$D:$D,"Manejo de sombra")</f>
        <v>0</v>
      </c>
      <c r="AR32" s="101">
        <f>((A10_A_L20*Sombra_A)+(A10_B_L20*Sombra_B)+(A10_C_L20*Sombra_C)+(A10_D_L20*Sombra_D)+(A10_Y_L20*Sombra_Y))*Inflación_10</f>
        <v>0</v>
      </c>
      <c r="AS32" s="101">
        <f>SUMIFS('9'!$E:$E,'9'!$A:$A,Año_Inicial+9,'9'!$B:$B,'12'!AR$4,'9'!$D:$D,"Manejo de sombra")</f>
        <v>0</v>
      </c>
      <c r="AT32" s="101">
        <f>((A10_A_L21*Sombra_A)+(A10_B_L21*Sombra_B)+(A10_C_L21*Sombra_C)+(A10_D_L21*Sombra_D)+(A10_Y_L21*Sombra_Y))*Inflación_10</f>
        <v>0</v>
      </c>
      <c r="AU32" s="101">
        <f>SUMIFS('9'!$E:$E,'9'!$A:$A,Año_Inicial+9,'9'!$B:$B,'12'!AT$4,'9'!$D:$D,"Manejo de sombra")</f>
        <v>0</v>
      </c>
      <c r="AV32" s="101">
        <f>((A10_A_L22*Sombra_A)+(A10_B_L22*Sombra_B)+(A10_C_L22*Sombra_C)+(A10_D_L22*Sombra_D)+(A10_Y_L22*Sombra_Y))*Inflación_10</f>
        <v>0</v>
      </c>
      <c r="AW32" s="101">
        <f>SUMIFS('9'!$E:$E,'9'!$A:$A,Año_Inicial+9,'9'!$B:$B,'12'!AV$4,'9'!$D:$D,"Manejo de sombra")</f>
        <v>0</v>
      </c>
      <c r="AX32" s="101">
        <f>((A10_A_L23*Sombra_A)+(A10_B_L23*Sombra_B)+(A10_C_L23*Sombra_C)+(A10_D_L23*Sombra_D)+(A10_Y_L23*Sombra_Y))*Inflación_10</f>
        <v>0</v>
      </c>
      <c r="AY32" s="101">
        <f>SUMIFS('9'!$E:$E,'9'!$A:$A,Año_Inicial+9,'9'!$B:$B,'12'!AX$4,'9'!$D:$D,"Manejo de sombra")</f>
        <v>0</v>
      </c>
      <c r="AZ32" s="101">
        <f>((A10_A_L24*Sombra_A)+(A10_B_L24*Sombra_B)+(A10_C_L24*Sombra_C)+(A10_D_L24*Sombra_D)+(A10_Y_L24*Sombra_Y))*Inflación_10</f>
        <v>0</v>
      </c>
      <c r="BA32" s="101">
        <f>SUMIFS('9'!$E:$E,'9'!$A:$A,Año_Inicial+9,'9'!$B:$B,'12'!AZ$4,'9'!$D:$D,"Manejo de sombra")</f>
        <v>0</v>
      </c>
      <c r="BB32" s="101">
        <f>((A10_A_L25*Sombra_A)+(A10_B_L25*Sombra_B)+(A10_C_L25*Sombra_C)+(A10_D_L25*Sombra_D)+(A10_Y_L25*Sombra_Y))*Inflación_10</f>
        <v>0</v>
      </c>
      <c r="BC32" s="101">
        <f>SUMIFS('9'!$E:$E,'9'!$A:$A,Año_Inicial+9,'9'!$B:$B,'12'!BB$4,'9'!$D:$D,"Manejo de sombra")</f>
        <v>0</v>
      </c>
      <c r="BD32" s="101">
        <f>((A10_A_L26*Sombra_A)+(A10_B_L26*Sombra_B)+(A10_C_L26*Sombra_C)+(A10_D_L26*Sombra_D)+(A10_Y_L26*Sombra_Y))*Inflación_10</f>
        <v>0</v>
      </c>
      <c r="BE32" s="101">
        <f>SUMIFS('9'!$E:$E,'9'!$A:$A,Año_Inicial+9,'9'!$B:$B,'12'!BD$4,'9'!$D:$D,"Manejo de sombra")</f>
        <v>0</v>
      </c>
      <c r="BF32" s="101">
        <f>((A10_A_L27*Sombra_A)+(A10_B_L27*Sombra_B)+(A10_C_L27*Sombra_C)+(A10_D_L27*Sombra_D)+(A10_Y_L27*Sombra_Y))*Inflación_10</f>
        <v>0</v>
      </c>
      <c r="BG32" s="101">
        <f>SUMIFS('9'!$E:$E,'9'!$A:$A,Año_Inicial+9,'9'!$B:$B,'12'!BF$4,'9'!$D:$D,"Manejo de sombra")</f>
        <v>0</v>
      </c>
      <c r="BH32" s="101">
        <f>((A10_A_L28*Sombra_A)+(A10_B_L28*Sombra_B)+(A10_C_L28*Sombra_C)+(A10_D_L28*Sombra_D)+(A10_Y_L28*Sombra_Y))*Inflación_10</f>
        <v>0</v>
      </c>
      <c r="BI32" s="101">
        <f>SUMIFS('9'!$E:$E,'9'!$A:$A,Año_Inicial+9,'9'!$B:$B,'12'!BH$4,'9'!$D:$D,"Manejo de sombra")</f>
        <v>0</v>
      </c>
      <c r="BJ32" s="101">
        <f>((A10_A_L29*Sombra_A)+(A10_B_L29*Sombra_B)+(A10_C_L29*Sombra_C)+(A10_D_L29*Sombra_D)+(A10_Y_L29*Sombra_Y))*Inflación_10</f>
        <v>0</v>
      </c>
      <c r="BK32" s="101">
        <f>SUMIFS('9'!$E:$E,'9'!$A:$A,Año_Inicial+9,'9'!$B:$B,'12'!BJ$4,'9'!$D:$D,"Manejo de sombra")</f>
        <v>0</v>
      </c>
      <c r="BL32" s="101">
        <f>((A10_A_L30*Sombra_A)+(A10_B_L30*Sombra_B)+(A10_C_L30*Sombra_C)+(A10_D_L30*Sombra_D)+(A10_Y_L30*Sombra_Y))*Inflación_10</f>
        <v>0</v>
      </c>
      <c r="BM32" s="101">
        <f>SUMIFS('9'!$E:$E,'9'!$A:$A,Año_Inicial+9,'9'!$B:$B,'12'!BL$4,'9'!$D:$D,"Manejo de sombra")</f>
        <v>0</v>
      </c>
      <c r="BN32" s="101">
        <f>((A10_A_L31*Sombra_A)+(A10_B_L31*Sombra_B)+(A10_C_L31*Sombra_C)+(A10_D_L31*Sombra_D)+(A10_Y_L31*Sombra_Y))*Inflación_10</f>
        <v>0</v>
      </c>
      <c r="BO32" s="101">
        <f>SUMIFS('9'!$E:$E,'9'!$A:$A,Año_Inicial+9,'9'!$B:$B,'12'!BN$4,'9'!$D:$D,"Manejo de sombra")</f>
        <v>0</v>
      </c>
      <c r="BP32" s="101">
        <f>((A10_A_L32*Sombra_A)+(A10_B_L32*Sombra_B)+(A10_C_L32*Sombra_C)+(A10_D_L32*Sombra_D)+(A10_Y_L32*Sombra_Y))*Inflación_10</f>
        <v>0</v>
      </c>
      <c r="BQ32" s="101">
        <f>SUMIFS('9'!$E:$E,'9'!$A:$A,Año_Inicial+9,'9'!$B:$B,'12'!BP$4,'9'!$D:$D,"Manejo de sombra")</f>
        <v>0</v>
      </c>
      <c r="BR32" s="101">
        <f>((A10_A_L33*Sombra_A)+(A10_B_L33*Sombra_B)+(A10_C_L33*Sombra_C)+(A10_D_L33*Sombra_D)+(A10_Y_L33*Sombra_Y))*Inflación_10</f>
        <v>0</v>
      </c>
      <c r="BS32" s="101">
        <f>SUMIFS('9'!$E:$E,'9'!$A:$A,Año_Inicial+9,'9'!$B:$B,'12'!BR$4,'9'!$D:$D,"Manejo de sombra")</f>
        <v>0</v>
      </c>
      <c r="BT32" s="101">
        <f>((A10_A_L34*Sombra_A)+(A10_B_L34*Sombra_B)+(A10_C_L34*Sombra_C)+(A10_D_L34*Sombra_D)+(A10_Y_L34*Sombra_Y))*Inflación_10</f>
        <v>0</v>
      </c>
      <c r="BU32" s="101">
        <f>SUMIFS('9'!$E:$E,'9'!$A:$A,Año_Inicial+9,'9'!$B:$B,'12'!BT$4,'9'!$D:$D,"Manejo de sombra")</f>
        <v>0</v>
      </c>
      <c r="BV32" s="101">
        <f>((A10_A_L35*Sombra_A)+(A10_B_L35*Sombra_B)+(A10_C_L35*Sombra_C)+(A10_D_L35*Sombra_D)+(A10_Y_L35*Sombra_Y))*Inflación_10</f>
        <v>0</v>
      </c>
      <c r="BW32" s="101">
        <f>SUMIFS('9'!$E:$E,'9'!$A:$A,Año_Inicial+9,'9'!$B:$B,'12'!BV$4,'9'!$D:$D,"Manejo de sombra")</f>
        <v>0</v>
      </c>
      <c r="BX32" s="101">
        <f>((A10_A_L36*Sombra_A)+(A10_B_L36*Sombra_B)+(A10_C_L36*Sombra_C)+(A10_D_L36*Sombra_D)+(A10_Y_L36*Sombra_Y))*Inflación_10</f>
        <v>0</v>
      </c>
      <c r="BY32" s="101">
        <f>SUMIFS('9'!$E:$E,'9'!$A:$A,Año_Inicial+9,'9'!$B:$B,'12'!BX$4,'9'!$D:$D,"Manejo de sombra")</f>
        <v>0</v>
      </c>
      <c r="BZ32" s="101">
        <f>((A10_A_L37*Sombra_A)+(A10_B_L37*Sombra_B)+(A10_C_L37*Sombra_C)+(A10_D_L37*Sombra_D)+(A10_Y_L37*Sombra_Y))*Inflación_10</f>
        <v>0</v>
      </c>
      <c r="CA32" s="101">
        <f>SUMIFS('9'!$E:$E,'9'!$A:$A,Año_Inicial+9,'9'!$B:$B,'12'!BZ$4,'9'!$D:$D,"Manejo de sombra")</f>
        <v>0</v>
      </c>
      <c r="CB32" s="101">
        <f>((A10_A_L38*Sombra_A)+(A10_B_L38*Sombra_B)+(A10_C_L38*Sombra_C)+(A10_D_L38*Sombra_D)+(A10_Y_L38*Sombra_Y))*Inflación_10</f>
        <v>0</v>
      </c>
      <c r="CC32" s="101">
        <f>SUMIFS('9'!$E:$E,'9'!$A:$A,Año_Inicial+9,'9'!$B:$B,'12'!CB$4,'9'!$D:$D,"Manejo de sombra")</f>
        <v>0</v>
      </c>
      <c r="CD32" s="101">
        <f>((A10_A_L39*Sombra_A)+(A10_B_L39*Sombra_B)+(A10_C_L39*Sombra_C)+(A10_D_L39*Sombra_D)+(A10_Y_L39*Sombra_Y))*Inflación_10</f>
        <v>0</v>
      </c>
      <c r="CE32" s="101">
        <f>SUMIFS('9'!$E:$E,'9'!$A:$A,Año_Inicial+9,'9'!$B:$B,'12'!CD$4,'9'!$D:$D,"Manejo de sombra")</f>
        <v>0</v>
      </c>
      <c r="CF32" s="101">
        <f>((A10_A_L40*Sombra_A)+(A10_B_L40*Sombra_B)+(A10_C_L40*Sombra_C)+(A10_D_L40*Sombra_D)+(A10_Y_L40*Sombra_Y))*Inflación_10</f>
        <v>0</v>
      </c>
      <c r="CG32" s="101">
        <f>SUMIFS('9'!$E:$E,'9'!$A:$A,Año_Inicial+9,'9'!$B:$B,'12'!CF$4,'9'!$D:$D,"Manejo de sombra")</f>
        <v>0</v>
      </c>
      <c r="CH32" s="473"/>
      <c r="CI32" s="101">
        <f>Plantas_A_A10*Sombra_A*Inflación_10</f>
        <v>0</v>
      </c>
      <c r="CJ32" s="101">
        <f>Plantas_B_A10*Sombra_B</f>
        <v>0</v>
      </c>
      <c r="CK32" s="101">
        <f>Plantas_C_A10*Sombra_C</f>
        <v>0</v>
      </c>
      <c r="CL32" s="101">
        <f>Plantas_D_A10*Sombra_D</f>
        <v>0</v>
      </c>
      <c r="CM32" s="101"/>
      <c r="CN32" s="101">
        <f>Plantas_Y_A10*Sombra_Y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SUMIFS('9'!$E:$E,'9'!$A:$A,Año_Inicial+9,'9'!$D:$D,"Conservación de suelos")</f>
        <v>0</v>
      </c>
      <c r="D33" s="100">
        <f t="shared" si="45"/>
        <v>0</v>
      </c>
      <c r="E33" s="473"/>
      <c r="F33" s="101">
        <f>((A10_A_L1*Conservación_A)+(A10_B_L1*Conservación_B)+(A10_C_L1*Conservación_C)+(A10_D_L1*Conservación_D)+(A10_Y_L1*Conservación_Y))*Inflación_10</f>
        <v>0</v>
      </c>
      <c r="G33" s="101">
        <f>SUMIFS('9'!$E:$E,'9'!$A:$A,Año_Inicial+9,'9'!$B:$B,'12'!F$4,'9'!$D:$D,"Conservación de suelos")</f>
        <v>0</v>
      </c>
      <c r="H33" s="101">
        <f>((A10_A_L2*Conservación_A)+(A10_B_L2*Conservación_B)+(A10_C_L2*Conservación_C)+(A10_D_L2*Conservación_D)+(A10_Y_L2*Conservación_Y))*Inflación_10</f>
        <v>0</v>
      </c>
      <c r="I33" s="101">
        <f>SUMIFS('9'!$E:$E,'9'!$A:$A,Año_Inicial+9,'9'!$B:$B,'12'!H$4,'9'!$D:$D,"Conservación de suelos")</f>
        <v>0</v>
      </c>
      <c r="J33" s="101">
        <f>((A10_A_L3*Conservación_A)+(A10_B_L3*Conservación_B)+(A10_C_L3*Conservación_C)+(A10_D_L3*Conservación_D)+(A10_Y_L3*Conservación_Y))*Inflación_10</f>
        <v>0</v>
      </c>
      <c r="K33" s="101">
        <f>SUMIFS('9'!$E:$E,'9'!$A:$A,Año_Inicial+9,'9'!$B:$B,'12'!J$4,'9'!$D:$D,"Conservación de suelos")</f>
        <v>0</v>
      </c>
      <c r="L33" s="101">
        <f>((A10_A_L4*Conservación_A)+(A10_B_L4*Conservación_B)+(A10_C_L4*Conservación_C)+(A10_D_L4*Conservación_D)+(A10_Y_L4*Conservación_Y))*Inflación_10</f>
        <v>0</v>
      </c>
      <c r="M33" s="101">
        <f>SUMIFS('9'!$E:$E,'9'!$A:$A,Año_Inicial+9,'9'!$B:$B,'12'!L$4,'9'!$D:$D,"Conservación de suelos")</f>
        <v>0</v>
      </c>
      <c r="N33" s="101">
        <f>((A10_A_L5*Conservación_A)+(A10_B_L5*Conservación_B)+(A10_C_L5*Conservación_C)+(A10_D_L5*Conservación_D)+(A10_Y_L5*Conservación_Y))*Inflación_10</f>
        <v>0</v>
      </c>
      <c r="O33" s="101">
        <f>SUMIFS('9'!$E:$E,'9'!$A:$A,Año_Inicial+9,'9'!$B:$B,'12'!N$4,'9'!$D:$D,"Conservación de suelos")</f>
        <v>0</v>
      </c>
      <c r="P33" s="101">
        <f>((A10_A_L6*Conservación_A)+(A10_B_L6*Conservación_B)+(A10_C_L6*Conservación_C)+(A10_D_L6*Conservación_D)+(A10_Y_L6*Conservación_Y))*Inflación_10</f>
        <v>0</v>
      </c>
      <c r="Q33" s="101">
        <f>SUMIFS('9'!$E:$E,'9'!$A:$A,Año_Inicial+9,'9'!$B:$B,'12'!P$4,'9'!$D:$D,"Conservación de suelos")</f>
        <v>0</v>
      </c>
      <c r="R33" s="101">
        <f>((A10_A_L7*Conservación_A)+(A10_B_L7*Conservación_B)+(A10_C_L7*Conservación_C)+(A10_D_L7*Conservación_D)+(A10_Y_L7*Conservación_Y))*Inflación_10</f>
        <v>0</v>
      </c>
      <c r="S33" s="101">
        <f>SUMIFS('9'!$E:$E,'9'!$A:$A,Año_Inicial+9,'9'!$B:$B,'12'!R$4,'9'!$D:$D,"Conservación de suelos")</f>
        <v>0</v>
      </c>
      <c r="T33" s="101">
        <f>((A10_A_L8*Conservación_A)+(A10_B_L8*Conservación_B)+(A10_C_L8*Conservación_C)+(A10_D_L8*Conservación_D)+(A10_Y_L8*Conservación_Y))*Inflación_10</f>
        <v>0</v>
      </c>
      <c r="U33" s="101">
        <f>SUMIFS('9'!$E:$E,'9'!$A:$A,Año_Inicial+9,'9'!$B:$B,'12'!T$4,'9'!$D:$D,"Conservación de suelos")</f>
        <v>0</v>
      </c>
      <c r="V33" s="101">
        <f>((A10_A_L9*Conservación_A)+(A10_B_L9*Conservación_B)+(A10_C_L9*Conservación_C)+(A10_D_L9*Conservación_D)+(A10_Y_L9*Conservación_Y))*Inflación_10</f>
        <v>0</v>
      </c>
      <c r="W33" s="101">
        <f>SUMIFS('9'!$E:$E,'9'!$A:$A,Año_Inicial+9,'9'!$B:$B,'12'!V$4,'9'!$D:$D,"Conservación de suelos")</f>
        <v>0</v>
      </c>
      <c r="X33" s="101">
        <f>((A10_A_L10*Conservación_A)+(A10_B_L10*Conservación_B)+(A10_C_L10*Conservación_C)+(A10_D_L10*Conservación_D)+(A10_Y_L10*Conservación_Y))*Inflación_10</f>
        <v>0</v>
      </c>
      <c r="Y33" s="101">
        <f>SUMIFS('9'!$E:$E,'9'!$A:$A,Año_Inicial+9,'9'!$B:$B,'12'!X$4,'9'!$D:$D,"Conservación de suelos")</f>
        <v>0</v>
      </c>
      <c r="Z33" s="101">
        <f>((A10_A_L11*Conservación_A)+(A10_B_L11*Conservación_B)+(A10_C_L11*Conservación_C)+(A10_D_L11*Conservación_D)+(A10_Y_L11*Conservación_Y))*Inflación_10</f>
        <v>0</v>
      </c>
      <c r="AA33" s="101">
        <f>SUMIFS('9'!$E:$E,'9'!$A:$A,Año_Inicial+9,'9'!$B:$B,'12'!Z$4,'9'!$D:$D,"Conservación de suelos")</f>
        <v>0</v>
      </c>
      <c r="AB33" s="101">
        <f>((A10_A_L12*Conservación_A)+(A10_B_L12*Conservación_B)+(A10_C_L12*Conservación_C)+(A10_D_L12*Conservación_D)+(A10_Y_L12*Conservación_Y))*Inflación_10</f>
        <v>0</v>
      </c>
      <c r="AC33" s="101">
        <f>SUMIFS('9'!$E:$E,'9'!$A:$A,Año_Inicial+9,'9'!$B:$B,'12'!AB$4,'9'!$D:$D,"Conservación de suelos")</f>
        <v>0</v>
      </c>
      <c r="AD33" s="101">
        <f>((A10_A_L13*Conservación_A)+(A10_B_L13*Conservación_B)+(A10_C_L13*Conservación_C)+(A10_D_L13*Conservación_D)+(A10_Y_L13*Conservación_Y))*Inflación_10</f>
        <v>0</v>
      </c>
      <c r="AE33" s="101">
        <f>SUMIFS('9'!$E:$E,'9'!$A:$A,Año_Inicial+9,'9'!$B:$B,'12'!AD$4,'9'!$D:$D,"Conservación de suelos")</f>
        <v>0</v>
      </c>
      <c r="AF33" s="101">
        <f>((A10_A_L14*Conservación_A)+(A10_B_L14*Conservación_B)+(A10_C_L14*Conservación_C)+(A10_D_L14*Conservación_D)+(A10_Y_L14*Conservación_Y))*Inflación_10</f>
        <v>0</v>
      </c>
      <c r="AG33" s="101">
        <f>SUMIFS('9'!$E:$E,'9'!$A:$A,Año_Inicial+9,'9'!$B:$B,'12'!AF$4,'9'!$D:$D,"Conservación de suelos")</f>
        <v>0</v>
      </c>
      <c r="AH33" s="101">
        <f>((A10_A_L15*Conservación_A)+(A10_B_L15*Conservación_B)+(A10_C_L15*Conservación_C)+(A10_D_L15*Conservación_D)+(A10_Y_L15*Conservación_Y))*Inflación_10</f>
        <v>0</v>
      </c>
      <c r="AI33" s="101">
        <f>SUMIFS('9'!$E:$E,'9'!$A:$A,Año_Inicial+9,'9'!$B:$B,'12'!AH$4,'9'!$D:$D,"Conservación de suelos")</f>
        <v>0</v>
      </c>
      <c r="AJ33" s="101">
        <f>((A10_A_L16*Conservación_A)+(A10_B_L16*Conservación_B)+(A10_C_L16*Conservación_C)+(A10_D_L16*Conservación_D)+(A10_Y_L16*Conservación_Y))*Inflación_10</f>
        <v>0</v>
      </c>
      <c r="AK33" s="101">
        <f>SUMIFS('9'!$E:$E,'9'!$A:$A,Año_Inicial+9,'9'!$B:$B,'12'!AJ$4,'9'!$D:$D,"Conservación de suelos")</f>
        <v>0</v>
      </c>
      <c r="AL33" s="101">
        <f>((A10_A_L17*Conservación_A)+(A10_B_L17*Conservación_B)+(A10_C_L17*Conservación_C)+(A10_D_L17*Conservación_D)+(A10_Y_L17*Conservación_Y))*Inflación_10</f>
        <v>0</v>
      </c>
      <c r="AM33" s="101">
        <f>SUMIFS('9'!$E:$E,'9'!$A:$A,Año_Inicial+9,'9'!$B:$B,'12'!AL$4,'9'!$D:$D,"Conservación de suelos")</f>
        <v>0</v>
      </c>
      <c r="AN33" s="101">
        <f>((A10_A_L18*Conservación_A)+(A10_B_L18*Conservación_B)+(A10_C_L18*Conservación_C)+(A10_D_L18*Conservación_D)+(A10_Y_L18*Conservación_Y))*Inflación_10</f>
        <v>0</v>
      </c>
      <c r="AO33" s="101">
        <f>SUMIFS('9'!$E:$E,'9'!$A:$A,Año_Inicial+9,'9'!$B:$B,'12'!AN$4,'9'!$D:$D,"Conservación de suelos")</f>
        <v>0</v>
      </c>
      <c r="AP33" s="101">
        <f>((A10_A_L19*Conservación_A)+(A10_B_L19*Conservación_B)+(A10_C_L19*Conservación_C)+(A10_D_L19*Conservación_D)+(A10_Y_L19*Conservación_Y))*Inflación_10</f>
        <v>0</v>
      </c>
      <c r="AQ33" s="101">
        <f>SUMIFS('9'!$E:$E,'9'!$A:$A,Año_Inicial+9,'9'!$B:$B,'12'!AP$4,'9'!$D:$D,"Conservación de suelos")</f>
        <v>0</v>
      </c>
      <c r="AR33" s="101">
        <f>((A10_A_L20*Conservación_A)+(A10_B_L20*Conservación_B)+(A10_C_L20*Conservación_C)+(A10_D_L20*Conservación_D)+(A10_Y_L20*Conservación_Y))*Inflación_10</f>
        <v>0</v>
      </c>
      <c r="AS33" s="101">
        <f>SUMIFS('9'!$E:$E,'9'!$A:$A,Año_Inicial+9,'9'!$B:$B,'12'!AR$4,'9'!$D:$D,"Conservación de suelos")</f>
        <v>0</v>
      </c>
      <c r="AT33" s="101">
        <f>((A10_A_L21*Conservación_A)+(A10_B_L21*Conservación_B)+(A10_C_L21*Conservación_C)+(A10_D_L21*Conservación_D)+(A10_Y_L21*Conservación_Y))*Inflación_10</f>
        <v>0</v>
      </c>
      <c r="AU33" s="101">
        <f>SUMIFS('9'!$E:$E,'9'!$A:$A,Año_Inicial+9,'9'!$B:$B,'12'!AT$4,'9'!$D:$D,"Conservación de suelos")</f>
        <v>0</v>
      </c>
      <c r="AV33" s="101">
        <f>((A10_A_L22*Conservación_A)+(A10_B_L22*Conservación_B)+(A10_C_L22*Conservación_C)+(A10_D_L22*Conservación_D)+(A10_Y_L22*Conservación_Y))*Inflación_10</f>
        <v>0</v>
      </c>
      <c r="AW33" s="101">
        <f>SUMIFS('9'!$E:$E,'9'!$A:$A,Año_Inicial+9,'9'!$B:$B,'12'!AV$4,'9'!$D:$D,"Conservación de suelos")</f>
        <v>0</v>
      </c>
      <c r="AX33" s="101">
        <f>((A10_A_L23*Conservación_A)+(A10_B_L23*Conservación_B)+(A10_C_L23*Conservación_C)+(A10_D_L23*Conservación_D)+(A10_Y_L23*Conservación_Y))*Inflación_10</f>
        <v>0</v>
      </c>
      <c r="AY33" s="101">
        <f>SUMIFS('9'!$E:$E,'9'!$A:$A,Año_Inicial+9,'9'!$B:$B,'12'!AX$4,'9'!$D:$D,"Conservación de suelos")</f>
        <v>0</v>
      </c>
      <c r="AZ33" s="101">
        <f>((A10_A_L24*Conservación_A)+(A10_B_L24*Conservación_B)+(A10_C_L24*Conservación_C)+(A10_D_L24*Conservación_D)+(A10_Y_L24*Conservación_Y))*Inflación_10</f>
        <v>0</v>
      </c>
      <c r="BA33" s="101">
        <f>SUMIFS('9'!$E:$E,'9'!$A:$A,Año_Inicial+9,'9'!$B:$B,'12'!AZ$4,'9'!$D:$D,"Conservación de suelos")</f>
        <v>0</v>
      </c>
      <c r="BB33" s="101">
        <f>((A10_A_L25*Conservación_A)+(A10_B_L25*Conservación_B)+(A10_C_L25*Conservación_C)+(A10_D_L25*Conservación_D)+(A10_Y_L25*Conservación_Y))*Inflación_10</f>
        <v>0</v>
      </c>
      <c r="BC33" s="101">
        <f>SUMIFS('9'!$E:$E,'9'!$A:$A,Año_Inicial+9,'9'!$B:$B,'12'!BB$4,'9'!$D:$D,"Conservación de suelos")</f>
        <v>0</v>
      </c>
      <c r="BD33" s="101">
        <f>((A10_A_L26*Conservación_A)+(A10_B_L26*Conservación_B)+(A10_C_L26*Conservación_C)+(A10_D_L26*Conservación_D)+(A10_Y_L26*Conservación_Y))*Inflación_10</f>
        <v>0</v>
      </c>
      <c r="BE33" s="101">
        <f>SUMIFS('9'!$E:$E,'9'!$A:$A,Año_Inicial+9,'9'!$B:$B,'12'!BD$4,'9'!$D:$D,"Conservación de suelos")</f>
        <v>0</v>
      </c>
      <c r="BF33" s="101">
        <f>((A10_A_L27*Conservación_A)+(A10_B_L27*Conservación_B)+(A10_C_L27*Conservación_C)+(A10_D_L27*Conservación_D)+(A10_Y_L27*Conservación_Y))*Inflación_10</f>
        <v>0</v>
      </c>
      <c r="BG33" s="101">
        <f>SUMIFS('9'!$E:$E,'9'!$A:$A,Año_Inicial+9,'9'!$B:$B,'12'!BF$4,'9'!$D:$D,"Conservación de suelos")</f>
        <v>0</v>
      </c>
      <c r="BH33" s="101">
        <f>((A10_A_L28*Conservación_A)+(A10_B_L28*Conservación_B)+(A10_C_L28*Conservación_C)+(A10_D_L28*Conservación_D)+(A10_Y_L28*Conservación_Y))*Inflación_10</f>
        <v>0</v>
      </c>
      <c r="BI33" s="101">
        <f>SUMIFS('9'!$E:$E,'9'!$A:$A,Año_Inicial+9,'9'!$B:$B,'12'!BH$4,'9'!$D:$D,"Conservación de suelos")</f>
        <v>0</v>
      </c>
      <c r="BJ33" s="101">
        <f>((A10_A_L29*Conservación_A)+(A10_B_L29*Conservación_B)+(A10_C_L29*Conservación_C)+(A10_D_L29*Conservación_D)+(A10_Y_L29*Conservación_Y))*Inflación_10</f>
        <v>0</v>
      </c>
      <c r="BK33" s="101">
        <f>SUMIFS('9'!$E:$E,'9'!$A:$A,Año_Inicial+9,'9'!$B:$B,'12'!BJ$4,'9'!$D:$D,"Conservación de suelos")</f>
        <v>0</v>
      </c>
      <c r="BL33" s="101">
        <f>((A10_A_L30*Conservación_A)+(A10_B_L30*Conservación_B)+(A10_C_L30*Conservación_C)+(A10_D_L30*Conservación_D)+(A10_Y_L30*Conservación_Y))*Inflación_10</f>
        <v>0</v>
      </c>
      <c r="BM33" s="101">
        <f>SUMIFS('9'!$E:$E,'9'!$A:$A,Año_Inicial+9,'9'!$B:$B,'12'!BL$4,'9'!$D:$D,"Conservación de suelos")</f>
        <v>0</v>
      </c>
      <c r="BN33" s="101">
        <f>((A10_A_L31*Conservación_A)+(A10_B_L31*Conservación_B)+(A10_C_L31*Conservación_C)+(A10_D_L31*Conservación_D)+(A10_Y_L31*Conservación_Y))*Inflación_10</f>
        <v>0</v>
      </c>
      <c r="BO33" s="101">
        <f>SUMIFS('9'!$E:$E,'9'!$A:$A,Año_Inicial+9,'9'!$B:$B,'12'!BN$4,'9'!$D:$D,"Conservación de suelos")</f>
        <v>0</v>
      </c>
      <c r="BP33" s="101">
        <f>((A10_A_L32*Conservación_A)+(A10_B_L32*Conservación_B)+(A10_C_L32*Conservación_C)+(A10_D_L32*Conservación_D)+(A10_Y_L32*Conservación_Y))*Inflación_10</f>
        <v>0</v>
      </c>
      <c r="BQ33" s="101">
        <f>SUMIFS('9'!$E:$E,'9'!$A:$A,Año_Inicial+9,'9'!$B:$B,'12'!BP$4,'9'!$D:$D,"Conservación de suelos")</f>
        <v>0</v>
      </c>
      <c r="BR33" s="101">
        <f>((A10_A_L33*Conservación_A)+(A10_B_L33*Conservación_B)+(A10_C_L33*Conservación_C)+(A10_D_L33*Conservación_D)+(A10_Y_L33*Conservación_Y))*Inflación_10</f>
        <v>0</v>
      </c>
      <c r="BS33" s="101">
        <f>SUMIFS('9'!$E:$E,'9'!$A:$A,Año_Inicial+9,'9'!$B:$B,'12'!BR$4,'9'!$D:$D,"Conservación de suelos")</f>
        <v>0</v>
      </c>
      <c r="BT33" s="101">
        <f>((A10_A_L34*Conservación_A)+(A10_B_L34*Conservación_B)+(A10_C_L34*Conservación_C)+(A10_D_L34*Conservación_D)+(A10_Y_L34*Conservación_Y))*Inflación_10</f>
        <v>0</v>
      </c>
      <c r="BU33" s="101">
        <f>SUMIFS('9'!$E:$E,'9'!$A:$A,Año_Inicial+9,'9'!$B:$B,'12'!BT$4,'9'!$D:$D,"Conservación de suelos")</f>
        <v>0</v>
      </c>
      <c r="BV33" s="101">
        <f>((A10_A_L35*Conservación_A)+(A10_B_L35*Conservación_B)+(A10_C_L35*Conservación_C)+(A10_D_L35*Conservación_D)+(A10_Y_L35*Conservación_Y))*Inflación_10</f>
        <v>0</v>
      </c>
      <c r="BW33" s="101">
        <f>SUMIFS('9'!$E:$E,'9'!$A:$A,Año_Inicial+9,'9'!$B:$B,'12'!BV$4,'9'!$D:$D,"Conservación de suelos")</f>
        <v>0</v>
      </c>
      <c r="BX33" s="101">
        <f>((A10_A_L36*Conservación_A)+(A10_B_L36*Conservación_B)+(A10_C_L36*Conservación_C)+(A10_D_L36*Conservación_D)+(A10_Y_L36*Conservación_Y))*Inflación_10</f>
        <v>0</v>
      </c>
      <c r="BY33" s="101">
        <f>SUMIFS('9'!$E:$E,'9'!$A:$A,Año_Inicial+9,'9'!$B:$B,'12'!BX$4,'9'!$D:$D,"Conservación de suelos")</f>
        <v>0</v>
      </c>
      <c r="BZ33" s="101">
        <f>((A10_A_L37*Conservación_A)+(A10_B_L37*Conservación_B)+(A10_C_L37*Conservación_C)+(A10_D_L37*Conservación_D)+(A10_Y_L37*Conservación_Y))*Inflación_10</f>
        <v>0</v>
      </c>
      <c r="CA33" s="101">
        <f>SUMIFS('9'!$E:$E,'9'!$A:$A,Año_Inicial+9,'9'!$B:$B,'12'!BZ$4,'9'!$D:$D,"Conservación de suelos")</f>
        <v>0</v>
      </c>
      <c r="CB33" s="101">
        <f>((A10_A_L38*Conservación_A)+(A10_B_L38*Conservación_B)+(A10_C_L38*Conservación_C)+(A10_D_L38*Conservación_D)+(A10_Y_L38*Conservación_Y))*Inflación_10</f>
        <v>0</v>
      </c>
      <c r="CC33" s="101">
        <f>SUMIFS('9'!$E:$E,'9'!$A:$A,Año_Inicial+9,'9'!$B:$B,'12'!CB$4,'9'!$D:$D,"Conservación de suelos")</f>
        <v>0</v>
      </c>
      <c r="CD33" s="101">
        <f>((A10_A_L39*Conservación_A)+(A10_B_L39*Conservación_B)+(A10_C_L39*Conservación_C)+(A10_D_L39*Conservación_D)+(A10_Y_L39*Conservación_Y))*Inflación_10</f>
        <v>0</v>
      </c>
      <c r="CE33" s="101">
        <f>SUMIFS('9'!$E:$E,'9'!$A:$A,Año_Inicial+9,'9'!$B:$B,'12'!CD$4,'9'!$D:$D,"Conservación de suelos")</f>
        <v>0</v>
      </c>
      <c r="CF33" s="101">
        <f>((A10_A_L40*Conservación_A)+(A10_B_L40*Conservación_B)+(A10_C_L40*Conservación_C)+(A10_D_L40*Conservación_D)+(A10_Y_L40*Conservación_Y))*Inflación_10</f>
        <v>0</v>
      </c>
      <c r="CG33" s="101">
        <f>SUMIFS('9'!$E:$E,'9'!$A:$A,Año_Inicial+9,'9'!$B:$B,'12'!CF$4,'9'!$D:$D,"Conservación de suelos")</f>
        <v>0</v>
      </c>
      <c r="CH33" s="473"/>
      <c r="CI33" s="101">
        <f>Plantas_A_A10*Conservación_A*Inflación_10</f>
        <v>0</v>
      </c>
      <c r="CJ33" s="101">
        <f>Plantas_B_A10*Conservación_B</f>
        <v>0</v>
      </c>
      <c r="CK33" s="101">
        <f>Plantas_C_A10*Conservación_C</f>
        <v>0</v>
      </c>
      <c r="CL33" s="101">
        <f>Plantas_D_A10*Conservación_D</f>
        <v>0</v>
      </c>
      <c r="CM33" s="101"/>
      <c r="CN33" s="101">
        <f>Plantas_Y_A10*Conservación_Y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SUMIFS('9'!$E:$E,'9'!$A:$A,Año_Inicial+9,'9'!$D:$D,"Otras actividades")</f>
        <v>0</v>
      </c>
      <c r="D34" s="100">
        <f t="shared" si="45"/>
        <v>0</v>
      </c>
      <c r="E34" s="473"/>
      <c r="F34" s="101">
        <f>((A10_A_L1*Otras_A)+(A10_B_L1*Otras_B)+(A10_C_L1*Otras_C)+(A10_D_L1*Otras_D)+(A10_Y_L1*Otras_Y))*Inflación_10</f>
        <v>0</v>
      </c>
      <c r="G34" s="101">
        <f>SUMIFS('9'!$E:$E,'9'!$A:$A,Año_Inicial+9,'9'!$B:$B,'12'!F$4,'9'!$D:$D,"Otras actividades")</f>
        <v>0</v>
      </c>
      <c r="H34" s="101">
        <f>((A10_A_L2*Otras_A)+(A10_B_L2*Otras_B)+(A10_C_L2*Otras_C)+(A10_D_L2*Otras_D)+(A10_Y_L2*Otras_Y))*Inflación_10</f>
        <v>0</v>
      </c>
      <c r="I34" s="101">
        <f>SUMIFS('9'!$E:$E,'9'!$A:$A,Año_Inicial+9,'9'!$B:$B,'12'!H$4,'9'!$D:$D,"Otras actividades")</f>
        <v>0</v>
      </c>
      <c r="J34" s="101">
        <f>((A10_A_L3*Otras_A)+(A10_B_L3*Otras_B)+(A10_C_L3*Otras_C)+(A10_D_L3*Otras_D)+(A10_Y_L3*Otras_Y))*Inflación_10</f>
        <v>0</v>
      </c>
      <c r="K34" s="101">
        <f>SUMIFS('9'!$E:$E,'9'!$A:$A,Año_Inicial+9,'9'!$B:$B,'12'!J$4,'9'!$D:$D,"Otras actividades")</f>
        <v>0</v>
      </c>
      <c r="L34" s="101">
        <f>((A10_A_L4*Otras_A)+(A10_B_L4*Otras_B)+(A10_C_L4*Otras_C)+(A10_D_L4*Otras_D)+(A10_Y_L4*Otras_Y))*Inflación_10</f>
        <v>0</v>
      </c>
      <c r="M34" s="101">
        <f>SUMIFS('9'!$E:$E,'9'!$A:$A,Año_Inicial+9,'9'!$B:$B,'12'!L$4,'9'!$D:$D,"Otras actividades")</f>
        <v>0</v>
      </c>
      <c r="N34" s="101">
        <f>((A10_A_L5*Otras_A)+(A10_B_L5*Otras_B)+(A10_C_L5*Otras_C)+(A10_D_L5*Otras_D)+(A10_Y_L5*Otras_Y))*Inflación_10</f>
        <v>0</v>
      </c>
      <c r="O34" s="101">
        <f>SUMIFS('9'!$E:$E,'9'!$A:$A,Año_Inicial+9,'9'!$B:$B,'12'!N$4,'9'!$D:$D,"Otras actividades")</f>
        <v>0</v>
      </c>
      <c r="P34" s="101">
        <f>((A10_A_L6*Otras_A)+(A10_B_L6*Otras_B)+(A10_C_L6*Otras_C)+(A10_D_L6*Otras_D)+(A10_Y_L6*Otras_Y))*Inflación_10</f>
        <v>0</v>
      </c>
      <c r="Q34" s="101">
        <f>SUMIFS('9'!$E:$E,'9'!$A:$A,Año_Inicial+9,'9'!$B:$B,'12'!P$4,'9'!$D:$D,"Otras actividades")</f>
        <v>0</v>
      </c>
      <c r="R34" s="101">
        <f>((A10_A_L7*Otras_A)+(A10_B_L7*Otras_B)+(A10_C_L7*Otras_C)+(A10_D_L7*Otras_D)+(A10_Y_L7*Otras_Y))*Inflación_10</f>
        <v>0</v>
      </c>
      <c r="S34" s="101">
        <f>SUMIFS('9'!$E:$E,'9'!$A:$A,Año_Inicial+9,'9'!$B:$B,'12'!R$4,'9'!$D:$D,"Otras actividades")</f>
        <v>0</v>
      </c>
      <c r="T34" s="101">
        <f>((A10_A_L8*Otras_A)+(A10_B_L8*Otras_B)+(A10_C_L8*Otras_C)+(A10_D_L8*Otras_D)+(A10_Y_L8*Otras_Y))*Inflación_10</f>
        <v>0</v>
      </c>
      <c r="U34" s="101">
        <f>SUMIFS('9'!$E:$E,'9'!$A:$A,Año_Inicial+9,'9'!$B:$B,'12'!T$4,'9'!$D:$D,"Otras actividades")</f>
        <v>0</v>
      </c>
      <c r="V34" s="101">
        <f>((A10_A_L9*Otras_A)+(A10_B_L9*Otras_B)+(A10_C_L9*Otras_C)+(A10_D_L9*Otras_D)+(A10_Y_L9*Otras_Y))*Inflación_10</f>
        <v>0</v>
      </c>
      <c r="W34" s="101">
        <f>SUMIFS('9'!$E:$E,'9'!$A:$A,Año_Inicial+9,'9'!$B:$B,'12'!V$4,'9'!$D:$D,"Otras actividades")</f>
        <v>0</v>
      </c>
      <c r="X34" s="101">
        <f>((A10_A_L10*Otras_A)+(A10_B_L10*Otras_B)+(A10_C_L10*Otras_C)+(A10_D_L10*Otras_D)+(A10_Y_L10*Otras_Y))*Inflación_10</f>
        <v>0</v>
      </c>
      <c r="Y34" s="101">
        <f>SUMIFS('9'!$E:$E,'9'!$A:$A,Año_Inicial+9,'9'!$B:$B,'12'!X$4,'9'!$D:$D,"Otras actividades")</f>
        <v>0</v>
      </c>
      <c r="Z34" s="101">
        <f>((A10_A_L11*Otras_A)+(A10_B_L11*Otras_B)+(A10_C_L11*Otras_C)+(A10_D_L11*Otras_D)+(A10_Y_L11*Otras_Y))*Inflación_10</f>
        <v>0</v>
      </c>
      <c r="AA34" s="101">
        <f>SUMIFS('9'!$E:$E,'9'!$A:$A,Año_Inicial+9,'9'!$B:$B,'12'!Z$4,'9'!$D:$D,"Otras actividades")</f>
        <v>0</v>
      </c>
      <c r="AB34" s="101">
        <f>((A10_A_L12*Otras_A)+(A10_B_L12*Otras_B)+(A10_C_L12*Otras_C)+(A10_D_L12*Otras_D)+(A10_Y_L12*Otras_Y))*Inflación_10</f>
        <v>0</v>
      </c>
      <c r="AC34" s="101">
        <f>SUMIFS('9'!$E:$E,'9'!$A:$A,Año_Inicial+9,'9'!$B:$B,'12'!AB$4,'9'!$D:$D,"Otras actividades")</f>
        <v>0</v>
      </c>
      <c r="AD34" s="101">
        <f>((A10_A_L13*Otras_A)+(A10_B_L13*Otras_B)+(A10_C_L13*Otras_C)+(A10_D_L13*Otras_D)+(A10_Y_L13*Otras_Y))*Inflación_10</f>
        <v>0</v>
      </c>
      <c r="AE34" s="101">
        <f>SUMIFS('9'!$E:$E,'9'!$A:$A,Año_Inicial+9,'9'!$B:$B,'12'!AD$4,'9'!$D:$D,"Otras actividades")</f>
        <v>0</v>
      </c>
      <c r="AF34" s="101">
        <f>((A10_A_L14*Otras_A)+(A10_B_L14*Otras_B)+(A10_C_L14*Otras_C)+(A10_D_L14*Otras_D)+(A10_Y_L14*Otras_Y))*Inflación_10</f>
        <v>0</v>
      </c>
      <c r="AG34" s="101">
        <f>SUMIFS('9'!$E:$E,'9'!$A:$A,Año_Inicial+9,'9'!$B:$B,'12'!AF$4,'9'!$D:$D,"Otras actividades")</f>
        <v>0</v>
      </c>
      <c r="AH34" s="101">
        <f>((A10_A_L15*Otras_A)+(A10_B_L15*Otras_B)+(A10_C_L15*Otras_C)+(A10_D_L15*Otras_D)+(A10_Y_L15*Otras_Y))*Inflación_10</f>
        <v>0</v>
      </c>
      <c r="AI34" s="101">
        <f>SUMIFS('9'!$E:$E,'9'!$A:$A,Año_Inicial+9,'9'!$B:$B,'12'!AH$4,'9'!$D:$D,"Otras actividades")</f>
        <v>0</v>
      </c>
      <c r="AJ34" s="101">
        <f>((A10_A_L16*Otras_A)+(A10_B_L16*Otras_B)+(A10_C_L16*Otras_C)+(A10_D_L16*Otras_D)+(A10_Y_L16*Otras_Y))*Inflación_10</f>
        <v>0</v>
      </c>
      <c r="AK34" s="101">
        <f>SUMIFS('9'!$E:$E,'9'!$A:$A,Año_Inicial+9,'9'!$B:$B,'12'!AJ$4,'9'!$D:$D,"Otras actividades")</f>
        <v>0</v>
      </c>
      <c r="AL34" s="101">
        <f>((A10_A_L17*Otras_A)+(A10_B_L17*Otras_B)+(A10_C_L17*Otras_C)+(A10_D_L17*Otras_D)+(A10_Y_L17*Otras_Y))*Inflación_10</f>
        <v>0</v>
      </c>
      <c r="AM34" s="101">
        <f>SUMIFS('9'!$E:$E,'9'!$A:$A,Año_Inicial+9,'9'!$B:$B,'12'!AL$4,'9'!$D:$D,"Otras actividades")</f>
        <v>0</v>
      </c>
      <c r="AN34" s="101">
        <f>((A10_A_L18*Otras_A)+(A10_B_L18*Otras_B)+(A10_C_L18*Otras_C)+(A10_D_L18*Otras_D)+(A10_Y_L18*Otras_Y))*Inflación_10</f>
        <v>0</v>
      </c>
      <c r="AO34" s="101">
        <f>SUMIFS('9'!$E:$E,'9'!$A:$A,Año_Inicial+9,'9'!$B:$B,'12'!AN$4,'9'!$D:$D,"Otras actividades")</f>
        <v>0</v>
      </c>
      <c r="AP34" s="101">
        <f>((A10_A_L19*Otras_A)+(A10_B_L19*Otras_B)+(A10_C_L19*Otras_C)+(A10_D_L19*Otras_D)+(A10_Y_L19*Otras_Y))*Inflación_10</f>
        <v>0</v>
      </c>
      <c r="AQ34" s="101">
        <f>SUMIFS('9'!$E:$E,'9'!$A:$A,Año_Inicial+9,'9'!$B:$B,'12'!AP$4,'9'!$D:$D,"Otras actividades")</f>
        <v>0</v>
      </c>
      <c r="AR34" s="101">
        <f>((A10_A_L20*Otras_A)+(A10_B_L20*Otras_B)+(A10_C_L20*Otras_C)+(A10_D_L20*Otras_D)+(A10_Y_L20*Otras_Y))*Inflación_10</f>
        <v>0</v>
      </c>
      <c r="AS34" s="101">
        <f>SUMIFS('9'!$E:$E,'9'!$A:$A,Año_Inicial+9,'9'!$B:$B,'12'!AR$4,'9'!$D:$D,"Otras actividades")</f>
        <v>0</v>
      </c>
      <c r="AT34" s="101">
        <f>((A10_A_L21*Otras_A)+(A10_B_L21*Otras_B)+(A10_C_L21*Otras_C)+(A10_D_L21*Otras_D)+(A10_Y_L21*Otras_Y))*Inflación_10</f>
        <v>0</v>
      </c>
      <c r="AU34" s="101">
        <f>SUMIFS('9'!$E:$E,'9'!$A:$A,Año_Inicial+9,'9'!$B:$B,'12'!AT$4,'9'!$D:$D,"Otras actividades")</f>
        <v>0</v>
      </c>
      <c r="AV34" s="101">
        <f>((A10_A_L22*Otras_A)+(A10_B_L22*Otras_B)+(A10_C_L22*Otras_C)+(A10_D_L22*Otras_D)+(A10_Y_L22*Otras_Y))*Inflación_10</f>
        <v>0</v>
      </c>
      <c r="AW34" s="101">
        <f>SUMIFS('9'!$E:$E,'9'!$A:$A,Año_Inicial+9,'9'!$B:$B,'12'!AV$4,'9'!$D:$D,"Otras actividades")</f>
        <v>0</v>
      </c>
      <c r="AX34" s="101">
        <f>((A10_A_L23*Otras_A)+(A10_B_L23*Otras_B)+(A10_C_L23*Otras_C)+(A10_D_L23*Otras_D)+(A10_Y_L23*Otras_Y))*Inflación_10</f>
        <v>0</v>
      </c>
      <c r="AY34" s="101">
        <f>SUMIFS('9'!$E:$E,'9'!$A:$A,Año_Inicial+9,'9'!$B:$B,'12'!AX$4,'9'!$D:$D,"Otras actividades")</f>
        <v>0</v>
      </c>
      <c r="AZ34" s="101">
        <f>((A10_A_L24*Otras_A)+(A10_B_L24*Otras_B)+(A10_C_L24*Otras_C)+(A10_D_L24*Otras_D)+(A10_Y_L24*Otras_Y))*Inflación_10</f>
        <v>0</v>
      </c>
      <c r="BA34" s="101">
        <f>SUMIFS('9'!$E:$E,'9'!$A:$A,Año_Inicial+9,'9'!$B:$B,'12'!AZ$4,'9'!$D:$D,"Otras actividades")</f>
        <v>0</v>
      </c>
      <c r="BB34" s="101">
        <f>((A10_A_L25*Otras_A)+(A10_B_L25*Otras_B)+(A10_C_L25*Otras_C)+(A10_D_L25*Otras_D)+(A10_Y_L25*Otras_Y))*Inflación_10</f>
        <v>0</v>
      </c>
      <c r="BC34" s="101">
        <f>SUMIFS('9'!$E:$E,'9'!$A:$A,Año_Inicial+9,'9'!$B:$B,'12'!BB$4,'9'!$D:$D,"Otras actividades")</f>
        <v>0</v>
      </c>
      <c r="BD34" s="101">
        <f>((A10_A_L26*Otras_A)+(A10_B_L26*Otras_B)+(A10_C_L26*Otras_C)+(A10_D_L26*Otras_D)+(A10_Y_L26*Otras_Y))*Inflación_10</f>
        <v>0</v>
      </c>
      <c r="BE34" s="101">
        <f>SUMIFS('9'!$E:$E,'9'!$A:$A,Año_Inicial+9,'9'!$B:$B,'12'!BD$4,'9'!$D:$D,"Otras actividades")</f>
        <v>0</v>
      </c>
      <c r="BF34" s="101">
        <f>((A10_A_L27*Otras_A)+(A10_B_L27*Otras_B)+(A10_C_L27*Otras_C)+(A10_D_L27*Otras_D)+(A10_Y_L27*Otras_Y))*Inflación_10</f>
        <v>0</v>
      </c>
      <c r="BG34" s="101">
        <f>SUMIFS('9'!$E:$E,'9'!$A:$A,Año_Inicial+9,'9'!$B:$B,'12'!BF$4,'9'!$D:$D,"Otras actividades")</f>
        <v>0</v>
      </c>
      <c r="BH34" s="101">
        <f>((A10_A_L28*Otras_A)+(A10_B_L28*Otras_B)+(A10_C_L28*Otras_C)+(A10_D_L28*Otras_D)+(A10_Y_L28*Otras_Y))*Inflación_10</f>
        <v>0</v>
      </c>
      <c r="BI34" s="101">
        <f>SUMIFS('9'!$E:$E,'9'!$A:$A,Año_Inicial+9,'9'!$B:$B,'12'!BH$4,'9'!$D:$D,"Otras actividades")</f>
        <v>0</v>
      </c>
      <c r="BJ34" s="101">
        <f>((A10_A_L29*Otras_A)+(A10_B_L29*Otras_B)+(A10_C_L29*Otras_C)+(A10_D_L29*Otras_D)+(A10_Y_L29*Otras_Y))*Inflación_10</f>
        <v>0</v>
      </c>
      <c r="BK34" s="101">
        <f>SUMIFS('9'!$E:$E,'9'!$A:$A,Año_Inicial+9,'9'!$B:$B,'12'!BJ$4,'9'!$D:$D,"Otras actividades")</f>
        <v>0</v>
      </c>
      <c r="BL34" s="101">
        <f>((A10_A_L30*Otras_A)+(A10_B_L30*Otras_B)+(A10_C_L30*Otras_C)+(A10_D_L30*Otras_D)+(A10_Y_L30*Otras_Y))*Inflación_10</f>
        <v>0</v>
      </c>
      <c r="BM34" s="101">
        <f>SUMIFS('9'!$E:$E,'9'!$A:$A,Año_Inicial+9,'9'!$B:$B,'12'!BL$4,'9'!$D:$D,"Otras actividades")</f>
        <v>0</v>
      </c>
      <c r="BN34" s="101">
        <f>((A10_A_L31*Otras_A)+(A10_B_L31*Otras_B)+(A10_C_L31*Otras_C)+(A10_D_L31*Otras_D)+(A10_Y_L31*Otras_Y))*Inflación_10</f>
        <v>0</v>
      </c>
      <c r="BO34" s="101">
        <f>SUMIFS('9'!$E:$E,'9'!$A:$A,Año_Inicial+9,'9'!$B:$B,'12'!BN$4,'9'!$D:$D,"Otras actividades")</f>
        <v>0</v>
      </c>
      <c r="BP34" s="101">
        <f>((A10_A_L32*Otras_A)+(A10_B_L32*Otras_B)+(A10_C_L32*Otras_C)+(A10_D_L32*Otras_D)+(A10_Y_L32*Otras_Y))*Inflación_10</f>
        <v>0</v>
      </c>
      <c r="BQ34" s="101">
        <f>SUMIFS('9'!$E:$E,'9'!$A:$A,Año_Inicial+9,'9'!$B:$B,'12'!BP$4,'9'!$D:$D,"Otras actividades")</f>
        <v>0</v>
      </c>
      <c r="BR34" s="101">
        <f>((A10_A_L33*Otras_A)+(A10_B_L33*Otras_B)+(A10_C_L33*Otras_C)+(A10_D_L33*Otras_D)+(A10_Y_L33*Otras_Y))*Inflación_10</f>
        <v>0</v>
      </c>
      <c r="BS34" s="101">
        <f>SUMIFS('9'!$E:$E,'9'!$A:$A,Año_Inicial+9,'9'!$B:$B,'12'!BR$4,'9'!$D:$D,"Otras actividades")</f>
        <v>0</v>
      </c>
      <c r="BT34" s="101">
        <f>((A10_A_L34*Otras_A)+(A10_B_L34*Otras_B)+(A10_C_L34*Otras_C)+(A10_D_L34*Otras_D)+(A10_Y_L34*Otras_Y))*Inflación_10</f>
        <v>0</v>
      </c>
      <c r="BU34" s="101">
        <f>SUMIFS('9'!$E:$E,'9'!$A:$A,Año_Inicial+9,'9'!$B:$B,'12'!BT$4,'9'!$D:$D,"Otras actividades")</f>
        <v>0</v>
      </c>
      <c r="BV34" s="101">
        <f>((A10_A_L35*Otras_A)+(A10_B_L35*Otras_B)+(A10_C_L35*Otras_C)+(A10_D_L35*Otras_D)+(A10_Y_L35*Otras_Y))*Inflación_10</f>
        <v>0</v>
      </c>
      <c r="BW34" s="101">
        <f>SUMIFS('9'!$E:$E,'9'!$A:$A,Año_Inicial+9,'9'!$B:$B,'12'!BV$4,'9'!$D:$D,"Otras actividades")</f>
        <v>0</v>
      </c>
      <c r="BX34" s="101">
        <f>((A10_A_L36*Otras_A)+(A10_B_L36*Otras_B)+(A10_C_L36*Otras_C)+(A10_D_L36*Otras_D)+(A10_Y_L36*Otras_Y))*Inflación_10</f>
        <v>0</v>
      </c>
      <c r="BY34" s="101">
        <f>SUMIFS('9'!$E:$E,'9'!$A:$A,Año_Inicial+9,'9'!$B:$B,'12'!BX$4,'9'!$D:$D,"Otras actividades")</f>
        <v>0</v>
      </c>
      <c r="BZ34" s="101">
        <f>((A10_A_L37*Otras_A)+(A10_B_L37*Otras_B)+(A10_C_L37*Otras_C)+(A10_D_L37*Otras_D)+(A10_Y_L37*Otras_Y))*Inflación_10</f>
        <v>0</v>
      </c>
      <c r="CA34" s="101">
        <f>SUMIFS('9'!$E:$E,'9'!$A:$A,Año_Inicial+9,'9'!$B:$B,'12'!BZ$4,'9'!$D:$D,"Otras actividades")</f>
        <v>0</v>
      </c>
      <c r="CB34" s="101">
        <f>((A10_A_L38*Otras_A)+(A10_B_L38*Otras_B)+(A10_C_L38*Otras_C)+(A10_D_L38*Otras_D)+(A10_Y_L38*Otras_Y))*Inflación_10</f>
        <v>0</v>
      </c>
      <c r="CC34" s="101">
        <f>SUMIFS('9'!$E:$E,'9'!$A:$A,Año_Inicial+9,'9'!$B:$B,'12'!CB$4,'9'!$D:$D,"Otras actividades")</f>
        <v>0</v>
      </c>
      <c r="CD34" s="101">
        <f>((A10_A_L39*Otras_A)+(A10_B_L39*Otras_B)+(A10_C_L39*Otras_C)+(A10_D_L39*Otras_D)+(A10_Y_L39*Otras_Y))*Inflación_10</f>
        <v>0</v>
      </c>
      <c r="CE34" s="101">
        <f>SUMIFS('9'!$E:$E,'9'!$A:$A,Año_Inicial+9,'9'!$B:$B,'12'!CD$4,'9'!$D:$D,"Otras actividades")</f>
        <v>0</v>
      </c>
      <c r="CF34" s="101">
        <f>((A10_A_L40*Otras_A)+(A10_B_L40*Otras_B)+(A10_C_L40*Otras_C)+(A10_D_L40*Otras_D)+(A10_Y_L40*Otras_Y))*Inflación_10</f>
        <v>0</v>
      </c>
      <c r="CG34" s="101">
        <f>SUMIFS('9'!$E:$E,'9'!$A:$A,Año_Inicial+9,'9'!$B:$B,'12'!CF$4,'9'!$D:$D,"Otras actividades")</f>
        <v>0</v>
      </c>
      <c r="CH34" s="473"/>
      <c r="CI34" s="101">
        <f>Plantas_A_A10*Otras_A*Inflación_10</f>
        <v>0</v>
      </c>
      <c r="CJ34" s="101">
        <f>Plantas_B_A10*Otras_B</f>
        <v>0</v>
      </c>
      <c r="CK34" s="101">
        <f>Plantas_C_A10*Otras_C</f>
        <v>0</v>
      </c>
      <c r="CL34" s="101">
        <f>Plantas_D_A10*Otras_D</f>
        <v>0</v>
      </c>
      <c r="CM34" s="101"/>
      <c r="CN34" s="101">
        <f>Plantas_Y_A10*Otras_Y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SUMIFS('9'!$E:$E,'9'!$A:$A,Año_Inicial+9,'9'!$D:$D,"Coadyuvantes")</f>
        <v>0</v>
      </c>
      <c r="D35" s="100">
        <f t="shared" si="45"/>
        <v>0</v>
      </c>
      <c r="E35" s="473"/>
      <c r="F35" s="101">
        <f>((A10_A_L1*Coad_A)+(A10_B_L1*Coad_B)+(A10_C_L1*Coad_C)+(A10_D_L1*Coad_D)+(A10_Y_L1*Coad_Y))*Inflación_10</f>
        <v>0</v>
      </c>
      <c r="G35" s="101">
        <f>SUMIFS('9'!$E:$E,'9'!$A:$A,Año_Inicial+9,'9'!$B:$B,'12'!F$4,'9'!$D:$D,"Coadyuvantes")</f>
        <v>0</v>
      </c>
      <c r="H35" s="101">
        <f>((A10_A_L2*Coad_A)+(A10_B_L2*Coad_B)+(A10_C_L2*Coad_C)+(A10_D_L2*Coad_D)+(A10_Y_L2*Coad_Y))*Inflación_10</f>
        <v>0</v>
      </c>
      <c r="I35" s="101">
        <f>SUMIFS('9'!$E:$E,'9'!$A:$A,Año_Inicial+9,'9'!$B:$B,'12'!H$4,'9'!$D:$D,"Coadyuvantes")</f>
        <v>0</v>
      </c>
      <c r="J35" s="101">
        <f>((A10_A_L3*Coad_A)+(A10_B_L3*Coad_B)+(A10_C_L3*Coad_C)+(A10_D_L3*Coad_D)+(A10_Y_L3*Coad_Y))*Inflación_10</f>
        <v>0</v>
      </c>
      <c r="K35" s="101">
        <f>SUMIFS('9'!$E:$E,'9'!$A:$A,Año_Inicial+9,'9'!$B:$B,'12'!J$4,'9'!$D:$D,"Coadyuvantes")</f>
        <v>0</v>
      </c>
      <c r="L35" s="101">
        <f>((A10_A_L4*Coad_A)+(A10_B_L4*Coad_B)+(A10_C_L4*Coad_C)+(A10_D_L4*Coad_D)+(A10_Y_L4*Coad_Y))*Inflación_10</f>
        <v>0</v>
      </c>
      <c r="M35" s="101">
        <f>SUMIFS('9'!$E:$E,'9'!$A:$A,Año_Inicial+9,'9'!$B:$B,'12'!L$4,'9'!$D:$D,"Coadyuvantes")</f>
        <v>0</v>
      </c>
      <c r="N35" s="101">
        <f>((A10_A_L5*Coad_A)+(A10_B_L5*Coad_B)+(A10_C_L5*Coad_C)+(A10_D_L5*Coad_D)+(A10_Y_L5*Coad_Y))*Inflación_10</f>
        <v>0</v>
      </c>
      <c r="O35" s="101">
        <f>SUMIFS('9'!$E:$E,'9'!$A:$A,Año_Inicial+9,'9'!$B:$B,'12'!N$4,'9'!$D:$D,"Coadyuvantes")</f>
        <v>0</v>
      </c>
      <c r="P35" s="101">
        <f>((A10_A_L6*Coad_A)+(A10_B_L6*Coad_B)+(A10_C_L6*Coad_C)+(A10_D_L6*Coad_D)+(A10_Y_L6*Coad_Y))*Inflación_10</f>
        <v>0</v>
      </c>
      <c r="Q35" s="101">
        <f>SUMIFS('9'!$E:$E,'9'!$A:$A,Año_Inicial+9,'9'!$B:$B,'12'!P$4,'9'!$D:$D,"Coadyuvantes")</f>
        <v>0</v>
      </c>
      <c r="R35" s="101">
        <f>((A10_A_L7*Coad_A)+(A10_B_L7*Coad_B)+(A10_C_L7*Coad_C)+(A10_D_L7*Coad_D)+(A10_Y_L7*Coad_Y))*Inflación_10</f>
        <v>0</v>
      </c>
      <c r="S35" s="101">
        <f>SUMIFS('9'!$E:$E,'9'!$A:$A,Año_Inicial+9,'9'!$B:$B,'12'!R$4,'9'!$D:$D,"Coadyuvantes")</f>
        <v>0</v>
      </c>
      <c r="T35" s="101">
        <f>((A10_A_L8*Coad_A)+(A10_B_L8*Coad_B)+(A10_C_L8*Coad_C)+(A10_D_L8*Coad_D)+(A10_Y_L8*Coad_Y))*Inflación_10</f>
        <v>0</v>
      </c>
      <c r="U35" s="101">
        <f>SUMIFS('9'!$E:$E,'9'!$A:$A,Año_Inicial+9,'9'!$B:$B,'12'!T$4,'9'!$D:$D,"Coadyuvantes")</f>
        <v>0</v>
      </c>
      <c r="V35" s="101">
        <f>((A10_A_L9*Coad_A)+(A10_B_L9*Coad_B)+(A10_C_L9*Coad_C)+(A10_D_L9*Coad_D)+(A10_Y_L9*Coad_Y))*Inflación_10</f>
        <v>0</v>
      </c>
      <c r="W35" s="101">
        <f>SUMIFS('9'!$E:$E,'9'!$A:$A,Año_Inicial+9,'9'!$B:$B,'12'!V$4,'9'!$D:$D,"Coadyuvantes")</f>
        <v>0</v>
      </c>
      <c r="X35" s="101">
        <f>((A10_A_L10*Coad_A)+(A10_B_L10*Coad_B)+(A10_C_L10*Coad_C)+(A10_D_L10*Coad_D)+(A10_Y_L10*Coad_Y))*Inflación_10</f>
        <v>0</v>
      </c>
      <c r="Y35" s="101">
        <f>SUMIFS('9'!$E:$E,'9'!$A:$A,Año_Inicial+9,'9'!$B:$B,'12'!X$4,'9'!$D:$D,"Coadyuvantes")</f>
        <v>0</v>
      </c>
      <c r="Z35" s="101">
        <f>((A10_A_L11*Coad_A)+(A10_B_L11*Coad_B)+(A10_C_L11*Coad_C)+(A10_D_L11*Coad_D)+(A10_Y_L11*Coad_Y))*Inflación_10</f>
        <v>0</v>
      </c>
      <c r="AA35" s="101">
        <f>SUMIFS('9'!$E:$E,'9'!$A:$A,Año_Inicial+9,'9'!$B:$B,'12'!Z$4,'9'!$D:$D,"Coadyuvantes")</f>
        <v>0</v>
      </c>
      <c r="AB35" s="101">
        <f>((A10_A_L12*Coad_A)+(A10_B_L12*Coad_B)+(A10_C_L12*Coad_C)+(A10_D_L12*Coad_D)+(A10_Y_L12*Coad_Y))*Inflación_10</f>
        <v>0</v>
      </c>
      <c r="AC35" s="101">
        <f>SUMIFS('9'!$E:$E,'9'!$A:$A,Año_Inicial+9,'9'!$B:$B,'12'!AB$4,'9'!$D:$D,"Coadyuvantes")</f>
        <v>0</v>
      </c>
      <c r="AD35" s="101">
        <f>((A10_A_L13*Coad_A)+(A10_B_L13*Coad_B)+(A10_C_L13*Coad_C)+(A10_D_L13*Coad_D)+(A10_Y_L13*Coad_Y))*Inflación_10</f>
        <v>0</v>
      </c>
      <c r="AE35" s="101">
        <f>SUMIFS('9'!$E:$E,'9'!$A:$A,Año_Inicial+9,'9'!$B:$B,'12'!AD$4,'9'!$D:$D,"Coadyuvantes")</f>
        <v>0</v>
      </c>
      <c r="AF35" s="101">
        <f>((A10_A_L14*Coad_A)+(A10_B_L14*Coad_B)+(A10_C_L14*Coad_C)+(A10_D_L14*Coad_D)+(A10_Y_L14*Coad_Y))*Inflación_10</f>
        <v>0</v>
      </c>
      <c r="AG35" s="101">
        <f>SUMIFS('9'!$E:$E,'9'!$A:$A,Año_Inicial+9,'9'!$B:$B,'12'!AF$4,'9'!$D:$D,"Coadyuvantes")</f>
        <v>0</v>
      </c>
      <c r="AH35" s="101">
        <f>((A10_A_L15*Coad_A)+(A10_B_L15*Coad_B)+(A10_C_L15*Coad_C)+(A10_D_L15*Coad_D)+(A10_Y_L15*Coad_Y))*Inflación_10</f>
        <v>0</v>
      </c>
      <c r="AI35" s="101">
        <f>SUMIFS('9'!$E:$E,'9'!$A:$A,Año_Inicial+9,'9'!$B:$B,'12'!AH$4,'9'!$D:$D,"Coadyuvantes")</f>
        <v>0</v>
      </c>
      <c r="AJ35" s="101">
        <f>((A10_A_L16*Coad_A)+(A10_B_L16*Coad_B)+(A10_C_L16*Coad_C)+(A10_D_L16*Coad_D)+(A10_Y_L16*Coad_Y))*Inflación_10</f>
        <v>0</v>
      </c>
      <c r="AK35" s="101">
        <f>SUMIFS('9'!$E:$E,'9'!$A:$A,Año_Inicial+9,'9'!$B:$B,'12'!AJ$4,'9'!$D:$D,"Coadyuvantes")</f>
        <v>0</v>
      </c>
      <c r="AL35" s="101">
        <f>((A10_A_L17*Coad_A)+(A10_B_L17*Coad_B)+(A10_C_L17*Coad_C)+(A10_D_L17*Coad_D)+(A10_Y_L17*Coad_Y))*Inflación_10</f>
        <v>0</v>
      </c>
      <c r="AM35" s="101">
        <f>SUMIFS('9'!$E:$E,'9'!$A:$A,Año_Inicial+9,'9'!$B:$B,'12'!AL$4,'9'!$D:$D,"Coadyuvantes")</f>
        <v>0</v>
      </c>
      <c r="AN35" s="101">
        <f>((A10_A_L18*Coad_A)+(A10_B_L18*Coad_B)+(A10_C_L18*Coad_C)+(A10_D_L18*Coad_D)+(A10_Y_L18*Coad_Y))*Inflación_10</f>
        <v>0</v>
      </c>
      <c r="AO35" s="101">
        <f>SUMIFS('9'!$E:$E,'9'!$A:$A,Año_Inicial+9,'9'!$B:$B,'12'!AN$4,'9'!$D:$D,"Coadyuvantes")</f>
        <v>0</v>
      </c>
      <c r="AP35" s="101">
        <f>((A10_A_L19*Coad_A)+(A10_B_L19*Coad_B)+(A10_C_L19*Coad_C)+(A10_D_L19*Coad_D)+(A10_Y_L19*Coad_Y))*Inflación_10</f>
        <v>0</v>
      </c>
      <c r="AQ35" s="101">
        <f>SUMIFS('9'!$E:$E,'9'!$A:$A,Año_Inicial+9,'9'!$B:$B,'12'!AP$4,'9'!$D:$D,"Coadyuvantes")</f>
        <v>0</v>
      </c>
      <c r="AR35" s="101">
        <f>((A10_A_L20*Coad_A)+(A10_B_L20*Coad_B)+(A10_C_L20*Coad_C)+(A10_D_L20*Coad_D)+(A10_Y_L20*Coad_Y))*Inflación_10</f>
        <v>0</v>
      </c>
      <c r="AS35" s="101">
        <f>SUMIFS('9'!$E:$E,'9'!$A:$A,Año_Inicial+9,'9'!$B:$B,'12'!AR$4,'9'!$D:$D,"Coadyuvantes")</f>
        <v>0</v>
      </c>
      <c r="AT35" s="101">
        <f>((A10_A_L21*Coad_A)+(A10_B_L21*Coad_B)+(A10_C_L21*Coad_C)+(A10_D_L21*Coad_D)+(A10_Y_L21*Coad_Y))*Inflación_10</f>
        <v>0</v>
      </c>
      <c r="AU35" s="101">
        <f>SUMIFS('9'!$E:$E,'9'!$A:$A,Año_Inicial+9,'9'!$B:$B,'12'!AT$4,'9'!$D:$D,"Coadyuvantes")</f>
        <v>0</v>
      </c>
      <c r="AV35" s="101">
        <f>((A10_A_L22*Coad_A)+(A10_B_L22*Coad_B)+(A10_C_L22*Coad_C)+(A10_D_L22*Coad_D)+(A10_Y_L22*Coad_Y))*Inflación_10</f>
        <v>0</v>
      </c>
      <c r="AW35" s="101">
        <f>SUMIFS('9'!$E:$E,'9'!$A:$A,Año_Inicial+9,'9'!$B:$B,'12'!AV$4,'9'!$D:$D,"Coadyuvantes")</f>
        <v>0</v>
      </c>
      <c r="AX35" s="101">
        <f>((A10_A_L23*Coad_A)+(A10_B_L23*Coad_B)+(A10_C_L23*Coad_C)+(A10_D_L23*Coad_D)+(A10_Y_L23*Coad_Y))*Inflación_10</f>
        <v>0</v>
      </c>
      <c r="AY35" s="101">
        <f>SUMIFS('9'!$E:$E,'9'!$A:$A,Año_Inicial+9,'9'!$B:$B,'12'!AX$4,'9'!$D:$D,"Coadyuvantes")</f>
        <v>0</v>
      </c>
      <c r="AZ35" s="101">
        <f>((A10_A_L24*Coad_A)+(A10_B_L24*Coad_B)+(A10_C_L24*Coad_C)+(A10_D_L24*Coad_D)+(A10_Y_L24*Coad_Y))*Inflación_10</f>
        <v>0</v>
      </c>
      <c r="BA35" s="101">
        <f>SUMIFS('9'!$E:$E,'9'!$A:$A,Año_Inicial+9,'9'!$B:$B,'12'!AZ$4,'9'!$D:$D,"Coadyuvantes")</f>
        <v>0</v>
      </c>
      <c r="BB35" s="101">
        <f>((A10_A_L25*Coad_A)+(A10_B_L25*Coad_B)+(A10_C_L25*Coad_C)+(A10_D_L25*Coad_D)+(A10_Y_L25*Coad_Y))*Inflación_10</f>
        <v>0</v>
      </c>
      <c r="BC35" s="101">
        <f>SUMIFS('9'!$E:$E,'9'!$A:$A,Año_Inicial+9,'9'!$B:$B,'12'!BB$4,'9'!$D:$D,"Coadyuvantes")</f>
        <v>0</v>
      </c>
      <c r="BD35" s="101">
        <f>((A10_A_L26*Coad_A)+(A10_B_L26*Coad_B)+(A10_C_L26*Coad_C)+(A10_D_L26*Coad_D)+(A10_Y_L26*Coad_Y))*Inflación_10</f>
        <v>0</v>
      </c>
      <c r="BE35" s="101">
        <f>SUMIFS('9'!$E:$E,'9'!$A:$A,Año_Inicial+9,'9'!$B:$B,'12'!BD$4,'9'!$D:$D,"Coadyuvantes")</f>
        <v>0</v>
      </c>
      <c r="BF35" s="101">
        <f>((A10_A_L27*Coad_A)+(A10_B_L27*Coad_B)+(A10_C_L27*Coad_C)+(A10_D_L27*Coad_D)+(A10_Y_L27*Coad_Y))*Inflación_10</f>
        <v>0</v>
      </c>
      <c r="BG35" s="101">
        <f>SUMIFS('9'!$E:$E,'9'!$A:$A,Año_Inicial+9,'9'!$B:$B,'12'!BF$4,'9'!$D:$D,"Coadyuvantes")</f>
        <v>0</v>
      </c>
      <c r="BH35" s="101">
        <f>((A10_A_L28*Coad_A)+(A10_B_L28*Coad_B)+(A10_C_L28*Coad_C)+(A10_D_L28*Coad_D)+(A10_Y_L28*Coad_Y))*Inflación_10</f>
        <v>0</v>
      </c>
      <c r="BI35" s="101">
        <f>SUMIFS('9'!$E:$E,'9'!$A:$A,Año_Inicial+9,'9'!$B:$B,'12'!BH$4,'9'!$D:$D,"Coadyuvantes")</f>
        <v>0</v>
      </c>
      <c r="BJ35" s="101">
        <f>((A10_A_L29*Coad_A)+(A10_B_L29*Coad_B)+(A10_C_L29*Coad_C)+(A10_D_L29*Coad_D)+(A10_Y_L29*Coad_Y))*Inflación_10</f>
        <v>0</v>
      </c>
      <c r="BK35" s="101">
        <f>SUMIFS('9'!$E:$E,'9'!$A:$A,Año_Inicial+9,'9'!$B:$B,'12'!BJ$4,'9'!$D:$D,"Coadyuvantes")</f>
        <v>0</v>
      </c>
      <c r="BL35" s="101">
        <f>((A10_A_L30*Coad_A)+(A10_B_L30*Coad_B)+(A10_C_L30*Coad_C)+(A10_D_L30*Coad_D)+(A10_Y_L30*Coad_Y))*Inflación_10</f>
        <v>0</v>
      </c>
      <c r="BM35" s="101">
        <f>SUMIFS('9'!$E:$E,'9'!$A:$A,Año_Inicial+9,'9'!$B:$B,'12'!BL$4,'9'!$D:$D,"Coadyuvantes")</f>
        <v>0</v>
      </c>
      <c r="BN35" s="101">
        <f>((A10_A_L31*Coad_A)+(A10_B_L31*Coad_B)+(A10_C_L31*Coad_C)+(A10_D_L31*Coad_D)+(A10_Y_L31*Coad_Y))*Inflación_10</f>
        <v>0</v>
      </c>
      <c r="BO35" s="101">
        <f>SUMIFS('9'!$E:$E,'9'!$A:$A,Año_Inicial+9,'9'!$B:$B,'12'!BN$4,'9'!$D:$D,"Coadyuvantes")</f>
        <v>0</v>
      </c>
      <c r="BP35" s="101">
        <f>((A10_A_L32*Coad_A)+(A10_B_L32*Coad_B)+(A10_C_L32*Coad_C)+(A10_D_L32*Coad_D)+(A10_Y_L32*Coad_Y))*Inflación_10</f>
        <v>0</v>
      </c>
      <c r="BQ35" s="101">
        <f>SUMIFS('9'!$E:$E,'9'!$A:$A,Año_Inicial+9,'9'!$B:$B,'12'!BP$4,'9'!$D:$D,"Coadyuvantes")</f>
        <v>0</v>
      </c>
      <c r="BR35" s="101">
        <f>((A10_A_L33*Coad_A)+(A10_B_L33*Coad_B)+(A10_C_L33*Coad_C)+(A10_D_L33*Coad_D)+(A10_Y_L33*Coad_Y))*Inflación_10</f>
        <v>0</v>
      </c>
      <c r="BS35" s="101">
        <f>SUMIFS('9'!$E:$E,'9'!$A:$A,Año_Inicial+9,'9'!$B:$B,'12'!BR$4,'9'!$D:$D,"Coadyuvantes")</f>
        <v>0</v>
      </c>
      <c r="BT35" s="101">
        <f>((A10_A_L34*Coad_A)+(A10_B_L34*Coad_B)+(A10_C_L34*Coad_C)+(A10_D_L34*Coad_D)+(A10_Y_L34*Coad_Y))*Inflación_10</f>
        <v>0</v>
      </c>
      <c r="BU35" s="101">
        <f>SUMIFS('9'!$E:$E,'9'!$A:$A,Año_Inicial+9,'9'!$B:$B,'12'!BT$4,'9'!$D:$D,"Coadyuvantes")</f>
        <v>0</v>
      </c>
      <c r="BV35" s="101">
        <f>((A10_A_L35*Coad_A)+(A10_B_L35*Coad_B)+(A10_C_L35*Coad_C)+(A10_D_L35*Coad_D)+(A10_Y_L35*Coad_Y))*Inflación_10</f>
        <v>0</v>
      </c>
      <c r="BW35" s="101">
        <f>SUMIFS('9'!$E:$E,'9'!$A:$A,Año_Inicial+9,'9'!$B:$B,'12'!BV$4,'9'!$D:$D,"Coadyuvantes")</f>
        <v>0</v>
      </c>
      <c r="BX35" s="101">
        <f>((A10_A_L36*Coad_A)+(A10_B_L36*Coad_B)+(A10_C_L36*Coad_C)+(A10_D_L36*Coad_D)+(A10_Y_L36*Coad_Y))*Inflación_10</f>
        <v>0</v>
      </c>
      <c r="BY35" s="101">
        <f>SUMIFS('9'!$E:$E,'9'!$A:$A,Año_Inicial+9,'9'!$B:$B,'12'!BX$4,'9'!$D:$D,"Coadyuvantes")</f>
        <v>0</v>
      </c>
      <c r="BZ35" s="101">
        <f>((A10_A_L37*Coad_A)+(A10_B_L37*Coad_B)+(A10_C_L37*Coad_C)+(A10_D_L37*Coad_D)+(A10_Y_L37*Coad_Y))*Inflación_10</f>
        <v>0</v>
      </c>
      <c r="CA35" s="101">
        <f>SUMIFS('9'!$E:$E,'9'!$A:$A,Año_Inicial+9,'9'!$B:$B,'12'!BZ$4,'9'!$D:$D,"Coadyuvantes")</f>
        <v>0</v>
      </c>
      <c r="CB35" s="101">
        <f>((A10_A_L38*Coad_A)+(A10_B_L38*Coad_B)+(A10_C_L38*Coad_C)+(A10_D_L38*Coad_D)+(A10_Y_L38*Coad_Y))*Inflación_10</f>
        <v>0</v>
      </c>
      <c r="CC35" s="101">
        <f>SUMIFS('9'!$E:$E,'9'!$A:$A,Año_Inicial+9,'9'!$B:$B,'12'!CB$4,'9'!$D:$D,"Coadyuvantes")</f>
        <v>0</v>
      </c>
      <c r="CD35" s="101">
        <f>((A10_A_L39*Coad_A)+(A10_B_L39*Coad_B)+(A10_C_L39*Coad_C)+(A10_D_L39*Coad_D)+(A10_Y_L39*Coad_Y))*Inflación_10</f>
        <v>0</v>
      </c>
      <c r="CE35" s="101">
        <f>SUMIFS('9'!$E:$E,'9'!$A:$A,Año_Inicial+9,'9'!$B:$B,'12'!CD$4,'9'!$D:$D,"Coadyuvantes")</f>
        <v>0</v>
      </c>
      <c r="CF35" s="101">
        <f>((A10_A_L40*Coad_A)+(A10_B_L40*Coad_B)+(A10_C_L40*Coad_C)+(A10_D_L40*Coad_D)+(A10_Y_L40*Coad_Y))*Inflación_10</f>
        <v>0</v>
      </c>
      <c r="CG35" s="101">
        <f>SUMIFS('9'!$E:$E,'9'!$A:$A,Año_Inicial+9,'9'!$B:$B,'12'!CF$4,'9'!$D:$D,"Coadyuvantes")</f>
        <v>0</v>
      </c>
      <c r="CH35" s="473"/>
      <c r="CI35" s="101">
        <f>Plantas_A_A10*Coad_A*Inflación_10</f>
        <v>0</v>
      </c>
      <c r="CJ35" s="101">
        <f>Plantas_B_A10*Coad_B</f>
        <v>0</v>
      </c>
      <c r="CK35" s="101">
        <f>Plantas_C_A10*Coad_C</f>
        <v>0</v>
      </c>
      <c r="CL35" s="101">
        <f>Plantas_D_A10*Coad_D</f>
        <v>0</v>
      </c>
      <c r="CM35" s="101"/>
      <c r="CN35" s="101">
        <f>Plantas_Y_A10*Coad_Y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SUMIFS('9'!$E:$E,'9'!$A:$A,Año_Inicial+9,'9'!$D:$D,"Otro insumo 1*")</f>
        <v>0</v>
      </c>
      <c r="D36" s="100">
        <f t="shared" si="45"/>
        <v>0</v>
      </c>
      <c r="E36" s="473"/>
      <c r="F36" s="101">
        <f>((A10_A_L1*Otro1_A)+(A10_B_L1*Otro1_B)+(A10_C_L1*Otro1_C)+(A10_D_L1*Otro1_D)+(A10_Y_L1*Otro1_Y))*Inflación_10</f>
        <v>0</v>
      </c>
      <c r="G36" s="101">
        <f>SUMIFS('9'!$E:$E,'9'!$A:$A,Año_Inicial+9,'9'!$B:$B,'12'!F$4,'9'!$D:$D,"Otro insumo 1*")</f>
        <v>0</v>
      </c>
      <c r="H36" s="101">
        <f>((A10_A_L2*Otro1_A)+(A10_B_L2*Otro1_B)+(A10_C_L2*Otro1_C)+(A10_D_L2*Otro1_D)+(A10_Y_L2*Otro1_Y))*Inflación_10</f>
        <v>0</v>
      </c>
      <c r="I36" s="101">
        <f>SUMIFS('9'!$E:$E,'9'!$A:$A,Año_Inicial+9,'9'!$B:$B,'12'!H$4,'9'!$D:$D,"Otro insumo 1*")</f>
        <v>0</v>
      </c>
      <c r="J36" s="101">
        <f>((A10_A_L3*Otro1_A)+(A10_B_L3*Otro1_B)+(A10_C_L3*Otro1_C)+(A10_D_L3*Otro1_D)+(A10_Y_L3*Otro1_Y))*Inflación_10</f>
        <v>0</v>
      </c>
      <c r="K36" s="101">
        <f>SUMIFS('9'!$E:$E,'9'!$A:$A,Año_Inicial+9,'9'!$B:$B,'12'!J$4,'9'!$D:$D,"Otro insumo 1*")</f>
        <v>0</v>
      </c>
      <c r="L36" s="101">
        <f>((A10_A_L4*Otro1_A)+(A10_B_L4*Otro1_B)+(A10_C_L4*Otro1_C)+(A10_D_L4*Otro1_D)+(A10_Y_L4*Otro1_Y))*Inflación_10</f>
        <v>0</v>
      </c>
      <c r="M36" s="101">
        <f>SUMIFS('9'!$E:$E,'9'!$A:$A,Año_Inicial+9,'9'!$B:$B,'12'!L$4,'9'!$D:$D,"Otro insumo 1*")</f>
        <v>0</v>
      </c>
      <c r="N36" s="101">
        <f>((A10_A_L5*Otro1_A)+(A10_B_L5*Otro1_B)+(A10_C_L5*Otro1_C)+(A10_D_L5*Otro1_D)+(A10_Y_L5*Otro1_Y))*Inflación_10</f>
        <v>0</v>
      </c>
      <c r="O36" s="101">
        <f>SUMIFS('9'!$E:$E,'9'!$A:$A,Año_Inicial+9,'9'!$B:$B,'12'!N$4,'9'!$D:$D,"Otro insumo 1*")</f>
        <v>0</v>
      </c>
      <c r="P36" s="101">
        <f>((A10_A_L6*Otro1_A)+(A10_B_L6*Otro1_B)+(A10_C_L6*Otro1_C)+(A10_D_L6*Otro1_D)+(A10_Y_L6*Otro1_Y))*Inflación_10</f>
        <v>0</v>
      </c>
      <c r="Q36" s="101">
        <f>SUMIFS('9'!$E:$E,'9'!$A:$A,Año_Inicial+9,'9'!$B:$B,'12'!P$4,'9'!$D:$D,"Otro insumo 1*")</f>
        <v>0</v>
      </c>
      <c r="R36" s="101">
        <f>((A10_A_L7*Otro1_A)+(A10_B_L7*Otro1_B)+(A10_C_L7*Otro1_C)+(A10_D_L7*Otro1_D)+(A10_Y_L7*Otro1_Y))*Inflación_10</f>
        <v>0</v>
      </c>
      <c r="S36" s="101">
        <f>SUMIFS('9'!$E:$E,'9'!$A:$A,Año_Inicial+9,'9'!$B:$B,'12'!R$4,'9'!$D:$D,"Otro insumo 1*")</f>
        <v>0</v>
      </c>
      <c r="T36" s="101">
        <f>((A10_A_L8*Otro1_A)+(A10_B_L8*Otro1_B)+(A10_C_L8*Otro1_C)+(A10_D_L8*Otro1_D)+(A10_Y_L8*Otro1_Y))*Inflación_10</f>
        <v>0</v>
      </c>
      <c r="U36" s="101">
        <f>SUMIFS('9'!$E:$E,'9'!$A:$A,Año_Inicial+9,'9'!$B:$B,'12'!T$4,'9'!$D:$D,"Otro insumo 1*")</f>
        <v>0</v>
      </c>
      <c r="V36" s="101">
        <f>((A10_A_L9*Otro1_A)+(A10_B_L9*Otro1_B)+(A10_C_L9*Otro1_C)+(A10_D_L9*Otro1_D)+(A10_Y_L9*Otro1_Y))*Inflación_10</f>
        <v>0</v>
      </c>
      <c r="W36" s="101">
        <f>SUMIFS('9'!$E:$E,'9'!$A:$A,Año_Inicial+9,'9'!$B:$B,'12'!V$4,'9'!$D:$D,"Otro insumo 1*")</f>
        <v>0</v>
      </c>
      <c r="X36" s="101">
        <f>((A10_A_L10*Otro1_A)+(A10_B_L10*Otro1_B)+(A10_C_L10*Otro1_C)+(A10_D_L10*Otro1_D)+(A10_Y_L10*Otro1_Y))*Inflación_10</f>
        <v>0</v>
      </c>
      <c r="Y36" s="101">
        <f>SUMIFS('9'!$E:$E,'9'!$A:$A,Año_Inicial+9,'9'!$B:$B,'12'!X$4,'9'!$D:$D,"Otro insumo 1*")</f>
        <v>0</v>
      </c>
      <c r="Z36" s="101">
        <f>((A10_A_L11*Otro1_A)+(A10_B_L11*Otro1_B)+(A10_C_L11*Otro1_C)+(A10_D_L11*Otro1_D)+(A10_Y_L11*Otro1_Y))*Inflación_10</f>
        <v>0</v>
      </c>
      <c r="AA36" s="101">
        <f>SUMIFS('9'!$E:$E,'9'!$A:$A,Año_Inicial+9,'9'!$B:$B,'12'!Z$4,'9'!$D:$D,"Otro insumo 1*")</f>
        <v>0</v>
      </c>
      <c r="AB36" s="101">
        <f>((A10_A_L12*Otro1_A)+(A10_B_L12*Otro1_B)+(A10_C_L12*Otro1_C)+(A10_D_L12*Otro1_D)+(A10_Y_L12*Otro1_Y))*Inflación_10</f>
        <v>0</v>
      </c>
      <c r="AC36" s="101">
        <f>SUMIFS('9'!$E:$E,'9'!$A:$A,Año_Inicial+9,'9'!$B:$B,'12'!AB$4,'9'!$D:$D,"Otro insumo 1*")</f>
        <v>0</v>
      </c>
      <c r="AD36" s="101">
        <f>((A10_A_L13*Otro1_A)+(A10_B_L13*Otro1_B)+(A10_C_L13*Otro1_C)+(A10_D_L13*Otro1_D)+(A10_Y_L13*Otro1_Y))*Inflación_10</f>
        <v>0</v>
      </c>
      <c r="AE36" s="101">
        <f>SUMIFS('9'!$E:$E,'9'!$A:$A,Año_Inicial+9,'9'!$B:$B,'12'!AD$4,'9'!$D:$D,"Otro insumo 1*")</f>
        <v>0</v>
      </c>
      <c r="AF36" s="101">
        <f>((A10_A_L14*Otro1_A)+(A10_B_L14*Otro1_B)+(A10_C_L14*Otro1_C)+(A10_D_L14*Otro1_D)+(A10_Y_L14*Otro1_Y))*Inflación_10</f>
        <v>0</v>
      </c>
      <c r="AG36" s="101">
        <f>SUMIFS('9'!$E:$E,'9'!$A:$A,Año_Inicial+9,'9'!$B:$B,'12'!AF$4,'9'!$D:$D,"Otro insumo 1*")</f>
        <v>0</v>
      </c>
      <c r="AH36" s="101">
        <f>((A10_A_L15*Otro1_A)+(A10_B_L15*Otro1_B)+(A10_C_L15*Otro1_C)+(A10_D_L15*Otro1_D)+(A10_Y_L15*Otro1_Y))*Inflación_10</f>
        <v>0</v>
      </c>
      <c r="AI36" s="101">
        <f>SUMIFS('9'!$E:$E,'9'!$A:$A,Año_Inicial+9,'9'!$B:$B,'12'!AH$4,'9'!$D:$D,"Otro insumo 1*")</f>
        <v>0</v>
      </c>
      <c r="AJ36" s="101">
        <f>((A10_A_L16*Otro1_A)+(A10_B_L16*Otro1_B)+(A10_C_L16*Otro1_C)+(A10_D_L16*Otro1_D)+(A10_Y_L16*Otro1_Y))*Inflación_10</f>
        <v>0</v>
      </c>
      <c r="AK36" s="101">
        <f>SUMIFS('9'!$E:$E,'9'!$A:$A,Año_Inicial+9,'9'!$B:$B,'12'!AJ$4,'9'!$D:$D,"Otro insumo 1*")</f>
        <v>0</v>
      </c>
      <c r="AL36" s="101">
        <f>((A10_A_L17*Otro1_A)+(A10_B_L17*Otro1_B)+(A10_C_L17*Otro1_C)+(A10_D_L17*Otro1_D)+(A10_Y_L17*Otro1_Y))*Inflación_10</f>
        <v>0</v>
      </c>
      <c r="AM36" s="101">
        <f>SUMIFS('9'!$E:$E,'9'!$A:$A,Año_Inicial+9,'9'!$B:$B,'12'!AL$4,'9'!$D:$D,"Otro insumo 1*")</f>
        <v>0</v>
      </c>
      <c r="AN36" s="101">
        <f>((A10_A_L18*Otro1_A)+(A10_B_L18*Otro1_B)+(A10_C_L18*Otro1_C)+(A10_D_L18*Otro1_D)+(A10_Y_L18*Otro1_Y))*Inflación_10</f>
        <v>0</v>
      </c>
      <c r="AO36" s="101">
        <f>SUMIFS('9'!$E:$E,'9'!$A:$A,Año_Inicial+9,'9'!$B:$B,'12'!AN$4,'9'!$D:$D,"Otro insumo 1*")</f>
        <v>0</v>
      </c>
      <c r="AP36" s="101">
        <f>((A10_A_L19*Otro1_A)+(A10_B_L19*Otro1_B)+(A10_C_L19*Otro1_C)+(A10_D_L19*Otro1_D)+(A10_Y_L19*Otro1_Y))*Inflación_10</f>
        <v>0</v>
      </c>
      <c r="AQ36" s="101">
        <f>SUMIFS('9'!$E:$E,'9'!$A:$A,Año_Inicial+9,'9'!$B:$B,'12'!AP$4,'9'!$D:$D,"Otro insumo 1*")</f>
        <v>0</v>
      </c>
      <c r="AR36" s="101">
        <f>((A10_A_L20*Otro1_A)+(A10_B_L20*Otro1_B)+(A10_C_L20*Otro1_C)+(A10_D_L20*Otro1_D)+(A10_Y_L20*Otro1_Y))*Inflación_10</f>
        <v>0</v>
      </c>
      <c r="AS36" s="101">
        <f>SUMIFS('9'!$E:$E,'9'!$A:$A,Año_Inicial+9,'9'!$B:$B,'12'!AR$4,'9'!$D:$D,"Otro insumo 1*")</f>
        <v>0</v>
      </c>
      <c r="AT36" s="101">
        <f>((A10_A_L21*Otro1_A)+(A10_B_L21*Otro1_B)+(A10_C_L21*Otro1_C)+(A10_D_L21*Otro1_D)+(A10_Y_L21*Otro1_Y))*Inflación_10</f>
        <v>0</v>
      </c>
      <c r="AU36" s="101">
        <f>SUMIFS('9'!$E:$E,'9'!$A:$A,Año_Inicial+9,'9'!$B:$B,'12'!AT$4,'9'!$D:$D,"Otro insumo 1*")</f>
        <v>0</v>
      </c>
      <c r="AV36" s="101">
        <f>((A10_A_L22*Otro1_A)+(A10_B_L22*Otro1_B)+(A10_C_L22*Otro1_C)+(A10_D_L22*Otro1_D)+(A10_Y_L22*Otro1_Y))*Inflación_10</f>
        <v>0</v>
      </c>
      <c r="AW36" s="101">
        <f>SUMIFS('9'!$E:$E,'9'!$A:$A,Año_Inicial+9,'9'!$B:$B,'12'!AV$4,'9'!$D:$D,"Otro insumo 1*")</f>
        <v>0</v>
      </c>
      <c r="AX36" s="101">
        <f>((A10_A_L23*Otro1_A)+(A10_B_L23*Otro1_B)+(A10_C_L23*Otro1_C)+(A10_D_L23*Otro1_D)+(A10_Y_L23*Otro1_Y))*Inflación_10</f>
        <v>0</v>
      </c>
      <c r="AY36" s="101">
        <f>SUMIFS('9'!$E:$E,'9'!$A:$A,Año_Inicial+9,'9'!$B:$B,'12'!AX$4,'9'!$D:$D,"Otro insumo 1*")</f>
        <v>0</v>
      </c>
      <c r="AZ36" s="101">
        <f>((A10_A_L24*Otro1_A)+(A10_B_L24*Otro1_B)+(A10_C_L24*Otro1_C)+(A10_D_L24*Otro1_D)+(A10_Y_L24*Otro1_Y))*Inflación_10</f>
        <v>0</v>
      </c>
      <c r="BA36" s="101">
        <f>SUMIFS('9'!$E:$E,'9'!$A:$A,Año_Inicial+9,'9'!$B:$B,'12'!AZ$4,'9'!$D:$D,"Otro insumo 1*")</f>
        <v>0</v>
      </c>
      <c r="BB36" s="101">
        <f>((A10_A_L25*Otro1_A)+(A10_B_L25*Otro1_B)+(A10_C_L25*Otro1_C)+(A10_D_L25*Otro1_D)+(A10_Y_L25*Otro1_Y))*Inflación_10</f>
        <v>0</v>
      </c>
      <c r="BC36" s="101">
        <f>SUMIFS('9'!$E:$E,'9'!$A:$A,Año_Inicial+9,'9'!$B:$B,'12'!BB$4,'9'!$D:$D,"Otro insumo 1*")</f>
        <v>0</v>
      </c>
      <c r="BD36" s="101">
        <f>((A10_A_L26*Otro1_A)+(A10_B_L26*Otro1_B)+(A10_C_L26*Otro1_C)+(A10_D_L26*Otro1_D)+(A10_Y_L26*Otro1_Y))*Inflación_10</f>
        <v>0</v>
      </c>
      <c r="BE36" s="101">
        <f>SUMIFS('9'!$E:$E,'9'!$A:$A,Año_Inicial+9,'9'!$B:$B,'12'!BD$4,'9'!$D:$D,"Otro insumo 1*")</f>
        <v>0</v>
      </c>
      <c r="BF36" s="101">
        <f>((A10_A_L27*Otro1_A)+(A10_B_L27*Otro1_B)+(A10_C_L27*Otro1_C)+(A10_D_L27*Otro1_D)+(A10_Y_L27*Otro1_Y))*Inflación_10</f>
        <v>0</v>
      </c>
      <c r="BG36" s="101">
        <f>SUMIFS('9'!$E:$E,'9'!$A:$A,Año_Inicial+9,'9'!$B:$B,'12'!BF$4,'9'!$D:$D,"Otro insumo 1*")</f>
        <v>0</v>
      </c>
      <c r="BH36" s="101">
        <f>((A10_A_L28*Otro1_A)+(A10_B_L28*Otro1_B)+(A10_C_L28*Otro1_C)+(A10_D_L28*Otro1_D)+(A10_Y_L28*Otro1_Y))*Inflación_10</f>
        <v>0</v>
      </c>
      <c r="BI36" s="101">
        <f>SUMIFS('9'!$E:$E,'9'!$A:$A,Año_Inicial+9,'9'!$B:$B,'12'!BH$4,'9'!$D:$D,"Otro insumo 1*")</f>
        <v>0</v>
      </c>
      <c r="BJ36" s="101">
        <f>((A10_A_L29*Otro1_A)+(A10_B_L29*Otro1_B)+(A10_C_L29*Otro1_C)+(A10_D_L29*Otro1_D)+(A10_Y_L29*Otro1_Y))*Inflación_10</f>
        <v>0</v>
      </c>
      <c r="BK36" s="101">
        <f>SUMIFS('9'!$E:$E,'9'!$A:$A,Año_Inicial+9,'9'!$B:$B,'12'!BJ$4,'9'!$D:$D,"Otro insumo 1*")</f>
        <v>0</v>
      </c>
      <c r="BL36" s="101">
        <f>((A10_A_L30*Otro1_A)+(A10_B_L30*Otro1_B)+(A10_C_L30*Otro1_C)+(A10_D_L30*Otro1_D)+(A10_Y_L30*Otro1_Y))*Inflación_10</f>
        <v>0</v>
      </c>
      <c r="BM36" s="101">
        <f>SUMIFS('9'!$E:$E,'9'!$A:$A,Año_Inicial+9,'9'!$B:$B,'12'!BL$4,'9'!$D:$D,"Otro insumo 1*")</f>
        <v>0</v>
      </c>
      <c r="BN36" s="101">
        <f>((A10_A_L31*Otro1_A)+(A10_B_L31*Otro1_B)+(A10_C_L31*Otro1_C)+(A10_D_L31*Otro1_D)+(A10_Y_L31*Otro1_Y))*Inflación_10</f>
        <v>0</v>
      </c>
      <c r="BO36" s="101">
        <f>SUMIFS('9'!$E:$E,'9'!$A:$A,Año_Inicial+9,'9'!$B:$B,'12'!BN$4,'9'!$D:$D,"Otro insumo 1*")</f>
        <v>0</v>
      </c>
      <c r="BP36" s="101">
        <f>((A10_A_L32*Otro1_A)+(A10_B_L32*Otro1_B)+(A10_C_L32*Otro1_C)+(A10_D_L32*Otro1_D)+(A10_Y_L32*Otro1_Y))*Inflación_10</f>
        <v>0</v>
      </c>
      <c r="BQ36" s="101">
        <f>SUMIFS('9'!$E:$E,'9'!$A:$A,Año_Inicial+9,'9'!$B:$B,'12'!BP$4,'9'!$D:$D,"Otro insumo 1*")</f>
        <v>0</v>
      </c>
      <c r="BR36" s="101">
        <f>((A10_A_L33*Otro1_A)+(A10_B_L33*Otro1_B)+(A10_C_L33*Otro1_C)+(A10_D_L33*Otro1_D)+(A10_Y_L33*Otro1_Y))*Inflación_10</f>
        <v>0</v>
      </c>
      <c r="BS36" s="101">
        <f>SUMIFS('9'!$E:$E,'9'!$A:$A,Año_Inicial+9,'9'!$B:$B,'12'!BR$4,'9'!$D:$D,"Otro insumo 1*")</f>
        <v>0</v>
      </c>
      <c r="BT36" s="101">
        <f>((A10_A_L34*Otro1_A)+(A10_B_L34*Otro1_B)+(A10_C_L34*Otro1_C)+(A10_D_L34*Otro1_D)+(A10_Y_L34*Otro1_Y))*Inflación_10</f>
        <v>0</v>
      </c>
      <c r="BU36" s="101">
        <f>SUMIFS('9'!$E:$E,'9'!$A:$A,Año_Inicial+9,'9'!$B:$B,'12'!BT$4,'9'!$D:$D,"Otro insumo 1*")</f>
        <v>0</v>
      </c>
      <c r="BV36" s="101">
        <f>((A10_A_L35*Otro1_A)+(A10_B_L35*Otro1_B)+(A10_C_L35*Otro1_C)+(A10_D_L35*Otro1_D)+(A10_Y_L35*Otro1_Y))*Inflación_10</f>
        <v>0</v>
      </c>
      <c r="BW36" s="101">
        <f>SUMIFS('9'!$E:$E,'9'!$A:$A,Año_Inicial+9,'9'!$B:$B,'12'!BV$4,'9'!$D:$D,"Otro insumo 1*")</f>
        <v>0</v>
      </c>
      <c r="BX36" s="101">
        <f>((A10_A_L36*Otro1_A)+(A10_B_L36*Otro1_B)+(A10_C_L36*Otro1_C)+(A10_D_L36*Otro1_D)+(A10_Y_L36*Otro1_Y))*Inflación_10</f>
        <v>0</v>
      </c>
      <c r="BY36" s="101">
        <f>SUMIFS('9'!$E:$E,'9'!$A:$A,Año_Inicial+9,'9'!$B:$B,'12'!BX$4,'9'!$D:$D,"Otro insumo 1*")</f>
        <v>0</v>
      </c>
      <c r="BZ36" s="101">
        <f>((A10_A_L37*Otro1_A)+(A10_B_L37*Otro1_B)+(A10_C_L37*Otro1_C)+(A10_D_L37*Otro1_D)+(A10_Y_L37*Otro1_Y))*Inflación_10</f>
        <v>0</v>
      </c>
      <c r="CA36" s="101">
        <f>SUMIFS('9'!$E:$E,'9'!$A:$A,Año_Inicial+9,'9'!$B:$B,'12'!BZ$4,'9'!$D:$D,"Otro insumo 1*")</f>
        <v>0</v>
      </c>
      <c r="CB36" s="101">
        <f>((A10_A_L38*Otro1_A)+(A10_B_L38*Otro1_B)+(A10_C_L38*Otro1_C)+(A10_D_L38*Otro1_D)+(A10_Y_L38*Otro1_Y))*Inflación_10</f>
        <v>0</v>
      </c>
      <c r="CC36" s="101">
        <f>SUMIFS('9'!$E:$E,'9'!$A:$A,Año_Inicial+9,'9'!$B:$B,'12'!CB$4,'9'!$D:$D,"Otro insumo 1*")</f>
        <v>0</v>
      </c>
      <c r="CD36" s="101">
        <f>((A10_A_L39*Otro1_A)+(A10_B_L39*Otro1_B)+(A10_C_L39*Otro1_C)+(A10_D_L39*Otro1_D)+(A10_Y_L39*Otro1_Y))*Inflación_10</f>
        <v>0</v>
      </c>
      <c r="CE36" s="101">
        <f>SUMIFS('9'!$E:$E,'9'!$A:$A,Año_Inicial+9,'9'!$B:$B,'12'!CD$4,'9'!$D:$D,"Otro insumo 1*")</f>
        <v>0</v>
      </c>
      <c r="CF36" s="101">
        <f>((A10_A_L40*Otro1_A)+(A10_B_L40*Otro1_B)+(A10_C_L40*Otro1_C)+(A10_D_L40*Otro1_D)+(A10_Y_L40*Otro1_Y))*Inflación_10</f>
        <v>0</v>
      </c>
      <c r="CG36" s="101">
        <f>SUMIFS('9'!$E:$E,'9'!$A:$A,Año_Inicial+9,'9'!$B:$B,'12'!CF$4,'9'!$D:$D,"Otro insumo 1*")</f>
        <v>0</v>
      </c>
      <c r="CH36" s="473"/>
      <c r="CI36" s="101">
        <f>Plantas_A_A10*Otro1_A*Inflación_10</f>
        <v>0</v>
      </c>
      <c r="CJ36" s="101">
        <f>Plantas_B_A10*Otro1_B</f>
        <v>0</v>
      </c>
      <c r="CK36" s="101">
        <f>Plantas_C_A10*Otro1_C</f>
        <v>0</v>
      </c>
      <c r="CL36" s="101">
        <f>Plantas_D_A10*Otro1_D</f>
        <v>0</v>
      </c>
      <c r="CM36" s="101"/>
      <c r="CN36" s="101">
        <f>Plantas_Y_A10*Otro1_Y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SUMIFS('9'!$E:$E,'9'!$A:$A,Año_Inicial+9,'9'!$D:$D,"Otro insumo 2*")</f>
        <v>0</v>
      </c>
      <c r="D37" s="100">
        <f t="shared" si="45"/>
        <v>0</v>
      </c>
      <c r="E37" s="473"/>
      <c r="F37" s="101">
        <f>((A10_A_L1*Otro2_A)+(A10_B_L1*Otro2_B)+(A10_C_L1*Otro2_C)+(A10_D_L1*Otro2_D)+(A10_Y_L1*Otro2_Y))*Inflación_10</f>
        <v>0</v>
      </c>
      <c r="G37" s="101">
        <f>SUMIFS('9'!$E:$E,'9'!$A:$A,Año_Inicial+9,'9'!$B:$B,'12'!F$4,'9'!$D:$D,"Otro insumo 2*")</f>
        <v>0</v>
      </c>
      <c r="H37" s="101">
        <f>((A10_A_L2*Otro2_A)+(A10_B_L2*Otro2_B)+(A10_C_L2*Otro2_C)+(A10_D_L2*Otro2_D)+(A10_Y_L2*Otro2_Y))*Inflación_10</f>
        <v>0</v>
      </c>
      <c r="I37" s="101">
        <f>SUMIFS('9'!$E:$E,'9'!$A:$A,Año_Inicial+9,'9'!$B:$B,'12'!H$4,'9'!$D:$D,"Otro insumo 2*")</f>
        <v>0</v>
      </c>
      <c r="J37" s="101">
        <f>((A10_A_L3*Otro2_A)+(A10_B_L3*Otro2_B)+(A10_C_L3*Otro2_C)+(A10_D_L3*Otro2_D)+(A10_Y_L3*Otro2_Y))*Inflación_10</f>
        <v>0</v>
      </c>
      <c r="K37" s="101">
        <f>SUMIFS('9'!$E:$E,'9'!$A:$A,Año_Inicial+9,'9'!$B:$B,'12'!J$4,'9'!$D:$D,"Otro insumo 2*")</f>
        <v>0</v>
      </c>
      <c r="L37" s="101">
        <f>((A10_A_L4*Otro2_A)+(A10_B_L4*Otro2_B)+(A10_C_L4*Otro2_C)+(A10_D_L4*Otro2_D)+(A10_Y_L4*Otro2_Y))*Inflación_10</f>
        <v>0</v>
      </c>
      <c r="M37" s="101">
        <f>SUMIFS('9'!$E:$E,'9'!$A:$A,Año_Inicial+9,'9'!$B:$B,'12'!L$4,'9'!$D:$D,"Otro insumo 2*")</f>
        <v>0</v>
      </c>
      <c r="N37" s="101">
        <f>((A10_A_L5*Otro2_A)+(A10_B_L5*Otro2_B)+(A10_C_L5*Otro2_C)+(A10_D_L5*Otro2_D)+(A10_Y_L5*Otro2_Y))*Inflación_10</f>
        <v>0</v>
      </c>
      <c r="O37" s="101">
        <f>SUMIFS('9'!$E:$E,'9'!$A:$A,Año_Inicial+9,'9'!$B:$B,'12'!N$4,'9'!$D:$D,"Otro insumo 2*")</f>
        <v>0</v>
      </c>
      <c r="P37" s="101">
        <f>((A10_A_L6*Otro2_A)+(A10_B_L6*Otro2_B)+(A10_C_L6*Otro2_C)+(A10_D_L6*Otro2_D)+(A10_Y_L6*Otro2_Y))*Inflación_10</f>
        <v>0</v>
      </c>
      <c r="Q37" s="101">
        <f>SUMIFS('9'!$E:$E,'9'!$A:$A,Año_Inicial+9,'9'!$B:$B,'12'!P$4,'9'!$D:$D,"Otro insumo 2*")</f>
        <v>0</v>
      </c>
      <c r="R37" s="101">
        <f>((A10_A_L7*Otro2_A)+(A10_B_L7*Otro2_B)+(A10_C_L7*Otro2_C)+(A10_D_L7*Otro2_D)+(A10_Y_L7*Otro2_Y))*Inflación_10</f>
        <v>0</v>
      </c>
      <c r="S37" s="101">
        <f>SUMIFS('9'!$E:$E,'9'!$A:$A,Año_Inicial+9,'9'!$B:$B,'12'!R$4,'9'!$D:$D,"Otro insumo 2*")</f>
        <v>0</v>
      </c>
      <c r="T37" s="101">
        <f>((A10_A_L8*Otro2_A)+(A10_B_L8*Otro2_B)+(A10_C_L8*Otro2_C)+(A10_D_L8*Otro2_D)+(A10_Y_L8*Otro2_Y))*Inflación_10</f>
        <v>0</v>
      </c>
      <c r="U37" s="101">
        <f>SUMIFS('9'!$E:$E,'9'!$A:$A,Año_Inicial+9,'9'!$B:$B,'12'!T$4,'9'!$D:$D,"Otro insumo 2*")</f>
        <v>0</v>
      </c>
      <c r="V37" s="101">
        <f>((A10_A_L9*Otro2_A)+(A10_B_L9*Otro2_B)+(A10_C_L9*Otro2_C)+(A10_D_L9*Otro2_D)+(A10_Y_L9*Otro2_Y))*Inflación_10</f>
        <v>0</v>
      </c>
      <c r="W37" s="101">
        <f>SUMIFS('9'!$E:$E,'9'!$A:$A,Año_Inicial+9,'9'!$B:$B,'12'!V$4,'9'!$D:$D,"Otro insumo 2*")</f>
        <v>0</v>
      </c>
      <c r="X37" s="101">
        <f>((A10_A_L10*Otro2_A)+(A10_B_L10*Otro2_B)+(A10_C_L10*Otro2_C)+(A10_D_L10*Otro2_D)+(A10_Y_L10*Otro2_Y))*Inflación_10</f>
        <v>0</v>
      </c>
      <c r="Y37" s="101">
        <f>SUMIFS('9'!$E:$E,'9'!$A:$A,Año_Inicial+9,'9'!$B:$B,'12'!X$4,'9'!$D:$D,"Otro insumo 2*")</f>
        <v>0</v>
      </c>
      <c r="Z37" s="101">
        <f>((A10_A_L11*Otro2_A)+(A10_B_L11*Otro2_B)+(A10_C_L11*Otro2_C)+(A10_D_L11*Otro2_D)+(A10_Y_L11*Otro2_Y))*Inflación_10</f>
        <v>0</v>
      </c>
      <c r="AA37" s="101">
        <f>SUMIFS('9'!$E:$E,'9'!$A:$A,Año_Inicial+9,'9'!$B:$B,'12'!Z$4,'9'!$D:$D,"Otro insumo 2*")</f>
        <v>0</v>
      </c>
      <c r="AB37" s="101">
        <f>((A10_A_L12*Otro2_A)+(A10_B_L12*Otro2_B)+(A10_C_L12*Otro2_C)+(A10_D_L12*Otro2_D)+(A10_Y_L12*Otro2_Y))*Inflación_10</f>
        <v>0</v>
      </c>
      <c r="AC37" s="101">
        <f>SUMIFS('9'!$E:$E,'9'!$A:$A,Año_Inicial+9,'9'!$B:$B,'12'!AB$4,'9'!$D:$D,"Otro insumo 2*")</f>
        <v>0</v>
      </c>
      <c r="AD37" s="101">
        <f>((A10_A_L13*Otro2_A)+(A10_B_L13*Otro2_B)+(A10_C_L13*Otro2_C)+(A10_D_L13*Otro2_D)+(A10_Y_L13*Otro2_Y))*Inflación_10</f>
        <v>0</v>
      </c>
      <c r="AE37" s="101">
        <f>SUMIFS('9'!$E:$E,'9'!$A:$A,Año_Inicial+9,'9'!$B:$B,'12'!AD$4,'9'!$D:$D,"Otro insumo 2*")</f>
        <v>0</v>
      </c>
      <c r="AF37" s="101">
        <f>((A10_A_L14*Otro2_A)+(A10_B_L14*Otro2_B)+(A10_C_L14*Otro2_C)+(A10_D_L14*Otro2_D)+(A10_Y_L14*Otro2_Y))*Inflación_10</f>
        <v>0</v>
      </c>
      <c r="AG37" s="101">
        <f>SUMIFS('9'!$E:$E,'9'!$A:$A,Año_Inicial+9,'9'!$B:$B,'12'!AF$4,'9'!$D:$D,"Otro insumo 2*")</f>
        <v>0</v>
      </c>
      <c r="AH37" s="101">
        <f>((A10_A_L15*Otro2_A)+(A10_B_L15*Otro2_B)+(A10_C_L15*Otro2_C)+(A10_D_L15*Otro2_D)+(A10_Y_L15*Otro2_Y))*Inflación_10</f>
        <v>0</v>
      </c>
      <c r="AI37" s="101">
        <f>SUMIFS('9'!$E:$E,'9'!$A:$A,Año_Inicial+9,'9'!$B:$B,'12'!AH$4,'9'!$D:$D,"Otro insumo 2*")</f>
        <v>0</v>
      </c>
      <c r="AJ37" s="101">
        <f>((A10_A_L16*Otro2_A)+(A10_B_L16*Otro2_B)+(A10_C_L16*Otro2_C)+(A10_D_L16*Otro2_D)+(A10_Y_L16*Otro2_Y))*Inflación_10</f>
        <v>0</v>
      </c>
      <c r="AK37" s="101">
        <f>SUMIFS('9'!$E:$E,'9'!$A:$A,Año_Inicial+9,'9'!$B:$B,'12'!AJ$4,'9'!$D:$D,"Otro insumo 2*")</f>
        <v>0</v>
      </c>
      <c r="AL37" s="101">
        <f>((A10_A_L17*Otro2_A)+(A10_B_L17*Otro2_B)+(A10_C_L17*Otro2_C)+(A10_D_L17*Otro2_D)+(A10_Y_L17*Otro2_Y))*Inflación_10</f>
        <v>0</v>
      </c>
      <c r="AM37" s="101">
        <f>SUMIFS('9'!$E:$E,'9'!$A:$A,Año_Inicial+9,'9'!$B:$B,'12'!AL$4,'9'!$D:$D,"Otro insumo 2*")</f>
        <v>0</v>
      </c>
      <c r="AN37" s="101">
        <f>((A10_A_L18*Otro2_A)+(A10_B_L18*Otro2_B)+(A10_C_L18*Otro2_C)+(A10_D_L18*Otro2_D)+(A10_Y_L18*Otro2_Y))*Inflación_10</f>
        <v>0</v>
      </c>
      <c r="AO37" s="101">
        <f>SUMIFS('9'!$E:$E,'9'!$A:$A,Año_Inicial+9,'9'!$B:$B,'12'!AN$4,'9'!$D:$D,"Otro insumo 2*")</f>
        <v>0</v>
      </c>
      <c r="AP37" s="101">
        <f>((A10_A_L19*Otro2_A)+(A10_B_L19*Otro2_B)+(A10_C_L19*Otro2_C)+(A10_D_L19*Otro2_D)+(A10_Y_L19*Otro2_Y))*Inflación_10</f>
        <v>0</v>
      </c>
      <c r="AQ37" s="101">
        <f>SUMIFS('9'!$E:$E,'9'!$A:$A,Año_Inicial+9,'9'!$B:$B,'12'!AP$4,'9'!$D:$D,"Otro insumo 2*")</f>
        <v>0</v>
      </c>
      <c r="AR37" s="101">
        <f>((A10_A_L20*Otro2_A)+(A10_B_L20*Otro2_B)+(A10_C_L20*Otro2_C)+(A10_D_L20*Otro2_D)+(A10_Y_L20*Otro2_Y))*Inflación_10</f>
        <v>0</v>
      </c>
      <c r="AS37" s="101">
        <f>SUMIFS('9'!$E:$E,'9'!$A:$A,Año_Inicial+9,'9'!$B:$B,'12'!AR$4,'9'!$D:$D,"Otro insumo 2*")</f>
        <v>0</v>
      </c>
      <c r="AT37" s="101">
        <f>((A10_A_L21*Otro2_A)+(A10_B_L21*Otro2_B)+(A10_C_L21*Otro2_C)+(A10_D_L21*Otro2_D)+(A10_Y_L21*Otro2_Y))*Inflación_10</f>
        <v>0</v>
      </c>
      <c r="AU37" s="101">
        <f>SUMIFS('9'!$E:$E,'9'!$A:$A,Año_Inicial+9,'9'!$B:$B,'12'!AT$4,'9'!$D:$D,"Otro insumo 2*")</f>
        <v>0</v>
      </c>
      <c r="AV37" s="101">
        <f>((A10_A_L22*Otro2_A)+(A10_B_L22*Otro2_B)+(A10_C_L22*Otro2_C)+(A10_D_L22*Otro2_D)+(A10_Y_L22*Otro2_Y))*Inflación_10</f>
        <v>0</v>
      </c>
      <c r="AW37" s="101">
        <f>SUMIFS('9'!$E:$E,'9'!$A:$A,Año_Inicial+9,'9'!$B:$B,'12'!AV$4,'9'!$D:$D,"Otro insumo 2*")</f>
        <v>0</v>
      </c>
      <c r="AX37" s="101">
        <f>((A10_A_L23*Otro2_A)+(A10_B_L23*Otro2_B)+(A10_C_L23*Otro2_C)+(A10_D_L23*Otro2_D)+(A10_Y_L23*Otro2_Y))*Inflación_10</f>
        <v>0</v>
      </c>
      <c r="AY37" s="101">
        <f>SUMIFS('9'!$E:$E,'9'!$A:$A,Año_Inicial+9,'9'!$B:$B,'12'!AX$4,'9'!$D:$D,"Otro insumo 2*")</f>
        <v>0</v>
      </c>
      <c r="AZ37" s="101">
        <f>((A10_A_L24*Otro2_A)+(A10_B_L24*Otro2_B)+(A10_C_L24*Otro2_C)+(A10_D_L24*Otro2_D)+(A10_Y_L24*Otro2_Y))*Inflación_10</f>
        <v>0</v>
      </c>
      <c r="BA37" s="101">
        <f>SUMIFS('9'!$E:$E,'9'!$A:$A,Año_Inicial+9,'9'!$B:$B,'12'!AZ$4,'9'!$D:$D,"Otro insumo 2*")</f>
        <v>0</v>
      </c>
      <c r="BB37" s="101">
        <f>((A10_A_L25*Otro2_A)+(A10_B_L25*Otro2_B)+(A10_C_L25*Otro2_C)+(A10_D_L25*Otro2_D)+(A10_Y_L25*Otro2_Y))*Inflación_10</f>
        <v>0</v>
      </c>
      <c r="BC37" s="101">
        <f>SUMIFS('9'!$E:$E,'9'!$A:$A,Año_Inicial+9,'9'!$B:$B,'12'!BB$4,'9'!$D:$D,"Otro insumo 2*")</f>
        <v>0</v>
      </c>
      <c r="BD37" s="101">
        <f>((A10_A_L26*Otro2_A)+(A10_B_L26*Otro2_B)+(A10_C_L26*Otro2_C)+(A10_D_L26*Otro2_D)+(A10_Y_L26*Otro2_Y))*Inflación_10</f>
        <v>0</v>
      </c>
      <c r="BE37" s="101">
        <f>SUMIFS('9'!$E:$E,'9'!$A:$A,Año_Inicial+9,'9'!$B:$B,'12'!BD$4,'9'!$D:$D,"Otro insumo 2*")</f>
        <v>0</v>
      </c>
      <c r="BF37" s="101">
        <f>((A10_A_L27*Otro2_A)+(A10_B_L27*Otro2_B)+(A10_C_L27*Otro2_C)+(A10_D_L27*Otro2_D)+(A10_Y_L27*Otro2_Y))*Inflación_10</f>
        <v>0</v>
      </c>
      <c r="BG37" s="101">
        <f>SUMIFS('9'!$E:$E,'9'!$A:$A,Año_Inicial+9,'9'!$B:$B,'12'!BF$4,'9'!$D:$D,"Otro insumo 2*")</f>
        <v>0</v>
      </c>
      <c r="BH37" s="101">
        <f>((A10_A_L28*Otro2_A)+(A10_B_L28*Otro2_B)+(A10_C_L28*Otro2_C)+(A10_D_L28*Otro2_D)+(A10_Y_L28*Otro2_Y))*Inflación_10</f>
        <v>0</v>
      </c>
      <c r="BI37" s="101">
        <f>SUMIFS('9'!$E:$E,'9'!$A:$A,Año_Inicial+9,'9'!$B:$B,'12'!BH$4,'9'!$D:$D,"Otro insumo 2*")</f>
        <v>0</v>
      </c>
      <c r="BJ37" s="101">
        <f>((A10_A_L29*Otro2_A)+(A10_B_L29*Otro2_B)+(A10_C_L29*Otro2_C)+(A10_D_L29*Otro2_D)+(A10_Y_L29*Otro2_Y))*Inflación_10</f>
        <v>0</v>
      </c>
      <c r="BK37" s="101">
        <f>SUMIFS('9'!$E:$E,'9'!$A:$A,Año_Inicial+9,'9'!$B:$B,'12'!BJ$4,'9'!$D:$D,"Otro insumo 2*")</f>
        <v>0</v>
      </c>
      <c r="BL37" s="101">
        <f>((A10_A_L30*Otro2_A)+(A10_B_L30*Otro2_B)+(A10_C_L30*Otro2_C)+(A10_D_L30*Otro2_D)+(A10_Y_L30*Otro2_Y))*Inflación_10</f>
        <v>0</v>
      </c>
      <c r="BM37" s="101">
        <f>SUMIFS('9'!$E:$E,'9'!$A:$A,Año_Inicial+9,'9'!$B:$B,'12'!BL$4,'9'!$D:$D,"Otro insumo 2*")</f>
        <v>0</v>
      </c>
      <c r="BN37" s="101">
        <f>((A10_A_L31*Otro2_A)+(A10_B_L31*Otro2_B)+(A10_C_L31*Otro2_C)+(A10_D_L31*Otro2_D)+(A10_Y_L31*Otro2_Y))*Inflación_10</f>
        <v>0</v>
      </c>
      <c r="BO37" s="101">
        <f>SUMIFS('9'!$E:$E,'9'!$A:$A,Año_Inicial+9,'9'!$B:$B,'12'!BN$4,'9'!$D:$D,"Otro insumo 2*")</f>
        <v>0</v>
      </c>
      <c r="BP37" s="101">
        <f>((A10_A_L32*Otro2_A)+(A10_B_L32*Otro2_B)+(A10_C_L32*Otro2_C)+(A10_D_L32*Otro2_D)+(A10_Y_L32*Otro2_Y))*Inflación_10</f>
        <v>0</v>
      </c>
      <c r="BQ37" s="101">
        <f>SUMIFS('9'!$E:$E,'9'!$A:$A,Año_Inicial+9,'9'!$B:$B,'12'!BP$4,'9'!$D:$D,"Otro insumo 2*")</f>
        <v>0</v>
      </c>
      <c r="BR37" s="101">
        <f>((A10_A_L33*Otro2_A)+(A10_B_L33*Otro2_B)+(A10_C_L33*Otro2_C)+(A10_D_L33*Otro2_D)+(A10_Y_L33*Otro2_Y))*Inflación_10</f>
        <v>0</v>
      </c>
      <c r="BS37" s="101">
        <f>SUMIFS('9'!$E:$E,'9'!$A:$A,Año_Inicial+9,'9'!$B:$B,'12'!BR$4,'9'!$D:$D,"Otro insumo 2*")</f>
        <v>0</v>
      </c>
      <c r="BT37" s="101">
        <f>((A10_A_L34*Otro2_A)+(A10_B_L34*Otro2_B)+(A10_C_L34*Otro2_C)+(A10_D_L34*Otro2_D)+(A10_Y_L34*Otro2_Y))*Inflación_10</f>
        <v>0</v>
      </c>
      <c r="BU37" s="101">
        <f>SUMIFS('9'!$E:$E,'9'!$A:$A,Año_Inicial+9,'9'!$B:$B,'12'!BT$4,'9'!$D:$D,"Otro insumo 2*")</f>
        <v>0</v>
      </c>
      <c r="BV37" s="101">
        <f>((A10_A_L35*Otro2_A)+(A10_B_L35*Otro2_B)+(A10_C_L35*Otro2_C)+(A10_D_L35*Otro2_D)+(A10_Y_L35*Otro2_Y))*Inflación_10</f>
        <v>0</v>
      </c>
      <c r="BW37" s="101">
        <f>SUMIFS('9'!$E:$E,'9'!$A:$A,Año_Inicial+9,'9'!$B:$B,'12'!BV$4,'9'!$D:$D,"Otro insumo 2*")</f>
        <v>0</v>
      </c>
      <c r="BX37" s="101">
        <f>((A10_A_L36*Otro2_A)+(A10_B_L36*Otro2_B)+(A10_C_L36*Otro2_C)+(A10_D_L36*Otro2_D)+(A10_Y_L36*Otro2_Y))*Inflación_10</f>
        <v>0</v>
      </c>
      <c r="BY37" s="101">
        <f>SUMIFS('9'!$E:$E,'9'!$A:$A,Año_Inicial+9,'9'!$B:$B,'12'!BX$4,'9'!$D:$D,"Otro insumo 2*")</f>
        <v>0</v>
      </c>
      <c r="BZ37" s="101">
        <f>((A10_A_L37*Otro2_A)+(A10_B_L37*Otro2_B)+(A10_C_L37*Otro2_C)+(A10_D_L37*Otro2_D)+(A10_Y_L37*Otro2_Y))*Inflación_10</f>
        <v>0</v>
      </c>
      <c r="CA37" s="101">
        <f>SUMIFS('9'!$E:$E,'9'!$A:$A,Año_Inicial+9,'9'!$B:$B,'12'!BZ$4,'9'!$D:$D,"Otro insumo 2*")</f>
        <v>0</v>
      </c>
      <c r="CB37" s="101">
        <f>((A10_A_L38*Otro2_A)+(A10_B_L38*Otro2_B)+(A10_C_L38*Otro2_C)+(A10_D_L38*Otro2_D)+(A10_Y_L38*Otro2_Y))*Inflación_10</f>
        <v>0</v>
      </c>
      <c r="CC37" s="101">
        <f>SUMIFS('9'!$E:$E,'9'!$A:$A,Año_Inicial+9,'9'!$B:$B,'12'!CB$4,'9'!$D:$D,"Otro insumo 2*")</f>
        <v>0</v>
      </c>
      <c r="CD37" s="101">
        <f>((A10_A_L39*Otro2_A)+(A10_B_L39*Otro2_B)+(A10_C_L39*Otro2_C)+(A10_D_L39*Otro2_D)+(A10_Y_L39*Otro2_Y))*Inflación_10</f>
        <v>0</v>
      </c>
      <c r="CE37" s="101">
        <f>SUMIFS('9'!$E:$E,'9'!$A:$A,Año_Inicial+9,'9'!$B:$B,'12'!CD$4,'9'!$D:$D,"Otro insumo 2*")</f>
        <v>0</v>
      </c>
      <c r="CF37" s="101">
        <f>((A10_A_L40*Otro2_A)+(A10_B_L40*Otro2_B)+(A10_C_L40*Otro2_C)+(A10_D_L40*Otro2_D)+(A10_Y_L40*Otro2_Y))*Inflación_10</f>
        <v>0</v>
      </c>
      <c r="CG37" s="101">
        <f>SUMIFS('9'!$E:$E,'9'!$A:$A,Año_Inicial+9,'9'!$B:$B,'12'!CF$4,'9'!$D:$D,"Otro insumo 2*")</f>
        <v>0</v>
      </c>
      <c r="CH37" s="473"/>
      <c r="CI37" s="101">
        <f>Plantas_A_A10*Otro2_A*Inflación_10</f>
        <v>0</v>
      </c>
      <c r="CJ37" s="101">
        <f>Plantas_B_A10*Otro2_B</f>
        <v>0</v>
      </c>
      <c r="CK37" s="101">
        <f>Plantas_C_A10*Otro2_C</f>
        <v>0</v>
      </c>
      <c r="CL37" s="101">
        <f>Plantas_D_A10*Otro2_D</f>
        <v>0</v>
      </c>
      <c r="CM37" s="101"/>
      <c r="CN37" s="101">
        <f>Plantas_Y_A10*Otro2_Y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SUMIFS('9'!$E:$E,'9'!$A:$A,Año_Inicial+9,'9'!$D:$D,"Otro insumo 3*")</f>
        <v>0</v>
      </c>
      <c r="D38" s="100">
        <f t="shared" si="45"/>
        <v>0</v>
      </c>
      <c r="E38" s="473"/>
      <c r="F38" s="101">
        <f>((A10_A_L1*Otro3_A)+(A10_B_L1*Otro3_B)+(A10_C_L1*Otro3_C)+(A10_D_L1*Otro3_D)+(A10_Y_L1*Otro3_Y))*Inflación_10</f>
        <v>0</v>
      </c>
      <c r="G38" s="101">
        <f>SUMIFS('9'!$E:$E,'9'!$A:$A,Año_Inicial+9,'9'!$B:$B,'12'!F$4,'9'!$D:$D,"Otro insumo 3*")</f>
        <v>0</v>
      </c>
      <c r="H38" s="101">
        <f>((A10_A_L2*Otro3_A)+(A10_B_L2*Otro3_B)+(A10_C_L2*Otro3_C)+(A10_D_L2*Otro3_D)+(A10_Y_L2*Otro3_Y))*Inflación_10</f>
        <v>0</v>
      </c>
      <c r="I38" s="101">
        <f>SUMIFS('9'!$E:$E,'9'!$A:$A,Año_Inicial+9,'9'!$B:$B,'12'!H$4,'9'!$D:$D,"Otro insumo 3*")</f>
        <v>0</v>
      </c>
      <c r="J38" s="101">
        <f>((A10_A_L3*Otro3_A)+(A10_B_L3*Otro3_B)+(A10_C_L3*Otro3_C)+(A10_D_L3*Otro3_D)+(A10_Y_L3*Otro3_Y))*Inflación_10</f>
        <v>0</v>
      </c>
      <c r="K38" s="101">
        <f>SUMIFS('9'!$E:$E,'9'!$A:$A,Año_Inicial+9,'9'!$B:$B,'12'!J$4,'9'!$D:$D,"Otro insumo 3*")</f>
        <v>0</v>
      </c>
      <c r="L38" s="101">
        <f>((A10_A_L4*Otro3_A)+(A10_B_L4*Otro3_B)+(A10_C_L4*Otro3_C)+(A10_D_L4*Otro3_D)+(A10_Y_L4*Otro3_Y))*Inflación_10</f>
        <v>0</v>
      </c>
      <c r="M38" s="101">
        <f>SUMIFS('9'!$E:$E,'9'!$A:$A,Año_Inicial+9,'9'!$B:$B,'12'!L$4,'9'!$D:$D,"Otro insumo 3*")</f>
        <v>0</v>
      </c>
      <c r="N38" s="101">
        <f>((A10_A_L5*Otro3_A)+(A10_B_L5*Otro3_B)+(A10_C_L5*Otro3_C)+(A10_D_L5*Otro3_D)+(A10_Y_L5*Otro3_Y))*Inflación_10</f>
        <v>0</v>
      </c>
      <c r="O38" s="101">
        <f>SUMIFS('9'!$E:$E,'9'!$A:$A,Año_Inicial+9,'9'!$B:$B,'12'!N$4,'9'!$D:$D,"Otro insumo 3*")</f>
        <v>0</v>
      </c>
      <c r="P38" s="101">
        <f>((A10_A_L6*Otro3_A)+(A10_B_L6*Otro3_B)+(A10_C_L6*Otro3_C)+(A10_D_L6*Otro3_D)+(A10_Y_L6*Otro3_Y))*Inflación_10</f>
        <v>0</v>
      </c>
      <c r="Q38" s="101">
        <f>SUMIFS('9'!$E:$E,'9'!$A:$A,Año_Inicial+9,'9'!$B:$B,'12'!P$4,'9'!$D:$D,"Otro insumo 3*")</f>
        <v>0</v>
      </c>
      <c r="R38" s="101">
        <f>((A10_A_L7*Otro3_A)+(A10_B_L7*Otro3_B)+(A10_C_L7*Otro3_C)+(A10_D_L7*Otro3_D)+(A10_Y_L7*Otro3_Y))*Inflación_10</f>
        <v>0</v>
      </c>
      <c r="S38" s="101">
        <f>SUMIFS('9'!$E:$E,'9'!$A:$A,Año_Inicial+9,'9'!$B:$B,'12'!R$4,'9'!$D:$D,"Otro insumo 3*")</f>
        <v>0</v>
      </c>
      <c r="T38" s="101">
        <f>((A10_A_L8*Otro3_A)+(A10_B_L8*Otro3_B)+(A10_C_L8*Otro3_C)+(A10_D_L8*Otro3_D)+(A10_Y_L8*Otro3_Y))*Inflación_10</f>
        <v>0</v>
      </c>
      <c r="U38" s="101">
        <f>SUMIFS('9'!$E:$E,'9'!$A:$A,Año_Inicial+9,'9'!$B:$B,'12'!T$4,'9'!$D:$D,"Otro insumo 3*")</f>
        <v>0</v>
      </c>
      <c r="V38" s="101">
        <f>((A10_A_L9*Otro3_A)+(A10_B_L9*Otro3_B)+(A10_C_L9*Otro3_C)+(A10_D_L9*Otro3_D)+(A10_Y_L9*Otro3_Y))*Inflación_10</f>
        <v>0</v>
      </c>
      <c r="W38" s="101">
        <f>SUMIFS('9'!$E:$E,'9'!$A:$A,Año_Inicial+9,'9'!$B:$B,'12'!V$4,'9'!$D:$D,"Otro insumo 3*")</f>
        <v>0</v>
      </c>
      <c r="X38" s="101">
        <f>((A10_A_L10*Otro3_A)+(A10_B_L10*Otro3_B)+(A10_C_L10*Otro3_C)+(A10_D_L10*Otro3_D)+(A10_Y_L10*Otro3_Y))*Inflación_10</f>
        <v>0</v>
      </c>
      <c r="Y38" s="101">
        <f>SUMIFS('9'!$E:$E,'9'!$A:$A,Año_Inicial+9,'9'!$B:$B,'12'!X$4,'9'!$D:$D,"Otro insumo 3*")</f>
        <v>0</v>
      </c>
      <c r="Z38" s="101">
        <f>((A10_A_L11*Otro3_A)+(A10_B_L11*Otro3_B)+(A10_C_L11*Otro3_C)+(A10_D_L11*Otro3_D)+(A10_Y_L11*Otro3_Y))*Inflación_10</f>
        <v>0</v>
      </c>
      <c r="AA38" s="101">
        <f>SUMIFS('9'!$E:$E,'9'!$A:$A,Año_Inicial+9,'9'!$B:$B,'12'!Z$4,'9'!$D:$D,"Otro insumo 3*")</f>
        <v>0</v>
      </c>
      <c r="AB38" s="101">
        <f>((A10_A_L12*Otro3_A)+(A10_B_L12*Otro3_B)+(A10_C_L12*Otro3_C)+(A10_D_L12*Otro3_D)+(A10_Y_L12*Otro3_Y))*Inflación_10</f>
        <v>0</v>
      </c>
      <c r="AC38" s="101">
        <f>SUMIFS('9'!$E:$E,'9'!$A:$A,Año_Inicial+9,'9'!$B:$B,'12'!AB$4,'9'!$D:$D,"Otro insumo 3*")</f>
        <v>0</v>
      </c>
      <c r="AD38" s="101">
        <f>((A10_A_L13*Otro3_A)+(A10_B_L13*Otro3_B)+(A10_C_L13*Otro3_C)+(A10_D_L13*Otro3_D)+(A10_Y_L13*Otro3_Y))*Inflación_10</f>
        <v>0</v>
      </c>
      <c r="AE38" s="101">
        <f>SUMIFS('9'!$E:$E,'9'!$A:$A,Año_Inicial+9,'9'!$B:$B,'12'!AD$4,'9'!$D:$D,"Otro insumo 3*")</f>
        <v>0</v>
      </c>
      <c r="AF38" s="101">
        <f>((A10_A_L14*Otro3_A)+(A10_B_L14*Otro3_B)+(A10_C_L14*Otro3_C)+(A10_D_L14*Otro3_D)+(A10_Y_L14*Otro3_Y))*Inflación_10</f>
        <v>0</v>
      </c>
      <c r="AG38" s="101">
        <f>SUMIFS('9'!$E:$E,'9'!$A:$A,Año_Inicial+9,'9'!$B:$B,'12'!AF$4,'9'!$D:$D,"Otro insumo 3*")</f>
        <v>0</v>
      </c>
      <c r="AH38" s="101">
        <f>((A10_A_L15*Otro3_A)+(A10_B_L15*Otro3_B)+(A10_C_L15*Otro3_C)+(A10_D_L15*Otro3_D)+(A10_Y_L15*Otro3_Y))*Inflación_10</f>
        <v>0</v>
      </c>
      <c r="AI38" s="101">
        <f>SUMIFS('9'!$E:$E,'9'!$A:$A,Año_Inicial+9,'9'!$B:$B,'12'!AH$4,'9'!$D:$D,"Otro insumo 3*")</f>
        <v>0</v>
      </c>
      <c r="AJ38" s="101">
        <f>((A10_A_L16*Otro3_A)+(A10_B_L16*Otro3_B)+(A10_C_L16*Otro3_C)+(A10_D_L16*Otro3_D)+(A10_Y_L16*Otro3_Y))*Inflación_10</f>
        <v>0</v>
      </c>
      <c r="AK38" s="101">
        <f>SUMIFS('9'!$E:$E,'9'!$A:$A,Año_Inicial+9,'9'!$B:$B,'12'!AJ$4,'9'!$D:$D,"Otro insumo 3*")</f>
        <v>0</v>
      </c>
      <c r="AL38" s="101">
        <f>((A10_A_L17*Otro3_A)+(A10_B_L17*Otro3_B)+(A10_C_L17*Otro3_C)+(A10_D_L17*Otro3_D)+(A10_Y_L17*Otro3_Y))*Inflación_10</f>
        <v>0</v>
      </c>
      <c r="AM38" s="101">
        <f>SUMIFS('9'!$E:$E,'9'!$A:$A,Año_Inicial+9,'9'!$B:$B,'12'!AL$4,'9'!$D:$D,"Otro insumo 3*")</f>
        <v>0</v>
      </c>
      <c r="AN38" s="101">
        <f>((A10_A_L18*Otro3_A)+(A10_B_L18*Otro3_B)+(A10_C_L18*Otro3_C)+(A10_D_L18*Otro3_D)+(A10_Y_L18*Otro3_Y))*Inflación_10</f>
        <v>0</v>
      </c>
      <c r="AO38" s="101">
        <f>SUMIFS('9'!$E:$E,'9'!$A:$A,Año_Inicial+9,'9'!$B:$B,'12'!AN$4,'9'!$D:$D,"Otro insumo 3*")</f>
        <v>0</v>
      </c>
      <c r="AP38" s="101">
        <f>((A10_A_L19*Otro3_A)+(A10_B_L19*Otro3_B)+(A10_C_L19*Otro3_C)+(A10_D_L19*Otro3_D)+(A10_Y_L19*Otro3_Y))*Inflación_10</f>
        <v>0</v>
      </c>
      <c r="AQ38" s="101">
        <f>SUMIFS('9'!$E:$E,'9'!$A:$A,Año_Inicial+9,'9'!$B:$B,'12'!AP$4,'9'!$D:$D,"Otro insumo 3*")</f>
        <v>0</v>
      </c>
      <c r="AR38" s="101">
        <f>((A10_A_L20*Otro3_A)+(A10_B_L20*Otro3_B)+(A10_C_L20*Otro3_C)+(A10_D_L20*Otro3_D)+(A10_Y_L20*Otro3_Y))*Inflación_10</f>
        <v>0</v>
      </c>
      <c r="AS38" s="101">
        <f>SUMIFS('9'!$E:$E,'9'!$A:$A,Año_Inicial+9,'9'!$B:$B,'12'!AR$4,'9'!$D:$D,"Otro insumo 3*")</f>
        <v>0</v>
      </c>
      <c r="AT38" s="101">
        <f>((A10_A_L21*Otro3_A)+(A10_B_L21*Otro3_B)+(A10_C_L21*Otro3_C)+(A10_D_L21*Otro3_D)+(A10_Y_L21*Otro3_Y))*Inflación_10</f>
        <v>0</v>
      </c>
      <c r="AU38" s="101">
        <f>SUMIFS('9'!$E:$E,'9'!$A:$A,Año_Inicial+9,'9'!$B:$B,'12'!AT$4,'9'!$D:$D,"Otro insumo 3*")</f>
        <v>0</v>
      </c>
      <c r="AV38" s="101">
        <f>((A10_A_L22*Otro3_A)+(A10_B_L22*Otro3_B)+(A10_C_L22*Otro3_C)+(A10_D_L22*Otro3_D)+(A10_Y_L22*Otro3_Y))*Inflación_10</f>
        <v>0</v>
      </c>
      <c r="AW38" s="101">
        <f>SUMIFS('9'!$E:$E,'9'!$A:$A,Año_Inicial+9,'9'!$B:$B,'12'!AV$4,'9'!$D:$D,"Otro insumo 3*")</f>
        <v>0</v>
      </c>
      <c r="AX38" s="101">
        <f>((A10_A_L23*Otro3_A)+(A10_B_L23*Otro3_B)+(A10_C_L23*Otro3_C)+(A10_D_L23*Otro3_D)+(A10_Y_L23*Otro3_Y))*Inflación_10</f>
        <v>0</v>
      </c>
      <c r="AY38" s="101">
        <f>SUMIFS('9'!$E:$E,'9'!$A:$A,Año_Inicial+9,'9'!$B:$B,'12'!AX$4,'9'!$D:$D,"Otro insumo 3*")</f>
        <v>0</v>
      </c>
      <c r="AZ38" s="101">
        <f>((A10_A_L24*Otro3_A)+(A10_B_L24*Otro3_B)+(A10_C_L24*Otro3_C)+(A10_D_L24*Otro3_D)+(A10_Y_L24*Otro3_Y))*Inflación_10</f>
        <v>0</v>
      </c>
      <c r="BA38" s="101">
        <f>SUMIFS('9'!$E:$E,'9'!$A:$A,Año_Inicial+9,'9'!$B:$B,'12'!AZ$4,'9'!$D:$D,"Otro insumo 3*")</f>
        <v>0</v>
      </c>
      <c r="BB38" s="101">
        <f>((A10_A_L25*Otro3_A)+(A10_B_L25*Otro3_B)+(A10_C_L25*Otro3_C)+(A10_D_L25*Otro3_D)+(A10_Y_L25*Otro3_Y))*Inflación_10</f>
        <v>0</v>
      </c>
      <c r="BC38" s="101">
        <f>SUMIFS('9'!$E:$E,'9'!$A:$A,Año_Inicial+9,'9'!$B:$B,'12'!BB$4,'9'!$D:$D,"Otro insumo 3*")</f>
        <v>0</v>
      </c>
      <c r="BD38" s="101">
        <f>((A10_A_L26*Otro3_A)+(A10_B_L26*Otro3_B)+(A10_C_L26*Otro3_C)+(A10_D_L26*Otro3_D)+(A10_Y_L26*Otro3_Y))*Inflación_10</f>
        <v>0</v>
      </c>
      <c r="BE38" s="101">
        <f>SUMIFS('9'!$E:$E,'9'!$A:$A,Año_Inicial+9,'9'!$B:$B,'12'!BD$4,'9'!$D:$D,"Otro insumo 3*")</f>
        <v>0</v>
      </c>
      <c r="BF38" s="101">
        <f>((A10_A_L27*Otro3_A)+(A10_B_L27*Otro3_B)+(A10_C_L27*Otro3_C)+(A10_D_L27*Otro3_D)+(A10_Y_L27*Otro3_Y))*Inflación_10</f>
        <v>0</v>
      </c>
      <c r="BG38" s="101">
        <f>SUMIFS('9'!$E:$E,'9'!$A:$A,Año_Inicial+9,'9'!$B:$B,'12'!BF$4,'9'!$D:$D,"Otro insumo 3*")</f>
        <v>0</v>
      </c>
      <c r="BH38" s="101">
        <f>((A10_A_L28*Otro3_A)+(A10_B_L28*Otro3_B)+(A10_C_L28*Otro3_C)+(A10_D_L28*Otro3_D)+(A10_Y_L28*Otro3_Y))*Inflación_10</f>
        <v>0</v>
      </c>
      <c r="BI38" s="101">
        <f>SUMIFS('9'!$E:$E,'9'!$A:$A,Año_Inicial+9,'9'!$B:$B,'12'!BH$4,'9'!$D:$D,"Otro insumo 3*")</f>
        <v>0</v>
      </c>
      <c r="BJ38" s="101">
        <f>((A10_A_L29*Otro3_A)+(A10_B_L29*Otro3_B)+(A10_C_L29*Otro3_C)+(A10_D_L29*Otro3_D)+(A10_Y_L29*Otro3_Y))*Inflación_10</f>
        <v>0</v>
      </c>
      <c r="BK38" s="101">
        <f>SUMIFS('9'!$E:$E,'9'!$A:$A,Año_Inicial+9,'9'!$B:$B,'12'!BJ$4,'9'!$D:$D,"Otro insumo 3*")</f>
        <v>0</v>
      </c>
      <c r="BL38" s="101">
        <f>((A10_A_L30*Otro3_A)+(A10_B_L30*Otro3_B)+(A10_C_L30*Otro3_C)+(A10_D_L30*Otro3_D)+(A10_Y_L30*Otro3_Y))*Inflación_10</f>
        <v>0</v>
      </c>
      <c r="BM38" s="101">
        <f>SUMIFS('9'!$E:$E,'9'!$A:$A,Año_Inicial+9,'9'!$B:$B,'12'!BL$4,'9'!$D:$D,"Otro insumo 3*")</f>
        <v>0</v>
      </c>
      <c r="BN38" s="101">
        <f>((A10_A_L31*Otro3_A)+(A10_B_L31*Otro3_B)+(A10_C_L31*Otro3_C)+(A10_D_L31*Otro3_D)+(A10_Y_L31*Otro3_Y))*Inflación_10</f>
        <v>0</v>
      </c>
      <c r="BO38" s="101">
        <f>SUMIFS('9'!$E:$E,'9'!$A:$A,Año_Inicial+9,'9'!$B:$B,'12'!BN$4,'9'!$D:$D,"Otro insumo 3*")</f>
        <v>0</v>
      </c>
      <c r="BP38" s="101">
        <f>((A10_A_L32*Otro3_A)+(A10_B_L32*Otro3_B)+(A10_C_L32*Otro3_C)+(A10_D_L32*Otro3_D)+(A10_Y_L32*Otro3_Y))*Inflación_10</f>
        <v>0</v>
      </c>
      <c r="BQ38" s="101">
        <f>SUMIFS('9'!$E:$E,'9'!$A:$A,Año_Inicial+9,'9'!$B:$B,'12'!BP$4,'9'!$D:$D,"Otro insumo 3*")</f>
        <v>0</v>
      </c>
      <c r="BR38" s="101">
        <f>((A10_A_L33*Otro3_A)+(A10_B_L33*Otro3_B)+(A10_C_L33*Otro3_C)+(A10_D_L33*Otro3_D)+(A10_Y_L33*Otro3_Y))*Inflación_10</f>
        <v>0</v>
      </c>
      <c r="BS38" s="101">
        <f>SUMIFS('9'!$E:$E,'9'!$A:$A,Año_Inicial+9,'9'!$B:$B,'12'!BR$4,'9'!$D:$D,"Otro insumo 3*")</f>
        <v>0</v>
      </c>
      <c r="BT38" s="101">
        <f>((A10_A_L34*Otro3_A)+(A10_B_L34*Otro3_B)+(A10_C_L34*Otro3_C)+(A10_D_L34*Otro3_D)+(A10_Y_L34*Otro3_Y))*Inflación_10</f>
        <v>0</v>
      </c>
      <c r="BU38" s="101">
        <f>SUMIFS('9'!$E:$E,'9'!$A:$A,Año_Inicial+9,'9'!$B:$B,'12'!BT$4,'9'!$D:$D,"Otro insumo 3*")</f>
        <v>0</v>
      </c>
      <c r="BV38" s="101">
        <f>((A10_A_L35*Otro3_A)+(A10_B_L35*Otro3_B)+(A10_C_L35*Otro3_C)+(A10_D_L35*Otro3_D)+(A10_Y_L35*Otro3_Y))*Inflación_10</f>
        <v>0</v>
      </c>
      <c r="BW38" s="101">
        <f>SUMIFS('9'!$E:$E,'9'!$A:$A,Año_Inicial+9,'9'!$B:$B,'12'!BV$4,'9'!$D:$D,"Otro insumo 3*")</f>
        <v>0</v>
      </c>
      <c r="BX38" s="101">
        <f>((A10_A_L36*Otro3_A)+(A10_B_L36*Otro3_B)+(A10_C_L36*Otro3_C)+(A10_D_L36*Otro3_D)+(A10_Y_L36*Otro3_Y))*Inflación_10</f>
        <v>0</v>
      </c>
      <c r="BY38" s="101">
        <f>SUMIFS('9'!$E:$E,'9'!$A:$A,Año_Inicial+9,'9'!$B:$B,'12'!BX$4,'9'!$D:$D,"Otro insumo 3*")</f>
        <v>0</v>
      </c>
      <c r="BZ38" s="101">
        <f>((A10_A_L37*Otro3_A)+(A10_B_L37*Otro3_B)+(A10_C_L37*Otro3_C)+(A10_D_L37*Otro3_D)+(A10_Y_L37*Otro3_Y))*Inflación_10</f>
        <v>0</v>
      </c>
      <c r="CA38" s="101">
        <f>SUMIFS('9'!$E:$E,'9'!$A:$A,Año_Inicial+9,'9'!$B:$B,'12'!BZ$4,'9'!$D:$D,"Otro insumo 3*")</f>
        <v>0</v>
      </c>
      <c r="CB38" s="101">
        <f>((A10_A_L38*Otro3_A)+(A10_B_L38*Otro3_B)+(A10_C_L38*Otro3_C)+(A10_D_L38*Otro3_D)+(A10_Y_L38*Otro3_Y))*Inflación_10</f>
        <v>0</v>
      </c>
      <c r="CC38" s="101">
        <f>SUMIFS('9'!$E:$E,'9'!$A:$A,Año_Inicial+9,'9'!$B:$B,'12'!CB$4,'9'!$D:$D,"Otro insumo 3*")</f>
        <v>0</v>
      </c>
      <c r="CD38" s="101">
        <f>((A10_A_L39*Otro3_A)+(A10_B_L39*Otro3_B)+(A10_C_L39*Otro3_C)+(A10_D_L39*Otro3_D)+(A10_Y_L39*Otro3_Y))*Inflación_10</f>
        <v>0</v>
      </c>
      <c r="CE38" s="101">
        <f>SUMIFS('9'!$E:$E,'9'!$A:$A,Año_Inicial+9,'9'!$B:$B,'12'!CD$4,'9'!$D:$D,"Otro insumo 3*")</f>
        <v>0</v>
      </c>
      <c r="CF38" s="101">
        <f>((A10_A_L40*Otro3_A)+(A10_B_L40*Otro3_B)+(A10_C_L40*Otro3_C)+(A10_D_L40*Otro3_D)+(A10_Y_L40*Otro3_Y))*Inflación_10</f>
        <v>0</v>
      </c>
      <c r="CG38" s="101">
        <f>SUMIFS('9'!$E:$E,'9'!$A:$A,Año_Inicial+9,'9'!$B:$B,'12'!CF$4,'9'!$D:$D,"Otro insumo 3*")</f>
        <v>0</v>
      </c>
      <c r="CH38" s="473"/>
      <c r="CI38" s="101">
        <f>Plantas_A_A10*Otro3_A*Inflación_10</f>
        <v>0</v>
      </c>
      <c r="CJ38" s="101">
        <f>Plantas_B_A10*Otro3_B</f>
        <v>0</v>
      </c>
      <c r="CK38" s="101">
        <f>Plantas_C_A10*Otro3_C</f>
        <v>0</v>
      </c>
      <c r="CL38" s="101">
        <f>Plantas_D_A10*Otro3_D</f>
        <v>0</v>
      </c>
      <c r="CM38" s="101"/>
      <c r="CN38" s="101">
        <f>Plantas_Y_A10*Otro3_Y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SUMIFS('9'!$E:$E,'9'!$A:$A,Año_Inicial+9,'9'!$D:$D,"Corte")</f>
        <v>0</v>
      </c>
      <c r="D40" s="100">
        <f t="shared" si="45"/>
        <v>0</v>
      </c>
      <c r="E40" s="473"/>
      <c r="F40" s="101">
        <f>P_A10_L1*CUI_Corte*Inflación_10</f>
        <v>0</v>
      </c>
      <c r="G40" s="101">
        <f>SUMIFS('9'!$E:$E,'9'!$A:$A,Año_Inicial+9,'9'!$B:$B,'12'!F$4,'9'!$D:$D,"Corte")</f>
        <v>0</v>
      </c>
      <c r="H40" s="101">
        <f>P_A10_L2*CUI_Corte*Inflación_10</f>
        <v>0</v>
      </c>
      <c r="I40" s="101">
        <f>SUMIFS('9'!$E:$E,'9'!$A:$A,Año_Inicial+9,'9'!$B:$B,'12'!H$4,'9'!$D:$D,"Corte")</f>
        <v>0</v>
      </c>
      <c r="J40" s="101">
        <f>P_A10_L3*CUI_Corte*Inflación_10</f>
        <v>0</v>
      </c>
      <c r="K40" s="101">
        <f>SUMIFS('9'!$E:$E,'9'!$A:$A,Año_Inicial+9,'9'!$B:$B,'12'!J$4,'9'!$D:$D,"Corte")</f>
        <v>0</v>
      </c>
      <c r="L40" s="101">
        <f>P_A10_L4*CUI_Corte*Inflación_10</f>
        <v>0</v>
      </c>
      <c r="M40" s="101">
        <f>SUMIFS('9'!$E:$E,'9'!$A:$A,Año_Inicial+9,'9'!$B:$B,'12'!L$4,'9'!$D:$D,"Corte")</f>
        <v>0</v>
      </c>
      <c r="N40" s="101">
        <f>P_A10_L5*CUI_Corte*Inflación_10</f>
        <v>0</v>
      </c>
      <c r="O40" s="101">
        <f>SUMIFS('9'!$E:$E,'9'!$A:$A,Año_Inicial+9,'9'!$B:$B,'12'!N$4,'9'!$D:$D,"Corte")</f>
        <v>0</v>
      </c>
      <c r="P40" s="101">
        <f>P_A10_L6*CUI_Corte*Inflación_10</f>
        <v>0</v>
      </c>
      <c r="Q40" s="101">
        <f>SUMIFS('9'!$E:$E,'9'!$A:$A,Año_Inicial+9,'9'!$B:$B,'12'!P$4,'9'!$D:$D,"Corte")</f>
        <v>0</v>
      </c>
      <c r="R40" s="101">
        <f>P_A10_L7*CUI_Corte*Inflación_10</f>
        <v>0</v>
      </c>
      <c r="S40" s="101">
        <f>SUMIFS('9'!$E:$E,'9'!$A:$A,Año_Inicial+9,'9'!$B:$B,'12'!R$4,'9'!$D:$D,"Corte")</f>
        <v>0</v>
      </c>
      <c r="T40" s="101">
        <f>P_A10_L8*CUI_Corte*Inflación_10</f>
        <v>0</v>
      </c>
      <c r="U40" s="101">
        <f>SUMIFS('9'!$E:$E,'9'!$A:$A,Año_Inicial+9,'9'!$B:$B,'12'!T$4,'9'!$D:$D,"Corte")</f>
        <v>0</v>
      </c>
      <c r="V40" s="101">
        <f>P_A10_L9*CUI_Corte*Inflación_10</f>
        <v>0</v>
      </c>
      <c r="W40" s="101">
        <f>SUMIFS('9'!$E:$E,'9'!$A:$A,Año_Inicial+9,'9'!$B:$B,'12'!V$4,'9'!$D:$D,"Corte")</f>
        <v>0</v>
      </c>
      <c r="X40" s="101">
        <f>P_A10_L10*CUI_Corte*Inflación_10</f>
        <v>0</v>
      </c>
      <c r="Y40" s="101">
        <f>SUMIFS('9'!$E:$E,'9'!$A:$A,Año_Inicial+9,'9'!$B:$B,'12'!X$4,'9'!$D:$D,"Corte")</f>
        <v>0</v>
      </c>
      <c r="Z40" s="101">
        <f>P_A10_L11*CUI_Corte*Inflación_10</f>
        <v>0</v>
      </c>
      <c r="AA40" s="101">
        <f>SUMIFS('9'!$E:$E,'9'!$A:$A,Año_Inicial+9,'9'!$B:$B,'12'!Z$4,'9'!$D:$D,"Corte")</f>
        <v>0</v>
      </c>
      <c r="AB40" s="101">
        <f>P_A10_L12*CUI_Corte*Inflación_10</f>
        <v>0</v>
      </c>
      <c r="AC40" s="101">
        <f>SUMIFS('9'!$E:$E,'9'!$A:$A,Año_Inicial+9,'9'!$B:$B,'12'!AB$4,'9'!$D:$D,"Corte")</f>
        <v>0</v>
      </c>
      <c r="AD40" s="101">
        <f>P_A10_L13*CUI_Corte*Inflación_10</f>
        <v>0</v>
      </c>
      <c r="AE40" s="101">
        <f>SUMIFS('9'!$E:$E,'9'!$A:$A,Año_Inicial+9,'9'!$B:$B,'12'!AD$4,'9'!$D:$D,"Corte")</f>
        <v>0</v>
      </c>
      <c r="AF40" s="101">
        <f>P_A10_L14*CUI_Corte*Inflación_10</f>
        <v>0</v>
      </c>
      <c r="AG40" s="101">
        <f>SUMIFS('9'!$E:$E,'9'!$A:$A,Año_Inicial+9,'9'!$B:$B,'12'!AF$4,'9'!$D:$D,"Corte")</f>
        <v>0</v>
      </c>
      <c r="AH40" s="101">
        <f>P_A10_L15*CUI_Corte*Inflación_10</f>
        <v>0</v>
      </c>
      <c r="AI40" s="101">
        <f>SUMIFS('9'!$E:$E,'9'!$A:$A,Año_Inicial+9,'9'!$B:$B,'12'!AH$4,'9'!$D:$D,"Corte")</f>
        <v>0</v>
      </c>
      <c r="AJ40" s="101">
        <f>P_A10_L16*CUI_Corte*Inflación_10</f>
        <v>0</v>
      </c>
      <c r="AK40" s="101">
        <f>SUMIFS('9'!$E:$E,'9'!$A:$A,Año_Inicial+9,'9'!$B:$B,'12'!AJ$4,'9'!$D:$D,"Corte")</f>
        <v>0</v>
      </c>
      <c r="AL40" s="101">
        <f>P_A10_L17*CUI_Corte*Inflación_10</f>
        <v>0</v>
      </c>
      <c r="AM40" s="101">
        <f>SUMIFS('9'!$E:$E,'9'!$A:$A,Año_Inicial+9,'9'!$B:$B,'12'!AL$4,'9'!$D:$D,"Corte")</f>
        <v>0</v>
      </c>
      <c r="AN40" s="101">
        <f>P_A10_L18*CUI_Corte*Inflación_10</f>
        <v>0</v>
      </c>
      <c r="AO40" s="101">
        <f>SUMIFS('9'!$E:$E,'9'!$A:$A,Año_Inicial+9,'9'!$B:$B,'12'!AN$4,'9'!$D:$D,"Corte")</f>
        <v>0</v>
      </c>
      <c r="AP40" s="101">
        <f>P_A10_L19*CUI_Corte*Inflación_10</f>
        <v>0</v>
      </c>
      <c r="AQ40" s="101">
        <f>SUMIFS('9'!$E:$E,'9'!$A:$A,Año_Inicial+9,'9'!$B:$B,'12'!AP$4,'9'!$D:$D,"Corte")</f>
        <v>0</v>
      </c>
      <c r="AR40" s="101">
        <f>P_A10_L20*CUI_Corte*Inflación_10</f>
        <v>0</v>
      </c>
      <c r="AS40" s="101">
        <f>SUMIFS('9'!$E:$E,'9'!$A:$A,Año_Inicial+9,'9'!$B:$B,'12'!AR$4,'9'!$D:$D,"Corte")</f>
        <v>0</v>
      </c>
      <c r="AT40" s="101">
        <f>P_A10_L21*CUI_Corte*Inflación_10</f>
        <v>0</v>
      </c>
      <c r="AU40" s="101">
        <f>SUMIFS('9'!$E:$E,'9'!$A:$A,Año_Inicial+9,'9'!$B:$B,'12'!AT$4,'9'!$D:$D,"Corte")</f>
        <v>0</v>
      </c>
      <c r="AV40" s="101">
        <f>P_A10_L22*CUI_Corte*Inflación_10</f>
        <v>0</v>
      </c>
      <c r="AW40" s="101">
        <f>SUMIFS('9'!$E:$E,'9'!$A:$A,Año_Inicial+9,'9'!$B:$B,'12'!AV$4,'9'!$D:$D,"Corte")</f>
        <v>0</v>
      </c>
      <c r="AX40" s="101">
        <f>P_A10_L23*CUI_Corte*Inflación_10</f>
        <v>0</v>
      </c>
      <c r="AY40" s="101">
        <f>SUMIFS('9'!$E:$E,'9'!$A:$A,Año_Inicial+9,'9'!$B:$B,'12'!AX$4,'9'!$D:$D,"Corte")</f>
        <v>0</v>
      </c>
      <c r="AZ40" s="101">
        <f>P_A10_L24*CUI_Corte*Inflación_10</f>
        <v>0</v>
      </c>
      <c r="BA40" s="101">
        <f>SUMIFS('9'!$E:$E,'9'!$A:$A,Año_Inicial+9,'9'!$B:$B,'12'!AZ$4,'9'!$D:$D,"Corte")</f>
        <v>0</v>
      </c>
      <c r="BB40" s="101">
        <f>P_A10_L25*CUI_Corte*Inflación_10</f>
        <v>0</v>
      </c>
      <c r="BC40" s="101">
        <f>SUMIFS('9'!$E:$E,'9'!$A:$A,Año_Inicial+9,'9'!$B:$B,'12'!BB$4,'9'!$D:$D,"Corte")</f>
        <v>0</v>
      </c>
      <c r="BD40" s="101">
        <f>P_A10_L26*CUI_Corte*Inflación_10</f>
        <v>0</v>
      </c>
      <c r="BE40" s="101">
        <f>SUMIFS('9'!$E:$E,'9'!$A:$A,Año_Inicial+9,'9'!$B:$B,'12'!BD$4,'9'!$D:$D,"Corte")</f>
        <v>0</v>
      </c>
      <c r="BF40" s="101">
        <f>P_A10_L27*CUI_Corte*Inflación_10</f>
        <v>0</v>
      </c>
      <c r="BG40" s="101">
        <f>SUMIFS('9'!$E:$E,'9'!$A:$A,Año_Inicial+9,'9'!$B:$B,'12'!BF$4,'9'!$D:$D,"Corte")</f>
        <v>0</v>
      </c>
      <c r="BH40" s="101">
        <f>P_A10_L28*CUI_Corte*Inflación_10</f>
        <v>0</v>
      </c>
      <c r="BI40" s="101">
        <f>SUMIFS('9'!$E:$E,'9'!$A:$A,Año_Inicial+9,'9'!$B:$B,'12'!BH$4,'9'!$D:$D,"Corte")</f>
        <v>0</v>
      </c>
      <c r="BJ40" s="101">
        <f>P_A10_L29*CUI_Corte*Inflación_10</f>
        <v>0</v>
      </c>
      <c r="BK40" s="101">
        <f>SUMIFS('9'!$E:$E,'9'!$A:$A,Año_Inicial+9,'9'!$B:$B,'12'!BJ$4,'9'!$D:$D,"Corte")</f>
        <v>0</v>
      </c>
      <c r="BL40" s="101">
        <f>P_A10_L30*CUI_Corte*Inflación_10</f>
        <v>0</v>
      </c>
      <c r="BM40" s="101">
        <f>SUMIFS('9'!$E:$E,'9'!$A:$A,Año_Inicial+9,'9'!$B:$B,'12'!BL$4,'9'!$D:$D,"Corte")</f>
        <v>0</v>
      </c>
      <c r="BN40" s="101">
        <f>P_A10_L31*CUI_Corte*Inflación_10</f>
        <v>0</v>
      </c>
      <c r="BO40" s="101">
        <f>SUMIFS('9'!$E:$E,'9'!$A:$A,Año_Inicial+9,'9'!$B:$B,'12'!BN$4,'9'!$D:$D,"Corte")</f>
        <v>0</v>
      </c>
      <c r="BP40" s="101">
        <f>P_A10_L32*CUI_Corte*Inflación_10</f>
        <v>0</v>
      </c>
      <c r="BQ40" s="101">
        <f>SUMIFS('9'!$E:$E,'9'!$A:$A,Año_Inicial+9,'9'!$B:$B,'12'!BP$4,'9'!$D:$D,"Corte")</f>
        <v>0</v>
      </c>
      <c r="BR40" s="101">
        <f>P_A10_L33*CUI_Corte*Inflación_10</f>
        <v>0</v>
      </c>
      <c r="BS40" s="101">
        <f>SUMIFS('9'!$E:$E,'9'!$A:$A,Año_Inicial+9,'9'!$B:$B,'12'!BR$4,'9'!$D:$D,"Corte")</f>
        <v>0</v>
      </c>
      <c r="BT40" s="101">
        <f>P_A10_L34*CUI_Corte*Inflación_10</f>
        <v>0</v>
      </c>
      <c r="BU40" s="101">
        <f>SUMIFS('9'!$E:$E,'9'!$A:$A,Año_Inicial+9,'9'!$B:$B,'12'!BT$4,'9'!$D:$D,"Corte")</f>
        <v>0</v>
      </c>
      <c r="BV40" s="101">
        <f>P_A10_L35*CUI_Corte*Inflación_10</f>
        <v>0</v>
      </c>
      <c r="BW40" s="101">
        <f>SUMIFS('9'!$E:$E,'9'!$A:$A,Año_Inicial+9,'9'!$B:$B,'12'!BV$4,'9'!$D:$D,"Corte")</f>
        <v>0</v>
      </c>
      <c r="BX40" s="101">
        <f>P_A10_L36*CUI_Corte*Inflación_10</f>
        <v>0</v>
      </c>
      <c r="BY40" s="101">
        <f>SUMIFS('9'!$E:$E,'9'!$A:$A,Año_Inicial+9,'9'!$B:$B,'12'!BX$4,'9'!$D:$D,"Corte")</f>
        <v>0</v>
      </c>
      <c r="BZ40" s="101">
        <f>P_A10_L37*CUI_Corte*Inflación_10</f>
        <v>0</v>
      </c>
      <c r="CA40" s="101">
        <f>SUMIFS('9'!$E:$E,'9'!$A:$A,Año_Inicial+9,'9'!$B:$B,'12'!BZ$4,'9'!$D:$D,"Corte")</f>
        <v>0</v>
      </c>
      <c r="CB40" s="101">
        <f>P_A10_L38*CUI_Corte*Inflación_10</f>
        <v>0</v>
      </c>
      <c r="CC40" s="101">
        <f>SUMIFS('9'!$E:$E,'9'!$A:$A,Año_Inicial+9,'9'!$B:$B,'12'!CB$4,'9'!$D:$D,"Corte")</f>
        <v>0</v>
      </c>
      <c r="CD40" s="101">
        <f>P_A10_L39*CUI_Corte*Inflación_10</f>
        <v>0</v>
      </c>
      <c r="CE40" s="101">
        <f>SUMIFS('9'!$E:$E,'9'!$A:$A,Año_Inicial+9,'9'!$B:$B,'12'!CD$4,'9'!$D:$D,"Corte")</f>
        <v>0</v>
      </c>
      <c r="CF40" s="101">
        <f>P_A10_L40*CUI_Corte*Inflación_10</f>
        <v>0</v>
      </c>
      <c r="CG40" s="101">
        <f>SUMIFS('9'!$E:$E,'9'!$A:$A,Año_Inicial+9,'9'!$B:$B,'12'!CF$4,'9'!$D:$D,"Corte")</f>
        <v>0</v>
      </c>
      <c r="CH40" s="473"/>
      <c r="CI40" s="101">
        <f>CI7*CUI_Corte*Inflación_10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SUMIFS('9'!$E:$E,'9'!$A:$A,Año_Inicial+9,'9'!$D:$D,"Beneficiado")</f>
        <v>0</v>
      </c>
      <c r="D41" s="100" t="e">
        <f t="shared" si="45"/>
        <v>#DIV/0!</v>
      </c>
      <c r="E41" s="473"/>
      <c r="F41" s="101">
        <f>(P_A10_L1/5)*CUI_Poscosecha*Inflación_10</f>
        <v>0</v>
      </c>
      <c r="G41" s="101">
        <f>SUMIFS('9'!$E:$E,'9'!$A:$A,Año_Inicial+9,'9'!$B:$B,'12'!F$4,'9'!$D:$D,"Beneficiado")</f>
        <v>0</v>
      </c>
      <c r="H41" s="101">
        <f>(P_A10_L2/5)*CUI_Poscosecha*Inflación_10</f>
        <v>0</v>
      </c>
      <c r="I41" s="101">
        <f>SUMIFS('9'!$E:$E,'9'!$A:$A,Año_Inicial+9,'9'!$B:$B,'12'!H$4,'9'!$D:$D,"Beneficiado")</f>
        <v>0</v>
      </c>
      <c r="J41" s="101">
        <f>(P_A10_L3/5)*CUI_Poscosecha*Inflación_10</f>
        <v>0</v>
      </c>
      <c r="K41" s="101">
        <f>SUMIFS('9'!$E:$E,'9'!$A:$A,Año_Inicial+9,'9'!$B:$B,'12'!J$4,'9'!$D:$D,"Beneficiado")</f>
        <v>0</v>
      </c>
      <c r="L41" s="101">
        <f>(P_A10_L4/5)*CUI_Poscosecha*Inflación_10</f>
        <v>0</v>
      </c>
      <c r="M41" s="101">
        <f>SUMIFS('9'!$E:$E,'9'!$A:$A,Año_Inicial+9,'9'!$B:$B,'12'!L$4,'9'!$D:$D,"Beneficiado")</f>
        <v>0</v>
      </c>
      <c r="N41" s="101">
        <f>(P_A10_L5/5)*CUI_Poscosecha*Inflación_10</f>
        <v>0</v>
      </c>
      <c r="O41" s="101">
        <f>SUMIFS('9'!$E:$E,'9'!$A:$A,Año_Inicial+9,'9'!$B:$B,'12'!N$4,'9'!$D:$D,"Beneficiado")</f>
        <v>0</v>
      </c>
      <c r="P41" s="101">
        <f>(P_A10_L6/5)*CUI_Poscosecha*Inflación_10</f>
        <v>0</v>
      </c>
      <c r="Q41" s="101">
        <f>SUMIFS('9'!$E:$E,'9'!$A:$A,Año_Inicial+9,'9'!$B:$B,'12'!P$4,'9'!$D:$D,"Beneficiado")</f>
        <v>0</v>
      </c>
      <c r="R41" s="101">
        <f>(P_A10_L7/5)*CUI_Poscosecha*Inflación_10</f>
        <v>0</v>
      </c>
      <c r="S41" s="101">
        <f>SUMIFS('9'!$E:$E,'9'!$A:$A,Año_Inicial+9,'9'!$B:$B,'12'!R$4,'9'!$D:$D,"Beneficiado")</f>
        <v>0</v>
      </c>
      <c r="T41" s="101">
        <f>(P_A10_L8/5)*CUI_Poscosecha*Inflación_10</f>
        <v>0</v>
      </c>
      <c r="U41" s="101">
        <f>SUMIFS('9'!$E:$E,'9'!$A:$A,Año_Inicial+9,'9'!$B:$B,'12'!T$4,'9'!$D:$D,"Beneficiado")</f>
        <v>0</v>
      </c>
      <c r="V41" s="101">
        <f>(P_A10_L9/5)*CUI_Poscosecha*Inflación_10</f>
        <v>0</v>
      </c>
      <c r="W41" s="101">
        <f>SUMIFS('9'!$E:$E,'9'!$A:$A,Año_Inicial+9,'9'!$B:$B,'12'!V$4,'9'!$D:$D,"Beneficiado")</f>
        <v>0</v>
      </c>
      <c r="X41" s="101">
        <f>(P_A10_L10/5)*CUI_Poscosecha*Inflación_10</f>
        <v>0</v>
      </c>
      <c r="Y41" s="101">
        <f>SUMIFS('9'!$E:$E,'9'!$A:$A,Año_Inicial+9,'9'!$B:$B,'12'!X$4,'9'!$D:$D,"Beneficiado")</f>
        <v>0</v>
      </c>
      <c r="Z41" s="101">
        <f>(P_A10_L11/5)*CUI_Poscosecha*Inflación_10</f>
        <v>0</v>
      </c>
      <c r="AA41" s="101">
        <f>SUMIFS('9'!$E:$E,'9'!$A:$A,Año_Inicial+9,'9'!$B:$B,'12'!Z$4,'9'!$D:$D,"Beneficiado")</f>
        <v>0</v>
      </c>
      <c r="AB41" s="101">
        <f>(P_A10_L12/5)*CUI_Poscosecha*Inflación_10</f>
        <v>0</v>
      </c>
      <c r="AC41" s="101">
        <f>SUMIFS('9'!$E:$E,'9'!$A:$A,Año_Inicial+9,'9'!$B:$B,'12'!AB$4,'9'!$D:$D,"Beneficiado")</f>
        <v>0</v>
      </c>
      <c r="AD41" s="101">
        <f>(P_A10_L13/5)*CUI_Poscosecha*Inflación_10</f>
        <v>0</v>
      </c>
      <c r="AE41" s="101">
        <f>SUMIFS('9'!$E:$E,'9'!$A:$A,Año_Inicial+9,'9'!$B:$B,'12'!AD$4,'9'!$D:$D,"Beneficiado")</f>
        <v>0</v>
      </c>
      <c r="AF41" s="101">
        <f>(P_A10_L14/5)*CUI_Poscosecha*Inflación_10</f>
        <v>0</v>
      </c>
      <c r="AG41" s="101">
        <f>SUMIFS('9'!$E:$E,'9'!$A:$A,Año_Inicial+9,'9'!$B:$B,'12'!AF$4,'9'!$D:$D,"Beneficiado")</f>
        <v>0</v>
      </c>
      <c r="AH41" s="101">
        <f>(P_A10_L15/5)*CUI_Poscosecha*Inflación_10</f>
        <v>0</v>
      </c>
      <c r="AI41" s="101">
        <f>SUMIFS('9'!$E:$E,'9'!$A:$A,Año_Inicial+9,'9'!$B:$B,'12'!AH$4,'9'!$D:$D,"Beneficiado")</f>
        <v>0</v>
      </c>
      <c r="AJ41" s="101">
        <f>(P_A10_L16/5)*CUI_Poscosecha*Inflación_10</f>
        <v>0</v>
      </c>
      <c r="AK41" s="101">
        <f>SUMIFS('9'!$E:$E,'9'!$A:$A,Año_Inicial+9,'9'!$B:$B,'12'!AJ$4,'9'!$D:$D,"Beneficiado")</f>
        <v>0</v>
      </c>
      <c r="AL41" s="101">
        <f>(P_A10_L17/5)*CUI_Poscosecha*Inflación_10</f>
        <v>0</v>
      </c>
      <c r="AM41" s="101">
        <f>SUMIFS('9'!$E:$E,'9'!$A:$A,Año_Inicial+9,'9'!$B:$B,'12'!AL$4,'9'!$D:$D,"Beneficiado")</f>
        <v>0</v>
      </c>
      <c r="AN41" s="101">
        <f>(P_A10_L18/5)*CUI_Poscosecha*Inflación_10</f>
        <v>0</v>
      </c>
      <c r="AO41" s="101">
        <f>SUMIFS('9'!$E:$E,'9'!$A:$A,Año_Inicial+9,'9'!$B:$B,'12'!AN$4,'9'!$D:$D,"Beneficiado")</f>
        <v>0</v>
      </c>
      <c r="AP41" s="101">
        <f>(P_A10_L19/5)*CUI_Poscosecha*Inflación_10</f>
        <v>0</v>
      </c>
      <c r="AQ41" s="101">
        <f>SUMIFS('9'!$E:$E,'9'!$A:$A,Año_Inicial+9,'9'!$B:$B,'12'!AP$4,'9'!$D:$D,"Beneficiado")</f>
        <v>0</v>
      </c>
      <c r="AR41" s="101">
        <f>(P_A10_L20/5)*CUI_Poscosecha*Inflación_10</f>
        <v>0</v>
      </c>
      <c r="AS41" s="101">
        <f>SUMIFS('9'!$E:$E,'9'!$A:$A,Año_Inicial+9,'9'!$B:$B,'12'!AR$4,'9'!$D:$D,"Beneficiado")</f>
        <v>0</v>
      </c>
      <c r="AT41" s="101">
        <f>(P_A10_L21/5)*CUI_Poscosecha*Inflación_10</f>
        <v>0</v>
      </c>
      <c r="AU41" s="101">
        <f>SUMIFS('9'!$E:$E,'9'!$A:$A,Año_Inicial+9,'9'!$B:$B,'12'!AT$4,'9'!$D:$D,"Beneficiado")</f>
        <v>0</v>
      </c>
      <c r="AV41" s="101">
        <f>(P_A10_L22/5)*CUI_Poscosecha*Inflación_10</f>
        <v>0</v>
      </c>
      <c r="AW41" s="101">
        <f>SUMIFS('9'!$E:$E,'9'!$A:$A,Año_Inicial+9,'9'!$B:$B,'12'!AV$4,'9'!$D:$D,"Beneficiado")</f>
        <v>0</v>
      </c>
      <c r="AX41" s="101">
        <f>(P_A10_L23/5)*CUI_Poscosecha*Inflación_10</f>
        <v>0</v>
      </c>
      <c r="AY41" s="101">
        <f>SUMIFS('9'!$E:$E,'9'!$A:$A,Año_Inicial+9,'9'!$B:$B,'12'!AX$4,'9'!$D:$D,"Beneficiado")</f>
        <v>0</v>
      </c>
      <c r="AZ41" s="101">
        <f>(P_A10_L24/5)*CUI_Poscosecha*Inflación_10</f>
        <v>0</v>
      </c>
      <c r="BA41" s="101">
        <f>SUMIFS('9'!$E:$E,'9'!$A:$A,Año_Inicial+9,'9'!$B:$B,'12'!AZ$4,'9'!$D:$D,"Beneficiado")</f>
        <v>0</v>
      </c>
      <c r="BB41" s="101">
        <f>(P_A10_L25/5)*CUI_Poscosecha*Inflación_10</f>
        <v>0</v>
      </c>
      <c r="BC41" s="101">
        <f>SUMIFS('9'!$E:$E,'9'!$A:$A,Año_Inicial+9,'9'!$B:$B,'12'!BB$4,'9'!$D:$D,"Beneficiado")</f>
        <v>0</v>
      </c>
      <c r="BD41" s="101">
        <f>(P_A10_L26/5)*CUI_Poscosecha*Inflación_10</f>
        <v>0</v>
      </c>
      <c r="BE41" s="101">
        <f>SUMIFS('9'!$E:$E,'9'!$A:$A,Año_Inicial+9,'9'!$B:$B,'12'!BD$4,'9'!$D:$D,"Beneficiado")</f>
        <v>0</v>
      </c>
      <c r="BF41" s="101">
        <f>(P_A10_L27/5)*CUI_Poscosecha*Inflación_10</f>
        <v>0</v>
      </c>
      <c r="BG41" s="101">
        <f>SUMIFS('9'!$E:$E,'9'!$A:$A,Año_Inicial+9,'9'!$B:$B,'12'!BF$4,'9'!$D:$D,"Beneficiado")</f>
        <v>0</v>
      </c>
      <c r="BH41" s="101">
        <f>(P_A10_L28/5)*CUI_Poscosecha*Inflación_10</f>
        <v>0</v>
      </c>
      <c r="BI41" s="101">
        <f>SUMIFS('9'!$E:$E,'9'!$A:$A,Año_Inicial+9,'9'!$B:$B,'12'!BH$4,'9'!$D:$D,"Beneficiado")</f>
        <v>0</v>
      </c>
      <c r="BJ41" s="101">
        <f>(P_A10_L29/5)*CUI_Poscosecha*Inflación_10</f>
        <v>0</v>
      </c>
      <c r="BK41" s="101">
        <f>SUMIFS('9'!$E:$E,'9'!$A:$A,Año_Inicial+9,'9'!$B:$B,'12'!BJ$4,'9'!$D:$D,"Beneficiado")</f>
        <v>0</v>
      </c>
      <c r="BL41" s="101">
        <f>(P_A10_L30/5)*CUI_Poscosecha*Inflación_10</f>
        <v>0</v>
      </c>
      <c r="BM41" s="101">
        <f>SUMIFS('9'!$E:$E,'9'!$A:$A,Año_Inicial+9,'9'!$B:$B,'12'!BL$4,'9'!$D:$D,"Beneficiado")</f>
        <v>0</v>
      </c>
      <c r="BN41" s="101">
        <f>(P_A10_L31/5)*CUI_Poscosecha*Inflación_10</f>
        <v>0</v>
      </c>
      <c r="BO41" s="101">
        <f>SUMIFS('9'!$E:$E,'9'!$A:$A,Año_Inicial+9,'9'!$B:$B,'12'!BN$4,'9'!$D:$D,"Beneficiado")</f>
        <v>0</v>
      </c>
      <c r="BP41" s="101">
        <f>(P_A10_L32/5)*CUI_Poscosecha*Inflación_10</f>
        <v>0</v>
      </c>
      <c r="BQ41" s="101">
        <f>SUMIFS('9'!$E:$E,'9'!$A:$A,Año_Inicial+9,'9'!$B:$B,'12'!BP$4,'9'!$D:$D,"Beneficiado")</f>
        <v>0</v>
      </c>
      <c r="BR41" s="101">
        <f>(P_A10_L33/5)*CUI_Poscosecha*Inflación_10</f>
        <v>0</v>
      </c>
      <c r="BS41" s="101">
        <f>SUMIFS('9'!$E:$E,'9'!$A:$A,Año_Inicial+9,'9'!$B:$B,'12'!BR$4,'9'!$D:$D,"Beneficiado")</f>
        <v>0</v>
      </c>
      <c r="BT41" s="101">
        <f>(P_A10_L34/5)*CUI_Poscosecha*Inflación_10</f>
        <v>0</v>
      </c>
      <c r="BU41" s="101">
        <f>SUMIFS('9'!$E:$E,'9'!$A:$A,Año_Inicial+9,'9'!$B:$B,'12'!BT$4,'9'!$D:$D,"Beneficiado")</f>
        <v>0</v>
      </c>
      <c r="BV41" s="101">
        <f>(P_A10_L35/5)*CUI_Poscosecha*Inflación_10</f>
        <v>0</v>
      </c>
      <c r="BW41" s="101">
        <f>SUMIFS('9'!$E:$E,'9'!$A:$A,Año_Inicial+9,'9'!$B:$B,'12'!BV$4,'9'!$D:$D,"Beneficiado")</f>
        <v>0</v>
      </c>
      <c r="BX41" s="101">
        <f>(P_A10_L36/5)*CUI_Poscosecha*Inflación_10</f>
        <v>0</v>
      </c>
      <c r="BY41" s="101">
        <f>SUMIFS('9'!$E:$E,'9'!$A:$A,Año_Inicial+9,'9'!$B:$B,'12'!BX$4,'9'!$D:$D,"Beneficiado")</f>
        <v>0</v>
      </c>
      <c r="BZ41" s="101">
        <f>(P_A10_L37/5)*CUI_Poscosecha*Inflación_10</f>
        <v>0</v>
      </c>
      <c r="CA41" s="101">
        <f>SUMIFS('9'!$E:$E,'9'!$A:$A,Año_Inicial+9,'9'!$B:$B,'12'!BZ$4,'9'!$D:$D,"Beneficiado")</f>
        <v>0</v>
      </c>
      <c r="CB41" s="101">
        <f>(P_A10_L38/5)*CUI_Poscosecha*Inflación_10</f>
        <v>0</v>
      </c>
      <c r="CC41" s="101">
        <f>SUMIFS('9'!$E:$E,'9'!$A:$A,Año_Inicial+9,'9'!$B:$B,'12'!CB$4,'9'!$D:$D,"Beneficiado")</f>
        <v>0</v>
      </c>
      <c r="CD41" s="101">
        <f>(P_A10_L39/5)*CUI_Poscosecha*Inflación_10</f>
        <v>0</v>
      </c>
      <c r="CE41" s="101">
        <f>SUMIFS('9'!$E:$E,'9'!$A:$A,Año_Inicial+9,'9'!$B:$B,'12'!CD$4,'9'!$D:$D,"Beneficiado")</f>
        <v>0</v>
      </c>
      <c r="CF41" s="101">
        <f>(P_A10_L40/5)*CUI_Poscosecha*Inflación_10</f>
        <v>0</v>
      </c>
      <c r="CG41" s="101">
        <f>SUMIFS('9'!$E:$E,'9'!$A:$A,Año_Inicial+9,'9'!$B:$B,'12'!CF$4,'9'!$D:$D,"Beneficiado")</f>
        <v>0</v>
      </c>
      <c r="CH41" s="473"/>
      <c r="CI41" s="101" t="e">
        <f>(CI7/Pergo)*CUI_Poscosecha*Inflación_10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SUMIFS('9'!$E:$E,'9'!$A:$A,Año_Inicial+9,'9'!$C:$C,"Renovación")</f>
        <v>0</v>
      </c>
      <c r="D43" s="100">
        <f t="shared" si="45"/>
        <v>0</v>
      </c>
      <c r="E43" s="473"/>
      <c r="F43" s="101">
        <f>A10_Z_L1*Planta_Z*Inflación_10</f>
        <v>0</v>
      </c>
      <c r="G43" s="101">
        <f>SUMIFS('9'!$E:$E,'9'!$A:$A,Año_Inicial+9,'9'!$B:$B,'12'!F$4,'9'!$C:$C,"Renovación")</f>
        <v>0</v>
      </c>
      <c r="H43" s="101">
        <f>A10_Z_L2*Planta_Z*Inflación_10</f>
        <v>0</v>
      </c>
      <c r="I43" s="101">
        <f>SUMIFS('9'!$E:$E,'9'!$A:$A,Año_Inicial+9,'9'!$B:$B,'12'!H$4,'9'!$C:$C,"Renovación")</f>
        <v>0</v>
      </c>
      <c r="J43" s="101">
        <f>A10_Z_L3*Planta_Z*Inflación_10</f>
        <v>0</v>
      </c>
      <c r="K43" s="101">
        <f>SUMIFS('9'!$E:$E,'9'!$A:$A,Año_Inicial+9,'9'!$B:$B,'12'!J$4,'9'!$C:$C,"Renovación")</f>
        <v>0</v>
      </c>
      <c r="L43" s="101">
        <f>A10_Z_L4*Planta_Z*Inflación_10</f>
        <v>0</v>
      </c>
      <c r="M43" s="101">
        <f>SUMIFS('9'!$E:$E,'9'!$A:$A,Año_Inicial+9,'9'!$B:$B,'12'!L$4,'9'!$C:$C,"Renovación")</f>
        <v>0</v>
      </c>
      <c r="N43" s="101">
        <f>A10_Z_L5*Planta_Z*Inflación_10</f>
        <v>0</v>
      </c>
      <c r="O43" s="101">
        <f>SUMIFS('9'!$E:$E,'9'!$A:$A,Año_Inicial+9,'9'!$B:$B,'12'!N$4,'9'!$C:$C,"Renovación")</f>
        <v>0</v>
      </c>
      <c r="P43" s="101">
        <f>A10_Z_L6*Planta_Z*Inflación_10</f>
        <v>0</v>
      </c>
      <c r="Q43" s="101">
        <f>SUMIFS('9'!$E:$E,'9'!$A:$A,Año_Inicial+9,'9'!$B:$B,'12'!P$4,'9'!$C:$C,"Renovación")</f>
        <v>0</v>
      </c>
      <c r="R43" s="101">
        <f>A10_Z_L7*Planta_Z*Inflación_10</f>
        <v>0</v>
      </c>
      <c r="S43" s="101">
        <f>SUMIFS('9'!$E:$E,'9'!$A:$A,Año_Inicial+9,'9'!$B:$B,'12'!R$4,'9'!$C:$C,"Renovación")</f>
        <v>0</v>
      </c>
      <c r="T43" s="101">
        <f>A10_Z_L8*Planta_Z*Inflación_10</f>
        <v>0</v>
      </c>
      <c r="U43" s="101">
        <f>SUMIFS('9'!$E:$E,'9'!$A:$A,Año_Inicial+9,'9'!$B:$B,'12'!T$4,'9'!$C:$C,"Renovación")</f>
        <v>0</v>
      </c>
      <c r="V43" s="101">
        <f>A10_Z_L9*Planta_Z*Inflación_10</f>
        <v>0</v>
      </c>
      <c r="W43" s="101">
        <f>SUMIFS('9'!$E:$E,'9'!$A:$A,Año_Inicial+9,'9'!$B:$B,'12'!V$4,'9'!$C:$C,"Renovación")</f>
        <v>0</v>
      </c>
      <c r="X43" s="101">
        <f>A10_Z_L10*Planta_Z*Inflación_10</f>
        <v>0</v>
      </c>
      <c r="Y43" s="101">
        <f>SUMIFS('9'!$E:$E,'9'!$A:$A,Año_Inicial+9,'9'!$B:$B,'12'!X$4,'9'!$C:$C,"Renovación")</f>
        <v>0</v>
      </c>
      <c r="Z43" s="101">
        <f>A10_Z_L11*Planta_Z*Inflación_10</f>
        <v>0</v>
      </c>
      <c r="AA43" s="101">
        <f>SUMIFS('9'!$E:$E,'9'!$A:$A,Año_Inicial+9,'9'!$B:$B,'12'!Z$4,'9'!$C:$C,"Renovación")</f>
        <v>0</v>
      </c>
      <c r="AB43" s="101">
        <f>A10_Z_L12*Planta_Z*Inflación_10</f>
        <v>0</v>
      </c>
      <c r="AC43" s="101">
        <f>SUMIFS('9'!$E:$E,'9'!$A:$A,Año_Inicial+9,'9'!$B:$B,'12'!AB$4,'9'!$C:$C,"Renovación")</f>
        <v>0</v>
      </c>
      <c r="AD43" s="101">
        <f>A10_Z_L13*Planta_Z*Inflación_10</f>
        <v>0</v>
      </c>
      <c r="AE43" s="101">
        <f>SUMIFS('9'!$E:$E,'9'!$A:$A,Año_Inicial+9,'9'!$B:$B,'12'!AD$4,'9'!$C:$C,"Renovación")</f>
        <v>0</v>
      </c>
      <c r="AF43" s="101">
        <f>A10_Z_L14*Planta_Z*Inflación_10</f>
        <v>0</v>
      </c>
      <c r="AG43" s="101">
        <f>SUMIFS('9'!$E:$E,'9'!$A:$A,Año_Inicial+9,'9'!$B:$B,'12'!AF$4,'9'!$C:$C,"Renovación")</f>
        <v>0</v>
      </c>
      <c r="AH43" s="101">
        <f>A10_Z_L15*Planta_Z*Inflación_10</f>
        <v>0</v>
      </c>
      <c r="AI43" s="101">
        <f>SUMIFS('9'!$E:$E,'9'!$A:$A,Año_Inicial+9,'9'!$B:$B,'12'!AH$4,'9'!$C:$C,"Renovación")</f>
        <v>0</v>
      </c>
      <c r="AJ43" s="101">
        <f>A10_Z_L16*Planta_Z*Inflación_10</f>
        <v>0</v>
      </c>
      <c r="AK43" s="101">
        <f>SUMIFS('9'!$E:$E,'9'!$A:$A,Año_Inicial+9,'9'!$B:$B,'12'!AJ$4,'9'!$C:$C,"Renovación")</f>
        <v>0</v>
      </c>
      <c r="AL43" s="101">
        <f>A10_Z_L17*Planta_Z*Inflación_10</f>
        <v>0</v>
      </c>
      <c r="AM43" s="101">
        <f>SUMIFS('9'!$E:$E,'9'!$A:$A,Año_Inicial+9,'9'!$B:$B,'12'!AL$4,'9'!$C:$C,"Renovación")</f>
        <v>0</v>
      </c>
      <c r="AN43" s="101">
        <f>A10_Z_L18*Planta_Z*Inflación_10</f>
        <v>0</v>
      </c>
      <c r="AO43" s="101">
        <f>SUMIFS('9'!$E:$E,'9'!$A:$A,Año_Inicial+9,'9'!$B:$B,'12'!AN$4,'9'!$C:$C,"Renovación")</f>
        <v>0</v>
      </c>
      <c r="AP43" s="101">
        <f>A10_Z_L19*Planta_Z*Inflación_10</f>
        <v>0</v>
      </c>
      <c r="AQ43" s="101">
        <f>SUMIFS('9'!$E:$E,'9'!$A:$A,Año_Inicial+9,'9'!$B:$B,'12'!AP$4,'9'!$C:$C,"Renovación")</f>
        <v>0</v>
      </c>
      <c r="AR43" s="101">
        <f>A10_Z_L20*Planta_Z*Inflación_10</f>
        <v>0</v>
      </c>
      <c r="AS43" s="101">
        <f>SUMIFS('9'!$E:$E,'9'!$A:$A,Año_Inicial+9,'9'!$B:$B,'12'!AR$4,'9'!$C:$C,"Renovación")</f>
        <v>0</v>
      </c>
      <c r="AT43" s="101">
        <f>A10_Z_L21*Planta_Z*Inflación_10</f>
        <v>0</v>
      </c>
      <c r="AU43" s="101">
        <f>SUMIFS('9'!$E:$E,'9'!$A:$A,Año_Inicial+9,'9'!$B:$B,'12'!AT$4,'9'!$C:$C,"Renovación")</f>
        <v>0</v>
      </c>
      <c r="AV43" s="101">
        <f>A10_Z_L22*Planta_Z*Inflación_10</f>
        <v>0</v>
      </c>
      <c r="AW43" s="101">
        <f>SUMIFS('9'!$E:$E,'9'!$A:$A,Año_Inicial+9,'9'!$B:$B,'12'!AV$4,'9'!$C:$C,"Renovación")</f>
        <v>0</v>
      </c>
      <c r="AX43" s="101">
        <f>A10_Z_L23*Planta_Z*Inflación_10</f>
        <v>0</v>
      </c>
      <c r="AY43" s="101">
        <f>SUMIFS('9'!$E:$E,'9'!$A:$A,Año_Inicial+9,'9'!$B:$B,'12'!AX$4,'9'!$C:$C,"Renovación")</f>
        <v>0</v>
      </c>
      <c r="AZ43" s="101">
        <f>A10_Z_L24*Planta_Z*Inflación_10</f>
        <v>0</v>
      </c>
      <c r="BA43" s="101">
        <f>SUMIFS('9'!$E:$E,'9'!$A:$A,Año_Inicial+9,'9'!$B:$B,'12'!AZ$4,'9'!$C:$C,"Renovación")</f>
        <v>0</v>
      </c>
      <c r="BB43" s="101">
        <f>A10_Z_L25*Planta_Z*Inflación_10</f>
        <v>0</v>
      </c>
      <c r="BC43" s="101">
        <f>SUMIFS('9'!$E:$E,'9'!$A:$A,Año_Inicial+9,'9'!$B:$B,'12'!BB$4,'9'!$C:$C,"Renovación")</f>
        <v>0</v>
      </c>
      <c r="BD43" s="101">
        <f>A10_Z_L26*Planta_Z*Inflación_10</f>
        <v>0</v>
      </c>
      <c r="BE43" s="101">
        <f>SUMIFS('9'!$E:$E,'9'!$A:$A,Año_Inicial+9,'9'!$B:$B,'12'!BD$4,'9'!$C:$C,"Renovación")</f>
        <v>0</v>
      </c>
      <c r="BF43" s="101">
        <f>A10_Z_L27*Planta_Z*Inflación_10</f>
        <v>0</v>
      </c>
      <c r="BG43" s="101">
        <f>SUMIFS('9'!$E:$E,'9'!$A:$A,Año_Inicial+9,'9'!$B:$B,'12'!BF$4,'9'!$C:$C,"Renovación")</f>
        <v>0</v>
      </c>
      <c r="BH43" s="101">
        <f>A10_Z_L28*Planta_Z*Inflación_10</f>
        <v>0</v>
      </c>
      <c r="BI43" s="101">
        <f>SUMIFS('9'!$E:$E,'9'!$A:$A,Año_Inicial+9,'9'!$B:$B,'12'!BH$4,'9'!$C:$C,"Renovación")</f>
        <v>0</v>
      </c>
      <c r="BJ43" s="101">
        <f>A10_Z_L29*Planta_Z*Inflación_10</f>
        <v>0</v>
      </c>
      <c r="BK43" s="101">
        <f>SUMIFS('9'!$E:$E,'9'!$A:$A,Año_Inicial+9,'9'!$B:$B,'12'!BJ$4,'9'!$C:$C,"Renovación")</f>
        <v>0</v>
      </c>
      <c r="BL43" s="101">
        <f>A10_Z_L30*Planta_Z*Inflación_10</f>
        <v>0</v>
      </c>
      <c r="BM43" s="101">
        <f>SUMIFS('9'!$E:$E,'9'!$A:$A,Año_Inicial+9,'9'!$B:$B,'12'!BL$4,'9'!$C:$C,"Renovación")</f>
        <v>0</v>
      </c>
      <c r="BN43" s="101">
        <f>A10_Z_L31*Planta_Z*Inflación_10</f>
        <v>0</v>
      </c>
      <c r="BO43" s="101">
        <f>SUMIFS('9'!$E:$E,'9'!$A:$A,Año_Inicial+9,'9'!$B:$B,'12'!BN$4,'9'!$C:$C,"Renovación")</f>
        <v>0</v>
      </c>
      <c r="BP43" s="101">
        <f>A10_Z_L32*Planta_Z*Inflación_10</f>
        <v>0</v>
      </c>
      <c r="BQ43" s="101">
        <f>SUMIFS('9'!$E:$E,'9'!$A:$A,Año_Inicial+9,'9'!$B:$B,'12'!BP$4,'9'!$C:$C,"Renovación")</f>
        <v>0</v>
      </c>
      <c r="BR43" s="101">
        <f>A10_Z_L33*Planta_Z*Inflación_10</f>
        <v>0</v>
      </c>
      <c r="BS43" s="101">
        <f>SUMIFS('9'!$E:$E,'9'!$A:$A,Año_Inicial+9,'9'!$B:$B,'12'!BR$4,'9'!$C:$C,"Renovación")</f>
        <v>0</v>
      </c>
      <c r="BT43" s="101">
        <f>A10_Z_L34*Planta_Z*Inflación_10</f>
        <v>0</v>
      </c>
      <c r="BU43" s="101">
        <f>SUMIFS('9'!$E:$E,'9'!$A:$A,Año_Inicial+9,'9'!$B:$B,'12'!BT$4,'9'!$C:$C,"Renovación")</f>
        <v>0</v>
      </c>
      <c r="BV43" s="101">
        <f>A10_Z_L35*Planta_Z*Inflación_10</f>
        <v>0</v>
      </c>
      <c r="BW43" s="101">
        <f>SUMIFS('9'!$E:$E,'9'!$A:$A,Año_Inicial+9,'9'!$B:$B,'12'!BV$4,'9'!$C:$C,"Renovación")</f>
        <v>0</v>
      </c>
      <c r="BX43" s="101">
        <f>A10_Z_L36*Planta_Z*Inflación_10</f>
        <v>0</v>
      </c>
      <c r="BY43" s="101">
        <f>SUMIFS('9'!$E:$E,'9'!$A:$A,Año_Inicial+9,'9'!$B:$B,'12'!BX$4,'9'!$C:$C,"Renovación")</f>
        <v>0</v>
      </c>
      <c r="BZ43" s="101">
        <f>A10_Z_L37*Planta_Z*Inflación_10</f>
        <v>0</v>
      </c>
      <c r="CA43" s="101">
        <f>SUMIFS('9'!$E:$E,'9'!$A:$A,Año_Inicial+9,'9'!$B:$B,'12'!BZ$4,'9'!$C:$C,"Renovación")</f>
        <v>0</v>
      </c>
      <c r="CB43" s="101">
        <f>A10_Z_L38*Planta_Z*Inflación_10</f>
        <v>0</v>
      </c>
      <c r="CC43" s="101">
        <f>SUMIFS('9'!$E:$E,'9'!$A:$A,Año_Inicial+9,'9'!$B:$B,'12'!CB$4,'9'!$C:$C,"Renovación")</f>
        <v>0</v>
      </c>
      <c r="CD43" s="101">
        <f>A10_Z_L39*Planta_Z*Inflación_10</f>
        <v>0</v>
      </c>
      <c r="CE43" s="101">
        <f>SUMIFS('9'!$E:$E,'9'!$A:$A,Año_Inicial+9,'9'!$B:$B,'12'!CD$4,'9'!$C:$C,"Renovación")</f>
        <v>0</v>
      </c>
      <c r="CF43" s="101">
        <f>A10_Z_L40*Planta_Z*Inflación_10</f>
        <v>0</v>
      </c>
      <c r="CG43" s="101">
        <f>SUMIFS('9'!$E:$E,'9'!$A:$A,Año_Inicial+9,'9'!$B:$B,'12'!CF$4,'9'!$C:$C,"Renovación")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(Plantas_Z_A10*Planta_Z)*Inflación_10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Admin_2*Inflación_10</f>
        <v>0</v>
      </c>
      <c r="C44" s="101">
        <f>SUMIFS('9'!$E:$E,'9'!$A:$A,Año_Inicial+9,'9'!$C:$C,"Gastos_administrativos")</f>
        <v>0</v>
      </c>
      <c r="D44" s="100">
        <f t="shared" si="45"/>
        <v>0</v>
      </c>
      <c r="E44" s="473"/>
      <c r="F44" s="101">
        <f>($B44/$B47)*F47*Inflación_10</f>
        <v>0</v>
      </c>
      <c r="G44" s="101">
        <f>($C44/$B47)*F47</f>
        <v>0</v>
      </c>
      <c r="H44" s="101">
        <f>($B44/$B47)*H47*Inflación_10</f>
        <v>0</v>
      </c>
      <c r="I44" s="101">
        <f>($C44/$B47)*H47</f>
        <v>0</v>
      </c>
      <c r="J44" s="101">
        <f>($B44/$B47)*J47*Inflación_10</f>
        <v>0</v>
      </c>
      <c r="K44" s="101">
        <f>($C44/$B47)*J47</f>
        <v>0</v>
      </c>
      <c r="L44" s="101">
        <f>($B44/$B47)*L47*Inflación_10</f>
        <v>0</v>
      </c>
      <c r="M44" s="101">
        <f>($C44/$B47)*L47</f>
        <v>0</v>
      </c>
      <c r="N44" s="101">
        <f>($B44/$B47)*N47*Inflación_10</f>
        <v>0</v>
      </c>
      <c r="O44" s="101">
        <f>($C44/$B47)*N47</f>
        <v>0</v>
      </c>
      <c r="P44" s="101">
        <f>($B44/$B47)*P47*Inflación_10</f>
        <v>0</v>
      </c>
      <c r="Q44" s="101">
        <f>($C44/$B47)*P47</f>
        <v>0</v>
      </c>
      <c r="R44" s="101">
        <f>($B44/$B47)*R47*Inflación_10</f>
        <v>0</v>
      </c>
      <c r="S44" s="101">
        <f>($C44/$B47)*R47</f>
        <v>0</v>
      </c>
      <c r="T44" s="101">
        <f>($B44/$B47)*T47*Inflación_10</f>
        <v>0</v>
      </c>
      <c r="U44" s="101">
        <f>($C44/$B47)*T47</f>
        <v>0</v>
      </c>
      <c r="V44" s="101">
        <f>($B44/$B47)*V47*Inflación_10</f>
        <v>0</v>
      </c>
      <c r="W44" s="101">
        <f>($C44/$B47)*V47</f>
        <v>0</v>
      </c>
      <c r="X44" s="101">
        <f>($B44/$B47)*X47*Inflación_10</f>
        <v>0</v>
      </c>
      <c r="Y44" s="101">
        <f>($C44/$B47)*X47</f>
        <v>0</v>
      </c>
      <c r="Z44" s="101">
        <f>($B44/$B47)*Z47*Inflación_10</f>
        <v>0</v>
      </c>
      <c r="AA44" s="101">
        <f>($C44/$B47)*Z47</f>
        <v>0</v>
      </c>
      <c r="AB44" s="101">
        <f>($B44/$B47)*AB47*Inflación_10</f>
        <v>0</v>
      </c>
      <c r="AC44" s="101">
        <f>($C44/$B47)*AB47</f>
        <v>0</v>
      </c>
      <c r="AD44" s="101">
        <f>($B44/$B47)*AD47*Inflación_10</f>
        <v>0</v>
      </c>
      <c r="AE44" s="101">
        <f>($C44/$B47)*AD47</f>
        <v>0</v>
      </c>
      <c r="AF44" s="101">
        <f>($B44/$B47)*AF47*Inflación_10</f>
        <v>0</v>
      </c>
      <c r="AG44" s="101">
        <f>($C44/$B47)*AF47</f>
        <v>0</v>
      </c>
      <c r="AH44" s="101">
        <f>($B44/$B47)*AH47*Inflación_10</f>
        <v>0</v>
      </c>
      <c r="AI44" s="101">
        <f>($C44/$B47)*AH47</f>
        <v>0</v>
      </c>
      <c r="AJ44" s="101">
        <f>($B44/$B47)*AJ47*Inflación_10</f>
        <v>0</v>
      </c>
      <c r="AK44" s="101">
        <f>($C44/$B47)*AJ47</f>
        <v>0</v>
      </c>
      <c r="AL44" s="101">
        <f>($B44/$B47)*AL47*Inflación_10</f>
        <v>0</v>
      </c>
      <c r="AM44" s="101">
        <f>($C44/$B47)*AL47</f>
        <v>0</v>
      </c>
      <c r="AN44" s="101">
        <f>($B44/$B47)*AN47*Inflación_10</f>
        <v>0</v>
      </c>
      <c r="AO44" s="101">
        <f>($C44/$B47)*AN47</f>
        <v>0</v>
      </c>
      <c r="AP44" s="101">
        <f>($B44/$B47)*AP47*Inflación_10</f>
        <v>0</v>
      </c>
      <c r="AQ44" s="101">
        <f>($C44/$B47)*AP47</f>
        <v>0</v>
      </c>
      <c r="AR44" s="101">
        <f>($B44/$B47)*AR47*Inflación_10</f>
        <v>0</v>
      </c>
      <c r="AS44" s="101">
        <f>($C44/$B47)*AR47</f>
        <v>0</v>
      </c>
      <c r="AT44" s="101">
        <f>($B44/$B47)*AT47*Inflación_10</f>
        <v>0</v>
      </c>
      <c r="AU44" s="101">
        <f>($C44/$B47)*AT47</f>
        <v>0</v>
      </c>
      <c r="AV44" s="101">
        <f>($B44/$B47)*AV47*Inflación_10</f>
        <v>0</v>
      </c>
      <c r="AW44" s="101">
        <f>($C44/$B47)*AV47</f>
        <v>0</v>
      </c>
      <c r="AX44" s="101">
        <f>($B44/$B47)*AX47*Inflación_10</f>
        <v>0</v>
      </c>
      <c r="AY44" s="101">
        <f>($C44/$B47)*AX47</f>
        <v>0</v>
      </c>
      <c r="AZ44" s="101">
        <f>($B44/$B47)*AZ47*Inflación_10</f>
        <v>0</v>
      </c>
      <c r="BA44" s="101">
        <f>($C44/$B47)*AZ47</f>
        <v>0</v>
      </c>
      <c r="BB44" s="101">
        <f>($B44/$B47)*BB47*Inflación_10</f>
        <v>0</v>
      </c>
      <c r="BC44" s="101">
        <f>($C44/$B47)*BB47</f>
        <v>0</v>
      </c>
      <c r="BD44" s="101">
        <f>($B44/$B47)*BD47*Inflación_10</f>
        <v>0</v>
      </c>
      <c r="BE44" s="101">
        <f>($C44/$B47)*BD47</f>
        <v>0</v>
      </c>
      <c r="BF44" s="101">
        <f>($B44/$B47)*BF47*Inflación_10</f>
        <v>0</v>
      </c>
      <c r="BG44" s="101">
        <f>($C44/$B47)*BF47</f>
        <v>0</v>
      </c>
      <c r="BH44" s="101">
        <f>($B44/$B47)*BH47*Inflación_10</f>
        <v>0</v>
      </c>
      <c r="BI44" s="101">
        <f>($C44/$B47)*BH47</f>
        <v>0</v>
      </c>
      <c r="BJ44" s="101">
        <f>($B44/$B47)*BJ47*Inflación_10</f>
        <v>0</v>
      </c>
      <c r="BK44" s="101">
        <f>($C44/$B47)*BJ47</f>
        <v>0</v>
      </c>
      <c r="BL44" s="101">
        <f>($B44/$B47)*BL47*Inflación_10</f>
        <v>0</v>
      </c>
      <c r="BM44" s="101">
        <f>($C44/$B47)*BL47</f>
        <v>0</v>
      </c>
      <c r="BN44" s="101">
        <f>($B44/$B47)*BN47*Inflación_10</f>
        <v>0</v>
      </c>
      <c r="BO44" s="101">
        <f>($C44/$B47)*BN47</f>
        <v>0</v>
      </c>
      <c r="BP44" s="101">
        <f>($B44/$B47)*BP47*Inflación_10</f>
        <v>0</v>
      </c>
      <c r="BQ44" s="101">
        <f>($C44/$B47)*BP47</f>
        <v>0</v>
      </c>
      <c r="BR44" s="101">
        <f>($B44/$B47)*BR47*Inflación_10</f>
        <v>0</v>
      </c>
      <c r="BS44" s="101">
        <f>($C44/$B47)*BR47</f>
        <v>0</v>
      </c>
      <c r="BT44" s="101">
        <f>($B44/$B47)*BT47*Inflación_10</f>
        <v>0</v>
      </c>
      <c r="BU44" s="101">
        <f>($C44/$B47)*BT47</f>
        <v>0</v>
      </c>
      <c r="BV44" s="101">
        <f>($B44/$B47)*BV47*Inflación_10</f>
        <v>0</v>
      </c>
      <c r="BW44" s="101">
        <f>($C44/$B47)*BV47</f>
        <v>0</v>
      </c>
      <c r="BX44" s="101">
        <f>($B44/$B47)*BX47*Inflación_10</f>
        <v>0</v>
      </c>
      <c r="BY44" s="101">
        <f>($C44/$B47)*BX47</f>
        <v>0</v>
      </c>
      <c r="BZ44" s="101">
        <f>($B44/$B47)*BZ47*Inflación_10</f>
        <v>0</v>
      </c>
      <c r="CA44" s="101">
        <f>($C44/$B47)*BZ47</f>
        <v>0</v>
      </c>
      <c r="CB44" s="101">
        <f>($B44/$B47)*CB47*Inflación_10</f>
        <v>0</v>
      </c>
      <c r="CC44" s="101">
        <f>($C44/$B47)*CB47</f>
        <v>0</v>
      </c>
      <c r="CD44" s="101">
        <f>($B44/$B47)*CD47*Inflación_10</f>
        <v>0</v>
      </c>
      <c r="CE44" s="101">
        <f>($C44/$B47)*CD47</f>
        <v>0</v>
      </c>
      <c r="CF44" s="101">
        <f>($B44/$B47)*CF47*Inflación_10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A10_A_L1+A10_B_L1+A10_C_L1+A10_D_L1+A10_Y_L1+A10_Z_L1+A10_X_L1</f>
        <v>7000</v>
      </c>
      <c r="G47" s="479"/>
      <c r="H47" s="478">
        <f>A10_A_L2+A10_B_L2+A10_C_L2+A10_D_L2+A10_Y_L2+A10_Z_L2+A10_X_L2</f>
        <v>0</v>
      </c>
      <c r="I47" s="479"/>
      <c r="J47" s="478">
        <f>A10_A_L3+A10_B_L3+A10_C_L3+A10_D_L3+A10_Y_L3+A10_Z_L3+A10_X_L3</f>
        <v>0</v>
      </c>
      <c r="K47" s="479"/>
      <c r="L47" s="478">
        <f>A10_A_L4+A10_B_L4+A10_C_L4+A10_D_L4+A10_Y_L4+A10_Z_L4+A10_X_L4</f>
        <v>0</v>
      </c>
      <c r="M47" s="479"/>
      <c r="N47" s="478">
        <f>A10_A_L5+A10_B_L5+A10_C_L5+A10_D_L5+A10_Y_L5+A10_Z_L5+A10_X_L5</f>
        <v>0</v>
      </c>
      <c r="O47" s="479"/>
      <c r="P47" s="478">
        <f>A10_A_L6+A10_B_L6+A10_C_L6+A10_D_L6+A10_Y_L6+A10_Z_L6+A10_X_L6</f>
        <v>0</v>
      </c>
      <c r="Q47" s="479"/>
      <c r="R47" s="478">
        <f>A10_A_L7+A10_B_L7+A10_C_L7+A10_D_L7+A10_Y_L7+A10_Z_L7+A10_X_L7</f>
        <v>0</v>
      </c>
      <c r="S47" s="479"/>
      <c r="T47" s="478">
        <f>A10_A_L8+A10_B_L8+A10_C_L8+A10_D_L8+A10_Y_L8+A10_Z_L8+A10_X_L8</f>
        <v>0</v>
      </c>
      <c r="U47" s="479"/>
      <c r="V47" s="478">
        <f>A10_A_L9+A10_B_L9+A10_C_L9+A10_D_L9+A10_Y_L9+A10_Z_L9+A10_X_L9</f>
        <v>0</v>
      </c>
      <c r="W47" s="479"/>
      <c r="X47" s="478">
        <f>A10_A_L10+A10_B_L10+A10_C_L10+A10_D_L10+A10_Y_L10+A10_Z_L10+A10_X_L10</f>
        <v>0</v>
      </c>
      <c r="Y47" s="479"/>
      <c r="Z47" s="478">
        <f>A10_A_L11+A10_B_L11+A10_C_L11+A10_D_L11+A10_Y_L11+A10_Z_L11+A10_X_L11</f>
        <v>0</v>
      </c>
      <c r="AA47" s="479"/>
      <c r="AB47" s="478">
        <f>A10_A_L12+A10_B_L12+A10_C_L12+A10_D_L12+A10_Y_L12+A10_Z_L12+A10_X_L12</f>
        <v>0</v>
      </c>
      <c r="AC47" s="479"/>
      <c r="AD47" s="478">
        <f>A10_A_L13+A10_B_L13+A10_C_L13+A10_D_L13+A10_Y_L13+A10_Z_L13+A10_X_L13</f>
        <v>0</v>
      </c>
      <c r="AE47" s="479"/>
      <c r="AF47" s="478">
        <f>A10_A_L14+A10_B_L14+A10_C_L14+A10_D_L14+A10_Y_L14+A10_Z_L14+A10_X_L14</f>
        <v>0</v>
      </c>
      <c r="AG47" s="479"/>
      <c r="AH47" s="478">
        <f>A10_A_L15+A10_B_L15+A10_C_L15+A10_D_L15+A10_Y_L15+A10_Z_L15+A10_X_L15</f>
        <v>0</v>
      </c>
      <c r="AI47" s="479"/>
      <c r="AJ47" s="478">
        <f>A10_A_L16+A10_B_L16+A10_C_L16+A10_D_L16+A10_Y_L16+A10_Z_L16+A10_X_L16</f>
        <v>0</v>
      </c>
      <c r="AK47" s="479"/>
      <c r="AL47" s="478">
        <f>A10_A_L17+A10_B_L17+A10_C_L17+A10_D_L17+A10_Y_L17+A10_Z_L17+A10_X_L17</f>
        <v>0</v>
      </c>
      <c r="AM47" s="479"/>
      <c r="AN47" s="478">
        <f>A10_A_L18+A10_B_L18+A10_C_L18+A10_D_L18+A10_Y_L18+A10_Z_L18+A10_X_L18</f>
        <v>0</v>
      </c>
      <c r="AO47" s="479"/>
      <c r="AP47" s="478">
        <f>A10_A_L19+A10_B_L19+A10_C_L19+A10_D_L19+A10_Y_L19+A10_Z_L19+A10_X_L19</f>
        <v>0</v>
      </c>
      <c r="AQ47" s="479"/>
      <c r="AR47" s="478">
        <f>A10_A_L20+A10_B_L20+A10_C_L20+A10_D_L20+A10_Y_L20+A10_Z_L20+A10_X_L20</f>
        <v>0</v>
      </c>
      <c r="AS47" s="479"/>
      <c r="AT47" s="478">
        <f>A10_A_L21+A10_B_L21+A10_C_L21+A10_D_L21+A10_Y_L21+A10_Z_L21+A10_X_L21</f>
        <v>0</v>
      </c>
      <c r="AU47" s="479"/>
      <c r="AV47" s="478">
        <f>A10_A_L22+A10_B_L22+A10_C_L22+A10_D_L22+A10_Y_L22+A10_Z_L22+A10_X_L22</f>
        <v>0</v>
      </c>
      <c r="AW47" s="479"/>
      <c r="AX47" s="478">
        <f>A10_A_L23+A10_B_L23+A10_C_L23+A10_D_L23+A10_Y_L23+A10_Z_L23+A10_X_L23</f>
        <v>0</v>
      </c>
      <c r="AY47" s="479"/>
      <c r="AZ47" s="478">
        <f>A10_A_L24+A10_B_L24+A10_C_L24+A10_D_L24+A10_Y_L24+A10_Z_L24+A10_X_L24</f>
        <v>0</v>
      </c>
      <c r="BA47" s="479"/>
      <c r="BB47" s="478">
        <f>A10_A_L25+A10_B_L25+A10_C_L25+A10_D_L25+A10_Y_L25+A10_Z_L25+A10_X_L25</f>
        <v>0</v>
      </c>
      <c r="BC47" s="479"/>
      <c r="BD47" s="478">
        <f>A10_A_L26+A10_B_L26+A10_C_L26+A10_D_L26+A10_Y_L26+A10_Z_L26+A10_X_L26</f>
        <v>0</v>
      </c>
      <c r="BE47" s="479"/>
      <c r="BF47" s="478">
        <f>A10_A_L27+A10_B_L27+A10_C_L27+A10_D_L27+A10_Y_L27+A10_Z_L27+A10_X_L27</f>
        <v>0</v>
      </c>
      <c r="BG47" s="479"/>
      <c r="BH47" s="478">
        <f>A10_A_L28+A10_B_L28+A10_C_L28+A10_D_L28+A10_Y_L28+A10_Z_L28+A10_X_L28</f>
        <v>0</v>
      </c>
      <c r="BI47" s="479"/>
      <c r="BJ47" s="478">
        <f>A10_A_L29+A10_B_L29+A10_C_L29+A10_D_L29+A10_Y_L29+A10_Z_L29+A10_X_L29</f>
        <v>0</v>
      </c>
      <c r="BK47" s="479"/>
      <c r="BL47" s="478">
        <f>A10_A_L30+A10_B_L30+A10_C_L30+A10_D_L30+A10_Y_L30+A10_Z_L30+A10_X_L30</f>
        <v>0</v>
      </c>
      <c r="BM47" s="479"/>
      <c r="BN47" s="478">
        <f>A10_A_L31+A10_B_L31+A10_C_L31+A10_D_L31+A10_Y_L31+A10_Z_L31+A10_X_L31</f>
        <v>0</v>
      </c>
      <c r="BO47" s="479"/>
      <c r="BP47" s="478">
        <f>A10_A_L32+A10_B_L32+A10_C_L32+A10_D_L32+A10_Y_L32+A10_Z_L32+A10_X_L32</f>
        <v>0</v>
      </c>
      <c r="BQ47" s="479"/>
      <c r="BR47" s="478">
        <f>A10_A_L33+A10_B_L33+A10_C_L33+A10_D_L33+A10_Y_L33+A10_Z_L33+A10_X_L33</f>
        <v>0</v>
      </c>
      <c r="BS47" s="479"/>
      <c r="BT47" s="478">
        <f>A10_A_L34+A10_B_L34+A10_C_L34+A10_D_L34+A10_Y_L34+A10_Z_L34+A10_X_L34</f>
        <v>0</v>
      </c>
      <c r="BU47" s="479"/>
      <c r="BV47" s="478">
        <f>A10_A_L35+A10_B_L35+A10_C_L35+A10_D_L35+A10_Y_L35+A10_Z_L35+A10_X_L35</f>
        <v>0</v>
      </c>
      <c r="BW47" s="479"/>
      <c r="BX47" s="478">
        <f>A10_A_L36+A10_B_L36+A10_C_L36+A10_D_L36+A10_Y_L36+A10_Z_L36+A10_X_L36</f>
        <v>0</v>
      </c>
      <c r="BY47" s="479"/>
      <c r="BZ47" s="478">
        <f>A10_A_L37+A10_B_L37+A10_C_L37+A10_D_L37+A10_Y_L37+A10_Z_L37+A10_X_L37</f>
        <v>0</v>
      </c>
      <c r="CA47" s="479"/>
      <c r="CB47" s="478">
        <f>A10_A_L38+A10_B_L38+A10_C_L38+A10_D_L38+A10_Y_L38+A10_Z_L38+A10_X_L38</f>
        <v>0</v>
      </c>
      <c r="CC47" s="479"/>
      <c r="CD47" s="478">
        <f>A10_A_L39+A10_B_L39+A10_C_L39+A10_D_L39+A10_Y_L39+A10_Z_L39+A10_X_L39</f>
        <v>0</v>
      </c>
      <c r="CE47" s="479"/>
      <c r="CF47" s="478">
        <f>A10_A_L40+A10_B_L40+A10_C_L40+A10_D_L40+A10_Y_L40+A10_Z_L40+A10_X_L40</f>
        <v>0</v>
      </c>
      <c r="CG47" s="479"/>
      <c r="CH47" s="473"/>
      <c r="CI47" s="118">
        <f>Plantas_A_A10</f>
        <v>0</v>
      </c>
      <c r="CJ47" s="119">
        <f>Plantas_B_A10</f>
        <v>0</v>
      </c>
      <c r="CK47" s="119">
        <f>Plantas_C_A10</f>
        <v>0</v>
      </c>
      <c r="CL47" s="119">
        <f>Plantas_D_A10</f>
        <v>7000</v>
      </c>
      <c r="CM47" s="119">
        <f>Plantas_Z_A10</f>
        <v>0</v>
      </c>
      <c r="CN47" s="119">
        <f>Plantas_Y_A10</f>
        <v>0</v>
      </c>
      <c r="CO47" s="120">
        <f>Plantas_X_A10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4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4" ht="30.95" customHeight="1" x14ac:dyDescent="0.3">
      <c r="A50" s="424" t="s">
        <v>85</v>
      </c>
      <c r="B50" s="424"/>
      <c r="C50" s="424"/>
      <c r="CP50" s="131"/>
    </row>
  </sheetData>
  <sheetProtection algorithmName="SHA-512" hashValue="+aJ+ULyeGWsY3fggDwSTfiISYRFVF7gGR00/aur3CKvg0vr6zvtNZV/ZczrzDIGWNYauVpBRs/HqbwidKUZbkA==" saltValue="bw2AOLEOOsIXzvuXUhPqfQ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AL4:AM4"/>
    <mergeCell ref="AN4:AO4"/>
    <mergeCell ref="AP4:AQ4"/>
    <mergeCell ref="AR4:AS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J4:K4"/>
    <mergeCell ref="B4:D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J4:AK4"/>
    <mergeCell ref="A50:C50"/>
    <mergeCell ref="A2:D2"/>
    <mergeCell ref="E4:E49"/>
    <mergeCell ref="F4:G4"/>
    <mergeCell ref="H4:I4"/>
  </mergeCells>
  <hyperlinks>
    <hyperlink ref="CH1" location="Inicio!A15" display="Regresar" xr:uid="{322AD650-6ACF-4292-A1CD-D92070E98525}"/>
    <hyperlink ref="A1" location="Inicio!C17" display="Regresar" xr:uid="{D367A66D-0EF3-47C1-B047-8321F027B82A}"/>
    <hyperlink ref="A1:CO1" location="Inicio!C17" display="Regresar" xr:uid="{EF957E05-E0DD-4B2A-88DB-8D92C96D37AF}"/>
  </hyperlinks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7F5943-290E-4622-9345-0FB4039A579E}">
  <sheetPr codeName="Hoja23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 activeCell="B11" sqref="B11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collapsed="1"/>
    <col min="95" max="16384" width="11" style="131"/>
  </cols>
  <sheetData>
    <row r="1" spans="1:93" s="59" customFormat="1" ht="35.25" customHeight="1" thickBot="1" x14ac:dyDescent="0.3">
      <c r="A1" s="315" t="s">
        <v>21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317"/>
    </row>
    <row r="2" spans="1:93" s="59" customFormat="1" ht="50.1" customHeight="1" thickBot="1" x14ac:dyDescent="0.3">
      <c r="A2" s="480" t="str">
        <f>CONCATENATE("Planificación financiera ",Up," | Presupuesto y ejecución ",Año_Inicial+10)</f>
        <v>Planificación financiera  | Presupuesto y ejecución 2033</v>
      </c>
      <c r="B2" s="481"/>
      <c r="C2" s="481"/>
      <c r="D2" s="481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  <c r="AA2" s="86"/>
      <c r="AB2" s="86"/>
      <c r="AC2" s="86"/>
      <c r="AD2" s="86"/>
      <c r="AE2" s="86"/>
      <c r="AF2" s="86"/>
      <c r="AG2" s="86"/>
      <c r="AH2" s="86"/>
      <c r="AI2" s="86"/>
      <c r="AJ2" s="86"/>
      <c r="AK2" s="86"/>
      <c r="AL2" s="86"/>
      <c r="AM2" s="86"/>
      <c r="AN2" s="86"/>
      <c r="AO2" s="86"/>
      <c r="AP2" s="86"/>
      <c r="AQ2" s="86"/>
      <c r="AR2" s="86"/>
      <c r="AS2" s="86"/>
      <c r="AT2" s="86"/>
      <c r="AU2" s="86"/>
      <c r="AV2" s="86"/>
      <c r="AW2" s="86"/>
      <c r="AX2" s="86"/>
      <c r="AY2" s="86"/>
      <c r="AZ2" s="86"/>
      <c r="BA2" s="86"/>
      <c r="BB2" s="86"/>
      <c r="BC2" s="86"/>
      <c r="BD2" s="86"/>
      <c r="BE2" s="86"/>
      <c r="BF2" s="86"/>
      <c r="BG2" s="86"/>
      <c r="BH2" s="86"/>
      <c r="BI2" s="86"/>
      <c r="BJ2" s="86"/>
      <c r="BK2" s="86"/>
      <c r="BL2" s="86"/>
      <c r="BM2" s="86"/>
      <c r="BN2" s="86"/>
      <c r="BO2" s="86"/>
      <c r="BP2" s="86"/>
      <c r="BQ2" s="86"/>
      <c r="BR2" s="86"/>
      <c r="BS2" s="86"/>
      <c r="BT2" s="86"/>
      <c r="BU2" s="86"/>
      <c r="BV2" s="86"/>
      <c r="BW2" s="86"/>
      <c r="BX2" s="86"/>
      <c r="BY2" s="86"/>
      <c r="BZ2" s="86"/>
      <c r="CA2" s="86"/>
      <c r="CB2" s="86"/>
      <c r="CC2" s="86"/>
      <c r="CD2" s="86"/>
      <c r="CE2" s="86"/>
      <c r="CF2" s="86"/>
      <c r="CG2" s="86"/>
      <c r="CH2" s="86"/>
      <c r="CI2" s="86"/>
      <c r="CJ2" s="86"/>
      <c r="CK2" s="86"/>
      <c r="CL2" s="86"/>
      <c r="CM2" s="86"/>
      <c r="CN2" s="86"/>
      <c r="CO2" s="318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492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P_A11_L1</f>
        <v>0</v>
      </c>
      <c r="G7" s="96" t="e">
        <f>G40/CUI_Corte</f>
        <v>#DIV/0!</v>
      </c>
      <c r="H7" s="97">
        <f>P_A11_L2</f>
        <v>0</v>
      </c>
      <c r="I7" s="96" t="e">
        <f>I40/CUI_Corte</f>
        <v>#DIV/0!</v>
      </c>
      <c r="J7" s="97">
        <f>P_A11_L3</f>
        <v>0</v>
      </c>
      <c r="K7" s="96" t="e">
        <f>K40/CUI_Corte</f>
        <v>#DIV/0!</v>
      </c>
      <c r="L7" s="97">
        <f>P_A11_L4</f>
        <v>0</v>
      </c>
      <c r="M7" s="96" t="e">
        <f>M40/CUI_Corte</f>
        <v>#DIV/0!</v>
      </c>
      <c r="N7" s="97">
        <f>P_A11_L5</f>
        <v>0</v>
      </c>
      <c r="O7" s="96" t="e">
        <f>O40/CUI_Corte</f>
        <v>#DIV/0!</v>
      </c>
      <c r="P7" s="97">
        <f>P_A11_L6</f>
        <v>0</v>
      </c>
      <c r="Q7" s="96" t="e">
        <f>Q40/CUI_Corte</f>
        <v>#DIV/0!</v>
      </c>
      <c r="R7" s="97">
        <f>P_A11_L7</f>
        <v>0</v>
      </c>
      <c r="S7" s="96" t="e">
        <f>S40/CUI_Corte</f>
        <v>#DIV/0!</v>
      </c>
      <c r="T7" s="97">
        <f>P_A11_L8</f>
        <v>0</v>
      </c>
      <c r="U7" s="96" t="e">
        <f>U40/CUI_Corte</f>
        <v>#DIV/0!</v>
      </c>
      <c r="V7" s="97">
        <f>P_A11_L9</f>
        <v>0</v>
      </c>
      <c r="W7" s="96" t="e">
        <f>W40/CUI_Corte</f>
        <v>#DIV/0!</v>
      </c>
      <c r="X7" s="97">
        <f>P_A11_L10</f>
        <v>0</v>
      </c>
      <c r="Y7" s="96" t="e">
        <f>Y40/CUI_Corte</f>
        <v>#DIV/0!</v>
      </c>
      <c r="Z7" s="97">
        <f>P_A11_L11</f>
        <v>0</v>
      </c>
      <c r="AA7" s="96" t="e">
        <f>AA40/CUI_Corte</f>
        <v>#DIV/0!</v>
      </c>
      <c r="AB7" s="97">
        <f>P_A11_L12</f>
        <v>0</v>
      </c>
      <c r="AC7" s="96" t="e">
        <f>AC40/CUI_Corte</f>
        <v>#DIV/0!</v>
      </c>
      <c r="AD7" s="97">
        <f>P_A11_L13</f>
        <v>0</v>
      </c>
      <c r="AE7" s="96" t="e">
        <f>AE40/CUI_Corte</f>
        <v>#DIV/0!</v>
      </c>
      <c r="AF7" s="97">
        <f>P_A11_L14</f>
        <v>0</v>
      </c>
      <c r="AG7" s="96" t="e">
        <f>AG40/CUI_Corte</f>
        <v>#DIV/0!</v>
      </c>
      <c r="AH7" s="97">
        <f>P_A11_L15</f>
        <v>0</v>
      </c>
      <c r="AI7" s="96" t="e">
        <f>AI40/CUI_Corte</f>
        <v>#DIV/0!</v>
      </c>
      <c r="AJ7" s="97">
        <f>P_A11_L16</f>
        <v>0</v>
      </c>
      <c r="AK7" s="96" t="e">
        <f>AK40/CUI_Corte</f>
        <v>#DIV/0!</v>
      </c>
      <c r="AL7" s="97">
        <f>P_A11_L17</f>
        <v>0</v>
      </c>
      <c r="AM7" s="96" t="e">
        <f>AM40/CUI_Corte</f>
        <v>#DIV/0!</v>
      </c>
      <c r="AN7" s="97">
        <f>P_A11_L18</f>
        <v>0</v>
      </c>
      <c r="AO7" s="96" t="e">
        <f>AO40/CUI_Corte</f>
        <v>#DIV/0!</v>
      </c>
      <c r="AP7" s="97">
        <f>P_A11_L19</f>
        <v>0</v>
      </c>
      <c r="AQ7" s="96" t="e">
        <f>AQ40/CUI_Corte</f>
        <v>#DIV/0!</v>
      </c>
      <c r="AR7" s="97">
        <f>P_A11_L20</f>
        <v>0</v>
      </c>
      <c r="AS7" s="96" t="e">
        <f>AS40/CUI_Corte</f>
        <v>#DIV/0!</v>
      </c>
      <c r="AT7" s="97">
        <f>P_A11_L21</f>
        <v>0</v>
      </c>
      <c r="AU7" s="96" t="e">
        <f>AU40/CUI_Corte</f>
        <v>#DIV/0!</v>
      </c>
      <c r="AV7" s="97">
        <f>P_A11_L22</f>
        <v>0</v>
      </c>
      <c r="AW7" s="96" t="e">
        <f>AW40/CUI_Corte</f>
        <v>#DIV/0!</v>
      </c>
      <c r="AX7" s="97">
        <f>P_A11_L23</f>
        <v>0</v>
      </c>
      <c r="AY7" s="96" t="e">
        <f>AY40/CUI_Corte</f>
        <v>#DIV/0!</v>
      </c>
      <c r="AZ7" s="97">
        <f>P_A11_L24</f>
        <v>0</v>
      </c>
      <c r="BA7" s="96" t="e">
        <f>BA40/CUI_Corte</f>
        <v>#DIV/0!</v>
      </c>
      <c r="BB7" s="97">
        <f>P_A11_L25</f>
        <v>0</v>
      </c>
      <c r="BC7" s="96" t="e">
        <f>BC40/CUI_Corte</f>
        <v>#DIV/0!</v>
      </c>
      <c r="BD7" s="97">
        <f>P_A11_L26</f>
        <v>0</v>
      </c>
      <c r="BE7" s="96" t="e">
        <f>BE40/CUI_Corte</f>
        <v>#DIV/0!</v>
      </c>
      <c r="BF7" s="97">
        <f>P_A11_L27</f>
        <v>0</v>
      </c>
      <c r="BG7" s="96" t="e">
        <f>BG40/CUI_Corte</f>
        <v>#DIV/0!</v>
      </c>
      <c r="BH7" s="97">
        <f>P_A11_L28</f>
        <v>0</v>
      </c>
      <c r="BI7" s="96" t="e">
        <f>BI40/CUI_Corte</f>
        <v>#DIV/0!</v>
      </c>
      <c r="BJ7" s="97">
        <f>P_A11_L29</f>
        <v>0</v>
      </c>
      <c r="BK7" s="96" t="e">
        <f>BK40/CUI_Corte</f>
        <v>#DIV/0!</v>
      </c>
      <c r="BL7" s="97">
        <f>P_A11_L30</f>
        <v>0</v>
      </c>
      <c r="BM7" s="96" t="e">
        <f>BM40/CUI_Corte</f>
        <v>#DIV/0!</v>
      </c>
      <c r="BN7" s="97">
        <f>P_A11_L31</f>
        <v>0</v>
      </c>
      <c r="BO7" s="96" t="e">
        <f>BO40/CUI_Corte</f>
        <v>#DIV/0!</v>
      </c>
      <c r="BP7" s="97">
        <f>P_A11_L32</f>
        <v>0</v>
      </c>
      <c r="BQ7" s="96" t="e">
        <f>BQ40/CUI_Corte</f>
        <v>#DIV/0!</v>
      </c>
      <c r="BR7" s="97">
        <f>P_A11_L33</f>
        <v>0</v>
      </c>
      <c r="BS7" s="96" t="e">
        <f>BS40/CUI_Corte</f>
        <v>#DIV/0!</v>
      </c>
      <c r="BT7" s="97">
        <f>P_A11_L34</f>
        <v>0</v>
      </c>
      <c r="BU7" s="96" t="e">
        <f>BU40/CUI_Corte</f>
        <v>#DIV/0!</v>
      </c>
      <c r="BV7" s="97">
        <f>P_A11_L35</f>
        <v>0</v>
      </c>
      <c r="BW7" s="96" t="e">
        <f>BW40/CUI_Corte</f>
        <v>#DIV/0!</v>
      </c>
      <c r="BX7" s="97">
        <f>P_A11_L36</f>
        <v>0</v>
      </c>
      <c r="BY7" s="96" t="e">
        <f>BY40/CUI_Corte</f>
        <v>#DIV/0!</v>
      </c>
      <c r="BZ7" s="97">
        <f>P_A11_L37</f>
        <v>0</v>
      </c>
      <c r="CA7" s="96" t="e">
        <f>CA40/CUI_Corte</f>
        <v>#DIV/0!</v>
      </c>
      <c r="CB7" s="97">
        <f>P_A11_L38</f>
        <v>0</v>
      </c>
      <c r="CC7" s="96" t="e">
        <f>CC40/CUI_Corte</f>
        <v>#DIV/0!</v>
      </c>
      <c r="CD7" s="97">
        <f>P_A11_L39</f>
        <v>0</v>
      </c>
      <c r="CE7" s="96" t="e">
        <f>CE40/CUI_Corte</f>
        <v>#DIV/0!</v>
      </c>
      <c r="CF7" s="97">
        <f>P_A11_L40</f>
        <v>0</v>
      </c>
      <c r="CG7" s="96" t="e">
        <f>CG40/CUI_Corte</f>
        <v>#DIV/0!</v>
      </c>
      <c r="CH7" s="473"/>
      <c r="CI7" s="96">
        <f>(IF(Diseño="Bloque",Bloque_A11_A,Surco_A11_A)/100)</f>
        <v>0</v>
      </c>
      <c r="CJ7" s="96">
        <f>(IF(Diseño="Bloque",Bloque_A11_B,Surco_A11_B)/100)</f>
        <v>0</v>
      </c>
      <c r="CK7" s="96">
        <f>(IF(Diseño="Bloque",Bloque_A11_C,Surco_A11_C)/100)</f>
        <v>0</v>
      </c>
      <c r="CL7" s="96">
        <f>(IF(Diseño="Bloque",Bloque_A11_D,Surco_A11_D)/100)</f>
        <v>0</v>
      </c>
      <c r="CM7" s="96"/>
      <c r="CN7" s="96">
        <f>(IF(Diseño="Bloque",Bloque_A11_Y,Surco_A11_Y)/100)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",Precio_A11,".00")</f>
        <v>Ventas de café de primera:  0% | Q. .00</v>
      </c>
      <c r="B8" s="100">
        <f>B7*P_Primera*Precio_A11*Inflación_11</f>
        <v>0</v>
      </c>
      <c r="C8" s="100" t="e">
        <f>C7*P_Primera*Precio_A11</f>
        <v>#DIV/0!</v>
      </c>
      <c r="D8" s="100" t="e">
        <f>C8-B8</f>
        <v>#DIV/0!</v>
      </c>
      <c r="E8" s="475"/>
      <c r="F8" s="101">
        <f>P_A11_L1*P_Primera*Precio_A11*Inflación_11</f>
        <v>0</v>
      </c>
      <c r="G8" s="100" t="e">
        <f>G7*P_Primera*Precio_A11</f>
        <v>#DIV/0!</v>
      </c>
      <c r="H8" s="101">
        <f>P_A11_L2*P_Primera*Precio_A11*Inflación_11</f>
        <v>0</v>
      </c>
      <c r="I8" s="100" t="e">
        <f>I7*P_Primera*Precio_A11</f>
        <v>#DIV/0!</v>
      </c>
      <c r="J8" s="101">
        <f>P_A11_L3*P_Primera*Precio_A11*Inflación_11</f>
        <v>0</v>
      </c>
      <c r="K8" s="100" t="e">
        <f>K7*P_Primera*Precio_A11</f>
        <v>#DIV/0!</v>
      </c>
      <c r="L8" s="101">
        <f>P_A11_L4*P_Primera*Precio_A11*Inflación_11</f>
        <v>0</v>
      </c>
      <c r="M8" s="100" t="e">
        <f>M7*P_Primera*Precio_A11</f>
        <v>#DIV/0!</v>
      </c>
      <c r="N8" s="101">
        <f>P_A11_L5*P_Primera*Precio_A11*Inflación_11</f>
        <v>0</v>
      </c>
      <c r="O8" s="100" t="e">
        <f>O7*P_Primera*Precio_A11</f>
        <v>#DIV/0!</v>
      </c>
      <c r="P8" s="101">
        <f>P_A11_L6*P_Primera*Precio_A11*Inflación_11</f>
        <v>0</v>
      </c>
      <c r="Q8" s="100" t="e">
        <f>Q7*P_Primera*Precio_A11</f>
        <v>#DIV/0!</v>
      </c>
      <c r="R8" s="101">
        <f>P_A11_L7*P_Primera*Precio_A11*Inflación_11</f>
        <v>0</v>
      </c>
      <c r="S8" s="100" t="e">
        <f>S7*P_Primera*Precio_A11</f>
        <v>#DIV/0!</v>
      </c>
      <c r="T8" s="101">
        <f>P_A11_L8*P_Primera*Precio_A11*Inflación_11</f>
        <v>0</v>
      </c>
      <c r="U8" s="100" t="e">
        <f>U7*P_Primera*Precio_A11</f>
        <v>#DIV/0!</v>
      </c>
      <c r="V8" s="101">
        <f>P_A11_L9*P_Primera*Precio_A11*Inflación_11</f>
        <v>0</v>
      </c>
      <c r="W8" s="100" t="e">
        <f>W7*P_Primera*Precio_A11</f>
        <v>#DIV/0!</v>
      </c>
      <c r="X8" s="101">
        <f>P_A11_L10*P_Primera*Precio_A11*Inflación_11</f>
        <v>0</v>
      </c>
      <c r="Y8" s="100" t="e">
        <f>Y7*P_Primera*Precio_A11</f>
        <v>#DIV/0!</v>
      </c>
      <c r="Z8" s="101">
        <f>P_A11_L11*P_Primera*Precio_A11*Inflación_11</f>
        <v>0</v>
      </c>
      <c r="AA8" s="100" t="e">
        <f>AA7*P_Primera*Precio_A11</f>
        <v>#DIV/0!</v>
      </c>
      <c r="AB8" s="101">
        <f>P_A11_L12*P_Primera*Precio_A11*Inflación_11</f>
        <v>0</v>
      </c>
      <c r="AC8" s="100" t="e">
        <f>AC7*P_Primera*Precio_A11</f>
        <v>#DIV/0!</v>
      </c>
      <c r="AD8" s="101">
        <f>P_A11_L13*P_Primera*Precio_A11*Inflación_11</f>
        <v>0</v>
      </c>
      <c r="AE8" s="100" t="e">
        <f>AE7*P_Primera*Precio_A11</f>
        <v>#DIV/0!</v>
      </c>
      <c r="AF8" s="101">
        <f>P_A11_L14*P_Primera*Precio_A11*Inflación_11</f>
        <v>0</v>
      </c>
      <c r="AG8" s="100" t="e">
        <f>AG7*P_Primera*Precio_A11</f>
        <v>#DIV/0!</v>
      </c>
      <c r="AH8" s="101">
        <f>P_A11_L15*P_Primera*Precio_A11*Inflación_11</f>
        <v>0</v>
      </c>
      <c r="AI8" s="100" t="e">
        <f>AI7*P_Primera*Precio_A11</f>
        <v>#DIV/0!</v>
      </c>
      <c r="AJ8" s="101">
        <f>P_A11_L16*P_Primera*Precio_A11*Inflación_11</f>
        <v>0</v>
      </c>
      <c r="AK8" s="100" t="e">
        <f>AK7*P_Primera*Precio_A11</f>
        <v>#DIV/0!</v>
      </c>
      <c r="AL8" s="101">
        <f>P_A11_L17*P_Primera*Precio_A11*Inflación_11</f>
        <v>0</v>
      </c>
      <c r="AM8" s="100" t="e">
        <f>AM7*P_Primera*Precio_A11</f>
        <v>#DIV/0!</v>
      </c>
      <c r="AN8" s="101">
        <f>P_A11_L18*P_Primera*Precio_A11*Inflación_11</f>
        <v>0</v>
      </c>
      <c r="AO8" s="100" t="e">
        <f>AO7*P_Primera*Precio_A11</f>
        <v>#DIV/0!</v>
      </c>
      <c r="AP8" s="101">
        <f>P_A11_L19*P_Primera*Precio_A11*Inflación_11</f>
        <v>0</v>
      </c>
      <c r="AQ8" s="100" t="e">
        <f>AQ7*P_Primera*Precio_A11</f>
        <v>#DIV/0!</v>
      </c>
      <c r="AR8" s="101">
        <f>P_A11_L20*P_Primera*Precio_A11*Inflación_11</f>
        <v>0</v>
      </c>
      <c r="AS8" s="100" t="e">
        <f>AS7*P_Primera*Precio_A11</f>
        <v>#DIV/0!</v>
      </c>
      <c r="AT8" s="101">
        <f>P_A11_L21*P_Primera*Precio_A11*Inflación_11</f>
        <v>0</v>
      </c>
      <c r="AU8" s="100" t="e">
        <f>AU7*P_Primera*Precio_A11</f>
        <v>#DIV/0!</v>
      </c>
      <c r="AV8" s="101">
        <f>P_A11_L22*P_Primera*Precio_A11*Inflación_11</f>
        <v>0</v>
      </c>
      <c r="AW8" s="100" t="e">
        <f>AW7*P_Primera*Precio_A11</f>
        <v>#DIV/0!</v>
      </c>
      <c r="AX8" s="101">
        <f>P_A11_L23*P_Primera*Precio_A11*Inflación_11</f>
        <v>0</v>
      </c>
      <c r="AY8" s="100" t="e">
        <f>AY7*P_Primera*Precio_A11</f>
        <v>#DIV/0!</v>
      </c>
      <c r="AZ8" s="101">
        <f>P_A11_L24*P_Primera*Precio_A11*Inflación_11</f>
        <v>0</v>
      </c>
      <c r="BA8" s="100" t="e">
        <f>BA7*P_Primera*Precio_A11</f>
        <v>#DIV/0!</v>
      </c>
      <c r="BB8" s="101">
        <f>P_A11_L25*P_Primera*Precio_A11*Inflación_11</f>
        <v>0</v>
      </c>
      <c r="BC8" s="100" t="e">
        <f>BC7*P_Primera*Precio_A11</f>
        <v>#DIV/0!</v>
      </c>
      <c r="BD8" s="101">
        <f>P_A11_L26*P_Primera*Precio_A11*Inflación_11</f>
        <v>0</v>
      </c>
      <c r="BE8" s="100" t="e">
        <f>BE7*P_Primera*Precio_A11</f>
        <v>#DIV/0!</v>
      </c>
      <c r="BF8" s="101">
        <f>P_A11_L27*P_Primera*Precio_A11*Inflación_11</f>
        <v>0</v>
      </c>
      <c r="BG8" s="100" t="e">
        <f>BG7*P_Primera*Precio_A11</f>
        <v>#DIV/0!</v>
      </c>
      <c r="BH8" s="101">
        <f>P_A11_L28*P_Primera*Precio_A11*Inflación_11</f>
        <v>0</v>
      </c>
      <c r="BI8" s="100" t="e">
        <f>BI7*P_Primera*Precio_A11</f>
        <v>#DIV/0!</v>
      </c>
      <c r="BJ8" s="101">
        <f>P_A11_L29*P_Primera*Precio_A11*Inflación_11</f>
        <v>0</v>
      </c>
      <c r="BK8" s="100" t="e">
        <f>BK7*P_Primera*Precio_A11</f>
        <v>#DIV/0!</v>
      </c>
      <c r="BL8" s="101">
        <f>P_A11_L30*P_Primera*Precio_A11*Inflación_11</f>
        <v>0</v>
      </c>
      <c r="BM8" s="100" t="e">
        <f>BM7*P_Primera*Precio_A11</f>
        <v>#DIV/0!</v>
      </c>
      <c r="BN8" s="101">
        <f>P_A11_L31*P_Primera*Precio_A11*Inflación_11</f>
        <v>0</v>
      </c>
      <c r="BO8" s="100" t="e">
        <f>BO7*P_Primera*Precio_A11</f>
        <v>#DIV/0!</v>
      </c>
      <c r="BP8" s="101">
        <f>P_A11_L32*P_Primera*Precio_A11*Inflación_11</f>
        <v>0</v>
      </c>
      <c r="BQ8" s="100" t="e">
        <f>BQ7*P_Primera*Precio_A11</f>
        <v>#DIV/0!</v>
      </c>
      <c r="BR8" s="101">
        <f>P_A11_L33*P_Primera*Precio_A11*Inflación_11</f>
        <v>0</v>
      </c>
      <c r="BS8" s="100" t="e">
        <f>BS7*P_Primera*Precio_A11</f>
        <v>#DIV/0!</v>
      </c>
      <c r="BT8" s="101">
        <f>P_A11_L34*P_Primera*Precio_A11*Inflación_11</f>
        <v>0</v>
      </c>
      <c r="BU8" s="100" t="e">
        <f>BU7*P_Primera*Precio_A11</f>
        <v>#DIV/0!</v>
      </c>
      <c r="BV8" s="101">
        <f>P_A11_L35*P_Primera*Precio_A11*Inflación_11</f>
        <v>0</v>
      </c>
      <c r="BW8" s="100" t="e">
        <f>BW7*P_Primera*Precio_A11</f>
        <v>#DIV/0!</v>
      </c>
      <c r="BX8" s="101">
        <f>P_A11_L36*P_Primera*Precio_A11*Inflación_11</f>
        <v>0</v>
      </c>
      <c r="BY8" s="100" t="e">
        <f>BY7*P_Primera*Precio_A11</f>
        <v>#DIV/0!</v>
      </c>
      <c r="BZ8" s="101">
        <f>P_A11_L37*P_Primera*Precio_A11*Inflación_11</f>
        <v>0</v>
      </c>
      <c r="CA8" s="100" t="e">
        <f>CA7*P_Primera*Precio_A11</f>
        <v>#DIV/0!</v>
      </c>
      <c r="CB8" s="101">
        <f>P_A11_L38*P_Primera*Precio_A11*Inflación_11</f>
        <v>0</v>
      </c>
      <c r="CC8" s="100" t="e">
        <f>CC7*P_Primera*Precio_A11</f>
        <v>#DIV/0!</v>
      </c>
      <c r="CD8" s="101">
        <f>P_A11_L39*P_Primera*Precio_A11*Inflación_11</f>
        <v>0</v>
      </c>
      <c r="CE8" s="100" t="e">
        <f>CE7*P_Primera*Precio_A11</f>
        <v>#DIV/0!</v>
      </c>
      <c r="CF8" s="101">
        <f>P_A11_L40*P_Primera*Precio_A11*Inflación_11</f>
        <v>0</v>
      </c>
      <c r="CG8" s="100" t="e">
        <f>CG7*P_Primera*Precio_A11</f>
        <v>#DIV/0!</v>
      </c>
      <c r="CH8" s="473"/>
      <c r="CI8" s="101">
        <f>CI7*P_Primera*Precio_A11*Inflación_11</f>
        <v>0</v>
      </c>
      <c r="CJ8" s="101">
        <f>CJ7*P_Primera*Precio_A11*Inflación_11</f>
        <v>0</v>
      </c>
      <c r="CK8" s="101">
        <f>CK7*P_Primera*Precio_A11*Inflación_11</f>
        <v>0</v>
      </c>
      <c r="CL8" s="101">
        <f>CL7*P_Primera*Precio_A11*Inflación_11</f>
        <v>0</v>
      </c>
      <c r="CM8" s="101"/>
      <c r="CN8" s="101">
        <f>CN7*P_Primera*Precio_A11*Inflación_11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B7*P_Segunda*Segunda*Inflación_11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P_A11_L1*P_Segunda*Segunda*Inflación_11</f>
        <v>0</v>
      </c>
      <c r="G9" s="100" t="e">
        <f t="shared" ref="G9" si="2">G7*P_Segunda*Segunda</f>
        <v>#DIV/0!</v>
      </c>
      <c r="H9" s="101">
        <f>P_A11_L2*P_Segunda*Segunda*Inflación_11</f>
        <v>0</v>
      </c>
      <c r="I9" s="100" t="e">
        <f>I7*P_Segunda*Segunda</f>
        <v>#DIV/0!</v>
      </c>
      <c r="J9" s="101">
        <f>P_A11_L3*P_Segunda*Segunda*Inflación_11</f>
        <v>0</v>
      </c>
      <c r="K9" s="100" t="e">
        <f t="shared" ref="K9" si="3">K7*P_Segunda*Segunda</f>
        <v>#DIV/0!</v>
      </c>
      <c r="L9" s="101">
        <f>P_A11_L4*P_Segunda*Segunda*Inflación_11</f>
        <v>0</v>
      </c>
      <c r="M9" s="100" t="e">
        <f>M7*P_Segunda*Segunda</f>
        <v>#DIV/0!</v>
      </c>
      <c r="N9" s="101">
        <f>P_A11_L5*P_Segunda*Segunda*Inflación_11</f>
        <v>0</v>
      </c>
      <c r="O9" s="100" t="e">
        <f t="shared" ref="O9:Q9" si="4">O7*P_Segunda*Segunda</f>
        <v>#DIV/0!</v>
      </c>
      <c r="P9" s="101">
        <f>P_A11_L6*P_Segunda*Segunda*Inflación_11</f>
        <v>0</v>
      </c>
      <c r="Q9" s="100" t="e">
        <f t="shared" si="4"/>
        <v>#DIV/0!</v>
      </c>
      <c r="R9" s="101">
        <f>P_A11_L7*P_Segunda*Segunda*Inflación_11</f>
        <v>0</v>
      </c>
      <c r="S9" s="100" t="e">
        <f t="shared" ref="S9:U9" si="5">S7*P_Segunda*Segunda</f>
        <v>#DIV/0!</v>
      </c>
      <c r="T9" s="101">
        <f>P_A11_L8*P_Segunda*Segunda*Inflación_11</f>
        <v>0</v>
      </c>
      <c r="U9" s="100" t="e">
        <f t="shared" si="5"/>
        <v>#DIV/0!</v>
      </c>
      <c r="V9" s="101">
        <f>P_A11_L9*P_Segunda*Segunda*Inflación_11</f>
        <v>0</v>
      </c>
      <c r="W9" s="100" t="e">
        <f t="shared" ref="W9:Y9" si="6">W7*P_Segunda*Segunda</f>
        <v>#DIV/0!</v>
      </c>
      <c r="X9" s="101">
        <f>P_A11_L10*P_Segunda*Segunda*Inflación_11</f>
        <v>0</v>
      </c>
      <c r="Y9" s="100" t="e">
        <f t="shared" si="6"/>
        <v>#DIV/0!</v>
      </c>
      <c r="Z9" s="101">
        <f>P_A11_L11*P_Segunda*Segunda*Inflación_11</f>
        <v>0</v>
      </c>
      <c r="AA9" s="100" t="e">
        <f t="shared" ref="AA9:AC9" si="7">AA7*P_Segunda*Segunda</f>
        <v>#DIV/0!</v>
      </c>
      <c r="AB9" s="101">
        <f>P_A11_L12*P_Segunda*Segunda*Inflación_11</f>
        <v>0</v>
      </c>
      <c r="AC9" s="100" t="e">
        <f t="shared" si="7"/>
        <v>#DIV/0!</v>
      </c>
      <c r="AD9" s="101">
        <f>P_A11_L13*P_Segunda*Segunda*Inflación_11</f>
        <v>0</v>
      </c>
      <c r="AE9" s="100" t="e">
        <f t="shared" ref="AE9:AG9" si="8">AE7*P_Segunda*Segunda</f>
        <v>#DIV/0!</v>
      </c>
      <c r="AF9" s="101">
        <f>P_A11_L14*P_Segunda*Segunda*Inflación_11</f>
        <v>0</v>
      </c>
      <c r="AG9" s="100" t="e">
        <f t="shared" si="8"/>
        <v>#DIV/0!</v>
      </c>
      <c r="AH9" s="101">
        <f>P_A11_L15*P_Segunda*Segunda*Inflación_11</f>
        <v>0</v>
      </c>
      <c r="AI9" s="100" t="e">
        <f t="shared" ref="AI9:AK9" si="9">AI7*P_Segunda*Segunda</f>
        <v>#DIV/0!</v>
      </c>
      <c r="AJ9" s="101">
        <f>P_A11_L16*P_Segunda*Segunda*Inflación_11</f>
        <v>0</v>
      </c>
      <c r="AK9" s="100" t="e">
        <f t="shared" si="9"/>
        <v>#DIV/0!</v>
      </c>
      <c r="AL9" s="101">
        <f>P_A11_L17*P_Segunda*Segunda*Inflación_11</f>
        <v>0</v>
      </c>
      <c r="AM9" s="100" t="e">
        <f t="shared" ref="AM9:AO9" si="10">AM7*P_Segunda*Segunda</f>
        <v>#DIV/0!</v>
      </c>
      <c r="AN9" s="101">
        <f>P_A11_L18*P_Segunda*Segunda*Inflación_11</f>
        <v>0</v>
      </c>
      <c r="AO9" s="100" t="e">
        <f t="shared" si="10"/>
        <v>#DIV/0!</v>
      </c>
      <c r="AP9" s="101">
        <f>P_A11_L19*P_Segunda*Segunda*Inflación_11</f>
        <v>0</v>
      </c>
      <c r="AQ9" s="100" t="e">
        <f t="shared" ref="AQ9:AS9" si="11">AQ7*P_Segunda*Segunda</f>
        <v>#DIV/0!</v>
      </c>
      <c r="AR9" s="101">
        <f>P_A11_L20*P_Segunda*Segunda*Inflación_11</f>
        <v>0</v>
      </c>
      <c r="AS9" s="100" t="e">
        <f t="shared" si="11"/>
        <v>#DIV/0!</v>
      </c>
      <c r="AT9" s="101">
        <f>P_A11_L21*P_Segunda*Segunda*Inflación_11</f>
        <v>0</v>
      </c>
      <c r="AU9" s="100" t="e">
        <f t="shared" ref="AU9:AW9" si="12">AU7*P_Segunda*Segunda</f>
        <v>#DIV/0!</v>
      </c>
      <c r="AV9" s="101">
        <f>P_A11_L22*P_Segunda*Segunda*Inflación_11</f>
        <v>0</v>
      </c>
      <c r="AW9" s="100" t="e">
        <f t="shared" si="12"/>
        <v>#DIV/0!</v>
      </c>
      <c r="AX9" s="101">
        <f>P_A11_L23*P_Segunda*Segunda*Inflación_11</f>
        <v>0</v>
      </c>
      <c r="AY9" s="100" t="e">
        <f t="shared" ref="AY9:BA9" si="13">AY7*P_Segunda*Segunda</f>
        <v>#DIV/0!</v>
      </c>
      <c r="AZ9" s="101">
        <f>P_A11_L24*P_Segunda*Segunda*Inflación_11</f>
        <v>0</v>
      </c>
      <c r="BA9" s="100" t="e">
        <f t="shared" si="13"/>
        <v>#DIV/0!</v>
      </c>
      <c r="BB9" s="101">
        <f>P_A11_L25*P_Segunda*Segunda*Inflación_11</f>
        <v>0</v>
      </c>
      <c r="BC9" s="100" t="e">
        <f t="shared" ref="BC9:BE9" si="14">BC7*P_Segunda*Segunda</f>
        <v>#DIV/0!</v>
      </c>
      <c r="BD9" s="101">
        <f>P_A11_L26*P_Segunda*Segunda*Inflación_11</f>
        <v>0</v>
      </c>
      <c r="BE9" s="100" t="e">
        <f t="shared" si="14"/>
        <v>#DIV/0!</v>
      </c>
      <c r="BF9" s="101">
        <f>P_A11_L27*P_Segunda*Segunda*Inflación_11</f>
        <v>0</v>
      </c>
      <c r="BG9" s="100" t="e">
        <f t="shared" ref="BG9:BI9" si="15">BG7*P_Segunda*Segunda</f>
        <v>#DIV/0!</v>
      </c>
      <c r="BH9" s="101">
        <f>P_A11_L28*P_Segunda*Segunda*Inflación_11</f>
        <v>0</v>
      </c>
      <c r="BI9" s="100" t="e">
        <f t="shared" si="15"/>
        <v>#DIV/0!</v>
      </c>
      <c r="BJ9" s="101">
        <f>P_A11_L29*P_Segunda*Segunda*Inflación_11</f>
        <v>0</v>
      </c>
      <c r="BK9" s="100" t="e">
        <f t="shared" ref="BK9:BM9" si="16">BK7*P_Segunda*Segunda</f>
        <v>#DIV/0!</v>
      </c>
      <c r="BL9" s="101">
        <f>P_A11_L30*P_Segunda*Segunda*Inflación_11</f>
        <v>0</v>
      </c>
      <c r="BM9" s="100" t="e">
        <f t="shared" si="16"/>
        <v>#DIV/0!</v>
      </c>
      <c r="BN9" s="101">
        <f>P_A11_L31*P_Segunda*Segunda*Inflación_11</f>
        <v>0</v>
      </c>
      <c r="BO9" s="100" t="e">
        <f t="shared" ref="BO9:BQ9" si="17">BO7*P_Segunda*Segunda</f>
        <v>#DIV/0!</v>
      </c>
      <c r="BP9" s="101">
        <f>P_A11_L32*P_Segunda*Segunda*Inflación_11</f>
        <v>0</v>
      </c>
      <c r="BQ9" s="100" t="e">
        <f t="shared" si="17"/>
        <v>#DIV/0!</v>
      </c>
      <c r="BR9" s="101">
        <f>P_A11_L33*P_Segunda*Segunda*Inflación_11</f>
        <v>0</v>
      </c>
      <c r="BS9" s="100" t="e">
        <f t="shared" ref="BS9:BU9" si="18">BS7*P_Segunda*Segunda</f>
        <v>#DIV/0!</v>
      </c>
      <c r="BT9" s="101">
        <f>P_A11_L34*P_Segunda*Segunda*Inflación_11</f>
        <v>0</v>
      </c>
      <c r="BU9" s="100" t="e">
        <f t="shared" si="18"/>
        <v>#DIV/0!</v>
      </c>
      <c r="BV9" s="101">
        <f>P_A11_L35*P_Segunda*Segunda*Inflación_11</f>
        <v>0</v>
      </c>
      <c r="BW9" s="100" t="e">
        <f t="shared" ref="BW9:BY9" si="19">BW7*P_Segunda*Segunda</f>
        <v>#DIV/0!</v>
      </c>
      <c r="BX9" s="101">
        <f>P_A11_L36*P_Segunda*Segunda*Inflación_11</f>
        <v>0</v>
      </c>
      <c r="BY9" s="100" t="e">
        <f t="shared" si="19"/>
        <v>#DIV/0!</v>
      </c>
      <c r="BZ9" s="101">
        <f>P_A11_L37*P_Segunda*Segunda*Inflación_11</f>
        <v>0</v>
      </c>
      <c r="CA9" s="100" t="e">
        <f t="shared" ref="CA9:CC9" si="20">CA7*P_Segunda*Segunda</f>
        <v>#DIV/0!</v>
      </c>
      <c r="CB9" s="101">
        <f>P_A11_L38*P_Segunda*Segunda*Inflación_11</f>
        <v>0</v>
      </c>
      <c r="CC9" s="100" t="e">
        <f t="shared" si="20"/>
        <v>#DIV/0!</v>
      </c>
      <c r="CD9" s="101">
        <f>P_A11_L39*P_Segunda*Segunda*Inflación_11</f>
        <v>0</v>
      </c>
      <c r="CE9" s="100" t="e">
        <f t="shared" ref="CE9:CG9" si="21">CE7*P_Segunda*Segunda</f>
        <v>#DIV/0!</v>
      </c>
      <c r="CF9" s="101">
        <f>P_A11_L40*P_Segunda*Segunda*Inflación_11</f>
        <v>0</v>
      </c>
      <c r="CG9" s="100" t="e">
        <f t="shared" si="21"/>
        <v>#DIV/0!</v>
      </c>
      <c r="CH9" s="473"/>
      <c r="CI9" s="101">
        <f>CI7*P_Segunda*Segunda*Inflación_11</f>
        <v>0</v>
      </c>
      <c r="CJ9" s="101">
        <f>CJ7*P_Segunda*Segunda*Inflación_11</f>
        <v>0</v>
      </c>
      <c r="CK9" s="101">
        <f>CK7*P_Segunda*Segunda*Inflación_11</f>
        <v>0</v>
      </c>
      <c r="CL9" s="101">
        <f>CL7*P_Segunda*Segunda*Inflación_11</f>
        <v>0</v>
      </c>
      <c r="CM9" s="101"/>
      <c r="CN9" s="101">
        <f>CN7*P_Segunda*Segunda*Inflación_11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B7*P_Inferior*Inferior*Inflación_11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P_A11_L1*P_Inferior*Inferior*Inflación_11</f>
        <v>0</v>
      </c>
      <c r="G10" s="100" t="e">
        <f t="shared" ref="G10" si="23">G7*P_Inferior*Inferior</f>
        <v>#DIV/0!</v>
      </c>
      <c r="H10" s="101">
        <f>P_A11_L2*P_Inferior*Inferior*Inflación_11</f>
        <v>0</v>
      </c>
      <c r="I10" s="100" t="e">
        <f>I7*P_Inferior*Inferior</f>
        <v>#DIV/0!</v>
      </c>
      <c r="J10" s="101">
        <f>P_A11_L3*P_Inferior*Inferior*Inflación_11</f>
        <v>0</v>
      </c>
      <c r="K10" s="100" t="e">
        <f t="shared" ref="K10" si="24">K7*P_Inferior*Inferior</f>
        <v>#DIV/0!</v>
      </c>
      <c r="L10" s="101">
        <f>P_A11_L4*P_Inferior*Inferior*Inflación_11</f>
        <v>0</v>
      </c>
      <c r="M10" s="100" t="e">
        <f>M7*P_Inferior*Inferior</f>
        <v>#DIV/0!</v>
      </c>
      <c r="N10" s="101">
        <f>P_A11_L5*P_Inferior*Inferior*Inflación_11</f>
        <v>0</v>
      </c>
      <c r="O10" s="100" t="e">
        <f t="shared" ref="O10:Q10" si="25">O7*P_Inferior*Inferior</f>
        <v>#DIV/0!</v>
      </c>
      <c r="P10" s="101">
        <f>P_A11_L6*P_Inferior*Inferior*Inflación_11</f>
        <v>0</v>
      </c>
      <c r="Q10" s="100" t="e">
        <f t="shared" si="25"/>
        <v>#DIV/0!</v>
      </c>
      <c r="R10" s="101">
        <f>P_A11_L7*P_Inferior*Inferior*Inflación_11</f>
        <v>0</v>
      </c>
      <c r="S10" s="100" t="e">
        <f t="shared" ref="S10:U10" si="26">S7*P_Inferior*Inferior</f>
        <v>#DIV/0!</v>
      </c>
      <c r="T10" s="101">
        <f>P_A11_L8*P_Inferior*Inferior*Inflación_11</f>
        <v>0</v>
      </c>
      <c r="U10" s="100" t="e">
        <f t="shared" si="26"/>
        <v>#DIV/0!</v>
      </c>
      <c r="V10" s="101">
        <f>P_A11_L9*P_Inferior*Inferior*Inflación_11</f>
        <v>0</v>
      </c>
      <c r="W10" s="100" t="e">
        <f t="shared" ref="W10:Y10" si="27">W7*P_Inferior*Inferior</f>
        <v>#DIV/0!</v>
      </c>
      <c r="X10" s="101">
        <f>P_A11_L10*P_Inferior*Inferior*Inflación_11</f>
        <v>0</v>
      </c>
      <c r="Y10" s="100" t="e">
        <f t="shared" si="27"/>
        <v>#DIV/0!</v>
      </c>
      <c r="Z10" s="101">
        <f>P_A11_L11*P_Inferior*Inferior*Inflación_11</f>
        <v>0</v>
      </c>
      <c r="AA10" s="100" t="e">
        <f t="shared" ref="AA10:AC10" si="28">AA7*P_Inferior*Inferior</f>
        <v>#DIV/0!</v>
      </c>
      <c r="AB10" s="101">
        <f>P_A11_L12*P_Inferior*Inferior*Inflación_11</f>
        <v>0</v>
      </c>
      <c r="AC10" s="100" t="e">
        <f t="shared" si="28"/>
        <v>#DIV/0!</v>
      </c>
      <c r="AD10" s="101">
        <f>P_A11_L13*P_Inferior*Inferior*Inflación_11</f>
        <v>0</v>
      </c>
      <c r="AE10" s="100" t="e">
        <f t="shared" ref="AE10:AG10" si="29">AE7*P_Inferior*Inferior</f>
        <v>#DIV/0!</v>
      </c>
      <c r="AF10" s="101">
        <f>P_A11_L14*P_Inferior*Inferior*Inflación_11</f>
        <v>0</v>
      </c>
      <c r="AG10" s="100" t="e">
        <f t="shared" si="29"/>
        <v>#DIV/0!</v>
      </c>
      <c r="AH10" s="101">
        <f>P_A11_L15*P_Inferior*Inferior*Inflación_11</f>
        <v>0</v>
      </c>
      <c r="AI10" s="100" t="e">
        <f t="shared" ref="AI10:AK10" si="30">AI7*P_Inferior*Inferior</f>
        <v>#DIV/0!</v>
      </c>
      <c r="AJ10" s="101">
        <f>P_A11_L16*P_Inferior*Inferior*Inflación_11</f>
        <v>0</v>
      </c>
      <c r="AK10" s="100" t="e">
        <f t="shared" si="30"/>
        <v>#DIV/0!</v>
      </c>
      <c r="AL10" s="101">
        <f>P_A11_L17*P_Inferior*Inferior*Inflación_11</f>
        <v>0</v>
      </c>
      <c r="AM10" s="100" t="e">
        <f t="shared" ref="AM10:AO10" si="31">AM7*P_Inferior*Inferior</f>
        <v>#DIV/0!</v>
      </c>
      <c r="AN10" s="101">
        <f>P_A11_L18*P_Inferior*Inferior*Inflación_11</f>
        <v>0</v>
      </c>
      <c r="AO10" s="100" t="e">
        <f t="shared" si="31"/>
        <v>#DIV/0!</v>
      </c>
      <c r="AP10" s="101">
        <f>P_A11_L19*P_Inferior*Inferior*Inflación_11</f>
        <v>0</v>
      </c>
      <c r="AQ10" s="100" t="e">
        <f t="shared" ref="AQ10:AS10" si="32">AQ7*P_Inferior*Inferior</f>
        <v>#DIV/0!</v>
      </c>
      <c r="AR10" s="101">
        <f>P_A11_L20*P_Inferior*Inferior*Inflación_11</f>
        <v>0</v>
      </c>
      <c r="AS10" s="100" t="e">
        <f t="shared" si="32"/>
        <v>#DIV/0!</v>
      </c>
      <c r="AT10" s="101">
        <f>P_A11_L21*P_Inferior*Inferior*Inflación_11</f>
        <v>0</v>
      </c>
      <c r="AU10" s="100" t="e">
        <f t="shared" ref="AU10:AW10" si="33">AU7*P_Inferior*Inferior</f>
        <v>#DIV/0!</v>
      </c>
      <c r="AV10" s="101">
        <f>P_A11_L22*P_Inferior*Inferior*Inflación_11</f>
        <v>0</v>
      </c>
      <c r="AW10" s="100" t="e">
        <f t="shared" si="33"/>
        <v>#DIV/0!</v>
      </c>
      <c r="AX10" s="101">
        <f>P_A11_L23*P_Inferior*Inferior*Inflación_11</f>
        <v>0</v>
      </c>
      <c r="AY10" s="100" t="e">
        <f t="shared" ref="AY10:BA10" si="34">AY7*P_Inferior*Inferior</f>
        <v>#DIV/0!</v>
      </c>
      <c r="AZ10" s="101">
        <f>P_A11_L24*P_Inferior*Inferior*Inflación_11</f>
        <v>0</v>
      </c>
      <c r="BA10" s="100" t="e">
        <f t="shared" si="34"/>
        <v>#DIV/0!</v>
      </c>
      <c r="BB10" s="101">
        <f>P_A11_L25*P_Inferior*Inferior*Inflación_11</f>
        <v>0</v>
      </c>
      <c r="BC10" s="100" t="e">
        <f t="shared" ref="BC10:BE10" si="35">BC7*P_Inferior*Inferior</f>
        <v>#DIV/0!</v>
      </c>
      <c r="BD10" s="101">
        <f>P_A11_L26*P_Inferior*Inferior*Inflación_11</f>
        <v>0</v>
      </c>
      <c r="BE10" s="100" t="e">
        <f t="shared" si="35"/>
        <v>#DIV/0!</v>
      </c>
      <c r="BF10" s="101">
        <f>P_A11_L27*P_Inferior*Inferior*Inflación_11</f>
        <v>0</v>
      </c>
      <c r="BG10" s="100" t="e">
        <f t="shared" ref="BG10:BI10" si="36">BG7*P_Inferior*Inferior</f>
        <v>#DIV/0!</v>
      </c>
      <c r="BH10" s="101">
        <f>P_A11_L28*P_Inferior*Inferior*Inflación_11</f>
        <v>0</v>
      </c>
      <c r="BI10" s="100" t="e">
        <f t="shared" si="36"/>
        <v>#DIV/0!</v>
      </c>
      <c r="BJ10" s="101">
        <f>P_A11_L29*P_Inferior*Inferior*Inflación_11</f>
        <v>0</v>
      </c>
      <c r="BK10" s="100" t="e">
        <f t="shared" ref="BK10:BM10" si="37">BK7*P_Inferior*Inferior</f>
        <v>#DIV/0!</v>
      </c>
      <c r="BL10" s="101">
        <f>P_A11_L30*P_Inferior*Inferior*Inflación_11</f>
        <v>0</v>
      </c>
      <c r="BM10" s="100" t="e">
        <f t="shared" si="37"/>
        <v>#DIV/0!</v>
      </c>
      <c r="BN10" s="101">
        <f>P_A11_L31*P_Inferior*Inferior*Inflación_11</f>
        <v>0</v>
      </c>
      <c r="BO10" s="100" t="e">
        <f t="shared" ref="BO10:BQ10" si="38">BO7*P_Inferior*Inferior</f>
        <v>#DIV/0!</v>
      </c>
      <c r="BP10" s="101">
        <f>P_A11_L32*P_Inferior*Inferior*Inflación_11</f>
        <v>0</v>
      </c>
      <c r="BQ10" s="100" t="e">
        <f t="shared" si="38"/>
        <v>#DIV/0!</v>
      </c>
      <c r="BR10" s="101">
        <f>P_A11_L33*P_Inferior*Inferior*Inflación_11</f>
        <v>0</v>
      </c>
      <c r="BS10" s="100" t="e">
        <f t="shared" ref="BS10:BU10" si="39">BS7*P_Inferior*Inferior</f>
        <v>#DIV/0!</v>
      </c>
      <c r="BT10" s="101">
        <f>P_A11_L34*P_Inferior*Inferior*Inflación_11</f>
        <v>0</v>
      </c>
      <c r="BU10" s="100" t="e">
        <f t="shared" si="39"/>
        <v>#DIV/0!</v>
      </c>
      <c r="BV10" s="101">
        <f>P_A11_L35*P_Inferior*Inferior*Inflación_11</f>
        <v>0</v>
      </c>
      <c r="BW10" s="100" t="e">
        <f t="shared" ref="BW10:BY10" si="40">BW7*P_Inferior*Inferior</f>
        <v>#DIV/0!</v>
      </c>
      <c r="BX10" s="101">
        <f>P_A11_L36*P_Inferior*Inferior*Inflación_11</f>
        <v>0</v>
      </c>
      <c r="BY10" s="100" t="e">
        <f t="shared" si="40"/>
        <v>#DIV/0!</v>
      </c>
      <c r="BZ10" s="101">
        <f>P_A11_L37*P_Inferior*Inferior*Inflación_11</f>
        <v>0</v>
      </c>
      <c r="CA10" s="100" t="e">
        <f t="shared" ref="CA10:CC10" si="41">CA7*P_Inferior*Inferior</f>
        <v>#DIV/0!</v>
      </c>
      <c r="CB10" s="101">
        <f>P_A11_L38*P_Inferior*Inferior*Inflación_11</f>
        <v>0</v>
      </c>
      <c r="CC10" s="100" t="e">
        <f t="shared" si="41"/>
        <v>#DIV/0!</v>
      </c>
      <c r="CD10" s="101">
        <f>P_A11_L39*P_Inferior*Inferior*Inflación_11</f>
        <v>0</v>
      </c>
      <c r="CE10" s="100" t="e">
        <f t="shared" ref="CE10:CG10" si="42">CE7*P_Inferior*Inferior</f>
        <v>#DIV/0!</v>
      </c>
      <c r="CF10" s="101">
        <f>P_A11_L40*P_Inferior*Inferior*Inflación_11</f>
        <v>0</v>
      </c>
      <c r="CG10" s="100" t="e">
        <f t="shared" si="42"/>
        <v>#DIV/0!</v>
      </c>
      <c r="CH10" s="473"/>
      <c r="CI10" s="101">
        <f>CI7*P_Inferior*Inferior*Inflación_11</f>
        <v>0</v>
      </c>
      <c r="CJ10" s="101">
        <f>CJ7*P_Inferior*Inferior*Inflación_11</f>
        <v>0</v>
      </c>
      <c r="CK10" s="101">
        <f>CK7*P_Inferior*Inferior*Inflación_11</f>
        <v>0</v>
      </c>
      <c r="CL10" s="101">
        <f>CL7*P_Inferior*Inferior*Inflación_11</f>
        <v>0</v>
      </c>
      <c r="CM10" s="101"/>
      <c r="CN10" s="101">
        <f>CN7*P_Inferior*Inferior*Inflación_11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SUMIFS('9'!$E:$E,'9'!$A:$A,Año_Inicial+10,'9'!$D:$D,"Poda")</f>
        <v>0</v>
      </c>
      <c r="D14" s="100">
        <f t="shared" ref="D14:D44" si="45">C14-B14</f>
        <v>0</v>
      </c>
      <c r="E14" s="473"/>
      <c r="F14" s="101">
        <f>((A11_A_L1*Poda_A)+(A11_B_L1*Poda_B)+(A11_C_L1*Poda_C)+(A11_D_L1*Poda_D)+(A11_Y_L1*Poda_Y))*Inflación_11</f>
        <v>0</v>
      </c>
      <c r="G14" s="101">
        <f>SUMIFS('9'!$E:$E,'9'!$A:$A,Año_Inicial+10,'9'!$B:$B,'12'!F$4,'9'!$D:$D,"Poda")</f>
        <v>0</v>
      </c>
      <c r="H14" s="101">
        <f>((A11_A_L2*Poda_A)+(A11_B_L2*Poda_B)+(A11_C_L2*Poda_C)+(A11_D_L2*Poda_D)+(A11_Y_L2*Poda_Y))*Inflación_11</f>
        <v>0</v>
      </c>
      <c r="I14" s="101">
        <f>SUMIFS('9'!$E:$E,'9'!$A:$A,Año_Inicial+10,'9'!$B:$B,'12'!H$4,'9'!$D:$D,"Poda")</f>
        <v>0</v>
      </c>
      <c r="J14" s="101">
        <f>((A11_A_L3*Poda_A)+(A11_B_L3*Poda_B)+(A11_C_L3*Poda_C)+(A11_D_L3*Poda_D)+(A11_Y_L3*Poda_Y))*Inflación_11</f>
        <v>0</v>
      </c>
      <c r="K14" s="101">
        <f>SUMIFS('9'!$E:$E,'9'!$A:$A,Año_Inicial+10,'9'!$B:$B,'12'!J$4,'9'!$D:$D,"Poda")</f>
        <v>0</v>
      </c>
      <c r="L14" s="101">
        <f>((A11_A_L4*Poda_A)+(A11_B_L4*Poda_B)+(A11_C_L4*Poda_C)+(A11_D_L4*Poda_D)+(A11_Y_L4*Poda_Y))*Inflación_11</f>
        <v>0</v>
      </c>
      <c r="M14" s="101">
        <f>SUMIFS('9'!$E:$E,'9'!$A:$A,Año_Inicial+10,'9'!$B:$B,'12'!L$4,'9'!$D:$D,"Poda")</f>
        <v>0</v>
      </c>
      <c r="N14" s="101">
        <f>((A11_A_L5*Poda_A)+(A11_B_L5*Poda_B)+(A11_C_L5*Poda_C)+(A11_D_L5*Poda_D)+(A11_Y_L5*Poda_Y))*Inflación_11</f>
        <v>0</v>
      </c>
      <c r="O14" s="101">
        <f>SUMIFS('9'!$E:$E,'9'!$A:$A,Año_Inicial+10,'9'!$B:$B,'12'!N$4,'9'!$D:$D,"Poda")</f>
        <v>0</v>
      </c>
      <c r="P14" s="101">
        <f>((A11_A_L6*Poda_A)+(A11_B_L6*Poda_B)+(A11_C_L6*Poda_C)+(A11_D_L6*Poda_D)+(A11_Y_L6*Poda_Y))*Inflación_11</f>
        <v>0</v>
      </c>
      <c r="Q14" s="101">
        <f>SUMIFS('9'!$E:$E,'9'!$A:$A,Año_Inicial+10,'9'!$B:$B,'12'!P$4,'9'!$D:$D,"Poda")</f>
        <v>0</v>
      </c>
      <c r="R14" s="101">
        <f>((A11_A_L7*Poda_A)+(A11_B_L7*Poda_B)+(A11_C_L7*Poda_C)+(A11_D_L7*Poda_D)+(A11_Y_L7*Poda_Y))*Inflación_11</f>
        <v>0</v>
      </c>
      <c r="S14" s="101">
        <f>SUMIFS('9'!$E:$E,'9'!$A:$A,Año_Inicial+10,'9'!$B:$B,'12'!R$4,'9'!$D:$D,"Poda")</f>
        <v>0</v>
      </c>
      <c r="T14" s="101">
        <f>((A11_A_L8*Poda_A)+(A11_B_L8*Poda_B)+(A11_C_L8*Poda_C)+(A11_D_L8*Poda_D)+(A11_Y_L8*Poda_Y))*Inflación_11</f>
        <v>0</v>
      </c>
      <c r="U14" s="101">
        <f>SUMIFS('9'!$E:$E,'9'!$A:$A,Año_Inicial+10,'9'!$B:$B,'12'!T$4,'9'!$D:$D,"Poda")</f>
        <v>0</v>
      </c>
      <c r="V14" s="101">
        <f>((A11_A_L9*Poda_A)+(A11_B_L9*Poda_B)+(A11_C_L9*Poda_C)+(A11_D_L9*Poda_D)+(A11_Y_L9*Poda_Y))*Inflación_11</f>
        <v>0</v>
      </c>
      <c r="W14" s="101">
        <f>SUMIFS('9'!$E:$E,'9'!$A:$A,Año_Inicial+10,'9'!$B:$B,'12'!V$4,'9'!$D:$D,"Poda")</f>
        <v>0</v>
      </c>
      <c r="X14" s="101">
        <f>((A11_A_L10*Poda_A)+(A11_B_L10*Poda_B)+(A11_C_L10*Poda_C)+(A11_D_L10*Poda_D)+(A11_Y_L10*Poda_Y))*Inflación_11</f>
        <v>0</v>
      </c>
      <c r="Y14" s="101">
        <f>SUMIFS('9'!$E:$E,'9'!$A:$A,Año_Inicial+10,'9'!$B:$B,'12'!X$4,'9'!$D:$D,"Poda")</f>
        <v>0</v>
      </c>
      <c r="Z14" s="101">
        <f>((A11_A_L11*Poda_A)+(A11_B_L11*Poda_B)+(A11_C_L11*Poda_C)+(A11_D_L11*Poda_D)+(A11_Y_L11*Poda_Y))*Inflación_11</f>
        <v>0</v>
      </c>
      <c r="AA14" s="101">
        <f>SUMIFS('9'!$E:$E,'9'!$A:$A,Año_Inicial+10,'9'!$B:$B,'12'!Z$4,'9'!$D:$D,"Poda")</f>
        <v>0</v>
      </c>
      <c r="AB14" s="101">
        <f>((A11_A_L12*Poda_A)+(A11_B_L12*Poda_B)+(A11_C_L12*Poda_C)+(A11_D_L12*Poda_D)+(A11_Y_L12*Poda_Y))*Inflación_11</f>
        <v>0</v>
      </c>
      <c r="AC14" s="101">
        <f>SUMIFS('9'!$E:$E,'9'!$A:$A,Año_Inicial+10,'9'!$B:$B,'12'!AB$4,'9'!$D:$D,"Poda")</f>
        <v>0</v>
      </c>
      <c r="AD14" s="101">
        <f>((A11_A_L13*Poda_A)+(A11_B_L13*Poda_B)+(A11_C_L13*Poda_C)+(A11_D_L13*Poda_D)+(A11_Y_L13*Poda_Y))*Inflación_11</f>
        <v>0</v>
      </c>
      <c r="AE14" s="101">
        <f>SUMIFS('9'!$E:$E,'9'!$A:$A,Año_Inicial+10,'9'!$B:$B,'12'!AD$4,'9'!$D:$D,"Poda")</f>
        <v>0</v>
      </c>
      <c r="AF14" s="101">
        <f>((A11_A_L14*Poda_A)+(A11_B_L14*Poda_B)+(A11_C_L14*Poda_C)+(A11_D_L14*Poda_D)+(A11_Y_L14*Poda_Y))*Inflación_11</f>
        <v>0</v>
      </c>
      <c r="AG14" s="101">
        <f>SUMIFS('9'!$E:$E,'9'!$A:$A,Año_Inicial+10,'9'!$B:$B,'12'!AF$4,'9'!$D:$D,"Poda")</f>
        <v>0</v>
      </c>
      <c r="AH14" s="101">
        <f>((A11_A_L15*Poda_A)+(A11_B_L15*Poda_B)+(A11_C_L15*Poda_C)+(A11_D_L15*Poda_D)+(A11_Y_L15*Poda_Y))*Inflación_11</f>
        <v>0</v>
      </c>
      <c r="AI14" s="101">
        <f>SUMIFS('9'!$E:$E,'9'!$A:$A,Año_Inicial+10,'9'!$B:$B,'12'!AH$4,'9'!$D:$D,"Poda")</f>
        <v>0</v>
      </c>
      <c r="AJ14" s="101">
        <f>((A11_A_L16*Poda_A)+(A11_B_L16*Poda_B)+(A11_C_L16*Poda_C)+(A11_D_L16*Poda_D)+(A11_Y_L16*Poda_Y))*Inflación_11</f>
        <v>0</v>
      </c>
      <c r="AK14" s="101">
        <f>SUMIFS('9'!$E:$E,'9'!$A:$A,Año_Inicial+10,'9'!$B:$B,'12'!AJ$4,'9'!$D:$D,"Poda")</f>
        <v>0</v>
      </c>
      <c r="AL14" s="101">
        <f>((A11_A_L17*Poda_A)+(A11_B_L17*Poda_B)+(A11_C_L17*Poda_C)+(A11_D_L17*Poda_D)+(A11_Y_L17*Poda_Y))*Inflación_11</f>
        <v>0</v>
      </c>
      <c r="AM14" s="101">
        <f>SUMIFS('9'!$E:$E,'9'!$A:$A,Año_Inicial+10,'9'!$B:$B,'12'!AL$4,'9'!$D:$D,"Poda")</f>
        <v>0</v>
      </c>
      <c r="AN14" s="101">
        <f>((A11_A_L18*Poda_A)+(A11_B_L18*Poda_B)+(A11_C_L18*Poda_C)+(A11_D_L18*Poda_D)+(A11_Y_L18*Poda_Y))*Inflación_11</f>
        <v>0</v>
      </c>
      <c r="AO14" s="101">
        <f>SUMIFS('9'!$E:$E,'9'!$A:$A,Año_Inicial+10,'9'!$B:$B,'12'!AN$4,'9'!$D:$D,"Poda")</f>
        <v>0</v>
      </c>
      <c r="AP14" s="101">
        <f>((A11_A_L19*Poda_A)+(A11_B_L19*Poda_B)+(A11_C_L19*Poda_C)+(A11_D_L19*Poda_D)+(A11_Y_L19*Poda_Y))*Inflación_11</f>
        <v>0</v>
      </c>
      <c r="AQ14" s="101">
        <f>SUMIFS('9'!$E:$E,'9'!$A:$A,Año_Inicial+10,'9'!$B:$B,'12'!AP$4,'9'!$D:$D,"Poda")</f>
        <v>0</v>
      </c>
      <c r="AR14" s="101">
        <f>((A11_A_L20*Poda_A)+(A11_B_L20*Poda_B)+(A11_C_L20*Poda_C)+(A11_D_L20*Poda_D)+(A11_Y_L20*Poda_Y))*Inflación_11</f>
        <v>0</v>
      </c>
      <c r="AS14" s="101">
        <f>SUMIFS('9'!$E:$E,'9'!$A:$A,Año_Inicial+10,'9'!$B:$B,'12'!AR$4,'9'!$D:$D,"Poda")</f>
        <v>0</v>
      </c>
      <c r="AT14" s="101">
        <f>((A11_A_L21*Poda_A)+(A11_B_L21*Poda_B)+(A11_C_L21*Poda_C)+(A11_D_L21*Poda_D)+(A11_Y_L21*Poda_Y))*Inflación_11</f>
        <v>0</v>
      </c>
      <c r="AU14" s="101">
        <f>SUMIFS('9'!$E:$E,'9'!$A:$A,Año_Inicial+10,'9'!$B:$B,'12'!AT$4,'9'!$D:$D,"Poda")</f>
        <v>0</v>
      </c>
      <c r="AV14" s="101">
        <f>((A11_A_L22*Poda_A)+(A11_B_L22*Poda_B)+(A11_C_L22*Poda_C)+(A11_D_L22*Poda_D)+(A11_Y_L22*Poda_Y))*Inflación_11</f>
        <v>0</v>
      </c>
      <c r="AW14" s="101">
        <f>SUMIFS('9'!$E:$E,'9'!$A:$A,Año_Inicial+10,'9'!$B:$B,'12'!AV$4,'9'!$D:$D,"Poda")</f>
        <v>0</v>
      </c>
      <c r="AX14" s="101">
        <f>((A11_A_L23*Poda_A)+(A11_B_L23*Poda_B)+(A11_C_L23*Poda_C)+(A11_D_L23*Poda_D)+(A11_Y_L23*Poda_Y))*Inflación_11</f>
        <v>0</v>
      </c>
      <c r="AY14" s="101">
        <f>SUMIFS('9'!$E:$E,'9'!$A:$A,Año_Inicial+10,'9'!$B:$B,'12'!AX$4,'9'!$D:$D,"Poda")</f>
        <v>0</v>
      </c>
      <c r="AZ14" s="101">
        <f>((A11_A_L24*Poda_A)+(A11_B_L24*Poda_B)+(A11_C_L24*Poda_C)+(A11_D_L24*Poda_D)+(A11_Y_L24*Poda_Y))*Inflación_11</f>
        <v>0</v>
      </c>
      <c r="BA14" s="101">
        <f>SUMIFS('9'!$E:$E,'9'!$A:$A,Año_Inicial+10,'9'!$B:$B,'12'!AZ$4,'9'!$D:$D,"Poda")</f>
        <v>0</v>
      </c>
      <c r="BB14" s="101">
        <f>((A11_A_L25*Poda_A)+(A11_B_L25*Poda_B)+(A11_C_L25*Poda_C)+(A11_D_L25*Poda_D)+(A11_Y_L25*Poda_Y))*Inflación_11</f>
        <v>0</v>
      </c>
      <c r="BC14" s="101">
        <f>SUMIFS('9'!$E:$E,'9'!$A:$A,Año_Inicial+10,'9'!$B:$B,'12'!BB$4,'9'!$D:$D,"Poda")</f>
        <v>0</v>
      </c>
      <c r="BD14" s="101">
        <f>((A11_A_L26*Poda_A)+(A11_B_L26*Poda_B)+(A11_C_L26*Poda_C)+(A11_D_L26*Poda_D)+(A11_Y_L26*Poda_Y))*Inflación_11</f>
        <v>0</v>
      </c>
      <c r="BE14" s="101">
        <f>SUMIFS('9'!$E:$E,'9'!$A:$A,Año_Inicial+10,'9'!$B:$B,'12'!BD$4,'9'!$D:$D,"Poda")</f>
        <v>0</v>
      </c>
      <c r="BF14" s="101">
        <f>((A11_A_L27*Poda_A)+(A11_B_L27*Poda_B)+(A11_C_L27*Poda_C)+(A11_D_L27*Poda_D)+(A11_Y_L27*Poda_Y))*Inflación_11</f>
        <v>0</v>
      </c>
      <c r="BG14" s="101">
        <f>SUMIFS('9'!$E:$E,'9'!$A:$A,Año_Inicial+10,'9'!$B:$B,'12'!BF$4,'9'!$D:$D,"Poda")</f>
        <v>0</v>
      </c>
      <c r="BH14" s="101">
        <f>((A11_A_L28*Poda_A)+(A11_B_L28*Poda_B)+(A11_C_L28*Poda_C)+(A11_D_L28*Poda_D)+(A11_Y_L28*Poda_Y))*Inflación_11</f>
        <v>0</v>
      </c>
      <c r="BI14" s="101">
        <f>SUMIFS('9'!$E:$E,'9'!$A:$A,Año_Inicial+10,'9'!$B:$B,'12'!BH$4,'9'!$D:$D,"Poda")</f>
        <v>0</v>
      </c>
      <c r="BJ14" s="101">
        <f>((A11_A_L29*Poda_A)+(A11_B_L29*Poda_B)+(A11_C_L29*Poda_C)+(A11_D_L29*Poda_D)+(A11_Y_L29*Poda_Y))*Inflación_11</f>
        <v>0</v>
      </c>
      <c r="BK14" s="101">
        <f>SUMIFS('9'!$E:$E,'9'!$A:$A,Año_Inicial+10,'9'!$B:$B,'12'!BJ$4,'9'!$D:$D,"Poda")</f>
        <v>0</v>
      </c>
      <c r="BL14" s="101">
        <f>((A11_A_L30*Poda_A)+(A11_B_L30*Poda_B)+(A11_C_L30*Poda_C)+(A11_D_L30*Poda_D)+(A11_Y_L30*Poda_Y))*Inflación_11</f>
        <v>0</v>
      </c>
      <c r="BM14" s="101">
        <f>SUMIFS('9'!$E:$E,'9'!$A:$A,Año_Inicial+10,'9'!$B:$B,'12'!BL$4,'9'!$D:$D,"Poda")</f>
        <v>0</v>
      </c>
      <c r="BN14" s="101">
        <f>((A11_A_L31*Poda_A)+(A11_B_L31*Poda_B)+(A11_C_L31*Poda_C)+(A11_D_L31*Poda_D)+(A11_Y_L31*Poda_Y))*Inflación_11</f>
        <v>0</v>
      </c>
      <c r="BO14" s="101">
        <f>SUMIFS('9'!$E:$E,'9'!$A:$A,Año_Inicial+10,'9'!$B:$B,'12'!BN$4,'9'!$D:$D,"Poda")</f>
        <v>0</v>
      </c>
      <c r="BP14" s="101">
        <f>((A11_A_L32*Poda_A)+(A11_B_L32*Poda_B)+(A11_C_L32*Poda_C)+(A11_D_L32*Poda_D)+(A11_Y_L32*Poda_Y))*Inflación_11</f>
        <v>0</v>
      </c>
      <c r="BQ14" s="101">
        <f>SUMIFS('9'!$E:$E,'9'!$A:$A,Año_Inicial+10,'9'!$B:$B,'12'!BP$4,'9'!$D:$D,"Poda")</f>
        <v>0</v>
      </c>
      <c r="BR14" s="101">
        <f>((A11_A_L33*Poda_A)+(A11_B_L33*Poda_B)+(A11_C_L33*Poda_C)+(A11_D_L33*Poda_D)+(A11_Y_L33*Poda_Y))*Inflación_11</f>
        <v>0</v>
      </c>
      <c r="BS14" s="101">
        <f>SUMIFS('9'!$E:$E,'9'!$A:$A,Año_Inicial+10,'9'!$B:$B,'12'!BR$4,'9'!$D:$D,"Poda")</f>
        <v>0</v>
      </c>
      <c r="BT14" s="101">
        <f>((A11_A_L34*Poda_A)+(A11_B_L34*Poda_B)+(A11_C_L34*Poda_C)+(A11_D_L34*Poda_D)+(A11_Y_L34*Poda_Y))*Inflación_11</f>
        <v>0</v>
      </c>
      <c r="BU14" s="101">
        <f>SUMIFS('9'!$E:$E,'9'!$A:$A,Año_Inicial+10,'9'!$B:$B,'12'!BT$4,'9'!$D:$D,"Poda")</f>
        <v>0</v>
      </c>
      <c r="BV14" s="101">
        <f>((A11_A_L35*Poda_A)+(A11_B_L35*Poda_B)+(A11_C_L35*Poda_C)+(A11_D_L35*Poda_D)+(A11_Y_L35*Poda_Y))*Inflación_11</f>
        <v>0</v>
      </c>
      <c r="BW14" s="101">
        <f>SUMIFS('9'!$E:$E,'9'!$A:$A,Año_Inicial+10,'9'!$B:$B,'12'!BV$4,'9'!$D:$D,"Poda")</f>
        <v>0</v>
      </c>
      <c r="BX14" s="101">
        <f>((A11_A_L36*Poda_A)+(A11_B_L36*Poda_B)+(A11_C_L36*Poda_C)+(A11_D_L36*Poda_D)+(A11_Y_L36*Poda_Y))*Inflación_11</f>
        <v>0</v>
      </c>
      <c r="BY14" s="101">
        <f>SUMIFS('9'!$E:$E,'9'!$A:$A,Año_Inicial+10,'9'!$B:$B,'12'!BX$4,'9'!$D:$D,"Poda")</f>
        <v>0</v>
      </c>
      <c r="BZ14" s="101">
        <f>((A11_A_L37*Poda_A)+(A11_B_L37*Poda_B)+(A11_C_L37*Poda_C)+(A11_D_L37*Poda_D)+(A11_Y_L37*Poda_Y))*Inflación_11</f>
        <v>0</v>
      </c>
      <c r="CA14" s="101">
        <f>SUMIFS('9'!$E:$E,'9'!$A:$A,Año_Inicial+10,'9'!$B:$B,'12'!BZ$4,'9'!$D:$D,"Poda")</f>
        <v>0</v>
      </c>
      <c r="CB14" s="101">
        <f>((A11_A_L38*Poda_A)+(A11_B_L38*Poda_B)+(A11_C_L38*Poda_C)+(A11_D_L38*Poda_D)+(A11_Y_L38*Poda_Y))*Inflación_11</f>
        <v>0</v>
      </c>
      <c r="CC14" s="101">
        <f>SUMIFS('9'!$E:$E,'9'!$A:$A,Año_Inicial+10,'9'!$B:$B,'12'!CB$4,'9'!$D:$D,"Poda")</f>
        <v>0</v>
      </c>
      <c r="CD14" s="101">
        <f>((A11_A_L39*Poda_A)+(A11_B_L39*Poda_B)+(A11_C_L39*Poda_C)+(A11_D_L39*Poda_D)+(A11_Y_L39*Poda_Y))*Inflación_11</f>
        <v>0</v>
      </c>
      <c r="CE14" s="101">
        <f>SUMIFS('9'!$E:$E,'9'!$A:$A,Año_Inicial+10,'9'!$B:$B,'12'!CD$4,'9'!$D:$D,"Poda")</f>
        <v>0</v>
      </c>
      <c r="CF14" s="101">
        <f>((A11_A_L40*Poda_A)+(A11_B_L40*Poda_B)+(A11_C_L40*Poda_C)+(A11_D_L40*Poda_D)+(A11_Y_L40*Poda_Y))*Inflación_11</f>
        <v>0</v>
      </c>
      <c r="CG14" s="101">
        <f>SUMIFS('9'!$E:$E,'9'!$A:$A,Año_Inicial+10,'9'!$B:$B,'12'!CF$4,'9'!$D:$D,"Poda")</f>
        <v>0</v>
      </c>
      <c r="CH14" s="473"/>
      <c r="CI14" s="101">
        <f>Plantas_A_A11*Poda_A*Inflación_11</f>
        <v>0</v>
      </c>
      <c r="CJ14" s="101">
        <f>Plantas_B_A11*Poda_B</f>
        <v>0</v>
      </c>
      <c r="CK14" s="101">
        <f>Plantas_C_A11*Poda_C</f>
        <v>0</v>
      </c>
      <c r="CL14" s="101">
        <f>Plantas_D_A11*Poda_D</f>
        <v>0</v>
      </c>
      <c r="CM14" s="101"/>
      <c r="CN14" s="101">
        <f>Plantas_Y_A11*Poda_Y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SUMIFS('9'!$E:$E,'9'!$A:$A,Año_Inicial+10,'9'!$D:$D,"Deshije")</f>
        <v>0</v>
      </c>
      <c r="D15" s="100">
        <f t="shared" si="45"/>
        <v>0</v>
      </c>
      <c r="E15" s="473"/>
      <c r="F15" s="101">
        <f>((A11_A_L1*Deshije_A)+(A11_B_L1*Deshije_B)+(A11_C_L1*Deshije_C)+(A11_D_L1*Deshije_D)+(A11_Y_L1*Deshije_Y))*Inflación_11</f>
        <v>0</v>
      </c>
      <c r="G15" s="101">
        <f>SUMIFS('9'!$E:$E,'9'!$A:$A,Año_Inicial+10,'9'!$B:$B,'12'!F$4,'9'!$D:$D,"Deshije")</f>
        <v>0</v>
      </c>
      <c r="H15" s="101">
        <f>((A11_A_L2*Deshije_A)+(A11_B_L2*Deshije_B)+(A11_C_L2*Deshije_C)+(A11_D_L2*Deshije_D)+(A11_Y_L2*Deshije_Y))*Inflación_11</f>
        <v>0</v>
      </c>
      <c r="I15" s="101">
        <f>SUMIFS('9'!$E:$E,'9'!$A:$A,Año_Inicial+10,'9'!$B:$B,'12'!H$4,'9'!$D:$D,"Deshije")</f>
        <v>0</v>
      </c>
      <c r="J15" s="101">
        <f>((A11_A_L3*Deshije_A)+(A11_B_L3*Deshije_B)+(A11_C_L3*Deshije_C)+(A11_D_L3*Deshije_D)+(A11_Y_L3*Deshije_Y))*Inflación_11</f>
        <v>0</v>
      </c>
      <c r="K15" s="101">
        <f>SUMIFS('9'!$E:$E,'9'!$A:$A,Año_Inicial+10,'9'!$B:$B,'12'!J$4,'9'!$D:$D,"Deshije")</f>
        <v>0</v>
      </c>
      <c r="L15" s="101">
        <f>((A11_A_L4*Deshije_A)+(A11_B_L4*Deshije_B)+(A11_C_L4*Deshije_C)+(A11_D_L4*Deshije_D)+(A11_Y_L4*Deshije_Y))*Inflación_11</f>
        <v>0</v>
      </c>
      <c r="M15" s="101">
        <f>SUMIFS('9'!$E:$E,'9'!$A:$A,Año_Inicial+10,'9'!$B:$B,'12'!L$4,'9'!$D:$D,"Deshije")</f>
        <v>0</v>
      </c>
      <c r="N15" s="101">
        <f>((A11_A_L5*Deshije_A)+(A11_B_L5*Deshije_B)+(A11_C_L5*Deshije_C)+(A11_D_L5*Deshije_D)+(A11_Y_L5*Deshije_Y))*Inflación_11</f>
        <v>0</v>
      </c>
      <c r="O15" s="101">
        <f>SUMIFS('9'!$E:$E,'9'!$A:$A,Año_Inicial+10,'9'!$B:$B,'12'!N$4,'9'!$D:$D,"Deshije")</f>
        <v>0</v>
      </c>
      <c r="P15" s="101">
        <f>((A11_A_L6*Deshije_A)+(A11_B_L6*Deshije_B)+(A11_C_L6*Deshije_C)+(A11_D_L6*Deshije_D)+(A11_Y_L6*Deshije_Y))*Inflación_11</f>
        <v>0</v>
      </c>
      <c r="Q15" s="101">
        <f>SUMIFS('9'!$E:$E,'9'!$A:$A,Año_Inicial+10,'9'!$B:$B,'12'!P$4,'9'!$D:$D,"Deshije")</f>
        <v>0</v>
      </c>
      <c r="R15" s="101">
        <f>((A11_A_L7*Deshije_A)+(A11_B_L7*Deshije_B)+(A11_C_L7*Deshije_C)+(A11_D_L7*Deshije_D)+(A11_Y_L7*Deshije_Y))*Inflación_11</f>
        <v>0</v>
      </c>
      <c r="S15" s="101">
        <f>SUMIFS('9'!$E:$E,'9'!$A:$A,Año_Inicial+10,'9'!$B:$B,'12'!R$4,'9'!$D:$D,"Deshije")</f>
        <v>0</v>
      </c>
      <c r="T15" s="101">
        <f>((A11_A_L8*Deshije_A)+(A11_B_L8*Deshije_B)+(A11_C_L8*Deshije_C)+(A11_D_L8*Deshije_D)+(A11_Y_L8*Deshije_Y))*Inflación_11</f>
        <v>0</v>
      </c>
      <c r="U15" s="101">
        <f>SUMIFS('9'!$E:$E,'9'!$A:$A,Año_Inicial+10,'9'!$B:$B,'12'!T$4,'9'!$D:$D,"Deshije")</f>
        <v>0</v>
      </c>
      <c r="V15" s="101">
        <f>((A11_A_L9*Deshije_A)+(A11_B_L9*Deshije_B)+(A11_C_L9*Deshije_C)+(A11_D_L9*Deshije_D)+(A11_Y_L9*Deshije_Y))*Inflación_11</f>
        <v>0</v>
      </c>
      <c r="W15" s="101">
        <f>SUMIFS('9'!$E:$E,'9'!$A:$A,Año_Inicial+10,'9'!$B:$B,'12'!V$4,'9'!$D:$D,"Deshije")</f>
        <v>0</v>
      </c>
      <c r="X15" s="101">
        <f>((A11_A_L10*Deshije_A)+(A11_B_L10*Deshije_B)+(A11_C_L10*Deshije_C)+(A11_D_L10*Deshije_D)+(A11_Y_L10*Deshije_Y))*Inflación_11</f>
        <v>0</v>
      </c>
      <c r="Y15" s="101">
        <f>SUMIFS('9'!$E:$E,'9'!$A:$A,Año_Inicial+10,'9'!$B:$B,'12'!X$4,'9'!$D:$D,"Deshije")</f>
        <v>0</v>
      </c>
      <c r="Z15" s="101">
        <f>((A11_A_L11*Deshije_A)+(A11_B_L11*Deshije_B)+(A11_C_L11*Deshije_C)+(A11_D_L11*Deshije_D)+(A11_Y_L11*Deshije_Y))*Inflación_11</f>
        <v>0</v>
      </c>
      <c r="AA15" s="101">
        <f>SUMIFS('9'!$E:$E,'9'!$A:$A,Año_Inicial+10,'9'!$B:$B,'12'!Z$4,'9'!$D:$D,"Deshije")</f>
        <v>0</v>
      </c>
      <c r="AB15" s="101">
        <f>((A11_A_L12*Deshije_A)+(A11_B_L12*Deshije_B)+(A11_C_L12*Deshije_C)+(A11_D_L12*Deshije_D)+(A11_Y_L12*Deshije_Y))*Inflación_11</f>
        <v>0</v>
      </c>
      <c r="AC15" s="101">
        <f>SUMIFS('9'!$E:$E,'9'!$A:$A,Año_Inicial+10,'9'!$B:$B,'12'!AB$4,'9'!$D:$D,"Deshije")</f>
        <v>0</v>
      </c>
      <c r="AD15" s="101">
        <f>((A11_A_L13*Deshije_A)+(A11_B_L13*Deshije_B)+(A11_C_L13*Deshije_C)+(A11_D_L13*Deshije_D)+(A11_Y_L13*Deshije_Y))*Inflación_11</f>
        <v>0</v>
      </c>
      <c r="AE15" s="101">
        <f>SUMIFS('9'!$E:$E,'9'!$A:$A,Año_Inicial+10,'9'!$B:$B,'12'!AD$4,'9'!$D:$D,"Deshije")</f>
        <v>0</v>
      </c>
      <c r="AF15" s="101">
        <f>((A11_A_L14*Deshije_A)+(A11_B_L14*Deshije_B)+(A11_C_L14*Deshije_C)+(A11_D_L14*Deshije_D)+(A11_Y_L14*Deshije_Y))*Inflación_11</f>
        <v>0</v>
      </c>
      <c r="AG15" s="101">
        <f>SUMIFS('9'!$E:$E,'9'!$A:$A,Año_Inicial+10,'9'!$B:$B,'12'!AF$4,'9'!$D:$D,"Deshije")</f>
        <v>0</v>
      </c>
      <c r="AH15" s="101">
        <f>((A11_A_L15*Deshije_A)+(A11_B_L15*Deshije_B)+(A11_C_L15*Deshije_C)+(A11_D_L15*Deshije_D)+(A11_Y_L15*Deshije_Y))*Inflación_11</f>
        <v>0</v>
      </c>
      <c r="AI15" s="101">
        <f>SUMIFS('9'!$E:$E,'9'!$A:$A,Año_Inicial+10,'9'!$B:$B,'12'!AH$4,'9'!$D:$D,"Deshije")</f>
        <v>0</v>
      </c>
      <c r="AJ15" s="101">
        <f>((A11_A_L16*Deshije_A)+(A11_B_L16*Deshije_B)+(A11_C_L16*Deshije_C)+(A11_D_L16*Deshije_D)+(A11_Y_L16*Deshije_Y))*Inflación_11</f>
        <v>0</v>
      </c>
      <c r="AK15" s="101">
        <f>SUMIFS('9'!$E:$E,'9'!$A:$A,Año_Inicial+10,'9'!$B:$B,'12'!AJ$4,'9'!$D:$D,"Deshije")</f>
        <v>0</v>
      </c>
      <c r="AL15" s="101">
        <f>((A11_A_L17*Deshije_A)+(A11_B_L17*Deshije_B)+(A11_C_L17*Deshije_C)+(A11_D_L17*Deshije_D)+(A11_Y_L17*Deshije_Y))*Inflación_11</f>
        <v>0</v>
      </c>
      <c r="AM15" s="101">
        <f>SUMIFS('9'!$E:$E,'9'!$A:$A,Año_Inicial+10,'9'!$B:$B,'12'!AL$4,'9'!$D:$D,"Deshije")</f>
        <v>0</v>
      </c>
      <c r="AN15" s="101">
        <f>((A11_A_L18*Deshije_A)+(A11_B_L18*Deshije_B)+(A11_C_L18*Deshije_C)+(A11_D_L18*Deshije_D)+(A11_Y_L18*Deshije_Y))*Inflación_11</f>
        <v>0</v>
      </c>
      <c r="AO15" s="101">
        <f>SUMIFS('9'!$E:$E,'9'!$A:$A,Año_Inicial+10,'9'!$B:$B,'12'!AN$4,'9'!$D:$D,"Deshije")</f>
        <v>0</v>
      </c>
      <c r="AP15" s="101">
        <f>((A11_A_L19*Deshije_A)+(A11_B_L19*Deshije_B)+(A11_C_L19*Deshije_C)+(A11_D_L19*Deshije_D)+(A11_Y_L19*Deshije_Y))*Inflación_11</f>
        <v>0</v>
      </c>
      <c r="AQ15" s="101">
        <f>SUMIFS('9'!$E:$E,'9'!$A:$A,Año_Inicial+10,'9'!$B:$B,'12'!AP$4,'9'!$D:$D,"Deshije")</f>
        <v>0</v>
      </c>
      <c r="AR15" s="101">
        <f>((A11_A_L20*Deshije_A)+(A11_B_L20*Deshije_B)+(A11_C_L20*Deshije_C)+(A11_D_L20*Deshije_D)+(A11_Y_L20*Deshije_Y))*Inflación_11</f>
        <v>0</v>
      </c>
      <c r="AS15" s="101">
        <f>SUMIFS('9'!$E:$E,'9'!$A:$A,Año_Inicial+10,'9'!$B:$B,'12'!AR$4,'9'!$D:$D,"Deshije")</f>
        <v>0</v>
      </c>
      <c r="AT15" s="101">
        <f>((A11_A_L21*Deshije_A)+(A11_B_L21*Deshije_B)+(A11_C_L21*Deshije_C)+(A11_D_L21*Deshije_D)+(A11_Y_L21*Deshije_Y))*Inflación_11</f>
        <v>0</v>
      </c>
      <c r="AU15" s="101">
        <f>SUMIFS('9'!$E:$E,'9'!$A:$A,Año_Inicial+10,'9'!$B:$B,'12'!AT$4,'9'!$D:$D,"Deshije")</f>
        <v>0</v>
      </c>
      <c r="AV15" s="101">
        <f>((A11_A_L22*Deshije_A)+(A11_B_L22*Deshije_B)+(A11_C_L22*Deshije_C)+(A11_D_L22*Deshije_D)+(A11_Y_L22*Deshije_Y))*Inflación_11</f>
        <v>0</v>
      </c>
      <c r="AW15" s="101">
        <f>SUMIFS('9'!$E:$E,'9'!$A:$A,Año_Inicial+10,'9'!$B:$B,'12'!AV$4,'9'!$D:$D,"Deshije")</f>
        <v>0</v>
      </c>
      <c r="AX15" s="101">
        <f>((A11_A_L23*Deshije_A)+(A11_B_L23*Deshije_B)+(A11_C_L23*Deshije_C)+(A11_D_L23*Deshije_D)+(A11_Y_L23*Deshije_Y))*Inflación_11</f>
        <v>0</v>
      </c>
      <c r="AY15" s="101">
        <f>SUMIFS('9'!$E:$E,'9'!$A:$A,Año_Inicial+10,'9'!$B:$B,'12'!AX$4,'9'!$D:$D,"Deshije")</f>
        <v>0</v>
      </c>
      <c r="AZ15" s="101">
        <f>((A11_A_L24*Deshije_A)+(A11_B_L24*Deshije_B)+(A11_C_L24*Deshije_C)+(A11_D_L24*Deshije_D)+(A11_Y_L24*Deshije_Y))*Inflación_11</f>
        <v>0</v>
      </c>
      <c r="BA15" s="101">
        <f>SUMIFS('9'!$E:$E,'9'!$A:$A,Año_Inicial+10,'9'!$B:$B,'12'!AZ$4,'9'!$D:$D,"Deshije")</f>
        <v>0</v>
      </c>
      <c r="BB15" s="101">
        <f>((A11_A_L25*Deshije_A)+(A11_B_L25*Deshije_B)+(A11_C_L25*Deshije_C)+(A11_D_L25*Deshije_D)+(A11_Y_L25*Deshije_Y))*Inflación_11</f>
        <v>0</v>
      </c>
      <c r="BC15" s="101">
        <f>SUMIFS('9'!$E:$E,'9'!$A:$A,Año_Inicial+10,'9'!$B:$B,'12'!BB$4,'9'!$D:$D,"Deshije")</f>
        <v>0</v>
      </c>
      <c r="BD15" s="101">
        <f>((A11_A_L26*Deshije_A)+(A11_B_L26*Deshije_B)+(A11_C_L26*Deshije_C)+(A11_D_L26*Deshije_D)+(A11_Y_L26*Deshije_Y))*Inflación_11</f>
        <v>0</v>
      </c>
      <c r="BE15" s="101">
        <f>SUMIFS('9'!$E:$E,'9'!$A:$A,Año_Inicial+10,'9'!$B:$B,'12'!BD$4,'9'!$D:$D,"Deshije")</f>
        <v>0</v>
      </c>
      <c r="BF15" s="101">
        <f>((A11_A_L27*Deshije_A)+(A11_B_L27*Deshije_B)+(A11_C_L27*Deshije_C)+(A11_D_L27*Deshije_D)+(A11_Y_L27*Deshije_Y))*Inflación_11</f>
        <v>0</v>
      </c>
      <c r="BG15" s="101">
        <f>SUMIFS('9'!$E:$E,'9'!$A:$A,Año_Inicial+10,'9'!$B:$B,'12'!BF$4,'9'!$D:$D,"Deshije")</f>
        <v>0</v>
      </c>
      <c r="BH15" s="101">
        <f>((A11_A_L28*Deshije_A)+(A11_B_L28*Deshije_B)+(A11_C_L28*Deshije_C)+(A11_D_L28*Deshije_D)+(A11_Y_L28*Deshije_Y))*Inflación_11</f>
        <v>0</v>
      </c>
      <c r="BI15" s="101">
        <f>SUMIFS('9'!$E:$E,'9'!$A:$A,Año_Inicial+10,'9'!$B:$B,'12'!BH$4,'9'!$D:$D,"Deshije")</f>
        <v>0</v>
      </c>
      <c r="BJ15" s="101">
        <f>((A11_A_L29*Deshije_A)+(A11_B_L29*Deshije_B)+(A11_C_L29*Deshije_C)+(A11_D_L29*Deshije_D)+(A11_Y_L29*Deshije_Y))*Inflación_11</f>
        <v>0</v>
      </c>
      <c r="BK15" s="101">
        <f>SUMIFS('9'!$E:$E,'9'!$A:$A,Año_Inicial+10,'9'!$B:$B,'12'!BJ$4,'9'!$D:$D,"Deshije")</f>
        <v>0</v>
      </c>
      <c r="BL15" s="101">
        <f>((A11_A_L30*Deshije_A)+(A11_B_L30*Deshije_B)+(A11_C_L30*Deshije_C)+(A11_D_L30*Deshije_D)+(A11_Y_L30*Deshije_Y))*Inflación_11</f>
        <v>0</v>
      </c>
      <c r="BM15" s="101">
        <f>SUMIFS('9'!$E:$E,'9'!$A:$A,Año_Inicial+10,'9'!$B:$B,'12'!BL$4,'9'!$D:$D,"Deshije")</f>
        <v>0</v>
      </c>
      <c r="BN15" s="101">
        <f>((A11_A_L31*Deshije_A)+(A11_B_L31*Deshije_B)+(A11_C_L31*Deshije_C)+(A11_D_L31*Deshije_D)+(A11_Y_L31*Deshije_Y))*Inflación_11</f>
        <v>0</v>
      </c>
      <c r="BO15" s="101">
        <f>SUMIFS('9'!$E:$E,'9'!$A:$A,Año_Inicial+10,'9'!$B:$B,'12'!BN$4,'9'!$D:$D,"Deshije")</f>
        <v>0</v>
      </c>
      <c r="BP15" s="101">
        <f>((A11_A_L32*Deshije_A)+(A11_B_L32*Deshije_B)+(A11_C_L32*Deshije_C)+(A11_D_L32*Deshije_D)+(A11_Y_L32*Deshije_Y))*Inflación_11</f>
        <v>0</v>
      </c>
      <c r="BQ15" s="101">
        <f>SUMIFS('9'!$E:$E,'9'!$A:$A,Año_Inicial+10,'9'!$B:$B,'12'!BP$4,'9'!$D:$D,"Deshije")</f>
        <v>0</v>
      </c>
      <c r="BR15" s="101">
        <f>((A11_A_L33*Deshije_A)+(A11_B_L33*Deshije_B)+(A11_C_L33*Deshije_C)+(A11_D_L33*Deshije_D)+(A11_Y_L33*Deshije_Y))*Inflación_11</f>
        <v>0</v>
      </c>
      <c r="BS15" s="101">
        <f>SUMIFS('9'!$E:$E,'9'!$A:$A,Año_Inicial+10,'9'!$B:$B,'12'!BR$4,'9'!$D:$D,"Deshije")</f>
        <v>0</v>
      </c>
      <c r="BT15" s="101">
        <f>((A11_A_L34*Deshije_A)+(A11_B_L34*Deshije_B)+(A11_C_L34*Deshije_C)+(A11_D_L34*Deshije_D)+(A11_Y_L34*Deshije_Y))*Inflación_11</f>
        <v>0</v>
      </c>
      <c r="BU15" s="101">
        <f>SUMIFS('9'!$E:$E,'9'!$A:$A,Año_Inicial+10,'9'!$B:$B,'12'!BT$4,'9'!$D:$D,"Deshije")</f>
        <v>0</v>
      </c>
      <c r="BV15" s="101">
        <f>((A11_A_L35*Deshije_A)+(A11_B_L35*Deshije_B)+(A11_C_L35*Deshije_C)+(A11_D_L35*Deshije_D)+(A11_Y_L35*Deshije_Y))*Inflación_11</f>
        <v>0</v>
      </c>
      <c r="BW15" s="101">
        <f>SUMIFS('9'!$E:$E,'9'!$A:$A,Año_Inicial+10,'9'!$B:$B,'12'!BV$4,'9'!$D:$D,"Deshije")</f>
        <v>0</v>
      </c>
      <c r="BX15" s="101">
        <f>((A11_A_L36*Deshije_A)+(A11_B_L36*Deshije_B)+(A11_C_L36*Deshije_C)+(A11_D_L36*Deshije_D)+(A11_Y_L36*Deshije_Y))*Inflación_11</f>
        <v>0</v>
      </c>
      <c r="BY15" s="101">
        <f>SUMIFS('9'!$E:$E,'9'!$A:$A,Año_Inicial+10,'9'!$B:$B,'12'!BX$4,'9'!$D:$D,"Deshije")</f>
        <v>0</v>
      </c>
      <c r="BZ15" s="101">
        <f>((A11_A_L37*Deshije_A)+(A11_B_L37*Deshije_B)+(A11_C_L37*Deshije_C)+(A11_D_L37*Deshije_D)+(A11_Y_L37*Deshije_Y))*Inflación_11</f>
        <v>0</v>
      </c>
      <c r="CA15" s="101">
        <f>SUMIFS('9'!$E:$E,'9'!$A:$A,Año_Inicial+10,'9'!$B:$B,'12'!BZ$4,'9'!$D:$D,"Deshije")</f>
        <v>0</v>
      </c>
      <c r="CB15" s="101">
        <f>((A11_A_L38*Deshije_A)+(A11_B_L38*Deshije_B)+(A11_C_L38*Deshije_C)+(A11_D_L38*Deshije_D)+(A11_Y_L38*Deshije_Y))*Inflación_11</f>
        <v>0</v>
      </c>
      <c r="CC15" s="101">
        <f>SUMIFS('9'!$E:$E,'9'!$A:$A,Año_Inicial+10,'9'!$B:$B,'12'!CB$4,'9'!$D:$D,"Deshije")</f>
        <v>0</v>
      </c>
      <c r="CD15" s="101">
        <f>((A11_A_L39*Deshije_A)+(A11_B_L39*Deshije_B)+(A11_C_L39*Deshije_C)+(A11_D_L39*Deshije_D)+(A11_Y_L39*Deshije_Y))*Inflación_11</f>
        <v>0</v>
      </c>
      <c r="CE15" s="101">
        <f>SUMIFS('9'!$E:$E,'9'!$A:$A,Año_Inicial+10,'9'!$B:$B,'12'!CD$4,'9'!$D:$D,"Deshije")</f>
        <v>0</v>
      </c>
      <c r="CF15" s="101">
        <f>((A11_A_L40*Deshije_A)+(A11_B_L40*Deshije_B)+(A11_C_L40*Deshije_C)+(A11_D_L40*Deshije_D)+(A11_Y_L40*Deshije_Y))*Inflación_11</f>
        <v>0</v>
      </c>
      <c r="CG15" s="101">
        <f>SUMIFS('9'!$E:$E,'9'!$A:$A,Año_Inicial+10,'9'!$B:$B,'12'!CF$4,'9'!$D:$D,"Deshije")</f>
        <v>0</v>
      </c>
      <c r="CH15" s="473"/>
      <c r="CI15" s="101">
        <f>Plantas_A_A11*Deshije_A*Inflación_11</f>
        <v>0</v>
      </c>
      <c r="CJ15" s="101">
        <f>Plantas_B_A11*Deshije_B</f>
        <v>0</v>
      </c>
      <c r="CK15" s="101">
        <f>Plantas_C_A11*Deshije_C</f>
        <v>0</v>
      </c>
      <c r="CL15" s="101">
        <f>Plantas_D_A11*Deshije_D</f>
        <v>0</v>
      </c>
      <c r="CM15" s="101"/>
      <c r="CN15" s="101">
        <f>Plantas_Y_A11*Deshije_Y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SUMIFS('9'!$E:$E,'9'!$A:$A,Año_Inicial+10,'9'!$D:$D,"Aplicación de fertilizante")</f>
        <v>0</v>
      </c>
      <c r="D17" s="100">
        <f t="shared" si="45"/>
        <v>0</v>
      </c>
      <c r="E17" s="473"/>
      <c r="F17" s="101">
        <f>((A11_A_L1*Nutrición_A)+(A11_B_L1*Nutrición_B)+(A11_C_L1*Nutrición_C)+(A11_D_L1*Nutrición_D)+(A11_Y_L1*Nutrición_Y))*Inflación_11</f>
        <v>0</v>
      </c>
      <c r="G17" s="101">
        <f>SUMIFS('9'!$E:$E,'9'!$A:$A,Año_Inicial+10,'9'!$B:$B,'12'!F$4,'9'!$D:$D,"Aplicación de fertilizante")</f>
        <v>0</v>
      </c>
      <c r="H17" s="101">
        <f>((A11_A_L2*Nutrición_A)+(A11_B_L2*Nutrición_B)+(A11_C_L2*Nutrición_C)+(A11_D_L2*Nutrición_D)+(A11_Y_L2*Nutrición_Y))*Inflación_11</f>
        <v>0</v>
      </c>
      <c r="I17" s="101">
        <f>SUMIFS('9'!$E:$E,'9'!$A:$A,Año_Inicial+10,'9'!$B:$B,'12'!H$4,'9'!$D:$D,"Aplicación de fertilizante")</f>
        <v>0</v>
      </c>
      <c r="J17" s="101">
        <f>((A11_A_L3*Nutrición_A)+(A11_B_L3*Nutrición_B)+(A11_C_L3*Nutrición_C)+(A11_D_L3*Nutrición_D)+(A11_Y_L3*Nutrición_Y))*Inflación_11</f>
        <v>0</v>
      </c>
      <c r="K17" s="101">
        <f>SUMIFS('9'!$E:$E,'9'!$A:$A,Año_Inicial+10,'9'!$B:$B,'12'!J$4,'9'!$D:$D,"Aplicación de fertilizante")</f>
        <v>0</v>
      </c>
      <c r="L17" s="101">
        <f>((A11_A_L4*Nutrición_A)+(A11_B_L4*Nutrición_B)+(A11_C_L4*Nutrición_C)+(A11_D_L4*Nutrición_D)+(A11_Y_L4*Nutrición_Y))*Inflación_11</f>
        <v>0</v>
      </c>
      <c r="M17" s="101">
        <f>SUMIFS('9'!$E:$E,'9'!$A:$A,Año_Inicial+10,'9'!$B:$B,'12'!L$4,'9'!$D:$D,"Aplicación de fertilizante")</f>
        <v>0</v>
      </c>
      <c r="N17" s="101">
        <f>((A11_A_L5*Nutrición_A)+(A11_B_L5*Nutrición_B)+(A11_C_L5*Nutrición_C)+(A11_D_L5*Nutrición_D)+(A11_Y_L5*Nutrición_Y))*Inflación_11</f>
        <v>0</v>
      </c>
      <c r="O17" s="101">
        <f>SUMIFS('9'!$E:$E,'9'!$A:$A,Año_Inicial+10,'9'!$B:$B,'12'!N$4,'9'!$D:$D,"Aplicación de fertilizante")</f>
        <v>0</v>
      </c>
      <c r="P17" s="101">
        <f>((A11_A_L6*Nutrición_A)+(A11_B_L6*Nutrición_B)+(A11_C_L6*Nutrición_C)+(A11_D_L6*Nutrición_D)+(A11_Y_L6*Nutrición_Y))*Inflación_11</f>
        <v>0</v>
      </c>
      <c r="Q17" s="101">
        <f>SUMIFS('9'!$E:$E,'9'!$A:$A,Año_Inicial+10,'9'!$B:$B,'12'!P$4,'9'!$D:$D,"Aplicación de fertilizante")</f>
        <v>0</v>
      </c>
      <c r="R17" s="101">
        <f>((A11_A_L7*Nutrición_A)+(A11_B_L7*Nutrición_B)+(A11_C_L7*Nutrición_C)+(A11_D_L7*Nutrición_D)+(A11_Y_L7*Nutrición_Y))*Inflación_11</f>
        <v>0</v>
      </c>
      <c r="S17" s="101">
        <f>SUMIFS('9'!$E:$E,'9'!$A:$A,Año_Inicial+10,'9'!$B:$B,'12'!R$4,'9'!$D:$D,"Aplicación de fertilizante")</f>
        <v>0</v>
      </c>
      <c r="T17" s="101">
        <f>((A11_A_L8*Nutrición_A)+(A11_B_L8*Nutrición_B)+(A11_C_L8*Nutrición_C)+(A11_D_L8*Nutrición_D)+(A11_Y_L8*Nutrición_Y))*Inflación_11</f>
        <v>0</v>
      </c>
      <c r="U17" s="101">
        <f>SUMIFS('9'!$E:$E,'9'!$A:$A,Año_Inicial+10,'9'!$B:$B,'12'!T$4,'9'!$D:$D,"Aplicación de fertilizante")</f>
        <v>0</v>
      </c>
      <c r="V17" s="101">
        <f>((A11_A_L9*Nutrición_A)+(A11_B_L9*Nutrición_B)+(A11_C_L9*Nutrición_C)+(A11_D_L9*Nutrición_D)+(A11_Y_L9*Nutrición_Y))*Inflación_11</f>
        <v>0</v>
      </c>
      <c r="W17" s="101">
        <f>SUMIFS('9'!$E:$E,'9'!$A:$A,Año_Inicial+10,'9'!$B:$B,'12'!V$4,'9'!$D:$D,"Aplicación de fertilizante")</f>
        <v>0</v>
      </c>
      <c r="X17" s="101">
        <f>((A11_A_L10*Nutrición_A)+(A11_B_L10*Nutrición_B)+(A11_C_L10*Nutrición_C)+(A11_D_L10*Nutrición_D)+(A11_Y_L10*Nutrición_Y))*Inflación_11</f>
        <v>0</v>
      </c>
      <c r="Y17" s="101">
        <f>SUMIFS('9'!$E:$E,'9'!$A:$A,Año_Inicial+10,'9'!$B:$B,'12'!X$4,'9'!$D:$D,"Aplicación de fertilizante")</f>
        <v>0</v>
      </c>
      <c r="Z17" s="101">
        <f>((A11_A_L11*Nutrición_A)+(A11_B_L11*Nutrición_B)+(A11_C_L11*Nutrición_C)+(A11_D_L11*Nutrición_D)+(A11_Y_L11*Nutrición_Y))*Inflación_11</f>
        <v>0</v>
      </c>
      <c r="AA17" s="101">
        <f>SUMIFS('9'!$E:$E,'9'!$A:$A,Año_Inicial+10,'9'!$B:$B,'12'!Z$4,'9'!$D:$D,"Aplicación de fertilizante")</f>
        <v>0</v>
      </c>
      <c r="AB17" s="101">
        <f>((A11_A_L12*Nutrición_A)+(A11_B_L12*Nutrición_B)+(A11_C_L12*Nutrición_C)+(A11_D_L12*Nutrición_D)+(A11_Y_L12*Nutrición_Y))*Inflación_11</f>
        <v>0</v>
      </c>
      <c r="AC17" s="101">
        <f>SUMIFS('9'!$E:$E,'9'!$A:$A,Año_Inicial+10,'9'!$B:$B,'12'!AB$4,'9'!$D:$D,"Aplicación de fertilizante")</f>
        <v>0</v>
      </c>
      <c r="AD17" s="101">
        <f>((A11_A_L13*Nutrición_A)+(A11_B_L13*Nutrición_B)+(A11_C_L13*Nutrición_C)+(A11_D_L13*Nutrición_D)+(A11_Y_L13*Nutrición_Y))*Inflación_11</f>
        <v>0</v>
      </c>
      <c r="AE17" s="101">
        <f>SUMIFS('9'!$E:$E,'9'!$A:$A,Año_Inicial+10,'9'!$B:$B,'12'!AD$4,'9'!$D:$D,"Aplicación de fertilizante")</f>
        <v>0</v>
      </c>
      <c r="AF17" s="101">
        <f>((A11_A_L14*Nutrición_A)+(A11_B_L14*Nutrición_B)+(A11_C_L14*Nutrición_C)+(A11_D_L14*Nutrición_D)+(A11_Y_L14*Nutrición_Y))*Inflación_11</f>
        <v>0</v>
      </c>
      <c r="AG17" s="101">
        <f>SUMIFS('9'!$E:$E,'9'!$A:$A,Año_Inicial+10,'9'!$B:$B,'12'!AF$4,'9'!$D:$D,"Aplicación de fertilizante")</f>
        <v>0</v>
      </c>
      <c r="AH17" s="101">
        <f>((A11_A_L15*Nutrición_A)+(A11_B_L15*Nutrición_B)+(A11_C_L15*Nutrición_C)+(A11_D_L15*Nutrición_D)+(A11_Y_L15*Nutrición_Y))*Inflación_11</f>
        <v>0</v>
      </c>
      <c r="AI17" s="101">
        <f>SUMIFS('9'!$E:$E,'9'!$A:$A,Año_Inicial+10,'9'!$B:$B,'12'!AH$4,'9'!$D:$D,"Aplicación de fertilizante")</f>
        <v>0</v>
      </c>
      <c r="AJ17" s="101">
        <f>((A11_A_L16*Nutrición_A)+(A11_B_L16*Nutrición_B)+(A11_C_L16*Nutrición_C)+(A11_D_L16*Nutrición_D)+(A11_Y_L16*Nutrición_Y))*Inflación_11</f>
        <v>0</v>
      </c>
      <c r="AK17" s="101">
        <f>SUMIFS('9'!$E:$E,'9'!$A:$A,Año_Inicial+10,'9'!$B:$B,'12'!AJ$4,'9'!$D:$D,"Aplicación de fertilizante")</f>
        <v>0</v>
      </c>
      <c r="AL17" s="101">
        <f>((A11_A_L17*Nutrición_A)+(A11_B_L17*Nutrición_B)+(A11_C_L17*Nutrición_C)+(A11_D_L17*Nutrición_D)+(A11_Y_L17*Nutrición_Y))*Inflación_11</f>
        <v>0</v>
      </c>
      <c r="AM17" s="101">
        <f>SUMIFS('9'!$E:$E,'9'!$A:$A,Año_Inicial+10,'9'!$B:$B,'12'!AL$4,'9'!$D:$D,"Aplicación de fertilizante")</f>
        <v>0</v>
      </c>
      <c r="AN17" s="101">
        <f>((A11_A_L18*Nutrición_A)+(A11_B_L18*Nutrición_B)+(A11_C_L18*Nutrición_C)+(A11_D_L18*Nutrición_D)+(A11_Y_L18*Nutrición_Y))*Inflación_11</f>
        <v>0</v>
      </c>
      <c r="AO17" s="101">
        <f>SUMIFS('9'!$E:$E,'9'!$A:$A,Año_Inicial+10,'9'!$B:$B,'12'!AN$4,'9'!$D:$D,"Aplicación de fertilizante")</f>
        <v>0</v>
      </c>
      <c r="AP17" s="101">
        <f>((A11_A_L19*Nutrición_A)+(A11_B_L19*Nutrición_B)+(A11_C_L19*Nutrición_C)+(A11_D_L19*Nutrición_D)+(A11_Y_L19*Nutrición_Y))*Inflación_11</f>
        <v>0</v>
      </c>
      <c r="AQ17" s="101">
        <f>SUMIFS('9'!$E:$E,'9'!$A:$A,Año_Inicial+10,'9'!$B:$B,'12'!AP$4,'9'!$D:$D,"Aplicación de fertilizante")</f>
        <v>0</v>
      </c>
      <c r="AR17" s="101">
        <f>((A11_A_L20*Nutrición_A)+(A11_B_L20*Nutrición_B)+(A11_C_L20*Nutrición_C)+(A11_D_L20*Nutrición_D)+(A11_Y_L20*Nutrición_Y))*Inflación_11</f>
        <v>0</v>
      </c>
      <c r="AS17" s="101">
        <f>SUMIFS('9'!$E:$E,'9'!$A:$A,Año_Inicial+10,'9'!$B:$B,'12'!AR$4,'9'!$D:$D,"Aplicación de fertilizante")</f>
        <v>0</v>
      </c>
      <c r="AT17" s="101">
        <f>((A11_A_L21*Nutrición_A)+(A11_B_L21*Nutrición_B)+(A11_C_L21*Nutrición_C)+(A11_D_L21*Nutrición_D)+(A11_Y_L21*Nutrición_Y))*Inflación_11</f>
        <v>0</v>
      </c>
      <c r="AU17" s="101">
        <f>SUMIFS('9'!$E:$E,'9'!$A:$A,Año_Inicial+10,'9'!$B:$B,'12'!AT$4,'9'!$D:$D,"Aplicación de fertilizante")</f>
        <v>0</v>
      </c>
      <c r="AV17" s="101">
        <f>((A11_A_L22*Nutrición_A)+(A11_B_L22*Nutrición_B)+(A11_C_L22*Nutrición_C)+(A11_D_L22*Nutrición_D)+(A11_Y_L22*Nutrición_Y))*Inflación_11</f>
        <v>0</v>
      </c>
      <c r="AW17" s="101">
        <f>SUMIFS('9'!$E:$E,'9'!$A:$A,Año_Inicial+10,'9'!$B:$B,'12'!AV$4,'9'!$D:$D,"Aplicación de fertilizante")</f>
        <v>0</v>
      </c>
      <c r="AX17" s="101">
        <f>((A11_A_L23*Nutrición_A)+(A11_B_L23*Nutrición_B)+(A11_C_L23*Nutrición_C)+(A11_D_L23*Nutrición_D)+(A11_Y_L23*Nutrición_Y))*Inflación_11</f>
        <v>0</v>
      </c>
      <c r="AY17" s="101">
        <f>SUMIFS('9'!$E:$E,'9'!$A:$A,Año_Inicial+10,'9'!$B:$B,'12'!AX$4,'9'!$D:$D,"Aplicación de fertilizante")</f>
        <v>0</v>
      </c>
      <c r="AZ17" s="101">
        <f>((A11_A_L24*Nutrición_A)+(A11_B_L24*Nutrición_B)+(A11_C_L24*Nutrición_C)+(A11_D_L24*Nutrición_D)+(A11_Y_L24*Nutrición_Y))*Inflación_11</f>
        <v>0</v>
      </c>
      <c r="BA17" s="101">
        <f>SUMIFS('9'!$E:$E,'9'!$A:$A,Año_Inicial+10,'9'!$B:$B,'12'!AZ$4,'9'!$D:$D,"Aplicación de fertilizante")</f>
        <v>0</v>
      </c>
      <c r="BB17" s="101">
        <f>((A11_A_L25*Nutrición_A)+(A11_B_L25*Nutrición_B)+(A11_C_L25*Nutrición_C)+(A11_D_L25*Nutrición_D)+(A11_Y_L25*Nutrición_Y))*Inflación_11</f>
        <v>0</v>
      </c>
      <c r="BC17" s="101">
        <f>SUMIFS('9'!$E:$E,'9'!$A:$A,Año_Inicial+10,'9'!$B:$B,'12'!BB$4,'9'!$D:$D,"Aplicación de fertilizante")</f>
        <v>0</v>
      </c>
      <c r="BD17" s="101">
        <f>((A11_A_L26*Nutrición_A)+(A11_B_L26*Nutrición_B)+(A11_C_L26*Nutrición_C)+(A11_D_L26*Nutrición_D)+(A11_Y_L26*Nutrición_Y))*Inflación_11</f>
        <v>0</v>
      </c>
      <c r="BE17" s="101">
        <f>SUMIFS('9'!$E:$E,'9'!$A:$A,Año_Inicial+10,'9'!$B:$B,'12'!BD$4,'9'!$D:$D,"Aplicación de fertilizante")</f>
        <v>0</v>
      </c>
      <c r="BF17" s="101">
        <f>((A11_A_L27*Nutrición_A)+(A11_B_L27*Nutrición_B)+(A11_C_L27*Nutrición_C)+(A11_D_L27*Nutrición_D)+(A11_Y_L27*Nutrición_Y))*Inflación_11</f>
        <v>0</v>
      </c>
      <c r="BG17" s="101">
        <f>SUMIFS('9'!$E:$E,'9'!$A:$A,Año_Inicial+10,'9'!$B:$B,'12'!BF$4,'9'!$D:$D,"Aplicación de fertilizante")</f>
        <v>0</v>
      </c>
      <c r="BH17" s="101">
        <f>((A11_A_L28*Nutrición_A)+(A11_B_L28*Nutrición_B)+(A11_C_L28*Nutrición_C)+(A11_D_L28*Nutrición_D)+(A11_Y_L28*Nutrición_Y))*Inflación_11</f>
        <v>0</v>
      </c>
      <c r="BI17" s="101">
        <f>SUMIFS('9'!$E:$E,'9'!$A:$A,Año_Inicial+10,'9'!$B:$B,'12'!BH$4,'9'!$D:$D,"Aplicación de fertilizante")</f>
        <v>0</v>
      </c>
      <c r="BJ17" s="101">
        <f>((A11_A_L29*Nutrición_A)+(A11_B_L29*Nutrición_B)+(A11_C_L29*Nutrición_C)+(A11_D_L29*Nutrición_D)+(A11_Y_L29*Nutrición_Y))*Inflación_11</f>
        <v>0</v>
      </c>
      <c r="BK17" s="101">
        <f>SUMIFS('9'!$E:$E,'9'!$A:$A,Año_Inicial+10,'9'!$B:$B,'12'!BJ$4,'9'!$D:$D,"Aplicación de fertilizante")</f>
        <v>0</v>
      </c>
      <c r="BL17" s="101">
        <f>((A11_A_L30*Nutrición_A)+(A11_B_L30*Nutrición_B)+(A11_C_L30*Nutrición_C)+(A11_D_L30*Nutrición_D)+(A11_Y_L30*Nutrición_Y))*Inflación_11</f>
        <v>0</v>
      </c>
      <c r="BM17" s="101">
        <f>SUMIFS('9'!$E:$E,'9'!$A:$A,Año_Inicial+10,'9'!$B:$B,'12'!BL$4,'9'!$D:$D,"Aplicación de fertilizante")</f>
        <v>0</v>
      </c>
      <c r="BN17" s="101">
        <f>((A11_A_L31*Nutrición_A)+(A11_B_L31*Nutrición_B)+(A11_C_L31*Nutrición_C)+(A11_D_L31*Nutrición_D)+(A11_Y_L31*Nutrición_Y))*Inflación_11</f>
        <v>0</v>
      </c>
      <c r="BO17" s="101">
        <f>SUMIFS('9'!$E:$E,'9'!$A:$A,Año_Inicial+10,'9'!$B:$B,'12'!BN$4,'9'!$D:$D,"Aplicación de fertilizante")</f>
        <v>0</v>
      </c>
      <c r="BP17" s="101">
        <f>((A11_A_L32*Nutrición_A)+(A11_B_L32*Nutrición_B)+(A11_C_L32*Nutrición_C)+(A11_D_L32*Nutrición_D)+(A11_Y_L32*Nutrición_Y))*Inflación_11</f>
        <v>0</v>
      </c>
      <c r="BQ17" s="101">
        <f>SUMIFS('9'!$E:$E,'9'!$A:$A,Año_Inicial+10,'9'!$B:$B,'12'!BP$4,'9'!$D:$D,"Aplicación de fertilizante")</f>
        <v>0</v>
      </c>
      <c r="BR17" s="101">
        <f>((A11_A_L33*Nutrición_A)+(A11_B_L33*Nutrición_B)+(A11_C_L33*Nutrición_C)+(A11_D_L33*Nutrición_D)+(A11_Y_L33*Nutrición_Y))*Inflación_11</f>
        <v>0</v>
      </c>
      <c r="BS17" s="101">
        <f>SUMIFS('9'!$E:$E,'9'!$A:$A,Año_Inicial+10,'9'!$B:$B,'12'!BR$4,'9'!$D:$D,"Aplicación de fertilizante")</f>
        <v>0</v>
      </c>
      <c r="BT17" s="101">
        <f>((A11_A_L34*Nutrición_A)+(A11_B_L34*Nutrición_B)+(A11_C_L34*Nutrición_C)+(A11_D_L34*Nutrición_D)+(A11_Y_L34*Nutrición_Y))*Inflación_11</f>
        <v>0</v>
      </c>
      <c r="BU17" s="101">
        <f>SUMIFS('9'!$E:$E,'9'!$A:$A,Año_Inicial+10,'9'!$B:$B,'12'!BT$4,'9'!$D:$D,"Aplicación de fertilizante")</f>
        <v>0</v>
      </c>
      <c r="BV17" s="101">
        <f>((A11_A_L35*Nutrición_A)+(A11_B_L35*Nutrición_B)+(A11_C_L35*Nutrición_C)+(A11_D_L35*Nutrición_D)+(A11_Y_L35*Nutrición_Y))*Inflación_11</f>
        <v>0</v>
      </c>
      <c r="BW17" s="101">
        <f>SUMIFS('9'!$E:$E,'9'!$A:$A,Año_Inicial+10,'9'!$B:$B,'12'!BV$4,'9'!$D:$D,"Aplicación de fertilizante")</f>
        <v>0</v>
      </c>
      <c r="BX17" s="101">
        <f>((A11_A_L36*Nutrición_A)+(A11_B_L36*Nutrición_B)+(A11_C_L36*Nutrición_C)+(A11_D_L36*Nutrición_D)+(A11_Y_L36*Nutrición_Y))*Inflación_11</f>
        <v>0</v>
      </c>
      <c r="BY17" s="101">
        <f>SUMIFS('9'!$E:$E,'9'!$A:$A,Año_Inicial+10,'9'!$B:$B,'12'!BX$4,'9'!$D:$D,"Aplicación de fertilizante")</f>
        <v>0</v>
      </c>
      <c r="BZ17" s="101">
        <f>((A11_A_L37*Nutrición_A)+(A11_B_L37*Nutrición_B)+(A11_C_L37*Nutrición_C)+(A11_D_L37*Nutrición_D)+(A11_Y_L37*Nutrición_Y))*Inflación_11</f>
        <v>0</v>
      </c>
      <c r="CA17" s="101">
        <f>SUMIFS('9'!$E:$E,'9'!$A:$A,Año_Inicial+10,'9'!$B:$B,'12'!BZ$4,'9'!$D:$D,"Aplicación de fertilizante")</f>
        <v>0</v>
      </c>
      <c r="CB17" s="101">
        <f>((A11_A_L38*Nutrición_A)+(A11_B_L38*Nutrición_B)+(A11_C_L38*Nutrición_C)+(A11_D_L38*Nutrición_D)+(A11_Y_L38*Nutrición_Y))*Inflación_11</f>
        <v>0</v>
      </c>
      <c r="CC17" s="101">
        <f>SUMIFS('9'!$E:$E,'9'!$A:$A,Año_Inicial+10,'9'!$B:$B,'12'!CB$4,'9'!$D:$D,"Aplicación de fertilizante")</f>
        <v>0</v>
      </c>
      <c r="CD17" s="101">
        <f>((A11_A_L39*Nutrición_A)+(A11_B_L39*Nutrición_B)+(A11_C_L39*Nutrición_C)+(A11_D_L39*Nutrición_D)+(A11_Y_L39*Nutrición_Y))*Inflación_11</f>
        <v>0</v>
      </c>
      <c r="CE17" s="101">
        <f>SUMIFS('9'!$E:$E,'9'!$A:$A,Año_Inicial+10,'9'!$B:$B,'12'!CD$4,'9'!$D:$D,"Aplicación de fertilizante")</f>
        <v>0</v>
      </c>
      <c r="CF17" s="101">
        <f>((A11_A_L40*Nutrición_A)+(A11_B_L40*Nutrición_B)+(A11_C_L40*Nutrición_C)+(A11_D_L40*Nutrición_D)+(A11_Y_L40*Nutrición_Y))*Inflación_11</f>
        <v>0</v>
      </c>
      <c r="CG17" s="101">
        <f>SUMIFS('9'!$E:$E,'9'!$A:$A,Año_Inicial+10,'9'!$B:$B,'12'!CF$4,'9'!$D:$D,"Aplicación de fertilizante")</f>
        <v>0</v>
      </c>
      <c r="CH17" s="473"/>
      <c r="CI17" s="101">
        <f>Plantas_A_A11*Nutrición_A*Inflación_11</f>
        <v>0</v>
      </c>
      <c r="CJ17" s="101">
        <f>Plantas_B_A11*Nutrición_B</f>
        <v>0</v>
      </c>
      <c r="CK17" s="101">
        <f>Plantas_C_A11*Nutrición_C</f>
        <v>0</v>
      </c>
      <c r="CL17" s="101">
        <f>Plantas_D_A11*Nutrición_D</f>
        <v>0</v>
      </c>
      <c r="CM17" s="101"/>
      <c r="CN17" s="101">
        <f>Plantas_Y_A11*Nutrición_Y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SUMIFS('9'!$E:$E,'9'!$A:$A,Año_Inicial+10,'9'!$D:$D,"Aplicación de enmiendas")</f>
        <v>0</v>
      </c>
      <c r="D18" s="100">
        <f t="shared" si="45"/>
        <v>0</v>
      </c>
      <c r="E18" s="473"/>
      <c r="F18" s="101">
        <f>((A11_A_L1*Enmienda_A)+(A11_B_L1*Enmienda_B)+(A11_C_L1*Enmienda_C)+(A11_D_L1*Enmienda_D)+(A11_Y_L1*Enmienda_Y))*Inflación_11</f>
        <v>0</v>
      </c>
      <c r="G18" s="101">
        <f>SUMIFS('9'!$E:$E,'9'!$A:$A,Año_Inicial+10,'9'!$B:$B,'12'!F$4,'9'!$D:$D,"Aplicación de enmiendas")</f>
        <v>0</v>
      </c>
      <c r="H18" s="101">
        <f>((A11_A_L2*Enmienda_A)+(A11_B_L2*Enmienda_B)+(A11_C_L2*Enmienda_C)+(A11_D_L2*Enmienda_D)+(A11_Y_L2*Enmienda_Y))*Inflación_11</f>
        <v>0</v>
      </c>
      <c r="I18" s="101">
        <f>SUMIFS('9'!$E:$E,'9'!$A:$A,Año_Inicial+10,'9'!$B:$B,'12'!H$4,'9'!$D:$D,"Aplicación de enmiendas")</f>
        <v>0</v>
      </c>
      <c r="J18" s="101">
        <f>((A11_A_L3*Enmienda_A)+(A11_B_L3*Enmienda_B)+(A11_C_L3*Enmienda_C)+(A11_D_L3*Enmienda_D)+(A11_Y_L3*Enmienda_Y))*Inflación_11</f>
        <v>0</v>
      </c>
      <c r="K18" s="101">
        <f>SUMIFS('9'!$E:$E,'9'!$A:$A,Año_Inicial+10,'9'!$B:$B,'12'!J$4,'9'!$D:$D,"Aplicación de enmiendas")</f>
        <v>0</v>
      </c>
      <c r="L18" s="101">
        <f>((A11_A_L4*Enmienda_A)+(A11_B_L4*Enmienda_B)+(A11_C_L4*Enmienda_C)+(A11_D_L4*Enmienda_D)+(A11_Y_L4*Enmienda_Y))*Inflación_11</f>
        <v>0</v>
      </c>
      <c r="M18" s="101">
        <f>SUMIFS('9'!$E:$E,'9'!$A:$A,Año_Inicial+10,'9'!$B:$B,'12'!L$4,'9'!$D:$D,"Aplicación de enmiendas")</f>
        <v>0</v>
      </c>
      <c r="N18" s="101">
        <f>((A11_A_L5*Enmienda_A)+(A11_B_L5*Enmienda_B)+(A11_C_L5*Enmienda_C)+(A11_D_L5*Enmienda_D)+(A11_Y_L5*Enmienda_Y))*Inflación_11</f>
        <v>0</v>
      </c>
      <c r="O18" s="101">
        <f>SUMIFS('9'!$E:$E,'9'!$A:$A,Año_Inicial+10,'9'!$B:$B,'12'!N$4,'9'!$D:$D,"Aplicación de enmiendas")</f>
        <v>0</v>
      </c>
      <c r="P18" s="101">
        <f>((A11_A_L6*Enmienda_A)+(A11_B_L6*Enmienda_B)+(A11_C_L6*Enmienda_C)+(A11_D_L6*Enmienda_D)+(A11_Y_L6*Enmienda_Y))*Inflación_11</f>
        <v>0</v>
      </c>
      <c r="Q18" s="101">
        <f>SUMIFS('9'!$E:$E,'9'!$A:$A,Año_Inicial+10,'9'!$B:$B,'12'!P$4,'9'!$D:$D,"Aplicación de enmiendas")</f>
        <v>0</v>
      </c>
      <c r="R18" s="101">
        <f>((A11_A_L7*Enmienda_A)+(A11_B_L7*Enmienda_B)+(A11_C_L7*Enmienda_C)+(A11_D_L7*Enmienda_D)+(A11_Y_L7*Enmienda_Y))*Inflación_11</f>
        <v>0</v>
      </c>
      <c r="S18" s="101">
        <f>SUMIFS('9'!$E:$E,'9'!$A:$A,Año_Inicial+10,'9'!$B:$B,'12'!R$4,'9'!$D:$D,"Aplicación de enmiendas")</f>
        <v>0</v>
      </c>
      <c r="T18" s="101">
        <f>((A11_A_L8*Enmienda_A)+(A11_B_L8*Enmienda_B)+(A11_C_L8*Enmienda_C)+(A11_D_L8*Enmienda_D)+(A11_Y_L8*Enmienda_Y))*Inflación_11</f>
        <v>0</v>
      </c>
      <c r="U18" s="101">
        <f>SUMIFS('9'!$E:$E,'9'!$A:$A,Año_Inicial+10,'9'!$B:$B,'12'!T$4,'9'!$D:$D,"Aplicación de enmiendas")</f>
        <v>0</v>
      </c>
      <c r="V18" s="101">
        <f>((A11_A_L9*Enmienda_A)+(A11_B_L9*Enmienda_B)+(A11_C_L9*Enmienda_C)+(A11_D_L9*Enmienda_D)+(A11_Y_L9*Enmienda_Y))*Inflación_11</f>
        <v>0</v>
      </c>
      <c r="W18" s="101">
        <f>SUMIFS('9'!$E:$E,'9'!$A:$A,Año_Inicial+10,'9'!$B:$B,'12'!V$4,'9'!$D:$D,"Aplicación de enmiendas")</f>
        <v>0</v>
      </c>
      <c r="X18" s="101">
        <f>((A11_A_L10*Enmienda_A)+(A11_B_L10*Enmienda_B)+(A11_C_L10*Enmienda_C)+(A11_D_L10*Enmienda_D)+(A11_Y_L10*Enmienda_Y))*Inflación_11</f>
        <v>0</v>
      </c>
      <c r="Y18" s="101">
        <f>SUMIFS('9'!$E:$E,'9'!$A:$A,Año_Inicial+10,'9'!$B:$B,'12'!X$4,'9'!$D:$D,"Aplicación de enmiendas")</f>
        <v>0</v>
      </c>
      <c r="Z18" s="101">
        <f>((A11_A_L11*Enmienda_A)+(A11_B_L11*Enmienda_B)+(A11_C_L11*Enmienda_C)+(A11_D_L11*Enmienda_D)+(A11_Y_L11*Enmienda_Y))*Inflación_11</f>
        <v>0</v>
      </c>
      <c r="AA18" s="101">
        <f>SUMIFS('9'!$E:$E,'9'!$A:$A,Año_Inicial+10,'9'!$B:$B,'12'!Z$4,'9'!$D:$D,"Aplicación de enmiendas")</f>
        <v>0</v>
      </c>
      <c r="AB18" s="101">
        <f>((A11_A_L12*Enmienda_A)+(A11_B_L12*Enmienda_B)+(A11_C_L12*Enmienda_C)+(A11_D_L12*Enmienda_D)+(A11_Y_L12*Enmienda_Y))*Inflación_11</f>
        <v>0</v>
      </c>
      <c r="AC18" s="101">
        <f>SUMIFS('9'!$E:$E,'9'!$A:$A,Año_Inicial+10,'9'!$B:$B,'12'!AB$4,'9'!$D:$D,"Aplicación de enmiendas")</f>
        <v>0</v>
      </c>
      <c r="AD18" s="101">
        <f>((A11_A_L13*Enmienda_A)+(A11_B_L13*Enmienda_B)+(A11_C_L13*Enmienda_C)+(A11_D_L13*Enmienda_D)+(A11_Y_L13*Enmienda_Y))*Inflación_11</f>
        <v>0</v>
      </c>
      <c r="AE18" s="101">
        <f>SUMIFS('9'!$E:$E,'9'!$A:$A,Año_Inicial+10,'9'!$B:$B,'12'!AD$4,'9'!$D:$D,"Aplicación de enmiendas")</f>
        <v>0</v>
      </c>
      <c r="AF18" s="101">
        <f>((A11_A_L14*Enmienda_A)+(A11_B_L14*Enmienda_B)+(A11_C_L14*Enmienda_C)+(A11_D_L14*Enmienda_D)+(A11_Y_L14*Enmienda_Y))*Inflación_11</f>
        <v>0</v>
      </c>
      <c r="AG18" s="101">
        <f>SUMIFS('9'!$E:$E,'9'!$A:$A,Año_Inicial+10,'9'!$B:$B,'12'!AF$4,'9'!$D:$D,"Aplicación de enmiendas")</f>
        <v>0</v>
      </c>
      <c r="AH18" s="101">
        <f>((A11_A_L15*Enmienda_A)+(A11_B_L15*Enmienda_B)+(A11_C_L15*Enmienda_C)+(A11_D_L15*Enmienda_D)+(A11_Y_L15*Enmienda_Y))*Inflación_11</f>
        <v>0</v>
      </c>
      <c r="AI18" s="101">
        <f>SUMIFS('9'!$E:$E,'9'!$A:$A,Año_Inicial+10,'9'!$B:$B,'12'!AH$4,'9'!$D:$D,"Aplicación de enmiendas")</f>
        <v>0</v>
      </c>
      <c r="AJ18" s="101">
        <f>((A11_A_L16*Enmienda_A)+(A11_B_L16*Enmienda_B)+(A11_C_L16*Enmienda_C)+(A11_D_L16*Enmienda_D)+(A11_Y_L16*Enmienda_Y))*Inflación_11</f>
        <v>0</v>
      </c>
      <c r="AK18" s="101">
        <f>SUMIFS('9'!$E:$E,'9'!$A:$A,Año_Inicial+10,'9'!$B:$B,'12'!AJ$4,'9'!$D:$D,"Aplicación de enmiendas")</f>
        <v>0</v>
      </c>
      <c r="AL18" s="101">
        <f>((A11_A_L17*Enmienda_A)+(A11_B_L17*Enmienda_B)+(A11_C_L17*Enmienda_C)+(A11_D_L17*Enmienda_D)+(A11_Y_L17*Enmienda_Y))*Inflación_11</f>
        <v>0</v>
      </c>
      <c r="AM18" s="101">
        <f>SUMIFS('9'!$E:$E,'9'!$A:$A,Año_Inicial+10,'9'!$B:$B,'12'!AL$4,'9'!$D:$D,"Aplicación de enmiendas")</f>
        <v>0</v>
      </c>
      <c r="AN18" s="101">
        <f>((A11_A_L18*Enmienda_A)+(A11_B_L18*Enmienda_B)+(A11_C_L18*Enmienda_C)+(A11_D_L18*Enmienda_D)+(A11_Y_L18*Enmienda_Y))*Inflación_11</f>
        <v>0</v>
      </c>
      <c r="AO18" s="101">
        <f>SUMIFS('9'!$E:$E,'9'!$A:$A,Año_Inicial+10,'9'!$B:$B,'12'!AN$4,'9'!$D:$D,"Aplicación de enmiendas")</f>
        <v>0</v>
      </c>
      <c r="AP18" s="101">
        <f>((A11_A_L19*Enmienda_A)+(A11_B_L19*Enmienda_B)+(A11_C_L19*Enmienda_C)+(A11_D_L19*Enmienda_D)+(A11_Y_L19*Enmienda_Y))*Inflación_11</f>
        <v>0</v>
      </c>
      <c r="AQ18" s="101">
        <f>SUMIFS('9'!$E:$E,'9'!$A:$A,Año_Inicial+10,'9'!$B:$B,'12'!AP$4,'9'!$D:$D,"Aplicación de enmiendas")</f>
        <v>0</v>
      </c>
      <c r="AR18" s="101">
        <f>((A11_A_L20*Enmienda_A)+(A11_B_L20*Enmienda_B)+(A11_C_L20*Enmienda_C)+(A11_D_L20*Enmienda_D)+(A11_Y_L20*Enmienda_Y))*Inflación_11</f>
        <v>0</v>
      </c>
      <c r="AS18" s="101">
        <f>SUMIFS('9'!$E:$E,'9'!$A:$A,Año_Inicial+10,'9'!$B:$B,'12'!AR$4,'9'!$D:$D,"Aplicación de enmiendas")</f>
        <v>0</v>
      </c>
      <c r="AT18" s="101">
        <f>((A11_A_L21*Enmienda_A)+(A11_B_L21*Enmienda_B)+(A11_C_L21*Enmienda_C)+(A11_D_L21*Enmienda_D)+(A11_Y_L21*Enmienda_Y))*Inflación_11</f>
        <v>0</v>
      </c>
      <c r="AU18" s="101">
        <f>SUMIFS('9'!$E:$E,'9'!$A:$A,Año_Inicial+10,'9'!$B:$B,'12'!AT$4,'9'!$D:$D,"Aplicación de enmiendas")</f>
        <v>0</v>
      </c>
      <c r="AV18" s="101">
        <f>((A11_A_L22*Enmienda_A)+(A11_B_L22*Enmienda_B)+(A11_C_L22*Enmienda_C)+(A11_D_L22*Enmienda_D)+(A11_Y_L22*Enmienda_Y))*Inflación_11</f>
        <v>0</v>
      </c>
      <c r="AW18" s="101">
        <f>SUMIFS('9'!$E:$E,'9'!$A:$A,Año_Inicial+10,'9'!$B:$B,'12'!AV$4,'9'!$D:$D,"Aplicación de enmiendas")</f>
        <v>0</v>
      </c>
      <c r="AX18" s="101">
        <f>((A11_A_L23*Enmienda_A)+(A11_B_L23*Enmienda_B)+(A11_C_L23*Enmienda_C)+(A11_D_L23*Enmienda_D)+(A11_Y_L23*Enmienda_Y))*Inflación_11</f>
        <v>0</v>
      </c>
      <c r="AY18" s="101">
        <f>SUMIFS('9'!$E:$E,'9'!$A:$A,Año_Inicial+10,'9'!$B:$B,'12'!AX$4,'9'!$D:$D,"Aplicación de enmiendas")</f>
        <v>0</v>
      </c>
      <c r="AZ18" s="101">
        <f>((A11_A_L24*Enmienda_A)+(A11_B_L24*Enmienda_B)+(A11_C_L24*Enmienda_C)+(A11_D_L24*Enmienda_D)+(A11_Y_L24*Enmienda_Y))*Inflación_11</f>
        <v>0</v>
      </c>
      <c r="BA18" s="101">
        <f>SUMIFS('9'!$E:$E,'9'!$A:$A,Año_Inicial+10,'9'!$B:$B,'12'!AZ$4,'9'!$D:$D,"Aplicación de enmiendas")</f>
        <v>0</v>
      </c>
      <c r="BB18" s="101">
        <f>((A11_A_L25*Enmienda_A)+(A11_B_L25*Enmienda_B)+(A11_C_L25*Enmienda_C)+(A11_D_L25*Enmienda_D)+(A11_Y_L25*Enmienda_Y))*Inflación_11</f>
        <v>0</v>
      </c>
      <c r="BC18" s="101">
        <f>SUMIFS('9'!$E:$E,'9'!$A:$A,Año_Inicial+10,'9'!$B:$B,'12'!BB$4,'9'!$D:$D,"Aplicación de enmiendas")</f>
        <v>0</v>
      </c>
      <c r="BD18" s="101">
        <f>((A11_A_L26*Enmienda_A)+(A11_B_L26*Enmienda_B)+(A11_C_L26*Enmienda_C)+(A11_D_L26*Enmienda_D)+(A11_Y_L26*Enmienda_Y))*Inflación_11</f>
        <v>0</v>
      </c>
      <c r="BE18" s="101">
        <f>SUMIFS('9'!$E:$E,'9'!$A:$A,Año_Inicial+10,'9'!$B:$B,'12'!BD$4,'9'!$D:$D,"Aplicación de enmiendas")</f>
        <v>0</v>
      </c>
      <c r="BF18" s="101">
        <f>((A11_A_L27*Enmienda_A)+(A11_B_L27*Enmienda_B)+(A11_C_L27*Enmienda_C)+(A11_D_L27*Enmienda_D)+(A11_Y_L27*Enmienda_Y))*Inflación_11</f>
        <v>0</v>
      </c>
      <c r="BG18" s="101">
        <f>SUMIFS('9'!$E:$E,'9'!$A:$A,Año_Inicial+10,'9'!$B:$B,'12'!BF$4,'9'!$D:$D,"Aplicación de enmiendas")</f>
        <v>0</v>
      </c>
      <c r="BH18" s="101">
        <f>((A11_A_L28*Enmienda_A)+(A11_B_L28*Enmienda_B)+(A11_C_L28*Enmienda_C)+(A11_D_L28*Enmienda_D)+(A11_Y_L28*Enmienda_Y))*Inflación_11</f>
        <v>0</v>
      </c>
      <c r="BI18" s="101">
        <f>SUMIFS('9'!$E:$E,'9'!$A:$A,Año_Inicial+10,'9'!$B:$B,'12'!BH$4,'9'!$D:$D,"Aplicación de enmiendas")</f>
        <v>0</v>
      </c>
      <c r="BJ18" s="101">
        <f>((A11_A_L29*Enmienda_A)+(A11_B_L29*Enmienda_B)+(A11_C_L29*Enmienda_C)+(A11_D_L29*Enmienda_D)+(A11_Y_L29*Enmienda_Y))*Inflación_11</f>
        <v>0</v>
      </c>
      <c r="BK18" s="101">
        <f>SUMIFS('9'!$E:$E,'9'!$A:$A,Año_Inicial+10,'9'!$B:$B,'12'!BJ$4,'9'!$D:$D,"Aplicación de enmiendas")</f>
        <v>0</v>
      </c>
      <c r="BL18" s="101">
        <f>((A11_A_L30*Enmienda_A)+(A11_B_L30*Enmienda_B)+(A11_C_L30*Enmienda_C)+(A11_D_L30*Enmienda_D)+(A11_Y_L30*Enmienda_Y))*Inflación_11</f>
        <v>0</v>
      </c>
      <c r="BM18" s="101">
        <f>SUMIFS('9'!$E:$E,'9'!$A:$A,Año_Inicial+10,'9'!$B:$B,'12'!BL$4,'9'!$D:$D,"Aplicación de enmiendas")</f>
        <v>0</v>
      </c>
      <c r="BN18" s="101">
        <f>((A11_A_L31*Enmienda_A)+(A11_B_L31*Enmienda_B)+(A11_C_L31*Enmienda_C)+(A11_D_L31*Enmienda_D)+(A11_Y_L31*Enmienda_Y))*Inflación_11</f>
        <v>0</v>
      </c>
      <c r="BO18" s="101">
        <f>SUMIFS('9'!$E:$E,'9'!$A:$A,Año_Inicial+10,'9'!$B:$B,'12'!BN$4,'9'!$D:$D,"Aplicación de enmiendas")</f>
        <v>0</v>
      </c>
      <c r="BP18" s="101">
        <f>((A11_A_L32*Enmienda_A)+(A11_B_L32*Enmienda_B)+(A11_C_L32*Enmienda_C)+(A11_D_L32*Enmienda_D)+(A11_Y_L32*Enmienda_Y))*Inflación_11</f>
        <v>0</v>
      </c>
      <c r="BQ18" s="101">
        <f>SUMIFS('9'!$E:$E,'9'!$A:$A,Año_Inicial+10,'9'!$B:$B,'12'!BP$4,'9'!$D:$D,"Aplicación de enmiendas")</f>
        <v>0</v>
      </c>
      <c r="BR18" s="101">
        <f>((A11_A_L33*Enmienda_A)+(A11_B_L33*Enmienda_B)+(A11_C_L33*Enmienda_C)+(A11_D_L33*Enmienda_D)+(A11_Y_L33*Enmienda_Y))*Inflación_11</f>
        <v>0</v>
      </c>
      <c r="BS18" s="101">
        <f>SUMIFS('9'!$E:$E,'9'!$A:$A,Año_Inicial+10,'9'!$B:$B,'12'!BR$4,'9'!$D:$D,"Aplicación de enmiendas")</f>
        <v>0</v>
      </c>
      <c r="BT18" s="101">
        <f>((A11_A_L34*Enmienda_A)+(A11_B_L34*Enmienda_B)+(A11_C_L34*Enmienda_C)+(A11_D_L34*Enmienda_D)+(A11_Y_L34*Enmienda_Y))*Inflación_11</f>
        <v>0</v>
      </c>
      <c r="BU18" s="101">
        <f>SUMIFS('9'!$E:$E,'9'!$A:$A,Año_Inicial+10,'9'!$B:$B,'12'!BT$4,'9'!$D:$D,"Aplicación de enmiendas")</f>
        <v>0</v>
      </c>
      <c r="BV18" s="101">
        <f>((A11_A_L35*Enmienda_A)+(A11_B_L35*Enmienda_B)+(A11_C_L35*Enmienda_C)+(A11_D_L35*Enmienda_D)+(A11_Y_L35*Enmienda_Y))*Inflación_11</f>
        <v>0</v>
      </c>
      <c r="BW18" s="101">
        <f>SUMIFS('9'!$E:$E,'9'!$A:$A,Año_Inicial+10,'9'!$B:$B,'12'!BV$4,'9'!$D:$D,"Aplicación de enmiendas")</f>
        <v>0</v>
      </c>
      <c r="BX18" s="101">
        <f>((A11_A_L36*Enmienda_A)+(A11_B_L36*Enmienda_B)+(A11_C_L36*Enmienda_C)+(A11_D_L36*Enmienda_D)+(A11_Y_L36*Enmienda_Y))*Inflación_11</f>
        <v>0</v>
      </c>
      <c r="BY18" s="101">
        <f>SUMIFS('9'!$E:$E,'9'!$A:$A,Año_Inicial+10,'9'!$B:$B,'12'!BX$4,'9'!$D:$D,"Aplicación de enmiendas")</f>
        <v>0</v>
      </c>
      <c r="BZ18" s="101">
        <f>((A11_A_L37*Enmienda_A)+(A11_B_L37*Enmienda_B)+(A11_C_L37*Enmienda_C)+(A11_D_L37*Enmienda_D)+(A11_Y_L37*Enmienda_Y))*Inflación_11</f>
        <v>0</v>
      </c>
      <c r="CA18" s="101">
        <f>SUMIFS('9'!$E:$E,'9'!$A:$A,Año_Inicial+10,'9'!$B:$B,'12'!BZ$4,'9'!$D:$D,"Aplicación de enmiendas")</f>
        <v>0</v>
      </c>
      <c r="CB18" s="101">
        <f>((A11_A_L38*Enmienda_A)+(A11_B_L38*Enmienda_B)+(A11_C_L38*Enmienda_C)+(A11_D_L38*Enmienda_D)+(A11_Y_L38*Enmienda_Y))*Inflación_11</f>
        <v>0</v>
      </c>
      <c r="CC18" s="101">
        <f>SUMIFS('9'!$E:$E,'9'!$A:$A,Año_Inicial+10,'9'!$B:$B,'12'!CB$4,'9'!$D:$D,"Aplicación de enmiendas")</f>
        <v>0</v>
      </c>
      <c r="CD18" s="101">
        <f>((A11_A_L39*Enmienda_A)+(A11_B_L39*Enmienda_B)+(A11_C_L39*Enmienda_C)+(A11_D_L39*Enmienda_D)+(A11_Y_L39*Enmienda_Y))*Inflación_11</f>
        <v>0</v>
      </c>
      <c r="CE18" s="101">
        <f>SUMIFS('9'!$E:$E,'9'!$A:$A,Año_Inicial+10,'9'!$B:$B,'12'!CD$4,'9'!$D:$D,"Aplicación de enmiendas")</f>
        <v>0</v>
      </c>
      <c r="CF18" s="101">
        <f>((A11_A_L40*Enmienda_A)+(A11_B_L40*Enmienda_B)+(A11_C_L40*Enmienda_C)+(A11_D_L40*Enmienda_D)+(A11_Y_L40*Enmienda_Y))*Inflación_11</f>
        <v>0</v>
      </c>
      <c r="CG18" s="101">
        <f>SUMIFS('9'!$E:$E,'9'!$A:$A,Año_Inicial+10,'9'!$B:$B,'12'!CF$4,'9'!$D:$D,"Aplicación de enmiendas")</f>
        <v>0</v>
      </c>
      <c r="CH18" s="473"/>
      <c r="CI18" s="101">
        <f>Plantas_A_A11*Enmienda_A*Inflación_11</f>
        <v>0</v>
      </c>
      <c r="CJ18" s="101">
        <f>Plantas_B_A11*Enmienda_B</f>
        <v>0</v>
      </c>
      <c r="CK18" s="101">
        <f>Plantas_C_A11*Enmienda_C</f>
        <v>0</v>
      </c>
      <c r="CL18" s="101">
        <f>Plantas_D_A11*Enmienda_D</f>
        <v>0</v>
      </c>
      <c r="CM18" s="101"/>
      <c r="CN18" s="101">
        <f>Plantas_Y_A11*Enmienda_Y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SUMIFS('9'!$E:$E,'9'!$A:$A,Año_Inicial+10,'9'!$D:$D,"Fertilizante químico")</f>
        <v>0</v>
      </c>
      <c r="D19" s="100">
        <f t="shared" si="45"/>
        <v>0</v>
      </c>
      <c r="E19" s="473"/>
      <c r="F19" s="101">
        <f>((A11_A_L1*Fertilizante_A)+(A11_B_L1*Fertilizante_B)+(A11_C_L1*Fertilizante_C)+(A11_D_L1*Fertilizante_D)+(A11_Y_L1*Fertilizante_Y))*Inflación_11</f>
        <v>0</v>
      </c>
      <c r="G19" s="101">
        <f>SUMIFS('9'!$E:$E,'9'!$A:$A,Año_Inicial+10,'9'!$B:$B,'12'!F$4,'9'!$D:$D,"Fertilizante químico")</f>
        <v>0</v>
      </c>
      <c r="H19" s="101">
        <f>((A11_A_L2*Fertilizante_A)+(A11_B_L2*Fertilizante_B)+(A11_C_L2*Fertilizante_C)+(A11_D_L2*Fertilizante_D)+(A11_Y_L2*Fertilizante_Y))*Inflación_11</f>
        <v>0</v>
      </c>
      <c r="I19" s="101">
        <f>SUMIFS('9'!$E:$E,'9'!$A:$A,Año_Inicial+10,'9'!$B:$B,'12'!H$4,'9'!$D:$D,"Fertilizante químico")</f>
        <v>0</v>
      </c>
      <c r="J19" s="101">
        <f>((A11_A_L3*Fertilizante_A)+(A11_B_L3*Fertilizante_B)+(A11_C_L3*Fertilizante_C)+(A11_D_L3*Fertilizante_D)+(A11_Y_L3*Fertilizante_Y))*Inflación_11</f>
        <v>0</v>
      </c>
      <c r="K19" s="101">
        <f>SUMIFS('9'!$E:$E,'9'!$A:$A,Año_Inicial+10,'9'!$B:$B,'12'!J$4,'9'!$D:$D,"Fertilizante químico")</f>
        <v>0</v>
      </c>
      <c r="L19" s="101">
        <f>((A11_A_L4*Fertilizante_A)+(A11_B_L4*Fertilizante_B)+(A11_C_L4*Fertilizante_C)+(A11_D_L4*Fertilizante_D)+(A11_Y_L4*Fertilizante_Y))*Inflación_11</f>
        <v>0</v>
      </c>
      <c r="M19" s="101">
        <f>SUMIFS('9'!$E:$E,'9'!$A:$A,Año_Inicial+10,'9'!$B:$B,'12'!L$4,'9'!$D:$D,"Fertilizante químico")</f>
        <v>0</v>
      </c>
      <c r="N19" s="101">
        <f>((A11_A_L5*Fertilizante_A)+(A11_B_L5*Fertilizante_B)+(A11_C_L5*Fertilizante_C)+(A11_D_L5*Fertilizante_D)+(A11_Y_L5*Fertilizante_Y))*Inflación_11</f>
        <v>0</v>
      </c>
      <c r="O19" s="101">
        <f>SUMIFS('9'!$E:$E,'9'!$A:$A,Año_Inicial+10,'9'!$B:$B,'12'!N$4,'9'!$D:$D,"Fertilizante químico")</f>
        <v>0</v>
      </c>
      <c r="P19" s="101">
        <f>((A11_A_L6*Fertilizante_A)+(A11_B_L6*Fertilizante_B)+(A11_C_L6*Fertilizante_C)+(A11_D_L6*Fertilizante_D)+(A11_Y_L6*Fertilizante_Y))*Inflación_11</f>
        <v>0</v>
      </c>
      <c r="Q19" s="101">
        <f>SUMIFS('9'!$E:$E,'9'!$A:$A,Año_Inicial+10,'9'!$B:$B,'12'!P$4,'9'!$D:$D,"Fertilizante químico")</f>
        <v>0</v>
      </c>
      <c r="R19" s="101">
        <f>((A11_A_L7*Fertilizante_A)+(A11_B_L7*Fertilizante_B)+(A11_C_L7*Fertilizante_C)+(A11_D_L7*Fertilizante_D)+(A11_Y_L7*Fertilizante_Y))*Inflación_11</f>
        <v>0</v>
      </c>
      <c r="S19" s="101">
        <f>SUMIFS('9'!$E:$E,'9'!$A:$A,Año_Inicial+10,'9'!$B:$B,'12'!R$4,'9'!$D:$D,"Fertilizante químico")</f>
        <v>0</v>
      </c>
      <c r="T19" s="101">
        <f>((A11_A_L8*Fertilizante_A)+(A11_B_L8*Fertilizante_B)+(A11_C_L8*Fertilizante_C)+(A11_D_L8*Fertilizante_D)+(A11_Y_L8*Fertilizante_Y))*Inflación_11</f>
        <v>0</v>
      </c>
      <c r="U19" s="101">
        <f>SUMIFS('9'!$E:$E,'9'!$A:$A,Año_Inicial+10,'9'!$B:$B,'12'!T$4,'9'!$D:$D,"Fertilizante químico")</f>
        <v>0</v>
      </c>
      <c r="V19" s="101">
        <f>((A11_A_L9*Fertilizante_A)+(A11_B_L9*Fertilizante_B)+(A11_C_L9*Fertilizante_C)+(A11_D_L9*Fertilizante_D)+(A11_Y_L9*Fertilizante_Y))*Inflación_11</f>
        <v>0</v>
      </c>
      <c r="W19" s="101">
        <f>SUMIFS('9'!$E:$E,'9'!$A:$A,Año_Inicial+10,'9'!$B:$B,'12'!V$4,'9'!$D:$D,"Fertilizante químico")</f>
        <v>0</v>
      </c>
      <c r="X19" s="101">
        <f>((A11_A_L10*Fertilizante_A)+(A11_B_L10*Fertilizante_B)+(A11_C_L10*Fertilizante_C)+(A11_D_L10*Fertilizante_D)+(A11_Y_L10*Fertilizante_Y))*Inflación_11</f>
        <v>0</v>
      </c>
      <c r="Y19" s="101">
        <f>SUMIFS('9'!$E:$E,'9'!$A:$A,Año_Inicial+10,'9'!$B:$B,'12'!X$4,'9'!$D:$D,"Fertilizante químico")</f>
        <v>0</v>
      </c>
      <c r="Z19" s="101">
        <f>((A11_A_L11*Fertilizante_A)+(A11_B_L11*Fertilizante_B)+(A11_C_L11*Fertilizante_C)+(A11_D_L11*Fertilizante_D)+(A11_Y_L11*Fertilizante_Y))*Inflación_11</f>
        <v>0</v>
      </c>
      <c r="AA19" s="101">
        <f>SUMIFS('9'!$E:$E,'9'!$A:$A,Año_Inicial+10,'9'!$B:$B,'12'!Z$4,'9'!$D:$D,"Fertilizante químico")</f>
        <v>0</v>
      </c>
      <c r="AB19" s="101">
        <f>((A11_A_L12*Fertilizante_A)+(A11_B_L12*Fertilizante_B)+(A11_C_L12*Fertilizante_C)+(A11_D_L12*Fertilizante_D)+(A11_Y_L12*Fertilizante_Y))*Inflación_11</f>
        <v>0</v>
      </c>
      <c r="AC19" s="101">
        <f>SUMIFS('9'!$E:$E,'9'!$A:$A,Año_Inicial+10,'9'!$B:$B,'12'!AB$4,'9'!$D:$D,"Fertilizante químico")</f>
        <v>0</v>
      </c>
      <c r="AD19" s="101">
        <f>((A11_A_L13*Fertilizante_A)+(A11_B_L13*Fertilizante_B)+(A11_C_L13*Fertilizante_C)+(A11_D_L13*Fertilizante_D)+(A11_Y_L13*Fertilizante_Y))*Inflación_11</f>
        <v>0</v>
      </c>
      <c r="AE19" s="101">
        <f>SUMIFS('9'!$E:$E,'9'!$A:$A,Año_Inicial+10,'9'!$B:$B,'12'!AD$4,'9'!$D:$D,"Fertilizante químico")</f>
        <v>0</v>
      </c>
      <c r="AF19" s="101">
        <f>((A11_A_L14*Fertilizante_A)+(A11_B_L14*Fertilizante_B)+(A11_C_L14*Fertilizante_C)+(A11_D_L14*Fertilizante_D)+(A11_Y_L14*Fertilizante_Y))*Inflación_11</f>
        <v>0</v>
      </c>
      <c r="AG19" s="101">
        <f>SUMIFS('9'!$E:$E,'9'!$A:$A,Año_Inicial+10,'9'!$B:$B,'12'!AF$4,'9'!$D:$D,"Fertilizante químico")</f>
        <v>0</v>
      </c>
      <c r="AH19" s="101">
        <f>((A11_A_L15*Fertilizante_A)+(A11_B_L15*Fertilizante_B)+(A11_C_L15*Fertilizante_C)+(A11_D_L15*Fertilizante_D)+(A11_Y_L15*Fertilizante_Y))*Inflación_11</f>
        <v>0</v>
      </c>
      <c r="AI19" s="101">
        <f>SUMIFS('9'!$E:$E,'9'!$A:$A,Año_Inicial+10,'9'!$B:$B,'12'!AH$4,'9'!$D:$D,"Fertilizante químico")</f>
        <v>0</v>
      </c>
      <c r="AJ19" s="101">
        <f>((A11_A_L16*Fertilizante_A)+(A11_B_L16*Fertilizante_B)+(A11_C_L16*Fertilizante_C)+(A11_D_L16*Fertilizante_D)+(A11_Y_L16*Fertilizante_Y))*Inflación_11</f>
        <v>0</v>
      </c>
      <c r="AK19" s="101">
        <f>SUMIFS('9'!$E:$E,'9'!$A:$A,Año_Inicial+10,'9'!$B:$B,'12'!AJ$4,'9'!$D:$D,"Fertilizante químico")</f>
        <v>0</v>
      </c>
      <c r="AL19" s="101">
        <f>((A11_A_L17*Fertilizante_A)+(A11_B_L17*Fertilizante_B)+(A11_C_L17*Fertilizante_C)+(A11_D_L17*Fertilizante_D)+(A11_Y_L17*Fertilizante_Y))*Inflación_11</f>
        <v>0</v>
      </c>
      <c r="AM19" s="101">
        <f>SUMIFS('9'!$E:$E,'9'!$A:$A,Año_Inicial+10,'9'!$B:$B,'12'!AL$4,'9'!$D:$D,"Fertilizante químico")</f>
        <v>0</v>
      </c>
      <c r="AN19" s="101">
        <f>((A11_A_L18*Fertilizante_A)+(A11_B_L18*Fertilizante_B)+(A11_C_L18*Fertilizante_C)+(A11_D_L18*Fertilizante_D)+(A11_Y_L18*Fertilizante_Y))*Inflación_11</f>
        <v>0</v>
      </c>
      <c r="AO19" s="101">
        <f>SUMIFS('9'!$E:$E,'9'!$A:$A,Año_Inicial+10,'9'!$B:$B,'12'!AN$4,'9'!$D:$D,"Fertilizante químico")</f>
        <v>0</v>
      </c>
      <c r="AP19" s="101">
        <f>((A11_A_L19*Fertilizante_A)+(A11_B_L19*Fertilizante_B)+(A11_C_L19*Fertilizante_C)+(A11_D_L19*Fertilizante_D)+(A11_Y_L19*Fertilizante_Y))*Inflación_11</f>
        <v>0</v>
      </c>
      <c r="AQ19" s="101">
        <f>SUMIFS('9'!$E:$E,'9'!$A:$A,Año_Inicial+10,'9'!$B:$B,'12'!AP$4,'9'!$D:$D,"Fertilizante químico")</f>
        <v>0</v>
      </c>
      <c r="AR19" s="101">
        <f>((A11_A_L20*Fertilizante_A)+(A11_B_L20*Fertilizante_B)+(A11_C_L20*Fertilizante_C)+(A11_D_L20*Fertilizante_D)+(A11_Y_L20*Fertilizante_Y))*Inflación_11</f>
        <v>0</v>
      </c>
      <c r="AS19" s="101">
        <f>SUMIFS('9'!$E:$E,'9'!$A:$A,Año_Inicial+10,'9'!$B:$B,'12'!AR$4,'9'!$D:$D,"Fertilizante químico")</f>
        <v>0</v>
      </c>
      <c r="AT19" s="101">
        <f>((A11_A_L21*Fertilizante_A)+(A11_B_L21*Fertilizante_B)+(A11_C_L21*Fertilizante_C)+(A11_D_L21*Fertilizante_D)+(A11_Y_L21*Fertilizante_Y))*Inflación_11</f>
        <v>0</v>
      </c>
      <c r="AU19" s="101">
        <f>SUMIFS('9'!$E:$E,'9'!$A:$A,Año_Inicial+10,'9'!$B:$B,'12'!AT$4,'9'!$D:$D,"Fertilizante químico")</f>
        <v>0</v>
      </c>
      <c r="AV19" s="101">
        <f>((A11_A_L22*Fertilizante_A)+(A11_B_L22*Fertilizante_B)+(A11_C_L22*Fertilizante_C)+(A11_D_L22*Fertilizante_D)+(A11_Y_L22*Fertilizante_Y))*Inflación_11</f>
        <v>0</v>
      </c>
      <c r="AW19" s="101">
        <f>SUMIFS('9'!$E:$E,'9'!$A:$A,Año_Inicial+10,'9'!$B:$B,'12'!AV$4,'9'!$D:$D,"Fertilizante químico")</f>
        <v>0</v>
      </c>
      <c r="AX19" s="101">
        <f>((A11_A_L23*Fertilizante_A)+(A11_B_L23*Fertilizante_B)+(A11_C_L23*Fertilizante_C)+(A11_D_L23*Fertilizante_D)+(A11_Y_L23*Fertilizante_Y))*Inflación_11</f>
        <v>0</v>
      </c>
      <c r="AY19" s="101">
        <f>SUMIFS('9'!$E:$E,'9'!$A:$A,Año_Inicial+10,'9'!$B:$B,'12'!AX$4,'9'!$D:$D,"Fertilizante químico")</f>
        <v>0</v>
      </c>
      <c r="AZ19" s="101">
        <f>((A11_A_L24*Fertilizante_A)+(A11_B_L24*Fertilizante_B)+(A11_C_L24*Fertilizante_C)+(A11_D_L24*Fertilizante_D)+(A11_Y_L24*Fertilizante_Y))*Inflación_11</f>
        <v>0</v>
      </c>
      <c r="BA19" s="101">
        <f>SUMIFS('9'!$E:$E,'9'!$A:$A,Año_Inicial+10,'9'!$B:$B,'12'!AZ$4,'9'!$D:$D,"Fertilizante químico")</f>
        <v>0</v>
      </c>
      <c r="BB19" s="101">
        <f>((A11_A_L25*Fertilizante_A)+(A11_B_L25*Fertilizante_B)+(A11_C_L25*Fertilizante_C)+(A11_D_L25*Fertilizante_D)+(A11_Y_L25*Fertilizante_Y))*Inflación_11</f>
        <v>0</v>
      </c>
      <c r="BC19" s="101">
        <f>SUMIFS('9'!$E:$E,'9'!$A:$A,Año_Inicial+10,'9'!$B:$B,'12'!BB$4,'9'!$D:$D,"Fertilizante químico")</f>
        <v>0</v>
      </c>
      <c r="BD19" s="101">
        <f>((A11_A_L26*Fertilizante_A)+(A11_B_L26*Fertilizante_B)+(A11_C_L26*Fertilizante_C)+(A11_D_L26*Fertilizante_D)+(A11_Y_L26*Fertilizante_Y))*Inflación_11</f>
        <v>0</v>
      </c>
      <c r="BE19" s="101">
        <f>SUMIFS('9'!$E:$E,'9'!$A:$A,Año_Inicial+10,'9'!$B:$B,'12'!BD$4,'9'!$D:$D,"Fertilizante químico")</f>
        <v>0</v>
      </c>
      <c r="BF19" s="101">
        <f>((A11_A_L27*Fertilizante_A)+(A11_B_L27*Fertilizante_B)+(A11_C_L27*Fertilizante_C)+(A11_D_L27*Fertilizante_D)+(A11_Y_L27*Fertilizante_Y))*Inflación_11</f>
        <v>0</v>
      </c>
      <c r="BG19" s="101">
        <f>SUMIFS('9'!$E:$E,'9'!$A:$A,Año_Inicial+10,'9'!$B:$B,'12'!BF$4,'9'!$D:$D,"Fertilizante químico")</f>
        <v>0</v>
      </c>
      <c r="BH19" s="101">
        <f>((A11_A_L28*Fertilizante_A)+(A11_B_L28*Fertilizante_B)+(A11_C_L28*Fertilizante_C)+(A11_D_L28*Fertilizante_D)+(A11_Y_L28*Fertilizante_Y))*Inflación_11</f>
        <v>0</v>
      </c>
      <c r="BI19" s="101">
        <f>SUMIFS('9'!$E:$E,'9'!$A:$A,Año_Inicial+10,'9'!$B:$B,'12'!BH$4,'9'!$D:$D,"Fertilizante químico")</f>
        <v>0</v>
      </c>
      <c r="BJ19" s="101">
        <f>((A11_A_L29*Fertilizante_A)+(A11_B_L29*Fertilizante_B)+(A11_C_L29*Fertilizante_C)+(A11_D_L29*Fertilizante_D)+(A11_Y_L29*Fertilizante_Y))*Inflación_11</f>
        <v>0</v>
      </c>
      <c r="BK19" s="101">
        <f>SUMIFS('9'!$E:$E,'9'!$A:$A,Año_Inicial+10,'9'!$B:$B,'12'!BJ$4,'9'!$D:$D,"Fertilizante químico")</f>
        <v>0</v>
      </c>
      <c r="BL19" s="101">
        <f>((A11_A_L30*Fertilizante_A)+(A11_B_L30*Fertilizante_B)+(A11_C_L30*Fertilizante_C)+(A11_D_L30*Fertilizante_D)+(A11_Y_L30*Fertilizante_Y))*Inflación_11</f>
        <v>0</v>
      </c>
      <c r="BM19" s="101">
        <f>SUMIFS('9'!$E:$E,'9'!$A:$A,Año_Inicial+10,'9'!$B:$B,'12'!BL$4,'9'!$D:$D,"Fertilizante químico")</f>
        <v>0</v>
      </c>
      <c r="BN19" s="101">
        <f>((A11_A_L31*Fertilizante_A)+(A11_B_L31*Fertilizante_B)+(A11_C_L31*Fertilizante_C)+(A11_D_L31*Fertilizante_D)+(A11_Y_L31*Fertilizante_Y))*Inflación_11</f>
        <v>0</v>
      </c>
      <c r="BO19" s="101">
        <f>SUMIFS('9'!$E:$E,'9'!$A:$A,Año_Inicial+10,'9'!$B:$B,'12'!BN$4,'9'!$D:$D,"Fertilizante químico")</f>
        <v>0</v>
      </c>
      <c r="BP19" s="101">
        <f>((A11_A_L32*Fertilizante_A)+(A11_B_L32*Fertilizante_B)+(A11_C_L32*Fertilizante_C)+(A11_D_L32*Fertilizante_D)+(A11_Y_L32*Fertilizante_Y))*Inflación_11</f>
        <v>0</v>
      </c>
      <c r="BQ19" s="101">
        <f>SUMIFS('9'!$E:$E,'9'!$A:$A,Año_Inicial+10,'9'!$B:$B,'12'!BP$4,'9'!$D:$D,"Fertilizante químico")</f>
        <v>0</v>
      </c>
      <c r="BR19" s="101">
        <f>((A11_A_L33*Fertilizante_A)+(A11_B_L33*Fertilizante_B)+(A11_C_L33*Fertilizante_C)+(A11_D_L33*Fertilizante_D)+(A11_Y_L33*Fertilizante_Y))*Inflación_11</f>
        <v>0</v>
      </c>
      <c r="BS19" s="101">
        <f>SUMIFS('9'!$E:$E,'9'!$A:$A,Año_Inicial+10,'9'!$B:$B,'12'!BR$4,'9'!$D:$D,"Fertilizante químico")</f>
        <v>0</v>
      </c>
      <c r="BT19" s="101">
        <f>((A11_A_L34*Fertilizante_A)+(A11_B_L34*Fertilizante_B)+(A11_C_L34*Fertilizante_C)+(A11_D_L34*Fertilizante_D)+(A11_Y_L34*Fertilizante_Y))*Inflación_11</f>
        <v>0</v>
      </c>
      <c r="BU19" s="101">
        <f>SUMIFS('9'!$E:$E,'9'!$A:$A,Año_Inicial+10,'9'!$B:$B,'12'!BT$4,'9'!$D:$D,"Fertilizante químico")</f>
        <v>0</v>
      </c>
      <c r="BV19" s="101">
        <f>((A11_A_L35*Fertilizante_A)+(A11_B_L35*Fertilizante_B)+(A11_C_L35*Fertilizante_C)+(A11_D_L35*Fertilizante_D)+(A11_Y_L35*Fertilizante_Y))*Inflación_11</f>
        <v>0</v>
      </c>
      <c r="BW19" s="101">
        <f>SUMIFS('9'!$E:$E,'9'!$A:$A,Año_Inicial+10,'9'!$B:$B,'12'!BV$4,'9'!$D:$D,"Fertilizante químico")</f>
        <v>0</v>
      </c>
      <c r="BX19" s="101">
        <f>((A11_A_L36*Fertilizante_A)+(A11_B_L36*Fertilizante_B)+(A11_C_L36*Fertilizante_C)+(A11_D_L36*Fertilizante_D)+(A11_Y_L36*Fertilizante_Y))*Inflación_11</f>
        <v>0</v>
      </c>
      <c r="BY19" s="101">
        <f>SUMIFS('9'!$E:$E,'9'!$A:$A,Año_Inicial+10,'9'!$B:$B,'12'!BX$4,'9'!$D:$D,"Fertilizante químico")</f>
        <v>0</v>
      </c>
      <c r="BZ19" s="101">
        <f>((A11_A_L37*Fertilizante_A)+(A11_B_L37*Fertilizante_B)+(A11_C_L37*Fertilizante_C)+(A11_D_L37*Fertilizante_D)+(A11_Y_L37*Fertilizante_Y))*Inflación_11</f>
        <v>0</v>
      </c>
      <c r="CA19" s="101">
        <f>SUMIFS('9'!$E:$E,'9'!$A:$A,Año_Inicial+10,'9'!$B:$B,'12'!BZ$4,'9'!$D:$D,"Fertilizante químico")</f>
        <v>0</v>
      </c>
      <c r="CB19" s="101">
        <f>((A11_A_L38*Fertilizante_A)+(A11_B_L38*Fertilizante_B)+(A11_C_L38*Fertilizante_C)+(A11_D_L38*Fertilizante_D)+(A11_Y_L38*Fertilizante_Y))*Inflación_11</f>
        <v>0</v>
      </c>
      <c r="CC19" s="101">
        <f>SUMIFS('9'!$E:$E,'9'!$A:$A,Año_Inicial+10,'9'!$B:$B,'12'!CB$4,'9'!$D:$D,"Fertilizante químico")</f>
        <v>0</v>
      </c>
      <c r="CD19" s="101">
        <f>((A11_A_L39*Fertilizante_A)+(A11_B_L39*Fertilizante_B)+(A11_C_L39*Fertilizante_C)+(A11_D_L39*Fertilizante_D)+(A11_Y_L39*Fertilizante_Y))*Inflación_11</f>
        <v>0</v>
      </c>
      <c r="CE19" s="101">
        <f>SUMIFS('9'!$E:$E,'9'!$A:$A,Año_Inicial+10,'9'!$B:$B,'12'!CD$4,'9'!$D:$D,"Fertilizante químico")</f>
        <v>0</v>
      </c>
      <c r="CF19" s="101">
        <f>((A11_A_L40*Fertilizante_A)+(A11_B_L40*Fertilizante_B)+(A11_C_L40*Fertilizante_C)+(A11_D_L40*Fertilizante_D)+(A11_Y_L40*Fertilizante_Y))*Inflación_11</f>
        <v>0</v>
      </c>
      <c r="CG19" s="101">
        <f>SUMIFS('9'!$E:$E,'9'!$A:$A,Año_Inicial+10,'9'!$B:$B,'12'!CF$4,'9'!$D:$D,"Fertilizante químico")</f>
        <v>0</v>
      </c>
      <c r="CH19" s="473"/>
      <c r="CI19" s="101">
        <f>Plantas_A_A11*Fertilizante_A*Inflación_11</f>
        <v>0</v>
      </c>
      <c r="CJ19" s="101">
        <f>Plantas_B_A11*Fertilizante_B</f>
        <v>0</v>
      </c>
      <c r="CK19" s="101">
        <f>Plantas_C_A11*Fertilizante_C</f>
        <v>0</v>
      </c>
      <c r="CL19" s="101">
        <f>Plantas_D_A11*Fertilizante_D</f>
        <v>0</v>
      </c>
      <c r="CM19" s="101"/>
      <c r="CN19" s="101">
        <f>Plantas_Y_A11*Fertilizante_Y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SUMIFS('9'!$E:$E,'9'!$A:$A,Año_Inicial+10,'9'!$D:$D,"Material de enmienda")</f>
        <v>0</v>
      </c>
      <c r="D20" s="100">
        <f t="shared" si="45"/>
        <v>0</v>
      </c>
      <c r="E20" s="473"/>
      <c r="F20" s="101">
        <f>((A11_A_L1*Enmiendas_A)+(A11_B_L1*Enmiendas_B)+(A11_C_L1*Enmiendas_C)+(A11_D_L1*Enmiendas_D)+(A11_Y_L1*Enmiendas_Y))*Inflación_11</f>
        <v>0</v>
      </c>
      <c r="G20" s="101">
        <f>SUMIFS('9'!$E:$E,'9'!$A:$A,Año_Inicial+10,'9'!$B:$B,'12'!F$4,'9'!$D:$D,"Material de enmienda")</f>
        <v>0</v>
      </c>
      <c r="H20" s="101">
        <f>((A11_A_L2*Enmiendas_A)+(A11_B_L2*Enmiendas_B)+(A11_C_L2*Enmiendas_C)+(A11_D_L2*Enmiendas_D)+(A11_Y_L2*Enmiendas_Y))*Inflación_11</f>
        <v>0</v>
      </c>
      <c r="I20" s="101">
        <f>SUMIFS('9'!$E:$E,'9'!$A:$A,Año_Inicial+10,'9'!$B:$B,'12'!H$4,'9'!$D:$D,"Material de enmienda")</f>
        <v>0</v>
      </c>
      <c r="J20" s="101">
        <f>((A11_A_L3*Enmiendas_A)+(A11_B_L3*Enmiendas_B)+(A11_C_L3*Enmiendas_C)+(A11_D_L3*Enmiendas_D)+(A11_Y_L3*Enmiendas_Y))*Inflación_11</f>
        <v>0</v>
      </c>
      <c r="K20" s="101">
        <f>SUMIFS('9'!$E:$E,'9'!$A:$A,Año_Inicial+10,'9'!$B:$B,'12'!J$4,'9'!$D:$D,"Material de enmienda")</f>
        <v>0</v>
      </c>
      <c r="L20" s="101">
        <f>((A11_A_L4*Enmiendas_A)+(A11_B_L4*Enmiendas_B)+(A11_C_L4*Enmiendas_C)+(A11_D_L4*Enmiendas_D)+(A11_Y_L4*Enmiendas_Y))*Inflación_11</f>
        <v>0</v>
      </c>
      <c r="M20" s="101">
        <f>SUMIFS('9'!$E:$E,'9'!$A:$A,Año_Inicial+10,'9'!$B:$B,'12'!L$4,'9'!$D:$D,"Material de enmienda")</f>
        <v>0</v>
      </c>
      <c r="N20" s="101">
        <f>((A11_A_L5*Enmiendas_A)+(A11_B_L5*Enmiendas_B)+(A11_C_L5*Enmiendas_C)+(A11_D_L5*Enmiendas_D)+(A11_Y_L5*Enmiendas_Y))*Inflación_11</f>
        <v>0</v>
      </c>
      <c r="O20" s="101">
        <f>SUMIFS('9'!$E:$E,'9'!$A:$A,Año_Inicial+10,'9'!$B:$B,'12'!N$4,'9'!$D:$D,"Material de enmienda")</f>
        <v>0</v>
      </c>
      <c r="P20" s="101">
        <f>((A11_A_L6*Enmiendas_A)+(A11_B_L6*Enmiendas_B)+(A11_C_L6*Enmiendas_C)+(A11_D_L6*Enmiendas_D)+(A11_Y_L6*Enmiendas_Y))*Inflación_11</f>
        <v>0</v>
      </c>
      <c r="Q20" s="101">
        <f>SUMIFS('9'!$E:$E,'9'!$A:$A,Año_Inicial+10,'9'!$B:$B,'12'!P$4,'9'!$D:$D,"Material de enmienda")</f>
        <v>0</v>
      </c>
      <c r="R20" s="101">
        <f>((A11_A_L7*Enmiendas_A)+(A11_B_L7*Enmiendas_B)+(A11_C_L7*Enmiendas_C)+(A11_D_L7*Enmiendas_D)+(A11_Y_L7*Enmiendas_Y))*Inflación_11</f>
        <v>0</v>
      </c>
      <c r="S20" s="101">
        <f>SUMIFS('9'!$E:$E,'9'!$A:$A,Año_Inicial+10,'9'!$B:$B,'12'!R$4,'9'!$D:$D,"Material de enmienda")</f>
        <v>0</v>
      </c>
      <c r="T20" s="101">
        <f>((A11_A_L8*Enmiendas_A)+(A11_B_L8*Enmiendas_B)+(A11_C_L8*Enmiendas_C)+(A11_D_L8*Enmiendas_D)+(A11_Y_L8*Enmiendas_Y))*Inflación_11</f>
        <v>0</v>
      </c>
      <c r="U20" s="101">
        <f>SUMIFS('9'!$E:$E,'9'!$A:$A,Año_Inicial+10,'9'!$B:$B,'12'!T$4,'9'!$D:$D,"Material de enmienda")</f>
        <v>0</v>
      </c>
      <c r="V20" s="101">
        <f>((A11_A_L9*Enmiendas_A)+(A11_B_L9*Enmiendas_B)+(A11_C_L9*Enmiendas_C)+(A11_D_L9*Enmiendas_D)+(A11_Y_L9*Enmiendas_Y))*Inflación_11</f>
        <v>0</v>
      </c>
      <c r="W20" s="101">
        <f>SUMIFS('9'!$E:$E,'9'!$A:$A,Año_Inicial+10,'9'!$B:$B,'12'!V$4,'9'!$D:$D,"Material de enmienda")</f>
        <v>0</v>
      </c>
      <c r="X20" s="101">
        <f>((A11_A_L10*Enmiendas_A)+(A11_B_L10*Enmiendas_B)+(A11_C_L10*Enmiendas_C)+(A11_D_L10*Enmiendas_D)+(A11_Y_L10*Enmiendas_Y))*Inflación_11</f>
        <v>0</v>
      </c>
      <c r="Y20" s="101">
        <f>SUMIFS('9'!$E:$E,'9'!$A:$A,Año_Inicial+10,'9'!$B:$B,'12'!X$4,'9'!$D:$D,"Material de enmienda")</f>
        <v>0</v>
      </c>
      <c r="Z20" s="101">
        <f>((A11_A_L11*Enmiendas_A)+(A11_B_L11*Enmiendas_B)+(A11_C_L11*Enmiendas_C)+(A11_D_L11*Enmiendas_D)+(A11_Y_L11*Enmiendas_Y))*Inflación_11</f>
        <v>0</v>
      </c>
      <c r="AA20" s="101">
        <f>SUMIFS('9'!$E:$E,'9'!$A:$A,Año_Inicial+10,'9'!$B:$B,'12'!Z$4,'9'!$D:$D,"Material de enmienda")</f>
        <v>0</v>
      </c>
      <c r="AB20" s="101">
        <f>((A11_A_L12*Enmiendas_A)+(A11_B_L12*Enmiendas_B)+(A11_C_L12*Enmiendas_C)+(A11_D_L12*Enmiendas_D)+(A11_Y_L12*Enmiendas_Y))*Inflación_11</f>
        <v>0</v>
      </c>
      <c r="AC20" s="101">
        <f>SUMIFS('9'!$E:$E,'9'!$A:$A,Año_Inicial+10,'9'!$B:$B,'12'!AB$4,'9'!$D:$D,"Material de enmienda")</f>
        <v>0</v>
      </c>
      <c r="AD20" s="101">
        <f>((A11_A_L13*Enmiendas_A)+(A11_B_L13*Enmiendas_B)+(A11_C_L13*Enmiendas_C)+(A11_D_L13*Enmiendas_D)+(A11_Y_L13*Enmiendas_Y))*Inflación_11</f>
        <v>0</v>
      </c>
      <c r="AE20" s="101">
        <f>SUMIFS('9'!$E:$E,'9'!$A:$A,Año_Inicial+10,'9'!$B:$B,'12'!AD$4,'9'!$D:$D,"Material de enmienda")</f>
        <v>0</v>
      </c>
      <c r="AF20" s="101">
        <f>((A11_A_L14*Enmiendas_A)+(A11_B_L14*Enmiendas_B)+(A11_C_L14*Enmiendas_C)+(A11_D_L14*Enmiendas_D)+(A11_Y_L14*Enmiendas_Y))*Inflación_11</f>
        <v>0</v>
      </c>
      <c r="AG20" s="101">
        <f>SUMIFS('9'!$E:$E,'9'!$A:$A,Año_Inicial+10,'9'!$B:$B,'12'!AF$4,'9'!$D:$D,"Material de enmienda")</f>
        <v>0</v>
      </c>
      <c r="AH20" s="101">
        <f>((A11_A_L15*Enmiendas_A)+(A11_B_L15*Enmiendas_B)+(A11_C_L15*Enmiendas_C)+(A11_D_L15*Enmiendas_D)+(A11_Y_L15*Enmiendas_Y))*Inflación_11</f>
        <v>0</v>
      </c>
      <c r="AI20" s="101">
        <f>SUMIFS('9'!$E:$E,'9'!$A:$A,Año_Inicial+10,'9'!$B:$B,'12'!AH$4,'9'!$D:$D,"Material de enmienda")</f>
        <v>0</v>
      </c>
      <c r="AJ20" s="101">
        <f>((A11_A_L16*Enmiendas_A)+(A11_B_L16*Enmiendas_B)+(A11_C_L16*Enmiendas_C)+(A11_D_L16*Enmiendas_D)+(A11_Y_L16*Enmiendas_Y))*Inflación_11</f>
        <v>0</v>
      </c>
      <c r="AK20" s="101">
        <f>SUMIFS('9'!$E:$E,'9'!$A:$A,Año_Inicial+10,'9'!$B:$B,'12'!AJ$4,'9'!$D:$D,"Material de enmienda")</f>
        <v>0</v>
      </c>
      <c r="AL20" s="101">
        <f>((A11_A_L17*Enmiendas_A)+(A11_B_L17*Enmiendas_B)+(A11_C_L17*Enmiendas_C)+(A11_D_L17*Enmiendas_D)+(A11_Y_L17*Enmiendas_Y))*Inflación_11</f>
        <v>0</v>
      </c>
      <c r="AM20" s="101">
        <f>SUMIFS('9'!$E:$E,'9'!$A:$A,Año_Inicial+10,'9'!$B:$B,'12'!AL$4,'9'!$D:$D,"Material de enmienda")</f>
        <v>0</v>
      </c>
      <c r="AN20" s="101">
        <f>((A11_A_L18*Enmiendas_A)+(A11_B_L18*Enmiendas_B)+(A11_C_L18*Enmiendas_C)+(A11_D_L18*Enmiendas_D)+(A11_Y_L18*Enmiendas_Y))*Inflación_11</f>
        <v>0</v>
      </c>
      <c r="AO20" s="101">
        <f>SUMIFS('9'!$E:$E,'9'!$A:$A,Año_Inicial+10,'9'!$B:$B,'12'!AN$4,'9'!$D:$D,"Material de enmienda")</f>
        <v>0</v>
      </c>
      <c r="AP20" s="101">
        <f>((A11_A_L19*Enmiendas_A)+(A11_B_L19*Enmiendas_B)+(A11_C_L19*Enmiendas_C)+(A11_D_L19*Enmiendas_D)+(A11_Y_L19*Enmiendas_Y))*Inflación_11</f>
        <v>0</v>
      </c>
      <c r="AQ20" s="101">
        <f>SUMIFS('9'!$E:$E,'9'!$A:$A,Año_Inicial+10,'9'!$B:$B,'12'!AP$4,'9'!$D:$D,"Material de enmienda")</f>
        <v>0</v>
      </c>
      <c r="AR20" s="101">
        <f>((A11_A_L20*Enmiendas_A)+(A11_B_L20*Enmiendas_B)+(A11_C_L20*Enmiendas_C)+(A11_D_L20*Enmiendas_D)+(A11_Y_L20*Enmiendas_Y))*Inflación_11</f>
        <v>0</v>
      </c>
      <c r="AS20" s="101">
        <f>SUMIFS('9'!$E:$E,'9'!$A:$A,Año_Inicial+10,'9'!$B:$B,'12'!AR$4,'9'!$D:$D,"Material de enmienda")</f>
        <v>0</v>
      </c>
      <c r="AT20" s="101">
        <f>((A11_A_L21*Enmiendas_A)+(A11_B_L21*Enmiendas_B)+(A11_C_L21*Enmiendas_C)+(A11_D_L21*Enmiendas_D)+(A11_Y_L21*Enmiendas_Y))*Inflación_11</f>
        <v>0</v>
      </c>
      <c r="AU20" s="101">
        <f>SUMIFS('9'!$E:$E,'9'!$A:$A,Año_Inicial+10,'9'!$B:$B,'12'!AT$4,'9'!$D:$D,"Material de enmienda")</f>
        <v>0</v>
      </c>
      <c r="AV20" s="101">
        <f>((A11_A_L22*Enmiendas_A)+(A11_B_L22*Enmiendas_B)+(A11_C_L22*Enmiendas_C)+(A11_D_L22*Enmiendas_D)+(A11_Y_L22*Enmiendas_Y))*Inflación_11</f>
        <v>0</v>
      </c>
      <c r="AW20" s="101">
        <f>SUMIFS('9'!$E:$E,'9'!$A:$A,Año_Inicial+10,'9'!$B:$B,'12'!AV$4,'9'!$D:$D,"Material de enmienda")</f>
        <v>0</v>
      </c>
      <c r="AX20" s="101">
        <f>((A11_A_L23*Enmiendas_A)+(A11_B_L23*Enmiendas_B)+(A11_C_L23*Enmiendas_C)+(A11_D_L23*Enmiendas_D)+(A11_Y_L23*Enmiendas_Y))*Inflación_11</f>
        <v>0</v>
      </c>
      <c r="AY20" s="101">
        <f>SUMIFS('9'!$E:$E,'9'!$A:$A,Año_Inicial+10,'9'!$B:$B,'12'!AX$4,'9'!$D:$D,"Material de enmienda")</f>
        <v>0</v>
      </c>
      <c r="AZ20" s="101">
        <f>((A11_A_L24*Enmiendas_A)+(A11_B_L24*Enmiendas_B)+(A11_C_L24*Enmiendas_C)+(A11_D_L24*Enmiendas_D)+(A11_Y_L24*Enmiendas_Y))*Inflación_11</f>
        <v>0</v>
      </c>
      <c r="BA20" s="101">
        <f>SUMIFS('9'!$E:$E,'9'!$A:$A,Año_Inicial+10,'9'!$B:$B,'12'!AZ$4,'9'!$D:$D,"Material de enmienda")</f>
        <v>0</v>
      </c>
      <c r="BB20" s="101">
        <f>((A11_A_L25*Enmiendas_A)+(A11_B_L25*Enmiendas_B)+(A11_C_L25*Enmiendas_C)+(A11_D_L25*Enmiendas_D)+(A11_Y_L25*Enmiendas_Y))*Inflación_11</f>
        <v>0</v>
      </c>
      <c r="BC20" s="101">
        <f>SUMIFS('9'!$E:$E,'9'!$A:$A,Año_Inicial+10,'9'!$B:$B,'12'!BB$4,'9'!$D:$D,"Material de enmienda")</f>
        <v>0</v>
      </c>
      <c r="BD20" s="101">
        <f>((A11_A_L26*Enmiendas_A)+(A11_B_L26*Enmiendas_B)+(A11_C_L26*Enmiendas_C)+(A11_D_L26*Enmiendas_D)+(A11_Y_L26*Enmiendas_Y))*Inflación_11</f>
        <v>0</v>
      </c>
      <c r="BE20" s="101">
        <f>SUMIFS('9'!$E:$E,'9'!$A:$A,Año_Inicial+10,'9'!$B:$B,'12'!BD$4,'9'!$D:$D,"Material de enmienda")</f>
        <v>0</v>
      </c>
      <c r="BF20" s="101">
        <f>((A11_A_L27*Enmiendas_A)+(A11_B_L27*Enmiendas_B)+(A11_C_L27*Enmiendas_C)+(A11_D_L27*Enmiendas_D)+(A11_Y_L27*Enmiendas_Y))*Inflación_11</f>
        <v>0</v>
      </c>
      <c r="BG20" s="101">
        <f>SUMIFS('9'!$E:$E,'9'!$A:$A,Año_Inicial+10,'9'!$B:$B,'12'!BF$4,'9'!$D:$D,"Material de enmienda")</f>
        <v>0</v>
      </c>
      <c r="BH20" s="101">
        <f>((A11_A_L28*Enmiendas_A)+(A11_B_L28*Enmiendas_B)+(A11_C_L28*Enmiendas_C)+(A11_D_L28*Enmiendas_D)+(A11_Y_L28*Enmiendas_Y))*Inflación_11</f>
        <v>0</v>
      </c>
      <c r="BI20" s="101">
        <f>SUMIFS('9'!$E:$E,'9'!$A:$A,Año_Inicial+10,'9'!$B:$B,'12'!BH$4,'9'!$D:$D,"Material de enmienda")</f>
        <v>0</v>
      </c>
      <c r="BJ20" s="101">
        <f>((A11_A_L29*Enmiendas_A)+(A11_B_L29*Enmiendas_B)+(A11_C_L29*Enmiendas_C)+(A11_D_L29*Enmiendas_D)+(A11_Y_L29*Enmiendas_Y))*Inflación_11</f>
        <v>0</v>
      </c>
      <c r="BK20" s="101">
        <f>SUMIFS('9'!$E:$E,'9'!$A:$A,Año_Inicial+10,'9'!$B:$B,'12'!BJ$4,'9'!$D:$D,"Material de enmienda")</f>
        <v>0</v>
      </c>
      <c r="BL20" s="101">
        <f>((A11_A_L30*Enmiendas_A)+(A11_B_L30*Enmiendas_B)+(A11_C_L30*Enmiendas_C)+(A11_D_L30*Enmiendas_D)+(A11_Y_L30*Enmiendas_Y))*Inflación_11</f>
        <v>0</v>
      </c>
      <c r="BM20" s="101">
        <f>SUMIFS('9'!$E:$E,'9'!$A:$A,Año_Inicial+10,'9'!$B:$B,'12'!BL$4,'9'!$D:$D,"Material de enmienda")</f>
        <v>0</v>
      </c>
      <c r="BN20" s="101">
        <f>((A11_A_L31*Enmiendas_A)+(A11_B_L31*Enmiendas_B)+(A11_C_L31*Enmiendas_C)+(A11_D_L31*Enmiendas_D)+(A11_Y_L31*Enmiendas_Y))*Inflación_11</f>
        <v>0</v>
      </c>
      <c r="BO20" s="101">
        <f>SUMIFS('9'!$E:$E,'9'!$A:$A,Año_Inicial+10,'9'!$B:$B,'12'!BN$4,'9'!$D:$D,"Material de enmienda")</f>
        <v>0</v>
      </c>
      <c r="BP20" s="101">
        <f>((A11_A_L32*Enmiendas_A)+(A11_B_L32*Enmiendas_B)+(A11_C_L32*Enmiendas_C)+(A11_D_L32*Enmiendas_D)+(A11_Y_L32*Enmiendas_Y))*Inflación_11</f>
        <v>0</v>
      </c>
      <c r="BQ20" s="101">
        <f>SUMIFS('9'!$E:$E,'9'!$A:$A,Año_Inicial+10,'9'!$B:$B,'12'!BP$4,'9'!$D:$D,"Material de enmienda")</f>
        <v>0</v>
      </c>
      <c r="BR20" s="101">
        <f>((A11_A_L33*Enmiendas_A)+(A11_B_L33*Enmiendas_B)+(A11_C_L33*Enmiendas_C)+(A11_D_L33*Enmiendas_D)+(A11_Y_L33*Enmiendas_Y))*Inflación_11</f>
        <v>0</v>
      </c>
      <c r="BS20" s="101">
        <f>SUMIFS('9'!$E:$E,'9'!$A:$A,Año_Inicial+10,'9'!$B:$B,'12'!BR$4,'9'!$D:$D,"Material de enmienda")</f>
        <v>0</v>
      </c>
      <c r="BT20" s="101">
        <f>((A11_A_L34*Enmiendas_A)+(A11_B_L34*Enmiendas_B)+(A11_C_L34*Enmiendas_C)+(A11_D_L34*Enmiendas_D)+(A11_Y_L34*Enmiendas_Y))*Inflación_11</f>
        <v>0</v>
      </c>
      <c r="BU20" s="101">
        <f>SUMIFS('9'!$E:$E,'9'!$A:$A,Año_Inicial+10,'9'!$B:$B,'12'!BT$4,'9'!$D:$D,"Material de enmienda")</f>
        <v>0</v>
      </c>
      <c r="BV20" s="101">
        <f>((A11_A_L35*Enmiendas_A)+(A11_B_L35*Enmiendas_B)+(A11_C_L35*Enmiendas_C)+(A11_D_L35*Enmiendas_D)+(A11_Y_L35*Enmiendas_Y))*Inflación_11</f>
        <v>0</v>
      </c>
      <c r="BW20" s="101">
        <f>SUMIFS('9'!$E:$E,'9'!$A:$A,Año_Inicial+10,'9'!$B:$B,'12'!BV$4,'9'!$D:$D,"Material de enmienda")</f>
        <v>0</v>
      </c>
      <c r="BX20" s="101">
        <f>((A11_A_L36*Enmiendas_A)+(A11_B_L36*Enmiendas_B)+(A11_C_L36*Enmiendas_C)+(A11_D_L36*Enmiendas_D)+(A11_Y_L36*Enmiendas_Y))*Inflación_11</f>
        <v>0</v>
      </c>
      <c r="BY20" s="101">
        <f>SUMIFS('9'!$E:$E,'9'!$A:$A,Año_Inicial+10,'9'!$B:$B,'12'!BX$4,'9'!$D:$D,"Material de enmienda")</f>
        <v>0</v>
      </c>
      <c r="BZ20" s="101">
        <f>((A11_A_L37*Enmiendas_A)+(A11_B_L37*Enmiendas_B)+(A11_C_L37*Enmiendas_C)+(A11_D_L37*Enmiendas_D)+(A11_Y_L37*Enmiendas_Y))*Inflación_11</f>
        <v>0</v>
      </c>
      <c r="CA20" s="101">
        <f>SUMIFS('9'!$E:$E,'9'!$A:$A,Año_Inicial+10,'9'!$B:$B,'12'!BZ$4,'9'!$D:$D,"Material de enmienda")</f>
        <v>0</v>
      </c>
      <c r="CB20" s="101">
        <f>((A11_A_L38*Enmiendas_A)+(A11_B_L38*Enmiendas_B)+(A11_C_L38*Enmiendas_C)+(A11_D_L38*Enmiendas_D)+(A11_Y_L38*Enmiendas_Y))*Inflación_11</f>
        <v>0</v>
      </c>
      <c r="CC20" s="101">
        <f>SUMIFS('9'!$E:$E,'9'!$A:$A,Año_Inicial+10,'9'!$B:$B,'12'!CB$4,'9'!$D:$D,"Material de enmienda")</f>
        <v>0</v>
      </c>
      <c r="CD20" s="101">
        <f>((A11_A_L39*Enmiendas_A)+(A11_B_L39*Enmiendas_B)+(A11_C_L39*Enmiendas_C)+(A11_D_L39*Enmiendas_D)+(A11_Y_L39*Enmiendas_Y))*Inflación_11</f>
        <v>0</v>
      </c>
      <c r="CE20" s="101">
        <f>SUMIFS('9'!$E:$E,'9'!$A:$A,Año_Inicial+10,'9'!$B:$B,'12'!CD$4,'9'!$D:$D,"Material de enmienda")</f>
        <v>0</v>
      </c>
      <c r="CF20" s="101">
        <f>((A11_A_L40*Enmiendas_A)+(A11_B_L40*Enmiendas_B)+(A11_C_L40*Enmiendas_C)+(A11_D_L40*Enmiendas_D)+(A11_Y_L40*Enmiendas_Y))*Inflación_11</f>
        <v>0</v>
      </c>
      <c r="CG20" s="101">
        <f>SUMIFS('9'!$E:$E,'9'!$A:$A,Año_Inicial+10,'9'!$B:$B,'12'!CF$4,'9'!$D:$D,"Material de enmienda")</f>
        <v>0</v>
      </c>
      <c r="CH20" s="473"/>
      <c r="CI20" s="101">
        <f>Plantas_A_A11*Enmiendas_A*Inflación_11</f>
        <v>0</v>
      </c>
      <c r="CJ20" s="101">
        <f>Plantas_B_A11*Enmiendas_B</f>
        <v>0</v>
      </c>
      <c r="CK20" s="101">
        <f>Plantas_C_A11*Enmiendas_C</f>
        <v>0</v>
      </c>
      <c r="CL20" s="101">
        <f>Plantas_D_A11*Enmiendas_D</f>
        <v>0</v>
      </c>
      <c r="CM20" s="101"/>
      <c r="CN20" s="101">
        <f>Plantas_Y_A11*Enmiendas_Y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SUMIFS('9'!$E:$E,'9'!$A:$A,Año_Inicial+10,'9'!$D:$D,"Aplicación de herbicida")</f>
        <v>0</v>
      </c>
      <c r="D22" s="100">
        <f t="shared" si="45"/>
        <v>0</v>
      </c>
      <c r="E22" s="473"/>
      <c r="F22" s="101">
        <f>((A11_A_L1*Malezas_A)+(A11_B_L1*Malezas_B)+(A11_C_L1*Malezas_C)+(A11_D_L1*Malezas_D)+(A11_Y_L1*Malezas_Y))*Inflación_11</f>
        <v>0</v>
      </c>
      <c r="G22" s="101">
        <f>SUMIFS('9'!$E:$E,'9'!$A:$A,Año_Inicial+10,'9'!$B:$B,'12'!F$4,'9'!$D:$D,"Aplicación de herbicida")</f>
        <v>0</v>
      </c>
      <c r="H22" s="101">
        <f>((A11_A_L2*Malezas_A)+(A11_B_L2*Malezas_B)+(A11_C_L2*Malezas_C)+(A11_D_L2*Malezas_D)+(A11_Y_L2*Malezas_Y))*Inflación_11</f>
        <v>0</v>
      </c>
      <c r="I22" s="101">
        <f>SUMIFS('9'!$E:$E,'9'!$A:$A,Año_Inicial+10,'9'!$B:$B,'12'!H$4,'9'!$D:$D,"Aplicación de herbicida")</f>
        <v>0</v>
      </c>
      <c r="J22" s="101">
        <f>((A11_A_L3*Malezas_A)+(A11_B_L3*Malezas_B)+(A11_C_L3*Malezas_C)+(A11_D_L3*Malezas_D)+(A11_Y_L3*Malezas_Y))*Inflación_11</f>
        <v>0</v>
      </c>
      <c r="K22" s="101">
        <f>SUMIFS('9'!$E:$E,'9'!$A:$A,Año_Inicial+10,'9'!$B:$B,'12'!J$4,'9'!$D:$D,"Aplicación de herbicida")</f>
        <v>0</v>
      </c>
      <c r="L22" s="101">
        <f>((A11_A_L4*Malezas_A)+(A11_B_L4*Malezas_B)+(A11_C_L4*Malezas_C)+(A11_D_L4*Malezas_D)+(A11_Y_L4*Malezas_Y))*Inflación_11</f>
        <v>0</v>
      </c>
      <c r="M22" s="101">
        <f>SUMIFS('9'!$E:$E,'9'!$A:$A,Año_Inicial+10,'9'!$B:$B,'12'!L$4,'9'!$D:$D,"Aplicación de herbicida")</f>
        <v>0</v>
      </c>
      <c r="N22" s="101">
        <f>((A11_A_L5*Malezas_A)+(A11_B_L5*Malezas_B)+(A11_C_L5*Malezas_C)+(A11_D_L5*Malezas_D)+(A11_Y_L5*Malezas_Y))*Inflación_11</f>
        <v>0</v>
      </c>
      <c r="O22" s="101">
        <f>SUMIFS('9'!$E:$E,'9'!$A:$A,Año_Inicial+10,'9'!$B:$B,'12'!N$4,'9'!$D:$D,"Aplicación de herbicida")</f>
        <v>0</v>
      </c>
      <c r="P22" s="101">
        <f>((A11_A_L6*Malezas_A)+(A11_B_L6*Malezas_B)+(A11_C_L6*Malezas_C)+(A11_D_L6*Malezas_D)+(A11_Y_L6*Malezas_Y))*Inflación_11</f>
        <v>0</v>
      </c>
      <c r="Q22" s="101">
        <f>SUMIFS('9'!$E:$E,'9'!$A:$A,Año_Inicial+10,'9'!$B:$B,'12'!P$4,'9'!$D:$D,"Aplicación de herbicida")</f>
        <v>0</v>
      </c>
      <c r="R22" s="101">
        <f>((A11_A_L7*Malezas_A)+(A11_B_L7*Malezas_B)+(A11_C_L7*Malezas_C)+(A11_D_L7*Malezas_D)+(A11_Y_L7*Malezas_Y))*Inflación_11</f>
        <v>0</v>
      </c>
      <c r="S22" s="101">
        <f>SUMIFS('9'!$E:$E,'9'!$A:$A,Año_Inicial+10,'9'!$B:$B,'12'!R$4,'9'!$D:$D,"Aplicación de herbicida")</f>
        <v>0</v>
      </c>
      <c r="T22" s="101">
        <f>((A11_A_L8*Malezas_A)+(A11_B_L8*Malezas_B)+(A11_C_L8*Malezas_C)+(A11_D_L8*Malezas_D)+(A11_Y_L8*Malezas_Y))*Inflación_11</f>
        <v>0</v>
      </c>
      <c r="U22" s="101">
        <f>SUMIFS('9'!$E:$E,'9'!$A:$A,Año_Inicial+10,'9'!$B:$B,'12'!T$4,'9'!$D:$D,"Aplicación de herbicida")</f>
        <v>0</v>
      </c>
      <c r="V22" s="101">
        <f>((A11_A_L9*Malezas_A)+(A11_B_L9*Malezas_B)+(A11_C_L9*Malezas_C)+(A11_D_L9*Malezas_D)+(A11_Y_L9*Malezas_Y))*Inflación_11</f>
        <v>0</v>
      </c>
      <c r="W22" s="101">
        <f>SUMIFS('9'!$E:$E,'9'!$A:$A,Año_Inicial+10,'9'!$B:$B,'12'!V$4,'9'!$D:$D,"Aplicación de herbicida")</f>
        <v>0</v>
      </c>
      <c r="X22" s="101">
        <f>((A11_A_L10*Malezas_A)+(A11_B_L10*Malezas_B)+(A11_C_L10*Malezas_C)+(A11_D_L10*Malezas_D)+(A11_Y_L10*Malezas_Y))*Inflación_11</f>
        <v>0</v>
      </c>
      <c r="Y22" s="101">
        <f>SUMIFS('9'!$E:$E,'9'!$A:$A,Año_Inicial+10,'9'!$B:$B,'12'!X$4,'9'!$D:$D,"Aplicación de herbicida")</f>
        <v>0</v>
      </c>
      <c r="Z22" s="101">
        <f>((A11_A_L11*Malezas_A)+(A11_B_L11*Malezas_B)+(A11_C_L11*Malezas_C)+(A11_D_L11*Malezas_D)+(A11_Y_L11*Malezas_Y))*Inflación_11</f>
        <v>0</v>
      </c>
      <c r="AA22" s="101">
        <f>SUMIFS('9'!$E:$E,'9'!$A:$A,Año_Inicial+10,'9'!$B:$B,'12'!Z$4,'9'!$D:$D,"Aplicación de herbicida")</f>
        <v>0</v>
      </c>
      <c r="AB22" s="101">
        <f>((A11_A_L12*Malezas_A)+(A11_B_L12*Malezas_B)+(A11_C_L12*Malezas_C)+(A11_D_L12*Malezas_D)+(A11_Y_L12*Malezas_Y))*Inflación_11</f>
        <v>0</v>
      </c>
      <c r="AC22" s="101">
        <f>SUMIFS('9'!$E:$E,'9'!$A:$A,Año_Inicial+10,'9'!$B:$B,'12'!AB$4,'9'!$D:$D,"Aplicación de herbicida")</f>
        <v>0</v>
      </c>
      <c r="AD22" s="101">
        <f>((A11_A_L13*Malezas_A)+(A11_B_L13*Malezas_B)+(A11_C_L13*Malezas_C)+(A11_D_L13*Malezas_D)+(A11_Y_L13*Malezas_Y))*Inflación_11</f>
        <v>0</v>
      </c>
      <c r="AE22" s="101">
        <f>SUMIFS('9'!$E:$E,'9'!$A:$A,Año_Inicial+10,'9'!$B:$B,'12'!AD$4,'9'!$D:$D,"Aplicación de herbicida")</f>
        <v>0</v>
      </c>
      <c r="AF22" s="101">
        <f>((A11_A_L14*Malezas_A)+(A11_B_L14*Malezas_B)+(A11_C_L14*Malezas_C)+(A11_D_L14*Malezas_D)+(A11_Y_L14*Malezas_Y))*Inflación_11</f>
        <v>0</v>
      </c>
      <c r="AG22" s="101">
        <f>SUMIFS('9'!$E:$E,'9'!$A:$A,Año_Inicial+10,'9'!$B:$B,'12'!AF$4,'9'!$D:$D,"Aplicación de herbicida")</f>
        <v>0</v>
      </c>
      <c r="AH22" s="101">
        <f>((A11_A_L15*Malezas_A)+(A11_B_L15*Malezas_B)+(A11_C_L15*Malezas_C)+(A11_D_L15*Malezas_D)+(A11_Y_L15*Malezas_Y))*Inflación_11</f>
        <v>0</v>
      </c>
      <c r="AI22" s="101">
        <f>SUMIFS('9'!$E:$E,'9'!$A:$A,Año_Inicial+10,'9'!$B:$B,'12'!AH$4,'9'!$D:$D,"Aplicación de herbicida")</f>
        <v>0</v>
      </c>
      <c r="AJ22" s="101">
        <f>((A11_A_L16*Malezas_A)+(A11_B_L16*Malezas_B)+(A11_C_L16*Malezas_C)+(A11_D_L16*Malezas_D)+(A11_Y_L16*Malezas_Y))*Inflación_11</f>
        <v>0</v>
      </c>
      <c r="AK22" s="101">
        <f>SUMIFS('9'!$E:$E,'9'!$A:$A,Año_Inicial+10,'9'!$B:$B,'12'!AJ$4,'9'!$D:$D,"Aplicación de herbicida")</f>
        <v>0</v>
      </c>
      <c r="AL22" s="101">
        <f>((A11_A_L17*Malezas_A)+(A11_B_L17*Malezas_B)+(A11_C_L17*Malezas_C)+(A11_D_L17*Malezas_D)+(A11_Y_L17*Malezas_Y))*Inflación_11</f>
        <v>0</v>
      </c>
      <c r="AM22" s="101">
        <f>SUMIFS('9'!$E:$E,'9'!$A:$A,Año_Inicial+10,'9'!$B:$B,'12'!AL$4,'9'!$D:$D,"Aplicación de herbicida")</f>
        <v>0</v>
      </c>
      <c r="AN22" s="101">
        <f>((A11_A_L18*Malezas_A)+(A11_B_L18*Malezas_B)+(A11_C_L18*Malezas_C)+(A11_D_L18*Malezas_D)+(A11_Y_L18*Malezas_Y))*Inflación_11</f>
        <v>0</v>
      </c>
      <c r="AO22" s="101">
        <f>SUMIFS('9'!$E:$E,'9'!$A:$A,Año_Inicial+10,'9'!$B:$B,'12'!AN$4,'9'!$D:$D,"Aplicación de herbicida")</f>
        <v>0</v>
      </c>
      <c r="AP22" s="101">
        <f>((A11_A_L19*Malezas_A)+(A11_B_L19*Malezas_B)+(A11_C_L19*Malezas_C)+(A11_D_L19*Malezas_D)+(A11_Y_L19*Malezas_Y))*Inflación_11</f>
        <v>0</v>
      </c>
      <c r="AQ22" s="101">
        <f>SUMIFS('9'!$E:$E,'9'!$A:$A,Año_Inicial+10,'9'!$B:$B,'12'!AP$4,'9'!$D:$D,"Aplicación de herbicida")</f>
        <v>0</v>
      </c>
      <c r="AR22" s="101">
        <f>((A11_A_L20*Malezas_A)+(A11_B_L20*Malezas_B)+(A11_C_L20*Malezas_C)+(A11_D_L20*Malezas_D)+(A11_Y_L20*Malezas_Y))*Inflación_11</f>
        <v>0</v>
      </c>
      <c r="AS22" s="101">
        <f>SUMIFS('9'!$E:$E,'9'!$A:$A,Año_Inicial+10,'9'!$B:$B,'12'!AR$4,'9'!$D:$D,"Aplicación de herbicida")</f>
        <v>0</v>
      </c>
      <c r="AT22" s="101">
        <f>((A11_A_L21*Malezas_A)+(A11_B_L21*Malezas_B)+(A11_C_L21*Malezas_C)+(A11_D_L21*Malezas_D)+(A11_Y_L21*Malezas_Y))*Inflación_11</f>
        <v>0</v>
      </c>
      <c r="AU22" s="101">
        <f>SUMIFS('9'!$E:$E,'9'!$A:$A,Año_Inicial+10,'9'!$B:$B,'12'!AT$4,'9'!$D:$D,"Aplicación de herbicida")</f>
        <v>0</v>
      </c>
      <c r="AV22" s="101">
        <f>((A11_A_L22*Malezas_A)+(A11_B_L22*Malezas_B)+(A11_C_L22*Malezas_C)+(A11_D_L22*Malezas_D)+(A11_Y_L22*Malezas_Y))*Inflación_11</f>
        <v>0</v>
      </c>
      <c r="AW22" s="101">
        <f>SUMIFS('9'!$E:$E,'9'!$A:$A,Año_Inicial+10,'9'!$B:$B,'12'!AV$4,'9'!$D:$D,"Aplicación de herbicida")</f>
        <v>0</v>
      </c>
      <c r="AX22" s="101">
        <f>((A11_A_L23*Malezas_A)+(A11_B_L23*Malezas_B)+(A11_C_L23*Malezas_C)+(A11_D_L23*Malezas_D)+(A11_Y_L23*Malezas_Y))*Inflación_11</f>
        <v>0</v>
      </c>
      <c r="AY22" s="101">
        <f>SUMIFS('9'!$E:$E,'9'!$A:$A,Año_Inicial+10,'9'!$B:$B,'12'!AX$4,'9'!$D:$D,"Aplicación de herbicida")</f>
        <v>0</v>
      </c>
      <c r="AZ22" s="101">
        <f>((A11_A_L24*Malezas_A)+(A11_B_L24*Malezas_B)+(A11_C_L24*Malezas_C)+(A11_D_L24*Malezas_D)+(A11_Y_L24*Malezas_Y))*Inflación_11</f>
        <v>0</v>
      </c>
      <c r="BA22" s="101">
        <f>SUMIFS('9'!$E:$E,'9'!$A:$A,Año_Inicial+10,'9'!$B:$B,'12'!AZ$4,'9'!$D:$D,"Aplicación de herbicida")</f>
        <v>0</v>
      </c>
      <c r="BB22" s="101">
        <f>((A11_A_L25*Malezas_A)+(A11_B_L25*Malezas_B)+(A11_C_L25*Malezas_C)+(A11_D_L25*Malezas_D)+(A11_Y_L25*Malezas_Y))*Inflación_11</f>
        <v>0</v>
      </c>
      <c r="BC22" s="101">
        <f>SUMIFS('9'!$E:$E,'9'!$A:$A,Año_Inicial+10,'9'!$B:$B,'12'!BB$4,'9'!$D:$D,"Aplicación de herbicida")</f>
        <v>0</v>
      </c>
      <c r="BD22" s="101">
        <f>((A11_A_L26*Malezas_A)+(A11_B_L26*Malezas_B)+(A11_C_L26*Malezas_C)+(A11_D_L26*Malezas_D)+(A11_Y_L26*Malezas_Y))*Inflación_11</f>
        <v>0</v>
      </c>
      <c r="BE22" s="101">
        <f>SUMIFS('9'!$E:$E,'9'!$A:$A,Año_Inicial+10,'9'!$B:$B,'12'!BD$4,'9'!$D:$D,"Aplicación de herbicida")</f>
        <v>0</v>
      </c>
      <c r="BF22" s="101">
        <f>((A11_A_L27*Malezas_A)+(A11_B_L27*Malezas_B)+(A11_C_L27*Malezas_C)+(A11_D_L27*Malezas_D)+(A11_Y_L27*Malezas_Y))*Inflación_11</f>
        <v>0</v>
      </c>
      <c r="BG22" s="101">
        <f>SUMIFS('9'!$E:$E,'9'!$A:$A,Año_Inicial+10,'9'!$B:$B,'12'!BF$4,'9'!$D:$D,"Aplicación de herbicida")</f>
        <v>0</v>
      </c>
      <c r="BH22" s="101">
        <f>((A11_A_L28*Malezas_A)+(A11_B_L28*Malezas_B)+(A11_C_L28*Malezas_C)+(A11_D_L28*Malezas_D)+(A11_Y_L28*Malezas_Y))*Inflación_11</f>
        <v>0</v>
      </c>
      <c r="BI22" s="101">
        <f>SUMIFS('9'!$E:$E,'9'!$A:$A,Año_Inicial+10,'9'!$B:$B,'12'!BH$4,'9'!$D:$D,"Aplicación de herbicida")</f>
        <v>0</v>
      </c>
      <c r="BJ22" s="101">
        <f>((A11_A_L29*Malezas_A)+(A11_B_L29*Malezas_B)+(A11_C_L29*Malezas_C)+(A11_D_L29*Malezas_D)+(A11_Y_L29*Malezas_Y))*Inflación_11</f>
        <v>0</v>
      </c>
      <c r="BK22" s="101">
        <f>SUMIFS('9'!$E:$E,'9'!$A:$A,Año_Inicial+10,'9'!$B:$B,'12'!BJ$4,'9'!$D:$D,"Aplicación de herbicida")</f>
        <v>0</v>
      </c>
      <c r="BL22" s="101">
        <f>((A11_A_L30*Malezas_A)+(A11_B_L30*Malezas_B)+(A11_C_L30*Malezas_C)+(A11_D_L30*Malezas_D)+(A11_Y_L30*Malezas_Y))*Inflación_11</f>
        <v>0</v>
      </c>
      <c r="BM22" s="101">
        <f>SUMIFS('9'!$E:$E,'9'!$A:$A,Año_Inicial+10,'9'!$B:$B,'12'!BL$4,'9'!$D:$D,"Aplicación de herbicida")</f>
        <v>0</v>
      </c>
      <c r="BN22" s="101">
        <f>((A11_A_L31*Malezas_A)+(A11_B_L31*Malezas_B)+(A11_C_L31*Malezas_C)+(A11_D_L31*Malezas_D)+(A11_Y_L31*Malezas_Y))*Inflación_11</f>
        <v>0</v>
      </c>
      <c r="BO22" s="101">
        <f>SUMIFS('9'!$E:$E,'9'!$A:$A,Año_Inicial+10,'9'!$B:$B,'12'!BN$4,'9'!$D:$D,"Aplicación de herbicida")</f>
        <v>0</v>
      </c>
      <c r="BP22" s="101">
        <f>((A11_A_L32*Malezas_A)+(A11_B_L32*Malezas_B)+(A11_C_L32*Malezas_C)+(A11_D_L32*Malezas_D)+(A11_Y_L32*Malezas_Y))*Inflación_11</f>
        <v>0</v>
      </c>
      <c r="BQ22" s="101">
        <f>SUMIFS('9'!$E:$E,'9'!$A:$A,Año_Inicial+10,'9'!$B:$B,'12'!BP$4,'9'!$D:$D,"Aplicación de herbicida")</f>
        <v>0</v>
      </c>
      <c r="BR22" s="101">
        <f>((A11_A_L33*Malezas_A)+(A11_B_L33*Malezas_B)+(A11_C_L33*Malezas_C)+(A11_D_L33*Malezas_D)+(A11_Y_L33*Malezas_Y))*Inflación_11</f>
        <v>0</v>
      </c>
      <c r="BS22" s="101">
        <f>SUMIFS('9'!$E:$E,'9'!$A:$A,Año_Inicial+10,'9'!$B:$B,'12'!BR$4,'9'!$D:$D,"Aplicación de herbicida")</f>
        <v>0</v>
      </c>
      <c r="BT22" s="101">
        <f>((A11_A_L34*Malezas_A)+(A11_B_L34*Malezas_B)+(A11_C_L34*Malezas_C)+(A11_D_L34*Malezas_D)+(A11_Y_L34*Malezas_Y))*Inflación_11</f>
        <v>0</v>
      </c>
      <c r="BU22" s="101">
        <f>SUMIFS('9'!$E:$E,'9'!$A:$A,Año_Inicial+10,'9'!$B:$B,'12'!BT$4,'9'!$D:$D,"Aplicación de herbicida")</f>
        <v>0</v>
      </c>
      <c r="BV22" s="101">
        <f>((A11_A_L35*Malezas_A)+(A11_B_L35*Malezas_B)+(A11_C_L35*Malezas_C)+(A11_D_L35*Malezas_D)+(A11_Y_L35*Malezas_Y))*Inflación_11</f>
        <v>0</v>
      </c>
      <c r="BW22" s="101">
        <f>SUMIFS('9'!$E:$E,'9'!$A:$A,Año_Inicial+10,'9'!$B:$B,'12'!BV$4,'9'!$D:$D,"Aplicación de herbicida")</f>
        <v>0</v>
      </c>
      <c r="BX22" s="101">
        <f>((A11_A_L36*Malezas_A)+(A11_B_L36*Malezas_B)+(A11_C_L36*Malezas_C)+(A11_D_L36*Malezas_D)+(A11_Y_L36*Malezas_Y))*Inflación_11</f>
        <v>0</v>
      </c>
      <c r="BY22" s="101">
        <f>SUMIFS('9'!$E:$E,'9'!$A:$A,Año_Inicial+10,'9'!$B:$B,'12'!BX$4,'9'!$D:$D,"Aplicación de herbicida")</f>
        <v>0</v>
      </c>
      <c r="BZ22" s="101">
        <f>((A11_A_L37*Malezas_A)+(A11_B_L37*Malezas_B)+(A11_C_L37*Malezas_C)+(A11_D_L37*Malezas_D)+(A11_Y_L37*Malezas_Y))*Inflación_11</f>
        <v>0</v>
      </c>
      <c r="CA22" s="101">
        <f>SUMIFS('9'!$E:$E,'9'!$A:$A,Año_Inicial+10,'9'!$B:$B,'12'!BZ$4,'9'!$D:$D,"Aplicación de herbicida")</f>
        <v>0</v>
      </c>
      <c r="CB22" s="101">
        <f>((A11_A_L38*Malezas_A)+(A11_B_L38*Malezas_B)+(A11_C_L38*Malezas_C)+(A11_D_L38*Malezas_D)+(A11_Y_L38*Malezas_Y))*Inflación_11</f>
        <v>0</v>
      </c>
      <c r="CC22" s="101">
        <f>SUMIFS('9'!$E:$E,'9'!$A:$A,Año_Inicial+10,'9'!$B:$B,'12'!CB$4,'9'!$D:$D,"Aplicación de herbicida")</f>
        <v>0</v>
      </c>
      <c r="CD22" s="101">
        <f>((A11_A_L39*Malezas_A)+(A11_B_L39*Malezas_B)+(A11_C_L39*Malezas_C)+(A11_D_L39*Malezas_D)+(A11_Y_L39*Malezas_Y))*Inflación_11</f>
        <v>0</v>
      </c>
      <c r="CE22" s="101">
        <f>SUMIFS('9'!$E:$E,'9'!$A:$A,Año_Inicial+10,'9'!$B:$B,'12'!CD$4,'9'!$D:$D,"Aplicación de herbicida")</f>
        <v>0</v>
      </c>
      <c r="CF22" s="101">
        <f>((A11_A_L40*Malezas_A)+(A11_B_L40*Malezas_B)+(A11_C_L40*Malezas_C)+(A11_D_L40*Malezas_D)+(A11_Y_L40*Malezas_Y))*Inflación_11</f>
        <v>0</v>
      </c>
      <c r="CG22" s="101">
        <f>SUMIFS('9'!$E:$E,'9'!$A:$A,Año_Inicial+10,'9'!$B:$B,'12'!CF$4,'9'!$D:$D,"Aplicación de herbicida")</f>
        <v>0</v>
      </c>
      <c r="CH22" s="473"/>
      <c r="CI22" s="101">
        <f>Plantas_A_A11*Malezas_A*Inflación_11</f>
        <v>0</v>
      </c>
      <c r="CJ22" s="101">
        <f>Plantas_B_A11*Malezas_B</f>
        <v>0</v>
      </c>
      <c r="CK22" s="101">
        <f>Plantas_C_A11*Malezas_C</f>
        <v>0</v>
      </c>
      <c r="CL22" s="101">
        <f>Plantas_D_A11*Malezas_D</f>
        <v>0</v>
      </c>
      <c r="CM22" s="101"/>
      <c r="CN22" s="101">
        <f>Plantas_Y_A11*Malezas_Y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SUMIFS('9'!$E:$E,'9'!$A:$A,Año_Inicial+10,'9'!$D:$D,"Limpias manuales")</f>
        <v>0</v>
      </c>
      <c r="D23" s="100">
        <f t="shared" si="45"/>
        <v>0</v>
      </c>
      <c r="E23" s="473"/>
      <c r="F23" s="101">
        <f>((A11_A_L1*Limpias_A)+(A11_B_L1*Limpias_B)+(A11_C_L1*Limpias_C)+(A11_D_L1*Limpias_D)+(A11_Y_L1*Limpias_Y))*Inflación_11</f>
        <v>0</v>
      </c>
      <c r="G23" s="101">
        <f>SUMIFS('9'!$E:$E,'9'!$A:$A,Año_Inicial+10,'9'!$B:$B,'12'!F$4,'9'!$D:$D,"Limpias manuales")</f>
        <v>0</v>
      </c>
      <c r="H23" s="101">
        <f>((A11_A_L2*Limpias_A)+(A11_B_L2*Limpias_B)+(A11_C_L2*Limpias_C)+(A11_D_L2*Limpias_D)+(A11_Y_L2*Limpias_Y))*Inflación_11</f>
        <v>0</v>
      </c>
      <c r="I23" s="101">
        <f>SUMIFS('9'!$E:$E,'9'!$A:$A,Año_Inicial+10,'9'!$B:$B,'12'!H$4,'9'!$D:$D,"Limpias manuales")</f>
        <v>0</v>
      </c>
      <c r="J23" s="101">
        <f>((A11_A_L3*Limpias_A)+(A11_B_L3*Limpias_B)+(A11_C_L3*Limpias_C)+(A11_D_L3*Limpias_D)+(A11_Y_L3*Limpias_Y))*Inflación_11</f>
        <v>0</v>
      </c>
      <c r="K23" s="101">
        <f>SUMIFS('9'!$E:$E,'9'!$A:$A,Año_Inicial+10,'9'!$B:$B,'12'!J$4,'9'!$D:$D,"Limpias manuales")</f>
        <v>0</v>
      </c>
      <c r="L23" s="101">
        <f>((A11_A_L4*Limpias_A)+(A11_B_L4*Limpias_B)+(A11_C_L4*Limpias_C)+(A11_D_L4*Limpias_D)+(A11_Y_L4*Limpias_Y))*Inflación_11</f>
        <v>0</v>
      </c>
      <c r="M23" s="101">
        <f>SUMIFS('9'!$E:$E,'9'!$A:$A,Año_Inicial+10,'9'!$B:$B,'12'!L$4,'9'!$D:$D,"Limpias manuales")</f>
        <v>0</v>
      </c>
      <c r="N23" s="101">
        <f>((A11_A_L5*Limpias_A)+(A11_B_L5*Limpias_B)+(A11_C_L5*Limpias_C)+(A11_D_L5*Limpias_D)+(A11_Y_L5*Limpias_Y))*Inflación_11</f>
        <v>0</v>
      </c>
      <c r="O23" s="101">
        <f>SUMIFS('9'!$E:$E,'9'!$A:$A,Año_Inicial+10,'9'!$B:$B,'12'!N$4,'9'!$D:$D,"Limpias manuales")</f>
        <v>0</v>
      </c>
      <c r="P23" s="101">
        <f>((A11_A_L6*Limpias_A)+(A11_B_L6*Limpias_B)+(A11_C_L6*Limpias_C)+(A11_D_L6*Limpias_D)+(A11_Y_L6*Limpias_Y))*Inflación_11</f>
        <v>0</v>
      </c>
      <c r="Q23" s="101">
        <f>SUMIFS('9'!$E:$E,'9'!$A:$A,Año_Inicial+10,'9'!$B:$B,'12'!P$4,'9'!$D:$D,"Limpias manuales")</f>
        <v>0</v>
      </c>
      <c r="R23" s="101">
        <f>((A11_A_L7*Limpias_A)+(A11_B_L7*Limpias_B)+(A11_C_L7*Limpias_C)+(A11_D_L7*Limpias_D)+(A11_Y_L7*Limpias_Y))*Inflación_11</f>
        <v>0</v>
      </c>
      <c r="S23" s="101">
        <f>SUMIFS('9'!$E:$E,'9'!$A:$A,Año_Inicial+10,'9'!$B:$B,'12'!R$4,'9'!$D:$D,"Limpias manuales")</f>
        <v>0</v>
      </c>
      <c r="T23" s="101">
        <f>((A11_A_L8*Limpias_A)+(A11_B_L8*Limpias_B)+(A11_C_L8*Limpias_C)+(A11_D_L8*Limpias_D)+(A11_Y_L8*Limpias_Y))*Inflación_11</f>
        <v>0</v>
      </c>
      <c r="U23" s="101">
        <f>SUMIFS('9'!$E:$E,'9'!$A:$A,Año_Inicial+10,'9'!$B:$B,'12'!T$4,'9'!$D:$D,"Limpias manuales")</f>
        <v>0</v>
      </c>
      <c r="V23" s="101">
        <f>((A11_A_L9*Limpias_A)+(A11_B_L9*Limpias_B)+(A11_C_L9*Limpias_C)+(A11_D_L9*Limpias_D)+(A11_Y_L9*Limpias_Y))*Inflación_11</f>
        <v>0</v>
      </c>
      <c r="W23" s="101">
        <f>SUMIFS('9'!$E:$E,'9'!$A:$A,Año_Inicial+10,'9'!$B:$B,'12'!V$4,'9'!$D:$D,"Limpias manuales")</f>
        <v>0</v>
      </c>
      <c r="X23" s="101">
        <f>((A11_A_L10*Limpias_A)+(A11_B_L10*Limpias_B)+(A11_C_L10*Limpias_C)+(A11_D_L10*Limpias_D)+(A11_Y_L10*Limpias_Y))*Inflación_11</f>
        <v>0</v>
      </c>
      <c r="Y23" s="101">
        <f>SUMIFS('9'!$E:$E,'9'!$A:$A,Año_Inicial+10,'9'!$B:$B,'12'!X$4,'9'!$D:$D,"Limpias manuales")</f>
        <v>0</v>
      </c>
      <c r="Z23" s="101">
        <f>((A11_A_L11*Limpias_A)+(A11_B_L11*Limpias_B)+(A11_C_L11*Limpias_C)+(A11_D_L11*Limpias_D)+(A11_Y_L11*Limpias_Y))*Inflación_11</f>
        <v>0</v>
      </c>
      <c r="AA23" s="101">
        <f>SUMIFS('9'!$E:$E,'9'!$A:$A,Año_Inicial+10,'9'!$B:$B,'12'!Z$4,'9'!$D:$D,"Limpias manuales")</f>
        <v>0</v>
      </c>
      <c r="AB23" s="101">
        <f>((A11_A_L12*Limpias_A)+(A11_B_L12*Limpias_B)+(A11_C_L12*Limpias_C)+(A11_D_L12*Limpias_D)+(A11_Y_L12*Limpias_Y))*Inflación_11</f>
        <v>0</v>
      </c>
      <c r="AC23" s="101">
        <f>SUMIFS('9'!$E:$E,'9'!$A:$A,Año_Inicial+10,'9'!$B:$B,'12'!AB$4,'9'!$D:$D,"Limpias manuales")</f>
        <v>0</v>
      </c>
      <c r="AD23" s="101">
        <f>((A11_A_L13*Limpias_A)+(A11_B_L13*Limpias_B)+(A11_C_L13*Limpias_C)+(A11_D_L13*Limpias_D)+(A11_Y_L13*Limpias_Y))*Inflación_11</f>
        <v>0</v>
      </c>
      <c r="AE23" s="101">
        <f>SUMIFS('9'!$E:$E,'9'!$A:$A,Año_Inicial+10,'9'!$B:$B,'12'!AD$4,'9'!$D:$D,"Limpias manuales")</f>
        <v>0</v>
      </c>
      <c r="AF23" s="101">
        <f>((A11_A_L14*Limpias_A)+(A11_B_L14*Limpias_B)+(A11_C_L14*Limpias_C)+(A11_D_L14*Limpias_D)+(A11_Y_L14*Limpias_Y))*Inflación_11</f>
        <v>0</v>
      </c>
      <c r="AG23" s="101">
        <f>SUMIFS('9'!$E:$E,'9'!$A:$A,Año_Inicial+10,'9'!$B:$B,'12'!AF$4,'9'!$D:$D,"Limpias manuales")</f>
        <v>0</v>
      </c>
      <c r="AH23" s="101">
        <f>((A11_A_L15*Limpias_A)+(A11_B_L15*Limpias_B)+(A11_C_L15*Limpias_C)+(A11_D_L15*Limpias_D)+(A11_Y_L15*Limpias_Y))*Inflación_11</f>
        <v>0</v>
      </c>
      <c r="AI23" s="101">
        <f>SUMIFS('9'!$E:$E,'9'!$A:$A,Año_Inicial+10,'9'!$B:$B,'12'!AH$4,'9'!$D:$D,"Limpias manuales")</f>
        <v>0</v>
      </c>
      <c r="AJ23" s="101">
        <f>((A11_A_L16*Limpias_A)+(A11_B_L16*Limpias_B)+(A11_C_L16*Limpias_C)+(A11_D_L16*Limpias_D)+(A11_Y_L16*Limpias_Y))*Inflación_11</f>
        <v>0</v>
      </c>
      <c r="AK23" s="101">
        <f>SUMIFS('9'!$E:$E,'9'!$A:$A,Año_Inicial+10,'9'!$B:$B,'12'!AJ$4,'9'!$D:$D,"Limpias manuales")</f>
        <v>0</v>
      </c>
      <c r="AL23" s="101">
        <f>((A11_A_L17*Limpias_A)+(A11_B_L17*Limpias_B)+(A11_C_L17*Limpias_C)+(A11_D_L17*Limpias_D)+(A11_Y_L17*Limpias_Y))*Inflación_11</f>
        <v>0</v>
      </c>
      <c r="AM23" s="101">
        <f>SUMIFS('9'!$E:$E,'9'!$A:$A,Año_Inicial+10,'9'!$B:$B,'12'!AL$4,'9'!$D:$D,"Limpias manuales")</f>
        <v>0</v>
      </c>
      <c r="AN23" s="101">
        <f>((A11_A_L18*Limpias_A)+(A11_B_L18*Limpias_B)+(A11_C_L18*Limpias_C)+(A11_D_L18*Limpias_D)+(A11_Y_L18*Limpias_Y))*Inflación_11</f>
        <v>0</v>
      </c>
      <c r="AO23" s="101">
        <f>SUMIFS('9'!$E:$E,'9'!$A:$A,Año_Inicial+10,'9'!$B:$B,'12'!AN$4,'9'!$D:$D,"Limpias manuales")</f>
        <v>0</v>
      </c>
      <c r="AP23" s="101">
        <f>((A11_A_L19*Limpias_A)+(A11_B_L19*Limpias_B)+(A11_C_L19*Limpias_C)+(A11_D_L19*Limpias_D)+(A11_Y_L19*Limpias_Y))*Inflación_11</f>
        <v>0</v>
      </c>
      <c r="AQ23" s="101">
        <f>SUMIFS('9'!$E:$E,'9'!$A:$A,Año_Inicial+10,'9'!$B:$B,'12'!AP$4,'9'!$D:$D,"Limpias manuales")</f>
        <v>0</v>
      </c>
      <c r="AR23" s="101">
        <f>((A11_A_L20*Limpias_A)+(A11_B_L20*Limpias_B)+(A11_C_L20*Limpias_C)+(A11_D_L20*Limpias_D)+(A11_Y_L20*Limpias_Y))*Inflación_11</f>
        <v>0</v>
      </c>
      <c r="AS23" s="101">
        <f>SUMIFS('9'!$E:$E,'9'!$A:$A,Año_Inicial+10,'9'!$B:$B,'12'!AR$4,'9'!$D:$D,"Limpias manuales")</f>
        <v>0</v>
      </c>
      <c r="AT23" s="101">
        <f>((A11_A_L21*Limpias_A)+(A11_B_L21*Limpias_B)+(A11_C_L21*Limpias_C)+(A11_D_L21*Limpias_D)+(A11_Y_L21*Limpias_Y))*Inflación_11</f>
        <v>0</v>
      </c>
      <c r="AU23" s="101">
        <f>SUMIFS('9'!$E:$E,'9'!$A:$A,Año_Inicial+10,'9'!$B:$B,'12'!AT$4,'9'!$D:$D,"Limpias manuales")</f>
        <v>0</v>
      </c>
      <c r="AV23" s="101">
        <f>((A11_A_L22*Limpias_A)+(A11_B_L22*Limpias_B)+(A11_C_L22*Limpias_C)+(A11_D_L22*Limpias_D)+(A11_Y_L22*Limpias_Y))*Inflación_11</f>
        <v>0</v>
      </c>
      <c r="AW23" s="101">
        <f>SUMIFS('9'!$E:$E,'9'!$A:$A,Año_Inicial+10,'9'!$B:$B,'12'!AV$4,'9'!$D:$D,"Limpias manuales")</f>
        <v>0</v>
      </c>
      <c r="AX23" s="101">
        <f>((A11_A_L23*Limpias_A)+(A11_B_L23*Limpias_B)+(A11_C_L23*Limpias_C)+(A11_D_L23*Limpias_D)+(A11_Y_L23*Limpias_Y))*Inflación_11</f>
        <v>0</v>
      </c>
      <c r="AY23" s="101">
        <f>SUMIFS('9'!$E:$E,'9'!$A:$A,Año_Inicial+10,'9'!$B:$B,'12'!AX$4,'9'!$D:$D,"Limpias manuales")</f>
        <v>0</v>
      </c>
      <c r="AZ23" s="101">
        <f>((A11_A_L24*Limpias_A)+(A11_B_L24*Limpias_B)+(A11_C_L24*Limpias_C)+(A11_D_L24*Limpias_D)+(A11_Y_L24*Limpias_Y))*Inflación_11</f>
        <v>0</v>
      </c>
      <c r="BA23" s="101">
        <f>SUMIFS('9'!$E:$E,'9'!$A:$A,Año_Inicial+10,'9'!$B:$B,'12'!AZ$4,'9'!$D:$D,"Limpias manuales")</f>
        <v>0</v>
      </c>
      <c r="BB23" s="101">
        <f>((A11_A_L25*Limpias_A)+(A11_B_L25*Limpias_B)+(A11_C_L25*Limpias_C)+(A11_D_L25*Limpias_D)+(A11_Y_L25*Limpias_Y))*Inflación_11</f>
        <v>0</v>
      </c>
      <c r="BC23" s="101">
        <f>SUMIFS('9'!$E:$E,'9'!$A:$A,Año_Inicial+10,'9'!$B:$B,'12'!BB$4,'9'!$D:$D,"Limpias manuales")</f>
        <v>0</v>
      </c>
      <c r="BD23" s="101">
        <f>((A11_A_L26*Limpias_A)+(A11_B_L26*Limpias_B)+(A11_C_L26*Limpias_C)+(A11_D_L26*Limpias_D)+(A11_Y_L26*Limpias_Y))*Inflación_11</f>
        <v>0</v>
      </c>
      <c r="BE23" s="101">
        <f>SUMIFS('9'!$E:$E,'9'!$A:$A,Año_Inicial+10,'9'!$B:$B,'12'!BD$4,'9'!$D:$D,"Limpias manuales")</f>
        <v>0</v>
      </c>
      <c r="BF23" s="101">
        <f>((A11_A_L27*Limpias_A)+(A11_B_L27*Limpias_B)+(A11_C_L27*Limpias_C)+(A11_D_L27*Limpias_D)+(A11_Y_L27*Limpias_Y))*Inflación_11</f>
        <v>0</v>
      </c>
      <c r="BG23" s="101">
        <f>SUMIFS('9'!$E:$E,'9'!$A:$A,Año_Inicial+10,'9'!$B:$B,'12'!BF$4,'9'!$D:$D,"Limpias manuales")</f>
        <v>0</v>
      </c>
      <c r="BH23" s="101">
        <f>((A11_A_L28*Limpias_A)+(A11_B_L28*Limpias_B)+(A11_C_L28*Limpias_C)+(A11_D_L28*Limpias_D)+(A11_Y_L28*Limpias_Y))*Inflación_11</f>
        <v>0</v>
      </c>
      <c r="BI23" s="101">
        <f>SUMIFS('9'!$E:$E,'9'!$A:$A,Año_Inicial+10,'9'!$B:$B,'12'!BH$4,'9'!$D:$D,"Limpias manuales")</f>
        <v>0</v>
      </c>
      <c r="BJ23" s="101">
        <f>((A11_A_L29*Limpias_A)+(A11_B_L29*Limpias_B)+(A11_C_L29*Limpias_C)+(A11_D_L29*Limpias_D)+(A11_Y_L29*Limpias_Y))*Inflación_11</f>
        <v>0</v>
      </c>
      <c r="BK23" s="101">
        <f>SUMIFS('9'!$E:$E,'9'!$A:$A,Año_Inicial+10,'9'!$B:$B,'12'!BJ$4,'9'!$D:$D,"Limpias manuales")</f>
        <v>0</v>
      </c>
      <c r="BL23" s="101">
        <f>((A11_A_L30*Limpias_A)+(A11_B_L30*Limpias_B)+(A11_C_L30*Limpias_C)+(A11_D_L30*Limpias_D)+(A11_Y_L30*Limpias_Y))*Inflación_11</f>
        <v>0</v>
      </c>
      <c r="BM23" s="101">
        <f>SUMIFS('9'!$E:$E,'9'!$A:$A,Año_Inicial+10,'9'!$B:$B,'12'!BL$4,'9'!$D:$D,"Limpias manuales")</f>
        <v>0</v>
      </c>
      <c r="BN23" s="101">
        <f>((A11_A_L31*Limpias_A)+(A11_B_L31*Limpias_B)+(A11_C_L31*Limpias_C)+(A11_D_L31*Limpias_D)+(A11_Y_L31*Limpias_Y))*Inflación_11</f>
        <v>0</v>
      </c>
      <c r="BO23" s="101">
        <f>SUMIFS('9'!$E:$E,'9'!$A:$A,Año_Inicial+10,'9'!$B:$B,'12'!BN$4,'9'!$D:$D,"Limpias manuales")</f>
        <v>0</v>
      </c>
      <c r="BP23" s="101">
        <f>((A11_A_L32*Limpias_A)+(A11_B_L32*Limpias_B)+(A11_C_L32*Limpias_C)+(A11_D_L32*Limpias_D)+(A11_Y_L32*Limpias_Y))*Inflación_11</f>
        <v>0</v>
      </c>
      <c r="BQ23" s="101">
        <f>SUMIFS('9'!$E:$E,'9'!$A:$A,Año_Inicial+10,'9'!$B:$B,'12'!BP$4,'9'!$D:$D,"Limpias manuales")</f>
        <v>0</v>
      </c>
      <c r="BR23" s="101">
        <f>((A11_A_L33*Limpias_A)+(A11_B_L33*Limpias_B)+(A11_C_L33*Limpias_C)+(A11_D_L33*Limpias_D)+(A11_Y_L33*Limpias_Y))*Inflación_11</f>
        <v>0</v>
      </c>
      <c r="BS23" s="101">
        <f>SUMIFS('9'!$E:$E,'9'!$A:$A,Año_Inicial+10,'9'!$B:$B,'12'!BR$4,'9'!$D:$D,"Limpias manuales")</f>
        <v>0</v>
      </c>
      <c r="BT23" s="101">
        <f>((A11_A_L34*Limpias_A)+(A11_B_L34*Limpias_B)+(A11_C_L34*Limpias_C)+(A11_D_L34*Limpias_D)+(A11_Y_L34*Limpias_Y))*Inflación_11</f>
        <v>0</v>
      </c>
      <c r="BU23" s="101">
        <f>SUMIFS('9'!$E:$E,'9'!$A:$A,Año_Inicial+10,'9'!$B:$B,'12'!BT$4,'9'!$D:$D,"Limpias manuales")</f>
        <v>0</v>
      </c>
      <c r="BV23" s="101">
        <f>((A11_A_L35*Limpias_A)+(A11_B_L35*Limpias_B)+(A11_C_L35*Limpias_C)+(A11_D_L35*Limpias_D)+(A11_Y_L35*Limpias_Y))*Inflación_11</f>
        <v>0</v>
      </c>
      <c r="BW23" s="101">
        <f>SUMIFS('9'!$E:$E,'9'!$A:$A,Año_Inicial+10,'9'!$B:$B,'12'!BV$4,'9'!$D:$D,"Limpias manuales")</f>
        <v>0</v>
      </c>
      <c r="BX23" s="101">
        <f>((A11_A_L36*Limpias_A)+(A11_B_L36*Limpias_B)+(A11_C_L36*Limpias_C)+(A11_D_L36*Limpias_D)+(A11_Y_L36*Limpias_Y))*Inflación_11</f>
        <v>0</v>
      </c>
      <c r="BY23" s="101">
        <f>SUMIFS('9'!$E:$E,'9'!$A:$A,Año_Inicial+10,'9'!$B:$B,'12'!BX$4,'9'!$D:$D,"Limpias manuales")</f>
        <v>0</v>
      </c>
      <c r="BZ23" s="101">
        <f>((A11_A_L37*Limpias_A)+(A11_B_L37*Limpias_B)+(A11_C_L37*Limpias_C)+(A11_D_L37*Limpias_D)+(A11_Y_L37*Limpias_Y))*Inflación_11</f>
        <v>0</v>
      </c>
      <c r="CA23" s="101">
        <f>SUMIFS('9'!$E:$E,'9'!$A:$A,Año_Inicial+10,'9'!$B:$B,'12'!BZ$4,'9'!$D:$D,"Limpias manuales")</f>
        <v>0</v>
      </c>
      <c r="CB23" s="101">
        <f>((A11_A_L38*Limpias_A)+(A11_B_L38*Limpias_B)+(A11_C_L38*Limpias_C)+(A11_D_L38*Limpias_D)+(A11_Y_L38*Limpias_Y))*Inflación_11</f>
        <v>0</v>
      </c>
      <c r="CC23" s="101">
        <f>SUMIFS('9'!$E:$E,'9'!$A:$A,Año_Inicial+10,'9'!$B:$B,'12'!CB$4,'9'!$D:$D,"Limpias manuales")</f>
        <v>0</v>
      </c>
      <c r="CD23" s="101">
        <f>((A11_A_L39*Limpias_A)+(A11_B_L39*Limpias_B)+(A11_C_L39*Limpias_C)+(A11_D_L39*Limpias_D)+(A11_Y_L39*Limpias_Y))*Inflación_11</f>
        <v>0</v>
      </c>
      <c r="CE23" s="101">
        <f>SUMIFS('9'!$E:$E,'9'!$A:$A,Año_Inicial+10,'9'!$B:$B,'12'!CD$4,'9'!$D:$D,"Limpias manuales")</f>
        <v>0</v>
      </c>
      <c r="CF23" s="101">
        <f>((A11_A_L40*Limpias_A)+(A11_B_L40*Limpias_B)+(A11_C_L40*Limpias_C)+(A11_D_L40*Limpias_D)+(A11_Y_L40*Limpias_Y))*Inflación_11</f>
        <v>0</v>
      </c>
      <c r="CG23" s="101">
        <f>SUMIFS('9'!$E:$E,'9'!$A:$A,Año_Inicial+10,'9'!$B:$B,'12'!CF$4,'9'!$D:$D,"Limpias manuales")</f>
        <v>0</v>
      </c>
      <c r="CH23" s="473"/>
      <c r="CI23" s="101">
        <f>Plantas_A_A11*Limpias_A*Inflación_11</f>
        <v>0</v>
      </c>
      <c r="CJ23" s="101">
        <f>Plantas_B_A11*Limpias_B</f>
        <v>0</v>
      </c>
      <c r="CK23" s="101">
        <f>Plantas_C_A11*Limpias_C</f>
        <v>0</v>
      </c>
      <c r="CL23" s="101">
        <f>Plantas_D_A11*Limpias_D</f>
        <v>0</v>
      </c>
      <c r="CM23" s="101"/>
      <c r="CN23" s="101">
        <f>Plantas_Y_A11*Limpias_Y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SUMIFS('9'!$E:$E,'9'!$A:$A,Año_Inicial+10,'9'!$D:$D,"Herbicida")</f>
        <v>0</v>
      </c>
      <c r="D24" s="100">
        <f t="shared" si="45"/>
        <v>0</v>
      </c>
      <c r="E24" s="473"/>
      <c r="F24" s="101">
        <f>((A11_A_L1*Herbicida_A)+(A11_B_L1*Herbicida_B)+(A11_C_L1*Herbicida_C)+(A11_D_L1*Herbicida_D)+(A11_Y_L1*Herbicida_Y))*Inflación_11</f>
        <v>0</v>
      </c>
      <c r="G24" s="101">
        <f>SUMIFS('9'!$E:$E,'9'!$A:$A,Año_Inicial+10,'9'!$B:$B,'12'!F$4,'9'!$D:$D,"Herbicida")</f>
        <v>0</v>
      </c>
      <c r="H24" s="101">
        <f>((A11_A_L2*Herbicida_A)+(A11_B_L2*Herbicida_B)+(A11_C_L2*Herbicida_C)+(A11_D_L2*Herbicida_D)+(A11_Y_L2*Herbicida_Y))*Inflación_11</f>
        <v>0</v>
      </c>
      <c r="I24" s="101">
        <f>SUMIFS('9'!$E:$E,'9'!$A:$A,Año_Inicial+10,'9'!$B:$B,'12'!H$4,'9'!$D:$D,"Herbicida")</f>
        <v>0</v>
      </c>
      <c r="J24" s="101">
        <f>((A11_A_L3*Herbicida_A)+(A11_B_L3*Herbicida_B)+(A11_C_L3*Herbicida_C)+(A11_D_L3*Herbicida_D)+(A11_Y_L3*Herbicida_Y))*Inflación_11</f>
        <v>0</v>
      </c>
      <c r="K24" s="101">
        <f>SUMIFS('9'!$E:$E,'9'!$A:$A,Año_Inicial+10,'9'!$B:$B,'12'!J$4,'9'!$D:$D,"Herbicida")</f>
        <v>0</v>
      </c>
      <c r="L24" s="101">
        <f>((A11_A_L4*Herbicida_A)+(A11_B_L4*Herbicida_B)+(A11_C_L4*Herbicida_C)+(A11_D_L4*Herbicida_D)+(A11_Y_L4*Herbicida_Y))*Inflación_11</f>
        <v>0</v>
      </c>
      <c r="M24" s="101">
        <f>SUMIFS('9'!$E:$E,'9'!$A:$A,Año_Inicial+10,'9'!$B:$B,'12'!L$4,'9'!$D:$D,"Herbicida")</f>
        <v>0</v>
      </c>
      <c r="N24" s="101">
        <f>((A11_A_L5*Herbicida_A)+(A11_B_L5*Herbicida_B)+(A11_C_L5*Herbicida_C)+(A11_D_L5*Herbicida_D)+(A11_Y_L5*Herbicida_Y))*Inflación_11</f>
        <v>0</v>
      </c>
      <c r="O24" s="101">
        <f>SUMIFS('9'!$E:$E,'9'!$A:$A,Año_Inicial+10,'9'!$B:$B,'12'!N$4,'9'!$D:$D,"Herbicida")</f>
        <v>0</v>
      </c>
      <c r="P24" s="101">
        <f>((A11_A_L6*Herbicida_A)+(A11_B_L6*Herbicida_B)+(A11_C_L6*Herbicida_C)+(A11_D_L6*Herbicida_D)+(A11_Y_L6*Herbicida_Y))*Inflación_11</f>
        <v>0</v>
      </c>
      <c r="Q24" s="101">
        <f>SUMIFS('9'!$E:$E,'9'!$A:$A,Año_Inicial+10,'9'!$B:$B,'12'!P$4,'9'!$D:$D,"Herbicida")</f>
        <v>0</v>
      </c>
      <c r="R24" s="101">
        <f>((A11_A_L7*Herbicida_A)+(A11_B_L7*Herbicida_B)+(A11_C_L7*Herbicida_C)+(A11_D_L7*Herbicida_D)+(A11_Y_L7*Herbicida_Y))*Inflación_11</f>
        <v>0</v>
      </c>
      <c r="S24" s="101">
        <f>SUMIFS('9'!$E:$E,'9'!$A:$A,Año_Inicial+10,'9'!$B:$B,'12'!R$4,'9'!$D:$D,"Herbicida")</f>
        <v>0</v>
      </c>
      <c r="T24" s="101">
        <f>((A11_A_L8*Herbicida_A)+(A11_B_L8*Herbicida_B)+(A11_C_L8*Herbicida_C)+(A11_D_L8*Herbicida_D)+(A11_Y_L8*Herbicida_Y))*Inflación_11</f>
        <v>0</v>
      </c>
      <c r="U24" s="101">
        <f>SUMIFS('9'!$E:$E,'9'!$A:$A,Año_Inicial+10,'9'!$B:$B,'12'!T$4,'9'!$D:$D,"Herbicida")</f>
        <v>0</v>
      </c>
      <c r="V24" s="101">
        <f>((A11_A_L9*Herbicida_A)+(A11_B_L9*Herbicida_B)+(A11_C_L9*Herbicida_C)+(A11_D_L9*Herbicida_D)+(A11_Y_L9*Herbicida_Y))*Inflación_11</f>
        <v>0</v>
      </c>
      <c r="W24" s="101">
        <f>SUMIFS('9'!$E:$E,'9'!$A:$A,Año_Inicial+10,'9'!$B:$B,'12'!V$4,'9'!$D:$D,"Herbicida")</f>
        <v>0</v>
      </c>
      <c r="X24" s="101">
        <f>((A11_A_L10*Herbicida_A)+(A11_B_L10*Herbicida_B)+(A11_C_L10*Herbicida_C)+(A11_D_L10*Herbicida_D)+(A11_Y_L10*Herbicida_Y))*Inflación_11</f>
        <v>0</v>
      </c>
      <c r="Y24" s="101">
        <f>SUMIFS('9'!$E:$E,'9'!$A:$A,Año_Inicial+10,'9'!$B:$B,'12'!X$4,'9'!$D:$D,"Herbicida")</f>
        <v>0</v>
      </c>
      <c r="Z24" s="101">
        <f>((A11_A_L11*Herbicida_A)+(A11_B_L11*Herbicida_B)+(A11_C_L11*Herbicida_C)+(A11_D_L11*Herbicida_D)+(A11_Y_L11*Herbicida_Y))*Inflación_11</f>
        <v>0</v>
      </c>
      <c r="AA24" s="101">
        <f>SUMIFS('9'!$E:$E,'9'!$A:$A,Año_Inicial+10,'9'!$B:$B,'12'!Z$4,'9'!$D:$D,"Herbicida")</f>
        <v>0</v>
      </c>
      <c r="AB24" s="101">
        <f>((A11_A_L12*Herbicida_A)+(A11_B_L12*Herbicida_B)+(A11_C_L12*Herbicida_C)+(A11_D_L12*Herbicida_D)+(A11_Y_L12*Herbicida_Y))*Inflación_11</f>
        <v>0</v>
      </c>
      <c r="AC24" s="101">
        <f>SUMIFS('9'!$E:$E,'9'!$A:$A,Año_Inicial+10,'9'!$B:$B,'12'!AB$4,'9'!$D:$D,"Herbicida")</f>
        <v>0</v>
      </c>
      <c r="AD24" s="101">
        <f>((A11_A_L13*Herbicida_A)+(A11_B_L13*Herbicida_B)+(A11_C_L13*Herbicida_C)+(A11_D_L13*Herbicida_D)+(A11_Y_L13*Herbicida_Y))*Inflación_11</f>
        <v>0</v>
      </c>
      <c r="AE24" s="101">
        <f>SUMIFS('9'!$E:$E,'9'!$A:$A,Año_Inicial+10,'9'!$B:$B,'12'!AD$4,'9'!$D:$D,"Herbicida")</f>
        <v>0</v>
      </c>
      <c r="AF24" s="101">
        <f>((A11_A_L14*Herbicida_A)+(A11_B_L14*Herbicida_B)+(A11_C_L14*Herbicida_C)+(A11_D_L14*Herbicida_D)+(A11_Y_L14*Herbicida_Y))*Inflación_11</f>
        <v>0</v>
      </c>
      <c r="AG24" s="101">
        <f>SUMIFS('9'!$E:$E,'9'!$A:$A,Año_Inicial+10,'9'!$B:$B,'12'!AF$4,'9'!$D:$D,"Herbicida")</f>
        <v>0</v>
      </c>
      <c r="AH24" s="101">
        <f>((A11_A_L15*Herbicida_A)+(A11_B_L15*Herbicida_B)+(A11_C_L15*Herbicida_C)+(A11_D_L15*Herbicida_D)+(A11_Y_L15*Herbicida_Y))*Inflación_11</f>
        <v>0</v>
      </c>
      <c r="AI24" s="101">
        <f>SUMIFS('9'!$E:$E,'9'!$A:$A,Año_Inicial+10,'9'!$B:$B,'12'!AH$4,'9'!$D:$D,"Herbicida")</f>
        <v>0</v>
      </c>
      <c r="AJ24" s="101">
        <f>((A11_A_L16*Herbicida_A)+(A11_B_L16*Herbicida_B)+(A11_C_L16*Herbicida_C)+(A11_D_L16*Herbicida_D)+(A11_Y_L16*Herbicida_Y))*Inflación_11</f>
        <v>0</v>
      </c>
      <c r="AK24" s="101">
        <f>SUMIFS('9'!$E:$E,'9'!$A:$A,Año_Inicial+10,'9'!$B:$B,'12'!AJ$4,'9'!$D:$D,"Herbicida")</f>
        <v>0</v>
      </c>
      <c r="AL24" s="101">
        <f>((A11_A_L17*Herbicida_A)+(A11_B_L17*Herbicida_B)+(A11_C_L17*Herbicida_C)+(A11_D_L17*Herbicida_D)+(A11_Y_L17*Herbicida_Y))*Inflación_11</f>
        <v>0</v>
      </c>
      <c r="AM24" s="101">
        <f>SUMIFS('9'!$E:$E,'9'!$A:$A,Año_Inicial+10,'9'!$B:$B,'12'!AL$4,'9'!$D:$D,"Herbicida")</f>
        <v>0</v>
      </c>
      <c r="AN24" s="101">
        <f>((A11_A_L18*Herbicida_A)+(A11_B_L18*Herbicida_B)+(A11_C_L18*Herbicida_C)+(A11_D_L18*Herbicida_D)+(A11_Y_L18*Herbicida_Y))*Inflación_11</f>
        <v>0</v>
      </c>
      <c r="AO24" s="101">
        <f>SUMIFS('9'!$E:$E,'9'!$A:$A,Año_Inicial+10,'9'!$B:$B,'12'!AN$4,'9'!$D:$D,"Herbicida")</f>
        <v>0</v>
      </c>
      <c r="AP24" s="101">
        <f>((A11_A_L19*Herbicida_A)+(A11_B_L19*Herbicida_B)+(A11_C_L19*Herbicida_C)+(A11_D_L19*Herbicida_D)+(A11_Y_L19*Herbicida_Y))*Inflación_11</f>
        <v>0</v>
      </c>
      <c r="AQ24" s="101">
        <f>SUMIFS('9'!$E:$E,'9'!$A:$A,Año_Inicial+10,'9'!$B:$B,'12'!AP$4,'9'!$D:$D,"Herbicida")</f>
        <v>0</v>
      </c>
      <c r="AR24" s="101">
        <f>((A11_A_L20*Herbicida_A)+(A11_B_L20*Herbicida_B)+(A11_C_L20*Herbicida_C)+(A11_D_L20*Herbicida_D)+(A11_Y_L20*Herbicida_Y))*Inflación_11</f>
        <v>0</v>
      </c>
      <c r="AS24" s="101">
        <f>SUMIFS('9'!$E:$E,'9'!$A:$A,Año_Inicial+10,'9'!$B:$B,'12'!AR$4,'9'!$D:$D,"Herbicida")</f>
        <v>0</v>
      </c>
      <c r="AT24" s="101">
        <f>((A11_A_L21*Herbicida_A)+(A11_B_L21*Herbicida_B)+(A11_C_L21*Herbicida_C)+(A11_D_L21*Herbicida_D)+(A11_Y_L21*Herbicida_Y))*Inflación_11</f>
        <v>0</v>
      </c>
      <c r="AU24" s="101">
        <f>SUMIFS('9'!$E:$E,'9'!$A:$A,Año_Inicial+10,'9'!$B:$B,'12'!AT$4,'9'!$D:$D,"Herbicida")</f>
        <v>0</v>
      </c>
      <c r="AV24" s="101">
        <f>((A11_A_L22*Herbicida_A)+(A11_B_L22*Herbicida_B)+(A11_C_L22*Herbicida_C)+(A11_D_L22*Herbicida_D)+(A11_Y_L22*Herbicida_Y))*Inflación_11</f>
        <v>0</v>
      </c>
      <c r="AW24" s="101">
        <f>SUMIFS('9'!$E:$E,'9'!$A:$A,Año_Inicial+10,'9'!$B:$B,'12'!AV$4,'9'!$D:$D,"Herbicida")</f>
        <v>0</v>
      </c>
      <c r="AX24" s="101">
        <f>((A11_A_L23*Herbicida_A)+(A11_B_L23*Herbicida_B)+(A11_C_L23*Herbicida_C)+(A11_D_L23*Herbicida_D)+(A11_Y_L23*Herbicida_Y))*Inflación_11</f>
        <v>0</v>
      </c>
      <c r="AY24" s="101">
        <f>SUMIFS('9'!$E:$E,'9'!$A:$A,Año_Inicial+10,'9'!$B:$B,'12'!AX$4,'9'!$D:$D,"Herbicida")</f>
        <v>0</v>
      </c>
      <c r="AZ24" s="101">
        <f>((A11_A_L24*Herbicida_A)+(A11_B_L24*Herbicida_B)+(A11_C_L24*Herbicida_C)+(A11_D_L24*Herbicida_D)+(A11_Y_L24*Herbicida_Y))*Inflación_11</f>
        <v>0</v>
      </c>
      <c r="BA24" s="101">
        <f>SUMIFS('9'!$E:$E,'9'!$A:$A,Año_Inicial+10,'9'!$B:$B,'12'!AZ$4,'9'!$D:$D,"Herbicida")</f>
        <v>0</v>
      </c>
      <c r="BB24" s="101">
        <f>((A11_A_L25*Herbicida_A)+(A11_B_L25*Herbicida_B)+(A11_C_L25*Herbicida_C)+(A11_D_L25*Herbicida_D)+(A11_Y_L25*Herbicida_Y))*Inflación_11</f>
        <v>0</v>
      </c>
      <c r="BC24" s="101">
        <f>SUMIFS('9'!$E:$E,'9'!$A:$A,Año_Inicial+10,'9'!$B:$B,'12'!BB$4,'9'!$D:$D,"Herbicida")</f>
        <v>0</v>
      </c>
      <c r="BD24" s="101">
        <f>((A11_A_L26*Herbicida_A)+(A11_B_L26*Herbicida_B)+(A11_C_L26*Herbicida_C)+(A11_D_L26*Herbicida_D)+(A11_Y_L26*Herbicida_Y))*Inflación_11</f>
        <v>0</v>
      </c>
      <c r="BE24" s="101">
        <f>SUMIFS('9'!$E:$E,'9'!$A:$A,Año_Inicial+10,'9'!$B:$B,'12'!BD$4,'9'!$D:$D,"Herbicida")</f>
        <v>0</v>
      </c>
      <c r="BF24" s="101">
        <f>((A11_A_L27*Herbicida_A)+(A11_B_L27*Herbicida_B)+(A11_C_L27*Herbicida_C)+(A11_D_L27*Herbicida_D)+(A11_Y_L27*Herbicida_Y))*Inflación_11</f>
        <v>0</v>
      </c>
      <c r="BG24" s="101">
        <f>SUMIFS('9'!$E:$E,'9'!$A:$A,Año_Inicial+10,'9'!$B:$B,'12'!BF$4,'9'!$D:$D,"Herbicida")</f>
        <v>0</v>
      </c>
      <c r="BH24" s="101">
        <f>((A11_A_L28*Herbicida_A)+(A11_B_L28*Herbicida_B)+(A11_C_L28*Herbicida_C)+(A11_D_L28*Herbicida_D)+(A11_Y_L28*Herbicida_Y))*Inflación_11</f>
        <v>0</v>
      </c>
      <c r="BI24" s="101">
        <f>SUMIFS('9'!$E:$E,'9'!$A:$A,Año_Inicial+10,'9'!$B:$B,'12'!BH$4,'9'!$D:$D,"Herbicida")</f>
        <v>0</v>
      </c>
      <c r="BJ24" s="101">
        <f>((A11_A_L29*Herbicida_A)+(A11_B_L29*Herbicida_B)+(A11_C_L29*Herbicida_C)+(A11_D_L29*Herbicida_D)+(A11_Y_L29*Herbicida_Y))*Inflación_11</f>
        <v>0</v>
      </c>
      <c r="BK24" s="101">
        <f>SUMIFS('9'!$E:$E,'9'!$A:$A,Año_Inicial+10,'9'!$B:$B,'12'!BJ$4,'9'!$D:$D,"Herbicida")</f>
        <v>0</v>
      </c>
      <c r="BL24" s="101">
        <f>((A11_A_L30*Herbicida_A)+(A11_B_L30*Herbicida_B)+(A11_C_L30*Herbicida_C)+(A11_D_L30*Herbicida_D)+(A11_Y_L30*Herbicida_Y))*Inflación_11</f>
        <v>0</v>
      </c>
      <c r="BM24" s="101">
        <f>SUMIFS('9'!$E:$E,'9'!$A:$A,Año_Inicial+10,'9'!$B:$B,'12'!BL$4,'9'!$D:$D,"Herbicida")</f>
        <v>0</v>
      </c>
      <c r="BN24" s="101">
        <f>((A11_A_L31*Herbicida_A)+(A11_B_L31*Herbicida_B)+(A11_C_L31*Herbicida_C)+(A11_D_L31*Herbicida_D)+(A11_Y_L31*Herbicida_Y))*Inflación_11</f>
        <v>0</v>
      </c>
      <c r="BO24" s="101">
        <f>SUMIFS('9'!$E:$E,'9'!$A:$A,Año_Inicial+10,'9'!$B:$B,'12'!BN$4,'9'!$D:$D,"Herbicida")</f>
        <v>0</v>
      </c>
      <c r="BP24" s="101">
        <f>((A11_A_L32*Herbicida_A)+(A11_B_L32*Herbicida_B)+(A11_C_L32*Herbicida_C)+(A11_D_L32*Herbicida_D)+(A11_Y_L32*Herbicida_Y))*Inflación_11</f>
        <v>0</v>
      </c>
      <c r="BQ24" s="101">
        <f>SUMIFS('9'!$E:$E,'9'!$A:$A,Año_Inicial+10,'9'!$B:$B,'12'!BP$4,'9'!$D:$D,"Herbicida")</f>
        <v>0</v>
      </c>
      <c r="BR24" s="101">
        <f>((A11_A_L33*Herbicida_A)+(A11_B_L33*Herbicida_B)+(A11_C_L33*Herbicida_C)+(A11_D_L33*Herbicida_D)+(A11_Y_L33*Herbicida_Y))*Inflación_11</f>
        <v>0</v>
      </c>
      <c r="BS24" s="101">
        <f>SUMIFS('9'!$E:$E,'9'!$A:$A,Año_Inicial+10,'9'!$B:$B,'12'!BR$4,'9'!$D:$D,"Herbicida")</f>
        <v>0</v>
      </c>
      <c r="BT24" s="101">
        <f>((A11_A_L34*Herbicida_A)+(A11_B_L34*Herbicida_B)+(A11_C_L34*Herbicida_C)+(A11_D_L34*Herbicida_D)+(A11_Y_L34*Herbicida_Y))*Inflación_11</f>
        <v>0</v>
      </c>
      <c r="BU24" s="101">
        <f>SUMIFS('9'!$E:$E,'9'!$A:$A,Año_Inicial+10,'9'!$B:$B,'12'!BT$4,'9'!$D:$D,"Herbicida")</f>
        <v>0</v>
      </c>
      <c r="BV24" s="101">
        <f>((A11_A_L35*Herbicida_A)+(A11_B_L35*Herbicida_B)+(A11_C_L35*Herbicida_C)+(A11_D_L35*Herbicida_D)+(A11_Y_L35*Herbicida_Y))*Inflación_11</f>
        <v>0</v>
      </c>
      <c r="BW24" s="101">
        <f>SUMIFS('9'!$E:$E,'9'!$A:$A,Año_Inicial+10,'9'!$B:$B,'12'!BV$4,'9'!$D:$D,"Herbicida")</f>
        <v>0</v>
      </c>
      <c r="BX24" s="101">
        <f>((A11_A_L36*Herbicida_A)+(A11_B_L36*Herbicida_B)+(A11_C_L36*Herbicida_C)+(A11_D_L36*Herbicida_D)+(A11_Y_L36*Herbicida_Y))*Inflación_11</f>
        <v>0</v>
      </c>
      <c r="BY24" s="101">
        <f>SUMIFS('9'!$E:$E,'9'!$A:$A,Año_Inicial+10,'9'!$B:$B,'12'!BX$4,'9'!$D:$D,"Herbicida")</f>
        <v>0</v>
      </c>
      <c r="BZ24" s="101">
        <f>((A11_A_L37*Herbicida_A)+(A11_B_L37*Herbicida_B)+(A11_C_L37*Herbicida_C)+(A11_D_L37*Herbicida_D)+(A11_Y_L37*Herbicida_Y))*Inflación_11</f>
        <v>0</v>
      </c>
      <c r="CA24" s="101">
        <f>SUMIFS('9'!$E:$E,'9'!$A:$A,Año_Inicial+10,'9'!$B:$B,'12'!BZ$4,'9'!$D:$D,"Herbicida")</f>
        <v>0</v>
      </c>
      <c r="CB24" s="101">
        <f>((A11_A_L38*Herbicida_A)+(A11_B_L38*Herbicida_B)+(A11_C_L38*Herbicida_C)+(A11_D_L38*Herbicida_D)+(A11_Y_L38*Herbicida_Y))*Inflación_11</f>
        <v>0</v>
      </c>
      <c r="CC24" s="101">
        <f>SUMIFS('9'!$E:$E,'9'!$A:$A,Año_Inicial+10,'9'!$B:$B,'12'!CB$4,'9'!$D:$D,"Herbicida")</f>
        <v>0</v>
      </c>
      <c r="CD24" s="101">
        <f>((A11_A_L39*Herbicida_A)+(A11_B_L39*Herbicida_B)+(A11_C_L39*Herbicida_C)+(A11_D_L39*Herbicida_D)+(A11_Y_L39*Herbicida_Y))*Inflación_11</f>
        <v>0</v>
      </c>
      <c r="CE24" s="101">
        <f>SUMIFS('9'!$E:$E,'9'!$A:$A,Año_Inicial+10,'9'!$B:$B,'12'!CD$4,'9'!$D:$D,"Herbicida")</f>
        <v>0</v>
      </c>
      <c r="CF24" s="101">
        <f>((A11_A_L40*Herbicida_A)+(A11_B_L40*Herbicida_B)+(A11_C_L40*Herbicida_C)+(A11_D_L40*Herbicida_D)+(A11_Y_L40*Herbicida_Y))*Inflación_11</f>
        <v>0</v>
      </c>
      <c r="CG24" s="101">
        <f>SUMIFS('9'!$E:$E,'9'!$A:$A,Año_Inicial+10,'9'!$B:$B,'12'!CF$4,'9'!$D:$D,"Herbicida")</f>
        <v>0</v>
      </c>
      <c r="CH24" s="473"/>
      <c r="CI24" s="101">
        <f>Plantas_A_A11*Herbicida_A*Inflación_11</f>
        <v>0</v>
      </c>
      <c r="CJ24" s="101">
        <f>Plantas_B_A11*Herbicida_B</f>
        <v>0</v>
      </c>
      <c r="CK24" s="101">
        <f>Plantas_C_A11*Herbicida_C</f>
        <v>0</v>
      </c>
      <c r="CL24" s="101">
        <f>Plantas_D_A11*Herbicida_D</f>
        <v>0</v>
      </c>
      <c r="CM24" s="101"/>
      <c r="CN24" s="101">
        <f>Plantas_Y_A11*Herbicida_Y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SUMIFS('9'!$E:$E,'9'!$A:$A,Año_Inicial+10,'9'!$D:$D,"Prevención de plagas")</f>
        <v>0</v>
      </c>
      <c r="D26" s="100">
        <f t="shared" si="45"/>
        <v>0</v>
      </c>
      <c r="E26" s="473"/>
      <c r="F26" s="101">
        <f>((A11_A_L1*Plagas_A)+(A11_B_L1*Plagas_B)+(A11_C_L1*Plagas_C)+(A11_D_L1*Plagas_D)+(A11_Y_L1*Plagas_Y))*Inflación_11</f>
        <v>0</v>
      </c>
      <c r="G26" s="101">
        <f>SUMIFS('9'!$E:$E,'9'!$A:$A,Año_Inicial+10,'9'!$B:$B,'12'!F$4,'9'!$D:$D,"Prevención de plagas")</f>
        <v>0</v>
      </c>
      <c r="H26" s="101">
        <f>((A11_A_L2*Plagas_A)+(A11_B_L2*Plagas_B)+(A11_C_L2*Plagas_C)+(A11_D_L2*Plagas_D)+(A11_Y_L2*Plagas_Y))*Inflación_11</f>
        <v>0</v>
      </c>
      <c r="I26" s="101">
        <f>SUMIFS('9'!$E:$E,'9'!$A:$A,Año_Inicial+10,'9'!$B:$B,'12'!H$4,'9'!$D:$D,"Prevención de plagas")</f>
        <v>0</v>
      </c>
      <c r="J26" s="101">
        <f>((A11_A_L3*Plagas_A)+(A11_B_L3*Plagas_B)+(A11_C_L3*Plagas_C)+(A11_D_L3*Plagas_D)+(A11_Y_L3*Plagas_Y))*Inflación_11</f>
        <v>0</v>
      </c>
      <c r="K26" s="101">
        <f>SUMIFS('9'!$E:$E,'9'!$A:$A,Año_Inicial+10,'9'!$B:$B,'12'!J$4,'9'!$D:$D,"Prevención de plagas")</f>
        <v>0</v>
      </c>
      <c r="L26" s="101">
        <f>((A11_A_L4*Plagas_A)+(A11_B_L4*Plagas_B)+(A11_C_L4*Plagas_C)+(A11_D_L4*Plagas_D)+(A11_Y_L4*Plagas_Y))*Inflación_11</f>
        <v>0</v>
      </c>
      <c r="M26" s="101">
        <f>SUMIFS('9'!$E:$E,'9'!$A:$A,Año_Inicial+10,'9'!$B:$B,'12'!L$4,'9'!$D:$D,"Prevención de plagas")</f>
        <v>0</v>
      </c>
      <c r="N26" s="101">
        <f>((A11_A_L5*Plagas_A)+(A11_B_L5*Plagas_B)+(A11_C_L5*Plagas_C)+(A11_D_L5*Plagas_D)+(A11_Y_L5*Plagas_Y))*Inflación_11</f>
        <v>0</v>
      </c>
      <c r="O26" s="101">
        <f>SUMIFS('9'!$E:$E,'9'!$A:$A,Año_Inicial+10,'9'!$B:$B,'12'!N$4,'9'!$D:$D,"Prevención de plagas")</f>
        <v>0</v>
      </c>
      <c r="P26" s="101">
        <f>((A11_A_L6*Plagas_A)+(A11_B_L6*Plagas_B)+(A11_C_L6*Plagas_C)+(A11_D_L6*Plagas_D)+(A11_Y_L6*Plagas_Y))*Inflación_11</f>
        <v>0</v>
      </c>
      <c r="Q26" s="101">
        <f>SUMIFS('9'!$E:$E,'9'!$A:$A,Año_Inicial+10,'9'!$B:$B,'12'!P$4,'9'!$D:$D,"Prevención de plagas")</f>
        <v>0</v>
      </c>
      <c r="R26" s="101">
        <f>((A11_A_L7*Plagas_A)+(A11_B_L7*Plagas_B)+(A11_C_L7*Plagas_C)+(A11_D_L7*Plagas_D)+(A11_Y_L7*Plagas_Y))*Inflación_11</f>
        <v>0</v>
      </c>
      <c r="S26" s="101">
        <f>SUMIFS('9'!$E:$E,'9'!$A:$A,Año_Inicial+10,'9'!$B:$B,'12'!R$4,'9'!$D:$D,"Prevención de plagas")</f>
        <v>0</v>
      </c>
      <c r="T26" s="101">
        <f>((A11_A_L8*Plagas_A)+(A11_B_L8*Plagas_B)+(A11_C_L8*Plagas_C)+(A11_D_L8*Plagas_D)+(A11_Y_L8*Plagas_Y))*Inflación_11</f>
        <v>0</v>
      </c>
      <c r="U26" s="101">
        <f>SUMIFS('9'!$E:$E,'9'!$A:$A,Año_Inicial+10,'9'!$B:$B,'12'!T$4,'9'!$D:$D,"Prevención de plagas")</f>
        <v>0</v>
      </c>
      <c r="V26" s="101">
        <f>((A11_A_L9*Plagas_A)+(A11_B_L9*Plagas_B)+(A11_C_L9*Plagas_C)+(A11_D_L9*Plagas_D)+(A11_Y_L9*Plagas_Y))*Inflación_11</f>
        <v>0</v>
      </c>
      <c r="W26" s="101">
        <f>SUMIFS('9'!$E:$E,'9'!$A:$A,Año_Inicial+10,'9'!$B:$B,'12'!V$4,'9'!$D:$D,"Prevención de plagas")</f>
        <v>0</v>
      </c>
      <c r="X26" s="101">
        <f>((A11_A_L10*Plagas_A)+(A11_B_L10*Plagas_B)+(A11_C_L10*Plagas_C)+(A11_D_L10*Plagas_D)+(A11_Y_L10*Plagas_Y))*Inflación_11</f>
        <v>0</v>
      </c>
      <c r="Y26" s="101">
        <f>SUMIFS('9'!$E:$E,'9'!$A:$A,Año_Inicial+10,'9'!$B:$B,'12'!X$4,'9'!$D:$D,"Prevención de plagas")</f>
        <v>0</v>
      </c>
      <c r="Z26" s="101">
        <f>((A11_A_L11*Plagas_A)+(A11_B_L11*Plagas_B)+(A11_C_L11*Plagas_C)+(A11_D_L11*Plagas_D)+(A11_Y_L11*Plagas_Y))*Inflación_11</f>
        <v>0</v>
      </c>
      <c r="AA26" s="101">
        <f>SUMIFS('9'!$E:$E,'9'!$A:$A,Año_Inicial+10,'9'!$B:$B,'12'!Z$4,'9'!$D:$D,"Prevención de plagas")</f>
        <v>0</v>
      </c>
      <c r="AB26" s="101">
        <f>((A11_A_L12*Plagas_A)+(A11_B_L12*Plagas_B)+(A11_C_L12*Plagas_C)+(A11_D_L12*Plagas_D)+(A11_Y_L12*Plagas_Y))*Inflación_11</f>
        <v>0</v>
      </c>
      <c r="AC26" s="101">
        <f>SUMIFS('9'!$E:$E,'9'!$A:$A,Año_Inicial+10,'9'!$B:$B,'12'!AB$4,'9'!$D:$D,"Prevención de plagas")</f>
        <v>0</v>
      </c>
      <c r="AD26" s="101">
        <f>((A11_A_L13*Plagas_A)+(A11_B_L13*Plagas_B)+(A11_C_L13*Plagas_C)+(A11_D_L13*Plagas_D)+(A11_Y_L13*Plagas_Y))*Inflación_11</f>
        <v>0</v>
      </c>
      <c r="AE26" s="101">
        <f>SUMIFS('9'!$E:$E,'9'!$A:$A,Año_Inicial+10,'9'!$B:$B,'12'!AD$4,'9'!$D:$D,"Prevención de plagas")</f>
        <v>0</v>
      </c>
      <c r="AF26" s="101">
        <f>((A11_A_L14*Plagas_A)+(A11_B_L14*Plagas_B)+(A11_C_L14*Plagas_C)+(A11_D_L14*Plagas_D)+(A11_Y_L14*Plagas_Y))*Inflación_11</f>
        <v>0</v>
      </c>
      <c r="AG26" s="101">
        <f>SUMIFS('9'!$E:$E,'9'!$A:$A,Año_Inicial+10,'9'!$B:$B,'12'!AF$4,'9'!$D:$D,"Prevención de plagas")</f>
        <v>0</v>
      </c>
      <c r="AH26" s="101">
        <f>((A11_A_L15*Plagas_A)+(A11_B_L15*Plagas_B)+(A11_C_L15*Plagas_C)+(A11_D_L15*Plagas_D)+(A11_Y_L15*Plagas_Y))*Inflación_11</f>
        <v>0</v>
      </c>
      <c r="AI26" s="101">
        <f>SUMIFS('9'!$E:$E,'9'!$A:$A,Año_Inicial+10,'9'!$B:$B,'12'!AH$4,'9'!$D:$D,"Prevención de plagas")</f>
        <v>0</v>
      </c>
      <c r="AJ26" s="101">
        <f>((A11_A_L16*Plagas_A)+(A11_B_L16*Plagas_B)+(A11_C_L16*Plagas_C)+(A11_D_L16*Plagas_D)+(A11_Y_L16*Plagas_Y))*Inflación_11</f>
        <v>0</v>
      </c>
      <c r="AK26" s="101">
        <f>SUMIFS('9'!$E:$E,'9'!$A:$A,Año_Inicial+10,'9'!$B:$B,'12'!AJ$4,'9'!$D:$D,"Prevención de plagas")</f>
        <v>0</v>
      </c>
      <c r="AL26" s="101">
        <f>((A11_A_L17*Plagas_A)+(A11_B_L17*Plagas_B)+(A11_C_L17*Plagas_C)+(A11_D_L17*Plagas_D)+(A11_Y_L17*Plagas_Y))*Inflación_11</f>
        <v>0</v>
      </c>
      <c r="AM26" s="101">
        <f>SUMIFS('9'!$E:$E,'9'!$A:$A,Año_Inicial+10,'9'!$B:$B,'12'!AL$4,'9'!$D:$D,"Prevención de plagas")</f>
        <v>0</v>
      </c>
      <c r="AN26" s="101">
        <f>((A11_A_L18*Plagas_A)+(A11_B_L18*Plagas_B)+(A11_C_L18*Plagas_C)+(A11_D_L18*Plagas_D)+(A11_Y_L18*Plagas_Y))*Inflación_11</f>
        <v>0</v>
      </c>
      <c r="AO26" s="101">
        <f>SUMIFS('9'!$E:$E,'9'!$A:$A,Año_Inicial+10,'9'!$B:$B,'12'!AN$4,'9'!$D:$D,"Prevención de plagas")</f>
        <v>0</v>
      </c>
      <c r="AP26" s="101">
        <f>((A11_A_L19*Plagas_A)+(A11_B_L19*Plagas_B)+(A11_C_L19*Plagas_C)+(A11_D_L19*Plagas_D)+(A11_Y_L19*Plagas_Y))*Inflación_11</f>
        <v>0</v>
      </c>
      <c r="AQ26" s="101">
        <f>SUMIFS('9'!$E:$E,'9'!$A:$A,Año_Inicial+10,'9'!$B:$B,'12'!AP$4,'9'!$D:$D,"Prevención de plagas")</f>
        <v>0</v>
      </c>
      <c r="AR26" s="101">
        <f>((A11_A_L20*Plagas_A)+(A11_B_L20*Plagas_B)+(A11_C_L20*Plagas_C)+(A11_D_L20*Plagas_D)+(A11_Y_L20*Plagas_Y))*Inflación_11</f>
        <v>0</v>
      </c>
      <c r="AS26" s="101">
        <f>SUMIFS('9'!$E:$E,'9'!$A:$A,Año_Inicial+10,'9'!$B:$B,'12'!AR$4,'9'!$D:$D,"Prevención de plagas")</f>
        <v>0</v>
      </c>
      <c r="AT26" s="101">
        <f>((A11_A_L21*Plagas_A)+(A11_B_L21*Plagas_B)+(A11_C_L21*Plagas_C)+(A11_D_L21*Plagas_D)+(A11_Y_L21*Plagas_Y))*Inflación_11</f>
        <v>0</v>
      </c>
      <c r="AU26" s="101">
        <f>SUMIFS('9'!$E:$E,'9'!$A:$A,Año_Inicial+10,'9'!$B:$B,'12'!AT$4,'9'!$D:$D,"Prevención de plagas")</f>
        <v>0</v>
      </c>
      <c r="AV26" s="101">
        <f>((A11_A_L22*Plagas_A)+(A11_B_L22*Plagas_B)+(A11_C_L22*Plagas_C)+(A11_D_L22*Plagas_D)+(A11_Y_L22*Plagas_Y))*Inflación_11</f>
        <v>0</v>
      </c>
      <c r="AW26" s="101">
        <f>SUMIFS('9'!$E:$E,'9'!$A:$A,Año_Inicial+10,'9'!$B:$B,'12'!AV$4,'9'!$D:$D,"Prevención de plagas")</f>
        <v>0</v>
      </c>
      <c r="AX26" s="101">
        <f>((A11_A_L23*Plagas_A)+(A11_B_L23*Plagas_B)+(A11_C_L23*Plagas_C)+(A11_D_L23*Plagas_D)+(A11_Y_L23*Plagas_Y))*Inflación_11</f>
        <v>0</v>
      </c>
      <c r="AY26" s="101">
        <f>SUMIFS('9'!$E:$E,'9'!$A:$A,Año_Inicial+10,'9'!$B:$B,'12'!AX$4,'9'!$D:$D,"Prevención de plagas")</f>
        <v>0</v>
      </c>
      <c r="AZ26" s="101">
        <f>((A11_A_L24*Plagas_A)+(A11_B_L24*Plagas_B)+(A11_C_L24*Plagas_C)+(A11_D_L24*Plagas_D)+(A11_Y_L24*Plagas_Y))*Inflación_11</f>
        <v>0</v>
      </c>
      <c r="BA26" s="101">
        <f>SUMIFS('9'!$E:$E,'9'!$A:$A,Año_Inicial+10,'9'!$B:$B,'12'!AZ$4,'9'!$D:$D,"Prevención de plagas")</f>
        <v>0</v>
      </c>
      <c r="BB26" s="101">
        <f>((A11_A_L25*Plagas_A)+(A11_B_L25*Plagas_B)+(A11_C_L25*Plagas_C)+(A11_D_L25*Plagas_D)+(A11_Y_L25*Plagas_Y))*Inflación_11</f>
        <v>0</v>
      </c>
      <c r="BC26" s="101">
        <f>SUMIFS('9'!$E:$E,'9'!$A:$A,Año_Inicial+10,'9'!$B:$B,'12'!BB$4,'9'!$D:$D,"Prevención de plagas")</f>
        <v>0</v>
      </c>
      <c r="BD26" s="101">
        <f>((A11_A_L26*Plagas_A)+(A11_B_L26*Plagas_B)+(A11_C_L26*Plagas_C)+(A11_D_L26*Plagas_D)+(A11_Y_L26*Plagas_Y))*Inflación_11</f>
        <v>0</v>
      </c>
      <c r="BE26" s="101">
        <f>SUMIFS('9'!$E:$E,'9'!$A:$A,Año_Inicial+10,'9'!$B:$B,'12'!BD$4,'9'!$D:$D,"Prevención de plagas")</f>
        <v>0</v>
      </c>
      <c r="BF26" s="101">
        <f>((A11_A_L27*Plagas_A)+(A11_B_L27*Plagas_B)+(A11_C_L27*Plagas_C)+(A11_D_L27*Plagas_D)+(A11_Y_L27*Plagas_Y))*Inflación_11</f>
        <v>0</v>
      </c>
      <c r="BG26" s="101">
        <f>SUMIFS('9'!$E:$E,'9'!$A:$A,Año_Inicial+10,'9'!$B:$B,'12'!BF$4,'9'!$D:$D,"Prevención de plagas")</f>
        <v>0</v>
      </c>
      <c r="BH26" s="101">
        <f>((A11_A_L28*Plagas_A)+(A11_B_L28*Plagas_B)+(A11_C_L28*Plagas_C)+(A11_D_L28*Plagas_D)+(A11_Y_L28*Plagas_Y))*Inflación_11</f>
        <v>0</v>
      </c>
      <c r="BI26" s="101">
        <f>SUMIFS('9'!$E:$E,'9'!$A:$A,Año_Inicial+10,'9'!$B:$B,'12'!BH$4,'9'!$D:$D,"Prevención de plagas")</f>
        <v>0</v>
      </c>
      <c r="BJ26" s="101">
        <f>((A11_A_L29*Plagas_A)+(A11_B_L29*Plagas_B)+(A11_C_L29*Plagas_C)+(A11_D_L29*Plagas_D)+(A11_Y_L29*Plagas_Y))*Inflación_11</f>
        <v>0</v>
      </c>
      <c r="BK26" s="101">
        <f>SUMIFS('9'!$E:$E,'9'!$A:$A,Año_Inicial+10,'9'!$B:$B,'12'!BJ$4,'9'!$D:$D,"Prevención de plagas")</f>
        <v>0</v>
      </c>
      <c r="BL26" s="101">
        <f>((A11_A_L30*Plagas_A)+(A11_B_L30*Plagas_B)+(A11_C_L30*Plagas_C)+(A11_D_L30*Plagas_D)+(A11_Y_L30*Plagas_Y))*Inflación_11</f>
        <v>0</v>
      </c>
      <c r="BM26" s="101">
        <f>SUMIFS('9'!$E:$E,'9'!$A:$A,Año_Inicial+10,'9'!$B:$B,'12'!BL$4,'9'!$D:$D,"Prevención de plagas")</f>
        <v>0</v>
      </c>
      <c r="BN26" s="101">
        <f>((A11_A_L31*Plagas_A)+(A11_B_L31*Plagas_B)+(A11_C_L31*Plagas_C)+(A11_D_L31*Plagas_D)+(A11_Y_L31*Plagas_Y))*Inflación_11</f>
        <v>0</v>
      </c>
      <c r="BO26" s="101">
        <f>SUMIFS('9'!$E:$E,'9'!$A:$A,Año_Inicial+10,'9'!$B:$B,'12'!BN$4,'9'!$D:$D,"Prevención de plagas")</f>
        <v>0</v>
      </c>
      <c r="BP26" s="101">
        <f>((A11_A_L32*Plagas_A)+(A11_B_L32*Plagas_B)+(A11_C_L32*Plagas_C)+(A11_D_L32*Plagas_D)+(A11_Y_L32*Plagas_Y))*Inflación_11</f>
        <v>0</v>
      </c>
      <c r="BQ26" s="101">
        <f>SUMIFS('9'!$E:$E,'9'!$A:$A,Año_Inicial+10,'9'!$B:$B,'12'!BP$4,'9'!$D:$D,"Prevención de plagas")</f>
        <v>0</v>
      </c>
      <c r="BR26" s="101">
        <f>((A11_A_L33*Plagas_A)+(A11_B_L33*Plagas_B)+(A11_C_L33*Plagas_C)+(A11_D_L33*Plagas_D)+(A11_Y_L33*Plagas_Y))*Inflación_11</f>
        <v>0</v>
      </c>
      <c r="BS26" s="101">
        <f>SUMIFS('9'!$E:$E,'9'!$A:$A,Año_Inicial+10,'9'!$B:$B,'12'!BR$4,'9'!$D:$D,"Prevención de plagas")</f>
        <v>0</v>
      </c>
      <c r="BT26" s="101">
        <f>((A11_A_L34*Plagas_A)+(A11_B_L34*Plagas_B)+(A11_C_L34*Plagas_C)+(A11_D_L34*Plagas_D)+(A11_Y_L34*Plagas_Y))*Inflación_11</f>
        <v>0</v>
      </c>
      <c r="BU26" s="101">
        <f>SUMIFS('9'!$E:$E,'9'!$A:$A,Año_Inicial+10,'9'!$B:$B,'12'!BT$4,'9'!$D:$D,"Prevención de plagas")</f>
        <v>0</v>
      </c>
      <c r="BV26" s="101">
        <f>((A11_A_L35*Plagas_A)+(A11_B_L35*Plagas_B)+(A11_C_L35*Plagas_C)+(A11_D_L35*Plagas_D)+(A11_Y_L35*Plagas_Y))*Inflación_11</f>
        <v>0</v>
      </c>
      <c r="BW26" s="101">
        <f>SUMIFS('9'!$E:$E,'9'!$A:$A,Año_Inicial+10,'9'!$B:$B,'12'!BV$4,'9'!$D:$D,"Prevención de plagas")</f>
        <v>0</v>
      </c>
      <c r="BX26" s="101">
        <f>((A11_A_L36*Plagas_A)+(A11_B_L36*Plagas_B)+(A11_C_L36*Plagas_C)+(A11_D_L36*Plagas_D)+(A11_Y_L36*Plagas_Y))*Inflación_11</f>
        <v>0</v>
      </c>
      <c r="BY26" s="101">
        <f>SUMIFS('9'!$E:$E,'9'!$A:$A,Año_Inicial+10,'9'!$B:$B,'12'!BX$4,'9'!$D:$D,"Prevención de plagas")</f>
        <v>0</v>
      </c>
      <c r="BZ26" s="101">
        <f>((A11_A_L37*Plagas_A)+(A11_B_L37*Plagas_B)+(A11_C_L37*Plagas_C)+(A11_D_L37*Plagas_D)+(A11_Y_L37*Plagas_Y))*Inflación_11</f>
        <v>0</v>
      </c>
      <c r="CA26" s="101">
        <f>SUMIFS('9'!$E:$E,'9'!$A:$A,Año_Inicial+10,'9'!$B:$B,'12'!BZ$4,'9'!$D:$D,"Prevención de plagas")</f>
        <v>0</v>
      </c>
      <c r="CB26" s="101">
        <f>((A11_A_L38*Plagas_A)+(A11_B_L38*Plagas_B)+(A11_C_L38*Plagas_C)+(A11_D_L38*Plagas_D)+(A11_Y_L38*Plagas_Y))*Inflación_11</f>
        <v>0</v>
      </c>
      <c r="CC26" s="101">
        <f>SUMIFS('9'!$E:$E,'9'!$A:$A,Año_Inicial+10,'9'!$B:$B,'12'!CB$4,'9'!$D:$D,"Prevención de plagas")</f>
        <v>0</v>
      </c>
      <c r="CD26" s="101">
        <f>((A11_A_L39*Plagas_A)+(A11_B_L39*Plagas_B)+(A11_C_L39*Plagas_C)+(A11_D_L39*Plagas_D)+(A11_Y_L39*Plagas_Y))*Inflación_11</f>
        <v>0</v>
      </c>
      <c r="CE26" s="101">
        <f>SUMIFS('9'!$E:$E,'9'!$A:$A,Año_Inicial+10,'9'!$B:$B,'12'!CD$4,'9'!$D:$D,"Prevención de plagas")</f>
        <v>0</v>
      </c>
      <c r="CF26" s="101">
        <f>((A11_A_L40*Plagas_A)+(A11_B_L40*Plagas_B)+(A11_C_L40*Plagas_C)+(A11_D_L40*Plagas_D)+(A11_Y_L40*Plagas_Y))*Inflación_11</f>
        <v>0</v>
      </c>
      <c r="CG26" s="101">
        <f>SUMIFS('9'!$E:$E,'9'!$A:$A,Año_Inicial+10,'9'!$B:$B,'12'!CF$4,'9'!$D:$D,"Prevención de plagas")</f>
        <v>0</v>
      </c>
      <c r="CH26" s="473"/>
      <c r="CI26" s="101">
        <f>Plantas_A_A11*Plagas_A*Inflación_11</f>
        <v>0</v>
      </c>
      <c r="CJ26" s="101">
        <f>Plantas_B_A11*Plagas_B</f>
        <v>0</v>
      </c>
      <c r="CK26" s="101">
        <f>Plantas_C_A11*Plagas_C</f>
        <v>0</v>
      </c>
      <c r="CL26" s="101">
        <f>Plantas_D_A11*Plagas_D</f>
        <v>0</v>
      </c>
      <c r="CM26" s="101"/>
      <c r="CN26" s="101">
        <f>Plantas_Y_A11*Plagas_Y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SUMIFS('9'!$E:$E,'9'!$A:$A,Año_Inicial+10,'9'!$D:$D,"Insecticida")</f>
        <v>0</v>
      </c>
      <c r="D27" s="100">
        <f t="shared" si="45"/>
        <v>0</v>
      </c>
      <c r="E27" s="473"/>
      <c r="F27" s="101">
        <f>((A11_A_L1*Insecticida_A)+(A11_B_L1*Insecticida_B)+(A11_C_L1*Insecticida_C)+(A11_D_L1*Insecticida_D)+(A11_Y_L1*Insecticida_Y))*Inflación_11</f>
        <v>0</v>
      </c>
      <c r="G27" s="101">
        <f>SUMIFS('9'!$E:$E,'9'!$A:$A,Año_Inicial+10,'9'!$B:$B,'12'!F$4,'9'!$D:$D,"Insecticida")</f>
        <v>0</v>
      </c>
      <c r="H27" s="101">
        <f>((A11_A_L2*Insecticida_A)+(A11_B_L2*Insecticida_B)+(A11_C_L2*Insecticida_C)+(A11_D_L2*Insecticida_D)+(A11_Y_L2*Insecticida_Y))*Inflación_11</f>
        <v>0</v>
      </c>
      <c r="I27" s="101">
        <f>SUMIFS('9'!$E:$E,'9'!$A:$A,Año_Inicial+10,'9'!$B:$B,'12'!H$4,'9'!$D:$D,"Insecticida")</f>
        <v>0</v>
      </c>
      <c r="J27" s="101">
        <f>((A11_A_L3*Insecticida_A)+(A11_B_L3*Insecticida_B)+(A11_C_L3*Insecticida_C)+(A11_D_L3*Insecticida_D)+(A11_Y_L3*Insecticida_Y))*Inflación_11</f>
        <v>0</v>
      </c>
      <c r="K27" s="101">
        <f>SUMIFS('9'!$E:$E,'9'!$A:$A,Año_Inicial+10,'9'!$B:$B,'12'!J$4,'9'!$D:$D,"Insecticida")</f>
        <v>0</v>
      </c>
      <c r="L27" s="101">
        <f>((A11_A_L4*Insecticida_A)+(A11_B_L4*Insecticida_B)+(A11_C_L4*Insecticida_C)+(A11_D_L4*Insecticida_D)+(A11_Y_L4*Insecticida_Y))*Inflación_11</f>
        <v>0</v>
      </c>
      <c r="M27" s="101">
        <f>SUMIFS('9'!$E:$E,'9'!$A:$A,Año_Inicial+10,'9'!$B:$B,'12'!L$4,'9'!$D:$D,"Insecticida")</f>
        <v>0</v>
      </c>
      <c r="N27" s="101">
        <f>((A11_A_L5*Insecticida_A)+(A11_B_L5*Insecticida_B)+(A11_C_L5*Insecticida_C)+(A11_D_L5*Insecticida_D)+(A11_Y_L5*Insecticida_Y))*Inflación_11</f>
        <v>0</v>
      </c>
      <c r="O27" s="101">
        <f>SUMIFS('9'!$E:$E,'9'!$A:$A,Año_Inicial+10,'9'!$B:$B,'12'!N$4,'9'!$D:$D,"Insecticida")</f>
        <v>0</v>
      </c>
      <c r="P27" s="101">
        <f>((A11_A_L6*Insecticida_A)+(A11_B_L6*Insecticida_B)+(A11_C_L6*Insecticida_C)+(A11_D_L6*Insecticida_D)+(A11_Y_L6*Insecticida_Y))*Inflación_11</f>
        <v>0</v>
      </c>
      <c r="Q27" s="101">
        <f>SUMIFS('9'!$E:$E,'9'!$A:$A,Año_Inicial+10,'9'!$B:$B,'12'!P$4,'9'!$D:$D,"Insecticida")</f>
        <v>0</v>
      </c>
      <c r="R27" s="101">
        <f>((A11_A_L7*Insecticida_A)+(A11_B_L7*Insecticida_B)+(A11_C_L7*Insecticida_C)+(A11_D_L7*Insecticida_D)+(A11_Y_L7*Insecticida_Y))*Inflación_11</f>
        <v>0</v>
      </c>
      <c r="S27" s="101">
        <f>SUMIFS('9'!$E:$E,'9'!$A:$A,Año_Inicial+10,'9'!$B:$B,'12'!R$4,'9'!$D:$D,"Insecticida")</f>
        <v>0</v>
      </c>
      <c r="T27" s="101">
        <f>((A11_A_L8*Insecticida_A)+(A11_B_L8*Insecticida_B)+(A11_C_L8*Insecticida_C)+(A11_D_L8*Insecticida_D)+(A11_Y_L8*Insecticida_Y))*Inflación_11</f>
        <v>0</v>
      </c>
      <c r="U27" s="101">
        <f>SUMIFS('9'!$E:$E,'9'!$A:$A,Año_Inicial+10,'9'!$B:$B,'12'!T$4,'9'!$D:$D,"Insecticida")</f>
        <v>0</v>
      </c>
      <c r="V27" s="101">
        <f>((A11_A_L9*Insecticida_A)+(A11_B_L9*Insecticida_B)+(A11_C_L9*Insecticida_C)+(A11_D_L9*Insecticida_D)+(A11_Y_L9*Insecticida_Y))*Inflación_11</f>
        <v>0</v>
      </c>
      <c r="W27" s="101">
        <f>SUMIFS('9'!$E:$E,'9'!$A:$A,Año_Inicial+10,'9'!$B:$B,'12'!V$4,'9'!$D:$D,"Insecticida")</f>
        <v>0</v>
      </c>
      <c r="X27" s="101">
        <f>((A11_A_L10*Insecticida_A)+(A11_B_L10*Insecticida_B)+(A11_C_L10*Insecticida_C)+(A11_D_L10*Insecticida_D)+(A11_Y_L10*Insecticida_Y))*Inflación_11</f>
        <v>0</v>
      </c>
      <c r="Y27" s="101">
        <f>SUMIFS('9'!$E:$E,'9'!$A:$A,Año_Inicial+10,'9'!$B:$B,'12'!X$4,'9'!$D:$D,"Insecticida")</f>
        <v>0</v>
      </c>
      <c r="Z27" s="101">
        <f>((A11_A_L11*Insecticida_A)+(A11_B_L11*Insecticida_B)+(A11_C_L11*Insecticida_C)+(A11_D_L11*Insecticida_D)+(A11_Y_L11*Insecticida_Y))*Inflación_11</f>
        <v>0</v>
      </c>
      <c r="AA27" s="101">
        <f>SUMIFS('9'!$E:$E,'9'!$A:$A,Año_Inicial+10,'9'!$B:$B,'12'!Z$4,'9'!$D:$D,"Insecticida")</f>
        <v>0</v>
      </c>
      <c r="AB27" s="101">
        <f>((A11_A_L12*Insecticida_A)+(A11_B_L12*Insecticida_B)+(A11_C_L12*Insecticida_C)+(A11_D_L12*Insecticida_D)+(A11_Y_L12*Insecticida_Y))*Inflación_11</f>
        <v>0</v>
      </c>
      <c r="AC27" s="101">
        <f>SUMIFS('9'!$E:$E,'9'!$A:$A,Año_Inicial+10,'9'!$B:$B,'12'!AB$4,'9'!$D:$D,"Insecticida")</f>
        <v>0</v>
      </c>
      <c r="AD27" s="101">
        <f>((A11_A_L13*Insecticida_A)+(A11_B_L13*Insecticida_B)+(A11_C_L13*Insecticida_C)+(A11_D_L13*Insecticida_D)+(A11_Y_L13*Insecticida_Y))*Inflación_11</f>
        <v>0</v>
      </c>
      <c r="AE27" s="101">
        <f>SUMIFS('9'!$E:$E,'9'!$A:$A,Año_Inicial+10,'9'!$B:$B,'12'!AD$4,'9'!$D:$D,"Insecticida")</f>
        <v>0</v>
      </c>
      <c r="AF27" s="101">
        <f>((A11_A_L14*Insecticida_A)+(A11_B_L14*Insecticida_B)+(A11_C_L14*Insecticida_C)+(A11_D_L14*Insecticida_D)+(A11_Y_L14*Insecticida_Y))*Inflación_11</f>
        <v>0</v>
      </c>
      <c r="AG27" s="101">
        <f>SUMIFS('9'!$E:$E,'9'!$A:$A,Año_Inicial+10,'9'!$B:$B,'12'!AF$4,'9'!$D:$D,"Insecticida")</f>
        <v>0</v>
      </c>
      <c r="AH27" s="101">
        <f>((A11_A_L15*Insecticida_A)+(A11_B_L15*Insecticida_B)+(A11_C_L15*Insecticida_C)+(A11_D_L15*Insecticida_D)+(A11_Y_L15*Insecticida_Y))*Inflación_11</f>
        <v>0</v>
      </c>
      <c r="AI27" s="101">
        <f>SUMIFS('9'!$E:$E,'9'!$A:$A,Año_Inicial+10,'9'!$B:$B,'12'!AH$4,'9'!$D:$D,"Insecticida")</f>
        <v>0</v>
      </c>
      <c r="AJ27" s="101">
        <f>((A11_A_L16*Insecticida_A)+(A11_B_L16*Insecticida_B)+(A11_C_L16*Insecticida_C)+(A11_D_L16*Insecticida_D)+(A11_Y_L16*Insecticida_Y))*Inflación_11</f>
        <v>0</v>
      </c>
      <c r="AK27" s="101">
        <f>SUMIFS('9'!$E:$E,'9'!$A:$A,Año_Inicial+10,'9'!$B:$B,'12'!AJ$4,'9'!$D:$D,"Insecticida")</f>
        <v>0</v>
      </c>
      <c r="AL27" s="101">
        <f>((A11_A_L17*Insecticida_A)+(A11_B_L17*Insecticida_B)+(A11_C_L17*Insecticida_C)+(A11_D_L17*Insecticida_D)+(A11_Y_L17*Insecticida_Y))*Inflación_11</f>
        <v>0</v>
      </c>
      <c r="AM27" s="101">
        <f>SUMIFS('9'!$E:$E,'9'!$A:$A,Año_Inicial+10,'9'!$B:$B,'12'!AL$4,'9'!$D:$D,"Insecticida")</f>
        <v>0</v>
      </c>
      <c r="AN27" s="101">
        <f>((A11_A_L18*Insecticida_A)+(A11_B_L18*Insecticida_B)+(A11_C_L18*Insecticida_C)+(A11_D_L18*Insecticida_D)+(A11_Y_L18*Insecticida_Y))*Inflación_11</f>
        <v>0</v>
      </c>
      <c r="AO27" s="101">
        <f>SUMIFS('9'!$E:$E,'9'!$A:$A,Año_Inicial+10,'9'!$B:$B,'12'!AN$4,'9'!$D:$D,"Insecticida")</f>
        <v>0</v>
      </c>
      <c r="AP27" s="101">
        <f>((A11_A_L19*Insecticida_A)+(A11_B_L19*Insecticida_B)+(A11_C_L19*Insecticida_C)+(A11_D_L19*Insecticida_D)+(A11_Y_L19*Insecticida_Y))*Inflación_11</f>
        <v>0</v>
      </c>
      <c r="AQ27" s="101">
        <f>SUMIFS('9'!$E:$E,'9'!$A:$A,Año_Inicial+10,'9'!$B:$B,'12'!AP$4,'9'!$D:$D,"Insecticida")</f>
        <v>0</v>
      </c>
      <c r="AR27" s="101">
        <f>((A11_A_L20*Insecticida_A)+(A11_B_L20*Insecticida_B)+(A11_C_L20*Insecticida_C)+(A11_D_L20*Insecticida_D)+(A11_Y_L20*Insecticida_Y))*Inflación_11</f>
        <v>0</v>
      </c>
      <c r="AS27" s="101">
        <f>SUMIFS('9'!$E:$E,'9'!$A:$A,Año_Inicial+10,'9'!$B:$B,'12'!AR$4,'9'!$D:$D,"Insecticida")</f>
        <v>0</v>
      </c>
      <c r="AT27" s="101">
        <f>((A11_A_L21*Insecticida_A)+(A11_B_L21*Insecticida_B)+(A11_C_L21*Insecticida_C)+(A11_D_L21*Insecticida_D)+(A11_Y_L21*Insecticida_Y))*Inflación_11</f>
        <v>0</v>
      </c>
      <c r="AU27" s="101">
        <f>SUMIFS('9'!$E:$E,'9'!$A:$A,Año_Inicial+10,'9'!$B:$B,'12'!AT$4,'9'!$D:$D,"Insecticida")</f>
        <v>0</v>
      </c>
      <c r="AV27" s="101">
        <f>((A11_A_L22*Insecticida_A)+(A11_B_L22*Insecticida_B)+(A11_C_L22*Insecticida_C)+(A11_D_L22*Insecticida_D)+(A11_Y_L22*Insecticida_Y))*Inflación_11</f>
        <v>0</v>
      </c>
      <c r="AW27" s="101">
        <f>SUMIFS('9'!$E:$E,'9'!$A:$A,Año_Inicial+10,'9'!$B:$B,'12'!AV$4,'9'!$D:$D,"Insecticida")</f>
        <v>0</v>
      </c>
      <c r="AX27" s="101">
        <f>((A11_A_L23*Insecticida_A)+(A11_B_L23*Insecticida_B)+(A11_C_L23*Insecticida_C)+(A11_D_L23*Insecticida_D)+(A11_Y_L23*Insecticida_Y))*Inflación_11</f>
        <v>0</v>
      </c>
      <c r="AY27" s="101">
        <f>SUMIFS('9'!$E:$E,'9'!$A:$A,Año_Inicial+10,'9'!$B:$B,'12'!AX$4,'9'!$D:$D,"Insecticida")</f>
        <v>0</v>
      </c>
      <c r="AZ27" s="101">
        <f>((A11_A_L24*Insecticida_A)+(A11_B_L24*Insecticida_B)+(A11_C_L24*Insecticida_C)+(A11_D_L24*Insecticida_D)+(A11_Y_L24*Insecticida_Y))*Inflación_11</f>
        <v>0</v>
      </c>
      <c r="BA27" s="101">
        <f>SUMIFS('9'!$E:$E,'9'!$A:$A,Año_Inicial+10,'9'!$B:$B,'12'!AZ$4,'9'!$D:$D,"Insecticida")</f>
        <v>0</v>
      </c>
      <c r="BB27" s="101">
        <f>((A11_A_L25*Insecticida_A)+(A11_B_L25*Insecticida_B)+(A11_C_L25*Insecticida_C)+(A11_D_L25*Insecticida_D)+(A11_Y_L25*Insecticida_Y))*Inflación_11</f>
        <v>0</v>
      </c>
      <c r="BC27" s="101">
        <f>SUMIFS('9'!$E:$E,'9'!$A:$A,Año_Inicial+10,'9'!$B:$B,'12'!BB$4,'9'!$D:$D,"Insecticida")</f>
        <v>0</v>
      </c>
      <c r="BD27" s="101">
        <f>((A11_A_L26*Insecticida_A)+(A11_B_L26*Insecticida_B)+(A11_C_L26*Insecticida_C)+(A11_D_L26*Insecticida_D)+(A11_Y_L26*Insecticida_Y))*Inflación_11</f>
        <v>0</v>
      </c>
      <c r="BE27" s="101">
        <f>SUMIFS('9'!$E:$E,'9'!$A:$A,Año_Inicial+10,'9'!$B:$B,'12'!BD$4,'9'!$D:$D,"Insecticida")</f>
        <v>0</v>
      </c>
      <c r="BF27" s="101">
        <f>((A11_A_L27*Insecticida_A)+(A11_B_L27*Insecticida_B)+(A11_C_L27*Insecticida_C)+(A11_D_L27*Insecticida_D)+(A11_Y_L27*Insecticida_Y))*Inflación_11</f>
        <v>0</v>
      </c>
      <c r="BG27" s="101">
        <f>SUMIFS('9'!$E:$E,'9'!$A:$A,Año_Inicial+10,'9'!$B:$B,'12'!BF$4,'9'!$D:$D,"Insecticida")</f>
        <v>0</v>
      </c>
      <c r="BH27" s="101">
        <f>((A11_A_L28*Insecticida_A)+(A11_B_L28*Insecticida_B)+(A11_C_L28*Insecticida_C)+(A11_D_L28*Insecticida_D)+(A11_Y_L28*Insecticida_Y))*Inflación_11</f>
        <v>0</v>
      </c>
      <c r="BI27" s="101">
        <f>SUMIFS('9'!$E:$E,'9'!$A:$A,Año_Inicial+10,'9'!$B:$B,'12'!BH$4,'9'!$D:$D,"Insecticida")</f>
        <v>0</v>
      </c>
      <c r="BJ27" s="101">
        <f>((A11_A_L29*Insecticida_A)+(A11_B_L29*Insecticida_B)+(A11_C_L29*Insecticida_C)+(A11_D_L29*Insecticida_D)+(A11_Y_L29*Insecticida_Y))*Inflación_11</f>
        <v>0</v>
      </c>
      <c r="BK27" s="101">
        <f>SUMIFS('9'!$E:$E,'9'!$A:$A,Año_Inicial+10,'9'!$B:$B,'12'!BJ$4,'9'!$D:$D,"Insecticida")</f>
        <v>0</v>
      </c>
      <c r="BL27" s="101">
        <f>((A11_A_L30*Insecticida_A)+(A11_B_L30*Insecticida_B)+(A11_C_L30*Insecticida_C)+(A11_D_L30*Insecticida_D)+(A11_Y_L30*Insecticida_Y))*Inflación_11</f>
        <v>0</v>
      </c>
      <c r="BM27" s="101">
        <f>SUMIFS('9'!$E:$E,'9'!$A:$A,Año_Inicial+10,'9'!$B:$B,'12'!BL$4,'9'!$D:$D,"Insecticida")</f>
        <v>0</v>
      </c>
      <c r="BN27" s="101">
        <f>((A11_A_L31*Insecticida_A)+(A11_B_L31*Insecticida_B)+(A11_C_L31*Insecticida_C)+(A11_D_L31*Insecticida_D)+(A11_Y_L31*Insecticida_Y))*Inflación_11</f>
        <v>0</v>
      </c>
      <c r="BO27" s="101">
        <f>SUMIFS('9'!$E:$E,'9'!$A:$A,Año_Inicial+10,'9'!$B:$B,'12'!BN$4,'9'!$D:$D,"Insecticida")</f>
        <v>0</v>
      </c>
      <c r="BP27" s="101">
        <f>((A11_A_L32*Insecticida_A)+(A11_B_L32*Insecticida_B)+(A11_C_L32*Insecticida_C)+(A11_D_L32*Insecticida_D)+(A11_Y_L32*Insecticida_Y))*Inflación_11</f>
        <v>0</v>
      </c>
      <c r="BQ27" s="101">
        <f>SUMIFS('9'!$E:$E,'9'!$A:$A,Año_Inicial+10,'9'!$B:$B,'12'!BP$4,'9'!$D:$D,"Insecticida")</f>
        <v>0</v>
      </c>
      <c r="BR27" s="101">
        <f>((A11_A_L33*Insecticida_A)+(A11_B_L33*Insecticida_B)+(A11_C_L33*Insecticida_C)+(A11_D_L33*Insecticida_D)+(A11_Y_L33*Insecticida_Y))*Inflación_11</f>
        <v>0</v>
      </c>
      <c r="BS27" s="101">
        <f>SUMIFS('9'!$E:$E,'9'!$A:$A,Año_Inicial+10,'9'!$B:$B,'12'!BR$4,'9'!$D:$D,"Insecticida")</f>
        <v>0</v>
      </c>
      <c r="BT27" s="101">
        <f>((A11_A_L34*Insecticida_A)+(A11_B_L34*Insecticida_B)+(A11_C_L34*Insecticida_C)+(A11_D_L34*Insecticida_D)+(A11_Y_L34*Insecticida_Y))*Inflación_11</f>
        <v>0</v>
      </c>
      <c r="BU27" s="101">
        <f>SUMIFS('9'!$E:$E,'9'!$A:$A,Año_Inicial+10,'9'!$B:$B,'12'!BT$4,'9'!$D:$D,"Insecticida")</f>
        <v>0</v>
      </c>
      <c r="BV27" s="101">
        <f>((A11_A_L35*Insecticida_A)+(A11_B_L35*Insecticida_B)+(A11_C_L35*Insecticida_C)+(A11_D_L35*Insecticida_D)+(A11_Y_L35*Insecticida_Y))*Inflación_11</f>
        <v>0</v>
      </c>
      <c r="BW27" s="101">
        <f>SUMIFS('9'!$E:$E,'9'!$A:$A,Año_Inicial+10,'9'!$B:$B,'12'!BV$4,'9'!$D:$D,"Insecticida")</f>
        <v>0</v>
      </c>
      <c r="BX27" s="101">
        <f>((A11_A_L36*Insecticida_A)+(A11_B_L36*Insecticida_B)+(A11_C_L36*Insecticida_C)+(A11_D_L36*Insecticida_D)+(A11_Y_L36*Insecticida_Y))*Inflación_11</f>
        <v>0</v>
      </c>
      <c r="BY27" s="101">
        <f>SUMIFS('9'!$E:$E,'9'!$A:$A,Año_Inicial+10,'9'!$B:$B,'12'!BX$4,'9'!$D:$D,"Insecticida")</f>
        <v>0</v>
      </c>
      <c r="BZ27" s="101">
        <f>((A11_A_L37*Insecticida_A)+(A11_B_L37*Insecticida_B)+(A11_C_L37*Insecticida_C)+(A11_D_L37*Insecticida_D)+(A11_Y_L37*Insecticida_Y))*Inflación_11</f>
        <v>0</v>
      </c>
      <c r="CA27" s="101">
        <f>SUMIFS('9'!$E:$E,'9'!$A:$A,Año_Inicial+10,'9'!$B:$B,'12'!BZ$4,'9'!$D:$D,"Insecticida")</f>
        <v>0</v>
      </c>
      <c r="CB27" s="101">
        <f>((A11_A_L38*Insecticida_A)+(A11_B_L38*Insecticida_B)+(A11_C_L38*Insecticida_C)+(A11_D_L38*Insecticida_D)+(A11_Y_L38*Insecticida_Y))*Inflación_11</f>
        <v>0</v>
      </c>
      <c r="CC27" s="101">
        <f>SUMIFS('9'!$E:$E,'9'!$A:$A,Año_Inicial+10,'9'!$B:$B,'12'!CB$4,'9'!$D:$D,"Insecticida")</f>
        <v>0</v>
      </c>
      <c r="CD27" s="101">
        <f>((A11_A_L39*Insecticida_A)+(A11_B_L39*Insecticida_B)+(A11_C_L39*Insecticida_C)+(A11_D_L39*Insecticida_D)+(A11_Y_L39*Insecticida_Y))*Inflación_11</f>
        <v>0</v>
      </c>
      <c r="CE27" s="101">
        <f>SUMIFS('9'!$E:$E,'9'!$A:$A,Año_Inicial+10,'9'!$B:$B,'12'!CD$4,'9'!$D:$D,"Insecticida")</f>
        <v>0</v>
      </c>
      <c r="CF27" s="101">
        <f>((A11_A_L40*Insecticida_A)+(A11_B_L40*Insecticida_B)+(A11_C_L40*Insecticida_C)+(A11_D_L40*Insecticida_D)+(A11_Y_L40*Insecticida_Y))*Inflación_11</f>
        <v>0</v>
      </c>
      <c r="CG27" s="101">
        <f>SUMIFS('9'!$E:$E,'9'!$A:$A,Año_Inicial+10,'9'!$B:$B,'12'!CF$4,'9'!$D:$D,"Insecticida")</f>
        <v>0</v>
      </c>
      <c r="CH27" s="473"/>
      <c r="CI27" s="101">
        <f>Plantas_A_A11*Insecticida_A*Inflación_11</f>
        <v>0</v>
      </c>
      <c r="CJ27" s="101">
        <f>Plantas_B_A11*Insecticida_B</f>
        <v>0</v>
      </c>
      <c r="CK27" s="101">
        <f>Plantas_C_A11*Insecticida_C</f>
        <v>0</v>
      </c>
      <c r="CL27" s="101">
        <f>Plantas_D_A11*Insecticida_D</f>
        <v>0</v>
      </c>
      <c r="CM27" s="101"/>
      <c r="CN27" s="101">
        <f>Plantas_Y_A11*Insecticida_Y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SUMIFS('9'!$E:$E,'9'!$A:$A,Año_Inicial+10,'9'!$D:$D,"Prevención de enfermedades")</f>
        <v>0</v>
      </c>
      <c r="D29" s="100">
        <f t="shared" si="45"/>
        <v>0</v>
      </c>
      <c r="E29" s="473"/>
      <c r="F29" s="101">
        <f>((A11_A_L1*Enfermedades_A)+(A11_B_L1*Enfermedades_B)+(A11_C_L1*Enfermedades_C)+(A11_D_L1*Enfermedades_D)+(A11_Y_L1*Enfermedades_Y))*Inflación_11</f>
        <v>0</v>
      </c>
      <c r="G29" s="101">
        <f>SUMIFS('9'!$E:$E,'9'!$A:$A,Año_Inicial+10,'9'!$B:$B,'12'!F$4,'9'!$D:$D,"Prevención de enfermedades")</f>
        <v>0</v>
      </c>
      <c r="H29" s="101">
        <f>((A11_A_L2*Enfermedades_A)+(A11_B_L2*Enfermedades_B)+(A11_C_L2*Enfermedades_C)+(A11_D_L2*Enfermedades_D)+(A11_Y_L2*Enfermedades_Y))*Inflación_11</f>
        <v>0</v>
      </c>
      <c r="I29" s="101">
        <f>SUMIFS('9'!$E:$E,'9'!$A:$A,Año_Inicial+10,'9'!$B:$B,'12'!H$4,'9'!$D:$D,"Prevención de enfermedades")</f>
        <v>0</v>
      </c>
      <c r="J29" s="101">
        <f>((A11_A_L3*Enfermedades_A)+(A11_B_L3*Enfermedades_B)+(A11_C_L3*Enfermedades_C)+(A11_D_L3*Enfermedades_D)+(A11_Y_L3*Enfermedades_Y))*Inflación_11</f>
        <v>0</v>
      </c>
      <c r="K29" s="101">
        <f>SUMIFS('9'!$E:$E,'9'!$A:$A,Año_Inicial+10,'9'!$B:$B,'12'!J$4,'9'!$D:$D,"Prevención de enfermedades")</f>
        <v>0</v>
      </c>
      <c r="L29" s="101">
        <f>((A11_A_L4*Enfermedades_A)+(A11_B_L4*Enfermedades_B)+(A11_C_L4*Enfermedades_C)+(A11_D_L4*Enfermedades_D)+(A11_Y_L4*Enfermedades_Y))*Inflación_11</f>
        <v>0</v>
      </c>
      <c r="M29" s="101">
        <f>SUMIFS('9'!$E:$E,'9'!$A:$A,Año_Inicial+10,'9'!$B:$B,'12'!L$4,'9'!$D:$D,"Prevención de enfermedades")</f>
        <v>0</v>
      </c>
      <c r="N29" s="101">
        <f>((A11_A_L5*Enfermedades_A)+(A11_B_L5*Enfermedades_B)+(A11_C_L5*Enfermedades_C)+(A11_D_L5*Enfermedades_D)+(A11_Y_L5*Enfermedades_Y))*Inflación_11</f>
        <v>0</v>
      </c>
      <c r="O29" s="101">
        <f>SUMIFS('9'!$E:$E,'9'!$A:$A,Año_Inicial+10,'9'!$B:$B,'12'!N$4,'9'!$D:$D,"Prevención de enfermedades")</f>
        <v>0</v>
      </c>
      <c r="P29" s="101">
        <f>((A11_A_L6*Enfermedades_A)+(A11_B_L6*Enfermedades_B)+(A11_C_L6*Enfermedades_C)+(A11_D_L6*Enfermedades_D)+(A11_Y_L6*Enfermedades_Y))*Inflación_11</f>
        <v>0</v>
      </c>
      <c r="Q29" s="101">
        <f>SUMIFS('9'!$E:$E,'9'!$A:$A,Año_Inicial+10,'9'!$B:$B,'12'!P$4,'9'!$D:$D,"Prevención de enfermedades")</f>
        <v>0</v>
      </c>
      <c r="R29" s="101">
        <f>((A11_A_L7*Enfermedades_A)+(A11_B_L7*Enfermedades_B)+(A11_C_L7*Enfermedades_C)+(A11_D_L7*Enfermedades_D)+(A11_Y_L7*Enfermedades_Y))*Inflación_11</f>
        <v>0</v>
      </c>
      <c r="S29" s="101">
        <f>SUMIFS('9'!$E:$E,'9'!$A:$A,Año_Inicial+10,'9'!$B:$B,'12'!R$4,'9'!$D:$D,"Prevención de enfermedades")</f>
        <v>0</v>
      </c>
      <c r="T29" s="101">
        <f>((A11_A_L8*Enfermedades_A)+(A11_B_L8*Enfermedades_B)+(A11_C_L8*Enfermedades_C)+(A11_D_L8*Enfermedades_D)+(A11_Y_L8*Enfermedades_Y))*Inflación_11</f>
        <v>0</v>
      </c>
      <c r="U29" s="101">
        <f>SUMIFS('9'!$E:$E,'9'!$A:$A,Año_Inicial+10,'9'!$B:$B,'12'!T$4,'9'!$D:$D,"Prevención de enfermedades")</f>
        <v>0</v>
      </c>
      <c r="V29" s="101">
        <f>((A11_A_L9*Enfermedades_A)+(A11_B_L9*Enfermedades_B)+(A11_C_L9*Enfermedades_C)+(A11_D_L9*Enfermedades_D)+(A11_Y_L9*Enfermedades_Y))*Inflación_11</f>
        <v>0</v>
      </c>
      <c r="W29" s="101">
        <f>SUMIFS('9'!$E:$E,'9'!$A:$A,Año_Inicial+10,'9'!$B:$B,'12'!V$4,'9'!$D:$D,"Prevención de enfermedades")</f>
        <v>0</v>
      </c>
      <c r="X29" s="101">
        <f>((A11_A_L10*Enfermedades_A)+(A11_B_L10*Enfermedades_B)+(A11_C_L10*Enfermedades_C)+(A11_D_L10*Enfermedades_D)+(A11_Y_L10*Enfermedades_Y))*Inflación_11</f>
        <v>0</v>
      </c>
      <c r="Y29" s="101">
        <f>SUMIFS('9'!$E:$E,'9'!$A:$A,Año_Inicial+10,'9'!$B:$B,'12'!X$4,'9'!$D:$D,"Prevención de enfermedades")</f>
        <v>0</v>
      </c>
      <c r="Z29" s="101">
        <f>((A11_A_L11*Enfermedades_A)+(A11_B_L11*Enfermedades_B)+(A11_C_L11*Enfermedades_C)+(A11_D_L11*Enfermedades_D)+(A11_Y_L11*Enfermedades_Y))*Inflación_11</f>
        <v>0</v>
      </c>
      <c r="AA29" s="101">
        <f>SUMIFS('9'!$E:$E,'9'!$A:$A,Año_Inicial+10,'9'!$B:$B,'12'!Z$4,'9'!$D:$D,"Prevención de enfermedades")</f>
        <v>0</v>
      </c>
      <c r="AB29" s="101">
        <f>((A11_A_L12*Enfermedades_A)+(A11_B_L12*Enfermedades_B)+(A11_C_L12*Enfermedades_C)+(A11_D_L12*Enfermedades_D)+(A11_Y_L12*Enfermedades_Y))*Inflación_11</f>
        <v>0</v>
      </c>
      <c r="AC29" s="101">
        <f>SUMIFS('9'!$E:$E,'9'!$A:$A,Año_Inicial+10,'9'!$B:$B,'12'!AB$4,'9'!$D:$D,"Prevención de enfermedades")</f>
        <v>0</v>
      </c>
      <c r="AD29" s="101">
        <f>((A11_A_L13*Enfermedades_A)+(A11_B_L13*Enfermedades_B)+(A11_C_L13*Enfermedades_C)+(A11_D_L13*Enfermedades_D)+(A11_Y_L13*Enfermedades_Y))*Inflación_11</f>
        <v>0</v>
      </c>
      <c r="AE29" s="101">
        <f>SUMIFS('9'!$E:$E,'9'!$A:$A,Año_Inicial+10,'9'!$B:$B,'12'!AD$4,'9'!$D:$D,"Prevención de enfermedades")</f>
        <v>0</v>
      </c>
      <c r="AF29" s="101">
        <f>((A11_A_L14*Enfermedades_A)+(A11_B_L14*Enfermedades_B)+(A11_C_L14*Enfermedades_C)+(A11_D_L14*Enfermedades_D)+(A11_Y_L14*Enfermedades_Y))*Inflación_11</f>
        <v>0</v>
      </c>
      <c r="AG29" s="101">
        <f>SUMIFS('9'!$E:$E,'9'!$A:$A,Año_Inicial+10,'9'!$B:$B,'12'!AF$4,'9'!$D:$D,"Prevención de enfermedades")</f>
        <v>0</v>
      </c>
      <c r="AH29" s="101">
        <f>((A11_A_L15*Enfermedades_A)+(A11_B_L15*Enfermedades_B)+(A11_C_L15*Enfermedades_C)+(A11_D_L15*Enfermedades_D)+(A11_Y_L15*Enfermedades_Y))*Inflación_11</f>
        <v>0</v>
      </c>
      <c r="AI29" s="101">
        <f>SUMIFS('9'!$E:$E,'9'!$A:$A,Año_Inicial+10,'9'!$B:$B,'12'!AH$4,'9'!$D:$D,"Prevención de enfermedades")</f>
        <v>0</v>
      </c>
      <c r="AJ29" s="101">
        <f>((A11_A_L16*Enfermedades_A)+(A11_B_L16*Enfermedades_B)+(A11_C_L16*Enfermedades_C)+(A11_D_L16*Enfermedades_D)+(A11_Y_L16*Enfermedades_Y))*Inflación_11</f>
        <v>0</v>
      </c>
      <c r="AK29" s="101">
        <f>SUMIFS('9'!$E:$E,'9'!$A:$A,Año_Inicial+10,'9'!$B:$B,'12'!AJ$4,'9'!$D:$D,"Prevención de enfermedades")</f>
        <v>0</v>
      </c>
      <c r="AL29" s="101">
        <f>((A11_A_L17*Enfermedades_A)+(A11_B_L17*Enfermedades_B)+(A11_C_L17*Enfermedades_C)+(A11_D_L17*Enfermedades_D)+(A11_Y_L17*Enfermedades_Y))*Inflación_11</f>
        <v>0</v>
      </c>
      <c r="AM29" s="101">
        <f>SUMIFS('9'!$E:$E,'9'!$A:$A,Año_Inicial+10,'9'!$B:$B,'12'!AL$4,'9'!$D:$D,"Prevención de enfermedades")</f>
        <v>0</v>
      </c>
      <c r="AN29" s="101">
        <f>((A11_A_L18*Enfermedades_A)+(A11_B_L18*Enfermedades_B)+(A11_C_L18*Enfermedades_C)+(A11_D_L18*Enfermedades_D)+(A11_Y_L18*Enfermedades_Y))*Inflación_11</f>
        <v>0</v>
      </c>
      <c r="AO29" s="101">
        <f>SUMIFS('9'!$E:$E,'9'!$A:$A,Año_Inicial+10,'9'!$B:$B,'12'!AN$4,'9'!$D:$D,"Prevención de enfermedades")</f>
        <v>0</v>
      </c>
      <c r="AP29" s="101">
        <f>((A11_A_L19*Enfermedades_A)+(A11_B_L19*Enfermedades_B)+(A11_C_L19*Enfermedades_C)+(A11_D_L19*Enfermedades_D)+(A11_Y_L19*Enfermedades_Y))*Inflación_11</f>
        <v>0</v>
      </c>
      <c r="AQ29" s="101">
        <f>SUMIFS('9'!$E:$E,'9'!$A:$A,Año_Inicial+10,'9'!$B:$B,'12'!AP$4,'9'!$D:$D,"Prevención de enfermedades")</f>
        <v>0</v>
      </c>
      <c r="AR29" s="101">
        <f>((A11_A_L20*Enfermedades_A)+(A11_B_L20*Enfermedades_B)+(A11_C_L20*Enfermedades_C)+(A11_D_L20*Enfermedades_D)+(A11_Y_L20*Enfermedades_Y))*Inflación_11</f>
        <v>0</v>
      </c>
      <c r="AS29" s="101">
        <f>SUMIFS('9'!$E:$E,'9'!$A:$A,Año_Inicial+10,'9'!$B:$B,'12'!AR$4,'9'!$D:$D,"Prevención de enfermedades")</f>
        <v>0</v>
      </c>
      <c r="AT29" s="101">
        <f>((A11_A_L21*Enfermedades_A)+(A11_B_L21*Enfermedades_B)+(A11_C_L21*Enfermedades_C)+(A11_D_L21*Enfermedades_D)+(A11_Y_L21*Enfermedades_Y))*Inflación_11</f>
        <v>0</v>
      </c>
      <c r="AU29" s="101">
        <f>SUMIFS('9'!$E:$E,'9'!$A:$A,Año_Inicial+10,'9'!$B:$B,'12'!AT$4,'9'!$D:$D,"Prevención de enfermedades")</f>
        <v>0</v>
      </c>
      <c r="AV29" s="101">
        <f>((A11_A_L22*Enfermedades_A)+(A11_B_L22*Enfermedades_B)+(A11_C_L22*Enfermedades_C)+(A11_D_L22*Enfermedades_D)+(A11_Y_L22*Enfermedades_Y))*Inflación_11</f>
        <v>0</v>
      </c>
      <c r="AW29" s="101">
        <f>SUMIFS('9'!$E:$E,'9'!$A:$A,Año_Inicial+10,'9'!$B:$B,'12'!AV$4,'9'!$D:$D,"Prevención de enfermedades")</f>
        <v>0</v>
      </c>
      <c r="AX29" s="101">
        <f>((A11_A_L23*Enfermedades_A)+(A11_B_L23*Enfermedades_B)+(A11_C_L23*Enfermedades_C)+(A11_D_L23*Enfermedades_D)+(A11_Y_L23*Enfermedades_Y))*Inflación_11</f>
        <v>0</v>
      </c>
      <c r="AY29" s="101">
        <f>SUMIFS('9'!$E:$E,'9'!$A:$A,Año_Inicial+10,'9'!$B:$B,'12'!AX$4,'9'!$D:$D,"Prevención de enfermedades")</f>
        <v>0</v>
      </c>
      <c r="AZ29" s="101">
        <f>((A11_A_L24*Enfermedades_A)+(A11_B_L24*Enfermedades_B)+(A11_C_L24*Enfermedades_C)+(A11_D_L24*Enfermedades_D)+(A11_Y_L24*Enfermedades_Y))*Inflación_11</f>
        <v>0</v>
      </c>
      <c r="BA29" s="101">
        <f>SUMIFS('9'!$E:$E,'9'!$A:$A,Año_Inicial+10,'9'!$B:$B,'12'!AZ$4,'9'!$D:$D,"Prevención de enfermedades")</f>
        <v>0</v>
      </c>
      <c r="BB29" s="101">
        <f>((A11_A_L25*Enfermedades_A)+(A11_B_L25*Enfermedades_B)+(A11_C_L25*Enfermedades_C)+(A11_D_L25*Enfermedades_D)+(A11_Y_L25*Enfermedades_Y))*Inflación_11</f>
        <v>0</v>
      </c>
      <c r="BC29" s="101">
        <f>SUMIFS('9'!$E:$E,'9'!$A:$A,Año_Inicial+10,'9'!$B:$B,'12'!BB$4,'9'!$D:$D,"Prevención de enfermedades")</f>
        <v>0</v>
      </c>
      <c r="BD29" s="101">
        <f>((A11_A_L26*Enfermedades_A)+(A11_B_L26*Enfermedades_B)+(A11_C_L26*Enfermedades_C)+(A11_D_L26*Enfermedades_D)+(A11_Y_L26*Enfermedades_Y))*Inflación_11</f>
        <v>0</v>
      </c>
      <c r="BE29" s="101">
        <f>SUMIFS('9'!$E:$E,'9'!$A:$A,Año_Inicial+10,'9'!$B:$B,'12'!BD$4,'9'!$D:$D,"Prevención de enfermedades")</f>
        <v>0</v>
      </c>
      <c r="BF29" s="101">
        <f>((A11_A_L27*Enfermedades_A)+(A11_B_L27*Enfermedades_B)+(A11_C_L27*Enfermedades_C)+(A11_D_L27*Enfermedades_D)+(A11_Y_L27*Enfermedades_Y))*Inflación_11</f>
        <v>0</v>
      </c>
      <c r="BG29" s="101">
        <f>SUMIFS('9'!$E:$E,'9'!$A:$A,Año_Inicial+10,'9'!$B:$B,'12'!BF$4,'9'!$D:$D,"Prevención de enfermedades")</f>
        <v>0</v>
      </c>
      <c r="BH29" s="101">
        <f>((A11_A_L28*Enfermedades_A)+(A11_B_L28*Enfermedades_B)+(A11_C_L28*Enfermedades_C)+(A11_D_L28*Enfermedades_D)+(A11_Y_L28*Enfermedades_Y))*Inflación_11</f>
        <v>0</v>
      </c>
      <c r="BI29" s="101">
        <f>SUMIFS('9'!$E:$E,'9'!$A:$A,Año_Inicial+10,'9'!$B:$B,'12'!BH$4,'9'!$D:$D,"Prevención de enfermedades")</f>
        <v>0</v>
      </c>
      <c r="BJ29" s="101">
        <f>((A11_A_L29*Enfermedades_A)+(A11_B_L29*Enfermedades_B)+(A11_C_L29*Enfermedades_C)+(A11_D_L29*Enfermedades_D)+(A11_Y_L29*Enfermedades_Y))*Inflación_11</f>
        <v>0</v>
      </c>
      <c r="BK29" s="101">
        <f>SUMIFS('9'!$E:$E,'9'!$A:$A,Año_Inicial+10,'9'!$B:$B,'12'!BJ$4,'9'!$D:$D,"Prevención de enfermedades")</f>
        <v>0</v>
      </c>
      <c r="BL29" s="101">
        <f>((A11_A_L30*Enfermedades_A)+(A11_B_L30*Enfermedades_B)+(A11_C_L30*Enfermedades_C)+(A11_D_L30*Enfermedades_D)+(A11_Y_L30*Enfermedades_Y))*Inflación_11</f>
        <v>0</v>
      </c>
      <c r="BM29" s="101">
        <f>SUMIFS('9'!$E:$E,'9'!$A:$A,Año_Inicial+10,'9'!$B:$B,'12'!BL$4,'9'!$D:$D,"Prevención de enfermedades")</f>
        <v>0</v>
      </c>
      <c r="BN29" s="101">
        <f>((A11_A_L31*Enfermedades_A)+(A11_B_L31*Enfermedades_B)+(A11_C_L31*Enfermedades_C)+(A11_D_L31*Enfermedades_D)+(A11_Y_L31*Enfermedades_Y))*Inflación_11</f>
        <v>0</v>
      </c>
      <c r="BO29" s="101">
        <f>SUMIFS('9'!$E:$E,'9'!$A:$A,Año_Inicial+10,'9'!$B:$B,'12'!BN$4,'9'!$D:$D,"Prevención de enfermedades")</f>
        <v>0</v>
      </c>
      <c r="BP29" s="101">
        <f>((A11_A_L32*Enfermedades_A)+(A11_B_L32*Enfermedades_B)+(A11_C_L32*Enfermedades_C)+(A11_D_L32*Enfermedades_D)+(A11_Y_L32*Enfermedades_Y))*Inflación_11</f>
        <v>0</v>
      </c>
      <c r="BQ29" s="101">
        <f>SUMIFS('9'!$E:$E,'9'!$A:$A,Año_Inicial+10,'9'!$B:$B,'12'!BP$4,'9'!$D:$D,"Prevención de enfermedades")</f>
        <v>0</v>
      </c>
      <c r="BR29" s="101">
        <f>((A11_A_L33*Enfermedades_A)+(A11_B_L33*Enfermedades_B)+(A11_C_L33*Enfermedades_C)+(A11_D_L33*Enfermedades_D)+(A11_Y_L33*Enfermedades_Y))*Inflación_11</f>
        <v>0</v>
      </c>
      <c r="BS29" s="101">
        <f>SUMIFS('9'!$E:$E,'9'!$A:$A,Año_Inicial+10,'9'!$B:$B,'12'!BR$4,'9'!$D:$D,"Prevención de enfermedades")</f>
        <v>0</v>
      </c>
      <c r="BT29" s="101">
        <f>((A11_A_L34*Enfermedades_A)+(A11_B_L34*Enfermedades_B)+(A11_C_L34*Enfermedades_C)+(A11_D_L34*Enfermedades_D)+(A11_Y_L34*Enfermedades_Y))*Inflación_11</f>
        <v>0</v>
      </c>
      <c r="BU29" s="101">
        <f>SUMIFS('9'!$E:$E,'9'!$A:$A,Año_Inicial+10,'9'!$B:$B,'12'!BT$4,'9'!$D:$D,"Prevención de enfermedades")</f>
        <v>0</v>
      </c>
      <c r="BV29" s="101">
        <f>((A11_A_L35*Enfermedades_A)+(A11_B_L35*Enfermedades_B)+(A11_C_L35*Enfermedades_C)+(A11_D_L35*Enfermedades_D)+(A11_Y_L35*Enfermedades_Y))*Inflación_11</f>
        <v>0</v>
      </c>
      <c r="BW29" s="101">
        <f>SUMIFS('9'!$E:$E,'9'!$A:$A,Año_Inicial+10,'9'!$B:$B,'12'!BV$4,'9'!$D:$D,"Prevención de enfermedades")</f>
        <v>0</v>
      </c>
      <c r="BX29" s="101">
        <f>((A11_A_L36*Enfermedades_A)+(A11_B_L36*Enfermedades_B)+(A11_C_L36*Enfermedades_C)+(A11_D_L36*Enfermedades_D)+(A11_Y_L36*Enfermedades_Y))*Inflación_11</f>
        <v>0</v>
      </c>
      <c r="BY29" s="101">
        <f>SUMIFS('9'!$E:$E,'9'!$A:$A,Año_Inicial+10,'9'!$B:$B,'12'!BX$4,'9'!$D:$D,"Prevención de enfermedades")</f>
        <v>0</v>
      </c>
      <c r="BZ29" s="101">
        <f>((A11_A_L37*Enfermedades_A)+(A11_B_L37*Enfermedades_B)+(A11_C_L37*Enfermedades_C)+(A11_D_L37*Enfermedades_D)+(A11_Y_L37*Enfermedades_Y))*Inflación_11</f>
        <v>0</v>
      </c>
      <c r="CA29" s="101">
        <f>SUMIFS('9'!$E:$E,'9'!$A:$A,Año_Inicial+10,'9'!$B:$B,'12'!BZ$4,'9'!$D:$D,"Prevención de enfermedades")</f>
        <v>0</v>
      </c>
      <c r="CB29" s="101">
        <f>((A11_A_L38*Enfermedades_A)+(A11_B_L38*Enfermedades_B)+(A11_C_L38*Enfermedades_C)+(A11_D_L38*Enfermedades_D)+(A11_Y_L38*Enfermedades_Y))*Inflación_11</f>
        <v>0</v>
      </c>
      <c r="CC29" s="101">
        <f>SUMIFS('9'!$E:$E,'9'!$A:$A,Año_Inicial+10,'9'!$B:$B,'12'!CB$4,'9'!$D:$D,"Prevención de enfermedades")</f>
        <v>0</v>
      </c>
      <c r="CD29" s="101">
        <f>((A11_A_L39*Enfermedades_A)+(A11_B_L39*Enfermedades_B)+(A11_C_L39*Enfermedades_C)+(A11_D_L39*Enfermedades_D)+(A11_Y_L39*Enfermedades_Y))*Inflación_11</f>
        <v>0</v>
      </c>
      <c r="CE29" s="101">
        <f>SUMIFS('9'!$E:$E,'9'!$A:$A,Año_Inicial+10,'9'!$B:$B,'12'!CD$4,'9'!$D:$D,"Prevención de enfermedades")</f>
        <v>0</v>
      </c>
      <c r="CF29" s="101">
        <f>((A11_A_L40*Enfermedades_A)+(A11_B_L40*Enfermedades_B)+(A11_C_L40*Enfermedades_C)+(A11_D_L40*Enfermedades_D)+(A11_Y_L40*Enfermedades_Y))*Inflación_11</f>
        <v>0</v>
      </c>
      <c r="CG29" s="101">
        <f>SUMIFS('9'!$E:$E,'9'!$A:$A,Año_Inicial+10,'9'!$B:$B,'12'!CF$4,'9'!$D:$D,"Prevención de enfermedades")</f>
        <v>0</v>
      </c>
      <c r="CH29" s="473"/>
      <c r="CI29" s="101">
        <f>Plantas_A_A11*Enfermedades_A*Inflación_11</f>
        <v>0</v>
      </c>
      <c r="CJ29" s="101">
        <f>Plantas_B_A11*Enfermedades_B</f>
        <v>0</v>
      </c>
      <c r="CK29" s="101">
        <f>Plantas_C_A11*Enfermedades_C</f>
        <v>0</v>
      </c>
      <c r="CL29" s="101">
        <f>Plantas_D_A11*Enfermedades_D</f>
        <v>0</v>
      </c>
      <c r="CM29" s="101"/>
      <c r="CN29" s="101">
        <f>Plantas_Y_A11*Enfermedades_Y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SUMIFS('9'!$E:$E,'9'!$A:$A,Año_Inicial+10,'9'!$D:$D,"Fungicida")</f>
        <v>0</v>
      </c>
      <c r="D30" s="100">
        <f t="shared" si="45"/>
        <v>0</v>
      </c>
      <c r="E30" s="473"/>
      <c r="F30" s="101">
        <f>((A11_A_L1*Fungicida_A)+(A11_B_L1*Fungicida_B)+(A11_C_L1*Fungicida_C)+(A11_D_L1*Fungicida_D)+(A11_Y_L1*Fungicida_Y))*Inflación_11</f>
        <v>0</v>
      </c>
      <c r="G30" s="101">
        <f>SUMIFS('9'!$E:$E,'9'!$A:$A,Año_Inicial+10,'9'!$B:$B,'12'!F$4,'9'!$D:$D,"Fungicida")</f>
        <v>0</v>
      </c>
      <c r="H30" s="101">
        <f>((A11_A_L2*Fungicida_A)+(A11_B_L2*Fungicida_B)+(A11_C_L2*Fungicida_C)+(A11_D_L2*Fungicida_D)+(A11_Y_L2*Fungicida_Y))*Inflación_11</f>
        <v>0</v>
      </c>
      <c r="I30" s="101">
        <f>SUMIFS('9'!$E:$E,'9'!$A:$A,Año_Inicial+10,'9'!$B:$B,'12'!H$4,'9'!$D:$D,"Fungicida")</f>
        <v>0</v>
      </c>
      <c r="J30" s="101">
        <f>((A11_A_L3*Fungicida_A)+(A11_B_L3*Fungicida_B)+(A11_C_L3*Fungicida_C)+(A11_D_L3*Fungicida_D)+(A11_Y_L3*Fungicida_Y))*Inflación_11</f>
        <v>0</v>
      </c>
      <c r="K30" s="101">
        <f>SUMIFS('9'!$E:$E,'9'!$A:$A,Año_Inicial+10,'9'!$B:$B,'12'!J$4,'9'!$D:$D,"Fungicida")</f>
        <v>0</v>
      </c>
      <c r="L30" s="101">
        <f>((A11_A_L4*Fungicida_A)+(A11_B_L4*Fungicida_B)+(A11_C_L4*Fungicida_C)+(A11_D_L4*Fungicida_D)+(A11_Y_L4*Fungicida_Y))*Inflación_11</f>
        <v>0</v>
      </c>
      <c r="M30" s="101">
        <f>SUMIFS('9'!$E:$E,'9'!$A:$A,Año_Inicial+10,'9'!$B:$B,'12'!L$4,'9'!$D:$D,"Fungicida")</f>
        <v>0</v>
      </c>
      <c r="N30" s="101">
        <f>((A11_A_L5*Fungicida_A)+(A11_B_L5*Fungicida_B)+(A11_C_L5*Fungicida_C)+(A11_D_L5*Fungicida_D)+(A11_Y_L5*Fungicida_Y))*Inflación_11</f>
        <v>0</v>
      </c>
      <c r="O30" s="101">
        <f>SUMIFS('9'!$E:$E,'9'!$A:$A,Año_Inicial+10,'9'!$B:$B,'12'!N$4,'9'!$D:$D,"Fungicida")</f>
        <v>0</v>
      </c>
      <c r="P30" s="101">
        <f>((A11_A_L6*Fungicida_A)+(A11_B_L6*Fungicida_B)+(A11_C_L6*Fungicida_C)+(A11_D_L6*Fungicida_D)+(A11_Y_L6*Fungicida_Y))*Inflación_11</f>
        <v>0</v>
      </c>
      <c r="Q30" s="101">
        <f>SUMIFS('9'!$E:$E,'9'!$A:$A,Año_Inicial+10,'9'!$B:$B,'12'!P$4,'9'!$D:$D,"Fungicida")</f>
        <v>0</v>
      </c>
      <c r="R30" s="101">
        <f>((A11_A_L7*Fungicida_A)+(A11_B_L7*Fungicida_B)+(A11_C_L7*Fungicida_C)+(A11_D_L7*Fungicida_D)+(A11_Y_L7*Fungicida_Y))*Inflación_11</f>
        <v>0</v>
      </c>
      <c r="S30" s="101">
        <f>SUMIFS('9'!$E:$E,'9'!$A:$A,Año_Inicial+10,'9'!$B:$B,'12'!R$4,'9'!$D:$D,"Fungicida")</f>
        <v>0</v>
      </c>
      <c r="T30" s="101">
        <f>((A11_A_L8*Fungicida_A)+(A11_B_L8*Fungicida_B)+(A11_C_L8*Fungicida_C)+(A11_D_L8*Fungicida_D)+(A11_Y_L8*Fungicida_Y))*Inflación_11</f>
        <v>0</v>
      </c>
      <c r="U30" s="101">
        <f>SUMIFS('9'!$E:$E,'9'!$A:$A,Año_Inicial+10,'9'!$B:$B,'12'!T$4,'9'!$D:$D,"Fungicida")</f>
        <v>0</v>
      </c>
      <c r="V30" s="101">
        <f>((A11_A_L9*Fungicida_A)+(A11_B_L9*Fungicida_B)+(A11_C_L9*Fungicida_C)+(A11_D_L9*Fungicida_D)+(A11_Y_L9*Fungicida_Y))*Inflación_11</f>
        <v>0</v>
      </c>
      <c r="W30" s="101">
        <f>SUMIFS('9'!$E:$E,'9'!$A:$A,Año_Inicial+10,'9'!$B:$B,'12'!V$4,'9'!$D:$D,"Fungicida")</f>
        <v>0</v>
      </c>
      <c r="X30" s="101">
        <f>((A11_A_L10*Fungicida_A)+(A11_B_L10*Fungicida_B)+(A11_C_L10*Fungicida_C)+(A11_D_L10*Fungicida_D)+(A11_Y_L10*Fungicida_Y))*Inflación_11</f>
        <v>0</v>
      </c>
      <c r="Y30" s="101">
        <f>SUMIFS('9'!$E:$E,'9'!$A:$A,Año_Inicial+10,'9'!$B:$B,'12'!X$4,'9'!$D:$D,"Fungicida")</f>
        <v>0</v>
      </c>
      <c r="Z30" s="101">
        <f>((A11_A_L11*Fungicida_A)+(A11_B_L11*Fungicida_B)+(A11_C_L11*Fungicida_C)+(A11_D_L11*Fungicida_D)+(A11_Y_L11*Fungicida_Y))*Inflación_11</f>
        <v>0</v>
      </c>
      <c r="AA30" s="101">
        <f>SUMIFS('9'!$E:$E,'9'!$A:$A,Año_Inicial+10,'9'!$B:$B,'12'!Z$4,'9'!$D:$D,"Fungicida")</f>
        <v>0</v>
      </c>
      <c r="AB30" s="101">
        <f>((A11_A_L12*Fungicida_A)+(A11_B_L12*Fungicida_B)+(A11_C_L12*Fungicida_C)+(A11_D_L12*Fungicida_D)+(A11_Y_L12*Fungicida_Y))*Inflación_11</f>
        <v>0</v>
      </c>
      <c r="AC30" s="101">
        <f>SUMIFS('9'!$E:$E,'9'!$A:$A,Año_Inicial+10,'9'!$B:$B,'12'!AB$4,'9'!$D:$D,"Fungicida")</f>
        <v>0</v>
      </c>
      <c r="AD30" s="101">
        <f>((A11_A_L13*Fungicida_A)+(A11_B_L13*Fungicida_B)+(A11_C_L13*Fungicida_C)+(A11_D_L13*Fungicida_D)+(A11_Y_L13*Fungicida_Y))*Inflación_11</f>
        <v>0</v>
      </c>
      <c r="AE30" s="101">
        <f>SUMIFS('9'!$E:$E,'9'!$A:$A,Año_Inicial+10,'9'!$B:$B,'12'!AD$4,'9'!$D:$D,"Fungicida")</f>
        <v>0</v>
      </c>
      <c r="AF30" s="101">
        <f>((A11_A_L14*Fungicida_A)+(A11_B_L14*Fungicida_B)+(A11_C_L14*Fungicida_C)+(A11_D_L14*Fungicida_D)+(A11_Y_L14*Fungicida_Y))*Inflación_11</f>
        <v>0</v>
      </c>
      <c r="AG30" s="101">
        <f>SUMIFS('9'!$E:$E,'9'!$A:$A,Año_Inicial+10,'9'!$B:$B,'12'!AF$4,'9'!$D:$D,"Fungicida")</f>
        <v>0</v>
      </c>
      <c r="AH30" s="101">
        <f>((A11_A_L15*Fungicida_A)+(A11_B_L15*Fungicida_B)+(A11_C_L15*Fungicida_C)+(A11_D_L15*Fungicida_D)+(A11_Y_L15*Fungicida_Y))*Inflación_11</f>
        <v>0</v>
      </c>
      <c r="AI30" s="101">
        <f>SUMIFS('9'!$E:$E,'9'!$A:$A,Año_Inicial+10,'9'!$B:$B,'12'!AH$4,'9'!$D:$D,"Fungicida")</f>
        <v>0</v>
      </c>
      <c r="AJ30" s="101">
        <f>((A11_A_L16*Fungicida_A)+(A11_B_L16*Fungicida_B)+(A11_C_L16*Fungicida_C)+(A11_D_L16*Fungicida_D)+(A11_Y_L16*Fungicida_Y))*Inflación_11</f>
        <v>0</v>
      </c>
      <c r="AK30" s="101">
        <f>SUMIFS('9'!$E:$E,'9'!$A:$A,Año_Inicial+10,'9'!$B:$B,'12'!AJ$4,'9'!$D:$D,"Fungicida")</f>
        <v>0</v>
      </c>
      <c r="AL30" s="101">
        <f>((A11_A_L17*Fungicida_A)+(A11_B_L17*Fungicida_B)+(A11_C_L17*Fungicida_C)+(A11_D_L17*Fungicida_D)+(A11_Y_L17*Fungicida_Y))*Inflación_11</f>
        <v>0</v>
      </c>
      <c r="AM30" s="101">
        <f>SUMIFS('9'!$E:$E,'9'!$A:$A,Año_Inicial+10,'9'!$B:$B,'12'!AL$4,'9'!$D:$D,"Fungicida")</f>
        <v>0</v>
      </c>
      <c r="AN30" s="101">
        <f>((A11_A_L18*Fungicida_A)+(A11_B_L18*Fungicida_B)+(A11_C_L18*Fungicida_C)+(A11_D_L18*Fungicida_D)+(A11_Y_L18*Fungicida_Y))*Inflación_11</f>
        <v>0</v>
      </c>
      <c r="AO30" s="101">
        <f>SUMIFS('9'!$E:$E,'9'!$A:$A,Año_Inicial+10,'9'!$B:$B,'12'!AN$4,'9'!$D:$D,"Fungicida")</f>
        <v>0</v>
      </c>
      <c r="AP30" s="101">
        <f>((A11_A_L19*Fungicida_A)+(A11_B_L19*Fungicida_B)+(A11_C_L19*Fungicida_C)+(A11_D_L19*Fungicida_D)+(A11_Y_L19*Fungicida_Y))*Inflación_11</f>
        <v>0</v>
      </c>
      <c r="AQ30" s="101">
        <f>SUMIFS('9'!$E:$E,'9'!$A:$A,Año_Inicial+10,'9'!$B:$B,'12'!AP$4,'9'!$D:$D,"Fungicida")</f>
        <v>0</v>
      </c>
      <c r="AR30" s="101">
        <f>((A11_A_L20*Fungicida_A)+(A11_B_L20*Fungicida_B)+(A11_C_L20*Fungicida_C)+(A11_D_L20*Fungicida_D)+(A11_Y_L20*Fungicida_Y))*Inflación_11</f>
        <v>0</v>
      </c>
      <c r="AS30" s="101">
        <f>SUMIFS('9'!$E:$E,'9'!$A:$A,Año_Inicial+10,'9'!$B:$B,'12'!AR$4,'9'!$D:$D,"Fungicida")</f>
        <v>0</v>
      </c>
      <c r="AT30" s="101">
        <f>((A11_A_L21*Fungicida_A)+(A11_B_L21*Fungicida_B)+(A11_C_L21*Fungicida_C)+(A11_D_L21*Fungicida_D)+(A11_Y_L21*Fungicida_Y))*Inflación_11</f>
        <v>0</v>
      </c>
      <c r="AU30" s="101">
        <f>SUMIFS('9'!$E:$E,'9'!$A:$A,Año_Inicial+10,'9'!$B:$B,'12'!AT$4,'9'!$D:$D,"Fungicida")</f>
        <v>0</v>
      </c>
      <c r="AV30" s="101">
        <f>((A11_A_L22*Fungicida_A)+(A11_B_L22*Fungicida_B)+(A11_C_L22*Fungicida_C)+(A11_D_L22*Fungicida_D)+(A11_Y_L22*Fungicida_Y))*Inflación_11</f>
        <v>0</v>
      </c>
      <c r="AW30" s="101">
        <f>SUMIFS('9'!$E:$E,'9'!$A:$A,Año_Inicial+10,'9'!$B:$B,'12'!AV$4,'9'!$D:$D,"Fungicida")</f>
        <v>0</v>
      </c>
      <c r="AX30" s="101">
        <f>((A11_A_L23*Fungicida_A)+(A11_B_L23*Fungicida_B)+(A11_C_L23*Fungicida_C)+(A11_D_L23*Fungicida_D)+(A11_Y_L23*Fungicida_Y))*Inflación_11</f>
        <v>0</v>
      </c>
      <c r="AY30" s="101">
        <f>SUMIFS('9'!$E:$E,'9'!$A:$A,Año_Inicial+10,'9'!$B:$B,'12'!AX$4,'9'!$D:$D,"Fungicida")</f>
        <v>0</v>
      </c>
      <c r="AZ30" s="101">
        <f>((A11_A_L24*Fungicida_A)+(A11_B_L24*Fungicida_B)+(A11_C_L24*Fungicida_C)+(A11_D_L24*Fungicida_D)+(A11_Y_L24*Fungicida_Y))*Inflación_11</f>
        <v>0</v>
      </c>
      <c r="BA30" s="101">
        <f>SUMIFS('9'!$E:$E,'9'!$A:$A,Año_Inicial+10,'9'!$B:$B,'12'!AZ$4,'9'!$D:$D,"Fungicida")</f>
        <v>0</v>
      </c>
      <c r="BB30" s="101">
        <f>((A11_A_L25*Fungicida_A)+(A11_B_L25*Fungicida_B)+(A11_C_L25*Fungicida_C)+(A11_D_L25*Fungicida_D)+(A11_Y_L25*Fungicida_Y))*Inflación_11</f>
        <v>0</v>
      </c>
      <c r="BC30" s="101">
        <f>SUMIFS('9'!$E:$E,'9'!$A:$A,Año_Inicial+10,'9'!$B:$B,'12'!BB$4,'9'!$D:$D,"Fungicida")</f>
        <v>0</v>
      </c>
      <c r="BD30" s="101">
        <f>((A11_A_L26*Fungicida_A)+(A11_B_L26*Fungicida_B)+(A11_C_L26*Fungicida_C)+(A11_D_L26*Fungicida_D)+(A11_Y_L26*Fungicida_Y))*Inflación_11</f>
        <v>0</v>
      </c>
      <c r="BE30" s="101">
        <f>SUMIFS('9'!$E:$E,'9'!$A:$A,Año_Inicial+10,'9'!$B:$B,'12'!BD$4,'9'!$D:$D,"Fungicida")</f>
        <v>0</v>
      </c>
      <c r="BF30" s="101">
        <f>((A11_A_L27*Fungicida_A)+(A11_B_L27*Fungicida_B)+(A11_C_L27*Fungicida_C)+(A11_D_L27*Fungicida_D)+(A11_Y_L27*Fungicida_Y))*Inflación_11</f>
        <v>0</v>
      </c>
      <c r="BG30" s="101">
        <f>SUMIFS('9'!$E:$E,'9'!$A:$A,Año_Inicial+10,'9'!$B:$B,'12'!BF$4,'9'!$D:$D,"Fungicida")</f>
        <v>0</v>
      </c>
      <c r="BH30" s="101">
        <f>((A11_A_L28*Fungicida_A)+(A11_B_L28*Fungicida_B)+(A11_C_L28*Fungicida_C)+(A11_D_L28*Fungicida_D)+(A11_Y_L28*Fungicida_Y))*Inflación_11</f>
        <v>0</v>
      </c>
      <c r="BI30" s="101">
        <f>SUMIFS('9'!$E:$E,'9'!$A:$A,Año_Inicial+10,'9'!$B:$B,'12'!BH$4,'9'!$D:$D,"Fungicida")</f>
        <v>0</v>
      </c>
      <c r="BJ30" s="101">
        <f>((A11_A_L29*Fungicida_A)+(A11_B_L29*Fungicida_B)+(A11_C_L29*Fungicida_C)+(A11_D_L29*Fungicida_D)+(A11_Y_L29*Fungicida_Y))*Inflación_11</f>
        <v>0</v>
      </c>
      <c r="BK30" s="101">
        <f>SUMIFS('9'!$E:$E,'9'!$A:$A,Año_Inicial+10,'9'!$B:$B,'12'!BJ$4,'9'!$D:$D,"Fungicida")</f>
        <v>0</v>
      </c>
      <c r="BL30" s="101">
        <f>((A11_A_L30*Fungicida_A)+(A11_B_L30*Fungicida_B)+(A11_C_L30*Fungicida_C)+(A11_D_L30*Fungicida_D)+(A11_Y_L30*Fungicida_Y))*Inflación_11</f>
        <v>0</v>
      </c>
      <c r="BM30" s="101">
        <f>SUMIFS('9'!$E:$E,'9'!$A:$A,Año_Inicial+10,'9'!$B:$B,'12'!BL$4,'9'!$D:$D,"Fungicida")</f>
        <v>0</v>
      </c>
      <c r="BN30" s="101">
        <f>((A11_A_L31*Fungicida_A)+(A11_B_L31*Fungicida_B)+(A11_C_L31*Fungicida_C)+(A11_D_L31*Fungicida_D)+(A11_Y_L31*Fungicida_Y))*Inflación_11</f>
        <v>0</v>
      </c>
      <c r="BO30" s="101">
        <f>SUMIFS('9'!$E:$E,'9'!$A:$A,Año_Inicial+10,'9'!$B:$B,'12'!BN$4,'9'!$D:$D,"Fungicida")</f>
        <v>0</v>
      </c>
      <c r="BP30" s="101">
        <f>((A11_A_L32*Fungicida_A)+(A11_B_L32*Fungicida_B)+(A11_C_L32*Fungicida_C)+(A11_D_L32*Fungicida_D)+(A11_Y_L32*Fungicida_Y))*Inflación_11</f>
        <v>0</v>
      </c>
      <c r="BQ30" s="101">
        <f>SUMIFS('9'!$E:$E,'9'!$A:$A,Año_Inicial+10,'9'!$B:$B,'12'!BP$4,'9'!$D:$D,"Fungicida")</f>
        <v>0</v>
      </c>
      <c r="BR30" s="101">
        <f>((A11_A_L33*Fungicida_A)+(A11_B_L33*Fungicida_B)+(A11_C_L33*Fungicida_C)+(A11_D_L33*Fungicida_D)+(A11_Y_L33*Fungicida_Y))*Inflación_11</f>
        <v>0</v>
      </c>
      <c r="BS30" s="101">
        <f>SUMIFS('9'!$E:$E,'9'!$A:$A,Año_Inicial+10,'9'!$B:$B,'12'!BR$4,'9'!$D:$D,"Fungicida")</f>
        <v>0</v>
      </c>
      <c r="BT30" s="101">
        <f>((A11_A_L34*Fungicida_A)+(A11_B_L34*Fungicida_B)+(A11_C_L34*Fungicida_C)+(A11_D_L34*Fungicida_D)+(A11_Y_L34*Fungicida_Y))*Inflación_11</f>
        <v>0</v>
      </c>
      <c r="BU30" s="101">
        <f>SUMIFS('9'!$E:$E,'9'!$A:$A,Año_Inicial+10,'9'!$B:$B,'12'!BT$4,'9'!$D:$D,"Fungicida")</f>
        <v>0</v>
      </c>
      <c r="BV30" s="101">
        <f>((A11_A_L35*Fungicida_A)+(A11_B_L35*Fungicida_B)+(A11_C_L35*Fungicida_C)+(A11_D_L35*Fungicida_D)+(A11_Y_L35*Fungicida_Y))*Inflación_11</f>
        <v>0</v>
      </c>
      <c r="BW30" s="101">
        <f>SUMIFS('9'!$E:$E,'9'!$A:$A,Año_Inicial+10,'9'!$B:$B,'12'!BV$4,'9'!$D:$D,"Fungicida")</f>
        <v>0</v>
      </c>
      <c r="BX30" s="101">
        <f>((A11_A_L36*Fungicida_A)+(A11_B_L36*Fungicida_B)+(A11_C_L36*Fungicida_C)+(A11_D_L36*Fungicida_D)+(A11_Y_L36*Fungicida_Y))*Inflación_11</f>
        <v>0</v>
      </c>
      <c r="BY30" s="101">
        <f>SUMIFS('9'!$E:$E,'9'!$A:$A,Año_Inicial+10,'9'!$B:$B,'12'!BX$4,'9'!$D:$D,"Fungicida")</f>
        <v>0</v>
      </c>
      <c r="BZ30" s="101">
        <f>((A11_A_L37*Fungicida_A)+(A11_B_L37*Fungicida_B)+(A11_C_L37*Fungicida_C)+(A11_D_L37*Fungicida_D)+(A11_Y_L37*Fungicida_Y))*Inflación_11</f>
        <v>0</v>
      </c>
      <c r="CA30" s="101">
        <f>SUMIFS('9'!$E:$E,'9'!$A:$A,Año_Inicial+10,'9'!$B:$B,'12'!BZ$4,'9'!$D:$D,"Fungicida")</f>
        <v>0</v>
      </c>
      <c r="CB30" s="101">
        <f>((A11_A_L38*Fungicida_A)+(A11_B_L38*Fungicida_B)+(A11_C_L38*Fungicida_C)+(A11_D_L38*Fungicida_D)+(A11_Y_L38*Fungicida_Y))*Inflación_11</f>
        <v>0</v>
      </c>
      <c r="CC30" s="101">
        <f>SUMIFS('9'!$E:$E,'9'!$A:$A,Año_Inicial+10,'9'!$B:$B,'12'!CB$4,'9'!$D:$D,"Fungicida")</f>
        <v>0</v>
      </c>
      <c r="CD30" s="101">
        <f>((A11_A_L39*Fungicida_A)+(A11_B_L39*Fungicida_B)+(A11_C_L39*Fungicida_C)+(A11_D_L39*Fungicida_D)+(A11_Y_L39*Fungicida_Y))*Inflación_11</f>
        <v>0</v>
      </c>
      <c r="CE30" s="101">
        <f>SUMIFS('9'!$E:$E,'9'!$A:$A,Año_Inicial+10,'9'!$B:$B,'12'!CD$4,'9'!$D:$D,"Fungicida")</f>
        <v>0</v>
      </c>
      <c r="CF30" s="101">
        <f>((A11_A_L40*Fungicida_A)+(A11_B_L40*Fungicida_B)+(A11_C_L40*Fungicida_C)+(A11_D_L40*Fungicida_D)+(A11_Y_L40*Fungicida_Y))*Inflación_11</f>
        <v>0</v>
      </c>
      <c r="CG30" s="101">
        <f>SUMIFS('9'!$E:$E,'9'!$A:$A,Año_Inicial+10,'9'!$B:$B,'12'!CF$4,'9'!$D:$D,"Fungicida")</f>
        <v>0</v>
      </c>
      <c r="CH30" s="473"/>
      <c r="CI30" s="101">
        <f>Plantas_A_A11*Fungicida_A*Inflación_11</f>
        <v>0</v>
      </c>
      <c r="CJ30" s="101">
        <f>Plantas_B_A11*Fungicida_B</f>
        <v>0</v>
      </c>
      <c r="CK30" s="101">
        <f>Plantas_C_A11*Fungicida_C</f>
        <v>0</v>
      </c>
      <c r="CL30" s="101">
        <f>Plantas_D_A11*Fungicida_D</f>
        <v>0</v>
      </c>
      <c r="CM30" s="101"/>
      <c r="CN30" s="101">
        <f>Plantas_Y_A11*Fungicida_Y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SUMIFS('9'!$E:$E,'9'!$A:$A,Año_Inicial+10,'9'!$D:$D,"Manejo de sombra")</f>
        <v>0</v>
      </c>
      <c r="D32" s="100">
        <f t="shared" si="45"/>
        <v>0</v>
      </c>
      <c r="E32" s="473"/>
      <c r="F32" s="101">
        <f>((A11_A_L1*Sombra_A)+(A11_B_L1*Sombra_B)+(A11_C_L1*Sombra_C)+(A11_D_L1*Sombra_D)+(A11_Y_L1*Sombra_Y))*Inflación_11</f>
        <v>0</v>
      </c>
      <c r="G32" s="101">
        <f>SUMIFS('9'!$E:$E,'9'!$A:$A,Año_Inicial+10,'9'!$B:$B,'12'!F$4,'9'!$D:$D,"Manejo de sombra")</f>
        <v>0</v>
      </c>
      <c r="H32" s="101">
        <f>((A11_A_L2*Sombra_A)+(A11_B_L2*Sombra_B)+(A11_C_L2*Sombra_C)+(A11_D_L2*Sombra_D)+(A11_Y_L2*Sombra_Y))*Inflación_11</f>
        <v>0</v>
      </c>
      <c r="I32" s="101">
        <f>SUMIFS('9'!$E:$E,'9'!$A:$A,Año_Inicial+10,'9'!$B:$B,'12'!H$4,'9'!$D:$D,"Manejo de sombra")</f>
        <v>0</v>
      </c>
      <c r="J32" s="101">
        <f>((A11_A_L3*Sombra_A)+(A11_B_L3*Sombra_B)+(A11_C_L3*Sombra_C)+(A11_D_L3*Sombra_D)+(A11_Y_L3*Sombra_Y))*Inflación_11</f>
        <v>0</v>
      </c>
      <c r="K32" s="101">
        <f>SUMIFS('9'!$E:$E,'9'!$A:$A,Año_Inicial+10,'9'!$B:$B,'12'!J$4,'9'!$D:$D,"Manejo de sombra")</f>
        <v>0</v>
      </c>
      <c r="L32" s="101">
        <f>((A11_A_L4*Sombra_A)+(A11_B_L4*Sombra_B)+(A11_C_L4*Sombra_C)+(A11_D_L4*Sombra_D)+(A11_Y_L4*Sombra_Y))*Inflación_11</f>
        <v>0</v>
      </c>
      <c r="M32" s="101">
        <f>SUMIFS('9'!$E:$E,'9'!$A:$A,Año_Inicial+10,'9'!$B:$B,'12'!L$4,'9'!$D:$D,"Manejo de sombra")</f>
        <v>0</v>
      </c>
      <c r="N32" s="101">
        <f>((A11_A_L5*Sombra_A)+(A11_B_L5*Sombra_B)+(A11_C_L5*Sombra_C)+(A11_D_L5*Sombra_D)+(A11_Y_L5*Sombra_Y))*Inflación_11</f>
        <v>0</v>
      </c>
      <c r="O32" s="101">
        <f>SUMIFS('9'!$E:$E,'9'!$A:$A,Año_Inicial+10,'9'!$B:$B,'12'!N$4,'9'!$D:$D,"Manejo de sombra")</f>
        <v>0</v>
      </c>
      <c r="P32" s="101">
        <f>((A11_A_L6*Sombra_A)+(A11_B_L6*Sombra_B)+(A11_C_L6*Sombra_C)+(A11_D_L6*Sombra_D)+(A11_Y_L6*Sombra_Y))*Inflación_11</f>
        <v>0</v>
      </c>
      <c r="Q32" s="101">
        <f>SUMIFS('9'!$E:$E,'9'!$A:$A,Año_Inicial+10,'9'!$B:$B,'12'!P$4,'9'!$D:$D,"Manejo de sombra")</f>
        <v>0</v>
      </c>
      <c r="R32" s="101">
        <f>((A11_A_L7*Sombra_A)+(A11_B_L7*Sombra_B)+(A11_C_L7*Sombra_C)+(A11_D_L7*Sombra_D)+(A11_Y_L7*Sombra_Y))*Inflación_11</f>
        <v>0</v>
      </c>
      <c r="S32" s="101">
        <f>SUMIFS('9'!$E:$E,'9'!$A:$A,Año_Inicial+10,'9'!$B:$B,'12'!R$4,'9'!$D:$D,"Manejo de sombra")</f>
        <v>0</v>
      </c>
      <c r="T32" s="101">
        <f>((A11_A_L8*Sombra_A)+(A11_B_L8*Sombra_B)+(A11_C_L8*Sombra_C)+(A11_D_L8*Sombra_D)+(A11_Y_L8*Sombra_Y))*Inflación_11</f>
        <v>0</v>
      </c>
      <c r="U32" s="101">
        <f>SUMIFS('9'!$E:$E,'9'!$A:$A,Año_Inicial+10,'9'!$B:$B,'12'!T$4,'9'!$D:$D,"Manejo de sombra")</f>
        <v>0</v>
      </c>
      <c r="V32" s="101">
        <f>((A11_A_L9*Sombra_A)+(A11_B_L9*Sombra_B)+(A11_C_L9*Sombra_C)+(A11_D_L9*Sombra_D)+(A11_Y_L9*Sombra_Y))*Inflación_11</f>
        <v>0</v>
      </c>
      <c r="W32" s="101">
        <f>SUMIFS('9'!$E:$E,'9'!$A:$A,Año_Inicial+10,'9'!$B:$B,'12'!V$4,'9'!$D:$D,"Manejo de sombra")</f>
        <v>0</v>
      </c>
      <c r="X32" s="101">
        <f>((A11_A_L10*Sombra_A)+(A11_B_L10*Sombra_B)+(A11_C_L10*Sombra_C)+(A11_D_L10*Sombra_D)+(A11_Y_L10*Sombra_Y))*Inflación_11</f>
        <v>0</v>
      </c>
      <c r="Y32" s="101">
        <f>SUMIFS('9'!$E:$E,'9'!$A:$A,Año_Inicial+10,'9'!$B:$B,'12'!X$4,'9'!$D:$D,"Manejo de sombra")</f>
        <v>0</v>
      </c>
      <c r="Z32" s="101">
        <f>((A11_A_L11*Sombra_A)+(A11_B_L11*Sombra_B)+(A11_C_L11*Sombra_C)+(A11_D_L11*Sombra_D)+(A11_Y_L11*Sombra_Y))*Inflación_11</f>
        <v>0</v>
      </c>
      <c r="AA32" s="101">
        <f>SUMIFS('9'!$E:$E,'9'!$A:$A,Año_Inicial+10,'9'!$B:$B,'12'!Z$4,'9'!$D:$D,"Manejo de sombra")</f>
        <v>0</v>
      </c>
      <c r="AB32" s="101">
        <f>((A11_A_L12*Sombra_A)+(A11_B_L12*Sombra_B)+(A11_C_L12*Sombra_C)+(A11_D_L12*Sombra_D)+(A11_Y_L12*Sombra_Y))*Inflación_11</f>
        <v>0</v>
      </c>
      <c r="AC32" s="101">
        <f>SUMIFS('9'!$E:$E,'9'!$A:$A,Año_Inicial+10,'9'!$B:$B,'12'!AB$4,'9'!$D:$D,"Manejo de sombra")</f>
        <v>0</v>
      </c>
      <c r="AD32" s="101">
        <f>((A11_A_L13*Sombra_A)+(A11_B_L13*Sombra_B)+(A11_C_L13*Sombra_C)+(A11_D_L13*Sombra_D)+(A11_Y_L13*Sombra_Y))*Inflación_11</f>
        <v>0</v>
      </c>
      <c r="AE32" s="101">
        <f>SUMIFS('9'!$E:$E,'9'!$A:$A,Año_Inicial+10,'9'!$B:$B,'12'!AD$4,'9'!$D:$D,"Manejo de sombra")</f>
        <v>0</v>
      </c>
      <c r="AF32" s="101">
        <f>((A11_A_L14*Sombra_A)+(A11_B_L14*Sombra_B)+(A11_C_L14*Sombra_C)+(A11_D_L14*Sombra_D)+(A11_Y_L14*Sombra_Y))*Inflación_11</f>
        <v>0</v>
      </c>
      <c r="AG32" s="101">
        <f>SUMIFS('9'!$E:$E,'9'!$A:$A,Año_Inicial+10,'9'!$B:$B,'12'!AF$4,'9'!$D:$D,"Manejo de sombra")</f>
        <v>0</v>
      </c>
      <c r="AH32" s="101">
        <f>((A11_A_L15*Sombra_A)+(A11_B_L15*Sombra_B)+(A11_C_L15*Sombra_C)+(A11_D_L15*Sombra_D)+(A11_Y_L15*Sombra_Y))*Inflación_11</f>
        <v>0</v>
      </c>
      <c r="AI32" s="101">
        <f>SUMIFS('9'!$E:$E,'9'!$A:$A,Año_Inicial+10,'9'!$B:$B,'12'!AH$4,'9'!$D:$D,"Manejo de sombra")</f>
        <v>0</v>
      </c>
      <c r="AJ32" s="101">
        <f>((A11_A_L16*Sombra_A)+(A11_B_L16*Sombra_B)+(A11_C_L16*Sombra_C)+(A11_D_L16*Sombra_D)+(A11_Y_L16*Sombra_Y))*Inflación_11</f>
        <v>0</v>
      </c>
      <c r="AK32" s="101">
        <f>SUMIFS('9'!$E:$E,'9'!$A:$A,Año_Inicial+10,'9'!$B:$B,'12'!AJ$4,'9'!$D:$D,"Manejo de sombra")</f>
        <v>0</v>
      </c>
      <c r="AL32" s="101">
        <f>((A11_A_L17*Sombra_A)+(A11_B_L17*Sombra_B)+(A11_C_L17*Sombra_C)+(A11_D_L17*Sombra_D)+(A11_Y_L17*Sombra_Y))*Inflación_11</f>
        <v>0</v>
      </c>
      <c r="AM32" s="101">
        <f>SUMIFS('9'!$E:$E,'9'!$A:$A,Año_Inicial+10,'9'!$B:$B,'12'!AL$4,'9'!$D:$D,"Manejo de sombra")</f>
        <v>0</v>
      </c>
      <c r="AN32" s="101">
        <f>((A11_A_L18*Sombra_A)+(A11_B_L18*Sombra_B)+(A11_C_L18*Sombra_C)+(A11_D_L18*Sombra_D)+(A11_Y_L18*Sombra_Y))*Inflación_11</f>
        <v>0</v>
      </c>
      <c r="AO32" s="101">
        <f>SUMIFS('9'!$E:$E,'9'!$A:$A,Año_Inicial+10,'9'!$B:$B,'12'!AN$4,'9'!$D:$D,"Manejo de sombra")</f>
        <v>0</v>
      </c>
      <c r="AP32" s="101">
        <f>((A11_A_L19*Sombra_A)+(A11_B_L19*Sombra_B)+(A11_C_L19*Sombra_C)+(A11_D_L19*Sombra_D)+(A11_Y_L19*Sombra_Y))*Inflación_11</f>
        <v>0</v>
      </c>
      <c r="AQ32" s="101">
        <f>SUMIFS('9'!$E:$E,'9'!$A:$A,Año_Inicial+10,'9'!$B:$B,'12'!AP$4,'9'!$D:$D,"Manejo de sombra")</f>
        <v>0</v>
      </c>
      <c r="AR32" s="101">
        <f>((A11_A_L20*Sombra_A)+(A11_B_L20*Sombra_B)+(A11_C_L20*Sombra_C)+(A11_D_L20*Sombra_D)+(A11_Y_L20*Sombra_Y))*Inflación_11</f>
        <v>0</v>
      </c>
      <c r="AS32" s="101">
        <f>SUMIFS('9'!$E:$E,'9'!$A:$A,Año_Inicial+10,'9'!$B:$B,'12'!AR$4,'9'!$D:$D,"Manejo de sombra")</f>
        <v>0</v>
      </c>
      <c r="AT32" s="101">
        <f>((A11_A_L21*Sombra_A)+(A11_B_L21*Sombra_B)+(A11_C_L21*Sombra_C)+(A11_D_L21*Sombra_D)+(A11_Y_L21*Sombra_Y))*Inflación_11</f>
        <v>0</v>
      </c>
      <c r="AU32" s="101">
        <f>SUMIFS('9'!$E:$E,'9'!$A:$A,Año_Inicial+10,'9'!$B:$B,'12'!AT$4,'9'!$D:$D,"Manejo de sombra")</f>
        <v>0</v>
      </c>
      <c r="AV32" s="101">
        <f>((A11_A_L22*Sombra_A)+(A11_B_L22*Sombra_B)+(A11_C_L22*Sombra_C)+(A11_D_L22*Sombra_D)+(A11_Y_L22*Sombra_Y))*Inflación_11</f>
        <v>0</v>
      </c>
      <c r="AW32" s="101">
        <f>SUMIFS('9'!$E:$E,'9'!$A:$A,Año_Inicial+10,'9'!$B:$B,'12'!AV$4,'9'!$D:$D,"Manejo de sombra")</f>
        <v>0</v>
      </c>
      <c r="AX32" s="101">
        <f>((A11_A_L23*Sombra_A)+(A11_B_L23*Sombra_B)+(A11_C_L23*Sombra_C)+(A11_D_L23*Sombra_D)+(A11_Y_L23*Sombra_Y))*Inflación_11</f>
        <v>0</v>
      </c>
      <c r="AY32" s="101">
        <f>SUMIFS('9'!$E:$E,'9'!$A:$A,Año_Inicial+10,'9'!$B:$B,'12'!AX$4,'9'!$D:$D,"Manejo de sombra")</f>
        <v>0</v>
      </c>
      <c r="AZ32" s="101">
        <f>((A11_A_L24*Sombra_A)+(A11_B_L24*Sombra_B)+(A11_C_L24*Sombra_C)+(A11_D_L24*Sombra_D)+(A11_Y_L24*Sombra_Y))*Inflación_11</f>
        <v>0</v>
      </c>
      <c r="BA32" s="101">
        <f>SUMIFS('9'!$E:$E,'9'!$A:$A,Año_Inicial+10,'9'!$B:$B,'12'!AZ$4,'9'!$D:$D,"Manejo de sombra")</f>
        <v>0</v>
      </c>
      <c r="BB32" s="101">
        <f>((A11_A_L25*Sombra_A)+(A11_B_L25*Sombra_B)+(A11_C_L25*Sombra_C)+(A11_D_L25*Sombra_D)+(A11_Y_L25*Sombra_Y))*Inflación_11</f>
        <v>0</v>
      </c>
      <c r="BC32" s="101">
        <f>SUMIFS('9'!$E:$E,'9'!$A:$A,Año_Inicial+10,'9'!$B:$B,'12'!BB$4,'9'!$D:$D,"Manejo de sombra")</f>
        <v>0</v>
      </c>
      <c r="BD32" s="101">
        <f>((A11_A_L26*Sombra_A)+(A11_B_L26*Sombra_B)+(A11_C_L26*Sombra_C)+(A11_D_L26*Sombra_D)+(A11_Y_L26*Sombra_Y))*Inflación_11</f>
        <v>0</v>
      </c>
      <c r="BE32" s="101">
        <f>SUMIFS('9'!$E:$E,'9'!$A:$A,Año_Inicial+10,'9'!$B:$B,'12'!BD$4,'9'!$D:$D,"Manejo de sombra")</f>
        <v>0</v>
      </c>
      <c r="BF32" s="101">
        <f>((A11_A_L27*Sombra_A)+(A11_B_L27*Sombra_B)+(A11_C_L27*Sombra_C)+(A11_D_L27*Sombra_D)+(A11_Y_L27*Sombra_Y))*Inflación_11</f>
        <v>0</v>
      </c>
      <c r="BG32" s="101">
        <f>SUMIFS('9'!$E:$E,'9'!$A:$A,Año_Inicial+10,'9'!$B:$B,'12'!BF$4,'9'!$D:$D,"Manejo de sombra")</f>
        <v>0</v>
      </c>
      <c r="BH32" s="101">
        <f>((A11_A_L28*Sombra_A)+(A11_B_L28*Sombra_B)+(A11_C_L28*Sombra_C)+(A11_D_L28*Sombra_D)+(A11_Y_L28*Sombra_Y))*Inflación_11</f>
        <v>0</v>
      </c>
      <c r="BI32" s="101">
        <f>SUMIFS('9'!$E:$E,'9'!$A:$A,Año_Inicial+10,'9'!$B:$B,'12'!BH$4,'9'!$D:$D,"Manejo de sombra")</f>
        <v>0</v>
      </c>
      <c r="BJ32" s="101">
        <f>((A11_A_L29*Sombra_A)+(A11_B_L29*Sombra_B)+(A11_C_L29*Sombra_C)+(A11_D_L29*Sombra_D)+(A11_Y_L29*Sombra_Y))*Inflación_11</f>
        <v>0</v>
      </c>
      <c r="BK32" s="101">
        <f>SUMIFS('9'!$E:$E,'9'!$A:$A,Año_Inicial+10,'9'!$B:$B,'12'!BJ$4,'9'!$D:$D,"Manejo de sombra")</f>
        <v>0</v>
      </c>
      <c r="BL32" s="101">
        <f>((A11_A_L30*Sombra_A)+(A11_B_L30*Sombra_B)+(A11_C_L30*Sombra_C)+(A11_D_L30*Sombra_D)+(A11_Y_L30*Sombra_Y))*Inflación_11</f>
        <v>0</v>
      </c>
      <c r="BM32" s="101">
        <f>SUMIFS('9'!$E:$E,'9'!$A:$A,Año_Inicial+10,'9'!$B:$B,'12'!BL$4,'9'!$D:$D,"Manejo de sombra")</f>
        <v>0</v>
      </c>
      <c r="BN32" s="101">
        <f>((A11_A_L31*Sombra_A)+(A11_B_L31*Sombra_B)+(A11_C_L31*Sombra_C)+(A11_D_L31*Sombra_D)+(A11_Y_L31*Sombra_Y))*Inflación_11</f>
        <v>0</v>
      </c>
      <c r="BO32" s="101">
        <f>SUMIFS('9'!$E:$E,'9'!$A:$A,Año_Inicial+10,'9'!$B:$B,'12'!BN$4,'9'!$D:$D,"Manejo de sombra")</f>
        <v>0</v>
      </c>
      <c r="BP32" s="101">
        <f>((A11_A_L32*Sombra_A)+(A11_B_L32*Sombra_B)+(A11_C_L32*Sombra_C)+(A11_D_L32*Sombra_D)+(A11_Y_L32*Sombra_Y))*Inflación_11</f>
        <v>0</v>
      </c>
      <c r="BQ32" s="101">
        <f>SUMIFS('9'!$E:$E,'9'!$A:$A,Año_Inicial+10,'9'!$B:$B,'12'!BP$4,'9'!$D:$D,"Manejo de sombra")</f>
        <v>0</v>
      </c>
      <c r="BR32" s="101">
        <f>((A11_A_L33*Sombra_A)+(A11_B_L33*Sombra_B)+(A11_C_L33*Sombra_C)+(A11_D_L33*Sombra_D)+(A11_Y_L33*Sombra_Y))*Inflación_11</f>
        <v>0</v>
      </c>
      <c r="BS32" s="101">
        <f>SUMIFS('9'!$E:$E,'9'!$A:$A,Año_Inicial+10,'9'!$B:$B,'12'!BR$4,'9'!$D:$D,"Manejo de sombra")</f>
        <v>0</v>
      </c>
      <c r="BT32" s="101">
        <f>((A11_A_L34*Sombra_A)+(A11_B_L34*Sombra_B)+(A11_C_L34*Sombra_C)+(A11_D_L34*Sombra_D)+(A11_Y_L34*Sombra_Y))*Inflación_11</f>
        <v>0</v>
      </c>
      <c r="BU32" s="101">
        <f>SUMIFS('9'!$E:$E,'9'!$A:$A,Año_Inicial+10,'9'!$B:$B,'12'!BT$4,'9'!$D:$D,"Manejo de sombra")</f>
        <v>0</v>
      </c>
      <c r="BV32" s="101">
        <f>((A11_A_L35*Sombra_A)+(A11_B_L35*Sombra_B)+(A11_C_L35*Sombra_C)+(A11_D_L35*Sombra_D)+(A11_Y_L35*Sombra_Y))*Inflación_11</f>
        <v>0</v>
      </c>
      <c r="BW32" s="101">
        <f>SUMIFS('9'!$E:$E,'9'!$A:$A,Año_Inicial+10,'9'!$B:$B,'12'!BV$4,'9'!$D:$D,"Manejo de sombra")</f>
        <v>0</v>
      </c>
      <c r="BX32" s="101">
        <f>((A11_A_L36*Sombra_A)+(A11_B_L36*Sombra_B)+(A11_C_L36*Sombra_C)+(A11_D_L36*Sombra_D)+(A11_Y_L36*Sombra_Y))*Inflación_11</f>
        <v>0</v>
      </c>
      <c r="BY32" s="101">
        <f>SUMIFS('9'!$E:$E,'9'!$A:$A,Año_Inicial+10,'9'!$B:$B,'12'!BX$4,'9'!$D:$D,"Manejo de sombra")</f>
        <v>0</v>
      </c>
      <c r="BZ32" s="101">
        <f>((A11_A_L37*Sombra_A)+(A11_B_L37*Sombra_B)+(A11_C_L37*Sombra_C)+(A11_D_L37*Sombra_D)+(A11_Y_L37*Sombra_Y))*Inflación_11</f>
        <v>0</v>
      </c>
      <c r="CA32" s="101">
        <f>SUMIFS('9'!$E:$E,'9'!$A:$A,Año_Inicial+10,'9'!$B:$B,'12'!BZ$4,'9'!$D:$D,"Manejo de sombra")</f>
        <v>0</v>
      </c>
      <c r="CB32" s="101">
        <f>((A11_A_L38*Sombra_A)+(A11_B_L38*Sombra_B)+(A11_C_L38*Sombra_C)+(A11_D_L38*Sombra_D)+(A11_Y_L38*Sombra_Y))*Inflación_11</f>
        <v>0</v>
      </c>
      <c r="CC32" s="101">
        <f>SUMIFS('9'!$E:$E,'9'!$A:$A,Año_Inicial+10,'9'!$B:$B,'12'!CB$4,'9'!$D:$D,"Manejo de sombra")</f>
        <v>0</v>
      </c>
      <c r="CD32" s="101">
        <f>((A11_A_L39*Sombra_A)+(A11_B_L39*Sombra_B)+(A11_C_L39*Sombra_C)+(A11_D_L39*Sombra_D)+(A11_Y_L39*Sombra_Y))*Inflación_11</f>
        <v>0</v>
      </c>
      <c r="CE32" s="101">
        <f>SUMIFS('9'!$E:$E,'9'!$A:$A,Año_Inicial+10,'9'!$B:$B,'12'!CD$4,'9'!$D:$D,"Manejo de sombra")</f>
        <v>0</v>
      </c>
      <c r="CF32" s="101">
        <f>((A11_A_L40*Sombra_A)+(A11_B_L40*Sombra_B)+(A11_C_L40*Sombra_C)+(A11_D_L40*Sombra_D)+(A11_Y_L40*Sombra_Y))*Inflación_11</f>
        <v>0</v>
      </c>
      <c r="CG32" s="101">
        <f>SUMIFS('9'!$E:$E,'9'!$A:$A,Año_Inicial+10,'9'!$B:$B,'12'!CF$4,'9'!$D:$D,"Manejo de sombra")</f>
        <v>0</v>
      </c>
      <c r="CH32" s="473"/>
      <c r="CI32" s="101">
        <f>Plantas_A_A11*Sombra_A*Inflación_11</f>
        <v>0</v>
      </c>
      <c r="CJ32" s="101">
        <f>Plantas_B_A11*Sombra_B</f>
        <v>0</v>
      </c>
      <c r="CK32" s="101">
        <f>Plantas_C_A11*Sombra_C</f>
        <v>0</v>
      </c>
      <c r="CL32" s="101">
        <f>Plantas_D_A11*Sombra_D</f>
        <v>0</v>
      </c>
      <c r="CM32" s="101"/>
      <c r="CN32" s="101">
        <f>Plantas_Y_A11*Sombra_Y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SUMIFS('9'!$E:$E,'9'!$A:$A,Año_Inicial+10,'9'!$D:$D,"Conservación de suelos")</f>
        <v>0</v>
      </c>
      <c r="D33" s="100">
        <f t="shared" si="45"/>
        <v>0</v>
      </c>
      <c r="E33" s="473"/>
      <c r="F33" s="101">
        <f>((A11_A_L1*Conservación_A)+(A11_B_L1*Conservación_B)+(A11_C_L1*Conservación_C)+(A11_D_L1*Conservación_D)+(A11_Y_L1*Conservación_Y))*Inflación_11</f>
        <v>0</v>
      </c>
      <c r="G33" s="101">
        <f>SUMIFS('9'!$E:$E,'9'!$A:$A,Año_Inicial+10,'9'!$B:$B,'12'!F$4,'9'!$D:$D,"Conservación de suelos")</f>
        <v>0</v>
      </c>
      <c r="H33" s="101">
        <f>((A11_A_L2*Conservación_A)+(A11_B_L2*Conservación_B)+(A11_C_L2*Conservación_C)+(A11_D_L2*Conservación_D)+(A11_Y_L2*Conservación_Y))*Inflación_11</f>
        <v>0</v>
      </c>
      <c r="I33" s="101">
        <f>SUMIFS('9'!$E:$E,'9'!$A:$A,Año_Inicial+10,'9'!$B:$B,'12'!H$4,'9'!$D:$D,"Conservación de suelos")</f>
        <v>0</v>
      </c>
      <c r="J33" s="101">
        <f>((A11_A_L3*Conservación_A)+(A11_B_L3*Conservación_B)+(A11_C_L3*Conservación_C)+(A11_D_L3*Conservación_D)+(A11_Y_L3*Conservación_Y))*Inflación_11</f>
        <v>0</v>
      </c>
      <c r="K33" s="101">
        <f>SUMIFS('9'!$E:$E,'9'!$A:$A,Año_Inicial+10,'9'!$B:$B,'12'!J$4,'9'!$D:$D,"Conservación de suelos")</f>
        <v>0</v>
      </c>
      <c r="L33" s="101">
        <f>((A11_A_L4*Conservación_A)+(A11_B_L4*Conservación_B)+(A11_C_L4*Conservación_C)+(A11_D_L4*Conservación_D)+(A11_Y_L4*Conservación_Y))*Inflación_11</f>
        <v>0</v>
      </c>
      <c r="M33" s="101">
        <f>SUMIFS('9'!$E:$E,'9'!$A:$A,Año_Inicial+10,'9'!$B:$B,'12'!L$4,'9'!$D:$D,"Conservación de suelos")</f>
        <v>0</v>
      </c>
      <c r="N33" s="101">
        <f>((A11_A_L5*Conservación_A)+(A11_B_L5*Conservación_B)+(A11_C_L5*Conservación_C)+(A11_D_L5*Conservación_D)+(A11_Y_L5*Conservación_Y))*Inflación_11</f>
        <v>0</v>
      </c>
      <c r="O33" s="101">
        <f>SUMIFS('9'!$E:$E,'9'!$A:$A,Año_Inicial+10,'9'!$B:$B,'12'!N$4,'9'!$D:$D,"Conservación de suelos")</f>
        <v>0</v>
      </c>
      <c r="P33" s="101">
        <f>((A11_A_L6*Conservación_A)+(A11_B_L6*Conservación_B)+(A11_C_L6*Conservación_C)+(A11_D_L6*Conservación_D)+(A11_Y_L6*Conservación_Y))*Inflación_11</f>
        <v>0</v>
      </c>
      <c r="Q33" s="101">
        <f>SUMIFS('9'!$E:$E,'9'!$A:$A,Año_Inicial+10,'9'!$B:$B,'12'!P$4,'9'!$D:$D,"Conservación de suelos")</f>
        <v>0</v>
      </c>
      <c r="R33" s="101">
        <f>((A11_A_L7*Conservación_A)+(A11_B_L7*Conservación_B)+(A11_C_L7*Conservación_C)+(A11_D_L7*Conservación_D)+(A11_Y_L7*Conservación_Y))*Inflación_11</f>
        <v>0</v>
      </c>
      <c r="S33" s="101">
        <f>SUMIFS('9'!$E:$E,'9'!$A:$A,Año_Inicial+10,'9'!$B:$B,'12'!R$4,'9'!$D:$D,"Conservación de suelos")</f>
        <v>0</v>
      </c>
      <c r="T33" s="101">
        <f>((A11_A_L8*Conservación_A)+(A11_B_L8*Conservación_B)+(A11_C_L8*Conservación_C)+(A11_D_L8*Conservación_D)+(A11_Y_L8*Conservación_Y))*Inflación_11</f>
        <v>0</v>
      </c>
      <c r="U33" s="101">
        <f>SUMIFS('9'!$E:$E,'9'!$A:$A,Año_Inicial+10,'9'!$B:$B,'12'!T$4,'9'!$D:$D,"Conservación de suelos")</f>
        <v>0</v>
      </c>
      <c r="V33" s="101">
        <f>((A11_A_L9*Conservación_A)+(A11_B_L9*Conservación_B)+(A11_C_L9*Conservación_C)+(A11_D_L9*Conservación_D)+(A11_Y_L9*Conservación_Y))*Inflación_11</f>
        <v>0</v>
      </c>
      <c r="W33" s="101">
        <f>SUMIFS('9'!$E:$E,'9'!$A:$A,Año_Inicial+10,'9'!$B:$B,'12'!V$4,'9'!$D:$D,"Conservación de suelos")</f>
        <v>0</v>
      </c>
      <c r="X33" s="101">
        <f>((A11_A_L10*Conservación_A)+(A11_B_L10*Conservación_B)+(A11_C_L10*Conservación_C)+(A11_D_L10*Conservación_D)+(A11_Y_L10*Conservación_Y))*Inflación_11</f>
        <v>0</v>
      </c>
      <c r="Y33" s="101">
        <f>SUMIFS('9'!$E:$E,'9'!$A:$A,Año_Inicial+10,'9'!$B:$B,'12'!X$4,'9'!$D:$D,"Conservación de suelos")</f>
        <v>0</v>
      </c>
      <c r="Z33" s="101">
        <f>((A11_A_L11*Conservación_A)+(A11_B_L11*Conservación_B)+(A11_C_L11*Conservación_C)+(A11_D_L11*Conservación_D)+(A11_Y_L11*Conservación_Y))*Inflación_11</f>
        <v>0</v>
      </c>
      <c r="AA33" s="101">
        <f>SUMIFS('9'!$E:$E,'9'!$A:$A,Año_Inicial+10,'9'!$B:$B,'12'!Z$4,'9'!$D:$D,"Conservación de suelos")</f>
        <v>0</v>
      </c>
      <c r="AB33" s="101">
        <f>((A11_A_L12*Conservación_A)+(A11_B_L12*Conservación_B)+(A11_C_L12*Conservación_C)+(A11_D_L12*Conservación_D)+(A11_Y_L12*Conservación_Y))*Inflación_11</f>
        <v>0</v>
      </c>
      <c r="AC33" s="101">
        <f>SUMIFS('9'!$E:$E,'9'!$A:$A,Año_Inicial+10,'9'!$B:$B,'12'!AB$4,'9'!$D:$D,"Conservación de suelos")</f>
        <v>0</v>
      </c>
      <c r="AD33" s="101">
        <f>((A11_A_L13*Conservación_A)+(A11_B_L13*Conservación_B)+(A11_C_L13*Conservación_C)+(A11_D_L13*Conservación_D)+(A11_Y_L13*Conservación_Y))*Inflación_11</f>
        <v>0</v>
      </c>
      <c r="AE33" s="101">
        <f>SUMIFS('9'!$E:$E,'9'!$A:$A,Año_Inicial+10,'9'!$B:$B,'12'!AD$4,'9'!$D:$D,"Conservación de suelos")</f>
        <v>0</v>
      </c>
      <c r="AF33" s="101">
        <f>((A11_A_L14*Conservación_A)+(A11_B_L14*Conservación_B)+(A11_C_L14*Conservación_C)+(A11_D_L14*Conservación_D)+(A11_Y_L14*Conservación_Y))*Inflación_11</f>
        <v>0</v>
      </c>
      <c r="AG33" s="101">
        <f>SUMIFS('9'!$E:$E,'9'!$A:$A,Año_Inicial+10,'9'!$B:$B,'12'!AF$4,'9'!$D:$D,"Conservación de suelos")</f>
        <v>0</v>
      </c>
      <c r="AH33" s="101">
        <f>((A11_A_L15*Conservación_A)+(A11_B_L15*Conservación_B)+(A11_C_L15*Conservación_C)+(A11_D_L15*Conservación_D)+(A11_Y_L15*Conservación_Y))*Inflación_11</f>
        <v>0</v>
      </c>
      <c r="AI33" s="101">
        <f>SUMIFS('9'!$E:$E,'9'!$A:$A,Año_Inicial+10,'9'!$B:$B,'12'!AH$4,'9'!$D:$D,"Conservación de suelos")</f>
        <v>0</v>
      </c>
      <c r="AJ33" s="101">
        <f>((A11_A_L16*Conservación_A)+(A11_B_L16*Conservación_B)+(A11_C_L16*Conservación_C)+(A11_D_L16*Conservación_D)+(A11_Y_L16*Conservación_Y))*Inflación_11</f>
        <v>0</v>
      </c>
      <c r="AK33" s="101">
        <f>SUMIFS('9'!$E:$E,'9'!$A:$A,Año_Inicial+10,'9'!$B:$B,'12'!AJ$4,'9'!$D:$D,"Conservación de suelos")</f>
        <v>0</v>
      </c>
      <c r="AL33" s="101">
        <f>((A11_A_L17*Conservación_A)+(A11_B_L17*Conservación_B)+(A11_C_L17*Conservación_C)+(A11_D_L17*Conservación_D)+(A11_Y_L17*Conservación_Y))*Inflación_11</f>
        <v>0</v>
      </c>
      <c r="AM33" s="101">
        <f>SUMIFS('9'!$E:$E,'9'!$A:$A,Año_Inicial+10,'9'!$B:$B,'12'!AL$4,'9'!$D:$D,"Conservación de suelos")</f>
        <v>0</v>
      </c>
      <c r="AN33" s="101">
        <f>((A11_A_L18*Conservación_A)+(A11_B_L18*Conservación_B)+(A11_C_L18*Conservación_C)+(A11_D_L18*Conservación_D)+(A11_Y_L18*Conservación_Y))*Inflación_11</f>
        <v>0</v>
      </c>
      <c r="AO33" s="101">
        <f>SUMIFS('9'!$E:$E,'9'!$A:$A,Año_Inicial+10,'9'!$B:$B,'12'!AN$4,'9'!$D:$D,"Conservación de suelos")</f>
        <v>0</v>
      </c>
      <c r="AP33" s="101">
        <f>((A11_A_L19*Conservación_A)+(A11_B_L19*Conservación_B)+(A11_C_L19*Conservación_C)+(A11_D_L19*Conservación_D)+(A11_Y_L19*Conservación_Y))*Inflación_11</f>
        <v>0</v>
      </c>
      <c r="AQ33" s="101">
        <f>SUMIFS('9'!$E:$E,'9'!$A:$A,Año_Inicial+10,'9'!$B:$B,'12'!AP$4,'9'!$D:$D,"Conservación de suelos")</f>
        <v>0</v>
      </c>
      <c r="AR33" s="101">
        <f>((A11_A_L20*Conservación_A)+(A11_B_L20*Conservación_B)+(A11_C_L20*Conservación_C)+(A11_D_L20*Conservación_D)+(A11_Y_L20*Conservación_Y))*Inflación_11</f>
        <v>0</v>
      </c>
      <c r="AS33" s="101">
        <f>SUMIFS('9'!$E:$E,'9'!$A:$A,Año_Inicial+10,'9'!$B:$B,'12'!AR$4,'9'!$D:$D,"Conservación de suelos")</f>
        <v>0</v>
      </c>
      <c r="AT33" s="101">
        <f>((A11_A_L21*Conservación_A)+(A11_B_L21*Conservación_B)+(A11_C_L21*Conservación_C)+(A11_D_L21*Conservación_D)+(A11_Y_L21*Conservación_Y))*Inflación_11</f>
        <v>0</v>
      </c>
      <c r="AU33" s="101">
        <f>SUMIFS('9'!$E:$E,'9'!$A:$A,Año_Inicial+10,'9'!$B:$B,'12'!AT$4,'9'!$D:$D,"Conservación de suelos")</f>
        <v>0</v>
      </c>
      <c r="AV33" s="101">
        <f>((A11_A_L22*Conservación_A)+(A11_B_L22*Conservación_B)+(A11_C_L22*Conservación_C)+(A11_D_L22*Conservación_D)+(A11_Y_L22*Conservación_Y))*Inflación_11</f>
        <v>0</v>
      </c>
      <c r="AW33" s="101">
        <f>SUMIFS('9'!$E:$E,'9'!$A:$A,Año_Inicial+10,'9'!$B:$B,'12'!AV$4,'9'!$D:$D,"Conservación de suelos")</f>
        <v>0</v>
      </c>
      <c r="AX33" s="101">
        <f>((A11_A_L23*Conservación_A)+(A11_B_L23*Conservación_B)+(A11_C_L23*Conservación_C)+(A11_D_L23*Conservación_D)+(A11_Y_L23*Conservación_Y))*Inflación_11</f>
        <v>0</v>
      </c>
      <c r="AY33" s="101">
        <f>SUMIFS('9'!$E:$E,'9'!$A:$A,Año_Inicial+10,'9'!$B:$B,'12'!AX$4,'9'!$D:$D,"Conservación de suelos")</f>
        <v>0</v>
      </c>
      <c r="AZ33" s="101">
        <f>((A11_A_L24*Conservación_A)+(A11_B_L24*Conservación_B)+(A11_C_L24*Conservación_C)+(A11_D_L24*Conservación_D)+(A11_Y_L24*Conservación_Y))*Inflación_11</f>
        <v>0</v>
      </c>
      <c r="BA33" s="101">
        <f>SUMIFS('9'!$E:$E,'9'!$A:$A,Año_Inicial+10,'9'!$B:$B,'12'!AZ$4,'9'!$D:$D,"Conservación de suelos")</f>
        <v>0</v>
      </c>
      <c r="BB33" s="101">
        <f>((A11_A_L25*Conservación_A)+(A11_B_L25*Conservación_B)+(A11_C_L25*Conservación_C)+(A11_D_L25*Conservación_D)+(A11_Y_L25*Conservación_Y))*Inflación_11</f>
        <v>0</v>
      </c>
      <c r="BC33" s="101">
        <f>SUMIFS('9'!$E:$E,'9'!$A:$A,Año_Inicial+10,'9'!$B:$B,'12'!BB$4,'9'!$D:$D,"Conservación de suelos")</f>
        <v>0</v>
      </c>
      <c r="BD33" s="101">
        <f>((A11_A_L26*Conservación_A)+(A11_B_L26*Conservación_B)+(A11_C_L26*Conservación_C)+(A11_D_L26*Conservación_D)+(A11_Y_L26*Conservación_Y))*Inflación_11</f>
        <v>0</v>
      </c>
      <c r="BE33" s="101">
        <f>SUMIFS('9'!$E:$E,'9'!$A:$A,Año_Inicial+10,'9'!$B:$B,'12'!BD$4,'9'!$D:$D,"Conservación de suelos")</f>
        <v>0</v>
      </c>
      <c r="BF33" s="101">
        <f>((A11_A_L27*Conservación_A)+(A11_B_L27*Conservación_B)+(A11_C_L27*Conservación_C)+(A11_D_L27*Conservación_D)+(A11_Y_L27*Conservación_Y))*Inflación_11</f>
        <v>0</v>
      </c>
      <c r="BG33" s="101">
        <f>SUMIFS('9'!$E:$E,'9'!$A:$A,Año_Inicial+10,'9'!$B:$B,'12'!BF$4,'9'!$D:$D,"Conservación de suelos")</f>
        <v>0</v>
      </c>
      <c r="BH33" s="101">
        <f>((A11_A_L28*Conservación_A)+(A11_B_L28*Conservación_B)+(A11_C_L28*Conservación_C)+(A11_D_L28*Conservación_D)+(A11_Y_L28*Conservación_Y))*Inflación_11</f>
        <v>0</v>
      </c>
      <c r="BI33" s="101">
        <f>SUMIFS('9'!$E:$E,'9'!$A:$A,Año_Inicial+10,'9'!$B:$B,'12'!BH$4,'9'!$D:$D,"Conservación de suelos")</f>
        <v>0</v>
      </c>
      <c r="BJ33" s="101">
        <f>((A11_A_L29*Conservación_A)+(A11_B_L29*Conservación_B)+(A11_C_L29*Conservación_C)+(A11_D_L29*Conservación_D)+(A11_Y_L29*Conservación_Y))*Inflación_11</f>
        <v>0</v>
      </c>
      <c r="BK33" s="101">
        <f>SUMIFS('9'!$E:$E,'9'!$A:$A,Año_Inicial+10,'9'!$B:$B,'12'!BJ$4,'9'!$D:$D,"Conservación de suelos")</f>
        <v>0</v>
      </c>
      <c r="BL33" s="101">
        <f>((A11_A_L30*Conservación_A)+(A11_B_L30*Conservación_B)+(A11_C_L30*Conservación_C)+(A11_D_L30*Conservación_D)+(A11_Y_L30*Conservación_Y))*Inflación_11</f>
        <v>0</v>
      </c>
      <c r="BM33" s="101">
        <f>SUMIFS('9'!$E:$E,'9'!$A:$A,Año_Inicial+10,'9'!$B:$B,'12'!BL$4,'9'!$D:$D,"Conservación de suelos")</f>
        <v>0</v>
      </c>
      <c r="BN33" s="101">
        <f>((A11_A_L31*Conservación_A)+(A11_B_L31*Conservación_B)+(A11_C_L31*Conservación_C)+(A11_D_L31*Conservación_D)+(A11_Y_L31*Conservación_Y))*Inflación_11</f>
        <v>0</v>
      </c>
      <c r="BO33" s="101">
        <f>SUMIFS('9'!$E:$E,'9'!$A:$A,Año_Inicial+10,'9'!$B:$B,'12'!BN$4,'9'!$D:$D,"Conservación de suelos")</f>
        <v>0</v>
      </c>
      <c r="BP33" s="101">
        <f>((A11_A_L32*Conservación_A)+(A11_B_L32*Conservación_B)+(A11_C_L32*Conservación_C)+(A11_D_L32*Conservación_D)+(A11_Y_L32*Conservación_Y))*Inflación_11</f>
        <v>0</v>
      </c>
      <c r="BQ33" s="101">
        <f>SUMIFS('9'!$E:$E,'9'!$A:$A,Año_Inicial+10,'9'!$B:$B,'12'!BP$4,'9'!$D:$D,"Conservación de suelos")</f>
        <v>0</v>
      </c>
      <c r="BR33" s="101">
        <f>((A11_A_L33*Conservación_A)+(A11_B_L33*Conservación_B)+(A11_C_L33*Conservación_C)+(A11_D_L33*Conservación_D)+(A11_Y_L33*Conservación_Y))*Inflación_11</f>
        <v>0</v>
      </c>
      <c r="BS33" s="101">
        <f>SUMIFS('9'!$E:$E,'9'!$A:$A,Año_Inicial+10,'9'!$B:$B,'12'!BR$4,'9'!$D:$D,"Conservación de suelos")</f>
        <v>0</v>
      </c>
      <c r="BT33" s="101">
        <f>((A11_A_L34*Conservación_A)+(A11_B_L34*Conservación_B)+(A11_C_L34*Conservación_C)+(A11_D_L34*Conservación_D)+(A11_Y_L34*Conservación_Y))*Inflación_11</f>
        <v>0</v>
      </c>
      <c r="BU33" s="101">
        <f>SUMIFS('9'!$E:$E,'9'!$A:$A,Año_Inicial+10,'9'!$B:$B,'12'!BT$4,'9'!$D:$D,"Conservación de suelos")</f>
        <v>0</v>
      </c>
      <c r="BV33" s="101">
        <f>((A11_A_L35*Conservación_A)+(A11_B_L35*Conservación_B)+(A11_C_L35*Conservación_C)+(A11_D_L35*Conservación_D)+(A11_Y_L35*Conservación_Y))*Inflación_11</f>
        <v>0</v>
      </c>
      <c r="BW33" s="101">
        <f>SUMIFS('9'!$E:$E,'9'!$A:$A,Año_Inicial+10,'9'!$B:$B,'12'!BV$4,'9'!$D:$D,"Conservación de suelos")</f>
        <v>0</v>
      </c>
      <c r="BX33" s="101">
        <f>((A11_A_L36*Conservación_A)+(A11_B_L36*Conservación_B)+(A11_C_L36*Conservación_C)+(A11_D_L36*Conservación_D)+(A11_Y_L36*Conservación_Y))*Inflación_11</f>
        <v>0</v>
      </c>
      <c r="BY33" s="101">
        <f>SUMIFS('9'!$E:$E,'9'!$A:$A,Año_Inicial+10,'9'!$B:$B,'12'!BX$4,'9'!$D:$D,"Conservación de suelos")</f>
        <v>0</v>
      </c>
      <c r="BZ33" s="101">
        <f>((A11_A_L37*Conservación_A)+(A11_B_L37*Conservación_B)+(A11_C_L37*Conservación_C)+(A11_D_L37*Conservación_D)+(A11_Y_L37*Conservación_Y))*Inflación_11</f>
        <v>0</v>
      </c>
      <c r="CA33" s="101">
        <f>SUMIFS('9'!$E:$E,'9'!$A:$A,Año_Inicial+10,'9'!$B:$B,'12'!BZ$4,'9'!$D:$D,"Conservación de suelos")</f>
        <v>0</v>
      </c>
      <c r="CB33" s="101">
        <f>((A11_A_L38*Conservación_A)+(A11_B_L38*Conservación_B)+(A11_C_L38*Conservación_C)+(A11_D_L38*Conservación_D)+(A11_Y_L38*Conservación_Y))*Inflación_11</f>
        <v>0</v>
      </c>
      <c r="CC33" s="101">
        <f>SUMIFS('9'!$E:$E,'9'!$A:$A,Año_Inicial+10,'9'!$B:$B,'12'!CB$4,'9'!$D:$D,"Conservación de suelos")</f>
        <v>0</v>
      </c>
      <c r="CD33" s="101">
        <f>((A11_A_L39*Conservación_A)+(A11_B_L39*Conservación_B)+(A11_C_L39*Conservación_C)+(A11_D_L39*Conservación_D)+(A11_Y_L39*Conservación_Y))*Inflación_11</f>
        <v>0</v>
      </c>
      <c r="CE33" s="101">
        <f>SUMIFS('9'!$E:$E,'9'!$A:$A,Año_Inicial+10,'9'!$B:$B,'12'!CD$4,'9'!$D:$D,"Conservación de suelos")</f>
        <v>0</v>
      </c>
      <c r="CF33" s="101">
        <f>((A11_A_L40*Conservación_A)+(A11_B_L40*Conservación_B)+(A11_C_L40*Conservación_C)+(A11_D_L40*Conservación_D)+(A11_Y_L40*Conservación_Y))*Inflación_11</f>
        <v>0</v>
      </c>
      <c r="CG33" s="101">
        <f>SUMIFS('9'!$E:$E,'9'!$A:$A,Año_Inicial+10,'9'!$B:$B,'12'!CF$4,'9'!$D:$D,"Conservación de suelos")</f>
        <v>0</v>
      </c>
      <c r="CH33" s="473"/>
      <c r="CI33" s="101">
        <f>Plantas_A_A11*Conservación_A*Inflación_11</f>
        <v>0</v>
      </c>
      <c r="CJ33" s="101">
        <f>Plantas_B_A11*Conservación_B</f>
        <v>0</v>
      </c>
      <c r="CK33" s="101">
        <f>Plantas_C_A11*Conservación_C</f>
        <v>0</v>
      </c>
      <c r="CL33" s="101">
        <f>Plantas_D_A11*Conservación_D</f>
        <v>0</v>
      </c>
      <c r="CM33" s="101"/>
      <c r="CN33" s="101">
        <f>Plantas_Y_A11*Conservación_Y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SUMIFS('9'!$E:$E,'9'!$A:$A,Año_Inicial+10,'9'!$D:$D,"Otras actividades")</f>
        <v>0</v>
      </c>
      <c r="D34" s="100">
        <f t="shared" si="45"/>
        <v>0</v>
      </c>
      <c r="E34" s="473"/>
      <c r="F34" s="101">
        <f>((A11_A_L1*Otras_A)+(A11_B_L1*Otras_B)+(A11_C_L1*Otras_C)+(A11_D_L1*Otras_D)+(A11_Y_L1*Otras_Y))*Inflación_11</f>
        <v>0</v>
      </c>
      <c r="G34" s="101">
        <f>SUMIFS('9'!$E:$E,'9'!$A:$A,Año_Inicial+10,'9'!$B:$B,'12'!F$4,'9'!$D:$D,"Otras actividades")</f>
        <v>0</v>
      </c>
      <c r="H34" s="101">
        <f>((A11_A_L2*Otras_A)+(A11_B_L2*Otras_B)+(A11_C_L2*Otras_C)+(A11_D_L2*Otras_D)+(A11_Y_L2*Otras_Y))*Inflación_11</f>
        <v>0</v>
      </c>
      <c r="I34" s="101">
        <f>SUMIFS('9'!$E:$E,'9'!$A:$A,Año_Inicial+10,'9'!$B:$B,'12'!H$4,'9'!$D:$D,"Otras actividades")</f>
        <v>0</v>
      </c>
      <c r="J34" s="101">
        <f>((A11_A_L3*Otras_A)+(A11_B_L3*Otras_B)+(A11_C_L3*Otras_C)+(A11_D_L3*Otras_D)+(A11_Y_L3*Otras_Y))*Inflación_11</f>
        <v>0</v>
      </c>
      <c r="K34" s="101">
        <f>SUMIFS('9'!$E:$E,'9'!$A:$A,Año_Inicial+10,'9'!$B:$B,'12'!J$4,'9'!$D:$D,"Otras actividades")</f>
        <v>0</v>
      </c>
      <c r="L34" s="101">
        <f>((A11_A_L4*Otras_A)+(A11_B_L4*Otras_B)+(A11_C_L4*Otras_C)+(A11_D_L4*Otras_D)+(A11_Y_L4*Otras_Y))*Inflación_11</f>
        <v>0</v>
      </c>
      <c r="M34" s="101">
        <f>SUMIFS('9'!$E:$E,'9'!$A:$A,Año_Inicial+10,'9'!$B:$B,'12'!L$4,'9'!$D:$D,"Otras actividades")</f>
        <v>0</v>
      </c>
      <c r="N34" s="101">
        <f>((A11_A_L5*Otras_A)+(A11_B_L5*Otras_B)+(A11_C_L5*Otras_C)+(A11_D_L5*Otras_D)+(A11_Y_L5*Otras_Y))*Inflación_11</f>
        <v>0</v>
      </c>
      <c r="O34" s="101">
        <f>SUMIFS('9'!$E:$E,'9'!$A:$A,Año_Inicial+10,'9'!$B:$B,'12'!N$4,'9'!$D:$D,"Otras actividades")</f>
        <v>0</v>
      </c>
      <c r="P34" s="101">
        <f>((A11_A_L6*Otras_A)+(A11_B_L6*Otras_B)+(A11_C_L6*Otras_C)+(A11_D_L6*Otras_D)+(A11_Y_L6*Otras_Y))*Inflación_11</f>
        <v>0</v>
      </c>
      <c r="Q34" s="101">
        <f>SUMIFS('9'!$E:$E,'9'!$A:$A,Año_Inicial+10,'9'!$B:$B,'12'!P$4,'9'!$D:$D,"Otras actividades")</f>
        <v>0</v>
      </c>
      <c r="R34" s="101">
        <f>((A11_A_L7*Otras_A)+(A11_B_L7*Otras_B)+(A11_C_L7*Otras_C)+(A11_D_L7*Otras_D)+(A11_Y_L7*Otras_Y))*Inflación_11</f>
        <v>0</v>
      </c>
      <c r="S34" s="101">
        <f>SUMIFS('9'!$E:$E,'9'!$A:$A,Año_Inicial+10,'9'!$B:$B,'12'!R$4,'9'!$D:$D,"Otras actividades")</f>
        <v>0</v>
      </c>
      <c r="T34" s="101">
        <f>((A11_A_L8*Otras_A)+(A11_B_L8*Otras_B)+(A11_C_L8*Otras_C)+(A11_D_L8*Otras_D)+(A11_Y_L8*Otras_Y))*Inflación_11</f>
        <v>0</v>
      </c>
      <c r="U34" s="101">
        <f>SUMIFS('9'!$E:$E,'9'!$A:$A,Año_Inicial+10,'9'!$B:$B,'12'!T$4,'9'!$D:$D,"Otras actividades")</f>
        <v>0</v>
      </c>
      <c r="V34" s="101">
        <f>((A11_A_L9*Otras_A)+(A11_B_L9*Otras_B)+(A11_C_L9*Otras_C)+(A11_D_L9*Otras_D)+(A11_Y_L9*Otras_Y))*Inflación_11</f>
        <v>0</v>
      </c>
      <c r="W34" s="101">
        <f>SUMIFS('9'!$E:$E,'9'!$A:$A,Año_Inicial+10,'9'!$B:$B,'12'!V$4,'9'!$D:$D,"Otras actividades")</f>
        <v>0</v>
      </c>
      <c r="X34" s="101">
        <f>((A11_A_L10*Otras_A)+(A11_B_L10*Otras_B)+(A11_C_L10*Otras_C)+(A11_D_L10*Otras_D)+(A11_Y_L10*Otras_Y))*Inflación_11</f>
        <v>0</v>
      </c>
      <c r="Y34" s="101">
        <f>SUMIFS('9'!$E:$E,'9'!$A:$A,Año_Inicial+10,'9'!$B:$B,'12'!X$4,'9'!$D:$D,"Otras actividades")</f>
        <v>0</v>
      </c>
      <c r="Z34" s="101">
        <f>((A11_A_L11*Otras_A)+(A11_B_L11*Otras_B)+(A11_C_L11*Otras_C)+(A11_D_L11*Otras_D)+(A11_Y_L11*Otras_Y))*Inflación_11</f>
        <v>0</v>
      </c>
      <c r="AA34" s="101">
        <f>SUMIFS('9'!$E:$E,'9'!$A:$A,Año_Inicial+10,'9'!$B:$B,'12'!Z$4,'9'!$D:$D,"Otras actividades")</f>
        <v>0</v>
      </c>
      <c r="AB34" s="101">
        <f>((A11_A_L12*Otras_A)+(A11_B_L12*Otras_B)+(A11_C_L12*Otras_C)+(A11_D_L12*Otras_D)+(A11_Y_L12*Otras_Y))*Inflación_11</f>
        <v>0</v>
      </c>
      <c r="AC34" s="101">
        <f>SUMIFS('9'!$E:$E,'9'!$A:$A,Año_Inicial+10,'9'!$B:$B,'12'!AB$4,'9'!$D:$D,"Otras actividades")</f>
        <v>0</v>
      </c>
      <c r="AD34" s="101">
        <f>((A11_A_L13*Otras_A)+(A11_B_L13*Otras_B)+(A11_C_L13*Otras_C)+(A11_D_L13*Otras_D)+(A11_Y_L13*Otras_Y))*Inflación_11</f>
        <v>0</v>
      </c>
      <c r="AE34" s="101">
        <f>SUMIFS('9'!$E:$E,'9'!$A:$A,Año_Inicial+10,'9'!$B:$B,'12'!AD$4,'9'!$D:$D,"Otras actividades")</f>
        <v>0</v>
      </c>
      <c r="AF34" s="101">
        <f>((A11_A_L14*Otras_A)+(A11_B_L14*Otras_B)+(A11_C_L14*Otras_C)+(A11_D_L14*Otras_D)+(A11_Y_L14*Otras_Y))*Inflación_11</f>
        <v>0</v>
      </c>
      <c r="AG34" s="101">
        <f>SUMIFS('9'!$E:$E,'9'!$A:$A,Año_Inicial+10,'9'!$B:$B,'12'!AF$4,'9'!$D:$D,"Otras actividades")</f>
        <v>0</v>
      </c>
      <c r="AH34" s="101">
        <f>((A11_A_L15*Otras_A)+(A11_B_L15*Otras_B)+(A11_C_L15*Otras_C)+(A11_D_L15*Otras_D)+(A11_Y_L15*Otras_Y))*Inflación_11</f>
        <v>0</v>
      </c>
      <c r="AI34" s="101">
        <f>SUMIFS('9'!$E:$E,'9'!$A:$A,Año_Inicial+10,'9'!$B:$B,'12'!AH$4,'9'!$D:$D,"Otras actividades")</f>
        <v>0</v>
      </c>
      <c r="AJ34" s="101">
        <f>((A11_A_L16*Otras_A)+(A11_B_L16*Otras_B)+(A11_C_L16*Otras_C)+(A11_D_L16*Otras_D)+(A11_Y_L16*Otras_Y))*Inflación_11</f>
        <v>0</v>
      </c>
      <c r="AK34" s="101">
        <f>SUMIFS('9'!$E:$E,'9'!$A:$A,Año_Inicial+10,'9'!$B:$B,'12'!AJ$4,'9'!$D:$D,"Otras actividades")</f>
        <v>0</v>
      </c>
      <c r="AL34" s="101">
        <f>((A11_A_L17*Otras_A)+(A11_B_L17*Otras_B)+(A11_C_L17*Otras_C)+(A11_D_L17*Otras_D)+(A11_Y_L17*Otras_Y))*Inflación_11</f>
        <v>0</v>
      </c>
      <c r="AM34" s="101">
        <f>SUMIFS('9'!$E:$E,'9'!$A:$A,Año_Inicial+10,'9'!$B:$B,'12'!AL$4,'9'!$D:$D,"Otras actividades")</f>
        <v>0</v>
      </c>
      <c r="AN34" s="101">
        <f>((A11_A_L18*Otras_A)+(A11_B_L18*Otras_B)+(A11_C_L18*Otras_C)+(A11_D_L18*Otras_D)+(A11_Y_L18*Otras_Y))*Inflación_11</f>
        <v>0</v>
      </c>
      <c r="AO34" s="101">
        <f>SUMIFS('9'!$E:$E,'9'!$A:$A,Año_Inicial+10,'9'!$B:$B,'12'!AN$4,'9'!$D:$D,"Otras actividades")</f>
        <v>0</v>
      </c>
      <c r="AP34" s="101">
        <f>((A11_A_L19*Otras_A)+(A11_B_L19*Otras_B)+(A11_C_L19*Otras_C)+(A11_D_L19*Otras_D)+(A11_Y_L19*Otras_Y))*Inflación_11</f>
        <v>0</v>
      </c>
      <c r="AQ34" s="101">
        <f>SUMIFS('9'!$E:$E,'9'!$A:$A,Año_Inicial+10,'9'!$B:$B,'12'!AP$4,'9'!$D:$D,"Otras actividades")</f>
        <v>0</v>
      </c>
      <c r="AR34" s="101">
        <f>((A11_A_L20*Otras_A)+(A11_B_L20*Otras_B)+(A11_C_L20*Otras_C)+(A11_D_L20*Otras_D)+(A11_Y_L20*Otras_Y))*Inflación_11</f>
        <v>0</v>
      </c>
      <c r="AS34" s="101">
        <f>SUMIFS('9'!$E:$E,'9'!$A:$A,Año_Inicial+10,'9'!$B:$B,'12'!AR$4,'9'!$D:$D,"Otras actividades")</f>
        <v>0</v>
      </c>
      <c r="AT34" s="101">
        <f>((A11_A_L21*Otras_A)+(A11_B_L21*Otras_B)+(A11_C_L21*Otras_C)+(A11_D_L21*Otras_D)+(A11_Y_L21*Otras_Y))*Inflación_11</f>
        <v>0</v>
      </c>
      <c r="AU34" s="101">
        <f>SUMIFS('9'!$E:$E,'9'!$A:$A,Año_Inicial+10,'9'!$B:$B,'12'!AT$4,'9'!$D:$D,"Otras actividades")</f>
        <v>0</v>
      </c>
      <c r="AV34" s="101">
        <f>((A11_A_L22*Otras_A)+(A11_B_L22*Otras_B)+(A11_C_L22*Otras_C)+(A11_D_L22*Otras_D)+(A11_Y_L22*Otras_Y))*Inflación_11</f>
        <v>0</v>
      </c>
      <c r="AW34" s="101">
        <f>SUMIFS('9'!$E:$E,'9'!$A:$A,Año_Inicial+10,'9'!$B:$B,'12'!AV$4,'9'!$D:$D,"Otras actividades")</f>
        <v>0</v>
      </c>
      <c r="AX34" s="101">
        <f>((A11_A_L23*Otras_A)+(A11_B_L23*Otras_B)+(A11_C_L23*Otras_C)+(A11_D_L23*Otras_D)+(A11_Y_L23*Otras_Y))*Inflación_11</f>
        <v>0</v>
      </c>
      <c r="AY34" s="101">
        <f>SUMIFS('9'!$E:$E,'9'!$A:$A,Año_Inicial+10,'9'!$B:$B,'12'!AX$4,'9'!$D:$D,"Otras actividades")</f>
        <v>0</v>
      </c>
      <c r="AZ34" s="101">
        <f>((A11_A_L24*Otras_A)+(A11_B_L24*Otras_B)+(A11_C_L24*Otras_C)+(A11_D_L24*Otras_D)+(A11_Y_L24*Otras_Y))*Inflación_11</f>
        <v>0</v>
      </c>
      <c r="BA34" s="101">
        <f>SUMIFS('9'!$E:$E,'9'!$A:$A,Año_Inicial+10,'9'!$B:$B,'12'!AZ$4,'9'!$D:$D,"Otras actividades")</f>
        <v>0</v>
      </c>
      <c r="BB34" s="101">
        <f>((A11_A_L25*Otras_A)+(A11_B_L25*Otras_B)+(A11_C_L25*Otras_C)+(A11_D_L25*Otras_D)+(A11_Y_L25*Otras_Y))*Inflación_11</f>
        <v>0</v>
      </c>
      <c r="BC34" s="101">
        <f>SUMIFS('9'!$E:$E,'9'!$A:$A,Año_Inicial+10,'9'!$B:$B,'12'!BB$4,'9'!$D:$D,"Otras actividades")</f>
        <v>0</v>
      </c>
      <c r="BD34" s="101">
        <f>((A11_A_L26*Otras_A)+(A11_B_L26*Otras_B)+(A11_C_L26*Otras_C)+(A11_D_L26*Otras_D)+(A11_Y_L26*Otras_Y))*Inflación_11</f>
        <v>0</v>
      </c>
      <c r="BE34" s="101">
        <f>SUMIFS('9'!$E:$E,'9'!$A:$A,Año_Inicial+10,'9'!$B:$B,'12'!BD$4,'9'!$D:$D,"Otras actividades")</f>
        <v>0</v>
      </c>
      <c r="BF34" s="101">
        <f>((A11_A_L27*Otras_A)+(A11_B_L27*Otras_B)+(A11_C_L27*Otras_C)+(A11_D_L27*Otras_D)+(A11_Y_L27*Otras_Y))*Inflación_11</f>
        <v>0</v>
      </c>
      <c r="BG34" s="101">
        <f>SUMIFS('9'!$E:$E,'9'!$A:$A,Año_Inicial+10,'9'!$B:$B,'12'!BF$4,'9'!$D:$D,"Otras actividades")</f>
        <v>0</v>
      </c>
      <c r="BH34" s="101">
        <f>((A11_A_L28*Otras_A)+(A11_B_L28*Otras_B)+(A11_C_L28*Otras_C)+(A11_D_L28*Otras_D)+(A11_Y_L28*Otras_Y))*Inflación_11</f>
        <v>0</v>
      </c>
      <c r="BI34" s="101">
        <f>SUMIFS('9'!$E:$E,'9'!$A:$A,Año_Inicial+10,'9'!$B:$B,'12'!BH$4,'9'!$D:$D,"Otras actividades")</f>
        <v>0</v>
      </c>
      <c r="BJ34" s="101">
        <f>((A11_A_L29*Otras_A)+(A11_B_L29*Otras_B)+(A11_C_L29*Otras_C)+(A11_D_L29*Otras_D)+(A11_Y_L29*Otras_Y))*Inflación_11</f>
        <v>0</v>
      </c>
      <c r="BK34" s="101">
        <f>SUMIFS('9'!$E:$E,'9'!$A:$A,Año_Inicial+10,'9'!$B:$B,'12'!BJ$4,'9'!$D:$D,"Otras actividades")</f>
        <v>0</v>
      </c>
      <c r="BL34" s="101">
        <f>((A11_A_L30*Otras_A)+(A11_B_L30*Otras_B)+(A11_C_L30*Otras_C)+(A11_D_L30*Otras_D)+(A11_Y_L30*Otras_Y))*Inflación_11</f>
        <v>0</v>
      </c>
      <c r="BM34" s="101">
        <f>SUMIFS('9'!$E:$E,'9'!$A:$A,Año_Inicial+10,'9'!$B:$B,'12'!BL$4,'9'!$D:$D,"Otras actividades")</f>
        <v>0</v>
      </c>
      <c r="BN34" s="101">
        <f>((A11_A_L31*Otras_A)+(A11_B_L31*Otras_B)+(A11_C_L31*Otras_C)+(A11_D_L31*Otras_D)+(A11_Y_L31*Otras_Y))*Inflación_11</f>
        <v>0</v>
      </c>
      <c r="BO34" s="101">
        <f>SUMIFS('9'!$E:$E,'9'!$A:$A,Año_Inicial+10,'9'!$B:$B,'12'!BN$4,'9'!$D:$D,"Otras actividades")</f>
        <v>0</v>
      </c>
      <c r="BP34" s="101">
        <f>((A11_A_L32*Otras_A)+(A11_B_L32*Otras_B)+(A11_C_L32*Otras_C)+(A11_D_L32*Otras_D)+(A11_Y_L32*Otras_Y))*Inflación_11</f>
        <v>0</v>
      </c>
      <c r="BQ34" s="101">
        <f>SUMIFS('9'!$E:$E,'9'!$A:$A,Año_Inicial+10,'9'!$B:$B,'12'!BP$4,'9'!$D:$D,"Otras actividades")</f>
        <v>0</v>
      </c>
      <c r="BR34" s="101">
        <f>((A11_A_L33*Otras_A)+(A11_B_L33*Otras_B)+(A11_C_L33*Otras_C)+(A11_D_L33*Otras_D)+(A11_Y_L33*Otras_Y))*Inflación_11</f>
        <v>0</v>
      </c>
      <c r="BS34" s="101">
        <f>SUMIFS('9'!$E:$E,'9'!$A:$A,Año_Inicial+10,'9'!$B:$B,'12'!BR$4,'9'!$D:$D,"Otras actividades")</f>
        <v>0</v>
      </c>
      <c r="BT34" s="101">
        <f>((A11_A_L34*Otras_A)+(A11_B_L34*Otras_B)+(A11_C_L34*Otras_C)+(A11_D_L34*Otras_D)+(A11_Y_L34*Otras_Y))*Inflación_11</f>
        <v>0</v>
      </c>
      <c r="BU34" s="101">
        <f>SUMIFS('9'!$E:$E,'9'!$A:$A,Año_Inicial+10,'9'!$B:$B,'12'!BT$4,'9'!$D:$D,"Otras actividades")</f>
        <v>0</v>
      </c>
      <c r="BV34" s="101">
        <f>((A11_A_L35*Otras_A)+(A11_B_L35*Otras_B)+(A11_C_L35*Otras_C)+(A11_D_L35*Otras_D)+(A11_Y_L35*Otras_Y))*Inflación_11</f>
        <v>0</v>
      </c>
      <c r="BW34" s="101">
        <f>SUMIFS('9'!$E:$E,'9'!$A:$A,Año_Inicial+10,'9'!$B:$B,'12'!BV$4,'9'!$D:$D,"Otras actividades")</f>
        <v>0</v>
      </c>
      <c r="BX34" s="101">
        <f>((A11_A_L36*Otras_A)+(A11_B_L36*Otras_B)+(A11_C_L36*Otras_C)+(A11_D_L36*Otras_D)+(A11_Y_L36*Otras_Y))*Inflación_11</f>
        <v>0</v>
      </c>
      <c r="BY34" s="101">
        <f>SUMIFS('9'!$E:$E,'9'!$A:$A,Año_Inicial+10,'9'!$B:$B,'12'!BX$4,'9'!$D:$D,"Otras actividades")</f>
        <v>0</v>
      </c>
      <c r="BZ34" s="101">
        <f>((A11_A_L37*Otras_A)+(A11_B_L37*Otras_B)+(A11_C_L37*Otras_C)+(A11_D_L37*Otras_D)+(A11_Y_L37*Otras_Y))*Inflación_11</f>
        <v>0</v>
      </c>
      <c r="CA34" s="101">
        <f>SUMIFS('9'!$E:$E,'9'!$A:$A,Año_Inicial+10,'9'!$B:$B,'12'!BZ$4,'9'!$D:$D,"Otras actividades")</f>
        <v>0</v>
      </c>
      <c r="CB34" s="101">
        <f>((A11_A_L38*Otras_A)+(A11_B_L38*Otras_B)+(A11_C_L38*Otras_C)+(A11_D_L38*Otras_D)+(A11_Y_L38*Otras_Y))*Inflación_11</f>
        <v>0</v>
      </c>
      <c r="CC34" s="101">
        <f>SUMIFS('9'!$E:$E,'9'!$A:$A,Año_Inicial+10,'9'!$B:$B,'12'!CB$4,'9'!$D:$D,"Otras actividades")</f>
        <v>0</v>
      </c>
      <c r="CD34" s="101">
        <f>((A11_A_L39*Otras_A)+(A11_B_L39*Otras_B)+(A11_C_L39*Otras_C)+(A11_D_L39*Otras_D)+(A11_Y_L39*Otras_Y))*Inflación_11</f>
        <v>0</v>
      </c>
      <c r="CE34" s="101">
        <f>SUMIFS('9'!$E:$E,'9'!$A:$A,Año_Inicial+10,'9'!$B:$B,'12'!CD$4,'9'!$D:$D,"Otras actividades")</f>
        <v>0</v>
      </c>
      <c r="CF34" s="101">
        <f>((A11_A_L40*Otras_A)+(A11_B_L40*Otras_B)+(A11_C_L40*Otras_C)+(A11_D_L40*Otras_D)+(A11_Y_L40*Otras_Y))*Inflación_11</f>
        <v>0</v>
      </c>
      <c r="CG34" s="101">
        <f>SUMIFS('9'!$E:$E,'9'!$A:$A,Año_Inicial+10,'9'!$B:$B,'12'!CF$4,'9'!$D:$D,"Otras actividades")</f>
        <v>0</v>
      </c>
      <c r="CH34" s="473"/>
      <c r="CI34" s="101">
        <f>Plantas_A_A11*Otras_A*Inflación_11</f>
        <v>0</v>
      </c>
      <c r="CJ34" s="101">
        <f>Plantas_B_A11*Otras_B</f>
        <v>0</v>
      </c>
      <c r="CK34" s="101">
        <f>Plantas_C_A11*Otras_C</f>
        <v>0</v>
      </c>
      <c r="CL34" s="101">
        <f>Plantas_D_A11*Otras_D</f>
        <v>0</v>
      </c>
      <c r="CM34" s="101"/>
      <c r="CN34" s="101">
        <f>Plantas_Y_A11*Otras_Y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SUMIFS('9'!$E:$E,'9'!$A:$A,Año_Inicial+10,'9'!$D:$D,"Coadyuvantes")</f>
        <v>0</v>
      </c>
      <c r="D35" s="100">
        <f t="shared" si="45"/>
        <v>0</v>
      </c>
      <c r="E35" s="473"/>
      <c r="F35" s="101">
        <f>((A11_A_L1*Coad_A)+(A11_B_L1*Coad_B)+(A11_C_L1*Coad_C)+(A11_D_L1*Coad_D)+(A11_Y_L1*Coad_Y))*Inflación_11</f>
        <v>0</v>
      </c>
      <c r="G35" s="101">
        <f>SUMIFS('9'!$E:$E,'9'!$A:$A,Año_Inicial+10,'9'!$B:$B,'12'!F$4,'9'!$D:$D,"Coadyuvantes")</f>
        <v>0</v>
      </c>
      <c r="H35" s="101">
        <f>((A11_A_L2*Coad_A)+(A11_B_L2*Coad_B)+(A11_C_L2*Coad_C)+(A11_D_L2*Coad_D)+(A11_Y_L2*Coad_Y))*Inflación_11</f>
        <v>0</v>
      </c>
      <c r="I35" s="101">
        <f>SUMIFS('9'!$E:$E,'9'!$A:$A,Año_Inicial+10,'9'!$B:$B,'12'!H$4,'9'!$D:$D,"Coadyuvantes")</f>
        <v>0</v>
      </c>
      <c r="J35" s="101">
        <f>((A11_A_L3*Coad_A)+(A11_B_L3*Coad_B)+(A11_C_L3*Coad_C)+(A11_D_L3*Coad_D)+(A11_Y_L3*Coad_Y))*Inflación_11</f>
        <v>0</v>
      </c>
      <c r="K35" s="101">
        <f>SUMIFS('9'!$E:$E,'9'!$A:$A,Año_Inicial+10,'9'!$B:$B,'12'!J$4,'9'!$D:$D,"Coadyuvantes")</f>
        <v>0</v>
      </c>
      <c r="L35" s="101">
        <f>((A11_A_L4*Coad_A)+(A11_B_L4*Coad_B)+(A11_C_L4*Coad_C)+(A11_D_L4*Coad_D)+(A11_Y_L4*Coad_Y))*Inflación_11</f>
        <v>0</v>
      </c>
      <c r="M35" s="101">
        <f>SUMIFS('9'!$E:$E,'9'!$A:$A,Año_Inicial+10,'9'!$B:$B,'12'!L$4,'9'!$D:$D,"Coadyuvantes")</f>
        <v>0</v>
      </c>
      <c r="N35" s="101">
        <f>((A11_A_L5*Coad_A)+(A11_B_L5*Coad_B)+(A11_C_L5*Coad_C)+(A11_D_L5*Coad_D)+(A11_Y_L5*Coad_Y))*Inflación_11</f>
        <v>0</v>
      </c>
      <c r="O35" s="101">
        <f>SUMIFS('9'!$E:$E,'9'!$A:$A,Año_Inicial+10,'9'!$B:$B,'12'!N$4,'9'!$D:$D,"Coadyuvantes")</f>
        <v>0</v>
      </c>
      <c r="P35" s="101">
        <f>((A11_A_L6*Coad_A)+(A11_B_L6*Coad_B)+(A11_C_L6*Coad_C)+(A11_D_L6*Coad_D)+(A11_Y_L6*Coad_Y))*Inflación_11</f>
        <v>0</v>
      </c>
      <c r="Q35" s="101">
        <f>SUMIFS('9'!$E:$E,'9'!$A:$A,Año_Inicial+10,'9'!$B:$B,'12'!P$4,'9'!$D:$D,"Coadyuvantes")</f>
        <v>0</v>
      </c>
      <c r="R35" s="101">
        <f>((A11_A_L7*Coad_A)+(A11_B_L7*Coad_B)+(A11_C_L7*Coad_C)+(A11_D_L7*Coad_D)+(A11_Y_L7*Coad_Y))*Inflación_11</f>
        <v>0</v>
      </c>
      <c r="S35" s="101">
        <f>SUMIFS('9'!$E:$E,'9'!$A:$A,Año_Inicial+10,'9'!$B:$B,'12'!R$4,'9'!$D:$D,"Coadyuvantes")</f>
        <v>0</v>
      </c>
      <c r="T35" s="101">
        <f>((A11_A_L8*Coad_A)+(A11_B_L8*Coad_B)+(A11_C_L8*Coad_C)+(A11_D_L8*Coad_D)+(A11_Y_L8*Coad_Y))*Inflación_11</f>
        <v>0</v>
      </c>
      <c r="U35" s="101">
        <f>SUMIFS('9'!$E:$E,'9'!$A:$A,Año_Inicial+10,'9'!$B:$B,'12'!T$4,'9'!$D:$D,"Coadyuvantes")</f>
        <v>0</v>
      </c>
      <c r="V35" s="101">
        <f>((A11_A_L9*Coad_A)+(A11_B_L9*Coad_B)+(A11_C_L9*Coad_C)+(A11_D_L9*Coad_D)+(A11_Y_L9*Coad_Y))*Inflación_11</f>
        <v>0</v>
      </c>
      <c r="W35" s="101">
        <f>SUMIFS('9'!$E:$E,'9'!$A:$A,Año_Inicial+10,'9'!$B:$B,'12'!V$4,'9'!$D:$D,"Coadyuvantes")</f>
        <v>0</v>
      </c>
      <c r="X35" s="101">
        <f>((A11_A_L10*Coad_A)+(A11_B_L10*Coad_B)+(A11_C_L10*Coad_C)+(A11_D_L10*Coad_D)+(A11_Y_L10*Coad_Y))*Inflación_11</f>
        <v>0</v>
      </c>
      <c r="Y35" s="101">
        <f>SUMIFS('9'!$E:$E,'9'!$A:$A,Año_Inicial+10,'9'!$B:$B,'12'!X$4,'9'!$D:$D,"Coadyuvantes")</f>
        <v>0</v>
      </c>
      <c r="Z35" s="101">
        <f>((A11_A_L11*Coad_A)+(A11_B_L11*Coad_B)+(A11_C_L11*Coad_C)+(A11_D_L11*Coad_D)+(A11_Y_L11*Coad_Y))*Inflación_11</f>
        <v>0</v>
      </c>
      <c r="AA35" s="101">
        <f>SUMIFS('9'!$E:$E,'9'!$A:$A,Año_Inicial+10,'9'!$B:$B,'12'!Z$4,'9'!$D:$D,"Coadyuvantes")</f>
        <v>0</v>
      </c>
      <c r="AB35" s="101">
        <f>((A11_A_L12*Coad_A)+(A11_B_L12*Coad_B)+(A11_C_L12*Coad_C)+(A11_D_L12*Coad_D)+(A11_Y_L12*Coad_Y))*Inflación_11</f>
        <v>0</v>
      </c>
      <c r="AC35" s="101">
        <f>SUMIFS('9'!$E:$E,'9'!$A:$A,Año_Inicial+10,'9'!$B:$B,'12'!AB$4,'9'!$D:$D,"Coadyuvantes")</f>
        <v>0</v>
      </c>
      <c r="AD35" s="101">
        <f>((A11_A_L13*Coad_A)+(A11_B_L13*Coad_B)+(A11_C_L13*Coad_C)+(A11_D_L13*Coad_D)+(A11_Y_L13*Coad_Y))*Inflación_11</f>
        <v>0</v>
      </c>
      <c r="AE35" s="101">
        <f>SUMIFS('9'!$E:$E,'9'!$A:$A,Año_Inicial+10,'9'!$B:$B,'12'!AD$4,'9'!$D:$D,"Coadyuvantes")</f>
        <v>0</v>
      </c>
      <c r="AF35" s="101">
        <f>((A11_A_L14*Coad_A)+(A11_B_L14*Coad_B)+(A11_C_L14*Coad_C)+(A11_D_L14*Coad_D)+(A11_Y_L14*Coad_Y))*Inflación_11</f>
        <v>0</v>
      </c>
      <c r="AG35" s="101">
        <f>SUMIFS('9'!$E:$E,'9'!$A:$A,Año_Inicial+10,'9'!$B:$B,'12'!AF$4,'9'!$D:$D,"Coadyuvantes")</f>
        <v>0</v>
      </c>
      <c r="AH35" s="101">
        <f>((A11_A_L15*Coad_A)+(A11_B_L15*Coad_B)+(A11_C_L15*Coad_C)+(A11_D_L15*Coad_D)+(A11_Y_L15*Coad_Y))*Inflación_11</f>
        <v>0</v>
      </c>
      <c r="AI35" s="101">
        <f>SUMIFS('9'!$E:$E,'9'!$A:$A,Año_Inicial+10,'9'!$B:$B,'12'!AH$4,'9'!$D:$D,"Coadyuvantes")</f>
        <v>0</v>
      </c>
      <c r="AJ35" s="101">
        <f>((A11_A_L16*Coad_A)+(A11_B_L16*Coad_B)+(A11_C_L16*Coad_C)+(A11_D_L16*Coad_D)+(A11_Y_L16*Coad_Y))*Inflación_11</f>
        <v>0</v>
      </c>
      <c r="AK35" s="101">
        <f>SUMIFS('9'!$E:$E,'9'!$A:$A,Año_Inicial+10,'9'!$B:$B,'12'!AJ$4,'9'!$D:$D,"Coadyuvantes")</f>
        <v>0</v>
      </c>
      <c r="AL35" s="101">
        <f>((A11_A_L17*Coad_A)+(A11_B_L17*Coad_B)+(A11_C_L17*Coad_C)+(A11_D_L17*Coad_D)+(A11_Y_L17*Coad_Y))*Inflación_11</f>
        <v>0</v>
      </c>
      <c r="AM35" s="101">
        <f>SUMIFS('9'!$E:$E,'9'!$A:$A,Año_Inicial+10,'9'!$B:$B,'12'!AL$4,'9'!$D:$D,"Coadyuvantes")</f>
        <v>0</v>
      </c>
      <c r="AN35" s="101">
        <f>((A11_A_L18*Coad_A)+(A11_B_L18*Coad_B)+(A11_C_L18*Coad_C)+(A11_D_L18*Coad_D)+(A11_Y_L18*Coad_Y))*Inflación_11</f>
        <v>0</v>
      </c>
      <c r="AO35" s="101">
        <f>SUMIFS('9'!$E:$E,'9'!$A:$A,Año_Inicial+10,'9'!$B:$B,'12'!AN$4,'9'!$D:$D,"Coadyuvantes")</f>
        <v>0</v>
      </c>
      <c r="AP35" s="101">
        <f>((A11_A_L19*Coad_A)+(A11_B_L19*Coad_B)+(A11_C_L19*Coad_C)+(A11_D_L19*Coad_D)+(A11_Y_L19*Coad_Y))*Inflación_11</f>
        <v>0</v>
      </c>
      <c r="AQ35" s="101">
        <f>SUMIFS('9'!$E:$E,'9'!$A:$A,Año_Inicial+10,'9'!$B:$B,'12'!AP$4,'9'!$D:$D,"Coadyuvantes")</f>
        <v>0</v>
      </c>
      <c r="AR35" s="101">
        <f>((A11_A_L20*Coad_A)+(A11_B_L20*Coad_B)+(A11_C_L20*Coad_C)+(A11_D_L20*Coad_D)+(A11_Y_L20*Coad_Y))*Inflación_11</f>
        <v>0</v>
      </c>
      <c r="AS35" s="101">
        <f>SUMIFS('9'!$E:$E,'9'!$A:$A,Año_Inicial+10,'9'!$B:$B,'12'!AR$4,'9'!$D:$D,"Coadyuvantes")</f>
        <v>0</v>
      </c>
      <c r="AT35" s="101">
        <f>((A11_A_L21*Coad_A)+(A11_B_L21*Coad_B)+(A11_C_L21*Coad_C)+(A11_D_L21*Coad_D)+(A11_Y_L21*Coad_Y))*Inflación_11</f>
        <v>0</v>
      </c>
      <c r="AU35" s="101">
        <f>SUMIFS('9'!$E:$E,'9'!$A:$A,Año_Inicial+10,'9'!$B:$B,'12'!AT$4,'9'!$D:$D,"Coadyuvantes")</f>
        <v>0</v>
      </c>
      <c r="AV35" s="101">
        <f>((A11_A_L22*Coad_A)+(A11_B_L22*Coad_B)+(A11_C_L22*Coad_C)+(A11_D_L22*Coad_D)+(A11_Y_L22*Coad_Y))*Inflación_11</f>
        <v>0</v>
      </c>
      <c r="AW35" s="101">
        <f>SUMIFS('9'!$E:$E,'9'!$A:$A,Año_Inicial+10,'9'!$B:$B,'12'!AV$4,'9'!$D:$D,"Coadyuvantes")</f>
        <v>0</v>
      </c>
      <c r="AX35" s="101">
        <f>((A11_A_L23*Coad_A)+(A11_B_L23*Coad_B)+(A11_C_L23*Coad_C)+(A11_D_L23*Coad_D)+(A11_Y_L23*Coad_Y))*Inflación_11</f>
        <v>0</v>
      </c>
      <c r="AY35" s="101">
        <f>SUMIFS('9'!$E:$E,'9'!$A:$A,Año_Inicial+10,'9'!$B:$B,'12'!AX$4,'9'!$D:$D,"Coadyuvantes")</f>
        <v>0</v>
      </c>
      <c r="AZ35" s="101">
        <f>((A11_A_L24*Coad_A)+(A11_B_L24*Coad_B)+(A11_C_L24*Coad_C)+(A11_D_L24*Coad_D)+(A11_Y_L24*Coad_Y))*Inflación_11</f>
        <v>0</v>
      </c>
      <c r="BA35" s="101">
        <f>SUMIFS('9'!$E:$E,'9'!$A:$A,Año_Inicial+10,'9'!$B:$B,'12'!AZ$4,'9'!$D:$D,"Coadyuvantes")</f>
        <v>0</v>
      </c>
      <c r="BB35" s="101">
        <f>((A11_A_L25*Coad_A)+(A11_B_L25*Coad_B)+(A11_C_L25*Coad_C)+(A11_D_L25*Coad_D)+(A11_Y_L25*Coad_Y))*Inflación_11</f>
        <v>0</v>
      </c>
      <c r="BC35" s="101">
        <f>SUMIFS('9'!$E:$E,'9'!$A:$A,Año_Inicial+10,'9'!$B:$B,'12'!BB$4,'9'!$D:$D,"Coadyuvantes")</f>
        <v>0</v>
      </c>
      <c r="BD35" s="101">
        <f>((A11_A_L26*Coad_A)+(A11_B_L26*Coad_B)+(A11_C_L26*Coad_C)+(A11_D_L26*Coad_D)+(A11_Y_L26*Coad_Y))*Inflación_11</f>
        <v>0</v>
      </c>
      <c r="BE35" s="101">
        <f>SUMIFS('9'!$E:$E,'9'!$A:$A,Año_Inicial+10,'9'!$B:$B,'12'!BD$4,'9'!$D:$D,"Coadyuvantes")</f>
        <v>0</v>
      </c>
      <c r="BF35" s="101">
        <f>((A11_A_L27*Coad_A)+(A11_B_L27*Coad_B)+(A11_C_L27*Coad_C)+(A11_D_L27*Coad_D)+(A11_Y_L27*Coad_Y))*Inflación_11</f>
        <v>0</v>
      </c>
      <c r="BG35" s="101">
        <f>SUMIFS('9'!$E:$E,'9'!$A:$A,Año_Inicial+10,'9'!$B:$B,'12'!BF$4,'9'!$D:$D,"Coadyuvantes")</f>
        <v>0</v>
      </c>
      <c r="BH35" s="101">
        <f>((A11_A_L28*Coad_A)+(A11_B_L28*Coad_B)+(A11_C_L28*Coad_C)+(A11_D_L28*Coad_D)+(A11_Y_L28*Coad_Y))*Inflación_11</f>
        <v>0</v>
      </c>
      <c r="BI35" s="101">
        <f>SUMIFS('9'!$E:$E,'9'!$A:$A,Año_Inicial+10,'9'!$B:$B,'12'!BH$4,'9'!$D:$D,"Coadyuvantes")</f>
        <v>0</v>
      </c>
      <c r="BJ35" s="101">
        <f>((A11_A_L29*Coad_A)+(A11_B_L29*Coad_B)+(A11_C_L29*Coad_C)+(A11_D_L29*Coad_D)+(A11_Y_L29*Coad_Y))*Inflación_11</f>
        <v>0</v>
      </c>
      <c r="BK35" s="101">
        <f>SUMIFS('9'!$E:$E,'9'!$A:$A,Año_Inicial+10,'9'!$B:$B,'12'!BJ$4,'9'!$D:$D,"Coadyuvantes")</f>
        <v>0</v>
      </c>
      <c r="BL35" s="101">
        <f>((A11_A_L30*Coad_A)+(A11_B_L30*Coad_B)+(A11_C_L30*Coad_C)+(A11_D_L30*Coad_D)+(A11_Y_L30*Coad_Y))*Inflación_11</f>
        <v>0</v>
      </c>
      <c r="BM35" s="101">
        <f>SUMIFS('9'!$E:$E,'9'!$A:$A,Año_Inicial+10,'9'!$B:$B,'12'!BL$4,'9'!$D:$D,"Coadyuvantes")</f>
        <v>0</v>
      </c>
      <c r="BN35" s="101">
        <f>((A11_A_L31*Coad_A)+(A11_B_L31*Coad_B)+(A11_C_L31*Coad_C)+(A11_D_L31*Coad_D)+(A11_Y_L31*Coad_Y))*Inflación_11</f>
        <v>0</v>
      </c>
      <c r="BO35" s="101">
        <f>SUMIFS('9'!$E:$E,'9'!$A:$A,Año_Inicial+10,'9'!$B:$B,'12'!BN$4,'9'!$D:$D,"Coadyuvantes")</f>
        <v>0</v>
      </c>
      <c r="BP35" s="101">
        <f>((A11_A_L32*Coad_A)+(A11_B_L32*Coad_B)+(A11_C_L32*Coad_C)+(A11_D_L32*Coad_D)+(A11_Y_L32*Coad_Y))*Inflación_11</f>
        <v>0</v>
      </c>
      <c r="BQ35" s="101">
        <f>SUMIFS('9'!$E:$E,'9'!$A:$A,Año_Inicial+10,'9'!$B:$B,'12'!BP$4,'9'!$D:$D,"Coadyuvantes")</f>
        <v>0</v>
      </c>
      <c r="BR35" s="101">
        <f>((A11_A_L33*Coad_A)+(A11_B_L33*Coad_B)+(A11_C_L33*Coad_C)+(A11_D_L33*Coad_D)+(A11_Y_L33*Coad_Y))*Inflación_11</f>
        <v>0</v>
      </c>
      <c r="BS35" s="101">
        <f>SUMIFS('9'!$E:$E,'9'!$A:$A,Año_Inicial+10,'9'!$B:$B,'12'!BR$4,'9'!$D:$D,"Coadyuvantes")</f>
        <v>0</v>
      </c>
      <c r="BT35" s="101">
        <f>((A11_A_L34*Coad_A)+(A11_B_L34*Coad_B)+(A11_C_L34*Coad_C)+(A11_D_L34*Coad_D)+(A11_Y_L34*Coad_Y))*Inflación_11</f>
        <v>0</v>
      </c>
      <c r="BU35" s="101">
        <f>SUMIFS('9'!$E:$E,'9'!$A:$A,Año_Inicial+10,'9'!$B:$B,'12'!BT$4,'9'!$D:$D,"Coadyuvantes")</f>
        <v>0</v>
      </c>
      <c r="BV35" s="101">
        <f>((A11_A_L35*Coad_A)+(A11_B_L35*Coad_B)+(A11_C_L35*Coad_C)+(A11_D_L35*Coad_D)+(A11_Y_L35*Coad_Y))*Inflación_11</f>
        <v>0</v>
      </c>
      <c r="BW35" s="101">
        <f>SUMIFS('9'!$E:$E,'9'!$A:$A,Año_Inicial+10,'9'!$B:$B,'12'!BV$4,'9'!$D:$D,"Coadyuvantes")</f>
        <v>0</v>
      </c>
      <c r="BX35" s="101">
        <f>((A11_A_L36*Coad_A)+(A11_B_L36*Coad_B)+(A11_C_L36*Coad_C)+(A11_D_L36*Coad_D)+(A11_Y_L36*Coad_Y))*Inflación_11</f>
        <v>0</v>
      </c>
      <c r="BY35" s="101">
        <f>SUMIFS('9'!$E:$E,'9'!$A:$A,Año_Inicial+10,'9'!$B:$B,'12'!BX$4,'9'!$D:$D,"Coadyuvantes")</f>
        <v>0</v>
      </c>
      <c r="BZ35" s="101">
        <f>((A11_A_L37*Coad_A)+(A11_B_L37*Coad_B)+(A11_C_L37*Coad_C)+(A11_D_L37*Coad_D)+(A11_Y_L37*Coad_Y))*Inflación_11</f>
        <v>0</v>
      </c>
      <c r="CA35" s="101">
        <f>SUMIFS('9'!$E:$E,'9'!$A:$A,Año_Inicial+10,'9'!$B:$B,'12'!BZ$4,'9'!$D:$D,"Coadyuvantes")</f>
        <v>0</v>
      </c>
      <c r="CB35" s="101">
        <f>((A11_A_L38*Coad_A)+(A11_B_L38*Coad_B)+(A11_C_L38*Coad_C)+(A11_D_L38*Coad_D)+(A11_Y_L38*Coad_Y))*Inflación_11</f>
        <v>0</v>
      </c>
      <c r="CC35" s="101">
        <f>SUMIFS('9'!$E:$E,'9'!$A:$A,Año_Inicial+10,'9'!$B:$B,'12'!CB$4,'9'!$D:$D,"Coadyuvantes")</f>
        <v>0</v>
      </c>
      <c r="CD35" s="101">
        <f>((A11_A_L39*Coad_A)+(A11_B_L39*Coad_B)+(A11_C_L39*Coad_C)+(A11_D_L39*Coad_D)+(A11_Y_L39*Coad_Y))*Inflación_11</f>
        <v>0</v>
      </c>
      <c r="CE35" s="101">
        <f>SUMIFS('9'!$E:$E,'9'!$A:$A,Año_Inicial+10,'9'!$B:$B,'12'!CD$4,'9'!$D:$D,"Coadyuvantes")</f>
        <v>0</v>
      </c>
      <c r="CF35" s="101">
        <f>((A11_A_L40*Coad_A)+(A11_B_L40*Coad_B)+(A11_C_L40*Coad_C)+(A11_D_L40*Coad_D)+(A11_Y_L40*Coad_Y))*Inflación_11</f>
        <v>0</v>
      </c>
      <c r="CG35" s="101">
        <f>SUMIFS('9'!$E:$E,'9'!$A:$A,Año_Inicial+10,'9'!$B:$B,'12'!CF$4,'9'!$D:$D,"Coadyuvantes")</f>
        <v>0</v>
      </c>
      <c r="CH35" s="473"/>
      <c r="CI35" s="101">
        <f>Plantas_A_A11*Coad_A*Inflación_11</f>
        <v>0</v>
      </c>
      <c r="CJ35" s="101">
        <f>Plantas_B_A11*Coad_B</f>
        <v>0</v>
      </c>
      <c r="CK35" s="101">
        <f>Plantas_C_A11*Coad_C</f>
        <v>0</v>
      </c>
      <c r="CL35" s="101">
        <f>Plantas_D_A11*Coad_D</f>
        <v>0</v>
      </c>
      <c r="CM35" s="101"/>
      <c r="CN35" s="101">
        <f>Plantas_Y_A11*Coad_Y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SUMIFS('9'!$E:$E,'9'!$A:$A,Año_Inicial+10,'9'!$D:$D,"Otro insumo 1*")</f>
        <v>0</v>
      </c>
      <c r="D36" s="100">
        <f t="shared" si="45"/>
        <v>0</v>
      </c>
      <c r="E36" s="473"/>
      <c r="F36" s="101">
        <f>((A11_A_L1*Otro1_A)+(A11_B_L1*Otro1_B)+(A11_C_L1*Otro1_C)+(A11_D_L1*Otro1_D)+(A11_Y_L1*Otro1_Y))*Inflación_11</f>
        <v>0</v>
      </c>
      <c r="G36" s="101">
        <f>SUMIFS('9'!$E:$E,'9'!$A:$A,Año_Inicial+10,'9'!$B:$B,'12'!F$4,'9'!$D:$D,"Otro insumo 1*")</f>
        <v>0</v>
      </c>
      <c r="H36" s="101">
        <f>((A11_A_L2*Otro1_A)+(A11_B_L2*Otro1_B)+(A11_C_L2*Otro1_C)+(A11_D_L2*Otro1_D)+(A11_Y_L2*Otro1_Y))*Inflación_11</f>
        <v>0</v>
      </c>
      <c r="I36" s="101">
        <f>SUMIFS('9'!$E:$E,'9'!$A:$A,Año_Inicial+10,'9'!$B:$B,'12'!H$4,'9'!$D:$D,"Otro insumo 1*")</f>
        <v>0</v>
      </c>
      <c r="J36" s="101">
        <f>((A11_A_L3*Otro1_A)+(A11_B_L3*Otro1_B)+(A11_C_L3*Otro1_C)+(A11_D_L3*Otro1_D)+(A11_Y_L3*Otro1_Y))*Inflación_11</f>
        <v>0</v>
      </c>
      <c r="K36" s="101">
        <f>SUMIFS('9'!$E:$E,'9'!$A:$A,Año_Inicial+10,'9'!$B:$B,'12'!J$4,'9'!$D:$D,"Otro insumo 1*")</f>
        <v>0</v>
      </c>
      <c r="L36" s="101">
        <f>((A11_A_L4*Otro1_A)+(A11_B_L4*Otro1_B)+(A11_C_L4*Otro1_C)+(A11_D_L4*Otro1_D)+(A11_Y_L4*Otro1_Y))*Inflación_11</f>
        <v>0</v>
      </c>
      <c r="M36" s="101">
        <f>SUMIFS('9'!$E:$E,'9'!$A:$A,Año_Inicial+10,'9'!$B:$B,'12'!L$4,'9'!$D:$D,"Otro insumo 1*")</f>
        <v>0</v>
      </c>
      <c r="N36" s="101">
        <f>((A11_A_L5*Otro1_A)+(A11_B_L5*Otro1_B)+(A11_C_L5*Otro1_C)+(A11_D_L5*Otro1_D)+(A11_Y_L5*Otro1_Y))*Inflación_11</f>
        <v>0</v>
      </c>
      <c r="O36" s="101">
        <f>SUMIFS('9'!$E:$E,'9'!$A:$A,Año_Inicial+10,'9'!$B:$B,'12'!N$4,'9'!$D:$D,"Otro insumo 1*")</f>
        <v>0</v>
      </c>
      <c r="P36" s="101">
        <f>((A11_A_L6*Otro1_A)+(A11_B_L6*Otro1_B)+(A11_C_L6*Otro1_C)+(A11_D_L6*Otro1_D)+(A11_Y_L6*Otro1_Y))*Inflación_11</f>
        <v>0</v>
      </c>
      <c r="Q36" s="101">
        <f>SUMIFS('9'!$E:$E,'9'!$A:$A,Año_Inicial+10,'9'!$B:$B,'12'!P$4,'9'!$D:$D,"Otro insumo 1*")</f>
        <v>0</v>
      </c>
      <c r="R36" s="101">
        <f>((A11_A_L7*Otro1_A)+(A11_B_L7*Otro1_B)+(A11_C_L7*Otro1_C)+(A11_D_L7*Otro1_D)+(A11_Y_L7*Otro1_Y))*Inflación_11</f>
        <v>0</v>
      </c>
      <c r="S36" s="101">
        <f>SUMIFS('9'!$E:$E,'9'!$A:$A,Año_Inicial+10,'9'!$B:$B,'12'!R$4,'9'!$D:$D,"Otro insumo 1*")</f>
        <v>0</v>
      </c>
      <c r="T36" s="101">
        <f>((A11_A_L8*Otro1_A)+(A11_B_L8*Otro1_B)+(A11_C_L8*Otro1_C)+(A11_D_L8*Otro1_D)+(A11_Y_L8*Otro1_Y))*Inflación_11</f>
        <v>0</v>
      </c>
      <c r="U36" s="101">
        <f>SUMIFS('9'!$E:$E,'9'!$A:$A,Año_Inicial+10,'9'!$B:$B,'12'!T$4,'9'!$D:$D,"Otro insumo 1*")</f>
        <v>0</v>
      </c>
      <c r="V36" s="101">
        <f>((A11_A_L9*Otro1_A)+(A11_B_L9*Otro1_B)+(A11_C_L9*Otro1_C)+(A11_D_L9*Otro1_D)+(A11_Y_L9*Otro1_Y))*Inflación_11</f>
        <v>0</v>
      </c>
      <c r="W36" s="101">
        <f>SUMIFS('9'!$E:$E,'9'!$A:$A,Año_Inicial+10,'9'!$B:$B,'12'!V$4,'9'!$D:$D,"Otro insumo 1*")</f>
        <v>0</v>
      </c>
      <c r="X36" s="101">
        <f>((A11_A_L10*Otro1_A)+(A11_B_L10*Otro1_B)+(A11_C_L10*Otro1_C)+(A11_D_L10*Otro1_D)+(A11_Y_L10*Otro1_Y))*Inflación_11</f>
        <v>0</v>
      </c>
      <c r="Y36" s="101">
        <f>SUMIFS('9'!$E:$E,'9'!$A:$A,Año_Inicial+10,'9'!$B:$B,'12'!X$4,'9'!$D:$D,"Otro insumo 1*")</f>
        <v>0</v>
      </c>
      <c r="Z36" s="101">
        <f>((A11_A_L11*Otro1_A)+(A11_B_L11*Otro1_B)+(A11_C_L11*Otro1_C)+(A11_D_L11*Otro1_D)+(A11_Y_L11*Otro1_Y))*Inflación_11</f>
        <v>0</v>
      </c>
      <c r="AA36" s="101">
        <f>SUMIFS('9'!$E:$E,'9'!$A:$A,Año_Inicial+10,'9'!$B:$B,'12'!Z$4,'9'!$D:$D,"Otro insumo 1*")</f>
        <v>0</v>
      </c>
      <c r="AB36" s="101">
        <f>((A11_A_L12*Otro1_A)+(A11_B_L12*Otro1_B)+(A11_C_L12*Otro1_C)+(A11_D_L12*Otro1_D)+(A11_Y_L12*Otro1_Y))*Inflación_11</f>
        <v>0</v>
      </c>
      <c r="AC36" s="101">
        <f>SUMIFS('9'!$E:$E,'9'!$A:$A,Año_Inicial+10,'9'!$B:$B,'12'!AB$4,'9'!$D:$D,"Otro insumo 1*")</f>
        <v>0</v>
      </c>
      <c r="AD36" s="101">
        <f>((A11_A_L13*Otro1_A)+(A11_B_L13*Otro1_B)+(A11_C_L13*Otro1_C)+(A11_D_L13*Otro1_D)+(A11_Y_L13*Otro1_Y))*Inflación_11</f>
        <v>0</v>
      </c>
      <c r="AE36" s="101">
        <f>SUMIFS('9'!$E:$E,'9'!$A:$A,Año_Inicial+10,'9'!$B:$B,'12'!AD$4,'9'!$D:$D,"Otro insumo 1*")</f>
        <v>0</v>
      </c>
      <c r="AF36" s="101">
        <f>((A11_A_L14*Otro1_A)+(A11_B_L14*Otro1_B)+(A11_C_L14*Otro1_C)+(A11_D_L14*Otro1_D)+(A11_Y_L14*Otro1_Y))*Inflación_11</f>
        <v>0</v>
      </c>
      <c r="AG36" s="101">
        <f>SUMIFS('9'!$E:$E,'9'!$A:$A,Año_Inicial+10,'9'!$B:$B,'12'!AF$4,'9'!$D:$D,"Otro insumo 1*")</f>
        <v>0</v>
      </c>
      <c r="AH36" s="101">
        <f>((A11_A_L15*Otro1_A)+(A11_B_L15*Otro1_B)+(A11_C_L15*Otro1_C)+(A11_D_L15*Otro1_D)+(A11_Y_L15*Otro1_Y))*Inflación_11</f>
        <v>0</v>
      </c>
      <c r="AI36" s="101">
        <f>SUMIFS('9'!$E:$E,'9'!$A:$A,Año_Inicial+10,'9'!$B:$B,'12'!AH$4,'9'!$D:$D,"Otro insumo 1*")</f>
        <v>0</v>
      </c>
      <c r="AJ36" s="101">
        <f>((A11_A_L16*Otro1_A)+(A11_B_L16*Otro1_B)+(A11_C_L16*Otro1_C)+(A11_D_L16*Otro1_D)+(A11_Y_L16*Otro1_Y))*Inflación_11</f>
        <v>0</v>
      </c>
      <c r="AK36" s="101">
        <f>SUMIFS('9'!$E:$E,'9'!$A:$A,Año_Inicial+10,'9'!$B:$B,'12'!AJ$4,'9'!$D:$D,"Otro insumo 1*")</f>
        <v>0</v>
      </c>
      <c r="AL36" s="101">
        <f>((A11_A_L17*Otro1_A)+(A11_B_L17*Otro1_B)+(A11_C_L17*Otro1_C)+(A11_D_L17*Otro1_D)+(A11_Y_L17*Otro1_Y))*Inflación_11</f>
        <v>0</v>
      </c>
      <c r="AM36" s="101">
        <f>SUMIFS('9'!$E:$E,'9'!$A:$A,Año_Inicial+10,'9'!$B:$B,'12'!AL$4,'9'!$D:$D,"Otro insumo 1*")</f>
        <v>0</v>
      </c>
      <c r="AN36" s="101">
        <f>((A11_A_L18*Otro1_A)+(A11_B_L18*Otro1_B)+(A11_C_L18*Otro1_C)+(A11_D_L18*Otro1_D)+(A11_Y_L18*Otro1_Y))*Inflación_11</f>
        <v>0</v>
      </c>
      <c r="AO36" s="101">
        <f>SUMIFS('9'!$E:$E,'9'!$A:$A,Año_Inicial+10,'9'!$B:$B,'12'!AN$4,'9'!$D:$D,"Otro insumo 1*")</f>
        <v>0</v>
      </c>
      <c r="AP36" s="101">
        <f>((A11_A_L19*Otro1_A)+(A11_B_L19*Otro1_B)+(A11_C_L19*Otro1_C)+(A11_D_L19*Otro1_D)+(A11_Y_L19*Otro1_Y))*Inflación_11</f>
        <v>0</v>
      </c>
      <c r="AQ36" s="101">
        <f>SUMIFS('9'!$E:$E,'9'!$A:$A,Año_Inicial+10,'9'!$B:$B,'12'!AP$4,'9'!$D:$D,"Otro insumo 1*")</f>
        <v>0</v>
      </c>
      <c r="AR36" s="101">
        <f>((A11_A_L20*Otro1_A)+(A11_B_L20*Otro1_B)+(A11_C_L20*Otro1_C)+(A11_D_L20*Otro1_D)+(A11_Y_L20*Otro1_Y))*Inflación_11</f>
        <v>0</v>
      </c>
      <c r="AS36" s="101">
        <f>SUMIFS('9'!$E:$E,'9'!$A:$A,Año_Inicial+10,'9'!$B:$B,'12'!AR$4,'9'!$D:$D,"Otro insumo 1*")</f>
        <v>0</v>
      </c>
      <c r="AT36" s="101">
        <f>((A11_A_L21*Otro1_A)+(A11_B_L21*Otro1_B)+(A11_C_L21*Otro1_C)+(A11_D_L21*Otro1_D)+(A11_Y_L21*Otro1_Y))*Inflación_11</f>
        <v>0</v>
      </c>
      <c r="AU36" s="101">
        <f>SUMIFS('9'!$E:$E,'9'!$A:$A,Año_Inicial+10,'9'!$B:$B,'12'!AT$4,'9'!$D:$D,"Otro insumo 1*")</f>
        <v>0</v>
      </c>
      <c r="AV36" s="101">
        <f>((A11_A_L22*Otro1_A)+(A11_B_L22*Otro1_B)+(A11_C_L22*Otro1_C)+(A11_D_L22*Otro1_D)+(A11_Y_L22*Otro1_Y))*Inflación_11</f>
        <v>0</v>
      </c>
      <c r="AW36" s="101">
        <f>SUMIFS('9'!$E:$E,'9'!$A:$A,Año_Inicial+10,'9'!$B:$B,'12'!AV$4,'9'!$D:$D,"Otro insumo 1*")</f>
        <v>0</v>
      </c>
      <c r="AX36" s="101">
        <f>((A11_A_L23*Otro1_A)+(A11_B_L23*Otro1_B)+(A11_C_L23*Otro1_C)+(A11_D_L23*Otro1_D)+(A11_Y_L23*Otro1_Y))*Inflación_11</f>
        <v>0</v>
      </c>
      <c r="AY36" s="101">
        <f>SUMIFS('9'!$E:$E,'9'!$A:$A,Año_Inicial+10,'9'!$B:$B,'12'!AX$4,'9'!$D:$D,"Otro insumo 1*")</f>
        <v>0</v>
      </c>
      <c r="AZ36" s="101">
        <f>((A11_A_L24*Otro1_A)+(A11_B_L24*Otro1_B)+(A11_C_L24*Otro1_C)+(A11_D_L24*Otro1_D)+(A11_Y_L24*Otro1_Y))*Inflación_11</f>
        <v>0</v>
      </c>
      <c r="BA36" s="101">
        <f>SUMIFS('9'!$E:$E,'9'!$A:$A,Año_Inicial+10,'9'!$B:$B,'12'!AZ$4,'9'!$D:$D,"Otro insumo 1*")</f>
        <v>0</v>
      </c>
      <c r="BB36" s="101">
        <f>((A11_A_L25*Otro1_A)+(A11_B_L25*Otro1_B)+(A11_C_L25*Otro1_C)+(A11_D_L25*Otro1_D)+(A11_Y_L25*Otro1_Y))*Inflación_11</f>
        <v>0</v>
      </c>
      <c r="BC36" s="101">
        <f>SUMIFS('9'!$E:$E,'9'!$A:$A,Año_Inicial+10,'9'!$B:$B,'12'!BB$4,'9'!$D:$D,"Otro insumo 1*")</f>
        <v>0</v>
      </c>
      <c r="BD36" s="101">
        <f>((A11_A_L26*Otro1_A)+(A11_B_L26*Otro1_B)+(A11_C_L26*Otro1_C)+(A11_D_L26*Otro1_D)+(A11_Y_L26*Otro1_Y))*Inflación_11</f>
        <v>0</v>
      </c>
      <c r="BE36" s="101">
        <f>SUMIFS('9'!$E:$E,'9'!$A:$A,Año_Inicial+10,'9'!$B:$B,'12'!BD$4,'9'!$D:$D,"Otro insumo 1*")</f>
        <v>0</v>
      </c>
      <c r="BF36" s="101">
        <f>((A11_A_L27*Otro1_A)+(A11_B_L27*Otro1_B)+(A11_C_L27*Otro1_C)+(A11_D_L27*Otro1_D)+(A11_Y_L27*Otro1_Y))*Inflación_11</f>
        <v>0</v>
      </c>
      <c r="BG36" s="101">
        <f>SUMIFS('9'!$E:$E,'9'!$A:$A,Año_Inicial+10,'9'!$B:$B,'12'!BF$4,'9'!$D:$D,"Otro insumo 1*")</f>
        <v>0</v>
      </c>
      <c r="BH36" s="101">
        <f>((A11_A_L28*Otro1_A)+(A11_B_L28*Otro1_B)+(A11_C_L28*Otro1_C)+(A11_D_L28*Otro1_D)+(A11_Y_L28*Otro1_Y))*Inflación_11</f>
        <v>0</v>
      </c>
      <c r="BI36" s="101">
        <f>SUMIFS('9'!$E:$E,'9'!$A:$A,Año_Inicial+10,'9'!$B:$B,'12'!BH$4,'9'!$D:$D,"Otro insumo 1*")</f>
        <v>0</v>
      </c>
      <c r="BJ36" s="101">
        <f>((A11_A_L29*Otro1_A)+(A11_B_L29*Otro1_B)+(A11_C_L29*Otro1_C)+(A11_D_L29*Otro1_D)+(A11_Y_L29*Otro1_Y))*Inflación_11</f>
        <v>0</v>
      </c>
      <c r="BK36" s="101">
        <f>SUMIFS('9'!$E:$E,'9'!$A:$A,Año_Inicial+10,'9'!$B:$B,'12'!BJ$4,'9'!$D:$D,"Otro insumo 1*")</f>
        <v>0</v>
      </c>
      <c r="BL36" s="101">
        <f>((A11_A_L30*Otro1_A)+(A11_B_L30*Otro1_B)+(A11_C_L30*Otro1_C)+(A11_D_L30*Otro1_D)+(A11_Y_L30*Otro1_Y))*Inflación_11</f>
        <v>0</v>
      </c>
      <c r="BM36" s="101">
        <f>SUMIFS('9'!$E:$E,'9'!$A:$A,Año_Inicial+10,'9'!$B:$B,'12'!BL$4,'9'!$D:$D,"Otro insumo 1*")</f>
        <v>0</v>
      </c>
      <c r="BN36" s="101">
        <f>((A11_A_L31*Otro1_A)+(A11_B_L31*Otro1_B)+(A11_C_L31*Otro1_C)+(A11_D_L31*Otro1_D)+(A11_Y_L31*Otro1_Y))*Inflación_11</f>
        <v>0</v>
      </c>
      <c r="BO36" s="101">
        <f>SUMIFS('9'!$E:$E,'9'!$A:$A,Año_Inicial+10,'9'!$B:$B,'12'!BN$4,'9'!$D:$D,"Otro insumo 1*")</f>
        <v>0</v>
      </c>
      <c r="BP36" s="101">
        <f>((A11_A_L32*Otro1_A)+(A11_B_L32*Otro1_B)+(A11_C_L32*Otro1_C)+(A11_D_L32*Otro1_D)+(A11_Y_L32*Otro1_Y))*Inflación_11</f>
        <v>0</v>
      </c>
      <c r="BQ36" s="101">
        <f>SUMIFS('9'!$E:$E,'9'!$A:$A,Año_Inicial+10,'9'!$B:$B,'12'!BP$4,'9'!$D:$D,"Otro insumo 1*")</f>
        <v>0</v>
      </c>
      <c r="BR36" s="101">
        <f>((A11_A_L33*Otro1_A)+(A11_B_L33*Otro1_B)+(A11_C_L33*Otro1_C)+(A11_D_L33*Otro1_D)+(A11_Y_L33*Otro1_Y))*Inflación_11</f>
        <v>0</v>
      </c>
      <c r="BS36" s="101">
        <f>SUMIFS('9'!$E:$E,'9'!$A:$A,Año_Inicial+10,'9'!$B:$B,'12'!BR$4,'9'!$D:$D,"Otro insumo 1*")</f>
        <v>0</v>
      </c>
      <c r="BT36" s="101">
        <f>((A11_A_L34*Otro1_A)+(A11_B_L34*Otro1_B)+(A11_C_L34*Otro1_C)+(A11_D_L34*Otro1_D)+(A11_Y_L34*Otro1_Y))*Inflación_11</f>
        <v>0</v>
      </c>
      <c r="BU36" s="101">
        <f>SUMIFS('9'!$E:$E,'9'!$A:$A,Año_Inicial+10,'9'!$B:$B,'12'!BT$4,'9'!$D:$D,"Otro insumo 1*")</f>
        <v>0</v>
      </c>
      <c r="BV36" s="101">
        <f>((A11_A_L35*Otro1_A)+(A11_B_L35*Otro1_B)+(A11_C_L35*Otro1_C)+(A11_D_L35*Otro1_D)+(A11_Y_L35*Otro1_Y))*Inflación_11</f>
        <v>0</v>
      </c>
      <c r="BW36" s="101">
        <f>SUMIFS('9'!$E:$E,'9'!$A:$A,Año_Inicial+10,'9'!$B:$B,'12'!BV$4,'9'!$D:$D,"Otro insumo 1*")</f>
        <v>0</v>
      </c>
      <c r="BX36" s="101">
        <f>((A11_A_L36*Otro1_A)+(A11_B_L36*Otro1_B)+(A11_C_L36*Otro1_C)+(A11_D_L36*Otro1_D)+(A11_Y_L36*Otro1_Y))*Inflación_11</f>
        <v>0</v>
      </c>
      <c r="BY36" s="101">
        <f>SUMIFS('9'!$E:$E,'9'!$A:$A,Año_Inicial+10,'9'!$B:$B,'12'!BX$4,'9'!$D:$D,"Otro insumo 1*")</f>
        <v>0</v>
      </c>
      <c r="BZ36" s="101">
        <f>((A11_A_L37*Otro1_A)+(A11_B_L37*Otro1_B)+(A11_C_L37*Otro1_C)+(A11_D_L37*Otro1_D)+(A11_Y_L37*Otro1_Y))*Inflación_11</f>
        <v>0</v>
      </c>
      <c r="CA36" s="101">
        <f>SUMIFS('9'!$E:$E,'9'!$A:$A,Año_Inicial+10,'9'!$B:$B,'12'!BZ$4,'9'!$D:$D,"Otro insumo 1*")</f>
        <v>0</v>
      </c>
      <c r="CB36" s="101">
        <f>((A11_A_L38*Otro1_A)+(A11_B_L38*Otro1_B)+(A11_C_L38*Otro1_C)+(A11_D_L38*Otro1_D)+(A11_Y_L38*Otro1_Y))*Inflación_11</f>
        <v>0</v>
      </c>
      <c r="CC36" s="101">
        <f>SUMIFS('9'!$E:$E,'9'!$A:$A,Año_Inicial+10,'9'!$B:$B,'12'!CB$4,'9'!$D:$D,"Otro insumo 1*")</f>
        <v>0</v>
      </c>
      <c r="CD36" s="101">
        <f>((A11_A_L39*Otro1_A)+(A11_B_L39*Otro1_B)+(A11_C_L39*Otro1_C)+(A11_D_L39*Otro1_D)+(A11_Y_L39*Otro1_Y))*Inflación_11</f>
        <v>0</v>
      </c>
      <c r="CE36" s="101">
        <f>SUMIFS('9'!$E:$E,'9'!$A:$A,Año_Inicial+10,'9'!$B:$B,'12'!CD$4,'9'!$D:$D,"Otro insumo 1*")</f>
        <v>0</v>
      </c>
      <c r="CF36" s="101">
        <f>((A11_A_L40*Otro1_A)+(A11_B_L40*Otro1_B)+(A11_C_L40*Otro1_C)+(A11_D_L40*Otro1_D)+(A11_Y_L40*Otro1_Y))*Inflación_11</f>
        <v>0</v>
      </c>
      <c r="CG36" s="101">
        <f>SUMIFS('9'!$E:$E,'9'!$A:$A,Año_Inicial+10,'9'!$B:$B,'12'!CF$4,'9'!$D:$D,"Otro insumo 1*")</f>
        <v>0</v>
      </c>
      <c r="CH36" s="473"/>
      <c r="CI36" s="101">
        <f>Plantas_A_A11*Otro1_A*Inflación_11</f>
        <v>0</v>
      </c>
      <c r="CJ36" s="101">
        <f>Plantas_B_A11*Otro1_B</f>
        <v>0</v>
      </c>
      <c r="CK36" s="101">
        <f>Plantas_C_A11*Otro1_C</f>
        <v>0</v>
      </c>
      <c r="CL36" s="101">
        <f>Plantas_D_A11*Otro1_D</f>
        <v>0</v>
      </c>
      <c r="CM36" s="101"/>
      <c r="CN36" s="101">
        <f>Plantas_Y_A11*Otro1_Y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SUMIFS('9'!$E:$E,'9'!$A:$A,Año_Inicial+10,'9'!$D:$D,"Otro insumo 2*")</f>
        <v>0</v>
      </c>
      <c r="D37" s="100">
        <f t="shared" si="45"/>
        <v>0</v>
      </c>
      <c r="E37" s="473"/>
      <c r="F37" s="101">
        <f>((A11_A_L1*Otro2_A)+(A11_B_L1*Otro2_B)+(A11_C_L1*Otro2_C)+(A11_D_L1*Otro2_D)+(A11_Y_L1*Otro2_Y))*Inflación_11</f>
        <v>0</v>
      </c>
      <c r="G37" s="101">
        <f>SUMIFS('9'!$E:$E,'9'!$A:$A,Año_Inicial+10,'9'!$B:$B,'12'!F$4,'9'!$D:$D,"Otro insumo 2*")</f>
        <v>0</v>
      </c>
      <c r="H37" s="101">
        <f>((A11_A_L2*Otro2_A)+(A11_B_L2*Otro2_B)+(A11_C_L2*Otro2_C)+(A11_D_L2*Otro2_D)+(A11_Y_L2*Otro2_Y))*Inflación_11</f>
        <v>0</v>
      </c>
      <c r="I37" s="101">
        <f>SUMIFS('9'!$E:$E,'9'!$A:$A,Año_Inicial+10,'9'!$B:$B,'12'!H$4,'9'!$D:$D,"Otro insumo 2*")</f>
        <v>0</v>
      </c>
      <c r="J37" s="101">
        <f>((A11_A_L3*Otro2_A)+(A11_B_L3*Otro2_B)+(A11_C_L3*Otro2_C)+(A11_D_L3*Otro2_D)+(A11_Y_L3*Otro2_Y))*Inflación_11</f>
        <v>0</v>
      </c>
      <c r="K37" s="101">
        <f>SUMIFS('9'!$E:$E,'9'!$A:$A,Año_Inicial+10,'9'!$B:$B,'12'!J$4,'9'!$D:$D,"Otro insumo 2*")</f>
        <v>0</v>
      </c>
      <c r="L37" s="101">
        <f>((A11_A_L4*Otro2_A)+(A11_B_L4*Otro2_B)+(A11_C_L4*Otro2_C)+(A11_D_L4*Otro2_D)+(A11_Y_L4*Otro2_Y))*Inflación_11</f>
        <v>0</v>
      </c>
      <c r="M37" s="101">
        <f>SUMIFS('9'!$E:$E,'9'!$A:$A,Año_Inicial+10,'9'!$B:$B,'12'!L$4,'9'!$D:$D,"Otro insumo 2*")</f>
        <v>0</v>
      </c>
      <c r="N37" s="101">
        <f>((A11_A_L5*Otro2_A)+(A11_B_L5*Otro2_B)+(A11_C_L5*Otro2_C)+(A11_D_L5*Otro2_D)+(A11_Y_L5*Otro2_Y))*Inflación_11</f>
        <v>0</v>
      </c>
      <c r="O37" s="101">
        <f>SUMIFS('9'!$E:$E,'9'!$A:$A,Año_Inicial+10,'9'!$B:$B,'12'!N$4,'9'!$D:$D,"Otro insumo 2*")</f>
        <v>0</v>
      </c>
      <c r="P37" s="101">
        <f>((A11_A_L6*Otro2_A)+(A11_B_L6*Otro2_B)+(A11_C_L6*Otro2_C)+(A11_D_L6*Otro2_D)+(A11_Y_L6*Otro2_Y))*Inflación_11</f>
        <v>0</v>
      </c>
      <c r="Q37" s="101">
        <f>SUMIFS('9'!$E:$E,'9'!$A:$A,Año_Inicial+10,'9'!$B:$B,'12'!P$4,'9'!$D:$D,"Otro insumo 2*")</f>
        <v>0</v>
      </c>
      <c r="R37" s="101">
        <f>((A11_A_L7*Otro2_A)+(A11_B_L7*Otro2_B)+(A11_C_L7*Otro2_C)+(A11_D_L7*Otro2_D)+(A11_Y_L7*Otro2_Y))*Inflación_11</f>
        <v>0</v>
      </c>
      <c r="S37" s="101">
        <f>SUMIFS('9'!$E:$E,'9'!$A:$A,Año_Inicial+10,'9'!$B:$B,'12'!R$4,'9'!$D:$D,"Otro insumo 2*")</f>
        <v>0</v>
      </c>
      <c r="T37" s="101">
        <f>((A11_A_L8*Otro2_A)+(A11_B_L8*Otro2_B)+(A11_C_L8*Otro2_C)+(A11_D_L8*Otro2_D)+(A11_Y_L8*Otro2_Y))*Inflación_11</f>
        <v>0</v>
      </c>
      <c r="U37" s="101">
        <f>SUMIFS('9'!$E:$E,'9'!$A:$A,Año_Inicial+10,'9'!$B:$B,'12'!T$4,'9'!$D:$D,"Otro insumo 2*")</f>
        <v>0</v>
      </c>
      <c r="V37" s="101">
        <f>((A11_A_L9*Otro2_A)+(A11_B_L9*Otro2_B)+(A11_C_L9*Otro2_C)+(A11_D_L9*Otro2_D)+(A11_Y_L9*Otro2_Y))*Inflación_11</f>
        <v>0</v>
      </c>
      <c r="W37" s="101">
        <f>SUMIFS('9'!$E:$E,'9'!$A:$A,Año_Inicial+10,'9'!$B:$B,'12'!V$4,'9'!$D:$D,"Otro insumo 2*")</f>
        <v>0</v>
      </c>
      <c r="X37" s="101">
        <f>((A11_A_L10*Otro2_A)+(A11_B_L10*Otro2_B)+(A11_C_L10*Otro2_C)+(A11_D_L10*Otro2_D)+(A11_Y_L10*Otro2_Y))*Inflación_11</f>
        <v>0</v>
      </c>
      <c r="Y37" s="101">
        <f>SUMIFS('9'!$E:$E,'9'!$A:$A,Año_Inicial+10,'9'!$B:$B,'12'!X$4,'9'!$D:$D,"Otro insumo 2*")</f>
        <v>0</v>
      </c>
      <c r="Z37" s="101">
        <f>((A11_A_L11*Otro2_A)+(A11_B_L11*Otro2_B)+(A11_C_L11*Otro2_C)+(A11_D_L11*Otro2_D)+(A11_Y_L11*Otro2_Y))*Inflación_11</f>
        <v>0</v>
      </c>
      <c r="AA37" s="101">
        <f>SUMIFS('9'!$E:$E,'9'!$A:$A,Año_Inicial+10,'9'!$B:$B,'12'!Z$4,'9'!$D:$D,"Otro insumo 2*")</f>
        <v>0</v>
      </c>
      <c r="AB37" s="101">
        <f>((A11_A_L12*Otro2_A)+(A11_B_L12*Otro2_B)+(A11_C_L12*Otro2_C)+(A11_D_L12*Otro2_D)+(A11_Y_L12*Otro2_Y))*Inflación_11</f>
        <v>0</v>
      </c>
      <c r="AC37" s="101">
        <f>SUMIFS('9'!$E:$E,'9'!$A:$A,Año_Inicial+10,'9'!$B:$B,'12'!AB$4,'9'!$D:$D,"Otro insumo 2*")</f>
        <v>0</v>
      </c>
      <c r="AD37" s="101">
        <f>((A11_A_L13*Otro2_A)+(A11_B_L13*Otro2_B)+(A11_C_L13*Otro2_C)+(A11_D_L13*Otro2_D)+(A11_Y_L13*Otro2_Y))*Inflación_11</f>
        <v>0</v>
      </c>
      <c r="AE37" s="101">
        <f>SUMIFS('9'!$E:$E,'9'!$A:$A,Año_Inicial+10,'9'!$B:$B,'12'!AD$4,'9'!$D:$D,"Otro insumo 2*")</f>
        <v>0</v>
      </c>
      <c r="AF37" s="101">
        <f>((A11_A_L14*Otro2_A)+(A11_B_L14*Otro2_B)+(A11_C_L14*Otro2_C)+(A11_D_L14*Otro2_D)+(A11_Y_L14*Otro2_Y))*Inflación_11</f>
        <v>0</v>
      </c>
      <c r="AG37" s="101">
        <f>SUMIFS('9'!$E:$E,'9'!$A:$A,Año_Inicial+10,'9'!$B:$B,'12'!AF$4,'9'!$D:$D,"Otro insumo 2*")</f>
        <v>0</v>
      </c>
      <c r="AH37" s="101">
        <f>((A11_A_L15*Otro2_A)+(A11_B_L15*Otro2_B)+(A11_C_L15*Otro2_C)+(A11_D_L15*Otro2_D)+(A11_Y_L15*Otro2_Y))*Inflación_11</f>
        <v>0</v>
      </c>
      <c r="AI37" s="101">
        <f>SUMIFS('9'!$E:$E,'9'!$A:$A,Año_Inicial+10,'9'!$B:$B,'12'!AH$4,'9'!$D:$D,"Otro insumo 2*")</f>
        <v>0</v>
      </c>
      <c r="AJ37" s="101">
        <f>((A11_A_L16*Otro2_A)+(A11_B_L16*Otro2_B)+(A11_C_L16*Otro2_C)+(A11_D_L16*Otro2_D)+(A11_Y_L16*Otro2_Y))*Inflación_11</f>
        <v>0</v>
      </c>
      <c r="AK37" s="101">
        <f>SUMIFS('9'!$E:$E,'9'!$A:$A,Año_Inicial+10,'9'!$B:$B,'12'!AJ$4,'9'!$D:$D,"Otro insumo 2*")</f>
        <v>0</v>
      </c>
      <c r="AL37" s="101">
        <f>((A11_A_L17*Otro2_A)+(A11_B_L17*Otro2_B)+(A11_C_L17*Otro2_C)+(A11_D_L17*Otro2_D)+(A11_Y_L17*Otro2_Y))*Inflación_11</f>
        <v>0</v>
      </c>
      <c r="AM37" s="101">
        <f>SUMIFS('9'!$E:$E,'9'!$A:$A,Año_Inicial+10,'9'!$B:$B,'12'!AL$4,'9'!$D:$D,"Otro insumo 2*")</f>
        <v>0</v>
      </c>
      <c r="AN37" s="101">
        <f>((A11_A_L18*Otro2_A)+(A11_B_L18*Otro2_B)+(A11_C_L18*Otro2_C)+(A11_D_L18*Otro2_D)+(A11_Y_L18*Otro2_Y))*Inflación_11</f>
        <v>0</v>
      </c>
      <c r="AO37" s="101">
        <f>SUMIFS('9'!$E:$E,'9'!$A:$A,Año_Inicial+10,'9'!$B:$B,'12'!AN$4,'9'!$D:$D,"Otro insumo 2*")</f>
        <v>0</v>
      </c>
      <c r="AP37" s="101">
        <f>((A11_A_L19*Otro2_A)+(A11_B_L19*Otro2_B)+(A11_C_L19*Otro2_C)+(A11_D_L19*Otro2_D)+(A11_Y_L19*Otro2_Y))*Inflación_11</f>
        <v>0</v>
      </c>
      <c r="AQ37" s="101">
        <f>SUMIFS('9'!$E:$E,'9'!$A:$A,Año_Inicial+10,'9'!$B:$B,'12'!AP$4,'9'!$D:$D,"Otro insumo 2*")</f>
        <v>0</v>
      </c>
      <c r="AR37" s="101">
        <f>((A11_A_L20*Otro2_A)+(A11_B_L20*Otro2_B)+(A11_C_L20*Otro2_C)+(A11_D_L20*Otro2_D)+(A11_Y_L20*Otro2_Y))*Inflación_11</f>
        <v>0</v>
      </c>
      <c r="AS37" s="101">
        <f>SUMIFS('9'!$E:$E,'9'!$A:$A,Año_Inicial+10,'9'!$B:$B,'12'!AR$4,'9'!$D:$D,"Otro insumo 2*")</f>
        <v>0</v>
      </c>
      <c r="AT37" s="101">
        <f>((A11_A_L21*Otro2_A)+(A11_B_L21*Otro2_B)+(A11_C_L21*Otro2_C)+(A11_D_L21*Otro2_D)+(A11_Y_L21*Otro2_Y))*Inflación_11</f>
        <v>0</v>
      </c>
      <c r="AU37" s="101">
        <f>SUMIFS('9'!$E:$E,'9'!$A:$A,Año_Inicial+10,'9'!$B:$B,'12'!AT$4,'9'!$D:$D,"Otro insumo 2*")</f>
        <v>0</v>
      </c>
      <c r="AV37" s="101">
        <f>((A11_A_L22*Otro2_A)+(A11_B_L22*Otro2_B)+(A11_C_L22*Otro2_C)+(A11_D_L22*Otro2_D)+(A11_Y_L22*Otro2_Y))*Inflación_11</f>
        <v>0</v>
      </c>
      <c r="AW37" s="101">
        <f>SUMIFS('9'!$E:$E,'9'!$A:$A,Año_Inicial+10,'9'!$B:$B,'12'!AV$4,'9'!$D:$D,"Otro insumo 2*")</f>
        <v>0</v>
      </c>
      <c r="AX37" s="101">
        <f>((A11_A_L23*Otro2_A)+(A11_B_L23*Otro2_B)+(A11_C_L23*Otro2_C)+(A11_D_L23*Otro2_D)+(A11_Y_L23*Otro2_Y))*Inflación_11</f>
        <v>0</v>
      </c>
      <c r="AY37" s="101">
        <f>SUMIFS('9'!$E:$E,'9'!$A:$A,Año_Inicial+10,'9'!$B:$B,'12'!AX$4,'9'!$D:$D,"Otro insumo 2*")</f>
        <v>0</v>
      </c>
      <c r="AZ37" s="101">
        <f>((A11_A_L24*Otro2_A)+(A11_B_L24*Otro2_B)+(A11_C_L24*Otro2_C)+(A11_D_L24*Otro2_D)+(A11_Y_L24*Otro2_Y))*Inflación_11</f>
        <v>0</v>
      </c>
      <c r="BA37" s="101">
        <f>SUMIFS('9'!$E:$E,'9'!$A:$A,Año_Inicial+10,'9'!$B:$B,'12'!AZ$4,'9'!$D:$D,"Otro insumo 2*")</f>
        <v>0</v>
      </c>
      <c r="BB37" s="101">
        <f>((A11_A_L25*Otro2_A)+(A11_B_L25*Otro2_B)+(A11_C_L25*Otro2_C)+(A11_D_L25*Otro2_D)+(A11_Y_L25*Otro2_Y))*Inflación_11</f>
        <v>0</v>
      </c>
      <c r="BC37" s="101">
        <f>SUMIFS('9'!$E:$E,'9'!$A:$A,Año_Inicial+10,'9'!$B:$B,'12'!BB$4,'9'!$D:$D,"Otro insumo 2*")</f>
        <v>0</v>
      </c>
      <c r="BD37" s="101">
        <f>((A11_A_L26*Otro2_A)+(A11_B_L26*Otro2_B)+(A11_C_L26*Otro2_C)+(A11_D_L26*Otro2_D)+(A11_Y_L26*Otro2_Y))*Inflación_11</f>
        <v>0</v>
      </c>
      <c r="BE37" s="101">
        <f>SUMIFS('9'!$E:$E,'9'!$A:$A,Año_Inicial+10,'9'!$B:$B,'12'!BD$4,'9'!$D:$D,"Otro insumo 2*")</f>
        <v>0</v>
      </c>
      <c r="BF37" s="101">
        <f>((A11_A_L27*Otro2_A)+(A11_B_L27*Otro2_B)+(A11_C_L27*Otro2_C)+(A11_D_L27*Otro2_D)+(A11_Y_L27*Otro2_Y))*Inflación_11</f>
        <v>0</v>
      </c>
      <c r="BG37" s="101">
        <f>SUMIFS('9'!$E:$E,'9'!$A:$A,Año_Inicial+10,'9'!$B:$B,'12'!BF$4,'9'!$D:$D,"Otro insumo 2*")</f>
        <v>0</v>
      </c>
      <c r="BH37" s="101">
        <f>((A11_A_L28*Otro2_A)+(A11_B_L28*Otro2_B)+(A11_C_L28*Otro2_C)+(A11_D_L28*Otro2_D)+(A11_Y_L28*Otro2_Y))*Inflación_11</f>
        <v>0</v>
      </c>
      <c r="BI37" s="101">
        <f>SUMIFS('9'!$E:$E,'9'!$A:$A,Año_Inicial+10,'9'!$B:$B,'12'!BH$4,'9'!$D:$D,"Otro insumo 2*")</f>
        <v>0</v>
      </c>
      <c r="BJ37" s="101">
        <f>((A11_A_L29*Otro2_A)+(A11_B_L29*Otro2_B)+(A11_C_L29*Otro2_C)+(A11_D_L29*Otro2_D)+(A11_Y_L29*Otro2_Y))*Inflación_11</f>
        <v>0</v>
      </c>
      <c r="BK37" s="101">
        <f>SUMIFS('9'!$E:$E,'9'!$A:$A,Año_Inicial+10,'9'!$B:$B,'12'!BJ$4,'9'!$D:$D,"Otro insumo 2*")</f>
        <v>0</v>
      </c>
      <c r="BL37" s="101">
        <f>((A11_A_L30*Otro2_A)+(A11_B_L30*Otro2_B)+(A11_C_L30*Otro2_C)+(A11_D_L30*Otro2_D)+(A11_Y_L30*Otro2_Y))*Inflación_11</f>
        <v>0</v>
      </c>
      <c r="BM37" s="101">
        <f>SUMIFS('9'!$E:$E,'9'!$A:$A,Año_Inicial+10,'9'!$B:$B,'12'!BL$4,'9'!$D:$D,"Otro insumo 2*")</f>
        <v>0</v>
      </c>
      <c r="BN37" s="101">
        <f>((A11_A_L31*Otro2_A)+(A11_B_L31*Otro2_B)+(A11_C_L31*Otro2_C)+(A11_D_L31*Otro2_D)+(A11_Y_L31*Otro2_Y))*Inflación_11</f>
        <v>0</v>
      </c>
      <c r="BO37" s="101">
        <f>SUMIFS('9'!$E:$E,'9'!$A:$A,Año_Inicial+10,'9'!$B:$B,'12'!BN$4,'9'!$D:$D,"Otro insumo 2*")</f>
        <v>0</v>
      </c>
      <c r="BP37" s="101">
        <f>((A11_A_L32*Otro2_A)+(A11_B_L32*Otro2_B)+(A11_C_L32*Otro2_C)+(A11_D_L32*Otro2_D)+(A11_Y_L32*Otro2_Y))*Inflación_11</f>
        <v>0</v>
      </c>
      <c r="BQ37" s="101">
        <f>SUMIFS('9'!$E:$E,'9'!$A:$A,Año_Inicial+10,'9'!$B:$B,'12'!BP$4,'9'!$D:$D,"Otro insumo 2*")</f>
        <v>0</v>
      </c>
      <c r="BR37" s="101">
        <f>((A11_A_L33*Otro2_A)+(A11_B_L33*Otro2_B)+(A11_C_L33*Otro2_C)+(A11_D_L33*Otro2_D)+(A11_Y_L33*Otro2_Y))*Inflación_11</f>
        <v>0</v>
      </c>
      <c r="BS37" s="101">
        <f>SUMIFS('9'!$E:$E,'9'!$A:$A,Año_Inicial+10,'9'!$B:$B,'12'!BR$4,'9'!$D:$D,"Otro insumo 2*")</f>
        <v>0</v>
      </c>
      <c r="BT37" s="101">
        <f>((A11_A_L34*Otro2_A)+(A11_B_L34*Otro2_B)+(A11_C_L34*Otro2_C)+(A11_D_L34*Otro2_D)+(A11_Y_L34*Otro2_Y))*Inflación_11</f>
        <v>0</v>
      </c>
      <c r="BU37" s="101">
        <f>SUMIFS('9'!$E:$E,'9'!$A:$A,Año_Inicial+10,'9'!$B:$B,'12'!BT$4,'9'!$D:$D,"Otro insumo 2*")</f>
        <v>0</v>
      </c>
      <c r="BV37" s="101">
        <f>((A11_A_L35*Otro2_A)+(A11_B_L35*Otro2_B)+(A11_C_L35*Otro2_C)+(A11_D_L35*Otro2_D)+(A11_Y_L35*Otro2_Y))*Inflación_11</f>
        <v>0</v>
      </c>
      <c r="BW37" s="101">
        <f>SUMIFS('9'!$E:$E,'9'!$A:$A,Año_Inicial+10,'9'!$B:$B,'12'!BV$4,'9'!$D:$D,"Otro insumo 2*")</f>
        <v>0</v>
      </c>
      <c r="BX37" s="101">
        <f>((A11_A_L36*Otro2_A)+(A11_B_L36*Otro2_B)+(A11_C_L36*Otro2_C)+(A11_D_L36*Otro2_D)+(A11_Y_L36*Otro2_Y))*Inflación_11</f>
        <v>0</v>
      </c>
      <c r="BY37" s="101">
        <f>SUMIFS('9'!$E:$E,'9'!$A:$A,Año_Inicial+10,'9'!$B:$B,'12'!BX$4,'9'!$D:$D,"Otro insumo 2*")</f>
        <v>0</v>
      </c>
      <c r="BZ37" s="101">
        <f>((A11_A_L37*Otro2_A)+(A11_B_L37*Otro2_B)+(A11_C_L37*Otro2_C)+(A11_D_L37*Otro2_D)+(A11_Y_L37*Otro2_Y))*Inflación_11</f>
        <v>0</v>
      </c>
      <c r="CA37" s="101">
        <f>SUMIFS('9'!$E:$E,'9'!$A:$A,Año_Inicial+10,'9'!$B:$B,'12'!BZ$4,'9'!$D:$D,"Otro insumo 2*")</f>
        <v>0</v>
      </c>
      <c r="CB37" s="101">
        <f>((A11_A_L38*Otro2_A)+(A11_B_L38*Otro2_B)+(A11_C_L38*Otro2_C)+(A11_D_L38*Otro2_D)+(A11_Y_L38*Otro2_Y))*Inflación_11</f>
        <v>0</v>
      </c>
      <c r="CC37" s="101">
        <f>SUMIFS('9'!$E:$E,'9'!$A:$A,Año_Inicial+10,'9'!$B:$B,'12'!CB$4,'9'!$D:$D,"Otro insumo 2*")</f>
        <v>0</v>
      </c>
      <c r="CD37" s="101">
        <f>((A11_A_L39*Otro2_A)+(A11_B_L39*Otro2_B)+(A11_C_L39*Otro2_C)+(A11_D_L39*Otro2_D)+(A11_Y_L39*Otro2_Y))*Inflación_11</f>
        <v>0</v>
      </c>
      <c r="CE37" s="101">
        <f>SUMIFS('9'!$E:$E,'9'!$A:$A,Año_Inicial+10,'9'!$B:$B,'12'!CD$4,'9'!$D:$D,"Otro insumo 2*")</f>
        <v>0</v>
      </c>
      <c r="CF37" s="101">
        <f>((A11_A_L40*Otro2_A)+(A11_B_L40*Otro2_B)+(A11_C_L40*Otro2_C)+(A11_D_L40*Otro2_D)+(A11_Y_L40*Otro2_Y))*Inflación_11</f>
        <v>0</v>
      </c>
      <c r="CG37" s="101">
        <f>SUMIFS('9'!$E:$E,'9'!$A:$A,Año_Inicial+10,'9'!$B:$B,'12'!CF$4,'9'!$D:$D,"Otro insumo 2*")</f>
        <v>0</v>
      </c>
      <c r="CH37" s="473"/>
      <c r="CI37" s="101">
        <f>Plantas_A_A11*Otro2_A*Inflación_11</f>
        <v>0</v>
      </c>
      <c r="CJ37" s="101">
        <f>Plantas_B_A11*Otro2_B</f>
        <v>0</v>
      </c>
      <c r="CK37" s="101">
        <f>Plantas_C_A11*Otro2_C</f>
        <v>0</v>
      </c>
      <c r="CL37" s="101">
        <f>Plantas_D_A11*Otro2_D</f>
        <v>0</v>
      </c>
      <c r="CM37" s="101"/>
      <c r="CN37" s="101">
        <f>Plantas_Y_A11*Otro2_Y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SUMIFS('9'!$E:$E,'9'!$A:$A,Año_Inicial+10,'9'!$D:$D,"Otro insumo 3*")</f>
        <v>0</v>
      </c>
      <c r="D38" s="100">
        <f t="shared" si="45"/>
        <v>0</v>
      </c>
      <c r="E38" s="473"/>
      <c r="F38" s="101">
        <f>((A11_A_L1*Otro3_A)+(A11_B_L1*Otro3_B)+(A11_C_L1*Otro3_C)+(A11_D_L1*Otro3_D)+(A11_Y_L1*Otro3_Y))*Inflación_11</f>
        <v>0</v>
      </c>
      <c r="G38" s="101">
        <f>SUMIFS('9'!$E:$E,'9'!$A:$A,Año_Inicial+10,'9'!$B:$B,'12'!F$4,'9'!$D:$D,"Otro insumo 3*")</f>
        <v>0</v>
      </c>
      <c r="H38" s="101">
        <f>((A11_A_L2*Otro3_A)+(A11_B_L2*Otro3_B)+(A11_C_L2*Otro3_C)+(A11_D_L2*Otro3_D)+(A11_Y_L2*Otro3_Y))*Inflación_11</f>
        <v>0</v>
      </c>
      <c r="I38" s="101">
        <f>SUMIFS('9'!$E:$E,'9'!$A:$A,Año_Inicial+10,'9'!$B:$B,'12'!H$4,'9'!$D:$D,"Otro insumo 3*")</f>
        <v>0</v>
      </c>
      <c r="J38" s="101">
        <f>((A11_A_L3*Otro3_A)+(A11_B_L3*Otro3_B)+(A11_C_L3*Otro3_C)+(A11_D_L3*Otro3_D)+(A11_Y_L3*Otro3_Y))*Inflación_11</f>
        <v>0</v>
      </c>
      <c r="K38" s="101">
        <f>SUMIFS('9'!$E:$E,'9'!$A:$A,Año_Inicial+10,'9'!$B:$B,'12'!J$4,'9'!$D:$D,"Otro insumo 3*")</f>
        <v>0</v>
      </c>
      <c r="L38" s="101">
        <f>((A11_A_L4*Otro3_A)+(A11_B_L4*Otro3_B)+(A11_C_L4*Otro3_C)+(A11_D_L4*Otro3_D)+(A11_Y_L4*Otro3_Y))*Inflación_11</f>
        <v>0</v>
      </c>
      <c r="M38" s="101">
        <f>SUMIFS('9'!$E:$E,'9'!$A:$A,Año_Inicial+10,'9'!$B:$B,'12'!L$4,'9'!$D:$D,"Otro insumo 3*")</f>
        <v>0</v>
      </c>
      <c r="N38" s="101">
        <f>((A11_A_L5*Otro3_A)+(A11_B_L5*Otro3_B)+(A11_C_L5*Otro3_C)+(A11_D_L5*Otro3_D)+(A11_Y_L5*Otro3_Y))*Inflación_11</f>
        <v>0</v>
      </c>
      <c r="O38" s="101">
        <f>SUMIFS('9'!$E:$E,'9'!$A:$A,Año_Inicial+10,'9'!$B:$B,'12'!N$4,'9'!$D:$D,"Otro insumo 3*")</f>
        <v>0</v>
      </c>
      <c r="P38" s="101">
        <f>((A11_A_L6*Otro3_A)+(A11_B_L6*Otro3_B)+(A11_C_L6*Otro3_C)+(A11_D_L6*Otro3_D)+(A11_Y_L6*Otro3_Y))*Inflación_11</f>
        <v>0</v>
      </c>
      <c r="Q38" s="101">
        <f>SUMIFS('9'!$E:$E,'9'!$A:$A,Año_Inicial+10,'9'!$B:$B,'12'!P$4,'9'!$D:$D,"Otro insumo 3*")</f>
        <v>0</v>
      </c>
      <c r="R38" s="101">
        <f>((A11_A_L7*Otro3_A)+(A11_B_L7*Otro3_B)+(A11_C_L7*Otro3_C)+(A11_D_L7*Otro3_D)+(A11_Y_L7*Otro3_Y))*Inflación_11</f>
        <v>0</v>
      </c>
      <c r="S38" s="101">
        <f>SUMIFS('9'!$E:$E,'9'!$A:$A,Año_Inicial+10,'9'!$B:$B,'12'!R$4,'9'!$D:$D,"Otro insumo 3*")</f>
        <v>0</v>
      </c>
      <c r="T38" s="101">
        <f>((A11_A_L8*Otro3_A)+(A11_B_L8*Otro3_B)+(A11_C_L8*Otro3_C)+(A11_D_L8*Otro3_D)+(A11_Y_L8*Otro3_Y))*Inflación_11</f>
        <v>0</v>
      </c>
      <c r="U38" s="101">
        <f>SUMIFS('9'!$E:$E,'9'!$A:$A,Año_Inicial+10,'9'!$B:$B,'12'!T$4,'9'!$D:$D,"Otro insumo 3*")</f>
        <v>0</v>
      </c>
      <c r="V38" s="101">
        <f>((A11_A_L9*Otro3_A)+(A11_B_L9*Otro3_B)+(A11_C_L9*Otro3_C)+(A11_D_L9*Otro3_D)+(A11_Y_L9*Otro3_Y))*Inflación_11</f>
        <v>0</v>
      </c>
      <c r="W38" s="101">
        <f>SUMIFS('9'!$E:$E,'9'!$A:$A,Año_Inicial+10,'9'!$B:$B,'12'!V$4,'9'!$D:$D,"Otro insumo 3*")</f>
        <v>0</v>
      </c>
      <c r="X38" s="101">
        <f>((A11_A_L10*Otro3_A)+(A11_B_L10*Otro3_B)+(A11_C_L10*Otro3_C)+(A11_D_L10*Otro3_D)+(A11_Y_L10*Otro3_Y))*Inflación_11</f>
        <v>0</v>
      </c>
      <c r="Y38" s="101">
        <f>SUMIFS('9'!$E:$E,'9'!$A:$A,Año_Inicial+10,'9'!$B:$B,'12'!X$4,'9'!$D:$D,"Otro insumo 3*")</f>
        <v>0</v>
      </c>
      <c r="Z38" s="101">
        <f>((A11_A_L11*Otro3_A)+(A11_B_L11*Otro3_B)+(A11_C_L11*Otro3_C)+(A11_D_L11*Otro3_D)+(A11_Y_L11*Otro3_Y))*Inflación_11</f>
        <v>0</v>
      </c>
      <c r="AA38" s="101">
        <f>SUMIFS('9'!$E:$E,'9'!$A:$A,Año_Inicial+10,'9'!$B:$B,'12'!Z$4,'9'!$D:$D,"Otro insumo 3*")</f>
        <v>0</v>
      </c>
      <c r="AB38" s="101">
        <f>((A11_A_L12*Otro3_A)+(A11_B_L12*Otro3_B)+(A11_C_L12*Otro3_C)+(A11_D_L12*Otro3_D)+(A11_Y_L12*Otro3_Y))*Inflación_11</f>
        <v>0</v>
      </c>
      <c r="AC38" s="101">
        <f>SUMIFS('9'!$E:$E,'9'!$A:$A,Año_Inicial+10,'9'!$B:$B,'12'!AB$4,'9'!$D:$D,"Otro insumo 3*")</f>
        <v>0</v>
      </c>
      <c r="AD38" s="101">
        <f>((A11_A_L13*Otro3_A)+(A11_B_L13*Otro3_B)+(A11_C_L13*Otro3_C)+(A11_D_L13*Otro3_D)+(A11_Y_L13*Otro3_Y))*Inflación_11</f>
        <v>0</v>
      </c>
      <c r="AE38" s="101">
        <f>SUMIFS('9'!$E:$E,'9'!$A:$A,Año_Inicial+10,'9'!$B:$B,'12'!AD$4,'9'!$D:$D,"Otro insumo 3*")</f>
        <v>0</v>
      </c>
      <c r="AF38" s="101">
        <f>((A11_A_L14*Otro3_A)+(A11_B_L14*Otro3_B)+(A11_C_L14*Otro3_C)+(A11_D_L14*Otro3_D)+(A11_Y_L14*Otro3_Y))*Inflación_11</f>
        <v>0</v>
      </c>
      <c r="AG38" s="101">
        <f>SUMIFS('9'!$E:$E,'9'!$A:$A,Año_Inicial+10,'9'!$B:$B,'12'!AF$4,'9'!$D:$D,"Otro insumo 3*")</f>
        <v>0</v>
      </c>
      <c r="AH38" s="101">
        <f>((A11_A_L15*Otro3_A)+(A11_B_L15*Otro3_B)+(A11_C_L15*Otro3_C)+(A11_D_L15*Otro3_D)+(A11_Y_L15*Otro3_Y))*Inflación_11</f>
        <v>0</v>
      </c>
      <c r="AI38" s="101">
        <f>SUMIFS('9'!$E:$E,'9'!$A:$A,Año_Inicial+10,'9'!$B:$B,'12'!AH$4,'9'!$D:$D,"Otro insumo 3*")</f>
        <v>0</v>
      </c>
      <c r="AJ38" s="101">
        <f>((A11_A_L16*Otro3_A)+(A11_B_L16*Otro3_B)+(A11_C_L16*Otro3_C)+(A11_D_L16*Otro3_D)+(A11_Y_L16*Otro3_Y))*Inflación_11</f>
        <v>0</v>
      </c>
      <c r="AK38" s="101">
        <f>SUMIFS('9'!$E:$E,'9'!$A:$A,Año_Inicial+10,'9'!$B:$B,'12'!AJ$4,'9'!$D:$D,"Otro insumo 3*")</f>
        <v>0</v>
      </c>
      <c r="AL38" s="101">
        <f>((A11_A_L17*Otro3_A)+(A11_B_L17*Otro3_B)+(A11_C_L17*Otro3_C)+(A11_D_L17*Otro3_D)+(A11_Y_L17*Otro3_Y))*Inflación_11</f>
        <v>0</v>
      </c>
      <c r="AM38" s="101">
        <f>SUMIFS('9'!$E:$E,'9'!$A:$A,Año_Inicial+10,'9'!$B:$B,'12'!AL$4,'9'!$D:$D,"Otro insumo 3*")</f>
        <v>0</v>
      </c>
      <c r="AN38" s="101">
        <f>((A11_A_L18*Otro3_A)+(A11_B_L18*Otro3_B)+(A11_C_L18*Otro3_C)+(A11_D_L18*Otro3_D)+(A11_Y_L18*Otro3_Y))*Inflación_11</f>
        <v>0</v>
      </c>
      <c r="AO38" s="101">
        <f>SUMIFS('9'!$E:$E,'9'!$A:$A,Año_Inicial+10,'9'!$B:$B,'12'!AN$4,'9'!$D:$D,"Otro insumo 3*")</f>
        <v>0</v>
      </c>
      <c r="AP38" s="101">
        <f>((A11_A_L19*Otro3_A)+(A11_B_L19*Otro3_B)+(A11_C_L19*Otro3_C)+(A11_D_L19*Otro3_D)+(A11_Y_L19*Otro3_Y))*Inflación_11</f>
        <v>0</v>
      </c>
      <c r="AQ38" s="101">
        <f>SUMIFS('9'!$E:$E,'9'!$A:$A,Año_Inicial+10,'9'!$B:$B,'12'!AP$4,'9'!$D:$D,"Otro insumo 3*")</f>
        <v>0</v>
      </c>
      <c r="AR38" s="101">
        <f>((A11_A_L20*Otro3_A)+(A11_B_L20*Otro3_B)+(A11_C_L20*Otro3_C)+(A11_D_L20*Otro3_D)+(A11_Y_L20*Otro3_Y))*Inflación_11</f>
        <v>0</v>
      </c>
      <c r="AS38" s="101">
        <f>SUMIFS('9'!$E:$E,'9'!$A:$A,Año_Inicial+10,'9'!$B:$B,'12'!AR$4,'9'!$D:$D,"Otro insumo 3*")</f>
        <v>0</v>
      </c>
      <c r="AT38" s="101">
        <f>((A11_A_L21*Otro3_A)+(A11_B_L21*Otro3_B)+(A11_C_L21*Otro3_C)+(A11_D_L21*Otro3_D)+(A11_Y_L21*Otro3_Y))*Inflación_11</f>
        <v>0</v>
      </c>
      <c r="AU38" s="101">
        <f>SUMIFS('9'!$E:$E,'9'!$A:$A,Año_Inicial+10,'9'!$B:$B,'12'!AT$4,'9'!$D:$D,"Otro insumo 3*")</f>
        <v>0</v>
      </c>
      <c r="AV38" s="101">
        <f>((A11_A_L22*Otro3_A)+(A11_B_L22*Otro3_B)+(A11_C_L22*Otro3_C)+(A11_D_L22*Otro3_D)+(A11_Y_L22*Otro3_Y))*Inflación_11</f>
        <v>0</v>
      </c>
      <c r="AW38" s="101">
        <f>SUMIFS('9'!$E:$E,'9'!$A:$A,Año_Inicial+10,'9'!$B:$B,'12'!AV$4,'9'!$D:$D,"Otro insumo 3*")</f>
        <v>0</v>
      </c>
      <c r="AX38" s="101">
        <f>((A11_A_L23*Otro3_A)+(A11_B_L23*Otro3_B)+(A11_C_L23*Otro3_C)+(A11_D_L23*Otro3_D)+(A11_Y_L23*Otro3_Y))*Inflación_11</f>
        <v>0</v>
      </c>
      <c r="AY38" s="101">
        <f>SUMIFS('9'!$E:$E,'9'!$A:$A,Año_Inicial+10,'9'!$B:$B,'12'!AX$4,'9'!$D:$D,"Otro insumo 3*")</f>
        <v>0</v>
      </c>
      <c r="AZ38" s="101">
        <f>((A11_A_L24*Otro3_A)+(A11_B_L24*Otro3_B)+(A11_C_L24*Otro3_C)+(A11_D_L24*Otro3_D)+(A11_Y_L24*Otro3_Y))*Inflación_11</f>
        <v>0</v>
      </c>
      <c r="BA38" s="101">
        <f>SUMIFS('9'!$E:$E,'9'!$A:$A,Año_Inicial+10,'9'!$B:$B,'12'!AZ$4,'9'!$D:$D,"Otro insumo 3*")</f>
        <v>0</v>
      </c>
      <c r="BB38" s="101">
        <f>((A11_A_L25*Otro3_A)+(A11_B_L25*Otro3_B)+(A11_C_L25*Otro3_C)+(A11_D_L25*Otro3_D)+(A11_Y_L25*Otro3_Y))*Inflación_11</f>
        <v>0</v>
      </c>
      <c r="BC38" s="101">
        <f>SUMIFS('9'!$E:$E,'9'!$A:$A,Año_Inicial+10,'9'!$B:$B,'12'!BB$4,'9'!$D:$D,"Otro insumo 3*")</f>
        <v>0</v>
      </c>
      <c r="BD38" s="101">
        <f>((A11_A_L26*Otro3_A)+(A11_B_L26*Otro3_B)+(A11_C_L26*Otro3_C)+(A11_D_L26*Otro3_D)+(A11_Y_L26*Otro3_Y))*Inflación_11</f>
        <v>0</v>
      </c>
      <c r="BE38" s="101">
        <f>SUMIFS('9'!$E:$E,'9'!$A:$A,Año_Inicial+10,'9'!$B:$B,'12'!BD$4,'9'!$D:$D,"Otro insumo 3*")</f>
        <v>0</v>
      </c>
      <c r="BF38" s="101">
        <f>((A11_A_L27*Otro3_A)+(A11_B_L27*Otro3_B)+(A11_C_L27*Otro3_C)+(A11_D_L27*Otro3_D)+(A11_Y_L27*Otro3_Y))*Inflación_11</f>
        <v>0</v>
      </c>
      <c r="BG38" s="101">
        <f>SUMIFS('9'!$E:$E,'9'!$A:$A,Año_Inicial+10,'9'!$B:$B,'12'!BF$4,'9'!$D:$D,"Otro insumo 3*")</f>
        <v>0</v>
      </c>
      <c r="BH38" s="101">
        <f>((A11_A_L28*Otro3_A)+(A11_B_L28*Otro3_B)+(A11_C_L28*Otro3_C)+(A11_D_L28*Otro3_D)+(A11_Y_L28*Otro3_Y))*Inflación_11</f>
        <v>0</v>
      </c>
      <c r="BI38" s="101">
        <f>SUMIFS('9'!$E:$E,'9'!$A:$A,Año_Inicial+10,'9'!$B:$B,'12'!BH$4,'9'!$D:$D,"Otro insumo 3*")</f>
        <v>0</v>
      </c>
      <c r="BJ38" s="101">
        <f>((A11_A_L29*Otro3_A)+(A11_B_L29*Otro3_B)+(A11_C_L29*Otro3_C)+(A11_D_L29*Otro3_D)+(A11_Y_L29*Otro3_Y))*Inflación_11</f>
        <v>0</v>
      </c>
      <c r="BK38" s="101">
        <f>SUMIFS('9'!$E:$E,'9'!$A:$A,Año_Inicial+10,'9'!$B:$B,'12'!BJ$4,'9'!$D:$D,"Otro insumo 3*")</f>
        <v>0</v>
      </c>
      <c r="BL38" s="101">
        <f>((A11_A_L30*Otro3_A)+(A11_B_L30*Otro3_B)+(A11_C_L30*Otro3_C)+(A11_D_L30*Otro3_D)+(A11_Y_L30*Otro3_Y))*Inflación_11</f>
        <v>0</v>
      </c>
      <c r="BM38" s="101">
        <f>SUMIFS('9'!$E:$E,'9'!$A:$A,Año_Inicial+10,'9'!$B:$B,'12'!BL$4,'9'!$D:$D,"Otro insumo 3*")</f>
        <v>0</v>
      </c>
      <c r="BN38" s="101">
        <f>((A11_A_L31*Otro3_A)+(A11_B_L31*Otro3_B)+(A11_C_L31*Otro3_C)+(A11_D_L31*Otro3_D)+(A11_Y_L31*Otro3_Y))*Inflación_11</f>
        <v>0</v>
      </c>
      <c r="BO38" s="101">
        <f>SUMIFS('9'!$E:$E,'9'!$A:$A,Año_Inicial+10,'9'!$B:$B,'12'!BN$4,'9'!$D:$D,"Otro insumo 3*")</f>
        <v>0</v>
      </c>
      <c r="BP38" s="101">
        <f>((A11_A_L32*Otro3_A)+(A11_B_L32*Otro3_B)+(A11_C_L32*Otro3_C)+(A11_D_L32*Otro3_D)+(A11_Y_L32*Otro3_Y))*Inflación_11</f>
        <v>0</v>
      </c>
      <c r="BQ38" s="101">
        <f>SUMIFS('9'!$E:$E,'9'!$A:$A,Año_Inicial+10,'9'!$B:$B,'12'!BP$4,'9'!$D:$D,"Otro insumo 3*")</f>
        <v>0</v>
      </c>
      <c r="BR38" s="101">
        <f>((A11_A_L33*Otro3_A)+(A11_B_L33*Otro3_B)+(A11_C_L33*Otro3_C)+(A11_D_L33*Otro3_D)+(A11_Y_L33*Otro3_Y))*Inflación_11</f>
        <v>0</v>
      </c>
      <c r="BS38" s="101">
        <f>SUMIFS('9'!$E:$E,'9'!$A:$A,Año_Inicial+10,'9'!$B:$B,'12'!BR$4,'9'!$D:$D,"Otro insumo 3*")</f>
        <v>0</v>
      </c>
      <c r="BT38" s="101">
        <f>((A11_A_L34*Otro3_A)+(A11_B_L34*Otro3_B)+(A11_C_L34*Otro3_C)+(A11_D_L34*Otro3_D)+(A11_Y_L34*Otro3_Y))*Inflación_11</f>
        <v>0</v>
      </c>
      <c r="BU38" s="101">
        <f>SUMIFS('9'!$E:$E,'9'!$A:$A,Año_Inicial+10,'9'!$B:$B,'12'!BT$4,'9'!$D:$D,"Otro insumo 3*")</f>
        <v>0</v>
      </c>
      <c r="BV38" s="101">
        <f>((A11_A_L35*Otro3_A)+(A11_B_L35*Otro3_B)+(A11_C_L35*Otro3_C)+(A11_D_L35*Otro3_D)+(A11_Y_L35*Otro3_Y))*Inflación_11</f>
        <v>0</v>
      </c>
      <c r="BW38" s="101">
        <f>SUMIFS('9'!$E:$E,'9'!$A:$A,Año_Inicial+10,'9'!$B:$B,'12'!BV$4,'9'!$D:$D,"Otro insumo 3*")</f>
        <v>0</v>
      </c>
      <c r="BX38" s="101">
        <f>((A11_A_L36*Otro3_A)+(A11_B_L36*Otro3_B)+(A11_C_L36*Otro3_C)+(A11_D_L36*Otro3_D)+(A11_Y_L36*Otro3_Y))*Inflación_11</f>
        <v>0</v>
      </c>
      <c r="BY38" s="101">
        <f>SUMIFS('9'!$E:$E,'9'!$A:$A,Año_Inicial+10,'9'!$B:$B,'12'!BX$4,'9'!$D:$D,"Otro insumo 3*")</f>
        <v>0</v>
      </c>
      <c r="BZ38" s="101">
        <f>((A11_A_L37*Otro3_A)+(A11_B_L37*Otro3_B)+(A11_C_L37*Otro3_C)+(A11_D_L37*Otro3_D)+(A11_Y_L37*Otro3_Y))*Inflación_11</f>
        <v>0</v>
      </c>
      <c r="CA38" s="101">
        <f>SUMIFS('9'!$E:$E,'9'!$A:$A,Año_Inicial+10,'9'!$B:$B,'12'!BZ$4,'9'!$D:$D,"Otro insumo 3*")</f>
        <v>0</v>
      </c>
      <c r="CB38" s="101">
        <f>((A11_A_L38*Otro3_A)+(A11_B_L38*Otro3_B)+(A11_C_L38*Otro3_C)+(A11_D_L38*Otro3_D)+(A11_Y_L38*Otro3_Y))*Inflación_11</f>
        <v>0</v>
      </c>
      <c r="CC38" s="101">
        <f>SUMIFS('9'!$E:$E,'9'!$A:$A,Año_Inicial+10,'9'!$B:$B,'12'!CB$4,'9'!$D:$D,"Otro insumo 3*")</f>
        <v>0</v>
      </c>
      <c r="CD38" s="101">
        <f>((A11_A_L39*Otro3_A)+(A11_B_L39*Otro3_B)+(A11_C_L39*Otro3_C)+(A11_D_L39*Otro3_D)+(A11_Y_L39*Otro3_Y))*Inflación_11</f>
        <v>0</v>
      </c>
      <c r="CE38" s="101">
        <f>SUMIFS('9'!$E:$E,'9'!$A:$A,Año_Inicial+10,'9'!$B:$B,'12'!CD$4,'9'!$D:$D,"Otro insumo 3*")</f>
        <v>0</v>
      </c>
      <c r="CF38" s="101">
        <f>((A11_A_L40*Otro3_A)+(A11_B_L40*Otro3_B)+(A11_C_L40*Otro3_C)+(A11_D_L40*Otro3_D)+(A11_Y_L40*Otro3_Y))*Inflación_11</f>
        <v>0</v>
      </c>
      <c r="CG38" s="101">
        <f>SUMIFS('9'!$E:$E,'9'!$A:$A,Año_Inicial+10,'9'!$B:$B,'12'!CF$4,'9'!$D:$D,"Otro insumo 3*")</f>
        <v>0</v>
      </c>
      <c r="CH38" s="473"/>
      <c r="CI38" s="101">
        <f>Plantas_A_A11*Otro3_A*Inflación_11</f>
        <v>0</v>
      </c>
      <c r="CJ38" s="101">
        <f>Plantas_B_A11*Otro3_B</f>
        <v>0</v>
      </c>
      <c r="CK38" s="101">
        <f>Plantas_C_A11*Otro3_C</f>
        <v>0</v>
      </c>
      <c r="CL38" s="101">
        <f>Plantas_D_A11*Otro3_D</f>
        <v>0</v>
      </c>
      <c r="CM38" s="101"/>
      <c r="CN38" s="101">
        <f>Plantas_Y_A11*Otro3_Y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SUMIFS('9'!$E:$E,'9'!$A:$A,Año_Inicial+10,'9'!$D:$D,"Corte")</f>
        <v>0</v>
      </c>
      <c r="D40" s="100">
        <f t="shared" si="45"/>
        <v>0</v>
      </c>
      <c r="E40" s="473"/>
      <c r="F40" s="101">
        <f>P_A11_L1*CUI_Corte*Inflación_11</f>
        <v>0</v>
      </c>
      <c r="G40" s="101">
        <f>SUMIFS('9'!$E:$E,'9'!$A:$A,Año_Inicial+10,'9'!$B:$B,'12'!F$4,'9'!$D:$D,"Corte")</f>
        <v>0</v>
      </c>
      <c r="H40" s="101">
        <f>P_A11_L2*CUI_Corte*Inflación_11</f>
        <v>0</v>
      </c>
      <c r="I40" s="101">
        <f>SUMIFS('9'!$E:$E,'9'!$A:$A,Año_Inicial+10,'9'!$B:$B,'12'!H$4,'9'!$D:$D,"Corte")</f>
        <v>0</v>
      </c>
      <c r="J40" s="101">
        <f>P_A11_L3*CUI_Corte*Inflación_11</f>
        <v>0</v>
      </c>
      <c r="K40" s="101">
        <f>SUMIFS('9'!$E:$E,'9'!$A:$A,Año_Inicial+10,'9'!$B:$B,'12'!J$4,'9'!$D:$D,"Corte")</f>
        <v>0</v>
      </c>
      <c r="L40" s="101">
        <f>P_A11_L4*CUI_Corte*Inflación_11</f>
        <v>0</v>
      </c>
      <c r="M40" s="101">
        <f>SUMIFS('9'!$E:$E,'9'!$A:$A,Año_Inicial+10,'9'!$B:$B,'12'!L$4,'9'!$D:$D,"Corte")</f>
        <v>0</v>
      </c>
      <c r="N40" s="101">
        <f>P_A11_L5*CUI_Corte*Inflación_11</f>
        <v>0</v>
      </c>
      <c r="O40" s="101">
        <f>SUMIFS('9'!$E:$E,'9'!$A:$A,Año_Inicial+10,'9'!$B:$B,'12'!N$4,'9'!$D:$D,"Corte")</f>
        <v>0</v>
      </c>
      <c r="P40" s="101">
        <f>P_A11_L6*CUI_Corte*Inflación_11</f>
        <v>0</v>
      </c>
      <c r="Q40" s="101">
        <f>SUMIFS('9'!$E:$E,'9'!$A:$A,Año_Inicial+10,'9'!$B:$B,'12'!P$4,'9'!$D:$D,"Corte")</f>
        <v>0</v>
      </c>
      <c r="R40" s="101">
        <f>P_A11_L7*CUI_Corte*Inflación_11</f>
        <v>0</v>
      </c>
      <c r="S40" s="101">
        <f>SUMIFS('9'!$E:$E,'9'!$A:$A,Año_Inicial+10,'9'!$B:$B,'12'!R$4,'9'!$D:$D,"Corte")</f>
        <v>0</v>
      </c>
      <c r="T40" s="101">
        <f>P_A11_L8*CUI_Corte*Inflación_11</f>
        <v>0</v>
      </c>
      <c r="U40" s="101">
        <f>SUMIFS('9'!$E:$E,'9'!$A:$A,Año_Inicial+10,'9'!$B:$B,'12'!T$4,'9'!$D:$D,"Corte")</f>
        <v>0</v>
      </c>
      <c r="V40" s="101">
        <f>P_A11_L9*CUI_Corte*Inflación_11</f>
        <v>0</v>
      </c>
      <c r="W40" s="101">
        <f>SUMIFS('9'!$E:$E,'9'!$A:$A,Año_Inicial+10,'9'!$B:$B,'12'!V$4,'9'!$D:$D,"Corte")</f>
        <v>0</v>
      </c>
      <c r="X40" s="101">
        <f>P_A11_L10*CUI_Corte*Inflación_11</f>
        <v>0</v>
      </c>
      <c r="Y40" s="101">
        <f>SUMIFS('9'!$E:$E,'9'!$A:$A,Año_Inicial+10,'9'!$B:$B,'12'!X$4,'9'!$D:$D,"Corte")</f>
        <v>0</v>
      </c>
      <c r="Z40" s="101">
        <f>P_A11_L11*CUI_Corte*Inflación_11</f>
        <v>0</v>
      </c>
      <c r="AA40" s="101">
        <f>SUMIFS('9'!$E:$E,'9'!$A:$A,Año_Inicial+10,'9'!$B:$B,'12'!Z$4,'9'!$D:$D,"Corte")</f>
        <v>0</v>
      </c>
      <c r="AB40" s="101">
        <f>P_A11_L12*CUI_Corte*Inflación_11</f>
        <v>0</v>
      </c>
      <c r="AC40" s="101">
        <f>SUMIFS('9'!$E:$E,'9'!$A:$A,Año_Inicial+10,'9'!$B:$B,'12'!AB$4,'9'!$D:$D,"Corte")</f>
        <v>0</v>
      </c>
      <c r="AD40" s="101">
        <f>P_A11_L13*CUI_Corte*Inflación_11</f>
        <v>0</v>
      </c>
      <c r="AE40" s="101">
        <f>SUMIFS('9'!$E:$E,'9'!$A:$A,Año_Inicial+10,'9'!$B:$B,'12'!AD$4,'9'!$D:$D,"Corte")</f>
        <v>0</v>
      </c>
      <c r="AF40" s="101">
        <f>P_A11_L14*CUI_Corte*Inflación_11</f>
        <v>0</v>
      </c>
      <c r="AG40" s="101">
        <f>SUMIFS('9'!$E:$E,'9'!$A:$A,Año_Inicial+10,'9'!$B:$B,'12'!AF$4,'9'!$D:$D,"Corte")</f>
        <v>0</v>
      </c>
      <c r="AH40" s="101">
        <f>P_A11_L15*CUI_Corte*Inflación_11</f>
        <v>0</v>
      </c>
      <c r="AI40" s="101">
        <f>SUMIFS('9'!$E:$E,'9'!$A:$A,Año_Inicial+10,'9'!$B:$B,'12'!AH$4,'9'!$D:$D,"Corte")</f>
        <v>0</v>
      </c>
      <c r="AJ40" s="101">
        <f>P_A11_L16*CUI_Corte*Inflación_11</f>
        <v>0</v>
      </c>
      <c r="AK40" s="101">
        <f>SUMIFS('9'!$E:$E,'9'!$A:$A,Año_Inicial+10,'9'!$B:$B,'12'!AJ$4,'9'!$D:$D,"Corte")</f>
        <v>0</v>
      </c>
      <c r="AL40" s="101">
        <f>P_A11_L17*CUI_Corte*Inflación_11</f>
        <v>0</v>
      </c>
      <c r="AM40" s="101">
        <f>SUMIFS('9'!$E:$E,'9'!$A:$A,Año_Inicial+10,'9'!$B:$B,'12'!AL$4,'9'!$D:$D,"Corte")</f>
        <v>0</v>
      </c>
      <c r="AN40" s="101">
        <f>P_A11_L18*CUI_Corte*Inflación_11</f>
        <v>0</v>
      </c>
      <c r="AO40" s="101">
        <f>SUMIFS('9'!$E:$E,'9'!$A:$A,Año_Inicial+10,'9'!$B:$B,'12'!AN$4,'9'!$D:$D,"Corte")</f>
        <v>0</v>
      </c>
      <c r="AP40" s="101">
        <f>P_A11_L19*CUI_Corte*Inflación_11</f>
        <v>0</v>
      </c>
      <c r="AQ40" s="101">
        <f>SUMIFS('9'!$E:$E,'9'!$A:$A,Año_Inicial+10,'9'!$B:$B,'12'!AP$4,'9'!$D:$D,"Corte")</f>
        <v>0</v>
      </c>
      <c r="AR40" s="101">
        <f>P_A11_L20*CUI_Corte*Inflación_11</f>
        <v>0</v>
      </c>
      <c r="AS40" s="101">
        <f>SUMIFS('9'!$E:$E,'9'!$A:$A,Año_Inicial+10,'9'!$B:$B,'12'!AR$4,'9'!$D:$D,"Corte")</f>
        <v>0</v>
      </c>
      <c r="AT40" s="101">
        <f>P_A11_L21*CUI_Corte*Inflación_11</f>
        <v>0</v>
      </c>
      <c r="AU40" s="101">
        <f>SUMIFS('9'!$E:$E,'9'!$A:$A,Año_Inicial+10,'9'!$B:$B,'12'!AT$4,'9'!$D:$D,"Corte")</f>
        <v>0</v>
      </c>
      <c r="AV40" s="101">
        <f>P_A11_L22*CUI_Corte*Inflación_11</f>
        <v>0</v>
      </c>
      <c r="AW40" s="101">
        <f>SUMIFS('9'!$E:$E,'9'!$A:$A,Año_Inicial+10,'9'!$B:$B,'12'!AV$4,'9'!$D:$D,"Corte")</f>
        <v>0</v>
      </c>
      <c r="AX40" s="101">
        <f>P_A11_L23*CUI_Corte*Inflación_11</f>
        <v>0</v>
      </c>
      <c r="AY40" s="101">
        <f>SUMIFS('9'!$E:$E,'9'!$A:$A,Año_Inicial+10,'9'!$B:$B,'12'!AX$4,'9'!$D:$D,"Corte")</f>
        <v>0</v>
      </c>
      <c r="AZ40" s="101">
        <f>P_A11_L24*CUI_Corte*Inflación_11</f>
        <v>0</v>
      </c>
      <c r="BA40" s="101">
        <f>SUMIFS('9'!$E:$E,'9'!$A:$A,Año_Inicial+10,'9'!$B:$B,'12'!AZ$4,'9'!$D:$D,"Corte")</f>
        <v>0</v>
      </c>
      <c r="BB40" s="101">
        <f>P_A11_L25*CUI_Corte*Inflación_11</f>
        <v>0</v>
      </c>
      <c r="BC40" s="101">
        <f>SUMIFS('9'!$E:$E,'9'!$A:$A,Año_Inicial+10,'9'!$B:$B,'12'!BB$4,'9'!$D:$D,"Corte")</f>
        <v>0</v>
      </c>
      <c r="BD40" s="101">
        <f>P_A11_L26*CUI_Corte*Inflación_11</f>
        <v>0</v>
      </c>
      <c r="BE40" s="101">
        <f>SUMIFS('9'!$E:$E,'9'!$A:$A,Año_Inicial+10,'9'!$B:$B,'12'!BD$4,'9'!$D:$D,"Corte")</f>
        <v>0</v>
      </c>
      <c r="BF40" s="101">
        <f>P_A11_L27*CUI_Corte*Inflación_11</f>
        <v>0</v>
      </c>
      <c r="BG40" s="101">
        <f>SUMIFS('9'!$E:$E,'9'!$A:$A,Año_Inicial+10,'9'!$B:$B,'12'!BF$4,'9'!$D:$D,"Corte")</f>
        <v>0</v>
      </c>
      <c r="BH40" s="101">
        <f>P_A11_L28*CUI_Corte*Inflación_11</f>
        <v>0</v>
      </c>
      <c r="BI40" s="101">
        <f>SUMIFS('9'!$E:$E,'9'!$A:$A,Año_Inicial+10,'9'!$B:$B,'12'!BH$4,'9'!$D:$D,"Corte")</f>
        <v>0</v>
      </c>
      <c r="BJ40" s="101">
        <f>P_A11_L29*CUI_Corte*Inflación_11</f>
        <v>0</v>
      </c>
      <c r="BK40" s="101">
        <f>SUMIFS('9'!$E:$E,'9'!$A:$A,Año_Inicial+10,'9'!$B:$B,'12'!BJ$4,'9'!$D:$D,"Corte")</f>
        <v>0</v>
      </c>
      <c r="BL40" s="101">
        <f>P_A11_L30*CUI_Corte*Inflación_11</f>
        <v>0</v>
      </c>
      <c r="BM40" s="101">
        <f>SUMIFS('9'!$E:$E,'9'!$A:$A,Año_Inicial+10,'9'!$B:$B,'12'!BL$4,'9'!$D:$D,"Corte")</f>
        <v>0</v>
      </c>
      <c r="BN40" s="101">
        <f>P_A11_L31*CUI_Corte*Inflación_11</f>
        <v>0</v>
      </c>
      <c r="BO40" s="101">
        <f>SUMIFS('9'!$E:$E,'9'!$A:$A,Año_Inicial+10,'9'!$B:$B,'12'!BN$4,'9'!$D:$D,"Corte")</f>
        <v>0</v>
      </c>
      <c r="BP40" s="101">
        <f>P_A11_L32*CUI_Corte*Inflación_11</f>
        <v>0</v>
      </c>
      <c r="BQ40" s="101">
        <f>SUMIFS('9'!$E:$E,'9'!$A:$A,Año_Inicial+10,'9'!$B:$B,'12'!BP$4,'9'!$D:$D,"Corte")</f>
        <v>0</v>
      </c>
      <c r="BR40" s="101">
        <f>P_A11_L33*CUI_Corte*Inflación_11</f>
        <v>0</v>
      </c>
      <c r="BS40" s="101">
        <f>SUMIFS('9'!$E:$E,'9'!$A:$A,Año_Inicial+10,'9'!$B:$B,'12'!BR$4,'9'!$D:$D,"Corte")</f>
        <v>0</v>
      </c>
      <c r="BT40" s="101">
        <f>P_A11_L34*CUI_Corte*Inflación_11</f>
        <v>0</v>
      </c>
      <c r="BU40" s="101">
        <f>SUMIFS('9'!$E:$E,'9'!$A:$A,Año_Inicial+10,'9'!$B:$B,'12'!BT$4,'9'!$D:$D,"Corte")</f>
        <v>0</v>
      </c>
      <c r="BV40" s="101">
        <f>P_A11_L35*CUI_Corte*Inflación_11</f>
        <v>0</v>
      </c>
      <c r="BW40" s="101">
        <f>SUMIFS('9'!$E:$E,'9'!$A:$A,Año_Inicial+10,'9'!$B:$B,'12'!BV$4,'9'!$D:$D,"Corte")</f>
        <v>0</v>
      </c>
      <c r="BX40" s="101">
        <f>P_A11_L36*CUI_Corte*Inflación_11</f>
        <v>0</v>
      </c>
      <c r="BY40" s="101">
        <f>SUMIFS('9'!$E:$E,'9'!$A:$A,Año_Inicial+10,'9'!$B:$B,'12'!BX$4,'9'!$D:$D,"Corte")</f>
        <v>0</v>
      </c>
      <c r="BZ40" s="101">
        <f>P_A11_L37*CUI_Corte*Inflación_11</f>
        <v>0</v>
      </c>
      <c r="CA40" s="101">
        <f>SUMIFS('9'!$E:$E,'9'!$A:$A,Año_Inicial+10,'9'!$B:$B,'12'!BZ$4,'9'!$D:$D,"Corte")</f>
        <v>0</v>
      </c>
      <c r="CB40" s="101">
        <f>P_A11_L38*CUI_Corte*Inflación_11</f>
        <v>0</v>
      </c>
      <c r="CC40" s="101">
        <f>SUMIFS('9'!$E:$E,'9'!$A:$A,Año_Inicial+10,'9'!$B:$B,'12'!CB$4,'9'!$D:$D,"Corte")</f>
        <v>0</v>
      </c>
      <c r="CD40" s="101">
        <f>P_A11_L39*CUI_Corte*Inflación_11</f>
        <v>0</v>
      </c>
      <c r="CE40" s="101">
        <f>SUMIFS('9'!$E:$E,'9'!$A:$A,Año_Inicial+10,'9'!$B:$B,'12'!CD$4,'9'!$D:$D,"Corte")</f>
        <v>0</v>
      </c>
      <c r="CF40" s="101">
        <f>P_A11_L40*CUI_Corte*Inflación_11</f>
        <v>0</v>
      </c>
      <c r="CG40" s="101">
        <f>SUMIFS('9'!$E:$E,'9'!$A:$A,Año_Inicial+10,'9'!$B:$B,'12'!CF$4,'9'!$D:$D,"Corte")</f>
        <v>0</v>
      </c>
      <c r="CH40" s="473"/>
      <c r="CI40" s="101">
        <f>CI7*CUI_Corte*Inflación_11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SUMIFS('9'!$E:$E,'9'!$A:$A,Año_Inicial+10,'9'!$D:$D,"Beneficiado")</f>
        <v>0</v>
      </c>
      <c r="D41" s="100" t="e">
        <f t="shared" si="45"/>
        <v>#DIV/0!</v>
      </c>
      <c r="E41" s="473"/>
      <c r="F41" s="101">
        <f>(P_A11_L1/5)*CUI_Poscosecha*Inflación_11</f>
        <v>0</v>
      </c>
      <c r="G41" s="101">
        <f>SUMIFS('9'!$E:$E,'9'!$A:$A,Año_Inicial+10,'9'!$B:$B,'12'!F$4,'9'!$D:$D,"Beneficiado")</f>
        <v>0</v>
      </c>
      <c r="H41" s="101">
        <f>(P_A11_L2/5)*CUI_Poscosecha*Inflación_11</f>
        <v>0</v>
      </c>
      <c r="I41" s="101">
        <f>SUMIFS('9'!$E:$E,'9'!$A:$A,Año_Inicial+10,'9'!$B:$B,'12'!H$4,'9'!$D:$D,"Beneficiado")</f>
        <v>0</v>
      </c>
      <c r="J41" s="101">
        <f>(P_A11_L3/5)*CUI_Poscosecha*Inflación_11</f>
        <v>0</v>
      </c>
      <c r="K41" s="101">
        <f>SUMIFS('9'!$E:$E,'9'!$A:$A,Año_Inicial+10,'9'!$B:$B,'12'!J$4,'9'!$D:$D,"Beneficiado")</f>
        <v>0</v>
      </c>
      <c r="L41" s="101">
        <f>(P_A11_L4/5)*CUI_Poscosecha*Inflación_11</f>
        <v>0</v>
      </c>
      <c r="M41" s="101">
        <f>SUMIFS('9'!$E:$E,'9'!$A:$A,Año_Inicial+10,'9'!$B:$B,'12'!L$4,'9'!$D:$D,"Beneficiado")</f>
        <v>0</v>
      </c>
      <c r="N41" s="101">
        <f>(P_A11_L5/5)*CUI_Poscosecha*Inflación_11</f>
        <v>0</v>
      </c>
      <c r="O41" s="101">
        <f>SUMIFS('9'!$E:$E,'9'!$A:$A,Año_Inicial+10,'9'!$B:$B,'12'!N$4,'9'!$D:$D,"Beneficiado")</f>
        <v>0</v>
      </c>
      <c r="P41" s="101">
        <f>(P_A11_L6/5)*CUI_Poscosecha*Inflación_11</f>
        <v>0</v>
      </c>
      <c r="Q41" s="101">
        <f>SUMIFS('9'!$E:$E,'9'!$A:$A,Año_Inicial+10,'9'!$B:$B,'12'!P$4,'9'!$D:$D,"Beneficiado")</f>
        <v>0</v>
      </c>
      <c r="R41" s="101">
        <f>(P_A11_L7/5)*CUI_Poscosecha*Inflación_11</f>
        <v>0</v>
      </c>
      <c r="S41" s="101">
        <f>SUMIFS('9'!$E:$E,'9'!$A:$A,Año_Inicial+10,'9'!$B:$B,'12'!R$4,'9'!$D:$D,"Beneficiado")</f>
        <v>0</v>
      </c>
      <c r="T41" s="101">
        <f>(P_A11_L8/5)*CUI_Poscosecha*Inflación_11</f>
        <v>0</v>
      </c>
      <c r="U41" s="101">
        <f>SUMIFS('9'!$E:$E,'9'!$A:$A,Año_Inicial+10,'9'!$B:$B,'12'!T$4,'9'!$D:$D,"Beneficiado")</f>
        <v>0</v>
      </c>
      <c r="V41" s="101">
        <f>(P_A11_L9/5)*CUI_Poscosecha*Inflación_11</f>
        <v>0</v>
      </c>
      <c r="W41" s="101">
        <f>SUMIFS('9'!$E:$E,'9'!$A:$A,Año_Inicial+10,'9'!$B:$B,'12'!V$4,'9'!$D:$D,"Beneficiado")</f>
        <v>0</v>
      </c>
      <c r="X41" s="101">
        <f>(P_A11_L10/5)*CUI_Poscosecha*Inflación_11</f>
        <v>0</v>
      </c>
      <c r="Y41" s="101">
        <f>SUMIFS('9'!$E:$E,'9'!$A:$A,Año_Inicial+10,'9'!$B:$B,'12'!X$4,'9'!$D:$D,"Beneficiado")</f>
        <v>0</v>
      </c>
      <c r="Z41" s="101">
        <f>(P_A11_L11/5)*CUI_Poscosecha*Inflación_11</f>
        <v>0</v>
      </c>
      <c r="AA41" s="101">
        <f>SUMIFS('9'!$E:$E,'9'!$A:$A,Año_Inicial+10,'9'!$B:$B,'12'!Z$4,'9'!$D:$D,"Beneficiado")</f>
        <v>0</v>
      </c>
      <c r="AB41" s="101">
        <f>(P_A11_L12/5)*CUI_Poscosecha*Inflación_11</f>
        <v>0</v>
      </c>
      <c r="AC41" s="101">
        <f>SUMIFS('9'!$E:$E,'9'!$A:$A,Año_Inicial+10,'9'!$B:$B,'12'!AB$4,'9'!$D:$D,"Beneficiado")</f>
        <v>0</v>
      </c>
      <c r="AD41" s="101">
        <f>(P_A11_L13/5)*CUI_Poscosecha*Inflación_11</f>
        <v>0</v>
      </c>
      <c r="AE41" s="101">
        <f>SUMIFS('9'!$E:$E,'9'!$A:$A,Año_Inicial+10,'9'!$B:$B,'12'!AD$4,'9'!$D:$D,"Beneficiado")</f>
        <v>0</v>
      </c>
      <c r="AF41" s="101">
        <f>(P_A11_L14/5)*CUI_Poscosecha*Inflación_11</f>
        <v>0</v>
      </c>
      <c r="AG41" s="101">
        <f>SUMIFS('9'!$E:$E,'9'!$A:$A,Año_Inicial+10,'9'!$B:$B,'12'!AF$4,'9'!$D:$D,"Beneficiado")</f>
        <v>0</v>
      </c>
      <c r="AH41" s="101">
        <f>(P_A11_L15/5)*CUI_Poscosecha*Inflación_11</f>
        <v>0</v>
      </c>
      <c r="AI41" s="101">
        <f>SUMIFS('9'!$E:$E,'9'!$A:$A,Año_Inicial+10,'9'!$B:$B,'12'!AH$4,'9'!$D:$D,"Beneficiado")</f>
        <v>0</v>
      </c>
      <c r="AJ41" s="101">
        <f>(P_A11_L16/5)*CUI_Poscosecha*Inflación_11</f>
        <v>0</v>
      </c>
      <c r="AK41" s="101">
        <f>SUMIFS('9'!$E:$E,'9'!$A:$A,Año_Inicial+10,'9'!$B:$B,'12'!AJ$4,'9'!$D:$D,"Beneficiado")</f>
        <v>0</v>
      </c>
      <c r="AL41" s="101">
        <f>(P_A11_L17/5)*CUI_Poscosecha*Inflación_11</f>
        <v>0</v>
      </c>
      <c r="AM41" s="101">
        <f>SUMIFS('9'!$E:$E,'9'!$A:$A,Año_Inicial+10,'9'!$B:$B,'12'!AL$4,'9'!$D:$D,"Beneficiado")</f>
        <v>0</v>
      </c>
      <c r="AN41" s="101">
        <f>(P_A11_L18/5)*CUI_Poscosecha*Inflación_11</f>
        <v>0</v>
      </c>
      <c r="AO41" s="101">
        <f>SUMIFS('9'!$E:$E,'9'!$A:$A,Año_Inicial+10,'9'!$B:$B,'12'!AN$4,'9'!$D:$D,"Beneficiado")</f>
        <v>0</v>
      </c>
      <c r="AP41" s="101">
        <f>(P_A11_L19/5)*CUI_Poscosecha*Inflación_11</f>
        <v>0</v>
      </c>
      <c r="AQ41" s="101">
        <f>SUMIFS('9'!$E:$E,'9'!$A:$A,Año_Inicial+10,'9'!$B:$B,'12'!AP$4,'9'!$D:$D,"Beneficiado")</f>
        <v>0</v>
      </c>
      <c r="AR41" s="101">
        <f>(P_A11_L20/5)*CUI_Poscosecha*Inflación_11</f>
        <v>0</v>
      </c>
      <c r="AS41" s="101">
        <f>SUMIFS('9'!$E:$E,'9'!$A:$A,Año_Inicial+10,'9'!$B:$B,'12'!AR$4,'9'!$D:$D,"Beneficiado")</f>
        <v>0</v>
      </c>
      <c r="AT41" s="101">
        <f>(P_A11_L21/5)*CUI_Poscosecha*Inflación_11</f>
        <v>0</v>
      </c>
      <c r="AU41" s="101">
        <f>SUMIFS('9'!$E:$E,'9'!$A:$A,Año_Inicial+10,'9'!$B:$B,'12'!AT$4,'9'!$D:$D,"Beneficiado")</f>
        <v>0</v>
      </c>
      <c r="AV41" s="101">
        <f>(P_A11_L22/5)*CUI_Poscosecha*Inflación_11</f>
        <v>0</v>
      </c>
      <c r="AW41" s="101">
        <f>SUMIFS('9'!$E:$E,'9'!$A:$A,Año_Inicial+10,'9'!$B:$B,'12'!AV$4,'9'!$D:$D,"Beneficiado")</f>
        <v>0</v>
      </c>
      <c r="AX41" s="101">
        <f>(P_A11_L23/5)*CUI_Poscosecha*Inflación_11</f>
        <v>0</v>
      </c>
      <c r="AY41" s="101">
        <f>SUMIFS('9'!$E:$E,'9'!$A:$A,Año_Inicial+10,'9'!$B:$B,'12'!AX$4,'9'!$D:$D,"Beneficiado")</f>
        <v>0</v>
      </c>
      <c r="AZ41" s="101">
        <f>(P_A11_L24/5)*CUI_Poscosecha*Inflación_11</f>
        <v>0</v>
      </c>
      <c r="BA41" s="101">
        <f>SUMIFS('9'!$E:$E,'9'!$A:$A,Año_Inicial+10,'9'!$B:$B,'12'!AZ$4,'9'!$D:$D,"Beneficiado")</f>
        <v>0</v>
      </c>
      <c r="BB41" s="101">
        <f>(P_A11_L25/5)*CUI_Poscosecha*Inflación_11</f>
        <v>0</v>
      </c>
      <c r="BC41" s="101">
        <f>SUMIFS('9'!$E:$E,'9'!$A:$A,Año_Inicial+10,'9'!$B:$B,'12'!BB$4,'9'!$D:$D,"Beneficiado")</f>
        <v>0</v>
      </c>
      <c r="BD41" s="101">
        <f>(P_A11_L26/5)*CUI_Poscosecha*Inflación_11</f>
        <v>0</v>
      </c>
      <c r="BE41" s="101">
        <f>SUMIFS('9'!$E:$E,'9'!$A:$A,Año_Inicial+10,'9'!$B:$B,'12'!BD$4,'9'!$D:$D,"Beneficiado")</f>
        <v>0</v>
      </c>
      <c r="BF41" s="101">
        <f>(P_A11_L27/5)*CUI_Poscosecha*Inflación_11</f>
        <v>0</v>
      </c>
      <c r="BG41" s="101">
        <f>SUMIFS('9'!$E:$E,'9'!$A:$A,Año_Inicial+10,'9'!$B:$B,'12'!BF$4,'9'!$D:$D,"Beneficiado")</f>
        <v>0</v>
      </c>
      <c r="BH41" s="101">
        <f>(P_A11_L28/5)*CUI_Poscosecha*Inflación_11</f>
        <v>0</v>
      </c>
      <c r="BI41" s="101">
        <f>SUMIFS('9'!$E:$E,'9'!$A:$A,Año_Inicial+10,'9'!$B:$B,'12'!BH$4,'9'!$D:$D,"Beneficiado")</f>
        <v>0</v>
      </c>
      <c r="BJ41" s="101">
        <f>(P_A11_L29/5)*CUI_Poscosecha*Inflación_11</f>
        <v>0</v>
      </c>
      <c r="BK41" s="101">
        <f>SUMIFS('9'!$E:$E,'9'!$A:$A,Año_Inicial+10,'9'!$B:$B,'12'!BJ$4,'9'!$D:$D,"Beneficiado")</f>
        <v>0</v>
      </c>
      <c r="BL41" s="101">
        <f>(P_A11_L30/5)*CUI_Poscosecha*Inflación_11</f>
        <v>0</v>
      </c>
      <c r="BM41" s="101">
        <f>SUMIFS('9'!$E:$E,'9'!$A:$A,Año_Inicial+10,'9'!$B:$B,'12'!BL$4,'9'!$D:$D,"Beneficiado")</f>
        <v>0</v>
      </c>
      <c r="BN41" s="101">
        <f>(P_A11_L31/5)*CUI_Poscosecha*Inflación_11</f>
        <v>0</v>
      </c>
      <c r="BO41" s="101">
        <f>SUMIFS('9'!$E:$E,'9'!$A:$A,Año_Inicial+10,'9'!$B:$B,'12'!BN$4,'9'!$D:$D,"Beneficiado")</f>
        <v>0</v>
      </c>
      <c r="BP41" s="101">
        <f>(P_A11_L32/5)*CUI_Poscosecha*Inflación_11</f>
        <v>0</v>
      </c>
      <c r="BQ41" s="101">
        <f>SUMIFS('9'!$E:$E,'9'!$A:$A,Año_Inicial+10,'9'!$B:$B,'12'!BP$4,'9'!$D:$D,"Beneficiado")</f>
        <v>0</v>
      </c>
      <c r="BR41" s="101">
        <f>(P_A11_L33/5)*CUI_Poscosecha*Inflación_11</f>
        <v>0</v>
      </c>
      <c r="BS41" s="101">
        <f>SUMIFS('9'!$E:$E,'9'!$A:$A,Año_Inicial+10,'9'!$B:$B,'12'!BR$4,'9'!$D:$D,"Beneficiado")</f>
        <v>0</v>
      </c>
      <c r="BT41" s="101">
        <f>(P_A11_L34/5)*CUI_Poscosecha*Inflación_11</f>
        <v>0</v>
      </c>
      <c r="BU41" s="101">
        <f>SUMIFS('9'!$E:$E,'9'!$A:$A,Año_Inicial+10,'9'!$B:$B,'12'!BT$4,'9'!$D:$D,"Beneficiado")</f>
        <v>0</v>
      </c>
      <c r="BV41" s="101">
        <f>(P_A11_L35/5)*CUI_Poscosecha*Inflación_11</f>
        <v>0</v>
      </c>
      <c r="BW41" s="101">
        <f>SUMIFS('9'!$E:$E,'9'!$A:$A,Año_Inicial+10,'9'!$B:$B,'12'!BV$4,'9'!$D:$D,"Beneficiado")</f>
        <v>0</v>
      </c>
      <c r="BX41" s="101">
        <f>(P_A11_L36/5)*CUI_Poscosecha*Inflación_11</f>
        <v>0</v>
      </c>
      <c r="BY41" s="101">
        <f>SUMIFS('9'!$E:$E,'9'!$A:$A,Año_Inicial+10,'9'!$B:$B,'12'!BX$4,'9'!$D:$D,"Beneficiado")</f>
        <v>0</v>
      </c>
      <c r="BZ41" s="101">
        <f>(P_A11_L37/5)*CUI_Poscosecha*Inflación_11</f>
        <v>0</v>
      </c>
      <c r="CA41" s="101">
        <f>SUMIFS('9'!$E:$E,'9'!$A:$A,Año_Inicial+10,'9'!$B:$B,'12'!BZ$4,'9'!$D:$D,"Beneficiado")</f>
        <v>0</v>
      </c>
      <c r="CB41" s="101">
        <f>(P_A11_L38/5)*CUI_Poscosecha*Inflación_11</f>
        <v>0</v>
      </c>
      <c r="CC41" s="101">
        <f>SUMIFS('9'!$E:$E,'9'!$A:$A,Año_Inicial+10,'9'!$B:$B,'12'!CB$4,'9'!$D:$D,"Beneficiado")</f>
        <v>0</v>
      </c>
      <c r="CD41" s="101">
        <f>(P_A11_L39/5)*CUI_Poscosecha*Inflación_11</f>
        <v>0</v>
      </c>
      <c r="CE41" s="101">
        <f>SUMIFS('9'!$E:$E,'9'!$A:$A,Año_Inicial+10,'9'!$B:$B,'12'!CD$4,'9'!$D:$D,"Beneficiado")</f>
        <v>0</v>
      </c>
      <c r="CF41" s="101">
        <f>(P_A11_L40/5)*CUI_Poscosecha*Inflación_11</f>
        <v>0</v>
      </c>
      <c r="CG41" s="101">
        <f>SUMIFS('9'!$E:$E,'9'!$A:$A,Año_Inicial+10,'9'!$B:$B,'12'!CF$4,'9'!$D:$D,"Beneficiado")</f>
        <v>0</v>
      </c>
      <c r="CH41" s="473"/>
      <c r="CI41" s="101" t="e">
        <f>(CI7/Pergo)*CUI_Poscosecha*Inflación_11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SUMIFS('9'!$E:$E,'9'!$A:$A,Año_Inicial+10,'9'!$C:$C,"Renovación")</f>
        <v>0</v>
      </c>
      <c r="D43" s="100">
        <f t="shared" si="45"/>
        <v>0</v>
      </c>
      <c r="E43" s="473"/>
      <c r="F43" s="101">
        <f>A11_Z_L1*Planta_Z*Inflación_11</f>
        <v>0</v>
      </c>
      <c r="G43" s="101">
        <f>SUMIFS('9'!$E:$E,'9'!$A:$A,Año_Inicial+10,'9'!$B:$B,'12'!F$4,'9'!$C:$C,"Renovación")</f>
        <v>0</v>
      </c>
      <c r="H43" s="101">
        <f>A11_Z_L2*Planta_Z*Inflación_11</f>
        <v>0</v>
      </c>
      <c r="I43" s="101">
        <f>SUMIFS('9'!$E:$E,'9'!$A:$A,Año_Inicial+10,'9'!$B:$B,'12'!H$4,'9'!$C:$C,"Renovación")</f>
        <v>0</v>
      </c>
      <c r="J43" s="101">
        <f>A11_Z_L3*Planta_Z*Inflación_11</f>
        <v>0</v>
      </c>
      <c r="K43" s="101">
        <f>SUMIFS('9'!$E:$E,'9'!$A:$A,Año_Inicial+10,'9'!$B:$B,'12'!J$4,'9'!$C:$C,"Renovación")</f>
        <v>0</v>
      </c>
      <c r="L43" s="101">
        <f>A11_Z_L4*Planta_Z*Inflación_11</f>
        <v>0</v>
      </c>
      <c r="M43" s="101">
        <f>SUMIFS('9'!$E:$E,'9'!$A:$A,Año_Inicial+10,'9'!$B:$B,'12'!L$4,'9'!$C:$C,"Renovación")</f>
        <v>0</v>
      </c>
      <c r="N43" s="101">
        <f>A11_Z_L5*Planta_Z*Inflación_11</f>
        <v>0</v>
      </c>
      <c r="O43" s="101">
        <f>SUMIFS('9'!$E:$E,'9'!$A:$A,Año_Inicial+10,'9'!$B:$B,'12'!N$4,'9'!$C:$C,"Renovación")</f>
        <v>0</v>
      </c>
      <c r="P43" s="101">
        <f>A11_Z_L6*Planta_Z*Inflación_11</f>
        <v>0</v>
      </c>
      <c r="Q43" s="101">
        <f>SUMIFS('9'!$E:$E,'9'!$A:$A,Año_Inicial+10,'9'!$B:$B,'12'!P$4,'9'!$C:$C,"Renovación")</f>
        <v>0</v>
      </c>
      <c r="R43" s="101">
        <f>A11_Z_L7*Planta_Z*Inflación_11</f>
        <v>0</v>
      </c>
      <c r="S43" s="101">
        <f>SUMIFS('9'!$E:$E,'9'!$A:$A,Año_Inicial+10,'9'!$B:$B,'12'!R$4,'9'!$C:$C,"Renovación")</f>
        <v>0</v>
      </c>
      <c r="T43" s="101">
        <f>A11_Z_L8*Planta_Z*Inflación_11</f>
        <v>0</v>
      </c>
      <c r="U43" s="101">
        <f>SUMIFS('9'!$E:$E,'9'!$A:$A,Año_Inicial+10,'9'!$B:$B,'12'!T$4,'9'!$C:$C,"Renovación")</f>
        <v>0</v>
      </c>
      <c r="V43" s="101">
        <f>A11_Z_L9*Planta_Z*Inflación_11</f>
        <v>0</v>
      </c>
      <c r="W43" s="101">
        <f>SUMIFS('9'!$E:$E,'9'!$A:$A,Año_Inicial+10,'9'!$B:$B,'12'!V$4,'9'!$C:$C,"Renovación")</f>
        <v>0</v>
      </c>
      <c r="X43" s="101">
        <f>A11_Z_L10*Planta_Z*Inflación_11</f>
        <v>0</v>
      </c>
      <c r="Y43" s="101">
        <f>SUMIFS('9'!$E:$E,'9'!$A:$A,Año_Inicial+10,'9'!$B:$B,'12'!X$4,'9'!$C:$C,"Renovación")</f>
        <v>0</v>
      </c>
      <c r="Z43" s="101">
        <f>A11_Z_L11*Planta_Z*Inflación_11</f>
        <v>0</v>
      </c>
      <c r="AA43" s="101">
        <f>SUMIFS('9'!$E:$E,'9'!$A:$A,Año_Inicial+10,'9'!$B:$B,'12'!Z$4,'9'!$C:$C,"Renovación")</f>
        <v>0</v>
      </c>
      <c r="AB43" s="101">
        <f>A11_Z_L12*Planta_Z*Inflación_11</f>
        <v>0</v>
      </c>
      <c r="AC43" s="101">
        <f>SUMIFS('9'!$E:$E,'9'!$A:$A,Año_Inicial+10,'9'!$B:$B,'12'!AB$4,'9'!$C:$C,"Renovación")</f>
        <v>0</v>
      </c>
      <c r="AD43" s="101">
        <f>A11_Z_L13*Planta_Z*Inflación_11</f>
        <v>0</v>
      </c>
      <c r="AE43" s="101">
        <f>SUMIFS('9'!$E:$E,'9'!$A:$A,Año_Inicial+10,'9'!$B:$B,'12'!AD$4,'9'!$C:$C,"Renovación")</f>
        <v>0</v>
      </c>
      <c r="AF43" s="101">
        <f>A11_Z_L14*Planta_Z*Inflación_11</f>
        <v>0</v>
      </c>
      <c r="AG43" s="101">
        <f>SUMIFS('9'!$E:$E,'9'!$A:$A,Año_Inicial+10,'9'!$B:$B,'12'!AF$4,'9'!$C:$C,"Renovación")</f>
        <v>0</v>
      </c>
      <c r="AH43" s="101">
        <f>A11_Z_L15*Planta_Z*Inflación_11</f>
        <v>0</v>
      </c>
      <c r="AI43" s="101">
        <f>SUMIFS('9'!$E:$E,'9'!$A:$A,Año_Inicial+10,'9'!$B:$B,'12'!AH$4,'9'!$C:$C,"Renovación")</f>
        <v>0</v>
      </c>
      <c r="AJ43" s="101">
        <f>A11_Z_L16*Planta_Z*Inflación_11</f>
        <v>0</v>
      </c>
      <c r="AK43" s="101">
        <f>SUMIFS('9'!$E:$E,'9'!$A:$A,Año_Inicial+10,'9'!$B:$B,'12'!AJ$4,'9'!$C:$C,"Renovación")</f>
        <v>0</v>
      </c>
      <c r="AL43" s="101">
        <f>A11_Z_L17*Planta_Z*Inflación_11</f>
        <v>0</v>
      </c>
      <c r="AM43" s="101">
        <f>SUMIFS('9'!$E:$E,'9'!$A:$A,Año_Inicial+10,'9'!$B:$B,'12'!AL$4,'9'!$C:$C,"Renovación")</f>
        <v>0</v>
      </c>
      <c r="AN43" s="101">
        <f>A11_Z_L18*Planta_Z*Inflación_11</f>
        <v>0</v>
      </c>
      <c r="AO43" s="101">
        <f>SUMIFS('9'!$E:$E,'9'!$A:$A,Año_Inicial+10,'9'!$B:$B,'12'!AN$4,'9'!$C:$C,"Renovación")</f>
        <v>0</v>
      </c>
      <c r="AP43" s="101">
        <f>A11_Z_L19*Planta_Z*Inflación_11</f>
        <v>0</v>
      </c>
      <c r="AQ43" s="101">
        <f>SUMIFS('9'!$E:$E,'9'!$A:$A,Año_Inicial+10,'9'!$B:$B,'12'!AP$4,'9'!$C:$C,"Renovación")</f>
        <v>0</v>
      </c>
      <c r="AR43" s="101">
        <f>A11_Z_L20*Planta_Z*Inflación_11</f>
        <v>0</v>
      </c>
      <c r="AS43" s="101">
        <f>SUMIFS('9'!$E:$E,'9'!$A:$A,Año_Inicial+10,'9'!$B:$B,'12'!AR$4,'9'!$C:$C,"Renovación")</f>
        <v>0</v>
      </c>
      <c r="AT43" s="101">
        <f>A11_Z_L21*Planta_Z*Inflación_11</f>
        <v>0</v>
      </c>
      <c r="AU43" s="101">
        <f>SUMIFS('9'!$E:$E,'9'!$A:$A,Año_Inicial+10,'9'!$B:$B,'12'!AT$4,'9'!$C:$C,"Renovación")</f>
        <v>0</v>
      </c>
      <c r="AV43" s="101">
        <f>A11_Z_L22*Planta_Z*Inflación_11</f>
        <v>0</v>
      </c>
      <c r="AW43" s="101">
        <f>SUMIFS('9'!$E:$E,'9'!$A:$A,Año_Inicial+10,'9'!$B:$B,'12'!AV$4,'9'!$C:$C,"Renovación")</f>
        <v>0</v>
      </c>
      <c r="AX43" s="101">
        <f>A11_Z_L23*Planta_Z*Inflación_11</f>
        <v>0</v>
      </c>
      <c r="AY43" s="101">
        <f>SUMIFS('9'!$E:$E,'9'!$A:$A,Año_Inicial+10,'9'!$B:$B,'12'!AX$4,'9'!$C:$C,"Renovación")</f>
        <v>0</v>
      </c>
      <c r="AZ43" s="101">
        <f>A11_Z_L24*Planta_Z*Inflación_11</f>
        <v>0</v>
      </c>
      <c r="BA43" s="101">
        <f>SUMIFS('9'!$E:$E,'9'!$A:$A,Año_Inicial+10,'9'!$B:$B,'12'!AZ$4,'9'!$C:$C,"Renovación")</f>
        <v>0</v>
      </c>
      <c r="BB43" s="101">
        <f>A11_Z_L25*Planta_Z*Inflación_11</f>
        <v>0</v>
      </c>
      <c r="BC43" s="101">
        <f>SUMIFS('9'!$E:$E,'9'!$A:$A,Año_Inicial+10,'9'!$B:$B,'12'!BB$4,'9'!$C:$C,"Renovación")</f>
        <v>0</v>
      </c>
      <c r="BD43" s="101">
        <f>A11_Z_L26*Planta_Z*Inflación_11</f>
        <v>0</v>
      </c>
      <c r="BE43" s="101">
        <f>SUMIFS('9'!$E:$E,'9'!$A:$A,Año_Inicial+10,'9'!$B:$B,'12'!BD$4,'9'!$C:$C,"Renovación")</f>
        <v>0</v>
      </c>
      <c r="BF43" s="101">
        <f>A11_Z_L27*Planta_Z*Inflación_11</f>
        <v>0</v>
      </c>
      <c r="BG43" s="101">
        <f>SUMIFS('9'!$E:$E,'9'!$A:$A,Año_Inicial+10,'9'!$B:$B,'12'!BF$4,'9'!$C:$C,"Renovación")</f>
        <v>0</v>
      </c>
      <c r="BH43" s="101">
        <f>A11_Z_L28*Planta_Z*Inflación_11</f>
        <v>0</v>
      </c>
      <c r="BI43" s="101">
        <f>SUMIFS('9'!$E:$E,'9'!$A:$A,Año_Inicial+10,'9'!$B:$B,'12'!BH$4,'9'!$C:$C,"Renovación")</f>
        <v>0</v>
      </c>
      <c r="BJ43" s="101">
        <f>A11_Z_L29*Planta_Z*Inflación_11</f>
        <v>0</v>
      </c>
      <c r="BK43" s="101">
        <f>SUMIFS('9'!$E:$E,'9'!$A:$A,Año_Inicial+10,'9'!$B:$B,'12'!BJ$4,'9'!$C:$C,"Renovación")</f>
        <v>0</v>
      </c>
      <c r="BL43" s="101">
        <f>A11_Z_L30*Planta_Z*Inflación_11</f>
        <v>0</v>
      </c>
      <c r="BM43" s="101">
        <f>SUMIFS('9'!$E:$E,'9'!$A:$A,Año_Inicial+10,'9'!$B:$B,'12'!BL$4,'9'!$C:$C,"Renovación")</f>
        <v>0</v>
      </c>
      <c r="BN43" s="101">
        <f>A11_Z_L31*Planta_Z*Inflación_11</f>
        <v>0</v>
      </c>
      <c r="BO43" s="101">
        <f>SUMIFS('9'!$E:$E,'9'!$A:$A,Año_Inicial+10,'9'!$B:$B,'12'!BN$4,'9'!$C:$C,"Renovación")</f>
        <v>0</v>
      </c>
      <c r="BP43" s="101">
        <f>A11_Z_L32*Planta_Z*Inflación_11</f>
        <v>0</v>
      </c>
      <c r="BQ43" s="101">
        <f>SUMIFS('9'!$E:$E,'9'!$A:$A,Año_Inicial+10,'9'!$B:$B,'12'!BP$4,'9'!$C:$C,"Renovación")</f>
        <v>0</v>
      </c>
      <c r="BR43" s="101">
        <f>A11_Z_L33*Planta_Z*Inflación_11</f>
        <v>0</v>
      </c>
      <c r="BS43" s="101">
        <f>SUMIFS('9'!$E:$E,'9'!$A:$A,Año_Inicial+10,'9'!$B:$B,'12'!BR$4,'9'!$C:$C,"Renovación")</f>
        <v>0</v>
      </c>
      <c r="BT43" s="101">
        <f>A11_Z_L34*Planta_Z*Inflación_11</f>
        <v>0</v>
      </c>
      <c r="BU43" s="101">
        <f>SUMIFS('9'!$E:$E,'9'!$A:$A,Año_Inicial+10,'9'!$B:$B,'12'!BT$4,'9'!$C:$C,"Renovación")</f>
        <v>0</v>
      </c>
      <c r="BV43" s="101">
        <f>A11_Z_L35*Planta_Z*Inflación_11</f>
        <v>0</v>
      </c>
      <c r="BW43" s="101">
        <f>SUMIFS('9'!$E:$E,'9'!$A:$A,Año_Inicial+10,'9'!$B:$B,'12'!BV$4,'9'!$C:$C,"Renovación")</f>
        <v>0</v>
      </c>
      <c r="BX43" s="101">
        <f>A11_Z_L36*Planta_Z*Inflación_11</f>
        <v>0</v>
      </c>
      <c r="BY43" s="101">
        <f>SUMIFS('9'!$E:$E,'9'!$A:$A,Año_Inicial+10,'9'!$B:$B,'12'!BX$4,'9'!$C:$C,"Renovación")</f>
        <v>0</v>
      </c>
      <c r="BZ43" s="101">
        <f>A11_Z_L37*Planta_Z*Inflación_11</f>
        <v>0</v>
      </c>
      <c r="CA43" s="101">
        <f>SUMIFS('9'!$E:$E,'9'!$A:$A,Año_Inicial+10,'9'!$B:$B,'12'!BZ$4,'9'!$C:$C,"Renovación")</f>
        <v>0</v>
      </c>
      <c r="CB43" s="101">
        <f>A11_Z_L38*Planta_Z*Inflación_11</f>
        <v>0</v>
      </c>
      <c r="CC43" s="101">
        <f>SUMIFS('9'!$E:$E,'9'!$A:$A,Año_Inicial+10,'9'!$B:$B,'12'!CB$4,'9'!$C:$C,"Renovación")</f>
        <v>0</v>
      </c>
      <c r="CD43" s="101">
        <f>A11_Z_L39*Planta_Z*Inflación_11</f>
        <v>0</v>
      </c>
      <c r="CE43" s="101">
        <f>SUMIFS('9'!$E:$E,'9'!$A:$A,Año_Inicial+10,'9'!$B:$B,'12'!CD$4,'9'!$C:$C,"Renovación")</f>
        <v>0</v>
      </c>
      <c r="CF43" s="101">
        <f>A11_Z_L40*Planta_Z*Inflación_11</f>
        <v>0</v>
      </c>
      <c r="CG43" s="101">
        <f>SUMIFS('9'!$E:$E,'9'!$A:$A,Año_Inicial+10,'9'!$B:$B,'12'!CF$4,'9'!$C:$C,"Renovación")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(Plantas_Z_A11*Planta_Z)*Inflación_11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Admin_2*Inflación_11</f>
        <v>0</v>
      </c>
      <c r="C44" s="101">
        <f>SUMIFS('9'!$E:$E,'9'!$A:$A,Año_Inicial+10,'9'!$C:$C,"Gastos_administrativos")</f>
        <v>0</v>
      </c>
      <c r="D44" s="100">
        <f t="shared" si="45"/>
        <v>0</v>
      </c>
      <c r="E44" s="473"/>
      <c r="F44" s="101">
        <f>($B44/$B47)*F47*Inflación_11</f>
        <v>0</v>
      </c>
      <c r="G44" s="101">
        <f>($C44/$B47)*F47</f>
        <v>0</v>
      </c>
      <c r="H44" s="101">
        <f>($B44/$B47)*H47*Inflación_11</f>
        <v>0</v>
      </c>
      <c r="I44" s="101">
        <f>($C44/$B47)*H47</f>
        <v>0</v>
      </c>
      <c r="J44" s="101">
        <f>($B44/$B47)*J47*Inflación_11</f>
        <v>0</v>
      </c>
      <c r="K44" s="101">
        <f>($C44/$B47)*J47</f>
        <v>0</v>
      </c>
      <c r="L44" s="101">
        <f>($B44/$B47)*L47*Inflación_11</f>
        <v>0</v>
      </c>
      <c r="M44" s="101">
        <f>($C44/$B47)*L47</f>
        <v>0</v>
      </c>
      <c r="N44" s="101">
        <f>($B44/$B47)*N47*Inflación_11</f>
        <v>0</v>
      </c>
      <c r="O44" s="101">
        <f>($C44/$B47)*N47</f>
        <v>0</v>
      </c>
      <c r="P44" s="101">
        <f>($B44/$B47)*P47*Inflación_11</f>
        <v>0</v>
      </c>
      <c r="Q44" s="101">
        <f>($C44/$B47)*P47</f>
        <v>0</v>
      </c>
      <c r="R44" s="101">
        <f>($B44/$B47)*R47*Inflación_11</f>
        <v>0</v>
      </c>
      <c r="S44" s="101">
        <f>($C44/$B47)*R47</f>
        <v>0</v>
      </c>
      <c r="T44" s="101">
        <f>($B44/$B47)*T47*Inflación_11</f>
        <v>0</v>
      </c>
      <c r="U44" s="101">
        <f>($C44/$B47)*T47</f>
        <v>0</v>
      </c>
      <c r="V44" s="101">
        <f>($B44/$B47)*V47*Inflación_11</f>
        <v>0</v>
      </c>
      <c r="W44" s="101">
        <f>($C44/$B47)*V47</f>
        <v>0</v>
      </c>
      <c r="X44" s="101">
        <f>($B44/$B47)*X47*Inflación_11</f>
        <v>0</v>
      </c>
      <c r="Y44" s="101">
        <f>($C44/$B47)*X47</f>
        <v>0</v>
      </c>
      <c r="Z44" s="101">
        <f>($B44/$B47)*Z47*Inflación_11</f>
        <v>0</v>
      </c>
      <c r="AA44" s="101">
        <f>($C44/$B47)*Z47</f>
        <v>0</v>
      </c>
      <c r="AB44" s="101">
        <f>($B44/$B47)*AB47*Inflación_11</f>
        <v>0</v>
      </c>
      <c r="AC44" s="101">
        <f>($C44/$B47)*AB47</f>
        <v>0</v>
      </c>
      <c r="AD44" s="101">
        <f>($B44/$B47)*AD47*Inflación_11</f>
        <v>0</v>
      </c>
      <c r="AE44" s="101">
        <f>($C44/$B47)*AD47</f>
        <v>0</v>
      </c>
      <c r="AF44" s="101">
        <f>($B44/$B47)*AF47*Inflación_11</f>
        <v>0</v>
      </c>
      <c r="AG44" s="101">
        <f>($C44/$B47)*AF47</f>
        <v>0</v>
      </c>
      <c r="AH44" s="101">
        <f>($B44/$B47)*AH47*Inflación_11</f>
        <v>0</v>
      </c>
      <c r="AI44" s="101">
        <f>($C44/$B47)*AH47</f>
        <v>0</v>
      </c>
      <c r="AJ44" s="101">
        <f>($B44/$B47)*AJ47*Inflación_11</f>
        <v>0</v>
      </c>
      <c r="AK44" s="101">
        <f>($C44/$B47)*AJ47</f>
        <v>0</v>
      </c>
      <c r="AL44" s="101">
        <f>($B44/$B47)*AL47*Inflación_11</f>
        <v>0</v>
      </c>
      <c r="AM44" s="101">
        <f>($C44/$B47)*AL47</f>
        <v>0</v>
      </c>
      <c r="AN44" s="101">
        <f>($B44/$B47)*AN47*Inflación_11</f>
        <v>0</v>
      </c>
      <c r="AO44" s="101">
        <f>($C44/$B47)*AN47</f>
        <v>0</v>
      </c>
      <c r="AP44" s="101">
        <f>($B44/$B47)*AP47*Inflación_11</f>
        <v>0</v>
      </c>
      <c r="AQ44" s="101">
        <f>($C44/$B47)*AP47</f>
        <v>0</v>
      </c>
      <c r="AR44" s="101">
        <f>($B44/$B47)*AR47*Inflación_11</f>
        <v>0</v>
      </c>
      <c r="AS44" s="101">
        <f>($C44/$B47)*AR47</f>
        <v>0</v>
      </c>
      <c r="AT44" s="101">
        <f>($B44/$B47)*AT47*Inflación_11</f>
        <v>0</v>
      </c>
      <c r="AU44" s="101">
        <f>($C44/$B47)*AT47</f>
        <v>0</v>
      </c>
      <c r="AV44" s="101">
        <f>($B44/$B47)*AV47*Inflación_11</f>
        <v>0</v>
      </c>
      <c r="AW44" s="101">
        <f>($C44/$B47)*AV47</f>
        <v>0</v>
      </c>
      <c r="AX44" s="101">
        <f>($B44/$B47)*AX47*Inflación_11</f>
        <v>0</v>
      </c>
      <c r="AY44" s="101">
        <f>($C44/$B47)*AX47</f>
        <v>0</v>
      </c>
      <c r="AZ44" s="101">
        <f>($B44/$B47)*AZ47*Inflación_11</f>
        <v>0</v>
      </c>
      <c r="BA44" s="101">
        <f>($C44/$B47)*AZ47</f>
        <v>0</v>
      </c>
      <c r="BB44" s="101">
        <f>($B44/$B47)*BB47*Inflación_11</f>
        <v>0</v>
      </c>
      <c r="BC44" s="101">
        <f>($C44/$B47)*BB47</f>
        <v>0</v>
      </c>
      <c r="BD44" s="101">
        <f>($B44/$B47)*BD47*Inflación_11</f>
        <v>0</v>
      </c>
      <c r="BE44" s="101">
        <f>($C44/$B47)*BD47</f>
        <v>0</v>
      </c>
      <c r="BF44" s="101">
        <f>($B44/$B47)*BF47*Inflación_11</f>
        <v>0</v>
      </c>
      <c r="BG44" s="101">
        <f>($C44/$B47)*BF47</f>
        <v>0</v>
      </c>
      <c r="BH44" s="101">
        <f>($B44/$B47)*BH47*Inflación_11</f>
        <v>0</v>
      </c>
      <c r="BI44" s="101">
        <f>($C44/$B47)*BH47</f>
        <v>0</v>
      </c>
      <c r="BJ44" s="101">
        <f>($B44/$B47)*BJ47*Inflación_11</f>
        <v>0</v>
      </c>
      <c r="BK44" s="101">
        <f>($C44/$B47)*BJ47</f>
        <v>0</v>
      </c>
      <c r="BL44" s="101">
        <f>($B44/$B47)*BL47*Inflación_11</f>
        <v>0</v>
      </c>
      <c r="BM44" s="101">
        <f>($C44/$B47)*BL47</f>
        <v>0</v>
      </c>
      <c r="BN44" s="101">
        <f>($B44/$B47)*BN47*Inflación_11</f>
        <v>0</v>
      </c>
      <c r="BO44" s="101">
        <f>($C44/$B47)*BN47</f>
        <v>0</v>
      </c>
      <c r="BP44" s="101">
        <f>($B44/$B47)*BP47*Inflación_11</f>
        <v>0</v>
      </c>
      <c r="BQ44" s="101">
        <f>($C44/$B47)*BP47</f>
        <v>0</v>
      </c>
      <c r="BR44" s="101">
        <f>($B44/$B47)*BR47*Inflación_11</f>
        <v>0</v>
      </c>
      <c r="BS44" s="101">
        <f>($C44/$B47)*BR47</f>
        <v>0</v>
      </c>
      <c r="BT44" s="101">
        <f>($B44/$B47)*BT47*Inflación_11</f>
        <v>0</v>
      </c>
      <c r="BU44" s="101">
        <f>($C44/$B47)*BT47</f>
        <v>0</v>
      </c>
      <c r="BV44" s="101">
        <f>($B44/$B47)*BV47*Inflación_11</f>
        <v>0</v>
      </c>
      <c r="BW44" s="101">
        <f>($C44/$B47)*BV47</f>
        <v>0</v>
      </c>
      <c r="BX44" s="101">
        <f>($B44/$B47)*BX47*Inflación_11</f>
        <v>0</v>
      </c>
      <c r="BY44" s="101">
        <f>($C44/$B47)*BX47</f>
        <v>0</v>
      </c>
      <c r="BZ44" s="101">
        <f>($B44/$B47)*BZ47*Inflación_11</f>
        <v>0</v>
      </c>
      <c r="CA44" s="101">
        <f>($C44/$B47)*BZ47</f>
        <v>0</v>
      </c>
      <c r="CB44" s="101">
        <f>($B44/$B47)*CB47*Inflación_11</f>
        <v>0</v>
      </c>
      <c r="CC44" s="101">
        <f>($C44/$B47)*CB47</f>
        <v>0</v>
      </c>
      <c r="CD44" s="101">
        <f>($B44/$B47)*CD47*Inflación_11</f>
        <v>0</v>
      </c>
      <c r="CE44" s="101">
        <f>($C44/$B47)*CD47</f>
        <v>0</v>
      </c>
      <c r="CF44" s="101">
        <f>($B44/$B47)*CF47*Inflación_11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A11_A_L1+A11_B_L1+A11_C_L1+A11_D_L1+A11_Y_L1+A11_Z_L1+A11_X_L1</f>
        <v>7000</v>
      </c>
      <c r="G47" s="479"/>
      <c r="H47" s="478">
        <f>A11_A_L2+A11_B_L2+A11_C_L2+A11_D_L2+A11_Y_L2+A11_Z_L2+A11_X_L2</f>
        <v>0</v>
      </c>
      <c r="I47" s="479"/>
      <c r="J47" s="478">
        <f>A11_A_L3+A11_B_L3+A11_C_L3+A11_D_L3+A11_Y_L3+A11_Z_L3+A11_X_L3</f>
        <v>0</v>
      </c>
      <c r="K47" s="479"/>
      <c r="L47" s="478">
        <f>A11_A_L4+A11_B_L4+A11_C_L4+A11_D_L4+A11_Y_L4+A11_Z_L4+A11_X_L4</f>
        <v>0</v>
      </c>
      <c r="M47" s="479"/>
      <c r="N47" s="478">
        <f>A11_A_L5+A11_B_L5+A11_C_L5+A11_D_L5+A11_Y_L5+A11_Z_L5+A11_X_L5</f>
        <v>0</v>
      </c>
      <c r="O47" s="479"/>
      <c r="P47" s="478">
        <f>A11_A_L6+A11_B_L6+A11_C_L6+A11_D_L6+A11_Y_L6+A11_Z_L6+A11_X_L6</f>
        <v>0</v>
      </c>
      <c r="Q47" s="479"/>
      <c r="R47" s="478">
        <f>A11_A_L7+A11_B_L7+A11_C_L7+A11_D_L7+A11_Y_L7+A11_Z_L7+A11_X_L7</f>
        <v>0</v>
      </c>
      <c r="S47" s="479"/>
      <c r="T47" s="478">
        <f>A11_A_L8+A11_B_L8+A11_C_L8+A11_D_L8+A11_Y_L8+A11_Z_L8+A11_X_L8</f>
        <v>0</v>
      </c>
      <c r="U47" s="479"/>
      <c r="V47" s="478">
        <f>A11_A_L9+A11_B_L9+A11_C_L9+A11_D_L9+A11_Y_L9+A11_Z_L9+A11_X_L9</f>
        <v>0</v>
      </c>
      <c r="W47" s="479"/>
      <c r="X47" s="478">
        <f>A11_A_L10+A11_B_L10+A11_C_L10+A11_D_L10+A11_Y_L10+A11_Z_L10+A11_X_L10</f>
        <v>0</v>
      </c>
      <c r="Y47" s="479"/>
      <c r="Z47" s="478">
        <f>A11_A_L11+A11_B_L11+A11_C_L11+A11_D_L11+A11_Y_L11+A11_Z_L11+A11_X_L11</f>
        <v>0</v>
      </c>
      <c r="AA47" s="479"/>
      <c r="AB47" s="478">
        <f>A11_A_L12+A11_B_L12+A11_C_L12+A11_D_L12+A11_Y_L12+A11_Z_L12+A11_X_L12</f>
        <v>0</v>
      </c>
      <c r="AC47" s="479"/>
      <c r="AD47" s="478">
        <f>A11_A_L13+A11_B_L13+A11_C_L13+A11_D_L13+A11_Y_L13+A11_Z_L13+A11_X_L13</f>
        <v>0</v>
      </c>
      <c r="AE47" s="479"/>
      <c r="AF47" s="478">
        <f>A11_A_L14+A11_B_L14+A11_C_L14+A11_D_L14+A11_Y_L14+A11_Z_L14+A11_X_L14</f>
        <v>0</v>
      </c>
      <c r="AG47" s="479"/>
      <c r="AH47" s="478">
        <f>A11_A_L15+A11_B_L15+A11_C_L15+A11_D_L15+A11_Y_L15+A11_Z_L15+A11_X_L15</f>
        <v>0</v>
      </c>
      <c r="AI47" s="479"/>
      <c r="AJ47" s="478">
        <f>A11_A_L16+A11_B_L16+A11_C_L16+A11_D_L16+A11_Y_L16+A11_Z_L16+A11_X_L16</f>
        <v>0</v>
      </c>
      <c r="AK47" s="479"/>
      <c r="AL47" s="478">
        <f>A11_A_L17+A11_B_L17+A11_C_L17+A11_D_L17+A11_Y_L17+A11_Z_L17+A11_X_L17</f>
        <v>0</v>
      </c>
      <c r="AM47" s="479"/>
      <c r="AN47" s="478">
        <f>A11_A_L18+A11_B_L18+A11_C_L18+A11_D_L18+A11_Y_L18+A11_Z_L18+A11_X_L18</f>
        <v>0</v>
      </c>
      <c r="AO47" s="479"/>
      <c r="AP47" s="478">
        <f>A11_A_L19+A11_B_L19+A11_C_L19+A11_D_L19+A11_Y_L19+A11_Z_L19+A11_X_L19</f>
        <v>0</v>
      </c>
      <c r="AQ47" s="479"/>
      <c r="AR47" s="478">
        <f>A11_A_L20+A11_B_L20+A11_C_L20+A11_D_L20+A11_Y_L20+A11_Z_L20+A11_X_L20</f>
        <v>0</v>
      </c>
      <c r="AS47" s="479"/>
      <c r="AT47" s="478">
        <f>A11_A_L21+A11_B_L21+A11_C_L21+A11_D_L21+A11_Y_L21+A11_Z_L21+A11_X_L21</f>
        <v>0</v>
      </c>
      <c r="AU47" s="479"/>
      <c r="AV47" s="478">
        <f>A11_A_L22+A11_B_L22+A11_C_L22+A11_D_L22+A11_Y_L22+A11_Z_L22+A11_X_L22</f>
        <v>0</v>
      </c>
      <c r="AW47" s="479"/>
      <c r="AX47" s="478">
        <f>A11_A_L23+A11_B_L23+A11_C_L23+A11_D_L23+A11_Y_L23+A11_Z_L23+A11_X_L23</f>
        <v>0</v>
      </c>
      <c r="AY47" s="479"/>
      <c r="AZ47" s="478">
        <f>A11_A_L24+A11_B_L24+A11_C_L24+A11_D_L24+A11_Y_L24+A11_Z_L24+A11_X_L24</f>
        <v>0</v>
      </c>
      <c r="BA47" s="479"/>
      <c r="BB47" s="478">
        <f>A11_A_L25+A11_B_L25+A11_C_L25+A11_D_L25+A11_Y_L25+A11_Z_L25+A11_X_L25</f>
        <v>0</v>
      </c>
      <c r="BC47" s="479"/>
      <c r="BD47" s="478">
        <f>A11_A_L26+A11_B_L26+A11_C_L26+A11_D_L26+A11_Y_L26+A11_Z_L26+A11_X_L26</f>
        <v>0</v>
      </c>
      <c r="BE47" s="479"/>
      <c r="BF47" s="478">
        <f>A11_A_L27+A11_B_L27+A11_C_L27+A11_D_L27+A11_Y_L27+A11_Z_L27+A11_X_L27</f>
        <v>0</v>
      </c>
      <c r="BG47" s="479"/>
      <c r="BH47" s="478">
        <f>A11_A_L28+A11_B_L28+A11_C_L28+A11_D_L28+A11_Y_L28+A11_Z_L28+A11_X_L28</f>
        <v>0</v>
      </c>
      <c r="BI47" s="479"/>
      <c r="BJ47" s="478">
        <f>A11_A_L29+A11_B_L29+A11_C_L29+A11_D_L29+A11_Y_L29+A11_Z_L29+A11_X_L29</f>
        <v>0</v>
      </c>
      <c r="BK47" s="479"/>
      <c r="BL47" s="478">
        <f>A11_A_L30+A11_B_L30+A11_C_L30+A11_D_L30+A11_Y_L30+A11_Z_L30+A11_X_L30</f>
        <v>0</v>
      </c>
      <c r="BM47" s="479"/>
      <c r="BN47" s="478">
        <f>A11_A_L31+A11_B_L31+A11_C_L31+A11_D_L31+A11_Y_L31+A11_Z_L31+A11_X_L31</f>
        <v>0</v>
      </c>
      <c r="BO47" s="479"/>
      <c r="BP47" s="478">
        <f>A11_A_L32+A11_B_L32+A11_C_L32+A11_D_L32+A11_Y_L32+A11_Z_L32+A11_X_L32</f>
        <v>0</v>
      </c>
      <c r="BQ47" s="479"/>
      <c r="BR47" s="478">
        <f>A11_A_L33+A11_B_L33+A11_C_L33+A11_D_L33+A11_Y_L33+A11_Z_L33+A11_X_L33</f>
        <v>0</v>
      </c>
      <c r="BS47" s="479"/>
      <c r="BT47" s="478">
        <f>A11_A_L34+A11_B_L34+A11_C_L34+A11_D_L34+A11_Y_L34+A11_Z_L34+A11_X_L34</f>
        <v>0</v>
      </c>
      <c r="BU47" s="479"/>
      <c r="BV47" s="478">
        <f>A11_A_L35+A11_B_L35+A11_C_L35+A11_D_L35+A11_Y_L35+A11_Z_L35+A11_X_L35</f>
        <v>0</v>
      </c>
      <c r="BW47" s="479"/>
      <c r="BX47" s="478">
        <f>A11_A_L36+A11_B_L36+A11_C_L36+A11_D_L36+A11_Y_L36+A11_Z_L36+A11_X_L36</f>
        <v>0</v>
      </c>
      <c r="BY47" s="479"/>
      <c r="BZ47" s="478">
        <f>A11_A_L37+A11_B_L37+A11_C_L37+A11_D_L37+A11_Y_L37+A11_Z_L37+A11_X_L37</f>
        <v>0</v>
      </c>
      <c r="CA47" s="479"/>
      <c r="CB47" s="478">
        <f>A11_A_L38+A11_B_L38+A11_C_L38+A11_D_L38+A11_Y_L38+A11_Z_L38+A11_X_L38</f>
        <v>0</v>
      </c>
      <c r="CC47" s="479"/>
      <c r="CD47" s="478">
        <f>A11_A_L39+A11_B_L39+A11_C_L39+A11_D_L39+A11_Y_L39+A11_Z_L39+A11_X_L39</f>
        <v>0</v>
      </c>
      <c r="CE47" s="479"/>
      <c r="CF47" s="478">
        <f>A11_A_L40+A11_B_L40+A11_C_L40+A11_D_L40+A11_Y_L40+A11_Z_L40+A11_X_L40</f>
        <v>0</v>
      </c>
      <c r="CG47" s="479"/>
      <c r="CH47" s="473"/>
      <c r="CI47" s="118">
        <f>Plantas_A_A11</f>
        <v>0</v>
      </c>
      <c r="CJ47" s="119">
        <f>Plantas_B_A11</f>
        <v>0</v>
      </c>
      <c r="CK47" s="119">
        <f>Plantas_C_A11</f>
        <v>0</v>
      </c>
      <c r="CL47" s="119">
        <f>Plantas_D_A11</f>
        <v>7000</v>
      </c>
      <c r="CM47" s="119">
        <f>Plantas_Z_A11</f>
        <v>0</v>
      </c>
      <c r="CN47" s="119">
        <f>Plantas_Y_A11</f>
        <v>0</v>
      </c>
      <c r="CO47" s="120">
        <f>Plantas_X_A11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4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4" ht="30.95" customHeight="1" x14ac:dyDescent="0.3">
      <c r="A50" s="424" t="s">
        <v>85</v>
      </c>
      <c r="B50" s="424"/>
      <c r="C50" s="424"/>
      <c r="CP50" s="131"/>
    </row>
  </sheetData>
  <sheetProtection algorithmName="SHA-512" hashValue="tBtNoCmkzir6HM1qdRS5RuEuaTvOP3J9JQ996LLw29JMYU+q2GTf2DBexzuPc3r7n94KN7YXXdoVaH3mcHLBmg==" saltValue="zHBmTwdukA6SRRdqFT4iGA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AL4:AM4"/>
    <mergeCell ref="AN4:AO4"/>
    <mergeCell ref="AP4:AQ4"/>
    <mergeCell ref="AR4:AS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J4:K4"/>
    <mergeCell ref="B4:D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J4:AK4"/>
    <mergeCell ref="A50:C50"/>
    <mergeCell ref="A2:D2"/>
    <mergeCell ref="E4:E49"/>
    <mergeCell ref="F4:G4"/>
    <mergeCell ref="H4:I4"/>
  </mergeCells>
  <hyperlinks>
    <hyperlink ref="CH1" location="Inicio!A15" display="Regresar" xr:uid="{B8414013-DDDC-4E66-BAE8-2840AA2A438A}"/>
    <hyperlink ref="A1" location="Inicio!A18" display="Regresar" xr:uid="{61FDCF36-ABC2-4F50-9871-A127AF59484C}"/>
    <hyperlink ref="A1:CO1" location="Inicio!A18" display="Regresar" xr:uid="{FF70CCD5-A3C5-4234-8166-9A1CA28463CA}"/>
  </hyperlinks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BB2D1-01CA-4A73-8AD1-6F8E26DD7EC5}">
  <sheetPr codeName="Hoja24"/>
  <dimension ref="A1:CP50"/>
  <sheetViews>
    <sheetView showGridLines="0" zoomScale="50" zoomScaleNormal="50" workbookViewId="0">
      <pane xSplit="1" ySplit="5" topLeftCell="B6" activePane="bottomRight" state="frozen"/>
      <selection pane="topRight" activeCell="A50" sqref="A50:C50"/>
      <selection pane="bottomLeft" activeCell="A50" sqref="A50:C50"/>
      <selection pane="bottomRight"/>
    </sheetView>
  </sheetViews>
  <sheetFormatPr baseColWidth="10" defaultColWidth="11" defaultRowHeight="17.25" outlineLevelCol="1" x14ac:dyDescent="0.3"/>
  <cols>
    <col min="1" max="1" width="63.375" style="131" customWidth="1"/>
    <col min="2" max="4" width="40.875" style="131" customWidth="1"/>
    <col min="5" max="5" width="5" style="131" customWidth="1"/>
    <col min="6" max="6" width="25.625" style="131" hidden="1" customWidth="1" outlineLevel="1" collapsed="1"/>
    <col min="7" max="85" width="25.625" style="131" hidden="1" customWidth="1" outlineLevel="1"/>
    <col min="86" max="86" width="7.875" style="131" customWidth="1" collapsed="1"/>
    <col min="87" max="93" width="26.375" style="131" hidden="1" customWidth="1" outlineLevel="1"/>
    <col min="94" max="94" width="11" style="131" collapsed="1"/>
    <col min="95" max="16384" width="11" style="131"/>
  </cols>
  <sheetData>
    <row r="1" spans="1:93" s="59" customFormat="1" ht="36" customHeight="1" thickBot="1" x14ac:dyDescent="0.3">
      <c r="A1" s="315" t="s">
        <v>21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  <c r="W1" s="133"/>
      <c r="X1" s="133"/>
      <c r="Y1" s="133"/>
      <c r="Z1" s="133"/>
      <c r="AA1" s="133"/>
      <c r="AB1" s="133"/>
      <c r="AC1" s="133"/>
      <c r="AD1" s="133"/>
      <c r="AE1" s="133"/>
      <c r="AF1" s="133"/>
      <c r="AG1" s="133"/>
      <c r="AH1" s="133"/>
      <c r="AI1" s="133"/>
      <c r="AJ1" s="133"/>
      <c r="AK1" s="133"/>
      <c r="AL1" s="133"/>
      <c r="AM1" s="133"/>
      <c r="AN1" s="133"/>
      <c r="AO1" s="133"/>
      <c r="AP1" s="133"/>
      <c r="AQ1" s="133"/>
      <c r="AR1" s="133"/>
      <c r="AS1" s="133"/>
      <c r="AT1" s="133"/>
      <c r="AU1" s="133"/>
      <c r="AV1" s="133"/>
      <c r="AW1" s="133"/>
      <c r="AX1" s="133"/>
      <c r="AY1" s="133"/>
      <c r="AZ1" s="133"/>
      <c r="BA1" s="133"/>
      <c r="BB1" s="133"/>
      <c r="BC1" s="133"/>
      <c r="BD1" s="133"/>
      <c r="BE1" s="133"/>
      <c r="BF1" s="133"/>
      <c r="BG1" s="133"/>
      <c r="BH1" s="133"/>
      <c r="BI1" s="133"/>
      <c r="BJ1" s="133"/>
      <c r="BK1" s="133"/>
      <c r="BL1" s="133"/>
      <c r="BM1" s="133"/>
      <c r="BN1" s="133"/>
      <c r="BO1" s="133"/>
      <c r="BP1" s="133"/>
      <c r="BQ1" s="133"/>
      <c r="BR1" s="133"/>
      <c r="BS1" s="133"/>
      <c r="BT1" s="133"/>
      <c r="BU1" s="133"/>
      <c r="BV1" s="133"/>
      <c r="BW1" s="133"/>
      <c r="BX1" s="133"/>
      <c r="BY1" s="133"/>
      <c r="BZ1" s="133"/>
      <c r="CA1" s="133"/>
      <c r="CB1" s="133"/>
      <c r="CC1" s="133"/>
      <c r="CD1" s="133"/>
      <c r="CE1" s="133"/>
      <c r="CF1" s="133"/>
      <c r="CG1" s="133"/>
      <c r="CH1" s="133"/>
      <c r="CI1" s="133"/>
      <c r="CJ1" s="133"/>
      <c r="CK1" s="133"/>
      <c r="CL1" s="133"/>
      <c r="CM1" s="133"/>
      <c r="CN1" s="133"/>
      <c r="CO1" s="317"/>
    </row>
    <row r="2" spans="1:93" s="59" customFormat="1" ht="50.1" customHeight="1" thickBot="1" x14ac:dyDescent="0.3">
      <c r="A2" s="493" t="str">
        <f>CONCATENATE("Planificación financiera ",Up," | Presupuesto y ejecución ",Año_Inicial+111)</f>
        <v>Planificación financiera  | Presupuesto y ejecución 2134</v>
      </c>
      <c r="B2" s="494"/>
      <c r="C2" s="494"/>
      <c r="D2" s="49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4"/>
      <c r="P2" s="314"/>
      <c r="Q2" s="314"/>
      <c r="R2" s="314"/>
      <c r="S2" s="314"/>
      <c r="T2" s="314"/>
      <c r="U2" s="314"/>
      <c r="V2" s="314"/>
      <c r="W2" s="314"/>
      <c r="X2" s="314"/>
      <c r="Y2" s="314"/>
      <c r="Z2" s="314"/>
      <c r="AA2" s="314"/>
      <c r="AB2" s="314"/>
      <c r="AC2" s="314"/>
      <c r="AD2" s="314"/>
      <c r="AE2" s="314"/>
      <c r="AF2" s="314"/>
      <c r="AG2" s="314"/>
      <c r="AH2" s="314"/>
      <c r="AI2" s="314"/>
      <c r="AJ2" s="314"/>
      <c r="AK2" s="314"/>
      <c r="AL2" s="314"/>
      <c r="AM2" s="314"/>
      <c r="AN2" s="314"/>
      <c r="AO2" s="314"/>
      <c r="AP2" s="314"/>
      <c r="AQ2" s="314"/>
      <c r="AR2" s="314"/>
      <c r="AS2" s="314"/>
      <c r="AT2" s="314"/>
      <c r="AU2" s="314"/>
      <c r="AV2" s="314"/>
      <c r="AW2" s="314"/>
      <c r="AX2" s="314"/>
      <c r="AY2" s="314"/>
      <c r="AZ2" s="314"/>
      <c r="BA2" s="314"/>
      <c r="BB2" s="314"/>
      <c r="BC2" s="314"/>
      <c r="BD2" s="314"/>
      <c r="BE2" s="314"/>
      <c r="BF2" s="314"/>
      <c r="BG2" s="314"/>
      <c r="BH2" s="314"/>
      <c r="BI2" s="314"/>
      <c r="BJ2" s="314"/>
      <c r="BK2" s="314"/>
      <c r="BL2" s="314"/>
      <c r="BM2" s="314"/>
      <c r="BN2" s="314"/>
      <c r="BO2" s="314"/>
      <c r="BP2" s="314"/>
      <c r="BQ2" s="314"/>
      <c r="BR2" s="314"/>
      <c r="BS2" s="314"/>
      <c r="BT2" s="314"/>
      <c r="BU2" s="314"/>
      <c r="BV2" s="314"/>
      <c r="BW2" s="314"/>
      <c r="BX2" s="314"/>
      <c r="BY2" s="314"/>
      <c r="BZ2" s="314"/>
      <c r="CA2" s="314"/>
      <c r="CB2" s="314"/>
      <c r="CC2" s="314"/>
      <c r="CD2" s="314"/>
      <c r="CE2" s="314"/>
      <c r="CF2" s="314"/>
      <c r="CG2" s="314"/>
      <c r="CH2" s="314"/>
      <c r="CI2" s="314"/>
      <c r="CJ2" s="314"/>
      <c r="CK2" s="314"/>
      <c r="CL2" s="314"/>
      <c r="CM2" s="314"/>
      <c r="CN2" s="314"/>
      <c r="CO2" s="316"/>
    </row>
    <row r="3" spans="1:93" s="59" customFormat="1" ht="8.1" customHeight="1" thickBot="1" x14ac:dyDescent="0.3">
      <c r="A3" s="176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178"/>
      <c r="Z3" s="178"/>
      <c r="AA3" s="178"/>
      <c r="AB3" s="178"/>
      <c r="AC3" s="178"/>
      <c r="AD3" s="178"/>
      <c r="AE3" s="178"/>
      <c r="AF3" s="178"/>
      <c r="AG3" s="178"/>
      <c r="AH3" s="178"/>
      <c r="AI3" s="178"/>
      <c r="AJ3" s="178"/>
      <c r="AK3" s="178"/>
      <c r="AL3" s="178"/>
      <c r="AM3" s="178"/>
      <c r="AN3" s="178"/>
      <c r="AO3" s="178"/>
      <c r="AP3" s="178"/>
      <c r="AQ3" s="178"/>
      <c r="AR3" s="178"/>
      <c r="AS3" s="178"/>
      <c r="AT3" s="178"/>
      <c r="AU3" s="178"/>
      <c r="AV3" s="178"/>
      <c r="AW3" s="178"/>
      <c r="AX3" s="178"/>
      <c r="AY3" s="178"/>
      <c r="AZ3" s="178"/>
      <c r="BA3" s="178"/>
      <c r="BB3" s="178"/>
      <c r="BC3" s="178"/>
      <c r="BD3" s="178"/>
      <c r="BE3" s="178"/>
      <c r="BF3" s="178"/>
      <c r="BG3" s="178"/>
      <c r="BH3" s="178"/>
      <c r="BI3" s="178"/>
      <c r="BJ3" s="178"/>
      <c r="BK3" s="178"/>
      <c r="BL3" s="178"/>
      <c r="BM3" s="178"/>
      <c r="BN3" s="178"/>
      <c r="BO3" s="178"/>
      <c r="BP3" s="178"/>
      <c r="BQ3" s="178"/>
      <c r="BR3" s="178"/>
      <c r="BS3" s="178"/>
      <c r="BT3" s="178"/>
      <c r="BU3" s="178"/>
      <c r="BV3" s="178"/>
      <c r="BW3" s="178"/>
      <c r="BX3" s="178"/>
      <c r="BY3" s="178"/>
      <c r="BZ3" s="178"/>
      <c r="CA3" s="178"/>
      <c r="CB3" s="178"/>
      <c r="CC3" s="178"/>
      <c r="CD3" s="178"/>
      <c r="CE3" s="178"/>
      <c r="CF3" s="178"/>
      <c r="CG3" s="178"/>
      <c r="CH3" s="177"/>
      <c r="CI3" s="177"/>
      <c r="CJ3" s="177"/>
      <c r="CK3" s="177"/>
      <c r="CL3" s="177"/>
      <c r="CM3" s="177"/>
      <c r="CN3" s="177"/>
      <c r="CO3" s="179"/>
    </row>
    <row r="4" spans="1:93" s="87" customFormat="1" ht="50.1" customHeight="1" thickBot="1" x14ac:dyDescent="0.4">
      <c r="A4" s="155"/>
      <c r="B4" s="485" t="s">
        <v>146</v>
      </c>
      <c r="C4" s="486"/>
      <c r="D4" s="492"/>
      <c r="E4" s="472" t="s">
        <v>4550</v>
      </c>
      <c r="F4" s="487" t="str">
        <f>N_L1</f>
        <v>La Cumbre</v>
      </c>
      <c r="G4" s="477"/>
      <c r="H4" s="476">
        <f>N_L2</f>
        <v>0</v>
      </c>
      <c r="I4" s="477"/>
      <c r="J4" s="476">
        <f>N_L3</f>
        <v>0</v>
      </c>
      <c r="K4" s="477"/>
      <c r="L4" s="476">
        <f>N_L4</f>
        <v>0</v>
      </c>
      <c r="M4" s="477"/>
      <c r="N4" s="476">
        <f>N_L5</f>
        <v>0</v>
      </c>
      <c r="O4" s="477"/>
      <c r="P4" s="476">
        <f>N_L6</f>
        <v>0</v>
      </c>
      <c r="Q4" s="477"/>
      <c r="R4" s="476">
        <f>N_L7</f>
        <v>0</v>
      </c>
      <c r="S4" s="477"/>
      <c r="T4" s="476">
        <f>N_L8</f>
        <v>0</v>
      </c>
      <c r="U4" s="477"/>
      <c r="V4" s="476">
        <f>N_L9</f>
        <v>0</v>
      </c>
      <c r="W4" s="477"/>
      <c r="X4" s="476">
        <f>N_L10</f>
        <v>0</v>
      </c>
      <c r="Y4" s="477"/>
      <c r="Z4" s="476">
        <f>N_L11</f>
        <v>0</v>
      </c>
      <c r="AA4" s="477"/>
      <c r="AB4" s="476">
        <f>N_L12</f>
        <v>0</v>
      </c>
      <c r="AC4" s="477"/>
      <c r="AD4" s="476">
        <f>N_L13</f>
        <v>0</v>
      </c>
      <c r="AE4" s="477"/>
      <c r="AF4" s="476">
        <f>N_L14</f>
        <v>0</v>
      </c>
      <c r="AG4" s="477"/>
      <c r="AH4" s="476">
        <f>N_L15</f>
        <v>0</v>
      </c>
      <c r="AI4" s="477"/>
      <c r="AJ4" s="476">
        <f>N_L16</f>
        <v>0</v>
      </c>
      <c r="AK4" s="477"/>
      <c r="AL4" s="476">
        <f>N_L17</f>
        <v>0</v>
      </c>
      <c r="AM4" s="477"/>
      <c r="AN4" s="476">
        <f>N_L18</f>
        <v>0</v>
      </c>
      <c r="AO4" s="477"/>
      <c r="AP4" s="476">
        <f>N_L19</f>
        <v>0</v>
      </c>
      <c r="AQ4" s="477"/>
      <c r="AR4" s="476">
        <f>N_L20</f>
        <v>0</v>
      </c>
      <c r="AS4" s="477"/>
      <c r="AT4" s="476">
        <f>N_L21</f>
        <v>0</v>
      </c>
      <c r="AU4" s="477"/>
      <c r="AV4" s="476">
        <f>N_L22</f>
        <v>0</v>
      </c>
      <c r="AW4" s="477"/>
      <c r="AX4" s="476">
        <f>N_L23</f>
        <v>0</v>
      </c>
      <c r="AY4" s="477"/>
      <c r="AZ4" s="476">
        <f>N_L24</f>
        <v>0</v>
      </c>
      <c r="BA4" s="477"/>
      <c r="BB4" s="476">
        <f>N_L25</f>
        <v>0</v>
      </c>
      <c r="BC4" s="477"/>
      <c r="BD4" s="476">
        <f>N_L26</f>
        <v>0</v>
      </c>
      <c r="BE4" s="477"/>
      <c r="BF4" s="476">
        <f>N_L27</f>
        <v>0</v>
      </c>
      <c r="BG4" s="477"/>
      <c r="BH4" s="476">
        <f>N_L28</f>
        <v>0</v>
      </c>
      <c r="BI4" s="477"/>
      <c r="BJ4" s="476">
        <f>N_L29</f>
        <v>0</v>
      </c>
      <c r="BK4" s="477"/>
      <c r="BL4" s="476">
        <f>N_L30</f>
        <v>0</v>
      </c>
      <c r="BM4" s="477"/>
      <c r="BN4" s="476">
        <f>N_L31</f>
        <v>0</v>
      </c>
      <c r="BO4" s="477"/>
      <c r="BP4" s="476">
        <f>N_L32</f>
        <v>0</v>
      </c>
      <c r="BQ4" s="477"/>
      <c r="BR4" s="476">
        <f>N_L33</f>
        <v>0</v>
      </c>
      <c r="BS4" s="477"/>
      <c r="BT4" s="476">
        <f>N_L34</f>
        <v>0</v>
      </c>
      <c r="BU4" s="477"/>
      <c r="BV4" s="476">
        <f>N_L35</f>
        <v>0</v>
      </c>
      <c r="BW4" s="477"/>
      <c r="BX4" s="476">
        <f>N_L36</f>
        <v>0</v>
      </c>
      <c r="BY4" s="477"/>
      <c r="BZ4" s="476">
        <f>N_L37</f>
        <v>0</v>
      </c>
      <c r="CA4" s="477"/>
      <c r="CB4" s="476">
        <f>N_L38</f>
        <v>0</v>
      </c>
      <c r="CC4" s="477"/>
      <c r="CD4" s="476">
        <f>N_L39</f>
        <v>0</v>
      </c>
      <c r="CE4" s="477"/>
      <c r="CF4" s="476">
        <f>N_L40</f>
        <v>0</v>
      </c>
      <c r="CG4" s="477"/>
      <c r="CH4" s="472" t="s">
        <v>4551</v>
      </c>
      <c r="CI4" s="157" t="str">
        <f>'3'!$B$4</f>
        <v>Planta en producción pico: 350 qq Cereza por Mz.</v>
      </c>
      <c r="CJ4" s="158" t="str">
        <f>'3'!$C$4</f>
        <v>Planta en crecimiento y producción: 245 qq Cereza por Mz.</v>
      </c>
      <c r="CK4" s="158" t="str">
        <f>'3'!$D$4</f>
        <v>Plantas de menos de 2 Libras: 140 qq Cereza por Mz.</v>
      </c>
      <c r="CL4" s="158" t="str">
        <f>'3'!$E$4</f>
        <v>Plantas de menos de 2 Libras: 175 qq Cereza por Mz.</v>
      </c>
      <c r="CM4" s="158" t="s">
        <v>4524</v>
      </c>
      <c r="CN4" s="158" t="s">
        <v>4552</v>
      </c>
      <c r="CO4" s="159" t="s">
        <v>4553</v>
      </c>
    </row>
    <row r="5" spans="1:93" s="93" customFormat="1" ht="41.1" customHeight="1" thickBot="1" x14ac:dyDescent="0.4">
      <c r="A5" s="88" t="s">
        <v>86</v>
      </c>
      <c r="B5" s="89" t="s">
        <v>4554</v>
      </c>
      <c r="C5" s="89" t="s">
        <v>4555</v>
      </c>
      <c r="D5" s="89" t="s">
        <v>4556</v>
      </c>
      <c r="E5" s="475"/>
      <c r="F5" s="90" t="s">
        <v>4554</v>
      </c>
      <c r="G5" s="91" t="s">
        <v>4555</v>
      </c>
      <c r="H5" s="91" t="s">
        <v>4554</v>
      </c>
      <c r="I5" s="91" t="s">
        <v>4555</v>
      </c>
      <c r="J5" s="91" t="s">
        <v>4554</v>
      </c>
      <c r="K5" s="91" t="s">
        <v>4555</v>
      </c>
      <c r="L5" s="91" t="s">
        <v>4554</v>
      </c>
      <c r="M5" s="91" t="s">
        <v>4555</v>
      </c>
      <c r="N5" s="91" t="s">
        <v>4554</v>
      </c>
      <c r="O5" s="91" t="s">
        <v>4555</v>
      </c>
      <c r="P5" s="91" t="s">
        <v>4554</v>
      </c>
      <c r="Q5" s="91" t="s">
        <v>4555</v>
      </c>
      <c r="R5" s="91" t="s">
        <v>4554</v>
      </c>
      <c r="S5" s="91" t="s">
        <v>4555</v>
      </c>
      <c r="T5" s="91" t="s">
        <v>4554</v>
      </c>
      <c r="U5" s="91" t="s">
        <v>4555</v>
      </c>
      <c r="V5" s="91" t="s">
        <v>4554</v>
      </c>
      <c r="W5" s="91" t="s">
        <v>4555</v>
      </c>
      <c r="X5" s="91" t="s">
        <v>4554</v>
      </c>
      <c r="Y5" s="91" t="s">
        <v>4555</v>
      </c>
      <c r="Z5" s="91" t="s">
        <v>4554</v>
      </c>
      <c r="AA5" s="91" t="s">
        <v>4555</v>
      </c>
      <c r="AB5" s="91" t="s">
        <v>4554</v>
      </c>
      <c r="AC5" s="91" t="s">
        <v>4555</v>
      </c>
      <c r="AD5" s="91" t="s">
        <v>4554</v>
      </c>
      <c r="AE5" s="91" t="s">
        <v>4555</v>
      </c>
      <c r="AF5" s="91" t="s">
        <v>4554</v>
      </c>
      <c r="AG5" s="91" t="s">
        <v>4555</v>
      </c>
      <c r="AH5" s="91" t="s">
        <v>4554</v>
      </c>
      <c r="AI5" s="91" t="s">
        <v>4555</v>
      </c>
      <c r="AJ5" s="91" t="s">
        <v>4554</v>
      </c>
      <c r="AK5" s="91" t="s">
        <v>4555</v>
      </c>
      <c r="AL5" s="91" t="s">
        <v>4554</v>
      </c>
      <c r="AM5" s="91" t="s">
        <v>4555</v>
      </c>
      <c r="AN5" s="91" t="s">
        <v>4554</v>
      </c>
      <c r="AO5" s="91" t="s">
        <v>4555</v>
      </c>
      <c r="AP5" s="91" t="s">
        <v>4554</v>
      </c>
      <c r="AQ5" s="91" t="s">
        <v>4555</v>
      </c>
      <c r="AR5" s="91" t="s">
        <v>4554</v>
      </c>
      <c r="AS5" s="91" t="s">
        <v>4555</v>
      </c>
      <c r="AT5" s="91" t="s">
        <v>4554</v>
      </c>
      <c r="AU5" s="91" t="s">
        <v>4555</v>
      </c>
      <c r="AV5" s="91" t="s">
        <v>4554</v>
      </c>
      <c r="AW5" s="91" t="s">
        <v>4555</v>
      </c>
      <c r="AX5" s="91" t="s">
        <v>4554</v>
      </c>
      <c r="AY5" s="91" t="s">
        <v>4555</v>
      </c>
      <c r="AZ5" s="91" t="s">
        <v>4554</v>
      </c>
      <c r="BA5" s="91" t="s">
        <v>4555</v>
      </c>
      <c r="BB5" s="91" t="s">
        <v>4554</v>
      </c>
      <c r="BC5" s="91" t="s">
        <v>4555</v>
      </c>
      <c r="BD5" s="91" t="s">
        <v>4554</v>
      </c>
      <c r="BE5" s="91" t="s">
        <v>4555</v>
      </c>
      <c r="BF5" s="91" t="s">
        <v>4554</v>
      </c>
      <c r="BG5" s="91" t="s">
        <v>4555</v>
      </c>
      <c r="BH5" s="91" t="s">
        <v>4554</v>
      </c>
      <c r="BI5" s="91" t="s">
        <v>4555</v>
      </c>
      <c r="BJ5" s="91" t="s">
        <v>4554</v>
      </c>
      <c r="BK5" s="91" t="s">
        <v>4555</v>
      </c>
      <c r="BL5" s="91" t="s">
        <v>4554</v>
      </c>
      <c r="BM5" s="91" t="s">
        <v>4555</v>
      </c>
      <c r="BN5" s="91" t="s">
        <v>4554</v>
      </c>
      <c r="BO5" s="91" t="s">
        <v>4555</v>
      </c>
      <c r="BP5" s="91" t="s">
        <v>4554</v>
      </c>
      <c r="BQ5" s="91" t="s">
        <v>4555</v>
      </c>
      <c r="BR5" s="91" t="s">
        <v>4554</v>
      </c>
      <c r="BS5" s="91" t="s">
        <v>4555</v>
      </c>
      <c r="BT5" s="91" t="s">
        <v>4554</v>
      </c>
      <c r="BU5" s="91" t="s">
        <v>4555</v>
      </c>
      <c r="BV5" s="91" t="s">
        <v>4554</v>
      </c>
      <c r="BW5" s="91" t="s">
        <v>4555</v>
      </c>
      <c r="BX5" s="91" t="s">
        <v>4554</v>
      </c>
      <c r="BY5" s="91" t="s">
        <v>4555</v>
      </c>
      <c r="BZ5" s="91" t="s">
        <v>4554</v>
      </c>
      <c r="CA5" s="91" t="s">
        <v>4555</v>
      </c>
      <c r="CB5" s="91" t="s">
        <v>4554</v>
      </c>
      <c r="CC5" s="91" t="s">
        <v>4555</v>
      </c>
      <c r="CD5" s="91" t="s">
        <v>4554</v>
      </c>
      <c r="CE5" s="91" t="s">
        <v>4555</v>
      </c>
      <c r="CF5" s="91" t="s">
        <v>4554</v>
      </c>
      <c r="CG5" s="91" t="s">
        <v>4555</v>
      </c>
      <c r="CH5" s="473"/>
      <c r="CI5" s="90" t="s">
        <v>4554</v>
      </c>
      <c r="CJ5" s="91" t="s">
        <v>4554</v>
      </c>
      <c r="CK5" s="91" t="s">
        <v>4554</v>
      </c>
      <c r="CL5" s="91" t="s">
        <v>4554</v>
      </c>
      <c r="CM5" s="91" t="s">
        <v>4554</v>
      </c>
      <c r="CN5" s="91" t="s">
        <v>4554</v>
      </c>
      <c r="CO5" s="92" t="s">
        <v>4554</v>
      </c>
    </row>
    <row r="6" spans="1:93" s="94" customFormat="1" ht="27" customHeight="1" thickBot="1" x14ac:dyDescent="0.35">
      <c r="A6" s="180" t="s">
        <v>4521</v>
      </c>
      <c r="B6" s="181"/>
      <c r="C6" s="181"/>
      <c r="D6" s="182"/>
      <c r="E6" s="475"/>
      <c r="F6" s="183"/>
      <c r="G6" s="181"/>
      <c r="H6" s="181"/>
      <c r="I6" s="181"/>
      <c r="J6" s="181"/>
      <c r="K6" s="181"/>
      <c r="L6" s="181"/>
      <c r="M6" s="181"/>
      <c r="N6" s="181"/>
      <c r="O6" s="181"/>
      <c r="P6" s="181"/>
      <c r="Q6" s="181"/>
      <c r="R6" s="181"/>
      <c r="S6" s="181"/>
      <c r="T6" s="181"/>
      <c r="U6" s="181"/>
      <c r="V6" s="181"/>
      <c r="W6" s="181"/>
      <c r="X6" s="181"/>
      <c r="Y6" s="181"/>
      <c r="Z6" s="181"/>
      <c r="AA6" s="181"/>
      <c r="AB6" s="181"/>
      <c r="AC6" s="181"/>
      <c r="AD6" s="181"/>
      <c r="AE6" s="181"/>
      <c r="AF6" s="181"/>
      <c r="AG6" s="181"/>
      <c r="AH6" s="181"/>
      <c r="AI6" s="181"/>
      <c r="AJ6" s="181"/>
      <c r="AK6" s="181"/>
      <c r="AL6" s="181"/>
      <c r="AM6" s="181"/>
      <c r="AN6" s="181"/>
      <c r="AO6" s="181"/>
      <c r="AP6" s="181"/>
      <c r="AQ6" s="181"/>
      <c r="AR6" s="181"/>
      <c r="AS6" s="181"/>
      <c r="AT6" s="181"/>
      <c r="AU6" s="181"/>
      <c r="AV6" s="181"/>
      <c r="AW6" s="181"/>
      <c r="AX6" s="181"/>
      <c r="AY6" s="181"/>
      <c r="AZ6" s="181"/>
      <c r="BA6" s="181"/>
      <c r="BB6" s="181"/>
      <c r="BC6" s="181"/>
      <c r="BD6" s="181"/>
      <c r="BE6" s="181"/>
      <c r="BF6" s="181"/>
      <c r="BG6" s="181"/>
      <c r="BH6" s="181"/>
      <c r="BI6" s="181"/>
      <c r="BJ6" s="181"/>
      <c r="BK6" s="181"/>
      <c r="BL6" s="181"/>
      <c r="BM6" s="181"/>
      <c r="BN6" s="181"/>
      <c r="BO6" s="181"/>
      <c r="BP6" s="181"/>
      <c r="BQ6" s="181"/>
      <c r="BR6" s="181"/>
      <c r="BS6" s="181"/>
      <c r="BT6" s="181"/>
      <c r="BU6" s="181"/>
      <c r="BV6" s="181"/>
      <c r="BW6" s="181"/>
      <c r="BX6" s="181"/>
      <c r="BY6" s="181"/>
      <c r="BZ6" s="181"/>
      <c r="CA6" s="181"/>
      <c r="CB6" s="181"/>
      <c r="CC6" s="181"/>
      <c r="CD6" s="181"/>
      <c r="CE6" s="181"/>
      <c r="CF6" s="181"/>
      <c r="CG6" s="181"/>
      <c r="CH6" s="473"/>
      <c r="CI6" s="183"/>
      <c r="CJ6" s="181"/>
      <c r="CK6" s="181"/>
      <c r="CL6" s="181"/>
      <c r="CM6" s="181"/>
      <c r="CN6" s="181"/>
      <c r="CO6" s="182"/>
    </row>
    <row r="7" spans="1:93" s="99" customFormat="1" ht="30.95" customHeight="1" x14ac:dyDescent="0.3">
      <c r="A7" s="95" t="str">
        <f>CONCATENATE("Producción qq Uva |",ROUND(B7/Area,1)," qq por ",UMp)</f>
        <v>Producción qq Uva |0 qq por Mz.</v>
      </c>
      <c r="B7" s="96">
        <f>SUM(CI7:CN7)</f>
        <v>0</v>
      </c>
      <c r="C7" s="96" t="e">
        <f>C40/CUI_Corte</f>
        <v>#DIV/0!</v>
      </c>
      <c r="D7" s="96" t="e">
        <f>C7-B7</f>
        <v>#DIV/0!</v>
      </c>
      <c r="E7" s="475"/>
      <c r="F7" s="97">
        <f>P_A12_L1</f>
        <v>0</v>
      </c>
      <c r="G7" s="96" t="e">
        <f>G40/CUI_Corte</f>
        <v>#DIV/0!</v>
      </c>
      <c r="H7" s="97">
        <f>P_A12_L2</f>
        <v>0</v>
      </c>
      <c r="I7" s="96" t="e">
        <f>I40/CUI_Corte</f>
        <v>#DIV/0!</v>
      </c>
      <c r="J7" s="97">
        <f>P_A12_L3</f>
        <v>0</v>
      </c>
      <c r="K7" s="96" t="e">
        <f>K40/CUI_Corte</f>
        <v>#DIV/0!</v>
      </c>
      <c r="L7" s="97">
        <f>P_A12_L4</f>
        <v>0</v>
      </c>
      <c r="M7" s="96" t="e">
        <f>M40/CUI_Corte</f>
        <v>#DIV/0!</v>
      </c>
      <c r="N7" s="97">
        <f>P_A12_L5</f>
        <v>0</v>
      </c>
      <c r="O7" s="96" t="e">
        <f>O40/CUI_Corte</f>
        <v>#DIV/0!</v>
      </c>
      <c r="P7" s="97">
        <f>P_A12_L6</f>
        <v>0</v>
      </c>
      <c r="Q7" s="96" t="e">
        <f>Q40/CUI_Corte</f>
        <v>#DIV/0!</v>
      </c>
      <c r="R7" s="97">
        <f>P_A12_L7</f>
        <v>0</v>
      </c>
      <c r="S7" s="96" t="e">
        <f>S40/CUI_Corte</f>
        <v>#DIV/0!</v>
      </c>
      <c r="T7" s="97">
        <f>P_A12_L8</f>
        <v>0</v>
      </c>
      <c r="U7" s="96" t="e">
        <f>U40/CUI_Corte</f>
        <v>#DIV/0!</v>
      </c>
      <c r="V7" s="97">
        <f>P_A12_L9</f>
        <v>0</v>
      </c>
      <c r="W7" s="96" t="e">
        <f>W40/CUI_Corte</f>
        <v>#DIV/0!</v>
      </c>
      <c r="X7" s="97">
        <f>P_A12_L10</f>
        <v>0</v>
      </c>
      <c r="Y7" s="96" t="e">
        <f>Y40/CUI_Corte</f>
        <v>#DIV/0!</v>
      </c>
      <c r="Z7" s="97">
        <f>P_A12_L11</f>
        <v>0</v>
      </c>
      <c r="AA7" s="96" t="e">
        <f>AA40/CUI_Corte</f>
        <v>#DIV/0!</v>
      </c>
      <c r="AB7" s="97">
        <f>P_A12_L12</f>
        <v>0</v>
      </c>
      <c r="AC7" s="96" t="e">
        <f>AC40/CUI_Corte</f>
        <v>#DIV/0!</v>
      </c>
      <c r="AD7" s="97">
        <f>P_A12_L13</f>
        <v>0</v>
      </c>
      <c r="AE7" s="96" t="e">
        <f>AE40/CUI_Corte</f>
        <v>#DIV/0!</v>
      </c>
      <c r="AF7" s="97">
        <f>P_A12_L14</f>
        <v>0</v>
      </c>
      <c r="AG7" s="96" t="e">
        <f>AG40/CUI_Corte</f>
        <v>#DIV/0!</v>
      </c>
      <c r="AH7" s="97">
        <f>P_A12_L15</f>
        <v>0</v>
      </c>
      <c r="AI7" s="96" t="e">
        <f>AI40/CUI_Corte</f>
        <v>#DIV/0!</v>
      </c>
      <c r="AJ7" s="97">
        <f>P_A12_L16</f>
        <v>0</v>
      </c>
      <c r="AK7" s="96" t="e">
        <f>AK40/CUI_Corte</f>
        <v>#DIV/0!</v>
      </c>
      <c r="AL7" s="97">
        <f>P_A12_L17</f>
        <v>0</v>
      </c>
      <c r="AM7" s="96" t="e">
        <f>AM40/CUI_Corte</f>
        <v>#DIV/0!</v>
      </c>
      <c r="AN7" s="97">
        <f>P_A12_L18</f>
        <v>0</v>
      </c>
      <c r="AO7" s="96" t="e">
        <f>AO40/CUI_Corte</f>
        <v>#DIV/0!</v>
      </c>
      <c r="AP7" s="97">
        <f>P_A12_L19</f>
        <v>0</v>
      </c>
      <c r="AQ7" s="96" t="e">
        <f>AQ40/CUI_Corte</f>
        <v>#DIV/0!</v>
      </c>
      <c r="AR7" s="97">
        <f>P_A12_L20</f>
        <v>0</v>
      </c>
      <c r="AS7" s="96" t="e">
        <f>AS40/CUI_Corte</f>
        <v>#DIV/0!</v>
      </c>
      <c r="AT7" s="97">
        <f>P_A12_L21</f>
        <v>0</v>
      </c>
      <c r="AU7" s="96" t="e">
        <f>AU40/CUI_Corte</f>
        <v>#DIV/0!</v>
      </c>
      <c r="AV7" s="97">
        <f>P_A12_L22</f>
        <v>0</v>
      </c>
      <c r="AW7" s="96" t="e">
        <f>AW40/CUI_Corte</f>
        <v>#DIV/0!</v>
      </c>
      <c r="AX7" s="97">
        <f>P_A12_L23</f>
        <v>0</v>
      </c>
      <c r="AY7" s="96" t="e">
        <f>AY40/CUI_Corte</f>
        <v>#DIV/0!</v>
      </c>
      <c r="AZ7" s="97">
        <f>P_A12_L24</f>
        <v>0</v>
      </c>
      <c r="BA7" s="96" t="e">
        <f>BA40/CUI_Corte</f>
        <v>#DIV/0!</v>
      </c>
      <c r="BB7" s="97">
        <f>P_A12_L25</f>
        <v>0</v>
      </c>
      <c r="BC7" s="96" t="e">
        <f>BC40/CUI_Corte</f>
        <v>#DIV/0!</v>
      </c>
      <c r="BD7" s="97">
        <f>P_A12_L26</f>
        <v>0</v>
      </c>
      <c r="BE7" s="96" t="e">
        <f>BE40/CUI_Corte</f>
        <v>#DIV/0!</v>
      </c>
      <c r="BF7" s="97">
        <f>P_A12_L27</f>
        <v>0</v>
      </c>
      <c r="BG7" s="96" t="e">
        <f>BG40/CUI_Corte</f>
        <v>#DIV/0!</v>
      </c>
      <c r="BH7" s="97">
        <f>P_A12_L28</f>
        <v>0</v>
      </c>
      <c r="BI7" s="96" t="e">
        <f>BI40/CUI_Corte</f>
        <v>#DIV/0!</v>
      </c>
      <c r="BJ7" s="97">
        <f>P_A12_L29</f>
        <v>0</v>
      </c>
      <c r="BK7" s="96" t="e">
        <f>BK40/CUI_Corte</f>
        <v>#DIV/0!</v>
      </c>
      <c r="BL7" s="97">
        <f>P_A12_L30</f>
        <v>0</v>
      </c>
      <c r="BM7" s="96" t="e">
        <f>BM40/CUI_Corte</f>
        <v>#DIV/0!</v>
      </c>
      <c r="BN7" s="97">
        <f>P_A12_L31</f>
        <v>0</v>
      </c>
      <c r="BO7" s="96" t="e">
        <f>BO40/CUI_Corte</f>
        <v>#DIV/0!</v>
      </c>
      <c r="BP7" s="97">
        <f>P_A12_L32</f>
        <v>0</v>
      </c>
      <c r="BQ7" s="96" t="e">
        <f>BQ40/CUI_Corte</f>
        <v>#DIV/0!</v>
      </c>
      <c r="BR7" s="97">
        <f>P_A12_L33</f>
        <v>0</v>
      </c>
      <c r="BS7" s="96" t="e">
        <f>BS40/CUI_Corte</f>
        <v>#DIV/0!</v>
      </c>
      <c r="BT7" s="97">
        <f>P_A12_L34</f>
        <v>0</v>
      </c>
      <c r="BU7" s="96" t="e">
        <f>BU40/CUI_Corte</f>
        <v>#DIV/0!</v>
      </c>
      <c r="BV7" s="97">
        <f>P_A12_L35</f>
        <v>0</v>
      </c>
      <c r="BW7" s="96" t="e">
        <f>BW40/CUI_Corte</f>
        <v>#DIV/0!</v>
      </c>
      <c r="BX7" s="97">
        <f>P_A12_L36</f>
        <v>0</v>
      </c>
      <c r="BY7" s="96" t="e">
        <f>BY40/CUI_Corte</f>
        <v>#DIV/0!</v>
      </c>
      <c r="BZ7" s="97">
        <f>P_A12_L37</f>
        <v>0</v>
      </c>
      <c r="CA7" s="96" t="e">
        <f>CA40/CUI_Corte</f>
        <v>#DIV/0!</v>
      </c>
      <c r="CB7" s="97">
        <f>P_A12_L38</f>
        <v>0</v>
      </c>
      <c r="CC7" s="96" t="e">
        <f>CC40/CUI_Corte</f>
        <v>#DIV/0!</v>
      </c>
      <c r="CD7" s="97">
        <f>P_A12_L39</f>
        <v>0</v>
      </c>
      <c r="CE7" s="96" t="e">
        <f>CE40/CUI_Corte</f>
        <v>#DIV/0!</v>
      </c>
      <c r="CF7" s="97">
        <f>P_A12_L40</f>
        <v>0</v>
      </c>
      <c r="CG7" s="96" t="e">
        <f>CG40/CUI_Corte</f>
        <v>#DIV/0!</v>
      </c>
      <c r="CH7" s="473"/>
      <c r="CI7" s="96">
        <f>(IF(Diseño="Bloque",Bloque_A12_A,Surco_A12_A)/100)</f>
        <v>0</v>
      </c>
      <c r="CJ7" s="96">
        <f>(IF(Diseño="Bloque",Bloque_A12_B,Surco_A12_B)/100)</f>
        <v>0</v>
      </c>
      <c r="CK7" s="96">
        <f>(IF(Diseño="Bloque",Bloque_A12_C,Surco_A12_C)/100)</f>
        <v>0</v>
      </c>
      <c r="CL7" s="96">
        <f>(IF(Diseño="Bloque",Bloque_A12_D,Surco_A12_D)/100)</f>
        <v>0</v>
      </c>
      <c r="CM7" s="96"/>
      <c r="CN7" s="96">
        <f>(IF(Diseño="Bloque",Bloque_A12_Y,Surco_A12_Y)/100)</f>
        <v>0</v>
      </c>
      <c r="CO7" s="98">
        <v>0</v>
      </c>
    </row>
    <row r="8" spans="1:93" s="99" customFormat="1" ht="30.95" customHeight="1" x14ac:dyDescent="0.3">
      <c r="A8" s="60" t="str">
        <f>CONCATENATE("Ventas de café de primera:  ", P_Primera *100,"%"," | Q. ",Precio_A12,".00")</f>
        <v>Ventas de café de primera:  0% | Q. .00</v>
      </c>
      <c r="B8" s="100">
        <f>B7*P_Primera*Precio_A12*Inflación_12</f>
        <v>0</v>
      </c>
      <c r="C8" s="100" t="e">
        <f>C7*P_Primera*Precio_A12</f>
        <v>#DIV/0!</v>
      </c>
      <c r="D8" s="100" t="e">
        <f>C8-B8</f>
        <v>#DIV/0!</v>
      </c>
      <c r="E8" s="475"/>
      <c r="F8" s="101">
        <f>P_A12_L1*P_Primera*Precio_A12*Inflación_12</f>
        <v>0</v>
      </c>
      <c r="G8" s="100" t="e">
        <f>G7*P_Primera*Precio_A12</f>
        <v>#DIV/0!</v>
      </c>
      <c r="H8" s="101">
        <f>P_A12_L2*P_Primera*Precio_A12*Inflación_12</f>
        <v>0</v>
      </c>
      <c r="I8" s="100" t="e">
        <f>I7*P_Primera*Precio_A12</f>
        <v>#DIV/0!</v>
      </c>
      <c r="J8" s="101">
        <f>P_A12_L3*P_Primera*Precio_A12*Inflación_12</f>
        <v>0</v>
      </c>
      <c r="K8" s="100" t="e">
        <f>K7*P_Primera*Precio_A12</f>
        <v>#DIV/0!</v>
      </c>
      <c r="L8" s="101">
        <f>P_A12_L4*P_Primera*Precio_A12*Inflación_12</f>
        <v>0</v>
      </c>
      <c r="M8" s="100" t="e">
        <f>M7*P_Primera*Precio_A12</f>
        <v>#DIV/0!</v>
      </c>
      <c r="N8" s="101">
        <f>P_A12_L5*P_Primera*Precio_A12*Inflación_12</f>
        <v>0</v>
      </c>
      <c r="O8" s="100" t="e">
        <f>O7*P_Primera*Precio_A12</f>
        <v>#DIV/0!</v>
      </c>
      <c r="P8" s="101">
        <f>P_A12_L6*P_Primera*Precio_A12*Inflación_12</f>
        <v>0</v>
      </c>
      <c r="Q8" s="100" t="e">
        <f>Q7*P_Primera*Precio_A12</f>
        <v>#DIV/0!</v>
      </c>
      <c r="R8" s="101">
        <f>P_A12_L7*P_Primera*Precio_A12*Inflación_12</f>
        <v>0</v>
      </c>
      <c r="S8" s="100" t="e">
        <f>S7*P_Primera*Precio_A12</f>
        <v>#DIV/0!</v>
      </c>
      <c r="T8" s="101">
        <f>P_A12_L8*P_Primera*Precio_A12*Inflación_12</f>
        <v>0</v>
      </c>
      <c r="U8" s="100" t="e">
        <f>U7*P_Primera*Precio_A12</f>
        <v>#DIV/0!</v>
      </c>
      <c r="V8" s="101">
        <f>P_A12_L9*P_Primera*Precio_A12*Inflación_12</f>
        <v>0</v>
      </c>
      <c r="W8" s="100" t="e">
        <f>W7*P_Primera*Precio_A12</f>
        <v>#DIV/0!</v>
      </c>
      <c r="X8" s="101">
        <f>P_A12_L10*P_Primera*Precio_A12*Inflación_12</f>
        <v>0</v>
      </c>
      <c r="Y8" s="100" t="e">
        <f>Y7*P_Primera*Precio_A12</f>
        <v>#DIV/0!</v>
      </c>
      <c r="Z8" s="101">
        <f>P_A12_L11*P_Primera*Precio_A12*Inflación_12</f>
        <v>0</v>
      </c>
      <c r="AA8" s="100" t="e">
        <f>AA7*P_Primera*Precio_A12</f>
        <v>#DIV/0!</v>
      </c>
      <c r="AB8" s="101">
        <f>P_A12_L12*P_Primera*Precio_A12*Inflación_12</f>
        <v>0</v>
      </c>
      <c r="AC8" s="100" t="e">
        <f>AC7*P_Primera*Precio_A12</f>
        <v>#DIV/0!</v>
      </c>
      <c r="AD8" s="101">
        <f>P_A12_L13*P_Primera*Precio_A12*Inflación_12</f>
        <v>0</v>
      </c>
      <c r="AE8" s="100" t="e">
        <f>AE7*P_Primera*Precio_A12</f>
        <v>#DIV/0!</v>
      </c>
      <c r="AF8" s="101">
        <f>P_A12_L14*P_Primera*Precio_A12*Inflación_12</f>
        <v>0</v>
      </c>
      <c r="AG8" s="100" t="e">
        <f>AG7*P_Primera*Precio_A12</f>
        <v>#DIV/0!</v>
      </c>
      <c r="AH8" s="101">
        <f>P_A12_L15*P_Primera*Precio_A12*Inflación_12</f>
        <v>0</v>
      </c>
      <c r="AI8" s="100" t="e">
        <f>AI7*P_Primera*Precio_A12</f>
        <v>#DIV/0!</v>
      </c>
      <c r="AJ8" s="101">
        <f>P_A12_L16*P_Primera*Precio_A12*Inflación_12</f>
        <v>0</v>
      </c>
      <c r="AK8" s="100" t="e">
        <f>AK7*P_Primera*Precio_A12</f>
        <v>#DIV/0!</v>
      </c>
      <c r="AL8" s="101">
        <f>P_A12_L17*P_Primera*Precio_A12*Inflación_12</f>
        <v>0</v>
      </c>
      <c r="AM8" s="100" t="e">
        <f>AM7*P_Primera*Precio_A12</f>
        <v>#DIV/0!</v>
      </c>
      <c r="AN8" s="101">
        <f>P_A12_L18*P_Primera*Precio_A12*Inflación_12</f>
        <v>0</v>
      </c>
      <c r="AO8" s="100" t="e">
        <f>AO7*P_Primera*Precio_A12</f>
        <v>#DIV/0!</v>
      </c>
      <c r="AP8" s="101">
        <f>P_A12_L19*P_Primera*Precio_A12*Inflación_12</f>
        <v>0</v>
      </c>
      <c r="AQ8" s="100" t="e">
        <f>AQ7*P_Primera*Precio_A12</f>
        <v>#DIV/0!</v>
      </c>
      <c r="AR8" s="101">
        <f>P_A12_L20*P_Primera*Precio_A12*Inflación_12</f>
        <v>0</v>
      </c>
      <c r="AS8" s="100" t="e">
        <f>AS7*P_Primera*Precio_A12</f>
        <v>#DIV/0!</v>
      </c>
      <c r="AT8" s="101">
        <f>P_A12_L21*P_Primera*Precio_A12*Inflación_12</f>
        <v>0</v>
      </c>
      <c r="AU8" s="100" t="e">
        <f>AU7*P_Primera*Precio_A12</f>
        <v>#DIV/0!</v>
      </c>
      <c r="AV8" s="101">
        <f>P_A12_L22*P_Primera*Precio_A12*Inflación_12</f>
        <v>0</v>
      </c>
      <c r="AW8" s="100" t="e">
        <f>AW7*P_Primera*Precio_A12</f>
        <v>#DIV/0!</v>
      </c>
      <c r="AX8" s="101">
        <f>P_A12_L23*P_Primera*Precio_A12*Inflación_12</f>
        <v>0</v>
      </c>
      <c r="AY8" s="100" t="e">
        <f>AY7*P_Primera*Precio_A12</f>
        <v>#DIV/0!</v>
      </c>
      <c r="AZ8" s="101">
        <f>P_A12_L24*P_Primera*Precio_A12*Inflación_12</f>
        <v>0</v>
      </c>
      <c r="BA8" s="100" t="e">
        <f>BA7*P_Primera*Precio_A12</f>
        <v>#DIV/0!</v>
      </c>
      <c r="BB8" s="101">
        <f>P_A12_L25*P_Primera*Precio_A12*Inflación_12</f>
        <v>0</v>
      </c>
      <c r="BC8" s="100" t="e">
        <f>BC7*P_Primera*Precio_A12</f>
        <v>#DIV/0!</v>
      </c>
      <c r="BD8" s="101">
        <f>P_A12_L26*P_Primera*Precio_A12*Inflación_12</f>
        <v>0</v>
      </c>
      <c r="BE8" s="100" t="e">
        <f>BE7*P_Primera*Precio_A12</f>
        <v>#DIV/0!</v>
      </c>
      <c r="BF8" s="101">
        <f>P_A12_L27*P_Primera*Precio_A12*Inflación_12</f>
        <v>0</v>
      </c>
      <c r="BG8" s="100" t="e">
        <f>BG7*P_Primera*Precio_A12</f>
        <v>#DIV/0!</v>
      </c>
      <c r="BH8" s="101">
        <f>P_A12_L28*P_Primera*Precio_A12*Inflación_12</f>
        <v>0</v>
      </c>
      <c r="BI8" s="100" t="e">
        <f>BI7*P_Primera*Precio_A12</f>
        <v>#DIV/0!</v>
      </c>
      <c r="BJ8" s="101">
        <f>P_A12_L29*P_Primera*Precio_A12*Inflación_12</f>
        <v>0</v>
      </c>
      <c r="BK8" s="100" t="e">
        <f>BK7*P_Primera*Precio_A12</f>
        <v>#DIV/0!</v>
      </c>
      <c r="BL8" s="101">
        <f>P_A12_L30*P_Primera*Precio_A12*Inflación_12</f>
        <v>0</v>
      </c>
      <c r="BM8" s="100" t="e">
        <f>BM7*P_Primera*Precio_A12</f>
        <v>#DIV/0!</v>
      </c>
      <c r="BN8" s="101">
        <f>P_A12_L31*P_Primera*Precio_A12*Inflación_12</f>
        <v>0</v>
      </c>
      <c r="BO8" s="100" t="e">
        <f>BO7*P_Primera*Precio_A12</f>
        <v>#DIV/0!</v>
      </c>
      <c r="BP8" s="101">
        <f>P_A12_L32*P_Primera*Precio_A12*Inflación_12</f>
        <v>0</v>
      </c>
      <c r="BQ8" s="100" t="e">
        <f>BQ7*P_Primera*Precio_A12</f>
        <v>#DIV/0!</v>
      </c>
      <c r="BR8" s="101">
        <f>P_A12_L33*P_Primera*Precio_A12*Inflación_12</f>
        <v>0</v>
      </c>
      <c r="BS8" s="100" t="e">
        <f>BS7*P_Primera*Precio_A12</f>
        <v>#DIV/0!</v>
      </c>
      <c r="BT8" s="101">
        <f>P_A12_L34*P_Primera*Precio_A12*Inflación_12</f>
        <v>0</v>
      </c>
      <c r="BU8" s="100" t="e">
        <f>BU7*P_Primera*Precio_A12</f>
        <v>#DIV/0!</v>
      </c>
      <c r="BV8" s="101">
        <f>P_A12_L35*P_Primera*Precio_A12*Inflación_12</f>
        <v>0</v>
      </c>
      <c r="BW8" s="100" t="e">
        <f>BW7*P_Primera*Precio_A12</f>
        <v>#DIV/0!</v>
      </c>
      <c r="BX8" s="101">
        <f>P_A12_L36*P_Primera*Precio_A12*Inflación_12</f>
        <v>0</v>
      </c>
      <c r="BY8" s="100" t="e">
        <f>BY7*P_Primera*Precio_A12</f>
        <v>#DIV/0!</v>
      </c>
      <c r="BZ8" s="101">
        <f>P_A12_L37*P_Primera*Precio_A12*Inflación_12</f>
        <v>0</v>
      </c>
      <c r="CA8" s="100" t="e">
        <f>CA7*P_Primera*Precio_A12</f>
        <v>#DIV/0!</v>
      </c>
      <c r="CB8" s="101">
        <f>P_A12_L38*P_Primera*Precio_A12*Inflación_12</f>
        <v>0</v>
      </c>
      <c r="CC8" s="100" t="e">
        <f>CC7*P_Primera*Precio_A12</f>
        <v>#DIV/0!</v>
      </c>
      <c r="CD8" s="101">
        <f>P_A12_L39*P_Primera*Precio_A12*Inflación_12</f>
        <v>0</v>
      </c>
      <c r="CE8" s="100" t="e">
        <f>CE7*P_Primera*Precio_A12</f>
        <v>#DIV/0!</v>
      </c>
      <c r="CF8" s="101">
        <f>P_A12_L40*P_Primera*Precio_A12*Inflación_12</f>
        <v>0</v>
      </c>
      <c r="CG8" s="100" t="e">
        <f>CG7*P_Primera*Precio_A12</f>
        <v>#DIV/0!</v>
      </c>
      <c r="CH8" s="473"/>
      <c r="CI8" s="101">
        <f>CI7*P_Primera*Precio_A12*Inflación_12</f>
        <v>0</v>
      </c>
      <c r="CJ8" s="101">
        <f>CJ7*P_Primera*Precio_A12*Inflación_12</f>
        <v>0</v>
      </c>
      <c r="CK8" s="101">
        <f>CK7*P_Primera*Precio_A12*Inflación_12</f>
        <v>0</v>
      </c>
      <c r="CL8" s="101">
        <f>CL7*P_Primera*Precio_A12*Inflación_12</f>
        <v>0</v>
      </c>
      <c r="CM8" s="101"/>
      <c r="CN8" s="101">
        <f>CN7*P_Primera*Precio_A12*Inflación_12</f>
        <v>0</v>
      </c>
      <c r="CO8" s="102">
        <v>0</v>
      </c>
    </row>
    <row r="9" spans="1:93" s="99" customFormat="1" ht="30.95" customHeight="1" x14ac:dyDescent="0.3">
      <c r="A9" s="60" t="str">
        <f>CONCATENATE("Ventas de café de segunda:  ", P_Segunda*100,"% | Q. ",Segunda,".00")</f>
        <v>Ventas de café de segunda:  0% | Q. .00</v>
      </c>
      <c r="B9" s="100">
        <f>B7*P_Segunda*Segunda*Inflación_12</f>
        <v>0</v>
      </c>
      <c r="C9" s="100" t="e">
        <f t="shared" ref="C9" si="0">C7*P_Segunda*Segunda</f>
        <v>#DIV/0!</v>
      </c>
      <c r="D9" s="100" t="e">
        <f t="shared" ref="D9:D11" si="1">C9-B9</f>
        <v>#DIV/0!</v>
      </c>
      <c r="E9" s="475"/>
      <c r="F9" s="101">
        <f>P_A12_L1*P_Segunda*Segunda*Inflación_12</f>
        <v>0</v>
      </c>
      <c r="G9" s="100" t="e">
        <f t="shared" ref="G9" si="2">G7*P_Segunda*Segunda</f>
        <v>#DIV/0!</v>
      </c>
      <c r="H9" s="101">
        <f>P_A12_L2*P_Segunda*Segunda*Inflación_12</f>
        <v>0</v>
      </c>
      <c r="I9" s="100" t="e">
        <f>I7*P_Segunda*Segunda</f>
        <v>#DIV/0!</v>
      </c>
      <c r="J9" s="101">
        <f>P_A12_L3*P_Segunda*Segunda*Inflación_12</f>
        <v>0</v>
      </c>
      <c r="K9" s="100" t="e">
        <f t="shared" ref="K9" si="3">K7*P_Segunda*Segunda</f>
        <v>#DIV/0!</v>
      </c>
      <c r="L9" s="101">
        <f>P_A12_L4*P_Segunda*Segunda*Inflación_12</f>
        <v>0</v>
      </c>
      <c r="M9" s="100" t="e">
        <f>M7*P_Segunda*Segunda</f>
        <v>#DIV/0!</v>
      </c>
      <c r="N9" s="101">
        <f>P_A12_L5*P_Segunda*Segunda*Inflación_12</f>
        <v>0</v>
      </c>
      <c r="O9" s="100" t="e">
        <f t="shared" ref="O9:Q9" si="4">O7*P_Segunda*Segunda</f>
        <v>#DIV/0!</v>
      </c>
      <c r="P9" s="101">
        <f>P_A12_L6*P_Segunda*Segunda*Inflación_12</f>
        <v>0</v>
      </c>
      <c r="Q9" s="100" t="e">
        <f t="shared" si="4"/>
        <v>#DIV/0!</v>
      </c>
      <c r="R9" s="101">
        <f>P_A12_L7*P_Segunda*Segunda*Inflación_12</f>
        <v>0</v>
      </c>
      <c r="S9" s="100" t="e">
        <f t="shared" ref="S9:U9" si="5">S7*P_Segunda*Segunda</f>
        <v>#DIV/0!</v>
      </c>
      <c r="T9" s="101">
        <f>P_A12_L8*P_Segunda*Segunda*Inflación_12</f>
        <v>0</v>
      </c>
      <c r="U9" s="100" t="e">
        <f t="shared" si="5"/>
        <v>#DIV/0!</v>
      </c>
      <c r="V9" s="101">
        <f>P_A12_L9*P_Segunda*Segunda*Inflación_12</f>
        <v>0</v>
      </c>
      <c r="W9" s="100" t="e">
        <f t="shared" ref="W9:Y9" si="6">W7*P_Segunda*Segunda</f>
        <v>#DIV/0!</v>
      </c>
      <c r="X9" s="101">
        <f>P_A12_L10*P_Segunda*Segunda*Inflación_12</f>
        <v>0</v>
      </c>
      <c r="Y9" s="100" t="e">
        <f t="shared" si="6"/>
        <v>#DIV/0!</v>
      </c>
      <c r="Z9" s="101">
        <f>P_A12_L11*P_Segunda*Segunda*Inflación_12</f>
        <v>0</v>
      </c>
      <c r="AA9" s="100" t="e">
        <f t="shared" ref="AA9:AC9" si="7">AA7*P_Segunda*Segunda</f>
        <v>#DIV/0!</v>
      </c>
      <c r="AB9" s="101">
        <f>P_A12_L12*P_Segunda*Segunda*Inflación_12</f>
        <v>0</v>
      </c>
      <c r="AC9" s="100" t="e">
        <f t="shared" si="7"/>
        <v>#DIV/0!</v>
      </c>
      <c r="AD9" s="101">
        <f>P_A12_L13*P_Segunda*Segunda*Inflación_12</f>
        <v>0</v>
      </c>
      <c r="AE9" s="100" t="e">
        <f t="shared" ref="AE9:AG9" si="8">AE7*P_Segunda*Segunda</f>
        <v>#DIV/0!</v>
      </c>
      <c r="AF9" s="101">
        <f>P_A12_L14*P_Segunda*Segunda*Inflación_12</f>
        <v>0</v>
      </c>
      <c r="AG9" s="100" t="e">
        <f t="shared" si="8"/>
        <v>#DIV/0!</v>
      </c>
      <c r="AH9" s="101">
        <f>P_A12_L15*P_Segunda*Segunda*Inflación_12</f>
        <v>0</v>
      </c>
      <c r="AI9" s="100" t="e">
        <f t="shared" ref="AI9:AK9" si="9">AI7*P_Segunda*Segunda</f>
        <v>#DIV/0!</v>
      </c>
      <c r="AJ9" s="101">
        <f>P_A12_L16*P_Segunda*Segunda*Inflación_12</f>
        <v>0</v>
      </c>
      <c r="AK9" s="100" t="e">
        <f t="shared" si="9"/>
        <v>#DIV/0!</v>
      </c>
      <c r="AL9" s="101">
        <f>P_A12_L17*P_Segunda*Segunda*Inflación_12</f>
        <v>0</v>
      </c>
      <c r="AM9" s="100" t="e">
        <f t="shared" ref="AM9:AO9" si="10">AM7*P_Segunda*Segunda</f>
        <v>#DIV/0!</v>
      </c>
      <c r="AN9" s="101">
        <f>P_A12_L18*P_Segunda*Segunda*Inflación_12</f>
        <v>0</v>
      </c>
      <c r="AO9" s="100" t="e">
        <f t="shared" si="10"/>
        <v>#DIV/0!</v>
      </c>
      <c r="AP9" s="101">
        <f>P_A12_L19*P_Segunda*Segunda*Inflación_12</f>
        <v>0</v>
      </c>
      <c r="AQ9" s="100" t="e">
        <f t="shared" ref="AQ9:AS9" si="11">AQ7*P_Segunda*Segunda</f>
        <v>#DIV/0!</v>
      </c>
      <c r="AR9" s="101">
        <f>P_A12_L20*P_Segunda*Segunda*Inflación_12</f>
        <v>0</v>
      </c>
      <c r="AS9" s="100" t="e">
        <f t="shared" si="11"/>
        <v>#DIV/0!</v>
      </c>
      <c r="AT9" s="101">
        <f>P_A12_L21*P_Segunda*Segunda*Inflación_12</f>
        <v>0</v>
      </c>
      <c r="AU9" s="100" t="e">
        <f t="shared" ref="AU9:AW9" si="12">AU7*P_Segunda*Segunda</f>
        <v>#DIV/0!</v>
      </c>
      <c r="AV9" s="101">
        <f>P_A12_L22*P_Segunda*Segunda*Inflación_12</f>
        <v>0</v>
      </c>
      <c r="AW9" s="100" t="e">
        <f t="shared" si="12"/>
        <v>#DIV/0!</v>
      </c>
      <c r="AX9" s="101">
        <f>P_A12_L23*P_Segunda*Segunda*Inflación_12</f>
        <v>0</v>
      </c>
      <c r="AY9" s="100" t="e">
        <f t="shared" ref="AY9:BA9" si="13">AY7*P_Segunda*Segunda</f>
        <v>#DIV/0!</v>
      </c>
      <c r="AZ9" s="101">
        <f>P_A12_L24*P_Segunda*Segunda*Inflación_12</f>
        <v>0</v>
      </c>
      <c r="BA9" s="100" t="e">
        <f t="shared" si="13"/>
        <v>#DIV/0!</v>
      </c>
      <c r="BB9" s="101">
        <f>P_A12_L25*P_Segunda*Segunda*Inflación_12</f>
        <v>0</v>
      </c>
      <c r="BC9" s="100" t="e">
        <f t="shared" ref="BC9:BE9" si="14">BC7*P_Segunda*Segunda</f>
        <v>#DIV/0!</v>
      </c>
      <c r="BD9" s="101">
        <f>P_A12_L26*P_Segunda*Segunda*Inflación_12</f>
        <v>0</v>
      </c>
      <c r="BE9" s="100" t="e">
        <f t="shared" si="14"/>
        <v>#DIV/0!</v>
      </c>
      <c r="BF9" s="101">
        <f>P_A12_L27*P_Segunda*Segunda*Inflación_12</f>
        <v>0</v>
      </c>
      <c r="BG9" s="100" t="e">
        <f t="shared" ref="BG9:BI9" si="15">BG7*P_Segunda*Segunda</f>
        <v>#DIV/0!</v>
      </c>
      <c r="BH9" s="101">
        <f>P_A12_L28*P_Segunda*Segunda*Inflación_12</f>
        <v>0</v>
      </c>
      <c r="BI9" s="100" t="e">
        <f t="shared" si="15"/>
        <v>#DIV/0!</v>
      </c>
      <c r="BJ9" s="101">
        <f>P_A12_L29*P_Segunda*Segunda*Inflación_12</f>
        <v>0</v>
      </c>
      <c r="BK9" s="100" t="e">
        <f t="shared" ref="BK9:BM9" si="16">BK7*P_Segunda*Segunda</f>
        <v>#DIV/0!</v>
      </c>
      <c r="BL9" s="101">
        <f>P_A12_L30*P_Segunda*Segunda*Inflación_12</f>
        <v>0</v>
      </c>
      <c r="BM9" s="100" t="e">
        <f t="shared" si="16"/>
        <v>#DIV/0!</v>
      </c>
      <c r="BN9" s="101">
        <f>P_A12_L31*P_Segunda*Segunda*Inflación_12</f>
        <v>0</v>
      </c>
      <c r="BO9" s="100" t="e">
        <f t="shared" ref="BO9:BQ9" si="17">BO7*P_Segunda*Segunda</f>
        <v>#DIV/0!</v>
      </c>
      <c r="BP9" s="101">
        <f>P_A12_L32*P_Segunda*Segunda*Inflación_12</f>
        <v>0</v>
      </c>
      <c r="BQ9" s="100" t="e">
        <f t="shared" si="17"/>
        <v>#DIV/0!</v>
      </c>
      <c r="BR9" s="101">
        <f>P_A12_L33*P_Segunda*Segunda*Inflación_12</f>
        <v>0</v>
      </c>
      <c r="BS9" s="100" t="e">
        <f t="shared" ref="BS9:BU9" si="18">BS7*P_Segunda*Segunda</f>
        <v>#DIV/0!</v>
      </c>
      <c r="BT9" s="101">
        <f>P_A12_L34*P_Segunda*Segunda*Inflación_12</f>
        <v>0</v>
      </c>
      <c r="BU9" s="100" t="e">
        <f t="shared" si="18"/>
        <v>#DIV/0!</v>
      </c>
      <c r="BV9" s="101">
        <f>P_A12_L35*P_Segunda*Segunda*Inflación_12</f>
        <v>0</v>
      </c>
      <c r="BW9" s="100" t="e">
        <f t="shared" ref="BW9:BY9" si="19">BW7*P_Segunda*Segunda</f>
        <v>#DIV/0!</v>
      </c>
      <c r="BX9" s="101">
        <f>P_A12_L36*P_Segunda*Segunda*Inflación_12</f>
        <v>0</v>
      </c>
      <c r="BY9" s="100" t="e">
        <f t="shared" si="19"/>
        <v>#DIV/0!</v>
      </c>
      <c r="BZ9" s="101">
        <f>P_A12_L37*P_Segunda*Segunda*Inflación_12</f>
        <v>0</v>
      </c>
      <c r="CA9" s="100" t="e">
        <f t="shared" ref="CA9:CC9" si="20">CA7*P_Segunda*Segunda</f>
        <v>#DIV/0!</v>
      </c>
      <c r="CB9" s="101">
        <f>P_A12_L38*P_Segunda*Segunda*Inflación_12</f>
        <v>0</v>
      </c>
      <c r="CC9" s="100" t="e">
        <f t="shared" si="20"/>
        <v>#DIV/0!</v>
      </c>
      <c r="CD9" s="101">
        <f>P_A12_L39*P_Segunda*Segunda*Inflación_12</f>
        <v>0</v>
      </c>
      <c r="CE9" s="100" t="e">
        <f t="shared" ref="CE9:CG9" si="21">CE7*P_Segunda*Segunda</f>
        <v>#DIV/0!</v>
      </c>
      <c r="CF9" s="101">
        <f>P_A12_L40*P_Segunda*Segunda*Inflación_12</f>
        <v>0</v>
      </c>
      <c r="CG9" s="100" t="e">
        <f t="shared" si="21"/>
        <v>#DIV/0!</v>
      </c>
      <c r="CH9" s="473"/>
      <c r="CI9" s="101">
        <f>CI7*P_Segunda*Segunda*Inflación_12</f>
        <v>0</v>
      </c>
      <c r="CJ9" s="101">
        <f>CJ7*P_Segunda*Segunda*Inflación_12</f>
        <v>0</v>
      </c>
      <c r="CK9" s="101">
        <f>CK7*P_Segunda*Segunda*Inflación_12</f>
        <v>0</v>
      </c>
      <c r="CL9" s="101">
        <f>CL7*P_Segunda*Segunda*Inflación_12</f>
        <v>0</v>
      </c>
      <c r="CM9" s="101"/>
      <c r="CN9" s="101">
        <f>CN7*P_Segunda*Segunda*Inflación_12</f>
        <v>0</v>
      </c>
      <c r="CO9" s="102">
        <v>0</v>
      </c>
    </row>
    <row r="10" spans="1:93" s="99" customFormat="1" ht="30.95" customHeight="1" x14ac:dyDescent="0.3">
      <c r="A10" s="60" t="str">
        <f>CONCATENATE("Ventas de café inferiores:  ", P_Inferior*100,"% | Q. ",Inferior,".00")</f>
        <v>Ventas de café inferiores:  0% | Q. .00</v>
      </c>
      <c r="B10" s="100">
        <f>B7*P_Inferior*Inferior*Inflación_12</f>
        <v>0</v>
      </c>
      <c r="C10" s="100" t="e">
        <f t="shared" ref="C10" si="22">C7*P_Inferior*Inferior</f>
        <v>#DIV/0!</v>
      </c>
      <c r="D10" s="100" t="e">
        <f t="shared" si="1"/>
        <v>#DIV/0!</v>
      </c>
      <c r="E10" s="475"/>
      <c r="F10" s="101">
        <f>P_A12_L1*P_Inferior*Inferior*Inflación_12</f>
        <v>0</v>
      </c>
      <c r="G10" s="100" t="e">
        <f t="shared" ref="G10" si="23">G7*P_Inferior*Inferior</f>
        <v>#DIV/0!</v>
      </c>
      <c r="H10" s="101">
        <f>P_A12_L2*P_Inferior*Inferior*Inflación_12</f>
        <v>0</v>
      </c>
      <c r="I10" s="100" t="e">
        <f>I7*P_Inferior*Inferior</f>
        <v>#DIV/0!</v>
      </c>
      <c r="J10" s="101">
        <f>P_A12_L3*P_Inferior*Inferior*Inflación_12</f>
        <v>0</v>
      </c>
      <c r="K10" s="100" t="e">
        <f t="shared" ref="K10" si="24">K7*P_Inferior*Inferior</f>
        <v>#DIV/0!</v>
      </c>
      <c r="L10" s="101">
        <f>P_A12_L4*P_Inferior*Inferior*Inflación_12</f>
        <v>0</v>
      </c>
      <c r="M10" s="100" t="e">
        <f>M7*P_Inferior*Inferior</f>
        <v>#DIV/0!</v>
      </c>
      <c r="N10" s="101">
        <f>P_A12_L5*P_Inferior*Inferior*Inflación_12</f>
        <v>0</v>
      </c>
      <c r="O10" s="100" t="e">
        <f t="shared" ref="O10:Q10" si="25">O7*P_Inferior*Inferior</f>
        <v>#DIV/0!</v>
      </c>
      <c r="P10" s="101">
        <f>P_A12_L6*P_Inferior*Inferior*Inflación_12</f>
        <v>0</v>
      </c>
      <c r="Q10" s="100" t="e">
        <f t="shared" si="25"/>
        <v>#DIV/0!</v>
      </c>
      <c r="R10" s="101">
        <f>P_A12_L7*P_Inferior*Inferior*Inflación_12</f>
        <v>0</v>
      </c>
      <c r="S10" s="100" t="e">
        <f t="shared" ref="S10:U10" si="26">S7*P_Inferior*Inferior</f>
        <v>#DIV/0!</v>
      </c>
      <c r="T10" s="101">
        <f>P_A12_L8*P_Inferior*Inferior*Inflación_12</f>
        <v>0</v>
      </c>
      <c r="U10" s="100" t="e">
        <f t="shared" si="26"/>
        <v>#DIV/0!</v>
      </c>
      <c r="V10" s="101">
        <f>P_A12_L9*P_Inferior*Inferior*Inflación_12</f>
        <v>0</v>
      </c>
      <c r="W10" s="100" t="e">
        <f t="shared" ref="W10:Y10" si="27">W7*P_Inferior*Inferior</f>
        <v>#DIV/0!</v>
      </c>
      <c r="X10" s="101">
        <f>P_A12_L10*P_Inferior*Inferior*Inflación_12</f>
        <v>0</v>
      </c>
      <c r="Y10" s="100" t="e">
        <f t="shared" si="27"/>
        <v>#DIV/0!</v>
      </c>
      <c r="Z10" s="101">
        <f>P_A12_L11*P_Inferior*Inferior*Inflación_12</f>
        <v>0</v>
      </c>
      <c r="AA10" s="100" t="e">
        <f t="shared" ref="AA10:AC10" si="28">AA7*P_Inferior*Inferior</f>
        <v>#DIV/0!</v>
      </c>
      <c r="AB10" s="101">
        <f>P_A12_L12*P_Inferior*Inferior*Inflación_12</f>
        <v>0</v>
      </c>
      <c r="AC10" s="100" t="e">
        <f t="shared" si="28"/>
        <v>#DIV/0!</v>
      </c>
      <c r="AD10" s="101">
        <f>P_A12_L13*P_Inferior*Inferior*Inflación_12</f>
        <v>0</v>
      </c>
      <c r="AE10" s="100" t="e">
        <f t="shared" ref="AE10:AG10" si="29">AE7*P_Inferior*Inferior</f>
        <v>#DIV/0!</v>
      </c>
      <c r="AF10" s="101">
        <f>P_A12_L14*P_Inferior*Inferior*Inflación_12</f>
        <v>0</v>
      </c>
      <c r="AG10" s="100" t="e">
        <f t="shared" si="29"/>
        <v>#DIV/0!</v>
      </c>
      <c r="AH10" s="101">
        <f>P_A12_L15*P_Inferior*Inferior*Inflación_12</f>
        <v>0</v>
      </c>
      <c r="AI10" s="100" t="e">
        <f t="shared" ref="AI10:AK10" si="30">AI7*P_Inferior*Inferior</f>
        <v>#DIV/0!</v>
      </c>
      <c r="AJ10" s="101">
        <f>P_A12_L16*P_Inferior*Inferior*Inflación_12</f>
        <v>0</v>
      </c>
      <c r="AK10" s="100" t="e">
        <f t="shared" si="30"/>
        <v>#DIV/0!</v>
      </c>
      <c r="AL10" s="101">
        <f>P_A12_L17*P_Inferior*Inferior*Inflación_12</f>
        <v>0</v>
      </c>
      <c r="AM10" s="100" t="e">
        <f t="shared" ref="AM10:AO10" si="31">AM7*P_Inferior*Inferior</f>
        <v>#DIV/0!</v>
      </c>
      <c r="AN10" s="101">
        <f>P_A12_L18*P_Inferior*Inferior*Inflación_12</f>
        <v>0</v>
      </c>
      <c r="AO10" s="100" t="e">
        <f t="shared" si="31"/>
        <v>#DIV/0!</v>
      </c>
      <c r="AP10" s="101">
        <f>P_A12_L19*P_Inferior*Inferior*Inflación_12</f>
        <v>0</v>
      </c>
      <c r="AQ10" s="100" t="e">
        <f t="shared" ref="AQ10:AS10" si="32">AQ7*P_Inferior*Inferior</f>
        <v>#DIV/0!</v>
      </c>
      <c r="AR10" s="101">
        <f>P_A12_L20*P_Inferior*Inferior*Inflación_12</f>
        <v>0</v>
      </c>
      <c r="AS10" s="100" t="e">
        <f t="shared" si="32"/>
        <v>#DIV/0!</v>
      </c>
      <c r="AT10" s="101">
        <f>P_A12_L21*P_Inferior*Inferior*Inflación_12</f>
        <v>0</v>
      </c>
      <c r="AU10" s="100" t="e">
        <f t="shared" ref="AU10:AW10" si="33">AU7*P_Inferior*Inferior</f>
        <v>#DIV/0!</v>
      </c>
      <c r="AV10" s="101">
        <f>P_A12_L22*P_Inferior*Inferior*Inflación_12</f>
        <v>0</v>
      </c>
      <c r="AW10" s="100" t="e">
        <f t="shared" si="33"/>
        <v>#DIV/0!</v>
      </c>
      <c r="AX10" s="101">
        <f>P_A12_L23*P_Inferior*Inferior*Inflación_12</f>
        <v>0</v>
      </c>
      <c r="AY10" s="100" t="e">
        <f t="shared" ref="AY10:BA10" si="34">AY7*P_Inferior*Inferior</f>
        <v>#DIV/0!</v>
      </c>
      <c r="AZ10" s="101">
        <f>P_A12_L24*P_Inferior*Inferior*Inflación_12</f>
        <v>0</v>
      </c>
      <c r="BA10" s="100" t="e">
        <f t="shared" si="34"/>
        <v>#DIV/0!</v>
      </c>
      <c r="BB10" s="101">
        <f>P_A12_L25*P_Inferior*Inferior*Inflación_12</f>
        <v>0</v>
      </c>
      <c r="BC10" s="100" t="e">
        <f t="shared" ref="BC10:BE10" si="35">BC7*P_Inferior*Inferior</f>
        <v>#DIV/0!</v>
      </c>
      <c r="BD10" s="101">
        <f>P_A12_L26*P_Inferior*Inferior*Inflación_12</f>
        <v>0</v>
      </c>
      <c r="BE10" s="100" t="e">
        <f t="shared" si="35"/>
        <v>#DIV/0!</v>
      </c>
      <c r="BF10" s="101">
        <f>P_A12_L27*P_Inferior*Inferior*Inflación_12</f>
        <v>0</v>
      </c>
      <c r="BG10" s="100" t="e">
        <f t="shared" ref="BG10:BI10" si="36">BG7*P_Inferior*Inferior</f>
        <v>#DIV/0!</v>
      </c>
      <c r="BH10" s="101">
        <f>P_A12_L28*P_Inferior*Inferior*Inflación_12</f>
        <v>0</v>
      </c>
      <c r="BI10" s="100" t="e">
        <f t="shared" si="36"/>
        <v>#DIV/0!</v>
      </c>
      <c r="BJ10" s="101">
        <f>P_A12_L29*P_Inferior*Inferior*Inflación_12</f>
        <v>0</v>
      </c>
      <c r="BK10" s="100" t="e">
        <f t="shared" ref="BK10:BM10" si="37">BK7*P_Inferior*Inferior</f>
        <v>#DIV/0!</v>
      </c>
      <c r="BL10" s="101">
        <f>P_A12_L30*P_Inferior*Inferior*Inflación_12</f>
        <v>0</v>
      </c>
      <c r="BM10" s="100" t="e">
        <f t="shared" si="37"/>
        <v>#DIV/0!</v>
      </c>
      <c r="BN10" s="101">
        <f>P_A12_L31*P_Inferior*Inferior*Inflación_12</f>
        <v>0</v>
      </c>
      <c r="BO10" s="100" t="e">
        <f t="shared" ref="BO10:BQ10" si="38">BO7*P_Inferior*Inferior</f>
        <v>#DIV/0!</v>
      </c>
      <c r="BP10" s="101">
        <f>P_A12_L32*P_Inferior*Inferior*Inflación_12</f>
        <v>0</v>
      </c>
      <c r="BQ10" s="100" t="e">
        <f t="shared" si="38"/>
        <v>#DIV/0!</v>
      </c>
      <c r="BR10" s="101">
        <f>P_A12_L33*P_Inferior*Inferior*Inflación_12</f>
        <v>0</v>
      </c>
      <c r="BS10" s="100" t="e">
        <f t="shared" ref="BS10:BU10" si="39">BS7*P_Inferior*Inferior</f>
        <v>#DIV/0!</v>
      </c>
      <c r="BT10" s="101">
        <f>P_A12_L34*P_Inferior*Inferior*Inflación_12</f>
        <v>0</v>
      </c>
      <c r="BU10" s="100" t="e">
        <f t="shared" si="39"/>
        <v>#DIV/0!</v>
      </c>
      <c r="BV10" s="101">
        <f>P_A12_L35*P_Inferior*Inferior*Inflación_12</f>
        <v>0</v>
      </c>
      <c r="BW10" s="100" t="e">
        <f t="shared" ref="BW10:BY10" si="40">BW7*P_Inferior*Inferior</f>
        <v>#DIV/0!</v>
      </c>
      <c r="BX10" s="101">
        <f>P_A12_L36*P_Inferior*Inferior*Inflación_12</f>
        <v>0</v>
      </c>
      <c r="BY10" s="100" t="e">
        <f t="shared" si="40"/>
        <v>#DIV/0!</v>
      </c>
      <c r="BZ10" s="101">
        <f>P_A12_L37*P_Inferior*Inferior*Inflación_12</f>
        <v>0</v>
      </c>
      <c r="CA10" s="100" t="e">
        <f t="shared" ref="CA10:CC10" si="41">CA7*P_Inferior*Inferior</f>
        <v>#DIV/0!</v>
      </c>
      <c r="CB10" s="101">
        <f>P_A12_L38*P_Inferior*Inferior*Inflación_12</f>
        <v>0</v>
      </c>
      <c r="CC10" s="100" t="e">
        <f t="shared" si="41"/>
        <v>#DIV/0!</v>
      </c>
      <c r="CD10" s="101">
        <f>P_A12_L39*P_Inferior*Inferior*Inflación_12</f>
        <v>0</v>
      </c>
      <c r="CE10" s="100" t="e">
        <f t="shared" ref="CE10:CG10" si="42">CE7*P_Inferior*Inferior</f>
        <v>#DIV/0!</v>
      </c>
      <c r="CF10" s="101">
        <f>P_A12_L40*P_Inferior*Inferior*Inflación_12</f>
        <v>0</v>
      </c>
      <c r="CG10" s="100" t="e">
        <f t="shared" si="42"/>
        <v>#DIV/0!</v>
      </c>
      <c r="CH10" s="473"/>
      <c r="CI10" s="101">
        <f>CI7*P_Inferior*Inferior*Inflación_12</f>
        <v>0</v>
      </c>
      <c r="CJ10" s="101">
        <f>CJ7*P_Inferior*Inferior*Inflación_12</f>
        <v>0</v>
      </c>
      <c r="CK10" s="101">
        <f>CK7*P_Inferior*Inferior*Inflación_12</f>
        <v>0</v>
      </c>
      <c r="CL10" s="101">
        <f>CL7*P_Inferior*Inferior*Inflación_12</f>
        <v>0</v>
      </c>
      <c r="CM10" s="101"/>
      <c r="CN10" s="101">
        <f>CN7*P_Inferior*Inferior*Inflación_12</f>
        <v>0</v>
      </c>
      <c r="CO10" s="102">
        <v>0</v>
      </c>
    </row>
    <row r="11" spans="1:93" s="99" customFormat="1" ht="30.95" customHeight="1" thickBot="1" x14ac:dyDescent="0.35">
      <c r="A11" s="103" t="s">
        <v>146</v>
      </c>
      <c r="B11" s="104">
        <f>SUM(B8:B10)</f>
        <v>0</v>
      </c>
      <c r="C11" s="104" t="e">
        <f>SUM(C8:C10)</f>
        <v>#DIV/0!</v>
      </c>
      <c r="D11" s="100" t="e">
        <f t="shared" si="1"/>
        <v>#DIV/0!</v>
      </c>
      <c r="E11" s="475"/>
      <c r="F11" s="104">
        <f t="shared" ref="F11:BQ11" si="43">SUM(F8:F10)</f>
        <v>0</v>
      </c>
      <c r="G11" s="104" t="e">
        <f t="shared" si="43"/>
        <v>#DIV/0!</v>
      </c>
      <c r="H11" s="104">
        <f t="shared" si="43"/>
        <v>0</v>
      </c>
      <c r="I11" s="104" t="e">
        <f t="shared" si="43"/>
        <v>#DIV/0!</v>
      </c>
      <c r="J11" s="104">
        <f t="shared" si="43"/>
        <v>0</v>
      </c>
      <c r="K11" s="104" t="e">
        <f t="shared" si="43"/>
        <v>#DIV/0!</v>
      </c>
      <c r="L11" s="104">
        <f t="shared" si="43"/>
        <v>0</v>
      </c>
      <c r="M11" s="104" t="e">
        <f t="shared" si="43"/>
        <v>#DIV/0!</v>
      </c>
      <c r="N11" s="104">
        <f t="shared" si="43"/>
        <v>0</v>
      </c>
      <c r="O11" s="104" t="e">
        <f t="shared" si="43"/>
        <v>#DIV/0!</v>
      </c>
      <c r="P11" s="104">
        <f t="shared" si="43"/>
        <v>0</v>
      </c>
      <c r="Q11" s="104" t="e">
        <f t="shared" si="43"/>
        <v>#DIV/0!</v>
      </c>
      <c r="R11" s="104">
        <f t="shared" si="43"/>
        <v>0</v>
      </c>
      <c r="S11" s="104" t="e">
        <f t="shared" si="43"/>
        <v>#DIV/0!</v>
      </c>
      <c r="T11" s="104">
        <f t="shared" si="43"/>
        <v>0</v>
      </c>
      <c r="U11" s="104" t="e">
        <f t="shared" si="43"/>
        <v>#DIV/0!</v>
      </c>
      <c r="V11" s="104">
        <f t="shared" si="43"/>
        <v>0</v>
      </c>
      <c r="W11" s="104" t="e">
        <f t="shared" si="43"/>
        <v>#DIV/0!</v>
      </c>
      <c r="X11" s="104">
        <f t="shared" si="43"/>
        <v>0</v>
      </c>
      <c r="Y11" s="104" t="e">
        <f t="shared" si="43"/>
        <v>#DIV/0!</v>
      </c>
      <c r="Z11" s="104">
        <f t="shared" si="43"/>
        <v>0</v>
      </c>
      <c r="AA11" s="104" t="e">
        <f t="shared" si="43"/>
        <v>#DIV/0!</v>
      </c>
      <c r="AB11" s="104">
        <f t="shared" si="43"/>
        <v>0</v>
      </c>
      <c r="AC11" s="104" t="e">
        <f t="shared" si="43"/>
        <v>#DIV/0!</v>
      </c>
      <c r="AD11" s="104">
        <f t="shared" si="43"/>
        <v>0</v>
      </c>
      <c r="AE11" s="104" t="e">
        <f t="shared" si="43"/>
        <v>#DIV/0!</v>
      </c>
      <c r="AF11" s="104">
        <f t="shared" si="43"/>
        <v>0</v>
      </c>
      <c r="AG11" s="104" t="e">
        <f t="shared" si="43"/>
        <v>#DIV/0!</v>
      </c>
      <c r="AH11" s="104">
        <f t="shared" si="43"/>
        <v>0</v>
      </c>
      <c r="AI11" s="104" t="e">
        <f t="shared" si="43"/>
        <v>#DIV/0!</v>
      </c>
      <c r="AJ11" s="104">
        <f t="shared" si="43"/>
        <v>0</v>
      </c>
      <c r="AK11" s="104" t="e">
        <f t="shared" si="43"/>
        <v>#DIV/0!</v>
      </c>
      <c r="AL11" s="104">
        <f t="shared" si="43"/>
        <v>0</v>
      </c>
      <c r="AM11" s="104" t="e">
        <f t="shared" si="43"/>
        <v>#DIV/0!</v>
      </c>
      <c r="AN11" s="104">
        <f t="shared" si="43"/>
        <v>0</v>
      </c>
      <c r="AO11" s="104" t="e">
        <f t="shared" si="43"/>
        <v>#DIV/0!</v>
      </c>
      <c r="AP11" s="104">
        <f t="shared" si="43"/>
        <v>0</v>
      </c>
      <c r="AQ11" s="104" t="e">
        <f t="shared" si="43"/>
        <v>#DIV/0!</v>
      </c>
      <c r="AR11" s="104">
        <f t="shared" si="43"/>
        <v>0</v>
      </c>
      <c r="AS11" s="104" t="e">
        <f t="shared" si="43"/>
        <v>#DIV/0!</v>
      </c>
      <c r="AT11" s="104">
        <f t="shared" si="43"/>
        <v>0</v>
      </c>
      <c r="AU11" s="104" t="e">
        <f t="shared" si="43"/>
        <v>#DIV/0!</v>
      </c>
      <c r="AV11" s="104">
        <f t="shared" si="43"/>
        <v>0</v>
      </c>
      <c r="AW11" s="104" t="e">
        <f t="shared" si="43"/>
        <v>#DIV/0!</v>
      </c>
      <c r="AX11" s="104">
        <f t="shared" si="43"/>
        <v>0</v>
      </c>
      <c r="AY11" s="104" t="e">
        <f t="shared" si="43"/>
        <v>#DIV/0!</v>
      </c>
      <c r="AZ11" s="104">
        <f t="shared" si="43"/>
        <v>0</v>
      </c>
      <c r="BA11" s="104" t="e">
        <f t="shared" si="43"/>
        <v>#DIV/0!</v>
      </c>
      <c r="BB11" s="104">
        <f t="shared" si="43"/>
        <v>0</v>
      </c>
      <c r="BC11" s="104" t="e">
        <f t="shared" si="43"/>
        <v>#DIV/0!</v>
      </c>
      <c r="BD11" s="104">
        <f t="shared" si="43"/>
        <v>0</v>
      </c>
      <c r="BE11" s="104" t="e">
        <f t="shared" si="43"/>
        <v>#DIV/0!</v>
      </c>
      <c r="BF11" s="104">
        <f t="shared" si="43"/>
        <v>0</v>
      </c>
      <c r="BG11" s="104" t="e">
        <f t="shared" si="43"/>
        <v>#DIV/0!</v>
      </c>
      <c r="BH11" s="104">
        <f t="shared" si="43"/>
        <v>0</v>
      </c>
      <c r="BI11" s="104" t="e">
        <f t="shared" si="43"/>
        <v>#DIV/0!</v>
      </c>
      <c r="BJ11" s="104">
        <f t="shared" si="43"/>
        <v>0</v>
      </c>
      <c r="BK11" s="104" t="e">
        <f t="shared" si="43"/>
        <v>#DIV/0!</v>
      </c>
      <c r="BL11" s="104">
        <f t="shared" si="43"/>
        <v>0</v>
      </c>
      <c r="BM11" s="104" t="e">
        <f t="shared" si="43"/>
        <v>#DIV/0!</v>
      </c>
      <c r="BN11" s="104">
        <f t="shared" si="43"/>
        <v>0</v>
      </c>
      <c r="BO11" s="104" t="e">
        <f t="shared" si="43"/>
        <v>#DIV/0!</v>
      </c>
      <c r="BP11" s="104">
        <f t="shared" si="43"/>
        <v>0</v>
      </c>
      <c r="BQ11" s="104" t="e">
        <f t="shared" si="43"/>
        <v>#DIV/0!</v>
      </c>
      <c r="BR11" s="104">
        <f t="shared" ref="BR11:CG11" si="44">SUM(BR8:BR10)</f>
        <v>0</v>
      </c>
      <c r="BS11" s="104" t="e">
        <f t="shared" si="44"/>
        <v>#DIV/0!</v>
      </c>
      <c r="BT11" s="104">
        <f t="shared" si="44"/>
        <v>0</v>
      </c>
      <c r="BU11" s="104" t="e">
        <f t="shared" si="44"/>
        <v>#DIV/0!</v>
      </c>
      <c r="BV11" s="104">
        <f t="shared" si="44"/>
        <v>0</v>
      </c>
      <c r="BW11" s="104" t="e">
        <f t="shared" si="44"/>
        <v>#DIV/0!</v>
      </c>
      <c r="BX11" s="104">
        <f t="shared" si="44"/>
        <v>0</v>
      </c>
      <c r="BY11" s="104" t="e">
        <f t="shared" si="44"/>
        <v>#DIV/0!</v>
      </c>
      <c r="BZ11" s="104">
        <f t="shared" si="44"/>
        <v>0</v>
      </c>
      <c r="CA11" s="104" t="e">
        <f t="shared" si="44"/>
        <v>#DIV/0!</v>
      </c>
      <c r="CB11" s="104">
        <f t="shared" si="44"/>
        <v>0</v>
      </c>
      <c r="CC11" s="104" t="e">
        <f t="shared" si="44"/>
        <v>#DIV/0!</v>
      </c>
      <c r="CD11" s="104">
        <f t="shared" si="44"/>
        <v>0</v>
      </c>
      <c r="CE11" s="104" t="e">
        <f t="shared" si="44"/>
        <v>#DIV/0!</v>
      </c>
      <c r="CF11" s="104">
        <f t="shared" si="44"/>
        <v>0</v>
      </c>
      <c r="CG11" s="104" t="e">
        <f t="shared" si="44"/>
        <v>#DIV/0!</v>
      </c>
      <c r="CH11" s="473"/>
      <c r="CI11" s="104">
        <f>SUM(CI8:CI10)</f>
        <v>0</v>
      </c>
      <c r="CJ11" s="104">
        <f>SUM(CJ8:CJ10)</f>
        <v>0</v>
      </c>
      <c r="CK11" s="104">
        <f>SUM(CK8:CK10)</f>
        <v>0</v>
      </c>
      <c r="CL11" s="104">
        <f>SUM(CL8:CL10)</f>
        <v>0</v>
      </c>
      <c r="CM11" s="104"/>
      <c r="CN11" s="104">
        <f>SUM(CN8:CN10)</f>
        <v>0</v>
      </c>
      <c r="CO11" s="105"/>
    </row>
    <row r="12" spans="1:93" s="94" customFormat="1" ht="27" customHeight="1" thickBot="1" x14ac:dyDescent="0.35">
      <c r="A12" s="180" t="s">
        <v>4523</v>
      </c>
      <c r="B12" s="181"/>
      <c r="C12" s="181"/>
      <c r="D12" s="182"/>
      <c r="E12" s="475"/>
      <c r="F12" s="183"/>
      <c r="G12" s="181"/>
      <c r="H12" s="181"/>
      <c r="I12" s="181"/>
      <c r="J12" s="181"/>
      <c r="K12" s="181"/>
      <c r="L12" s="181"/>
      <c r="M12" s="181"/>
      <c r="N12" s="181"/>
      <c r="O12" s="181"/>
      <c r="P12" s="181"/>
      <c r="Q12" s="181"/>
      <c r="R12" s="181"/>
      <c r="S12" s="181"/>
      <c r="T12" s="181"/>
      <c r="U12" s="181"/>
      <c r="V12" s="181"/>
      <c r="W12" s="181"/>
      <c r="X12" s="181"/>
      <c r="Y12" s="181"/>
      <c r="Z12" s="181"/>
      <c r="AA12" s="181"/>
      <c r="AB12" s="181"/>
      <c r="AC12" s="181"/>
      <c r="AD12" s="181"/>
      <c r="AE12" s="181"/>
      <c r="AF12" s="181"/>
      <c r="AG12" s="181"/>
      <c r="AH12" s="181"/>
      <c r="AI12" s="181"/>
      <c r="AJ12" s="181"/>
      <c r="AK12" s="181"/>
      <c r="AL12" s="181"/>
      <c r="AM12" s="181"/>
      <c r="AN12" s="181"/>
      <c r="AO12" s="181"/>
      <c r="AP12" s="181"/>
      <c r="AQ12" s="181"/>
      <c r="AR12" s="181"/>
      <c r="AS12" s="181"/>
      <c r="AT12" s="181"/>
      <c r="AU12" s="181"/>
      <c r="AV12" s="181"/>
      <c r="AW12" s="181"/>
      <c r="AX12" s="181"/>
      <c r="AY12" s="181"/>
      <c r="AZ12" s="181"/>
      <c r="BA12" s="181"/>
      <c r="BB12" s="181"/>
      <c r="BC12" s="181"/>
      <c r="BD12" s="181"/>
      <c r="BE12" s="181"/>
      <c r="BF12" s="181"/>
      <c r="BG12" s="181"/>
      <c r="BH12" s="181"/>
      <c r="BI12" s="181"/>
      <c r="BJ12" s="181"/>
      <c r="BK12" s="181"/>
      <c r="BL12" s="181"/>
      <c r="BM12" s="181"/>
      <c r="BN12" s="181"/>
      <c r="BO12" s="181"/>
      <c r="BP12" s="181"/>
      <c r="BQ12" s="181"/>
      <c r="BR12" s="181"/>
      <c r="BS12" s="181"/>
      <c r="BT12" s="181"/>
      <c r="BU12" s="181"/>
      <c r="BV12" s="181"/>
      <c r="BW12" s="181"/>
      <c r="BX12" s="181"/>
      <c r="BY12" s="181"/>
      <c r="BZ12" s="181"/>
      <c r="CA12" s="181"/>
      <c r="CB12" s="181"/>
      <c r="CC12" s="181"/>
      <c r="CD12" s="181"/>
      <c r="CE12" s="181"/>
      <c r="CF12" s="181"/>
      <c r="CG12" s="181"/>
      <c r="CH12" s="473"/>
      <c r="CI12" s="183"/>
      <c r="CJ12" s="181"/>
      <c r="CK12" s="181"/>
      <c r="CL12" s="181"/>
      <c r="CM12" s="181"/>
      <c r="CN12" s="181"/>
      <c r="CO12" s="182"/>
    </row>
    <row r="13" spans="1:93" s="61" customFormat="1" ht="26.1" customHeight="1" x14ac:dyDescent="0.3">
      <c r="A13" s="106" t="s">
        <v>4557</v>
      </c>
      <c r="B13" s="107"/>
      <c r="C13" s="107"/>
      <c r="D13" s="107"/>
      <c r="E13" s="473"/>
      <c r="F13" s="108"/>
      <c r="G13" s="108"/>
      <c r="H13" s="108"/>
      <c r="I13" s="108"/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8"/>
      <c r="AR13" s="108"/>
      <c r="AS13" s="108"/>
      <c r="AT13" s="108"/>
      <c r="AU13" s="108"/>
      <c r="AV13" s="108"/>
      <c r="AW13" s="108"/>
      <c r="AX13" s="108"/>
      <c r="AY13" s="108"/>
      <c r="AZ13" s="108"/>
      <c r="BA13" s="108"/>
      <c r="BB13" s="108"/>
      <c r="BC13" s="108"/>
      <c r="BD13" s="108"/>
      <c r="BE13" s="108"/>
      <c r="BF13" s="108"/>
      <c r="BG13" s="108"/>
      <c r="BH13" s="108"/>
      <c r="BI13" s="108"/>
      <c r="BJ13" s="108"/>
      <c r="BK13" s="108"/>
      <c r="BL13" s="108"/>
      <c r="BM13" s="108"/>
      <c r="BN13" s="108"/>
      <c r="BO13" s="108"/>
      <c r="BP13" s="108"/>
      <c r="BQ13" s="108"/>
      <c r="BR13" s="108"/>
      <c r="BS13" s="108"/>
      <c r="BT13" s="108"/>
      <c r="BU13" s="108"/>
      <c r="BV13" s="108"/>
      <c r="BW13" s="108"/>
      <c r="BX13" s="108"/>
      <c r="BY13" s="108"/>
      <c r="BZ13" s="108"/>
      <c r="CA13" s="108"/>
      <c r="CB13" s="108"/>
      <c r="CC13" s="108"/>
      <c r="CD13" s="108"/>
      <c r="CE13" s="108"/>
      <c r="CF13" s="108"/>
      <c r="CG13" s="108"/>
      <c r="CH13" s="473"/>
      <c r="CI13" s="109"/>
      <c r="CJ13" s="109"/>
      <c r="CK13" s="109"/>
      <c r="CL13" s="109"/>
      <c r="CM13" s="109"/>
      <c r="CN13" s="109"/>
      <c r="CO13" s="110"/>
    </row>
    <row r="14" spans="1:93" s="112" customFormat="1" ht="24" customHeight="1" x14ac:dyDescent="0.25">
      <c r="A14" s="111" t="s">
        <v>40</v>
      </c>
      <c r="B14" s="100">
        <f>SUM(CI14:CN14)</f>
        <v>0</v>
      </c>
      <c r="C14" s="101">
        <f>SUMIFS('9'!$E:$E,'9'!$A:$A,Año_Inicial+11,'9'!$D:$D,"Poda")</f>
        <v>0</v>
      </c>
      <c r="D14" s="100">
        <f t="shared" ref="D14:D44" si="45">C14-B14</f>
        <v>0</v>
      </c>
      <c r="E14" s="473"/>
      <c r="F14" s="101">
        <f>((A12_A_L1*Poda_A)+(A12_B_L1*Poda_B)+(A12_C_L1*Poda_C)+(A12_D_L1*Poda_D)+(A12_Y_L1*Poda_Y))*Inflación_12</f>
        <v>0</v>
      </c>
      <c r="G14" s="101">
        <f>SUMIFS('9'!$E:$E,'9'!$A:$A,Año_Inicial+11,'9'!$B:$B,'12'!F$4,'9'!$D:$D,"Poda")</f>
        <v>0</v>
      </c>
      <c r="H14" s="101">
        <f>((A12_A_L2*Poda_A)+(A12_B_L2*Poda_B)+(A12_C_L2*Poda_C)+(A12_D_L2*Poda_D)+(A12_Y_L2*Poda_Y))*Inflación_12</f>
        <v>0</v>
      </c>
      <c r="I14" s="101">
        <f>SUMIFS('9'!$E:$E,'9'!$A:$A,Año_Inicial+11,'9'!$B:$B,'12'!H$4,'9'!$D:$D,"Poda")</f>
        <v>0</v>
      </c>
      <c r="J14" s="101">
        <f>((A12_A_L3*Poda_A)+(A12_B_L3*Poda_B)+(A12_C_L3*Poda_C)+(A12_D_L3*Poda_D)+(A12_Y_L3*Poda_Y))*Inflación_12</f>
        <v>0</v>
      </c>
      <c r="K14" s="101">
        <f>SUMIFS('9'!$E:$E,'9'!$A:$A,Año_Inicial+11,'9'!$B:$B,'12'!J$4,'9'!$D:$D,"Poda")</f>
        <v>0</v>
      </c>
      <c r="L14" s="101">
        <f>((A12_A_L4*Poda_A)+(A12_B_L4*Poda_B)+(A12_C_L4*Poda_C)+(A12_D_L4*Poda_D)+(A12_Y_L4*Poda_Y))*Inflación_12</f>
        <v>0</v>
      </c>
      <c r="M14" s="101">
        <f>SUMIFS('9'!$E:$E,'9'!$A:$A,Año_Inicial+11,'9'!$B:$B,'12'!L$4,'9'!$D:$D,"Poda")</f>
        <v>0</v>
      </c>
      <c r="N14" s="101">
        <f>((A12_A_L5*Poda_A)+(A12_B_L5*Poda_B)+(A12_C_L5*Poda_C)+(A12_D_L5*Poda_D)+(A12_Y_L5*Poda_Y))*Inflación_12</f>
        <v>0</v>
      </c>
      <c r="O14" s="101">
        <f>SUMIFS('9'!$E:$E,'9'!$A:$A,Año_Inicial+11,'9'!$B:$B,'12'!N$4,'9'!$D:$D,"Poda")</f>
        <v>0</v>
      </c>
      <c r="P14" s="101">
        <f>((A12_A_L6*Poda_A)+(A12_B_L6*Poda_B)+(A12_C_L6*Poda_C)+(A12_D_L6*Poda_D)+(A12_Y_L6*Poda_Y))*Inflación_12</f>
        <v>0</v>
      </c>
      <c r="Q14" s="101">
        <f>SUMIFS('9'!$E:$E,'9'!$A:$A,Año_Inicial+11,'9'!$B:$B,'12'!P$4,'9'!$D:$D,"Poda")</f>
        <v>0</v>
      </c>
      <c r="R14" s="101">
        <f>((A12_A_L7*Poda_A)+(A12_B_L7*Poda_B)+(A12_C_L7*Poda_C)+(A12_D_L7*Poda_D)+(A12_Y_L7*Poda_Y))*Inflación_12</f>
        <v>0</v>
      </c>
      <c r="S14" s="101">
        <f>SUMIFS('9'!$E:$E,'9'!$A:$A,Año_Inicial+11,'9'!$B:$B,'12'!R$4,'9'!$D:$D,"Poda")</f>
        <v>0</v>
      </c>
      <c r="T14" s="101">
        <f>((A12_A_L8*Poda_A)+(A12_B_L8*Poda_B)+(A12_C_L8*Poda_C)+(A12_D_L8*Poda_D)+(A12_Y_L8*Poda_Y))*Inflación_12</f>
        <v>0</v>
      </c>
      <c r="U14" s="101">
        <f>SUMIFS('9'!$E:$E,'9'!$A:$A,Año_Inicial+11,'9'!$B:$B,'12'!T$4,'9'!$D:$D,"Poda")</f>
        <v>0</v>
      </c>
      <c r="V14" s="101">
        <f>((A12_A_L9*Poda_A)+(A12_B_L9*Poda_B)+(A12_C_L9*Poda_C)+(A12_D_L9*Poda_D)+(A12_Y_L9*Poda_Y))*Inflación_12</f>
        <v>0</v>
      </c>
      <c r="W14" s="101">
        <f>SUMIFS('9'!$E:$E,'9'!$A:$A,Año_Inicial+11,'9'!$B:$B,'12'!V$4,'9'!$D:$D,"Poda")</f>
        <v>0</v>
      </c>
      <c r="X14" s="101">
        <f>((A12_A_L10*Poda_A)+(A12_B_L10*Poda_B)+(A12_C_L10*Poda_C)+(A12_D_L10*Poda_D)+(A12_Y_L10*Poda_Y))*Inflación_12</f>
        <v>0</v>
      </c>
      <c r="Y14" s="101">
        <f>SUMIFS('9'!$E:$E,'9'!$A:$A,Año_Inicial+11,'9'!$B:$B,'12'!X$4,'9'!$D:$D,"Poda")</f>
        <v>0</v>
      </c>
      <c r="Z14" s="101">
        <f>((A12_A_L11*Poda_A)+(A12_B_L11*Poda_B)+(A12_C_L11*Poda_C)+(A12_D_L11*Poda_D)+(A12_Y_L11*Poda_Y))*Inflación_12</f>
        <v>0</v>
      </c>
      <c r="AA14" s="101">
        <f>SUMIFS('9'!$E:$E,'9'!$A:$A,Año_Inicial+11,'9'!$B:$B,'12'!Z$4,'9'!$D:$D,"Poda")</f>
        <v>0</v>
      </c>
      <c r="AB14" s="101">
        <f>((A12_A_L12*Poda_A)+(A12_B_L12*Poda_B)+(A12_C_L12*Poda_C)+(A12_D_L12*Poda_D)+(A12_Y_L12*Poda_Y))*Inflación_12</f>
        <v>0</v>
      </c>
      <c r="AC14" s="101">
        <f>SUMIFS('9'!$E:$E,'9'!$A:$A,Año_Inicial+11,'9'!$B:$B,'12'!AB$4,'9'!$D:$D,"Poda")</f>
        <v>0</v>
      </c>
      <c r="AD14" s="101">
        <f>((A12_A_L13*Poda_A)+(A12_B_L13*Poda_B)+(A12_C_L13*Poda_C)+(A12_D_L13*Poda_D)+(A12_Y_L13*Poda_Y))*Inflación_12</f>
        <v>0</v>
      </c>
      <c r="AE14" s="101">
        <f>SUMIFS('9'!$E:$E,'9'!$A:$A,Año_Inicial+11,'9'!$B:$B,'12'!AD$4,'9'!$D:$D,"Poda")</f>
        <v>0</v>
      </c>
      <c r="AF14" s="101">
        <f>((A12_A_L14*Poda_A)+(A12_B_L14*Poda_B)+(A12_C_L14*Poda_C)+(A12_D_L14*Poda_D)+(A12_Y_L14*Poda_Y))*Inflación_12</f>
        <v>0</v>
      </c>
      <c r="AG14" s="101">
        <f>SUMIFS('9'!$E:$E,'9'!$A:$A,Año_Inicial+11,'9'!$B:$B,'12'!AF$4,'9'!$D:$D,"Poda")</f>
        <v>0</v>
      </c>
      <c r="AH14" s="101">
        <f>((A12_A_L15*Poda_A)+(A12_B_L15*Poda_B)+(A12_C_L15*Poda_C)+(A12_D_L15*Poda_D)+(A12_Y_L15*Poda_Y))*Inflación_12</f>
        <v>0</v>
      </c>
      <c r="AI14" s="101">
        <f>SUMIFS('9'!$E:$E,'9'!$A:$A,Año_Inicial+11,'9'!$B:$B,'12'!AH$4,'9'!$D:$D,"Poda")</f>
        <v>0</v>
      </c>
      <c r="AJ14" s="101">
        <f>((A12_A_L16*Poda_A)+(A12_B_L16*Poda_B)+(A12_C_L16*Poda_C)+(A12_D_L16*Poda_D)+(A12_Y_L16*Poda_Y))*Inflación_12</f>
        <v>0</v>
      </c>
      <c r="AK14" s="101">
        <f>SUMIFS('9'!$E:$E,'9'!$A:$A,Año_Inicial+11,'9'!$B:$B,'12'!AJ$4,'9'!$D:$D,"Poda")</f>
        <v>0</v>
      </c>
      <c r="AL14" s="101">
        <f>((A12_A_L17*Poda_A)+(A12_B_L17*Poda_B)+(A12_C_L17*Poda_C)+(A12_D_L17*Poda_D)+(A12_Y_L17*Poda_Y))*Inflación_12</f>
        <v>0</v>
      </c>
      <c r="AM14" s="101">
        <f>SUMIFS('9'!$E:$E,'9'!$A:$A,Año_Inicial+11,'9'!$B:$B,'12'!AL$4,'9'!$D:$D,"Poda")</f>
        <v>0</v>
      </c>
      <c r="AN14" s="101">
        <f>((A12_A_L18*Poda_A)+(A12_B_L18*Poda_B)+(A12_C_L18*Poda_C)+(A12_D_L18*Poda_D)+(A12_Y_L18*Poda_Y))*Inflación_12</f>
        <v>0</v>
      </c>
      <c r="AO14" s="101">
        <f>SUMIFS('9'!$E:$E,'9'!$A:$A,Año_Inicial+11,'9'!$B:$B,'12'!AN$4,'9'!$D:$D,"Poda")</f>
        <v>0</v>
      </c>
      <c r="AP14" s="101">
        <f>((A12_A_L19*Poda_A)+(A12_B_L19*Poda_B)+(A12_C_L19*Poda_C)+(A12_D_L19*Poda_D)+(A12_Y_L19*Poda_Y))*Inflación_12</f>
        <v>0</v>
      </c>
      <c r="AQ14" s="101">
        <f>SUMIFS('9'!$E:$E,'9'!$A:$A,Año_Inicial+11,'9'!$B:$B,'12'!AP$4,'9'!$D:$D,"Poda")</f>
        <v>0</v>
      </c>
      <c r="AR14" s="101">
        <f>((A12_A_L20*Poda_A)+(A12_B_L20*Poda_B)+(A12_C_L20*Poda_C)+(A12_D_L20*Poda_D)+(A12_Y_L20*Poda_Y))*Inflación_12</f>
        <v>0</v>
      </c>
      <c r="AS14" s="101">
        <f>SUMIFS('9'!$E:$E,'9'!$A:$A,Año_Inicial+11,'9'!$B:$B,'12'!AR$4,'9'!$D:$D,"Poda")</f>
        <v>0</v>
      </c>
      <c r="AT14" s="101">
        <f>((A12_A_L21*Poda_A)+(A12_B_L21*Poda_B)+(A12_C_L21*Poda_C)+(A12_D_L21*Poda_D)+(A12_Y_L21*Poda_Y))*Inflación_12</f>
        <v>0</v>
      </c>
      <c r="AU14" s="101">
        <f>SUMIFS('9'!$E:$E,'9'!$A:$A,Año_Inicial+11,'9'!$B:$B,'12'!AT$4,'9'!$D:$D,"Poda")</f>
        <v>0</v>
      </c>
      <c r="AV14" s="101">
        <f>((A12_A_L22*Poda_A)+(A12_B_L22*Poda_B)+(A12_C_L22*Poda_C)+(A12_D_L22*Poda_D)+(A12_Y_L22*Poda_Y))*Inflación_12</f>
        <v>0</v>
      </c>
      <c r="AW14" s="101">
        <f>SUMIFS('9'!$E:$E,'9'!$A:$A,Año_Inicial+11,'9'!$B:$B,'12'!AV$4,'9'!$D:$D,"Poda")</f>
        <v>0</v>
      </c>
      <c r="AX14" s="101">
        <f>((A12_A_L23*Poda_A)+(A12_B_L23*Poda_B)+(A12_C_L23*Poda_C)+(A12_D_L23*Poda_D)+(A12_Y_L23*Poda_Y))*Inflación_12</f>
        <v>0</v>
      </c>
      <c r="AY14" s="101">
        <f>SUMIFS('9'!$E:$E,'9'!$A:$A,Año_Inicial+11,'9'!$B:$B,'12'!AX$4,'9'!$D:$D,"Poda")</f>
        <v>0</v>
      </c>
      <c r="AZ14" s="101">
        <f>((A12_A_L24*Poda_A)+(A12_B_L24*Poda_B)+(A12_C_L24*Poda_C)+(A12_D_L24*Poda_D)+(A12_Y_L24*Poda_Y))*Inflación_12</f>
        <v>0</v>
      </c>
      <c r="BA14" s="101">
        <f>SUMIFS('9'!$E:$E,'9'!$A:$A,Año_Inicial+11,'9'!$B:$B,'12'!AZ$4,'9'!$D:$D,"Poda")</f>
        <v>0</v>
      </c>
      <c r="BB14" s="101">
        <f>((A12_A_L25*Poda_A)+(A12_B_L25*Poda_B)+(A12_C_L25*Poda_C)+(A12_D_L25*Poda_D)+(A12_Y_L25*Poda_Y))*Inflación_12</f>
        <v>0</v>
      </c>
      <c r="BC14" s="101">
        <f>SUMIFS('9'!$E:$E,'9'!$A:$A,Año_Inicial+11,'9'!$B:$B,'12'!BB$4,'9'!$D:$D,"Poda")</f>
        <v>0</v>
      </c>
      <c r="BD14" s="101">
        <f>((A12_A_L26*Poda_A)+(A12_B_L26*Poda_B)+(A12_C_L26*Poda_C)+(A12_D_L26*Poda_D)+(A12_Y_L26*Poda_Y))*Inflación_12</f>
        <v>0</v>
      </c>
      <c r="BE14" s="101">
        <f>SUMIFS('9'!$E:$E,'9'!$A:$A,Año_Inicial+11,'9'!$B:$B,'12'!BD$4,'9'!$D:$D,"Poda")</f>
        <v>0</v>
      </c>
      <c r="BF14" s="101">
        <f>((A12_A_L27*Poda_A)+(A12_B_L27*Poda_B)+(A12_C_L27*Poda_C)+(A12_D_L27*Poda_D)+(A12_Y_L27*Poda_Y))*Inflación_12</f>
        <v>0</v>
      </c>
      <c r="BG14" s="101">
        <f>SUMIFS('9'!$E:$E,'9'!$A:$A,Año_Inicial+11,'9'!$B:$B,'12'!BF$4,'9'!$D:$D,"Poda")</f>
        <v>0</v>
      </c>
      <c r="BH14" s="101">
        <f>((A12_A_L28*Poda_A)+(A12_B_L28*Poda_B)+(A12_C_L28*Poda_C)+(A12_D_L28*Poda_D)+(A12_Y_L28*Poda_Y))*Inflación_12</f>
        <v>0</v>
      </c>
      <c r="BI14" s="101">
        <f>SUMIFS('9'!$E:$E,'9'!$A:$A,Año_Inicial+11,'9'!$B:$B,'12'!BH$4,'9'!$D:$D,"Poda")</f>
        <v>0</v>
      </c>
      <c r="BJ14" s="101">
        <f>((A12_A_L29*Poda_A)+(A12_B_L29*Poda_B)+(A12_C_L29*Poda_C)+(A12_D_L29*Poda_D)+(A12_Y_L29*Poda_Y))*Inflación_12</f>
        <v>0</v>
      </c>
      <c r="BK14" s="101">
        <f>SUMIFS('9'!$E:$E,'9'!$A:$A,Año_Inicial+11,'9'!$B:$B,'12'!BJ$4,'9'!$D:$D,"Poda")</f>
        <v>0</v>
      </c>
      <c r="BL14" s="101">
        <f>((A12_A_L30*Poda_A)+(A12_B_L30*Poda_B)+(A12_C_L30*Poda_C)+(A12_D_L30*Poda_D)+(A12_Y_L30*Poda_Y))*Inflación_12</f>
        <v>0</v>
      </c>
      <c r="BM14" s="101">
        <f>SUMIFS('9'!$E:$E,'9'!$A:$A,Año_Inicial+11,'9'!$B:$B,'12'!BL$4,'9'!$D:$D,"Poda")</f>
        <v>0</v>
      </c>
      <c r="BN14" s="101">
        <f>((A12_A_L31*Poda_A)+(A12_B_L31*Poda_B)+(A12_C_L31*Poda_C)+(A12_D_L31*Poda_D)+(A12_Y_L31*Poda_Y))*Inflación_12</f>
        <v>0</v>
      </c>
      <c r="BO14" s="101">
        <f>SUMIFS('9'!$E:$E,'9'!$A:$A,Año_Inicial+11,'9'!$B:$B,'12'!BN$4,'9'!$D:$D,"Poda")</f>
        <v>0</v>
      </c>
      <c r="BP14" s="101">
        <f>((A12_A_L32*Poda_A)+(A12_B_L32*Poda_B)+(A12_C_L32*Poda_C)+(A12_D_L32*Poda_D)+(A12_Y_L32*Poda_Y))*Inflación_12</f>
        <v>0</v>
      </c>
      <c r="BQ14" s="101">
        <f>SUMIFS('9'!$E:$E,'9'!$A:$A,Año_Inicial+11,'9'!$B:$B,'12'!BP$4,'9'!$D:$D,"Poda")</f>
        <v>0</v>
      </c>
      <c r="BR14" s="101">
        <f>((A12_A_L33*Poda_A)+(A12_B_L33*Poda_B)+(A12_C_L33*Poda_C)+(A12_D_L33*Poda_D)+(A12_Y_L33*Poda_Y))*Inflación_12</f>
        <v>0</v>
      </c>
      <c r="BS14" s="101">
        <f>SUMIFS('9'!$E:$E,'9'!$A:$A,Año_Inicial+11,'9'!$B:$B,'12'!BR$4,'9'!$D:$D,"Poda")</f>
        <v>0</v>
      </c>
      <c r="BT14" s="101">
        <f>((A12_A_L34*Poda_A)+(A12_B_L34*Poda_B)+(A12_C_L34*Poda_C)+(A12_D_L34*Poda_D)+(A12_Y_L34*Poda_Y))*Inflación_12</f>
        <v>0</v>
      </c>
      <c r="BU14" s="101">
        <f>SUMIFS('9'!$E:$E,'9'!$A:$A,Año_Inicial+11,'9'!$B:$B,'12'!BT$4,'9'!$D:$D,"Poda")</f>
        <v>0</v>
      </c>
      <c r="BV14" s="101">
        <f>((A12_A_L35*Poda_A)+(A12_B_L35*Poda_B)+(A12_C_L35*Poda_C)+(A12_D_L35*Poda_D)+(A12_Y_L35*Poda_Y))*Inflación_12</f>
        <v>0</v>
      </c>
      <c r="BW14" s="101">
        <f>SUMIFS('9'!$E:$E,'9'!$A:$A,Año_Inicial+11,'9'!$B:$B,'12'!BV$4,'9'!$D:$D,"Poda")</f>
        <v>0</v>
      </c>
      <c r="BX14" s="101">
        <f>((A12_A_L36*Poda_A)+(A12_B_L36*Poda_B)+(A12_C_L36*Poda_C)+(A12_D_L36*Poda_D)+(A12_Y_L36*Poda_Y))*Inflación_12</f>
        <v>0</v>
      </c>
      <c r="BY14" s="101">
        <f>SUMIFS('9'!$E:$E,'9'!$A:$A,Año_Inicial+11,'9'!$B:$B,'12'!BX$4,'9'!$D:$D,"Poda")</f>
        <v>0</v>
      </c>
      <c r="BZ14" s="101">
        <f>((A12_A_L37*Poda_A)+(A12_B_L37*Poda_B)+(A12_C_L37*Poda_C)+(A12_D_L37*Poda_D)+(A12_Y_L37*Poda_Y))*Inflación_12</f>
        <v>0</v>
      </c>
      <c r="CA14" s="101">
        <f>SUMIFS('9'!$E:$E,'9'!$A:$A,Año_Inicial+11,'9'!$B:$B,'12'!BZ$4,'9'!$D:$D,"Poda")</f>
        <v>0</v>
      </c>
      <c r="CB14" s="101">
        <f>((A12_A_L38*Poda_A)+(A12_B_L38*Poda_B)+(A12_C_L38*Poda_C)+(A12_D_L38*Poda_D)+(A12_Y_L38*Poda_Y))*Inflación_12</f>
        <v>0</v>
      </c>
      <c r="CC14" s="101">
        <f>SUMIFS('9'!$E:$E,'9'!$A:$A,Año_Inicial+11,'9'!$B:$B,'12'!CB$4,'9'!$D:$D,"Poda")</f>
        <v>0</v>
      </c>
      <c r="CD14" s="101">
        <f>((A12_A_L39*Poda_A)+(A12_B_L39*Poda_B)+(A12_C_L39*Poda_C)+(A12_D_L39*Poda_D)+(A12_Y_L39*Poda_Y))*Inflación_12</f>
        <v>0</v>
      </c>
      <c r="CE14" s="101">
        <f>SUMIFS('9'!$E:$E,'9'!$A:$A,Año_Inicial+11,'9'!$B:$B,'12'!CD$4,'9'!$D:$D,"Poda")</f>
        <v>0</v>
      </c>
      <c r="CF14" s="101">
        <f>((A12_A_L40*Poda_A)+(A12_B_L40*Poda_B)+(A12_C_L40*Poda_C)+(A12_D_L40*Poda_D)+(A12_Y_L40*Poda_Y))*Inflación_12</f>
        <v>0</v>
      </c>
      <c r="CG14" s="101">
        <f>SUMIFS('9'!$E:$E,'9'!$A:$A,Año_Inicial+11,'9'!$B:$B,'12'!CF$4,'9'!$D:$D,"Poda")</f>
        <v>0</v>
      </c>
      <c r="CH14" s="473"/>
      <c r="CI14" s="101">
        <f>Plantas_A_A12*Poda_A*Inflación_12</f>
        <v>0</v>
      </c>
      <c r="CJ14" s="101">
        <f>Plantas_B_A12*Poda_B</f>
        <v>0</v>
      </c>
      <c r="CK14" s="101">
        <f>Plantas_C_A12*Poda_C</f>
        <v>0</v>
      </c>
      <c r="CL14" s="101">
        <f>Plantas_D_A12*Poda_D</f>
        <v>0</v>
      </c>
      <c r="CM14" s="101"/>
      <c r="CN14" s="101">
        <f>Plantas_Y_A12*Poda_Y</f>
        <v>0</v>
      </c>
      <c r="CO14" s="102">
        <v>0</v>
      </c>
    </row>
    <row r="15" spans="1:93" s="112" customFormat="1" ht="24" customHeight="1" x14ac:dyDescent="0.25">
      <c r="A15" s="111" t="s">
        <v>48</v>
      </c>
      <c r="B15" s="100">
        <f>SUM(CI15:CN15)</f>
        <v>0</v>
      </c>
      <c r="C15" s="101">
        <f>SUMIFS('9'!$E:$E,'9'!$A:$A,Año_Inicial+11,'9'!$D:$D,"Deshije")</f>
        <v>0</v>
      </c>
      <c r="D15" s="100">
        <f t="shared" si="45"/>
        <v>0</v>
      </c>
      <c r="E15" s="473"/>
      <c r="F15" s="101">
        <f>((A12_A_L1*Deshije_A)+(A12_B_L1*Deshije_B)+(A12_C_L1*Deshije_C)+(A12_D_L1*Deshije_D)+(A12_Y_L1*Deshije_Y))*Inflación_12</f>
        <v>0</v>
      </c>
      <c r="G15" s="101">
        <f>SUMIFS('9'!$E:$E,'9'!$A:$A,Año_Inicial+11,'9'!$B:$B,'12'!F$4,'9'!$D:$D,"Deshije")</f>
        <v>0</v>
      </c>
      <c r="H15" s="101">
        <f>((A12_A_L2*Deshije_A)+(A12_B_L2*Deshije_B)+(A12_C_L2*Deshije_C)+(A12_D_L2*Deshije_D)+(A12_Y_L2*Deshije_Y))*Inflación_12</f>
        <v>0</v>
      </c>
      <c r="I15" s="101">
        <f>SUMIFS('9'!$E:$E,'9'!$A:$A,Año_Inicial+11,'9'!$B:$B,'12'!H$4,'9'!$D:$D,"Deshije")</f>
        <v>0</v>
      </c>
      <c r="J15" s="101">
        <f>((A12_A_L3*Deshije_A)+(A12_B_L3*Deshije_B)+(A12_C_L3*Deshije_C)+(A12_D_L3*Deshije_D)+(A12_Y_L3*Deshije_Y))*Inflación_12</f>
        <v>0</v>
      </c>
      <c r="K15" s="101">
        <f>SUMIFS('9'!$E:$E,'9'!$A:$A,Año_Inicial+11,'9'!$B:$B,'12'!J$4,'9'!$D:$D,"Deshije")</f>
        <v>0</v>
      </c>
      <c r="L15" s="101">
        <f>((A12_A_L4*Deshije_A)+(A12_B_L4*Deshije_B)+(A12_C_L4*Deshije_C)+(A12_D_L4*Deshije_D)+(A12_Y_L4*Deshije_Y))*Inflación_12</f>
        <v>0</v>
      </c>
      <c r="M15" s="101">
        <f>SUMIFS('9'!$E:$E,'9'!$A:$A,Año_Inicial+11,'9'!$B:$B,'12'!L$4,'9'!$D:$D,"Deshije")</f>
        <v>0</v>
      </c>
      <c r="N15" s="101">
        <f>((A12_A_L5*Deshije_A)+(A12_B_L5*Deshije_B)+(A12_C_L5*Deshije_C)+(A12_D_L5*Deshije_D)+(A12_Y_L5*Deshije_Y))*Inflación_12</f>
        <v>0</v>
      </c>
      <c r="O15" s="101">
        <f>SUMIFS('9'!$E:$E,'9'!$A:$A,Año_Inicial+11,'9'!$B:$B,'12'!N$4,'9'!$D:$D,"Deshije")</f>
        <v>0</v>
      </c>
      <c r="P15" s="101">
        <f>((A12_A_L6*Deshije_A)+(A12_B_L6*Deshije_B)+(A12_C_L6*Deshije_C)+(A12_D_L6*Deshije_D)+(A12_Y_L6*Deshije_Y))*Inflación_12</f>
        <v>0</v>
      </c>
      <c r="Q15" s="101">
        <f>SUMIFS('9'!$E:$E,'9'!$A:$A,Año_Inicial+11,'9'!$B:$B,'12'!P$4,'9'!$D:$D,"Deshije")</f>
        <v>0</v>
      </c>
      <c r="R15" s="101">
        <f>((A12_A_L7*Deshije_A)+(A12_B_L7*Deshije_B)+(A12_C_L7*Deshije_C)+(A12_D_L7*Deshije_D)+(A12_Y_L7*Deshije_Y))*Inflación_12</f>
        <v>0</v>
      </c>
      <c r="S15" s="101">
        <f>SUMIFS('9'!$E:$E,'9'!$A:$A,Año_Inicial+11,'9'!$B:$B,'12'!R$4,'9'!$D:$D,"Deshije")</f>
        <v>0</v>
      </c>
      <c r="T15" s="101">
        <f>((A12_A_L8*Deshije_A)+(A12_B_L8*Deshije_B)+(A12_C_L8*Deshije_C)+(A12_D_L8*Deshije_D)+(A12_Y_L8*Deshije_Y))*Inflación_12</f>
        <v>0</v>
      </c>
      <c r="U15" s="101">
        <f>SUMIFS('9'!$E:$E,'9'!$A:$A,Año_Inicial+11,'9'!$B:$B,'12'!T$4,'9'!$D:$D,"Deshije")</f>
        <v>0</v>
      </c>
      <c r="V15" s="101">
        <f>((A12_A_L9*Deshije_A)+(A12_B_L9*Deshije_B)+(A12_C_L9*Deshije_C)+(A12_D_L9*Deshije_D)+(A12_Y_L9*Deshije_Y))*Inflación_12</f>
        <v>0</v>
      </c>
      <c r="W15" s="101">
        <f>SUMIFS('9'!$E:$E,'9'!$A:$A,Año_Inicial+11,'9'!$B:$B,'12'!V$4,'9'!$D:$D,"Deshije")</f>
        <v>0</v>
      </c>
      <c r="X15" s="101">
        <f>((A12_A_L10*Deshije_A)+(A12_B_L10*Deshije_B)+(A12_C_L10*Deshije_C)+(A12_D_L10*Deshije_D)+(A12_Y_L10*Deshije_Y))*Inflación_12</f>
        <v>0</v>
      </c>
      <c r="Y15" s="101">
        <f>SUMIFS('9'!$E:$E,'9'!$A:$A,Año_Inicial+11,'9'!$B:$B,'12'!X$4,'9'!$D:$D,"Deshije")</f>
        <v>0</v>
      </c>
      <c r="Z15" s="101">
        <f>((A12_A_L11*Deshije_A)+(A12_B_L11*Deshije_B)+(A12_C_L11*Deshije_C)+(A12_D_L11*Deshije_D)+(A12_Y_L11*Deshije_Y))*Inflación_12</f>
        <v>0</v>
      </c>
      <c r="AA15" s="101">
        <f>SUMIFS('9'!$E:$E,'9'!$A:$A,Año_Inicial+11,'9'!$B:$B,'12'!Z$4,'9'!$D:$D,"Deshije")</f>
        <v>0</v>
      </c>
      <c r="AB15" s="101">
        <f>((A12_A_L12*Deshije_A)+(A12_B_L12*Deshije_B)+(A12_C_L12*Deshije_C)+(A12_D_L12*Deshije_D)+(A12_Y_L12*Deshije_Y))*Inflación_12</f>
        <v>0</v>
      </c>
      <c r="AC15" s="101">
        <f>SUMIFS('9'!$E:$E,'9'!$A:$A,Año_Inicial+11,'9'!$B:$B,'12'!AB$4,'9'!$D:$D,"Deshije")</f>
        <v>0</v>
      </c>
      <c r="AD15" s="101">
        <f>((A12_A_L13*Deshije_A)+(A12_B_L13*Deshije_B)+(A12_C_L13*Deshije_C)+(A12_D_L13*Deshije_D)+(A12_Y_L13*Deshije_Y))*Inflación_12</f>
        <v>0</v>
      </c>
      <c r="AE15" s="101">
        <f>SUMIFS('9'!$E:$E,'9'!$A:$A,Año_Inicial+11,'9'!$B:$B,'12'!AD$4,'9'!$D:$D,"Deshije")</f>
        <v>0</v>
      </c>
      <c r="AF15" s="101">
        <f>((A12_A_L14*Deshije_A)+(A12_B_L14*Deshije_B)+(A12_C_L14*Deshije_C)+(A12_D_L14*Deshije_D)+(A12_Y_L14*Deshije_Y))*Inflación_12</f>
        <v>0</v>
      </c>
      <c r="AG15" s="101">
        <f>SUMIFS('9'!$E:$E,'9'!$A:$A,Año_Inicial+11,'9'!$B:$B,'12'!AF$4,'9'!$D:$D,"Deshije")</f>
        <v>0</v>
      </c>
      <c r="AH15" s="101">
        <f>((A12_A_L15*Deshije_A)+(A12_B_L15*Deshije_B)+(A12_C_L15*Deshije_C)+(A12_D_L15*Deshije_D)+(A12_Y_L15*Deshije_Y))*Inflación_12</f>
        <v>0</v>
      </c>
      <c r="AI15" s="101">
        <f>SUMIFS('9'!$E:$E,'9'!$A:$A,Año_Inicial+11,'9'!$B:$B,'12'!AH$4,'9'!$D:$D,"Deshije")</f>
        <v>0</v>
      </c>
      <c r="AJ15" s="101">
        <f>((A12_A_L16*Deshije_A)+(A12_B_L16*Deshije_B)+(A12_C_L16*Deshije_C)+(A12_D_L16*Deshije_D)+(A12_Y_L16*Deshije_Y))*Inflación_12</f>
        <v>0</v>
      </c>
      <c r="AK15" s="101">
        <f>SUMIFS('9'!$E:$E,'9'!$A:$A,Año_Inicial+11,'9'!$B:$B,'12'!AJ$4,'9'!$D:$D,"Deshije")</f>
        <v>0</v>
      </c>
      <c r="AL15" s="101">
        <f>((A12_A_L17*Deshije_A)+(A12_B_L17*Deshije_B)+(A12_C_L17*Deshije_C)+(A12_D_L17*Deshije_D)+(A12_Y_L17*Deshije_Y))*Inflación_12</f>
        <v>0</v>
      </c>
      <c r="AM15" s="101">
        <f>SUMIFS('9'!$E:$E,'9'!$A:$A,Año_Inicial+11,'9'!$B:$B,'12'!AL$4,'9'!$D:$D,"Deshije")</f>
        <v>0</v>
      </c>
      <c r="AN15" s="101">
        <f>((A12_A_L18*Deshije_A)+(A12_B_L18*Deshije_B)+(A12_C_L18*Deshije_C)+(A12_D_L18*Deshije_D)+(A12_Y_L18*Deshije_Y))*Inflación_12</f>
        <v>0</v>
      </c>
      <c r="AO15" s="101">
        <f>SUMIFS('9'!$E:$E,'9'!$A:$A,Año_Inicial+11,'9'!$B:$B,'12'!AN$4,'9'!$D:$D,"Deshije")</f>
        <v>0</v>
      </c>
      <c r="AP15" s="101">
        <f>((A12_A_L19*Deshije_A)+(A12_B_L19*Deshije_B)+(A12_C_L19*Deshije_C)+(A12_D_L19*Deshije_D)+(A12_Y_L19*Deshije_Y))*Inflación_12</f>
        <v>0</v>
      </c>
      <c r="AQ15" s="101">
        <f>SUMIFS('9'!$E:$E,'9'!$A:$A,Año_Inicial+11,'9'!$B:$B,'12'!AP$4,'9'!$D:$D,"Deshije")</f>
        <v>0</v>
      </c>
      <c r="AR15" s="101">
        <f>((A12_A_L20*Deshije_A)+(A12_B_L20*Deshije_B)+(A12_C_L20*Deshije_C)+(A12_D_L20*Deshije_D)+(A12_Y_L20*Deshije_Y))*Inflación_12</f>
        <v>0</v>
      </c>
      <c r="AS15" s="101">
        <f>SUMIFS('9'!$E:$E,'9'!$A:$A,Año_Inicial+11,'9'!$B:$B,'12'!AR$4,'9'!$D:$D,"Deshije")</f>
        <v>0</v>
      </c>
      <c r="AT15" s="101">
        <f>((A12_A_L21*Deshije_A)+(A12_B_L21*Deshije_B)+(A12_C_L21*Deshije_C)+(A12_D_L21*Deshije_D)+(A12_Y_L21*Deshije_Y))*Inflación_12</f>
        <v>0</v>
      </c>
      <c r="AU15" s="101">
        <f>SUMIFS('9'!$E:$E,'9'!$A:$A,Año_Inicial+11,'9'!$B:$B,'12'!AT$4,'9'!$D:$D,"Deshije")</f>
        <v>0</v>
      </c>
      <c r="AV15" s="101">
        <f>((A12_A_L22*Deshije_A)+(A12_B_L22*Deshije_B)+(A12_C_L22*Deshije_C)+(A12_D_L22*Deshije_D)+(A12_Y_L22*Deshije_Y))*Inflación_12</f>
        <v>0</v>
      </c>
      <c r="AW15" s="101">
        <f>SUMIFS('9'!$E:$E,'9'!$A:$A,Año_Inicial+11,'9'!$B:$B,'12'!AV$4,'9'!$D:$D,"Deshije")</f>
        <v>0</v>
      </c>
      <c r="AX15" s="101">
        <f>((A12_A_L23*Deshije_A)+(A12_B_L23*Deshije_B)+(A12_C_L23*Deshije_C)+(A12_D_L23*Deshije_D)+(A12_Y_L23*Deshije_Y))*Inflación_12</f>
        <v>0</v>
      </c>
      <c r="AY15" s="101">
        <f>SUMIFS('9'!$E:$E,'9'!$A:$A,Año_Inicial+11,'9'!$B:$B,'12'!AX$4,'9'!$D:$D,"Deshije")</f>
        <v>0</v>
      </c>
      <c r="AZ15" s="101">
        <f>((A12_A_L24*Deshije_A)+(A12_B_L24*Deshije_B)+(A12_C_L24*Deshije_C)+(A12_D_L24*Deshije_D)+(A12_Y_L24*Deshije_Y))*Inflación_12</f>
        <v>0</v>
      </c>
      <c r="BA15" s="101">
        <f>SUMIFS('9'!$E:$E,'9'!$A:$A,Año_Inicial+11,'9'!$B:$B,'12'!AZ$4,'9'!$D:$D,"Deshije")</f>
        <v>0</v>
      </c>
      <c r="BB15" s="101">
        <f>((A12_A_L25*Deshije_A)+(A12_B_L25*Deshije_B)+(A12_C_L25*Deshije_C)+(A12_D_L25*Deshije_D)+(A12_Y_L25*Deshije_Y))*Inflación_12</f>
        <v>0</v>
      </c>
      <c r="BC15" s="101">
        <f>SUMIFS('9'!$E:$E,'9'!$A:$A,Año_Inicial+11,'9'!$B:$B,'12'!BB$4,'9'!$D:$D,"Deshije")</f>
        <v>0</v>
      </c>
      <c r="BD15" s="101">
        <f>((A12_A_L26*Deshije_A)+(A12_B_L26*Deshije_B)+(A12_C_L26*Deshije_C)+(A12_D_L26*Deshije_D)+(A12_Y_L26*Deshije_Y))*Inflación_12</f>
        <v>0</v>
      </c>
      <c r="BE15" s="101">
        <f>SUMIFS('9'!$E:$E,'9'!$A:$A,Año_Inicial+11,'9'!$B:$B,'12'!BD$4,'9'!$D:$D,"Deshije")</f>
        <v>0</v>
      </c>
      <c r="BF15" s="101">
        <f>((A12_A_L27*Deshije_A)+(A12_B_L27*Deshije_B)+(A12_C_L27*Deshije_C)+(A12_D_L27*Deshije_D)+(A12_Y_L27*Deshije_Y))*Inflación_12</f>
        <v>0</v>
      </c>
      <c r="BG15" s="101">
        <f>SUMIFS('9'!$E:$E,'9'!$A:$A,Año_Inicial+11,'9'!$B:$B,'12'!BF$4,'9'!$D:$D,"Deshije")</f>
        <v>0</v>
      </c>
      <c r="BH15" s="101">
        <f>((A12_A_L28*Deshije_A)+(A12_B_L28*Deshije_B)+(A12_C_L28*Deshije_C)+(A12_D_L28*Deshije_D)+(A12_Y_L28*Deshije_Y))*Inflación_12</f>
        <v>0</v>
      </c>
      <c r="BI15" s="101">
        <f>SUMIFS('9'!$E:$E,'9'!$A:$A,Año_Inicial+11,'9'!$B:$B,'12'!BH$4,'9'!$D:$D,"Deshije")</f>
        <v>0</v>
      </c>
      <c r="BJ15" s="101">
        <f>((A12_A_L29*Deshije_A)+(A12_B_L29*Deshije_B)+(A12_C_L29*Deshije_C)+(A12_D_L29*Deshije_D)+(A12_Y_L29*Deshije_Y))*Inflación_12</f>
        <v>0</v>
      </c>
      <c r="BK15" s="101">
        <f>SUMIFS('9'!$E:$E,'9'!$A:$A,Año_Inicial+11,'9'!$B:$B,'12'!BJ$4,'9'!$D:$D,"Deshije")</f>
        <v>0</v>
      </c>
      <c r="BL15" s="101">
        <f>((A12_A_L30*Deshije_A)+(A12_B_L30*Deshije_B)+(A12_C_L30*Deshije_C)+(A12_D_L30*Deshije_D)+(A12_Y_L30*Deshije_Y))*Inflación_12</f>
        <v>0</v>
      </c>
      <c r="BM15" s="101">
        <f>SUMIFS('9'!$E:$E,'9'!$A:$A,Año_Inicial+11,'9'!$B:$B,'12'!BL$4,'9'!$D:$D,"Deshije")</f>
        <v>0</v>
      </c>
      <c r="BN15" s="101">
        <f>((A12_A_L31*Deshije_A)+(A12_B_L31*Deshije_B)+(A12_C_L31*Deshije_C)+(A12_D_L31*Deshije_D)+(A12_Y_L31*Deshije_Y))*Inflación_12</f>
        <v>0</v>
      </c>
      <c r="BO15" s="101">
        <f>SUMIFS('9'!$E:$E,'9'!$A:$A,Año_Inicial+11,'9'!$B:$B,'12'!BN$4,'9'!$D:$D,"Deshije")</f>
        <v>0</v>
      </c>
      <c r="BP15" s="101">
        <f>((A12_A_L32*Deshije_A)+(A12_B_L32*Deshije_B)+(A12_C_L32*Deshije_C)+(A12_D_L32*Deshije_D)+(A12_Y_L32*Deshije_Y))*Inflación_12</f>
        <v>0</v>
      </c>
      <c r="BQ15" s="101">
        <f>SUMIFS('9'!$E:$E,'9'!$A:$A,Año_Inicial+11,'9'!$B:$B,'12'!BP$4,'9'!$D:$D,"Deshije")</f>
        <v>0</v>
      </c>
      <c r="BR15" s="101">
        <f>((A12_A_L33*Deshije_A)+(A12_B_L33*Deshije_B)+(A12_C_L33*Deshije_C)+(A12_D_L33*Deshije_D)+(A12_Y_L33*Deshije_Y))*Inflación_12</f>
        <v>0</v>
      </c>
      <c r="BS15" s="101">
        <f>SUMIFS('9'!$E:$E,'9'!$A:$A,Año_Inicial+11,'9'!$B:$B,'12'!BR$4,'9'!$D:$D,"Deshije")</f>
        <v>0</v>
      </c>
      <c r="BT15" s="101">
        <f>((A12_A_L34*Deshije_A)+(A12_B_L34*Deshije_B)+(A12_C_L34*Deshije_C)+(A12_D_L34*Deshije_D)+(A12_Y_L34*Deshije_Y))*Inflación_12</f>
        <v>0</v>
      </c>
      <c r="BU15" s="101">
        <f>SUMIFS('9'!$E:$E,'9'!$A:$A,Año_Inicial+11,'9'!$B:$B,'12'!BT$4,'9'!$D:$D,"Deshije")</f>
        <v>0</v>
      </c>
      <c r="BV15" s="101">
        <f>((A12_A_L35*Deshije_A)+(A12_B_L35*Deshije_B)+(A12_C_L35*Deshije_C)+(A12_D_L35*Deshije_D)+(A12_Y_L35*Deshije_Y))*Inflación_12</f>
        <v>0</v>
      </c>
      <c r="BW15" s="101">
        <f>SUMIFS('9'!$E:$E,'9'!$A:$A,Año_Inicial+11,'9'!$B:$B,'12'!BV$4,'9'!$D:$D,"Deshije")</f>
        <v>0</v>
      </c>
      <c r="BX15" s="101">
        <f>((A12_A_L36*Deshije_A)+(A12_B_L36*Deshije_B)+(A12_C_L36*Deshije_C)+(A12_D_L36*Deshije_D)+(A12_Y_L36*Deshije_Y))*Inflación_12</f>
        <v>0</v>
      </c>
      <c r="BY15" s="101">
        <f>SUMIFS('9'!$E:$E,'9'!$A:$A,Año_Inicial+11,'9'!$B:$B,'12'!BX$4,'9'!$D:$D,"Deshije")</f>
        <v>0</v>
      </c>
      <c r="BZ15" s="101">
        <f>((A12_A_L37*Deshije_A)+(A12_B_L37*Deshije_B)+(A12_C_L37*Deshije_C)+(A12_D_L37*Deshije_D)+(A12_Y_L37*Deshije_Y))*Inflación_12</f>
        <v>0</v>
      </c>
      <c r="CA15" s="101">
        <f>SUMIFS('9'!$E:$E,'9'!$A:$A,Año_Inicial+11,'9'!$B:$B,'12'!BZ$4,'9'!$D:$D,"Deshije")</f>
        <v>0</v>
      </c>
      <c r="CB15" s="101">
        <f>((A12_A_L38*Deshije_A)+(A12_B_L38*Deshije_B)+(A12_C_L38*Deshije_C)+(A12_D_L38*Deshije_D)+(A12_Y_L38*Deshije_Y))*Inflación_12</f>
        <v>0</v>
      </c>
      <c r="CC15" s="101">
        <f>SUMIFS('9'!$E:$E,'9'!$A:$A,Año_Inicial+11,'9'!$B:$B,'12'!CB$4,'9'!$D:$D,"Deshije")</f>
        <v>0</v>
      </c>
      <c r="CD15" s="101">
        <f>((A12_A_L39*Deshije_A)+(A12_B_L39*Deshije_B)+(A12_C_L39*Deshije_C)+(A12_D_L39*Deshije_D)+(A12_Y_L39*Deshije_Y))*Inflación_12</f>
        <v>0</v>
      </c>
      <c r="CE15" s="101">
        <f>SUMIFS('9'!$E:$E,'9'!$A:$A,Año_Inicial+11,'9'!$B:$B,'12'!CD$4,'9'!$D:$D,"Deshije")</f>
        <v>0</v>
      </c>
      <c r="CF15" s="101">
        <f>((A12_A_L40*Deshije_A)+(A12_B_L40*Deshije_B)+(A12_C_L40*Deshije_C)+(A12_D_L40*Deshije_D)+(A12_Y_L40*Deshije_Y))*Inflación_12</f>
        <v>0</v>
      </c>
      <c r="CG15" s="101">
        <f>SUMIFS('9'!$E:$E,'9'!$A:$A,Año_Inicial+11,'9'!$B:$B,'12'!CF$4,'9'!$D:$D,"Deshije")</f>
        <v>0</v>
      </c>
      <c r="CH15" s="473"/>
      <c r="CI15" s="101">
        <f>Plantas_A_A12*Deshije_A*Inflación_12</f>
        <v>0</v>
      </c>
      <c r="CJ15" s="101">
        <f>Plantas_B_A12*Deshije_B</f>
        <v>0</v>
      </c>
      <c r="CK15" s="101">
        <f>Plantas_C_A12*Deshije_C</f>
        <v>0</v>
      </c>
      <c r="CL15" s="101">
        <f>Plantas_D_A12*Deshije_D</f>
        <v>0</v>
      </c>
      <c r="CM15" s="101"/>
      <c r="CN15" s="101">
        <f>Plantas_Y_A12*Deshije_Y</f>
        <v>0</v>
      </c>
      <c r="CO15" s="102">
        <v>0</v>
      </c>
    </row>
    <row r="16" spans="1:93" s="61" customFormat="1" ht="26.1" customHeight="1" x14ac:dyDescent="0.3">
      <c r="A16" s="106" t="s">
        <v>31</v>
      </c>
      <c r="B16" s="100"/>
      <c r="C16" s="101"/>
      <c r="D16" s="100"/>
      <c r="E16" s="473"/>
      <c r="F16" s="101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  <c r="AA16" s="101"/>
      <c r="AB16" s="101"/>
      <c r="AC16" s="101"/>
      <c r="AD16" s="101"/>
      <c r="AE16" s="101"/>
      <c r="AF16" s="101"/>
      <c r="AG16" s="101"/>
      <c r="AH16" s="101"/>
      <c r="AI16" s="101"/>
      <c r="AJ16" s="101"/>
      <c r="AK16" s="101"/>
      <c r="AL16" s="101"/>
      <c r="AM16" s="101"/>
      <c r="AN16" s="101"/>
      <c r="AO16" s="101"/>
      <c r="AP16" s="101"/>
      <c r="AQ16" s="101"/>
      <c r="AR16" s="101"/>
      <c r="AS16" s="101"/>
      <c r="AT16" s="101"/>
      <c r="AU16" s="101"/>
      <c r="AV16" s="101"/>
      <c r="AW16" s="101"/>
      <c r="AX16" s="101"/>
      <c r="AY16" s="101"/>
      <c r="AZ16" s="101"/>
      <c r="BA16" s="101"/>
      <c r="BB16" s="101"/>
      <c r="BC16" s="101"/>
      <c r="BD16" s="101"/>
      <c r="BE16" s="101"/>
      <c r="BF16" s="101"/>
      <c r="BG16" s="101"/>
      <c r="BH16" s="101"/>
      <c r="BI16" s="101"/>
      <c r="BJ16" s="101"/>
      <c r="BK16" s="101"/>
      <c r="BL16" s="101"/>
      <c r="BM16" s="101"/>
      <c r="BN16" s="101"/>
      <c r="BO16" s="101"/>
      <c r="BP16" s="101"/>
      <c r="BQ16" s="101"/>
      <c r="BR16" s="101"/>
      <c r="BS16" s="101"/>
      <c r="BT16" s="101"/>
      <c r="BU16" s="101"/>
      <c r="BV16" s="101"/>
      <c r="BW16" s="101"/>
      <c r="BX16" s="101"/>
      <c r="BY16" s="101"/>
      <c r="BZ16" s="101"/>
      <c r="CA16" s="101"/>
      <c r="CB16" s="101"/>
      <c r="CC16" s="101"/>
      <c r="CD16" s="101"/>
      <c r="CE16" s="101"/>
      <c r="CF16" s="101"/>
      <c r="CG16" s="101"/>
      <c r="CH16" s="473"/>
      <c r="CI16" s="101"/>
      <c r="CJ16" s="101"/>
      <c r="CK16" s="101"/>
      <c r="CL16" s="101"/>
      <c r="CM16" s="101"/>
      <c r="CN16" s="101"/>
      <c r="CO16" s="102"/>
    </row>
    <row r="17" spans="1:93" s="112" customFormat="1" ht="24" customHeight="1" x14ac:dyDescent="0.25">
      <c r="A17" s="111" t="s">
        <v>4558</v>
      </c>
      <c r="B17" s="100">
        <f t="shared" ref="B17:B40" si="46">SUM(CI17:CN17)</f>
        <v>0</v>
      </c>
      <c r="C17" s="101">
        <f>SUMIFS('9'!$E:$E,'9'!$A:$A,Año_Inicial+11,'9'!$D:$D,"Aplicación de fertilizante")</f>
        <v>0</v>
      </c>
      <c r="D17" s="100">
        <f t="shared" si="45"/>
        <v>0</v>
      </c>
      <c r="E17" s="473"/>
      <c r="F17" s="101">
        <f>((A12_A_L1*Nutrición_A)+(A12_B_L1*Nutrición_B)+(A12_C_L1*Nutrición_C)+(A12_D_L1*Nutrición_D)+(A12_Y_L1*Nutrición_Y))*Inflación_12</f>
        <v>0</v>
      </c>
      <c r="G17" s="101">
        <f>SUMIFS('9'!$E:$E,'9'!$A:$A,Año_Inicial+11,'9'!$B:$B,'12'!F$4,'9'!$D:$D,"Aplicación de fertilizante")</f>
        <v>0</v>
      </c>
      <c r="H17" s="101">
        <f>((A12_A_L2*Nutrición_A)+(A12_B_L2*Nutrición_B)+(A12_C_L2*Nutrición_C)+(A12_D_L2*Nutrición_D)+(A12_Y_L2*Nutrición_Y))*Inflación_12</f>
        <v>0</v>
      </c>
      <c r="I17" s="101">
        <f>SUMIFS('9'!$E:$E,'9'!$A:$A,Año_Inicial+11,'9'!$B:$B,'12'!H$4,'9'!$D:$D,"Aplicación de fertilizante")</f>
        <v>0</v>
      </c>
      <c r="J17" s="101">
        <f>((A12_A_L3*Nutrición_A)+(A12_B_L3*Nutrición_B)+(A12_C_L3*Nutrición_C)+(A12_D_L3*Nutrición_D)+(A12_Y_L3*Nutrición_Y))*Inflación_12</f>
        <v>0</v>
      </c>
      <c r="K17" s="101">
        <f>SUMIFS('9'!$E:$E,'9'!$A:$A,Año_Inicial+11,'9'!$B:$B,'12'!J$4,'9'!$D:$D,"Aplicación de fertilizante")</f>
        <v>0</v>
      </c>
      <c r="L17" s="101">
        <f>((A12_A_L4*Nutrición_A)+(A12_B_L4*Nutrición_B)+(A12_C_L4*Nutrición_C)+(A12_D_L4*Nutrición_D)+(A12_Y_L4*Nutrición_Y))*Inflación_12</f>
        <v>0</v>
      </c>
      <c r="M17" s="101">
        <f>SUMIFS('9'!$E:$E,'9'!$A:$A,Año_Inicial+11,'9'!$B:$B,'12'!L$4,'9'!$D:$D,"Aplicación de fertilizante")</f>
        <v>0</v>
      </c>
      <c r="N17" s="101">
        <f>((A12_A_L5*Nutrición_A)+(A12_B_L5*Nutrición_B)+(A12_C_L5*Nutrición_C)+(A12_D_L5*Nutrición_D)+(A12_Y_L5*Nutrición_Y))*Inflación_12</f>
        <v>0</v>
      </c>
      <c r="O17" s="101">
        <f>SUMIFS('9'!$E:$E,'9'!$A:$A,Año_Inicial+11,'9'!$B:$B,'12'!N$4,'9'!$D:$D,"Aplicación de fertilizante")</f>
        <v>0</v>
      </c>
      <c r="P17" s="101">
        <f>((A12_A_L6*Nutrición_A)+(A12_B_L6*Nutrición_B)+(A12_C_L6*Nutrición_C)+(A12_D_L6*Nutrición_D)+(A12_Y_L6*Nutrición_Y))*Inflación_12</f>
        <v>0</v>
      </c>
      <c r="Q17" s="101">
        <f>SUMIFS('9'!$E:$E,'9'!$A:$A,Año_Inicial+11,'9'!$B:$B,'12'!P$4,'9'!$D:$D,"Aplicación de fertilizante")</f>
        <v>0</v>
      </c>
      <c r="R17" s="101">
        <f>((A12_A_L7*Nutrición_A)+(A12_B_L7*Nutrición_B)+(A12_C_L7*Nutrición_C)+(A12_D_L7*Nutrición_D)+(A12_Y_L7*Nutrición_Y))*Inflación_12</f>
        <v>0</v>
      </c>
      <c r="S17" s="101">
        <f>SUMIFS('9'!$E:$E,'9'!$A:$A,Año_Inicial+11,'9'!$B:$B,'12'!R$4,'9'!$D:$D,"Aplicación de fertilizante")</f>
        <v>0</v>
      </c>
      <c r="T17" s="101">
        <f>((A12_A_L8*Nutrición_A)+(A12_B_L8*Nutrición_B)+(A12_C_L8*Nutrición_C)+(A12_D_L8*Nutrición_D)+(A12_Y_L8*Nutrición_Y))*Inflación_12</f>
        <v>0</v>
      </c>
      <c r="U17" s="101">
        <f>SUMIFS('9'!$E:$E,'9'!$A:$A,Año_Inicial+11,'9'!$B:$B,'12'!T$4,'9'!$D:$D,"Aplicación de fertilizante")</f>
        <v>0</v>
      </c>
      <c r="V17" s="101">
        <f>((A12_A_L9*Nutrición_A)+(A12_B_L9*Nutrición_B)+(A12_C_L9*Nutrición_C)+(A12_D_L9*Nutrición_D)+(A12_Y_L9*Nutrición_Y))*Inflación_12</f>
        <v>0</v>
      </c>
      <c r="W17" s="101">
        <f>SUMIFS('9'!$E:$E,'9'!$A:$A,Año_Inicial+11,'9'!$B:$B,'12'!V$4,'9'!$D:$D,"Aplicación de fertilizante")</f>
        <v>0</v>
      </c>
      <c r="X17" s="101">
        <f>((A12_A_L10*Nutrición_A)+(A12_B_L10*Nutrición_B)+(A12_C_L10*Nutrición_C)+(A12_D_L10*Nutrición_D)+(A12_Y_L10*Nutrición_Y))*Inflación_12</f>
        <v>0</v>
      </c>
      <c r="Y17" s="101">
        <f>SUMIFS('9'!$E:$E,'9'!$A:$A,Año_Inicial+11,'9'!$B:$B,'12'!X$4,'9'!$D:$D,"Aplicación de fertilizante")</f>
        <v>0</v>
      </c>
      <c r="Z17" s="101">
        <f>((A12_A_L11*Nutrición_A)+(A12_B_L11*Nutrición_B)+(A12_C_L11*Nutrición_C)+(A12_D_L11*Nutrición_D)+(A12_Y_L11*Nutrición_Y))*Inflación_12</f>
        <v>0</v>
      </c>
      <c r="AA17" s="101">
        <f>SUMIFS('9'!$E:$E,'9'!$A:$A,Año_Inicial+11,'9'!$B:$B,'12'!Z$4,'9'!$D:$D,"Aplicación de fertilizante")</f>
        <v>0</v>
      </c>
      <c r="AB17" s="101">
        <f>((A12_A_L12*Nutrición_A)+(A12_B_L12*Nutrición_B)+(A12_C_L12*Nutrición_C)+(A12_D_L12*Nutrición_D)+(A12_Y_L12*Nutrición_Y))*Inflación_12</f>
        <v>0</v>
      </c>
      <c r="AC17" s="101">
        <f>SUMIFS('9'!$E:$E,'9'!$A:$A,Año_Inicial+11,'9'!$B:$B,'12'!AB$4,'9'!$D:$D,"Aplicación de fertilizante")</f>
        <v>0</v>
      </c>
      <c r="AD17" s="101">
        <f>((A12_A_L13*Nutrición_A)+(A12_B_L13*Nutrición_B)+(A12_C_L13*Nutrición_C)+(A12_D_L13*Nutrición_D)+(A12_Y_L13*Nutrición_Y))*Inflación_12</f>
        <v>0</v>
      </c>
      <c r="AE17" s="101">
        <f>SUMIFS('9'!$E:$E,'9'!$A:$A,Año_Inicial+11,'9'!$B:$B,'12'!AD$4,'9'!$D:$D,"Aplicación de fertilizante")</f>
        <v>0</v>
      </c>
      <c r="AF17" s="101">
        <f>((A12_A_L14*Nutrición_A)+(A12_B_L14*Nutrición_B)+(A12_C_L14*Nutrición_C)+(A12_D_L14*Nutrición_D)+(A12_Y_L14*Nutrición_Y))*Inflación_12</f>
        <v>0</v>
      </c>
      <c r="AG17" s="101">
        <f>SUMIFS('9'!$E:$E,'9'!$A:$A,Año_Inicial+11,'9'!$B:$B,'12'!AF$4,'9'!$D:$D,"Aplicación de fertilizante")</f>
        <v>0</v>
      </c>
      <c r="AH17" s="101">
        <f>((A12_A_L15*Nutrición_A)+(A12_B_L15*Nutrición_B)+(A12_C_L15*Nutrición_C)+(A12_D_L15*Nutrición_D)+(A12_Y_L15*Nutrición_Y))*Inflación_12</f>
        <v>0</v>
      </c>
      <c r="AI17" s="101">
        <f>SUMIFS('9'!$E:$E,'9'!$A:$A,Año_Inicial+11,'9'!$B:$B,'12'!AH$4,'9'!$D:$D,"Aplicación de fertilizante")</f>
        <v>0</v>
      </c>
      <c r="AJ17" s="101">
        <f>((A12_A_L16*Nutrición_A)+(A12_B_L16*Nutrición_B)+(A12_C_L16*Nutrición_C)+(A12_D_L16*Nutrición_D)+(A12_Y_L16*Nutrición_Y))*Inflación_12</f>
        <v>0</v>
      </c>
      <c r="AK17" s="101">
        <f>SUMIFS('9'!$E:$E,'9'!$A:$A,Año_Inicial+11,'9'!$B:$B,'12'!AJ$4,'9'!$D:$D,"Aplicación de fertilizante")</f>
        <v>0</v>
      </c>
      <c r="AL17" s="101">
        <f>((A12_A_L17*Nutrición_A)+(A12_B_L17*Nutrición_B)+(A12_C_L17*Nutrición_C)+(A12_D_L17*Nutrición_D)+(A12_Y_L17*Nutrición_Y))*Inflación_12</f>
        <v>0</v>
      </c>
      <c r="AM17" s="101">
        <f>SUMIFS('9'!$E:$E,'9'!$A:$A,Año_Inicial+11,'9'!$B:$B,'12'!AL$4,'9'!$D:$D,"Aplicación de fertilizante")</f>
        <v>0</v>
      </c>
      <c r="AN17" s="101">
        <f>((A12_A_L18*Nutrición_A)+(A12_B_L18*Nutrición_B)+(A12_C_L18*Nutrición_C)+(A12_D_L18*Nutrición_D)+(A12_Y_L18*Nutrición_Y))*Inflación_12</f>
        <v>0</v>
      </c>
      <c r="AO17" s="101">
        <f>SUMIFS('9'!$E:$E,'9'!$A:$A,Año_Inicial+11,'9'!$B:$B,'12'!AN$4,'9'!$D:$D,"Aplicación de fertilizante")</f>
        <v>0</v>
      </c>
      <c r="AP17" s="101">
        <f>((A12_A_L19*Nutrición_A)+(A12_B_L19*Nutrición_B)+(A12_C_L19*Nutrición_C)+(A12_D_L19*Nutrición_D)+(A12_Y_L19*Nutrición_Y))*Inflación_12</f>
        <v>0</v>
      </c>
      <c r="AQ17" s="101">
        <f>SUMIFS('9'!$E:$E,'9'!$A:$A,Año_Inicial+11,'9'!$B:$B,'12'!AP$4,'9'!$D:$D,"Aplicación de fertilizante")</f>
        <v>0</v>
      </c>
      <c r="AR17" s="101">
        <f>((A12_A_L20*Nutrición_A)+(A12_B_L20*Nutrición_B)+(A12_C_L20*Nutrición_C)+(A12_D_L20*Nutrición_D)+(A12_Y_L20*Nutrición_Y))*Inflación_12</f>
        <v>0</v>
      </c>
      <c r="AS17" s="101">
        <f>SUMIFS('9'!$E:$E,'9'!$A:$A,Año_Inicial+11,'9'!$B:$B,'12'!AR$4,'9'!$D:$D,"Aplicación de fertilizante")</f>
        <v>0</v>
      </c>
      <c r="AT17" s="101">
        <f>((A12_A_L21*Nutrición_A)+(A12_B_L21*Nutrición_B)+(A12_C_L21*Nutrición_C)+(A12_D_L21*Nutrición_D)+(A12_Y_L21*Nutrición_Y))*Inflación_12</f>
        <v>0</v>
      </c>
      <c r="AU17" s="101">
        <f>SUMIFS('9'!$E:$E,'9'!$A:$A,Año_Inicial+11,'9'!$B:$B,'12'!AT$4,'9'!$D:$D,"Aplicación de fertilizante")</f>
        <v>0</v>
      </c>
      <c r="AV17" s="101">
        <f>((A12_A_L22*Nutrición_A)+(A12_B_L22*Nutrición_B)+(A12_C_L22*Nutrición_C)+(A12_D_L22*Nutrición_D)+(A12_Y_L22*Nutrición_Y))*Inflación_12</f>
        <v>0</v>
      </c>
      <c r="AW17" s="101">
        <f>SUMIFS('9'!$E:$E,'9'!$A:$A,Año_Inicial+11,'9'!$B:$B,'12'!AV$4,'9'!$D:$D,"Aplicación de fertilizante")</f>
        <v>0</v>
      </c>
      <c r="AX17" s="101">
        <f>((A12_A_L23*Nutrición_A)+(A12_B_L23*Nutrición_B)+(A12_C_L23*Nutrición_C)+(A12_D_L23*Nutrición_D)+(A12_Y_L23*Nutrición_Y))*Inflación_12</f>
        <v>0</v>
      </c>
      <c r="AY17" s="101">
        <f>SUMIFS('9'!$E:$E,'9'!$A:$A,Año_Inicial+11,'9'!$B:$B,'12'!AX$4,'9'!$D:$D,"Aplicación de fertilizante")</f>
        <v>0</v>
      </c>
      <c r="AZ17" s="101">
        <f>((A12_A_L24*Nutrición_A)+(A12_B_L24*Nutrición_B)+(A12_C_L24*Nutrición_C)+(A12_D_L24*Nutrición_D)+(A12_Y_L24*Nutrición_Y))*Inflación_12</f>
        <v>0</v>
      </c>
      <c r="BA17" s="101">
        <f>SUMIFS('9'!$E:$E,'9'!$A:$A,Año_Inicial+11,'9'!$B:$B,'12'!AZ$4,'9'!$D:$D,"Aplicación de fertilizante")</f>
        <v>0</v>
      </c>
      <c r="BB17" s="101">
        <f>((A12_A_L25*Nutrición_A)+(A12_B_L25*Nutrición_B)+(A12_C_L25*Nutrición_C)+(A12_D_L25*Nutrición_D)+(A12_Y_L25*Nutrición_Y))*Inflación_12</f>
        <v>0</v>
      </c>
      <c r="BC17" s="101">
        <f>SUMIFS('9'!$E:$E,'9'!$A:$A,Año_Inicial+11,'9'!$B:$B,'12'!BB$4,'9'!$D:$D,"Aplicación de fertilizante")</f>
        <v>0</v>
      </c>
      <c r="BD17" s="101">
        <f>((A12_A_L26*Nutrición_A)+(A12_B_L26*Nutrición_B)+(A12_C_L26*Nutrición_C)+(A12_D_L26*Nutrición_D)+(A12_Y_L26*Nutrición_Y))*Inflación_12</f>
        <v>0</v>
      </c>
      <c r="BE17" s="101">
        <f>SUMIFS('9'!$E:$E,'9'!$A:$A,Año_Inicial+11,'9'!$B:$B,'12'!BD$4,'9'!$D:$D,"Aplicación de fertilizante")</f>
        <v>0</v>
      </c>
      <c r="BF17" s="101">
        <f>((A12_A_L27*Nutrición_A)+(A12_B_L27*Nutrición_B)+(A12_C_L27*Nutrición_C)+(A12_D_L27*Nutrición_D)+(A12_Y_L27*Nutrición_Y))*Inflación_12</f>
        <v>0</v>
      </c>
      <c r="BG17" s="101">
        <f>SUMIFS('9'!$E:$E,'9'!$A:$A,Año_Inicial+11,'9'!$B:$B,'12'!BF$4,'9'!$D:$D,"Aplicación de fertilizante")</f>
        <v>0</v>
      </c>
      <c r="BH17" s="101">
        <f>((A12_A_L28*Nutrición_A)+(A12_B_L28*Nutrición_B)+(A12_C_L28*Nutrición_C)+(A12_D_L28*Nutrición_D)+(A12_Y_L28*Nutrición_Y))*Inflación_12</f>
        <v>0</v>
      </c>
      <c r="BI17" s="101">
        <f>SUMIFS('9'!$E:$E,'9'!$A:$A,Año_Inicial+11,'9'!$B:$B,'12'!BH$4,'9'!$D:$D,"Aplicación de fertilizante")</f>
        <v>0</v>
      </c>
      <c r="BJ17" s="101">
        <f>((A12_A_L29*Nutrición_A)+(A12_B_L29*Nutrición_B)+(A12_C_L29*Nutrición_C)+(A12_D_L29*Nutrición_D)+(A12_Y_L29*Nutrición_Y))*Inflación_12</f>
        <v>0</v>
      </c>
      <c r="BK17" s="101">
        <f>SUMIFS('9'!$E:$E,'9'!$A:$A,Año_Inicial+11,'9'!$B:$B,'12'!BJ$4,'9'!$D:$D,"Aplicación de fertilizante")</f>
        <v>0</v>
      </c>
      <c r="BL17" s="101">
        <f>((A12_A_L30*Nutrición_A)+(A12_B_L30*Nutrición_B)+(A12_C_L30*Nutrición_C)+(A12_D_L30*Nutrición_D)+(A12_Y_L30*Nutrición_Y))*Inflación_12</f>
        <v>0</v>
      </c>
      <c r="BM17" s="101">
        <f>SUMIFS('9'!$E:$E,'9'!$A:$A,Año_Inicial+11,'9'!$B:$B,'12'!BL$4,'9'!$D:$D,"Aplicación de fertilizante")</f>
        <v>0</v>
      </c>
      <c r="BN17" s="101">
        <f>((A12_A_L31*Nutrición_A)+(A12_B_L31*Nutrición_B)+(A12_C_L31*Nutrición_C)+(A12_D_L31*Nutrición_D)+(A12_Y_L31*Nutrición_Y))*Inflación_12</f>
        <v>0</v>
      </c>
      <c r="BO17" s="101">
        <f>SUMIFS('9'!$E:$E,'9'!$A:$A,Año_Inicial+11,'9'!$B:$B,'12'!BN$4,'9'!$D:$D,"Aplicación de fertilizante")</f>
        <v>0</v>
      </c>
      <c r="BP17" s="101">
        <f>((A12_A_L32*Nutrición_A)+(A12_B_L32*Nutrición_B)+(A12_C_L32*Nutrición_C)+(A12_D_L32*Nutrición_D)+(A12_Y_L32*Nutrición_Y))*Inflación_12</f>
        <v>0</v>
      </c>
      <c r="BQ17" s="101">
        <f>SUMIFS('9'!$E:$E,'9'!$A:$A,Año_Inicial+11,'9'!$B:$B,'12'!BP$4,'9'!$D:$D,"Aplicación de fertilizante")</f>
        <v>0</v>
      </c>
      <c r="BR17" s="101">
        <f>((A12_A_L33*Nutrición_A)+(A12_B_L33*Nutrición_B)+(A12_C_L33*Nutrición_C)+(A12_D_L33*Nutrición_D)+(A12_Y_L33*Nutrición_Y))*Inflación_12</f>
        <v>0</v>
      </c>
      <c r="BS17" s="101">
        <f>SUMIFS('9'!$E:$E,'9'!$A:$A,Año_Inicial+11,'9'!$B:$B,'12'!BR$4,'9'!$D:$D,"Aplicación de fertilizante")</f>
        <v>0</v>
      </c>
      <c r="BT17" s="101">
        <f>((A12_A_L34*Nutrición_A)+(A12_B_L34*Nutrición_B)+(A12_C_L34*Nutrición_C)+(A12_D_L34*Nutrición_D)+(A12_Y_L34*Nutrición_Y))*Inflación_12</f>
        <v>0</v>
      </c>
      <c r="BU17" s="101">
        <f>SUMIFS('9'!$E:$E,'9'!$A:$A,Año_Inicial+11,'9'!$B:$B,'12'!BT$4,'9'!$D:$D,"Aplicación de fertilizante")</f>
        <v>0</v>
      </c>
      <c r="BV17" s="101">
        <f>((A12_A_L35*Nutrición_A)+(A12_B_L35*Nutrición_B)+(A12_C_L35*Nutrición_C)+(A12_D_L35*Nutrición_D)+(A12_Y_L35*Nutrición_Y))*Inflación_12</f>
        <v>0</v>
      </c>
      <c r="BW17" s="101">
        <f>SUMIFS('9'!$E:$E,'9'!$A:$A,Año_Inicial+11,'9'!$B:$B,'12'!BV$4,'9'!$D:$D,"Aplicación de fertilizante")</f>
        <v>0</v>
      </c>
      <c r="BX17" s="101">
        <f>((A12_A_L36*Nutrición_A)+(A12_B_L36*Nutrición_B)+(A12_C_L36*Nutrición_C)+(A12_D_L36*Nutrición_D)+(A12_Y_L36*Nutrición_Y))*Inflación_12</f>
        <v>0</v>
      </c>
      <c r="BY17" s="101">
        <f>SUMIFS('9'!$E:$E,'9'!$A:$A,Año_Inicial+11,'9'!$B:$B,'12'!BX$4,'9'!$D:$D,"Aplicación de fertilizante")</f>
        <v>0</v>
      </c>
      <c r="BZ17" s="101">
        <f>((A12_A_L37*Nutrición_A)+(A12_B_L37*Nutrición_B)+(A12_C_L37*Nutrición_C)+(A12_D_L37*Nutrición_D)+(A12_Y_L37*Nutrición_Y))*Inflación_12</f>
        <v>0</v>
      </c>
      <c r="CA17" s="101">
        <f>SUMIFS('9'!$E:$E,'9'!$A:$A,Año_Inicial+11,'9'!$B:$B,'12'!BZ$4,'9'!$D:$D,"Aplicación de fertilizante")</f>
        <v>0</v>
      </c>
      <c r="CB17" s="101">
        <f>((A12_A_L38*Nutrición_A)+(A12_B_L38*Nutrición_B)+(A12_C_L38*Nutrición_C)+(A12_D_L38*Nutrición_D)+(A12_Y_L38*Nutrición_Y))*Inflación_12</f>
        <v>0</v>
      </c>
      <c r="CC17" s="101">
        <f>SUMIFS('9'!$E:$E,'9'!$A:$A,Año_Inicial+11,'9'!$B:$B,'12'!CB$4,'9'!$D:$D,"Aplicación de fertilizante")</f>
        <v>0</v>
      </c>
      <c r="CD17" s="101">
        <f>((A12_A_L39*Nutrición_A)+(A12_B_L39*Nutrición_B)+(A12_C_L39*Nutrición_C)+(A12_D_L39*Nutrición_D)+(A12_Y_L39*Nutrición_Y))*Inflación_12</f>
        <v>0</v>
      </c>
      <c r="CE17" s="101">
        <f>SUMIFS('9'!$E:$E,'9'!$A:$A,Año_Inicial+11,'9'!$B:$B,'12'!CD$4,'9'!$D:$D,"Aplicación de fertilizante")</f>
        <v>0</v>
      </c>
      <c r="CF17" s="101">
        <f>((A12_A_L40*Nutrición_A)+(A12_B_L40*Nutrición_B)+(A12_C_L40*Nutrición_C)+(A12_D_L40*Nutrición_D)+(A12_Y_L40*Nutrición_Y))*Inflación_12</f>
        <v>0</v>
      </c>
      <c r="CG17" s="101">
        <f>SUMIFS('9'!$E:$E,'9'!$A:$A,Año_Inicial+11,'9'!$B:$B,'12'!CF$4,'9'!$D:$D,"Aplicación de fertilizante")</f>
        <v>0</v>
      </c>
      <c r="CH17" s="473"/>
      <c r="CI17" s="101">
        <f>Plantas_A_A12*Nutrición_A*Inflación_12</f>
        <v>0</v>
      </c>
      <c r="CJ17" s="101">
        <f>Plantas_B_A12*Nutrición_B</f>
        <v>0</v>
      </c>
      <c r="CK17" s="101">
        <f>Plantas_C_A12*Nutrición_C</f>
        <v>0</v>
      </c>
      <c r="CL17" s="101">
        <f>Plantas_D_A12*Nutrición_D</f>
        <v>0</v>
      </c>
      <c r="CM17" s="101"/>
      <c r="CN17" s="101">
        <f>Plantas_Y_A12*Nutrición_Y</f>
        <v>0</v>
      </c>
      <c r="CO17" s="102">
        <v>0</v>
      </c>
    </row>
    <row r="18" spans="1:93" s="112" customFormat="1" ht="24" customHeight="1" x14ac:dyDescent="0.25">
      <c r="A18" s="111" t="s">
        <v>4559</v>
      </c>
      <c r="B18" s="100">
        <f t="shared" si="46"/>
        <v>0</v>
      </c>
      <c r="C18" s="101">
        <f>SUMIFS('9'!$E:$E,'9'!$A:$A,Año_Inicial+11,'9'!$D:$D,"Aplicación de enmiendas")</f>
        <v>0</v>
      </c>
      <c r="D18" s="100">
        <f t="shared" si="45"/>
        <v>0</v>
      </c>
      <c r="E18" s="473"/>
      <c r="F18" s="101">
        <f>((A12_A_L1*Enmienda_A)+(A12_B_L1*Enmienda_B)+(A12_C_L1*Enmienda_C)+(A12_D_L1*Enmienda_D)+(A12_Y_L1*Enmienda_Y))*Inflación_12</f>
        <v>0</v>
      </c>
      <c r="G18" s="101">
        <f>SUMIFS('9'!$E:$E,'9'!$A:$A,Año_Inicial+11,'9'!$B:$B,'12'!F$4,'9'!$D:$D,"Aplicación de enmiendas")</f>
        <v>0</v>
      </c>
      <c r="H18" s="101">
        <f>((A12_A_L2*Enmienda_A)+(A12_B_L2*Enmienda_B)+(A12_C_L2*Enmienda_C)+(A12_D_L2*Enmienda_D)+(A12_Y_L2*Enmienda_Y))*Inflación_12</f>
        <v>0</v>
      </c>
      <c r="I18" s="101">
        <f>SUMIFS('9'!$E:$E,'9'!$A:$A,Año_Inicial+11,'9'!$B:$B,'12'!H$4,'9'!$D:$D,"Aplicación de enmiendas")</f>
        <v>0</v>
      </c>
      <c r="J18" s="101">
        <f>((A12_A_L3*Enmienda_A)+(A12_B_L3*Enmienda_B)+(A12_C_L3*Enmienda_C)+(A12_D_L3*Enmienda_D)+(A12_Y_L3*Enmienda_Y))*Inflación_12</f>
        <v>0</v>
      </c>
      <c r="K18" s="101">
        <f>SUMIFS('9'!$E:$E,'9'!$A:$A,Año_Inicial+11,'9'!$B:$B,'12'!J$4,'9'!$D:$D,"Aplicación de enmiendas")</f>
        <v>0</v>
      </c>
      <c r="L18" s="101">
        <f>((A12_A_L4*Enmienda_A)+(A12_B_L4*Enmienda_B)+(A12_C_L4*Enmienda_C)+(A12_D_L4*Enmienda_D)+(A12_Y_L4*Enmienda_Y))*Inflación_12</f>
        <v>0</v>
      </c>
      <c r="M18" s="101">
        <f>SUMIFS('9'!$E:$E,'9'!$A:$A,Año_Inicial+11,'9'!$B:$B,'12'!L$4,'9'!$D:$D,"Aplicación de enmiendas")</f>
        <v>0</v>
      </c>
      <c r="N18" s="101">
        <f>((A12_A_L5*Enmienda_A)+(A12_B_L5*Enmienda_B)+(A12_C_L5*Enmienda_C)+(A12_D_L5*Enmienda_D)+(A12_Y_L5*Enmienda_Y))*Inflación_12</f>
        <v>0</v>
      </c>
      <c r="O18" s="101">
        <f>SUMIFS('9'!$E:$E,'9'!$A:$A,Año_Inicial+11,'9'!$B:$B,'12'!N$4,'9'!$D:$D,"Aplicación de enmiendas")</f>
        <v>0</v>
      </c>
      <c r="P18" s="101">
        <f>((A12_A_L6*Enmienda_A)+(A12_B_L6*Enmienda_B)+(A12_C_L6*Enmienda_C)+(A12_D_L6*Enmienda_D)+(A12_Y_L6*Enmienda_Y))*Inflación_12</f>
        <v>0</v>
      </c>
      <c r="Q18" s="101">
        <f>SUMIFS('9'!$E:$E,'9'!$A:$A,Año_Inicial+11,'9'!$B:$B,'12'!P$4,'9'!$D:$D,"Aplicación de enmiendas")</f>
        <v>0</v>
      </c>
      <c r="R18" s="101">
        <f>((A12_A_L7*Enmienda_A)+(A12_B_L7*Enmienda_B)+(A12_C_L7*Enmienda_C)+(A12_D_L7*Enmienda_D)+(A12_Y_L7*Enmienda_Y))*Inflación_12</f>
        <v>0</v>
      </c>
      <c r="S18" s="101">
        <f>SUMIFS('9'!$E:$E,'9'!$A:$A,Año_Inicial+11,'9'!$B:$B,'12'!R$4,'9'!$D:$D,"Aplicación de enmiendas")</f>
        <v>0</v>
      </c>
      <c r="T18" s="101">
        <f>((A12_A_L8*Enmienda_A)+(A12_B_L8*Enmienda_B)+(A12_C_L8*Enmienda_C)+(A12_D_L8*Enmienda_D)+(A12_Y_L8*Enmienda_Y))*Inflación_12</f>
        <v>0</v>
      </c>
      <c r="U18" s="101">
        <f>SUMIFS('9'!$E:$E,'9'!$A:$A,Año_Inicial+11,'9'!$B:$B,'12'!T$4,'9'!$D:$D,"Aplicación de enmiendas")</f>
        <v>0</v>
      </c>
      <c r="V18" s="101">
        <f>((A12_A_L9*Enmienda_A)+(A12_B_L9*Enmienda_B)+(A12_C_L9*Enmienda_C)+(A12_D_L9*Enmienda_D)+(A12_Y_L9*Enmienda_Y))*Inflación_12</f>
        <v>0</v>
      </c>
      <c r="W18" s="101">
        <f>SUMIFS('9'!$E:$E,'9'!$A:$A,Año_Inicial+11,'9'!$B:$B,'12'!V$4,'9'!$D:$D,"Aplicación de enmiendas")</f>
        <v>0</v>
      </c>
      <c r="X18" s="101">
        <f>((A12_A_L10*Enmienda_A)+(A12_B_L10*Enmienda_B)+(A12_C_L10*Enmienda_C)+(A12_D_L10*Enmienda_D)+(A12_Y_L10*Enmienda_Y))*Inflación_12</f>
        <v>0</v>
      </c>
      <c r="Y18" s="101">
        <f>SUMIFS('9'!$E:$E,'9'!$A:$A,Año_Inicial+11,'9'!$B:$B,'12'!X$4,'9'!$D:$D,"Aplicación de enmiendas")</f>
        <v>0</v>
      </c>
      <c r="Z18" s="101">
        <f>((A12_A_L11*Enmienda_A)+(A12_B_L11*Enmienda_B)+(A12_C_L11*Enmienda_C)+(A12_D_L11*Enmienda_D)+(A12_Y_L11*Enmienda_Y))*Inflación_12</f>
        <v>0</v>
      </c>
      <c r="AA18" s="101">
        <f>SUMIFS('9'!$E:$E,'9'!$A:$A,Año_Inicial+11,'9'!$B:$B,'12'!Z$4,'9'!$D:$D,"Aplicación de enmiendas")</f>
        <v>0</v>
      </c>
      <c r="AB18" s="101">
        <f>((A12_A_L12*Enmienda_A)+(A12_B_L12*Enmienda_B)+(A12_C_L12*Enmienda_C)+(A12_D_L12*Enmienda_D)+(A12_Y_L12*Enmienda_Y))*Inflación_12</f>
        <v>0</v>
      </c>
      <c r="AC18" s="101">
        <f>SUMIFS('9'!$E:$E,'9'!$A:$A,Año_Inicial+11,'9'!$B:$B,'12'!AB$4,'9'!$D:$D,"Aplicación de enmiendas")</f>
        <v>0</v>
      </c>
      <c r="AD18" s="101">
        <f>((A12_A_L13*Enmienda_A)+(A12_B_L13*Enmienda_B)+(A12_C_L13*Enmienda_C)+(A12_D_L13*Enmienda_D)+(A12_Y_L13*Enmienda_Y))*Inflación_12</f>
        <v>0</v>
      </c>
      <c r="AE18" s="101">
        <f>SUMIFS('9'!$E:$E,'9'!$A:$A,Año_Inicial+11,'9'!$B:$B,'12'!AD$4,'9'!$D:$D,"Aplicación de enmiendas")</f>
        <v>0</v>
      </c>
      <c r="AF18" s="101">
        <f>((A12_A_L14*Enmienda_A)+(A12_B_L14*Enmienda_B)+(A12_C_L14*Enmienda_C)+(A12_D_L14*Enmienda_D)+(A12_Y_L14*Enmienda_Y))*Inflación_12</f>
        <v>0</v>
      </c>
      <c r="AG18" s="101">
        <f>SUMIFS('9'!$E:$E,'9'!$A:$A,Año_Inicial+11,'9'!$B:$B,'12'!AF$4,'9'!$D:$D,"Aplicación de enmiendas")</f>
        <v>0</v>
      </c>
      <c r="AH18" s="101">
        <f>((A12_A_L15*Enmienda_A)+(A12_B_L15*Enmienda_B)+(A12_C_L15*Enmienda_C)+(A12_D_L15*Enmienda_D)+(A12_Y_L15*Enmienda_Y))*Inflación_12</f>
        <v>0</v>
      </c>
      <c r="AI18" s="101">
        <f>SUMIFS('9'!$E:$E,'9'!$A:$A,Año_Inicial+11,'9'!$B:$B,'12'!AH$4,'9'!$D:$D,"Aplicación de enmiendas")</f>
        <v>0</v>
      </c>
      <c r="AJ18" s="101">
        <f>((A12_A_L16*Enmienda_A)+(A12_B_L16*Enmienda_B)+(A12_C_L16*Enmienda_C)+(A12_D_L16*Enmienda_D)+(A12_Y_L16*Enmienda_Y))*Inflación_12</f>
        <v>0</v>
      </c>
      <c r="AK18" s="101">
        <f>SUMIFS('9'!$E:$E,'9'!$A:$A,Año_Inicial+11,'9'!$B:$B,'12'!AJ$4,'9'!$D:$D,"Aplicación de enmiendas")</f>
        <v>0</v>
      </c>
      <c r="AL18" s="101">
        <f>((A12_A_L17*Enmienda_A)+(A12_B_L17*Enmienda_B)+(A12_C_L17*Enmienda_C)+(A12_D_L17*Enmienda_D)+(A12_Y_L17*Enmienda_Y))*Inflación_12</f>
        <v>0</v>
      </c>
      <c r="AM18" s="101">
        <f>SUMIFS('9'!$E:$E,'9'!$A:$A,Año_Inicial+11,'9'!$B:$B,'12'!AL$4,'9'!$D:$D,"Aplicación de enmiendas")</f>
        <v>0</v>
      </c>
      <c r="AN18" s="101">
        <f>((A12_A_L18*Enmienda_A)+(A12_B_L18*Enmienda_B)+(A12_C_L18*Enmienda_C)+(A12_D_L18*Enmienda_D)+(A12_Y_L18*Enmienda_Y))*Inflación_12</f>
        <v>0</v>
      </c>
      <c r="AO18" s="101">
        <f>SUMIFS('9'!$E:$E,'9'!$A:$A,Año_Inicial+11,'9'!$B:$B,'12'!AN$4,'9'!$D:$D,"Aplicación de enmiendas")</f>
        <v>0</v>
      </c>
      <c r="AP18" s="101">
        <f>((A12_A_L19*Enmienda_A)+(A12_B_L19*Enmienda_B)+(A12_C_L19*Enmienda_C)+(A12_D_L19*Enmienda_D)+(A12_Y_L19*Enmienda_Y))*Inflación_12</f>
        <v>0</v>
      </c>
      <c r="AQ18" s="101">
        <f>SUMIFS('9'!$E:$E,'9'!$A:$A,Año_Inicial+11,'9'!$B:$B,'12'!AP$4,'9'!$D:$D,"Aplicación de enmiendas")</f>
        <v>0</v>
      </c>
      <c r="AR18" s="101">
        <f>((A12_A_L20*Enmienda_A)+(A12_B_L20*Enmienda_B)+(A12_C_L20*Enmienda_C)+(A12_D_L20*Enmienda_D)+(A12_Y_L20*Enmienda_Y))*Inflación_12</f>
        <v>0</v>
      </c>
      <c r="AS18" s="101">
        <f>SUMIFS('9'!$E:$E,'9'!$A:$A,Año_Inicial+11,'9'!$B:$B,'12'!AR$4,'9'!$D:$D,"Aplicación de enmiendas")</f>
        <v>0</v>
      </c>
      <c r="AT18" s="101">
        <f>((A12_A_L21*Enmienda_A)+(A12_B_L21*Enmienda_B)+(A12_C_L21*Enmienda_C)+(A12_D_L21*Enmienda_D)+(A12_Y_L21*Enmienda_Y))*Inflación_12</f>
        <v>0</v>
      </c>
      <c r="AU18" s="101">
        <f>SUMIFS('9'!$E:$E,'9'!$A:$A,Año_Inicial+11,'9'!$B:$B,'12'!AT$4,'9'!$D:$D,"Aplicación de enmiendas")</f>
        <v>0</v>
      </c>
      <c r="AV18" s="101">
        <f>((A12_A_L22*Enmienda_A)+(A12_B_L22*Enmienda_B)+(A12_C_L22*Enmienda_C)+(A12_D_L22*Enmienda_D)+(A12_Y_L22*Enmienda_Y))*Inflación_12</f>
        <v>0</v>
      </c>
      <c r="AW18" s="101">
        <f>SUMIFS('9'!$E:$E,'9'!$A:$A,Año_Inicial+11,'9'!$B:$B,'12'!AV$4,'9'!$D:$D,"Aplicación de enmiendas")</f>
        <v>0</v>
      </c>
      <c r="AX18" s="101">
        <f>((A12_A_L23*Enmienda_A)+(A12_B_L23*Enmienda_B)+(A12_C_L23*Enmienda_C)+(A12_D_L23*Enmienda_D)+(A12_Y_L23*Enmienda_Y))*Inflación_12</f>
        <v>0</v>
      </c>
      <c r="AY18" s="101">
        <f>SUMIFS('9'!$E:$E,'9'!$A:$A,Año_Inicial+11,'9'!$B:$B,'12'!AX$4,'9'!$D:$D,"Aplicación de enmiendas")</f>
        <v>0</v>
      </c>
      <c r="AZ18" s="101">
        <f>((A12_A_L24*Enmienda_A)+(A12_B_L24*Enmienda_B)+(A12_C_L24*Enmienda_C)+(A12_D_L24*Enmienda_D)+(A12_Y_L24*Enmienda_Y))*Inflación_12</f>
        <v>0</v>
      </c>
      <c r="BA18" s="101">
        <f>SUMIFS('9'!$E:$E,'9'!$A:$A,Año_Inicial+11,'9'!$B:$B,'12'!AZ$4,'9'!$D:$D,"Aplicación de enmiendas")</f>
        <v>0</v>
      </c>
      <c r="BB18" s="101">
        <f>((A12_A_L25*Enmienda_A)+(A12_B_L25*Enmienda_B)+(A12_C_L25*Enmienda_C)+(A12_D_L25*Enmienda_D)+(A12_Y_L25*Enmienda_Y))*Inflación_12</f>
        <v>0</v>
      </c>
      <c r="BC18" s="101">
        <f>SUMIFS('9'!$E:$E,'9'!$A:$A,Año_Inicial+11,'9'!$B:$B,'12'!BB$4,'9'!$D:$D,"Aplicación de enmiendas")</f>
        <v>0</v>
      </c>
      <c r="BD18" s="101">
        <f>((A12_A_L26*Enmienda_A)+(A12_B_L26*Enmienda_B)+(A12_C_L26*Enmienda_C)+(A12_D_L26*Enmienda_D)+(A12_Y_L26*Enmienda_Y))*Inflación_12</f>
        <v>0</v>
      </c>
      <c r="BE18" s="101">
        <f>SUMIFS('9'!$E:$E,'9'!$A:$A,Año_Inicial+11,'9'!$B:$B,'12'!BD$4,'9'!$D:$D,"Aplicación de enmiendas")</f>
        <v>0</v>
      </c>
      <c r="BF18" s="101">
        <f>((A12_A_L27*Enmienda_A)+(A12_B_L27*Enmienda_B)+(A12_C_L27*Enmienda_C)+(A12_D_L27*Enmienda_D)+(A12_Y_L27*Enmienda_Y))*Inflación_12</f>
        <v>0</v>
      </c>
      <c r="BG18" s="101">
        <f>SUMIFS('9'!$E:$E,'9'!$A:$A,Año_Inicial+11,'9'!$B:$B,'12'!BF$4,'9'!$D:$D,"Aplicación de enmiendas")</f>
        <v>0</v>
      </c>
      <c r="BH18" s="101">
        <f>((A12_A_L28*Enmienda_A)+(A12_B_L28*Enmienda_B)+(A12_C_L28*Enmienda_C)+(A12_D_L28*Enmienda_D)+(A12_Y_L28*Enmienda_Y))*Inflación_12</f>
        <v>0</v>
      </c>
      <c r="BI18" s="101">
        <f>SUMIFS('9'!$E:$E,'9'!$A:$A,Año_Inicial+11,'9'!$B:$B,'12'!BH$4,'9'!$D:$D,"Aplicación de enmiendas")</f>
        <v>0</v>
      </c>
      <c r="BJ18" s="101">
        <f>((A12_A_L29*Enmienda_A)+(A12_B_L29*Enmienda_B)+(A12_C_L29*Enmienda_C)+(A12_D_L29*Enmienda_D)+(A12_Y_L29*Enmienda_Y))*Inflación_12</f>
        <v>0</v>
      </c>
      <c r="BK18" s="101">
        <f>SUMIFS('9'!$E:$E,'9'!$A:$A,Año_Inicial+11,'9'!$B:$B,'12'!BJ$4,'9'!$D:$D,"Aplicación de enmiendas")</f>
        <v>0</v>
      </c>
      <c r="BL18" s="101">
        <f>((A12_A_L30*Enmienda_A)+(A12_B_L30*Enmienda_B)+(A12_C_L30*Enmienda_C)+(A12_D_L30*Enmienda_D)+(A12_Y_L30*Enmienda_Y))*Inflación_12</f>
        <v>0</v>
      </c>
      <c r="BM18" s="101">
        <f>SUMIFS('9'!$E:$E,'9'!$A:$A,Año_Inicial+11,'9'!$B:$B,'12'!BL$4,'9'!$D:$D,"Aplicación de enmiendas")</f>
        <v>0</v>
      </c>
      <c r="BN18" s="101">
        <f>((A12_A_L31*Enmienda_A)+(A12_B_L31*Enmienda_B)+(A12_C_L31*Enmienda_C)+(A12_D_L31*Enmienda_D)+(A12_Y_L31*Enmienda_Y))*Inflación_12</f>
        <v>0</v>
      </c>
      <c r="BO18" s="101">
        <f>SUMIFS('9'!$E:$E,'9'!$A:$A,Año_Inicial+11,'9'!$B:$B,'12'!BN$4,'9'!$D:$D,"Aplicación de enmiendas")</f>
        <v>0</v>
      </c>
      <c r="BP18" s="101">
        <f>((A12_A_L32*Enmienda_A)+(A12_B_L32*Enmienda_B)+(A12_C_L32*Enmienda_C)+(A12_D_L32*Enmienda_D)+(A12_Y_L32*Enmienda_Y))*Inflación_12</f>
        <v>0</v>
      </c>
      <c r="BQ18" s="101">
        <f>SUMIFS('9'!$E:$E,'9'!$A:$A,Año_Inicial+11,'9'!$B:$B,'12'!BP$4,'9'!$D:$D,"Aplicación de enmiendas")</f>
        <v>0</v>
      </c>
      <c r="BR18" s="101">
        <f>((A12_A_L33*Enmienda_A)+(A12_B_L33*Enmienda_B)+(A12_C_L33*Enmienda_C)+(A12_D_L33*Enmienda_D)+(A12_Y_L33*Enmienda_Y))*Inflación_12</f>
        <v>0</v>
      </c>
      <c r="BS18" s="101">
        <f>SUMIFS('9'!$E:$E,'9'!$A:$A,Año_Inicial+11,'9'!$B:$B,'12'!BR$4,'9'!$D:$D,"Aplicación de enmiendas")</f>
        <v>0</v>
      </c>
      <c r="BT18" s="101">
        <f>((A12_A_L34*Enmienda_A)+(A12_B_L34*Enmienda_B)+(A12_C_L34*Enmienda_C)+(A12_D_L34*Enmienda_D)+(A12_Y_L34*Enmienda_Y))*Inflación_12</f>
        <v>0</v>
      </c>
      <c r="BU18" s="101">
        <f>SUMIFS('9'!$E:$E,'9'!$A:$A,Año_Inicial+11,'9'!$B:$B,'12'!BT$4,'9'!$D:$D,"Aplicación de enmiendas")</f>
        <v>0</v>
      </c>
      <c r="BV18" s="101">
        <f>((A12_A_L35*Enmienda_A)+(A12_B_L35*Enmienda_B)+(A12_C_L35*Enmienda_C)+(A12_D_L35*Enmienda_D)+(A12_Y_L35*Enmienda_Y))*Inflación_12</f>
        <v>0</v>
      </c>
      <c r="BW18" s="101">
        <f>SUMIFS('9'!$E:$E,'9'!$A:$A,Año_Inicial+11,'9'!$B:$B,'12'!BV$4,'9'!$D:$D,"Aplicación de enmiendas")</f>
        <v>0</v>
      </c>
      <c r="BX18" s="101">
        <f>((A12_A_L36*Enmienda_A)+(A12_B_L36*Enmienda_B)+(A12_C_L36*Enmienda_C)+(A12_D_L36*Enmienda_D)+(A12_Y_L36*Enmienda_Y))*Inflación_12</f>
        <v>0</v>
      </c>
      <c r="BY18" s="101">
        <f>SUMIFS('9'!$E:$E,'9'!$A:$A,Año_Inicial+11,'9'!$B:$B,'12'!BX$4,'9'!$D:$D,"Aplicación de enmiendas")</f>
        <v>0</v>
      </c>
      <c r="BZ18" s="101">
        <f>((A12_A_L37*Enmienda_A)+(A12_B_L37*Enmienda_B)+(A12_C_L37*Enmienda_C)+(A12_D_L37*Enmienda_D)+(A12_Y_L37*Enmienda_Y))*Inflación_12</f>
        <v>0</v>
      </c>
      <c r="CA18" s="101">
        <f>SUMIFS('9'!$E:$E,'9'!$A:$A,Año_Inicial+11,'9'!$B:$B,'12'!BZ$4,'9'!$D:$D,"Aplicación de enmiendas")</f>
        <v>0</v>
      </c>
      <c r="CB18" s="101">
        <f>((A12_A_L38*Enmienda_A)+(A12_B_L38*Enmienda_B)+(A12_C_L38*Enmienda_C)+(A12_D_L38*Enmienda_D)+(A12_Y_L38*Enmienda_Y))*Inflación_12</f>
        <v>0</v>
      </c>
      <c r="CC18" s="101">
        <f>SUMIFS('9'!$E:$E,'9'!$A:$A,Año_Inicial+11,'9'!$B:$B,'12'!CB$4,'9'!$D:$D,"Aplicación de enmiendas")</f>
        <v>0</v>
      </c>
      <c r="CD18" s="101">
        <f>((A12_A_L39*Enmienda_A)+(A12_B_L39*Enmienda_B)+(A12_C_L39*Enmienda_C)+(A12_D_L39*Enmienda_D)+(A12_Y_L39*Enmienda_Y))*Inflación_12</f>
        <v>0</v>
      </c>
      <c r="CE18" s="101">
        <f>SUMIFS('9'!$E:$E,'9'!$A:$A,Año_Inicial+11,'9'!$B:$B,'12'!CD$4,'9'!$D:$D,"Aplicación de enmiendas")</f>
        <v>0</v>
      </c>
      <c r="CF18" s="101">
        <f>((A12_A_L40*Enmienda_A)+(A12_B_L40*Enmienda_B)+(A12_C_L40*Enmienda_C)+(A12_D_L40*Enmienda_D)+(A12_Y_L40*Enmienda_Y))*Inflación_12</f>
        <v>0</v>
      </c>
      <c r="CG18" s="101">
        <f>SUMIFS('9'!$E:$E,'9'!$A:$A,Año_Inicial+11,'9'!$B:$B,'12'!CF$4,'9'!$D:$D,"Aplicación de enmiendas")</f>
        <v>0</v>
      </c>
      <c r="CH18" s="473"/>
      <c r="CI18" s="101">
        <f>Plantas_A_A12*Enmienda_A*Inflación_12</f>
        <v>0</v>
      </c>
      <c r="CJ18" s="101">
        <f>Plantas_B_A12*Enmienda_B</f>
        <v>0</v>
      </c>
      <c r="CK18" s="101">
        <f>Plantas_C_A12*Enmienda_C</f>
        <v>0</v>
      </c>
      <c r="CL18" s="101">
        <f>Plantas_D_A12*Enmienda_D</f>
        <v>0</v>
      </c>
      <c r="CM18" s="101"/>
      <c r="CN18" s="101">
        <f>Plantas_Y_A12*Enmienda_Y</f>
        <v>0</v>
      </c>
      <c r="CO18" s="102">
        <v>0</v>
      </c>
    </row>
    <row r="19" spans="1:93" s="112" customFormat="1" ht="24" customHeight="1" x14ac:dyDescent="0.25">
      <c r="A19" s="113" t="s">
        <v>110</v>
      </c>
      <c r="B19" s="100">
        <f t="shared" si="46"/>
        <v>0</v>
      </c>
      <c r="C19" s="101">
        <f>SUMIFS('9'!$E:$E,'9'!$A:$A,Año_Inicial+11,'9'!$D:$D,"Fertilizante químico")</f>
        <v>0</v>
      </c>
      <c r="D19" s="100">
        <f t="shared" si="45"/>
        <v>0</v>
      </c>
      <c r="E19" s="473"/>
      <c r="F19" s="101">
        <f>((A12_A_L1*Fertilizante_A)+(A12_B_L1*Fertilizante_B)+(A12_C_L1*Fertilizante_C)+(A12_D_L1*Fertilizante_D)+(A12_Y_L1*Fertilizante_Y))*Inflación_12</f>
        <v>0</v>
      </c>
      <c r="G19" s="101">
        <f>SUMIFS('9'!$E:$E,'9'!$A:$A,Año_Inicial+11,'9'!$B:$B,'12'!F$4,'9'!$D:$D,"Fertilizante químico")</f>
        <v>0</v>
      </c>
      <c r="H19" s="101">
        <f>((A12_A_L2*Fertilizante_A)+(A12_B_L2*Fertilizante_B)+(A12_C_L2*Fertilizante_C)+(A12_D_L2*Fertilizante_D)+(A12_Y_L2*Fertilizante_Y))*Inflación_12</f>
        <v>0</v>
      </c>
      <c r="I19" s="101">
        <f>SUMIFS('9'!$E:$E,'9'!$A:$A,Año_Inicial+11,'9'!$B:$B,'12'!H$4,'9'!$D:$D,"Fertilizante químico")</f>
        <v>0</v>
      </c>
      <c r="J19" s="101">
        <f>((A12_A_L3*Fertilizante_A)+(A12_B_L3*Fertilizante_B)+(A12_C_L3*Fertilizante_C)+(A12_D_L3*Fertilizante_D)+(A12_Y_L3*Fertilizante_Y))*Inflación_12</f>
        <v>0</v>
      </c>
      <c r="K19" s="101">
        <f>SUMIFS('9'!$E:$E,'9'!$A:$A,Año_Inicial+11,'9'!$B:$B,'12'!J$4,'9'!$D:$D,"Fertilizante químico")</f>
        <v>0</v>
      </c>
      <c r="L19" s="101">
        <f>((A12_A_L4*Fertilizante_A)+(A12_B_L4*Fertilizante_B)+(A12_C_L4*Fertilizante_C)+(A12_D_L4*Fertilizante_D)+(A12_Y_L4*Fertilizante_Y))*Inflación_12</f>
        <v>0</v>
      </c>
      <c r="M19" s="101">
        <f>SUMIFS('9'!$E:$E,'9'!$A:$A,Año_Inicial+11,'9'!$B:$B,'12'!L$4,'9'!$D:$D,"Fertilizante químico")</f>
        <v>0</v>
      </c>
      <c r="N19" s="101">
        <f>((A12_A_L5*Fertilizante_A)+(A12_B_L5*Fertilizante_B)+(A12_C_L5*Fertilizante_C)+(A12_D_L5*Fertilizante_D)+(A12_Y_L5*Fertilizante_Y))*Inflación_12</f>
        <v>0</v>
      </c>
      <c r="O19" s="101">
        <f>SUMIFS('9'!$E:$E,'9'!$A:$A,Año_Inicial+11,'9'!$B:$B,'12'!N$4,'9'!$D:$D,"Fertilizante químico")</f>
        <v>0</v>
      </c>
      <c r="P19" s="101">
        <f>((A12_A_L6*Fertilizante_A)+(A12_B_L6*Fertilizante_B)+(A12_C_L6*Fertilizante_C)+(A12_D_L6*Fertilizante_D)+(A12_Y_L6*Fertilizante_Y))*Inflación_12</f>
        <v>0</v>
      </c>
      <c r="Q19" s="101">
        <f>SUMIFS('9'!$E:$E,'9'!$A:$A,Año_Inicial+11,'9'!$B:$B,'12'!P$4,'9'!$D:$D,"Fertilizante químico")</f>
        <v>0</v>
      </c>
      <c r="R19" s="101">
        <f>((A12_A_L7*Fertilizante_A)+(A12_B_L7*Fertilizante_B)+(A12_C_L7*Fertilizante_C)+(A12_D_L7*Fertilizante_D)+(A12_Y_L7*Fertilizante_Y))*Inflación_12</f>
        <v>0</v>
      </c>
      <c r="S19" s="101">
        <f>SUMIFS('9'!$E:$E,'9'!$A:$A,Año_Inicial+11,'9'!$B:$B,'12'!R$4,'9'!$D:$D,"Fertilizante químico")</f>
        <v>0</v>
      </c>
      <c r="T19" s="101">
        <f>((A12_A_L8*Fertilizante_A)+(A12_B_L8*Fertilizante_B)+(A12_C_L8*Fertilizante_C)+(A12_D_L8*Fertilizante_D)+(A12_Y_L8*Fertilizante_Y))*Inflación_12</f>
        <v>0</v>
      </c>
      <c r="U19" s="101">
        <f>SUMIFS('9'!$E:$E,'9'!$A:$A,Año_Inicial+11,'9'!$B:$B,'12'!T$4,'9'!$D:$D,"Fertilizante químico")</f>
        <v>0</v>
      </c>
      <c r="V19" s="101">
        <f>((A12_A_L9*Fertilizante_A)+(A12_B_L9*Fertilizante_B)+(A12_C_L9*Fertilizante_C)+(A12_D_L9*Fertilizante_D)+(A12_Y_L9*Fertilizante_Y))*Inflación_12</f>
        <v>0</v>
      </c>
      <c r="W19" s="101">
        <f>SUMIFS('9'!$E:$E,'9'!$A:$A,Año_Inicial+11,'9'!$B:$B,'12'!V$4,'9'!$D:$D,"Fertilizante químico")</f>
        <v>0</v>
      </c>
      <c r="X19" s="101">
        <f>((A12_A_L10*Fertilizante_A)+(A12_B_L10*Fertilizante_B)+(A12_C_L10*Fertilizante_C)+(A12_D_L10*Fertilizante_D)+(A12_Y_L10*Fertilizante_Y))*Inflación_12</f>
        <v>0</v>
      </c>
      <c r="Y19" s="101">
        <f>SUMIFS('9'!$E:$E,'9'!$A:$A,Año_Inicial+11,'9'!$B:$B,'12'!X$4,'9'!$D:$D,"Fertilizante químico")</f>
        <v>0</v>
      </c>
      <c r="Z19" s="101">
        <f>((A12_A_L11*Fertilizante_A)+(A12_B_L11*Fertilizante_B)+(A12_C_L11*Fertilizante_C)+(A12_D_L11*Fertilizante_D)+(A12_Y_L11*Fertilizante_Y))*Inflación_12</f>
        <v>0</v>
      </c>
      <c r="AA19" s="101">
        <f>SUMIFS('9'!$E:$E,'9'!$A:$A,Año_Inicial+11,'9'!$B:$B,'12'!Z$4,'9'!$D:$D,"Fertilizante químico")</f>
        <v>0</v>
      </c>
      <c r="AB19" s="101">
        <f>((A12_A_L12*Fertilizante_A)+(A12_B_L12*Fertilizante_B)+(A12_C_L12*Fertilizante_C)+(A12_D_L12*Fertilizante_D)+(A12_Y_L12*Fertilizante_Y))*Inflación_12</f>
        <v>0</v>
      </c>
      <c r="AC19" s="101">
        <f>SUMIFS('9'!$E:$E,'9'!$A:$A,Año_Inicial+11,'9'!$B:$B,'12'!AB$4,'9'!$D:$D,"Fertilizante químico")</f>
        <v>0</v>
      </c>
      <c r="AD19" s="101">
        <f>((A12_A_L13*Fertilizante_A)+(A12_B_L13*Fertilizante_B)+(A12_C_L13*Fertilizante_C)+(A12_D_L13*Fertilizante_D)+(A12_Y_L13*Fertilizante_Y))*Inflación_12</f>
        <v>0</v>
      </c>
      <c r="AE19" s="101">
        <f>SUMIFS('9'!$E:$E,'9'!$A:$A,Año_Inicial+11,'9'!$B:$B,'12'!AD$4,'9'!$D:$D,"Fertilizante químico")</f>
        <v>0</v>
      </c>
      <c r="AF19" s="101">
        <f>((A12_A_L14*Fertilizante_A)+(A12_B_L14*Fertilizante_B)+(A12_C_L14*Fertilizante_C)+(A12_D_L14*Fertilizante_D)+(A12_Y_L14*Fertilizante_Y))*Inflación_12</f>
        <v>0</v>
      </c>
      <c r="AG19" s="101">
        <f>SUMIFS('9'!$E:$E,'9'!$A:$A,Año_Inicial+11,'9'!$B:$B,'12'!AF$4,'9'!$D:$D,"Fertilizante químico")</f>
        <v>0</v>
      </c>
      <c r="AH19" s="101">
        <f>((A12_A_L15*Fertilizante_A)+(A12_B_L15*Fertilizante_B)+(A12_C_L15*Fertilizante_C)+(A12_D_L15*Fertilizante_D)+(A12_Y_L15*Fertilizante_Y))*Inflación_12</f>
        <v>0</v>
      </c>
      <c r="AI19" s="101">
        <f>SUMIFS('9'!$E:$E,'9'!$A:$A,Año_Inicial+11,'9'!$B:$B,'12'!AH$4,'9'!$D:$D,"Fertilizante químico")</f>
        <v>0</v>
      </c>
      <c r="AJ19" s="101">
        <f>((A12_A_L16*Fertilizante_A)+(A12_B_L16*Fertilizante_B)+(A12_C_L16*Fertilizante_C)+(A12_D_L16*Fertilizante_D)+(A12_Y_L16*Fertilizante_Y))*Inflación_12</f>
        <v>0</v>
      </c>
      <c r="AK19" s="101">
        <f>SUMIFS('9'!$E:$E,'9'!$A:$A,Año_Inicial+11,'9'!$B:$B,'12'!AJ$4,'9'!$D:$D,"Fertilizante químico")</f>
        <v>0</v>
      </c>
      <c r="AL19" s="101">
        <f>((A12_A_L17*Fertilizante_A)+(A12_B_L17*Fertilizante_B)+(A12_C_L17*Fertilizante_C)+(A12_D_L17*Fertilizante_D)+(A12_Y_L17*Fertilizante_Y))*Inflación_12</f>
        <v>0</v>
      </c>
      <c r="AM19" s="101">
        <f>SUMIFS('9'!$E:$E,'9'!$A:$A,Año_Inicial+11,'9'!$B:$B,'12'!AL$4,'9'!$D:$D,"Fertilizante químico")</f>
        <v>0</v>
      </c>
      <c r="AN19" s="101">
        <f>((A12_A_L18*Fertilizante_A)+(A12_B_L18*Fertilizante_B)+(A12_C_L18*Fertilizante_C)+(A12_D_L18*Fertilizante_D)+(A12_Y_L18*Fertilizante_Y))*Inflación_12</f>
        <v>0</v>
      </c>
      <c r="AO19" s="101">
        <f>SUMIFS('9'!$E:$E,'9'!$A:$A,Año_Inicial+11,'9'!$B:$B,'12'!AN$4,'9'!$D:$D,"Fertilizante químico")</f>
        <v>0</v>
      </c>
      <c r="AP19" s="101">
        <f>((A12_A_L19*Fertilizante_A)+(A12_B_L19*Fertilizante_B)+(A12_C_L19*Fertilizante_C)+(A12_D_L19*Fertilizante_D)+(A12_Y_L19*Fertilizante_Y))*Inflación_12</f>
        <v>0</v>
      </c>
      <c r="AQ19" s="101">
        <f>SUMIFS('9'!$E:$E,'9'!$A:$A,Año_Inicial+11,'9'!$B:$B,'12'!AP$4,'9'!$D:$D,"Fertilizante químico")</f>
        <v>0</v>
      </c>
      <c r="AR19" s="101">
        <f>((A12_A_L20*Fertilizante_A)+(A12_B_L20*Fertilizante_B)+(A12_C_L20*Fertilizante_C)+(A12_D_L20*Fertilizante_D)+(A12_Y_L20*Fertilizante_Y))*Inflación_12</f>
        <v>0</v>
      </c>
      <c r="AS19" s="101">
        <f>SUMIFS('9'!$E:$E,'9'!$A:$A,Año_Inicial+11,'9'!$B:$B,'12'!AR$4,'9'!$D:$D,"Fertilizante químico")</f>
        <v>0</v>
      </c>
      <c r="AT19" s="101">
        <f>((A12_A_L21*Fertilizante_A)+(A12_B_L21*Fertilizante_B)+(A12_C_L21*Fertilizante_C)+(A12_D_L21*Fertilizante_D)+(A12_Y_L21*Fertilizante_Y))*Inflación_12</f>
        <v>0</v>
      </c>
      <c r="AU19" s="101">
        <f>SUMIFS('9'!$E:$E,'9'!$A:$A,Año_Inicial+11,'9'!$B:$B,'12'!AT$4,'9'!$D:$D,"Fertilizante químico")</f>
        <v>0</v>
      </c>
      <c r="AV19" s="101">
        <f>((A12_A_L22*Fertilizante_A)+(A12_B_L22*Fertilizante_B)+(A12_C_L22*Fertilizante_C)+(A12_D_L22*Fertilizante_D)+(A12_Y_L22*Fertilizante_Y))*Inflación_12</f>
        <v>0</v>
      </c>
      <c r="AW19" s="101">
        <f>SUMIFS('9'!$E:$E,'9'!$A:$A,Año_Inicial+11,'9'!$B:$B,'12'!AV$4,'9'!$D:$D,"Fertilizante químico")</f>
        <v>0</v>
      </c>
      <c r="AX19" s="101">
        <f>((A12_A_L23*Fertilizante_A)+(A12_B_L23*Fertilizante_B)+(A12_C_L23*Fertilizante_C)+(A12_D_L23*Fertilizante_D)+(A12_Y_L23*Fertilizante_Y))*Inflación_12</f>
        <v>0</v>
      </c>
      <c r="AY19" s="101">
        <f>SUMIFS('9'!$E:$E,'9'!$A:$A,Año_Inicial+11,'9'!$B:$B,'12'!AX$4,'9'!$D:$D,"Fertilizante químico")</f>
        <v>0</v>
      </c>
      <c r="AZ19" s="101">
        <f>((A12_A_L24*Fertilizante_A)+(A12_B_L24*Fertilizante_B)+(A12_C_L24*Fertilizante_C)+(A12_D_L24*Fertilizante_D)+(A12_Y_L24*Fertilizante_Y))*Inflación_12</f>
        <v>0</v>
      </c>
      <c r="BA19" s="101">
        <f>SUMIFS('9'!$E:$E,'9'!$A:$A,Año_Inicial+11,'9'!$B:$B,'12'!AZ$4,'9'!$D:$D,"Fertilizante químico")</f>
        <v>0</v>
      </c>
      <c r="BB19" s="101">
        <f>((A12_A_L25*Fertilizante_A)+(A12_B_L25*Fertilizante_B)+(A12_C_L25*Fertilizante_C)+(A12_D_L25*Fertilizante_D)+(A12_Y_L25*Fertilizante_Y))*Inflación_12</f>
        <v>0</v>
      </c>
      <c r="BC19" s="101">
        <f>SUMIFS('9'!$E:$E,'9'!$A:$A,Año_Inicial+11,'9'!$B:$B,'12'!BB$4,'9'!$D:$D,"Fertilizante químico")</f>
        <v>0</v>
      </c>
      <c r="BD19" s="101">
        <f>((A12_A_L26*Fertilizante_A)+(A12_B_L26*Fertilizante_B)+(A12_C_L26*Fertilizante_C)+(A12_D_L26*Fertilizante_D)+(A12_Y_L26*Fertilizante_Y))*Inflación_12</f>
        <v>0</v>
      </c>
      <c r="BE19" s="101">
        <f>SUMIFS('9'!$E:$E,'9'!$A:$A,Año_Inicial+11,'9'!$B:$B,'12'!BD$4,'9'!$D:$D,"Fertilizante químico")</f>
        <v>0</v>
      </c>
      <c r="BF19" s="101">
        <f>((A12_A_L27*Fertilizante_A)+(A12_B_L27*Fertilizante_B)+(A12_C_L27*Fertilizante_C)+(A12_D_L27*Fertilizante_D)+(A12_Y_L27*Fertilizante_Y))*Inflación_12</f>
        <v>0</v>
      </c>
      <c r="BG19" s="101">
        <f>SUMIFS('9'!$E:$E,'9'!$A:$A,Año_Inicial+11,'9'!$B:$B,'12'!BF$4,'9'!$D:$D,"Fertilizante químico")</f>
        <v>0</v>
      </c>
      <c r="BH19" s="101">
        <f>((A12_A_L28*Fertilizante_A)+(A12_B_L28*Fertilizante_B)+(A12_C_L28*Fertilizante_C)+(A12_D_L28*Fertilizante_D)+(A12_Y_L28*Fertilizante_Y))*Inflación_12</f>
        <v>0</v>
      </c>
      <c r="BI19" s="101">
        <f>SUMIFS('9'!$E:$E,'9'!$A:$A,Año_Inicial+11,'9'!$B:$B,'12'!BH$4,'9'!$D:$D,"Fertilizante químico")</f>
        <v>0</v>
      </c>
      <c r="BJ19" s="101">
        <f>((A12_A_L29*Fertilizante_A)+(A12_B_L29*Fertilizante_B)+(A12_C_L29*Fertilizante_C)+(A12_D_L29*Fertilizante_D)+(A12_Y_L29*Fertilizante_Y))*Inflación_12</f>
        <v>0</v>
      </c>
      <c r="BK19" s="101">
        <f>SUMIFS('9'!$E:$E,'9'!$A:$A,Año_Inicial+11,'9'!$B:$B,'12'!BJ$4,'9'!$D:$D,"Fertilizante químico")</f>
        <v>0</v>
      </c>
      <c r="BL19" s="101">
        <f>((A12_A_L30*Fertilizante_A)+(A12_B_L30*Fertilizante_B)+(A12_C_L30*Fertilizante_C)+(A12_D_L30*Fertilizante_D)+(A12_Y_L30*Fertilizante_Y))*Inflación_12</f>
        <v>0</v>
      </c>
      <c r="BM19" s="101">
        <f>SUMIFS('9'!$E:$E,'9'!$A:$A,Año_Inicial+11,'9'!$B:$B,'12'!BL$4,'9'!$D:$D,"Fertilizante químico")</f>
        <v>0</v>
      </c>
      <c r="BN19" s="101">
        <f>((A12_A_L31*Fertilizante_A)+(A12_B_L31*Fertilizante_B)+(A12_C_L31*Fertilizante_C)+(A12_D_L31*Fertilizante_D)+(A12_Y_L31*Fertilizante_Y))*Inflación_12</f>
        <v>0</v>
      </c>
      <c r="BO19" s="101">
        <f>SUMIFS('9'!$E:$E,'9'!$A:$A,Año_Inicial+11,'9'!$B:$B,'12'!BN$4,'9'!$D:$D,"Fertilizante químico")</f>
        <v>0</v>
      </c>
      <c r="BP19" s="101">
        <f>((A12_A_L32*Fertilizante_A)+(A12_B_L32*Fertilizante_B)+(A12_C_L32*Fertilizante_C)+(A12_D_L32*Fertilizante_D)+(A12_Y_L32*Fertilizante_Y))*Inflación_12</f>
        <v>0</v>
      </c>
      <c r="BQ19" s="101">
        <f>SUMIFS('9'!$E:$E,'9'!$A:$A,Año_Inicial+11,'9'!$B:$B,'12'!BP$4,'9'!$D:$D,"Fertilizante químico")</f>
        <v>0</v>
      </c>
      <c r="BR19" s="101">
        <f>((A12_A_L33*Fertilizante_A)+(A12_B_L33*Fertilizante_B)+(A12_C_L33*Fertilizante_C)+(A12_D_L33*Fertilizante_D)+(A12_Y_L33*Fertilizante_Y))*Inflación_12</f>
        <v>0</v>
      </c>
      <c r="BS19" s="101">
        <f>SUMIFS('9'!$E:$E,'9'!$A:$A,Año_Inicial+11,'9'!$B:$B,'12'!BR$4,'9'!$D:$D,"Fertilizante químico")</f>
        <v>0</v>
      </c>
      <c r="BT19" s="101">
        <f>((A12_A_L34*Fertilizante_A)+(A12_B_L34*Fertilizante_B)+(A12_C_L34*Fertilizante_C)+(A12_D_L34*Fertilizante_D)+(A12_Y_L34*Fertilizante_Y))*Inflación_12</f>
        <v>0</v>
      </c>
      <c r="BU19" s="101">
        <f>SUMIFS('9'!$E:$E,'9'!$A:$A,Año_Inicial+11,'9'!$B:$B,'12'!BT$4,'9'!$D:$D,"Fertilizante químico")</f>
        <v>0</v>
      </c>
      <c r="BV19" s="101">
        <f>((A12_A_L35*Fertilizante_A)+(A12_B_L35*Fertilizante_B)+(A12_C_L35*Fertilizante_C)+(A12_D_L35*Fertilizante_D)+(A12_Y_L35*Fertilizante_Y))*Inflación_12</f>
        <v>0</v>
      </c>
      <c r="BW19" s="101">
        <f>SUMIFS('9'!$E:$E,'9'!$A:$A,Año_Inicial+11,'9'!$B:$B,'12'!BV$4,'9'!$D:$D,"Fertilizante químico")</f>
        <v>0</v>
      </c>
      <c r="BX19" s="101">
        <f>((A12_A_L36*Fertilizante_A)+(A12_B_L36*Fertilizante_B)+(A12_C_L36*Fertilizante_C)+(A12_D_L36*Fertilizante_D)+(A12_Y_L36*Fertilizante_Y))*Inflación_12</f>
        <v>0</v>
      </c>
      <c r="BY19" s="101">
        <f>SUMIFS('9'!$E:$E,'9'!$A:$A,Año_Inicial+11,'9'!$B:$B,'12'!BX$4,'9'!$D:$D,"Fertilizante químico")</f>
        <v>0</v>
      </c>
      <c r="BZ19" s="101">
        <f>((A12_A_L37*Fertilizante_A)+(A12_B_L37*Fertilizante_B)+(A12_C_L37*Fertilizante_C)+(A12_D_L37*Fertilizante_D)+(A12_Y_L37*Fertilizante_Y))*Inflación_12</f>
        <v>0</v>
      </c>
      <c r="CA19" s="101">
        <f>SUMIFS('9'!$E:$E,'9'!$A:$A,Año_Inicial+11,'9'!$B:$B,'12'!BZ$4,'9'!$D:$D,"Fertilizante químico")</f>
        <v>0</v>
      </c>
      <c r="CB19" s="101">
        <f>((A12_A_L38*Fertilizante_A)+(A12_B_L38*Fertilizante_B)+(A12_C_L38*Fertilizante_C)+(A12_D_L38*Fertilizante_D)+(A12_Y_L38*Fertilizante_Y))*Inflación_12</f>
        <v>0</v>
      </c>
      <c r="CC19" s="101">
        <f>SUMIFS('9'!$E:$E,'9'!$A:$A,Año_Inicial+11,'9'!$B:$B,'12'!CB$4,'9'!$D:$D,"Fertilizante químico")</f>
        <v>0</v>
      </c>
      <c r="CD19" s="101">
        <f>((A12_A_L39*Fertilizante_A)+(A12_B_L39*Fertilizante_B)+(A12_C_L39*Fertilizante_C)+(A12_D_L39*Fertilizante_D)+(A12_Y_L39*Fertilizante_Y))*Inflación_12</f>
        <v>0</v>
      </c>
      <c r="CE19" s="101">
        <f>SUMIFS('9'!$E:$E,'9'!$A:$A,Año_Inicial+11,'9'!$B:$B,'12'!CD$4,'9'!$D:$D,"Fertilizante químico")</f>
        <v>0</v>
      </c>
      <c r="CF19" s="101">
        <f>((A12_A_L40*Fertilizante_A)+(A12_B_L40*Fertilizante_B)+(A12_C_L40*Fertilizante_C)+(A12_D_L40*Fertilizante_D)+(A12_Y_L40*Fertilizante_Y))*Inflación_12</f>
        <v>0</v>
      </c>
      <c r="CG19" s="101">
        <f>SUMIFS('9'!$E:$E,'9'!$A:$A,Año_Inicial+11,'9'!$B:$B,'12'!CF$4,'9'!$D:$D,"Fertilizante químico")</f>
        <v>0</v>
      </c>
      <c r="CH19" s="473"/>
      <c r="CI19" s="101">
        <f>Plantas_A_A12*Fertilizante_A*Inflación_12</f>
        <v>0</v>
      </c>
      <c r="CJ19" s="101">
        <f>Plantas_B_A12*Fertilizante_B</f>
        <v>0</v>
      </c>
      <c r="CK19" s="101">
        <f>Plantas_C_A12*Fertilizante_C</f>
        <v>0</v>
      </c>
      <c r="CL19" s="101">
        <f>Plantas_D_A12*Fertilizante_D</f>
        <v>0</v>
      </c>
      <c r="CM19" s="101"/>
      <c r="CN19" s="101">
        <f>Plantas_Y_A12*Fertilizante_Y</f>
        <v>0</v>
      </c>
      <c r="CO19" s="102">
        <v>0</v>
      </c>
    </row>
    <row r="20" spans="1:93" s="112" customFormat="1" ht="24" customHeight="1" x14ac:dyDescent="0.25">
      <c r="A20" s="113" t="s">
        <v>60</v>
      </c>
      <c r="B20" s="100">
        <f t="shared" si="46"/>
        <v>0</v>
      </c>
      <c r="C20" s="101">
        <f>SUMIFS('9'!$E:$E,'9'!$A:$A,Año_Inicial+11,'9'!$D:$D,"Material de enmienda")</f>
        <v>0</v>
      </c>
      <c r="D20" s="100">
        <f t="shared" si="45"/>
        <v>0</v>
      </c>
      <c r="E20" s="473"/>
      <c r="F20" s="101">
        <f>((A12_A_L1*Enmiendas_A)+(A12_B_L1*Enmiendas_B)+(A12_C_L1*Enmiendas_C)+(A12_D_L1*Enmiendas_D)+(A12_Y_L1*Enmiendas_Y))*Inflación_12</f>
        <v>0</v>
      </c>
      <c r="G20" s="101">
        <f>SUMIFS('9'!$E:$E,'9'!$A:$A,Año_Inicial+11,'9'!$B:$B,'12'!F$4,'9'!$D:$D,"Material de enmienda")</f>
        <v>0</v>
      </c>
      <c r="H20" s="101">
        <f>((A12_A_L2*Enmiendas_A)+(A12_B_L2*Enmiendas_B)+(A12_C_L2*Enmiendas_C)+(A12_D_L2*Enmiendas_D)+(A12_Y_L2*Enmiendas_Y))*Inflación_12</f>
        <v>0</v>
      </c>
      <c r="I20" s="101">
        <f>SUMIFS('9'!$E:$E,'9'!$A:$A,Año_Inicial+11,'9'!$B:$B,'12'!H$4,'9'!$D:$D,"Material de enmienda")</f>
        <v>0</v>
      </c>
      <c r="J20" s="101">
        <f>((A12_A_L3*Enmiendas_A)+(A12_B_L3*Enmiendas_B)+(A12_C_L3*Enmiendas_C)+(A12_D_L3*Enmiendas_D)+(A12_Y_L3*Enmiendas_Y))*Inflación_12</f>
        <v>0</v>
      </c>
      <c r="K20" s="101">
        <f>SUMIFS('9'!$E:$E,'9'!$A:$A,Año_Inicial+11,'9'!$B:$B,'12'!J$4,'9'!$D:$D,"Material de enmienda")</f>
        <v>0</v>
      </c>
      <c r="L20" s="101">
        <f>((A12_A_L4*Enmiendas_A)+(A12_B_L4*Enmiendas_B)+(A12_C_L4*Enmiendas_C)+(A12_D_L4*Enmiendas_D)+(A12_Y_L4*Enmiendas_Y))*Inflación_12</f>
        <v>0</v>
      </c>
      <c r="M20" s="101">
        <f>SUMIFS('9'!$E:$E,'9'!$A:$A,Año_Inicial+11,'9'!$B:$B,'12'!L$4,'9'!$D:$D,"Material de enmienda")</f>
        <v>0</v>
      </c>
      <c r="N20" s="101">
        <f>((A12_A_L5*Enmiendas_A)+(A12_B_L5*Enmiendas_B)+(A12_C_L5*Enmiendas_C)+(A12_D_L5*Enmiendas_D)+(A12_Y_L5*Enmiendas_Y))*Inflación_12</f>
        <v>0</v>
      </c>
      <c r="O20" s="101">
        <f>SUMIFS('9'!$E:$E,'9'!$A:$A,Año_Inicial+11,'9'!$B:$B,'12'!N$4,'9'!$D:$D,"Material de enmienda")</f>
        <v>0</v>
      </c>
      <c r="P20" s="101">
        <f>((A12_A_L6*Enmiendas_A)+(A12_B_L6*Enmiendas_B)+(A12_C_L6*Enmiendas_C)+(A12_D_L6*Enmiendas_D)+(A12_Y_L6*Enmiendas_Y))*Inflación_12</f>
        <v>0</v>
      </c>
      <c r="Q20" s="101">
        <f>SUMIFS('9'!$E:$E,'9'!$A:$A,Año_Inicial+11,'9'!$B:$B,'12'!P$4,'9'!$D:$D,"Material de enmienda")</f>
        <v>0</v>
      </c>
      <c r="R20" s="101">
        <f>((A12_A_L7*Enmiendas_A)+(A12_B_L7*Enmiendas_B)+(A12_C_L7*Enmiendas_C)+(A12_D_L7*Enmiendas_D)+(A12_Y_L7*Enmiendas_Y))*Inflación_12</f>
        <v>0</v>
      </c>
      <c r="S20" s="101">
        <f>SUMIFS('9'!$E:$E,'9'!$A:$A,Año_Inicial+11,'9'!$B:$B,'12'!R$4,'9'!$D:$D,"Material de enmienda")</f>
        <v>0</v>
      </c>
      <c r="T20" s="101">
        <f>((A12_A_L8*Enmiendas_A)+(A12_B_L8*Enmiendas_B)+(A12_C_L8*Enmiendas_C)+(A12_D_L8*Enmiendas_D)+(A12_Y_L8*Enmiendas_Y))*Inflación_12</f>
        <v>0</v>
      </c>
      <c r="U20" s="101">
        <f>SUMIFS('9'!$E:$E,'9'!$A:$A,Año_Inicial+11,'9'!$B:$B,'12'!T$4,'9'!$D:$D,"Material de enmienda")</f>
        <v>0</v>
      </c>
      <c r="V20" s="101">
        <f>((A12_A_L9*Enmiendas_A)+(A12_B_L9*Enmiendas_B)+(A12_C_L9*Enmiendas_C)+(A12_D_L9*Enmiendas_D)+(A12_Y_L9*Enmiendas_Y))*Inflación_12</f>
        <v>0</v>
      </c>
      <c r="W20" s="101">
        <f>SUMIFS('9'!$E:$E,'9'!$A:$A,Año_Inicial+11,'9'!$B:$B,'12'!V$4,'9'!$D:$D,"Material de enmienda")</f>
        <v>0</v>
      </c>
      <c r="X20" s="101">
        <f>((A12_A_L10*Enmiendas_A)+(A12_B_L10*Enmiendas_B)+(A12_C_L10*Enmiendas_C)+(A12_D_L10*Enmiendas_D)+(A12_Y_L10*Enmiendas_Y))*Inflación_12</f>
        <v>0</v>
      </c>
      <c r="Y20" s="101">
        <f>SUMIFS('9'!$E:$E,'9'!$A:$A,Año_Inicial+11,'9'!$B:$B,'12'!X$4,'9'!$D:$D,"Material de enmienda")</f>
        <v>0</v>
      </c>
      <c r="Z20" s="101">
        <f>((A12_A_L11*Enmiendas_A)+(A12_B_L11*Enmiendas_B)+(A12_C_L11*Enmiendas_C)+(A12_D_L11*Enmiendas_D)+(A12_Y_L11*Enmiendas_Y))*Inflación_12</f>
        <v>0</v>
      </c>
      <c r="AA20" s="101">
        <f>SUMIFS('9'!$E:$E,'9'!$A:$A,Año_Inicial+11,'9'!$B:$B,'12'!Z$4,'9'!$D:$D,"Material de enmienda")</f>
        <v>0</v>
      </c>
      <c r="AB20" s="101">
        <f>((A12_A_L12*Enmiendas_A)+(A12_B_L12*Enmiendas_B)+(A12_C_L12*Enmiendas_C)+(A12_D_L12*Enmiendas_D)+(A12_Y_L12*Enmiendas_Y))*Inflación_12</f>
        <v>0</v>
      </c>
      <c r="AC20" s="101">
        <f>SUMIFS('9'!$E:$E,'9'!$A:$A,Año_Inicial+11,'9'!$B:$B,'12'!AB$4,'9'!$D:$D,"Material de enmienda")</f>
        <v>0</v>
      </c>
      <c r="AD20" s="101">
        <f>((A12_A_L13*Enmiendas_A)+(A12_B_L13*Enmiendas_B)+(A12_C_L13*Enmiendas_C)+(A12_D_L13*Enmiendas_D)+(A12_Y_L13*Enmiendas_Y))*Inflación_12</f>
        <v>0</v>
      </c>
      <c r="AE20" s="101">
        <f>SUMIFS('9'!$E:$E,'9'!$A:$A,Año_Inicial+11,'9'!$B:$B,'12'!AD$4,'9'!$D:$D,"Material de enmienda")</f>
        <v>0</v>
      </c>
      <c r="AF20" s="101">
        <f>((A12_A_L14*Enmiendas_A)+(A12_B_L14*Enmiendas_B)+(A12_C_L14*Enmiendas_C)+(A12_D_L14*Enmiendas_D)+(A12_Y_L14*Enmiendas_Y))*Inflación_12</f>
        <v>0</v>
      </c>
      <c r="AG20" s="101">
        <f>SUMIFS('9'!$E:$E,'9'!$A:$A,Año_Inicial+11,'9'!$B:$B,'12'!AF$4,'9'!$D:$D,"Material de enmienda")</f>
        <v>0</v>
      </c>
      <c r="AH20" s="101">
        <f>((A12_A_L15*Enmiendas_A)+(A12_B_L15*Enmiendas_B)+(A12_C_L15*Enmiendas_C)+(A12_D_L15*Enmiendas_D)+(A12_Y_L15*Enmiendas_Y))*Inflación_12</f>
        <v>0</v>
      </c>
      <c r="AI20" s="101">
        <f>SUMIFS('9'!$E:$E,'9'!$A:$A,Año_Inicial+11,'9'!$B:$B,'12'!AH$4,'9'!$D:$D,"Material de enmienda")</f>
        <v>0</v>
      </c>
      <c r="AJ20" s="101">
        <f>((A12_A_L16*Enmiendas_A)+(A12_B_L16*Enmiendas_B)+(A12_C_L16*Enmiendas_C)+(A12_D_L16*Enmiendas_D)+(A12_Y_L16*Enmiendas_Y))*Inflación_12</f>
        <v>0</v>
      </c>
      <c r="AK20" s="101">
        <f>SUMIFS('9'!$E:$E,'9'!$A:$A,Año_Inicial+11,'9'!$B:$B,'12'!AJ$4,'9'!$D:$D,"Material de enmienda")</f>
        <v>0</v>
      </c>
      <c r="AL20" s="101">
        <f>((A12_A_L17*Enmiendas_A)+(A12_B_L17*Enmiendas_B)+(A12_C_L17*Enmiendas_C)+(A12_D_L17*Enmiendas_D)+(A12_Y_L17*Enmiendas_Y))*Inflación_12</f>
        <v>0</v>
      </c>
      <c r="AM20" s="101">
        <f>SUMIFS('9'!$E:$E,'9'!$A:$A,Año_Inicial+11,'9'!$B:$B,'12'!AL$4,'9'!$D:$D,"Material de enmienda")</f>
        <v>0</v>
      </c>
      <c r="AN20" s="101">
        <f>((A12_A_L18*Enmiendas_A)+(A12_B_L18*Enmiendas_B)+(A12_C_L18*Enmiendas_C)+(A12_D_L18*Enmiendas_D)+(A12_Y_L18*Enmiendas_Y))*Inflación_12</f>
        <v>0</v>
      </c>
      <c r="AO20" s="101">
        <f>SUMIFS('9'!$E:$E,'9'!$A:$A,Año_Inicial+11,'9'!$B:$B,'12'!AN$4,'9'!$D:$D,"Material de enmienda")</f>
        <v>0</v>
      </c>
      <c r="AP20" s="101">
        <f>((A12_A_L19*Enmiendas_A)+(A12_B_L19*Enmiendas_B)+(A12_C_L19*Enmiendas_C)+(A12_D_L19*Enmiendas_D)+(A12_Y_L19*Enmiendas_Y))*Inflación_12</f>
        <v>0</v>
      </c>
      <c r="AQ20" s="101">
        <f>SUMIFS('9'!$E:$E,'9'!$A:$A,Año_Inicial+11,'9'!$B:$B,'12'!AP$4,'9'!$D:$D,"Material de enmienda")</f>
        <v>0</v>
      </c>
      <c r="AR20" s="101">
        <f>((A12_A_L20*Enmiendas_A)+(A12_B_L20*Enmiendas_B)+(A12_C_L20*Enmiendas_C)+(A12_D_L20*Enmiendas_D)+(A12_Y_L20*Enmiendas_Y))*Inflación_12</f>
        <v>0</v>
      </c>
      <c r="AS20" s="101">
        <f>SUMIFS('9'!$E:$E,'9'!$A:$A,Año_Inicial+11,'9'!$B:$B,'12'!AR$4,'9'!$D:$D,"Material de enmienda")</f>
        <v>0</v>
      </c>
      <c r="AT20" s="101">
        <f>((A12_A_L21*Enmiendas_A)+(A12_B_L21*Enmiendas_B)+(A12_C_L21*Enmiendas_C)+(A12_D_L21*Enmiendas_D)+(A12_Y_L21*Enmiendas_Y))*Inflación_12</f>
        <v>0</v>
      </c>
      <c r="AU20" s="101">
        <f>SUMIFS('9'!$E:$E,'9'!$A:$A,Año_Inicial+11,'9'!$B:$B,'12'!AT$4,'9'!$D:$D,"Material de enmienda")</f>
        <v>0</v>
      </c>
      <c r="AV20" s="101">
        <f>((A12_A_L22*Enmiendas_A)+(A12_B_L22*Enmiendas_B)+(A12_C_L22*Enmiendas_C)+(A12_D_L22*Enmiendas_D)+(A12_Y_L22*Enmiendas_Y))*Inflación_12</f>
        <v>0</v>
      </c>
      <c r="AW20" s="101">
        <f>SUMIFS('9'!$E:$E,'9'!$A:$A,Año_Inicial+11,'9'!$B:$B,'12'!AV$4,'9'!$D:$D,"Material de enmienda")</f>
        <v>0</v>
      </c>
      <c r="AX20" s="101">
        <f>((A12_A_L23*Enmiendas_A)+(A12_B_L23*Enmiendas_B)+(A12_C_L23*Enmiendas_C)+(A12_D_L23*Enmiendas_D)+(A12_Y_L23*Enmiendas_Y))*Inflación_12</f>
        <v>0</v>
      </c>
      <c r="AY20" s="101">
        <f>SUMIFS('9'!$E:$E,'9'!$A:$A,Año_Inicial+11,'9'!$B:$B,'12'!AX$4,'9'!$D:$D,"Material de enmienda")</f>
        <v>0</v>
      </c>
      <c r="AZ20" s="101">
        <f>((A12_A_L24*Enmiendas_A)+(A12_B_L24*Enmiendas_B)+(A12_C_L24*Enmiendas_C)+(A12_D_L24*Enmiendas_D)+(A12_Y_L24*Enmiendas_Y))*Inflación_12</f>
        <v>0</v>
      </c>
      <c r="BA20" s="101">
        <f>SUMIFS('9'!$E:$E,'9'!$A:$A,Año_Inicial+11,'9'!$B:$B,'12'!AZ$4,'9'!$D:$D,"Material de enmienda")</f>
        <v>0</v>
      </c>
      <c r="BB20" s="101">
        <f>((A12_A_L25*Enmiendas_A)+(A12_B_L25*Enmiendas_B)+(A12_C_L25*Enmiendas_C)+(A12_D_L25*Enmiendas_D)+(A12_Y_L25*Enmiendas_Y))*Inflación_12</f>
        <v>0</v>
      </c>
      <c r="BC20" s="101">
        <f>SUMIFS('9'!$E:$E,'9'!$A:$A,Año_Inicial+11,'9'!$B:$B,'12'!BB$4,'9'!$D:$D,"Material de enmienda")</f>
        <v>0</v>
      </c>
      <c r="BD20" s="101">
        <f>((A12_A_L26*Enmiendas_A)+(A12_B_L26*Enmiendas_B)+(A12_C_L26*Enmiendas_C)+(A12_D_L26*Enmiendas_D)+(A12_Y_L26*Enmiendas_Y))*Inflación_12</f>
        <v>0</v>
      </c>
      <c r="BE20" s="101">
        <f>SUMIFS('9'!$E:$E,'9'!$A:$A,Año_Inicial+11,'9'!$B:$B,'12'!BD$4,'9'!$D:$D,"Material de enmienda")</f>
        <v>0</v>
      </c>
      <c r="BF20" s="101">
        <f>((A12_A_L27*Enmiendas_A)+(A12_B_L27*Enmiendas_B)+(A12_C_L27*Enmiendas_C)+(A12_D_L27*Enmiendas_D)+(A12_Y_L27*Enmiendas_Y))*Inflación_12</f>
        <v>0</v>
      </c>
      <c r="BG20" s="101">
        <f>SUMIFS('9'!$E:$E,'9'!$A:$A,Año_Inicial+11,'9'!$B:$B,'12'!BF$4,'9'!$D:$D,"Material de enmienda")</f>
        <v>0</v>
      </c>
      <c r="BH20" s="101">
        <f>((A12_A_L28*Enmiendas_A)+(A12_B_L28*Enmiendas_B)+(A12_C_L28*Enmiendas_C)+(A12_D_L28*Enmiendas_D)+(A12_Y_L28*Enmiendas_Y))*Inflación_12</f>
        <v>0</v>
      </c>
      <c r="BI20" s="101">
        <f>SUMIFS('9'!$E:$E,'9'!$A:$A,Año_Inicial+11,'9'!$B:$B,'12'!BH$4,'9'!$D:$D,"Material de enmienda")</f>
        <v>0</v>
      </c>
      <c r="BJ20" s="101">
        <f>((A12_A_L29*Enmiendas_A)+(A12_B_L29*Enmiendas_B)+(A12_C_L29*Enmiendas_C)+(A12_D_L29*Enmiendas_D)+(A12_Y_L29*Enmiendas_Y))*Inflación_12</f>
        <v>0</v>
      </c>
      <c r="BK20" s="101">
        <f>SUMIFS('9'!$E:$E,'9'!$A:$A,Año_Inicial+11,'9'!$B:$B,'12'!BJ$4,'9'!$D:$D,"Material de enmienda")</f>
        <v>0</v>
      </c>
      <c r="BL20" s="101">
        <f>((A12_A_L30*Enmiendas_A)+(A12_B_L30*Enmiendas_B)+(A12_C_L30*Enmiendas_C)+(A12_D_L30*Enmiendas_D)+(A12_Y_L30*Enmiendas_Y))*Inflación_12</f>
        <v>0</v>
      </c>
      <c r="BM20" s="101">
        <f>SUMIFS('9'!$E:$E,'9'!$A:$A,Año_Inicial+11,'9'!$B:$B,'12'!BL$4,'9'!$D:$D,"Material de enmienda")</f>
        <v>0</v>
      </c>
      <c r="BN20" s="101">
        <f>((A12_A_L31*Enmiendas_A)+(A12_B_L31*Enmiendas_B)+(A12_C_L31*Enmiendas_C)+(A12_D_L31*Enmiendas_D)+(A12_Y_L31*Enmiendas_Y))*Inflación_12</f>
        <v>0</v>
      </c>
      <c r="BO20" s="101">
        <f>SUMIFS('9'!$E:$E,'9'!$A:$A,Año_Inicial+11,'9'!$B:$B,'12'!BN$4,'9'!$D:$D,"Material de enmienda")</f>
        <v>0</v>
      </c>
      <c r="BP20" s="101">
        <f>((A12_A_L32*Enmiendas_A)+(A12_B_L32*Enmiendas_B)+(A12_C_L32*Enmiendas_C)+(A12_D_L32*Enmiendas_D)+(A12_Y_L32*Enmiendas_Y))*Inflación_12</f>
        <v>0</v>
      </c>
      <c r="BQ20" s="101">
        <f>SUMIFS('9'!$E:$E,'9'!$A:$A,Año_Inicial+11,'9'!$B:$B,'12'!BP$4,'9'!$D:$D,"Material de enmienda")</f>
        <v>0</v>
      </c>
      <c r="BR20" s="101">
        <f>((A12_A_L33*Enmiendas_A)+(A12_B_L33*Enmiendas_B)+(A12_C_L33*Enmiendas_C)+(A12_D_L33*Enmiendas_D)+(A12_Y_L33*Enmiendas_Y))*Inflación_12</f>
        <v>0</v>
      </c>
      <c r="BS20" s="101">
        <f>SUMIFS('9'!$E:$E,'9'!$A:$A,Año_Inicial+11,'9'!$B:$B,'12'!BR$4,'9'!$D:$D,"Material de enmienda")</f>
        <v>0</v>
      </c>
      <c r="BT20" s="101">
        <f>((A12_A_L34*Enmiendas_A)+(A12_B_L34*Enmiendas_B)+(A12_C_L34*Enmiendas_C)+(A12_D_L34*Enmiendas_D)+(A12_Y_L34*Enmiendas_Y))*Inflación_12</f>
        <v>0</v>
      </c>
      <c r="BU20" s="101">
        <f>SUMIFS('9'!$E:$E,'9'!$A:$A,Año_Inicial+11,'9'!$B:$B,'12'!BT$4,'9'!$D:$D,"Material de enmienda")</f>
        <v>0</v>
      </c>
      <c r="BV20" s="101">
        <f>((A12_A_L35*Enmiendas_A)+(A12_B_L35*Enmiendas_B)+(A12_C_L35*Enmiendas_C)+(A12_D_L35*Enmiendas_D)+(A12_Y_L35*Enmiendas_Y))*Inflación_12</f>
        <v>0</v>
      </c>
      <c r="BW20" s="101">
        <f>SUMIFS('9'!$E:$E,'9'!$A:$A,Año_Inicial+11,'9'!$B:$B,'12'!BV$4,'9'!$D:$D,"Material de enmienda")</f>
        <v>0</v>
      </c>
      <c r="BX20" s="101">
        <f>((A12_A_L36*Enmiendas_A)+(A12_B_L36*Enmiendas_B)+(A12_C_L36*Enmiendas_C)+(A12_D_L36*Enmiendas_D)+(A12_Y_L36*Enmiendas_Y))*Inflación_12</f>
        <v>0</v>
      </c>
      <c r="BY20" s="101">
        <f>SUMIFS('9'!$E:$E,'9'!$A:$A,Año_Inicial+11,'9'!$B:$B,'12'!BX$4,'9'!$D:$D,"Material de enmienda")</f>
        <v>0</v>
      </c>
      <c r="BZ20" s="101">
        <f>((A12_A_L37*Enmiendas_A)+(A12_B_L37*Enmiendas_B)+(A12_C_L37*Enmiendas_C)+(A12_D_L37*Enmiendas_D)+(A12_Y_L37*Enmiendas_Y))*Inflación_12</f>
        <v>0</v>
      </c>
      <c r="CA20" s="101">
        <f>SUMIFS('9'!$E:$E,'9'!$A:$A,Año_Inicial+11,'9'!$B:$B,'12'!BZ$4,'9'!$D:$D,"Material de enmienda")</f>
        <v>0</v>
      </c>
      <c r="CB20" s="101">
        <f>((A12_A_L38*Enmiendas_A)+(A12_B_L38*Enmiendas_B)+(A12_C_L38*Enmiendas_C)+(A12_D_L38*Enmiendas_D)+(A12_Y_L38*Enmiendas_Y))*Inflación_12</f>
        <v>0</v>
      </c>
      <c r="CC20" s="101">
        <f>SUMIFS('9'!$E:$E,'9'!$A:$A,Año_Inicial+11,'9'!$B:$B,'12'!CB$4,'9'!$D:$D,"Material de enmienda")</f>
        <v>0</v>
      </c>
      <c r="CD20" s="101">
        <f>((A12_A_L39*Enmiendas_A)+(A12_B_L39*Enmiendas_B)+(A12_C_L39*Enmiendas_C)+(A12_D_L39*Enmiendas_D)+(A12_Y_L39*Enmiendas_Y))*Inflación_12</f>
        <v>0</v>
      </c>
      <c r="CE20" s="101">
        <f>SUMIFS('9'!$E:$E,'9'!$A:$A,Año_Inicial+11,'9'!$B:$B,'12'!CD$4,'9'!$D:$D,"Material de enmienda")</f>
        <v>0</v>
      </c>
      <c r="CF20" s="101">
        <f>((A12_A_L40*Enmiendas_A)+(A12_B_L40*Enmiendas_B)+(A12_C_L40*Enmiendas_C)+(A12_D_L40*Enmiendas_D)+(A12_Y_L40*Enmiendas_Y))*Inflación_12</f>
        <v>0</v>
      </c>
      <c r="CG20" s="101">
        <f>SUMIFS('9'!$E:$E,'9'!$A:$A,Año_Inicial+11,'9'!$B:$B,'12'!CF$4,'9'!$D:$D,"Material de enmienda")</f>
        <v>0</v>
      </c>
      <c r="CH20" s="473"/>
      <c r="CI20" s="101">
        <f>Plantas_A_A12*Enmiendas_A*Inflación_12</f>
        <v>0</v>
      </c>
      <c r="CJ20" s="101">
        <f>Plantas_B_A12*Enmiendas_B</f>
        <v>0</v>
      </c>
      <c r="CK20" s="101">
        <f>Plantas_C_A12*Enmiendas_C</f>
        <v>0</v>
      </c>
      <c r="CL20" s="101">
        <f>Plantas_D_A12*Enmiendas_D</f>
        <v>0</v>
      </c>
      <c r="CM20" s="101"/>
      <c r="CN20" s="101">
        <f>Plantas_Y_A12*Enmiendas_Y</f>
        <v>0</v>
      </c>
      <c r="CO20" s="102">
        <v>0</v>
      </c>
    </row>
    <row r="21" spans="1:93" s="112" customFormat="1" ht="20.25" x14ac:dyDescent="0.3">
      <c r="A21" s="106" t="s">
        <v>4560</v>
      </c>
      <c r="B21" s="100"/>
      <c r="C21" s="101"/>
      <c r="D21" s="100"/>
      <c r="E21" s="473"/>
      <c r="F21" s="101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  <c r="AA21" s="101"/>
      <c r="AB21" s="101"/>
      <c r="AC21" s="101"/>
      <c r="AD21" s="101"/>
      <c r="AE21" s="101"/>
      <c r="AF21" s="101"/>
      <c r="AG21" s="101"/>
      <c r="AH21" s="101"/>
      <c r="AI21" s="101"/>
      <c r="AJ21" s="101"/>
      <c r="AK21" s="101"/>
      <c r="AL21" s="101"/>
      <c r="AM21" s="101"/>
      <c r="AN21" s="101"/>
      <c r="AO21" s="101"/>
      <c r="AP21" s="101"/>
      <c r="AQ21" s="101"/>
      <c r="AR21" s="101"/>
      <c r="AS21" s="101"/>
      <c r="AT21" s="101"/>
      <c r="AU21" s="101"/>
      <c r="AV21" s="101"/>
      <c r="AW21" s="101"/>
      <c r="AX21" s="101"/>
      <c r="AY21" s="101"/>
      <c r="AZ21" s="101"/>
      <c r="BA21" s="101"/>
      <c r="BB21" s="101"/>
      <c r="BC21" s="101"/>
      <c r="BD21" s="101"/>
      <c r="BE21" s="101"/>
      <c r="BF21" s="101"/>
      <c r="BG21" s="101"/>
      <c r="BH21" s="101"/>
      <c r="BI21" s="101"/>
      <c r="BJ21" s="101"/>
      <c r="BK21" s="101"/>
      <c r="BL21" s="101"/>
      <c r="BM21" s="101"/>
      <c r="BN21" s="101"/>
      <c r="BO21" s="101"/>
      <c r="BP21" s="101"/>
      <c r="BQ21" s="101"/>
      <c r="BR21" s="101"/>
      <c r="BS21" s="101"/>
      <c r="BT21" s="101"/>
      <c r="BU21" s="101"/>
      <c r="BV21" s="101"/>
      <c r="BW21" s="101"/>
      <c r="BX21" s="101"/>
      <c r="BY21" s="101"/>
      <c r="BZ21" s="101"/>
      <c r="CA21" s="101"/>
      <c r="CB21" s="101"/>
      <c r="CC21" s="101"/>
      <c r="CD21" s="101"/>
      <c r="CE21" s="101"/>
      <c r="CF21" s="101"/>
      <c r="CG21" s="101"/>
      <c r="CH21" s="473"/>
      <c r="CI21" s="101"/>
      <c r="CJ21" s="101"/>
      <c r="CK21" s="101"/>
      <c r="CL21" s="101"/>
      <c r="CM21" s="101"/>
      <c r="CN21" s="101"/>
      <c r="CO21" s="102"/>
    </row>
    <row r="22" spans="1:93" s="112" customFormat="1" ht="24" customHeight="1" x14ac:dyDescent="0.25">
      <c r="A22" s="111" t="s">
        <v>117</v>
      </c>
      <c r="B22" s="100">
        <f t="shared" si="46"/>
        <v>0</v>
      </c>
      <c r="C22" s="101">
        <f>SUMIFS('9'!$E:$E,'9'!$A:$A,Año_Inicial+11,'9'!$D:$D,"Aplicación de herbicida")</f>
        <v>0</v>
      </c>
      <c r="D22" s="100">
        <f t="shared" si="45"/>
        <v>0</v>
      </c>
      <c r="E22" s="473"/>
      <c r="F22" s="101">
        <f>((A12_A_L1*Malezas_A)+(A12_B_L1*Malezas_B)+(A12_C_L1*Malezas_C)+(A12_D_L1*Malezas_D)+(A12_Y_L1*Malezas_Y))*Inflación_12</f>
        <v>0</v>
      </c>
      <c r="G22" s="101">
        <f>SUMIFS('9'!$E:$E,'9'!$A:$A,Año_Inicial+11,'9'!$B:$B,'12'!F$4,'9'!$D:$D,"Aplicación de herbicida")</f>
        <v>0</v>
      </c>
      <c r="H22" s="101">
        <f>((A12_A_L2*Malezas_A)+(A12_B_L2*Malezas_B)+(A12_C_L2*Malezas_C)+(A12_D_L2*Malezas_D)+(A12_Y_L2*Malezas_Y))*Inflación_12</f>
        <v>0</v>
      </c>
      <c r="I22" s="101">
        <f>SUMIFS('9'!$E:$E,'9'!$A:$A,Año_Inicial+11,'9'!$B:$B,'12'!H$4,'9'!$D:$D,"Aplicación de herbicida")</f>
        <v>0</v>
      </c>
      <c r="J22" s="101">
        <f>((A12_A_L3*Malezas_A)+(A12_B_L3*Malezas_B)+(A12_C_L3*Malezas_C)+(A12_D_L3*Malezas_D)+(A12_Y_L3*Malezas_Y))*Inflación_12</f>
        <v>0</v>
      </c>
      <c r="K22" s="101">
        <f>SUMIFS('9'!$E:$E,'9'!$A:$A,Año_Inicial+11,'9'!$B:$B,'12'!J$4,'9'!$D:$D,"Aplicación de herbicida")</f>
        <v>0</v>
      </c>
      <c r="L22" s="101">
        <f>((A12_A_L4*Malezas_A)+(A12_B_L4*Malezas_B)+(A12_C_L4*Malezas_C)+(A12_D_L4*Malezas_D)+(A12_Y_L4*Malezas_Y))*Inflación_12</f>
        <v>0</v>
      </c>
      <c r="M22" s="101">
        <f>SUMIFS('9'!$E:$E,'9'!$A:$A,Año_Inicial+11,'9'!$B:$B,'12'!L$4,'9'!$D:$D,"Aplicación de herbicida")</f>
        <v>0</v>
      </c>
      <c r="N22" s="101">
        <f>((A12_A_L5*Malezas_A)+(A12_B_L5*Malezas_B)+(A12_C_L5*Malezas_C)+(A12_D_L5*Malezas_D)+(A12_Y_L5*Malezas_Y))*Inflación_12</f>
        <v>0</v>
      </c>
      <c r="O22" s="101">
        <f>SUMIFS('9'!$E:$E,'9'!$A:$A,Año_Inicial+11,'9'!$B:$B,'12'!N$4,'9'!$D:$D,"Aplicación de herbicida")</f>
        <v>0</v>
      </c>
      <c r="P22" s="101">
        <f>((A12_A_L6*Malezas_A)+(A12_B_L6*Malezas_B)+(A12_C_L6*Malezas_C)+(A12_D_L6*Malezas_D)+(A12_Y_L6*Malezas_Y))*Inflación_12</f>
        <v>0</v>
      </c>
      <c r="Q22" s="101">
        <f>SUMIFS('9'!$E:$E,'9'!$A:$A,Año_Inicial+11,'9'!$B:$B,'12'!P$4,'9'!$D:$D,"Aplicación de herbicida")</f>
        <v>0</v>
      </c>
      <c r="R22" s="101">
        <f>((A12_A_L7*Malezas_A)+(A12_B_L7*Malezas_B)+(A12_C_L7*Malezas_C)+(A12_D_L7*Malezas_D)+(A12_Y_L7*Malezas_Y))*Inflación_12</f>
        <v>0</v>
      </c>
      <c r="S22" s="101">
        <f>SUMIFS('9'!$E:$E,'9'!$A:$A,Año_Inicial+11,'9'!$B:$B,'12'!R$4,'9'!$D:$D,"Aplicación de herbicida")</f>
        <v>0</v>
      </c>
      <c r="T22" s="101">
        <f>((A12_A_L8*Malezas_A)+(A12_B_L8*Malezas_B)+(A12_C_L8*Malezas_C)+(A12_D_L8*Malezas_D)+(A12_Y_L8*Malezas_Y))*Inflación_12</f>
        <v>0</v>
      </c>
      <c r="U22" s="101">
        <f>SUMIFS('9'!$E:$E,'9'!$A:$A,Año_Inicial+11,'9'!$B:$B,'12'!T$4,'9'!$D:$D,"Aplicación de herbicida")</f>
        <v>0</v>
      </c>
      <c r="V22" s="101">
        <f>((A12_A_L9*Malezas_A)+(A12_B_L9*Malezas_B)+(A12_C_L9*Malezas_C)+(A12_D_L9*Malezas_D)+(A12_Y_L9*Malezas_Y))*Inflación_12</f>
        <v>0</v>
      </c>
      <c r="W22" s="101">
        <f>SUMIFS('9'!$E:$E,'9'!$A:$A,Año_Inicial+11,'9'!$B:$B,'12'!V$4,'9'!$D:$D,"Aplicación de herbicida")</f>
        <v>0</v>
      </c>
      <c r="X22" s="101">
        <f>((A12_A_L10*Malezas_A)+(A12_B_L10*Malezas_B)+(A12_C_L10*Malezas_C)+(A12_D_L10*Malezas_D)+(A12_Y_L10*Malezas_Y))*Inflación_12</f>
        <v>0</v>
      </c>
      <c r="Y22" s="101">
        <f>SUMIFS('9'!$E:$E,'9'!$A:$A,Año_Inicial+11,'9'!$B:$B,'12'!X$4,'9'!$D:$D,"Aplicación de herbicida")</f>
        <v>0</v>
      </c>
      <c r="Z22" s="101">
        <f>((A12_A_L11*Malezas_A)+(A12_B_L11*Malezas_B)+(A12_C_L11*Malezas_C)+(A12_D_L11*Malezas_D)+(A12_Y_L11*Malezas_Y))*Inflación_12</f>
        <v>0</v>
      </c>
      <c r="AA22" s="101">
        <f>SUMIFS('9'!$E:$E,'9'!$A:$A,Año_Inicial+11,'9'!$B:$B,'12'!Z$4,'9'!$D:$D,"Aplicación de herbicida")</f>
        <v>0</v>
      </c>
      <c r="AB22" s="101">
        <f>((A12_A_L12*Malezas_A)+(A12_B_L12*Malezas_B)+(A12_C_L12*Malezas_C)+(A12_D_L12*Malezas_D)+(A12_Y_L12*Malezas_Y))*Inflación_12</f>
        <v>0</v>
      </c>
      <c r="AC22" s="101">
        <f>SUMIFS('9'!$E:$E,'9'!$A:$A,Año_Inicial+11,'9'!$B:$B,'12'!AB$4,'9'!$D:$D,"Aplicación de herbicida")</f>
        <v>0</v>
      </c>
      <c r="AD22" s="101">
        <f>((A12_A_L13*Malezas_A)+(A12_B_L13*Malezas_B)+(A12_C_L13*Malezas_C)+(A12_D_L13*Malezas_D)+(A12_Y_L13*Malezas_Y))*Inflación_12</f>
        <v>0</v>
      </c>
      <c r="AE22" s="101">
        <f>SUMIFS('9'!$E:$E,'9'!$A:$A,Año_Inicial+11,'9'!$B:$B,'12'!AD$4,'9'!$D:$D,"Aplicación de herbicida")</f>
        <v>0</v>
      </c>
      <c r="AF22" s="101">
        <f>((A12_A_L14*Malezas_A)+(A12_B_L14*Malezas_B)+(A12_C_L14*Malezas_C)+(A12_D_L14*Malezas_D)+(A12_Y_L14*Malezas_Y))*Inflación_12</f>
        <v>0</v>
      </c>
      <c r="AG22" s="101">
        <f>SUMIFS('9'!$E:$E,'9'!$A:$A,Año_Inicial+11,'9'!$B:$B,'12'!AF$4,'9'!$D:$D,"Aplicación de herbicida")</f>
        <v>0</v>
      </c>
      <c r="AH22" s="101">
        <f>((A12_A_L15*Malezas_A)+(A12_B_L15*Malezas_B)+(A12_C_L15*Malezas_C)+(A12_D_L15*Malezas_D)+(A12_Y_L15*Malezas_Y))*Inflación_12</f>
        <v>0</v>
      </c>
      <c r="AI22" s="101">
        <f>SUMIFS('9'!$E:$E,'9'!$A:$A,Año_Inicial+11,'9'!$B:$B,'12'!AH$4,'9'!$D:$D,"Aplicación de herbicida")</f>
        <v>0</v>
      </c>
      <c r="AJ22" s="101">
        <f>((A12_A_L16*Malezas_A)+(A12_B_L16*Malezas_B)+(A12_C_L16*Malezas_C)+(A12_D_L16*Malezas_D)+(A12_Y_L16*Malezas_Y))*Inflación_12</f>
        <v>0</v>
      </c>
      <c r="AK22" s="101">
        <f>SUMIFS('9'!$E:$E,'9'!$A:$A,Año_Inicial+11,'9'!$B:$B,'12'!AJ$4,'9'!$D:$D,"Aplicación de herbicida")</f>
        <v>0</v>
      </c>
      <c r="AL22" s="101">
        <f>((A12_A_L17*Malezas_A)+(A12_B_L17*Malezas_B)+(A12_C_L17*Malezas_C)+(A12_D_L17*Malezas_D)+(A12_Y_L17*Malezas_Y))*Inflación_12</f>
        <v>0</v>
      </c>
      <c r="AM22" s="101">
        <f>SUMIFS('9'!$E:$E,'9'!$A:$A,Año_Inicial+11,'9'!$B:$B,'12'!AL$4,'9'!$D:$D,"Aplicación de herbicida")</f>
        <v>0</v>
      </c>
      <c r="AN22" s="101">
        <f>((A12_A_L18*Malezas_A)+(A12_B_L18*Malezas_B)+(A12_C_L18*Malezas_C)+(A12_D_L18*Malezas_D)+(A12_Y_L18*Malezas_Y))*Inflación_12</f>
        <v>0</v>
      </c>
      <c r="AO22" s="101">
        <f>SUMIFS('9'!$E:$E,'9'!$A:$A,Año_Inicial+11,'9'!$B:$B,'12'!AN$4,'9'!$D:$D,"Aplicación de herbicida")</f>
        <v>0</v>
      </c>
      <c r="AP22" s="101">
        <f>((A12_A_L19*Malezas_A)+(A12_B_L19*Malezas_B)+(A12_C_L19*Malezas_C)+(A12_D_L19*Malezas_D)+(A12_Y_L19*Malezas_Y))*Inflación_12</f>
        <v>0</v>
      </c>
      <c r="AQ22" s="101">
        <f>SUMIFS('9'!$E:$E,'9'!$A:$A,Año_Inicial+11,'9'!$B:$B,'12'!AP$4,'9'!$D:$D,"Aplicación de herbicida")</f>
        <v>0</v>
      </c>
      <c r="AR22" s="101">
        <f>((A12_A_L20*Malezas_A)+(A12_B_L20*Malezas_B)+(A12_C_L20*Malezas_C)+(A12_D_L20*Malezas_D)+(A12_Y_L20*Malezas_Y))*Inflación_12</f>
        <v>0</v>
      </c>
      <c r="AS22" s="101">
        <f>SUMIFS('9'!$E:$E,'9'!$A:$A,Año_Inicial+11,'9'!$B:$B,'12'!AR$4,'9'!$D:$D,"Aplicación de herbicida")</f>
        <v>0</v>
      </c>
      <c r="AT22" s="101">
        <f>((A12_A_L21*Malezas_A)+(A12_B_L21*Malezas_B)+(A12_C_L21*Malezas_C)+(A12_D_L21*Malezas_D)+(A12_Y_L21*Malezas_Y))*Inflación_12</f>
        <v>0</v>
      </c>
      <c r="AU22" s="101">
        <f>SUMIFS('9'!$E:$E,'9'!$A:$A,Año_Inicial+11,'9'!$B:$B,'12'!AT$4,'9'!$D:$D,"Aplicación de herbicida")</f>
        <v>0</v>
      </c>
      <c r="AV22" s="101">
        <f>((A12_A_L22*Malezas_A)+(A12_B_L22*Malezas_B)+(A12_C_L22*Malezas_C)+(A12_D_L22*Malezas_D)+(A12_Y_L22*Malezas_Y))*Inflación_12</f>
        <v>0</v>
      </c>
      <c r="AW22" s="101">
        <f>SUMIFS('9'!$E:$E,'9'!$A:$A,Año_Inicial+11,'9'!$B:$B,'12'!AV$4,'9'!$D:$D,"Aplicación de herbicida")</f>
        <v>0</v>
      </c>
      <c r="AX22" s="101">
        <f>((A12_A_L23*Malezas_A)+(A12_B_L23*Malezas_B)+(A12_C_L23*Malezas_C)+(A12_D_L23*Malezas_D)+(A12_Y_L23*Malezas_Y))*Inflación_12</f>
        <v>0</v>
      </c>
      <c r="AY22" s="101">
        <f>SUMIFS('9'!$E:$E,'9'!$A:$A,Año_Inicial+11,'9'!$B:$B,'12'!AX$4,'9'!$D:$D,"Aplicación de herbicida")</f>
        <v>0</v>
      </c>
      <c r="AZ22" s="101">
        <f>((A12_A_L24*Malezas_A)+(A12_B_L24*Malezas_B)+(A12_C_L24*Malezas_C)+(A12_D_L24*Malezas_D)+(A12_Y_L24*Malezas_Y))*Inflación_12</f>
        <v>0</v>
      </c>
      <c r="BA22" s="101">
        <f>SUMIFS('9'!$E:$E,'9'!$A:$A,Año_Inicial+11,'9'!$B:$B,'12'!AZ$4,'9'!$D:$D,"Aplicación de herbicida")</f>
        <v>0</v>
      </c>
      <c r="BB22" s="101">
        <f>((A12_A_L25*Malezas_A)+(A12_B_L25*Malezas_B)+(A12_C_L25*Malezas_C)+(A12_D_L25*Malezas_D)+(A12_Y_L25*Malezas_Y))*Inflación_12</f>
        <v>0</v>
      </c>
      <c r="BC22" s="101">
        <f>SUMIFS('9'!$E:$E,'9'!$A:$A,Año_Inicial+11,'9'!$B:$B,'12'!BB$4,'9'!$D:$D,"Aplicación de herbicida")</f>
        <v>0</v>
      </c>
      <c r="BD22" s="101">
        <f>((A12_A_L26*Malezas_A)+(A12_B_L26*Malezas_B)+(A12_C_L26*Malezas_C)+(A12_D_L26*Malezas_D)+(A12_Y_L26*Malezas_Y))*Inflación_12</f>
        <v>0</v>
      </c>
      <c r="BE22" s="101">
        <f>SUMIFS('9'!$E:$E,'9'!$A:$A,Año_Inicial+11,'9'!$B:$B,'12'!BD$4,'9'!$D:$D,"Aplicación de herbicida")</f>
        <v>0</v>
      </c>
      <c r="BF22" s="101">
        <f>((A12_A_L27*Malezas_A)+(A12_B_L27*Malezas_B)+(A12_C_L27*Malezas_C)+(A12_D_L27*Malezas_D)+(A12_Y_L27*Malezas_Y))*Inflación_12</f>
        <v>0</v>
      </c>
      <c r="BG22" s="101">
        <f>SUMIFS('9'!$E:$E,'9'!$A:$A,Año_Inicial+11,'9'!$B:$B,'12'!BF$4,'9'!$D:$D,"Aplicación de herbicida")</f>
        <v>0</v>
      </c>
      <c r="BH22" s="101">
        <f>((A12_A_L28*Malezas_A)+(A12_B_L28*Malezas_B)+(A12_C_L28*Malezas_C)+(A12_D_L28*Malezas_D)+(A12_Y_L28*Malezas_Y))*Inflación_12</f>
        <v>0</v>
      </c>
      <c r="BI22" s="101">
        <f>SUMIFS('9'!$E:$E,'9'!$A:$A,Año_Inicial+11,'9'!$B:$B,'12'!BH$4,'9'!$D:$D,"Aplicación de herbicida")</f>
        <v>0</v>
      </c>
      <c r="BJ22" s="101">
        <f>((A12_A_L29*Malezas_A)+(A12_B_L29*Malezas_B)+(A12_C_L29*Malezas_C)+(A12_D_L29*Malezas_D)+(A12_Y_L29*Malezas_Y))*Inflación_12</f>
        <v>0</v>
      </c>
      <c r="BK22" s="101">
        <f>SUMIFS('9'!$E:$E,'9'!$A:$A,Año_Inicial+11,'9'!$B:$B,'12'!BJ$4,'9'!$D:$D,"Aplicación de herbicida")</f>
        <v>0</v>
      </c>
      <c r="BL22" s="101">
        <f>((A12_A_L30*Malezas_A)+(A12_B_L30*Malezas_B)+(A12_C_L30*Malezas_C)+(A12_D_L30*Malezas_D)+(A12_Y_L30*Malezas_Y))*Inflación_12</f>
        <v>0</v>
      </c>
      <c r="BM22" s="101">
        <f>SUMIFS('9'!$E:$E,'9'!$A:$A,Año_Inicial+11,'9'!$B:$B,'12'!BL$4,'9'!$D:$D,"Aplicación de herbicida")</f>
        <v>0</v>
      </c>
      <c r="BN22" s="101">
        <f>((A12_A_L31*Malezas_A)+(A12_B_L31*Malezas_B)+(A12_C_L31*Malezas_C)+(A12_D_L31*Malezas_D)+(A12_Y_L31*Malezas_Y))*Inflación_12</f>
        <v>0</v>
      </c>
      <c r="BO22" s="101">
        <f>SUMIFS('9'!$E:$E,'9'!$A:$A,Año_Inicial+11,'9'!$B:$B,'12'!BN$4,'9'!$D:$D,"Aplicación de herbicida")</f>
        <v>0</v>
      </c>
      <c r="BP22" s="101">
        <f>((A12_A_L32*Malezas_A)+(A12_B_L32*Malezas_B)+(A12_C_L32*Malezas_C)+(A12_D_L32*Malezas_D)+(A12_Y_L32*Malezas_Y))*Inflación_12</f>
        <v>0</v>
      </c>
      <c r="BQ22" s="101">
        <f>SUMIFS('9'!$E:$E,'9'!$A:$A,Año_Inicial+11,'9'!$B:$B,'12'!BP$4,'9'!$D:$D,"Aplicación de herbicida")</f>
        <v>0</v>
      </c>
      <c r="BR22" s="101">
        <f>((A12_A_L33*Malezas_A)+(A12_B_L33*Malezas_B)+(A12_C_L33*Malezas_C)+(A12_D_L33*Malezas_D)+(A12_Y_L33*Malezas_Y))*Inflación_12</f>
        <v>0</v>
      </c>
      <c r="BS22" s="101">
        <f>SUMIFS('9'!$E:$E,'9'!$A:$A,Año_Inicial+11,'9'!$B:$B,'12'!BR$4,'9'!$D:$D,"Aplicación de herbicida")</f>
        <v>0</v>
      </c>
      <c r="BT22" s="101">
        <f>((A12_A_L34*Malezas_A)+(A12_B_L34*Malezas_B)+(A12_C_L34*Malezas_C)+(A12_D_L34*Malezas_D)+(A12_Y_L34*Malezas_Y))*Inflación_12</f>
        <v>0</v>
      </c>
      <c r="BU22" s="101">
        <f>SUMIFS('9'!$E:$E,'9'!$A:$A,Año_Inicial+11,'9'!$B:$B,'12'!BT$4,'9'!$D:$D,"Aplicación de herbicida")</f>
        <v>0</v>
      </c>
      <c r="BV22" s="101">
        <f>((A12_A_L35*Malezas_A)+(A12_B_L35*Malezas_B)+(A12_C_L35*Malezas_C)+(A12_D_L35*Malezas_D)+(A12_Y_L35*Malezas_Y))*Inflación_12</f>
        <v>0</v>
      </c>
      <c r="BW22" s="101">
        <f>SUMIFS('9'!$E:$E,'9'!$A:$A,Año_Inicial+11,'9'!$B:$B,'12'!BV$4,'9'!$D:$D,"Aplicación de herbicida")</f>
        <v>0</v>
      </c>
      <c r="BX22" s="101">
        <f>((A12_A_L36*Malezas_A)+(A12_B_L36*Malezas_B)+(A12_C_L36*Malezas_C)+(A12_D_L36*Malezas_D)+(A12_Y_L36*Malezas_Y))*Inflación_12</f>
        <v>0</v>
      </c>
      <c r="BY22" s="101">
        <f>SUMIFS('9'!$E:$E,'9'!$A:$A,Año_Inicial+11,'9'!$B:$B,'12'!BX$4,'9'!$D:$D,"Aplicación de herbicida")</f>
        <v>0</v>
      </c>
      <c r="BZ22" s="101">
        <f>((A12_A_L37*Malezas_A)+(A12_B_L37*Malezas_B)+(A12_C_L37*Malezas_C)+(A12_D_L37*Malezas_D)+(A12_Y_L37*Malezas_Y))*Inflación_12</f>
        <v>0</v>
      </c>
      <c r="CA22" s="101">
        <f>SUMIFS('9'!$E:$E,'9'!$A:$A,Año_Inicial+11,'9'!$B:$B,'12'!BZ$4,'9'!$D:$D,"Aplicación de herbicida")</f>
        <v>0</v>
      </c>
      <c r="CB22" s="101">
        <f>((A12_A_L38*Malezas_A)+(A12_B_L38*Malezas_B)+(A12_C_L38*Malezas_C)+(A12_D_L38*Malezas_D)+(A12_Y_L38*Malezas_Y))*Inflación_12</f>
        <v>0</v>
      </c>
      <c r="CC22" s="101">
        <f>SUMIFS('9'!$E:$E,'9'!$A:$A,Año_Inicial+11,'9'!$B:$B,'12'!CB$4,'9'!$D:$D,"Aplicación de herbicida")</f>
        <v>0</v>
      </c>
      <c r="CD22" s="101">
        <f>((A12_A_L39*Malezas_A)+(A12_B_L39*Malezas_B)+(A12_C_L39*Malezas_C)+(A12_D_L39*Malezas_D)+(A12_Y_L39*Malezas_Y))*Inflación_12</f>
        <v>0</v>
      </c>
      <c r="CE22" s="101">
        <f>SUMIFS('9'!$E:$E,'9'!$A:$A,Año_Inicial+11,'9'!$B:$B,'12'!CD$4,'9'!$D:$D,"Aplicación de herbicida")</f>
        <v>0</v>
      </c>
      <c r="CF22" s="101">
        <f>((A12_A_L40*Malezas_A)+(A12_B_L40*Malezas_B)+(A12_C_L40*Malezas_C)+(A12_D_L40*Malezas_D)+(A12_Y_L40*Malezas_Y))*Inflación_12</f>
        <v>0</v>
      </c>
      <c r="CG22" s="101">
        <f>SUMIFS('9'!$E:$E,'9'!$A:$A,Año_Inicial+11,'9'!$B:$B,'12'!CF$4,'9'!$D:$D,"Aplicación de herbicida")</f>
        <v>0</v>
      </c>
      <c r="CH22" s="473"/>
      <c r="CI22" s="101">
        <f>Plantas_A_A12*Malezas_A*Inflación_12</f>
        <v>0</v>
      </c>
      <c r="CJ22" s="101">
        <f>Plantas_B_A12*Malezas_B</f>
        <v>0</v>
      </c>
      <c r="CK22" s="101">
        <f>Plantas_C_A12*Malezas_C</f>
        <v>0</v>
      </c>
      <c r="CL22" s="101">
        <f>Plantas_D_A12*Malezas_D</f>
        <v>0</v>
      </c>
      <c r="CM22" s="101"/>
      <c r="CN22" s="101">
        <f>Plantas_Y_A12*Malezas_Y</f>
        <v>0</v>
      </c>
      <c r="CO22" s="102">
        <v>0</v>
      </c>
    </row>
    <row r="23" spans="1:93" s="112" customFormat="1" ht="24" customHeight="1" x14ac:dyDescent="0.25">
      <c r="A23" s="111" t="s">
        <v>116</v>
      </c>
      <c r="B23" s="100">
        <f t="shared" si="46"/>
        <v>0</v>
      </c>
      <c r="C23" s="101">
        <f>SUMIFS('9'!$E:$E,'9'!$A:$A,Año_Inicial+11,'9'!$D:$D,"Limpias manuales")</f>
        <v>0</v>
      </c>
      <c r="D23" s="100">
        <f t="shared" si="45"/>
        <v>0</v>
      </c>
      <c r="E23" s="473"/>
      <c r="F23" s="101">
        <f>((A12_A_L1*Limpias_A)+(A12_B_L1*Limpias_B)+(A12_C_L1*Limpias_C)+(A12_D_L1*Limpias_D)+(A12_Y_L1*Limpias_Y))*Inflación_12</f>
        <v>0</v>
      </c>
      <c r="G23" s="101">
        <f>SUMIFS('9'!$E:$E,'9'!$A:$A,Año_Inicial+11,'9'!$B:$B,'12'!F$4,'9'!$D:$D,"Limpias manuales")</f>
        <v>0</v>
      </c>
      <c r="H23" s="101">
        <f>((A12_A_L2*Limpias_A)+(A12_B_L2*Limpias_B)+(A12_C_L2*Limpias_C)+(A12_D_L2*Limpias_D)+(A12_Y_L2*Limpias_Y))*Inflación_12</f>
        <v>0</v>
      </c>
      <c r="I23" s="101">
        <f>SUMIFS('9'!$E:$E,'9'!$A:$A,Año_Inicial+11,'9'!$B:$B,'12'!H$4,'9'!$D:$D,"Limpias manuales")</f>
        <v>0</v>
      </c>
      <c r="J23" s="101">
        <f>((A12_A_L3*Limpias_A)+(A12_B_L3*Limpias_B)+(A12_C_L3*Limpias_C)+(A12_D_L3*Limpias_D)+(A12_Y_L3*Limpias_Y))*Inflación_12</f>
        <v>0</v>
      </c>
      <c r="K23" s="101">
        <f>SUMIFS('9'!$E:$E,'9'!$A:$A,Año_Inicial+11,'9'!$B:$B,'12'!J$4,'9'!$D:$D,"Limpias manuales")</f>
        <v>0</v>
      </c>
      <c r="L23" s="101">
        <f>((A12_A_L4*Limpias_A)+(A12_B_L4*Limpias_B)+(A12_C_L4*Limpias_C)+(A12_D_L4*Limpias_D)+(A12_Y_L4*Limpias_Y))*Inflación_12</f>
        <v>0</v>
      </c>
      <c r="M23" s="101">
        <f>SUMIFS('9'!$E:$E,'9'!$A:$A,Año_Inicial+11,'9'!$B:$B,'12'!L$4,'9'!$D:$D,"Limpias manuales")</f>
        <v>0</v>
      </c>
      <c r="N23" s="101">
        <f>((A12_A_L5*Limpias_A)+(A12_B_L5*Limpias_B)+(A12_C_L5*Limpias_C)+(A12_D_L5*Limpias_D)+(A12_Y_L5*Limpias_Y))*Inflación_12</f>
        <v>0</v>
      </c>
      <c r="O23" s="101">
        <f>SUMIFS('9'!$E:$E,'9'!$A:$A,Año_Inicial+11,'9'!$B:$B,'12'!N$4,'9'!$D:$D,"Limpias manuales")</f>
        <v>0</v>
      </c>
      <c r="P23" s="101">
        <f>((A12_A_L6*Limpias_A)+(A12_B_L6*Limpias_B)+(A12_C_L6*Limpias_C)+(A12_D_L6*Limpias_D)+(A12_Y_L6*Limpias_Y))*Inflación_12</f>
        <v>0</v>
      </c>
      <c r="Q23" s="101">
        <f>SUMIFS('9'!$E:$E,'9'!$A:$A,Año_Inicial+11,'9'!$B:$B,'12'!P$4,'9'!$D:$D,"Limpias manuales")</f>
        <v>0</v>
      </c>
      <c r="R23" s="101">
        <f>((A12_A_L7*Limpias_A)+(A12_B_L7*Limpias_B)+(A12_C_L7*Limpias_C)+(A12_D_L7*Limpias_D)+(A12_Y_L7*Limpias_Y))*Inflación_12</f>
        <v>0</v>
      </c>
      <c r="S23" s="101">
        <f>SUMIFS('9'!$E:$E,'9'!$A:$A,Año_Inicial+11,'9'!$B:$B,'12'!R$4,'9'!$D:$D,"Limpias manuales")</f>
        <v>0</v>
      </c>
      <c r="T23" s="101">
        <f>((A12_A_L8*Limpias_A)+(A12_B_L8*Limpias_B)+(A12_C_L8*Limpias_C)+(A12_D_L8*Limpias_D)+(A12_Y_L8*Limpias_Y))*Inflación_12</f>
        <v>0</v>
      </c>
      <c r="U23" s="101">
        <f>SUMIFS('9'!$E:$E,'9'!$A:$A,Año_Inicial+11,'9'!$B:$B,'12'!T$4,'9'!$D:$D,"Limpias manuales")</f>
        <v>0</v>
      </c>
      <c r="V23" s="101">
        <f>((A12_A_L9*Limpias_A)+(A12_B_L9*Limpias_B)+(A12_C_L9*Limpias_C)+(A12_D_L9*Limpias_D)+(A12_Y_L9*Limpias_Y))*Inflación_12</f>
        <v>0</v>
      </c>
      <c r="W23" s="101">
        <f>SUMIFS('9'!$E:$E,'9'!$A:$A,Año_Inicial+11,'9'!$B:$B,'12'!V$4,'9'!$D:$D,"Limpias manuales")</f>
        <v>0</v>
      </c>
      <c r="X23" s="101">
        <f>((A12_A_L10*Limpias_A)+(A12_B_L10*Limpias_B)+(A12_C_L10*Limpias_C)+(A12_D_L10*Limpias_D)+(A12_Y_L10*Limpias_Y))*Inflación_12</f>
        <v>0</v>
      </c>
      <c r="Y23" s="101">
        <f>SUMIFS('9'!$E:$E,'9'!$A:$A,Año_Inicial+11,'9'!$B:$B,'12'!X$4,'9'!$D:$D,"Limpias manuales")</f>
        <v>0</v>
      </c>
      <c r="Z23" s="101">
        <f>((A12_A_L11*Limpias_A)+(A12_B_L11*Limpias_B)+(A12_C_L11*Limpias_C)+(A12_D_L11*Limpias_D)+(A12_Y_L11*Limpias_Y))*Inflación_12</f>
        <v>0</v>
      </c>
      <c r="AA23" s="101">
        <f>SUMIFS('9'!$E:$E,'9'!$A:$A,Año_Inicial+11,'9'!$B:$B,'12'!Z$4,'9'!$D:$D,"Limpias manuales")</f>
        <v>0</v>
      </c>
      <c r="AB23" s="101">
        <f>((A12_A_L12*Limpias_A)+(A12_B_L12*Limpias_B)+(A12_C_L12*Limpias_C)+(A12_D_L12*Limpias_D)+(A12_Y_L12*Limpias_Y))*Inflación_12</f>
        <v>0</v>
      </c>
      <c r="AC23" s="101">
        <f>SUMIFS('9'!$E:$E,'9'!$A:$A,Año_Inicial+11,'9'!$B:$B,'12'!AB$4,'9'!$D:$D,"Limpias manuales")</f>
        <v>0</v>
      </c>
      <c r="AD23" s="101">
        <f>((A12_A_L13*Limpias_A)+(A12_B_L13*Limpias_B)+(A12_C_L13*Limpias_C)+(A12_D_L13*Limpias_D)+(A12_Y_L13*Limpias_Y))*Inflación_12</f>
        <v>0</v>
      </c>
      <c r="AE23" s="101">
        <f>SUMIFS('9'!$E:$E,'9'!$A:$A,Año_Inicial+11,'9'!$B:$B,'12'!AD$4,'9'!$D:$D,"Limpias manuales")</f>
        <v>0</v>
      </c>
      <c r="AF23" s="101">
        <f>((A12_A_L14*Limpias_A)+(A12_B_L14*Limpias_B)+(A12_C_L14*Limpias_C)+(A12_D_L14*Limpias_D)+(A12_Y_L14*Limpias_Y))*Inflación_12</f>
        <v>0</v>
      </c>
      <c r="AG23" s="101">
        <f>SUMIFS('9'!$E:$E,'9'!$A:$A,Año_Inicial+11,'9'!$B:$B,'12'!AF$4,'9'!$D:$D,"Limpias manuales")</f>
        <v>0</v>
      </c>
      <c r="AH23" s="101">
        <f>((A12_A_L15*Limpias_A)+(A12_B_L15*Limpias_B)+(A12_C_L15*Limpias_C)+(A12_D_L15*Limpias_D)+(A12_Y_L15*Limpias_Y))*Inflación_12</f>
        <v>0</v>
      </c>
      <c r="AI23" s="101">
        <f>SUMIFS('9'!$E:$E,'9'!$A:$A,Año_Inicial+11,'9'!$B:$B,'12'!AH$4,'9'!$D:$D,"Limpias manuales")</f>
        <v>0</v>
      </c>
      <c r="AJ23" s="101">
        <f>((A12_A_L16*Limpias_A)+(A12_B_L16*Limpias_B)+(A12_C_L16*Limpias_C)+(A12_D_L16*Limpias_D)+(A12_Y_L16*Limpias_Y))*Inflación_12</f>
        <v>0</v>
      </c>
      <c r="AK23" s="101">
        <f>SUMIFS('9'!$E:$E,'9'!$A:$A,Año_Inicial+11,'9'!$B:$B,'12'!AJ$4,'9'!$D:$D,"Limpias manuales")</f>
        <v>0</v>
      </c>
      <c r="AL23" s="101">
        <f>((A12_A_L17*Limpias_A)+(A12_B_L17*Limpias_B)+(A12_C_L17*Limpias_C)+(A12_D_L17*Limpias_D)+(A12_Y_L17*Limpias_Y))*Inflación_12</f>
        <v>0</v>
      </c>
      <c r="AM23" s="101">
        <f>SUMIFS('9'!$E:$E,'9'!$A:$A,Año_Inicial+11,'9'!$B:$B,'12'!AL$4,'9'!$D:$D,"Limpias manuales")</f>
        <v>0</v>
      </c>
      <c r="AN23" s="101">
        <f>((A12_A_L18*Limpias_A)+(A12_B_L18*Limpias_B)+(A12_C_L18*Limpias_C)+(A12_D_L18*Limpias_D)+(A12_Y_L18*Limpias_Y))*Inflación_12</f>
        <v>0</v>
      </c>
      <c r="AO23" s="101">
        <f>SUMIFS('9'!$E:$E,'9'!$A:$A,Año_Inicial+11,'9'!$B:$B,'12'!AN$4,'9'!$D:$D,"Limpias manuales")</f>
        <v>0</v>
      </c>
      <c r="AP23" s="101">
        <f>((A12_A_L19*Limpias_A)+(A12_B_L19*Limpias_B)+(A12_C_L19*Limpias_C)+(A12_D_L19*Limpias_D)+(A12_Y_L19*Limpias_Y))*Inflación_12</f>
        <v>0</v>
      </c>
      <c r="AQ23" s="101">
        <f>SUMIFS('9'!$E:$E,'9'!$A:$A,Año_Inicial+11,'9'!$B:$B,'12'!AP$4,'9'!$D:$D,"Limpias manuales")</f>
        <v>0</v>
      </c>
      <c r="AR23" s="101">
        <f>((A12_A_L20*Limpias_A)+(A12_B_L20*Limpias_B)+(A12_C_L20*Limpias_C)+(A12_D_L20*Limpias_D)+(A12_Y_L20*Limpias_Y))*Inflación_12</f>
        <v>0</v>
      </c>
      <c r="AS23" s="101">
        <f>SUMIFS('9'!$E:$E,'9'!$A:$A,Año_Inicial+11,'9'!$B:$B,'12'!AR$4,'9'!$D:$D,"Limpias manuales")</f>
        <v>0</v>
      </c>
      <c r="AT23" s="101">
        <f>((A12_A_L21*Limpias_A)+(A12_B_L21*Limpias_B)+(A12_C_L21*Limpias_C)+(A12_D_L21*Limpias_D)+(A12_Y_L21*Limpias_Y))*Inflación_12</f>
        <v>0</v>
      </c>
      <c r="AU23" s="101">
        <f>SUMIFS('9'!$E:$E,'9'!$A:$A,Año_Inicial+11,'9'!$B:$B,'12'!AT$4,'9'!$D:$D,"Limpias manuales")</f>
        <v>0</v>
      </c>
      <c r="AV23" s="101">
        <f>((A12_A_L22*Limpias_A)+(A12_B_L22*Limpias_B)+(A12_C_L22*Limpias_C)+(A12_D_L22*Limpias_D)+(A12_Y_L22*Limpias_Y))*Inflación_12</f>
        <v>0</v>
      </c>
      <c r="AW23" s="101">
        <f>SUMIFS('9'!$E:$E,'9'!$A:$A,Año_Inicial+11,'9'!$B:$B,'12'!AV$4,'9'!$D:$D,"Limpias manuales")</f>
        <v>0</v>
      </c>
      <c r="AX23" s="101">
        <f>((A12_A_L23*Limpias_A)+(A12_B_L23*Limpias_B)+(A12_C_L23*Limpias_C)+(A12_D_L23*Limpias_D)+(A12_Y_L23*Limpias_Y))*Inflación_12</f>
        <v>0</v>
      </c>
      <c r="AY23" s="101">
        <f>SUMIFS('9'!$E:$E,'9'!$A:$A,Año_Inicial+11,'9'!$B:$B,'12'!AX$4,'9'!$D:$D,"Limpias manuales")</f>
        <v>0</v>
      </c>
      <c r="AZ23" s="101">
        <f>((A12_A_L24*Limpias_A)+(A12_B_L24*Limpias_B)+(A12_C_L24*Limpias_C)+(A12_D_L24*Limpias_D)+(A12_Y_L24*Limpias_Y))*Inflación_12</f>
        <v>0</v>
      </c>
      <c r="BA23" s="101">
        <f>SUMIFS('9'!$E:$E,'9'!$A:$A,Año_Inicial+11,'9'!$B:$B,'12'!AZ$4,'9'!$D:$D,"Limpias manuales")</f>
        <v>0</v>
      </c>
      <c r="BB23" s="101">
        <f>((A12_A_L25*Limpias_A)+(A12_B_L25*Limpias_B)+(A12_C_L25*Limpias_C)+(A12_D_L25*Limpias_D)+(A12_Y_L25*Limpias_Y))*Inflación_12</f>
        <v>0</v>
      </c>
      <c r="BC23" s="101">
        <f>SUMIFS('9'!$E:$E,'9'!$A:$A,Año_Inicial+11,'9'!$B:$B,'12'!BB$4,'9'!$D:$D,"Limpias manuales")</f>
        <v>0</v>
      </c>
      <c r="BD23" s="101">
        <f>((A12_A_L26*Limpias_A)+(A12_B_L26*Limpias_B)+(A12_C_L26*Limpias_C)+(A12_D_L26*Limpias_D)+(A12_Y_L26*Limpias_Y))*Inflación_12</f>
        <v>0</v>
      </c>
      <c r="BE23" s="101">
        <f>SUMIFS('9'!$E:$E,'9'!$A:$A,Año_Inicial+11,'9'!$B:$B,'12'!BD$4,'9'!$D:$D,"Limpias manuales")</f>
        <v>0</v>
      </c>
      <c r="BF23" s="101">
        <f>((A12_A_L27*Limpias_A)+(A12_B_L27*Limpias_B)+(A12_C_L27*Limpias_C)+(A12_D_L27*Limpias_D)+(A12_Y_L27*Limpias_Y))*Inflación_12</f>
        <v>0</v>
      </c>
      <c r="BG23" s="101">
        <f>SUMIFS('9'!$E:$E,'9'!$A:$A,Año_Inicial+11,'9'!$B:$B,'12'!BF$4,'9'!$D:$D,"Limpias manuales")</f>
        <v>0</v>
      </c>
      <c r="BH23" s="101">
        <f>((A12_A_L28*Limpias_A)+(A12_B_L28*Limpias_B)+(A12_C_L28*Limpias_C)+(A12_D_L28*Limpias_D)+(A12_Y_L28*Limpias_Y))*Inflación_12</f>
        <v>0</v>
      </c>
      <c r="BI23" s="101">
        <f>SUMIFS('9'!$E:$E,'9'!$A:$A,Año_Inicial+11,'9'!$B:$B,'12'!BH$4,'9'!$D:$D,"Limpias manuales")</f>
        <v>0</v>
      </c>
      <c r="BJ23" s="101">
        <f>((A12_A_L29*Limpias_A)+(A12_B_L29*Limpias_B)+(A12_C_L29*Limpias_C)+(A12_D_L29*Limpias_D)+(A12_Y_L29*Limpias_Y))*Inflación_12</f>
        <v>0</v>
      </c>
      <c r="BK23" s="101">
        <f>SUMIFS('9'!$E:$E,'9'!$A:$A,Año_Inicial+11,'9'!$B:$B,'12'!BJ$4,'9'!$D:$D,"Limpias manuales")</f>
        <v>0</v>
      </c>
      <c r="BL23" s="101">
        <f>((A12_A_L30*Limpias_A)+(A12_B_L30*Limpias_B)+(A12_C_L30*Limpias_C)+(A12_D_L30*Limpias_D)+(A12_Y_L30*Limpias_Y))*Inflación_12</f>
        <v>0</v>
      </c>
      <c r="BM23" s="101">
        <f>SUMIFS('9'!$E:$E,'9'!$A:$A,Año_Inicial+11,'9'!$B:$B,'12'!BL$4,'9'!$D:$D,"Limpias manuales")</f>
        <v>0</v>
      </c>
      <c r="BN23" s="101">
        <f>((A12_A_L31*Limpias_A)+(A12_B_L31*Limpias_B)+(A12_C_L31*Limpias_C)+(A12_D_L31*Limpias_D)+(A12_Y_L31*Limpias_Y))*Inflación_12</f>
        <v>0</v>
      </c>
      <c r="BO23" s="101">
        <f>SUMIFS('9'!$E:$E,'9'!$A:$A,Año_Inicial+11,'9'!$B:$B,'12'!BN$4,'9'!$D:$D,"Limpias manuales")</f>
        <v>0</v>
      </c>
      <c r="BP23" s="101">
        <f>((A12_A_L32*Limpias_A)+(A12_B_L32*Limpias_B)+(A12_C_L32*Limpias_C)+(A12_D_L32*Limpias_D)+(A12_Y_L32*Limpias_Y))*Inflación_12</f>
        <v>0</v>
      </c>
      <c r="BQ23" s="101">
        <f>SUMIFS('9'!$E:$E,'9'!$A:$A,Año_Inicial+11,'9'!$B:$B,'12'!BP$4,'9'!$D:$D,"Limpias manuales")</f>
        <v>0</v>
      </c>
      <c r="BR23" s="101">
        <f>((A12_A_L33*Limpias_A)+(A12_B_L33*Limpias_B)+(A12_C_L33*Limpias_C)+(A12_D_L33*Limpias_D)+(A12_Y_L33*Limpias_Y))*Inflación_12</f>
        <v>0</v>
      </c>
      <c r="BS23" s="101">
        <f>SUMIFS('9'!$E:$E,'9'!$A:$A,Año_Inicial+11,'9'!$B:$B,'12'!BR$4,'9'!$D:$D,"Limpias manuales")</f>
        <v>0</v>
      </c>
      <c r="BT23" s="101">
        <f>((A12_A_L34*Limpias_A)+(A12_B_L34*Limpias_B)+(A12_C_L34*Limpias_C)+(A12_D_L34*Limpias_D)+(A12_Y_L34*Limpias_Y))*Inflación_12</f>
        <v>0</v>
      </c>
      <c r="BU23" s="101">
        <f>SUMIFS('9'!$E:$E,'9'!$A:$A,Año_Inicial+11,'9'!$B:$B,'12'!BT$4,'9'!$D:$D,"Limpias manuales")</f>
        <v>0</v>
      </c>
      <c r="BV23" s="101">
        <f>((A12_A_L35*Limpias_A)+(A12_B_L35*Limpias_B)+(A12_C_L35*Limpias_C)+(A12_D_L35*Limpias_D)+(A12_Y_L35*Limpias_Y))*Inflación_12</f>
        <v>0</v>
      </c>
      <c r="BW23" s="101">
        <f>SUMIFS('9'!$E:$E,'9'!$A:$A,Año_Inicial+11,'9'!$B:$B,'12'!BV$4,'9'!$D:$D,"Limpias manuales")</f>
        <v>0</v>
      </c>
      <c r="BX23" s="101">
        <f>((A12_A_L36*Limpias_A)+(A12_B_L36*Limpias_B)+(A12_C_L36*Limpias_C)+(A12_D_L36*Limpias_D)+(A12_Y_L36*Limpias_Y))*Inflación_12</f>
        <v>0</v>
      </c>
      <c r="BY23" s="101">
        <f>SUMIFS('9'!$E:$E,'9'!$A:$A,Año_Inicial+11,'9'!$B:$B,'12'!BX$4,'9'!$D:$D,"Limpias manuales")</f>
        <v>0</v>
      </c>
      <c r="BZ23" s="101">
        <f>((A12_A_L37*Limpias_A)+(A12_B_L37*Limpias_B)+(A12_C_L37*Limpias_C)+(A12_D_L37*Limpias_D)+(A12_Y_L37*Limpias_Y))*Inflación_12</f>
        <v>0</v>
      </c>
      <c r="CA23" s="101">
        <f>SUMIFS('9'!$E:$E,'9'!$A:$A,Año_Inicial+11,'9'!$B:$B,'12'!BZ$4,'9'!$D:$D,"Limpias manuales")</f>
        <v>0</v>
      </c>
      <c r="CB23" s="101">
        <f>((A12_A_L38*Limpias_A)+(A12_B_L38*Limpias_B)+(A12_C_L38*Limpias_C)+(A12_D_L38*Limpias_D)+(A12_Y_L38*Limpias_Y))*Inflación_12</f>
        <v>0</v>
      </c>
      <c r="CC23" s="101">
        <f>SUMIFS('9'!$E:$E,'9'!$A:$A,Año_Inicial+11,'9'!$B:$B,'12'!CB$4,'9'!$D:$D,"Limpias manuales")</f>
        <v>0</v>
      </c>
      <c r="CD23" s="101">
        <f>((A12_A_L39*Limpias_A)+(A12_B_L39*Limpias_B)+(A12_C_L39*Limpias_C)+(A12_D_L39*Limpias_D)+(A12_Y_L39*Limpias_Y))*Inflación_12</f>
        <v>0</v>
      </c>
      <c r="CE23" s="101">
        <f>SUMIFS('9'!$E:$E,'9'!$A:$A,Año_Inicial+11,'9'!$B:$B,'12'!CD$4,'9'!$D:$D,"Limpias manuales")</f>
        <v>0</v>
      </c>
      <c r="CF23" s="101">
        <f>((A12_A_L40*Limpias_A)+(A12_B_L40*Limpias_B)+(A12_C_L40*Limpias_C)+(A12_D_L40*Limpias_D)+(A12_Y_L40*Limpias_Y))*Inflación_12</f>
        <v>0</v>
      </c>
      <c r="CG23" s="101">
        <f>SUMIFS('9'!$E:$E,'9'!$A:$A,Año_Inicial+11,'9'!$B:$B,'12'!CF$4,'9'!$D:$D,"Limpias manuales")</f>
        <v>0</v>
      </c>
      <c r="CH23" s="473"/>
      <c r="CI23" s="101">
        <f>Plantas_A_A12*Limpias_A*Inflación_12</f>
        <v>0</v>
      </c>
      <c r="CJ23" s="101">
        <f>Plantas_B_A12*Limpias_B</f>
        <v>0</v>
      </c>
      <c r="CK23" s="101">
        <f>Plantas_C_A12*Limpias_C</f>
        <v>0</v>
      </c>
      <c r="CL23" s="101">
        <f>Plantas_D_A12*Limpias_D</f>
        <v>0</v>
      </c>
      <c r="CM23" s="101"/>
      <c r="CN23" s="101">
        <f>Plantas_Y_A12*Limpias_Y</f>
        <v>0</v>
      </c>
      <c r="CO23" s="102">
        <v>0</v>
      </c>
    </row>
    <row r="24" spans="1:93" s="112" customFormat="1" ht="24" customHeight="1" x14ac:dyDescent="0.25">
      <c r="A24" s="111" t="s">
        <v>56</v>
      </c>
      <c r="B24" s="100">
        <f t="shared" si="46"/>
        <v>0</v>
      </c>
      <c r="C24" s="101">
        <f>SUMIFS('9'!$E:$E,'9'!$A:$A,Año_Inicial+11,'9'!$D:$D,"Herbicida")</f>
        <v>0</v>
      </c>
      <c r="D24" s="100">
        <f t="shared" si="45"/>
        <v>0</v>
      </c>
      <c r="E24" s="473"/>
      <c r="F24" s="101">
        <f>((A12_A_L1*Herbicida_A)+(A12_B_L1*Herbicida_B)+(A12_C_L1*Herbicida_C)+(A12_D_L1*Herbicida_D)+(A12_Y_L1*Herbicida_Y))*Inflación_12</f>
        <v>0</v>
      </c>
      <c r="G24" s="101">
        <f>SUMIFS('9'!$E:$E,'9'!$A:$A,Año_Inicial+11,'9'!$B:$B,'12'!F$4,'9'!$D:$D,"Herbicida")</f>
        <v>0</v>
      </c>
      <c r="H24" s="101">
        <f>((A12_A_L2*Herbicida_A)+(A12_B_L2*Herbicida_B)+(A12_C_L2*Herbicida_C)+(A12_D_L2*Herbicida_D)+(A12_Y_L2*Herbicida_Y))*Inflación_12</f>
        <v>0</v>
      </c>
      <c r="I24" s="101">
        <f>SUMIFS('9'!$E:$E,'9'!$A:$A,Año_Inicial+11,'9'!$B:$B,'12'!H$4,'9'!$D:$D,"Herbicida")</f>
        <v>0</v>
      </c>
      <c r="J24" s="101">
        <f>((A12_A_L3*Herbicida_A)+(A12_B_L3*Herbicida_B)+(A12_C_L3*Herbicida_C)+(A12_D_L3*Herbicida_D)+(A12_Y_L3*Herbicida_Y))*Inflación_12</f>
        <v>0</v>
      </c>
      <c r="K24" s="101">
        <f>SUMIFS('9'!$E:$E,'9'!$A:$A,Año_Inicial+11,'9'!$B:$B,'12'!J$4,'9'!$D:$D,"Herbicida")</f>
        <v>0</v>
      </c>
      <c r="L24" s="101">
        <f>((A12_A_L4*Herbicida_A)+(A12_B_L4*Herbicida_B)+(A12_C_L4*Herbicida_C)+(A12_D_L4*Herbicida_D)+(A12_Y_L4*Herbicida_Y))*Inflación_12</f>
        <v>0</v>
      </c>
      <c r="M24" s="101">
        <f>SUMIFS('9'!$E:$E,'9'!$A:$A,Año_Inicial+11,'9'!$B:$B,'12'!L$4,'9'!$D:$D,"Herbicida")</f>
        <v>0</v>
      </c>
      <c r="N24" s="101">
        <f>((A12_A_L5*Herbicida_A)+(A12_B_L5*Herbicida_B)+(A12_C_L5*Herbicida_C)+(A12_D_L5*Herbicida_D)+(A12_Y_L5*Herbicida_Y))*Inflación_12</f>
        <v>0</v>
      </c>
      <c r="O24" s="101">
        <f>SUMIFS('9'!$E:$E,'9'!$A:$A,Año_Inicial+11,'9'!$B:$B,'12'!N$4,'9'!$D:$D,"Herbicida")</f>
        <v>0</v>
      </c>
      <c r="P24" s="101">
        <f>((A12_A_L6*Herbicida_A)+(A12_B_L6*Herbicida_B)+(A12_C_L6*Herbicida_C)+(A12_D_L6*Herbicida_D)+(A12_Y_L6*Herbicida_Y))*Inflación_12</f>
        <v>0</v>
      </c>
      <c r="Q24" s="101">
        <f>SUMIFS('9'!$E:$E,'9'!$A:$A,Año_Inicial+11,'9'!$B:$B,'12'!P$4,'9'!$D:$D,"Herbicida")</f>
        <v>0</v>
      </c>
      <c r="R24" s="101">
        <f>((A12_A_L7*Herbicida_A)+(A12_B_L7*Herbicida_B)+(A12_C_L7*Herbicida_C)+(A12_D_L7*Herbicida_D)+(A12_Y_L7*Herbicida_Y))*Inflación_12</f>
        <v>0</v>
      </c>
      <c r="S24" s="101">
        <f>SUMIFS('9'!$E:$E,'9'!$A:$A,Año_Inicial+11,'9'!$B:$B,'12'!R$4,'9'!$D:$D,"Herbicida")</f>
        <v>0</v>
      </c>
      <c r="T24" s="101">
        <f>((A12_A_L8*Herbicida_A)+(A12_B_L8*Herbicida_B)+(A12_C_L8*Herbicida_C)+(A12_D_L8*Herbicida_D)+(A12_Y_L8*Herbicida_Y))*Inflación_12</f>
        <v>0</v>
      </c>
      <c r="U24" s="101">
        <f>SUMIFS('9'!$E:$E,'9'!$A:$A,Año_Inicial+11,'9'!$B:$B,'12'!T$4,'9'!$D:$D,"Herbicida")</f>
        <v>0</v>
      </c>
      <c r="V24" s="101">
        <f>((A12_A_L9*Herbicida_A)+(A12_B_L9*Herbicida_B)+(A12_C_L9*Herbicida_C)+(A12_D_L9*Herbicida_D)+(A12_Y_L9*Herbicida_Y))*Inflación_12</f>
        <v>0</v>
      </c>
      <c r="W24" s="101">
        <f>SUMIFS('9'!$E:$E,'9'!$A:$A,Año_Inicial+11,'9'!$B:$B,'12'!V$4,'9'!$D:$D,"Herbicida")</f>
        <v>0</v>
      </c>
      <c r="X24" s="101">
        <f>((A12_A_L10*Herbicida_A)+(A12_B_L10*Herbicida_B)+(A12_C_L10*Herbicida_C)+(A12_D_L10*Herbicida_D)+(A12_Y_L10*Herbicida_Y))*Inflación_12</f>
        <v>0</v>
      </c>
      <c r="Y24" s="101">
        <f>SUMIFS('9'!$E:$E,'9'!$A:$A,Año_Inicial+11,'9'!$B:$B,'12'!X$4,'9'!$D:$D,"Herbicida")</f>
        <v>0</v>
      </c>
      <c r="Z24" s="101">
        <f>((A12_A_L11*Herbicida_A)+(A12_B_L11*Herbicida_B)+(A12_C_L11*Herbicida_C)+(A12_D_L11*Herbicida_D)+(A12_Y_L11*Herbicida_Y))*Inflación_12</f>
        <v>0</v>
      </c>
      <c r="AA24" s="101">
        <f>SUMIFS('9'!$E:$E,'9'!$A:$A,Año_Inicial+11,'9'!$B:$B,'12'!Z$4,'9'!$D:$D,"Herbicida")</f>
        <v>0</v>
      </c>
      <c r="AB24" s="101">
        <f>((A12_A_L12*Herbicida_A)+(A12_B_L12*Herbicida_B)+(A12_C_L12*Herbicida_C)+(A12_D_L12*Herbicida_D)+(A12_Y_L12*Herbicida_Y))*Inflación_12</f>
        <v>0</v>
      </c>
      <c r="AC24" s="101">
        <f>SUMIFS('9'!$E:$E,'9'!$A:$A,Año_Inicial+11,'9'!$B:$B,'12'!AB$4,'9'!$D:$D,"Herbicida")</f>
        <v>0</v>
      </c>
      <c r="AD24" s="101">
        <f>((A12_A_L13*Herbicida_A)+(A12_B_L13*Herbicida_B)+(A12_C_L13*Herbicida_C)+(A12_D_L13*Herbicida_D)+(A12_Y_L13*Herbicida_Y))*Inflación_12</f>
        <v>0</v>
      </c>
      <c r="AE24" s="101">
        <f>SUMIFS('9'!$E:$E,'9'!$A:$A,Año_Inicial+11,'9'!$B:$B,'12'!AD$4,'9'!$D:$D,"Herbicida")</f>
        <v>0</v>
      </c>
      <c r="AF24" s="101">
        <f>((A12_A_L14*Herbicida_A)+(A12_B_L14*Herbicida_B)+(A12_C_L14*Herbicida_C)+(A12_D_L14*Herbicida_D)+(A12_Y_L14*Herbicida_Y))*Inflación_12</f>
        <v>0</v>
      </c>
      <c r="AG24" s="101">
        <f>SUMIFS('9'!$E:$E,'9'!$A:$A,Año_Inicial+11,'9'!$B:$B,'12'!AF$4,'9'!$D:$D,"Herbicida")</f>
        <v>0</v>
      </c>
      <c r="AH24" s="101">
        <f>((A12_A_L15*Herbicida_A)+(A12_B_L15*Herbicida_B)+(A12_C_L15*Herbicida_C)+(A12_D_L15*Herbicida_D)+(A12_Y_L15*Herbicida_Y))*Inflación_12</f>
        <v>0</v>
      </c>
      <c r="AI24" s="101">
        <f>SUMIFS('9'!$E:$E,'9'!$A:$A,Año_Inicial+11,'9'!$B:$B,'12'!AH$4,'9'!$D:$D,"Herbicida")</f>
        <v>0</v>
      </c>
      <c r="AJ24" s="101">
        <f>((A12_A_L16*Herbicida_A)+(A12_B_L16*Herbicida_B)+(A12_C_L16*Herbicida_C)+(A12_D_L16*Herbicida_D)+(A12_Y_L16*Herbicida_Y))*Inflación_12</f>
        <v>0</v>
      </c>
      <c r="AK24" s="101">
        <f>SUMIFS('9'!$E:$E,'9'!$A:$A,Año_Inicial+11,'9'!$B:$B,'12'!AJ$4,'9'!$D:$D,"Herbicida")</f>
        <v>0</v>
      </c>
      <c r="AL24" s="101">
        <f>((A12_A_L17*Herbicida_A)+(A12_B_L17*Herbicida_B)+(A12_C_L17*Herbicida_C)+(A12_D_L17*Herbicida_D)+(A12_Y_L17*Herbicida_Y))*Inflación_12</f>
        <v>0</v>
      </c>
      <c r="AM24" s="101">
        <f>SUMIFS('9'!$E:$E,'9'!$A:$A,Año_Inicial+11,'9'!$B:$B,'12'!AL$4,'9'!$D:$D,"Herbicida")</f>
        <v>0</v>
      </c>
      <c r="AN24" s="101">
        <f>((A12_A_L18*Herbicida_A)+(A12_B_L18*Herbicida_B)+(A12_C_L18*Herbicida_C)+(A12_D_L18*Herbicida_D)+(A12_Y_L18*Herbicida_Y))*Inflación_12</f>
        <v>0</v>
      </c>
      <c r="AO24" s="101">
        <f>SUMIFS('9'!$E:$E,'9'!$A:$A,Año_Inicial+11,'9'!$B:$B,'12'!AN$4,'9'!$D:$D,"Herbicida")</f>
        <v>0</v>
      </c>
      <c r="AP24" s="101">
        <f>((A12_A_L19*Herbicida_A)+(A12_B_L19*Herbicida_B)+(A12_C_L19*Herbicida_C)+(A12_D_L19*Herbicida_D)+(A12_Y_L19*Herbicida_Y))*Inflación_12</f>
        <v>0</v>
      </c>
      <c r="AQ24" s="101">
        <f>SUMIFS('9'!$E:$E,'9'!$A:$A,Año_Inicial+11,'9'!$B:$B,'12'!AP$4,'9'!$D:$D,"Herbicida")</f>
        <v>0</v>
      </c>
      <c r="AR24" s="101">
        <f>((A12_A_L20*Herbicida_A)+(A12_B_L20*Herbicida_B)+(A12_C_L20*Herbicida_C)+(A12_D_L20*Herbicida_D)+(A12_Y_L20*Herbicida_Y))*Inflación_12</f>
        <v>0</v>
      </c>
      <c r="AS24" s="101">
        <f>SUMIFS('9'!$E:$E,'9'!$A:$A,Año_Inicial+11,'9'!$B:$B,'12'!AR$4,'9'!$D:$D,"Herbicida")</f>
        <v>0</v>
      </c>
      <c r="AT24" s="101">
        <f>((A12_A_L21*Herbicida_A)+(A12_B_L21*Herbicida_B)+(A12_C_L21*Herbicida_C)+(A12_D_L21*Herbicida_D)+(A12_Y_L21*Herbicida_Y))*Inflación_12</f>
        <v>0</v>
      </c>
      <c r="AU24" s="101">
        <f>SUMIFS('9'!$E:$E,'9'!$A:$A,Año_Inicial+11,'9'!$B:$B,'12'!AT$4,'9'!$D:$D,"Herbicida")</f>
        <v>0</v>
      </c>
      <c r="AV24" s="101">
        <f>((A12_A_L22*Herbicida_A)+(A12_B_L22*Herbicida_B)+(A12_C_L22*Herbicida_C)+(A12_D_L22*Herbicida_D)+(A12_Y_L22*Herbicida_Y))*Inflación_12</f>
        <v>0</v>
      </c>
      <c r="AW24" s="101">
        <f>SUMIFS('9'!$E:$E,'9'!$A:$A,Año_Inicial+11,'9'!$B:$B,'12'!AV$4,'9'!$D:$D,"Herbicida")</f>
        <v>0</v>
      </c>
      <c r="AX24" s="101">
        <f>((A12_A_L23*Herbicida_A)+(A12_B_L23*Herbicida_B)+(A12_C_L23*Herbicida_C)+(A12_D_L23*Herbicida_D)+(A12_Y_L23*Herbicida_Y))*Inflación_12</f>
        <v>0</v>
      </c>
      <c r="AY24" s="101">
        <f>SUMIFS('9'!$E:$E,'9'!$A:$A,Año_Inicial+11,'9'!$B:$B,'12'!AX$4,'9'!$D:$D,"Herbicida")</f>
        <v>0</v>
      </c>
      <c r="AZ24" s="101">
        <f>((A12_A_L24*Herbicida_A)+(A12_B_L24*Herbicida_B)+(A12_C_L24*Herbicida_C)+(A12_D_L24*Herbicida_D)+(A12_Y_L24*Herbicida_Y))*Inflación_12</f>
        <v>0</v>
      </c>
      <c r="BA24" s="101">
        <f>SUMIFS('9'!$E:$E,'9'!$A:$A,Año_Inicial+11,'9'!$B:$B,'12'!AZ$4,'9'!$D:$D,"Herbicida")</f>
        <v>0</v>
      </c>
      <c r="BB24" s="101">
        <f>((A12_A_L25*Herbicida_A)+(A12_B_L25*Herbicida_B)+(A12_C_L25*Herbicida_C)+(A12_D_L25*Herbicida_D)+(A12_Y_L25*Herbicida_Y))*Inflación_12</f>
        <v>0</v>
      </c>
      <c r="BC24" s="101">
        <f>SUMIFS('9'!$E:$E,'9'!$A:$A,Año_Inicial+11,'9'!$B:$B,'12'!BB$4,'9'!$D:$D,"Herbicida")</f>
        <v>0</v>
      </c>
      <c r="BD24" s="101">
        <f>((A12_A_L26*Herbicida_A)+(A12_B_L26*Herbicida_B)+(A12_C_L26*Herbicida_C)+(A12_D_L26*Herbicida_D)+(A12_Y_L26*Herbicida_Y))*Inflación_12</f>
        <v>0</v>
      </c>
      <c r="BE24" s="101">
        <f>SUMIFS('9'!$E:$E,'9'!$A:$A,Año_Inicial+11,'9'!$B:$B,'12'!BD$4,'9'!$D:$D,"Herbicida")</f>
        <v>0</v>
      </c>
      <c r="BF24" s="101">
        <f>((A12_A_L27*Herbicida_A)+(A12_B_L27*Herbicida_B)+(A12_C_L27*Herbicida_C)+(A12_D_L27*Herbicida_D)+(A12_Y_L27*Herbicida_Y))*Inflación_12</f>
        <v>0</v>
      </c>
      <c r="BG24" s="101">
        <f>SUMIFS('9'!$E:$E,'9'!$A:$A,Año_Inicial+11,'9'!$B:$B,'12'!BF$4,'9'!$D:$D,"Herbicida")</f>
        <v>0</v>
      </c>
      <c r="BH24" s="101">
        <f>((A12_A_L28*Herbicida_A)+(A12_B_L28*Herbicida_B)+(A12_C_L28*Herbicida_C)+(A12_D_L28*Herbicida_D)+(A12_Y_L28*Herbicida_Y))*Inflación_12</f>
        <v>0</v>
      </c>
      <c r="BI24" s="101">
        <f>SUMIFS('9'!$E:$E,'9'!$A:$A,Año_Inicial+11,'9'!$B:$B,'12'!BH$4,'9'!$D:$D,"Herbicida")</f>
        <v>0</v>
      </c>
      <c r="BJ24" s="101">
        <f>((A12_A_L29*Herbicida_A)+(A12_B_L29*Herbicida_B)+(A12_C_L29*Herbicida_C)+(A12_D_L29*Herbicida_D)+(A12_Y_L29*Herbicida_Y))*Inflación_12</f>
        <v>0</v>
      </c>
      <c r="BK24" s="101">
        <f>SUMIFS('9'!$E:$E,'9'!$A:$A,Año_Inicial+11,'9'!$B:$B,'12'!BJ$4,'9'!$D:$D,"Herbicida")</f>
        <v>0</v>
      </c>
      <c r="BL24" s="101">
        <f>((A12_A_L30*Herbicida_A)+(A12_B_L30*Herbicida_B)+(A12_C_L30*Herbicida_C)+(A12_D_L30*Herbicida_D)+(A12_Y_L30*Herbicida_Y))*Inflación_12</f>
        <v>0</v>
      </c>
      <c r="BM24" s="101">
        <f>SUMIFS('9'!$E:$E,'9'!$A:$A,Año_Inicial+11,'9'!$B:$B,'12'!BL$4,'9'!$D:$D,"Herbicida")</f>
        <v>0</v>
      </c>
      <c r="BN24" s="101">
        <f>((A12_A_L31*Herbicida_A)+(A12_B_L31*Herbicida_B)+(A12_C_L31*Herbicida_C)+(A12_D_L31*Herbicida_D)+(A12_Y_L31*Herbicida_Y))*Inflación_12</f>
        <v>0</v>
      </c>
      <c r="BO24" s="101">
        <f>SUMIFS('9'!$E:$E,'9'!$A:$A,Año_Inicial+11,'9'!$B:$B,'12'!BN$4,'9'!$D:$D,"Herbicida")</f>
        <v>0</v>
      </c>
      <c r="BP24" s="101">
        <f>((A12_A_L32*Herbicida_A)+(A12_B_L32*Herbicida_B)+(A12_C_L32*Herbicida_C)+(A12_D_L32*Herbicida_D)+(A12_Y_L32*Herbicida_Y))*Inflación_12</f>
        <v>0</v>
      </c>
      <c r="BQ24" s="101">
        <f>SUMIFS('9'!$E:$E,'9'!$A:$A,Año_Inicial+11,'9'!$B:$B,'12'!BP$4,'9'!$D:$D,"Herbicida")</f>
        <v>0</v>
      </c>
      <c r="BR24" s="101">
        <f>((A12_A_L33*Herbicida_A)+(A12_B_L33*Herbicida_B)+(A12_C_L33*Herbicida_C)+(A12_D_L33*Herbicida_D)+(A12_Y_L33*Herbicida_Y))*Inflación_12</f>
        <v>0</v>
      </c>
      <c r="BS24" s="101">
        <f>SUMIFS('9'!$E:$E,'9'!$A:$A,Año_Inicial+11,'9'!$B:$B,'12'!BR$4,'9'!$D:$D,"Herbicida")</f>
        <v>0</v>
      </c>
      <c r="BT24" s="101">
        <f>((A12_A_L34*Herbicida_A)+(A12_B_L34*Herbicida_B)+(A12_C_L34*Herbicida_C)+(A12_D_L34*Herbicida_D)+(A12_Y_L34*Herbicida_Y))*Inflación_12</f>
        <v>0</v>
      </c>
      <c r="BU24" s="101">
        <f>SUMIFS('9'!$E:$E,'9'!$A:$A,Año_Inicial+11,'9'!$B:$B,'12'!BT$4,'9'!$D:$D,"Herbicida")</f>
        <v>0</v>
      </c>
      <c r="BV24" s="101">
        <f>((A12_A_L35*Herbicida_A)+(A12_B_L35*Herbicida_B)+(A12_C_L35*Herbicida_C)+(A12_D_L35*Herbicida_D)+(A12_Y_L35*Herbicida_Y))*Inflación_12</f>
        <v>0</v>
      </c>
      <c r="BW24" s="101">
        <f>SUMIFS('9'!$E:$E,'9'!$A:$A,Año_Inicial+11,'9'!$B:$B,'12'!BV$4,'9'!$D:$D,"Herbicida")</f>
        <v>0</v>
      </c>
      <c r="BX24" s="101">
        <f>((A12_A_L36*Herbicida_A)+(A12_B_L36*Herbicida_B)+(A12_C_L36*Herbicida_C)+(A12_D_L36*Herbicida_D)+(A12_Y_L36*Herbicida_Y))*Inflación_12</f>
        <v>0</v>
      </c>
      <c r="BY24" s="101">
        <f>SUMIFS('9'!$E:$E,'9'!$A:$A,Año_Inicial+11,'9'!$B:$B,'12'!BX$4,'9'!$D:$D,"Herbicida")</f>
        <v>0</v>
      </c>
      <c r="BZ24" s="101">
        <f>((A12_A_L37*Herbicida_A)+(A12_B_L37*Herbicida_B)+(A12_C_L37*Herbicida_C)+(A12_D_L37*Herbicida_D)+(A12_Y_L37*Herbicida_Y))*Inflación_12</f>
        <v>0</v>
      </c>
      <c r="CA24" s="101">
        <f>SUMIFS('9'!$E:$E,'9'!$A:$A,Año_Inicial+11,'9'!$B:$B,'12'!BZ$4,'9'!$D:$D,"Herbicida")</f>
        <v>0</v>
      </c>
      <c r="CB24" s="101">
        <f>((A12_A_L38*Herbicida_A)+(A12_B_L38*Herbicida_B)+(A12_C_L38*Herbicida_C)+(A12_D_L38*Herbicida_D)+(A12_Y_L38*Herbicida_Y))*Inflación_12</f>
        <v>0</v>
      </c>
      <c r="CC24" s="101">
        <f>SUMIFS('9'!$E:$E,'9'!$A:$A,Año_Inicial+11,'9'!$B:$B,'12'!CB$4,'9'!$D:$D,"Herbicida")</f>
        <v>0</v>
      </c>
      <c r="CD24" s="101">
        <f>((A12_A_L39*Herbicida_A)+(A12_B_L39*Herbicida_B)+(A12_C_L39*Herbicida_C)+(A12_D_L39*Herbicida_D)+(A12_Y_L39*Herbicida_Y))*Inflación_12</f>
        <v>0</v>
      </c>
      <c r="CE24" s="101">
        <f>SUMIFS('9'!$E:$E,'9'!$A:$A,Año_Inicial+11,'9'!$B:$B,'12'!CD$4,'9'!$D:$D,"Herbicida")</f>
        <v>0</v>
      </c>
      <c r="CF24" s="101">
        <f>((A12_A_L40*Herbicida_A)+(A12_B_L40*Herbicida_B)+(A12_C_L40*Herbicida_C)+(A12_D_L40*Herbicida_D)+(A12_Y_L40*Herbicida_Y))*Inflación_12</f>
        <v>0</v>
      </c>
      <c r="CG24" s="101">
        <f>SUMIFS('9'!$E:$E,'9'!$A:$A,Año_Inicial+11,'9'!$B:$B,'12'!CF$4,'9'!$D:$D,"Herbicida")</f>
        <v>0</v>
      </c>
      <c r="CH24" s="473"/>
      <c r="CI24" s="101">
        <f>Plantas_A_A12*Herbicida_A*Inflación_12</f>
        <v>0</v>
      </c>
      <c r="CJ24" s="101">
        <f>Plantas_B_A12*Herbicida_B</f>
        <v>0</v>
      </c>
      <c r="CK24" s="101">
        <f>Plantas_C_A12*Herbicida_C</f>
        <v>0</v>
      </c>
      <c r="CL24" s="101">
        <f>Plantas_D_A12*Herbicida_D</f>
        <v>0</v>
      </c>
      <c r="CM24" s="101"/>
      <c r="CN24" s="101">
        <f>Plantas_Y_A12*Herbicida_Y</f>
        <v>0</v>
      </c>
      <c r="CO24" s="102">
        <v>0</v>
      </c>
    </row>
    <row r="25" spans="1:93" s="112" customFormat="1" ht="24" customHeight="1" x14ac:dyDescent="0.3">
      <c r="A25" s="106" t="s">
        <v>43</v>
      </c>
      <c r="B25" s="100"/>
      <c r="C25" s="101"/>
      <c r="D25" s="100"/>
      <c r="E25" s="473"/>
      <c r="F25" s="101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  <c r="AA25" s="101"/>
      <c r="AB25" s="101"/>
      <c r="AC25" s="101"/>
      <c r="AD25" s="101"/>
      <c r="AE25" s="101"/>
      <c r="AF25" s="101"/>
      <c r="AG25" s="101"/>
      <c r="AH25" s="101"/>
      <c r="AI25" s="101"/>
      <c r="AJ25" s="101"/>
      <c r="AK25" s="101"/>
      <c r="AL25" s="101"/>
      <c r="AM25" s="101"/>
      <c r="AN25" s="101"/>
      <c r="AO25" s="101"/>
      <c r="AP25" s="101"/>
      <c r="AQ25" s="101"/>
      <c r="AR25" s="101"/>
      <c r="AS25" s="101"/>
      <c r="AT25" s="101"/>
      <c r="AU25" s="101"/>
      <c r="AV25" s="101"/>
      <c r="AW25" s="101"/>
      <c r="AX25" s="101"/>
      <c r="AY25" s="101"/>
      <c r="AZ25" s="101"/>
      <c r="BA25" s="101"/>
      <c r="BB25" s="101"/>
      <c r="BC25" s="101"/>
      <c r="BD25" s="101"/>
      <c r="BE25" s="101"/>
      <c r="BF25" s="101"/>
      <c r="BG25" s="101"/>
      <c r="BH25" s="101"/>
      <c r="BI25" s="101"/>
      <c r="BJ25" s="101"/>
      <c r="BK25" s="101"/>
      <c r="BL25" s="101"/>
      <c r="BM25" s="101"/>
      <c r="BN25" s="101"/>
      <c r="BO25" s="101"/>
      <c r="BP25" s="101"/>
      <c r="BQ25" s="101"/>
      <c r="BR25" s="101"/>
      <c r="BS25" s="101"/>
      <c r="BT25" s="101"/>
      <c r="BU25" s="101"/>
      <c r="BV25" s="101"/>
      <c r="BW25" s="101"/>
      <c r="BX25" s="101"/>
      <c r="BY25" s="101"/>
      <c r="BZ25" s="101"/>
      <c r="CA25" s="101"/>
      <c r="CB25" s="101"/>
      <c r="CC25" s="101"/>
      <c r="CD25" s="101"/>
      <c r="CE25" s="101"/>
      <c r="CF25" s="101"/>
      <c r="CG25" s="101"/>
      <c r="CH25" s="473"/>
      <c r="CI25" s="101"/>
      <c r="CJ25" s="101"/>
      <c r="CK25" s="101"/>
      <c r="CL25" s="101"/>
      <c r="CM25" s="101"/>
      <c r="CN25" s="101"/>
      <c r="CO25" s="102"/>
    </row>
    <row r="26" spans="1:93" s="112" customFormat="1" ht="24" customHeight="1" x14ac:dyDescent="0.25">
      <c r="A26" s="111" t="s">
        <v>120</v>
      </c>
      <c r="B26" s="100">
        <f t="shared" si="46"/>
        <v>0</v>
      </c>
      <c r="C26" s="101">
        <f>SUMIFS('9'!$E:$E,'9'!$A:$A,Año_Inicial+11,'9'!$D:$D,"Prevención de plagas")</f>
        <v>0</v>
      </c>
      <c r="D26" s="100">
        <f t="shared" si="45"/>
        <v>0</v>
      </c>
      <c r="E26" s="473"/>
      <c r="F26" s="101">
        <f>((A12_A_L1*Plagas_A)+(A12_B_L1*Plagas_B)+(A12_C_L1*Plagas_C)+(A12_D_L1*Plagas_D)+(A12_Y_L1*Plagas_Y))*Inflación_12</f>
        <v>0</v>
      </c>
      <c r="G26" s="101">
        <f>SUMIFS('9'!$E:$E,'9'!$A:$A,Año_Inicial+11,'9'!$B:$B,'12'!F$4,'9'!$D:$D,"Prevención de plagas")</f>
        <v>0</v>
      </c>
      <c r="H26" s="101">
        <f>((A12_A_L2*Plagas_A)+(A12_B_L2*Plagas_B)+(A12_C_L2*Plagas_C)+(A12_D_L2*Plagas_D)+(A12_Y_L2*Plagas_Y))*Inflación_12</f>
        <v>0</v>
      </c>
      <c r="I26" s="101">
        <f>SUMIFS('9'!$E:$E,'9'!$A:$A,Año_Inicial+11,'9'!$B:$B,'12'!H$4,'9'!$D:$D,"Prevención de plagas")</f>
        <v>0</v>
      </c>
      <c r="J26" s="101">
        <f>((A12_A_L3*Plagas_A)+(A12_B_L3*Plagas_B)+(A12_C_L3*Plagas_C)+(A12_D_L3*Plagas_D)+(A12_Y_L3*Plagas_Y))*Inflación_12</f>
        <v>0</v>
      </c>
      <c r="K26" s="101">
        <f>SUMIFS('9'!$E:$E,'9'!$A:$A,Año_Inicial+11,'9'!$B:$B,'12'!J$4,'9'!$D:$D,"Prevención de plagas")</f>
        <v>0</v>
      </c>
      <c r="L26" s="101">
        <f>((A12_A_L4*Plagas_A)+(A12_B_L4*Plagas_B)+(A12_C_L4*Plagas_C)+(A12_D_L4*Plagas_D)+(A12_Y_L4*Plagas_Y))*Inflación_12</f>
        <v>0</v>
      </c>
      <c r="M26" s="101">
        <f>SUMIFS('9'!$E:$E,'9'!$A:$A,Año_Inicial+11,'9'!$B:$B,'12'!L$4,'9'!$D:$D,"Prevención de plagas")</f>
        <v>0</v>
      </c>
      <c r="N26" s="101">
        <f>((A12_A_L5*Plagas_A)+(A12_B_L5*Plagas_B)+(A12_C_L5*Plagas_C)+(A12_D_L5*Plagas_D)+(A12_Y_L5*Plagas_Y))*Inflación_12</f>
        <v>0</v>
      </c>
      <c r="O26" s="101">
        <f>SUMIFS('9'!$E:$E,'9'!$A:$A,Año_Inicial+11,'9'!$B:$B,'12'!N$4,'9'!$D:$D,"Prevención de plagas")</f>
        <v>0</v>
      </c>
      <c r="P26" s="101">
        <f>((A12_A_L6*Plagas_A)+(A12_B_L6*Plagas_B)+(A12_C_L6*Plagas_C)+(A12_D_L6*Plagas_D)+(A12_Y_L6*Plagas_Y))*Inflación_12</f>
        <v>0</v>
      </c>
      <c r="Q26" s="101">
        <f>SUMIFS('9'!$E:$E,'9'!$A:$A,Año_Inicial+11,'9'!$B:$B,'12'!P$4,'9'!$D:$D,"Prevención de plagas")</f>
        <v>0</v>
      </c>
      <c r="R26" s="101">
        <f>((A12_A_L7*Plagas_A)+(A12_B_L7*Plagas_B)+(A12_C_L7*Plagas_C)+(A12_D_L7*Plagas_D)+(A12_Y_L7*Plagas_Y))*Inflación_12</f>
        <v>0</v>
      </c>
      <c r="S26" s="101">
        <f>SUMIFS('9'!$E:$E,'9'!$A:$A,Año_Inicial+11,'9'!$B:$B,'12'!R$4,'9'!$D:$D,"Prevención de plagas")</f>
        <v>0</v>
      </c>
      <c r="T26" s="101">
        <f>((A12_A_L8*Plagas_A)+(A12_B_L8*Plagas_B)+(A12_C_L8*Plagas_C)+(A12_D_L8*Plagas_D)+(A12_Y_L8*Plagas_Y))*Inflación_12</f>
        <v>0</v>
      </c>
      <c r="U26" s="101">
        <f>SUMIFS('9'!$E:$E,'9'!$A:$A,Año_Inicial+11,'9'!$B:$B,'12'!T$4,'9'!$D:$D,"Prevención de plagas")</f>
        <v>0</v>
      </c>
      <c r="V26" s="101">
        <f>((A12_A_L9*Plagas_A)+(A12_B_L9*Plagas_B)+(A12_C_L9*Plagas_C)+(A12_D_L9*Plagas_D)+(A12_Y_L9*Plagas_Y))*Inflación_12</f>
        <v>0</v>
      </c>
      <c r="W26" s="101">
        <f>SUMIFS('9'!$E:$E,'9'!$A:$A,Año_Inicial+11,'9'!$B:$B,'12'!V$4,'9'!$D:$D,"Prevención de plagas")</f>
        <v>0</v>
      </c>
      <c r="X26" s="101">
        <f>((A12_A_L10*Plagas_A)+(A12_B_L10*Plagas_B)+(A12_C_L10*Plagas_C)+(A12_D_L10*Plagas_D)+(A12_Y_L10*Plagas_Y))*Inflación_12</f>
        <v>0</v>
      </c>
      <c r="Y26" s="101">
        <f>SUMIFS('9'!$E:$E,'9'!$A:$A,Año_Inicial+11,'9'!$B:$B,'12'!X$4,'9'!$D:$D,"Prevención de plagas")</f>
        <v>0</v>
      </c>
      <c r="Z26" s="101">
        <f>((A12_A_L11*Plagas_A)+(A12_B_L11*Plagas_B)+(A12_C_L11*Plagas_C)+(A12_D_L11*Plagas_D)+(A12_Y_L11*Plagas_Y))*Inflación_12</f>
        <v>0</v>
      </c>
      <c r="AA26" s="101">
        <f>SUMIFS('9'!$E:$E,'9'!$A:$A,Año_Inicial+11,'9'!$B:$B,'12'!Z$4,'9'!$D:$D,"Prevención de plagas")</f>
        <v>0</v>
      </c>
      <c r="AB26" s="101">
        <f>((A12_A_L12*Plagas_A)+(A12_B_L12*Plagas_B)+(A12_C_L12*Plagas_C)+(A12_D_L12*Plagas_D)+(A12_Y_L12*Plagas_Y))*Inflación_12</f>
        <v>0</v>
      </c>
      <c r="AC26" s="101">
        <f>SUMIFS('9'!$E:$E,'9'!$A:$A,Año_Inicial+11,'9'!$B:$B,'12'!AB$4,'9'!$D:$D,"Prevención de plagas")</f>
        <v>0</v>
      </c>
      <c r="AD26" s="101">
        <f>((A12_A_L13*Plagas_A)+(A12_B_L13*Plagas_B)+(A12_C_L13*Plagas_C)+(A12_D_L13*Plagas_D)+(A12_Y_L13*Plagas_Y))*Inflación_12</f>
        <v>0</v>
      </c>
      <c r="AE26" s="101">
        <f>SUMIFS('9'!$E:$E,'9'!$A:$A,Año_Inicial+11,'9'!$B:$B,'12'!AD$4,'9'!$D:$D,"Prevención de plagas")</f>
        <v>0</v>
      </c>
      <c r="AF26" s="101">
        <f>((A12_A_L14*Plagas_A)+(A12_B_L14*Plagas_B)+(A12_C_L14*Plagas_C)+(A12_D_L14*Plagas_D)+(A12_Y_L14*Plagas_Y))*Inflación_12</f>
        <v>0</v>
      </c>
      <c r="AG26" s="101">
        <f>SUMIFS('9'!$E:$E,'9'!$A:$A,Año_Inicial+11,'9'!$B:$B,'12'!AF$4,'9'!$D:$D,"Prevención de plagas")</f>
        <v>0</v>
      </c>
      <c r="AH26" s="101">
        <f>((A12_A_L15*Plagas_A)+(A12_B_L15*Plagas_B)+(A12_C_L15*Plagas_C)+(A12_D_L15*Plagas_D)+(A12_Y_L15*Plagas_Y))*Inflación_12</f>
        <v>0</v>
      </c>
      <c r="AI26" s="101">
        <f>SUMIFS('9'!$E:$E,'9'!$A:$A,Año_Inicial+11,'9'!$B:$B,'12'!AH$4,'9'!$D:$D,"Prevención de plagas")</f>
        <v>0</v>
      </c>
      <c r="AJ26" s="101">
        <f>((A12_A_L16*Plagas_A)+(A12_B_L16*Plagas_B)+(A12_C_L16*Plagas_C)+(A12_D_L16*Plagas_D)+(A12_Y_L16*Plagas_Y))*Inflación_12</f>
        <v>0</v>
      </c>
      <c r="AK26" s="101">
        <f>SUMIFS('9'!$E:$E,'9'!$A:$A,Año_Inicial+11,'9'!$B:$B,'12'!AJ$4,'9'!$D:$D,"Prevención de plagas")</f>
        <v>0</v>
      </c>
      <c r="AL26" s="101">
        <f>((A12_A_L17*Plagas_A)+(A12_B_L17*Plagas_B)+(A12_C_L17*Plagas_C)+(A12_D_L17*Plagas_D)+(A12_Y_L17*Plagas_Y))*Inflación_12</f>
        <v>0</v>
      </c>
      <c r="AM26" s="101">
        <f>SUMIFS('9'!$E:$E,'9'!$A:$A,Año_Inicial+11,'9'!$B:$B,'12'!AL$4,'9'!$D:$D,"Prevención de plagas")</f>
        <v>0</v>
      </c>
      <c r="AN26" s="101">
        <f>((A12_A_L18*Plagas_A)+(A12_B_L18*Plagas_B)+(A12_C_L18*Plagas_C)+(A12_D_L18*Plagas_D)+(A12_Y_L18*Plagas_Y))*Inflación_12</f>
        <v>0</v>
      </c>
      <c r="AO26" s="101">
        <f>SUMIFS('9'!$E:$E,'9'!$A:$A,Año_Inicial+11,'9'!$B:$B,'12'!AN$4,'9'!$D:$D,"Prevención de plagas")</f>
        <v>0</v>
      </c>
      <c r="AP26" s="101">
        <f>((A12_A_L19*Plagas_A)+(A12_B_L19*Plagas_B)+(A12_C_L19*Plagas_C)+(A12_D_L19*Plagas_D)+(A12_Y_L19*Plagas_Y))*Inflación_12</f>
        <v>0</v>
      </c>
      <c r="AQ26" s="101">
        <f>SUMIFS('9'!$E:$E,'9'!$A:$A,Año_Inicial+11,'9'!$B:$B,'12'!AP$4,'9'!$D:$D,"Prevención de plagas")</f>
        <v>0</v>
      </c>
      <c r="AR26" s="101">
        <f>((A12_A_L20*Plagas_A)+(A12_B_L20*Plagas_B)+(A12_C_L20*Plagas_C)+(A12_D_L20*Plagas_D)+(A12_Y_L20*Plagas_Y))*Inflación_12</f>
        <v>0</v>
      </c>
      <c r="AS26" s="101">
        <f>SUMIFS('9'!$E:$E,'9'!$A:$A,Año_Inicial+11,'9'!$B:$B,'12'!AR$4,'9'!$D:$D,"Prevención de plagas")</f>
        <v>0</v>
      </c>
      <c r="AT26" s="101">
        <f>((A12_A_L21*Plagas_A)+(A12_B_L21*Plagas_B)+(A12_C_L21*Plagas_C)+(A12_D_L21*Plagas_D)+(A12_Y_L21*Plagas_Y))*Inflación_12</f>
        <v>0</v>
      </c>
      <c r="AU26" s="101">
        <f>SUMIFS('9'!$E:$E,'9'!$A:$A,Año_Inicial+11,'9'!$B:$B,'12'!AT$4,'9'!$D:$D,"Prevención de plagas")</f>
        <v>0</v>
      </c>
      <c r="AV26" s="101">
        <f>((A12_A_L22*Plagas_A)+(A12_B_L22*Plagas_B)+(A12_C_L22*Plagas_C)+(A12_D_L22*Plagas_D)+(A12_Y_L22*Plagas_Y))*Inflación_12</f>
        <v>0</v>
      </c>
      <c r="AW26" s="101">
        <f>SUMIFS('9'!$E:$E,'9'!$A:$A,Año_Inicial+11,'9'!$B:$B,'12'!AV$4,'9'!$D:$D,"Prevención de plagas")</f>
        <v>0</v>
      </c>
      <c r="AX26" s="101">
        <f>((A12_A_L23*Plagas_A)+(A12_B_L23*Plagas_B)+(A12_C_L23*Plagas_C)+(A12_D_L23*Plagas_D)+(A12_Y_L23*Plagas_Y))*Inflación_12</f>
        <v>0</v>
      </c>
      <c r="AY26" s="101">
        <f>SUMIFS('9'!$E:$E,'9'!$A:$A,Año_Inicial+11,'9'!$B:$B,'12'!AX$4,'9'!$D:$D,"Prevención de plagas")</f>
        <v>0</v>
      </c>
      <c r="AZ26" s="101">
        <f>((A12_A_L24*Plagas_A)+(A12_B_L24*Plagas_B)+(A12_C_L24*Plagas_C)+(A12_D_L24*Plagas_D)+(A12_Y_L24*Plagas_Y))*Inflación_12</f>
        <v>0</v>
      </c>
      <c r="BA26" s="101">
        <f>SUMIFS('9'!$E:$E,'9'!$A:$A,Año_Inicial+11,'9'!$B:$B,'12'!AZ$4,'9'!$D:$D,"Prevención de plagas")</f>
        <v>0</v>
      </c>
      <c r="BB26" s="101">
        <f>((A12_A_L25*Plagas_A)+(A12_B_L25*Plagas_B)+(A12_C_L25*Plagas_C)+(A12_D_L25*Plagas_D)+(A12_Y_L25*Plagas_Y))*Inflación_12</f>
        <v>0</v>
      </c>
      <c r="BC26" s="101">
        <f>SUMIFS('9'!$E:$E,'9'!$A:$A,Año_Inicial+11,'9'!$B:$B,'12'!BB$4,'9'!$D:$D,"Prevención de plagas")</f>
        <v>0</v>
      </c>
      <c r="BD26" s="101">
        <f>((A12_A_L26*Plagas_A)+(A12_B_L26*Plagas_B)+(A12_C_L26*Plagas_C)+(A12_D_L26*Plagas_D)+(A12_Y_L26*Plagas_Y))*Inflación_12</f>
        <v>0</v>
      </c>
      <c r="BE26" s="101">
        <f>SUMIFS('9'!$E:$E,'9'!$A:$A,Año_Inicial+11,'9'!$B:$B,'12'!BD$4,'9'!$D:$D,"Prevención de plagas")</f>
        <v>0</v>
      </c>
      <c r="BF26" s="101">
        <f>((A12_A_L27*Plagas_A)+(A12_B_L27*Plagas_B)+(A12_C_L27*Plagas_C)+(A12_D_L27*Plagas_D)+(A12_Y_L27*Plagas_Y))*Inflación_12</f>
        <v>0</v>
      </c>
      <c r="BG26" s="101">
        <f>SUMIFS('9'!$E:$E,'9'!$A:$A,Año_Inicial+11,'9'!$B:$B,'12'!BF$4,'9'!$D:$D,"Prevención de plagas")</f>
        <v>0</v>
      </c>
      <c r="BH26" s="101">
        <f>((A12_A_L28*Plagas_A)+(A12_B_L28*Plagas_B)+(A12_C_L28*Plagas_C)+(A12_D_L28*Plagas_D)+(A12_Y_L28*Plagas_Y))*Inflación_12</f>
        <v>0</v>
      </c>
      <c r="BI26" s="101">
        <f>SUMIFS('9'!$E:$E,'9'!$A:$A,Año_Inicial+11,'9'!$B:$B,'12'!BH$4,'9'!$D:$D,"Prevención de plagas")</f>
        <v>0</v>
      </c>
      <c r="BJ26" s="101">
        <f>((A12_A_L29*Plagas_A)+(A12_B_L29*Plagas_B)+(A12_C_L29*Plagas_C)+(A12_D_L29*Plagas_D)+(A12_Y_L29*Plagas_Y))*Inflación_12</f>
        <v>0</v>
      </c>
      <c r="BK26" s="101">
        <f>SUMIFS('9'!$E:$E,'9'!$A:$A,Año_Inicial+11,'9'!$B:$B,'12'!BJ$4,'9'!$D:$D,"Prevención de plagas")</f>
        <v>0</v>
      </c>
      <c r="BL26" s="101">
        <f>((A12_A_L30*Plagas_A)+(A12_B_L30*Plagas_B)+(A12_C_L30*Plagas_C)+(A12_D_L30*Plagas_D)+(A12_Y_L30*Plagas_Y))*Inflación_12</f>
        <v>0</v>
      </c>
      <c r="BM26" s="101">
        <f>SUMIFS('9'!$E:$E,'9'!$A:$A,Año_Inicial+11,'9'!$B:$B,'12'!BL$4,'9'!$D:$D,"Prevención de plagas")</f>
        <v>0</v>
      </c>
      <c r="BN26" s="101">
        <f>((A12_A_L31*Plagas_A)+(A12_B_L31*Plagas_B)+(A12_C_L31*Plagas_C)+(A12_D_L31*Plagas_D)+(A12_Y_L31*Plagas_Y))*Inflación_12</f>
        <v>0</v>
      </c>
      <c r="BO26" s="101">
        <f>SUMIFS('9'!$E:$E,'9'!$A:$A,Año_Inicial+11,'9'!$B:$B,'12'!BN$4,'9'!$D:$D,"Prevención de plagas")</f>
        <v>0</v>
      </c>
      <c r="BP26" s="101">
        <f>((A12_A_L32*Plagas_A)+(A12_B_L32*Plagas_B)+(A12_C_L32*Plagas_C)+(A12_D_L32*Plagas_D)+(A12_Y_L32*Plagas_Y))*Inflación_12</f>
        <v>0</v>
      </c>
      <c r="BQ26" s="101">
        <f>SUMIFS('9'!$E:$E,'9'!$A:$A,Año_Inicial+11,'9'!$B:$B,'12'!BP$4,'9'!$D:$D,"Prevención de plagas")</f>
        <v>0</v>
      </c>
      <c r="BR26" s="101">
        <f>((A12_A_L33*Plagas_A)+(A12_B_L33*Plagas_B)+(A12_C_L33*Plagas_C)+(A12_D_L33*Plagas_D)+(A12_Y_L33*Plagas_Y))*Inflación_12</f>
        <v>0</v>
      </c>
      <c r="BS26" s="101">
        <f>SUMIFS('9'!$E:$E,'9'!$A:$A,Año_Inicial+11,'9'!$B:$B,'12'!BR$4,'9'!$D:$D,"Prevención de plagas")</f>
        <v>0</v>
      </c>
      <c r="BT26" s="101">
        <f>((A12_A_L34*Plagas_A)+(A12_B_L34*Plagas_B)+(A12_C_L34*Plagas_C)+(A12_D_L34*Plagas_D)+(A12_Y_L34*Plagas_Y))*Inflación_12</f>
        <v>0</v>
      </c>
      <c r="BU26" s="101">
        <f>SUMIFS('9'!$E:$E,'9'!$A:$A,Año_Inicial+11,'9'!$B:$B,'12'!BT$4,'9'!$D:$D,"Prevención de plagas")</f>
        <v>0</v>
      </c>
      <c r="BV26" s="101">
        <f>((A12_A_L35*Plagas_A)+(A12_B_L35*Plagas_B)+(A12_C_L35*Plagas_C)+(A12_D_L35*Plagas_D)+(A12_Y_L35*Plagas_Y))*Inflación_12</f>
        <v>0</v>
      </c>
      <c r="BW26" s="101">
        <f>SUMIFS('9'!$E:$E,'9'!$A:$A,Año_Inicial+11,'9'!$B:$B,'12'!BV$4,'9'!$D:$D,"Prevención de plagas")</f>
        <v>0</v>
      </c>
      <c r="BX26" s="101">
        <f>((A12_A_L36*Plagas_A)+(A12_B_L36*Plagas_B)+(A12_C_L36*Plagas_C)+(A12_D_L36*Plagas_D)+(A12_Y_L36*Plagas_Y))*Inflación_12</f>
        <v>0</v>
      </c>
      <c r="BY26" s="101">
        <f>SUMIFS('9'!$E:$E,'9'!$A:$A,Año_Inicial+11,'9'!$B:$B,'12'!BX$4,'9'!$D:$D,"Prevención de plagas")</f>
        <v>0</v>
      </c>
      <c r="BZ26" s="101">
        <f>((A12_A_L37*Plagas_A)+(A12_B_L37*Plagas_B)+(A12_C_L37*Plagas_C)+(A12_D_L37*Plagas_D)+(A12_Y_L37*Plagas_Y))*Inflación_12</f>
        <v>0</v>
      </c>
      <c r="CA26" s="101">
        <f>SUMIFS('9'!$E:$E,'9'!$A:$A,Año_Inicial+11,'9'!$B:$B,'12'!BZ$4,'9'!$D:$D,"Prevención de plagas")</f>
        <v>0</v>
      </c>
      <c r="CB26" s="101">
        <f>((A12_A_L38*Plagas_A)+(A12_B_L38*Plagas_B)+(A12_C_L38*Plagas_C)+(A12_D_L38*Plagas_D)+(A12_Y_L38*Plagas_Y))*Inflación_12</f>
        <v>0</v>
      </c>
      <c r="CC26" s="101">
        <f>SUMIFS('9'!$E:$E,'9'!$A:$A,Año_Inicial+11,'9'!$B:$B,'12'!CB$4,'9'!$D:$D,"Prevención de plagas")</f>
        <v>0</v>
      </c>
      <c r="CD26" s="101">
        <f>((A12_A_L39*Plagas_A)+(A12_B_L39*Plagas_B)+(A12_C_L39*Plagas_C)+(A12_D_L39*Plagas_D)+(A12_Y_L39*Plagas_Y))*Inflación_12</f>
        <v>0</v>
      </c>
      <c r="CE26" s="101">
        <f>SUMIFS('9'!$E:$E,'9'!$A:$A,Año_Inicial+11,'9'!$B:$B,'12'!CD$4,'9'!$D:$D,"Prevención de plagas")</f>
        <v>0</v>
      </c>
      <c r="CF26" s="101">
        <f>((A12_A_L40*Plagas_A)+(A12_B_L40*Plagas_B)+(A12_C_L40*Plagas_C)+(A12_D_L40*Plagas_D)+(A12_Y_L40*Plagas_Y))*Inflación_12</f>
        <v>0</v>
      </c>
      <c r="CG26" s="101">
        <f>SUMIFS('9'!$E:$E,'9'!$A:$A,Año_Inicial+11,'9'!$B:$B,'12'!CF$4,'9'!$D:$D,"Prevención de plagas")</f>
        <v>0</v>
      </c>
      <c r="CH26" s="473"/>
      <c r="CI26" s="101">
        <f>Plantas_A_A12*Plagas_A*Inflación_12</f>
        <v>0</v>
      </c>
      <c r="CJ26" s="101">
        <f>Plantas_B_A12*Plagas_B</f>
        <v>0</v>
      </c>
      <c r="CK26" s="101">
        <f>Plantas_C_A12*Plagas_C</f>
        <v>0</v>
      </c>
      <c r="CL26" s="101">
        <f>Plantas_D_A12*Plagas_D</f>
        <v>0</v>
      </c>
      <c r="CM26" s="101"/>
      <c r="CN26" s="101">
        <f>Plantas_Y_A12*Plagas_Y</f>
        <v>0</v>
      </c>
      <c r="CO26" s="102">
        <v>0</v>
      </c>
    </row>
    <row r="27" spans="1:93" s="112" customFormat="1" ht="24" customHeight="1" x14ac:dyDescent="0.25">
      <c r="A27" s="111" t="s">
        <v>51</v>
      </c>
      <c r="B27" s="100">
        <f t="shared" si="46"/>
        <v>0</v>
      </c>
      <c r="C27" s="101">
        <f>SUMIFS('9'!$E:$E,'9'!$A:$A,Año_Inicial+11,'9'!$D:$D,"Insecticida")</f>
        <v>0</v>
      </c>
      <c r="D27" s="100">
        <f t="shared" si="45"/>
        <v>0</v>
      </c>
      <c r="E27" s="473"/>
      <c r="F27" s="101">
        <f>((A12_A_L1*Insecticida_A)+(A12_B_L1*Insecticida_B)+(A12_C_L1*Insecticida_C)+(A12_D_L1*Insecticida_D)+(A12_Y_L1*Insecticida_Y))*Inflación_12</f>
        <v>0</v>
      </c>
      <c r="G27" s="101">
        <f>SUMIFS('9'!$E:$E,'9'!$A:$A,Año_Inicial+11,'9'!$B:$B,'12'!F$4,'9'!$D:$D,"Insecticida")</f>
        <v>0</v>
      </c>
      <c r="H27" s="101">
        <f>((A12_A_L2*Insecticida_A)+(A12_B_L2*Insecticida_B)+(A12_C_L2*Insecticida_C)+(A12_D_L2*Insecticida_D)+(A12_Y_L2*Insecticida_Y))*Inflación_12</f>
        <v>0</v>
      </c>
      <c r="I27" s="101">
        <f>SUMIFS('9'!$E:$E,'9'!$A:$A,Año_Inicial+11,'9'!$B:$B,'12'!H$4,'9'!$D:$D,"Insecticida")</f>
        <v>0</v>
      </c>
      <c r="J27" s="101">
        <f>((A12_A_L3*Insecticida_A)+(A12_B_L3*Insecticida_B)+(A12_C_L3*Insecticida_C)+(A12_D_L3*Insecticida_D)+(A12_Y_L3*Insecticida_Y))*Inflación_12</f>
        <v>0</v>
      </c>
      <c r="K27" s="101">
        <f>SUMIFS('9'!$E:$E,'9'!$A:$A,Año_Inicial+11,'9'!$B:$B,'12'!J$4,'9'!$D:$D,"Insecticida")</f>
        <v>0</v>
      </c>
      <c r="L27" s="101">
        <f>((A12_A_L4*Insecticida_A)+(A12_B_L4*Insecticida_B)+(A12_C_L4*Insecticida_C)+(A12_D_L4*Insecticida_D)+(A12_Y_L4*Insecticida_Y))*Inflación_12</f>
        <v>0</v>
      </c>
      <c r="M27" s="101">
        <f>SUMIFS('9'!$E:$E,'9'!$A:$A,Año_Inicial+11,'9'!$B:$B,'12'!L$4,'9'!$D:$D,"Insecticida")</f>
        <v>0</v>
      </c>
      <c r="N27" s="101">
        <f>((A12_A_L5*Insecticida_A)+(A12_B_L5*Insecticida_B)+(A12_C_L5*Insecticida_C)+(A12_D_L5*Insecticida_D)+(A12_Y_L5*Insecticida_Y))*Inflación_12</f>
        <v>0</v>
      </c>
      <c r="O27" s="101">
        <f>SUMIFS('9'!$E:$E,'9'!$A:$A,Año_Inicial+11,'9'!$B:$B,'12'!N$4,'9'!$D:$D,"Insecticida")</f>
        <v>0</v>
      </c>
      <c r="P27" s="101">
        <f>((A12_A_L6*Insecticida_A)+(A12_B_L6*Insecticida_B)+(A12_C_L6*Insecticida_C)+(A12_D_L6*Insecticida_D)+(A12_Y_L6*Insecticida_Y))*Inflación_12</f>
        <v>0</v>
      </c>
      <c r="Q27" s="101">
        <f>SUMIFS('9'!$E:$E,'9'!$A:$A,Año_Inicial+11,'9'!$B:$B,'12'!P$4,'9'!$D:$D,"Insecticida")</f>
        <v>0</v>
      </c>
      <c r="R27" s="101">
        <f>((A12_A_L7*Insecticida_A)+(A12_B_L7*Insecticida_B)+(A12_C_L7*Insecticida_C)+(A12_D_L7*Insecticida_D)+(A12_Y_L7*Insecticida_Y))*Inflación_12</f>
        <v>0</v>
      </c>
      <c r="S27" s="101">
        <f>SUMIFS('9'!$E:$E,'9'!$A:$A,Año_Inicial+11,'9'!$B:$B,'12'!R$4,'9'!$D:$D,"Insecticida")</f>
        <v>0</v>
      </c>
      <c r="T27" s="101">
        <f>((A12_A_L8*Insecticida_A)+(A12_B_L8*Insecticida_B)+(A12_C_L8*Insecticida_C)+(A12_D_L8*Insecticida_D)+(A12_Y_L8*Insecticida_Y))*Inflación_12</f>
        <v>0</v>
      </c>
      <c r="U27" s="101">
        <f>SUMIFS('9'!$E:$E,'9'!$A:$A,Año_Inicial+11,'9'!$B:$B,'12'!T$4,'9'!$D:$D,"Insecticida")</f>
        <v>0</v>
      </c>
      <c r="V27" s="101">
        <f>((A12_A_L9*Insecticida_A)+(A12_B_L9*Insecticida_B)+(A12_C_L9*Insecticida_C)+(A12_D_L9*Insecticida_D)+(A12_Y_L9*Insecticida_Y))*Inflación_12</f>
        <v>0</v>
      </c>
      <c r="W27" s="101">
        <f>SUMIFS('9'!$E:$E,'9'!$A:$A,Año_Inicial+11,'9'!$B:$B,'12'!V$4,'9'!$D:$D,"Insecticida")</f>
        <v>0</v>
      </c>
      <c r="X27" s="101">
        <f>((A12_A_L10*Insecticida_A)+(A12_B_L10*Insecticida_B)+(A12_C_L10*Insecticida_C)+(A12_D_L10*Insecticida_D)+(A12_Y_L10*Insecticida_Y))*Inflación_12</f>
        <v>0</v>
      </c>
      <c r="Y27" s="101">
        <f>SUMIFS('9'!$E:$E,'9'!$A:$A,Año_Inicial+11,'9'!$B:$B,'12'!X$4,'9'!$D:$D,"Insecticida")</f>
        <v>0</v>
      </c>
      <c r="Z27" s="101">
        <f>((A12_A_L11*Insecticida_A)+(A12_B_L11*Insecticida_B)+(A12_C_L11*Insecticida_C)+(A12_D_L11*Insecticida_D)+(A12_Y_L11*Insecticida_Y))*Inflación_12</f>
        <v>0</v>
      </c>
      <c r="AA27" s="101">
        <f>SUMIFS('9'!$E:$E,'9'!$A:$A,Año_Inicial+11,'9'!$B:$B,'12'!Z$4,'9'!$D:$D,"Insecticida")</f>
        <v>0</v>
      </c>
      <c r="AB27" s="101">
        <f>((A12_A_L12*Insecticida_A)+(A12_B_L12*Insecticida_B)+(A12_C_L12*Insecticida_C)+(A12_D_L12*Insecticida_D)+(A12_Y_L12*Insecticida_Y))*Inflación_12</f>
        <v>0</v>
      </c>
      <c r="AC27" s="101">
        <f>SUMIFS('9'!$E:$E,'9'!$A:$A,Año_Inicial+11,'9'!$B:$B,'12'!AB$4,'9'!$D:$D,"Insecticida")</f>
        <v>0</v>
      </c>
      <c r="AD27" s="101">
        <f>((A12_A_L13*Insecticida_A)+(A12_B_L13*Insecticida_B)+(A12_C_L13*Insecticida_C)+(A12_D_L13*Insecticida_D)+(A12_Y_L13*Insecticida_Y))*Inflación_12</f>
        <v>0</v>
      </c>
      <c r="AE27" s="101">
        <f>SUMIFS('9'!$E:$E,'9'!$A:$A,Año_Inicial+11,'9'!$B:$B,'12'!AD$4,'9'!$D:$D,"Insecticida")</f>
        <v>0</v>
      </c>
      <c r="AF27" s="101">
        <f>((A12_A_L14*Insecticida_A)+(A12_B_L14*Insecticida_B)+(A12_C_L14*Insecticida_C)+(A12_D_L14*Insecticida_D)+(A12_Y_L14*Insecticida_Y))*Inflación_12</f>
        <v>0</v>
      </c>
      <c r="AG27" s="101">
        <f>SUMIFS('9'!$E:$E,'9'!$A:$A,Año_Inicial+11,'9'!$B:$B,'12'!AF$4,'9'!$D:$D,"Insecticida")</f>
        <v>0</v>
      </c>
      <c r="AH27" s="101">
        <f>((A12_A_L15*Insecticida_A)+(A12_B_L15*Insecticida_B)+(A12_C_L15*Insecticida_C)+(A12_D_L15*Insecticida_D)+(A12_Y_L15*Insecticida_Y))*Inflación_12</f>
        <v>0</v>
      </c>
      <c r="AI27" s="101">
        <f>SUMIFS('9'!$E:$E,'9'!$A:$A,Año_Inicial+11,'9'!$B:$B,'12'!AH$4,'9'!$D:$D,"Insecticida")</f>
        <v>0</v>
      </c>
      <c r="AJ27" s="101">
        <f>((A12_A_L16*Insecticida_A)+(A12_B_L16*Insecticida_B)+(A12_C_L16*Insecticida_C)+(A12_D_L16*Insecticida_D)+(A12_Y_L16*Insecticida_Y))*Inflación_12</f>
        <v>0</v>
      </c>
      <c r="AK27" s="101">
        <f>SUMIFS('9'!$E:$E,'9'!$A:$A,Año_Inicial+11,'9'!$B:$B,'12'!AJ$4,'9'!$D:$D,"Insecticida")</f>
        <v>0</v>
      </c>
      <c r="AL27" s="101">
        <f>((A12_A_L17*Insecticida_A)+(A12_B_L17*Insecticida_B)+(A12_C_L17*Insecticida_C)+(A12_D_L17*Insecticida_D)+(A12_Y_L17*Insecticida_Y))*Inflación_12</f>
        <v>0</v>
      </c>
      <c r="AM27" s="101">
        <f>SUMIFS('9'!$E:$E,'9'!$A:$A,Año_Inicial+11,'9'!$B:$B,'12'!AL$4,'9'!$D:$D,"Insecticida")</f>
        <v>0</v>
      </c>
      <c r="AN27" s="101">
        <f>((A12_A_L18*Insecticida_A)+(A12_B_L18*Insecticida_B)+(A12_C_L18*Insecticida_C)+(A12_D_L18*Insecticida_D)+(A12_Y_L18*Insecticida_Y))*Inflación_12</f>
        <v>0</v>
      </c>
      <c r="AO27" s="101">
        <f>SUMIFS('9'!$E:$E,'9'!$A:$A,Año_Inicial+11,'9'!$B:$B,'12'!AN$4,'9'!$D:$D,"Insecticida")</f>
        <v>0</v>
      </c>
      <c r="AP27" s="101">
        <f>((A12_A_L19*Insecticida_A)+(A12_B_L19*Insecticida_B)+(A12_C_L19*Insecticida_C)+(A12_D_L19*Insecticida_D)+(A12_Y_L19*Insecticida_Y))*Inflación_12</f>
        <v>0</v>
      </c>
      <c r="AQ27" s="101">
        <f>SUMIFS('9'!$E:$E,'9'!$A:$A,Año_Inicial+11,'9'!$B:$B,'12'!AP$4,'9'!$D:$D,"Insecticida")</f>
        <v>0</v>
      </c>
      <c r="AR27" s="101">
        <f>((A12_A_L20*Insecticida_A)+(A12_B_L20*Insecticida_B)+(A12_C_L20*Insecticida_C)+(A12_D_L20*Insecticida_D)+(A12_Y_L20*Insecticida_Y))*Inflación_12</f>
        <v>0</v>
      </c>
      <c r="AS27" s="101">
        <f>SUMIFS('9'!$E:$E,'9'!$A:$A,Año_Inicial+11,'9'!$B:$B,'12'!AR$4,'9'!$D:$D,"Insecticida")</f>
        <v>0</v>
      </c>
      <c r="AT27" s="101">
        <f>((A12_A_L21*Insecticida_A)+(A12_B_L21*Insecticida_B)+(A12_C_L21*Insecticida_C)+(A12_D_L21*Insecticida_D)+(A12_Y_L21*Insecticida_Y))*Inflación_12</f>
        <v>0</v>
      </c>
      <c r="AU27" s="101">
        <f>SUMIFS('9'!$E:$E,'9'!$A:$A,Año_Inicial+11,'9'!$B:$B,'12'!AT$4,'9'!$D:$D,"Insecticida")</f>
        <v>0</v>
      </c>
      <c r="AV27" s="101">
        <f>((A12_A_L22*Insecticida_A)+(A12_B_L22*Insecticida_B)+(A12_C_L22*Insecticida_C)+(A12_D_L22*Insecticida_D)+(A12_Y_L22*Insecticida_Y))*Inflación_12</f>
        <v>0</v>
      </c>
      <c r="AW27" s="101">
        <f>SUMIFS('9'!$E:$E,'9'!$A:$A,Año_Inicial+11,'9'!$B:$B,'12'!AV$4,'9'!$D:$D,"Insecticida")</f>
        <v>0</v>
      </c>
      <c r="AX27" s="101">
        <f>((A12_A_L23*Insecticida_A)+(A12_B_L23*Insecticida_B)+(A12_C_L23*Insecticida_C)+(A12_D_L23*Insecticida_D)+(A12_Y_L23*Insecticida_Y))*Inflación_12</f>
        <v>0</v>
      </c>
      <c r="AY27" s="101">
        <f>SUMIFS('9'!$E:$E,'9'!$A:$A,Año_Inicial+11,'9'!$B:$B,'12'!AX$4,'9'!$D:$D,"Insecticida")</f>
        <v>0</v>
      </c>
      <c r="AZ27" s="101">
        <f>((A12_A_L24*Insecticida_A)+(A12_B_L24*Insecticida_B)+(A12_C_L24*Insecticida_C)+(A12_D_L24*Insecticida_D)+(A12_Y_L24*Insecticida_Y))*Inflación_12</f>
        <v>0</v>
      </c>
      <c r="BA27" s="101">
        <f>SUMIFS('9'!$E:$E,'9'!$A:$A,Año_Inicial+11,'9'!$B:$B,'12'!AZ$4,'9'!$D:$D,"Insecticida")</f>
        <v>0</v>
      </c>
      <c r="BB27" s="101">
        <f>((A12_A_L25*Insecticida_A)+(A12_B_L25*Insecticida_B)+(A12_C_L25*Insecticida_C)+(A12_D_L25*Insecticida_D)+(A12_Y_L25*Insecticida_Y))*Inflación_12</f>
        <v>0</v>
      </c>
      <c r="BC27" s="101">
        <f>SUMIFS('9'!$E:$E,'9'!$A:$A,Año_Inicial+11,'9'!$B:$B,'12'!BB$4,'9'!$D:$D,"Insecticida")</f>
        <v>0</v>
      </c>
      <c r="BD27" s="101">
        <f>((A12_A_L26*Insecticida_A)+(A12_B_L26*Insecticida_B)+(A12_C_L26*Insecticida_C)+(A12_D_L26*Insecticida_D)+(A12_Y_L26*Insecticida_Y))*Inflación_12</f>
        <v>0</v>
      </c>
      <c r="BE27" s="101">
        <f>SUMIFS('9'!$E:$E,'9'!$A:$A,Año_Inicial+11,'9'!$B:$B,'12'!BD$4,'9'!$D:$D,"Insecticida")</f>
        <v>0</v>
      </c>
      <c r="BF27" s="101">
        <f>((A12_A_L27*Insecticida_A)+(A12_B_L27*Insecticida_B)+(A12_C_L27*Insecticida_C)+(A12_D_L27*Insecticida_D)+(A12_Y_L27*Insecticida_Y))*Inflación_12</f>
        <v>0</v>
      </c>
      <c r="BG27" s="101">
        <f>SUMIFS('9'!$E:$E,'9'!$A:$A,Año_Inicial+11,'9'!$B:$B,'12'!BF$4,'9'!$D:$D,"Insecticida")</f>
        <v>0</v>
      </c>
      <c r="BH27" s="101">
        <f>((A12_A_L28*Insecticida_A)+(A12_B_L28*Insecticida_B)+(A12_C_L28*Insecticida_C)+(A12_D_L28*Insecticida_D)+(A12_Y_L28*Insecticida_Y))*Inflación_12</f>
        <v>0</v>
      </c>
      <c r="BI27" s="101">
        <f>SUMIFS('9'!$E:$E,'9'!$A:$A,Año_Inicial+11,'9'!$B:$B,'12'!BH$4,'9'!$D:$D,"Insecticida")</f>
        <v>0</v>
      </c>
      <c r="BJ27" s="101">
        <f>((A12_A_L29*Insecticida_A)+(A12_B_L29*Insecticida_B)+(A12_C_L29*Insecticida_C)+(A12_D_L29*Insecticida_D)+(A12_Y_L29*Insecticida_Y))*Inflación_12</f>
        <v>0</v>
      </c>
      <c r="BK27" s="101">
        <f>SUMIFS('9'!$E:$E,'9'!$A:$A,Año_Inicial+11,'9'!$B:$B,'12'!BJ$4,'9'!$D:$D,"Insecticida")</f>
        <v>0</v>
      </c>
      <c r="BL27" s="101">
        <f>((A12_A_L30*Insecticida_A)+(A12_B_L30*Insecticida_B)+(A12_C_L30*Insecticida_C)+(A12_D_L30*Insecticida_D)+(A12_Y_L30*Insecticida_Y))*Inflación_12</f>
        <v>0</v>
      </c>
      <c r="BM27" s="101">
        <f>SUMIFS('9'!$E:$E,'9'!$A:$A,Año_Inicial+11,'9'!$B:$B,'12'!BL$4,'9'!$D:$D,"Insecticida")</f>
        <v>0</v>
      </c>
      <c r="BN27" s="101">
        <f>((A12_A_L31*Insecticida_A)+(A12_B_L31*Insecticida_B)+(A12_C_L31*Insecticida_C)+(A12_D_L31*Insecticida_D)+(A12_Y_L31*Insecticida_Y))*Inflación_12</f>
        <v>0</v>
      </c>
      <c r="BO27" s="101">
        <f>SUMIFS('9'!$E:$E,'9'!$A:$A,Año_Inicial+11,'9'!$B:$B,'12'!BN$4,'9'!$D:$D,"Insecticida")</f>
        <v>0</v>
      </c>
      <c r="BP27" s="101">
        <f>((A12_A_L32*Insecticida_A)+(A12_B_L32*Insecticida_B)+(A12_C_L32*Insecticida_C)+(A12_D_L32*Insecticida_D)+(A12_Y_L32*Insecticida_Y))*Inflación_12</f>
        <v>0</v>
      </c>
      <c r="BQ27" s="101">
        <f>SUMIFS('9'!$E:$E,'9'!$A:$A,Año_Inicial+11,'9'!$B:$B,'12'!BP$4,'9'!$D:$D,"Insecticida")</f>
        <v>0</v>
      </c>
      <c r="BR27" s="101">
        <f>((A12_A_L33*Insecticida_A)+(A12_B_L33*Insecticida_B)+(A12_C_L33*Insecticida_C)+(A12_D_L33*Insecticida_D)+(A12_Y_L33*Insecticida_Y))*Inflación_12</f>
        <v>0</v>
      </c>
      <c r="BS27" s="101">
        <f>SUMIFS('9'!$E:$E,'9'!$A:$A,Año_Inicial+11,'9'!$B:$B,'12'!BR$4,'9'!$D:$D,"Insecticida")</f>
        <v>0</v>
      </c>
      <c r="BT27" s="101">
        <f>((A12_A_L34*Insecticida_A)+(A12_B_L34*Insecticida_B)+(A12_C_L34*Insecticida_C)+(A12_D_L34*Insecticida_D)+(A12_Y_L34*Insecticida_Y))*Inflación_12</f>
        <v>0</v>
      </c>
      <c r="BU27" s="101">
        <f>SUMIFS('9'!$E:$E,'9'!$A:$A,Año_Inicial+11,'9'!$B:$B,'12'!BT$4,'9'!$D:$D,"Insecticida")</f>
        <v>0</v>
      </c>
      <c r="BV27" s="101">
        <f>((A12_A_L35*Insecticida_A)+(A12_B_L35*Insecticida_B)+(A12_C_L35*Insecticida_C)+(A12_D_L35*Insecticida_D)+(A12_Y_L35*Insecticida_Y))*Inflación_12</f>
        <v>0</v>
      </c>
      <c r="BW27" s="101">
        <f>SUMIFS('9'!$E:$E,'9'!$A:$A,Año_Inicial+11,'9'!$B:$B,'12'!BV$4,'9'!$D:$D,"Insecticida")</f>
        <v>0</v>
      </c>
      <c r="BX27" s="101">
        <f>((A12_A_L36*Insecticida_A)+(A12_B_L36*Insecticida_B)+(A12_C_L36*Insecticida_C)+(A12_D_L36*Insecticida_D)+(A12_Y_L36*Insecticida_Y))*Inflación_12</f>
        <v>0</v>
      </c>
      <c r="BY27" s="101">
        <f>SUMIFS('9'!$E:$E,'9'!$A:$A,Año_Inicial+11,'9'!$B:$B,'12'!BX$4,'9'!$D:$D,"Insecticida")</f>
        <v>0</v>
      </c>
      <c r="BZ27" s="101">
        <f>((A12_A_L37*Insecticida_A)+(A12_B_L37*Insecticida_B)+(A12_C_L37*Insecticida_C)+(A12_D_L37*Insecticida_D)+(A12_Y_L37*Insecticida_Y))*Inflación_12</f>
        <v>0</v>
      </c>
      <c r="CA27" s="101">
        <f>SUMIFS('9'!$E:$E,'9'!$A:$A,Año_Inicial+11,'9'!$B:$B,'12'!BZ$4,'9'!$D:$D,"Insecticida")</f>
        <v>0</v>
      </c>
      <c r="CB27" s="101">
        <f>((A12_A_L38*Insecticida_A)+(A12_B_L38*Insecticida_B)+(A12_C_L38*Insecticida_C)+(A12_D_L38*Insecticida_D)+(A12_Y_L38*Insecticida_Y))*Inflación_12</f>
        <v>0</v>
      </c>
      <c r="CC27" s="101">
        <f>SUMIFS('9'!$E:$E,'9'!$A:$A,Año_Inicial+11,'9'!$B:$B,'12'!CB$4,'9'!$D:$D,"Insecticida")</f>
        <v>0</v>
      </c>
      <c r="CD27" s="101">
        <f>((A12_A_L39*Insecticida_A)+(A12_B_L39*Insecticida_B)+(A12_C_L39*Insecticida_C)+(A12_D_L39*Insecticida_D)+(A12_Y_L39*Insecticida_Y))*Inflación_12</f>
        <v>0</v>
      </c>
      <c r="CE27" s="101">
        <f>SUMIFS('9'!$E:$E,'9'!$A:$A,Año_Inicial+11,'9'!$B:$B,'12'!CD$4,'9'!$D:$D,"Insecticida")</f>
        <v>0</v>
      </c>
      <c r="CF27" s="101">
        <f>((A12_A_L40*Insecticida_A)+(A12_B_L40*Insecticida_B)+(A12_C_L40*Insecticida_C)+(A12_D_L40*Insecticida_D)+(A12_Y_L40*Insecticida_Y))*Inflación_12</f>
        <v>0</v>
      </c>
      <c r="CG27" s="101">
        <f>SUMIFS('9'!$E:$E,'9'!$A:$A,Año_Inicial+11,'9'!$B:$B,'12'!CF$4,'9'!$D:$D,"Insecticida")</f>
        <v>0</v>
      </c>
      <c r="CH27" s="473"/>
      <c r="CI27" s="101">
        <f>Plantas_A_A12*Insecticida_A*Inflación_12</f>
        <v>0</v>
      </c>
      <c r="CJ27" s="101">
        <f>Plantas_B_A12*Insecticida_B</f>
        <v>0</v>
      </c>
      <c r="CK27" s="101">
        <f>Plantas_C_A12*Insecticida_C</f>
        <v>0</v>
      </c>
      <c r="CL27" s="101">
        <f>Plantas_D_A12*Insecticida_D</f>
        <v>0</v>
      </c>
      <c r="CM27" s="101"/>
      <c r="CN27" s="101">
        <f>Plantas_Y_A12*Insecticida_Y</f>
        <v>0</v>
      </c>
      <c r="CO27" s="102">
        <v>0</v>
      </c>
    </row>
    <row r="28" spans="1:93" s="112" customFormat="1" ht="24" customHeight="1" x14ac:dyDescent="0.3">
      <c r="A28" s="106" t="s">
        <v>57</v>
      </c>
      <c r="B28" s="100"/>
      <c r="C28" s="101"/>
      <c r="D28" s="100"/>
      <c r="E28" s="473"/>
      <c r="F28" s="101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  <c r="AA28" s="101"/>
      <c r="AB28" s="101"/>
      <c r="AC28" s="101"/>
      <c r="AD28" s="101"/>
      <c r="AE28" s="101"/>
      <c r="AF28" s="101"/>
      <c r="AG28" s="101"/>
      <c r="AH28" s="101"/>
      <c r="AI28" s="101"/>
      <c r="AJ28" s="101"/>
      <c r="AK28" s="101"/>
      <c r="AL28" s="101"/>
      <c r="AM28" s="101"/>
      <c r="AN28" s="101"/>
      <c r="AO28" s="101"/>
      <c r="AP28" s="101"/>
      <c r="AQ28" s="101"/>
      <c r="AR28" s="101"/>
      <c r="AS28" s="101"/>
      <c r="AT28" s="101"/>
      <c r="AU28" s="101"/>
      <c r="AV28" s="101"/>
      <c r="AW28" s="101"/>
      <c r="AX28" s="101"/>
      <c r="AY28" s="101"/>
      <c r="AZ28" s="101"/>
      <c r="BA28" s="101"/>
      <c r="BB28" s="101"/>
      <c r="BC28" s="101"/>
      <c r="BD28" s="101"/>
      <c r="BE28" s="101"/>
      <c r="BF28" s="101"/>
      <c r="BG28" s="101"/>
      <c r="BH28" s="101"/>
      <c r="BI28" s="101"/>
      <c r="BJ28" s="101"/>
      <c r="BK28" s="101"/>
      <c r="BL28" s="101"/>
      <c r="BM28" s="101"/>
      <c r="BN28" s="101"/>
      <c r="BO28" s="101"/>
      <c r="BP28" s="101"/>
      <c r="BQ28" s="101"/>
      <c r="BR28" s="101"/>
      <c r="BS28" s="101"/>
      <c r="BT28" s="101"/>
      <c r="BU28" s="101"/>
      <c r="BV28" s="101"/>
      <c r="BW28" s="101"/>
      <c r="BX28" s="101"/>
      <c r="BY28" s="101"/>
      <c r="BZ28" s="101"/>
      <c r="CA28" s="101"/>
      <c r="CB28" s="101"/>
      <c r="CC28" s="101"/>
      <c r="CD28" s="101"/>
      <c r="CE28" s="101"/>
      <c r="CF28" s="101"/>
      <c r="CG28" s="101"/>
      <c r="CH28" s="473"/>
      <c r="CI28" s="101"/>
      <c r="CJ28" s="101"/>
      <c r="CK28" s="101"/>
      <c r="CL28" s="101"/>
      <c r="CM28" s="101"/>
      <c r="CN28" s="101"/>
      <c r="CO28" s="102"/>
    </row>
    <row r="29" spans="1:93" s="112" customFormat="1" ht="24" customHeight="1" x14ac:dyDescent="0.25">
      <c r="A29" s="111" t="s">
        <v>123</v>
      </c>
      <c r="B29" s="100">
        <f t="shared" si="46"/>
        <v>0</v>
      </c>
      <c r="C29" s="101">
        <f>SUMIFS('9'!$E:$E,'9'!$A:$A,Año_Inicial+11,'9'!$D:$D,"Prevención de enfermedades")</f>
        <v>0</v>
      </c>
      <c r="D29" s="100">
        <f t="shared" si="45"/>
        <v>0</v>
      </c>
      <c r="E29" s="473"/>
      <c r="F29" s="101">
        <f>((A12_A_L1*Enfermedades_A)+(A12_B_L1*Enfermedades_B)+(A12_C_L1*Enfermedades_C)+(A12_D_L1*Enfermedades_D)+(A12_Y_L1*Enfermedades_Y))*Inflación_12</f>
        <v>0</v>
      </c>
      <c r="G29" s="101">
        <f>SUMIFS('9'!$E:$E,'9'!$A:$A,Año_Inicial+11,'9'!$B:$B,'12'!F$4,'9'!$D:$D,"Prevención de enfermedades")</f>
        <v>0</v>
      </c>
      <c r="H29" s="101">
        <f>((A12_A_L2*Enfermedades_A)+(A12_B_L2*Enfermedades_B)+(A12_C_L2*Enfermedades_C)+(A12_D_L2*Enfermedades_D)+(A12_Y_L2*Enfermedades_Y))*Inflación_12</f>
        <v>0</v>
      </c>
      <c r="I29" s="101">
        <f>SUMIFS('9'!$E:$E,'9'!$A:$A,Año_Inicial+11,'9'!$B:$B,'12'!H$4,'9'!$D:$D,"Prevención de enfermedades")</f>
        <v>0</v>
      </c>
      <c r="J29" s="101">
        <f>((A12_A_L3*Enfermedades_A)+(A12_B_L3*Enfermedades_B)+(A12_C_L3*Enfermedades_C)+(A12_D_L3*Enfermedades_D)+(A12_Y_L3*Enfermedades_Y))*Inflación_12</f>
        <v>0</v>
      </c>
      <c r="K29" s="101">
        <f>SUMIFS('9'!$E:$E,'9'!$A:$A,Año_Inicial+11,'9'!$B:$B,'12'!J$4,'9'!$D:$D,"Prevención de enfermedades")</f>
        <v>0</v>
      </c>
      <c r="L29" s="101">
        <f>((A12_A_L4*Enfermedades_A)+(A12_B_L4*Enfermedades_B)+(A12_C_L4*Enfermedades_C)+(A12_D_L4*Enfermedades_D)+(A12_Y_L4*Enfermedades_Y))*Inflación_12</f>
        <v>0</v>
      </c>
      <c r="M29" s="101">
        <f>SUMIFS('9'!$E:$E,'9'!$A:$A,Año_Inicial+11,'9'!$B:$B,'12'!L$4,'9'!$D:$D,"Prevención de enfermedades")</f>
        <v>0</v>
      </c>
      <c r="N29" s="101">
        <f>((A12_A_L5*Enfermedades_A)+(A12_B_L5*Enfermedades_B)+(A12_C_L5*Enfermedades_C)+(A12_D_L5*Enfermedades_D)+(A12_Y_L5*Enfermedades_Y))*Inflación_12</f>
        <v>0</v>
      </c>
      <c r="O29" s="101">
        <f>SUMIFS('9'!$E:$E,'9'!$A:$A,Año_Inicial+11,'9'!$B:$B,'12'!N$4,'9'!$D:$D,"Prevención de enfermedades")</f>
        <v>0</v>
      </c>
      <c r="P29" s="101">
        <f>((A12_A_L6*Enfermedades_A)+(A12_B_L6*Enfermedades_B)+(A12_C_L6*Enfermedades_C)+(A12_D_L6*Enfermedades_D)+(A12_Y_L6*Enfermedades_Y))*Inflación_12</f>
        <v>0</v>
      </c>
      <c r="Q29" s="101">
        <f>SUMIFS('9'!$E:$E,'9'!$A:$A,Año_Inicial+11,'9'!$B:$B,'12'!P$4,'9'!$D:$D,"Prevención de enfermedades")</f>
        <v>0</v>
      </c>
      <c r="R29" s="101">
        <f>((A12_A_L7*Enfermedades_A)+(A12_B_L7*Enfermedades_B)+(A12_C_L7*Enfermedades_C)+(A12_D_L7*Enfermedades_D)+(A12_Y_L7*Enfermedades_Y))*Inflación_12</f>
        <v>0</v>
      </c>
      <c r="S29" s="101">
        <f>SUMIFS('9'!$E:$E,'9'!$A:$A,Año_Inicial+11,'9'!$B:$B,'12'!R$4,'9'!$D:$D,"Prevención de enfermedades")</f>
        <v>0</v>
      </c>
      <c r="T29" s="101">
        <f>((A12_A_L8*Enfermedades_A)+(A12_B_L8*Enfermedades_B)+(A12_C_L8*Enfermedades_C)+(A12_D_L8*Enfermedades_D)+(A12_Y_L8*Enfermedades_Y))*Inflación_12</f>
        <v>0</v>
      </c>
      <c r="U29" s="101">
        <f>SUMIFS('9'!$E:$E,'9'!$A:$A,Año_Inicial+11,'9'!$B:$B,'12'!T$4,'9'!$D:$D,"Prevención de enfermedades")</f>
        <v>0</v>
      </c>
      <c r="V29" s="101">
        <f>((A12_A_L9*Enfermedades_A)+(A12_B_L9*Enfermedades_B)+(A12_C_L9*Enfermedades_C)+(A12_D_L9*Enfermedades_D)+(A12_Y_L9*Enfermedades_Y))*Inflación_12</f>
        <v>0</v>
      </c>
      <c r="W29" s="101">
        <f>SUMIFS('9'!$E:$E,'9'!$A:$A,Año_Inicial+11,'9'!$B:$B,'12'!V$4,'9'!$D:$D,"Prevención de enfermedades")</f>
        <v>0</v>
      </c>
      <c r="X29" s="101">
        <f>((A12_A_L10*Enfermedades_A)+(A12_B_L10*Enfermedades_B)+(A12_C_L10*Enfermedades_C)+(A12_D_L10*Enfermedades_D)+(A12_Y_L10*Enfermedades_Y))*Inflación_12</f>
        <v>0</v>
      </c>
      <c r="Y29" s="101">
        <f>SUMIFS('9'!$E:$E,'9'!$A:$A,Año_Inicial+11,'9'!$B:$B,'12'!X$4,'9'!$D:$D,"Prevención de enfermedades")</f>
        <v>0</v>
      </c>
      <c r="Z29" s="101">
        <f>((A12_A_L11*Enfermedades_A)+(A12_B_L11*Enfermedades_B)+(A12_C_L11*Enfermedades_C)+(A12_D_L11*Enfermedades_D)+(A12_Y_L11*Enfermedades_Y))*Inflación_12</f>
        <v>0</v>
      </c>
      <c r="AA29" s="101">
        <f>SUMIFS('9'!$E:$E,'9'!$A:$A,Año_Inicial+11,'9'!$B:$B,'12'!Z$4,'9'!$D:$D,"Prevención de enfermedades")</f>
        <v>0</v>
      </c>
      <c r="AB29" s="101">
        <f>((A12_A_L12*Enfermedades_A)+(A12_B_L12*Enfermedades_B)+(A12_C_L12*Enfermedades_C)+(A12_D_L12*Enfermedades_D)+(A12_Y_L12*Enfermedades_Y))*Inflación_12</f>
        <v>0</v>
      </c>
      <c r="AC29" s="101">
        <f>SUMIFS('9'!$E:$E,'9'!$A:$A,Año_Inicial+11,'9'!$B:$B,'12'!AB$4,'9'!$D:$D,"Prevención de enfermedades")</f>
        <v>0</v>
      </c>
      <c r="AD29" s="101">
        <f>((A12_A_L13*Enfermedades_A)+(A12_B_L13*Enfermedades_B)+(A12_C_L13*Enfermedades_C)+(A12_D_L13*Enfermedades_D)+(A12_Y_L13*Enfermedades_Y))*Inflación_12</f>
        <v>0</v>
      </c>
      <c r="AE29" s="101">
        <f>SUMIFS('9'!$E:$E,'9'!$A:$A,Año_Inicial+11,'9'!$B:$B,'12'!AD$4,'9'!$D:$D,"Prevención de enfermedades")</f>
        <v>0</v>
      </c>
      <c r="AF29" s="101">
        <f>((A12_A_L14*Enfermedades_A)+(A12_B_L14*Enfermedades_B)+(A12_C_L14*Enfermedades_C)+(A12_D_L14*Enfermedades_D)+(A12_Y_L14*Enfermedades_Y))*Inflación_12</f>
        <v>0</v>
      </c>
      <c r="AG29" s="101">
        <f>SUMIFS('9'!$E:$E,'9'!$A:$A,Año_Inicial+11,'9'!$B:$B,'12'!AF$4,'9'!$D:$D,"Prevención de enfermedades")</f>
        <v>0</v>
      </c>
      <c r="AH29" s="101">
        <f>((A12_A_L15*Enfermedades_A)+(A12_B_L15*Enfermedades_B)+(A12_C_L15*Enfermedades_C)+(A12_D_L15*Enfermedades_D)+(A12_Y_L15*Enfermedades_Y))*Inflación_12</f>
        <v>0</v>
      </c>
      <c r="AI29" s="101">
        <f>SUMIFS('9'!$E:$E,'9'!$A:$A,Año_Inicial+11,'9'!$B:$B,'12'!AH$4,'9'!$D:$D,"Prevención de enfermedades")</f>
        <v>0</v>
      </c>
      <c r="AJ29" s="101">
        <f>((A12_A_L16*Enfermedades_A)+(A12_B_L16*Enfermedades_B)+(A12_C_L16*Enfermedades_C)+(A12_D_L16*Enfermedades_D)+(A12_Y_L16*Enfermedades_Y))*Inflación_12</f>
        <v>0</v>
      </c>
      <c r="AK29" s="101">
        <f>SUMIFS('9'!$E:$E,'9'!$A:$A,Año_Inicial+11,'9'!$B:$B,'12'!AJ$4,'9'!$D:$D,"Prevención de enfermedades")</f>
        <v>0</v>
      </c>
      <c r="AL29" s="101">
        <f>((A12_A_L17*Enfermedades_A)+(A12_B_L17*Enfermedades_B)+(A12_C_L17*Enfermedades_C)+(A12_D_L17*Enfermedades_D)+(A12_Y_L17*Enfermedades_Y))*Inflación_12</f>
        <v>0</v>
      </c>
      <c r="AM29" s="101">
        <f>SUMIFS('9'!$E:$E,'9'!$A:$A,Año_Inicial+11,'9'!$B:$B,'12'!AL$4,'9'!$D:$D,"Prevención de enfermedades")</f>
        <v>0</v>
      </c>
      <c r="AN29" s="101">
        <f>((A12_A_L18*Enfermedades_A)+(A12_B_L18*Enfermedades_B)+(A12_C_L18*Enfermedades_C)+(A12_D_L18*Enfermedades_D)+(A12_Y_L18*Enfermedades_Y))*Inflación_12</f>
        <v>0</v>
      </c>
      <c r="AO29" s="101">
        <f>SUMIFS('9'!$E:$E,'9'!$A:$A,Año_Inicial+11,'9'!$B:$B,'12'!AN$4,'9'!$D:$D,"Prevención de enfermedades")</f>
        <v>0</v>
      </c>
      <c r="AP29" s="101">
        <f>((A12_A_L19*Enfermedades_A)+(A12_B_L19*Enfermedades_B)+(A12_C_L19*Enfermedades_C)+(A12_D_L19*Enfermedades_D)+(A12_Y_L19*Enfermedades_Y))*Inflación_12</f>
        <v>0</v>
      </c>
      <c r="AQ29" s="101">
        <f>SUMIFS('9'!$E:$E,'9'!$A:$A,Año_Inicial+11,'9'!$B:$B,'12'!AP$4,'9'!$D:$D,"Prevención de enfermedades")</f>
        <v>0</v>
      </c>
      <c r="AR29" s="101">
        <f>((A12_A_L20*Enfermedades_A)+(A12_B_L20*Enfermedades_B)+(A12_C_L20*Enfermedades_C)+(A12_D_L20*Enfermedades_D)+(A12_Y_L20*Enfermedades_Y))*Inflación_12</f>
        <v>0</v>
      </c>
      <c r="AS29" s="101">
        <f>SUMIFS('9'!$E:$E,'9'!$A:$A,Año_Inicial+11,'9'!$B:$B,'12'!AR$4,'9'!$D:$D,"Prevención de enfermedades")</f>
        <v>0</v>
      </c>
      <c r="AT29" s="101">
        <f>((A12_A_L21*Enfermedades_A)+(A12_B_L21*Enfermedades_B)+(A12_C_L21*Enfermedades_C)+(A12_D_L21*Enfermedades_D)+(A12_Y_L21*Enfermedades_Y))*Inflación_12</f>
        <v>0</v>
      </c>
      <c r="AU29" s="101">
        <f>SUMIFS('9'!$E:$E,'9'!$A:$A,Año_Inicial+11,'9'!$B:$B,'12'!AT$4,'9'!$D:$D,"Prevención de enfermedades")</f>
        <v>0</v>
      </c>
      <c r="AV29" s="101">
        <f>((A12_A_L22*Enfermedades_A)+(A12_B_L22*Enfermedades_B)+(A12_C_L22*Enfermedades_C)+(A12_D_L22*Enfermedades_D)+(A12_Y_L22*Enfermedades_Y))*Inflación_12</f>
        <v>0</v>
      </c>
      <c r="AW29" s="101">
        <f>SUMIFS('9'!$E:$E,'9'!$A:$A,Año_Inicial+11,'9'!$B:$B,'12'!AV$4,'9'!$D:$D,"Prevención de enfermedades")</f>
        <v>0</v>
      </c>
      <c r="AX29" s="101">
        <f>((A12_A_L23*Enfermedades_A)+(A12_B_L23*Enfermedades_B)+(A12_C_L23*Enfermedades_C)+(A12_D_L23*Enfermedades_D)+(A12_Y_L23*Enfermedades_Y))*Inflación_12</f>
        <v>0</v>
      </c>
      <c r="AY29" s="101">
        <f>SUMIFS('9'!$E:$E,'9'!$A:$A,Año_Inicial+11,'9'!$B:$B,'12'!AX$4,'9'!$D:$D,"Prevención de enfermedades")</f>
        <v>0</v>
      </c>
      <c r="AZ29" s="101">
        <f>((A12_A_L24*Enfermedades_A)+(A12_B_L24*Enfermedades_B)+(A12_C_L24*Enfermedades_C)+(A12_D_L24*Enfermedades_D)+(A12_Y_L24*Enfermedades_Y))*Inflación_12</f>
        <v>0</v>
      </c>
      <c r="BA29" s="101">
        <f>SUMIFS('9'!$E:$E,'9'!$A:$A,Año_Inicial+11,'9'!$B:$B,'12'!AZ$4,'9'!$D:$D,"Prevención de enfermedades")</f>
        <v>0</v>
      </c>
      <c r="BB29" s="101">
        <f>((A12_A_L25*Enfermedades_A)+(A12_B_L25*Enfermedades_B)+(A12_C_L25*Enfermedades_C)+(A12_D_L25*Enfermedades_D)+(A12_Y_L25*Enfermedades_Y))*Inflación_12</f>
        <v>0</v>
      </c>
      <c r="BC29" s="101">
        <f>SUMIFS('9'!$E:$E,'9'!$A:$A,Año_Inicial+11,'9'!$B:$B,'12'!BB$4,'9'!$D:$D,"Prevención de enfermedades")</f>
        <v>0</v>
      </c>
      <c r="BD29" s="101">
        <f>((A12_A_L26*Enfermedades_A)+(A12_B_L26*Enfermedades_B)+(A12_C_L26*Enfermedades_C)+(A12_D_L26*Enfermedades_D)+(A12_Y_L26*Enfermedades_Y))*Inflación_12</f>
        <v>0</v>
      </c>
      <c r="BE29" s="101">
        <f>SUMIFS('9'!$E:$E,'9'!$A:$A,Año_Inicial+11,'9'!$B:$B,'12'!BD$4,'9'!$D:$D,"Prevención de enfermedades")</f>
        <v>0</v>
      </c>
      <c r="BF29" s="101">
        <f>((A12_A_L27*Enfermedades_A)+(A12_B_L27*Enfermedades_B)+(A12_C_L27*Enfermedades_C)+(A12_D_L27*Enfermedades_D)+(A12_Y_L27*Enfermedades_Y))*Inflación_12</f>
        <v>0</v>
      </c>
      <c r="BG29" s="101">
        <f>SUMIFS('9'!$E:$E,'9'!$A:$A,Año_Inicial+11,'9'!$B:$B,'12'!BF$4,'9'!$D:$D,"Prevención de enfermedades")</f>
        <v>0</v>
      </c>
      <c r="BH29" s="101">
        <f>((A12_A_L28*Enfermedades_A)+(A12_B_L28*Enfermedades_B)+(A12_C_L28*Enfermedades_C)+(A12_D_L28*Enfermedades_D)+(A12_Y_L28*Enfermedades_Y))*Inflación_12</f>
        <v>0</v>
      </c>
      <c r="BI29" s="101">
        <f>SUMIFS('9'!$E:$E,'9'!$A:$A,Año_Inicial+11,'9'!$B:$B,'12'!BH$4,'9'!$D:$D,"Prevención de enfermedades")</f>
        <v>0</v>
      </c>
      <c r="BJ29" s="101">
        <f>((A12_A_L29*Enfermedades_A)+(A12_B_L29*Enfermedades_B)+(A12_C_L29*Enfermedades_C)+(A12_D_L29*Enfermedades_D)+(A12_Y_L29*Enfermedades_Y))*Inflación_12</f>
        <v>0</v>
      </c>
      <c r="BK29" s="101">
        <f>SUMIFS('9'!$E:$E,'9'!$A:$A,Año_Inicial+11,'9'!$B:$B,'12'!BJ$4,'9'!$D:$D,"Prevención de enfermedades")</f>
        <v>0</v>
      </c>
      <c r="BL29" s="101">
        <f>((A12_A_L30*Enfermedades_A)+(A12_B_L30*Enfermedades_B)+(A12_C_L30*Enfermedades_C)+(A12_D_L30*Enfermedades_D)+(A12_Y_L30*Enfermedades_Y))*Inflación_12</f>
        <v>0</v>
      </c>
      <c r="BM29" s="101">
        <f>SUMIFS('9'!$E:$E,'9'!$A:$A,Año_Inicial+11,'9'!$B:$B,'12'!BL$4,'9'!$D:$D,"Prevención de enfermedades")</f>
        <v>0</v>
      </c>
      <c r="BN29" s="101">
        <f>((A12_A_L31*Enfermedades_A)+(A12_B_L31*Enfermedades_B)+(A12_C_L31*Enfermedades_C)+(A12_D_L31*Enfermedades_D)+(A12_Y_L31*Enfermedades_Y))*Inflación_12</f>
        <v>0</v>
      </c>
      <c r="BO29" s="101">
        <f>SUMIFS('9'!$E:$E,'9'!$A:$A,Año_Inicial+11,'9'!$B:$B,'12'!BN$4,'9'!$D:$D,"Prevención de enfermedades")</f>
        <v>0</v>
      </c>
      <c r="BP29" s="101">
        <f>((A12_A_L32*Enfermedades_A)+(A12_B_L32*Enfermedades_B)+(A12_C_L32*Enfermedades_C)+(A12_D_L32*Enfermedades_D)+(A12_Y_L32*Enfermedades_Y))*Inflación_12</f>
        <v>0</v>
      </c>
      <c r="BQ29" s="101">
        <f>SUMIFS('9'!$E:$E,'9'!$A:$A,Año_Inicial+11,'9'!$B:$B,'12'!BP$4,'9'!$D:$D,"Prevención de enfermedades")</f>
        <v>0</v>
      </c>
      <c r="BR29" s="101">
        <f>((A12_A_L33*Enfermedades_A)+(A12_B_L33*Enfermedades_B)+(A12_C_L33*Enfermedades_C)+(A12_D_L33*Enfermedades_D)+(A12_Y_L33*Enfermedades_Y))*Inflación_12</f>
        <v>0</v>
      </c>
      <c r="BS29" s="101">
        <f>SUMIFS('9'!$E:$E,'9'!$A:$A,Año_Inicial+11,'9'!$B:$B,'12'!BR$4,'9'!$D:$D,"Prevención de enfermedades")</f>
        <v>0</v>
      </c>
      <c r="BT29" s="101">
        <f>((A12_A_L34*Enfermedades_A)+(A12_B_L34*Enfermedades_B)+(A12_C_L34*Enfermedades_C)+(A12_D_L34*Enfermedades_D)+(A12_Y_L34*Enfermedades_Y))*Inflación_12</f>
        <v>0</v>
      </c>
      <c r="BU29" s="101">
        <f>SUMIFS('9'!$E:$E,'9'!$A:$A,Año_Inicial+11,'9'!$B:$B,'12'!BT$4,'9'!$D:$D,"Prevención de enfermedades")</f>
        <v>0</v>
      </c>
      <c r="BV29" s="101">
        <f>((A12_A_L35*Enfermedades_A)+(A12_B_L35*Enfermedades_B)+(A12_C_L35*Enfermedades_C)+(A12_D_L35*Enfermedades_D)+(A12_Y_L35*Enfermedades_Y))*Inflación_12</f>
        <v>0</v>
      </c>
      <c r="BW29" s="101">
        <f>SUMIFS('9'!$E:$E,'9'!$A:$A,Año_Inicial+11,'9'!$B:$B,'12'!BV$4,'9'!$D:$D,"Prevención de enfermedades")</f>
        <v>0</v>
      </c>
      <c r="BX29" s="101">
        <f>((A12_A_L36*Enfermedades_A)+(A12_B_L36*Enfermedades_B)+(A12_C_L36*Enfermedades_C)+(A12_D_L36*Enfermedades_D)+(A12_Y_L36*Enfermedades_Y))*Inflación_12</f>
        <v>0</v>
      </c>
      <c r="BY29" s="101">
        <f>SUMIFS('9'!$E:$E,'9'!$A:$A,Año_Inicial+11,'9'!$B:$B,'12'!BX$4,'9'!$D:$D,"Prevención de enfermedades")</f>
        <v>0</v>
      </c>
      <c r="BZ29" s="101">
        <f>((A12_A_L37*Enfermedades_A)+(A12_B_L37*Enfermedades_B)+(A12_C_L37*Enfermedades_C)+(A12_D_L37*Enfermedades_D)+(A12_Y_L37*Enfermedades_Y))*Inflación_12</f>
        <v>0</v>
      </c>
      <c r="CA29" s="101">
        <f>SUMIFS('9'!$E:$E,'9'!$A:$A,Año_Inicial+11,'9'!$B:$B,'12'!BZ$4,'9'!$D:$D,"Prevención de enfermedades")</f>
        <v>0</v>
      </c>
      <c r="CB29" s="101">
        <f>((A12_A_L38*Enfermedades_A)+(A12_B_L38*Enfermedades_B)+(A12_C_L38*Enfermedades_C)+(A12_D_L38*Enfermedades_D)+(A12_Y_L38*Enfermedades_Y))*Inflación_12</f>
        <v>0</v>
      </c>
      <c r="CC29" s="101">
        <f>SUMIFS('9'!$E:$E,'9'!$A:$A,Año_Inicial+11,'9'!$B:$B,'12'!CB$4,'9'!$D:$D,"Prevención de enfermedades")</f>
        <v>0</v>
      </c>
      <c r="CD29" s="101">
        <f>((A12_A_L39*Enfermedades_A)+(A12_B_L39*Enfermedades_B)+(A12_C_L39*Enfermedades_C)+(A12_D_L39*Enfermedades_D)+(A12_Y_L39*Enfermedades_Y))*Inflación_12</f>
        <v>0</v>
      </c>
      <c r="CE29" s="101">
        <f>SUMIFS('9'!$E:$E,'9'!$A:$A,Año_Inicial+11,'9'!$B:$B,'12'!CD$4,'9'!$D:$D,"Prevención de enfermedades")</f>
        <v>0</v>
      </c>
      <c r="CF29" s="101">
        <f>((A12_A_L40*Enfermedades_A)+(A12_B_L40*Enfermedades_B)+(A12_C_L40*Enfermedades_C)+(A12_D_L40*Enfermedades_D)+(A12_Y_L40*Enfermedades_Y))*Inflación_12</f>
        <v>0</v>
      </c>
      <c r="CG29" s="101">
        <f>SUMIFS('9'!$E:$E,'9'!$A:$A,Año_Inicial+11,'9'!$B:$B,'12'!CF$4,'9'!$D:$D,"Prevención de enfermedades")</f>
        <v>0</v>
      </c>
      <c r="CH29" s="473"/>
      <c r="CI29" s="101">
        <f>Plantas_A_A12*Enfermedades_A*Inflación_12</f>
        <v>0</v>
      </c>
      <c r="CJ29" s="101">
        <f>Plantas_B_A12*Enfermedades_B</f>
        <v>0</v>
      </c>
      <c r="CK29" s="101">
        <f>Plantas_C_A12*Enfermedades_C</f>
        <v>0</v>
      </c>
      <c r="CL29" s="101">
        <f>Plantas_D_A12*Enfermedades_D</f>
        <v>0</v>
      </c>
      <c r="CM29" s="101"/>
      <c r="CN29" s="101">
        <f>Plantas_Y_A12*Enfermedades_Y</f>
        <v>0</v>
      </c>
      <c r="CO29" s="102">
        <v>0</v>
      </c>
    </row>
    <row r="30" spans="1:93" s="112" customFormat="1" ht="24" customHeight="1" x14ac:dyDescent="0.25">
      <c r="A30" s="111" t="s">
        <v>61</v>
      </c>
      <c r="B30" s="100">
        <f t="shared" si="46"/>
        <v>0</v>
      </c>
      <c r="C30" s="101">
        <f>SUMIFS('9'!$E:$E,'9'!$A:$A,Año_Inicial+11,'9'!$D:$D,"Fungicida")</f>
        <v>0</v>
      </c>
      <c r="D30" s="100">
        <f t="shared" si="45"/>
        <v>0</v>
      </c>
      <c r="E30" s="473"/>
      <c r="F30" s="101">
        <f>((A12_A_L1*Fungicida_A)+(A12_B_L1*Fungicida_B)+(A12_C_L1*Fungicida_C)+(A12_D_L1*Fungicida_D)+(A12_Y_L1*Fungicida_Y))*Inflación_12</f>
        <v>0</v>
      </c>
      <c r="G30" s="101">
        <f>SUMIFS('9'!$E:$E,'9'!$A:$A,Año_Inicial+11,'9'!$B:$B,'12'!F$4,'9'!$D:$D,"Fungicida")</f>
        <v>0</v>
      </c>
      <c r="H30" s="101">
        <f>((A12_A_L2*Fungicida_A)+(A12_B_L2*Fungicida_B)+(A12_C_L2*Fungicida_C)+(A12_D_L2*Fungicida_D)+(A12_Y_L2*Fungicida_Y))*Inflación_12</f>
        <v>0</v>
      </c>
      <c r="I30" s="101">
        <f>SUMIFS('9'!$E:$E,'9'!$A:$A,Año_Inicial+11,'9'!$B:$B,'12'!H$4,'9'!$D:$D,"Fungicida")</f>
        <v>0</v>
      </c>
      <c r="J30" s="101">
        <f>((A12_A_L3*Fungicida_A)+(A12_B_L3*Fungicida_B)+(A12_C_L3*Fungicida_C)+(A12_D_L3*Fungicida_D)+(A12_Y_L3*Fungicida_Y))*Inflación_12</f>
        <v>0</v>
      </c>
      <c r="K30" s="101">
        <f>SUMIFS('9'!$E:$E,'9'!$A:$A,Año_Inicial+11,'9'!$B:$B,'12'!J$4,'9'!$D:$D,"Fungicida")</f>
        <v>0</v>
      </c>
      <c r="L30" s="101">
        <f>((A12_A_L4*Fungicida_A)+(A12_B_L4*Fungicida_B)+(A12_C_L4*Fungicida_C)+(A12_D_L4*Fungicida_D)+(A12_Y_L4*Fungicida_Y))*Inflación_12</f>
        <v>0</v>
      </c>
      <c r="M30" s="101">
        <f>SUMIFS('9'!$E:$E,'9'!$A:$A,Año_Inicial+11,'9'!$B:$B,'12'!L$4,'9'!$D:$D,"Fungicida")</f>
        <v>0</v>
      </c>
      <c r="N30" s="101">
        <f>((A12_A_L5*Fungicida_A)+(A12_B_L5*Fungicida_B)+(A12_C_L5*Fungicida_C)+(A12_D_L5*Fungicida_D)+(A12_Y_L5*Fungicida_Y))*Inflación_12</f>
        <v>0</v>
      </c>
      <c r="O30" s="101">
        <f>SUMIFS('9'!$E:$E,'9'!$A:$A,Año_Inicial+11,'9'!$B:$B,'12'!N$4,'9'!$D:$D,"Fungicida")</f>
        <v>0</v>
      </c>
      <c r="P30" s="101">
        <f>((A12_A_L6*Fungicida_A)+(A12_B_L6*Fungicida_B)+(A12_C_L6*Fungicida_C)+(A12_D_L6*Fungicida_D)+(A12_Y_L6*Fungicida_Y))*Inflación_12</f>
        <v>0</v>
      </c>
      <c r="Q30" s="101">
        <f>SUMIFS('9'!$E:$E,'9'!$A:$A,Año_Inicial+11,'9'!$B:$B,'12'!P$4,'9'!$D:$D,"Fungicida")</f>
        <v>0</v>
      </c>
      <c r="R30" s="101">
        <f>((A12_A_L7*Fungicida_A)+(A12_B_L7*Fungicida_B)+(A12_C_L7*Fungicida_C)+(A12_D_L7*Fungicida_D)+(A12_Y_L7*Fungicida_Y))*Inflación_12</f>
        <v>0</v>
      </c>
      <c r="S30" s="101">
        <f>SUMIFS('9'!$E:$E,'9'!$A:$A,Año_Inicial+11,'9'!$B:$B,'12'!R$4,'9'!$D:$D,"Fungicida")</f>
        <v>0</v>
      </c>
      <c r="T30" s="101">
        <f>((A12_A_L8*Fungicida_A)+(A12_B_L8*Fungicida_B)+(A12_C_L8*Fungicida_C)+(A12_D_L8*Fungicida_D)+(A12_Y_L8*Fungicida_Y))*Inflación_12</f>
        <v>0</v>
      </c>
      <c r="U30" s="101">
        <f>SUMIFS('9'!$E:$E,'9'!$A:$A,Año_Inicial+11,'9'!$B:$B,'12'!T$4,'9'!$D:$D,"Fungicida")</f>
        <v>0</v>
      </c>
      <c r="V30" s="101">
        <f>((A12_A_L9*Fungicida_A)+(A12_B_L9*Fungicida_B)+(A12_C_L9*Fungicida_C)+(A12_D_L9*Fungicida_D)+(A12_Y_L9*Fungicida_Y))*Inflación_12</f>
        <v>0</v>
      </c>
      <c r="W30" s="101">
        <f>SUMIFS('9'!$E:$E,'9'!$A:$A,Año_Inicial+11,'9'!$B:$B,'12'!V$4,'9'!$D:$D,"Fungicida")</f>
        <v>0</v>
      </c>
      <c r="X30" s="101">
        <f>((A12_A_L10*Fungicida_A)+(A12_B_L10*Fungicida_B)+(A12_C_L10*Fungicida_C)+(A12_D_L10*Fungicida_D)+(A12_Y_L10*Fungicida_Y))*Inflación_12</f>
        <v>0</v>
      </c>
      <c r="Y30" s="101">
        <f>SUMIFS('9'!$E:$E,'9'!$A:$A,Año_Inicial+11,'9'!$B:$B,'12'!X$4,'9'!$D:$D,"Fungicida")</f>
        <v>0</v>
      </c>
      <c r="Z30" s="101">
        <f>((A12_A_L11*Fungicida_A)+(A12_B_L11*Fungicida_B)+(A12_C_L11*Fungicida_C)+(A12_D_L11*Fungicida_D)+(A12_Y_L11*Fungicida_Y))*Inflación_12</f>
        <v>0</v>
      </c>
      <c r="AA30" s="101">
        <f>SUMIFS('9'!$E:$E,'9'!$A:$A,Año_Inicial+11,'9'!$B:$B,'12'!Z$4,'9'!$D:$D,"Fungicida")</f>
        <v>0</v>
      </c>
      <c r="AB30" s="101">
        <f>((A12_A_L12*Fungicida_A)+(A12_B_L12*Fungicida_B)+(A12_C_L12*Fungicida_C)+(A12_D_L12*Fungicida_D)+(A12_Y_L12*Fungicida_Y))*Inflación_12</f>
        <v>0</v>
      </c>
      <c r="AC30" s="101">
        <f>SUMIFS('9'!$E:$E,'9'!$A:$A,Año_Inicial+11,'9'!$B:$B,'12'!AB$4,'9'!$D:$D,"Fungicida")</f>
        <v>0</v>
      </c>
      <c r="AD30" s="101">
        <f>((A12_A_L13*Fungicida_A)+(A12_B_L13*Fungicida_B)+(A12_C_L13*Fungicida_C)+(A12_D_L13*Fungicida_D)+(A12_Y_L13*Fungicida_Y))*Inflación_12</f>
        <v>0</v>
      </c>
      <c r="AE30" s="101">
        <f>SUMIFS('9'!$E:$E,'9'!$A:$A,Año_Inicial+11,'9'!$B:$B,'12'!AD$4,'9'!$D:$D,"Fungicida")</f>
        <v>0</v>
      </c>
      <c r="AF30" s="101">
        <f>((A12_A_L14*Fungicida_A)+(A12_B_L14*Fungicida_B)+(A12_C_L14*Fungicida_C)+(A12_D_L14*Fungicida_D)+(A12_Y_L14*Fungicida_Y))*Inflación_12</f>
        <v>0</v>
      </c>
      <c r="AG30" s="101">
        <f>SUMIFS('9'!$E:$E,'9'!$A:$A,Año_Inicial+11,'9'!$B:$B,'12'!AF$4,'9'!$D:$D,"Fungicida")</f>
        <v>0</v>
      </c>
      <c r="AH30" s="101">
        <f>((A12_A_L15*Fungicida_A)+(A12_B_L15*Fungicida_B)+(A12_C_L15*Fungicida_C)+(A12_D_L15*Fungicida_D)+(A12_Y_L15*Fungicida_Y))*Inflación_12</f>
        <v>0</v>
      </c>
      <c r="AI30" s="101">
        <f>SUMIFS('9'!$E:$E,'9'!$A:$A,Año_Inicial+11,'9'!$B:$B,'12'!AH$4,'9'!$D:$D,"Fungicida")</f>
        <v>0</v>
      </c>
      <c r="AJ30" s="101">
        <f>((A12_A_L16*Fungicida_A)+(A12_B_L16*Fungicida_B)+(A12_C_L16*Fungicida_C)+(A12_D_L16*Fungicida_D)+(A12_Y_L16*Fungicida_Y))*Inflación_12</f>
        <v>0</v>
      </c>
      <c r="AK30" s="101">
        <f>SUMIFS('9'!$E:$E,'9'!$A:$A,Año_Inicial+11,'9'!$B:$B,'12'!AJ$4,'9'!$D:$D,"Fungicida")</f>
        <v>0</v>
      </c>
      <c r="AL30" s="101">
        <f>((A12_A_L17*Fungicida_A)+(A12_B_L17*Fungicida_B)+(A12_C_L17*Fungicida_C)+(A12_D_L17*Fungicida_D)+(A12_Y_L17*Fungicida_Y))*Inflación_12</f>
        <v>0</v>
      </c>
      <c r="AM30" s="101">
        <f>SUMIFS('9'!$E:$E,'9'!$A:$A,Año_Inicial+11,'9'!$B:$B,'12'!AL$4,'9'!$D:$D,"Fungicida")</f>
        <v>0</v>
      </c>
      <c r="AN30" s="101">
        <f>((A12_A_L18*Fungicida_A)+(A12_B_L18*Fungicida_B)+(A12_C_L18*Fungicida_C)+(A12_D_L18*Fungicida_D)+(A12_Y_L18*Fungicida_Y))*Inflación_12</f>
        <v>0</v>
      </c>
      <c r="AO30" s="101">
        <f>SUMIFS('9'!$E:$E,'9'!$A:$A,Año_Inicial+11,'9'!$B:$B,'12'!AN$4,'9'!$D:$D,"Fungicida")</f>
        <v>0</v>
      </c>
      <c r="AP30" s="101">
        <f>((A12_A_L19*Fungicida_A)+(A12_B_L19*Fungicida_B)+(A12_C_L19*Fungicida_C)+(A12_D_L19*Fungicida_D)+(A12_Y_L19*Fungicida_Y))*Inflación_12</f>
        <v>0</v>
      </c>
      <c r="AQ30" s="101">
        <f>SUMIFS('9'!$E:$E,'9'!$A:$A,Año_Inicial+11,'9'!$B:$B,'12'!AP$4,'9'!$D:$D,"Fungicida")</f>
        <v>0</v>
      </c>
      <c r="AR30" s="101">
        <f>((A12_A_L20*Fungicida_A)+(A12_B_L20*Fungicida_B)+(A12_C_L20*Fungicida_C)+(A12_D_L20*Fungicida_D)+(A12_Y_L20*Fungicida_Y))*Inflación_12</f>
        <v>0</v>
      </c>
      <c r="AS30" s="101">
        <f>SUMIFS('9'!$E:$E,'9'!$A:$A,Año_Inicial+11,'9'!$B:$B,'12'!AR$4,'9'!$D:$D,"Fungicida")</f>
        <v>0</v>
      </c>
      <c r="AT30" s="101">
        <f>((A12_A_L21*Fungicida_A)+(A12_B_L21*Fungicida_B)+(A12_C_L21*Fungicida_C)+(A12_D_L21*Fungicida_D)+(A12_Y_L21*Fungicida_Y))*Inflación_12</f>
        <v>0</v>
      </c>
      <c r="AU30" s="101">
        <f>SUMIFS('9'!$E:$E,'9'!$A:$A,Año_Inicial+11,'9'!$B:$B,'12'!AT$4,'9'!$D:$D,"Fungicida")</f>
        <v>0</v>
      </c>
      <c r="AV30" s="101">
        <f>((A12_A_L22*Fungicida_A)+(A12_B_L22*Fungicida_B)+(A12_C_L22*Fungicida_C)+(A12_D_L22*Fungicida_D)+(A12_Y_L22*Fungicida_Y))*Inflación_12</f>
        <v>0</v>
      </c>
      <c r="AW30" s="101">
        <f>SUMIFS('9'!$E:$E,'9'!$A:$A,Año_Inicial+11,'9'!$B:$B,'12'!AV$4,'9'!$D:$D,"Fungicida")</f>
        <v>0</v>
      </c>
      <c r="AX30" s="101">
        <f>((A12_A_L23*Fungicida_A)+(A12_B_L23*Fungicida_B)+(A12_C_L23*Fungicida_C)+(A12_D_L23*Fungicida_D)+(A12_Y_L23*Fungicida_Y))*Inflación_12</f>
        <v>0</v>
      </c>
      <c r="AY30" s="101">
        <f>SUMIFS('9'!$E:$E,'9'!$A:$A,Año_Inicial+11,'9'!$B:$B,'12'!AX$4,'9'!$D:$D,"Fungicida")</f>
        <v>0</v>
      </c>
      <c r="AZ30" s="101">
        <f>((A12_A_L24*Fungicida_A)+(A12_B_L24*Fungicida_B)+(A12_C_L24*Fungicida_C)+(A12_D_L24*Fungicida_D)+(A12_Y_L24*Fungicida_Y))*Inflación_12</f>
        <v>0</v>
      </c>
      <c r="BA30" s="101">
        <f>SUMIFS('9'!$E:$E,'9'!$A:$A,Año_Inicial+11,'9'!$B:$B,'12'!AZ$4,'9'!$D:$D,"Fungicida")</f>
        <v>0</v>
      </c>
      <c r="BB30" s="101">
        <f>((A12_A_L25*Fungicida_A)+(A12_B_L25*Fungicida_B)+(A12_C_L25*Fungicida_C)+(A12_D_L25*Fungicida_D)+(A12_Y_L25*Fungicida_Y))*Inflación_12</f>
        <v>0</v>
      </c>
      <c r="BC30" s="101">
        <f>SUMIFS('9'!$E:$E,'9'!$A:$A,Año_Inicial+11,'9'!$B:$B,'12'!BB$4,'9'!$D:$D,"Fungicida")</f>
        <v>0</v>
      </c>
      <c r="BD30" s="101">
        <f>((A12_A_L26*Fungicida_A)+(A12_B_L26*Fungicida_B)+(A12_C_L26*Fungicida_C)+(A12_D_L26*Fungicida_D)+(A12_Y_L26*Fungicida_Y))*Inflación_12</f>
        <v>0</v>
      </c>
      <c r="BE30" s="101">
        <f>SUMIFS('9'!$E:$E,'9'!$A:$A,Año_Inicial+11,'9'!$B:$B,'12'!BD$4,'9'!$D:$D,"Fungicida")</f>
        <v>0</v>
      </c>
      <c r="BF30" s="101">
        <f>((A12_A_L27*Fungicida_A)+(A12_B_L27*Fungicida_B)+(A12_C_L27*Fungicida_C)+(A12_D_L27*Fungicida_D)+(A12_Y_L27*Fungicida_Y))*Inflación_12</f>
        <v>0</v>
      </c>
      <c r="BG30" s="101">
        <f>SUMIFS('9'!$E:$E,'9'!$A:$A,Año_Inicial+11,'9'!$B:$B,'12'!BF$4,'9'!$D:$D,"Fungicida")</f>
        <v>0</v>
      </c>
      <c r="BH30" s="101">
        <f>((A12_A_L28*Fungicida_A)+(A12_B_L28*Fungicida_B)+(A12_C_L28*Fungicida_C)+(A12_D_L28*Fungicida_D)+(A12_Y_L28*Fungicida_Y))*Inflación_12</f>
        <v>0</v>
      </c>
      <c r="BI30" s="101">
        <f>SUMIFS('9'!$E:$E,'9'!$A:$A,Año_Inicial+11,'9'!$B:$B,'12'!BH$4,'9'!$D:$D,"Fungicida")</f>
        <v>0</v>
      </c>
      <c r="BJ30" s="101">
        <f>((A12_A_L29*Fungicida_A)+(A12_B_L29*Fungicida_B)+(A12_C_L29*Fungicida_C)+(A12_D_L29*Fungicida_D)+(A12_Y_L29*Fungicida_Y))*Inflación_12</f>
        <v>0</v>
      </c>
      <c r="BK30" s="101">
        <f>SUMIFS('9'!$E:$E,'9'!$A:$A,Año_Inicial+11,'9'!$B:$B,'12'!BJ$4,'9'!$D:$D,"Fungicida")</f>
        <v>0</v>
      </c>
      <c r="BL30" s="101">
        <f>((A12_A_L30*Fungicida_A)+(A12_B_L30*Fungicida_B)+(A12_C_L30*Fungicida_C)+(A12_D_L30*Fungicida_D)+(A12_Y_L30*Fungicida_Y))*Inflación_12</f>
        <v>0</v>
      </c>
      <c r="BM30" s="101">
        <f>SUMIFS('9'!$E:$E,'9'!$A:$A,Año_Inicial+11,'9'!$B:$B,'12'!BL$4,'9'!$D:$D,"Fungicida")</f>
        <v>0</v>
      </c>
      <c r="BN30" s="101">
        <f>((A12_A_L31*Fungicida_A)+(A12_B_L31*Fungicida_B)+(A12_C_L31*Fungicida_C)+(A12_D_L31*Fungicida_D)+(A12_Y_L31*Fungicida_Y))*Inflación_12</f>
        <v>0</v>
      </c>
      <c r="BO30" s="101">
        <f>SUMIFS('9'!$E:$E,'9'!$A:$A,Año_Inicial+11,'9'!$B:$B,'12'!BN$4,'9'!$D:$D,"Fungicida")</f>
        <v>0</v>
      </c>
      <c r="BP30" s="101">
        <f>((A12_A_L32*Fungicida_A)+(A12_B_L32*Fungicida_B)+(A12_C_L32*Fungicida_C)+(A12_D_L32*Fungicida_D)+(A12_Y_L32*Fungicida_Y))*Inflación_12</f>
        <v>0</v>
      </c>
      <c r="BQ30" s="101">
        <f>SUMIFS('9'!$E:$E,'9'!$A:$A,Año_Inicial+11,'9'!$B:$B,'12'!BP$4,'9'!$D:$D,"Fungicida")</f>
        <v>0</v>
      </c>
      <c r="BR30" s="101">
        <f>((A12_A_L33*Fungicida_A)+(A12_B_L33*Fungicida_B)+(A12_C_L33*Fungicida_C)+(A12_D_L33*Fungicida_D)+(A12_Y_L33*Fungicida_Y))*Inflación_12</f>
        <v>0</v>
      </c>
      <c r="BS30" s="101">
        <f>SUMIFS('9'!$E:$E,'9'!$A:$A,Año_Inicial+11,'9'!$B:$B,'12'!BR$4,'9'!$D:$D,"Fungicida")</f>
        <v>0</v>
      </c>
      <c r="BT30" s="101">
        <f>((A12_A_L34*Fungicida_A)+(A12_B_L34*Fungicida_B)+(A12_C_L34*Fungicida_C)+(A12_D_L34*Fungicida_D)+(A12_Y_L34*Fungicida_Y))*Inflación_12</f>
        <v>0</v>
      </c>
      <c r="BU30" s="101">
        <f>SUMIFS('9'!$E:$E,'9'!$A:$A,Año_Inicial+11,'9'!$B:$B,'12'!BT$4,'9'!$D:$D,"Fungicida")</f>
        <v>0</v>
      </c>
      <c r="BV30" s="101">
        <f>((A12_A_L35*Fungicida_A)+(A12_B_L35*Fungicida_B)+(A12_C_L35*Fungicida_C)+(A12_D_L35*Fungicida_D)+(A12_Y_L35*Fungicida_Y))*Inflación_12</f>
        <v>0</v>
      </c>
      <c r="BW30" s="101">
        <f>SUMIFS('9'!$E:$E,'9'!$A:$A,Año_Inicial+11,'9'!$B:$B,'12'!BV$4,'9'!$D:$D,"Fungicida")</f>
        <v>0</v>
      </c>
      <c r="BX30" s="101">
        <f>((A12_A_L36*Fungicida_A)+(A12_B_L36*Fungicida_B)+(A12_C_L36*Fungicida_C)+(A12_D_L36*Fungicida_D)+(A12_Y_L36*Fungicida_Y))*Inflación_12</f>
        <v>0</v>
      </c>
      <c r="BY30" s="101">
        <f>SUMIFS('9'!$E:$E,'9'!$A:$A,Año_Inicial+11,'9'!$B:$B,'12'!BX$4,'9'!$D:$D,"Fungicida")</f>
        <v>0</v>
      </c>
      <c r="BZ30" s="101">
        <f>((A12_A_L37*Fungicida_A)+(A12_B_L37*Fungicida_B)+(A12_C_L37*Fungicida_C)+(A12_D_L37*Fungicida_D)+(A12_Y_L37*Fungicida_Y))*Inflación_12</f>
        <v>0</v>
      </c>
      <c r="CA30" s="101">
        <f>SUMIFS('9'!$E:$E,'9'!$A:$A,Año_Inicial+11,'9'!$B:$B,'12'!BZ$4,'9'!$D:$D,"Fungicida")</f>
        <v>0</v>
      </c>
      <c r="CB30" s="101">
        <f>((A12_A_L38*Fungicida_A)+(A12_B_L38*Fungicida_B)+(A12_C_L38*Fungicida_C)+(A12_D_L38*Fungicida_D)+(A12_Y_L38*Fungicida_Y))*Inflación_12</f>
        <v>0</v>
      </c>
      <c r="CC30" s="101">
        <f>SUMIFS('9'!$E:$E,'9'!$A:$A,Año_Inicial+11,'9'!$B:$B,'12'!CB$4,'9'!$D:$D,"Fungicida")</f>
        <v>0</v>
      </c>
      <c r="CD30" s="101">
        <f>((A12_A_L39*Fungicida_A)+(A12_B_L39*Fungicida_B)+(A12_C_L39*Fungicida_C)+(A12_D_L39*Fungicida_D)+(A12_Y_L39*Fungicida_Y))*Inflación_12</f>
        <v>0</v>
      </c>
      <c r="CE30" s="101">
        <f>SUMIFS('9'!$E:$E,'9'!$A:$A,Año_Inicial+11,'9'!$B:$B,'12'!CD$4,'9'!$D:$D,"Fungicida")</f>
        <v>0</v>
      </c>
      <c r="CF30" s="101">
        <f>((A12_A_L40*Fungicida_A)+(A12_B_L40*Fungicida_B)+(A12_C_L40*Fungicida_C)+(A12_D_L40*Fungicida_D)+(A12_Y_L40*Fungicida_Y))*Inflación_12</f>
        <v>0</v>
      </c>
      <c r="CG30" s="101">
        <f>SUMIFS('9'!$E:$E,'9'!$A:$A,Año_Inicial+11,'9'!$B:$B,'12'!CF$4,'9'!$D:$D,"Fungicida")</f>
        <v>0</v>
      </c>
      <c r="CH30" s="473"/>
      <c r="CI30" s="101">
        <f>Plantas_A_A12*Fungicida_A*Inflación_12</f>
        <v>0</v>
      </c>
      <c r="CJ30" s="101">
        <f>Plantas_B_A12*Fungicida_B</f>
        <v>0</v>
      </c>
      <c r="CK30" s="101">
        <f>Plantas_C_A12*Fungicida_C</f>
        <v>0</v>
      </c>
      <c r="CL30" s="101">
        <f>Plantas_D_A12*Fungicida_D</f>
        <v>0</v>
      </c>
      <c r="CM30" s="101"/>
      <c r="CN30" s="101">
        <f>Plantas_Y_A12*Fungicida_Y</f>
        <v>0</v>
      </c>
      <c r="CO30" s="102">
        <v>0</v>
      </c>
    </row>
    <row r="31" spans="1:93" s="112" customFormat="1" ht="24" customHeight="1" x14ac:dyDescent="0.3">
      <c r="A31" s="106" t="s">
        <v>4561</v>
      </c>
      <c r="B31" s="100"/>
      <c r="C31" s="101"/>
      <c r="D31" s="100"/>
      <c r="E31" s="473"/>
      <c r="F31" s="101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  <c r="AA31" s="101"/>
      <c r="AB31" s="101"/>
      <c r="AC31" s="101"/>
      <c r="AD31" s="101"/>
      <c r="AE31" s="101"/>
      <c r="AF31" s="101"/>
      <c r="AG31" s="101"/>
      <c r="AH31" s="101"/>
      <c r="AI31" s="101"/>
      <c r="AJ31" s="101"/>
      <c r="AK31" s="101"/>
      <c r="AL31" s="101"/>
      <c r="AM31" s="101"/>
      <c r="AN31" s="101"/>
      <c r="AO31" s="101"/>
      <c r="AP31" s="101"/>
      <c r="AQ31" s="101"/>
      <c r="AR31" s="101"/>
      <c r="AS31" s="101"/>
      <c r="AT31" s="101"/>
      <c r="AU31" s="101"/>
      <c r="AV31" s="101"/>
      <c r="AW31" s="101"/>
      <c r="AX31" s="101"/>
      <c r="AY31" s="101"/>
      <c r="AZ31" s="101"/>
      <c r="BA31" s="101"/>
      <c r="BB31" s="101"/>
      <c r="BC31" s="101"/>
      <c r="BD31" s="101"/>
      <c r="BE31" s="101"/>
      <c r="BF31" s="101"/>
      <c r="BG31" s="101"/>
      <c r="BH31" s="101"/>
      <c r="BI31" s="101"/>
      <c r="BJ31" s="101"/>
      <c r="BK31" s="101"/>
      <c r="BL31" s="101"/>
      <c r="BM31" s="101"/>
      <c r="BN31" s="101"/>
      <c r="BO31" s="101"/>
      <c r="BP31" s="101"/>
      <c r="BQ31" s="101"/>
      <c r="BR31" s="101"/>
      <c r="BS31" s="101"/>
      <c r="BT31" s="101"/>
      <c r="BU31" s="101"/>
      <c r="BV31" s="101"/>
      <c r="BW31" s="101"/>
      <c r="BX31" s="101"/>
      <c r="BY31" s="101"/>
      <c r="BZ31" s="101"/>
      <c r="CA31" s="101"/>
      <c r="CB31" s="101"/>
      <c r="CC31" s="101"/>
      <c r="CD31" s="101"/>
      <c r="CE31" s="101"/>
      <c r="CF31" s="101"/>
      <c r="CG31" s="101"/>
      <c r="CH31" s="473"/>
      <c r="CI31" s="101"/>
      <c r="CJ31" s="101"/>
      <c r="CK31" s="101"/>
      <c r="CL31" s="101"/>
      <c r="CM31" s="101"/>
      <c r="CN31" s="101"/>
      <c r="CO31" s="102"/>
    </row>
    <row r="32" spans="1:93" s="112" customFormat="1" ht="24" customHeight="1" x14ac:dyDescent="0.25">
      <c r="A32" s="111" t="s">
        <v>128</v>
      </c>
      <c r="B32" s="100">
        <f t="shared" si="46"/>
        <v>0</v>
      </c>
      <c r="C32" s="101">
        <f>SUMIFS('9'!$E:$E,'9'!$A:$A,Año_Inicial+11,'9'!$D:$D,"Manejo de sombra")</f>
        <v>0</v>
      </c>
      <c r="D32" s="100">
        <f t="shared" si="45"/>
        <v>0</v>
      </c>
      <c r="E32" s="473"/>
      <c r="F32" s="101">
        <f>((A12_A_L1*Sombra_A)+(A12_B_L1*Sombra_B)+(A12_C_L1*Sombra_C)+(A12_D_L1*Sombra_D)+(A12_Y_L1*Sombra_Y))*Inflación_12</f>
        <v>0</v>
      </c>
      <c r="G32" s="101">
        <f>SUMIFS('9'!$E:$E,'9'!$A:$A,Año_Inicial+11,'9'!$B:$B,'12'!F$4,'9'!$D:$D,"Manejo de sombra")</f>
        <v>0</v>
      </c>
      <c r="H32" s="101">
        <f>((A12_A_L2*Sombra_A)+(A12_B_L2*Sombra_B)+(A12_C_L2*Sombra_C)+(A12_D_L2*Sombra_D)+(A12_Y_L2*Sombra_Y))*Inflación_12</f>
        <v>0</v>
      </c>
      <c r="I32" s="101">
        <f>SUMIFS('9'!$E:$E,'9'!$A:$A,Año_Inicial+11,'9'!$B:$B,'12'!H$4,'9'!$D:$D,"Manejo de sombra")</f>
        <v>0</v>
      </c>
      <c r="J32" s="101">
        <f>((A12_A_L3*Sombra_A)+(A12_B_L3*Sombra_B)+(A12_C_L3*Sombra_C)+(A12_D_L3*Sombra_D)+(A12_Y_L3*Sombra_Y))*Inflación_12</f>
        <v>0</v>
      </c>
      <c r="K32" s="101">
        <f>SUMIFS('9'!$E:$E,'9'!$A:$A,Año_Inicial+11,'9'!$B:$B,'12'!J$4,'9'!$D:$D,"Manejo de sombra")</f>
        <v>0</v>
      </c>
      <c r="L32" s="101">
        <f>((A12_A_L4*Sombra_A)+(A12_B_L4*Sombra_B)+(A12_C_L4*Sombra_C)+(A12_D_L4*Sombra_D)+(A12_Y_L4*Sombra_Y))*Inflación_12</f>
        <v>0</v>
      </c>
      <c r="M32" s="101">
        <f>SUMIFS('9'!$E:$E,'9'!$A:$A,Año_Inicial+11,'9'!$B:$B,'12'!L$4,'9'!$D:$D,"Manejo de sombra")</f>
        <v>0</v>
      </c>
      <c r="N32" s="101">
        <f>((A12_A_L5*Sombra_A)+(A12_B_L5*Sombra_B)+(A12_C_L5*Sombra_C)+(A12_D_L5*Sombra_D)+(A12_Y_L5*Sombra_Y))*Inflación_12</f>
        <v>0</v>
      </c>
      <c r="O32" s="101">
        <f>SUMIFS('9'!$E:$E,'9'!$A:$A,Año_Inicial+11,'9'!$B:$B,'12'!N$4,'9'!$D:$D,"Manejo de sombra")</f>
        <v>0</v>
      </c>
      <c r="P32" s="101">
        <f>((A12_A_L6*Sombra_A)+(A12_B_L6*Sombra_B)+(A12_C_L6*Sombra_C)+(A12_D_L6*Sombra_D)+(A12_Y_L6*Sombra_Y))*Inflación_12</f>
        <v>0</v>
      </c>
      <c r="Q32" s="101">
        <f>SUMIFS('9'!$E:$E,'9'!$A:$A,Año_Inicial+11,'9'!$B:$B,'12'!P$4,'9'!$D:$D,"Manejo de sombra")</f>
        <v>0</v>
      </c>
      <c r="R32" s="101">
        <f>((A12_A_L7*Sombra_A)+(A12_B_L7*Sombra_B)+(A12_C_L7*Sombra_C)+(A12_D_L7*Sombra_D)+(A12_Y_L7*Sombra_Y))*Inflación_12</f>
        <v>0</v>
      </c>
      <c r="S32" s="101">
        <f>SUMIFS('9'!$E:$E,'9'!$A:$A,Año_Inicial+11,'9'!$B:$B,'12'!R$4,'9'!$D:$D,"Manejo de sombra")</f>
        <v>0</v>
      </c>
      <c r="T32" s="101">
        <f>((A12_A_L8*Sombra_A)+(A12_B_L8*Sombra_B)+(A12_C_L8*Sombra_C)+(A12_D_L8*Sombra_D)+(A12_Y_L8*Sombra_Y))*Inflación_12</f>
        <v>0</v>
      </c>
      <c r="U32" s="101">
        <f>SUMIFS('9'!$E:$E,'9'!$A:$A,Año_Inicial+11,'9'!$B:$B,'12'!T$4,'9'!$D:$D,"Manejo de sombra")</f>
        <v>0</v>
      </c>
      <c r="V32" s="101">
        <f>((A12_A_L9*Sombra_A)+(A12_B_L9*Sombra_B)+(A12_C_L9*Sombra_C)+(A12_D_L9*Sombra_D)+(A12_Y_L9*Sombra_Y))*Inflación_12</f>
        <v>0</v>
      </c>
      <c r="W32" s="101">
        <f>SUMIFS('9'!$E:$E,'9'!$A:$A,Año_Inicial+11,'9'!$B:$B,'12'!V$4,'9'!$D:$D,"Manejo de sombra")</f>
        <v>0</v>
      </c>
      <c r="X32" s="101">
        <f>((A12_A_L10*Sombra_A)+(A12_B_L10*Sombra_B)+(A12_C_L10*Sombra_C)+(A12_D_L10*Sombra_D)+(A12_Y_L10*Sombra_Y))*Inflación_12</f>
        <v>0</v>
      </c>
      <c r="Y32" s="101">
        <f>SUMIFS('9'!$E:$E,'9'!$A:$A,Año_Inicial+11,'9'!$B:$B,'12'!X$4,'9'!$D:$D,"Manejo de sombra")</f>
        <v>0</v>
      </c>
      <c r="Z32" s="101">
        <f>((A12_A_L11*Sombra_A)+(A12_B_L11*Sombra_B)+(A12_C_L11*Sombra_C)+(A12_D_L11*Sombra_D)+(A12_Y_L11*Sombra_Y))*Inflación_12</f>
        <v>0</v>
      </c>
      <c r="AA32" s="101">
        <f>SUMIFS('9'!$E:$E,'9'!$A:$A,Año_Inicial+11,'9'!$B:$B,'12'!Z$4,'9'!$D:$D,"Manejo de sombra")</f>
        <v>0</v>
      </c>
      <c r="AB32" s="101">
        <f>((A12_A_L12*Sombra_A)+(A12_B_L12*Sombra_B)+(A12_C_L12*Sombra_C)+(A12_D_L12*Sombra_D)+(A12_Y_L12*Sombra_Y))*Inflación_12</f>
        <v>0</v>
      </c>
      <c r="AC32" s="101">
        <f>SUMIFS('9'!$E:$E,'9'!$A:$A,Año_Inicial+11,'9'!$B:$B,'12'!AB$4,'9'!$D:$D,"Manejo de sombra")</f>
        <v>0</v>
      </c>
      <c r="AD32" s="101">
        <f>((A12_A_L13*Sombra_A)+(A12_B_L13*Sombra_B)+(A12_C_L13*Sombra_C)+(A12_D_L13*Sombra_D)+(A12_Y_L13*Sombra_Y))*Inflación_12</f>
        <v>0</v>
      </c>
      <c r="AE32" s="101">
        <f>SUMIFS('9'!$E:$E,'9'!$A:$A,Año_Inicial+11,'9'!$B:$B,'12'!AD$4,'9'!$D:$D,"Manejo de sombra")</f>
        <v>0</v>
      </c>
      <c r="AF32" s="101">
        <f>((A12_A_L14*Sombra_A)+(A12_B_L14*Sombra_B)+(A12_C_L14*Sombra_C)+(A12_D_L14*Sombra_D)+(A12_Y_L14*Sombra_Y))*Inflación_12</f>
        <v>0</v>
      </c>
      <c r="AG32" s="101">
        <f>SUMIFS('9'!$E:$E,'9'!$A:$A,Año_Inicial+11,'9'!$B:$B,'12'!AF$4,'9'!$D:$D,"Manejo de sombra")</f>
        <v>0</v>
      </c>
      <c r="AH32" s="101">
        <f>((A12_A_L15*Sombra_A)+(A12_B_L15*Sombra_B)+(A12_C_L15*Sombra_C)+(A12_D_L15*Sombra_D)+(A12_Y_L15*Sombra_Y))*Inflación_12</f>
        <v>0</v>
      </c>
      <c r="AI32" s="101">
        <f>SUMIFS('9'!$E:$E,'9'!$A:$A,Año_Inicial+11,'9'!$B:$B,'12'!AH$4,'9'!$D:$D,"Manejo de sombra")</f>
        <v>0</v>
      </c>
      <c r="AJ32" s="101">
        <f>((A12_A_L16*Sombra_A)+(A12_B_L16*Sombra_B)+(A12_C_L16*Sombra_C)+(A12_D_L16*Sombra_D)+(A12_Y_L16*Sombra_Y))*Inflación_12</f>
        <v>0</v>
      </c>
      <c r="AK32" s="101">
        <f>SUMIFS('9'!$E:$E,'9'!$A:$A,Año_Inicial+11,'9'!$B:$B,'12'!AJ$4,'9'!$D:$D,"Manejo de sombra")</f>
        <v>0</v>
      </c>
      <c r="AL32" s="101">
        <f>((A12_A_L17*Sombra_A)+(A12_B_L17*Sombra_B)+(A12_C_L17*Sombra_C)+(A12_D_L17*Sombra_D)+(A12_Y_L17*Sombra_Y))*Inflación_12</f>
        <v>0</v>
      </c>
      <c r="AM32" s="101">
        <f>SUMIFS('9'!$E:$E,'9'!$A:$A,Año_Inicial+11,'9'!$B:$B,'12'!AL$4,'9'!$D:$D,"Manejo de sombra")</f>
        <v>0</v>
      </c>
      <c r="AN32" s="101">
        <f>((A12_A_L18*Sombra_A)+(A12_B_L18*Sombra_B)+(A12_C_L18*Sombra_C)+(A12_D_L18*Sombra_D)+(A12_Y_L18*Sombra_Y))*Inflación_12</f>
        <v>0</v>
      </c>
      <c r="AO32" s="101">
        <f>SUMIFS('9'!$E:$E,'9'!$A:$A,Año_Inicial+11,'9'!$B:$B,'12'!AN$4,'9'!$D:$D,"Manejo de sombra")</f>
        <v>0</v>
      </c>
      <c r="AP32" s="101">
        <f>((A12_A_L19*Sombra_A)+(A12_B_L19*Sombra_B)+(A12_C_L19*Sombra_C)+(A12_D_L19*Sombra_D)+(A12_Y_L19*Sombra_Y))*Inflación_12</f>
        <v>0</v>
      </c>
      <c r="AQ32" s="101">
        <f>SUMIFS('9'!$E:$E,'9'!$A:$A,Año_Inicial+11,'9'!$B:$B,'12'!AP$4,'9'!$D:$D,"Manejo de sombra")</f>
        <v>0</v>
      </c>
      <c r="AR32" s="101">
        <f>((A12_A_L20*Sombra_A)+(A12_B_L20*Sombra_B)+(A12_C_L20*Sombra_C)+(A12_D_L20*Sombra_D)+(A12_Y_L20*Sombra_Y))*Inflación_12</f>
        <v>0</v>
      </c>
      <c r="AS32" s="101">
        <f>SUMIFS('9'!$E:$E,'9'!$A:$A,Año_Inicial+11,'9'!$B:$B,'12'!AR$4,'9'!$D:$D,"Manejo de sombra")</f>
        <v>0</v>
      </c>
      <c r="AT32" s="101">
        <f>((A12_A_L21*Sombra_A)+(A12_B_L21*Sombra_B)+(A12_C_L21*Sombra_C)+(A12_D_L21*Sombra_D)+(A12_Y_L21*Sombra_Y))*Inflación_12</f>
        <v>0</v>
      </c>
      <c r="AU32" s="101">
        <f>SUMIFS('9'!$E:$E,'9'!$A:$A,Año_Inicial+11,'9'!$B:$B,'12'!AT$4,'9'!$D:$D,"Manejo de sombra")</f>
        <v>0</v>
      </c>
      <c r="AV32" s="101">
        <f>((A12_A_L22*Sombra_A)+(A12_B_L22*Sombra_B)+(A12_C_L22*Sombra_C)+(A12_D_L22*Sombra_D)+(A12_Y_L22*Sombra_Y))*Inflación_12</f>
        <v>0</v>
      </c>
      <c r="AW32" s="101">
        <f>SUMIFS('9'!$E:$E,'9'!$A:$A,Año_Inicial+11,'9'!$B:$B,'12'!AV$4,'9'!$D:$D,"Manejo de sombra")</f>
        <v>0</v>
      </c>
      <c r="AX32" s="101">
        <f>((A12_A_L23*Sombra_A)+(A12_B_L23*Sombra_B)+(A12_C_L23*Sombra_C)+(A12_D_L23*Sombra_D)+(A12_Y_L23*Sombra_Y))*Inflación_12</f>
        <v>0</v>
      </c>
      <c r="AY32" s="101">
        <f>SUMIFS('9'!$E:$E,'9'!$A:$A,Año_Inicial+11,'9'!$B:$B,'12'!AX$4,'9'!$D:$D,"Manejo de sombra")</f>
        <v>0</v>
      </c>
      <c r="AZ32" s="101">
        <f>((A12_A_L24*Sombra_A)+(A12_B_L24*Sombra_B)+(A12_C_L24*Sombra_C)+(A12_D_L24*Sombra_D)+(A12_Y_L24*Sombra_Y))*Inflación_12</f>
        <v>0</v>
      </c>
      <c r="BA32" s="101">
        <f>SUMIFS('9'!$E:$E,'9'!$A:$A,Año_Inicial+11,'9'!$B:$B,'12'!AZ$4,'9'!$D:$D,"Manejo de sombra")</f>
        <v>0</v>
      </c>
      <c r="BB32" s="101">
        <f>((A12_A_L25*Sombra_A)+(A12_B_L25*Sombra_B)+(A12_C_L25*Sombra_C)+(A12_D_L25*Sombra_D)+(A12_Y_L25*Sombra_Y))*Inflación_12</f>
        <v>0</v>
      </c>
      <c r="BC32" s="101">
        <f>SUMIFS('9'!$E:$E,'9'!$A:$A,Año_Inicial+11,'9'!$B:$B,'12'!BB$4,'9'!$D:$D,"Manejo de sombra")</f>
        <v>0</v>
      </c>
      <c r="BD32" s="101">
        <f>((A12_A_L26*Sombra_A)+(A12_B_L26*Sombra_B)+(A12_C_L26*Sombra_C)+(A12_D_L26*Sombra_D)+(A12_Y_L26*Sombra_Y))*Inflación_12</f>
        <v>0</v>
      </c>
      <c r="BE32" s="101">
        <f>SUMIFS('9'!$E:$E,'9'!$A:$A,Año_Inicial+11,'9'!$B:$B,'12'!BD$4,'9'!$D:$D,"Manejo de sombra")</f>
        <v>0</v>
      </c>
      <c r="BF32" s="101">
        <f>((A12_A_L27*Sombra_A)+(A12_B_L27*Sombra_B)+(A12_C_L27*Sombra_C)+(A12_D_L27*Sombra_D)+(A12_Y_L27*Sombra_Y))*Inflación_12</f>
        <v>0</v>
      </c>
      <c r="BG32" s="101">
        <f>SUMIFS('9'!$E:$E,'9'!$A:$A,Año_Inicial+11,'9'!$B:$B,'12'!BF$4,'9'!$D:$D,"Manejo de sombra")</f>
        <v>0</v>
      </c>
      <c r="BH32" s="101">
        <f>((A12_A_L28*Sombra_A)+(A12_B_L28*Sombra_B)+(A12_C_L28*Sombra_C)+(A12_D_L28*Sombra_D)+(A12_Y_L28*Sombra_Y))*Inflación_12</f>
        <v>0</v>
      </c>
      <c r="BI32" s="101">
        <f>SUMIFS('9'!$E:$E,'9'!$A:$A,Año_Inicial+11,'9'!$B:$B,'12'!BH$4,'9'!$D:$D,"Manejo de sombra")</f>
        <v>0</v>
      </c>
      <c r="BJ32" s="101">
        <f>((A12_A_L29*Sombra_A)+(A12_B_L29*Sombra_B)+(A12_C_L29*Sombra_C)+(A12_D_L29*Sombra_D)+(A12_Y_L29*Sombra_Y))*Inflación_12</f>
        <v>0</v>
      </c>
      <c r="BK32" s="101">
        <f>SUMIFS('9'!$E:$E,'9'!$A:$A,Año_Inicial+11,'9'!$B:$B,'12'!BJ$4,'9'!$D:$D,"Manejo de sombra")</f>
        <v>0</v>
      </c>
      <c r="BL32" s="101">
        <f>((A12_A_L30*Sombra_A)+(A12_B_L30*Sombra_B)+(A12_C_L30*Sombra_C)+(A12_D_L30*Sombra_D)+(A12_Y_L30*Sombra_Y))*Inflación_12</f>
        <v>0</v>
      </c>
      <c r="BM32" s="101">
        <f>SUMIFS('9'!$E:$E,'9'!$A:$A,Año_Inicial+11,'9'!$B:$B,'12'!BL$4,'9'!$D:$D,"Manejo de sombra")</f>
        <v>0</v>
      </c>
      <c r="BN32" s="101">
        <f>((A12_A_L31*Sombra_A)+(A12_B_L31*Sombra_B)+(A12_C_L31*Sombra_C)+(A12_D_L31*Sombra_D)+(A12_Y_L31*Sombra_Y))*Inflación_12</f>
        <v>0</v>
      </c>
      <c r="BO32" s="101">
        <f>SUMIFS('9'!$E:$E,'9'!$A:$A,Año_Inicial+11,'9'!$B:$B,'12'!BN$4,'9'!$D:$D,"Manejo de sombra")</f>
        <v>0</v>
      </c>
      <c r="BP32" s="101">
        <f>((A12_A_L32*Sombra_A)+(A12_B_L32*Sombra_B)+(A12_C_L32*Sombra_C)+(A12_D_L32*Sombra_D)+(A12_Y_L32*Sombra_Y))*Inflación_12</f>
        <v>0</v>
      </c>
      <c r="BQ32" s="101">
        <f>SUMIFS('9'!$E:$E,'9'!$A:$A,Año_Inicial+11,'9'!$B:$B,'12'!BP$4,'9'!$D:$D,"Manejo de sombra")</f>
        <v>0</v>
      </c>
      <c r="BR32" s="101">
        <f>((A12_A_L33*Sombra_A)+(A12_B_L33*Sombra_B)+(A12_C_L33*Sombra_C)+(A12_D_L33*Sombra_D)+(A12_Y_L33*Sombra_Y))*Inflación_12</f>
        <v>0</v>
      </c>
      <c r="BS32" s="101">
        <f>SUMIFS('9'!$E:$E,'9'!$A:$A,Año_Inicial+11,'9'!$B:$B,'12'!BR$4,'9'!$D:$D,"Manejo de sombra")</f>
        <v>0</v>
      </c>
      <c r="BT32" s="101">
        <f>((A12_A_L34*Sombra_A)+(A12_B_L34*Sombra_B)+(A12_C_L34*Sombra_C)+(A12_D_L34*Sombra_D)+(A12_Y_L34*Sombra_Y))*Inflación_12</f>
        <v>0</v>
      </c>
      <c r="BU32" s="101">
        <f>SUMIFS('9'!$E:$E,'9'!$A:$A,Año_Inicial+11,'9'!$B:$B,'12'!BT$4,'9'!$D:$D,"Manejo de sombra")</f>
        <v>0</v>
      </c>
      <c r="BV32" s="101">
        <f>((A12_A_L35*Sombra_A)+(A12_B_L35*Sombra_B)+(A12_C_L35*Sombra_C)+(A12_D_L35*Sombra_D)+(A12_Y_L35*Sombra_Y))*Inflación_12</f>
        <v>0</v>
      </c>
      <c r="BW32" s="101">
        <f>SUMIFS('9'!$E:$E,'9'!$A:$A,Año_Inicial+11,'9'!$B:$B,'12'!BV$4,'9'!$D:$D,"Manejo de sombra")</f>
        <v>0</v>
      </c>
      <c r="BX32" s="101">
        <f>((A12_A_L36*Sombra_A)+(A12_B_L36*Sombra_B)+(A12_C_L36*Sombra_C)+(A12_D_L36*Sombra_D)+(A12_Y_L36*Sombra_Y))*Inflación_12</f>
        <v>0</v>
      </c>
      <c r="BY32" s="101">
        <f>SUMIFS('9'!$E:$E,'9'!$A:$A,Año_Inicial+11,'9'!$B:$B,'12'!BX$4,'9'!$D:$D,"Manejo de sombra")</f>
        <v>0</v>
      </c>
      <c r="BZ32" s="101">
        <f>((A12_A_L37*Sombra_A)+(A12_B_L37*Sombra_B)+(A12_C_L37*Sombra_C)+(A12_D_L37*Sombra_D)+(A12_Y_L37*Sombra_Y))*Inflación_12</f>
        <v>0</v>
      </c>
      <c r="CA32" s="101">
        <f>SUMIFS('9'!$E:$E,'9'!$A:$A,Año_Inicial+11,'9'!$B:$B,'12'!BZ$4,'9'!$D:$D,"Manejo de sombra")</f>
        <v>0</v>
      </c>
      <c r="CB32" s="101">
        <f>((A12_A_L38*Sombra_A)+(A12_B_L38*Sombra_B)+(A12_C_L38*Sombra_C)+(A12_D_L38*Sombra_D)+(A12_Y_L38*Sombra_Y))*Inflación_12</f>
        <v>0</v>
      </c>
      <c r="CC32" s="101">
        <f>SUMIFS('9'!$E:$E,'9'!$A:$A,Año_Inicial+11,'9'!$B:$B,'12'!CB$4,'9'!$D:$D,"Manejo de sombra")</f>
        <v>0</v>
      </c>
      <c r="CD32" s="101">
        <f>((A12_A_L39*Sombra_A)+(A12_B_L39*Sombra_B)+(A12_C_L39*Sombra_C)+(A12_D_L39*Sombra_D)+(A12_Y_L39*Sombra_Y))*Inflación_12</f>
        <v>0</v>
      </c>
      <c r="CE32" s="101">
        <f>SUMIFS('9'!$E:$E,'9'!$A:$A,Año_Inicial+11,'9'!$B:$B,'12'!CD$4,'9'!$D:$D,"Manejo de sombra")</f>
        <v>0</v>
      </c>
      <c r="CF32" s="101">
        <f>((A12_A_L40*Sombra_A)+(A12_B_L40*Sombra_B)+(A12_C_L40*Sombra_C)+(A12_D_L40*Sombra_D)+(A12_Y_L40*Sombra_Y))*Inflación_12</f>
        <v>0</v>
      </c>
      <c r="CG32" s="101">
        <f>SUMIFS('9'!$E:$E,'9'!$A:$A,Año_Inicial+11,'9'!$B:$B,'12'!CF$4,'9'!$D:$D,"Manejo de sombra")</f>
        <v>0</v>
      </c>
      <c r="CH32" s="473"/>
      <c r="CI32" s="101">
        <f>Plantas_A_A12*Sombra_A*Inflación_12</f>
        <v>0</v>
      </c>
      <c r="CJ32" s="101">
        <f>Plantas_B_A12*Sombra_B</f>
        <v>0</v>
      </c>
      <c r="CK32" s="101">
        <f>Plantas_C_A12*Sombra_C</f>
        <v>0</v>
      </c>
      <c r="CL32" s="101">
        <f>Plantas_D_A12*Sombra_D</f>
        <v>0</v>
      </c>
      <c r="CM32" s="101"/>
      <c r="CN32" s="101">
        <f>Plantas_Y_A12*Sombra_Y</f>
        <v>0</v>
      </c>
      <c r="CO32" s="102">
        <v>0</v>
      </c>
    </row>
    <row r="33" spans="1:93" s="112" customFormat="1" ht="24" customHeight="1" x14ac:dyDescent="0.25">
      <c r="A33" s="111" t="s">
        <v>52</v>
      </c>
      <c r="B33" s="100">
        <f t="shared" si="46"/>
        <v>0</v>
      </c>
      <c r="C33" s="101">
        <f>SUMIFS('9'!$E:$E,'9'!$A:$A,Año_Inicial+11,'9'!$D:$D,"Conservación de suelos")</f>
        <v>0</v>
      </c>
      <c r="D33" s="100">
        <f t="shared" si="45"/>
        <v>0</v>
      </c>
      <c r="E33" s="473"/>
      <c r="F33" s="101">
        <f>((A12_A_L1*Conservación_A)+(A12_B_L1*Conservación_B)+(A12_C_L1*Conservación_C)+(A12_D_L1*Conservación_D)+(A12_Y_L1*Conservación_Y))*Inflación_12</f>
        <v>0</v>
      </c>
      <c r="G33" s="101">
        <f>SUMIFS('9'!$E:$E,'9'!$A:$A,Año_Inicial+11,'9'!$B:$B,'12'!F$4,'9'!$D:$D,"Conservación de suelos")</f>
        <v>0</v>
      </c>
      <c r="H33" s="101">
        <f>((A12_A_L2*Conservación_A)+(A12_B_L2*Conservación_B)+(A12_C_L2*Conservación_C)+(A12_D_L2*Conservación_D)+(A12_Y_L2*Conservación_Y))*Inflación_12</f>
        <v>0</v>
      </c>
      <c r="I33" s="101">
        <f>SUMIFS('9'!$E:$E,'9'!$A:$A,Año_Inicial+11,'9'!$B:$B,'12'!H$4,'9'!$D:$D,"Conservación de suelos")</f>
        <v>0</v>
      </c>
      <c r="J33" s="101">
        <f>((A12_A_L3*Conservación_A)+(A12_B_L3*Conservación_B)+(A12_C_L3*Conservación_C)+(A12_D_L3*Conservación_D)+(A12_Y_L3*Conservación_Y))*Inflación_12</f>
        <v>0</v>
      </c>
      <c r="K33" s="101">
        <f>SUMIFS('9'!$E:$E,'9'!$A:$A,Año_Inicial+11,'9'!$B:$B,'12'!J$4,'9'!$D:$D,"Conservación de suelos")</f>
        <v>0</v>
      </c>
      <c r="L33" s="101">
        <f>((A12_A_L4*Conservación_A)+(A12_B_L4*Conservación_B)+(A12_C_L4*Conservación_C)+(A12_D_L4*Conservación_D)+(A12_Y_L4*Conservación_Y))*Inflación_12</f>
        <v>0</v>
      </c>
      <c r="M33" s="101">
        <f>SUMIFS('9'!$E:$E,'9'!$A:$A,Año_Inicial+11,'9'!$B:$B,'12'!L$4,'9'!$D:$D,"Conservación de suelos")</f>
        <v>0</v>
      </c>
      <c r="N33" s="101">
        <f>((A12_A_L5*Conservación_A)+(A12_B_L5*Conservación_B)+(A12_C_L5*Conservación_C)+(A12_D_L5*Conservación_D)+(A12_Y_L5*Conservación_Y))*Inflación_12</f>
        <v>0</v>
      </c>
      <c r="O33" s="101">
        <f>SUMIFS('9'!$E:$E,'9'!$A:$A,Año_Inicial+11,'9'!$B:$B,'12'!N$4,'9'!$D:$D,"Conservación de suelos")</f>
        <v>0</v>
      </c>
      <c r="P33" s="101">
        <f>((A12_A_L6*Conservación_A)+(A12_B_L6*Conservación_B)+(A12_C_L6*Conservación_C)+(A12_D_L6*Conservación_D)+(A12_Y_L6*Conservación_Y))*Inflación_12</f>
        <v>0</v>
      </c>
      <c r="Q33" s="101">
        <f>SUMIFS('9'!$E:$E,'9'!$A:$A,Año_Inicial+11,'9'!$B:$B,'12'!P$4,'9'!$D:$D,"Conservación de suelos")</f>
        <v>0</v>
      </c>
      <c r="R33" s="101">
        <f>((A12_A_L7*Conservación_A)+(A12_B_L7*Conservación_B)+(A12_C_L7*Conservación_C)+(A12_D_L7*Conservación_D)+(A12_Y_L7*Conservación_Y))*Inflación_12</f>
        <v>0</v>
      </c>
      <c r="S33" s="101">
        <f>SUMIFS('9'!$E:$E,'9'!$A:$A,Año_Inicial+11,'9'!$B:$B,'12'!R$4,'9'!$D:$D,"Conservación de suelos")</f>
        <v>0</v>
      </c>
      <c r="T33" s="101">
        <f>((A12_A_L8*Conservación_A)+(A12_B_L8*Conservación_B)+(A12_C_L8*Conservación_C)+(A12_D_L8*Conservación_D)+(A12_Y_L8*Conservación_Y))*Inflación_12</f>
        <v>0</v>
      </c>
      <c r="U33" s="101">
        <f>SUMIFS('9'!$E:$E,'9'!$A:$A,Año_Inicial+11,'9'!$B:$B,'12'!T$4,'9'!$D:$D,"Conservación de suelos")</f>
        <v>0</v>
      </c>
      <c r="V33" s="101">
        <f>((A12_A_L9*Conservación_A)+(A12_B_L9*Conservación_B)+(A12_C_L9*Conservación_C)+(A12_D_L9*Conservación_D)+(A12_Y_L9*Conservación_Y))*Inflación_12</f>
        <v>0</v>
      </c>
      <c r="W33" s="101">
        <f>SUMIFS('9'!$E:$E,'9'!$A:$A,Año_Inicial+11,'9'!$B:$B,'12'!V$4,'9'!$D:$D,"Conservación de suelos")</f>
        <v>0</v>
      </c>
      <c r="X33" s="101">
        <f>((A12_A_L10*Conservación_A)+(A12_B_L10*Conservación_B)+(A12_C_L10*Conservación_C)+(A12_D_L10*Conservación_D)+(A12_Y_L10*Conservación_Y))*Inflación_12</f>
        <v>0</v>
      </c>
      <c r="Y33" s="101">
        <f>SUMIFS('9'!$E:$E,'9'!$A:$A,Año_Inicial+11,'9'!$B:$B,'12'!X$4,'9'!$D:$D,"Conservación de suelos")</f>
        <v>0</v>
      </c>
      <c r="Z33" s="101">
        <f>((A12_A_L11*Conservación_A)+(A12_B_L11*Conservación_B)+(A12_C_L11*Conservación_C)+(A12_D_L11*Conservación_D)+(A12_Y_L11*Conservación_Y))*Inflación_12</f>
        <v>0</v>
      </c>
      <c r="AA33" s="101">
        <f>SUMIFS('9'!$E:$E,'9'!$A:$A,Año_Inicial+11,'9'!$B:$B,'12'!Z$4,'9'!$D:$D,"Conservación de suelos")</f>
        <v>0</v>
      </c>
      <c r="AB33" s="101">
        <f>((A12_A_L12*Conservación_A)+(A12_B_L12*Conservación_B)+(A12_C_L12*Conservación_C)+(A12_D_L12*Conservación_D)+(A12_Y_L12*Conservación_Y))*Inflación_12</f>
        <v>0</v>
      </c>
      <c r="AC33" s="101">
        <f>SUMIFS('9'!$E:$E,'9'!$A:$A,Año_Inicial+11,'9'!$B:$B,'12'!AB$4,'9'!$D:$D,"Conservación de suelos")</f>
        <v>0</v>
      </c>
      <c r="AD33" s="101">
        <f>((A12_A_L13*Conservación_A)+(A12_B_L13*Conservación_B)+(A12_C_L13*Conservación_C)+(A12_D_L13*Conservación_D)+(A12_Y_L13*Conservación_Y))*Inflación_12</f>
        <v>0</v>
      </c>
      <c r="AE33" s="101">
        <f>SUMIFS('9'!$E:$E,'9'!$A:$A,Año_Inicial+11,'9'!$B:$B,'12'!AD$4,'9'!$D:$D,"Conservación de suelos")</f>
        <v>0</v>
      </c>
      <c r="AF33" s="101">
        <f>((A12_A_L14*Conservación_A)+(A12_B_L14*Conservación_B)+(A12_C_L14*Conservación_C)+(A12_D_L14*Conservación_D)+(A12_Y_L14*Conservación_Y))*Inflación_12</f>
        <v>0</v>
      </c>
      <c r="AG33" s="101">
        <f>SUMIFS('9'!$E:$E,'9'!$A:$A,Año_Inicial+11,'9'!$B:$B,'12'!AF$4,'9'!$D:$D,"Conservación de suelos")</f>
        <v>0</v>
      </c>
      <c r="AH33" s="101">
        <f>((A12_A_L15*Conservación_A)+(A12_B_L15*Conservación_B)+(A12_C_L15*Conservación_C)+(A12_D_L15*Conservación_D)+(A12_Y_L15*Conservación_Y))*Inflación_12</f>
        <v>0</v>
      </c>
      <c r="AI33" s="101">
        <f>SUMIFS('9'!$E:$E,'9'!$A:$A,Año_Inicial+11,'9'!$B:$B,'12'!AH$4,'9'!$D:$D,"Conservación de suelos")</f>
        <v>0</v>
      </c>
      <c r="AJ33" s="101">
        <f>((A12_A_L16*Conservación_A)+(A12_B_L16*Conservación_B)+(A12_C_L16*Conservación_C)+(A12_D_L16*Conservación_D)+(A12_Y_L16*Conservación_Y))*Inflación_12</f>
        <v>0</v>
      </c>
      <c r="AK33" s="101">
        <f>SUMIFS('9'!$E:$E,'9'!$A:$A,Año_Inicial+11,'9'!$B:$B,'12'!AJ$4,'9'!$D:$D,"Conservación de suelos")</f>
        <v>0</v>
      </c>
      <c r="AL33" s="101">
        <f>((A12_A_L17*Conservación_A)+(A12_B_L17*Conservación_B)+(A12_C_L17*Conservación_C)+(A12_D_L17*Conservación_D)+(A12_Y_L17*Conservación_Y))*Inflación_12</f>
        <v>0</v>
      </c>
      <c r="AM33" s="101">
        <f>SUMIFS('9'!$E:$E,'9'!$A:$A,Año_Inicial+11,'9'!$B:$B,'12'!AL$4,'9'!$D:$D,"Conservación de suelos")</f>
        <v>0</v>
      </c>
      <c r="AN33" s="101">
        <f>((A12_A_L18*Conservación_A)+(A12_B_L18*Conservación_B)+(A12_C_L18*Conservación_C)+(A12_D_L18*Conservación_D)+(A12_Y_L18*Conservación_Y))*Inflación_12</f>
        <v>0</v>
      </c>
      <c r="AO33" s="101">
        <f>SUMIFS('9'!$E:$E,'9'!$A:$A,Año_Inicial+11,'9'!$B:$B,'12'!AN$4,'9'!$D:$D,"Conservación de suelos")</f>
        <v>0</v>
      </c>
      <c r="AP33" s="101">
        <f>((A12_A_L19*Conservación_A)+(A12_B_L19*Conservación_B)+(A12_C_L19*Conservación_C)+(A12_D_L19*Conservación_D)+(A12_Y_L19*Conservación_Y))*Inflación_12</f>
        <v>0</v>
      </c>
      <c r="AQ33" s="101">
        <f>SUMIFS('9'!$E:$E,'9'!$A:$A,Año_Inicial+11,'9'!$B:$B,'12'!AP$4,'9'!$D:$D,"Conservación de suelos")</f>
        <v>0</v>
      </c>
      <c r="AR33" s="101">
        <f>((A12_A_L20*Conservación_A)+(A12_B_L20*Conservación_B)+(A12_C_L20*Conservación_C)+(A12_D_L20*Conservación_D)+(A12_Y_L20*Conservación_Y))*Inflación_12</f>
        <v>0</v>
      </c>
      <c r="AS33" s="101">
        <f>SUMIFS('9'!$E:$E,'9'!$A:$A,Año_Inicial+11,'9'!$B:$B,'12'!AR$4,'9'!$D:$D,"Conservación de suelos")</f>
        <v>0</v>
      </c>
      <c r="AT33" s="101">
        <f>((A12_A_L21*Conservación_A)+(A12_B_L21*Conservación_B)+(A12_C_L21*Conservación_C)+(A12_D_L21*Conservación_D)+(A12_Y_L21*Conservación_Y))*Inflación_12</f>
        <v>0</v>
      </c>
      <c r="AU33" s="101">
        <f>SUMIFS('9'!$E:$E,'9'!$A:$A,Año_Inicial+11,'9'!$B:$B,'12'!AT$4,'9'!$D:$D,"Conservación de suelos")</f>
        <v>0</v>
      </c>
      <c r="AV33" s="101">
        <f>((A12_A_L22*Conservación_A)+(A12_B_L22*Conservación_B)+(A12_C_L22*Conservación_C)+(A12_D_L22*Conservación_D)+(A12_Y_L22*Conservación_Y))*Inflación_12</f>
        <v>0</v>
      </c>
      <c r="AW33" s="101">
        <f>SUMIFS('9'!$E:$E,'9'!$A:$A,Año_Inicial+11,'9'!$B:$B,'12'!AV$4,'9'!$D:$D,"Conservación de suelos")</f>
        <v>0</v>
      </c>
      <c r="AX33" s="101">
        <f>((A12_A_L23*Conservación_A)+(A12_B_L23*Conservación_B)+(A12_C_L23*Conservación_C)+(A12_D_L23*Conservación_D)+(A12_Y_L23*Conservación_Y))*Inflación_12</f>
        <v>0</v>
      </c>
      <c r="AY33" s="101">
        <f>SUMIFS('9'!$E:$E,'9'!$A:$A,Año_Inicial+11,'9'!$B:$B,'12'!AX$4,'9'!$D:$D,"Conservación de suelos")</f>
        <v>0</v>
      </c>
      <c r="AZ33" s="101">
        <f>((A12_A_L24*Conservación_A)+(A12_B_L24*Conservación_B)+(A12_C_L24*Conservación_C)+(A12_D_L24*Conservación_D)+(A12_Y_L24*Conservación_Y))*Inflación_12</f>
        <v>0</v>
      </c>
      <c r="BA33" s="101">
        <f>SUMIFS('9'!$E:$E,'9'!$A:$A,Año_Inicial+11,'9'!$B:$B,'12'!AZ$4,'9'!$D:$D,"Conservación de suelos")</f>
        <v>0</v>
      </c>
      <c r="BB33" s="101">
        <f>((A12_A_L25*Conservación_A)+(A12_B_L25*Conservación_B)+(A12_C_L25*Conservación_C)+(A12_D_L25*Conservación_D)+(A12_Y_L25*Conservación_Y))*Inflación_12</f>
        <v>0</v>
      </c>
      <c r="BC33" s="101">
        <f>SUMIFS('9'!$E:$E,'9'!$A:$A,Año_Inicial+11,'9'!$B:$B,'12'!BB$4,'9'!$D:$D,"Conservación de suelos")</f>
        <v>0</v>
      </c>
      <c r="BD33" s="101">
        <f>((A12_A_L26*Conservación_A)+(A12_B_L26*Conservación_B)+(A12_C_L26*Conservación_C)+(A12_D_L26*Conservación_D)+(A12_Y_L26*Conservación_Y))*Inflación_12</f>
        <v>0</v>
      </c>
      <c r="BE33" s="101">
        <f>SUMIFS('9'!$E:$E,'9'!$A:$A,Año_Inicial+11,'9'!$B:$B,'12'!BD$4,'9'!$D:$D,"Conservación de suelos")</f>
        <v>0</v>
      </c>
      <c r="BF33" s="101">
        <f>((A12_A_L27*Conservación_A)+(A12_B_L27*Conservación_B)+(A12_C_L27*Conservación_C)+(A12_D_L27*Conservación_D)+(A12_Y_L27*Conservación_Y))*Inflación_12</f>
        <v>0</v>
      </c>
      <c r="BG33" s="101">
        <f>SUMIFS('9'!$E:$E,'9'!$A:$A,Año_Inicial+11,'9'!$B:$B,'12'!BF$4,'9'!$D:$D,"Conservación de suelos")</f>
        <v>0</v>
      </c>
      <c r="BH33" s="101">
        <f>((A12_A_L28*Conservación_A)+(A12_B_L28*Conservación_B)+(A12_C_L28*Conservación_C)+(A12_D_L28*Conservación_D)+(A12_Y_L28*Conservación_Y))*Inflación_12</f>
        <v>0</v>
      </c>
      <c r="BI33" s="101">
        <f>SUMIFS('9'!$E:$E,'9'!$A:$A,Año_Inicial+11,'9'!$B:$B,'12'!BH$4,'9'!$D:$D,"Conservación de suelos")</f>
        <v>0</v>
      </c>
      <c r="BJ33" s="101">
        <f>((A12_A_L29*Conservación_A)+(A12_B_L29*Conservación_B)+(A12_C_L29*Conservación_C)+(A12_D_L29*Conservación_D)+(A12_Y_L29*Conservación_Y))*Inflación_12</f>
        <v>0</v>
      </c>
      <c r="BK33" s="101">
        <f>SUMIFS('9'!$E:$E,'9'!$A:$A,Año_Inicial+11,'9'!$B:$B,'12'!BJ$4,'9'!$D:$D,"Conservación de suelos")</f>
        <v>0</v>
      </c>
      <c r="BL33" s="101">
        <f>((A12_A_L30*Conservación_A)+(A12_B_L30*Conservación_B)+(A12_C_L30*Conservación_C)+(A12_D_L30*Conservación_D)+(A12_Y_L30*Conservación_Y))*Inflación_12</f>
        <v>0</v>
      </c>
      <c r="BM33" s="101">
        <f>SUMIFS('9'!$E:$E,'9'!$A:$A,Año_Inicial+11,'9'!$B:$B,'12'!BL$4,'9'!$D:$D,"Conservación de suelos")</f>
        <v>0</v>
      </c>
      <c r="BN33" s="101">
        <f>((A12_A_L31*Conservación_A)+(A12_B_L31*Conservación_B)+(A12_C_L31*Conservación_C)+(A12_D_L31*Conservación_D)+(A12_Y_L31*Conservación_Y))*Inflación_12</f>
        <v>0</v>
      </c>
      <c r="BO33" s="101">
        <f>SUMIFS('9'!$E:$E,'9'!$A:$A,Año_Inicial+11,'9'!$B:$B,'12'!BN$4,'9'!$D:$D,"Conservación de suelos")</f>
        <v>0</v>
      </c>
      <c r="BP33" s="101">
        <f>((A12_A_L32*Conservación_A)+(A12_B_L32*Conservación_B)+(A12_C_L32*Conservación_C)+(A12_D_L32*Conservación_D)+(A12_Y_L32*Conservación_Y))*Inflación_12</f>
        <v>0</v>
      </c>
      <c r="BQ33" s="101">
        <f>SUMIFS('9'!$E:$E,'9'!$A:$A,Año_Inicial+11,'9'!$B:$B,'12'!BP$4,'9'!$D:$D,"Conservación de suelos")</f>
        <v>0</v>
      </c>
      <c r="BR33" s="101">
        <f>((A12_A_L33*Conservación_A)+(A12_B_L33*Conservación_B)+(A12_C_L33*Conservación_C)+(A12_D_L33*Conservación_D)+(A12_Y_L33*Conservación_Y))*Inflación_12</f>
        <v>0</v>
      </c>
      <c r="BS33" s="101">
        <f>SUMIFS('9'!$E:$E,'9'!$A:$A,Año_Inicial+11,'9'!$B:$B,'12'!BR$4,'9'!$D:$D,"Conservación de suelos")</f>
        <v>0</v>
      </c>
      <c r="BT33" s="101">
        <f>((A12_A_L34*Conservación_A)+(A12_B_L34*Conservación_B)+(A12_C_L34*Conservación_C)+(A12_D_L34*Conservación_D)+(A12_Y_L34*Conservación_Y))*Inflación_12</f>
        <v>0</v>
      </c>
      <c r="BU33" s="101">
        <f>SUMIFS('9'!$E:$E,'9'!$A:$A,Año_Inicial+11,'9'!$B:$B,'12'!BT$4,'9'!$D:$D,"Conservación de suelos")</f>
        <v>0</v>
      </c>
      <c r="BV33" s="101">
        <f>((A12_A_L35*Conservación_A)+(A12_B_L35*Conservación_B)+(A12_C_L35*Conservación_C)+(A12_D_L35*Conservación_D)+(A12_Y_L35*Conservación_Y))*Inflación_12</f>
        <v>0</v>
      </c>
      <c r="BW33" s="101">
        <f>SUMIFS('9'!$E:$E,'9'!$A:$A,Año_Inicial+11,'9'!$B:$B,'12'!BV$4,'9'!$D:$D,"Conservación de suelos")</f>
        <v>0</v>
      </c>
      <c r="BX33" s="101">
        <f>((A12_A_L36*Conservación_A)+(A12_B_L36*Conservación_B)+(A12_C_L36*Conservación_C)+(A12_D_L36*Conservación_D)+(A12_Y_L36*Conservación_Y))*Inflación_12</f>
        <v>0</v>
      </c>
      <c r="BY33" s="101">
        <f>SUMIFS('9'!$E:$E,'9'!$A:$A,Año_Inicial+11,'9'!$B:$B,'12'!BX$4,'9'!$D:$D,"Conservación de suelos")</f>
        <v>0</v>
      </c>
      <c r="BZ33" s="101">
        <f>((A12_A_L37*Conservación_A)+(A12_B_L37*Conservación_B)+(A12_C_L37*Conservación_C)+(A12_D_L37*Conservación_D)+(A12_Y_L37*Conservación_Y))*Inflación_12</f>
        <v>0</v>
      </c>
      <c r="CA33" s="101">
        <f>SUMIFS('9'!$E:$E,'9'!$A:$A,Año_Inicial+11,'9'!$B:$B,'12'!BZ$4,'9'!$D:$D,"Conservación de suelos")</f>
        <v>0</v>
      </c>
      <c r="CB33" s="101">
        <f>((A12_A_L38*Conservación_A)+(A12_B_L38*Conservación_B)+(A12_C_L38*Conservación_C)+(A12_D_L38*Conservación_D)+(A12_Y_L38*Conservación_Y))*Inflación_12</f>
        <v>0</v>
      </c>
      <c r="CC33" s="101">
        <f>SUMIFS('9'!$E:$E,'9'!$A:$A,Año_Inicial+11,'9'!$B:$B,'12'!CB$4,'9'!$D:$D,"Conservación de suelos")</f>
        <v>0</v>
      </c>
      <c r="CD33" s="101">
        <f>((A12_A_L39*Conservación_A)+(A12_B_L39*Conservación_B)+(A12_C_L39*Conservación_C)+(A12_D_L39*Conservación_D)+(A12_Y_L39*Conservación_Y))*Inflación_12</f>
        <v>0</v>
      </c>
      <c r="CE33" s="101">
        <f>SUMIFS('9'!$E:$E,'9'!$A:$A,Año_Inicial+11,'9'!$B:$B,'12'!CD$4,'9'!$D:$D,"Conservación de suelos")</f>
        <v>0</v>
      </c>
      <c r="CF33" s="101">
        <f>((A12_A_L40*Conservación_A)+(A12_B_L40*Conservación_B)+(A12_C_L40*Conservación_C)+(A12_D_L40*Conservación_D)+(A12_Y_L40*Conservación_Y))*Inflación_12</f>
        <v>0</v>
      </c>
      <c r="CG33" s="101">
        <f>SUMIFS('9'!$E:$E,'9'!$A:$A,Año_Inicial+11,'9'!$B:$B,'12'!CF$4,'9'!$D:$D,"Conservación de suelos")</f>
        <v>0</v>
      </c>
      <c r="CH33" s="473"/>
      <c r="CI33" s="101">
        <f>Plantas_A_A12*Conservación_A*Inflación_12</f>
        <v>0</v>
      </c>
      <c r="CJ33" s="101">
        <f>Plantas_B_A12*Conservación_B</f>
        <v>0</v>
      </c>
      <c r="CK33" s="101">
        <f>Plantas_C_A12*Conservación_C</f>
        <v>0</v>
      </c>
      <c r="CL33" s="101">
        <f>Plantas_D_A12*Conservación_D</f>
        <v>0</v>
      </c>
      <c r="CM33" s="101"/>
      <c r="CN33" s="101">
        <f>Plantas_Y_A12*Conservación_Y</f>
        <v>0</v>
      </c>
      <c r="CO33" s="102">
        <v>0</v>
      </c>
    </row>
    <row r="34" spans="1:93" s="112" customFormat="1" ht="24" customHeight="1" x14ac:dyDescent="0.25">
      <c r="A34" s="111" t="s">
        <v>127</v>
      </c>
      <c r="B34" s="100">
        <f t="shared" si="46"/>
        <v>0</v>
      </c>
      <c r="C34" s="101">
        <f>SUMIFS('9'!$E:$E,'9'!$A:$A,Año_Inicial+11,'9'!$D:$D,"Otras actividades")</f>
        <v>0</v>
      </c>
      <c r="D34" s="100">
        <f t="shared" si="45"/>
        <v>0</v>
      </c>
      <c r="E34" s="473"/>
      <c r="F34" s="101">
        <f>((A12_A_L1*Otras_A)+(A12_B_L1*Otras_B)+(A12_C_L1*Otras_C)+(A12_D_L1*Otras_D)+(A12_Y_L1*Otras_Y))*Inflación_12</f>
        <v>0</v>
      </c>
      <c r="G34" s="101">
        <f>SUMIFS('9'!$E:$E,'9'!$A:$A,Año_Inicial+11,'9'!$B:$B,'12'!F$4,'9'!$D:$D,"Otras actividades")</f>
        <v>0</v>
      </c>
      <c r="H34" s="101">
        <f>((A12_A_L2*Otras_A)+(A12_B_L2*Otras_B)+(A12_C_L2*Otras_C)+(A12_D_L2*Otras_D)+(A12_Y_L2*Otras_Y))*Inflación_12</f>
        <v>0</v>
      </c>
      <c r="I34" s="101">
        <f>SUMIFS('9'!$E:$E,'9'!$A:$A,Año_Inicial+11,'9'!$B:$B,'12'!H$4,'9'!$D:$D,"Otras actividades")</f>
        <v>0</v>
      </c>
      <c r="J34" s="101">
        <f>((A12_A_L3*Otras_A)+(A12_B_L3*Otras_B)+(A12_C_L3*Otras_C)+(A12_D_L3*Otras_D)+(A12_Y_L3*Otras_Y))*Inflación_12</f>
        <v>0</v>
      </c>
      <c r="K34" s="101">
        <f>SUMIFS('9'!$E:$E,'9'!$A:$A,Año_Inicial+11,'9'!$B:$B,'12'!J$4,'9'!$D:$D,"Otras actividades")</f>
        <v>0</v>
      </c>
      <c r="L34" s="101">
        <f>((A12_A_L4*Otras_A)+(A12_B_L4*Otras_B)+(A12_C_L4*Otras_C)+(A12_D_L4*Otras_D)+(A12_Y_L4*Otras_Y))*Inflación_12</f>
        <v>0</v>
      </c>
      <c r="M34" s="101">
        <f>SUMIFS('9'!$E:$E,'9'!$A:$A,Año_Inicial+11,'9'!$B:$B,'12'!L$4,'9'!$D:$D,"Otras actividades")</f>
        <v>0</v>
      </c>
      <c r="N34" s="101">
        <f>((A12_A_L5*Otras_A)+(A12_B_L5*Otras_B)+(A12_C_L5*Otras_C)+(A12_D_L5*Otras_D)+(A12_Y_L5*Otras_Y))*Inflación_12</f>
        <v>0</v>
      </c>
      <c r="O34" s="101">
        <f>SUMIFS('9'!$E:$E,'9'!$A:$A,Año_Inicial+11,'9'!$B:$B,'12'!N$4,'9'!$D:$D,"Otras actividades")</f>
        <v>0</v>
      </c>
      <c r="P34" s="101">
        <f>((A12_A_L6*Otras_A)+(A12_B_L6*Otras_B)+(A12_C_L6*Otras_C)+(A12_D_L6*Otras_D)+(A12_Y_L6*Otras_Y))*Inflación_12</f>
        <v>0</v>
      </c>
      <c r="Q34" s="101">
        <f>SUMIFS('9'!$E:$E,'9'!$A:$A,Año_Inicial+11,'9'!$B:$B,'12'!P$4,'9'!$D:$D,"Otras actividades")</f>
        <v>0</v>
      </c>
      <c r="R34" s="101">
        <f>((A12_A_L7*Otras_A)+(A12_B_L7*Otras_B)+(A12_C_L7*Otras_C)+(A12_D_L7*Otras_D)+(A12_Y_L7*Otras_Y))*Inflación_12</f>
        <v>0</v>
      </c>
      <c r="S34" s="101">
        <f>SUMIFS('9'!$E:$E,'9'!$A:$A,Año_Inicial+11,'9'!$B:$B,'12'!R$4,'9'!$D:$D,"Otras actividades")</f>
        <v>0</v>
      </c>
      <c r="T34" s="101">
        <f>((A12_A_L8*Otras_A)+(A12_B_L8*Otras_B)+(A12_C_L8*Otras_C)+(A12_D_L8*Otras_D)+(A12_Y_L8*Otras_Y))*Inflación_12</f>
        <v>0</v>
      </c>
      <c r="U34" s="101">
        <f>SUMIFS('9'!$E:$E,'9'!$A:$A,Año_Inicial+11,'9'!$B:$B,'12'!T$4,'9'!$D:$D,"Otras actividades")</f>
        <v>0</v>
      </c>
      <c r="V34" s="101">
        <f>((A12_A_L9*Otras_A)+(A12_B_L9*Otras_B)+(A12_C_L9*Otras_C)+(A12_D_L9*Otras_D)+(A12_Y_L9*Otras_Y))*Inflación_12</f>
        <v>0</v>
      </c>
      <c r="W34" s="101">
        <f>SUMIFS('9'!$E:$E,'9'!$A:$A,Año_Inicial+11,'9'!$B:$B,'12'!V$4,'9'!$D:$D,"Otras actividades")</f>
        <v>0</v>
      </c>
      <c r="X34" s="101">
        <f>((A12_A_L10*Otras_A)+(A12_B_L10*Otras_B)+(A12_C_L10*Otras_C)+(A12_D_L10*Otras_D)+(A12_Y_L10*Otras_Y))*Inflación_12</f>
        <v>0</v>
      </c>
      <c r="Y34" s="101">
        <f>SUMIFS('9'!$E:$E,'9'!$A:$A,Año_Inicial+11,'9'!$B:$B,'12'!X$4,'9'!$D:$D,"Otras actividades")</f>
        <v>0</v>
      </c>
      <c r="Z34" s="101">
        <f>((A12_A_L11*Otras_A)+(A12_B_L11*Otras_B)+(A12_C_L11*Otras_C)+(A12_D_L11*Otras_D)+(A12_Y_L11*Otras_Y))*Inflación_12</f>
        <v>0</v>
      </c>
      <c r="AA34" s="101">
        <f>SUMIFS('9'!$E:$E,'9'!$A:$A,Año_Inicial+11,'9'!$B:$B,'12'!Z$4,'9'!$D:$D,"Otras actividades")</f>
        <v>0</v>
      </c>
      <c r="AB34" s="101">
        <f>((A12_A_L12*Otras_A)+(A12_B_L12*Otras_B)+(A12_C_L12*Otras_C)+(A12_D_L12*Otras_D)+(A12_Y_L12*Otras_Y))*Inflación_12</f>
        <v>0</v>
      </c>
      <c r="AC34" s="101">
        <f>SUMIFS('9'!$E:$E,'9'!$A:$A,Año_Inicial+11,'9'!$B:$B,'12'!AB$4,'9'!$D:$D,"Otras actividades")</f>
        <v>0</v>
      </c>
      <c r="AD34" s="101">
        <f>((A12_A_L13*Otras_A)+(A12_B_L13*Otras_B)+(A12_C_L13*Otras_C)+(A12_D_L13*Otras_D)+(A12_Y_L13*Otras_Y))*Inflación_12</f>
        <v>0</v>
      </c>
      <c r="AE34" s="101">
        <f>SUMIFS('9'!$E:$E,'9'!$A:$A,Año_Inicial+11,'9'!$B:$B,'12'!AD$4,'9'!$D:$D,"Otras actividades")</f>
        <v>0</v>
      </c>
      <c r="AF34" s="101">
        <f>((A12_A_L14*Otras_A)+(A12_B_L14*Otras_B)+(A12_C_L14*Otras_C)+(A12_D_L14*Otras_D)+(A12_Y_L14*Otras_Y))*Inflación_12</f>
        <v>0</v>
      </c>
      <c r="AG34" s="101">
        <f>SUMIFS('9'!$E:$E,'9'!$A:$A,Año_Inicial+11,'9'!$B:$B,'12'!AF$4,'9'!$D:$D,"Otras actividades")</f>
        <v>0</v>
      </c>
      <c r="AH34" s="101">
        <f>((A12_A_L15*Otras_A)+(A12_B_L15*Otras_B)+(A12_C_L15*Otras_C)+(A12_D_L15*Otras_D)+(A12_Y_L15*Otras_Y))*Inflación_12</f>
        <v>0</v>
      </c>
      <c r="AI34" s="101">
        <f>SUMIFS('9'!$E:$E,'9'!$A:$A,Año_Inicial+11,'9'!$B:$B,'12'!AH$4,'9'!$D:$D,"Otras actividades")</f>
        <v>0</v>
      </c>
      <c r="AJ34" s="101">
        <f>((A12_A_L16*Otras_A)+(A12_B_L16*Otras_B)+(A12_C_L16*Otras_C)+(A12_D_L16*Otras_D)+(A12_Y_L16*Otras_Y))*Inflación_12</f>
        <v>0</v>
      </c>
      <c r="AK34" s="101">
        <f>SUMIFS('9'!$E:$E,'9'!$A:$A,Año_Inicial+11,'9'!$B:$B,'12'!AJ$4,'9'!$D:$D,"Otras actividades")</f>
        <v>0</v>
      </c>
      <c r="AL34" s="101">
        <f>((A12_A_L17*Otras_A)+(A12_B_L17*Otras_B)+(A12_C_L17*Otras_C)+(A12_D_L17*Otras_D)+(A12_Y_L17*Otras_Y))*Inflación_12</f>
        <v>0</v>
      </c>
      <c r="AM34" s="101">
        <f>SUMIFS('9'!$E:$E,'9'!$A:$A,Año_Inicial+11,'9'!$B:$B,'12'!AL$4,'9'!$D:$D,"Otras actividades")</f>
        <v>0</v>
      </c>
      <c r="AN34" s="101">
        <f>((A12_A_L18*Otras_A)+(A12_B_L18*Otras_B)+(A12_C_L18*Otras_C)+(A12_D_L18*Otras_D)+(A12_Y_L18*Otras_Y))*Inflación_12</f>
        <v>0</v>
      </c>
      <c r="AO34" s="101">
        <f>SUMIFS('9'!$E:$E,'9'!$A:$A,Año_Inicial+11,'9'!$B:$B,'12'!AN$4,'9'!$D:$D,"Otras actividades")</f>
        <v>0</v>
      </c>
      <c r="AP34" s="101">
        <f>((A12_A_L19*Otras_A)+(A12_B_L19*Otras_B)+(A12_C_L19*Otras_C)+(A12_D_L19*Otras_D)+(A12_Y_L19*Otras_Y))*Inflación_12</f>
        <v>0</v>
      </c>
      <c r="AQ34" s="101">
        <f>SUMIFS('9'!$E:$E,'9'!$A:$A,Año_Inicial+11,'9'!$B:$B,'12'!AP$4,'9'!$D:$D,"Otras actividades")</f>
        <v>0</v>
      </c>
      <c r="AR34" s="101">
        <f>((A12_A_L20*Otras_A)+(A12_B_L20*Otras_B)+(A12_C_L20*Otras_C)+(A12_D_L20*Otras_D)+(A12_Y_L20*Otras_Y))*Inflación_12</f>
        <v>0</v>
      </c>
      <c r="AS34" s="101">
        <f>SUMIFS('9'!$E:$E,'9'!$A:$A,Año_Inicial+11,'9'!$B:$B,'12'!AR$4,'9'!$D:$D,"Otras actividades")</f>
        <v>0</v>
      </c>
      <c r="AT34" s="101">
        <f>((A12_A_L21*Otras_A)+(A12_B_L21*Otras_B)+(A12_C_L21*Otras_C)+(A12_D_L21*Otras_D)+(A12_Y_L21*Otras_Y))*Inflación_12</f>
        <v>0</v>
      </c>
      <c r="AU34" s="101">
        <f>SUMIFS('9'!$E:$E,'9'!$A:$A,Año_Inicial+11,'9'!$B:$B,'12'!AT$4,'9'!$D:$D,"Otras actividades")</f>
        <v>0</v>
      </c>
      <c r="AV34" s="101">
        <f>((A12_A_L22*Otras_A)+(A12_B_L22*Otras_B)+(A12_C_L22*Otras_C)+(A12_D_L22*Otras_D)+(A12_Y_L22*Otras_Y))*Inflación_12</f>
        <v>0</v>
      </c>
      <c r="AW34" s="101">
        <f>SUMIFS('9'!$E:$E,'9'!$A:$A,Año_Inicial+11,'9'!$B:$B,'12'!AV$4,'9'!$D:$D,"Otras actividades")</f>
        <v>0</v>
      </c>
      <c r="AX34" s="101">
        <f>((A12_A_L23*Otras_A)+(A12_B_L23*Otras_B)+(A12_C_L23*Otras_C)+(A12_D_L23*Otras_D)+(A12_Y_L23*Otras_Y))*Inflación_12</f>
        <v>0</v>
      </c>
      <c r="AY34" s="101">
        <f>SUMIFS('9'!$E:$E,'9'!$A:$A,Año_Inicial+11,'9'!$B:$B,'12'!AX$4,'9'!$D:$D,"Otras actividades")</f>
        <v>0</v>
      </c>
      <c r="AZ34" s="101">
        <f>((A12_A_L24*Otras_A)+(A12_B_L24*Otras_B)+(A12_C_L24*Otras_C)+(A12_D_L24*Otras_D)+(A12_Y_L24*Otras_Y))*Inflación_12</f>
        <v>0</v>
      </c>
      <c r="BA34" s="101">
        <f>SUMIFS('9'!$E:$E,'9'!$A:$A,Año_Inicial+11,'9'!$B:$B,'12'!AZ$4,'9'!$D:$D,"Otras actividades")</f>
        <v>0</v>
      </c>
      <c r="BB34" s="101">
        <f>((A12_A_L25*Otras_A)+(A12_B_L25*Otras_B)+(A12_C_L25*Otras_C)+(A12_D_L25*Otras_D)+(A12_Y_L25*Otras_Y))*Inflación_12</f>
        <v>0</v>
      </c>
      <c r="BC34" s="101">
        <f>SUMIFS('9'!$E:$E,'9'!$A:$A,Año_Inicial+11,'9'!$B:$B,'12'!BB$4,'9'!$D:$D,"Otras actividades")</f>
        <v>0</v>
      </c>
      <c r="BD34" s="101">
        <f>((A12_A_L26*Otras_A)+(A12_B_L26*Otras_B)+(A12_C_L26*Otras_C)+(A12_D_L26*Otras_D)+(A12_Y_L26*Otras_Y))*Inflación_12</f>
        <v>0</v>
      </c>
      <c r="BE34" s="101">
        <f>SUMIFS('9'!$E:$E,'9'!$A:$A,Año_Inicial+11,'9'!$B:$B,'12'!BD$4,'9'!$D:$D,"Otras actividades")</f>
        <v>0</v>
      </c>
      <c r="BF34" s="101">
        <f>((A12_A_L27*Otras_A)+(A12_B_L27*Otras_B)+(A12_C_L27*Otras_C)+(A12_D_L27*Otras_D)+(A12_Y_L27*Otras_Y))*Inflación_12</f>
        <v>0</v>
      </c>
      <c r="BG34" s="101">
        <f>SUMIFS('9'!$E:$E,'9'!$A:$A,Año_Inicial+11,'9'!$B:$B,'12'!BF$4,'9'!$D:$D,"Otras actividades")</f>
        <v>0</v>
      </c>
      <c r="BH34" s="101">
        <f>((A12_A_L28*Otras_A)+(A12_B_L28*Otras_B)+(A12_C_L28*Otras_C)+(A12_D_L28*Otras_D)+(A12_Y_L28*Otras_Y))*Inflación_12</f>
        <v>0</v>
      </c>
      <c r="BI34" s="101">
        <f>SUMIFS('9'!$E:$E,'9'!$A:$A,Año_Inicial+11,'9'!$B:$B,'12'!BH$4,'9'!$D:$D,"Otras actividades")</f>
        <v>0</v>
      </c>
      <c r="BJ34" s="101">
        <f>((A12_A_L29*Otras_A)+(A12_B_L29*Otras_B)+(A12_C_L29*Otras_C)+(A12_D_L29*Otras_D)+(A12_Y_L29*Otras_Y))*Inflación_12</f>
        <v>0</v>
      </c>
      <c r="BK34" s="101">
        <f>SUMIFS('9'!$E:$E,'9'!$A:$A,Año_Inicial+11,'9'!$B:$B,'12'!BJ$4,'9'!$D:$D,"Otras actividades")</f>
        <v>0</v>
      </c>
      <c r="BL34" s="101">
        <f>((A12_A_L30*Otras_A)+(A12_B_L30*Otras_B)+(A12_C_L30*Otras_C)+(A12_D_L30*Otras_D)+(A12_Y_L30*Otras_Y))*Inflación_12</f>
        <v>0</v>
      </c>
      <c r="BM34" s="101">
        <f>SUMIFS('9'!$E:$E,'9'!$A:$A,Año_Inicial+11,'9'!$B:$B,'12'!BL$4,'9'!$D:$D,"Otras actividades")</f>
        <v>0</v>
      </c>
      <c r="BN34" s="101">
        <f>((A12_A_L31*Otras_A)+(A12_B_L31*Otras_B)+(A12_C_L31*Otras_C)+(A12_D_L31*Otras_D)+(A12_Y_L31*Otras_Y))*Inflación_12</f>
        <v>0</v>
      </c>
      <c r="BO34" s="101">
        <f>SUMIFS('9'!$E:$E,'9'!$A:$A,Año_Inicial+11,'9'!$B:$B,'12'!BN$4,'9'!$D:$D,"Otras actividades")</f>
        <v>0</v>
      </c>
      <c r="BP34" s="101">
        <f>((A12_A_L32*Otras_A)+(A12_B_L32*Otras_B)+(A12_C_L32*Otras_C)+(A12_D_L32*Otras_D)+(A12_Y_L32*Otras_Y))*Inflación_12</f>
        <v>0</v>
      </c>
      <c r="BQ34" s="101">
        <f>SUMIFS('9'!$E:$E,'9'!$A:$A,Año_Inicial+11,'9'!$B:$B,'12'!BP$4,'9'!$D:$D,"Otras actividades")</f>
        <v>0</v>
      </c>
      <c r="BR34" s="101">
        <f>((A12_A_L33*Otras_A)+(A12_B_L33*Otras_B)+(A12_C_L33*Otras_C)+(A12_D_L33*Otras_D)+(A12_Y_L33*Otras_Y))*Inflación_12</f>
        <v>0</v>
      </c>
      <c r="BS34" s="101">
        <f>SUMIFS('9'!$E:$E,'9'!$A:$A,Año_Inicial+11,'9'!$B:$B,'12'!BR$4,'9'!$D:$D,"Otras actividades")</f>
        <v>0</v>
      </c>
      <c r="BT34" s="101">
        <f>((A12_A_L34*Otras_A)+(A12_B_L34*Otras_B)+(A12_C_L34*Otras_C)+(A12_D_L34*Otras_D)+(A12_Y_L34*Otras_Y))*Inflación_12</f>
        <v>0</v>
      </c>
      <c r="BU34" s="101">
        <f>SUMIFS('9'!$E:$E,'9'!$A:$A,Año_Inicial+11,'9'!$B:$B,'12'!BT$4,'9'!$D:$D,"Otras actividades")</f>
        <v>0</v>
      </c>
      <c r="BV34" s="101">
        <f>((A12_A_L35*Otras_A)+(A12_B_L35*Otras_B)+(A12_C_L35*Otras_C)+(A12_D_L35*Otras_D)+(A12_Y_L35*Otras_Y))*Inflación_12</f>
        <v>0</v>
      </c>
      <c r="BW34" s="101">
        <f>SUMIFS('9'!$E:$E,'9'!$A:$A,Año_Inicial+11,'9'!$B:$B,'12'!BV$4,'9'!$D:$D,"Otras actividades")</f>
        <v>0</v>
      </c>
      <c r="BX34" s="101">
        <f>((A12_A_L36*Otras_A)+(A12_B_L36*Otras_B)+(A12_C_L36*Otras_C)+(A12_D_L36*Otras_D)+(A12_Y_L36*Otras_Y))*Inflación_12</f>
        <v>0</v>
      </c>
      <c r="BY34" s="101">
        <f>SUMIFS('9'!$E:$E,'9'!$A:$A,Año_Inicial+11,'9'!$B:$B,'12'!BX$4,'9'!$D:$D,"Otras actividades")</f>
        <v>0</v>
      </c>
      <c r="BZ34" s="101">
        <f>((A12_A_L37*Otras_A)+(A12_B_L37*Otras_B)+(A12_C_L37*Otras_C)+(A12_D_L37*Otras_D)+(A12_Y_L37*Otras_Y))*Inflación_12</f>
        <v>0</v>
      </c>
      <c r="CA34" s="101">
        <f>SUMIFS('9'!$E:$E,'9'!$A:$A,Año_Inicial+11,'9'!$B:$B,'12'!BZ$4,'9'!$D:$D,"Otras actividades")</f>
        <v>0</v>
      </c>
      <c r="CB34" s="101">
        <f>((A12_A_L38*Otras_A)+(A12_B_L38*Otras_B)+(A12_C_L38*Otras_C)+(A12_D_L38*Otras_D)+(A12_Y_L38*Otras_Y))*Inflación_12</f>
        <v>0</v>
      </c>
      <c r="CC34" s="101">
        <f>SUMIFS('9'!$E:$E,'9'!$A:$A,Año_Inicial+11,'9'!$B:$B,'12'!CB$4,'9'!$D:$D,"Otras actividades")</f>
        <v>0</v>
      </c>
      <c r="CD34" s="101">
        <f>((A12_A_L39*Otras_A)+(A12_B_L39*Otras_B)+(A12_C_L39*Otras_C)+(A12_D_L39*Otras_D)+(A12_Y_L39*Otras_Y))*Inflación_12</f>
        <v>0</v>
      </c>
      <c r="CE34" s="101">
        <f>SUMIFS('9'!$E:$E,'9'!$A:$A,Año_Inicial+11,'9'!$B:$B,'12'!CD$4,'9'!$D:$D,"Otras actividades")</f>
        <v>0</v>
      </c>
      <c r="CF34" s="101">
        <f>((A12_A_L40*Otras_A)+(A12_B_L40*Otras_B)+(A12_C_L40*Otras_C)+(A12_D_L40*Otras_D)+(A12_Y_L40*Otras_Y))*Inflación_12</f>
        <v>0</v>
      </c>
      <c r="CG34" s="101">
        <f>SUMIFS('9'!$E:$E,'9'!$A:$A,Año_Inicial+11,'9'!$B:$B,'12'!CF$4,'9'!$D:$D,"Otras actividades")</f>
        <v>0</v>
      </c>
      <c r="CH34" s="473"/>
      <c r="CI34" s="101">
        <f>Plantas_A_A12*Otras_A*Inflación_12</f>
        <v>0</v>
      </c>
      <c r="CJ34" s="101">
        <f>Plantas_B_A12*Otras_B</f>
        <v>0</v>
      </c>
      <c r="CK34" s="101">
        <f>Plantas_C_A12*Otras_C</f>
        <v>0</v>
      </c>
      <c r="CL34" s="101">
        <f>Plantas_D_A12*Otras_D</f>
        <v>0</v>
      </c>
      <c r="CM34" s="101"/>
      <c r="CN34" s="101">
        <f>Plantas_Y_A12*Otras_Y</f>
        <v>0</v>
      </c>
      <c r="CO34" s="102">
        <v>0</v>
      </c>
    </row>
    <row r="35" spans="1:93" s="112" customFormat="1" ht="24" customHeight="1" x14ac:dyDescent="0.25">
      <c r="A35" s="111" t="s">
        <v>62</v>
      </c>
      <c r="B35" s="100">
        <f t="shared" si="46"/>
        <v>0</v>
      </c>
      <c r="C35" s="101">
        <f>SUMIFS('9'!$E:$E,'9'!$A:$A,Año_Inicial+11,'9'!$D:$D,"Coadyuvantes")</f>
        <v>0</v>
      </c>
      <c r="D35" s="100">
        <f t="shared" si="45"/>
        <v>0</v>
      </c>
      <c r="E35" s="473"/>
      <c r="F35" s="101">
        <f>((A12_A_L1*Coad_A)+(A12_B_L1*Coad_B)+(A12_C_L1*Coad_C)+(A12_D_L1*Coad_D)+(A12_Y_L1*Coad_Y))*Inflación_12</f>
        <v>0</v>
      </c>
      <c r="G35" s="101">
        <f>SUMIFS('9'!$E:$E,'9'!$A:$A,Año_Inicial+11,'9'!$B:$B,'12'!F$4,'9'!$D:$D,"Coadyuvantes")</f>
        <v>0</v>
      </c>
      <c r="H35" s="101">
        <f>((A12_A_L2*Coad_A)+(A12_B_L2*Coad_B)+(A12_C_L2*Coad_C)+(A12_D_L2*Coad_D)+(A12_Y_L2*Coad_Y))*Inflación_12</f>
        <v>0</v>
      </c>
      <c r="I35" s="101">
        <f>SUMIFS('9'!$E:$E,'9'!$A:$A,Año_Inicial+11,'9'!$B:$B,'12'!H$4,'9'!$D:$D,"Coadyuvantes")</f>
        <v>0</v>
      </c>
      <c r="J35" s="101">
        <f>((A12_A_L3*Coad_A)+(A12_B_L3*Coad_B)+(A12_C_L3*Coad_C)+(A12_D_L3*Coad_D)+(A12_Y_L3*Coad_Y))*Inflación_12</f>
        <v>0</v>
      </c>
      <c r="K35" s="101">
        <f>SUMIFS('9'!$E:$E,'9'!$A:$A,Año_Inicial+11,'9'!$B:$B,'12'!J$4,'9'!$D:$D,"Coadyuvantes")</f>
        <v>0</v>
      </c>
      <c r="L35" s="101">
        <f>((A12_A_L4*Coad_A)+(A12_B_L4*Coad_B)+(A12_C_L4*Coad_C)+(A12_D_L4*Coad_D)+(A12_Y_L4*Coad_Y))*Inflación_12</f>
        <v>0</v>
      </c>
      <c r="M35" s="101">
        <f>SUMIFS('9'!$E:$E,'9'!$A:$A,Año_Inicial+11,'9'!$B:$B,'12'!L$4,'9'!$D:$D,"Coadyuvantes")</f>
        <v>0</v>
      </c>
      <c r="N35" s="101">
        <f>((A12_A_L5*Coad_A)+(A12_B_L5*Coad_B)+(A12_C_L5*Coad_C)+(A12_D_L5*Coad_D)+(A12_Y_L5*Coad_Y))*Inflación_12</f>
        <v>0</v>
      </c>
      <c r="O35" s="101">
        <f>SUMIFS('9'!$E:$E,'9'!$A:$A,Año_Inicial+11,'9'!$B:$B,'12'!N$4,'9'!$D:$D,"Coadyuvantes")</f>
        <v>0</v>
      </c>
      <c r="P35" s="101">
        <f>((A12_A_L6*Coad_A)+(A12_B_L6*Coad_B)+(A12_C_L6*Coad_C)+(A12_D_L6*Coad_D)+(A12_Y_L6*Coad_Y))*Inflación_12</f>
        <v>0</v>
      </c>
      <c r="Q35" s="101">
        <f>SUMIFS('9'!$E:$E,'9'!$A:$A,Año_Inicial+11,'9'!$B:$B,'12'!P$4,'9'!$D:$D,"Coadyuvantes")</f>
        <v>0</v>
      </c>
      <c r="R35" s="101">
        <f>((A12_A_L7*Coad_A)+(A12_B_L7*Coad_B)+(A12_C_L7*Coad_C)+(A12_D_L7*Coad_D)+(A12_Y_L7*Coad_Y))*Inflación_12</f>
        <v>0</v>
      </c>
      <c r="S35" s="101">
        <f>SUMIFS('9'!$E:$E,'9'!$A:$A,Año_Inicial+11,'9'!$B:$B,'12'!R$4,'9'!$D:$D,"Coadyuvantes")</f>
        <v>0</v>
      </c>
      <c r="T35" s="101">
        <f>((A12_A_L8*Coad_A)+(A12_B_L8*Coad_B)+(A12_C_L8*Coad_C)+(A12_D_L8*Coad_D)+(A12_Y_L8*Coad_Y))*Inflación_12</f>
        <v>0</v>
      </c>
      <c r="U35" s="101">
        <f>SUMIFS('9'!$E:$E,'9'!$A:$A,Año_Inicial+11,'9'!$B:$B,'12'!T$4,'9'!$D:$D,"Coadyuvantes")</f>
        <v>0</v>
      </c>
      <c r="V35" s="101">
        <f>((A12_A_L9*Coad_A)+(A12_B_L9*Coad_B)+(A12_C_L9*Coad_C)+(A12_D_L9*Coad_D)+(A12_Y_L9*Coad_Y))*Inflación_12</f>
        <v>0</v>
      </c>
      <c r="W35" s="101">
        <f>SUMIFS('9'!$E:$E,'9'!$A:$A,Año_Inicial+11,'9'!$B:$B,'12'!V$4,'9'!$D:$D,"Coadyuvantes")</f>
        <v>0</v>
      </c>
      <c r="X35" s="101">
        <f>((A12_A_L10*Coad_A)+(A12_B_L10*Coad_B)+(A12_C_L10*Coad_C)+(A12_D_L10*Coad_D)+(A12_Y_L10*Coad_Y))*Inflación_12</f>
        <v>0</v>
      </c>
      <c r="Y35" s="101">
        <f>SUMIFS('9'!$E:$E,'9'!$A:$A,Año_Inicial+11,'9'!$B:$B,'12'!X$4,'9'!$D:$D,"Coadyuvantes")</f>
        <v>0</v>
      </c>
      <c r="Z35" s="101">
        <f>((A12_A_L11*Coad_A)+(A12_B_L11*Coad_B)+(A12_C_L11*Coad_C)+(A12_D_L11*Coad_D)+(A12_Y_L11*Coad_Y))*Inflación_12</f>
        <v>0</v>
      </c>
      <c r="AA35" s="101">
        <f>SUMIFS('9'!$E:$E,'9'!$A:$A,Año_Inicial+11,'9'!$B:$B,'12'!Z$4,'9'!$D:$D,"Coadyuvantes")</f>
        <v>0</v>
      </c>
      <c r="AB35" s="101">
        <f>((A12_A_L12*Coad_A)+(A12_B_L12*Coad_B)+(A12_C_L12*Coad_C)+(A12_D_L12*Coad_D)+(A12_Y_L12*Coad_Y))*Inflación_12</f>
        <v>0</v>
      </c>
      <c r="AC35" s="101">
        <f>SUMIFS('9'!$E:$E,'9'!$A:$A,Año_Inicial+11,'9'!$B:$B,'12'!AB$4,'9'!$D:$D,"Coadyuvantes")</f>
        <v>0</v>
      </c>
      <c r="AD35" s="101">
        <f>((A12_A_L13*Coad_A)+(A12_B_L13*Coad_B)+(A12_C_L13*Coad_C)+(A12_D_L13*Coad_D)+(A12_Y_L13*Coad_Y))*Inflación_12</f>
        <v>0</v>
      </c>
      <c r="AE35" s="101">
        <f>SUMIFS('9'!$E:$E,'9'!$A:$A,Año_Inicial+11,'9'!$B:$B,'12'!AD$4,'9'!$D:$D,"Coadyuvantes")</f>
        <v>0</v>
      </c>
      <c r="AF35" s="101">
        <f>((A12_A_L14*Coad_A)+(A12_B_L14*Coad_B)+(A12_C_L14*Coad_C)+(A12_D_L14*Coad_D)+(A12_Y_L14*Coad_Y))*Inflación_12</f>
        <v>0</v>
      </c>
      <c r="AG35" s="101">
        <f>SUMIFS('9'!$E:$E,'9'!$A:$A,Año_Inicial+11,'9'!$B:$B,'12'!AF$4,'9'!$D:$D,"Coadyuvantes")</f>
        <v>0</v>
      </c>
      <c r="AH35" s="101">
        <f>((A12_A_L15*Coad_A)+(A12_B_L15*Coad_B)+(A12_C_L15*Coad_C)+(A12_D_L15*Coad_D)+(A12_Y_L15*Coad_Y))*Inflación_12</f>
        <v>0</v>
      </c>
      <c r="AI35" s="101">
        <f>SUMIFS('9'!$E:$E,'9'!$A:$A,Año_Inicial+11,'9'!$B:$B,'12'!AH$4,'9'!$D:$D,"Coadyuvantes")</f>
        <v>0</v>
      </c>
      <c r="AJ35" s="101">
        <f>((A12_A_L16*Coad_A)+(A12_B_L16*Coad_B)+(A12_C_L16*Coad_C)+(A12_D_L16*Coad_D)+(A12_Y_L16*Coad_Y))*Inflación_12</f>
        <v>0</v>
      </c>
      <c r="AK35" s="101">
        <f>SUMIFS('9'!$E:$E,'9'!$A:$A,Año_Inicial+11,'9'!$B:$B,'12'!AJ$4,'9'!$D:$D,"Coadyuvantes")</f>
        <v>0</v>
      </c>
      <c r="AL35" s="101">
        <f>((A12_A_L17*Coad_A)+(A12_B_L17*Coad_B)+(A12_C_L17*Coad_C)+(A12_D_L17*Coad_D)+(A12_Y_L17*Coad_Y))*Inflación_12</f>
        <v>0</v>
      </c>
      <c r="AM35" s="101">
        <f>SUMIFS('9'!$E:$E,'9'!$A:$A,Año_Inicial+11,'9'!$B:$B,'12'!AL$4,'9'!$D:$D,"Coadyuvantes")</f>
        <v>0</v>
      </c>
      <c r="AN35" s="101">
        <f>((A12_A_L18*Coad_A)+(A12_B_L18*Coad_B)+(A12_C_L18*Coad_C)+(A12_D_L18*Coad_D)+(A12_Y_L18*Coad_Y))*Inflación_12</f>
        <v>0</v>
      </c>
      <c r="AO35" s="101">
        <f>SUMIFS('9'!$E:$E,'9'!$A:$A,Año_Inicial+11,'9'!$B:$B,'12'!AN$4,'9'!$D:$D,"Coadyuvantes")</f>
        <v>0</v>
      </c>
      <c r="AP35" s="101">
        <f>((A12_A_L19*Coad_A)+(A12_B_L19*Coad_B)+(A12_C_L19*Coad_C)+(A12_D_L19*Coad_D)+(A12_Y_L19*Coad_Y))*Inflación_12</f>
        <v>0</v>
      </c>
      <c r="AQ35" s="101">
        <f>SUMIFS('9'!$E:$E,'9'!$A:$A,Año_Inicial+11,'9'!$B:$B,'12'!AP$4,'9'!$D:$D,"Coadyuvantes")</f>
        <v>0</v>
      </c>
      <c r="AR35" s="101">
        <f>((A12_A_L20*Coad_A)+(A12_B_L20*Coad_B)+(A12_C_L20*Coad_C)+(A12_D_L20*Coad_D)+(A12_Y_L20*Coad_Y))*Inflación_12</f>
        <v>0</v>
      </c>
      <c r="AS35" s="101">
        <f>SUMIFS('9'!$E:$E,'9'!$A:$A,Año_Inicial+11,'9'!$B:$B,'12'!AR$4,'9'!$D:$D,"Coadyuvantes")</f>
        <v>0</v>
      </c>
      <c r="AT35" s="101">
        <f>((A12_A_L21*Coad_A)+(A12_B_L21*Coad_B)+(A12_C_L21*Coad_C)+(A12_D_L21*Coad_D)+(A12_Y_L21*Coad_Y))*Inflación_12</f>
        <v>0</v>
      </c>
      <c r="AU35" s="101">
        <f>SUMIFS('9'!$E:$E,'9'!$A:$A,Año_Inicial+11,'9'!$B:$B,'12'!AT$4,'9'!$D:$D,"Coadyuvantes")</f>
        <v>0</v>
      </c>
      <c r="AV35" s="101">
        <f>((A12_A_L22*Coad_A)+(A12_B_L22*Coad_B)+(A12_C_L22*Coad_C)+(A12_D_L22*Coad_D)+(A12_Y_L22*Coad_Y))*Inflación_12</f>
        <v>0</v>
      </c>
      <c r="AW35" s="101">
        <f>SUMIFS('9'!$E:$E,'9'!$A:$A,Año_Inicial+11,'9'!$B:$B,'12'!AV$4,'9'!$D:$D,"Coadyuvantes")</f>
        <v>0</v>
      </c>
      <c r="AX35" s="101">
        <f>((A12_A_L23*Coad_A)+(A12_B_L23*Coad_B)+(A12_C_L23*Coad_C)+(A12_D_L23*Coad_D)+(A12_Y_L23*Coad_Y))*Inflación_12</f>
        <v>0</v>
      </c>
      <c r="AY35" s="101">
        <f>SUMIFS('9'!$E:$E,'9'!$A:$A,Año_Inicial+11,'9'!$B:$B,'12'!AX$4,'9'!$D:$D,"Coadyuvantes")</f>
        <v>0</v>
      </c>
      <c r="AZ35" s="101">
        <f>((A12_A_L24*Coad_A)+(A12_B_L24*Coad_B)+(A12_C_L24*Coad_C)+(A12_D_L24*Coad_D)+(A12_Y_L24*Coad_Y))*Inflación_12</f>
        <v>0</v>
      </c>
      <c r="BA35" s="101">
        <f>SUMIFS('9'!$E:$E,'9'!$A:$A,Año_Inicial+11,'9'!$B:$B,'12'!AZ$4,'9'!$D:$D,"Coadyuvantes")</f>
        <v>0</v>
      </c>
      <c r="BB35" s="101">
        <f>((A12_A_L25*Coad_A)+(A12_B_L25*Coad_B)+(A12_C_L25*Coad_C)+(A12_D_L25*Coad_D)+(A12_Y_L25*Coad_Y))*Inflación_12</f>
        <v>0</v>
      </c>
      <c r="BC35" s="101">
        <f>SUMIFS('9'!$E:$E,'9'!$A:$A,Año_Inicial+11,'9'!$B:$B,'12'!BB$4,'9'!$D:$D,"Coadyuvantes")</f>
        <v>0</v>
      </c>
      <c r="BD35" s="101">
        <f>((A12_A_L26*Coad_A)+(A12_B_L26*Coad_B)+(A12_C_L26*Coad_C)+(A12_D_L26*Coad_D)+(A12_Y_L26*Coad_Y))*Inflación_12</f>
        <v>0</v>
      </c>
      <c r="BE35" s="101">
        <f>SUMIFS('9'!$E:$E,'9'!$A:$A,Año_Inicial+11,'9'!$B:$B,'12'!BD$4,'9'!$D:$D,"Coadyuvantes")</f>
        <v>0</v>
      </c>
      <c r="BF35" s="101">
        <f>((A12_A_L27*Coad_A)+(A12_B_L27*Coad_B)+(A12_C_L27*Coad_C)+(A12_D_L27*Coad_D)+(A12_Y_L27*Coad_Y))*Inflación_12</f>
        <v>0</v>
      </c>
      <c r="BG35" s="101">
        <f>SUMIFS('9'!$E:$E,'9'!$A:$A,Año_Inicial+11,'9'!$B:$B,'12'!BF$4,'9'!$D:$D,"Coadyuvantes")</f>
        <v>0</v>
      </c>
      <c r="BH35" s="101">
        <f>((A12_A_L28*Coad_A)+(A12_B_L28*Coad_B)+(A12_C_L28*Coad_C)+(A12_D_L28*Coad_D)+(A12_Y_L28*Coad_Y))*Inflación_12</f>
        <v>0</v>
      </c>
      <c r="BI35" s="101">
        <f>SUMIFS('9'!$E:$E,'9'!$A:$A,Año_Inicial+11,'9'!$B:$B,'12'!BH$4,'9'!$D:$D,"Coadyuvantes")</f>
        <v>0</v>
      </c>
      <c r="BJ35" s="101">
        <f>((A12_A_L29*Coad_A)+(A12_B_L29*Coad_B)+(A12_C_L29*Coad_C)+(A12_D_L29*Coad_D)+(A12_Y_L29*Coad_Y))*Inflación_12</f>
        <v>0</v>
      </c>
      <c r="BK35" s="101">
        <f>SUMIFS('9'!$E:$E,'9'!$A:$A,Año_Inicial+11,'9'!$B:$B,'12'!BJ$4,'9'!$D:$D,"Coadyuvantes")</f>
        <v>0</v>
      </c>
      <c r="BL35" s="101">
        <f>((A12_A_L30*Coad_A)+(A12_B_L30*Coad_B)+(A12_C_L30*Coad_C)+(A12_D_L30*Coad_D)+(A12_Y_L30*Coad_Y))*Inflación_12</f>
        <v>0</v>
      </c>
      <c r="BM35" s="101">
        <f>SUMIFS('9'!$E:$E,'9'!$A:$A,Año_Inicial+11,'9'!$B:$B,'12'!BL$4,'9'!$D:$D,"Coadyuvantes")</f>
        <v>0</v>
      </c>
      <c r="BN35" s="101">
        <f>((A12_A_L31*Coad_A)+(A12_B_L31*Coad_B)+(A12_C_L31*Coad_C)+(A12_D_L31*Coad_D)+(A12_Y_L31*Coad_Y))*Inflación_12</f>
        <v>0</v>
      </c>
      <c r="BO35" s="101">
        <f>SUMIFS('9'!$E:$E,'9'!$A:$A,Año_Inicial+11,'9'!$B:$B,'12'!BN$4,'9'!$D:$D,"Coadyuvantes")</f>
        <v>0</v>
      </c>
      <c r="BP35" s="101">
        <f>((A12_A_L32*Coad_A)+(A12_B_L32*Coad_B)+(A12_C_L32*Coad_C)+(A12_D_L32*Coad_D)+(A12_Y_L32*Coad_Y))*Inflación_12</f>
        <v>0</v>
      </c>
      <c r="BQ35" s="101">
        <f>SUMIFS('9'!$E:$E,'9'!$A:$A,Año_Inicial+11,'9'!$B:$B,'12'!BP$4,'9'!$D:$D,"Coadyuvantes")</f>
        <v>0</v>
      </c>
      <c r="BR35" s="101">
        <f>((A12_A_L33*Coad_A)+(A12_B_L33*Coad_B)+(A12_C_L33*Coad_C)+(A12_D_L33*Coad_D)+(A12_Y_L33*Coad_Y))*Inflación_12</f>
        <v>0</v>
      </c>
      <c r="BS35" s="101">
        <f>SUMIFS('9'!$E:$E,'9'!$A:$A,Año_Inicial+11,'9'!$B:$B,'12'!BR$4,'9'!$D:$D,"Coadyuvantes")</f>
        <v>0</v>
      </c>
      <c r="BT35" s="101">
        <f>((A12_A_L34*Coad_A)+(A12_B_L34*Coad_B)+(A12_C_L34*Coad_C)+(A12_D_L34*Coad_D)+(A12_Y_L34*Coad_Y))*Inflación_12</f>
        <v>0</v>
      </c>
      <c r="BU35" s="101">
        <f>SUMIFS('9'!$E:$E,'9'!$A:$A,Año_Inicial+11,'9'!$B:$B,'12'!BT$4,'9'!$D:$D,"Coadyuvantes")</f>
        <v>0</v>
      </c>
      <c r="BV35" s="101">
        <f>((A12_A_L35*Coad_A)+(A12_B_L35*Coad_B)+(A12_C_L35*Coad_C)+(A12_D_L35*Coad_D)+(A12_Y_L35*Coad_Y))*Inflación_12</f>
        <v>0</v>
      </c>
      <c r="BW35" s="101">
        <f>SUMIFS('9'!$E:$E,'9'!$A:$A,Año_Inicial+11,'9'!$B:$B,'12'!BV$4,'9'!$D:$D,"Coadyuvantes")</f>
        <v>0</v>
      </c>
      <c r="BX35" s="101">
        <f>((A12_A_L36*Coad_A)+(A12_B_L36*Coad_B)+(A12_C_L36*Coad_C)+(A12_D_L36*Coad_D)+(A12_Y_L36*Coad_Y))*Inflación_12</f>
        <v>0</v>
      </c>
      <c r="BY35" s="101">
        <f>SUMIFS('9'!$E:$E,'9'!$A:$A,Año_Inicial+11,'9'!$B:$B,'12'!BX$4,'9'!$D:$D,"Coadyuvantes")</f>
        <v>0</v>
      </c>
      <c r="BZ35" s="101">
        <f>((A12_A_L37*Coad_A)+(A12_B_L37*Coad_B)+(A12_C_L37*Coad_C)+(A12_D_L37*Coad_D)+(A12_Y_L37*Coad_Y))*Inflación_12</f>
        <v>0</v>
      </c>
      <c r="CA35" s="101">
        <f>SUMIFS('9'!$E:$E,'9'!$A:$A,Año_Inicial+11,'9'!$B:$B,'12'!BZ$4,'9'!$D:$D,"Coadyuvantes")</f>
        <v>0</v>
      </c>
      <c r="CB35" s="101">
        <f>((A12_A_L38*Coad_A)+(A12_B_L38*Coad_B)+(A12_C_L38*Coad_C)+(A12_D_L38*Coad_D)+(A12_Y_L38*Coad_Y))*Inflación_12</f>
        <v>0</v>
      </c>
      <c r="CC35" s="101">
        <f>SUMIFS('9'!$E:$E,'9'!$A:$A,Año_Inicial+11,'9'!$B:$B,'12'!CB$4,'9'!$D:$D,"Coadyuvantes")</f>
        <v>0</v>
      </c>
      <c r="CD35" s="101">
        <f>((A12_A_L39*Coad_A)+(A12_B_L39*Coad_B)+(A12_C_L39*Coad_C)+(A12_D_L39*Coad_D)+(A12_Y_L39*Coad_Y))*Inflación_12</f>
        <v>0</v>
      </c>
      <c r="CE35" s="101">
        <f>SUMIFS('9'!$E:$E,'9'!$A:$A,Año_Inicial+11,'9'!$B:$B,'12'!CD$4,'9'!$D:$D,"Coadyuvantes")</f>
        <v>0</v>
      </c>
      <c r="CF35" s="101">
        <f>((A12_A_L40*Coad_A)+(A12_B_L40*Coad_B)+(A12_C_L40*Coad_C)+(A12_D_L40*Coad_D)+(A12_Y_L40*Coad_Y))*Inflación_12</f>
        <v>0</v>
      </c>
      <c r="CG35" s="101">
        <f>SUMIFS('9'!$E:$E,'9'!$A:$A,Año_Inicial+11,'9'!$B:$B,'12'!CF$4,'9'!$D:$D,"Coadyuvantes")</f>
        <v>0</v>
      </c>
      <c r="CH35" s="473"/>
      <c r="CI35" s="101">
        <f>Plantas_A_A12*Coad_A*Inflación_12</f>
        <v>0</v>
      </c>
      <c r="CJ35" s="101">
        <f>Plantas_B_A12*Coad_B</f>
        <v>0</v>
      </c>
      <c r="CK35" s="101">
        <f>Plantas_C_A12*Coad_C</f>
        <v>0</v>
      </c>
      <c r="CL35" s="101">
        <f>Plantas_D_A12*Coad_D</f>
        <v>0</v>
      </c>
      <c r="CM35" s="101"/>
      <c r="CN35" s="101">
        <f>Plantas_Y_A12*Coad_Y</f>
        <v>0</v>
      </c>
      <c r="CO35" s="102">
        <v>0</v>
      </c>
    </row>
    <row r="36" spans="1:93" s="112" customFormat="1" ht="24" customHeight="1" x14ac:dyDescent="0.25">
      <c r="A36" s="111" t="str">
        <f>'2'!$A$11</f>
        <v xml:space="preserve">Otro 1: </v>
      </c>
      <c r="B36" s="100">
        <f t="shared" si="46"/>
        <v>0</v>
      </c>
      <c r="C36" s="101">
        <f>SUMIFS('9'!$E:$E,'9'!$A:$A,Año_Inicial+11,'9'!$D:$D,"Otro insumo 1*")</f>
        <v>0</v>
      </c>
      <c r="D36" s="100">
        <f t="shared" si="45"/>
        <v>0</v>
      </c>
      <c r="E36" s="473"/>
      <c r="F36" s="101">
        <f>((A12_A_L1*Otro1_A)+(A12_B_L1*Otro1_B)+(A12_C_L1*Otro1_C)+(A12_D_L1*Otro1_D)+(A12_Y_L1*Otro1_Y))*Inflación_12</f>
        <v>0</v>
      </c>
      <c r="G36" s="101">
        <f>SUMIFS('9'!$E:$E,'9'!$A:$A,Año_Inicial+11,'9'!$B:$B,'12'!F$4,'9'!$D:$D,"Otro insumo 1*")</f>
        <v>0</v>
      </c>
      <c r="H36" s="101">
        <f>((A12_A_L2*Otro1_A)+(A12_B_L2*Otro1_B)+(A12_C_L2*Otro1_C)+(A12_D_L2*Otro1_D)+(A12_Y_L2*Otro1_Y))*Inflación_12</f>
        <v>0</v>
      </c>
      <c r="I36" s="101">
        <f>SUMIFS('9'!$E:$E,'9'!$A:$A,Año_Inicial+11,'9'!$B:$B,'12'!H$4,'9'!$D:$D,"Otro insumo 1*")</f>
        <v>0</v>
      </c>
      <c r="J36" s="101">
        <f>((A12_A_L3*Otro1_A)+(A12_B_L3*Otro1_B)+(A12_C_L3*Otro1_C)+(A12_D_L3*Otro1_D)+(A12_Y_L3*Otro1_Y))*Inflación_12</f>
        <v>0</v>
      </c>
      <c r="K36" s="101">
        <f>SUMIFS('9'!$E:$E,'9'!$A:$A,Año_Inicial+11,'9'!$B:$B,'12'!J$4,'9'!$D:$D,"Otro insumo 1*")</f>
        <v>0</v>
      </c>
      <c r="L36" s="101">
        <f>((A12_A_L4*Otro1_A)+(A12_B_L4*Otro1_B)+(A12_C_L4*Otro1_C)+(A12_D_L4*Otro1_D)+(A12_Y_L4*Otro1_Y))*Inflación_12</f>
        <v>0</v>
      </c>
      <c r="M36" s="101">
        <f>SUMIFS('9'!$E:$E,'9'!$A:$A,Año_Inicial+11,'9'!$B:$B,'12'!L$4,'9'!$D:$D,"Otro insumo 1*")</f>
        <v>0</v>
      </c>
      <c r="N36" s="101">
        <f>((A12_A_L5*Otro1_A)+(A12_B_L5*Otro1_B)+(A12_C_L5*Otro1_C)+(A12_D_L5*Otro1_D)+(A12_Y_L5*Otro1_Y))*Inflación_12</f>
        <v>0</v>
      </c>
      <c r="O36" s="101">
        <f>SUMIFS('9'!$E:$E,'9'!$A:$A,Año_Inicial+11,'9'!$B:$B,'12'!N$4,'9'!$D:$D,"Otro insumo 1*")</f>
        <v>0</v>
      </c>
      <c r="P36" s="101">
        <f>((A12_A_L6*Otro1_A)+(A12_B_L6*Otro1_B)+(A12_C_L6*Otro1_C)+(A12_D_L6*Otro1_D)+(A12_Y_L6*Otro1_Y))*Inflación_12</f>
        <v>0</v>
      </c>
      <c r="Q36" s="101">
        <f>SUMIFS('9'!$E:$E,'9'!$A:$A,Año_Inicial+11,'9'!$B:$B,'12'!P$4,'9'!$D:$D,"Otro insumo 1*")</f>
        <v>0</v>
      </c>
      <c r="R36" s="101">
        <f>((A12_A_L7*Otro1_A)+(A12_B_L7*Otro1_B)+(A12_C_L7*Otro1_C)+(A12_D_L7*Otro1_D)+(A12_Y_L7*Otro1_Y))*Inflación_12</f>
        <v>0</v>
      </c>
      <c r="S36" s="101">
        <f>SUMIFS('9'!$E:$E,'9'!$A:$A,Año_Inicial+11,'9'!$B:$B,'12'!R$4,'9'!$D:$D,"Otro insumo 1*")</f>
        <v>0</v>
      </c>
      <c r="T36" s="101">
        <f>((A12_A_L8*Otro1_A)+(A12_B_L8*Otro1_B)+(A12_C_L8*Otro1_C)+(A12_D_L8*Otro1_D)+(A12_Y_L8*Otro1_Y))*Inflación_12</f>
        <v>0</v>
      </c>
      <c r="U36" s="101">
        <f>SUMIFS('9'!$E:$E,'9'!$A:$A,Año_Inicial+11,'9'!$B:$B,'12'!T$4,'9'!$D:$D,"Otro insumo 1*")</f>
        <v>0</v>
      </c>
      <c r="V36" s="101">
        <f>((A12_A_L9*Otro1_A)+(A12_B_L9*Otro1_B)+(A12_C_L9*Otro1_C)+(A12_D_L9*Otro1_D)+(A12_Y_L9*Otro1_Y))*Inflación_12</f>
        <v>0</v>
      </c>
      <c r="W36" s="101">
        <f>SUMIFS('9'!$E:$E,'9'!$A:$A,Año_Inicial+11,'9'!$B:$B,'12'!V$4,'9'!$D:$D,"Otro insumo 1*")</f>
        <v>0</v>
      </c>
      <c r="X36" s="101">
        <f>((A12_A_L10*Otro1_A)+(A12_B_L10*Otro1_B)+(A12_C_L10*Otro1_C)+(A12_D_L10*Otro1_D)+(A12_Y_L10*Otro1_Y))*Inflación_12</f>
        <v>0</v>
      </c>
      <c r="Y36" s="101">
        <f>SUMIFS('9'!$E:$E,'9'!$A:$A,Año_Inicial+11,'9'!$B:$B,'12'!X$4,'9'!$D:$D,"Otro insumo 1*")</f>
        <v>0</v>
      </c>
      <c r="Z36" s="101">
        <f>((A12_A_L11*Otro1_A)+(A12_B_L11*Otro1_B)+(A12_C_L11*Otro1_C)+(A12_D_L11*Otro1_D)+(A12_Y_L11*Otro1_Y))*Inflación_12</f>
        <v>0</v>
      </c>
      <c r="AA36" s="101">
        <f>SUMIFS('9'!$E:$E,'9'!$A:$A,Año_Inicial+11,'9'!$B:$B,'12'!Z$4,'9'!$D:$D,"Otro insumo 1*")</f>
        <v>0</v>
      </c>
      <c r="AB36" s="101">
        <f>((A12_A_L12*Otro1_A)+(A12_B_L12*Otro1_B)+(A12_C_L12*Otro1_C)+(A12_D_L12*Otro1_D)+(A12_Y_L12*Otro1_Y))*Inflación_12</f>
        <v>0</v>
      </c>
      <c r="AC36" s="101">
        <f>SUMIFS('9'!$E:$E,'9'!$A:$A,Año_Inicial+11,'9'!$B:$B,'12'!AB$4,'9'!$D:$D,"Otro insumo 1*")</f>
        <v>0</v>
      </c>
      <c r="AD36" s="101">
        <f>((A12_A_L13*Otro1_A)+(A12_B_L13*Otro1_B)+(A12_C_L13*Otro1_C)+(A12_D_L13*Otro1_D)+(A12_Y_L13*Otro1_Y))*Inflación_12</f>
        <v>0</v>
      </c>
      <c r="AE36" s="101">
        <f>SUMIFS('9'!$E:$E,'9'!$A:$A,Año_Inicial+11,'9'!$B:$B,'12'!AD$4,'9'!$D:$D,"Otro insumo 1*")</f>
        <v>0</v>
      </c>
      <c r="AF36" s="101">
        <f>((A12_A_L14*Otro1_A)+(A12_B_L14*Otro1_B)+(A12_C_L14*Otro1_C)+(A12_D_L14*Otro1_D)+(A12_Y_L14*Otro1_Y))*Inflación_12</f>
        <v>0</v>
      </c>
      <c r="AG36" s="101">
        <f>SUMIFS('9'!$E:$E,'9'!$A:$A,Año_Inicial+11,'9'!$B:$B,'12'!AF$4,'9'!$D:$D,"Otro insumo 1*")</f>
        <v>0</v>
      </c>
      <c r="AH36" s="101">
        <f>((A12_A_L15*Otro1_A)+(A12_B_L15*Otro1_B)+(A12_C_L15*Otro1_C)+(A12_D_L15*Otro1_D)+(A12_Y_L15*Otro1_Y))*Inflación_12</f>
        <v>0</v>
      </c>
      <c r="AI36" s="101">
        <f>SUMIFS('9'!$E:$E,'9'!$A:$A,Año_Inicial+11,'9'!$B:$B,'12'!AH$4,'9'!$D:$D,"Otro insumo 1*")</f>
        <v>0</v>
      </c>
      <c r="AJ36" s="101">
        <f>((A12_A_L16*Otro1_A)+(A12_B_L16*Otro1_B)+(A12_C_L16*Otro1_C)+(A12_D_L16*Otro1_D)+(A12_Y_L16*Otro1_Y))*Inflación_12</f>
        <v>0</v>
      </c>
      <c r="AK36" s="101">
        <f>SUMIFS('9'!$E:$E,'9'!$A:$A,Año_Inicial+11,'9'!$B:$B,'12'!AJ$4,'9'!$D:$D,"Otro insumo 1*")</f>
        <v>0</v>
      </c>
      <c r="AL36" s="101">
        <f>((A12_A_L17*Otro1_A)+(A12_B_L17*Otro1_B)+(A12_C_L17*Otro1_C)+(A12_D_L17*Otro1_D)+(A12_Y_L17*Otro1_Y))*Inflación_12</f>
        <v>0</v>
      </c>
      <c r="AM36" s="101">
        <f>SUMIFS('9'!$E:$E,'9'!$A:$A,Año_Inicial+11,'9'!$B:$B,'12'!AL$4,'9'!$D:$D,"Otro insumo 1*")</f>
        <v>0</v>
      </c>
      <c r="AN36" s="101">
        <f>((A12_A_L18*Otro1_A)+(A12_B_L18*Otro1_B)+(A12_C_L18*Otro1_C)+(A12_D_L18*Otro1_D)+(A12_Y_L18*Otro1_Y))*Inflación_12</f>
        <v>0</v>
      </c>
      <c r="AO36" s="101">
        <f>SUMIFS('9'!$E:$E,'9'!$A:$A,Año_Inicial+11,'9'!$B:$B,'12'!AN$4,'9'!$D:$D,"Otro insumo 1*")</f>
        <v>0</v>
      </c>
      <c r="AP36" s="101">
        <f>((A12_A_L19*Otro1_A)+(A12_B_L19*Otro1_B)+(A12_C_L19*Otro1_C)+(A12_D_L19*Otro1_D)+(A12_Y_L19*Otro1_Y))*Inflación_12</f>
        <v>0</v>
      </c>
      <c r="AQ36" s="101">
        <f>SUMIFS('9'!$E:$E,'9'!$A:$A,Año_Inicial+11,'9'!$B:$B,'12'!AP$4,'9'!$D:$D,"Otro insumo 1*")</f>
        <v>0</v>
      </c>
      <c r="AR36" s="101">
        <f>((A12_A_L20*Otro1_A)+(A12_B_L20*Otro1_B)+(A12_C_L20*Otro1_C)+(A12_D_L20*Otro1_D)+(A12_Y_L20*Otro1_Y))*Inflación_12</f>
        <v>0</v>
      </c>
      <c r="AS36" s="101">
        <f>SUMIFS('9'!$E:$E,'9'!$A:$A,Año_Inicial+11,'9'!$B:$B,'12'!AR$4,'9'!$D:$D,"Otro insumo 1*")</f>
        <v>0</v>
      </c>
      <c r="AT36" s="101">
        <f>((A12_A_L21*Otro1_A)+(A12_B_L21*Otro1_B)+(A12_C_L21*Otro1_C)+(A12_D_L21*Otro1_D)+(A12_Y_L21*Otro1_Y))*Inflación_12</f>
        <v>0</v>
      </c>
      <c r="AU36" s="101">
        <f>SUMIFS('9'!$E:$E,'9'!$A:$A,Año_Inicial+11,'9'!$B:$B,'12'!AT$4,'9'!$D:$D,"Otro insumo 1*")</f>
        <v>0</v>
      </c>
      <c r="AV36" s="101">
        <f>((A12_A_L22*Otro1_A)+(A12_B_L22*Otro1_B)+(A12_C_L22*Otro1_C)+(A12_D_L22*Otro1_D)+(A12_Y_L22*Otro1_Y))*Inflación_12</f>
        <v>0</v>
      </c>
      <c r="AW36" s="101">
        <f>SUMIFS('9'!$E:$E,'9'!$A:$A,Año_Inicial+11,'9'!$B:$B,'12'!AV$4,'9'!$D:$D,"Otro insumo 1*")</f>
        <v>0</v>
      </c>
      <c r="AX36" s="101">
        <f>((A12_A_L23*Otro1_A)+(A12_B_L23*Otro1_B)+(A12_C_L23*Otro1_C)+(A12_D_L23*Otro1_D)+(A12_Y_L23*Otro1_Y))*Inflación_12</f>
        <v>0</v>
      </c>
      <c r="AY36" s="101">
        <f>SUMIFS('9'!$E:$E,'9'!$A:$A,Año_Inicial+11,'9'!$B:$B,'12'!AX$4,'9'!$D:$D,"Otro insumo 1*")</f>
        <v>0</v>
      </c>
      <c r="AZ36" s="101">
        <f>((A12_A_L24*Otro1_A)+(A12_B_L24*Otro1_B)+(A12_C_L24*Otro1_C)+(A12_D_L24*Otro1_D)+(A12_Y_L24*Otro1_Y))*Inflación_12</f>
        <v>0</v>
      </c>
      <c r="BA36" s="101">
        <f>SUMIFS('9'!$E:$E,'9'!$A:$A,Año_Inicial+11,'9'!$B:$B,'12'!AZ$4,'9'!$D:$D,"Otro insumo 1*")</f>
        <v>0</v>
      </c>
      <c r="BB36" s="101">
        <f>((A12_A_L25*Otro1_A)+(A12_B_L25*Otro1_B)+(A12_C_L25*Otro1_C)+(A12_D_L25*Otro1_D)+(A12_Y_L25*Otro1_Y))*Inflación_12</f>
        <v>0</v>
      </c>
      <c r="BC36" s="101">
        <f>SUMIFS('9'!$E:$E,'9'!$A:$A,Año_Inicial+11,'9'!$B:$B,'12'!BB$4,'9'!$D:$D,"Otro insumo 1*")</f>
        <v>0</v>
      </c>
      <c r="BD36" s="101">
        <f>((A12_A_L26*Otro1_A)+(A12_B_L26*Otro1_B)+(A12_C_L26*Otro1_C)+(A12_D_L26*Otro1_D)+(A12_Y_L26*Otro1_Y))*Inflación_12</f>
        <v>0</v>
      </c>
      <c r="BE36" s="101">
        <f>SUMIFS('9'!$E:$E,'9'!$A:$A,Año_Inicial+11,'9'!$B:$B,'12'!BD$4,'9'!$D:$D,"Otro insumo 1*")</f>
        <v>0</v>
      </c>
      <c r="BF36" s="101">
        <f>((A12_A_L27*Otro1_A)+(A12_B_L27*Otro1_B)+(A12_C_L27*Otro1_C)+(A12_D_L27*Otro1_D)+(A12_Y_L27*Otro1_Y))*Inflación_12</f>
        <v>0</v>
      </c>
      <c r="BG36" s="101">
        <f>SUMIFS('9'!$E:$E,'9'!$A:$A,Año_Inicial+11,'9'!$B:$B,'12'!BF$4,'9'!$D:$D,"Otro insumo 1*")</f>
        <v>0</v>
      </c>
      <c r="BH36" s="101">
        <f>((A12_A_L28*Otro1_A)+(A12_B_L28*Otro1_B)+(A12_C_L28*Otro1_C)+(A12_D_L28*Otro1_D)+(A12_Y_L28*Otro1_Y))*Inflación_12</f>
        <v>0</v>
      </c>
      <c r="BI36" s="101">
        <f>SUMIFS('9'!$E:$E,'9'!$A:$A,Año_Inicial+11,'9'!$B:$B,'12'!BH$4,'9'!$D:$D,"Otro insumo 1*")</f>
        <v>0</v>
      </c>
      <c r="BJ36" s="101">
        <f>((A12_A_L29*Otro1_A)+(A12_B_L29*Otro1_B)+(A12_C_L29*Otro1_C)+(A12_D_L29*Otro1_D)+(A12_Y_L29*Otro1_Y))*Inflación_12</f>
        <v>0</v>
      </c>
      <c r="BK36" s="101">
        <f>SUMIFS('9'!$E:$E,'9'!$A:$A,Año_Inicial+11,'9'!$B:$B,'12'!BJ$4,'9'!$D:$D,"Otro insumo 1*")</f>
        <v>0</v>
      </c>
      <c r="BL36" s="101">
        <f>((A12_A_L30*Otro1_A)+(A12_B_L30*Otro1_B)+(A12_C_L30*Otro1_C)+(A12_D_L30*Otro1_D)+(A12_Y_L30*Otro1_Y))*Inflación_12</f>
        <v>0</v>
      </c>
      <c r="BM36" s="101">
        <f>SUMIFS('9'!$E:$E,'9'!$A:$A,Año_Inicial+11,'9'!$B:$B,'12'!BL$4,'9'!$D:$D,"Otro insumo 1*")</f>
        <v>0</v>
      </c>
      <c r="BN36" s="101">
        <f>((A12_A_L31*Otro1_A)+(A12_B_L31*Otro1_B)+(A12_C_L31*Otro1_C)+(A12_D_L31*Otro1_D)+(A12_Y_L31*Otro1_Y))*Inflación_12</f>
        <v>0</v>
      </c>
      <c r="BO36" s="101">
        <f>SUMIFS('9'!$E:$E,'9'!$A:$A,Año_Inicial+11,'9'!$B:$B,'12'!BN$4,'9'!$D:$D,"Otro insumo 1*")</f>
        <v>0</v>
      </c>
      <c r="BP36" s="101">
        <f>((A12_A_L32*Otro1_A)+(A12_B_L32*Otro1_B)+(A12_C_L32*Otro1_C)+(A12_D_L32*Otro1_D)+(A12_Y_L32*Otro1_Y))*Inflación_12</f>
        <v>0</v>
      </c>
      <c r="BQ36" s="101">
        <f>SUMIFS('9'!$E:$E,'9'!$A:$A,Año_Inicial+11,'9'!$B:$B,'12'!BP$4,'9'!$D:$D,"Otro insumo 1*")</f>
        <v>0</v>
      </c>
      <c r="BR36" s="101">
        <f>((A12_A_L33*Otro1_A)+(A12_B_L33*Otro1_B)+(A12_C_L33*Otro1_C)+(A12_D_L33*Otro1_D)+(A12_Y_L33*Otro1_Y))*Inflación_12</f>
        <v>0</v>
      </c>
      <c r="BS36" s="101">
        <f>SUMIFS('9'!$E:$E,'9'!$A:$A,Año_Inicial+11,'9'!$B:$B,'12'!BR$4,'9'!$D:$D,"Otro insumo 1*")</f>
        <v>0</v>
      </c>
      <c r="BT36" s="101">
        <f>((A12_A_L34*Otro1_A)+(A12_B_L34*Otro1_B)+(A12_C_L34*Otro1_C)+(A12_D_L34*Otro1_D)+(A12_Y_L34*Otro1_Y))*Inflación_12</f>
        <v>0</v>
      </c>
      <c r="BU36" s="101">
        <f>SUMIFS('9'!$E:$E,'9'!$A:$A,Año_Inicial+11,'9'!$B:$B,'12'!BT$4,'9'!$D:$D,"Otro insumo 1*")</f>
        <v>0</v>
      </c>
      <c r="BV36" s="101">
        <f>((A12_A_L35*Otro1_A)+(A12_B_L35*Otro1_B)+(A12_C_L35*Otro1_C)+(A12_D_L35*Otro1_D)+(A12_Y_L35*Otro1_Y))*Inflación_12</f>
        <v>0</v>
      </c>
      <c r="BW36" s="101">
        <f>SUMIFS('9'!$E:$E,'9'!$A:$A,Año_Inicial+11,'9'!$B:$B,'12'!BV$4,'9'!$D:$D,"Otro insumo 1*")</f>
        <v>0</v>
      </c>
      <c r="BX36" s="101">
        <f>((A12_A_L36*Otro1_A)+(A12_B_L36*Otro1_B)+(A12_C_L36*Otro1_C)+(A12_D_L36*Otro1_D)+(A12_Y_L36*Otro1_Y))*Inflación_12</f>
        <v>0</v>
      </c>
      <c r="BY36" s="101">
        <f>SUMIFS('9'!$E:$E,'9'!$A:$A,Año_Inicial+11,'9'!$B:$B,'12'!BX$4,'9'!$D:$D,"Otro insumo 1*")</f>
        <v>0</v>
      </c>
      <c r="BZ36" s="101">
        <f>((A12_A_L37*Otro1_A)+(A12_B_L37*Otro1_B)+(A12_C_L37*Otro1_C)+(A12_D_L37*Otro1_D)+(A12_Y_L37*Otro1_Y))*Inflación_12</f>
        <v>0</v>
      </c>
      <c r="CA36" s="101">
        <f>SUMIFS('9'!$E:$E,'9'!$A:$A,Año_Inicial+11,'9'!$B:$B,'12'!BZ$4,'9'!$D:$D,"Otro insumo 1*")</f>
        <v>0</v>
      </c>
      <c r="CB36" s="101">
        <f>((A12_A_L38*Otro1_A)+(A12_B_L38*Otro1_B)+(A12_C_L38*Otro1_C)+(A12_D_L38*Otro1_D)+(A12_Y_L38*Otro1_Y))*Inflación_12</f>
        <v>0</v>
      </c>
      <c r="CC36" s="101">
        <f>SUMIFS('9'!$E:$E,'9'!$A:$A,Año_Inicial+11,'9'!$B:$B,'12'!CB$4,'9'!$D:$D,"Otro insumo 1*")</f>
        <v>0</v>
      </c>
      <c r="CD36" s="101">
        <f>((A12_A_L39*Otro1_A)+(A12_B_L39*Otro1_B)+(A12_C_L39*Otro1_C)+(A12_D_L39*Otro1_D)+(A12_Y_L39*Otro1_Y))*Inflación_12</f>
        <v>0</v>
      </c>
      <c r="CE36" s="101">
        <f>SUMIFS('9'!$E:$E,'9'!$A:$A,Año_Inicial+11,'9'!$B:$B,'12'!CD$4,'9'!$D:$D,"Otro insumo 1*")</f>
        <v>0</v>
      </c>
      <c r="CF36" s="101">
        <f>((A12_A_L40*Otro1_A)+(A12_B_L40*Otro1_B)+(A12_C_L40*Otro1_C)+(A12_D_L40*Otro1_D)+(A12_Y_L40*Otro1_Y))*Inflación_12</f>
        <v>0</v>
      </c>
      <c r="CG36" s="101">
        <f>SUMIFS('9'!$E:$E,'9'!$A:$A,Año_Inicial+11,'9'!$B:$B,'12'!CF$4,'9'!$D:$D,"Otro insumo 1*")</f>
        <v>0</v>
      </c>
      <c r="CH36" s="473"/>
      <c r="CI36" s="101">
        <f>Plantas_A_A12*Otro1_A*Inflación_12</f>
        <v>0</v>
      </c>
      <c r="CJ36" s="101">
        <f>Plantas_B_A12*Otro1_B</f>
        <v>0</v>
      </c>
      <c r="CK36" s="101">
        <f>Plantas_C_A12*Otro1_C</f>
        <v>0</v>
      </c>
      <c r="CL36" s="101">
        <f>Plantas_D_A12*Otro1_D</f>
        <v>0</v>
      </c>
      <c r="CM36" s="101"/>
      <c r="CN36" s="101">
        <f>Plantas_Y_A12*Otro1_Y</f>
        <v>0</v>
      </c>
      <c r="CO36" s="102">
        <v>0</v>
      </c>
    </row>
    <row r="37" spans="1:93" s="112" customFormat="1" ht="24" customHeight="1" x14ac:dyDescent="0.25">
      <c r="A37" s="111" t="str">
        <f>'2'!$A$12</f>
        <v xml:space="preserve">Otro 2: </v>
      </c>
      <c r="B37" s="100">
        <f t="shared" si="46"/>
        <v>0</v>
      </c>
      <c r="C37" s="101">
        <f>SUMIFS('9'!$E:$E,'9'!$A:$A,Año_Inicial+11,'9'!$D:$D,"Otro insumo 2*")</f>
        <v>0</v>
      </c>
      <c r="D37" s="100">
        <f t="shared" si="45"/>
        <v>0</v>
      </c>
      <c r="E37" s="473"/>
      <c r="F37" s="101">
        <f>((A12_A_L1*Otro2_A)+(A12_B_L1*Otro2_B)+(A12_C_L1*Otro2_C)+(A12_D_L1*Otro2_D)+(A12_Y_L1*Otro2_Y))*Inflación_12</f>
        <v>0</v>
      </c>
      <c r="G37" s="101">
        <f>SUMIFS('9'!$E:$E,'9'!$A:$A,Año_Inicial+11,'9'!$B:$B,'12'!F$4,'9'!$D:$D,"Otro insumo 2*")</f>
        <v>0</v>
      </c>
      <c r="H37" s="101">
        <f>((A12_A_L2*Otro2_A)+(A12_B_L2*Otro2_B)+(A12_C_L2*Otro2_C)+(A12_D_L2*Otro2_D)+(A12_Y_L2*Otro2_Y))*Inflación_12</f>
        <v>0</v>
      </c>
      <c r="I37" s="101">
        <f>SUMIFS('9'!$E:$E,'9'!$A:$A,Año_Inicial+11,'9'!$B:$B,'12'!H$4,'9'!$D:$D,"Otro insumo 2*")</f>
        <v>0</v>
      </c>
      <c r="J37" s="101">
        <f>((A12_A_L3*Otro2_A)+(A12_B_L3*Otro2_B)+(A12_C_L3*Otro2_C)+(A12_D_L3*Otro2_D)+(A12_Y_L3*Otro2_Y))*Inflación_12</f>
        <v>0</v>
      </c>
      <c r="K37" s="101">
        <f>SUMIFS('9'!$E:$E,'9'!$A:$A,Año_Inicial+11,'9'!$B:$B,'12'!J$4,'9'!$D:$D,"Otro insumo 2*")</f>
        <v>0</v>
      </c>
      <c r="L37" s="101">
        <f>((A12_A_L4*Otro2_A)+(A12_B_L4*Otro2_B)+(A12_C_L4*Otro2_C)+(A12_D_L4*Otro2_D)+(A12_Y_L4*Otro2_Y))*Inflación_12</f>
        <v>0</v>
      </c>
      <c r="M37" s="101">
        <f>SUMIFS('9'!$E:$E,'9'!$A:$A,Año_Inicial+11,'9'!$B:$B,'12'!L$4,'9'!$D:$D,"Otro insumo 2*")</f>
        <v>0</v>
      </c>
      <c r="N37" s="101">
        <f>((A12_A_L5*Otro2_A)+(A12_B_L5*Otro2_B)+(A12_C_L5*Otro2_C)+(A12_D_L5*Otro2_D)+(A12_Y_L5*Otro2_Y))*Inflación_12</f>
        <v>0</v>
      </c>
      <c r="O37" s="101">
        <f>SUMIFS('9'!$E:$E,'9'!$A:$A,Año_Inicial+11,'9'!$B:$B,'12'!N$4,'9'!$D:$D,"Otro insumo 2*")</f>
        <v>0</v>
      </c>
      <c r="P37" s="101">
        <f>((A12_A_L6*Otro2_A)+(A12_B_L6*Otro2_B)+(A12_C_L6*Otro2_C)+(A12_D_L6*Otro2_D)+(A12_Y_L6*Otro2_Y))*Inflación_12</f>
        <v>0</v>
      </c>
      <c r="Q37" s="101">
        <f>SUMIFS('9'!$E:$E,'9'!$A:$A,Año_Inicial+11,'9'!$B:$B,'12'!P$4,'9'!$D:$D,"Otro insumo 2*")</f>
        <v>0</v>
      </c>
      <c r="R37" s="101">
        <f>((A12_A_L7*Otro2_A)+(A12_B_L7*Otro2_B)+(A12_C_L7*Otro2_C)+(A12_D_L7*Otro2_D)+(A12_Y_L7*Otro2_Y))*Inflación_12</f>
        <v>0</v>
      </c>
      <c r="S37" s="101">
        <f>SUMIFS('9'!$E:$E,'9'!$A:$A,Año_Inicial+11,'9'!$B:$B,'12'!R$4,'9'!$D:$D,"Otro insumo 2*")</f>
        <v>0</v>
      </c>
      <c r="T37" s="101">
        <f>((A12_A_L8*Otro2_A)+(A12_B_L8*Otro2_B)+(A12_C_L8*Otro2_C)+(A12_D_L8*Otro2_D)+(A12_Y_L8*Otro2_Y))*Inflación_12</f>
        <v>0</v>
      </c>
      <c r="U37" s="101">
        <f>SUMIFS('9'!$E:$E,'9'!$A:$A,Año_Inicial+11,'9'!$B:$B,'12'!T$4,'9'!$D:$D,"Otro insumo 2*")</f>
        <v>0</v>
      </c>
      <c r="V37" s="101">
        <f>((A12_A_L9*Otro2_A)+(A12_B_L9*Otro2_B)+(A12_C_L9*Otro2_C)+(A12_D_L9*Otro2_D)+(A12_Y_L9*Otro2_Y))*Inflación_12</f>
        <v>0</v>
      </c>
      <c r="W37" s="101">
        <f>SUMIFS('9'!$E:$E,'9'!$A:$A,Año_Inicial+11,'9'!$B:$B,'12'!V$4,'9'!$D:$D,"Otro insumo 2*")</f>
        <v>0</v>
      </c>
      <c r="X37" s="101">
        <f>((A12_A_L10*Otro2_A)+(A12_B_L10*Otro2_B)+(A12_C_L10*Otro2_C)+(A12_D_L10*Otro2_D)+(A12_Y_L10*Otro2_Y))*Inflación_12</f>
        <v>0</v>
      </c>
      <c r="Y37" s="101">
        <f>SUMIFS('9'!$E:$E,'9'!$A:$A,Año_Inicial+11,'9'!$B:$B,'12'!X$4,'9'!$D:$D,"Otro insumo 2*")</f>
        <v>0</v>
      </c>
      <c r="Z37" s="101">
        <f>((A12_A_L11*Otro2_A)+(A12_B_L11*Otro2_B)+(A12_C_L11*Otro2_C)+(A12_D_L11*Otro2_D)+(A12_Y_L11*Otro2_Y))*Inflación_12</f>
        <v>0</v>
      </c>
      <c r="AA37" s="101">
        <f>SUMIFS('9'!$E:$E,'9'!$A:$A,Año_Inicial+11,'9'!$B:$B,'12'!Z$4,'9'!$D:$D,"Otro insumo 2*")</f>
        <v>0</v>
      </c>
      <c r="AB37" s="101">
        <f>((A12_A_L12*Otro2_A)+(A12_B_L12*Otro2_B)+(A12_C_L12*Otro2_C)+(A12_D_L12*Otro2_D)+(A12_Y_L12*Otro2_Y))*Inflación_12</f>
        <v>0</v>
      </c>
      <c r="AC37" s="101">
        <f>SUMIFS('9'!$E:$E,'9'!$A:$A,Año_Inicial+11,'9'!$B:$B,'12'!AB$4,'9'!$D:$D,"Otro insumo 2*")</f>
        <v>0</v>
      </c>
      <c r="AD37" s="101">
        <f>((A12_A_L13*Otro2_A)+(A12_B_L13*Otro2_B)+(A12_C_L13*Otro2_C)+(A12_D_L13*Otro2_D)+(A12_Y_L13*Otro2_Y))*Inflación_12</f>
        <v>0</v>
      </c>
      <c r="AE37" s="101">
        <f>SUMIFS('9'!$E:$E,'9'!$A:$A,Año_Inicial+11,'9'!$B:$B,'12'!AD$4,'9'!$D:$D,"Otro insumo 2*")</f>
        <v>0</v>
      </c>
      <c r="AF37" s="101">
        <f>((A12_A_L14*Otro2_A)+(A12_B_L14*Otro2_B)+(A12_C_L14*Otro2_C)+(A12_D_L14*Otro2_D)+(A12_Y_L14*Otro2_Y))*Inflación_12</f>
        <v>0</v>
      </c>
      <c r="AG37" s="101">
        <f>SUMIFS('9'!$E:$E,'9'!$A:$A,Año_Inicial+11,'9'!$B:$B,'12'!AF$4,'9'!$D:$D,"Otro insumo 2*")</f>
        <v>0</v>
      </c>
      <c r="AH37" s="101">
        <f>((A12_A_L15*Otro2_A)+(A12_B_L15*Otro2_B)+(A12_C_L15*Otro2_C)+(A12_D_L15*Otro2_D)+(A12_Y_L15*Otro2_Y))*Inflación_12</f>
        <v>0</v>
      </c>
      <c r="AI37" s="101">
        <f>SUMIFS('9'!$E:$E,'9'!$A:$A,Año_Inicial+11,'9'!$B:$B,'12'!AH$4,'9'!$D:$D,"Otro insumo 2*")</f>
        <v>0</v>
      </c>
      <c r="AJ37" s="101">
        <f>((A12_A_L16*Otro2_A)+(A12_B_L16*Otro2_B)+(A12_C_L16*Otro2_C)+(A12_D_L16*Otro2_D)+(A12_Y_L16*Otro2_Y))*Inflación_12</f>
        <v>0</v>
      </c>
      <c r="AK37" s="101">
        <f>SUMIFS('9'!$E:$E,'9'!$A:$A,Año_Inicial+11,'9'!$B:$B,'12'!AJ$4,'9'!$D:$D,"Otro insumo 2*")</f>
        <v>0</v>
      </c>
      <c r="AL37" s="101">
        <f>((A12_A_L17*Otro2_A)+(A12_B_L17*Otro2_B)+(A12_C_L17*Otro2_C)+(A12_D_L17*Otro2_D)+(A12_Y_L17*Otro2_Y))*Inflación_12</f>
        <v>0</v>
      </c>
      <c r="AM37" s="101">
        <f>SUMIFS('9'!$E:$E,'9'!$A:$A,Año_Inicial+11,'9'!$B:$B,'12'!AL$4,'9'!$D:$D,"Otro insumo 2*")</f>
        <v>0</v>
      </c>
      <c r="AN37" s="101">
        <f>((A12_A_L18*Otro2_A)+(A12_B_L18*Otro2_B)+(A12_C_L18*Otro2_C)+(A12_D_L18*Otro2_D)+(A12_Y_L18*Otro2_Y))*Inflación_12</f>
        <v>0</v>
      </c>
      <c r="AO37" s="101">
        <f>SUMIFS('9'!$E:$E,'9'!$A:$A,Año_Inicial+11,'9'!$B:$B,'12'!AN$4,'9'!$D:$D,"Otro insumo 2*")</f>
        <v>0</v>
      </c>
      <c r="AP37" s="101">
        <f>((A12_A_L19*Otro2_A)+(A12_B_L19*Otro2_B)+(A12_C_L19*Otro2_C)+(A12_D_L19*Otro2_D)+(A12_Y_L19*Otro2_Y))*Inflación_12</f>
        <v>0</v>
      </c>
      <c r="AQ37" s="101">
        <f>SUMIFS('9'!$E:$E,'9'!$A:$A,Año_Inicial+11,'9'!$B:$B,'12'!AP$4,'9'!$D:$D,"Otro insumo 2*")</f>
        <v>0</v>
      </c>
      <c r="AR37" s="101">
        <f>((A12_A_L20*Otro2_A)+(A12_B_L20*Otro2_B)+(A12_C_L20*Otro2_C)+(A12_D_L20*Otro2_D)+(A12_Y_L20*Otro2_Y))*Inflación_12</f>
        <v>0</v>
      </c>
      <c r="AS37" s="101">
        <f>SUMIFS('9'!$E:$E,'9'!$A:$A,Año_Inicial+11,'9'!$B:$B,'12'!AR$4,'9'!$D:$D,"Otro insumo 2*")</f>
        <v>0</v>
      </c>
      <c r="AT37" s="101">
        <f>((A12_A_L21*Otro2_A)+(A12_B_L21*Otro2_B)+(A12_C_L21*Otro2_C)+(A12_D_L21*Otro2_D)+(A12_Y_L21*Otro2_Y))*Inflación_12</f>
        <v>0</v>
      </c>
      <c r="AU37" s="101">
        <f>SUMIFS('9'!$E:$E,'9'!$A:$A,Año_Inicial+11,'9'!$B:$B,'12'!AT$4,'9'!$D:$D,"Otro insumo 2*")</f>
        <v>0</v>
      </c>
      <c r="AV37" s="101">
        <f>((A12_A_L22*Otro2_A)+(A12_B_L22*Otro2_B)+(A12_C_L22*Otro2_C)+(A12_D_L22*Otro2_D)+(A12_Y_L22*Otro2_Y))*Inflación_12</f>
        <v>0</v>
      </c>
      <c r="AW37" s="101">
        <f>SUMIFS('9'!$E:$E,'9'!$A:$A,Año_Inicial+11,'9'!$B:$B,'12'!AV$4,'9'!$D:$D,"Otro insumo 2*")</f>
        <v>0</v>
      </c>
      <c r="AX37" s="101">
        <f>((A12_A_L23*Otro2_A)+(A12_B_L23*Otro2_B)+(A12_C_L23*Otro2_C)+(A12_D_L23*Otro2_D)+(A12_Y_L23*Otro2_Y))*Inflación_12</f>
        <v>0</v>
      </c>
      <c r="AY37" s="101">
        <f>SUMIFS('9'!$E:$E,'9'!$A:$A,Año_Inicial+11,'9'!$B:$B,'12'!AX$4,'9'!$D:$D,"Otro insumo 2*")</f>
        <v>0</v>
      </c>
      <c r="AZ37" s="101">
        <f>((A12_A_L24*Otro2_A)+(A12_B_L24*Otro2_B)+(A12_C_L24*Otro2_C)+(A12_D_L24*Otro2_D)+(A12_Y_L24*Otro2_Y))*Inflación_12</f>
        <v>0</v>
      </c>
      <c r="BA37" s="101">
        <f>SUMIFS('9'!$E:$E,'9'!$A:$A,Año_Inicial+11,'9'!$B:$B,'12'!AZ$4,'9'!$D:$D,"Otro insumo 2*")</f>
        <v>0</v>
      </c>
      <c r="BB37" s="101">
        <f>((A12_A_L25*Otro2_A)+(A12_B_L25*Otro2_B)+(A12_C_L25*Otro2_C)+(A12_D_L25*Otro2_D)+(A12_Y_L25*Otro2_Y))*Inflación_12</f>
        <v>0</v>
      </c>
      <c r="BC37" s="101">
        <f>SUMIFS('9'!$E:$E,'9'!$A:$A,Año_Inicial+11,'9'!$B:$B,'12'!BB$4,'9'!$D:$D,"Otro insumo 2*")</f>
        <v>0</v>
      </c>
      <c r="BD37" s="101">
        <f>((A12_A_L26*Otro2_A)+(A12_B_L26*Otro2_B)+(A12_C_L26*Otro2_C)+(A12_D_L26*Otro2_D)+(A12_Y_L26*Otro2_Y))*Inflación_12</f>
        <v>0</v>
      </c>
      <c r="BE37" s="101">
        <f>SUMIFS('9'!$E:$E,'9'!$A:$A,Año_Inicial+11,'9'!$B:$B,'12'!BD$4,'9'!$D:$D,"Otro insumo 2*")</f>
        <v>0</v>
      </c>
      <c r="BF37" s="101">
        <f>((A12_A_L27*Otro2_A)+(A12_B_L27*Otro2_B)+(A12_C_L27*Otro2_C)+(A12_D_L27*Otro2_D)+(A12_Y_L27*Otro2_Y))*Inflación_12</f>
        <v>0</v>
      </c>
      <c r="BG37" s="101">
        <f>SUMIFS('9'!$E:$E,'9'!$A:$A,Año_Inicial+11,'9'!$B:$B,'12'!BF$4,'9'!$D:$D,"Otro insumo 2*")</f>
        <v>0</v>
      </c>
      <c r="BH37" s="101">
        <f>((A12_A_L28*Otro2_A)+(A12_B_L28*Otro2_B)+(A12_C_L28*Otro2_C)+(A12_D_L28*Otro2_D)+(A12_Y_L28*Otro2_Y))*Inflación_12</f>
        <v>0</v>
      </c>
      <c r="BI37" s="101">
        <f>SUMIFS('9'!$E:$E,'9'!$A:$A,Año_Inicial+11,'9'!$B:$B,'12'!BH$4,'9'!$D:$D,"Otro insumo 2*")</f>
        <v>0</v>
      </c>
      <c r="BJ37" s="101">
        <f>((A12_A_L29*Otro2_A)+(A12_B_L29*Otro2_B)+(A12_C_L29*Otro2_C)+(A12_D_L29*Otro2_D)+(A12_Y_L29*Otro2_Y))*Inflación_12</f>
        <v>0</v>
      </c>
      <c r="BK37" s="101">
        <f>SUMIFS('9'!$E:$E,'9'!$A:$A,Año_Inicial+11,'9'!$B:$B,'12'!BJ$4,'9'!$D:$D,"Otro insumo 2*")</f>
        <v>0</v>
      </c>
      <c r="BL37" s="101">
        <f>((A12_A_L30*Otro2_A)+(A12_B_L30*Otro2_B)+(A12_C_L30*Otro2_C)+(A12_D_L30*Otro2_D)+(A12_Y_L30*Otro2_Y))*Inflación_12</f>
        <v>0</v>
      </c>
      <c r="BM37" s="101">
        <f>SUMIFS('9'!$E:$E,'9'!$A:$A,Año_Inicial+11,'9'!$B:$B,'12'!BL$4,'9'!$D:$D,"Otro insumo 2*")</f>
        <v>0</v>
      </c>
      <c r="BN37" s="101">
        <f>((A12_A_L31*Otro2_A)+(A12_B_L31*Otro2_B)+(A12_C_L31*Otro2_C)+(A12_D_L31*Otro2_D)+(A12_Y_L31*Otro2_Y))*Inflación_12</f>
        <v>0</v>
      </c>
      <c r="BO37" s="101">
        <f>SUMIFS('9'!$E:$E,'9'!$A:$A,Año_Inicial+11,'9'!$B:$B,'12'!BN$4,'9'!$D:$D,"Otro insumo 2*")</f>
        <v>0</v>
      </c>
      <c r="BP37" s="101">
        <f>((A12_A_L32*Otro2_A)+(A12_B_L32*Otro2_B)+(A12_C_L32*Otro2_C)+(A12_D_L32*Otro2_D)+(A12_Y_L32*Otro2_Y))*Inflación_12</f>
        <v>0</v>
      </c>
      <c r="BQ37" s="101">
        <f>SUMIFS('9'!$E:$E,'9'!$A:$A,Año_Inicial+11,'9'!$B:$B,'12'!BP$4,'9'!$D:$D,"Otro insumo 2*")</f>
        <v>0</v>
      </c>
      <c r="BR37" s="101">
        <f>((A12_A_L33*Otro2_A)+(A12_B_L33*Otro2_B)+(A12_C_L33*Otro2_C)+(A12_D_L33*Otro2_D)+(A12_Y_L33*Otro2_Y))*Inflación_12</f>
        <v>0</v>
      </c>
      <c r="BS37" s="101">
        <f>SUMIFS('9'!$E:$E,'9'!$A:$A,Año_Inicial+11,'9'!$B:$B,'12'!BR$4,'9'!$D:$D,"Otro insumo 2*")</f>
        <v>0</v>
      </c>
      <c r="BT37" s="101">
        <f>((A12_A_L34*Otro2_A)+(A12_B_L34*Otro2_B)+(A12_C_L34*Otro2_C)+(A12_D_L34*Otro2_D)+(A12_Y_L34*Otro2_Y))*Inflación_12</f>
        <v>0</v>
      </c>
      <c r="BU37" s="101">
        <f>SUMIFS('9'!$E:$E,'9'!$A:$A,Año_Inicial+11,'9'!$B:$B,'12'!BT$4,'9'!$D:$D,"Otro insumo 2*")</f>
        <v>0</v>
      </c>
      <c r="BV37" s="101">
        <f>((A12_A_L35*Otro2_A)+(A12_B_L35*Otro2_B)+(A12_C_L35*Otro2_C)+(A12_D_L35*Otro2_D)+(A12_Y_L35*Otro2_Y))*Inflación_12</f>
        <v>0</v>
      </c>
      <c r="BW37" s="101">
        <f>SUMIFS('9'!$E:$E,'9'!$A:$A,Año_Inicial+11,'9'!$B:$B,'12'!BV$4,'9'!$D:$D,"Otro insumo 2*")</f>
        <v>0</v>
      </c>
      <c r="BX37" s="101">
        <f>((A12_A_L36*Otro2_A)+(A12_B_L36*Otro2_B)+(A12_C_L36*Otro2_C)+(A12_D_L36*Otro2_D)+(A12_Y_L36*Otro2_Y))*Inflación_12</f>
        <v>0</v>
      </c>
      <c r="BY37" s="101">
        <f>SUMIFS('9'!$E:$E,'9'!$A:$A,Año_Inicial+11,'9'!$B:$B,'12'!BX$4,'9'!$D:$D,"Otro insumo 2*")</f>
        <v>0</v>
      </c>
      <c r="BZ37" s="101">
        <f>((A12_A_L37*Otro2_A)+(A12_B_L37*Otro2_B)+(A12_C_L37*Otro2_C)+(A12_D_L37*Otro2_D)+(A12_Y_L37*Otro2_Y))*Inflación_12</f>
        <v>0</v>
      </c>
      <c r="CA37" s="101">
        <f>SUMIFS('9'!$E:$E,'9'!$A:$A,Año_Inicial+11,'9'!$B:$B,'12'!BZ$4,'9'!$D:$D,"Otro insumo 2*")</f>
        <v>0</v>
      </c>
      <c r="CB37" s="101">
        <f>((A12_A_L38*Otro2_A)+(A12_B_L38*Otro2_B)+(A12_C_L38*Otro2_C)+(A12_D_L38*Otro2_D)+(A12_Y_L38*Otro2_Y))*Inflación_12</f>
        <v>0</v>
      </c>
      <c r="CC37" s="101">
        <f>SUMIFS('9'!$E:$E,'9'!$A:$A,Año_Inicial+11,'9'!$B:$B,'12'!CB$4,'9'!$D:$D,"Otro insumo 2*")</f>
        <v>0</v>
      </c>
      <c r="CD37" s="101">
        <f>((A12_A_L39*Otro2_A)+(A12_B_L39*Otro2_B)+(A12_C_L39*Otro2_C)+(A12_D_L39*Otro2_D)+(A12_Y_L39*Otro2_Y))*Inflación_12</f>
        <v>0</v>
      </c>
      <c r="CE37" s="101">
        <f>SUMIFS('9'!$E:$E,'9'!$A:$A,Año_Inicial+11,'9'!$B:$B,'12'!CD$4,'9'!$D:$D,"Otro insumo 2*")</f>
        <v>0</v>
      </c>
      <c r="CF37" s="101">
        <f>((A12_A_L40*Otro2_A)+(A12_B_L40*Otro2_B)+(A12_C_L40*Otro2_C)+(A12_D_L40*Otro2_D)+(A12_Y_L40*Otro2_Y))*Inflación_12</f>
        <v>0</v>
      </c>
      <c r="CG37" s="101">
        <f>SUMIFS('9'!$E:$E,'9'!$A:$A,Año_Inicial+11,'9'!$B:$B,'12'!CF$4,'9'!$D:$D,"Otro insumo 2*")</f>
        <v>0</v>
      </c>
      <c r="CH37" s="473"/>
      <c r="CI37" s="101">
        <f>Plantas_A_A12*Otro2_A*Inflación_12</f>
        <v>0</v>
      </c>
      <c r="CJ37" s="101">
        <f>Plantas_B_A12*Otro2_B</f>
        <v>0</v>
      </c>
      <c r="CK37" s="101">
        <f>Plantas_C_A12*Otro2_C</f>
        <v>0</v>
      </c>
      <c r="CL37" s="101">
        <f>Plantas_D_A12*Otro2_D</f>
        <v>0</v>
      </c>
      <c r="CM37" s="101"/>
      <c r="CN37" s="101">
        <f>Plantas_Y_A12*Otro2_Y</f>
        <v>0</v>
      </c>
      <c r="CO37" s="102">
        <v>0</v>
      </c>
    </row>
    <row r="38" spans="1:93" s="112" customFormat="1" ht="24" customHeight="1" x14ac:dyDescent="0.25">
      <c r="A38" s="111" t="str">
        <f>'2'!$A$13</f>
        <v xml:space="preserve">Otro 3: </v>
      </c>
      <c r="B38" s="100">
        <f t="shared" si="46"/>
        <v>0</v>
      </c>
      <c r="C38" s="101">
        <f>SUMIFS('9'!$E:$E,'9'!$A:$A,Año_Inicial+11,'9'!$D:$D,"Otro insumo 3*")</f>
        <v>0</v>
      </c>
      <c r="D38" s="100">
        <f t="shared" si="45"/>
        <v>0</v>
      </c>
      <c r="E38" s="473"/>
      <c r="F38" s="101">
        <f>((A12_A_L1*Otro3_A)+(A12_B_L1*Otro3_B)+(A12_C_L1*Otro3_C)+(A12_D_L1*Otro3_D)+(A12_Y_L1*Otro3_Y))*Inflación_12</f>
        <v>0</v>
      </c>
      <c r="G38" s="101">
        <f>SUMIFS('9'!$E:$E,'9'!$A:$A,Año_Inicial+11,'9'!$B:$B,'12'!F$4,'9'!$D:$D,"Otro insumo 3*")</f>
        <v>0</v>
      </c>
      <c r="H38" s="101">
        <f>((A12_A_L2*Otro3_A)+(A12_B_L2*Otro3_B)+(A12_C_L2*Otro3_C)+(A12_D_L2*Otro3_D)+(A12_Y_L2*Otro3_Y))*Inflación_12</f>
        <v>0</v>
      </c>
      <c r="I38" s="101">
        <f>SUMIFS('9'!$E:$E,'9'!$A:$A,Año_Inicial+11,'9'!$B:$B,'12'!H$4,'9'!$D:$D,"Otro insumo 3*")</f>
        <v>0</v>
      </c>
      <c r="J38" s="101">
        <f>((A12_A_L3*Otro3_A)+(A12_B_L3*Otro3_B)+(A12_C_L3*Otro3_C)+(A12_D_L3*Otro3_D)+(A12_Y_L3*Otro3_Y))*Inflación_12</f>
        <v>0</v>
      </c>
      <c r="K38" s="101">
        <f>SUMIFS('9'!$E:$E,'9'!$A:$A,Año_Inicial+11,'9'!$B:$B,'12'!J$4,'9'!$D:$D,"Otro insumo 3*")</f>
        <v>0</v>
      </c>
      <c r="L38" s="101">
        <f>((A12_A_L4*Otro3_A)+(A12_B_L4*Otro3_B)+(A12_C_L4*Otro3_C)+(A12_D_L4*Otro3_D)+(A12_Y_L4*Otro3_Y))*Inflación_12</f>
        <v>0</v>
      </c>
      <c r="M38" s="101">
        <f>SUMIFS('9'!$E:$E,'9'!$A:$A,Año_Inicial+11,'9'!$B:$B,'12'!L$4,'9'!$D:$D,"Otro insumo 3*")</f>
        <v>0</v>
      </c>
      <c r="N38" s="101">
        <f>((A12_A_L5*Otro3_A)+(A12_B_L5*Otro3_B)+(A12_C_L5*Otro3_C)+(A12_D_L5*Otro3_D)+(A12_Y_L5*Otro3_Y))*Inflación_12</f>
        <v>0</v>
      </c>
      <c r="O38" s="101">
        <f>SUMIFS('9'!$E:$E,'9'!$A:$A,Año_Inicial+11,'9'!$B:$B,'12'!N$4,'9'!$D:$D,"Otro insumo 3*")</f>
        <v>0</v>
      </c>
      <c r="P38" s="101">
        <f>((A12_A_L6*Otro3_A)+(A12_B_L6*Otro3_B)+(A12_C_L6*Otro3_C)+(A12_D_L6*Otro3_D)+(A12_Y_L6*Otro3_Y))*Inflación_12</f>
        <v>0</v>
      </c>
      <c r="Q38" s="101">
        <f>SUMIFS('9'!$E:$E,'9'!$A:$A,Año_Inicial+11,'9'!$B:$B,'12'!P$4,'9'!$D:$D,"Otro insumo 3*")</f>
        <v>0</v>
      </c>
      <c r="R38" s="101">
        <f>((A12_A_L7*Otro3_A)+(A12_B_L7*Otro3_B)+(A12_C_L7*Otro3_C)+(A12_D_L7*Otro3_D)+(A12_Y_L7*Otro3_Y))*Inflación_12</f>
        <v>0</v>
      </c>
      <c r="S38" s="101">
        <f>SUMIFS('9'!$E:$E,'9'!$A:$A,Año_Inicial+11,'9'!$B:$B,'12'!R$4,'9'!$D:$D,"Otro insumo 3*")</f>
        <v>0</v>
      </c>
      <c r="T38" s="101">
        <f>((A12_A_L8*Otro3_A)+(A12_B_L8*Otro3_B)+(A12_C_L8*Otro3_C)+(A12_D_L8*Otro3_D)+(A12_Y_L8*Otro3_Y))*Inflación_12</f>
        <v>0</v>
      </c>
      <c r="U38" s="101">
        <f>SUMIFS('9'!$E:$E,'9'!$A:$A,Año_Inicial+11,'9'!$B:$B,'12'!T$4,'9'!$D:$D,"Otro insumo 3*")</f>
        <v>0</v>
      </c>
      <c r="V38" s="101">
        <f>((A12_A_L9*Otro3_A)+(A12_B_L9*Otro3_B)+(A12_C_L9*Otro3_C)+(A12_D_L9*Otro3_D)+(A12_Y_L9*Otro3_Y))*Inflación_12</f>
        <v>0</v>
      </c>
      <c r="W38" s="101">
        <f>SUMIFS('9'!$E:$E,'9'!$A:$A,Año_Inicial+11,'9'!$B:$B,'12'!V$4,'9'!$D:$D,"Otro insumo 3*")</f>
        <v>0</v>
      </c>
      <c r="X38" s="101">
        <f>((A12_A_L10*Otro3_A)+(A12_B_L10*Otro3_B)+(A12_C_L10*Otro3_C)+(A12_D_L10*Otro3_D)+(A12_Y_L10*Otro3_Y))*Inflación_12</f>
        <v>0</v>
      </c>
      <c r="Y38" s="101">
        <f>SUMIFS('9'!$E:$E,'9'!$A:$A,Año_Inicial+11,'9'!$B:$B,'12'!X$4,'9'!$D:$D,"Otro insumo 3*")</f>
        <v>0</v>
      </c>
      <c r="Z38" s="101">
        <f>((A12_A_L11*Otro3_A)+(A12_B_L11*Otro3_B)+(A12_C_L11*Otro3_C)+(A12_D_L11*Otro3_D)+(A12_Y_L11*Otro3_Y))*Inflación_12</f>
        <v>0</v>
      </c>
      <c r="AA38" s="101">
        <f>SUMIFS('9'!$E:$E,'9'!$A:$A,Año_Inicial+11,'9'!$B:$B,'12'!Z$4,'9'!$D:$D,"Otro insumo 3*")</f>
        <v>0</v>
      </c>
      <c r="AB38" s="101">
        <f>((A12_A_L12*Otro3_A)+(A12_B_L12*Otro3_B)+(A12_C_L12*Otro3_C)+(A12_D_L12*Otro3_D)+(A12_Y_L12*Otro3_Y))*Inflación_12</f>
        <v>0</v>
      </c>
      <c r="AC38" s="101">
        <f>SUMIFS('9'!$E:$E,'9'!$A:$A,Año_Inicial+11,'9'!$B:$B,'12'!AB$4,'9'!$D:$D,"Otro insumo 3*")</f>
        <v>0</v>
      </c>
      <c r="AD38" s="101">
        <f>((A12_A_L13*Otro3_A)+(A12_B_L13*Otro3_B)+(A12_C_L13*Otro3_C)+(A12_D_L13*Otro3_D)+(A12_Y_L13*Otro3_Y))*Inflación_12</f>
        <v>0</v>
      </c>
      <c r="AE38" s="101">
        <f>SUMIFS('9'!$E:$E,'9'!$A:$A,Año_Inicial+11,'9'!$B:$B,'12'!AD$4,'9'!$D:$D,"Otro insumo 3*")</f>
        <v>0</v>
      </c>
      <c r="AF38" s="101">
        <f>((A12_A_L14*Otro3_A)+(A12_B_L14*Otro3_B)+(A12_C_L14*Otro3_C)+(A12_D_L14*Otro3_D)+(A12_Y_L14*Otro3_Y))*Inflación_12</f>
        <v>0</v>
      </c>
      <c r="AG38" s="101">
        <f>SUMIFS('9'!$E:$E,'9'!$A:$A,Año_Inicial+11,'9'!$B:$B,'12'!AF$4,'9'!$D:$D,"Otro insumo 3*")</f>
        <v>0</v>
      </c>
      <c r="AH38" s="101">
        <f>((A12_A_L15*Otro3_A)+(A12_B_L15*Otro3_B)+(A12_C_L15*Otro3_C)+(A12_D_L15*Otro3_D)+(A12_Y_L15*Otro3_Y))*Inflación_12</f>
        <v>0</v>
      </c>
      <c r="AI38" s="101">
        <f>SUMIFS('9'!$E:$E,'9'!$A:$A,Año_Inicial+11,'9'!$B:$B,'12'!AH$4,'9'!$D:$D,"Otro insumo 3*")</f>
        <v>0</v>
      </c>
      <c r="AJ38" s="101">
        <f>((A12_A_L16*Otro3_A)+(A12_B_L16*Otro3_B)+(A12_C_L16*Otro3_C)+(A12_D_L16*Otro3_D)+(A12_Y_L16*Otro3_Y))*Inflación_12</f>
        <v>0</v>
      </c>
      <c r="AK38" s="101">
        <f>SUMIFS('9'!$E:$E,'9'!$A:$A,Año_Inicial+11,'9'!$B:$B,'12'!AJ$4,'9'!$D:$D,"Otro insumo 3*")</f>
        <v>0</v>
      </c>
      <c r="AL38" s="101">
        <f>((A12_A_L17*Otro3_A)+(A12_B_L17*Otro3_B)+(A12_C_L17*Otro3_C)+(A12_D_L17*Otro3_D)+(A12_Y_L17*Otro3_Y))*Inflación_12</f>
        <v>0</v>
      </c>
      <c r="AM38" s="101">
        <f>SUMIFS('9'!$E:$E,'9'!$A:$A,Año_Inicial+11,'9'!$B:$B,'12'!AL$4,'9'!$D:$D,"Otro insumo 3*")</f>
        <v>0</v>
      </c>
      <c r="AN38" s="101">
        <f>((A12_A_L18*Otro3_A)+(A12_B_L18*Otro3_B)+(A12_C_L18*Otro3_C)+(A12_D_L18*Otro3_D)+(A12_Y_L18*Otro3_Y))*Inflación_12</f>
        <v>0</v>
      </c>
      <c r="AO38" s="101">
        <f>SUMIFS('9'!$E:$E,'9'!$A:$A,Año_Inicial+11,'9'!$B:$B,'12'!AN$4,'9'!$D:$D,"Otro insumo 3*")</f>
        <v>0</v>
      </c>
      <c r="AP38" s="101">
        <f>((A12_A_L19*Otro3_A)+(A12_B_L19*Otro3_B)+(A12_C_L19*Otro3_C)+(A12_D_L19*Otro3_D)+(A12_Y_L19*Otro3_Y))*Inflación_12</f>
        <v>0</v>
      </c>
      <c r="AQ38" s="101">
        <f>SUMIFS('9'!$E:$E,'9'!$A:$A,Año_Inicial+11,'9'!$B:$B,'12'!AP$4,'9'!$D:$D,"Otro insumo 3*")</f>
        <v>0</v>
      </c>
      <c r="AR38" s="101">
        <f>((A12_A_L20*Otro3_A)+(A12_B_L20*Otro3_B)+(A12_C_L20*Otro3_C)+(A12_D_L20*Otro3_D)+(A12_Y_L20*Otro3_Y))*Inflación_12</f>
        <v>0</v>
      </c>
      <c r="AS38" s="101">
        <f>SUMIFS('9'!$E:$E,'9'!$A:$A,Año_Inicial+11,'9'!$B:$B,'12'!AR$4,'9'!$D:$D,"Otro insumo 3*")</f>
        <v>0</v>
      </c>
      <c r="AT38" s="101">
        <f>((A12_A_L21*Otro3_A)+(A12_B_L21*Otro3_B)+(A12_C_L21*Otro3_C)+(A12_D_L21*Otro3_D)+(A12_Y_L21*Otro3_Y))*Inflación_12</f>
        <v>0</v>
      </c>
      <c r="AU38" s="101">
        <f>SUMIFS('9'!$E:$E,'9'!$A:$A,Año_Inicial+11,'9'!$B:$B,'12'!AT$4,'9'!$D:$D,"Otro insumo 3*")</f>
        <v>0</v>
      </c>
      <c r="AV38" s="101">
        <f>((A12_A_L22*Otro3_A)+(A12_B_L22*Otro3_B)+(A12_C_L22*Otro3_C)+(A12_D_L22*Otro3_D)+(A12_Y_L22*Otro3_Y))*Inflación_12</f>
        <v>0</v>
      </c>
      <c r="AW38" s="101">
        <f>SUMIFS('9'!$E:$E,'9'!$A:$A,Año_Inicial+11,'9'!$B:$B,'12'!AV$4,'9'!$D:$D,"Otro insumo 3*")</f>
        <v>0</v>
      </c>
      <c r="AX38" s="101">
        <f>((A12_A_L23*Otro3_A)+(A12_B_L23*Otro3_B)+(A12_C_L23*Otro3_C)+(A12_D_L23*Otro3_D)+(A12_Y_L23*Otro3_Y))*Inflación_12</f>
        <v>0</v>
      </c>
      <c r="AY38" s="101">
        <f>SUMIFS('9'!$E:$E,'9'!$A:$A,Año_Inicial+11,'9'!$B:$B,'12'!AX$4,'9'!$D:$D,"Otro insumo 3*")</f>
        <v>0</v>
      </c>
      <c r="AZ38" s="101">
        <f>((A12_A_L24*Otro3_A)+(A12_B_L24*Otro3_B)+(A12_C_L24*Otro3_C)+(A12_D_L24*Otro3_D)+(A12_Y_L24*Otro3_Y))*Inflación_12</f>
        <v>0</v>
      </c>
      <c r="BA38" s="101">
        <f>SUMIFS('9'!$E:$E,'9'!$A:$A,Año_Inicial+11,'9'!$B:$B,'12'!AZ$4,'9'!$D:$D,"Otro insumo 3*")</f>
        <v>0</v>
      </c>
      <c r="BB38" s="101">
        <f>((A12_A_L25*Otro3_A)+(A12_B_L25*Otro3_B)+(A12_C_L25*Otro3_C)+(A12_D_L25*Otro3_D)+(A12_Y_L25*Otro3_Y))*Inflación_12</f>
        <v>0</v>
      </c>
      <c r="BC38" s="101">
        <f>SUMIFS('9'!$E:$E,'9'!$A:$A,Año_Inicial+11,'9'!$B:$B,'12'!BB$4,'9'!$D:$D,"Otro insumo 3*")</f>
        <v>0</v>
      </c>
      <c r="BD38" s="101">
        <f>((A12_A_L26*Otro3_A)+(A12_B_L26*Otro3_B)+(A12_C_L26*Otro3_C)+(A12_D_L26*Otro3_D)+(A12_Y_L26*Otro3_Y))*Inflación_12</f>
        <v>0</v>
      </c>
      <c r="BE38" s="101">
        <f>SUMIFS('9'!$E:$E,'9'!$A:$A,Año_Inicial+11,'9'!$B:$B,'12'!BD$4,'9'!$D:$D,"Otro insumo 3*")</f>
        <v>0</v>
      </c>
      <c r="BF38" s="101">
        <f>((A12_A_L27*Otro3_A)+(A12_B_L27*Otro3_B)+(A12_C_L27*Otro3_C)+(A12_D_L27*Otro3_D)+(A12_Y_L27*Otro3_Y))*Inflación_12</f>
        <v>0</v>
      </c>
      <c r="BG38" s="101">
        <f>SUMIFS('9'!$E:$E,'9'!$A:$A,Año_Inicial+11,'9'!$B:$B,'12'!BF$4,'9'!$D:$D,"Otro insumo 3*")</f>
        <v>0</v>
      </c>
      <c r="BH38" s="101">
        <f>((A12_A_L28*Otro3_A)+(A12_B_L28*Otro3_B)+(A12_C_L28*Otro3_C)+(A12_D_L28*Otro3_D)+(A12_Y_L28*Otro3_Y))*Inflación_12</f>
        <v>0</v>
      </c>
      <c r="BI38" s="101">
        <f>SUMIFS('9'!$E:$E,'9'!$A:$A,Año_Inicial+11,'9'!$B:$B,'12'!BH$4,'9'!$D:$D,"Otro insumo 3*")</f>
        <v>0</v>
      </c>
      <c r="BJ38" s="101">
        <f>((A12_A_L29*Otro3_A)+(A12_B_L29*Otro3_B)+(A12_C_L29*Otro3_C)+(A12_D_L29*Otro3_D)+(A12_Y_L29*Otro3_Y))*Inflación_12</f>
        <v>0</v>
      </c>
      <c r="BK38" s="101">
        <f>SUMIFS('9'!$E:$E,'9'!$A:$A,Año_Inicial+11,'9'!$B:$B,'12'!BJ$4,'9'!$D:$D,"Otro insumo 3*")</f>
        <v>0</v>
      </c>
      <c r="BL38" s="101">
        <f>((A12_A_L30*Otro3_A)+(A12_B_L30*Otro3_B)+(A12_C_L30*Otro3_C)+(A12_D_L30*Otro3_D)+(A12_Y_L30*Otro3_Y))*Inflación_12</f>
        <v>0</v>
      </c>
      <c r="BM38" s="101">
        <f>SUMIFS('9'!$E:$E,'9'!$A:$A,Año_Inicial+11,'9'!$B:$B,'12'!BL$4,'9'!$D:$D,"Otro insumo 3*")</f>
        <v>0</v>
      </c>
      <c r="BN38" s="101">
        <f>((A12_A_L31*Otro3_A)+(A12_B_L31*Otro3_B)+(A12_C_L31*Otro3_C)+(A12_D_L31*Otro3_D)+(A12_Y_L31*Otro3_Y))*Inflación_12</f>
        <v>0</v>
      </c>
      <c r="BO38" s="101">
        <f>SUMIFS('9'!$E:$E,'9'!$A:$A,Año_Inicial+11,'9'!$B:$B,'12'!BN$4,'9'!$D:$D,"Otro insumo 3*")</f>
        <v>0</v>
      </c>
      <c r="BP38" s="101">
        <f>((A12_A_L32*Otro3_A)+(A12_B_L32*Otro3_B)+(A12_C_L32*Otro3_C)+(A12_D_L32*Otro3_D)+(A12_Y_L32*Otro3_Y))*Inflación_12</f>
        <v>0</v>
      </c>
      <c r="BQ38" s="101">
        <f>SUMIFS('9'!$E:$E,'9'!$A:$A,Año_Inicial+11,'9'!$B:$B,'12'!BP$4,'9'!$D:$D,"Otro insumo 3*")</f>
        <v>0</v>
      </c>
      <c r="BR38" s="101">
        <f>((A12_A_L33*Otro3_A)+(A12_B_L33*Otro3_B)+(A12_C_L33*Otro3_C)+(A12_D_L33*Otro3_D)+(A12_Y_L33*Otro3_Y))*Inflación_12</f>
        <v>0</v>
      </c>
      <c r="BS38" s="101">
        <f>SUMIFS('9'!$E:$E,'9'!$A:$A,Año_Inicial+11,'9'!$B:$B,'12'!BR$4,'9'!$D:$D,"Otro insumo 3*")</f>
        <v>0</v>
      </c>
      <c r="BT38" s="101">
        <f>((A12_A_L34*Otro3_A)+(A12_B_L34*Otro3_B)+(A12_C_L34*Otro3_C)+(A12_D_L34*Otro3_D)+(A12_Y_L34*Otro3_Y))*Inflación_12</f>
        <v>0</v>
      </c>
      <c r="BU38" s="101">
        <f>SUMIFS('9'!$E:$E,'9'!$A:$A,Año_Inicial+11,'9'!$B:$B,'12'!BT$4,'9'!$D:$D,"Otro insumo 3*")</f>
        <v>0</v>
      </c>
      <c r="BV38" s="101">
        <f>((A12_A_L35*Otro3_A)+(A12_B_L35*Otro3_B)+(A12_C_L35*Otro3_C)+(A12_D_L35*Otro3_D)+(A12_Y_L35*Otro3_Y))*Inflación_12</f>
        <v>0</v>
      </c>
      <c r="BW38" s="101">
        <f>SUMIFS('9'!$E:$E,'9'!$A:$A,Año_Inicial+11,'9'!$B:$B,'12'!BV$4,'9'!$D:$D,"Otro insumo 3*")</f>
        <v>0</v>
      </c>
      <c r="BX38" s="101">
        <f>((A12_A_L36*Otro3_A)+(A12_B_L36*Otro3_B)+(A12_C_L36*Otro3_C)+(A12_D_L36*Otro3_D)+(A12_Y_L36*Otro3_Y))*Inflación_12</f>
        <v>0</v>
      </c>
      <c r="BY38" s="101">
        <f>SUMIFS('9'!$E:$E,'9'!$A:$A,Año_Inicial+11,'9'!$B:$B,'12'!BX$4,'9'!$D:$D,"Otro insumo 3*")</f>
        <v>0</v>
      </c>
      <c r="BZ38" s="101">
        <f>((A12_A_L37*Otro3_A)+(A12_B_L37*Otro3_B)+(A12_C_L37*Otro3_C)+(A12_D_L37*Otro3_D)+(A12_Y_L37*Otro3_Y))*Inflación_12</f>
        <v>0</v>
      </c>
      <c r="CA38" s="101">
        <f>SUMIFS('9'!$E:$E,'9'!$A:$A,Año_Inicial+11,'9'!$B:$B,'12'!BZ$4,'9'!$D:$D,"Otro insumo 3*")</f>
        <v>0</v>
      </c>
      <c r="CB38" s="101">
        <f>((A12_A_L38*Otro3_A)+(A12_B_L38*Otro3_B)+(A12_C_L38*Otro3_C)+(A12_D_L38*Otro3_D)+(A12_Y_L38*Otro3_Y))*Inflación_12</f>
        <v>0</v>
      </c>
      <c r="CC38" s="101">
        <f>SUMIFS('9'!$E:$E,'9'!$A:$A,Año_Inicial+11,'9'!$B:$B,'12'!CB$4,'9'!$D:$D,"Otro insumo 3*")</f>
        <v>0</v>
      </c>
      <c r="CD38" s="101">
        <f>((A12_A_L39*Otro3_A)+(A12_B_L39*Otro3_B)+(A12_C_L39*Otro3_C)+(A12_D_L39*Otro3_D)+(A12_Y_L39*Otro3_Y))*Inflación_12</f>
        <v>0</v>
      </c>
      <c r="CE38" s="101">
        <f>SUMIFS('9'!$E:$E,'9'!$A:$A,Año_Inicial+11,'9'!$B:$B,'12'!CD$4,'9'!$D:$D,"Otro insumo 3*")</f>
        <v>0</v>
      </c>
      <c r="CF38" s="101">
        <f>((A12_A_L40*Otro3_A)+(A12_B_L40*Otro3_B)+(A12_C_L40*Otro3_C)+(A12_D_L40*Otro3_D)+(A12_Y_L40*Otro3_Y))*Inflación_12</f>
        <v>0</v>
      </c>
      <c r="CG38" s="101">
        <f>SUMIFS('9'!$E:$E,'9'!$A:$A,Año_Inicial+11,'9'!$B:$B,'12'!CF$4,'9'!$D:$D,"Otro insumo 3*")</f>
        <v>0</v>
      </c>
      <c r="CH38" s="473"/>
      <c r="CI38" s="101">
        <f>Plantas_A_A12*Otro3_A*Inflación_12</f>
        <v>0</v>
      </c>
      <c r="CJ38" s="101">
        <f>Plantas_B_A12*Otro3_B</f>
        <v>0</v>
      </c>
      <c r="CK38" s="101">
        <f>Plantas_C_A12*Otro3_C</f>
        <v>0</v>
      </c>
      <c r="CL38" s="101">
        <f>Plantas_D_A12*Otro3_D</f>
        <v>0</v>
      </c>
      <c r="CM38" s="101"/>
      <c r="CN38" s="101">
        <f>Plantas_Y_A12*Otro3_Y</f>
        <v>0</v>
      </c>
      <c r="CO38" s="102">
        <v>0</v>
      </c>
    </row>
    <row r="39" spans="1:93" s="112" customFormat="1" ht="24" customHeight="1" x14ac:dyDescent="0.3">
      <c r="A39" s="106" t="s">
        <v>4562</v>
      </c>
      <c r="B39" s="100"/>
      <c r="C39" s="101"/>
      <c r="D39" s="100"/>
      <c r="E39" s="473"/>
      <c r="F39" s="101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  <c r="AA39" s="101"/>
      <c r="AB39" s="101"/>
      <c r="AC39" s="101"/>
      <c r="AD39" s="101"/>
      <c r="AE39" s="101"/>
      <c r="AF39" s="101"/>
      <c r="AG39" s="101"/>
      <c r="AH39" s="101"/>
      <c r="AI39" s="101"/>
      <c r="AJ39" s="101"/>
      <c r="AK39" s="101"/>
      <c r="AL39" s="101"/>
      <c r="AM39" s="101"/>
      <c r="AN39" s="101"/>
      <c r="AO39" s="101"/>
      <c r="AP39" s="101"/>
      <c r="AQ39" s="101"/>
      <c r="AR39" s="101"/>
      <c r="AS39" s="101"/>
      <c r="AT39" s="101"/>
      <c r="AU39" s="101"/>
      <c r="AV39" s="101"/>
      <c r="AW39" s="101"/>
      <c r="AX39" s="101"/>
      <c r="AY39" s="101"/>
      <c r="AZ39" s="101"/>
      <c r="BA39" s="101"/>
      <c r="BB39" s="101"/>
      <c r="BC39" s="101"/>
      <c r="BD39" s="101"/>
      <c r="BE39" s="101"/>
      <c r="BF39" s="101"/>
      <c r="BG39" s="101"/>
      <c r="BH39" s="101"/>
      <c r="BI39" s="101"/>
      <c r="BJ39" s="101"/>
      <c r="BK39" s="101"/>
      <c r="BL39" s="101"/>
      <c r="BM39" s="101"/>
      <c r="BN39" s="101"/>
      <c r="BO39" s="101"/>
      <c r="BP39" s="101"/>
      <c r="BQ39" s="101"/>
      <c r="BR39" s="101"/>
      <c r="BS39" s="101"/>
      <c r="BT39" s="101"/>
      <c r="BU39" s="101"/>
      <c r="BV39" s="101"/>
      <c r="BW39" s="101"/>
      <c r="BX39" s="101"/>
      <c r="BY39" s="101"/>
      <c r="BZ39" s="101"/>
      <c r="CA39" s="101"/>
      <c r="CB39" s="101"/>
      <c r="CC39" s="101"/>
      <c r="CD39" s="101"/>
      <c r="CE39" s="101"/>
      <c r="CF39" s="101"/>
      <c r="CG39" s="101"/>
      <c r="CH39" s="473"/>
      <c r="CI39" s="101"/>
      <c r="CJ39" s="101"/>
      <c r="CK39" s="101"/>
      <c r="CL39" s="101"/>
      <c r="CM39" s="101"/>
      <c r="CN39" s="101"/>
      <c r="CO39" s="102"/>
    </row>
    <row r="40" spans="1:93" s="112" customFormat="1" ht="24" customHeight="1" x14ac:dyDescent="0.25">
      <c r="A40" s="111" t="s">
        <v>4563</v>
      </c>
      <c r="B40" s="100">
        <f t="shared" si="46"/>
        <v>0</v>
      </c>
      <c r="C40" s="101">
        <f>SUMIFS('9'!$E:$E,'9'!$A:$A,Año_Inicial+11,'9'!$D:$D,"Corte")</f>
        <v>0</v>
      </c>
      <c r="D40" s="100">
        <f t="shared" si="45"/>
        <v>0</v>
      </c>
      <c r="E40" s="473"/>
      <c r="F40" s="101">
        <f>P_A12_L1*CUI_Corte*Inflación_12</f>
        <v>0</v>
      </c>
      <c r="G40" s="101">
        <f>SUMIFS('9'!$E:$E,'9'!$A:$A,Año_Inicial+11,'9'!$B:$B,'12'!F$4,'9'!$D:$D,"Corte")</f>
        <v>0</v>
      </c>
      <c r="H40" s="101">
        <f>P_A12_L2*CUI_Corte*Inflación_12</f>
        <v>0</v>
      </c>
      <c r="I40" s="101">
        <f>SUMIFS('9'!$E:$E,'9'!$A:$A,Año_Inicial+11,'9'!$B:$B,'12'!H$4,'9'!$D:$D,"Corte")</f>
        <v>0</v>
      </c>
      <c r="J40" s="101">
        <f>P_A12_L3*CUI_Corte*Inflación_12</f>
        <v>0</v>
      </c>
      <c r="K40" s="101">
        <f>SUMIFS('9'!$E:$E,'9'!$A:$A,Año_Inicial+11,'9'!$B:$B,'12'!J$4,'9'!$D:$D,"Corte")</f>
        <v>0</v>
      </c>
      <c r="L40" s="101">
        <f>P_A12_L4*CUI_Corte*Inflación_12</f>
        <v>0</v>
      </c>
      <c r="M40" s="101">
        <f>SUMIFS('9'!$E:$E,'9'!$A:$A,Año_Inicial+11,'9'!$B:$B,'12'!L$4,'9'!$D:$D,"Corte")</f>
        <v>0</v>
      </c>
      <c r="N40" s="101">
        <f>P_A12_L5*CUI_Corte*Inflación_12</f>
        <v>0</v>
      </c>
      <c r="O40" s="101">
        <f>SUMIFS('9'!$E:$E,'9'!$A:$A,Año_Inicial+11,'9'!$B:$B,'12'!N$4,'9'!$D:$D,"Corte")</f>
        <v>0</v>
      </c>
      <c r="P40" s="101">
        <f>P_A12_L6*CUI_Corte*Inflación_12</f>
        <v>0</v>
      </c>
      <c r="Q40" s="101">
        <f>SUMIFS('9'!$E:$E,'9'!$A:$A,Año_Inicial+11,'9'!$B:$B,'12'!P$4,'9'!$D:$D,"Corte")</f>
        <v>0</v>
      </c>
      <c r="R40" s="101">
        <f>P_A12_L7*CUI_Corte*Inflación_12</f>
        <v>0</v>
      </c>
      <c r="S40" s="101">
        <f>SUMIFS('9'!$E:$E,'9'!$A:$A,Año_Inicial+11,'9'!$B:$B,'12'!R$4,'9'!$D:$D,"Corte")</f>
        <v>0</v>
      </c>
      <c r="T40" s="101">
        <f>P_A12_L8*CUI_Corte*Inflación_12</f>
        <v>0</v>
      </c>
      <c r="U40" s="101">
        <f>SUMIFS('9'!$E:$E,'9'!$A:$A,Año_Inicial+11,'9'!$B:$B,'12'!T$4,'9'!$D:$D,"Corte")</f>
        <v>0</v>
      </c>
      <c r="V40" s="101">
        <f>P_A12_L9*CUI_Corte*Inflación_12</f>
        <v>0</v>
      </c>
      <c r="W40" s="101">
        <f>SUMIFS('9'!$E:$E,'9'!$A:$A,Año_Inicial+11,'9'!$B:$B,'12'!V$4,'9'!$D:$D,"Corte")</f>
        <v>0</v>
      </c>
      <c r="X40" s="101">
        <f>P_A12_L10*CUI_Corte*Inflación_12</f>
        <v>0</v>
      </c>
      <c r="Y40" s="101">
        <f>SUMIFS('9'!$E:$E,'9'!$A:$A,Año_Inicial+11,'9'!$B:$B,'12'!X$4,'9'!$D:$D,"Corte")</f>
        <v>0</v>
      </c>
      <c r="Z40" s="101">
        <f>P_A12_L11*CUI_Corte*Inflación_12</f>
        <v>0</v>
      </c>
      <c r="AA40" s="101">
        <f>SUMIFS('9'!$E:$E,'9'!$A:$A,Año_Inicial+11,'9'!$B:$B,'12'!Z$4,'9'!$D:$D,"Corte")</f>
        <v>0</v>
      </c>
      <c r="AB40" s="101">
        <f>P_A12_L12*CUI_Corte*Inflación_12</f>
        <v>0</v>
      </c>
      <c r="AC40" s="101">
        <f>SUMIFS('9'!$E:$E,'9'!$A:$A,Año_Inicial+11,'9'!$B:$B,'12'!AB$4,'9'!$D:$D,"Corte")</f>
        <v>0</v>
      </c>
      <c r="AD40" s="101">
        <f>P_A12_L13*CUI_Corte*Inflación_12</f>
        <v>0</v>
      </c>
      <c r="AE40" s="101">
        <f>SUMIFS('9'!$E:$E,'9'!$A:$A,Año_Inicial+11,'9'!$B:$B,'12'!AD$4,'9'!$D:$D,"Corte")</f>
        <v>0</v>
      </c>
      <c r="AF40" s="101">
        <f>P_A12_L14*CUI_Corte*Inflación_12</f>
        <v>0</v>
      </c>
      <c r="AG40" s="101">
        <f>SUMIFS('9'!$E:$E,'9'!$A:$A,Año_Inicial+11,'9'!$B:$B,'12'!AF$4,'9'!$D:$D,"Corte")</f>
        <v>0</v>
      </c>
      <c r="AH40" s="101">
        <f>P_A12_L15*CUI_Corte*Inflación_12</f>
        <v>0</v>
      </c>
      <c r="AI40" s="101">
        <f>SUMIFS('9'!$E:$E,'9'!$A:$A,Año_Inicial+11,'9'!$B:$B,'12'!AH$4,'9'!$D:$D,"Corte")</f>
        <v>0</v>
      </c>
      <c r="AJ40" s="101">
        <f>P_A12_L16*CUI_Corte*Inflación_12</f>
        <v>0</v>
      </c>
      <c r="AK40" s="101">
        <f>SUMIFS('9'!$E:$E,'9'!$A:$A,Año_Inicial+11,'9'!$B:$B,'12'!AJ$4,'9'!$D:$D,"Corte")</f>
        <v>0</v>
      </c>
      <c r="AL40" s="101">
        <f>P_A12_L17*CUI_Corte*Inflación_12</f>
        <v>0</v>
      </c>
      <c r="AM40" s="101">
        <f>SUMIFS('9'!$E:$E,'9'!$A:$A,Año_Inicial+11,'9'!$B:$B,'12'!AL$4,'9'!$D:$D,"Corte")</f>
        <v>0</v>
      </c>
      <c r="AN40" s="101">
        <f>P_A12_L18*CUI_Corte*Inflación_12</f>
        <v>0</v>
      </c>
      <c r="AO40" s="101">
        <f>SUMIFS('9'!$E:$E,'9'!$A:$A,Año_Inicial+11,'9'!$B:$B,'12'!AN$4,'9'!$D:$D,"Corte")</f>
        <v>0</v>
      </c>
      <c r="AP40" s="101">
        <f>P_A12_L19*CUI_Corte*Inflación_12</f>
        <v>0</v>
      </c>
      <c r="AQ40" s="101">
        <f>SUMIFS('9'!$E:$E,'9'!$A:$A,Año_Inicial+11,'9'!$B:$B,'12'!AP$4,'9'!$D:$D,"Corte")</f>
        <v>0</v>
      </c>
      <c r="AR40" s="101">
        <f>P_A12_L20*CUI_Corte*Inflación_12</f>
        <v>0</v>
      </c>
      <c r="AS40" s="101">
        <f>SUMIFS('9'!$E:$E,'9'!$A:$A,Año_Inicial+11,'9'!$B:$B,'12'!AR$4,'9'!$D:$D,"Corte")</f>
        <v>0</v>
      </c>
      <c r="AT40" s="101">
        <f>P_A12_L21*CUI_Corte*Inflación_12</f>
        <v>0</v>
      </c>
      <c r="AU40" s="101">
        <f>SUMIFS('9'!$E:$E,'9'!$A:$A,Año_Inicial+11,'9'!$B:$B,'12'!AT$4,'9'!$D:$D,"Corte")</f>
        <v>0</v>
      </c>
      <c r="AV40" s="101">
        <f>P_A12_L22*CUI_Corte*Inflación_12</f>
        <v>0</v>
      </c>
      <c r="AW40" s="101">
        <f>SUMIFS('9'!$E:$E,'9'!$A:$A,Año_Inicial+11,'9'!$B:$B,'12'!AV$4,'9'!$D:$D,"Corte")</f>
        <v>0</v>
      </c>
      <c r="AX40" s="101">
        <f>P_A12_L23*CUI_Corte*Inflación_12</f>
        <v>0</v>
      </c>
      <c r="AY40" s="101">
        <f>SUMIFS('9'!$E:$E,'9'!$A:$A,Año_Inicial+11,'9'!$B:$B,'12'!AX$4,'9'!$D:$D,"Corte")</f>
        <v>0</v>
      </c>
      <c r="AZ40" s="101">
        <f>P_A12_L24*CUI_Corte*Inflación_12</f>
        <v>0</v>
      </c>
      <c r="BA40" s="101">
        <f>SUMIFS('9'!$E:$E,'9'!$A:$A,Año_Inicial+11,'9'!$B:$B,'12'!AZ$4,'9'!$D:$D,"Corte")</f>
        <v>0</v>
      </c>
      <c r="BB40" s="101">
        <f>P_A12_L25*CUI_Corte*Inflación_12</f>
        <v>0</v>
      </c>
      <c r="BC40" s="101">
        <f>SUMIFS('9'!$E:$E,'9'!$A:$A,Año_Inicial+11,'9'!$B:$B,'12'!BB$4,'9'!$D:$D,"Corte")</f>
        <v>0</v>
      </c>
      <c r="BD40" s="101">
        <f>P_A12_L26*CUI_Corte*Inflación_12</f>
        <v>0</v>
      </c>
      <c r="BE40" s="101">
        <f>SUMIFS('9'!$E:$E,'9'!$A:$A,Año_Inicial+11,'9'!$B:$B,'12'!BD$4,'9'!$D:$D,"Corte")</f>
        <v>0</v>
      </c>
      <c r="BF40" s="101">
        <f>P_A12_L27*CUI_Corte*Inflación_12</f>
        <v>0</v>
      </c>
      <c r="BG40" s="101">
        <f>SUMIFS('9'!$E:$E,'9'!$A:$A,Año_Inicial+11,'9'!$B:$B,'12'!BF$4,'9'!$D:$D,"Corte")</f>
        <v>0</v>
      </c>
      <c r="BH40" s="101">
        <f>P_A12_L28*CUI_Corte*Inflación_12</f>
        <v>0</v>
      </c>
      <c r="BI40" s="101">
        <f>SUMIFS('9'!$E:$E,'9'!$A:$A,Año_Inicial+11,'9'!$B:$B,'12'!BH$4,'9'!$D:$D,"Corte")</f>
        <v>0</v>
      </c>
      <c r="BJ40" s="101">
        <f>P_A12_L29*CUI_Corte*Inflación_12</f>
        <v>0</v>
      </c>
      <c r="BK40" s="101">
        <f>SUMIFS('9'!$E:$E,'9'!$A:$A,Año_Inicial+11,'9'!$B:$B,'12'!BJ$4,'9'!$D:$D,"Corte")</f>
        <v>0</v>
      </c>
      <c r="BL40" s="101">
        <f>P_A12_L30*CUI_Corte*Inflación_12</f>
        <v>0</v>
      </c>
      <c r="BM40" s="101">
        <f>SUMIFS('9'!$E:$E,'9'!$A:$A,Año_Inicial+11,'9'!$B:$B,'12'!BL$4,'9'!$D:$D,"Corte")</f>
        <v>0</v>
      </c>
      <c r="BN40" s="101">
        <f>P_A12_L31*CUI_Corte*Inflación_12</f>
        <v>0</v>
      </c>
      <c r="BO40" s="101">
        <f>SUMIFS('9'!$E:$E,'9'!$A:$A,Año_Inicial+11,'9'!$B:$B,'12'!BN$4,'9'!$D:$D,"Corte")</f>
        <v>0</v>
      </c>
      <c r="BP40" s="101">
        <f>P_A12_L32*CUI_Corte*Inflación_12</f>
        <v>0</v>
      </c>
      <c r="BQ40" s="101">
        <f>SUMIFS('9'!$E:$E,'9'!$A:$A,Año_Inicial+11,'9'!$B:$B,'12'!BP$4,'9'!$D:$D,"Corte")</f>
        <v>0</v>
      </c>
      <c r="BR40" s="101">
        <f>P_A12_L33*CUI_Corte*Inflación_12</f>
        <v>0</v>
      </c>
      <c r="BS40" s="101">
        <f>SUMIFS('9'!$E:$E,'9'!$A:$A,Año_Inicial+11,'9'!$B:$B,'12'!BR$4,'9'!$D:$D,"Corte")</f>
        <v>0</v>
      </c>
      <c r="BT40" s="101">
        <f>P_A12_L34*CUI_Corte*Inflación_12</f>
        <v>0</v>
      </c>
      <c r="BU40" s="101">
        <f>SUMIFS('9'!$E:$E,'9'!$A:$A,Año_Inicial+11,'9'!$B:$B,'12'!BT$4,'9'!$D:$D,"Corte")</f>
        <v>0</v>
      </c>
      <c r="BV40" s="101">
        <f>P_A12_L35*CUI_Corte*Inflación_12</f>
        <v>0</v>
      </c>
      <c r="BW40" s="101">
        <f>SUMIFS('9'!$E:$E,'9'!$A:$A,Año_Inicial+11,'9'!$B:$B,'12'!BV$4,'9'!$D:$D,"Corte")</f>
        <v>0</v>
      </c>
      <c r="BX40" s="101">
        <f>P_A12_L36*CUI_Corte*Inflación_12</f>
        <v>0</v>
      </c>
      <c r="BY40" s="101">
        <f>SUMIFS('9'!$E:$E,'9'!$A:$A,Año_Inicial+11,'9'!$B:$B,'12'!BX$4,'9'!$D:$D,"Corte")</f>
        <v>0</v>
      </c>
      <c r="BZ40" s="101">
        <f>P_A12_L37*CUI_Corte*Inflación_12</f>
        <v>0</v>
      </c>
      <c r="CA40" s="101">
        <f>SUMIFS('9'!$E:$E,'9'!$A:$A,Año_Inicial+11,'9'!$B:$B,'12'!BZ$4,'9'!$D:$D,"Corte")</f>
        <v>0</v>
      </c>
      <c r="CB40" s="101">
        <f>P_A12_L38*CUI_Corte*Inflación_12</f>
        <v>0</v>
      </c>
      <c r="CC40" s="101">
        <f>SUMIFS('9'!$E:$E,'9'!$A:$A,Año_Inicial+11,'9'!$B:$B,'12'!CB$4,'9'!$D:$D,"Corte")</f>
        <v>0</v>
      </c>
      <c r="CD40" s="101">
        <f>P_A12_L39*CUI_Corte*Inflación_12</f>
        <v>0</v>
      </c>
      <c r="CE40" s="101">
        <f>SUMIFS('9'!$E:$E,'9'!$A:$A,Año_Inicial+11,'9'!$B:$B,'12'!CD$4,'9'!$D:$D,"Corte")</f>
        <v>0</v>
      </c>
      <c r="CF40" s="101">
        <f>P_A12_L40*CUI_Corte*Inflación_12</f>
        <v>0</v>
      </c>
      <c r="CG40" s="101">
        <f>SUMIFS('9'!$E:$E,'9'!$A:$A,Año_Inicial+11,'9'!$B:$B,'12'!CF$4,'9'!$D:$D,"Corte")</f>
        <v>0</v>
      </c>
      <c r="CH40" s="473"/>
      <c r="CI40" s="101">
        <f>CI7*CUI_Corte*Inflación_12</f>
        <v>0</v>
      </c>
      <c r="CJ40" s="101">
        <f>CJ7*CUI_Corte</f>
        <v>0</v>
      </c>
      <c r="CK40" s="101">
        <f>CK7*CUI_Corte</f>
        <v>0</v>
      </c>
      <c r="CL40" s="101">
        <f>CL7*CUI_Corte</f>
        <v>0</v>
      </c>
      <c r="CM40" s="101"/>
      <c r="CN40" s="101">
        <f>CN7*CUI_Corte</f>
        <v>0</v>
      </c>
      <c r="CO40" s="102">
        <v>0</v>
      </c>
    </row>
    <row r="41" spans="1:93" s="112" customFormat="1" ht="24" customHeight="1" x14ac:dyDescent="0.25">
      <c r="A41" s="111" t="s">
        <v>4564</v>
      </c>
      <c r="B41" s="100" t="e">
        <f>SUM(CI41:CN41)</f>
        <v>#DIV/0!</v>
      </c>
      <c r="C41" s="101">
        <f>SUMIFS('9'!$E:$E,'9'!$A:$A,Año_Inicial+11,'9'!$D:$D,"Beneficiado")</f>
        <v>0</v>
      </c>
      <c r="D41" s="100" t="e">
        <f t="shared" si="45"/>
        <v>#DIV/0!</v>
      </c>
      <c r="E41" s="473"/>
      <c r="F41" s="101">
        <f>(P_A12_L1/5)*CUI_Poscosecha*Inflación_12</f>
        <v>0</v>
      </c>
      <c r="G41" s="101">
        <f>SUMIFS('9'!$E:$E,'9'!$A:$A,Año_Inicial+11,'9'!$B:$B,'12'!F$4,'9'!$D:$D,"Beneficiado")</f>
        <v>0</v>
      </c>
      <c r="H41" s="101">
        <f>(P_A12_L2/5)*CUI_Poscosecha*Inflación_12</f>
        <v>0</v>
      </c>
      <c r="I41" s="101">
        <f>SUMIFS('9'!$E:$E,'9'!$A:$A,Año_Inicial+11,'9'!$B:$B,'12'!H$4,'9'!$D:$D,"Beneficiado")</f>
        <v>0</v>
      </c>
      <c r="J41" s="101">
        <f>(P_A12_L3/5)*CUI_Poscosecha*Inflación_12</f>
        <v>0</v>
      </c>
      <c r="K41" s="101">
        <f>SUMIFS('9'!$E:$E,'9'!$A:$A,Año_Inicial+11,'9'!$B:$B,'12'!J$4,'9'!$D:$D,"Beneficiado")</f>
        <v>0</v>
      </c>
      <c r="L41" s="101">
        <f>(P_A12_L4/5)*CUI_Poscosecha*Inflación_12</f>
        <v>0</v>
      </c>
      <c r="M41" s="101">
        <f>SUMIFS('9'!$E:$E,'9'!$A:$A,Año_Inicial+11,'9'!$B:$B,'12'!L$4,'9'!$D:$D,"Beneficiado")</f>
        <v>0</v>
      </c>
      <c r="N41" s="101">
        <f>(P_A12_L5/5)*CUI_Poscosecha*Inflación_12</f>
        <v>0</v>
      </c>
      <c r="O41" s="101">
        <f>SUMIFS('9'!$E:$E,'9'!$A:$A,Año_Inicial+11,'9'!$B:$B,'12'!N$4,'9'!$D:$D,"Beneficiado")</f>
        <v>0</v>
      </c>
      <c r="P41" s="101">
        <f>(P_A12_L6/5)*CUI_Poscosecha*Inflación_12</f>
        <v>0</v>
      </c>
      <c r="Q41" s="101">
        <f>SUMIFS('9'!$E:$E,'9'!$A:$A,Año_Inicial+11,'9'!$B:$B,'12'!P$4,'9'!$D:$D,"Beneficiado")</f>
        <v>0</v>
      </c>
      <c r="R41" s="101">
        <f>(P_A12_L7/5)*CUI_Poscosecha*Inflación_12</f>
        <v>0</v>
      </c>
      <c r="S41" s="101">
        <f>SUMIFS('9'!$E:$E,'9'!$A:$A,Año_Inicial+11,'9'!$B:$B,'12'!R$4,'9'!$D:$D,"Beneficiado")</f>
        <v>0</v>
      </c>
      <c r="T41" s="101">
        <f>(P_A12_L8/5)*CUI_Poscosecha*Inflación_12</f>
        <v>0</v>
      </c>
      <c r="U41" s="101">
        <f>SUMIFS('9'!$E:$E,'9'!$A:$A,Año_Inicial+11,'9'!$B:$B,'12'!T$4,'9'!$D:$D,"Beneficiado")</f>
        <v>0</v>
      </c>
      <c r="V41" s="101">
        <f>(P_A12_L9/5)*CUI_Poscosecha*Inflación_12</f>
        <v>0</v>
      </c>
      <c r="W41" s="101">
        <f>SUMIFS('9'!$E:$E,'9'!$A:$A,Año_Inicial+11,'9'!$B:$B,'12'!V$4,'9'!$D:$D,"Beneficiado")</f>
        <v>0</v>
      </c>
      <c r="X41" s="101">
        <f>(P_A12_L10/5)*CUI_Poscosecha*Inflación_12</f>
        <v>0</v>
      </c>
      <c r="Y41" s="101">
        <f>SUMIFS('9'!$E:$E,'9'!$A:$A,Año_Inicial+11,'9'!$B:$B,'12'!X$4,'9'!$D:$D,"Beneficiado")</f>
        <v>0</v>
      </c>
      <c r="Z41" s="101">
        <f>(P_A12_L11/5)*CUI_Poscosecha*Inflación_12</f>
        <v>0</v>
      </c>
      <c r="AA41" s="101">
        <f>SUMIFS('9'!$E:$E,'9'!$A:$A,Año_Inicial+11,'9'!$B:$B,'12'!Z$4,'9'!$D:$D,"Beneficiado")</f>
        <v>0</v>
      </c>
      <c r="AB41" s="101">
        <f>(P_A12_L12/5)*CUI_Poscosecha*Inflación_12</f>
        <v>0</v>
      </c>
      <c r="AC41" s="101">
        <f>SUMIFS('9'!$E:$E,'9'!$A:$A,Año_Inicial+11,'9'!$B:$B,'12'!AB$4,'9'!$D:$D,"Beneficiado")</f>
        <v>0</v>
      </c>
      <c r="AD41" s="101">
        <f>(P_A12_L13/5)*CUI_Poscosecha*Inflación_12</f>
        <v>0</v>
      </c>
      <c r="AE41" s="101">
        <f>SUMIFS('9'!$E:$E,'9'!$A:$A,Año_Inicial+11,'9'!$B:$B,'12'!AD$4,'9'!$D:$D,"Beneficiado")</f>
        <v>0</v>
      </c>
      <c r="AF41" s="101">
        <f>(P_A12_L14/5)*CUI_Poscosecha*Inflación_12</f>
        <v>0</v>
      </c>
      <c r="AG41" s="101">
        <f>SUMIFS('9'!$E:$E,'9'!$A:$A,Año_Inicial+11,'9'!$B:$B,'12'!AF$4,'9'!$D:$D,"Beneficiado")</f>
        <v>0</v>
      </c>
      <c r="AH41" s="101">
        <f>(P_A12_L15/5)*CUI_Poscosecha*Inflación_12</f>
        <v>0</v>
      </c>
      <c r="AI41" s="101">
        <f>SUMIFS('9'!$E:$E,'9'!$A:$A,Año_Inicial+11,'9'!$B:$B,'12'!AH$4,'9'!$D:$D,"Beneficiado")</f>
        <v>0</v>
      </c>
      <c r="AJ41" s="101">
        <f>(P_A12_L16/5)*CUI_Poscosecha*Inflación_12</f>
        <v>0</v>
      </c>
      <c r="AK41" s="101">
        <f>SUMIFS('9'!$E:$E,'9'!$A:$A,Año_Inicial+11,'9'!$B:$B,'12'!AJ$4,'9'!$D:$D,"Beneficiado")</f>
        <v>0</v>
      </c>
      <c r="AL41" s="101">
        <f>(P_A12_L17/5)*CUI_Poscosecha*Inflación_12</f>
        <v>0</v>
      </c>
      <c r="AM41" s="101">
        <f>SUMIFS('9'!$E:$E,'9'!$A:$A,Año_Inicial+11,'9'!$B:$B,'12'!AL$4,'9'!$D:$D,"Beneficiado")</f>
        <v>0</v>
      </c>
      <c r="AN41" s="101">
        <f>(P_A12_L18/5)*CUI_Poscosecha*Inflación_12</f>
        <v>0</v>
      </c>
      <c r="AO41" s="101">
        <f>SUMIFS('9'!$E:$E,'9'!$A:$A,Año_Inicial+11,'9'!$B:$B,'12'!AN$4,'9'!$D:$D,"Beneficiado")</f>
        <v>0</v>
      </c>
      <c r="AP41" s="101">
        <f>(P_A12_L19/5)*CUI_Poscosecha*Inflación_12</f>
        <v>0</v>
      </c>
      <c r="AQ41" s="101">
        <f>SUMIFS('9'!$E:$E,'9'!$A:$A,Año_Inicial+11,'9'!$B:$B,'12'!AP$4,'9'!$D:$D,"Beneficiado")</f>
        <v>0</v>
      </c>
      <c r="AR41" s="101">
        <f>(P_A12_L20/5)*CUI_Poscosecha*Inflación_12</f>
        <v>0</v>
      </c>
      <c r="AS41" s="101">
        <f>SUMIFS('9'!$E:$E,'9'!$A:$A,Año_Inicial+11,'9'!$B:$B,'12'!AR$4,'9'!$D:$D,"Beneficiado")</f>
        <v>0</v>
      </c>
      <c r="AT41" s="101">
        <f>(P_A12_L21/5)*CUI_Poscosecha*Inflación_12</f>
        <v>0</v>
      </c>
      <c r="AU41" s="101">
        <f>SUMIFS('9'!$E:$E,'9'!$A:$A,Año_Inicial+11,'9'!$B:$B,'12'!AT$4,'9'!$D:$D,"Beneficiado")</f>
        <v>0</v>
      </c>
      <c r="AV41" s="101">
        <f>(P_A12_L22/5)*CUI_Poscosecha*Inflación_12</f>
        <v>0</v>
      </c>
      <c r="AW41" s="101">
        <f>SUMIFS('9'!$E:$E,'9'!$A:$A,Año_Inicial+11,'9'!$B:$B,'12'!AV$4,'9'!$D:$D,"Beneficiado")</f>
        <v>0</v>
      </c>
      <c r="AX41" s="101">
        <f>(P_A12_L23/5)*CUI_Poscosecha*Inflación_12</f>
        <v>0</v>
      </c>
      <c r="AY41" s="101">
        <f>SUMIFS('9'!$E:$E,'9'!$A:$A,Año_Inicial+11,'9'!$B:$B,'12'!AX$4,'9'!$D:$D,"Beneficiado")</f>
        <v>0</v>
      </c>
      <c r="AZ41" s="101">
        <f>(P_A12_L24/5)*CUI_Poscosecha*Inflación_12</f>
        <v>0</v>
      </c>
      <c r="BA41" s="101">
        <f>SUMIFS('9'!$E:$E,'9'!$A:$A,Año_Inicial+11,'9'!$B:$B,'12'!AZ$4,'9'!$D:$D,"Beneficiado")</f>
        <v>0</v>
      </c>
      <c r="BB41" s="101">
        <f>(P_A12_L25/5)*CUI_Poscosecha*Inflación_12</f>
        <v>0</v>
      </c>
      <c r="BC41" s="101">
        <f>SUMIFS('9'!$E:$E,'9'!$A:$A,Año_Inicial+11,'9'!$B:$B,'12'!BB$4,'9'!$D:$D,"Beneficiado")</f>
        <v>0</v>
      </c>
      <c r="BD41" s="101">
        <f>(P_A12_L26/5)*CUI_Poscosecha*Inflación_12</f>
        <v>0</v>
      </c>
      <c r="BE41" s="101">
        <f>SUMIFS('9'!$E:$E,'9'!$A:$A,Año_Inicial+11,'9'!$B:$B,'12'!BD$4,'9'!$D:$D,"Beneficiado")</f>
        <v>0</v>
      </c>
      <c r="BF41" s="101">
        <f>(P_A12_L27/5)*CUI_Poscosecha*Inflación_12</f>
        <v>0</v>
      </c>
      <c r="BG41" s="101">
        <f>SUMIFS('9'!$E:$E,'9'!$A:$A,Año_Inicial+11,'9'!$B:$B,'12'!BF$4,'9'!$D:$D,"Beneficiado")</f>
        <v>0</v>
      </c>
      <c r="BH41" s="101">
        <f>(P_A12_L28/5)*CUI_Poscosecha*Inflación_12</f>
        <v>0</v>
      </c>
      <c r="BI41" s="101">
        <f>SUMIFS('9'!$E:$E,'9'!$A:$A,Año_Inicial+11,'9'!$B:$B,'12'!BH$4,'9'!$D:$D,"Beneficiado")</f>
        <v>0</v>
      </c>
      <c r="BJ41" s="101">
        <f>(P_A12_L29/5)*CUI_Poscosecha*Inflación_12</f>
        <v>0</v>
      </c>
      <c r="BK41" s="101">
        <f>SUMIFS('9'!$E:$E,'9'!$A:$A,Año_Inicial+11,'9'!$B:$B,'12'!BJ$4,'9'!$D:$D,"Beneficiado")</f>
        <v>0</v>
      </c>
      <c r="BL41" s="101">
        <f>(P_A12_L30/5)*CUI_Poscosecha*Inflación_12</f>
        <v>0</v>
      </c>
      <c r="BM41" s="101">
        <f>SUMIFS('9'!$E:$E,'9'!$A:$A,Año_Inicial+11,'9'!$B:$B,'12'!BL$4,'9'!$D:$D,"Beneficiado")</f>
        <v>0</v>
      </c>
      <c r="BN41" s="101">
        <f>(P_A12_L31/5)*CUI_Poscosecha*Inflación_12</f>
        <v>0</v>
      </c>
      <c r="BO41" s="101">
        <f>SUMIFS('9'!$E:$E,'9'!$A:$A,Año_Inicial+11,'9'!$B:$B,'12'!BN$4,'9'!$D:$D,"Beneficiado")</f>
        <v>0</v>
      </c>
      <c r="BP41" s="101">
        <f>(P_A12_L32/5)*CUI_Poscosecha*Inflación_12</f>
        <v>0</v>
      </c>
      <c r="BQ41" s="101">
        <f>SUMIFS('9'!$E:$E,'9'!$A:$A,Año_Inicial+11,'9'!$B:$B,'12'!BP$4,'9'!$D:$D,"Beneficiado")</f>
        <v>0</v>
      </c>
      <c r="BR41" s="101">
        <f>(P_A12_L33/5)*CUI_Poscosecha*Inflación_12</f>
        <v>0</v>
      </c>
      <c r="BS41" s="101">
        <f>SUMIFS('9'!$E:$E,'9'!$A:$A,Año_Inicial+11,'9'!$B:$B,'12'!BR$4,'9'!$D:$D,"Beneficiado")</f>
        <v>0</v>
      </c>
      <c r="BT41" s="101">
        <f>(P_A12_L34/5)*CUI_Poscosecha*Inflación_12</f>
        <v>0</v>
      </c>
      <c r="BU41" s="101">
        <f>SUMIFS('9'!$E:$E,'9'!$A:$A,Año_Inicial+11,'9'!$B:$B,'12'!BT$4,'9'!$D:$D,"Beneficiado")</f>
        <v>0</v>
      </c>
      <c r="BV41" s="101">
        <f>(P_A12_L35/5)*CUI_Poscosecha*Inflación_12</f>
        <v>0</v>
      </c>
      <c r="BW41" s="101">
        <f>SUMIFS('9'!$E:$E,'9'!$A:$A,Año_Inicial+11,'9'!$B:$B,'12'!BV$4,'9'!$D:$D,"Beneficiado")</f>
        <v>0</v>
      </c>
      <c r="BX41" s="101">
        <f>(P_A12_L36/5)*CUI_Poscosecha*Inflación_12</f>
        <v>0</v>
      </c>
      <c r="BY41" s="101">
        <f>SUMIFS('9'!$E:$E,'9'!$A:$A,Año_Inicial+11,'9'!$B:$B,'12'!BX$4,'9'!$D:$D,"Beneficiado")</f>
        <v>0</v>
      </c>
      <c r="BZ41" s="101">
        <f>(P_A12_L37/5)*CUI_Poscosecha*Inflación_12</f>
        <v>0</v>
      </c>
      <c r="CA41" s="101">
        <f>SUMIFS('9'!$E:$E,'9'!$A:$A,Año_Inicial+11,'9'!$B:$B,'12'!BZ$4,'9'!$D:$D,"Beneficiado")</f>
        <v>0</v>
      </c>
      <c r="CB41" s="101">
        <f>(P_A12_L38/5)*CUI_Poscosecha*Inflación_12</f>
        <v>0</v>
      </c>
      <c r="CC41" s="101">
        <f>SUMIFS('9'!$E:$E,'9'!$A:$A,Año_Inicial+11,'9'!$B:$B,'12'!CB$4,'9'!$D:$D,"Beneficiado")</f>
        <v>0</v>
      </c>
      <c r="CD41" s="101">
        <f>(P_A12_L39/5)*CUI_Poscosecha*Inflación_12</f>
        <v>0</v>
      </c>
      <c r="CE41" s="101">
        <f>SUMIFS('9'!$E:$E,'9'!$A:$A,Año_Inicial+11,'9'!$B:$B,'12'!CD$4,'9'!$D:$D,"Beneficiado")</f>
        <v>0</v>
      </c>
      <c r="CF41" s="101">
        <f>(P_A12_L40/5)*CUI_Poscosecha*Inflación_12</f>
        <v>0</v>
      </c>
      <c r="CG41" s="101">
        <f>SUMIFS('9'!$E:$E,'9'!$A:$A,Año_Inicial+11,'9'!$B:$B,'12'!CF$4,'9'!$D:$D,"Beneficiado")</f>
        <v>0</v>
      </c>
      <c r="CH41" s="473"/>
      <c r="CI41" s="101" t="e">
        <f>(CI7/Pergo)*CUI_Poscosecha*Inflación_12</f>
        <v>#DIV/0!</v>
      </c>
      <c r="CJ41" s="101" t="e">
        <f>(CJ7/Pergo)*CUI_Poscosecha</f>
        <v>#DIV/0!</v>
      </c>
      <c r="CK41" s="101" t="e">
        <f>(CK7/Pergo)*CUI_Poscosecha</f>
        <v>#DIV/0!</v>
      </c>
      <c r="CL41" s="101" t="e">
        <f>(CL7/Pergo)*CUI_Poscosecha</f>
        <v>#DIV/0!</v>
      </c>
      <c r="CM41" s="101"/>
      <c r="CN41" s="101" t="e">
        <f>(CN7/Pergo)*CUI_Poscosecha</f>
        <v>#DIV/0!</v>
      </c>
      <c r="CO41" s="102">
        <v>0</v>
      </c>
    </row>
    <row r="42" spans="1:93" s="115" customFormat="1" ht="23.1" customHeight="1" x14ac:dyDescent="0.3">
      <c r="A42" s="114" t="s">
        <v>4565</v>
      </c>
      <c r="B42" s="100"/>
      <c r="C42" s="101"/>
      <c r="D42" s="100"/>
      <c r="E42" s="473"/>
      <c r="F42" s="101"/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  <c r="AA42" s="101"/>
      <c r="AB42" s="101"/>
      <c r="AC42" s="101"/>
      <c r="AD42" s="101"/>
      <c r="AE42" s="101"/>
      <c r="AF42" s="101"/>
      <c r="AG42" s="101"/>
      <c r="AH42" s="101"/>
      <c r="AI42" s="101"/>
      <c r="AJ42" s="101"/>
      <c r="AK42" s="101"/>
      <c r="AL42" s="101"/>
      <c r="AM42" s="101"/>
      <c r="AN42" s="101"/>
      <c r="AO42" s="101"/>
      <c r="AP42" s="101"/>
      <c r="AQ42" s="101"/>
      <c r="AR42" s="101"/>
      <c r="AS42" s="101"/>
      <c r="AT42" s="101"/>
      <c r="AU42" s="101"/>
      <c r="AV42" s="101"/>
      <c r="AW42" s="101"/>
      <c r="AX42" s="101"/>
      <c r="AY42" s="101"/>
      <c r="AZ42" s="101"/>
      <c r="BA42" s="101"/>
      <c r="BB42" s="101"/>
      <c r="BC42" s="101"/>
      <c r="BD42" s="101"/>
      <c r="BE42" s="101"/>
      <c r="BF42" s="101"/>
      <c r="BG42" s="101"/>
      <c r="BH42" s="101"/>
      <c r="BI42" s="101"/>
      <c r="BJ42" s="101"/>
      <c r="BK42" s="101"/>
      <c r="BL42" s="101"/>
      <c r="BM42" s="101"/>
      <c r="BN42" s="101"/>
      <c r="BO42" s="101"/>
      <c r="BP42" s="101"/>
      <c r="BQ42" s="101"/>
      <c r="BR42" s="101"/>
      <c r="BS42" s="101"/>
      <c r="BT42" s="101"/>
      <c r="BU42" s="101"/>
      <c r="BV42" s="101"/>
      <c r="BW42" s="101"/>
      <c r="BX42" s="101"/>
      <c r="BY42" s="101"/>
      <c r="BZ42" s="101"/>
      <c r="CA42" s="101"/>
      <c r="CB42" s="101"/>
      <c r="CC42" s="101"/>
      <c r="CD42" s="101"/>
      <c r="CE42" s="101"/>
      <c r="CF42" s="101"/>
      <c r="CG42" s="101"/>
      <c r="CH42" s="473"/>
      <c r="CI42" s="101"/>
      <c r="CJ42" s="101"/>
      <c r="CK42" s="101"/>
      <c r="CL42" s="101"/>
      <c r="CM42" s="101"/>
      <c r="CN42" s="101"/>
      <c r="CO42" s="102"/>
    </row>
    <row r="43" spans="1:93" s="115" customFormat="1" ht="23.1" customHeight="1" x14ac:dyDescent="0.3">
      <c r="A43" s="111" t="s">
        <v>35</v>
      </c>
      <c r="B43" s="100">
        <f>CM43</f>
        <v>0</v>
      </c>
      <c r="C43" s="101">
        <f>SUMIFS('9'!$E:$E,'9'!$A:$A,Año_Inicial+11,'9'!$C:$C,"Renovación")</f>
        <v>0</v>
      </c>
      <c r="D43" s="100">
        <f t="shared" si="45"/>
        <v>0</v>
      </c>
      <c r="E43" s="473"/>
      <c r="F43" s="101">
        <f>A12_Z_L1*Planta_Z*Inflación_12</f>
        <v>0</v>
      </c>
      <c r="G43" s="101">
        <f>SUMIFS('9'!$E:$E,'9'!$A:$A,Año_Inicial+11,'9'!$B:$B,'12'!F$4,'9'!$C:$C,"Renovación")</f>
        <v>0</v>
      </c>
      <c r="H43" s="101">
        <f>A12_Z_L2*Planta_Z*Inflación_12</f>
        <v>0</v>
      </c>
      <c r="I43" s="101">
        <f>SUMIFS('9'!$E:$E,'9'!$A:$A,Año_Inicial+11,'9'!$B:$B,'12'!H$4,'9'!$C:$C,"Renovación")</f>
        <v>0</v>
      </c>
      <c r="J43" s="101">
        <f>A12_Z_L3*Planta_Z*Inflación_12</f>
        <v>0</v>
      </c>
      <c r="K43" s="101">
        <f>SUMIFS('9'!$E:$E,'9'!$A:$A,Año_Inicial+11,'9'!$B:$B,'12'!J$4,'9'!$C:$C,"Renovación")</f>
        <v>0</v>
      </c>
      <c r="L43" s="101">
        <f>A12_Z_L4*Planta_Z*Inflación_12</f>
        <v>0</v>
      </c>
      <c r="M43" s="101">
        <f>SUMIFS('9'!$E:$E,'9'!$A:$A,Año_Inicial+11,'9'!$B:$B,'12'!L$4,'9'!$C:$C,"Renovación")</f>
        <v>0</v>
      </c>
      <c r="N43" s="101">
        <f>A12_Z_L5*Planta_Z*Inflación_12</f>
        <v>0</v>
      </c>
      <c r="O43" s="101">
        <f>SUMIFS('9'!$E:$E,'9'!$A:$A,Año_Inicial+11,'9'!$B:$B,'12'!N$4,'9'!$C:$C,"Renovación")</f>
        <v>0</v>
      </c>
      <c r="P43" s="101">
        <f>A12_Z_L6*Planta_Z*Inflación_12</f>
        <v>0</v>
      </c>
      <c r="Q43" s="101">
        <f>SUMIFS('9'!$E:$E,'9'!$A:$A,Año_Inicial+11,'9'!$B:$B,'12'!P$4,'9'!$C:$C,"Renovación")</f>
        <v>0</v>
      </c>
      <c r="R43" s="101">
        <f>A12_Z_L7*Planta_Z*Inflación_12</f>
        <v>0</v>
      </c>
      <c r="S43" s="101">
        <f>SUMIFS('9'!$E:$E,'9'!$A:$A,Año_Inicial+11,'9'!$B:$B,'12'!R$4,'9'!$C:$C,"Renovación")</f>
        <v>0</v>
      </c>
      <c r="T43" s="101">
        <f>A12_Z_L8*Planta_Z*Inflación_12</f>
        <v>0</v>
      </c>
      <c r="U43" s="101">
        <f>SUMIFS('9'!$E:$E,'9'!$A:$A,Año_Inicial+11,'9'!$B:$B,'12'!T$4,'9'!$C:$C,"Renovación")</f>
        <v>0</v>
      </c>
      <c r="V43" s="101">
        <f>A12_Z_L9*Planta_Z*Inflación_12</f>
        <v>0</v>
      </c>
      <c r="W43" s="101">
        <f>SUMIFS('9'!$E:$E,'9'!$A:$A,Año_Inicial+11,'9'!$B:$B,'12'!V$4,'9'!$C:$C,"Renovación")</f>
        <v>0</v>
      </c>
      <c r="X43" s="101">
        <f>A12_Z_L10*Planta_Z*Inflación_12</f>
        <v>0</v>
      </c>
      <c r="Y43" s="101">
        <f>SUMIFS('9'!$E:$E,'9'!$A:$A,Año_Inicial+11,'9'!$B:$B,'12'!X$4,'9'!$C:$C,"Renovación")</f>
        <v>0</v>
      </c>
      <c r="Z43" s="101">
        <f>A12_Z_L11*Planta_Z*Inflación_12</f>
        <v>0</v>
      </c>
      <c r="AA43" s="101">
        <f>SUMIFS('9'!$E:$E,'9'!$A:$A,Año_Inicial+11,'9'!$B:$B,'12'!Z$4,'9'!$C:$C,"Renovación")</f>
        <v>0</v>
      </c>
      <c r="AB43" s="101">
        <f>A12_Z_L12*Planta_Z*Inflación_12</f>
        <v>0</v>
      </c>
      <c r="AC43" s="101">
        <f>SUMIFS('9'!$E:$E,'9'!$A:$A,Año_Inicial+11,'9'!$B:$B,'12'!AB$4,'9'!$C:$C,"Renovación")</f>
        <v>0</v>
      </c>
      <c r="AD43" s="101">
        <f>A12_Z_L13*Planta_Z*Inflación_12</f>
        <v>0</v>
      </c>
      <c r="AE43" s="101">
        <f>SUMIFS('9'!$E:$E,'9'!$A:$A,Año_Inicial+11,'9'!$B:$B,'12'!AD$4,'9'!$C:$C,"Renovación")</f>
        <v>0</v>
      </c>
      <c r="AF43" s="101">
        <f>A12_Z_L14*Planta_Z*Inflación_12</f>
        <v>0</v>
      </c>
      <c r="AG43" s="101">
        <f>SUMIFS('9'!$E:$E,'9'!$A:$A,Año_Inicial+11,'9'!$B:$B,'12'!AF$4,'9'!$C:$C,"Renovación")</f>
        <v>0</v>
      </c>
      <c r="AH43" s="101">
        <f>A12_Z_L15*Planta_Z*Inflación_12</f>
        <v>0</v>
      </c>
      <c r="AI43" s="101">
        <f>SUMIFS('9'!$E:$E,'9'!$A:$A,Año_Inicial+11,'9'!$B:$B,'12'!AH$4,'9'!$C:$C,"Renovación")</f>
        <v>0</v>
      </c>
      <c r="AJ43" s="101">
        <f>A12_Z_L16*Planta_Z*Inflación_12</f>
        <v>0</v>
      </c>
      <c r="AK43" s="101">
        <f>SUMIFS('9'!$E:$E,'9'!$A:$A,Año_Inicial+11,'9'!$B:$B,'12'!AJ$4,'9'!$C:$C,"Renovación")</f>
        <v>0</v>
      </c>
      <c r="AL43" s="101">
        <f>A12_Z_L17*Planta_Z*Inflación_12</f>
        <v>0</v>
      </c>
      <c r="AM43" s="101">
        <f>SUMIFS('9'!$E:$E,'9'!$A:$A,Año_Inicial+11,'9'!$B:$B,'12'!AL$4,'9'!$C:$C,"Renovación")</f>
        <v>0</v>
      </c>
      <c r="AN43" s="101">
        <f>A12_Z_L18*Planta_Z*Inflación_12</f>
        <v>0</v>
      </c>
      <c r="AO43" s="101">
        <f>SUMIFS('9'!$E:$E,'9'!$A:$A,Año_Inicial+11,'9'!$B:$B,'12'!AN$4,'9'!$C:$C,"Renovación")</f>
        <v>0</v>
      </c>
      <c r="AP43" s="101">
        <f>A12_Z_L19*Planta_Z*Inflación_12</f>
        <v>0</v>
      </c>
      <c r="AQ43" s="101">
        <f>SUMIFS('9'!$E:$E,'9'!$A:$A,Año_Inicial+11,'9'!$B:$B,'12'!AP$4,'9'!$C:$C,"Renovación")</f>
        <v>0</v>
      </c>
      <c r="AR43" s="101">
        <f>A12_Z_L20*Planta_Z*Inflación_12</f>
        <v>0</v>
      </c>
      <c r="AS43" s="101">
        <f>SUMIFS('9'!$E:$E,'9'!$A:$A,Año_Inicial+11,'9'!$B:$B,'12'!AR$4,'9'!$C:$C,"Renovación")</f>
        <v>0</v>
      </c>
      <c r="AT43" s="101">
        <f>A12_Z_L21*Planta_Z*Inflación_12</f>
        <v>0</v>
      </c>
      <c r="AU43" s="101">
        <f>SUMIFS('9'!$E:$E,'9'!$A:$A,Año_Inicial+11,'9'!$B:$B,'12'!AT$4,'9'!$C:$C,"Renovación")</f>
        <v>0</v>
      </c>
      <c r="AV43" s="101">
        <f>A12_Z_L22*Planta_Z*Inflación_12</f>
        <v>0</v>
      </c>
      <c r="AW43" s="101">
        <f>SUMIFS('9'!$E:$E,'9'!$A:$A,Año_Inicial+11,'9'!$B:$B,'12'!AV$4,'9'!$C:$C,"Renovación")</f>
        <v>0</v>
      </c>
      <c r="AX43" s="101">
        <f>A12_Z_L23*Planta_Z*Inflación_12</f>
        <v>0</v>
      </c>
      <c r="AY43" s="101">
        <f>SUMIFS('9'!$E:$E,'9'!$A:$A,Año_Inicial+11,'9'!$B:$B,'12'!AX$4,'9'!$C:$C,"Renovación")</f>
        <v>0</v>
      </c>
      <c r="AZ43" s="101">
        <f>A12_Z_L24*Planta_Z*Inflación_12</f>
        <v>0</v>
      </c>
      <c r="BA43" s="101">
        <f>SUMIFS('9'!$E:$E,'9'!$A:$A,Año_Inicial+11,'9'!$B:$B,'12'!AZ$4,'9'!$C:$C,"Renovación")</f>
        <v>0</v>
      </c>
      <c r="BB43" s="101">
        <f>A12_Z_L25*Planta_Z*Inflación_12</f>
        <v>0</v>
      </c>
      <c r="BC43" s="101">
        <f>SUMIFS('9'!$E:$E,'9'!$A:$A,Año_Inicial+11,'9'!$B:$B,'12'!BB$4,'9'!$C:$C,"Renovación")</f>
        <v>0</v>
      </c>
      <c r="BD43" s="101">
        <f>A12_Z_L26*Planta_Z*Inflación_12</f>
        <v>0</v>
      </c>
      <c r="BE43" s="101">
        <f>SUMIFS('9'!$E:$E,'9'!$A:$A,Año_Inicial+11,'9'!$B:$B,'12'!BD$4,'9'!$C:$C,"Renovación")</f>
        <v>0</v>
      </c>
      <c r="BF43" s="101">
        <f>A12_Z_L27*Planta_Z*Inflación_12</f>
        <v>0</v>
      </c>
      <c r="BG43" s="101">
        <f>SUMIFS('9'!$E:$E,'9'!$A:$A,Año_Inicial+11,'9'!$B:$B,'12'!BF$4,'9'!$C:$C,"Renovación")</f>
        <v>0</v>
      </c>
      <c r="BH43" s="101">
        <f>A12_Z_L28*Planta_Z*Inflación_12</f>
        <v>0</v>
      </c>
      <c r="BI43" s="101">
        <f>SUMIFS('9'!$E:$E,'9'!$A:$A,Año_Inicial+11,'9'!$B:$B,'12'!BH$4,'9'!$C:$C,"Renovación")</f>
        <v>0</v>
      </c>
      <c r="BJ43" s="101">
        <f>A12_Z_L29*Planta_Z*Inflación_12</f>
        <v>0</v>
      </c>
      <c r="BK43" s="101">
        <f>SUMIFS('9'!$E:$E,'9'!$A:$A,Año_Inicial+11,'9'!$B:$B,'12'!BJ$4,'9'!$C:$C,"Renovación")</f>
        <v>0</v>
      </c>
      <c r="BL43" s="101">
        <f>A12_Z_L30*Planta_Z*Inflación_12</f>
        <v>0</v>
      </c>
      <c r="BM43" s="101">
        <f>SUMIFS('9'!$E:$E,'9'!$A:$A,Año_Inicial+11,'9'!$B:$B,'12'!BL$4,'9'!$C:$C,"Renovación")</f>
        <v>0</v>
      </c>
      <c r="BN43" s="101">
        <f>A12_Z_L31*Planta_Z*Inflación_12</f>
        <v>0</v>
      </c>
      <c r="BO43" s="101">
        <f>SUMIFS('9'!$E:$E,'9'!$A:$A,Año_Inicial+11,'9'!$B:$B,'12'!BN$4,'9'!$C:$C,"Renovación")</f>
        <v>0</v>
      </c>
      <c r="BP43" s="101">
        <f>A12_Z_L32*Planta_Z*Inflación_12</f>
        <v>0</v>
      </c>
      <c r="BQ43" s="101">
        <f>SUMIFS('9'!$E:$E,'9'!$A:$A,Año_Inicial+11,'9'!$B:$B,'12'!BP$4,'9'!$C:$C,"Renovación")</f>
        <v>0</v>
      </c>
      <c r="BR43" s="101">
        <f>A12_Z_L33*Planta_Z*Inflación_12</f>
        <v>0</v>
      </c>
      <c r="BS43" s="101">
        <f>SUMIFS('9'!$E:$E,'9'!$A:$A,Año_Inicial+11,'9'!$B:$B,'12'!BR$4,'9'!$C:$C,"Renovación")</f>
        <v>0</v>
      </c>
      <c r="BT43" s="101">
        <f>A12_Z_L34*Planta_Z*Inflación_12</f>
        <v>0</v>
      </c>
      <c r="BU43" s="101">
        <f>SUMIFS('9'!$E:$E,'9'!$A:$A,Año_Inicial+11,'9'!$B:$B,'12'!BT$4,'9'!$C:$C,"Renovación")</f>
        <v>0</v>
      </c>
      <c r="BV43" s="101">
        <f>A12_Z_L35*Planta_Z*Inflación_12</f>
        <v>0</v>
      </c>
      <c r="BW43" s="101">
        <f>SUMIFS('9'!$E:$E,'9'!$A:$A,Año_Inicial+11,'9'!$B:$B,'12'!BV$4,'9'!$C:$C,"Renovación")</f>
        <v>0</v>
      </c>
      <c r="BX43" s="101">
        <f>A12_Z_L36*Planta_Z*Inflación_12</f>
        <v>0</v>
      </c>
      <c r="BY43" s="101">
        <f>SUMIFS('9'!$E:$E,'9'!$A:$A,Año_Inicial+11,'9'!$B:$B,'12'!BX$4,'9'!$C:$C,"Renovación")</f>
        <v>0</v>
      </c>
      <c r="BZ43" s="101">
        <f>A12_Z_L37*Planta_Z*Inflación_12</f>
        <v>0</v>
      </c>
      <c r="CA43" s="101">
        <f>SUMIFS('9'!$E:$E,'9'!$A:$A,Año_Inicial+11,'9'!$B:$B,'12'!BZ$4,'9'!$C:$C,"Renovación")</f>
        <v>0</v>
      </c>
      <c r="CB43" s="101">
        <f>A12_Z_L38*Planta_Z*Inflación_12</f>
        <v>0</v>
      </c>
      <c r="CC43" s="101">
        <f>SUMIFS('9'!$E:$E,'9'!$A:$A,Año_Inicial+11,'9'!$B:$B,'12'!CB$4,'9'!$C:$C,"Renovación")</f>
        <v>0</v>
      </c>
      <c r="CD43" s="101">
        <f>A12_Z_L39*Planta_Z*Inflación_12</f>
        <v>0</v>
      </c>
      <c r="CE43" s="101">
        <f>SUMIFS('9'!$E:$E,'9'!$A:$A,Año_Inicial+11,'9'!$B:$B,'12'!CD$4,'9'!$C:$C,"Renovación")</f>
        <v>0</v>
      </c>
      <c r="CF43" s="101">
        <f>A12_Z_L40*Planta_Z*Inflación_12</f>
        <v>0</v>
      </c>
      <c r="CG43" s="101">
        <f>SUMIFS('9'!$E:$E,'9'!$A:$A,Año_Inicial+11,'9'!$B:$B,'12'!CF$4,'9'!$C:$C,"Renovación")</f>
        <v>0</v>
      </c>
      <c r="CH43" s="473"/>
      <c r="CI43" s="101">
        <f>($B43/$B47)*CI47</f>
        <v>0</v>
      </c>
      <c r="CJ43" s="101">
        <f>($B43/$B47)*CJ47</f>
        <v>0</v>
      </c>
      <c r="CK43" s="101">
        <f>($B43/$B47)*CK47</f>
        <v>0</v>
      </c>
      <c r="CL43" s="101">
        <f>($B43/$B47)*CL47</f>
        <v>0</v>
      </c>
      <c r="CM43" s="101">
        <f>(Plantas_Z_A12*Planta_Z)*Inflación_12</f>
        <v>0</v>
      </c>
      <c r="CN43" s="101">
        <v>0</v>
      </c>
      <c r="CO43" s="102">
        <v>0</v>
      </c>
    </row>
    <row r="44" spans="1:93" s="115" customFormat="1" ht="23.1" customHeight="1" x14ac:dyDescent="0.3">
      <c r="A44" s="106" t="s">
        <v>4526</v>
      </c>
      <c r="B44" s="100">
        <f>Admin_2*Inflación_12</f>
        <v>0</v>
      </c>
      <c r="C44" s="101">
        <f>SUMIFS('9'!$E:$E,'9'!$A:$A,Año_Inicial+11,'9'!$C:$C,"Gastos_administrativos")</f>
        <v>0</v>
      </c>
      <c r="D44" s="100">
        <f t="shared" si="45"/>
        <v>0</v>
      </c>
      <c r="E44" s="473"/>
      <c r="F44" s="101">
        <f>($B44/$B47)*F47*Inflación_12</f>
        <v>0</v>
      </c>
      <c r="G44" s="101">
        <f>($C44/$B47)*F47</f>
        <v>0</v>
      </c>
      <c r="H44" s="101">
        <f>($B44/$B47)*H47*Inflación_12</f>
        <v>0</v>
      </c>
      <c r="I44" s="101">
        <f>($C44/$B47)*H47</f>
        <v>0</v>
      </c>
      <c r="J44" s="101">
        <f>($B44/$B47)*J47*Inflación_12</f>
        <v>0</v>
      </c>
      <c r="K44" s="101">
        <f>($C44/$B47)*J47</f>
        <v>0</v>
      </c>
      <c r="L44" s="101">
        <f>($B44/$B47)*L47*Inflación_12</f>
        <v>0</v>
      </c>
      <c r="M44" s="101">
        <f>($C44/$B47)*L47</f>
        <v>0</v>
      </c>
      <c r="N44" s="101">
        <f>($B44/$B47)*N47*Inflación_12</f>
        <v>0</v>
      </c>
      <c r="O44" s="101">
        <f>($C44/$B47)*N47</f>
        <v>0</v>
      </c>
      <c r="P44" s="101">
        <f>($B44/$B47)*P47*Inflación_12</f>
        <v>0</v>
      </c>
      <c r="Q44" s="101">
        <f>($C44/$B47)*P47</f>
        <v>0</v>
      </c>
      <c r="R44" s="101">
        <f>($B44/$B47)*R47*Inflación_12</f>
        <v>0</v>
      </c>
      <c r="S44" s="101">
        <f>($C44/$B47)*R47</f>
        <v>0</v>
      </c>
      <c r="T44" s="101">
        <f>($B44/$B47)*T47*Inflación_12</f>
        <v>0</v>
      </c>
      <c r="U44" s="101">
        <f>($C44/$B47)*T47</f>
        <v>0</v>
      </c>
      <c r="V44" s="101">
        <f>($B44/$B47)*V47*Inflación_12</f>
        <v>0</v>
      </c>
      <c r="W44" s="101">
        <f>($C44/$B47)*V47</f>
        <v>0</v>
      </c>
      <c r="X44" s="101">
        <f>($B44/$B47)*X47*Inflación_12</f>
        <v>0</v>
      </c>
      <c r="Y44" s="101">
        <f>($C44/$B47)*X47</f>
        <v>0</v>
      </c>
      <c r="Z44" s="101">
        <f>($B44/$B47)*Z47*Inflación_12</f>
        <v>0</v>
      </c>
      <c r="AA44" s="101">
        <f>($C44/$B47)*Z47</f>
        <v>0</v>
      </c>
      <c r="AB44" s="101">
        <f>($B44/$B47)*AB47*Inflación_12</f>
        <v>0</v>
      </c>
      <c r="AC44" s="101">
        <f>($C44/$B47)*AB47</f>
        <v>0</v>
      </c>
      <c r="AD44" s="101">
        <f>($B44/$B47)*AD47*Inflación_12</f>
        <v>0</v>
      </c>
      <c r="AE44" s="101">
        <f>($C44/$B47)*AD47</f>
        <v>0</v>
      </c>
      <c r="AF44" s="101">
        <f>($B44/$B47)*AF47*Inflación_12</f>
        <v>0</v>
      </c>
      <c r="AG44" s="101">
        <f>($C44/$B47)*AF47</f>
        <v>0</v>
      </c>
      <c r="AH44" s="101">
        <f>($B44/$B47)*AH47*Inflación_12</f>
        <v>0</v>
      </c>
      <c r="AI44" s="101">
        <f>($C44/$B47)*AH47</f>
        <v>0</v>
      </c>
      <c r="AJ44" s="101">
        <f>($B44/$B47)*AJ47*Inflación_12</f>
        <v>0</v>
      </c>
      <c r="AK44" s="101">
        <f>($C44/$B47)*AJ47</f>
        <v>0</v>
      </c>
      <c r="AL44" s="101">
        <f>($B44/$B47)*AL47*Inflación_12</f>
        <v>0</v>
      </c>
      <c r="AM44" s="101">
        <f>($C44/$B47)*AL47</f>
        <v>0</v>
      </c>
      <c r="AN44" s="101">
        <f>($B44/$B47)*AN47*Inflación_12</f>
        <v>0</v>
      </c>
      <c r="AO44" s="101">
        <f>($C44/$B47)*AN47</f>
        <v>0</v>
      </c>
      <c r="AP44" s="101">
        <f>($B44/$B47)*AP47*Inflación_12</f>
        <v>0</v>
      </c>
      <c r="AQ44" s="101">
        <f>($C44/$B47)*AP47</f>
        <v>0</v>
      </c>
      <c r="AR44" s="101">
        <f>($B44/$B47)*AR47*Inflación_12</f>
        <v>0</v>
      </c>
      <c r="AS44" s="101">
        <f>($C44/$B47)*AR47</f>
        <v>0</v>
      </c>
      <c r="AT44" s="101">
        <f>($B44/$B47)*AT47*Inflación_12</f>
        <v>0</v>
      </c>
      <c r="AU44" s="101">
        <f>($C44/$B47)*AT47</f>
        <v>0</v>
      </c>
      <c r="AV44" s="101">
        <f>($B44/$B47)*AV47*Inflación_12</f>
        <v>0</v>
      </c>
      <c r="AW44" s="101">
        <f>($C44/$B47)*AV47</f>
        <v>0</v>
      </c>
      <c r="AX44" s="101">
        <f>($B44/$B47)*AX47*Inflación_12</f>
        <v>0</v>
      </c>
      <c r="AY44" s="101">
        <f>($C44/$B47)*AX47</f>
        <v>0</v>
      </c>
      <c r="AZ44" s="101">
        <f>($B44/$B47)*AZ47*Inflación_12</f>
        <v>0</v>
      </c>
      <c r="BA44" s="101">
        <f>($C44/$B47)*AZ47</f>
        <v>0</v>
      </c>
      <c r="BB44" s="101">
        <f>($B44/$B47)*BB47*Inflación_12</f>
        <v>0</v>
      </c>
      <c r="BC44" s="101">
        <f>($C44/$B47)*BB47</f>
        <v>0</v>
      </c>
      <c r="BD44" s="101">
        <f>($B44/$B47)*BD47*Inflación_12</f>
        <v>0</v>
      </c>
      <c r="BE44" s="101">
        <f>($C44/$B47)*BD47</f>
        <v>0</v>
      </c>
      <c r="BF44" s="101">
        <f>($B44/$B47)*BF47*Inflación_12</f>
        <v>0</v>
      </c>
      <c r="BG44" s="101">
        <f>($C44/$B47)*BF47</f>
        <v>0</v>
      </c>
      <c r="BH44" s="101">
        <f>($B44/$B47)*BH47*Inflación_12</f>
        <v>0</v>
      </c>
      <c r="BI44" s="101">
        <f>($C44/$B47)*BH47</f>
        <v>0</v>
      </c>
      <c r="BJ44" s="101">
        <f>($B44/$B47)*BJ47*Inflación_12</f>
        <v>0</v>
      </c>
      <c r="BK44" s="101">
        <f>($C44/$B47)*BJ47</f>
        <v>0</v>
      </c>
      <c r="BL44" s="101">
        <f>($B44/$B47)*BL47*Inflación_12</f>
        <v>0</v>
      </c>
      <c r="BM44" s="101">
        <f>($C44/$B47)*BL47</f>
        <v>0</v>
      </c>
      <c r="BN44" s="101">
        <f>($B44/$B47)*BN47*Inflación_12</f>
        <v>0</v>
      </c>
      <c r="BO44" s="101">
        <f>($C44/$B47)*BN47</f>
        <v>0</v>
      </c>
      <c r="BP44" s="101">
        <f>($B44/$B47)*BP47*Inflación_12</f>
        <v>0</v>
      </c>
      <c r="BQ44" s="101">
        <f>($C44/$B47)*BP47</f>
        <v>0</v>
      </c>
      <c r="BR44" s="101">
        <f>($B44/$B47)*BR47*Inflación_12</f>
        <v>0</v>
      </c>
      <c r="BS44" s="101">
        <f>($C44/$B47)*BR47</f>
        <v>0</v>
      </c>
      <c r="BT44" s="101">
        <f>($B44/$B47)*BT47*Inflación_12</f>
        <v>0</v>
      </c>
      <c r="BU44" s="101">
        <f>($C44/$B47)*BT47</f>
        <v>0</v>
      </c>
      <c r="BV44" s="101">
        <f>($B44/$B47)*BV47*Inflación_12</f>
        <v>0</v>
      </c>
      <c r="BW44" s="101">
        <f>($C44/$B47)*BV47</f>
        <v>0</v>
      </c>
      <c r="BX44" s="101">
        <f>($B44/$B47)*BX47*Inflación_12</f>
        <v>0</v>
      </c>
      <c r="BY44" s="101">
        <f>($C44/$B47)*BX47</f>
        <v>0</v>
      </c>
      <c r="BZ44" s="101">
        <f>($B44/$B47)*BZ47*Inflación_12</f>
        <v>0</v>
      </c>
      <c r="CA44" s="101">
        <f>($C44/$B47)*BZ47</f>
        <v>0</v>
      </c>
      <c r="CB44" s="101">
        <f>($B44/$B47)*CB47*Inflación_12</f>
        <v>0</v>
      </c>
      <c r="CC44" s="101">
        <f>($C44/$B47)*CB47</f>
        <v>0</v>
      </c>
      <c r="CD44" s="101">
        <f>($B44/$B47)*CD47*Inflación_12</f>
        <v>0</v>
      </c>
      <c r="CE44" s="101">
        <f>($C44/$B47)*CD47</f>
        <v>0</v>
      </c>
      <c r="CF44" s="101">
        <f>($B44/$B47)*CF47*Inflación_12</f>
        <v>0</v>
      </c>
      <c r="CG44" s="101">
        <f>($C44/$B47)*CF47</f>
        <v>0</v>
      </c>
      <c r="CH44" s="473"/>
      <c r="CI44" s="101">
        <f t="shared" ref="CI44:CO44" si="47">($B44/$B47)*CI47</f>
        <v>0</v>
      </c>
      <c r="CJ44" s="101">
        <f t="shared" si="47"/>
        <v>0</v>
      </c>
      <c r="CK44" s="101">
        <f t="shared" si="47"/>
        <v>0</v>
      </c>
      <c r="CL44" s="101">
        <f t="shared" si="47"/>
        <v>0</v>
      </c>
      <c r="CM44" s="101">
        <f t="shared" si="47"/>
        <v>0</v>
      </c>
      <c r="CN44" s="101">
        <f t="shared" si="47"/>
        <v>0</v>
      </c>
      <c r="CO44" s="102">
        <f t="shared" si="47"/>
        <v>0</v>
      </c>
    </row>
    <row r="45" spans="1:93" s="99" customFormat="1" ht="27" customHeight="1" thickBot="1" x14ac:dyDescent="0.35">
      <c r="A45" s="116" t="s">
        <v>146</v>
      </c>
      <c r="B45" s="104" t="e">
        <f>SUM(B14:B44)</f>
        <v>#DIV/0!</v>
      </c>
      <c r="C45" s="104">
        <f>SUM(C14:C44)</f>
        <v>0</v>
      </c>
      <c r="D45" s="100"/>
      <c r="E45" s="473"/>
      <c r="F45" s="104">
        <f t="shared" ref="F45:BQ45" si="48">SUM(F14:F44)</f>
        <v>0</v>
      </c>
      <c r="G45" s="104">
        <f t="shared" si="48"/>
        <v>0</v>
      </c>
      <c r="H45" s="104">
        <f t="shared" si="48"/>
        <v>0</v>
      </c>
      <c r="I45" s="104">
        <f t="shared" si="48"/>
        <v>0</v>
      </c>
      <c r="J45" s="104">
        <f t="shared" si="48"/>
        <v>0</v>
      </c>
      <c r="K45" s="104">
        <f t="shared" si="48"/>
        <v>0</v>
      </c>
      <c r="L45" s="104">
        <f t="shared" si="48"/>
        <v>0</v>
      </c>
      <c r="M45" s="104">
        <f t="shared" si="48"/>
        <v>0</v>
      </c>
      <c r="N45" s="104">
        <f t="shared" si="48"/>
        <v>0</v>
      </c>
      <c r="O45" s="104">
        <f t="shared" si="48"/>
        <v>0</v>
      </c>
      <c r="P45" s="104">
        <f t="shared" si="48"/>
        <v>0</v>
      </c>
      <c r="Q45" s="104">
        <f t="shared" si="48"/>
        <v>0</v>
      </c>
      <c r="R45" s="104">
        <f t="shared" si="48"/>
        <v>0</v>
      </c>
      <c r="S45" s="104">
        <f t="shared" si="48"/>
        <v>0</v>
      </c>
      <c r="T45" s="104">
        <f t="shared" si="48"/>
        <v>0</v>
      </c>
      <c r="U45" s="104">
        <f t="shared" si="48"/>
        <v>0</v>
      </c>
      <c r="V45" s="104">
        <f t="shared" si="48"/>
        <v>0</v>
      </c>
      <c r="W45" s="104">
        <f t="shared" si="48"/>
        <v>0</v>
      </c>
      <c r="X45" s="104">
        <f t="shared" si="48"/>
        <v>0</v>
      </c>
      <c r="Y45" s="104">
        <f t="shared" si="48"/>
        <v>0</v>
      </c>
      <c r="Z45" s="104">
        <f t="shared" si="48"/>
        <v>0</v>
      </c>
      <c r="AA45" s="104">
        <f t="shared" si="48"/>
        <v>0</v>
      </c>
      <c r="AB45" s="104">
        <f t="shared" si="48"/>
        <v>0</v>
      </c>
      <c r="AC45" s="104">
        <f t="shared" si="48"/>
        <v>0</v>
      </c>
      <c r="AD45" s="104">
        <f t="shared" si="48"/>
        <v>0</v>
      </c>
      <c r="AE45" s="104">
        <f t="shared" si="48"/>
        <v>0</v>
      </c>
      <c r="AF45" s="104">
        <f t="shared" si="48"/>
        <v>0</v>
      </c>
      <c r="AG45" s="104">
        <f t="shared" si="48"/>
        <v>0</v>
      </c>
      <c r="AH45" s="104">
        <f t="shared" si="48"/>
        <v>0</v>
      </c>
      <c r="AI45" s="104">
        <f t="shared" si="48"/>
        <v>0</v>
      </c>
      <c r="AJ45" s="104">
        <f t="shared" si="48"/>
        <v>0</v>
      </c>
      <c r="AK45" s="104">
        <f t="shared" si="48"/>
        <v>0</v>
      </c>
      <c r="AL45" s="104">
        <f t="shared" si="48"/>
        <v>0</v>
      </c>
      <c r="AM45" s="104">
        <f t="shared" si="48"/>
        <v>0</v>
      </c>
      <c r="AN45" s="104">
        <f t="shared" si="48"/>
        <v>0</v>
      </c>
      <c r="AO45" s="104">
        <f t="shared" si="48"/>
        <v>0</v>
      </c>
      <c r="AP45" s="104">
        <f t="shared" si="48"/>
        <v>0</v>
      </c>
      <c r="AQ45" s="104">
        <f t="shared" si="48"/>
        <v>0</v>
      </c>
      <c r="AR45" s="104">
        <f t="shared" si="48"/>
        <v>0</v>
      </c>
      <c r="AS45" s="104">
        <f t="shared" si="48"/>
        <v>0</v>
      </c>
      <c r="AT45" s="104">
        <f t="shared" si="48"/>
        <v>0</v>
      </c>
      <c r="AU45" s="104">
        <f t="shared" si="48"/>
        <v>0</v>
      </c>
      <c r="AV45" s="104">
        <f t="shared" si="48"/>
        <v>0</v>
      </c>
      <c r="AW45" s="104">
        <f t="shared" si="48"/>
        <v>0</v>
      </c>
      <c r="AX45" s="104">
        <f t="shared" si="48"/>
        <v>0</v>
      </c>
      <c r="AY45" s="104">
        <f t="shared" si="48"/>
        <v>0</v>
      </c>
      <c r="AZ45" s="104">
        <f t="shared" si="48"/>
        <v>0</v>
      </c>
      <c r="BA45" s="104">
        <f t="shared" si="48"/>
        <v>0</v>
      </c>
      <c r="BB45" s="104">
        <f t="shared" si="48"/>
        <v>0</v>
      </c>
      <c r="BC45" s="104">
        <f t="shared" si="48"/>
        <v>0</v>
      </c>
      <c r="BD45" s="104">
        <f t="shared" si="48"/>
        <v>0</v>
      </c>
      <c r="BE45" s="104">
        <f t="shared" si="48"/>
        <v>0</v>
      </c>
      <c r="BF45" s="104">
        <f t="shared" si="48"/>
        <v>0</v>
      </c>
      <c r="BG45" s="104">
        <f t="shared" si="48"/>
        <v>0</v>
      </c>
      <c r="BH45" s="104">
        <f t="shared" si="48"/>
        <v>0</v>
      </c>
      <c r="BI45" s="104">
        <f t="shared" si="48"/>
        <v>0</v>
      </c>
      <c r="BJ45" s="104">
        <f t="shared" si="48"/>
        <v>0</v>
      </c>
      <c r="BK45" s="104">
        <f t="shared" si="48"/>
        <v>0</v>
      </c>
      <c r="BL45" s="104">
        <f t="shared" si="48"/>
        <v>0</v>
      </c>
      <c r="BM45" s="104">
        <f t="shared" si="48"/>
        <v>0</v>
      </c>
      <c r="BN45" s="104">
        <f t="shared" si="48"/>
        <v>0</v>
      </c>
      <c r="BO45" s="104">
        <f t="shared" si="48"/>
        <v>0</v>
      </c>
      <c r="BP45" s="104">
        <f t="shared" si="48"/>
        <v>0</v>
      </c>
      <c r="BQ45" s="104">
        <f t="shared" si="48"/>
        <v>0</v>
      </c>
      <c r="BR45" s="104">
        <f t="shared" ref="BR45:CG45" si="49">SUM(BR14:BR44)</f>
        <v>0</v>
      </c>
      <c r="BS45" s="104">
        <f t="shared" si="49"/>
        <v>0</v>
      </c>
      <c r="BT45" s="104">
        <f t="shared" si="49"/>
        <v>0</v>
      </c>
      <c r="BU45" s="104">
        <f t="shared" si="49"/>
        <v>0</v>
      </c>
      <c r="BV45" s="104">
        <f t="shared" si="49"/>
        <v>0</v>
      </c>
      <c r="BW45" s="104">
        <f t="shared" si="49"/>
        <v>0</v>
      </c>
      <c r="BX45" s="104">
        <f t="shared" si="49"/>
        <v>0</v>
      </c>
      <c r="BY45" s="104">
        <f t="shared" si="49"/>
        <v>0</v>
      </c>
      <c r="BZ45" s="104">
        <f t="shared" si="49"/>
        <v>0</v>
      </c>
      <c r="CA45" s="104">
        <f t="shared" si="49"/>
        <v>0</v>
      </c>
      <c r="CB45" s="104">
        <f t="shared" si="49"/>
        <v>0</v>
      </c>
      <c r="CC45" s="104">
        <f t="shared" si="49"/>
        <v>0</v>
      </c>
      <c r="CD45" s="104">
        <f t="shared" si="49"/>
        <v>0</v>
      </c>
      <c r="CE45" s="104">
        <f t="shared" si="49"/>
        <v>0</v>
      </c>
      <c r="CF45" s="104">
        <f t="shared" si="49"/>
        <v>0</v>
      </c>
      <c r="CG45" s="104">
        <f t="shared" si="49"/>
        <v>0</v>
      </c>
      <c r="CH45" s="473"/>
      <c r="CI45" s="104" t="e">
        <f t="shared" ref="CI45:CN45" si="50">SUM(CI14:CI44)</f>
        <v>#DIV/0!</v>
      </c>
      <c r="CJ45" s="104" t="e">
        <f t="shared" si="50"/>
        <v>#DIV/0!</v>
      </c>
      <c r="CK45" s="104" t="e">
        <f t="shared" si="50"/>
        <v>#DIV/0!</v>
      </c>
      <c r="CL45" s="104" t="e">
        <f t="shared" si="50"/>
        <v>#DIV/0!</v>
      </c>
      <c r="CM45" s="104">
        <f t="shared" si="50"/>
        <v>0</v>
      </c>
      <c r="CN45" s="104" t="e">
        <f t="shared" si="50"/>
        <v>#DIV/0!</v>
      </c>
      <c r="CO45" s="105">
        <v>0</v>
      </c>
    </row>
    <row r="46" spans="1:93" s="94" customFormat="1" ht="39.950000000000003" customHeight="1" thickBot="1" x14ac:dyDescent="0.35">
      <c r="A46" s="160" t="s">
        <v>4566</v>
      </c>
      <c r="B46" s="163" t="e">
        <f>B11-B45</f>
        <v>#DIV/0!</v>
      </c>
      <c r="C46" s="163" t="e">
        <f>C11-C45</f>
        <v>#DIV/0!</v>
      </c>
      <c r="D46" s="163"/>
      <c r="E46" s="473"/>
      <c r="F46" s="161">
        <f t="shared" ref="F46:BQ46" si="51">F11-F45</f>
        <v>0</v>
      </c>
      <c r="G46" s="161" t="e">
        <f t="shared" si="51"/>
        <v>#DIV/0!</v>
      </c>
      <c r="H46" s="161">
        <f t="shared" si="51"/>
        <v>0</v>
      </c>
      <c r="I46" s="161" t="e">
        <f t="shared" si="51"/>
        <v>#DIV/0!</v>
      </c>
      <c r="J46" s="161">
        <f t="shared" si="51"/>
        <v>0</v>
      </c>
      <c r="K46" s="161" t="e">
        <f t="shared" si="51"/>
        <v>#DIV/0!</v>
      </c>
      <c r="L46" s="161">
        <f t="shared" si="51"/>
        <v>0</v>
      </c>
      <c r="M46" s="161" t="e">
        <f t="shared" si="51"/>
        <v>#DIV/0!</v>
      </c>
      <c r="N46" s="161">
        <f t="shared" si="51"/>
        <v>0</v>
      </c>
      <c r="O46" s="161" t="e">
        <f t="shared" si="51"/>
        <v>#DIV/0!</v>
      </c>
      <c r="P46" s="161">
        <f t="shared" si="51"/>
        <v>0</v>
      </c>
      <c r="Q46" s="161" t="e">
        <f t="shared" si="51"/>
        <v>#DIV/0!</v>
      </c>
      <c r="R46" s="161">
        <f t="shared" si="51"/>
        <v>0</v>
      </c>
      <c r="S46" s="161" t="e">
        <f t="shared" si="51"/>
        <v>#DIV/0!</v>
      </c>
      <c r="T46" s="161">
        <f t="shared" si="51"/>
        <v>0</v>
      </c>
      <c r="U46" s="161" t="e">
        <f t="shared" si="51"/>
        <v>#DIV/0!</v>
      </c>
      <c r="V46" s="161">
        <f t="shared" si="51"/>
        <v>0</v>
      </c>
      <c r="W46" s="161" t="e">
        <f t="shared" si="51"/>
        <v>#DIV/0!</v>
      </c>
      <c r="X46" s="161">
        <f t="shared" si="51"/>
        <v>0</v>
      </c>
      <c r="Y46" s="161" t="e">
        <f t="shared" si="51"/>
        <v>#DIV/0!</v>
      </c>
      <c r="Z46" s="161">
        <f t="shared" si="51"/>
        <v>0</v>
      </c>
      <c r="AA46" s="161" t="e">
        <f t="shared" si="51"/>
        <v>#DIV/0!</v>
      </c>
      <c r="AB46" s="161">
        <f t="shared" si="51"/>
        <v>0</v>
      </c>
      <c r="AC46" s="161" t="e">
        <f t="shared" si="51"/>
        <v>#DIV/0!</v>
      </c>
      <c r="AD46" s="161">
        <f t="shared" si="51"/>
        <v>0</v>
      </c>
      <c r="AE46" s="161" t="e">
        <f t="shared" si="51"/>
        <v>#DIV/0!</v>
      </c>
      <c r="AF46" s="161">
        <f t="shared" si="51"/>
        <v>0</v>
      </c>
      <c r="AG46" s="161" t="e">
        <f t="shared" si="51"/>
        <v>#DIV/0!</v>
      </c>
      <c r="AH46" s="161">
        <f t="shared" si="51"/>
        <v>0</v>
      </c>
      <c r="AI46" s="161" t="e">
        <f t="shared" si="51"/>
        <v>#DIV/0!</v>
      </c>
      <c r="AJ46" s="161">
        <f t="shared" si="51"/>
        <v>0</v>
      </c>
      <c r="AK46" s="161" t="e">
        <f t="shared" si="51"/>
        <v>#DIV/0!</v>
      </c>
      <c r="AL46" s="161">
        <f t="shared" si="51"/>
        <v>0</v>
      </c>
      <c r="AM46" s="161" t="e">
        <f t="shared" si="51"/>
        <v>#DIV/0!</v>
      </c>
      <c r="AN46" s="161">
        <f t="shared" si="51"/>
        <v>0</v>
      </c>
      <c r="AO46" s="161" t="e">
        <f t="shared" si="51"/>
        <v>#DIV/0!</v>
      </c>
      <c r="AP46" s="161">
        <f t="shared" si="51"/>
        <v>0</v>
      </c>
      <c r="AQ46" s="161" t="e">
        <f t="shared" si="51"/>
        <v>#DIV/0!</v>
      </c>
      <c r="AR46" s="161">
        <f t="shared" si="51"/>
        <v>0</v>
      </c>
      <c r="AS46" s="161" t="e">
        <f t="shared" si="51"/>
        <v>#DIV/0!</v>
      </c>
      <c r="AT46" s="161">
        <f t="shared" si="51"/>
        <v>0</v>
      </c>
      <c r="AU46" s="161" t="e">
        <f t="shared" si="51"/>
        <v>#DIV/0!</v>
      </c>
      <c r="AV46" s="161">
        <f t="shared" si="51"/>
        <v>0</v>
      </c>
      <c r="AW46" s="161" t="e">
        <f t="shared" si="51"/>
        <v>#DIV/0!</v>
      </c>
      <c r="AX46" s="161">
        <f t="shared" si="51"/>
        <v>0</v>
      </c>
      <c r="AY46" s="161" t="e">
        <f t="shared" si="51"/>
        <v>#DIV/0!</v>
      </c>
      <c r="AZ46" s="161">
        <f t="shared" si="51"/>
        <v>0</v>
      </c>
      <c r="BA46" s="161" t="e">
        <f t="shared" si="51"/>
        <v>#DIV/0!</v>
      </c>
      <c r="BB46" s="161">
        <f t="shared" si="51"/>
        <v>0</v>
      </c>
      <c r="BC46" s="161" t="e">
        <f t="shared" si="51"/>
        <v>#DIV/0!</v>
      </c>
      <c r="BD46" s="161">
        <f t="shared" si="51"/>
        <v>0</v>
      </c>
      <c r="BE46" s="161" t="e">
        <f t="shared" si="51"/>
        <v>#DIV/0!</v>
      </c>
      <c r="BF46" s="161">
        <f t="shared" si="51"/>
        <v>0</v>
      </c>
      <c r="BG46" s="161" t="e">
        <f t="shared" si="51"/>
        <v>#DIV/0!</v>
      </c>
      <c r="BH46" s="161">
        <f t="shared" si="51"/>
        <v>0</v>
      </c>
      <c r="BI46" s="161" t="e">
        <f t="shared" si="51"/>
        <v>#DIV/0!</v>
      </c>
      <c r="BJ46" s="161">
        <f t="shared" si="51"/>
        <v>0</v>
      </c>
      <c r="BK46" s="161" t="e">
        <f t="shared" si="51"/>
        <v>#DIV/0!</v>
      </c>
      <c r="BL46" s="161">
        <f t="shared" si="51"/>
        <v>0</v>
      </c>
      <c r="BM46" s="161" t="e">
        <f t="shared" si="51"/>
        <v>#DIV/0!</v>
      </c>
      <c r="BN46" s="161">
        <f t="shared" si="51"/>
        <v>0</v>
      </c>
      <c r="BO46" s="161" t="e">
        <f t="shared" si="51"/>
        <v>#DIV/0!</v>
      </c>
      <c r="BP46" s="161">
        <f t="shared" si="51"/>
        <v>0</v>
      </c>
      <c r="BQ46" s="161" t="e">
        <f t="shared" si="51"/>
        <v>#DIV/0!</v>
      </c>
      <c r="BR46" s="161">
        <f t="shared" ref="BR46:CG46" si="52">BR11-BR45</f>
        <v>0</v>
      </c>
      <c r="BS46" s="161" t="e">
        <f t="shared" si="52"/>
        <v>#DIV/0!</v>
      </c>
      <c r="BT46" s="161">
        <f t="shared" si="52"/>
        <v>0</v>
      </c>
      <c r="BU46" s="161" t="e">
        <f t="shared" si="52"/>
        <v>#DIV/0!</v>
      </c>
      <c r="BV46" s="161">
        <f t="shared" si="52"/>
        <v>0</v>
      </c>
      <c r="BW46" s="161" t="e">
        <f t="shared" si="52"/>
        <v>#DIV/0!</v>
      </c>
      <c r="BX46" s="161">
        <f t="shared" si="52"/>
        <v>0</v>
      </c>
      <c r="BY46" s="161" t="e">
        <f t="shared" si="52"/>
        <v>#DIV/0!</v>
      </c>
      <c r="BZ46" s="161">
        <f t="shared" si="52"/>
        <v>0</v>
      </c>
      <c r="CA46" s="161" t="e">
        <f t="shared" si="52"/>
        <v>#DIV/0!</v>
      </c>
      <c r="CB46" s="161">
        <f t="shared" si="52"/>
        <v>0</v>
      </c>
      <c r="CC46" s="161" t="e">
        <f t="shared" si="52"/>
        <v>#DIV/0!</v>
      </c>
      <c r="CD46" s="161">
        <f t="shared" si="52"/>
        <v>0</v>
      </c>
      <c r="CE46" s="161" t="e">
        <f t="shared" si="52"/>
        <v>#DIV/0!</v>
      </c>
      <c r="CF46" s="161">
        <f t="shared" si="52"/>
        <v>0</v>
      </c>
      <c r="CG46" s="161" t="e">
        <f t="shared" si="52"/>
        <v>#DIV/0!</v>
      </c>
      <c r="CH46" s="473"/>
      <c r="CI46" s="161" t="e">
        <f t="shared" ref="CI46:CO46" si="53">CI11-CI45</f>
        <v>#DIV/0!</v>
      </c>
      <c r="CJ46" s="161" t="e">
        <f t="shared" si="53"/>
        <v>#DIV/0!</v>
      </c>
      <c r="CK46" s="161" t="e">
        <f t="shared" si="53"/>
        <v>#DIV/0!</v>
      </c>
      <c r="CL46" s="161" t="e">
        <f t="shared" si="53"/>
        <v>#DIV/0!</v>
      </c>
      <c r="CM46" s="161">
        <f t="shared" si="53"/>
        <v>0</v>
      </c>
      <c r="CN46" s="161" t="e">
        <f t="shared" si="53"/>
        <v>#DIV/0!</v>
      </c>
      <c r="CO46" s="162">
        <f t="shared" si="53"/>
        <v>0</v>
      </c>
    </row>
    <row r="47" spans="1:93" s="103" customFormat="1" ht="36" customHeight="1" thickBot="1" x14ac:dyDescent="0.35">
      <c r="A47" s="116" t="s">
        <v>4567</v>
      </c>
      <c r="B47" s="482">
        <f>SUM(CI47:CO47)</f>
        <v>7000</v>
      </c>
      <c r="C47" s="483"/>
      <c r="D47" s="117"/>
      <c r="E47" s="473"/>
      <c r="F47" s="484">
        <f>A12_A_L1+A12_B_L1+A12_C_L1+A12_D_L1+A12_Y_L1+A12_Z_L1+A12_X_L1</f>
        <v>7000</v>
      </c>
      <c r="G47" s="479"/>
      <c r="H47" s="478">
        <f>A12_A_L2+A12_B_L2+A12_C_L2+A12_D_L2+A12_Y_L2+A12_Z_L2+A12_X_L2</f>
        <v>0</v>
      </c>
      <c r="I47" s="479"/>
      <c r="J47" s="478">
        <f>A12_A_L3+A12_B_L3+A12_C_L3+A12_D_L3+A12_Y_L3+A12_Z_L3+A12_X_L3</f>
        <v>0</v>
      </c>
      <c r="K47" s="479"/>
      <c r="L47" s="478">
        <f>A12_A_L4+A12_B_L4+A12_C_L4+A12_D_L4+A12_Y_L4+A12_Z_L4+A12_X_L4</f>
        <v>0</v>
      </c>
      <c r="M47" s="479"/>
      <c r="N47" s="478">
        <f>A12_A_L5+A12_B_L5+A12_C_L5+A12_D_L5+A12_Y_L5+A12_Z_L5+A12_X_L5</f>
        <v>0</v>
      </c>
      <c r="O47" s="479"/>
      <c r="P47" s="478">
        <f>A12_A_L6+A12_B_L6+A12_C_L6+A12_D_L6+A12_Y_L6+A12_Z_L6+A12_X_L6</f>
        <v>0</v>
      </c>
      <c r="Q47" s="479"/>
      <c r="R47" s="478">
        <f>A12_A_L7+A12_B_L7+A12_C_L7+A12_D_L7+A12_Y_L7+A12_Z_L7+A12_X_L7</f>
        <v>0</v>
      </c>
      <c r="S47" s="479"/>
      <c r="T47" s="478">
        <f>A12_A_L8+A12_B_L8+A12_C_L8+A12_D_L8+A12_Y_L8+A12_Z_L8+A12_X_L8</f>
        <v>0</v>
      </c>
      <c r="U47" s="479"/>
      <c r="V47" s="478">
        <f>A12_A_L9+A12_B_L9+A12_C_L9+A12_D_L9+A12_Y_L9+A12_Z_L9+A12_X_L9</f>
        <v>0</v>
      </c>
      <c r="W47" s="479"/>
      <c r="X47" s="478">
        <f>A12_A_L10+A12_B_L10+A12_C_L10+A12_D_L10+A12_Y_L10+A12_Z_L10+A12_X_L10</f>
        <v>0</v>
      </c>
      <c r="Y47" s="479"/>
      <c r="Z47" s="478">
        <f>A12_A_L11+A12_B_L11+A12_C_L11+A12_D_L11+A12_Y_L11+A12_Z_L11+A12_X_L11</f>
        <v>0</v>
      </c>
      <c r="AA47" s="479"/>
      <c r="AB47" s="478">
        <f>A12_A_L12+A12_B_L12+A12_C_L12+A12_D_L12+A12_Y_L12+A12_Z_L12+A12_X_L12</f>
        <v>0</v>
      </c>
      <c r="AC47" s="479"/>
      <c r="AD47" s="478">
        <f>A12_A_L13+A12_B_L13+A12_C_L13+A12_D_L13+A12_Y_L13+A12_Z_L13+A12_X_L13</f>
        <v>0</v>
      </c>
      <c r="AE47" s="479"/>
      <c r="AF47" s="478">
        <f>A12_A_L14+A12_B_L14+A12_C_L14+A12_D_L14+A12_Y_L14+A12_Z_L14+A12_X_L14</f>
        <v>0</v>
      </c>
      <c r="AG47" s="479"/>
      <c r="AH47" s="478">
        <f>A12_A_L15+A12_B_L15+A12_C_L15+A12_D_L15+A12_Y_L15+A12_Z_L15+A12_X_L15</f>
        <v>0</v>
      </c>
      <c r="AI47" s="479"/>
      <c r="AJ47" s="478">
        <f>A12_A_L16+A12_B_L16+A12_C_L16+A12_D_L16+A12_Y_L16+A12_Z_L16+A12_X_L16</f>
        <v>0</v>
      </c>
      <c r="AK47" s="479"/>
      <c r="AL47" s="478">
        <f>A12_A_L17+A12_B_L17+A12_C_L17+A12_D_L17+A12_Y_L17+A12_Z_L17+A12_X_L17</f>
        <v>0</v>
      </c>
      <c r="AM47" s="479"/>
      <c r="AN47" s="478">
        <f>A12_A_L18+A12_B_L18+A12_C_L18+A12_D_L18+A12_Y_L18+A12_Z_L18+A12_X_L18</f>
        <v>0</v>
      </c>
      <c r="AO47" s="479"/>
      <c r="AP47" s="478">
        <f>A12_A_L19+A12_B_L19+A12_C_L19+A12_D_L19+A12_Y_L19+A12_Z_L19+A12_X_L19</f>
        <v>0</v>
      </c>
      <c r="AQ47" s="479"/>
      <c r="AR47" s="478">
        <f>A12_A_L20+A12_B_L20+A12_C_L20+A12_D_L20+A12_Y_L20+A12_Z_L20+A12_X_L20</f>
        <v>0</v>
      </c>
      <c r="AS47" s="479"/>
      <c r="AT47" s="478">
        <f>A12_A_L21+A12_B_L21+A12_C_L21+A12_D_L21+A12_Y_L21+A12_Z_L21+A12_X_L21</f>
        <v>0</v>
      </c>
      <c r="AU47" s="479"/>
      <c r="AV47" s="478">
        <f>A12_A_L22+A12_B_L22+A12_C_L22+A12_D_L22+A12_Y_L22+A12_Z_L22+A12_X_L22</f>
        <v>0</v>
      </c>
      <c r="AW47" s="479"/>
      <c r="AX47" s="478">
        <f>A12_A_L23+A12_B_L23+A12_C_L23+A12_D_L23+A12_Y_L23+A12_Z_L23+A12_X_L23</f>
        <v>0</v>
      </c>
      <c r="AY47" s="479"/>
      <c r="AZ47" s="478">
        <f>A12_A_L24+A12_B_L24+A12_C_L24+A12_D_L24+A12_Y_L24+A12_Z_L24+A12_X_L24</f>
        <v>0</v>
      </c>
      <c r="BA47" s="479"/>
      <c r="BB47" s="478">
        <f>A12_A_L25+A12_B_L25+A12_C_L25+A12_D_L25+A12_Y_L25+A12_Z_L25+A12_X_L25</f>
        <v>0</v>
      </c>
      <c r="BC47" s="479"/>
      <c r="BD47" s="478">
        <f>A12_A_L26+A12_B_L26+A12_C_L26+A12_D_L26+A12_Y_L26+A12_Z_L26+A12_X_L26</f>
        <v>0</v>
      </c>
      <c r="BE47" s="479"/>
      <c r="BF47" s="478">
        <f>A12_A_L27+A12_B_L27+A12_C_L27+A12_D_L27+A12_Y_L27+A12_Z_L27+A12_X_L27</f>
        <v>0</v>
      </c>
      <c r="BG47" s="479"/>
      <c r="BH47" s="478">
        <f>A12_A_L28+A12_B_L28+A12_C_L28+A12_D_L28+A12_Y_L28+A12_Z_L28+A12_X_L28</f>
        <v>0</v>
      </c>
      <c r="BI47" s="479"/>
      <c r="BJ47" s="478">
        <f>A12_A_L29+A12_B_L29+A12_C_L29+A12_D_L29+A12_Y_L29+A12_Z_L29+A12_X_L29</f>
        <v>0</v>
      </c>
      <c r="BK47" s="479"/>
      <c r="BL47" s="478">
        <f>A12_A_L30+A12_B_L30+A12_C_L30+A12_D_L30+A12_Y_L30+A12_Z_L30+A12_X_L30</f>
        <v>0</v>
      </c>
      <c r="BM47" s="479"/>
      <c r="BN47" s="478">
        <f>A12_A_L31+A12_B_L31+A12_C_L31+A12_D_L31+A12_Y_L31+A12_Z_L31+A12_X_L31</f>
        <v>0</v>
      </c>
      <c r="BO47" s="479"/>
      <c r="BP47" s="478">
        <f>A12_A_L32+A12_B_L32+A12_C_L32+A12_D_L32+A12_Y_L32+A12_Z_L32+A12_X_L32</f>
        <v>0</v>
      </c>
      <c r="BQ47" s="479"/>
      <c r="BR47" s="478">
        <f>A12_A_L33+A12_B_L33+A12_C_L33+A12_D_L33+A12_Y_L33+A12_Z_L33+A12_X_L33</f>
        <v>0</v>
      </c>
      <c r="BS47" s="479"/>
      <c r="BT47" s="478">
        <f>A12_A_L34+A12_B_L34+A12_C_L34+A12_D_L34+A12_Y_L34+A12_Z_L34+A12_X_L34</f>
        <v>0</v>
      </c>
      <c r="BU47" s="479"/>
      <c r="BV47" s="478">
        <f>A12_A_L35+A12_B_L35+A12_C_L35+A12_D_L35+A12_Y_L35+A12_Z_L35+A12_X_L35</f>
        <v>0</v>
      </c>
      <c r="BW47" s="479"/>
      <c r="BX47" s="478">
        <f>A12_A_L36+A12_B_L36+A12_C_L36+A12_D_L36+A12_Y_L36+A12_Z_L36+A12_X_L36</f>
        <v>0</v>
      </c>
      <c r="BY47" s="479"/>
      <c r="BZ47" s="478">
        <f>A12_A_L37+A12_B_L37+A12_C_L37+A12_D_L37+A12_Y_L37+A12_Z_L37+A12_X_L37</f>
        <v>0</v>
      </c>
      <c r="CA47" s="479"/>
      <c r="CB47" s="478">
        <f>A12_A_L38+A12_B_L38+A12_C_L38+A12_D_L38+A12_Y_L38+A12_Z_L38+A12_X_L38</f>
        <v>0</v>
      </c>
      <c r="CC47" s="479"/>
      <c r="CD47" s="478">
        <f>A12_A_L39+A12_B_L39+A12_C_L39+A12_D_L39+A12_Y_L39+A12_Z_L39+A12_X_L39</f>
        <v>0</v>
      </c>
      <c r="CE47" s="479"/>
      <c r="CF47" s="478">
        <f>A12_A_L40+A12_B_L40+A12_C_L40+A12_D_L40+A12_Y_L40+A12_Z_L40+A12_X_L40</f>
        <v>0</v>
      </c>
      <c r="CG47" s="479"/>
      <c r="CH47" s="473"/>
      <c r="CI47" s="118">
        <f>Plantas_A_A12</f>
        <v>0</v>
      </c>
      <c r="CJ47" s="119">
        <f>Plantas_B_A12</f>
        <v>0</v>
      </c>
      <c r="CK47" s="119">
        <f>Plantas_C_A12</f>
        <v>0</v>
      </c>
      <c r="CL47" s="119">
        <f>Plantas_D_A12</f>
        <v>7000</v>
      </c>
      <c r="CM47" s="119">
        <f>Plantas_Z_A12</f>
        <v>0</v>
      </c>
      <c r="CN47" s="119">
        <f>Plantas_Y_A12</f>
        <v>0</v>
      </c>
      <c r="CO47" s="120">
        <f>Plantas_X_A12</f>
        <v>0</v>
      </c>
    </row>
    <row r="48" spans="1:93" s="103" customFormat="1" ht="39.75" customHeight="1" thickBot="1" x14ac:dyDescent="0.35">
      <c r="A48" s="121" t="s">
        <v>93</v>
      </c>
      <c r="B48" s="122" t="e">
        <f>B45/(B7/6.25)</f>
        <v>#DIV/0!</v>
      </c>
      <c r="C48" s="123" t="e">
        <f>C45/(B7/6.25)</f>
        <v>#DIV/0!</v>
      </c>
      <c r="D48" s="124" t="e">
        <f>B48-C48</f>
        <v>#DIV/0!</v>
      </c>
      <c r="E48" s="473"/>
      <c r="F48" s="123" t="e">
        <f>F45/(F7/6.25)</f>
        <v>#DIV/0!</v>
      </c>
      <c r="G48" s="123" t="e">
        <f>G45/(F7/6.25)</f>
        <v>#DIV/0!</v>
      </c>
      <c r="H48" s="123" t="e">
        <f>H45/(H7/6.25)</f>
        <v>#DIV/0!</v>
      </c>
      <c r="I48" s="123" t="e">
        <f>I45/(H7/6.25)</f>
        <v>#DIV/0!</v>
      </c>
      <c r="J48" s="123" t="e">
        <f>J45/(J7/6.25)</f>
        <v>#DIV/0!</v>
      </c>
      <c r="K48" s="123" t="e">
        <f>K45/(J7/6.25)</f>
        <v>#DIV/0!</v>
      </c>
      <c r="L48" s="123" t="e">
        <f>L45/(L7/6.25)</f>
        <v>#DIV/0!</v>
      </c>
      <c r="M48" s="123" t="e">
        <f>M45/(L7/6.25)</f>
        <v>#DIV/0!</v>
      </c>
      <c r="N48" s="123" t="e">
        <f>N45/(N7/6.25)</f>
        <v>#DIV/0!</v>
      </c>
      <c r="O48" s="123" t="e">
        <f>O45/(N7/6.25)</f>
        <v>#DIV/0!</v>
      </c>
      <c r="P48" s="123" t="e">
        <f>P45/(P7/6.25)</f>
        <v>#DIV/0!</v>
      </c>
      <c r="Q48" s="123" t="e">
        <f>Q45/(P7/6.25)</f>
        <v>#DIV/0!</v>
      </c>
      <c r="R48" s="123" t="e">
        <f>R45/(R7/6.25)</f>
        <v>#DIV/0!</v>
      </c>
      <c r="S48" s="123" t="e">
        <f>S45/(R7/6.25)</f>
        <v>#DIV/0!</v>
      </c>
      <c r="T48" s="123" t="e">
        <f>T45/(T7/6.25)</f>
        <v>#DIV/0!</v>
      </c>
      <c r="U48" s="123" t="e">
        <f>U45/(T7/6.25)</f>
        <v>#DIV/0!</v>
      </c>
      <c r="V48" s="123" t="e">
        <f>V45/(V7/6.25)</f>
        <v>#DIV/0!</v>
      </c>
      <c r="W48" s="123" t="e">
        <f>W45/(V7/6.25)</f>
        <v>#DIV/0!</v>
      </c>
      <c r="X48" s="123" t="e">
        <f>X45/(X7/6.25)</f>
        <v>#DIV/0!</v>
      </c>
      <c r="Y48" s="123" t="e">
        <f>Y45/(X7/6.25)</f>
        <v>#DIV/0!</v>
      </c>
      <c r="Z48" s="123" t="e">
        <f>Z45/(Z7/6.25)</f>
        <v>#DIV/0!</v>
      </c>
      <c r="AA48" s="123" t="e">
        <f>AA45/(Z7/6.25)</f>
        <v>#DIV/0!</v>
      </c>
      <c r="AB48" s="123" t="e">
        <f>AB45/(AB7/6.25)</f>
        <v>#DIV/0!</v>
      </c>
      <c r="AC48" s="123" t="e">
        <f>AC45/(AB7/6.25)</f>
        <v>#DIV/0!</v>
      </c>
      <c r="AD48" s="123" t="e">
        <f>AD45/(AD7/6.25)</f>
        <v>#DIV/0!</v>
      </c>
      <c r="AE48" s="123" t="e">
        <f>AE45/(AD7/6.25)</f>
        <v>#DIV/0!</v>
      </c>
      <c r="AF48" s="123" t="e">
        <f>AF45/(AF7/6.25)</f>
        <v>#DIV/0!</v>
      </c>
      <c r="AG48" s="123" t="e">
        <f>AG45/(AF7/6.25)</f>
        <v>#DIV/0!</v>
      </c>
      <c r="AH48" s="123" t="e">
        <f>AH45/(AH7/6.25)</f>
        <v>#DIV/0!</v>
      </c>
      <c r="AI48" s="123" t="e">
        <f>AI45/(AH7/6.25)</f>
        <v>#DIV/0!</v>
      </c>
      <c r="AJ48" s="123" t="e">
        <f>AJ45/(AJ7/6.25)</f>
        <v>#DIV/0!</v>
      </c>
      <c r="AK48" s="123" t="e">
        <f>AK45/(AJ7/6.25)</f>
        <v>#DIV/0!</v>
      </c>
      <c r="AL48" s="123" t="e">
        <f>AL45/(AL7/6.25)</f>
        <v>#DIV/0!</v>
      </c>
      <c r="AM48" s="123" t="e">
        <f>AM45/(AL7/6.25)</f>
        <v>#DIV/0!</v>
      </c>
      <c r="AN48" s="123" t="e">
        <f>AN45/(AN7/6.25)</f>
        <v>#DIV/0!</v>
      </c>
      <c r="AO48" s="123" t="e">
        <f>AO45/(AN7/6.25)</f>
        <v>#DIV/0!</v>
      </c>
      <c r="AP48" s="123" t="e">
        <f>AP45/(AP7/6.25)</f>
        <v>#DIV/0!</v>
      </c>
      <c r="AQ48" s="123" t="e">
        <f>AQ45/(AP7/6.25)</f>
        <v>#DIV/0!</v>
      </c>
      <c r="AR48" s="123" t="e">
        <f>AR45/(AR7/6.25)</f>
        <v>#DIV/0!</v>
      </c>
      <c r="AS48" s="123" t="e">
        <f>AS45/(AR7/6.25)</f>
        <v>#DIV/0!</v>
      </c>
      <c r="AT48" s="123" t="e">
        <f>AT45/(AT7/6.25)</f>
        <v>#DIV/0!</v>
      </c>
      <c r="AU48" s="123" t="e">
        <f>AU45/(AT7/6.25)</f>
        <v>#DIV/0!</v>
      </c>
      <c r="AV48" s="123" t="e">
        <f>AV45/(AV7/6.25)</f>
        <v>#DIV/0!</v>
      </c>
      <c r="AW48" s="123" t="e">
        <f>AW45/(AV7/6.25)</f>
        <v>#DIV/0!</v>
      </c>
      <c r="AX48" s="123" t="e">
        <f>AX45/(AX7/6.25)</f>
        <v>#DIV/0!</v>
      </c>
      <c r="AY48" s="123" t="e">
        <f>AY45/(AX7/6.25)</f>
        <v>#DIV/0!</v>
      </c>
      <c r="AZ48" s="123" t="e">
        <f>AZ45/(AZ7/6.25)</f>
        <v>#DIV/0!</v>
      </c>
      <c r="BA48" s="123" t="e">
        <f>BA45/(AZ7/6.25)</f>
        <v>#DIV/0!</v>
      </c>
      <c r="BB48" s="123" t="e">
        <f>BB45/(BB7/6.25)</f>
        <v>#DIV/0!</v>
      </c>
      <c r="BC48" s="123" t="e">
        <f>BC45/(BB7/6.25)</f>
        <v>#DIV/0!</v>
      </c>
      <c r="BD48" s="123" t="e">
        <f>BD45/(BD7/6.25)</f>
        <v>#DIV/0!</v>
      </c>
      <c r="BE48" s="123" t="e">
        <f>BE45/(BD7/6.25)</f>
        <v>#DIV/0!</v>
      </c>
      <c r="BF48" s="123" t="e">
        <f>BF45/(BF7/6.25)</f>
        <v>#DIV/0!</v>
      </c>
      <c r="BG48" s="123" t="e">
        <f>BG45/(BF7/6.25)</f>
        <v>#DIV/0!</v>
      </c>
      <c r="BH48" s="123" t="e">
        <f>BH45/(BH7/6.25)</f>
        <v>#DIV/0!</v>
      </c>
      <c r="BI48" s="123" t="e">
        <f>BI45/(BH7/6.25)</f>
        <v>#DIV/0!</v>
      </c>
      <c r="BJ48" s="123" t="e">
        <f>BJ45/(BJ7/6.25)</f>
        <v>#DIV/0!</v>
      </c>
      <c r="BK48" s="123" t="e">
        <f>BK45/(BJ7/6.25)</f>
        <v>#DIV/0!</v>
      </c>
      <c r="BL48" s="123" t="e">
        <f>BL45/(BL7/6.25)</f>
        <v>#DIV/0!</v>
      </c>
      <c r="BM48" s="123" t="e">
        <f>BM45/(BL7/6.25)</f>
        <v>#DIV/0!</v>
      </c>
      <c r="BN48" s="123" t="e">
        <f>BN45/(BN7/6.25)</f>
        <v>#DIV/0!</v>
      </c>
      <c r="BO48" s="123" t="e">
        <f>BO45/(BN7/6.25)</f>
        <v>#DIV/0!</v>
      </c>
      <c r="BP48" s="123" t="e">
        <f>BP45/(BP7/6.25)</f>
        <v>#DIV/0!</v>
      </c>
      <c r="BQ48" s="123" t="e">
        <f>BQ45/(BP7/6.25)</f>
        <v>#DIV/0!</v>
      </c>
      <c r="BR48" s="123" t="e">
        <f>BR45/(BR7/6.25)</f>
        <v>#DIV/0!</v>
      </c>
      <c r="BS48" s="123" t="e">
        <f>BS45/(BR7/6.25)</f>
        <v>#DIV/0!</v>
      </c>
      <c r="BT48" s="123" t="e">
        <f>BT45/(BT7/6.25)</f>
        <v>#DIV/0!</v>
      </c>
      <c r="BU48" s="123" t="e">
        <f>BU45/(BT7/6.25)</f>
        <v>#DIV/0!</v>
      </c>
      <c r="BV48" s="123" t="e">
        <f>BV45/(BV7/6.25)</f>
        <v>#DIV/0!</v>
      </c>
      <c r="BW48" s="123" t="e">
        <f>BW45/(BV7/6.25)</f>
        <v>#DIV/0!</v>
      </c>
      <c r="BX48" s="123" t="e">
        <f>BX45/(BX7/6.25)</f>
        <v>#DIV/0!</v>
      </c>
      <c r="BY48" s="123" t="e">
        <f>BY45/(BX7/6.25)</f>
        <v>#DIV/0!</v>
      </c>
      <c r="BZ48" s="123" t="e">
        <f>BZ45/(BZ7/6.25)</f>
        <v>#DIV/0!</v>
      </c>
      <c r="CA48" s="123" t="e">
        <f>CA45/(BZ7/6.25)</f>
        <v>#DIV/0!</v>
      </c>
      <c r="CB48" s="123" t="e">
        <f>CB45/(CB7/6.25)</f>
        <v>#DIV/0!</v>
      </c>
      <c r="CC48" s="123" t="e">
        <f>CC45/(CB7/6.25)</f>
        <v>#DIV/0!</v>
      </c>
      <c r="CD48" s="123" t="e">
        <f>CD45/(CD7/6.25)</f>
        <v>#DIV/0!</v>
      </c>
      <c r="CE48" s="123" t="e">
        <f>CE45/(CD7/6.25)</f>
        <v>#DIV/0!</v>
      </c>
      <c r="CF48" s="123" t="e">
        <f>CF45/(CF7/6.25)</f>
        <v>#DIV/0!</v>
      </c>
      <c r="CG48" s="123" t="e">
        <f>CG45/(CF7/6.25)</f>
        <v>#DIV/0!</v>
      </c>
      <c r="CH48" s="473"/>
      <c r="CI48" s="123">
        <f t="shared" ref="CI48:CO48" si="54">CI7-CI13</f>
        <v>0</v>
      </c>
      <c r="CJ48" s="123">
        <f t="shared" si="54"/>
        <v>0</v>
      </c>
      <c r="CK48" s="123">
        <f t="shared" si="54"/>
        <v>0</v>
      </c>
      <c r="CL48" s="123">
        <f t="shared" si="54"/>
        <v>0</v>
      </c>
      <c r="CM48" s="123">
        <f t="shared" si="54"/>
        <v>0</v>
      </c>
      <c r="CN48" s="123">
        <f t="shared" si="54"/>
        <v>0</v>
      </c>
      <c r="CO48" s="124">
        <f t="shared" si="54"/>
        <v>0</v>
      </c>
    </row>
    <row r="49" spans="1:93" s="103" customFormat="1" ht="39.950000000000003" customHeight="1" thickBot="1" x14ac:dyDescent="0.35">
      <c r="A49" s="125" t="str">
        <f>CONCATENATE("Jornales por ",UMp)</f>
        <v>Jornales por Mz.</v>
      </c>
      <c r="B49" s="126" t="e">
        <f>(B14+B15+B17+B18+B22+B23+B26+B29+B32+B33+B34)/CUI_Jornal/Area</f>
        <v>#DIV/0!</v>
      </c>
      <c r="C49" s="127" t="e">
        <f>(C14+C15+C17+C18+C22+C23+C26+C29+C32+C33+C34)/CUI_Jornal/Area</f>
        <v>#DIV/0!</v>
      </c>
      <c r="D49" s="128" t="e">
        <f>B49-C49</f>
        <v>#DIV/0!</v>
      </c>
      <c r="E49" s="474"/>
      <c r="F49" s="129" t="e">
        <f>(F14+F15+F17+F18+F22+F23+F26+F29+F32+F33+F34)/CUI_Jornal/Lote_1</f>
        <v>#DIV/0!</v>
      </c>
      <c r="G49" s="129" t="e">
        <f>(G14+G15+G17+G18+G22+G23+G26+G29+G32+G33+G34)/CUI_Jornal/Lote_1</f>
        <v>#DIV/0!</v>
      </c>
      <c r="H49" s="129" t="e">
        <f>(H14+H15+H17+H18+H22+H23+H26+H29+H32+H33+H34)/CUI_Jornal/Lote_2</f>
        <v>#DIV/0!</v>
      </c>
      <c r="I49" s="129" t="e">
        <f>(I14+I15+I17+I18+I22+I23+I26+I29+I32+I33+I34)/CUI_Jornal/Lote_2</f>
        <v>#DIV/0!</v>
      </c>
      <c r="J49" s="129" t="e">
        <f>(J14+J15+J17+J18+J22+J23+J26+J29+J32+J33+J34)/CUI_Jornal/Lote_3</f>
        <v>#DIV/0!</v>
      </c>
      <c r="K49" s="129" t="e">
        <f>(K14+K15+K17+K18+K22+K23+K26+K29+K32+K33+K34)/CUI_Jornal/Lote_3</f>
        <v>#DIV/0!</v>
      </c>
      <c r="L49" s="129" t="e">
        <f>(L14+L15+L17+L18+L22+L23+L26+L29+L32+L33+L34)/CUI_Jornal/Lote_4</f>
        <v>#DIV/0!</v>
      </c>
      <c r="M49" s="129" t="e">
        <f>(M14+M15+M17+M18+M22+M23+M26+M29+M32+M33+M34)/CUI_Jornal/Lote_4</f>
        <v>#DIV/0!</v>
      </c>
      <c r="N49" s="129" t="e">
        <f>(N14+N15+N17+N18+N22+N23+N26+N29+N32+N33+N34)/CUI_Jornal/Lote_5</f>
        <v>#DIV/0!</v>
      </c>
      <c r="O49" s="129" t="e">
        <f>(O14+O15+O17+O18+O22+O23+O26+O29+O32+O33+O34)/CUI_Jornal/Lote_5</f>
        <v>#DIV/0!</v>
      </c>
      <c r="P49" s="129" t="e">
        <f>(P14+P15+P17+P18+P22+P23+P26+P29+P32+P33+P34)/CUI_Jornal/Lote_6</f>
        <v>#DIV/0!</v>
      </c>
      <c r="Q49" s="129" t="e">
        <f>(Q14+Q15+Q17+Q18+Q22+Q23+Q26+Q29+Q32+Q33+Q34)/CUI_Jornal/Lote_6</f>
        <v>#DIV/0!</v>
      </c>
      <c r="R49" s="129" t="e">
        <f>(R14+R15+R17+R18+R22+R23+R26+R29+R32+R33+R34)/CUI_Jornal/Lote_7</f>
        <v>#DIV/0!</v>
      </c>
      <c r="S49" s="129" t="e">
        <f>(S14+S15+S17+S18+S22+S23+S26+S29+S32+S33+S34)/CUI_Jornal/Lote_7</f>
        <v>#DIV/0!</v>
      </c>
      <c r="T49" s="129" t="e">
        <f>(T14+T15+T17+T18+T22+T23+T26+T29+T32+T33+T34)/CUI_Jornal/Lote_8</f>
        <v>#DIV/0!</v>
      </c>
      <c r="U49" s="129" t="e">
        <f>(U14+U15+U17+U18+U22+U23+U26+U29+U32+U33+U34)/CUI_Jornal/Lote_8</f>
        <v>#DIV/0!</v>
      </c>
      <c r="V49" s="129" t="e">
        <f>(V14+V15+V17+V18+V22+V23+V26+V29+V32+V33+V34)/CUI_Jornal/Lote_9</f>
        <v>#DIV/0!</v>
      </c>
      <c r="W49" s="129" t="e">
        <f>(W14+W15+W17+W18+W22+W23+W26+W29+W32+W33+W34)/CUI_Jornal/Lote_9</f>
        <v>#DIV/0!</v>
      </c>
      <c r="X49" s="129" t="e">
        <f>(X14+X15+X17+X18+X22+X23+X26+X29+X32+X33+X34)/CUI_Jornal/Lote_10</f>
        <v>#DIV/0!</v>
      </c>
      <c r="Y49" s="129" t="e">
        <f>(Y14+Y15+Y17+Y18+Y22+Y23+Y26+Y29+Y32+Y33+Y34)/CUI_Jornal/Lote_10</f>
        <v>#DIV/0!</v>
      </c>
      <c r="Z49" s="129" t="e">
        <f>(Z14+Z15+Z17+Z18+Z22+Z23+Z26+Z29+Z32+Z33+Z34)/CUI_Jornal/Lote_11</f>
        <v>#DIV/0!</v>
      </c>
      <c r="AA49" s="129" t="e">
        <f>(AA14+AA15+AA17+AA18+AA22+AA23+AA26+AA29+AA32+AA33+AA34)/CUI_Jornal/Lote_11</f>
        <v>#DIV/0!</v>
      </c>
      <c r="AB49" s="129" t="e">
        <f>(AB14+AB15+AB17+AB18+AB22+AB23+AB26+AB29+AB32+AB33+AB34)/CUI_Jornal/Lote_12</f>
        <v>#DIV/0!</v>
      </c>
      <c r="AC49" s="129" t="e">
        <f>(AC14+AC15+AC17+AC18+AC22+AC23+AC26+AC29+AC32+AC33+AC34)/CUI_Jornal/Lote_12</f>
        <v>#DIV/0!</v>
      </c>
      <c r="AD49" s="129" t="e">
        <f>(AD14+AD15+AD17+AD18+AD22+AD23+AD26+AD29+AD32+AD33+AD34)/CUI_Jornal/Lote_13</f>
        <v>#DIV/0!</v>
      </c>
      <c r="AE49" s="129" t="e">
        <f>(AE14+AE15+AE17+AE18+AE22+AE23+AE26+AE29+AE32+AE33+AE34)/CUI_Jornal/Lote_13</f>
        <v>#DIV/0!</v>
      </c>
      <c r="AF49" s="129" t="e">
        <f>(AF14+AF15+AF17+AF18+AF22+AF23+AF26+AF29+AF32+AF33+AF34)/CUI_Jornal/Lote_14</f>
        <v>#DIV/0!</v>
      </c>
      <c r="AG49" s="129" t="e">
        <f>(AG14+AG15+AG17+AG18+AG22+AG23+AG26+AG29+AG32+AG33+AG34)/CUI_Jornal/Lote_14</f>
        <v>#DIV/0!</v>
      </c>
      <c r="AH49" s="129" t="e">
        <f>(AH14+AH15+AH17+AH18+AH22+AH23+AH26+AH29+AH32+AH33+AH34)/CUI_Jornal/Lote_15</f>
        <v>#DIV/0!</v>
      </c>
      <c r="AI49" s="129" t="e">
        <f>(AI14+AI15+AI17+AI18+AI22+AI23+AI26+AI29+AI32+AI33+AI34)/CUI_Jornal/Lote_15</f>
        <v>#DIV/0!</v>
      </c>
      <c r="AJ49" s="129" t="e">
        <f>(AJ14+AJ15+AJ17+AJ18+AJ22+AJ23+AJ26+AJ29+AJ32+AJ33+AJ34)/CUI_Jornal/Lote_16</f>
        <v>#DIV/0!</v>
      </c>
      <c r="AK49" s="129" t="e">
        <f>(AK14+AK15+AK17+AK18+AK22+AK23+AK26+AK29+AK32+AK33+AK34)/CUI_Jornal/Lote_16</f>
        <v>#DIV/0!</v>
      </c>
      <c r="AL49" s="129" t="e">
        <f>(AL14+AL15+AL17+AL18+AL22+AL23+AL26+AL29+AL32+AL33+AL34)/CUI_Jornal/Lote_17</f>
        <v>#DIV/0!</v>
      </c>
      <c r="AM49" s="129" t="e">
        <f>(AM14+AM15+AM17+AM18+AM22+AM23+AM26+AM29+AM32+AM33+AM34)/CUI_Jornal/Lote_17</f>
        <v>#DIV/0!</v>
      </c>
      <c r="AN49" s="129" t="e">
        <f>(AN14+AN15+AN17+AN18+AN22+AN23+AN26+AN29+AN32+AN33+AN34)/CUI_Jornal/Lote_18</f>
        <v>#DIV/0!</v>
      </c>
      <c r="AO49" s="129" t="e">
        <f>(AO14+AO15+AO17+AO18+AO22+AO23+AO26+AO29+AO32+AO33+AO34)/CUI_Jornal/Lote_18</f>
        <v>#DIV/0!</v>
      </c>
      <c r="AP49" s="129" t="e">
        <f>(AP14+AP15+AP17+AP18+AP22+AP23+AP26+AP29+AP32+AP33+AP34)/CUI_Jornal/Lote_19</f>
        <v>#DIV/0!</v>
      </c>
      <c r="AQ49" s="129" t="e">
        <f>(AQ14+AQ15+AQ17+AQ18+AQ22+AQ23+AQ26+AQ29+AQ32+AQ33+AQ34)/CUI_Jornal/Lote_19</f>
        <v>#DIV/0!</v>
      </c>
      <c r="AR49" s="129" t="e">
        <f>(AR14+AR15+AR17+AR18+AR22+AR23+AR26+AR29+AR32+AR33+AR34)/CUI_Jornal/Lote_20</f>
        <v>#DIV/0!</v>
      </c>
      <c r="AS49" s="129" t="e">
        <f>(AS14+AS15+AS17+AS18+AS22+AS23+AS26+AS29+AS32+AS33+AS34)/CUI_Jornal/Lote_20</f>
        <v>#DIV/0!</v>
      </c>
      <c r="AT49" s="129" t="e">
        <f>(AT14+AT15+AT17+AT18+AT22+AT23+AT26+AT29+AT32+AT33+AT34)/CUI_Jornal/Lote_21</f>
        <v>#DIV/0!</v>
      </c>
      <c r="AU49" s="129" t="e">
        <f>(AU14+AU15+AU17+AU18+AU22+AU23+AU26+AU29+AU32+AU33+AU34)/CUI_Jornal/Lote_21</f>
        <v>#DIV/0!</v>
      </c>
      <c r="AV49" s="129" t="e">
        <f>(AV14+AV15+AV17+AV18+AV22+AV23+AV26+AV29+AV32+AV33+AV34)/CUI_Jornal/Lote_22</f>
        <v>#DIV/0!</v>
      </c>
      <c r="AW49" s="129" t="e">
        <f>(AW14+AW15+AW17+AW18+AW22+AW23+AW26+AW29+AW32+AW33+AW34)/CUI_Jornal/Lote_22</f>
        <v>#DIV/0!</v>
      </c>
      <c r="AX49" s="129" t="e">
        <f>(AX14+AX15+AX17+AX18+AX22+AX23+AX26+AX29+AX32+AX33+AX34)/CUI_Jornal/Lote_23</f>
        <v>#DIV/0!</v>
      </c>
      <c r="AY49" s="129" t="e">
        <f>(AY14+AY15+AY17+AY18+AY22+AY23+AY26+AY29+AY32+AY33+AY34)/CUI_Jornal/Lote_23</f>
        <v>#DIV/0!</v>
      </c>
      <c r="AZ49" s="129" t="e">
        <f>(AZ14+AZ15+AZ17+AZ18+AZ22+AZ23+AZ26+AZ29+AZ32+AZ33+AZ34)/CUI_Jornal/Lote_24</f>
        <v>#DIV/0!</v>
      </c>
      <c r="BA49" s="129" t="e">
        <f>(BA14+BA15+BA17+BA18+BA22+BA23+BA26+BA29+BA32+BA33+BA34)/CUI_Jornal/Lote_24</f>
        <v>#DIV/0!</v>
      </c>
      <c r="BB49" s="129" t="e">
        <f>(BB14+BB15+BB17+BB18+BB22+BB23+BB26+BB29+BB32+BB33+BB34)/CUI_Jornal/Lote_25</f>
        <v>#DIV/0!</v>
      </c>
      <c r="BC49" s="129" t="e">
        <f>(BC14+BC15+BC17+BC18+BC22+BC23+BC26+BC29+BC32+BC33+BC34)/CUI_Jornal/Lote_25</f>
        <v>#DIV/0!</v>
      </c>
      <c r="BD49" s="129" t="e">
        <f>(BD14+BD15+BD17+BD18+BD22+BD23+BD26+BD29+BD32+BD33+BD34)/CUI_Jornal/Lote_26</f>
        <v>#DIV/0!</v>
      </c>
      <c r="BE49" s="129" t="e">
        <f>(BE14+BE15+BE17+BE18+BE22+BE23+BE26+BE29+BE32+BE33+BE34)/CUI_Jornal/Lote_26</f>
        <v>#DIV/0!</v>
      </c>
      <c r="BF49" s="129" t="e">
        <f>(BF14+BF15+BF17+BF18+BF22+BF23+BF26+BF29+BF32+BF33+BF34)/CUI_Jornal/Lote_27</f>
        <v>#DIV/0!</v>
      </c>
      <c r="BG49" s="129" t="e">
        <f>(BG14+BG15+BG17+BG18+BG22+BG23+BG26+BG29+BG32+BG33+BG34)/CUI_Jornal/Lote_27</f>
        <v>#DIV/0!</v>
      </c>
      <c r="BH49" s="129" t="e">
        <f>(BH14+BH15+BH17+BH18+BH22+BH23+BH26+BH29+BH32+BH33+BH34)/CUI_Jornal/Lote_28</f>
        <v>#DIV/0!</v>
      </c>
      <c r="BI49" s="129" t="e">
        <f>(BI14+BI15+BI17+BI18+BI22+BI23+BI26+BI29+BI32+BI33+BI34)/CUI_Jornal/Lote_28</f>
        <v>#DIV/0!</v>
      </c>
      <c r="BJ49" s="129" t="e">
        <f>(BJ14+BJ15+BJ17+BJ18+BJ22+BJ23+BJ26+BJ29+BJ32+BJ33+BJ34)/CUI_Jornal/Lote_29</f>
        <v>#DIV/0!</v>
      </c>
      <c r="BK49" s="129" t="e">
        <f>(BK14+BK15+BK17+BK18+BK22+BK23+BK26+BK29+BK32+BK33+BK34)/CUI_Jornal/Lote_29</f>
        <v>#DIV/0!</v>
      </c>
      <c r="BL49" s="129" t="e">
        <f>(BL14+BL15+BL17+BL18+BL22+BL23+BL26+BL29+BL32+BL33+BL34)/CUI_Jornal/Lote_30</f>
        <v>#DIV/0!</v>
      </c>
      <c r="BM49" s="129" t="e">
        <f>(BM14+BM15+BM17+BM18+BM22+BM23+BM26+BM29+BM32+BM33+BM34)/CUI_Jornal/Lote_30</f>
        <v>#DIV/0!</v>
      </c>
      <c r="BN49" s="129" t="e">
        <f>(BN14+BN15+BN17+BN18+BN22+BN23+BN26+BN29+BN32+BN33+BN34)/CUI_Jornal/Lote_31</f>
        <v>#DIV/0!</v>
      </c>
      <c r="BO49" s="129" t="e">
        <f>(BO14+BO15+BO17+BO18+BO22+BO23+BO26+BO29+BO32+BO33+BO34)/CUI_Jornal/Lote_31</f>
        <v>#DIV/0!</v>
      </c>
      <c r="BP49" s="129" t="e">
        <f>(BP14+BP15+BP17+BP18+BP22+BP23+BP26+BP29+BP32+BP33+BP34)/CUI_Jornal/Lote_32</f>
        <v>#DIV/0!</v>
      </c>
      <c r="BQ49" s="129" t="e">
        <f>(BQ14+BQ15+BQ17+BQ18+BQ22+BQ23+BQ26+BQ29+BQ32+BQ33+BQ34)/CUI_Jornal/Lote_32</f>
        <v>#DIV/0!</v>
      </c>
      <c r="BR49" s="129" t="e">
        <f>(BR14+BR15+BR17+BR18+BR22+BR23+BR26+BR29+BR32+BR33+BR34)/CUI_Jornal/Lote_33</f>
        <v>#DIV/0!</v>
      </c>
      <c r="BS49" s="129" t="e">
        <f>(BS14+BS15+BS17+BS18+BS22+BS23+BS26+BS29+BS32+BS33+BS34)/CUI_Jornal/Lote_33</f>
        <v>#DIV/0!</v>
      </c>
      <c r="BT49" s="129" t="e">
        <f>(BT14+BT15+BT17+BT18+BT22+BT23+BT26+BT29+BT32+BT33+BT34)/CUI_Jornal/Lote_34</f>
        <v>#DIV/0!</v>
      </c>
      <c r="BU49" s="129" t="e">
        <f>(BU14+BU15+BU17+BU18+BU22+BU23+BU26+BU29+BU32+BU33+BU34)/CUI_Jornal/Lote_34</f>
        <v>#DIV/0!</v>
      </c>
      <c r="BV49" s="129" t="e">
        <f>(BV14+BV15+BV17+BV18+BV22+BV23+BV26+BV29+BV32+BV33+BV34)/CUI_Jornal/Lote_35</f>
        <v>#DIV/0!</v>
      </c>
      <c r="BW49" s="129" t="e">
        <f>(BW14+BW15+BW17+BW18+BW22+BW23+BW26+BW29+BW32+BW33+BW34)/CUI_Jornal/Lote_35</f>
        <v>#DIV/0!</v>
      </c>
      <c r="BX49" s="129" t="e">
        <f>(BX14+BX15+BX17+BX18+BX22+BX23+BX26+BX29+BX32+BX33+BX34)/CUI_Jornal/Lote_36</f>
        <v>#DIV/0!</v>
      </c>
      <c r="BY49" s="129" t="e">
        <f>(BY14+BY15+BY17+BY18+BY22+BY23+BY26+BY29+BY32+BY33+BY34)/CUI_Jornal/Lote_36</f>
        <v>#DIV/0!</v>
      </c>
      <c r="BZ49" s="129" t="e">
        <f>(BZ14+BZ15+BZ17+BZ18+BZ22+BZ23+BZ26+BZ29+BZ32+BZ33+BZ34)/CUI_Jornal/Lote_37</f>
        <v>#DIV/0!</v>
      </c>
      <c r="CA49" s="129" t="e">
        <f>(CA14+CA15+CA17+CA18+CA22+CA23+CA26+CA29+CA32+CA33+CA34)/CUI_Jornal/Lote_37</f>
        <v>#DIV/0!</v>
      </c>
      <c r="CB49" s="129" t="e">
        <f>(CB14+CB15+CB17+CB18+CB22+CB23+CB26+CB29+CB32+CB33+CB34)/CUI_Jornal/Lote_38</f>
        <v>#DIV/0!</v>
      </c>
      <c r="CC49" s="129" t="e">
        <f>(CC14+CC15+CC17+CC18+CC22+CC23+CC26+CC29+CC32+CC33+CC34)/CUI_Jornal/Lote_38</f>
        <v>#DIV/0!</v>
      </c>
      <c r="CD49" s="129" t="e">
        <f>(CD14+CD15+CD17+CD18+CD22+CD23+CD26+CD29+CD32+CD33+CD34)/CUI_Jornal/Lote_39</f>
        <v>#DIV/0!</v>
      </c>
      <c r="CE49" s="129" t="e">
        <f>(CE14+CE15+CE17+CE18+CE22+CE23+CE26+CE29+CE32+CE33+CE34)/CUI_Jornal/Lote_39</f>
        <v>#DIV/0!</v>
      </c>
      <c r="CF49" s="129" t="e">
        <f>(CF14+CF15+CF17+CF18+CF22+CF23+CF26+CF29+CF32+CF33+CF34)/CUI_Jornal/Lote_40</f>
        <v>#DIV/0!</v>
      </c>
      <c r="CG49" s="129" t="e">
        <f>(CG14+CG15+CG17+CG18+CG22+CG23+CG26+CG29+CG32+CG33+CG34)/CUI_Jornal/Lote_40</f>
        <v>#DIV/0!</v>
      </c>
      <c r="CH49" s="474"/>
      <c r="CI49" s="129"/>
      <c r="CJ49" s="129"/>
      <c r="CK49" s="129"/>
      <c r="CL49" s="129"/>
      <c r="CM49" s="129"/>
      <c r="CN49" s="129"/>
      <c r="CO49" s="130"/>
    </row>
    <row r="50" spans="1:93" ht="30.95" customHeight="1" x14ac:dyDescent="0.3">
      <c r="A50" s="424" t="s">
        <v>85</v>
      </c>
      <c r="B50" s="424"/>
      <c r="C50" s="424"/>
    </row>
  </sheetData>
  <sheetProtection algorithmName="SHA-512" hashValue="sfAe4g+04fOsp/8F2ftJXnCQuYgsWbLh+cVNXaj4SVMDcieZmdMYJRGn1Oh27sd3QIg1icXnNiYOVaLYu5TFyA==" saltValue="J/71NiV0pR01RUEYyFfGgQ==" spinCount="100000" sheet="1" objects="1" scenarios="1" formatColumns="0"/>
  <mergeCells count="86">
    <mergeCell ref="CB47:CC47"/>
    <mergeCell ref="CD47:CE47"/>
    <mergeCell ref="CF47:CG47"/>
    <mergeCell ref="BP47:BQ47"/>
    <mergeCell ref="BR47:BS47"/>
    <mergeCell ref="BT47:BU47"/>
    <mergeCell ref="BV47:BW47"/>
    <mergeCell ref="BX47:BY47"/>
    <mergeCell ref="BZ47:CA47"/>
    <mergeCell ref="BN47:BO47"/>
    <mergeCell ref="AR47:AS47"/>
    <mergeCell ref="AT47:AU47"/>
    <mergeCell ref="AV47:AW47"/>
    <mergeCell ref="AX47:AY47"/>
    <mergeCell ref="AZ47:BA47"/>
    <mergeCell ref="BB47:BC47"/>
    <mergeCell ref="BD47:BE47"/>
    <mergeCell ref="BF47:BG47"/>
    <mergeCell ref="BH47:BI47"/>
    <mergeCell ref="BJ47:BK47"/>
    <mergeCell ref="BL47:BM47"/>
    <mergeCell ref="AP47:AQ47"/>
    <mergeCell ref="T47:U47"/>
    <mergeCell ref="V47:W47"/>
    <mergeCell ref="X47:Y47"/>
    <mergeCell ref="Z47:AA47"/>
    <mergeCell ref="AB47:AC47"/>
    <mergeCell ref="AD47:AE47"/>
    <mergeCell ref="AF47:AG47"/>
    <mergeCell ref="AH47:AI47"/>
    <mergeCell ref="AJ47:AK47"/>
    <mergeCell ref="AL47:AM47"/>
    <mergeCell ref="AN47:AO47"/>
    <mergeCell ref="CH4:CH49"/>
    <mergeCell ref="B47:C47"/>
    <mergeCell ref="F47:G47"/>
    <mergeCell ref="H47:I47"/>
    <mergeCell ref="J47:K47"/>
    <mergeCell ref="L47:M47"/>
    <mergeCell ref="N47:O47"/>
    <mergeCell ref="P47:Q47"/>
    <mergeCell ref="R47:S47"/>
    <mergeCell ref="CF4:CG4"/>
    <mergeCell ref="BT4:BU4"/>
    <mergeCell ref="BV4:BW4"/>
    <mergeCell ref="BX4:BY4"/>
    <mergeCell ref="BZ4:CA4"/>
    <mergeCell ref="CB4:CC4"/>
    <mergeCell ref="CD4:CE4"/>
    <mergeCell ref="AL4:AM4"/>
    <mergeCell ref="AN4:AO4"/>
    <mergeCell ref="AP4:AQ4"/>
    <mergeCell ref="AR4:AS4"/>
    <mergeCell ref="BR4:BS4"/>
    <mergeCell ref="AV4:AW4"/>
    <mergeCell ref="AX4:AY4"/>
    <mergeCell ref="AZ4:BA4"/>
    <mergeCell ref="BB4:BC4"/>
    <mergeCell ref="BD4:BE4"/>
    <mergeCell ref="BF4:BG4"/>
    <mergeCell ref="BH4:BI4"/>
    <mergeCell ref="BJ4:BK4"/>
    <mergeCell ref="BL4:BM4"/>
    <mergeCell ref="BN4:BO4"/>
    <mergeCell ref="BP4:BQ4"/>
    <mergeCell ref="J4:K4"/>
    <mergeCell ref="B4:D4"/>
    <mergeCell ref="AT4:AU4"/>
    <mergeCell ref="AD4:AE4"/>
    <mergeCell ref="AF4:AG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J4:AK4"/>
    <mergeCell ref="A50:C50"/>
    <mergeCell ref="A2:D2"/>
    <mergeCell ref="E4:E49"/>
    <mergeCell ref="F4:G4"/>
    <mergeCell ref="H4:I4"/>
  </mergeCells>
  <hyperlinks>
    <hyperlink ref="CH1" location="Inicio!A15" display="Regresar" xr:uid="{FE1E71A0-49CF-42FB-88EE-DBAF4CCBBBA4}"/>
    <hyperlink ref="A1" location="Inicio!C18" display="Regresar" xr:uid="{9543946E-33FD-4817-A33E-6D0E2C1FC251}"/>
    <hyperlink ref="A1:CO1" location="Inicio!C18" display="Regresar" xr:uid="{47B16FBA-069B-4793-87F0-1621C2DF7F32}"/>
  </hyperlink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B2A87-4193-8847-A226-DE16C93344CF}">
  <sheetPr codeName="Hoja4"/>
  <dimension ref="A1:XEZ49"/>
  <sheetViews>
    <sheetView showGridLines="0" zoomScaleNormal="80" workbookViewId="0">
      <pane ySplit="4" topLeftCell="A5" activePane="bottomLeft" state="frozen"/>
      <selection activeCell="C5" sqref="C5"/>
      <selection pane="bottomLeft" activeCell="C42" sqref="C42"/>
    </sheetView>
  </sheetViews>
  <sheetFormatPr baseColWidth="10" defaultColWidth="11" defaultRowHeight="17.25" x14ac:dyDescent="0.3"/>
  <cols>
    <col min="1" max="1" width="44" style="193" customWidth="1"/>
    <col min="2" max="2" width="27.125" style="193" customWidth="1"/>
    <col min="3" max="3" width="41.125" style="193" customWidth="1"/>
    <col min="4" max="12" width="11" style="208"/>
    <col min="13" max="16384" width="11" style="193"/>
  </cols>
  <sheetData>
    <row r="1" spans="1:16380" ht="35.1" customHeight="1" thickBot="1" x14ac:dyDescent="0.35">
      <c r="A1" s="196" t="s">
        <v>21</v>
      </c>
      <c r="B1" s="197"/>
      <c r="C1" s="198"/>
    </row>
    <row r="2" spans="1:16380" s="202" customFormat="1" ht="50.1" customHeight="1" x14ac:dyDescent="0.3">
      <c r="A2" s="425" t="str">
        <f>CONCATENATE("Planificación financiera ",Up, " | Precios de referencia")</f>
        <v>Planificación financiera  | Precios de referencia</v>
      </c>
      <c r="B2" s="426"/>
      <c r="C2" s="427"/>
      <c r="D2" s="199"/>
      <c r="E2" s="428" t="s">
        <v>23</v>
      </c>
      <c r="F2" s="429"/>
      <c r="G2" s="429"/>
      <c r="H2" s="429"/>
      <c r="I2" s="428" t="s">
        <v>23</v>
      </c>
      <c r="J2" s="429"/>
      <c r="K2" s="429"/>
      <c r="L2" s="429"/>
      <c r="M2" s="428" t="s">
        <v>23</v>
      </c>
      <c r="N2" s="429"/>
      <c r="O2" s="429"/>
      <c r="P2" s="429"/>
      <c r="Q2" s="428" t="s">
        <v>23</v>
      </c>
      <c r="R2" s="429"/>
      <c r="S2" s="429"/>
      <c r="T2" s="429"/>
      <c r="U2" s="428" t="s">
        <v>23</v>
      </c>
      <c r="V2" s="429"/>
      <c r="W2" s="429"/>
      <c r="X2" s="429"/>
      <c r="Y2" s="428" t="s">
        <v>23</v>
      </c>
      <c r="Z2" s="429"/>
      <c r="AA2" s="429"/>
      <c r="AB2" s="429"/>
      <c r="AC2" s="428" t="s">
        <v>23</v>
      </c>
      <c r="AD2" s="429"/>
      <c r="AE2" s="429"/>
      <c r="AF2" s="429"/>
      <c r="AG2" s="428" t="s">
        <v>23</v>
      </c>
      <c r="AH2" s="429"/>
      <c r="AI2" s="429"/>
      <c r="AJ2" s="429"/>
      <c r="AK2" s="428" t="s">
        <v>23</v>
      </c>
      <c r="AL2" s="429"/>
      <c r="AM2" s="429"/>
      <c r="AN2" s="429"/>
      <c r="AO2" s="428" t="s">
        <v>23</v>
      </c>
      <c r="AP2" s="429"/>
      <c r="AQ2" s="429"/>
      <c r="AR2" s="429"/>
      <c r="AS2" s="428" t="s">
        <v>23</v>
      </c>
      <c r="AT2" s="429"/>
      <c r="AU2" s="429"/>
      <c r="AV2" s="429"/>
      <c r="AW2" s="428" t="s">
        <v>23</v>
      </c>
      <c r="AX2" s="429"/>
      <c r="AY2" s="429"/>
      <c r="AZ2" s="429"/>
      <c r="BA2" s="428" t="s">
        <v>23</v>
      </c>
      <c r="BB2" s="429"/>
      <c r="BC2" s="429"/>
      <c r="BD2" s="429"/>
      <c r="BE2" s="428" t="s">
        <v>23</v>
      </c>
      <c r="BF2" s="429"/>
      <c r="BG2" s="429"/>
      <c r="BH2" s="429"/>
      <c r="BI2" s="428" t="s">
        <v>23</v>
      </c>
      <c r="BJ2" s="429"/>
      <c r="BK2" s="429"/>
      <c r="BL2" s="429"/>
      <c r="BM2" s="428" t="s">
        <v>23</v>
      </c>
      <c r="BN2" s="429"/>
      <c r="BO2" s="429"/>
      <c r="BP2" s="429"/>
      <c r="BQ2" s="428" t="s">
        <v>23</v>
      </c>
      <c r="BR2" s="429"/>
      <c r="BS2" s="429"/>
      <c r="BT2" s="429"/>
      <c r="BU2" s="428" t="s">
        <v>23</v>
      </c>
      <c r="BV2" s="429"/>
      <c r="BW2" s="429"/>
      <c r="BX2" s="429"/>
      <c r="BY2" s="428" t="s">
        <v>23</v>
      </c>
      <c r="BZ2" s="429"/>
      <c r="CA2" s="429"/>
      <c r="CB2" s="429"/>
      <c r="CC2" s="428" t="s">
        <v>23</v>
      </c>
      <c r="CD2" s="429"/>
      <c r="CE2" s="429"/>
      <c r="CF2" s="429"/>
      <c r="CG2" s="428" t="s">
        <v>23</v>
      </c>
      <c r="CH2" s="429"/>
      <c r="CI2" s="429"/>
      <c r="CJ2" s="429"/>
      <c r="CK2" s="428" t="s">
        <v>23</v>
      </c>
      <c r="CL2" s="429"/>
      <c r="CM2" s="429"/>
      <c r="CN2" s="429"/>
      <c r="CO2" s="428" t="s">
        <v>23</v>
      </c>
      <c r="CP2" s="429"/>
      <c r="CQ2" s="429"/>
      <c r="CR2" s="429"/>
      <c r="CS2" s="428" t="s">
        <v>23</v>
      </c>
      <c r="CT2" s="429"/>
      <c r="CU2" s="429"/>
      <c r="CV2" s="429"/>
      <c r="CW2" s="428" t="s">
        <v>23</v>
      </c>
      <c r="CX2" s="429"/>
      <c r="CY2" s="429"/>
      <c r="CZ2" s="429"/>
      <c r="DA2" s="428" t="s">
        <v>23</v>
      </c>
      <c r="DB2" s="429"/>
      <c r="DC2" s="429"/>
      <c r="DD2" s="429"/>
      <c r="DE2" s="428" t="s">
        <v>23</v>
      </c>
      <c r="DF2" s="429"/>
      <c r="DG2" s="429"/>
      <c r="DH2" s="429"/>
      <c r="DI2" s="428" t="s">
        <v>23</v>
      </c>
      <c r="DJ2" s="429"/>
      <c r="DK2" s="429"/>
      <c r="DL2" s="429"/>
      <c r="DM2" s="428" t="s">
        <v>23</v>
      </c>
      <c r="DN2" s="429"/>
      <c r="DO2" s="429"/>
      <c r="DP2" s="429"/>
      <c r="DQ2" s="428" t="s">
        <v>23</v>
      </c>
      <c r="DR2" s="429"/>
      <c r="DS2" s="429"/>
      <c r="DT2" s="429"/>
      <c r="DU2" s="428" t="s">
        <v>23</v>
      </c>
      <c r="DV2" s="429"/>
      <c r="DW2" s="429"/>
      <c r="DX2" s="429"/>
      <c r="DY2" s="428" t="s">
        <v>23</v>
      </c>
      <c r="DZ2" s="429"/>
      <c r="EA2" s="429"/>
      <c r="EB2" s="429"/>
      <c r="EC2" s="428" t="s">
        <v>23</v>
      </c>
      <c r="ED2" s="429"/>
      <c r="EE2" s="429"/>
      <c r="EF2" s="429"/>
      <c r="EG2" s="428" t="s">
        <v>23</v>
      </c>
      <c r="EH2" s="429"/>
      <c r="EI2" s="429"/>
      <c r="EJ2" s="429"/>
      <c r="EK2" s="428" t="s">
        <v>23</v>
      </c>
      <c r="EL2" s="429"/>
      <c r="EM2" s="429"/>
      <c r="EN2" s="429"/>
      <c r="EO2" s="428" t="s">
        <v>23</v>
      </c>
      <c r="EP2" s="429"/>
      <c r="EQ2" s="429"/>
      <c r="ER2" s="429"/>
      <c r="ES2" s="428" t="s">
        <v>23</v>
      </c>
      <c r="ET2" s="429"/>
      <c r="EU2" s="429"/>
      <c r="EV2" s="429"/>
      <c r="EW2" s="428" t="s">
        <v>23</v>
      </c>
      <c r="EX2" s="429"/>
      <c r="EY2" s="429"/>
      <c r="EZ2" s="429"/>
      <c r="FA2" s="428" t="s">
        <v>23</v>
      </c>
      <c r="FB2" s="429"/>
      <c r="FC2" s="429"/>
      <c r="FD2" s="429"/>
      <c r="FE2" s="428" t="s">
        <v>23</v>
      </c>
      <c r="FF2" s="429"/>
      <c r="FG2" s="429"/>
      <c r="FH2" s="429"/>
      <c r="FI2" s="428" t="s">
        <v>23</v>
      </c>
      <c r="FJ2" s="429"/>
      <c r="FK2" s="429"/>
      <c r="FL2" s="429"/>
      <c r="FM2" s="428" t="s">
        <v>23</v>
      </c>
      <c r="FN2" s="429"/>
      <c r="FO2" s="429"/>
      <c r="FP2" s="429"/>
      <c r="FQ2" s="428" t="s">
        <v>23</v>
      </c>
      <c r="FR2" s="429"/>
      <c r="FS2" s="429"/>
      <c r="FT2" s="429"/>
      <c r="FU2" s="428" t="s">
        <v>23</v>
      </c>
      <c r="FV2" s="429"/>
      <c r="FW2" s="429"/>
      <c r="FX2" s="429"/>
      <c r="FY2" s="428" t="s">
        <v>23</v>
      </c>
      <c r="FZ2" s="429"/>
      <c r="GA2" s="429"/>
      <c r="GB2" s="429"/>
      <c r="GC2" s="428" t="s">
        <v>23</v>
      </c>
      <c r="GD2" s="429"/>
      <c r="GE2" s="429"/>
      <c r="GF2" s="429"/>
      <c r="GG2" s="428" t="s">
        <v>23</v>
      </c>
      <c r="GH2" s="429"/>
      <c r="GI2" s="429"/>
      <c r="GJ2" s="429"/>
      <c r="GK2" s="428" t="s">
        <v>23</v>
      </c>
      <c r="GL2" s="429"/>
      <c r="GM2" s="429"/>
      <c r="GN2" s="429"/>
      <c r="GO2" s="428" t="s">
        <v>23</v>
      </c>
      <c r="GP2" s="429"/>
      <c r="GQ2" s="429"/>
      <c r="GR2" s="429"/>
      <c r="GS2" s="428" t="s">
        <v>23</v>
      </c>
      <c r="GT2" s="429"/>
      <c r="GU2" s="429"/>
      <c r="GV2" s="429"/>
      <c r="GW2" s="428" t="s">
        <v>23</v>
      </c>
      <c r="GX2" s="429"/>
      <c r="GY2" s="429"/>
      <c r="GZ2" s="429"/>
      <c r="HA2" s="428" t="s">
        <v>23</v>
      </c>
      <c r="HB2" s="429"/>
      <c r="HC2" s="429"/>
      <c r="HD2" s="429"/>
      <c r="HE2" s="428" t="s">
        <v>23</v>
      </c>
      <c r="HF2" s="429"/>
      <c r="HG2" s="429"/>
      <c r="HH2" s="429"/>
      <c r="HI2" s="428" t="s">
        <v>23</v>
      </c>
      <c r="HJ2" s="429"/>
      <c r="HK2" s="429"/>
      <c r="HL2" s="429"/>
      <c r="HM2" s="428" t="s">
        <v>23</v>
      </c>
      <c r="HN2" s="429"/>
      <c r="HO2" s="429"/>
      <c r="HP2" s="429"/>
      <c r="HQ2" s="428" t="s">
        <v>23</v>
      </c>
      <c r="HR2" s="429"/>
      <c r="HS2" s="429"/>
      <c r="HT2" s="429"/>
      <c r="HU2" s="428" t="s">
        <v>23</v>
      </c>
      <c r="HV2" s="429"/>
      <c r="HW2" s="429"/>
      <c r="HX2" s="429"/>
      <c r="HY2" s="428" t="s">
        <v>23</v>
      </c>
      <c r="HZ2" s="429"/>
      <c r="IA2" s="429"/>
      <c r="IB2" s="429"/>
      <c r="IC2" s="428" t="s">
        <v>23</v>
      </c>
      <c r="ID2" s="429"/>
      <c r="IE2" s="429"/>
      <c r="IF2" s="429"/>
      <c r="IG2" s="428" t="s">
        <v>23</v>
      </c>
      <c r="IH2" s="429"/>
      <c r="II2" s="429"/>
      <c r="IJ2" s="429"/>
      <c r="IK2" s="428" t="s">
        <v>23</v>
      </c>
      <c r="IL2" s="429"/>
      <c r="IM2" s="429"/>
      <c r="IN2" s="429"/>
      <c r="IO2" s="428" t="s">
        <v>23</v>
      </c>
      <c r="IP2" s="429"/>
      <c r="IQ2" s="429"/>
      <c r="IR2" s="429"/>
      <c r="IS2" s="428" t="s">
        <v>23</v>
      </c>
      <c r="IT2" s="429"/>
      <c r="IU2" s="429"/>
      <c r="IV2" s="429"/>
      <c r="IW2" s="428" t="s">
        <v>23</v>
      </c>
      <c r="IX2" s="429"/>
      <c r="IY2" s="429"/>
      <c r="IZ2" s="429"/>
      <c r="JA2" s="428" t="s">
        <v>23</v>
      </c>
      <c r="JB2" s="429"/>
      <c r="JC2" s="429"/>
      <c r="JD2" s="429"/>
      <c r="JE2" s="428" t="s">
        <v>23</v>
      </c>
      <c r="JF2" s="429"/>
      <c r="JG2" s="429"/>
      <c r="JH2" s="429"/>
      <c r="JI2" s="428" t="s">
        <v>23</v>
      </c>
      <c r="JJ2" s="429"/>
      <c r="JK2" s="429"/>
      <c r="JL2" s="429"/>
      <c r="JM2" s="428" t="s">
        <v>23</v>
      </c>
      <c r="JN2" s="429"/>
      <c r="JO2" s="429"/>
      <c r="JP2" s="429"/>
      <c r="JQ2" s="428" t="s">
        <v>23</v>
      </c>
      <c r="JR2" s="429"/>
      <c r="JS2" s="429"/>
      <c r="JT2" s="429"/>
      <c r="JU2" s="428" t="s">
        <v>23</v>
      </c>
      <c r="JV2" s="429"/>
      <c r="JW2" s="429"/>
      <c r="JX2" s="429"/>
      <c r="JY2" s="428" t="s">
        <v>23</v>
      </c>
      <c r="JZ2" s="429"/>
      <c r="KA2" s="429"/>
      <c r="KB2" s="429"/>
      <c r="KC2" s="428" t="s">
        <v>23</v>
      </c>
      <c r="KD2" s="429"/>
      <c r="KE2" s="429"/>
      <c r="KF2" s="429"/>
      <c r="KG2" s="428" t="s">
        <v>23</v>
      </c>
      <c r="KH2" s="429"/>
      <c r="KI2" s="429"/>
      <c r="KJ2" s="429"/>
      <c r="KK2" s="428" t="s">
        <v>23</v>
      </c>
      <c r="KL2" s="429"/>
      <c r="KM2" s="429"/>
      <c r="KN2" s="429"/>
      <c r="KO2" s="428" t="s">
        <v>23</v>
      </c>
      <c r="KP2" s="429"/>
      <c r="KQ2" s="429"/>
      <c r="KR2" s="429"/>
      <c r="KS2" s="428" t="s">
        <v>23</v>
      </c>
      <c r="KT2" s="429"/>
      <c r="KU2" s="429"/>
      <c r="KV2" s="429"/>
      <c r="KW2" s="428" t="s">
        <v>23</v>
      </c>
      <c r="KX2" s="429"/>
      <c r="KY2" s="429"/>
      <c r="KZ2" s="429"/>
      <c r="LA2" s="428" t="s">
        <v>23</v>
      </c>
      <c r="LB2" s="429"/>
      <c r="LC2" s="429"/>
      <c r="LD2" s="429"/>
      <c r="LE2" s="428" t="s">
        <v>23</v>
      </c>
      <c r="LF2" s="429"/>
      <c r="LG2" s="429"/>
      <c r="LH2" s="429"/>
      <c r="LI2" s="428" t="s">
        <v>23</v>
      </c>
      <c r="LJ2" s="429"/>
      <c r="LK2" s="429"/>
      <c r="LL2" s="429"/>
      <c r="LM2" s="428" t="s">
        <v>23</v>
      </c>
      <c r="LN2" s="429"/>
      <c r="LO2" s="429"/>
      <c r="LP2" s="429"/>
      <c r="LQ2" s="428" t="s">
        <v>23</v>
      </c>
      <c r="LR2" s="429"/>
      <c r="LS2" s="429"/>
      <c r="LT2" s="429"/>
      <c r="LU2" s="428" t="s">
        <v>23</v>
      </c>
      <c r="LV2" s="429"/>
      <c r="LW2" s="429"/>
      <c r="LX2" s="429"/>
      <c r="LY2" s="428" t="s">
        <v>23</v>
      </c>
      <c r="LZ2" s="429"/>
      <c r="MA2" s="429"/>
      <c r="MB2" s="429"/>
      <c r="MC2" s="428" t="s">
        <v>23</v>
      </c>
      <c r="MD2" s="429"/>
      <c r="ME2" s="429"/>
      <c r="MF2" s="429"/>
      <c r="MG2" s="428" t="s">
        <v>23</v>
      </c>
      <c r="MH2" s="429"/>
      <c r="MI2" s="429"/>
      <c r="MJ2" s="429"/>
      <c r="MK2" s="428" t="s">
        <v>23</v>
      </c>
      <c r="ML2" s="429"/>
      <c r="MM2" s="429"/>
      <c r="MN2" s="429"/>
      <c r="MO2" s="428" t="s">
        <v>23</v>
      </c>
      <c r="MP2" s="429"/>
      <c r="MQ2" s="429"/>
      <c r="MR2" s="429"/>
      <c r="MS2" s="428" t="s">
        <v>23</v>
      </c>
      <c r="MT2" s="429"/>
      <c r="MU2" s="429"/>
      <c r="MV2" s="429"/>
      <c r="MW2" s="428" t="s">
        <v>23</v>
      </c>
      <c r="MX2" s="429"/>
      <c r="MY2" s="429"/>
      <c r="MZ2" s="429"/>
      <c r="NA2" s="428" t="s">
        <v>23</v>
      </c>
      <c r="NB2" s="429"/>
      <c r="NC2" s="429"/>
      <c r="ND2" s="429"/>
      <c r="NE2" s="428" t="s">
        <v>23</v>
      </c>
      <c r="NF2" s="429"/>
      <c r="NG2" s="429"/>
      <c r="NH2" s="429"/>
      <c r="NI2" s="428" t="s">
        <v>23</v>
      </c>
      <c r="NJ2" s="429"/>
      <c r="NK2" s="429"/>
      <c r="NL2" s="429"/>
      <c r="NM2" s="428" t="s">
        <v>23</v>
      </c>
      <c r="NN2" s="429"/>
      <c r="NO2" s="429"/>
      <c r="NP2" s="429"/>
      <c r="NQ2" s="428" t="s">
        <v>23</v>
      </c>
      <c r="NR2" s="429"/>
      <c r="NS2" s="429"/>
      <c r="NT2" s="429"/>
      <c r="NU2" s="428" t="s">
        <v>23</v>
      </c>
      <c r="NV2" s="429"/>
      <c r="NW2" s="429"/>
      <c r="NX2" s="429"/>
      <c r="NY2" s="428" t="s">
        <v>23</v>
      </c>
      <c r="NZ2" s="429"/>
      <c r="OA2" s="429"/>
      <c r="OB2" s="429"/>
      <c r="OC2" s="428" t="s">
        <v>23</v>
      </c>
      <c r="OD2" s="429"/>
      <c r="OE2" s="429"/>
      <c r="OF2" s="429"/>
      <c r="OG2" s="428" t="s">
        <v>23</v>
      </c>
      <c r="OH2" s="429"/>
      <c r="OI2" s="429"/>
      <c r="OJ2" s="429"/>
      <c r="OK2" s="428" t="s">
        <v>23</v>
      </c>
      <c r="OL2" s="429"/>
      <c r="OM2" s="429"/>
      <c r="ON2" s="429"/>
      <c r="OO2" s="428" t="s">
        <v>23</v>
      </c>
      <c r="OP2" s="429"/>
      <c r="OQ2" s="429"/>
      <c r="OR2" s="429"/>
      <c r="OS2" s="428" t="s">
        <v>23</v>
      </c>
      <c r="OT2" s="429"/>
      <c r="OU2" s="429"/>
      <c r="OV2" s="429"/>
      <c r="OW2" s="428" t="s">
        <v>23</v>
      </c>
      <c r="OX2" s="429"/>
      <c r="OY2" s="429"/>
      <c r="OZ2" s="429"/>
      <c r="PA2" s="428" t="s">
        <v>23</v>
      </c>
      <c r="PB2" s="429"/>
      <c r="PC2" s="429"/>
      <c r="PD2" s="429"/>
      <c r="PE2" s="428" t="s">
        <v>23</v>
      </c>
      <c r="PF2" s="429"/>
      <c r="PG2" s="429"/>
      <c r="PH2" s="429"/>
      <c r="PI2" s="428" t="s">
        <v>23</v>
      </c>
      <c r="PJ2" s="429"/>
      <c r="PK2" s="429"/>
      <c r="PL2" s="429"/>
      <c r="PM2" s="428" t="s">
        <v>23</v>
      </c>
      <c r="PN2" s="429"/>
      <c r="PO2" s="429"/>
      <c r="PP2" s="429"/>
      <c r="PQ2" s="428" t="s">
        <v>23</v>
      </c>
      <c r="PR2" s="429"/>
      <c r="PS2" s="429"/>
      <c r="PT2" s="429"/>
      <c r="PU2" s="428" t="s">
        <v>23</v>
      </c>
      <c r="PV2" s="429"/>
      <c r="PW2" s="429"/>
      <c r="PX2" s="429"/>
      <c r="PY2" s="428" t="s">
        <v>23</v>
      </c>
      <c r="PZ2" s="429"/>
      <c r="QA2" s="429"/>
      <c r="QB2" s="429"/>
      <c r="QC2" s="428" t="s">
        <v>23</v>
      </c>
      <c r="QD2" s="429"/>
      <c r="QE2" s="429"/>
      <c r="QF2" s="429"/>
      <c r="QG2" s="428" t="s">
        <v>23</v>
      </c>
      <c r="QH2" s="429"/>
      <c r="QI2" s="429"/>
      <c r="QJ2" s="429"/>
      <c r="QK2" s="428" t="s">
        <v>23</v>
      </c>
      <c r="QL2" s="429"/>
      <c r="QM2" s="429"/>
      <c r="QN2" s="429"/>
      <c r="QO2" s="428" t="s">
        <v>23</v>
      </c>
      <c r="QP2" s="429"/>
      <c r="QQ2" s="429"/>
      <c r="QR2" s="429"/>
      <c r="QS2" s="428" t="s">
        <v>23</v>
      </c>
      <c r="QT2" s="429"/>
      <c r="QU2" s="429"/>
      <c r="QV2" s="429"/>
      <c r="QW2" s="428" t="s">
        <v>23</v>
      </c>
      <c r="QX2" s="429"/>
      <c r="QY2" s="429"/>
      <c r="QZ2" s="429"/>
      <c r="RA2" s="428" t="s">
        <v>23</v>
      </c>
      <c r="RB2" s="429"/>
      <c r="RC2" s="429"/>
      <c r="RD2" s="429"/>
      <c r="RE2" s="428" t="s">
        <v>23</v>
      </c>
      <c r="RF2" s="429"/>
      <c r="RG2" s="429"/>
      <c r="RH2" s="429"/>
      <c r="RI2" s="428" t="s">
        <v>23</v>
      </c>
      <c r="RJ2" s="429"/>
      <c r="RK2" s="429"/>
      <c r="RL2" s="429"/>
      <c r="RM2" s="428" t="s">
        <v>23</v>
      </c>
      <c r="RN2" s="429"/>
      <c r="RO2" s="429"/>
      <c r="RP2" s="429"/>
      <c r="RQ2" s="428" t="s">
        <v>23</v>
      </c>
      <c r="RR2" s="429"/>
      <c r="RS2" s="429"/>
      <c r="RT2" s="429"/>
      <c r="RU2" s="428" t="s">
        <v>23</v>
      </c>
      <c r="RV2" s="429"/>
      <c r="RW2" s="429"/>
      <c r="RX2" s="429"/>
      <c r="RY2" s="428" t="s">
        <v>23</v>
      </c>
      <c r="RZ2" s="429"/>
      <c r="SA2" s="429"/>
      <c r="SB2" s="429"/>
      <c r="SC2" s="428" t="s">
        <v>23</v>
      </c>
      <c r="SD2" s="429"/>
      <c r="SE2" s="429"/>
      <c r="SF2" s="429"/>
      <c r="SG2" s="428" t="s">
        <v>23</v>
      </c>
      <c r="SH2" s="429"/>
      <c r="SI2" s="429"/>
      <c r="SJ2" s="429"/>
      <c r="SK2" s="428" t="s">
        <v>23</v>
      </c>
      <c r="SL2" s="429"/>
      <c r="SM2" s="429"/>
      <c r="SN2" s="429"/>
      <c r="SO2" s="428" t="s">
        <v>23</v>
      </c>
      <c r="SP2" s="429"/>
      <c r="SQ2" s="429"/>
      <c r="SR2" s="429"/>
      <c r="SS2" s="428" t="s">
        <v>23</v>
      </c>
      <c r="ST2" s="429"/>
      <c r="SU2" s="429"/>
      <c r="SV2" s="429"/>
      <c r="SW2" s="428" t="s">
        <v>23</v>
      </c>
      <c r="SX2" s="429"/>
      <c r="SY2" s="429"/>
      <c r="SZ2" s="429"/>
      <c r="TA2" s="428" t="s">
        <v>23</v>
      </c>
      <c r="TB2" s="429"/>
      <c r="TC2" s="429"/>
      <c r="TD2" s="429"/>
      <c r="TE2" s="428" t="s">
        <v>23</v>
      </c>
      <c r="TF2" s="429"/>
      <c r="TG2" s="429"/>
      <c r="TH2" s="429"/>
      <c r="TI2" s="428" t="s">
        <v>23</v>
      </c>
      <c r="TJ2" s="429"/>
      <c r="TK2" s="429"/>
      <c r="TL2" s="429"/>
      <c r="TM2" s="428" t="s">
        <v>23</v>
      </c>
      <c r="TN2" s="429"/>
      <c r="TO2" s="429"/>
      <c r="TP2" s="429"/>
      <c r="TQ2" s="428" t="s">
        <v>23</v>
      </c>
      <c r="TR2" s="429"/>
      <c r="TS2" s="429"/>
      <c r="TT2" s="429"/>
      <c r="TU2" s="428" t="s">
        <v>23</v>
      </c>
      <c r="TV2" s="429"/>
      <c r="TW2" s="429"/>
      <c r="TX2" s="429"/>
      <c r="TY2" s="428" t="s">
        <v>23</v>
      </c>
      <c r="TZ2" s="429"/>
      <c r="UA2" s="429"/>
      <c r="UB2" s="429"/>
      <c r="UC2" s="428" t="s">
        <v>23</v>
      </c>
      <c r="UD2" s="429"/>
      <c r="UE2" s="429"/>
      <c r="UF2" s="429"/>
      <c r="UG2" s="428" t="s">
        <v>23</v>
      </c>
      <c r="UH2" s="429"/>
      <c r="UI2" s="429"/>
      <c r="UJ2" s="429"/>
      <c r="UK2" s="428" t="s">
        <v>23</v>
      </c>
      <c r="UL2" s="429"/>
      <c r="UM2" s="429"/>
      <c r="UN2" s="429"/>
      <c r="UO2" s="428" t="s">
        <v>23</v>
      </c>
      <c r="UP2" s="429"/>
      <c r="UQ2" s="429"/>
      <c r="UR2" s="429"/>
      <c r="US2" s="428" t="s">
        <v>23</v>
      </c>
      <c r="UT2" s="429"/>
      <c r="UU2" s="429"/>
      <c r="UV2" s="429"/>
      <c r="UW2" s="428" t="s">
        <v>23</v>
      </c>
      <c r="UX2" s="429"/>
      <c r="UY2" s="429"/>
      <c r="UZ2" s="429"/>
      <c r="VA2" s="428" t="s">
        <v>23</v>
      </c>
      <c r="VB2" s="429"/>
      <c r="VC2" s="429"/>
      <c r="VD2" s="429"/>
      <c r="VE2" s="428" t="s">
        <v>23</v>
      </c>
      <c r="VF2" s="429"/>
      <c r="VG2" s="429"/>
      <c r="VH2" s="429"/>
      <c r="VI2" s="428" t="s">
        <v>23</v>
      </c>
      <c r="VJ2" s="429"/>
      <c r="VK2" s="429"/>
      <c r="VL2" s="429"/>
      <c r="VM2" s="428" t="s">
        <v>23</v>
      </c>
      <c r="VN2" s="429"/>
      <c r="VO2" s="429"/>
      <c r="VP2" s="429"/>
      <c r="VQ2" s="428" t="s">
        <v>23</v>
      </c>
      <c r="VR2" s="429"/>
      <c r="VS2" s="429"/>
      <c r="VT2" s="429"/>
      <c r="VU2" s="428" t="s">
        <v>23</v>
      </c>
      <c r="VV2" s="429"/>
      <c r="VW2" s="429"/>
      <c r="VX2" s="429"/>
      <c r="VY2" s="428" t="s">
        <v>23</v>
      </c>
      <c r="VZ2" s="429"/>
      <c r="WA2" s="429"/>
      <c r="WB2" s="429"/>
      <c r="WC2" s="428" t="s">
        <v>23</v>
      </c>
      <c r="WD2" s="429"/>
      <c r="WE2" s="429"/>
      <c r="WF2" s="429"/>
      <c r="WG2" s="428" t="s">
        <v>23</v>
      </c>
      <c r="WH2" s="429"/>
      <c r="WI2" s="429"/>
      <c r="WJ2" s="429"/>
      <c r="WK2" s="428" t="s">
        <v>23</v>
      </c>
      <c r="WL2" s="429"/>
      <c r="WM2" s="429"/>
      <c r="WN2" s="429"/>
      <c r="WO2" s="428" t="s">
        <v>23</v>
      </c>
      <c r="WP2" s="429"/>
      <c r="WQ2" s="429"/>
      <c r="WR2" s="429"/>
      <c r="WS2" s="428" t="s">
        <v>23</v>
      </c>
      <c r="WT2" s="429"/>
      <c r="WU2" s="429"/>
      <c r="WV2" s="429"/>
      <c r="WW2" s="428" t="s">
        <v>23</v>
      </c>
      <c r="WX2" s="429"/>
      <c r="WY2" s="429"/>
      <c r="WZ2" s="429"/>
      <c r="XA2" s="428" t="s">
        <v>23</v>
      </c>
      <c r="XB2" s="429"/>
      <c r="XC2" s="429"/>
      <c r="XD2" s="429"/>
      <c r="XE2" s="428" t="s">
        <v>23</v>
      </c>
      <c r="XF2" s="429"/>
      <c r="XG2" s="429"/>
      <c r="XH2" s="429"/>
      <c r="XI2" s="428" t="s">
        <v>23</v>
      </c>
      <c r="XJ2" s="429"/>
      <c r="XK2" s="429"/>
      <c r="XL2" s="429"/>
      <c r="XM2" s="428" t="s">
        <v>23</v>
      </c>
      <c r="XN2" s="429"/>
      <c r="XO2" s="429"/>
      <c r="XP2" s="429"/>
      <c r="XQ2" s="428" t="s">
        <v>23</v>
      </c>
      <c r="XR2" s="429"/>
      <c r="XS2" s="429"/>
      <c r="XT2" s="429"/>
      <c r="XU2" s="428" t="s">
        <v>23</v>
      </c>
      <c r="XV2" s="429"/>
      <c r="XW2" s="429"/>
      <c r="XX2" s="429"/>
      <c r="XY2" s="428" t="s">
        <v>23</v>
      </c>
      <c r="XZ2" s="429"/>
      <c r="YA2" s="429"/>
      <c r="YB2" s="429"/>
      <c r="YC2" s="428" t="s">
        <v>23</v>
      </c>
      <c r="YD2" s="429"/>
      <c r="YE2" s="429"/>
      <c r="YF2" s="429"/>
      <c r="YG2" s="428" t="s">
        <v>23</v>
      </c>
      <c r="YH2" s="429"/>
      <c r="YI2" s="429"/>
      <c r="YJ2" s="429"/>
      <c r="YK2" s="428" t="s">
        <v>23</v>
      </c>
      <c r="YL2" s="429"/>
      <c r="YM2" s="429"/>
      <c r="YN2" s="429"/>
      <c r="YO2" s="428" t="s">
        <v>23</v>
      </c>
      <c r="YP2" s="429"/>
      <c r="YQ2" s="429"/>
      <c r="YR2" s="429"/>
      <c r="YS2" s="428" t="s">
        <v>23</v>
      </c>
      <c r="YT2" s="429"/>
      <c r="YU2" s="429"/>
      <c r="YV2" s="429"/>
      <c r="YW2" s="428" t="s">
        <v>23</v>
      </c>
      <c r="YX2" s="429"/>
      <c r="YY2" s="429"/>
      <c r="YZ2" s="429"/>
      <c r="ZA2" s="428" t="s">
        <v>23</v>
      </c>
      <c r="ZB2" s="429"/>
      <c r="ZC2" s="429"/>
      <c r="ZD2" s="429"/>
      <c r="ZE2" s="428" t="s">
        <v>23</v>
      </c>
      <c r="ZF2" s="429"/>
      <c r="ZG2" s="429"/>
      <c r="ZH2" s="429"/>
      <c r="ZI2" s="428" t="s">
        <v>23</v>
      </c>
      <c r="ZJ2" s="429"/>
      <c r="ZK2" s="429"/>
      <c r="ZL2" s="429"/>
      <c r="ZM2" s="428" t="s">
        <v>23</v>
      </c>
      <c r="ZN2" s="429"/>
      <c r="ZO2" s="429"/>
      <c r="ZP2" s="429"/>
      <c r="ZQ2" s="428" t="s">
        <v>23</v>
      </c>
      <c r="ZR2" s="429"/>
      <c r="ZS2" s="429"/>
      <c r="ZT2" s="429"/>
      <c r="ZU2" s="428" t="s">
        <v>23</v>
      </c>
      <c r="ZV2" s="429"/>
      <c r="ZW2" s="429"/>
      <c r="ZX2" s="429"/>
      <c r="ZY2" s="428" t="s">
        <v>23</v>
      </c>
      <c r="ZZ2" s="429"/>
      <c r="AAA2" s="429"/>
      <c r="AAB2" s="429"/>
      <c r="AAC2" s="428" t="s">
        <v>23</v>
      </c>
      <c r="AAD2" s="429"/>
      <c r="AAE2" s="429"/>
      <c r="AAF2" s="429"/>
      <c r="AAG2" s="428" t="s">
        <v>23</v>
      </c>
      <c r="AAH2" s="429"/>
      <c r="AAI2" s="429"/>
      <c r="AAJ2" s="429"/>
      <c r="AAK2" s="428" t="s">
        <v>23</v>
      </c>
      <c r="AAL2" s="429"/>
      <c r="AAM2" s="429"/>
      <c r="AAN2" s="429"/>
      <c r="AAO2" s="428" t="s">
        <v>23</v>
      </c>
      <c r="AAP2" s="429"/>
      <c r="AAQ2" s="429"/>
      <c r="AAR2" s="429"/>
      <c r="AAS2" s="428" t="s">
        <v>23</v>
      </c>
      <c r="AAT2" s="429"/>
      <c r="AAU2" s="429"/>
      <c r="AAV2" s="429"/>
      <c r="AAW2" s="428" t="s">
        <v>23</v>
      </c>
      <c r="AAX2" s="429"/>
      <c r="AAY2" s="429"/>
      <c r="AAZ2" s="429"/>
      <c r="ABA2" s="428" t="s">
        <v>23</v>
      </c>
      <c r="ABB2" s="429"/>
      <c r="ABC2" s="429"/>
      <c r="ABD2" s="429"/>
      <c r="ABE2" s="428" t="s">
        <v>23</v>
      </c>
      <c r="ABF2" s="429"/>
      <c r="ABG2" s="429"/>
      <c r="ABH2" s="429"/>
      <c r="ABI2" s="428" t="s">
        <v>23</v>
      </c>
      <c r="ABJ2" s="429"/>
      <c r="ABK2" s="429"/>
      <c r="ABL2" s="429"/>
      <c r="ABM2" s="428" t="s">
        <v>23</v>
      </c>
      <c r="ABN2" s="429"/>
      <c r="ABO2" s="429"/>
      <c r="ABP2" s="429"/>
      <c r="ABQ2" s="428" t="s">
        <v>23</v>
      </c>
      <c r="ABR2" s="429"/>
      <c r="ABS2" s="429"/>
      <c r="ABT2" s="429"/>
      <c r="ABU2" s="428" t="s">
        <v>23</v>
      </c>
      <c r="ABV2" s="429"/>
      <c r="ABW2" s="429"/>
      <c r="ABX2" s="429"/>
      <c r="ABY2" s="428" t="s">
        <v>23</v>
      </c>
      <c r="ABZ2" s="429"/>
      <c r="ACA2" s="429"/>
      <c r="ACB2" s="429"/>
      <c r="ACC2" s="428" t="s">
        <v>23</v>
      </c>
      <c r="ACD2" s="429"/>
      <c r="ACE2" s="429"/>
      <c r="ACF2" s="429"/>
      <c r="ACG2" s="428" t="s">
        <v>23</v>
      </c>
      <c r="ACH2" s="429"/>
      <c r="ACI2" s="429"/>
      <c r="ACJ2" s="429"/>
      <c r="ACK2" s="428" t="s">
        <v>23</v>
      </c>
      <c r="ACL2" s="429"/>
      <c r="ACM2" s="429"/>
      <c r="ACN2" s="429"/>
      <c r="ACO2" s="428" t="s">
        <v>23</v>
      </c>
      <c r="ACP2" s="429"/>
      <c r="ACQ2" s="429"/>
      <c r="ACR2" s="429"/>
      <c r="ACS2" s="428" t="s">
        <v>23</v>
      </c>
      <c r="ACT2" s="429"/>
      <c r="ACU2" s="429"/>
      <c r="ACV2" s="429"/>
      <c r="ACW2" s="428" t="s">
        <v>23</v>
      </c>
      <c r="ACX2" s="429"/>
      <c r="ACY2" s="429"/>
      <c r="ACZ2" s="429"/>
      <c r="ADA2" s="428" t="s">
        <v>23</v>
      </c>
      <c r="ADB2" s="429"/>
      <c r="ADC2" s="429"/>
      <c r="ADD2" s="429"/>
      <c r="ADE2" s="428" t="s">
        <v>23</v>
      </c>
      <c r="ADF2" s="429"/>
      <c r="ADG2" s="429"/>
      <c r="ADH2" s="429"/>
      <c r="ADI2" s="428" t="s">
        <v>23</v>
      </c>
      <c r="ADJ2" s="429"/>
      <c r="ADK2" s="429"/>
      <c r="ADL2" s="429"/>
      <c r="ADM2" s="428" t="s">
        <v>23</v>
      </c>
      <c r="ADN2" s="429"/>
      <c r="ADO2" s="429"/>
      <c r="ADP2" s="429"/>
      <c r="ADQ2" s="428" t="s">
        <v>23</v>
      </c>
      <c r="ADR2" s="429"/>
      <c r="ADS2" s="429"/>
      <c r="ADT2" s="429"/>
      <c r="ADU2" s="428" t="s">
        <v>23</v>
      </c>
      <c r="ADV2" s="429"/>
      <c r="ADW2" s="429"/>
      <c r="ADX2" s="429"/>
      <c r="ADY2" s="428" t="s">
        <v>23</v>
      </c>
      <c r="ADZ2" s="429"/>
      <c r="AEA2" s="429"/>
      <c r="AEB2" s="429"/>
      <c r="AEC2" s="428" t="s">
        <v>23</v>
      </c>
      <c r="AED2" s="429"/>
      <c r="AEE2" s="429"/>
      <c r="AEF2" s="429"/>
      <c r="AEG2" s="428" t="s">
        <v>23</v>
      </c>
      <c r="AEH2" s="429"/>
      <c r="AEI2" s="429"/>
      <c r="AEJ2" s="429"/>
      <c r="AEK2" s="428" t="s">
        <v>23</v>
      </c>
      <c r="AEL2" s="429"/>
      <c r="AEM2" s="429"/>
      <c r="AEN2" s="429"/>
      <c r="AEO2" s="428" t="s">
        <v>23</v>
      </c>
      <c r="AEP2" s="429"/>
      <c r="AEQ2" s="429"/>
      <c r="AER2" s="429"/>
      <c r="AES2" s="428" t="s">
        <v>23</v>
      </c>
      <c r="AET2" s="429"/>
      <c r="AEU2" s="429"/>
      <c r="AEV2" s="429"/>
      <c r="AEW2" s="428" t="s">
        <v>23</v>
      </c>
      <c r="AEX2" s="429"/>
      <c r="AEY2" s="429"/>
      <c r="AEZ2" s="429"/>
      <c r="AFA2" s="428" t="s">
        <v>23</v>
      </c>
      <c r="AFB2" s="429"/>
      <c r="AFC2" s="429"/>
      <c r="AFD2" s="429"/>
      <c r="AFE2" s="428" t="s">
        <v>23</v>
      </c>
      <c r="AFF2" s="429"/>
      <c r="AFG2" s="429"/>
      <c r="AFH2" s="429"/>
      <c r="AFI2" s="428" t="s">
        <v>23</v>
      </c>
      <c r="AFJ2" s="429"/>
      <c r="AFK2" s="429"/>
      <c r="AFL2" s="429"/>
      <c r="AFM2" s="428" t="s">
        <v>23</v>
      </c>
      <c r="AFN2" s="429"/>
      <c r="AFO2" s="429"/>
      <c r="AFP2" s="429"/>
      <c r="AFQ2" s="428" t="s">
        <v>23</v>
      </c>
      <c r="AFR2" s="429"/>
      <c r="AFS2" s="429"/>
      <c r="AFT2" s="429"/>
      <c r="AFU2" s="428" t="s">
        <v>23</v>
      </c>
      <c r="AFV2" s="429"/>
      <c r="AFW2" s="429"/>
      <c r="AFX2" s="429"/>
      <c r="AFY2" s="428" t="s">
        <v>23</v>
      </c>
      <c r="AFZ2" s="429"/>
      <c r="AGA2" s="429"/>
      <c r="AGB2" s="429"/>
      <c r="AGC2" s="428" t="s">
        <v>23</v>
      </c>
      <c r="AGD2" s="429"/>
      <c r="AGE2" s="429"/>
      <c r="AGF2" s="429"/>
      <c r="AGG2" s="428" t="s">
        <v>23</v>
      </c>
      <c r="AGH2" s="429"/>
      <c r="AGI2" s="429"/>
      <c r="AGJ2" s="429"/>
      <c r="AGK2" s="428" t="s">
        <v>23</v>
      </c>
      <c r="AGL2" s="429"/>
      <c r="AGM2" s="429"/>
      <c r="AGN2" s="429"/>
      <c r="AGO2" s="428" t="s">
        <v>23</v>
      </c>
      <c r="AGP2" s="429"/>
      <c r="AGQ2" s="429"/>
      <c r="AGR2" s="429"/>
      <c r="AGS2" s="428" t="s">
        <v>23</v>
      </c>
      <c r="AGT2" s="429"/>
      <c r="AGU2" s="429"/>
      <c r="AGV2" s="429"/>
      <c r="AGW2" s="428" t="s">
        <v>23</v>
      </c>
      <c r="AGX2" s="429"/>
      <c r="AGY2" s="429"/>
      <c r="AGZ2" s="429"/>
      <c r="AHA2" s="428" t="s">
        <v>23</v>
      </c>
      <c r="AHB2" s="429"/>
      <c r="AHC2" s="429"/>
      <c r="AHD2" s="429"/>
      <c r="AHE2" s="428" t="s">
        <v>23</v>
      </c>
      <c r="AHF2" s="429"/>
      <c r="AHG2" s="429"/>
      <c r="AHH2" s="429"/>
      <c r="AHI2" s="428" t="s">
        <v>23</v>
      </c>
      <c r="AHJ2" s="429"/>
      <c r="AHK2" s="429"/>
      <c r="AHL2" s="429"/>
      <c r="AHM2" s="428" t="s">
        <v>23</v>
      </c>
      <c r="AHN2" s="429"/>
      <c r="AHO2" s="429"/>
      <c r="AHP2" s="429"/>
      <c r="AHQ2" s="428" t="s">
        <v>23</v>
      </c>
      <c r="AHR2" s="429"/>
      <c r="AHS2" s="429"/>
      <c r="AHT2" s="429"/>
      <c r="AHU2" s="428" t="s">
        <v>23</v>
      </c>
      <c r="AHV2" s="429"/>
      <c r="AHW2" s="429"/>
      <c r="AHX2" s="429"/>
      <c r="AHY2" s="428" t="s">
        <v>23</v>
      </c>
      <c r="AHZ2" s="429"/>
      <c r="AIA2" s="429"/>
      <c r="AIB2" s="429"/>
      <c r="AIC2" s="428" t="s">
        <v>23</v>
      </c>
      <c r="AID2" s="429"/>
      <c r="AIE2" s="429"/>
      <c r="AIF2" s="429"/>
      <c r="AIG2" s="428" t="s">
        <v>23</v>
      </c>
      <c r="AIH2" s="429"/>
      <c r="AII2" s="429"/>
      <c r="AIJ2" s="429"/>
      <c r="AIK2" s="428" t="s">
        <v>23</v>
      </c>
      <c r="AIL2" s="429"/>
      <c r="AIM2" s="429"/>
      <c r="AIN2" s="429"/>
      <c r="AIO2" s="428" t="s">
        <v>23</v>
      </c>
      <c r="AIP2" s="429"/>
      <c r="AIQ2" s="429"/>
      <c r="AIR2" s="429"/>
      <c r="AIS2" s="428" t="s">
        <v>23</v>
      </c>
      <c r="AIT2" s="429"/>
      <c r="AIU2" s="429"/>
      <c r="AIV2" s="429"/>
      <c r="AIW2" s="428" t="s">
        <v>23</v>
      </c>
      <c r="AIX2" s="429"/>
      <c r="AIY2" s="429"/>
      <c r="AIZ2" s="429"/>
      <c r="AJA2" s="428" t="s">
        <v>23</v>
      </c>
      <c r="AJB2" s="429"/>
      <c r="AJC2" s="429"/>
      <c r="AJD2" s="429"/>
      <c r="AJE2" s="428" t="s">
        <v>23</v>
      </c>
      <c r="AJF2" s="429"/>
      <c r="AJG2" s="429"/>
      <c r="AJH2" s="429"/>
      <c r="AJI2" s="428" t="s">
        <v>23</v>
      </c>
      <c r="AJJ2" s="429"/>
      <c r="AJK2" s="429"/>
      <c r="AJL2" s="429"/>
      <c r="AJM2" s="428" t="s">
        <v>23</v>
      </c>
      <c r="AJN2" s="429"/>
      <c r="AJO2" s="429"/>
      <c r="AJP2" s="429"/>
      <c r="AJQ2" s="428" t="s">
        <v>23</v>
      </c>
      <c r="AJR2" s="429"/>
      <c r="AJS2" s="429"/>
      <c r="AJT2" s="429"/>
      <c r="AJU2" s="428" t="s">
        <v>23</v>
      </c>
      <c r="AJV2" s="429"/>
      <c r="AJW2" s="429"/>
      <c r="AJX2" s="429"/>
      <c r="AJY2" s="428" t="s">
        <v>23</v>
      </c>
      <c r="AJZ2" s="429"/>
      <c r="AKA2" s="429"/>
      <c r="AKB2" s="429"/>
      <c r="AKC2" s="428" t="s">
        <v>23</v>
      </c>
      <c r="AKD2" s="429"/>
      <c r="AKE2" s="429"/>
      <c r="AKF2" s="429"/>
      <c r="AKG2" s="428" t="s">
        <v>23</v>
      </c>
      <c r="AKH2" s="429"/>
      <c r="AKI2" s="429"/>
      <c r="AKJ2" s="429"/>
      <c r="AKK2" s="428" t="s">
        <v>23</v>
      </c>
      <c r="AKL2" s="429"/>
      <c r="AKM2" s="429"/>
      <c r="AKN2" s="429"/>
      <c r="AKO2" s="428" t="s">
        <v>23</v>
      </c>
      <c r="AKP2" s="429"/>
      <c r="AKQ2" s="429"/>
      <c r="AKR2" s="429"/>
      <c r="AKS2" s="428" t="s">
        <v>23</v>
      </c>
      <c r="AKT2" s="429"/>
      <c r="AKU2" s="429"/>
      <c r="AKV2" s="429"/>
      <c r="AKW2" s="428" t="s">
        <v>23</v>
      </c>
      <c r="AKX2" s="429"/>
      <c r="AKY2" s="429"/>
      <c r="AKZ2" s="429"/>
      <c r="ALA2" s="428" t="s">
        <v>23</v>
      </c>
      <c r="ALB2" s="429"/>
      <c r="ALC2" s="429"/>
      <c r="ALD2" s="429"/>
      <c r="ALE2" s="428" t="s">
        <v>23</v>
      </c>
      <c r="ALF2" s="429"/>
      <c r="ALG2" s="429"/>
      <c r="ALH2" s="429"/>
      <c r="ALI2" s="428" t="s">
        <v>23</v>
      </c>
      <c r="ALJ2" s="429"/>
      <c r="ALK2" s="429"/>
      <c r="ALL2" s="429"/>
      <c r="ALM2" s="428" t="s">
        <v>23</v>
      </c>
      <c r="ALN2" s="429"/>
      <c r="ALO2" s="429"/>
      <c r="ALP2" s="429"/>
      <c r="ALQ2" s="428" t="s">
        <v>23</v>
      </c>
      <c r="ALR2" s="429"/>
      <c r="ALS2" s="429"/>
      <c r="ALT2" s="429"/>
      <c r="ALU2" s="428" t="s">
        <v>23</v>
      </c>
      <c r="ALV2" s="429"/>
      <c r="ALW2" s="429"/>
      <c r="ALX2" s="429"/>
      <c r="ALY2" s="428" t="s">
        <v>23</v>
      </c>
      <c r="ALZ2" s="429"/>
      <c r="AMA2" s="429"/>
      <c r="AMB2" s="429"/>
      <c r="AMC2" s="428" t="s">
        <v>23</v>
      </c>
      <c r="AMD2" s="429"/>
      <c r="AME2" s="429"/>
      <c r="AMF2" s="429"/>
      <c r="AMG2" s="428" t="s">
        <v>23</v>
      </c>
      <c r="AMH2" s="429"/>
      <c r="AMI2" s="429"/>
      <c r="AMJ2" s="429"/>
      <c r="AMK2" s="428" t="s">
        <v>23</v>
      </c>
      <c r="AML2" s="429"/>
      <c r="AMM2" s="429"/>
      <c r="AMN2" s="429"/>
      <c r="AMO2" s="428" t="s">
        <v>23</v>
      </c>
      <c r="AMP2" s="429"/>
      <c r="AMQ2" s="429"/>
      <c r="AMR2" s="429"/>
      <c r="AMS2" s="428" t="s">
        <v>23</v>
      </c>
      <c r="AMT2" s="429"/>
      <c r="AMU2" s="429"/>
      <c r="AMV2" s="429"/>
      <c r="AMW2" s="428" t="s">
        <v>23</v>
      </c>
      <c r="AMX2" s="429"/>
      <c r="AMY2" s="429"/>
      <c r="AMZ2" s="429"/>
      <c r="ANA2" s="428" t="s">
        <v>23</v>
      </c>
      <c r="ANB2" s="429"/>
      <c r="ANC2" s="429"/>
      <c r="AND2" s="429"/>
      <c r="ANE2" s="428" t="s">
        <v>23</v>
      </c>
      <c r="ANF2" s="429"/>
      <c r="ANG2" s="429"/>
      <c r="ANH2" s="429"/>
      <c r="ANI2" s="428" t="s">
        <v>23</v>
      </c>
      <c r="ANJ2" s="429"/>
      <c r="ANK2" s="429"/>
      <c r="ANL2" s="429"/>
      <c r="ANM2" s="428" t="s">
        <v>23</v>
      </c>
      <c r="ANN2" s="429"/>
      <c r="ANO2" s="429"/>
      <c r="ANP2" s="429"/>
      <c r="ANQ2" s="428" t="s">
        <v>23</v>
      </c>
      <c r="ANR2" s="429"/>
      <c r="ANS2" s="429"/>
      <c r="ANT2" s="429"/>
      <c r="ANU2" s="428" t="s">
        <v>23</v>
      </c>
      <c r="ANV2" s="429"/>
      <c r="ANW2" s="429"/>
      <c r="ANX2" s="429"/>
      <c r="ANY2" s="428" t="s">
        <v>23</v>
      </c>
      <c r="ANZ2" s="429"/>
      <c r="AOA2" s="429"/>
      <c r="AOB2" s="429"/>
      <c r="AOC2" s="428" t="s">
        <v>23</v>
      </c>
      <c r="AOD2" s="429"/>
      <c r="AOE2" s="429"/>
      <c r="AOF2" s="429"/>
      <c r="AOG2" s="428" t="s">
        <v>23</v>
      </c>
      <c r="AOH2" s="429"/>
      <c r="AOI2" s="429"/>
      <c r="AOJ2" s="429"/>
      <c r="AOK2" s="428" t="s">
        <v>23</v>
      </c>
      <c r="AOL2" s="429"/>
      <c r="AOM2" s="429"/>
      <c r="AON2" s="429"/>
      <c r="AOO2" s="428" t="s">
        <v>23</v>
      </c>
      <c r="AOP2" s="429"/>
      <c r="AOQ2" s="429"/>
      <c r="AOR2" s="429"/>
      <c r="AOS2" s="428" t="s">
        <v>23</v>
      </c>
      <c r="AOT2" s="429"/>
      <c r="AOU2" s="429"/>
      <c r="AOV2" s="429"/>
      <c r="AOW2" s="428" t="s">
        <v>23</v>
      </c>
      <c r="AOX2" s="429"/>
      <c r="AOY2" s="429"/>
      <c r="AOZ2" s="429"/>
      <c r="APA2" s="428" t="s">
        <v>23</v>
      </c>
      <c r="APB2" s="429"/>
      <c r="APC2" s="429"/>
      <c r="APD2" s="429"/>
      <c r="APE2" s="428" t="s">
        <v>23</v>
      </c>
      <c r="APF2" s="429"/>
      <c r="APG2" s="429"/>
      <c r="APH2" s="429"/>
      <c r="API2" s="428" t="s">
        <v>23</v>
      </c>
      <c r="APJ2" s="429"/>
      <c r="APK2" s="429"/>
      <c r="APL2" s="429"/>
      <c r="APM2" s="428" t="s">
        <v>23</v>
      </c>
      <c r="APN2" s="429"/>
      <c r="APO2" s="429"/>
      <c r="APP2" s="429"/>
      <c r="APQ2" s="428" t="s">
        <v>23</v>
      </c>
      <c r="APR2" s="429"/>
      <c r="APS2" s="429"/>
      <c r="APT2" s="429"/>
      <c r="APU2" s="428" t="s">
        <v>23</v>
      </c>
      <c r="APV2" s="429"/>
      <c r="APW2" s="429"/>
      <c r="APX2" s="429"/>
      <c r="APY2" s="428" t="s">
        <v>23</v>
      </c>
      <c r="APZ2" s="429"/>
      <c r="AQA2" s="429"/>
      <c r="AQB2" s="429"/>
      <c r="AQC2" s="428" t="s">
        <v>23</v>
      </c>
      <c r="AQD2" s="429"/>
      <c r="AQE2" s="429"/>
      <c r="AQF2" s="429"/>
      <c r="AQG2" s="428" t="s">
        <v>23</v>
      </c>
      <c r="AQH2" s="429"/>
      <c r="AQI2" s="429"/>
      <c r="AQJ2" s="429"/>
      <c r="AQK2" s="428" t="s">
        <v>23</v>
      </c>
      <c r="AQL2" s="429"/>
      <c r="AQM2" s="429"/>
      <c r="AQN2" s="429"/>
      <c r="AQO2" s="428" t="s">
        <v>23</v>
      </c>
      <c r="AQP2" s="429"/>
      <c r="AQQ2" s="429"/>
      <c r="AQR2" s="429"/>
      <c r="AQS2" s="428" t="s">
        <v>23</v>
      </c>
      <c r="AQT2" s="429"/>
      <c r="AQU2" s="429"/>
      <c r="AQV2" s="429"/>
      <c r="AQW2" s="428" t="s">
        <v>23</v>
      </c>
      <c r="AQX2" s="429"/>
      <c r="AQY2" s="429"/>
      <c r="AQZ2" s="429"/>
      <c r="ARA2" s="428" t="s">
        <v>23</v>
      </c>
      <c r="ARB2" s="429"/>
      <c r="ARC2" s="429"/>
      <c r="ARD2" s="429"/>
      <c r="ARE2" s="428" t="s">
        <v>23</v>
      </c>
      <c r="ARF2" s="429"/>
      <c r="ARG2" s="429"/>
      <c r="ARH2" s="429"/>
      <c r="ARI2" s="428" t="s">
        <v>23</v>
      </c>
      <c r="ARJ2" s="429"/>
      <c r="ARK2" s="429"/>
      <c r="ARL2" s="429"/>
      <c r="ARM2" s="428" t="s">
        <v>23</v>
      </c>
      <c r="ARN2" s="429"/>
      <c r="ARO2" s="429"/>
      <c r="ARP2" s="429"/>
      <c r="ARQ2" s="428" t="s">
        <v>23</v>
      </c>
      <c r="ARR2" s="429"/>
      <c r="ARS2" s="429"/>
      <c r="ART2" s="429"/>
      <c r="ARU2" s="428" t="s">
        <v>23</v>
      </c>
      <c r="ARV2" s="429"/>
      <c r="ARW2" s="429"/>
      <c r="ARX2" s="429"/>
      <c r="ARY2" s="428" t="s">
        <v>23</v>
      </c>
      <c r="ARZ2" s="429"/>
      <c r="ASA2" s="429"/>
      <c r="ASB2" s="429"/>
      <c r="ASC2" s="428" t="s">
        <v>23</v>
      </c>
      <c r="ASD2" s="429"/>
      <c r="ASE2" s="429"/>
      <c r="ASF2" s="429"/>
      <c r="ASG2" s="428" t="s">
        <v>23</v>
      </c>
      <c r="ASH2" s="429"/>
      <c r="ASI2" s="429"/>
      <c r="ASJ2" s="429"/>
      <c r="ASK2" s="428" t="s">
        <v>23</v>
      </c>
      <c r="ASL2" s="429"/>
      <c r="ASM2" s="429"/>
      <c r="ASN2" s="429"/>
      <c r="ASO2" s="428" t="s">
        <v>23</v>
      </c>
      <c r="ASP2" s="429"/>
      <c r="ASQ2" s="429"/>
      <c r="ASR2" s="429"/>
      <c r="ASS2" s="428" t="s">
        <v>23</v>
      </c>
      <c r="AST2" s="429"/>
      <c r="ASU2" s="429"/>
      <c r="ASV2" s="429"/>
      <c r="ASW2" s="428" t="s">
        <v>23</v>
      </c>
      <c r="ASX2" s="429"/>
      <c r="ASY2" s="429"/>
      <c r="ASZ2" s="429"/>
      <c r="ATA2" s="428" t="s">
        <v>23</v>
      </c>
      <c r="ATB2" s="429"/>
      <c r="ATC2" s="429"/>
      <c r="ATD2" s="429"/>
      <c r="ATE2" s="428" t="s">
        <v>23</v>
      </c>
      <c r="ATF2" s="429"/>
      <c r="ATG2" s="429"/>
      <c r="ATH2" s="429"/>
      <c r="ATI2" s="428" t="s">
        <v>23</v>
      </c>
      <c r="ATJ2" s="429"/>
      <c r="ATK2" s="429"/>
      <c r="ATL2" s="429"/>
      <c r="ATM2" s="428" t="s">
        <v>23</v>
      </c>
      <c r="ATN2" s="429"/>
      <c r="ATO2" s="429"/>
      <c r="ATP2" s="429"/>
      <c r="ATQ2" s="428" t="s">
        <v>23</v>
      </c>
      <c r="ATR2" s="429"/>
      <c r="ATS2" s="429"/>
      <c r="ATT2" s="429"/>
      <c r="ATU2" s="428" t="s">
        <v>23</v>
      </c>
      <c r="ATV2" s="429"/>
      <c r="ATW2" s="429"/>
      <c r="ATX2" s="429"/>
      <c r="ATY2" s="428" t="s">
        <v>23</v>
      </c>
      <c r="ATZ2" s="429"/>
      <c r="AUA2" s="429"/>
      <c r="AUB2" s="429"/>
      <c r="AUC2" s="428" t="s">
        <v>23</v>
      </c>
      <c r="AUD2" s="429"/>
      <c r="AUE2" s="429"/>
      <c r="AUF2" s="429"/>
      <c r="AUG2" s="428" t="s">
        <v>23</v>
      </c>
      <c r="AUH2" s="429"/>
      <c r="AUI2" s="429"/>
      <c r="AUJ2" s="429"/>
      <c r="AUK2" s="428" t="s">
        <v>23</v>
      </c>
      <c r="AUL2" s="429"/>
      <c r="AUM2" s="429"/>
      <c r="AUN2" s="429"/>
      <c r="AUO2" s="428" t="s">
        <v>23</v>
      </c>
      <c r="AUP2" s="429"/>
      <c r="AUQ2" s="429"/>
      <c r="AUR2" s="429"/>
      <c r="AUS2" s="428" t="s">
        <v>23</v>
      </c>
      <c r="AUT2" s="429"/>
      <c r="AUU2" s="429"/>
      <c r="AUV2" s="429"/>
      <c r="AUW2" s="428" t="s">
        <v>23</v>
      </c>
      <c r="AUX2" s="429"/>
      <c r="AUY2" s="429"/>
      <c r="AUZ2" s="429"/>
      <c r="AVA2" s="428" t="s">
        <v>23</v>
      </c>
      <c r="AVB2" s="429"/>
      <c r="AVC2" s="429"/>
      <c r="AVD2" s="429"/>
      <c r="AVE2" s="428" t="s">
        <v>23</v>
      </c>
      <c r="AVF2" s="429"/>
      <c r="AVG2" s="429"/>
      <c r="AVH2" s="429"/>
      <c r="AVI2" s="428" t="s">
        <v>23</v>
      </c>
      <c r="AVJ2" s="429"/>
      <c r="AVK2" s="429"/>
      <c r="AVL2" s="429"/>
      <c r="AVM2" s="428" t="s">
        <v>23</v>
      </c>
      <c r="AVN2" s="429"/>
      <c r="AVO2" s="429"/>
      <c r="AVP2" s="429"/>
      <c r="AVQ2" s="428" t="s">
        <v>23</v>
      </c>
      <c r="AVR2" s="429"/>
      <c r="AVS2" s="429"/>
      <c r="AVT2" s="429"/>
      <c r="AVU2" s="428" t="s">
        <v>23</v>
      </c>
      <c r="AVV2" s="429"/>
      <c r="AVW2" s="429"/>
      <c r="AVX2" s="429"/>
      <c r="AVY2" s="428" t="s">
        <v>23</v>
      </c>
      <c r="AVZ2" s="429"/>
      <c r="AWA2" s="429"/>
      <c r="AWB2" s="429"/>
      <c r="AWC2" s="428" t="s">
        <v>23</v>
      </c>
      <c r="AWD2" s="429"/>
      <c r="AWE2" s="429"/>
      <c r="AWF2" s="429"/>
      <c r="AWG2" s="428" t="s">
        <v>23</v>
      </c>
      <c r="AWH2" s="429"/>
      <c r="AWI2" s="429"/>
      <c r="AWJ2" s="429"/>
      <c r="AWK2" s="428" t="s">
        <v>23</v>
      </c>
      <c r="AWL2" s="429"/>
      <c r="AWM2" s="429"/>
      <c r="AWN2" s="429"/>
      <c r="AWO2" s="428" t="s">
        <v>23</v>
      </c>
      <c r="AWP2" s="429"/>
      <c r="AWQ2" s="429"/>
      <c r="AWR2" s="429"/>
      <c r="AWS2" s="428" t="s">
        <v>23</v>
      </c>
      <c r="AWT2" s="429"/>
      <c r="AWU2" s="429"/>
      <c r="AWV2" s="429"/>
      <c r="AWW2" s="428" t="s">
        <v>23</v>
      </c>
      <c r="AWX2" s="429"/>
      <c r="AWY2" s="429"/>
      <c r="AWZ2" s="429"/>
      <c r="AXA2" s="428" t="s">
        <v>23</v>
      </c>
      <c r="AXB2" s="429"/>
      <c r="AXC2" s="429"/>
      <c r="AXD2" s="429"/>
      <c r="AXE2" s="428" t="s">
        <v>23</v>
      </c>
      <c r="AXF2" s="429"/>
      <c r="AXG2" s="429"/>
      <c r="AXH2" s="429"/>
      <c r="AXI2" s="428" t="s">
        <v>23</v>
      </c>
      <c r="AXJ2" s="429"/>
      <c r="AXK2" s="429"/>
      <c r="AXL2" s="429"/>
      <c r="AXM2" s="428" t="s">
        <v>23</v>
      </c>
      <c r="AXN2" s="429"/>
      <c r="AXO2" s="429"/>
      <c r="AXP2" s="429"/>
      <c r="AXQ2" s="428" t="s">
        <v>23</v>
      </c>
      <c r="AXR2" s="429"/>
      <c r="AXS2" s="429"/>
      <c r="AXT2" s="429"/>
      <c r="AXU2" s="428" t="s">
        <v>23</v>
      </c>
      <c r="AXV2" s="429"/>
      <c r="AXW2" s="429"/>
      <c r="AXX2" s="429"/>
      <c r="AXY2" s="428" t="s">
        <v>23</v>
      </c>
      <c r="AXZ2" s="429"/>
      <c r="AYA2" s="429"/>
      <c r="AYB2" s="429"/>
      <c r="AYC2" s="428" t="s">
        <v>23</v>
      </c>
      <c r="AYD2" s="429"/>
      <c r="AYE2" s="429"/>
      <c r="AYF2" s="429"/>
      <c r="AYG2" s="428" t="s">
        <v>23</v>
      </c>
      <c r="AYH2" s="429"/>
      <c r="AYI2" s="429"/>
      <c r="AYJ2" s="429"/>
      <c r="AYK2" s="428" t="s">
        <v>23</v>
      </c>
      <c r="AYL2" s="429"/>
      <c r="AYM2" s="429"/>
      <c r="AYN2" s="429"/>
      <c r="AYO2" s="428" t="s">
        <v>23</v>
      </c>
      <c r="AYP2" s="429"/>
      <c r="AYQ2" s="429"/>
      <c r="AYR2" s="429"/>
      <c r="AYS2" s="428" t="s">
        <v>23</v>
      </c>
      <c r="AYT2" s="429"/>
      <c r="AYU2" s="429"/>
      <c r="AYV2" s="429"/>
      <c r="AYW2" s="428" t="s">
        <v>23</v>
      </c>
      <c r="AYX2" s="429"/>
      <c r="AYY2" s="429"/>
      <c r="AYZ2" s="429"/>
      <c r="AZA2" s="428" t="s">
        <v>23</v>
      </c>
      <c r="AZB2" s="429"/>
      <c r="AZC2" s="429"/>
      <c r="AZD2" s="429"/>
      <c r="AZE2" s="428" t="s">
        <v>23</v>
      </c>
      <c r="AZF2" s="429"/>
      <c r="AZG2" s="429"/>
      <c r="AZH2" s="429"/>
      <c r="AZI2" s="428" t="s">
        <v>23</v>
      </c>
      <c r="AZJ2" s="429"/>
      <c r="AZK2" s="429"/>
      <c r="AZL2" s="429"/>
      <c r="AZM2" s="428" t="s">
        <v>23</v>
      </c>
      <c r="AZN2" s="429"/>
      <c r="AZO2" s="429"/>
      <c r="AZP2" s="429"/>
      <c r="AZQ2" s="428" t="s">
        <v>23</v>
      </c>
      <c r="AZR2" s="429"/>
      <c r="AZS2" s="429"/>
      <c r="AZT2" s="429"/>
      <c r="AZU2" s="428" t="s">
        <v>23</v>
      </c>
      <c r="AZV2" s="429"/>
      <c r="AZW2" s="429"/>
      <c r="AZX2" s="429"/>
      <c r="AZY2" s="428" t="s">
        <v>23</v>
      </c>
      <c r="AZZ2" s="429"/>
      <c r="BAA2" s="429"/>
      <c r="BAB2" s="429"/>
      <c r="BAC2" s="428" t="s">
        <v>23</v>
      </c>
      <c r="BAD2" s="429"/>
      <c r="BAE2" s="429"/>
      <c r="BAF2" s="429"/>
      <c r="BAG2" s="428" t="s">
        <v>23</v>
      </c>
      <c r="BAH2" s="429"/>
      <c r="BAI2" s="429"/>
      <c r="BAJ2" s="429"/>
      <c r="BAK2" s="428" t="s">
        <v>23</v>
      </c>
      <c r="BAL2" s="429"/>
      <c r="BAM2" s="429"/>
      <c r="BAN2" s="429"/>
      <c r="BAO2" s="428" t="s">
        <v>23</v>
      </c>
      <c r="BAP2" s="429"/>
      <c r="BAQ2" s="429"/>
      <c r="BAR2" s="429"/>
      <c r="BAS2" s="428" t="s">
        <v>23</v>
      </c>
      <c r="BAT2" s="429"/>
      <c r="BAU2" s="429"/>
      <c r="BAV2" s="429"/>
      <c r="BAW2" s="428" t="s">
        <v>23</v>
      </c>
      <c r="BAX2" s="429"/>
      <c r="BAY2" s="429"/>
      <c r="BAZ2" s="429"/>
      <c r="BBA2" s="428" t="s">
        <v>23</v>
      </c>
      <c r="BBB2" s="429"/>
      <c r="BBC2" s="429"/>
      <c r="BBD2" s="429"/>
      <c r="BBE2" s="428" t="s">
        <v>23</v>
      </c>
      <c r="BBF2" s="429"/>
      <c r="BBG2" s="429"/>
      <c r="BBH2" s="429"/>
      <c r="BBI2" s="428" t="s">
        <v>23</v>
      </c>
      <c r="BBJ2" s="429"/>
      <c r="BBK2" s="429"/>
      <c r="BBL2" s="429"/>
      <c r="BBM2" s="428" t="s">
        <v>23</v>
      </c>
      <c r="BBN2" s="429"/>
      <c r="BBO2" s="429"/>
      <c r="BBP2" s="429"/>
      <c r="BBQ2" s="428" t="s">
        <v>23</v>
      </c>
      <c r="BBR2" s="429"/>
      <c r="BBS2" s="429"/>
      <c r="BBT2" s="429"/>
      <c r="BBU2" s="428" t="s">
        <v>23</v>
      </c>
      <c r="BBV2" s="429"/>
      <c r="BBW2" s="429"/>
      <c r="BBX2" s="429"/>
      <c r="BBY2" s="428" t="s">
        <v>23</v>
      </c>
      <c r="BBZ2" s="429"/>
      <c r="BCA2" s="429"/>
      <c r="BCB2" s="429"/>
      <c r="BCC2" s="428" t="s">
        <v>23</v>
      </c>
      <c r="BCD2" s="429"/>
      <c r="BCE2" s="429"/>
      <c r="BCF2" s="429"/>
      <c r="BCG2" s="428" t="s">
        <v>23</v>
      </c>
      <c r="BCH2" s="429"/>
      <c r="BCI2" s="429"/>
      <c r="BCJ2" s="429"/>
      <c r="BCK2" s="428" t="s">
        <v>23</v>
      </c>
      <c r="BCL2" s="429"/>
      <c r="BCM2" s="429"/>
      <c r="BCN2" s="429"/>
      <c r="BCO2" s="428" t="s">
        <v>23</v>
      </c>
      <c r="BCP2" s="429"/>
      <c r="BCQ2" s="429"/>
      <c r="BCR2" s="429"/>
      <c r="BCS2" s="428" t="s">
        <v>23</v>
      </c>
      <c r="BCT2" s="429"/>
      <c r="BCU2" s="429"/>
      <c r="BCV2" s="429"/>
      <c r="BCW2" s="428" t="s">
        <v>23</v>
      </c>
      <c r="BCX2" s="429"/>
      <c r="BCY2" s="429"/>
      <c r="BCZ2" s="429"/>
      <c r="BDA2" s="428" t="s">
        <v>23</v>
      </c>
      <c r="BDB2" s="429"/>
      <c r="BDC2" s="429"/>
      <c r="BDD2" s="429"/>
      <c r="BDE2" s="428" t="s">
        <v>23</v>
      </c>
      <c r="BDF2" s="429"/>
      <c r="BDG2" s="429"/>
      <c r="BDH2" s="429"/>
      <c r="BDI2" s="428" t="s">
        <v>23</v>
      </c>
      <c r="BDJ2" s="429"/>
      <c r="BDK2" s="429"/>
      <c r="BDL2" s="429"/>
      <c r="BDM2" s="428" t="s">
        <v>23</v>
      </c>
      <c r="BDN2" s="429"/>
      <c r="BDO2" s="429"/>
      <c r="BDP2" s="429"/>
      <c r="BDQ2" s="428" t="s">
        <v>23</v>
      </c>
      <c r="BDR2" s="429"/>
      <c r="BDS2" s="429"/>
      <c r="BDT2" s="429"/>
      <c r="BDU2" s="428" t="s">
        <v>23</v>
      </c>
      <c r="BDV2" s="429"/>
      <c r="BDW2" s="429"/>
      <c r="BDX2" s="429"/>
      <c r="BDY2" s="428" t="s">
        <v>23</v>
      </c>
      <c r="BDZ2" s="429"/>
      <c r="BEA2" s="429"/>
      <c r="BEB2" s="429"/>
      <c r="BEC2" s="428" t="s">
        <v>23</v>
      </c>
      <c r="BED2" s="429"/>
      <c r="BEE2" s="429"/>
      <c r="BEF2" s="429"/>
      <c r="BEG2" s="428" t="s">
        <v>23</v>
      </c>
      <c r="BEH2" s="429"/>
      <c r="BEI2" s="429"/>
      <c r="BEJ2" s="429"/>
      <c r="BEK2" s="428" t="s">
        <v>23</v>
      </c>
      <c r="BEL2" s="429"/>
      <c r="BEM2" s="429"/>
      <c r="BEN2" s="429"/>
      <c r="BEO2" s="428" t="s">
        <v>23</v>
      </c>
      <c r="BEP2" s="429"/>
      <c r="BEQ2" s="429"/>
      <c r="BER2" s="429"/>
      <c r="BES2" s="428" t="s">
        <v>23</v>
      </c>
      <c r="BET2" s="429"/>
      <c r="BEU2" s="429"/>
      <c r="BEV2" s="429"/>
      <c r="BEW2" s="428" t="s">
        <v>23</v>
      </c>
      <c r="BEX2" s="429"/>
      <c r="BEY2" s="429"/>
      <c r="BEZ2" s="429"/>
      <c r="BFA2" s="428" t="s">
        <v>23</v>
      </c>
      <c r="BFB2" s="429"/>
      <c r="BFC2" s="429"/>
      <c r="BFD2" s="429"/>
      <c r="BFE2" s="428" t="s">
        <v>23</v>
      </c>
      <c r="BFF2" s="429"/>
      <c r="BFG2" s="429"/>
      <c r="BFH2" s="429"/>
      <c r="BFI2" s="428" t="s">
        <v>23</v>
      </c>
      <c r="BFJ2" s="429"/>
      <c r="BFK2" s="429"/>
      <c r="BFL2" s="429"/>
      <c r="BFM2" s="428" t="s">
        <v>23</v>
      </c>
      <c r="BFN2" s="429"/>
      <c r="BFO2" s="429"/>
      <c r="BFP2" s="429"/>
      <c r="BFQ2" s="428" t="s">
        <v>23</v>
      </c>
      <c r="BFR2" s="429"/>
      <c r="BFS2" s="429"/>
      <c r="BFT2" s="429"/>
      <c r="BFU2" s="428" t="s">
        <v>23</v>
      </c>
      <c r="BFV2" s="429"/>
      <c r="BFW2" s="429"/>
      <c r="BFX2" s="429"/>
      <c r="BFY2" s="428" t="s">
        <v>23</v>
      </c>
      <c r="BFZ2" s="429"/>
      <c r="BGA2" s="429"/>
      <c r="BGB2" s="429"/>
      <c r="BGC2" s="428" t="s">
        <v>23</v>
      </c>
      <c r="BGD2" s="429"/>
      <c r="BGE2" s="429"/>
      <c r="BGF2" s="429"/>
      <c r="BGG2" s="428" t="s">
        <v>23</v>
      </c>
      <c r="BGH2" s="429"/>
      <c r="BGI2" s="429"/>
      <c r="BGJ2" s="429"/>
      <c r="BGK2" s="428" t="s">
        <v>23</v>
      </c>
      <c r="BGL2" s="429"/>
      <c r="BGM2" s="429"/>
      <c r="BGN2" s="429"/>
      <c r="BGO2" s="428" t="s">
        <v>23</v>
      </c>
      <c r="BGP2" s="429"/>
      <c r="BGQ2" s="429"/>
      <c r="BGR2" s="429"/>
      <c r="BGS2" s="428" t="s">
        <v>23</v>
      </c>
      <c r="BGT2" s="429"/>
      <c r="BGU2" s="429"/>
      <c r="BGV2" s="429"/>
      <c r="BGW2" s="428" t="s">
        <v>23</v>
      </c>
      <c r="BGX2" s="429"/>
      <c r="BGY2" s="429"/>
      <c r="BGZ2" s="429"/>
      <c r="BHA2" s="428" t="s">
        <v>23</v>
      </c>
      <c r="BHB2" s="429"/>
      <c r="BHC2" s="429"/>
      <c r="BHD2" s="429"/>
      <c r="BHE2" s="428" t="s">
        <v>23</v>
      </c>
      <c r="BHF2" s="429"/>
      <c r="BHG2" s="429"/>
      <c r="BHH2" s="429"/>
      <c r="BHI2" s="428" t="s">
        <v>23</v>
      </c>
      <c r="BHJ2" s="429"/>
      <c r="BHK2" s="429"/>
      <c r="BHL2" s="429"/>
      <c r="BHM2" s="428" t="s">
        <v>23</v>
      </c>
      <c r="BHN2" s="429"/>
      <c r="BHO2" s="429"/>
      <c r="BHP2" s="429"/>
      <c r="BHQ2" s="428" t="s">
        <v>23</v>
      </c>
      <c r="BHR2" s="429"/>
      <c r="BHS2" s="429"/>
      <c r="BHT2" s="429"/>
      <c r="BHU2" s="428" t="s">
        <v>23</v>
      </c>
      <c r="BHV2" s="429"/>
      <c r="BHW2" s="429"/>
      <c r="BHX2" s="429"/>
      <c r="BHY2" s="428" t="s">
        <v>23</v>
      </c>
      <c r="BHZ2" s="429"/>
      <c r="BIA2" s="429"/>
      <c r="BIB2" s="429"/>
      <c r="BIC2" s="428" t="s">
        <v>23</v>
      </c>
      <c r="BID2" s="429"/>
      <c r="BIE2" s="429"/>
      <c r="BIF2" s="429"/>
      <c r="BIG2" s="428" t="s">
        <v>23</v>
      </c>
      <c r="BIH2" s="429"/>
      <c r="BII2" s="429"/>
      <c r="BIJ2" s="429"/>
      <c r="BIK2" s="428" t="s">
        <v>23</v>
      </c>
      <c r="BIL2" s="429"/>
      <c r="BIM2" s="429"/>
      <c r="BIN2" s="429"/>
      <c r="BIO2" s="428" t="s">
        <v>23</v>
      </c>
      <c r="BIP2" s="429"/>
      <c r="BIQ2" s="429"/>
      <c r="BIR2" s="429"/>
      <c r="BIS2" s="428" t="s">
        <v>23</v>
      </c>
      <c r="BIT2" s="429"/>
      <c r="BIU2" s="429"/>
      <c r="BIV2" s="429"/>
      <c r="BIW2" s="428" t="s">
        <v>23</v>
      </c>
      <c r="BIX2" s="429"/>
      <c r="BIY2" s="429"/>
      <c r="BIZ2" s="429"/>
      <c r="BJA2" s="428" t="s">
        <v>23</v>
      </c>
      <c r="BJB2" s="429"/>
      <c r="BJC2" s="429"/>
      <c r="BJD2" s="429"/>
      <c r="BJE2" s="428" t="s">
        <v>23</v>
      </c>
      <c r="BJF2" s="429"/>
      <c r="BJG2" s="429"/>
      <c r="BJH2" s="429"/>
      <c r="BJI2" s="428" t="s">
        <v>23</v>
      </c>
      <c r="BJJ2" s="429"/>
      <c r="BJK2" s="429"/>
      <c r="BJL2" s="429"/>
      <c r="BJM2" s="428" t="s">
        <v>23</v>
      </c>
      <c r="BJN2" s="429"/>
      <c r="BJO2" s="429"/>
      <c r="BJP2" s="429"/>
      <c r="BJQ2" s="428" t="s">
        <v>23</v>
      </c>
      <c r="BJR2" s="429"/>
      <c r="BJS2" s="429"/>
      <c r="BJT2" s="429"/>
      <c r="BJU2" s="428" t="s">
        <v>23</v>
      </c>
      <c r="BJV2" s="429"/>
      <c r="BJW2" s="429"/>
      <c r="BJX2" s="429"/>
      <c r="BJY2" s="428" t="s">
        <v>23</v>
      </c>
      <c r="BJZ2" s="429"/>
      <c r="BKA2" s="429"/>
      <c r="BKB2" s="429"/>
      <c r="BKC2" s="428" t="s">
        <v>23</v>
      </c>
      <c r="BKD2" s="429"/>
      <c r="BKE2" s="429"/>
      <c r="BKF2" s="429"/>
      <c r="BKG2" s="428" t="s">
        <v>23</v>
      </c>
      <c r="BKH2" s="429"/>
      <c r="BKI2" s="429"/>
      <c r="BKJ2" s="429"/>
      <c r="BKK2" s="428" t="s">
        <v>23</v>
      </c>
      <c r="BKL2" s="429"/>
      <c r="BKM2" s="429"/>
      <c r="BKN2" s="429"/>
      <c r="BKO2" s="428" t="s">
        <v>23</v>
      </c>
      <c r="BKP2" s="429"/>
      <c r="BKQ2" s="429"/>
      <c r="BKR2" s="429"/>
      <c r="BKS2" s="428" t="s">
        <v>23</v>
      </c>
      <c r="BKT2" s="429"/>
      <c r="BKU2" s="429"/>
      <c r="BKV2" s="429"/>
      <c r="BKW2" s="428" t="s">
        <v>23</v>
      </c>
      <c r="BKX2" s="429"/>
      <c r="BKY2" s="429"/>
      <c r="BKZ2" s="429"/>
      <c r="BLA2" s="428" t="s">
        <v>23</v>
      </c>
      <c r="BLB2" s="429"/>
      <c r="BLC2" s="429"/>
      <c r="BLD2" s="429"/>
      <c r="BLE2" s="428" t="s">
        <v>23</v>
      </c>
      <c r="BLF2" s="429"/>
      <c r="BLG2" s="429"/>
      <c r="BLH2" s="429"/>
      <c r="BLI2" s="428" t="s">
        <v>23</v>
      </c>
      <c r="BLJ2" s="429"/>
      <c r="BLK2" s="429"/>
      <c r="BLL2" s="429"/>
      <c r="BLM2" s="428" t="s">
        <v>23</v>
      </c>
      <c r="BLN2" s="429"/>
      <c r="BLO2" s="429"/>
      <c r="BLP2" s="429"/>
      <c r="BLQ2" s="428" t="s">
        <v>23</v>
      </c>
      <c r="BLR2" s="429"/>
      <c r="BLS2" s="429"/>
      <c r="BLT2" s="429"/>
      <c r="BLU2" s="428" t="s">
        <v>23</v>
      </c>
      <c r="BLV2" s="429"/>
      <c r="BLW2" s="429"/>
      <c r="BLX2" s="429"/>
      <c r="BLY2" s="428" t="s">
        <v>23</v>
      </c>
      <c r="BLZ2" s="429"/>
      <c r="BMA2" s="429"/>
      <c r="BMB2" s="429"/>
      <c r="BMC2" s="428" t="s">
        <v>23</v>
      </c>
      <c r="BMD2" s="429"/>
      <c r="BME2" s="429"/>
      <c r="BMF2" s="429"/>
      <c r="BMG2" s="428" t="s">
        <v>23</v>
      </c>
      <c r="BMH2" s="429"/>
      <c r="BMI2" s="429"/>
      <c r="BMJ2" s="429"/>
      <c r="BMK2" s="428" t="s">
        <v>23</v>
      </c>
      <c r="BML2" s="429"/>
      <c r="BMM2" s="429"/>
      <c r="BMN2" s="429"/>
      <c r="BMO2" s="428" t="s">
        <v>23</v>
      </c>
      <c r="BMP2" s="429"/>
      <c r="BMQ2" s="429"/>
      <c r="BMR2" s="429"/>
      <c r="BMS2" s="428" t="s">
        <v>23</v>
      </c>
      <c r="BMT2" s="429"/>
      <c r="BMU2" s="429"/>
      <c r="BMV2" s="429"/>
      <c r="BMW2" s="428" t="s">
        <v>23</v>
      </c>
      <c r="BMX2" s="429"/>
      <c r="BMY2" s="429"/>
      <c r="BMZ2" s="429"/>
      <c r="BNA2" s="428" t="s">
        <v>23</v>
      </c>
      <c r="BNB2" s="429"/>
      <c r="BNC2" s="429"/>
      <c r="BND2" s="429"/>
      <c r="BNE2" s="428" t="s">
        <v>23</v>
      </c>
      <c r="BNF2" s="429"/>
      <c r="BNG2" s="429"/>
      <c r="BNH2" s="429"/>
      <c r="BNI2" s="428" t="s">
        <v>23</v>
      </c>
      <c r="BNJ2" s="429"/>
      <c r="BNK2" s="429"/>
      <c r="BNL2" s="429"/>
      <c r="BNM2" s="428" t="s">
        <v>23</v>
      </c>
      <c r="BNN2" s="429"/>
      <c r="BNO2" s="429"/>
      <c r="BNP2" s="429"/>
      <c r="BNQ2" s="428" t="s">
        <v>23</v>
      </c>
      <c r="BNR2" s="429"/>
      <c r="BNS2" s="429"/>
      <c r="BNT2" s="429"/>
      <c r="BNU2" s="428" t="s">
        <v>23</v>
      </c>
      <c r="BNV2" s="429"/>
      <c r="BNW2" s="429"/>
      <c r="BNX2" s="429"/>
      <c r="BNY2" s="428" t="s">
        <v>23</v>
      </c>
      <c r="BNZ2" s="429"/>
      <c r="BOA2" s="429"/>
      <c r="BOB2" s="429"/>
      <c r="BOC2" s="428" t="s">
        <v>23</v>
      </c>
      <c r="BOD2" s="429"/>
      <c r="BOE2" s="429"/>
      <c r="BOF2" s="429"/>
      <c r="BOG2" s="428" t="s">
        <v>23</v>
      </c>
      <c r="BOH2" s="429"/>
      <c r="BOI2" s="429"/>
      <c r="BOJ2" s="429"/>
      <c r="BOK2" s="428" t="s">
        <v>23</v>
      </c>
      <c r="BOL2" s="429"/>
      <c r="BOM2" s="429"/>
      <c r="BON2" s="429"/>
      <c r="BOO2" s="428" t="s">
        <v>23</v>
      </c>
      <c r="BOP2" s="429"/>
      <c r="BOQ2" s="429"/>
      <c r="BOR2" s="429"/>
      <c r="BOS2" s="428" t="s">
        <v>23</v>
      </c>
      <c r="BOT2" s="429"/>
      <c r="BOU2" s="429"/>
      <c r="BOV2" s="429"/>
      <c r="BOW2" s="428" t="s">
        <v>23</v>
      </c>
      <c r="BOX2" s="429"/>
      <c r="BOY2" s="429"/>
      <c r="BOZ2" s="429"/>
      <c r="BPA2" s="428" t="s">
        <v>23</v>
      </c>
      <c r="BPB2" s="429"/>
      <c r="BPC2" s="429"/>
      <c r="BPD2" s="429"/>
      <c r="BPE2" s="428" t="s">
        <v>23</v>
      </c>
      <c r="BPF2" s="429"/>
      <c r="BPG2" s="429"/>
      <c r="BPH2" s="429"/>
      <c r="BPI2" s="428" t="s">
        <v>23</v>
      </c>
      <c r="BPJ2" s="429"/>
      <c r="BPK2" s="429"/>
      <c r="BPL2" s="429"/>
      <c r="BPM2" s="428" t="s">
        <v>23</v>
      </c>
      <c r="BPN2" s="429"/>
      <c r="BPO2" s="429"/>
      <c r="BPP2" s="429"/>
      <c r="BPQ2" s="428" t="s">
        <v>23</v>
      </c>
      <c r="BPR2" s="429"/>
      <c r="BPS2" s="429"/>
      <c r="BPT2" s="429"/>
      <c r="BPU2" s="428" t="s">
        <v>23</v>
      </c>
      <c r="BPV2" s="429"/>
      <c r="BPW2" s="429"/>
      <c r="BPX2" s="429"/>
      <c r="BPY2" s="428" t="s">
        <v>23</v>
      </c>
      <c r="BPZ2" s="429"/>
      <c r="BQA2" s="429"/>
      <c r="BQB2" s="429"/>
      <c r="BQC2" s="428" t="s">
        <v>23</v>
      </c>
      <c r="BQD2" s="429"/>
      <c r="BQE2" s="429"/>
      <c r="BQF2" s="429"/>
      <c r="BQG2" s="428" t="s">
        <v>23</v>
      </c>
      <c r="BQH2" s="429"/>
      <c r="BQI2" s="429"/>
      <c r="BQJ2" s="429"/>
      <c r="BQK2" s="428" t="s">
        <v>23</v>
      </c>
      <c r="BQL2" s="429"/>
      <c r="BQM2" s="429"/>
      <c r="BQN2" s="429"/>
      <c r="BQO2" s="428" t="s">
        <v>23</v>
      </c>
      <c r="BQP2" s="429"/>
      <c r="BQQ2" s="429"/>
      <c r="BQR2" s="429"/>
      <c r="BQS2" s="428" t="s">
        <v>23</v>
      </c>
      <c r="BQT2" s="429"/>
      <c r="BQU2" s="429"/>
      <c r="BQV2" s="429"/>
      <c r="BQW2" s="428" t="s">
        <v>23</v>
      </c>
      <c r="BQX2" s="429"/>
      <c r="BQY2" s="429"/>
      <c r="BQZ2" s="429"/>
      <c r="BRA2" s="428" t="s">
        <v>23</v>
      </c>
      <c r="BRB2" s="429"/>
      <c r="BRC2" s="429"/>
      <c r="BRD2" s="429"/>
      <c r="BRE2" s="428" t="s">
        <v>23</v>
      </c>
      <c r="BRF2" s="429"/>
      <c r="BRG2" s="429"/>
      <c r="BRH2" s="429"/>
      <c r="BRI2" s="428" t="s">
        <v>23</v>
      </c>
      <c r="BRJ2" s="429"/>
      <c r="BRK2" s="429"/>
      <c r="BRL2" s="429"/>
      <c r="BRM2" s="428" t="s">
        <v>23</v>
      </c>
      <c r="BRN2" s="429"/>
      <c r="BRO2" s="429"/>
      <c r="BRP2" s="429"/>
      <c r="BRQ2" s="428" t="s">
        <v>23</v>
      </c>
      <c r="BRR2" s="429"/>
      <c r="BRS2" s="429"/>
      <c r="BRT2" s="429"/>
      <c r="BRU2" s="428" t="s">
        <v>23</v>
      </c>
      <c r="BRV2" s="429"/>
      <c r="BRW2" s="429"/>
      <c r="BRX2" s="429"/>
      <c r="BRY2" s="428" t="s">
        <v>23</v>
      </c>
      <c r="BRZ2" s="429"/>
      <c r="BSA2" s="429"/>
      <c r="BSB2" s="429"/>
      <c r="BSC2" s="428" t="s">
        <v>23</v>
      </c>
      <c r="BSD2" s="429"/>
      <c r="BSE2" s="429"/>
      <c r="BSF2" s="429"/>
      <c r="BSG2" s="428" t="s">
        <v>23</v>
      </c>
      <c r="BSH2" s="429"/>
      <c r="BSI2" s="429"/>
      <c r="BSJ2" s="429"/>
      <c r="BSK2" s="428" t="s">
        <v>23</v>
      </c>
      <c r="BSL2" s="429"/>
      <c r="BSM2" s="429"/>
      <c r="BSN2" s="429"/>
      <c r="BSO2" s="428" t="s">
        <v>23</v>
      </c>
      <c r="BSP2" s="429"/>
      <c r="BSQ2" s="429"/>
      <c r="BSR2" s="429"/>
      <c r="BSS2" s="428" t="s">
        <v>23</v>
      </c>
      <c r="BST2" s="429"/>
      <c r="BSU2" s="429"/>
      <c r="BSV2" s="429"/>
      <c r="BSW2" s="428" t="s">
        <v>23</v>
      </c>
      <c r="BSX2" s="429"/>
      <c r="BSY2" s="429"/>
      <c r="BSZ2" s="429"/>
      <c r="BTA2" s="428" t="s">
        <v>23</v>
      </c>
      <c r="BTB2" s="429"/>
      <c r="BTC2" s="429"/>
      <c r="BTD2" s="429"/>
      <c r="BTE2" s="428" t="s">
        <v>23</v>
      </c>
      <c r="BTF2" s="429"/>
      <c r="BTG2" s="429"/>
      <c r="BTH2" s="429"/>
      <c r="BTI2" s="428" t="s">
        <v>23</v>
      </c>
      <c r="BTJ2" s="429"/>
      <c r="BTK2" s="429"/>
      <c r="BTL2" s="429"/>
      <c r="BTM2" s="428" t="s">
        <v>23</v>
      </c>
      <c r="BTN2" s="429"/>
      <c r="BTO2" s="429"/>
      <c r="BTP2" s="429"/>
      <c r="BTQ2" s="428" t="s">
        <v>23</v>
      </c>
      <c r="BTR2" s="429"/>
      <c r="BTS2" s="429"/>
      <c r="BTT2" s="429"/>
      <c r="BTU2" s="428" t="s">
        <v>23</v>
      </c>
      <c r="BTV2" s="429"/>
      <c r="BTW2" s="429"/>
      <c r="BTX2" s="429"/>
      <c r="BTY2" s="428" t="s">
        <v>23</v>
      </c>
      <c r="BTZ2" s="429"/>
      <c r="BUA2" s="429"/>
      <c r="BUB2" s="429"/>
      <c r="BUC2" s="428" t="s">
        <v>23</v>
      </c>
      <c r="BUD2" s="429"/>
      <c r="BUE2" s="429"/>
      <c r="BUF2" s="429"/>
      <c r="BUG2" s="428" t="s">
        <v>23</v>
      </c>
      <c r="BUH2" s="429"/>
      <c r="BUI2" s="429"/>
      <c r="BUJ2" s="429"/>
      <c r="BUK2" s="428" t="s">
        <v>23</v>
      </c>
      <c r="BUL2" s="429"/>
      <c r="BUM2" s="429"/>
      <c r="BUN2" s="429"/>
      <c r="BUO2" s="428" t="s">
        <v>23</v>
      </c>
      <c r="BUP2" s="429"/>
      <c r="BUQ2" s="429"/>
      <c r="BUR2" s="429"/>
      <c r="BUS2" s="428" t="s">
        <v>23</v>
      </c>
      <c r="BUT2" s="429"/>
      <c r="BUU2" s="429"/>
      <c r="BUV2" s="429"/>
      <c r="BUW2" s="428" t="s">
        <v>23</v>
      </c>
      <c r="BUX2" s="429"/>
      <c r="BUY2" s="429"/>
      <c r="BUZ2" s="429"/>
      <c r="BVA2" s="428" t="s">
        <v>23</v>
      </c>
      <c r="BVB2" s="429"/>
      <c r="BVC2" s="429"/>
      <c r="BVD2" s="429"/>
      <c r="BVE2" s="428" t="s">
        <v>23</v>
      </c>
      <c r="BVF2" s="429"/>
      <c r="BVG2" s="429"/>
      <c r="BVH2" s="429"/>
      <c r="BVI2" s="428" t="s">
        <v>23</v>
      </c>
      <c r="BVJ2" s="429"/>
      <c r="BVK2" s="429"/>
      <c r="BVL2" s="429"/>
      <c r="BVM2" s="428" t="s">
        <v>23</v>
      </c>
      <c r="BVN2" s="429"/>
      <c r="BVO2" s="429"/>
      <c r="BVP2" s="429"/>
      <c r="BVQ2" s="428" t="s">
        <v>23</v>
      </c>
      <c r="BVR2" s="429"/>
      <c r="BVS2" s="429"/>
      <c r="BVT2" s="429"/>
      <c r="BVU2" s="428" t="s">
        <v>23</v>
      </c>
      <c r="BVV2" s="429"/>
      <c r="BVW2" s="429"/>
      <c r="BVX2" s="429"/>
      <c r="BVY2" s="428" t="s">
        <v>23</v>
      </c>
      <c r="BVZ2" s="429"/>
      <c r="BWA2" s="429"/>
      <c r="BWB2" s="429"/>
      <c r="BWC2" s="428" t="s">
        <v>23</v>
      </c>
      <c r="BWD2" s="429"/>
      <c r="BWE2" s="429"/>
      <c r="BWF2" s="429"/>
      <c r="BWG2" s="428" t="s">
        <v>23</v>
      </c>
      <c r="BWH2" s="429"/>
      <c r="BWI2" s="429"/>
      <c r="BWJ2" s="429"/>
      <c r="BWK2" s="428" t="s">
        <v>23</v>
      </c>
      <c r="BWL2" s="429"/>
      <c r="BWM2" s="429"/>
      <c r="BWN2" s="429"/>
      <c r="BWO2" s="428" t="s">
        <v>23</v>
      </c>
      <c r="BWP2" s="429"/>
      <c r="BWQ2" s="429"/>
      <c r="BWR2" s="429"/>
      <c r="BWS2" s="428" t="s">
        <v>23</v>
      </c>
      <c r="BWT2" s="429"/>
      <c r="BWU2" s="429"/>
      <c r="BWV2" s="429"/>
      <c r="BWW2" s="428" t="s">
        <v>23</v>
      </c>
      <c r="BWX2" s="429"/>
      <c r="BWY2" s="429"/>
      <c r="BWZ2" s="429"/>
      <c r="BXA2" s="428" t="s">
        <v>23</v>
      </c>
      <c r="BXB2" s="429"/>
      <c r="BXC2" s="429"/>
      <c r="BXD2" s="429"/>
      <c r="BXE2" s="428" t="s">
        <v>23</v>
      </c>
      <c r="BXF2" s="429"/>
      <c r="BXG2" s="429"/>
      <c r="BXH2" s="429"/>
      <c r="BXI2" s="428" t="s">
        <v>23</v>
      </c>
      <c r="BXJ2" s="429"/>
      <c r="BXK2" s="429"/>
      <c r="BXL2" s="429"/>
      <c r="BXM2" s="428" t="s">
        <v>23</v>
      </c>
      <c r="BXN2" s="429"/>
      <c r="BXO2" s="429"/>
      <c r="BXP2" s="429"/>
      <c r="BXQ2" s="428" t="s">
        <v>23</v>
      </c>
      <c r="BXR2" s="429"/>
      <c r="BXS2" s="429"/>
      <c r="BXT2" s="429"/>
      <c r="BXU2" s="428" t="s">
        <v>23</v>
      </c>
      <c r="BXV2" s="429"/>
      <c r="BXW2" s="429"/>
      <c r="BXX2" s="429"/>
      <c r="BXY2" s="428" t="s">
        <v>23</v>
      </c>
      <c r="BXZ2" s="429"/>
      <c r="BYA2" s="429"/>
      <c r="BYB2" s="429"/>
      <c r="BYC2" s="428" t="s">
        <v>23</v>
      </c>
      <c r="BYD2" s="429"/>
      <c r="BYE2" s="429"/>
      <c r="BYF2" s="429"/>
      <c r="BYG2" s="428" t="s">
        <v>23</v>
      </c>
      <c r="BYH2" s="429"/>
      <c r="BYI2" s="429"/>
      <c r="BYJ2" s="429"/>
      <c r="BYK2" s="428" t="s">
        <v>23</v>
      </c>
      <c r="BYL2" s="429"/>
      <c r="BYM2" s="429"/>
      <c r="BYN2" s="429"/>
      <c r="BYO2" s="428" t="s">
        <v>23</v>
      </c>
      <c r="BYP2" s="429"/>
      <c r="BYQ2" s="429"/>
      <c r="BYR2" s="429"/>
      <c r="BYS2" s="428" t="s">
        <v>23</v>
      </c>
      <c r="BYT2" s="429"/>
      <c r="BYU2" s="429"/>
      <c r="BYV2" s="429"/>
      <c r="BYW2" s="428" t="s">
        <v>23</v>
      </c>
      <c r="BYX2" s="429"/>
      <c r="BYY2" s="429"/>
      <c r="BYZ2" s="429"/>
      <c r="BZA2" s="428" t="s">
        <v>23</v>
      </c>
      <c r="BZB2" s="429"/>
      <c r="BZC2" s="429"/>
      <c r="BZD2" s="429"/>
      <c r="BZE2" s="428" t="s">
        <v>23</v>
      </c>
      <c r="BZF2" s="429"/>
      <c r="BZG2" s="429"/>
      <c r="BZH2" s="429"/>
      <c r="BZI2" s="428" t="s">
        <v>23</v>
      </c>
      <c r="BZJ2" s="429"/>
      <c r="BZK2" s="429"/>
      <c r="BZL2" s="429"/>
      <c r="BZM2" s="428" t="s">
        <v>23</v>
      </c>
      <c r="BZN2" s="429"/>
      <c r="BZO2" s="429"/>
      <c r="BZP2" s="429"/>
      <c r="BZQ2" s="428" t="s">
        <v>23</v>
      </c>
      <c r="BZR2" s="429"/>
      <c r="BZS2" s="429"/>
      <c r="BZT2" s="429"/>
      <c r="BZU2" s="428" t="s">
        <v>23</v>
      </c>
      <c r="BZV2" s="429"/>
      <c r="BZW2" s="429"/>
      <c r="BZX2" s="429"/>
      <c r="BZY2" s="428" t="s">
        <v>23</v>
      </c>
      <c r="BZZ2" s="429"/>
      <c r="CAA2" s="429"/>
      <c r="CAB2" s="429"/>
      <c r="CAC2" s="428" t="s">
        <v>23</v>
      </c>
      <c r="CAD2" s="429"/>
      <c r="CAE2" s="429"/>
      <c r="CAF2" s="429"/>
      <c r="CAG2" s="428" t="s">
        <v>23</v>
      </c>
      <c r="CAH2" s="429"/>
      <c r="CAI2" s="429"/>
      <c r="CAJ2" s="429"/>
      <c r="CAK2" s="428" t="s">
        <v>23</v>
      </c>
      <c r="CAL2" s="429"/>
      <c r="CAM2" s="429"/>
      <c r="CAN2" s="429"/>
      <c r="CAO2" s="428" t="s">
        <v>23</v>
      </c>
      <c r="CAP2" s="429"/>
      <c r="CAQ2" s="429"/>
      <c r="CAR2" s="429"/>
      <c r="CAS2" s="428" t="s">
        <v>23</v>
      </c>
      <c r="CAT2" s="429"/>
      <c r="CAU2" s="429"/>
      <c r="CAV2" s="429"/>
      <c r="CAW2" s="428" t="s">
        <v>23</v>
      </c>
      <c r="CAX2" s="429"/>
      <c r="CAY2" s="429"/>
      <c r="CAZ2" s="429"/>
      <c r="CBA2" s="428" t="s">
        <v>23</v>
      </c>
      <c r="CBB2" s="429"/>
      <c r="CBC2" s="429"/>
      <c r="CBD2" s="429"/>
      <c r="CBE2" s="428" t="s">
        <v>23</v>
      </c>
      <c r="CBF2" s="429"/>
      <c r="CBG2" s="429"/>
      <c r="CBH2" s="429"/>
      <c r="CBI2" s="428" t="s">
        <v>23</v>
      </c>
      <c r="CBJ2" s="429"/>
      <c r="CBK2" s="429"/>
      <c r="CBL2" s="429"/>
      <c r="CBM2" s="428" t="s">
        <v>23</v>
      </c>
      <c r="CBN2" s="429"/>
      <c r="CBO2" s="429"/>
      <c r="CBP2" s="429"/>
      <c r="CBQ2" s="428" t="s">
        <v>23</v>
      </c>
      <c r="CBR2" s="429"/>
      <c r="CBS2" s="429"/>
      <c r="CBT2" s="429"/>
      <c r="CBU2" s="428" t="s">
        <v>23</v>
      </c>
      <c r="CBV2" s="429"/>
      <c r="CBW2" s="429"/>
      <c r="CBX2" s="429"/>
      <c r="CBY2" s="428" t="s">
        <v>23</v>
      </c>
      <c r="CBZ2" s="429"/>
      <c r="CCA2" s="429"/>
      <c r="CCB2" s="429"/>
      <c r="CCC2" s="428" t="s">
        <v>23</v>
      </c>
      <c r="CCD2" s="429"/>
      <c r="CCE2" s="429"/>
      <c r="CCF2" s="429"/>
      <c r="CCG2" s="428" t="s">
        <v>23</v>
      </c>
      <c r="CCH2" s="429"/>
      <c r="CCI2" s="429"/>
      <c r="CCJ2" s="429"/>
      <c r="CCK2" s="428" t="s">
        <v>23</v>
      </c>
      <c r="CCL2" s="429"/>
      <c r="CCM2" s="429"/>
      <c r="CCN2" s="429"/>
      <c r="CCO2" s="428" t="s">
        <v>23</v>
      </c>
      <c r="CCP2" s="429"/>
      <c r="CCQ2" s="429"/>
      <c r="CCR2" s="429"/>
      <c r="CCS2" s="428" t="s">
        <v>23</v>
      </c>
      <c r="CCT2" s="429"/>
      <c r="CCU2" s="429"/>
      <c r="CCV2" s="429"/>
      <c r="CCW2" s="428" t="s">
        <v>23</v>
      </c>
      <c r="CCX2" s="429"/>
      <c r="CCY2" s="429"/>
      <c r="CCZ2" s="429"/>
      <c r="CDA2" s="428" t="s">
        <v>23</v>
      </c>
      <c r="CDB2" s="429"/>
      <c r="CDC2" s="429"/>
      <c r="CDD2" s="429"/>
      <c r="CDE2" s="428" t="s">
        <v>23</v>
      </c>
      <c r="CDF2" s="429"/>
      <c r="CDG2" s="429"/>
      <c r="CDH2" s="429"/>
      <c r="CDI2" s="428" t="s">
        <v>23</v>
      </c>
      <c r="CDJ2" s="429"/>
      <c r="CDK2" s="429"/>
      <c r="CDL2" s="429"/>
      <c r="CDM2" s="428" t="s">
        <v>23</v>
      </c>
      <c r="CDN2" s="429"/>
      <c r="CDO2" s="429"/>
      <c r="CDP2" s="429"/>
      <c r="CDQ2" s="428" t="s">
        <v>23</v>
      </c>
      <c r="CDR2" s="429"/>
      <c r="CDS2" s="429"/>
      <c r="CDT2" s="429"/>
      <c r="CDU2" s="428" t="s">
        <v>23</v>
      </c>
      <c r="CDV2" s="429"/>
      <c r="CDW2" s="429"/>
      <c r="CDX2" s="429"/>
      <c r="CDY2" s="428" t="s">
        <v>23</v>
      </c>
      <c r="CDZ2" s="429"/>
      <c r="CEA2" s="429"/>
      <c r="CEB2" s="429"/>
      <c r="CEC2" s="428" t="s">
        <v>23</v>
      </c>
      <c r="CED2" s="429"/>
      <c r="CEE2" s="429"/>
      <c r="CEF2" s="429"/>
      <c r="CEG2" s="428" t="s">
        <v>23</v>
      </c>
      <c r="CEH2" s="429"/>
      <c r="CEI2" s="429"/>
      <c r="CEJ2" s="429"/>
      <c r="CEK2" s="428" t="s">
        <v>23</v>
      </c>
      <c r="CEL2" s="429"/>
      <c r="CEM2" s="429"/>
      <c r="CEN2" s="429"/>
      <c r="CEO2" s="428" t="s">
        <v>23</v>
      </c>
      <c r="CEP2" s="429"/>
      <c r="CEQ2" s="429"/>
      <c r="CER2" s="429"/>
      <c r="CES2" s="428" t="s">
        <v>23</v>
      </c>
      <c r="CET2" s="429"/>
      <c r="CEU2" s="429"/>
      <c r="CEV2" s="429"/>
      <c r="CEW2" s="428" t="s">
        <v>23</v>
      </c>
      <c r="CEX2" s="429"/>
      <c r="CEY2" s="429"/>
      <c r="CEZ2" s="429"/>
      <c r="CFA2" s="428" t="s">
        <v>23</v>
      </c>
      <c r="CFB2" s="429"/>
      <c r="CFC2" s="429"/>
      <c r="CFD2" s="429"/>
      <c r="CFE2" s="428" t="s">
        <v>23</v>
      </c>
      <c r="CFF2" s="429"/>
      <c r="CFG2" s="429"/>
      <c r="CFH2" s="429"/>
      <c r="CFI2" s="428" t="s">
        <v>23</v>
      </c>
      <c r="CFJ2" s="429"/>
      <c r="CFK2" s="429"/>
      <c r="CFL2" s="429"/>
      <c r="CFM2" s="428" t="s">
        <v>23</v>
      </c>
      <c r="CFN2" s="429"/>
      <c r="CFO2" s="429"/>
      <c r="CFP2" s="429"/>
      <c r="CFQ2" s="428" t="s">
        <v>23</v>
      </c>
      <c r="CFR2" s="429"/>
      <c r="CFS2" s="429"/>
      <c r="CFT2" s="429"/>
      <c r="CFU2" s="428" t="s">
        <v>23</v>
      </c>
      <c r="CFV2" s="429"/>
      <c r="CFW2" s="429"/>
      <c r="CFX2" s="429"/>
      <c r="CFY2" s="428" t="s">
        <v>23</v>
      </c>
      <c r="CFZ2" s="429"/>
      <c r="CGA2" s="429"/>
      <c r="CGB2" s="429"/>
      <c r="CGC2" s="428" t="s">
        <v>23</v>
      </c>
      <c r="CGD2" s="429"/>
      <c r="CGE2" s="429"/>
      <c r="CGF2" s="429"/>
      <c r="CGG2" s="428" t="s">
        <v>23</v>
      </c>
      <c r="CGH2" s="429"/>
      <c r="CGI2" s="429"/>
      <c r="CGJ2" s="429"/>
      <c r="CGK2" s="428" t="s">
        <v>23</v>
      </c>
      <c r="CGL2" s="429"/>
      <c r="CGM2" s="429"/>
      <c r="CGN2" s="429"/>
      <c r="CGO2" s="428" t="s">
        <v>23</v>
      </c>
      <c r="CGP2" s="429"/>
      <c r="CGQ2" s="429"/>
      <c r="CGR2" s="429"/>
      <c r="CGS2" s="428" t="s">
        <v>23</v>
      </c>
      <c r="CGT2" s="429"/>
      <c r="CGU2" s="429"/>
      <c r="CGV2" s="429"/>
      <c r="CGW2" s="428" t="s">
        <v>23</v>
      </c>
      <c r="CGX2" s="429"/>
      <c r="CGY2" s="429"/>
      <c r="CGZ2" s="429"/>
      <c r="CHA2" s="428" t="s">
        <v>23</v>
      </c>
      <c r="CHB2" s="429"/>
      <c r="CHC2" s="429"/>
      <c r="CHD2" s="429"/>
      <c r="CHE2" s="428" t="s">
        <v>23</v>
      </c>
      <c r="CHF2" s="429"/>
      <c r="CHG2" s="429"/>
      <c r="CHH2" s="429"/>
      <c r="CHI2" s="428" t="s">
        <v>23</v>
      </c>
      <c r="CHJ2" s="429"/>
      <c r="CHK2" s="429"/>
      <c r="CHL2" s="429"/>
      <c r="CHM2" s="428" t="s">
        <v>23</v>
      </c>
      <c r="CHN2" s="429"/>
      <c r="CHO2" s="429"/>
      <c r="CHP2" s="429"/>
      <c r="CHQ2" s="428" t="s">
        <v>23</v>
      </c>
      <c r="CHR2" s="429"/>
      <c r="CHS2" s="429"/>
      <c r="CHT2" s="429"/>
      <c r="CHU2" s="428" t="s">
        <v>23</v>
      </c>
      <c r="CHV2" s="429"/>
      <c r="CHW2" s="429"/>
      <c r="CHX2" s="429"/>
      <c r="CHY2" s="428" t="s">
        <v>23</v>
      </c>
      <c r="CHZ2" s="429"/>
      <c r="CIA2" s="429"/>
      <c r="CIB2" s="429"/>
      <c r="CIC2" s="428" t="s">
        <v>23</v>
      </c>
      <c r="CID2" s="429"/>
      <c r="CIE2" s="429"/>
      <c r="CIF2" s="429"/>
      <c r="CIG2" s="428" t="s">
        <v>23</v>
      </c>
      <c r="CIH2" s="429"/>
      <c r="CII2" s="429"/>
      <c r="CIJ2" s="429"/>
      <c r="CIK2" s="428" t="s">
        <v>23</v>
      </c>
      <c r="CIL2" s="429"/>
      <c r="CIM2" s="429"/>
      <c r="CIN2" s="429"/>
      <c r="CIO2" s="428" t="s">
        <v>23</v>
      </c>
      <c r="CIP2" s="429"/>
      <c r="CIQ2" s="429"/>
      <c r="CIR2" s="429"/>
      <c r="CIS2" s="428" t="s">
        <v>23</v>
      </c>
      <c r="CIT2" s="429"/>
      <c r="CIU2" s="429"/>
      <c r="CIV2" s="429"/>
      <c r="CIW2" s="428" t="s">
        <v>23</v>
      </c>
      <c r="CIX2" s="429"/>
      <c r="CIY2" s="429"/>
      <c r="CIZ2" s="429"/>
      <c r="CJA2" s="428" t="s">
        <v>23</v>
      </c>
      <c r="CJB2" s="429"/>
      <c r="CJC2" s="429"/>
      <c r="CJD2" s="429"/>
      <c r="CJE2" s="428" t="s">
        <v>23</v>
      </c>
      <c r="CJF2" s="429"/>
      <c r="CJG2" s="429"/>
      <c r="CJH2" s="429"/>
      <c r="CJI2" s="428" t="s">
        <v>23</v>
      </c>
      <c r="CJJ2" s="429"/>
      <c r="CJK2" s="429"/>
      <c r="CJL2" s="429"/>
      <c r="CJM2" s="428" t="s">
        <v>23</v>
      </c>
      <c r="CJN2" s="429"/>
      <c r="CJO2" s="429"/>
      <c r="CJP2" s="429"/>
      <c r="CJQ2" s="428" t="s">
        <v>23</v>
      </c>
      <c r="CJR2" s="429"/>
      <c r="CJS2" s="429"/>
      <c r="CJT2" s="429"/>
      <c r="CJU2" s="428" t="s">
        <v>23</v>
      </c>
      <c r="CJV2" s="429"/>
      <c r="CJW2" s="429"/>
      <c r="CJX2" s="429"/>
      <c r="CJY2" s="428" t="s">
        <v>23</v>
      </c>
      <c r="CJZ2" s="429"/>
      <c r="CKA2" s="429"/>
      <c r="CKB2" s="429"/>
      <c r="CKC2" s="428" t="s">
        <v>23</v>
      </c>
      <c r="CKD2" s="429"/>
      <c r="CKE2" s="429"/>
      <c r="CKF2" s="429"/>
      <c r="CKG2" s="428" t="s">
        <v>23</v>
      </c>
      <c r="CKH2" s="429"/>
      <c r="CKI2" s="429"/>
      <c r="CKJ2" s="429"/>
      <c r="CKK2" s="428" t="s">
        <v>23</v>
      </c>
      <c r="CKL2" s="429"/>
      <c r="CKM2" s="429"/>
      <c r="CKN2" s="429"/>
      <c r="CKO2" s="428" t="s">
        <v>23</v>
      </c>
      <c r="CKP2" s="429"/>
      <c r="CKQ2" s="429"/>
      <c r="CKR2" s="429"/>
      <c r="CKS2" s="428" t="s">
        <v>23</v>
      </c>
      <c r="CKT2" s="429"/>
      <c r="CKU2" s="429"/>
      <c r="CKV2" s="429"/>
      <c r="CKW2" s="428" t="s">
        <v>23</v>
      </c>
      <c r="CKX2" s="429"/>
      <c r="CKY2" s="429"/>
      <c r="CKZ2" s="429"/>
      <c r="CLA2" s="428" t="s">
        <v>23</v>
      </c>
      <c r="CLB2" s="429"/>
      <c r="CLC2" s="429"/>
      <c r="CLD2" s="429"/>
      <c r="CLE2" s="428" t="s">
        <v>23</v>
      </c>
      <c r="CLF2" s="429"/>
      <c r="CLG2" s="429"/>
      <c r="CLH2" s="429"/>
      <c r="CLI2" s="428" t="s">
        <v>23</v>
      </c>
      <c r="CLJ2" s="429"/>
      <c r="CLK2" s="429"/>
      <c r="CLL2" s="429"/>
      <c r="CLM2" s="428" t="s">
        <v>23</v>
      </c>
      <c r="CLN2" s="429"/>
      <c r="CLO2" s="429"/>
      <c r="CLP2" s="429"/>
      <c r="CLQ2" s="428" t="s">
        <v>23</v>
      </c>
      <c r="CLR2" s="429"/>
      <c r="CLS2" s="429"/>
      <c r="CLT2" s="429"/>
      <c r="CLU2" s="428" t="s">
        <v>23</v>
      </c>
      <c r="CLV2" s="429"/>
      <c r="CLW2" s="429"/>
      <c r="CLX2" s="429"/>
      <c r="CLY2" s="428" t="s">
        <v>23</v>
      </c>
      <c r="CLZ2" s="429"/>
      <c r="CMA2" s="429"/>
      <c r="CMB2" s="429"/>
      <c r="CMC2" s="428" t="s">
        <v>23</v>
      </c>
      <c r="CMD2" s="429"/>
      <c r="CME2" s="429"/>
      <c r="CMF2" s="429"/>
      <c r="CMG2" s="428" t="s">
        <v>23</v>
      </c>
      <c r="CMH2" s="429"/>
      <c r="CMI2" s="429"/>
      <c r="CMJ2" s="429"/>
      <c r="CMK2" s="428" t="s">
        <v>23</v>
      </c>
      <c r="CML2" s="429"/>
      <c r="CMM2" s="429"/>
      <c r="CMN2" s="429"/>
      <c r="CMO2" s="428" t="s">
        <v>23</v>
      </c>
      <c r="CMP2" s="429"/>
      <c r="CMQ2" s="429"/>
      <c r="CMR2" s="429"/>
      <c r="CMS2" s="428" t="s">
        <v>23</v>
      </c>
      <c r="CMT2" s="429"/>
      <c r="CMU2" s="429"/>
      <c r="CMV2" s="429"/>
      <c r="CMW2" s="428" t="s">
        <v>23</v>
      </c>
      <c r="CMX2" s="429"/>
      <c r="CMY2" s="429"/>
      <c r="CMZ2" s="429"/>
      <c r="CNA2" s="428" t="s">
        <v>23</v>
      </c>
      <c r="CNB2" s="429"/>
      <c r="CNC2" s="429"/>
      <c r="CND2" s="429"/>
      <c r="CNE2" s="428" t="s">
        <v>23</v>
      </c>
      <c r="CNF2" s="429"/>
      <c r="CNG2" s="429"/>
      <c r="CNH2" s="429"/>
      <c r="CNI2" s="428" t="s">
        <v>23</v>
      </c>
      <c r="CNJ2" s="429"/>
      <c r="CNK2" s="429"/>
      <c r="CNL2" s="429"/>
      <c r="CNM2" s="428" t="s">
        <v>23</v>
      </c>
      <c r="CNN2" s="429"/>
      <c r="CNO2" s="429"/>
      <c r="CNP2" s="429"/>
      <c r="CNQ2" s="428" t="s">
        <v>23</v>
      </c>
      <c r="CNR2" s="429"/>
      <c r="CNS2" s="429"/>
      <c r="CNT2" s="429"/>
      <c r="CNU2" s="428" t="s">
        <v>23</v>
      </c>
      <c r="CNV2" s="429"/>
      <c r="CNW2" s="429"/>
      <c r="CNX2" s="429"/>
      <c r="CNY2" s="428" t="s">
        <v>23</v>
      </c>
      <c r="CNZ2" s="429"/>
      <c r="COA2" s="429"/>
      <c r="COB2" s="429"/>
      <c r="COC2" s="428" t="s">
        <v>23</v>
      </c>
      <c r="COD2" s="429"/>
      <c r="COE2" s="429"/>
      <c r="COF2" s="429"/>
      <c r="COG2" s="428" t="s">
        <v>23</v>
      </c>
      <c r="COH2" s="429"/>
      <c r="COI2" s="429"/>
      <c r="COJ2" s="429"/>
      <c r="COK2" s="428" t="s">
        <v>23</v>
      </c>
      <c r="COL2" s="429"/>
      <c r="COM2" s="429"/>
      <c r="CON2" s="429"/>
      <c r="COO2" s="428" t="s">
        <v>23</v>
      </c>
      <c r="COP2" s="429"/>
      <c r="COQ2" s="429"/>
      <c r="COR2" s="429"/>
      <c r="COS2" s="428" t="s">
        <v>23</v>
      </c>
      <c r="COT2" s="429"/>
      <c r="COU2" s="429"/>
      <c r="COV2" s="429"/>
      <c r="COW2" s="428" t="s">
        <v>23</v>
      </c>
      <c r="COX2" s="429"/>
      <c r="COY2" s="429"/>
      <c r="COZ2" s="429"/>
      <c r="CPA2" s="428" t="s">
        <v>23</v>
      </c>
      <c r="CPB2" s="429"/>
      <c r="CPC2" s="429"/>
      <c r="CPD2" s="429"/>
      <c r="CPE2" s="428" t="s">
        <v>23</v>
      </c>
      <c r="CPF2" s="429"/>
      <c r="CPG2" s="429"/>
      <c r="CPH2" s="429"/>
      <c r="CPI2" s="428" t="s">
        <v>23</v>
      </c>
      <c r="CPJ2" s="429"/>
      <c r="CPK2" s="429"/>
      <c r="CPL2" s="429"/>
      <c r="CPM2" s="428" t="s">
        <v>23</v>
      </c>
      <c r="CPN2" s="429"/>
      <c r="CPO2" s="429"/>
      <c r="CPP2" s="429"/>
      <c r="CPQ2" s="428" t="s">
        <v>23</v>
      </c>
      <c r="CPR2" s="429"/>
      <c r="CPS2" s="429"/>
      <c r="CPT2" s="429"/>
      <c r="CPU2" s="428" t="s">
        <v>23</v>
      </c>
      <c r="CPV2" s="429"/>
      <c r="CPW2" s="429"/>
      <c r="CPX2" s="429"/>
      <c r="CPY2" s="428" t="s">
        <v>23</v>
      </c>
      <c r="CPZ2" s="429"/>
      <c r="CQA2" s="429"/>
      <c r="CQB2" s="429"/>
      <c r="CQC2" s="428" t="s">
        <v>23</v>
      </c>
      <c r="CQD2" s="429"/>
      <c r="CQE2" s="429"/>
      <c r="CQF2" s="429"/>
      <c r="CQG2" s="428" t="s">
        <v>23</v>
      </c>
      <c r="CQH2" s="429"/>
      <c r="CQI2" s="429"/>
      <c r="CQJ2" s="429"/>
      <c r="CQK2" s="428" t="s">
        <v>23</v>
      </c>
      <c r="CQL2" s="429"/>
      <c r="CQM2" s="429"/>
      <c r="CQN2" s="429"/>
      <c r="CQO2" s="428" t="s">
        <v>23</v>
      </c>
      <c r="CQP2" s="429"/>
      <c r="CQQ2" s="429"/>
      <c r="CQR2" s="429"/>
      <c r="CQS2" s="428" t="s">
        <v>23</v>
      </c>
      <c r="CQT2" s="429"/>
      <c r="CQU2" s="429"/>
      <c r="CQV2" s="429"/>
      <c r="CQW2" s="428" t="s">
        <v>23</v>
      </c>
      <c r="CQX2" s="429"/>
      <c r="CQY2" s="429"/>
      <c r="CQZ2" s="429"/>
      <c r="CRA2" s="428" t="s">
        <v>23</v>
      </c>
      <c r="CRB2" s="429"/>
      <c r="CRC2" s="429"/>
      <c r="CRD2" s="429"/>
      <c r="CRE2" s="428" t="s">
        <v>23</v>
      </c>
      <c r="CRF2" s="429"/>
      <c r="CRG2" s="429"/>
      <c r="CRH2" s="429"/>
      <c r="CRI2" s="428" t="s">
        <v>23</v>
      </c>
      <c r="CRJ2" s="429"/>
      <c r="CRK2" s="429"/>
      <c r="CRL2" s="429"/>
      <c r="CRM2" s="428" t="s">
        <v>23</v>
      </c>
      <c r="CRN2" s="429"/>
      <c r="CRO2" s="429"/>
      <c r="CRP2" s="429"/>
      <c r="CRQ2" s="428" t="s">
        <v>23</v>
      </c>
      <c r="CRR2" s="429"/>
      <c r="CRS2" s="429"/>
      <c r="CRT2" s="429"/>
      <c r="CRU2" s="428" t="s">
        <v>23</v>
      </c>
      <c r="CRV2" s="429"/>
      <c r="CRW2" s="429"/>
      <c r="CRX2" s="429"/>
      <c r="CRY2" s="428" t="s">
        <v>23</v>
      </c>
      <c r="CRZ2" s="429"/>
      <c r="CSA2" s="429"/>
      <c r="CSB2" s="429"/>
      <c r="CSC2" s="428" t="s">
        <v>23</v>
      </c>
      <c r="CSD2" s="429"/>
      <c r="CSE2" s="429"/>
      <c r="CSF2" s="429"/>
      <c r="CSG2" s="428" t="s">
        <v>23</v>
      </c>
      <c r="CSH2" s="429"/>
      <c r="CSI2" s="429"/>
      <c r="CSJ2" s="429"/>
      <c r="CSK2" s="428" t="s">
        <v>23</v>
      </c>
      <c r="CSL2" s="429"/>
      <c r="CSM2" s="429"/>
      <c r="CSN2" s="429"/>
      <c r="CSO2" s="428" t="s">
        <v>23</v>
      </c>
      <c r="CSP2" s="429"/>
      <c r="CSQ2" s="429"/>
      <c r="CSR2" s="429"/>
      <c r="CSS2" s="428" t="s">
        <v>23</v>
      </c>
      <c r="CST2" s="429"/>
      <c r="CSU2" s="429"/>
      <c r="CSV2" s="429"/>
      <c r="CSW2" s="428" t="s">
        <v>23</v>
      </c>
      <c r="CSX2" s="429"/>
      <c r="CSY2" s="429"/>
      <c r="CSZ2" s="429"/>
      <c r="CTA2" s="428" t="s">
        <v>23</v>
      </c>
      <c r="CTB2" s="429"/>
      <c r="CTC2" s="429"/>
      <c r="CTD2" s="429"/>
      <c r="CTE2" s="428" t="s">
        <v>23</v>
      </c>
      <c r="CTF2" s="429"/>
      <c r="CTG2" s="429"/>
      <c r="CTH2" s="429"/>
      <c r="CTI2" s="428" t="s">
        <v>23</v>
      </c>
      <c r="CTJ2" s="429"/>
      <c r="CTK2" s="429"/>
      <c r="CTL2" s="429"/>
      <c r="CTM2" s="428" t="s">
        <v>23</v>
      </c>
      <c r="CTN2" s="429"/>
      <c r="CTO2" s="429"/>
      <c r="CTP2" s="429"/>
      <c r="CTQ2" s="428" t="s">
        <v>23</v>
      </c>
      <c r="CTR2" s="429"/>
      <c r="CTS2" s="429"/>
      <c r="CTT2" s="429"/>
      <c r="CTU2" s="428" t="s">
        <v>23</v>
      </c>
      <c r="CTV2" s="429"/>
      <c r="CTW2" s="429"/>
      <c r="CTX2" s="429"/>
      <c r="CTY2" s="428" t="s">
        <v>23</v>
      </c>
      <c r="CTZ2" s="429"/>
      <c r="CUA2" s="429"/>
      <c r="CUB2" s="429"/>
      <c r="CUC2" s="428" t="s">
        <v>23</v>
      </c>
      <c r="CUD2" s="429"/>
      <c r="CUE2" s="429"/>
      <c r="CUF2" s="429"/>
      <c r="CUG2" s="428" t="s">
        <v>23</v>
      </c>
      <c r="CUH2" s="429"/>
      <c r="CUI2" s="429"/>
      <c r="CUJ2" s="429"/>
      <c r="CUK2" s="428" t="s">
        <v>23</v>
      </c>
      <c r="CUL2" s="429"/>
      <c r="CUM2" s="429"/>
      <c r="CUN2" s="429"/>
      <c r="CUO2" s="428" t="s">
        <v>23</v>
      </c>
      <c r="CUP2" s="429"/>
      <c r="CUQ2" s="429"/>
      <c r="CUR2" s="429"/>
      <c r="CUS2" s="428" t="s">
        <v>23</v>
      </c>
      <c r="CUT2" s="429"/>
      <c r="CUU2" s="429"/>
      <c r="CUV2" s="429"/>
      <c r="CUW2" s="428" t="s">
        <v>23</v>
      </c>
      <c r="CUX2" s="429"/>
      <c r="CUY2" s="429"/>
      <c r="CUZ2" s="429"/>
      <c r="CVA2" s="428" t="s">
        <v>23</v>
      </c>
      <c r="CVB2" s="429"/>
      <c r="CVC2" s="429"/>
      <c r="CVD2" s="429"/>
      <c r="CVE2" s="428" t="s">
        <v>23</v>
      </c>
      <c r="CVF2" s="429"/>
      <c r="CVG2" s="429"/>
      <c r="CVH2" s="429"/>
      <c r="CVI2" s="428" t="s">
        <v>23</v>
      </c>
      <c r="CVJ2" s="429"/>
      <c r="CVK2" s="429"/>
      <c r="CVL2" s="429"/>
      <c r="CVM2" s="428" t="s">
        <v>23</v>
      </c>
      <c r="CVN2" s="429"/>
      <c r="CVO2" s="429"/>
      <c r="CVP2" s="429"/>
      <c r="CVQ2" s="428" t="s">
        <v>23</v>
      </c>
      <c r="CVR2" s="429"/>
      <c r="CVS2" s="429"/>
      <c r="CVT2" s="429"/>
      <c r="CVU2" s="428" t="s">
        <v>23</v>
      </c>
      <c r="CVV2" s="429"/>
      <c r="CVW2" s="429"/>
      <c r="CVX2" s="429"/>
      <c r="CVY2" s="428" t="s">
        <v>23</v>
      </c>
      <c r="CVZ2" s="429"/>
      <c r="CWA2" s="429"/>
      <c r="CWB2" s="429"/>
      <c r="CWC2" s="428" t="s">
        <v>23</v>
      </c>
      <c r="CWD2" s="429"/>
      <c r="CWE2" s="429"/>
      <c r="CWF2" s="429"/>
      <c r="CWG2" s="428" t="s">
        <v>23</v>
      </c>
      <c r="CWH2" s="429"/>
      <c r="CWI2" s="429"/>
      <c r="CWJ2" s="429"/>
      <c r="CWK2" s="428" t="s">
        <v>23</v>
      </c>
      <c r="CWL2" s="429"/>
      <c r="CWM2" s="429"/>
      <c r="CWN2" s="429"/>
      <c r="CWO2" s="428" t="s">
        <v>23</v>
      </c>
      <c r="CWP2" s="429"/>
      <c r="CWQ2" s="429"/>
      <c r="CWR2" s="429"/>
      <c r="CWS2" s="428" t="s">
        <v>23</v>
      </c>
      <c r="CWT2" s="429"/>
      <c r="CWU2" s="429"/>
      <c r="CWV2" s="429"/>
      <c r="CWW2" s="428" t="s">
        <v>23</v>
      </c>
      <c r="CWX2" s="429"/>
      <c r="CWY2" s="429"/>
      <c r="CWZ2" s="429"/>
      <c r="CXA2" s="428" t="s">
        <v>23</v>
      </c>
      <c r="CXB2" s="429"/>
      <c r="CXC2" s="429"/>
      <c r="CXD2" s="429"/>
      <c r="CXE2" s="428" t="s">
        <v>23</v>
      </c>
      <c r="CXF2" s="429"/>
      <c r="CXG2" s="429"/>
      <c r="CXH2" s="429"/>
      <c r="CXI2" s="428" t="s">
        <v>23</v>
      </c>
      <c r="CXJ2" s="429"/>
      <c r="CXK2" s="429"/>
      <c r="CXL2" s="429"/>
      <c r="CXM2" s="428" t="s">
        <v>23</v>
      </c>
      <c r="CXN2" s="429"/>
      <c r="CXO2" s="429"/>
      <c r="CXP2" s="429"/>
      <c r="CXQ2" s="428" t="s">
        <v>23</v>
      </c>
      <c r="CXR2" s="429"/>
      <c r="CXS2" s="429"/>
      <c r="CXT2" s="429"/>
      <c r="CXU2" s="428" t="s">
        <v>23</v>
      </c>
      <c r="CXV2" s="429"/>
      <c r="CXW2" s="429"/>
      <c r="CXX2" s="429"/>
      <c r="CXY2" s="428" t="s">
        <v>23</v>
      </c>
      <c r="CXZ2" s="429"/>
      <c r="CYA2" s="429"/>
      <c r="CYB2" s="429"/>
      <c r="CYC2" s="428" t="s">
        <v>23</v>
      </c>
      <c r="CYD2" s="429"/>
      <c r="CYE2" s="429"/>
      <c r="CYF2" s="429"/>
      <c r="CYG2" s="428" t="s">
        <v>23</v>
      </c>
      <c r="CYH2" s="429"/>
      <c r="CYI2" s="429"/>
      <c r="CYJ2" s="429"/>
      <c r="CYK2" s="428" t="s">
        <v>23</v>
      </c>
      <c r="CYL2" s="429"/>
      <c r="CYM2" s="429"/>
      <c r="CYN2" s="429"/>
      <c r="CYO2" s="428" t="s">
        <v>23</v>
      </c>
      <c r="CYP2" s="429"/>
      <c r="CYQ2" s="429"/>
      <c r="CYR2" s="429"/>
      <c r="CYS2" s="428" t="s">
        <v>23</v>
      </c>
      <c r="CYT2" s="429"/>
      <c r="CYU2" s="429"/>
      <c r="CYV2" s="429"/>
      <c r="CYW2" s="428" t="s">
        <v>23</v>
      </c>
      <c r="CYX2" s="429"/>
      <c r="CYY2" s="429"/>
      <c r="CYZ2" s="429"/>
      <c r="CZA2" s="428" t="s">
        <v>23</v>
      </c>
      <c r="CZB2" s="429"/>
      <c r="CZC2" s="429"/>
      <c r="CZD2" s="429"/>
      <c r="CZE2" s="428" t="s">
        <v>23</v>
      </c>
      <c r="CZF2" s="429"/>
      <c r="CZG2" s="429"/>
      <c r="CZH2" s="429"/>
      <c r="CZI2" s="428" t="s">
        <v>23</v>
      </c>
      <c r="CZJ2" s="429"/>
      <c r="CZK2" s="429"/>
      <c r="CZL2" s="429"/>
      <c r="CZM2" s="428" t="s">
        <v>23</v>
      </c>
      <c r="CZN2" s="429"/>
      <c r="CZO2" s="429"/>
      <c r="CZP2" s="429"/>
      <c r="CZQ2" s="428" t="s">
        <v>23</v>
      </c>
      <c r="CZR2" s="429"/>
      <c r="CZS2" s="429"/>
      <c r="CZT2" s="429"/>
      <c r="CZU2" s="428" t="s">
        <v>23</v>
      </c>
      <c r="CZV2" s="429"/>
      <c r="CZW2" s="429"/>
      <c r="CZX2" s="429"/>
      <c r="CZY2" s="428" t="s">
        <v>23</v>
      </c>
      <c r="CZZ2" s="429"/>
      <c r="DAA2" s="429"/>
      <c r="DAB2" s="429"/>
      <c r="DAC2" s="428" t="s">
        <v>23</v>
      </c>
      <c r="DAD2" s="429"/>
      <c r="DAE2" s="429"/>
      <c r="DAF2" s="429"/>
      <c r="DAG2" s="428" t="s">
        <v>23</v>
      </c>
      <c r="DAH2" s="429"/>
      <c r="DAI2" s="429"/>
      <c r="DAJ2" s="429"/>
      <c r="DAK2" s="428" t="s">
        <v>23</v>
      </c>
      <c r="DAL2" s="429"/>
      <c r="DAM2" s="429"/>
      <c r="DAN2" s="429"/>
      <c r="DAO2" s="428" t="s">
        <v>23</v>
      </c>
      <c r="DAP2" s="429"/>
      <c r="DAQ2" s="429"/>
      <c r="DAR2" s="429"/>
      <c r="DAS2" s="428" t="s">
        <v>23</v>
      </c>
      <c r="DAT2" s="429"/>
      <c r="DAU2" s="429"/>
      <c r="DAV2" s="429"/>
      <c r="DAW2" s="428" t="s">
        <v>23</v>
      </c>
      <c r="DAX2" s="429"/>
      <c r="DAY2" s="429"/>
      <c r="DAZ2" s="429"/>
      <c r="DBA2" s="428" t="s">
        <v>23</v>
      </c>
      <c r="DBB2" s="429"/>
      <c r="DBC2" s="429"/>
      <c r="DBD2" s="429"/>
      <c r="DBE2" s="428" t="s">
        <v>23</v>
      </c>
      <c r="DBF2" s="429"/>
      <c r="DBG2" s="429"/>
      <c r="DBH2" s="429"/>
      <c r="DBI2" s="428" t="s">
        <v>23</v>
      </c>
      <c r="DBJ2" s="429"/>
      <c r="DBK2" s="429"/>
      <c r="DBL2" s="429"/>
      <c r="DBM2" s="428" t="s">
        <v>23</v>
      </c>
      <c r="DBN2" s="429"/>
      <c r="DBO2" s="429"/>
      <c r="DBP2" s="429"/>
      <c r="DBQ2" s="428" t="s">
        <v>23</v>
      </c>
      <c r="DBR2" s="429"/>
      <c r="DBS2" s="429"/>
      <c r="DBT2" s="429"/>
      <c r="DBU2" s="428" t="s">
        <v>23</v>
      </c>
      <c r="DBV2" s="429"/>
      <c r="DBW2" s="429"/>
      <c r="DBX2" s="429"/>
      <c r="DBY2" s="428" t="s">
        <v>23</v>
      </c>
      <c r="DBZ2" s="429"/>
      <c r="DCA2" s="429"/>
      <c r="DCB2" s="429"/>
      <c r="DCC2" s="428" t="s">
        <v>23</v>
      </c>
      <c r="DCD2" s="429"/>
      <c r="DCE2" s="429"/>
      <c r="DCF2" s="429"/>
      <c r="DCG2" s="428" t="s">
        <v>23</v>
      </c>
      <c r="DCH2" s="429"/>
      <c r="DCI2" s="429"/>
      <c r="DCJ2" s="429"/>
      <c r="DCK2" s="428" t="s">
        <v>23</v>
      </c>
      <c r="DCL2" s="429"/>
      <c r="DCM2" s="429"/>
      <c r="DCN2" s="429"/>
      <c r="DCO2" s="428" t="s">
        <v>23</v>
      </c>
      <c r="DCP2" s="429"/>
      <c r="DCQ2" s="429"/>
      <c r="DCR2" s="429"/>
      <c r="DCS2" s="428" t="s">
        <v>23</v>
      </c>
      <c r="DCT2" s="429"/>
      <c r="DCU2" s="429"/>
      <c r="DCV2" s="429"/>
      <c r="DCW2" s="428" t="s">
        <v>23</v>
      </c>
      <c r="DCX2" s="429"/>
      <c r="DCY2" s="429"/>
      <c r="DCZ2" s="429"/>
      <c r="DDA2" s="428" t="s">
        <v>23</v>
      </c>
      <c r="DDB2" s="429"/>
      <c r="DDC2" s="429"/>
      <c r="DDD2" s="429"/>
      <c r="DDE2" s="428" t="s">
        <v>23</v>
      </c>
      <c r="DDF2" s="429"/>
      <c r="DDG2" s="429"/>
      <c r="DDH2" s="429"/>
      <c r="DDI2" s="428" t="s">
        <v>23</v>
      </c>
      <c r="DDJ2" s="429"/>
      <c r="DDK2" s="429"/>
      <c r="DDL2" s="429"/>
      <c r="DDM2" s="428" t="s">
        <v>23</v>
      </c>
      <c r="DDN2" s="429"/>
      <c r="DDO2" s="429"/>
      <c r="DDP2" s="429"/>
      <c r="DDQ2" s="428" t="s">
        <v>23</v>
      </c>
      <c r="DDR2" s="429"/>
      <c r="DDS2" s="429"/>
      <c r="DDT2" s="429"/>
      <c r="DDU2" s="428" t="s">
        <v>23</v>
      </c>
      <c r="DDV2" s="429"/>
      <c r="DDW2" s="429"/>
      <c r="DDX2" s="429"/>
      <c r="DDY2" s="428" t="s">
        <v>23</v>
      </c>
      <c r="DDZ2" s="429"/>
      <c r="DEA2" s="429"/>
      <c r="DEB2" s="429"/>
      <c r="DEC2" s="428" t="s">
        <v>23</v>
      </c>
      <c r="DED2" s="429"/>
      <c r="DEE2" s="429"/>
      <c r="DEF2" s="429"/>
      <c r="DEG2" s="428" t="s">
        <v>23</v>
      </c>
      <c r="DEH2" s="429"/>
      <c r="DEI2" s="429"/>
      <c r="DEJ2" s="429"/>
      <c r="DEK2" s="428" t="s">
        <v>23</v>
      </c>
      <c r="DEL2" s="429"/>
      <c r="DEM2" s="429"/>
      <c r="DEN2" s="429"/>
      <c r="DEO2" s="428" t="s">
        <v>23</v>
      </c>
      <c r="DEP2" s="429"/>
      <c r="DEQ2" s="429"/>
      <c r="DER2" s="429"/>
      <c r="DES2" s="428" t="s">
        <v>23</v>
      </c>
      <c r="DET2" s="429"/>
      <c r="DEU2" s="429"/>
      <c r="DEV2" s="429"/>
      <c r="DEW2" s="428" t="s">
        <v>23</v>
      </c>
      <c r="DEX2" s="429"/>
      <c r="DEY2" s="429"/>
      <c r="DEZ2" s="429"/>
      <c r="DFA2" s="428" t="s">
        <v>23</v>
      </c>
      <c r="DFB2" s="429"/>
      <c r="DFC2" s="429"/>
      <c r="DFD2" s="429"/>
      <c r="DFE2" s="428" t="s">
        <v>23</v>
      </c>
      <c r="DFF2" s="429"/>
      <c r="DFG2" s="429"/>
      <c r="DFH2" s="429"/>
      <c r="DFI2" s="428" t="s">
        <v>23</v>
      </c>
      <c r="DFJ2" s="429"/>
      <c r="DFK2" s="429"/>
      <c r="DFL2" s="429"/>
      <c r="DFM2" s="428" t="s">
        <v>23</v>
      </c>
      <c r="DFN2" s="429"/>
      <c r="DFO2" s="429"/>
      <c r="DFP2" s="429"/>
      <c r="DFQ2" s="428" t="s">
        <v>23</v>
      </c>
      <c r="DFR2" s="429"/>
      <c r="DFS2" s="429"/>
      <c r="DFT2" s="429"/>
      <c r="DFU2" s="428" t="s">
        <v>23</v>
      </c>
      <c r="DFV2" s="429"/>
      <c r="DFW2" s="429"/>
      <c r="DFX2" s="429"/>
      <c r="DFY2" s="428" t="s">
        <v>23</v>
      </c>
      <c r="DFZ2" s="429"/>
      <c r="DGA2" s="429"/>
      <c r="DGB2" s="429"/>
      <c r="DGC2" s="428" t="s">
        <v>23</v>
      </c>
      <c r="DGD2" s="429"/>
      <c r="DGE2" s="429"/>
      <c r="DGF2" s="429"/>
      <c r="DGG2" s="428" t="s">
        <v>23</v>
      </c>
      <c r="DGH2" s="429"/>
      <c r="DGI2" s="429"/>
      <c r="DGJ2" s="429"/>
      <c r="DGK2" s="428" t="s">
        <v>23</v>
      </c>
      <c r="DGL2" s="429"/>
      <c r="DGM2" s="429"/>
      <c r="DGN2" s="429"/>
      <c r="DGO2" s="428" t="s">
        <v>23</v>
      </c>
      <c r="DGP2" s="429"/>
      <c r="DGQ2" s="429"/>
      <c r="DGR2" s="429"/>
      <c r="DGS2" s="428" t="s">
        <v>23</v>
      </c>
      <c r="DGT2" s="429"/>
      <c r="DGU2" s="429"/>
      <c r="DGV2" s="429"/>
      <c r="DGW2" s="428" t="s">
        <v>23</v>
      </c>
      <c r="DGX2" s="429"/>
      <c r="DGY2" s="429"/>
      <c r="DGZ2" s="429"/>
      <c r="DHA2" s="428" t="s">
        <v>23</v>
      </c>
      <c r="DHB2" s="429"/>
      <c r="DHC2" s="429"/>
      <c r="DHD2" s="429"/>
      <c r="DHE2" s="428" t="s">
        <v>23</v>
      </c>
      <c r="DHF2" s="429"/>
      <c r="DHG2" s="429"/>
      <c r="DHH2" s="429"/>
      <c r="DHI2" s="428" t="s">
        <v>23</v>
      </c>
      <c r="DHJ2" s="429"/>
      <c r="DHK2" s="429"/>
      <c r="DHL2" s="429"/>
      <c r="DHM2" s="428" t="s">
        <v>23</v>
      </c>
      <c r="DHN2" s="429"/>
      <c r="DHO2" s="429"/>
      <c r="DHP2" s="429"/>
      <c r="DHQ2" s="428" t="s">
        <v>23</v>
      </c>
      <c r="DHR2" s="429"/>
      <c r="DHS2" s="429"/>
      <c r="DHT2" s="429"/>
      <c r="DHU2" s="428" t="s">
        <v>23</v>
      </c>
      <c r="DHV2" s="429"/>
      <c r="DHW2" s="429"/>
      <c r="DHX2" s="429"/>
      <c r="DHY2" s="428" t="s">
        <v>23</v>
      </c>
      <c r="DHZ2" s="429"/>
      <c r="DIA2" s="429"/>
      <c r="DIB2" s="429"/>
      <c r="DIC2" s="428" t="s">
        <v>23</v>
      </c>
      <c r="DID2" s="429"/>
      <c r="DIE2" s="429"/>
      <c r="DIF2" s="429"/>
      <c r="DIG2" s="428" t="s">
        <v>23</v>
      </c>
      <c r="DIH2" s="429"/>
      <c r="DII2" s="429"/>
      <c r="DIJ2" s="429"/>
      <c r="DIK2" s="428" t="s">
        <v>23</v>
      </c>
      <c r="DIL2" s="429"/>
      <c r="DIM2" s="429"/>
      <c r="DIN2" s="429"/>
      <c r="DIO2" s="428" t="s">
        <v>23</v>
      </c>
      <c r="DIP2" s="429"/>
      <c r="DIQ2" s="429"/>
      <c r="DIR2" s="429"/>
      <c r="DIS2" s="428" t="s">
        <v>23</v>
      </c>
      <c r="DIT2" s="429"/>
      <c r="DIU2" s="429"/>
      <c r="DIV2" s="429"/>
      <c r="DIW2" s="428" t="s">
        <v>23</v>
      </c>
      <c r="DIX2" s="429"/>
      <c r="DIY2" s="429"/>
      <c r="DIZ2" s="429"/>
      <c r="DJA2" s="428" t="s">
        <v>23</v>
      </c>
      <c r="DJB2" s="429"/>
      <c r="DJC2" s="429"/>
      <c r="DJD2" s="429"/>
      <c r="DJE2" s="428" t="s">
        <v>23</v>
      </c>
      <c r="DJF2" s="429"/>
      <c r="DJG2" s="429"/>
      <c r="DJH2" s="429"/>
      <c r="DJI2" s="428" t="s">
        <v>23</v>
      </c>
      <c r="DJJ2" s="429"/>
      <c r="DJK2" s="429"/>
      <c r="DJL2" s="429"/>
      <c r="DJM2" s="428" t="s">
        <v>23</v>
      </c>
      <c r="DJN2" s="429"/>
      <c r="DJO2" s="429"/>
      <c r="DJP2" s="429"/>
      <c r="DJQ2" s="428" t="s">
        <v>23</v>
      </c>
      <c r="DJR2" s="429"/>
      <c r="DJS2" s="429"/>
      <c r="DJT2" s="429"/>
      <c r="DJU2" s="428" t="s">
        <v>23</v>
      </c>
      <c r="DJV2" s="429"/>
      <c r="DJW2" s="429"/>
      <c r="DJX2" s="429"/>
      <c r="DJY2" s="428" t="s">
        <v>23</v>
      </c>
      <c r="DJZ2" s="429"/>
      <c r="DKA2" s="429"/>
      <c r="DKB2" s="429"/>
      <c r="DKC2" s="428" t="s">
        <v>23</v>
      </c>
      <c r="DKD2" s="429"/>
      <c r="DKE2" s="429"/>
      <c r="DKF2" s="429"/>
      <c r="DKG2" s="428" t="s">
        <v>23</v>
      </c>
      <c r="DKH2" s="429"/>
      <c r="DKI2" s="429"/>
      <c r="DKJ2" s="429"/>
      <c r="DKK2" s="428" t="s">
        <v>23</v>
      </c>
      <c r="DKL2" s="429"/>
      <c r="DKM2" s="429"/>
      <c r="DKN2" s="429"/>
      <c r="DKO2" s="428" t="s">
        <v>23</v>
      </c>
      <c r="DKP2" s="429"/>
      <c r="DKQ2" s="429"/>
      <c r="DKR2" s="429"/>
      <c r="DKS2" s="428" t="s">
        <v>23</v>
      </c>
      <c r="DKT2" s="429"/>
      <c r="DKU2" s="429"/>
      <c r="DKV2" s="429"/>
      <c r="DKW2" s="428" t="s">
        <v>23</v>
      </c>
      <c r="DKX2" s="429"/>
      <c r="DKY2" s="429"/>
      <c r="DKZ2" s="429"/>
      <c r="DLA2" s="428" t="s">
        <v>23</v>
      </c>
      <c r="DLB2" s="429"/>
      <c r="DLC2" s="429"/>
      <c r="DLD2" s="429"/>
      <c r="DLE2" s="428" t="s">
        <v>23</v>
      </c>
      <c r="DLF2" s="429"/>
      <c r="DLG2" s="429"/>
      <c r="DLH2" s="429"/>
      <c r="DLI2" s="428" t="s">
        <v>23</v>
      </c>
      <c r="DLJ2" s="429"/>
      <c r="DLK2" s="429"/>
      <c r="DLL2" s="429"/>
      <c r="DLM2" s="428" t="s">
        <v>23</v>
      </c>
      <c r="DLN2" s="429"/>
      <c r="DLO2" s="429"/>
      <c r="DLP2" s="429"/>
      <c r="DLQ2" s="428" t="s">
        <v>23</v>
      </c>
      <c r="DLR2" s="429"/>
      <c r="DLS2" s="429"/>
      <c r="DLT2" s="429"/>
      <c r="DLU2" s="428" t="s">
        <v>23</v>
      </c>
      <c r="DLV2" s="429"/>
      <c r="DLW2" s="429"/>
      <c r="DLX2" s="429"/>
      <c r="DLY2" s="428" t="s">
        <v>23</v>
      </c>
      <c r="DLZ2" s="429"/>
      <c r="DMA2" s="429"/>
      <c r="DMB2" s="429"/>
      <c r="DMC2" s="428" t="s">
        <v>23</v>
      </c>
      <c r="DMD2" s="429"/>
      <c r="DME2" s="429"/>
      <c r="DMF2" s="429"/>
      <c r="DMG2" s="428" t="s">
        <v>23</v>
      </c>
      <c r="DMH2" s="429"/>
      <c r="DMI2" s="429"/>
      <c r="DMJ2" s="429"/>
      <c r="DMK2" s="428" t="s">
        <v>23</v>
      </c>
      <c r="DML2" s="429"/>
      <c r="DMM2" s="429"/>
      <c r="DMN2" s="429"/>
      <c r="DMO2" s="428" t="s">
        <v>23</v>
      </c>
      <c r="DMP2" s="429"/>
      <c r="DMQ2" s="429"/>
      <c r="DMR2" s="429"/>
      <c r="DMS2" s="428" t="s">
        <v>23</v>
      </c>
      <c r="DMT2" s="429"/>
      <c r="DMU2" s="429"/>
      <c r="DMV2" s="429"/>
      <c r="DMW2" s="428" t="s">
        <v>23</v>
      </c>
      <c r="DMX2" s="429"/>
      <c r="DMY2" s="429"/>
      <c r="DMZ2" s="429"/>
      <c r="DNA2" s="428" t="s">
        <v>23</v>
      </c>
      <c r="DNB2" s="429"/>
      <c r="DNC2" s="429"/>
      <c r="DND2" s="429"/>
      <c r="DNE2" s="428" t="s">
        <v>23</v>
      </c>
      <c r="DNF2" s="429"/>
      <c r="DNG2" s="429"/>
      <c r="DNH2" s="429"/>
      <c r="DNI2" s="428" t="s">
        <v>23</v>
      </c>
      <c r="DNJ2" s="429"/>
      <c r="DNK2" s="429"/>
      <c r="DNL2" s="429"/>
      <c r="DNM2" s="428" t="s">
        <v>23</v>
      </c>
      <c r="DNN2" s="429"/>
      <c r="DNO2" s="429"/>
      <c r="DNP2" s="429"/>
      <c r="DNQ2" s="428" t="s">
        <v>23</v>
      </c>
      <c r="DNR2" s="429"/>
      <c r="DNS2" s="429"/>
      <c r="DNT2" s="429"/>
      <c r="DNU2" s="428" t="s">
        <v>23</v>
      </c>
      <c r="DNV2" s="429"/>
      <c r="DNW2" s="429"/>
      <c r="DNX2" s="429"/>
      <c r="DNY2" s="428" t="s">
        <v>23</v>
      </c>
      <c r="DNZ2" s="429"/>
      <c r="DOA2" s="429"/>
      <c r="DOB2" s="429"/>
      <c r="DOC2" s="428" t="s">
        <v>23</v>
      </c>
      <c r="DOD2" s="429"/>
      <c r="DOE2" s="429"/>
      <c r="DOF2" s="429"/>
      <c r="DOG2" s="428" t="s">
        <v>23</v>
      </c>
      <c r="DOH2" s="429"/>
      <c r="DOI2" s="429"/>
      <c r="DOJ2" s="429"/>
      <c r="DOK2" s="428" t="s">
        <v>23</v>
      </c>
      <c r="DOL2" s="429"/>
      <c r="DOM2" s="429"/>
      <c r="DON2" s="429"/>
      <c r="DOO2" s="428" t="s">
        <v>23</v>
      </c>
      <c r="DOP2" s="429"/>
      <c r="DOQ2" s="429"/>
      <c r="DOR2" s="429"/>
      <c r="DOS2" s="428" t="s">
        <v>23</v>
      </c>
      <c r="DOT2" s="429"/>
      <c r="DOU2" s="429"/>
      <c r="DOV2" s="429"/>
      <c r="DOW2" s="428" t="s">
        <v>23</v>
      </c>
      <c r="DOX2" s="429"/>
      <c r="DOY2" s="429"/>
      <c r="DOZ2" s="429"/>
      <c r="DPA2" s="428" t="s">
        <v>23</v>
      </c>
      <c r="DPB2" s="429"/>
      <c r="DPC2" s="429"/>
      <c r="DPD2" s="429"/>
      <c r="DPE2" s="428" t="s">
        <v>23</v>
      </c>
      <c r="DPF2" s="429"/>
      <c r="DPG2" s="429"/>
      <c r="DPH2" s="429"/>
      <c r="DPI2" s="428" t="s">
        <v>23</v>
      </c>
      <c r="DPJ2" s="429"/>
      <c r="DPK2" s="429"/>
      <c r="DPL2" s="429"/>
      <c r="DPM2" s="428" t="s">
        <v>23</v>
      </c>
      <c r="DPN2" s="429"/>
      <c r="DPO2" s="429"/>
      <c r="DPP2" s="429"/>
      <c r="DPQ2" s="428" t="s">
        <v>23</v>
      </c>
      <c r="DPR2" s="429"/>
      <c r="DPS2" s="429"/>
      <c r="DPT2" s="429"/>
      <c r="DPU2" s="428" t="s">
        <v>23</v>
      </c>
      <c r="DPV2" s="429"/>
      <c r="DPW2" s="429"/>
      <c r="DPX2" s="429"/>
      <c r="DPY2" s="428" t="s">
        <v>23</v>
      </c>
      <c r="DPZ2" s="429"/>
      <c r="DQA2" s="429"/>
      <c r="DQB2" s="429"/>
      <c r="DQC2" s="428" t="s">
        <v>23</v>
      </c>
      <c r="DQD2" s="429"/>
      <c r="DQE2" s="429"/>
      <c r="DQF2" s="429"/>
      <c r="DQG2" s="428" t="s">
        <v>23</v>
      </c>
      <c r="DQH2" s="429"/>
      <c r="DQI2" s="429"/>
      <c r="DQJ2" s="429"/>
      <c r="DQK2" s="428" t="s">
        <v>23</v>
      </c>
      <c r="DQL2" s="429"/>
      <c r="DQM2" s="429"/>
      <c r="DQN2" s="429"/>
      <c r="DQO2" s="428" t="s">
        <v>23</v>
      </c>
      <c r="DQP2" s="429"/>
      <c r="DQQ2" s="429"/>
      <c r="DQR2" s="429"/>
      <c r="DQS2" s="428" t="s">
        <v>23</v>
      </c>
      <c r="DQT2" s="429"/>
      <c r="DQU2" s="429"/>
      <c r="DQV2" s="429"/>
      <c r="DQW2" s="428" t="s">
        <v>23</v>
      </c>
      <c r="DQX2" s="429"/>
      <c r="DQY2" s="429"/>
      <c r="DQZ2" s="429"/>
      <c r="DRA2" s="428" t="s">
        <v>23</v>
      </c>
      <c r="DRB2" s="429"/>
      <c r="DRC2" s="429"/>
      <c r="DRD2" s="429"/>
      <c r="DRE2" s="428" t="s">
        <v>23</v>
      </c>
      <c r="DRF2" s="429"/>
      <c r="DRG2" s="429"/>
      <c r="DRH2" s="429"/>
      <c r="DRI2" s="428" t="s">
        <v>23</v>
      </c>
      <c r="DRJ2" s="429"/>
      <c r="DRK2" s="429"/>
      <c r="DRL2" s="429"/>
      <c r="DRM2" s="428" t="s">
        <v>23</v>
      </c>
      <c r="DRN2" s="429"/>
      <c r="DRO2" s="429"/>
      <c r="DRP2" s="429"/>
      <c r="DRQ2" s="428" t="s">
        <v>23</v>
      </c>
      <c r="DRR2" s="429"/>
      <c r="DRS2" s="429"/>
      <c r="DRT2" s="429"/>
      <c r="DRU2" s="428" t="s">
        <v>23</v>
      </c>
      <c r="DRV2" s="429"/>
      <c r="DRW2" s="429"/>
      <c r="DRX2" s="429"/>
      <c r="DRY2" s="428" t="s">
        <v>23</v>
      </c>
      <c r="DRZ2" s="429"/>
      <c r="DSA2" s="429"/>
      <c r="DSB2" s="429"/>
      <c r="DSC2" s="428" t="s">
        <v>23</v>
      </c>
      <c r="DSD2" s="429"/>
      <c r="DSE2" s="429"/>
      <c r="DSF2" s="429"/>
      <c r="DSG2" s="428" t="s">
        <v>23</v>
      </c>
      <c r="DSH2" s="429"/>
      <c r="DSI2" s="429"/>
      <c r="DSJ2" s="429"/>
      <c r="DSK2" s="428" t="s">
        <v>23</v>
      </c>
      <c r="DSL2" s="429"/>
      <c r="DSM2" s="429"/>
      <c r="DSN2" s="429"/>
      <c r="DSO2" s="428" t="s">
        <v>23</v>
      </c>
      <c r="DSP2" s="429"/>
      <c r="DSQ2" s="429"/>
      <c r="DSR2" s="429"/>
      <c r="DSS2" s="428" t="s">
        <v>23</v>
      </c>
      <c r="DST2" s="429"/>
      <c r="DSU2" s="429"/>
      <c r="DSV2" s="429"/>
      <c r="DSW2" s="428" t="s">
        <v>23</v>
      </c>
      <c r="DSX2" s="429"/>
      <c r="DSY2" s="429"/>
      <c r="DSZ2" s="429"/>
      <c r="DTA2" s="428" t="s">
        <v>23</v>
      </c>
      <c r="DTB2" s="429"/>
      <c r="DTC2" s="429"/>
      <c r="DTD2" s="429"/>
      <c r="DTE2" s="428" t="s">
        <v>23</v>
      </c>
      <c r="DTF2" s="429"/>
      <c r="DTG2" s="429"/>
      <c r="DTH2" s="429"/>
      <c r="DTI2" s="428" t="s">
        <v>23</v>
      </c>
      <c r="DTJ2" s="429"/>
      <c r="DTK2" s="429"/>
      <c r="DTL2" s="429"/>
      <c r="DTM2" s="428" t="s">
        <v>23</v>
      </c>
      <c r="DTN2" s="429"/>
      <c r="DTO2" s="429"/>
      <c r="DTP2" s="429"/>
      <c r="DTQ2" s="428" t="s">
        <v>23</v>
      </c>
      <c r="DTR2" s="429"/>
      <c r="DTS2" s="429"/>
      <c r="DTT2" s="429"/>
      <c r="DTU2" s="428" t="s">
        <v>23</v>
      </c>
      <c r="DTV2" s="429"/>
      <c r="DTW2" s="429"/>
      <c r="DTX2" s="429"/>
      <c r="DTY2" s="428" t="s">
        <v>23</v>
      </c>
      <c r="DTZ2" s="429"/>
      <c r="DUA2" s="429"/>
      <c r="DUB2" s="429"/>
      <c r="DUC2" s="428" t="s">
        <v>23</v>
      </c>
      <c r="DUD2" s="429"/>
      <c r="DUE2" s="429"/>
      <c r="DUF2" s="429"/>
      <c r="DUG2" s="428" t="s">
        <v>23</v>
      </c>
      <c r="DUH2" s="429"/>
      <c r="DUI2" s="429"/>
      <c r="DUJ2" s="429"/>
      <c r="DUK2" s="428" t="s">
        <v>23</v>
      </c>
      <c r="DUL2" s="429"/>
      <c r="DUM2" s="429"/>
      <c r="DUN2" s="429"/>
      <c r="DUO2" s="428" t="s">
        <v>23</v>
      </c>
      <c r="DUP2" s="429"/>
      <c r="DUQ2" s="429"/>
      <c r="DUR2" s="429"/>
      <c r="DUS2" s="428" t="s">
        <v>23</v>
      </c>
      <c r="DUT2" s="429"/>
      <c r="DUU2" s="429"/>
      <c r="DUV2" s="429"/>
      <c r="DUW2" s="428" t="s">
        <v>23</v>
      </c>
      <c r="DUX2" s="429"/>
      <c r="DUY2" s="429"/>
      <c r="DUZ2" s="429"/>
      <c r="DVA2" s="428" t="s">
        <v>23</v>
      </c>
      <c r="DVB2" s="429"/>
      <c r="DVC2" s="429"/>
      <c r="DVD2" s="429"/>
      <c r="DVE2" s="428" t="s">
        <v>23</v>
      </c>
      <c r="DVF2" s="429"/>
      <c r="DVG2" s="429"/>
      <c r="DVH2" s="429"/>
      <c r="DVI2" s="428" t="s">
        <v>23</v>
      </c>
      <c r="DVJ2" s="429"/>
      <c r="DVK2" s="429"/>
      <c r="DVL2" s="429"/>
      <c r="DVM2" s="428" t="s">
        <v>23</v>
      </c>
      <c r="DVN2" s="429"/>
      <c r="DVO2" s="429"/>
      <c r="DVP2" s="429"/>
      <c r="DVQ2" s="428" t="s">
        <v>23</v>
      </c>
      <c r="DVR2" s="429"/>
      <c r="DVS2" s="429"/>
      <c r="DVT2" s="429"/>
      <c r="DVU2" s="428" t="s">
        <v>23</v>
      </c>
      <c r="DVV2" s="429"/>
      <c r="DVW2" s="429"/>
      <c r="DVX2" s="429"/>
      <c r="DVY2" s="428" t="s">
        <v>23</v>
      </c>
      <c r="DVZ2" s="429"/>
      <c r="DWA2" s="429"/>
      <c r="DWB2" s="429"/>
      <c r="DWC2" s="428" t="s">
        <v>23</v>
      </c>
      <c r="DWD2" s="429"/>
      <c r="DWE2" s="429"/>
      <c r="DWF2" s="429"/>
      <c r="DWG2" s="428" t="s">
        <v>23</v>
      </c>
      <c r="DWH2" s="429"/>
      <c r="DWI2" s="429"/>
      <c r="DWJ2" s="429"/>
      <c r="DWK2" s="428" t="s">
        <v>23</v>
      </c>
      <c r="DWL2" s="429"/>
      <c r="DWM2" s="429"/>
      <c r="DWN2" s="429"/>
      <c r="DWO2" s="428" t="s">
        <v>23</v>
      </c>
      <c r="DWP2" s="429"/>
      <c r="DWQ2" s="429"/>
      <c r="DWR2" s="429"/>
      <c r="DWS2" s="428" t="s">
        <v>23</v>
      </c>
      <c r="DWT2" s="429"/>
      <c r="DWU2" s="429"/>
      <c r="DWV2" s="429"/>
      <c r="DWW2" s="428" t="s">
        <v>23</v>
      </c>
      <c r="DWX2" s="429"/>
      <c r="DWY2" s="429"/>
      <c r="DWZ2" s="429"/>
      <c r="DXA2" s="428" t="s">
        <v>23</v>
      </c>
      <c r="DXB2" s="429"/>
      <c r="DXC2" s="429"/>
      <c r="DXD2" s="429"/>
      <c r="DXE2" s="428" t="s">
        <v>23</v>
      </c>
      <c r="DXF2" s="429"/>
      <c r="DXG2" s="429"/>
      <c r="DXH2" s="429"/>
      <c r="DXI2" s="428" t="s">
        <v>23</v>
      </c>
      <c r="DXJ2" s="429"/>
      <c r="DXK2" s="429"/>
      <c r="DXL2" s="429"/>
      <c r="DXM2" s="428" t="s">
        <v>23</v>
      </c>
      <c r="DXN2" s="429"/>
      <c r="DXO2" s="429"/>
      <c r="DXP2" s="429"/>
      <c r="DXQ2" s="428" t="s">
        <v>23</v>
      </c>
      <c r="DXR2" s="429"/>
      <c r="DXS2" s="429"/>
      <c r="DXT2" s="429"/>
      <c r="DXU2" s="428" t="s">
        <v>23</v>
      </c>
      <c r="DXV2" s="429"/>
      <c r="DXW2" s="429"/>
      <c r="DXX2" s="429"/>
      <c r="DXY2" s="428" t="s">
        <v>23</v>
      </c>
      <c r="DXZ2" s="429"/>
      <c r="DYA2" s="429"/>
      <c r="DYB2" s="429"/>
      <c r="DYC2" s="428" t="s">
        <v>23</v>
      </c>
      <c r="DYD2" s="429"/>
      <c r="DYE2" s="429"/>
      <c r="DYF2" s="429"/>
      <c r="DYG2" s="428" t="s">
        <v>23</v>
      </c>
      <c r="DYH2" s="429"/>
      <c r="DYI2" s="429"/>
      <c r="DYJ2" s="429"/>
      <c r="DYK2" s="428" t="s">
        <v>23</v>
      </c>
      <c r="DYL2" s="429"/>
      <c r="DYM2" s="429"/>
      <c r="DYN2" s="429"/>
      <c r="DYO2" s="428" t="s">
        <v>23</v>
      </c>
      <c r="DYP2" s="429"/>
      <c r="DYQ2" s="429"/>
      <c r="DYR2" s="429"/>
      <c r="DYS2" s="428" t="s">
        <v>23</v>
      </c>
      <c r="DYT2" s="429"/>
      <c r="DYU2" s="429"/>
      <c r="DYV2" s="429"/>
      <c r="DYW2" s="428" t="s">
        <v>23</v>
      </c>
      <c r="DYX2" s="429"/>
      <c r="DYY2" s="429"/>
      <c r="DYZ2" s="429"/>
      <c r="DZA2" s="428" t="s">
        <v>23</v>
      </c>
      <c r="DZB2" s="429"/>
      <c r="DZC2" s="429"/>
      <c r="DZD2" s="429"/>
      <c r="DZE2" s="428" t="s">
        <v>23</v>
      </c>
      <c r="DZF2" s="429"/>
      <c r="DZG2" s="429"/>
      <c r="DZH2" s="429"/>
      <c r="DZI2" s="428" t="s">
        <v>23</v>
      </c>
      <c r="DZJ2" s="429"/>
      <c r="DZK2" s="429"/>
      <c r="DZL2" s="429"/>
      <c r="DZM2" s="428" t="s">
        <v>23</v>
      </c>
      <c r="DZN2" s="429"/>
      <c r="DZO2" s="429"/>
      <c r="DZP2" s="429"/>
      <c r="DZQ2" s="428" t="s">
        <v>23</v>
      </c>
      <c r="DZR2" s="429"/>
      <c r="DZS2" s="429"/>
      <c r="DZT2" s="429"/>
      <c r="DZU2" s="428" t="s">
        <v>23</v>
      </c>
      <c r="DZV2" s="429"/>
      <c r="DZW2" s="429"/>
      <c r="DZX2" s="429"/>
      <c r="DZY2" s="428" t="s">
        <v>23</v>
      </c>
      <c r="DZZ2" s="429"/>
      <c r="EAA2" s="429"/>
      <c r="EAB2" s="429"/>
      <c r="EAC2" s="428" t="s">
        <v>23</v>
      </c>
      <c r="EAD2" s="429"/>
      <c r="EAE2" s="429"/>
      <c r="EAF2" s="429"/>
      <c r="EAG2" s="428" t="s">
        <v>23</v>
      </c>
      <c r="EAH2" s="429"/>
      <c r="EAI2" s="429"/>
      <c r="EAJ2" s="429"/>
      <c r="EAK2" s="428" t="s">
        <v>23</v>
      </c>
      <c r="EAL2" s="429"/>
      <c r="EAM2" s="429"/>
      <c r="EAN2" s="429"/>
      <c r="EAO2" s="428" t="s">
        <v>23</v>
      </c>
      <c r="EAP2" s="429"/>
      <c r="EAQ2" s="429"/>
      <c r="EAR2" s="429"/>
      <c r="EAS2" s="428" t="s">
        <v>23</v>
      </c>
      <c r="EAT2" s="429"/>
      <c r="EAU2" s="429"/>
      <c r="EAV2" s="429"/>
      <c r="EAW2" s="428" t="s">
        <v>23</v>
      </c>
      <c r="EAX2" s="429"/>
      <c r="EAY2" s="429"/>
      <c r="EAZ2" s="429"/>
      <c r="EBA2" s="428" t="s">
        <v>23</v>
      </c>
      <c r="EBB2" s="429"/>
      <c r="EBC2" s="429"/>
      <c r="EBD2" s="429"/>
      <c r="EBE2" s="428" t="s">
        <v>23</v>
      </c>
      <c r="EBF2" s="429"/>
      <c r="EBG2" s="429"/>
      <c r="EBH2" s="429"/>
      <c r="EBI2" s="428" t="s">
        <v>23</v>
      </c>
      <c r="EBJ2" s="429"/>
      <c r="EBK2" s="429"/>
      <c r="EBL2" s="429"/>
      <c r="EBM2" s="428" t="s">
        <v>23</v>
      </c>
      <c r="EBN2" s="429"/>
      <c r="EBO2" s="429"/>
      <c r="EBP2" s="429"/>
      <c r="EBQ2" s="428" t="s">
        <v>23</v>
      </c>
      <c r="EBR2" s="429"/>
      <c r="EBS2" s="429"/>
      <c r="EBT2" s="429"/>
      <c r="EBU2" s="428" t="s">
        <v>23</v>
      </c>
      <c r="EBV2" s="429"/>
      <c r="EBW2" s="429"/>
      <c r="EBX2" s="429"/>
      <c r="EBY2" s="428" t="s">
        <v>23</v>
      </c>
      <c r="EBZ2" s="429"/>
      <c r="ECA2" s="429"/>
      <c r="ECB2" s="429"/>
      <c r="ECC2" s="428" t="s">
        <v>23</v>
      </c>
      <c r="ECD2" s="429"/>
      <c r="ECE2" s="429"/>
      <c r="ECF2" s="429"/>
      <c r="ECG2" s="428" t="s">
        <v>23</v>
      </c>
      <c r="ECH2" s="429"/>
      <c r="ECI2" s="429"/>
      <c r="ECJ2" s="429"/>
      <c r="ECK2" s="428" t="s">
        <v>23</v>
      </c>
      <c r="ECL2" s="429"/>
      <c r="ECM2" s="429"/>
      <c r="ECN2" s="429"/>
      <c r="ECO2" s="428" t="s">
        <v>23</v>
      </c>
      <c r="ECP2" s="429"/>
      <c r="ECQ2" s="429"/>
      <c r="ECR2" s="429"/>
      <c r="ECS2" s="428" t="s">
        <v>23</v>
      </c>
      <c r="ECT2" s="429"/>
      <c r="ECU2" s="429"/>
      <c r="ECV2" s="429"/>
      <c r="ECW2" s="428" t="s">
        <v>23</v>
      </c>
      <c r="ECX2" s="429"/>
      <c r="ECY2" s="429"/>
      <c r="ECZ2" s="429"/>
      <c r="EDA2" s="428" t="s">
        <v>23</v>
      </c>
      <c r="EDB2" s="429"/>
      <c r="EDC2" s="429"/>
      <c r="EDD2" s="429"/>
      <c r="EDE2" s="428" t="s">
        <v>23</v>
      </c>
      <c r="EDF2" s="429"/>
      <c r="EDG2" s="429"/>
      <c r="EDH2" s="429"/>
      <c r="EDI2" s="428" t="s">
        <v>23</v>
      </c>
      <c r="EDJ2" s="429"/>
      <c r="EDK2" s="429"/>
      <c r="EDL2" s="429"/>
      <c r="EDM2" s="428" t="s">
        <v>23</v>
      </c>
      <c r="EDN2" s="429"/>
      <c r="EDO2" s="429"/>
      <c r="EDP2" s="429"/>
      <c r="EDQ2" s="428" t="s">
        <v>23</v>
      </c>
      <c r="EDR2" s="429"/>
      <c r="EDS2" s="429"/>
      <c r="EDT2" s="429"/>
      <c r="EDU2" s="428" t="s">
        <v>23</v>
      </c>
      <c r="EDV2" s="429"/>
      <c r="EDW2" s="429"/>
      <c r="EDX2" s="429"/>
      <c r="EDY2" s="428" t="s">
        <v>23</v>
      </c>
      <c r="EDZ2" s="429"/>
      <c r="EEA2" s="429"/>
      <c r="EEB2" s="429"/>
      <c r="EEC2" s="428" t="s">
        <v>23</v>
      </c>
      <c r="EED2" s="429"/>
      <c r="EEE2" s="429"/>
      <c r="EEF2" s="429"/>
      <c r="EEG2" s="428" t="s">
        <v>23</v>
      </c>
      <c r="EEH2" s="429"/>
      <c r="EEI2" s="429"/>
      <c r="EEJ2" s="429"/>
      <c r="EEK2" s="428" t="s">
        <v>23</v>
      </c>
      <c r="EEL2" s="429"/>
      <c r="EEM2" s="429"/>
      <c r="EEN2" s="429"/>
      <c r="EEO2" s="428" t="s">
        <v>23</v>
      </c>
      <c r="EEP2" s="429"/>
      <c r="EEQ2" s="429"/>
      <c r="EER2" s="429"/>
      <c r="EES2" s="428" t="s">
        <v>23</v>
      </c>
      <c r="EET2" s="429"/>
      <c r="EEU2" s="429"/>
      <c r="EEV2" s="429"/>
      <c r="EEW2" s="428" t="s">
        <v>23</v>
      </c>
      <c r="EEX2" s="429"/>
      <c r="EEY2" s="429"/>
      <c r="EEZ2" s="429"/>
      <c r="EFA2" s="428" t="s">
        <v>23</v>
      </c>
      <c r="EFB2" s="429"/>
      <c r="EFC2" s="429"/>
      <c r="EFD2" s="429"/>
      <c r="EFE2" s="428" t="s">
        <v>23</v>
      </c>
      <c r="EFF2" s="429"/>
      <c r="EFG2" s="429"/>
      <c r="EFH2" s="429"/>
      <c r="EFI2" s="428" t="s">
        <v>23</v>
      </c>
      <c r="EFJ2" s="429"/>
      <c r="EFK2" s="429"/>
      <c r="EFL2" s="429"/>
      <c r="EFM2" s="428" t="s">
        <v>23</v>
      </c>
      <c r="EFN2" s="429"/>
      <c r="EFO2" s="429"/>
      <c r="EFP2" s="429"/>
      <c r="EFQ2" s="428" t="s">
        <v>23</v>
      </c>
      <c r="EFR2" s="429"/>
      <c r="EFS2" s="429"/>
      <c r="EFT2" s="429"/>
      <c r="EFU2" s="428" t="s">
        <v>23</v>
      </c>
      <c r="EFV2" s="429"/>
      <c r="EFW2" s="429"/>
      <c r="EFX2" s="429"/>
      <c r="EFY2" s="428" t="s">
        <v>23</v>
      </c>
      <c r="EFZ2" s="429"/>
      <c r="EGA2" s="429"/>
      <c r="EGB2" s="429"/>
      <c r="EGC2" s="428" t="s">
        <v>23</v>
      </c>
      <c r="EGD2" s="429"/>
      <c r="EGE2" s="429"/>
      <c r="EGF2" s="429"/>
      <c r="EGG2" s="428" t="s">
        <v>23</v>
      </c>
      <c r="EGH2" s="429"/>
      <c r="EGI2" s="429"/>
      <c r="EGJ2" s="429"/>
      <c r="EGK2" s="428" t="s">
        <v>23</v>
      </c>
      <c r="EGL2" s="429"/>
      <c r="EGM2" s="429"/>
      <c r="EGN2" s="429"/>
      <c r="EGO2" s="428" t="s">
        <v>23</v>
      </c>
      <c r="EGP2" s="429"/>
      <c r="EGQ2" s="429"/>
      <c r="EGR2" s="429"/>
      <c r="EGS2" s="428" t="s">
        <v>23</v>
      </c>
      <c r="EGT2" s="429"/>
      <c r="EGU2" s="429"/>
      <c r="EGV2" s="429"/>
      <c r="EGW2" s="428" t="s">
        <v>23</v>
      </c>
      <c r="EGX2" s="429"/>
      <c r="EGY2" s="429"/>
      <c r="EGZ2" s="429"/>
      <c r="EHA2" s="428" t="s">
        <v>23</v>
      </c>
      <c r="EHB2" s="429"/>
      <c r="EHC2" s="429"/>
      <c r="EHD2" s="429"/>
      <c r="EHE2" s="428" t="s">
        <v>23</v>
      </c>
      <c r="EHF2" s="429"/>
      <c r="EHG2" s="429"/>
      <c r="EHH2" s="429"/>
      <c r="EHI2" s="428" t="s">
        <v>23</v>
      </c>
      <c r="EHJ2" s="429"/>
      <c r="EHK2" s="429"/>
      <c r="EHL2" s="429"/>
      <c r="EHM2" s="428" t="s">
        <v>23</v>
      </c>
      <c r="EHN2" s="429"/>
      <c r="EHO2" s="429"/>
      <c r="EHP2" s="429"/>
      <c r="EHQ2" s="428" t="s">
        <v>23</v>
      </c>
      <c r="EHR2" s="429"/>
      <c r="EHS2" s="429"/>
      <c r="EHT2" s="429"/>
      <c r="EHU2" s="428" t="s">
        <v>23</v>
      </c>
      <c r="EHV2" s="429"/>
      <c r="EHW2" s="429"/>
      <c r="EHX2" s="429"/>
      <c r="EHY2" s="428" t="s">
        <v>23</v>
      </c>
      <c r="EHZ2" s="429"/>
      <c r="EIA2" s="429"/>
      <c r="EIB2" s="429"/>
      <c r="EIC2" s="428" t="s">
        <v>23</v>
      </c>
      <c r="EID2" s="429"/>
      <c r="EIE2" s="429"/>
      <c r="EIF2" s="429"/>
      <c r="EIG2" s="428" t="s">
        <v>23</v>
      </c>
      <c r="EIH2" s="429"/>
      <c r="EII2" s="429"/>
      <c r="EIJ2" s="429"/>
      <c r="EIK2" s="428" t="s">
        <v>23</v>
      </c>
      <c r="EIL2" s="429"/>
      <c r="EIM2" s="429"/>
      <c r="EIN2" s="429"/>
      <c r="EIO2" s="428" t="s">
        <v>23</v>
      </c>
      <c r="EIP2" s="429"/>
      <c r="EIQ2" s="429"/>
      <c r="EIR2" s="429"/>
      <c r="EIS2" s="428" t="s">
        <v>23</v>
      </c>
      <c r="EIT2" s="429"/>
      <c r="EIU2" s="429"/>
      <c r="EIV2" s="429"/>
      <c r="EIW2" s="428" t="s">
        <v>23</v>
      </c>
      <c r="EIX2" s="429"/>
      <c r="EIY2" s="429"/>
      <c r="EIZ2" s="429"/>
      <c r="EJA2" s="428" t="s">
        <v>23</v>
      </c>
      <c r="EJB2" s="429"/>
      <c r="EJC2" s="429"/>
      <c r="EJD2" s="429"/>
      <c r="EJE2" s="428" t="s">
        <v>23</v>
      </c>
      <c r="EJF2" s="429"/>
      <c r="EJG2" s="429"/>
      <c r="EJH2" s="429"/>
      <c r="EJI2" s="428" t="s">
        <v>23</v>
      </c>
      <c r="EJJ2" s="429"/>
      <c r="EJK2" s="429"/>
      <c r="EJL2" s="429"/>
      <c r="EJM2" s="428" t="s">
        <v>23</v>
      </c>
      <c r="EJN2" s="429"/>
      <c r="EJO2" s="429"/>
      <c r="EJP2" s="429"/>
      <c r="EJQ2" s="428" t="s">
        <v>23</v>
      </c>
      <c r="EJR2" s="429"/>
      <c r="EJS2" s="429"/>
      <c r="EJT2" s="429"/>
      <c r="EJU2" s="428" t="s">
        <v>23</v>
      </c>
      <c r="EJV2" s="429"/>
      <c r="EJW2" s="429"/>
      <c r="EJX2" s="429"/>
      <c r="EJY2" s="428" t="s">
        <v>23</v>
      </c>
      <c r="EJZ2" s="429"/>
      <c r="EKA2" s="429"/>
      <c r="EKB2" s="429"/>
      <c r="EKC2" s="428" t="s">
        <v>23</v>
      </c>
      <c r="EKD2" s="429"/>
      <c r="EKE2" s="429"/>
      <c r="EKF2" s="429"/>
      <c r="EKG2" s="428" t="s">
        <v>23</v>
      </c>
      <c r="EKH2" s="429"/>
      <c r="EKI2" s="429"/>
      <c r="EKJ2" s="429"/>
      <c r="EKK2" s="428" t="s">
        <v>23</v>
      </c>
      <c r="EKL2" s="429"/>
      <c r="EKM2" s="429"/>
      <c r="EKN2" s="429"/>
      <c r="EKO2" s="428" t="s">
        <v>23</v>
      </c>
      <c r="EKP2" s="429"/>
      <c r="EKQ2" s="429"/>
      <c r="EKR2" s="429"/>
      <c r="EKS2" s="428" t="s">
        <v>23</v>
      </c>
      <c r="EKT2" s="429"/>
      <c r="EKU2" s="429"/>
      <c r="EKV2" s="429"/>
      <c r="EKW2" s="428" t="s">
        <v>23</v>
      </c>
      <c r="EKX2" s="429"/>
      <c r="EKY2" s="429"/>
      <c r="EKZ2" s="429"/>
      <c r="ELA2" s="428" t="s">
        <v>23</v>
      </c>
      <c r="ELB2" s="429"/>
      <c r="ELC2" s="429"/>
      <c r="ELD2" s="429"/>
      <c r="ELE2" s="428" t="s">
        <v>23</v>
      </c>
      <c r="ELF2" s="429"/>
      <c r="ELG2" s="429"/>
      <c r="ELH2" s="429"/>
      <c r="ELI2" s="428" t="s">
        <v>23</v>
      </c>
      <c r="ELJ2" s="429"/>
      <c r="ELK2" s="429"/>
      <c r="ELL2" s="429"/>
      <c r="ELM2" s="428" t="s">
        <v>23</v>
      </c>
      <c r="ELN2" s="429"/>
      <c r="ELO2" s="429"/>
      <c r="ELP2" s="429"/>
      <c r="ELQ2" s="428" t="s">
        <v>23</v>
      </c>
      <c r="ELR2" s="429"/>
      <c r="ELS2" s="429"/>
      <c r="ELT2" s="429"/>
      <c r="ELU2" s="428" t="s">
        <v>23</v>
      </c>
      <c r="ELV2" s="429"/>
      <c r="ELW2" s="429"/>
      <c r="ELX2" s="429"/>
      <c r="ELY2" s="428" t="s">
        <v>23</v>
      </c>
      <c r="ELZ2" s="429"/>
      <c r="EMA2" s="429"/>
      <c r="EMB2" s="429"/>
      <c r="EMC2" s="428" t="s">
        <v>23</v>
      </c>
      <c r="EMD2" s="429"/>
      <c r="EME2" s="429"/>
      <c r="EMF2" s="429"/>
      <c r="EMG2" s="428" t="s">
        <v>23</v>
      </c>
      <c r="EMH2" s="429"/>
      <c r="EMI2" s="429"/>
      <c r="EMJ2" s="429"/>
      <c r="EMK2" s="428" t="s">
        <v>23</v>
      </c>
      <c r="EML2" s="429"/>
      <c r="EMM2" s="429"/>
      <c r="EMN2" s="429"/>
      <c r="EMO2" s="428" t="s">
        <v>23</v>
      </c>
      <c r="EMP2" s="429"/>
      <c r="EMQ2" s="429"/>
      <c r="EMR2" s="429"/>
      <c r="EMS2" s="428" t="s">
        <v>23</v>
      </c>
      <c r="EMT2" s="429"/>
      <c r="EMU2" s="429"/>
      <c r="EMV2" s="429"/>
      <c r="EMW2" s="428" t="s">
        <v>23</v>
      </c>
      <c r="EMX2" s="429"/>
      <c r="EMY2" s="429"/>
      <c r="EMZ2" s="429"/>
      <c r="ENA2" s="428" t="s">
        <v>23</v>
      </c>
      <c r="ENB2" s="429"/>
      <c r="ENC2" s="429"/>
      <c r="END2" s="429"/>
      <c r="ENE2" s="428" t="s">
        <v>23</v>
      </c>
      <c r="ENF2" s="429"/>
      <c r="ENG2" s="429"/>
      <c r="ENH2" s="429"/>
      <c r="ENI2" s="428" t="s">
        <v>23</v>
      </c>
      <c r="ENJ2" s="429"/>
      <c r="ENK2" s="429"/>
      <c r="ENL2" s="429"/>
      <c r="ENM2" s="428" t="s">
        <v>23</v>
      </c>
      <c r="ENN2" s="429"/>
      <c r="ENO2" s="429"/>
      <c r="ENP2" s="429"/>
      <c r="ENQ2" s="428" t="s">
        <v>23</v>
      </c>
      <c r="ENR2" s="429"/>
      <c r="ENS2" s="429"/>
      <c r="ENT2" s="429"/>
      <c r="ENU2" s="428" t="s">
        <v>23</v>
      </c>
      <c r="ENV2" s="429"/>
      <c r="ENW2" s="429"/>
      <c r="ENX2" s="429"/>
      <c r="ENY2" s="428" t="s">
        <v>23</v>
      </c>
      <c r="ENZ2" s="429"/>
      <c r="EOA2" s="429"/>
      <c r="EOB2" s="429"/>
      <c r="EOC2" s="428" t="s">
        <v>23</v>
      </c>
      <c r="EOD2" s="429"/>
      <c r="EOE2" s="429"/>
      <c r="EOF2" s="429"/>
      <c r="EOG2" s="428" t="s">
        <v>23</v>
      </c>
      <c r="EOH2" s="429"/>
      <c r="EOI2" s="429"/>
      <c r="EOJ2" s="429"/>
      <c r="EOK2" s="428" t="s">
        <v>23</v>
      </c>
      <c r="EOL2" s="429"/>
      <c r="EOM2" s="429"/>
      <c r="EON2" s="429"/>
      <c r="EOO2" s="428" t="s">
        <v>23</v>
      </c>
      <c r="EOP2" s="429"/>
      <c r="EOQ2" s="429"/>
      <c r="EOR2" s="429"/>
      <c r="EOS2" s="428" t="s">
        <v>23</v>
      </c>
      <c r="EOT2" s="429"/>
      <c r="EOU2" s="429"/>
      <c r="EOV2" s="429"/>
      <c r="EOW2" s="428" t="s">
        <v>23</v>
      </c>
      <c r="EOX2" s="429"/>
      <c r="EOY2" s="429"/>
      <c r="EOZ2" s="429"/>
      <c r="EPA2" s="428" t="s">
        <v>23</v>
      </c>
      <c r="EPB2" s="429"/>
      <c r="EPC2" s="429"/>
      <c r="EPD2" s="429"/>
      <c r="EPE2" s="428" t="s">
        <v>23</v>
      </c>
      <c r="EPF2" s="429"/>
      <c r="EPG2" s="429"/>
      <c r="EPH2" s="429"/>
      <c r="EPI2" s="428" t="s">
        <v>23</v>
      </c>
      <c r="EPJ2" s="429"/>
      <c r="EPK2" s="429"/>
      <c r="EPL2" s="429"/>
      <c r="EPM2" s="428" t="s">
        <v>23</v>
      </c>
      <c r="EPN2" s="429"/>
      <c r="EPO2" s="429"/>
      <c r="EPP2" s="429"/>
      <c r="EPQ2" s="428" t="s">
        <v>23</v>
      </c>
      <c r="EPR2" s="429"/>
      <c r="EPS2" s="429"/>
      <c r="EPT2" s="429"/>
      <c r="EPU2" s="428" t="s">
        <v>23</v>
      </c>
      <c r="EPV2" s="429"/>
      <c r="EPW2" s="429"/>
      <c r="EPX2" s="429"/>
      <c r="EPY2" s="428" t="s">
        <v>23</v>
      </c>
      <c r="EPZ2" s="429"/>
      <c r="EQA2" s="429"/>
      <c r="EQB2" s="429"/>
      <c r="EQC2" s="428" t="s">
        <v>23</v>
      </c>
      <c r="EQD2" s="429"/>
      <c r="EQE2" s="429"/>
      <c r="EQF2" s="429"/>
      <c r="EQG2" s="428" t="s">
        <v>23</v>
      </c>
      <c r="EQH2" s="429"/>
      <c r="EQI2" s="429"/>
      <c r="EQJ2" s="429"/>
      <c r="EQK2" s="428" t="s">
        <v>23</v>
      </c>
      <c r="EQL2" s="429"/>
      <c r="EQM2" s="429"/>
      <c r="EQN2" s="429"/>
      <c r="EQO2" s="428" t="s">
        <v>23</v>
      </c>
      <c r="EQP2" s="429"/>
      <c r="EQQ2" s="429"/>
      <c r="EQR2" s="429"/>
      <c r="EQS2" s="428" t="s">
        <v>23</v>
      </c>
      <c r="EQT2" s="429"/>
      <c r="EQU2" s="429"/>
      <c r="EQV2" s="429"/>
      <c r="EQW2" s="428" t="s">
        <v>23</v>
      </c>
      <c r="EQX2" s="429"/>
      <c r="EQY2" s="429"/>
      <c r="EQZ2" s="429"/>
      <c r="ERA2" s="428" t="s">
        <v>23</v>
      </c>
      <c r="ERB2" s="429"/>
      <c r="ERC2" s="429"/>
      <c r="ERD2" s="429"/>
      <c r="ERE2" s="428" t="s">
        <v>23</v>
      </c>
      <c r="ERF2" s="429"/>
      <c r="ERG2" s="429"/>
      <c r="ERH2" s="429"/>
      <c r="ERI2" s="428" t="s">
        <v>23</v>
      </c>
      <c r="ERJ2" s="429"/>
      <c r="ERK2" s="429"/>
      <c r="ERL2" s="429"/>
      <c r="ERM2" s="428" t="s">
        <v>23</v>
      </c>
      <c r="ERN2" s="429"/>
      <c r="ERO2" s="429"/>
      <c r="ERP2" s="429"/>
      <c r="ERQ2" s="428" t="s">
        <v>23</v>
      </c>
      <c r="ERR2" s="429"/>
      <c r="ERS2" s="429"/>
      <c r="ERT2" s="429"/>
      <c r="ERU2" s="428" t="s">
        <v>23</v>
      </c>
      <c r="ERV2" s="429"/>
      <c r="ERW2" s="429"/>
      <c r="ERX2" s="429"/>
      <c r="ERY2" s="428" t="s">
        <v>23</v>
      </c>
      <c r="ERZ2" s="429"/>
      <c r="ESA2" s="429"/>
      <c r="ESB2" s="429"/>
      <c r="ESC2" s="428" t="s">
        <v>23</v>
      </c>
      <c r="ESD2" s="429"/>
      <c r="ESE2" s="429"/>
      <c r="ESF2" s="429"/>
      <c r="ESG2" s="428" t="s">
        <v>23</v>
      </c>
      <c r="ESH2" s="429"/>
      <c r="ESI2" s="429"/>
      <c r="ESJ2" s="429"/>
      <c r="ESK2" s="428" t="s">
        <v>23</v>
      </c>
      <c r="ESL2" s="429"/>
      <c r="ESM2" s="429"/>
      <c r="ESN2" s="429"/>
      <c r="ESO2" s="428" t="s">
        <v>23</v>
      </c>
      <c r="ESP2" s="429"/>
      <c r="ESQ2" s="429"/>
      <c r="ESR2" s="429"/>
      <c r="ESS2" s="428" t="s">
        <v>23</v>
      </c>
      <c r="EST2" s="429"/>
      <c r="ESU2" s="429"/>
      <c r="ESV2" s="429"/>
      <c r="ESW2" s="428" t="s">
        <v>23</v>
      </c>
      <c r="ESX2" s="429"/>
      <c r="ESY2" s="429"/>
      <c r="ESZ2" s="429"/>
      <c r="ETA2" s="428" t="s">
        <v>23</v>
      </c>
      <c r="ETB2" s="429"/>
      <c r="ETC2" s="429"/>
      <c r="ETD2" s="429"/>
      <c r="ETE2" s="428" t="s">
        <v>23</v>
      </c>
      <c r="ETF2" s="429"/>
      <c r="ETG2" s="429"/>
      <c r="ETH2" s="429"/>
      <c r="ETI2" s="428" t="s">
        <v>23</v>
      </c>
      <c r="ETJ2" s="429"/>
      <c r="ETK2" s="429"/>
      <c r="ETL2" s="429"/>
      <c r="ETM2" s="428" t="s">
        <v>23</v>
      </c>
      <c r="ETN2" s="429"/>
      <c r="ETO2" s="429"/>
      <c r="ETP2" s="429"/>
      <c r="ETQ2" s="428" t="s">
        <v>23</v>
      </c>
      <c r="ETR2" s="429"/>
      <c r="ETS2" s="429"/>
      <c r="ETT2" s="429"/>
      <c r="ETU2" s="428" t="s">
        <v>23</v>
      </c>
      <c r="ETV2" s="429"/>
      <c r="ETW2" s="429"/>
      <c r="ETX2" s="429"/>
      <c r="ETY2" s="428" t="s">
        <v>23</v>
      </c>
      <c r="ETZ2" s="429"/>
      <c r="EUA2" s="429"/>
      <c r="EUB2" s="429"/>
      <c r="EUC2" s="428" t="s">
        <v>23</v>
      </c>
      <c r="EUD2" s="429"/>
      <c r="EUE2" s="429"/>
      <c r="EUF2" s="429"/>
      <c r="EUG2" s="428" t="s">
        <v>23</v>
      </c>
      <c r="EUH2" s="429"/>
      <c r="EUI2" s="429"/>
      <c r="EUJ2" s="429"/>
      <c r="EUK2" s="428" t="s">
        <v>23</v>
      </c>
      <c r="EUL2" s="429"/>
      <c r="EUM2" s="429"/>
      <c r="EUN2" s="429"/>
      <c r="EUO2" s="428" t="s">
        <v>23</v>
      </c>
      <c r="EUP2" s="429"/>
      <c r="EUQ2" s="429"/>
      <c r="EUR2" s="429"/>
      <c r="EUS2" s="428" t="s">
        <v>23</v>
      </c>
      <c r="EUT2" s="429"/>
      <c r="EUU2" s="429"/>
      <c r="EUV2" s="429"/>
      <c r="EUW2" s="428" t="s">
        <v>23</v>
      </c>
      <c r="EUX2" s="429"/>
      <c r="EUY2" s="429"/>
      <c r="EUZ2" s="429"/>
      <c r="EVA2" s="428" t="s">
        <v>23</v>
      </c>
      <c r="EVB2" s="429"/>
      <c r="EVC2" s="429"/>
      <c r="EVD2" s="429"/>
      <c r="EVE2" s="428" t="s">
        <v>23</v>
      </c>
      <c r="EVF2" s="429"/>
      <c r="EVG2" s="429"/>
      <c r="EVH2" s="429"/>
      <c r="EVI2" s="428" t="s">
        <v>23</v>
      </c>
      <c r="EVJ2" s="429"/>
      <c r="EVK2" s="429"/>
      <c r="EVL2" s="429"/>
      <c r="EVM2" s="428" t="s">
        <v>23</v>
      </c>
      <c r="EVN2" s="429"/>
      <c r="EVO2" s="429"/>
      <c r="EVP2" s="429"/>
      <c r="EVQ2" s="428" t="s">
        <v>23</v>
      </c>
      <c r="EVR2" s="429"/>
      <c r="EVS2" s="429"/>
      <c r="EVT2" s="429"/>
      <c r="EVU2" s="428" t="s">
        <v>23</v>
      </c>
      <c r="EVV2" s="429"/>
      <c r="EVW2" s="429"/>
      <c r="EVX2" s="429"/>
      <c r="EVY2" s="428" t="s">
        <v>23</v>
      </c>
      <c r="EVZ2" s="429"/>
      <c r="EWA2" s="429"/>
      <c r="EWB2" s="429"/>
      <c r="EWC2" s="428" t="s">
        <v>23</v>
      </c>
      <c r="EWD2" s="429"/>
      <c r="EWE2" s="429"/>
      <c r="EWF2" s="429"/>
      <c r="EWG2" s="428" t="s">
        <v>23</v>
      </c>
      <c r="EWH2" s="429"/>
      <c r="EWI2" s="429"/>
      <c r="EWJ2" s="429"/>
      <c r="EWK2" s="428" t="s">
        <v>23</v>
      </c>
      <c r="EWL2" s="429"/>
      <c r="EWM2" s="429"/>
      <c r="EWN2" s="429"/>
      <c r="EWO2" s="428" t="s">
        <v>23</v>
      </c>
      <c r="EWP2" s="429"/>
      <c r="EWQ2" s="429"/>
      <c r="EWR2" s="429"/>
      <c r="EWS2" s="428" t="s">
        <v>23</v>
      </c>
      <c r="EWT2" s="429"/>
      <c r="EWU2" s="429"/>
      <c r="EWV2" s="429"/>
      <c r="EWW2" s="428" t="s">
        <v>23</v>
      </c>
      <c r="EWX2" s="429"/>
      <c r="EWY2" s="429"/>
      <c r="EWZ2" s="429"/>
      <c r="EXA2" s="428" t="s">
        <v>23</v>
      </c>
      <c r="EXB2" s="429"/>
      <c r="EXC2" s="429"/>
      <c r="EXD2" s="429"/>
      <c r="EXE2" s="428" t="s">
        <v>23</v>
      </c>
      <c r="EXF2" s="429"/>
      <c r="EXG2" s="429"/>
      <c r="EXH2" s="429"/>
      <c r="EXI2" s="428" t="s">
        <v>23</v>
      </c>
      <c r="EXJ2" s="429"/>
      <c r="EXK2" s="429"/>
      <c r="EXL2" s="429"/>
      <c r="EXM2" s="428" t="s">
        <v>23</v>
      </c>
      <c r="EXN2" s="429"/>
      <c r="EXO2" s="429"/>
      <c r="EXP2" s="429"/>
      <c r="EXQ2" s="428" t="s">
        <v>23</v>
      </c>
      <c r="EXR2" s="429"/>
      <c r="EXS2" s="429"/>
      <c r="EXT2" s="429"/>
      <c r="EXU2" s="428" t="s">
        <v>23</v>
      </c>
      <c r="EXV2" s="429"/>
      <c r="EXW2" s="429"/>
      <c r="EXX2" s="429"/>
      <c r="EXY2" s="428" t="s">
        <v>23</v>
      </c>
      <c r="EXZ2" s="429"/>
      <c r="EYA2" s="429"/>
      <c r="EYB2" s="429"/>
      <c r="EYC2" s="428" t="s">
        <v>23</v>
      </c>
      <c r="EYD2" s="429"/>
      <c r="EYE2" s="429"/>
      <c r="EYF2" s="429"/>
      <c r="EYG2" s="428" t="s">
        <v>23</v>
      </c>
      <c r="EYH2" s="429"/>
      <c r="EYI2" s="429"/>
      <c r="EYJ2" s="429"/>
      <c r="EYK2" s="428" t="s">
        <v>23</v>
      </c>
      <c r="EYL2" s="429"/>
      <c r="EYM2" s="429"/>
      <c r="EYN2" s="429"/>
      <c r="EYO2" s="428" t="s">
        <v>23</v>
      </c>
      <c r="EYP2" s="429"/>
      <c r="EYQ2" s="429"/>
      <c r="EYR2" s="429"/>
      <c r="EYS2" s="428" t="s">
        <v>23</v>
      </c>
      <c r="EYT2" s="429"/>
      <c r="EYU2" s="429"/>
      <c r="EYV2" s="429"/>
      <c r="EYW2" s="428" t="s">
        <v>23</v>
      </c>
      <c r="EYX2" s="429"/>
      <c r="EYY2" s="429"/>
      <c r="EYZ2" s="429"/>
      <c r="EZA2" s="428" t="s">
        <v>23</v>
      </c>
      <c r="EZB2" s="429"/>
      <c r="EZC2" s="429"/>
      <c r="EZD2" s="429"/>
      <c r="EZE2" s="428" t="s">
        <v>23</v>
      </c>
      <c r="EZF2" s="429"/>
      <c r="EZG2" s="429"/>
      <c r="EZH2" s="429"/>
      <c r="EZI2" s="428" t="s">
        <v>23</v>
      </c>
      <c r="EZJ2" s="429"/>
      <c r="EZK2" s="429"/>
      <c r="EZL2" s="429"/>
      <c r="EZM2" s="428" t="s">
        <v>23</v>
      </c>
      <c r="EZN2" s="429"/>
      <c r="EZO2" s="429"/>
      <c r="EZP2" s="429"/>
      <c r="EZQ2" s="428" t="s">
        <v>23</v>
      </c>
      <c r="EZR2" s="429"/>
      <c r="EZS2" s="429"/>
      <c r="EZT2" s="429"/>
      <c r="EZU2" s="428" t="s">
        <v>23</v>
      </c>
      <c r="EZV2" s="429"/>
      <c r="EZW2" s="429"/>
      <c r="EZX2" s="429"/>
      <c r="EZY2" s="428" t="s">
        <v>23</v>
      </c>
      <c r="EZZ2" s="429"/>
      <c r="FAA2" s="429"/>
      <c r="FAB2" s="429"/>
      <c r="FAC2" s="428" t="s">
        <v>23</v>
      </c>
      <c r="FAD2" s="429"/>
      <c r="FAE2" s="429"/>
      <c r="FAF2" s="429"/>
      <c r="FAG2" s="428" t="s">
        <v>23</v>
      </c>
      <c r="FAH2" s="429"/>
      <c r="FAI2" s="429"/>
      <c r="FAJ2" s="429"/>
      <c r="FAK2" s="428" t="s">
        <v>23</v>
      </c>
      <c r="FAL2" s="429"/>
      <c r="FAM2" s="429"/>
      <c r="FAN2" s="429"/>
      <c r="FAO2" s="428" t="s">
        <v>23</v>
      </c>
      <c r="FAP2" s="429"/>
      <c r="FAQ2" s="429"/>
      <c r="FAR2" s="429"/>
      <c r="FAS2" s="428" t="s">
        <v>23</v>
      </c>
      <c r="FAT2" s="429"/>
      <c r="FAU2" s="429"/>
      <c r="FAV2" s="429"/>
      <c r="FAW2" s="428" t="s">
        <v>23</v>
      </c>
      <c r="FAX2" s="429"/>
      <c r="FAY2" s="429"/>
      <c r="FAZ2" s="429"/>
      <c r="FBA2" s="428" t="s">
        <v>23</v>
      </c>
      <c r="FBB2" s="429"/>
      <c r="FBC2" s="429"/>
      <c r="FBD2" s="429"/>
      <c r="FBE2" s="428" t="s">
        <v>23</v>
      </c>
      <c r="FBF2" s="429"/>
      <c r="FBG2" s="429"/>
      <c r="FBH2" s="429"/>
      <c r="FBI2" s="428" t="s">
        <v>23</v>
      </c>
      <c r="FBJ2" s="429"/>
      <c r="FBK2" s="429"/>
      <c r="FBL2" s="429"/>
      <c r="FBM2" s="428" t="s">
        <v>23</v>
      </c>
      <c r="FBN2" s="429"/>
      <c r="FBO2" s="429"/>
      <c r="FBP2" s="429"/>
      <c r="FBQ2" s="428" t="s">
        <v>23</v>
      </c>
      <c r="FBR2" s="429"/>
      <c r="FBS2" s="429"/>
      <c r="FBT2" s="429"/>
      <c r="FBU2" s="428" t="s">
        <v>23</v>
      </c>
      <c r="FBV2" s="429"/>
      <c r="FBW2" s="429"/>
      <c r="FBX2" s="429"/>
      <c r="FBY2" s="428" t="s">
        <v>23</v>
      </c>
      <c r="FBZ2" s="429"/>
      <c r="FCA2" s="429"/>
      <c r="FCB2" s="429"/>
      <c r="FCC2" s="428" t="s">
        <v>23</v>
      </c>
      <c r="FCD2" s="429"/>
      <c r="FCE2" s="429"/>
      <c r="FCF2" s="429"/>
      <c r="FCG2" s="428" t="s">
        <v>23</v>
      </c>
      <c r="FCH2" s="429"/>
      <c r="FCI2" s="429"/>
      <c r="FCJ2" s="429"/>
      <c r="FCK2" s="428" t="s">
        <v>23</v>
      </c>
      <c r="FCL2" s="429"/>
      <c r="FCM2" s="429"/>
      <c r="FCN2" s="429"/>
      <c r="FCO2" s="428" t="s">
        <v>23</v>
      </c>
      <c r="FCP2" s="429"/>
      <c r="FCQ2" s="429"/>
      <c r="FCR2" s="429"/>
      <c r="FCS2" s="428" t="s">
        <v>23</v>
      </c>
      <c r="FCT2" s="429"/>
      <c r="FCU2" s="429"/>
      <c r="FCV2" s="429"/>
      <c r="FCW2" s="428" t="s">
        <v>23</v>
      </c>
      <c r="FCX2" s="429"/>
      <c r="FCY2" s="429"/>
      <c r="FCZ2" s="429"/>
      <c r="FDA2" s="428" t="s">
        <v>23</v>
      </c>
      <c r="FDB2" s="429"/>
      <c r="FDC2" s="429"/>
      <c r="FDD2" s="429"/>
      <c r="FDE2" s="428" t="s">
        <v>23</v>
      </c>
      <c r="FDF2" s="429"/>
      <c r="FDG2" s="429"/>
      <c r="FDH2" s="429"/>
      <c r="FDI2" s="428" t="s">
        <v>23</v>
      </c>
      <c r="FDJ2" s="429"/>
      <c r="FDK2" s="429"/>
      <c r="FDL2" s="429"/>
      <c r="FDM2" s="428" t="s">
        <v>23</v>
      </c>
      <c r="FDN2" s="429"/>
      <c r="FDO2" s="429"/>
      <c r="FDP2" s="429"/>
      <c r="FDQ2" s="428" t="s">
        <v>23</v>
      </c>
      <c r="FDR2" s="429"/>
      <c r="FDS2" s="429"/>
      <c r="FDT2" s="429"/>
      <c r="FDU2" s="428" t="s">
        <v>23</v>
      </c>
      <c r="FDV2" s="429"/>
      <c r="FDW2" s="429"/>
      <c r="FDX2" s="429"/>
      <c r="FDY2" s="428" t="s">
        <v>23</v>
      </c>
      <c r="FDZ2" s="429"/>
      <c r="FEA2" s="429"/>
      <c r="FEB2" s="429"/>
      <c r="FEC2" s="428" t="s">
        <v>23</v>
      </c>
      <c r="FED2" s="429"/>
      <c r="FEE2" s="429"/>
      <c r="FEF2" s="429"/>
      <c r="FEG2" s="428" t="s">
        <v>23</v>
      </c>
      <c r="FEH2" s="429"/>
      <c r="FEI2" s="429"/>
      <c r="FEJ2" s="429"/>
      <c r="FEK2" s="428" t="s">
        <v>23</v>
      </c>
      <c r="FEL2" s="429"/>
      <c r="FEM2" s="429"/>
      <c r="FEN2" s="429"/>
      <c r="FEO2" s="428" t="s">
        <v>23</v>
      </c>
      <c r="FEP2" s="429"/>
      <c r="FEQ2" s="429"/>
      <c r="FER2" s="429"/>
      <c r="FES2" s="428" t="s">
        <v>23</v>
      </c>
      <c r="FET2" s="429"/>
      <c r="FEU2" s="429"/>
      <c r="FEV2" s="429"/>
      <c r="FEW2" s="428" t="s">
        <v>23</v>
      </c>
      <c r="FEX2" s="429"/>
      <c r="FEY2" s="429"/>
      <c r="FEZ2" s="429"/>
      <c r="FFA2" s="428" t="s">
        <v>23</v>
      </c>
      <c r="FFB2" s="429"/>
      <c r="FFC2" s="429"/>
      <c r="FFD2" s="429"/>
      <c r="FFE2" s="428" t="s">
        <v>23</v>
      </c>
      <c r="FFF2" s="429"/>
      <c r="FFG2" s="429"/>
      <c r="FFH2" s="429"/>
      <c r="FFI2" s="428" t="s">
        <v>23</v>
      </c>
      <c r="FFJ2" s="429"/>
      <c r="FFK2" s="429"/>
      <c r="FFL2" s="429"/>
      <c r="FFM2" s="428" t="s">
        <v>23</v>
      </c>
      <c r="FFN2" s="429"/>
      <c r="FFO2" s="429"/>
      <c r="FFP2" s="429"/>
      <c r="FFQ2" s="428" t="s">
        <v>23</v>
      </c>
      <c r="FFR2" s="429"/>
      <c r="FFS2" s="429"/>
      <c r="FFT2" s="429"/>
      <c r="FFU2" s="428" t="s">
        <v>23</v>
      </c>
      <c r="FFV2" s="429"/>
      <c r="FFW2" s="429"/>
      <c r="FFX2" s="429"/>
      <c r="FFY2" s="428" t="s">
        <v>23</v>
      </c>
      <c r="FFZ2" s="429"/>
      <c r="FGA2" s="429"/>
      <c r="FGB2" s="429"/>
      <c r="FGC2" s="428" t="s">
        <v>23</v>
      </c>
      <c r="FGD2" s="429"/>
      <c r="FGE2" s="429"/>
      <c r="FGF2" s="429"/>
      <c r="FGG2" s="428" t="s">
        <v>23</v>
      </c>
      <c r="FGH2" s="429"/>
      <c r="FGI2" s="429"/>
      <c r="FGJ2" s="429"/>
      <c r="FGK2" s="428" t="s">
        <v>23</v>
      </c>
      <c r="FGL2" s="429"/>
      <c r="FGM2" s="429"/>
      <c r="FGN2" s="429"/>
      <c r="FGO2" s="428" t="s">
        <v>23</v>
      </c>
      <c r="FGP2" s="429"/>
      <c r="FGQ2" s="429"/>
      <c r="FGR2" s="429"/>
      <c r="FGS2" s="428" t="s">
        <v>23</v>
      </c>
      <c r="FGT2" s="429"/>
      <c r="FGU2" s="429"/>
      <c r="FGV2" s="429"/>
      <c r="FGW2" s="428" t="s">
        <v>23</v>
      </c>
      <c r="FGX2" s="429"/>
      <c r="FGY2" s="429"/>
      <c r="FGZ2" s="429"/>
      <c r="FHA2" s="428" t="s">
        <v>23</v>
      </c>
      <c r="FHB2" s="429"/>
      <c r="FHC2" s="429"/>
      <c r="FHD2" s="429"/>
      <c r="FHE2" s="428" t="s">
        <v>23</v>
      </c>
      <c r="FHF2" s="429"/>
      <c r="FHG2" s="429"/>
      <c r="FHH2" s="429"/>
      <c r="FHI2" s="428" t="s">
        <v>23</v>
      </c>
      <c r="FHJ2" s="429"/>
      <c r="FHK2" s="429"/>
      <c r="FHL2" s="429"/>
      <c r="FHM2" s="428" t="s">
        <v>23</v>
      </c>
      <c r="FHN2" s="429"/>
      <c r="FHO2" s="429"/>
      <c r="FHP2" s="429"/>
      <c r="FHQ2" s="428" t="s">
        <v>23</v>
      </c>
      <c r="FHR2" s="429"/>
      <c r="FHS2" s="429"/>
      <c r="FHT2" s="429"/>
      <c r="FHU2" s="428" t="s">
        <v>23</v>
      </c>
      <c r="FHV2" s="429"/>
      <c r="FHW2" s="429"/>
      <c r="FHX2" s="429"/>
      <c r="FHY2" s="428" t="s">
        <v>23</v>
      </c>
      <c r="FHZ2" s="429"/>
      <c r="FIA2" s="429"/>
      <c r="FIB2" s="429"/>
      <c r="FIC2" s="428" t="s">
        <v>23</v>
      </c>
      <c r="FID2" s="429"/>
      <c r="FIE2" s="429"/>
      <c r="FIF2" s="429"/>
      <c r="FIG2" s="428" t="s">
        <v>23</v>
      </c>
      <c r="FIH2" s="429"/>
      <c r="FII2" s="429"/>
      <c r="FIJ2" s="429"/>
      <c r="FIK2" s="428" t="s">
        <v>23</v>
      </c>
      <c r="FIL2" s="429"/>
      <c r="FIM2" s="429"/>
      <c r="FIN2" s="429"/>
      <c r="FIO2" s="428" t="s">
        <v>23</v>
      </c>
      <c r="FIP2" s="429"/>
      <c r="FIQ2" s="429"/>
      <c r="FIR2" s="429"/>
      <c r="FIS2" s="428" t="s">
        <v>23</v>
      </c>
      <c r="FIT2" s="429"/>
      <c r="FIU2" s="429"/>
      <c r="FIV2" s="429"/>
      <c r="FIW2" s="428" t="s">
        <v>23</v>
      </c>
      <c r="FIX2" s="429"/>
      <c r="FIY2" s="429"/>
      <c r="FIZ2" s="429"/>
      <c r="FJA2" s="428" t="s">
        <v>23</v>
      </c>
      <c r="FJB2" s="429"/>
      <c r="FJC2" s="429"/>
      <c r="FJD2" s="429"/>
      <c r="FJE2" s="428" t="s">
        <v>23</v>
      </c>
      <c r="FJF2" s="429"/>
      <c r="FJG2" s="429"/>
      <c r="FJH2" s="429"/>
      <c r="FJI2" s="428" t="s">
        <v>23</v>
      </c>
      <c r="FJJ2" s="429"/>
      <c r="FJK2" s="429"/>
      <c r="FJL2" s="429"/>
      <c r="FJM2" s="428" t="s">
        <v>23</v>
      </c>
      <c r="FJN2" s="429"/>
      <c r="FJO2" s="429"/>
      <c r="FJP2" s="429"/>
      <c r="FJQ2" s="428" t="s">
        <v>23</v>
      </c>
      <c r="FJR2" s="429"/>
      <c r="FJS2" s="429"/>
      <c r="FJT2" s="429"/>
      <c r="FJU2" s="428" t="s">
        <v>23</v>
      </c>
      <c r="FJV2" s="429"/>
      <c r="FJW2" s="429"/>
      <c r="FJX2" s="429"/>
      <c r="FJY2" s="428" t="s">
        <v>23</v>
      </c>
      <c r="FJZ2" s="429"/>
      <c r="FKA2" s="429"/>
      <c r="FKB2" s="429"/>
      <c r="FKC2" s="428" t="s">
        <v>23</v>
      </c>
      <c r="FKD2" s="429"/>
      <c r="FKE2" s="429"/>
      <c r="FKF2" s="429"/>
      <c r="FKG2" s="428" t="s">
        <v>23</v>
      </c>
      <c r="FKH2" s="429"/>
      <c r="FKI2" s="429"/>
      <c r="FKJ2" s="429"/>
      <c r="FKK2" s="428" t="s">
        <v>23</v>
      </c>
      <c r="FKL2" s="429"/>
      <c r="FKM2" s="429"/>
      <c r="FKN2" s="429"/>
      <c r="FKO2" s="428" t="s">
        <v>23</v>
      </c>
      <c r="FKP2" s="429"/>
      <c r="FKQ2" s="429"/>
      <c r="FKR2" s="429"/>
      <c r="FKS2" s="428" t="s">
        <v>23</v>
      </c>
      <c r="FKT2" s="429"/>
      <c r="FKU2" s="429"/>
      <c r="FKV2" s="429"/>
      <c r="FKW2" s="428" t="s">
        <v>23</v>
      </c>
      <c r="FKX2" s="429"/>
      <c r="FKY2" s="429"/>
      <c r="FKZ2" s="429"/>
      <c r="FLA2" s="428" t="s">
        <v>23</v>
      </c>
      <c r="FLB2" s="429"/>
      <c r="FLC2" s="429"/>
      <c r="FLD2" s="429"/>
      <c r="FLE2" s="428" t="s">
        <v>23</v>
      </c>
      <c r="FLF2" s="429"/>
      <c r="FLG2" s="429"/>
      <c r="FLH2" s="429"/>
      <c r="FLI2" s="428" t="s">
        <v>23</v>
      </c>
      <c r="FLJ2" s="429"/>
      <c r="FLK2" s="429"/>
      <c r="FLL2" s="429"/>
      <c r="FLM2" s="428" t="s">
        <v>23</v>
      </c>
      <c r="FLN2" s="429"/>
      <c r="FLO2" s="429"/>
      <c r="FLP2" s="429"/>
      <c r="FLQ2" s="428" t="s">
        <v>23</v>
      </c>
      <c r="FLR2" s="429"/>
      <c r="FLS2" s="429"/>
      <c r="FLT2" s="429"/>
      <c r="FLU2" s="428" t="s">
        <v>23</v>
      </c>
      <c r="FLV2" s="429"/>
      <c r="FLW2" s="429"/>
      <c r="FLX2" s="429"/>
      <c r="FLY2" s="428" t="s">
        <v>23</v>
      </c>
      <c r="FLZ2" s="429"/>
      <c r="FMA2" s="429"/>
      <c r="FMB2" s="429"/>
      <c r="FMC2" s="428" t="s">
        <v>23</v>
      </c>
      <c r="FMD2" s="429"/>
      <c r="FME2" s="429"/>
      <c r="FMF2" s="429"/>
      <c r="FMG2" s="428" t="s">
        <v>23</v>
      </c>
      <c r="FMH2" s="429"/>
      <c r="FMI2" s="429"/>
      <c r="FMJ2" s="429"/>
      <c r="FMK2" s="428" t="s">
        <v>23</v>
      </c>
      <c r="FML2" s="429"/>
      <c r="FMM2" s="429"/>
      <c r="FMN2" s="429"/>
      <c r="FMO2" s="428" t="s">
        <v>23</v>
      </c>
      <c r="FMP2" s="429"/>
      <c r="FMQ2" s="429"/>
      <c r="FMR2" s="429"/>
      <c r="FMS2" s="428" t="s">
        <v>23</v>
      </c>
      <c r="FMT2" s="429"/>
      <c r="FMU2" s="429"/>
      <c r="FMV2" s="429"/>
      <c r="FMW2" s="428" t="s">
        <v>23</v>
      </c>
      <c r="FMX2" s="429"/>
      <c r="FMY2" s="429"/>
      <c r="FMZ2" s="429"/>
      <c r="FNA2" s="428" t="s">
        <v>23</v>
      </c>
      <c r="FNB2" s="429"/>
      <c r="FNC2" s="429"/>
      <c r="FND2" s="429"/>
      <c r="FNE2" s="428" t="s">
        <v>23</v>
      </c>
      <c r="FNF2" s="429"/>
      <c r="FNG2" s="429"/>
      <c r="FNH2" s="429"/>
      <c r="FNI2" s="428" t="s">
        <v>23</v>
      </c>
      <c r="FNJ2" s="429"/>
      <c r="FNK2" s="429"/>
      <c r="FNL2" s="429"/>
      <c r="FNM2" s="428" t="s">
        <v>23</v>
      </c>
      <c r="FNN2" s="429"/>
      <c r="FNO2" s="429"/>
      <c r="FNP2" s="429"/>
      <c r="FNQ2" s="428" t="s">
        <v>23</v>
      </c>
      <c r="FNR2" s="429"/>
      <c r="FNS2" s="429"/>
      <c r="FNT2" s="429"/>
      <c r="FNU2" s="428" t="s">
        <v>23</v>
      </c>
      <c r="FNV2" s="429"/>
      <c r="FNW2" s="429"/>
      <c r="FNX2" s="429"/>
      <c r="FNY2" s="428" t="s">
        <v>23</v>
      </c>
      <c r="FNZ2" s="429"/>
      <c r="FOA2" s="429"/>
      <c r="FOB2" s="429"/>
      <c r="FOC2" s="428" t="s">
        <v>23</v>
      </c>
      <c r="FOD2" s="429"/>
      <c r="FOE2" s="429"/>
      <c r="FOF2" s="429"/>
      <c r="FOG2" s="428" t="s">
        <v>23</v>
      </c>
      <c r="FOH2" s="429"/>
      <c r="FOI2" s="429"/>
      <c r="FOJ2" s="429"/>
      <c r="FOK2" s="428" t="s">
        <v>23</v>
      </c>
      <c r="FOL2" s="429"/>
      <c r="FOM2" s="429"/>
      <c r="FON2" s="429"/>
      <c r="FOO2" s="428" t="s">
        <v>23</v>
      </c>
      <c r="FOP2" s="429"/>
      <c r="FOQ2" s="429"/>
      <c r="FOR2" s="429"/>
      <c r="FOS2" s="428" t="s">
        <v>23</v>
      </c>
      <c r="FOT2" s="429"/>
      <c r="FOU2" s="429"/>
      <c r="FOV2" s="429"/>
      <c r="FOW2" s="428" t="s">
        <v>23</v>
      </c>
      <c r="FOX2" s="429"/>
      <c r="FOY2" s="429"/>
      <c r="FOZ2" s="429"/>
      <c r="FPA2" s="428" t="s">
        <v>23</v>
      </c>
      <c r="FPB2" s="429"/>
      <c r="FPC2" s="429"/>
      <c r="FPD2" s="429"/>
      <c r="FPE2" s="428" t="s">
        <v>23</v>
      </c>
      <c r="FPF2" s="429"/>
      <c r="FPG2" s="429"/>
      <c r="FPH2" s="429"/>
      <c r="FPI2" s="428" t="s">
        <v>23</v>
      </c>
      <c r="FPJ2" s="429"/>
      <c r="FPK2" s="429"/>
      <c r="FPL2" s="429"/>
      <c r="FPM2" s="428" t="s">
        <v>23</v>
      </c>
      <c r="FPN2" s="429"/>
      <c r="FPO2" s="429"/>
      <c r="FPP2" s="429"/>
      <c r="FPQ2" s="428" t="s">
        <v>23</v>
      </c>
      <c r="FPR2" s="429"/>
      <c r="FPS2" s="429"/>
      <c r="FPT2" s="429"/>
      <c r="FPU2" s="428" t="s">
        <v>23</v>
      </c>
      <c r="FPV2" s="429"/>
      <c r="FPW2" s="429"/>
      <c r="FPX2" s="429"/>
      <c r="FPY2" s="428" t="s">
        <v>23</v>
      </c>
      <c r="FPZ2" s="429"/>
      <c r="FQA2" s="429"/>
      <c r="FQB2" s="429"/>
      <c r="FQC2" s="428" t="s">
        <v>23</v>
      </c>
      <c r="FQD2" s="429"/>
      <c r="FQE2" s="429"/>
      <c r="FQF2" s="429"/>
      <c r="FQG2" s="428" t="s">
        <v>23</v>
      </c>
      <c r="FQH2" s="429"/>
      <c r="FQI2" s="429"/>
      <c r="FQJ2" s="429"/>
      <c r="FQK2" s="428" t="s">
        <v>23</v>
      </c>
      <c r="FQL2" s="429"/>
      <c r="FQM2" s="429"/>
      <c r="FQN2" s="429"/>
      <c r="FQO2" s="428" t="s">
        <v>23</v>
      </c>
      <c r="FQP2" s="429"/>
      <c r="FQQ2" s="429"/>
      <c r="FQR2" s="429"/>
      <c r="FQS2" s="428" t="s">
        <v>23</v>
      </c>
      <c r="FQT2" s="429"/>
      <c r="FQU2" s="429"/>
      <c r="FQV2" s="429"/>
      <c r="FQW2" s="428" t="s">
        <v>23</v>
      </c>
      <c r="FQX2" s="429"/>
      <c r="FQY2" s="429"/>
      <c r="FQZ2" s="429"/>
      <c r="FRA2" s="428" t="s">
        <v>23</v>
      </c>
      <c r="FRB2" s="429"/>
      <c r="FRC2" s="429"/>
      <c r="FRD2" s="429"/>
      <c r="FRE2" s="428" t="s">
        <v>23</v>
      </c>
      <c r="FRF2" s="429"/>
      <c r="FRG2" s="429"/>
      <c r="FRH2" s="429"/>
      <c r="FRI2" s="428" t="s">
        <v>23</v>
      </c>
      <c r="FRJ2" s="429"/>
      <c r="FRK2" s="429"/>
      <c r="FRL2" s="429"/>
      <c r="FRM2" s="428" t="s">
        <v>23</v>
      </c>
      <c r="FRN2" s="429"/>
      <c r="FRO2" s="429"/>
      <c r="FRP2" s="429"/>
      <c r="FRQ2" s="428" t="s">
        <v>23</v>
      </c>
      <c r="FRR2" s="429"/>
      <c r="FRS2" s="429"/>
      <c r="FRT2" s="429"/>
      <c r="FRU2" s="428" t="s">
        <v>23</v>
      </c>
      <c r="FRV2" s="429"/>
      <c r="FRW2" s="429"/>
      <c r="FRX2" s="429"/>
      <c r="FRY2" s="428" t="s">
        <v>23</v>
      </c>
      <c r="FRZ2" s="429"/>
      <c r="FSA2" s="429"/>
      <c r="FSB2" s="429"/>
      <c r="FSC2" s="428" t="s">
        <v>23</v>
      </c>
      <c r="FSD2" s="429"/>
      <c r="FSE2" s="429"/>
      <c r="FSF2" s="429"/>
      <c r="FSG2" s="428" t="s">
        <v>23</v>
      </c>
      <c r="FSH2" s="429"/>
      <c r="FSI2" s="429"/>
      <c r="FSJ2" s="429"/>
      <c r="FSK2" s="428" t="s">
        <v>23</v>
      </c>
      <c r="FSL2" s="429"/>
      <c r="FSM2" s="429"/>
      <c r="FSN2" s="429"/>
      <c r="FSO2" s="428" t="s">
        <v>23</v>
      </c>
      <c r="FSP2" s="429"/>
      <c r="FSQ2" s="429"/>
      <c r="FSR2" s="429"/>
      <c r="FSS2" s="428" t="s">
        <v>23</v>
      </c>
      <c r="FST2" s="429"/>
      <c r="FSU2" s="429"/>
      <c r="FSV2" s="429"/>
      <c r="FSW2" s="428" t="s">
        <v>23</v>
      </c>
      <c r="FSX2" s="429"/>
      <c r="FSY2" s="429"/>
      <c r="FSZ2" s="429"/>
      <c r="FTA2" s="428" t="s">
        <v>23</v>
      </c>
      <c r="FTB2" s="429"/>
      <c r="FTC2" s="429"/>
      <c r="FTD2" s="429"/>
      <c r="FTE2" s="428" t="s">
        <v>23</v>
      </c>
      <c r="FTF2" s="429"/>
      <c r="FTG2" s="429"/>
      <c r="FTH2" s="429"/>
      <c r="FTI2" s="428" t="s">
        <v>23</v>
      </c>
      <c r="FTJ2" s="429"/>
      <c r="FTK2" s="429"/>
      <c r="FTL2" s="429"/>
      <c r="FTM2" s="428" t="s">
        <v>23</v>
      </c>
      <c r="FTN2" s="429"/>
      <c r="FTO2" s="429"/>
      <c r="FTP2" s="429"/>
      <c r="FTQ2" s="428" t="s">
        <v>23</v>
      </c>
      <c r="FTR2" s="429"/>
      <c r="FTS2" s="429"/>
      <c r="FTT2" s="429"/>
      <c r="FTU2" s="428" t="s">
        <v>23</v>
      </c>
      <c r="FTV2" s="429"/>
      <c r="FTW2" s="429"/>
      <c r="FTX2" s="429"/>
      <c r="FTY2" s="428" t="s">
        <v>23</v>
      </c>
      <c r="FTZ2" s="429"/>
      <c r="FUA2" s="429"/>
      <c r="FUB2" s="429"/>
      <c r="FUC2" s="428" t="s">
        <v>23</v>
      </c>
      <c r="FUD2" s="429"/>
      <c r="FUE2" s="429"/>
      <c r="FUF2" s="429"/>
      <c r="FUG2" s="428" t="s">
        <v>23</v>
      </c>
      <c r="FUH2" s="429"/>
      <c r="FUI2" s="429"/>
      <c r="FUJ2" s="429"/>
      <c r="FUK2" s="428" t="s">
        <v>23</v>
      </c>
      <c r="FUL2" s="429"/>
      <c r="FUM2" s="429"/>
      <c r="FUN2" s="429"/>
      <c r="FUO2" s="428" t="s">
        <v>23</v>
      </c>
      <c r="FUP2" s="429"/>
      <c r="FUQ2" s="429"/>
      <c r="FUR2" s="429"/>
      <c r="FUS2" s="428" t="s">
        <v>23</v>
      </c>
      <c r="FUT2" s="429"/>
      <c r="FUU2" s="429"/>
      <c r="FUV2" s="429"/>
      <c r="FUW2" s="428" t="s">
        <v>23</v>
      </c>
      <c r="FUX2" s="429"/>
      <c r="FUY2" s="429"/>
      <c r="FUZ2" s="429"/>
      <c r="FVA2" s="428" t="s">
        <v>23</v>
      </c>
      <c r="FVB2" s="429"/>
      <c r="FVC2" s="429"/>
      <c r="FVD2" s="429"/>
      <c r="FVE2" s="428" t="s">
        <v>23</v>
      </c>
      <c r="FVF2" s="429"/>
      <c r="FVG2" s="429"/>
      <c r="FVH2" s="429"/>
      <c r="FVI2" s="428" t="s">
        <v>23</v>
      </c>
      <c r="FVJ2" s="429"/>
      <c r="FVK2" s="429"/>
      <c r="FVL2" s="429"/>
      <c r="FVM2" s="428" t="s">
        <v>23</v>
      </c>
      <c r="FVN2" s="429"/>
      <c r="FVO2" s="429"/>
      <c r="FVP2" s="429"/>
      <c r="FVQ2" s="428" t="s">
        <v>23</v>
      </c>
      <c r="FVR2" s="429"/>
      <c r="FVS2" s="429"/>
      <c r="FVT2" s="429"/>
      <c r="FVU2" s="428" t="s">
        <v>23</v>
      </c>
      <c r="FVV2" s="429"/>
      <c r="FVW2" s="429"/>
      <c r="FVX2" s="429"/>
      <c r="FVY2" s="428" t="s">
        <v>23</v>
      </c>
      <c r="FVZ2" s="429"/>
      <c r="FWA2" s="429"/>
      <c r="FWB2" s="429"/>
      <c r="FWC2" s="428" t="s">
        <v>23</v>
      </c>
      <c r="FWD2" s="429"/>
      <c r="FWE2" s="429"/>
      <c r="FWF2" s="429"/>
      <c r="FWG2" s="428" t="s">
        <v>23</v>
      </c>
      <c r="FWH2" s="429"/>
      <c r="FWI2" s="429"/>
      <c r="FWJ2" s="429"/>
      <c r="FWK2" s="428" t="s">
        <v>23</v>
      </c>
      <c r="FWL2" s="429"/>
      <c r="FWM2" s="429"/>
      <c r="FWN2" s="429"/>
      <c r="FWO2" s="428" t="s">
        <v>23</v>
      </c>
      <c r="FWP2" s="429"/>
      <c r="FWQ2" s="429"/>
      <c r="FWR2" s="429"/>
      <c r="FWS2" s="428" t="s">
        <v>23</v>
      </c>
      <c r="FWT2" s="429"/>
      <c r="FWU2" s="429"/>
      <c r="FWV2" s="429"/>
      <c r="FWW2" s="428" t="s">
        <v>23</v>
      </c>
      <c r="FWX2" s="429"/>
      <c r="FWY2" s="429"/>
      <c r="FWZ2" s="429"/>
      <c r="FXA2" s="428" t="s">
        <v>23</v>
      </c>
      <c r="FXB2" s="429"/>
      <c r="FXC2" s="429"/>
      <c r="FXD2" s="429"/>
      <c r="FXE2" s="428" t="s">
        <v>23</v>
      </c>
      <c r="FXF2" s="429"/>
      <c r="FXG2" s="429"/>
      <c r="FXH2" s="429"/>
      <c r="FXI2" s="428" t="s">
        <v>23</v>
      </c>
      <c r="FXJ2" s="429"/>
      <c r="FXK2" s="429"/>
      <c r="FXL2" s="429"/>
      <c r="FXM2" s="428" t="s">
        <v>23</v>
      </c>
      <c r="FXN2" s="429"/>
      <c r="FXO2" s="429"/>
      <c r="FXP2" s="429"/>
      <c r="FXQ2" s="428" t="s">
        <v>23</v>
      </c>
      <c r="FXR2" s="429"/>
      <c r="FXS2" s="429"/>
      <c r="FXT2" s="429"/>
      <c r="FXU2" s="428" t="s">
        <v>23</v>
      </c>
      <c r="FXV2" s="429"/>
      <c r="FXW2" s="429"/>
      <c r="FXX2" s="429"/>
      <c r="FXY2" s="428" t="s">
        <v>23</v>
      </c>
      <c r="FXZ2" s="429"/>
      <c r="FYA2" s="429"/>
      <c r="FYB2" s="429"/>
      <c r="FYC2" s="428" t="s">
        <v>23</v>
      </c>
      <c r="FYD2" s="429"/>
      <c r="FYE2" s="429"/>
      <c r="FYF2" s="429"/>
      <c r="FYG2" s="428" t="s">
        <v>23</v>
      </c>
      <c r="FYH2" s="429"/>
      <c r="FYI2" s="429"/>
      <c r="FYJ2" s="429"/>
      <c r="FYK2" s="428" t="s">
        <v>23</v>
      </c>
      <c r="FYL2" s="429"/>
      <c r="FYM2" s="429"/>
      <c r="FYN2" s="429"/>
      <c r="FYO2" s="428" t="s">
        <v>23</v>
      </c>
      <c r="FYP2" s="429"/>
      <c r="FYQ2" s="429"/>
      <c r="FYR2" s="429"/>
      <c r="FYS2" s="428" t="s">
        <v>23</v>
      </c>
      <c r="FYT2" s="429"/>
      <c r="FYU2" s="429"/>
      <c r="FYV2" s="429"/>
      <c r="FYW2" s="428" t="s">
        <v>23</v>
      </c>
      <c r="FYX2" s="429"/>
      <c r="FYY2" s="429"/>
      <c r="FYZ2" s="429"/>
      <c r="FZA2" s="428" t="s">
        <v>23</v>
      </c>
      <c r="FZB2" s="429"/>
      <c r="FZC2" s="429"/>
      <c r="FZD2" s="429"/>
      <c r="FZE2" s="428" t="s">
        <v>23</v>
      </c>
      <c r="FZF2" s="429"/>
      <c r="FZG2" s="429"/>
      <c r="FZH2" s="429"/>
      <c r="FZI2" s="428" t="s">
        <v>23</v>
      </c>
      <c r="FZJ2" s="429"/>
      <c r="FZK2" s="429"/>
      <c r="FZL2" s="429"/>
      <c r="FZM2" s="428" t="s">
        <v>23</v>
      </c>
      <c r="FZN2" s="429"/>
      <c r="FZO2" s="429"/>
      <c r="FZP2" s="429"/>
      <c r="FZQ2" s="428" t="s">
        <v>23</v>
      </c>
      <c r="FZR2" s="429"/>
      <c r="FZS2" s="429"/>
      <c r="FZT2" s="429"/>
      <c r="FZU2" s="428" t="s">
        <v>23</v>
      </c>
      <c r="FZV2" s="429"/>
      <c r="FZW2" s="429"/>
      <c r="FZX2" s="429"/>
      <c r="FZY2" s="428" t="s">
        <v>23</v>
      </c>
      <c r="FZZ2" s="429"/>
      <c r="GAA2" s="429"/>
      <c r="GAB2" s="429"/>
      <c r="GAC2" s="428" t="s">
        <v>23</v>
      </c>
      <c r="GAD2" s="429"/>
      <c r="GAE2" s="429"/>
      <c r="GAF2" s="429"/>
      <c r="GAG2" s="428" t="s">
        <v>23</v>
      </c>
      <c r="GAH2" s="429"/>
      <c r="GAI2" s="429"/>
      <c r="GAJ2" s="429"/>
      <c r="GAK2" s="428" t="s">
        <v>23</v>
      </c>
      <c r="GAL2" s="429"/>
      <c r="GAM2" s="429"/>
      <c r="GAN2" s="429"/>
      <c r="GAO2" s="428" t="s">
        <v>23</v>
      </c>
      <c r="GAP2" s="429"/>
      <c r="GAQ2" s="429"/>
      <c r="GAR2" s="429"/>
      <c r="GAS2" s="428" t="s">
        <v>23</v>
      </c>
      <c r="GAT2" s="429"/>
      <c r="GAU2" s="429"/>
      <c r="GAV2" s="429"/>
      <c r="GAW2" s="428" t="s">
        <v>23</v>
      </c>
      <c r="GAX2" s="429"/>
      <c r="GAY2" s="429"/>
      <c r="GAZ2" s="429"/>
      <c r="GBA2" s="428" t="s">
        <v>23</v>
      </c>
      <c r="GBB2" s="429"/>
      <c r="GBC2" s="429"/>
      <c r="GBD2" s="429"/>
      <c r="GBE2" s="428" t="s">
        <v>23</v>
      </c>
      <c r="GBF2" s="429"/>
      <c r="GBG2" s="429"/>
      <c r="GBH2" s="429"/>
      <c r="GBI2" s="428" t="s">
        <v>23</v>
      </c>
      <c r="GBJ2" s="429"/>
      <c r="GBK2" s="429"/>
      <c r="GBL2" s="429"/>
      <c r="GBM2" s="428" t="s">
        <v>23</v>
      </c>
      <c r="GBN2" s="429"/>
      <c r="GBO2" s="429"/>
      <c r="GBP2" s="429"/>
      <c r="GBQ2" s="428" t="s">
        <v>23</v>
      </c>
      <c r="GBR2" s="429"/>
      <c r="GBS2" s="429"/>
      <c r="GBT2" s="429"/>
      <c r="GBU2" s="428" t="s">
        <v>23</v>
      </c>
      <c r="GBV2" s="429"/>
      <c r="GBW2" s="429"/>
      <c r="GBX2" s="429"/>
      <c r="GBY2" s="428" t="s">
        <v>23</v>
      </c>
      <c r="GBZ2" s="429"/>
      <c r="GCA2" s="429"/>
      <c r="GCB2" s="429"/>
      <c r="GCC2" s="428" t="s">
        <v>23</v>
      </c>
      <c r="GCD2" s="429"/>
      <c r="GCE2" s="429"/>
      <c r="GCF2" s="429"/>
      <c r="GCG2" s="428" t="s">
        <v>23</v>
      </c>
      <c r="GCH2" s="429"/>
      <c r="GCI2" s="429"/>
      <c r="GCJ2" s="429"/>
      <c r="GCK2" s="428" t="s">
        <v>23</v>
      </c>
      <c r="GCL2" s="429"/>
      <c r="GCM2" s="429"/>
      <c r="GCN2" s="429"/>
      <c r="GCO2" s="428" t="s">
        <v>23</v>
      </c>
      <c r="GCP2" s="429"/>
      <c r="GCQ2" s="429"/>
      <c r="GCR2" s="429"/>
      <c r="GCS2" s="428" t="s">
        <v>23</v>
      </c>
      <c r="GCT2" s="429"/>
      <c r="GCU2" s="429"/>
      <c r="GCV2" s="429"/>
      <c r="GCW2" s="428" t="s">
        <v>23</v>
      </c>
      <c r="GCX2" s="429"/>
      <c r="GCY2" s="429"/>
      <c r="GCZ2" s="429"/>
      <c r="GDA2" s="428" t="s">
        <v>23</v>
      </c>
      <c r="GDB2" s="429"/>
      <c r="GDC2" s="429"/>
      <c r="GDD2" s="429"/>
      <c r="GDE2" s="428" t="s">
        <v>23</v>
      </c>
      <c r="GDF2" s="429"/>
      <c r="GDG2" s="429"/>
      <c r="GDH2" s="429"/>
      <c r="GDI2" s="428" t="s">
        <v>23</v>
      </c>
      <c r="GDJ2" s="429"/>
      <c r="GDK2" s="429"/>
      <c r="GDL2" s="429"/>
      <c r="GDM2" s="428" t="s">
        <v>23</v>
      </c>
      <c r="GDN2" s="429"/>
      <c r="GDO2" s="429"/>
      <c r="GDP2" s="429"/>
      <c r="GDQ2" s="428" t="s">
        <v>23</v>
      </c>
      <c r="GDR2" s="429"/>
      <c r="GDS2" s="429"/>
      <c r="GDT2" s="429"/>
      <c r="GDU2" s="428" t="s">
        <v>23</v>
      </c>
      <c r="GDV2" s="429"/>
      <c r="GDW2" s="429"/>
      <c r="GDX2" s="429"/>
      <c r="GDY2" s="428" t="s">
        <v>23</v>
      </c>
      <c r="GDZ2" s="429"/>
      <c r="GEA2" s="429"/>
      <c r="GEB2" s="429"/>
      <c r="GEC2" s="428" t="s">
        <v>23</v>
      </c>
      <c r="GED2" s="429"/>
      <c r="GEE2" s="429"/>
      <c r="GEF2" s="429"/>
      <c r="GEG2" s="428" t="s">
        <v>23</v>
      </c>
      <c r="GEH2" s="429"/>
      <c r="GEI2" s="429"/>
      <c r="GEJ2" s="429"/>
      <c r="GEK2" s="428" t="s">
        <v>23</v>
      </c>
      <c r="GEL2" s="429"/>
      <c r="GEM2" s="429"/>
      <c r="GEN2" s="429"/>
      <c r="GEO2" s="428" t="s">
        <v>23</v>
      </c>
      <c r="GEP2" s="429"/>
      <c r="GEQ2" s="429"/>
      <c r="GER2" s="429"/>
      <c r="GES2" s="428" t="s">
        <v>23</v>
      </c>
      <c r="GET2" s="429"/>
      <c r="GEU2" s="429"/>
      <c r="GEV2" s="429"/>
      <c r="GEW2" s="428" t="s">
        <v>23</v>
      </c>
      <c r="GEX2" s="429"/>
      <c r="GEY2" s="429"/>
      <c r="GEZ2" s="429"/>
      <c r="GFA2" s="428" t="s">
        <v>23</v>
      </c>
      <c r="GFB2" s="429"/>
      <c r="GFC2" s="429"/>
      <c r="GFD2" s="429"/>
      <c r="GFE2" s="428" t="s">
        <v>23</v>
      </c>
      <c r="GFF2" s="429"/>
      <c r="GFG2" s="429"/>
      <c r="GFH2" s="429"/>
      <c r="GFI2" s="428" t="s">
        <v>23</v>
      </c>
      <c r="GFJ2" s="429"/>
      <c r="GFK2" s="429"/>
      <c r="GFL2" s="429"/>
      <c r="GFM2" s="428" t="s">
        <v>23</v>
      </c>
      <c r="GFN2" s="429"/>
      <c r="GFO2" s="429"/>
      <c r="GFP2" s="429"/>
      <c r="GFQ2" s="428" t="s">
        <v>23</v>
      </c>
      <c r="GFR2" s="429"/>
      <c r="GFS2" s="429"/>
      <c r="GFT2" s="429"/>
      <c r="GFU2" s="428" t="s">
        <v>23</v>
      </c>
      <c r="GFV2" s="429"/>
      <c r="GFW2" s="429"/>
      <c r="GFX2" s="429"/>
      <c r="GFY2" s="428" t="s">
        <v>23</v>
      </c>
      <c r="GFZ2" s="429"/>
      <c r="GGA2" s="429"/>
      <c r="GGB2" s="429"/>
      <c r="GGC2" s="428" t="s">
        <v>23</v>
      </c>
      <c r="GGD2" s="429"/>
      <c r="GGE2" s="429"/>
      <c r="GGF2" s="429"/>
      <c r="GGG2" s="428" t="s">
        <v>23</v>
      </c>
      <c r="GGH2" s="429"/>
      <c r="GGI2" s="429"/>
      <c r="GGJ2" s="429"/>
      <c r="GGK2" s="428" t="s">
        <v>23</v>
      </c>
      <c r="GGL2" s="429"/>
      <c r="GGM2" s="429"/>
      <c r="GGN2" s="429"/>
      <c r="GGO2" s="428" t="s">
        <v>23</v>
      </c>
      <c r="GGP2" s="429"/>
      <c r="GGQ2" s="429"/>
      <c r="GGR2" s="429"/>
      <c r="GGS2" s="428" t="s">
        <v>23</v>
      </c>
      <c r="GGT2" s="429"/>
      <c r="GGU2" s="429"/>
      <c r="GGV2" s="429"/>
      <c r="GGW2" s="428" t="s">
        <v>23</v>
      </c>
      <c r="GGX2" s="429"/>
      <c r="GGY2" s="429"/>
      <c r="GGZ2" s="429"/>
      <c r="GHA2" s="428" t="s">
        <v>23</v>
      </c>
      <c r="GHB2" s="429"/>
      <c r="GHC2" s="429"/>
      <c r="GHD2" s="429"/>
      <c r="GHE2" s="428" t="s">
        <v>23</v>
      </c>
      <c r="GHF2" s="429"/>
      <c r="GHG2" s="429"/>
      <c r="GHH2" s="429"/>
      <c r="GHI2" s="428" t="s">
        <v>23</v>
      </c>
      <c r="GHJ2" s="429"/>
      <c r="GHK2" s="429"/>
      <c r="GHL2" s="429"/>
      <c r="GHM2" s="428" t="s">
        <v>23</v>
      </c>
      <c r="GHN2" s="429"/>
      <c r="GHO2" s="429"/>
      <c r="GHP2" s="429"/>
      <c r="GHQ2" s="428" t="s">
        <v>23</v>
      </c>
      <c r="GHR2" s="429"/>
      <c r="GHS2" s="429"/>
      <c r="GHT2" s="429"/>
      <c r="GHU2" s="428" t="s">
        <v>23</v>
      </c>
      <c r="GHV2" s="429"/>
      <c r="GHW2" s="429"/>
      <c r="GHX2" s="429"/>
      <c r="GHY2" s="428" t="s">
        <v>23</v>
      </c>
      <c r="GHZ2" s="429"/>
      <c r="GIA2" s="429"/>
      <c r="GIB2" s="429"/>
      <c r="GIC2" s="428" t="s">
        <v>23</v>
      </c>
      <c r="GID2" s="429"/>
      <c r="GIE2" s="429"/>
      <c r="GIF2" s="429"/>
      <c r="GIG2" s="428" t="s">
        <v>23</v>
      </c>
      <c r="GIH2" s="429"/>
      <c r="GII2" s="429"/>
      <c r="GIJ2" s="429"/>
      <c r="GIK2" s="428" t="s">
        <v>23</v>
      </c>
      <c r="GIL2" s="429"/>
      <c r="GIM2" s="429"/>
      <c r="GIN2" s="429"/>
      <c r="GIO2" s="428" t="s">
        <v>23</v>
      </c>
      <c r="GIP2" s="429"/>
      <c r="GIQ2" s="429"/>
      <c r="GIR2" s="429"/>
      <c r="GIS2" s="428" t="s">
        <v>23</v>
      </c>
      <c r="GIT2" s="429"/>
      <c r="GIU2" s="429"/>
      <c r="GIV2" s="429"/>
      <c r="GIW2" s="428" t="s">
        <v>23</v>
      </c>
      <c r="GIX2" s="429"/>
      <c r="GIY2" s="429"/>
      <c r="GIZ2" s="429"/>
      <c r="GJA2" s="428" t="s">
        <v>23</v>
      </c>
      <c r="GJB2" s="429"/>
      <c r="GJC2" s="429"/>
      <c r="GJD2" s="429"/>
      <c r="GJE2" s="428" t="s">
        <v>23</v>
      </c>
      <c r="GJF2" s="429"/>
      <c r="GJG2" s="429"/>
      <c r="GJH2" s="429"/>
      <c r="GJI2" s="428" t="s">
        <v>23</v>
      </c>
      <c r="GJJ2" s="429"/>
      <c r="GJK2" s="429"/>
      <c r="GJL2" s="429"/>
      <c r="GJM2" s="428" t="s">
        <v>23</v>
      </c>
      <c r="GJN2" s="429"/>
      <c r="GJO2" s="429"/>
      <c r="GJP2" s="429"/>
      <c r="GJQ2" s="428" t="s">
        <v>23</v>
      </c>
      <c r="GJR2" s="429"/>
      <c r="GJS2" s="429"/>
      <c r="GJT2" s="429"/>
      <c r="GJU2" s="428" t="s">
        <v>23</v>
      </c>
      <c r="GJV2" s="429"/>
      <c r="GJW2" s="429"/>
      <c r="GJX2" s="429"/>
      <c r="GJY2" s="428" t="s">
        <v>23</v>
      </c>
      <c r="GJZ2" s="429"/>
      <c r="GKA2" s="429"/>
      <c r="GKB2" s="429"/>
      <c r="GKC2" s="428" t="s">
        <v>23</v>
      </c>
      <c r="GKD2" s="429"/>
      <c r="GKE2" s="429"/>
      <c r="GKF2" s="429"/>
      <c r="GKG2" s="428" t="s">
        <v>23</v>
      </c>
      <c r="GKH2" s="429"/>
      <c r="GKI2" s="429"/>
      <c r="GKJ2" s="429"/>
      <c r="GKK2" s="428" t="s">
        <v>23</v>
      </c>
      <c r="GKL2" s="429"/>
      <c r="GKM2" s="429"/>
      <c r="GKN2" s="429"/>
      <c r="GKO2" s="428" t="s">
        <v>23</v>
      </c>
      <c r="GKP2" s="429"/>
      <c r="GKQ2" s="429"/>
      <c r="GKR2" s="429"/>
      <c r="GKS2" s="428" t="s">
        <v>23</v>
      </c>
      <c r="GKT2" s="429"/>
      <c r="GKU2" s="429"/>
      <c r="GKV2" s="429"/>
      <c r="GKW2" s="428" t="s">
        <v>23</v>
      </c>
      <c r="GKX2" s="429"/>
      <c r="GKY2" s="429"/>
      <c r="GKZ2" s="429"/>
      <c r="GLA2" s="428" t="s">
        <v>23</v>
      </c>
      <c r="GLB2" s="429"/>
      <c r="GLC2" s="429"/>
      <c r="GLD2" s="429"/>
      <c r="GLE2" s="428" t="s">
        <v>23</v>
      </c>
      <c r="GLF2" s="429"/>
      <c r="GLG2" s="429"/>
      <c r="GLH2" s="429"/>
      <c r="GLI2" s="428" t="s">
        <v>23</v>
      </c>
      <c r="GLJ2" s="429"/>
      <c r="GLK2" s="429"/>
      <c r="GLL2" s="429"/>
      <c r="GLM2" s="428" t="s">
        <v>23</v>
      </c>
      <c r="GLN2" s="429"/>
      <c r="GLO2" s="429"/>
      <c r="GLP2" s="429"/>
      <c r="GLQ2" s="428" t="s">
        <v>23</v>
      </c>
      <c r="GLR2" s="429"/>
      <c r="GLS2" s="429"/>
      <c r="GLT2" s="429"/>
      <c r="GLU2" s="428" t="s">
        <v>23</v>
      </c>
      <c r="GLV2" s="429"/>
      <c r="GLW2" s="429"/>
      <c r="GLX2" s="429"/>
      <c r="GLY2" s="428" t="s">
        <v>23</v>
      </c>
      <c r="GLZ2" s="429"/>
      <c r="GMA2" s="429"/>
      <c r="GMB2" s="429"/>
      <c r="GMC2" s="428" t="s">
        <v>23</v>
      </c>
      <c r="GMD2" s="429"/>
      <c r="GME2" s="429"/>
      <c r="GMF2" s="429"/>
      <c r="GMG2" s="428" t="s">
        <v>23</v>
      </c>
      <c r="GMH2" s="429"/>
      <c r="GMI2" s="429"/>
      <c r="GMJ2" s="429"/>
      <c r="GMK2" s="428" t="s">
        <v>23</v>
      </c>
      <c r="GML2" s="429"/>
      <c r="GMM2" s="429"/>
      <c r="GMN2" s="429"/>
      <c r="GMO2" s="428" t="s">
        <v>23</v>
      </c>
      <c r="GMP2" s="429"/>
      <c r="GMQ2" s="429"/>
      <c r="GMR2" s="429"/>
      <c r="GMS2" s="428" t="s">
        <v>23</v>
      </c>
      <c r="GMT2" s="429"/>
      <c r="GMU2" s="429"/>
      <c r="GMV2" s="429"/>
      <c r="GMW2" s="428" t="s">
        <v>23</v>
      </c>
      <c r="GMX2" s="429"/>
      <c r="GMY2" s="429"/>
      <c r="GMZ2" s="429"/>
      <c r="GNA2" s="428" t="s">
        <v>23</v>
      </c>
      <c r="GNB2" s="429"/>
      <c r="GNC2" s="429"/>
      <c r="GND2" s="429"/>
      <c r="GNE2" s="428" t="s">
        <v>23</v>
      </c>
      <c r="GNF2" s="429"/>
      <c r="GNG2" s="429"/>
      <c r="GNH2" s="429"/>
      <c r="GNI2" s="428" t="s">
        <v>23</v>
      </c>
      <c r="GNJ2" s="429"/>
      <c r="GNK2" s="429"/>
      <c r="GNL2" s="429"/>
      <c r="GNM2" s="428" t="s">
        <v>23</v>
      </c>
      <c r="GNN2" s="429"/>
      <c r="GNO2" s="429"/>
      <c r="GNP2" s="429"/>
      <c r="GNQ2" s="428" t="s">
        <v>23</v>
      </c>
      <c r="GNR2" s="429"/>
      <c r="GNS2" s="429"/>
      <c r="GNT2" s="429"/>
      <c r="GNU2" s="428" t="s">
        <v>23</v>
      </c>
      <c r="GNV2" s="429"/>
      <c r="GNW2" s="429"/>
      <c r="GNX2" s="429"/>
      <c r="GNY2" s="428" t="s">
        <v>23</v>
      </c>
      <c r="GNZ2" s="429"/>
      <c r="GOA2" s="429"/>
      <c r="GOB2" s="429"/>
      <c r="GOC2" s="428" t="s">
        <v>23</v>
      </c>
      <c r="GOD2" s="429"/>
      <c r="GOE2" s="429"/>
      <c r="GOF2" s="429"/>
      <c r="GOG2" s="428" t="s">
        <v>23</v>
      </c>
      <c r="GOH2" s="429"/>
      <c r="GOI2" s="429"/>
      <c r="GOJ2" s="429"/>
      <c r="GOK2" s="428" t="s">
        <v>23</v>
      </c>
      <c r="GOL2" s="429"/>
      <c r="GOM2" s="429"/>
      <c r="GON2" s="429"/>
      <c r="GOO2" s="428" t="s">
        <v>23</v>
      </c>
      <c r="GOP2" s="429"/>
      <c r="GOQ2" s="429"/>
      <c r="GOR2" s="429"/>
      <c r="GOS2" s="428" t="s">
        <v>23</v>
      </c>
      <c r="GOT2" s="429"/>
      <c r="GOU2" s="429"/>
      <c r="GOV2" s="429"/>
      <c r="GOW2" s="428" t="s">
        <v>23</v>
      </c>
      <c r="GOX2" s="429"/>
      <c r="GOY2" s="429"/>
      <c r="GOZ2" s="429"/>
      <c r="GPA2" s="428" t="s">
        <v>23</v>
      </c>
      <c r="GPB2" s="429"/>
      <c r="GPC2" s="429"/>
      <c r="GPD2" s="429"/>
      <c r="GPE2" s="428" t="s">
        <v>23</v>
      </c>
      <c r="GPF2" s="429"/>
      <c r="GPG2" s="429"/>
      <c r="GPH2" s="429"/>
      <c r="GPI2" s="428" t="s">
        <v>23</v>
      </c>
      <c r="GPJ2" s="429"/>
      <c r="GPK2" s="429"/>
      <c r="GPL2" s="429"/>
      <c r="GPM2" s="428" t="s">
        <v>23</v>
      </c>
      <c r="GPN2" s="429"/>
      <c r="GPO2" s="429"/>
      <c r="GPP2" s="429"/>
      <c r="GPQ2" s="428" t="s">
        <v>23</v>
      </c>
      <c r="GPR2" s="429"/>
      <c r="GPS2" s="429"/>
      <c r="GPT2" s="429"/>
      <c r="GPU2" s="428" t="s">
        <v>23</v>
      </c>
      <c r="GPV2" s="429"/>
      <c r="GPW2" s="429"/>
      <c r="GPX2" s="429"/>
      <c r="GPY2" s="428" t="s">
        <v>23</v>
      </c>
      <c r="GPZ2" s="429"/>
      <c r="GQA2" s="429"/>
      <c r="GQB2" s="429"/>
      <c r="GQC2" s="428" t="s">
        <v>23</v>
      </c>
      <c r="GQD2" s="429"/>
      <c r="GQE2" s="429"/>
      <c r="GQF2" s="429"/>
      <c r="GQG2" s="428" t="s">
        <v>23</v>
      </c>
      <c r="GQH2" s="429"/>
      <c r="GQI2" s="429"/>
      <c r="GQJ2" s="429"/>
      <c r="GQK2" s="428" t="s">
        <v>23</v>
      </c>
      <c r="GQL2" s="429"/>
      <c r="GQM2" s="429"/>
      <c r="GQN2" s="429"/>
      <c r="GQO2" s="428" t="s">
        <v>23</v>
      </c>
      <c r="GQP2" s="429"/>
      <c r="GQQ2" s="429"/>
      <c r="GQR2" s="429"/>
      <c r="GQS2" s="428" t="s">
        <v>23</v>
      </c>
      <c r="GQT2" s="429"/>
      <c r="GQU2" s="429"/>
      <c r="GQV2" s="429"/>
      <c r="GQW2" s="428" t="s">
        <v>23</v>
      </c>
      <c r="GQX2" s="429"/>
      <c r="GQY2" s="429"/>
      <c r="GQZ2" s="429"/>
      <c r="GRA2" s="428" t="s">
        <v>23</v>
      </c>
      <c r="GRB2" s="429"/>
      <c r="GRC2" s="429"/>
      <c r="GRD2" s="429"/>
      <c r="GRE2" s="428" t="s">
        <v>23</v>
      </c>
      <c r="GRF2" s="429"/>
      <c r="GRG2" s="429"/>
      <c r="GRH2" s="429"/>
      <c r="GRI2" s="428" t="s">
        <v>23</v>
      </c>
      <c r="GRJ2" s="429"/>
      <c r="GRK2" s="429"/>
      <c r="GRL2" s="429"/>
      <c r="GRM2" s="428" t="s">
        <v>23</v>
      </c>
      <c r="GRN2" s="429"/>
      <c r="GRO2" s="429"/>
      <c r="GRP2" s="429"/>
      <c r="GRQ2" s="428" t="s">
        <v>23</v>
      </c>
      <c r="GRR2" s="429"/>
      <c r="GRS2" s="429"/>
      <c r="GRT2" s="429"/>
      <c r="GRU2" s="428" t="s">
        <v>23</v>
      </c>
      <c r="GRV2" s="429"/>
      <c r="GRW2" s="429"/>
      <c r="GRX2" s="429"/>
      <c r="GRY2" s="428" t="s">
        <v>23</v>
      </c>
      <c r="GRZ2" s="429"/>
      <c r="GSA2" s="429"/>
      <c r="GSB2" s="429"/>
      <c r="GSC2" s="428" t="s">
        <v>23</v>
      </c>
      <c r="GSD2" s="429"/>
      <c r="GSE2" s="429"/>
      <c r="GSF2" s="429"/>
      <c r="GSG2" s="428" t="s">
        <v>23</v>
      </c>
      <c r="GSH2" s="429"/>
      <c r="GSI2" s="429"/>
      <c r="GSJ2" s="429"/>
      <c r="GSK2" s="428" t="s">
        <v>23</v>
      </c>
      <c r="GSL2" s="429"/>
      <c r="GSM2" s="429"/>
      <c r="GSN2" s="429"/>
      <c r="GSO2" s="428" t="s">
        <v>23</v>
      </c>
      <c r="GSP2" s="429"/>
      <c r="GSQ2" s="429"/>
      <c r="GSR2" s="429"/>
      <c r="GSS2" s="428" t="s">
        <v>23</v>
      </c>
      <c r="GST2" s="429"/>
      <c r="GSU2" s="429"/>
      <c r="GSV2" s="429"/>
      <c r="GSW2" s="428" t="s">
        <v>23</v>
      </c>
      <c r="GSX2" s="429"/>
      <c r="GSY2" s="429"/>
      <c r="GSZ2" s="429"/>
      <c r="GTA2" s="428" t="s">
        <v>23</v>
      </c>
      <c r="GTB2" s="429"/>
      <c r="GTC2" s="429"/>
      <c r="GTD2" s="429"/>
      <c r="GTE2" s="428" t="s">
        <v>23</v>
      </c>
      <c r="GTF2" s="429"/>
      <c r="GTG2" s="429"/>
      <c r="GTH2" s="429"/>
      <c r="GTI2" s="428" t="s">
        <v>23</v>
      </c>
      <c r="GTJ2" s="429"/>
      <c r="GTK2" s="429"/>
      <c r="GTL2" s="429"/>
      <c r="GTM2" s="428" t="s">
        <v>23</v>
      </c>
      <c r="GTN2" s="429"/>
      <c r="GTO2" s="429"/>
      <c r="GTP2" s="429"/>
      <c r="GTQ2" s="428" t="s">
        <v>23</v>
      </c>
      <c r="GTR2" s="429"/>
      <c r="GTS2" s="429"/>
      <c r="GTT2" s="429"/>
      <c r="GTU2" s="428" t="s">
        <v>23</v>
      </c>
      <c r="GTV2" s="429"/>
      <c r="GTW2" s="429"/>
      <c r="GTX2" s="429"/>
      <c r="GTY2" s="428" t="s">
        <v>23</v>
      </c>
      <c r="GTZ2" s="429"/>
      <c r="GUA2" s="429"/>
      <c r="GUB2" s="429"/>
      <c r="GUC2" s="428" t="s">
        <v>23</v>
      </c>
      <c r="GUD2" s="429"/>
      <c r="GUE2" s="429"/>
      <c r="GUF2" s="429"/>
      <c r="GUG2" s="428" t="s">
        <v>23</v>
      </c>
      <c r="GUH2" s="429"/>
      <c r="GUI2" s="429"/>
      <c r="GUJ2" s="429"/>
      <c r="GUK2" s="428" t="s">
        <v>23</v>
      </c>
      <c r="GUL2" s="429"/>
      <c r="GUM2" s="429"/>
      <c r="GUN2" s="429"/>
      <c r="GUO2" s="428" t="s">
        <v>23</v>
      </c>
      <c r="GUP2" s="429"/>
      <c r="GUQ2" s="429"/>
      <c r="GUR2" s="429"/>
      <c r="GUS2" s="428" t="s">
        <v>23</v>
      </c>
      <c r="GUT2" s="429"/>
      <c r="GUU2" s="429"/>
      <c r="GUV2" s="429"/>
      <c r="GUW2" s="428" t="s">
        <v>23</v>
      </c>
      <c r="GUX2" s="429"/>
      <c r="GUY2" s="429"/>
      <c r="GUZ2" s="429"/>
      <c r="GVA2" s="428" t="s">
        <v>23</v>
      </c>
      <c r="GVB2" s="429"/>
      <c r="GVC2" s="429"/>
      <c r="GVD2" s="429"/>
      <c r="GVE2" s="428" t="s">
        <v>23</v>
      </c>
      <c r="GVF2" s="429"/>
      <c r="GVG2" s="429"/>
      <c r="GVH2" s="429"/>
      <c r="GVI2" s="428" t="s">
        <v>23</v>
      </c>
      <c r="GVJ2" s="429"/>
      <c r="GVK2" s="429"/>
      <c r="GVL2" s="429"/>
      <c r="GVM2" s="428" t="s">
        <v>23</v>
      </c>
      <c r="GVN2" s="429"/>
      <c r="GVO2" s="429"/>
      <c r="GVP2" s="429"/>
      <c r="GVQ2" s="428" t="s">
        <v>23</v>
      </c>
      <c r="GVR2" s="429"/>
      <c r="GVS2" s="429"/>
      <c r="GVT2" s="429"/>
      <c r="GVU2" s="428" t="s">
        <v>23</v>
      </c>
      <c r="GVV2" s="429"/>
      <c r="GVW2" s="429"/>
      <c r="GVX2" s="429"/>
      <c r="GVY2" s="428" t="s">
        <v>23</v>
      </c>
      <c r="GVZ2" s="429"/>
      <c r="GWA2" s="429"/>
      <c r="GWB2" s="429"/>
      <c r="GWC2" s="428" t="s">
        <v>23</v>
      </c>
      <c r="GWD2" s="429"/>
      <c r="GWE2" s="429"/>
      <c r="GWF2" s="429"/>
      <c r="GWG2" s="428" t="s">
        <v>23</v>
      </c>
      <c r="GWH2" s="429"/>
      <c r="GWI2" s="429"/>
      <c r="GWJ2" s="429"/>
      <c r="GWK2" s="428" t="s">
        <v>23</v>
      </c>
      <c r="GWL2" s="429"/>
      <c r="GWM2" s="429"/>
      <c r="GWN2" s="429"/>
      <c r="GWO2" s="428" t="s">
        <v>23</v>
      </c>
      <c r="GWP2" s="429"/>
      <c r="GWQ2" s="429"/>
      <c r="GWR2" s="429"/>
      <c r="GWS2" s="428" t="s">
        <v>23</v>
      </c>
      <c r="GWT2" s="429"/>
      <c r="GWU2" s="429"/>
      <c r="GWV2" s="429"/>
      <c r="GWW2" s="428" t="s">
        <v>23</v>
      </c>
      <c r="GWX2" s="429"/>
      <c r="GWY2" s="429"/>
      <c r="GWZ2" s="429"/>
      <c r="GXA2" s="428" t="s">
        <v>23</v>
      </c>
      <c r="GXB2" s="429"/>
      <c r="GXC2" s="429"/>
      <c r="GXD2" s="429"/>
      <c r="GXE2" s="428" t="s">
        <v>23</v>
      </c>
      <c r="GXF2" s="429"/>
      <c r="GXG2" s="429"/>
      <c r="GXH2" s="429"/>
      <c r="GXI2" s="428" t="s">
        <v>23</v>
      </c>
      <c r="GXJ2" s="429"/>
      <c r="GXK2" s="429"/>
      <c r="GXL2" s="429"/>
      <c r="GXM2" s="428" t="s">
        <v>23</v>
      </c>
      <c r="GXN2" s="429"/>
      <c r="GXO2" s="429"/>
      <c r="GXP2" s="429"/>
      <c r="GXQ2" s="428" t="s">
        <v>23</v>
      </c>
      <c r="GXR2" s="429"/>
      <c r="GXS2" s="429"/>
      <c r="GXT2" s="429"/>
      <c r="GXU2" s="428" t="s">
        <v>23</v>
      </c>
      <c r="GXV2" s="429"/>
      <c r="GXW2" s="429"/>
      <c r="GXX2" s="429"/>
      <c r="GXY2" s="428" t="s">
        <v>23</v>
      </c>
      <c r="GXZ2" s="429"/>
      <c r="GYA2" s="429"/>
      <c r="GYB2" s="429"/>
      <c r="GYC2" s="428" t="s">
        <v>23</v>
      </c>
      <c r="GYD2" s="429"/>
      <c r="GYE2" s="429"/>
      <c r="GYF2" s="429"/>
      <c r="GYG2" s="428" t="s">
        <v>23</v>
      </c>
      <c r="GYH2" s="429"/>
      <c r="GYI2" s="429"/>
      <c r="GYJ2" s="429"/>
      <c r="GYK2" s="428" t="s">
        <v>23</v>
      </c>
      <c r="GYL2" s="429"/>
      <c r="GYM2" s="429"/>
      <c r="GYN2" s="429"/>
      <c r="GYO2" s="428" t="s">
        <v>23</v>
      </c>
      <c r="GYP2" s="429"/>
      <c r="GYQ2" s="429"/>
      <c r="GYR2" s="429"/>
      <c r="GYS2" s="428" t="s">
        <v>23</v>
      </c>
      <c r="GYT2" s="429"/>
      <c r="GYU2" s="429"/>
      <c r="GYV2" s="429"/>
      <c r="GYW2" s="428" t="s">
        <v>23</v>
      </c>
      <c r="GYX2" s="429"/>
      <c r="GYY2" s="429"/>
      <c r="GYZ2" s="429"/>
      <c r="GZA2" s="428" t="s">
        <v>23</v>
      </c>
      <c r="GZB2" s="429"/>
      <c r="GZC2" s="429"/>
      <c r="GZD2" s="429"/>
      <c r="GZE2" s="428" t="s">
        <v>23</v>
      </c>
      <c r="GZF2" s="429"/>
      <c r="GZG2" s="429"/>
      <c r="GZH2" s="429"/>
      <c r="GZI2" s="428" t="s">
        <v>23</v>
      </c>
      <c r="GZJ2" s="429"/>
      <c r="GZK2" s="429"/>
      <c r="GZL2" s="429"/>
      <c r="GZM2" s="428" t="s">
        <v>23</v>
      </c>
      <c r="GZN2" s="429"/>
      <c r="GZO2" s="429"/>
      <c r="GZP2" s="429"/>
      <c r="GZQ2" s="428" t="s">
        <v>23</v>
      </c>
      <c r="GZR2" s="429"/>
      <c r="GZS2" s="429"/>
      <c r="GZT2" s="429"/>
      <c r="GZU2" s="428" t="s">
        <v>23</v>
      </c>
      <c r="GZV2" s="429"/>
      <c r="GZW2" s="429"/>
      <c r="GZX2" s="429"/>
      <c r="GZY2" s="428" t="s">
        <v>23</v>
      </c>
      <c r="GZZ2" s="429"/>
      <c r="HAA2" s="429"/>
      <c r="HAB2" s="429"/>
      <c r="HAC2" s="428" t="s">
        <v>23</v>
      </c>
      <c r="HAD2" s="429"/>
      <c r="HAE2" s="429"/>
      <c r="HAF2" s="429"/>
      <c r="HAG2" s="428" t="s">
        <v>23</v>
      </c>
      <c r="HAH2" s="429"/>
      <c r="HAI2" s="429"/>
      <c r="HAJ2" s="429"/>
      <c r="HAK2" s="428" t="s">
        <v>23</v>
      </c>
      <c r="HAL2" s="429"/>
      <c r="HAM2" s="429"/>
      <c r="HAN2" s="429"/>
      <c r="HAO2" s="428" t="s">
        <v>23</v>
      </c>
      <c r="HAP2" s="429"/>
      <c r="HAQ2" s="429"/>
      <c r="HAR2" s="429"/>
      <c r="HAS2" s="428" t="s">
        <v>23</v>
      </c>
      <c r="HAT2" s="429"/>
      <c r="HAU2" s="429"/>
      <c r="HAV2" s="429"/>
      <c r="HAW2" s="428" t="s">
        <v>23</v>
      </c>
      <c r="HAX2" s="429"/>
      <c r="HAY2" s="429"/>
      <c r="HAZ2" s="429"/>
      <c r="HBA2" s="428" t="s">
        <v>23</v>
      </c>
      <c r="HBB2" s="429"/>
      <c r="HBC2" s="429"/>
      <c r="HBD2" s="429"/>
      <c r="HBE2" s="428" t="s">
        <v>23</v>
      </c>
      <c r="HBF2" s="429"/>
      <c r="HBG2" s="429"/>
      <c r="HBH2" s="429"/>
      <c r="HBI2" s="428" t="s">
        <v>23</v>
      </c>
      <c r="HBJ2" s="429"/>
      <c r="HBK2" s="429"/>
      <c r="HBL2" s="429"/>
      <c r="HBM2" s="428" t="s">
        <v>23</v>
      </c>
      <c r="HBN2" s="429"/>
      <c r="HBO2" s="429"/>
      <c r="HBP2" s="429"/>
      <c r="HBQ2" s="428" t="s">
        <v>23</v>
      </c>
      <c r="HBR2" s="429"/>
      <c r="HBS2" s="429"/>
      <c r="HBT2" s="429"/>
      <c r="HBU2" s="428" t="s">
        <v>23</v>
      </c>
      <c r="HBV2" s="429"/>
      <c r="HBW2" s="429"/>
      <c r="HBX2" s="429"/>
      <c r="HBY2" s="428" t="s">
        <v>23</v>
      </c>
      <c r="HBZ2" s="429"/>
      <c r="HCA2" s="429"/>
      <c r="HCB2" s="429"/>
      <c r="HCC2" s="428" t="s">
        <v>23</v>
      </c>
      <c r="HCD2" s="429"/>
      <c r="HCE2" s="429"/>
      <c r="HCF2" s="429"/>
      <c r="HCG2" s="428" t="s">
        <v>23</v>
      </c>
      <c r="HCH2" s="429"/>
      <c r="HCI2" s="429"/>
      <c r="HCJ2" s="429"/>
      <c r="HCK2" s="428" t="s">
        <v>23</v>
      </c>
      <c r="HCL2" s="429"/>
      <c r="HCM2" s="429"/>
      <c r="HCN2" s="429"/>
      <c r="HCO2" s="428" t="s">
        <v>23</v>
      </c>
      <c r="HCP2" s="429"/>
      <c r="HCQ2" s="429"/>
      <c r="HCR2" s="429"/>
      <c r="HCS2" s="428" t="s">
        <v>23</v>
      </c>
      <c r="HCT2" s="429"/>
      <c r="HCU2" s="429"/>
      <c r="HCV2" s="429"/>
      <c r="HCW2" s="428" t="s">
        <v>23</v>
      </c>
      <c r="HCX2" s="429"/>
      <c r="HCY2" s="429"/>
      <c r="HCZ2" s="429"/>
      <c r="HDA2" s="428" t="s">
        <v>23</v>
      </c>
      <c r="HDB2" s="429"/>
      <c r="HDC2" s="429"/>
      <c r="HDD2" s="429"/>
      <c r="HDE2" s="428" t="s">
        <v>23</v>
      </c>
      <c r="HDF2" s="429"/>
      <c r="HDG2" s="429"/>
      <c r="HDH2" s="429"/>
      <c r="HDI2" s="428" t="s">
        <v>23</v>
      </c>
      <c r="HDJ2" s="429"/>
      <c r="HDK2" s="429"/>
      <c r="HDL2" s="429"/>
      <c r="HDM2" s="428" t="s">
        <v>23</v>
      </c>
      <c r="HDN2" s="429"/>
      <c r="HDO2" s="429"/>
      <c r="HDP2" s="429"/>
      <c r="HDQ2" s="428" t="s">
        <v>23</v>
      </c>
      <c r="HDR2" s="429"/>
      <c r="HDS2" s="429"/>
      <c r="HDT2" s="429"/>
      <c r="HDU2" s="428" t="s">
        <v>23</v>
      </c>
      <c r="HDV2" s="429"/>
      <c r="HDW2" s="429"/>
      <c r="HDX2" s="429"/>
      <c r="HDY2" s="428" t="s">
        <v>23</v>
      </c>
      <c r="HDZ2" s="429"/>
      <c r="HEA2" s="429"/>
      <c r="HEB2" s="429"/>
      <c r="HEC2" s="428" t="s">
        <v>23</v>
      </c>
      <c r="HED2" s="429"/>
      <c r="HEE2" s="429"/>
      <c r="HEF2" s="429"/>
      <c r="HEG2" s="428" t="s">
        <v>23</v>
      </c>
      <c r="HEH2" s="429"/>
      <c r="HEI2" s="429"/>
      <c r="HEJ2" s="429"/>
      <c r="HEK2" s="428" t="s">
        <v>23</v>
      </c>
      <c r="HEL2" s="429"/>
      <c r="HEM2" s="429"/>
      <c r="HEN2" s="429"/>
      <c r="HEO2" s="428" t="s">
        <v>23</v>
      </c>
      <c r="HEP2" s="429"/>
      <c r="HEQ2" s="429"/>
      <c r="HER2" s="429"/>
      <c r="HES2" s="428" t="s">
        <v>23</v>
      </c>
      <c r="HET2" s="429"/>
      <c r="HEU2" s="429"/>
      <c r="HEV2" s="429"/>
      <c r="HEW2" s="428" t="s">
        <v>23</v>
      </c>
      <c r="HEX2" s="429"/>
      <c r="HEY2" s="429"/>
      <c r="HEZ2" s="429"/>
      <c r="HFA2" s="428" t="s">
        <v>23</v>
      </c>
      <c r="HFB2" s="429"/>
      <c r="HFC2" s="429"/>
      <c r="HFD2" s="429"/>
      <c r="HFE2" s="428" t="s">
        <v>23</v>
      </c>
      <c r="HFF2" s="429"/>
      <c r="HFG2" s="429"/>
      <c r="HFH2" s="429"/>
      <c r="HFI2" s="428" t="s">
        <v>23</v>
      </c>
      <c r="HFJ2" s="429"/>
      <c r="HFK2" s="429"/>
      <c r="HFL2" s="429"/>
      <c r="HFM2" s="428" t="s">
        <v>23</v>
      </c>
      <c r="HFN2" s="429"/>
      <c r="HFO2" s="429"/>
      <c r="HFP2" s="429"/>
      <c r="HFQ2" s="428" t="s">
        <v>23</v>
      </c>
      <c r="HFR2" s="429"/>
      <c r="HFS2" s="429"/>
      <c r="HFT2" s="429"/>
      <c r="HFU2" s="428" t="s">
        <v>23</v>
      </c>
      <c r="HFV2" s="429"/>
      <c r="HFW2" s="429"/>
      <c r="HFX2" s="429"/>
      <c r="HFY2" s="428" t="s">
        <v>23</v>
      </c>
      <c r="HFZ2" s="429"/>
      <c r="HGA2" s="429"/>
      <c r="HGB2" s="429"/>
      <c r="HGC2" s="428" t="s">
        <v>23</v>
      </c>
      <c r="HGD2" s="429"/>
      <c r="HGE2" s="429"/>
      <c r="HGF2" s="429"/>
      <c r="HGG2" s="428" t="s">
        <v>23</v>
      </c>
      <c r="HGH2" s="429"/>
      <c r="HGI2" s="429"/>
      <c r="HGJ2" s="429"/>
      <c r="HGK2" s="428" t="s">
        <v>23</v>
      </c>
      <c r="HGL2" s="429"/>
      <c r="HGM2" s="429"/>
      <c r="HGN2" s="429"/>
      <c r="HGO2" s="428" t="s">
        <v>23</v>
      </c>
      <c r="HGP2" s="429"/>
      <c r="HGQ2" s="429"/>
      <c r="HGR2" s="429"/>
      <c r="HGS2" s="428" t="s">
        <v>23</v>
      </c>
      <c r="HGT2" s="429"/>
      <c r="HGU2" s="429"/>
      <c r="HGV2" s="429"/>
      <c r="HGW2" s="428" t="s">
        <v>23</v>
      </c>
      <c r="HGX2" s="429"/>
      <c r="HGY2" s="429"/>
      <c r="HGZ2" s="429"/>
      <c r="HHA2" s="428" t="s">
        <v>23</v>
      </c>
      <c r="HHB2" s="429"/>
      <c r="HHC2" s="429"/>
      <c r="HHD2" s="429"/>
      <c r="HHE2" s="428" t="s">
        <v>23</v>
      </c>
      <c r="HHF2" s="429"/>
      <c r="HHG2" s="429"/>
      <c r="HHH2" s="429"/>
      <c r="HHI2" s="428" t="s">
        <v>23</v>
      </c>
      <c r="HHJ2" s="429"/>
      <c r="HHK2" s="429"/>
      <c r="HHL2" s="429"/>
      <c r="HHM2" s="428" t="s">
        <v>23</v>
      </c>
      <c r="HHN2" s="429"/>
      <c r="HHO2" s="429"/>
      <c r="HHP2" s="429"/>
      <c r="HHQ2" s="428" t="s">
        <v>23</v>
      </c>
      <c r="HHR2" s="429"/>
      <c r="HHS2" s="429"/>
      <c r="HHT2" s="429"/>
      <c r="HHU2" s="428" t="s">
        <v>23</v>
      </c>
      <c r="HHV2" s="429"/>
      <c r="HHW2" s="429"/>
      <c r="HHX2" s="429"/>
      <c r="HHY2" s="428" t="s">
        <v>23</v>
      </c>
      <c r="HHZ2" s="429"/>
      <c r="HIA2" s="429"/>
      <c r="HIB2" s="429"/>
      <c r="HIC2" s="428" t="s">
        <v>23</v>
      </c>
      <c r="HID2" s="429"/>
      <c r="HIE2" s="429"/>
      <c r="HIF2" s="429"/>
      <c r="HIG2" s="428" t="s">
        <v>23</v>
      </c>
      <c r="HIH2" s="429"/>
      <c r="HII2" s="429"/>
      <c r="HIJ2" s="429"/>
      <c r="HIK2" s="428" t="s">
        <v>23</v>
      </c>
      <c r="HIL2" s="429"/>
      <c r="HIM2" s="429"/>
      <c r="HIN2" s="429"/>
      <c r="HIO2" s="428" t="s">
        <v>23</v>
      </c>
      <c r="HIP2" s="429"/>
      <c r="HIQ2" s="429"/>
      <c r="HIR2" s="429"/>
      <c r="HIS2" s="428" t="s">
        <v>23</v>
      </c>
      <c r="HIT2" s="429"/>
      <c r="HIU2" s="429"/>
      <c r="HIV2" s="429"/>
      <c r="HIW2" s="428" t="s">
        <v>23</v>
      </c>
      <c r="HIX2" s="429"/>
      <c r="HIY2" s="429"/>
      <c r="HIZ2" s="429"/>
      <c r="HJA2" s="428" t="s">
        <v>23</v>
      </c>
      <c r="HJB2" s="429"/>
      <c r="HJC2" s="429"/>
      <c r="HJD2" s="429"/>
      <c r="HJE2" s="428" t="s">
        <v>23</v>
      </c>
      <c r="HJF2" s="429"/>
      <c r="HJG2" s="429"/>
      <c r="HJH2" s="429"/>
      <c r="HJI2" s="428" t="s">
        <v>23</v>
      </c>
      <c r="HJJ2" s="429"/>
      <c r="HJK2" s="429"/>
      <c r="HJL2" s="429"/>
      <c r="HJM2" s="428" t="s">
        <v>23</v>
      </c>
      <c r="HJN2" s="429"/>
      <c r="HJO2" s="429"/>
      <c r="HJP2" s="429"/>
      <c r="HJQ2" s="428" t="s">
        <v>23</v>
      </c>
      <c r="HJR2" s="429"/>
      <c r="HJS2" s="429"/>
      <c r="HJT2" s="429"/>
      <c r="HJU2" s="428" t="s">
        <v>23</v>
      </c>
      <c r="HJV2" s="429"/>
      <c r="HJW2" s="429"/>
      <c r="HJX2" s="429"/>
      <c r="HJY2" s="428" t="s">
        <v>23</v>
      </c>
      <c r="HJZ2" s="429"/>
      <c r="HKA2" s="429"/>
      <c r="HKB2" s="429"/>
      <c r="HKC2" s="428" t="s">
        <v>23</v>
      </c>
      <c r="HKD2" s="429"/>
      <c r="HKE2" s="429"/>
      <c r="HKF2" s="429"/>
      <c r="HKG2" s="428" t="s">
        <v>23</v>
      </c>
      <c r="HKH2" s="429"/>
      <c r="HKI2" s="429"/>
      <c r="HKJ2" s="429"/>
      <c r="HKK2" s="428" t="s">
        <v>23</v>
      </c>
      <c r="HKL2" s="429"/>
      <c r="HKM2" s="429"/>
      <c r="HKN2" s="429"/>
      <c r="HKO2" s="428" t="s">
        <v>23</v>
      </c>
      <c r="HKP2" s="429"/>
      <c r="HKQ2" s="429"/>
      <c r="HKR2" s="429"/>
      <c r="HKS2" s="428" t="s">
        <v>23</v>
      </c>
      <c r="HKT2" s="429"/>
      <c r="HKU2" s="429"/>
      <c r="HKV2" s="429"/>
      <c r="HKW2" s="428" t="s">
        <v>23</v>
      </c>
      <c r="HKX2" s="429"/>
      <c r="HKY2" s="429"/>
      <c r="HKZ2" s="429"/>
      <c r="HLA2" s="428" t="s">
        <v>23</v>
      </c>
      <c r="HLB2" s="429"/>
      <c r="HLC2" s="429"/>
      <c r="HLD2" s="429"/>
      <c r="HLE2" s="428" t="s">
        <v>23</v>
      </c>
      <c r="HLF2" s="429"/>
      <c r="HLG2" s="429"/>
      <c r="HLH2" s="429"/>
      <c r="HLI2" s="428" t="s">
        <v>23</v>
      </c>
      <c r="HLJ2" s="429"/>
      <c r="HLK2" s="429"/>
      <c r="HLL2" s="429"/>
      <c r="HLM2" s="428" t="s">
        <v>23</v>
      </c>
      <c r="HLN2" s="429"/>
      <c r="HLO2" s="429"/>
      <c r="HLP2" s="429"/>
      <c r="HLQ2" s="428" t="s">
        <v>23</v>
      </c>
      <c r="HLR2" s="429"/>
      <c r="HLS2" s="429"/>
      <c r="HLT2" s="429"/>
      <c r="HLU2" s="428" t="s">
        <v>23</v>
      </c>
      <c r="HLV2" s="429"/>
      <c r="HLW2" s="429"/>
      <c r="HLX2" s="429"/>
      <c r="HLY2" s="428" t="s">
        <v>23</v>
      </c>
      <c r="HLZ2" s="429"/>
      <c r="HMA2" s="429"/>
      <c r="HMB2" s="429"/>
      <c r="HMC2" s="428" t="s">
        <v>23</v>
      </c>
      <c r="HMD2" s="429"/>
      <c r="HME2" s="429"/>
      <c r="HMF2" s="429"/>
      <c r="HMG2" s="428" t="s">
        <v>23</v>
      </c>
      <c r="HMH2" s="429"/>
      <c r="HMI2" s="429"/>
      <c r="HMJ2" s="429"/>
      <c r="HMK2" s="428" t="s">
        <v>23</v>
      </c>
      <c r="HML2" s="429"/>
      <c r="HMM2" s="429"/>
      <c r="HMN2" s="429"/>
      <c r="HMO2" s="428" t="s">
        <v>23</v>
      </c>
      <c r="HMP2" s="429"/>
      <c r="HMQ2" s="429"/>
      <c r="HMR2" s="429"/>
      <c r="HMS2" s="428" t="s">
        <v>23</v>
      </c>
      <c r="HMT2" s="429"/>
      <c r="HMU2" s="429"/>
      <c r="HMV2" s="429"/>
      <c r="HMW2" s="428" t="s">
        <v>23</v>
      </c>
      <c r="HMX2" s="429"/>
      <c r="HMY2" s="429"/>
      <c r="HMZ2" s="429"/>
      <c r="HNA2" s="428" t="s">
        <v>23</v>
      </c>
      <c r="HNB2" s="429"/>
      <c r="HNC2" s="429"/>
      <c r="HND2" s="429"/>
      <c r="HNE2" s="428" t="s">
        <v>23</v>
      </c>
      <c r="HNF2" s="429"/>
      <c r="HNG2" s="429"/>
      <c r="HNH2" s="429"/>
      <c r="HNI2" s="428" t="s">
        <v>23</v>
      </c>
      <c r="HNJ2" s="429"/>
      <c r="HNK2" s="429"/>
      <c r="HNL2" s="429"/>
      <c r="HNM2" s="428" t="s">
        <v>23</v>
      </c>
      <c r="HNN2" s="429"/>
      <c r="HNO2" s="429"/>
      <c r="HNP2" s="429"/>
      <c r="HNQ2" s="428" t="s">
        <v>23</v>
      </c>
      <c r="HNR2" s="429"/>
      <c r="HNS2" s="429"/>
      <c r="HNT2" s="429"/>
      <c r="HNU2" s="428" t="s">
        <v>23</v>
      </c>
      <c r="HNV2" s="429"/>
      <c r="HNW2" s="429"/>
      <c r="HNX2" s="429"/>
      <c r="HNY2" s="428" t="s">
        <v>23</v>
      </c>
      <c r="HNZ2" s="429"/>
      <c r="HOA2" s="429"/>
      <c r="HOB2" s="429"/>
      <c r="HOC2" s="428" t="s">
        <v>23</v>
      </c>
      <c r="HOD2" s="429"/>
      <c r="HOE2" s="429"/>
      <c r="HOF2" s="429"/>
      <c r="HOG2" s="428" t="s">
        <v>23</v>
      </c>
      <c r="HOH2" s="429"/>
      <c r="HOI2" s="429"/>
      <c r="HOJ2" s="429"/>
      <c r="HOK2" s="428" t="s">
        <v>23</v>
      </c>
      <c r="HOL2" s="429"/>
      <c r="HOM2" s="429"/>
      <c r="HON2" s="429"/>
      <c r="HOO2" s="428" t="s">
        <v>23</v>
      </c>
      <c r="HOP2" s="429"/>
      <c r="HOQ2" s="429"/>
      <c r="HOR2" s="429"/>
      <c r="HOS2" s="428" t="s">
        <v>23</v>
      </c>
      <c r="HOT2" s="429"/>
      <c r="HOU2" s="429"/>
      <c r="HOV2" s="429"/>
      <c r="HOW2" s="428" t="s">
        <v>23</v>
      </c>
      <c r="HOX2" s="429"/>
      <c r="HOY2" s="429"/>
      <c r="HOZ2" s="429"/>
      <c r="HPA2" s="428" t="s">
        <v>23</v>
      </c>
      <c r="HPB2" s="429"/>
      <c r="HPC2" s="429"/>
      <c r="HPD2" s="429"/>
      <c r="HPE2" s="428" t="s">
        <v>23</v>
      </c>
      <c r="HPF2" s="429"/>
      <c r="HPG2" s="429"/>
      <c r="HPH2" s="429"/>
      <c r="HPI2" s="428" t="s">
        <v>23</v>
      </c>
      <c r="HPJ2" s="429"/>
      <c r="HPK2" s="429"/>
      <c r="HPL2" s="429"/>
      <c r="HPM2" s="428" t="s">
        <v>23</v>
      </c>
      <c r="HPN2" s="429"/>
      <c r="HPO2" s="429"/>
      <c r="HPP2" s="429"/>
      <c r="HPQ2" s="428" t="s">
        <v>23</v>
      </c>
      <c r="HPR2" s="429"/>
      <c r="HPS2" s="429"/>
      <c r="HPT2" s="429"/>
      <c r="HPU2" s="428" t="s">
        <v>23</v>
      </c>
      <c r="HPV2" s="429"/>
      <c r="HPW2" s="429"/>
      <c r="HPX2" s="429"/>
      <c r="HPY2" s="428" t="s">
        <v>23</v>
      </c>
      <c r="HPZ2" s="429"/>
      <c r="HQA2" s="429"/>
      <c r="HQB2" s="429"/>
      <c r="HQC2" s="428" t="s">
        <v>23</v>
      </c>
      <c r="HQD2" s="429"/>
      <c r="HQE2" s="429"/>
      <c r="HQF2" s="429"/>
      <c r="HQG2" s="428" t="s">
        <v>23</v>
      </c>
      <c r="HQH2" s="429"/>
      <c r="HQI2" s="429"/>
      <c r="HQJ2" s="429"/>
      <c r="HQK2" s="428" t="s">
        <v>23</v>
      </c>
      <c r="HQL2" s="429"/>
      <c r="HQM2" s="429"/>
      <c r="HQN2" s="429"/>
      <c r="HQO2" s="428" t="s">
        <v>23</v>
      </c>
      <c r="HQP2" s="429"/>
      <c r="HQQ2" s="429"/>
      <c r="HQR2" s="429"/>
      <c r="HQS2" s="428" t="s">
        <v>23</v>
      </c>
      <c r="HQT2" s="429"/>
      <c r="HQU2" s="429"/>
      <c r="HQV2" s="429"/>
      <c r="HQW2" s="428" t="s">
        <v>23</v>
      </c>
      <c r="HQX2" s="429"/>
      <c r="HQY2" s="429"/>
      <c r="HQZ2" s="429"/>
      <c r="HRA2" s="428" t="s">
        <v>23</v>
      </c>
      <c r="HRB2" s="429"/>
      <c r="HRC2" s="429"/>
      <c r="HRD2" s="429"/>
      <c r="HRE2" s="428" t="s">
        <v>23</v>
      </c>
      <c r="HRF2" s="429"/>
      <c r="HRG2" s="429"/>
      <c r="HRH2" s="429"/>
      <c r="HRI2" s="428" t="s">
        <v>23</v>
      </c>
      <c r="HRJ2" s="429"/>
      <c r="HRK2" s="429"/>
      <c r="HRL2" s="429"/>
      <c r="HRM2" s="428" t="s">
        <v>23</v>
      </c>
      <c r="HRN2" s="429"/>
      <c r="HRO2" s="429"/>
      <c r="HRP2" s="429"/>
      <c r="HRQ2" s="428" t="s">
        <v>23</v>
      </c>
      <c r="HRR2" s="429"/>
      <c r="HRS2" s="429"/>
      <c r="HRT2" s="429"/>
      <c r="HRU2" s="428" t="s">
        <v>23</v>
      </c>
      <c r="HRV2" s="429"/>
      <c r="HRW2" s="429"/>
      <c r="HRX2" s="429"/>
      <c r="HRY2" s="428" t="s">
        <v>23</v>
      </c>
      <c r="HRZ2" s="429"/>
      <c r="HSA2" s="429"/>
      <c r="HSB2" s="429"/>
      <c r="HSC2" s="428" t="s">
        <v>23</v>
      </c>
      <c r="HSD2" s="429"/>
      <c r="HSE2" s="429"/>
      <c r="HSF2" s="429"/>
      <c r="HSG2" s="428" t="s">
        <v>23</v>
      </c>
      <c r="HSH2" s="429"/>
      <c r="HSI2" s="429"/>
      <c r="HSJ2" s="429"/>
      <c r="HSK2" s="428" t="s">
        <v>23</v>
      </c>
      <c r="HSL2" s="429"/>
      <c r="HSM2" s="429"/>
      <c r="HSN2" s="429"/>
      <c r="HSO2" s="428" t="s">
        <v>23</v>
      </c>
      <c r="HSP2" s="429"/>
      <c r="HSQ2" s="429"/>
      <c r="HSR2" s="429"/>
      <c r="HSS2" s="428" t="s">
        <v>23</v>
      </c>
      <c r="HST2" s="429"/>
      <c r="HSU2" s="429"/>
      <c r="HSV2" s="429"/>
      <c r="HSW2" s="428" t="s">
        <v>23</v>
      </c>
      <c r="HSX2" s="429"/>
      <c r="HSY2" s="429"/>
      <c r="HSZ2" s="429"/>
      <c r="HTA2" s="428" t="s">
        <v>23</v>
      </c>
      <c r="HTB2" s="429"/>
      <c r="HTC2" s="429"/>
      <c r="HTD2" s="429"/>
      <c r="HTE2" s="428" t="s">
        <v>23</v>
      </c>
      <c r="HTF2" s="429"/>
      <c r="HTG2" s="429"/>
      <c r="HTH2" s="429"/>
      <c r="HTI2" s="428" t="s">
        <v>23</v>
      </c>
      <c r="HTJ2" s="429"/>
      <c r="HTK2" s="429"/>
      <c r="HTL2" s="429"/>
      <c r="HTM2" s="428" t="s">
        <v>23</v>
      </c>
      <c r="HTN2" s="429"/>
      <c r="HTO2" s="429"/>
      <c r="HTP2" s="429"/>
      <c r="HTQ2" s="428" t="s">
        <v>23</v>
      </c>
      <c r="HTR2" s="429"/>
      <c r="HTS2" s="429"/>
      <c r="HTT2" s="429"/>
      <c r="HTU2" s="428" t="s">
        <v>23</v>
      </c>
      <c r="HTV2" s="429"/>
      <c r="HTW2" s="429"/>
      <c r="HTX2" s="429"/>
      <c r="HTY2" s="428" t="s">
        <v>23</v>
      </c>
      <c r="HTZ2" s="429"/>
      <c r="HUA2" s="429"/>
      <c r="HUB2" s="429"/>
      <c r="HUC2" s="428" t="s">
        <v>23</v>
      </c>
      <c r="HUD2" s="429"/>
      <c r="HUE2" s="429"/>
      <c r="HUF2" s="429"/>
      <c r="HUG2" s="428" t="s">
        <v>23</v>
      </c>
      <c r="HUH2" s="429"/>
      <c r="HUI2" s="429"/>
      <c r="HUJ2" s="429"/>
      <c r="HUK2" s="428" t="s">
        <v>23</v>
      </c>
      <c r="HUL2" s="429"/>
      <c r="HUM2" s="429"/>
      <c r="HUN2" s="429"/>
      <c r="HUO2" s="428" t="s">
        <v>23</v>
      </c>
      <c r="HUP2" s="429"/>
      <c r="HUQ2" s="429"/>
      <c r="HUR2" s="429"/>
      <c r="HUS2" s="428" t="s">
        <v>23</v>
      </c>
      <c r="HUT2" s="429"/>
      <c r="HUU2" s="429"/>
      <c r="HUV2" s="429"/>
      <c r="HUW2" s="428" t="s">
        <v>23</v>
      </c>
      <c r="HUX2" s="429"/>
      <c r="HUY2" s="429"/>
      <c r="HUZ2" s="429"/>
      <c r="HVA2" s="428" t="s">
        <v>23</v>
      </c>
      <c r="HVB2" s="429"/>
      <c r="HVC2" s="429"/>
      <c r="HVD2" s="429"/>
      <c r="HVE2" s="428" t="s">
        <v>23</v>
      </c>
      <c r="HVF2" s="429"/>
      <c r="HVG2" s="429"/>
      <c r="HVH2" s="429"/>
      <c r="HVI2" s="428" t="s">
        <v>23</v>
      </c>
      <c r="HVJ2" s="429"/>
      <c r="HVK2" s="429"/>
      <c r="HVL2" s="429"/>
      <c r="HVM2" s="428" t="s">
        <v>23</v>
      </c>
      <c r="HVN2" s="429"/>
      <c r="HVO2" s="429"/>
      <c r="HVP2" s="429"/>
      <c r="HVQ2" s="428" t="s">
        <v>23</v>
      </c>
      <c r="HVR2" s="429"/>
      <c r="HVS2" s="429"/>
      <c r="HVT2" s="429"/>
      <c r="HVU2" s="428" t="s">
        <v>23</v>
      </c>
      <c r="HVV2" s="429"/>
      <c r="HVW2" s="429"/>
      <c r="HVX2" s="429"/>
      <c r="HVY2" s="428" t="s">
        <v>23</v>
      </c>
      <c r="HVZ2" s="429"/>
      <c r="HWA2" s="429"/>
      <c r="HWB2" s="429"/>
      <c r="HWC2" s="428" t="s">
        <v>23</v>
      </c>
      <c r="HWD2" s="429"/>
      <c r="HWE2" s="429"/>
      <c r="HWF2" s="429"/>
      <c r="HWG2" s="428" t="s">
        <v>23</v>
      </c>
      <c r="HWH2" s="429"/>
      <c r="HWI2" s="429"/>
      <c r="HWJ2" s="429"/>
      <c r="HWK2" s="428" t="s">
        <v>23</v>
      </c>
      <c r="HWL2" s="429"/>
      <c r="HWM2" s="429"/>
      <c r="HWN2" s="429"/>
      <c r="HWO2" s="428" t="s">
        <v>23</v>
      </c>
      <c r="HWP2" s="429"/>
      <c r="HWQ2" s="429"/>
      <c r="HWR2" s="429"/>
      <c r="HWS2" s="428" t="s">
        <v>23</v>
      </c>
      <c r="HWT2" s="429"/>
      <c r="HWU2" s="429"/>
      <c r="HWV2" s="429"/>
      <c r="HWW2" s="428" t="s">
        <v>23</v>
      </c>
      <c r="HWX2" s="429"/>
      <c r="HWY2" s="429"/>
      <c r="HWZ2" s="429"/>
      <c r="HXA2" s="428" t="s">
        <v>23</v>
      </c>
      <c r="HXB2" s="429"/>
      <c r="HXC2" s="429"/>
      <c r="HXD2" s="429"/>
      <c r="HXE2" s="428" t="s">
        <v>23</v>
      </c>
      <c r="HXF2" s="429"/>
      <c r="HXG2" s="429"/>
      <c r="HXH2" s="429"/>
      <c r="HXI2" s="428" t="s">
        <v>23</v>
      </c>
      <c r="HXJ2" s="429"/>
      <c r="HXK2" s="429"/>
      <c r="HXL2" s="429"/>
      <c r="HXM2" s="428" t="s">
        <v>23</v>
      </c>
      <c r="HXN2" s="429"/>
      <c r="HXO2" s="429"/>
      <c r="HXP2" s="429"/>
      <c r="HXQ2" s="428" t="s">
        <v>23</v>
      </c>
      <c r="HXR2" s="429"/>
      <c r="HXS2" s="429"/>
      <c r="HXT2" s="429"/>
      <c r="HXU2" s="428" t="s">
        <v>23</v>
      </c>
      <c r="HXV2" s="429"/>
      <c r="HXW2" s="429"/>
      <c r="HXX2" s="429"/>
      <c r="HXY2" s="428" t="s">
        <v>23</v>
      </c>
      <c r="HXZ2" s="429"/>
      <c r="HYA2" s="429"/>
      <c r="HYB2" s="429"/>
      <c r="HYC2" s="428" t="s">
        <v>23</v>
      </c>
      <c r="HYD2" s="429"/>
      <c r="HYE2" s="429"/>
      <c r="HYF2" s="429"/>
      <c r="HYG2" s="428" t="s">
        <v>23</v>
      </c>
      <c r="HYH2" s="429"/>
      <c r="HYI2" s="429"/>
      <c r="HYJ2" s="429"/>
      <c r="HYK2" s="428" t="s">
        <v>23</v>
      </c>
      <c r="HYL2" s="429"/>
      <c r="HYM2" s="429"/>
      <c r="HYN2" s="429"/>
      <c r="HYO2" s="428" t="s">
        <v>23</v>
      </c>
      <c r="HYP2" s="429"/>
      <c r="HYQ2" s="429"/>
      <c r="HYR2" s="429"/>
      <c r="HYS2" s="428" t="s">
        <v>23</v>
      </c>
      <c r="HYT2" s="429"/>
      <c r="HYU2" s="429"/>
      <c r="HYV2" s="429"/>
      <c r="HYW2" s="428" t="s">
        <v>23</v>
      </c>
      <c r="HYX2" s="429"/>
      <c r="HYY2" s="429"/>
      <c r="HYZ2" s="429"/>
      <c r="HZA2" s="428" t="s">
        <v>23</v>
      </c>
      <c r="HZB2" s="429"/>
      <c r="HZC2" s="429"/>
      <c r="HZD2" s="429"/>
      <c r="HZE2" s="428" t="s">
        <v>23</v>
      </c>
      <c r="HZF2" s="429"/>
      <c r="HZG2" s="429"/>
      <c r="HZH2" s="429"/>
      <c r="HZI2" s="428" t="s">
        <v>23</v>
      </c>
      <c r="HZJ2" s="429"/>
      <c r="HZK2" s="429"/>
      <c r="HZL2" s="429"/>
      <c r="HZM2" s="428" t="s">
        <v>23</v>
      </c>
      <c r="HZN2" s="429"/>
      <c r="HZO2" s="429"/>
      <c r="HZP2" s="429"/>
      <c r="HZQ2" s="428" t="s">
        <v>23</v>
      </c>
      <c r="HZR2" s="429"/>
      <c r="HZS2" s="429"/>
      <c r="HZT2" s="429"/>
      <c r="HZU2" s="428" t="s">
        <v>23</v>
      </c>
      <c r="HZV2" s="429"/>
      <c r="HZW2" s="429"/>
      <c r="HZX2" s="429"/>
      <c r="HZY2" s="428" t="s">
        <v>23</v>
      </c>
      <c r="HZZ2" s="429"/>
      <c r="IAA2" s="429"/>
      <c r="IAB2" s="429"/>
      <c r="IAC2" s="428" t="s">
        <v>23</v>
      </c>
      <c r="IAD2" s="429"/>
      <c r="IAE2" s="429"/>
      <c r="IAF2" s="429"/>
      <c r="IAG2" s="428" t="s">
        <v>23</v>
      </c>
      <c r="IAH2" s="429"/>
      <c r="IAI2" s="429"/>
      <c r="IAJ2" s="429"/>
      <c r="IAK2" s="428" t="s">
        <v>23</v>
      </c>
      <c r="IAL2" s="429"/>
      <c r="IAM2" s="429"/>
      <c r="IAN2" s="429"/>
      <c r="IAO2" s="428" t="s">
        <v>23</v>
      </c>
      <c r="IAP2" s="429"/>
      <c r="IAQ2" s="429"/>
      <c r="IAR2" s="429"/>
      <c r="IAS2" s="428" t="s">
        <v>23</v>
      </c>
      <c r="IAT2" s="429"/>
      <c r="IAU2" s="429"/>
      <c r="IAV2" s="429"/>
      <c r="IAW2" s="428" t="s">
        <v>23</v>
      </c>
      <c r="IAX2" s="429"/>
      <c r="IAY2" s="429"/>
      <c r="IAZ2" s="429"/>
      <c r="IBA2" s="428" t="s">
        <v>23</v>
      </c>
      <c r="IBB2" s="429"/>
      <c r="IBC2" s="429"/>
      <c r="IBD2" s="429"/>
      <c r="IBE2" s="428" t="s">
        <v>23</v>
      </c>
      <c r="IBF2" s="429"/>
      <c r="IBG2" s="429"/>
      <c r="IBH2" s="429"/>
      <c r="IBI2" s="428" t="s">
        <v>23</v>
      </c>
      <c r="IBJ2" s="429"/>
      <c r="IBK2" s="429"/>
      <c r="IBL2" s="429"/>
      <c r="IBM2" s="428" t="s">
        <v>23</v>
      </c>
      <c r="IBN2" s="429"/>
      <c r="IBO2" s="429"/>
      <c r="IBP2" s="429"/>
      <c r="IBQ2" s="428" t="s">
        <v>23</v>
      </c>
      <c r="IBR2" s="429"/>
      <c r="IBS2" s="429"/>
      <c r="IBT2" s="429"/>
      <c r="IBU2" s="428" t="s">
        <v>23</v>
      </c>
      <c r="IBV2" s="429"/>
      <c r="IBW2" s="429"/>
      <c r="IBX2" s="429"/>
      <c r="IBY2" s="428" t="s">
        <v>23</v>
      </c>
      <c r="IBZ2" s="429"/>
      <c r="ICA2" s="429"/>
      <c r="ICB2" s="429"/>
      <c r="ICC2" s="428" t="s">
        <v>23</v>
      </c>
      <c r="ICD2" s="429"/>
      <c r="ICE2" s="429"/>
      <c r="ICF2" s="429"/>
      <c r="ICG2" s="428" t="s">
        <v>23</v>
      </c>
      <c r="ICH2" s="429"/>
      <c r="ICI2" s="429"/>
      <c r="ICJ2" s="429"/>
      <c r="ICK2" s="428" t="s">
        <v>23</v>
      </c>
      <c r="ICL2" s="429"/>
      <c r="ICM2" s="429"/>
      <c r="ICN2" s="429"/>
      <c r="ICO2" s="428" t="s">
        <v>23</v>
      </c>
      <c r="ICP2" s="429"/>
      <c r="ICQ2" s="429"/>
      <c r="ICR2" s="429"/>
      <c r="ICS2" s="428" t="s">
        <v>23</v>
      </c>
      <c r="ICT2" s="429"/>
      <c r="ICU2" s="429"/>
      <c r="ICV2" s="429"/>
      <c r="ICW2" s="428" t="s">
        <v>23</v>
      </c>
      <c r="ICX2" s="429"/>
      <c r="ICY2" s="429"/>
      <c r="ICZ2" s="429"/>
      <c r="IDA2" s="428" t="s">
        <v>23</v>
      </c>
      <c r="IDB2" s="429"/>
      <c r="IDC2" s="429"/>
      <c r="IDD2" s="429"/>
      <c r="IDE2" s="428" t="s">
        <v>23</v>
      </c>
      <c r="IDF2" s="429"/>
      <c r="IDG2" s="429"/>
      <c r="IDH2" s="429"/>
      <c r="IDI2" s="428" t="s">
        <v>23</v>
      </c>
      <c r="IDJ2" s="429"/>
      <c r="IDK2" s="429"/>
      <c r="IDL2" s="429"/>
      <c r="IDM2" s="428" t="s">
        <v>23</v>
      </c>
      <c r="IDN2" s="429"/>
      <c r="IDO2" s="429"/>
      <c r="IDP2" s="429"/>
      <c r="IDQ2" s="428" t="s">
        <v>23</v>
      </c>
      <c r="IDR2" s="429"/>
      <c r="IDS2" s="429"/>
      <c r="IDT2" s="429"/>
      <c r="IDU2" s="428" t="s">
        <v>23</v>
      </c>
      <c r="IDV2" s="429"/>
      <c r="IDW2" s="429"/>
      <c r="IDX2" s="429"/>
      <c r="IDY2" s="428" t="s">
        <v>23</v>
      </c>
      <c r="IDZ2" s="429"/>
      <c r="IEA2" s="429"/>
      <c r="IEB2" s="429"/>
      <c r="IEC2" s="428" t="s">
        <v>23</v>
      </c>
      <c r="IED2" s="429"/>
      <c r="IEE2" s="429"/>
      <c r="IEF2" s="429"/>
      <c r="IEG2" s="428" t="s">
        <v>23</v>
      </c>
      <c r="IEH2" s="429"/>
      <c r="IEI2" s="429"/>
      <c r="IEJ2" s="429"/>
      <c r="IEK2" s="428" t="s">
        <v>23</v>
      </c>
      <c r="IEL2" s="429"/>
      <c r="IEM2" s="429"/>
      <c r="IEN2" s="429"/>
      <c r="IEO2" s="428" t="s">
        <v>23</v>
      </c>
      <c r="IEP2" s="429"/>
      <c r="IEQ2" s="429"/>
      <c r="IER2" s="429"/>
      <c r="IES2" s="428" t="s">
        <v>23</v>
      </c>
      <c r="IET2" s="429"/>
      <c r="IEU2" s="429"/>
      <c r="IEV2" s="429"/>
      <c r="IEW2" s="428" t="s">
        <v>23</v>
      </c>
      <c r="IEX2" s="429"/>
      <c r="IEY2" s="429"/>
      <c r="IEZ2" s="429"/>
      <c r="IFA2" s="428" t="s">
        <v>23</v>
      </c>
      <c r="IFB2" s="429"/>
      <c r="IFC2" s="429"/>
      <c r="IFD2" s="429"/>
      <c r="IFE2" s="428" t="s">
        <v>23</v>
      </c>
      <c r="IFF2" s="429"/>
      <c r="IFG2" s="429"/>
      <c r="IFH2" s="429"/>
      <c r="IFI2" s="428" t="s">
        <v>23</v>
      </c>
      <c r="IFJ2" s="429"/>
      <c r="IFK2" s="429"/>
      <c r="IFL2" s="429"/>
      <c r="IFM2" s="428" t="s">
        <v>23</v>
      </c>
      <c r="IFN2" s="429"/>
      <c r="IFO2" s="429"/>
      <c r="IFP2" s="429"/>
      <c r="IFQ2" s="428" t="s">
        <v>23</v>
      </c>
      <c r="IFR2" s="429"/>
      <c r="IFS2" s="429"/>
      <c r="IFT2" s="429"/>
      <c r="IFU2" s="428" t="s">
        <v>23</v>
      </c>
      <c r="IFV2" s="429"/>
      <c r="IFW2" s="429"/>
      <c r="IFX2" s="429"/>
      <c r="IFY2" s="428" t="s">
        <v>23</v>
      </c>
      <c r="IFZ2" s="429"/>
      <c r="IGA2" s="429"/>
      <c r="IGB2" s="429"/>
      <c r="IGC2" s="428" t="s">
        <v>23</v>
      </c>
      <c r="IGD2" s="429"/>
      <c r="IGE2" s="429"/>
      <c r="IGF2" s="429"/>
      <c r="IGG2" s="428" t="s">
        <v>23</v>
      </c>
      <c r="IGH2" s="429"/>
      <c r="IGI2" s="429"/>
      <c r="IGJ2" s="429"/>
      <c r="IGK2" s="428" t="s">
        <v>23</v>
      </c>
      <c r="IGL2" s="429"/>
      <c r="IGM2" s="429"/>
      <c r="IGN2" s="429"/>
      <c r="IGO2" s="428" t="s">
        <v>23</v>
      </c>
      <c r="IGP2" s="429"/>
      <c r="IGQ2" s="429"/>
      <c r="IGR2" s="429"/>
      <c r="IGS2" s="428" t="s">
        <v>23</v>
      </c>
      <c r="IGT2" s="429"/>
      <c r="IGU2" s="429"/>
      <c r="IGV2" s="429"/>
      <c r="IGW2" s="428" t="s">
        <v>23</v>
      </c>
      <c r="IGX2" s="429"/>
      <c r="IGY2" s="429"/>
      <c r="IGZ2" s="429"/>
      <c r="IHA2" s="428" t="s">
        <v>23</v>
      </c>
      <c r="IHB2" s="429"/>
      <c r="IHC2" s="429"/>
      <c r="IHD2" s="429"/>
      <c r="IHE2" s="428" t="s">
        <v>23</v>
      </c>
      <c r="IHF2" s="429"/>
      <c r="IHG2" s="429"/>
      <c r="IHH2" s="429"/>
      <c r="IHI2" s="428" t="s">
        <v>23</v>
      </c>
      <c r="IHJ2" s="429"/>
      <c r="IHK2" s="429"/>
      <c r="IHL2" s="429"/>
      <c r="IHM2" s="428" t="s">
        <v>23</v>
      </c>
      <c r="IHN2" s="429"/>
      <c r="IHO2" s="429"/>
      <c r="IHP2" s="429"/>
      <c r="IHQ2" s="428" t="s">
        <v>23</v>
      </c>
      <c r="IHR2" s="429"/>
      <c r="IHS2" s="429"/>
      <c r="IHT2" s="429"/>
      <c r="IHU2" s="428" t="s">
        <v>23</v>
      </c>
      <c r="IHV2" s="429"/>
      <c r="IHW2" s="429"/>
      <c r="IHX2" s="429"/>
      <c r="IHY2" s="428" t="s">
        <v>23</v>
      </c>
      <c r="IHZ2" s="429"/>
      <c r="IIA2" s="429"/>
      <c r="IIB2" s="429"/>
      <c r="IIC2" s="428" t="s">
        <v>23</v>
      </c>
      <c r="IID2" s="429"/>
      <c r="IIE2" s="429"/>
      <c r="IIF2" s="429"/>
      <c r="IIG2" s="428" t="s">
        <v>23</v>
      </c>
      <c r="IIH2" s="429"/>
      <c r="III2" s="429"/>
      <c r="IIJ2" s="429"/>
      <c r="IIK2" s="428" t="s">
        <v>23</v>
      </c>
      <c r="IIL2" s="429"/>
      <c r="IIM2" s="429"/>
      <c r="IIN2" s="429"/>
      <c r="IIO2" s="428" t="s">
        <v>23</v>
      </c>
      <c r="IIP2" s="429"/>
      <c r="IIQ2" s="429"/>
      <c r="IIR2" s="429"/>
      <c r="IIS2" s="428" t="s">
        <v>23</v>
      </c>
      <c r="IIT2" s="429"/>
      <c r="IIU2" s="429"/>
      <c r="IIV2" s="429"/>
      <c r="IIW2" s="428" t="s">
        <v>23</v>
      </c>
      <c r="IIX2" s="429"/>
      <c r="IIY2" s="429"/>
      <c r="IIZ2" s="429"/>
      <c r="IJA2" s="428" t="s">
        <v>23</v>
      </c>
      <c r="IJB2" s="429"/>
      <c r="IJC2" s="429"/>
      <c r="IJD2" s="429"/>
      <c r="IJE2" s="428" t="s">
        <v>23</v>
      </c>
      <c r="IJF2" s="429"/>
      <c r="IJG2" s="429"/>
      <c r="IJH2" s="429"/>
      <c r="IJI2" s="428" t="s">
        <v>23</v>
      </c>
      <c r="IJJ2" s="429"/>
      <c r="IJK2" s="429"/>
      <c r="IJL2" s="429"/>
      <c r="IJM2" s="428" t="s">
        <v>23</v>
      </c>
      <c r="IJN2" s="429"/>
      <c r="IJO2" s="429"/>
      <c r="IJP2" s="429"/>
      <c r="IJQ2" s="428" t="s">
        <v>23</v>
      </c>
      <c r="IJR2" s="429"/>
      <c r="IJS2" s="429"/>
      <c r="IJT2" s="429"/>
      <c r="IJU2" s="428" t="s">
        <v>23</v>
      </c>
      <c r="IJV2" s="429"/>
      <c r="IJW2" s="429"/>
      <c r="IJX2" s="429"/>
      <c r="IJY2" s="428" t="s">
        <v>23</v>
      </c>
      <c r="IJZ2" s="429"/>
      <c r="IKA2" s="429"/>
      <c r="IKB2" s="429"/>
      <c r="IKC2" s="428" t="s">
        <v>23</v>
      </c>
      <c r="IKD2" s="429"/>
      <c r="IKE2" s="429"/>
      <c r="IKF2" s="429"/>
      <c r="IKG2" s="428" t="s">
        <v>23</v>
      </c>
      <c r="IKH2" s="429"/>
      <c r="IKI2" s="429"/>
      <c r="IKJ2" s="429"/>
      <c r="IKK2" s="428" t="s">
        <v>23</v>
      </c>
      <c r="IKL2" s="429"/>
      <c r="IKM2" s="429"/>
      <c r="IKN2" s="429"/>
      <c r="IKO2" s="428" t="s">
        <v>23</v>
      </c>
      <c r="IKP2" s="429"/>
      <c r="IKQ2" s="429"/>
      <c r="IKR2" s="429"/>
      <c r="IKS2" s="428" t="s">
        <v>23</v>
      </c>
      <c r="IKT2" s="429"/>
      <c r="IKU2" s="429"/>
      <c r="IKV2" s="429"/>
      <c r="IKW2" s="428" t="s">
        <v>23</v>
      </c>
      <c r="IKX2" s="429"/>
      <c r="IKY2" s="429"/>
      <c r="IKZ2" s="429"/>
      <c r="ILA2" s="428" t="s">
        <v>23</v>
      </c>
      <c r="ILB2" s="429"/>
      <c r="ILC2" s="429"/>
      <c r="ILD2" s="429"/>
      <c r="ILE2" s="428" t="s">
        <v>23</v>
      </c>
      <c r="ILF2" s="429"/>
      <c r="ILG2" s="429"/>
      <c r="ILH2" s="429"/>
      <c r="ILI2" s="428" t="s">
        <v>23</v>
      </c>
      <c r="ILJ2" s="429"/>
      <c r="ILK2" s="429"/>
      <c r="ILL2" s="429"/>
      <c r="ILM2" s="428" t="s">
        <v>23</v>
      </c>
      <c r="ILN2" s="429"/>
      <c r="ILO2" s="429"/>
      <c r="ILP2" s="429"/>
      <c r="ILQ2" s="428" t="s">
        <v>23</v>
      </c>
      <c r="ILR2" s="429"/>
      <c r="ILS2" s="429"/>
      <c r="ILT2" s="429"/>
      <c r="ILU2" s="428" t="s">
        <v>23</v>
      </c>
      <c r="ILV2" s="429"/>
      <c r="ILW2" s="429"/>
      <c r="ILX2" s="429"/>
      <c r="ILY2" s="428" t="s">
        <v>23</v>
      </c>
      <c r="ILZ2" s="429"/>
      <c r="IMA2" s="429"/>
      <c r="IMB2" s="429"/>
      <c r="IMC2" s="428" t="s">
        <v>23</v>
      </c>
      <c r="IMD2" s="429"/>
      <c r="IME2" s="429"/>
      <c r="IMF2" s="429"/>
      <c r="IMG2" s="428" t="s">
        <v>23</v>
      </c>
      <c r="IMH2" s="429"/>
      <c r="IMI2" s="429"/>
      <c r="IMJ2" s="429"/>
      <c r="IMK2" s="428" t="s">
        <v>23</v>
      </c>
      <c r="IML2" s="429"/>
      <c r="IMM2" s="429"/>
      <c r="IMN2" s="429"/>
      <c r="IMO2" s="428" t="s">
        <v>23</v>
      </c>
      <c r="IMP2" s="429"/>
      <c r="IMQ2" s="429"/>
      <c r="IMR2" s="429"/>
      <c r="IMS2" s="428" t="s">
        <v>23</v>
      </c>
      <c r="IMT2" s="429"/>
      <c r="IMU2" s="429"/>
      <c r="IMV2" s="429"/>
      <c r="IMW2" s="428" t="s">
        <v>23</v>
      </c>
      <c r="IMX2" s="429"/>
      <c r="IMY2" s="429"/>
      <c r="IMZ2" s="429"/>
      <c r="INA2" s="428" t="s">
        <v>23</v>
      </c>
      <c r="INB2" s="429"/>
      <c r="INC2" s="429"/>
      <c r="IND2" s="429"/>
      <c r="INE2" s="428" t="s">
        <v>23</v>
      </c>
      <c r="INF2" s="429"/>
      <c r="ING2" s="429"/>
      <c r="INH2" s="429"/>
      <c r="INI2" s="428" t="s">
        <v>23</v>
      </c>
      <c r="INJ2" s="429"/>
      <c r="INK2" s="429"/>
      <c r="INL2" s="429"/>
      <c r="INM2" s="428" t="s">
        <v>23</v>
      </c>
      <c r="INN2" s="429"/>
      <c r="INO2" s="429"/>
      <c r="INP2" s="429"/>
      <c r="INQ2" s="428" t="s">
        <v>23</v>
      </c>
      <c r="INR2" s="429"/>
      <c r="INS2" s="429"/>
      <c r="INT2" s="429"/>
      <c r="INU2" s="428" t="s">
        <v>23</v>
      </c>
      <c r="INV2" s="429"/>
      <c r="INW2" s="429"/>
      <c r="INX2" s="429"/>
      <c r="INY2" s="428" t="s">
        <v>23</v>
      </c>
      <c r="INZ2" s="429"/>
      <c r="IOA2" s="429"/>
      <c r="IOB2" s="429"/>
      <c r="IOC2" s="428" t="s">
        <v>23</v>
      </c>
      <c r="IOD2" s="429"/>
      <c r="IOE2" s="429"/>
      <c r="IOF2" s="429"/>
      <c r="IOG2" s="428" t="s">
        <v>23</v>
      </c>
      <c r="IOH2" s="429"/>
      <c r="IOI2" s="429"/>
      <c r="IOJ2" s="429"/>
      <c r="IOK2" s="428" t="s">
        <v>23</v>
      </c>
      <c r="IOL2" s="429"/>
      <c r="IOM2" s="429"/>
      <c r="ION2" s="429"/>
      <c r="IOO2" s="428" t="s">
        <v>23</v>
      </c>
      <c r="IOP2" s="429"/>
      <c r="IOQ2" s="429"/>
      <c r="IOR2" s="429"/>
      <c r="IOS2" s="428" t="s">
        <v>23</v>
      </c>
      <c r="IOT2" s="429"/>
      <c r="IOU2" s="429"/>
      <c r="IOV2" s="429"/>
      <c r="IOW2" s="428" t="s">
        <v>23</v>
      </c>
      <c r="IOX2" s="429"/>
      <c r="IOY2" s="429"/>
      <c r="IOZ2" s="429"/>
      <c r="IPA2" s="428" t="s">
        <v>23</v>
      </c>
      <c r="IPB2" s="429"/>
      <c r="IPC2" s="429"/>
      <c r="IPD2" s="429"/>
      <c r="IPE2" s="428" t="s">
        <v>23</v>
      </c>
      <c r="IPF2" s="429"/>
      <c r="IPG2" s="429"/>
      <c r="IPH2" s="429"/>
      <c r="IPI2" s="428" t="s">
        <v>23</v>
      </c>
      <c r="IPJ2" s="429"/>
      <c r="IPK2" s="429"/>
      <c r="IPL2" s="429"/>
      <c r="IPM2" s="428" t="s">
        <v>23</v>
      </c>
      <c r="IPN2" s="429"/>
      <c r="IPO2" s="429"/>
      <c r="IPP2" s="429"/>
      <c r="IPQ2" s="428" t="s">
        <v>23</v>
      </c>
      <c r="IPR2" s="429"/>
      <c r="IPS2" s="429"/>
      <c r="IPT2" s="429"/>
      <c r="IPU2" s="428" t="s">
        <v>23</v>
      </c>
      <c r="IPV2" s="429"/>
      <c r="IPW2" s="429"/>
      <c r="IPX2" s="429"/>
      <c r="IPY2" s="428" t="s">
        <v>23</v>
      </c>
      <c r="IPZ2" s="429"/>
      <c r="IQA2" s="429"/>
      <c r="IQB2" s="429"/>
      <c r="IQC2" s="428" t="s">
        <v>23</v>
      </c>
      <c r="IQD2" s="429"/>
      <c r="IQE2" s="429"/>
      <c r="IQF2" s="429"/>
      <c r="IQG2" s="428" t="s">
        <v>23</v>
      </c>
      <c r="IQH2" s="429"/>
      <c r="IQI2" s="429"/>
      <c r="IQJ2" s="429"/>
      <c r="IQK2" s="428" t="s">
        <v>23</v>
      </c>
      <c r="IQL2" s="429"/>
      <c r="IQM2" s="429"/>
      <c r="IQN2" s="429"/>
      <c r="IQO2" s="428" t="s">
        <v>23</v>
      </c>
      <c r="IQP2" s="429"/>
      <c r="IQQ2" s="429"/>
      <c r="IQR2" s="429"/>
      <c r="IQS2" s="428" t="s">
        <v>23</v>
      </c>
      <c r="IQT2" s="429"/>
      <c r="IQU2" s="429"/>
      <c r="IQV2" s="429"/>
      <c r="IQW2" s="428" t="s">
        <v>23</v>
      </c>
      <c r="IQX2" s="429"/>
      <c r="IQY2" s="429"/>
      <c r="IQZ2" s="429"/>
      <c r="IRA2" s="428" t="s">
        <v>23</v>
      </c>
      <c r="IRB2" s="429"/>
      <c r="IRC2" s="429"/>
      <c r="IRD2" s="429"/>
      <c r="IRE2" s="428" t="s">
        <v>23</v>
      </c>
      <c r="IRF2" s="429"/>
      <c r="IRG2" s="429"/>
      <c r="IRH2" s="429"/>
      <c r="IRI2" s="428" t="s">
        <v>23</v>
      </c>
      <c r="IRJ2" s="429"/>
      <c r="IRK2" s="429"/>
      <c r="IRL2" s="429"/>
      <c r="IRM2" s="428" t="s">
        <v>23</v>
      </c>
      <c r="IRN2" s="429"/>
      <c r="IRO2" s="429"/>
      <c r="IRP2" s="429"/>
      <c r="IRQ2" s="428" t="s">
        <v>23</v>
      </c>
      <c r="IRR2" s="429"/>
      <c r="IRS2" s="429"/>
      <c r="IRT2" s="429"/>
      <c r="IRU2" s="428" t="s">
        <v>23</v>
      </c>
      <c r="IRV2" s="429"/>
      <c r="IRW2" s="429"/>
      <c r="IRX2" s="429"/>
      <c r="IRY2" s="428" t="s">
        <v>23</v>
      </c>
      <c r="IRZ2" s="429"/>
      <c r="ISA2" s="429"/>
      <c r="ISB2" s="429"/>
      <c r="ISC2" s="428" t="s">
        <v>23</v>
      </c>
      <c r="ISD2" s="429"/>
      <c r="ISE2" s="429"/>
      <c r="ISF2" s="429"/>
      <c r="ISG2" s="428" t="s">
        <v>23</v>
      </c>
      <c r="ISH2" s="429"/>
      <c r="ISI2" s="429"/>
      <c r="ISJ2" s="429"/>
      <c r="ISK2" s="428" t="s">
        <v>23</v>
      </c>
      <c r="ISL2" s="429"/>
      <c r="ISM2" s="429"/>
      <c r="ISN2" s="429"/>
      <c r="ISO2" s="428" t="s">
        <v>23</v>
      </c>
      <c r="ISP2" s="429"/>
      <c r="ISQ2" s="429"/>
      <c r="ISR2" s="429"/>
      <c r="ISS2" s="428" t="s">
        <v>23</v>
      </c>
      <c r="IST2" s="429"/>
      <c r="ISU2" s="429"/>
      <c r="ISV2" s="429"/>
      <c r="ISW2" s="428" t="s">
        <v>23</v>
      </c>
      <c r="ISX2" s="429"/>
      <c r="ISY2" s="429"/>
      <c r="ISZ2" s="429"/>
      <c r="ITA2" s="428" t="s">
        <v>23</v>
      </c>
      <c r="ITB2" s="429"/>
      <c r="ITC2" s="429"/>
      <c r="ITD2" s="429"/>
      <c r="ITE2" s="428" t="s">
        <v>23</v>
      </c>
      <c r="ITF2" s="429"/>
      <c r="ITG2" s="429"/>
      <c r="ITH2" s="429"/>
      <c r="ITI2" s="428" t="s">
        <v>23</v>
      </c>
      <c r="ITJ2" s="429"/>
      <c r="ITK2" s="429"/>
      <c r="ITL2" s="429"/>
      <c r="ITM2" s="428" t="s">
        <v>23</v>
      </c>
      <c r="ITN2" s="429"/>
      <c r="ITO2" s="429"/>
      <c r="ITP2" s="429"/>
      <c r="ITQ2" s="428" t="s">
        <v>23</v>
      </c>
      <c r="ITR2" s="429"/>
      <c r="ITS2" s="429"/>
      <c r="ITT2" s="429"/>
      <c r="ITU2" s="428" t="s">
        <v>23</v>
      </c>
      <c r="ITV2" s="429"/>
      <c r="ITW2" s="429"/>
      <c r="ITX2" s="429"/>
      <c r="ITY2" s="428" t="s">
        <v>23</v>
      </c>
      <c r="ITZ2" s="429"/>
      <c r="IUA2" s="429"/>
      <c r="IUB2" s="429"/>
      <c r="IUC2" s="428" t="s">
        <v>23</v>
      </c>
      <c r="IUD2" s="429"/>
      <c r="IUE2" s="429"/>
      <c r="IUF2" s="429"/>
      <c r="IUG2" s="428" t="s">
        <v>23</v>
      </c>
      <c r="IUH2" s="429"/>
      <c r="IUI2" s="429"/>
      <c r="IUJ2" s="429"/>
      <c r="IUK2" s="428" t="s">
        <v>23</v>
      </c>
      <c r="IUL2" s="429"/>
      <c r="IUM2" s="429"/>
      <c r="IUN2" s="429"/>
      <c r="IUO2" s="428" t="s">
        <v>23</v>
      </c>
      <c r="IUP2" s="429"/>
      <c r="IUQ2" s="429"/>
      <c r="IUR2" s="429"/>
      <c r="IUS2" s="428" t="s">
        <v>23</v>
      </c>
      <c r="IUT2" s="429"/>
      <c r="IUU2" s="429"/>
      <c r="IUV2" s="429"/>
      <c r="IUW2" s="428" t="s">
        <v>23</v>
      </c>
      <c r="IUX2" s="429"/>
      <c r="IUY2" s="429"/>
      <c r="IUZ2" s="429"/>
      <c r="IVA2" s="428" t="s">
        <v>23</v>
      </c>
      <c r="IVB2" s="429"/>
      <c r="IVC2" s="429"/>
      <c r="IVD2" s="429"/>
      <c r="IVE2" s="428" t="s">
        <v>23</v>
      </c>
      <c r="IVF2" s="429"/>
      <c r="IVG2" s="429"/>
      <c r="IVH2" s="429"/>
      <c r="IVI2" s="428" t="s">
        <v>23</v>
      </c>
      <c r="IVJ2" s="429"/>
      <c r="IVK2" s="429"/>
      <c r="IVL2" s="429"/>
      <c r="IVM2" s="428" t="s">
        <v>23</v>
      </c>
      <c r="IVN2" s="429"/>
      <c r="IVO2" s="429"/>
      <c r="IVP2" s="429"/>
      <c r="IVQ2" s="428" t="s">
        <v>23</v>
      </c>
      <c r="IVR2" s="429"/>
      <c r="IVS2" s="429"/>
      <c r="IVT2" s="429"/>
      <c r="IVU2" s="428" t="s">
        <v>23</v>
      </c>
      <c r="IVV2" s="429"/>
      <c r="IVW2" s="429"/>
      <c r="IVX2" s="429"/>
      <c r="IVY2" s="428" t="s">
        <v>23</v>
      </c>
      <c r="IVZ2" s="429"/>
      <c r="IWA2" s="429"/>
      <c r="IWB2" s="429"/>
      <c r="IWC2" s="428" t="s">
        <v>23</v>
      </c>
      <c r="IWD2" s="429"/>
      <c r="IWE2" s="429"/>
      <c r="IWF2" s="429"/>
      <c r="IWG2" s="428" t="s">
        <v>23</v>
      </c>
      <c r="IWH2" s="429"/>
      <c r="IWI2" s="429"/>
      <c r="IWJ2" s="429"/>
      <c r="IWK2" s="428" t="s">
        <v>23</v>
      </c>
      <c r="IWL2" s="429"/>
      <c r="IWM2" s="429"/>
      <c r="IWN2" s="429"/>
      <c r="IWO2" s="428" t="s">
        <v>23</v>
      </c>
      <c r="IWP2" s="429"/>
      <c r="IWQ2" s="429"/>
      <c r="IWR2" s="429"/>
      <c r="IWS2" s="428" t="s">
        <v>23</v>
      </c>
      <c r="IWT2" s="429"/>
      <c r="IWU2" s="429"/>
      <c r="IWV2" s="429"/>
      <c r="IWW2" s="428" t="s">
        <v>23</v>
      </c>
      <c r="IWX2" s="429"/>
      <c r="IWY2" s="429"/>
      <c r="IWZ2" s="429"/>
      <c r="IXA2" s="428" t="s">
        <v>23</v>
      </c>
      <c r="IXB2" s="429"/>
      <c r="IXC2" s="429"/>
      <c r="IXD2" s="429"/>
      <c r="IXE2" s="428" t="s">
        <v>23</v>
      </c>
      <c r="IXF2" s="429"/>
      <c r="IXG2" s="429"/>
      <c r="IXH2" s="429"/>
      <c r="IXI2" s="428" t="s">
        <v>23</v>
      </c>
      <c r="IXJ2" s="429"/>
      <c r="IXK2" s="429"/>
      <c r="IXL2" s="429"/>
      <c r="IXM2" s="428" t="s">
        <v>23</v>
      </c>
      <c r="IXN2" s="429"/>
      <c r="IXO2" s="429"/>
      <c r="IXP2" s="429"/>
      <c r="IXQ2" s="428" t="s">
        <v>23</v>
      </c>
      <c r="IXR2" s="429"/>
      <c r="IXS2" s="429"/>
      <c r="IXT2" s="429"/>
      <c r="IXU2" s="428" t="s">
        <v>23</v>
      </c>
      <c r="IXV2" s="429"/>
      <c r="IXW2" s="429"/>
      <c r="IXX2" s="429"/>
      <c r="IXY2" s="428" t="s">
        <v>23</v>
      </c>
      <c r="IXZ2" s="429"/>
      <c r="IYA2" s="429"/>
      <c r="IYB2" s="429"/>
      <c r="IYC2" s="428" t="s">
        <v>23</v>
      </c>
      <c r="IYD2" s="429"/>
      <c r="IYE2" s="429"/>
      <c r="IYF2" s="429"/>
      <c r="IYG2" s="428" t="s">
        <v>23</v>
      </c>
      <c r="IYH2" s="429"/>
      <c r="IYI2" s="429"/>
      <c r="IYJ2" s="429"/>
      <c r="IYK2" s="428" t="s">
        <v>23</v>
      </c>
      <c r="IYL2" s="429"/>
      <c r="IYM2" s="429"/>
      <c r="IYN2" s="429"/>
      <c r="IYO2" s="428" t="s">
        <v>23</v>
      </c>
      <c r="IYP2" s="429"/>
      <c r="IYQ2" s="429"/>
      <c r="IYR2" s="429"/>
      <c r="IYS2" s="428" t="s">
        <v>23</v>
      </c>
      <c r="IYT2" s="429"/>
      <c r="IYU2" s="429"/>
      <c r="IYV2" s="429"/>
      <c r="IYW2" s="428" t="s">
        <v>23</v>
      </c>
      <c r="IYX2" s="429"/>
      <c r="IYY2" s="429"/>
      <c r="IYZ2" s="429"/>
      <c r="IZA2" s="428" t="s">
        <v>23</v>
      </c>
      <c r="IZB2" s="429"/>
      <c r="IZC2" s="429"/>
      <c r="IZD2" s="429"/>
      <c r="IZE2" s="428" t="s">
        <v>23</v>
      </c>
      <c r="IZF2" s="429"/>
      <c r="IZG2" s="429"/>
      <c r="IZH2" s="429"/>
      <c r="IZI2" s="428" t="s">
        <v>23</v>
      </c>
      <c r="IZJ2" s="429"/>
      <c r="IZK2" s="429"/>
      <c r="IZL2" s="429"/>
      <c r="IZM2" s="428" t="s">
        <v>23</v>
      </c>
      <c r="IZN2" s="429"/>
      <c r="IZO2" s="429"/>
      <c r="IZP2" s="429"/>
      <c r="IZQ2" s="428" t="s">
        <v>23</v>
      </c>
      <c r="IZR2" s="429"/>
      <c r="IZS2" s="429"/>
      <c r="IZT2" s="429"/>
      <c r="IZU2" s="428" t="s">
        <v>23</v>
      </c>
      <c r="IZV2" s="429"/>
      <c r="IZW2" s="429"/>
      <c r="IZX2" s="429"/>
      <c r="IZY2" s="428" t="s">
        <v>23</v>
      </c>
      <c r="IZZ2" s="429"/>
      <c r="JAA2" s="429"/>
      <c r="JAB2" s="429"/>
      <c r="JAC2" s="428" t="s">
        <v>23</v>
      </c>
      <c r="JAD2" s="429"/>
      <c r="JAE2" s="429"/>
      <c r="JAF2" s="429"/>
      <c r="JAG2" s="428" t="s">
        <v>23</v>
      </c>
      <c r="JAH2" s="429"/>
      <c r="JAI2" s="429"/>
      <c r="JAJ2" s="429"/>
      <c r="JAK2" s="428" t="s">
        <v>23</v>
      </c>
      <c r="JAL2" s="429"/>
      <c r="JAM2" s="429"/>
      <c r="JAN2" s="429"/>
      <c r="JAO2" s="428" t="s">
        <v>23</v>
      </c>
      <c r="JAP2" s="429"/>
      <c r="JAQ2" s="429"/>
      <c r="JAR2" s="429"/>
      <c r="JAS2" s="428" t="s">
        <v>23</v>
      </c>
      <c r="JAT2" s="429"/>
      <c r="JAU2" s="429"/>
      <c r="JAV2" s="429"/>
      <c r="JAW2" s="428" t="s">
        <v>23</v>
      </c>
      <c r="JAX2" s="429"/>
      <c r="JAY2" s="429"/>
      <c r="JAZ2" s="429"/>
      <c r="JBA2" s="428" t="s">
        <v>23</v>
      </c>
      <c r="JBB2" s="429"/>
      <c r="JBC2" s="429"/>
      <c r="JBD2" s="429"/>
      <c r="JBE2" s="428" t="s">
        <v>23</v>
      </c>
      <c r="JBF2" s="429"/>
      <c r="JBG2" s="429"/>
      <c r="JBH2" s="429"/>
      <c r="JBI2" s="428" t="s">
        <v>23</v>
      </c>
      <c r="JBJ2" s="429"/>
      <c r="JBK2" s="429"/>
      <c r="JBL2" s="429"/>
      <c r="JBM2" s="428" t="s">
        <v>23</v>
      </c>
      <c r="JBN2" s="429"/>
      <c r="JBO2" s="429"/>
      <c r="JBP2" s="429"/>
      <c r="JBQ2" s="428" t="s">
        <v>23</v>
      </c>
      <c r="JBR2" s="429"/>
      <c r="JBS2" s="429"/>
      <c r="JBT2" s="429"/>
      <c r="JBU2" s="428" t="s">
        <v>23</v>
      </c>
      <c r="JBV2" s="429"/>
      <c r="JBW2" s="429"/>
      <c r="JBX2" s="429"/>
      <c r="JBY2" s="428" t="s">
        <v>23</v>
      </c>
      <c r="JBZ2" s="429"/>
      <c r="JCA2" s="429"/>
      <c r="JCB2" s="429"/>
      <c r="JCC2" s="428" t="s">
        <v>23</v>
      </c>
      <c r="JCD2" s="429"/>
      <c r="JCE2" s="429"/>
      <c r="JCF2" s="429"/>
      <c r="JCG2" s="428" t="s">
        <v>23</v>
      </c>
      <c r="JCH2" s="429"/>
      <c r="JCI2" s="429"/>
      <c r="JCJ2" s="429"/>
      <c r="JCK2" s="428" t="s">
        <v>23</v>
      </c>
      <c r="JCL2" s="429"/>
      <c r="JCM2" s="429"/>
      <c r="JCN2" s="429"/>
      <c r="JCO2" s="428" t="s">
        <v>23</v>
      </c>
      <c r="JCP2" s="429"/>
      <c r="JCQ2" s="429"/>
      <c r="JCR2" s="429"/>
      <c r="JCS2" s="428" t="s">
        <v>23</v>
      </c>
      <c r="JCT2" s="429"/>
      <c r="JCU2" s="429"/>
      <c r="JCV2" s="429"/>
      <c r="JCW2" s="428" t="s">
        <v>23</v>
      </c>
      <c r="JCX2" s="429"/>
      <c r="JCY2" s="429"/>
      <c r="JCZ2" s="429"/>
      <c r="JDA2" s="428" t="s">
        <v>23</v>
      </c>
      <c r="JDB2" s="429"/>
      <c r="JDC2" s="429"/>
      <c r="JDD2" s="429"/>
      <c r="JDE2" s="428" t="s">
        <v>23</v>
      </c>
      <c r="JDF2" s="429"/>
      <c r="JDG2" s="429"/>
      <c r="JDH2" s="429"/>
      <c r="JDI2" s="428" t="s">
        <v>23</v>
      </c>
      <c r="JDJ2" s="429"/>
      <c r="JDK2" s="429"/>
      <c r="JDL2" s="429"/>
      <c r="JDM2" s="428" t="s">
        <v>23</v>
      </c>
      <c r="JDN2" s="429"/>
      <c r="JDO2" s="429"/>
      <c r="JDP2" s="429"/>
      <c r="JDQ2" s="428" t="s">
        <v>23</v>
      </c>
      <c r="JDR2" s="429"/>
      <c r="JDS2" s="429"/>
      <c r="JDT2" s="429"/>
      <c r="JDU2" s="428" t="s">
        <v>23</v>
      </c>
      <c r="JDV2" s="429"/>
      <c r="JDW2" s="429"/>
      <c r="JDX2" s="429"/>
      <c r="JDY2" s="428" t="s">
        <v>23</v>
      </c>
      <c r="JDZ2" s="429"/>
      <c r="JEA2" s="429"/>
      <c r="JEB2" s="429"/>
      <c r="JEC2" s="428" t="s">
        <v>23</v>
      </c>
      <c r="JED2" s="429"/>
      <c r="JEE2" s="429"/>
      <c r="JEF2" s="429"/>
      <c r="JEG2" s="428" t="s">
        <v>23</v>
      </c>
      <c r="JEH2" s="429"/>
      <c r="JEI2" s="429"/>
      <c r="JEJ2" s="429"/>
      <c r="JEK2" s="428" t="s">
        <v>23</v>
      </c>
      <c r="JEL2" s="429"/>
      <c r="JEM2" s="429"/>
      <c r="JEN2" s="429"/>
      <c r="JEO2" s="428" t="s">
        <v>23</v>
      </c>
      <c r="JEP2" s="429"/>
      <c r="JEQ2" s="429"/>
      <c r="JER2" s="429"/>
      <c r="JES2" s="428" t="s">
        <v>23</v>
      </c>
      <c r="JET2" s="429"/>
      <c r="JEU2" s="429"/>
      <c r="JEV2" s="429"/>
      <c r="JEW2" s="428" t="s">
        <v>23</v>
      </c>
      <c r="JEX2" s="429"/>
      <c r="JEY2" s="429"/>
      <c r="JEZ2" s="429"/>
      <c r="JFA2" s="428" t="s">
        <v>23</v>
      </c>
      <c r="JFB2" s="429"/>
      <c r="JFC2" s="429"/>
      <c r="JFD2" s="429"/>
      <c r="JFE2" s="428" t="s">
        <v>23</v>
      </c>
      <c r="JFF2" s="429"/>
      <c r="JFG2" s="429"/>
      <c r="JFH2" s="429"/>
      <c r="JFI2" s="428" t="s">
        <v>23</v>
      </c>
      <c r="JFJ2" s="429"/>
      <c r="JFK2" s="429"/>
      <c r="JFL2" s="429"/>
      <c r="JFM2" s="428" t="s">
        <v>23</v>
      </c>
      <c r="JFN2" s="429"/>
      <c r="JFO2" s="429"/>
      <c r="JFP2" s="429"/>
      <c r="JFQ2" s="428" t="s">
        <v>23</v>
      </c>
      <c r="JFR2" s="429"/>
      <c r="JFS2" s="429"/>
      <c r="JFT2" s="429"/>
      <c r="JFU2" s="428" t="s">
        <v>23</v>
      </c>
      <c r="JFV2" s="429"/>
      <c r="JFW2" s="429"/>
      <c r="JFX2" s="429"/>
      <c r="JFY2" s="428" t="s">
        <v>23</v>
      </c>
      <c r="JFZ2" s="429"/>
      <c r="JGA2" s="429"/>
      <c r="JGB2" s="429"/>
      <c r="JGC2" s="428" t="s">
        <v>23</v>
      </c>
      <c r="JGD2" s="429"/>
      <c r="JGE2" s="429"/>
      <c r="JGF2" s="429"/>
      <c r="JGG2" s="428" t="s">
        <v>23</v>
      </c>
      <c r="JGH2" s="429"/>
      <c r="JGI2" s="429"/>
      <c r="JGJ2" s="429"/>
      <c r="JGK2" s="428" t="s">
        <v>23</v>
      </c>
      <c r="JGL2" s="429"/>
      <c r="JGM2" s="429"/>
      <c r="JGN2" s="429"/>
      <c r="JGO2" s="428" t="s">
        <v>23</v>
      </c>
      <c r="JGP2" s="429"/>
      <c r="JGQ2" s="429"/>
      <c r="JGR2" s="429"/>
      <c r="JGS2" s="428" t="s">
        <v>23</v>
      </c>
      <c r="JGT2" s="429"/>
      <c r="JGU2" s="429"/>
      <c r="JGV2" s="429"/>
      <c r="JGW2" s="428" t="s">
        <v>23</v>
      </c>
      <c r="JGX2" s="429"/>
      <c r="JGY2" s="429"/>
      <c r="JGZ2" s="429"/>
      <c r="JHA2" s="428" t="s">
        <v>23</v>
      </c>
      <c r="JHB2" s="429"/>
      <c r="JHC2" s="429"/>
      <c r="JHD2" s="429"/>
      <c r="JHE2" s="428" t="s">
        <v>23</v>
      </c>
      <c r="JHF2" s="429"/>
      <c r="JHG2" s="429"/>
      <c r="JHH2" s="429"/>
      <c r="JHI2" s="428" t="s">
        <v>23</v>
      </c>
      <c r="JHJ2" s="429"/>
      <c r="JHK2" s="429"/>
      <c r="JHL2" s="429"/>
      <c r="JHM2" s="428" t="s">
        <v>23</v>
      </c>
      <c r="JHN2" s="429"/>
      <c r="JHO2" s="429"/>
      <c r="JHP2" s="429"/>
      <c r="JHQ2" s="428" t="s">
        <v>23</v>
      </c>
      <c r="JHR2" s="429"/>
      <c r="JHS2" s="429"/>
      <c r="JHT2" s="429"/>
      <c r="JHU2" s="428" t="s">
        <v>23</v>
      </c>
      <c r="JHV2" s="429"/>
      <c r="JHW2" s="429"/>
      <c r="JHX2" s="429"/>
      <c r="JHY2" s="428" t="s">
        <v>23</v>
      </c>
      <c r="JHZ2" s="429"/>
      <c r="JIA2" s="429"/>
      <c r="JIB2" s="429"/>
      <c r="JIC2" s="428" t="s">
        <v>23</v>
      </c>
      <c r="JID2" s="429"/>
      <c r="JIE2" s="429"/>
      <c r="JIF2" s="429"/>
      <c r="JIG2" s="428" t="s">
        <v>23</v>
      </c>
      <c r="JIH2" s="429"/>
      <c r="JII2" s="429"/>
      <c r="JIJ2" s="429"/>
      <c r="JIK2" s="428" t="s">
        <v>23</v>
      </c>
      <c r="JIL2" s="429"/>
      <c r="JIM2" s="429"/>
      <c r="JIN2" s="429"/>
      <c r="JIO2" s="428" t="s">
        <v>23</v>
      </c>
      <c r="JIP2" s="429"/>
      <c r="JIQ2" s="429"/>
      <c r="JIR2" s="429"/>
      <c r="JIS2" s="428" t="s">
        <v>23</v>
      </c>
      <c r="JIT2" s="429"/>
      <c r="JIU2" s="429"/>
      <c r="JIV2" s="429"/>
      <c r="JIW2" s="428" t="s">
        <v>23</v>
      </c>
      <c r="JIX2" s="429"/>
      <c r="JIY2" s="429"/>
      <c r="JIZ2" s="429"/>
      <c r="JJA2" s="428" t="s">
        <v>23</v>
      </c>
      <c r="JJB2" s="429"/>
      <c r="JJC2" s="429"/>
      <c r="JJD2" s="429"/>
      <c r="JJE2" s="428" t="s">
        <v>23</v>
      </c>
      <c r="JJF2" s="429"/>
      <c r="JJG2" s="429"/>
      <c r="JJH2" s="429"/>
      <c r="JJI2" s="428" t="s">
        <v>23</v>
      </c>
      <c r="JJJ2" s="429"/>
      <c r="JJK2" s="429"/>
      <c r="JJL2" s="429"/>
      <c r="JJM2" s="428" t="s">
        <v>23</v>
      </c>
      <c r="JJN2" s="429"/>
      <c r="JJO2" s="429"/>
      <c r="JJP2" s="429"/>
      <c r="JJQ2" s="428" t="s">
        <v>23</v>
      </c>
      <c r="JJR2" s="429"/>
      <c r="JJS2" s="429"/>
      <c r="JJT2" s="429"/>
      <c r="JJU2" s="428" t="s">
        <v>23</v>
      </c>
      <c r="JJV2" s="429"/>
      <c r="JJW2" s="429"/>
      <c r="JJX2" s="429"/>
      <c r="JJY2" s="428" t="s">
        <v>23</v>
      </c>
      <c r="JJZ2" s="429"/>
      <c r="JKA2" s="429"/>
      <c r="JKB2" s="429"/>
      <c r="JKC2" s="428" t="s">
        <v>23</v>
      </c>
      <c r="JKD2" s="429"/>
      <c r="JKE2" s="429"/>
      <c r="JKF2" s="429"/>
      <c r="JKG2" s="428" t="s">
        <v>23</v>
      </c>
      <c r="JKH2" s="429"/>
      <c r="JKI2" s="429"/>
      <c r="JKJ2" s="429"/>
      <c r="JKK2" s="428" t="s">
        <v>23</v>
      </c>
      <c r="JKL2" s="429"/>
      <c r="JKM2" s="429"/>
      <c r="JKN2" s="429"/>
      <c r="JKO2" s="428" t="s">
        <v>23</v>
      </c>
      <c r="JKP2" s="429"/>
      <c r="JKQ2" s="429"/>
      <c r="JKR2" s="429"/>
      <c r="JKS2" s="428" t="s">
        <v>23</v>
      </c>
      <c r="JKT2" s="429"/>
      <c r="JKU2" s="429"/>
      <c r="JKV2" s="429"/>
      <c r="JKW2" s="428" t="s">
        <v>23</v>
      </c>
      <c r="JKX2" s="429"/>
      <c r="JKY2" s="429"/>
      <c r="JKZ2" s="429"/>
      <c r="JLA2" s="428" t="s">
        <v>23</v>
      </c>
      <c r="JLB2" s="429"/>
      <c r="JLC2" s="429"/>
      <c r="JLD2" s="429"/>
      <c r="JLE2" s="428" t="s">
        <v>23</v>
      </c>
      <c r="JLF2" s="429"/>
      <c r="JLG2" s="429"/>
      <c r="JLH2" s="429"/>
      <c r="JLI2" s="428" t="s">
        <v>23</v>
      </c>
      <c r="JLJ2" s="429"/>
      <c r="JLK2" s="429"/>
      <c r="JLL2" s="429"/>
      <c r="JLM2" s="428" t="s">
        <v>23</v>
      </c>
      <c r="JLN2" s="429"/>
      <c r="JLO2" s="429"/>
      <c r="JLP2" s="429"/>
      <c r="JLQ2" s="428" t="s">
        <v>23</v>
      </c>
      <c r="JLR2" s="429"/>
      <c r="JLS2" s="429"/>
      <c r="JLT2" s="429"/>
      <c r="JLU2" s="428" t="s">
        <v>23</v>
      </c>
      <c r="JLV2" s="429"/>
      <c r="JLW2" s="429"/>
      <c r="JLX2" s="429"/>
      <c r="JLY2" s="428" t="s">
        <v>23</v>
      </c>
      <c r="JLZ2" s="429"/>
      <c r="JMA2" s="429"/>
      <c r="JMB2" s="429"/>
      <c r="JMC2" s="428" t="s">
        <v>23</v>
      </c>
      <c r="JMD2" s="429"/>
      <c r="JME2" s="429"/>
      <c r="JMF2" s="429"/>
      <c r="JMG2" s="428" t="s">
        <v>23</v>
      </c>
      <c r="JMH2" s="429"/>
      <c r="JMI2" s="429"/>
      <c r="JMJ2" s="429"/>
      <c r="JMK2" s="428" t="s">
        <v>23</v>
      </c>
      <c r="JML2" s="429"/>
      <c r="JMM2" s="429"/>
      <c r="JMN2" s="429"/>
      <c r="JMO2" s="428" t="s">
        <v>23</v>
      </c>
      <c r="JMP2" s="429"/>
      <c r="JMQ2" s="429"/>
      <c r="JMR2" s="429"/>
      <c r="JMS2" s="428" t="s">
        <v>23</v>
      </c>
      <c r="JMT2" s="429"/>
      <c r="JMU2" s="429"/>
      <c r="JMV2" s="429"/>
      <c r="JMW2" s="428" t="s">
        <v>23</v>
      </c>
      <c r="JMX2" s="429"/>
      <c r="JMY2" s="429"/>
      <c r="JMZ2" s="429"/>
      <c r="JNA2" s="428" t="s">
        <v>23</v>
      </c>
      <c r="JNB2" s="429"/>
      <c r="JNC2" s="429"/>
      <c r="JND2" s="429"/>
      <c r="JNE2" s="428" t="s">
        <v>23</v>
      </c>
      <c r="JNF2" s="429"/>
      <c r="JNG2" s="429"/>
      <c r="JNH2" s="429"/>
      <c r="JNI2" s="428" t="s">
        <v>23</v>
      </c>
      <c r="JNJ2" s="429"/>
      <c r="JNK2" s="429"/>
      <c r="JNL2" s="429"/>
      <c r="JNM2" s="428" t="s">
        <v>23</v>
      </c>
      <c r="JNN2" s="429"/>
      <c r="JNO2" s="429"/>
      <c r="JNP2" s="429"/>
      <c r="JNQ2" s="428" t="s">
        <v>23</v>
      </c>
      <c r="JNR2" s="429"/>
      <c r="JNS2" s="429"/>
      <c r="JNT2" s="429"/>
      <c r="JNU2" s="428" t="s">
        <v>23</v>
      </c>
      <c r="JNV2" s="429"/>
      <c r="JNW2" s="429"/>
      <c r="JNX2" s="429"/>
      <c r="JNY2" s="428" t="s">
        <v>23</v>
      </c>
      <c r="JNZ2" s="429"/>
      <c r="JOA2" s="429"/>
      <c r="JOB2" s="429"/>
      <c r="JOC2" s="428" t="s">
        <v>23</v>
      </c>
      <c r="JOD2" s="429"/>
      <c r="JOE2" s="429"/>
      <c r="JOF2" s="429"/>
      <c r="JOG2" s="428" t="s">
        <v>23</v>
      </c>
      <c r="JOH2" s="429"/>
      <c r="JOI2" s="429"/>
      <c r="JOJ2" s="429"/>
      <c r="JOK2" s="428" t="s">
        <v>23</v>
      </c>
      <c r="JOL2" s="429"/>
      <c r="JOM2" s="429"/>
      <c r="JON2" s="429"/>
      <c r="JOO2" s="428" t="s">
        <v>23</v>
      </c>
      <c r="JOP2" s="429"/>
      <c r="JOQ2" s="429"/>
      <c r="JOR2" s="429"/>
      <c r="JOS2" s="428" t="s">
        <v>23</v>
      </c>
      <c r="JOT2" s="429"/>
      <c r="JOU2" s="429"/>
      <c r="JOV2" s="429"/>
      <c r="JOW2" s="428" t="s">
        <v>23</v>
      </c>
      <c r="JOX2" s="429"/>
      <c r="JOY2" s="429"/>
      <c r="JOZ2" s="429"/>
      <c r="JPA2" s="428" t="s">
        <v>23</v>
      </c>
      <c r="JPB2" s="429"/>
      <c r="JPC2" s="429"/>
      <c r="JPD2" s="429"/>
      <c r="JPE2" s="428" t="s">
        <v>23</v>
      </c>
      <c r="JPF2" s="429"/>
      <c r="JPG2" s="429"/>
      <c r="JPH2" s="429"/>
      <c r="JPI2" s="428" t="s">
        <v>23</v>
      </c>
      <c r="JPJ2" s="429"/>
      <c r="JPK2" s="429"/>
      <c r="JPL2" s="429"/>
      <c r="JPM2" s="428" t="s">
        <v>23</v>
      </c>
      <c r="JPN2" s="429"/>
      <c r="JPO2" s="429"/>
      <c r="JPP2" s="429"/>
      <c r="JPQ2" s="428" t="s">
        <v>23</v>
      </c>
      <c r="JPR2" s="429"/>
      <c r="JPS2" s="429"/>
      <c r="JPT2" s="429"/>
      <c r="JPU2" s="428" t="s">
        <v>23</v>
      </c>
      <c r="JPV2" s="429"/>
      <c r="JPW2" s="429"/>
      <c r="JPX2" s="429"/>
      <c r="JPY2" s="428" t="s">
        <v>23</v>
      </c>
      <c r="JPZ2" s="429"/>
      <c r="JQA2" s="429"/>
      <c r="JQB2" s="429"/>
      <c r="JQC2" s="428" t="s">
        <v>23</v>
      </c>
      <c r="JQD2" s="429"/>
      <c r="JQE2" s="429"/>
      <c r="JQF2" s="429"/>
      <c r="JQG2" s="428" t="s">
        <v>23</v>
      </c>
      <c r="JQH2" s="429"/>
      <c r="JQI2" s="429"/>
      <c r="JQJ2" s="429"/>
      <c r="JQK2" s="428" t="s">
        <v>23</v>
      </c>
      <c r="JQL2" s="429"/>
      <c r="JQM2" s="429"/>
      <c r="JQN2" s="429"/>
      <c r="JQO2" s="428" t="s">
        <v>23</v>
      </c>
      <c r="JQP2" s="429"/>
      <c r="JQQ2" s="429"/>
      <c r="JQR2" s="429"/>
      <c r="JQS2" s="428" t="s">
        <v>23</v>
      </c>
      <c r="JQT2" s="429"/>
      <c r="JQU2" s="429"/>
      <c r="JQV2" s="429"/>
      <c r="JQW2" s="428" t="s">
        <v>23</v>
      </c>
      <c r="JQX2" s="429"/>
      <c r="JQY2" s="429"/>
      <c r="JQZ2" s="429"/>
      <c r="JRA2" s="428" t="s">
        <v>23</v>
      </c>
      <c r="JRB2" s="429"/>
      <c r="JRC2" s="429"/>
      <c r="JRD2" s="429"/>
      <c r="JRE2" s="428" t="s">
        <v>23</v>
      </c>
      <c r="JRF2" s="429"/>
      <c r="JRG2" s="429"/>
      <c r="JRH2" s="429"/>
      <c r="JRI2" s="428" t="s">
        <v>23</v>
      </c>
      <c r="JRJ2" s="429"/>
      <c r="JRK2" s="429"/>
      <c r="JRL2" s="429"/>
      <c r="JRM2" s="428" t="s">
        <v>23</v>
      </c>
      <c r="JRN2" s="429"/>
      <c r="JRO2" s="429"/>
      <c r="JRP2" s="429"/>
      <c r="JRQ2" s="428" t="s">
        <v>23</v>
      </c>
      <c r="JRR2" s="429"/>
      <c r="JRS2" s="429"/>
      <c r="JRT2" s="429"/>
      <c r="JRU2" s="428" t="s">
        <v>23</v>
      </c>
      <c r="JRV2" s="429"/>
      <c r="JRW2" s="429"/>
      <c r="JRX2" s="429"/>
      <c r="JRY2" s="428" t="s">
        <v>23</v>
      </c>
      <c r="JRZ2" s="429"/>
      <c r="JSA2" s="429"/>
      <c r="JSB2" s="429"/>
      <c r="JSC2" s="428" t="s">
        <v>23</v>
      </c>
      <c r="JSD2" s="429"/>
      <c r="JSE2" s="429"/>
      <c r="JSF2" s="429"/>
      <c r="JSG2" s="428" t="s">
        <v>23</v>
      </c>
      <c r="JSH2" s="429"/>
      <c r="JSI2" s="429"/>
      <c r="JSJ2" s="429"/>
      <c r="JSK2" s="428" t="s">
        <v>23</v>
      </c>
      <c r="JSL2" s="429"/>
      <c r="JSM2" s="429"/>
      <c r="JSN2" s="429"/>
      <c r="JSO2" s="428" t="s">
        <v>23</v>
      </c>
      <c r="JSP2" s="429"/>
      <c r="JSQ2" s="429"/>
      <c r="JSR2" s="429"/>
      <c r="JSS2" s="428" t="s">
        <v>23</v>
      </c>
      <c r="JST2" s="429"/>
      <c r="JSU2" s="429"/>
      <c r="JSV2" s="429"/>
      <c r="JSW2" s="428" t="s">
        <v>23</v>
      </c>
      <c r="JSX2" s="429"/>
      <c r="JSY2" s="429"/>
      <c r="JSZ2" s="429"/>
      <c r="JTA2" s="428" t="s">
        <v>23</v>
      </c>
      <c r="JTB2" s="429"/>
      <c r="JTC2" s="429"/>
      <c r="JTD2" s="429"/>
      <c r="JTE2" s="428" t="s">
        <v>23</v>
      </c>
      <c r="JTF2" s="429"/>
      <c r="JTG2" s="429"/>
      <c r="JTH2" s="429"/>
      <c r="JTI2" s="428" t="s">
        <v>23</v>
      </c>
      <c r="JTJ2" s="429"/>
      <c r="JTK2" s="429"/>
      <c r="JTL2" s="429"/>
      <c r="JTM2" s="428" t="s">
        <v>23</v>
      </c>
      <c r="JTN2" s="429"/>
      <c r="JTO2" s="429"/>
      <c r="JTP2" s="429"/>
      <c r="JTQ2" s="428" t="s">
        <v>23</v>
      </c>
      <c r="JTR2" s="429"/>
      <c r="JTS2" s="429"/>
      <c r="JTT2" s="429"/>
      <c r="JTU2" s="428" t="s">
        <v>23</v>
      </c>
      <c r="JTV2" s="429"/>
      <c r="JTW2" s="429"/>
      <c r="JTX2" s="429"/>
      <c r="JTY2" s="428" t="s">
        <v>23</v>
      </c>
      <c r="JTZ2" s="429"/>
      <c r="JUA2" s="429"/>
      <c r="JUB2" s="429"/>
      <c r="JUC2" s="428" t="s">
        <v>23</v>
      </c>
      <c r="JUD2" s="429"/>
      <c r="JUE2" s="429"/>
      <c r="JUF2" s="429"/>
      <c r="JUG2" s="428" t="s">
        <v>23</v>
      </c>
      <c r="JUH2" s="429"/>
      <c r="JUI2" s="429"/>
      <c r="JUJ2" s="429"/>
      <c r="JUK2" s="428" t="s">
        <v>23</v>
      </c>
      <c r="JUL2" s="429"/>
      <c r="JUM2" s="429"/>
      <c r="JUN2" s="429"/>
      <c r="JUO2" s="428" t="s">
        <v>23</v>
      </c>
      <c r="JUP2" s="429"/>
      <c r="JUQ2" s="429"/>
      <c r="JUR2" s="429"/>
      <c r="JUS2" s="428" t="s">
        <v>23</v>
      </c>
      <c r="JUT2" s="429"/>
      <c r="JUU2" s="429"/>
      <c r="JUV2" s="429"/>
      <c r="JUW2" s="428" t="s">
        <v>23</v>
      </c>
      <c r="JUX2" s="429"/>
      <c r="JUY2" s="429"/>
      <c r="JUZ2" s="429"/>
      <c r="JVA2" s="428" t="s">
        <v>23</v>
      </c>
      <c r="JVB2" s="429"/>
      <c r="JVC2" s="429"/>
      <c r="JVD2" s="429"/>
      <c r="JVE2" s="428" t="s">
        <v>23</v>
      </c>
      <c r="JVF2" s="429"/>
      <c r="JVG2" s="429"/>
      <c r="JVH2" s="429"/>
      <c r="JVI2" s="428" t="s">
        <v>23</v>
      </c>
      <c r="JVJ2" s="429"/>
      <c r="JVK2" s="429"/>
      <c r="JVL2" s="429"/>
      <c r="JVM2" s="428" t="s">
        <v>23</v>
      </c>
      <c r="JVN2" s="429"/>
      <c r="JVO2" s="429"/>
      <c r="JVP2" s="429"/>
      <c r="JVQ2" s="428" t="s">
        <v>23</v>
      </c>
      <c r="JVR2" s="429"/>
      <c r="JVS2" s="429"/>
      <c r="JVT2" s="429"/>
      <c r="JVU2" s="428" t="s">
        <v>23</v>
      </c>
      <c r="JVV2" s="429"/>
      <c r="JVW2" s="429"/>
      <c r="JVX2" s="429"/>
      <c r="JVY2" s="428" t="s">
        <v>23</v>
      </c>
      <c r="JVZ2" s="429"/>
      <c r="JWA2" s="429"/>
      <c r="JWB2" s="429"/>
      <c r="JWC2" s="428" t="s">
        <v>23</v>
      </c>
      <c r="JWD2" s="429"/>
      <c r="JWE2" s="429"/>
      <c r="JWF2" s="429"/>
      <c r="JWG2" s="428" t="s">
        <v>23</v>
      </c>
      <c r="JWH2" s="429"/>
      <c r="JWI2" s="429"/>
      <c r="JWJ2" s="429"/>
      <c r="JWK2" s="428" t="s">
        <v>23</v>
      </c>
      <c r="JWL2" s="429"/>
      <c r="JWM2" s="429"/>
      <c r="JWN2" s="429"/>
      <c r="JWO2" s="428" t="s">
        <v>23</v>
      </c>
      <c r="JWP2" s="429"/>
      <c r="JWQ2" s="429"/>
      <c r="JWR2" s="429"/>
      <c r="JWS2" s="428" t="s">
        <v>23</v>
      </c>
      <c r="JWT2" s="429"/>
      <c r="JWU2" s="429"/>
      <c r="JWV2" s="429"/>
      <c r="JWW2" s="428" t="s">
        <v>23</v>
      </c>
      <c r="JWX2" s="429"/>
      <c r="JWY2" s="429"/>
      <c r="JWZ2" s="429"/>
      <c r="JXA2" s="428" t="s">
        <v>23</v>
      </c>
      <c r="JXB2" s="429"/>
      <c r="JXC2" s="429"/>
      <c r="JXD2" s="429"/>
      <c r="JXE2" s="428" t="s">
        <v>23</v>
      </c>
      <c r="JXF2" s="429"/>
      <c r="JXG2" s="429"/>
      <c r="JXH2" s="429"/>
      <c r="JXI2" s="428" t="s">
        <v>23</v>
      </c>
      <c r="JXJ2" s="429"/>
      <c r="JXK2" s="429"/>
      <c r="JXL2" s="429"/>
      <c r="JXM2" s="428" t="s">
        <v>23</v>
      </c>
      <c r="JXN2" s="429"/>
      <c r="JXO2" s="429"/>
      <c r="JXP2" s="429"/>
      <c r="JXQ2" s="428" t="s">
        <v>23</v>
      </c>
      <c r="JXR2" s="429"/>
      <c r="JXS2" s="429"/>
      <c r="JXT2" s="429"/>
      <c r="JXU2" s="428" t="s">
        <v>23</v>
      </c>
      <c r="JXV2" s="429"/>
      <c r="JXW2" s="429"/>
      <c r="JXX2" s="429"/>
      <c r="JXY2" s="428" t="s">
        <v>23</v>
      </c>
      <c r="JXZ2" s="429"/>
      <c r="JYA2" s="429"/>
      <c r="JYB2" s="429"/>
      <c r="JYC2" s="428" t="s">
        <v>23</v>
      </c>
      <c r="JYD2" s="429"/>
      <c r="JYE2" s="429"/>
      <c r="JYF2" s="429"/>
      <c r="JYG2" s="428" t="s">
        <v>23</v>
      </c>
      <c r="JYH2" s="429"/>
      <c r="JYI2" s="429"/>
      <c r="JYJ2" s="429"/>
      <c r="JYK2" s="428" t="s">
        <v>23</v>
      </c>
      <c r="JYL2" s="429"/>
      <c r="JYM2" s="429"/>
      <c r="JYN2" s="429"/>
      <c r="JYO2" s="428" t="s">
        <v>23</v>
      </c>
      <c r="JYP2" s="429"/>
      <c r="JYQ2" s="429"/>
      <c r="JYR2" s="429"/>
      <c r="JYS2" s="428" t="s">
        <v>23</v>
      </c>
      <c r="JYT2" s="429"/>
      <c r="JYU2" s="429"/>
      <c r="JYV2" s="429"/>
      <c r="JYW2" s="428" t="s">
        <v>23</v>
      </c>
      <c r="JYX2" s="429"/>
      <c r="JYY2" s="429"/>
      <c r="JYZ2" s="429"/>
      <c r="JZA2" s="428" t="s">
        <v>23</v>
      </c>
      <c r="JZB2" s="429"/>
      <c r="JZC2" s="429"/>
      <c r="JZD2" s="429"/>
      <c r="JZE2" s="428" t="s">
        <v>23</v>
      </c>
      <c r="JZF2" s="429"/>
      <c r="JZG2" s="429"/>
      <c r="JZH2" s="429"/>
      <c r="JZI2" s="428" t="s">
        <v>23</v>
      </c>
      <c r="JZJ2" s="429"/>
      <c r="JZK2" s="429"/>
      <c r="JZL2" s="429"/>
      <c r="JZM2" s="428" t="s">
        <v>23</v>
      </c>
      <c r="JZN2" s="429"/>
      <c r="JZO2" s="429"/>
      <c r="JZP2" s="429"/>
      <c r="JZQ2" s="428" t="s">
        <v>23</v>
      </c>
      <c r="JZR2" s="429"/>
      <c r="JZS2" s="429"/>
      <c r="JZT2" s="429"/>
      <c r="JZU2" s="428" t="s">
        <v>23</v>
      </c>
      <c r="JZV2" s="429"/>
      <c r="JZW2" s="429"/>
      <c r="JZX2" s="429"/>
      <c r="JZY2" s="428" t="s">
        <v>23</v>
      </c>
      <c r="JZZ2" s="429"/>
      <c r="KAA2" s="429"/>
      <c r="KAB2" s="429"/>
      <c r="KAC2" s="428" t="s">
        <v>23</v>
      </c>
      <c r="KAD2" s="429"/>
      <c r="KAE2" s="429"/>
      <c r="KAF2" s="429"/>
      <c r="KAG2" s="428" t="s">
        <v>23</v>
      </c>
      <c r="KAH2" s="429"/>
      <c r="KAI2" s="429"/>
      <c r="KAJ2" s="429"/>
      <c r="KAK2" s="428" t="s">
        <v>23</v>
      </c>
      <c r="KAL2" s="429"/>
      <c r="KAM2" s="429"/>
      <c r="KAN2" s="429"/>
      <c r="KAO2" s="428" t="s">
        <v>23</v>
      </c>
      <c r="KAP2" s="429"/>
      <c r="KAQ2" s="429"/>
      <c r="KAR2" s="429"/>
      <c r="KAS2" s="428" t="s">
        <v>23</v>
      </c>
      <c r="KAT2" s="429"/>
      <c r="KAU2" s="429"/>
      <c r="KAV2" s="429"/>
      <c r="KAW2" s="428" t="s">
        <v>23</v>
      </c>
      <c r="KAX2" s="429"/>
      <c r="KAY2" s="429"/>
      <c r="KAZ2" s="429"/>
      <c r="KBA2" s="428" t="s">
        <v>23</v>
      </c>
      <c r="KBB2" s="429"/>
      <c r="KBC2" s="429"/>
      <c r="KBD2" s="429"/>
      <c r="KBE2" s="428" t="s">
        <v>23</v>
      </c>
      <c r="KBF2" s="429"/>
      <c r="KBG2" s="429"/>
      <c r="KBH2" s="429"/>
      <c r="KBI2" s="428" t="s">
        <v>23</v>
      </c>
      <c r="KBJ2" s="429"/>
      <c r="KBK2" s="429"/>
      <c r="KBL2" s="429"/>
      <c r="KBM2" s="428" t="s">
        <v>23</v>
      </c>
      <c r="KBN2" s="429"/>
      <c r="KBO2" s="429"/>
      <c r="KBP2" s="429"/>
      <c r="KBQ2" s="428" t="s">
        <v>23</v>
      </c>
      <c r="KBR2" s="429"/>
      <c r="KBS2" s="429"/>
      <c r="KBT2" s="429"/>
      <c r="KBU2" s="428" t="s">
        <v>23</v>
      </c>
      <c r="KBV2" s="429"/>
      <c r="KBW2" s="429"/>
      <c r="KBX2" s="429"/>
      <c r="KBY2" s="428" t="s">
        <v>23</v>
      </c>
      <c r="KBZ2" s="429"/>
      <c r="KCA2" s="429"/>
      <c r="KCB2" s="429"/>
      <c r="KCC2" s="428" t="s">
        <v>23</v>
      </c>
      <c r="KCD2" s="429"/>
      <c r="KCE2" s="429"/>
      <c r="KCF2" s="429"/>
      <c r="KCG2" s="428" t="s">
        <v>23</v>
      </c>
      <c r="KCH2" s="429"/>
      <c r="KCI2" s="429"/>
      <c r="KCJ2" s="429"/>
      <c r="KCK2" s="428" t="s">
        <v>23</v>
      </c>
      <c r="KCL2" s="429"/>
      <c r="KCM2" s="429"/>
      <c r="KCN2" s="429"/>
      <c r="KCO2" s="428" t="s">
        <v>23</v>
      </c>
      <c r="KCP2" s="429"/>
      <c r="KCQ2" s="429"/>
      <c r="KCR2" s="429"/>
      <c r="KCS2" s="428" t="s">
        <v>23</v>
      </c>
      <c r="KCT2" s="429"/>
      <c r="KCU2" s="429"/>
      <c r="KCV2" s="429"/>
      <c r="KCW2" s="428" t="s">
        <v>23</v>
      </c>
      <c r="KCX2" s="429"/>
      <c r="KCY2" s="429"/>
      <c r="KCZ2" s="429"/>
      <c r="KDA2" s="428" t="s">
        <v>23</v>
      </c>
      <c r="KDB2" s="429"/>
      <c r="KDC2" s="429"/>
      <c r="KDD2" s="429"/>
      <c r="KDE2" s="428" t="s">
        <v>23</v>
      </c>
      <c r="KDF2" s="429"/>
      <c r="KDG2" s="429"/>
      <c r="KDH2" s="429"/>
      <c r="KDI2" s="428" t="s">
        <v>23</v>
      </c>
      <c r="KDJ2" s="429"/>
      <c r="KDK2" s="429"/>
      <c r="KDL2" s="429"/>
      <c r="KDM2" s="428" t="s">
        <v>23</v>
      </c>
      <c r="KDN2" s="429"/>
      <c r="KDO2" s="429"/>
      <c r="KDP2" s="429"/>
      <c r="KDQ2" s="428" t="s">
        <v>23</v>
      </c>
      <c r="KDR2" s="429"/>
      <c r="KDS2" s="429"/>
      <c r="KDT2" s="429"/>
      <c r="KDU2" s="428" t="s">
        <v>23</v>
      </c>
      <c r="KDV2" s="429"/>
      <c r="KDW2" s="429"/>
      <c r="KDX2" s="429"/>
      <c r="KDY2" s="428" t="s">
        <v>23</v>
      </c>
      <c r="KDZ2" s="429"/>
      <c r="KEA2" s="429"/>
      <c r="KEB2" s="429"/>
      <c r="KEC2" s="428" t="s">
        <v>23</v>
      </c>
      <c r="KED2" s="429"/>
      <c r="KEE2" s="429"/>
      <c r="KEF2" s="429"/>
      <c r="KEG2" s="428" t="s">
        <v>23</v>
      </c>
      <c r="KEH2" s="429"/>
      <c r="KEI2" s="429"/>
      <c r="KEJ2" s="429"/>
      <c r="KEK2" s="428" t="s">
        <v>23</v>
      </c>
      <c r="KEL2" s="429"/>
      <c r="KEM2" s="429"/>
      <c r="KEN2" s="429"/>
      <c r="KEO2" s="428" t="s">
        <v>23</v>
      </c>
      <c r="KEP2" s="429"/>
      <c r="KEQ2" s="429"/>
      <c r="KER2" s="429"/>
      <c r="KES2" s="428" t="s">
        <v>23</v>
      </c>
      <c r="KET2" s="429"/>
      <c r="KEU2" s="429"/>
      <c r="KEV2" s="429"/>
      <c r="KEW2" s="428" t="s">
        <v>23</v>
      </c>
      <c r="KEX2" s="429"/>
      <c r="KEY2" s="429"/>
      <c r="KEZ2" s="429"/>
      <c r="KFA2" s="428" t="s">
        <v>23</v>
      </c>
      <c r="KFB2" s="429"/>
      <c r="KFC2" s="429"/>
      <c r="KFD2" s="429"/>
      <c r="KFE2" s="428" t="s">
        <v>23</v>
      </c>
      <c r="KFF2" s="429"/>
      <c r="KFG2" s="429"/>
      <c r="KFH2" s="429"/>
      <c r="KFI2" s="428" t="s">
        <v>23</v>
      </c>
      <c r="KFJ2" s="429"/>
      <c r="KFK2" s="429"/>
      <c r="KFL2" s="429"/>
      <c r="KFM2" s="428" t="s">
        <v>23</v>
      </c>
      <c r="KFN2" s="429"/>
      <c r="KFO2" s="429"/>
      <c r="KFP2" s="429"/>
      <c r="KFQ2" s="428" t="s">
        <v>23</v>
      </c>
      <c r="KFR2" s="429"/>
      <c r="KFS2" s="429"/>
      <c r="KFT2" s="429"/>
      <c r="KFU2" s="428" t="s">
        <v>23</v>
      </c>
      <c r="KFV2" s="429"/>
      <c r="KFW2" s="429"/>
      <c r="KFX2" s="429"/>
      <c r="KFY2" s="428" t="s">
        <v>23</v>
      </c>
      <c r="KFZ2" s="429"/>
      <c r="KGA2" s="429"/>
      <c r="KGB2" s="429"/>
      <c r="KGC2" s="428" t="s">
        <v>23</v>
      </c>
      <c r="KGD2" s="429"/>
      <c r="KGE2" s="429"/>
      <c r="KGF2" s="429"/>
      <c r="KGG2" s="428" t="s">
        <v>23</v>
      </c>
      <c r="KGH2" s="429"/>
      <c r="KGI2" s="429"/>
      <c r="KGJ2" s="429"/>
      <c r="KGK2" s="428" t="s">
        <v>23</v>
      </c>
      <c r="KGL2" s="429"/>
      <c r="KGM2" s="429"/>
      <c r="KGN2" s="429"/>
      <c r="KGO2" s="428" t="s">
        <v>23</v>
      </c>
      <c r="KGP2" s="429"/>
      <c r="KGQ2" s="429"/>
      <c r="KGR2" s="429"/>
      <c r="KGS2" s="428" t="s">
        <v>23</v>
      </c>
      <c r="KGT2" s="429"/>
      <c r="KGU2" s="429"/>
      <c r="KGV2" s="429"/>
      <c r="KGW2" s="428" t="s">
        <v>23</v>
      </c>
      <c r="KGX2" s="429"/>
      <c r="KGY2" s="429"/>
      <c r="KGZ2" s="429"/>
      <c r="KHA2" s="428" t="s">
        <v>23</v>
      </c>
      <c r="KHB2" s="429"/>
      <c r="KHC2" s="429"/>
      <c r="KHD2" s="429"/>
      <c r="KHE2" s="428" t="s">
        <v>23</v>
      </c>
      <c r="KHF2" s="429"/>
      <c r="KHG2" s="429"/>
      <c r="KHH2" s="429"/>
      <c r="KHI2" s="428" t="s">
        <v>23</v>
      </c>
      <c r="KHJ2" s="429"/>
      <c r="KHK2" s="429"/>
      <c r="KHL2" s="429"/>
      <c r="KHM2" s="428" t="s">
        <v>23</v>
      </c>
      <c r="KHN2" s="429"/>
      <c r="KHO2" s="429"/>
      <c r="KHP2" s="429"/>
      <c r="KHQ2" s="428" t="s">
        <v>23</v>
      </c>
      <c r="KHR2" s="429"/>
      <c r="KHS2" s="429"/>
      <c r="KHT2" s="429"/>
      <c r="KHU2" s="428" t="s">
        <v>23</v>
      </c>
      <c r="KHV2" s="429"/>
      <c r="KHW2" s="429"/>
      <c r="KHX2" s="429"/>
      <c r="KHY2" s="428" t="s">
        <v>23</v>
      </c>
      <c r="KHZ2" s="429"/>
      <c r="KIA2" s="429"/>
      <c r="KIB2" s="429"/>
      <c r="KIC2" s="428" t="s">
        <v>23</v>
      </c>
      <c r="KID2" s="429"/>
      <c r="KIE2" s="429"/>
      <c r="KIF2" s="429"/>
      <c r="KIG2" s="428" t="s">
        <v>23</v>
      </c>
      <c r="KIH2" s="429"/>
      <c r="KII2" s="429"/>
      <c r="KIJ2" s="429"/>
      <c r="KIK2" s="428" t="s">
        <v>23</v>
      </c>
      <c r="KIL2" s="429"/>
      <c r="KIM2" s="429"/>
      <c r="KIN2" s="429"/>
      <c r="KIO2" s="428" t="s">
        <v>23</v>
      </c>
      <c r="KIP2" s="429"/>
      <c r="KIQ2" s="429"/>
      <c r="KIR2" s="429"/>
      <c r="KIS2" s="428" t="s">
        <v>23</v>
      </c>
      <c r="KIT2" s="429"/>
      <c r="KIU2" s="429"/>
      <c r="KIV2" s="429"/>
      <c r="KIW2" s="428" t="s">
        <v>23</v>
      </c>
      <c r="KIX2" s="429"/>
      <c r="KIY2" s="429"/>
      <c r="KIZ2" s="429"/>
      <c r="KJA2" s="428" t="s">
        <v>23</v>
      </c>
      <c r="KJB2" s="429"/>
      <c r="KJC2" s="429"/>
      <c r="KJD2" s="429"/>
      <c r="KJE2" s="428" t="s">
        <v>23</v>
      </c>
      <c r="KJF2" s="429"/>
      <c r="KJG2" s="429"/>
      <c r="KJH2" s="429"/>
      <c r="KJI2" s="428" t="s">
        <v>23</v>
      </c>
      <c r="KJJ2" s="429"/>
      <c r="KJK2" s="429"/>
      <c r="KJL2" s="429"/>
      <c r="KJM2" s="428" t="s">
        <v>23</v>
      </c>
      <c r="KJN2" s="429"/>
      <c r="KJO2" s="429"/>
      <c r="KJP2" s="429"/>
      <c r="KJQ2" s="428" t="s">
        <v>23</v>
      </c>
      <c r="KJR2" s="429"/>
      <c r="KJS2" s="429"/>
      <c r="KJT2" s="429"/>
      <c r="KJU2" s="428" t="s">
        <v>23</v>
      </c>
      <c r="KJV2" s="429"/>
      <c r="KJW2" s="429"/>
      <c r="KJX2" s="429"/>
      <c r="KJY2" s="428" t="s">
        <v>23</v>
      </c>
      <c r="KJZ2" s="429"/>
      <c r="KKA2" s="429"/>
      <c r="KKB2" s="429"/>
      <c r="KKC2" s="428" t="s">
        <v>23</v>
      </c>
      <c r="KKD2" s="429"/>
      <c r="KKE2" s="429"/>
      <c r="KKF2" s="429"/>
      <c r="KKG2" s="428" t="s">
        <v>23</v>
      </c>
      <c r="KKH2" s="429"/>
      <c r="KKI2" s="429"/>
      <c r="KKJ2" s="429"/>
      <c r="KKK2" s="428" t="s">
        <v>23</v>
      </c>
      <c r="KKL2" s="429"/>
      <c r="KKM2" s="429"/>
      <c r="KKN2" s="429"/>
      <c r="KKO2" s="428" t="s">
        <v>23</v>
      </c>
      <c r="KKP2" s="429"/>
      <c r="KKQ2" s="429"/>
      <c r="KKR2" s="429"/>
      <c r="KKS2" s="428" t="s">
        <v>23</v>
      </c>
      <c r="KKT2" s="429"/>
      <c r="KKU2" s="429"/>
      <c r="KKV2" s="429"/>
      <c r="KKW2" s="428" t="s">
        <v>23</v>
      </c>
      <c r="KKX2" s="429"/>
      <c r="KKY2" s="429"/>
      <c r="KKZ2" s="429"/>
      <c r="KLA2" s="428" t="s">
        <v>23</v>
      </c>
      <c r="KLB2" s="429"/>
      <c r="KLC2" s="429"/>
      <c r="KLD2" s="429"/>
      <c r="KLE2" s="428" t="s">
        <v>23</v>
      </c>
      <c r="KLF2" s="429"/>
      <c r="KLG2" s="429"/>
      <c r="KLH2" s="429"/>
      <c r="KLI2" s="428" t="s">
        <v>23</v>
      </c>
      <c r="KLJ2" s="429"/>
      <c r="KLK2" s="429"/>
      <c r="KLL2" s="429"/>
      <c r="KLM2" s="428" t="s">
        <v>23</v>
      </c>
      <c r="KLN2" s="429"/>
      <c r="KLO2" s="429"/>
      <c r="KLP2" s="429"/>
      <c r="KLQ2" s="428" t="s">
        <v>23</v>
      </c>
      <c r="KLR2" s="429"/>
      <c r="KLS2" s="429"/>
      <c r="KLT2" s="429"/>
      <c r="KLU2" s="428" t="s">
        <v>23</v>
      </c>
      <c r="KLV2" s="429"/>
      <c r="KLW2" s="429"/>
      <c r="KLX2" s="429"/>
      <c r="KLY2" s="428" t="s">
        <v>23</v>
      </c>
      <c r="KLZ2" s="429"/>
      <c r="KMA2" s="429"/>
      <c r="KMB2" s="429"/>
      <c r="KMC2" s="428" t="s">
        <v>23</v>
      </c>
      <c r="KMD2" s="429"/>
      <c r="KME2" s="429"/>
      <c r="KMF2" s="429"/>
      <c r="KMG2" s="428" t="s">
        <v>23</v>
      </c>
      <c r="KMH2" s="429"/>
      <c r="KMI2" s="429"/>
      <c r="KMJ2" s="429"/>
      <c r="KMK2" s="428" t="s">
        <v>23</v>
      </c>
      <c r="KML2" s="429"/>
      <c r="KMM2" s="429"/>
      <c r="KMN2" s="429"/>
      <c r="KMO2" s="428" t="s">
        <v>23</v>
      </c>
      <c r="KMP2" s="429"/>
      <c r="KMQ2" s="429"/>
      <c r="KMR2" s="429"/>
      <c r="KMS2" s="428" t="s">
        <v>23</v>
      </c>
      <c r="KMT2" s="429"/>
      <c r="KMU2" s="429"/>
      <c r="KMV2" s="429"/>
      <c r="KMW2" s="428" t="s">
        <v>23</v>
      </c>
      <c r="KMX2" s="429"/>
      <c r="KMY2" s="429"/>
      <c r="KMZ2" s="429"/>
      <c r="KNA2" s="428" t="s">
        <v>23</v>
      </c>
      <c r="KNB2" s="429"/>
      <c r="KNC2" s="429"/>
      <c r="KND2" s="429"/>
      <c r="KNE2" s="428" t="s">
        <v>23</v>
      </c>
      <c r="KNF2" s="429"/>
      <c r="KNG2" s="429"/>
      <c r="KNH2" s="429"/>
      <c r="KNI2" s="428" t="s">
        <v>23</v>
      </c>
      <c r="KNJ2" s="429"/>
      <c r="KNK2" s="429"/>
      <c r="KNL2" s="429"/>
      <c r="KNM2" s="428" t="s">
        <v>23</v>
      </c>
      <c r="KNN2" s="429"/>
      <c r="KNO2" s="429"/>
      <c r="KNP2" s="429"/>
      <c r="KNQ2" s="428" t="s">
        <v>23</v>
      </c>
      <c r="KNR2" s="429"/>
      <c r="KNS2" s="429"/>
      <c r="KNT2" s="429"/>
      <c r="KNU2" s="428" t="s">
        <v>23</v>
      </c>
      <c r="KNV2" s="429"/>
      <c r="KNW2" s="429"/>
      <c r="KNX2" s="429"/>
      <c r="KNY2" s="428" t="s">
        <v>23</v>
      </c>
      <c r="KNZ2" s="429"/>
      <c r="KOA2" s="429"/>
      <c r="KOB2" s="429"/>
      <c r="KOC2" s="428" t="s">
        <v>23</v>
      </c>
      <c r="KOD2" s="429"/>
      <c r="KOE2" s="429"/>
      <c r="KOF2" s="429"/>
      <c r="KOG2" s="428" t="s">
        <v>23</v>
      </c>
      <c r="KOH2" s="429"/>
      <c r="KOI2" s="429"/>
      <c r="KOJ2" s="429"/>
      <c r="KOK2" s="428" t="s">
        <v>23</v>
      </c>
      <c r="KOL2" s="429"/>
      <c r="KOM2" s="429"/>
      <c r="KON2" s="429"/>
      <c r="KOO2" s="428" t="s">
        <v>23</v>
      </c>
      <c r="KOP2" s="429"/>
      <c r="KOQ2" s="429"/>
      <c r="KOR2" s="429"/>
      <c r="KOS2" s="428" t="s">
        <v>23</v>
      </c>
      <c r="KOT2" s="429"/>
      <c r="KOU2" s="429"/>
      <c r="KOV2" s="429"/>
      <c r="KOW2" s="428" t="s">
        <v>23</v>
      </c>
      <c r="KOX2" s="429"/>
      <c r="KOY2" s="429"/>
      <c r="KOZ2" s="429"/>
      <c r="KPA2" s="428" t="s">
        <v>23</v>
      </c>
      <c r="KPB2" s="429"/>
      <c r="KPC2" s="429"/>
      <c r="KPD2" s="429"/>
      <c r="KPE2" s="428" t="s">
        <v>23</v>
      </c>
      <c r="KPF2" s="429"/>
      <c r="KPG2" s="429"/>
      <c r="KPH2" s="429"/>
      <c r="KPI2" s="428" t="s">
        <v>23</v>
      </c>
      <c r="KPJ2" s="429"/>
      <c r="KPK2" s="429"/>
      <c r="KPL2" s="429"/>
      <c r="KPM2" s="428" t="s">
        <v>23</v>
      </c>
      <c r="KPN2" s="429"/>
      <c r="KPO2" s="429"/>
      <c r="KPP2" s="429"/>
      <c r="KPQ2" s="428" t="s">
        <v>23</v>
      </c>
      <c r="KPR2" s="429"/>
      <c r="KPS2" s="429"/>
      <c r="KPT2" s="429"/>
      <c r="KPU2" s="428" t="s">
        <v>23</v>
      </c>
      <c r="KPV2" s="429"/>
      <c r="KPW2" s="429"/>
      <c r="KPX2" s="429"/>
      <c r="KPY2" s="428" t="s">
        <v>23</v>
      </c>
      <c r="KPZ2" s="429"/>
      <c r="KQA2" s="429"/>
      <c r="KQB2" s="429"/>
      <c r="KQC2" s="428" t="s">
        <v>23</v>
      </c>
      <c r="KQD2" s="429"/>
      <c r="KQE2" s="429"/>
      <c r="KQF2" s="429"/>
      <c r="KQG2" s="428" t="s">
        <v>23</v>
      </c>
      <c r="KQH2" s="429"/>
      <c r="KQI2" s="429"/>
      <c r="KQJ2" s="429"/>
      <c r="KQK2" s="428" t="s">
        <v>23</v>
      </c>
      <c r="KQL2" s="429"/>
      <c r="KQM2" s="429"/>
      <c r="KQN2" s="429"/>
      <c r="KQO2" s="428" t="s">
        <v>23</v>
      </c>
      <c r="KQP2" s="429"/>
      <c r="KQQ2" s="429"/>
      <c r="KQR2" s="429"/>
      <c r="KQS2" s="428" t="s">
        <v>23</v>
      </c>
      <c r="KQT2" s="429"/>
      <c r="KQU2" s="429"/>
      <c r="KQV2" s="429"/>
      <c r="KQW2" s="428" t="s">
        <v>23</v>
      </c>
      <c r="KQX2" s="429"/>
      <c r="KQY2" s="429"/>
      <c r="KQZ2" s="429"/>
      <c r="KRA2" s="428" t="s">
        <v>23</v>
      </c>
      <c r="KRB2" s="429"/>
      <c r="KRC2" s="429"/>
      <c r="KRD2" s="429"/>
      <c r="KRE2" s="428" t="s">
        <v>23</v>
      </c>
      <c r="KRF2" s="429"/>
      <c r="KRG2" s="429"/>
      <c r="KRH2" s="429"/>
      <c r="KRI2" s="428" t="s">
        <v>23</v>
      </c>
      <c r="KRJ2" s="429"/>
      <c r="KRK2" s="429"/>
      <c r="KRL2" s="429"/>
      <c r="KRM2" s="428" t="s">
        <v>23</v>
      </c>
      <c r="KRN2" s="429"/>
      <c r="KRO2" s="429"/>
      <c r="KRP2" s="429"/>
      <c r="KRQ2" s="428" t="s">
        <v>23</v>
      </c>
      <c r="KRR2" s="429"/>
      <c r="KRS2" s="429"/>
      <c r="KRT2" s="429"/>
      <c r="KRU2" s="428" t="s">
        <v>23</v>
      </c>
      <c r="KRV2" s="429"/>
      <c r="KRW2" s="429"/>
      <c r="KRX2" s="429"/>
      <c r="KRY2" s="428" t="s">
        <v>23</v>
      </c>
      <c r="KRZ2" s="429"/>
      <c r="KSA2" s="429"/>
      <c r="KSB2" s="429"/>
      <c r="KSC2" s="428" t="s">
        <v>23</v>
      </c>
      <c r="KSD2" s="429"/>
      <c r="KSE2" s="429"/>
      <c r="KSF2" s="429"/>
      <c r="KSG2" s="428" t="s">
        <v>23</v>
      </c>
      <c r="KSH2" s="429"/>
      <c r="KSI2" s="429"/>
      <c r="KSJ2" s="429"/>
      <c r="KSK2" s="428" t="s">
        <v>23</v>
      </c>
      <c r="KSL2" s="429"/>
      <c r="KSM2" s="429"/>
      <c r="KSN2" s="429"/>
      <c r="KSO2" s="428" t="s">
        <v>23</v>
      </c>
      <c r="KSP2" s="429"/>
      <c r="KSQ2" s="429"/>
      <c r="KSR2" s="429"/>
      <c r="KSS2" s="428" t="s">
        <v>23</v>
      </c>
      <c r="KST2" s="429"/>
      <c r="KSU2" s="429"/>
      <c r="KSV2" s="429"/>
      <c r="KSW2" s="428" t="s">
        <v>23</v>
      </c>
      <c r="KSX2" s="429"/>
      <c r="KSY2" s="429"/>
      <c r="KSZ2" s="429"/>
      <c r="KTA2" s="428" t="s">
        <v>23</v>
      </c>
      <c r="KTB2" s="429"/>
      <c r="KTC2" s="429"/>
      <c r="KTD2" s="429"/>
      <c r="KTE2" s="428" t="s">
        <v>23</v>
      </c>
      <c r="KTF2" s="429"/>
      <c r="KTG2" s="429"/>
      <c r="KTH2" s="429"/>
      <c r="KTI2" s="428" t="s">
        <v>23</v>
      </c>
      <c r="KTJ2" s="429"/>
      <c r="KTK2" s="429"/>
      <c r="KTL2" s="429"/>
      <c r="KTM2" s="428" t="s">
        <v>23</v>
      </c>
      <c r="KTN2" s="429"/>
      <c r="KTO2" s="429"/>
      <c r="KTP2" s="429"/>
      <c r="KTQ2" s="428" t="s">
        <v>23</v>
      </c>
      <c r="KTR2" s="429"/>
      <c r="KTS2" s="429"/>
      <c r="KTT2" s="429"/>
      <c r="KTU2" s="428" t="s">
        <v>23</v>
      </c>
      <c r="KTV2" s="429"/>
      <c r="KTW2" s="429"/>
      <c r="KTX2" s="429"/>
      <c r="KTY2" s="428" t="s">
        <v>23</v>
      </c>
      <c r="KTZ2" s="429"/>
      <c r="KUA2" s="429"/>
      <c r="KUB2" s="429"/>
      <c r="KUC2" s="428" t="s">
        <v>23</v>
      </c>
      <c r="KUD2" s="429"/>
      <c r="KUE2" s="429"/>
      <c r="KUF2" s="429"/>
      <c r="KUG2" s="428" t="s">
        <v>23</v>
      </c>
      <c r="KUH2" s="429"/>
      <c r="KUI2" s="429"/>
      <c r="KUJ2" s="429"/>
      <c r="KUK2" s="428" t="s">
        <v>23</v>
      </c>
      <c r="KUL2" s="429"/>
      <c r="KUM2" s="429"/>
      <c r="KUN2" s="429"/>
      <c r="KUO2" s="428" t="s">
        <v>23</v>
      </c>
      <c r="KUP2" s="429"/>
      <c r="KUQ2" s="429"/>
      <c r="KUR2" s="429"/>
      <c r="KUS2" s="428" t="s">
        <v>23</v>
      </c>
      <c r="KUT2" s="429"/>
      <c r="KUU2" s="429"/>
      <c r="KUV2" s="429"/>
      <c r="KUW2" s="428" t="s">
        <v>23</v>
      </c>
      <c r="KUX2" s="429"/>
      <c r="KUY2" s="429"/>
      <c r="KUZ2" s="429"/>
      <c r="KVA2" s="428" t="s">
        <v>23</v>
      </c>
      <c r="KVB2" s="429"/>
      <c r="KVC2" s="429"/>
      <c r="KVD2" s="429"/>
      <c r="KVE2" s="428" t="s">
        <v>23</v>
      </c>
      <c r="KVF2" s="429"/>
      <c r="KVG2" s="429"/>
      <c r="KVH2" s="429"/>
      <c r="KVI2" s="428" t="s">
        <v>23</v>
      </c>
      <c r="KVJ2" s="429"/>
      <c r="KVK2" s="429"/>
      <c r="KVL2" s="429"/>
      <c r="KVM2" s="428" t="s">
        <v>23</v>
      </c>
      <c r="KVN2" s="429"/>
      <c r="KVO2" s="429"/>
      <c r="KVP2" s="429"/>
      <c r="KVQ2" s="428" t="s">
        <v>23</v>
      </c>
      <c r="KVR2" s="429"/>
      <c r="KVS2" s="429"/>
      <c r="KVT2" s="429"/>
      <c r="KVU2" s="428" t="s">
        <v>23</v>
      </c>
      <c r="KVV2" s="429"/>
      <c r="KVW2" s="429"/>
      <c r="KVX2" s="429"/>
      <c r="KVY2" s="428" t="s">
        <v>23</v>
      </c>
      <c r="KVZ2" s="429"/>
      <c r="KWA2" s="429"/>
      <c r="KWB2" s="429"/>
      <c r="KWC2" s="428" t="s">
        <v>23</v>
      </c>
      <c r="KWD2" s="429"/>
      <c r="KWE2" s="429"/>
      <c r="KWF2" s="429"/>
      <c r="KWG2" s="428" t="s">
        <v>23</v>
      </c>
      <c r="KWH2" s="429"/>
      <c r="KWI2" s="429"/>
      <c r="KWJ2" s="429"/>
      <c r="KWK2" s="428" t="s">
        <v>23</v>
      </c>
      <c r="KWL2" s="429"/>
      <c r="KWM2" s="429"/>
      <c r="KWN2" s="429"/>
      <c r="KWO2" s="428" t="s">
        <v>23</v>
      </c>
      <c r="KWP2" s="429"/>
      <c r="KWQ2" s="429"/>
      <c r="KWR2" s="429"/>
      <c r="KWS2" s="428" t="s">
        <v>23</v>
      </c>
      <c r="KWT2" s="429"/>
      <c r="KWU2" s="429"/>
      <c r="KWV2" s="429"/>
      <c r="KWW2" s="428" t="s">
        <v>23</v>
      </c>
      <c r="KWX2" s="429"/>
      <c r="KWY2" s="429"/>
      <c r="KWZ2" s="429"/>
      <c r="KXA2" s="428" t="s">
        <v>23</v>
      </c>
      <c r="KXB2" s="429"/>
      <c r="KXC2" s="429"/>
      <c r="KXD2" s="429"/>
      <c r="KXE2" s="428" t="s">
        <v>23</v>
      </c>
      <c r="KXF2" s="429"/>
      <c r="KXG2" s="429"/>
      <c r="KXH2" s="429"/>
      <c r="KXI2" s="428" t="s">
        <v>23</v>
      </c>
      <c r="KXJ2" s="429"/>
      <c r="KXK2" s="429"/>
      <c r="KXL2" s="429"/>
      <c r="KXM2" s="428" t="s">
        <v>23</v>
      </c>
      <c r="KXN2" s="429"/>
      <c r="KXO2" s="429"/>
      <c r="KXP2" s="429"/>
      <c r="KXQ2" s="428" t="s">
        <v>23</v>
      </c>
      <c r="KXR2" s="429"/>
      <c r="KXS2" s="429"/>
      <c r="KXT2" s="429"/>
      <c r="KXU2" s="428" t="s">
        <v>23</v>
      </c>
      <c r="KXV2" s="429"/>
      <c r="KXW2" s="429"/>
      <c r="KXX2" s="429"/>
      <c r="KXY2" s="428" t="s">
        <v>23</v>
      </c>
      <c r="KXZ2" s="429"/>
      <c r="KYA2" s="429"/>
      <c r="KYB2" s="429"/>
      <c r="KYC2" s="428" t="s">
        <v>23</v>
      </c>
      <c r="KYD2" s="429"/>
      <c r="KYE2" s="429"/>
      <c r="KYF2" s="429"/>
      <c r="KYG2" s="428" t="s">
        <v>23</v>
      </c>
      <c r="KYH2" s="429"/>
      <c r="KYI2" s="429"/>
      <c r="KYJ2" s="429"/>
      <c r="KYK2" s="428" t="s">
        <v>23</v>
      </c>
      <c r="KYL2" s="429"/>
      <c r="KYM2" s="429"/>
      <c r="KYN2" s="429"/>
      <c r="KYO2" s="428" t="s">
        <v>23</v>
      </c>
      <c r="KYP2" s="429"/>
      <c r="KYQ2" s="429"/>
      <c r="KYR2" s="429"/>
      <c r="KYS2" s="428" t="s">
        <v>23</v>
      </c>
      <c r="KYT2" s="429"/>
      <c r="KYU2" s="429"/>
      <c r="KYV2" s="429"/>
      <c r="KYW2" s="428" t="s">
        <v>23</v>
      </c>
      <c r="KYX2" s="429"/>
      <c r="KYY2" s="429"/>
      <c r="KYZ2" s="429"/>
      <c r="KZA2" s="428" t="s">
        <v>23</v>
      </c>
      <c r="KZB2" s="429"/>
      <c r="KZC2" s="429"/>
      <c r="KZD2" s="429"/>
      <c r="KZE2" s="428" t="s">
        <v>23</v>
      </c>
      <c r="KZF2" s="429"/>
      <c r="KZG2" s="429"/>
      <c r="KZH2" s="429"/>
      <c r="KZI2" s="428" t="s">
        <v>23</v>
      </c>
      <c r="KZJ2" s="429"/>
      <c r="KZK2" s="429"/>
      <c r="KZL2" s="429"/>
      <c r="KZM2" s="428" t="s">
        <v>23</v>
      </c>
      <c r="KZN2" s="429"/>
      <c r="KZO2" s="429"/>
      <c r="KZP2" s="429"/>
      <c r="KZQ2" s="428" t="s">
        <v>23</v>
      </c>
      <c r="KZR2" s="429"/>
      <c r="KZS2" s="429"/>
      <c r="KZT2" s="429"/>
      <c r="KZU2" s="428" t="s">
        <v>23</v>
      </c>
      <c r="KZV2" s="429"/>
      <c r="KZW2" s="429"/>
      <c r="KZX2" s="429"/>
      <c r="KZY2" s="428" t="s">
        <v>23</v>
      </c>
      <c r="KZZ2" s="429"/>
      <c r="LAA2" s="429"/>
      <c r="LAB2" s="429"/>
      <c r="LAC2" s="428" t="s">
        <v>23</v>
      </c>
      <c r="LAD2" s="429"/>
      <c r="LAE2" s="429"/>
      <c r="LAF2" s="429"/>
      <c r="LAG2" s="428" t="s">
        <v>23</v>
      </c>
      <c r="LAH2" s="429"/>
      <c r="LAI2" s="429"/>
      <c r="LAJ2" s="429"/>
      <c r="LAK2" s="428" t="s">
        <v>23</v>
      </c>
      <c r="LAL2" s="429"/>
      <c r="LAM2" s="429"/>
      <c r="LAN2" s="429"/>
      <c r="LAO2" s="428" t="s">
        <v>23</v>
      </c>
      <c r="LAP2" s="429"/>
      <c r="LAQ2" s="429"/>
      <c r="LAR2" s="429"/>
      <c r="LAS2" s="428" t="s">
        <v>23</v>
      </c>
      <c r="LAT2" s="429"/>
      <c r="LAU2" s="429"/>
      <c r="LAV2" s="429"/>
      <c r="LAW2" s="428" t="s">
        <v>23</v>
      </c>
      <c r="LAX2" s="429"/>
      <c r="LAY2" s="429"/>
      <c r="LAZ2" s="429"/>
      <c r="LBA2" s="428" t="s">
        <v>23</v>
      </c>
      <c r="LBB2" s="429"/>
      <c r="LBC2" s="429"/>
      <c r="LBD2" s="429"/>
      <c r="LBE2" s="428" t="s">
        <v>23</v>
      </c>
      <c r="LBF2" s="429"/>
      <c r="LBG2" s="429"/>
      <c r="LBH2" s="429"/>
      <c r="LBI2" s="428" t="s">
        <v>23</v>
      </c>
      <c r="LBJ2" s="429"/>
      <c r="LBK2" s="429"/>
      <c r="LBL2" s="429"/>
      <c r="LBM2" s="428" t="s">
        <v>23</v>
      </c>
      <c r="LBN2" s="429"/>
      <c r="LBO2" s="429"/>
      <c r="LBP2" s="429"/>
      <c r="LBQ2" s="428" t="s">
        <v>23</v>
      </c>
      <c r="LBR2" s="429"/>
      <c r="LBS2" s="429"/>
      <c r="LBT2" s="429"/>
      <c r="LBU2" s="428" t="s">
        <v>23</v>
      </c>
      <c r="LBV2" s="429"/>
      <c r="LBW2" s="429"/>
      <c r="LBX2" s="429"/>
      <c r="LBY2" s="428" t="s">
        <v>23</v>
      </c>
      <c r="LBZ2" s="429"/>
      <c r="LCA2" s="429"/>
      <c r="LCB2" s="429"/>
      <c r="LCC2" s="428" t="s">
        <v>23</v>
      </c>
      <c r="LCD2" s="429"/>
      <c r="LCE2" s="429"/>
      <c r="LCF2" s="429"/>
      <c r="LCG2" s="428" t="s">
        <v>23</v>
      </c>
      <c r="LCH2" s="429"/>
      <c r="LCI2" s="429"/>
      <c r="LCJ2" s="429"/>
      <c r="LCK2" s="428" t="s">
        <v>23</v>
      </c>
      <c r="LCL2" s="429"/>
      <c r="LCM2" s="429"/>
      <c r="LCN2" s="429"/>
      <c r="LCO2" s="428" t="s">
        <v>23</v>
      </c>
      <c r="LCP2" s="429"/>
      <c r="LCQ2" s="429"/>
      <c r="LCR2" s="429"/>
      <c r="LCS2" s="428" t="s">
        <v>23</v>
      </c>
      <c r="LCT2" s="429"/>
      <c r="LCU2" s="429"/>
      <c r="LCV2" s="429"/>
      <c r="LCW2" s="428" t="s">
        <v>23</v>
      </c>
      <c r="LCX2" s="429"/>
      <c r="LCY2" s="429"/>
      <c r="LCZ2" s="429"/>
      <c r="LDA2" s="428" t="s">
        <v>23</v>
      </c>
      <c r="LDB2" s="429"/>
      <c r="LDC2" s="429"/>
      <c r="LDD2" s="429"/>
      <c r="LDE2" s="428" t="s">
        <v>23</v>
      </c>
      <c r="LDF2" s="429"/>
      <c r="LDG2" s="429"/>
      <c r="LDH2" s="429"/>
      <c r="LDI2" s="428" t="s">
        <v>23</v>
      </c>
      <c r="LDJ2" s="429"/>
      <c r="LDK2" s="429"/>
      <c r="LDL2" s="429"/>
      <c r="LDM2" s="428" t="s">
        <v>23</v>
      </c>
      <c r="LDN2" s="429"/>
      <c r="LDO2" s="429"/>
      <c r="LDP2" s="429"/>
      <c r="LDQ2" s="428" t="s">
        <v>23</v>
      </c>
      <c r="LDR2" s="429"/>
      <c r="LDS2" s="429"/>
      <c r="LDT2" s="429"/>
      <c r="LDU2" s="428" t="s">
        <v>23</v>
      </c>
      <c r="LDV2" s="429"/>
      <c r="LDW2" s="429"/>
      <c r="LDX2" s="429"/>
      <c r="LDY2" s="428" t="s">
        <v>23</v>
      </c>
      <c r="LDZ2" s="429"/>
      <c r="LEA2" s="429"/>
      <c r="LEB2" s="429"/>
      <c r="LEC2" s="428" t="s">
        <v>23</v>
      </c>
      <c r="LED2" s="429"/>
      <c r="LEE2" s="429"/>
      <c r="LEF2" s="429"/>
      <c r="LEG2" s="428" t="s">
        <v>23</v>
      </c>
      <c r="LEH2" s="429"/>
      <c r="LEI2" s="429"/>
      <c r="LEJ2" s="429"/>
      <c r="LEK2" s="428" t="s">
        <v>23</v>
      </c>
      <c r="LEL2" s="429"/>
      <c r="LEM2" s="429"/>
      <c r="LEN2" s="429"/>
      <c r="LEO2" s="428" t="s">
        <v>23</v>
      </c>
      <c r="LEP2" s="429"/>
      <c r="LEQ2" s="429"/>
      <c r="LER2" s="429"/>
      <c r="LES2" s="428" t="s">
        <v>23</v>
      </c>
      <c r="LET2" s="429"/>
      <c r="LEU2" s="429"/>
      <c r="LEV2" s="429"/>
      <c r="LEW2" s="428" t="s">
        <v>23</v>
      </c>
      <c r="LEX2" s="429"/>
      <c r="LEY2" s="429"/>
      <c r="LEZ2" s="429"/>
      <c r="LFA2" s="428" t="s">
        <v>23</v>
      </c>
      <c r="LFB2" s="429"/>
      <c r="LFC2" s="429"/>
      <c r="LFD2" s="429"/>
      <c r="LFE2" s="428" t="s">
        <v>23</v>
      </c>
      <c r="LFF2" s="429"/>
      <c r="LFG2" s="429"/>
      <c r="LFH2" s="429"/>
      <c r="LFI2" s="428" t="s">
        <v>23</v>
      </c>
      <c r="LFJ2" s="429"/>
      <c r="LFK2" s="429"/>
      <c r="LFL2" s="429"/>
      <c r="LFM2" s="428" t="s">
        <v>23</v>
      </c>
      <c r="LFN2" s="429"/>
      <c r="LFO2" s="429"/>
      <c r="LFP2" s="429"/>
      <c r="LFQ2" s="428" t="s">
        <v>23</v>
      </c>
      <c r="LFR2" s="429"/>
      <c r="LFS2" s="429"/>
      <c r="LFT2" s="429"/>
      <c r="LFU2" s="428" t="s">
        <v>23</v>
      </c>
      <c r="LFV2" s="429"/>
      <c r="LFW2" s="429"/>
      <c r="LFX2" s="429"/>
      <c r="LFY2" s="428" t="s">
        <v>23</v>
      </c>
      <c r="LFZ2" s="429"/>
      <c r="LGA2" s="429"/>
      <c r="LGB2" s="429"/>
      <c r="LGC2" s="428" t="s">
        <v>23</v>
      </c>
      <c r="LGD2" s="429"/>
      <c r="LGE2" s="429"/>
      <c r="LGF2" s="429"/>
      <c r="LGG2" s="428" t="s">
        <v>23</v>
      </c>
      <c r="LGH2" s="429"/>
      <c r="LGI2" s="429"/>
      <c r="LGJ2" s="429"/>
      <c r="LGK2" s="428" t="s">
        <v>23</v>
      </c>
      <c r="LGL2" s="429"/>
      <c r="LGM2" s="429"/>
      <c r="LGN2" s="429"/>
      <c r="LGO2" s="428" t="s">
        <v>23</v>
      </c>
      <c r="LGP2" s="429"/>
      <c r="LGQ2" s="429"/>
      <c r="LGR2" s="429"/>
      <c r="LGS2" s="428" t="s">
        <v>23</v>
      </c>
      <c r="LGT2" s="429"/>
      <c r="LGU2" s="429"/>
      <c r="LGV2" s="429"/>
      <c r="LGW2" s="428" t="s">
        <v>23</v>
      </c>
      <c r="LGX2" s="429"/>
      <c r="LGY2" s="429"/>
      <c r="LGZ2" s="429"/>
      <c r="LHA2" s="428" t="s">
        <v>23</v>
      </c>
      <c r="LHB2" s="429"/>
      <c r="LHC2" s="429"/>
      <c r="LHD2" s="429"/>
      <c r="LHE2" s="428" t="s">
        <v>23</v>
      </c>
      <c r="LHF2" s="429"/>
      <c r="LHG2" s="429"/>
      <c r="LHH2" s="429"/>
      <c r="LHI2" s="428" t="s">
        <v>23</v>
      </c>
      <c r="LHJ2" s="429"/>
      <c r="LHK2" s="429"/>
      <c r="LHL2" s="429"/>
      <c r="LHM2" s="428" t="s">
        <v>23</v>
      </c>
      <c r="LHN2" s="429"/>
      <c r="LHO2" s="429"/>
      <c r="LHP2" s="429"/>
      <c r="LHQ2" s="428" t="s">
        <v>23</v>
      </c>
      <c r="LHR2" s="429"/>
      <c r="LHS2" s="429"/>
      <c r="LHT2" s="429"/>
      <c r="LHU2" s="428" t="s">
        <v>23</v>
      </c>
      <c r="LHV2" s="429"/>
      <c r="LHW2" s="429"/>
      <c r="LHX2" s="429"/>
      <c r="LHY2" s="428" t="s">
        <v>23</v>
      </c>
      <c r="LHZ2" s="429"/>
      <c r="LIA2" s="429"/>
      <c r="LIB2" s="429"/>
      <c r="LIC2" s="428" t="s">
        <v>23</v>
      </c>
      <c r="LID2" s="429"/>
      <c r="LIE2" s="429"/>
      <c r="LIF2" s="429"/>
      <c r="LIG2" s="428" t="s">
        <v>23</v>
      </c>
      <c r="LIH2" s="429"/>
      <c r="LII2" s="429"/>
      <c r="LIJ2" s="429"/>
      <c r="LIK2" s="428" t="s">
        <v>23</v>
      </c>
      <c r="LIL2" s="429"/>
      <c r="LIM2" s="429"/>
      <c r="LIN2" s="429"/>
      <c r="LIO2" s="428" t="s">
        <v>23</v>
      </c>
      <c r="LIP2" s="429"/>
      <c r="LIQ2" s="429"/>
      <c r="LIR2" s="429"/>
      <c r="LIS2" s="428" t="s">
        <v>23</v>
      </c>
      <c r="LIT2" s="429"/>
      <c r="LIU2" s="429"/>
      <c r="LIV2" s="429"/>
      <c r="LIW2" s="428" t="s">
        <v>23</v>
      </c>
      <c r="LIX2" s="429"/>
      <c r="LIY2" s="429"/>
      <c r="LIZ2" s="429"/>
      <c r="LJA2" s="428" t="s">
        <v>23</v>
      </c>
      <c r="LJB2" s="429"/>
      <c r="LJC2" s="429"/>
      <c r="LJD2" s="429"/>
      <c r="LJE2" s="428" t="s">
        <v>23</v>
      </c>
      <c r="LJF2" s="429"/>
      <c r="LJG2" s="429"/>
      <c r="LJH2" s="429"/>
      <c r="LJI2" s="428" t="s">
        <v>23</v>
      </c>
      <c r="LJJ2" s="429"/>
      <c r="LJK2" s="429"/>
      <c r="LJL2" s="429"/>
      <c r="LJM2" s="428" t="s">
        <v>23</v>
      </c>
      <c r="LJN2" s="429"/>
      <c r="LJO2" s="429"/>
      <c r="LJP2" s="429"/>
      <c r="LJQ2" s="428" t="s">
        <v>23</v>
      </c>
      <c r="LJR2" s="429"/>
      <c r="LJS2" s="429"/>
      <c r="LJT2" s="429"/>
      <c r="LJU2" s="428" t="s">
        <v>23</v>
      </c>
      <c r="LJV2" s="429"/>
      <c r="LJW2" s="429"/>
      <c r="LJX2" s="429"/>
      <c r="LJY2" s="428" t="s">
        <v>23</v>
      </c>
      <c r="LJZ2" s="429"/>
      <c r="LKA2" s="429"/>
      <c r="LKB2" s="429"/>
      <c r="LKC2" s="428" t="s">
        <v>23</v>
      </c>
      <c r="LKD2" s="429"/>
      <c r="LKE2" s="429"/>
      <c r="LKF2" s="429"/>
      <c r="LKG2" s="428" t="s">
        <v>23</v>
      </c>
      <c r="LKH2" s="429"/>
      <c r="LKI2" s="429"/>
      <c r="LKJ2" s="429"/>
      <c r="LKK2" s="428" t="s">
        <v>23</v>
      </c>
      <c r="LKL2" s="429"/>
      <c r="LKM2" s="429"/>
      <c r="LKN2" s="429"/>
      <c r="LKO2" s="428" t="s">
        <v>23</v>
      </c>
      <c r="LKP2" s="429"/>
      <c r="LKQ2" s="429"/>
      <c r="LKR2" s="429"/>
      <c r="LKS2" s="428" t="s">
        <v>23</v>
      </c>
      <c r="LKT2" s="429"/>
      <c r="LKU2" s="429"/>
      <c r="LKV2" s="429"/>
      <c r="LKW2" s="428" t="s">
        <v>23</v>
      </c>
      <c r="LKX2" s="429"/>
      <c r="LKY2" s="429"/>
      <c r="LKZ2" s="429"/>
      <c r="LLA2" s="428" t="s">
        <v>23</v>
      </c>
      <c r="LLB2" s="429"/>
      <c r="LLC2" s="429"/>
      <c r="LLD2" s="429"/>
      <c r="LLE2" s="428" t="s">
        <v>23</v>
      </c>
      <c r="LLF2" s="429"/>
      <c r="LLG2" s="429"/>
      <c r="LLH2" s="429"/>
      <c r="LLI2" s="428" t="s">
        <v>23</v>
      </c>
      <c r="LLJ2" s="429"/>
      <c r="LLK2" s="429"/>
      <c r="LLL2" s="429"/>
      <c r="LLM2" s="428" t="s">
        <v>23</v>
      </c>
      <c r="LLN2" s="429"/>
      <c r="LLO2" s="429"/>
      <c r="LLP2" s="429"/>
      <c r="LLQ2" s="428" t="s">
        <v>23</v>
      </c>
      <c r="LLR2" s="429"/>
      <c r="LLS2" s="429"/>
      <c r="LLT2" s="429"/>
      <c r="LLU2" s="428" t="s">
        <v>23</v>
      </c>
      <c r="LLV2" s="429"/>
      <c r="LLW2" s="429"/>
      <c r="LLX2" s="429"/>
      <c r="LLY2" s="428" t="s">
        <v>23</v>
      </c>
      <c r="LLZ2" s="429"/>
      <c r="LMA2" s="429"/>
      <c r="LMB2" s="429"/>
      <c r="LMC2" s="428" t="s">
        <v>23</v>
      </c>
      <c r="LMD2" s="429"/>
      <c r="LME2" s="429"/>
      <c r="LMF2" s="429"/>
      <c r="LMG2" s="428" t="s">
        <v>23</v>
      </c>
      <c r="LMH2" s="429"/>
      <c r="LMI2" s="429"/>
      <c r="LMJ2" s="429"/>
      <c r="LMK2" s="428" t="s">
        <v>23</v>
      </c>
      <c r="LML2" s="429"/>
      <c r="LMM2" s="429"/>
      <c r="LMN2" s="429"/>
      <c r="LMO2" s="428" t="s">
        <v>23</v>
      </c>
      <c r="LMP2" s="429"/>
      <c r="LMQ2" s="429"/>
      <c r="LMR2" s="429"/>
      <c r="LMS2" s="428" t="s">
        <v>23</v>
      </c>
      <c r="LMT2" s="429"/>
      <c r="LMU2" s="429"/>
      <c r="LMV2" s="429"/>
      <c r="LMW2" s="428" t="s">
        <v>23</v>
      </c>
      <c r="LMX2" s="429"/>
      <c r="LMY2" s="429"/>
      <c r="LMZ2" s="429"/>
      <c r="LNA2" s="428" t="s">
        <v>23</v>
      </c>
      <c r="LNB2" s="429"/>
      <c r="LNC2" s="429"/>
      <c r="LND2" s="429"/>
      <c r="LNE2" s="428" t="s">
        <v>23</v>
      </c>
      <c r="LNF2" s="429"/>
      <c r="LNG2" s="429"/>
      <c r="LNH2" s="429"/>
      <c r="LNI2" s="428" t="s">
        <v>23</v>
      </c>
      <c r="LNJ2" s="429"/>
      <c r="LNK2" s="429"/>
      <c r="LNL2" s="429"/>
      <c r="LNM2" s="428" t="s">
        <v>23</v>
      </c>
      <c r="LNN2" s="429"/>
      <c r="LNO2" s="429"/>
      <c r="LNP2" s="429"/>
      <c r="LNQ2" s="428" t="s">
        <v>23</v>
      </c>
      <c r="LNR2" s="429"/>
      <c r="LNS2" s="429"/>
      <c r="LNT2" s="429"/>
      <c r="LNU2" s="428" t="s">
        <v>23</v>
      </c>
      <c r="LNV2" s="429"/>
      <c r="LNW2" s="429"/>
      <c r="LNX2" s="429"/>
      <c r="LNY2" s="428" t="s">
        <v>23</v>
      </c>
      <c r="LNZ2" s="429"/>
      <c r="LOA2" s="429"/>
      <c r="LOB2" s="429"/>
      <c r="LOC2" s="428" t="s">
        <v>23</v>
      </c>
      <c r="LOD2" s="429"/>
      <c r="LOE2" s="429"/>
      <c r="LOF2" s="429"/>
      <c r="LOG2" s="428" t="s">
        <v>23</v>
      </c>
      <c r="LOH2" s="429"/>
      <c r="LOI2" s="429"/>
      <c r="LOJ2" s="429"/>
      <c r="LOK2" s="428" t="s">
        <v>23</v>
      </c>
      <c r="LOL2" s="429"/>
      <c r="LOM2" s="429"/>
      <c r="LON2" s="429"/>
      <c r="LOO2" s="428" t="s">
        <v>23</v>
      </c>
      <c r="LOP2" s="429"/>
      <c r="LOQ2" s="429"/>
      <c r="LOR2" s="429"/>
      <c r="LOS2" s="428" t="s">
        <v>23</v>
      </c>
      <c r="LOT2" s="429"/>
      <c r="LOU2" s="429"/>
      <c r="LOV2" s="429"/>
      <c r="LOW2" s="428" t="s">
        <v>23</v>
      </c>
      <c r="LOX2" s="429"/>
      <c r="LOY2" s="429"/>
      <c r="LOZ2" s="429"/>
      <c r="LPA2" s="428" t="s">
        <v>23</v>
      </c>
      <c r="LPB2" s="429"/>
      <c r="LPC2" s="429"/>
      <c r="LPD2" s="429"/>
      <c r="LPE2" s="428" t="s">
        <v>23</v>
      </c>
      <c r="LPF2" s="429"/>
      <c r="LPG2" s="429"/>
      <c r="LPH2" s="429"/>
      <c r="LPI2" s="428" t="s">
        <v>23</v>
      </c>
      <c r="LPJ2" s="429"/>
      <c r="LPK2" s="429"/>
      <c r="LPL2" s="429"/>
      <c r="LPM2" s="428" t="s">
        <v>23</v>
      </c>
      <c r="LPN2" s="429"/>
      <c r="LPO2" s="429"/>
      <c r="LPP2" s="429"/>
      <c r="LPQ2" s="428" t="s">
        <v>23</v>
      </c>
      <c r="LPR2" s="429"/>
      <c r="LPS2" s="429"/>
      <c r="LPT2" s="429"/>
      <c r="LPU2" s="428" t="s">
        <v>23</v>
      </c>
      <c r="LPV2" s="429"/>
      <c r="LPW2" s="429"/>
      <c r="LPX2" s="429"/>
      <c r="LPY2" s="428" t="s">
        <v>23</v>
      </c>
      <c r="LPZ2" s="429"/>
      <c r="LQA2" s="429"/>
      <c r="LQB2" s="429"/>
      <c r="LQC2" s="428" t="s">
        <v>23</v>
      </c>
      <c r="LQD2" s="429"/>
      <c r="LQE2" s="429"/>
      <c r="LQF2" s="429"/>
      <c r="LQG2" s="428" t="s">
        <v>23</v>
      </c>
      <c r="LQH2" s="429"/>
      <c r="LQI2" s="429"/>
      <c r="LQJ2" s="429"/>
      <c r="LQK2" s="428" t="s">
        <v>23</v>
      </c>
      <c r="LQL2" s="429"/>
      <c r="LQM2" s="429"/>
      <c r="LQN2" s="429"/>
      <c r="LQO2" s="428" t="s">
        <v>23</v>
      </c>
      <c r="LQP2" s="429"/>
      <c r="LQQ2" s="429"/>
      <c r="LQR2" s="429"/>
      <c r="LQS2" s="428" t="s">
        <v>23</v>
      </c>
      <c r="LQT2" s="429"/>
      <c r="LQU2" s="429"/>
      <c r="LQV2" s="429"/>
      <c r="LQW2" s="428" t="s">
        <v>23</v>
      </c>
      <c r="LQX2" s="429"/>
      <c r="LQY2" s="429"/>
      <c r="LQZ2" s="429"/>
      <c r="LRA2" s="428" t="s">
        <v>23</v>
      </c>
      <c r="LRB2" s="429"/>
      <c r="LRC2" s="429"/>
      <c r="LRD2" s="429"/>
      <c r="LRE2" s="428" t="s">
        <v>23</v>
      </c>
      <c r="LRF2" s="429"/>
      <c r="LRG2" s="429"/>
      <c r="LRH2" s="429"/>
      <c r="LRI2" s="428" t="s">
        <v>23</v>
      </c>
      <c r="LRJ2" s="429"/>
      <c r="LRK2" s="429"/>
      <c r="LRL2" s="429"/>
      <c r="LRM2" s="428" t="s">
        <v>23</v>
      </c>
      <c r="LRN2" s="429"/>
      <c r="LRO2" s="429"/>
      <c r="LRP2" s="429"/>
      <c r="LRQ2" s="428" t="s">
        <v>23</v>
      </c>
      <c r="LRR2" s="429"/>
      <c r="LRS2" s="429"/>
      <c r="LRT2" s="429"/>
      <c r="LRU2" s="428" t="s">
        <v>23</v>
      </c>
      <c r="LRV2" s="429"/>
      <c r="LRW2" s="429"/>
      <c r="LRX2" s="429"/>
      <c r="LRY2" s="428" t="s">
        <v>23</v>
      </c>
      <c r="LRZ2" s="429"/>
      <c r="LSA2" s="429"/>
      <c r="LSB2" s="429"/>
      <c r="LSC2" s="428" t="s">
        <v>23</v>
      </c>
      <c r="LSD2" s="429"/>
      <c r="LSE2" s="429"/>
      <c r="LSF2" s="429"/>
      <c r="LSG2" s="428" t="s">
        <v>23</v>
      </c>
      <c r="LSH2" s="429"/>
      <c r="LSI2" s="429"/>
      <c r="LSJ2" s="429"/>
      <c r="LSK2" s="428" t="s">
        <v>23</v>
      </c>
      <c r="LSL2" s="429"/>
      <c r="LSM2" s="429"/>
      <c r="LSN2" s="429"/>
      <c r="LSO2" s="428" t="s">
        <v>23</v>
      </c>
      <c r="LSP2" s="429"/>
      <c r="LSQ2" s="429"/>
      <c r="LSR2" s="429"/>
      <c r="LSS2" s="428" t="s">
        <v>23</v>
      </c>
      <c r="LST2" s="429"/>
      <c r="LSU2" s="429"/>
      <c r="LSV2" s="429"/>
      <c r="LSW2" s="428" t="s">
        <v>23</v>
      </c>
      <c r="LSX2" s="429"/>
      <c r="LSY2" s="429"/>
      <c r="LSZ2" s="429"/>
      <c r="LTA2" s="428" t="s">
        <v>23</v>
      </c>
      <c r="LTB2" s="429"/>
      <c r="LTC2" s="429"/>
      <c r="LTD2" s="429"/>
      <c r="LTE2" s="428" t="s">
        <v>23</v>
      </c>
      <c r="LTF2" s="429"/>
      <c r="LTG2" s="429"/>
      <c r="LTH2" s="429"/>
      <c r="LTI2" s="428" t="s">
        <v>23</v>
      </c>
      <c r="LTJ2" s="429"/>
      <c r="LTK2" s="429"/>
      <c r="LTL2" s="429"/>
      <c r="LTM2" s="428" t="s">
        <v>23</v>
      </c>
      <c r="LTN2" s="429"/>
      <c r="LTO2" s="429"/>
      <c r="LTP2" s="429"/>
      <c r="LTQ2" s="428" t="s">
        <v>23</v>
      </c>
      <c r="LTR2" s="429"/>
      <c r="LTS2" s="429"/>
      <c r="LTT2" s="429"/>
      <c r="LTU2" s="428" t="s">
        <v>23</v>
      </c>
      <c r="LTV2" s="429"/>
      <c r="LTW2" s="429"/>
      <c r="LTX2" s="429"/>
      <c r="LTY2" s="428" t="s">
        <v>23</v>
      </c>
      <c r="LTZ2" s="429"/>
      <c r="LUA2" s="429"/>
      <c r="LUB2" s="429"/>
      <c r="LUC2" s="428" t="s">
        <v>23</v>
      </c>
      <c r="LUD2" s="429"/>
      <c r="LUE2" s="429"/>
      <c r="LUF2" s="429"/>
      <c r="LUG2" s="428" t="s">
        <v>23</v>
      </c>
      <c r="LUH2" s="429"/>
      <c r="LUI2" s="429"/>
      <c r="LUJ2" s="429"/>
      <c r="LUK2" s="428" t="s">
        <v>23</v>
      </c>
      <c r="LUL2" s="429"/>
      <c r="LUM2" s="429"/>
      <c r="LUN2" s="429"/>
      <c r="LUO2" s="428" t="s">
        <v>23</v>
      </c>
      <c r="LUP2" s="429"/>
      <c r="LUQ2" s="429"/>
      <c r="LUR2" s="429"/>
      <c r="LUS2" s="428" t="s">
        <v>23</v>
      </c>
      <c r="LUT2" s="429"/>
      <c r="LUU2" s="429"/>
      <c r="LUV2" s="429"/>
      <c r="LUW2" s="428" t="s">
        <v>23</v>
      </c>
      <c r="LUX2" s="429"/>
      <c r="LUY2" s="429"/>
      <c r="LUZ2" s="429"/>
      <c r="LVA2" s="428" t="s">
        <v>23</v>
      </c>
      <c r="LVB2" s="429"/>
      <c r="LVC2" s="429"/>
      <c r="LVD2" s="429"/>
      <c r="LVE2" s="428" t="s">
        <v>23</v>
      </c>
      <c r="LVF2" s="429"/>
      <c r="LVG2" s="429"/>
      <c r="LVH2" s="429"/>
      <c r="LVI2" s="428" t="s">
        <v>23</v>
      </c>
      <c r="LVJ2" s="429"/>
      <c r="LVK2" s="429"/>
      <c r="LVL2" s="429"/>
      <c r="LVM2" s="428" t="s">
        <v>23</v>
      </c>
      <c r="LVN2" s="429"/>
      <c r="LVO2" s="429"/>
      <c r="LVP2" s="429"/>
      <c r="LVQ2" s="428" t="s">
        <v>23</v>
      </c>
      <c r="LVR2" s="429"/>
      <c r="LVS2" s="429"/>
      <c r="LVT2" s="429"/>
      <c r="LVU2" s="428" t="s">
        <v>23</v>
      </c>
      <c r="LVV2" s="429"/>
      <c r="LVW2" s="429"/>
      <c r="LVX2" s="429"/>
      <c r="LVY2" s="428" t="s">
        <v>23</v>
      </c>
      <c r="LVZ2" s="429"/>
      <c r="LWA2" s="429"/>
      <c r="LWB2" s="429"/>
      <c r="LWC2" s="428" t="s">
        <v>23</v>
      </c>
      <c r="LWD2" s="429"/>
      <c r="LWE2" s="429"/>
      <c r="LWF2" s="429"/>
      <c r="LWG2" s="428" t="s">
        <v>23</v>
      </c>
      <c r="LWH2" s="429"/>
      <c r="LWI2" s="429"/>
      <c r="LWJ2" s="429"/>
      <c r="LWK2" s="428" t="s">
        <v>23</v>
      </c>
      <c r="LWL2" s="429"/>
      <c r="LWM2" s="429"/>
      <c r="LWN2" s="429"/>
      <c r="LWO2" s="428" t="s">
        <v>23</v>
      </c>
      <c r="LWP2" s="429"/>
      <c r="LWQ2" s="429"/>
      <c r="LWR2" s="429"/>
      <c r="LWS2" s="428" t="s">
        <v>23</v>
      </c>
      <c r="LWT2" s="429"/>
      <c r="LWU2" s="429"/>
      <c r="LWV2" s="429"/>
      <c r="LWW2" s="428" t="s">
        <v>23</v>
      </c>
      <c r="LWX2" s="429"/>
      <c r="LWY2" s="429"/>
      <c r="LWZ2" s="429"/>
      <c r="LXA2" s="428" t="s">
        <v>23</v>
      </c>
      <c r="LXB2" s="429"/>
      <c r="LXC2" s="429"/>
      <c r="LXD2" s="429"/>
      <c r="LXE2" s="428" t="s">
        <v>23</v>
      </c>
      <c r="LXF2" s="429"/>
      <c r="LXG2" s="429"/>
      <c r="LXH2" s="429"/>
      <c r="LXI2" s="428" t="s">
        <v>23</v>
      </c>
      <c r="LXJ2" s="429"/>
      <c r="LXK2" s="429"/>
      <c r="LXL2" s="429"/>
      <c r="LXM2" s="428" t="s">
        <v>23</v>
      </c>
      <c r="LXN2" s="429"/>
      <c r="LXO2" s="429"/>
      <c r="LXP2" s="429"/>
      <c r="LXQ2" s="428" t="s">
        <v>23</v>
      </c>
      <c r="LXR2" s="429"/>
      <c r="LXS2" s="429"/>
      <c r="LXT2" s="429"/>
      <c r="LXU2" s="428" t="s">
        <v>23</v>
      </c>
      <c r="LXV2" s="429"/>
      <c r="LXW2" s="429"/>
      <c r="LXX2" s="429"/>
      <c r="LXY2" s="428" t="s">
        <v>23</v>
      </c>
      <c r="LXZ2" s="429"/>
      <c r="LYA2" s="429"/>
      <c r="LYB2" s="429"/>
      <c r="LYC2" s="428" t="s">
        <v>23</v>
      </c>
      <c r="LYD2" s="429"/>
      <c r="LYE2" s="429"/>
      <c r="LYF2" s="429"/>
      <c r="LYG2" s="428" t="s">
        <v>23</v>
      </c>
      <c r="LYH2" s="429"/>
      <c r="LYI2" s="429"/>
      <c r="LYJ2" s="429"/>
      <c r="LYK2" s="428" t="s">
        <v>23</v>
      </c>
      <c r="LYL2" s="429"/>
      <c r="LYM2" s="429"/>
      <c r="LYN2" s="429"/>
      <c r="LYO2" s="428" t="s">
        <v>23</v>
      </c>
      <c r="LYP2" s="429"/>
      <c r="LYQ2" s="429"/>
      <c r="LYR2" s="429"/>
      <c r="LYS2" s="428" t="s">
        <v>23</v>
      </c>
      <c r="LYT2" s="429"/>
      <c r="LYU2" s="429"/>
      <c r="LYV2" s="429"/>
      <c r="LYW2" s="428" t="s">
        <v>23</v>
      </c>
      <c r="LYX2" s="429"/>
      <c r="LYY2" s="429"/>
      <c r="LYZ2" s="429"/>
      <c r="LZA2" s="428" t="s">
        <v>23</v>
      </c>
      <c r="LZB2" s="429"/>
      <c r="LZC2" s="429"/>
      <c r="LZD2" s="429"/>
      <c r="LZE2" s="428" t="s">
        <v>23</v>
      </c>
      <c r="LZF2" s="429"/>
      <c r="LZG2" s="429"/>
      <c r="LZH2" s="429"/>
      <c r="LZI2" s="428" t="s">
        <v>23</v>
      </c>
      <c r="LZJ2" s="429"/>
      <c r="LZK2" s="429"/>
      <c r="LZL2" s="429"/>
      <c r="LZM2" s="428" t="s">
        <v>23</v>
      </c>
      <c r="LZN2" s="429"/>
      <c r="LZO2" s="429"/>
      <c r="LZP2" s="429"/>
      <c r="LZQ2" s="428" t="s">
        <v>23</v>
      </c>
      <c r="LZR2" s="429"/>
      <c r="LZS2" s="429"/>
      <c r="LZT2" s="429"/>
      <c r="LZU2" s="428" t="s">
        <v>23</v>
      </c>
      <c r="LZV2" s="429"/>
      <c r="LZW2" s="429"/>
      <c r="LZX2" s="429"/>
      <c r="LZY2" s="428" t="s">
        <v>23</v>
      </c>
      <c r="LZZ2" s="429"/>
      <c r="MAA2" s="429"/>
      <c r="MAB2" s="429"/>
      <c r="MAC2" s="428" t="s">
        <v>23</v>
      </c>
      <c r="MAD2" s="429"/>
      <c r="MAE2" s="429"/>
      <c r="MAF2" s="429"/>
      <c r="MAG2" s="428" t="s">
        <v>23</v>
      </c>
      <c r="MAH2" s="429"/>
      <c r="MAI2" s="429"/>
      <c r="MAJ2" s="429"/>
      <c r="MAK2" s="428" t="s">
        <v>23</v>
      </c>
      <c r="MAL2" s="429"/>
      <c r="MAM2" s="429"/>
      <c r="MAN2" s="429"/>
      <c r="MAO2" s="428" t="s">
        <v>23</v>
      </c>
      <c r="MAP2" s="429"/>
      <c r="MAQ2" s="429"/>
      <c r="MAR2" s="429"/>
      <c r="MAS2" s="428" t="s">
        <v>23</v>
      </c>
      <c r="MAT2" s="429"/>
      <c r="MAU2" s="429"/>
      <c r="MAV2" s="429"/>
      <c r="MAW2" s="428" t="s">
        <v>23</v>
      </c>
      <c r="MAX2" s="429"/>
      <c r="MAY2" s="429"/>
      <c r="MAZ2" s="429"/>
      <c r="MBA2" s="428" t="s">
        <v>23</v>
      </c>
      <c r="MBB2" s="429"/>
      <c r="MBC2" s="429"/>
      <c r="MBD2" s="429"/>
      <c r="MBE2" s="428" t="s">
        <v>23</v>
      </c>
      <c r="MBF2" s="429"/>
      <c r="MBG2" s="429"/>
      <c r="MBH2" s="429"/>
      <c r="MBI2" s="428" t="s">
        <v>23</v>
      </c>
      <c r="MBJ2" s="429"/>
      <c r="MBK2" s="429"/>
      <c r="MBL2" s="429"/>
      <c r="MBM2" s="428" t="s">
        <v>23</v>
      </c>
      <c r="MBN2" s="429"/>
      <c r="MBO2" s="429"/>
      <c r="MBP2" s="429"/>
      <c r="MBQ2" s="428" t="s">
        <v>23</v>
      </c>
      <c r="MBR2" s="429"/>
      <c r="MBS2" s="429"/>
      <c r="MBT2" s="429"/>
      <c r="MBU2" s="428" t="s">
        <v>23</v>
      </c>
      <c r="MBV2" s="429"/>
      <c r="MBW2" s="429"/>
      <c r="MBX2" s="429"/>
      <c r="MBY2" s="428" t="s">
        <v>23</v>
      </c>
      <c r="MBZ2" s="429"/>
      <c r="MCA2" s="429"/>
      <c r="MCB2" s="429"/>
      <c r="MCC2" s="428" t="s">
        <v>23</v>
      </c>
      <c r="MCD2" s="429"/>
      <c r="MCE2" s="429"/>
      <c r="MCF2" s="429"/>
      <c r="MCG2" s="428" t="s">
        <v>23</v>
      </c>
      <c r="MCH2" s="429"/>
      <c r="MCI2" s="429"/>
      <c r="MCJ2" s="429"/>
      <c r="MCK2" s="428" t="s">
        <v>23</v>
      </c>
      <c r="MCL2" s="429"/>
      <c r="MCM2" s="429"/>
      <c r="MCN2" s="429"/>
      <c r="MCO2" s="428" t="s">
        <v>23</v>
      </c>
      <c r="MCP2" s="429"/>
      <c r="MCQ2" s="429"/>
      <c r="MCR2" s="429"/>
      <c r="MCS2" s="428" t="s">
        <v>23</v>
      </c>
      <c r="MCT2" s="429"/>
      <c r="MCU2" s="429"/>
      <c r="MCV2" s="429"/>
      <c r="MCW2" s="428" t="s">
        <v>23</v>
      </c>
      <c r="MCX2" s="429"/>
      <c r="MCY2" s="429"/>
      <c r="MCZ2" s="429"/>
      <c r="MDA2" s="428" t="s">
        <v>23</v>
      </c>
      <c r="MDB2" s="429"/>
      <c r="MDC2" s="429"/>
      <c r="MDD2" s="429"/>
      <c r="MDE2" s="428" t="s">
        <v>23</v>
      </c>
      <c r="MDF2" s="429"/>
      <c r="MDG2" s="429"/>
      <c r="MDH2" s="429"/>
      <c r="MDI2" s="428" t="s">
        <v>23</v>
      </c>
      <c r="MDJ2" s="429"/>
      <c r="MDK2" s="429"/>
      <c r="MDL2" s="429"/>
      <c r="MDM2" s="428" t="s">
        <v>23</v>
      </c>
      <c r="MDN2" s="429"/>
      <c r="MDO2" s="429"/>
      <c r="MDP2" s="429"/>
      <c r="MDQ2" s="428" t="s">
        <v>23</v>
      </c>
      <c r="MDR2" s="429"/>
      <c r="MDS2" s="429"/>
      <c r="MDT2" s="429"/>
      <c r="MDU2" s="428" t="s">
        <v>23</v>
      </c>
      <c r="MDV2" s="429"/>
      <c r="MDW2" s="429"/>
      <c r="MDX2" s="429"/>
      <c r="MDY2" s="428" t="s">
        <v>23</v>
      </c>
      <c r="MDZ2" s="429"/>
      <c r="MEA2" s="429"/>
      <c r="MEB2" s="429"/>
      <c r="MEC2" s="428" t="s">
        <v>23</v>
      </c>
      <c r="MED2" s="429"/>
      <c r="MEE2" s="429"/>
      <c r="MEF2" s="429"/>
      <c r="MEG2" s="428" t="s">
        <v>23</v>
      </c>
      <c r="MEH2" s="429"/>
      <c r="MEI2" s="429"/>
      <c r="MEJ2" s="429"/>
      <c r="MEK2" s="428" t="s">
        <v>23</v>
      </c>
      <c r="MEL2" s="429"/>
      <c r="MEM2" s="429"/>
      <c r="MEN2" s="429"/>
      <c r="MEO2" s="428" t="s">
        <v>23</v>
      </c>
      <c r="MEP2" s="429"/>
      <c r="MEQ2" s="429"/>
      <c r="MER2" s="429"/>
      <c r="MES2" s="428" t="s">
        <v>23</v>
      </c>
      <c r="MET2" s="429"/>
      <c r="MEU2" s="429"/>
      <c r="MEV2" s="429"/>
      <c r="MEW2" s="428" t="s">
        <v>23</v>
      </c>
      <c r="MEX2" s="429"/>
      <c r="MEY2" s="429"/>
      <c r="MEZ2" s="429"/>
      <c r="MFA2" s="428" t="s">
        <v>23</v>
      </c>
      <c r="MFB2" s="429"/>
      <c r="MFC2" s="429"/>
      <c r="MFD2" s="429"/>
      <c r="MFE2" s="428" t="s">
        <v>23</v>
      </c>
      <c r="MFF2" s="429"/>
      <c r="MFG2" s="429"/>
      <c r="MFH2" s="429"/>
      <c r="MFI2" s="428" t="s">
        <v>23</v>
      </c>
      <c r="MFJ2" s="429"/>
      <c r="MFK2" s="429"/>
      <c r="MFL2" s="429"/>
      <c r="MFM2" s="428" t="s">
        <v>23</v>
      </c>
      <c r="MFN2" s="429"/>
      <c r="MFO2" s="429"/>
      <c r="MFP2" s="429"/>
      <c r="MFQ2" s="428" t="s">
        <v>23</v>
      </c>
      <c r="MFR2" s="429"/>
      <c r="MFS2" s="429"/>
      <c r="MFT2" s="429"/>
      <c r="MFU2" s="428" t="s">
        <v>23</v>
      </c>
      <c r="MFV2" s="429"/>
      <c r="MFW2" s="429"/>
      <c r="MFX2" s="429"/>
      <c r="MFY2" s="428" t="s">
        <v>23</v>
      </c>
      <c r="MFZ2" s="429"/>
      <c r="MGA2" s="429"/>
      <c r="MGB2" s="429"/>
      <c r="MGC2" s="428" t="s">
        <v>23</v>
      </c>
      <c r="MGD2" s="429"/>
      <c r="MGE2" s="429"/>
      <c r="MGF2" s="429"/>
      <c r="MGG2" s="428" t="s">
        <v>23</v>
      </c>
      <c r="MGH2" s="429"/>
      <c r="MGI2" s="429"/>
      <c r="MGJ2" s="429"/>
      <c r="MGK2" s="428" t="s">
        <v>23</v>
      </c>
      <c r="MGL2" s="429"/>
      <c r="MGM2" s="429"/>
      <c r="MGN2" s="429"/>
      <c r="MGO2" s="428" t="s">
        <v>23</v>
      </c>
      <c r="MGP2" s="429"/>
      <c r="MGQ2" s="429"/>
      <c r="MGR2" s="429"/>
      <c r="MGS2" s="428" t="s">
        <v>23</v>
      </c>
      <c r="MGT2" s="429"/>
      <c r="MGU2" s="429"/>
      <c r="MGV2" s="429"/>
      <c r="MGW2" s="428" t="s">
        <v>23</v>
      </c>
      <c r="MGX2" s="429"/>
      <c r="MGY2" s="429"/>
      <c r="MGZ2" s="429"/>
      <c r="MHA2" s="428" t="s">
        <v>23</v>
      </c>
      <c r="MHB2" s="429"/>
      <c r="MHC2" s="429"/>
      <c r="MHD2" s="429"/>
      <c r="MHE2" s="428" t="s">
        <v>23</v>
      </c>
      <c r="MHF2" s="429"/>
      <c r="MHG2" s="429"/>
      <c r="MHH2" s="429"/>
      <c r="MHI2" s="428" t="s">
        <v>23</v>
      </c>
      <c r="MHJ2" s="429"/>
      <c r="MHK2" s="429"/>
      <c r="MHL2" s="429"/>
      <c r="MHM2" s="428" t="s">
        <v>23</v>
      </c>
      <c r="MHN2" s="429"/>
      <c r="MHO2" s="429"/>
      <c r="MHP2" s="429"/>
      <c r="MHQ2" s="428" t="s">
        <v>23</v>
      </c>
      <c r="MHR2" s="429"/>
      <c r="MHS2" s="429"/>
      <c r="MHT2" s="429"/>
      <c r="MHU2" s="428" t="s">
        <v>23</v>
      </c>
      <c r="MHV2" s="429"/>
      <c r="MHW2" s="429"/>
      <c r="MHX2" s="429"/>
      <c r="MHY2" s="428" t="s">
        <v>23</v>
      </c>
      <c r="MHZ2" s="429"/>
      <c r="MIA2" s="429"/>
      <c r="MIB2" s="429"/>
      <c r="MIC2" s="428" t="s">
        <v>23</v>
      </c>
      <c r="MID2" s="429"/>
      <c r="MIE2" s="429"/>
      <c r="MIF2" s="429"/>
      <c r="MIG2" s="428" t="s">
        <v>23</v>
      </c>
      <c r="MIH2" s="429"/>
      <c r="MII2" s="429"/>
      <c r="MIJ2" s="429"/>
      <c r="MIK2" s="428" t="s">
        <v>23</v>
      </c>
      <c r="MIL2" s="429"/>
      <c r="MIM2" s="429"/>
      <c r="MIN2" s="429"/>
      <c r="MIO2" s="428" t="s">
        <v>23</v>
      </c>
      <c r="MIP2" s="429"/>
      <c r="MIQ2" s="429"/>
      <c r="MIR2" s="429"/>
      <c r="MIS2" s="428" t="s">
        <v>23</v>
      </c>
      <c r="MIT2" s="429"/>
      <c r="MIU2" s="429"/>
      <c r="MIV2" s="429"/>
      <c r="MIW2" s="428" t="s">
        <v>23</v>
      </c>
      <c r="MIX2" s="429"/>
      <c r="MIY2" s="429"/>
      <c r="MIZ2" s="429"/>
      <c r="MJA2" s="428" t="s">
        <v>23</v>
      </c>
      <c r="MJB2" s="429"/>
      <c r="MJC2" s="429"/>
      <c r="MJD2" s="429"/>
      <c r="MJE2" s="428" t="s">
        <v>23</v>
      </c>
      <c r="MJF2" s="429"/>
      <c r="MJG2" s="429"/>
      <c r="MJH2" s="429"/>
      <c r="MJI2" s="428" t="s">
        <v>23</v>
      </c>
      <c r="MJJ2" s="429"/>
      <c r="MJK2" s="429"/>
      <c r="MJL2" s="429"/>
      <c r="MJM2" s="428" t="s">
        <v>23</v>
      </c>
      <c r="MJN2" s="429"/>
      <c r="MJO2" s="429"/>
      <c r="MJP2" s="429"/>
      <c r="MJQ2" s="428" t="s">
        <v>23</v>
      </c>
      <c r="MJR2" s="429"/>
      <c r="MJS2" s="429"/>
      <c r="MJT2" s="429"/>
      <c r="MJU2" s="428" t="s">
        <v>23</v>
      </c>
      <c r="MJV2" s="429"/>
      <c r="MJW2" s="429"/>
      <c r="MJX2" s="429"/>
      <c r="MJY2" s="428" t="s">
        <v>23</v>
      </c>
      <c r="MJZ2" s="429"/>
      <c r="MKA2" s="429"/>
      <c r="MKB2" s="429"/>
      <c r="MKC2" s="428" t="s">
        <v>23</v>
      </c>
      <c r="MKD2" s="429"/>
      <c r="MKE2" s="429"/>
      <c r="MKF2" s="429"/>
      <c r="MKG2" s="428" t="s">
        <v>23</v>
      </c>
      <c r="MKH2" s="429"/>
      <c r="MKI2" s="429"/>
      <c r="MKJ2" s="429"/>
      <c r="MKK2" s="428" t="s">
        <v>23</v>
      </c>
      <c r="MKL2" s="429"/>
      <c r="MKM2" s="429"/>
      <c r="MKN2" s="429"/>
      <c r="MKO2" s="428" t="s">
        <v>23</v>
      </c>
      <c r="MKP2" s="429"/>
      <c r="MKQ2" s="429"/>
      <c r="MKR2" s="429"/>
      <c r="MKS2" s="428" t="s">
        <v>23</v>
      </c>
      <c r="MKT2" s="429"/>
      <c r="MKU2" s="429"/>
      <c r="MKV2" s="429"/>
      <c r="MKW2" s="428" t="s">
        <v>23</v>
      </c>
      <c r="MKX2" s="429"/>
      <c r="MKY2" s="429"/>
      <c r="MKZ2" s="429"/>
      <c r="MLA2" s="428" t="s">
        <v>23</v>
      </c>
      <c r="MLB2" s="429"/>
      <c r="MLC2" s="429"/>
      <c r="MLD2" s="429"/>
      <c r="MLE2" s="428" t="s">
        <v>23</v>
      </c>
      <c r="MLF2" s="429"/>
      <c r="MLG2" s="429"/>
      <c r="MLH2" s="429"/>
      <c r="MLI2" s="428" t="s">
        <v>23</v>
      </c>
      <c r="MLJ2" s="429"/>
      <c r="MLK2" s="429"/>
      <c r="MLL2" s="429"/>
      <c r="MLM2" s="428" t="s">
        <v>23</v>
      </c>
      <c r="MLN2" s="429"/>
      <c r="MLO2" s="429"/>
      <c r="MLP2" s="429"/>
      <c r="MLQ2" s="428" t="s">
        <v>23</v>
      </c>
      <c r="MLR2" s="429"/>
      <c r="MLS2" s="429"/>
      <c r="MLT2" s="429"/>
      <c r="MLU2" s="428" t="s">
        <v>23</v>
      </c>
      <c r="MLV2" s="429"/>
      <c r="MLW2" s="429"/>
      <c r="MLX2" s="429"/>
      <c r="MLY2" s="428" t="s">
        <v>23</v>
      </c>
      <c r="MLZ2" s="429"/>
      <c r="MMA2" s="429"/>
      <c r="MMB2" s="429"/>
      <c r="MMC2" s="428" t="s">
        <v>23</v>
      </c>
      <c r="MMD2" s="429"/>
      <c r="MME2" s="429"/>
      <c r="MMF2" s="429"/>
      <c r="MMG2" s="428" t="s">
        <v>23</v>
      </c>
      <c r="MMH2" s="429"/>
      <c r="MMI2" s="429"/>
      <c r="MMJ2" s="429"/>
      <c r="MMK2" s="428" t="s">
        <v>23</v>
      </c>
      <c r="MML2" s="429"/>
      <c r="MMM2" s="429"/>
      <c r="MMN2" s="429"/>
      <c r="MMO2" s="428" t="s">
        <v>23</v>
      </c>
      <c r="MMP2" s="429"/>
      <c r="MMQ2" s="429"/>
      <c r="MMR2" s="429"/>
      <c r="MMS2" s="428" t="s">
        <v>23</v>
      </c>
      <c r="MMT2" s="429"/>
      <c r="MMU2" s="429"/>
      <c r="MMV2" s="429"/>
      <c r="MMW2" s="428" t="s">
        <v>23</v>
      </c>
      <c r="MMX2" s="429"/>
      <c r="MMY2" s="429"/>
      <c r="MMZ2" s="429"/>
      <c r="MNA2" s="428" t="s">
        <v>23</v>
      </c>
      <c r="MNB2" s="429"/>
      <c r="MNC2" s="429"/>
      <c r="MND2" s="429"/>
      <c r="MNE2" s="428" t="s">
        <v>23</v>
      </c>
      <c r="MNF2" s="429"/>
      <c r="MNG2" s="429"/>
      <c r="MNH2" s="429"/>
      <c r="MNI2" s="428" t="s">
        <v>23</v>
      </c>
      <c r="MNJ2" s="429"/>
      <c r="MNK2" s="429"/>
      <c r="MNL2" s="429"/>
      <c r="MNM2" s="428" t="s">
        <v>23</v>
      </c>
      <c r="MNN2" s="429"/>
      <c r="MNO2" s="429"/>
      <c r="MNP2" s="429"/>
      <c r="MNQ2" s="428" t="s">
        <v>23</v>
      </c>
      <c r="MNR2" s="429"/>
      <c r="MNS2" s="429"/>
      <c r="MNT2" s="429"/>
      <c r="MNU2" s="428" t="s">
        <v>23</v>
      </c>
      <c r="MNV2" s="429"/>
      <c r="MNW2" s="429"/>
      <c r="MNX2" s="429"/>
      <c r="MNY2" s="428" t="s">
        <v>23</v>
      </c>
      <c r="MNZ2" s="429"/>
      <c r="MOA2" s="429"/>
      <c r="MOB2" s="429"/>
      <c r="MOC2" s="428" t="s">
        <v>23</v>
      </c>
      <c r="MOD2" s="429"/>
      <c r="MOE2" s="429"/>
      <c r="MOF2" s="429"/>
      <c r="MOG2" s="428" t="s">
        <v>23</v>
      </c>
      <c r="MOH2" s="429"/>
      <c r="MOI2" s="429"/>
      <c r="MOJ2" s="429"/>
      <c r="MOK2" s="428" t="s">
        <v>23</v>
      </c>
      <c r="MOL2" s="429"/>
      <c r="MOM2" s="429"/>
      <c r="MON2" s="429"/>
      <c r="MOO2" s="428" t="s">
        <v>23</v>
      </c>
      <c r="MOP2" s="429"/>
      <c r="MOQ2" s="429"/>
      <c r="MOR2" s="429"/>
      <c r="MOS2" s="428" t="s">
        <v>23</v>
      </c>
      <c r="MOT2" s="429"/>
      <c r="MOU2" s="429"/>
      <c r="MOV2" s="429"/>
      <c r="MOW2" s="428" t="s">
        <v>23</v>
      </c>
      <c r="MOX2" s="429"/>
      <c r="MOY2" s="429"/>
      <c r="MOZ2" s="429"/>
      <c r="MPA2" s="428" t="s">
        <v>23</v>
      </c>
      <c r="MPB2" s="429"/>
      <c r="MPC2" s="429"/>
      <c r="MPD2" s="429"/>
      <c r="MPE2" s="428" t="s">
        <v>23</v>
      </c>
      <c r="MPF2" s="429"/>
      <c r="MPG2" s="429"/>
      <c r="MPH2" s="429"/>
      <c r="MPI2" s="428" t="s">
        <v>23</v>
      </c>
      <c r="MPJ2" s="429"/>
      <c r="MPK2" s="429"/>
      <c r="MPL2" s="429"/>
      <c r="MPM2" s="428" t="s">
        <v>23</v>
      </c>
      <c r="MPN2" s="429"/>
      <c r="MPO2" s="429"/>
      <c r="MPP2" s="429"/>
      <c r="MPQ2" s="428" t="s">
        <v>23</v>
      </c>
      <c r="MPR2" s="429"/>
      <c r="MPS2" s="429"/>
      <c r="MPT2" s="429"/>
      <c r="MPU2" s="428" t="s">
        <v>23</v>
      </c>
      <c r="MPV2" s="429"/>
      <c r="MPW2" s="429"/>
      <c r="MPX2" s="429"/>
      <c r="MPY2" s="428" t="s">
        <v>23</v>
      </c>
      <c r="MPZ2" s="429"/>
      <c r="MQA2" s="429"/>
      <c r="MQB2" s="429"/>
      <c r="MQC2" s="428" t="s">
        <v>23</v>
      </c>
      <c r="MQD2" s="429"/>
      <c r="MQE2" s="429"/>
      <c r="MQF2" s="429"/>
      <c r="MQG2" s="428" t="s">
        <v>23</v>
      </c>
      <c r="MQH2" s="429"/>
      <c r="MQI2" s="429"/>
      <c r="MQJ2" s="429"/>
      <c r="MQK2" s="428" t="s">
        <v>23</v>
      </c>
      <c r="MQL2" s="429"/>
      <c r="MQM2" s="429"/>
      <c r="MQN2" s="429"/>
      <c r="MQO2" s="428" t="s">
        <v>23</v>
      </c>
      <c r="MQP2" s="429"/>
      <c r="MQQ2" s="429"/>
      <c r="MQR2" s="429"/>
      <c r="MQS2" s="428" t="s">
        <v>23</v>
      </c>
      <c r="MQT2" s="429"/>
      <c r="MQU2" s="429"/>
      <c r="MQV2" s="429"/>
      <c r="MQW2" s="428" t="s">
        <v>23</v>
      </c>
      <c r="MQX2" s="429"/>
      <c r="MQY2" s="429"/>
      <c r="MQZ2" s="429"/>
      <c r="MRA2" s="428" t="s">
        <v>23</v>
      </c>
      <c r="MRB2" s="429"/>
      <c r="MRC2" s="429"/>
      <c r="MRD2" s="429"/>
      <c r="MRE2" s="428" t="s">
        <v>23</v>
      </c>
      <c r="MRF2" s="429"/>
      <c r="MRG2" s="429"/>
      <c r="MRH2" s="429"/>
      <c r="MRI2" s="428" t="s">
        <v>23</v>
      </c>
      <c r="MRJ2" s="429"/>
      <c r="MRK2" s="429"/>
      <c r="MRL2" s="429"/>
      <c r="MRM2" s="428" t="s">
        <v>23</v>
      </c>
      <c r="MRN2" s="429"/>
      <c r="MRO2" s="429"/>
      <c r="MRP2" s="429"/>
      <c r="MRQ2" s="428" t="s">
        <v>23</v>
      </c>
      <c r="MRR2" s="429"/>
      <c r="MRS2" s="429"/>
      <c r="MRT2" s="429"/>
      <c r="MRU2" s="428" t="s">
        <v>23</v>
      </c>
      <c r="MRV2" s="429"/>
      <c r="MRW2" s="429"/>
      <c r="MRX2" s="429"/>
      <c r="MRY2" s="428" t="s">
        <v>23</v>
      </c>
      <c r="MRZ2" s="429"/>
      <c r="MSA2" s="429"/>
      <c r="MSB2" s="429"/>
      <c r="MSC2" s="428" t="s">
        <v>23</v>
      </c>
      <c r="MSD2" s="429"/>
      <c r="MSE2" s="429"/>
      <c r="MSF2" s="429"/>
      <c r="MSG2" s="428" t="s">
        <v>23</v>
      </c>
      <c r="MSH2" s="429"/>
      <c r="MSI2" s="429"/>
      <c r="MSJ2" s="429"/>
      <c r="MSK2" s="428" t="s">
        <v>23</v>
      </c>
      <c r="MSL2" s="429"/>
      <c r="MSM2" s="429"/>
      <c r="MSN2" s="429"/>
      <c r="MSO2" s="428" t="s">
        <v>23</v>
      </c>
      <c r="MSP2" s="429"/>
      <c r="MSQ2" s="429"/>
      <c r="MSR2" s="429"/>
      <c r="MSS2" s="428" t="s">
        <v>23</v>
      </c>
      <c r="MST2" s="429"/>
      <c r="MSU2" s="429"/>
      <c r="MSV2" s="429"/>
      <c r="MSW2" s="428" t="s">
        <v>23</v>
      </c>
      <c r="MSX2" s="429"/>
      <c r="MSY2" s="429"/>
      <c r="MSZ2" s="429"/>
      <c r="MTA2" s="428" t="s">
        <v>23</v>
      </c>
      <c r="MTB2" s="429"/>
      <c r="MTC2" s="429"/>
      <c r="MTD2" s="429"/>
      <c r="MTE2" s="428" t="s">
        <v>23</v>
      </c>
      <c r="MTF2" s="429"/>
      <c r="MTG2" s="429"/>
      <c r="MTH2" s="429"/>
      <c r="MTI2" s="428" t="s">
        <v>23</v>
      </c>
      <c r="MTJ2" s="429"/>
      <c r="MTK2" s="429"/>
      <c r="MTL2" s="429"/>
      <c r="MTM2" s="428" t="s">
        <v>23</v>
      </c>
      <c r="MTN2" s="429"/>
      <c r="MTO2" s="429"/>
      <c r="MTP2" s="429"/>
      <c r="MTQ2" s="428" t="s">
        <v>23</v>
      </c>
      <c r="MTR2" s="429"/>
      <c r="MTS2" s="429"/>
      <c r="MTT2" s="429"/>
      <c r="MTU2" s="428" t="s">
        <v>23</v>
      </c>
      <c r="MTV2" s="429"/>
      <c r="MTW2" s="429"/>
      <c r="MTX2" s="429"/>
      <c r="MTY2" s="428" t="s">
        <v>23</v>
      </c>
      <c r="MTZ2" s="429"/>
      <c r="MUA2" s="429"/>
      <c r="MUB2" s="429"/>
      <c r="MUC2" s="428" t="s">
        <v>23</v>
      </c>
      <c r="MUD2" s="429"/>
      <c r="MUE2" s="429"/>
      <c r="MUF2" s="429"/>
      <c r="MUG2" s="428" t="s">
        <v>23</v>
      </c>
      <c r="MUH2" s="429"/>
      <c r="MUI2" s="429"/>
      <c r="MUJ2" s="429"/>
      <c r="MUK2" s="428" t="s">
        <v>23</v>
      </c>
      <c r="MUL2" s="429"/>
      <c r="MUM2" s="429"/>
      <c r="MUN2" s="429"/>
      <c r="MUO2" s="428" t="s">
        <v>23</v>
      </c>
      <c r="MUP2" s="429"/>
      <c r="MUQ2" s="429"/>
      <c r="MUR2" s="429"/>
      <c r="MUS2" s="428" t="s">
        <v>23</v>
      </c>
      <c r="MUT2" s="429"/>
      <c r="MUU2" s="429"/>
      <c r="MUV2" s="429"/>
      <c r="MUW2" s="428" t="s">
        <v>23</v>
      </c>
      <c r="MUX2" s="429"/>
      <c r="MUY2" s="429"/>
      <c r="MUZ2" s="429"/>
      <c r="MVA2" s="428" t="s">
        <v>23</v>
      </c>
      <c r="MVB2" s="429"/>
      <c r="MVC2" s="429"/>
      <c r="MVD2" s="429"/>
      <c r="MVE2" s="428" t="s">
        <v>23</v>
      </c>
      <c r="MVF2" s="429"/>
      <c r="MVG2" s="429"/>
      <c r="MVH2" s="429"/>
      <c r="MVI2" s="428" t="s">
        <v>23</v>
      </c>
      <c r="MVJ2" s="429"/>
      <c r="MVK2" s="429"/>
      <c r="MVL2" s="429"/>
      <c r="MVM2" s="428" t="s">
        <v>23</v>
      </c>
      <c r="MVN2" s="429"/>
      <c r="MVO2" s="429"/>
      <c r="MVP2" s="429"/>
      <c r="MVQ2" s="428" t="s">
        <v>23</v>
      </c>
      <c r="MVR2" s="429"/>
      <c r="MVS2" s="429"/>
      <c r="MVT2" s="429"/>
      <c r="MVU2" s="428" t="s">
        <v>23</v>
      </c>
      <c r="MVV2" s="429"/>
      <c r="MVW2" s="429"/>
      <c r="MVX2" s="429"/>
      <c r="MVY2" s="428" t="s">
        <v>23</v>
      </c>
      <c r="MVZ2" s="429"/>
      <c r="MWA2" s="429"/>
      <c r="MWB2" s="429"/>
      <c r="MWC2" s="428" t="s">
        <v>23</v>
      </c>
      <c r="MWD2" s="429"/>
      <c r="MWE2" s="429"/>
      <c r="MWF2" s="429"/>
      <c r="MWG2" s="428" t="s">
        <v>23</v>
      </c>
      <c r="MWH2" s="429"/>
      <c r="MWI2" s="429"/>
      <c r="MWJ2" s="429"/>
      <c r="MWK2" s="428" t="s">
        <v>23</v>
      </c>
      <c r="MWL2" s="429"/>
      <c r="MWM2" s="429"/>
      <c r="MWN2" s="429"/>
      <c r="MWO2" s="428" t="s">
        <v>23</v>
      </c>
      <c r="MWP2" s="429"/>
      <c r="MWQ2" s="429"/>
      <c r="MWR2" s="429"/>
      <c r="MWS2" s="428" t="s">
        <v>23</v>
      </c>
      <c r="MWT2" s="429"/>
      <c r="MWU2" s="429"/>
      <c r="MWV2" s="429"/>
      <c r="MWW2" s="428" t="s">
        <v>23</v>
      </c>
      <c r="MWX2" s="429"/>
      <c r="MWY2" s="429"/>
      <c r="MWZ2" s="429"/>
      <c r="MXA2" s="428" t="s">
        <v>23</v>
      </c>
      <c r="MXB2" s="429"/>
      <c r="MXC2" s="429"/>
      <c r="MXD2" s="429"/>
      <c r="MXE2" s="428" t="s">
        <v>23</v>
      </c>
      <c r="MXF2" s="429"/>
      <c r="MXG2" s="429"/>
      <c r="MXH2" s="429"/>
      <c r="MXI2" s="428" t="s">
        <v>23</v>
      </c>
      <c r="MXJ2" s="429"/>
      <c r="MXK2" s="429"/>
      <c r="MXL2" s="429"/>
      <c r="MXM2" s="428" t="s">
        <v>23</v>
      </c>
      <c r="MXN2" s="429"/>
      <c r="MXO2" s="429"/>
      <c r="MXP2" s="429"/>
      <c r="MXQ2" s="428" t="s">
        <v>23</v>
      </c>
      <c r="MXR2" s="429"/>
      <c r="MXS2" s="429"/>
      <c r="MXT2" s="429"/>
      <c r="MXU2" s="428" t="s">
        <v>23</v>
      </c>
      <c r="MXV2" s="429"/>
      <c r="MXW2" s="429"/>
      <c r="MXX2" s="429"/>
      <c r="MXY2" s="428" t="s">
        <v>23</v>
      </c>
      <c r="MXZ2" s="429"/>
      <c r="MYA2" s="429"/>
      <c r="MYB2" s="429"/>
      <c r="MYC2" s="428" t="s">
        <v>23</v>
      </c>
      <c r="MYD2" s="429"/>
      <c r="MYE2" s="429"/>
      <c r="MYF2" s="429"/>
      <c r="MYG2" s="428" t="s">
        <v>23</v>
      </c>
      <c r="MYH2" s="429"/>
      <c r="MYI2" s="429"/>
      <c r="MYJ2" s="429"/>
      <c r="MYK2" s="428" t="s">
        <v>23</v>
      </c>
      <c r="MYL2" s="429"/>
      <c r="MYM2" s="429"/>
      <c r="MYN2" s="429"/>
      <c r="MYO2" s="428" t="s">
        <v>23</v>
      </c>
      <c r="MYP2" s="429"/>
      <c r="MYQ2" s="429"/>
      <c r="MYR2" s="429"/>
      <c r="MYS2" s="428" t="s">
        <v>23</v>
      </c>
      <c r="MYT2" s="429"/>
      <c r="MYU2" s="429"/>
      <c r="MYV2" s="429"/>
      <c r="MYW2" s="428" t="s">
        <v>23</v>
      </c>
      <c r="MYX2" s="429"/>
      <c r="MYY2" s="429"/>
      <c r="MYZ2" s="429"/>
      <c r="MZA2" s="428" t="s">
        <v>23</v>
      </c>
      <c r="MZB2" s="429"/>
      <c r="MZC2" s="429"/>
      <c r="MZD2" s="429"/>
      <c r="MZE2" s="428" t="s">
        <v>23</v>
      </c>
      <c r="MZF2" s="429"/>
      <c r="MZG2" s="429"/>
      <c r="MZH2" s="429"/>
      <c r="MZI2" s="428" t="s">
        <v>23</v>
      </c>
      <c r="MZJ2" s="429"/>
      <c r="MZK2" s="429"/>
      <c r="MZL2" s="429"/>
      <c r="MZM2" s="428" t="s">
        <v>23</v>
      </c>
      <c r="MZN2" s="429"/>
      <c r="MZO2" s="429"/>
      <c r="MZP2" s="429"/>
      <c r="MZQ2" s="428" t="s">
        <v>23</v>
      </c>
      <c r="MZR2" s="429"/>
      <c r="MZS2" s="429"/>
      <c r="MZT2" s="429"/>
      <c r="MZU2" s="428" t="s">
        <v>23</v>
      </c>
      <c r="MZV2" s="429"/>
      <c r="MZW2" s="429"/>
      <c r="MZX2" s="429"/>
      <c r="MZY2" s="428" t="s">
        <v>23</v>
      </c>
      <c r="MZZ2" s="429"/>
      <c r="NAA2" s="429"/>
      <c r="NAB2" s="429"/>
      <c r="NAC2" s="428" t="s">
        <v>23</v>
      </c>
      <c r="NAD2" s="429"/>
      <c r="NAE2" s="429"/>
      <c r="NAF2" s="429"/>
      <c r="NAG2" s="428" t="s">
        <v>23</v>
      </c>
      <c r="NAH2" s="429"/>
      <c r="NAI2" s="429"/>
      <c r="NAJ2" s="429"/>
      <c r="NAK2" s="428" t="s">
        <v>23</v>
      </c>
      <c r="NAL2" s="429"/>
      <c r="NAM2" s="429"/>
      <c r="NAN2" s="429"/>
      <c r="NAO2" s="428" t="s">
        <v>23</v>
      </c>
      <c r="NAP2" s="429"/>
      <c r="NAQ2" s="429"/>
      <c r="NAR2" s="429"/>
      <c r="NAS2" s="428" t="s">
        <v>23</v>
      </c>
      <c r="NAT2" s="429"/>
      <c r="NAU2" s="429"/>
      <c r="NAV2" s="429"/>
      <c r="NAW2" s="428" t="s">
        <v>23</v>
      </c>
      <c r="NAX2" s="429"/>
      <c r="NAY2" s="429"/>
      <c r="NAZ2" s="429"/>
      <c r="NBA2" s="428" t="s">
        <v>23</v>
      </c>
      <c r="NBB2" s="429"/>
      <c r="NBC2" s="429"/>
      <c r="NBD2" s="429"/>
      <c r="NBE2" s="428" t="s">
        <v>23</v>
      </c>
      <c r="NBF2" s="429"/>
      <c r="NBG2" s="429"/>
      <c r="NBH2" s="429"/>
      <c r="NBI2" s="428" t="s">
        <v>23</v>
      </c>
      <c r="NBJ2" s="429"/>
      <c r="NBK2" s="429"/>
      <c r="NBL2" s="429"/>
      <c r="NBM2" s="428" t="s">
        <v>23</v>
      </c>
      <c r="NBN2" s="429"/>
      <c r="NBO2" s="429"/>
      <c r="NBP2" s="429"/>
      <c r="NBQ2" s="428" t="s">
        <v>23</v>
      </c>
      <c r="NBR2" s="429"/>
      <c r="NBS2" s="429"/>
      <c r="NBT2" s="429"/>
      <c r="NBU2" s="428" t="s">
        <v>23</v>
      </c>
      <c r="NBV2" s="429"/>
      <c r="NBW2" s="429"/>
      <c r="NBX2" s="429"/>
      <c r="NBY2" s="428" t="s">
        <v>23</v>
      </c>
      <c r="NBZ2" s="429"/>
      <c r="NCA2" s="429"/>
      <c r="NCB2" s="429"/>
      <c r="NCC2" s="428" t="s">
        <v>23</v>
      </c>
      <c r="NCD2" s="429"/>
      <c r="NCE2" s="429"/>
      <c r="NCF2" s="429"/>
      <c r="NCG2" s="428" t="s">
        <v>23</v>
      </c>
      <c r="NCH2" s="429"/>
      <c r="NCI2" s="429"/>
      <c r="NCJ2" s="429"/>
      <c r="NCK2" s="428" t="s">
        <v>23</v>
      </c>
      <c r="NCL2" s="429"/>
      <c r="NCM2" s="429"/>
      <c r="NCN2" s="429"/>
      <c r="NCO2" s="428" t="s">
        <v>23</v>
      </c>
      <c r="NCP2" s="429"/>
      <c r="NCQ2" s="429"/>
      <c r="NCR2" s="429"/>
      <c r="NCS2" s="428" t="s">
        <v>23</v>
      </c>
      <c r="NCT2" s="429"/>
      <c r="NCU2" s="429"/>
      <c r="NCV2" s="429"/>
      <c r="NCW2" s="428" t="s">
        <v>23</v>
      </c>
      <c r="NCX2" s="429"/>
      <c r="NCY2" s="429"/>
      <c r="NCZ2" s="429"/>
      <c r="NDA2" s="428" t="s">
        <v>23</v>
      </c>
      <c r="NDB2" s="429"/>
      <c r="NDC2" s="429"/>
      <c r="NDD2" s="429"/>
      <c r="NDE2" s="428" t="s">
        <v>23</v>
      </c>
      <c r="NDF2" s="429"/>
      <c r="NDG2" s="429"/>
      <c r="NDH2" s="429"/>
      <c r="NDI2" s="428" t="s">
        <v>23</v>
      </c>
      <c r="NDJ2" s="429"/>
      <c r="NDK2" s="429"/>
      <c r="NDL2" s="429"/>
      <c r="NDM2" s="428" t="s">
        <v>23</v>
      </c>
      <c r="NDN2" s="429"/>
      <c r="NDO2" s="429"/>
      <c r="NDP2" s="429"/>
      <c r="NDQ2" s="428" t="s">
        <v>23</v>
      </c>
      <c r="NDR2" s="429"/>
      <c r="NDS2" s="429"/>
      <c r="NDT2" s="429"/>
      <c r="NDU2" s="428" t="s">
        <v>23</v>
      </c>
      <c r="NDV2" s="429"/>
      <c r="NDW2" s="429"/>
      <c r="NDX2" s="429"/>
      <c r="NDY2" s="428" t="s">
        <v>23</v>
      </c>
      <c r="NDZ2" s="429"/>
      <c r="NEA2" s="429"/>
      <c r="NEB2" s="429"/>
      <c r="NEC2" s="428" t="s">
        <v>23</v>
      </c>
      <c r="NED2" s="429"/>
      <c r="NEE2" s="429"/>
      <c r="NEF2" s="429"/>
      <c r="NEG2" s="428" t="s">
        <v>23</v>
      </c>
      <c r="NEH2" s="429"/>
      <c r="NEI2" s="429"/>
      <c r="NEJ2" s="429"/>
      <c r="NEK2" s="428" t="s">
        <v>23</v>
      </c>
      <c r="NEL2" s="429"/>
      <c r="NEM2" s="429"/>
      <c r="NEN2" s="429"/>
      <c r="NEO2" s="428" t="s">
        <v>23</v>
      </c>
      <c r="NEP2" s="429"/>
      <c r="NEQ2" s="429"/>
      <c r="NER2" s="429"/>
      <c r="NES2" s="428" t="s">
        <v>23</v>
      </c>
      <c r="NET2" s="429"/>
      <c r="NEU2" s="429"/>
      <c r="NEV2" s="429"/>
      <c r="NEW2" s="428" t="s">
        <v>23</v>
      </c>
      <c r="NEX2" s="429"/>
      <c r="NEY2" s="429"/>
      <c r="NEZ2" s="429"/>
      <c r="NFA2" s="428" t="s">
        <v>23</v>
      </c>
      <c r="NFB2" s="429"/>
      <c r="NFC2" s="429"/>
      <c r="NFD2" s="429"/>
      <c r="NFE2" s="428" t="s">
        <v>23</v>
      </c>
      <c r="NFF2" s="429"/>
      <c r="NFG2" s="429"/>
      <c r="NFH2" s="429"/>
      <c r="NFI2" s="428" t="s">
        <v>23</v>
      </c>
      <c r="NFJ2" s="429"/>
      <c r="NFK2" s="429"/>
      <c r="NFL2" s="429"/>
      <c r="NFM2" s="428" t="s">
        <v>23</v>
      </c>
      <c r="NFN2" s="429"/>
      <c r="NFO2" s="429"/>
      <c r="NFP2" s="429"/>
      <c r="NFQ2" s="428" t="s">
        <v>23</v>
      </c>
      <c r="NFR2" s="429"/>
      <c r="NFS2" s="429"/>
      <c r="NFT2" s="429"/>
      <c r="NFU2" s="428" t="s">
        <v>23</v>
      </c>
      <c r="NFV2" s="429"/>
      <c r="NFW2" s="429"/>
      <c r="NFX2" s="429"/>
      <c r="NFY2" s="428" t="s">
        <v>23</v>
      </c>
      <c r="NFZ2" s="429"/>
      <c r="NGA2" s="429"/>
      <c r="NGB2" s="429"/>
      <c r="NGC2" s="428" t="s">
        <v>23</v>
      </c>
      <c r="NGD2" s="429"/>
      <c r="NGE2" s="429"/>
      <c r="NGF2" s="429"/>
      <c r="NGG2" s="428" t="s">
        <v>23</v>
      </c>
      <c r="NGH2" s="429"/>
      <c r="NGI2" s="429"/>
      <c r="NGJ2" s="429"/>
      <c r="NGK2" s="428" t="s">
        <v>23</v>
      </c>
      <c r="NGL2" s="429"/>
      <c r="NGM2" s="429"/>
      <c r="NGN2" s="429"/>
      <c r="NGO2" s="428" t="s">
        <v>23</v>
      </c>
      <c r="NGP2" s="429"/>
      <c r="NGQ2" s="429"/>
      <c r="NGR2" s="429"/>
      <c r="NGS2" s="428" t="s">
        <v>23</v>
      </c>
      <c r="NGT2" s="429"/>
      <c r="NGU2" s="429"/>
      <c r="NGV2" s="429"/>
      <c r="NGW2" s="428" t="s">
        <v>23</v>
      </c>
      <c r="NGX2" s="429"/>
      <c r="NGY2" s="429"/>
      <c r="NGZ2" s="429"/>
      <c r="NHA2" s="428" t="s">
        <v>23</v>
      </c>
      <c r="NHB2" s="429"/>
      <c r="NHC2" s="429"/>
      <c r="NHD2" s="429"/>
      <c r="NHE2" s="428" t="s">
        <v>23</v>
      </c>
      <c r="NHF2" s="429"/>
      <c r="NHG2" s="429"/>
      <c r="NHH2" s="429"/>
      <c r="NHI2" s="428" t="s">
        <v>23</v>
      </c>
      <c r="NHJ2" s="429"/>
      <c r="NHK2" s="429"/>
      <c r="NHL2" s="429"/>
      <c r="NHM2" s="428" t="s">
        <v>23</v>
      </c>
      <c r="NHN2" s="429"/>
      <c r="NHO2" s="429"/>
      <c r="NHP2" s="429"/>
      <c r="NHQ2" s="428" t="s">
        <v>23</v>
      </c>
      <c r="NHR2" s="429"/>
      <c r="NHS2" s="429"/>
      <c r="NHT2" s="429"/>
      <c r="NHU2" s="428" t="s">
        <v>23</v>
      </c>
      <c r="NHV2" s="429"/>
      <c r="NHW2" s="429"/>
      <c r="NHX2" s="429"/>
      <c r="NHY2" s="428" t="s">
        <v>23</v>
      </c>
      <c r="NHZ2" s="429"/>
      <c r="NIA2" s="429"/>
      <c r="NIB2" s="429"/>
      <c r="NIC2" s="428" t="s">
        <v>23</v>
      </c>
      <c r="NID2" s="429"/>
      <c r="NIE2" s="429"/>
      <c r="NIF2" s="429"/>
      <c r="NIG2" s="428" t="s">
        <v>23</v>
      </c>
      <c r="NIH2" s="429"/>
      <c r="NII2" s="429"/>
      <c r="NIJ2" s="429"/>
      <c r="NIK2" s="428" t="s">
        <v>23</v>
      </c>
      <c r="NIL2" s="429"/>
      <c r="NIM2" s="429"/>
      <c r="NIN2" s="429"/>
      <c r="NIO2" s="428" t="s">
        <v>23</v>
      </c>
      <c r="NIP2" s="429"/>
      <c r="NIQ2" s="429"/>
      <c r="NIR2" s="429"/>
      <c r="NIS2" s="428" t="s">
        <v>23</v>
      </c>
      <c r="NIT2" s="429"/>
      <c r="NIU2" s="429"/>
      <c r="NIV2" s="429"/>
      <c r="NIW2" s="428" t="s">
        <v>23</v>
      </c>
      <c r="NIX2" s="429"/>
      <c r="NIY2" s="429"/>
      <c r="NIZ2" s="429"/>
      <c r="NJA2" s="428" t="s">
        <v>23</v>
      </c>
      <c r="NJB2" s="429"/>
      <c r="NJC2" s="429"/>
      <c r="NJD2" s="429"/>
      <c r="NJE2" s="428" t="s">
        <v>23</v>
      </c>
      <c r="NJF2" s="429"/>
      <c r="NJG2" s="429"/>
      <c r="NJH2" s="429"/>
      <c r="NJI2" s="428" t="s">
        <v>23</v>
      </c>
      <c r="NJJ2" s="429"/>
      <c r="NJK2" s="429"/>
      <c r="NJL2" s="429"/>
      <c r="NJM2" s="428" t="s">
        <v>23</v>
      </c>
      <c r="NJN2" s="429"/>
      <c r="NJO2" s="429"/>
      <c r="NJP2" s="429"/>
      <c r="NJQ2" s="428" t="s">
        <v>23</v>
      </c>
      <c r="NJR2" s="429"/>
      <c r="NJS2" s="429"/>
      <c r="NJT2" s="429"/>
      <c r="NJU2" s="428" t="s">
        <v>23</v>
      </c>
      <c r="NJV2" s="429"/>
      <c r="NJW2" s="429"/>
      <c r="NJX2" s="429"/>
      <c r="NJY2" s="428" t="s">
        <v>23</v>
      </c>
      <c r="NJZ2" s="429"/>
      <c r="NKA2" s="429"/>
      <c r="NKB2" s="429"/>
      <c r="NKC2" s="428" t="s">
        <v>23</v>
      </c>
      <c r="NKD2" s="429"/>
      <c r="NKE2" s="429"/>
      <c r="NKF2" s="429"/>
      <c r="NKG2" s="428" t="s">
        <v>23</v>
      </c>
      <c r="NKH2" s="429"/>
      <c r="NKI2" s="429"/>
      <c r="NKJ2" s="429"/>
      <c r="NKK2" s="428" t="s">
        <v>23</v>
      </c>
      <c r="NKL2" s="429"/>
      <c r="NKM2" s="429"/>
      <c r="NKN2" s="429"/>
      <c r="NKO2" s="428" t="s">
        <v>23</v>
      </c>
      <c r="NKP2" s="429"/>
      <c r="NKQ2" s="429"/>
      <c r="NKR2" s="429"/>
      <c r="NKS2" s="428" t="s">
        <v>23</v>
      </c>
      <c r="NKT2" s="429"/>
      <c r="NKU2" s="429"/>
      <c r="NKV2" s="429"/>
      <c r="NKW2" s="428" t="s">
        <v>23</v>
      </c>
      <c r="NKX2" s="429"/>
      <c r="NKY2" s="429"/>
      <c r="NKZ2" s="429"/>
      <c r="NLA2" s="428" t="s">
        <v>23</v>
      </c>
      <c r="NLB2" s="429"/>
      <c r="NLC2" s="429"/>
      <c r="NLD2" s="429"/>
      <c r="NLE2" s="428" t="s">
        <v>23</v>
      </c>
      <c r="NLF2" s="429"/>
      <c r="NLG2" s="429"/>
      <c r="NLH2" s="429"/>
      <c r="NLI2" s="428" t="s">
        <v>23</v>
      </c>
      <c r="NLJ2" s="429"/>
      <c r="NLK2" s="429"/>
      <c r="NLL2" s="429"/>
      <c r="NLM2" s="428" t="s">
        <v>23</v>
      </c>
      <c r="NLN2" s="429"/>
      <c r="NLO2" s="429"/>
      <c r="NLP2" s="429"/>
      <c r="NLQ2" s="428" t="s">
        <v>23</v>
      </c>
      <c r="NLR2" s="429"/>
      <c r="NLS2" s="429"/>
      <c r="NLT2" s="429"/>
      <c r="NLU2" s="428" t="s">
        <v>23</v>
      </c>
      <c r="NLV2" s="429"/>
      <c r="NLW2" s="429"/>
      <c r="NLX2" s="429"/>
      <c r="NLY2" s="428" t="s">
        <v>23</v>
      </c>
      <c r="NLZ2" s="429"/>
      <c r="NMA2" s="429"/>
      <c r="NMB2" s="429"/>
      <c r="NMC2" s="428" t="s">
        <v>23</v>
      </c>
      <c r="NMD2" s="429"/>
      <c r="NME2" s="429"/>
      <c r="NMF2" s="429"/>
      <c r="NMG2" s="428" t="s">
        <v>23</v>
      </c>
      <c r="NMH2" s="429"/>
      <c r="NMI2" s="429"/>
      <c r="NMJ2" s="429"/>
      <c r="NMK2" s="428" t="s">
        <v>23</v>
      </c>
      <c r="NML2" s="429"/>
      <c r="NMM2" s="429"/>
      <c r="NMN2" s="429"/>
      <c r="NMO2" s="428" t="s">
        <v>23</v>
      </c>
      <c r="NMP2" s="429"/>
      <c r="NMQ2" s="429"/>
      <c r="NMR2" s="429"/>
      <c r="NMS2" s="428" t="s">
        <v>23</v>
      </c>
      <c r="NMT2" s="429"/>
      <c r="NMU2" s="429"/>
      <c r="NMV2" s="429"/>
      <c r="NMW2" s="428" t="s">
        <v>23</v>
      </c>
      <c r="NMX2" s="429"/>
      <c r="NMY2" s="429"/>
      <c r="NMZ2" s="429"/>
      <c r="NNA2" s="428" t="s">
        <v>23</v>
      </c>
      <c r="NNB2" s="429"/>
      <c r="NNC2" s="429"/>
      <c r="NND2" s="429"/>
      <c r="NNE2" s="428" t="s">
        <v>23</v>
      </c>
      <c r="NNF2" s="429"/>
      <c r="NNG2" s="429"/>
      <c r="NNH2" s="429"/>
      <c r="NNI2" s="428" t="s">
        <v>23</v>
      </c>
      <c r="NNJ2" s="429"/>
      <c r="NNK2" s="429"/>
      <c r="NNL2" s="429"/>
      <c r="NNM2" s="428" t="s">
        <v>23</v>
      </c>
      <c r="NNN2" s="429"/>
      <c r="NNO2" s="429"/>
      <c r="NNP2" s="429"/>
      <c r="NNQ2" s="428" t="s">
        <v>23</v>
      </c>
      <c r="NNR2" s="429"/>
      <c r="NNS2" s="429"/>
      <c r="NNT2" s="429"/>
      <c r="NNU2" s="428" t="s">
        <v>23</v>
      </c>
      <c r="NNV2" s="429"/>
      <c r="NNW2" s="429"/>
      <c r="NNX2" s="429"/>
      <c r="NNY2" s="428" t="s">
        <v>23</v>
      </c>
      <c r="NNZ2" s="429"/>
      <c r="NOA2" s="429"/>
      <c r="NOB2" s="429"/>
      <c r="NOC2" s="428" t="s">
        <v>23</v>
      </c>
      <c r="NOD2" s="429"/>
      <c r="NOE2" s="429"/>
      <c r="NOF2" s="429"/>
      <c r="NOG2" s="428" t="s">
        <v>23</v>
      </c>
      <c r="NOH2" s="429"/>
      <c r="NOI2" s="429"/>
      <c r="NOJ2" s="429"/>
      <c r="NOK2" s="428" t="s">
        <v>23</v>
      </c>
      <c r="NOL2" s="429"/>
      <c r="NOM2" s="429"/>
      <c r="NON2" s="429"/>
      <c r="NOO2" s="428" t="s">
        <v>23</v>
      </c>
      <c r="NOP2" s="429"/>
      <c r="NOQ2" s="429"/>
      <c r="NOR2" s="429"/>
      <c r="NOS2" s="428" t="s">
        <v>23</v>
      </c>
      <c r="NOT2" s="429"/>
      <c r="NOU2" s="429"/>
      <c r="NOV2" s="429"/>
      <c r="NOW2" s="428" t="s">
        <v>23</v>
      </c>
      <c r="NOX2" s="429"/>
      <c r="NOY2" s="429"/>
      <c r="NOZ2" s="429"/>
      <c r="NPA2" s="428" t="s">
        <v>23</v>
      </c>
      <c r="NPB2" s="429"/>
      <c r="NPC2" s="429"/>
      <c r="NPD2" s="429"/>
      <c r="NPE2" s="428" t="s">
        <v>23</v>
      </c>
      <c r="NPF2" s="429"/>
      <c r="NPG2" s="429"/>
      <c r="NPH2" s="429"/>
      <c r="NPI2" s="428" t="s">
        <v>23</v>
      </c>
      <c r="NPJ2" s="429"/>
      <c r="NPK2" s="429"/>
      <c r="NPL2" s="429"/>
      <c r="NPM2" s="428" t="s">
        <v>23</v>
      </c>
      <c r="NPN2" s="429"/>
      <c r="NPO2" s="429"/>
      <c r="NPP2" s="429"/>
      <c r="NPQ2" s="428" t="s">
        <v>23</v>
      </c>
      <c r="NPR2" s="429"/>
      <c r="NPS2" s="429"/>
      <c r="NPT2" s="429"/>
      <c r="NPU2" s="428" t="s">
        <v>23</v>
      </c>
      <c r="NPV2" s="429"/>
      <c r="NPW2" s="429"/>
      <c r="NPX2" s="429"/>
      <c r="NPY2" s="428" t="s">
        <v>23</v>
      </c>
      <c r="NPZ2" s="429"/>
      <c r="NQA2" s="429"/>
      <c r="NQB2" s="429"/>
      <c r="NQC2" s="428" t="s">
        <v>23</v>
      </c>
      <c r="NQD2" s="429"/>
      <c r="NQE2" s="429"/>
      <c r="NQF2" s="429"/>
      <c r="NQG2" s="428" t="s">
        <v>23</v>
      </c>
      <c r="NQH2" s="429"/>
      <c r="NQI2" s="429"/>
      <c r="NQJ2" s="429"/>
      <c r="NQK2" s="428" t="s">
        <v>23</v>
      </c>
      <c r="NQL2" s="429"/>
      <c r="NQM2" s="429"/>
      <c r="NQN2" s="429"/>
      <c r="NQO2" s="428" t="s">
        <v>23</v>
      </c>
      <c r="NQP2" s="429"/>
      <c r="NQQ2" s="429"/>
      <c r="NQR2" s="429"/>
      <c r="NQS2" s="428" t="s">
        <v>23</v>
      </c>
      <c r="NQT2" s="429"/>
      <c r="NQU2" s="429"/>
      <c r="NQV2" s="429"/>
      <c r="NQW2" s="428" t="s">
        <v>23</v>
      </c>
      <c r="NQX2" s="429"/>
      <c r="NQY2" s="429"/>
      <c r="NQZ2" s="429"/>
      <c r="NRA2" s="428" t="s">
        <v>23</v>
      </c>
      <c r="NRB2" s="429"/>
      <c r="NRC2" s="429"/>
      <c r="NRD2" s="429"/>
      <c r="NRE2" s="428" t="s">
        <v>23</v>
      </c>
      <c r="NRF2" s="429"/>
      <c r="NRG2" s="429"/>
      <c r="NRH2" s="429"/>
      <c r="NRI2" s="428" t="s">
        <v>23</v>
      </c>
      <c r="NRJ2" s="429"/>
      <c r="NRK2" s="429"/>
      <c r="NRL2" s="429"/>
      <c r="NRM2" s="428" t="s">
        <v>23</v>
      </c>
      <c r="NRN2" s="429"/>
      <c r="NRO2" s="429"/>
      <c r="NRP2" s="429"/>
      <c r="NRQ2" s="428" t="s">
        <v>23</v>
      </c>
      <c r="NRR2" s="429"/>
      <c r="NRS2" s="429"/>
      <c r="NRT2" s="429"/>
      <c r="NRU2" s="428" t="s">
        <v>23</v>
      </c>
      <c r="NRV2" s="429"/>
      <c r="NRW2" s="429"/>
      <c r="NRX2" s="429"/>
      <c r="NRY2" s="428" t="s">
        <v>23</v>
      </c>
      <c r="NRZ2" s="429"/>
      <c r="NSA2" s="429"/>
      <c r="NSB2" s="429"/>
      <c r="NSC2" s="428" t="s">
        <v>23</v>
      </c>
      <c r="NSD2" s="429"/>
      <c r="NSE2" s="429"/>
      <c r="NSF2" s="429"/>
      <c r="NSG2" s="428" t="s">
        <v>23</v>
      </c>
      <c r="NSH2" s="429"/>
      <c r="NSI2" s="429"/>
      <c r="NSJ2" s="429"/>
      <c r="NSK2" s="428" t="s">
        <v>23</v>
      </c>
      <c r="NSL2" s="429"/>
      <c r="NSM2" s="429"/>
      <c r="NSN2" s="429"/>
      <c r="NSO2" s="428" t="s">
        <v>23</v>
      </c>
      <c r="NSP2" s="429"/>
      <c r="NSQ2" s="429"/>
      <c r="NSR2" s="429"/>
      <c r="NSS2" s="428" t="s">
        <v>23</v>
      </c>
      <c r="NST2" s="429"/>
      <c r="NSU2" s="429"/>
      <c r="NSV2" s="429"/>
      <c r="NSW2" s="428" t="s">
        <v>23</v>
      </c>
      <c r="NSX2" s="429"/>
      <c r="NSY2" s="429"/>
      <c r="NSZ2" s="429"/>
      <c r="NTA2" s="428" t="s">
        <v>23</v>
      </c>
      <c r="NTB2" s="429"/>
      <c r="NTC2" s="429"/>
      <c r="NTD2" s="429"/>
      <c r="NTE2" s="428" t="s">
        <v>23</v>
      </c>
      <c r="NTF2" s="429"/>
      <c r="NTG2" s="429"/>
      <c r="NTH2" s="429"/>
      <c r="NTI2" s="428" t="s">
        <v>23</v>
      </c>
      <c r="NTJ2" s="429"/>
      <c r="NTK2" s="429"/>
      <c r="NTL2" s="429"/>
      <c r="NTM2" s="428" t="s">
        <v>23</v>
      </c>
      <c r="NTN2" s="429"/>
      <c r="NTO2" s="429"/>
      <c r="NTP2" s="429"/>
      <c r="NTQ2" s="428" t="s">
        <v>23</v>
      </c>
      <c r="NTR2" s="429"/>
      <c r="NTS2" s="429"/>
      <c r="NTT2" s="429"/>
      <c r="NTU2" s="428" t="s">
        <v>23</v>
      </c>
      <c r="NTV2" s="429"/>
      <c r="NTW2" s="429"/>
      <c r="NTX2" s="429"/>
      <c r="NTY2" s="428" t="s">
        <v>23</v>
      </c>
      <c r="NTZ2" s="429"/>
      <c r="NUA2" s="429"/>
      <c r="NUB2" s="429"/>
      <c r="NUC2" s="428" t="s">
        <v>23</v>
      </c>
      <c r="NUD2" s="429"/>
      <c r="NUE2" s="429"/>
      <c r="NUF2" s="429"/>
      <c r="NUG2" s="428" t="s">
        <v>23</v>
      </c>
      <c r="NUH2" s="429"/>
      <c r="NUI2" s="429"/>
      <c r="NUJ2" s="429"/>
      <c r="NUK2" s="428" t="s">
        <v>23</v>
      </c>
      <c r="NUL2" s="429"/>
      <c r="NUM2" s="429"/>
      <c r="NUN2" s="429"/>
      <c r="NUO2" s="428" t="s">
        <v>23</v>
      </c>
      <c r="NUP2" s="429"/>
      <c r="NUQ2" s="429"/>
      <c r="NUR2" s="429"/>
      <c r="NUS2" s="428" t="s">
        <v>23</v>
      </c>
      <c r="NUT2" s="429"/>
      <c r="NUU2" s="429"/>
      <c r="NUV2" s="429"/>
      <c r="NUW2" s="428" t="s">
        <v>23</v>
      </c>
      <c r="NUX2" s="429"/>
      <c r="NUY2" s="429"/>
      <c r="NUZ2" s="429"/>
      <c r="NVA2" s="428" t="s">
        <v>23</v>
      </c>
      <c r="NVB2" s="429"/>
      <c r="NVC2" s="429"/>
      <c r="NVD2" s="429"/>
      <c r="NVE2" s="428" t="s">
        <v>23</v>
      </c>
      <c r="NVF2" s="429"/>
      <c r="NVG2" s="429"/>
      <c r="NVH2" s="429"/>
      <c r="NVI2" s="428" t="s">
        <v>23</v>
      </c>
      <c r="NVJ2" s="429"/>
      <c r="NVK2" s="429"/>
      <c r="NVL2" s="429"/>
      <c r="NVM2" s="428" t="s">
        <v>23</v>
      </c>
      <c r="NVN2" s="429"/>
      <c r="NVO2" s="429"/>
      <c r="NVP2" s="429"/>
      <c r="NVQ2" s="428" t="s">
        <v>23</v>
      </c>
      <c r="NVR2" s="429"/>
      <c r="NVS2" s="429"/>
      <c r="NVT2" s="429"/>
      <c r="NVU2" s="428" t="s">
        <v>23</v>
      </c>
      <c r="NVV2" s="429"/>
      <c r="NVW2" s="429"/>
      <c r="NVX2" s="429"/>
      <c r="NVY2" s="428" t="s">
        <v>23</v>
      </c>
      <c r="NVZ2" s="429"/>
      <c r="NWA2" s="429"/>
      <c r="NWB2" s="429"/>
      <c r="NWC2" s="428" t="s">
        <v>23</v>
      </c>
      <c r="NWD2" s="429"/>
      <c r="NWE2" s="429"/>
      <c r="NWF2" s="429"/>
      <c r="NWG2" s="428" t="s">
        <v>23</v>
      </c>
      <c r="NWH2" s="429"/>
      <c r="NWI2" s="429"/>
      <c r="NWJ2" s="429"/>
      <c r="NWK2" s="428" t="s">
        <v>23</v>
      </c>
      <c r="NWL2" s="429"/>
      <c r="NWM2" s="429"/>
      <c r="NWN2" s="429"/>
      <c r="NWO2" s="428" t="s">
        <v>23</v>
      </c>
      <c r="NWP2" s="429"/>
      <c r="NWQ2" s="429"/>
      <c r="NWR2" s="429"/>
      <c r="NWS2" s="428" t="s">
        <v>23</v>
      </c>
      <c r="NWT2" s="429"/>
      <c r="NWU2" s="429"/>
      <c r="NWV2" s="429"/>
      <c r="NWW2" s="428" t="s">
        <v>23</v>
      </c>
      <c r="NWX2" s="429"/>
      <c r="NWY2" s="429"/>
      <c r="NWZ2" s="429"/>
      <c r="NXA2" s="428" t="s">
        <v>23</v>
      </c>
      <c r="NXB2" s="429"/>
      <c r="NXC2" s="429"/>
      <c r="NXD2" s="429"/>
      <c r="NXE2" s="428" t="s">
        <v>23</v>
      </c>
      <c r="NXF2" s="429"/>
      <c r="NXG2" s="429"/>
      <c r="NXH2" s="429"/>
      <c r="NXI2" s="428" t="s">
        <v>23</v>
      </c>
      <c r="NXJ2" s="429"/>
      <c r="NXK2" s="429"/>
      <c r="NXL2" s="429"/>
      <c r="NXM2" s="428" t="s">
        <v>23</v>
      </c>
      <c r="NXN2" s="429"/>
      <c r="NXO2" s="429"/>
      <c r="NXP2" s="429"/>
      <c r="NXQ2" s="428" t="s">
        <v>23</v>
      </c>
      <c r="NXR2" s="429"/>
      <c r="NXS2" s="429"/>
      <c r="NXT2" s="429"/>
      <c r="NXU2" s="428" t="s">
        <v>23</v>
      </c>
      <c r="NXV2" s="429"/>
      <c r="NXW2" s="429"/>
      <c r="NXX2" s="429"/>
      <c r="NXY2" s="428" t="s">
        <v>23</v>
      </c>
      <c r="NXZ2" s="429"/>
      <c r="NYA2" s="429"/>
      <c r="NYB2" s="429"/>
      <c r="NYC2" s="428" t="s">
        <v>23</v>
      </c>
      <c r="NYD2" s="429"/>
      <c r="NYE2" s="429"/>
      <c r="NYF2" s="429"/>
      <c r="NYG2" s="428" t="s">
        <v>23</v>
      </c>
      <c r="NYH2" s="429"/>
      <c r="NYI2" s="429"/>
      <c r="NYJ2" s="429"/>
      <c r="NYK2" s="428" t="s">
        <v>23</v>
      </c>
      <c r="NYL2" s="429"/>
      <c r="NYM2" s="429"/>
      <c r="NYN2" s="429"/>
      <c r="NYO2" s="428" t="s">
        <v>23</v>
      </c>
      <c r="NYP2" s="429"/>
      <c r="NYQ2" s="429"/>
      <c r="NYR2" s="429"/>
      <c r="NYS2" s="428" t="s">
        <v>23</v>
      </c>
      <c r="NYT2" s="429"/>
      <c r="NYU2" s="429"/>
      <c r="NYV2" s="429"/>
      <c r="NYW2" s="428" t="s">
        <v>23</v>
      </c>
      <c r="NYX2" s="429"/>
      <c r="NYY2" s="429"/>
      <c r="NYZ2" s="429"/>
      <c r="NZA2" s="428" t="s">
        <v>23</v>
      </c>
      <c r="NZB2" s="429"/>
      <c r="NZC2" s="429"/>
      <c r="NZD2" s="429"/>
      <c r="NZE2" s="428" t="s">
        <v>23</v>
      </c>
      <c r="NZF2" s="429"/>
      <c r="NZG2" s="429"/>
      <c r="NZH2" s="429"/>
      <c r="NZI2" s="428" t="s">
        <v>23</v>
      </c>
      <c r="NZJ2" s="429"/>
      <c r="NZK2" s="429"/>
      <c r="NZL2" s="429"/>
      <c r="NZM2" s="428" t="s">
        <v>23</v>
      </c>
      <c r="NZN2" s="429"/>
      <c r="NZO2" s="429"/>
      <c r="NZP2" s="429"/>
      <c r="NZQ2" s="428" t="s">
        <v>23</v>
      </c>
      <c r="NZR2" s="429"/>
      <c r="NZS2" s="429"/>
      <c r="NZT2" s="429"/>
      <c r="NZU2" s="428" t="s">
        <v>23</v>
      </c>
      <c r="NZV2" s="429"/>
      <c r="NZW2" s="429"/>
      <c r="NZX2" s="429"/>
      <c r="NZY2" s="428" t="s">
        <v>23</v>
      </c>
      <c r="NZZ2" s="429"/>
      <c r="OAA2" s="429"/>
      <c r="OAB2" s="429"/>
      <c r="OAC2" s="428" t="s">
        <v>23</v>
      </c>
      <c r="OAD2" s="429"/>
      <c r="OAE2" s="429"/>
      <c r="OAF2" s="429"/>
      <c r="OAG2" s="428" t="s">
        <v>23</v>
      </c>
      <c r="OAH2" s="429"/>
      <c r="OAI2" s="429"/>
      <c r="OAJ2" s="429"/>
      <c r="OAK2" s="428" t="s">
        <v>23</v>
      </c>
      <c r="OAL2" s="429"/>
      <c r="OAM2" s="429"/>
      <c r="OAN2" s="429"/>
      <c r="OAO2" s="428" t="s">
        <v>23</v>
      </c>
      <c r="OAP2" s="429"/>
      <c r="OAQ2" s="429"/>
      <c r="OAR2" s="429"/>
      <c r="OAS2" s="428" t="s">
        <v>23</v>
      </c>
      <c r="OAT2" s="429"/>
      <c r="OAU2" s="429"/>
      <c r="OAV2" s="429"/>
      <c r="OAW2" s="428" t="s">
        <v>23</v>
      </c>
      <c r="OAX2" s="429"/>
      <c r="OAY2" s="429"/>
      <c r="OAZ2" s="429"/>
      <c r="OBA2" s="428" t="s">
        <v>23</v>
      </c>
      <c r="OBB2" s="429"/>
      <c r="OBC2" s="429"/>
      <c r="OBD2" s="429"/>
      <c r="OBE2" s="428" t="s">
        <v>23</v>
      </c>
      <c r="OBF2" s="429"/>
      <c r="OBG2" s="429"/>
      <c r="OBH2" s="429"/>
      <c r="OBI2" s="428" t="s">
        <v>23</v>
      </c>
      <c r="OBJ2" s="429"/>
      <c r="OBK2" s="429"/>
      <c r="OBL2" s="429"/>
      <c r="OBM2" s="428" t="s">
        <v>23</v>
      </c>
      <c r="OBN2" s="429"/>
      <c r="OBO2" s="429"/>
      <c r="OBP2" s="429"/>
      <c r="OBQ2" s="428" t="s">
        <v>23</v>
      </c>
      <c r="OBR2" s="429"/>
      <c r="OBS2" s="429"/>
      <c r="OBT2" s="429"/>
      <c r="OBU2" s="428" t="s">
        <v>23</v>
      </c>
      <c r="OBV2" s="429"/>
      <c r="OBW2" s="429"/>
      <c r="OBX2" s="429"/>
      <c r="OBY2" s="428" t="s">
        <v>23</v>
      </c>
      <c r="OBZ2" s="429"/>
      <c r="OCA2" s="429"/>
      <c r="OCB2" s="429"/>
      <c r="OCC2" s="428" t="s">
        <v>23</v>
      </c>
      <c r="OCD2" s="429"/>
      <c r="OCE2" s="429"/>
      <c r="OCF2" s="429"/>
      <c r="OCG2" s="428" t="s">
        <v>23</v>
      </c>
      <c r="OCH2" s="429"/>
      <c r="OCI2" s="429"/>
      <c r="OCJ2" s="429"/>
      <c r="OCK2" s="428" t="s">
        <v>23</v>
      </c>
      <c r="OCL2" s="429"/>
      <c r="OCM2" s="429"/>
      <c r="OCN2" s="429"/>
      <c r="OCO2" s="428" t="s">
        <v>23</v>
      </c>
      <c r="OCP2" s="429"/>
      <c r="OCQ2" s="429"/>
      <c r="OCR2" s="429"/>
      <c r="OCS2" s="428" t="s">
        <v>23</v>
      </c>
      <c r="OCT2" s="429"/>
      <c r="OCU2" s="429"/>
      <c r="OCV2" s="429"/>
      <c r="OCW2" s="428" t="s">
        <v>23</v>
      </c>
      <c r="OCX2" s="429"/>
      <c r="OCY2" s="429"/>
      <c r="OCZ2" s="429"/>
      <c r="ODA2" s="428" t="s">
        <v>23</v>
      </c>
      <c r="ODB2" s="429"/>
      <c r="ODC2" s="429"/>
      <c r="ODD2" s="429"/>
      <c r="ODE2" s="428" t="s">
        <v>23</v>
      </c>
      <c r="ODF2" s="429"/>
      <c r="ODG2" s="429"/>
      <c r="ODH2" s="429"/>
      <c r="ODI2" s="428" t="s">
        <v>23</v>
      </c>
      <c r="ODJ2" s="429"/>
      <c r="ODK2" s="429"/>
      <c r="ODL2" s="429"/>
      <c r="ODM2" s="428" t="s">
        <v>23</v>
      </c>
      <c r="ODN2" s="429"/>
      <c r="ODO2" s="429"/>
      <c r="ODP2" s="429"/>
      <c r="ODQ2" s="428" t="s">
        <v>23</v>
      </c>
      <c r="ODR2" s="429"/>
      <c r="ODS2" s="429"/>
      <c r="ODT2" s="429"/>
      <c r="ODU2" s="428" t="s">
        <v>23</v>
      </c>
      <c r="ODV2" s="429"/>
      <c r="ODW2" s="429"/>
      <c r="ODX2" s="429"/>
      <c r="ODY2" s="428" t="s">
        <v>23</v>
      </c>
      <c r="ODZ2" s="429"/>
      <c r="OEA2" s="429"/>
      <c r="OEB2" s="429"/>
      <c r="OEC2" s="428" t="s">
        <v>23</v>
      </c>
      <c r="OED2" s="429"/>
      <c r="OEE2" s="429"/>
      <c r="OEF2" s="429"/>
      <c r="OEG2" s="428" t="s">
        <v>23</v>
      </c>
      <c r="OEH2" s="429"/>
      <c r="OEI2" s="429"/>
      <c r="OEJ2" s="429"/>
      <c r="OEK2" s="428" t="s">
        <v>23</v>
      </c>
      <c r="OEL2" s="429"/>
      <c r="OEM2" s="429"/>
      <c r="OEN2" s="429"/>
      <c r="OEO2" s="428" t="s">
        <v>23</v>
      </c>
      <c r="OEP2" s="429"/>
      <c r="OEQ2" s="429"/>
      <c r="OER2" s="429"/>
      <c r="OES2" s="428" t="s">
        <v>23</v>
      </c>
      <c r="OET2" s="429"/>
      <c r="OEU2" s="429"/>
      <c r="OEV2" s="429"/>
      <c r="OEW2" s="428" t="s">
        <v>23</v>
      </c>
      <c r="OEX2" s="429"/>
      <c r="OEY2" s="429"/>
      <c r="OEZ2" s="429"/>
      <c r="OFA2" s="428" t="s">
        <v>23</v>
      </c>
      <c r="OFB2" s="429"/>
      <c r="OFC2" s="429"/>
      <c r="OFD2" s="429"/>
      <c r="OFE2" s="428" t="s">
        <v>23</v>
      </c>
      <c r="OFF2" s="429"/>
      <c r="OFG2" s="429"/>
      <c r="OFH2" s="429"/>
      <c r="OFI2" s="428" t="s">
        <v>23</v>
      </c>
      <c r="OFJ2" s="429"/>
      <c r="OFK2" s="429"/>
      <c r="OFL2" s="429"/>
      <c r="OFM2" s="428" t="s">
        <v>23</v>
      </c>
      <c r="OFN2" s="429"/>
      <c r="OFO2" s="429"/>
      <c r="OFP2" s="429"/>
      <c r="OFQ2" s="428" t="s">
        <v>23</v>
      </c>
      <c r="OFR2" s="429"/>
      <c r="OFS2" s="429"/>
      <c r="OFT2" s="429"/>
      <c r="OFU2" s="428" t="s">
        <v>23</v>
      </c>
      <c r="OFV2" s="429"/>
      <c r="OFW2" s="429"/>
      <c r="OFX2" s="429"/>
      <c r="OFY2" s="428" t="s">
        <v>23</v>
      </c>
      <c r="OFZ2" s="429"/>
      <c r="OGA2" s="429"/>
      <c r="OGB2" s="429"/>
      <c r="OGC2" s="428" t="s">
        <v>23</v>
      </c>
      <c r="OGD2" s="429"/>
      <c r="OGE2" s="429"/>
      <c r="OGF2" s="429"/>
      <c r="OGG2" s="428" t="s">
        <v>23</v>
      </c>
      <c r="OGH2" s="429"/>
      <c r="OGI2" s="429"/>
      <c r="OGJ2" s="429"/>
      <c r="OGK2" s="428" t="s">
        <v>23</v>
      </c>
      <c r="OGL2" s="429"/>
      <c r="OGM2" s="429"/>
      <c r="OGN2" s="429"/>
      <c r="OGO2" s="428" t="s">
        <v>23</v>
      </c>
      <c r="OGP2" s="429"/>
      <c r="OGQ2" s="429"/>
      <c r="OGR2" s="429"/>
      <c r="OGS2" s="428" t="s">
        <v>23</v>
      </c>
      <c r="OGT2" s="429"/>
      <c r="OGU2" s="429"/>
      <c r="OGV2" s="429"/>
      <c r="OGW2" s="428" t="s">
        <v>23</v>
      </c>
      <c r="OGX2" s="429"/>
      <c r="OGY2" s="429"/>
      <c r="OGZ2" s="429"/>
      <c r="OHA2" s="428" t="s">
        <v>23</v>
      </c>
      <c r="OHB2" s="429"/>
      <c r="OHC2" s="429"/>
      <c r="OHD2" s="429"/>
      <c r="OHE2" s="428" t="s">
        <v>23</v>
      </c>
      <c r="OHF2" s="429"/>
      <c r="OHG2" s="429"/>
      <c r="OHH2" s="429"/>
      <c r="OHI2" s="428" t="s">
        <v>23</v>
      </c>
      <c r="OHJ2" s="429"/>
      <c r="OHK2" s="429"/>
      <c r="OHL2" s="429"/>
      <c r="OHM2" s="428" t="s">
        <v>23</v>
      </c>
      <c r="OHN2" s="429"/>
      <c r="OHO2" s="429"/>
      <c r="OHP2" s="429"/>
      <c r="OHQ2" s="428" t="s">
        <v>23</v>
      </c>
      <c r="OHR2" s="429"/>
      <c r="OHS2" s="429"/>
      <c r="OHT2" s="429"/>
      <c r="OHU2" s="428" t="s">
        <v>23</v>
      </c>
      <c r="OHV2" s="429"/>
      <c r="OHW2" s="429"/>
      <c r="OHX2" s="429"/>
      <c r="OHY2" s="428" t="s">
        <v>23</v>
      </c>
      <c r="OHZ2" s="429"/>
      <c r="OIA2" s="429"/>
      <c r="OIB2" s="429"/>
      <c r="OIC2" s="428" t="s">
        <v>23</v>
      </c>
      <c r="OID2" s="429"/>
      <c r="OIE2" s="429"/>
      <c r="OIF2" s="429"/>
      <c r="OIG2" s="428" t="s">
        <v>23</v>
      </c>
      <c r="OIH2" s="429"/>
      <c r="OII2" s="429"/>
      <c r="OIJ2" s="429"/>
      <c r="OIK2" s="428" t="s">
        <v>23</v>
      </c>
      <c r="OIL2" s="429"/>
      <c r="OIM2" s="429"/>
      <c r="OIN2" s="429"/>
      <c r="OIO2" s="428" t="s">
        <v>23</v>
      </c>
      <c r="OIP2" s="429"/>
      <c r="OIQ2" s="429"/>
      <c r="OIR2" s="429"/>
      <c r="OIS2" s="428" t="s">
        <v>23</v>
      </c>
      <c r="OIT2" s="429"/>
      <c r="OIU2" s="429"/>
      <c r="OIV2" s="429"/>
      <c r="OIW2" s="428" t="s">
        <v>23</v>
      </c>
      <c r="OIX2" s="429"/>
      <c r="OIY2" s="429"/>
      <c r="OIZ2" s="429"/>
      <c r="OJA2" s="428" t="s">
        <v>23</v>
      </c>
      <c r="OJB2" s="429"/>
      <c r="OJC2" s="429"/>
      <c r="OJD2" s="429"/>
      <c r="OJE2" s="428" t="s">
        <v>23</v>
      </c>
      <c r="OJF2" s="429"/>
      <c r="OJG2" s="429"/>
      <c r="OJH2" s="429"/>
      <c r="OJI2" s="428" t="s">
        <v>23</v>
      </c>
      <c r="OJJ2" s="429"/>
      <c r="OJK2" s="429"/>
      <c r="OJL2" s="429"/>
      <c r="OJM2" s="428" t="s">
        <v>23</v>
      </c>
      <c r="OJN2" s="429"/>
      <c r="OJO2" s="429"/>
      <c r="OJP2" s="429"/>
      <c r="OJQ2" s="428" t="s">
        <v>23</v>
      </c>
      <c r="OJR2" s="429"/>
      <c r="OJS2" s="429"/>
      <c r="OJT2" s="429"/>
      <c r="OJU2" s="428" t="s">
        <v>23</v>
      </c>
      <c r="OJV2" s="429"/>
      <c r="OJW2" s="429"/>
      <c r="OJX2" s="429"/>
      <c r="OJY2" s="428" t="s">
        <v>23</v>
      </c>
      <c r="OJZ2" s="429"/>
      <c r="OKA2" s="429"/>
      <c r="OKB2" s="429"/>
      <c r="OKC2" s="428" t="s">
        <v>23</v>
      </c>
      <c r="OKD2" s="429"/>
      <c r="OKE2" s="429"/>
      <c r="OKF2" s="429"/>
      <c r="OKG2" s="428" t="s">
        <v>23</v>
      </c>
      <c r="OKH2" s="429"/>
      <c r="OKI2" s="429"/>
      <c r="OKJ2" s="429"/>
      <c r="OKK2" s="428" t="s">
        <v>23</v>
      </c>
      <c r="OKL2" s="429"/>
      <c r="OKM2" s="429"/>
      <c r="OKN2" s="429"/>
      <c r="OKO2" s="428" t="s">
        <v>23</v>
      </c>
      <c r="OKP2" s="429"/>
      <c r="OKQ2" s="429"/>
      <c r="OKR2" s="429"/>
      <c r="OKS2" s="428" t="s">
        <v>23</v>
      </c>
      <c r="OKT2" s="429"/>
      <c r="OKU2" s="429"/>
      <c r="OKV2" s="429"/>
      <c r="OKW2" s="428" t="s">
        <v>23</v>
      </c>
      <c r="OKX2" s="429"/>
      <c r="OKY2" s="429"/>
      <c r="OKZ2" s="429"/>
      <c r="OLA2" s="428" t="s">
        <v>23</v>
      </c>
      <c r="OLB2" s="429"/>
      <c r="OLC2" s="429"/>
      <c r="OLD2" s="429"/>
      <c r="OLE2" s="428" t="s">
        <v>23</v>
      </c>
      <c r="OLF2" s="429"/>
      <c r="OLG2" s="429"/>
      <c r="OLH2" s="429"/>
      <c r="OLI2" s="428" t="s">
        <v>23</v>
      </c>
      <c r="OLJ2" s="429"/>
      <c r="OLK2" s="429"/>
      <c r="OLL2" s="429"/>
      <c r="OLM2" s="428" t="s">
        <v>23</v>
      </c>
      <c r="OLN2" s="429"/>
      <c r="OLO2" s="429"/>
      <c r="OLP2" s="429"/>
      <c r="OLQ2" s="428" t="s">
        <v>23</v>
      </c>
      <c r="OLR2" s="429"/>
      <c r="OLS2" s="429"/>
      <c r="OLT2" s="429"/>
      <c r="OLU2" s="428" t="s">
        <v>23</v>
      </c>
      <c r="OLV2" s="429"/>
      <c r="OLW2" s="429"/>
      <c r="OLX2" s="429"/>
      <c r="OLY2" s="428" t="s">
        <v>23</v>
      </c>
      <c r="OLZ2" s="429"/>
      <c r="OMA2" s="429"/>
      <c r="OMB2" s="429"/>
      <c r="OMC2" s="428" t="s">
        <v>23</v>
      </c>
      <c r="OMD2" s="429"/>
      <c r="OME2" s="429"/>
      <c r="OMF2" s="429"/>
      <c r="OMG2" s="428" t="s">
        <v>23</v>
      </c>
      <c r="OMH2" s="429"/>
      <c r="OMI2" s="429"/>
      <c r="OMJ2" s="429"/>
      <c r="OMK2" s="428" t="s">
        <v>23</v>
      </c>
      <c r="OML2" s="429"/>
      <c r="OMM2" s="429"/>
      <c r="OMN2" s="429"/>
      <c r="OMO2" s="428" t="s">
        <v>23</v>
      </c>
      <c r="OMP2" s="429"/>
      <c r="OMQ2" s="429"/>
      <c r="OMR2" s="429"/>
      <c r="OMS2" s="428" t="s">
        <v>23</v>
      </c>
      <c r="OMT2" s="429"/>
      <c r="OMU2" s="429"/>
      <c r="OMV2" s="429"/>
      <c r="OMW2" s="428" t="s">
        <v>23</v>
      </c>
      <c r="OMX2" s="429"/>
      <c r="OMY2" s="429"/>
      <c r="OMZ2" s="429"/>
      <c r="ONA2" s="428" t="s">
        <v>23</v>
      </c>
      <c r="ONB2" s="429"/>
      <c r="ONC2" s="429"/>
      <c r="OND2" s="429"/>
      <c r="ONE2" s="428" t="s">
        <v>23</v>
      </c>
      <c r="ONF2" s="429"/>
      <c r="ONG2" s="429"/>
      <c r="ONH2" s="429"/>
      <c r="ONI2" s="428" t="s">
        <v>23</v>
      </c>
      <c r="ONJ2" s="429"/>
      <c r="ONK2" s="429"/>
      <c r="ONL2" s="429"/>
      <c r="ONM2" s="428" t="s">
        <v>23</v>
      </c>
      <c r="ONN2" s="429"/>
      <c r="ONO2" s="429"/>
      <c r="ONP2" s="429"/>
      <c r="ONQ2" s="428" t="s">
        <v>23</v>
      </c>
      <c r="ONR2" s="429"/>
      <c r="ONS2" s="429"/>
      <c r="ONT2" s="429"/>
      <c r="ONU2" s="428" t="s">
        <v>23</v>
      </c>
      <c r="ONV2" s="429"/>
      <c r="ONW2" s="429"/>
      <c r="ONX2" s="429"/>
      <c r="ONY2" s="428" t="s">
        <v>23</v>
      </c>
      <c r="ONZ2" s="429"/>
      <c r="OOA2" s="429"/>
      <c r="OOB2" s="429"/>
      <c r="OOC2" s="428" t="s">
        <v>23</v>
      </c>
      <c r="OOD2" s="429"/>
      <c r="OOE2" s="429"/>
      <c r="OOF2" s="429"/>
      <c r="OOG2" s="428" t="s">
        <v>23</v>
      </c>
      <c r="OOH2" s="429"/>
      <c r="OOI2" s="429"/>
      <c r="OOJ2" s="429"/>
      <c r="OOK2" s="428" t="s">
        <v>23</v>
      </c>
      <c r="OOL2" s="429"/>
      <c r="OOM2" s="429"/>
      <c r="OON2" s="429"/>
      <c r="OOO2" s="428" t="s">
        <v>23</v>
      </c>
      <c r="OOP2" s="429"/>
      <c r="OOQ2" s="429"/>
      <c r="OOR2" s="429"/>
      <c r="OOS2" s="428" t="s">
        <v>23</v>
      </c>
      <c r="OOT2" s="429"/>
      <c r="OOU2" s="429"/>
      <c r="OOV2" s="429"/>
      <c r="OOW2" s="428" t="s">
        <v>23</v>
      </c>
      <c r="OOX2" s="429"/>
      <c r="OOY2" s="429"/>
      <c r="OOZ2" s="429"/>
      <c r="OPA2" s="428" t="s">
        <v>23</v>
      </c>
      <c r="OPB2" s="429"/>
      <c r="OPC2" s="429"/>
      <c r="OPD2" s="429"/>
      <c r="OPE2" s="428" t="s">
        <v>23</v>
      </c>
      <c r="OPF2" s="429"/>
      <c r="OPG2" s="429"/>
      <c r="OPH2" s="429"/>
      <c r="OPI2" s="428" t="s">
        <v>23</v>
      </c>
      <c r="OPJ2" s="429"/>
      <c r="OPK2" s="429"/>
      <c r="OPL2" s="429"/>
      <c r="OPM2" s="428" t="s">
        <v>23</v>
      </c>
      <c r="OPN2" s="429"/>
      <c r="OPO2" s="429"/>
      <c r="OPP2" s="429"/>
      <c r="OPQ2" s="428" t="s">
        <v>23</v>
      </c>
      <c r="OPR2" s="429"/>
      <c r="OPS2" s="429"/>
      <c r="OPT2" s="429"/>
      <c r="OPU2" s="428" t="s">
        <v>23</v>
      </c>
      <c r="OPV2" s="429"/>
      <c r="OPW2" s="429"/>
      <c r="OPX2" s="429"/>
      <c r="OPY2" s="428" t="s">
        <v>23</v>
      </c>
      <c r="OPZ2" s="429"/>
      <c r="OQA2" s="429"/>
      <c r="OQB2" s="429"/>
      <c r="OQC2" s="428" t="s">
        <v>23</v>
      </c>
      <c r="OQD2" s="429"/>
      <c r="OQE2" s="429"/>
      <c r="OQF2" s="429"/>
      <c r="OQG2" s="428" t="s">
        <v>23</v>
      </c>
      <c r="OQH2" s="429"/>
      <c r="OQI2" s="429"/>
      <c r="OQJ2" s="429"/>
      <c r="OQK2" s="428" t="s">
        <v>23</v>
      </c>
      <c r="OQL2" s="429"/>
      <c r="OQM2" s="429"/>
      <c r="OQN2" s="429"/>
      <c r="OQO2" s="428" t="s">
        <v>23</v>
      </c>
      <c r="OQP2" s="429"/>
      <c r="OQQ2" s="429"/>
      <c r="OQR2" s="429"/>
      <c r="OQS2" s="428" t="s">
        <v>23</v>
      </c>
      <c r="OQT2" s="429"/>
      <c r="OQU2" s="429"/>
      <c r="OQV2" s="429"/>
      <c r="OQW2" s="428" t="s">
        <v>23</v>
      </c>
      <c r="OQX2" s="429"/>
      <c r="OQY2" s="429"/>
      <c r="OQZ2" s="429"/>
      <c r="ORA2" s="428" t="s">
        <v>23</v>
      </c>
      <c r="ORB2" s="429"/>
      <c r="ORC2" s="429"/>
      <c r="ORD2" s="429"/>
      <c r="ORE2" s="428" t="s">
        <v>23</v>
      </c>
      <c r="ORF2" s="429"/>
      <c r="ORG2" s="429"/>
      <c r="ORH2" s="429"/>
      <c r="ORI2" s="428" t="s">
        <v>23</v>
      </c>
      <c r="ORJ2" s="429"/>
      <c r="ORK2" s="429"/>
      <c r="ORL2" s="429"/>
      <c r="ORM2" s="428" t="s">
        <v>23</v>
      </c>
      <c r="ORN2" s="429"/>
      <c r="ORO2" s="429"/>
      <c r="ORP2" s="429"/>
      <c r="ORQ2" s="428" t="s">
        <v>23</v>
      </c>
      <c r="ORR2" s="429"/>
      <c r="ORS2" s="429"/>
      <c r="ORT2" s="429"/>
      <c r="ORU2" s="428" t="s">
        <v>23</v>
      </c>
      <c r="ORV2" s="429"/>
      <c r="ORW2" s="429"/>
      <c r="ORX2" s="429"/>
      <c r="ORY2" s="428" t="s">
        <v>23</v>
      </c>
      <c r="ORZ2" s="429"/>
      <c r="OSA2" s="429"/>
      <c r="OSB2" s="429"/>
      <c r="OSC2" s="428" t="s">
        <v>23</v>
      </c>
      <c r="OSD2" s="429"/>
      <c r="OSE2" s="429"/>
      <c r="OSF2" s="429"/>
      <c r="OSG2" s="428" t="s">
        <v>23</v>
      </c>
      <c r="OSH2" s="429"/>
      <c r="OSI2" s="429"/>
      <c r="OSJ2" s="429"/>
      <c r="OSK2" s="428" t="s">
        <v>23</v>
      </c>
      <c r="OSL2" s="429"/>
      <c r="OSM2" s="429"/>
      <c r="OSN2" s="429"/>
      <c r="OSO2" s="428" t="s">
        <v>23</v>
      </c>
      <c r="OSP2" s="429"/>
      <c r="OSQ2" s="429"/>
      <c r="OSR2" s="429"/>
      <c r="OSS2" s="428" t="s">
        <v>23</v>
      </c>
      <c r="OST2" s="429"/>
      <c r="OSU2" s="429"/>
      <c r="OSV2" s="429"/>
      <c r="OSW2" s="428" t="s">
        <v>23</v>
      </c>
      <c r="OSX2" s="429"/>
      <c r="OSY2" s="429"/>
      <c r="OSZ2" s="429"/>
      <c r="OTA2" s="428" t="s">
        <v>23</v>
      </c>
      <c r="OTB2" s="429"/>
      <c r="OTC2" s="429"/>
      <c r="OTD2" s="429"/>
      <c r="OTE2" s="428" t="s">
        <v>23</v>
      </c>
      <c r="OTF2" s="429"/>
      <c r="OTG2" s="429"/>
      <c r="OTH2" s="429"/>
      <c r="OTI2" s="428" t="s">
        <v>23</v>
      </c>
      <c r="OTJ2" s="429"/>
      <c r="OTK2" s="429"/>
      <c r="OTL2" s="429"/>
      <c r="OTM2" s="428" t="s">
        <v>23</v>
      </c>
      <c r="OTN2" s="429"/>
      <c r="OTO2" s="429"/>
      <c r="OTP2" s="429"/>
      <c r="OTQ2" s="428" t="s">
        <v>23</v>
      </c>
      <c r="OTR2" s="429"/>
      <c r="OTS2" s="429"/>
      <c r="OTT2" s="429"/>
      <c r="OTU2" s="428" t="s">
        <v>23</v>
      </c>
      <c r="OTV2" s="429"/>
      <c r="OTW2" s="429"/>
      <c r="OTX2" s="429"/>
      <c r="OTY2" s="428" t="s">
        <v>23</v>
      </c>
      <c r="OTZ2" s="429"/>
      <c r="OUA2" s="429"/>
      <c r="OUB2" s="429"/>
      <c r="OUC2" s="428" t="s">
        <v>23</v>
      </c>
      <c r="OUD2" s="429"/>
      <c r="OUE2" s="429"/>
      <c r="OUF2" s="429"/>
      <c r="OUG2" s="428" t="s">
        <v>23</v>
      </c>
      <c r="OUH2" s="429"/>
      <c r="OUI2" s="429"/>
      <c r="OUJ2" s="429"/>
      <c r="OUK2" s="428" t="s">
        <v>23</v>
      </c>
      <c r="OUL2" s="429"/>
      <c r="OUM2" s="429"/>
      <c r="OUN2" s="429"/>
      <c r="OUO2" s="428" t="s">
        <v>23</v>
      </c>
      <c r="OUP2" s="429"/>
      <c r="OUQ2" s="429"/>
      <c r="OUR2" s="429"/>
      <c r="OUS2" s="428" t="s">
        <v>23</v>
      </c>
      <c r="OUT2" s="429"/>
      <c r="OUU2" s="429"/>
      <c r="OUV2" s="429"/>
      <c r="OUW2" s="428" t="s">
        <v>23</v>
      </c>
      <c r="OUX2" s="429"/>
      <c r="OUY2" s="429"/>
      <c r="OUZ2" s="429"/>
      <c r="OVA2" s="428" t="s">
        <v>23</v>
      </c>
      <c r="OVB2" s="429"/>
      <c r="OVC2" s="429"/>
      <c r="OVD2" s="429"/>
      <c r="OVE2" s="428" t="s">
        <v>23</v>
      </c>
      <c r="OVF2" s="429"/>
      <c r="OVG2" s="429"/>
      <c r="OVH2" s="429"/>
      <c r="OVI2" s="428" t="s">
        <v>23</v>
      </c>
      <c r="OVJ2" s="429"/>
      <c r="OVK2" s="429"/>
      <c r="OVL2" s="429"/>
      <c r="OVM2" s="428" t="s">
        <v>23</v>
      </c>
      <c r="OVN2" s="429"/>
      <c r="OVO2" s="429"/>
      <c r="OVP2" s="429"/>
      <c r="OVQ2" s="428" t="s">
        <v>23</v>
      </c>
      <c r="OVR2" s="429"/>
      <c r="OVS2" s="429"/>
      <c r="OVT2" s="429"/>
      <c r="OVU2" s="428" t="s">
        <v>23</v>
      </c>
      <c r="OVV2" s="429"/>
      <c r="OVW2" s="429"/>
      <c r="OVX2" s="429"/>
      <c r="OVY2" s="428" t="s">
        <v>23</v>
      </c>
      <c r="OVZ2" s="429"/>
      <c r="OWA2" s="429"/>
      <c r="OWB2" s="429"/>
      <c r="OWC2" s="428" t="s">
        <v>23</v>
      </c>
      <c r="OWD2" s="429"/>
      <c r="OWE2" s="429"/>
      <c r="OWF2" s="429"/>
      <c r="OWG2" s="428" t="s">
        <v>23</v>
      </c>
      <c r="OWH2" s="429"/>
      <c r="OWI2" s="429"/>
      <c r="OWJ2" s="429"/>
      <c r="OWK2" s="428" t="s">
        <v>23</v>
      </c>
      <c r="OWL2" s="429"/>
      <c r="OWM2" s="429"/>
      <c r="OWN2" s="429"/>
      <c r="OWO2" s="428" t="s">
        <v>23</v>
      </c>
      <c r="OWP2" s="429"/>
      <c r="OWQ2" s="429"/>
      <c r="OWR2" s="429"/>
      <c r="OWS2" s="428" t="s">
        <v>23</v>
      </c>
      <c r="OWT2" s="429"/>
      <c r="OWU2" s="429"/>
      <c r="OWV2" s="429"/>
      <c r="OWW2" s="428" t="s">
        <v>23</v>
      </c>
      <c r="OWX2" s="429"/>
      <c r="OWY2" s="429"/>
      <c r="OWZ2" s="429"/>
      <c r="OXA2" s="428" t="s">
        <v>23</v>
      </c>
      <c r="OXB2" s="429"/>
      <c r="OXC2" s="429"/>
      <c r="OXD2" s="429"/>
      <c r="OXE2" s="428" t="s">
        <v>23</v>
      </c>
      <c r="OXF2" s="429"/>
      <c r="OXG2" s="429"/>
      <c r="OXH2" s="429"/>
      <c r="OXI2" s="428" t="s">
        <v>23</v>
      </c>
      <c r="OXJ2" s="429"/>
      <c r="OXK2" s="429"/>
      <c r="OXL2" s="429"/>
      <c r="OXM2" s="428" t="s">
        <v>23</v>
      </c>
      <c r="OXN2" s="429"/>
      <c r="OXO2" s="429"/>
      <c r="OXP2" s="429"/>
      <c r="OXQ2" s="428" t="s">
        <v>23</v>
      </c>
      <c r="OXR2" s="429"/>
      <c r="OXS2" s="429"/>
      <c r="OXT2" s="429"/>
      <c r="OXU2" s="428" t="s">
        <v>23</v>
      </c>
      <c r="OXV2" s="429"/>
      <c r="OXW2" s="429"/>
      <c r="OXX2" s="429"/>
      <c r="OXY2" s="428" t="s">
        <v>23</v>
      </c>
      <c r="OXZ2" s="429"/>
      <c r="OYA2" s="429"/>
      <c r="OYB2" s="429"/>
      <c r="OYC2" s="428" t="s">
        <v>23</v>
      </c>
      <c r="OYD2" s="429"/>
      <c r="OYE2" s="429"/>
      <c r="OYF2" s="429"/>
      <c r="OYG2" s="428" t="s">
        <v>23</v>
      </c>
      <c r="OYH2" s="429"/>
      <c r="OYI2" s="429"/>
      <c r="OYJ2" s="429"/>
      <c r="OYK2" s="428" t="s">
        <v>23</v>
      </c>
      <c r="OYL2" s="429"/>
      <c r="OYM2" s="429"/>
      <c r="OYN2" s="429"/>
      <c r="OYO2" s="428" t="s">
        <v>23</v>
      </c>
      <c r="OYP2" s="429"/>
      <c r="OYQ2" s="429"/>
      <c r="OYR2" s="429"/>
      <c r="OYS2" s="428" t="s">
        <v>23</v>
      </c>
      <c r="OYT2" s="429"/>
      <c r="OYU2" s="429"/>
      <c r="OYV2" s="429"/>
      <c r="OYW2" s="428" t="s">
        <v>23</v>
      </c>
      <c r="OYX2" s="429"/>
      <c r="OYY2" s="429"/>
      <c r="OYZ2" s="429"/>
      <c r="OZA2" s="428" t="s">
        <v>23</v>
      </c>
      <c r="OZB2" s="429"/>
      <c r="OZC2" s="429"/>
      <c r="OZD2" s="429"/>
      <c r="OZE2" s="428" t="s">
        <v>23</v>
      </c>
      <c r="OZF2" s="429"/>
      <c r="OZG2" s="429"/>
      <c r="OZH2" s="429"/>
      <c r="OZI2" s="428" t="s">
        <v>23</v>
      </c>
      <c r="OZJ2" s="429"/>
      <c r="OZK2" s="429"/>
      <c r="OZL2" s="429"/>
      <c r="OZM2" s="428" t="s">
        <v>23</v>
      </c>
      <c r="OZN2" s="429"/>
      <c r="OZO2" s="429"/>
      <c r="OZP2" s="429"/>
      <c r="OZQ2" s="428" t="s">
        <v>23</v>
      </c>
      <c r="OZR2" s="429"/>
      <c r="OZS2" s="429"/>
      <c r="OZT2" s="429"/>
      <c r="OZU2" s="428" t="s">
        <v>23</v>
      </c>
      <c r="OZV2" s="429"/>
      <c r="OZW2" s="429"/>
      <c r="OZX2" s="429"/>
      <c r="OZY2" s="428" t="s">
        <v>23</v>
      </c>
      <c r="OZZ2" s="429"/>
      <c r="PAA2" s="429"/>
      <c r="PAB2" s="429"/>
      <c r="PAC2" s="428" t="s">
        <v>23</v>
      </c>
      <c r="PAD2" s="429"/>
      <c r="PAE2" s="429"/>
      <c r="PAF2" s="429"/>
      <c r="PAG2" s="428" t="s">
        <v>23</v>
      </c>
      <c r="PAH2" s="429"/>
      <c r="PAI2" s="429"/>
      <c r="PAJ2" s="429"/>
      <c r="PAK2" s="428" t="s">
        <v>23</v>
      </c>
      <c r="PAL2" s="429"/>
      <c r="PAM2" s="429"/>
      <c r="PAN2" s="429"/>
      <c r="PAO2" s="428" t="s">
        <v>23</v>
      </c>
      <c r="PAP2" s="429"/>
      <c r="PAQ2" s="429"/>
      <c r="PAR2" s="429"/>
      <c r="PAS2" s="428" t="s">
        <v>23</v>
      </c>
      <c r="PAT2" s="429"/>
      <c r="PAU2" s="429"/>
      <c r="PAV2" s="429"/>
      <c r="PAW2" s="428" t="s">
        <v>23</v>
      </c>
      <c r="PAX2" s="429"/>
      <c r="PAY2" s="429"/>
      <c r="PAZ2" s="429"/>
      <c r="PBA2" s="428" t="s">
        <v>23</v>
      </c>
      <c r="PBB2" s="429"/>
      <c r="PBC2" s="429"/>
      <c r="PBD2" s="429"/>
      <c r="PBE2" s="428" t="s">
        <v>23</v>
      </c>
      <c r="PBF2" s="429"/>
      <c r="PBG2" s="429"/>
      <c r="PBH2" s="429"/>
      <c r="PBI2" s="428" t="s">
        <v>23</v>
      </c>
      <c r="PBJ2" s="429"/>
      <c r="PBK2" s="429"/>
      <c r="PBL2" s="429"/>
      <c r="PBM2" s="428" t="s">
        <v>23</v>
      </c>
      <c r="PBN2" s="429"/>
      <c r="PBO2" s="429"/>
      <c r="PBP2" s="429"/>
      <c r="PBQ2" s="428" t="s">
        <v>23</v>
      </c>
      <c r="PBR2" s="429"/>
      <c r="PBS2" s="429"/>
      <c r="PBT2" s="429"/>
      <c r="PBU2" s="428" t="s">
        <v>23</v>
      </c>
      <c r="PBV2" s="429"/>
      <c r="PBW2" s="429"/>
      <c r="PBX2" s="429"/>
      <c r="PBY2" s="428" t="s">
        <v>23</v>
      </c>
      <c r="PBZ2" s="429"/>
      <c r="PCA2" s="429"/>
      <c r="PCB2" s="429"/>
      <c r="PCC2" s="428" t="s">
        <v>23</v>
      </c>
      <c r="PCD2" s="429"/>
      <c r="PCE2" s="429"/>
      <c r="PCF2" s="429"/>
      <c r="PCG2" s="428" t="s">
        <v>23</v>
      </c>
      <c r="PCH2" s="429"/>
      <c r="PCI2" s="429"/>
      <c r="PCJ2" s="429"/>
      <c r="PCK2" s="428" t="s">
        <v>23</v>
      </c>
      <c r="PCL2" s="429"/>
      <c r="PCM2" s="429"/>
      <c r="PCN2" s="429"/>
      <c r="PCO2" s="428" t="s">
        <v>23</v>
      </c>
      <c r="PCP2" s="429"/>
      <c r="PCQ2" s="429"/>
      <c r="PCR2" s="429"/>
      <c r="PCS2" s="428" t="s">
        <v>23</v>
      </c>
      <c r="PCT2" s="429"/>
      <c r="PCU2" s="429"/>
      <c r="PCV2" s="429"/>
      <c r="PCW2" s="428" t="s">
        <v>23</v>
      </c>
      <c r="PCX2" s="429"/>
      <c r="PCY2" s="429"/>
      <c r="PCZ2" s="429"/>
      <c r="PDA2" s="428" t="s">
        <v>23</v>
      </c>
      <c r="PDB2" s="429"/>
      <c r="PDC2" s="429"/>
      <c r="PDD2" s="429"/>
      <c r="PDE2" s="428" t="s">
        <v>23</v>
      </c>
      <c r="PDF2" s="429"/>
      <c r="PDG2" s="429"/>
      <c r="PDH2" s="429"/>
      <c r="PDI2" s="428" t="s">
        <v>23</v>
      </c>
      <c r="PDJ2" s="429"/>
      <c r="PDK2" s="429"/>
      <c r="PDL2" s="429"/>
      <c r="PDM2" s="428" t="s">
        <v>23</v>
      </c>
      <c r="PDN2" s="429"/>
      <c r="PDO2" s="429"/>
      <c r="PDP2" s="429"/>
      <c r="PDQ2" s="428" t="s">
        <v>23</v>
      </c>
      <c r="PDR2" s="429"/>
      <c r="PDS2" s="429"/>
      <c r="PDT2" s="429"/>
      <c r="PDU2" s="428" t="s">
        <v>23</v>
      </c>
      <c r="PDV2" s="429"/>
      <c r="PDW2" s="429"/>
      <c r="PDX2" s="429"/>
      <c r="PDY2" s="428" t="s">
        <v>23</v>
      </c>
      <c r="PDZ2" s="429"/>
      <c r="PEA2" s="429"/>
      <c r="PEB2" s="429"/>
      <c r="PEC2" s="428" t="s">
        <v>23</v>
      </c>
      <c r="PED2" s="429"/>
      <c r="PEE2" s="429"/>
      <c r="PEF2" s="429"/>
      <c r="PEG2" s="428" t="s">
        <v>23</v>
      </c>
      <c r="PEH2" s="429"/>
      <c r="PEI2" s="429"/>
      <c r="PEJ2" s="429"/>
      <c r="PEK2" s="428" t="s">
        <v>23</v>
      </c>
      <c r="PEL2" s="429"/>
      <c r="PEM2" s="429"/>
      <c r="PEN2" s="429"/>
      <c r="PEO2" s="428" t="s">
        <v>23</v>
      </c>
      <c r="PEP2" s="429"/>
      <c r="PEQ2" s="429"/>
      <c r="PER2" s="429"/>
      <c r="PES2" s="428" t="s">
        <v>23</v>
      </c>
      <c r="PET2" s="429"/>
      <c r="PEU2" s="429"/>
      <c r="PEV2" s="429"/>
      <c r="PEW2" s="428" t="s">
        <v>23</v>
      </c>
      <c r="PEX2" s="429"/>
      <c r="PEY2" s="429"/>
      <c r="PEZ2" s="429"/>
      <c r="PFA2" s="428" t="s">
        <v>23</v>
      </c>
      <c r="PFB2" s="429"/>
      <c r="PFC2" s="429"/>
      <c r="PFD2" s="429"/>
      <c r="PFE2" s="428" t="s">
        <v>23</v>
      </c>
      <c r="PFF2" s="429"/>
      <c r="PFG2" s="429"/>
      <c r="PFH2" s="429"/>
      <c r="PFI2" s="428" t="s">
        <v>23</v>
      </c>
      <c r="PFJ2" s="429"/>
      <c r="PFK2" s="429"/>
      <c r="PFL2" s="429"/>
      <c r="PFM2" s="428" t="s">
        <v>23</v>
      </c>
      <c r="PFN2" s="429"/>
      <c r="PFO2" s="429"/>
      <c r="PFP2" s="429"/>
      <c r="PFQ2" s="428" t="s">
        <v>23</v>
      </c>
      <c r="PFR2" s="429"/>
      <c r="PFS2" s="429"/>
      <c r="PFT2" s="429"/>
      <c r="PFU2" s="428" t="s">
        <v>23</v>
      </c>
      <c r="PFV2" s="429"/>
      <c r="PFW2" s="429"/>
      <c r="PFX2" s="429"/>
      <c r="PFY2" s="428" t="s">
        <v>23</v>
      </c>
      <c r="PFZ2" s="429"/>
      <c r="PGA2" s="429"/>
      <c r="PGB2" s="429"/>
      <c r="PGC2" s="428" t="s">
        <v>23</v>
      </c>
      <c r="PGD2" s="429"/>
      <c r="PGE2" s="429"/>
      <c r="PGF2" s="429"/>
      <c r="PGG2" s="428" t="s">
        <v>23</v>
      </c>
      <c r="PGH2" s="429"/>
      <c r="PGI2" s="429"/>
      <c r="PGJ2" s="429"/>
      <c r="PGK2" s="428" t="s">
        <v>23</v>
      </c>
      <c r="PGL2" s="429"/>
      <c r="PGM2" s="429"/>
      <c r="PGN2" s="429"/>
      <c r="PGO2" s="428" t="s">
        <v>23</v>
      </c>
      <c r="PGP2" s="429"/>
      <c r="PGQ2" s="429"/>
      <c r="PGR2" s="429"/>
      <c r="PGS2" s="428" t="s">
        <v>23</v>
      </c>
      <c r="PGT2" s="429"/>
      <c r="PGU2" s="429"/>
      <c r="PGV2" s="429"/>
      <c r="PGW2" s="428" t="s">
        <v>23</v>
      </c>
      <c r="PGX2" s="429"/>
      <c r="PGY2" s="429"/>
      <c r="PGZ2" s="429"/>
      <c r="PHA2" s="428" t="s">
        <v>23</v>
      </c>
      <c r="PHB2" s="429"/>
      <c r="PHC2" s="429"/>
      <c r="PHD2" s="429"/>
      <c r="PHE2" s="428" t="s">
        <v>23</v>
      </c>
      <c r="PHF2" s="429"/>
      <c r="PHG2" s="429"/>
      <c r="PHH2" s="429"/>
      <c r="PHI2" s="428" t="s">
        <v>23</v>
      </c>
      <c r="PHJ2" s="429"/>
      <c r="PHK2" s="429"/>
      <c r="PHL2" s="429"/>
      <c r="PHM2" s="428" t="s">
        <v>23</v>
      </c>
      <c r="PHN2" s="429"/>
      <c r="PHO2" s="429"/>
      <c r="PHP2" s="429"/>
      <c r="PHQ2" s="428" t="s">
        <v>23</v>
      </c>
      <c r="PHR2" s="429"/>
      <c r="PHS2" s="429"/>
      <c r="PHT2" s="429"/>
      <c r="PHU2" s="428" t="s">
        <v>23</v>
      </c>
      <c r="PHV2" s="429"/>
      <c r="PHW2" s="429"/>
      <c r="PHX2" s="429"/>
      <c r="PHY2" s="428" t="s">
        <v>23</v>
      </c>
      <c r="PHZ2" s="429"/>
      <c r="PIA2" s="429"/>
      <c r="PIB2" s="429"/>
      <c r="PIC2" s="428" t="s">
        <v>23</v>
      </c>
      <c r="PID2" s="429"/>
      <c r="PIE2" s="429"/>
      <c r="PIF2" s="429"/>
      <c r="PIG2" s="428" t="s">
        <v>23</v>
      </c>
      <c r="PIH2" s="429"/>
      <c r="PII2" s="429"/>
      <c r="PIJ2" s="429"/>
      <c r="PIK2" s="428" t="s">
        <v>23</v>
      </c>
      <c r="PIL2" s="429"/>
      <c r="PIM2" s="429"/>
      <c r="PIN2" s="429"/>
      <c r="PIO2" s="428" t="s">
        <v>23</v>
      </c>
      <c r="PIP2" s="429"/>
      <c r="PIQ2" s="429"/>
      <c r="PIR2" s="429"/>
      <c r="PIS2" s="428" t="s">
        <v>23</v>
      </c>
      <c r="PIT2" s="429"/>
      <c r="PIU2" s="429"/>
      <c r="PIV2" s="429"/>
      <c r="PIW2" s="428" t="s">
        <v>23</v>
      </c>
      <c r="PIX2" s="429"/>
      <c r="PIY2" s="429"/>
      <c r="PIZ2" s="429"/>
      <c r="PJA2" s="428" t="s">
        <v>23</v>
      </c>
      <c r="PJB2" s="429"/>
      <c r="PJC2" s="429"/>
      <c r="PJD2" s="429"/>
      <c r="PJE2" s="428" t="s">
        <v>23</v>
      </c>
      <c r="PJF2" s="429"/>
      <c r="PJG2" s="429"/>
      <c r="PJH2" s="429"/>
      <c r="PJI2" s="428" t="s">
        <v>23</v>
      </c>
      <c r="PJJ2" s="429"/>
      <c r="PJK2" s="429"/>
      <c r="PJL2" s="429"/>
      <c r="PJM2" s="428" t="s">
        <v>23</v>
      </c>
      <c r="PJN2" s="429"/>
      <c r="PJO2" s="429"/>
      <c r="PJP2" s="429"/>
      <c r="PJQ2" s="428" t="s">
        <v>23</v>
      </c>
      <c r="PJR2" s="429"/>
      <c r="PJS2" s="429"/>
      <c r="PJT2" s="429"/>
      <c r="PJU2" s="428" t="s">
        <v>23</v>
      </c>
      <c r="PJV2" s="429"/>
      <c r="PJW2" s="429"/>
      <c r="PJX2" s="429"/>
      <c r="PJY2" s="428" t="s">
        <v>23</v>
      </c>
      <c r="PJZ2" s="429"/>
      <c r="PKA2" s="429"/>
      <c r="PKB2" s="429"/>
      <c r="PKC2" s="428" t="s">
        <v>23</v>
      </c>
      <c r="PKD2" s="429"/>
      <c r="PKE2" s="429"/>
      <c r="PKF2" s="429"/>
      <c r="PKG2" s="428" t="s">
        <v>23</v>
      </c>
      <c r="PKH2" s="429"/>
      <c r="PKI2" s="429"/>
      <c r="PKJ2" s="429"/>
      <c r="PKK2" s="428" t="s">
        <v>23</v>
      </c>
      <c r="PKL2" s="429"/>
      <c r="PKM2" s="429"/>
      <c r="PKN2" s="429"/>
      <c r="PKO2" s="428" t="s">
        <v>23</v>
      </c>
      <c r="PKP2" s="429"/>
      <c r="PKQ2" s="429"/>
      <c r="PKR2" s="429"/>
      <c r="PKS2" s="428" t="s">
        <v>23</v>
      </c>
      <c r="PKT2" s="429"/>
      <c r="PKU2" s="429"/>
      <c r="PKV2" s="429"/>
      <c r="PKW2" s="428" t="s">
        <v>23</v>
      </c>
      <c r="PKX2" s="429"/>
      <c r="PKY2" s="429"/>
      <c r="PKZ2" s="429"/>
      <c r="PLA2" s="428" t="s">
        <v>23</v>
      </c>
      <c r="PLB2" s="429"/>
      <c r="PLC2" s="429"/>
      <c r="PLD2" s="429"/>
      <c r="PLE2" s="428" t="s">
        <v>23</v>
      </c>
      <c r="PLF2" s="429"/>
      <c r="PLG2" s="429"/>
      <c r="PLH2" s="429"/>
      <c r="PLI2" s="428" t="s">
        <v>23</v>
      </c>
      <c r="PLJ2" s="429"/>
      <c r="PLK2" s="429"/>
      <c r="PLL2" s="429"/>
      <c r="PLM2" s="428" t="s">
        <v>23</v>
      </c>
      <c r="PLN2" s="429"/>
      <c r="PLO2" s="429"/>
      <c r="PLP2" s="429"/>
      <c r="PLQ2" s="428" t="s">
        <v>23</v>
      </c>
      <c r="PLR2" s="429"/>
      <c r="PLS2" s="429"/>
      <c r="PLT2" s="429"/>
      <c r="PLU2" s="428" t="s">
        <v>23</v>
      </c>
      <c r="PLV2" s="429"/>
      <c r="PLW2" s="429"/>
      <c r="PLX2" s="429"/>
      <c r="PLY2" s="428" t="s">
        <v>23</v>
      </c>
      <c r="PLZ2" s="429"/>
      <c r="PMA2" s="429"/>
      <c r="PMB2" s="429"/>
      <c r="PMC2" s="428" t="s">
        <v>23</v>
      </c>
      <c r="PMD2" s="429"/>
      <c r="PME2" s="429"/>
      <c r="PMF2" s="429"/>
      <c r="PMG2" s="428" t="s">
        <v>23</v>
      </c>
      <c r="PMH2" s="429"/>
      <c r="PMI2" s="429"/>
      <c r="PMJ2" s="429"/>
      <c r="PMK2" s="428" t="s">
        <v>23</v>
      </c>
      <c r="PML2" s="429"/>
      <c r="PMM2" s="429"/>
      <c r="PMN2" s="429"/>
      <c r="PMO2" s="428" t="s">
        <v>23</v>
      </c>
      <c r="PMP2" s="429"/>
      <c r="PMQ2" s="429"/>
      <c r="PMR2" s="429"/>
      <c r="PMS2" s="428" t="s">
        <v>23</v>
      </c>
      <c r="PMT2" s="429"/>
      <c r="PMU2" s="429"/>
      <c r="PMV2" s="429"/>
      <c r="PMW2" s="428" t="s">
        <v>23</v>
      </c>
      <c r="PMX2" s="429"/>
      <c r="PMY2" s="429"/>
      <c r="PMZ2" s="429"/>
      <c r="PNA2" s="428" t="s">
        <v>23</v>
      </c>
      <c r="PNB2" s="429"/>
      <c r="PNC2" s="429"/>
      <c r="PND2" s="429"/>
      <c r="PNE2" s="428" t="s">
        <v>23</v>
      </c>
      <c r="PNF2" s="429"/>
      <c r="PNG2" s="429"/>
      <c r="PNH2" s="429"/>
      <c r="PNI2" s="428" t="s">
        <v>23</v>
      </c>
      <c r="PNJ2" s="429"/>
      <c r="PNK2" s="429"/>
      <c r="PNL2" s="429"/>
      <c r="PNM2" s="428" t="s">
        <v>23</v>
      </c>
      <c r="PNN2" s="429"/>
      <c r="PNO2" s="429"/>
      <c r="PNP2" s="429"/>
      <c r="PNQ2" s="428" t="s">
        <v>23</v>
      </c>
      <c r="PNR2" s="429"/>
      <c r="PNS2" s="429"/>
      <c r="PNT2" s="429"/>
      <c r="PNU2" s="428" t="s">
        <v>23</v>
      </c>
      <c r="PNV2" s="429"/>
      <c r="PNW2" s="429"/>
      <c r="PNX2" s="429"/>
      <c r="PNY2" s="428" t="s">
        <v>23</v>
      </c>
      <c r="PNZ2" s="429"/>
      <c r="POA2" s="429"/>
      <c r="POB2" s="429"/>
      <c r="POC2" s="428" t="s">
        <v>23</v>
      </c>
      <c r="POD2" s="429"/>
      <c r="POE2" s="429"/>
      <c r="POF2" s="429"/>
      <c r="POG2" s="428" t="s">
        <v>23</v>
      </c>
      <c r="POH2" s="429"/>
      <c r="POI2" s="429"/>
      <c r="POJ2" s="429"/>
      <c r="POK2" s="428" t="s">
        <v>23</v>
      </c>
      <c r="POL2" s="429"/>
      <c r="POM2" s="429"/>
      <c r="PON2" s="429"/>
      <c r="POO2" s="428" t="s">
        <v>23</v>
      </c>
      <c r="POP2" s="429"/>
      <c r="POQ2" s="429"/>
      <c r="POR2" s="429"/>
      <c r="POS2" s="428" t="s">
        <v>23</v>
      </c>
      <c r="POT2" s="429"/>
      <c r="POU2" s="429"/>
      <c r="POV2" s="429"/>
      <c r="POW2" s="428" t="s">
        <v>23</v>
      </c>
      <c r="POX2" s="429"/>
      <c r="POY2" s="429"/>
      <c r="POZ2" s="429"/>
      <c r="PPA2" s="428" t="s">
        <v>23</v>
      </c>
      <c r="PPB2" s="429"/>
      <c r="PPC2" s="429"/>
      <c r="PPD2" s="429"/>
      <c r="PPE2" s="428" t="s">
        <v>23</v>
      </c>
      <c r="PPF2" s="429"/>
      <c r="PPG2" s="429"/>
      <c r="PPH2" s="429"/>
      <c r="PPI2" s="428" t="s">
        <v>23</v>
      </c>
      <c r="PPJ2" s="429"/>
      <c r="PPK2" s="429"/>
      <c r="PPL2" s="429"/>
      <c r="PPM2" s="428" t="s">
        <v>23</v>
      </c>
      <c r="PPN2" s="429"/>
      <c r="PPO2" s="429"/>
      <c r="PPP2" s="429"/>
      <c r="PPQ2" s="428" t="s">
        <v>23</v>
      </c>
      <c r="PPR2" s="429"/>
      <c r="PPS2" s="429"/>
      <c r="PPT2" s="429"/>
      <c r="PPU2" s="428" t="s">
        <v>23</v>
      </c>
      <c r="PPV2" s="429"/>
      <c r="PPW2" s="429"/>
      <c r="PPX2" s="429"/>
      <c r="PPY2" s="428" t="s">
        <v>23</v>
      </c>
      <c r="PPZ2" s="429"/>
      <c r="PQA2" s="429"/>
      <c r="PQB2" s="429"/>
      <c r="PQC2" s="428" t="s">
        <v>23</v>
      </c>
      <c r="PQD2" s="429"/>
      <c r="PQE2" s="429"/>
      <c r="PQF2" s="429"/>
      <c r="PQG2" s="428" t="s">
        <v>23</v>
      </c>
      <c r="PQH2" s="429"/>
      <c r="PQI2" s="429"/>
      <c r="PQJ2" s="429"/>
      <c r="PQK2" s="428" t="s">
        <v>23</v>
      </c>
      <c r="PQL2" s="429"/>
      <c r="PQM2" s="429"/>
      <c r="PQN2" s="429"/>
      <c r="PQO2" s="428" t="s">
        <v>23</v>
      </c>
      <c r="PQP2" s="429"/>
      <c r="PQQ2" s="429"/>
      <c r="PQR2" s="429"/>
      <c r="PQS2" s="428" t="s">
        <v>23</v>
      </c>
      <c r="PQT2" s="429"/>
      <c r="PQU2" s="429"/>
      <c r="PQV2" s="429"/>
      <c r="PQW2" s="428" t="s">
        <v>23</v>
      </c>
      <c r="PQX2" s="429"/>
      <c r="PQY2" s="429"/>
      <c r="PQZ2" s="429"/>
      <c r="PRA2" s="428" t="s">
        <v>23</v>
      </c>
      <c r="PRB2" s="429"/>
      <c r="PRC2" s="429"/>
      <c r="PRD2" s="429"/>
      <c r="PRE2" s="428" t="s">
        <v>23</v>
      </c>
      <c r="PRF2" s="429"/>
      <c r="PRG2" s="429"/>
      <c r="PRH2" s="429"/>
      <c r="PRI2" s="428" t="s">
        <v>23</v>
      </c>
      <c r="PRJ2" s="429"/>
      <c r="PRK2" s="429"/>
      <c r="PRL2" s="429"/>
      <c r="PRM2" s="428" t="s">
        <v>23</v>
      </c>
      <c r="PRN2" s="429"/>
      <c r="PRO2" s="429"/>
      <c r="PRP2" s="429"/>
      <c r="PRQ2" s="428" t="s">
        <v>23</v>
      </c>
      <c r="PRR2" s="429"/>
      <c r="PRS2" s="429"/>
      <c r="PRT2" s="429"/>
      <c r="PRU2" s="428" t="s">
        <v>23</v>
      </c>
      <c r="PRV2" s="429"/>
      <c r="PRW2" s="429"/>
      <c r="PRX2" s="429"/>
      <c r="PRY2" s="428" t="s">
        <v>23</v>
      </c>
      <c r="PRZ2" s="429"/>
      <c r="PSA2" s="429"/>
      <c r="PSB2" s="429"/>
      <c r="PSC2" s="428" t="s">
        <v>23</v>
      </c>
      <c r="PSD2" s="429"/>
      <c r="PSE2" s="429"/>
      <c r="PSF2" s="429"/>
      <c r="PSG2" s="428" t="s">
        <v>23</v>
      </c>
      <c r="PSH2" s="429"/>
      <c r="PSI2" s="429"/>
      <c r="PSJ2" s="429"/>
      <c r="PSK2" s="428" t="s">
        <v>23</v>
      </c>
      <c r="PSL2" s="429"/>
      <c r="PSM2" s="429"/>
      <c r="PSN2" s="429"/>
      <c r="PSO2" s="428" t="s">
        <v>23</v>
      </c>
      <c r="PSP2" s="429"/>
      <c r="PSQ2" s="429"/>
      <c r="PSR2" s="429"/>
      <c r="PSS2" s="428" t="s">
        <v>23</v>
      </c>
      <c r="PST2" s="429"/>
      <c r="PSU2" s="429"/>
      <c r="PSV2" s="429"/>
      <c r="PSW2" s="428" t="s">
        <v>23</v>
      </c>
      <c r="PSX2" s="429"/>
      <c r="PSY2" s="429"/>
      <c r="PSZ2" s="429"/>
      <c r="PTA2" s="428" t="s">
        <v>23</v>
      </c>
      <c r="PTB2" s="429"/>
      <c r="PTC2" s="429"/>
      <c r="PTD2" s="429"/>
      <c r="PTE2" s="428" t="s">
        <v>23</v>
      </c>
      <c r="PTF2" s="429"/>
      <c r="PTG2" s="429"/>
      <c r="PTH2" s="429"/>
      <c r="PTI2" s="428" t="s">
        <v>23</v>
      </c>
      <c r="PTJ2" s="429"/>
      <c r="PTK2" s="429"/>
      <c r="PTL2" s="429"/>
      <c r="PTM2" s="428" t="s">
        <v>23</v>
      </c>
      <c r="PTN2" s="429"/>
      <c r="PTO2" s="429"/>
      <c r="PTP2" s="429"/>
      <c r="PTQ2" s="428" t="s">
        <v>23</v>
      </c>
      <c r="PTR2" s="429"/>
      <c r="PTS2" s="429"/>
      <c r="PTT2" s="429"/>
      <c r="PTU2" s="428" t="s">
        <v>23</v>
      </c>
      <c r="PTV2" s="429"/>
      <c r="PTW2" s="429"/>
      <c r="PTX2" s="429"/>
      <c r="PTY2" s="428" t="s">
        <v>23</v>
      </c>
      <c r="PTZ2" s="429"/>
      <c r="PUA2" s="429"/>
      <c r="PUB2" s="429"/>
      <c r="PUC2" s="428" t="s">
        <v>23</v>
      </c>
      <c r="PUD2" s="429"/>
      <c r="PUE2" s="429"/>
      <c r="PUF2" s="429"/>
      <c r="PUG2" s="428" t="s">
        <v>23</v>
      </c>
      <c r="PUH2" s="429"/>
      <c r="PUI2" s="429"/>
      <c r="PUJ2" s="429"/>
      <c r="PUK2" s="428" t="s">
        <v>23</v>
      </c>
      <c r="PUL2" s="429"/>
      <c r="PUM2" s="429"/>
      <c r="PUN2" s="429"/>
      <c r="PUO2" s="428" t="s">
        <v>23</v>
      </c>
      <c r="PUP2" s="429"/>
      <c r="PUQ2" s="429"/>
      <c r="PUR2" s="429"/>
      <c r="PUS2" s="428" t="s">
        <v>23</v>
      </c>
      <c r="PUT2" s="429"/>
      <c r="PUU2" s="429"/>
      <c r="PUV2" s="429"/>
      <c r="PUW2" s="428" t="s">
        <v>23</v>
      </c>
      <c r="PUX2" s="429"/>
      <c r="PUY2" s="429"/>
      <c r="PUZ2" s="429"/>
      <c r="PVA2" s="428" t="s">
        <v>23</v>
      </c>
      <c r="PVB2" s="429"/>
      <c r="PVC2" s="429"/>
      <c r="PVD2" s="429"/>
      <c r="PVE2" s="428" t="s">
        <v>23</v>
      </c>
      <c r="PVF2" s="429"/>
      <c r="PVG2" s="429"/>
      <c r="PVH2" s="429"/>
      <c r="PVI2" s="428" t="s">
        <v>23</v>
      </c>
      <c r="PVJ2" s="429"/>
      <c r="PVK2" s="429"/>
      <c r="PVL2" s="429"/>
      <c r="PVM2" s="428" t="s">
        <v>23</v>
      </c>
      <c r="PVN2" s="429"/>
      <c r="PVO2" s="429"/>
      <c r="PVP2" s="429"/>
      <c r="PVQ2" s="428" t="s">
        <v>23</v>
      </c>
      <c r="PVR2" s="429"/>
      <c r="PVS2" s="429"/>
      <c r="PVT2" s="429"/>
      <c r="PVU2" s="428" t="s">
        <v>23</v>
      </c>
      <c r="PVV2" s="429"/>
      <c r="PVW2" s="429"/>
      <c r="PVX2" s="429"/>
      <c r="PVY2" s="428" t="s">
        <v>23</v>
      </c>
      <c r="PVZ2" s="429"/>
      <c r="PWA2" s="429"/>
      <c r="PWB2" s="429"/>
      <c r="PWC2" s="428" t="s">
        <v>23</v>
      </c>
      <c r="PWD2" s="429"/>
      <c r="PWE2" s="429"/>
      <c r="PWF2" s="429"/>
      <c r="PWG2" s="428" t="s">
        <v>23</v>
      </c>
      <c r="PWH2" s="429"/>
      <c r="PWI2" s="429"/>
      <c r="PWJ2" s="429"/>
      <c r="PWK2" s="428" t="s">
        <v>23</v>
      </c>
      <c r="PWL2" s="429"/>
      <c r="PWM2" s="429"/>
      <c r="PWN2" s="429"/>
      <c r="PWO2" s="428" t="s">
        <v>23</v>
      </c>
      <c r="PWP2" s="429"/>
      <c r="PWQ2" s="429"/>
      <c r="PWR2" s="429"/>
      <c r="PWS2" s="428" t="s">
        <v>23</v>
      </c>
      <c r="PWT2" s="429"/>
      <c r="PWU2" s="429"/>
      <c r="PWV2" s="429"/>
      <c r="PWW2" s="428" t="s">
        <v>23</v>
      </c>
      <c r="PWX2" s="429"/>
      <c r="PWY2" s="429"/>
      <c r="PWZ2" s="429"/>
      <c r="PXA2" s="428" t="s">
        <v>23</v>
      </c>
      <c r="PXB2" s="429"/>
      <c r="PXC2" s="429"/>
      <c r="PXD2" s="429"/>
      <c r="PXE2" s="428" t="s">
        <v>23</v>
      </c>
      <c r="PXF2" s="429"/>
      <c r="PXG2" s="429"/>
      <c r="PXH2" s="429"/>
      <c r="PXI2" s="428" t="s">
        <v>23</v>
      </c>
      <c r="PXJ2" s="429"/>
      <c r="PXK2" s="429"/>
      <c r="PXL2" s="429"/>
      <c r="PXM2" s="428" t="s">
        <v>23</v>
      </c>
      <c r="PXN2" s="429"/>
      <c r="PXO2" s="429"/>
      <c r="PXP2" s="429"/>
      <c r="PXQ2" s="428" t="s">
        <v>23</v>
      </c>
      <c r="PXR2" s="429"/>
      <c r="PXS2" s="429"/>
      <c r="PXT2" s="429"/>
      <c r="PXU2" s="428" t="s">
        <v>23</v>
      </c>
      <c r="PXV2" s="429"/>
      <c r="PXW2" s="429"/>
      <c r="PXX2" s="429"/>
      <c r="PXY2" s="428" t="s">
        <v>23</v>
      </c>
      <c r="PXZ2" s="429"/>
      <c r="PYA2" s="429"/>
      <c r="PYB2" s="429"/>
      <c r="PYC2" s="428" t="s">
        <v>23</v>
      </c>
      <c r="PYD2" s="429"/>
      <c r="PYE2" s="429"/>
      <c r="PYF2" s="429"/>
      <c r="PYG2" s="428" t="s">
        <v>23</v>
      </c>
      <c r="PYH2" s="429"/>
      <c r="PYI2" s="429"/>
      <c r="PYJ2" s="429"/>
      <c r="PYK2" s="428" t="s">
        <v>23</v>
      </c>
      <c r="PYL2" s="429"/>
      <c r="PYM2" s="429"/>
      <c r="PYN2" s="429"/>
      <c r="PYO2" s="428" t="s">
        <v>23</v>
      </c>
      <c r="PYP2" s="429"/>
      <c r="PYQ2" s="429"/>
      <c r="PYR2" s="429"/>
      <c r="PYS2" s="428" t="s">
        <v>23</v>
      </c>
      <c r="PYT2" s="429"/>
      <c r="PYU2" s="429"/>
      <c r="PYV2" s="429"/>
      <c r="PYW2" s="428" t="s">
        <v>23</v>
      </c>
      <c r="PYX2" s="429"/>
      <c r="PYY2" s="429"/>
      <c r="PYZ2" s="429"/>
      <c r="PZA2" s="428" t="s">
        <v>23</v>
      </c>
      <c r="PZB2" s="429"/>
      <c r="PZC2" s="429"/>
      <c r="PZD2" s="429"/>
      <c r="PZE2" s="428" t="s">
        <v>23</v>
      </c>
      <c r="PZF2" s="429"/>
      <c r="PZG2" s="429"/>
      <c r="PZH2" s="429"/>
      <c r="PZI2" s="428" t="s">
        <v>23</v>
      </c>
      <c r="PZJ2" s="429"/>
      <c r="PZK2" s="429"/>
      <c r="PZL2" s="429"/>
      <c r="PZM2" s="428" t="s">
        <v>23</v>
      </c>
      <c r="PZN2" s="429"/>
      <c r="PZO2" s="429"/>
      <c r="PZP2" s="429"/>
      <c r="PZQ2" s="428" t="s">
        <v>23</v>
      </c>
      <c r="PZR2" s="429"/>
      <c r="PZS2" s="429"/>
      <c r="PZT2" s="429"/>
      <c r="PZU2" s="428" t="s">
        <v>23</v>
      </c>
      <c r="PZV2" s="429"/>
      <c r="PZW2" s="429"/>
      <c r="PZX2" s="429"/>
      <c r="PZY2" s="428" t="s">
        <v>23</v>
      </c>
      <c r="PZZ2" s="429"/>
      <c r="QAA2" s="429"/>
      <c r="QAB2" s="429"/>
      <c r="QAC2" s="428" t="s">
        <v>23</v>
      </c>
      <c r="QAD2" s="429"/>
      <c r="QAE2" s="429"/>
      <c r="QAF2" s="429"/>
      <c r="QAG2" s="428" t="s">
        <v>23</v>
      </c>
      <c r="QAH2" s="429"/>
      <c r="QAI2" s="429"/>
      <c r="QAJ2" s="429"/>
      <c r="QAK2" s="428" t="s">
        <v>23</v>
      </c>
      <c r="QAL2" s="429"/>
      <c r="QAM2" s="429"/>
      <c r="QAN2" s="429"/>
      <c r="QAO2" s="428" t="s">
        <v>23</v>
      </c>
      <c r="QAP2" s="429"/>
      <c r="QAQ2" s="429"/>
      <c r="QAR2" s="429"/>
      <c r="QAS2" s="428" t="s">
        <v>23</v>
      </c>
      <c r="QAT2" s="429"/>
      <c r="QAU2" s="429"/>
      <c r="QAV2" s="429"/>
      <c r="QAW2" s="428" t="s">
        <v>23</v>
      </c>
      <c r="QAX2" s="429"/>
      <c r="QAY2" s="429"/>
      <c r="QAZ2" s="429"/>
      <c r="QBA2" s="428" t="s">
        <v>23</v>
      </c>
      <c r="QBB2" s="429"/>
      <c r="QBC2" s="429"/>
      <c r="QBD2" s="429"/>
      <c r="QBE2" s="428" t="s">
        <v>23</v>
      </c>
      <c r="QBF2" s="429"/>
      <c r="QBG2" s="429"/>
      <c r="QBH2" s="429"/>
      <c r="QBI2" s="428" t="s">
        <v>23</v>
      </c>
      <c r="QBJ2" s="429"/>
      <c r="QBK2" s="429"/>
      <c r="QBL2" s="429"/>
      <c r="QBM2" s="428" t="s">
        <v>23</v>
      </c>
      <c r="QBN2" s="429"/>
      <c r="QBO2" s="429"/>
      <c r="QBP2" s="429"/>
      <c r="QBQ2" s="428" t="s">
        <v>23</v>
      </c>
      <c r="QBR2" s="429"/>
      <c r="QBS2" s="429"/>
      <c r="QBT2" s="429"/>
      <c r="QBU2" s="428" t="s">
        <v>23</v>
      </c>
      <c r="QBV2" s="429"/>
      <c r="QBW2" s="429"/>
      <c r="QBX2" s="429"/>
      <c r="QBY2" s="428" t="s">
        <v>23</v>
      </c>
      <c r="QBZ2" s="429"/>
      <c r="QCA2" s="429"/>
      <c r="QCB2" s="429"/>
      <c r="QCC2" s="428" t="s">
        <v>23</v>
      </c>
      <c r="QCD2" s="429"/>
      <c r="QCE2" s="429"/>
      <c r="QCF2" s="429"/>
      <c r="QCG2" s="428" t="s">
        <v>23</v>
      </c>
      <c r="QCH2" s="429"/>
      <c r="QCI2" s="429"/>
      <c r="QCJ2" s="429"/>
      <c r="QCK2" s="428" t="s">
        <v>23</v>
      </c>
      <c r="QCL2" s="429"/>
      <c r="QCM2" s="429"/>
      <c r="QCN2" s="429"/>
      <c r="QCO2" s="428" t="s">
        <v>23</v>
      </c>
      <c r="QCP2" s="429"/>
      <c r="QCQ2" s="429"/>
      <c r="QCR2" s="429"/>
      <c r="QCS2" s="428" t="s">
        <v>23</v>
      </c>
      <c r="QCT2" s="429"/>
      <c r="QCU2" s="429"/>
      <c r="QCV2" s="429"/>
      <c r="QCW2" s="428" t="s">
        <v>23</v>
      </c>
      <c r="QCX2" s="429"/>
      <c r="QCY2" s="429"/>
      <c r="QCZ2" s="429"/>
      <c r="QDA2" s="428" t="s">
        <v>23</v>
      </c>
      <c r="QDB2" s="429"/>
      <c r="QDC2" s="429"/>
      <c r="QDD2" s="429"/>
      <c r="QDE2" s="428" t="s">
        <v>23</v>
      </c>
      <c r="QDF2" s="429"/>
      <c r="QDG2" s="429"/>
      <c r="QDH2" s="429"/>
      <c r="QDI2" s="428" t="s">
        <v>23</v>
      </c>
      <c r="QDJ2" s="429"/>
      <c r="QDK2" s="429"/>
      <c r="QDL2" s="429"/>
      <c r="QDM2" s="428" t="s">
        <v>23</v>
      </c>
      <c r="QDN2" s="429"/>
      <c r="QDO2" s="429"/>
      <c r="QDP2" s="429"/>
      <c r="QDQ2" s="428" t="s">
        <v>23</v>
      </c>
      <c r="QDR2" s="429"/>
      <c r="QDS2" s="429"/>
      <c r="QDT2" s="429"/>
      <c r="QDU2" s="428" t="s">
        <v>23</v>
      </c>
      <c r="QDV2" s="429"/>
      <c r="QDW2" s="429"/>
      <c r="QDX2" s="429"/>
      <c r="QDY2" s="428" t="s">
        <v>23</v>
      </c>
      <c r="QDZ2" s="429"/>
      <c r="QEA2" s="429"/>
      <c r="QEB2" s="429"/>
      <c r="QEC2" s="428" t="s">
        <v>23</v>
      </c>
      <c r="QED2" s="429"/>
      <c r="QEE2" s="429"/>
      <c r="QEF2" s="429"/>
      <c r="QEG2" s="428" t="s">
        <v>23</v>
      </c>
      <c r="QEH2" s="429"/>
      <c r="QEI2" s="429"/>
      <c r="QEJ2" s="429"/>
      <c r="QEK2" s="428" t="s">
        <v>23</v>
      </c>
      <c r="QEL2" s="429"/>
      <c r="QEM2" s="429"/>
      <c r="QEN2" s="429"/>
      <c r="QEO2" s="428" t="s">
        <v>23</v>
      </c>
      <c r="QEP2" s="429"/>
      <c r="QEQ2" s="429"/>
      <c r="QER2" s="429"/>
      <c r="QES2" s="428" t="s">
        <v>23</v>
      </c>
      <c r="QET2" s="429"/>
      <c r="QEU2" s="429"/>
      <c r="QEV2" s="429"/>
      <c r="QEW2" s="428" t="s">
        <v>23</v>
      </c>
      <c r="QEX2" s="429"/>
      <c r="QEY2" s="429"/>
      <c r="QEZ2" s="429"/>
      <c r="QFA2" s="428" t="s">
        <v>23</v>
      </c>
      <c r="QFB2" s="429"/>
      <c r="QFC2" s="429"/>
      <c r="QFD2" s="429"/>
      <c r="QFE2" s="428" t="s">
        <v>23</v>
      </c>
      <c r="QFF2" s="429"/>
      <c r="QFG2" s="429"/>
      <c r="QFH2" s="429"/>
      <c r="QFI2" s="428" t="s">
        <v>23</v>
      </c>
      <c r="QFJ2" s="429"/>
      <c r="QFK2" s="429"/>
      <c r="QFL2" s="429"/>
      <c r="QFM2" s="428" t="s">
        <v>23</v>
      </c>
      <c r="QFN2" s="429"/>
      <c r="QFO2" s="429"/>
      <c r="QFP2" s="429"/>
      <c r="QFQ2" s="428" t="s">
        <v>23</v>
      </c>
      <c r="QFR2" s="429"/>
      <c r="QFS2" s="429"/>
      <c r="QFT2" s="429"/>
      <c r="QFU2" s="428" t="s">
        <v>23</v>
      </c>
      <c r="QFV2" s="429"/>
      <c r="QFW2" s="429"/>
      <c r="QFX2" s="429"/>
      <c r="QFY2" s="428" t="s">
        <v>23</v>
      </c>
      <c r="QFZ2" s="429"/>
      <c r="QGA2" s="429"/>
      <c r="QGB2" s="429"/>
      <c r="QGC2" s="428" t="s">
        <v>23</v>
      </c>
      <c r="QGD2" s="429"/>
      <c r="QGE2" s="429"/>
      <c r="QGF2" s="429"/>
      <c r="QGG2" s="428" t="s">
        <v>23</v>
      </c>
      <c r="QGH2" s="429"/>
      <c r="QGI2" s="429"/>
      <c r="QGJ2" s="429"/>
      <c r="QGK2" s="428" t="s">
        <v>23</v>
      </c>
      <c r="QGL2" s="429"/>
      <c r="QGM2" s="429"/>
      <c r="QGN2" s="429"/>
      <c r="QGO2" s="428" t="s">
        <v>23</v>
      </c>
      <c r="QGP2" s="429"/>
      <c r="QGQ2" s="429"/>
      <c r="QGR2" s="429"/>
      <c r="QGS2" s="428" t="s">
        <v>23</v>
      </c>
      <c r="QGT2" s="429"/>
      <c r="QGU2" s="429"/>
      <c r="QGV2" s="429"/>
      <c r="QGW2" s="428" t="s">
        <v>23</v>
      </c>
      <c r="QGX2" s="429"/>
      <c r="QGY2" s="429"/>
      <c r="QGZ2" s="429"/>
      <c r="QHA2" s="428" t="s">
        <v>23</v>
      </c>
      <c r="QHB2" s="429"/>
      <c r="QHC2" s="429"/>
      <c r="QHD2" s="429"/>
      <c r="QHE2" s="428" t="s">
        <v>23</v>
      </c>
      <c r="QHF2" s="429"/>
      <c r="QHG2" s="429"/>
      <c r="QHH2" s="429"/>
      <c r="QHI2" s="428" t="s">
        <v>23</v>
      </c>
      <c r="QHJ2" s="429"/>
      <c r="QHK2" s="429"/>
      <c r="QHL2" s="429"/>
      <c r="QHM2" s="428" t="s">
        <v>23</v>
      </c>
      <c r="QHN2" s="429"/>
      <c r="QHO2" s="429"/>
      <c r="QHP2" s="429"/>
      <c r="QHQ2" s="428" t="s">
        <v>23</v>
      </c>
      <c r="QHR2" s="429"/>
      <c r="QHS2" s="429"/>
      <c r="QHT2" s="429"/>
      <c r="QHU2" s="428" t="s">
        <v>23</v>
      </c>
      <c r="QHV2" s="429"/>
      <c r="QHW2" s="429"/>
      <c r="QHX2" s="429"/>
      <c r="QHY2" s="428" t="s">
        <v>23</v>
      </c>
      <c r="QHZ2" s="429"/>
      <c r="QIA2" s="429"/>
      <c r="QIB2" s="429"/>
      <c r="QIC2" s="428" t="s">
        <v>23</v>
      </c>
      <c r="QID2" s="429"/>
      <c r="QIE2" s="429"/>
      <c r="QIF2" s="429"/>
      <c r="QIG2" s="428" t="s">
        <v>23</v>
      </c>
      <c r="QIH2" s="429"/>
      <c r="QII2" s="429"/>
      <c r="QIJ2" s="429"/>
      <c r="QIK2" s="428" t="s">
        <v>23</v>
      </c>
      <c r="QIL2" s="429"/>
      <c r="QIM2" s="429"/>
      <c r="QIN2" s="429"/>
      <c r="QIO2" s="428" t="s">
        <v>23</v>
      </c>
      <c r="QIP2" s="429"/>
      <c r="QIQ2" s="429"/>
      <c r="QIR2" s="429"/>
      <c r="QIS2" s="428" t="s">
        <v>23</v>
      </c>
      <c r="QIT2" s="429"/>
      <c r="QIU2" s="429"/>
      <c r="QIV2" s="429"/>
      <c r="QIW2" s="428" t="s">
        <v>23</v>
      </c>
      <c r="QIX2" s="429"/>
      <c r="QIY2" s="429"/>
      <c r="QIZ2" s="429"/>
      <c r="QJA2" s="428" t="s">
        <v>23</v>
      </c>
      <c r="QJB2" s="429"/>
      <c r="QJC2" s="429"/>
      <c r="QJD2" s="429"/>
      <c r="QJE2" s="428" t="s">
        <v>23</v>
      </c>
      <c r="QJF2" s="429"/>
      <c r="QJG2" s="429"/>
      <c r="QJH2" s="429"/>
      <c r="QJI2" s="428" t="s">
        <v>23</v>
      </c>
      <c r="QJJ2" s="429"/>
      <c r="QJK2" s="429"/>
      <c r="QJL2" s="429"/>
      <c r="QJM2" s="428" t="s">
        <v>23</v>
      </c>
      <c r="QJN2" s="429"/>
      <c r="QJO2" s="429"/>
      <c r="QJP2" s="429"/>
      <c r="QJQ2" s="428" t="s">
        <v>23</v>
      </c>
      <c r="QJR2" s="429"/>
      <c r="QJS2" s="429"/>
      <c r="QJT2" s="429"/>
      <c r="QJU2" s="428" t="s">
        <v>23</v>
      </c>
      <c r="QJV2" s="429"/>
      <c r="QJW2" s="429"/>
      <c r="QJX2" s="429"/>
      <c r="QJY2" s="428" t="s">
        <v>23</v>
      </c>
      <c r="QJZ2" s="429"/>
      <c r="QKA2" s="429"/>
      <c r="QKB2" s="429"/>
      <c r="QKC2" s="428" t="s">
        <v>23</v>
      </c>
      <c r="QKD2" s="429"/>
      <c r="QKE2" s="429"/>
      <c r="QKF2" s="429"/>
      <c r="QKG2" s="428" t="s">
        <v>23</v>
      </c>
      <c r="QKH2" s="429"/>
      <c r="QKI2" s="429"/>
      <c r="QKJ2" s="429"/>
      <c r="QKK2" s="428" t="s">
        <v>23</v>
      </c>
      <c r="QKL2" s="429"/>
      <c r="QKM2" s="429"/>
      <c r="QKN2" s="429"/>
      <c r="QKO2" s="428" t="s">
        <v>23</v>
      </c>
      <c r="QKP2" s="429"/>
      <c r="QKQ2" s="429"/>
      <c r="QKR2" s="429"/>
      <c r="QKS2" s="428" t="s">
        <v>23</v>
      </c>
      <c r="QKT2" s="429"/>
      <c r="QKU2" s="429"/>
      <c r="QKV2" s="429"/>
      <c r="QKW2" s="428" t="s">
        <v>23</v>
      </c>
      <c r="QKX2" s="429"/>
      <c r="QKY2" s="429"/>
      <c r="QKZ2" s="429"/>
      <c r="QLA2" s="428" t="s">
        <v>23</v>
      </c>
      <c r="QLB2" s="429"/>
      <c r="QLC2" s="429"/>
      <c r="QLD2" s="429"/>
      <c r="QLE2" s="428" t="s">
        <v>23</v>
      </c>
      <c r="QLF2" s="429"/>
      <c r="QLG2" s="429"/>
      <c r="QLH2" s="429"/>
      <c r="QLI2" s="428" t="s">
        <v>23</v>
      </c>
      <c r="QLJ2" s="429"/>
      <c r="QLK2" s="429"/>
      <c r="QLL2" s="429"/>
      <c r="QLM2" s="428" t="s">
        <v>23</v>
      </c>
      <c r="QLN2" s="429"/>
      <c r="QLO2" s="429"/>
      <c r="QLP2" s="429"/>
      <c r="QLQ2" s="428" t="s">
        <v>23</v>
      </c>
      <c r="QLR2" s="429"/>
      <c r="QLS2" s="429"/>
      <c r="QLT2" s="429"/>
      <c r="QLU2" s="428" t="s">
        <v>23</v>
      </c>
      <c r="QLV2" s="429"/>
      <c r="QLW2" s="429"/>
      <c r="QLX2" s="429"/>
      <c r="QLY2" s="428" t="s">
        <v>23</v>
      </c>
      <c r="QLZ2" s="429"/>
      <c r="QMA2" s="429"/>
      <c r="QMB2" s="429"/>
      <c r="QMC2" s="428" t="s">
        <v>23</v>
      </c>
      <c r="QMD2" s="429"/>
      <c r="QME2" s="429"/>
      <c r="QMF2" s="429"/>
      <c r="QMG2" s="428" t="s">
        <v>23</v>
      </c>
      <c r="QMH2" s="429"/>
      <c r="QMI2" s="429"/>
      <c r="QMJ2" s="429"/>
      <c r="QMK2" s="428" t="s">
        <v>23</v>
      </c>
      <c r="QML2" s="429"/>
      <c r="QMM2" s="429"/>
      <c r="QMN2" s="429"/>
      <c r="QMO2" s="428" t="s">
        <v>23</v>
      </c>
      <c r="QMP2" s="429"/>
      <c r="QMQ2" s="429"/>
      <c r="QMR2" s="429"/>
      <c r="QMS2" s="428" t="s">
        <v>23</v>
      </c>
      <c r="QMT2" s="429"/>
      <c r="QMU2" s="429"/>
      <c r="QMV2" s="429"/>
      <c r="QMW2" s="428" t="s">
        <v>23</v>
      </c>
      <c r="QMX2" s="429"/>
      <c r="QMY2" s="429"/>
      <c r="QMZ2" s="429"/>
      <c r="QNA2" s="428" t="s">
        <v>23</v>
      </c>
      <c r="QNB2" s="429"/>
      <c r="QNC2" s="429"/>
      <c r="QND2" s="429"/>
      <c r="QNE2" s="428" t="s">
        <v>23</v>
      </c>
      <c r="QNF2" s="429"/>
      <c r="QNG2" s="429"/>
      <c r="QNH2" s="429"/>
      <c r="QNI2" s="428" t="s">
        <v>23</v>
      </c>
      <c r="QNJ2" s="429"/>
      <c r="QNK2" s="429"/>
      <c r="QNL2" s="429"/>
      <c r="QNM2" s="428" t="s">
        <v>23</v>
      </c>
      <c r="QNN2" s="429"/>
      <c r="QNO2" s="429"/>
      <c r="QNP2" s="429"/>
      <c r="QNQ2" s="428" t="s">
        <v>23</v>
      </c>
      <c r="QNR2" s="429"/>
      <c r="QNS2" s="429"/>
      <c r="QNT2" s="429"/>
      <c r="QNU2" s="428" t="s">
        <v>23</v>
      </c>
      <c r="QNV2" s="429"/>
      <c r="QNW2" s="429"/>
      <c r="QNX2" s="429"/>
      <c r="QNY2" s="428" t="s">
        <v>23</v>
      </c>
      <c r="QNZ2" s="429"/>
      <c r="QOA2" s="429"/>
      <c r="QOB2" s="429"/>
      <c r="QOC2" s="428" t="s">
        <v>23</v>
      </c>
      <c r="QOD2" s="429"/>
      <c r="QOE2" s="429"/>
      <c r="QOF2" s="429"/>
      <c r="QOG2" s="428" t="s">
        <v>23</v>
      </c>
      <c r="QOH2" s="429"/>
      <c r="QOI2" s="429"/>
      <c r="QOJ2" s="429"/>
      <c r="QOK2" s="428" t="s">
        <v>23</v>
      </c>
      <c r="QOL2" s="429"/>
      <c r="QOM2" s="429"/>
      <c r="QON2" s="429"/>
      <c r="QOO2" s="428" t="s">
        <v>23</v>
      </c>
      <c r="QOP2" s="429"/>
      <c r="QOQ2" s="429"/>
      <c r="QOR2" s="429"/>
      <c r="QOS2" s="428" t="s">
        <v>23</v>
      </c>
      <c r="QOT2" s="429"/>
      <c r="QOU2" s="429"/>
      <c r="QOV2" s="429"/>
      <c r="QOW2" s="428" t="s">
        <v>23</v>
      </c>
      <c r="QOX2" s="429"/>
      <c r="QOY2" s="429"/>
      <c r="QOZ2" s="429"/>
      <c r="QPA2" s="428" t="s">
        <v>23</v>
      </c>
      <c r="QPB2" s="429"/>
      <c r="QPC2" s="429"/>
      <c r="QPD2" s="429"/>
      <c r="QPE2" s="428" t="s">
        <v>23</v>
      </c>
      <c r="QPF2" s="429"/>
      <c r="QPG2" s="429"/>
      <c r="QPH2" s="429"/>
      <c r="QPI2" s="428" t="s">
        <v>23</v>
      </c>
      <c r="QPJ2" s="429"/>
      <c r="QPK2" s="429"/>
      <c r="QPL2" s="429"/>
      <c r="QPM2" s="428" t="s">
        <v>23</v>
      </c>
      <c r="QPN2" s="429"/>
      <c r="QPO2" s="429"/>
      <c r="QPP2" s="429"/>
      <c r="QPQ2" s="428" t="s">
        <v>23</v>
      </c>
      <c r="QPR2" s="429"/>
      <c r="QPS2" s="429"/>
      <c r="QPT2" s="429"/>
      <c r="QPU2" s="428" t="s">
        <v>23</v>
      </c>
      <c r="QPV2" s="429"/>
      <c r="QPW2" s="429"/>
      <c r="QPX2" s="429"/>
      <c r="QPY2" s="428" t="s">
        <v>23</v>
      </c>
      <c r="QPZ2" s="429"/>
      <c r="QQA2" s="429"/>
      <c r="QQB2" s="429"/>
      <c r="QQC2" s="428" t="s">
        <v>23</v>
      </c>
      <c r="QQD2" s="429"/>
      <c r="QQE2" s="429"/>
      <c r="QQF2" s="429"/>
      <c r="QQG2" s="428" t="s">
        <v>23</v>
      </c>
      <c r="QQH2" s="429"/>
      <c r="QQI2" s="429"/>
      <c r="QQJ2" s="429"/>
      <c r="QQK2" s="428" t="s">
        <v>23</v>
      </c>
      <c r="QQL2" s="429"/>
      <c r="QQM2" s="429"/>
      <c r="QQN2" s="429"/>
      <c r="QQO2" s="428" t="s">
        <v>23</v>
      </c>
      <c r="QQP2" s="429"/>
      <c r="QQQ2" s="429"/>
      <c r="QQR2" s="429"/>
      <c r="QQS2" s="428" t="s">
        <v>23</v>
      </c>
      <c r="QQT2" s="429"/>
      <c r="QQU2" s="429"/>
      <c r="QQV2" s="429"/>
      <c r="QQW2" s="428" t="s">
        <v>23</v>
      </c>
      <c r="QQX2" s="429"/>
      <c r="QQY2" s="429"/>
      <c r="QQZ2" s="429"/>
      <c r="QRA2" s="428" t="s">
        <v>23</v>
      </c>
      <c r="QRB2" s="429"/>
      <c r="QRC2" s="429"/>
      <c r="QRD2" s="429"/>
      <c r="QRE2" s="428" t="s">
        <v>23</v>
      </c>
      <c r="QRF2" s="429"/>
      <c r="QRG2" s="429"/>
      <c r="QRH2" s="429"/>
      <c r="QRI2" s="428" t="s">
        <v>23</v>
      </c>
      <c r="QRJ2" s="429"/>
      <c r="QRK2" s="429"/>
      <c r="QRL2" s="429"/>
      <c r="QRM2" s="428" t="s">
        <v>23</v>
      </c>
      <c r="QRN2" s="429"/>
      <c r="QRO2" s="429"/>
      <c r="QRP2" s="429"/>
      <c r="QRQ2" s="428" t="s">
        <v>23</v>
      </c>
      <c r="QRR2" s="429"/>
      <c r="QRS2" s="429"/>
      <c r="QRT2" s="429"/>
      <c r="QRU2" s="428" t="s">
        <v>23</v>
      </c>
      <c r="QRV2" s="429"/>
      <c r="QRW2" s="429"/>
      <c r="QRX2" s="429"/>
      <c r="QRY2" s="428" t="s">
        <v>23</v>
      </c>
      <c r="QRZ2" s="429"/>
      <c r="QSA2" s="429"/>
      <c r="QSB2" s="429"/>
      <c r="QSC2" s="428" t="s">
        <v>23</v>
      </c>
      <c r="QSD2" s="429"/>
      <c r="QSE2" s="429"/>
      <c r="QSF2" s="429"/>
      <c r="QSG2" s="428" t="s">
        <v>23</v>
      </c>
      <c r="QSH2" s="429"/>
      <c r="QSI2" s="429"/>
      <c r="QSJ2" s="429"/>
      <c r="QSK2" s="428" t="s">
        <v>23</v>
      </c>
      <c r="QSL2" s="429"/>
      <c r="QSM2" s="429"/>
      <c r="QSN2" s="429"/>
      <c r="QSO2" s="428" t="s">
        <v>23</v>
      </c>
      <c r="QSP2" s="429"/>
      <c r="QSQ2" s="429"/>
      <c r="QSR2" s="429"/>
      <c r="QSS2" s="428" t="s">
        <v>23</v>
      </c>
      <c r="QST2" s="429"/>
      <c r="QSU2" s="429"/>
      <c r="QSV2" s="429"/>
      <c r="QSW2" s="428" t="s">
        <v>23</v>
      </c>
      <c r="QSX2" s="429"/>
      <c r="QSY2" s="429"/>
      <c r="QSZ2" s="429"/>
      <c r="QTA2" s="428" t="s">
        <v>23</v>
      </c>
      <c r="QTB2" s="429"/>
      <c r="QTC2" s="429"/>
      <c r="QTD2" s="429"/>
      <c r="QTE2" s="428" t="s">
        <v>23</v>
      </c>
      <c r="QTF2" s="429"/>
      <c r="QTG2" s="429"/>
      <c r="QTH2" s="429"/>
      <c r="QTI2" s="428" t="s">
        <v>23</v>
      </c>
      <c r="QTJ2" s="429"/>
      <c r="QTK2" s="429"/>
      <c r="QTL2" s="429"/>
      <c r="QTM2" s="428" t="s">
        <v>23</v>
      </c>
      <c r="QTN2" s="429"/>
      <c r="QTO2" s="429"/>
      <c r="QTP2" s="429"/>
      <c r="QTQ2" s="428" t="s">
        <v>23</v>
      </c>
      <c r="QTR2" s="429"/>
      <c r="QTS2" s="429"/>
      <c r="QTT2" s="429"/>
      <c r="QTU2" s="428" t="s">
        <v>23</v>
      </c>
      <c r="QTV2" s="429"/>
      <c r="QTW2" s="429"/>
      <c r="QTX2" s="429"/>
      <c r="QTY2" s="428" t="s">
        <v>23</v>
      </c>
      <c r="QTZ2" s="429"/>
      <c r="QUA2" s="429"/>
      <c r="QUB2" s="429"/>
      <c r="QUC2" s="428" t="s">
        <v>23</v>
      </c>
      <c r="QUD2" s="429"/>
      <c r="QUE2" s="429"/>
      <c r="QUF2" s="429"/>
      <c r="QUG2" s="428" t="s">
        <v>23</v>
      </c>
      <c r="QUH2" s="429"/>
      <c r="QUI2" s="429"/>
      <c r="QUJ2" s="429"/>
      <c r="QUK2" s="428" t="s">
        <v>23</v>
      </c>
      <c r="QUL2" s="429"/>
      <c r="QUM2" s="429"/>
      <c r="QUN2" s="429"/>
      <c r="QUO2" s="428" t="s">
        <v>23</v>
      </c>
      <c r="QUP2" s="429"/>
      <c r="QUQ2" s="429"/>
      <c r="QUR2" s="429"/>
      <c r="QUS2" s="428" t="s">
        <v>23</v>
      </c>
      <c r="QUT2" s="429"/>
      <c r="QUU2" s="429"/>
      <c r="QUV2" s="429"/>
      <c r="QUW2" s="428" t="s">
        <v>23</v>
      </c>
      <c r="QUX2" s="429"/>
      <c r="QUY2" s="429"/>
      <c r="QUZ2" s="429"/>
      <c r="QVA2" s="428" t="s">
        <v>23</v>
      </c>
      <c r="QVB2" s="429"/>
      <c r="QVC2" s="429"/>
      <c r="QVD2" s="429"/>
      <c r="QVE2" s="428" t="s">
        <v>23</v>
      </c>
      <c r="QVF2" s="429"/>
      <c r="QVG2" s="429"/>
      <c r="QVH2" s="429"/>
      <c r="QVI2" s="428" t="s">
        <v>23</v>
      </c>
      <c r="QVJ2" s="429"/>
      <c r="QVK2" s="429"/>
      <c r="QVL2" s="429"/>
      <c r="QVM2" s="428" t="s">
        <v>23</v>
      </c>
      <c r="QVN2" s="429"/>
      <c r="QVO2" s="429"/>
      <c r="QVP2" s="429"/>
      <c r="QVQ2" s="428" t="s">
        <v>23</v>
      </c>
      <c r="QVR2" s="429"/>
      <c r="QVS2" s="429"/>
      <c r="QVT2" s="429"/>
      <c r="QVU2" s="428" t="s">
        <v>23</v>
      </c>
      <c r="QVV2" s="429"/>
      <c r="QVW2" s="429"/>
      <c r="QVX2" s="429"/>
      <c r="QVY2" s="428" t="s">
        <v>23</v>
      </c>
      <c r="QVZ2" s="429"/>
      <c r="QWA2" s="429"/>
      <c r="QWB2" s="429"/>
      <c r="QWC2" s="428" t="s">
        <v>23</v>
      </c>
      <c r="QWD2" s="429"/>
      <c r="QWE2" s="429"/>
      <c r="QWF2" s="429"/>
      <c r="QWG2" s="428" t="s">
        <v>23</v>
      </c>
      <c r="QWH2" s="429"/>
      <c r="QWI2" s="429"/>
      <c r="QWJ2" s="429"/>
      <c r="QWK2" s="428" t="s">
        <v>23</v>
      </c>
      <c r="QWL2" s="429"/>
      <c r="QWM2" s="429"/>
      <c r="QWN2" s="429"/>
      <c r="QWO2" s="428" t="s">
        <v>23</v>
      </c>
      <c r="QWP2" s="429"/>
      <c r="QWQ2" s="429"/>
      <c r="QWR2" s="429"/>
      <c r="QWS2" s="428" t="s">
        <v>23</v>
      </c>
      <c r="QWT2" s="429"/>
      <c r="QWU2" s="429"/>
      <c r="QWV2" s="429"/>
      <c r="QWW2" s="428" t="s">
        <v>23</v>
      </c>
      <c r="QWX2" s="429"/>
      <c r="QWY2" s="429"/>
      <c r="QWZ2" s="429"/>
      <c r="QXA2" s="428" t="s">
        <v>23</v>
      </c>
      <c r="QXB2" s="429"/>
      <c r="QXC2" s="429"/>
      <c r="QXD2" s="429"/>
      <c r="QXE2" s="428" t="s">
        <v>23</v>
      </c>
      <c r="QXF2" s="429"/>
      <c r="QXG2" s="429"/>
      <c r="QXH2" s="429"/>
      <c r="QXI2" s="428" t="s">
        <v>23</v>
      </c>
      <c r="QXJ2" s="429"/>
      <c r="QXK2" s="429"/>
      <c r="QXL2" s="429"/>
      <c r="QXM2" s="428" t="s">
        <v>23</v>
      </c>
      <c r="QXN2" s="429"/>
      <c r="QXO2" s="429"/>
      <c r="QXP2" s="429"/>
      <c r="QXQ2" s="428" t="s">
        <v>23</v>
      </c>
      <c r="QXR2" s="429"/>
      <c r="QXS2" s="429"/>
      <c r="QXT2" s="429"/>
      <c r="QXU2" s="428" t="s">
        <v>23</v>
      </c>
      <c r="QXV2" s="429"/>
      <c r="QXW2" s="429"/>
      <c r="QXX2" s="429"/>
      <c r="QXY2" s="428" t="s">
        <v>23</v>
      </c>
      <c r="QXZ2" s="429"/>
      <c r="QYA2" s="429"/>
      <c r="QYB2" s="429"/>
      <c r="QYC2" s="428" t="s">
        <v>23</v>
      </c>
      <c r="QYD2" s="429"/>
      <c r="QYE2" s="429"/>
      <c r="QYF2" s="429"/>
      <c r="QYG2" s="428" t="s">
        <v>23</v>
      </c>
      <c r="QYH2" s="429"/>
      <c r="QYI2" s="429"/>
      <c r="QYJ2" s="429"/>
      <c r="QYK2" s="428" t="s">
        <v>23</v>
      </c>
      <c r="QYL2" s="429"/>
      <c r="QYM2" s="429"/>
      <c r="QYN2" s="429"/>
      <c r="QYO2" s="428" t="s">
        <v>23</v>
      </c>
      <c r="QYP2" s="429"/>
      <c r="QYQ2" s="429"/>
      <c r="QYR2" s="429"/>
      <c r="QYS2" s="428" t="s">
        <v>23</v>
      </c>
      <c r="QYT2" s="429"/>
      <c r="QYU2" s="429"/>
      <c r="QYV2" s="429"/>
      <c r="QYW2" s="428" t="s">
        <v>23</v>
      </c>
      <c r="QYX2" s="429"/>
      <c r="QYY2" s="429"/>
      <c r="QYZ2" s="429"/>
      <c r="QZA2" s="428" t="s">
        <v>23</v>
      </c>
      <c r="QZB2" s="429"/>
      <c r="QZC2" s="429"/>
      <c r="QZD2" s="429"/>
      <c r="QZE2" s="428" t="s">
        <v>23</v>
      </c>
      <c r="QZF2" s="429"/>
      <c r="QZG2" s="429"/>
      <c r="QZH2" s="429"/>
      <c r="QZI2" s="428" t="s">
        <v>23</v>
      </c>
      <c r="QZJ2" s="429"/>
      <c r="QZK2" s="429"/>
      <c r="QZL2" s="429"/>
      <c r="QZM2" s="428" t="s">
        <v>23</v>
      </c>
      <c r="QZN2" s="429"/>
      <c r="QZO2" s="429"/>
      <c r="QZP2" s="429"/>
      <c r="QZQ2" s="428" t="s">
        <v>23</v>
      </c>
      <c r="QZR2" s="429"/>
      <c r="QZS2" s="429"/>
      <c r="QZT2" s="429"/>
      <c r="QZU2" s="428" t="s">
        <v>23</v>
      </c>
      <c r="QZV2" s="429"/>
      <c r="QZW2" s="429"/>
      <c r="QZX2" s="429"/>
      <c r="QZY2" s="428" t="s">
        <v>23</v>
      </c>
      <c r="QZZ2" s="429"/>
      <c r="RAA2" s="429"/>
      <c r="RAB2" s="429"/>
      <c r="RAC2" s="428" t="s">
        <v>23</v>
      </c>
      <c r="RAD2" s="429"/>
      <c r="RAE2" s="429"/>
      <c r="RAF2" s="429"/>
      <c r="RAG2" s="428" t="s">
        <v>23</v>
      </c>
      <c r="RAH2" s="429"/>
      <c r="RAI2" s="429"/>
      <c r="RAJ2" s="429"/>
      <c r="RAK2" s="428" t="s">
        <v>23</v>
      </c>
      <c r="RAL2" s="429"/>
      <c r="RAM2" s="429"/>
      <c r="RAN2" s="429"/>
      <c r="RAO2" s="428" t="s">
        <v>23</v>
      </c>
      <c r="RAP2" s="429"/>
      <c r="RAQ2" s="429"/>
      <c r="RAR2" s="429"/>
      <c r="RAS2" s="428" t="s">
        <v>23</v>
      </c>
      <c r="RAT2" s="429"/>
      <c r="RAU2" s="429"/>
      <c r="RAV2" s="429"/>
      <c r="RAW2" s="428" t="s">
        <v>23</v>
      </c>
      <c r="RAX2" s="429"/>
      <c r="RAY2" s="429"/>
      <c r="RAZ2" s="429"/>
      <c r="RBA2" s="428" t="s">
        <v>23</v>
      </c>
      <c r="RBB2" s="429"/>
      <c r="RBC2" s="429"/>
      <c r="RBD2" s="429"/>
      <c r="RBE2" s="428" t="s">
        <v>23</v>
      </c>
      <c r="RBF2" s="429"/>
      <c r="RBG2" s="429"/>
      <c r="RBH2" s="429"/>
      <c r="RBI2" s="428" t="s">
        <v>23</v>
      </c>
      <c r="RBJ2" s="429"/>
      <c r="RBK2" s="429"/>
      <c r="RBL2" s="429"/>
      <c r="RBM2" s="428" t="s">
        <v>23</v>
      </c>
      <c r="RBN2" s="429"/>
      <c r="RBO2" s="429"/>
      <c r="RBP2" s="429"/>
      <c r="RBQ2" s="428" t="s">
        <v>23</v>
      </c>
      <c r="RBR2" s="429"/>
      <c r="RBS2" s="429"/>
      <c r="RBT2" s="429"/>
      <c r="RBU2" s="428" t="s">
        <v>23</v>
      </c>
      <c r="RBV2" s="429"/>
      <c r="RBW2" s="429"/>
      <c r="RBX2" s="429"/>
      <c r="RBY2" s="428" t="s">
        <v>23</v>
      </c>
      <c r="RBZ2" s="429"/>
      <c r="RCA2" s="429"/>
      <c r="RCB2" s="429"/>
      <c r="RCC2" s="428" t="s">
        <v>23</v>
      </c>
      <c r="RCD2" s="429"/>
      <c r="RCE2" s="429"/>
      <c r="RCF2" s="429"/>
      <c r="RCG2" s="428" t="s">
        <v>23</v>
      </c>
      <c r="RCH2" s="429"/>
      <c r="RCI2" s="429"/>
      <c r="RCJ2" s="429"/>
      <c r="RCK2" s="428" t="s">
        <v>23</v>
      </c>
      <c r="RCL2" s="429"/>
      <c r="RCM2" s="429"/>
      <c r="RCN2" s="429"/>
      <c r="RCO2" s="428" t="s">
        <v>23</v>
      </c>
      <c r="RCP2" s="429"/>
      <c r="RCQ2" s="429"/>
      <c r="RCR2" s="429"/>
      <c r="RCS2" s="428" t="s">
        <v>23</v>
      </c>
      <c r="RCT2" s="429"/>
      <c r="RCU2" s="429"/>
      <c r="RCV2" s="429"/>
      <c r="RCW2" s="428" t="s">
        <v>23</v>
      </c>
      <c r="RCX2" s="429"/>
      <c r="RCY2" s="429"/>
      <c r="RCZ2" s="429"/>
      <c r="RDA2" s="428" t="s">
        <v>23</v>
      </c>
      <c r="RDB2" s="429"/>
      <c r="RDC2" s="429"/>
      <c r="RDD2" s="429"/>
      <c r="RDE2" s="428" t="s">
        <v>23</v>
      </c>
      <c r="RDF2" s="429"/>
      <c r="RDG2" s="429"/>
      <c r="RDH2" s="429"/>
      <c r="RDI2" s="428" t="s">
        <v>23</v>
      </c>
      <c r="RDJ2" s="429"/>
      <c r="RDK2" s="429"/>
      <c r="RDL2" s="429"/>
      <c r="RDM2" s="428" t="s">
        <v>23</v>
      </c>
      <c r="RDN2" s="429"/>
      <c r="RDO2" s="429"/>
      <c r="RDP2" s="429"/>
      <c r="RDQ2" s="428" t="s">
        <v>23</v>
      </c>
      <c r="RDR2" s="429"/>
      <c r="RDS2" s="429"/>
      <c r="RDT2" s="429"/>
      <c r="RDU2" s="428" t="s">
        <v>23</v>
      </c>
      <c r="RDV2" s="429"/>
      <c r="RDW2" s="429"/>
      <c r="RDX2" s="429"/>
      <c r="RDY2" s="428" t="s">
        <v>23</v>
      </c>
      <c r="RDZ2" s="429"/>
      <c r="REA2" s="429"/>
      <c r="REB2" s="429"/>
      <c r="REC2" s="428" t="s">
        <v>23</v>
      </c>
      <c r="RED2" s="429"/>
      <c r="REE2" s="429"/>
      <c r="REF2" s="429"/>
      <c r="REG2" s="428" t="s">
        <v>23</v>
      </c>
      <c r="REH2" s="429"/>
      <c r="REI2" s="429"/>
      <c r="REJ2" s="429"/>
      <c r="REK2" s="428" t="s">
        <v>23</v>
      </c>
      <c r="REL2" s="429"/>
      <c r="REM2" s="429"/>
      <c r="REN2" s="429"/>
      <c r="REO2" s="428" t="s">
        <v>23</v>
      </c>
      <c r="REP2" s="429"/>
      <c r="REQ2" s="429"/>
      <c r="RER2" s="429"/>
      <c r="RES2" s="428" t="s">
        <v>23</v>
      </c>
      <c r="RET2" s="429"/>
      <c r="REU2" s="429"/>
      <c r="REV2" s="429"/>
      <c r="REW2" s="428" t="s">
        <v>23</v>
      </c>
      <c r="REX2" s="429"/>
      <c r="REY2" s="429"/>
      <c r="REZ2" s="429"/>
      <c r="RFA2" s="428" t="s">
        <v>23</v>
      </c>
      <c r="RFB2" s="429"/>
      <c r="RFC2" s="429"/>
      <c r="RFD2" s="429"/>
      <c r="RFE2" s="428" t="s">
        <v>23</v>
      </c>
      <c r="RFF2" s="429"/>
      <c r="RFG2" s="429"/>
      <c r="RFH2" s="429"/>
      <c r="RFI2" s="428" t="s">
        <v>23</v>
      </c>
      <c r="RFJ2" s="429"/>
      <c r="RFK2" s="429"/>
      <c r="RFL2" s="429"/>
      <c r="RFM2" s="428" t="s">
        <v>23</v>
      </c>
      <c r="RFN2" s="429"/>
      <c r="RFO2" s="429"/>
      <c r="RFP2" s="429"/>
      <c r="RFQ2" s="428" t="s">
        <v>23</v>
      </c>
      <c r="RFR2" s="429"/>
      <c r="RFS2" s="429"/>
      <c r="RFT2" s="429"/>
      <c r="RFU2" s="428" t="s">
        <v>23</v>
      </c>
      <c r="RFV2" s="429"/>
      <c r="RFW2" s="429"/>
      <c r="RFX2" s="429"/>
      <c r="RFY2" s="428" t="s">
        <v>23</v>
      </c>
      <c r="RFZ2" s="429"/>
      <c r="RGA2" s="429"/>
      <c r="RGB2" s="429"/>
      <c r="RGC2" s="428" t="s">
        <v>23</v>
      </c>
      <c r="RGD2" s="429"/>
      <c r="RGE2" s="429"/>
      <c r="RGF2" s="429"/>
      <c r="RGG2" s="428" t="s">
        <v>23</v>
      </c>
      <c r="RGH2" s="429"/>
      <c r="RGI2" s="429"/>
      <c r="RGJ2" s="429"/>
      <c r="RGK2" s="428" t="s">
        <v>23</v>
      </c>
      <c r="RGL2" s="429"/>
      <c r="RGM2" s="429"/>
      <c r="RGN2" s="429"/>
      <c r="RGO2" s="428" t="s">
        <v>23</v>
      </c>
      <c r="RGP2" s="429"/>
      <c r="RGQ2" s="429"/>
      <c r="RGR2" s="429"/>
      <c r="RGS2" s="428" t="s">
        <v>23</v>
      </c>
      <c r="RGT2" s="429"/>
      <c r="RGU2" s="429"/>
      <c r="RGV2" s="429"/>
      <c r="RGW2" s="428" t="s">
        <v>23</v>
      </c>
      <c r="RGX2" s="429"/>
      <c r="RGY2" s="429"/>
      <c r="RGZ2" s="429"/>
      <c r="RHA2" s="428" t="s">
        <v>23</v>
      </c>
      <c r="RHB2" s="429"/>
      <c r="RHC2" s="429"/>
      <c r="RHD2" s="429"/>
      <c r="RHE2" s="428" t="s">
        <v>23</v>
      </c>
      <c r="RHF2" s="429"/>
      <c r="RHG2" s="429"/>
      <c r="RHH2" s="429"/>
      <c r="RHI2" s="428" t="s">
        <v>23</v>
      </c>
      <c r="RHJ2" s="429"/>
      <c r="RHK2" s="429"/>
      <c r="RHL2" s="429"/>
      <c r="RHM2" s="428" t="s">
        <v>23</v>
      </c>
      <c r="RHN2" s="429"/>
      <c r="RHO2" s="429"/>
      <c r="RHP2" s="429"/>
      <c r="RHQ2" s="428" t="s">
        <v>23</v>
      </c>
      <c r="RHR2" s="429"/>
      <c r="RHS2" s="429"/>
      <c r="RHT2" s="429"/>
      <c r="RHU2" s="428" t="s">
        <v>23</v>
      </c>
      <c r="RHV2" s="429"/>
      <c r="RHW2" s="429"/>
      <c r="RHX2" s="429"/>
      <c r="RHY2" s="428" t="s">
        <v>23</v>
      </c>
      <c r="RHZ2" s="429"/>
      <c r="RIA2" s="429"/>
      <c r="RIB2" s="429"/>
      <c r="RIC2" s="428" t="s">
        <v>23</v>
      </c>
      <c r="RID2" s="429"/>
      <c r="RIE2" s="429"/>
      <c r="RIF2" s="429"/>
      <c r="RIG2" s="428" t="s">
        <v>23</v>
      </c>
      <c r="RIH2" s="429"/>
      <c r="RII2" s="429"/>
      <c r="RIJ2" s="429"/>
      <c r="RIK2" s="428" t="s">
        <v>23</v>
      </c>
      <c r="RIL2" s="429"/>
      <c r="RIM2" s="429"/>
      <c r="RIN2" s="429"/>
      <c r="RIO2" s="428" t="s">
        <v>23</v>
      </c>
      <c r="RIP2" s="429"/>
      <c r="RIQ2" s="429"/>
      <c r="RIR2" s="429"/>
      <c r="RIS2" s="428" t="s">
        <v>23</v>
      </c>
      <c r="RIT2" s="429"/>
      <c r="RIU2" s="429"/>
      <c r="RIV2" s="429"/>
      <c r="RIW2" s="428" t="s">
        <v>23</v>
      </c>
      <c r="RIX2" s="429"/>
      <c r="RIY2" s="429"/>
      <c r="RIZ2" s="429"/>
      <c r="RJA2" s="428" t="s">
        <v>23</v>
      </c>
      <c r="RJB2" s="429"/>
      <c r="RJC2" s="429"/>
      <c r="RJD2" s="429"/>
      <c r="RJE2" s="428" t="s">
        <v>23</v>
      </c>
      <c r="RJF2" s="429"/>
      <c r="RJG2" s="429"/>
      <c r="RJH2" s="429"/>
      <c r="RJI2" s="428" t="s">
        <v>23</v>
      </c>
      <c r="RJJ2" s="429"/>
      <c r="RJK2" s="429"/>
      <c r="RJL2" s="429"/>
      <c r="RJM2" s="428" t="s">
        <v>23</v>
      </c>
      <c r="RJN2" s="429"/>
      <c r="RJO2" s="429"/>
      <c r="RJP2" s="429"/>
      <c r="RJQ2" s="428" t="s">
        <v>23</v>
      </c>
      <c r="RJR2" s="429"/>
      <c r="RJS2" s="429"/>
      <c r="RJT2" s="429"/>
      <c r="RJU2" s="428" t="s">
        <v>23</v>
      </c>
      <c r="RJV2" s="429"/>
      <c r="RJW2" s="429"/>
      <c r="RJX2" s="429"/>
      <c r="RJY2" s="428" t="s">
        <v>23</v>
      </c>
      <c r="RJZ2" s="429"/>
      <c r="RKA2" s="429"/>
      <c r="RKB2" s="429"/>
      <c r="RKC2" s="428" t="s">
        <v>23</v>
      </c>
      <c r="RKD2" s="429"/>
      <c r="RKE2" s="429"/>
      <c r="RKF2" s="429"/>
      <c r="RKG2" s="428" t="s">
        <v>23</v>
      </c>
      <c r="RKH2" s="429"/>
      <c r="RKI2" s="429"/>
      <c r="RKJ2" s="429"/>
      <c r="RKK2" s="428" t="s">
        <v>23</v>
      </c>
      <c r="RKL2" s="429"/>
      <c r="RKM2" s="429"/>
      <c r="RKN2" s="429"/>
      <c r="RKO2" s="428" t="s">
        <v>23</v>
      </c>
      <c r="RKP2" s="429"/>
      <c r="RKQ2" s="429"/>
      <c r="RKR2" s="429"/>
      <c r="RKS2" s="428" t="s">
        <v>23</v>
      </c>
      <c r="RKT2" s="429"/>
      <c r="RKU2" s="429"/>
      <c r="RKV2" s="429"/>
      <c r="RKW2" s="428" t="s">
        <v>23</v>
      </c>
      <c r="RKX2" s="429"/>
      <c r="RKY2" s="429"/>
      <c r="RKZ2" s="429"/>
      <c r="RLA2" s="428" t="s">
        <v>23</v>
      </c>
      <c r="RLB2" s="429"/>
      <c r="RLC2" s="429"/>
      <c r="RLD2" s="429"/>
      <c r="RLE2" s="428" t="s">
        <v>23</v>
      </c>
      <c r="RLF2" s="429"/>
      <c r="RLG2" s="429"/>
      <c r="RLH2" s="429"/>
      <c r="RLI2" s="428" t="s">
        <v>23</v>
      </c>
      <c r="RLJ2" s="429"/>
      <c r="RLK2" s="429"/>
      <c r="RLL2" s="429"/>
      <c r="RLM2" s="428" t="s">
        <v>23</v>
      </c>
      <c r="RLN2" s="429"/>
      <c r="RLO2" s="429"/>
      <c r="RLP2" s="429"/>
      <c r="RLQ2" s="428" t="s">
        <v>23</v>
      </c>
      <c r="RLR2" s="429"/>
      <c r="RLS2" s="429"/>
      <c r="RLT2" s="429"/>
      <c r="RLU2" s="428" t="s">
        <v>23</v>
      </c>
      <c r="RLV2" s="429"/>
      <c r="RLW2" s="429"/>
      <c r="RLX2" s="429"/>
      <c r="RLY2" s="428" t="s">
        <v>23</v>
      </c>
      <c r="RLZ2" s="429"/>
      <c r="RMA2" s="429"/>
      <c r="RMB2" s="429"/>
      <c r="RMC2" s="428" t="s">
        <v>23</v>
      </c>
      <c r="RMD2" s="429"/>
      <c r="RME2" s="429"/>
      <c r="RMF2" s="429"/>
      <c r="RMG2" s="428" t="s">
        <v>23</v>
      </c>
      <c r="RMH2" s="429"/>
      <c r="RMI2" s="429"/>
      <c r="RMJ2" s="429"/>
      <c r="RMK2" s="428" t="s">
        <v>23</v>
      </c>
      <c r="RML2" s="429"/>
      <c r="RMM2" s="429"/>
      <c r="RMN2" s="429"/>
      <c r="RMO2" s="428" t="s">
        <v>23</v>
      </c>
      <c r="RMP2" s="429"/>
      <c r="RMQ2" s="429"/>
      <c r="RMR2" s="429"/>
      <c r="RMS2" s="428" t="s">
        <v>23</v>
      </c>
      <c r="RMT2" s="429"/>
      <c r="RMU2" s="429"/>
      <c r="RMV2" s="429"/>
      <c r="RMW2" s="428" t="s">
        <v>23</v>
      </c>
      <c r="RMX2" s="429"/>
      <c r="RMY2" s="429"/>
      <c r="RMZ2" s="429"/>
      <c r="RNA2" s="428" t="s">
        <v>23</v>
      </c>
      <c r="RNB2" s="429"/>
      <c r="RNC2" s="429"/>
      <c r="RND2" s="429"/>
      <c r="RNE2" s="428" t="s">
        <v>23</v>
      </c>
      <c r="RNF2" s="429"/>
      <c r="RNG2" s="429"/>
      <c r="RNH2" s="429"/>
      <c r="RNI2" s="428" t="s">
        <v>23</v>
      </c>
      <c r="RNJ2" s="429"/>
      <c r="RNK2" s="429"/>
      <c r="RNL2" s="429"/>
      <c r="RNM2" s="428" t="s">
        <v>23</v>
      </c>
      <c r="RNN2" s="429"/>
      <c r="RNO2" s="429"/>
      <c r="RNP2" s="429"/>
      <c r="RNQ2" s="428" t="s">
        <v>23</v>
      </c>
      <c r="RNR2" s="429"/>
      <c r="RNS2" s="429"/>
      <c r="RNT2" s="429"/>
      <c r="RNU2" s="428" t="s">
        <v>23</v>
      </c>
      <c r="RNV2" s="429"/>
      <c r="RNW2" s="429"/>
      <c r="RNX2" s="429"/>
      <c r="RNY2" s="428" t="s">
        <v>23</v>
      </c>
      <c r="RNZ2" s="429"/>
      <c r="ROA2" s="429"/>
      <c r="ROB2" s="429"/>
      <c r="ROC2" s="428" t="s">
        <v>23</v>
      </c>
      <c r="ROD2" s="429"/>
      <c r="ROE2" s="429"/>
      <c r="ROF2" s="429"/>
      <c r="ROG2" s="428" t="s">
        <v>23</v>
      </c>
      <c r="ROH2" s="429"/>
      <c r="ROI2" s="429"/>
      <c r="ROJ2" s="429"/>
      <c r="ROK2" s="428" t="s">
        <v>23</v>
      </c>
      <c r="ROL2" s="429"/>
      <c r="ROM2" s="429"/>
      <c r="RON2" s="429"/>
      <c r="ROO2" s="428" t="s">
        <v>23</v>
      </c>
      <c r="ROP2" s="429"/>
      <c r="ROQ2" s="429"/>
      <c r="ROR2" s="429"/>
      <c r="ROS2" s="428" t="s">
        <v>23</v>
      </c>
      <c r="ROT2" s="429"/>
      <c r="ROU2" s="429"/>
      <c r="ROV2" s="429"/>
      <c r="ROW2" s="428" t="s">
        <v>23</v>
      </c>
      <c r="ROX2" s="429"/>
      <c r="ROY2" s="429"/>
      <c r="ROZ2" s="429"/>
      <c r="RPA2" s="428" t="s">
        <v>23</v>
      </c>
      <c r="RPB2" s="429"/>
      <c r="RPC2" s="429"/>
      <c r="RPD2" s="429"/>
      <c r="RPE2" s="428" t="s">
        <v>23</v>
      </c>
      <c r="RPF2" s="429"/>
      <c r="RPG2" s="429"/>
      <c r="RPH2" s="429"/>
      <c r="RPI2" s="428" t="s">
        <v>23</v>
      </c>
      <c r="RPJ2" s="429"/>
      <c r="RPK2" s="429"/>
      <c r="RPL2" s="429"/>
      <c r="RPM2" s="428" t="s">
        <v>23</v>
      </c>
      <c r="RPN2" s="429"/>
      <c r="RPO2" s="429"/>
      <c r="RPP2" s="429"/>
      <c r="RPQ2" s="428" t="s">
        <v>23</v>
      </c>
      <c r="RPR2" s="429"/>
      <c r="RPS2" s="429"/>
      <c r="RPT2" s="429"/>
      <c r="RPU2" s="428" t="s">
        <v>23</v>
      </c>
      <c r="RPV2" s="429"/>
      <c r="RPW2" s="429"/>
      <c r="RPX2" s="429"/>
      <c r="RPY2" s="428" t="s">
        <v>23</v>
      </c>
      <c r="RPZ2" s="429"/>
      <c r="RQA2" s="429"/>
      <c r="RQB2" s="429"/>
      <c r="RQC2" s="428" t="s">
        <v>23</v>
      </c>
      <c r="RQD2" s="429"/>
      <c r="RQE2" s="429"/>
      <c r="RQF2" s="429"/>
      <c r="RQG2" s="428" t="s">
        <v>23</v>
      </c>
      <c r="RQH2" s="429"/>
      <c r="RQI2" s="429"/>
      <c r="RQJ2" s="429"/>
      <c r="RQK2" s="428" t="s">
        <v>23</v>
      </c>
      <c r="RQL2" s="429"/>
      <c r="RQM2" s="429"/>
      <c r="RQN2" s="429"/>
      <c r="RQO2" s="428" t="s">
        <v>23</v>
      </c>
      <c r="RQP2" s="429"/>
      <c r="RQQ2" s="429"/>
      <c r="RQR2" s="429"/>
      <c r="RQS2" s="428" t="s">
        <v>23</v>
      </c>
      <c r="RQT2" s="429"/>
      <c r="RQU2" s="429"/>
      <c r="RQV2" s="429"/>
      <c r="RQW2" s="428" t="s">
        <v>23</v>
      </c>
      <c r="RQX2" s="429"/>
      <c r="RQY2" s="429"/>
      <c r="RQZ2" s="429"/>
      <c r="RRA2" s="428" t="s">
        <v>23</v>
      </c>
      <c r="RRB2" s="429"/>
      <c r="RRC2" s="429"/>
      <c r="RRD2" s="429"/>
      <c r="RRE2" s="428" t="s">
        <v>23</v>
      </c>
      <c r="RRF2" s="429"/>
      <c r="RRG2" s="429"/>
      <c r="RRH2" s="429"/>
      <c r="RRI2" s="428" t="s">
        <v>23</v>
      </c>
      <c r="RRJ2" s="429"/>
      <c r="RRK2" s="429"/>
      <c r="RRL2" s="429"/>
      <c r="RRM2" s="428" t="s">
        <v>23</v>
      </c>
      <c r="RRN2" s="429"/>
      <c r="RRO2" s="429"/>
      <c r="RRP2" s="429"/>
      <c r="RRQ2" s="428" t="s">
        <v>23</v>
      </c>
      <c r="RRR2" s="429"/>
      <c r="RRS2" s="429"/>
      <c r="RRT2" s="429"/>
      <c r="RRU2" s="428" t="s">
        <v>23</v>
      </c>
      <c r="RRV2" s="429"/>
      <c r="RRW2" s="429"/>
      <c r="RRX2" s="429"/>
      <c r="RRY2" s="428" t="s">
        <v>23</v>
      </c>
      <c r="RRZ2" s="429"/>
      <c r="RSA2" s="429"/>
      <c r="RSB2" s="429"/>
      <c r="RSC2" s="428" t="s">
        <v>23</v>
      </c>
      <c r="RSD2" s="429"/>
      <c r="RSE2" s="429"/>
      <c r="RSF2" s="429"/>
      <c r="RSG2" s="428" t="s">
        <v>23</v>
      </c>
      <c r="RSH2" s="429"/>
      <c r="RSI2" s="429"/>
      <c r="RSJ2" s="429"/>
      <c r="RSK2" s="428" t="s">
        <v>23</v>
      </c>
      <c r="RSL2" s="429"/>
      <c r="RSM2" s="429"/>
      <c r="RSN2" s="429"/>
      <c r="RSO2" s="428" t="s">
        <v>23</v>
      </c>
      <c r="RSP2" s="429"/>
      <c r="RSQ2" s="429"/>
      <c r="RSR2" s="429"/>
      <c r="RSS2" s="428" t="s">
        <v>23</v>
      </c>
      <c r="RST2" s="429"/>
      <c r="RSU2" s="429"/>
      <c r="RSV2" s="429"/>
      <c r="RSW2" s="428" t="s">
        <v>23</v>
      </c>
      <c r="RSX2" s="429"/>
      <c r="RSY2" s="429"/>
      <c r="RSZ2" s="429"/>
      <c r="RTA2" s="428" t="s">
        <v>23</v>
      </c>
      <c r="RTB2" s="429"/>
      <c r="RTC2" s="429"/>
      <c r="RTD2" s="429"/>
      <c r="RTE2" s="428" t="s">
        <v>23</v>
      </c>
      <c r="RTF2" s="429"/>
      <c r="RTG2" s="429"/>
      <c r="RTH2" s="429"/>
      <c r="RTI2" s="428" t="s">
        <v>23</v>
      </c>
      <c r="RTJ2" s="429"/>
      <c r="RTK2" s="429"/>
      <c r="RTL2" s="429"/>
      <c r="RTM2" s="428" t="s">
        <v>23</v>
      </c>
      <c r="RTN2" s="429"/>
      <c r="RTO2" s="429"/>
      <c r="RTP2" s="429"/>
      <c r="RTQ2" s="428" t="s">
        <v>23</v>
      </c>
      <c r="RTR2" s="429"/>
      <c r="RTS2" s="429"/>
      <c r="RTT2" s="429"/>
      <c r="RTU2" s="428" t="s">
        <v>23</v>
      </c>
      <c r="RTV2" s="429"/>
      <c r="RTW2" s="429"/>
      <c r="RTX2" s="429"/>
      <c r="RTY2" s="428" t="s">
        <v>23</v>
      </c>
      <c r="RTZ2" s="429"/>
      <c r="RUA2" s="429"/>
      <c r="RUB2" s="429"/>
      <c r="RUC2" s="428" t="s">
        <v>23</v>
      </c>
      <c r="RUD2" s="429"/>
      <c r="RUE2" s="429"/>
      <c r="RUF2" s="429"/>
      <c r="RUG2" s="428" t="s">
        <v>23</v>
      </c>
      <c r="RUH2" s="429"/>
      <c r="RUI2" s="429"/>
      <c r="RUJ2" s="429"/>
      <c r="RUK2" s="428" t="s">
        <v>23</v>
      </c>
      <c r="RUL2" s="429"/>
      <c r="RUM2" s="429"/>
      <c r="RUN2" s="429"/>
      <c r="RUO2" s="428" t="s">
        <v>23</v>
      </c>
      <c r="RUP2" s="429"/>
      <c r="RUQ2" s="429"/>
      <c r="RUR2" s="429"/>
      <c r="RUS2" s="428" t="s">
        <v>23</v>
      </c>
      <c r="RUT2" s="429"/>
      <c r="RUU2" s="429"/>
      <c r="RUV2" s="429"/>
      <c r="RUW2" s="428" t="s">
        <v>23</v>
      </c>
      <c r="RUX2" s="429"/>
      <c r="RUY2" s="429"/>
      <c r="RUZ2" s="429"/>
      <c r="RVA2" s="428" t="s">
        <v>23</v>
      </c>
      <c r="RVB2" s="429"/>
      <c r="RVC2" s="429"/>
      <c r="RVD2" s="429"/>
      <c r="RVE2" s="428" t="s">
        <v>23</v>
      </c>
      <c r="RVF2" s="429"/>
      <c r="RVG2" s="429"/>
      <c r="RVH2" s="429"/>
      <c r="RVI2" s="428" t="s">
        <v>23</v>
      </c>
      <c r="RVJ2" s="429"/>
      <c r="RVK2" s="429"/>
      <c r="RVL2" s="429"/>
      <c r="RVM2" s="428" t="s">
        <v>23</v>
      </c>
      <c r="RVN2" s="429"/>
      <c r="RVO2" s="429"/>
      <c r="RVP2" s="429"/>
      <c r="RVQ2" s="428" t="s">
        <v>23</v>
      </c>
      <c r="RVR2" s="429"/>
      <c r="RVS2" s="429"/>
      <c r="RVT2" s="429"/>
      <c r="RVU2" s="428" t="s">
        <v>23</v>
      </c>
      <c r="RVV2" s="429"/>
      <c r="RVW2" s="429"/>
      <c r="RVX2" s="429"/>
      <c r="RVY2" s="428" t="s">
        <v>23</v>
      </c>
      <c r="RVZ2" s="429"/>
      <c r="RWA2" s="429"/>
      <c r="RWB2" s="429"/>
      <c r="RWC2" s="428" t="s">
        <v>23</v>
      </c>
      <c r="RWD2" s="429"/>
      <c r="RWE2" s="429"/>
      <c r="RWF2" s="429"/>
      <c r="RWG2" s="428" t="s">
        <v>23</v>
      </c>
      <c r="RWH2" s="429"/>
      <c r="RWI2" s="429"/>
      <c r="RWJ2" s="429"/>
      <c r="RWK2" s="428" t="s">
        <v>23</v>
      </c>
      <c r="RWL2" s="429"/>
      <c r="RWM2" s="429"/>
      <c r="RWN2" s="429"/>
      <c r="RWO2" s="428" t="s">
        <v>23</v>
      </c>
      <c r="RWP2" s="429"/>
      <c r="RWQ2" s="429"/>
      <c r="RWR2" s="429"/>
      <c r="RWS2" s="428" t="s">
        <v>23</v>
      </c>
      <c r="RWT2" s="429"/>
      <c r="RWU2" s="429"/>
      <c r="RWV2" s="429"/>
      <c r="RWW2" s="428" t="s">
        <v>23</v>
      </c>
      <c r="RWX2" s="429"/>
      <c r="RWY2" s="429"/>
      <c r="RWZ2" s="429"/>
      <c r="RXA2" s="428" t="s">
        <v>23</v>
      </c>
      <c r="RXB2" s="429"/>
      <c r="RXC2" s="429"/>
      <c r="RXD2" s="429"/>
      <c r="RXE2" s="428" t="s">
        <v>23</v>
      </c>
      <c r="RXF2" s="429"/>
      <c r="RXG2" s="429"/>
      <c r="RXH2" s="429"/>
      <c r="RXI2" s="428" t="s">
        <v>23</v>
      </c>
      <c r="RXJ2" s="429"/>
      <c r="RXK2" s="429"/>
      <c r="RXL2" s="429"/>
      <c r="RXM2" s="428" t="s">
        <v>23</v>
      </c>
      <c r="RXN2" s="429"/>
      <c r="RXO2" s="429"/>
      <c r="RXP2" s="429"/>
      <c r="RXQ2" s="428" t="s">
        <v>23</v>
      </c>
      <c r="RXR2" s="429"/>
      <c r="RXS2" s="429"/>
      <c r="RXT2" s="429"/>
      <c r="RXU2" s="428" t="s">
        <v>23</v>
      </c>
      <c r="RXV2" s="429"/>
      <c r="RXW2" s="429"/>
      <c r="RXX2" s="429"/>
      <c r="RXY2" s="428" t="s">
        <v>23</v>
      </c>
      <c r="RXZ2" s="429"/>
      <c r="RYA2" s="429"/>
      <c r="RYB2" s="429"/>
      <c r="RYC2" s="428" t="s">
        <v>23</v>
      </c>
      <c r="RYD2" s="429"/>
      <c r="RYE2" s="429"/>
      <c r="RYF2" s="429"/>
      <c r="RYG2" s="428" t="s">
        <v>23</v>
      </c>
      <c r="RYH2" s="429"/>
      <c r="RYI2" s="429"/>
      <c r="RYJ2" s="429"/>
      <c r="RYK2" s="428" t="s">
        <v>23</v>
      </c>
      <c r="RYL2" s="429"/>
      <c r="RYM2" s="429"/>
      <c r="RYN2" s="429"/>
      <c r="RYO2" s="428" t="s">
        <v>23</v>
      </c>
      <c r="RYP2" s="429"/>
      <c r="RYQ2" s="429"/>
      <c r="RYR2" s="429"/>
      <c r="RYS2" s="428" t="s">
        <v>23</v>
      </c>
      <c r="RYT2" s="429"/>
      <c r="RYU2" s="429"/>
      <c r="RYV2" s="429"/>
      <c r="RYW2" s="428" t="s">
        <v>23</v>
      </c>
      <c r="RYX2" s="429"/>
      <c r="RYY2" s="429"/>
      <c r="RYZ2" s="429"/>
      <c r="RZA2" s="428" t="s">
        <v>23</v>
      </c>
      <c r="RZB2" s="429"/>
      <c r="RZC2" s="429"/>
      <c r="RZD2" s="429"/>
      <c r="RZE2" s="428" t="s">
        <v>23</v>
      </c>
      <c r="RZF2" s="429"/>
      <c r="RZG2" s="429"/>
      <c r="RZH2" s="429"/>
      <c r="RZI2" s="428" t="s">
        <v>23</v>
      </c>
      <c r="RZJ2" s="429"/>
      <c r="RZK2" s="429"/>
      <c r="RZL2" s="429"/>
      <c r="RZM2" s="428" t="s">
        <v>23</v>
      </c>
      <c r="RZN2" s="429"/>
      <c r="RZO2" s="429"/>
      <c r="RZP2" s="429"/>
      <c r="RZQ2" s="428" t="s">
        <v>23</v>
      </c>
      <c r="RZR2" s="429"/>
      <c r="RZS2" s="429"/>
      <c r="RZT2" s="429"/>
      <c r="RZU2" s="428" t="s">
        <v>23</v>
      </c>
      <c r="RZV2" s="429"/>
      <c r="RZW2" s="429"/>
      <c r="RZX2" s="429"/>
      <c r="RZY2" s="428" t="s">
        <v>23</v>
      </c>
      <c r="RZZ2" s="429"/>
      <c r="SAA2" s="429"/>
      <c r="SAB2" s="429"/>
      <c r="SAC2" s="428" t="s">
        <v>23</v>
      </c>
      <c r="SAD2" s="429"/>
      <c r="SAE2" s="429"/>
      <c r="SAF2" s="429"/>
      <c r="SAG2" s="428" t="s">
        <v>23</v>
      </c>
      <c r="SAH2" s="429"/>
      <c r="SAI2" s="429"/>
      <c r="SAJ2" s="429"/>
      <c r="SAK2" s="428" t="s">
        <v>23</v>
      </c>
      <c r="SAL2" s="429"/>
      <c r="SAM2" s="429"/>
      <c r="SAN2" s="429"/>
      <c r="SAO2" s="428" t="s">
        <v>23</v>
      </c>
      <c r="SAP2" s="429"/>
      <c r="SAQ2" s="429"/>
      <c r="SAR2" s="429"/>
      <c r="SAS2" s="428" t="s">
        <v>23</v>
      </c>
      <c r="SAT2" s="429"/>
      <c r="SAU2" s="429"/>
      <c r="SAV2" s="429"/>
      <c r="SAW2" s="428" t="s">
        <v>23</v>
      </c>
      <c r="SAX2" s="429"/>
      <c r="SAY2" s="429"/>
      <c r="SAZ2" s="429"/>
      <c r="SBA2" s="428" t="s">
        <v>23</v>
      </c>
      <c r="SBB2" s="429"/>
      <c r="SBC2" s="429"/>
      <c r="SBD2" s="429"/>
      <c r="SBE2" s="428" t="s">
        <v>23</v>
      </c>
      <c r="SBF2" s="429"/>
      <c r="SBG2" s="429"/>
      <c r="SBH2" s="429"/>
      <c r="SBI2" s="428" t="s">
        <v>23</v>
      </c>
      <c r="SBJ2" s="429"/>
      <c r="SBK2" s="429"/>
      <c r="SBL2" s="429"/>
      <c r="SBM2" s="428" t="s">
        <v>23</v>
      </c>
      <c r="SBN2" s="429"/>
      <c r="SBO2" s="429"/>
      <c r="SBP2" s="429"/>
      <c r="SBQ2" s="428" t="s">
        <v>23</v>
      </c>
      <c r="SBR2" s="429"/>
      <c r="SBS2" s="429"/>
      <c r="SBT2" s="429"/>
      <c r="SBU2" s="428" t="s">
        <v>23</v>
      </c>
      <c r="SBV2" s="429"/>
      <c r="SBW2" s="429"/>
      <c r="SBX2" s="429"/>
      <c r="SBY2" s="428" t="s">
        <v>23</v>
      </c>
      <c r="SBZ2" s="429"/>
      <c r="SCA2" s="429"/>
      <c r="SCB2" s="429"/>
      <c r="SCC2" s="428" t="s">
        <v>23</v>
      </c>
      <c r="SCD2" s="429"/>
      <c r="SCE2" s="429"/>
      <c r="SCF2" s="429"/>
      <c r="SCG2" s="428" t="s">
        <v>23</v>
      </c>
      <c r="SCH2" s="429"/>
      <c r="SCI2" s="429"/>
      <c r="SCJ2" s="429"/>
      <c r="SCK2" s="428" t="s">
        <v>23</v>
      </c>
      <c r="SCL2" s="429"/>
      <c r="SCM2" s="429"/>
      <c r="SCN2" s="429"/>
      <c r="SCO2" s="428" t="s">
        <v>23</v>
      </c>
      <c r="SCP2" s="429"/>
      <c r="SCQ2" s="429"/>
      <c r="SCR2" s="429"/>
      <c r="SCS2" s="428" t="s">
        <v>23</v>
      </c>
      <c r="SCT2" s="429"/>
      <c r="SCU2" s="429"/>
      <c r="SCV2" s="429"/>
      <c r="SCW2" s="428" t="s">
        <v>23</v>
      </c>
      <c r="SCX2" s="429"/>
      <c r="SCY2" s="429"/>
      <c r="SCZ2" s="429"/>
      <c r="SDA2" s="428" t="s">
        <v>23</v>
      </c>
      <c r="SDB2" s="429"/>
      <c r="SDC2" s="429"/>
      <c r="SDD2" s="429"/>
      <c r="SDE2" s="428" t="s">
        <v>23</v>
      </c>
      <c r="SDF2" s="429"/>
      <c r="SDG2" s="429"/>
      <c r="SDH2" s="429"/>
      <c r="SDI2" s="428" t="s">
        <v>23</v>
      </c>
      <c r="SDJ2" s="429"/>
      <c r="SDK2" s="429"/>
      <c r="SDL2" s="429"/>
      <c r="SDM2" s="428" t="s">
        <v>23</v>
      </c>
      <c r="SDN2" s="429"/>
      <c r="SDO2" s="429"/>
      <c r="SDP2" s="429"/>
      <c r="SDQ2" s="428" t="s">
        <v>23</v>
      </c>
      <c r="SDR2" s="429"/>
      <c r="SDS2" s="429"/>
      <c r="SDT2" s="429"/>
      <c r="SDU2" s="428" t="s">
        <v>23</v>
      </c>
      <c r="SDV2" s="429"/>
      <c r="SDW2" s="429"/>
      <c r="SDX2" s="429"/>
      <c r="SDY2" s="428" t="s">
        <v>23</v>
      </c>
      <c r="SDZ2" s="429"/>
      <c r="SEA2" s="429"/>
      <c r="SEB2" s="429"/>
      <c r="SEC2" s="428" t="s">
        <v>23</v>
      </c>
      <c r="SED2" s="429"/>
      <c r="SEE2" s="429"/>
      <c r="SEF2" s="429"/>
      <c r="SEG2" s="428" t="s">
        <v>23</v>
      </c>
      <c r="SEH2" s="429"/>
      <c r="SEI2" s="429"/>
      <c r="SEJ2" s="429"/>
      <c r="SEK2" s="428" t="s">
        <v>23</v>
      </c>
      <c r="SEL2" s="429"/>
      <c r="SEM2" s="429"/>
      <c r="SEN2" s="429"/>
      <c r="SEO2" s="428" t="s">
        <v>23</v>
      </c>
      <c r="SEP2" s="429"/>
      <c r="SEQ2" s="429"/>
      <c r="SER2" s="429"/>
      <c r="SES2" s="428" t="s">
        <v>23</v>
      </c>
      <c r="SET2" s="429"/>
      <c r="SEU2" s="429"/>
      <c r="SEV2" s="429"/>
      <c r="SEW2" s="428" t="s">
        <v>23</v>
      </c>
      <c r="SEX2" s="429"/>
      <c r="SEY2" s="429"/>
      <c r="SEZ2" s="429"/>
      <c r="SFA2" s="428" t="s">
        <v>23</v>
      </c>
      <c r="SFB2" s="429"/>
      <c r="SFC2" s="429"/>
      <c r="SFD2" s="429"/>
      <c r="SFE2" s="428" t="s">
        <v>23</v>
      </c>
      <c r="SFF2" s="429"/>
      <c r="SFG2" s="429"/>
      <c r="SFH2" s="429"/>
      <c r="SFI2" s="428" t="s">
        <v>23</v>
      </c>
      <c r="SFJ2" s="429"/>
      <c r="SFK2" s="429"/>
      <c r="SFL2" s="429"/>
      <c r="SFM2" s="428" t="s">
        <v>23</v>
      </c>
      <c r="SFN2" s="429"/>
      <c r="SFO2" s="429"/>
      <c r="SFP2" s="429"/>
      <c r="SFQ2" s="428" t="s">
        <v>23</v>
      </c>
      <c r="SFR2" s="429"/>
      <c r="SFS2" s="429"/>
      <c r="SFT2" s="429"/>
      <c r="SFU2" s="428" t="s">
        <v>23</v>
      </c>
      <c r="SFV2" s="429"/>
      <c r="SFW2" s="429"/>
      <c r="SFX2" s="429"/>
      <c r="SFY2" s="428" t="s">
        <v>23</v>
      </c>
      <c r="SFZ2" s="429"/>
      <c r="SGA2" s="429"/>
      <c r="SGB2" s="429"/>
      <c r="SGC2" s="428" t="s">
        <v>23</v>
      </c>
      <c r="SGD2" s="429"/>
      <c r="SGE2" s="429"/>
      <c r="SGF2" s="429"/>
      <c r="SGG2" s="428" t="s">
        <v>23</v>
      </c>
      <c r="SGH2" s="429"/>
      <c r="SGI2" s="429"/>
      <c r="SGJ2" s="429"/>
      <c r="SGK2" s="428" t="s">
        <v>23</v>
      </c>
      <c r="SGL2" s="429"/>
      <c r="SGM2" s="429"/>
      <c r="SGN2" s="429"/>
      <c r="SGO2" s="428" t="s">
        <v>23</v>
      </c>
      <c r="SGP2" s="429"/>
      <c r="SGQ2" s="429"/>
      <c r="SGR2" s="429"/>
      <c r="SGS2" s="428" t="s">
        <v>23</v>
      </c>
      <c r="SGT2" s="429"/>
      <c r="SGU2" s="429"/>
      <c r="SGV2" s="429"/>
      <c r="SGW2" s="428" t="s">
        <v>23</v>
      </c>
      <c r="SGX2" s="429"/>
      <c r="SGY2" s="429"/>
      <c r="SGZ2" s="429"/>
      <c r="SHA2" s="428" t="s">
        <v>23</v>
      </c>
      <c r="SHB2" s="429"/>
      <c r="SHC2" s="429"/>
      <c r="SHD2" s="429"/>
      <c r="SHE2" s="428" t="s">
        <v>23</v>
      </c>
      <c r="SHF2" s="429"/>
      <c r="SHG2" s="429"/>
      <c r="SHH2" s="429"/>
      <c r="SHI2" s="428" t="s">
        <v>23</v>
      </c>
      <c r="SHJ2" s="429"/>
      <c r="SHK2" s="429"/>
      <c r="SHL2" s="429"/>
      <c r="SHM2" s="428" t="s">
        <v>23</v>
      </c>
      <c r="SHN2" s="429"/>
      <c r="SHO2" s="429"/>
      <c r="SHP2" s="429"/>
      <c r="SHQ2" s="428" t="s">
        <v>23</v>
      </c>
      <c r="SHR2" s="429"/>
      <c r="SHS2" s="429"/>
      <c r="SHT2" s="429"/>
      <c r="SHU2" s="428" t="s">
        <v>23</v>
      </c>
      <c r="SHV2" s="429"/>
      <c r="SHW2" s="429"/>
      <c r="SHX2" s="429"/>
      <c r="SHY2" s="428" t="s">
        <v>23</v>
      </c>
      <c r="SHZ2" s="429"/>
      <c r="SIA2" s="429"/>
      <c r="SIB2" s="429"/>
      <c r="SIC2" s="428" t="s">
        <v>23</v>
      </c>
      <c r="SID2" s="429"/>
      <c r="SIE2" s="429"/>
      <c r="SIF2" s="429"/>
      <c r="SIG2" s="428" t="s">
        <v>23</v>
      </c>
      <c r="SIH2" s="429"/>
      <c r="SII2" s="429"/>
      <c r="SIJ2" s="429"/>
      <c r="SIK2" s="428" t="s">
        <v>23</v>
      </c>
      <c r="SIL2" s="429"/>
      <c r="SIM2" s="429"/>
      <c r="SIN2" s="429"/>
      <c r="SIO2" s="428" t="s">
        <v>23</v>
      </c>
      <c r="SIP2" s="429"/>
      <c r="SIQ2" s="429"/>
      <c r="SIR2" s="429"/>
      <c r="SIS2" s="428" t="s">
        <v>23</v>
      </c>
      <c r="SIT2" s="429"/>
      <c r="SIU2" s="429"/>
      <c r="SIV2" s="429"/>
      <c r="SIW2" s="428" t="s">
        <v>23</v>
      </c>
      <c r="SIX2" s="429"/>
      <c r="SIY2" s="429"/>
      <c r="SIZ2" s="429"/>
      <c r="SJA2" s="428" t="s">
        <v>23</v>
      </c>
      <c r="SJB2" s="429"/>
      <c r="SJC2" s="429"/>
      <c r="SJD2" s="429"/>
      <c r="SJE2" s="428" t="s">
        <v>23</v>
      </c>
      <c r="SJF2" s="429"/>
      <c r="SJG2" s="429"/>
      <c r="SJH2" s="429"/>
      <c r="SJI2" s="428" t="s">
        <v>23</v>
      </c>
      <c r="SJJ2" s="429"/>
      <c r="SJK2" s="429"/>
      <c r="SJL2" s="429"/>
      <c r="SJM2" s="428" t="s">
        <v>23</v>
      </c>
      <c r="SJN2" s="429"/>
      <c r="SJO2" s="429"/>
      <c r="SJP2" s="429"/>
      <c r="SJQ2" s="428" t="s">
        <v>23</v>
      </c>
      <c r="SJR2" s="429"/>
      <c r="SJS2" s="429"/>
      <c r="SJT2" s="429"/>
      <c r="SJU2" s="428" t="s">
        <v>23</v>
      </c>
      <c r="SJV2" s="429"/>
      <c r="SJW2" s="429"/>
      <c r="SJX2" s="429"/>
      <c r="SJY2" s="428" t="s">
        <v>23</v>
      </c>
      <c r="SJZ2" s="429"/>
      <c r="SKA2" s="429"/>
      <c r="SKB2" s="429"/>
      <c r="SKC2" s="428" t="s">
        <v>23</v>
      </c>
      <c r="SKD2" s="429"/>
      <c r="SKE2" s="429"/>
      <c r="SKF2" s="429"/>
      <c r="SKG2" s="428" t="s">
        <v>23</v>
      </c>
      <c r="SKH2" s="429"/>
      <c r="SKI2" s="429"/>
      <c r="SKJ2" s="429"/>
      <c r="SKK2" s="428" t="s">
        <v>23</v>
      </c>
      <c r="SKL2" s="429"/>
      <c r="SKM2" s="429"/>
      <c r="SKN2" s="429"/>
      <c r="SKO2" s="428" t="s">
        <v>23</v>
      </c>
      <c r="SKP2" s="429"/>
      <c r="SKQ2" s="429"/>
      <c r="SKR2" s="429"/>
      <c r="SKS2" s="428" t="s">
        <v>23</v>
      </c>
      <c r="SKT2" s="429"/>
      <c r="SKU2" s="429"/>
      <c r="SKV2" s="429"/>
      <c r="SKW2" s="428" t="s">
        <v>23</v>
      </c>
      <c r="SKX2" s="429"/>
      <c r="SKY2" s="429"/>
      <c r="SKZ2" s="429"/>
      <c r="SLA2" s="428" t="s">
        <v>23</v>
      </c>
      <c r="SLB2" s="429"/>
      <c r="SLC2" s="429"/>
      <c r="SLD2" s="429"/>
      <c r="SLE2" s="428" t="s">
        <v>23</v>
      </c>
      <c r="SLF2" s="429"/>
      <c r="SLG2" s="429"/>
      <c r="SLH2" s="429"/>
      <c r="SLI2" s="428" t="s">
        <v>23</v>
      </c>
      <c r="SLJ2" s="429"/>
      <c r="SLK2" s="429"/>
      <c r="SLL2" s="429"/>
      <c r="SLM2" s="428" t="s">
        <v>23</v>
      </c>
      <c r="SLN2" s="429"/>
      <c r="SLO2" s="429"/>
      <c r="SLP2" s="429"/>
      <c r="SLQ2" s="428" t="s">
        <v>23</v>
      </c>
      <c r="SLR2" s="429"/>
      <c r="SLS2" s="429"/>
      <c r="SLT2" s="429"/>
      <c r="SLU2" s="428" t="s">
        <v>23</v>
      </c>
      <c r="SLV2" s="429"/>
      <c r="SLW2" s="429"/>
      <c r="SLX2" s="429"/>
      <c r="SLY2" s="428" t="s">
        <v>23</v>
      </c>
      <c r="SLZ2" s="429"/>
      <c r="SMA2" s="429"/>
      <c r="SMB2" s="429"/>
      <c r="SMC2" s="428" t="s">
        <v>23</v>
      </c>
      <c r="SMD2" s="429"/>
      <c r="SME2" s="429"/>
      <c r="SMF2" s="429"/>
      <c r="SMG2" s="428" t="s">
        <v>23</v>
      </c>
      <c r="SMH2" s="429"/>
      <c r="SMI2" s="429"/>
      <c r="SMJ2" s="429"/>
      <c r="SMK2" s="428" t="s">
        <v>23</v>
      </c>
      <c r="SML2" s="429"/>
      <c r="SMM2" s="429"/>
      <c r="SMN2" s="429"/>
      <c r="SMO2" s="428" t="s">
        <v>23</v>
      </c>
      <c r="SMP2" s="429"/>
      <c r="SMQ2" s="429"/>
      <c r="SMR2" s="429"/>
      <c r="SMS2" s="428" t="s">
        <v>23</v>
      </c>
      <c r="SMT2" s="429"/>
      <c r="SMU2" s="429"/>
      <c r="SMV2" s="429"/>
      <c r="SMW2" s="428" t="s">
        <v>23</v>
      </c>
      <c r="SMX2" s="429"/>
      <c r="SMY2" s="429"/>
      <c r="SMZ2" s="429"/>
      <c r="SNA2" s="428" t="s">
        <v>23</v>
      </c>
      <c r="SNB2" s="429"/>
      <c r="SNC2" s="429"/>
      <c r="SND2" s="429"/>
      <c r="SNE2" s="428" t="s">
        <v>23</v>
      </c>
      <c r="SNF2" s="429"/>
      <c r="SNG2" s="429"/>
      <c r="SNH2" s="429"/>
      <c r="SNI2" s="428" t="s">
        <v>23</v>
      </c>
      <c r="SNJ2" s="429"/>
      <c r="SNK2" s="429"/>
      <c r="SNL2" s="429"/>
      <c r="SNM2" s="428" t="s">
        <v>23</v>
      </c>
      <c r="SNN2" s="429"/>
      <c r="SNO2" s="429"/>
      <c r="SNP2" s="429"/>
      <c r="SNQ2" s="428" t="s">
        <v>23</v>
      </c>
      <c r="SNR2" s="429"/>
      <c r="SNS2" s="429"/>
      <c r="SNT2" s="429"/>
      <c r="SNU2" s="428" t="s">
        <v>23</v>
      </c>
      <c r="SNV2" s="429"/>
      <c r="SNW2" s="429"/>
      <c r="SNX2" s="429"/>
      <c r="SNY2" s="428" t="s">
        <v>23</v>
      </c>
      <c r="SNZ2" s="429"/>
      <c r="SOA2" s="429"/>
      <c r="SOB2" s="429"/>
      <c r="SOC2" s="428" t="s">
        <v>23</v>
      </c>
      <c r="SOD2" s="429"/>
      <c r="SOE2" s="429"/>
      <c r="SOF2" s="429"/>
      <c r="SOG2" s="428" t="s">
        <v>23</v>
      </c>
      <c r="SOH2" s="429"/>
      <c r="SOI2" s="429"/>
      <c r="SOJ2" s="429"/>
      <c r="SOK2" s="428" t="s">
        <v>23</v>
      </c>
      <c r="SOL2" s="429"/>
      <c r="SOM2" s="429"/>
      <c r="SON2" s="429"/>
      <c r="SOO2" s="428" t="s">
        <v>23</v>
      </c>
      <c r="SOP2" s="429"/>
      <c r="SOQ2" s="429"/>
      <c r="SOR2" s="429"/>
      <c r="SOS2" s="428" t="s">
        <v>23</v>
      </c>
      <c r="SOT2" s="429"/>
      <c r="SOU2" s="429"/>
      <c r="SOV2" s="429"/>
      <c r="SOW2" s="428" t="s">
        <v>23</v>
      </c>
      <c r="SOX2" s="429"/>
      <c r="SOY2" s="429"/>
      <c r="SOZ2" s="429"/>
      <c r="SPA2" s="428" t="s">
        <v>23</v>
      </c>
      <c r="SPB2" s="429"/>
      <c r="SPC2" s="429"/>
      <c r="SPD2" s="429"/>
      <c r="SPE2" s="428" t="s">
        <v>23</v>
      </c>
      <c r="SPF2" s="429"/>
      <c r="SPG2" s="429"/>
      <c r="SPH2" s="429"/>
      <c r="SPI2" s="428" t="s">
        <v>23</v>
      </c>
      <c r="SPJ2" s="429"/>
      <c r="SPK2" s="429"/>
      <c r="SPL2" s="429"/>
      <c r="SPM2" s="428" t="s">
        <v>23</v>
      </c>
      <c r="SPN2" s="429"/>
      <c r="SPO2" s="429"/>
      <c r="SPP2" s="429"/>
      <c r="SPQ2" s="428" t="s">
        <v>23</v>
      </c>
      <c r="SPR2" s="429"/>
      <c r="SPS2" s="429"/>
      <c r="SPT2" s="429"/>
      <c r="SPU2" s="428" t="s">
        <v>23</v>
      </c>
      <c r="SPV2" s="429"/>
      <c r="SPW2" s="429"/>
      <c r="SPX2" s="429"/>
      <c r="SPY2" s="428" t="s">
        <v>23</v>
      </c>
      <c r="SPZ2" s="429"/>
      <c r="SQA2" s="429"/>
      <c r="SQB2" s="429"/>
      <c r="SQC2" s="428" t="s">
        <v>23</v>
      </c>
      <c r="SQD2" s="429"/>
      <c r="SQE2" s="429"/>
      <c r="SQF2" s="429"/>
      <c r="SQG2" s="428" t="s">
        <v>23</v>
      </c>
      <c r="SQH2" s="429"/>
      <c r="SQI2" s="429"/>
      <c r="SQJ2" s="429"/>
      <c r="SQK2" s="428" t="s">
        <v>23</v>
      </c>
      <c r="SQL2" s="429"/>
      <c r="SQM2" s="429"/>
      <c r="SQN2" s="429"/>
      <c r="SQO2" s="428" t="s">
        <v>23</v>
      </c>
      <c r="SQP2" s="429"/>
      <c r="SQQ2" s="429"/>
      <c r="SQR2" s="429"/>
      <c r="SQS2" s="428" t="s">
        <v>23</v>
      </c>
      <c r="SQT2" s="429"/>
      <c r="SQU2" s="429"/>
      <c r="SQV2" s="429"/>
      <c r="SQW2" s="428" t="s">
        <v>23</v>
      </c>
      <c r="SQX2" s="429"/>
      <c r="SQY2" s="429"/>
      <c r="SQZ2" s="429"/>
      <c r="SRA2" s="428" t="s">
        <v>23</v>
      </c>
      <c r="SRB2" s="429"/>
      <c r="SRC2" s="429"/>
      <c r="SRD2" s="429"/>
      <c r="SRE2" s="428" t="s">
        <v>23</v>
      </c>
      <c r="SRF2" s="429"/>
      <c r="SRG2" s="429"/>
      <c r="SRH2" s="429"/>
      <c r="SRI2" s="428" t="s">
        <v>23</v>
      </c>
      <c r="SRJ2" s="429"/>
      <c r="SRK2" s="429"/>
      <c r="SRL2" s="429"/>
      <c r="SRM2" s="428" t="s">
        <v>23</v>
      </c>
      <c r="SRN2" s="429"/>
      <c r="SRO2" s="429"/>
      <c r="SRP2" s="429"/>
      <c r="SRQ2" s="428" t="s">
        <v>23</v>
      </c>
      <c r="SRR2" s="429"/>
      <c r="SRS2" s="429"/>
      <c r="SRT2" s="429"/>
      <c r="SRU2" s="428" t="s">
        <v>23</v>
      </c>
      <c r="SRV2" s="429"/>
      <c r="SRW2" s="429"/>
      <c r="SRX2" s="429"/>
      <c r="SRY2" s="428" t="s">
        <v>23</v>
      </c>
      <c r="SRZ2" s="429"/>
      <c r="SSA2" s="429"/>
      <c r="SSB2" s="429"/>
      <c r="SSC2" s="428" t="s">
        <v>23</v>
      </c>
      <c r="SSD2" s="429"/>
      <c r="SSE2" s="429"/>
      <c r="SSF2" s="429"/>
      <c r="SSG2" s="428" t="s">
        <v>23</v>
      </c>
      <c r="SSH2" s="429"/>
      <c r="SSI2" s="429"/>
      <c r="SSJ2" s="429"/>
      <c r="SSK2" s="428" t="s">
        <v>23</v>
      </c>
      <c r="SSL2" s="429"/>
      <c r="SSM2" s="429"/>
      <c r="SSN2" s="429"/>
      <c r="SSO2" s="428" t="s">
        <v>23</v>
      </c>
      <c r="SSP2" s="429"/>
      <c r="SSQ2" s="429"/>
      <c r="SSR2" s="429"/>
      <c r="SSS2" s="428" t="s">
        <v>23</v>
      </c>
      <c r="SST2" s="429"/>
      <c r="SSU2" s="429"/>
      <c r="SSV2" s="429"/>
      <c r="SSW2" s="428" t="s">
        <v>23</v>
      </c>
      <c r="SSX2" s="429"/>
      <c r="SSY2" s="429"/>
      <c r="SSZ2" s="429"/>
      <c r="STA2" s="428" t="s">
        <v>23</v>
      </c>
      <c r="STB2" s="429"/>
      <c r="STC2" s="429"/>
      <c r="STD2" s="429"/>
      <c r="STE2" s="428" t="s">
        <v>23</v>
      </c>
      <c r="STF2" s="429"/>
      <c r="STG2" s="429"/>
      <c r="STH2" s="429"/>
      <c r="STI2" s="428" t="s">
        <v>23</v>
      </c>
      <c r="STJ2" s="429"/>
      <c r="STK2" s="429"/>
      <c r="STL2" s="429"/>
      <c r="STM2" s="428" t="s">
        <v>23</v>
      </c>
      <c r="STN2" s="429"/>
      <c r="STO2" s="429"/>
      <c r="STP2" s="429"/>
      <c r="STQ2" s="428" t="s">
        <v>23</v>
      </c>
      <c r="STR2" s="429"/>
      <c r="STS2" s="429"/>
      <c r="STT2" s="429"/>
      <c r="STU2" s="428" t="s">
        <v>23</v>
      </c>
      <c r="STV2" s="429"/>
      <c r="STW2" s="429"/>
      <c r="STX2" s="429"/>
      <c r="STY2" s="428" t="s">
        <v>23</v>
      </c>
      <c r="STZ2" s="429"/>
      <c r="SUA2" s="429"/>
      <c r="SUB2" s="429"/>
      <c r="SUC2" s="428" t="s">
        <v>23</v>
      </c>
      <c r="SUD2" s="429"/>
      <c r="SUE2" s="429"/>
      <c r="SUF2" s="429"/>
      <c r="SUG2" s="428" t="s">
        <v>23</v>
      </c>
      <c r="SUH2" s="429"/>
      <c r="SUI2" s="429"/>
      <c r="SUJ2" s="429"/>
      <c r="SUK2" s="428" t="s">
        <v>23</v>
      </c>
      <c r="SUL2" s="429"/>
      <c r="SUM2" s="429"/>
      <c r="SUN2" s="429"/>
      <c r="SUO2" s="428" t="s">
        <v>23</v>
      </c>
      <c r="SUP2" s="429"/>
      <c r="SUQ2" s="429"/>
      <c r="SUR2" s="429"/>
      <c r="SUS2" s="428" t="s">
        <v>23</v>
      </c>
      <c r="SUT2" s="429"/>
      <c r="SUU2" s="429"/>
      <c r="SUV2" s="429"/>
      <c r="SUW2" s="428" t="s">
        <v>23</v>
      </c>
      <c r="SUX2" s="429"/>
      <c r="SUY2" s="429"/>
      <c r="SUZ2" s="429"/>
      <c r="SVA2" s="428" t="s">
        <v>23</v>
      </c>
      <c r="SVB2" s="429"/>
      <c r="SVC2" s="429"/>
      <c r="SVD2" s="429"/>
      <c r="SVE2" s="428" t="s">
        <v>23</v>
      </c>
      <c r="SVF2" s="429"/>
      <c r="SVG2" s="429"/>
      <c r="SVH2" s="429"/>
      <c r="SVI2" s="428" t="s">
        <v>23</v>
      </c>
      <c r="SVJ2" s="429"/>
      <c r="SVK2" s="429"/>
      <c r="SVL2" s="429"/>
      <c r="SVM2" s="428" t="s">
        <v>23</v>
      </c>
      <c r="SVN2" s="429"/>
      <c r="SVO2" s="429"/>
      <c r="SVP2" s="429"/>
      <c r="SVQ2" s="428" t="s">
        <v>23</v>
      </c>
      <c r="SVR2" s="429"/>
      <c r="SVS2" s="429"/>
      <c r="SVT2" s="429"/>
      <c r="SVU2" s="428" t="s">
        <v>23</v>
      </c>
      <c r="SVV2" s="429"/>
      <c r="SVW2" s="429"/>
      <c r="SVX2" s="429"/>
      <c r="SVY2" s="428" t="s">
        <v>23</v>
      </c>
      <c r="SVZ2" s="429"/>
      <c r="SWA2" s="429"/>
      <c r="SWB2" s="429"/>
      <c r="SWC2" s="428" t="s">
        <v>23</v>
      </c>
      <c r="SWD2" s="429"/>
      <c r="SWE2" s="429"/>
      <c r="SWF2" s="429"/>
      <c r="SWG2" s="428" t="s">
        <v>23</v>
      </c>
      <c r="SWH2" s="429"/>
      <c r="SWI2" s="429"/>
      <c r="SWJ2" s="429"/>
      <c r="SWK2" s="428" t="s">
        <v>23</v>
      </c>
      <c r="SWL2" s="429"/>
      <c r="SWM2" s="429"/>
      <c r="SWN2" s="429"/>
      <c r="SWO2" s="428" t="s">
        <v>23</v>
      </c>
      <c r="SWP2" s="429"/>
      <c r="SWQ2" s="429"/>
      <c r="SWR2" s="429"/>
      <c r="SWS2" s="428" t="s">
        <v>23</v>
      </c>
      <c r="SWT2" s="429"/>
      <c r="SWU2" s="429"/>
      <c r="SWV2" s="429"/>
      <c r="SWW2" s="428" t="s">
        <v>23</v>
      </c>
      <c r="SWX2" s="429"/>
      <c r="SWY2" s="429"/>
      <c r="SWZ2" s="429"/>
      <c r="SXA2" s="428" t="s">
        <v>23</v>
      </c>
      <c r="SXB2" s="429"/>
      <c r="SXC2" s="429"/>
      <c r="SXD2" s="429"/>
      <c r="SXE2" s="428" t="s">
        <v>23</v>
      </c>
      <c r="SXF2" s="429"/>
      <c r="SXG2" s="429"/>
      <c r="SXH2" s="429"/>
      <c r="SXI2" s="428" t="s">
        <v>23</v>
      </c>
      <c r="SXJ2" s="429"/>
      <c r="SXK2" s="429"/>
      <c r="SXL2" s="429"/>
      <c r="SXM2" s="428" t="s">
        <v>23</v>
      </c>
      <c r="SXN2" s="429"/>
      <c r="SXO2" s="429"/>
      <c r="SXP2" s="429"/>
      <c r="SXQ2" s="428" t="s">
        <v>23</v>
      </c>
      <c r="SXR2" s="429"/>
      <c r="SXS2" s="429"/>
      <c r="SXT2" s="429"/>
      <c r="SXU2" s="428" t="s">
        <v>23</v>
      </c>
      <c r="SXV2" s="429"/>
      <c r="SXW2" s="429"/>
      <c r="SXX2" s="429"/>
      <c r="SXY2" s="428" t="s">
        <v>23</v>
      </c>
      <c r="SXZ2" s="429"/>
      <c r="SYA2" s="429"/>
      <c r="SYB2" s="429"/>
      <c r="SYC2" s="428" t="s">
        <v>23</v>
      </c>
      <c r="SYD2" s="429"/>
      <c r="SYE2" s="429"/>
      <c r="SYF2" s="429"/>
      <c r="SYG2" s="428" t="s">
        <v>23</v>
      </c>
      <c r="SYH2" s="429"/>
      <c r="SYI2" s="429"/>
      <c r="SYJ2" s="429"/>
      <c r="SYK2" s="428" t="s">
        <v>23</v>
      </c>
      <c r="SYL2" s="429"/>
      <c r="SYM2" s="429"/>
      <c r="SYN2" s="429"/>
      <c r="SYO2" s="428" t="s">
        <v>23</v>
      </c>
      <c r="SYP2" s="429"/>
      <c r="SYQ2" s="429"/>
      <c r="SYR2" s="429"/>
      <c r="SYS2" s="428" t="s">
        <v>23</v>
      </c>
      <c r="SYT2" s="429"/>
      <c r="SYU2" s="429"/>
      <c r="SYV2" s="429"/>
      <c r="SYW2" s="428" t="s">
        <v>23</v>
      </c>
      <c r="SYX2" s="429"/>
      <c r="SYY2" s="429"/>
      <c r="SYZ2" s="429"/>
      <c r="SZA2" s="428" t="s">
        <v>23</v>
      </c>
      <c r="SZB2" s="429"/>
      <c r="SZC2" s="429"/>
      <c r="SZD2" s="429"/>
      <c r="SZE2" s="428" t="s">
        <v>23</v>
      </c>
      <c r="SZF2" s="429"/>
      <c r="SZG2" s="429"/>
      <c r="SZH2" s="429"/>
      <c r="SZI2" s="428" t="s">
        <v>23</v>
      </c>
      <c r="SZJ2" s="429"/>
      <c r="SZK2" s="429"/>
      <c r="SZL2" s="429"/>
      <c r="SZM2" s="428" t="s">
        <v>23</v>
      </c>
      <c r="SZN2" s="429"/>
      <c r="SZO2" s="429"/>
      <c r="SZP2" s="429"/>
      <c r="SZQ2" s="428" t="s">
        <v>23</v>
      </c>
      <c r="SZR2" s="429"/>
      <c r="SZS2" s="429"/>
      <c r="SZT2" s="429"/>
      <c r="SZU2" s="428" t="s">
        <v>23</v>
      </c>
      <c r="SZV2" s="429"/>
      <c r="SZW2" s="429"/>
      <c r="SZX2" s="429"/>
      <c r="SZY2" s="428" t="s">
        <v>23</v>
      </c>
      <c r="SZZ2" s="429"/>
      <c r="TAA2" s="429"/>
      <c r="TAB2" s="429"/>
      <c r="TAC2" s="428" t="s">
        <v>23</v>
      </c>
      <c r="TAD2" s="429"/>
      <c r="TAE2" s="429"/>
      <c r="TAF2" s="429"/>
      <c r="TAG2" s="428" t="s">
        <v>23</v>
      </c>
      <c r="TAH2" s="429"/>
      <c r="TAI2" s="429"/>
      <c r="TAJ2" s="429"/>
      <c r="TAK2" s="428" t="s">
        <v>23</v>
      </c>
      <c r="TAL2" s="429"/>
      <c r="TAM2" s="429"/>
      <c r="TAN2" s="429"/>
      <c r="TAO2" s="428" t="s">
        <v>23</v>
      </c>
      <c r="TAP2" s="429"/>
      <c r="TAQ2" s="429"/>
      <c r="TAR2" s="429"/>
      <c r="TAS2" s="428" t="s">
        <v>23</v>
      </c>
      <c r="TAT2" s="429"/>
      <c r="TAU2" s="429"/>
      <c r="TAV2" s="429"/>
      <c r="TAW2" s="428" t="s">
        <v>23</v>
      </c>
      <c r="TAX2" s="429"/>
      <c r="TAY2" s="429"/>
      <c r="TAZ2" s="429"/>
      <c r="TBA2" s="428" t="s">
        <v>23</v>
      </c>
      <c r="TBB2" s="429"/>
      <c r="TBC2" s="429"/>
      <c r="TBD2" s="429"/>
      <c r="TBE2" s="428" t="s">
        <v>23</v>
      </c>
      <c r="TBF2" s="429"/>
      <c r="TBG2" s="429"/>
      <c r="TBH2" s="429"/>
      <c r="TBI2" s="428" t="s">
        <v>23</v>
      </c>
      <c r="TBJ2" s="429"/>
      <c r="TBK2" s="429"/>
      <c r="TBL2" s="429"/>
      <c r="TBM2" s="428" t="s">
        <v>23</v>
      </c>
      <c r="TBN2" s="429"/>
      <c r="TBO2" s="429"/>
      <c r="TBP2" s="429"/>
      <c r="TBQ2" s="428" t="s">
        <v>23</v>
      </c>
      <c r="TBR2" s="429"/>
      <c r="TBS2" s="429"/>
      <c r="TBT2" s="429"/>
      <c r="TBU2" s="428" t="s">
        <v>23</v>
      </c>
      <c r="TBV2" s="429"/>
      <c r="TBW2" s="429"/>
      <c r="TBX2" s="429"/>
      <c r="TBY2" s="428" t="s">
        <v>23</v>
      </c>
      <c r="TBZ2" s="429"/>
      <c r="TCA2" s="429"/>
      <c r="TCB2" s="429"/>
      <c r="TCC2" s="428" t="s">
        <v>23</v>
      </c>
      <c r="TCD2" s="429"/>
      <c r="TCE2" s="429"/>
      <c r="TCF2" s="429"/>
      <c r="TCG2" s="428" t="s">
        <v>23</v>
      </c>
      <c r="TCH2" s="429"/>
      <c r="TCI2" s="429"/>
      <c r="TCJ2" s="429"/>
      <c r="TCK2" s="428" t="s">
        <v>23</v>
      </c>
      <c r="TCL2" s="429"/>
      <c r="TCM2" s="429"/>
      <c r="TCN2" s="429"/>
      <c r="TCO2" s="428" t="s">
        <v>23</v>
      </c>
      <c r="TCP2" s="429"/>
      <c r="TCQ2" s="429"/>
      <c r="TCR2" s="429"/>
      <c r="TCS2" s="428" t="s">
        <v>23</v>
      </c>
      <c r="TCT2" s="429"/>
      <c r="TCU2" s="429"/>
      <c r="TCV2" s="429"/>
      <c r="TCW2" s="428" t="s">
        <v>23</v>
      </c>
      <c r="TCX2" s="429"/>
      <c r="TCY2" s="429"/>
      <c r="TCZ2" s="429"/>
      <c r="TDA2" s="428" t="s">
        <v>23</v>
      </c>
      <c r="TDB2" s="429"/>
      <c r="TDC2" s="429"/>
      <c r="TDD2" s="429"/>
      <c r="TDE2" s="428" t="s">
        <v>23</v>
      </c>
      <c r="TDF2" s="429"/>
      <c r="TDG2" s="429"/>
      <c r="TDH2" s="429"/>
      <c r="TDI2" s="428" t="s">
        <v>23</v>
      </c>
      <c r="TDJ2" s="429"/>
      <c r="TDK2" s="429"/>
      <c r="TDL2" s="429"/>
      <c r="TDM2" s="428" t="s">
        <v>23</v>
      </c>
      <c r="TDN2" s="429"/>
      <c r="TDO2" s="429"/>
      <c r="TDP2" s="429"/>
      <c r="TDQ2" s="428" t="s">
        <v>23</v>
      </c>
      <c r="TDR2" s="429"/>
      <c r="TDS2" s="429"/>
      <c r="TDT2" s="429"/>
      <c r="TDU2" s="428" t="s">
        <v>23</v>
      </c>
      <c r="TDV2" s="429"/>
      <c r="TDW2" s="429"/>
      <c r="TDX2" s="429"/>
      <c r="TDY2" s="428" t="s">
        <v>23</v>
      </c>
      <c r="TDZ2" s="429"/>
      <c r="TEA2" s="429"/>
      <c r="TEB2" s="429"/>
      <c r="TEC2" s="428" t="s">
        <v>23</v>
      </c>
      <c r="TED2" s="429"/>
      <c r="TEE2" s="429"/>
      <c r="TEF2" s="429"/>
      <c r="TEG2" s="428" t="s">
        <v>23</v>
      </c>
      <c r="TEH2" s="429"/>
      <c r="TEI2" s="429"/>
      <c r="TEJ2" s="429"/>
      <c r="TEK2" s="428" t="s">
        <v>23</v>
      </c>
      <c r="TEL2" s="429"/>
      <c r="TEM2" s="429"/>
      <c r="TEN2" s="429"/>
      <c r="TEO2" s="428" t="s">
        <v>23</v>
      </c>
      <c r="TEP2" s="429"/>
      <c r="TEQ2" s="429"/>
      <c r="TER2" s="429"/>
      <c r="TES2" s="428" t="s">
        <v>23</v>
      </c>
      <c r="TET2" s="429"/>
      <c r="TEU2" s="429"/>
      <c r="TEV2" s="429"/>
      <c r="TEW2" s="428" t="s">
        <v>23</v>
      </c>
      <c r="TEX2" s="429"/>
      <c r="TEY2" s="429"/>
      <c r="TEZ2" s="429"/>
      <c r="TFA2" s="428" t="s">
        <v>23</v>
      </c>
      <c r="TFB2" s="429"/>
      <c r="TFC2" s="429"/>
      <c r="TFD2" s="429"/>
      <c r="TFE2" s="428" t="s">
        <v>23</v>
      </c>
      <c r="TFF2" s="429"/>
      <c r="TFG2" s="429"/>
      <c r="TFH2" s="429"/>
      <c r="TFI2" s="428" t="s">
        <v>23</v>
      </c>
      <c r="TFJ2" s="429"/>
      <c r="TFK2" s="429"/>
      <c r="TFL2" s="429"/>
      <c r="TFM2" s="428" t="s">
        <v>23</v>
      </c>
      <c r="TFN2" s="429"/>
      <c r="TFO2" s="429"/>
      <c r="TFP2" s="429"/>
      <c r="TFQ2" s="428" t="s">
        <v>23</v>
      </c>
      <c r="TFR2" s="429"/>
      <c r="TFS2" s="429"/>
      <c r="TFT2" s="429"/>
      <c r="TFU2" s="428" t="s">
        <v>23</v>
      </c>
      <c r="TFV2" s="429"/>
      <c r="TFW2" s="429"/>
      <c r="TFX2" s="429"/>
      <c r="TFY2" s="428" t="s">
        <v>23</v>
      </c>
      <c r="TFZ2" s="429"/>
      <c r="TGA2" s="429"/>
      <c r="TGB2" s="429"/>
      <c r="TGC2" s="428" t="s">
        <v>23</v>
      </c>
      <c r="TGD2" s="429"/>
      <c r="TGE2" s="429"/>
      <c r="TGF2" s="429"/>
      <c r="TGG2" s="428" t="s">
        <v>23</v>
      </c>
      <c r="TGH2" s="429"/>
      <c r="TGI2" s="429"/>
      <c r="TGJ2" s="429"/>
      <c r="TGK2" s="428" t="s">
        <v>23</v>
      </c>
      <c r="TGL2" s="429"/>
      <c r="TGM2" s="429"/>
      <c r="TGN2" s="429"/>
      <c r="TGO2" s="428" t="s">
        <v>23</v>
      </c>
      <c r="TGP2" s="429"/>
      <c r="TGQ2" s="429"/>
      <c r="TGR2" s="429"/>
      <c r="TGS2" s="428" t="s">
        <v>23</v>
      </c>
      <c r="TGT2" s="429"/>
      <c r="TGU2" s="429"/>
      <c r="TGV2" s="429"/>
      <c r="TGW2" s="428" t="s">
        <v>23</v>
      </c>
      <c r="TGX2" s="429"/>
      <c r="TGY2" s="429"/>
      <c r="TGZ2" s="429"/>
      <c r="THA2" s="428" t="s">
        <v>23</v>
      </c>
      <c r="THB2" s="429"/>
      <c r="THC2" s="429"/>
      <c r="THD2" s="429"/>
      <c r="THE2" s="428" t="s">
        <v>23</v>
      </c>
      <c r="THF2" s="429"/>
      <c r="THG2" s="429"/>
      <c r="THH2" s="429"/>
      <c r="THI2" s="428" t="s">
        <v>23</v>
      </c>
      <c r="THJ2" s="429"/>
      <c r="THK2" s="429"/>
      <c r="THL2" s="429"/>
      <c r="THM2" s="428" t="s">
        <v>23</v>
      </c>
      <c r="THN2" s="429"/>
      <c r="THO2" s="429"/>
      <c r="THP2" s="429"/>
      <c r="THQ2" s="428" t="s">
        <v>23</v>
      </c>
      <c r="THR2" s="429"/>
      <c r="THS2" s="429"/>
      <c r="THT2" s="429"/>
      <c r="THU2" s="428" t="s">
        <v>23</v>
      </c>
      <c r="THV2" s="429"/>
      <c r="THW2" s="429"/>
      <c r="THX2" s="429"/>
      <c r="THY2" s="428" t="s">
        <v>23</v>
      </c>
      <c r="THZ2" s="429"/>
      <c r="TIA2" s="429"/>
      <c r="TIB2" s="429"/>
      <c r="TIC2" s="428" t="s">
        <v>23</v>
      </c>
      <c r="TID2" s="429"/>
      <c r="TIE2" s="429"/>
      <c r="TIF2" s="429"/>
      <c r="TIG2" s="428" t="s">
        <v>23</v>
      </c>
      <c r="TIH2" s="429"/>
      <c r="TII2" s="429"/>
      <c r="TIJ2" s="429"/>
      <c r="TIK2" s="428" t="s">
        <v>23</v>
      </c>
      <c r="TIL2" s="429"/>
      <c r="TIM2" s="429"/>
      <c r="TIN2" s="429"/>
      <c r="TIO2" s="428" t="s">
        <v>23</v>
      </c>
      <c r="TIP2" s="429"/>
      <c r="TIQ2" s="429"/>
      <c r="TIR2" s="429"/>
      <c r="TIS2" s="428" t="s">
        <v>23</v>
      </c>
      <c r="TIT2" s="429"/>
      <c r="TIU2" s="429"/>
      <c r="TIV2" s="429"/>
      <c r="TIW2" s="428" t="s">
        <v>23</v>
      </c>
      <c r="TIX2" s="429"/>
      <c r="TIY2" s="429"/>
      <c r="TIZ2" s="429"/>
      <c r="TJA2" s="428" t="s">
        <v>23</v>
      </c>
      <c r="TJB2" s="429"/>
      <c r="TJC2" s="429"/>
      <c r="TJD2" s="429"/>
      <c r="TJE2" s="428" t="s">
        <v>23</v>
      </c>
      <c r="TJF2" s="429"/>
      <c r="TJG2" s="429"/>
      <c r="TJH2" s="429"/>
      <c r="TJI2" s="428" t="s">
        <v>23</v>
      </c>
      <c r="TJJ2" s="429"/>
      <c r="TJK2" s="429"/>
      <c r="TJL2" s="429"/>
      <c r="TJM2" s="428" t="s">
        <v>23</v>
      </c>
      <c r="TJN2" s="429"/>
      <c r="TJO2" s="429"/>
      <c r="TJP2" s="429"/>
      <c r="TJQ2" s="428" t="s">
        <v>23</v>
      </c>
      <c r="TJR2" s="429"/>
      <c r="TJS2" s="429"/>
      <c r="TJT2" s="429"/>
      <c r="TJU2" s="428" t="s">
        <v>23</v>
      </c>
      <c r="TJV2" s="429"/>
      <c r="TJW2" s="429"/>
      <c r="TJX2" s="429"/>
      <c r="TJY2" s="428" t="s">
        <v>23</v>
      </c>
      <c r="TJZ2" s="429"/>
      <c r="TKA2" s="429"/>
      <c r="TKB2" s="429"/>
      <c r="TKC2" s="428" t="s">
        <v>23</v>
      </c>
      <c r="TKD2" s="429"/>
      <c r="TKE2" s="429"/>
      <c r="TKF2" s="429"/>
      <c r="TKG2" s="428" t="s">
        <v>23</v>
      </c>
      <c r="TKH2" s="429"/>
      <c r="TKI2" s="429"/>
      <c r="TKJ2" s="429"/>
      <c r="TKK2" s="428" t="s">
        <v>23</v>
      </c>
      <c r="TKL2" s="429"/>
      <c r="TKM2" s="429"/>
      <c r="TKN2" s="429"/>
      <c r="TKO2" s="428" t="s">
        <v>23</v>
      </c>
      <c r="TKP2" s="429"/>
      <c r="TKQ2" s="429"/>
      <c r="TKR2" s="429"/>
      <c r="TKS2" s="428" t="s">
        <v>23</v>
      </c>
      <c r="TKT2" s="429"/>
      <c r="TKU2" s="429"/>
      <c r="TKV2" s="429"/>
      <c r="TKW2" s="428" t="s">
        <v>23</v>
      </c>
      <c r="TKX2" s="429"/>
      <c r="TKY2" s="429"/>
      <c r="TKZ2" s="429"/>
      <c r="TLA2" s="428" t="s">
        <v>23</v>
      </c>
      <c r="TLB2" s="429"/>
      <c r="TLC2" s="429"/>
      <c r="TLD2" s="429"/>
      <c r="TLE2" s="428" t="s">
        <v>23</v>
      </c>
      <c r="TLF2" s="429"/>
      <c r="TLG2" s="429"/>
      <c r="TLH2" s="429"/>
      <c r="TLI2" s="428" t="s">
        <v>23</v>
      </c>
      <c r="TLJ2" s="429"/>
      <c r="TLK2" s="429"/>
      <c r="TLL2" s="429"/>
      <c r="TLM2" s="428" t="s">
        <v>23</v>
      </c>
      <c r="TLN2" s="429"/>
      <c r="TLO2" s="429"/>
      <c r="TLP2" s="429"/>
      <c r="TLQ2" s="428" t="s">
        <v>23</v>
      </c>
      <c r="TLR2" s="429"/>
      <c r="TLS2" s="429"/>
      <c r="TLT2" s="429"/>
      <c r="TLU2" s="428" t="s">
        <v>23</v>
      </c>
      <c r="TLV2" s="429"/>
      <c r="TLW2" s="429"/>
      <c r="TLX2" s="429"/>
      <c r="TLY2" s="428" t="s">
        <v>23</v>
      </c>
      <c r="TLZ2" s="429"/>
      <c r="TMA2" s="429"/>
      <c r="TMB2" s="429"/>
      <c r="TMC2" s="428" t="s">
        <v>23</v>
      </c>
      <c r="TMD2" s="429"/>
      <c r="TME2" s="429"/>
      <c r="TMF2" s="429"/>
      <c r="TMG2" s="428" t="s">
        <v>23</v>
      </c>
      <c r="TMH2" s="429"/>
      <c r="TMI2" s="429"/>
      <c r="TMJ2" s="429"/>
      <c r="TMK2" s="428" t="s">
        <v>23</v>
      </c>
      <c r="TML2" s="429"/>
      <c r="TMM2" s="429"/>
      <c r="TMN2" s="429"/>
      <c r="TMO2" s="428" t="s">
        <v>23</v>
      </c>
      <c r="TMP2" s="429"/>
      <c r="TMQ2" s="429"/>
      <c r="TMR2" s="429"/>
      <c r="TMS2" s="428" t="s">
        <v>23</v>
      </c>
      <c r="TMT2" s="429"/>
      <c r="TMU2" s="429"/>
      <c r="TMV2" s="429"/>
      <c r="TMW2" s="428" t="s">
        <v>23</v>
      </c>
      <c r="TMX2" s="429"/>
      <c r="TMY2" s="429"/>
      <c r="TMZ2" s="429"/>
      <c r="TNA2" s="428" t="s">
        <v>23</v>
      </c>
      <c r="TNB2" s="429"/>
      <c r="TNC2" s="429"/>
      <c r="TND2" s="429"/>
      <c r="TNE2" s="428" t="s">
        <v>23</v>
      </c>
      <c r="TNF2" s="429"/>
      <c r="TNG2" s="429"/>
      <c r="TNH2" s="429"/>
      <c r="TNI2" s="428" t="s">
        <v>23</v>
      </c>
      <c r="TNJ2" s="429"/>
      <c r="TNK2" s="429"/>
      <c r="TNL2" s="429"/>
      <c r="TNM2" s="428" t="s">
        <v>23</v>
      </c>
      <c r="TNN2" s="429"/>
      <c r="TNO2" s="429"/>
      <c r="TNP2" s="429"/>
      <c r="TNQ2" s="428" t="s">
        <v>23</v>
      </c>
      <c r="TNR2" s="429"/>
      <c r="TNS2" s="429"/>
      <c r="TNT2" s="429"/>
      <c r="TNU2" s="428" t="s">
        <v>23</v>
      </c>
      <c r="TNV2" s="429"/>
      <c r="TNW2" s="429"/>
      <c r="TNX2" s="429"/>
      <c r="TNY2" s="428" t="s">
        <v>23</v>
      </c>
      <c r="TNZ2" s="429"/>
      <c r="TOA2" s="429"/>
      <c r="TOB2" s="429"/>
      <c r="TOC2" s="428" t="s">
        <v>23</v>
      </c>
      <c r="TOD2" s="429"/>
      <c r="TOE2" s="429"/>
      <c r="TOF2" s="429"/>
      <c r="TOG2" s="428" t="s">
        <v>23</v>
      </c>
      <c r="TOH2" s="429"/>
      <c r="TOI2" s="429"/>
      <c r="TOJ2" s="429"/>
      <c r="TOK2" s="428" t="s">
        <v>23</v>
      </c>
      <c r="TOL2" s="429"/>
      <c r="TOM2" s="429"/>
      <c r="TON2" s="429"/>
      <c r="TOO2" s="428" t="s">
        <v>23</v>
      </c>
      <c r="TOP2" s="429"/>
      <c r="TOQ2" s="429"/>
      <c r="TOR2" s="429"/>
      <c r="TOS2" s="428" t="s">
        <v>23</v>
      </c>
      <c r="TOT2" s="429"/>
      <c r="TOU2" s="429"/>
      <c r="TOV2" s="429"/>
      <c r="TOW2" s="428" t="s">
        <v>23</v>
      </c>
      <c r="TOX2" s="429"/>
      <c r="TOY2" s="429"/>
      <c r="TOZ2" s="429"/>
      <c r="TPA2" s="428" t="s">
        <v>23</v>
      </c>
      <c r="TPB2" s="429"/>
      <c r="TPC2" s="429"/>
      <c r="TPD2" s="429"/>
      <c r="TPE2" s="428" t="s">
        <v>23</v>
      </c>
      <c r="TPF2" s="429"/>
      <c r="TPG2" s="429"/>
      <c r="TPH2" s="429"/>
      <c r="TPI2" s="428" t="s">
        <v>23</v>
      </c>
      <c r="TPJ2" s="429"/>
      <c r="TPK2" s="429"/>
      <c r="TPL2" s="429"/>
      <c r="TPM2" s="428" t="s">
        <v>23</v>
      </c>
      <c r="TPN2" s="429"/>
      <c r="TPO2" s="429"/>
      <c r="TPP2" s="429"/>
      <c r="TPQ2" s="428" t="s">
        <v>23</v>
      </c>
      <c r="TPR2" s="429"/>
      <c r="TPS2" s="429"/>
      <c r="TPT2" s="429"/>
      <c r="TPU2" s="428" t="s">
        <v>23</v>
      </c>
      <c r="TPV2" s="429"/>
      <c r="TPW2" s="429"/>
      <c r="TPX2" s="429"/>
      <c r="TPY2" s="428" t="s">
        <v>23</v>
      </c>
      <c r="TPZ2" s="429"/>
      <c r="TQA2" s="429"/>
      <c r="TQB2" s="429"/>
      <c r="TQC2" s="428" t="s">
        <v>23</v>
      </c>
      <c r="TQD2" s="429"/>
      <c r="TQE2" s="429"/>
      <c r="TQF2" s="429"/>
      <c r="TQG2" s="428" t="s">
        <v>23</v>
      </c>
      <c r="TQH2" s="429"/>
      <c r="TQI2" s="429"/>
      <c r="TQJ2" s="429"/>
      <c r="TQK2" s="428" t="s">
        <v>23</v>
      </c>
      <c r="TQL2" s="429"/>
      <c r="TQM2" s="429"/>
      <c r="TQN2" s="429"/>
      <c r="TQO2" s="428" t="s">
        <v>23</v>
      </c>
      <c r="TQP2" s="429"/>
      <c r="TQQ2" s="429"/>
      <c r="TQR2" s="429"/>
      <c r="TQS2" s="428" t="s">
        <v>23</v>
      </c>
      <c r="TQT2" s="429"/>
      <c r="TQU2" s="429"/>
      <c r="TQV2" s="429"/>
      <c r="TQW2" s="428" t="s">
        <v>23</v>
      </c>
      <c r="TQX2" s="429"/>
      <c r="TQY2" s="429"/>
      <c r="TQZ2" s="429"/>
      <c r="TRA2" s="428" t="s">
        <v>23</v>
      </c>
      <c r="TRB2" s="429"/>
      <c r="TRC2" s="429"/>
      <c r="TRD2" s="429"/>
      <c r="TRE2" s="428" t="s">
        <v>23</v>
      </c>
      <c r="TRF2" s="429"/>
      <c r="TRG2" s="429"/>
      <c r="TRH2" s="429"/>
      <c r="TRI2" s="428" t="s">
        <v>23</v>
      </c>
      <c r="TRJ2" s="429"/>
      <c r="TRK2" s="429"/>
      <c r="TRL2" s="429"/>
      <c r="TRM2" s="428" t="s">
        <v>23</v>
      </c>
      <c r="TRN2" s="429"/>
      <c r="TRO2" s="429"/>
      <c r="TRP2" s="429"/>
      <c r="TRQ2" s="428" t="s">
        <v>23</v>
      </c>
      <c r="TRR2" s="429"/>
      <c r="TRS2" s="429"/>
      <c r="TRT2" s="429"/>
      <c r="TRU2" s="428" t="s">
        <v>23</v>
      </c>
      <c r="TRV2" s="429"/>
      <c r="TRW2" s="429"/>
      <c r="TRX2" s="429"/>
      <c r="TRY2" s="428" t="s">
        <v>23</v>
      </c>
      <c r="TRZ2" s="429"/>
      <c r="TSA2" s="429"/>
      <c r="TSB2" s="429"/>
      <c r="TSC2" s="428" t="s">
        <v>23</v>
      </c>
      <c r="TSD2" s="429"/>
      <c r="TSE2" s="429"/>
      <c r="TSF2" s="429"/>
      <c r="TSG2" s="428" t="s">
        <v>23</v>
      </c>
      <c r="TSH2" s="429"/>
      <c r="TSI2" s="429"/>
      <c r="TSJ2" s="429"/>
      <c r="TSK2" s="428" t="s">
        <v>23</v>
      </c>
      <c r="TSL2" s="429"/>
      <c r="TSM2" s="429"/>
      <c r="TSN2" s="429"/>
      <c r="TSO2" s="428" t="s">
        <v>23</v>
      </c>
      <c r="TSP2" s="429"/>
      <c r="TSQ2" s="429"/>
      <c r="TSR2" s="429"/>
      <c r="TSS2" s="428" t="s">
        <v>23</v>
      </c>
      <c r="TST2" s="429"/>
      <c r="TSU2" s="429"/>
      <c r="TSV2" s="429"/>
      <c r="TSW2" s="428" t="s">
        <v>23</v>
      </c>
      <c r="TSX2" s="429"/>
      <c r="TSY2" s="429"/>
      <c r="TSZ2" s="429"/>
      <c r="TTA2" s="428" t="s">
        <v>23</v>
      </c>
      <c r="TTB2" s="429"/>
      <c r="TTC2" s="429"/>
      <c r="TTD2" s="429"/>
      <c r="TTE2" s="428" t="s">
        <v>23</v>
      </c>
      <c r="TTF2" s="429"/>
      <c r="TTG2" s="429"/>
      <c r="TTH2" s="429"/>
      <c r="TTI2" s="428" t="s">
        <v>23</v>
      </c>
      <c r="TTJ2" s="429"/>
      <c r="TTK2" s="429"/>
      <c r="TTL2" s="429"/>
      <c r="TTM2" s="428" t="s">
        <v>23</v>
      </c>
      <c r="TTN2" s="429"/>
      <c r="TTO2" s="429"/>
      <c r="TTP2" s="429"/>
      <c r="TTQ2" s="428" t="s">
        <v>23</v>
      </c>
      <c r="TTR2" s="429"/>
      <c r="TTS2" s="429"/>
      <c r="TTT2" s="429"/>
      <c r="TTU2" s="428" t="s">
        <v>23</v>
      </c>
      <c r="TTV2" s="429"/>
      <c r="TTW2" s="429"/>
      <c r="TTX2" s="429"/>
      <c r="TTY2" s="428" t="s">
        <v>23</v>
      </c>
      <c r="TTZ2" s="429"/>
      <c r="TUA2" s="429"/>
      <c r="TUB2" s="429"/>
      <c r="TUC2" s="428" t="s">
        <v>23</v>
      </c>
      <c r="TUD2" s="429"/>
      <c r="TUE2" s="429"/>
      <c r="TUF2" s="429"/>
      <c r="TUG2" s="428" t="s">
        <v>23</v>
      </c>
      <c r="TUH2" s="429"/>
      <c r="TUI2" s="429"/>
      <c r="TUJ2" s="429"/>
      <c r="TUK2" s="428" t="s">
        <v>23</v>
      </c>
      <c r="TUL2" s="429"/>
      <c r="TUM2" s="429"/>
      <c r="TUN2" s="429"/>
      <c r="TUO2" s="428" t="s">
        <v>23</v>
      </c>
      <c r="TUP2" s="429"/>
      <c r="TUQ2" s="429"/>
      <c r="TUR2" s="429"/>
      <c r="TUS2" s="428" t="s">
        <v>23</v>
      </c>
      <c r="TUT2" s="429"/>
      <c r="TUU2" s="429"/>
      <c r="TUV2" s="429"/>
      <c r="TUW2" s="428" t="s">
        <v>23</v>
      </c>
      <c r="TUX2" s="429"/>
      <c r="TUY2" s="429"/>
      <c r="TUZ2" s="429"/>
      <c r="TVA2" s="428" t="s">
        <v>23</v>
      </c>
      <c r="TVB2" s="429"/>
      <c r="TVC2" s="429"/>
      <c r="TVD2" s="429"/>
      <c r="TVE2" s="428" t="s">
        <v>23</v>
      </c>
      <c r="TVF2" s="429"/>
      <c r="TVG2" s="429"/>
      <c r="TVH2" s="429"/>
      <c r="TVI2" s="428" t="s">
        <v>23</v>
      </c>
      <c r="TVJ2" s="429"/>
      <c r="TVK2" s="429"/>
      <c r="TVL2" s="429"/>
      <c r="TVM2" s="428" t="s">
        <v>23</v>
      </c>
      <c r="TVN2" s="429"/>
      <c r="TVO2" s="429"/>
      <c r="TVP2" s="429"/>
      <c r="TVQ2" s="428" t="s">
        <v>23</v>
      </c>
      <c r="TVR2" s="429"/>
      <c r="TVS2" s="429"/>
      <c r="TVT2" s="429"/>
      <c r="TVU2" s="428" t="s">
        <v>23</v>
      </c>
      <c r="TVV2" s="429"/>
      <c r="TVW2" s="429"/>
      <c r="TVX2" s="429"/>
      <c r="TVY2" s="428" t="s">
        <v>23</v>
      </c>
      <c r="TVZ2" s="429"/>
      <c r="TWA2" s="429"/>
      <c r="TWB2" s="429"/>
      <c r="TWC2" s="428" t="s">
        <v>23</v>
      </c>
      <c r="TWD2" s="429"/>
      <c r="TWE2" s="429"/>
      <c r="TWF2" s="429"/>
      <c r="TWG2" s="428" t="s">
        <v>23</v>
      </c>
      <c r="TWH2" s="429"/>
      <c r="TWI2" s="429"/>
      <c r="TWJ2" s="429"/>
      <c r="TWK2" s="428" t="s">
        <v>23</v>
      </c>
      <c r="TWL2" s="429"/>
      <c r="TWM2" s="429"/>
      <c r="TWN2" s="429"/>
      <c r="TWO2" s="428" t="s">
        <v>23</v>
      </c>
      <c r="TWP2" s="429"/>
      <c r="TWQ2" s="429"/>
      <c r="TWR2" s="429"/>
      <c r="TWS2" s="428" t="s">
        <v>23</v>
      </c>
      <c r="TWT2" s="429"/>
      <c r="TWU2" s="429"/>
      <c r="TWV2" s="429"/>
      <c r="TWW2" s="428" t="s">
        <v>23</v>
      </c>
      <c r="TWX2" s="429"/>
      <c r="TWY2" s="429"/>
      <c r="TWZ2" s="429"/>
      <c r="TXA2" s="428" t="s">
        <v>23</v>
      </c>
      <c r="TXB2" s="429"/>
      <c r="TXC2" s="429"/>
      <c r="TXD2" s="429"/>
      <c r="TXE2" s="428" t="s">
        <v>23</v>
      </c>
      <c r="TXF2" s="429"/>
      <c r="TXG2" s="429"/>
      <c r="TXH2" s="429"/>
      <c r="TXI2" s="428" t="s">
        <v>23</v>
      </c>
      <c r="TXJ2" s="429"/>
      <c r="TXK2" s="429"/>
      <c r="TXL2" s="429"/>
      <c r="TXM2" s="428" t="s">
        <v>23</v>
      </c>
      <c r="TXN2" s="429"/>
      <c r="TXO2" s="429"/>
      <c r="TXP2" s="429"/>
      <c r="TXQ2" s="428" t="s">
        <v>23</v>
      </c>
      <c r="TXR2" s="429"/>
      <c r="TXS2" s="429"/>
      <c r="TXT2" s="429"/>
      <c r="TXU2" s="428" t="s">
        <v>23</v>
      </c>
      <c r="TXV2" s="429"/>
      <c r="TXW2" s="429"/>
      <c r="TXX2" s="429"/>
      <c r="TXY2" s="428" t="s">
        <v>23</v>
      </c>
      <c r="TXZ2" s="429"/>
      <c r="TYA2" s="429"/>
      <c r="TYB2" s="429"/>
      <c r="TYC2" s="428" t="s">
        <v>23</v>
      </c>
      <c r="TYD2" s="429"/>
      <c r="TYE2" s="429"/>
      <c r="TYF2" s="429"/>
      <c r="TYG2" s="428" t="s">
        <v>23</v>
      </c>
      <c r="TYH2" s="429"/>
      <c r="TYI2" s="429"/>
      <c r="TYJ2" s="429"/>
      <c r="TYK2" s="428" t="s">
        <v>23</v>
      </c>
      <c r="TYL2" s="429"/>
      <c r="TYM2" s="429"/>
      <c r="TYN2" s="429"/>
      <c r="TYO2" s="428" t="s">
        <v>23</v>
      </c>
      <c r="TYP2" s="429"/>
      <c r="TYQ2" s="429"/>
      <c r="TYR2" s="429"/>
      <c r="TYS2" s="428" t="s">
        <v>23</v>
      </c>
      <c r="TYT2" s="429"/>
      <c r="TYU2" s="429"/>
      <c r="TYV2" s="429"/>
      <c r="TYW2" s="428" t="s">
        <v>23</v>
      </c>
      <c r="TYX2" s="429"/>
      <c r="TYY2" s="429"/>
      <c r="TYZ2" s="429"/>
      <c r="TZA2" s="428" t="s">
        <v>23</v>
      </c>
      <c r="TZB2" s="429"/>
      <c r="TZC2" s="429"/>
      <c r="TZD2" s="429"/>
      <c r="TZE2" s="428" t="s">
        <v>23</v>
      </c>
      <c r="TZF2" s="429"/>
      <c r="TZG2" s="429"/>
      <c r="TZH2" s="429"/>
      <c r="TZI2" s="428" t="s">
        <v>23</v>
      </c>
      <c r="TZJ2" s="429"/>
      <c r="TZK2" s="429"/>
      <c r="TZL2" s="429"/>
      <c r="TZM2" s="428" t="s">
        <v>23</v>
      </c>
      <c r="TZN2" s="429"/>
      <c r="TZO2" s="429"/>
      <c r="TZP2" s="429"/>
      <c r="TZQ2" s="428" t="s">
        <v>23</v>
      </c>
      <c r="TZR2" s="429"/>
      <c r="TZS2" s="429"/>
      <c r="TZT2" s="429"/>
      <c r="TZU2" s="428" t="s">
        <v>23</v>
      </c>
      <c r="TZV2" s="429"/>
      <c r="TZW2" s="429"/>
      <c r="TZX2" s="429"/>
      <c r="TZY2" s="428" t="s">
        <v>23</v>
      </c>
      <c r="TZZ2" s="429"/>
      <c r="UAA2" s="429"/>
      <c r="UAB2" s="429"/>
      <c r="UAC2" s="428" t="s">
        <v>23</v>
      </c>
      <c r="UAD2" s="429"/>
      <c r="UAE2" s="429"/>
      <c r="UAF2" s="429"/>
      <c r="UAG2" s="428" t="s">
        <v>23</v>
      </c>
      <c r="UAH2" s="429"/>
      <c r="UAI2" s="429"/>
      <c r="UAJ2" s="429"/>
      <c r="UAK2" s="428" t="s">
        <v>23</v>
      </c>
      <c r="UAL2" s="429"/>
      <c r="UAM2" s="429"/>
      <c r="UAN2" s="429"/>
      <c r="UAO2" s="428" t="s">
        <v>23</v>
      </c>
      <c r="UAP2" s="429"/>
      <c r="UAQ2" s="429"/>
      <c r="UAR2" s="429"/>
      <c r="UAS2" s="428" t="s">
        <v>23</v>
      </c>
      <c r="UAT2" s="429"/>
      <c r="UAU2" s="429"/>
      <c r="UAV2" s="429"/>
      <c r="UAW2" s="428" t="s">
        <v>23</v>
      </c>
      <c r="UAX2" s="429"/>
      <c r="UAY2" s="429"/>
      <c r="UAZ2" s="429"/>
      <c r="UBA2" s="428" t="s">
        <v>23</v>
      </c>
      <c r="UBB2" s="429"/>
      <c r="UBC2" s="429"/>
      <c r="UBD2" s="429"/>
      <c r="UBE2" s="428" t="s">
        <v>23</v>
      </c>
      <c r="UBF2" s="429"/>
      <c r="UBG2" s="429"/>
      <c r="UBH2" s="429"/>
      <c r="UBI2" s="428" t="s">
        <v>23</v>
      </c>
      <c r="UBJ2" s="429"/>
      <c r="UBK2" s="429"/>
      <c r="UBL2" s="429"/>
      <c r="UBM2" s="428" t="s">
        <v>23</v>
      </c>
      <c r="UBN2" s="429"/>
      <c r="UBO2" s="429"/>
      <c r="UBP2" s="429"/>
      <c r="UBQ2" s="428" t="s">
        <v>23</v>
      </c>
      <c r="UBR2" s="429"/>
      <c r="UBS2" s="429"/>
      <c r="UBT2" s="429"/>
      <c r="UBU2" s="428" t="s">
        <v>23</v>
      </c>
      <c r="UBV2" s="429"/>
      <c r="UBW2" s="429"/>
      <c r="UBX2" s="429"/>
      <c r="UBY2" s="428" t="s">
        <v>23</v>
      </c>
      <c r="UBZ2" s="429"/>
      <c r="UCA2" s="429"/>
      <c r="UCB2" s="429"/>
      <c r="UCC2" s="428" t="s">
        <v>23</v>
      </c>
      <c r="UCD2" s="429"/>
      <c r="UCE2" s="429"/>
      <c r="UCF2" s="429"/>
      <c r="UCG2" s="428" t="s">
        <v>23</v>
      </c>
      <c r="UCH2" s="429"/>
      <c r="UCI2" s="429"/>
      <c r="UCJ2" s="429"/>
      <c r="UCK2" s="428" t="s">
        <v>23</v>
      </c>
      <c r="UCL2" s="429"/>
      <c r="UCM2" s="429"/>
      <c r="UCN2" s="429"/>
      <c r="UCO2" s="428" t="s">
        <v>23</v>
      </c>
      <c r="UCP2" s="429"/>
      <c r="UCQ2" s="429"/>
      <c r="UCR2" s="429"/>
      <c r="UCS2" s="428" t="s">
        <v>23</v>
      </c>
      <c r="UCT2" s="429"/>
      <c r="UCU2" s="429"/>
      <c r="UCV2" s="429"/>
      <c r="UCW2" s="428" t="s">
        <v>23</v>
      </c>
      <c r="UCX2" s="429"/>
      <c r="UCY2" s="429"/>
      <c r="UCZ2" s="429"/>
      <c r="UDA2" s="428" t="s">
        <v>23</v>
      </c>
      <c r="UDB2" s="429"/>
      <c r="UDC2" s="429"/>
      <c r="UDD2" s="429"/>
      <c r="UDE2" s="428" t="s">
        <v>23</v>
      </c>
      <c r="UDF2" s="429"/>
      <c r="UDG2" s="429"/>
      <c r="UDH2" s="429"/>
      <c r="UDI2" s="428" t="s">
        <v>23</v>
      </c>
      <c r="UDJ2" s="429"/>
      <c r="UDK2" s="429"/>
      <c r="UDL2" s="429"/>
      <c r="UDM2" s="428" t="s">
        <v>23</v>
      </c>
      <c r="UDN2" s="429"/>
      <c r="UDO2" s="429"/>
      <c r="UDP2" s="429"/>
      <c r="UDQ2" s="428" t="s">
        <v>23</v>
      </c>
      <c r="UDR2" s="429"/>
      <c r="UDS2" s="429"/>
      <c r="UDT2" s="429"/>
      <c r="UDU2" s="428" t="s">
        <v>23</v>
      </c>
      <c r="UDV2" s="429"/>
      <c r="UDW2" s="429"/>
      <c r="UDX2" s="429"/>
      <c r="UDY2" s="428" t="s">
        <v>23</v>
      </c>
      <c r="UDZ2" s="429"/>
      <c r="UEA2" s="429"/>
      <c r="UEB2" s="429"/>
      <c r="UEC2" s="428" t="s">
        <v>23</v>
      </c>
      <c r="UED2" s="429"/>
      <c r="UEE2" s="429"/>
      <c r="UEF2" s="429"/>
      <c r="UEG2" s="428" t="s">
        <v>23</v>
      </c>
      <c r="UEH2" s="429"/>
      <c r="UEI2" s="429"/>
      <c r="UEJ2" s="429"/>
      <c r="UEK2" s="428" t="s">
        <v>23</v>
      </c>
      <c r="UEL2" s="429"/>
      <c r="UEM2" s="429"/>
      <c r="UEN2" s="429"/>
      <c r="UEO2" s="428" t="s">
        <v>23</v>
      </c>
      <c r="UEP2" s="429"/>
      <c r="UEQ2" s="429"/>
      <c r="UER2" s="429"/>
      <c r="UES2" s="428" t="s">
        <v>23</v>
      </c>
      <c r="UET2" s="429"/>
      <c r="UEU2" s="429"/>
      <c r="UEV2" s="429"/>
      <c r="UEW2" s="428" t="s">
        <v>23</v>
      </c>
      <c r="UEX2" s="429"/>
      <c r="UEY2" s="429"/>
      <c r="UEZ2" s="429"/>
      <c r="UFA2" s="428" t="s">
        <v>23</v>
      </c>
      <c r="UFB2" s="429"/>
      <c r="UFC2" s="429"/>
      <c r="UFD2" s="429"/>
      <c r="UFE2" s="428" t="s">
        <v>23</v>
      </c>
      <c r="UFF2" s="429"/>
      <c r="UFG2" s="429"/>
      <c r="UFH2" s="429"/>
      <c r="UFI2" s="428" t="s">
        <v>23</v>
      </c>
      <c r="UFJ2" s="429"/>
      <c r="UFK2" s="429"/>
      <c r="UFL2" s="429"/>
      <c r="UFM2" s="428" t="s">
        <v>23</v>
      </c>
      <c r="UFN2" s="429"/>
      <c r="UFO2" s="429"/>
      <c r="UFP2" s="429"/>
      <c r="UFQ2" s="428" t="s">
        <v>23</v>
      </c>
      <c r="UFR2" s="429"/>
      <c r="UFS2" s="429"/>
      <c r="UFT2" s="429"/>
      <c r="UFU2" s="428" t="s">
        <v>23</v>
      </c>
      <c r="UFV2" s="429"/>
      <c r="UFW2" s="429"/>
      <c r="UFX2" s="429"/>
      <c r="UFY2" s="428" t="s">
        <v>23</v>
      </c>
      <c r="UFZ2" s="429"/>
      <c r="UGA2" s="429"/>
      <c r="UGB2" s="429"/>
      <c r="UGC2" s="428" t="s">
        <v>23</v>
      </c>
      <c r="UGD2" s="429"/>
      <c r="UGE2" s="429"/>
      <c r="UGF2" s="429"/>
      <c r="UGG2" s="428" t="s">
        <v>23</v>
      </c>
      <c r="UGH2" s="429"/>
      <c r="UGI2" s="429"/>
      <c r="UGJ2" s="429"/>
      <c r="UGK2" s="428" t="s">
        <v>23</v>
      </c>
      <c r="UGL2" s="429"/>
      <c r="UGM2" s="429"/>
      <c r="UGN2" s="429"/>
      <c r="UGO2" s="428" t="s">
        <v>23</v>
      </c>
      <c r="UGP2" s="429"/>
      <c r="UGQ2" s="429"/>
      <c r="UGR2" s="429"/>
      <c r="UGS2" s="428" t="s">
        <v>23</v>
      </c>
      <c r="UGT2" s="429"/>
      <c r="UGU2" s="429"/>
      <c r="UGV2" s="429"/>
      <c r="UGW2" s="428" t="s">
        <v>23</v>
      </c>
      <c r="UGX2" s="429"/>
      <c r="UGY2" s="429"/>
      <c r="UGZ2" s="429"/>
      <c r="UHA2" s="428" t="s">
        <v>23</v>
      </c>
      <c r="UHB2" s="429"/>
      <c r="UHC2" s="429"/>
      <c r="UHD2" s="429"/>
      <c r="UHE2" s="428" t="s">
        <v>23</v>
      </c>
      <c r="UHF2" s="429"/>
      <c r="UHG2" s="429"/>
      <c r="UHH2" s="429"/>
      <c r="UHI2" s="428" t="s">
        <v>23</v>
      </c>
      <c r="UHJ2" s="429"/>
      <c r="UHK2" s="429"/>
      <c r="UHL2" s="429"/>
      <c r="UHM2" s="428" t="s">
        <v>23</v>
      </c>
      <c r="UHN2" s="429"/>
      <c r="UHO2" s="429"/>
      <c r="UHP2" s="429"/>
      <c r="UHQ2" s="428" t="s">
        <v>23</v>
      </c>
      <c r="UHR2" s="429"/>
      <c r="UHS2" s="429"/>
      <c r="UHT2" s="429"/>
      <c r="UHU2" s="428" t="s">
        <v>23</v>
      </c>
      <c r="UHV2" s="429"/>
      <c r="UHW2" s="429"/>
      <c r="UHX2" s="429"/>
      <c r="UHY2" s="428" t="s">
        <v>23</v>
      </c>
      <c r="UHZ2" s="429"/>
      <c r="UIA2" s="429"/>
      <c r="UIB2" s="429"/>
      <c r="UIC2" s="428" t="s">
        <v>23</v>
      </c>
      <c r="UID2" s="429"/>
      <c r="UIE2" s="429"/>
      <c r="UIF2" s="429"/>
      <c r="UIG2" s="428" t="s">
        <v>23</v>
      </c>
      <c r="UIH2" s="429"/>
      <c r="UII2" s="429"/>
      <c r="UIJ2" s="429"/>
      <c r="UIK2" s="428" t="s">
        <v>23</v>
      </c>
      <c r="UIL2" s="429"/>
      <c r="UIM2" s="429"/>
      <c r="UIN2" s="429"/>
      <c r="UIO2" s="428" t="s">
        <v>23</v>
      </c>
      <c r="UIP2" s="429"/>
      <c r="UIQ2" s="429"/>
      <c r="UIR2" s="429"/>
      <c r="UIS2" s="428" t="s">
        <v>23</v>
      </c>
      <c r="UIT2" s="429"/>
      <c r="UIU2" s="429"/>
      <c r="UIV2" s="429"/>
      <c r="UIW2" s="428" t="s">
        <v>23</v>
      </c>
      <c r="UIX2" s="429"/>
      <c r="UIY2" s="429"/>
      <c r="UIZ2" s="429"/>
      <c r="UJA2" s="428" t="s">
        <v>23</v>
      </c>
      <c r="UJB2" s="429"/>
      <c r="UJC2" s="429"/>
      <c r="UJD2" s="429"/>
      <c r="UJE2" s="428" t="s">
        <v>23</v>
      </c>
      <c r="UJF2" s="429"/>
      <c r="UJG2" s="429"/>
      <c r="UJH2" s="429"/>
      <c r="UJI2" s="428" t="s">
        <v>23</v>
      </c>
      <c r="UJJ2" s="429"/>
      <c r="UJK2" s="429"/>
      <c r="UJL2" s="429"/>
      <c r="UJM2" s="428" t="s">
        <v>23</v>
      </c>
      <c r="UJN2" s="429"/>
      <c r="UJO2" s="429"/>
      <c r="UJP2" s="429"/>
      <c r="UJQ2" s="428" t="s">
        <v>23</v>
      </c>
      <c r="UJR2" s="429"/>
      <c r="UJS2" s="429"/>
      <c r="UJT2" s="429"/>
      <c r="UJU2" s="428" t="s">
        <v>23</v>
      </c>
      <c r="UJV2" s="429"/>
      <c r="UJW2" s="429"/>
      <c r="UJX2" s="429"/>
      <c r="UJY2" s="428" t="s">
        <v>23</v>
      </c>
      <c r="UJZ2" s="429"/>
      <c r="UKA2" s="429"/>
      <c r="UKB2" s="429"/>
      <c r="UKC2" s="428" t="s">
        <v>23</v>
      </c>
      <c r="UKD2" s="429"/>
      <c r="UKE2" s="429"/>
      <c r="UKF2" s="429"/>
      <c r="UKG2" s="428" t="s">
        <v>23</v>
      </c>
      <c r="UKH2" s="429"/>
      <c r="UKI2" s="429"/>
      <c r="UKJ2" s="429"/>
      <c r="UKK2" s="428" t="s">
        <v>23</v>
      </c>
      <c r="UKL2" s="429"/>
      <c r="UKM2" s="429"/>
      <c r="UKN2" s="429"/>
      <c r="UKO2" s="428" t="s">
        <v>23</v>
      </c>
      <c r="UKP2" s="429"/>
      <c r="UKQ2" s="429"/>
      <c r="UKR2" s="429"/>
      <c r="UKS2" s="428" t="s">
        <v>23</v>
      </c>
      <c r="UKT2" s="429"/>
      <c r="UKU2" s="429"/>
      <c r="UKV2" s="429"/>
      <c r="UKW2" s="428" t="s">
        <v>23</v>
      </c>
      <c r="UKX2" s="429"/>
      <c r="UKY2" s="429"/>
      <c r="UKZ2" s="429"/>
      <c r="ULA2" s="428" t="s">
        <v>23</v>
      </c>
      <c r="ULB2" s="429"/>
      <c r="ULC2" s="429"/>
      <c r="ULD2" s="429"/>
      <c r="ULE2" s="428" t="s">
        <v>23</v>
      </c>
      <c r="ULF2" s="429"/>
      <c r="ULG2" s="429"/>
      <c r="ULH2" s="429"/>
      <c r="ULI2" s="428" t="s">
        <v>23</v>
      </c>
      <c r="ULJ2" s="429"/>
      <c r="ULK2" s="429"/>
      <c r="ULL2" s="429"/>
      <c r="ULM2" s="428" t="s">
        <v>23</v>
      </c>
      <c r="ULN2" s="429"/>
      <c r="ULO2" s="429"/>
      <c r="ULP2" s="429"/>
      <c r="ULQ2" s="428" t="s">
        <v>23</v>
      </c>
      <c r="ULR2" s="429"/>
      <c r="ULS2" s="429"/>
      <c r="ULT2" s="429"/>
      <c r="ULU2" s="428" t="s">
        <v>23</v>
      </c>
      <c r="ULV2" s="429"/>
      <c r="ULW2" s="429"/>
      <c r="ULX2" s="429"/>
      <c r="ULY2" s="428" t="s">
        <v>23</v>
      </c>
      <c r="ULZ2" s="429"/>
      <c r="UMA2" s="429"/>
      <c r="UMB2" s="429"/>
      <c r="UMC2" s="428" t="s">
        <v>23</v>
      </c>
      <c r="UMD2" s="429"/>
      <c r="UME2" s="429"/>
      <c r="UMF2" s="429"/>
      <c r="UMG2" s="428" t="s">
        <v>23</v>
      </c>
      <c r="UMH2" s="429"/>
      <c r="UMI2" s="429"/>
      <c r="UMJ2" s="429"/>
      <c r="UMK2" s="428" t="s">
        <v>23</v>
      </c>
      <c r="UML2" s="429"/>
      <c r="UMM2" s="429"/>
      <c r="UMN2" s="429"/>
      <c r="UMO2" s="428" t="s">
        <v>23</v>
      </c>
      <c r="UMP2" s="429"/>
      <c r="UMQ2" s="429"/>
      <c r="UMR2" s="429"/>
      <c r="UMS2" s="428" t="s">
        <v>23</v>
      </c>
      <c r="UMT2" s="429"/>
      <c r="UMU2" s="429"/>
      <c r="UMV2" s="429"/>
      <c r="UMW2" s="428" t="s">
        <v>23</v>
      </c>
      <c r="UMX2" s="429"/>
      <c r="UMY2" s="429"/>
      <c r="UMZ2" s="429"/>
      <c r="UNA2" s="428" t="s">
        <v>23</v>
      </c>
      <c r="UNB2" s="429"/>
      <c r="UNC2" s="429"/>
      <c r="UND2" s="429"/>
      <c r="UNE2" s="428" t="s">
        <v>23</v>
      </c>
      <c r="UNF2" s="429"/>
      <c r="UNG2" s="429"/>
      <c r="UNH2" s="429"/>
      <c r="UNI2" s="428" t="s">
        <v>23</v>
      </c>
      <c r="UNJ2" s="429"/>
      <c r="UNK2" s="429"/>
      <c r="UNL2" s="429"/>
      <c r="UNM2" s="428" t="s">
        <v>23</v>
      </c>
      <c r="UNN2" s="429"/>
      <c r="UNO2" s="429"/>
      <c r="UNP2" s="429"/>
      <c r="UNQ2" s="428" t="s">
        <v>23</v>
      </c>
      <c r="UNR2" s="429"/>
      <c r="UNS2" s="429"/>
      <c r="UNT2" s="429"/>
      <c r="UNU2" s="428" t="s">
        <v>23</v>
      </c>
      <c r="UNV2" s="429"/>
      <c r="UNW2" s="429"/>
      <c r="UNX2" s="429"/>
      <c r="UNY2" s="428" t="s">
        <v>23</v>
      </c>
      <c r="UNZ2" s="429"/>
      <c r="UOA2" s="429"/>
      <c r="UOB2" s="429"/>
      <c r="UOC2" s="428" t="s">
        <v>23</v>
      </c>
      <c r="UOD2" s="429"/>
      <c r="UOE2" s="429"/>
      <c r="UOF2" s="429"/>
      <c r="UOG2" s="428" t="s">
        <v>23</v>
      </c>
      <c r="UOH2" s="429"/>
      <c r="UOI2" s="429"/>
      <c r="UOJ2" s="429"/>
      <c r="UOK2" s="428" t="s">
        <v>23</v>
      </c>
      <c r="UOL2" s="429"/>
      <c r="UOM2" s="429"/>
      <c r="UON2" s="429"/>
      <c r="UOO2" s="428" t="s">
        <v>23</v>
      </c>
      <c r="UOP2" s="429"/>
      <c r="UOQ2" s="429"/>
      <c r="UOR2" s="429"/>
      <c r="UOS2" s="428" t="s">
        <v>23</v>
      </c>
      <c r="UOT2" s="429"/>
      <c r="UOU2" s="429"/>
      <c r="UOV2" s="429"/>
      <c r="UOW2" s="428" t="s">
        <v>23</v>
      </c>
      <c r="UOX2" s="429"/>
      <c r="UOY2" s="429"/>
      <c r="UOZ2" s="429"/>
      <c r="UPA2" s="428" t="s">
        <v>23</v>
      </c>
      <c r="UPB2" s="429"/>
      <c r="UPC2" s="429"/>
      <c r="UPD2" s="429"/>
      <c r="UPE2" s="428" t="s">
        <v>23</v>
      </c>
      <c r="UPF2" s="429"/>
      <c r="UPG2" s="429"/>
      <c r="UPH2" s="429"/>
      <c r="UPI2" s="428" t="s">
        <v>23</v>
      </c>
      <c r="UPJ2" s="429"/>
      <c r="UPK2" s="429"/>
      <c r="UPL2" s="429"/>
      <c r="UPM2" s="428" t="s">
        <v>23</v>
      </c>
      <c r="UPN2" s="429"/>
      <c r="UPO2" s="429"/>
      <c r="UPP2" s="429"/>
      <c r="UPQ2" s="428" t="s">
        <v>23</v>
      </c>
      <c r="UPR2" s="429"/>
      <c r="UPS2" s="429"/>
      <c r="UPT2" s="429"/>
      <c r="UPU2" s="428" t="s">
        <v>23</v>
      </c>
      <c r="UPV2" s="429"/>
      <c r="UPW2" s="429"/>
      <c r="UPX2" s="429"/>
      <c r="UPY2" s="428" t="s">
        <v>23</v>
      </c>
      <c r="UPZ2" s="429"/>
      <c r="UQA2" s="429"/>
      <c r="UQB2" s="429"/>
      <c r="UQC2" s="428" t="s">
        <v>23</v>
      </c>
      <c r="UQD2" s="429"/>
      <c r="UQE2" s="429"/>
      <c r="UQF2" s="429"/>
      <c r="UQG2" s="428" t="s">
        <v>23</v>
      </c>
      <c r="UQH2" s="429"/>
      <c r="UQI2" s="429"/>
      <c r="UQJ2" s="429"/>
      <c r="UQK2" s="428" t="s">
        <v>23</v>
      </c>
      <c r="UQL2" s="429"/>
      <c r="UQM2" s="429"/>
      <c r="UQN2" s="429"/>
      <c r="UQO2" s="428" t="s">
        <v>23</v>
      </c>
      <c r="UQP2" s="429"/>
      <c r="UQQ2" s="429"/>
      <c r="UQR2" s="429"/>
      <c r="UQS2" s="428" t="s">
        <v>23</v>
      </c>
      <c r="UQT2" s="429"/>
      <c r="UQU2" s="429"/>
      <c r="UQV2" s="429"/>
      <c r="UQW2" s="428" t="s">
        <v>23</v>
      </c>
      <c r="UQX2" s="429"/>
      <c r="UQY2" s="429"/>
      <c r="UQZ2" s="429"/>
      <c r="URA2" s="428" t="s">
        <v>23</v>
      </c>
      <c r="URB2" s="429"/>
      <c r="URC2" s="429"/>
      <c r="URD2" s="429"/>
      <c r="URE2" s="428" t="s">
        <v>23</v>
      </c>
      <c r="URF2" s="429"/>
      <c r="URG2" s="429"/>
      <c r="URH2" s="429"/>
      <c r="URI2" s="428" t="s">
        <v>23</v>
      </c>
      <c r="URJ2" s="429"/>
      <c r="URK2" s="429"/>
      <c r="URL2" s="429"/>
      <c r="URM2" s="428" t="s">
        <v>23</v>
      </c>
      <c r="URN2" s="429"/>
      <c r="URO2" s="429"/>
      <c r="URP2" s="429"/>
      <c r="URQ2" s="428" t="s">
        <v>23</v>
      </c>
      <c r="URR2" s="429"/>
      <c r="URS2" s="429"/>
      <c r="URT2" s="429"/>
      <c r="URU2" s="428" t="s">
        <v>23</v>
      </c>
      <c r="URV2" s="429"/>
      <c r="URW2" s="429"/>
      <c r="URX2" s="429"/>
      <c r="URY2" s="428" t="s">
        <v>23</v>
      </c>
      <c r="URZ2" s="429"/>
      <c r="USA2" s="429"/>
      <c r="USB2" s="429"/>
      <c r="USC2" s="428" t="s">
        <v>23</v>
      </c>
      <c r="USD2" s="429"/>
      <c r="USE2" s="429"/>
      <c r="USF2" s="429"/>
      <c r="USG2" s="428" t="s">
        <v>23</v>
      </c>
      <c r="USH2" s="429"/>
      <c r="USI2" s="429"/>
      <c r="USJ2" s="429"/>
      <c r="USK2" s="428" t="s">
        <v>23</v>
      </c>
      <c r="USL2" s="429"/>
      <c r="USM2" s="429"/>
      <c r="USN2" s="429"/>
      <c r="USO2" s="428" t="s">
        <v>23</v>
      </c>
      <c r="USP2" s="429"/>
      <c r="USQ2" s="429"/>
      <c r="USR2" s="429"/>
      <c r="USS2" s="428" t="s">
        <v>23</v>
      </c>
      <c r="UST2" s="429"/>
      <c r="USU2" s="429"/>
      <c r="USV2" s="429"/>
      <c r="USW2" s="428" t="s">
        <v>23</v>
      </c>
      <c r="USX2" s="429"/>
      <c r="USY2" s="429"/>
      <c r="USZ2" s="429"/>
      <c r="UTA2" s="428" t="s">
        <v>23</v>
      </c>
      <c r="UTB2" s="429"/>
      <c r="UTC2" s="429"/>
      <c r="UTD2" s="429"/>
      <c r="UTE2" s="428" t="s">
        <v>23</v>
      </c>
      <c r="UTF2" s="429"/>
      <c r="UTG2" s="429"/>
      <c r="UTH2" s="429"/>
      <c r="UTI2" s="428" t="s">
        <v>23</v>
      </c>
      <c r="UTJ2" s="429"/>
      <c r="UTK2" s="429"/>
      <c r="UTL2" s="429"/>
      <c r="UTM2" s="428" t="s">
        <v>23</v>
      </c>
      <c r="UTN2" s="429"/>
      <c r="UTO2" s="429"/>
      <c r="UTP2" s="429"/>
      <c r="UTQ2" s="428" t="s">
        <v>23</v>
      </c>
      <c r="UTR2" s="429"/>
      <c r="UTS2" s="429"/>
      <c r="UTT2" s="429"/>
      <c r="UTU2" s="428" t="s">
        <v>23</v>
      </c>
      <c r="UTV2" s="429"/>
      <c r="UTW2" s="429"/>
      <c r="UTX2" s="429"/>
      <c r="UTY2" s="428" t="s">
        <v>23</v>
      </c>
      <c r="UTZ2" s="429"/>
      <c r="UUA2" s="429"/>
      <c r="UUB2" s="429"/>
      <c r="UUC2" s="428" t="s">
        <v>23</v>
      </c>
      <c r="UUD2" s="429"/>
      <c r="UUE2" s="429"/>
      <c r="UUF2" s="429"/>
      <c r="UUG2" s="428" t="s">
        <v>23</v>
      </c>
      <c r="UUH2" s="429"/>
      <c r="UUI2" s="429"/>
      <c r="UUJ2" s="429"/>
      <c r="UUK2" s="428" t="s">
        <v>23</v>
      </c>
      <c r="UUL2" s="429"/>
      <c r="UUM2" s="429"/>
      <c r="UUN2" s="429"/>
      <c r="UUO2" s="428" t="s">
        <v>23</v>
      </c>
      <c r="UUP2" s="429"/>
      <c r="UUQ2" s="429"/>
      <c r="UUR2" s="429"/>
      <c r="UUS2" s="428" t="s">
        <v>23</v>
      </c>
      <c r="UUT2" s="429"/>
      <c r="UUU2" s="429"/>
      <c r="UUV2" s="429"/>
      <c r="UUW2" s="428" t="s">
        <v>23</v>
      </c>
      <c r="UUX2" s="429"/>
      <c r="UUY2" s="429"/>
      <c r="UUZ2" s="429"/>
      <c r="UVA2" s="428" t="s">
        <v>23</v>
      </c>
      <c r="UVB2" s="429"/>
      <c r="UVC2" s="429"/>
      <c r="UVD2" s="429"/>
      <c r="UVE2" s="428" t="s">
        <v>23</v>
      </c>
      <c r="UVF2" s="429"/>
      <c r="UVG2" s="429"/>
      <c r="UVH2" s="429"/>
      <c r="UVI2" s="428" t="s">
        <v>23</v>
      </c>
      <c r="UVJ2" s="429"/>
      <c r="UVK2" s="429"/>
      <c r="UVL2" s="429"/>
      <c r="UVM2" s="428" t="s">
        <v>23</v>
      </c>
      <c r="UVN2" s="429"/>
      <c r="UVO2" s="429"/>
      <c r="UVP2" s="429"/>
      <c r="UVQ2" s="428" t="s">
        <v>23</v>
      </c>
      <c r="UVR2" s="429"/>
      <c r="UVS2" s="429"/>
      <c r="UVT2" s="429"/>
      <c r="UVU2" s="428" t="s">
        <v>23</v>
      </c>
      <c r="UVV2" s="429"/>
      <c r="UVW2" s="429"/>
      <c r="UVX2" s="429"/>
      <c r="UVY2" s="428" t="s">
        <v>23</v>
      </c>
      <c r="UVZ2" s="429"/>
      <c r="UWA2" s="429"/>
      <c r="UWB2" s="429"/>
      <c r="UWC2" s="428" t="s">
        <v>23</v>
      </c>
      <c r="UWD2" s="429"/>
      <c r="UWE2" s="429"/>
      <c r="UWF2" s="429"/>
      <c r="UWG2" s="428" t="s">
        <v>23</v>
      </c>
      <c r="UWH2" s="429"/>
      <c r="UWI2" s="429"/>
      <c r="UWJ2" s="429"/>
      <c r="UWK2" s="428" t="s">
        <v>23</v>
      </c>
      <c r="UWL2" s="429"/>
      <c r="UWM2" s="429"/>
      <c r="UWN2" s="429"/>
      <c r="UWO2" s="428" t="s">
        <v>23</v>
      </c>
      <c r="UWP2" s="429"/>
      <c r="UWQ2" s="429"/>
      <c r="UWR2" s="429"/>
      <c r="UWS2" s="428" t="s">
        <v>23</v>
      </c>
      <c r="UWT2" s="429"/>
      <c r="UWU2" s="429"/>
      <c r="UWV2" s="429"/>
      <c r="UWW2" s="428" t="s">
        <v>23</v>
      </c>
      <c r="UWX2" s="429"/>
      <c r="UWY2" s="429"/>
      <c r="UWZ2" s="429"/>
      <c r="UXA2" s="428" t="s">
        <v>23</v>
      </c>
      <c r="UXB2" s="429"/>
      <c r="UXC2" s="429"/>
      <c r="UXD2" s="429"/>
      <c r="UXE2" s="428" t="s">
        <v>23</v>
      </c>
      <c r="UXF2" s="429"/>
      <c r="UXG2" s="429"/>
      <c r="UXH2" s="429"/>
      <c r="UXI2" s="428" t="s">
        <v>23</v>
      </c>
      <c r="UXJ2" s="429"/>
      <c r="UXK2" s="429"/>
      <c r="UXL2" s="429"/>
      <c r="UXM2" s="428" t="s">
        <v>23</v>
      </c>
      <c r="UXN2" s="429"/>
      <c r="UXO2" s="429"/>
      <c r="UXP2" s="429"/>
      <c r="UXQ2" s="428" t="s">
        <v>23</v>
      </c>
      <c r="UXR2" s="429"/>
      <c r="UXS2" s="429"/>
      <c r="UXT2" s="429"/>
      <c r="UXU2" s="428" t="s">
        <v>23</v>
      </c>
      <c r="UXV2" s="429"/>
      <c r="UXW2" s="429"/>
      <c r="UXX2" s="429"/>
      <c r="UXY2" s="428" t="s">
        <v>23</v>
      </c>
      <c r="UXZ2" s="429"/>
      <c r="UYA2" s="429"/>
      <c r="UYB2" s="429"/>
      <c r="UYC2" s="428" t="s">
        <v>23</v>
      </c>
      <c r="UYD2" s="429"/>
      <c r="UYE2" s="429"/>
      <c r="UYF2" s="429"/>
      <c r="UYG2" s="428" t="s">
        <v>23</v>
      </c>
      <c r="UYH2" s="429"/>
      <c r="UYI2" s="429"/>
      <c r="UYJ2" s="429"/>
      <c r="UYK2" s="428" t="s">
        <v>23</v>
      </c>
      <c r="UYL2" s="429"/>
      <c r="UYM2" s="429"/>
      <c r="UYN2" s="429"/>
      <c r="UYO2" s="428" t="s">
        <v>23</v>
      </c>
      <c r="UYP2" s="429"/>
      <c r="UYQ2" s="429"/>
      <c r="UYR2" s="429"/>
      <c r="UYS2" s="428" t="s">
        <v>23</v>
      </c>
      <c r="UYT2" s="429"/>
      <c r="UYU2" s="429"/>
      <c r="UYV2" s="429"/>
      <c r="UYW2" s="428" t="s">
        <v>23</v>
      </c>
      <c r="UYX2" s="429"/>
      <c r="UYY2" s="429"/>
      <c r="UYZ2" s="429"/>
      <c r="UZA2" s="428" t="s">
        <v>23</v>
      </c>
      <c r="UZB2" s="429"/>
      <c r="UZC2" s="429"/>
      <c r="UZD2" s="429"/>
      <c r="UZE2" s="428" t="s">
        <v>23</v>
      </c>
      <c r="UZF2" s="429"/>
      <c r="UZG2" s="429"/>
      <c r="UZH2" s="429"/>
      <c r="UZI2" s="428" t="s">
        <v>23</v>
      </c>
      <c r="UZJ2" s="429"/>
      <c r="UZK2" s="429"/>
      <c r="UZL2" s="429"/>
      <c r="UZM2" s="428" t="s">
        <v>23</v>
      </c>
      <c r="UZN2" s="429"/>
      <c r="UZO2" s="429"/>
      <c r="UZP2" s="429"/>
      <c r="UZQ2" s="428" t="s">
        <v>23</v>
      </c>
      <c r="UZR2" s="429"/>
      <c r="UZS2" s="429"/>
      <c r="UZT2" s="429"/>
      <c r="UZU2" s="428" t="s">
        <v>23</v>
      </c>
      <c r="UZV2" s="429"/>
      <c r="UZW2" s="429"/>
      <c r="UZX2" s="429"/>
      <c r="UZY2" s="428" t="s">
        <v>23</v>
      </c>
      <c r="UZZ2" s="429"/>
      <c r="VAA2" s="429"/>
      <c r="VAB2" s="429"/>
      <c r="VAC2" s="428" t="s">
        <v>23</v>
      </c>
      <c r="VAD2" s="429"/>
      <c r="VAE2" s="429"/>
      <c r="VAF2" s="429"/>
      <c r="VAG2" s="428" t="s">
        <v>23</v>
      </c>
      <c r="VAH2" s="429"/>
      <c r="VAI2" s="429"/>
      <c r="VAJ2" s="429"/>
      <c r="VAK2" s="428" t="s">
        <v>23</v>
      </c>
      <c r="VAL2" s="429"/>
      <c r="VAM2" s="429"/>
      <c r="VAN2" s="429"/>
      <c r="VAO2" s="428" t="s">
        <v>23</v>
      </c>
      <c r="VAP2" s="429"/>
      <c r="VAQ2" s="429"/>
      <c r="VAR2" s="429"/>
      <c r="VAS2" s="428" t="s">
        <v>23</v>
      </c>
      <c r="VAT2" s="429"/>
      <c r="VAU2" s="429"/>
      <c r="VAV2" s="429"/>
      <c r="VAW2" s="428" t="s">
        <v>23</v>
      </c>
      <c r="VAX2" s="429"/>
      <c r="VAY2" s="429"/>
      <c r="VAZ2" s="429"/>
      <c r="VBA2" s="428" t="s">
        <v>23</v>
      </c>
      <c r="VBB2" s="429"/>
      <c r="VBC2" s="429"/>
      <c r="VBD2" s="429"/>
      <c r="VBE2" s="428" t="s">
        <v>23</v>
      </c>
      <c r="VBF2" s="429"/>
      <c r="VBG2" s="429"/>
      <c r="VBH2" s="429"/>
      <c r="VBI2" s="428" t="s">
        <v>23</v>
      </c>
      <c r="VBJ2" s="429"/>
      <c r="VBK2" s="429"/>
      <c r="VBL2" s="429"/>
      <c r="VBM2" s="428" t="s">
        <v>23</v>
      </c>
      <c r="VBN2" s="429"/>
      <c r="VBO2" s="429"/>
      <c r="VBP2" s="429"/>
      <c r="VBQ2" s="428" t="s">
        <v>23</v>
      </c>
      <c r="VBR2" s="429"/>
      <c r="VBS2" s="429"/>
      <c r="VBT2" s="429"/>
      <c r="VBU2" s="428" t="s">
        <v>23</v>
      </c>
      <c r="VBV2" s="429"/>
      <c r="VBW2" s="429"/>
      <c r="VBX2" s="429"/>
      <c r="VBY2" s="428" t="s">
        <v>23</v>
      </c>
      <c r="VBZ2" s="429"/>
      <c r="VCA2" s="429"/>
      <c r="VCB2" s="429"/>
      <c r="VCC2" s="428" t="s">
        <v>23</v>
      </c>
      <c r="VCD2" s="429"/>
      <c r="VCE2" s="429"/>
      <c r="VCF2" s="429"/>
      <c r="VCG2" s="428" t="s">
        <v>23</v>
      </c>
      <c r="VCH2" s="429"/>
      <c r="VCI2" s="429"/>
      <c r="VCJ2" s="429"/>
      <c r="VCK2" s="428" t="s">
        <v>23</v>
      </c>
      <c r="VCL2" s="429"/>
      <c r="VCM2" s="429"/>
      <c r="VCN2" s="429"/>
      <c r="VCO2" s="428" t="s">
        <v>23</v>
      </c>
      <c r="VCP2" s="429"/>
      <c r="VCQ2" s="429"/>
      <c r="VCR2" s="429"/>
      <c r="VCS2" s="428" t="s">
        <v>23</v>
      </c>
      <c r="VCT2" s="429"/>
      <c r="VCU2" s="429"/>
      <c r="VCV2" s="429"/>
      <c r="VCW2" s="428" t="s">
        <v>23</v>
      </c>
      <c r="VCX2" s="429"/>
      <c r="VCY2" s="429"/>
      <c r="VCZ2" s="429"/>
      <c r="VDA2" s="428" t="s">
        <v>23</v>
      </c>
      <c r="VDB2" s="429"/>
      <c r="VDC2" s="429"/>
      <c r="VDD2" s="429"/>
      <c r="VDE2" s="428" t="s">
        <v>23</v>
      </c>
      <c r="VDF2" s="429"/>
      <c r="VDG2" s="429"/>
      <c r="VDH2" s="429"/>
      <c r="VDI2" s="428" t="s">
        <v>23</v>
      </c>
      <c r="VDJ2" s="429"/>
      <c r="VDK2" s="429"/>
      <c r="VDL2" s="429"/>
      <c r="VDM2" s="428" t="s">
        <v>23</v>
      </c>
      <c r="VDN2" s="429"/>
      <c r="VDO2" s="429"/>
      <c r="VDP2" s="429"/>
      <c r="VDQ2" s="428" t="s">
        <v>23</v>
      </c>
      <c r="VDR2" s="429"/>
      <c r="VDS2" s="429"/>
      <c r="VDT2" s="429"/>
      <c r="VDU2" s="428" t="s">
        <v>23</v>
      </c>
      <c r="VDV2" s="429"/>
      <c r="VDW2" s="429"/>
      <c r="VDX2" s="429"/>
      <c r="VDY2" s="428" t="s">
        <v>23</v>
      </c>
      <c r="VDZ2" s="429"/>
      <c r="VEA2" s="429"/>
      <c r="VEB2" s="429"/>
      <c r="VEC2" s="428" t="s">
        <v>23</v>
      </c>
      <c r="VED2" s="429"/>
      <c r="VEE2" s="429"/>
      <c r="VEF2" s="429"/>
      <c r="VEG2" s="428" t="s">
        <v>23</v>
      </c>
      <c r="VEH2" s="429"/>
      <c r="VEI2" s="429"/>
      <c r="VEJ2" s="429"/>
      <c r="VEK2" s="428" t="s">
        <v>23</v>
      </c>
      <c r="VEL2" s="429"/>
      <c r="VEM2" s="429"/>
      <c r="VEN2" s="429"/>
      <c r="VEO2" s="428" t="s">
        <v>23</v>
      </c>
      <c r="VEP2" s="429"/>
      <c r="VEQ2" s="429"/>
      <c r="VER2" s="429"/>
      <c r="VES2" s="428" t="s">
        <v>23</v>
      </c>
      <c r="VET2" s="429"/>
      <c r="VEU2" s="429"/>
      <c r="VEV2" s="429"/>
      <c r="VEW2" s="428" t="s">
        <v>23</v>
      </c>
      <c r="VEX2" s="429"/>
      <c r="VEY2" s="429"/>
      <c r="VEZ2" s="429"/>
      <c r="VFA2" s="428" t="s">
        <v>23</v>
      </c>
      <c r="VFB2" s="429"/>
      <c r="VFC2" s="429"/>
      <c r="VFD2" s="429"/>
      <c r="VFE2" s="428" t="s">
        <v>23</v>
      </c>
      <c r="VFF2" s="429"/>
      <c r="VFG2" s="429"/>
      <c r="VFH2" s="429"/>
      <c r="VFI2" s="428" t="s">
        <v>23</v>
      </c>
      <c r="VFJ2" s="429"/>
      <c r="VFK2" s="429"/>
      <c r="VFL2" s="429"/>
      <c r="VFM2" s="428" t="s">
        <v>23</v>
      </c>
      <c r="VFN2" s="429"/>
      <c r="VFO2" s="429"/>
      <c r="VFP2" s="429"/>
      <c r="VFQ2" s="428" t="s">
        <v>23</v>
      </c>
      <c r="VFR2" s="429"/>
      <c r="VFS2" s="429"/>
      <c r="VFT2" s="429"/>
      <c r="VFU2" s="428" t="s">
        <v>23</v>
      </c>
      <c r="VFV2" s="429"/>
      <c r="VFW2" s="429"/>
      <c r="VFX2" s="429"/>
      <c r="VFY2" s="428" t="s">
        <v>23</v>
      </c>
      <c r="VFZ2" s="429"/>
      <c r="VGA2" s="429"/>
      <c r="VGB2" s="429"/>
      <c r="VGC2" s="428" t="s">
        <v>23</v>
      </c>
      <c r="VGD2" s="429"/>
      <c r="VGE2" s="429"/>
      <c r="VGF2" s="429"/>
      <c r="VGG2" s="428" t="s">
        <v>23</v>
      </c>
      <c r="VGH2" s="429"/>
      <c r="VGI2" s="429"/>
      <c r="VGJ2" s="429"/>
      <c r="VGK2" s="428" t="s">
        <v>23</v>
      </c>
      <c r="VGL2" s="429"/>
      <c r="VGM2" s="429"/>
      <c r="VGN2" s="429"/>
      <c r="VGO2" s="428" t="s">
        <v>23</v>
      </c>
      <c r="VGP2" s="429"/>
      <c r="VGQ2" s="429"/>
      <c r="VGR2" s="429"/>
      <c r="VGS2" s="428" t="s">
        <v>23</v>
      </c>
      <c r="VGT2" s="429"/>
      <c r="VGU2" s="429"/>
      <c r="VGV2" s="429"/>
      <c r="VGW2" s="428" t="s">
        <v>23</v>
      </c>
      <c r="VGX2" s="429"/>
      <c r="VGY2" s="429"/>
      <c r="VGZ2" s="429"/>
      <c r="VHA2" s="428" t="s">
        <v>23</v>
      </c>
      <c r="VHB2" s="429"/>
      <c r="VHC2" s="429"/>
      <c r="VHD2" s="429"/>
      <c r="VHE2" s="428" t="s">
        <v>23</v>
      </c>
      <c r="VHF2" s="429"/>
      <c r="VHG2" s="429"/>
      <c r="VHH2" s="429"/>
      <c r="VHI2" s="428" t="s">
        <v>23</v>
      </c>
      <c r="VHJ2" s="429"/>
      <c r="VHK2" s="429"/>
      <c r="VHL2" s="429"/>
      <c r="VHM2" s="428" t="s">
        <v>23</v>
      </c>
      <c r="VHN2" s="429"/>
      <c r="VHO2" s="429"/>
      <c r="VHP2" s="429"/>
      <c r="VHQ2" s="428" t="s">
        <v>23</v>
      </c>
      <c r="VHR2" s="429"/>
      <c r="VHS2" s="429"/>
      <c r="VHT2" s="429"/>
      <c r="VHU2" s="428" t="s">
        <v>23</v>
      </c>
      <c r="VHV2" s="429"/>
      <c r="VHW2" s="429"/>
      <c r="VHX2" s="429"/>
      <c r="VHY2" s="428" t="s">
        <v>23</v>
      </c>
      <c r="VHZ2" s="429"/>
      <c r="VIA2" s="429"/>
      <c r="VIB2" s="429"/>
      <c r="VIC2" s="428" t="s">
        <v>23</v>
      </c>
      <c r="VID2" s="429"/>
      <c r="VIE2" s="429"/>
      <c r="VIF2" s="429"/>
      <c r="VIG2" s="428" t="s">
        <v>23</v>
      </c>
      <c r="VIH2" s="429"/>
      <c r="VII2" s="429"/>
      <c r="VIJ2" s="429"/>
      <c r="VIK2" s="428" t="s">
        <v>23</v>
      </c>
      <c r="VIL2" s="429"/>
      <c r="VIM2" s="429"/>
      <c r="VIN2" s="429"/>
      <c r="VIO2" s="428" t="s">
        <v>23</v>
      </c>
      <c r="VIP2" s="429"/>
      <c r="VIQ2" s="429"/>
      <c r="VIR2" s="429"/>
      <c r="VIS2" s="428" t="s">
        <v>23</v>
      </c>
      <c r="VIT2" s="429"/>
      <c r="VIU2" s="429"/>
      <c r="VIV2" s="429"/>
      <c r="VIW2" s="428" t="s">
        <v>23</v>
      </c>
      <c r="VIX2" s="429"/>
      <c r="VIY2" s="429"/>
      <c r="VIZ2" s="429"/>
      <c r="VJA2" s="428" t="s">
        <v>23</v>
      </c>
      <c r="VJB2" s="429"/>
      <c r="VJC2" s="429"/>
      <c r="VJD2" s="429"/>
      <c r="VJE2" s="428" t="s">
        <v>23</v>
      </c>
      <c r="VJF2" s="429"/>
      <c r="VJG2" s="429"/>
      <c r="VJH2" s="429"/>
      <c r="VJI2" s="428" t="s">
        <v>23</v>
      </c>
      <c r="VJJ2" s="429"/>
      <c r="VJK2" s="429"/>
      <c r="VJL2" s="429"/>
      <c r="VJM2" s="428" t="s">
        <v>23</v>
      </c>
      <c r="VJN2" s="429"/>
      <c r="VJO2" s="429"/>
      <c r="VJP2" s="429"/>
      <c r="VJQ2" s="428" t="s">
        <v>23</v>
      </c>
      <c r="VJR2" s="429"/>
      <c r="VJS2" s="429"/>
      <c r="VJT2" s="429"/>
      <c r="VJU2" s="428" t="s">
        <v>23</v>
      </c>
      <c r="VJV2" s="429"/>
      <c r="VJW2" s="429"/>
      <c r="VJX2" s="429"/>
      <c r="VJY2" s="428" t="s">
        <v>23</v>
      </c>
      <c r="VJZ2" s="429"/>
      <c r="VKA2" s="429"/>
      <c r="VKB2" s="429"/>
      <c r="VKC2" s="428" t="s">
        <v>23</v>
      </c>
      <c r="VKD2" s="429"/>
      <c r="VKE2" s="429"/>
      <c r="VKF2" s="429"/>
      <c r="VKG2" s="428" t="s">
        <v>23</v>
      </c>
      <c r="VKH2" s="429"/>
      <c r="VKI2" s="429"/>
      <c r="VKJ2" s="429"/>
      <c r="VKK2" s="428" t="s">
        <v>23</v>
      </c>
      <c r="VKL2" s="429"/>
      <c r="VKM2" s="429"/>
      <c r="VKN2" s="429"/>
      <c r="VKO2" s="428" t="s">
        <v>23</v>
      </c>
      <c r="VKP2" s="429"/>
      <c r="VKQ2" s="429"/>
      <c r="VKR2" s="429"/>
      <c r="VKS2" s="428" t="s">
        <v>23</v>
      </c>
      <c r="VKT2" s="429"/>
      <c r="VKU2" s="429"/>
      <c r="VKV2" s="429"/>
      <c r="VKW2" s="428" t="s">
        <v>23</v>
      </c>
      <c r="VKX2" s="429"/>
      <c r="VKY2" s="429"/>
      <c r="VKZ2" s="429"/>
      <c r="VLA2" s="428" t="s">
        <v>23</v>
      </c>
      <c r="VLB2" s="429"/>
      <c r="VLC2" s="429"/>
      <c r="VLD2" s="429"/>
      <c r="VLE2" s="428" t="s">
        <v>23</v>
      </c>
      <c r="VLF2" s="429"/>
      <c r="VLG2" s="429"/>
      <c r="VLH2" s="429"/>
      <c r="VLI2" s="428" t="s">
        <v>23</v>
      </c>
      <c r="VLJ2" s="429"/>
      <c r="VLK2" s="429"/>
      <c r="VLL2" s="429"/>
      <c r="VLM2" s="428" t="s">
        <v>23</v>
      </c>
      <c r="VLN2" s="429"/>
      <c r="VLO2" s="429"/>
      <c r="VLP2" s="429"/>
      <c r="VLQ2" s="428" t="s">
        <v>23</v>
      </c>
      <c r="VLR2" s="429"/>
      <c r="VLS2" s="429"/>
      <c r="VLT2" s="429"/>
      <c r="VLU2" s="428" t="s">
        <v>23</v>
      </c>
      <c r="VLV2" s="429"/>
      <c r="VLW2" s="429"/>
      <c r="VLX2" s="429"/>
      <c r="VLY2" s="428" t="s">
        <v>23</v>
      </c>
      <c r="VLZ2" s="429"/>
      <c r="VMA2" s="429"/>
      <c r="VMB2" s="429"/>
      <c r="VMC2" s="428" t="s">
        <v>23</v>
      </c>
      <c r="VMD2" s="429"/>
      <c r="VME2" s="429"/>
      <c r="VMF2" s="429"/>
      <c r="VMG2" s="428" t="s">
        <v>23</v>
      </c>
      <c r="VMH2" s="429"/>
      <c r="VMI2" s="429"/>
      <c r="VMJ2" s="429"/>
      <c r="VMK2" s="428" t="s">
        <v>23</v>
      </c>
      <c r="VML2" s="429"/>
      <c r="VMM2" s="429"/>
      <c r="VMN2" s="429"/>
      <c r="VMO2" s="428" t="s">
        <v>23</v>
      </c>
      <c r="VMP2" s="429"/>
      <c r="VMQ2" s="429"/>
      <c r="VMR2" s="429"/>
      <c r="VMS2" s="428" t="s">
        <v>23</v>
      </c>
      <c r="VMT2" s="429"/>
      <c r="VMU2" s="429"/>
      <c r="VMV2" s="429"/>
      <c r="VMW2" s="428" t="s">
        <v>23</v>
      </c>
      <c r="VMX2" s="429"/>
      <c r="VMY2" s="429"/>
      <c r="VMZ2" s="429"/>
      <c r="VNA2" s="428" t="s">
        <v>23</v>
      </c>
      <c r="VNB2" s="429"/>
      <c r="VNC2" s="429"/>
      <c r="VND2" s="429"/>
      <c r="VNE2" s="428" t="s">
        <v>23</v>
      </c>
      <c r="VNF2" s="429"/>
      <c r="VNG2" s="429"/>
      <c r="VNH2" s="429"/>
      <c r="VNI2" s="428" t="s">
        <v>23</v>
      </c>
      <c r="VNJ2" s="429"/>
      <c r="VNK2" s="429"/>
      <c r="VNL2" s="429"/>
      <c r="VNM2" s="428" t="s">
        <v>23</v>
      </c>
      <c r="VNN2" s="429"/>
      <c r="VNO2" s="429"/>
      <c r="VNP2" s="429"/>
      <c r="VNQ2" s="428" t="s">
        <v>23</v>
      </c>
      <c r="VNR2" s="429"/>
      <c r="VNS2" s="429"/>
      <c r="VNT2" s="429"/>
      <c r="VNU2" s="428" t="s">
        <v>23</v>
      </c>
      <c r="VNV2" s="429"/>
      <c r="VNW2" s="429"/>
      <c r="VNX2" s="429"/>
      <c r="VNY2" s="428" t="s">
        <v>23</v>
      </c>
      <c r="VNZ2" s="429"/>
      <c r="VOA2" s="429"/>
      <c r="VOB2" s="429"/>
      <c r="VOC2" s="428" t="s">
        <v>23</v>
      </c>
      <c r="VOD2" s="429"/>
      <c r="VOE2" s="429"/>
      <c r="VOF2" s="429"/>
      <c r="VOG2" s="428" t="s">
        <v>23</v>
      </c>
      <c r="VOH2" s="429"/>
      <c r="VOI2" s="429"/>
      <c r="VOJ2" s="429"/>
      <c r="VOK2" s="428" t="s">
        <v>23</v>
      </c>
      <c r="VOL2" s="429"/>
      <c r="VOM2" s="429"/>
      <c r="VON2" s="429"/>
      <c r="VOO2" s="428" t="s">
        <v>23</v>
      </c>
      <c r="VOP2" s="429"/>
      <c r="VOQ2" s="429"/>
      <c r="VOR2" s="429"/>
      <c r="VOS2" s="428" t="s">
        <v>23</v>
      </c>
      <c r="VOT2" s="429"/>
      <c r="VOU2" s="429"/>
      <c r="VOV2" s="429"/>
      <c r="VOW2" s="428" t="s">
        <v>23</v>
      </c>
      <c r="VOX2" s="429"/>
      <c r="VOY2" s="429"/>
      <c r="VOZ2" s="429"/>
      <c r="VPA2" s="428" t="s">
        <v>23</v>
      </c>
      <c r="VPB2" s="429"/>
      <c r="VPC2" s="429"/>
      <c r="VPD2" s="429"/>
      <c r="VPE2" s="428" t="s">
        <v>23</v>
      </c>
      <c r="VPF2" s="429"/>
      <c r="VPG2" s="429"/>
      <c r="VPH2" s="429"/>
      <c r="VPI2" s="428" t="s">
        <v>23</v>
      </c>
      <c r="VPJ2" s="429"/>
      <c r="VPK2" s="429"/>
      <c r="VPL2" s="429"/>
      <c r="VPM2" s="428" t="s">
        <v>23</v>
      </c>
      <c r="VPN2" s="429"/>
      <c r="VPO2" s="429"/>
      <c r="VPP2" s="429"/>
      <c r="VPQ2" s="428" t="s">
        <v>23</v>
      </c>
      <c r="VPR2" s="429"/>
      <c r="VPS2" s="429"/>
      <c r="VPT2" s="429"/>
      <c r="VPU2" s="428" t="s">
        <v>23</v>
      </c>
      <c r="VPV2" s="429"/>
      <c r="VPW2" s="429"/>
      <c r="VPX2" s="429"/>
      <c r="VPY2" s="428" t="s">
        <v>23</v>
      </c>
      <c r="VPZ2" s="429"/>
      <c r="VQA2" s="429"/>
      <c r="VQB2" s="429"/>
      <c r="VQC2" s="428" t="s">
        <v>23</v>
      </c>
      <c r="VQD2" s="429"/>
      <c r="VQE2" s="429"/>
      <c r="VQF2" s="429"/>
      <c r="VQG2" s="428" t="s">
        <v>23</v>
      </c>
      <c r="VQH2" s="429"/>
      <c r="VQI2" s="429"/>
      <c r="VQJ2" s="429"/>
      <c r="VQK2" s="428" t="s">
        <v>23</v>
      </c>
      <c r="VQL2" s="429"/>
      <c r="VQM2" s="429"/>
      <c r="VQN2" s="429"/>
      <c r="VQO2" s="428" t="s">
        <v>23</v>
      </c>
      <c r="VQP2" s="429"/>
      <c r="VQQ2" s="429"/>
      <c r="VQR2" s="429"/>
      <c r="VQS2" s="428" t="s">
        <v>23</v>
      </c>
      <c r="VQT2" s="429"/>
      <c r="VQU2" s="429"/>
      <c r="VQV2" s="429"/>
      <c r="VQW2" s="428" t="s">
        <v>23</v>
      </c>
      <c r="VQX2" s="429"/>
      <c r="VQY2" s="429"/>
      <c r="VQZ2" s="429"/>
      <c r="VRA2" s="428" t="s">
        <v>23</v>
      </c>
      <c r="VRB2" s="429"/>
      <c r="VRC2" s="429"/>
      <c r="VRD2" s="429"/>
      <c r="VRE2" s="428" t="s">
        <v>23</v>
      </c>
      <c r="VRF2" s="429"/>
      <c r="VRG2" s="429"/>
      <c r="VRH2" s="429"/>
      <c r="VRI2" s="428" t="s">
        <v>23</v>
      </c>
      <c r="VRJ2" s="429"/>
      <c r="VRK2" s="429"/>
      <c r="VRL2" s="429"/>
      <c r="VRM2" s="428" t="s">
        <v>23</v>
      </c>
      <c r="VRN2" s="429"/>
      <c r="VRO2" s="429"/>
      <c r="VRP2" s="429"/>
      <c r="VRQ2" s="428" t="s">
        <v>23</v>
      </c>
      <c r="VRR2" s="429"/>
      <c r="VRS2" s="429"/>
      <c r="VRT2" s="429"/>
      <c r="VRU2" s="428" t="s">
        <v>23</v>
      </c>
      <c r="VRV2" s="429"/>
      <c r="VRW2" s="429"/>
      <c r="VRX2" s="429"/>
      <c r="VRY2" s="428" t="s">
        <v>23</v>
      </c>
      <c r="VRZ2" s="429"/>
      <c r="VSA2" s="429"/>
      <c r="VSB2" s="429"/>
      <c r="VSC2" s="428" t="s">
        <v>23</v>
      </c>
      <c r="VSD2" s="429"/>
      <c r="VSE2" s="429"/>
      <c r="VSF2" s="429"/>
      <c r="VSG2" s="428" t="s">
        <v>23</v>
      </c>
      <c r="VSH2" s="429"/>
      <c r="VSI2" s="429"/>
      <c r="VSJ2" s="429"/>
      <c r="VSK2" s="428" t="s">
        <v>23</v>
      </c>
      <c r="VSL2" s="429"/>
      <c r="VSM2" s="429"/>
      <c r="VSN2" s="429"/>
      <c r="VSO2" s="428" t="s">
        <v>23</v>
      </c>
      <c r="VSP2" s="429"/>
      <c r="VSQ2" s="429"/>
      <c r="VSR2" s="429"/>
      <c r="VSS2" s="428" t="s">
        <v>23</v>
      </c>
      <c r="VST2" s="429"/>
      <c r="VSU2" s="429"/>
      <c r="VSV2" s="429"/>
      <c r="VSW2" s="428" t="s">
        <v>23</v>
      </c>
      <c r="VSX2" s="429"/>
      <c r="VSY2" s="429"/>
      <c r="VSZ2" s="429"/>
      <c r="VTA2" s="428" t="s">
        <v>23</v>
      </c>
      <c r="VTB2" s="429"/>
      <c r="VTC2" s="429"/>
      <c r="VTD2" s="429"/>
      <c r="VTE2" s="428" t="s">
        <v>23</v>
      </c>
      <c r="VTF2" s="429"/>
      <c r="VTG2" s="429"/>
      <c r="VTH2" s="429"/>
      <c r="VTI2" s="428" t="s">
        <v>23</v>
      </c>
      <c r="VTJ2" s="429"/>
      <c r="VTK2" s="429"/>
      <c r="VTL2" s="429"/>
      <c r="VTM2" s="428" t="s">
        <v>23</v>
      </c>
      <c r="VTN2" s="429"/>
      <c r="VTO2" s="429"/>
      <c r="VTP2" s="429"/>
      <c r="VTQ2" s="428" t="s">
        <v>23</v>
      </c>
      <c r="VTR2" s="429"/>
      <c r="VTS2" s="429"/>
      <c r="VTT2" s="429"/>
      <c r="VTU2" s="428" t="s">
        <v>23</v>
      </c>
      <c r="VTV2" s="429"/>
      <c r="VTW2" s="429"/>
      <c r="VTX2" s="429"/>
      <c r="VTY2" s="428" t="s">
        <v>23</v>
      </c>
      <c r="VTZ2" s="429"/>
      <c r="VUA2" s="429"/>
      <c r="VUB2" s="429"/>
      <c r="VUC2" s="428" t="s">
        <v>23</v>
      </c>
      <c r="VUD2" s="429"/>
      <c r="VUE2" s="429"/>
      <c r="VUF2" s="429"/>
      <c r="VUG2" s="428" t="s">
        <v>23</v>
      </c>
      <c r="VUH2" s="429"/>
      <c r="VUI2" s="429"/>
      <c r="VUJ2" s="429"/>
      <c r="VUK2" s="428" t="s">
        <v>23</v>
      </c>
      <c r="VUL2" s="429"/>
      <c r="VUM2" s="429"/>
      <c r="VUN2" s="429"/>
      <c r="VUO2" s="428" t="s">
        <v>23</v>
      </c>
      <c r="VUP2" s="429"/>
      <c r="VUQ2" s="429"/>
      <c r="VUR2" s="429"/>
      <c r="VUS2" s="428" t="s">
        <v>23</v>
      </c>
      <c r="VUT2" s="429"/>
      <c r="VUU2" s="429"/>
      <c r="VUV2" s="429"/>
      <c r="VUW2" s="428" t="s">
        <v>23</v>
      </c>
      <c r="VUX2" s="429"/>
      <c r="VUY2" s="429"/>
      <c r="VUZ2" s="429"/>
      <c r="VVA2" s="428" t="s">
        <v>23</v>
      </c>
      <c r="VVB2" s="429"/>
      <c r="VVC2" s="429"/>
      <c r="VVD2" s="429"/>
      <c r="VVE2" s="428" t="s">
        <v>23</v>
      </c>
      <c r="VVF2" s="429"/>
      <c r="VVG2" s="429"/>
      <c r="VVH2" s="429"/>
      <c r="VVI2" s="428" t="s">
        <v>23</v>
      </c>
      <c r="VVJ2" s="429"/>
      <c r="VVK2" s="429"/>
      <c r="VVL2" s="429"/>
      <c r="VVM2" s="428" t="s">
        <v>23</v>
      </c>
      <c r="VVN2" s="429"/>
      <c r="VVO2" s="429"/>
      <c r="VVP2" s="429"/>
      <c r="VVQ2" s="428" t="s">
        <v>23</v>
      </c>
      <c r="VVR2" s="429"/>
      <c r="VVS2" s="429"/>
      <c r="VVT2" s="429"/>
      <c r="VVU2" s="428" t="s">
        <v>23</v>
      </c>
      <c r="VVV2" s="429"/>
      <c r="VVW2" s="429"/>
      <c r="VVX2" s="429"/>
      <c r="VVY2" s="428" t="s">
        <v>23</v>
      </c>
      <c r="VVZ2" s="429"/>
      <c r="VWA2" s="429"/>
      <c r="VWB2" s="429"/>
      <c r="VWC2" s="428" t="s">
        <v>23</v>
      </c>
      <c r="VWD2" s="429"/>
      <c r="VWE2" s="429"/>
      <c r="VWF2" s="429"/>
      <c r="VWG2" s="428" t="s">
        <v>23</v>
      </c>
      <c r="VWH2" s="429"/>
      <c r="VWI2" s="429"/>
      <c r="VWJ2" s="429"/>
      <c r="VWK2" s="428" t="s">
        <v>23</v>
      </c>
      <c r="VWL2" s="429"/>
      <c r="VWM2" s="429"/>
      <c r="VWN2" s="429"/>
      <c r="VWO2" s="428" t="s">
        <v>23</v>
      </c>
      <c r="VWP2" s="429"/>
      <c r="VWQ2" s="429"/>
      <c r="VWR2" s="429"/>
      <c r="VWS2" s="428" t="s">
        <v>23</v>
      </c>
      <c r="VWT2" s="429"/>
      <c r="VWU2" s="429"/>
      <c r="VWV2" s="429"/>
      <c r="VWW2" s="428" t="s">
        <v>23</v>
      </c>
      <c r="VWX2" s="429"/>
      <c r="VWY2" s="429"/>
      <c r="VWZ2" s="429"/>
      <c r="VXA2" s="428" t="s">
        <v>23</v>
      </c>
      <c r="VXB2" s="429"/>
      <c r="VXC2" s="429"/>
      <c r="VXD2" s="429"/>
      <c r="VXE2" s="428" t="s">
        <v>23</v>
      </c>
      <c r="VXF2" s="429"/>
      <c r="VXG2" s="429"/>
      <c r="VXH2" s="429"/>
      <c r="VXI2" s="428" t="s">
        <v>23</v>
      </c>
      <c r="VXJ2" s="429"/>
      <c r="VXK2" s="429"/>
      <c r="VXL2" s="429"/>
      <c r="VXM2" s="428" t="s">
        <v>23</v>
      </c>
      <c r="VXN2" s="429"/>
      <c r="VXO2" s="429"/>
      <c r="VXP2" s="429"/>
      <c r="VXQ2" s="428" t="s">
        <v>23</v>
      </c>
      <c r="VXR2" s="429"/>
      <c r="VXS2" s="429"/>
      <c r="VXT2" s="429"/>
      <c r="VXU2" s="428" t="s">
        <v>23</v>
      </c>
      <c r="VXV2" s="429"/>
      <c r="VXW2" s="429"/>
      <c r="VXX2" s="429"/>
      <c r="VXY2" s="428" t="s">
        <v>23</v>
      </c>
      <c r="VXZ2" s="429"/>
      <c r="VYA2" s="429"/>
      <c r="VYB2" s="429"/>
      <c r="VYC2" s="428" t="s">
        <v>23</v>
      </c>
      <c r="VYD2" s="429"/>
      <c r="VYE2" s="429"/>
      <c r="VYF2" s="429"/>
      <c r="VYG2" s="428" t="s">
        <v>23</v>
      </c>
      <c r="VYH2" s="429"/>
      <c r="VYI2" s="429"/>
      <c r="VYJ2" s="429"/>
      <c r="VYK2" s="428" t="s">
        <v>23</v>
      </c>
      <c r="VYL2" s="429"/>
      <c r="VYM2" s="429"/>
      <c r="VYN2" s="429"/>
      <c r="VYO2" s="428" t="s">
        <v>23</v>
      </c>
      <c r="VYP2" s="429"/>
      <c r="VYQ2" s="429"/>
      <c r="VYR2" s="429"/>
      <c r="VYS2" s="428" t="s">
        <v>23</v>
      </c>
      <c r="VYT2" s="429"/>
      <c r="VYU2" s="429"/>
      <c r="VYV2" s="429"/>
      <c r="VYW2" s="428" t="s">
        <v>23</v>
      </c>
      <c r="VYX2" s="429"/>
      <c r="VYY2" s="429"/>
      <c r="VYZ2" s="429"/>
      <c r="VZA2" s="428" t="s">
        <v>23</v>
      </c>
      <c r="VZB2" s="429"/>
      <c r="VZC2" s="429"/>
      <c r="VZD2" s="429"/>
      <c r="VZE2" s="428" t="s">
        <v>23</v>
      </c>
      <c r="VZF2" s="429"/>
      <c r="VZG2" s="429"/>
      <c r="VZH2" s="429"/>
      <c r="VZI2" s="428" t="s">
        <v>23</v>
      </c>
      <c r="VZJ2" s="429"/>
      <c r="VZK2" s="429"/>
      <c r="VZL2" s="429"/>
      <c r="VZM2" s="428" t="s">
        <v>23</v>
      </c>
      <c r="VZN2" s="429"/>
      <c r="VZO2" s="429"/>
      <c r="VZP2" s="429"/>
      <c r="VZQ2" s="428" t="s">
        <v>23</v>
      </c>
      <c r="VZR2" s="429"/>
      <c r="VZS2" s="429"/>
      <c r="VZT2" s="429"/>
      <c r="VZU2" s="428" t="s">
        <v>23</v>
      </c>
      <c r="VZV2" s="429"/>
      <c r="VZW2" s="429"/>
      <c r="VZX2" s="429"/>
      <c r="VZY2" s="428" t="s">
        <v>23</v>
      </c>
      <c r="VZZ2" s="429"/>
      <c r="WAA2" s="429"/>
      <c r="WAB2" s="429"/>
      <c r="WAC2" s="428" t="s">
        <v>23</v>
      </c>
      <c r="WAD2" s="429"/>
      <c r="WAE2" s="429"/>
      <c r="WAF2" s="429"/>
      <c r="WAG2" s="428" t="s">
        <v>23</v>
      </c>
      <c r="WAH2" s="429"/>
      <c r="WAI2" s="429"/>
      <c r="WAJ2" s="429"/>
      <c r="WAK2" s="428" t="s">
        <v>23</v>
      </c>
      <c r="WAL2" s="429"/>
      <c r="WAM2" s="429"/>
      <c r="WAN2" s="429"/>
      <c r="WAO2" s="428" t="s">
        <v>23</v>
      </c>
      <c r="WAP2" s="429"/>
      <c r="WAQ2" s="429"/>
      <c r="WAR2" s="429"/>
      <c r="WAS2" s="428" t="s">
        <v>23</v>
      </c>
      <c r="WAT2" s="429"/>
      <c r="WAU2" s="429"/>
      <c r="WAV2" s="429"/>
      <c r="WAW2" s="428" t="s">
        <v>23</v>
      </c>
      <c r="WAX2" s="429"/>
      <c r="WAY2" s="429"/>
      <c r="WAZ2" s="429"/>
      <c r="WBA2" s="428" t="s">
        <v>23</v>
      </c>
      <c r="WBB2" s="429"/>
      <c r="WBC2" s="429"/>
      <c r="WBD2" s="429"/>
      <c r="WBE2" s="428" t="s">
        <v>23</v>
      </c>
      <c r="WBF2" s="429"/>
      <c r="WBG2" s="429"/>
      <c r="WBH2" s="429"/>
      <c r="WBI2" s="428" t="s">
        <v>23</v>
      </c>
      <c r="WBJ2" s="429"/>
      <c r="WBK2" s="429"/>
      <c r="WBL2" s="429"/>
      <c r="WBM2" s="428" t="s">
        <v>23</v>
      </c>
      <c r="WBN2" s="429"/>
      <c r="WBO2" s="429"/>
      <c r="WBP2" s="429"/>
      <c r="WBQ2" s="428" t="s">
        <v>23</v>
      </c>
      <c r="WBR2" s="429"/>
      <c r="WBS2" s="429"/>
      <c r="WBT2" s="429"/>
      <c r="WBU2" s="428" t="s">
        <v>23</v>
      </c>
      <c r="WBV2" s="429"/>
      <c r="WBW2" s="429"/>
      <c r="WBX2" s="429"/>
      <c r="WBY2" s="428" t="s">
        <v>23</v>
      </c>
      <c r="WBZ2" s="429"/>
      <c r="WCA2" s="429"/>
      <c r="WCB2" s="429"/>
      <c r="WCC2" s="428" t="s">
        <v>23</v>
      </c>
      <c r="WCD2" s="429"/>
      <c r="WCE2" s="429"/>
      <c r="WCF2" s="429"/>
      <c r="WCG2" s="428" t="s">
        <v>23</v>
      </c>
      <c r="WCH2" s="429"/>
      <c r="WCI2" s="429"/>
      <c r="WCJ2" s="429"/>
      <c r="WCK2" s="428" t="s">
        <v>23</v>
      </c>
      <c r="WCL2" s="429"/>
      <c r="WCM2" s="429"/>
      <c r="WCN2" s="429"/>
      <c r="WCO2" s="428" t="s">
        <v>23</v>
      </c>
      <c r="WCP2" s="429"/>
      <c r="WCQ2" s="429"/>
      <c r="WCR2" s="429"/>
      <c r="WCS2" s="428" t="s">
        <v>23</v>
      </c>
      <c r="WCT2" s="429"/>
      <c r="WCU2" s="429"/>
      <c r="WCV2" s="429"/>
      <c r="WCW2" s="428" t="s">
        <v>23</v>
      </c>
      <c r="WCX2" s="429"/>
      <c r="WCY2" s="429"/>
      <c r="WCZ2" s="429"/>
      <c r="WDA2" s="428" t="s">
        <v>23</v>
      </c>
      <c r="WDB2" s="429"/>
      <c r="WDC2" s="429"/>
      <c r="WDD2" s="429"/>
      <c r="WDE2" s="428" t="s">
        <v>23</v>
      </c>
      <c r="WDF2" s="429"/>
      <c r="WDG2" s="429"/>
      <c r="WDH2" s="429"/>
      <c r="WDI2" s="428" t="s">
        <v>23</v>
      </c>
      <c r="WDJ2" s="429"/>
      <c r="WDK2" s="429"/>
      <c r="WDL2" s="429"/>
      <c r="WDM2" s="428" t="s">
        <v>23</v>
      </c>
      <c r="WDN2" s="429"/>
      <c r="WDO2" s="429"/>
      <c r="WDP2" s="429"/>
      <c r="WDQ2" s="428" t="s">
        <v>23</v>
      </c>
      <c r="WDR2" s="429"/>
      <c r="WDS2" s="429"/>
      <c r="WDT2" s="429"/>
      <c r="WDU2" s="428" t="s">
        <v>23</v>
      </c>
      <c r="WDV2" s="429"/>
      <c r="WDW2" s="429"/>
      <c r="WDX2" s="429"/>
      <c r="WDY2" s="428" t="s">
        <v>23</v>
      </c>
      <c r="WDZ2" s="429"/>
      <c r="WEA2" s="429"/>
      <c r="WEB2" s="429"/>
      <c r="WEC2" s="428" t="s">
        <v>23</v>
      </c>
      <c r="WED2" s="429"/>
      <c r="WEE2" s="429"/>
      <c r="WEF2" s="429"/>
      <c r="WEG2" s="428" t="s">
        <v>23</v>
      </c>
      <c r="WEH2" s="429"/>
      <c r="WEI2" s="429"/>
      <c r="WEJ2" s="429"/>
      <c r="WEK2" s="428" t="s">
        <v>23</v>
      </c>
      <c r="WEL2" s="429"/>
      <c r="WEM2" s="429"/>
      <c r="WEN2" s="429"/>
      <c r="WEO2" s="428" t="s">
        <v>23</v>
      </c>
      <c r="WEP2" s="429"/>
      <c r="WEQ2" s="429"/>
      <c r="WER2" s="429"/>
      <c r="WES2" s="428" t="s">
        <v>23</v>
      </c>
      <c r="WET2" s="429"/>
      <c r="WEU2" s="429"/>
      <c r="WEV2" s="429"/>
      <c r="WEW2" s="428" t="s">
        <v>23</v>
      </c>
      <c r="WEX2" s="429"/>
      <c r="WEY2" s="429"/>
      <c r="WEZ2" s="429"/>
      <c r="WFA2" s="428" t="s">
        <v>23</v>
      </c>
      <c r="WFB2" s="429"/>
      <c r="WFC2" s="429"/>
      <c r="WFD2" s="429"/>
      <c r="WFE2" s="428" t="s">
        <v>23</v>
      </c>
      <c r="WFF2" s="429"/>
      <c r="WFG2" s="429"/>
      <c r="WFH2" s="429"/>
      <c r="WFI2" s="428" t="s">
        <v>23</v>
      </c>
      <c r="WFJ2" s="429"/>
      <c r="WFK2" s="429"/>
      <c r="WFL2" s="429"/>
      <c r="WFM2" s="428" t="s">
        <v>23</v>
      </c>
      <c r="WFN2" s="429"/>
      <c r="WFO2" s="429"/>
      <c r="WFP2" s="429"/>
      <c r="WFQ2" s="428" t="s">
        <v>23</v>
      </c>
      <c r="WFR2" s="429"/>
      <c r="WFS2" s="429"/>
      <c r="WFT2" s="429"/>
      <c r="WFU2" s="428" t="s">
        <v>23</v>
      </c>
      <c r="WFV2" s="429"/>
      <c r="WFW2" s="429"/>
      <c r="WFX2" s="429"/>
      <c r="WFY2" s="428" t="s">
        <v>23</v>
      </c>
      <c r="WFZ2" s="429"/>
      <c r="WGA2" s="429"/>
      <c r="WGB2" s="429"/>
      <c r="WGC2" s="428" t="s">
        <v>23</v>
      </c>
      <c r="WGD2" s="429"/>
      <c r="WGE2" s="429"/>
      <c r="WGF2" s="429"/>
      <c r="WGG2" s="428" t="s">
        <v>23</v>
      </c>
      <c r="WGH2" s="429"/>
      <c r="WGI2" s="429"/>
      <c r="WGJ2" s="429"/>
      <c r="WGK2" s="428" t="s">
        <v>23</v>
      </c>
      <c r="WGL2" s="429"/>
      <c r="WGM2" s="429"/>
      <c r="WGN2" s="429"/>
      <c r="WGO2" s="428" t="s">
        <v>23</v>
      </c>
      <c r="WGP2" s="429"/>
      <c r="WGQ2" s="429"/>
      <c r="WGR2" s="429"/>
      <c r="WGS2" s="428" t="s">
        <v>23</v>
      </c>
      <c r="WGT2" s="429"/>
      <c r="WGU2" s="429"/>
      <c r="WGV2" s="429"/>
      <c r="WGW2" s="428" t="s">
        <v>23</v>
      </c>
      <c r="WGX2" s="429"/>
      <c r="WGY2" s="429"/>
      <c r="WGZ2" s="429"/>
      <c r="WHA2" s="428" t="s">
        <v>23</v>
      </c>
      <c r="WHB2" s="429"/>
      <c r="WHC2" s="429"/>
      <c r="WHD2" s="429"/>
      <c r="WHE2" s="428" t="s">
        <v>23</v>
      </c>
      <c r="WHF2" s="429"/>
      <c r="WHG2" s="429"/>
      <c r="WHH2" s="429"/>
      <c r="WHI2" s="428" t="s">
        <v>23</v>
      </c>
      <c r="WHJ2" s="429"/>
      <c r="WHK2" s="429"/>
      <c r="WHL2" s="429"/>
      <c r="WHM2" s="428" t="s">
        <v>23</v>
      </c>
      <c r="WHN2" s="429"/>
      <c r="WHO2" s="429"/>
      <c r="WHP2" s="429"/>
      <c r="WHQ2" s="428" t="s">
        <v>23</v>
      </c>
      <c r="WHR2" s="429"/>
      <c r="WHS2" s="429"/>
      <c r="WHT2" s="429"/>
      <c r="WHU2" s="428" t="s">
        <v>23</v>
      </c>
      <c r="WHV2" s="429"/>
      <c r="WHW2" s="429"/>
      <c r="WHX2" s="429"/>
      <c r="WHY2" s="428" t="s">
        <v>23</v>
      </c>
      <c r="WHZ2" s="429"/>
      <c r="WIA2" s="429"/>
      <c r="WIB2" s="429"/>
      <c r="WIC2" s="428" t="s">
        <v>23</v>
      </c>
      <c r="WID2" s="429"/>
      <c r="WIE2" s="429"/>
      <c r="WIF2" s="429"/>
      <c r="WIG2" s="428" t="s">
        <v>23</v>
      </c>
      <c r="WIH2" s="429"/>
      <c r="WII2" s="429"/>
      <c r="WIJ2" s="429"/>
      <c r="WIK2" s="428" t="s">
        <v>23</v>
      </c>
      <c r="WIL2" s="429"/>
      <c r="WIM2" s="429"/>
      <c r="WIN2" s="429"/>
      <c r="WIO2" s="428" t="s">
        <v>23</v>
      </c>
      <c r="WIP2" s="429"/>
      <c r="WIQ2" s="429"/>
      <c r="WIR2" s="429"/>
      <c r="WIS2" s="428" t="s">
        <v>23</v>
      </c>
      <c r="WIT2" s="429"/>
      <c r="WIU2" s="429"/>
      <c r="WIV2" s="429"/>
      <c r="WIW2" s="428" t="s">
        <v>23</v>
      </c>
      <c r="WIX2" s="429"/>
      <c r="WIY2" s="429"/>
      <c r="WIZ2" s="429"/>
      <c r="WJA2" s="428" t="s">
        <v>23</v>
      </c>
      <c r="WJB2" s="429"/>
      <c r="WJC2" s="429"/>
      <c r="WJD2" s="429"/>
      <c r="WJE2" s="428" t="s">
        <v>23</v>
      </c>
      <c r="WJF2" s="429"/>
      <c r="WJG2" s="429"/>
      <c r="WJH2" s="429"/>
      <c r="WJI2" s="428" t="s">
        <v>23</v>
      </c>
      <c r="WJJ2" s="429"/>
      <c r="WJK2" s="429"/>
      <c r="WJL2" s="429"/>
      <c r="WJM2" s="428" t="s">
        <v>23</v>
      </c>
      <c r="WJN2" s="429"/>
      <c r="WJO2" s="429"/>
      <c r="WJP2" s="429"/>
      <c r="WJQ2" s="428" t="s">
        <v>23</v>
      </c>
      <c r="WJR2" s="429"/>
      <c r="WJS2" s="429"/>
      <c r="WJT2" s="429"/>
      <c r="WJU2" s="428" t="s">
        <v>23</v>
      </c>
      <c r="WJV2" s="429"/>
      <c r="WJW2" s="429"/>
      <c r="WJX2" s="429"/>
      <c r="WJY2" s="428" t="s">
        <v>23</v>
      </c>
      <c r="WJZ2" s="429"/>
      <c r="WKA2" s="429"/>
      <c r="WKB2" s="429"/>
      <c r="WKC2" s="428" t="s">
        <v>23</v>
      </c>
      <c r="WKD2" s="429"/>
      <c r="WKE2" s="429"/>
      <c r="WKF2" s="429"/>
      <c r="WKG2" s="428" t="s">
        <v>23</v>
      </c>
      <c r="WKH2" s="429"/>
      <c r="WKI2" s="429"/>
      <c r="WKJ2" s="429"/>
      <c r="WKK2" s="428" t="s">
        <v>23</v>
      </c>
      <c r="WKL2" s="429"/>
      <c r="WKM2" s="429"/>
      <c r="WKN2" s="429"/>
      <c r="WKO2" s="428" t="s">
        <v>23</v>
      </c>
      <c r="WKP2" s="429"/>
      <c r="WKQ2" s="429"/>
      <c r="WKR2" s="429"/>
      <c r="WKS2" s="428" t="s">
        <v>23</v>
      </c>
      <c r="WKT2" s="429"/>
      <c r="WKU2" s="429"/>
      <c r="WKV2" s="429"/>
      <c r="WKW2" s="428" t="s">
        <v>23</v>
      </c>
      <c r="WKX2" s="429"/>
      <c r="WKY2" s="429"/>
      <c r="WKZ2" s="429"/>
      <c r="WLA2" s="428" t="s">
        <v>23</v>
      </c>
      <c r="WLB2" s="429"/>
      <c r="WLC2" s="429"/>
      <c r="WLD2" s="429"/>
      <c r="WLE2" s="428" t="s">
        <v>23</v>
      </c>
      <c r="WLF2" s="429"/>
      <c r="WLG2" s="429"/>
      <c r="WLH2" s="429"/>
      <c r="WLI2" s="428" t="s">
        <v>23</v>
      </c>
      <c r="WLJ2" s="429"/>
      <c r="WLK2" s="429"/>
      <c r="WLL2" s="429"/>
      <c r="WLM2" s="428" t="s">
        <v>23</v>
      </c>
      <c r="WLN2" s="429"/>
      <c r="WLO2" s="429"/>
      <c r="WLP2" s="429"/>
      <c r="WLQ2" s="428" t="s">
        <v>23</v>
      </c>
      <c r="WLR2" s="429"/>
      <c r="WLS2" s="429"/>
      <c r="WLT2" s="429"/>
      <c r="WLU2" s="428" t="s">
        <v>23</v>
      </c>
      <c r="WLV2" s="429"/>
      <c r="WLW2" s="429"/>
      <c r="WLX2" s="429"/>
      <c r="WLY2" s="428" t="s">
        <v>23</v>
      </c>
      <c r="WLZ2" s="429"/>
      <c r="WMA2" s="429"/>
      <c r="WMB2" s="429"/>
      <c r="WMC2" s="428" t="s">
        <v>23</v>
      </c>
      <c r="WMD2" s="429"/>
      <c r="WME2" s="429"/>
      <c r="WMF2" s="429"/>
      <c r="WMG2" s="428" t="s">
        <v>23</v>
      </c>
      <c r="WMH2" s="429"/>
      <c r="WMI2" s="429"/>
      <c r="WMJ2" s="429"/>
      <c r="WMK2" s="428" t="s">
        <v>23</v>
      </c>
      <c r="WML2" s="429"/>
      <c r="WMM2" s="429"/>
      <c r="WMN2" s="429"/>
      <c r="WMO2" s="428" t="s">
        <v>23</v>
      </c>
      <c r="WMP2" s="429"/>
      <c r="WMQ2" s="429"/>
      <c r="WMR2" s="429"/>
      <c r="WMS2" s="428" t="s">
        <v>23</v>
      </c>
      <c r="WMT2" s="429"/>
      <c r="WMU2" s="429"/>
      <c r="WMV2" s="429"/>
      <c r="WMW2" s="428" t="s">
        <v>23</v>
      </c>
      <c r="WMX2" s="429"/>
      <c r="WMY2" s="429"/>
      <c r="WMZ2" s="429"/>
      <c r="WNA2" s="428" t="s">
        <v>23</v>
      </c>
      <c r="WNB2" s="429"/>
      <c r="WNC2" s="429"/>
      <c r="WND2" s="429"/>
      <c r="WNE2" s="428" t="s">
        <v>23</v>
      </c>
      <c r="WNF2" s="429"/>
      <c r="WNG2" s="429"/>
      <c r="WNH2" s="429"/>
      <c r="WNI2" s="428" t="s">
        <v>23</v>
      </c>
      <c r="WNJ2" s="429"/>
      <c r="WNK2" s="429"/>
      <c r="WNL2" s="429"/>
      <c r="WNM2" s="428" t="s">
        <v>23</v>
      </c>
      <c r="WNN2" s="429"/>
      <c r="WNO2" s="429"/>
      <c r="WNP2" s="429"/>
      <c r="WNQ2" s="428" t="s">
        <v>23</v>
      </c>
      <c r="WNR2" s="429"/>
      <c r="WNS2" s="429"/>
      <c r="WNT2" s="429"/>
      <c r="WNU2" s="428" t="s">
        <v>23</v>
      </c>
      <c r="WNV2" s="429"/>
      <c r="WNW2" s="429"/>
      <c r="WNX2" s="429"/>
      <c r="WNY2" s="428" t="s">
        <v>23</v>
      </c>
      <c r="WNZ2" s="429"/>
      <c r="WOA2" s="429"/>
      <c r="WOB2" s="429"/>
      <c r="WOC2" s="428" t="s">
        <v>23</v>
      </c>
      <c r="WOD2" s="429"/>
      <c r="WOE2" s="429"/>
      <c r="WOF2" s="429"/>
      <c r="WOG2" s="428" t="s">
        <v>23</v>
      </c>
      <c r="WOH2" s="429"/>
      <c r="WOI2" s="429"/>
      <c r="WOJ2" s="429"/>
      <c r="WOK2" s="428" t="s">
        <v>23</v>
      </c>
      <c r="WOL2" s="429"/>
      <c r="WOM2" s="429"/>
      <c r="WON2" s="429"/>
      <c r="WOO2" s="428" t="s">
        <v>23</v>
      </c>
      <c r="WOP2" s="429"/>
      <c r="WOQ2" s="429"/>
      <c r="WOR2" s="429"/>
      <c r="WOS2" s="428" t="s">
        <v>23</v>
      </c>
      <c r="WOT2" s="429"/>
      <c r="WOU2" s="429"/>
      <c r="WOV2" s="429"/>
      <c r="WOW2" s="428" t="s">
        <v>23</v>
      </c>
      <c r="WOX2" s="429"/>
      <c r="WOY2" s="429"/>
      <c r="WOZ2" s="429"/>
      <c r="WPA2" s="428" t="s">
        <v>23</v>
      </c>
      <c r="WPB2" s="429"/>
      <c r="WPC2" s="429"/>
      <c r="WPD2" s="429"/>
      <c r="WPE2" s="428" t="s">
        <v>23</v>
      </c>
      <c r="WPF2" s="429"/>
      <c r="WPG2" s="429"/>
      <c r="WPH2" s="429"/>
      <c r="WPI2" s="428" t="s">
        <v>23</v>
      </c>
      <c r="WPJ2" s="429"/>
      <c r="WPK2" s="429"/>
      <c r="WPL2" s="429"/>
      <c r="WPM2" s="428" t="s">
        <v>23</v>
      </c>
      <c r="WPN2" s="429"/>
      <c r="WPO2" s="429"/>
      <c r="WPP2" s="429"/>
      <c r="WPQ2" s="428" t="s">
        <v>23</v>
      </c>
      <c r="WPR2" s="429"/>
      <c r="WPS2" s="429"/>
      <c r="WPT2" s="429"/>
      <c r="WPU2" s="428" t="s">
        <v>23</v>
      </c>
      <c r="WPV2" s="429"/>
      <c r="WPW2" s="429"/>
      <c r="WPX2" s="429"/>
      <c r="WPY2" s="428" t="s">
        <v>23</v>
      </c>
      <c r="WPZ2" s="429"/>
      <c r="WQA2" s="429"/>
      <c r="WQB2" s="429"/>
      <c r="WQC2" s="428" t="s">
        <v>23</v>
      </c>
      <c r="WQD2" s="429"/>
      <c r="WQE2" s="429"/>
      <c r="WQF2" s="429"/>
      <c r="WQG2" s="428" t="s">
        <v>23</v>
      </c>
      <c r="WQH2" s="429"/>
      <c r="WQI2" s="429"/>
      <c r="WQJ2" s="429"/>
      <c r="WQK2" s="428" t="s">
        <v>23</v>
      </c>
      <c r="WQL2" s="429"/>
      <c r="WQM2" s="429"/>
      <c r="WQN2" s="429"/>
      <c r="WQO2" s="428" t="s">
        <v>23</v>
      </c>
      <c r="WQP2" s="429"/>
      <c r="WQQ2" s="429"/>
      <c r="WQR2" s="429"/>
      <c r="WQS2" s="428" t="s">
        <v>23</v>
      </c>
      <c r="WQT2" s="429"/>
      <c r="WQU2" s="429"/>
      <c r="WQV2" s="429"/>
      <c r="WQW2" s="428" t="s">
        <v>23</v>
      </c>
      <c r="WQX2" s="429"/>
      <c r="WQY2" s="429"/>
      <c r="WQZ2" s="429"/>
      <c r="WRA2" s="428" t="s">
        <v>23</v>
      </c>
      <c r="WRB2" s="429"/>
      <c r="WRC2" s="429"/>
      <c r="WRD2" s="429"/>
      <c r="WRE2" s="428" t="s">
        <v>23</v>
      </c>
      <c r="WRF2" s="429"/>
      <c r="WRG2" s="429"/>
      <c r="WRH2" s="429"/>
      <c r="WRI2" s="428" t="s">
        <v>23</v>
      </c>
      <c r="WRJ2" s="429"/>
      <c r="WRK2" s="429"/>
      <c r="WRL2" s="429"/>
      <c r="WRM2" s="428" t="s">
        <v>23</v>
      </c>
      <c r="WRN2" s="429"/>
      <c r="WRO2" s="429"/>
      <c r="WRP2" s="429"/>
      <c r="WRQ2" s="428" t="s">
        <v>23</v>
      </c>
      <c r="WRR2" s="429"/>
      <c r="WRS2" s="429"/>
      <c r="WRT2" s="429"/>
      <c r="WRU2" s="428" t="s">
        <v>23</v>
      </c>
      <c r="WRV2" s="429"/>
      <c r="WRW2" s="429"/>
      <c r="WRX2" s="429"/>
      <c r="WRY2" s="428" t="s">
        <v>23</v>
      </c>
      <c r="WRZ2" s="429"/>
      <c r="WSA2" s="429"/>
      <c r="WSB2" s="429"/>
      <c r="WSC2" s="428" t="s">
        <v>23</v>
      </c>
      <c r="WSD2" s="429"/>
      <c r="WSE2" s="429"/>
      <c r="WSF2" s="429"/>
      <c r="WSG2" s="428" t="s">
        <v>23</v>
      </c>
      <c r="WSH2" s="429"/>
      <c r="WSI2" s="429"/>
      <c r="WSJ2" s="429"/>
      <c r="WSK2" s="428" t="s">
        <v>23</v>
      </c>
      <c r="WSL2" s="429"/>
      <c r="WSM2" s="429"/>
      <c r="WSN2" s="429"/>
      <c r="WSO2" s="428" t="s">
        <v>23</v>
      </c>
      <c r="WSP2" s="429"/>
      <c r="WSQ2" s="429"/>
      <c r="WSR2" s="429"/>
      <c r="WSS2" s="428" t="s">
        <v>23</v>
      </c>
      <c r="WST2" s="429"/>
      <c r="WSU2" s="429"/>
      <c r="WSV2" s="429"/>
      <c r="WSW2" s="428" t="s">
        <v>23</v>
      </c>
      <c r="WSX2" s="429"/>
      <c r="WSY2" s="429"/>
      <c r="WSZ2" s="429"/>
      <c r="WTA2" s="428" t="s">
        <v>23</v>
      </c>
      <c r="WTB2" s="429"/>
      <c r="WTC2" s="429"/>
      <c r="WTD2" s="429"/>
      <c r="WTE2" s="428" t="s">
        <v>23</v>
      </c>
      <c r="WTF2" s="429"/>
      <c r="WTG2" s="429"/>
      <c r="WTH2" s="429"/>
      <c r="WTI2" s="428" t="s">
        <v>23</v>
      </c>
      <c r="WTJ2" s="429"/>
      <c r="WTK2" s="429"/>
      <c r="WTL2" s="429"/>
      <c r="WTM2" s="428" t="s">
        <v>23</v>
      </c>
      <c r="WTN2" s="429"/>
      <c r="WTO2" s="429"/>
      <c r="WTP2" s="429"/>
      <c r="WTQ2" s="428" t="s">
        <v>23</v>
      </c>
      <c r="WTR2" s="429"/>
      <c r="WTS2" s="429"/>
      <c r="WTT2" s="429"/>
      <c r="WTU2" s="428" t="s">
        <v>23</v>
      </c>
      <c r="WTV2" s="429"/>
      <c r="WTW2" s="429"/>
      <c r="WTX2" s="429"/>
      <c r="WTY2" s="428" t="s">
        <v>23</v>
      </c>
      <c r="WTZ2" s="429"/>
      <c r="WUA2" s="429"/>
      <c r="WUB2" s="429"/>
      <c r="WUC2" s="428" t="s">
        <v>23</v>
      </c>
      <c r="WUD2" s="429"/>
      <c r="WUE2" s="429"/>
      <c r="WUF2" s="429"/>
      <c r="WUG2" s="428" t="s">
        <v>23</v>
      </c>
      <c r="WUH2" s="429"/>
      <c r="WUI2" s="429"/>
      <c r="WUJ2" s="429"/>
      <c r="WUK2" s="428" t="s">
        <v>23</v>
      </c>
      <c r="WUL2" s="429"/>
      <c r="WUM2" s="429"/>
      <c r="WUN2" s="429"/>
      <c r="WUO2" s="428" t="s">
        <v>23</v>
      </c>
      <c r="WUP2" s="429"/>
      <c r="WUQ2" s="429"/>
      <c r="WUR2" s="429"/>
      <c r="WUS2" s="428" t="s">
        <v>23</v>
      </c>
      <c r="WUT2" s="429"/>
      <c r="WUU2" s="429"/>
      <c r="WUV2" s="429"/>
      <c r="WUW2" s="428" t="s">
        <v>23</v>
      </c>
      <c r="WUX2" s="429"/>
      <c r="WUY2" s="429"/>
      <c r="WUZ2" s="429"/>
      <c r="WVA2" s="428" t="s">
        <v>23</v>
      </c>
      <c r="WVB2" s="429"/>
      <c r="WVC2" s="429"/>
      <c r="WVD2" s="429"/>
      <c r="WVE2" s="428" t="s">
        <v>23</v>
      </c>
      <c r="WVF2" s="429"/>
      <c r="WVG2" s="429"/>
      <c r="WVH2" s="429"/>
      <c r="WVI2" s="428" t="s">
        <v>23</v>
      </c>
      <c r="WVJ2" s="429"/>
      <c r="WVK2" s="429"/>
      <c r="WVL2" s="429"/>
      <c r="WVM2" s="428" t="s">
        <v>23</v>
      </c>
      <c r="WVN2" s="429"/>
      <c r="WVO2" s="429"/>
      <c r="WVP2" s="429"/>
      <c r="WVQ2" s="428" t="s">
        <v>23</v>
      </c>
      <c r="WVR2" s="429"/>
      <c r="WVS2" s="429"/>
      <c r="WVT2" s="429"/>
      <c r="WVU2" s="428" t="s">
        <v>23</v>
      </c>
      <c r="WVV2" s="429"/>
      <c r="WVW2" s="429"/>
      <c r="WVX2" s="429"/>
      <c r="WVY2" s="428" t="s">
        <v>23</v>
      </c>
      <c r="WVZ2" s="429"/>
      <c r="WWA2" s="429"/>
      <c r="WWB2" s="429"/>
      <c r="WWC2" s="428" t="s">
        <v>23</v>
      </c>
      <c r="WWD2" s="429"/>
      <c r="WWE2" s="429"/>
      <c r="WWF2" s="429"/>
      <c r="WWG2" s="428" t="s">
        <v>23</v>
      </c>
      <c r="WWH2" s="429"/>
      <c r="WWI2" s="429"/>
      <c r="WWJ2" s="429"/>
      <c r="WWK2" s="428" t="s">
        <v>23</v>
      </c>
      <c r="WWL2" s="429"/>
      <c r="WWM2" s="429"/>
      <c r="WWN2" s="429"/>
      <c r="WWO2" s="428" t="s">
        <v>23</v>
      </c>
      <c r="WWP2" s="429"/>
      <c r="WWQ2" s="429"/>
      <c r="WWR2" s="429"/>
      <c r="WWS2" s="428" t="s">
        <v>23</v>
      </c>
      <c r="WWT2" s="429"/>
      <c r="WWU2" s="429"/>
      <c r="WWV2" s="429"/>
      <c r="WWW2" s="428" t="s">
        <v>23</v>
      </c>
      <c r="WWX2" s="429"/>
      <c r="WWY2" s="429"/>
      <c r="WWZ2" s="429"/>
      <c r="WXA2" s="428" t="s">
        <v>23</v>
      </c>
      <c r="WXB2" s="429"/>
      <c r="WXC2" s="429"/>
      <c r="WXD2" s="429"/>
      <c r="WXE2" s="428" t="s">
        <v>23</v>
      </c>
      <c r="WXF2" s="429"/>
      <c r="WXG2" s="429"/>
      <c r="WXH2" s="429"/>
      <c r="WXI2" s="428" t="s">
        <v>23</v>
      </c>
      <c r="WXJ2" s="429"/>
      <c r="WXK2" s="429"/>
      <c r="WXL2" s="429"/>
      <c r="WXM2" s="428" t="s">
        <v>23</v>
      </c>
      <c r="WXN2" s="429"/>
      <c r="WXO2" s="429"/>
      <c r="WXP2" s="429"/>
      <c r="WXQ2" s="428" t="s">
        <v>23</v>
      </c>
      <c r="WXR2" s="429"/>
      <c r="WXS2" s="429"/>
      <c r="WXT2" s="429"/>
      <c r="WXU2" s="428" t="s">
        <v>23</v>
      </c>
      <c r="WXV2" s="429"/>
      <c r="WXW2" s="429"/>
      <c r="WXX2" s="429"/>
      <c r="WXY2" s="428" t="s">
        <v>23</v>
      </c>
      <c r="WXZ2" s="429"/>
      <c r="WYA2" s="429"/>
      <c r="WYB2" s="429"/>
      <c r="WYC2" s="428" t="s">
        <v>23</v>
      </c>
      <c r="WYD2" s="429"/>
      <c r="WYE2" s="429"/>
      <c r="WYF2" s="429"/>
      <c r="WYG2" s="428" t="s">
        <v>23</v>
      </c>
      <c r="WYH2" s="429"/>
      <c r="WYI2" s="429"/>
      <c r="WYJ2" s="429"/>
      <c r="WYK2" s="428" t="s">
        <v>23</v>
      </c>
      <c r="WYL2" s="429"/>
      <c r="WYM2" s="429"/>
      <c r="WYN2" s="429"/>
      <c r="WYO2" s="428" t="s">
        <v>23</v>
      </c>
      <c r="WYP2" s="429"/>
      <c r="WYQ2" s="429"/>
      <c r="WYR2" s="429"/>
      <c r="WYS2" s="428" t="s">
        <v>23</v>
      </c>
      <c r="WYT2" s="429"/>
      <c r="WYU2" s="429"/>
      <c r="WYV2" s="429"/>
      <c r="WYW2" s="428" t="s">
        <v>23</v>
      </c>
      <c r="WYX2" s="429"/>
      <c r="WYY2" s="429"/>
      <c r="WYZ2" s="429"/>
      <c r="WZA2" s="428" t="s">
        <v>23</v>
      </c>
      <c r="WZB2" s="429"/>
      <c r="WZC2" s="429"/>
      <c r="WZD2" s="429"/>
      <c r="WZE2" s="428" t="s">
        <v>23</v>
      </c>
      <c r="WZF2" s="429"/>
      <c r="WZG2" s="429"/>
      <c r="WZH2" s="429"/>
      <c r="WZI2" s="428" t="s">
        <v>23</v>
      </c>
      <c r="WZJ2" s="429"/>
      <c r="WZK2" s="429"/>
      <c r="WZL2" s="429"/>
      <c r="WZM2" s="428" t="s">
        <v>23</v>
      </c>
      <c r="WZN2" s="429"/>
      <c r="WZO2" s="429"/>
      <c r="WZP2" s="429"/>
      <c r="WZQ2" s="428" t="s">
        <v>23</v>
      </c>
      <c r="WZR2" s="429"/>
      <c r="WZS2" s="429"/>
      <c r="WZT2" s="429"/>
      <c r="WZU2" s="428" t="s">
        <v>23</v>
      </c>
      <c r="WZV2" s="429"/>
      <c r="WZW2" s="429"/>
      <c r="WZX2" s="429"/>
      <c r="WZY2" s="428" t="s">
        <v>23</v>
      </c>
      <c r="WZZ2" s="429"/>
      <c r="XAA2" s="429"/>
      <c r="XAB2" s="429"/>
      <c r="XAC2" s="428" t="s">
        <v>23</v>
      </c>
      <c r="XAD2" s="429"/>
      <c r="XAE2" s="429"/>
      <c r="XAF2" s="429"/>
      <c r="XAG2" s="428" t="s">
        <v>23</v>
      </c>
      <c r="XAH2" s="429"/>
      <c r="XAI2" s="429"/>
      <c r="XAJ2" s="429"/>
      <c r="XAK2" s="428" t="s">
        <v>23</v>
      </c>
      <c r="XAL2" s="429"/>
      <c r="XAM2" s="429"/>
      <c r="XAN2" s="429"/>
      <c r="XAO2" s="428" t="s">
        <v>23</v>
      </c>
      <c r="XAP2" s="429"/>
      <c r="XAQ2" s="429"/>
      <c r="XAR2" s="429"/>
      <c r="XAS2" s="428" t="s">
        <v>23</v>
      </c>
      <c r="XAT2" s="429"/>
      <c r="XAU2" s="429"/>
      <c r="XAV2" s="429"/>
      <c r="XAW2" s="428" t="s">
        <v>23</v>
      </c>
      <c r="XAX2" s="429"/>
      <c r="XAY2" s="429"/>
      <c r="XAZ2" s="429"/>
      <c r="XBA2" s="428" t="s">
        <v>23</v>
      </c>
      <c r="XBB2" s="429"/>
      <c r="XBC2" s="429"/>
      <c r="XBD2" s="429"/>
      <c r="XBE2" s="428" t="s">
        <v>23</v>
      </c>
      <c r="XBF2" s="429"/>
      <c r="XBG2" s="429"/>
      <c r="XBH2" s="429"/>
      <c r="XBI2" s="428" t="s">
        <v>23</v>
      </c>
      <c r="XBJ2" s="429"/>
      <c r="XBK2" s="429"/>
      <c r="XBL2" s="429"/>
      <c r="XBM2" s="428" t="s">
        <v>23</v>
      </c>
      <c r="XBN2" s="429"/>
      <c r="XBO2" s="429"/>
      <c r="XBP2" s="429"/>
      <c r="XBQ2" s="428" t="s">
        <v>23</v>
      </c>
      <c r="XBR2" s="429"/>
      <c r="XBS2" s="429"/>
      <c r="XBT2" s="429"/>
      <c r="XBU2" s="428" t="s">
        <v>23</v>
      </c>
      <c r="XBV2" s="429"/>
      <c r="XBW2" s="429"/>
      <c r="XBX2" s="429"/>
      <c r="XBY2" s="428" t="s">
        <v>23</v>
      </c>
      <c r="XBZ2" s="429"/>
      <c r="XCA2" s="429"/>
      <c r="XCB2" s="429"/>
      <c r="XCC2" s="428" t="s">
        <v>23</v>
      </c>
      <c r="XCD2" s="429"/>
      <c r="XCE2" s="429"/>
      <c r="XCF2" s="429"/>
      <c r="XCG2" s="428" t="s">
        <v>23</v>
      </c>
      <c r="XCH2" s="429"/>
      <c r="XCI2" s="429"/>
      <c r="XCJ2" s="429"/>
      <c r="XCK2" s="428" t="s">
        <v>23</v>
      </c>
      <c r="XCL2" s="429"/>
      <c r="XCM2" s="429"/>
      <c r="XCN2" s="429"/>
      <c r="XCO2" s="428" t="s">
        <v>23</v>
      </c>
      <c r="XCP2" s="429"/>
      <c r="XCQ2" s="429"/>
      <c r="XCR2" s="429"/>
      <c r="XCS2" s="428" t="s">
        <v>23</v>
      </c>
      <c r="XCT2" s="429"/>
      <c r="XCU2" s="429"/>
      <c r="XCV2" s="429"/>
      <c r="XCW2" s="428" t="s">
        <v>23</v>
      </c>
      <c r="XCX2" s="429"/>
      <c r="XCY2" s="429"/>
      <c r="XCZ2" s="429"/>
      <c r="XDA2" s="428" t="s">
        <v>23</v>
      </c>
      <c r="XDB2" s="429"/>
      <c r="XDC2" s="429"/>
      <c r="XDD2" s="429"/>
      <c r="XDE2" s="428" t="s">
        <v>23</v>
      </c>
      <c r="XDF2" s="429"/>
      <c r="XDG2" s="429"/>
      <c r="XDH2" s="429"/>
      <c r="XDI2" s="428" t="s">
        <v>23</v>
      </c>
      <c r="XDJ2" s="429"/>
      <c r="XDK2" s="429"/>
      <c r="XDL2" s="429"/>
      <c r="XDM2" s="428" t="s">
        <v>23</v>
      </c>
      <c r="XDN2" s="429"/>
      <c r="XDO2" s="429"/>
      <c r="XDP2" s="429"/>
      <c r="XDQ2" s="428" t="s">
        <v>23</v>
      </c>
      <c r="XDR2" s="429"/>
      <c r="XDS2" s="429"/>
      <c r="XDT2" s="429"/>
      <c r="XDU2" s="428" t="s">
        <v>23</v>
      </c>
      <c r="XDV2" s="429"/>
      <c r="XDW2" s="429"/>
      <c r="XDX2" s="429"/>
      <c r="XDY2" s="428" t="s">
        <v>23</v>
      </c>
      <c r="XDZ2" s="429"/>
      <c r="XEA2" s="429"/>
      <c r="XEB2" s="429"/>
      <c r="XEC2" s="428" t="s">
        <v>23</v>
      </c>
      <c r="XED2" s="429"/>
      <c r="XEE2" s="429"/>
      <c r="XEF2" s="429"/>
      <c r="XEG2" s="428" t="s">
        <v>23</v>
      </c>
      <c r="XEH2" s="429"/>
      <c r="XEI2" s="429"/>
      <c r="XEJ2" s="429"/>
      <c r="XEK2" s="428" t="s">
        <v>23</v>
      </c>
      <c r="XEL2" s="429"/>
      <c r="XEM2" s="429"/>
      <c r="XEN2" s="429"/>
      <c r="XEO2" s="428" t="s">
        <v>23</v>
      </c>
      <c r="XEP2" s="429"/>
      <c r="XEQ2" s="429"/>
      <c r="XER2" s="429"/>
      <c r="XES2" s="428" t="s">
        <v>23</v>
      </c>
      <c r="XET2" s="429"/>
      <c r="XEU2" s="429"/>
      <c r="XEV2" s="429"/>
      <c r="XEW2" s="428" t="s">
        <v>23</v>
      </c>
      <c r="XEX2" s="428"/>
      <c r="XEY2" s="428"/>
      <c r="XEZ2" s="428"/>
    </row>
    <row r="3" spans="1:16380" s="202" customFormat="1" ht="8.1" customHeight="1" thickBot="1" x14ac:dyDescent="0.35">
      <c r="A3" s="203"/>
      <c r="B3" s="204"/>
      <c r="C3" s="205"/>
      <c r="D3" s="199"/>
      <c r="E3" s="200"/>
      <c r="F3" s="201"/>
      <c r="G3" s="201"/>
      <c r="H3" s="201"/>
      <c r="I3" s="200"/>
      <c r="J3" s="201"/>
      <c r="K3" s="201"/>
      <c r="L3" s="201"/>
      <c r="M3" s="200"/>
      <c r="N3" s="201"/>
      <c r="O3" s="201"/>
      <c r="P3" s="201"/>
      <c r="Q3" s="200"/>
      <c r="R3" s="201"/>
      <c r="S3" s="201"/>
      <c r="T3" s="201"/>
      <c r="U3" s="200"/>
      <c r="V3" s="201"/>
      <c r="W3" s="201"/>
      <c r="X3" s="201"/>
      <c r="Y3" s="200"/>
      <c r="Z3" s="201"/>
      <c r="AA3" s="201"/>
      <c r="AB3" s="201"/>
      <c r="AC3" s="200"/>
      <c r="AD3" s="201"/>
      <c r="AE3" s="201"/>
      <c r="AF3" s="201"/>
      <c r="AG3" s="200"/>
      <c r="AH3" s="201"/>
      <c r="AI3" s="201"/>
      <c r="AJ3" s="201"/>
      <c r="AK3" s="200"/>
      <c r="AL3" s="201"/>
      <c r="AM3" s="201"/>
      <c r="AN3" s="201"/>
      <c r="AO3" s="200"/>
      <c r="AP3" s="201"/>
      <c r="AQ3" s="201"/>
      <c r="AR3" s="201"/>
      <c r="AS3" s="200"/>
      <c r="AT3" s="201"/>
      <c r="AU3" s="201"/>
      <c r="AV3" s="201"/>
      <c r="AW3" s="200"/>
      <c r="AX3" s="201"/>
      <c r="AY3" s="201"/>
      <c r="AZ3" s="201"/>
      <c r="BA3" s="200"/>
      <c r="BB3" s="201"/>
      <c r="BC3" s="201"/>
      <c r="BD3" s="201"/>
      <c r="BE3" s="200"/>
      <c r="BF3" s="201"/>
      <c r="BG3" s="201"/>
      <c r="BH3" s="201"/>
      <c r="BI3" s="200"/>
      <c r="BJ3" s="201"/>
      <c r="BK3" s="201"/>
      <c r="BL3" s="201"/>
      <c r="BM3" s="200"/>
      <c r="BN3" s="201"/>
      <c r="BO3" s="201"/>
      <c r="BP3" s="201"/>
      <c r="BQ3" s="200"/>
      <c r="BR3" s="201"/>
      <c r="BS3" s="201"/>
      <c r="BT3" s="201"/>
      <c r="BU3" s="200"/>
      <c r="BV3" s="201"/>
      <c r="BW3" s="201"/>
      <c r="BX3" s="201"/>
      <c r="BY3" s="200"/>
      <c r="BZ3" s="201"/>
      <c r="CA3" s="201"/>
      <c r="CB3" s="201"/>
      <c r="CC3" s="200"/>
      <c r="CD3" s="201"/>
      <c r="CE3" s="201"/>
      <c r="CF3" s="201"/>
      <c r="CG3" s="200"/>
      <c r="CH3" s="201"/>
      <c r="CI3" s="201"/>
      <c r="CJ3" s="201"/>
      <c r="CK3" s="200"/>
      <c r="CL3" s="201"/>
      <c r="CM3" s="201"/>
      <c r="CN3" s="201"/>
      <c r="CO3" s="200"/>
      <c r="CP3" s="201"/>
      <c r="CQ3" s="201"/>
      <c r="CR3" s="201"/>
      <c r="CS3" s="200"/>
      <c r="CT3" s="201"/>
      <c r="CU3" s="201"/>
      <c r="CV3" s="201"/>
      <c r="CW3" s="200"/>
      <c r="CX3" s="201"/>
      <c r="CY3" s="201"/>
      <c r="CZ3" s="201"/>
      <c r="DA3" s="200"/>
      <c r="DB3" s="201"/>
      <c r="DC3" s="201"/>
      <c r="DD3" s="201"/>
      <c r="DE3" s="200"/>
      <c r="DF3" s="201"/>
      <c r="DG3" s="201"/>
      <c r="DH3" s="201"/>
      <c r="DI3" s="200"/>
      <c r="DJ3" s="201"/>
      <c r="DK3" s="201"/>
      <c r="DL3" s="201"/>
      <c r="DM3" s="200"/>
      <c r="DN3" s="201"/>
      <c r="DO3" s="201"/>
      <c r="DP3" s="201"/>
      <c r="DQ3" s="200"/>
      <c r="DR3" s="201"/>
      <c r="DS3" s="201"/>
      <c r="DT3" s="201"/>
      <c r="DU3" s="200"/>
      <c r="DV3" s="201"/>
      <c r="DW3" s="201"/>
      <c r="DX3" s="201"/>
      <c r="DY3" s="200"/>
      <c r="DZ3" s="201"/>
      <c r="EA3" s="201"/>
      <c r="EB3" s="201"/>
      <c r="EC3" s="200"/>
      <c r="ED3" s="201"/>
      <c r="EE3" s="201"/>
      <c r="EF3" s="201"/>
      <c r="EG3" s="200"/>
      <c r="EH3" s="201"/>
      <c r="EI3" s="201"/>
      <c r="EJ3" s="201"/>
      <c r="EK3" s="200"/>
      <c r="EL3" s="201"/>
      <c r="EM3" s="201"/>
      <c r="EN3" s="201"/>
      <c r="EO3" s="200"/>
      <c r="EP3" s="201"/>
      <c r="EQ3" s="201"/>
      <c r="ER3" s="201"/>
      <c r="ES3" s="200"/>
      <c r="ET3" s="201"/>
      <c r="EU3" s="201"/>
      <c r="EV3" s="201"/>
      <c r="EW3" s="200"/>
      <c r="EX3" s="201"/>
      <c r="EY3" s="201"/>
      <c r="EZ3" s="201"/>
      <c r="FA3" s="200"/>
      <c r="FB3" s="201"/>
      <c r="FC3" s="201"/>
      <c r="FD3" s="201"/>
      <c r="FE3" s="200"/>
      <c r="FF3" s="201"/>
      <c r="FG3" s="201"/>
      <c r="FH3" s="201"/>
      <c r="FI3" s="200"/>
      <c r="FJ3" s="201"/>
      <c r="FK3" s="201"/>
      <c r="FL3" s="201"/>
      <c r="FM3" s="200"/>
      <c r="FN3" s="201"/>
      <c r="FO3" s="201"/>
      <c r="FP3" s="201"/>
      <c r="FQ3" s="200"/>
      <c r="FR3" s="201"/>
      <c r="FS3" s="201"/>
      <c r="FT3" s="201"/>
      <c r="FU3" s="200"/>
      <c r="FV3" s="201"/>
      <c r="FW3" s="201"/>
      <c r="FX3" s="201"/>
      <c r="FY3" s="200"/>
      <c r="FZ3" s="201"/>
      <c r="GA3" s="201"/>
      <c r="GB3" s="201"/>
      <c r="GC3" s="200"/>
      <c r="GD3" s="201"/>
      <c r="GE3" s="201"/>
      <c r="GF3" s="201"/>
      <c r="GG3" s="200"/>
      <c r="GH3" s="201"/>
      <c r="GI3" s="201"/>
      <c r="GJ3" s="201"/>
      <c r="GK3" s="200"/>
      <c r="GL3" s="201"/>
      <c r="GM3" s="201"/>
      <c r="GN3" s="201"/>
      <c r="GO3" s="200"/>
      <c r="GP3" s="201"/>
      <c r="GQ3" s="201"/>
      <c r="GR3" s="201"/>
      <c r="GS3" s="200"/>
      <c r="GT3" s="201"/>
      <c r="GU3" s="201"/>
      <c r="GV3" s="201"/>
      <c r="GW3" s="200"/>
      <c r="GX3" s="201"/>
      <c r="GY3" s="201"/>
      <c r="GZ3" s="201"/>
      <c r="HA3" s="200"/>
      <c r="HB3" s="201"/>
      <c r="HC3" s="201"/>
      <c r="HD3" s="201"/>
      <c r="HE3" s="200"/>
      <c r="HF3" s="201"/>
      <c r="HG3" s="201"/>
      <c r="HH3" s="201"/>
      <c r="HI3" s="200"/>
      <c r="HJ3" s="201"/>
      <c r="HK3" s="201"/>
      <c r="HL3" s="201"/>
      <c r="HM3" s="200"/>
      <c r="HN3" s="201"/>
      <c r="HO3" s="201"/>
      <c r="HP3" s="201"/>
      <c r="HQ3" s="200"/>
      <c r="HR3" s="201"/>
      <c r="HS3" s="201"/>
      <c r="HT3" s="201"/>
      <c r="HU3" s="200"/>
      <c r="HV3" s="201"/>
      <c r="HW3" s="201"/>
      <c r="HX3" s="201"/>
      <c r="HY3" s="200"/>
      <c r="HZ3" s="201"/>
      <c r="IA3" s="201"/>
      <c r="IB3" s="201"/>
      <c r="IC3" s="200"/>
      <c r="ID3" s="201"/>
      <c r="IE3" s="201"/>
      <c r="IF3" s="201"/>
      <c r="IG3" s="200"/>
      <c r="IH3" s="201"/>
      <c r="II3" s="201"/>
      <c r="IJ3" s="201"/>
      <c r="IK3" s="200"/>
      <c r="IL3" s="201"/>
      <c r="IM3" s="201"/>
      <c r="IN3" s="201"/>
      <c r="IO3" s="200"/>
      <c r="IP3" s="201"/>
      <c r="IQ3" s="201"/>
      <c r="IR3" s="201"/>
      <c r="IS3" s="200"/>
      <c r="IT3" s="201"/>
      <c r="IU3" s="201"/>
      <c r="IV3" s="201"/>
      <c r="IW3" s="200"/>
      <c r="IX3" s="201"/>
      <c r="IY3" s="201"/>
      <c r="IZ3" s="201"/>
      <c r="JA3" s="200"/>
      <c r="JB3" s="201"/>
      <c r="JC3" s="201"/>
      <c r="JD3" s="201"/>
      <c r="JE3" s="200"/>
      <c r="JF3" s="201"/>
      <c r="JG3" s="201"/>
      <c r="JH3" s="201"/>
      <c r="JI3" s="200"/>
      <c r="JJ3" s="201"/>
      <c r="JK3" s="201"/>
      <c r="JL3" s="201"/>
      <c r="JM3" s="200"/>
      <c r="JN3" s="201"/>
      <c r="JO3" s="201"/>
      <c r="JP3" s="201"/>
      <c r="JQ3" s="200"/>
      <c r="JR3" s="201"/>
      <c r="JS3" s="201"/>
      <c r="JT3" s="201"/>
      <c r="JU3" s="200"/>
      <c r="JV3" s="201"/>
      <c r="JW3" s="201"/>
      <c r="JX3" s="201"/>
      <c r="JY3" s="200"/>
      <c r="JZ3" s="201"/>
      <c r="KA3" s="201"/>
      <c r="KB3" s="201"/>
      <c r="KC3" s="200"/>
      <c r="KD3" s="201"/>
      <c r="KE3" s="201"/>
      <c r="KF3" s="201"/>
      <c r="KG3" s="200"/>
      <c r="KH3" s="201"/>
      <c r="KI3" s="201"/>
      <c r="KJ3" s="201"/>
      <c r="KK3" s="200"/>
      <c r="KL3" s="201"/>
      <c r="KM3" s="201"/>
      <c r="KN3" s="201"/>
      <c r="KO3" s="200"/>
      <c r="KP3" s="201"/>
      <c r="KQ3" s="201"/>
      <c r="KR3" s="201"/>
      <c r="KS3" s="200"/>
      <c r="KT3" s="201"/>
      <c r="KU3" s="201"/>
      <c r="KV3" s="201"/>
      <c r="KW3" s="200"/>
      <c r="KX3" s="201"/>
      <c r="KY3" s="201"/>
      <c r="KZ3" s="201"/>
      <c r="LA3" s="200"/>
      <c r="LB3" s="201"/>
      <c r="LC3" s="201"/>
      <c r="LD3" s="201"/>
      <c r="LE3" s="200"/>
      <c r="LF3" s="201"/>
      <c r="LG3" s="201"/>
      <c r="LH3" s="201"/>
      <c r="LI3" s="200"/>
      <c r="LJ3" s="201"/>
      <c r="LK3" s="201"/>
      <c r="LL3" s="201"/>
      <c r="LM3" s="200"/>
      <c r="LN3" s="201"/>
      <c r="LO3" s="201"/>
      <c r="LP3" s="201"/>
      <c r="LQ3" s="200"/>
      <c r="LR3" s="201"/>
      <c r="LS3" s="201"/>
      <c r="LT3" s="201"/>
      <c r="LU3" s="200"/>
      <c r="LV3" s="201"/>
      <c r="LW3" s="201"/>
      <c r="LX3" s="201"/>
      <c r="LY3" s="200"/>
      <c r="LZ3" s="201"/>
      <c r="MA3" s="201"/>
      <c r="MB3" s="201"/>
      <c r="MC3" s="200"/>
      <c r="MD3" s="201"/>
      <c r="ME3" s="201"/>
      <c r="MF3" s="201"/>
      <c r="MG3" s="200"/>
      <c r="MH3" s="201"/>
      <c r="MI3" s="201"/>
      <c r="MJ3" s="201"/>
      <c r="MK3" s="200"/>
      <c r="ML3" s="201"/>
      <c r="MM3" s="201"/>
      <c r="MN3" s="201"/>
      <c r="MO3" s="200"/>
      <c r="MP3" s="201"/>
      <c r="MQ3" s="201"/>
      <c r="MR3" s="201"/>
      <c r="MS3" s="200"/>
      <c r="MT3" s="201"/>
      <c r="MU3" s="201"/>
      <c r="MV3" s="201"/>
      <c r="MW3" s="200"/>
      <c r="MX3" s="201"/>
      <c r="MY3" s="201"/>
      <c r="MZ3" s="201"/>
      <c r="NA3" s="200"/>
      <c r="NB3" s="201"/>
      <c r="NC3" s="201"/>
      <c r="ND3" s="201"/>
      <c r="NE3" s="200"/>
      <c r="NF3" s="201"/>
      <c r="NG3" s="201"/>
      <c r="NH3" s="201"/>
      <c r="NI3" s="200"/>
      <c r="NJ3" s="201"/>
      <c r="NK3" s="201"/>
      <c r="NL3" s="201"/>
      <c r="NM3" s="200"/>
      <c r="NN3" s="201"/>
      <c r="NO3" s="201"/>
      <c r="NP3" s="201"/>
      <c r="NQ3" s="200"/>
      <c r="NR3" s="201"/>
      <c r="NS3" s="201"/>
      <c r="NT3" s="201"/>
      <c r="NU3" s="200"/>
      <c r="NV3" s="201"/>
      <c r="NW3" s="201"/>
      <c r="NX3" s="201"/>
      <c r="NY3" s="200"/>
      <c r="NZ3" s="201"/>
      <c r="OA3" s="201"/>
      <c r="OB3" s="201"/>
      <c r="OC3" s="200"/>
      <c r="OD3" s="201"/>
      <c r="OE3" s="201"/>
      <c r="OF3" s="201"/>
      <c r="OG3" s="200"/>
      <c r="OH3" s="201"/>
      <c r="OI3" s="201"/>
      <c r="OJ3" s="201"/>
      <c r="OK3" s="200"/>
      <c r="OL3" s="201"/>
      <c r="OM3" s="201"/>
      <c r="ON3" s="201"/>
      <c r="OO3" s="200"/>
      <c r="OP3" s="201"/>
      <c r="OQ3" s="201"/>
      <c r="OR3" s="201"/>
      <c r="OS3" s="200"/>
      <c r="OT3" s="201"/>
      <c r="OU3" s="201"/>
      <c r="OV3" s="201"/>
      <c r="OW3" s="200"/>
      <c r="OX3" s="201"/>
      <c r="OY3" s="201"/>
      <c r="OZ3" s="201"/>
      <c r="PA3" s="200"/>
      <c r="PB3" s="201"/>
      <c r="PC3" s="201"/>
      <c r="PD3" s="201"/>
      <c r="PE3" s="200"/>
      <c r="PF3" s="201"/>
      <c r="PG3" s="201"/>
      <c r="PH3" s="201"/>
      <c r="PI3" s="200"/>
      <c r="PJ3" s="201"/>
      <c r="PK3" s="201"/>
      <c r="PL3" s="201"/>
      <c r="PM3" s="200"/>
      <c r="PN3" s="201"/>
      <c r="PO3" s="201"/>
      <c r="PP3" s="201"/>
      <c r="PQ3" s="200"/>
      <c r="PR3" s="201"/>
      <c r="PS3" s="201"/>
      <c r="PT3" s="201"/>
      <c r="PU3" s="200"/>
      <c r="PV3" s="201"/>
      <c r="PW3" s="201"/>
      <c r="PX3" s="201"/>
      <c r="PY3" s="200"/>
      <c r="PZ3" s="201"/>
      <c r="QA3" s="201"/>
      <c r="QB3" s="201"/>
      <c r="QC3" s="200"/>
      <c r="QD3" s="201"/>
      <c r="QE3" s="201"/>
      <c r="QF3" s="201"/>
      <c r="QG3" s="200"/>
      <c r="QH3" s="201"/>
      <c r="QI3" s="201"/>
      <c r="QJ3" s="201"/>
      <c r="QK3" s="200"/>
      <c r="QL3" s="201"/>
      <c r="QM3" s="201"/>
      <c r="QN3" s="201"/>
      <c r="QO3" s="200"/>
      <c r="QP3" s="201"/>
      <c r="QQ3" s="201"/>
      <c r="QR3" s="201"/>
      <c r="QS3" s="200"/>
      <c r="QT3" s="201"/>
      <c r="QU3" s="201"/>
      <c r="QV3" s="201"/>
      <c r="QW3" s="200"/>
      <c r="QX3" s="201"/>
      <c r="QY3" s="201"/>
      <c r="QZ3" s="201"/>
      <c r="RA3" s="200"/>
      <c r="RB3" s="201"/>
      <c r="RC3" s="201"/>
      <c r="RD3" s="201"/>
      <c r="RE3" s="200"/>
      <c r="RF3" s="201"/>
      <c r="RG3" s="201"/>
      <c r="RH3" s="201"/>
      <c r="RI3" s="200"/>
      <c r="RJ3" s="201"/>
      <c r="RK3" s="201"/>
      <c r="RL3" s="201"/>
      <c r="RM3" s="200"/>
      <c r="RN3" s="201"/>
      <c r="RO3" s="201"/>
      <c r="RP3" s="201"/>
      <c r="RQ3" s="200"/>
      <c r="RR3" s="201"/>
      <c r="RS3" s="201"/>
      <c r="RT3" s="201"/>
      <c r="RU3" s="200"/>
      <c r="RV3" s="201"/>
      <c r="RW3" s="201"/>
      <c r="RX3" s="201"/>
      <c r="RY3" s="200"/>
      <c r="RZ3" s="201"/>
      <c r="SA3" s="201"/>
      <c r="SB3" s="201"/>
      <c r="SC3" s="200"/>
      <c r="SD3" s="201"/>
      <c r="SE3" s="201"/>
      <c r="SF3" s="201"/>
      <c r="SG3" s="200"/>
      <c r="SH3" s="201"/>
      <c r="SI3" s="201"/>
      <c r="SJ3" s="201"/>
      <c r="SK3" s="200"/>
      <c r="SL3" s="201"/>
      <c r="SM3" s="201"/>
      <c r="SN3" s="201"/>
      <c r="SO3" s="200"/>
      <c r="SP3" s="201"/>
      <c r="SQ3" s="201"/>
      <c r="SR3" s="201"/>
      <c r="SS3" s="200"/>
      <c r="ST3" s="201"/>
      <c r="SU3" s="201"/>
      <c r="SV3" s="201"/>
      <c r="SW3" s="200"/>
      <c r="SX3" s="201"/>
      <c r="SY3" s="201"/>
      <c r="SZ3" s="201"/>
      <c r="TA3" s="200"/>
      <c r="TB3" s="201"/>
      <c r="TC3" s="201"/>
      <c r="TD3" s="201"/>
      <c r="TE3" s="200"/>
      <c r="TF3" s="201"/>
      <c r="TG3" s="201"/>
      <c r="TH3" s="201"/>
      <c r="TI3" s="200"/>
      <c r="TJ3" s="201"/>
      <c r="TK3" s="201"/>
      <c r="TL3" s="201"/>
      <c r="TM3" s="200"/>
      <c r="TN3" s="201"/>
      <c r="TO3" s="201"/>
      <c r="TP3" s="201"/>
      <c r="TQ3" s="200"/>
      <c r="TR3" s="201"/>
      <c r="TS3" s="201"/>
      <c r="TT3" s="201"/>
      <c r="TU3" s="200"/>
      <c r="TV3" s="201"/>
      <c r="TW3" s="201"/>
      <c r="TX3" s="201"/>
      <c r="TY3" s="200"/>
      <c r="TZ3" s="201"/>
      <c r="UA3" s="201"/>
      <c r="UB3" s="201"/>
      <c r="UC3" s="200"/>
      <c r="UD3" s="201"/>
      <c r="UE3" s="201"/>
      <c r="UF3" s="201"/>
      <c r="UG3" s="200"/>
      <c r="UH3" s="201"/>
      <c r="UI3" s="201"/>
      <c r="UJ3" s="201"/>
      <c r="UK3" s="200"/>
      <c r="UL3" s="201"/>
      <c r="UM3" s="201"/>
      <c r="UN3" s="201"/>
      <c r="UO3" s="200"/>
      <c r="UP3" s="201"/>
      <c r="UQ3" s="201"/>
      <c r="UR3" s="201"/>
      <c r="US3" s="200"/>
      <c r="UT3" s="201"/>
      <c r="UU3" s="201"/>
      <c r="UV3" s="201"/>
      <c r="UW3" s="200"/>
      <c r="UX3" s="201"/>
      <c r="UY3" s="201"/>
      <c r="UZ3" s="201"/>
      <c r="VA3" s="200"/>
      <c r="VB3" s="201"/>
      <c r="VC3" s="201"/>
      <c r="VD3" s="201"/>
      <c r="VE3" s="200"/>
      <c r="VF3" s="201"/>
      <c r="VG3" s="201"/>
      <c r="VH3" s="201"/>
      <c r="VI3" s="200"/>
      <c r="VJ3" s="201"/>
      <c r="VK3" s="201"/>
      <c r="VL3" s="201"/>
      <c r="VM3" s="200"/>
      <c r="VN3" s="201"/>
      <c r="VO3" s="201"/>
      <c r="VP3" s="201"/>
      <c r="VQ3" s="200"/>
      <c r="VR3" s="201"/>
      <c r="VS3" s="201"/>
      <c r="VT3" s="201"/>
      <c r="VU3" s="200"/>
      <c r="VV3" s="201"/>
      <c r="VW3" s="201"/>
      <c r="VX3" s="201"/>
      <c r="VY3" s="200"/>
      <c r="VZ3" s="201"/>
      <c r="WA3" s="201"/>
      <c r="WB3" s="201"/>
      <c r="WC3" s="200"/>
      <c r="WD3" s="201"/>
      <c r="WE3" s="201"/>
      <c r="WF3" s="201"/>
      <c r="WG3" s="200"/>
      <c r="WH3" s="201"/>
      <c r="WI3" s="201"/>
      <c r="WJ3" s="201"/>
      <c r="WK3" s="200"/>
      <c r="WL3" s="201"/>
      <c r="WM3" s="201"/>
      <c r="WN3" s="201"/>
      <c r="WO3" s="200"/>
      <c r="WP3" s="201"/>
      <c r="WQ3" s="201"/>
      <c r="WR3" s="201"/>
      <c r="WS3" s="200"/>
      <c r="WT3" s="201"/>
      <c r="WU3" s="201"/>
      <c r="WV3" s="201"/>
      <c r="WW3" s="200"/>
      <c r="WX3" s="201"/>
      <c r="WY3" s="201"/>
      <c r="WZ3" s="201"/>
      <c r="XA3" s="200"/>
      <c r="XB3" s="201"/>
      <c r="XC3" s="201"/>
      <c r="XD3" s="201"/>
      <c r="XE3" s="200"/>
      <c r="XF3" s="201"/>
      <c r="XG3" s="201"/>
      <c r="XH3" s="201"/>
      <c r="XI3" s="200"/>
      <c r="XJ3" s="201"/>
      <c r="XK3" s="201"/>
      <c r="XL3" s="201"/>
      <c r="XM3" s="200"/>
      <c r="XN3" s="201"/>
      <c r="XO3" s="201"/>
      <c r="XP3" s="201"/>
      <c r="XQ3" s="200"/>
      <c r="XR3" s="201"/>
      <c r="XS3" s="201"/>
      <c r="XT3" s="201"/>
      <c r="XU3" s="200"/>
      <c r="XV3" s="201"/>
      <c r="XW3" s="201"/>
      <c r="XX3" s="201"/>
      <c r="XY3" s="200"/>
      <c r="XZ3" s="201"/>
      <c r="YA3" s="201"/>
      <c r="YB3" s="201"/>
      <c r="YC3" s="200"/>
      <c r="YD3" s="201"/>
      <c r="YE3" s="201"/>
      <c r="YF3" s="201"/>
      <c r="YG3" s="200"/>
      <c r="YH3" s="201"/>
      <c r="YI3" s="201"/>
      <c r="YJ3" s="201"/>
      <c r="YK3" s="200"/>
      <c r="YL3" s="201"/>
      <c r="YM3" s="201"/>
      <c r="YN3" s="201"/>
      <c r="YO3" s="200"/>
      <c r="YP3" s="201"/>
      <c r="YQ3" s="201"/>
      <c r="YR3" s="201"/>
      <c r="YS3" s="200"/>
      <c r="YT3" s="201"/>
      <c r="YU3" s="201"/>
      <c r="YV3" s="201"/>
      <c r="YW3" s="200"/>
      <c r="YX3" s="201"/>
      <c r="YY3" s="201"/>
      <c r="YZ3" s="201"/>
      <c r="ZA3" s="200"/>
      <c r="ZB3" s="201"/>
      <c r="ZC3" s="201"/>
      <c r="ZD3" s="201"/>
      <c r="ZE3" s="200"/>
      <c r="ZF3" s="201"/>
      <c r="ZG3" s="201"/>
      <c r="ZH3" s="201"/>
      <c r="ZI3" s="200"/>
      <c r="ZJ3" s="201"/>
      <c r="ZK3" s="201"/>
      <c r="ZL3" s="201"/>
      <c r="ZM3" s="200"/>
      <c r="ZN3" s="201"/>
      <c r="ZO3" s="201"/>
      <c r="ZP3" s="201"/>
      <c r="ZQ3" s="200"/>
      <c r="ZR3" s="201"/>
      <c r="ZS3" s="201"/>
      <c r="ZT3" s="201"/>
      <c r="ZU3" s="200"/>
      <c r="ZV3" s="201"/>
      <c r="ZW3" s="201"/>
      <c r="ZX3" s="201"/>
      <c r="ZY3" s="200"/>
      <c r="ZZ3" s="201"/>
      <c r="AAA3" s="201"/>
      <c r="AAB3" s="201"/>
      <c r="AAC3" s="200"/>
      <c r="AAD3" s="201"/>
      <c r="AAE3" s="201"/>
      <c r="AAF3" s="201"/>
      <c r="AAG3" s="200"/>
      <c r="AAH3" s="201"/>
      <c r="AAI3" s="201"/>
      <c r="AAJ3" s="201"/>
      <c r="AAK3" s="200"/>
      <c r="AAL3" s="201"/>
      <c r="AAM3" s="201"/>
      <c r="AAN3" s="201"/>
      <c r="AAO3" s="200"/>
      <c r="AAP3" s="201"/>
      <c r="AAQ3" s="201"/>
      <c r="AAR3" s="201"/>
      <c r="AAS3" s="200"/>
      <c r="AAT3" s="201"/>
      <c r="AAU3" s="201"/>
      <c r="AAV3" s="201"/>
      <c r="AAW3" s="200"/>
      <c r="AAX3" s="201"/>
      <c r="AAY3" s="201"/>
      <c r="AAZ3" s="201"/>
      <c r="ABA3" s="200"/>
      <c r="ABB3" s="201"/>
      <c r="ABC3" s="201"/>
      <c r="ABD3" s="201"/>
      <c r="ABE3" s="200"/>
      <c r="ABF3" s="201"/>
      <c r="ABG3" s="201"/>
      <c r="ABH3" s="201"/>
      <c r="ABI3" s="200"/>
      <c r="ABJ3" s="201"/>
      <c r="ABK3" s="201"/>
      <c r="ABL3" s="201"/>
      <c r="ABM3" s="200"/>
      <c r="ABN3" s="201"/>
      <c r="ABO3" s="201"/>
      <c r="ABP3" s="201"/>
      <c r="ABQ3" s="200"/>
      <c r="ABR3" s="201"/>
      <c r="ABS3" s="201"/>
      <c r="ABT3" s="201"/>
      <c r="ABU3" s="200"/>
      <c r="ABV3" s="201"/>
      <c r="ABW3" s="201"/>
      <c r="ABX3" s="201"/>
      <c r="ABY3" s="200"/>
      <c r="ABZ3" s="201"/>
      <c r="ACA3" s="201"/>
      <c r="ACB3" s="201"/>
      <c r="ACC3" s="200"/>
      <c r="ACD3" s="201"/>
      <c r="ACE3" s="201"/>
      <c r="ACF3" s="201"/>
      <c r="ACG3" s="200"/>
      <c r="ACH3" s="201"/>
      <c r="ACI3" s="201"/>
      <c r="ACJ3" s="201"/>
      <c r="ACK3" s="200"/>
      <c r="ACL3" s="201"/>
      <c r="ACM3" s="201"/>
      <c r="ACN3" s="201"/>
      <c r="ACO3" s="200"/>
      <c r="ACP3" s="201"/>
      <c r="ACQ3" s="201"/>
      <c r="ACR3" s="201"/>
      <c r="ACS3" s="200"/>
      <c r="ACT3" s="201"/>
      <c r="ACU3" s="201"/>
      <c r="ACV3" s="201"/>
      <c r="ACW3" s="200"/>
      <c r="ACX3" s="201"/>
      <c r="ACY3" s="201"/>
      <c r="ACZ3" s="201"/>
      <c r="ADA3" s="200"/>
      <c r="ADB3" s="201"/>
      <c r="ADC3" s="201"/>
      <c r="ADD3" s="201"/>
      <c r="ADE3" s="200"/>
      <c r="ADF3" s="201"/>
      <c r="ADG3" s="201"/>
      <c r="ADH3" s="201"/>
      <c r="ADI3" s="200"/>
      <c r="ADJ3" s="201"/>
      <c r="ADK3" s="201"/>
      <c r="ADL3" s="201"/>
      <c r="ADM3" s="200"/>
      <c r="ADN3" s="201"/>
      <c r="ADO3" s="201"/>
      <c r="ADP3" s="201"/>
      <c r="ADQ3" s="200"/>
      <c r="ADR3" s="201"/>
      <c r="ADS3" s="201"/>
      <c r="ADT3" s="201"/>
      <c r="ADU3" s="200"/>
      <c r="ADV3" s="201"/>
      <c r="ADW3" s="201"/>
      <c r="ADX3" s="201"/>
      <c r="ADY3" s="200"/>
      <c r="ADZ3" s="201"/>
      <c r="AEA3" s="201"/>
      <c r="AEB3" s="201"/>
      <c r="AEC3" s="200"/>
      <c r="AED3" s="201"/>
      <c r="AEE3" s="201"/>
      <c r="AEF3" s="201"/>
      <c r="AEG3" s="200"/>
      <c r="AEH3" s="201"/>
      <c r="AEI3" s="201"/>
      <c r="AEJ3" s="201"/>
      <c r="AEK3" s="200"/>
      <c r="AEL3" s="201"/>
      <c r="AEM3" s="201"/>
      <c r="AEN3" s="201"/>
      <c r="AEO3" s="200"/>
      <c r="AEP3" s="201"/>
      <c r="AEQ3" s="201"/>
      <c r="AER3" s="201"/>
      <c r="AES3" s="200"/>
      <c r="AET3" s="201"/>
      <c r="AEU3" s="201"/>
      <c r="AEV3" s="201"/>
      <c r="AEW3" s="200"/>
      <c r="AEX3" s="201"/>
      <c r="AEY3" s="201"/>
      <c r="AEZ3" s="201"/>
      <c r="AFA3" s="200"/>
      <c r="AFB3" s="201"/>
      <c r="AFC3" s="201"/>
      <c r="AFD3" s="201"/>
      <c r="AFE3" s="200"/>
      <c r="AFF3" s="201"/>
      <c r="AFG3" s="201"/>
      <c r="AFH3" s="201"/>
      <c r="AFI3" s="200"/>
      <c r="AFJ3" s="201"/>
      <c r="AFK3" s="201"/>
      <c r="AFL3" s="201"/>
      <c r="AFM3" s="200"/>
      <c r="AFN3" s="201"/>
      <c r="AFO3" s="201"/>
      <c r="AFP3" s="201"/>
      <c r="AFQ3" s="200"/>
      <c r="AFR3" s="201"/>
      <c r="AFS3" s="201"/>
      <c r="AFT3" s="201"/>
      <c r="AFU3" s="200"/>
      <c r="AFV3" s="201"/>
      <c r="AFW3" s="201"/>
      <c r="AFX3" s="201"/>
      <c r="AFY3" s="200"/>
      <c r="AFZ3" s="201"/>
      <c r="AGA3" s="201"/>
      <c r="AGB3" s="201"/>
      <c r="AGC3" s="200"/>
      <c r="AGD3" s="201"/>
      <c r="AGE3" s="201"/>
      <c r="AGF3" s="201"/>
      <c r="AGG3" s="200"/>
      <c r="AGH3" s="201"/>
      <c r="AGI3" s="201"/>
      <c r="AGJ3" s="201"/>
      <c r="AGK3" s="200"/>
      <c r="AGL3" s="201"/>
      <c r="AGM3" s="201"/>
      <c r="AGN3" s="201"/>
      <c r="AGO3" s="200"/>
      <c r="AGP3" s="201"/>
      <c r="AGQ3" s="201"/>
      <c r="AGR3" s="201"/>
      <c r="AGS3" s="200"/>
      <c r="AGT3" s="201"/>
      <c r="AGU3" s="201"/>
      <c r="AGV3" s="201"/>
      <c r="AGW3" s="200"/>
      <c r="AGX3" s="201"/>
      <c r="AGY3" s="201"/>
      <c r="AGZ3" s="201"/>
      <c r="AHA3" s="200"/>
      <c r="AHB3" s="201"/>
      <c r="AHC3" s="201"/>
      <c r="AHD3" s="201"/>
      <c r="AHE3" s="200"/>
      <c r="AHF3" s="201"/>
      <c r="AHG3" s="201"/>
      <c r="AHH3" s="201"/>
      <c r="AHI3" s="200"/>
      <c r="AHJ3" s="201"/>
      <c r="AHK3" s="201"/>
      <c r="AHL3" s="201"/>
      <c r="AHM3" s="200"/>
      <c r="AHN3" s="201"/>
      <c r="AHO3" s="201"/>
      <c r="AHP3" s="201"/>
      <c r="AHQ3" s="200"/>
      <c r="AHR3" s="201"/>
      <c r="AHS3" s="201"/>
      <c r="AHT3" s="201"/>
      <c r="AHU3" s="200"/>
      <c r="AHV3" s="201"/>
      <c r="AHW3" s="201"/>
      <c r="AHX3" s="201"/>
      <c r="AHY3" s="200"/>
      <c r="AHZ3" s="201"/>
      <c r="AIA3" s="201"/>
      <c r="AIB3" s="201"/>
      <c r="AIC3" s="200"/>
      <c r="AID3" s="201"/>
      <c r="AIE3" s="201"/>
      <c r="AIF3" s="201"/>
      <c r="AIG3" s="200"/>
      <c r="AIH3" s="201"/>
      <c r="AII3" s="201"/>
      <c r="AIJ3" s="201"/>
      <c r="AIK3" s="200"/>
      <c r="AIL3" s="201"/>
      <c r="AIM3" s="201"/>
      <c r="AIN3" s="201"/>
      <c r="AIO3" s="200"/>
      <c r="AIP3" s="201"/>
      <c r="AIQ3" s="201"/>
      <c r="AIR3" s="201"/>
      <c r="AIS3" s="200"/>
      <c r="AIT3" s="201"/>
      <c r="AIU3" s="201"/>
      <c r="AIV3" s="201"/>
      <c r="AIW3" s="200"/>
      <c r="AIX3" s="201"/>
      <c r="AIY3" s="201"/>
      <c r="AIZ3" s="201"/>
      <c r="AJA3" s="200"/>
      <c r="AJB3" s="201"/>
      <c r="AJC3" s="201"/>
      <c r="AJD3" s="201"/>
      <c r="AJE3" s="200"/>
      <c r="AJF3" s="201"/>
      <c r="AJG3" s="201"/>
      <c r="AJH3" s="201"/>
      <c r="AJI3" s="200"/>
      <c r="AJJ3" s="201"/>
      <c r="AJK3" s="201"/>
      <c r="AJL3" s="201"/>
      <c r="AJM3" s="200"/>
      <c r="AJN3" s="201"/>
      <c r="AJO3" s="201"/>
      <c r="AJP3" s="201"/>
      <c r="AJQ3" s="200"/>
      <c r="AJR3" s="201"/>
      <c r="AJS3" s="201"/>
      <c r="AJT3" s="201"/>
      <c r="AJU3" s="200"/>
      <c r="AJV3" s="201"/>
      <c r="AJW3" s="201"/>
      <c r="AJX3" s="201"/>
      <c r="AJY3" s="200"/>
      <c r="AJZ3" s="201"/>
      <c r="AKA3" s="201"/>
      <c r="AKB3" s="201"/>
      <c r="AKC3" s="200"/>
      <c r="AKD3" s="201"/>
      <c r="AKE3" s="201"/>
      <c r="AKF3" s="201"/>
      <c r="AKG3" s="200"/>
      <c r="AKH3" s="201"/>
      <c r="AKI3" s="201"/>
      <c r="AKJ3" s="201"/>
      <c r="AKK3" s="200"/>
      <c r="AKL3" s="201"/>
      <c r="AKM3" s="201"/>
      <c r="AKN3" s="201"/>
      <c r="AKO3" s="200"/>
      <c r="AKP3" s="201"/>
      <c r="AKQ3" s="201"/>
      <c r="AKR3" s="201"/>
      <c r="AKS3" s="200"/>
      <c r="AKT3" s="201"/>
      <c r="AKU3" s="201"/>
      <c r="AKV3" s="201"/>
      <c r="AKW3" s="200"/>
      <c r="AKX3" s="201"/>
      <c r="AKY3" s="201"/>
      <c r="AKZ3" s="201"/>
      <c r="ALA3" s="200"/>
      <c r="ALB3" s="201"/>
      <c r="ALC3" s="201"/>
      <c r="ALD3" s="201"/>
      <c r="ALE3" s="200"/>
      <c r="ALF3" s="201"/>
      <c r="ALG3" s="201"/>
      <c r="ALH3" s="201"/>
      <c r="ALI3" s="200"/>
      <c r="ALJ3" s="201"/>
      <c r="ALK3" s="201"/>
      <c r="ALL3" s="201"/>
      <c r="ALM3" s="200"/>
      <c r="ALN3" s="201"/>
      <c r="ALO3" s="201"/>
      <c r="ALP3" s="201"/>
      <c r="ALQ3" s="200"/>
      <c r="ALR3" s="201"/>
      <c r="ALS3" s="201"/>
      <c r="ALT3" s="201"/>
      <c r="ALU3" s="200"/>
      <c r="ALV3" s="201"/>
      <c r="ALW3" s="201"/>
      <c r="ALX3" s="201"/>
      <c r="ALY3" s="200"/>
      <c r="ALZ3" s="201"/>
      <c r="AMA3" s="201"/>
      <c r="AMB3" s="201"/>
      <c r="AMC3" s="200"/>
      <c r="AMD3" s="201"/>
      <c r="AME3" s="201"/>
      <c r="AMF3" s="201"/>
      <c r="AMG3" s="200"/>
      <c r="AMH3" s="201"/>
      <c r="AMI3" s="201"/>
      <c r="AMJ3" s="201"/>
      <c r="AMK3" s="200"/>
      <c r="AML3" s="201"/>
      <c r="AMM3" s="201"/>
      <c r="AMN3" s="201"/>
      <c r="AMO3" s="200"/>
      <c r="AMP3" s="201"/>
      <c r="AMQ3" s="201"/>
      <c r="AMR3" s="201"/>
      <c r="AMS3" s="200"/>
      <c r="AMT3" s="201"/>
      <c r="AMU3" s="201"/>
      <c r="AMV3" s="201"/>
      <c r="AMW3" s="200"/>
      <c r="AMX3" s="201"/>
      <c r="AMY3" s="201"/>
      <c r="AMZ3" s="201"/>
      <c r="ANA3" s="200"/>
      <c r="ANB3" s="201"/>
      <c r="ANC3" s="201"/>
      <c r="AND3" s="201"/>
      <c r="ANE3" s="200"/>
      <c r="ANF3" s="201"/>
      <c r="ANG3" s="201"/>
      <c r="ANH3" s="201"/>
      <c r="ANI3" s="200"/>
      <c r="ANJ3" s="201"/>
      <c r="ANK3" s="201"/>
      <c r="ANL3" s="201"/>
      <c r="ANM3" s="200"/>
      <c r="ANN3" s="201"/>
      <c r="ANO3" s="201"/>
      <c r="ANP3" s="201"/>
      <c r="ANQ3" s="200"/>
      <c r="ANR3" s="201"/>
      <c r="ANS3" s="201"/>
      <c r="ANT3" s="201"/>
      <c r="ANU3" s="200"/>
      <c r="ANV3" s="201"/>
      <c r="ANW3" s="201"/>
      <c r="ANX3" s="201"/>
      <c r="ANY3" s="200"/>
      <c r="ANZ3" s="201"/>
      <c r="AOA3" s="201"/>
      <c r="AOB3" s="201"/>
      <c r="AOC3" s="200"/>
      <c r="AOD3" s="201"/>
      <c r="AOE3" s="201"/>
      <c r="AOF3" s="201"/>
      <c r="AOG3" s="200"/>
      <c r="AOH3" s="201"/>
      <c r="AOI3" s="201"/>
      <c r="AOJ3" s="201"/>
      <c r="AOK3" s="200"/>
      <c r="AOL3" s="201"/>
      <c r="AOM3" s="201"/>
      <c r="AON3" s="201"/>
      <c r="AOO3" s="200"/>
      <c r="AOP3" s="201"/>
      <c r="AOQ3" s="201"/>
      <c r="AOR3" s="201"/>
      <c r="AOS3" s="200"/>
      <c r="AOT3" s="201"/>
      <c r="AOU3" s="201"/>
      <c r="AOV3" s="201"/>
      <c r="AOW3" s="200"/>
      <c r="AOX3" s="201"/>
      <c r="AOY3" s="201"/>
      <c r="AOZ3" s="201"/>
      <c r="APA3" s="200"/>
      <c r="APB3" s="201"/>
      <c r="APC3" s="201"/>
      <c r="APD3" s="201"/>
      <c r="APE3" s="200"/>
      <c r="APF3" s="201"/>
      <c r="APG3" s="201"/>
      <c r="APH3" s="201"/>
      <c r="API3" s="200"/>
      <c r="APJ3" s="201"/>
      <c r="APK3" s="201"/>
      <c r="APL3" s="201"/>
      <c r="APM3" s="200"/>
      <c r="APN3" s="201"/>
      <c r="APO3" s="201"/>
      <c r="APP3" s="201"/>
      <c r="APQ3" s="200"/>
      <c r="APR3" s="201"/>
      <c r="APS3" s="201"/>
      <c r="APT3" s="201"/>
      <c r="APU3" s="200"/>
      <c r="APV3" s="201"/>
      <c r="APW3" s="201"/>
      <c r="APX3" s="201"/>
      <c r="APY3" s="200"/>
      <c r="APZ3" s="201"/>
      <c r="AQA3" s="201"/>
      <c r="AQB3" s="201"/>
      <c r="AQC3" s="200"/>
      <c r="AQD3" s="201"/>
      <c r="AQE3" s="201"/>
      <c r="AQF3" s="201"/>
      <c r="AQG3" s="200"/>
      <c r="AQH3" s="201"/>
      <c r="AQI3" s="201"/>
      <c r="AQJ3" s="201"/>
      <c r="AQK3" s="200"/>
      <c r="AQL3" s="201"/>
      <c r="AQM3" s="201"/>
      <c r="AQN3" s="201"/>
      <c r="AQO3" s="200"/>
      <c r="AQP3" s="201"/>
      <c r="AQQ3" s="201"/>
      <c r="AQR3" s="201"/>
      <c r="AQS3" s="200"/>
      <c r="AQT3" s="201"/>
      <c r="AQU3" s="201"/>
      <c r="AQV3" s="201"/>
      <c r="AQW3" s="200"/>
      <c r="AQX3" s="201"/>
      <c r="AQY3" s="201"/>
      <c r="AQZ3" s="201"/>
      <c r="ARA3" s="200"/>
      <c r="ARB3" s="201"/>
      <c r="ARC3" s="201"/>
      <c r="ARD3" s="201"/>
      <c r="ARE3" s="200"/>
      <c r="ARF3" s="201"/>
      <c r="ARG3" s="201"/>
      <c r="ARH3" s="201"/>
      <c r="ARI3" s="200"/>
      <c r="ARJ3" s="201"/>
      <c r="ARK3" s="201"/>
      <c r="ARL3" s="201"/>
      <c r="ARM3" s="200"/>
      <c r="ARN3" s="201"/>
      <c r="ARO3" s="201"/>
      <c r="ARP3" s="201"/>
      <c r="ARQ3" s="200"/>
      <c r="ARR3" s="201"/>
      <c r="ARS3" s="201"/>
      <c r="ART3" s="201"/>
      <c r="ARU3" s="200"/>
      <c r="ARV3" s="201"/>
      <c r="ARW3" s="201"/>
      <c r="ARX3" s="201"/>
      <c r="ARY3" s="200"/>
      <c r="ARZ3" s="201"/>
      <c r="ASA3" s="201"/>
      <c r="ASB3" s="201"/>
      <c r="ASC3" s="200"/>
      <c r="ASD3" s="201"/>
      <c r="ASE3" s="201"/>
      <c r="ASF3" s="201"/>
      <c r="ASG3" s="200"/>
      <c r="ASH3" s="201"/>
      <c r="ASI3" s="201"/>
      <c r="ASJ3" s="201"/>
      <c r="ASK3" s="200"/>
      <c r="ASL3" s="201"/>
      <c r="ASM3" s="201"/>
      <c r="ASN3" s="201"/>
      <c r="ASO3" s="200"/>
      <c r="ASP3" s="201"/>
      <c r="ASQ3" s="201"/>
      <c r="ASR3" s="201"/>
      <c r="ASS3" s="200"/>
      <c r="AST3" s="201"/>
      <c r="ASU3" s="201"/>
      <c r="ASV3" s="201"/>
      <c r="ASW3" s="200"/>
      <c r="ASX3" s="201"/>
      <c r="ASY3" s="201"/>
      <c r="ASZ3" s="201"/>
      <c r="ATA3" s="200"/>
      <c r="ATB3" s="201"/>
      <c r="ATC3" s="201"/>
      <c r="ATD3" s="201"/>
      <c r="ATE3" s="200"/>
      <c r="ATF3" s="201"/>
      <c r="ATG3" s="201"/>
      <c r="ATH3" s="201"/>
      <c r="ATI3" s="200"/>
      <c r="ATJ3" s="201"/>
      <c r="ATK3" s="201"/>
      <c r="ATL3" s="201"/>
      <c r="ATM3" s="200"/>
      <c r="ATN3" s="201"/>
      <c r="ATO3" s="201"/>
      <c r="ATP3" s="201"/>
      <c r="ATQ3" s="200"/>
      <c r="ATR3" s="201"/>
      <c r="ATS3" s="201"/>
      <c r="ATT3" s="201"/>
      <c r="ATU3" s="200"/>
      <c r="ATV3" s="201"/>
      <c r="ATW3" s="201"/>
      <c r="ATX3" s="201"/>
      <c r="ATY3" s="200"/>
      <c r="ATZ3" s="201"/>
      <c r="AUA3" s="201"/>
      <c r="AUB3" s="201"/>
      <c r="AUC3" s="200"/>
      <c r="AUD3" s="201"/>
      <c r="AUE3" s="201"/>
      <c r="AUF3" s="201"/>
      <c r="AUG3" s="200"/>
      <c r="AUH3" s="201"/>
      <c r="AUI3" s="201"/>
      <c r="AUJ3" s="201"/>
      <c r="AUK3" s="200"/>
      <c r="AUL3" s="201"/>
      <c r="AUM3" s="201"/>
      <c r="AUN3" s="201"/>
      <c r="AUO3" s="200"/>
      <c r="AUP3" s="201"/>
      <c r="AUQ3" s="201"/>
      <c r="AUR3" s="201"/>
      <c r="AUS3" s="200"/>
      <c r="AUT3" s="201"/>
      <c r="AUU3" s="201"/>
      <c r="AUV3" s="201"/>
      <c r="AUW3" s="200"/>
      <c r="AUX3" s="201"/>
      <c r="AUY3" s="201"/>
      <c r="AUZ3" s="201"/>
      <c r="AVA3" s="200"/>
      <c r="AVB3" s="201"/>
      <c r="AVC3" s="201"/>
      <c r="AVD3" s="201"/>
      <c r="AVE3" s="200"/>
      <c r="AVF3" s="201"/>
      <c r="AVG3" s="201"/>
      <c r="AVH3" s="201"/>
      <c r="AVI3" s="200"/>
      <c r="AVJ3" s="201"/>
      <c r="AVK3" s="201"/>
      <c r="AVL3" s="201"/>
      <c r="AVM3" s="200"/>
      <c r="AVN3" s="201"/>
      <c r="AVO3" s="201"/>
      <c r="AVP3" s="201"/>
      <c r="AVQ3" s="200"/>
      <c r="AVR3" s="201"/>
      <c r="AVS3" s="201"/>
      <c r="AVT3" s="201"/>
      <c r="AVU3" s="200"/>
      <c r="AVV3" s="201"/>
      <c r="AVW3" s="201"/>
      <c r="AVX3" s="201"/>
      <c r="AVY3" s="200"/>
      <c r="AVZ3" s="201"/>
      <c r="AWA3" s="201"/>
      <c r="AWB3" s="201"/>
      <c r="AWC3" s="200"/>
      <c r="AWD3" s="201"/>
      <c r="AWE3" s="201"/>
      <c r="AWF3" s="201"/>
      <c r="AWG3" s="200"/>
      <c r="AWH3" s="201"/>
      <c r="AWI3" s="201"/>
      <c r="AWJ3" s="201"/>
      <c r="AWK3" s="200"/>
      <c r="AWL3" s="201"/>
      <c r="AWM3" s="201"/>
      <c r="AWN3" s="201"/>
      <c r="AWO3" s="200"/>
      <c r="AWP3" s="201"/>
      <c r="AWQ3" s="201"/>
      <c r="AWR3" s="201"/>
      <c r="AWS3" s="200"/>
      <c r="AWT3" s="201"/>
      <c r="AWU3" s="201"/>
      <c r="AWV3" s="201"/>
      <c r="AWW3" s="200"/>
      <c r="AWX3" s="201"/>
      <c r="AWY3" s="201"/>
      <c r="AWZ3" s="201"/>
      <c r="AXA3" s="200"/>
      <c r="AXB3" s="201"/>
      <c r="AXC3" s="201"/>
      <c r="AXD3" s="201"/>
      <c r="AXE3" s="200"/>
      <c r="AXF3" s="201"/>
      <c r="AXG3" s="201"/>
      <c r="AXH3" s="201"/>
      <c r="AXI3" s="200"/>
      <c r="AXJ3" s="201"/>
      <c r="AXK3" s="201"/>
      <c r="AXL3" s="201"/>
      <c r="AXM3" s="200"/>
      <c r="AXN3" s="201"/>
      <c r="AXO3" s="201"/>
      <c r="AXP3" s="201"/>
      <c r="AXQ3" s="200"/>
      <c r="AXR3" s="201"/>
      <c r="AXS3" s="201"/>
      <c r="AXT3" s="201"/>
      <c r="AXU3" s="200"/>
      <c r="AXV3" s="201"/>
      <c r="AXW3" s="201"/>
      <c r="AXX3" s="201"/>
      <c r="AXY3" s="200"/>
      <c r="AXZ3" s="201"/>
      <c r="AYA3" s="201"/>
      <c r="AYB3" s="201"/>
      <c r="AYC3" s="200"/>
      <c r="AYD3" s="201"/>
      <c r="AYE3" s="201"/>
      <c r="AYF3" s="201"/>
      <c r="AYG3" s="200"/>
      <c r="AYH3" s="201"/>
      <c r="AYI3" s="201"/>
      <c r="AYJ3" s="201"/>
      <c r="AYK3" s="200"/>
      <c r="AYL3" s="201"/>
      <c r="AYM3" s="201"/>
      <c r="AYN3" s="201"/>
      <c r="AYO3" s="200"/>
      <c r="AYP3" s="201"/>
      <c r="AYQ3" s="201"/>
      <c r="AYR3" s="201"/>
      <c r="AYS3" s="200"/>
      <c r="AYT3" s="201"/>
      <c r="AYU3" s="201"/>
      <c r="AYV3" s="201"/>
      <c r="AYW3" s="200"/>
      <c r="AYX3" s="201"/>
      <c r="AYY3" s="201"/>
      <c r="AYZ3" s="201"/>
      <c r="AZA3" s="200"/>
      <c r="AZB3" s="201"/>
      <c r="AZC3" s="201"/>
      <c r="AZD3" s="201"/>
      <c r="AZE3" s="200"/>
      <c r="AZF3" s="201"/>
      <c r="AZG3" s="201"/>
      <c r="AZH3" s="201"/>
      <c r="AZI3" s="200"/>
      <c r="AZJ3" s="201"/>
      <c r="AZK3" s="201"/>
      <c r="AZL3" s="201"/>
      <c r="AZM3" s="200"/>
      <c r="AZN3" s="201"/>
      <c r="AZO3" s="201"/>
      <c r="AZP3" s="201"/>
      <c r="AZQ3" s="200"/>
      <c r="AZR3" s="201"/>
      <c r="AZS3" s="201"/>
      <c r="AZT3" s="201"/>
      <c r="AZU3" s="200"/>
      <c r="AZV3" s="201"/>
      <c r="AZW3" s="201"/>
      <c r="AZX3" s="201"/>
      <c r="AZY3" s="200"/>
      <c r="AZZ3" s="201"/>
      <c r="BAA3" s="201"/>
      <c r="BAB3" s="201"/>
      <c r="BAC3" s="200"/>
      <c r="BAD3" s="201"/>
      <c r="BAE3" s="201"/>
      <c r="BAF3" s="201"/>
      <c r="BAG3" s="200"/>
      <c r="BAH3" s="201"/>
      <c r="BAI3" s="201"/>
      <c r="BAJ3" s="201"/>
      <c r="BAK3" s="200"/>
      <c r="BAL3" s="201"/>
      <c r="BAM3" s="201"/>
      <c r="BAN3" s="201"/>
      <c r="BAO3" s="200"/>
      <c r="BAP3" s="201"/>
      <c r="BAQ3" s="201"/>
      <c r="BAR3" s="201"/>
      <c r="BAS3" s="200"/>
      <c r="BAT3" s="201"/>
      <c r="BAU3" s="201"/>
      <c r="BAV3" s="201"/>
      <c r="BAW3" s="200"/>
      <c r="BAX3" s="201"/>
      <c r="BAY3" s="201"/>
      <c r="BAZ3" s="201"/>
      <c r="BBA3" s="200"/>
      <c r="BBB3" s="201"/>
      <c r="BBC3" s="201"/>
      <c r="BBD3" s="201"/>
      <c r="BBE3" s="200"/>
      <c r="BBF3" s="201"/>
      <c r="BBG3" s="201"/>
      <c r="BBH3" s="201"/>
      <c r="BBI3" s="200"/>
      <c r="BBJ3" s="201"/>
      <c r="BBK3" s="201"/>
      <c r="BBL3" s="201"/>
      <c r="BBM3" s="200"/>
      <c r="BBN3" s="201"/>
      <c r="BBO3" s="201"/>
      <c r="BBP3" s="201"/>
      <c r="BBQ3" s="200"/>
      <c r="BBR3" s="201"/>
      <c r="BBS3" s="201"/>
      <c r="BBT3" s="201"/>
      <c r="BBU3" s="200"/>
      <c r="BBV3" s="201"/>
      <c r="BBW3" s="201"/>
      <c r="BBX3" s="201"/>
      <c r="BBY3" s="200"/>
      <c r="BBZ3" s="201"/>
      <c r="BCA3" s="201"/>
      <c r="BCB3" s="201"/>
      <c r="BCC3" s="200"/>
      <c r="BCD3" s="201"/>
      <c r="BCE3" s="201"/>
      <c r="BCF3" s="201"/>
      <c r="BCG3" s="200"/>
      <c r="BCH3" s="201"/>
      <c r="BCI3" s="201"/>
      <c r="BCJ3" s="201"/>
      <c r="BCK3" s="200"/>
      <c r="BCL3" s="201"/>
      <c r="BCM3" s="201"/>
      <c r="BCN3" s="201"/>
      <c r="BCO3" s="200"/>
      <c r="BCP3" s="201"/>
      <c r="BCQ3" s="201"/>
      <c r="BCR3" s="201"/>
      <c r="BCS3" s="200"/>
      <c r="BCT3" s="201"/>
      <c r="BCU3" s="201"/>
      <c r="BCV3" s="201"/>
      <c r="BCW3" s="200"/>
      <c r="BCX3" s="201"/>
      <c r="BCY3" s="201"/>
      <c r="BCZ3" s="201"/>
      <c r="BDA3" s="200"/>
      <c r="BDB3" s="201"/>
      <c r="BDC3" s="201"/>
      <c r="BDD3" s="201"/>
      <c r="BDE3" s="200"/>
      <c r="BDF3" s="201"/>
      <c r="BDG3" s="201"/>
      <c r="BDH3" s="201"/>
      <c r="BDI3" s="200"/>
      <c r="BDJ3" s="201"/>
      <c r="BDK3" s="201"/>
      <c r="BDL3" s="201"/>
      <c r="BDM3" s="200"/>
      <c r="BDN3" s="201"/>
      <c r="BDO3" s="201"/>
      <c r="BDP3" s="201"/>
      <c r="BDQ3" s="200"/>
      <c r="BDR3" s="201"/>
      <c r="BDS3" s="201"/>
      <c r="BDT3" s="201"/>
      <c r="BDU3" s="200"/>
      <c r="BDV3" s="201"/>
      <c r="BDW3" s="201"/>
      <c r="BDX3" s="201"/>
      <c r="BDY3" s="200"/>
      <c r="BDZ3" s="201"/>
      <c r="BEA3" s="201"/>
      <c r="BEB3" s="201"/>
      <c r="BEC3" s="200"/>
      <c r="BED3" s="201"/>
      <c r="BEE3" s="201"/>
      <c r="BEF3" s="201"/>
      <c r="BEG3" s="200"/>
      <c r="BEH3" s="201"/>
      <c r="BEI3" s="201"/>
      <c r="BEJ3" s="201"/>
      <c r="BEK3" s="200"/>
      <c r="BEL3" s="201"/>
      <c r="BEM3" s="201"/>
      <c r="BEN3" s="201"/>
      <c r="BEO3" s="200"/>
      <c r="BEP3" s="201"/>
      <c r="BEQ3" s="201"/>
      <c r="BER3" s="201"/>
      <c r="BES3" s="200"/>
      <c r="BET3" s="201"/>
      <c r="BEU3" s="201"/>
      <c r="BEV3" s="201"/>
      <c r="BEW3" s="200"/>
      <c r="BEX3" s="201"/>
      <c r="BEY3" s="201"/>
      <c r="BEZ3" s="201"/>
      <c r="BFA3" s="200"/>
      <c r="BFB3" s="201"/>
      <c r="BFC3" s="201"/>
      <c r="BFD3" s="201"/>
      <c r="BFE3" s="200"/>
      <c r="BFF3" s="201"/>
      <c r="BFG3" s="201"/>
      <c r="BFH3" s="201"/>
      <c r="BFI3" s="200"/>
      <c r="BFJ3" s="201"/>
      <c r="BFK3" s="201"/>
      <c r="BFL3" s="201"/>
      <c r="BFM3" s="200"/>
      <c r="BFN3" s="201"/>
      <c r="BFO3" s="201"/>
      <c r="BFP3" s="201"/>
      <c r="BFQ3" s="200"/>
      <c r="BFR3" s="201"/>
      <c r="BFS3" s="201"/>
      <c r="BFT3" s="201"/>
      <c r="BFU3" s="200"/>
      <c r="BFV3" s="201"/>
      <c r="BFW3" s="201"/>
      <c r="BFX3" s="201"/>
      <c r="BFY3" s="200"/>
      <c r="BFZ3" s="201"/>
      <c r="BGA3" s="201"/>
      <c r="BGB3" s="201"/>
      <c r="BGC3" s="200"/>
      <c r="BGD3" s="201"/>
      <c r="BGE3" s="201"/>
      <c r="BGF3" s="201"/>
      <c r="BGG3" s="200"/>
      <c r="BGH3" s="201"/>
      <c r="BGI3" s="201"/>
      <c r="BGJ3" s="201"/>
      <c r="BGK3" s="200"/>
      <c r="BGL3" s="201"/>
      <c r="BGM3" s="201"/>
      <c r="BGN3" s="201"/>
      <c r="BGO3" s="200"/>
      <c r="BGP3" s="201"/>
      <c r="BGQ3" s="201"/>
      <c r="BGR3" s="201"/>
      <c r="BGS3" s="200"/>
      <c r="BGT3" s="201"/>
      <c r="BGU3" s="201"/>
      <c r="BGV3" s="201"/>
      <c r="BGW3" s="200"/>
      <c r="BGX3" s="201"/>
      <c r="BGY3" s="201"/>
      <c r="BGZ3" s="201"/>
      <c r="BHA3" s="200"/>
      <c r="BHB3" s="201"/>
      <c r="BHC3" s="201"/>
      <c r="BHD3" s="201"/>
      <c r="BHE3" s="200"/>
      <c r="BHF3" s="201"/>
      <c r="BHG3" s="201"/>
      <c r="BHH3" s="201"/>
      <c r="BHI3" s="200"/>
      <c r="BHJ3" s="201"/>
      <c r="BHK3" s="201"/>
      <c r="BHL3" s="201"/>
      <c r="BHM3" s="200"/>
      <c r="BHN3" s="201"/>
      <c r="BHO3" s="201"/>
      <c r="BHP3" s="201"/>
      <c r="BHQ3" s="200"/>
      <c r="BHR3" s="201"/>
      <c r="BHS3" s="201"/>
      <c r="BHT3" s="201"/>
      <c r="BHU3" s="200"/>
      <c r="BHV3" s="201"/>
      <c r="BHW3" s="201"/>
      <c r="BHX3" s="201"/>
      <c r="BHY3" s="200"/>
      <c r="BHZ3" s="201"/>
      <c r="BIA3" s="201"/>
      <c r="BIB3" s="201"/>
      <c r="BIC3" s="200"/>
      <c r="BID3" s="201"/>
      <c r="BIE3" s="201"/>
      <c r="BIF3" s="201"/>
      <c r="BIG3" s="200"/>
      <c r="BIH3" s="201"/>
      <c r="BII3" s="201"/>
      <c r="BIJ3" s="201"/>
      <c r="BIK3" s="200"/>
      <c r="BIL3" s="201"/>
      <c r="BIM3" s="201"/>
      <c r="BIN3" s="201"/>
      <c r="BIO3" s="200"/>
      <c r="BIP3" s="201"/>
      <c r="BIQ3" s="201"/>
      <c r="BIR3" s="201"/>
      <c r="BIS3" s="200"/>
      <c r="BIT3" s="201"/>
      <c r="BIU3" s="201"/>
      <c r="BIV3" s="201"/>
      <c r="BIW3" s="200"/>
      <c r="BIX3" s="201"/>
      <c r="BIY3" s="201"/>
      <c r="BIZ3" s="201"/>
      <c r="BJA3" s="200"/>
      <c r="BJB3" s="201"/>
      <c r="BJC3" s="201"/>
      <c r="BJD3" s="201"/>
      <c r="BJE3" s="200"/>
      <c r="BJF3" s="201"/>
      <c r="BJG3" s="201"/>
      <c r="BJH3" s="201"/>
      <c r="BJI3" s="200"/>
      <c r="BJJ3" s="201"/>
      <c r="BJK3" s="201"/>
      <c r="BJL3" s="201"/>
      <c r="BJM3" s="200"/>
      <c r="BJN3" s="201"/>
      <c r="BJO3" s="201"/>
      <c r="BJP3" s="201"/>
      <c r="BJQ3" s="200"/>
      <c r="BJR3" s="201"/>
      <c r="BJS3" s="201"/>
      <c r="BJT3" s="201"/>
      <c r="BJU3" s="200"/>
      <c r="BJV3" s="201"/>
      <c r="BJW3" s="201"/>
      <c r="BJX3" s="201"/>
      <c r="BJY3" s="200"/>
      <c r="BJZ3" s="201"/>
      <c r="BKA3" s="201"/>
      <c r="BKB3" s="201"/>
      <c r="BKC3" s="200"/>
      <c r="BKD3" s="201"/>
      <c r="BKE3" s="201"/>
      <c r="BKF3" s="201"/>
      <c r="BKG3" s="200"/>
      <c r="BKH3" s="201"/>
      <c r="BKI3" s="201"/>
      <c r="BKJ3" s="201"/>
      <c r="BKK3" s="200"/>
      <c r="BKL3" s="201"/>
      <c r="BKM3" s="201"/>
      <c r="BKN3" s="201"/>
      <c r="BKO3" s="200"/>
      <c r="BKP3" s="201"/>
      <c r="BKQ3" s="201"/>
      <c r="BKR3" s="201"/>
      <c r="BKS3" s="200"/>
      <c r="BKT3" s="201"/>
      <c r="BKU3" s="201"/>
      <c r="BKV3" s="201"/>
      <c r="BKW3" s="200"/>
      <c r="BKX3" s="201"/>
      <c r="BKY3" s="201"/>
      <c r="BKZ3" s="201"/>
      <c r="BLA3" s="200"/>
      <c r="BLB3" s="201"/>
      <c r="BLC3" s="201"/>
      <c r="BLD3" s="201"/>
      <c r="BLE3" s="200"/>
      <c r="BLF3" s="201"/>
      <c r="BLG3" s="201"/>
      <c r="BLH3" s="201"/>
      <c r="BLI3" s="200"/>
      <c r="BLJ3" s="201"/>
      <c r="BLK3" s="201"/>
      <c r="BLL3" s="201"/>
      <c r="BLM3" s="200"/>
      <c r="BLN3" s="201"/>
      <c r="BLO3" s="201"/>
      <c r="BLP3" s="201"/>
      <c r="BLQ3" s="200"/>
      <c r="BLR3" s="201"/>
      <c r="BLS3" s="201"/>
      <c r="BLT3" s="201"/>
      <c r="BLU3" s="200"/>
      <c r="BLV3" s="201"/>
      <c r="BLW3" s="201"/>
      <c r="BLX3" s="201"/>
      <c r="BLY3" s="200"/>
      <c r="BLZ3" s="201"/>
      <c r="BMA3" s="201"/>
      <c r="BMB3" s="201"/>
      <c r="BMC3" s="200"/>
      <c r="BMD3" s="201"/>
      <c r="BME3" s="201"/>
      <c r="BMF3" s="201"/>
      <c r="BMG3" s="200"/>
      <c r="BMH3" s="201"/>
      <c r="BMI3" s="201"/>
      <c r="BMJ3" s="201"/>
      <c r="BMK3" s="200"/>
      <c r="BML3" s="201"/>
      <c r="BMM3" s="201"/>
      <c r="BMN3" s="201"/>
      <c r="BMO3" s="200"/>
      <c r="BMP3" s="201"/>
      <c r="BMQ3" s="201"/>
      <c r="BMR3" s="201"/>
      <c r="BMS3" s="200"/>
      <c r="BMT3" s="201"/>
      <c r="BMU3" s="201"/>
      <c r="BMV3" s="201"/>
      <c r="BMW3" s="200"/>
      <c r="BMX3" s="201"/>
      <c r="BMY3" s="201"/>
      <c r="BMZ3" s="201"/>
      <c r="BNA3" s="200"/>
      <c r="BNB3" s="201"/>
      <c r="BNC3" s="201"/>
      <c r="BND3" s="201"/>
      <c r="BNE3" s="200"/>
      <c r="BNF3" s="201"/>
      <c r="BNG3" s="201"/>
      <c r="BNH3" s="201"/>
      <c r="BNI3" s="200"/>
      <c r="BNJ3" s="201"/>
      <c r="BNK3" s="201"/>
      <c r="BNL3" s="201"/>
      <c r="BNM3" s="200"/>
      <c r="BNN3" s="201"/>
      <c r="BNO3" s="201"/>
      <c r="BNP3" s="201"/>
      <c r="BNQ3" s="200"/>
      <c r="BNR3" s="201"/>
      <c r="BNS3" s="201"/>
      <c r="BNT3" s="201"/>
      <c r="BNU3" s="200"/>
      <c r="BNV3" s="201"/>
      <c r="BNW3" s="201"/>
      <c r="BNX3" s="201"/>
      <c r="BNY3" s="200"/>
      <c r="BNZ3" s="201"/>
      <c r="BOA3" s="201"/>
      <c r="BOB3" s="201"/>
      <c r="BOC3" s="200"/>
      <c r="BOD3" s="201"/>
      <c r="BOE3" s="201"/>
      <c r="BOF3" s="201"/>
      <c r="BOG3" s="200"/>
      <c r="BOH3" s="201"/>
      <c r="BOI3" s="201"/>
      <c r="BOJ3" s="201"/>
      <c r="BOK3" s="200"/>
      <c r="BOL3" s="201"/>
      <c r="BOM3" s="201"/>
      <c r="BON3" s="201"/>
      <c r="BOO3" s="200"/>
      <c r="BOP3" s="201"/>
      <c r="BOQ3" s="201"/>
      <c r="BOR3" s="201"/>
      <c r="BOS3" s="200"/>
      <c r="BOT3" s="201"/>
      <c r="BOU3" s="201"/>
      <c r="BOV3" s="201"/>
      <c r="BOW3" s="200"/>
      <c r="BOX3" s="201"/>
      <c r="BOY3" s="201"/>
      <c r="BOZ3" s="201"/>
      <c r="BPA3" s="200"/>
      <c r="BPB3" s="201"/>
      <c r="BPC3" s="201"/>
      <c r="BPD3" s="201"/>
      <c r="BPE3" s="200"/>
      <c r="BPF3" s="201"/>
      <c r="BPG3" s="201"/>
      <c r="BPH3" s="201"/>
      <c r="BPI3" s="200"/>
      <c r="BPJ3" s="201"/>
      <c r="BPK3" s="201"/>
      <c r="BPL3" s="201"/>
      <c r="BPM3" s="200"/>
      <c r="BPN3" s="201"/>
      <c r="BPO3" s="201"/>
      <c r="BPP3" s="201"/>
      <c r="BPQ3" s="200"/>
      <c r="BPR3" s="201"/>
      <c r="BPS3" s="201"/>
      <c r="BPT3" s="201"/>
      <c r="BPU3" s="200"/>
      <c r="BPV3" s="201"/>
      <c r="BPW3" s="201"/>
      <c r="BPX3" s="201"/>
      <c r="BPY3" s="200"/>
      <c r="BPZ3" s="201"/>
      <c r="BQA3" s="201"/>
      <c r="BQB3" s="201"/>
      <c r="BQC3" s="200"/>
      <c r="BQD3" s="201"/>
      <c r="BQE3" s="201"/>
      <c r="BQF3" s="201"/>
      <c r="BQG3" s="200"/>
      <c r="BQH3" s="201"/>
      <c r="BQI3" s="201"/>
      <c r="BQJ3" s="201"/>
      <c r="BQK3" s="200"/>
      <c r="BQL3" s="201"/>
      <c r="BQM3" s="201"/>
      <c r="BQN3" s="201"/>
      <c r="BQO3" s="200"/>
      <c r="BQP3" s="201"/>
      <c r="BQQ3" s="201"/>
      <c r="BQR3" s="201"/>
      <c r="BQS3" s="200"/>
      <c r="BQT3" s="201"/>
      <c r="BQU3" s="201"/>
      <c r="BQV3" s="201"/>
      <c r="BQW3" s="200"/>
      <c r="BQX3" s="201"/>
      <c r="BQY3" s="201"/>
      <c r="BQZ3" s="201"/>
      <c r="BRA3" s="200"/>
      <c r="BRB3" s="201"/>
      <c r="BRC3" s="201"/>
      <c r="BRD3" s="201"/>
      <c r="BRE3" s="200"/>
      <c r="BRF3" s="201"/>
      <c r="BRG3" s="201"/>
      <c r="BRH3" s="201"/>
      <c r="BRI3" s="200"/>
      <c r="BRJ3" s="201"/>
      <c r="BRK3" s="201"/>
      <c r="BRL3" s="201"/>
      <c r="BRM3" s="200"/>
      <c r="BRN3" s="201"/>
      <c r="BRO3" s="201"/>
      <c r="BRP3" s="201"/>
      <c r="BRQ3" s="200"/>
      <c r="BRR3" s="201"/>
      <c r="BRS3" s="201"/>
      <c r="BRT3" s="201"/>
      <c r="BRU3" s="200"/>
      <c r="BRV3" s="201"/>
      <c r="BRW3" s="201"/>
      <c r="BRX3" s="201"/>
      <c r="BRY3" s="200"/>
      <c r="BRZ3" s="201"/>
      <c r="BSA3" s="201"/>
      <c r="BSB3" s="201"/>
      <c r="BSC3" s="200"/>
      <c r="BSD3" s="201"/>
      <c r="BSE3" s="201"/>
      <c r="BSF3" s="201"/>
      <c r="BSG3" s="200"/>
      <c r="BSH3" s="201"/>
      <c r="BSI3" s="201"/>
      <c r="BSJ3" s="201"/>
      <c r="BSK3" s="200"/>
      <c r="BSL3" s="201"/>
      <c r="BSM3" s="201"/>
      <c r="BSN3" s="201"/>
      <c r="BSO3" s="200"/>
      <c r="BSP3" s="201"/>
      <c r="BSQ3" s="201"/>
      <c r="BSR3" s="201"/>
      <c r="BSS3" s="200"/>
      <c r="BST3" s="201"/>
      <c r="BSU3" s="201"/>
      <c r="BSV3" s="201"/>
      <c r="BSW3" s="200"/>
      <c r="BSX3" s="201"/>
      <c r="BSY3" s="201"/>
      <c r="BSZ3" s="201"/>
      <c r="BTA3" s="200"/>
      <c r="BTB3" s="201"/>
      <c r="BTC3" s="201"/>
      <c r="BTD3" s="201"/>
      <c r="BTE3" s="200"/>
      <c r="BTF3" s="201"/>
      <c r="BTG3" s="201"/>
      <c r="BTH3" s="201"/>
      <c r="BTI3" s="200"/>
      <c r="BTJ3" s="201"/>
      <c r="BTK3" s="201"/>
      <c r="BTL3" s="201"/>
      <c r="BTM3" s="200"/>
      <c r="BTN3" s="201"/>
      <c r="BTO3" s="201"/>
      <c r="BTP3" s="201"/>
      <c r="BTQ3" s="200"/>
      <c r="BTR3" s="201"/>
      <c r="BTS3" s="201"/>
      <c r="BTT3" s="201"/>
      <c r="BTU3" s="200"/>
      <c r="BTV3" s="201"/>
      <c r="BTW3" s="201"/>
      <c r="BTX3" s="201"/>
      <c r="BTY3" s="200"/>
      <c r="BTZ3" s="201"/>
      <c r="BUA3" s="201"/>
      <c r="BUB3" s="201"/>
      <c r="BUC3" s="200"/>
      <c r="BUD3" s="201"/>
      <c r="BUE3" s="201"/>
      <c r="BUF3" s="201"/>
      <c r="BUG3" s="200"/>
      <c r="BUH3" s="201"/>
      <c r="BUI3" s="201"/>
      <c r="BUJ3" s="201"/>
      <c r="BUK3" s="200"/>
      <c r="BUL3" s="201"/>
      <c r="BUM3" s="201"/>
      <c r="BUN3" s="201"/>
      <c r="BUO3" s="200"/>
      <c r="BUP3" s="201"/>
      <c r="BUQ3" s="201"/>
      <c r="BUR3" s="201"/>
      <c r="BUS3" s="200"/>
      <c r="BUT3" s="201"/>
      <c r="BUU3" s="201"/>
      <c r="BUV3" s="201"/>
      <c r="BUW3" s="200"/>
      <c r="BUX3" s="201"/>
      <c r="BUY3" s="201"/>
      <c r="BUZ3" s="201"/>
      <c r="BVA3" s="200"/>
      <c r="BVB3" s="201"/>
      <c r="BVC3" s="201"/>
      <c r="BVD3" s="201"/>
      <c r="BVE3" s="200"/>
      <c r="BVF3" s="201"/>
      <c r="BVG3" s="201"/>
      <c r="BVH3" s="201"/>
      <c r="BVI3" s="200"/>
      <c r="BVJ3" s="201"/>
      <c r="BVK3" s="201"/>
      <c r="BVL3" s="201"/>
      <c r="BVM3" s="200"/>
      <c r="BVN3" s="201"/>
      <c r="BVO3" s="201"/>
      <c r="BVP3" s="201"/>
      <c r="BVQ3" s="200"/>
      <c r="BVR3" s="201"/>
      <c r="BVS3" s="201"/>
      <c r="BVT3" s="201"/>
      <c r="BVU3" s="200"/>
      <c r="BVV3" s="201"/>
      <c r="BVW3" s="201"/>
      <c r="BVX3" s="201"/>
      <c r="BVY3" s="200"/>
      <c r="BVZ3" s="201"/>
      <c r="BWA3" s="201"/>
      <c r="BWB3" s="201"/>
      <c r="BWC3" s="200"/>
      <c r="BWD3" s="201"/>
      <c r="BWE3" s="201"/>
      <c r="BWF3" s="201"/>
      <c r="BWG3" s="200"/>
      <c r="BWH3" s="201"/>
      <c r="BWI3" s="201"/>
      <c r="BWJ3" s="201"/>
      <c r="BWK3" s="200"/>
      <c r="BWL3" s="201"/>
      <c r="BWM3" s="201"/>
      <c r="BWN3" s="201"/>
      <c r="BWO3" s="200"/>
      <c r="BWP3" s="201"/>
      <c r="BWQ3" s="201"/>
      <c r="BWR3" s="201"/>
      <c r="BWS3" s="200"/>
      <c r="BWT3" s="201"/>
      <c r="BWU3" s="201"/>
      <c r="BWV3" s="201"/>
      <c r="BWW3" s="200"/>
      <c r="BWX3" s="201"/>
      <c r="BWY3" s="201"/>
      <c r="BWZ3" s="201"/>
      <c r="BXA3" s="200"/>
      <c r="BXB3" s="201"/>
      <c r="BXC3" s="201"/>
      <c r="BXD3" s="201"/>
      <c r="BXE3" s="200"/>
      <c r="BXF3" s="201"/>
      <c r="BXG3" s="201"/>
      <c r="BXH3" s="201"/>
      <c r="BXI3" s="200"/>
      <c r="BXJ3" s="201"/>
      <c r="BXK3" s="201"/>
      <c r="BXL3" s="201"/>
      <c r="BXM3" s="200"/>
      <c r="BXN3" s="201"/>
      <c r="BXO3" s="201"/>
      <c r="BXP3" s="201"/>
      <c r="BXQ3" s="200"/>
      <c r="BXR3" s="201"/>
      <c r="BXS3" s="201"/>
      <c r="BXT3" s="201"/>
      <c r="BXU3" s="200"/>
      <c r="BXV3" s="201"/>
      <c r="BXW3" s="201"/>
      <c r="BXX3" s="201"/>
      <c r="BXY3" s="200"/>
      <c r="BXZ3" s="201"/>
      <c r="BYA3" s="201"/>
      <c r="BYB3" s="201"/>
      <c r="BYC3" s="200"/>
      <c r="BYD3" s="201"/>
      <c r="BYE3" s="201"/>
      <c r="BYF3" s="201"/>
      <c r="BYG3" s="200"/>
      <c r="BYH3" s="201"/>
      <c r="BYI3" s="201"/>
      <c r="BYJ3" s="201"/>
      <c r="BYK3" s="200"/>
      <c r="BYL3" s="201"/>
      <c r="BYM3" s="201"/>
      <c r="BYN3" s="201"/>
      <c r="BYO3" s="200"/>
      <c r="BYP3" s="201"/>
      <c r="BYQ3" s="201"/>
      <c r="BYR3" s="201"/>
      <c r="BYS3" s="200"/>
      <c r="BYT3" s="201"/>
      <c r="BYU3" s="201"/>
      <c r="BYV3" s="201"/>
      <c r="BYW3" s="200"/>
      <c r="BYX3" s="201"/>
      <c r="BYY3" s="201"/>
      <c r="BYZ3" s="201"/>
      <c r="BZA3" s="200"/>
      <c r="BZB3" s="201"/>
      <c r="BZC3" s="201"/>
      <c r="BZD3" s="201"/>
      <c r="BZE3" s="200"/>
      <c r="BZF3" s="201"/>
      <c r="BZG3" s="201"/>
      <c r="BZH3" s="201"/>
      <c r="BZI3" s="200"/>
      <c r="BZJ3" s="201"/>
      <c r="BZK3" s="201"/>
      <c r="BZL3" s="201"/>
      <c r="BZM3" s="200"/>
      <c r="BZN3" s="201"/>
      <c r="BZO3" s="201"/>
      <c r="BZP3" s="201"/>
      <c r="BZQ3" s="200"/>
      <c r="BZR3" s="201"/>
      <c r="BZS3" s="201"/>
      <c r="BZT3" s="201"/>
      <c r="BZU3" s="200"/>
      <c r="BZV3" s="201"/>
      <c r="BZW3" s="201"/>
      <c r="BZX3" s="201"/>
      <c r="BZY3" s="200"/>
      <c r="BZZ3" s="201"/>
      <c r="CAA3" s="201"/>
      <c r="CAB3" s="201"/>
      <c r="CAC3" s="200"/>
      <c r="CAD3" s="201"/>
      <c r="CAE3" s="201"/>
      <c r="CAF3" s="201"/>
      <c r="CAG3" s="200"/>
      <c r="CAH3" s="201"/>
      <c r="CAI3" s="201"/>
      <c r="CAJ3" s="201"/>
      <c r="CAK3" s="200"/>
      <c r="CAL3" s="201"/>
      <c r="CAM3" s="201"/>
      <c r="CAN3" s="201"/>
      <c r="CAO3" s="200"/>
      <c r="CAP3" s="201"/>
      <c r="CAQ3" s="201"/>
      <c r="CAR3" s="201"/>
      <c r="CAS3" s="200"/>
      <c r="CAT3" s="201"/>
      <c r="CAU3" s="201"/>
      <c r="CAV3" s="201"/>
      <c r="CAW3" s="200"/>
      <c r="CAX3" s="201"/>
      <c r="CAY3" s="201"/>
      <c r="CAZ3" s="201"/>
      <c r="CBA3" s="200"/>
      <c r="CBB3" s="201"/>
      <c r="CBC3" s="201"/>
      <c r="CBD3" s="201"/>
      <c r="CBE3" s="200"/>
      <c r="CBF3" s="201"/>
      <c r="CBG3" s="201"/>
      <c r="CBH3" s="201"/>
      <c r="CBI3" s="200"/>
      <c r="CBJ3" s="201"/>
      <c r="CBK3" s="201"/>
      <c r="CBL3" s="201"/>
      <c r="CBM3" s="200"/>
      <c r="CBN3" s="201"/>
      <c r="CBO3" s="201"/>
      <c r="CBP3" s="201"/>
      <c r="CBQ3" s="200"/>
      <c r="CBR3" s="201"/>
      <c r="CBS3" s="201"/>
      <c r="CBT3" s="201"/>
      <c r="CBU3" s="200"/>
      <c r="CBV3" s="201"/>
      <c r="CBW3" s="201"/>
      <c r="CBX3" s="201"/>
      <c r="CBY3" s="200"/>
      <c r="CBZ3" s="201"/>
      <c r="CCA3" s="201"/>
      <c r="CCB3" s="201"/>
      <c r="CCC3" s="200"/>
      <c r="CCD3" s="201"/>
      <c r="CCE3" s="201"/>
      <c r="CCF3" s="201"/>
      <c r="CCG3" s="200"/>
      <c r="CCH3" s="201"/>
      <c r="CCI3" s="201"/>
      <c r="CCJ3" s="201"/>
      <c r="CCK3" s="200"/>
      <c r="CCL3" s="201"/>
      <c r="CCM3" s="201"/>
      <c r="CCN3" s="201"/>
      <c r="CCO3" s="200"/>
      <c r="CCP3" s="201"/>
      <c r="CCQ3" s="201"/>
      <c r="CCR3" s="201"/>
      <c r="CCS3" s="200"/>
      <c r="CCT3" s="201"/>
      <c r="CCU3" s="201"/>
      <c r="CCV3" s="201"/>
      <c r="CCW3" s="200"/>
      <c r="CCX3" s="201"/>
      <c r="CCY3" s="201"/>
      <c r="CCZ3" s="201"/>
      <c r="CDA3" s="200"/>
      <c r="CDB3" s="201"/>
      <c r="CDC3" s="201"/>
      <c r="CDD3" s="201"/>
      <c r="CDE3" s="200"/>
      <c r="CDF3" s="201"/>
      <c r="CDG3" s="201"/>
      <c r="CDH3" s="201"/>
      <c r="CDI3" s="200"/>
      <c r="CDJ3" s="201"/>
      <c r="CDK3" s="201"/>
      <c r="CDL3" s="201"/>
      <c r="CDM3" s="200"/>
      <c r="CDN3" s="201"/>
      <c r="CDO3" s="201"/>
      <c r="CDP3" s="201"/>
      <c r="CDQ3" s="200"/>
      <c r="CDR3" s="201"/>
      <c r="CDS3" s="201"/>
      <c r="CDT3" s="201"/>
      <c r="CDU3" s="200"/>
      <c r="CDV3" s="201"/>
      <c r="CDW3" s="201"/>
      <c r="CDX3" s="201"/>
      <c r="CDY3" s="200"/>
      <c r="CDZ3" s="201"/>
      <c r="CEA3" s="201"/>
      <c r="CEB3" s="201"/>
      <c r="CEC3" s="200"/>
      <c r="CED3" s="201"/>
      <c r="CEE3" s="201"/>
      <c r="CEF3" s="201"/>
      <c r="CEG3" s="200"/>
      <c r="CEH3" s="201"/>
      <c r="CEI3" s="201"/>
      <c r="CEJ3" s="201"/>
      <c r="CEK3" s="200"/>
      <c r="CEL3" s="201"/>
      <c r="CEM3" s="201"/>
      <c r="CEN3" s="201"/>
      <c r="CEO3" s="200"/>
      <c r="CEP3" s="201"/>
      <c r="CEQ3" s="201"/>
      <c r="CER3" s="201"/>
      <c r="CES3" s="200"/>
      <c r="CET3" s="201"/>
      <c r="CEU3" s="201"/>
      <c r="CEV3" s="201"/>
      <c r="CEW3" s="200"/>
      <c r="CEX3" s="201"/>
      <c r="CEY3" s="201"/>
      <c r="CEZ3" s="201"/>
      <c r="CFA3" s="200"/>
      <c r="CFB3" s="201"/>
      <c r="CFC3" s="201"/>
      <c r="CFD3" s="201"/>
      <c r="CFE3" s="200"/>
      <c r="CFF3" s="201"/>
      <c r="CFG3" s="201"/>
      <c r="CFH3" s="201"/>
      <c r="CFI3" s="200"/>
      <c r="CFJ3" s="201"/>
      <c r="CFK3" s="201"/>
      <c r="CFL3" s="201"/>
      <c r="CFM3" s="200"/>
      <c r="CFN3" s="201"/>
      <c r="CFO3" s="201"/>
      <c r="CFP3" s="201"/>
      <c r="CFQ3" s="200"/>
      <c r="CFR3" s="201"/>
      <c r="CFS3" s="201"/>
      <c r="CFT3" s="201"/>
      <c r="CFU3" s="200"/>
      <c r="CFV3" s="201"/>
      <c r="CFW3" s="201"/>
      <c r="CFX3" s="201"/>
      <c r="CFY3" s="200"/>
      <c r="CFZ3" s="201"/>
      <c r="CGA3" s="201"/>
      <c r="CGB3" s="201"/>
      <c r="CGC3" s="200"/>
      <c r="CGD3" s="201"/>
      <c r="CGE3" s="201"/>
      <c r="CGF3" s="201"/>
      <c r="CGG3" s="200"/>
      <c r="CGH3" s="201"/>
      <c r="CGI3" s="201"/>
      <c r="CGJ3" s="201"/>
      <c r="CGK3" s="200"/>
      <c r="CGL3" s="201"/>
      <c r="CGM3" s="201"/>
      <c r="CGN3" s="201"/>
      <c r="CGO3" s="200"/>
      <c r="CGP3" s="201"/>
      <c r="CGQ3" s="201"/>
      <c r="CGR3" s="201"/>
      <c r="CGS3" s="200"/>
      <c r="CGT3" s="201"/>
      <c r="CGU3" s="201"/>
      <c r="CGV3" s="201"/>
      <c r="CGW3" s="200"/>
      <c r="CGX3" s="201"/>
      <c r="CGY3" s="201"/>
      <c r="CGZ3" s="201"/>
      <c r="CHA3" s="200"/>
      <c r="CHB3" s="201"/>
      <c r="CHC3" s="201"/>
      <c r="CHD3" s="201"/>
      <c r="CHE3" s="200"/>
      <c r="CHF3" s="201"/>
      <c r="CHG3" s="201"/>
      <c r="CHH3" s="201"/>
      <c r="CHI3" s="200"/>
      <c r="CHJ3" s="201"/>
      <c r="CHK3" s="201"/>
      <c r="CHL3" s="201"/>
      <c r="CHM3" s="200"/>
      <c r="CHN3" s="201"/>
      <c r="CHO3" s="201"/>
      <c r="CHP3" s="201"/>
      <c r="CHQ3" s="200"/>
      <c r="CHR3" s="201"/>
      <c r="CHS3" s="201"/>
      <c r="CHT3" s="201"/>
      <c r="CHU3" s="200"/>
      <c r="CHV3" s="201"/>
      <c r="CHW3" s="201"/>
      <c r="CHX3" s="201"/>
      <c r="CHY3" s="200"/>
      <c r="CHZ3" s="201"/>
      <c r="CIA3" s="201"/>
      <c r="CIB3" s="201"/>
      <c r="CIC3" s="200"/>
      <c r="CID3" s="201"/>
      <c r="CIE3" s="201"/>
      <c r="CIF3" s="201"/>
      <c r="CIG3" s="200"/>
      <c r="CIH3" s="201"/>
      <c r="CII3" s="201"/>
      <c r="CIJ3" s="201"/>
      <c r="CIK3" s="200"/>
      <c r="CIL3" s="201"/>
      <c r="CIM3" s="201"/>
      <c r="CIN3" s="201"/>
      <c r="CIO3" s="200"/>
      <c r="CIP3" s="201"/>
      <c r="CIQ3" s="201"/>
      <c r="CIR3" s="201"/>
      <c r="CIS3" s="200"/>
      <c r="CIT3" s="201"/>
      <c r="CIU3" s="201"/>
      <c r="CIV3" s="201"/>
      <c r="CIW3" s="200"/>
      <c r="CIX3" s="201"/>
      <c r="CIY3" s="201"/>
      <c r="CIZ3" s="201"/>
      <c r="CJA3" s="200"/>
      <c r="CJB3" s="201"/>
      <c r="CJC3" s="201"/>
      <c r="CJD3" s="201"/>
      <c r="CJE3" s="200"/>
      <c r="CJF3" s="201"/>
      <c r="CJG3" s="201"/>
      <c r="CJH3" s="201"/>
      <c r="CJI3" s="200"/>
      <c r="CJJ3" s="201"/>
      <c r="CJK3" s="201"/>
      <c r="CJL3" s="201"/>
      <c r="CJM3" s="200"/>
      <c r="CJN3" s="201"/>
      <c r="CJO3" s="201"/>
      <c r="CJP3" s="201"/>
      <c r="CJQ3" s="200"/>
      <c r="CJR3" s="201"/>
      <c r="CJS3" s="201"/>
      <c r="CJT3" s="201"/>
      <c r="CJU3" s="200"/>
      <c r="CJV3" s="201"/>
      <c r="CJW3" s="201"/>
      <c r="CJX3" s="201"/>
      <c r="CJY3" s="200"/>
      <c r="CJZ3" s="201"/>
      <c r="CKA3" s="201"/>
      <c r="CKB3" s="201"/>
      <c r="CKC3" s="200"/>
      <c r="CKD3" s="201"/>
      <c r="CKE3" s="201"/>
      <c r="CKF3" s="201"/>
      <c r="CKG3" s="200"/>
      <c r="CKH3" s="201"/>
      <c r="CKI3" s="201"/>
      <c r="CKJ3" s="201"/>
      <c r="CKK3" s="200"/>
      <c r="CKL3" s="201"/>
      <c r="CKM3" s="201"/>
      <c r="CKN3" s="201"/>
      <c r="CKO3" s="200"/>
      <c r="CKP3" s="201"/>
      <c r="CKQ3" s="201"/>
      <c r="CKR3" s="201"/>
      <c r="CKS3" s="200"/>
      <c r="CKT3" s="201"/>
      <c r="CKU3" s="201"/>
      <c r="CKV3" s="201"/>
      <c r="CKW3" s="200"/>
      <c r="CKX3" s="201"/>
      <c r="CKY3" s="201"/>
      <c r="CKZ3" s="201"/>
      <c r="CLA3" s="200"/>
      <c r="CLB3" s="201"/>
      <c r="CLC3" s="201"/>
      <c r="CLD3" s="201"/>
      <c r="CLE3" s="200"/>
      <c r="CLF3" s="201"/>
      <c r="CLG3" s="201"/>
      <c r="CLH3" s="201"/>
      <c r="CLI3" s="200"/>
      <c r="CLJ3" s="201"/>
      <c r="CLK3" s="201"/>
      <c r="CLL3" s="201"/>
      <c r="CLM3" s="200"/>
      <c r="CLN3" s="201"/>
      <c r="CLO3" s="201"/>
      <c r="CLP3" s="201"/>
      <c r="CLQ3" s="200"/>
      <c r="CLR3" s="201"/>
      <c r="CLS3" s="201"/>
      <c r="CLT3" s="201"/>
      <c r="CLU3" s="200"/>
      <c r="CLV3" s="201"/>
      <c r="CLW3" s="201"/>
      <c r="CLX3" s="201"/>
      <c r="CLY3" s="200"/>
      <c r="CLZ3" s="201"/>
      <c r="CMA3" s="201"/>
      <c r="CMB3" s="201"/>
      <c r="CMC3" s="200"/>
      <c r="CMD3" s="201"/>
      <c r="CME3" s="201"/>
      <c r="CMF3" s="201"/>
      <c r="CMG3" s="200"/>
      <c r="CMH3" s="201"/>
      <c r="CMI3" s="201"/>
      <c r="CMJ3" s="201"/>
      <c r="CMK3" s="200"/>
      <c r="CML3" s="201"/>
      <c r="CMM3" s="201"/>
      <c r="CMN3" s="201"/>
      <c r="CMO3" s="200"/>
      <c r="CMP3" s="201"/>
      <c r="CMQ3" s="201"/>
      <c r="CMR3" s="201"/>
      <c r="CMS3" s="200"/>
      <c r="CMT3" s="201"/>
      <c r="CMU3" s="201"/>
      <c r="CMV3" s="201"/>
      <c r="CMW3" s="200"/>
      <c r="CMX3" s="201"/>
      <c r="CMY3" s="201"/>
      <c r="CMZ3" s="201"/>
      <c r="CNA3" s="200"/>
      <c r="CNB3" s="201"/>
      <c r="CNC3" s="201"/>
      <c r="CND3" s="201"/>
      <c r="CNE3" s="200"/>
      <c r="CNF3" s="201"/>
      <c r="CNG3" s="201"/>
      <c r="CNH3" s="201"/>
      <c r="CNI3" s="200"/>
      <c r="CNJ3" s="201"/>
      <c r="CNK3" s="201"/>
      <c r="CNL3" s="201"/>
      <c r="CNM3" s="200"/>
      <c r="CNN3" s="201"/>
      <c r="CNO3" s="201"/>
      <c r="CNP3" s="201"/>
      <c r="CNQ3" s="200"/>
      <c r="CNR3" s="201"/>
      <c r="CNS3" s="201"/>
      <c r="CNT3" s="201"/>
      <c r="CNU3" s="200"/>
      <c r="CNV3" s="201"/>
      <c r="CNW3" s="201"/>
      <c r="CNX3" s="201"/>
      <c r="CNY3" s="200"/>
      <c r="CNZ3" s="201"/>
      <c r="COA3" s="201"/>
      <c r="COB3" s="201"/>
      <c r="COC3" s="200"/>
      <c r="COD3" s="201"/>
      <c r="COE3" s="201"/>
      <c r="COF3" s="201"/>
      <c r="COG3" s="200"/>
      <c r="COH3" s="201"/>
      <c r="COI3" s="201"/>
      <c r="COJ3" s="201"/>
      <c r="COK3" s="200"/>
      <c r="COL3" s="201"/>
      <c r="COM3" s="201"/>
      <c r="CON3" s="201"/>
      <c r="COO3" s="200"/>
      <c r="COP3" s="201"/>
      <c r="COQ3" s="201"/>
      <c r="COR3" s="201"/>
      <c r="COS3" s="200"/>
      <c r="COT3" s="201"/>
      <c r="COU3" s="201"/>
      <c r="COV3" s="201"/>
      <c r="COW3" s="200"/>
      <c r="COX3" s="201"/>
      <c r="COY3" s="201"/>
      <c r="COZ3" s="201"/>
      <c r="CPA3" s="200"/>
      <c r="CPB3" s="201"/>
      <c r="CPC3" s="201"/>
      <c r="CPD3" s="201"/>
      <c r="CPE3" s="200"/>
      <c r="CPF3" s="201"/>
      <c r="CPG3" s="201"/>
      <c r="CPH3" s="201"/>
      <c r="CPI3" s="200"/>
      <c r="CPJ3" s="201"/>
      <c r="CPK3" s="201"/>
      <c r="CPL3" s="201"/>
      <c r="CPM3" s="200"/>
      <c r="CPN3" s="201"/>
      <c r="CPO3" s="201"/>
      <c r="CPP3" s="201"/>
      <c r="CPQ3" s="200"/>
      <c r="CPR3" s="201"/>
      <c r="CPS3" s="201"/>
      <c r="CPT3" s="201"/>
      <c r="CPU3" s="200"/>
      <c r="CPV3" s="201"/>
      <c r="CPW3" s="201"/>
      <c r="CPX3" s="201"/>
      <c r="CPY3" s="200"/>
      <c r="CPZ3" s="201"/>
      <c r="CQA3" s="201"/>
      <c r="CQB3" s="201"/>
      <c r="CQC3" s="200"/>
      <c r="CQD3" s="201"/>
      <c r="CQE3" s="201"/>
      <c r="CQF3" s="201"/>
      <c r="CQG3" s="200"/>
      <c r="CQH3" s="201"/>
      <c r="CQI3" s="201"/>
      <c r="CQJ3" s="201"/>
      <c r="CQK3" s="200"/>
      <c r="CQL3" s="201"/>
      <c r="CQM3" s="201"/>
      <c r="CQN3" s="201"/>
      <c r="CQO3" s="200"/>
      <c r="CQP3" s="201"/>
      <c r="CQQ3" s="201"/>
      <c r="CQR3" s="201"/>
      <c r="CQS3" s="200"/>
      <c r="CQT3" s="201"/>
      <c r="CQU3" s="201"/>
      <c r="CQV3" s="201"/>
      <c r="CQW3" s="200"/>
      <c r="CQX3" s="201"/>
      <c r="CQY3" s="201"/>
      <c r="CQZ3" s="201"/>
      <c r="CRA3" s="200"/>
      <c r="CRB3" s="201"/>
      <c r="CRC3" s="201"/>
      <c r="CRD3" s="201"/>
      <c r="CRE3" s="200"/>
      <c r="CRF3" s="201"/>
      <c r="CRG3" s="201"/>
      <c r="CRH3" s="201"/>
      <c r="CRI3" s="200"/>
      <c r="CRJ3" s="201"/>
      <c r="CRK3" s="201"/>
      <c r="CRL3" s="201"/>
      <c r="CRM3" s="200"/>
      <c r="CRN3" s="201"/>
      <c r="CRO3" s="201"/>
      <c r="CRP3" s="201"/>
      <c r="CRQ3" s="200"/>
      <c r="CRR3" s="201"/>
      <c r="CRS3" s="201"/>
      <c r="CRT3" s="201"/>
      <c r="CRU3" s="200"/>
      <c r="CRV3" s="201"/>
      <c r="CRW3" s="201"/>
      <c r="CRX3" s="201"/>
      <c r="CRY3" s="200"/>
      <c r="CRZ3" s="201"/>
      <c r="CSA3" s="201"/>
      <c r="CSB3" s="201"/>
      <c r="CSC3" s="200"/>
      <c r="CSD3" s="201"/>
      <c r="CSE3" s="201"/>
      <c r="CSF3" s="201"/>
      <c r="CSG3" s="200"/>
      <c r="CSH3" s="201"/>
      <c r="CSI3" s="201"/>
      <c r="CSJ3" s="201"/>
      <c r="CSK3" s="200"/>
      <c r="CSL3" s="201"/>
      <c r="CSM3" s="201"/>
      <c r="CSN3" s="201"/>
      <c r="CSO3" s="200"/>
      <c r="CSP3" s="201"/>
      <c r="CSQ3" s="201"/>
      <c r="CSR3" s="201"/>
      <c r="CSS3" s="200"/>
      <c r="CST3" s="201"/>
      <c r="CSU3" s="201"/>
      <c r="CSV3" s="201"/>
      <c r="CSW3" s="200"/>
      <c r="CSX3" s="201"/>
      <c r="CSY3" s="201"/>
      <c r="CSZ3" s="201"/>
      <c r="CTA3" s="200"/>
      <c r="CTB3" s="201"/>
      <c r="CTC3" s="201"/>
      <c r="CTD3" s="201"/>
      <c r="CTE3" s="200"/>
      <c r="CTF3" s="201"/>
      <c r="CTG3" s="201"/>
      <c r="CTH3" s="201"/>
      <c r="CTI3" s="200"/>
      <c r="CTJ3" s="201"/>
      <c r="CTK3" s="201"/>
      <c r="CTL3" s="201"/>
      <c r="CTM3" s="200"/>
      <c r="CTN3" s="201"/>
      <c r="CTO3" s="201"/>
      <c r="CTP3" s="201"/>
      <c r="CTQ3" s="200"/>
      <c r="CTR3" s="201"/>
      <c r="CTS3" s="201"/>
      <c r="CTT3" s="201"/>
      <c r="CTU3" s="200"/>
      <c r="CTV3" s="201"/>
      <c r="CTW3" s="201"/>
      <c r="CTX3" s="201"/>
      <c r="CTY3" s="200"/>
      <c r="CTZ3" s="201"/>
      <c r="CUA3" s="201"/>
      <c r="CUB3" s="201"/>
      <c r="CUC3" s="200"/>
      <c r="CUD3" s="201"/>
      <c r="CUE3" s="201"/>
      <c r="CUF3" s="201"/>
      <c r="CUG3" s="200"/>
      <c r="CUH3" s="201"/>
      <c r="CUI3" s="201"/>
      <c r="CUJ3" s="201"/>
      <c r="CUK3" s="200"/>
      <c r="CUL3" s="201"/>
      <c r="CUM3" s="201"/>
      <c r="CUN3" s="201"/>
      <c r="CUO3" s="200"/>
      <c r="CUP3" s="201"/>
      <c r="CUQ3" s="201"/>
      <c r="CUR3" s="201"/>
      <c r="CUS3" s="200"/>
      <c r="CUT3" s="201"/>
      <c r="CUU3" s="201"/>
      <c r="CUV3" s="201"/>
      <c r="CUW3" s="200"/>
      <c r="CUX3" s="201"/>
      <c r="CUY3" s="201"/>
      <c r="CUZ3" s="201"/>
      <c r="CVA3" s="200"/>
      <c r="CVB3" s="201"/>
      <c r="CVC3" s="201"/>
      <c r="CVD3" s="201"/>
      <c r="CVE3" s="200"/>
      <c r="CVF3" s="201"/>
      <c r="CVG3" s="201"/>
      <c r="CVH3" s="201"/>
      <c r="CVI3" s="200"/>
      <c r="CVJ3" s="201"/>
      <c r="CVK3" s="201"/>
      <c r="CVL3" s="201"/>
      <c r="CVM3" s="200"/>
      <c r="CVN3" s="201"/>
      <c r="CVO3" s="201"/>
      <c r="CVP3" s="201"/>
      <c r="CVQ3" s="200"/>
      <c r="CVR3" s="201"/>
      <c r="CVS3" s="201"/>
      <c r="CVT3" s="201"/>
      <c r="CVU3" s="200"/>
      <c r="CVV3" s="201"/>
      <c r="CVW3" s="201"/>
      <c r="CVX3" s="201"/>
      <c r="CVY3" s="200"/>
      <c r="CVZ3" s="201"/>
      <c r="CWA3" s="201"/>
      <c r="CWB3" s="201"/>
      <c r="CWC3" s="200"/>
      <c r="CWD3" s="201"/>
      <c r="CWE3" s="201"/>
      <c r="CWF3" s="201"/>
      <c r="CWG3" s="200"/>
      <c r="CWH3" s="201"/>
      <c r="CWI3" s="201"/>
      <c r="CWJ3" s="201"/>
      <c r="CWK3" s="200"/>
      <c r="CWL3" s="201"/>
      <c r="CWM3" s="201"/>
      <c r="CWN3" s="201"/>
      <c r="CWO3" s="200"/>
      <c r="CWP3" s="201"/>
      <c r="CWQ3" s="201"/>
      <c r="CWR3" s="201"/>
      <c r="CWS3" s="200"/>
      <c r="CWT3" s="201"/>
      <c r="CWU3" s="201"/>
      <c r="CWV3" s="201"/>
      <c r="CWW3" s="200"/>
      <c r="CWX3" s="201"/>
      <c r="CWY3" s="201"/>
      <c r="CWZ3" s="201"/>
      <c r="CXA3" s="200"/>
      <c r="CXB3" s="201"/>
      <c r="CXC3" s="201"/>
      <c r="CXD3" s="201"/>
      <c r="CXE3" s="200"/>
      <c r="CXF3" s="201"/>
      <c r="CXG3" s="201"/>
      <c r="CXH3" s="201"/>
      <c r="CXI3" s="200"/>
      <c r="CXJ3" s="201"/>
      <c r="CXK3" s="201"/>
      <c r="CXL3" s="201"/>
      <c r="CXM3" s="200"/>
      <c r="CXN3" s="201"/>
      <c r="CXO3" s="201"/>
      <c r="CXP3" s="201"/>
      <c r="CXQ3" s="200"/>
      <c r="CXR3" s="201"/>
      <c r="CXS3" s="201"/>
      <c r="CXT3" s="201"/>
      <c r="CXU3" s="200"/>
      <c r="CXV3" s="201"/>
      <c r="CXW3" s="201"/>
      <c r="CXX3" s="201"/>
      <c r="CXY3" s="200"/>
      <c r="CXZ3" s="201"/>
      <c r="CYA3" s="201"/>
      <c r="CYB3" s="201"/>
      <c r="CYC3" s="200"/>
      <c r="CYD3" s="201"/>
      <c r="CYE3" s="201"/>
      <c r="CYF3" s="201"/>
      <c r="CYG3" s="200"/>
      <c r="CYH3" s="201"/>
      <c r="CYI3" s="201"/>
      <c r="CYJ3" s="201"/>
      <c r="CYK3" s="200"/>
      <c r="CYL3" s="201"/>
      <c r="CYM3" s="201"/>
      <c r="CYN3" s="201"/>
      <c r="CYO3" s="200"/>
      <c r="CYP3" s="201"/>
      <c r="CYQ3" s="201"/>
      <c r="CYR3" s="201"/>
      <c r="CYS3" s="200"/>
      <c r="CYT3" s="201"/>
      <c r="CYU3" s="201"/>
      <c r="CYV3" s="201"/>
      <c r="CYW3" s="200"/>
      <c r="CYX3" s="201"/>
      <c r="CYY3" s="201"/>
      <c r="CYZ3" s="201"/>
      <c r="CZA3" s="200"/>
      <c r="CZB3" s="201"/>
      <c r="CZC3" s="201"/>
      <c r="CZD3" s="201"/>
      <c r="CZE3" s="200"/>
      <c r="CZF3" s="201"/>
      <c r="CZG3" s="201"/>
      <c r="CZH3" s="201"/>
      <c r="CZI3" s="200"/>
      <c r="CZJ3" s="201"/>
      <c r="CZK3" s="201"/>
      <c r="CZL3" s="201"/>
      <c r="CZM3" s="200"/>
      <c r="CZN3" s="201"/>
      <c r="CZO3" s="201"/>
      <c r="CZP3" s="201"/>
      <c r="CZQ3" s="200"/>
      <c r="CZR3" s="201"/>
      <c r="CZS3" s="201"/>
      <c r="CZT3" s="201"/>
      <c r="CZU3" s="200"/>
      <c r="CZV3" s="201"/>
      <c r="CZW3" s="201"/>
      <c r="CZX3" s="201"/>
      <c r="CZY3" s="200"/>
      <c r="CZZ3" s="201"/>
      <c r="DAA3" s="201"/>
      <c r="DAB3" s="201"/>
      <c r="DAC3" s="200"/>
      <c r="DAD3" s="201"/>
      <c r="DAE3" s="201"/>
      <c r="DAF3" s="201"/>
      <c r="DAG3" s="200"/>
      <c r="DAH3" s="201"/>
      <c r="DAI3" s="201"/>
      <c r="DAJ3" s="201"/>
      <c r="DAK3" s="200"/>
      <c r="DAL3" s="201"/>
      <c r="DAM3" s="201"/>
      <c r="DAN3" s="201"/>
      <c r="DAO3" s="200"/>
      <c r="DAP3" s="201"/>
      <c r="DAQ3" s="201"/>
      <c r="DAR3" s="201"/>
      <c r="DAS3" s="200"/>
      <c r="DAT3" s="201"/>
      <c r="DAU3" s="201"/>
      <c r="DAV3" s="201"/>
      <c r="DAW3" s="200"/>
      <c r="DAX3" s="201"/>
      <c r="DAY3" s="201"/>
      <c r="DAZ3" s="201"/>
      <c r="DBA3" s="200"/>
      <c r="DBB3" s="201"/>
      <c r="DBC3" s="201"/>
      <c r="DBD3" s="201"/>
      <c r="DBE3" s="200"/>
      <c r="DBF3" s="201"/>
      <c r="DBG3" s="201"/>
      <c r="DBH3" s="201"/>
      <c r="DBI3" s="200"/>
      <c r="DBJ3" s="201"/>
      <c r="DBK3" s="201"/>
      <c r="DBL3" s="201"/>
      <c r="DBM3" s="200"/>
      <c r="DBN3" s="201"/>
      <c r="DBO3" s="201"/>
      <c r="DBP3" s="201"/>
      <c r="DBQ3" s="200"/>
      <c r="DBR3" s="201"/>
      <c r="DBS3" s="201"/>
      <c r="DBT3" s="201"/>
      <c r="DBU3" s="200"/>
      <c r="DBV3" s="201"/>
      <c r="DBW3" s="201"/>
      <c r="DBX3" s="201"/>
      <c r="DBY3" s="200"/>
      <c r="DBZ3" s="201"/>
      <c r="DCA3" s="201"/>
      <c r="DCB3" s="201"/>
      <c r="DCC3" s="200"/>
      <c r="DCD3" s="201"/>
      <c r="DCE3" s="201"/>
      <c r="DCF3" s="201"/>
      <c r="DCG3" s="200"/>
      <c r="DCH3" s="201"/>
      <c r="DCI3" s="201"/>
      <c r="DCJ3" s="201"/>
      <c r="DCK3" s="200"/>
      <c r="DCL3" s="201"/>
      <c r="DCM3" s="201"/>
      <c r="DCN3" s="201"/>
      <c r="DCO3" s="200"/>
      <c r="DCP3" s="201"/>
      <c r="DCQ3" s="201"/>
      <c r="DCR3" s="201"/>
      <c r="DCS3" s="200"/>
      <c r="DCT3" s="201"/>
      <c r="DCU3" s="201"/>
      <c r="DCV3" s="201"/>
      <c r="DCW3" s="200"/>
      <c r="DCX3" s="201"/>
      <c r="DCY3" s="201"/>
      <c r="DCZ3" s="201"/>
      <c r="DDA3" s="200"/>
      <c r="DDB3" s="201"/>
      <c r="DDC3" s="201"/>
      <c r="DDD3" s="201"/>
      <c r="DDE3" s="200"/>
      <c r="DDF3" s="201"/>
      <c r="DDG3" s="201"/>
      <c r="DDH3" s="201"/>
      <c r="DDI3" s="200"/>
      <c r="DDJ3" s="201"/>
      <c r="DDK3" s="201"/>
      <c r="DDL3" s="201"/>
      <c r="DDM3" s="200"/>
      <c r="DDN3" s="201"/>
      <c r="DDO3" s="201"/>
      <c r="DDP3" s="201"/>
      <c r="DDQ3" s="200"/>
      <c r="DDR3" s="201"/>
      <c r="DDS3" s="201"/>
      <c r="DDT3" s="201"/>
      <c r="DDU3" s="200"/>
      <c r="DDV3" s="201"/>
      <c r="DDW3" s="201"/>
      <c r="DDX3" s="201"/>
      <c r="DDY3" s="200"/>
      <c r="DDZ3" s="201"/>
      <c r="DEA3" s="201"/>
      <c r="DEB3" s="201"/>
      <c r="DEC3" s="200"/>
      <c r="DED3" s="201"/>
      <c r="DEE3" s="201"/>
      <c r="DEF3" s="201"/>
      <c r="DEG3" s="200"/>
      <c r="DEH3" s="201"/>
      <c r="DEI3" s="201"/>
      <c r="DEJ3" s="201"/>
      <c r="DEK3" s="200"/>
      <c r="DEL3" s="201"/>
      <c r="DEM3" s="201"/>
      <c r="DEN3" s="201"/>
      <c r="DEO3" s="200"/>
      <c r="DEP3" s="201"/>
      <c r="DEQ3" s="201"/>
      <c r="DER3" s="201"/>
      <c r="DES3" s="200"/>
      <c r="DET3" s="201"/>
      <c r="DEU3" s="201"/>
      <c r="DEV3" s="201"/>
      <c r="DEW3" s="200"/>
      <c r="DEX3" s="201"/>
      <c r="DEY3" s="201"/>
      <c r="DEZ3" s="201"/>
      <c r="DFA3" s="200"/>
      <c r="DFB3" s="201"/>
      <c r="DFC3" s="201"/>
      <c r="DFD3" s="201"/>
      <c r="DFE3" s="200"/>
      <c r="DFF3" s="201"/>
      <c r="DFG3" s="201"/>
      <c r="DFH3" s="201"/>
      <c r="DFI3" s="200"/>
      <c r="DFJ3" s="201"/>
      <c r="DFK3" s="201"/>
      <c r="DFL3" s="201"/>
      <c r="DFM3" s="200"/>
      <c r="DFN3" s="201"/>
      <c r="DFO3" s="201"/>
      <c r="DFP3" s="201"/>
      <c r="DFQ3" s="200"/>
      <c r="DFR3" s="201"/>
      <c r="DFS3" s="201"/>
      <c r="DFT3" s="201"/>
      <c r="DFU3" s="200"/>
      <c r="DFV3" s="201"/>
      <c r="DFW3" s="201"/>
      <c r="DFX3" s="201"/>
      <c r="DFY3" s="200"/>
      <c r="DFZ3" s="201"/>
      <c r="DGA3" s="201"/>
      <c r="DGB3" s="201"/>
      <c r="DGC3" s="200"/>
      <c r="DGD3" s="201"/>
      <c r="DGE3" s="201"/>
      <c r="DGF3" s="201"/>
      <c r="DGG3" s="200"/>
      <c r="DGH3" s="201"/>
      <c r="DGI3" s="201"/>
      <c r="DGJ3" s="201"/>
      <c r="DGK3" s="200"/>
      <c r="DGL3" s="201"/>
      <c r="DGM3" s="201"/>
      <c r="DGN3" s="201"/>
      <c r="DGO3" s="200"/>
      <c r="DGP3" s="201"/>
      <c r="DGQ3" s="201"/>
      <c r="DGR3" s="201"/>
      <c r="DGS3" s="200"/>
      <c r="DGT3" s="201"/>
      <c r="DGU3" s="201"/>
      <c r="DGV3" s="201"/>
      <c r="DGW3" s="200"/>
      <c r="DGX3" s="201"/>
      <c r="DGY3" s="201"/>
      <c r="DGZ3" s="201"/>
      <c r="DHA3" s="200"/>
      <c r="DHB3" s="201"/>
      <c r="DHC3" s="201"/>
      <c r="DHD3" s="201"/>
      <c r="DHE3" s="200"/>
      <c r="DHF3" s="201"/>
      <c r="DHG3" s="201"/>
      <c r="DHH3" s="201"/>
      <c r="DHI3" s="200"/>
      <c r="DHJ3" s="201"/>
      <c r="DHK3" s="201"/>
      <c r="DHL3" s="201"/>
      <c r="DHM3" s="200"/>
      <c r="DHN3" s="201"/>
      <c r="DHO3" s="201"/>
      <c r="DHP3" s="201"/>
      <c r="DHQ3" s="200"/>
      <c r="DHR3" s="201"/>
      <c r="DHS3" s="201"/>
      <c r="DHT3" s="201"/>
      <c r="DHU3" s="200"/>
      <c r="DHV3" s="201"/>
      <c r="DHW3" s="201"/>
      <c r="DHX3" s="201"/>
      <c r="DHY3" s="200"/>
      <c r="DHZ3" s="201"/>
      <c r="DIA3" s="201"/>
      <c r="DIB3" s="201"/>
      <c r="DIC3" s="200"/>
      <c r="DID3" s="201"/>
      <c r="DIE3" s="201"/>
      <c r="DIF3" s="201"/>
      <c r="DIG3" s="200"/>
      <c r="DIH3" s="201"/>
      <c r="DII3" s="201"/>
      <c r="DIJ3" s="201"/>
      <c r="DIK3" s="200"/>
      <c r="DIL3" s="201"/>
      <c r="DIM3" s="201"/>
      <c r="DIN3" s="201"/>
      <c r="DIO3" s="200"/>
      <c r="DIP3" s="201"/>
      <c r="DIQ3" s="201"/>
      <c r="DIR3" s="201"/>
      <c r="DIS3" s="200"/>
      <c r="DIT3" s="201"/>
      <c r="DIU3" s="201"/>
      <c r="DIV3" s="201"/>
      <c r="DIW3" s="200"/>
      <c r="DIX3" s="201"/>
      <c r="DIY3" s="201"/>
      <c r="DIZ3" s="201"/>
      <c r="DJA3" s="200"/>
      <c r="DJB3" s="201"/>
      <c r="DJC3" s="201"/>
      <c r="DJD3" s="201"/>
      <c r="DJE3" s="200"/>
      <c r="DJF3" s="201"/>
      <c r="DJG3" s="201"/>
      <c r="DJH3" s="201"/>
      <c r="DJI3" s="200"/>
      <c r="DJJ3" s="201"/>
      <c r="DJK3" s="201"/>
      <c r="DJL3" s="201"/>
      <c r="DJM3" s="200"/>
      <c r="DJN3" s="201"/>
      <c r="DJO3" s="201"/>
      <c r="DJP3" s="201"/>
      <c r="DJQ3" s="200"/>
      <c r="DJR3" s="201"/>
      <c r="DJS3" s="201"/>
      <c r="DJT3" s="201"/>
      <c r="DJU3" s="200"/>
      <c r="DJV3" s="201"/>
      <c r="DJW3" s="201"/>
      <c r="DJX3" s="201"/>
      <c r="DJY3" s="200"/>
      <c r="DJZ3" s="201"/>
      <c r="DKA3" s="201"/>
      <c r="DKB3" s="201"/>
      <c r="DKC3" s="200"/>
      <c r="DKD3" s="201"/>
      <c r="DKE3" s="201"/>
      <c r="DKF3" s="201"/>
      <c r="DKG3" s="200"/>
      <c r="DKH3" s="201"/>
      <c r="DKI3" s="201"/>
      <c r="DKJ3" s="201"/>
      <c r="DKK3" s="200"/>
      <c r="DKL3" s="201"/>
      <c r="DKM3" s="201"/>
      <c r="DKN3" s="201"/>
      <c r="DKO3" s="200"/>
      <c r="DKP3" s="201"/>
      <c r="DKQ3" s="201"/>
      <c r="DKR3" s="201"/>
      <c r="DKS3" s="200"/>
      <c r="DKT3" s="201"/>
      <c r="DKU3" s="201"/>
      <c r="DKV3" s="201"/>
      <c r="DKW3" s="200"/>
      <c r="DKX3" s="201"/>
      <c r="DKY3" s="201"/>
      <c r="DKZ3" s="201"/>
      <c r="DLA3" s="200"/>
      <c r="DLB3" s="201"/>
      <c r="DLC3" s="201"/>
      <c r="DLD3" s="201"/>
      <c r="DLE3" s="200"/>
      <c r="DLF3" s="201"/>
      <c r="DLG3" s="201"/>
      <c r="DLH3" s="201"/>
      <c r="DLI3" s="200"/>
      <c r="DLJ3" s="201"/>
      <c r="DLK3" s="201"/>
      <c r="DLL3" s="201"/>
      <c r="DLM3" s="200"/>
      <c r="DLN3" s="201"/>
      <c r="DLO3" s="201"/>
      <c r="DLP3" s="201"/>
      <c r="DLQ3" s="200"/>
      <c r="DLR3" s="201"/>
      <c r="DLS3" s="201"/>
      <c r="DLT3" s="201"/>
      <c r="DLU3" s="200"/>
      <c r="DLV3" s="201"/>
      <c r="DLW3" s="201"/>
      <c r="DLX3" s="201"/>
      <c r="DLY3" s="200"/>
      <c r="DLZ3" s="201"/>
      <c r="DMA3" s="201"/>
      <c r="DMB3" s="201"/>
      <c r="DMC3" s="200"/>
      <c r="DMD3" s="201"/>
      <c r="DME3" s="201"/>
      <c r="DMF3" s="201"/>
      <c r="DMG3" s="200"/>
      <c r="DMH3" s="201"/>
      <c r="DMI3" s="201"/>
      <c r="DMJ3" s="201"/>
      <c r="DMK3" s="200"/>
      <c r="DML3" s="201"/>
      <c r="DMM3" s="201"/>
      <c r="DMN3" s="201"/>
      <c r="DMO3" s="200"/>
      <c r="DMP3" s="201"/>
      <c r="DMQ3" s="201"/>
      <c r="DMR3" s="201"/>
      <c r="DMS3" s="200"/>
      <c r="DMT3" s="201"/>
      <c r="DMU3" s="201"/>
      <c r="DMV3" s="201"/>
      <c r="DMW3" s="200"/>
      <c r="DMX3" s="201"/>
      <c r="DMY3" s="201"/>
      <c r="DMZ3" s="201"/>
      <c r="DNA3" s="200"/>
      <c r="DNB3" s="201"/>
      <c r="DNC3" s="201"/>
      <c r="DND3" s="201"/>
      <c r="DNE3" s="200"/>
      <c r="DNF3" s="201"/>
      <c r="DNG3" s="201"/>
      <c r="DNH3" s="201"/>
      <c r="DNI3" s="200"/>
      <c r="DNJ3" s="201"/>
      <c r="DNK3" s="201"/>
      <c r="DNL3" s="201"/>
      <c r="DNM3" s="200"/>
      <c r="DNN3" s="201"/>
      <c r="DNO3" s="201"/>
      <c r="DNP3" s="201"/>
      <c r="DNQ3" s="200"/>
      <c r="DNR3" s="201"/>
      <c r="DNS3" s="201"/>
      <c r="DNT3" s="201"/>
      <c r="DNU3" s="200"/>
      <c r="DNV3" s="201"/>
      <c r="DNW3" s="201"/>
      <c r="DNX3" s="201"/>
      <c r="DNY3" s="200"/>
      <c r="DNZ3" s="201"/>
      <c r="DOA3" s="201"/>
      <c r="DOB3" s="201"/>
      <c r="DOC3" s="200"/>
      <c r="DOD3" s="201"/>
      <c r="DOE3" s="201"/>
      <c r="DOF3" s="201"/>
      <c r="DOG3" s="200"/>
      <c r="DOH3" s="201"/>
      <c r="DOI3" s="201"/>
      <c r="DOJ3" s="201"/>
      <c r="DOK3" s="200"/>
      <c r="DOL3" s="201"/>
      <c r="DOM3" s="201"/>
      <c r="DON3" s="201"/>
      <c r="DOO3" s="200"/>
      <c r="DOP3" s="201"/>
      <c r="DOQ3" s="201"/>
      <c r="DOR3" s="201"/>
      <c r="DOS3" s="200"/>
      <c r="DOT3" s="201"/>
      <c r="DOU3" s="201"/>
      <c r="DOV3" s="201"/>
      <c r="DOW3" s="200"/>
      <c r="DOX3" s="201"/>
      <c r="DOY3" s="201"/>
      <c r="DOZ3" s="201"/>
      <c r="DPA3" s="200"/>
      <c r="DPB3" s="201"/>
      <c r="DPC3" s="201"/>
      <c r="DPD3" s="201"/>
      <c r="DPE3" s="200"/>
      <c r="DPF3" s="201"/>
      <c r="DPG3" s="201"/>
      <c r="DPH3" s="201"/>
      <c r="DPI3" s="200"/>
      <c r="DPJ3" s="201"/>
      <c r="DPK3" s="201"/>
      <c r="DPL3" s="201"/>
      <c r="DPM3" s="200"/>
      <c r="DPN3" s="201"/>
      <c r="DPO3" s="201"/>
      <c r="DPP3" s="201"/>
      <c r="DPQ3" s="200"/>
      <c r="DPR3" s="201"/>
      <c r="DPS3" s="201"/>
      <c r="DPT3" s="201"/>
      <c r="DPU3" s="200"/>
      <c r="DPV3" s="201"/>
      <c r="DPW3" s="201"/>
      <c r="DPX3" s="201"/>
      <c r="DPY3" s="200"/>
      <c r="DPZ3" s="201"/>
      <c r="DQA3" s="201"/>
      <c r="DQB3" s="201"/>
      <c r="DQC3" s="200"/>
      <c r="DQD3" s="201"/>
      <c r="DQE3" s="201"/>
      <c r="DQF3" s="201"/>
      <c r="DQG3" s="200"/>
      <c r="DQH3" s="201"/>
      <c r="DQI3" s="201"/>
      <c r="DQJ3" s="201"/>
      <c r="DQK3" s="200"/>
      <c r="DQL3" s="201"/>
      <c r="DQM3" s="201"/>
      <c r="DQN3" s="201"/>
      <c r="DQO3" s="200"/>
      <c r="DQP3" s="201"/>
      <c r="DQQ3" s="201"/>
      <c r="DQR3" s="201"/>
      <c r="DQS3" s="200"/>
      <c r="DQT3" s="201"/>
      <c r="DQU3" s="201"/>
      <c r="DQV3" s="201"/>
      <c r="DQW3" s="200"/>
      <c r="DQX3" s="201"/>
      <c r="DQY3" s="201"/>
      <c r="DQZ3" s="201"/>
      <c r="DRA3" s="200"/>
      <c r="DRB3" s="201"/>
      <c r="DRC3" s="201"/>
      <c r="DRD3" s="201"/>
      <c r="DRE3" s="200"/>
      <c r="DRF3" s="201"/>
      <c r="DRG3" s="201"/>
      <c r="DRH3" s="201"/>
      <c r="DRI3" s="200"/>
      <c r="DRJ3" s="201"/>
      <c r="DRK3" s="201"/>
      <c r="DRL3" s="201"/>
      <c r="DRM3" s="200"/>
      <c r="DRN3" s="201"/>
      <c r="DRO3" s="201"/>
      <c r="DRP3" s="201"/>
      <c r="DRQ3" s="200"/>
      <c r="DRR3" s="201"/>
      <c r="DRS3" s="201"/>
      <c r="DRT3" s="201"/>
      <c r="DRU3" s="200"/>
      <c r="DRV3" s="201"/>
      <c r="DRW3" s="201"/>
      <c r="DRX3" s="201"/>
      <c r="DRY3" s="200"/>
      <c r="DRZ3" s="201"/>
      <c r="DSA3" s="201"/>
      <c r="DSB3" s="201"/>
      <c r="DSC3" s="200"/>
      <c r="DSD3" s="201"/>
      <c r="DSE3" s="201"/>
      <c r="DSF3" s="201"/>
      <c r="DSG3" s="200"/>
      <c r="DSH3" s="201"/>
      <c r="DSI3" s="201"/>
      <c r="DSJ3" s="201"/>
      <c r="DSK3" s="200"/>
      <c r="DSL3" s="201"/>
      <c r="DSM3" s="201"/>
      <c r="DSN3" s="201"/>
      <c r="DSO3" s="200"/>
      <c r="DSP3" s="201"/>
      <c r="DSQ3" s="201"/>
      <c r="DSR3" s="201"/>
      <c r="DSS3" s="200"/>
      <c r="DST3" s="201"/>
      <c r="DSU3" s="201"/>
      <c r="DSV3" s="201"/>
      <c r="DSW3" s="200"/>
      <c r="DSX3" s="201"/>
      <c r="DSY3" s="201"/>
      <c r="DSZ3" s="201"/>
      <c r="DTA3" s="200"/>
      <c r="DTB3" s="201"/>
      <c r="DTC3" s="201"/>
      <c r="DTD3" s="201"/>
      <c r="DTE3" s="200"/>
      <c r="DTF3" s="201"/>
      <c r="DTG3" s="201"/>
      <c r="DTH3" s="201"/>
      <c r="DTI3" s="200"/>
      <c r="DTJ3" s="201"/>
      <c r="DTK3" s="201"/>
      <c r="DTL3" s="201"/>
      <c r="DTM3" s="200"/>
      <c r="DTN3" s="201"/>
      <c r="DTO3" s="201"/>
      <c r="DTP3" s="201"/>
      <c r="DTQ3" s="200"/>
      <c r="DTR3" s="201"/>
      <c r="DTS3" s="201"/>
      <c r="DTT3" s="201"/>
      <c r="DTU3" s="200"/>
      <c r="DTV3" s="201"/>
      <c r="DTW3" s="201"/>
      <c r="DTX3" s="201"/>
      <c r="DTY3" s="200"/>
      <c r="DTZ3" s="201"/>
      <c r="DUA3" s="201"/>
      <c r="DUB3" s="201"/>
      <c r="DUC3" s="200"/>
      <c r="DUD3" s="201"/>
      <c r="DUE3" s="201"/>
      <c r="DUF3" s="201"/>
      <c r="DUG3" s="200"/>
      <c r="DUH3" s="201"/>
      <c r="DUI3" s="201"/>
      <c r="DUJ3" s="201"/>
      <c r="DUK3" s="200"/>
      <c r="DUL3" s="201"/>
      <c r="DUM3" s="201"/>
      <c r="DUN3" s="201"/>
      <c r="DUO3" s="200"/>
      <c r="DUP3" s="201"/>
      <c r="DUQ3" s="201"/>
      <c r="DUR3" s="201"/>
      <c r="DUS3" s="200"/>
      <c r="DUT3" s="201"/>
      <c r="DUU3" s="201"/>
      <c r="DUV3" s="201"/>
      <c r="DUW3" s="200"/>
      <c r="DUX3" s="201"/>
      <c r="DUY3" s="201"/>
      <c r="DUZ3" s="201"/>
      <c r="DVA3" s="200"/>
      <c r="DVB3" s="201"/>
      <c r="DVC3" s="201"/>
      <c r="DVD3" s="201"/>
      <c r="DVE3" s="200"/>
      <c r="DVF3" s="201"/>
      <c r="DVG3" s="201"/>
      <c r="DVH3" s="201"/>
      <c r="DVI3" s="200"/>
      <c r="DVJ3" s="201"/>
      <c r="DVK3" s="201"/>
      <c r="DVL3" s="201"/>
      <c r="DVM3" s="200"/>
      <c r="DVN3" s="201"/>
      <c r="DVO3" s="201"/>
      <c r="DVP3" s="201"/>
      <c r="DVQ3" s="200"/>
      <c r="DVR3" s="201"/>
      <c r="DVS3" s="201"/>
      <c r="DVT3" s="201"/>
      <c r="DVU3" s="200"/>
      <c r="DVV3" s="201"/>
      <c r="DVW3" s="201"/>
      <c r="DVX3" s="201"/>
      <c r="DVY3" s="200"/>
      <c r="DVZ3" s="201"/>
      <c r="DWA3" s="201"/>
      <c r="DWB3" s="201"/>
      <c r="DWC3" s="200"/>
      <c r="DWD3" s="201"/>
      <c r="DWE3" s="201"/>
      <c r="DWF3" s="201"/>
      <c r="DWG3" s="200"/>
      <c r="DWH3" s="201"/>
      <c r="DWI3" s="201"/>
      <c r="DWJ3" s="201"/>
      <c r="DWK3" s="200"/>
      <c r="DWL3" s="201"/>
      <c r="DWM3" s="201"/>
      <c r="DWN3" s="201"/>
      <c r="DWO3" s="200"/>
      <c r="DWP3" s="201"/>
      <c r="DWQ3" s="201"/>
      <c r="DWR3" s="201"/>
      <c r="DWS3" s="200"/>
      <c r="DWT3" s="201"/>
      <c r="DWU3" s="201"/>
      <c r="DWV3" s="201"/>
      <c r="DWW3" s="200"/>
      <c r="DWX3" s="201"/>
      <c r="DWY3" s="201"/>
      <c r="DWZ3" s="201"/>
      <c r="DXA3" s="200"/>
      <c r="DXB3" s="201"/>
      <c r="DXC3" s="201"/>
      <c r="DXD3" s="201"/>
      <c r="DXE3" s="200"/>
      <c r="DXF3" s="201"/>
      <c r="DXG3" s="201"/>
      <c r="DXH3" s="201"/>
      <c r="DXI3" s="200"/>
      <c r="DXJ3" s="201"/>
      <c r="DXK3" s="201"/>
      <c r="DXL3" s="201"/>
      <c r="DXM3" s="200"/>
      <c r="DXN3" s="201"/>
      <c r="DXO3" s="201"/>
      <c r="DXP3" s="201"/>
      <c r="DXQ3" s="200"/>
      <c r="DXR3" s="201"/>
      <c r="DXS3" s="201"/>
      <c r="DXT3" s="201"/>
      <c r="DXU3" s="200"/>
      <c r="DXV3" s="201"/>
      <c r="DXW3" s="201"/>
      <c r="DXX3" s="201"/>
      <c r="DXY3" s="200"/>
      <c r="DXZ3" s="201"/>
      <c r="DYA3" s="201"/>
      <c r="DYB3" s="201"/>
      <c r="DYC3" s="200"/>
      <c r="DYD3" s="201"/>
      <c r="DYE3" s="201"/>
      <c r="DYF3" s="201"/>
      <c r="DYG3" s="200"/>
      <c r="DYH3" s="201"/>
      <c r="DYI3" s="201"/>
      <c r="DYJ3" s="201"/>
      <c r="DYK3" s="200"/>
      <c r="DYL3" s="201"/>
      <c r="DYM3" s="201"/>
      <c r="DYN3" s="201"/>
      <c r="DYO3" s="200"/>
      <c r="DYP3" s="201"/>
      <c r="DYQ3" s="201"/>
      <c r="DYR3" s="201"/>
      <c r="DYS3" s="200"/>
      <c r="DYT3" s="201"/>
      <c r="DYU3" s="201"/>
      <c r="DYV3" s="201"/>
      <c r="DYW3" s="200"/>
      <c r="DYX3" s="201"/>
      <c r="DYY3" s="201"/>
      <c r="DYZ3" s="201"/>
      <c r="DZA3" s="200"/>
      <c r="DZB3" s="201"/>
      <c r="DZC3" s="201"/>
      <c r="DZD3" s="201"/>
      <c r="DZE3" s="200"/>
      <c r="DZF3" s="201"/>
      <c r="DZG3" s="201"/>
      <c r="DZH3" s="201"/>
      <c r="DZI3" s="200"/>
      <c r="DZJ3" s="201"/>
      <c r="DZK3" s="201"/>
      <c r="DZL3" s="201"/>
      <c r="DZM3" s="200"/>
      <c r="DZN3" s="201"/>
      <c r="DZO3" s="201"/>
      <c r="DZP3" s="201"/>
      <c r="DZQ3" s="200"/>
      <c r="DZR3" s="201"/>
      <c r="DZS3" s="201"/>
      <c r="DZT3" s="201"/>
      <c r="DZU3" s="200"/>
      <c r="DZV3" s="201"/>
      <c r="DZW3" s="201"/>
      <c r="DZX3" s="201"/>
      <c r="DZY3" s="200"/>
      <c r="DZZ3" s="201"/>
      <c r="EAA3" s="201"/>
      <c r="EAB3" s="201"/>
      <c r="EAC3" s="200"/>
      <c r="EAD3" s="201"/>
      <c r="EAE3" s="201"/>
      <c r="EAF3" s="201"/>
      <c r="EAG3" s="200"/>
      <c r="EAH3" s="201"/>
      <c r="EAI3" s="201"/>
      <c r="EAJ3" s="201"/>
      <c r="EAK3" s="200"/>
      <c r="EAL3" s="201"/>
      <c r="EAM3" s="201"/>
      <c r="EAN3" s="201"/>
      <c r="EAO3" s="200"/>
      <c r="EAP3" s="201"/>
      <c r="EAQ3" s="201"/>
      <c r="EAR3" s="201"/>
      <c r="EAS3" s="200"/>
      <c r="EAT3" s="201"/>
      <c r="EAU3" s="201"/>
      <c r="EAV3" s="201"/>
      <c r="EAW3" s="200"/>
      <c r="EAX3" s="201"/>
      <c r="EAY3" s="201"/>
      <c r="EAZ3" s="201"/>
      <c r="EBA3" s="200"/>
      <c r="EBB3" s="201"/>
      <c r="EBC3" s="201"/>
      <c r="EBD3" s="201"/>
      <c r="EBE3" s="200"/>
      <c r="EBF3" s="201"/>
      <c r="EBG3" s="201"/>
      <c r="EBH3" s="201"/>
      <c r="EBI3" s="200"/>
      <c r="EBJ3" s="201"/>
      <c r="EBK3" s="201"/>
      <c r="EBL3" s="201"/>
      <c r="EBM3" s="200"/>
      <c r="EBN3" s="201"/>
      <c r="EBO3" s="201"/>
      <c r="EBP3" s="201"/>
      <c r="EBQ3" s="200"/>
      <c r="EBR3" s="201"/>
      <c r="EBS3" s="201"/>
      <c r="EBT3" s="201"/>
      <c r="EBU3" s="200"/>
      <c r="EBV3" s="201"/>
      <c r="EBW3" s="201"/>
      <c r="EBX3" s="201"/>
      <c r="EBY3" s="200"/>
      <c r="EBZ3" s="201"/>
      <c r="ECA3" s="201"/>
      <c r="ECB3" s="201"/>
      <c r="ECC3" s="200"/>
      <c r="ECD3" s="201"/>
      <c r="ECE3" s="201"/>
      <c r="ECF3" s="201"/>
      <c r="ECG3" s="200"/>
      <c r="ECH3" s="201"/>
      <c r="ECI3" s="201"/>
      <c r="ECJ3" s="201"/>
      <c r="ECK3" s="200"/>
      <c r="ECL3" s="201"/>
      <c r="ECM3" s="201"/>
      <c r="ECN3" s="201"/>
      <c r="ECO3" s="200"/>
      <c r="ECP3" s="201"/>
      <c r="ECQ3" s="201"/>
      <c r="ECR3" s="201"/>
      <c r="ECS3" s="200"/>
      <c r="ECT3" s="201"/>
      <c r="ECU3" s="201"/>
      <c r="ECV3" s="201"/>
      <c r="ECW3" s="200"/>
      <c r="ECX3" s="201"/>
      <c r="ECY3" s="201"/>
      <c r="ECZ3" s="201"/>
      <c r="EDA3" s="200"/>
      <c r="EDB3" s="201"/>
      <c r="EDC3" s="201"/>
      <c r="EDD3" s="201"/>
      <c r="EDE3" s="200"/>
      <c r="EDF3" s="201"/>
      <c r="EDG3" s="201"/>
      <c r="EDH3" s="201"/>
      <c r="EDI3" s="200"/>
      <c r="EDJ3" s="201"/>
      <c r="EDK3" s="201"/>
      <c r="EDL3" s="201"/>
      <c r="EDM3" s="200"/>
      <c r="EDN3" s="201"/>
      <c r="EDO3" s="201"/>
      <c r="EDP3" s="201"/>
      <c r="EDQ3" s="200"/>
      <c r="EDR3" s="201"/>
      <c r="EDS3" s="201"/>
      <c r="EDT3" s="201"/>
      <c r="EDU3" s="200"/>
      <c r="EDV3" s="201"/>
      <c r="EDW3" s="201"/>
      <c r="EDX3" s="201"/>
      <c r="EDY3" s="200"/>
      <c r="EDZ3" s="201"/>
      <c r="EEA3" s="201"/>
      <c r="EEB3" s="201"/>
      <c r="EEC3" s="200"/>
      <c r="EED3" s="201"/>
      <c r="EEE3" s="201"/>
      <c r="EEF3" s="201"/>
      <c r="EEG3" s="200"/>
      <c r="EEH3" s="201"/>
      <c r="EEI3" s="201"/>
      <c r="EEJ3" s="201"/>
      <c r="EEK3" s="200"/>
      <c r="EEL3" s="201"/>
      <c r="EEM3" s="201"/>
      <c r="EEN3" s="201"/>
      <c r="EEO3" s="200"/>
      <c r="EEP3" s="201"/>
      <c r="EEQ3" s="201"/>
      <c r="EER3" s="201"/>
      <c r="EES3" s="200"/>
      <c r="EET3" s="201"/>
      <c r="EEU3" s="201"/>
      <c r="EEV3" s="201"/>
      <c r="EEW3" s="200"/>
      <c r="EEX3" s="201"/>
      <c r="EEY3" s="201"/>
      <c r="EEZ3" s="201"/>
      <c r="EFA3" s="200"/>
      <c r="EFB3" s="201"/>
      <c r="EFC3" s="201"/>
      <c r="EFD3" s="201"/>
      <c r="EFE3" s="200"/>
      <c r="EFF3" s="201"/>
      <c r="EFG3" s="201"/>
      <c r="EFH3" s="201"/>
      <c r="EFI3" s="200"/>
      <c r="EFJ3" s="201"/>
      <c r="EFK3" s="201"/>
      <c r="EFL3" s="201"/>
      <c r="EFM3" s="200"/>
      <c r="EFN3" s="201"/>
      <c r="EFO3" s="201"/>
      <c r="EFP3" s="201"/>
      <c r="EFQ3" s="200"/>
      <c r="EFR3" s="201"/>
      <c r="EFS3" s="201"/>
      <c r="EFT3" s="201"/>
      <c r="EFU3" s="200"/>
      <c r="EFV3" s="201"/>
      <c r="EFW3" s="201"/>
      <c r="EFX3" s="201"/>
      <c r="EFY3" s="200"/>
      <c r="EFZ3" s="201"/>
      <c r="EGA3" s="201"/>
      <c r="EGB3" s="201"/>
      <c r="EGC3" s="200"/>
      <c r="EGD3" s="201"/>
      <c r="EGE3" s="201"/>
      <c r="EGF3" s="201"/>
      <c r="EGG3" s="200"/>
      <c r="EGH3" s="201"/>
      <c r="EGI3" s="201"/>
      <c r="EGJ3" s="201"/>
      <c r="EGK3" s="200"/>
      <c r="EGL3" s="201"/>
      <c r="EGM3" s="201"/>
      <c r="EGN3" s="201"/>
      <c r="EGO3" s="200"/>
      <c r="EGP3" s="201"/>
      <c r="EGQ3" s="201"/>
      <c r="EGR3" s="201"/>
      <c r="EGS3" s="200"/>
      <c r="EGT3" s="201"/>
      <c r="EGU3" s="201"/>
      <c r="EGV3" s="201"/>
      <c r="EGW3" s="200"/>
      <c r="EGX3" s="201"/>
      <c r="EGY3" s="201"/>
      <c r="EGZ3" s="201"/>
      <c r="EHA3" s="200"/>
      <c r="EHB3" s="201"/>
      <c r="EHC3" s="201"/>
      <c r="EHD3" s="201"/>
      <c r="EHE3" s="200"/>
      <c r="EHF3" s="201"/>
      <c r="EHG3" s="201"/>
      <c r="EHH3" s="201"/>
      <c r="EHI3" s="200"/>
      <c r="EHJ3" s="201"/>
      <c r="EHK3" s="201"/>
      <c r="EHL3" s="201"/>
      <c r="EHM3" s="200"/>
      <c r="EHN3" s="201"/>
      <c r="EHO3" s="201"/>
      <c r="EHP3" s="201"/>
      <c r="EHQ3" s="200"/>
      <c r="EHR3" s="201"/>
      <c r="EHS3" s="201"/>
      <c r="EHT3" s="201"/>
      <c r="EHU3" s="200"/>
      <c r="EHV3" s="201"/>
      <c r="EHW3" s="201"/>
      <c r="EHX3" s="201"/>
      <c r="EHY3" s="200"/>
      <c r="EHZ3" s="201"/>
      <c r="EIA3" s="201"/>
      <c r="EIB3" s="201"/>
      <c r="EIC3" s="200"/>
      <c r="EID3" s="201"/>
      <c r="EIE3" s="201"/>
      <c r="EIF3" s="201"/>
      <c r="EIG3" s="200"/>
      <c r="EIH3" s="201"/>
      <c r="EII3" s="201"/>
      <c r="EIJ3" s="201"/>
      <c r="EIK3" s="200"/>
      <c r="EIL3" s="201"/>
      <c r="EIM3" s="201"/>
      <c r="EIN3" s="201"/>
      <c r="EIO3" s="200"/>
      <c r="EIP3" s="201"/>
      <c r="EIQ3" s="201"/>
      <c r="EIR3" s="201"/>
      <c r="EIS3" s="200"/>
      <c r="EIT3" s="201"/>
      <c r="EIU3" s="201"/>
      <c r="EIV3" s="201"/>
      <c r="EIW3" s="200"/>
      <c r="EIX3" s="201"/>
      <c r="EIY3" s="201"/>
      <c r="EIZ3" s="201"/>
      <c r="EJA3" s="200"/>
      <c r="EJB3" s="201"/>
      <c r="EJC3" s="201"/>
      <c r="EJD3" s="201"/>
      <c r="EJE3" s="200"/>
      <c r="EJF3" s="201"/>
      <c r="EJG3" s="201"/>
      <c r="EJH3" s="201"/>
      <c r="EJI3" s="200"/>
      <c r="EJJ3" s="201"/>
      <c r="EJK3" s="201"/>
      <c r="EJL3" s="201"/>
      <c r="EJM3" s="200"/>
      <c r="EJN3" s="201"/>
      <c r="EJO3" s="201"/>
      <c r="EJP3" s="201"/>
      <c r="EJQ3" s="200"/>
      <c r="EJR3" s="201"/>
      <c r="EJS3" s="201"/>
      <c r="EJT3" s="201"/>
      <c r="EJU3" s="200"/>
      <c r="EJV3" s="201"/>
      <c r="EJW3" s="201"/>
      <c r="EJX3" s="201"/>
      <c r="EJY3" s="200"/>
      <c r="EJZ3" s="201"/>
      <c r="EKA3" s="201"/>
      <c r="EKB3" s="201"/>
      <c r="EKC3" s="200"/>
      <c r="EKD3" s="201"/>
      <c r="EKE3" s="201"/>
      <c r="EKF3" s="201"/>
      <c r="EKG3" s="200"/>
      <c r="EKH3" s="201"/>
      <c r="EKI3" s="201"/>
      <c r="EKJ3" s="201"/>
      <c r="EKK3" s="200"/>
      <c r="EKL3" s="201"/>
      <c r="EKM3" s="201"/>
      <c r="EKN3" s="201"/>
      <c r="EKO3" s="200"/>
      <c r="EKP3" s="201"/>
      <c r="EKQ3" s="201"/>
      <c r="EKR3" s="201"/>
      <c r="EKS3" s="200"/>
      <c r="EKT3" s="201"/>
      <c r="EKU3" s="201"/>
      <c r="EKV3" s="201"/>
      <c r="EKW3" s="200"/>
      <c r="EKX3" s="201"/>
      <c r="EKY3" s="201"/>
      <c r="EKZ3" s="201"/>
      <c r="ELA3" s="200"/>
      <c r="ELB3" s="201"/>
      <c r="ELC3" s="201"/>
      <c r="ELD3" s="201"/>
      <c r="ELE3" s="200"/>
      <c r="ELF3" s="201"/>
      <c r="ELG3" s="201"/>
      <c r="ELH3" s="201"/>
      <c r="ELI3" s="200"/>
      <c r="ELJ3" s="201"/>
      <c r="ELK3" s="201"/>
      <c r="ELL3" s="201"/>
      <c r="ELM3" s="200"/>
      <c r="ELN3" s="201"/>
      <c r="ELO3" s="201"/>
      <c r="ELP3" s="201"/>
      <c r="ELQ3" s="200"/>
      <c r="ELR3" s="201"/>
      <c r="ELS3" s="201"/>
      <c r="ELT3" s="201"/>
      <c r="ELU3" s="200"/>
      <c r="ELV3" s="201"/>
      <c r="ELW3" s="201"/>
      <c r="ELX3" s="201"/>
      <c r="ELY3" s="200"/>
      <c r="ELZ3" s="201"/>
      <c r="EMA3" s="201"/>
      <c r="EMB3" s="201"/>
      <c r="EMC3" s="200"/>
      <c r="EMD3" s="201"/>
      <c r="EME3" s="201"/>
      <c r="EMF3" s="201"/>
      <c r="EMG3" s="200"/>
      <c r="EMH3" s="201"/>
      <c r="EMI3" s="201"/>
      <c r="EMJ3" s="201"/>
      <c r="EMK3" s="200"/>
      <c r="EML3" s="201"/>
      <c r="EMM3" s="201"/>
      <c r="EMN3" s="201"/>
      <c r="EMO3" s="200"/>
      <c r="EMP3" s="201"/>
      <c r="EMQ3" s="201"/>
      <c r="EMR3" s="201"/>
      <c r="EMS3" s="200"/>
      <c r="EMT3" s="201"/>
      <c r="EMU3" s="201"/>
      <c r="EMV3" s="201"/>
      <c r="EMW3" s="200"/>
      <c r="EMX3" s="201"/>
      <c r="EMY3" s="201"/>
      <c r="EMZ3" s="201"/>
      <c r="ENA3" s="200"/>
      <c r="ENB3" s="201"/>
      <c r="ENC3" s="201"/>
      <c r="END3" s="201"/>
      <c r="ENE3" s="200"/>
      <c r="ENF3" s="201"/>
      <c r="ENG3" s="201"/>
      <c r="ENH3" s="201"/>
      <c r="ENI3" s="200"/>
      <c r="ENJ3" s="201"/>
      <c r="ENK3" s="201"/>
      <c r="ENL3" s="201"/>
      <c r="ENM3" s="200"/>
      <c r="ENN3" s="201"/>
      <c r="ENO3" s="201"/>
      <c r="ENP3" s="201"/>
      <c r="ENQ3" s="200"/>
      <c r="ENR3" s="201"/>
      <c r="ENS3" s="201"/>
      <c r="ENT3" s="201"/>
      <c r="ENU3" s="200"/>
      <c r="ENV3" s="201"/>
      <c r="ENW3" s="201"/>
      <c r="ENX3" s="201"/>
      <c r="ENY3" s="200"/>
      <c r="ENZ3" s="201"/>
      <c r="EOA3" s="201"/>
      <c r="EOB3" s="201"/>
      <c r="EOC3" s="200"/>
      <c r="EOD3" s="201"/>
      <c r="EOE3" s="201"/>
      <c r="EOF3" s="201"/>
      <c r="EOG3" s="200"/>
      <c r="EOH3" s="201"/>
      <c r="EOI3" s="201"/>
      <c r="EOJ3" s="201"/>
      <c r="EOK3" s="200"/>
      <c r="EOL3" s="201"/>
      <c r="EOM3" s="201"/>
      <c r="EON3" s="201"/>
      <c r="EOO3" s="200"/>
      <c r="EOP3" s="201"/>
      <c r="EOQ3" s="201"/>
      <c r="EOR3" s="201"/>
      <c r="EOS3" s="200"/>
      <c r="EOT3" s="201"/>
      <c r="EOU3" s="201"/>
      <c r="EOV3" s="201"/>
      <c r="EOW3" s="200"/>
      <c r="EOX3" s="201"/>
      <c r="EOY3" s="201"/>
      <c r="EOZ3" s="201"/>
      <c r="EPA3" s="200"/>
      <c r="EPB3" s="201"/>
      <c r="EPC3" s="201"/>
      <c r="EPD3" s="201"/>
      <c r="EPE3" s="200"/>
      <c r="EPF3" s="201"/>
      <c r="EPG3" s="201"/>
      <c r="EPH3" s="201"/>
      <c r="EPI3" s="200"/>
      <c r="EPJ3" s="201"/>
      <c r="EPK3" s="201"/>
      <c r="EPL3" s="201"/>
      <c r="EPM3" s="200"/>
      <c r="EPN3" s="201"/>
      <c r="EPO3" s="201"/>
      <c r="EPP3" s="201"/>
      <c r="EPQ3" s="200"/>
      <c r="EPR3" s="201"/>
      <c r="EPS3" s="201"/>
      <c r="EPT3" s="201"/>
      <c r="EPU3" s="200"/>
      <c r="EPV3" s="201"/>
      <c r="EPW3" s="201"/>
      <c r="EPX3" s="201"/>
      <c r="EPY3" s="200"/>
      <c r="EPZ3" s="201"/>
      <c r="EQA3" s="201"/>
      <c r="EQB3" s="201"/>
      <c r="EQC3" s="200"/>
      <c r="EQD3" s="201"/>
      <c r="EQE3" s="201"/>
      <c r="EQF3" s="201"/>
      <c r="EQG3" s="200"/>
      <c r="EQH3" s="201"/>
      <c r="EQI3" s="201"/>
      <c r="EQJ3" s="201"/>
      <c r="EQK3" s="200"/>
      <c r="EQL3" s="201"/>
      <c r="EQM3" s="201"/>
      <c r="EQN3" s="201"/>
      <c r="EQO3" s="200"/>
      <c r="EQP3" s="201"/>
      <c r="EQQ3" s="201"/>
      <c r="EQR3" s="201"/>
      <c r="EQS3" s="200"/>
      <c r="EQT3" s="201"/>
      <c r="EQU3" s="201"/>
      <c r="EQV3" s="201"/>
      <c r="EQW3" s="200"/>
      <c r="EQX3" s="201"/>
      <c r="EQY3" s="201"/>
      <c r="EQZ3" s="201"/>
      <c r="ERA3" s="200"/>
      <c r="ERB3" s="201"/>
      <c r="ERC3" s="201"/>
      <c r="ERD3" s="201"/>
      <c r="ERE3" s="200"/>
      <c r="ERF3" s="201"/>
      <c r="ERG3" s="201"/>
      <c r="ERH3" s="201"/>
      <c r="ERI3" s="200"/>
      <c r="ERJ3" s="201"/>
      <c r="ERK3" s="201"/>
      <c r="ERL3" s="201"/>
      <c r="ERM3" s="200"/>
      <c r="ERN3" s="201"/>
      <c r="ERO3" s="201"/>
      <c r="ERP3" s="201"/>
      <c r="ERQ3" s="200"/>
      <c r="ERR3" s="201"/>
      <c r="ERS3" s="201"/>
      <c r="ERT3" s="201"/>
      <c r="ERU3" s="200"/>
      <c r="ERV3" s="201"/>
      <c r="ERW3" s="201"/>
      <c r="ERX3" s="201"/>
      <c r="ERY3" s="200"/>
      <c r="ERZ3" s="201"/>
      <c r="ESA3" s="201"/>
      <c r="ESB3" s="201"/>
      <c r="ESC3" s="200"/>
      <c r="ESD3" s="201"/>
      <c r="ESE3" s="201"/>
      <c r="ESF3" s="201"/>
      <c r="ESG3" s="200"/>
      <c r="ESH3" s="201"/>
      <c r="ESI3" s="201"/>
      <c r="ESJ3" s="201"/>
      <c r="ESK3" s="200"/>
      <c r="ESL3" s="201"/>
      <c r="ESM3" s="201"/>
      <c r="ESN3" s="201"/>
      <c r="ESO3" s="200"/>
      <c r="ESP3" s="201"/>
      <c r="ESQ3" s="201"/>
      <c r="ESR3" s="201"/>
      <c r="ESS3" s="200"/>
      <c r="EST3" s="201"/>
      <c r="ESU3" s="201"/>
      <c r="ESV3" s="201"/>
      <c r="ESW3" s="200"/>
      <c r="ESX3" s="201"/>
      <c r="ESY3" s="201"/>
      <c r="ESZ3" s="201"/>
      <c r="ETA3" s="200"/>
      <c r="ETB3" s="201"/>
      <c r="ETC3" s="201"/>
      <c r="ETD3" s="201"/>
      <c r="ETE3" s="200"/>
      <c r="ETF3" s="201"/>
      <c r="ETG3" s="201"/>
      <c r="ETH3" s="201"/>
      <c r="ETI3" s="200"/>
      <c r="ETJ3" s="201"/>
      <c r="ETK3" s="201"/>
      <c r="ETL3" s="201"/>
      <c r="ETM3" s="200"/>
      <c r="ETN3" s="201"/>
      <c r="ETO3" s="201"/>
      <c r="ETP3" s="201"/>
      <c r="ETQ3" s="200"/>
      <c r="ETR3" s="201"/>
      <c r="ETS3" s="201"/>
      <c r="ETT3" s="201"/>
      <c r="ETU3" s="200"/>
      <c r="ETV3" s="201"/>
      <c r="ETW3" s="201"/>
      <c r="ETX3" s="201"/>
      <c r="ETY3" s="200"/>
      <c r="ETZ3" s="201"/>
      <c r="EUA3" s="201"/>
      <c r="EUB3" s="201"/>
      <c r="EUC3" s="200"/>
      <c r="EUD3" s="201"/>
      <c r="EUE3" s="201"/>
      <c r="EUF3" s="201"/>
      <c r="EUG3" s="200"/>
      <c r="EUH3" s="201"/>
      <c r="EUI3" s="201"/>
      <c r="EUJ3" s="201"/>
      <c r="EUK3" s="200"/>
      <c r="EUL3" s="201"/>
      <c r="EUM3" s="201"/>
      <c r="EUN3" s="201"/>
      <c r="EUO3" s="200"/>
      <c r="EUP3" s="201"/>
      <c r="EUQ3" s="201"/>
      <c r="EUR3" s="201"/>
      <c r="EUS3" s="200"/>
      <c r="EUT3" s="201"/>
      <c r="EUU3" s="201"/>
      <c r="EUV3" s="201"/>
      <c r="EUW3" s="200"/>
      <c r="EUX3" s="201"/>
      <c r="EUY3" s="201"/>
      <c r="EUZ3" s="201"/>
      <c r="EVA3" s="200"/>
      <c r="EVB3" s="201"/>
      <c r="EVC3" s="201"/>
      <c r="EVD3" s="201"/>
      <c r="EVE3" s="200"/>
      <c r="EVF3" s="201"/>
      <c r="EVG3" s="201"/>
      <c r="EVH3" s="201"/>
      <c r="EVI3" s="200"/>
      <c r="EVJ3" s="201"/>
      <c r="EVK3" s="201"/>
      <c r="EVL3" s="201"/>
      <c r="EVM3" s="200"/>
      <c r="EVN3" s="201"/>
      <c r="EVO3" s="201"/>
      <c r="EVP3" s="201"/>
      <c r="EVQ3" s="200"/>
      <c r="EVR3" s="201"/>
      <c r="EVS3" s="201"/>
      <c r="EVT3" s="201"/>
      <c r="EVU3" s="200"/>
      <c r="EVV3" s="201"/>
      <c r="EVW3" s="201"/>
      <c r="EVX3" s="201"/>
      <c r="EVY3" s="200"/>
      <c r="EVZ3" s="201"/>
      <c r="EWA3" s="201"/>
      <c r="EWB3" s="201"/>
      <c r="EWC3" s="200"/>
      <c r="EWD3" s="201"/>
      <c r="EWE3" s="201"/>
      <c r="EWF3" s="201"/>
      <c r="EWG3" s="200"/>
      <c r="EWH3" s="201"/>
      <c r="EWI3" s="201"/>
      <c r="EWJ3" s="201"/>
      <c r="EWK3" s="200"/>
      <c r="EWL3" s="201"/>
      <c r="EWM3" s="201"/>
      <c r="EWN3" s="201"/>
      <c r="EWO3" s="200"/>
      <c r="EWP3" s="201"/>
      <c r="EWQ3" s="201"/>
      <c r="EWR3" s="201"/>
      <c r="EWS3" s="200"/>
      <c r="EWT3" s="201"/>
      <c r="EWU3" s="201"/>
      <c r="EWV3" s="201"/>
      <c r="EWW3" s="200"/>
      <c r="EWX3" s="201"/>
      <c r="EWY3" s="201"/>
      <c r="EWZ3" s="201"/>
      <c r="EXA3" s="200"/>
      <c r="EXB3" s="201"/>
      <c r="EXC3" s="201"/>
      <c r="EXD3" s="201"/>
      <c r="EXE3" s="200"/>
      <c r="EXF3" s="201"/>
      <c r="EXG3" s="201"/>
      <c r="EXH3" s="201"/>
      <c r="EXI3" s="200"/>
      <c r="EXJ3" s="201"/>
      <c r="EXK3" s="201"/>
      <c r="EXL3" s="201"/>
      <c r="EXM3" s="200"/>
      <c r="EXN3" s="201"/>
      <c r="EXO3" s="201"/>
      <c r="EXP3" s="201"/>
      <c r="EXQ3" s="200"/>
      <c r="EXR3" s="201"/>
      <c r="EXS3" s="201"/>
      <c r="EXT3" s="201"/>
      <c r="EXU3" s="200"/>
      <c r="EXV3" s="201"/>
      <c r="EXW3" s="201"/>
      <c r="EXX3" s="201"/>
      <c r="EXY3" s="200"/>
      <c r="EXZ3" s="201"/>
      <c r="EYA3" s="201"/>
      <c r="EYB3" s="201"/>
      <c r="EYC3" s="200"/>
      <c r="EYD3" s="201"/>
      <c r="EYE3" s="201"/>
      <c r="EYF3" s="201"/>
      <c r="EYG3" s="200"/>
      <c r="EYH3" s="201"/>
      <c r="EYI3" s="201"/>
      <c r="EYJ3" s="201"/>
      <c r="EYK3" s="200"/>
      <c r="EYL3" s="201"/>
      <c r="EYM3" s="201"/>
      <c r="EYN3" s="201"/>
      <c r="EYO3" s="200"/>
      <c r="EYP3" s="201"/>
      <c r="EYQ3" s="201"/>
      <c r="EYR3" s="201"/>
      <c r="EYS3" s="200"/>
      <c r="EYT3" s="201"/>
      <c r="EYU3" s="201"/>
      <c r="EYV3" s="201"/>
      <c r="EYW3" s="200"/>
      <c r="EYX3" s="201"/>
      <c r="EYY3" s="201"/>
      <c r="EYZ3" s="201"/>
      <c r="EZA3" s="200"/>
      <c r="EZB3" s="201"/>
      <c r="EZC3" s="201"/>
      <c r="EZD3" s="201"/>
      <c r="EZE3" s="200"/>
      <c r="EZF3" s="201"/>
      <c r="EZG3" s="201"/>
      <c r="EZH3" s="201"/>
      <c r="EZI3" s="200"/>
      <c r="EZJ3" s="201"/>
      <c r="EZK3" s="201"/>
      <c r="EZL3" s="201"/>
      <c r="EZM3" s="200"/>
      <c r="EZN3" s="201"/>
      <c r="EZO3" s="201"/>
      <c r="EZP3" s="201"/>
      <c r="EZQ3" s="200"/>
      <c r="EZR3" s="201"/>
      <c r="EZS3" s="201"/>
      <c r="EZT3" s="201"/>
      <c r="EZU3" s="200"/>
      <c r="EZV3" s="201"/>
      <c r="EZW3" s="201"/>
      <c r="EZX3" s="201"/>
      <c r="EZY3" s="200"/>
      <c r="EZZ3" s="201"/>
      <c r="FAA3" s="201"/>
      <c r="FAB3" s="201"/>
      <c r="FAC3" s="200"/>
      <c r="FAD3" s="201"/>
      <c r="FAE3" s="201"/>
      <c r="FAF3" s="201"/>
      <c r="FAG3" s="200"/>
      <c r="FAH3" s="201"/>
      <c r="FAI3" s="201"/>
      <c r="FAJ3" s="201"/>
      <c r="FAK3" s="200"/>
      <c r="FAL3" s="201"/>
      <c r="FAM3" s="201"/>
      <c r="FAN3" s="201"/>
      <c r="FAO3" s="200"/>
      <c r="FAP3" s="201"/>
      <c r="FAQ3" s="201"/>
      <c r="FAR3" s="201"/>
      <c r="FAS3" s="200"/>
      <c r="FAT3" s="201"/>
      <c r="FAU3" s="201"/>
      <c r="FAV3" s="201"/>
      <c r="FAW3" s="200"/>
      <c r="FAX3" s="201"/>
      <c r="FAY3" s="201"/>
      <c r="FAZ3" s="201"/>
      <c r="FBA3" s="200"/>
      <c r="FBB3" s="201"/>
      <c r="FBC3" s="201"/>
      <c r="FBD3" s="201"/>
      <c r="FBE3" s="200"/>
      <c r="FBF3" s="201"/>
      <c r="FBG3" s="201"/>
      <c r="FBH3" s="201"/>
      <c r="FBI3" s="200"/>
      <c r="FBJ3" s="201"/>
      <c r="FBK3" s="201"/>
      <c r="FBL3" s="201"/>
      <c r="FBM3" s="200"/>
      <c r="FBN3" s="201"/>
      <c r="FBO3" s="201"/>
      <c r="FBP3" s="201"/>
      <c r="FBQ3" s="200"/>
      <c r="FBR3" s="201"/>
      <c r="FBS3" s="201"/>
      <c r="FBT3" s="201"/>
      <c r="FBU3" s="200"/>
      <c r="FBV3" s="201"/>
      <c r="FBW3" s="201"/>
      <c r="FBX3" s="201"/>
      <c r="FBY3" s="200"/>
      <c r="FBZ3" s="201"/>
      <c r="FCA3" s="201"/>
      <c r="FCB3" s="201"/>
      <c r="FCC3" s="200"/>
      <c r="FCD3" s="201"/>
      <c r="FCE3" s="201"/>
      <c r="FCF3" s="201"/>
      <c r="FCG3" s="200"/>
      <c r="FCH3" s="201"/>
      <c r="FCI3" s="201"/>
      <c r="FCJ3" s="201"/>
      <c r="FCK3" s="200"/>
      <c r="FCL3" s="201"/>
      <c r="FCM3" s="201"/>
      <c r="FCN3" s="201"/>
      <c r="FCO3" s="200"/>
      <c r="FCP3" s="201"/>
      <c r="FCQ3" s="201"/>
      <c r="FCR3" s="201"/>
      <c r="FCS3" s="200"/>
      <c r="FCT3" s="201"/>
      <c r="FCU3" s="201"/>
      <c r="FCV3" s="201"/>
      <c r="FCW3" s="200"/>
      <c r="FCX3" s="201"/>
      <c r="FCY3" s="201"/>
      <c r="FCZ3" s="201"/>
      <c r="FDA3" s="200"/>
      <c r="FDB3" s="201"/>
      <c r="FDC3" s="201"/>
      <c r="FDD3" s="201"/>
      <c r="FDE3" s="200"/>
      <c r="FDF3" s="201"/>
      <c r="FDG3" s="201"/>
      <c r="FDH3" s="201"/>
      <c r="FDI3" s="200"/>
      <c r="FDJ3" s="201"/>
      <c r="FDK3" s="201"/>
      <c r="FDL3" s="201"/>
      <c r="FDM3" s="200"/>
      <c r="FDN3" s="201"/>
      <c r="FDO3" s="201"/>
      <c r="FDP3" s="201"/>
      <c r="FDQ3" s="200"/>
      <c r="FDR3" s="201"/>
      <c r="FDS3" s="201"/>
      <c r="FDT3" s="201"/>
      <c r="FDU3" s="200"/>
      <c r="FDV3" s="201"/>
      <c r="FDW3" s="201"/>
      <c r="FDX3" s="201"/>
      <c r="FDY3" s="200"/>
      <c r="FDZ3" s="201"/>
      <c r="FEA3" s="201"/>
      <c r="FEB3" s="201"/>
      <c r="FEC3" s="200"/>
      <c r="FED3" s="201"/>
      <c r="FEE3" s="201"/>
      <c r="FEF3" s="201"/>
      <c r="FEG3" s="200"/>
      <c r="FEH3" s="201"/>
      <c r="FEI3" s="201"/>
      <c r="FEJ3" s="201"/>
      <c r="FEK3" s="200"/>
      <c r="FEL3" s="201"/>
      <c r="FEM3" s="201"/>
      <c r="FEN3" s="201"/>
      <c r="FEO3" s="200"/>
      <c r="FEP3" s="201"/>
      <c r="FEQ3" s="201"/>
      <c r="FER3" s="201"/>
      <c r="FES3" s="200"/>
      <c r="FET3" s="201"/>
      <c r="FEU3" s="201"/>
      <c r="FEV3" s="201"/>
      <c r="FEW3" s="200"/>
      <c r="FEX3" s="201"/>
      <c r="FEY3" s="201"/>
      <c r="FEZ3" s="201"/>
      <c r="FFA3" s="200"/>
      <c r="FFB3" s="201"/>
      <c r="FFC3" s="201"/>
      <c r="FFD3" s="201"/>
      <c r="FFE3" s="200"/>
      <c r="FFF3" s="201"/>
      <c r="FFG3" s="201"/>
      <c r="FFH3" s="201"/>
      <c r="FFI3" s="200"/>
      <c r="FFJ3" s="201"/>
      <c r="FFK3" s="201"/>
      <c r="FFL3" s="201"/>
      <c r="FFM3" s="200"/>
      <c r="FFN3" s="201"/>
      <c r="FFO3" s="201"/>
      <c r="FFP3" s="201"/>
      <c r="FFQ3" s="200"/>
      <c r="FFR3" s="201"/>
      <c r="FFS3" s="201"/>
      <c r="FFT3" s="201"/>
      <c r="FFU3" s="200"/>
      <c r="FFV3" s="201"/>
      <c r="FFW3" s="201"/>
      <c r="FFX3" s="201"/>
      <c r="FFY3" s="200"/>
      <c r="FFZ3" s="201"/>
      <c r="FGA3" s="201"/>
      <c r="FGB3" s="201"/>
      <c r="FGC3" s="200"/>
      <c r="FGD3" s="201"/>
      <c r="FGE3" s="201"/>
      <c r="FGF3" s="201"/>
      <c r="FGG3" s="200"/>
      <c r="FGH3" s="201"/>
      <c r="FGI3" s="201"/>
      <c r="FGJ3" s="201"/>
      <c r="FGK3" s="200"/>
      <c r="FGL3" s="201"/>
      <c r="FGM3" s="201"/>
      <c r="FGN3" s="201"/>
      <c r="FGO3" s="200"/>
      <c r="FGP3" s="201"/>
      <c r="FGQ3" s="201"/>
      <c r="FGR3" s="201"/>
      <c r="FGS3" s="200"/>
      <c r="FGT3" s="201"/>
      <c r="FGU3" s="201"/>
      <c r="FGV3" s="201"/>
      <c r="FGW3" s="200"/>
      <c r="FGX3" s="201"/>
      <c r="FGY3" s="201"/>
      <c r="FGZ3" s="201"/>
      <c r="FHA3" s="200"/>
      <c r="FHB3" s="201"/>
      <c r="FHC3" s="201"/>
      <c r="FHD3" s="201"/>
      <c r="FHE3" s="200"/>
      <c r="FHF3" s="201"/>
      <c r="FHG3" s="201"/>
      <c r="FHH3" s="201"/>
      <c r="FHI3" s="200"/>
      <c r="FHJ3" s="201"/>
      <c r="FHK3" s="201"/>
      <c r="FHL3" s="201"/>
      <c r="FHM3" s="200"/>
      <c r="FHN3" s="201"/>
      <c r="FHO3" s="201"/>
      <c r="FHP3" s="201"/>
      <c r="FHQ3" s="200"/>
      <c r="FHR3" s="201"/>
      <c r="FHS3" s="201"/>
      <c r="FHT3" s="201"/>
      <c r="FHU3" s="200"/>
      <c r="FHV3" s="201"/>
      <c r="FHW3" s="201"/>
      <c r="FHX3" s="201"/>
      <c r="FHY3" s="200"/>
      <c r="FHZ3" s="201"/>
      <c r="FIA3" s="201"/>
      <c r="FIB3" s="201"/>
      <c r="FIC3" s="200"/>
      <c r="FID3" s="201"/>
      <c r="FIE3" s="201"/>
      <c r="FIF3" s="201"/>
      <c r="FIG3" s="200"/>
      <c r="FIH3" s="201"/>
      <c r="FII3" s="201"/>
      <c r="FIJ3" s="201"/>
      <c r="FIK3" s="200"/>
      <c r="FIL3" s="201"/>
      <c r="FIM3" s="201"/>
      <c r="FIN3" s="201"/>
      <c r="FIO3" s="200"/>
      <c r="FIP3" s="201"/>
      <c r="FIQ3" s="201"/>
      <c r="FIR3" s="201"/>
      <c r="FIS3" s="200"/>
      <c r="FIT3" s="201"/>
      <c r="FIU3" s="201"/>
      <c r="FIV3" s="201"/>
      <c r="FIW3" s="200"/>
      <c r="FIX3" s="201"/>
      <c r="FIY3" s="201"/>
      <c r="FIZ3" s="201"/>
      <c r="FJA3" s="200"/>
      <c r="FJB3" s="201"/>
      <c r="FJC3" s="201"/>
      <c r="FJD3" s="201"/>
      <c r="FJE3" s="200"/>
      <c r="FJF3" s="201"/>
      <c r="FJG3" s="201"/>
      <c r="FJH3" s="201"/>
      <c r="FJI3" s="200"/>
      <c r="FJJ3" s="201"/>
      <c r="FJK3" s="201"/>
      <c r="FJL3" s="201"/>
      <c r="FJM3" s="200"/>
      <c r="FJN3" s="201"/>
      <c r="FJO3" s="201"/>
      <c r="FJP3" s="201"/>
      <c r="FJQ3" s="200"/>
      <c r="FJR3" s="201"/>
      <c r="FJS3" s="201"/>
      <c r="FJT3" s="201"/>
      <c r="FJU3" s="200"/>
      <c r="FJV3" s="201"/>
      <c r="FJW3" s="201"/>
      <c r="FJX3" s="201"/>
      <c r="FJY3" s="200"/>
      <c r="FJZ3" s="201"/>
      <c r="FKA3" s="201"/>
      <c r="FKB3" s="201"/>
      <c r="FKC3" s="200"/>
      <c r="FKD3" s="201"/>
      <c r="FKE3" s="201"/>
      <c r="FKF3" s="201"/>
      <c r="FKG3" s="200"/>
      <c r="FKH3" s="201"/>
      <c r="FKI3" s="201"/>
      <c r="FKJ3" s="201"/>
      <c r="FKK3" s="200"/>
      <c r="FKL3" s="201"/>
      <c r="FKM3" s="201"/>
      <c r="FKN3" s="201"/>
      <c r="FKO3" s="200"/>
      <c r="FKP3" s="201"/>
      <c r="FKQ3" s="201"/>
      <c r="FKR3" s="201"/>
      <c r="FKS3" s="200"/>
      <c r="FKT3" s="201"/>
      <c r="FKU3" s="201"/>
      <c r="FKV3" s="201"/>
      <c r="FKW3" s="200"/>
      <c r="FKX3" s="201"/>
      <c r="FKY3" s="201"/>
      <c r="FKZ3" s="201"/>
      <c r="FLA3" s="200"/>
      <c r="FLB3" s="201"/>
      <c r="FLC3" s="201"/>
      <c r="FLD3" s="201"/>
      <c r="FLE3" s="200"/>
      <c r="FLF3" s="201"/>
      <c r="FLG3" s="201"/>
      <c r="FLH3" s="201"/>
      <c r="FLI3" s="200"/>
      <c r="FLJ3" s="201"/>
      <c r="FLK3" s="201"/>
      <c r="FLL3" s="201"/>
      <c r="FLM3" s="200"/>
      <c r="FLN3" s="201"/>
      <c r="FLO3" s="201"/>
      <c r="FLP3" s="201"/>
      <c r="FLQ3" s="200"/>
      <c r="FLR3" s="201"/>
      <c r="FLS3" s="201"/>
      <c r="FLT3" s="201"/>
      <c r="FLU3" s="200"/>
      <c r="FLV3" s="201"/>
      <c r="FLW3" s="201"/>
      <c r="FLX3" s="201"/>
      <c r="FLY3" s="200"/>
      <c r="FLZ3" s="201"/>
      <c r="FMA3" s="201"/>
      <c r="FMB3" s="201"/>
      <c r="FMC3" s="200"/>
      <c r="FMD3" s="201"/>
      <c r="FME3" s="201"/>
      <c r="FMF3" s="201"/>
      <c r="FMG3" s="200"/>
      <c r="FMH3" s="201"/>
      <c r="FMI3" s="201"/>
      <c r="FMJ3" s="201"/>
      <c r="FMK3" s="200"/>
      <c r="FML3" s="201"/>
      <c r="FMM3" s="201"/>
      <c r="FMN3" s="201"/>
      <c r="FMO3" s="200"/>
      <c r="FMP3" s="201"/>
      <c r="FMQ3" s="201"/>
      <c r="FMR3" s="201"/>
      <c r="FMS3" s="200"/>
      <c r="FMT3" s="201"/>
      <c r="FMU3" s="201"/>
      <c r="FMV3" s="201"/>
      <c r="FMW3" s="200"/>
      <c r="FMX3" s="201"/>
      <c r="FMY3" s="201"/>
      <c r="FMZ3" s="201"/>
      <c r="FNA3" s="200"/>
      <c r="FNB3" s="201"/>
      <c r="FNC3" s="201"/>
      <c r="FND3" s="201"/>
      <c r="FNE3" s="200"/>
      <c r="FNF3" s="201"/>
      <c r="FNG3" s="201"/>
      <c r="FNH3" s="201"/>
      <c r="FNI3" s="200"/>
      <c r="FNJ3" s="201"/>
      <c r="FNK3" s="201"/>
      <c r="FNL3" s="201"/>
      <c r="FNM3" s="200"/>
      <c r="FNN3" s="201"/>
      <c r="FNO3" s="201"/>
      <c r="FNP3" s="201"/>
      <c r="FNQ3" s="200"/>
      <c r="FNR3" s="201"/>
      <c r="FNS3" s="201"/>
      <c r="FNT3" s="201"/>
      <c r="FNU3" s="200"/>
      <c r="FNV3" s="201"/>
      <c r="FNW3" s="201"/>
      <c r="FNX3" s="201"/>
      <c r="FNY3" s="200"/>
      <c r="FNZ3" s="201"/>
      <c r="FOA3" s="201"/>
      <c r="FOB3" s="201"/>
      <c r="FOC3" s="200"/>
      <c r="FOD3" s="201"/>
      <c r="FOE3" s="201"/>
      <c r="FOF3" s="201"/>
      <c r="FOG3" s="200"/>
      <c r="FOH3" s="201"/>
      <c r="FOI3" s="201"/>
      <c r="FOJ3" s="201"/>
      <c r="FOK3" s="200"/>
      <c r="FOL3" s="201"/>
      <c r="FOM3" s="201"/>
      <c r="FON3" s="201"/>
      <c r="FOO3" s="200"/>
      <c r="FOP3" s="201"/>
      <c r="FOQ3" s="201"/>
      <c r="FOR3" s="201"/>
      <c r="FOS3" s="200"/>
      <c r="FOT3" s="201"/>
      <c r="FOU3" s="201"/>
      <c r="FOV3" s="201"/>
      <c r="FOW3" s="200"/>
      <c r="FOX3" s="201"/>
      <c r="FOY3" s="201"/>
      <c r="FOZ3" s="201"/>
      <c r="FPA3" s="200"/>
      <c r="FPB3" s="201"/>
      <c r="FPC3" s="201"/>
      <c r="FPD3" s="201"/>
      <c r="FPE3" s="200"/>
      <c r="FPF3" s="201"/>
      <c r="FPG3" s="201"/>
      <c r="FPH3" s="201"/>
      <c r="FPI3" s="200"/>
      <c r="FPJ3" s="201"/>
      <c r="FPK3" s="201"/>
      <c r="FPL3" s="201"/>
      <c r="FPM3" s="200"/>
      <c r="FPN3" s="201"/>
      <c r="FPO3" s="201"/>
      <c r="FPP3" s="201"/>
      <c r="FPQ3" s="200"/>
      <c r="FPR3" s="201"/>
      <c r="FPS3" s="201"/>
      <c r="FPT3" s="201"/>
      <c r="FPU3" s="200"/>
      <c r="FPV3" s="201"/>
      <c r="FPW3" s="201"/>
      <c r="FPX3" s="201"/>
      <c r="FPY3" s="200"/>
      <c r="FPZ3" s="201"/>
      <c r="FQA3" s="201"/>
      <c r="FQB3" s="201"/>
      <c r="FQC3" s="200"/>
      <c r="FQD3" s="201"/>
      <c r="FQE3" s="201"/>
      <c r="FQF3" s="201"/>
      <c r="FQG3" s="200"/>
      <c r="FQH3" s="201"/>
      <c r="FQI3" s="201"/>
      <c r="FQJ3" s="201"/>
      <c r="FQK3" s="200"/>
      <c r="FQL3" s="201"/>
      <c r="FQM3" s="201"/>
      <c r="FQN3" s="201"/>
      <c r="FQO3" s="200"/>
      <c r="FQP3" s="201"/>
      <c r="FQQ3" s="201"/>
      <c r="FQR3" s="201"/>
      <c r="FQS3" s="200"/>
      <c r="FQT3" s="201"/>
      <c r="FQU3" s="201"/>
      <c r="FQV3" s="201"/>
      <c r="FQW3" s="200"/>
      <c r="FQX3" s="201"/>
      <c r="FQY3" s="201"/>
      <c r="FQZ3" s="201"/>
      <c r="FRA3" s="200"/>
      <c r="FRB3" s="201"/>
      <c r="FRC3" s="201"/>
      <c r="FRD3" s="201"/>
      <c r="FRE3" s="200"/>
      <c r="FRF3" s="201"/>
      <c r="FRG3" s="201"/>
      <c r="FRH3" s="201"/>
      <c r="FRI3" s="200"/>
      <c r="FRJ3" s="201"/>
      <c r="FRK3" s="201"/>
      <c r="FRL3" s="201"/>
      <c r="FRM3" s="200"/>
      <c r="FRN3" s="201"/>
      <c r="FRO3" s="201"/>
      <c r="FRP3" s="201"/>
      <c r="FRQ3" s="200"/>
      <c r="FRR3" s="201"/>
      <c r="FRS3" s="201"/>
      <c r="FRT3" s="201"/>
      <c r="FRU3" s="200"/>
      <c r="FRV3" s="201"/>
      <c r="FRW3" s="201"/>
      <c r="FRX3" s="201"/>
      <c r="FRY3" s="200"/>
      <c r="FRZ3" s="201"/>
      <c r="FSA3" s="201"/>
      <c r="FSB3" s="201"/>
      <c r="FSC3" s="200"/>
      <c r="FSD3" s="201"/>
      <c r="FSE3" s="201"/>
      <c r="FSF3" s="201"/>
      <c r="FSG3" s="200"/>
      <c r="FSH3" s="201"/>
      <c r="FSI3" s="201"/>
      <c r="FSJ3" s="201"/>
      <c r="FSK3" s="200"/>
      <c r="FSL3" s="201"/>
      <c r="FSM3" s="201"/>
      <c r="FSN3" s="201"/>
      <c r="FSO3" s="200"/>
      <c r="FSP3" s="201"/>
      <c r="FSQ3" s="201"/>
      <c r="FSR3" s="201"/>
      <c r="FSS3" s="200"/>
      <c r="FST3" s="201"/>
      <c r="FSU3" s="201"/>
      <c r="FSV3" s="201"/>
      <c r="FSW3" s="200"/>
      <c r="FSX3" s="201"/>
      <c r="FSY3" s="201"/>
      <c r="FSZ3" s="201"/>
      <c r="FTA3" s="200"/>
      <c r="FTB3" s="201"/>
      <c r="FTC3" s="201"/>
      <c r="FTD3" s="201"/>
      <c r="FTE3" s="200"/>
      <c r="FTF3" s="201"/>
      <c r="FTG3" s="201"/>
      <c r="FTH3" s="201"/>
      <c r="FTI3" s="200"/>
      <c r="FTJ3" s="201"/>
      <c r="FTK3" s="201"/>
      <c r="FTL3" s="201"/>
      <c r="FTM3" s="200"/>
      <c r="FTN3" s="201"/>
      <c r="FTO3" s="201"/>
      <c r="FTP3" s="201"/>
      <c r="FTQ3" s="200"/>
      <c r="FTR3" s="201"/>
      <c r="FTS3" s="201"/>
      <c r="FTT3" s="201"/>
      <c r="FTU3" s="200"/>
      <c r="FTV3" s="201"/>
      <c r="FTW3" s="201"/>
      <c r="FTX3" s="201"/>
      <c r="FTY3" s="200"/>
      <c r="FTZ3" s="201"/>
      <c r="FUA3" s="201"/>
      <c r="FUB3" s="201"/>
      <c r="FUC3" s="200"/>
      <c r="FUD3" s="201"/>
      <c r="FUE3" s="201"/>
      <c r="FUF3" s="201"/>
      <c r="FUG3" s="200"/>
      <c r="FUH3" s="201"/>
      <c r="FUI3" s="201"/>
      <c r="FUJ3" s="201"/>
      <c r="FUK3" s="200"/>
      <c r="FUL3" s="201"/>
      <c r="FUM3" s="201"/>
      <c r="FUN3" s="201"/>
      <c r="FUO3" s="200"/>
      <c r="FUP3" s="201"/>
      <c r="FUQ3" s="201"/>
      <c r="FUR3" s="201"/>
      <c r="FUS3" s="200"/>
      <c r="FUT3" s="201"/>
      <c r="FUU3" s="201"/>
      <c r="FUV3" s="201"/>
      <c r="FUW3" s="200"/>
      <c r="FUX3" s="201"/>
      <c r="FUY3" s="201"/>
      <c r="FUZ3" s="201"/>
      <c r="FVA3" s="200"/>
      <c r="FVB3" s="201"/>
      <c r="FVC3" s="201"/>
      <c r="FVD3" s="201"/>
      <c r="FVE3" s="200"/>
      <c r="FVF3" s="201"/>
      <c r="FVG3" s="201"/>
      <c r="FVH3" s="201"/>
      <c r="FVI3" s="200"/>
      <c r="FVJ3" s="201"/>
      <c r="FVK3" s="201"/>
      <c r="FVL3" s="201"/>
      <c r="FVM3" s="200"/>
      <c r="FVN3" s="201"/>
      <c r="FVO3" s="201"/>
      <c r="FVP3" s="201"/>
      <c r="FVQ3" s="200"/>
      <c r="FVR3" s="201"/>
      <c r="FVS3" s="201"/>
      <c r="FVT3" s="201"/>
      <c r="FVU3" s="200"/>
      <c r="FVV3" s="201"/>
      <c r="FVW3" s="201"/>
      <c r="FVX3" s="201"/>
      <c r="FVY3" s="200"/>
      <c r="FVZ3" s="201"/>
      <c r="FWA3" s="201"/>
      <c r="FWB3" s="201"/>
      <c r="FWC3" s="200"/>
      <c r="FWD3" s="201"/>
      <c r="FWE3" s="201"/>
      <c r="FWF3" s="201"/>
      <c r="FWG3" s="200"/>
      <c r="FWH3" s="201"/>
      <c r="FWI3" s="201"/>
      <c r="FWJ3" s="201"/>
      <c r="FWK3" s="200"/>
      <c r="FWL3" s="201"/>
      <c r="FWM3" s="201"/>
      <c r="FWN3" s="201"/>
      <c r="FWO3" s="200"/>
      <c r="FWP3" s="201"/>
      <c r="FWQ3" s="201"/>
      <c r="FWR3" s="201"/>
      <c r="FWS3" s="200"/>
      <c r="FWT3" s="201"/>
      <c r="FWU3" s="201"/>
      <c r="FWV3" s="201"/>
      <c r="FWW3" s="200"/>
      <c r="FWX3" s="201"/>
      <c r="FWY3" s="201"/>
      <c r="FWZ3" s="201"/>
      <c r="FXA3" s="200"/>
      <c r="FXB3" s="201"/>
      <c r="FXC3" s="201"/>
      <c r="FXD3" s="201"/>
      <c r="FXE3" s="200"/>
      <c r="FXF3" s="201"/>
      <c r="FXG3" s="201"/>
      <c r="FXH3" s="201"/>
      <c r="FXI3" s="200"/>
      <c r="FXJ3" s="201"/>
      <c r="FXK3" s="201"/>
      <c r="FXL3" s="201"/>
      <c r="FXM3" s="200"/>
      <c r="FXN3" s="201"/>
      <c r="FXO3" s="201"/>
      <c r="FXP3" s="201"/>
      <c r="FXQ3" s="200"/>
      <c r="FXR3" s="201"/>
      <c r="FXS3" s="201"/>
      <c r="FXT3" s="201"/>
      <c r="FXU3" s="200"/>
      <c r="FXV3" s="201"/>
      <c r="FXW3" s="201"/>
      <c r="FXX3" s="201"/>
      <c r="FXY3" s="200"/>
      <c r="FXZ3" s="201"/>
      <c r="FYA3" s="201"/>
      <c r="FYB3" s="201"/>
      <c r="FYC3" s="200"/>
      <c r="FYD3" s="201"/>
      <c r="FYE3" s="201"/>
      <c r="FYF3" s="201"/>
      <c r="FYG3" s="200"/>
      <c r="FYH3" s="201"/>
      <c r="FYI3" s="201"/>
      <c r="FYJ3" s="201"/>
      <c r="FYK3" s="200"/>
      <c r="FYL3" s="201"/>
      <c r="FYM3" s="201"/>
      <c r="FYN3" s="201"/>
      <c r="FYO3" s="200"/>
      <c r="FYP3" s="201"/>
      <c r="FYQ3" s="201"/>
      <c r="FYR3" s="201"/>
      <c r="FYS3" s="200"/>
      <c r="FYT3" s="201"/>
      <c r="FYU3" s="201"/>
      <c r="FYV3" s="201"/>
      <c r="FYW3" s="200"/>
      <c r="FYX3" s="201"/>
      <c r="FYY3" s="201"/>
      <c r="FYZ3" s="201"/>
      <c r="FZA3" s="200"/>
      <c r="FZB3" s="201"/>
      <c r="FZC3" s="201"/>
      <c r="FZD3" s="201"/>
      <c r="FZE3" s="200"/>
      <c r="FZF3" s="201"/>
      <c r="FZG3" s="201"/>
      <c r="FZH3" s="201"/>
      <c r="FZI3" s="200"/>
      <c r="FZJ3" s="201"/>
      <c r="FZK3" s="201"/>
      <c r="FZL3" s="201"/>
      <c r="FZM3" s="200"/>
      <c r="FZN3" s="201"/>
      <c r="FZO3" s="201"/>
      <c r="FZP3" s="201"/>
      <c r="FZQ3" s="200"/>
      <c r="FZR3" s="201"/>
      <c r="FZS3" s="201"/>
      <c r="FZT3" s="201"/>
      <c r="FZU3" s="200"/>
      <c r="FZV3" s="201"/>
      <c r="FZW3" s="201"/>
      <c r="FZX3" s="201"/>
      <c r="FZY3" s="200"/>
      <c r="FZZ3" s="201"/>
      <c r="GAA3" s="201"/>
      <c r="GAB3" s="201"/>
      <c r="GAC3" s="200"/>
      <c r="GAD3" s="201"/>
      <c r="GAE3" s="201"/>
      <c r="GAF3" s="201"/>
      <c r="GAG3" s="200"/>
      <c r="GAH3" s="201"/>
      <c r="GAI3" s="201"/>
      <c r="GAJ3" s="201"/>
      <c r="GAK3" s="200"/>
      <c r="GAL3" s="201"/>
      <c r="GAM3" s="201"/>
      <c r="GAN3" s="201"/>
      <c r="GAO3" s="200"/>
      <c r="GAP3" s="201"/>
      <c r="GAQ3" s="201"/>
      <c r="GAR3" s="201"/>
      <c r="GAS3" s="200"/>
      <c r="GAT3" s="201"/>
      <c r="GAU3" s="201"/>
      <c r="GAV3" s="201"/>
      <c r="GAW3" s="200"/>
      <c r="GAX3" s="201"/>
      <c r="GAY3" s="201"/>
      <c r="GAZ3" s="201"/>
      <c r="GBA3" s="200"/>
      <c r="GBB3" s="201"/>
      <c r="GBC3" s="201"/>
      <c r="GBD3" s="201"/>
      <c r="GBE3" s="200"/>
      <c r="GBF3" s="201"/>
      <c r="GBG3" s="201"/>
      <c r="GBH3" s="201"/>
      <c r="GBI3" s="200"/>
      <c r="GBJ3" s="201"/>
      <c r="GBK3" s="201"/>
      <c r="GBL3" s="201"/>
      <c r="GBM3" s="200"/>
      <c r="GBN3" s="201"/>
      <c r="GBO3" s="201"/>
      <c r="GBP3" s="201"/>
      <c r="GBQ3" s="200"/>
      <c r="GBR3" s="201"/>
      <c r="GBS3" s="201"/>
      <c r="GBT3" s="201"/>
      <c r="GBU3" s="200"/>
      <c r="GBV3" s="201"/>
      <c r="GBW3" s="201"/>
      <c r="GBX3" s="201"/>
      <c r="GBY3" s="200"/>
      <c r="GBZ3" s="201"/>
      <c r="GCA3" s="201"/>
      <c r="GCB3" s="201"/>
      <c r="GCC3" s="200"/>
      <c r="GCD3" s="201"/>
      <c r="GCE3" s="201"/>
      <c r="GCF3" s="201"/>
      <c r="GCG3" s="200"/>
      <c r="GCH3" s="201"/>
      <c r="GCI3" s="201"/>
      <c r="GCJ3" s="201"/>
      <c r="GCK3" s="200"/>
      <c r="GCL3" s="201"/>
      <c r="GCM3" s="201"/>
      <c r="GCN3" s="201"/>
      <c r="GCO3" s="200"/>
      <c r="GCP3" s="201"/>
      <c r="GCQ3" s="201"/>
      <c r="GCR3" s="201"/>
      <c r="GCS3" s="200"/>
      <c r="GCT3" s="201"/>
      <c r="GCU3" s="201"/>
      <c r="GCV3" s="201"/>
      <c r="GCW3" s="200"/>
      <c r="GCX3" s="201"/>
      <c r="GCY3" s="201"/>
      <c r="GCZ3" s="201"/>
      <c r="GDA3" s="200"/>
      <c r="GDB3" s="201"/>
      <c r="GDC3" s="201"/>
      <c r="GDD3" s="201"/>
      <c r="GDE3" s="200"/>
      <c r="GDF3" s="201"/>
      <c r="GDG3" s="201"/>
      <c r="GDH3" s="201"/>
      <c r="GDI3" s="200"/>
      <c r="GDJ3" s="201"/>
      <c r="GDK3" s="201"/>
      <c r="GDL3" s="201"/>
      <c r="GDM3" s="200"/>
      <c r="GDN3" s="201"/>
      <c r="GDO3" s="201"/>
      <c r="GDP3" s="201"/>
      <c r="GDQ3" s="200"/>
      <c r="GDR3" s="201"/>
      <c r="GDS3" s="201"/>
      <c r="GDT3" s="201"/>
      <c r="GDU3" s="200"/>
      <c r="GDV3" s="201"/>
      <c r="GDW3" s="201"/>
      <c r="GDX3" s="201"/>
      <c r="GDY3" s="200"/>
      <c r="GDZ3" s="201"/>
      <c r="GEA3" s="201"/>
      <c r="GEB3" s="201"/>
      <c r="GEC3" s="200"/>
      <c r="GED3" s="201"/>
      <c r="GEE3" s="201"/>
      <c r="GEF3" s="201"/>
      <c r="GEG3" s="200"/>
      <c r="GEH3" s="201"/>
      <c r="GEI3" s="201"/>
      <c r="GEJ3" s="201"/>
      <c r="GEK3" s="200"/>
      <c r="GEL3" s="201"/>
      <c r="GEM3" s="201"/>
      <c r="GEN3" s="201"/>
      <c r="GEO3" s="200"/>
      <c r="GEP3" s="201"/>
      <c r="GEQ3" s="201"/>
      <c r="GER3" s="201"/>
      <c r="GES3" s="200"/>
      <c r="GET3" s="201"/>
      <c r="GEU3" s="201"/>
      <c r="GEV3" s="201"/>
      <c r="GEW3" s="200"/>
      <c r="GEX3" s="201"/>
      <c r="GEY3" s="201"/>
      <c r="GEZ3" s="201"/>
      <c r="GFA3" s="200"/>
      <c r="GFB3" s="201"/>
      <c r="GFC3" s="201"/>
      <c r="GFD3" s="201"/>
      <c r="GFE3" s="200"/>
      <c r="GFF3" s="201"/>
      <c r="GFG3" s="201"/>
      <c r="GFH3" s="201"/>
      <c r="GFI3" s="200"/>
      <c r="GFJ3" s="201"/>
      <c r="GFK3" s="201"/>
      <c r="GFL3" s="201"/>
      <c r="GFM3" s="200"/>
      <c r="GFN3" s="201"/>
      <c r="GFO3" s="201"/>
      <c r="GFP3" s="201"/>
      <c r="GFQ3" s="200"/>
      <c r="GFR3" s="201"/>
      <c r="GFS3" s="201"/>
      <c r="GFT3" s="201"/>
      <c r="GFU3" s="200"/>
      <c r="GFV3" s="201"/>
      <c r="GFW3" s="201"/>
      <c r="GFX3" s="201"/>
      <c r="GFY3" s="200"/>
      <c r="GFZ3" s="201"/>
      <c r="GGA3" s="201"/>
      <c r="GGB3" s="201"/>
      <c r="GGC3" s="200"/>
      <c r="GGD3" s="201"/>
      <c r="GGE3" s="201"/>
      <c r="GGF3" s="201"/>
      <c r="GGG3" s="200"/>
      <c r="GGH3" s="201"/>
      <c r="GGI3" s="201"/>
      <c r="GGJ3" s="201"/>
      <c r="GGK3" s="200"/>
      <c r="GGL3" s="201"/>
      <c r="GGM3" s="201"/>
      <c r="GGN3" s="201"/>
      <c r="GGO3" s="200"/>
      <c r="GGP3" s="201"/>
      <c r="GGQ3" s="201"/>
      <c r="GGR3" s="201"/>
      <c r="GGS3" s="200"/>
      <c r="GGT3" s="201"/>
      <c r="GGU3" s="201"/>
      <c r="GGV3" s="201"/>
      <c r="GGW3" s="200"/>
      <c r="GGX3" s="201"/>
      <c r="GGY3" s="201"/>
      <c r="GGZ3" s="201"/>
      <c r="GHA3" s="200"/>
      <c r="GHB3" s="201"/>
      <c r="GHC3" s="201"/>
      <c r="GHD3" s="201"/>
      <c r="GHE3" s="200"/>
      <c r="GHF3" s="201"/>
      <c r="GHG3" s="201"/>
      <c r="GHH3" s="201"/>
      <c r="GHI3" s="200"/>
      <c r="GHJ3" s="201"/>
      <c r="GHK3" s="201"/>
      <c r="GHL3" s="201"/>
      <c r="GHM3" s="200"/>
      <c r="GHN3" s="201"/>
      <c r="GHO3" s="201"/>
      <c r="GHP3" s="201"/>
      <c r="GHQ3" s="200"/>
      <c r="GHR3" s="201"/>
      <c r="GHS3" s="201"/>
      <c r="GHT3" s="201"/>
      <c r="GHU3" s="200"/>
      <c r="GHV3" s="201"/>
      <c r="GHW3" s="201"/>
      <c r="GHX3" s="201"/>
      <c r="GHY3" s="200"/>
      <c r="GHZ3" s="201"/>
      <c r="GIA3" s="201"/>
      <c r="GIB3" s="201"/>
      <c r="GIC3" s="200"/>
      <c r="GID3" s="201"/>
      <c r="GIE3" s="201"/>
      <c r="GIF3" s="201"/>
      <c r="GIG3" s="200"/>
      <c r="GIH3" s="201"/>
      <c r="GII3" s="201"/>
      <c r="GIJ3" s="201"/>
      <c r="GIK3" s="200"/>
      <c r="GIL3" s="201"/>
      <c r="GIM3" s="201"/>
      <c r="GIN3" s="201"/>
      <c r="GIO3" s="200"/>
      <c r="GIP3" s="201"/>
      <c r="GIQ3" s="201"/>
      <c r="GIR3" s="201"/>
      <c r="GIS3" s="200"/>
      <c r="GIT3" s="201"/>
      <c r="GIU3" s="201"/>
      <c r="GIV3" s="201"/>
      <c r="GIW3" s="200"/>
      <c r="GIX3" s="201"/>
      <c r="GIY3" s="201"/>
      <c r="GIZ3" s="201"/>
      <c r="GJA3" s="200"/>
      <c r="GJB3" s="201"/>
      <c r="GJC3" s="201"/>
      <c r="GJD3" s="201"/>
      <c r="GJE3" s="200"/>
      <c r="GJF3" s="201"/>
      <c r="GJG3" s="201"/>
      <c r="GJH3" s="201"/>
      <c r="GJI3" s="200"/>
      <c r="GJJ3" s="201"/>
      <c r="GJK3" s="201"/>
      <c r="GJL3" s="201"/>
      <c r="GJM3" s="200"/>
      <c r="GJN3" s="201"/>
      <c r="GJO3" s="201"/>
      <c r="GJP3" s="201"/>
      <c r="GJQ3" s="200"/>
      <c r="GJR3" s="201"/>
      <c r="GJS3" s="201"/>
      <c r="GJT3" s="201"/>
      <c r="GJU3" s="200"/>
      <c r="GJV3" s="201"/>
      <c r="GJW3" s="201"/>
      <c r="GJX3" s="201"/>
      <c r="GJY3" s="200"/>
      <c r="GJZ3" s="201"/>
      <c r="GKA3" s="201"/>
      <c r="GKB3" s="201"/>
      <c r="GKC3" s="200"/>
      <c r="GKD3" s="201"/>
      <c r="GKE3" s="201"/>
      <c r="GKF3" s="201"/>
      <c r="GKG3" s="200"/>
      <c r="GKH3" s="201"/>
      <c r="GKI3" s="201"/>
      <c r="GKJ3" s="201"/>
      <c r="GKK3" s="200"/>
      <c r="GKL3" s="201"/>
      <c r="GKM3" s="201"/>
      <c r="GKN3" s="201"/>
      <c r="GKO3" s="200"/>
      <c r="GKP3" s="201"/>
      <c r="GKQ3" s="201"/>
      <c r="GKR3" s="201"/>
      <c r="GKS3" s="200"/>
      <c r="GKT3" s="201"/>
      <c r="GKU3" s="201"/>
      <c r="GKV3" s="201"/>
      <c r="GKW3" s="200"/>
      <c r="GKX3" s="201"/>
      <c r="GKY3" s="201"/>
      <c r="GKZ3" s="201"/>
      <c r="GLA3" s="200"/>
      <c r="GLB3" s="201"/>
      <c r="GLC3" s="201"/>
      <c r="GLD3" s="201"/>
      <c r="GLE3" s="200"/>
      <c r="GLF3" s="201"/>
      <c r="GLG3" s="201"/>
      <c r="GLH3" s="201"/>
      <c r="GLI3" s="200"/>
      <c r="GLJ3" s="201"/>
      <c r="GLK3" s="201"/>
      <c r="GLL3" s="201"/>
      <c r="GLM3" s="200"/>
      <c r="GLN3" s="201"/>
      <c r="GLO3" s="201"/>
      <c r="GLP3" s="201"/>
      <c r="GLQ3" s="200"/>
      <c r="GLR3" s="201"/>
      <c r="GLS3" s="201"/>
      <c r="GLT3" s="201"/>
      <c r="GLU3" s="200"/>
      <c r="GLV3" s="201"/>
      <c r="GLW3" s="201"/>
      <c r="GLX3" s="201"/>
      <c r="GLY3" s="200"/>
      <c r="GLZ3" s="201"/>
      <c r="GMA3" s="201"/>
      <c r="GMB3" s="201"/>
      <c r="GMC3" s="200"/>
      <c r="GMD3" s="201"/>
      <c r="GME3" s="201"/>
      <c r="GMF3" s="201"/>
      <c r="GMG3" s="200"/>
      <c r="GMH3" s="201"/>
      <c r="GMI3" s="201"/>
      <c r="GMJ3" s="201"/>
      <c r="GMK3" s="200"/>
      <c r="GML3" s="201"/>
      <c r="GMM3" s="201"/>
      <c r="GMN3" s="201"/>
      <c r="GMO3" s="200"/>
      <c r="GMP3" s="201"/>
      <c r="GMQ3" s="201"/>
      <c r="GMR3" s="201"/>
      <c r="GMS3" s="200"/>
      <c r="GMT3" s="201"/>
      <c r="GMU3" s="201"/>
      <c r="GMV3" s="201"/>
      <c r="GMW3" s="200"/>
      <c r="GMX3" s="201"/>
      <c r="GMY3" s="201"/>
      <c r="GMZ3" s="201"/>
      <c r="GNA3" s="200"/>
      <c r="GNB3" s="201"/>
      <c r="GNC3" s="201"/>
      <c r="GND3" s="201"/>
      <c r="GNE3" s="200"/>
      <c r="GNF3" s="201"/>
      <c r="GNG3" s="201"/>
      <c r="GNH3" s="201"/>
      <c r="GNI3" s="200"/>
      <c r="GNJ3" s="201"/>
      <c r="GNK3" s="201"/>
      <c r="GNL3" s="201"/>
      <c r="GNM3" s="200"/>
      <c r="GNN3" s="201"/>
      <c r="GNO3" s="201"/>
      <c r="GNP3" s="201"/>
      <c r="GNQ3" s="200"/>
      <c r="GNR3" s="201"/>
      <c r="GNS3" s="201"/>
      <c r="GNT3" s="201"/>
      <c r="GNU3" s="200"/>
      <c r="GNV3" s="201"/>
      <c r="GNW3" s="201"/>
      <c r="GNX3" s="201"/>
      <c r="GNY3" s="200"/>
      <c r="GNZ3" s="201"/>
      <c r="GOA3" s="201"/>
      <c r="GOB3" s="201"/>
      <c r="GOC3" s="200"/>
      <c r="GOD3" s="201"/>
      <c r="GOE3" s="201"/>
      <c r="GOF3" s="201"/>
      <c r="GOG3" s="200"/>
      <c r="GOH3" s="201"/>
      <c r="GOI3" s="201"/>
      <c r="GOJ3" s="201"/>
      <c r="GOK3" s="200"/>
      <c r="GOL3" s="201"/>
      <c r="GOM3" s="201"/>
      <c r="GON3" s="201"/>
      <c r="GOO3" s="200"/>
      <c r="GOP3" s="201"/>
      <c r="GOQ3" s="201"/>
      <c r="GOR3" s="201"/>
      <c r="GOS3" s="200"/>
      <c r="GOT3" s="201"/>
      <c r="GOU3" s="201"/>
      <c r="GOV3" s="201"/>
      <c r="GOW3" s="200"/>
      <c r="GOX3" s="201"/>
      <c r="GOY3" s="201"/>
      <c r="GOZ3" s="201"/>
      <c r="GPA3" s="200"/>
      <c r="GPB3" s="201"/>
      <c r="GPC3" s="201"/>
      <c r="GPD3" s="201"/>
      <c r="GPE3" s="200"/>
      <c r="GPF3" s="201"/>
      <c r="GPG3" s="201"/>
      <c r="GPH3" s="201"/>
      <c r="GPI3" s="200"/>
      <c r="GPJ3" s="201"/>
      <c r="GPK3" s="201"/>
      <c r="GPL3" s="201"/>
      <c r="GPM3" s="200"/>
      <c r="GPN3" s="201"/>
      <c r="GPO3" s="201"/>
      <c r="GPP3" s="201"/>
      <c r="GPQ3" s="200"/>
      <c r="GPR3" s="201"/>
      <c r="GPS3" s="201"/>
      <c r="GPT3" s="201"/>
      <c r="GPU3" s="200"/>
      <c r="GPV3" s="201"/>
      <c r="GPW3" s="201"/>
      <c r="GPX3" s="201"/>
      <c r="GPY3" s="200"/>
      <c r="GPZ3" s="201"/>
      <c r="GQA3" s="201"/>
      <c r="GQB3" s="201"/>
      <c r="GQC3" s="200"/>
      <c r="GQD3" s="201"/>
      <c r="GQE3" s="201"/>
      <c r="GQF3" s="201"/>
      <c r="GQG3" s="200"/>
      <c r="GQH3" s="201"/>
      <c r="GQI3" s="201"/>
      <c r="GQJ3" s="201"/>
      <c r="GQK3" s="200"/>
      <c r="GQL3" s="201"/>
      <c r="GQM3" s="201"/>
      <c r="GQN3" s="201"/>
      <c r="GQO3" s="200"/>
      <c r="GQP3" s="201"/>
      <c r="GQQ3" s="201"/>
      <c r="GQR3" s="201"/>
      <c r="GQS3" s="200"/>
      <c r="GQT3" s="201"/>
      <c r="GQU3" s="201"/>
      <c r="GQV3" s="201"/>
      <c r="GQW3" s="200"/>
      <c r="GQX3" s="201"/>
      <c r="GQY3" s="201"/>
      <c r="GQZ3" s="201"/>
      <c r="GRA3" s="200"/>
      <c r="GRB3" s="201"/>
      <c r="GRC3" s="201"/>
      <c r="GRD3" s="201"/>
      <c r="GRE3" s="200"/>
      <c r="GRF3" s="201"/>
      <c r="GRG3" s="201"/>
      <c r="GRH3" s="201"/>
      <c r="GRI3" s="200"/>
      <c r="GRJ3" s="201"/>
      <c r="GRK3" s="201"/>
      <c r="GRL3" s="201"/>
      <c r="GRM3" s="200"/>
      <c r="GRN3" s="201"/>
      <c r="GRO3" s="201"/>
      <c r="GRP3" s="201"/>
      <c r="GRQ3" s="200"/>
      <c r="GRR3" s="201"/>
      <c r="GRS3" s="201"/>
      <c r="GRT3" s="201"/>
      <c r="GRU3" s="200"/>
      <c r="GRV3" s="201"/>
      <c r="GRW3" s="201"/>
      <c r="GRX3" s="201"/>
      <c r="GRY3" s="200"/>
      <c r="GRZ3" s="201"/>
      <c r="GSA3" s="201"/>
      <c r="GSB3" s="201"/>
      <c r="GSC3" s="200"/>
      <c r="GSD3" s="201"/>
      <c r="GSE3" s="201"/>
      <c r="GSF3" s="201"/>
      <c r="GSG3" s="200"/>
      <c r="GSH3" s="201"/>
      <c r="GSI3" s="201"/>
      <c r="GSJ3" s="201"/>
      <c r="GSK3" s="200"/>
      <c r="GSL3" s="201"/>
      <c r="GSM3" s="201"/>
      <c r="GSN3" s="201"/>
      <c r="GSO3" s="200"/>
      <c r="GSP3" s="201"/>
      <c r="GSQ3" s="201"/>
      <c r="GSR3" s="201"/>
      <c r="GSS3" s="200"/>
      <c r="GST3" s="201"/>
      <c r="GSU3" s="201"/>
      <c r="GSV3" s="201"/>
      <c r="GSW3" s="200"/>
      <c r="GSX3" s="201"/>
      <c r="GSY3" s="201"/>
      <c r="GSZ3" s="201"/>
      <c r="GTA3" s="200"/>
      <c r="GTB3" s="201"/>
      <c r="GTC3" s="201"/>
      <c r="GTD3" s="201"/>
      <c r="GTE3" s="200"/>
      <c r="GTF3" s="201"/>
      <c r="GTG3" s="201"/>
      <c r="GTH3" s="201"/>
      <c r="GTI3" s="200"/>
      <c r="GTJ3" s="201"/>
      <c r="GTK3" s="201"/>
      <c r="GTL3" s="201"/>
      <c r="GTM3" s="200"/>
      <c r="GTN3" s="201"/>
      <c r="GTO3" s="201"/>
      <c r="GTP3" s="201"/>
      <c r="GTQ3" s="200"/>
      <c r="GTR3" s="201"/>
      <c r="GTS3" s="201"/>
      <c r="GTT3" s="201"/>
      <c r="GTU3" s="200"/>
      <c r="GTV3" s="201"/>
      <c r="GTW3" s="201"/>
      <c r="GTX3" s="201"/>
      <c r="GTY3" s="200"/>
      <c r="GTZ3" s="201"/>
      <c r="GUA3" s="201"/>
      <c r="GUB3" s="201"/>
      <c r="GUC3" s="200"/>
      <c r="GUD3" s="201"/>
      <c r="GUE3" s="201"/>
      <c r="GUF3" s="201"/>
      <c r="GUG3" s="200"/>
      <c r="GUH3" s="201"/>
      <c r="GUI3" s="201"/>
      <c r="GUJ3" s="201"/>
      <c r="GUK3" s="200"/>
      <c r="GUL3" s="201"/>
      <c r="GUM3" s="201"/>
      <c r="GUN3" s="201"/>
      <c r="GUO3" s="200"/>
      <c r="GUP3" s="201"/>
      <c r="GUQ3" s="201"/>
      <c r="GUR3" s="201"/>
      <c r="GUS3" s="200"/>
      <c r="GUT3" s="201"/>
      <c r="GUU3" s="201"/>
      <c r="GUV3" s="201"/>
      <c r="GUW3" s="200"/>
      <c r="GUX3" s="201"/>
      <c r="GUY3" s="201"/>
      <c r="GUZ3" s="201"/>
      <c r="GVA3" s="200"/>
      <c r="GVB3" s="201"/>
      <c r="GVC3" s="201"/>
      <c r="GVD3" s="201"/>
      <c r="GVE3" s="200"/>
      <c r="GVF3" s="201"/>
      <c r="GVG3" s="201"/>
      <c r="GVH3" s="201"/>
      <c r="GVI3" s="200"/>
      <c r="GVJ3" s="201"/>
      <c r="GVK3" s="201"/>
      <c r="GVL3" s="201"/>
      <c r="GVM3" s="200"/>
      <c r="GVN3" s="201"/>
      <c r="GVO3" s="201"/>
      <c r="GVP3" s="201"/>
      <c r="GVQ3" s="200"/>
      <c r="GVR3" s="201"/>
      <c r="GVS3" s="201"/>
      <c r="GVT3" s="201"/>
      <c r="GVU3" s="200"/>
      <c r="GVV3" s="201"/>
      <c r="GVW3" s="201"/>
      <c r="GVX3" s="201"/>
      <c r="GVY3" s="200"/>
      <c r="GVZ3" s="201"/>
      <c r="GWA3" s="201"/>
      <c r="GWB3" s="201"/>
      <c r="GWC3" s="200"/>
      <c r="GWD3" s="201"/>
      <c r="GWE3" s="201"/>
      <c r="GWF3" s="201"/>
      <c r="GWG3" s="200"/>
      <c r="GWH3" s="201"/>
      <c r="GWI3" s="201"/>
      <c r="GWJ3" s="201"/>
      <c r="GWK3" s="200"/>
      <c r="GWL3" s="201"/>
      <c r="GWM3" s="201"/>
      <c r="GWN3" s="201"/>
      <c r="GWO3" s="200"/>
      <c r="GWP3" s="201"/>
      <c r="GWQ3" s="201"/>
      <c r="GWR3" s="201"/>
      <c r="GWS3" s="200"/>
      <c r="GWT3" s="201"/>
      <c r="GWU3" s="201"/>
      <c r="GWV3" s="201"/>
      <c r="GWW3" s="200"/>
      <c r="GWX3" s="201"/>
      <c r="GWY3" s="201"/>
      <c r="GWZ3" s="201"/>
      <c r="GXA3" s="200"/>
      <c r="GXB3" s="201"/>
      <c r="GXC3" s="201"/>
      <c r="GXD3" s="201"/>
      <c r="GXE3" s="200"/>
      <c r="GXF3" s="201"/>
      <c r="GXG3" s="201"/>
      <c r="GXH3" s="201"/>
      <c r="GXI3" s="200"/>
      <c r="GXJ3" s="201"/>
      <c r="GXK3" s="201"/>
      <c r="GXL3" s="201"/>
      <c r="GXM3" s="200"/>
      <c r="GXN3" s="201"/>
      <c r="GXO3" s="201"/>
      <c r="GXP3" s="201"/>
      <c r="GXQ3" s="200"/>
      <c r="GXR3" s="201"/>
      <c r="GXS3" s="201"/>
      <c r="GXT3" s="201"/>
      <c r="GXU3" s="200"/>
      <c r="GXV3" s="201"/>
      <c r="GXW3" s="201"/>
      <c r="GXX3" s="201"/>
      <c r="GXY3" s="200"/>
      <c r="GXZ3" s="201"/>
      <c r="GYA3" s="201"/>
      <c r="GYB3" s="201"/>
      <c r="GYC3" s="200"/>
      <c r="GYD3" s="201"/>
      <c r="GYE3" s="201"/>
      <c r="GYF3" s="201"/>
      <c r="GYG3" s="200"/>
      <c r="GYH3" s="201"/>
      <c r="GYI3" s="201"/>
      <c r="GYJ3" s="201"/>
      <c r="GYK3" s="200"/>
      <c r="GYL3" s="201"/>
      <c r="GYM3" s="201"/>
      <c r="GYN3" s="201"/>
      <c r="GYO3" s="200"/>
      <c r="GYP3" s="201"/>
      <c r="GYQ3" s="201"/>
      <c r="GYR3" s="201"/>
      <c r="GYS3" s="200"/>
      <c r="GYT3" s="201"/>
      <c r="GYU3" s="201"/>
      <c r="GYV3" s="201"/>
      <c r="GYW3" s="200"/>
      <c r="GYX3" s="201"/>
      <c r="GYY3" s="201"/>
      <c r="GYZ3" s="201"/>
      <c r="GZA3" s="200"/>
      <c r="GZB3" s="201"/>
      <c r="GZC3" s="201"/>
      <c r="GZD3" s="201"/>
      <c r="GZE3" s="200"/>
      <c r="GZF3" s="201"/>
      <c r="GZG3" s="201"/>
      <c r="GZH3" s="201"/>
      <c r="GZI3" s="200"/>
      <c r="GZJ3" s="201"/>
      <c r="GZK3" s="201"/>
      <c r="GZL3" s="201"/>
      <c r="GZM3" s="200"/>
      <c r="GZN3" s="201"/>
      <c r="GZO3" s="201"/>
      <c r="GZP3" s="201"/>
      <c r="GZQ3" s="200"/>
      <c r="GZR3" s="201"/>
      <c r="GZS3" s="201"/>
      <c r="GZT3" s="201"/>
      <c r="GZU3" s="200"/>
      <c r="GZV3" s="201"/>
      <c r="GZW3" s="201"/>
      <c r="GZX3" s="201"/>
      <c r="GZY3" s="200"/>
      <c r="GZZ3" s="201"/>
      <c r="HAA3" s="201"/>
      <c r="HAB3" s="201"/>
      <c r="HAC3" s="200"/>
      <c r="HAD3" s="201"/>
      <c r="HAE3" s="201"/>
      <c r="HAF3" s="201"/>
      <c r="HAG3" s="200"/>
      <c r="HAH3" s="201"/>
      <c r="HAI3" s="201"/>
      <c r="HAJ3" s="201"/>
      <c r="HAK3" s="200"/>
      <c r="HAL3" s="201"/>
      <c r="HAM3" s="201"/>
      <c r="HAN3" s="201"/>
      <c r="HAO3" s="200"/>
      <c r="HAP3" s="201"/>
      <c r="HAQ3" s="201"/>
      <c r="HAR3" s="201"/>
      <c r="HAS3" s="200"/>
      <c r="HAT3" s="201"/>
      <c r="HAU3" s="201"/>
      <c r="HAV3" s="201"/>
      <c r="HAW3" s="200"/>
      <c r="HAX3" s="201"/>
      <c r="HAY3" s="201"/>
      <c r="HAZ3" s="201"/>
      <c r="HBA3" s="200"/>
      <c r="HBB3" s="201"/>
      <c r="HBC3" s="201"/>
      <c r="HBD3" s="201"/>
      <c r="HBE3" s="200"/>
      <c r="HBF3" s="201"/>
      <c r="HBG3" s="201"/>
      <c r="HBH3" s="201"/>
      <c r="HBI3" s="200"/>
      <c r="HBJ3" s="201"/>
      <c r="HBK3" s="201"/>
      <c r="HBL3" s="201"/>
      <c r="HBM3" s="200"/>
      <c r="HBN3" s="201"/>
      <c r="HBO3" s="201"/>
      <c r="HBP3" s="201"/>
      <c r="HBQ3" s="200"/>
      <c r="HBR3" s="201"/>
      <c r="HBS3" s="201"/>
      <c r="HBT3" s="201"/>
      <c r="HBU3" s="200"/>
      <c r="HBV3" s="201"/>
      <c r="HBW3" s="201"/>
      <c r="HBX3" s="201"/>
      <c r="HBY3" s="200"/>
      <c r="HBZ3" s="201"/>
      <c r="HCA3" s="201"/>
      <c r="HCB3" s="201"/>
      <c r="HCC3" s="200"/>
      <c r="HCD3" s="201"/>
      <c r="HCE3" s="201"/>
      <c r="HCF3" s="201"/>
      <c r="HCG3" s="200"/>
      <c r="HCH3" s="201"/>
      <c r="HCI3" s="201"/>
      <c r="HCJ3" s="201"/>
      <c r="HCK3" s="200"/>
      <c r="HCL3" s="201"/>
      <c r="HCM3" s="201"/>
      <c r="HCN3" s="201"/>
      <c r="HCO3" s="200"/>
      <c r="HCP3" s="201"/>
      <c r="HCQ3" s="201"/>
      <c r="HCR3" s="201"/>
      <c r="HCS3" s="200"/>
      <c r="HCT3" s="201"/>
      <c r="HCU3" s="201"/>
      <c r="HCV3" s="201"/>
      <c r="HCW3" s="200"/>
      <c r="HCX3" s="201"/>
      <c r="HCY3" s="201"/>
      <c r="HCZ3" s="201"/>
      <c r="HDA3" s="200"/>
      <c r="HDB3" s="201"/>
      <c r="HDC3" s="201"/>
      <c r="HDD3" s="201"/>
      <c r="HDE3" s="200"/>
      <c r="HDF3" s="201"/>
      <c r="HDG3" s="201"/>
      <c r="HDH3" s="201"/>
      <c r="HDI3" s="200"/>
      <c r="HDJ3" s="201"/>
      <c r="HDK3" s="201"/>
      <c r="HDL3" s="201"/>
      <c r="HDM3" s="200"/>
      <c r="HDN3" s="201"/>
      <c r="HDO3" s="201"/>
      <c r="HDP3" s="201"/>
      <c r="HDQ3" s="200"/>
      <c r="HDR3" s="201"/>
      <c r="HDS3" s="201"/>
      <c r="HDT3" s="201"/>
      <c r="HDU3" s="200"/>
      <c r="HDV3" s="201"/>
      <c r="HDW3" s="201"/>
      <c r="HDX3" s="201"/>
      <c r="HDY3" s="200"/>
      <c r="HDZ3" s="201"/>
      <c r="HEA3" s="201"/>
      <c r="HEB3" s="201"/>
      <c r="HEC3" s="200"/>
      <c r="HED3" s="201"/>
      <c r="HEE3" s="201"/>
      <c r="HEF3" s="201"/>
      <c r="HEG3" s="200"/>
      <c r="HEH3" s="201"/>
      <c r="HEI3" s="201"/>
      <c r="HEJ3" s="201"/>
      <c r="HEK3" s="200"/>
      <c r="HEL3" s="201"/>
      <c r="HEM3" s="201"/>
      <c r="HEN3" s="201"/>
      <c r="HEO3" s="200"/>
      <c r="HEP3" s="201"/>
      <c r="HEQ3" s="201"/>
      <c r="HER3" s="201"/>
      <c r="HES3" s="200"/>
      <c r="HET3" s="201"/>
      <c r="HEU3" s="201"/>
      <c r="HEV3" s="201"/>
      <c r="HEW3" s="200"/>
      <c r="HEX3" s="201"/>
      <c r="HEY3" s="201"/>
      <c r="HEZ3" s="201"/>
      <c r="HFA3" s="200"/>
      <c r="HFB3" s="201"/>
      <c r="HFC3" s="201"/>
      <c r="HFD3" s="201"/>
      <c r="HFE3" s="200"/>
      <c r="HFF3" s="201"/>
      <c r="HFG3" s="201"/>
      <c r="HFH3" s="201"/>
      <c r="HFI3" s="200"/>
      <c r="HFJ3" s="201"/>
      <c r="HFK3" s="201"/>
      <c r="HFL3" s="201"/>
      <c r="HFM3" s="200"/>
      <c r="HFN3" s="201"/>
      <c r="HFO3" s="201"/>
      <c r="HFP3" s="201"/>
      <c r="HFQ3" s="200"/>
      <c r="HFR3" s="201"/>
      <c r="HFS3" s="201"/>
      <c r="HFT3" s="201"/>
      <c r="HFU3" s="200"/>
      <c r="HFV3" s="201"/>
      <c r="HFW3" s="201"/>
      <c r="HFX3" s="201"/>
      <c r="HFY3" s="200"/>
      <c r="HFZ3" s="201"/>
      <c r="HGA3" s="201"/>
      <c r="HGB3" s="201"/>
      <c r="HGC3" s="200"/>
      <c r="HGD3" s="201"/>
      <c r="HGE3" s="201"/>
      <c r="HGF3" s="201"/>
      <c r="HGG3" s="200"/>
      <c r="HGH3" s="201"/>
      <c r="HGI3" s="201"/>
      <c r="HGJ3" s="201"/>
      <c r="HGK3" s="200"/>
      <c r="HGL3" s="201"/>
      <c r="HGM3" s="201"/>
      <c r="HGN3" s="201"/>
      <c r="HGO3" s="200"/>
      <c r="HGP3" s="201"/>
      <c r="HGQ3" s="201"/>
      <c r="HGR3" s="201"/>
      <c r="HGS3" s="200"/>
      <c r="HGT3" s="201"/>
      <c r="HGU3" s="201"/>
      <c r="HGV3" s="201"/>
      <c r="HGW3" s="200"/>
      <c r="HGX3" s="201"/>
      <c r="HGY3" s="201"/>
      <c r="HGZ3" s="201"/>
      <c r="HHA3" s="200"/>
      <c r="HHB3" s="201"/>
      <c r="HHC3" s="201"/>
      <c r="HHD3" s="201"/>
      <c r="HHE3" s="200"/>
      <c r="HHF3" s="201"/>
      <c r="HHG3" s="201"/>
      <c r="HHH3" s="201"/>
      <c r="HHI3" s="200"/>
      <c r="HHJ3" s="201"/>
      <c r="HHK3" s="201"/>
      <c r="HHL3" s="201"/>
      <c r="HHM3" s="200"/>
      <c r="HHN3" s="201"/>
      <c r="HHO3" s="201"/>
      <c r="HHP3" s="201"/>
      <c r="HHQ3" s="200"/>
      <c r="HHR3" s="201"/>
      <c r="HHS3" s="201"/>
      <c r="HHT3" s="201"/>
      <c r="HHU3" s="200"/>
      <c r="HHV3" s="201"/>
      <c r="HHW3" s="201"/>
      <c r="HHX3" s="201"/>
      <c r="HHY3" s="200"/>
      <c r="HHZ3" s="201"/>
      <c r="HIA3" s="201"/>
      <c r="HIB3" s="201"/>
      <c r="HIC3" s="200"/>
      <c r="HID3" s="201"/>
      <c r="HIE3" s="201"/>
      <c r="HIF3" s="201"/>
      <c r="HIG3" s="200"/>
      <c r="HIH3" s="201"/>
      <c r="HII3" s="201"/>
      <c r="HIJ3" s="201"/>
      <c r="HIK3" s="200"/>
      <c r="HIL3" s="201"/>
      <c r="HIM3" s="201"/>
      <c r="HIN3" s="201"/>
      <c r="HIO3" s="200"/>
      <c r="HIP3" s="201"/>
      <c r="HIQ3" s="201"/>
      <c r="HIR3" s="201"/>
      <c r="HIS3" s="200"/>
      <c r="HIT3" s="201"/>
      <c r="HIU3" s="201"/>
      <c r="HIV3" s="201"/>
      <c r="HIW3" s="200"/>
      <c r="HIX3" s="201"/>
      <c r="HIY3" s="201"/>
      <c r="HIZ3" s="201"/>
      <c r="HJA3" s="200"/>
      <c r="HJB3" s="201"/>
      <c r="HJC3" s="201"/>
      <c r="HJD3" s="201"/>
      <c r="HJE3" s="200"/>
      <c r="HJF3" s="201"/>
      <c r="HJG3" s="201"/>
      <c r="HJH3" s="201"/>
      <c r="HJI3" s="200"/>
      <c r="HJJ3" s="201"/>
      <c r="HJK3" s="201"/>
      <c r="HJL3" s="201"/>
      <c r="HJM3" s="200"/>
      <c r="HJN3" s="201"/>
      <c r="HJO3" s="201"/>
      <c r="HJP3" s="201"/>
      <c r="HJQ3" s="200"/>
      <c r="HJR3" s="201"/>
      <c r="HJS3" s="201"/>
      <c r="HJT3" s="201"/>
      <c r="HJU3" s="200"/>
      <c r="HJV3" s="201"/>
      <c r="HJW3" s="201"/>
      <c r="HJX3" s="201"/>
      <c r="HJY3" s="200"/>
      <c r="HJZ3" s="201"/>
      <c r="HKA3" s="201"/>
      <c r="HKB3" s="201"/>
      <c r="HKC3" s="200"/>
      <c r="HKD3" s="201"/>
      <c r="HKE3" s="201"/>
      <c r="HKF3" s="201"/>
      <c r="HKG3" s="200"/>
      <c r="HKH3" s="201"/>
      <c r="HKI3" s="201"/>
      <c r="HKJ3" s="201"/>
      <c r="HKK3" s="200"/>
      <c r="HKL3" s="201"/>
      <c r="HKM3" s="201"/>
      <c r="HKN3" s="201"/>
      <c r="HKO3" s="200"/>
      <c r="HKP3" s="201"/>
      <c r="HKQ3" s="201"/>
      <c r="HKR3" s="201"/>
      <c r="HKS3" s="200"/>
      <c r="HKT3" s="201"/>
      <c r="HKU3" s="201"/>
      <c r="HKV3" s="201"/>
      <c r="HKW3" s="200"/>
      <c r="HKX3" s="201"/>
      <c r="HKY3" s="201"/>
      <c r="HKZ3" s="201"/>
      <c r="HLA3" s="200"/>
      <c r="HLB3" s="201"/>
      <c r="HLC3" s="201"/>
      <c r="HLD3" s="201"/>
      <c r="HLE3" s="200"/>
      <c r="HLF3" s="201"/>
      <c r="HLG3" s="201"/>
      <c r="HLH3" s="201"/>
      <c r="HLI3" s="200"/>
      <c r="HLJ3" s="201"/>
      <c r="HLK3" s="201"/>
      <c r="HLL3" s="201"/>
      <c r="HLM3" s="200"/>
      <c r="HLN3" s="201"/>
      <c r="HLO3" s="201"/>
      <c r="HLP3" s="201"/>
      <c r="HLQ3" s="200"/>
      <c r="HLR3" s="201"/>
      <c r="HLS3" s="201"/>
      <c r="HLT3" s="201"/>
      <c r="HLU3" s="200"/>
      <c r="HLV3" s="201"/>
      <c r="HLW3" s="201"/>
      <c r="HLX3" s="201"/>
      <c r="HLY3" s="200"/>
      <c r="HLZ3" s="201"/>
      <c r="HMA3" s="201"/>
      <c r="HMB3" s="201"/>
      <c r="HMC3" s="200"/>
      <c r="HMD3" s="201"/>
      <c r="HME3" s="201"/>
      <c r="HMF3" s="201"/>
      <c r="HMG3" s="200"/>
      <c r="HMH3" s="201"/>
      <c r="HMI3" s="201"/>
      <c r="HMJ3" s="201"/>
      <c r="HMK3" s="200"/>
      <c r="HML3" s="201"/>
      <c r="HMM3" s="201"/>
      <c r="HMN3" s="201"/>
      <c r="HMO3" s="200"/>
      <c r="HMP3" s="201"/>
      <c r="HMQ3" s="201"/>
      <c r="HMR3" s="201"/>
      <c r="HMS3" s="200"/>
      <c r="HMT3" s="201"/>
      <c r="HMU3" s="201"/>
      <c r="HMV3" s="201"/>
      <c r="HMW3" s="200"/>
      <c r="HMX3" s="201"/>
      <c r="HMY3" s="201"/>
      <c r="HMZ3" s="201"/>
      <c r="HNA3" s="200"/>
      <c r="HNB3" s="201"/>
      <c r="HNC3" s="201"/>
      <c r="HND3" s="201"/>
      <c r="HNE3" s="200"/>
      <c r="HNF3" s="201"/>
      <c r="HNG3" s="201"/>
      <c r="HNH3" s="201"/>
      <c r="HNI3" s="200"/>
      <c r="HNJ3" s="201"/>
      <c r="HNK3" s="201"/>
      <c r="HNL3" s="201"/>
      <c r="HNM3" s="200"/>
      <c r="HNN3" s="201"/>
      <c r="HNO3" s="201"/>
      <c r="HNP3" s="201"/>
      <c r="HNQ3" s="200"/>
      <c r="HNR3" s="201"/>
      <c r="HNS3" s="201"/>
      <c r="HNT3" s="201"/>
      <c r="HNU3" s="200"/>
      <c r="HNV3" s="201"/>
      <c r="HNW3" s="201"/>
      <c r="HNX3" s="201"/>
      <c r="HNY3" s="200"/>
      <c r="HNZ3" s="201"/>
      <c r="HOA3" s="201"/>
      <c r="HOB3" s="201"/>
      <c r="HOC3" s="200"/>
      <c r="HOD3" s="201"/>
      <c r="HOE3" s="201"/>
      <c r="HOF3" s="201"/>
      <c r="HOG3" s="200"/>
      <c r="HOH3" s="201"/>
      <c r="HOI3" s="201"/>
      <c r="HOJ3" s="201"/>
      <c r="HOK3" s="200"/>
      <c r="HOL3" s="201"/>
      <c r="HOM3" s="201"/>
      <c r="HON3" s="201"/>
      <c r="HOO3" s="200"/>
      <c r="HOP3" s="201"/>
      <c r="HOQ3" s="201"/>
      <c r="HOR3" s="201"/>
      <c r="HOS3" s="200"/>
      <c r="HOT3" s="201"/>
      <c r="HOU3" s="201"/>
      <c r="HOV3" s="201"/>
      <c r="HOW3" s="200"/>
      <c r="HOX3" s="201"/>
      <c r="HOY3" s="201"/>
      <c r="HOZ3" s="201"/>
      <c r="HPA3" s="200"/>
      <c r="HPB3" s="201"/>
      <c r="HPC3" s="201"/>
      <c r="HPD3" s="201"/>
      <c r="HPE3" s="200"/>
      <c r="HPF3" s="201"/>
      <c r="HPG3" s="201"/>
      <c r="HPH3" s="201"/>
      <c r="HPI3" s="200"/>
      <c r="HPJ3" s="201"/>
      <c r="HPK3" s="201"/>
      <c r="HPL3" s="201"/>
      <c r="HPM3" s="200"/>
      <c r="HPN3" s="201"/>
      <c r="HPO3" s="201"/>
      <c r="HPP3" s="201"/>
      <c r="HPQ3" s="200"/>
      <c r="HPR3" s="201"/>
      <c r="HPS3" s="201"/>
      <c r="HPT3" s="201"/>
      <c r="HPU3" s="200"/>
      <c r="HPV3" s="201"/>
      <c r="HPW3" s="201"/>
      <c r="HPX3" s="201"/>
      <c r="HPY3" s="200"/>
      <c r="HPZ3" s="201"/>
      <c r="HQA3" s="201"/>
      <c r="HQB3" s="201"/>
      <c r="HQC3" s="200"/>
      <c r="HQD3" s="201"/>
      <c r="HQE3" s="201"/>
      <c r="HQF3" s="201"/>
      <c r="HQG3" s="200"/>
      <c r="HQH3" s="201"/>
      <c r="HQI3" s="201"/>
      <c r="HQJ3" s="201"/>
      <c r="HQK3" s="200"/>
      <c r="HQL3" s="201"/>
      <c r="HQM3" s="201"/>
      <c r="HQN3" s="201"/>
      <c r="HQO3" s="200"/>
      <c r="HQP3" s="201"/>
      <c r="HQQ3" s="201"/>
      <c r="HQR3" s="201"/>
      <c r="HQS3" s="200"/>
      <c r="HQT3" s="201"/>
      <c r="HQU3" s="201"/>
      <c r="HQV3" s="201"/>
      <c r="HQW3" s="200"/>
      <c r="HQX3" s="201"/>
      <c r="HQY3" s="201"/>
      <c r="HQZ3" s="201"/>
      <c r="HRA3" s="200"/>
      <c r="HRB3" s="201"/>
      <c r="HRC3" s="201"/>
      <c r="HRD3" s="201"/>
      <c r="HRE3" s="200"/>
      <c r="HRF3" s="201"/>
      <c r="HRG3" s="201"/>
      <c r="HRH3" s="201"/>
      <c r="HRI3" s="200"/>
      <c r="HRJ3" s="201"/>
      <c r="HRK3" s="201"/>
      <c r="HRL3" s="201"/>
      <c r="HRM3" s="200"/>
      <c r="HRN3" s="201"/>
      <c r="HRO3" s="201"/>
      <c r="HRP3" s="201"/>
      <c r="HRQ3" s="200"/>
      <c r="HRR3" s="201"/>
      <c r="HRS3" s="201"/>
      <c r="HRT3" s="201"/>
      <c r="HRU3" s="200"/>
      <c r="HRV3" s="201"/>
      <c r="HRW3" s="201"/>
      <c r="HRX3" s="201"/>
      <c r="HRY3" s="200"/>
      <c r="HRZ3" s="201"/>
      <c r="HSA3" s="201"/>
      <c r="HSB3" s="201"/>
      <c r="HSC3" s="200"/>
      <c r="HSD3" s="201"/>
      <c r="HSE3" s="201"/>
      <c r="HSF3" s="201"/>
      <c r="HSG3" s="200"/>
      <c r="HSH3" s="201"/>
      <c r="HSI3" s="201"/>
      <c r="HSJ3" s="201"/>
      <c r="HSK3" s="200"/>
      <c r="HSL3" s="201"/>
      <c r="HSM3" s="201"/>
      <c r="HSN3" s="201"/>
      <c r="HSO3" s="200"/>
      <c r="HSP3" s="201"/>
      <c r="HSQ3" s="201"/>
      <c r="HSR3" s="201"/>
      <c r="HSS3" s="200"/>
      <c r="HST3" s="201"/>
      <c r="HSU3" s="201"/>
      <c r="HSV3" s="201"/>
      <c r="HSW3" s="200"/>
      <c r="HSX3" s="201"/>
      <c r="HSY3" s="201"/>
      <c r="HSZ3" s="201"/>
      <c r="HTA3" s="200"/>
      <c r="HTB3" s="201"/>
      <c r="HTC3" s="201"/>
      <c r="HTD3" s="201"/>
      <c r="HTE3" s="200"/>
      <c r="HTF3" s="201"/>
      <c r="HTG3" s="201"/>
      <c r="HTH3" s="201"/>
      <c r="HTI3" s="200"/>
      <c r="HTJ3" s="201"/>
      <c r="HTK3" s="201"/>
      <c r="HTL3" s="201"/>
      <c r="HTM3" s="200"/>
      <c r="HTN3" s="201"/>
      <c r="HTO3" s="201"/>
      <c r="HTP3" s="201"/>
      <c r="HTQ3" s="200"/>
      <c r="HTR3" s="201"/>
      <c r="HTS3" s="201"/>
      <c r="HTT3" s="201"/>
      <c r="HTU3" s="200"/>
      <c r="HTV3" s="201"/>
      <c r="HTW3" s="201"/>
      <c r="HTX3" s="201"/>
      <c r="HTY3" s="200"/>
      <c r="HTZ3" s="201"/>
      <c r="HUA3" s="201"/>
      <c r="HUB3" s="201"/>
      <c r="HUC3" s="200"/>
      <c r="HUD3" s="201"/>
      <c r="HUE3" s="201"/>
      <c r="HUF3" s="201"/>
      <c r="HUG3" s="200"/>
      <c r="HUH3" s="201"/>
      <c r="HUI3" s="201"/>
      <c r="HUJ3" s="201"/>
      <c r="HUK3" s="200"/>
      <c r="HUL3" s="201"/>
      <c r="HUM3" s="201"/>
      <c r="HUN3" s="201"/>
      <c r="HUO3" s="200"/>
      <c r="HUP3" s="201"/>
      <c r="HUQ3" s="201"/>
      <c r="HUR3" s="201"/>
      <c r="HUS3" s="200"/>
      <c r="HUT3" s="201"/>
      <c r="HUU3" s="201"/>
      <c r="HUV3" s="201"/>
      <c r="HUW3" s="200"/>
      <c r="HUX3" s="201"/>
      <c r="HUY3" s="201"/>
      <c r="HUZ3" s="201"/>
      <c r="HVA3" s="200"/>
      <c r="HVB3" s="201"/>
      <c r="HVC3" s="201"/>
      <c r="HVD3" s="201"/>
      <c r="HVE3" s="200"/>
      <c r="HVF3" s="201"/>
      <c r="HVG3" s="201"/>
      <c r="HVH3" s="201"/>
      <c r="HVI3" s="200"/>
      <c r="HVJ3" s="201"/>
      <c r="HVK3" s="201"/>
      <c r="HVL3" s="201"/>
      <c r="HVM3" s="200"/>
      <c r="HVN3" s="201"/>
      <c r="HVO3" s="201"/>
      <c r="HVP3" s="201"/>
      <c r="HVQ3" s="200"/>
      <c r="HVR3" s="201"/>
      <c r="HVS3" s="201"/>
      <c r="HVT3" s="201"/>
      <c r="HVU3" s="200"/>
      <c r="HVV3" s="201"/>
      <c r="HVW3" s="201"/>
      <c r="HVX3" s="201"/>
      <c r="HVY3" s="200"/>
      <c r="HVZ3" s="201"/>
      <c r="HWA3" s="201"/>
      <c r="HWB3" s="201"/>
      <c r="HWC3" s="200"/>
      <c r="HWD3" s="201"/>
      <c r="HWE3" s="201"/>
      <c r="HWF3" s="201"/>
      <c r="HWG3" s="200"/>
      <c r="HWH3" s="201"/>
      <c r="HWI3" s="201"/>
      <c r="HWJ3" s="201"/>
      <c r="HWK3" s="200"/>
      <c r="HWL3" s="201"/>
      <c r="HWM3" s="201"/>
      <c r="HWN3" s="201"/>
      <c r="HWO3" s="200"/>
      <c r="HWP3" s="201"/>
      <c r="HWQ3" s="201"/>
      <c r="HWR3" s="201"/>
      <c r="HWS3" s="200"/>
      <c r="HWT3" s="201"/>
      <c r="HWU3" s="201"/>
      <c r="HWV3" s="201"/>
      <c r="HWW3" s="200"/>
      <c r="HWX3" s="201"/>
      <c r="HWY3" s="201"/>
      <c r="HWZ3" s="201"/>
      <c r="HXA3" s="200"/>
      <c r="HXB3" s="201"/>
      <c r="HXC3" s="201"/>
      <c r="HXD3" s="201"/>
      <c r="HXE3" s="200"/>
      <c r="HXF3" s="201"/>
      <c r="HXG3" s="201"/>
      <c r="HXH3" s="201"/>
      <c r="HXI3" s="200"/>
      <c r="HXJ3" s="201"/>
      <c r="HXK3" s="201"/>
      <c r="HXL3" s="201"/>
      <c r="HXM3" s="200"/>
      <c r="HXN3" s="201"/>
      <c r="HXO3" s="201"/>
      <c r="HXP3" s="201"/>
      <c r="HXQ3" s="200"/>
      <c r="HXR3" s="201"/>
      <c r="HXS3" s="201"/>
      <c r="HXT3" s="201"/>
      <c r="HXU3" s="200"/>
      <c r="HXV3" s="201"/>
      <c r="HXW3" s="201"/>
      <c r="HXX3" s="201"/>
      <c r="HXY3" s="200"/>
      <c r="HXZ3" s="201"/>
      <c r="HYA3" s="201"/>
      <c r="HYB3" s="201"/>
      <c r="HYC3" s="200"/>
      <c r="HYD3" s="201"/>
      <c r="HYE3" s="201"/>
      <c r="HYF3" s="201"/>
      <c r="HYG3" s="200"/>
      <c r="HYH3" s="201"/>
      <c r="HYI3" s="201"/>
      <c r="HYJ3" s="201"/>
      <c r="HYK3" s="200"/>
      <c r="HYL3" s="201"/>
      <c r="HYM3" s="201"/>
      <c r="HYN3" s="201"/>
      <c r="HYO3" s="200"/>
      <c r="HYP3" s="201"/>
      <c r="HYQ3" s="201"/>
      <c r="HYR3" s="201"/>
      <c r="HYS3" s="200"/>
      <c r="HYT3" s="201"/>
      <c r="HYU3" s="201"/>
      <c r="HYV3" s="201"/>
      <c r="HYW3" s="200"/>
      <c r="HYX3" s="201"/>
      <c r="HYY3" s="201"/>
      <c r="HYZ3" s="201"/>
      <c r="HZA3" s="200"/>
      <c r="HZB3" s="201"/>
      <c r="HZC3" s="201"/>
      <c r="HZD3" s="201"/>
      <c r="HZE3" s="200"/>
      <c r="HZF3" s="201"/>
      <c r="HZG3" s="201"/>
      <c r="HZH3" s="201"/>
      <c r="HZI3" s="200"/>
      <c r="HZJ3" s="201"/>
      <c r="HZK3" s="201"/>
      <c r="HZL3" s="201"/>
      <c r="HZM3" s="200"/>
      <c r="HZN3" s="201"/>
      <c r="HZO3" s="201"/>
      <c r="HZP3" s="201"/>
      <c r="HZQ3" s="200"/>
      <c r="HZR3" s="201"/>
      <c r="HZS3" s="201"/>
      <c r="HZT3" s="201"/>
      <c r="HZU3" s="200"/>
      <c r="HZV3" s="201"/>
      <c r="HZW3" s="201"/>
      <c r="HZX3" s="201"/>
      <c r="HZY3" s="200"/>
      <c r="HZZ3" s="201"/>
      <c r="IAA3" s="201"/>
      <c r="IAB3" s="201"/>
      <c r="IAC3" s="200"/>
      <c r="IAD3" s="201"/>
      <c r="IAE3" s="201"/>
      <c r="IAF3" s="201"/>
      <c r="IAG3" s="200"/>
      <c r="IAH3" s="201"/>
      <c r="IAI3" s="201"/>
      <c r="IAJ3" s="201"/>
      <c r="IAK3" s="200"/>
      <c r="IAL3" s="201"/>
      <c r="IAM3" s="201"/>
      <c r="IAN3" s="201"/>
      <c r="IAO3" s="200"/>
      <c r="IAP3" s="201"/>
      <c r="IAQ3" s="201"/>
      <c r="IAR3" s="201"/>
      <c r="IAS3" s="200"/>
      <c r="IAT3" s="201"/>
      <c r="IAU3" s="201"/>
      <c r="IAV3" s="201"/>
      <c r="IAW3" s="200"/>
      <c r="IAX3" s="201"/>
      <c r="IAY3" s="201"/>
      <c r="IAZ3" s="201"/>
      <c r="IBA3" s="200"/>
      <c r="IBB3" s="201"/>
      <c r="IBC3" s="201"/>
      <c r="IBD3" s="201"/>
      <c r="IBE3" s="200"/>
      <c r="IBF3" s="201"/>
      <c r="IBG3" s="201"/>
      <c r="IBH3" s="201"/>
      <c r="IBI3" s="200"/>
      <c r="IBJ3" s="201"/>
      <c r="IBK3" s="201"/>
      <c r="IBL3" s="201"/>
      <c r="IBM3" s="200"/>
      <c r="IBN3" s="201"/>
      <c r="IBO3" s="201"/>
      <c r="IBP3" s="201"/>
      <c r="IBQ3" s="200"/>
      <c r="IBR3" s="201"/>
      <c r="IBS3" s="201"/>
      <c r="IBT3" s="201"/>
      <c r="IBU3" s="200"/>
      <c r="IBV3" s="201"/>
      <c r="IBW3" s="201"/>
      <c r="IBX3" s="201"/>
      <c r="IBY3" s="200"/>
      <c r="IBZ3" s="201"/>
      <c r="ICA3" s="201"/>
      <c r="ICB3" s="201"/>
      <c r="ICC3" s="200"/>
      <c r="ICD3" s="201"/>
      <c r="ICE3" s="201"/>
      <c r="ICF3" s="201"/>
      <c r="ICG3" s="200"/>
      <c r="ICH3" s="201"/>
      <c r="ICI3" s="201"/>
      <c r="ICJ3" s="201"/>
      <c r="ICK3" s="200"/>
      <c r="ICL3" s="201"/>
      <c r="ICM3" s="201"/>
      <c r="ICN3" s="201"/>
      <c r="ICO3" s="200"/>
      <c r="ICP3" s="201"/>
      <c r="ICQ3" s="201"/>
      <c r="ICR3" s="201"/>
      <c r="ICS3" s="200"/>
      <c r="ICT3" s="201"/>
      <c r="ICU3" s="201"/>
      <c r="ICV3" s="201"/>
      <c r="ICW3" s="200"/>
      <c r="ICX3" s="201"/>
      <c r="ICY3" s="201"/>
      <c r="ICZ3" s="201"/>
      <c r="IDA3" s="200"/>
      <c r="IDB3" s="201"/>
      <c r="IDC3" s="201"/>
      <c r="IDD3" s="201"/>
      <c r="IDE3" s="200"/>
      <c r="IDF3" s="201"/>
      <c r="IDG3" s="201"/>
      <c r="IDH3" s="201"/>
      <c r="IDI3" s="200"/>
      <c r="IDJ3" s="201"/>
      <c r="IDK3" s="201"/>
      <c r="IDL3" s="201"/>
      <c r="IDM3" s="200"/>
      <c r="IDN3" s="201"/>
      <c r="IDO3" s="201"/>
      <c r="IDP3" s="201"/>
      <c r="IDQ3" s="200"/>
      <c r="IDR3" s="201"/>
      <c r="IDS3" s="201"/>
      <c r="IDT3" s="201"/>
      <c r="IDU3" s="200"/>
      <c r="IDV3" s="201"/>
      <c r="IDW3" s="201"/>
      <c r="IDX3" s="201"/>
      <c r="IDY3" s="200"/>
      <c r="IDZ3" s="201"/>
      <c r="IEA3" s="201"/>
      <c r="IEB3" s="201"/>
      <c r="IEC3" s="200"/>
      <c r="IED3" s="201"/>
      <c r="IEE3" s="201"/>
      <c r="IEF3" s="201"/>
      <c r="IEG3" s="200"/>
      <c r="IEH3" s="201"/>
      <c r="IEI3" s="201"/>
      <c r="IEJ3" s="201"/>
      <c r="IEK3" s="200"/>
      <c r="IEL3" s="201"/>
      <c r="IEM3" s="201"/>
      <c r="IEN3" s="201"/>
      <c r="IEO3" s="200"/>
      <c r="IEP3" s="201"/>
      <c r="IEQ3" s="201"/>
      <c r="IER3" s="201"/>
      <c r="IES3" s="200"/>
      <c r="IET3" s="201"/>
      <c r="IEU3" s="201"/>
      <c r="IEV3" s="201"/>
      <c r="IEW3" s="200"/>
      <c r="IEX3" s="201"/>
      <c r="IEY3" s="201"/>
      <c r="IEZ3" s="201"/>
      <c r="IFA3" s="200"/>
      <c r="IFB3" s="201"/>
      <c r="IFC3" s="201"/>
      <c r="IFD3" s="201"/>
      <c r="IFE3" s="200"/>
      <c r="IFF3" s="201"/>
      <c r="IFG3" s="201"/>
      <c r="IFH3" s="201"/>
      <c r="IFI3" s="200"/>
      <c r="IFJ3" s="201"/>
      <c r="IFK3" s="201"/>
      <c r="IFL3" s="201"/>
      <c r="IFM3" s="200"/>
      <c r="IFN3" s="201"/>
      <c r="IFO3" s="201"/>
      <c r="IFP3" s="201"/>
      <c r="IFQ3" s="200"/>
      <c r="IFR3" s="201"/>
      <c r="IFS3" s="201"/>
      <c r="IFT3" s="201"/>
      <c r="IFU3" s="200"/>
      <c r="IFV3" s="201"/>
      <c r="IFW3" s="201"/>
      <c r="IFX3" s="201"/>
      <c r="IFY3" s="200"/>
      <c r="IFZ3" s="201"/>
      <c r="IGA3" s="201"/>
      <c r="IGB3" s="201"/>
      <c r="IGC3" s="200"/>
      <c r="IGD3" s="201"/>
      <c r="IGE3" s="201"/>
      <c r="IGF3" s="201"/>
      <c r="IGG3" s="200"/>
      <c r="IGH3" s="201"/>
      <c r="IGI3" s="201"/>
      <c r="IGJ3" s="201"/>
      <c r="IGK3" s="200"/>
      <c r="IGL3" s="201"/>
      <c r="IGM3" s="201"/>
      <c r="IGN3" s="201"/>
      <c r="IGO3" s="200"/>
      <c r="IGP3" s="201"/>
      <c r="IGQ3" s="201"/>
      <c r="IGR3" s="201"/>
      <c r="IGS3" s="200"/>
      <c r="IGT3" s="201"/>
      <c r="IGU3" s="201"/>
      <c r="IGV3" s="201"/>
      <c r="IGW3" s="200"/>
      <c r="IGX3" s="201"/>
      <c r="IGY3" s="201"/>
      <c r="IGZ3" s="201"/>
      <c r="IHA3" s="200"/>
      <c r="IHB3" s="201"/>
      <c r="IHC3" s="201"/>
      <c r="IHD3" s="201"/>
      <c r="IHE3" s="200"/>
      <c r="IHF3" s="201"/>
      <c r="IHG3" s="201"/>
      <c r="IHH3" s="201"/>
      <c r="IHI3" s="200"/>
      <c r="IHJ3" s="201"/>
      <c r="IHK3" s="201"/>
      <c r="IHL3" s="201"/>
      <c r="IHM3" s="200"/>
      <c r="IHN3" s="201"/>
      <c r="IHO3" s="201"/>
      <c r="IHP3" s="201"/>
      <c r="IHQ3" s="200"/>
      <c r="IHR3" s="201"/>
      <c r="IHS3" s="201"/>
      <c r="IHT3" s="201"/>
      <c r="IHU3" s="200"/>
      <c r="IHV3" s="201"/>
      <c r="IHW3" s="201"/>
      <c r="IHX3" s="201"/>
      <c r="IHY3" s="200"/>
      <c r="IHZ3" s="201"/>
      <c r="IIA3" s="201"/>
      <c r="IIB3" s="201"/>
      <c r="IIC3" s="200"/>
      <c r="IID3" s="201"/>
      <c r="IIE3" s="201"/>
      <c r="IIF3" s="201"/>
      <c r="IIG3" s="200"/>
      <c r="IIH3" s="201"/>
      <c r="III3" s="201"/>
      <c r="IIJ3" s="201"/>
      <c r="IIK3" s="200"/>
      <c r="IIL3" s="201"/>
      <c r="IIM3" s="201"/>
      <c r="IIN3" s="201"/>
      <c r="IIO3" s="200"/>
      <c r="IIP3" s="201"/>
      <c r="IIQ3" s="201"/>
      <c r="IIR3" s="201"/>
      <c r="IIS3" s="200"/>
      <c r="IIT3" s="201"/>
      <c r="IIU3" s="201"/>
      <c r="IIV3" s="201"/>
      <c r="IIW3" s="200"/>
      <c r="IIX3" s="201"/>
      <c r="IIY3" s="201"/>
      <c r="IIZ3" s="201"/>
      <c r="IJA3" s="200"/>
      <c r="IJB3" s="201"/>
      <c r="IJC3" s="201"/>
      <c r="IJD3" s="201"/>
      <c r="IJE3" s="200"/>
      <c r="IJF3" s="201"/>
      <c r="IJG3" s="201"/>
      <c r="IJH3" s="201"/>
      <c r="IJI3" s="200"/>
      <c r="IJJ3" s="201"/>
      <c r="IJK3" s="201"/>
      <c r="IJL3" s="201"/>
      <c r="IJM3" s="200"/>
      <c r="IJN3" s="201"/>
      <c r="IJO3" s="201"/>
      <c r="IJP3" s="201"/>
      <c r="IJQ3" s="200"/>
      <c r="IJR3" s="201"/>
      <c r="IJS3" s="201"/>
      <c r="IJT3" s="201"/>
      <c r="IJU3" s="200"/>
      <c r="IJV3" s="201"/>
      <c r="IJW3" s="201"/>
      <c r="IJX3" s="201"/>
      <c r="IJY3" s="200"/>
      <c r="IJZ3" s="201"/>
      <c r="IKA3" s="201"/>
      <c r="IKB3" s="201"/>
      <c r="IKC3" s="200"/>
      <c r="IKD3" s="201"/>
      <c r="IKE3" s="201"/>
      <c r="IKF3" s="201"/>
      <c r="IKG3" s="200"/>
      <c r="IKH3" s="201"/>
      <c r="IKI3" s="201"/>
      <c r="IKJ3" s="201"/>
      <c r="IKK3" s="200"/>
      <c r="IKL3" s="201"/>
      <c r="IKM3" s="201"/>
      <c r="IKN3" s="201"/>
      <c r="IKO3" s="200"/>
      <c r="IKP3" s="201"/>
      <c r="IKQ3" s="201"/>
      <c r="IKR3" s="201"/>
      <c r="IKS3" s="200"/>
      <c r="IKT3" s="201"/>
      <c r="IKU3" s="201"/>
      <c r="IKV3" s="201"/>
      <c r="IKW3" s="200"/>
      <c r="IKX3" s="201"/>
      <c r="IKY3" s="201"/>
      <c r="IKZ3" s="201"/>
      <c r="ILA3" s="200"/>
      <c r="ILB3" s="201"/>
      <c r="ILC3" s="201"/>
      <c r="ILD3" s="201"/>
      <c r="ILE3" s="200"/>
      <c r="ILF3" s="201"/>
      <c r="ILG3" s="201"/>
      <c r="ILH3" s="201"/>
      <c r="ILI3" s="200"/>
      <c r="ILJ3" s="201"/>
      <c r="ILK3" s="201"/>
      <c r="ILL3" s="201"/>
      <c r="ILM3" s="200"/>
      <c r="ILN3" s="201"/>
      <c r="ILO3" s="201"/>
      <c r="ILP3" s="201"/>
      <c r="ILQ3" s="200"/>
      <c r="ILR3" s="201"/>
      <c r="ILS3" s="201"/>
      <c r="ILT3" s="201"/>
      <c r="ILU3" s="200"/>
      <c r="ILV3" s="201"/>
      <c r="ILW3" s="201"/>
      <c r="ILX3" s="201"/>
      <c r="ILY3" s="200"/>
      <c r="ILZ3" s="201"/>
      <c r="IMA3" s="201"/>
      <c r="IMB3" s="201"/>
      <c r="IMC3" s="200"/>
      <c r="IMD3" s="201"/>
      <c r="IME3" s="201"/>
      <c r="IMF3" s="201"/>
      <c r="IMG3" s="200"/>
      <c r="IMH3" s="201"/>
      <c r="IMI3" s="201"/>
      <c r="IMJ3" s="201"/>
      <c r="IMK3" s="200"/>
      <c r="IML3" s="201"/>
      <c r="IMM3" s="201"/>
      <c r="IMN3" s="201"/>
      <c r="IMO3" s="200"/>
      <c r="IMP3" s="201"/>
      <c r="IMQ3" s="201"/>
      <c r="IMR3" s="201"/>
      <c r="IMS3" s="200"/>
      <c r="IMT3" s="201"/>
      <c r="IMU3" s="201"/>
      <c r="IMV3" s="201"/>
      <c r="IMW3" s="200"/>
      <c r="IMX3" s="201"/>
      <c r="IMY3" s="201"/>
      <c r="IMZ3" s="201"/>
      <c r="INA3" s="200"/>
      <c r="INB3" s="201"/>
      <c r="INC3" s="201"/>
      <c r="IND3" s="201"/>
      <c r="INE3" s="200"/>
      <c r="INF3" s="201"/>
      <c r="ING3" s="201"/>
      <c r="INH3" s="201"/>
      <c r="INI3" s="200"/>
      <c r="INJ3" s="201"/>
      <c r="INK3" s="201"/>
      <c r="INL3" s="201"/>
      <c r="INM3" s="200"/>
      <c r="INN3" s="201"/>
      <c r="INO3" s="201"/>
      <c r="INP3" s="201"/>
      <c r="INQ3" s="200"/>
      <c r="INR3" s="201"/>
      <c r="INS3" s="201"/>
      <c r="INT3" s="201"/>
      <c r="INU3" s="200"/>
      <c r="INV3" s="201"/>
      <c r="INW3" s="201"/>
      <c r="INX3" s="201"/>
      <c r="INY3" s="200"/>
      <c r="INZ3" s="201"/>
      <c r="IOA3" s="201"/>
      <c r="IOB3" s="201"/>
      <c r="IOC3" s="200"/>
      <c r="IOD3" s="201"/>
      <c r="IOE3" s="201"/>
      <c r="IOF3" s="201"/>
      <c r="IOG3" s="200"/>
      <c r="IOH3" s="201"/>
      <c r="IOI3" s="201"/>
      <c r="IOJ3" s="201"/>
      <c r="IOK3" s="200"/>
      <c r="IOL3" s="201"/>
      <c r="IOM3" s="201"/>
      <c r="ION3" s="201"/>
      <c r="IOO3" s="200"/>
      <c r="IOP3" s="201"/>
      <c r="IOQ3" s="201"/>
      <c r="IOR3" s="201"/>
      <c r="IOS3" s="200"/>
      <c r="IOT3" s="201"/>
      <c r="IOU3" s="201"/>
      <c r="IOV3" s="201"/>
      <c r="IOW3" s="200"/>
      <c r="IOX3" s="201"/>
      <c r="IOY3" s="201"/>
      <c r="IOZ3" s="201"/>
      <c r="IPA3" s="200"/>
      <c r="IPB3" s="201"/>
      <c r="IPC3" s="201"/>
      <c r="IPD3" s="201"/>
      <c r="IPE3" s="200"/>
      <c r="IPF3" s="201"/>
      <c r="IPG3" s="201"/>
      <c r="IPH3" s="201"/>
      <c r="IPI3" s="200"/>
      <c r="IPJ3" s="201"/>
      <c r="IPK3" s="201"/>
      <c r="IPL3" s="201"/>
      <c r="IPM3" s="200"/>
      <c r="IPN3" s="201"/>
      <c r="IPO3" s="201"/>
      <c r="IPP3" s="201"/>
      <c r="IPQ3" s="200"/>
      <c r="IPR3" s="201"/>
      <c r="IPS3" s="201"/>
      <c r="IPT3" s="201"/>
      <c r="IPU3" s="200"/>
      <c r="IPV3" s="201"/>
      <c r="IPW3" s="201"/>
      <c r="IPX3" s="201"/>
      <c r="IPY3" s="200"/>
      <c r="IPZ3" s="201"/>
      <c r="IQA3" s="201"/>
      <c r="IQB3" s="201"/>
      <c r="IQC3" s="200"/>
      <c r="IQD3" s="201"/>
      <c r="IQE3" s="201"/>
      <c r="IQF3" s="201"/>
      <c r="IQG3" s="200"/>
      <c r="IQH3" s="201"/>
      <c r="IQI3" s="201"/>
      <c r="IQJ3" s="201"/>
      <c r="IQK3" s="200"/>
      <c r="IQL3" s="201"/>
      <c r="IQM3" s="201"/>
      <c r="IQN3" s="201"/>
      <c r="IQO3" s="200"/>
      <c r="IQP3" s="201"/>
      <c r="IQQ3" s="201"/>
      <c r="IQR3" s="201"/>
      <c r="IQS3" s="200"/>
      <c r="IQT3" s="201"/>
      <c r="IQU3" s="201"/>
      <c r="IQV3" s="201"/>
      <c r="IQW3" s="200"/>
      <c r="IQX3" s="201"/>
      <c r="IQY3" s="201"/>
      <c r="IQZ3" s="201"/>
      <c r="IRA3" s="200"/>
      <c r="IRB3" s="201"/>
      <c r="IRC3" s="201"/>
      <c r="IRD3" s="201"/>
      <c r="IRE3" s="200"/>
      <c r="IRF3" s="201"/>
      <c r="IRG3" s="201"/>
      <c r="IRH3" s="201"/>
      <c r="IRI3" s="200"/>
      <c r="IRJ3" s="201"/>
      <c r="IRK3" s="201"/>
      <c r="IRL3" s="201"/>
      <c r="IRM3" s="200"/>
      <c r="IRN3" s="201"/>
      <c r="IRO3" s="201"/>
      <c r="IRP3" s="201"/>
      <c r="IRQ3" s="200"/>
      <c r="IRR3" s="201"/>
      <c r="IRS3" s="201"/>
      <c r="IRT3" s="201"/>
      <c r="IRU3" s="200"/>
      <c r="IRV3" s="201"/>
      <c r="IRW3" s="201"/>
      <c r="IRX3" s="201"/>
      <c r="IRY3" s="200"/>
      <c r="IRZ3" s="201"/>
      <c r="ISA3" s="201"/>
      <c r="ISB3" s="201"/>
      <c r="ISC3" s="200"/>
      <c r="ISD3" s="201"/>
      <c r="ISE3" s="201"/>
      <c r="ISF3" s="201"/>
      <c r="ISG3" s="200"/>
      <c r="ISH3" s="201"/>
      <c r="ISI3" s="201"/>
      <c r="ISJ3" s="201"/>
      <c r="ISK3" s="200"/>
      <c r="ISL3" s="201"/>
      <c r="ISM3" s="201"/>
      <c r="ISN3" s="201"/>
      <c r="ISO3" s="200"/>
      <c r="ISP3" s="201"/>
      <c r="ISQ3" s="201"/>
      <c r="ISR3" s="201"/>
      <c r="ISS3" s="200"/>
      <c r="IST3" s="201"/>
      <c r="ISU3" s="201"/>
      <c r="ISV3" s="201"/>
      <c r="ISW3" s="200"/>
      <c r="ISX3" s="201"/>
      <c r="ISY3" s="201"/>
      <c r="ISZ3" s="201"/>
      <c r="ITA3" s="200"/>
      <c r="ITB3" s="201"/>
      <c r="ITC3" s="201"/>
      <c r="ITD3" s="201"/>
      <c r="ITE3" s="200"/>
      <c r="ITF3" s="201"/>
      <c r="ITG3" s="201"/>
      <c r="ITH3" s="201"/>
      <c r="ITI3" s="200"/>
      <c r="ITJ3" s="201"/>
      <c r="ITK3" s="201"/>
      <c r="ITL3" s="201"/>
      <c r="ITM3" s="200"/>
      <c r="ITN3" s="201"/>
      <c r="ITO3" s="201"/>
      <c r="ITP3" s="201"/>
      <c r="ITQ3" s="200"/>
      <c r="ITR3" s="201"/>
      <c r="ITS3" s="201"/>
      <c r="ITT3" s="201"/>
      <c r="ITU3" s="200"/>
      <c r="ITV3" s="201"/>
      <c r="ITW3" s="201"/>
      <c r="ITX3" s="201"/>
      <c r="ITY3" s="200"/>
      <c r="ITZ3" s="201"/>
      <c r="IUA3" s="201"/>
      <c r="IUB3" s="201"/>
      <c r="IUC3" s="200"/>
      <c r="IUD3" s="201"/>
      <c r="IUE3" s="201"/>
      <c r="IUF3" s="201"/>
      <c r="IUG3" s="200"/>
      <c r="IUH3" s="201"/>
      <c r="IUI3" s="201"/>
      <c r="IUJ3" s="201"/>
      <c r="IUK3" s="200"/>
      <c r="IUL3" s="201"/>
      <c r="IUM3" s="201"/>
      <c r="IUN3" s="201"/>
      <c r="IUO3" s="200"/>
      <c r="IUP3" s="201"/>
      <c r="IUQ3" s="201"/>
      <c r="IUR3" s="201"/>
      <c r="IUS3" s="200"/>
      <c r="IUT3" s="201"/>
      <c r="IUU3" s="201"/>
      <c r="IUV3" s="201"/>
      <c r="IUW3" s="200"/>
      <c r="IUX3" s="201"/>
      <c r="IUY3" s="201"/>
      <c r="IUZ3" s="201"/>
      <c r="IVA3" s="200"/>
      <c r="IVB3" s="201"/>
      <c r="IVC3" s="201"/>
      <c r="IVD3" s="201"/>
      <c r="IVE3" s="200"/>
      <c r="IVF3" s="201"/>
      <c r="IVG3" s="201"/>
      <c r="IVH3" s="201"/>
      <c r="IVI3" s="200"/>
      <c r="IVJ3" s="201"/>
      <c r="IVK3" s="201"/>
      <c r="IVL3" s="201"/>
      <c r="IVM3" s="200"/>
      <c r="IVN3" s="201"/>
      <c r="IVO3" s="201"/>
      <c r="IVP3" s="201"/>
      <c r="IVQ3" s="200"/>
      <c r="IVR3" s="201"/>
      <c r="IVS3" s="201"/>
      <c r="IVT3" s="201"/>
      <c r="IVU3" s="200"/>
      <c r="IVV3" s="201"/>
      <c r="IVW3" s="201"/>
      <c r="IVX3" s="201"/>
      <c r="IVY3" s="200"/>
      <c r="IVZ3" s="201"/>
      <c r="IWA3" s="201"/>
      <c r="IWB3" s="201"/>
      <c r="IWC3" s="200"/>
      <c r="IWD3" s="201"/>
      <c r="IWE3" s="201"/>
      <c r="IWF3" s="201"/>
      <c r="IWG3" s="200"/>
      <c r="IWH3" s="201"/>
      <c r="IWI3" s="201"/>
      <c r="IWJ3" s="201"/>
      <c r="IWK3" s="200"/>
      <c r="IWL3" s="201"/>
      <c r="IWM3" s="201"/>
      <c r="IWN3" s="201"/>
      <c r="IWO3" s="200"/>
      <c r="IWP3" s="201"/>
      <c r="IWQ3" s="201"/>
      <c r="IWR3" s="201"/>
      <c r="IWS3" s="200"/>
      <c r="IWT3" s="201"/>
      <c r="IWU3" s="201"/>
      <c r="IWV3" s="201"/>
      <c r="IWW3" s="200"/>
      <c r="IWX3" s="201"/>
      <c r="IWY3" s="201"/>
      <c r="IWZ3" s="201"/>
      <c r="IXA3" s="200"/>
      <c r="IXB3" s="201"/>
      <c r="IXC3" s="201"/>
      <c r="IXD3" s="201"/>
      <c r="IXE3" s="200"/>
      <c r="IXF3" s="201"/>
      <c r="IXG3" s="201"/>
      <c r="IXH3" s="201"/>
      <c r="IXI3" s="200"/>
      <c r="IXJ3" s="201"/>
      <c r="IXK3" s="201"/>
      <c r="IXL3" s="201"/>
      <c r="IXM3" s="200"/>
      <c r="IXN3" s="201"/>
      <c r="IXO3" s="201"/>
      <c r="IXP3" s="201"/>
      <c r="IXQ3" s="200"/>
      <c r="IXR3" s="201"/>
      <c r="IXS3" s="201"/>
      <c r="IXT3" s="201"/>
      <c r="IXU3" s="200"/>
      <c r="IXV3" s="201"/>
      <c r="IXW3" s="201"/>
      <c r="IXX3" s="201"/>
      <c r="IXY3" s="200"/>
      <c r="IXZ3" s="201"/>
      <c r="IYA3" s="201"/>
      <c r="IYB3" s="201"/>
      <c r="IYC3" s="200"/>
      <c r="IYD3" s="201"/>
      <c r="IYE3" s="201"/>
      <c r="IYF3" s="201"/>
      <c r="IYG3" s="200"/>
      <c r="IYH3" s="201"/>
      <c r="IYI3" s="201"/>
      <c r="IYJ3" s="201"/>
      <c r="IYK3" s="200"/>
      <c r="IYL3" s="201"/>
      <c r="IYM3" s="201"/>
      <c r="IYN3" s="201"/>
      <c r="IYO3" s="200"/>
      <c r="IYP3" s="201"/>
      <c r="IYQ3" s="201"/>
      <c r="IYR3" s="201"/>
      <c r="IYS3" s="200"/>
      <c r="IYT3" s="201"/>
      <c r="IYU3" s="201"/>
      <c r="IYV3" s="201"/>
      <c r="IYW3" s="200"/>
      <c r="IYX3" s="201"/>
      <c r="IYY3" s="201"/>
      <c r="IYZ3" s="201"/>
      <c r="IZA3" s="200"/>
      <c r="IZB3" s="201"/>
      <c r="IZC3" s="201"/>
      <c r="IZD3" s="201"/>
      <c r="IZE3" s="200"/>
      <c r="IZF3" s="201"/>
      <c r="IZG3" s="201"/>
      <c r="IZH3" s="201"/>
      <c r="IZI3" s="200"/>
      <c r="IZJ3" s="201"/>
      <c r="IZK3" s="201"/>
      <c r="IZL3" s="201"/>
      <c r="IZM3" s="200"/>
      <c r="IZN3" s="201"/>
      <c r="IZO3" s="201"/>
      <c r="IZP3" s="201"/>
      <c r="IZQ3" s="200"/>
      <c r="IZR3" s="201"/>
      <c r="IZS3" s="201"/>
      <c r="IZT3" s="201"/>
      <c r="IZU3" s="200"/>
      <c r="IZV3" s="201"/>
      <c r="IZW3" s="201"/>
      <c r="IZX3" s="201"/>
      <c r="IZY3" s="200"/>
      <c r="IZZ3" s="201"/>
      <c r="JAA3" s="201"/>
      <c r="JAB3" s="201"/>
      <c r="JAC3" s="200"/>
      <c r="JAD3" s="201"/>
      <c r="JAE3" s="201"/>
      <c r="JAF3" s="201"/>
      <c r="JAG3" s="200"/>
      <c r="JAH3" s="201"/>
      <c r="JAI3" s="201"/>
      <c r="JAJ3" s="201"/>
      <c r="JAK3" s="200"/>
      <c r="JAL3" s="201"/>
      <c r="JAM3" s="201"/>
      <c r="JAN3" s="201"/>
      <c r="JAO3" s="200"/>
      <c r="JAP3" s="201"/>
      <c r="JAQ3" s="201"/>
      <c r="JAR3" s="201"/>
      <c r="JAS3" s="200"/>
      <c r="JAT3" s="201"/>
      <c r="JAU3" s="201"/>
      <c r="JAV3" s="201"/>
      <c r="JAW3" s="200"/>
      <c r="JAX3" s="201"/>
      <c r="JAY3" s="201"/>
      <c r="JAZ3" s="201"/>
      <c r="JBA3" s="200"/>
      <c r="JBB3" s="201"/>
      <c r="JBC3" s="201"/>
      <c r="JBD3" s="201"/>
      <c r="JBE3" s="200"/>
      <c r="JBF3" s="201"/>
      <c r="JBG3" s="201"/>
      <c r="JBH3" s="201"/>
      <c r="JBI3" s="200"/>
      <c r="JBJ3" s="201"/>
      <c r="JBK3" s="201"/>
      <c r="JBL3" s="201"/>
      <c r="JBM3" s="200"/>
      <c r="JBN3" s="201"/>
      <c r="JBO3" s="201"/>
      <c r="JBP3" s="201"/>
      <c r="JBQ3" s="200"/>
      <c r="JBR3" s="201"/>
      <c r="JBS3" s="201"/>
      <c r="JBT3" s="201"/>
      <c r="JBU3" s="200"/>
      <c r="JBV3" s="201"/>
      <c r="JBW3" s="201"/>
      <c r="JBX3" s="201"/>
      <c r="JBY3" s="200"/>
      <c r="JBZ3" s="201"/>
      <c r="JCA3" s="201"/>
      <c r="JCB3" s="201"/>
      <c r="JCC3" s="200"/>
      <c r="JCD3" s="201"/>
      <c r="JCE3" s="201"/>
      <c r="JCF3" s="201"/>
      <c r="JCG3" s="200"/>
      <c r="JCH3" s="201"/>
      <c r="JCI3" s="201"/>
      <c r="JCJ3" s="201"/>
      <c r="JCK3" s="200"/>
      <c r="JCL3" s="201"/>
      <c r="JCM3" s="201"/>
      <c r="JCN3" s="201"/>
      <c r="JCO3" s="200"/>
      <c r="JCP3" s="201"/>
      <c r="JCQ3" s="201"/>
      <c r="JCR3" s="201"/>
      <c r="JCS3" s="200"/>
      <c r="JCT3" s="201"/>
      <c r="JCU3" s="201"/>
      <c r="JCV3" s="201"/>
      <c r="JCW3" s="200"/>
      <c r="JCX3" s="201"/>
      <c r="JCY3" s="201"/>
      <c r="JCZ3" s="201"/>
      <c r="JDA3" s="200"/>
      <c r="JDB3" s="201"/>
      <c r="JDC3" s="201"/>
      <c r="JDD3" s="201"/>
      <c r="JDE3" s="200"/>
      <c r="JDF3" s="201"/>
      <c r="JDG3" s="201"/>
      <c r="JDH3" s="201"/>
      <c r="JDI3" s="200"/>
      <c r="JDJ3" s="201"/>
      <c r="JDK3" s="201"/>
      <c r="JDL3" s="201"/>
      <c r="JDM3" s="200"/>
      <c r="JDN3" s="201"/>
      <c r="JDO3" s="201"/>
      <c r="JDP3" s="201"/>
      <c r="JDQ3" s="200"/>
      <c r="JDR3" s="201"/>
      <c r="JDS3" s="201"/>
      <c r="JDT3" s="201"/>
      <c r="JDU3" s="200"/>
      <c r="JDV3" s="201"/>
      <c r="JDW3" s="201"/>
      <c r="JDX3" s="201"/>
      <c r="JDY3" s="200"/>
      <c r="JDZ3" s="201"/>
      <c r="JEA3" s="201"/>
      <c r="JEB3" s="201"/>
      <c r="JEC3" s="200"/>
      <c r="JED3" s="201"/>
      <c r="JEE3" s="201"/>
      <c r="JEF3" s="201"/>
      <c r="JEG3" s="200"/>
      <c r="JEH3" s="201"/>
      <c r="JEI3" s="201"/>
      <c r="JEJ3" s="201"/>
      <c r="JEK3" s="200"/>
      <c r="JEL3" s="201"/>
      <c r="JEM3" s="201"/>
      <c r="JEN3" s="201"/>
      <c r="JEO3" s="200"/>
      <c r="JEP3" s="201"/>
      <c r="JEQ3" s="201"/>
      <c r="JER3" s="201"/>
      <c r="JES3" s="200"/>
      <c r="JET3" s="201"/>
      <c r="JEU3" s="201"/>
      <c r="JEV3" s="201"/>
      <c r="JEW3" s="200"/>
      <c r="JEX3" s="201"/>
      <c r="JEY3" s="201"/>
      <c r="JEZ3" s="201"/>
      <c r="JFA3" s="200"/>
      <c r="JFB3" s="201"/>
      <c r="JFC3" s="201"/>
      <c r="JFD3" s="201"/>
      <c r="JFE3" s="200"/>
      <c r="JFF3" s="201"/>
      <c r="JFG3" s="201"/>
      <c r="JFH3" s="201"/>
      <c r="JFI3" s="200"/>
      <c r="JFJ3" s="201"/>
      <c r="JFK3" s="201"/>
      <c r="JFL3" s="201"/>
      <c r="JFM3" s="200"/>
      <c r="JFN3" s="201"/>
      <c r="JFO3" s="201"/>
      <c r="JFP3" s="201"/>
      <c r="JFQ3" s="200"/>
      <c r="JFR3" s="201"/>
      <c r="JFS3" s="201"/>
      <c r="JFT3" s="201"/>
      <c r="JFU3" s="200"/>
      <c r="JFV3" s="201"/>
      <c r="JFW3" s="201"/>
      <c r="JFX3" s="201"/>
      <c r="JFY3" s="200"/>
      <c r="JFZ3" s="201"/>
      <c r="JGA3" s="201"/>
      <c r="JGB3" s="201"/>
      <c r="JGC3" s="200"/>
      <c r="JGD3" s="201"/>
      <c r="JGE3" s="201"/>
      <c r="JGF3" s="201"/>
      <c r="JGG3" s="200"/>
      <c r="JGH3" s="201"/>
      <c r="JGI3" s="201"/>
      <c r="JGJ3" s="201"/>
      <c r="JGK3" s="200"/>
      <c r="JGL3" s="201"/>
      <c r="JGM3" s="201"/>
      <c r="JGN3" s="201"/>
      <c r="JGO3" s="200"/>
      <c r="JGP3" s="201"/>
      <c r="JGQ3" s="201"/>
      <c r="JGR3" s="201"/>
      <c r="JGS3" s="200"/>
      <c r="JGT3" s="201"/>
      <c r="JGU3" s="201"/>
      <c r="JGV3" s="201"/>
      <c r="JGW3" s="200"/>
      <c r="JGX3" s="201"/>
      <c r="JGY3" s="201"/>
      <c r="JGZ3" s="201"/>
      <c r="JHA3" s="200"/>
      <c r="JHB3" s="201"/>
      <c r="JHC3" s="201"/>
      <c r="JHD3" s="201"/>
      <c r="JHE3" s="200"/>
      <c r="JHF3" s="201"/>
      <c r="JHG3" s="201"/>
      <c r="JHH3" s="201"/>
      <c r="JHI3" s="200"/>
      <c r="JHJ3" s="201"/>
      <c r="JHK3" s="201"/>
      <c r="JHL3" s="201"/>
      <c r="JHM3" s="200"/>
      <c r="JHN3" s="201"/>
      <c r="JHO3" s="201"/>
      <c r="JHP3" s="201"/>
      <c r="JHQ3" s="200"/>
      <c r="JHR3" s="201"/>
      <c r="JHS3" s="201"/>
      <c r="JHT3" s="201"/>
      <c r="JHU3" s="200"/>
      <c r="JHV3" s="201"/>
      <c r="JHW3" s="201"/>
      <c r="JHX3" s="201"/>
      <c r="JHY3" s="200"/>
      <c r="JHZ3" s="201"/>
      <c r="JIA3" s="201"/>
      <c r="JIB3" s="201"/>
      <c r="JIC3" s="200"/>
      <c r="JID3" s="201"/>
      <c r="JIE3" s="201"/>
      <c r="JIF3" s="201"/>
      <c r="JIG3" s="200"/>
      <c r="JIH3" s="201"/>
      <c r="JII3" s="201"/>
      <c r="JIJ3" s="201"/>
      <c r="JIK3" s="200"/>
      <c r="JIL3" s="201"/>
      <c r="JIM3" s="201"/>
      <c r="JIN3" s="201"/>
      <c r="JIO3" s="200"/>
      <c r="JIP3" s="201"/>
      <c r="JIQ3" s="201"/>
      <c r="JIR3" s="201"/>
      <c r="JIS3" s="200"/>
      <c r="JIT3" s="201"/>
      <c r="JIU3" s="201"/>
      <c r="JIV3" s="201"/>
      <c r="JIW3" s="200"/>
      <c r="JIX3" s="201"/>
      <c r="JIY3" s="201"/>
      <c r="JIZ3" s="201"/>
      <c r="JJA3" s="200"/>
      <c r="JJB3" s="201"/>
      <c r="JJC3" s="201"/>
      <c r="JJD3" s="201"/>
      <c r="JJE3" s="200"/>
      <c r="JJF3" s="201"/>
      <c r="JJG3" s="201"/>
      <c r="JJH3" s="201"/>
      <c r="JJI3" s="200"/>
      <c r="JJJ3" s="201"/>
      <c r="JJK3" s="201"/>
      <c r="JJL3" s="201"/>
      <c r="JJM3" s="200"/>
      <c r="JJN3" s="201"/>
      <c r="JJO3" s="201"/>
      <c r="JJP3" s="201"/>
      <c r="JJQ3" s="200"/>
      <c r="JJR3" s="201"/>
      <c r="JJS3" s="201"/>
      <c r="JJT3" s="201"/>
      <c r="JJU3" s="200"/>
      <c r="JJV3" s="201"/>
      <c r="JJW3" s="201"/>
      <c r="JJX3" s="201"/>
      <c r="JJY3" s="200"/>
      <c r="JJZ3" s="201"/>
      <c r="JKA3" s="201"/>
      <c r="JKB3" s="201"/>
      <c r="JKC3" s="200"/>
      <c r="JKD3" s="201"/>
      <c r="JKE3" s="201"/>
      <c r="JKF3" s="201"/>
      <c r="JKG3" s="200"/>
      <c r="JKH3" s="201"/>
      <c r="JKI3" s="201"/>
      <c r="JKJ3" s="201"/>
      <c r="JKK3" s="200"/>
      <c r="JKL3" s="201"/>
      <c r="JKM3" s="201"/>
      <c r="JKN3" s="201"/>
      <c r="JKO3" s="200"/>
      <c r="JKP3" s="201"/>
      <c r="JKQ3" s="201"/>
      <c r="JKR3" s="201"/>
      <c r="JKS3" s="200"/>
      <c r="JKT3" s="201"/>
      <c r="JKU3" s="201"/>
      <c r="JKV3" s="201"/>
      <c r="JKW3" s="200"/>
      <c r="JKX3" s="201"/>
      <c r="JKY3" s="201"/>
      <c r="JKZ3" s="201"/>
      <c r="JLA3" s="200"/>
      <c r="JLB3" s="201"/>
      <c r="JLC3" s="201"/>
      <c r="JLD3" s="201"/>
      <c r="JLE3" s="200"/>
      <c r="JLF3" s="201"/>
      <c r="JLG3" s="201"/>
      <c r="JLH3" s="201"/>
      <c r="JLI3" s="200"/>
      <c r="JLJ3" s="201"/>
      <c r="JLK3" s="201"/>
      <c r="JLL3" s="201"/>
      <c r="JLM3" s="200"/>
      <c r="JLN3" s="201"/>
      <c r="JLO3" s="201"/>
      <c r="JLP3" s="201"/>
      <c r="JLQ3" s="200"/>
      <c r="JLR3" s="201"/>
      <c r="JLS3" s="201"/>
      <c r="JLT3" s="201"/>
      <c r="JLU3" s="200"/>
      <c r="JLV3" s="201"/>
      <c r="JLW3" s="201"/>
      <c r="JLX3" s="201"/>
      <c r="JLY3" s="200"/>
      <c r="JLZ3" s="201"/>
      <c r="JMA3" s="201"/>
      <c r="JMB3" s="201"/>
      <c r="JMC3" s="200"/>
      <c r="JMD3" s="201"/>
      <c r="JME3" s="201"/>
      <c r="JMF3" s="201"/>
      <c r="JMG3" s="200"/>
      <c r="JMH3" s="201"/>
      <c r="JMI3" s="201"/>
      <c r="JMJ3" s="201"/>
      <c r="JMK3" s="200"/>
      <c r="JML3" s="201"/>
      <c r="JMM3" s="201"/>
      <c r="JMN3" s="201"/>
      <c r="JMO3" s="200"/>
      <c r="JMP3" s="201"/>
      <c r="JMQ3" s="201"/>
      <c r="JMR3" s="201"/>
      <c r="JMS3" s="200"/>
      <c r="JMT3" s="201"/>
      <c r="JMU3" s="201"/>
      <c r="JMV3" s="201"/>
      <c r="JMW3" s="200"/>
      <c r="JMX3" s="201"/>
      <c r="JMY3" s="201"/>
      <c r="JMZ3" s="201"/>
      <c r="JNA3" s="200"/>
      <c r="JNB3" s="201"/>
      <c r="JNC3" s="201"/>
      <c r="JND3" s="201"/>
      <c r="JNE3" s="200"/>
      <c r="JNF3" s="201"/>
      <c r="JNG3" s="201"/>
      <c r="JNH3" s="201"/>
      <c r="JNI3" s="200"/>
      <c r="JNJ3" s="201"/>
      <c r="JNK3" s="201"/>
      <c r="JNL3" s="201"/>
      <c r="JNM3" s="200"/>
      <c r="JNN3" s="201"/>
      <c r="JNO3" s="201"/>
      <c r="JNP3" s="201"/>
      <c r="JNQ3" s="200"/>
      <c r="JNR3" s="201"/>
      <c r="JNS3" s="201"/>
      <c r="JNT3" s="201"/>
      <c r="JNU3" s="200"/>
      <c r="JNV3" s="201"/>
      <c r="JNW3" s="201"/>
      <c r="JNX3" s="201"/>
      <c r="JNY3" s="200"/>
      <c r="JNZ3" s="201"/>
      <c r="JOA3" s="201"/>
      <c r="JOB3" s="201"/>
      <c r="JOC3" s="200"/>
      <c r="JOD3" s="201"/>
      <c r="JOE3" s="201"/>
      <c r="JOF3" s="201"/>
      <c r="JOG3" s="200"/>
      <c r="JOH3" s="201"/>
      <c r="JOI3" s="201"/>
      <c r="JOJ3" s="201"/>
      <c r="JOK3" s="200"/>
      <c r="JOL3" s="201"/>
      <c r="JOM3" s="201"/>
      <c r="JON3" s="201"/>
      <c r="JOO3" s="200"/>
      <c r="JOP3" s="201"/>
      <c r="JOQ3" s="201"/>
      <c r="JOR3" s="201"/>
      <c r="JOS3" s="200"/>
      <c r="JOT3" s="201"/>
      <c r="JOU3" s="201"/>
      <c r="JOV3" s="201"/>
      <c r="JOW3" s="200"/>
      <c r="JOX3" s="201"/>
      <c r="JOY3" s="201"/>
      <c r="JOZ3" s="201"/>
      <c r="JPA3" s="200"/>
      <c r="JPB3" s="201"/>
      <c r="JPC3" s="201"/>
      <c r="JPD3" s="201"/>
      <c r="JPE3" s="200"/>
      <c r="JPF3" s="201"/>
      <c r="JPG3" s="201"/>
      <c r="JPH3" s="201"/>
      <c r="JPI3" s="200"/>
      <c r="JPJ3" s="201"/>
      <c r="JPK3" s="201"/>
      <c r="JPL3" s="201"/>
      <c r="JPM3" s="200"/>
      <c r="JPN3" s="201"/>
      <c r="JPO3" s="201"/>
      <c r="JPP3" s="201"/>
      <c r="JPQ3" s="200"/>
      <c r="JPR3" s="201"/>
      <c r="JPS3" s="201"/>
      <c r="JPT3" s="201"/>
      <c r="JPU3" s="200"/>
      <c r="JPV3" s="201"/>
      <c r="JPW3" s="201"/>
      <c r="JPX3" s="201"/>
      <c r="JPY3" s="200"/>
      <c r="JPZ3" s="201"/>
      <c r="JQA3" s="201"/>
      <c r="JQB3" s="201"/>
      <c r="JQC3" s="200"/>
      <c r="JQD3" s="201"/>
      <c r="JQE3" s="201"/>
      <c r="JQF3" s="201"/>
      <c r="JQG3" s="200"/>
      <c r="JQH3" s="201"/>
      <c r="JQI3" s="201"/>
      <c r="JQJ3" s="201"/>
      <c r="JQK3" s="200"/>
      <c r="JQL3" s="201"/>
      <c r="JQM3" s="201"/>
      <c r="JQN3" s="201"/>
      <c r="JQO3" s="200"/>
      <c r="JQP3" s="201"/>
      <c r="JQQ3" s="201"/>
      <c r="JQR3" s="201"/>
      <c r="JQS3" s="200"/>
      <c r="JQT3" s="201"/>
      <c r="JQU3" s="201"/>
      <c r="JQV3" s="201"/>
      <c r="JQW3" s="200"/>
      <c r="JQX3" s="201"/>
      <c r="JQY3" s="201"/>
      <c r="JQZ3" s="201"/>
      <c r="JRA3" s="200"/>
      <c r="JRB3" s="201"/>
      <c r="JRC3" s="201"/>
      <c r="JRD3" s="201"/>
      <c r="JRE3" s="200"/>
      <c r="JRF3" s="201"/>
      <c r="JRG3" s="201"/>
      <c r="JRH3" s="201"/>
      <c r="JRI3" s="200"/>
      <c r="JRJ3" s="201"/>
      <c r="JRK3" s="201"/>
      <c r="JRL3" s="201"/>
      <c r="JRM3" s="200"/>
      <c r="JRN3" s="201"/>
      <c r="JRO3" s="201"/>
      <c r="JRP3" s="201"/>
      <c r="JRQ3" s="200"/>
      <c r="JRR3" s="201"/>
      <c r="JRS3" s="201"/>
      <c r="JRT3" s="201"/>
      <c r="JRU3" s="200"/>
      <c r="JRV3" s="201"/>
      <c r="JRW3" s="201"/>
      <c r="JRX3" s="201"/>
      <c r="JRY3" s="200"/>
      <c r="JRZ3" s="201"/>
      <c r="JSA3" s="201"/>
      <c r="JSB3" s="201"/>
      <c r="JSC3" s="200"/>
      <c r="JSD3" s="201"/>
      <c r="JSE3" s="201"/>
      <c r="JSF3" s="201"/>
      <c r="JSG3" s="200"/>
      <c r="JSH3" s="201"/>
      <c r="JSI3" s="201"/>
      <c r="JSJ3" s="201"/>
      <c r="JSK3" s="200"/>
      <c r="JSL3" s="201"/>
      <c r="JSM3" s="201"/>
      <c r="JSN3" s="201"/>
      <c r="JSO3" s="200"/>
      <c r="JSP3" s="201"/>
      <c r="JSQ3" s="201"/>
      <c r="JSR3" s="201"/>
      <c r="JSS3" s="200"/>
      <c r="JST3" s="201"/>
      <c r="JSU3" s="201"/>
      <c r="JSV3" s="201"/>
      <c r="JSW3" s="200"/>
      <c r="JSX3" s="201"/>
      <c r="JSY3" s="201"/>
      <c r="JSZ3" s="201"/>
      <c r="JTA3" s="200"/>
      <c r="JTB3" s="201"/>
      <c r="JTC3" s="201"/>
      <c r="JTD3" s="201"/>
      <c r="JTE3" s="200"/>
      <c r="JTF3" s="201"/>
      <c r="JTG3" s="201"/>
      <c r="JTH3" s="201"/>
      <c r="JTI3" s="200"/>
      <c r="JTJ3" s="201"/>
      <c r="JTK3" s="201"/>
      <c r="JTL3" s="201"/>
      <c r="JTM3" s="200"/>
      <c r="JTN3" s="201"/>
      <c r="JTO3" s="201"/>
      <c r="JTP3" s="201"/>
      <c r="JTQ3" s="200"/>
      <c r="JTR3" s="201"/>
      <c r="JTS3" s="201"/>
      <c r="JTT3" s="201"/>
      <c r="JTU3" s="200"/>
      <c r="JTV3" s="201"/>
      <c r="JTW3" s="201"/>
      <c r="JTX3" s="201"/>
      <c r="JTY3" s="200"/>
      <c r="JTZ3" s="201"/>
      <c r="JUA3" s="201"/>
      <c r="JUB3" s="201"/>
      <c r="JUC3" s="200"/>
      <c r="JUD3" s="201"/>
      <c r="JUE3" s="201"/>
      <c r="JUF3" s="201"/>
      <c r="JUG3" s="200"/>
      <c r="JUH3" s="201"/>
      <c r="JUI3" s="201"/>
      <c r="JUJ3" s="201"/>
      <c r="JUK3" s="200"/>
      <c r="JUL3" s="201"/>
      <c r="JUM3" s="201"/>
      <c r="JUN3" s="201"/>
      <c r="JUO3" s="200"/>
      <c r="JUP3" s="201"/>
      <c r="JUQ3" s="201"/>
      <c r="JUR3" s="201"/>
      <c r="JUS3" s="200"/>
      <c r="JUT3" s="201"/>
      <c r="JUU3" s="201"/>
      <c r="JUV3" s="201"/>
      <c r="JUW3" s="200"/>
      <c r="JUX3" s="201"/>
      <c r="JUY3" s="201"/>
      <c r="JUZ3" s="201"/>
      <c r="JVA3" s="200"/>
      <c r="JVB3" s="201"/>
      <c r="JVC3" s="201"/>
      <c r="JVD3" s="201"/>
      <c r="JVE3" s="200"/>
      <c r="JVF3" s="201"/>
      <c r="JVG3" s="201"/>
      <c r="JVH3" s="201"/>
      <c r="JVI3" s="200"/>
      <c r="JVJ3" s="201"/>
      <c r="JVK3" s="201"/>
      <c r="JVL3" s="201"/>
      <c r="JVM3" s="200"/>
      <c r="JVN3" s="201"/>
      <c r="JVO3" s="201"/>
      <c r="JVP3" s="201"/>
      <c r="JVQ3" s="200"/>
      <c r="JVR3" s="201"/>
      <c r="JVS3" s="201"/>
      <c r="JVT3" s="201"/>
      <c r="JVU3" s="200"/>
      <c r="JVV3" s="201"/>
      <c r="JVW3" s="201"/>
      <c r="JVX3" s="201"/>
      <c r="JVY3" s="200"/>
      <c r="JVZ3" s="201"/>
      <c r="JWA3" s="201"/>
      <c r="JWB3" s="201"/>
      <c r="JWC3" s="200"/>
      <c r="JWD3" s="201"/>
      <c r="JWE3" s="201"/>
      <c r="JWF3" s="201"/>
      <c r="JWG3" s="200"/>
      <c r="JWH3" s="201"/>
      <c r="JWI3" s="201"/>
      <c r="JWJ3" s="201"/>
      <c r="JWK3" s="200"/>
      <c r="JWL3" s="201"/>
      <c r="JWM3" s="201"/>
      <c r="JWN3" s="201"/>
      <c r="JWO3" s="200"/>
      <c r="JWP3" s="201"/>
      <c r="JWQ3" s="201"/>
      <c r="JWR3" s="201"/>
      <c r="JWS3" s="200"/>
      <c r="JWT3" s="201"/>
      <c r="JWU3" s="201"/>
      <c r="JWV3" s="201"/>
      <c r="JWW3" s="200"/>
      <c r="JWX3" s="201"/>
      <c r="JWY3" s="201"/>
      <c r="JWZ3" s="201"/>
      <c r="JXA3" s="200"/>
      <c r="JXB3" s="201"/>
      <c r="JXC3" s="201"/>
      <c r="JXD3" s="201"/>
      <c r="JXE3" s="200"/>
      <c r="JXF3" s="201"/>
      <c r="JXG3" s="201"/>
      <c r="JXH3" s="201"/>
      <c r="JXI3" s="200"/>
      <c r="JXJ3" s="201"/>
      <c r="JXK3" s="201"/>
      <c r="JXL3" s="201"/>
      <c r="JXM3" s="200"/>
      <c r="JXN3" s="201"/>
      <c r="JXO3" s="201"/>
      <c r="JXP3" s="201"/>
      <c r="JXQ3" s="200"/>
      <c r="JXR3" s="201"/>
      <c r="JXS3" s="201"/>
      <c r="JXT3" s="201"/>
      <c r="JXU3" s="200"/>
      <c r="JXV3" s="201"/>
      <c r="JXW3" s="201"/>
      <c r="JXX3" s="201"/>
      <c r="JXY3" s="200"/>
      <c r="JXZ3" s="201"/>
      <c r="JYA3" s="201"/>
      <c r="JYB3" s="201"/>
      <c r="JYC3" s="200"/>
      <c r="JYD3" s="201"/>
      <c r="JYE3" s="201"/>
      <c r="JYF3" s="201"/>
      <c r="JYG3" s="200"/>
      <c r="JYH3" s="201"/>
      <c r="JYI3" s="201"/>
      <c r="JYJ3" s="201"/>
      <c r="JYK3" s="200"/>
      <c r="JYL3" s="201"/>
      <c r="JYM3" s="201"/>
      <c r="JYN3" s="201"/>
      <c r="JYO3" s="200"/>
      <c r="JYP3" s="201"/>
      <c r="JYQ3" s="201"/>
      <c r="JYR3" s="201"/>
      <c r="JYS3" s="200"/>
      <c r="JYT3" s="201"/>
      <c r="JYU3" s="201"/>
      <c r="JYV3" s="201"/>
      <c r="JYW3" s="200"/>
      <c r="JYX3" s="201"/>
      <c r="JYY3" s="201"/>
      <c r="JYZ3" s="201"/>
      <c r="JZA3" s="200"/>
      <c r="JZB3" s="201"/>
      <c r="JZC3" s="201"/>
      <c r="JZD3" s="201"/>
      <c r="JZE3" s="200"/>
      <c r="JZF3" s="201"/>
      <c r="JZG3" s="201"/>
      <c r="JZH3" s="201"/>
      <c r="JZI3" s="200"/>
      <c r="JZJ3" s="201"/>
      <c r="JZK3" s="201"/>
      <c r="JZL3" s="201"/>
      <c r="JZM3" s="200"/>
      <c r="JZN3" s="201"/>
      <c r="JZO3" s="201"/>
      <c r="JZP3" s="201"/>
      <c r="JZQ3" s="200"/>
      <c r="JZR3" s="201"/>
      <c r="JZS3" s="201"/>
      <c r="JZT3" s="201"/>
      <c r="JZU3" s="200"/>
      <c r="JZV3" s="201"/>
      <c r="JZW3" s="201"/>
      <c r="JZX3" s="201"/>
      <c r="JZY3" s="200"/>
      <c r="JZZ3" s="201"/>
      <c r="KAA3" s="201"/>
      <c r="KAB3" s="201"/>
      <c r="KAC3" s="200"/>
      <c r="KAD3" s="201"/>
      <c r="KAE3" s="201"/>
      <c r="KAF3" s="201"/>
      <c r="KAG3" s="200"/>
      <c r="KAH3" s="201"/>
      <c r="KAI3" s="201"/>
      <c r="KAJ3" s="201"/>
      <c r="KAK3" s="200"/>
      <c r="KAL3" s="201"/>
      <c r="KAM3" s="201"/>
      <c r="KAN3" s="201"/>
      <c r="KAO3" s="200"/>
      <c r="KAP3" s="201"/>
      <c r="KAQ3" s="201"/>
      <c r="KAR3" s="201"/>
      <c r="KAS3" s="200"/>
      <c r="KAT3" s="201"/>
      <c r="KAU3" s="201"/>
      <c r="KAV3" s="201"/>
      <c r="KAW3" s="200"/>
      <c r="KAX3" s="201"/>
      <c r="KAY3" s="201"/>
      <c r="KAZ3" s="201"/>
      <c r="KBA3" s="200"/>
      <c r="KBB3" s="201"/>
      <c r="KBC3" s="201"/>
      <c r="KBD3" s="201"/>
      <c r="KBE3" s="200"/>
      <c r="KBF3" s="201"/>
      <c r="KBG3" s="201"/>
      <c r="KBH3" s="201"/>
      <c r="KBI3" s="200"/>
      <c r="KBJ3" s="201"/>
      <c r="KBK3" s="201"/>
      <c r="KBL3" s="201"/>
      <c r="KBM3" s="200"/>
      <c r="KBN3" s="201"/>
      <c r="KBO3" s="201"/>
      <c r="KBP3" s="201"/>
      <c r="KBQ3" s="200"/>
      <c r="KBR3" s="201"/>
      <c r="KBS3" s="201"/>
      <c r="KBT3" s="201"/>
      <c r="KBU3" s="200"/>
      <c r="KBV3" s="201"/>
      <c r="KBW3" s="201"/>
      <c r="KBX3" s="201"/>
      <c r="KBY3" s="200"/>
      <c r="KBZ3" s="201"/>
      <c r="KCA3" s="201"/>
      <c r="KCB3" s="201"/>
      <c r="KCC3" s="200"/>
      <c r="KCD3" s="201"/>
      <c r="KCE3" s="201"/>
      <c r="KCF3" s="201"/>
      <c r="KCG3" s="200"/>
      <c r="KCH3" s="201"/>
      <c r="KCI3" s="201"/>
      <c r="KCJ3" s="201"/>
      <c r="KCK3" s="200"/>
      <c r="KCL3" s="201"/>
      <c r="KCM3" s="201"/>
      <c r="KCN3" s="201"/>
      <c r="KCO3" s="200"/>
      <c r="KCP3" s="201"/>
      <c r="KCQ3" s="201"/>
      <c r="KCR3" s="201"/>
      <c r="KCS3" s="200"/>
      <c r="KCT3" s="201"/>
      <c r="KCU3" s="201"/>
      <c r="KCV3" s="201"/>
      <c r="KCW3" s="200"/>
      <c r="KCX3" s="201"/>
      <c r="KCY3" s="201"/>
      <c r="KCZ3" s="201"/>
      <c r="KDA3" s="200"/>
      <c r="KDB3" s="201"/>
      <c r="KDC3" s="201"/>
      <c r="KDD3" s="201"/>
      <c r="KDE3" s="200"/>
      <c r="KDF3" s="201"/>
      <c r="KDG3" s="201"/>
      <c r="KDH3" s="201"/>
      <c r="KDI3" s="200"/>
      <c r="KDJ3" s="201"/>
      <c r="KDK3" s="201"/>
      <c r="KDL3" s="201"/>
      <c r="KDM3" s="200"/>
      <c r="KDN3" s="201"/>
      <c r="KDO3" s="201"/>
      <c r="KDP3" s="201"/>
      <c r="KDQ3" s="200"/>
      <c r="KDR3" s="201"/>
      <c r="KDS3" s="201"/>
      <c r="KDT3" s="201"/>
      <c r="KDU3" s="200"/>
      <c r="KDV3" s="201"/>
      <c r="KDW3" s="201"/>
      <c r="KDX3" s="201"/>
      <c r="KDY3" s="200"/>
      <c r="KDZ3" s="201"/>
      <c r="KEA3" s="201"/>
      <c r="KEB3" s="201"/>
      <c r="KEC3" s="200"/>
      <c r="KED3" s="201"/>
      <c r="KEE3" s="201"/>
      <c r="KEF3" s="201"/>
      <c r="KEG3" s="200"/>
      <c r="KEH3" s="201"/>
      <c r="KEI3" s="201"/>
      <c r="KEJ3" s="201"/>
      <c r="KEK3" s="200"/>
      <c r="KEL3" s="201"/>
      <c r="KEM3" s="201"/>
      <c r="KEN3" s="201"/>
      <c r="KEO3" s="200"/>
      <c r="KEP3" s="201"/>
      <c r="KEQ3" s="201"/>
      <c r="KER3" s="201"/>
      <c r="KES3" s="200"/>
      <c r="KET3" s="201"/>
      <c r="KEU3" s="201"/>
      <c r="KEV3" s="201"/>
      <c r="KEW3" s="200"/>
      <c r="KEX3" s="201"/>
      <c r="KEY3" s="201"/>
      <c r="KEZ3" s="201"/>
      <c r="KFA3" s="200"/>
      <c r="KFB3" s="201"/>
      <c r="KFC3" s="201"/>
      <c r="KFD3" s="201"/>
      <c r="KFE3" s="200"/>
      <c r="KFF3" s="201"/>
      <c r="KFG3" s="201"/>
      <c r="KFH3" s="201"/>
      <c r="KFI3" s="200"/>
      <c r="KFJ3" s="201"/>
      <c r="KFK3" s="201"/>
      <c r="KFL3" s="201"/>
      <c r="KFM3" s="200"/>
      <c r="KFN3" s="201"/>
      <c r="KFO3" s="201"/>
      <c r="KFP3" s="201"/>
      <c r="KFQ3" s="200"/>
      <c r="KFR3" s="201"/>
      <c r="KFS3" s="201"/>
      <c r="KFT3" s="201"/>
      <c r="KFU3" s="200"/>
      <c r="KFV3" s="201"/>
      <c r="KFW3" s="201"/>
      <c r="KFX3" s="201"/>
      <c r="KFY3" s="200"/>
      <c r="KFZ3" s="201"/>
      <c r="KGA3" s="201"/>
      <c r="KGB3" s="201"/>
      <c r="KGC3" s="200"/>
      <c r="KGD3" s="201"/>
      <c r="KGE3" s="201"/>
      <c r="KGF3" s="201"/>
      <c r="KGG3" s="200"/>
      <c r="KGH3" s="201"/>
      <c r="KGI3" s="201"/>
      <c r="KGJ3" s="201"/>
      <c r="KGK3" s="200"/>
      <c r="KGL3" s="201"/>
      <c r="KGM3" s="201"/>
      <c r="KGN3" s="201"/>
      <c r="KGO3" s="200"/>
      <c r="KGP3" s="201"/>
      <c r="KGQ3" s="201"/>
      <c r="KGR3" s="201"/>
      <c r="KGS3" s="200"/>
      <c r="KGT3" s="201"/>
      <c r="KGU3" s="201"/>
      <c r="KGV3" s="201"/>
      <c r="KGW3" s="200"/>
      <c r="KGX3" s="201"/>
      <c r="KGY3" s="201"/>
      <c r="KGZ3" s="201"/>
      <c r="KHA3" s="200"/>
      <c r="KHB3" s="201"/>
      <c r="KHC3" s="201"/>
      <c r="KHD3" s="201"/>
      <c r="KHE3" s="200"/>
      <c r="KHF3" s="201"/>
      <c r="KHG3" s="201"/>
      <c r="KHH3" s="201"/>
      <c r="KHI3" s="200"/>
      <c r="KHJ3" s="201"/>
      <c r="KHK3" s="201"/>
      <c r="KHL3" s="201"/>
      <c r="KHM3" s="200"/>
      <c r="KHN3" s="201"/>
      <c r="KHO3" s="201"/>
      <c r="KHP3" s="201"/>
      <c r="KHQ3" s="200"/>
      <c r="KHR3" s="201"/>
      <c r="KHS3" s="201"/>
      <c r="KHT3" s="201"/>
      <c r="KHU3" s="200"/>
      <c r="KHV3" s="201"/>
      <c r="KHW3" s="201"/>
      <c r="KHX3" s="201"/>
      <c r="KHY3" s="200"/>
      <c r="KHZ3" s="201"/>
      <c r="KIA3" s="201"/>
      <c r="KIB3" s="201"/>
      <c r="KIC3" s="200"/>
      <c r="KID3" s="201"/>
      <c r="KIE3" s="201"/>
      <c r="KIF3" s="201"/>
      <c r="KIG3" s="200"/>
      <c r="KIH3" s="201"/>
      <c r="KII3" s="201"/>
      <c r="KIJ3" s="201"/>
      <c r="KIK3" s="200"/>
      <c r="KIL3" s="201"/>
      <c r="KIM3" s="201"/>
      <c r="KIN3" s="201"/>
      <c r="KIO3" s="200"/>
      <c r="KIP3" s="201"/>
      <c r="KIQ3" s="201"/>
      <c r="KIR3" s="201"/>
      <c r="KIS3" s="200"/>
      <c r="KIT3" s="201"/>
      <c r="KIU3" s="201"/>
      <c r="KIV3" s="201"/>
      <c r="KIW3" s="200"/>
      <c r="KIX3" s="201"/>
      <c r="KIY3" s="201"/>
      <c r="KIZ3" s="201"/>
      <c r="KJA3" s="200"/>
      <c r="KJB3" s="201"/>
      <c r="KJC3" s="201"/>
      <c r="KJD3" s="201"/>
      <c r="KJE3" s="200"/>
      <c r="KJF3" s="201"/>
      <c r="KJG3" s="201"/>
      <c r="KJH3" s="201"/>
      <c r="KJI3" s="200"/>
      <c r="KJJ3" s="201"/>
      <c r="KJK3" s="201"/>
      <c r="KJL3" s="201"/>
      <c r="KJM3" s="200"/>
      <c r="KJN3" s="201"/>
      <c r="KJO3" s="201"/>
      <c r="KJP3" s="201"/>
      <c r="KJQ3" s="200"/>
      <c r="KJR3" s="201"/>
      <c r="KJS3" s="201"/>
      <c r="KJT3" s="201"/>
      <c r="KJU3" s="200"/>
      <c r="KJV3" s="201"/>
      <c r="KJW3" s="201"/>
      <c r="KJX3" s="201"/>
      <c r="KJY3" s="200"/>
      <c r="KJZ3" s="201"/>
      <c r="KKA3" s="201"/>
      <c r="KKB3" s="201"/>
      <c r="KKC3" s="200"/>
      <c r="KKD3" s="201"/>
      <c r="KKE3" s="201"/>
      <c r="KKF3" s="201"/>
      <c r="KKG3" s="200"/>
      <c r="KKH3" s="201"/>
      <c r="KKI3" s="201"/>
      <c r="KKJ3" s="201"/>
      <c r="KKK3" s="200"/>
      <c r="KKL3" s="201"/>
      <c r="KKM3" s="201"/>
      <c r="KKN3" s="201"/>
      <c r="KKO3" s="200"/>
      <c r="KKP3" s="201"/>
      <c r="KKQ3" s="201"/>
      <c r="KKR3" s="201"/>
      <c r="KKS3" s="200"/>
      <c r="KKT3" s="201"/>
      <c r="KKU3" s="201"/>
      <c r="KKV3" s="201"/>
      <c r="KKW3" s="200"/>
      <c r="KKX3" s="201"/>
      <c r="KKY3" s="201"/>
      <c r="KKZ3" s="201"/>
      <c r="KLA3" s="200"/>
      <c r="KLB3" s="201"/>
      <c r="KLC3" s="201"/>
      <c r="KLD3" s="201"/>
      <c r="KLE3" s="200"/>
      <c r="KLF3" s="201"/>
      <c r="KLG3" s="201"/>
      <c r="KLH3" s="201"/>
      <c r="KLI3" s="200"/>
      <c r="KLJ3" s="201"/>
      <c r="KLK3" s="201"/>
      <c r="KLL3" s="201"/>
      <c r="KLM3" s="200"/>
      <c r="KLN3" s="201"/>
      <c r="KLO3" s="201"/>
      <c r="KLP3" s="201"/>
      <c r="KLQ3" s="200"/>
      <c r="KLR3" s="201"/>
      <c r="KLS3" s="201"/>
      <c r="KLT3" s="201"/>
      <c r="KLU3" s="200"/>
      <c r="KLV3" s="201"/>
      <c r="KLW3" s="201"/>
      <c r="KLX3" s="201"/>
      <c r="KLY3" s="200"/>
      <c r="KLZ3" s="201"/>
      <c r="KMA3" s="201"/>
      <c r="KMB3" s="201"/>
      <c r="KMC3" s="200"/>
      <c r="KMD3" s="201"/>
      <c r="KME3" s="201"/>
      <c r="KMF3" s="201"/>
      <c r="KMG3" s="200"/>
      <c r="KMH3" s="201"/>
      <c r="KMI3" s="201"/>
      <c r="KMJ3" s="201"/>
      <c r="KMK3" s="200"/>
      <c r="KML3" s="201"/>
      <c r="KMM3" s="201"/>
      <c r="KMN3" s="201"/>
      <c r="KMO3" s="200"/>
      <c r="KMP3" s="201"/>
      <c r="KMQ3" s="201"/>
      <c r="KMR3" s="201"/>
      <c r="KMS3" s="200"/>
      <c r="KMT3" s="201"/>
      <c r="KMU3" s="201"/>
      <c r="KMV3" s="201"/>
      <c r="KMW3" s="200"/>
      <c r="KMX3" s="201"/>
      <c r="KMY3" s="201"/>
      <c r="KMZ3" s="201"/>
      <c r="KNA3" s="200"/>
      <c r="KNB3" s="201"/>
      <c r="KNC3" s="201"/>
      <c r="KND3" s="201"/>
      <c r="KNE3" s="200"/>
      <c r="KNF3" s="201"/>
      <c r="KNG3" s="201"/>
      <c r="KNH3" s="201"/>
      <c r="KNI3" s="200"/>
      <c r="KNJ3" s="201"/>
      <c r="KNK3" s="201"/>
      <c r="KNL3" s="201"/>
      <c r="KNM3" s="200"/>
      <c r="KNN3" s="201"/>
      <c r="KNO3" s="201"/>
      <c r="KNP3" s="201"/>
      <c r="KNQ3" s="200"/>
      <c r="KNR3" s="201"/>
      <c r="KNS3" s="201"/>
      <c r="KNT3" s="201"/>
      <c r="KNU3" s="200"/>
      <c r="KNV3" s="201"/>
      <c r="KNW3" s="201"/>
      <c r="KNX3" s="201"/>
      <c r="KNY3" s="200"/>
      <c r="KNZ3" s="201"/>
      <c r="KOA3" s="201"/>
      <c r="KOB3" s="201"/>
      <c r="KOC3" s="200"/>
      <c r="KOD3" s="201"/>
      <c r="KOE3" s="201"/>
      <c r="KOF3" s="201"/>
      <c r="KOG3" s="200"/>
      <c r="KOH3" s="201"/>
      <c r="KOI3" s="201"/>
      <c r="KOJ3" s="201"/>
      <c r="KOK3" s="200"/>
      <c r="KOL3" s="201"/>
      <c r="KOM3" s="201"/>
      <c r="KON3" s="201"/>
      <c r="KOO3" s="200"/>
      <c r="KOP3" s="201"/>
      <c r="KOQ3" s="201"/>
      <c r="KOR3" s="201"/>
      <c r="KOS3" s="200"/>
      <c r="KOT3" s="201"/>
      <c r="KOU3" s="201"/>
      <c r="KOV3" s="201"/>
      <c r="KOW3" s="200"/>
      <c r="KOX3" s="201"/>
      <c r="KOY3" s="201"/>
      <c r="KOZ3" s="201"/>
      <c r="KPA3" s="200"/>
      <c r="KPB3" s="201"/>
      <c r="KPC3" s="201"/>
      <c r="KPD3" s="201"/>
      <c r="KPE3" s="200"/>
      <c r="KPF3" s="201"/>
      <c r="KPG3" s="201"/>
      <c r="KPH3" s="201"/>
      <c r="KPI3" s="200"/>
      <c r="KPJ3" s="201"/>
      <c r="KPK3" s="201"/>
      <c r="KPL3" s="201"/>
      <c r="KPM3" s="200"/>
      <c r="KPN3" s="201"/>
      <c r="KPO3" s="201"/>
      <c r="KPP3" s="201"/>
      <c r="KPQ3" s="200"/>
      <c r="KPR3" s="201"/>
      <c r="KPS3" s="201"/>
      <c r="KPT3" s="201"/>
      <c r="KPU3" s="200"/>
      <c r="KPV3" s="201"/>
      <c r="KPW3" s="201"/>
      <c r="KPX3" s="201"/>
      <c r="KPY3" s="200"/>
      <c r="KPZ3" s="201"/>
      <c r="KQA3" s="201"/>
      <c r="KQB3" s="201"/>
      <c r="KQC3" s="200"/>
      <c r="KQD3" s="201"/>
      <c r="KQE3" s="201"/>
      <c r="KQF3" s="201"/>
      <c r="KQG3" s="200"/>
      <c r="KQH3" s="201"/>
      <c r="KQI3" s="201"/>
      <c r="KQJ3" s="201"/>
      <c r="KQK3" s="200"/>
      <c r="KQL3" s="201"/>
      <c r="KQM3" s="201"/>
      <c r="KQN3" s="201"/>
      <c r="KQO3" s="200"/>
      <c r="KQP3" s="201"/>
      <c r="KQQ3" s="201"/>
      <c r="KQR3" s="201"/>
      <c r="KQS3" s="200"/>
      <c r="KQT3" s="201"/>
      <c r="KQU3" s="201"/>
      <c r="KQV3" s="201"/>
      <c r="KQW3" s="200"/>
      <c r="KQX3" s="201"/>
      <c r="KQY3" s="201"/>
      <c r="KQZ3" s="201"/>
      <c r="KRA3" s="200"/>
      <c r="KRB3" s="201"/>
      <c r="KRC3" s="201"/>
      <c r="KRD3" s="201"/>
      <c r="KRE3" s="200"/>
      <c r="KRF3" s="201"/>
      <c r="KRG3" s="201"/>
      <c r="KRH3" s="201"/>
      <c r="KRI3" s="200"/>
      <c r="KRJ3" s="201"/>
      <c r="KRK3" s="201"/>
      <c r="KRL3" s="201"/>
      <c r="KRM3" s="200"/>
      <c r="KRN3" s="201"/>
      <c r="KRO3" s="201"/>
      <c r="KRP3" s="201"/>
      <c r="KRQ3" s="200"/>
      <c r="KRR3" s="201"/>
      <c r="KRS3" s="201"/>
      <c r="KRT3" s="201"/>
      <c r="KRU3" s="200"/>
      <c r="KRV3" s="201"/>
      <c r="KRW3" s="201"/>
      <c r="KRX3" s="201"/>
      <c r="KRY3" s="200"/>
      <c r="KRZ3" s="201"/>
      <c r="KSA3" s="201"/>
      <c r="KSB3" s="201"/>
      <c r="KSC3" s="200"/>
      <c r="KSD3" s="201"/>
      <c r="KSE3" s="201"/>
      <c r="KSF3" s="201"/>
      <c r="KSG3" s="200"/>
      <c r="KSH3" s="201"/>
      <c r="KSI3" s="201"/>
      <c r="KSJ3" s="201"/>
      <c r="KSK3" s="200"/>
      <c r="KSL3" s="201"/>
      <c r="KSM3" s="201"/>
      <c r="KSN3" s="201"/>
      <c r="KSO3" s="200"/>
      <c r="KSP3" s="201"/>
      <c r="KSQ3" s="201"/>
      <c r="KSR3" s="201"/>
      <c r="KSS3" s="200"/>
      <c r="KST3" s="201"/>
      <c r="KSU3" s="201"/>
      <c r="KSV3" s="201"/>
      <c r="KSW3" s="200"/>
      <c r="KSX3" s="201"/>
      <c r="KSY3" s="201"/>
      <c r="KSZ3" s="201"/>
      <c r="KTA3" s="200"/>
      <c r="KTB3" s="201"/>
      <c r="KTC3" s="201"/>
      <c r="KTD3" s="201"/>
      <c r="KTE3" s="200"/>
      <c r="KTF3" s="201"/>
      <c r="KTG3" s="201"/>
      <c r="KTH3" s="201"/>
      <c r="KTI3" s="200"/>
      <c r="KTJ3" s="201"/>
      <c r="KTK3" s="201"/>
      <c r="KTL3" s="201"/>
      <c r="KTM3" s="200"/>
      <c r="KTN3" s="201"/>
      <c r="KTO3" s="201"/>
      <c r="KTP3" s="201"/>
      <c r="KTQ3" s="200"/>
      <c r="KTR3" s="201"/>
      <c r="KTS3" s="201"/>
      <c r="KTT3" s="201"/>
      <c r="KTU3" s="200"/>
      <c r="KTV3" s="201"/>
      <c r="KTW3" s="201"/>
      <c r="KTX3" s="201"/>
      <c r="KTY3" s="200"/>
      <c r="KTZ3" s="201"/>
      <c r="KUA3" s="201"/>
      <c r="KUB3" s="201"/>
      <c r="KUC3" s="200"/>
      <c r="KUD3" s="201"/>
      <c r="KUE3" s="201"/>
      <c r="KUF3" s="201"/>
      <c r="KUG3" s="200"/>
      <c r="KUH3" s="201"/>
      <c r="KUI3" s="201"/>
      <c r="KUJ3" s="201"/>
      <c r="KUK3" s="200"/>
      <c r="KUL3" s="201"/>
      <c r="KUM3" s="201"/>
      <c r="KUN3" s="201"/>
      <c r="KUO3" s="200"/>
      <c r="KUP3" s="201"/>
      <c r="KUQ3" s="201"/>
      <c r="KUR3" s="201"/>
      <c r="KUS3" s="200"/>
      <c r="KUT3" s="201"/>
      <c r="KUU3" s="201"/>
      <c r="KUV3" s="201"/>
      <c r="KUW3" s="200"/>
      <c r="KUX3" s="201"/>
      <c r="KUY3" s="201"/>
      <c r="KUZ3" s="201"/>
      <c r="KVA3" s="200"/>
      <c r="KVB3" s="201"/>
      <c r="KVC3" s="201"/>
      <c r="KVD3" s="201"/>
      <c r="KVE3" s="200"/>
      <c r="KVF3" s="201"/>
      <c r="KVG3" s="201"/>
      <c r="KVH3" s="201"/>
      <c r="KVI3" s="200"/>
      <c r="KVJ3" s="201"/>
      <c r="KVK3" s="201"/>
      <c r="KVL3" s="201"/>
      <c r="KVM3" s="200"/>
      <c r="KVN3" s="201"/>
      <c r="KVO3" s="201"/>
      <c r="KVP3" s="201"/>
      <c r="KVQ3" s="200"/>
      <c r="KVR3" s="201"/>
      <c r="KVS3" s="201"/>
      <c r="KVT3" s="201"/>
      <c r="KVU3" s="200"/>
      <c r="KVV3" s="201"/>
      <c r="KVW3" s="201"/>
      <c r="KVX3" s="201"/>
      <c r="KVY3" s="200"/>
      <c r="KVZ3" s="201"/>
      <c r="KWA3" s="201"/>
      <c r="KWB3" s="201"/>
      <c r="KWC3" s="200"/>
      <c r="KWD3" s="201"/>
      <c r="KWE3" s="201"/>
      <c r="KWF3" s="201"/>
      <c r="KWG3" s="200"/>
      <c r="KWH3" s="201"/>
      <c r="KWI3" s="201"/>
      <c r="KWJ3" s="201"/>
      <c r="KWK3" s="200"/>
      <c r="KWL3" s="201"/>
      <c r="KWM3" s="201"/>
      <c r="KWN3" s="201"/>
      <c r="KWO3" s="200"/>
      <c r="KWP3" s="201"/>
      <c r="KWQ3" s="201"/>
      <c r="KWR3" s="201"/>
      <c r="KWS3" s="200"/>
      <c r="KWT3" s="201"/>
      <c r="KWU3" s="201"/>
      <c r="KWV3" s="201"/>
      <c r="KWW3" s="200"/>
      <c r="KWX3" s="201"/>
      <c r="KWY3" s="201"/>
      <c r="KWZ3" s="201"/>
      <c r="KXA3" s="200"/>
      <c r="KXB3" s="201"/>
      <c r="KXC3" s="201"/>
      <c r="KXD3" s="201"/>
      <c r="KXE3" s="200"/>
      <c r="KXF3" s="201"/>
      <c r="KXG3" s="201"/>
      <c r="KXH3" s="201"/>
      <c r="KXI3" s="200"/>
      <c r="KXJ3" s="201"/>
      <c r="KXK3" s="201"/>
      <c r="KXL3" s="201"/>
      <c r="KXM3" s="200"/>
      <c r="KXN3" s="201"/>
      <c r="KXO3" s="201"/>
      <c r="KXP3" s="201"/>
      <c r="KXQ3" s="200"/>
      <c r="KXR3" s="201"/>
      <c r="KXS3" s="201"/>
      <c r="KXT3" s="201"/>
      <c r="KXU3" s="200"/>
      <c r="KXV3" s="201"/>
      <c r="KXW3" s="201"/>
      <c r="KXX3" s="201"/>
      <c r="KXY3" s="200"/>
      <c r="KXZ3" s="201"/>
      <c r="KYA3" s="201"/>
      <c r="KYB3" s="201"/>
      <c r="KYC3" s="200"/>
      <c r="KYD3" s="201"/>
      <c r="KYE3" s="201"/>
      <c r="KYF3" s="201"/>
      <c r="KYG3" s="200"/>
      <c r="KYH3" s="201"/>
      <c r="KYI3" s="201"/>
      <c r="KYJ3" s="201"/>
      <c r="KYK3" s="200"/>
      <c r="KYL3" s="201"/>
      <c r="KYM3" s="201"/>
      <c r="KYN3" s="201"/>
      <c r="KYO3" s="200"/>
      <c r="KYP3" s="201"/>
      <c r="KYQ3" s="201"/>
      <c r="KYR3" s="201"/>
      <c r="KYS3" s="200"/>
      <c r="KYT3" s="201"/>
      <c r="KYU3" s="201"/>
      <c r="KYV3" s="201"/>
      <c r="KYW3" s="200"/>
      <c r="KYX3" s="201"/>
      <c r="KYY3" s="201"/>
      <c r="KYZ3" s="201"/>
      <c r="KZA3" s="200"/>
      <c r="KZB3" s="201"/>
      <c r="KZC3" s="201"/>
      <c r="KZD3" s="201"/>
      <c r="KZE3" s="200"/>
      <c r="KZF3" s="201"/>
      <c r="KZG3" s="201"/>
      <c r="KZH3" s="201"/>
      <c r="KZI3" s="200"/>
      <c r="KZJ3" s="201"/>
      <c r="KZK3" s="201"/>
      <c r="KZL3" s="201"/>
      <c r="KZM3" s="200"/>
      <c r="KZN3" s="201"/>
      <c r="KZO3" s="201"/>
      <c r="KZP3" s="201"/>
      <c r="KZQ3" s="200"/>
      <c r="KZR3" s="201"/>
      <c r="KZS3" s="201"/>
      <c r="KZT3" s="201"/>
      <c r="KZU3" s="200"/>
      <c r="KZV3" s="201"/>
      <c r="KZW3" s="201"/>
      <c r="KZX3" s="201"/>
      <c r="KZY3" s="200"/>
      <c r="KZZ3" s="201"/>
      <c r="LAA3" s="201"/>
      <c r="LAB3" s="201"/>
      <c r="LAC3" s="200"/>
      <c r="LAD3" s="201"/>
      <c r="LAE3" s="201"/>
      <c r="LAF3" s="201"/>
      <c r="LAG3" s="200"/>
      <c r="LAH3" s="201"/>
      <c r="LAI3" s="201"/>
      <c r="LAJ3" s="201"/>
      <c r="LAK3" s="200"/>
      <c r="LAL3" s="201"/>
      <c r="LAM3" s="201"/>
      <c r="LAN3" s="201"/>
      <c r="LAO3" s="200"/>
      <c r="LAP3" s="201"/>
      <c r="LAQ3" s="201"/>
      <c r="LAR3" s="201"/>
      <c r="LAS3" s="200"/>
      <c r="LAT3" s="201"/>
      <c r="LAU3" s="201"/>
      <c r="LAV3" s="201"/>
      <c r="LAW3" s="200"/>
      <c r="LAX3" s="201"/>
      <c r="LAY3" s="201"/>
      <c r="LAZ3" s="201"/>
      <c r="LBA3" s="200"/>
      <c r="LBB3" s="201"/>
      <c r="LBC3" s="201"/>
      <c r="LBD3" s="201"/>
      <c r="LBE3" s="200"/>
      <c r="LBF3" s="201"/>
      <c r="LBG3" s="201"/>
      <c r="LBH3" s="201"/>
      <c r="LBI3" s="200"/>
      <c r="LBJ3" s="201"/>
      <c r="LBK3" s="201"/>
      <c r="LBL3" s="201"/>
      <c r="LBM3" s="200"/>
      <c r="LBN3" s="201"/>
      <c r="LBO3" s="201"/>
      <c r="LBP3" s="201"/>
      <c r="LBQ3" s="200"/>
      <c r="LBR3" s="201"/>
      <c r="LBS3" s="201"/>
      <c r="LBT3" s="201"/>
      <c r="LBU3" s="200"/>
      <c r="LBV3" s="201"/>
      <c r="LBW3" s="201"/>
      <c r="LBX3" s="201"/>
      <c r="LBY3" s="200"/>
      <c r="LBZ3" s="201"/>
      <c r="LCA3" s="201"/>
      <c r="LCB3" s="201"/>
      <c r="LCC3" s="200"/>
      <c r="LCD3" s="201"/>
      <c r="LCE3" s="201"/>
      <c r="LCF3" s="201"/>
      <c r="LCG3" s="200"/>
      <c r="LCH3" s="201"/>
      <c r="LCI3" s="201"/>
      <c r="LCJ3" s="201"/>
      <c r="LCK3" s="200"/>
      <c r="LCL3" s="201"/>
      <c r="LCM3" s="201"/>
      <c r="LCN3" s="201"/>
      <c r="LCO3" s="200"/>
      <c r="LCP3" s="201"/>
      <c r="LCQ3" s="201"/>
      <c r="LCR3" s="201"/>
      <c r="LCS3" s="200"/>
      <c r="LCT3" s="201"/>
      <c r="LCU3" s="201"/>
      <c r="LCV3" s="201"/>
      <c r="LCW3" s="200"/>
      <c r="LCX3" s="201"/>
      <c r="LCY3" s="201"/>
      <c r="LCZ3" s="201"/>
      <c r="LDA3" s="200"/>
      <c r="LDB3" s="201"/>
      <c r="LDC3" s="201"/>
      <c r="LDD3" s="201"/>
      <c r="LDE3" s="200"/>
      <c r="LDF3" s="201"/>
      <c r="LDG3" s="201"/>
      <c r="LDH3" s="201"/>
      <c r="LDI3" s="200"/>
      <c r="LDJ3" s="201"/>
      <c r="LDK3" s="201"/>
      <c r="LDL3" s="201"/>
      <c r="LDM3" s="200"/>
      <c r="LDN3" s="201"/>
      <c r="LDO3" s="201"/>
      <c r="LDP3" s="201"/>
      <c r="LDQ3" s="200"/>
      <c r="LDR3" s="201"/>
      <c r="LDS3" s="201"/>
      <c r="LDT3" s="201"/>
      <c r="LDU3" s="200"/>
      <c r="LDV3" s="201"/>
      <c r="LDW3" s="201"/>
      <c r="LDX3" s="201"/>
      <c r="LDY3" s="200"/>
      <c r="LDZ3" s="201"/>
      <c r="LEA3" s="201"/>
      <c r="LEB3" s="201"/>
      <c r="LEC3" s="200"/>
      <c r="LED3" s="201"/>
      <c r="LEE3" s="201"/>
      <c r="LEF3" s="201"/>
      <c r="LEG3" s="200"/>
      <c r="LEH3" s="201"/>
      <c r="LEI3" s="201"/>
      <c r="LEJ3" s="201"/>
      <c r="LEK3" s="200"/>
      <c r="LEL3" s="201"/>
      <c r="LEM3" s="201"/>
      <c r="LEN3" s="201"/>
      <c r="LEO3" s="200"/>
      <c r="LEP3" s="201"/>
      <c r="LEQ3" s="201"/>
      <c r="LER3" s="201"/>
      <c r="LES3" s="200"/>
      <c r="LET3" s="201"/>
      <c r="LEU3" s="201"/>
      <c r="LEV3" s="201"/>
      <c r="LEW3" s="200"/>
      <c r="LEX3" s="201"/>
      <c r="LEY3" s="201"/>
      <c r="LEZ3" s="201"/>
      <c r="LFA3" s="200"/>
      <c r="LFB3" s="201"/>
      <c r="LFC3" s="201"/>
      <c r="LFD3" s="201"/>
      <c r="LFE3" s="200"/>
      <c r="LFF3" s="201"/>
      <c r="LFG3" s="201"/>
      <c r="LFH3" s="201"/>
      <c r="LFI3" s="200"/>
      <c r="LFJ3" s="201"/>
      <c r="LFK3" s="201"/>
      <c r="LFL3" s="201"/>
      <c r="LFM3" s="200"/>
      <c r="LFN3" s="201"/>
      <c r="LFO3" s="201"/>
      <c r="LFP3" s="201"/>
      <c r="LFQ3" s="200"/>
      <c r="LFR3" s="201"/>
      <c r="LFS3" s="201"/>
      <c r="LFT3" s="201"/>
      <c r="LFU3" s="200"/>
      <c r="LFV3" s="201"/>
      <c r="LFW3" s="201"/>
      <c r="LFX3" s="201"/>
      <c r="LFY3" s="200"/>
      <c r="LFZ3" s="201"/>
      <c r="LGA3" s="201"/>
      <c r="LGB3" s="201"/>
      <c r="LGC3" s="200"/>
      <c r="LGD3" s="201"/>
      <c r="LGE3" s="201"/>
      <c r="LGF3" s="201"/>
      <c r="LGG3" s="200"/>
      <c r="LGH3" s="201"/>
      <c r="LGI3" s="201"/>
      <c r="LGJ3" s="201"/>
      <c r="LGK3" s="200"/>
      <c r="LGL3" s="201"/>
      <c r="LGM3" s="201"/>
      <c r="LGN3" s="201"/>
      <c r="LGO3" s="200"/>
      <c r="LGP3" s="201"/>
      <c r="LGQ3" s="201"/>
      <c r="LGR3" s="201"/>
      <c r="LGS3" s="200"/>
      <c r="LGT3" s="201"/>
      <c r="LGU3" s="201"/>
      <c r="LGV3" s="201"/>
      <c r="LGW3" s="200"/>
      <c r="LGX3" s="201"/>
      <c r="LGY3" s="201"/>
      <c r="LGZ3" s="201"/>
      <c r="LHA3" s="200"/>
      <c r="LHB3" s="201"/>
      <c r="LHC3" s="201"/>
      <c r="LHD3" s="201"/>
      <c r="LHE3" s="200"/>
      <c r="LHF3" s="201"/>
      <c r="LHG3" s="201"/>
      <c r="LHH3" s="201"/>
      <c r="LHI3" s="200"/>
      <c r="LHJ3" s="201"/>
      <c r="LHK3" s="201"/>
      <c r="LHL3" s="201"/>
      <c r="LHM3" s="200"/>
      <c r="LHN3" s="201"/>
      <c r="LHO3" s="201"/>
      <c r="LHP3" s="201"/>
      <c r="LHQ3" s="200"/>
      <c r="LHR3" s="201"/>
      <c r="LHS3" s="201"/>
      <c r="LHT3" s="201"/>
      <c r="LHU3" s="200"/>
      <c r="LHV3" s="201"/>
      <c r="LHW3" s="201"/>
      <c r="LHX3" s="201"/>
      <c r="LHY3" s="200"/>
      <c r="LHZ3" s="201"/>
      <c r="LIA3" s="201"/>
      <c r="LIB3" s="201"/>
      <c r="LIC3" s="200"/>
      <c r="LID3" s="201"/>
      <c r="LIE3" s="201"/>
      <c r="LIF3" s="201"/>
      <c r="LIG3" s="200"/>
      <c r="LIH3" s="201"/>
      <c r="LII3" s="201"/>
      <c r="LIJ3" s="201"/>
      <c r="LIK3" s="200"/>
      <c r="LIL3" s="201"/>
      <c r="LIM3" s="201"/>
      <c r="LIN3" s="201"/>
      <c r="LIO3" s="200"/>
      <c r="LIP3" s="201"/>
      <c r="LIQ3" s="201"/>
      <c r="LIR3" s="201"/>
      <c r="LIS3" s="200"/>
      <c r="LIT3" s="201"/>
      <c r="LIU3" s="201"/>
      <c r="LIV3" s="201"/>
      <c r="LIW3" s="200"/>
      <c r="LIX3" s="201"/>
      <c r="LIY3" s="201"/>
      <c r="LIZ3" s="201"/>
      <c r="LJA3" s="200"/>
      <c r="LJB3" s="201"/>
      <c r="LJC3" s="201"/>
      <c r="LJD3" s="201"/>
      <c r="LJE3" s="200"/>
      <c r="LJF3" s="201"/>
      <c r="LJG3" s="201"/>
      <c r="LJH3" s="201"/>
      <c r="LJI3" s="200"/>
      <c r="LJJ3" s="201"/>
      <c r="LJK3" s="201"/>
      <c r="LJL3" s="201"/>
      <c r="LJM3" s="200"/>
      <c r="LJN3" s="201"/>
      <c r="LJO3" s="201"/>
      <c r="LJP3" s="201"/>
      <c r="LJQ3" s="200"/>
      <c r="LJR3" s="201"/>
      <c r="LJS3" s="201"/>
      <c r="LJT3" s="201"/>
      <c r="LJU3" s="200"/>
      <c r="LJV3" s="201"/>
      <c r="LJW3" s="201"/>
      <c r="LJX3" s="201"/>
      <c r="LJY3" s="200"/>
      <c r="LJZ3" s="201"/>
      <c r="LKA3" s="201"/>
      <c r="LKB3" s="201"/>
      <c r="LKC3" s="200"/>
      <c r="LKD3" s="201"/>
      <c r="LKE3" s="201"/>
      <c r="LKF3" s="201"/>
      <c r="LKG3" s="200"/>
      <c r="LKH3" s="201"/>
      <c r="LKI3" s="201"/>
      <c r="LKJ3" s="201"/>
      <c r="LKK3" s="200"/>
      <c r="LKL3" s="201"/>
      <c r="LKM3" s="201"/>
      <c r="LKN3" s="201"/>
      <c r="LKO3" s="200"/>
      <c r="LKP3" s="201"/>
      <c r="LKQ3" s="201"/>
      <c r="LKR3" s="201"/>
      <c r="LKS3" s="200"/>
      <c r="LKT3" s="201"/>
      <c r="LKU3" s="201"/>
      <c r="LKV3" s="201"/>
      <c r="LKW3" s="200"/>
      <c r="LKX3" s="201"/>
      <c r="LKY3" s="201"/>
      <c r="LKZ3" s="201"/>
      <c r="LLA3" s="200"/>
      <c r="LLB3" s="201"/>
      <c r="LLC3" s="201"/>
      <c r="LLD3" s="201"/>
      <c r="LLE3" s="200"/>
      <c r="LLF3" s="201"/>
      <c r="LLG3" s="201"/>
      <c r="LLH3" s="201"/>
      <c r="LLI3" s="200"/>
      <c r="LLJ3" s="201"/>
      <c r="LLK3" s="201"/>
      <c r="LLL3" s="201"/>
      <c r="LLM3" s="200"/>
      <c r="LLN3" s="201"/>
      <c r="LLO3" s="201"/>
      <c r="LLP3" s="201"/>
      <c r="LLQ3" s="200"/>
      <c r="LLR3" s="201"/>
      <c r="LLS3" s="201"/>
      <c r="LLT3" s="201"/>
      <c r="LLU3" s="200"/>
      <c r="LLV3" s="201"/>
      <c r="LLW3" s="201"/>
      <c r="LLX3" s="201"/>
      <c r="LLY3" s="200"/>
      <c r="LLZ3" s="201"/>
      <c r="LMA3" s="201"/>
      <c r="LMB3" s="201"/>
      <c r="LMC3" s="200"/>
      <c r="LMD3" s="201"/>
      <c r="LME3" s="201"/>
      <c r="LMF3" s="201"/>
      <c r="LMG3" s="200"/>
      <c r="LMH3" s="201"/>
      <c r="LMI3" s="201"/>
      <c r="LMJ3" s="201"/>
      <c r="LMK3" s="200"/>
      <c r="LML3" s="201"/>
      <c r="LMM3" s="201"/>
      <c r="LMN3" s="201"/>
      <c r="LMO3" s="200"/>
      <c r="LMP3" s="201"/>
      <c r="LMQ3" s="201"/>
      <c r="LMR3" s="201"/>
      <c r="LMS3" s="200"/>
      <c r="LMT3" s="201"/>
      <c r="LMU3" s="201"/>
      <c r="LMV3" s="201"/>
      <c r="LMW3" s="200"/>
      <c r="LMX3" s="201"/>
      <c r="LMY3" s="201"/>
      <c r="LMZ3" s="201"/>
      <c r="LNA3" s="200"/>
      <c r="LNB3" s="201"/>
      <c r="LNC3" s="201"/>
      <c r="LND3" s="201"/>
      <c r="LNE3" s="200"/>
      <c r="LNF3" s="201"/>
      <c r="LNG3" s="201"/>
      <c r="LNH3" s="201"/>
      <c r="LNI3" s="200"/>
      <c r="LNJ3" s="201"/>
      <c r="LNK3" s="201"/>
      <c r="LNL3" s="201"/>
      <c r="LNM3" s="200"/>
      <c r="LNN3" s="201"/>
      <c r="LNO3" s="201"/>
      <c r="LNP3" s="201"/>
      <c r="LNQ3" s="200"/>
      <c r="LNR3" s="201"/>
      <c r="LNS3" s="201"/>
      <c r="LNT3" s="201"/>
      <c r="LNU3" s="200"/>
      <c r="LNV3" s="201"/>
      <c r="LNW3" s="201"/>
      <c r="LNX3" s="201"/>
      <c r="LNY3" s="200"/>
      <c r="LNZ3" s="201"/>
      <c r="LOA3" s="201"/>
      <c r="LOB3" s="201"/>
      <c r="LOC3" s="200"/>
      <c r="LOD3" s="201"/>
      <c r="LOE3" s="201"/>
      <c r="LOF3" s="201"/>
      <c r="LOG3" s="200"/>
      <c r="LOH3" s="201"/>
      <c r="LOI3" s="201"/>
      <c r="LOJ3" s="201"/>
      <c r="LOK3" s="200"/>
      <c r="LOL3" s="201"/>
      <c r="LOM3" s="201"/>
      <c r="LON3" s="201"/>
      <c r="LOO3" s="200"/>
      <c r="LOP3" s="201"/>
      <c r="LOQ3" s="201"/>
      <c r="LOR3" s="201"/>
      <c r="LOS3" s="200"/>
      <c r="LOT3" s="201"/>
      <c r="LOU3" s="201"/>
      <c r="LOV3" s="201"/>
      <c r="LOW3" s="200"/>
      <c r="LOX3" s="201"/>
      <c r="LOY3" s="201"/>
      <c r="LOZ3" s="201"/>
      <c r="LPA3" s="200"/>
      <c r="LPB3" s="201"/>
      <c r="LPC3" s="201"/>
      <c r="LPD3" s="201"/>
      <c r="LPE3" s="200"/>
      <c r="LPF3" s="201"/>
      <c r="LPG3" s="201"/>
      <c r="LPH3" s="201"/>
      <c r="LPI3" s="200"/>
      <c r="LPJ3" s="201"/>
      <c r="LPK3" s="201"/>
      <c r="LPL3" s="201"/>
      <c r="LPM3" s="200"/>
      <c r="LPN3" s="201"/>
      <c r="LPO3" s="201"/>
      <c r="LPP3" s="201"/>
      <c r="LPQ3" s="200"/>
      <c r="LPR3" s="201"/>
      <c r="LPS3" s="201"/>
      <c r="LPT3" s="201"/>
      <c r="LPU3" s="200"/>
      <c r="LPV3" s="201"/>
      <c r="LPW3" s="201"/>
      <c r="LPX3" s="201"/>
      <c r="LPY3" s="200"/>
      <c r="LPZ3" s="201"/>
      <c r="LQA3" s="201"/>
      <c r="LQB3" s="201"/>
      <c r="LQC3" s="200"/>
      <c r="LQD3" s="201"/>
      <c r="LQE3" s="201"/>
      <c r="LQF3" s="201"/>
      <c r="LQG3" s="200"/>
      <c r="LQH3" s="201"/>
      <c r="LQI3" s="201"/>
      <c r="LQJ3" s="201"/>
      <c r="LQK3" s="200"/>
      <c r="LQL3" s="201"/>
      <c r="LQM3" s="201"/>
      <c r="LQN3" s="201"/>
      <c r="LQO3" s="200"/>
      <c r="LQP3" s="201"/>
      <c r="LQQ3" s="201"/>
      <c r="LQR3" s="201"/>
      <c r="LQS3" s="200"/>
      <c r="LQT3" s="201"/>
      <c r="LQU3" s="201"/>
      <c r="LQV3" s="201"/>
      <c r="LQW3" s="200"/>
      <c r="LQX3" s="201"/>
      <c r="LQY3" s="201"/>
      <c r="LQZ3" s="201"/>
      <c r="LRA3" s="200"/>
      <c r="LRB3" s="201"/>
      <c r="LRC3" s="201"/>
      <c r="LRD3" s="201"/>
      <c r="LRE3" s="200"/>
      <c r="LRF3" s="201"/>
      <c r="LRG3" s="201"/>
      <c r="LRH3" s="201"/>
      <c r="LRI3" s="200"/>
      <c r="LRJ3" s="201"/>
      <c r="LRK3" s="201"/>
      <c r="LRL3" s="201"/>
      <c r="LRM3" s="200"/>
      <c r="LRN3" s="201"/>
      <c r="LRO3" s="201"/>
      <c r="LRP3" s="201"/>
      <c r="LRQ3" s="200"/>
      <c r="LRR3" s="201"/>
      <c r="LRS3" s="201"/>
      <c r="LRT3" s="201"/>
      <c r="LRU3" s="200"/>
      <c r="LRV3" s="201"/>
      <c r="LRW3" s="201"/>
      <c r="LRX3" s="201"/>
      <c r="LRY3" s="200"/>
      <c r="LRZ3" s="201"/>
      <c r="LSA3" s="201"/>
      <c r="LSB3" s="201"/>
      <c r="LSC3" s="200"/>
      <c r="LSD3" s="201"/>
      <c r="LSE3" s="201"/>
      <c r="LSF3" s="201"/>
      <c r="LSG3" s="200"/>
      <c r="LSH3" s="201"/>
      <c r="LSI3" s="201"/>
      <c r="LSJ3" s="201"/>
      <c r="LSK3" s="200"/>
      <c r="LSL3" s="201"/>
      <c r="LSM3" s="201"/>
      <c r="LSN3" s="201"/>
      <c r="LSO3" s="200"/>
      <c r="LSP3" s="201"/>
      <c r="LSQ3" s="201"/>
      <c r="LSR3" s="201"/>
      <c r="LSS3" s="200"/>
      <c r="LST3" s="201"/>
      <c r="LSU3" s="201"/>
      <c r="LSV3" s="201"/>
      <c r="LSW3" s="200"/>
      <c r="LSX3" s="201"/>
      <c r="LSY3" s="201"/>
      <c r="LSZ3" s="201"/>
      <c r="LTA3" s="200"/>
      <c r="LTB3" s="201"/>
      <c r="LTC3" s="201"/>
      <c r="LTD3" s="201"/>
      <c r="LTE3" s="200"/>
      <c r="LTF3" s="201"/>
      <c r="LTG3" s="201"/>
      <c r="LTH3" s="201"/>
      <c r="LTI3" s="200"/>
      <c r="LTJ3" s="201"/>
      <c r="LTK3" s="201"/>
      <c r="LTL3" s="201"/>
      <c r="LTM3" s="200"/>
      <c r="LTN3" s="201"/>
      <c r="LTO3" s="201"/>
      <c r="LTP3" s="201"/>
      <c r="LTQ3" s="200"/>
      <c r="LTR3" s="201"/>
      <c r="LTS3" s="201"/>
      <c r="LTT3" s="201"/>
      <c r="LTU3" s="200"/>
      <c r="LTV3" s="201"/>
      <c r="LTW3" s="201"/>
      <c r="LTX3" s="201"/>
      <c r="LTY3" s="200"/>
      <c r="LTZ3" s="201"/>
      <c r="LUA3" s="201"/>
      <c r="LUB3" s="201"/>
      <c r="LUC3" s="200"/>
      <c r="LUD3" s="201"/>
      <c r="LUE3" s="201"/>
      <c r="LUF3" s="201"/>
      <c r="LUG3" s="200"/>
      <c r="LUH3" s="201"/>
      <c r="LUI3" s="201"/>
      <c r="LUJ3" s="201"/>
      <c r="LUK3" s="200"/>
      <c r="LUL3" s="201"/>
      <c r="LUM3" s="201"/>
      <c r="LUN3" s="201"/>
      <c r="LUO3" s="200"/>
      <c r="LUP3" s="201"/>
      <c r="LUQ3" s="201"/>
      <c r="LUR3" s="201"/>
      <c r="LUS3" s="200"/>
      <c r="LUT3" s="201"/>
      <c r="LUU3" s="201"/>
      <c r="LUV3" s="201"/>
      <c r="LUW3" s="200"/>
      <c r="LUX3" s="201"/>
      <c r="LUY3" s="201"/>
      <c r="LUZ3" s="201"/>
      <c r="LVA3" s="200"/>
      <c r="LVB3" s="201"/>
      <c r="LVC3" s="201"/>
      <c r="LVD3" s="201"/>
      <c r="LVE3" s="200"/>
      <c r="LVF3" s="201"/>
      <c r="LVG3" s="201"/>
      <c r="LVH3" s="201"/>
      <c r="LVI3" s="200"/>
      <c r="LVJ3" s="201"/>
      <c r="LVK3" s="201"/>
      <c r="LVL3" s="201"/>
      <c r="LVM3" s="200"/>
      <c r="LVN3" s="201"/>
      <c r="LVO3" s="201"/>
      <c r="LVP3" s="201"/>
      <c r="LVQ3" s="200"/>
      <c r="LVR3" s="201"/>
      <c r="LVS3" s="201"/>
      <c r="LVT3" s="201"/>
      <c r="LVU3" s="200"/>
      <c r="LVV3" s="201"/>
      <c r="LVW3" s="201"/>
      <c r="LVX3" s="201"/>
      <c r="LVY3" s="200"/>
      <c r="LVZ3" s="201"/>
      <c r="LWA3" s="201"/>
      <c r="LWB3" s="201"/>
      <c r="LWC3" s="200"/>
      <c r="LWD3" s="201"/>
      <c r="LWE3" s="201"/>
      <c r="LWF3" s="201"/>
      <c r="LWG3" s="200"/>
      <c r="LWH3" s="201"/>
      <c r="LWI3" s="201"/>
      <c r="LWJ3" s="201"/>
      <c r="LWK3" s="200"/>
      <c r="LWL3" s="201"/>
      <c r="LWM3" s="201"/>
      <c r="LWN3" s="201"/>
      <c r="LWO3" s="200"/>
      <c r="LWP3" s="201"/>
      <c r="LWQ3" s="201"/>
      <c r="LWR3" s="201"/>
      <c r="LWS3" s="200"/>
      <c r="LWT3" s="201"/>
      <c r="LWU3" s="201"/>
      <c r="LWV3" s="201"/>
      <c r="LWW3" s="200"/>
      <c r="LWX3" s="201"/>
      <c r="LWY3" s="201"/>
      <c r="LWZ3" s="201"/>
      <c r="LXA3" s="200"/>
      <c r="LXB3" s="201"/>
      <c r="LXC3" s="201"/>
      <c r="LXD3" s="201"/>
      <c r="LXE3" s="200"/>
      <c r="LXF3" s="201"/>
      <c r="LXG3" s="201"/>
      <c r="LXH3" s="201"/>
      <c r="LXI3" s="200"/>
      <c r="LXJ3" s="201"/>
      <c r="LXK3" s="201"/>
      <c r="LXL3" s="201"/>
      <c r="LXM3" s="200"/>
      <c r="LXN3" s="201"/>
      <c r="LXO3" s="201"/>
      <c r="LXP3" s="201"/>
      <c r="LXQ3" s="200"/>
      <c r="LXR3" s="201"/>
      <c r="LXS3" s="201"/>
      <c r="LXT3" s="201"/>
      <c r="LXU3" s="200"/>
      <c r="LXV3" s="201"/>
      <c r="LXW3" s="201"/>
      <c r="LXX3" s="201"/>
      <c r="LXY3" s="200"/>
      <c r="LXZ3" s="201"/>
      <c r="LYA3" s="201"/>
      <c r="LYB3" s="201"/>
      <c r="LYC3" s="200"/>
      <c r="LYD3" s="201"/>
      <c r="LYE3" s="201"/>
      <c r="LYF3" s="201"/>
      <c r="LYG3" s="200"/>
      <c r="LYH3" s="201"/>
      <c r="LYI3" s="201"/>
      <c r="LYJ3" s="201"/>
      <c r="LYK3" s="200"/>
      <c r="LYL3" s="201"/>
      <c r="LYM3" s="201"/>
      <c r="LYN3" s="201"/>
      <c r="LYO3" s="200"/>
      <c r="LYP3" s="201"/>
      <c r="LYQ3" s="201"/>
      <c r="LYR3" s="201"/>
      <c r="LYS3" s="200"/>
      <c r="LYT3" s="201"/>
      <c r="LYU3" s="201"/>
      <c r="LYV3" s="201"/>
      <c r="LYW3" s="200"/>
      <c r="LYX3" s="201"/>
      <c r="LYY3" s="201"/>
      <c r="LYZ3" s="201"/>
      <c r="LZA3" s="200"/>
      <c r="LZB3" s="201"/>
      <c r="LZC3" s="201"/>
      <c r="LZD3" s="201"/>
      <c r="LZE3" s="200"/>
      <c r="LZF3" s="201"/>
      <c r="LZG3" s="201"/>
      <c r="LZH3" s="201"/>
      <c r="LZI3" s="200"/>
      <c r="LZJ3" s="201"/>
      <c r="LZK3" s="201"/>
      <c r="LZL3" s="201"/>
      <c r="LZM3" s="200"/>
      <c r="LZN3" s="201"/>
      <c r="LZO3" s="201"/>
      <c r="LZP3" s="201"/>
      <c r="LZQ3" s="200"/>
      <c r="LZR3" s="201"/>
      <c r="LZS3" s="201"/>
      <c r="LZT3" s="201"/>
      <c r="LZU3" s="200"/>
      <c r="LZV3" s="201"/>
      <c r="LZW3" s="201"/>
      <c r="LZX3" s="201"/>
      <c r="LZY3" s="200"/>
      <c r="LZZ3" s="201"/>
      <c r="MAA3" s="201"/>
      <c r="MAB3" s="201"/>
      <c r="MAC3" s="200"/>
      <c r="MAD3" s="201"/>
      <c r="MAE3" s="201"/>
      <c r="MAF3" s="201"/>
      <c r="MAG3" s="200"/>
      <c r="MAH3" s="201"/>
      <c r="MAI3" s="201"/>
      <c r="MAJ3" s="201"/>
      <c r="MAK3" s="200"/>
      <c r="MAL3" s="201"/>
      <c r="MAM3" s="201"/>
      <c r="MAN3" s="201"/>
      <c r="MAO3" s="200"/>
      <c r="MAP3" s="201"/>
      <c r="MAQ3" s="201"/>
      <c r="MAR3" s="201"/>
      <c r="MAS3" s="200"/>
      <c r="MAT3" s="201"/>
      <c r="MAU3" s="201"/>
      <c r="MAV3" s="201"/>
      <c r="MAW3" s="200"/>
      <c r="MAX3" s="201"/>
      <c r="MAY3" s="201"/>
      <c r="MAZ3" s="201"/>
      <c r="MBA3" s="200"/>
      <c r="MBB3" s="201"/>
      <c r="MBC3" s="201"/>
      <c r="MBD3" s="201"/>
      <c r="MBE3" s="200"/>
      <c r="MBF3" s="201"/>
      <c r="MBG3" s="201"/>
      <c r="MBH3" s="201"/>
      <c r="MBI3" s="200"/>
      <c r="MBJ3" s="201"/>
      <c r="MBK3" s="201"/>
      <c r="MBL3" s="201"/>
      <c r="MBM3" s="200"/>
      <c r="MBN3" s="201"/>
      <c r="MBO3" s="201"/>
      <c r="MBP3" s="201"/>
      <c r="MBQ3" s="200"/>
      <c r="MBR3" s="201"/>
      <c r="MBS3" s="201"/>
      <c r="MBT3" s="201"/>
      <c r="MBU3" s="200"/>
      <c r="MBV3" s="201"/>
      <c r="MBW3" s="201"/>
      <c r="MBX3" s="201"/>
      <c r="MBY3" s="200"/>
      <c r="MBZ3" s="201"/>
      <c r="MCA3" s="201"/>
      <c r="MCB3" s="201"/>
      <c r="MCC3" s="200"/>
      <c r="MCD3" s="201"/>
      <c r="MCE3" s="201"/>
      <c r="MCF3" s="201"/>
      <c r="MCG3" s="200"/>
      <c r="MCH3" s="201"/>
      <c r="MCI3" s="201"/>
      <c r="MCJ3" s="201"/>
      <c r="MCK3" s="200"/>
      <c r="MCL3" s="201"/>
      <c r="MCM3" s="201"/>
      <c r="MCN3" s="201"/>
      <c r="MCO3" s="200"/>
      <c r="MCP3" s="201"/>
      <c r="MCQ3" s="201"/>
      <c r="MCR3" s="201"/>
      <c r="MCS3" s="200"/>
      <c r="MCT3" s="201"/>
      <c r="MCU3" s="201"/>
      <c r="MCV3" s="201"/>
      <c r="MCW3" s="200"/>
      <c r="MCX3" s="201"/>
      <c r="MCY3" s="201"/>
      <c r="MCZ3" s="201"/>
      <c r="MDA3" s="200"/>
      <c r="MDB3" s="201"/>
      <c r="MDC3" s="201"/>
      <c r="MDD3" s="201"/>
      <c r="MDE3" s="200"/>
      <c r="MDF3" s="201"/>
      <c r="MDG3" s="201"/>
      <c r="MDH3" s="201"/>
      <c r="MDI3" s="200"/>
      <c r="MDJ3" s="201"/>
      <c r="MDK3" s="201"/>
      <c r="MDL3" s="201"/>
      <c r="MDM3" s="200"/>
      <c r="MDN3" s="201"/>
      <c r="MDO3" s="201"/>
      <c r="MDP3" s="201"/>
      <c r="MDQ3" s="200"/>
      <c r="MDR3" s="201"/>
      <c r="MDS3" s="201"/>
      <c r="MDT3" s="201"/>
      <c r="MDU3" s="200"/>
      <c r="MDV3" s="201"/>
      <c r="MDW3" s="201"/>
      <c r="MDX3" s="201"/>
      <c r="MDY3" s="200"/>
      <c r="MDZ3" s="201"/>
      <c r="MEA3" s="201"/>
      <c r="MEB3" s="201"/>
      <c r="MEC3" s="200"/>
      <c r="MED3" s="201"/>
      <c r="MEE3" s="201"/>
      <c r="MEF3" s="201"/>
      <c r="MEG3" s="200"/>
      <c r="MEH3" s="201"/>
      <c r="MEI3" s="201"/>
      <c r="MEJ3" s="201"/>
      <c r="MEK3" s="200"/>
      <c r="MEL3" s="201"/>
      <c r="MEM3" s="201"/>
      <c r="MEN3" s="201"/>
      <c r="MEO3" s="200"/>
      <c r="MEP3" s="201"/>
      <c r="MEQ3" s="201"/>
      <c r="MER3" s="201"/>
      <c r="MES3" s="200"/>
      <c r="MET3" s="201"/>
      <c r="MEU3" s="201"/>
      <c r="MEV3" s="201"/>
      <c r="MEW3" s="200"/>
      <c r="MEX3" s="201"/>
      <c r="MEY3" s="201"/>
      <c r="MEZ3" s="201"/>
      <c r="MFA3" s="200"/>
      <c r="MFB3" s="201"/>
      <c r="MFC3" s="201"/>
      <c r="MFD3" s="201"/>
      <c r="MFE3" s="200"/>
      <c r="MFF3" s="201"/>
      <c r="MFG3" s="201"/>
      <c r="MFH3" s="201"/>
      <c r="MFI3" s="200"/>
      <c r="MFJ3" s="201"/>
      <c r="MFK3" s="201"/>
      <c r="MFL3" s="201"/>
      <c r="MFM3" s="200"/>
      <c r="MFN3" s="201"/>
      <c r="MFO3" s="201"/>
      <c r="MFP3" s="201"/>
      <c r="MFQ3" s="200"/>
      <c r="MFR3" s="201"/>
      <c r="MFS3" s="201"/>
      <c r="MFT3" s="201"/>
      <c r="MFU3" s="200"/>
      <c r="MFV3" s="201"/>
      <c r="MFW3" s="201"/>
      <c r="MFX3" s="201"/>
      <c r="MFY3" s="200"/>
      <c r="MFZ3" s="201"/>
      <c r="MGA3" s="201"/>
      <c r="MGB3" s="201"/>
      <c r="MGC3" s="200"/>
      <c r="MGD3" s="201"/>
      <c r="MGE3" s="201"/>
      <c r="MGF3" s="201"/>
      <c r="MGG3" s="200"/>
      <c r="MGH3" s="201"/>
      <c r="MGI3" s="201"/>
      <c r="MGJ3" s="201"/>
      <c r="MGK3" s="200"/>
      <c r="MGL3" s="201"/>
      <c r="MGM3" s="201"/>
      <c r="MGN3" s="201"/>
      <c r="MGO3" s="200"/>
      <c r="MGP3" s="201"/>
      <c r="MGQ3" s="201"/>
      <c r="MGR3" s="201"/>
      <c r="MGS3" s="200"/>
      <c r="MGT3" s="201"/>
      <c r="MGU3" s="201"/>
      <c r="MGV3" s="201"/>
      <c r="MGW3" s="200"/>
      <c r="MGX3" s="201"/>
      <c r="MGY3" s="201"/>
      <c r="MGZ3" s="201"/>
      <c r="MHA3" s="200"/>
      <c r="MHB3" s="201"/>
      <c r="MHC3" s="201"/>
      <c r="MHD3" s="201"/>
      <c r="MHE3" s="200"/>
      <c r="MHF3" s="201"/>
      <c r="MHG3" s="201"/>
      <c r="MHH3" s="201"/>
      <c r="MHI3" s="200"/>
      <c r="MHJ3" s="201"/>
      <c r="MHK3" s="201"/>
      <c r="MHL3" s="201"/>
      <c r="MHM3" s="200"/>
      <c r="MHN3" s="201"/>
      <c r="MHO3" s="201"/>
      <c r="MHP3" s="201"/>
      <c r="MHQ3" s="200"/>
      <c r="MHR3" s="201"/>
      <c r="MHS3" s="201"/>
      <c r="MHT3" s="201"/>
      <c r="MHU3" s="200"/>
      <c r="MHV3" s="201"/>
      <c r="MHW3" s="201"/>
      <c r="MHX3" s="201"/>
      <c r="MHY3" s="200"/>
      <c r="MHZ3" s="201"/>
      <c r="MIA3" s="201"/>
      <c r="MIB3" s="201"/>
      <c r="MIC3" s="200"/>
      <c r="MID3" s="201"/>
      <c r="MIE3" s="201"/>
      <c r="MIF3" s="201"/>
      <c r="MIG3" s="200"/>
      <c r="MIH3" s="201"/>
      <c r="MII3" s="201"/>
      <c r="MIJ3" s="201"/>
      <c r="MIK3" s="200"/>
      <c r="MIL3" s="201"/>
      <c r="MIM3" s="201"/>
      <c r="MIN3" s="201"/>
      <c r="MIO3" s="200"/>
      <c r="MIP3" s="201"/>
      <c r="MIQ3" s="201"/>
      <c r="MIR3" s="201"/>
      <c r="MIS3" s="200"/>
      <c r="MIT3" s="201"/>
      <c r="MIU3" s="201"/>
      <c r="MIV3" s="201"/>
      <c r="MIW3" s="200"/>
      <c r="MIX3" s="201"/>
      <c r="MIY3" s="201"/>
      <c r="MIZ3" s="201"/>
      <c r="MJA3" s="200"/>
      <c r="MJB3" s="201"/>
      <c r="MJC3" s="201"/>
      <c r="MJD3" s="201"/>
      <c r="MJE3" s="200"/>
      <c r="MJF3" s="201"/>
      <c r="MJG3" s="201"/>
      <c r="MJH3" s="201"/>
      <c r="MJI3" s="200"/>
      <c r="MJJ3" s="201"/>
      <c r="MJK3" s="201"/>
      <c r="MJL3" s="201"/>
      <c r="MJM3" s="200"/>
      <c r="MJN3" s="201"/>
      <c r="MJO3" s="201"/>
      <c r="MJP3" s="201"/>
      <c r="MJQ3" s="200"/>
      <c r="MJR3" s="201"/>
      <c r="MJS3" s="201"/>
      <c r="MJT3" s="201"/>
      <c r="MJU3" s="200"/>
      <c r="MJV3" s="201"/>
      <c r="MJW3" s="201"/>
      <c r="MJX3" s="201"/>
      <c r="MJY3" s="200"/>
      <c r="MJZ3" s="201"/>
      <c r="MKA3" s="201"/>
      <c r="MKB3" s="201"/>
      <c r="MKC3" s="200"/>
      <c r="MKD3" s="201"/>
      <c r="MKE3" s="201"/>
      <c r="MKF3" s="201"/>
      <c r="MKG3" s="200"/>
      <c r="MKH3" s="201"/>
      <c r="MKI3" s="201"/>
      <c r="MKJ3" s="201"/>
      <c r="MKK3" s="200"/>
      <c r="MKL3" s="201"/>
      <c r="MKM3" s="201"/>
      <c r="MKN3" s="201"/>
      <c r="MKO3" s="200"/>
      <c r="MKP3" s="201"/>
      <c r="MKQ3" s="201"/>
      <c r="MKR3" s="201"/>
      <c r="MKS3" s="200"/>
      <c r="MKT3" s="201"/>
      <c r="MKU3" s="201"/>
      <c r="MKV3" s="201"/>
      <c r="MKW3" s="200"/>
      <c r="MKX3" s="201"/>
      <c r="MKY3" s="201"/>
      <c r="MKZ3" s="201"/>
      <c r="MLA3" s="200"/>
      <c r="MLB3" s="201"/>
      <c r="MLC3" s="201"/>
      <c r="MLD3" s="201"/>
      <c r="MLE3" s="200"/>
      <c r="MLF3" s="201"/>
      <c r="MLG3" s="201"/>
      <c r="MLH3" s="201"/>
      <c r="MLI3" s="200"/>
      <c r="MLJ3" s="201"/>
      <c r="MLK3" s="201"/>
      <c r="MLL3" s="201"/>
      <c r="MLM3" s="200"/>
      <c r="MLN3" s="201"/>
      <c r="MLO3" s="201"/>
      <c r="MLP3" s="201"/>
      <c r="MLQ3" s="200"/>
      <c r="MLR3" s="201"/>
      <c r="MLS3" s="201"/>
      <c r="MLT3" s="201"/>
      <c r="MLU3" s="200"/>
      <c r="MLV3" s="201"/>
      <c r="MLW3" s="201"/>
      <c r="MLX3" s="201"/>
      <c r="MLY3" s="200"/>
      <c r="MLZ3" s="201"/>
      <c r="MMA3" s="201"/>
      <c r="MMB3" s="201"/>
      <c r="MMC3" s="200"/>
      <c r="MMD3" s="201"/>
      <c r="MME3" s="201"/>
      <c r="MMF3" s="201"/>
      <c r="MMG3" s="200"/>
      <c r="MMH3" s="201"/>
      <c r="MMI3" s="201"/>
      <c r="MMJ3" s="201"/>
      <c r="MMK3" s="200"/>
      <c r="MML3" s="201"/>
      <c r="MMM3" s="201"/>
      <c r="MMN3" s="201"/>
      <c r="MMO3" s="200"/>
      <c r="MMP3" s="201"/>
      <c r="MMQ3" s="201"/>
      <c r="MMR3" s="201"/>
      <c r="MMS3" s="200"/>
      <c r="MMT3" s="201"/>
      <c r="MMU3" s="201"/>
      <c r="MMV3" s="201"/>
      <c r="MMW3" s="200"/>
      <c r="MMX3" s="201"/>
      <c r="MMY3" s="201"/>
      <c r="MMZ3" s="201"/>
      <c r="MNA3" s="200"/>
      <c r="MNB3" s="201"/>
      <c r="MNC3" s="201"/>
      <c r="MND3" s="201"/>
      <c r="MNE3" s="200"/>
      <c r="MNF3" s="201"/>
      <c r="MNG3" s="201"/>
      <c r="MNH3" s="201"/>
      <c r="MNI3" s="200"/>
      <c r="MNJ3" s="201"/>
      <c r="MNK3" s="201"/>
      <c r="MNL3" s="201"/>
      <c r="MNM3" s="200"/>
      <c r="MNN3" s="201"/>
      <c r="MNO3" s="201"/>
      <c r="MNP3" s="201"/>
      <c r="MNQ3" s="200"/>
      <c r="MNR3" s="201"/>
      <c r="MNS3" s="201"/>
      <c r="MNT3" s="201"/>
      <c r="MNU3" s="200"/>
      <c r="MNV3" s="201"/>
      <c r="MNW3" s="201"/>
      <c r="MNX3" s="201"/>
      <c r="MNY3" s="200"/>
      <c r="MNZ3" s="201"/>
      <c r="MOA3" s="201"/>
      <c r="MOB3" s="201"/>
      <c r="MOC3" s="200"/>
      <c r="MOD3" s="201"/>
      <c r="MOE3" s="201"/>
      <c r="MOF3" s="201"/>
      <c r="MOG3" s="200"/>
      <c r="MOH3" s="201"/>
      <c r="MOI3" s="201"/>
      <c r="MOJ3" s="201"/>
      <c r="MOK3" s="200"/>
      <c r="MOL3" s="201"/>
      <c r="MOM3" s="201"/>
      <c r="MON3" s="201"/>
      <c r="MOO3" s="200"/>
      <c r="MOP3" s="201"/>
      <c r="MOQ3" s="201"/>
      <c r="MOR3" s="201"/>
      <c r="MOS3" s="200"/>
      <c r="MOT3" s="201"/>
      <c r="MOU3" s="201"/>
      <c r="MOV3" s="201"/>
      <c r="MOW3" s="200"/>
      <c r="MOX3" s="201"/>
      <c r="MOY3" s="201"/>
      <c r="MOZ3" s="201"/>
      <c r="MPA3" s="200"/>
      <c r="MPB3" s="201"/>
      <c r="MPC3" s="201"/>
      <c r="MPD3" s="201"/>
      <c r="MPE3" s="200"/>
      <c r="MPF3" s="201"/>
      <c r="MPG3" s="201"/>
      <c r="MPH3" s="201"/>
      <c r="MPI3" s="200"/>
      <c r="MPJ3" s="201"/>
      <c r="MPK3" s="201"/>
      <c r="MPL3" s="201"/>
      <c r="MPM3" s="200"/>
      <c r="MPN3" s="201"/>
      <c r="MPO3" s="201"/>
      <c r="MPP3" s="201"/>
      <c r="MPQ3" s="200"/>
      <c r="MPR3" s="201"/>
      <c r="MPS3" s="201"/>
      <c r="MPT3" s="201"/>
      <c r="MPU3" s="200"/>
      <c r="MPV3" s="201"/>
      <c r="MPW3" s="201"/>
      <c r="MPX3" s="201"/>
      <c r="MPY3" s="200"/>
      <c r="MPZ3" s="201"/>
      <c r="MQA3" s="201"/>
      <c r="MQB3" s="201"/>
      <c r="MQC3" s="200"/>
      <c r="MQD3" s="201"/>
      <c r="MQE3" s="201"/>
      <c r="MQF3" s="201"/>
      <c r="MQG3" s="200"/>
      <c r="MQH3" s="201"/>
      <c r="MQI3" s="201"/>
      <c r="MQJ3" s="201"/>
      <c r="MQK3" s="200"/>
      <c r="MQL3" s="201"/>
      <c r="MQM3" s="201"/>
      <c r="MQN3" s="201"/>
      <c r="MQO3" s="200"/>
      <c r="MQP3" s="201"/>
      <c r="MQQ3" s="201"/>
      <c r="MQR3" s="201"/>
      <c r="MQS3" s="200"/>
      <c r="MQT3" s="201"/>
      <c r="MQU3" s="201"/>
      <c r="MQV3" s="201"/>
      <c r="MQW3" s="200"/>
      <c r="MQX3" s="201"/>
      <c r="MQY3" s="201"/>
      <c r="MQZ3" s="201"/>
      <c r="MRA3" s="200"/>
      <c r="MRB3" s="201"/>
      <c r="MRC3" s="201"/>
      <c r="MRD3" s="201"/>
      <c r="MRE3" s="200"/>
      <c r="MRF3" s="201"/>
      <c r="MRG3" s="201"/>
      <c r="MRH3" s="201"/>
      <c r="MRI3" s="200"/>
      <c r="MRJ3" s="201"/>
      <c r="MRK3" s="201"/>
      <c r="MRL3" s="201"/>
      <c r="MRM3" s="200"/>
      <c r="MRN3" s="201"/>
      <c r="MRO3" s="201"/>
      <c r="MRP3" s="201"/>
      <c r="MRQ3" s="200"/>
      <c r="MRR3" s="201"/>
      <c r="MRS3" s="201"/>
      <c r="MRT3" s="201"/>
      <c r="MRU3" s="200"/>
      <c r="MRV3" s="201"/>
      <c r="MRW3" s="201"/>
      <c r="MRX3" s="201"/>
      <c r="MRY3" s="200"/>
      <c r="MRZ3" s="201"/>
      <c r="MSA3" s="201"/>
      <c r="MSB3" s="201"/>
      <c r="MSC3" s="200"/>
      <c r="MSD3" s="201"/>
      <c r="MSE3" s="201"/>
      <c r="MSF3" s="201"/>
      <c r="MSG3" s="200"/>
      <c r="MSH3" s="201"/>
      <c r="MSI3" s="201"/>
      <c r="MSJ3" s="201"/>
      <c r="MSK3" s="200"/>
      <c r="MSL3" s="201"/>
      <c r="MSM3" s="201"/>
      <c r="MSN3" s="201"/>
      <c r="MSO3" s="200"/>
      <c r="MSP3" s="201"/>
      <c r="MSQ3" s="201"/>
      <c r="MSR3" s="201"/>
      <c r="MSS3" s="200"/>
      <c r="MST3" s="201"/>
      <c r="MSU3" s="201"/>
      <c r="MSV3" s="201"/>
      <c r="MSW3" s="200"/>
      <c r="MSX3" s="201"/>
      <c r="MSY3" s="201"/>
      <c r="MSZ3" s="201"/>
      <c r="MTA3" s="200"/>
      <c r="MTB3" s="201"/>
      <c r="MTC3" s="201"/>
      <c r="MTD3" s="201"/>
      <c r="MTE3" s="200"/>
      <c r="MTF3" s="201"/>
      <c r="MTG3" s="201"/>
      <c r="MTH3" s="201"/>
      <c r="MTI3" s="200"/>
      <c r="MTJ3" s="201"/>
      <c r="MTK3" s="201"/>
      <c r="MTL3" s="201"/>
      <c r="MTM3" s="200"/>
      <c r="MTN3" s="201"/>
      <c r="MTO3" s="201"/>
      <c r="MTP3" s="201"/>
      <c r="MTQ3" s="200"/>
      <c r="MTR3" s="201"/>
      <c r="MTS3" s="201"/>
      <c r="MTT3" s="201"/>
      <c r="MTU3" s="200"/>
      <c r="MTV3" s="201"/>
      <c r="MTW3" s="201"/>
      <c r="MTX3" s="201"/>
      <c r="MTY3" s="200"/>
      <c r="MTZ3" s="201"/>
      <c r="MUA3" s="201"/>
      <c r="MUB3" s="201"/>
      <c r="MUC3" s="200"/>
      <c r="MUD3" s="201"/>
      <c r="MUE3" s="201"/>
      <c r="MUF3" s="201"/>
      <c r="MUG3" s="200"/>
      <c r="MUH3" s="201"/>
      <c r="MUI3" s="201"/>
      <c r="MUJ3" s="201"/>
      <c r="MUK3" s="200"/>
      <c r="MUL3" s="201"/>
      <c r="MUM3" s="201"/>
      <c r="MUN3" s="201"/>
      <c r="MUO3" s="200"/>
      <c r="MUP3" s="201"/>
      <c r="MUQ3" s="201"/>
      <c r="MUR3" s="201"/>
      <c r="MUS3" s="200"/>
      <c r="MUT3" s="201"/>
      <c r="MUU3" s="201"/>
      <c r="MUV3" s="201"/>
      <c r="MUW3" s="200"/>
      <c r="MUX3" s="201"/>
      <c r="MUY3" s="201"/>
      <c r="MUZ3" s="201"/>
      <c r="MVA3" s="200"/>
      <c r="MVB3" s="201"/>
      <c r="MVC3" s="201"/>
      <c r="MVD3" s="201"/>
      <c r="MVE3" s="200"/>
      <c r="MVF3" s="201"/>
      <c r="MVG3" s="201"/>
      <c r="MVH3" s="201"/>
      <c r="MVI3" s="200"/>
      <c r="MVJ3" s="201"/>
      <c r="MVK3" s="201"/>
      <c r="MVL3" s="201"/>
      <c r="MVM3" s="200"/>
      <c r="MVN3" s="201"/>
      <c r="MVO3" s="201"/>
      <c r="MVP3" s="201"/>
      <c r="MVQ3" s="200"/>
      <c r="MVR3" s="201"/>
      <c r="MVS3" s="201"/>
      <c r="MVT3" s="201"/>
      <c r="MVU3" s="200"/>
      <c r="MVV3" s="201"/>
      <c r="MVW3" s="201"/>
      <c r="MVX3" s="201"/>
      <c r="MVY3" s="200"/>
      <c r="MVZ3" s="201"/>
      <c r="MWA3" s="201"/>
      <c r="MWB3" s="201"/>
      <c r="MWC3" s="200"/>
      <c r="MWD3" s="201"/>
      <c r="MWE3" s="201"/>
      <c r="MWF3" s="201"/>
      <c r="MWG3" s="200"/>
      <c r="MWH3" s="201"/>
      <c r="MWI3" s="201"/>
      <c r="MWJ3" s="201"/>
      <c r="MWK3" s="200"/>
      <c r="MWL3" s="201"/>
      <c r="MWM3" s="201"/>
      <c r="MWN3" s="201"/>
      <c r="MWO3" s="200"/>
      <c r="MWP3" s="201"/>
      <c r="MWQ3" s="201"/>
      <c r="MWR3" s="201"/>
      <c r="MWS3" s="200"/>
      <c r="MWT3" s="201"/>
      <c r="MWU3" s="201"/>
      <c r="MWV3" s="201"/>
      <c r="MWW3" s="200"/>
      <c r="MWX3" s="201"/>
      <c r="MWY3" s="201"/>
      <c r="MWZ3" s="201"/>
      <c r="MXA3" s="200"/>
      <c r="MXB3" s="201"/>
      <c r="MXC3" s="201"/>
      <c r="MXD3" s="201"/>
      <c r="MXE3" s="200"/>
      <c r="MXF3" s="201"/>
      <c r="MXG3" s="201"/>
      <c r="MXH3" s="201"/>
      <c r="MXI3" s="200"/>
      <c r="MXJ3" s="201"/>
      <c r="MXK3" s="201"/>
      <c r="MXL3" s="201"/>
      <c r="MXM3" s="200"/>
      <c r="MXN3" s="201"/>
      <c r="MXO3" s="201"/>
      <c r="MXP3" s="201"/>
      <c r="MXQ3" s="200"/>
      <c r="MXR3" s="201"/>
      <c r="MXS3" s="201"/>
      <c r="MXT3" s="201"/>
      <c r="MXU3" s="200"/>
      <c r="MXV3" s="201"/>
      <c r="MXW3" s="201"/>
      <c r="MXX3" s="201"/>
      <c r="MXY3" s="200"/>
      <c r="MXZ3" s="201"/>
      <c r="MYA3" s="201"/>
      <c r="MYB3" s="201"/>
      <c r="MYC3" s="200"/>
      <c r="MYD3" s="201"/>
      <c r="MYE3" s="201"/>
      <c r="MYF3" s="201"/>
      <c r="MYG3" s="200"/>
      <c r="MYH3" s="201"/>
      <c r="MYI3" s="201"/>
      <c r="MYJ3" s="201"/>
      <c r="MYK3" s="200"/>
      <c r="MYL3" s="201"/>
      <c r="MYM3" s="201"/>
      <c r="MYN3" s="201"/>
      <c r="MYO3" s="200"/>
      <c r="MYP3" s="201"/>
      <c r="MYQ3" s="201"/>
      <c r="MYR3" s="201"/>
      <c r="MYS3" s="200"/>
      <c r="MYT3" s="201"/>
      <c r="MYU3" s="201"/>
      <c r="MYV3" s="201"/>
      <c r="MYW3" s="200"/>
      <c r="MYX3" s="201"/>
      <c r="MYY3" s="201"/>
      <c r="MYZ3" s="201"/>
      <c r="MZA3" s="200"/>
      <c r="MZB3" s="201"/>
      <c r="MZC3" s="201"/>
      <c r="MZD3" s="201"/>
      <c r="MZE3" s="200"/>
      <c r="MZF3" s="201"/>
      <c r="MZG3" s="201"/>
      <c r="MZH3" s="201"/>
      <c r="MZI3" s="200"/>
      <c r="MZJ3" s="201"/>
      <c r="MZK3" s="201"/>
      <c r="MZL3" s="201"/>
      <c r="MZM3" s="200"/>
      <c r="MZN3" s="201"/>
      <c r="MZO3" s="201"/>
      <c r="MZP3" s="201"/>
      <c r="MZQ3" s="200"/>
      <c r="MZR3" s="201"/>
      <c r="MZS3" s="201"/>
      <c r="MZT3" s="201"/>
      <c r="MZU3" s="200"/>
      <c r="MZV3" s="201"/>
      <c r="MZW3" s="201"/>
      <c r="MZX3" s="201"/>
      <c r="MZY3" s="200"/>
      <c r="MZZ3" s="201"/>
      <c r="NAA3" s="201"/>
      <c r="NAB3" s="201"/>
      <c r="NAC3" s="200"/>
      <c r="NAD3" s="201"/>
      <c r="NAE3" s="201"/>
      <c r="NAF3" s="201"/>
      <c r="NAG3" s="200"/>
      <c r="NAH3" s="201"/>
      <c r="NAI3" s="201"/>
      <c r="NAJ3" s="201"/>
      <c r="NAK3" s="200"/>
      <c r="NAL3" s="201"/>
      <c r="NAM3" s="201"/>
      <c r="NAN3" s="201"/>
      <c r="NAO3" s="200"/>
      <c r="NAP3" s="201"/>
      <c r="NAQ3" s="201"/>
      <c r="NAR3" s="201"/>
      <c r="NAS3" s="200"/>
      <c r="NAT3" s="201"/>
      <c r="NAU3" s="201"/>
      <c r="NAV3" s="201"/>
      <c r="NAW3" s="200"/>
      <c r="NAX3" s="201"/>
      <c r="NAY3" s="201"/>
      <c r="NAZ3" s="201"/>
      <c r="NBA3" s="200"/>
      <c r="NBB3" s="201"/>
      <c r="NBC3" s="201"/>
      <c r="NBD3" s="201"/>
      <c r="NBE3" s="200"/>
      <c r="NBF3" s="201"/>
      <c r="NBG3" s="201"/>
      <c r="NBH3" s="201"/>
      <c r="NBI3" s="200"/>
      <c r="NBJ3" s="201"/>
      <c r="NBK3" s="201"/>
      <c r="NBL3" s="201"/>
      <c r="NBM3" s="200"/>
      <c r="NBN3" s="201"/>
      <c r="NBO3" s="201"/>
      <c r="NBP3" s="201"/>
      <c r="NBQ3" s="200"/>
      <c r="NBR3" s="201"/>
      <c r="NBS3" s="201"/>
      <c r="NBT3" s="201"/>
      <c r="NBU3" s="200"/>
      <c r="NBV3" s="201"/>
      <c r="NBW3" s="201"/>
      <c r="NBX3" s="201"/>
      <c r="NBY3" s="200"/>
      <c r="NBZ3" s="201"/>
      <c r="NCA3" s="201"/>
      <c r="NCB3" s="201"/>
      <c r="NCC3" s="200"/>
      <c r="NCD3" s="201"/>
      <c r="NCE3" s="201"/>
      <c r="NCF3" s="201"/>
      <c r="NCG3" s="200"/>
      <c r="NCH3" s="201"/>
      <c r="NCI3" s="201"/>
      <c r="NCJ3" s="201"/>
      <c r="NCK3" s="200"/>
      <c r="NCL3" s="201"/>
      <c r="NCM3" s="201"/>
      <c r="NCN3" s="201"/>
      <c r="NCO3" s="200"/>
      <c r="NCP3" s="201"/>
      <c r="NCQ3" s="201"/>
      <c r="NCR3" s="201"/>
      <c r="NCS3" s="200"/>
      <c r="NCT3" s="201"/>
      <c r="NCU3" s="201"/>
      <c r="NCV3" s="201"/>
      <c r="NCW3" s="200"/>
      <c r="NCX3" s="201"/>
      <c r="NCY3" s="201"/>
      <c r="NCZ3" s="201"/>
      <c r="NDA3" s="200"/>
      <c r="NDB3" s="201"/>
      <c r="NDC3" s="201"/>
      <c r="NDD3" s="201"/>
      <c r="NDE3" s="200"/>
      <c r="NDF3" s="201"/>
      <c r="NDG3" s="201"/>
      <c r="NDH3" s="201"/>
      <c r="NDI3" s="200"/>
      <c r="NDJ3" s="201"/>
      <c r="NDK3" s="201"/>
      <c r="NDL3" s="201"/>
      <c r="NDM3" s="200"/>
      <c r="NDN3" s="201"/>
      <c r="NDO3" s="201"/>
      <c r="NDP3" s="201"/>
      <c r="NDQ3" s="200"/>
      <c r="NDR3" s="201"/>
      <c r="NDS3" s="201"/>
      <c r="NDT3" s="201"/>
      <c r="NDU3" s="200"/>
      <c r="NDV3" s="201"/>
      <c r="NDW3" s="201"/>
      <c r="NDX3" s="201"/>
      <c r="NDY3" s="200"/>
      <c r="NDZ3" s="201"/>
      <c r="NEA3" s="201"/>
      <c r="NEB3" s="201"/>
      <c r="NEC3" s="200"/>
      <c r="NED3" s="201"/>
      <c r="NEE3" s="201"/>
      <c r="NEF3" s="201"/>
      <c r="NEG3" s="200"/>
      <c r="NEH3" s="201"/>
      <c r="NEI3" s="201"/>
      <c r="NEJ3" s="201"/>
      <c r="NEK3" s="200"/>
      <c r="NEL3" s="201"/>
      <c r="NEM3" s="201"/>
      <c r="NEN3" s="201"/>
      <c r="NEO3" s="200"/>
      <c r="NEP3" s="201"/>
      <c r="NEQ3" s="201"/>
      <c r="NER3" s="201"/>
      <c r="NES3" s="200"/>
      <c r="NET3" s="201"/>
      <c r="NEU3" s="201"/>
      <c r="NEV3" s="201"/>
      <c r="NEW3" s="200"/>
      <c r="NEX3" s="201"/>
      <c r="NEY3" s="201"/>
      <c r="NEZ3" s="201"/>
      <c r="NFA3" s="200"/>
      <c r="NFB3" s="201"/>
      <c r="NFC3" s="201"/>
      <c r="NFD3" s="201"/>
      <c r="NFE3" s="200"/>
      <c r="NFF3" s="201"/>
      <c r="NFG3" s="201"/>
      <c r="NFH3" s="201"/>
      <c r="NFI3" s="200"/>
      <c r="NFJ3" s="201"/>
      <c r="NFK3" s="201"/>
      <c r="NFL3" s="201"/>
      <c r="NFM3" s="200"/>
      <c r="NFN3" s="201"/>
      <c r="NFO3" s="201"/>
      <c r="NFP3" s="201"/>
      <c r="NFQ3" s="200"/>
      <c r="NFR3" s="201"/>
      <c r="NFS3" s="201"/>
      <c r="NFT3" s="201"/>
      <c r="NFU3" s="200"/>
      <c r="NFV3" s="201"/>
      <c r="NFW3" s="201"/>
      <c r="NFX3" s="201"/>
      <c r="NFY3" s="200"/>
      <c r="NFZ3" s="201"/>
      <c r="NGA3" s="201"/>
      <c r="NGB3" s="201"/>
      <c r="NGC3" s="200"/>
      <c r="NGD3" s="201"/>
      <c r="NGE3" s="201"/>
      <c r="NGF3" s="201"/>
      <c r="NGG3" s="200"/>
      <c r="NGH3" s="201"/>
      <c r="NGI3" s="201"/>
      <c r="NGJ3" s="201"/>
      <c r="NGK3" s="200"/>
      <c r="NGL3" s="201"/>
      <c r="NGM3" s="201"/>
      <c r="NGN3" s="201"/>
      <c r="NGO3" s="200"/>
      <c r="NGP3" s="201"/>
      <c r="NGQ3" s="201"/>
      <c r="NGR3" s="201"/>
      <c r="NGS3" s="200"/>
      <c r="NGT3" s="201"/>
      <c r="NGU3" s="201"/>
      <c r="NGV3" s="201"/>
      <c r="NGW3" s="200"/>
      <c r="NGX3" s="201"/>
      <c r="NGY3" s="201"/>
      <c r="NGZ3" s="201"/>
      <c r="NHA3" s="200"/>
      <c r="NHB3" s="201"/>
      <c r="NHC3" s="201"/>
      <c r="NHD3" s="201"/>
      <c r="NHE3" s="200"/>
      <c r="NHF3" s="201"/>
      <c r="NHG3" s="201"/>
      <c r="NHH3" s="201"/>
      <c r="NHI3" s="200"/>
      <c r="NHJ3" s="201"/>
      <c r="NHK3" s="201"/>
      <c r="NHL3" s="201"/>
      <c r="NHM3" s="200"/>
      <c r="NHN3" s="201"/>
      <c r="NHO3" s="201"/>
      <c r="NHP3" s="201"/>
      <c r="NHQ3" s="200"/>
      <c r="NHR3" s="201"/>
      <c r="NHS3" s="201"/>
      <c r="NHT3" s="201"/>
      <c r="NHU3" s="200"/>
      <c r="NHV3" s="201"/>
      <c r="NHW3" s="201"/>
      <c r="NHX3" s="201"/>
      <c r="NHY3" s="200"/>
      <c r="NHZ3" s="201"/>
      <c r="NIA3" s="201"/>
      <c r="NIB3" s="201"/>
      <c r="NIC3" s="200"/>
      <c r="NID3" s="201"/>
      <c r="NIE3" s="201"/>
      <c r="NIF3" s="201"/>
      <c r="NIG3" s="200"/>
      <c r="NIH3" s="201"/>
      <c r="NII3" s="201"/>
      <c r="NIJ3" s="201"/>
      <c r="NIK3" s="200"/>
      <c r="NIL3" s="201"/>
      <c r="NIM3" s="201"/>
      <c r="NIN3" s="201"/>
      <c r="NIO3" s="200"/>
      <c r="NIP3" s="201"/>
      <c r="NIQ3" s="201"/>
      <c r="NIR3" s="201"/>
      <c r="NIS3" s="200"/>
      <c r="NIT3" s="201"/>
      <c r="NIU3" s="201"/>
      <c r="NIV3" s="201"/>
      <c r="NIW3" s="200"/>
      <c r="NIX3" s="201"/>
      <c r="NIY3" s="201"/>
      <c r="NIZ3" s="201"/>
      <c r="NJA3" s="200"/>
      <c r="NJB3" s="201"/>
      <c r="NJC3" s="201"/>
      <c r="NJD3" s="201"/>
      <c r="NJE3" s="200"/>
      <c r="NJF3" s="201"/>
      <c r="NJG3" s="201"/>
      <c r="NJH3" s="201"/>
      <c r="NJI3" s="200"/>
      <c r="NJJ3" s="201"/>
      <c r="NJK3" s="201"/>
      <c r="NJL3" s="201"/>
      <c r="NJM3" s="200"/>
      <c r="NJN3" s="201"/>
      <c r="NJO3" s="201"/>
      <c r="NJP3" s="201"/>
      <c r="NJQ3" s="200"/>
      <c r="NJR3" s="201"/>
      <c r="NJS3" s="201"/>
      <c r="NJT3" s="201"/>
      <c r="NJU3" s="200"/>
      <c r="NJV3" s="201"/>
      <c r="NJW3" s="201"/>
      <c r="NJX3" s="201"/>
      <c r="NJY3" s="200"/>
      <c r="NJZ3" s="201"/>
      <c r="NKA3" s="201"/>
      <c r="NKB3" s="201"/>
      <c r="NKC3" s="200"/>
      <c r="NKD3" s="201"/>
      <c r="NKE3" s="201"/>
      <c r="NKF3" s="201"/>
      <c r="NKG3" s="200"/>
      <c r="NKH3" s="201"/>
      <c r="NKI3" s="201"/>
      <c r="NKJ3" s="201"/>
      <c r="NKK3" s="200"/>
      <c r="NKL3" s="201"/>
      <c r="NKM3" s="201"/>
      <c r="NKN3" s="201"/>
      <c r="NKO3" s="200"/>
      <c r="NKP3" s="201"/>
      <c r="NKQ3" s="201"/>
      <c r="NKR3" s="201"/>
      <c r="NKS3" s="200"/>
      <c r="NKT3" s="201"/>
      <c r="NKU3" s="201"/>
      <c r="NKV3" s="201"/>
      <c r="NKW3" s="200"/>
      <c r="NKX3" s="201"/>
      <c r="NKY3" s="201"/>
      <c r="NKZ3" s="201"/>
      <c r="NLA3" s="200"/>
      <c r="NLB3" s="201"/>
      <c r="NLC3" s="201"/>
      <c r="NLD3" s="201"/>
      <c r="NLE3" s="200"/>
      <c r="NLF3" s="201"/>
      <c r="NLG3" s="201"/>
      <c r="NLH3" s="201"/>
      <c r="NLI3" s="200"/>
      <c r="NLJ3" s="201"/>
      <c r="NLK3" s="201"/>
      <c r="NLL3" s="201"/>
      <c r="NLM3" s="200"/>
      <c r="NLN3" s="201"/>
      <c r="NLO3" s="201"/>
      <c r="NLP3" s="201"/>
      <c r="NLQ3" s="200"/>
      <c r="NLR3" s="201"/>
      <c r="NLS3" s="201"/>
      <c r="NLT3" s="201"/>
      <c r="NLU3" s="200"/>
      <c r="NLV3" s="201"/>
      <c r="NLW3" s="201"/>
      <c r="NLX3" s="201"/>
      <c r="NLY3" s="200"/>
      <c r="NLZ3" s="201"/>
      <c r="NMA3" s="201"/>
      <c r="NMB3" s="201"/>
      <c r="NMC3" s="200"/>
      <c r="NMD3" s="201"/>
      <c r="NME3" s="201"/>
      <c r="NMF3" s="201"/>
      <c r="NMG3" s="200"/>
      <c r="NMH3" s="201"/>
      <c r="NMI3" s="201"/>
      <c r="NMJ3" s="201"/>
      <c r="NMK3" s="200"/>
      <c r="NML3" s="201"/>
      <c r="NMM3" s="201"/>
      <c r="NMN3" s="201"/>
      <c r="NMO3" s="200"/>
      <c r="NMP3" s="201"/>
      <c r="NMQ3" s="201"/>
      <c r="NMR3" s="201"/>
      <c r="NMS3" s="200"/>
      <c r="NMT3" s="201"/>
      <c r="NMU3" s="201"/>
      <c r="NMV3" s="201"/>
      <c r="NMW3" s="200"/>
      <c r="NMX3" s="201"/>
      <c r="NMY3" s="201"/>
      <c r="NMZ3" s="201"/>
      <c r="NNA3" s="200"/>
      <c r="NNB3" s="201"/>
      <c r="NNC3" s="201"/>
      <c r="NND3" s="201"/>
      <c r="NNE3" s="200"/>
      <c r="NNF3" s="201"/>
      <c r="NNG3" s="201"/>
      <c r="NNH3" s="201"/>
      <c r="NNI3" s="200"/>
      <c r="NNJ3" s="201"/>
      <c r="NNK3" s="201"/>
      <c r="NNL3" s="201"/>
      <c r="NNM3" s="200"/>
      <c r="NNN3" s="201"/>
      <c r="NNO3" s="201"/>
      <c r="NNP3" s="201"/>
      <c r="NNQ3" s="200"/>
      <c r="NNR3" s="201"/>
      <c r="NNS3" s="201"/>
      <c r="NNT3" s="201"/>
      <c r="NNU3" s="200"/>
      <c r="NNV3" s="201"/>
      <c r="NNW3" s="201"/>
      <c r="NNX3" s="201"/>
      <c r="NNY3" s="200"/>
      <c r="NNZ3" s="201"/>
      <c r="NOA3" s="201"/>
      <c r="NOB3" s="201"/>
      <c r="NOC3" s="200"/>
      <c r="NOD3" s="201"/>
      <c r="NOE3" s="201"/>
      <c r="NOF3" s="201"/>
      <c r="NOG3" s="200"/>
      <c r="NOH3" s="201"/>
      <c r="NOI3" s="201"/>
      <c r="NOJ3" s="201"/>
      <c r="NOK3" s="200"/>
      <c r="NOL3" s="201"/>
      <c r="NOM3" s="201"/>
      <c r="NON3" s="201"/>
      <c r="NOO3" s="200"/>
      <c r="NOP3" s="201"/>
      <c r="NOQ3" s="201"/>
      <c r="NOR3" s="201"/>
      <c r="NOS3" s="200"/>
      <c r="NOT3" s="201"/>
      <c r="NOU3" s="201"/>
      <c r="NOV3" s="201"/>
      <c r="NOW3" s="200"/>
      <c r="NOX3" s="201"/>
      <c r="NOY3" s="201"/>
      <c r="NOZ3" s="201"/>
      <c r="NPA3" s="200"/>
      <c r="NPB3" s="201"/>
      <c r="NPC3" s="201"/>
      <c r="NPD3" s="201"/>
      <c r="NPE3" s="200"/>
      <c r="NPF3" s="201"/>
      <c r="NPG3" s="201"/>
      <c r="NPH3" s="201"/>
      <c r="NPI3" s="200"/>
      <c r="NPJ3" s="201"/>
      <c r="NPK3" s="201"/>
      <c r="NPL3" s="201"/>
      <c r="NPM3" s="200"/>
      <c r="NPN3" s="201"/>
      <c r="NPO3" s="201"/>
      <c r="NPP3" s="201"/>
      <c r="NPQ3" s="200"/>
      <c r="NPR3" s="201"/>
      <c r="NPS3" s="201"/>
      <c r="NPT3" s="201"/>
      <c r="NPU3" s="200"/>
      <c r="NPV3" s="201"/>
      <c r="NPW3" s="201"/>
      <c r="NPX3" s="201"/>
      <c r="NPY3" s="200"/>
      <c r="NPZ3" s="201"/>
      <c r="NQA3" s="201"/>
      <c r="NQB3" s="201"/>
      <c r="NQC3" s="200"/>
      <c r="NQD3" s="201"/>
      <c r="NQE3" s="201"/>
      <c r="NQF3" s="201"/>
      <c r="NQG3" s="200"/>
      <c r="NQH3" s="201"/>
      <c r="NQI3" s="201"/>
      <c r="NQJ3" s="201"/>
      <c r="NQK3" s="200"/>
      <c r="NQL3" s="201"/>
      <c r="NQM3" s="201"/>
      <c r="NQN3" s="201"/>
      <c r="NQO3" s="200"/>
      <c r="NQP3" s="201"/>
      <c r="NQQ3" s="201"/>
      <c r="NQR3" s="201"/>
      <c r="NQS3" s="200"/>
      <c r="NQT3" s="201"/>
      <c r="NQU3" s="201"/>
      <c r="NQV3" s="201"/>
      <c r="NQW3" s="200"/>
      <c r="NQX3" s="201"/>
      <c r="NQY3" s="201"/>
      <c r="NQZ3" s="201"/>
      <c r="NRA3" s="200"/>
      <c r="NRB3" s="201"/>
      <c r="NRC3" s="201"/>
      <c r="NRD3" s="201"/>
      <c r="NRE3" s="200"/>
      <c r="NRF3" s="201"/>
      <c r="NRG3" s="201"/>
      <c r="NRH3" s="201"/>
      <c r="NRI3" s="200"/>
      <c r="NRJ3" s="201"/>
      <c r="NRK3" s="201"/>
      <c r="NRL3" s="201"/>
      <c r="NRM3" s="200"/>
      <c r="NRN3" s="201"/>
      <c r="NRO3" s="201"/>
      <c r="NRP3" s="201"/>
      <c r="NRQ3" s="200"/>
      <c r="NRR3" s="201"/>
      <c r="NRS3" s="201"/>
      <c r="NRT3" s="201"/>
      <c r="NRU3" s="200"/>
      <c r="NRV3" s="201"/>
      <c r="NRW3" s="201"/>
      <c r="NRX3" s="201"/>
      <c r="NRY3" s="200"/>
      <c r="NRZ3" s="201"/>
      <c r="NSA3" s="201"/>
      <c r="NSB3" s="201"/>
      <c r="NSC3" s="200"/>
      <c r="NSD3" s="201"/>
      <c r="NSE3" s="201"/>
      <c r="NSF3" s="201"/>
      <c r="NSG3" s="200"/>
      <c r="NSH3" s="201"/>
      <c r="NSI3" s="201"/>
      <c r="NSJ3" s="201"/>
      <c r="NSK3" s="200"/>
      <c r="NSL3" s="201"/>
      <c r="NSM3" s="201"/>
      <c r="NSN3" s="201"/>
      <c r="NSO3" s="200"/>
      <c r="NSP3" s="201"/>
      <c r="NSQ3" s="201"/>
      <c r="NSR3" s="201"/>
      <c r="NSS3" s="200"/>
      <c r="NST3" s="201"/>
      <c r="NSU3" s="201"/>
      <c r="NSV3" s="201"/>
      <c r="NSW3" s="200"/>
      <c r="NSX3" s="201"/>
      <c r="NSY3" s="201"/>
      <c r="NSZ3" s="201"/>
      <c r="NTA3" s="200"/>
      <c r="NTB3" s="201"/>
      <c r="NTC3" s="201"/>
      <c r="NTD3" s="201"/>
      <c r="NTE3" s="200"/>
      <c r="NTF3" s="201"/>
      <c r="NTG3" s="201"/>
      <c r="NTH3" s="201"/>
      <c r="NTI3" s="200"/>
      <c r="NTJ3" s="201"/>
      <c r="NTK3" s="201"/>
      <c r="NTL3" s="201"/>
      <c r="NTM3" s="200"/>
      <c r="NTN3" s="201"/>
      <c r="NTO3" s="201"/>
      <c r="NTP3" s="201"/>
      <c r="NTQ3" s="200"/>
      <c r="NTR3" s="201"/>
      <c r="NTS3" s="201"/>
      <c r="NTT3" s="201"/>
      <c r="NTU3" s="200"/>
      <c r="NTV3" s="201"/>
      <c r="NTW3" s="201"/>
      <c r="NTX3" s="201"/>
      <c r="NTY3" s="200"/>
      <c r="NTZ3" s="201"/>
      <c r="NUA3" s="201"/>
      <c r="NUB3" s="201"/>
      <c r="NUC3" s="200"/>
      <c r="NUD3" s="201"/>
      <c r="NUE3" s="201"/>
      <c r="NUF3" s="201"/>
      <c r="NUG3" s="200"/>
      <c r="NUH3" s="201"/>
      <c r="NUI3" s="201"/>
      <c r="NUJ3" s="201"/>
      <c r="NUK3" s="200"/>
      <c r="NUL3" s="201"/>
      <c r="NUM3" s="201"/>
      <c r="NUN3" s="201"/>
      <c r="NUO3" s="200"/>
      <c r="NUP3" s="201"/>
      <c r="NUQ3" s="201"/>
      <c r="NUR3" s="201"/>
      <c r="NUS3" s="200"/>
      <c r="NUT3" s="201"/>
      <c r="NUU3" s="201"/>
      <c r="NUV3" s="201"/>
      <c r="NUW3" s="200"/>
      <c r="NUX3" s="201"/>
      <c r="NUY3" s="201"/>
      <c r="NUZ3" s="201"/>
      <c r="NVA3" s="200"/>
      <c r="NVB3" s="201"/>
      <c r="NVC3" s="201"/>
      <c r="NVD3" s="201"/>
      <c r="NVE3" s="200"/>
      <c r="NVF3" s="201"/>
      <c r="NVG3" s="201"/>
      <c r="NVH3" s="201"/>
      <c r="NVI3" s="200"/>
      <c r="NVJ3" s="201"/>
      <c r="NVK3" s="201"/>
      <c r="NVL3" s="201"/>
      <c r="NVM3" s="200"/>
      <c r="NVN3" s="201"/>
      <c r="NVO3" s="201"/>
      <c r="NVP3" s="201"/>
      <c r="NVQ3" s="200"/>
      <c r="NVR3" s="201"/>
      <c r="NVS3" s="201"/>
      <c r="NVT3" s="201"/>
      <c r="NVU3" s="200"/>
      <c r="NVV3" s="201"/>
      <c r="NVW3" s="201"/>
      <c r="NVX3" s="201"/>
      <c r="NVY3" s="200"/>
      <c r="NVZ3" s="201"/>
      <c r="NWA3" s="201"/>
      <c r="NWB3" s="201"/>
      <c r="NWC3" s="200"/>
      <c r="NWD3" s="201"/>
      <c r="NWE3" s="201"/>
      <c r="NWF3" s="201"/>
      <c r="NWG3" s="200"/>
      <c r="NWH3" s="201"/>
      <c r="NWI3" s="201"/>
      <c r="NWJ3" s="201"/>
      <c r="NWK3" s="200"/>
      <c r="NWL3" s="201"/>
      <c r="NWM3" s="201"/>
      <c r="NWN3" s="201"/>
      <c r="NWO3" s="200"/>
      <c r="NWP3" s="201"/>
      <c r="NWQ3" s="201"/>
      <c r="NWR3" s="201"/>
      <c r="NWS3" s="200"/>
      <c r="NWT3" s="201"/>
      <c r="NWU3" s="201"/>
      <c r="NWV3" s="201"/>
      <c r="NWW3" s="200"/>
      <c r="NWX3" s="201"/>
      <c r="NWY3" s="201"/>
      <c r="NWZ3" s="201"/>
      <c r="NXA3" s="200"/>
      <c r="NXB3" s="201"/>
      <c r="NXC3" s="201"/>
      <c r="NXD3" s="201"/>
      <c r="NXE3" s="200"/>
      <c r="NXF3" s="201"/>
      <c r="NXG3" s="201"/>
      <c r="NXH3" s="201"/>
      <c r="NXI3" s="200"/>
      <c r="NXJ3" s="201"/>
      <c r="NXK3" s="201"/>
      <c r="NXL3" s="201"/>
      <c r="NXM3" s="200"/>
      <c r="NXN3" s="201"/>
      <c r="NXO3" s="201"/>
      <c r="NXP3" s="201"/>
      <c r="NXQ3" s="200"/>
      <c r="NXR3" s="201"/>
      <c r="NXS3" s="201"/>
      <c r="NXT3" s="201"/>
      <c r="NXU3" s="200"/>
      <c r="NXV3" s="201"/>
      <c r="NXW3" s="201"/>
      <c r="NXX3" s="201"/>
      <c r="NXY3" s="200"/>
      <c r="NXZ3" s="201"/>
      <c r="NYA3" s="201"/>
      <c r="NYB3" s="201"/>
      <c r="NYC3" s="200"/>
      <c r="NYD3" s="201"/>
      <c r="NYE3" s="201"/>
      <c r="NYF3" s="201"/>
      <c r="NYG3" s="200"/>
      <c r="NYH3" s="201"/>
      <c r="NYI3" s="201"/>
      <c r="NYJ3" s="201"/>
      <c r="NYK3" s="200"/>
      <c r="NYL3" s="201"/>
      <c r="NYM3" s="201"/>
      <c r="NYN3" s="201"/>
      <c r="NYO3" s="200"/>
      <c r="NYP3" s="201"/>
      <c r="NYQ3" s="201"/>
      <c r="NYR3" s="201"/>
      <c r="NYS3" s="200"/>
      <c r="NYT3" s="201"/>
      <c r="NYU3" s="201"/>
      <c r="NYV3" s="201"/>
      <c r="NYW3" s="200"/>
      <c r="NYX3" s="201"/>
      <c r="NYY3" s="201"/>
      <c r="NYZ3" s="201"/>
      <c r="NZA3" s="200"/>
      <c r="NZB3" s="201"/>
      <c r="NZC3" s="201"/>
      <c r="NZD3" s="201"/>
      <c r="NZE3" s="200"/>
      <c r="NZF3" s="201"/>
      <c r="NZG3" s="201"/>
      <c r="NZH3" s="201"/>
      <c r="NZI3" s="200"/>
      <c r="NZJ3" s="201"/>
      <c r="NZK3" s="201"/>
      <c r="NZL3" s="201"/>
      <c r="NZM3" s="200"/>
      <c r="NZN3" s="201"/>
      <c r="NZO3" s="201"/>
      <c r="NZP3" s="201"/>
      <c r="NZQ3" s="200"/>
      <c r="NZR3" s="201"/>
      <c r="NZS3" s="201"/>
      <c r="NZT3" s="201"/>
      <c r="NZU3" s="200"/>
      <c r="NZV3" s="201"/>
      <c r="NZW3" s="201"/>
      <c r="NZX3" s="201"/>
      <c r="NZY3" s="200"/>
      <c r="NZZ3" s="201"/>
      <c r="OAA3" s="201"/>
      <c r="OAB3" s="201"/>
      <c r="OAC3" s="200"/>
      <c r="OAD3" s="201"/>
      <c r="OAE3" s="201"/>
      <c r="OAF3" s="201"/>
      <c r="OAG3" s="200"/>
      <c r="OAH3" s="201"/>
      <c r="OAI3" s="201"/>
      <c r="OAJ3" s="201"/>
      <c r="OAK3" s="200"/>
      <c r="OAL3" s="201"/>
      <c r="OAM3" s="201"/>
      <c r="OAN3" s="201"/>
      <c r="OAO3" s="200"/>
      <c r="OAP3" s="201"/>
      <c r="OAQ3" s="201"/>
      <c r="OAR3" s="201"/>
      <c r="OAS3" s="200"/>
      <c r="OAT3" s="201"/>
      <c r="OAU3" s="201"/>
      <c r="OAV3" s="201"/>
      <c r="OAW3" s="200"/>
      <c r="OAX3" s="201"/>
      <c r="OAY3" s="201"/>
      <c r="OAZ3" s="201"/>
      <c r="OBA3" s="200"/>
      <c r="OBB3" s="201"/>
      <c r="OBC3" s="201"/>
      <c r="OBD3" s="201"/>
      <c r="OBE3" s="200"/>
      <c r="OBF3" s="201"/>
      <c r="OBG3" s="201"/>
      <c r="OBH3" s="201"/>
      <c r="OBI3" s="200"/>
      <c r="OBJ3" s="201"/>
      <c r="OBK3" s="201"/>
      <c r="OBL3" s="201"/>
      <c r="OBM3" s="200"/>
      <c r="OBN3" s="201"/>
      <c r="OBO3" s="201"/>
      <c r="OBP3" s="201"/>
      <c r="OBQ3" s="200"/>
      <c r="OBR3" s="201"/>
      <c r="OBS3" s="201"/>
      <c r="OBT3" s="201"/>
      <c r="OBU3" s="200"/>
      <c r="OBV3" s="201"/>
      <c r="OBW3" s="201"/>
      <c r="OBX3" s="201"/>
      <c r="OBY3" s="200"/>
      <c r="OBZ3" s="201"/>
      <c r="OCA3" s="201"/>
      <c r="OCB3" s="201"/>
      <c r="OCC3" s="200"/>
      <c r="OCD3" s="201"/>
      <c r="OCE3" s="201"/>
      <c r="OCF3" s="201"/>
      <c r="OCG3" s="200"/>
      <c r="OCH3" s="201"/>
      <c r="OCI3" s="201"/>
      <c r="OCJ3" s="201"/>
      <c r="OCK3" s="200"/>
      <c r="OCL3" s="201"/>
      <c r="OCM3" s="201"/>
      <c r="OCN3" s="201"/>
      <c r="OCO3" s="200"/>
      <c r="OCP3" s="201"/>
      <c r="OCQ3" s="201"/>
      <c r="OCR3" s="201"/>
      <c r="OCS3" s="200"/>
      <c r="OCT3" s="201"/>
      <c r="OCU3" s="201"/>
      <c r="OCV3" s="201"/>
      <c r="OCW3" s="200"/>
      <c r="OCX3" s="201"/>
      <c r="OCY3" s="201"/>
      <c r="OCZ3" s="201"/>
      <c r="ODA3" s="200"/>
      <c r="ODB3" s="201"/>
      <c r="ODC3" s="201"/>
      <c r="ODD3" s="201"/>
      <c r="ODE3" s="200"/>
      <c r="ODF3" s="201"/>
      <c r="ODG3" s="201"/>
      <c r="ODH3" s="201"/>
      <c r="ODI3" s="200"/>
      <c r="ODJ3" s="201"/>
      <c r="ODK3" s="201"/>
      <c r="ODL3" s="201"/>
      <c r="ODM3" s="200"/>
      <c r="ODN3" s="201"/>
      <c r="ODO3" s="201"/>
      <c r="ODP3" s="201"/>
      <c r="ODQ3" s="200"/>
      <c r="ODR3" s="201"/>
      <c r="ODS3" s="201"/>
      <c r="ODT3" s="201"/>
      <c r="ODU3" s="200"/>
      <c r="ODV3" s="201"/>
      <c r="ODW3" s="201"/>
      <c r="ODX3" s="201"/>
      <c r="ODY3" s="200"/>
      <c r="ODZ3" s="201"/>
      <c r="OEA3" s="201"/>
      <c r="OEB3" s="201"/>
      <c r="OEC3" s="200"/>
      <c r="OED3" s="201"/>
      <c r="OEE3" s="201"/>
      <c r="OEF3" s="201"/>
      <c r="OEG3" s="200"/>
      <c r="OEH3" s="201"/>
      <c r="OEI3" s="201"/>
      <c r="OEJ3" s="201"/>
      <c r="OEK3" s="200"/>
      <c r="OEL3" s="201"/>
      <c r="OEM3" s="201"/>
      <c r="OEN3" s="201"/>
      <c r="OEO3" s="200"/>
      <c r="OEP3" s="201"/>
      <c r="OEQ3" s="201"/>
      <c r="OER3" s="201"/>
      <c r="OES3" s="200"/>
      <c r="OET3" s="201"/>
      <c r="OEU3" s="201"/>
      <c r="OEV3" s="201"/>
      <c r="OEW3" s="200"/>
      <c r="OEX3" s="201"/>
      <c r="OEY3" s="201"/>
      <c r="OEZ3" s="201"/>
      <c r="OFA3" s="200"/>
      <c r="OFB3" s="201"/>
      <c r="OFC3" s="201"/>
      <c r="OFD3" s="201"/>
      <c r="OFE3" s="200"/>
      <c r="OFF3" s="201"/>
      <c r="OFG3" s="201"/>
      <c r="OFH3" s="201"/>
      <c r="OFI3" s="200"/>
      <c r="OFJ3" s="201"/>
      <c r="OFK3" s="201"/>
      <c r="OFL3" s="201"/>
      <c r="OFM3" s="200"/>
      <c r="OFN3" s="201"/>
      <c r="OFO3" s="201"/>
      <c r="OFP3" s="201"/>
      <c r="OFQ3" s="200"/>
      <c r="OFR3" s="201"/>
      <c r="OFS3" s="201"/>
      <c r="OFT3" s="201"/>
      <c r="OFU3" s="200"/>
      <c r="OFV3" s="201"/>
      <c r="OFW3" s="201"/>
      <c r="OFX3" s="201"/>
      <c r="OFY3" s="200"/>
      <c r="OFZ3" s="201"/>
      <c r="OGA3" s="201"/>
      <c r="OGB3" s="201"/>
      <c r="OGC3" s="200"/>
      <c r="OGD3" s="201"/>
      <c r="OGE3" s="201"/>
      <c r="OGF3" s="201"/>
      <c r="OGG3" s="200"/>
      <c r="OGH3" s="201"/>
      <c r="OGI3" s="201"/>
      <c r="OGJ3" s="201"/>
      <c r="OGK3" s="200"/>
      <c r="OGL3" s="201"/>
      <c r="OGM3" s="201"/>
      <c r="OGN3" s="201"/>
      <c r="OGO3" s="200"/>
      <c r="OGP3" s="201"/>
      <c r="OGQ3" s="201"/>
      <c r="OGR3" s="201"/>
      <c r="OGS3" s="200"/>
      <c r="OGT3" s="201"/>
      <c r="OGU3" s="201"/>
      <c r="OGV3" s="201"/>
      <c r="OGW3" s="200"/>
      <c r="OGX3" s="201"/>
      <c r="OGY3" s="201"/>
      <c r="OGZ3" s="201"/>
      <c r="OHA3" s="200"/>
      <c r="OHB3" s="201"/>
      <c r="OHC3" s="201"/>
      <c r="OHD3" s="201"/>
      <c r="OHE3" s="200"/>
      <c r="OHF3" s="201"/>
      <c r="OHG3" s="201"/>
      <c r="OHH3" s="201"/>
      <c r="OHI3" s="200"/>
      <c r="OHJ3" s="201"/>
      <c r="OHK3" s="201"/>
      <c r="OHL3" s="201"/>
      <c r="OHM3" s="200"/>
      <c r="OHN3" s="201"/>
      <c r="OHO3" s="201"/>
      <c r="OHP3" s="201"/>
      <c r="OHQ3" s="200"/>
      <c r="OHR3" s="201"/>
      <c r="OHS3" s="201"/>
      <c r="OHT3" s="201"/>
      <c r="OHU3" s="200"/>
      <c r="OHV3" s="201"/>
      <c r="OHW3" s="201"/>
      <c r="OHX3" s="201"/>
      <c r="OHY3" s="200"/>
      <c r="OHZ3" s="201"/>
      <c r="OIA3" s="201"/>
      <c r="OIB3" s="201"/>
      <c r="OIC3" s="200"/>
      <c r="OID3" s="201"/>
      <c r="OIE3" s="201"/>
      <c r="OIF3" s="201"/>
      <c r="OIG3" s="200"/>
      <c r="OIH3" s="201"/>
      <c r="OII3" s="201"/>
      <c r="OIJ3" s="201"/>
      <c r="OIK3" s="200"/>
      <c r="OIL3" s="201"/>
      <c r="OIM3" s="201"/>
      <c r="OIN3" s="201"/>
      <c r="OIO3" s="200"/>
      <c r="OIP3" s="201"/>
      <c r="OIQ3" s="201"/>
      <c r="OIR3" s="201"/>
      <c r="OIS3" s="200"/>
      <c r="OIT3" s="201"/>
      <c r="OIU3" s="201"/>
      <c r="OIV3" s="201"/>
      <c r="OIW3" s="200"/>
      <c r="OIX3" s="201"/>
      <c r="OIY3" s="201"/>
      <c r="OIZ3" s="201"/>
      <c r="OJA3" s="200"/>
      <c r="OJB3" s="201"/>
      <c r="OJC3" s="201"/>
      <c r="OJD3" s="201"/>
      <c r="OJE3" s="200"/>
      <c r="OJF3" s="201"/>
      <c r="OJG3" s="201"/>
      <c r="OJH3" s="201"/>
      <c r="OJI3" s="200"/>
      <c r="OJJ3" s="201"/>
      <c r="OJK3" s="201"/>
      <c r="OJL3" s="201"/>
      <c r="OJM3" s="200"/>
      <c r="OJN3" s="201"/>
      <c r="OJO3" s="201"/>
      <c r="OJP3" s="201"/>
      <c r="OJQ3" s="200"/>
      <c r="OJR3" s="201"/>
      <c r="OJS3" s="201"/>
      <c r="OJT3" s="201"/>
      <c r="OJU3" s="200"/>
      <c r="OJV3" s="201"/>
      <c r="OJW3" s="201"/>
      <c r="OJX3" s="201"/>
      <c r="OJY3" s="200"/>
      <c r="OJZ3" s="201"/>
      <c r="OKA3" s="201"/>
      <c r="OKB3" s="201"/>
      <c r="OKC3" s="200"/>
      <c r="OKD3" s="201"/>
      <c r="OKE3" s="201"/>
      <c r="OKF3" s="201"/>
      <c r="OKG3" s="200"/>
      <c r="OKH3" s="201"/>
      <c r="OKI3" s="201"/>
      <c r="OKJ3" s="201"/>
      <c r="OKK3" s="200"/>
      <c r="OKL3" s="201"/>
      <c r="OKM3" s="201"/>
      <c r="OKN3" s="201"/>
      <c r="OKO3" s="200"/>
      <c r="OKP3" s="201"/>
      <c r="OKQ3" s="201"/>
      <c r="OKR3" s="201"/>
      <c r="OKS3" s="200"/>
      <c r="OKT3" s="201"/>
      <c r="OKU3" s="201"/>
      <c r="OKV3" s="201"/>
      <c r="OKW3" s="200"/>
      <c r="OKX3" s="201"/>
      <c r="OKY3" s="201"/>
      <c r="OKZ3" s="201"/>
      <c r="OLA3" s="200"/>
      <c r="OLB3" s="201"/>
      <c r="OLC3" s="201"/>
      <c r="OLD3" s="201"/>
      <c r="OLE3" s="200"/>
      <c r="OLF3" s="201"/>
      <c r="OLG3" s="201"/>
      <c r="OLH3" s="201"/>
      <c r="OLI3" s="200"/>
      <c r="OLJ3" s="201"/>
      <c r="OLK3" s="201"/>
      <c r="OLL3" s="201"/>
      <c r="OLM3" s="200"/>
      <c r="OLN3" s="201"/>
      <c r="OLO3" s="201"/>
      <c r="OLP3" s="201"/>
      <c r="OLQ3" s="200"/>
      <c r="OLR3" s="201"/>
      <c r="OLS3" s="201"/>
      <c r="OLT3" s="201"/>
      <c r="OLU3" s="200"/>
      <c r="OLV3" s="201"/>
      <c r="OLW3" s="201"/>
      <c r="OLX3" s="201"/>
      <c r="OLY3" s="200"/>
      <c r="OLZ3" s="201"/>
      <c r="OMA3" s="201"/>
      <c r="OMB3" s="201"/>
      <c r="OMC3" s="200"/>
      <c r="OMD3" s="201"/>
      <c r="OME3" s="201"/>
      <c r="OMF3" s="201"/>
      <c r="OMG3" s="200"/>
      <c r="OMH3" s="201"/>
      <c r="OMI3" s="201"/>
      <c r="OMJ3" s="201"/>
      <c r="OMK3" s="200"/>
      <c r="OML3" s="201"/>
      <c r="OMM3" s="201"/>
      <c r="OMN3" s="201"/>
      <c r="OMO3" s="200"/>
      <c r="OMP3" s="201"/>
      <c r="OMQ3" s="201"/>
      <c r="OMR3" s="201"/>
      <c r="OMS3" s="200"/>
      <c r="OMT3" s="201"/>
      <c r="OMU3" s="201"/>
      <c r="OMV3" s="201"/>
      <c r="OMW3" s="200"/>
      <c r="OMX3" s="201"/>
      <c r="OMY3" s="201"/>
      <c r="OMZ3" s="201"/>
      <c r="ONA3" s="200"/>
      <c r="ONB3" s="201"/>
      <c r="ONC3" s="201"/>
      <c r="OND3" s="201"/>
      <c r="ONE3" s="200"/>
      <c r="ONF3" s="201"/>
      <c r="ONG3" s="201"/>
      <c r="ONH3" s="201"/>
      <c r="ONI3" s="200"/>
      <c r="ONJ3" s="201"/>
      <c r="ONK3" s="201"/>
      <c r="ONL3" s="201"/>
      <c r="ONM3" s="200"/>
      <c r="ONN3" s="201"/>
      <c r="ONO3" s="201"/>
      <c r="ONP3" s="201"/>
      <c r="ONQ3" s="200"/>
      <c r="ONR3" s="201"/>
      <c r="ONS3" s="201"/>
      <c r="ONT3" s="201"/>
      <c r="ONU3" s="200"/>
      <c r="ONV3" s="201"/>
      <c r="ONW3" s="201"/>
      <c r="ONX3" s="201"/>
      <c r="ONY3" s="200"/>
      <c r="ONZ3" s="201"/>
      <c r="OOA3" s="201"/>
      <c r="OOB3" s="201"/>
      <c r="OOC3" s="200"/>
      <c r="OOD3" s="201"/>
      <c r="OOE3" s="201"/>
      <c r="OOF3" s="201"/>
      <c r="OOG3" s="200"/>
      <c r="OOH3" s="201"/>
      <c r="OOI3" s="201"/>
      <c r="OOJ3" s="201"/>
      <c r="OOK3" s="200"/>
      <c r="OOL3" s="201"/>
      <c r="OOM3" s="201"/>
      <c r="OON3" s="201"/>
      <c r="OOO3" s="200"/>
      <c r="OOP3" s="201"/>
      <c r="OOQ3" s="201"/>
      <c r="OOR3" s="201"/>
      <c r="OOS3" s="200"/>
      <c r="OOT3" s="201"/>
      <c r="OOU3" s="201"/>
      <c r="OOV3" s="201"/>
      <c r="OOW3" s="200"/>
      <c r="OOX3" s="201"/>
      <c r="OOY3" s="201"/>
      <c r="OOZ3" s="201"/>
      <c r="OPA3" s="200"/>
      <c r="OPB3" s="201"/>
      <c r="OPC3" s="201"/>
      <c r="OPD3" s="201"/>
      <c r="OPE3" s="200"/>
      <c r="OPF3" s="201"/>
      <c r="OPG3" s="201"/>
      <c r="OPH3" s="201"/>
      <c r="OPI3" s="200"/>
      <c r="OPJ3" s="201"/>
      <c r="OPK3" s="201"/>
      <c r="OPL3" s="201"/>
      <c r="OPM3" s="200"/>
      <c r="OPN3" s="201"/>
      <c r="OPO3" s="201"/>
      <c r="OPP3" s="201"/>
      <c r="OPQ3" s="200"/>
      <c r="OPR3" s="201"/>
      <c r="OPS3" s="201"/>
      <c r="OPT3" s="201"/>
      <c r="OPU3" s="200"/>
      <c r="OPV3" s="201"/>
      <c r="OPW3" s="201"/>
      <c r="OPX3" s="201"/>
      <c r="OPY3" s="200"/>
      <c r="OPZ3" s="201"/>
      <c r="OQA3" s="201"/>
      <c r="OQB3" s="201"/>
      <c r="OQC3" s="200"/>
      <c r="OQD3" s="201"/>
      <c r="OQE3" s="201"/>
      <c r="OQF3" s="201"/>
      <c r="OQG3" s="200"/>
      <c r="OQH3" s="201"/>
      <c r="OQI3" s="201"/>
      <c r="OQJ3" s="201"/>
      <c r="OQK3" s="200"/>
      <c r="OQL3" s="201"/>
      <c r="OQM3" s="201"/>
      <c r="OQN3" s="201"/>
      <c r="OQO3" s="200"/>
      <c r="OQP3" s="201"/>
      <c r="OQQ3" s="201"/>
      <c r="OQR3" s="201"/>
      <c r="OQS3" s="200"/>
      <c r="OQT3" s="201"/>
      <c r="OQU3" s="201"/>
      <c r="OQV3" s="201"/>
      <c r="OQW3" s="200"/>
      <c r="OQX3" s="201"/>
      <c r="OQY3" s="201"/>
      <c r="OQZ3" s="201"/>
      <c r="ORA3" s="200"/>
      <c r="ORB3" s="201"/>
      <c r="ORC3" s="201"/>
      <c r="ORD3" s="201"/>
      <c r="ORE3" s="200"/>
      <c r="ORF3" s="201"/>
      <c r="ORG3" s="201"/>
      <c r="ORH3" s="201"/>
      <c r="ORI3" s="200"/>
      <c r="ORJ3" s="201"/>
      <c r="ORK3" s="201"/>
      <c r="ORL3" s="201"/>
      <c r="ORM3" s="200"/>
      <c r="ORN3" s="201"/>
      <c r="ORO3" s="201"/>
      <c r="ORP3" s="201"/>
      <c r="ORQ3" s="200"/>
      <c r="ORR3" s="201"/>
      <c r="ORS3" s="201"/>
      <c r="ORT3" s="201"/>
      <c r="ORU3" s="200"/>
      <c r="ORV3" s="201"/>
      <c r="ORW3" s="201"/>
      <c r="ORX3" s="201"/>
      <c r="ORY3" s="200"/>
      <c r="ORZ3" s="201"/>
      <c r="OSA3" s="201"/>
      <c r="OSB3" s="201"/>
      <c r="OSC3" s="200"/>
      <c r="OSD3" s="201"/>
      <c r="OSE3" s="201"/>
      <c r="OSF3" s="201"/>
      <c r="OSG3" s="200"/>
      <c r="OSH3" s="201"/>
      <c r="OSI3" s="201"/>
      <c r="OSJ3" s="201"/>
      <c r="OSK3" s="200"/>
      <c r="OSL3" s="201"/>
      <c r="OSM3" s="201"/>
      <c r="OSN3" s="201"/>
      <c r="OSO3" s="200"/>
      <c r="OSP3" s="201"/>
      <c r="OSQ3" s="201"/>
      <c r="OSR3" s="201"/>
      <c r="OSS3" s="200"/>
      <c r="OST3" s="201"/>
      <c r="OSU3" s="201"/>
      <c r="OSV3" s="201"/>
      <c r="OSW3" s="200"/>
      <c r="OSX3" s="201"/>
      <c r="OSY3" s="201"/>
      <c r="OSZ3" s="201"/>
      <c r="OTA3" s="200"/>
      <c r="OTB3" s="201"/>
      <c r="OTC3" s="201"/>
      <c r="OTD3" s="201"/>
      <c r="OTE3" s="200"/>
      <c r="OTF3" s="201"/>
      <c r="OTG3" s="201"/>
      <c r="OTH3" s="201"/>
      <c r="OTI3" s="200"/>
      <c r="OTJ3" s="201"/>
      <c r="OTK3" s="201"/>
      <c r="OTL3" s="201"/>
      <c r="OTM3" s="200"/>
      <c r="OTN3" s="201"/>
      <c r="OTO3" s="201"/>
      <c r="OTP3" s="201"/>
      <c r="OTQ3" s="200"/>
      <c r="OTR3" s="201"/>
      <c r="OTS3" s="201"/>
      <c r="OTT3" s="201"/>
      <c r="OTU3" s="200"/>
      <c r="OTV3" s="201"/>
      <c r="OTW3" s="201"/>
      <c r="OTX3" s="201"/>
      <c r="OTY3" s="200"/>
      <c r="OTZ3" s="201"/>
      <c r="OUA3" s="201"/>
      <c r="OUB3" s="201"/>
      <c r="OUC3" s="200"/>
      <c r="OUD3" s="201"/>
      <c r="OUE3" s="201"/>
      <c r="OUF3" s="201"/>
      <c r="OUG3" s="200"/>
      <c r="OUH3" s="201"/>
      <c r="OUI3" s="201"/>
      <c r="OUJ3" s="201"/>
      <c r="OUK3" s="200"/>
      <c r="OUL3" s="201"/>
      <c r="OUM3" s="201"/>
      <c r="OUN3" s="201"/>
      <c r="OUO3" s="200"/>
      <c r="OUP3" s="201"/>
      <c r="OUQ3" s="201"/>
      <c r="OUR3" s="201"/>
      <c r="OUS3" s="200"/>
      <c r="OUT3" s="201"/>
      <c r="OUU3" s="201"/>
      <c r="OUV3" s="201"/>
      <c r="OUW3" s="200"/>
      <c r="OUX3" s="201"/>
      <c r="OUY3" s="201"/>
      <c r="OUZ3" s="201"/>
      <c r="OVA3" s="200"/>
      <c r="OVB3" s="201"/>
      <c r="OVC3" s="201"/>
      <c r="OVD3" s="201"/>
      <c r="OVE3" s="200"/>
      <c r="OVF3" s="201"/>
      <c r="OVG3" s="201"/>
      <c r="OVH3" s="201"/>
      <c r="OVI3" s="200"/>
      <c r="OVJ3" s="201"/>
      <c r="OVK3" s="201"/>
      <c r="OVL3" s="201"/>
      <c r="OVM3" s="200"/>
      <c r="OVN3" s="201"/>
      <c r="OVO3" s="201"/>
      <c r="OVP3" s="201"/>
      <c r="OVQ3" s="200"/>
      <c r="OVR3" s="201"/>
      <c r="OVS3" s="201"/>
      <c r="OVT3" s="201"/>
      <c r="OVU3" s="200"/>
      <c r="OVV3" s="201"/>
      <c r="OVW3" s="201"/>
      <c r="OVX3" s="201"/>
      <c r="OVY3" s="200"/>
      <c r="OVZ3" s="201"/>
      <c r="OWA3" s="201"/>
      <c r="OWB3" s="201"/>
      <c r="OWC3" s="200"/>
      <c r="OWD3" s="201"/>
      <c r="OWE3" s="201"/>
      <c r="OWF3" s="201"/>
      <c r="OWG3" s="200"/>
      <c r="OWH3" s="201"/>
      <c r="OWI3" s="201"/>
      <c r="OWJ3" s="201"/>
      <c r="OWK3" s="200"/>
      <c r="OWL3" s="201"/>
      <c r="OWM3" s="201"/>
      <c r="OWN3" s="201"/>
      <c r="OWO3" s="200"/>
      <c r="OWP3" s="201"/>
      <c r="OWQ3" s="201"/>
      <c r="OWR3" s="201"/>
      <c r="OWS3" s="200"/>
      <c r="OWT3" s="201"/>
      <c r="OWU3" s="201"/>
      <c r="OWV3" s="201"/>
      <c r="OWW3" s="200"/>
      <c r="OWX3" s="201"/>
      <c r="OWY3" s="201"/>
      <c r="OWZ3" s="201"/>
      <c r="OXA3" s="200"/>
      <c r="OXB3" s="201"/>
      <c r="OXC3" s="201"/>
      <c r="OXD3" s="201"/>
      <c r="OXE3" s="200"/>
      <c r="OXF3" s="201"/>
      <c r="OXG3" s="201"/>
      <c r="OXH3" s="201"/>
      <c r="OXI3" s="200"/>
      <c r="OXJ3" s="201"/>
      <c r="OXK3" s="201"/>
      <c r="OXL3" s="201"/>
      <c r="OXM3" s="200"/>
      <c r="OXN3" s="201"/>
      <c r="OXO3" s="201"/>
      <c r="OXP3" s="201"/>
      <c r="OXQ3" s="200"/>
      <c r="OXR3" s="201"/>
      <c r="OXS3" s="201"/>
      <c r="OXT3" s="201"/>
      <c r="OXU3" s="200"/>
      <c r="OXV3" s="201"/>
      <c r="OXW3" s="201"/>
      <c r="OXX3" s="201"/>
      <c r="OXY3" s="200"/>
      <c r="OXZ3" s="201"/>
      <c r="OYA3" s="201"/>
      <c r="OYB3" s="201"/>
      <c r="OYC3" s="200"/>
      <c r="OYD3" s="201"/>
      <c r="OYE3" s="201"/>
      <c r="OYF3" s="201"/>
      <c r="OYG3" s="200"/>
      <c r="OYH3" s="201"/>
      <c r="OYI3" s="201"/>
      <c r="OYJ3" s="201"/>
      <c r="OYK3" s="200"/>
      <c r="OYL3" s="201"/>
      <c r="OYM3" s="201"/>
      <c r="OYN3" s="201"/>
      <c r="OYO3" s="200"/>
      <c r="OYP3" s="201"/>
      <c r="OYQ3" s="201"/>
      <c r="OYR3" s="201"/>
      <c r="OYS3" s="200"/>
      <c r="OYT3" s="201"/>
      <c r="OYU3" s="201"/>
      <c r="OYV3" s="201"/>
      <c r="OYW3" s="200"/>
      <c r="OYX3" s="201"/>
      <c r="OYY3" s="201"/>
      <c r="OYZ3" s="201"/>
      <c r="OZA3" s="200"/>
      <c r="OZB3" s="201"/>
      <c r="OZC3" s="201"/>
      <c r="OZD3" s="201"/>
      <c r="OZE3" s="200"/>
      <c r="OZF3" s="201"/>
      <c r="OZG3" s="201"/>
      <c r="OZH3" s="201"/>
      <c r="OZI3" s="200"/>
      <c r="OZJ3" s="201"/>
      <c r="OZK3" s="201"/>
      <c r="OZL3" s="201"/>
      <c r="OZM3" s="200"/>
      <c r="OZN3" s="201"/>
      <c r="OZO3" s="201"/>
      <c r="OZP3" s="201"/>
      <c r="OZQ3" s="200"/>
      <c r="OZR3" s="201"/>
      <c r="OZS3" s="201"/>
      <c r="OZT3" s="201"/>
      <c r="OZU3" s="200"/>
      <c r="OZV3" s="201"/>
      <c r="OZW3" s="201"/>
      <c r="OZX3" s="201"/>
      <c r="OZY3" s="200"/>
      <c r="OZZ3" s="201"/>
      <c r="PAA3" s="201"/>
      <c r="PAB3" s="201"/>
      <c r="PAC3" s="200"/>
      <c r="PAD3" s="201"/>
      <c r="PAE3" s="201"/>
      <c r="PAF3" s="201"/>
      <c r="PAG3" s="200"/>
      <c r="PAH3" s="201"/>
      <c r="PAI3" s="201"/>
      <c r="PAJ3" s="201"/>
      <c r="PAK3" s="200"/>
      <c r="PAL3" s="201"/>
      <c r="PAM3" s="201"/>
      <c r="PAN3" s="201"/>
      <c r="PAO3" s="200"/>
      <c r="PAP3" s="201"/>
      <c r="PAQ3" s="201"/>
      <c r="PAR3" s="201"/>
      <c r="PAS3" s="200"/>
      <c r="PAT3" s="201"/>
      <c r="PAU3" s="201"/>
      <c r="PAV3" s="201"/>
      <c r="PAW3" s="200"/>
      <c r="PAX3" s="201"/>
      <c r="PAY3" s="201"/>
      <c r="PAZ3" s="201"/>
      <c r="PBA3" s="200"/>
      <c r="PBB3" s="201"/>
      <c r="PBC3" s="201"/>
      <c r="PBD3" s="201"/>
      <c r="PBE3" s="200"/>
      <c r="PBF3" s="201"/>
      <c r="PBG3" s="201"/>
      <c r="PBH3" s="201"/>
      <c r="PBI3" s="200"/>
      <c r="PBJ3" s="201"/>
      <c r="PBK3" s="201"/>
      <c r="PBL3" s="201"/>
      <c r="PBM3" s="200"/>
      <c r="PBN3" s="201"/>
      <c r="PBO3" s="201"/>
      <c r="PBP3" s="201"/>
      <c r="PBQ3" s="200"/>
      <c r="PBR3" s="201"/>
      <c r="PBS3" s="201"/>
      <c r="PBT3" s="201"/>
      <c r="PBU3" s="200"/>
      <c r="PBV3" s="201"/>
      <c r="PBW3" s="201"/>
      <c r="PBX3" s="201"/>
      <c r="PBY3" s="200"/>
      <c r="PBZ3" s="201"/>
      <c r="PCA3" s="201"/>
      <c r="PCB3" s="201"/>
      <c r="PCC3" s="200"/>
      <c r="PCD3" s="201"/>
      <c r="PCE3" s="201"/>
      <c r="PCF3" s="201"/>
      <c r="PCG3" s="200"/>
      <c r="PCH3" s="201"/>
      <c r="PCI3" s="201"/>
      <c r="PCJ3" s="201"/>
      <c r="PCK3" s="200"/>
      <c r="PCL3" s="201"/>
      <c r="PCM3" s="201"/>
      <c r="PCN3" s="201"/>
      <c r="PCO3" s="200"/>
      <c r="PCP3" s="201"/>
      <c r="PCQ3" s="201"/>
      <c r="PCR3" s="201"/>
      <c r="PCS3" s="200"/>
      <c r="PCT3" s="201"/>
      <c r="PCU3" s="201"/>
      <c r="PCV3" s="201"/>
      <c r="PCW3" s="200"/>
      <c r="PCX3" s="201"/>
      <c r="PCY3" s="201"/>
      <c r="PCZ3" s="201"/>
      <c r="PDA3" s="200"/>
      <c r="PDB3" s="201"/>
      <c r="PDC3" s="201"/>
      <c r="PDD3" s="201"/>
      <c r="PDE3" s="200"/>
      <c r="PDF3" s="201"/>
      <c r="PDG3" s="201"/>
      <c r="PDH3" s="201"/>
      <c r="PDI3" s="200"/>
      <c r="PDJ3" s="201"/>
      <c r="PDK3" s="201"/>
      <c r="PDL3" s="201"/>
      <c r="PDM3" s="200"/>
      <c r="PDN3" s="201"/>
      <c r="PDO3" s="201"/>
      <c r="PDP3" s="201"/>
      <c r="PDQ3" s="200"/>
      <c r="PDR3" s="201"/>
      <c r="PDS3" s="201"/>
      <c r="PDT3" s="201"/>
      <c r="PDU3" s="200"/>
      <c r="PDV3" s="201"/>
      <c r="PDW3" s="201"/>
      <c r="PDX3" s="201"/>
      <c r="PDY3" s="200"/>
      <c r="PDZ3" s="201"/>
      <c r="PEA3" s="201"/>
      <c r="PEB3" s="201"/>
      <c r="PEC3" s="200"/>
      <c r="PED3" s="201"/>
      <c r="PEE3" s="201"/>
      <c r="PEF3" s="201"/>
      <c r="PEG3" s="200"/>
      <c r="PEH3" s="201"/>
      <c r="PEI3" s="201"/>
      <c r="PEJ3" s="201"/>
      <c r="PEK3" s="200"/>
      <c r="PEL3" s="201"/>
      <c r="PEM3" s="201"/>
      <c r="PEN3" s="201"/>
      <c r="PEO3" s="200"/>
      <c r="PEP3" s="201"/>
      <c r="PEQ3" s="201"/>
      <c r="PER3" s="201"/>
      <c r="PES3" s="200"/>
      <c r="PET3" s="201"/>
      <c r="PEU3" s="201"/>
      <c r="PEV3" s="201"/>
      <c r="PEW3" s="200"/>
      <c r="PEX3" s="201"/>
      <c r="PEY3" s="201"/>
      <c r="PEZ3" s="201"/>
      <c r="PFA3" s="200"/>
      <c r="PFB3" s="201"/>
      <c r="PFC3" s="201"/>
      <c r="PFD3" s="201"/>
      <c r="PFE3" s="200"/>
      <c r="PFF3" s="201"/>
      <c r="PFG3" s="201"/>
      <c r="PFH3" s="201"/>
      <c r="PFI3" s="200"/>
      <c r="PFJ3" s="201"/>
      <c r="PFK3" s="201"/>
      <c r="PFL3" s="201"/>
      <c r="PFM3" s="200"/>
      <c r="PFN3" s="201"/>
      <c r="PFO3" s="201"/>
      <c r="PFP3" s="201"/>
      <c r="PFQ3" s="200"/>
      <c r="PFR3" s="201"/>
      <c r="PFS3" s="201"/>
      <c r="PFT3" s="201"/>
      <c r="PFU3" s="200"/>
      <c r="PFV3" s="201"/>
      <c r="PFW3" s="201"/>
      <c r="PFX3" s="201"/>
      <c r="PFY3" s="200"/>
      <c r="PFZ3" s="201"/>
      <c r="PGA3" s="201"/>
      <c r="PGB3" s="201"/>
      <c r="PGC3" s="200"/>
      <c r="PGD3" s="201"/>
      <c r="PGE3" s="201"/>
      <c r="PGF3" s="201"/>
      <c r="PGG3" s="200"/>
      <c r="PGH3" s="201"/>
      <c r="PGI3" s="201"/>
      <c r="PGJ3" s="201"/>
      <c r="PGK3" s="200"/>
      <c r="PGL3" s="201"/>
      <c r="PGM3" s="201"/>
      <c r="PGN3" s="201"/>
      <c r="PGO3" s="200"/>
      <c r="PGP3" s="201"/>
      <c r="PGQ3" s="201"/>
      <c r="PGR3" s="201"/>
      <c r="PGS3" s="200"/>
      <c r="PGT3" s="201"/>
      <c r="PGU3" s="201"/>
      <c r="PGV3" s="201"/>
      <c r="PGW3" s="200"/>
      <c r="PGX3" s="201"/>
      <c r="PGY3" s="201"/>
      <c r="PGZ3" s="201"/>
      <c r="PHA3" s="200"/>
      <c r="PHB3" s="201"/>
      <c r="PHC3" s="201"/>
      <c r="PHD3" s="201"/>
      <c r="PHE3" s="200"/>
      <c r="PHF3" s="201"/>
      <c r="PHG3" s="201"/>
      <c r="PHH3" s="201"/>
      <c r="PHI3" s="200"/>
      <c r="PHJ3" s="201"/>
      <c r="PHK3" s="201"/>
      <c r="PHL3" s="201"/>
      <c r="PHM3" s="200"/>
      <c r="PHN3" s="201"/>
      <c r="PHO3" s="201"/>
      <c r="PHP3" s="201"/>
      <c r="PHQ3" s="200"/>
      <c r="PHR3" s="201"/>
      <c r="PHS3" s="201"/>
      <c r="PHT3" s="201"/>
      <c r="PHU3" s="200"/>
      <c r="PHV3" s="201"/>
      <c r="PHW3" s="201"/>
      <c r="PHX3" s="201"/>
      <c r="PHY3" s="200"/>
      <c r="PHZ3" s="201"/>
      <c r="PIA3" s="201"/>
      <c r="PIB3" s="201"/>
      <c r="PIC3" s="200"/>
      <c r="PID3" s="201"/>
      <c r="PIE3" s="201"/>
      <c r="PIF3" s="201"/>
      <c r="PIG3" s="200"/>
      <c r="PIH3" s="201"/>
      <c r="PII3" s="201"/>
      <c r="PIJ3" s="201"/>
      <c r="PIK3" s="200"/>
      <c r="PIL3" s="201"/>
      <c r="PIM3" s="201"/>
      <c r="PIN3" s="201"/>
      <c r="PIO3" s="200"/>
      <c r="PIP3" s="201"/>
      <c r="PIQ3" s="201"/>
      <c r="PIR3" s="201"/>
      <c r="PIS3" s="200"/>
      <c r="PIT3" s="201"/>
      <c r="PIU3" s="201"/>
      <c r="PIV3" s="201"/>
      <c r="PIW3" s="200"/>
      <c r="PIX3" s="201"/>
      <c r="PIY3" s="201"/>
      <c r="PIZ3" s="201"/>
      <c r="PJA3" s="200"/>
      <c r="PJB3" s="201"/>
      <c r="PJC3" s="201"/>
      <c r="PJD3" s="201"/>
      <c r="PJE3" s="200"/>
      <c r="PJF3" s="201"/>
      <c r="PJG3" s="201"/>
      <c r="PJH3" s="201"/>
      <c r="PJI3" s="200"/>
      <c r="PJJ3" s="201"/>
      <c r="PJK3" s="201"/>
      <c r="PJL3" s="201"/>
      <c r="PJM3" s="200"/>
      <c r="PJN3" s="201"/>
      <c r="PJO3" s="201"/>
      <c r="PJP3" s="201"/>
      <c r="PJQ3" s="200"/>
      <c r="PJR3" s="201"/>
      <c r="PJS3" s="201"/>
      <c r="PJT3" s="201"/>
      <c r="PJU3" s="200"/>
      <c r="PJV3" s="201"/>
      <c r="PJW3" s="201"/>
      <c r="PJX3" s="201"/>
      <c r="PJY3" s="200"/>
      <c r="PJZ3" s="201"/>
      <c r="PKA3" s="201"/>
      <c r="PKB3" s="201"/>
      <c r="PKC3" s="200"/>
      <c r="PKD3" s="201"/>
      <c r="PKE3" s="201"/>
      <c r="PKF3" s="201"/>
      <c r="PKG3" s="200"/>
      <c r="PKH3" s="201"/>
      <c r="PKI3" s="201"/>
      <c r="PKJ3" s="201"/>
      <c r="PKK3" s="200"/>
      <c r="PKL3" s="201"/>
      <c r="PKM3" s="201"/>
      <c r="PKN3" s="201"/>
      <c r="PKO3" s="200"/>
      <c r="PKP3" s="201"/>
      <c r="PKQ3" s="201"/>
      <c r="PKR3" s="201"/>
      <c r="PKS3" s="200"/>
      <c r="PKT3" s="201"/>
      <c r="PKU3" s="201"/>
      <c r="PKV3" s="201"/>
      <c r="PKW3" s="200"/>
      <c r="PKX3" s="201"/>
      <c r="PKY3" s="201"/>
      <c r="PKZ3" s="201"/>
      <c r="PLA3" s="200"/>
      <c r="PLB3" s="201"/>
      <c r="PLC3" s="201"/>
      <c r="PLD3" s="201"/>
      <c r="PLE3" s="200"/>
      <c r="PLF3" s="201"/>
      <c r="PLG3" s="201"/>
      <c r="PLH3" s="201"/>
      <c r="PLI3" s="200"/>
      <c r="PLJ3" s="201"/>
      <c r="PLK3" s="201"/>
      <c r="PLL3" s="201"/>
      <c r="PLM3" s="200"/>
      <c r="PLN3" s="201"/>
      <c r="PLO3" s="201"/>
      <c r="PLP3" s="201"/>
      <c r="PLQ3" s="200"/>
      <c r="PLR3" s="201"/>
      <c r="PLS3" s="201"/>
      <c r="PLT3" s="201"/>
      <c r="PLU3" s="200"/>
      <c r="PLV3" s="201"/>
      <c r="PLW3" s="201"/>
      <c r="PLX3" s="201"/>
      <c r="PLY3" s="200"/>
      <c r="PLZ3" s="201"/>
      <c r="PMA3" s="201"/>
      <c r="PMB3" s="201"/>
      <c r="PMC3" s="200"/>
      <c r="PMD3" s="201"/>
      <c r="PME3" s="201"/>
      <c r="PMF3" s="201"/>
      <c r="PMG3" s="200"/>
      <c r="PMH3" s="201"/>
      <c r="PMI3" s="201"/>
      <c r="PMJ3" s="201"/>
      <c r="PMK3" s="200"/>
      <c r="PML3" s="201"/>
      <c r="PMM3" s="201"/>
      <c r="PMN3" s="201"/>
      <c r="PMO3" s="200"/>
      <c r="PMP3" s="201"/>
      <c r="PMQ3" s="201"/>
      <c r="PMR3" s="201"/>
      <c r="PMS3" s="200"/>
      <c r="PMT3" s="201"/>
      <c r="PMU3" s="201"/>
      <c r="PMV3" s="201"/>
      <c r="PMW3" s="200"/>
      <c r="PMX3" s="201"/>
      <c r="PMY3" s="201"/>
      <c r="PMZ3" s="201"/>
      <c r="PNA3" s="200"/>
      <c r="PNB3" s="201"/>
      <c r="PNC3" s="201"/>
      <c r="PND3" s="201"/>
      <c r="PNE3" s="200"/>
      <c r="PNF3" s="201"/>
      <c r="PNG3" s="201"/>
      <c r="PNH3" s="201"/>
      <c r="PNI3" s="200"/>
      <c r="PNJ3" s="201"/>
      <c r="PNK3" s="201"/>
      <c r="PNL3" s="201"/>
      <c r="PNM3" s="200"/>
      <c r="PNN3" s="201"/>
      <c r="PNO3" s="201"/>
      <c r="PNP3" s="201"/>
      <c r="PNQ3" s="200"/>
      <c r="PNR3" s="201"/>
      <c r="PNS3" s="201"/>
      <c r="PNT3" s="201"/>
      <c r="PNU3" s="200"/>
      <c r="PNV3" s="201"/>
      <c r="PNW3" s="201"/>
      <c r="PNX3" s="201"/>
      <c r="PNY3" s="200"/>
      <c r="PNZ3" s="201"/>
      <c r="POA3" s="201"/>
      <c r="POB3" s="201"/>
      <c r="POC3" s="200"/>
      <c r="POD3" s="201"/>
      <c r="POE3" s="201"/>
      <c r="POF3" s="201"/>
      <c r="POG3" s="200"/>
      <c r="POH3" s="201"/>
      <c r="POI3" s="201"/>
      <c r="POJ3" s="201"/>
      <c r="POK3" s="200"/>
      <c r="POL3" s="201"/>
      <c r="POM3" s="201"/>
      <c r="PON3" s="201"/>
      <c r="POO3" s="200"/>
      <c r="POP3" s="201"/>
      <c r="POQ3" s="201"/>
      <c r="POR3" s="201"/>
      <c r="POS3" s="200"/>
      <c r="POT3" s="201"/>
      <c r="POU3" s="201"/>
      <c r="POV3" s="201"/>
      <c r="POW3" s="200"/>
      <c r="POX3" s="201"/>
      <c r="POY3" s="201"/>
      <c r="POZ3" s="201"/>
      <c r="PPA3" s="200"/>
      <c r="PPB3" s="201"/>
      <c r="PPC3" s="201"/>
      <c r="PPD3" s="201"/>
      <c r="PPE3" s="200"/>
      <c r="PPF3" s="201"/>
      <c r="PPG3" s="201"/>
      <c r="PPH3" s="201"/>
      <c r="PPI3" s="200"/>
      <c r="PPJ3" s="201"/>
      <c r="PPK3" s="201"/>
      <c r="PPL3" s="201"/>
      <c r="PPM3" s="200"/>
      <c r="PPN3" s="201"/>
      <c r="PPO3" s="201"/>
      <c r="PPP3" s="201"/>
      <c r="PPQ3" s="200"/>
      <c r="PPR3" s="201"/>
      <c r="PPS3" s="201"/>
      <c r="PPT3" s="201"/>
      <c r="PPU3" s="200"/>
      <c r="PPV3" s="201"/>
      <c r="PPW3" s="201"/>
      <c r="PPX3" s="201"/>
      <c r="PPY3" s="200"/>
      <c r="PPZ3" s="201"/>
      <c r="PQA3" s="201"/>
      <c r="PQB3" s="201"/>
      <c r="PQC3" s="200"/>
      <c r="PQD3" s="201"/>
      <c r="PQE3" s="201"/>
      <c r="PQF3" s="201"/>
      <c r="PQG3" s="200"/>
      <c r="PQH3" s="201"/>
      <c r="PQI3" s="201"/>
      <c r="PQJ3" s="201"/>
      <c r="PQK3" s="200"/>
      <c r="PQL3" s="201"/>
      <c r="PQM3" s="201"/>
      <c r="PQN3" s="201"/>
      <c r="PQO3" s="200"/>
      <c r="PQP3" s="201"/>
      <c r="PQQ3" s="201"/>
      <c r="PQR3" s="201"/>
      <c r="PQS3" s="200"/>
      <c r="PQT3" s="201"/>
      <c r="PQU3" s="201"/>
      <c r="PQV3" s="201"/>
      <c r="PQW3" s="200"/>
      <c r="PQX3" s="201"/>
      <c r="PQY3" s="201"/>
      <c r="PQZ3" s="201"/>
      <c r="PRA3" s="200"/>
      <c r="PRB3" s="201"/>
      <c r="PRC3" s="201"/>
      <c r="PRD3" s="201"/>
      <c r="PRE3" s="200"/>
      <c r="PRF3" s="201"/>
      <c r="PRG3" s="201"/>
      <c r="PRH3" s="201"/>
      <c r="PRI3" s="200"/>
      <c r="PRJ3" s="201"/>
      <c r="PRK3" s="201"/>
      <c r="PRL3" s="201"/>
      <c r="PRM3" s="200"/>
      <c r="PRN3" s="201"/>
      <c r="PRO3" s="201"/>
      <c r="PRP3" s="201"/>
      <c r="PRQ3" s="200"/>
      <c r="PRR3" s="201"/>
      <c r="PRS3" s="201"/>
      <c r="PRT3" s="201"/>
      <c r="PRU3" s="200"/>
      <c r="PRV3" s="201"/>
      <c r="PRW3" s="201"/>
      <c r="PRX3" s="201"/>
      <c r="PRY3" s="200"/>
      <c r="PRZ3" s="201"/>
      <c r="PSA3" s="201"/>
      <c r="PSB3" s="201"/>
      <c r="PSC3" s="200"/>
      <c r="PSD3" s="201"/>
      <c r="PSE3" s="201"/>
      <c r="PSF3" s="201"/>
      <c r="PSG3" s="200"/>
      <c r="PSH3" s="201"/>
      <c r="PSI3" s="201"/>
      <c r="PSJ3" s="201"/>
      <c r="PSK3" s="200"/>
      <c r="PSL3" s="201"/>
      <c r="PSM3" s="201"/>
      <c r="PSN3" s="201"/>
      <c r="PSO3" s="200"/>
      <c r="PSP3" s="201"/>
      <c r="PSQ3" s="201"/>
      <c r="PSR3" s="201"/>
      <c r="PSS3" s="200"/>
      <c r="PST3" s="201"/>
      <c r="PSU3" s="201"/>
      <c r="PSV3" s="201"/>
      <c r="PSW3" s="200"/>
      <c r="PSX3" s="201"/>
      <c r="PSY3" s="201"/>
      <c r="PSZ3" s="201"/>
      <c r="PTA3" s="200"/>
      <c r="PTB3" s="201"/>
      <c r="PTC3" s="201"/>
      <c r="PTD3" s="201"/>
      <c r="PTE3" s="200"/>
      <c r="PTF3" s="201"/>
      <c r="PTG3" s="201"/>
      <c r="PTH3" s="201"/>
      <c r="PTI3" s="200"/>
      <c r="PTJ3" s="201"/>
      <c r="PTK3" s="201"/>
      <c r="PTL3" s="201"/>
      <c r="PTM3" s="200"/>
      <c r="PTN3" s="201"/>
      <c r="PTO3" s="201"/>
      <c r="PTP3" s="201"/>
      <c r="PTQ3" s="200"/>
      <c r="PTR3" s="201"/>
      <c r="PTS3" s="201"/>
      <c r="PTT3" s="201"/>
      <c r="PTU3" s="200"/>
      <c r="PTV3" s="201"/>
      <c r="PTW3" s="201"/>
      <c r="PTX3" s="201"/>
      <c r="PTY3" s="200"/>
      <c r="PTZ3" s="201"/>
      <c r="PUA3" s="201"/>
      <c r="PUB3" s="201"/>
      <c r="PUC3" s="200"/>
      <c r="PUD3" s="201"/>
      <c r="PUE3" s="201"/>
      <c r="PUF3" s="201"/>
      <c r="PUG3" s="200"/>
      <c r="PUH3" s="201"/>
      <c r="PUI3" s="201"/>
      <c r="PUJ3" s="201"/>
      <c r="PUK3" s="200"/>
      <c r="PUL3" s="201"/>
      <c r="PUM3" s="201"/>
      <c r="PUN3" s="201"/>
      <c r="PUO3" s="200"/>
      <c r="PUP3" s="201"/>
      <c r="PUQ3" s="201"/>
      <c r="PUR3" s="201"/>
      <c r="PUS3" s="200"/>
      <c r="PUT3" s="201"/>
      <c r="PUU3" s="201"/>
      <c r="PUV3" s="201"/>
      <c r="PUW3" s="200"/>
      <c r="PUX3" s="201"/>
      <c r="PUY3" s="201"/>
      <c r="PUZ3" s="201"/>
      <c r="PVA3" s="200"/>
      <c r="PVB3" s="201"/>
      <c r="PVC3" s="201"/>
      <c r="PVD3" s="201"/>
      <c r="PVE3" s="200"/>
      <c r="PVF3" s="201"/>
      <c r="PVG3" s="201"/>
      <c r="PVH3" s="201"/>
      <c r="PVI3" s="200"/>
      <c r="PVJ3" s="201"/>
      <c r="PVK3" s="201"/>
      <c r="PVL3" s="201"/>
      <c r="PVM3" s="200"/>
      <c r="PVN3" s="201"/>
      <c r="PVO3" s="201"/>
      <c r="PVP3" s="201"/>
      <c r="PVQ3" s="200"/>
      <c r="PVR3" s="201"/>
      <c r="PVS3" s="201"/>
      <c r="PVT3" s="201"/>
      <c r="PVU3" s="200"/>
      <c r="PVV3" s="201"/>
      <c r="PVW3" s="201"/>
      <c r="PVX3" s="201"/>
      <c r="PVY3" s="200"/>
      <c r="PVZ3" s="201"/>
      <c r="PWA3" s="201"/>
      <c r="PWB3" s="201"/>
      <c r="PWC3" s="200"/>
      <c r="PWD3" s="201"/>
      <c r="PWE3" s="201"/>
      <c r="PWF3" s="201"/>
      <c r="PWG3" s="200"/>
      <c r="PWH3" s="201"/>
      <c r="PWI3" s="201"/>
      <c r="PWJ3" s="201"/>
      <c r="PWK3" s="200"/>
      <c r="PWL3" s="201"/>
      <c r="PWM3" s="201"/>
      <c r="PWN3" s="201"/>
      <c r="PWO3" s="200"/>
      <c r="PWP3" s="201"/>
      <c r="PWQ3" s="201"/>
      <c r="PWR3" s="201"/>
      <c r="PWS3" s="200"/>
      <c r="PWT3" s="201"/>
      <c r="PWU3" s="201"/>
      <c r="PWV3" s="201"/>
      <c r="PWW3" s="200"/>
      <c r="PWX3" s="201"/>
      <c r="PWY3" s="201"/>
      <c r="PWZ3" s="201"/>
      <c r="PXA3" s="200"/>
      <c r="PXB3" s="201"/>
      <c r="PXC3" s="201"/>
      <c r="PXD3" s="201"/>
      <c r="PXE3" s="200"/>
      <c r="PXF3" s="201"/>
      <c r="PXG3" s="201"/>
      <c r="PXH3" s="201"/>
      <c r="PXI3" s="200"/>
      <c r="PXJ3" s="201"/>
      <c r="PXK3" s="201"/>
      <c r="PXL3" s="201"/>
      <c r="PXM3" s="200"/>
      <c r="PXN3" s="201"/>
      <c r="PXO3" s="201"/>
      <c r="PXP3" s="201"/>
      <c r="PXQ3" s="200"/>
      <c r="PXR3" s="201"/>
      <c r="PXS3" s="201"/>
      <c r="PXT3" s="201"/>
      <c r="PXU3" s="200"/>
      <c r="PXV3" s="201"/>
      <c r="PXW3" s="201"/>
      <c r="PXX3" s="201"/>
      <c r="PXY3" s="200"/>
      <c r="PXZ3" s="201"/>
      <c r="PYA3" s="201"/>
      <c r="PYB3" s="201"/>
      <c r="PYC3" s="200"/>
      <c r="PYD3" s="201"/>
      <c r="PYE3" s="201"/>
      <c r="PYF3" s="201"/>
      <c r="PYG3" s="200"/>
      <c r="PYH3" s="201"/>
      <c r="PYI3" s="201"/>
      <c r="PYJ3" s="201"/>
      <c r="PYK3" s="200"/>
      <c r="PYL3" s="201"/>
      <c r="PYM3" s="201"/>
      <c r="PYN3" s="201"/>
      <c r="PYO3" s="200"/>
      <c r="PYP3" s="201"/>
      <c r="PYQ3" s="201"/>
      <c r="PYR3" s="201"/>
      <c r="PYS3" s="200"/>
      <c r="PYT3" s="201"/>
      <c r="PYU3" s="201"/>
      <c r="PYV3" s="201"/>
      <c r="PYW3" s="200"/>
      <c r="PYX3" s="201"/>
      <c r="PYY3" s="201"/>
      <c r="PYZ3" s="201"/>
      <c r="PZA3" s="200"/>
      <c r="PZB3" s="201"/>
      <c r="PZC3" s="201"/>
      <c r="PZD3" s="201"/>
      <c r="PZE3" s="200"/>
      <c r="PZF3" s="201"/>
      <c r="PZG3" s="201"/>
      <c r="PZH3" s="201"/>
      <c r="PZI3" s="200"/>
      <c r="PZJ3" s="201"/>
      <c r="PZK3" s="201"/>
      <c r="PZL3" s="201"/>
      <c r="PZM3" s="200"/>
      <c r="PZN3" s="201"/>
      <c r="PZO3" s="201"/>
      <c r="PZP3" s="201"/>
      <c r="PZQ3" s="200"/>
      <c r="PZR3" s="201"/>
      <c r="PZS3" s="201"/>
      <c r="PZT3" s="201"/>
      <c r="PZU3" s="200"/>
      <c r="PZV3" s="201"/>
      <c r="PZW3" s="201"/>
      <c r="PZX3" s="201"/>
      <c r="PZY3" s="200"/>
      <c r="PZZ3" s="201"/>
      <c r="QAA3" s="201"/>
      <c r="QAB3" s="201"/>
      <c r="QAC3" s="200"/>
      <c r="QAD3" s="201"/>
      <c r="QAE3" s="201"/>
      <c r="QAF3" s="201"/>
      <c r="QAG3" s="200"/>
      <c r="QAH3" s="201"/>
      <c r="QAI3" s="201"/>
      <c r="QAJ3" s="201"/>
      <c r="QAK3" s="200"/>
      <c r="QAL3" s="201"/>
      <c r="QAM3" s="201"/>
      <c r="QAN3" s="201"/>
      <c r="QAO3" s="200"/>
      <c r="QAP3" s="201"/>
      <c r="QAQ3" s="201"/>
      <c r="QAR3" s="201"/>
      <c r="QAS3" s="200"/>
      <c r="QAT3" s="201"/>
      <c r="QAU3" s="201"/>
      <c r="QAV3" s="201"/>
      <c r="QAW3" s="200"/>
      <c r="QAX3" s="201"/>
      <c r="QAY3" s="201"/>
      <c r="QAZ3" s="201"/>
      <c r="QBA3" s="200"/>
      <c r="QBB3" s="201"/>
      <c r="QBC3" s="201"/>
      <c r="QBD3" s="201"/>
      <c r="QBE3" s="200"/>
      <c r="QBF3" s="201"/>
      <c r="QBG3" s="201"/>
      <c r="QBH3" s="201"/>
      <c r="QBI3" s="200"/>
      <c r="QBJ3" s="201"/>
      <c r="QBK3" s="201"/>
      <c r="QBL3" s="201"/>
      <c r="QBM3" s="200"/>
      <c r="QBN3" s="201"/>
      <c r="QBO3" s="201"/>
      <c r="QBP3" s="201"/>
      <c r="QBQ3" s="200"/>
      <c r="QBR3" s="201"/>
      <c r="QBS3" s="201"/>
      <c r="QBT3" s="201"/>
      <c r="QBU3" s="200"/>
      <c r="QBV3" s="201"/>
      <c r="QBW3" s="201"/>
      <c r="QBX3" s="201"/>
      <c r="QBY3" s="200"/>
      <c r="QBZ3" s="201"/>
      <c r="QCA3" s="201"/>
      <c r="QCB3" s="201"/>
      <c r="QCC3" s="200"/>
      <c r="QCD3" s="201"/>
      <c r="QCE3" s="201"/>
      <c r="QCF3" s="201"/>
      <c r="QCG3" s="200"/>
      <c r="QCH3" s="201"/>
      <c r="QCI3" s="201"/>
      <c r="QCJ3" s="201"/>
      <c r="QCK3" s="200"/>
      <c r="QCL3" s="201"/>
      <c r="QCM3" s="201"/>
      <c r="QCN3" s="201"/>
      <c r="QCO3" s="200"/>
      <c r="QCP3" s="201"/>
      <c r="QCQ3" s="201"/>
      <c r="QCR3" s="201"/>
      <c r="QCS3" s="200"/>
      <c r="QCT3" s="201"/>
      <c r="QCU3" s="201"/>
      <c r="QCV3" s="201"/>
      <c r="QCW3" s="200"/>
      <c r="QCX3" s="201"/>
      <c r="QCY3" s="201"/>
      <c r="QCZ3" s="201"/>
      <c r="QDA3" s="200"/>
      <c r="QDB3" s="201"/>
      <c r="QDC3" s="201"/>
      <c r="QDD3" s="201"/>
      <c r="QDE3" s="200"/>
      <c r="QDF3" s="201"/>
      <c r="QDG3" s="201"/>
      <c r="QDH3" s="201"/>
      <c r="QDI3" s="200"/>
      <c r="QDJ3" s="201"/>
      <c r="QDK3" s="201"/>
      <c r="QDL3" s="201"/>
      <c r="QDM3" s="200"/>
      <c r="QDN3" s="201"/>
      <c r="QDO3" s="201"/>
      <c r="QDP3" s="201"/>
      <c r="QDQ3" s="200"/>
      <c r="QDR3" s="201"/>
      <c r="QDS3" s="201"/>
      <c r="QDT3" s="201"/>
      <c r="QDU3" s="200"/>
      <c r="QDV3" s="201"/>
      <c r="QDW3" s="201"/>
      <c r="QDX3" s="201"/>
      <c r="QDY3" s="200"/>
      <c r="QDZ3" s="201"/>
      <c r="QEA3" s="201"/>
      <c r="QEB3" s="201"/>
      <c r="QEC3" s="200"/>
      <c r="QED3" s="201"/>
      <c r="QEE3" s="201"/>
      <c r="QEF3" s="201"/>
      <c r="QEG3" s="200"/>
      <c r="QEH3" s="201"/>
      <c r="QEI3" s="201"/>
      <c r="QEJ3" s="201"/>
      <c r="QEK3" s="200"/>
      <c r="QEL3" s="201"/>
      <c r="QEM3" s="201"/>
      <c r="QEN3" s="201"/>
      <c r="QEO3" s="200"/>
      <c r="QEP3" s="201"/>
      <c r="QEQ3" s="201"/>
      <c r="QER3" s="201"/>
      <c r="QES3" s="200"/>
      <c r="QET3" s="201"/>
      <c r="QEU3" s="201"/>
      <c r="QEV3" s="201"/>
      <c r="QEW3" s="200"/>
      <c r="QEX3" s="201"/>
      <c r="QEY3" s="201"/>
      <c r="QEZ3" s="201"/>
      <c r="QFA3" s="200"/>
      <c r="QFB3" s="201"/>
      <c r="QFC3" s="201"/>
      <c r="QFD3" s="201"/>
      <c r="QFE3" s="200"/>
      <c r="QFF3" s="201"/>
      <c r="QFG3" s="201"/>
      <c r="QFH3" s="201"/>
      <c r="QFI3" s="200"/>
      <c r="QFJ3" s="201"/>
      <c r="QFK3" s="201"/>
      <c r="QFL3" s="201"/>
      <c r="QFM3" s="200"/>
      <c r="QFN3" s="201"/>
      <c r="QFO3" s="201"/>
      <c r="QFP3" s="201"/>
      <c r="QFQ3" s="200"/>
      <c r="QFR3" s="201"/>
      <c r="QFS3" s="201"/>
      <c r="QFT3" s="201"/>
      <c r="QFU3" s="200"/>
      <c r="QFV3" s="201"/>
      <c r="QFW3" s="201"/>
      <c r="QFX3" s="201"/>
      <c r="QFY3" s="200"/>
      <c r="QFZ3" s="201"/>
      <c r="QGA3" s="201"/>
      <c r="QGB3" s="201"/>
      <c r="QGC3" s="200"/>
      <c r="QGD3" s="201"/>
      <c r="QGE3" s="201"/>
      <c r="QGF3" s="201"/>
      <c r="QGG3" s="200"/>
      <c r="QGH3" s="201"/>
      <c r="QGI3" s="201"/>
      <c r="QGJ3" s="201"/>
      <c r="QGK3" s="200"/>
      <c r="QGL3" s="201"/>
      <c r="QGM3" s="201"/>
      <c r="QGN3" s="201"/>
      <c r="QGO3" s="200"/>
      <c r="QGP3" s="201"/>
      <c r="QGQ3" s="201"/>
      <c r="QGR3" s="201"/>
      <c r="QGS3" s="200"/>
      <c r="QGT3" s="201"/>
      <c r="QGU3" s="201"/>
      <c r="QGV3" s="201"/>
      <c r="QGW3" s="200"/>
      <c r="QGX3" s="201"/>
      <c r="QGY3" s="201"/>
      <c r="QGZ3" s="201"/>
      <c r="QHA3" s="200"/>
      <c r="QHB3" s="201"/>
      <c r="QHC3" s="201"/>
      <c r="QHD3" s="201"/>
      <c r="QHE3" s="200"/>
      <c r="QHF3" s="201"/>
      <c r="QHG3" s="201"/>
      <c r="QHH3" s="201"/>
      <c r="QHI3" s="200"/>
      <c r="QHJ3" s="201"/>
      <c r="QHK3" s="201"/>
      <c r="QHL3" s="201"/>
      <c r="QHM3" s="200"/>
      <c r="QHN3" s="201"/>
      <c r="QHO3" s="201"/>
      <c r="QHP3" s="201"/>
      <c r="QHQ3" s="200"/>
      <c r="QHR3" s="201"/>
      <c r="QHS3" s="201"/>
      <c r="QHT3" s="201"/>
      <c r="QHU3" s="200"/>
      <c r="QHV3" s="201"/>
      <c r="QHW3" s="201"/>
      <c r="QHX3" s="201"/>
      <c r="QHY3" s="200"/>
      <c r="QHZ3" s="201"/>
      <c r="QIA3" s="201"/>
      <c r="QIB3" s="201"/>
      <c r="QIC3" s="200"/>
      <c r="QID3" s="201"/>
      <c r="QIE3" s="201"/>
      <c r="QIF3" s="201"/>
      <c r="QIG3" s="200"/>
      <c r="QIH3" s="201"/>
      <c r="QII3" s="201"/>
      <c r="QIJ3" s="201"/>
      <c r="QIK3" s="200"/>
      <c r="QIL3" s="201"/>
      <c r="QIM3" s="201"/>
      <c r="QIN3" s="201"/>
      <c r="QIO3" s="200"/>
      <c r="QIP3" s="201"/>
      <c r="QIQ3" s="201"/>
      <c r="QIR3" s="201"/>
      <c r="QIS3" s="200"/>
      <c r="QIT3" s="201"/>
      <c r="QIU3" s="201"/>
      <c r="QIV3" s="201"/>
      <c r="QIW3" s="200"/>
      <c r="QIX3" s="201"/>
      <c r="QIY3" s="201"/>
      <c r="QIZ3" s="201"/>
      <c r="QJA3" s="200"/>
      <c r="QJB3" s="201"/>
      <c r="QJC3" s="201"/>
      <c r="QJD3" s="201"/>
      <c r="QJE3" s="200"/>
      <c r="QJF3" s="201"/>
      <c r="QJG3" s="201"/>
      <c r="QJH3" s="201"/>
      <c r="QJI3" s="200"/>
      <c r="QJJ3" s="201"/>
      <c r="QJK3" s="201"/>
      <c r="QJL3" s="201"/>
      <c r="QJM3" s="200"/>
      <c r="QJN3" s="201"/>
      <c r="QJO3" s="201"/>
      <c r="QJP3" s="201"/>
      <c r="QJQ3" s="200"/>
      <c r="QJR3" s="201"/>
      <c r="QJS3" s="201"/>
      <c r="QJT3" s="201"/>
      <c r="QJU3" s="200"/>
      <c r="QJV3" s="201"/>
      <c r="QJW3" s="201"/>
      <c r="QJX3" s="201"/>
      <c r="QJY3" s="200"/>
      <c r="QJZ3" s="201"/>
      <c r="QKA3" s="201"/>
      <c r="QKB3" s="201"/>
      <c r="QKC3" s="200"/>
      <c r="QKD3" s="201"/>
      <c r="QKE3" s="201"/>
      <c r="QKF3" s="201"/>
      <c r="QKG3" s="200"/>
      <c r="QKH3" s="201"/>
      <c r="QKI3" s="201"/>
      <c r="QKJ3" s="201"/>
      <c r="QKK3" s="200"/>
      <c r="QKL3" s="201"/>
      <c r="QKM3" s="201"/>
      <c r="QKN3" s="201"/>
      <c r="QKO3" s="200"/>
      <c r="QKP3" s="201"/>
      <c r="QKQ3" s="201"/>
      <c r="QKR3" s="201"/>
      <c r="QKS3" s="200"/>
      <c r="QKT3" s="201"/>
      <c r="QKU3" s="201"/>
      <c r="QKV3" s="201"/>
      <c r="QKW3" s="200"/>
      <c r="QKX3" s="201"/>
      <c r="QKY3" s="201"/>
      <c r="QKZ3" s="201"/>
      <c r="QLA3" s="200"/>
      <c r="QLB3" s="201"/>
      <c r="QLC3" s="201"/>
      <c r="QLD3" s="201"/>
      <c r="QLE3" s="200"/>
      <c r="QLF3" s="201"/>
      <c r="QLG3" s="201"/>
      <c r="QLH3" s="201"/>
      <c r="QLI3" s="200"/>
      <c r="QLJ3" s="201"/>
      <c r="QLK3" s="201"/>
      <c r="QLL3" s="201"/>
      <c r="QLM3" s="200"/>
      <c r="QLN3" s="201"/>
      <c r="QLO3" s="201"/>
      <c r="QLP3" s="201"/>
      <c r="QLQ3" s="200"/>
      <c r="QLR3" s="201"/>
      <c r="QLS3" s="201"/>
      <c r="QLT3" s="201"/>
      <c r="QLU3" s="200"/>
      <c r="QLV3" s="201"/>
      <c r="QLW3" s="201"/>
      <c r="QLX3" s="201"/>
      <c r="QLY3" s="200"/>
      <c r="QLZ3" s="201"/>
      <c r="QMA3" s="201"/>
      <c r="QMB3" s="201"/>
      <c r="QMC3" s="200"/>
      <c r="QMD3" s="201"/>
      <c r="QME3" s="201"/>
      <c r="QMF3" s="201"/>
      <c r="QMG3" s="200"/>
      <c r="QMH3" s="201"/>
      <c r="QMI3" s="201"/>
      <c r="QMJ3" s="201"/>
      <c r="QMK3" s="200"/>
      <c r="QML3" s="201"/>
      <c r="QMM3" s="201"/>
      <c r="QMN3" s="201"/>
      <c r="QMO3" s="200"/>
      <c r="QMP3" s="201"/>
      <c r="QMQ3" s="201"/>
      <c r="QMR3" s="201"/>
      <c r="QMS3" s="200"/>
      <c r="QMT3" s="201"/>
      <c r="QMU3" s="201"/>
      <c r="QMV3" s="201"/>
      <c r="QMW3" s="200"/>
      <c r="QMX3" s="201"/>
      <c r="QMY3" s="201"/>
      <c r="QMZ3" s="201"/>
      <c r="QNA3" s="200"/>
      <c r="QNB3" s="201"/>
      <c r="QNC3" s="201"/>
      <c r="QND3" s="201"/>
      <c r="QNE3" s="200"/>
      <c r="QNF3" s="201"/>
      <c r="QNG3" s="201"/>
      <c r="QNH3" s="201"/>
      <c r="QNI3" s="200"/>
      <c r="QNJ3" s="201"/>
      <c r="QNK3" s="201"/>
      <c r="QNL3" s="201"/>
      <c r="QNM3" s="200"/>
      <c r="QNN3" s="201"/>
      <c r="QNO3" s="201"/>
      <c r="QNP3" s="201"/>
      <c r="QNQ3" s="200"/>
      <c r="QNR3" s="201"/>
      <c r="QNS3" s="201"/>
      <c r="QNT3" s="201"/>
      <c r="QNU3" s="200"/>
      <c r="QNV3" s="201"/>
      <c r="QNW3" s="201"/>
      <c r="QNX3" s="201"/>
      <c r="QNY3" s="200"/>
      <c r="QNZ3" s="201"/>
      <c r="QOA3" s="201"/>
      <c r="QOB3" s="201"/>
      <c r="QOC3" s="200"/>
      <c r="QOD3" s="201"/>
      <c r="QOE3" s="201"/>
      <c r="QOF3" s="201"/>
      <c r="QOG3" s="200"/>
      <c r="QOH3" s="201"/>
      <c r="QOI3" s="201"/>
      <c r="QOJ3" s="201"/>
      <c r="QOK3" s="200"/>
      <c r="QOL3" s="201"/>
      <c r="QOM3" s="201"/>
      <c r="QON3" s="201"/>
      <c r="QOO3" s="200"/>
      <c r="QOP3" s="201"/>
      <c r="QOQ3" s="201"/>
      <c r="QOR3" s="201"/>
      <c r="QOS3" s="200"/>
      <c r="QOT3" s="201"/>
      <c r="QOU3" s="201"/>
      <c r="QOV3" s="201"/>
      <c r="QOW3" s="200"/>
      <c r="QOX3" s="201"/>
      <c r="QOY3" s="201"/>
      <c r="QOZ3" s="201"/>
      <c r="QPA3" s="200"/>
      <c r="QPB3" s="201"/>
      <c r="QPC3" s="201"/>
      <c r="QPD3" s="201"/>
      <c r="QPE3" s="200"/>
      <c r="QPF3" s="201"/>
      <c r="QPG3" s="201"/>
      <c r="QPH3" s="201"/>
      <c r="QPI3" s="200"/>
      <c r="QPJ3" s="201"/>
      <c r="QPK3" s="201"/>
      <c r="QPL3" s="201"/>
      <c r="QPM3" s="200"/>
      <c r="QPN3" s="201"/>
      <c r="QPO3" s="201"/>
      <c r="QPP3" s="201"/>
      <c r="QPQ3" s="200"/>
      <c r="QPR3" s="201"/>
      <c r="QPS3" s="201"/>
      <c r="QPT3" s="201"/>
      <c r="QPU3" s="200"/>
      <c r="QPV3" s="201"/>
      <c r="QPW3" s="201"/>
      <c r="QPX3" s="201"/>
      <c r="QPY3" s="200"/>
      <c r="QPZ3" s="201"/>
      <c r="QQA3" s="201"/>
      <c r="QQB3" s="201"/>
      <c r="QQC3" s="200"/>
      <c r="QQD3" s="201"/>
      <c r="QQE3" s="201"/>
      <c r="QQF3" s="201"/>
      <c r="QQG3" s="200"/>
      <c r="QQH3" s="201"/>
      <c r="QQI3" s="201"/>
      <c r="QQJ3" s="201"/>
      <c r="QQK3" s="200"/>
      <c r="QQL3" s="201"/>
      <c r="QQM3" s="201"/>
      <c r="QQN3" s="201"/>
      <c r="QQO3" s="200"/>
      <c r="QQP3" s="201"/>
      <c r="QQQ3" s="201"/>
      <c r="QQR3" s="201"/>
      <c r="QQS3" s="200"/>
      <c r="QQT3" s="201"/>
      <c r="QQU3" s="201"/>
      <c r="QQV3" s="201"/>
      <c r="QQW3" s="200"/>
      <c r="QQX3" s="201"/>
      <c r="QQY3" s="201"/>
      <c r="QQZ3" s="201"/>
      <c r="QRA3" s="200"/>
      <c r="QRB3" s="201"/>
      <c r="QRC3" s="201"/>
      <c r="QRD3" s="201"/>
      <c r="QRE3" s="200"/>
      <c r="QRF3" s="201"/>
      <c r="QRG3" s="201"/>
      <c r="QRH3" s="201"/>
      <c r="QRI3" s="200"/>
      <c r="QRJ3" s="201"/>
      <c r="QRK3" s="201"/>
      <c r="QRL3" s="201"/>
      <c r="QRM3" s="200"/>
      <c r="QRN3" s="201"/>
      <c r="QRO3" s="201"/>
      <c r="QRP3" s="201"/>
      <c r="QRQ3" s="200"/>
      <c r="QRR3" s="201"/>
      <c r="QRS3" s="201"/>
      <c r="QRT3" s="201"/>
      <c r="QRU3" s="200"/>
      <c r="QRV3" s="201"/>
      <c r="QRW3" s="201"/>
      <c r="QRX3" s="201"/>
      <c r="QRY3" s="200"/>
      <c r="QRZ3" s="201"/>
      <c r="QSA3" s="201"/>
      <c r="QSB3" s="201"/>
      <c r="QSC3" s="200"/>
      <c r="QSD3" s="201"/>
      <c r="QSE3" s="201"/>
      <c r="QSF3" s="201"/>
      <c r="QSG3" s="200"/>
      <c r="QSH3" s="201"/>
      <c r="QSI3" s="201"/>
      <c r="QSJ3" s="201"/>
      <c r="QSK3" s="200"/>
      <c r="QSL3" s="201"/>
      <c r="QSM3" s="201"/>
      <c r="QSN3" s="201"/>
      <c r="QSO3" s="200"/>
      <c r="QSP3" s="201"/>
      <c r="QSQ3" s="201"/>
      <c r="QSR3" s="201"/>
      <c r="QSS3" s="200"/>
      <c r="QST3" s="201"/>
      <c r="QSU3" s="201"/>
      <c r="QSV3" s="201"/>
      <c r="QSW3" s="200"/>
      <c r="QSX3" s="201"/>
      <c r="QSY3" s="201"/>
      <c r="QSZ3" s="201"/>
      <c r="QTA3" s="200"/>
      <c r="QTB3" s="201"/>
      <c r="QTC3" s="201"/>
      <c r="QTD3" s="201"/>
      <c r="QTE3" s="200"/>
      <c r="QTF3" s="201"/>
      <c r="QTG3" s="201"/>
      <c r="QTH3" s="201"/>
      <c r="QTI3" s="200"/>
      <c r="QTJ3" s="201"/>
      <c r="QTK3" s="201"/>
      <c r="QTL3" s="201"/>
      <c r="QTM3" s="200"/>
      <c r="QTN3" s="201"/>
      <c r="QTO3" s="201"/>
      <c r="QTP3" s="201"/>
      <c r="QTQ3" s="200"/>
      <c r="QTR3" s="201"/>
      <c r="QTS3" s="201"/>
      <c r="QTT3" s="201"/>
      <c r="QTU3" s="200"/>
      <c r="QTV3" s="201"/>
      <c r="QTW3" s="201"/>
      <c r="QTX3" s="201"/>
      <c r="QTY3" s="200"/>
      <c r="QTZ3" s="201"/>
      <c r="QUA3" s="201"/>
      <c r="QUB3" s="201"/>
      <c r="QUC3" s="200"/>
      <c r="QUD3" s="201"/>
      <c r="QUE3" s="201"/>
      <c r="QUF3" s="201"/>
      <c r="QUG3" s="200"/>
      <c r="QUH3" s="201"/>
      <c r="QUI3" s="201"/>
      <c r="QUJ3" s="201"/>
      <c r="QUK3" s="200"/>
      <c r="QUL3" s="201"/>
      <c r="QUM3" s="201"/>
      <c r="QUN3" s="201"/>
      <c r="QUO3" s="200"/>
      <c r="QUP3" s="201"/>
      <c r="QUQ3" s="201"/>
      <c r="QUR3" s="201"/>
      <c r="QUS3" s="200"/>
      <c r="QUT3" s="201"/>
      <c r="QUU3" s="201"/>
      <c r="QUV3" s="201"/>
      <c r="QUW3" s="200"/>
      <c r="QUX3" s="201"/>
      <c r="QUY3" s="201"/>
      <c r="QUZ3" s="201"/>
      <c r="QVA3" s="200"/>
      <c r="QVB3" s="201"/>
      <c r="QVC3" s="201"/>
      <c r="QVD3" s="201"/>
      <c r="QVE3" s="200"/>
      <c r="QVF3" s="201"/>
      <c r="QVG3" s="201"/>
      <c r="QVH3" s="201"/>
      <c r="QVI3" s="200"/>
      <c r="QVJ3" s="201"/>
      <c r="QVK3" s="201"/>
      <c r="QVL3" s="201"/>
      <c r="QVM3" s="200"/>
      <c r="QVN3" s="201"/>
      <c r="QVO3" s="201"/>
      <c r="QVP3" s="201"/>
      <c r="QVQ3" s="200"/>
      <c r="QVR3" s="201"/>
      <c r="QVS3" s="201"/>
      <c r="QVT3" s="201"/>
      <c r="QVU3" s="200"/>
      <c r="QVV3" s="201"/>
      <c r="QVW3" s="201"/>
      <c r="QVX3" s="201"/>
      <c r="QVY3" s="200"/>
      <c r="QVZ3" s="201"/>
      <c r="QWA3" s="201"/>
      <c r="QWB3" s="201"/>
      <c r="QWC3" s="200"/>
      <c r="QWD3" s="201"/>
      <c r="QWE3" s="201"/>
      <c r="QWF3" s="201"/>
      <c r="QWG3" s="200"/>
      <c r="QWH3" s="201"/>
      <c r="QWI3" s="201"/>
      <c r="QWJ3" s="201"/>
      <c r="QWK3" s="200"/>
      <c r="QWL3" s="201"/>
      <c r="QWM3" s="201"/>
      <c r="QWN3" s="201"/>
      <c r="QWO3" s="200"/>
      <c r="QWP3" s="201"/>
      <c r="QWQ3" s="201"/>
      <c r="QWR3" s="201"/>
      <c r="QWS3" s="200"/>
      <c r="QWT3" s="201"/>
      <c r="QWU3" s="201"/>
      <c r="QWV3" s="201"/>
      <c r="QWW3" s="200"/>
      <c r="QWX3" s="201"/>
      <c r="QWY3" s="201"/>
      <c r="QWZ3" s="201"/>
      <c r="QXA3" s="200"/>
      <c r="QXB3" s="201"/>
      <c r="QXC3" s="201"/>
      <c r="QXD3" s="201"/>
      <c r="QXE3" s="200"/>
      <c r="QXF3" s="201"/>
      <c r="QXG3" s="201"/>
      <c r="QXH3" s="201"/>
      <c r="QXI3" s="200"/>
      <c r="QXJ3" s="201"/>
      <c r="QXK3" s="201"/>
      <c r="QXL3" s="201"/>
      <c r="QXM3" s="200"/>
      <c r="QXN3" s="201"/>
      <c r="QXO3" s="201"/>
      <c r="QXP3" s="201"/>
      <c r="QXQ3" s="200"/>
      <c r="QXR3" s="201"/>
      <c r="QXS3" s="201"/>
      <c r="QXT3" s="201"/>
      <c r="QXU3" s="200"/>
      <c r="QXV3" s="201"/>
      <c r="QXW3" s="201"/>
      <c r="QXX3" s="201"/>
      <c r="QXY3" s="200"/>
      <c r="QXZ3" s="201"/>
      <c r="QYA3" s="201"/>
      <c r="QYB3" s="201"/>
      <c r="QYC3" s="200"/>
      <c r="QYD3" s="201"/>
      <c r="QYE3" s="201"/>
      <c r="QYF3" s="201"/>
      <c r="QYG3" s="200"/>
      <c r="QYH3" s="201"/>
      <c r="QYI3" s="201"/>
      <c r="QYJ3" s="201"/>
      <c r="QYK3" s="200"/>
      <c r="QYL3" s="201"/>
      <c r="QYM3" s="201"/>
      <c r="QYN3" s="201"/>
      <c r="QYO3" s="200"/>
      <c r="QYP3" s="201"/>
      <c r="QYQ3" s="201"/>
      <c r="QYR3" s="201"/>
      <c r="QYS3" s="200"/>
      <c r="QYT3" s="201"/>
      <c r="QYU3" s="201"/>
      <c r="QYV3" s="201"/>
      <c r="QYW3" s="200"/>
      <c r="QYX3" s="201"/>
      <c r="QYY3" s="201"/>
      <c r="QYZ3" s="201"/>
      <c r="QZA3" s="200"/>
      <c r="QZB3" s="201"/>
      <c r="QZC3" s="201"/>
      <c r="QZD3" s="201"/>
      <c r="QZE3" s="200"/>
      <c r="QZF3" s="201"/>
      <c r="QZG3" s="201"/>
      <c r="QZH3" s="201"/>
      <c r="QZI3" s="200"/>
      <c r="QZJ3" s="201"/>
      <c r="QZK3" s="201"/>
      <c r="QZL3" s="201"/>
      <c r="QZM3" s="200"/>
      <c r="QZN3" s="201"/>
      <c r="QZO3" s="201"/>
      <c r="QZP3" s="201"/>
      <c r="QZQ3" s="200"/>
      <c r="QZR3" s="201"/>
      <c r="QZS3" s="201"/>
      <c r="QZT3" s="201"/>
      <c r="QZU3" s="200"/>
      <c r="QZV3" s="201"/>
      <c r="QZW3" s="201"/>
      <c r="QZX3" s="201"/>
      <c r="QZY3" s="200"/>
      <c r="QZZ3" s="201"/>
      <c r="RAA3" s="201"/>
      <c r="RAB3" s="201"/>
      <c r="RAC3" s="200"/>
      <c r="RAD3" s="201"/>
      <c r="RAE3" s="201"/>
      <c r="RAF3" s="201"/>
      <c r="RAG3" s="200"/>
      <c r="RAH3" s="201"/>
      <c r="RAI3" s="201"/>
      <c r="RAJ3" s="201"/>
      <c r="RAK3" s="200"/>
      <c r="RAL3" s="201"/>
      <c r="RAM3" s="201"/>
      <c r="RAN3" s="201"/>
      <c r="RAO3" s="200"/>
      <c r="RAP3" s="201"/>
      <c r="RAQ3" s="201"/>
      <c r="RAR3" s="201"/>
      <c r="RAS3" s="200"/>
      <c r="RAT3" s="201"/>
      <c r="RAU3" s="201"/>
      <c r="RAV3" s="201"/>
      <c r="RAW3" s="200"/>
      <c r="RAX3" s="201"/>
      <c r="RAY3" s="201"/>
      <c r="RAZ3" s="201"/>
      <c r="RBA3" s="200"/>
      <c r="RBB3" s="201"/>
      <c r="RBC3" s="201"/>
      <c r="RBD3" s="201"/>
      <c r="RBE3" s="200"/>
      <c r="RBF3" s="201"/>
      <c r="RBG3" s="201"/>
      <c r="RBH3" s="201"/>
      <c r="RBI3" s="200"/>
      <c r="RBJ3" s="201"/>
      <c r="RBK3" s="201"/>
      <c r="RBL3" s="201"/>
      <c r="RBM3" s="200"/>
      <c r="RBN3" s="201"/>
      <c r="RBO3" s="201"/>
      <c r="RBP3" s="201"/>
      <c r="RBQ3" s="200"/>
      <c r="RBR3" s="201"/>
      <c r="RBS3" s="201"/>
      <c r="RBT3" s="201"/>
      <c r="RBU3" s="200"/>
      <c r="RBV3" s="201"/>
      <c r="RBW3" s="201"/>
      <c r="RBX3" s="201"/>
      <c r="RBY3" s="200"/>
      <c r="RBZ3" s="201"/>
      <c r="RCA3" s="201"/>
      <c r="RCB3" s="201"/>
      <c r="RCC3" s="200"/>
      <c r="RCD3" s="201"/>
      <c r="RCE3" s="201"/>
      <c r="RCF3" s="201"/>
      <c r="RCG3" s="200"/>
      <c r="RCH3" s="201"/>
      <c r="RCI3" s="201"/>
      <c r="RCJ3" s="201"/>
      <c r="RCK3" s="200"/>
      <c r="RCL3" s="201"/>
      <c r="RCM3" s="201"/>
      <c r="RCN3" s="201"/>
      <c r="RCO3" s="200"/>
      <c r="RCP3" s="201"/>
      <c r="RCQ3" s="201"/>
      <c r="RCR3" s="201"/>
      <c r="RCS3" s="200"/>
      <c r="RCT3" s="201"/>
      <c r="RCU3" s="201"/>
      <c r="RCV3" s="201"/>
      <c r="RCW3" s="200"/>
      <c r="RCX3" s="201"/>
      <c r="RCY3" s="201"/>
      <c r="RCZ3" s="201"/>
      <c r="RDA3" s="200"/>
      <c r="RDB3" s="201"/>
      <c r="RDC3" s="201"/>
      <c r="RDD3" s="201"/>
      <c r="RDE3" s="200"/>
      <c r="RDF3" s="201"/>
      <c r="RDG3" s="201"/>
      <c r="RDH3" s="201"/>
      <c r="RDI3" s="200"/>
      <c r="RDJ3" s="201"/>
      <c r="RDK3" s="201"/>
      <c r="RDL3" s="201"/>
      <c r="RDM3" s="200"/>
      <c r="RDN3" s="201"/>
      <c r="RDO3" s="201"/>
      <c r="RDP3" s="201"/>
      <c r="RDQ3" s="200"/>
      <c r="RDR3" s="201"/>
      <c r="RDS3" s="201"/>
      <c r="RDT3" s="201"/>
      <c r="RDU3" s="200"/>
      <c r="RDV3" s="201"/>
      <c r="RDW3" s="201"/>
      <c r="RDX3" s="201"/>
      <c r="RDY3" s="200"/>
      <c r="RDZ3" s="201"/>
      <c r="REA3" s="201"/>
      <c r="REB3" s="201"/>
      <c r="REC3" s="200"/>
      <c r="RED3" s="201"/>
      <c r="REE3" s="201"/>
      <c r="REF3" s="201"/>
      <c r="REG3" s="200"/>
      <c r="REH3" s="201"/>
      <c r="REI3" s="201"/>
      <c r="REJ3" s="201"/>
      <c r="REK3" s="200"/>
      <c r="REL3" s="201"/>
      <c r="REM3" s="201"/>
      <c r="REN3" s="201"/>
      <c r="REO3" s="200"/>
      <c r="REP3" s="201"/>
      <c r="REQ3" s="201"/>
      <c r="RER3" s="201"/>
      <c r="RES3" s="200"/>
      <c r="RET3" s="201"/>
      <c r="REU3" s="201"/>
      <c r="REV3" s="201"/>
      <c r="REW3" s="200"/>
      <c r="REX3" s="201"/>
      <c r="REY3" s="201"/>
      <c r="REZ3" s="201"/>
      <c r="RFA3" s="200"/>
      <c r="RFB3" s="201"/>
      <c r="RFC3" s="201"/>
      <c r="RFD3" s="201"/>
      <c r="RFE3" s="200"/>
      <c r="RFF3" s="201"/>
      <c r="RFG3" s="201"/>
      <c r="RFH3" s="201"/>
      <c r="RFI3" s="200"/>
      <c r="RFJ3" s="201"/>
      <c r="RFK3" s="201"/>
      <c r="RFL3" s="201"/>
      <c r="RFM3" s="200"/>
      <c r="RFN3" s="201"/>
      <c r="RFO3" s="201"/>
      <c r="RFP3" s="201"/>
      <c r="RFQ3" s="200"/>
      <c r="RFR3" s="201"/>
      <c r="RFS3" s="201"/>
      <c r="RFT3" s="201"/>
      <c r="RFU3" s="200"/>
      <c r="RFV3" s="201"/>
      <c r="RFW3" s="201"/>
      <c r="RFX3" s="201"/>
      <c r="RFY3" s="200"/>
      <c r="RFZ3" s="201"/>
      <c r="RGA3" s="201"/>
      <c r="RGB3" s="201"/>
      <c r="RGC3" s="200"/>
      <c r="RGD3" s="201"/>
      <c r="RGE3" s="201"/>
      <c r="RGF3" s="201"/>
      <c r="RGG3" s="200"/>
      <c r="RGH3" s="201"/>
      <c r="RGI3" s="201"/>
      <c r="RGJ3" s="201"/>
      <c r="RGK3" s="200"/>
      <c r="RGL3" s="201"/>
      <c r="RGM3" s="201"/>
      <c r="RGN3" s="201"/>
      <c r="RGO3" s="200"/>
      <c r="RGP3" s="201"/>
      <c r="RGQ3" s="201"/>
      <c r="RGR3" s="201"/>
      <c r="RGS3" s="200"/>
      <c r="RGT3" s="201"/>
      <c r="RGU3" s="201"/>
      <c r="RGV3" s="201"/>
      <c r="RGW3" s="200"/>
      <c r="RGX3" s="201"/>
      <c r="RGY3" s="201"/>
      <c r="RGZ3" s="201"/>
      <c r="RHA3" s="200"/>
      <c r="RHB3" s="201"/>
      <c r="RHC3" s="201"/>
      <c r="RHD3" s="201"/>
      <c r="RHE3" s="200"/>
      <c r="RHF3" s="201"/>
      <c r="RHG3" s="201"/>
      <c r="RHH3" s="201"/>
      <c r="RHI3" s="200"/>
      <c r="RHJ3" s="201"/>
      <c r="RHK3" s="201"/>
      <c r="RHL3" s="201"/>
      <c r="RHM3" s="200"/>
      <c r="RHN3" s="201"/>
      <c r="RHO3" s="201"/>
      <c r="RHP3" s="201"/>
      <c r="RHQ3" s="200"/>
      <c r="RHR3" s="201"/>
      <c r="RHS3" s="201"/>
      <c r="RHT3" s="201"/>
      <c r="RHU3" s="200"/>
      <c r="RHV3" s="201"/>
      <c r="RHW3" s="201"/>
      <c r="RHX3" s="201"/>
      <c r="RHY3" s="200"/>
      <c r="RHZ3" s="201"/>
      <c r="RIA3" s="201"/>
      <c r="RIB3" s="201"/>
      <c r="RIC3" s="200"/>
      <c r="RID3" s="201"/>
      <c r="RIE3" s="201"/>
      <c r="RIF3" s="201"/>
      <c r="RIG3" s="200"/>
      <c r="RIH3" s="201"/>
      <c r="RII3" s="201"/>
      <c r="RIJ3" s="201"/>
      <c r="RIK3" s="200"/>
      <c r="RIL3" s="201"/>
      <c r="RIM3" s="201"/>
      <c r="RIN3" s="201"/>
      <c r="RIO3" s="200"/>
      <c r="RIP3" s="201"/>
      <c r="RIQ3" s="201"/>
      <c r="RIR3" s="201"/>
      <c r="RIS3" s="200"/>
      <c r="RIT3" s="201"/>
      <c r="RIU3" s="201"/>
      <c r="RIV3" s="201"/>
      <c r="RIW3" s="200"/>
      <c r="RIX3" s="201"/>
      <c r="RIY3" s="201"/>
      <c r="RIZ3" s="201"/>
      <c r="RJA3" s="200"/>
      <c r="RJB3" s="201"/>
      <c r="RJC3" s="201"/>
      <c r="RJD3" s="201"/>
      <c r="RJE3" s="200"/>
      <c r="RJF3" s="201"/>
      <c r="RJG3" s="201"/>
      <c r="RJH3" s="201"/>
      <c r="RJI3" s="200"/>
      <c r="RJJ3" s="201"/>
      <c r="RJK3" s="201"/>
      <c r="RJL3" s="201"/>
      <c r="RJM3" s="200"/>
      <c r="RJN3" s="201"/>
      <c r="RJO3" s="201"/>
      <c r="RJP3" s="201"/>
      <c r="RJQ3" s="200"/>
      <c r="RJR3" s="201"/>
      <c r="RJS3" s="201"/>
      <c r="RJT3" s="201"/>
      <c r="RJU3" s="200"/>
      <c r="RJV3" s="201"/>
      <c r="RJW3" s="201"/>
      <c r="RJX3" s="201"/>
      <c r="RJY3" s="200"/>
      <c r="RJZ3" s="201"/>
      <c r="RKA3" s="201"/>
      <c r="RKB3" s="201"/>
      <c r="RKC3" s="200"/>
      <c r="RKD3" s="201"/>
      <c r="RKE3" s="201"/>
      <c r="RKF3" s="201"/>
      <c r="RKG3" s="200"/>
      <c r="RKH3" s="201"/>
      <c r="RKI3" s="201"/>
      <c r="RKJ3" s="201"/>
      <c r="RKK3" s="200"/>
      <c r="RKL3" s="201"/>
      <c r="RKM3" s="201"/>
      <c r="RKN3" s="201"/>
      <c r="RKO3" s="200"/>
      <c r="RKP3" s="201"/>
      <c r="RKQ3" s="201"/>
      <c r="RKR3" s="201"/>
      <c r="RKS3" s="200"/>
      <c r="RKT3" s="201"/>
      <c r="RKU3" s="201"/>
      <c r="RKV3" s="201"/>
      <c r="RKW3" s="200"/>
      <c r="RKX3" s="201"/>
      <c r="RKY3" s="201"/>
      <c r="RKZ3" s="201"/>
      <c r="RLA3" s="200"/>
      <c r="RLB3" s="201"/>
      <c r="RLC3" s="201"/>
      <c r="RLD3" s="201"/>
      <c r="RLE3" s="200"/>
      <c r="RLF3" s="201"/>
      <c r="RLG3" s="201"/>
      <c r="RLH3" s="201"/>
      <c r="RLI3" s="200"/>
      <c r="RLJ3" s="201"/>
      <c r="RLK3" s="201"/>
      <c r="RLL3" s="201"/>
      <c r="RLM3" s="200"/>
      <c r="RLN3" s="201"/>
      <c r="RLO3" s="201"/>
      <c r="RLP3" s="201"/>
      <c r="RLQ3" s="200"/>
      <c r="RLR3" s="201"/>
      <c r="RLS3" s="201"/>
      <c r="RLT3" s="201"/>
      <c r="RLU3" s="200"/>
      <c r="RLV3" s="201"/>
      <c r="RLW3" s="201"/>
      <c r="RLX3" s="201"/>
      <c r="RLY3" s="200"/>
      <c r="RLZ3" s="201"/>
      <c r="RMA3" s="201"/>
      <c r="RMB3" s="201"/>
      <c r="RMC3" s="200"/>
      <c r="RMD3" s="201"/>
      <c r="RME3" s="201"/>
      <c r="RMF3" s="201"/>
      <c r="RMG3" s="200"/>
      <c r="RMH3" s="201"/>
      <c r="RMI3" s="201"/>
      <c r="RMJ3" s="201"/>
      <c r="RMK3" s="200"/>
      <c r="RML3" s="201"/>
      <c r="RMM3" s="201"/>
      <c r="RMN3" s="201"/>
      <c r="RMO3" s="200"/>
      <c r="RMP3" s="201"/>
      <c r="RMQ3" s="201"/>
      <c r="RMR3" s="201"/>
      <c r="RMS3" s="200"/>
      <c r="RMT3" s="201"/>
      <c r="RMU3" s="201"/>
      <c r="RMV3" s="201"/>
      <c r="RMW3" s="200"/>
      <c r="RMX3" s="201"/>
      <c r="RMY3" s="201"/>
      <c r="RMZ3" s="201"/>
      <c r="RNA3" s="200"/>
      <c r="RNB3" s="201"/>
      <c r="RNC3" s="201"/>
      <c r="RND3" s="201"/>
      <c r="RNE3" s="200"/>
      <c r="RNF3" s="201"/>
      <c r="RNG3" s="201"/>
      <c r="RNH3" s="201"/>
      <c r="RNI3" s="200"/>
      <c r="RNJ3" s="201"/>
      <c r="RNK3" s="201"/>
      <c r="RNL3" s="201"/>
      <c r="RNM3" s="200"/>
      <c r="RNN3" s="201"/>
      <c r="RNO3" s="201"/>
      <c r="RNP3" s="201"/>
      <c r="RNQ3" s="200"/>
      <c r="RNR3" s="201"/>
      <c r="RNS3" s="201"/>
      <c r="RNT3" s="201"/>
      <c r="RNU3" s="200"/>
      <c r="RNV3" s="201"/>
      <c r="RNW3" s="201"/>
      <c r="RNX3" s="201"/>
      <c r="RNY3" s="200"/>
      <c r="RNZ3" s="201"/>
      <c r="ROA3" s="201"/>
      <c r="ROB3" s="201"/>
      <c r="ROC3" s="200"/>
      <c r="ROD3" s="201"/>
      <c r="ROE3" s="201"/>
      <c r="ROF3" s="201"/>
      <c r="ROG3" s="200"/>
      <c r="ROH3" s="201"/>
      <c r="ROI3" s="201"/>
      <c r="ROJ3" s="201"/>
      <c r="ROK3" s="200"/>
      <c r="ROL3" s="201"/>
      <c r="ROM3" s="201"/>
      <c r="RON3" s="201"/>
      <c r="ROO3" s="200"/>
      <c r="ROP3" s="201"/>
      <c r="ROQ3" s="201"/>
      <c r="ROR3" s="201"/>
      <c r="ROS3" s="200"/>
      <c r="ROT3" s="201"/>
      <c r="ROU3" s="201"/>
      <c r="ROV3" s="201"/>
      <c r="ROW3" s="200"/>
      <c r="ROX3" s="201"/>
      <c r="ROY3" s="201"/>
      <c r="ROZ3" s="201"/>
      <c r="RPA3" s="200"/>
      <c r="RPB3" s="201"/>
      <c r="RPC3" s="201"/>
      <c r="RPD3" s="201"/>
      <c r="RPE3" s="200"/>
      <c r="RPF3" s="201"/>
      <c r="RPG3" s="201"/>
      <c r="RPH3" s="201"/>
      <c r="RPI3" s="200"/>
      <c r="RPJ3" s="201"/>
      <c r="RPK3" s="201"/>
      <c r="RPL3" s="201"/>
      <c r="RPM3" s="200"/>
      <c r="RPN3" s="201"/>
      <c r="RPO3" s="201"/>
      <c r="RPP3" s="201"/>
      <c r="RPQ3" s="200"/>
      <c r="RPR3" s="201"/>
      <c r="RPS3" s="201"/>
      <c r="RPT3" s="201"/>
      <c r="RPU3" s="200"/>
      <c r="RPV3" s="201"/>
      <c r="RPW3" s="201"/>
      <c r="RPX3" s="201"/>
      <c r="RPY3" s="200"/>
      <c r="RPZ3" s="201"/>
      <c r="RQA3" s="201"/>
      <c r="RQB3" s="201"/>
      <c r="RQC3" s="200"/>
      <c r="RQD3" s="201"/>
      <c r="RQE3" s="201"/>
      <c r="RQF3" s="201"/>
      <c r="RQG3" s="200"/>
      <c r="RQH3" s="201"/>
      <c r="RQI3" s="201"/>
      <c r="RQJ3" s="201"/>
      <c r="RQK3" s="200"/>
      <c r="RQL3" s="201"/>
      <c r="RQM3" s="201"/>
      <c r="RQN3" s="201"/>
      <c r="RQO3" s="200"/>
      <c r="RQP3" s="201"/>
      <c r="RQQ3" s="201"/>
      <c r="RQR3" s="201"/>
      <c r="RQS3" s="200"/>
      <c r="RQT3" s="201"/>
      <c r="RQU3" s="201"/>
      <c r="RQV3" s="201"/>
      <c r="RQW3" s="200"/>
      <c r="RQX3" s="201"/>
      <c r="RQY3" s="201"/>
      <c r="RQZ3" s="201"/>
      <c r="RRA3" s="200"/>
      <c r="RRB3" s="201"/>
      <c r="RRC3" s="201"/>
      <c r="RRD3" s="201"/>
      <c r="RRE3" s="200"/>
      <c r="RRF3" s="201"/>
      <c r="RRG3" s="201"/>
      <c r="RRH3" s="201"/>
      <c r="RRI3" s="200"/>
      <c r="RRJ3" s="201"/>
      <c r="RRK3" s="201"/>
      <c r="RRL3" s="201"/>
      <c r="RRM3" s="200"/>
      <c r="RRN3" s="201"/>
      <c r="RRO3" s="201"/>
      <c r="RRP3" s="201"/>
      <c r="RRQ3" s="200"/>
      <c r="RRR3" s="201"/>
      <c r="RRS3" s="201"/>
      <c r="RRT3" s="201"/>
      <c r="RRU3" s="200"/>
      <c r="RRV3" s="201"/>
      <c r="RRW3" s="201"/>
      <c r="RRX3" s="201"/>
      <c r="RRY3" s="200"/>
      <c r="RRZ3" s="201"/>
      <c r="RSA3" s="201"/>
      <c r="RSB3" s="201"/>
      <c r="RSC3" s="200"/>
      <c r="RSD3" s="201"/>
      <c r="RSE3" s="201"/>
      <c r="RSF3" s="201"/>
      <c r="RSG3" s="200"/>
      <c r="RSH3" s="201"/>
      <c r="RSI3" s="201"/>
      <c r="RSJ3" s="201"/>
      <c r="RSK3" s="200"/>
      <c r="RSL3" s="201"/>
      <c r="RSM3" s="201"/>
      <c r="RSN3" s="201"/>
      <c r="RSO3" s="200"/>
      <c r="RSP3" s="201"/>
      <c r="RSQ3" s="201"/>
      <c r="RSR3" s="201"/>
      <c r="RSS3" s="200"/>
      <c r="RST3" s="201"/>
      <c r="RSU3" s="201"/>
      <c r="RSV3" s="201"/>
      <c r="RSW3" s="200"/>
      <c r="RSX3" s="201"/>
      <c r="RSY3" s="201"/>
      <c r="RSZ3" s="201"/>
      <c r="RTA3" s="200"/>
      <c r="RTB3" s="201"/>
      <c r="RTC3" s="201"/>
      <c r="RTD3" s="201"/>
      <c r="RTE3" s="200"/>
      <c r="RTF3" s="201"/>
      <c r="RTG3" s="201"/>
      <c r="RTH3" s="201"/>
      <c r="RTI3" s="200"/>
      <c r="RTJ3" s="201"/>
      <c r="RTK3" s="201"/>
      <c r="RTL3" s="201"/>
      <c r="RTM3" s="200"/>
      <c r="RTN3" s="201"/>
      <c r="RTO3" s="201"/>
      <c r="RTP3" s="201"/>
      <c r="RTQ3" s="200"/>
      <c r="RTR3" s="201"/>
      <c r="RTS3" s="201"/>
      <c r="RTT3" s="201"/>
      <c r="RTU3" s="200"/>
      <c r="RTV3" s="201"/>
      <c r="RTW3" s="201"/>
      <c r="RTX3" s="201"/>
      <c r="RTY3" s="200"/>
      <c r="RTZ3" s="201"/>
      <c r="RUA3" s="201"/>
      <c r="RUB3" s="201"/>
      <c r="RUC3" s="200"/>
      <c r="RUD3" s="201"/>
      <c r="RUE3" s="201"/>
      <c r="RUF3" s="201"/>
      <c r="RUG3" s="200"/>
      <c r="RUH3" s="201"/>
      <c r="RUI3" s="201"/>
      <c r="RUJ3" s="201"/>
      <c r="RUK3" s="200"/>
      <c r="RUL3" s="201"/>
      <c r="RUM3" s="201"/>
      <c r="RUN3" s="201"/>
      <c r="RUO3" s="200"/>
      <c r="RUP3" s="201"/>
      <c r="RUQ3" s="201"/>
      <c r="RUR3" s="201"/>
      <c r="RUS3" s="200"/>
      <c r="RUT3" s="201"/>
      <c r="RUU3" s="201"/>
      <c r="RUV3" s="201"/>
      <c r="RUW3" s="200"/>
      <c r="RUX3" s="201"/>
      <c r="RUY3" s="201"/>
      <c r="RUZ3" s="201"/>
      <c r="RVA3" s="200"/>
      <c r="RVB3" s="201"/>
      <c r="RVC3" s="201"/>
      <c r="RVD3" s="201"/>
      <c r="RVE3" s="200"/>
      <c r="RVF3" s="201"/>
      <c r="RVG3" s="201"/>
      <c r="RVH3" s="201"/>
      <c r="RVI3" s="200"/>
      <c r="RVJ3" s="201"/>
      <c r="RVK3" s="201"/>
      <c r="RVL3" s="201"/>
      <c r="RVM3" s="200"/>
      <c r="RVN3" s="201"/>
      <c r="RVO3" s="201"/>
      <c r="RVP3" s="201"/>
      <c r="RVQ3" s="200"/>
      <c r="RVR3" s="201"/>
      <c r="RVS3" s="201"/>
      <c r="RVT3" s="201"/>
      <c r="RVU3" s="200"/>
      <c r="RVV3" s="201"/>
      <c r="RVW3" s="201"/>
      <c r="RVX3" s="201"/>
      <c r="RVY3" s="200"/>
      <c r="RVZ3" s="201"/>
      <c r="RWA3" s="201"/>
      <c r="RWB3" s="201"/>
      <c r="RWC3" s="200"/>
      <c r="RWD3" s="201"/>
      <c r="RWE3" s="201"/>
      <c r="RWF3" s="201"/>
      <c r="RWG3" s="200"/>
      <c r="RWH3" s="201"/>
      <c r="RWI3" s="201"/>
      <c r="RWJ3" s="201"/>
      <c r="RWK3" s="200"/>
      <c r="RWL3" s="201"/>
      <c r="RWM3" s="201"/>
      <c r="RWN3" s="201"/>
      <c r="RWO3" s="200"/>
      <c r="RWP3" s="201"/>
      <c r="RWQ3" s="201"/>
      <c r="RWR3" s="201"/>
      <c r="RWS3" s="200"/>
      <c r="RWT3" s="201"/>
      <c r="RWU3" s="201"/>
      <c r="RWV3" s="201"/>
      <c r="RWW3" s="200"/>
      <c r="RWX3" s="201"/>
      <c r="RWY3" s="201"/>
      <c r="RWZ3" s="201"/>
      <c r="RXA3" s="200"/>
      <c r="RXB3" s="201"/>
      <c r="RXC3" s="201"/>
      <c r="RXD3" s="201"/>
      <c r="RXE3" s="200"/>
      <c r="RXF3" s="201"/>
      <c r="RXG3" s="201"/>
      <c r="RXH3" s="201"/>
      <c r="RXI3" s="200"/>
      <c r="RXJ3" s="201"/>
      <c r="RXK3" s="201"/>
      <c r="RXL3" s="201"/>
      <c r="RXM3" s="200"/>
      <c r="RXN3" s="201"/>
      <c r="RXO3" s="201"/>
      <c r="RXP3" s="201"/>
      <c r="RXQ3" s="200"/>
      <c r="RXR3" s="201"/>
      <c r="RXS3" s="201"/>
      <c r="RXT3" s="201"/>
      <c r="RXU3" s="200"/>
      <c r="RXV3" s="201"/>
      <c r="RXW3" s="201"/>
      <c r="RXX3" s="201"/>
      <c r="RXY3" s="200"/>
      <c r="RXZ3" s="201"/>
      <c r="RYA3" s="201"/>
      <c r="RYB3" s="201"/>
      <c r="RYC3" s="200"/>
      <c r="RYD3" s="201"/>
      <c r="RYE3" s="201"/>
      <c r="RYF3" s="201"/>
      <c r="RYG3" s="200"/>
      <c r="RYH3" s="201"/>
      <c r="RYI3" s="201"/>
      <c r="RYJ3" s="201"/>
      <c r="RYK3" s="200"/>
      <c r="RYL3" s="201"/>
      <c r="RYM3" s="201"/>
      <c r="RYN3" s="201"/>
      <c r="RYO3" s="200"/>
      <c r="RYP3" s="201"/>
      <c r="RYQ3" s="201"/>
      <c r="RYR3" s="201"/>
      <c r="RYS3" s="200"/>
      <c r="RYT3" s="201"/>
      <c r="RYU3" s="201"/>
      <c r="RYV3" s="201"/>
      <c r="RYW3" s="200"/>
      <c r="RYX3" s="201"/>
      <c r="RYY3" s="201"/>
      <c r="RYZ3" s="201"/>
      <c r="RZA3" s="200"/>
      <c r="RZB3" s="201"/>
      <c r="RZC3" s="201"/>
      <c r="RZD3" s="201"/>
      <c r="RZE3" s="200"/>
      <c r="RZF3" s="201"/>
      <c r="RZG3" s="201"/>
      <c r="RZH3" s="201"/>
      <c r="RZI3" s="200"/>
      <c r="RZJ3" s="201"/>
      <c r="RZK3" s="201"/>
      <c r="RZL3" s="201"/>
      <c r="RZM3" s="200"/>
      <c r="RZN3" s="201"/>
      <c r="RZO3" s="201"/>
      <c r="RZP3" s="201"/>
      <c r="RZQ3" s="200"/>
      <c r="RZR3" s="201"/>
      <c r="RZS3" s="201"/>
      <c r="RZT3" s="201"/>
      <c r="RZU3" s="200"/>
      <c r="RZV3" s="201"/>
      <c r="RZW3" s="201"/>
      <c r="RZX3" s="201"/>
      <c r="RZY3" s="200"/>
      <c r="RZZ3" s="201"/>
      <c r="SAA3" s="201"/>
      <c r="SAB3" s="201"/>
      <c r="SAC3" s="200"/>
      <c r="SAD3" s="201"/>
      <c r="SAE3" s="201"/>
      <c r="SAF3" s="201"/>
      <c r="SAG3" s="200"/>
      <c r="SAH3" s="201"/>
      <c r="SAI3" s="201"/>
      <c r="SAJ3" s="201"/>
      <c r="SAK3" s="200"/>
      <c r="SAL3" s="201"/>
      <c r="SAM3" s="201"/>
      <c r="SAN3" s="201"/>
      <c r="SAO3" s="200"/>
      <c r="SAP3" s="201"/>
      <c r="SAQ3" s="201"/>
      <c r="SAR3" s="201"/>
      <c r="SAS3" s="200"/>
      <c r="SAT3" s="201"/>
      <c r="SAU3" s="201"/>
      <c r="SAV3" s="201"/>
      <c r="SAW3" s="200"/>
      <c r="SAX3" s="201"/>
      <c r="SAY3" s="201"/>
      <c r="SAZ3" s="201"/>
      <c r="SBA3" s="200"/>
      <c r="SBB3" s="201"/>
      <c r="SBC3" s="201"/>
      <c r="SBD3" s="201"/>
      <c r="SBE3" s="200"/>
      <c r="SBF3" s="201"/>
      <c r="SBG3" s="201"/>
      <c r="SBH3" s="201"/>
      <c r="SBI3" s="200"/>
      <c r="SBJ3" s="201"/>
      <c r="SBK3" s="201"/>
      <c r="SBL3" s="201"/>
      <c r="SBM3" s="200"/>
      <c r="SBN3" s="201"/>
      <c r="SBO3" s="201"/>
      <c r="SBP3" s="201"/>
      <c r="SBQ3" s="200"/>
      <c r="SBR3" s="201"/>
      <c r="SBS3" s="201"/>
      <c r="SBT3" s="201"/>
      <c r="SBU3" s="200"/>
      <c r="SBV3" s="201"/>
      <c r="SBW3" s="201"/>
      <c r="SBX3" s="201"/>
      <c r="SBY3" s="200"/>
      <c r="SBZ3" s="201"/>
      <c r="SCA3" s="201"/>
      <c r="SCB3" s="201"/>
      <c r="SCC3" s="200"/>
      <c r="SCD3" s="201"/>
      <c r="SCE3" s="201"/>
      <c r="SCF3" s="201"/>
      <c r="SCG3" s="200"/>
      <c r="SCH3" s="201"/>
      <c r="SCI3" s="201"/>
      <c r="SCJ3" s="201"/>
      <c r="SCK3" s="200"/>
      <c r="SCL3" s="201"/>
      <c r="SCM3" s="201"/>
      <c r="SCN3" s="201"/>
      <c r="SCO3" s="200"/>
      <c r="SCP3" s="201"/>
      <c r="SCQ3" s="201"/>
      <c r="SCR3" s="201"/>
      <c r="SCS3" s="200"/>
      <c r="SCT3" s="201"/>
      <c r="SCU3" s="201"/>
      <c r="SCV3" s="201"/>
      <c r="SCW3" s="200"/>
      <c r="SCX3" s="201"/>
      <c r="SCY3" s="201"/>
      <c r="SCZ3" s="201"/>
      <c r="SDA3" s="200"/>
      <c r="SDB3" s="201"/>
      <c r="SDC3" s="201"/>
      <c r="SDD3" s="201"/>
      <c r="SDE3" s="200"/>
      <c r="SDF3" s="201"/>
      <c r="SDG3" s="201"/>
      <c r="SDH3" s="201"/>
      <c r="SDI3" s="200"/>
      <c r="SDJ3" s="201"/>
      <c r="SDK3" s="201"/>
      <c r="SDL3" s="201"/>
      <c r="SDM3" s="200"/>
      <c r="SDN3" s="201"/>
      <c r="SDO3" s="201"/>
      <c r="SDP3" s="201"/>
      <c r="SDQ3" s="200"/>
      <c r="SDR3" s="201"/>
      <c r="SDS3" s="201"/>
      <c r="SDT3" s="201"/>
      <c r="SDU3" s="200"/>
      <c r="SDV3" s="201"/>
      <c r="SDW3" s="201"/>
      <c r="SDX3" s="201"/>
      <c r="SDY3" s="200"/>
      <c r="SDZ3" s="201"/>
      <c r="SEA3" s="201"/>
      <c r="SEB3" s="201"/>
      <c r="SEC3" s="200"/>
      <c r="SED3" s="201"/>
      <c r="SEE3" s="201"/>
      <c r="SEF3" s="201"/>
      <c r="SEG3" s="200"/>
      <c r="SEH3" s="201"/>
      <c r="SEI3" s="201"/>
      <c r="SEJ3" s="201"/>
      <c r="SEK3" s="200"/>
      <c r="SEL3" s="201"/>
      <c r="SEM3" s="201"/>
      <c r="SEN3" s="201"/>
      <c r="SEO3" s="200"/>
      <c r="SEP3" s="201"/>
      <c r="SEQ3" s="201"/>
      <c r="SER3" s="201"/>
      <c r="SES3" s="200"/>
      <c r="SET3" s="201"/>
      <c r="SEU3" s="201"/>
      <c r="SEV3" s="201"/>
      <c r="SEW3" s="200"/>
      <c r="SEX3" s="201"/>
      <c r="SEY3" s="201"/>
      <c r="SEZ3" s="201"/>
      <c r="SFA3" s="200"/>
      <c r="SFB3" s="201"/>
      <c r="SFC3" s="201"/>
      <c r="SFD3" s="201"/>
      <c r="SFE3" s="200"/>
      <c r="SFF3" s="201"/>
      <c r="SFG3" s="201"/>
      <c r="SFH3" s="201"/>
      <c r="SFI3" s="200"/>
      <c r="SFJ3" s="201"/>
      <c r="SFK3" s="201"/>
      <c r="SFL3" s="201"/>
      <c r="SFM3" s="200"/>
      <c r="SFN3" s="201"/>
      <c r="SFO3" s="201"/>
      <c r="SFP3" s="201"/>
      <c r="SFQ3" s="200"/>
      <c r="SFR3" s="201"/>
      <c r="SFS3" s="201"/>
      <c r="SFT3" s="201"/>
      <c r="SFU3" s="200"/>
      <c r="SFV3" s="201"/>
      <c r="SFW3" s="201"/>
      <c r="SFX3" s="201"/>
      <c r="SFY3" s="200"/>
      <c r="SFZ3" s="201"/>
      <c r="SGA3" s="201"/>
      <c r="SGB3" s="201"/>
      <c r="SGC3" s="200"/>
      <c r="SGD3" s="201"/>
      <c r="SGE3" s="201"/>
      <c r="SGF3" s="201"/>
      <c r="SGG3" s="200"/>
      <c r="SGH3" s="201"/>
      <c r="SGI3" s="201"/>
      <c r="SGJ3" s="201"/>
      <c r="SGK3" s="200"/>
      <c r="SGL3" s="201"/>
      <c r="SGM3" s="201"/>
      <c r="SGN3" s="201"/>
      <c r="SGO3" s="200"/>
      <c r="SGP3" s="201"/>
      <c r="SGQ3" s="201"/>
      <c r="SGR3" s="201"/>
      <c r="SGS3" s="200"/>
      <c r="SGT3" s="201"/>
      <c r="SGU3" s="201"/>
      <c r="SGV3" s="201"/>
      <c r="SGW3" s="200"/>
      <c r="SGX3" s="201"/>
      <c r="SGY3" s="201"/>
      <c r="SGZ3" s="201"/>
      <c r="SHA3" s="200"/>
      <c r="SHB3" s="201"/>
      <c r="SHC3" s="201"/>
      <c r="SHD3" s="201"/>
      <c r="SHE3" s="200"/>
      <c r="SHF3" s="201"/>
      <c r="SHG3" s="201"/>
      <c r="SHH3" s="201"/>
      <c r="SHI3" s="200"/>
      <c r="SHJ3" s="201"/>
      <c r="SHK3" s="201"/>
      <c r="SHL3" s="201"/>
      <c r="SHM3" s="200"/>
      <c r="SHN3" s="201"/>
      <c r="SHO3" s="201"/>
      <c r="SHP3" s="201"/>
      <c r="SHQ3" s="200"/>
      <c r="SHR3" s="201"/>
      <c r="SHS3" s="201"/>
      <c r="SHT3" s="201"/>
      <c r="SHU3" s="200"/>
      <c r="SHV3" s="201"/>
      <c r="SHW3" s="201"/>
      <c r="SHX3" s="201"/>
      <c r="SHY3" s="200"/>
      <c r="SHZ3" s="201"/>
      <c r="SIA3" s="201"/>
      <c r="SIB3" s="201"/>
      <c r="SIC3" s="200"/>
      <c r="SID3" s="201"/>
      <c r="SIE3" s="201"/>
      <c r="SIF3" s="201"/>
      <c r="SIG3" s="200"/>
      <c r="SIH3" s="201"/>
      <c r="SII3" s="201"/>
      <c r="SIJ3" s="201"/>
      <c r="SIK3" s="200"/>
      <c r="SIL3" s="201"/>
      <c r="SIM3" s="201"/>
      <c r="SIN3" s="201"/>
      <c r="SIO3" s="200"/>
      <c r="SIP3" s="201"/>
      <c r="SIQ3" s="201"/>
      <c r="SIR3" s="201"/>
      <c r="SIS3" s="200"/>
      <c r="SIT3" s="201"/>
      <c r="SIU3" s="201"/>
      <c r="SIV3" s="201"/>
      <c r="SIW3" s="200"/>
      <c r="SIX3" s="201"/>
      <c r="SIY3" s="201"/>
      <c r="SIZ3" s="201"/>
      <c r="SJA3" s="200"/>
      <c r="SJB3" s="201"/>
      <c r="SJC3" s="201"/>
      <c r="SJD3" s="201"/>
      <c r="SJE3" s="200"/>
      <c r="SJF3" s="201"/>
      <c r="SJG3" s="201"/>
      <c r="SJH3" s="201"/>
      <c r="SJI3" s="200"/>
      <c r="SJJ3" s="201"/>
      <c r="SJK3" s="201"/>
      <c r="SJL3" s="201"/>
      <c r="SJM3" s="200"/>
      <c r="SJN3" s="201"/>
      <c r="SJO3" s="201"/>
      <c r="SJP3" s="201"/>
      <c r="SJQ3" s="200"/>
      <c r="SJR3" s="201"/>
      <c r="SJS3" s="201"/>
      <c r="SJT3" s="201"/>
      <c r="SJU3" s="200"/>
      <c r="SJV3" s="201"/>
      <c r="SJW3" s="201"/>
      <c r="SJX3" s="201"/>
      <c r="SJY3" s="200"/>
      <c r="SJZ3" s="201"/>
      <c r="SKA3" s="201"/>
      <c r="SKB3" s="201"/>
      <c r="SKC3" s="200"/>
      <c r="SKD3" s="201"/>
      <c r="SKE3" s="201"/>
      <c r="SKF3" s="201"/>
      <c r="SKG3" s="200"/>
      <c r="SKH3" s="201"/>
      <c r="SKI3" s="201"/>
      <c r="SKJ3" s="201"/>
      <c r="SKK3" s="200"/>
      <c r="SKL3" s="201"/>
      <c r="SKM3" s="201"/>
      <c r="SKN3" s="201"/>
      <c r="SKO3" s="200"/>
      <c r="SKP3" s="201"/>
      <c r="SKQ3" s="201"/>
      <c r="SKR3" s="201"/>
      <c r="SKS3" s="200"/>
      <c r="SKT3" s="201"/>
      <c r="SKU3" s="201"/>
      <c r="SKV3" s="201"/>
      <c r="SKW3" s="200"/>
      <c r="SKX3" s="201"/>
      <c r="SKY3" s="201"/>
      <c r="SKZ3" s="201"/>
      <c r="SLA3" s="200"/>
      <c r="SLB3" s="201"/>
      <c r="SLC3" s="201"/>
      <c r="SLD3" s="201"/>
      <c r="SLE3" s="200"/>
      <c r="SLF3" s="201"/>
      <c r="SLG3" s="201"/>
      <c r="SLH3" s="201"/>
      <c r="SLI3" s="200"/>
      <c r="SLJ3" s="201"/>
      <c r="SLK3" s="201"/>
      <c r="SLL3" s="201"/>
      <c r="SLM3" s="200"/>
      <c r="SLN3" s="201"/>
      <c r="SLO3" s="201"/>
      <c r="SLP3" s="201"/>
      <c r="SLQ3" s="200"/>
      <c r="SLR3" s="201"/>
      <c r="SLS3" s="201"/>
      <c r="SLT3" s="201"/>
      <c r="SLU3" s="200"/>
      <c r="SLV3" s="201"/>
      <c r="SLW3" s="201"/>
      <c r="SLX3" s="201"/>
      <c r="SLY3" s="200"/>
      <c r="SLZ3" s="201"/>
      <c r="SMA3" s="201"/>
      <c r="SMB3" s="201"/>
      <c r="SMC3" s="200"/>
      <c r="SMD3" s="201"/>
      <c r="SME3" s="201"/>
      <c r="SMF3" s="201"/>
      <c r="SMG3" s="200"/>
      <c r="SMH3" s="201"/>
      <c r="SMI3" s="201"/>
      <c r="SMJ3" s="201"/>
      <c r="SMK3" s="200"/>
      <c r="SML3" s="201"/>
      <c r="SMM3" s="201"/>
      <c r="SMN3" s="201"/>
      <c r="SMO3" s="200"/>
      <c r="SMP3" s="201"/>
      <c r="SMQ3" s="201"/>
      <c r="SMR3" s="201"/>
      <c r="SMS3" s="200"/>
      <c r="SMT3" s="201"/>
      <c r="SMU3" s="201"/>
      <c r="SMV3" s="201"/>
      <c r="SMW3" s="200"/>
      <c r="SMX3" s="201"/>
      <c r="SMY3" s="201"/>
      <c r="SMZ3" s="201"/>
      <c r="SNA3" s="200"/>
      <c r="SNB3" s="201"/>
      <c r="SNC3" s="201"/>
      <c r="SND3" s="201"/>
      <c r="SNE3" s="200"/>
      <c r="SNF3" s="201"/>
      <c r="SNG3" s="201"/>
      <c r="SNH3" s="201"/>
      <c r="SNI3" s="200"/>
      <c r="SNJ3" s="201"/>
      <c r="SNK3" s="201"/>
      <c r="SNL3" s="201"/>
      <c r="SNM3" s="200"/>
      <c r="SNN3" s="201"/>
      <c r="SNO3" s="201"/>
      <c r="SNP3" s="201"/>
      <c r="SNQ3" s="200"/>
      <c r="SNR3" s="201"/>
      <c r="SNS3" s="201"/>
      <c r="SNT3" s="201"/>
      <c r="SNU3" s="200"/>
      <c r="SNV3" s="201"/>
      <c r="SNW3" s="201"/>
      <c r="SNX3" s="201"/>
      <c r="SNY3" s="200"/>
      <c r="SNZ3" s="201"/>
      <c r="SOA3" s="201"/>
      <c r="SOB3" s="201"/>
      <c r="SOC3" s="200"/>
      <c r="SOD3" s="201"/>
      <c r="SOE3" s="201"/>
      <c r="SOF3" s="201"/>
      <c r="SOG3" s="200"/>
      <c r="SOH3" s="201"/>
      <c r="SOI3" s="201"/>
      <c r="SOJ3" s="201"/>
      <c r="SOK3" s="200"/>
      <c r="SOL3" s="201"/>
      <c r="SOM3" s="201"/>
      <c r="SON3" s="201"/>
      <c r="SOO3" s="200"/>
      <c r="SOP3" s="201"/>
      <c r="SOQ3" s="201"/>
      <c r="SOR3" s="201"/>
      <c r="SOS3" s="200"/>
      <c r="SOT3" s="201"/>
      <c r="SOU3" s="201"/>
      <c r="SOV3" s="201"/>
      <c r="SOW3" s="200"/>
      <c r="SOX3" s="201"/>
      <c r="SOY3" s="201"/>
      <c r="SOZ3" s="201"/>
      <c r="SPA3" s="200"/>
      <c r="SPB3" s="201"/>
      <c r="SPC3" s="201"/>
      <c r="SPD3" s="201"/>
      <c r="SPE3" s="200"/>
      <c r="SPF3" s="201"/>
      <c r="SPG3" s="201"/>
      <c r="SPH3" s="201"/>
      <c r="SPI3" s="200"/>
      <c r="SPJ3" s="201"/>
      <c r="SPK3" s="201"/>
      <c r="SPL3" s="201"/>
      <c r="SPM3" s="200"/>
      <c r="SPN3" s="201"/>
      <c r="SPO3" s="201"/>
      <c r="SPP3" s="201"/>
      <c r="SPQ3" s="200"/>
      <c r="SPR3" s="201"/>
      <c r="SPS3" s="201"/>
      <c r="SPT3" s="201"/>
      <c r="SPU3" s="200"/>
      <c r="SPV3" s="201"/>
      <c r="SPW3" s="201"/>
      <c r="SPX3" s="201"/>
      <c r="SPY3" s="200"/>
      <c r="SPZ3" s="201"/>
      <c r="SQA3" s="201"/>
      <c r="SQB3" s="201"/>
      <c r="SQC3" s="200"/>
      <c r="SQD3" s="201"/>
      <c r="SQE3" s="201"/>
      <c r="SQF3" s="201"/>
      <c r="SQG3" s="200"/>
      <c r="SQH3" s="201"/>
      <c r="SQI3" s="201"/>
      <c r="SQJ3" s="201"/>
      <c r="SQK3" s="200"/>
      <c r="SQL3" s="201"/>
      <c r="SQM3" s="201"/>
      <c r="SQN3" s="201"/>
      <c r="SQO3" s="200"/>
      <c r="SQP3" s="201"/>
      <c r="SQQ3" s="201"/>
      <c r="SQR3" s="201"/>
      <c r="SQS3" s="200"/>
      <c r="SQT3" s="201"/>
      <c r="SQU3" s="201"/>
      <c r="SQV3" s="201"/>
      <c r="SQW3" s="200"/>
      <c r="SQX3" s="201"/>
      <c r="SQY3" s="201"/>
      <c r="SQZ3" s="201"/>
      <c r="SRA3" s="200"/>
      <c r="SRB3" s="201"/>
      <c r="SRC3" s="201"/>
      <c r="SRD3" s="201"/>
      <c r="SRE3" s="200"/>
      <c r="SRF3" s="201"/>
      <c r="SRG3" s="201"/>
      <c r="SRH3" s="201"/>
      <c r="SRI3" s="200"/>
      <c r="SRJ3" s="201"/>
      <c r="SRK3" s="201"/>
      <c r="SRL3" s="201"/>
      <c r="SRM3" s="200"/>
      <c r="SRN3" s="201"/>
      <c r="SRO3" s="201"/>
      <c r="SRP3" s="201"/>
      <c r="SRQ3" s="200"/>
      <c r="SRR3" s="201"/>
      <c r="SRS3" s="201"/>
      <c r="SRT3" s="201"/>
      <c r="SRU3" s="200"/>
      <c r="SRV3" s="201"/>
      <c r="SRW3" s="201"/>
      <c r="SRX3" s="201"/>
      <c r="SRY3" s="200"/>
      <c r="SRZ3" s="201"/>
      <c r="SSA3" s="201"/>
      <c r="SSB3" s="201"/>
      <c r="SSC3" s="200"/>
      <c r="SSD3" s="201"/>
      <c r="SSE3" s="201"/>
      <c r="SSF3" s="201"/>
      <c r="SSG3" s="200"/>
      <c r="SSH3" s="201"/>
      <c r="SSI3" s="201"/>
      <c r="SSJ3" s="201"/>
      <c r="SSK3" s="200"/>
      <c r="SSL3" s="201"/>
      <c r="SSM3" s="201"/>
      <c r="SSN3" s="201"/>
      <c r="SSO3" s="200"/>
      <c r="SSP3" s="201"/>
      <c r="SSQ3" s="201"/>
      <c r="SSR3" s="201"/>
      <c r="SSS3" s="200"/>
      <c r="SST3" s="201"/>
      <c r="SSU3" s="201"/>
      <c r="SSV3" s="201"/>
      <c r="SSW3" s="200"/>
      <c r="SSX3" s="201"/>
      <c r="SSY3" s="201"/>
      <c r="SSZ3" s="201"/>
      <c r="STA3" s="200"/>
      <c r="STB3" s="201"/>
      <c r="STC3" s="201"/>
      <c r="STD3" s="201"/>
      <c r="STE3" s="200"/>
      <c r="STF3" s="201"/>
      <c r="STG3" s="201"/>
      <c r="STH3" s="201"/>
      <c r="STI3" s="200"/>
      <c r="STJ3" s="201"/>
      <c r="STK3" s="201"/>
      <c r="STL3" s="201"/>
      <c r="STM3" s="200"/>
      <c r="STN3" s="201"/>
      <c r="STO3" s="201"/>
      <c r="STP3" s="201"/>
      <c r="STQ3" s="200"/>
      <c r="STR3" s="201"/>
      <c r="STS3" s="201"/>
      <c r="STT3" s="201"/>
      <c r="STU3" s="200"/>
      <c r="STV3" s="201"/>
      <c r="STW3" s="201"/>
      <c r="STX3" s="201"/>
      <c r="STY3" s="200"/>
      <c r="STZ3" s="201"/>
      <c r="SUA3" s="201"/>
      <c r="SUB3" s="201"/>
      <c r="SUC3" s="200"/>
      <c r="SUD3" s="201"/>
      <c r="SUE3" s="201"/>
      <c r="SUF3" s="201"/>
      <c r="SUG3" s="200"/>
      <c r="SUH3" s="201"/>
      <c r="SUI3" s="201"/>
      <c r="SUJ3" s="201"/>
      <c r="SUK3" s="200"/>
      <c r="SUL3" s="201"/>
      <c r="SUM3" s="201"/>
      <c r="SUN3" s="201"/>
      <c r="SUO3" s="200"/>
      <c r="SUP3" s="201"/>
      <c r="SUQ3" s="201"/>
      <c r="SUR3" s="201"/>
      <c r="SUS3" s="200"/>
      <c r="SUT3" s="201"/>
      <c r="SUU3" s="201"/>
      <c r="SUV3" s="201"/>
      <c r="SUW3" s="200"/>
      <c r="SUX3" s="201"/>
      <c r="SUY3" s="201"/>
      <c r="SUZ3" s="201"/>
      <c r="SVA3" s="200"/>
      <c r="SVB3" s="201"/>
      <c r="SVC3" s="201"/>
      <c r="SVD3" s="201"/>
      <c r="SVE3" s="200"/>
      <c r="SVF3" s="201"/>
      <c r="SVG3" s="201"/>
      <c r="SVH3" s="201"/>
      <c r="SVI3" s="200"/>
      <c r="SVJ3" s="201"/>
      <c r="SVK3" s="201"/>
      <c r="SVL3" s="201"/>
      <c r="SVM3" s="200"/>
      <c r="SVN3" s="201"/>
      <c r="SVO3" s="201"/>
      <c r="SVP3" s="201"/>
      <c r="SVQ3" s="200"/>
      <c r="SVR3" s="201"/>
      <c r="SVS3" s="201"/>
      <c r="SVT3" s="201"/>
      <c r="SVU3" s="200"/>
      <c r="SVV3" s="201"/>
      <c r="SVW3" s="201"/>
      <c r="SVX3" s="201"/>
      <c r="SVY3" s="200"/>
      <c r="SVZ3" s="201"/>
      <c r="SWA3" s="201"/>
      <c r="SWB3" s="201"/>
      <c r="SWC3" s="200"/>
      <c r="SWD3" s="201"/>
      <c r="SWE3" s="201"/>
      <c r="SWF3" s="201"/>
      <c r="SWG3" s="200"/>
      <c r="SWH3" s="201"/>
      <c r="SWI3" s="201"/>
      <c r="SWJ3" s="201"/>
      <c r="SWK3" s="200"/>
      <c r="SWL3" s="201"/>
      <c r="SWM3" s="201"/>
      <c r="SWN3" s="201"/>
      <c r="SWO3" s="200"/>
      <c r="SWP3" s="201"/>
      <c r="SWQ3" s="201"/>
      <c r="SWR3" s="201"/>
      <c r="SWS3" s="200"/>
      <c r="SWT3" s="201"/>
      <c r="SWU3" s="201"/>
      <c r="SWV3" s="201"/>
      <c r="SWW3" s="200"/>
      <c r="SWX3" s="201"/>
      <c r="SWY3" s="201"/>
      <c r="SWZ3" s="201"/>
      <c r="SXA3" s="200"/>
      <c r="SXB3" s="201"/>
      <c r="SXC3" s="201"/>
      <c r="SXD3" s="201"/>
      <c r="SXE3" s="200"/>
      <c r="SXF3" s="201"/>
      <c r="SXG3" s="201"/>
      <c r="SXH3" s="201"/>
      <c r="SXI3" s="200"/>
      <c r="SXJ3" s="201"/>
      <c r="SXK3" s="201"/>
      <c r="SXL3" s="201"/>
      <c r="SXM3" s="200"/>
      <c r="SXN3" s="201"/>
      <c r="SXO3" s="201"/>
      <c r="SXP3" s="201"/>
      <c r="SXQ3" s="200"/>
      <c r="SXR3" s="201"/>
      <c r="SXS3" s="201"/>
      <c r="SXT3" s="201"/>
      <c r="SXU3" s="200"/>
      <c r="SXV3" s="201"/>
      <c r="SXW3" s="201"/>
      <c r="SXX3" s="201"/>
      <c r="SXY3" s="200"/>
      <c r="SXZ3" s="201"/>
      <c r="SYA3" s="201"/>
      <c r="SYB3" s="201"/>
      <c r="SYC3" s="200"/>
      <c r="SYD3" s="201"/>
      <c r="SYE3" s="201"/>
      <c r="SYF3" s="201"/>
      <c r="SYG3" s="200"/>
      <c r="SYH3" s="201"/>
      <c r="SYI3" s="201"/>
      <c r="SYJ3" s="201"/>
      <c r="SYK3" s="200"/>
      <c r="SYL3" s="201"/>
      <c r="SYM3" s="201"/>
      <c r="SYN3" s="201"/>
      <c r="SYO3" s="200"/>
      <c r="SYP3" s="201"/>
      <c r="SYQ3" s="201"/>
      <c r="SYR3" s="201"/>
      <c r="SYS3" s="200"/>
      <c r="SYT3" s="201"/>
      <c r="SYU3" s="201"/>
      <c r="SYV3" s="201"/>
      <c r="SYW3" s="200"/>
      <c r="SYX3" s="201"/>
      <c r="SYY3" s="201"/>
      <c r="SYZ3" s="201"/>
      <c r="SZA3" s="200"/>
      <c r="SZB3" s="201"/>
      <c r="SZC3" s="201"/>
      <c r="SZD3" s="201"/>
      <c r="SZE3" s="200"/>
      <c r="SZF3" s="201"/>
      <c r="SZG3" s="201"/>
      <c r="SZH3" s="201"/>
      <c r="SZI3" s="200"/>
      <c r="SZJ3" s="201"/>
      <c r="SZK3" s="201"/>
      <c r="SZL3" s="201"/>
      <c r="SZM3" s="200"/>
      <c r="SZN3" s="201"/>
      <c r="SZO3" s="201"/>
      <c r="SZP3" s="201"/>
      <c r="SZQ3" s="200"/>
      <c r="SZR3" s="201"/>
      <c r="SZS3" s="201"/>
      <c r="SZT3" s="201"/>
      <c r="SZU3" s="200"/>
      <c r="SZV3" s="201"/>
      <c r="SZW3" s="201"/>
      <c r="SZX3" s="201"/>
      <c r="SZY3" s="200"/>
      <c r="SZZ3" s="201"/>
      <c r="TAA3" s="201"/>
      <c r="TAB3" s="201"/>
      <c r="TAC3" s="200"/>
      <c r="TAD3" s="201"/>
      <c r="TAE3" s="201"/>
      <c r="TAF3" s="201"/>
      <c r="TAG3" s="200"/>
      <c r="TAH3" s="201"/>
      <c r="TAI3" s="201"/>
      <c r="TAJ3" s="201"/>
      <c r="TAK3" s="200"/>
      <c r="TAL3" s="201"/>
      <c r="TAM3" s="201"/>
      <c r="TAN3" s="201"/>
      <c r="TAO3" s="200"/>
      <c r="TAP3" s="201"/>
      <c r="TAQ3" s="201"/>
      <c r="TAR3" s="201"/>
      <c r="TAS3" s="200"/>
      <c r="TAT3" s="201"/>
      <c r="TAU3" s="201"/>
      <c r="TAV3" s="201"/>
      <c r="TAW3" s="200"/>
      <c r="TAX3" s="201"/>
      <c r="TAY3" s="201"/>
      <c r="TAZ3" s="201"/>
      <c r="TBA3" s="200"/>
      <c r="TBB3" s="201"/>
      <c r="TBC3" s="201"/>
      <c r="TBD3" s="201"/>
      <c r="TBE3" s="200"/>
      <c r="TBF3" s="201"/>
      <c r="TBG3" s="201"/>
      <c r="TBH3" s="201"/>
      <c r="TBI3" s="200"/>
      <c r="TBJ3" s="201"/>
      <c r="TBK3" s="201"/>
      <c r="TBL3" s="201"/>
      <c r="TBM3" s="200"/>
      <c r="TBN3" s="201"/>
      <c r="TBO3" s="201"/>
      <c r="TBP3" s="201"/>
      <c r="TBQ3" s="200"/>
      <c r="TBR3" s="201"/>
      <c r="TBS3" s="201"/>
      <c r="TBT3" s="201"/>
      <c r="TBU3" s="200"/>
      <c r="TBV3" s="201"/>
      <c r="TBW3" s="201"/>
      <c r="TBX3" s="201"/>
      <c r="TBY3" s="200"/>
      <c r="TBZ3" s="201"/>
      <c r="TCA3" s="201"/>
      <c r="TCB3" s="201"/>
      <c r="TCC3" s="200"/>
      <c r="TCD3" s="201"/>
      <c r="TCE3" s="201"/>
      <c r="TCF3" s="201"/>
      <c r="TCG3" s="200"/>
      <c r="TCH3" s="201"/>
      <c r="TCI3" s="201"/>
      <c r="TCJ3" s="201"/>
      <c r="TCK3" s="200"/>
      <c r="TCL3" s="201"/>
      <c r="TCM3" s="201"/>
      <c r="TCN3" s="201"/>
      <c r="TCO3" s="200"/>
      <c r="TCP3" s="201"/>
      <c r="TCQ3" s="201"/>
      <c r="TCR3" s="201"/>
      <c r="TCS3" s="200"/>
      <c r="TCT3" s="201"/>
      <c r="TCU3" s="201"/>
      <c r="TCV3" s="201"/>
      <c r="TCW3" s="200"/>
      <c r="TCX3" s="201"/>
      <c r="TCY3" s="201"/>
      <c r="TCZ3" s="201"/>
      <c r="TDA3" s="200"/>
      <c r="TDB3" s="201"/>
      <c r="TDC3" s="201"/>
      <c r="TDD3" s="201"/>
      <c r="TDE3" s="200"/>
      <c r="TDF3" s="201"/>
      <c r="TDG3" s="201"/>
      <c r="TDH3" s="201"/>
      <c r="TDI3" s="200"/>
      <c r="TDJ3" s="201"/>
      <c r="TDK3" s="201"/>
      <c r="TDL3" s="201"/>
      <c r="TDM3" s="200"/>
      <c r="TDN3" s="201"/>
      <c r="TDO3" s="201"/>
      <c r="TDP3" s="201"/>
      <c r="TDQ3" s="200"/>
      <c r="TDR3" s="201"/>
      <c r="TDS3" s="201"/>
      <c r="TDT3" s="201"/>
      <c r="TDU3" s="200"/>
      <c r="TDV3" s="201"/>
      <c r="TDW3" s="201"/>
      <c r="TDX3" s="201"/>
      <c r="TDY3" s="200"/>
      <c r="TDZ3" s="201"/>
      <c r="TEA3" s="201"/>
      <c r="TEB3" s="201"/>
      <c r="TEC3" s="200"/>
      <c r="TED3" s="201"/>
      <c r="TEE3" s="201"/>
      <c r="TEF3" s="201"/>
      <c r="TEG3" s="200"/>
      <c r="TEH3" s="201"/>
      <c r="TEI3" s="201"/>
      <c r="TEJ3" s="201"/>
      <c r="TEK3" s="200"/>
      <c r="TEL3" s="201"/>
      <c r="TEM3" s="201"/>
      <c r="TEN3" s="201"/>
      <c r="TEO3" s="200"/>
      <c r="TEP3" s="201"/>
      <c r="TEQ3" s="201"/>
      <c r="TER3" s="201"/>
      <c r="TES3" s="200"/>
      <c r="TET3" s="201"/>
      <c r="TEU3" s="201"/>
      <c r="TEV3" s="201"/>
      <c r="TEW3" s="200"/>
      <c r="TEX3" s="201"/>
      <c r="TEY3" s="201"/>
      <c r="TEZ3" s="201"/>
      <c r="TFA3" s="200"/>
      <c r="TFB3" s="201"/>
      <c r="TFC3" s="201"/>
      <c r="TFD3" s="201"/>
      <c r="TFE3" s="200"/>
      <c r="TFF3" s="201"/>
      <c r="TFG3" s="201"/>
      <c r="TFH3" s="201"/>
      <c r="TFI3" s="200"/>
      <c r="TFJ3" s="201"/>
      <c r="TFK3" s="201"/>
      <c r="TFL3" s="201"/>
      <c r="TFM3" s="200"/>
      <c r="TFN3" s="201"/>
      <c r="TFO3" s="201"/>
      <c r="TFP3" s="201"/>
      <c r="TFQ3" s="200"/>
      <c r="TFR3" s="201"/>
      <c r="TFS3" s="201"/>
      <c r="TFT3" s="201"/>
      <c r="TFU3" s="200"/>
      <c r="TFV3" s="201"/>
      <c r="TFW3" s="201"/>
      <c r="TFX3" s="201"/>
      <c r="TFY3" s="200"/>
      <c r="TFZ3" s="201"/>
      <c r="TGA3" s="201"/>
      <c r="TGB3" s="201"/>
      <c r="TGC3" s="200"/>
      <c r="TGD3" s="201"/>
      <c r="TGE3" s="201"/>
      <c r="TGF3" s="201"/>
      <c r="TGG3" s="200"/>
      <c r="TGH3" s="201"/>
      <c r="TGI3" s="201"/>
      <c r="TGJ3" s="201"/>
      <c r="TGK3" s="200"/>
      <c r="TGL3" s="201"/>
      <c r="TGM3" s="201"/>
      <c r="TGN3" s="201"/>
      <c r="TGO3" s="200"/>
      <c r="TGP3" s="201"/>
      <c r="TGQ3" s="201"/>
      <c r="TGR3" s="201"/>
      <c r="TGS3" s="200"/>
      <c r="TGT3" s="201"/>
      <c r="TGU3" s="201"/>
      <c r="TGV3" s="201"/>
      <c r="TGW3" s="200"/>
      <c r="TGX3" s="201"/>
      <c r="TGY3" s="201"/>
      <c r="TGZ3" s="201"/>
      <c r="THA3" s="200"/>
      <c r="THB3" s="201"/>
      <c r="THC3" s="201"/>
      <c r="THD3" s="201"/>
      <c r="THE3" s="200"/>
      <c r="THF3" s="201"/>
      <c r="THG3" s="201"/>
      <c r="THH3" s="201"/>
      <c r="THI3" s="200"/>
      <c r="THJ3" s="201"/>
      <c r="THK3" s="201"/>
      <c r="THL3" s="201"/>
      <c r="THM3" s="200"/>
      <c r="THN3" s="201"/>
      <c r="THO3" s="201"/>
      <c r="THP3" s="201"/>
      <c r="THQ3" s="200"/>
      <c r="THR3" s="201"/>
      <c r="THS3" s="201"/>
      <c r="THT3" s="201"/>
      <c r="THU3" s="200"/>
      <c r="THV3" s="201"/>
      <c r="THW3" s="201"/>
      <c r="THX3" s="201"/>
      <c r="THY3" s="200"/>
      <c r="THZ3" s="201"/>
      <c r="TIA3" s="201"/>
      <c r="TIB3" s="201"/>
      <c r="TIC3" s="200"/>
      <c r="TID3" s="201"/>
      <c r="TIE3" s="201"/>
      <c r="TIF3" s="201"/>
      <c r="TIG3" s="200"/>
      <c r="TIH3" s="201"/>
      <c r="TII3" s="201"/>
      <c r="TIJ3" s="201"/>
      <c r="TIK3" s="200"/>
      <c r="TIL3" s="201"/>
      <c r="TIM3" s="201"/>
      <c r="TIN3" s="201"/>
      <c r="TIO3" s="200"/>
      <c r="TIP3" s="201"/>
      <c r="TIQ3" s="201"/>
      <c r="TIR3" s="201"/>
      <c r="TIS3" s="200"/>
      <c r="TIT3" s="201"/>
      <c r="TIU3" s="201"/>
      <c r="TIV3" s="201"/>
      <c r="TIW3" s="200"/>
      <c r="TIX3" s="201"/>
      <c r="TIY3" s="201"/>
      <c r="TIZ3" s="201"/>
      <c r="TJA3" s="200"/>
      <c r="TJB3" s="201"/>
      <c r="TJC3" s="201"/>
      <c r="TJD3" s="201"/>
      <c r="TJE3" s="200"/>
      <c r="TJF3" s="201"/>
      <c r="TJG3" s="201"/>
      <c r="TJH3" s="201"/>
      <c r="TJI3" s="200"/>
      <c r="TJJ3" s="201"/>
      <c r="TJK3" s="201"/>
      <c r="TJL3" s="201"/>
      <c r="TJM3" s="200"/>
      <c r="TJN3" s="201"/>
      <c r="TJO3" s="201"/>
      <c r="TJP3" s="201"/>
      <c r="TJQ3" s="200"/>
      <c r="TJR3" s="201"/>
      <c r="TJS3" s="201"/>
      <c r="TJT3" s="201"/>
      <c r="TJU3" s="200"/>
      <c r="TJV3" s="201"/>
      <c r="TJW3" s="201"/>
      <c r="TJX3" s="201"/>
      <c r="TJY3" s="200"/>
      <c r="TJZ3" s="201"/>
      <c r="TKA3" s="201"/>
      <c r="TKB3" s="201"/>
      <c r="TKC3" s="200"/>
      <c r="TKD3" s="201"/>
      <c r="TKE3" s="201"/>
      <c r="TKF3" s="201"/>
      <c r="TKG3" s="200"/>
      <c r="TKH3" s="201"/>
      <c r="TKI3" s="201"/>
      <c r="TKJ3" s="201"/>
      <c r="TKK3" s="200"/>
      <c r="TKL3" s="201"/>
      <c r="TKM3" s="201"/>
      <c r="TKN3" s="201"/>
      <c r="TKO3" s="200"/>
      <c r="TKP3" s="201"/>
      <c r="TKQ3" s="201"/>
      <c r="TKR3" s="201"/>
      <c r="TKS3" s="200"/>
      <c r="TKT3" s="201"/>
      <c r="TKU3" s="201"/>
      <c r="TKV3" s="201"/>
      <c r="TKW3" s="200"/>
      <c r="TKX3" s="201"/>
      <c r="TKY3" s="201"/>
      <c r="TKZ3" s="201"/>
      <c r="TLA3" s="200"/>
      <c r="TLB3" s="201"/>
      <c r="TLC3" s="201"/>
      <c r="TLD3" s="201"/>
      <c r="TLE3" s="200"/>
      <c r="TLF3" s="201"/>
      <c r="TLG3" s="201"/>
      <c r="TLH3" s="201"/>
      <c r="TLI3" s="200"/>
      <c r="TLJ3" s="201"/>
      <c r="TLK3" s="201"/>
      <c r="TLL3" s="201"/>
      <c r="TLM3" s="200"/>
      <c r="TLN3" s="201"/>
      <c r="TLO3" s="201"/>
      <c r="TLP3" s="201"/>
      <c r="TLQ3" s="200"/>
      <c r="TLR3" s="201"/>
      <c r="TLS3" s="201"/>
      <c r="TLT3" s="201"/>
      <c r="TLU3" s="200"/>
      <c r="TLV3" s="201"/>
      <c r="TLW3" s="201"/>
      <c r="TLX3" s="201"/>
      <c r="TLY3" s="200"/>
      <c r="TLZ3" s="201"/>
      <c r="TMA3" s="201"/>
      <c r="TMB3" s="201"/>
      <c r="TMC3" s="200"/>
      <c r="TMD3" s="201"/>
      <c r="TME3" s="201"/>
      <c r="TMF3" s="201"/>
      <c r="TMG3" s="200"/>
      <c r="TMH3" s="201"/>
      <c r="TMI3" s="201"/>
      <c r="TMJ3" s="201"/>
      <c r="TMK3" s="200"/>
      <c r="TML3" s="201"/>
      <c r="TMM3" s="201"/>
      <c r="TMN3" s="201"/>
      <c r="TMO3" s="200"/>
      <c r="TMP3" s="201"/>
      <c r="TMQ3" s="201"/>
      <c r="TMR3" s="201"/>
      <c r="TMS3" s="200"/>
      <c r="TMT3" s="201"/>
      <c r="TMU3" s="201"/>
      <c r="TMV3" s="201"/>
      <c r="TMW3" s="200"/>
      <c r="TMX3" s="201"/>
      <c r="TMY3" s="201"/>
      <c r="TMZ3" s="201"/>
      <c r="TNA3" s="200"/>
      <c r="TNB3" s="201"/>
      <c r="TNC3" s="201"/>
      <c r="TND3" s="201"/>
      <c r="TNE3" s="200"/>
      <c r="TNF3" s="201"/>
      <c r="TNG3" s="201"/>
      <c r="TNH3" s="201"/>
      <c r="TNI3" s="200"/>
      <c r="TNJ3" s="201"/>
      <c r="TNK3" s="201"/>
      <c r="TNL3" s="201"/>
      <c r="TNM3" s="200"/>
      <c r="TNN3" s="201"/>
      <c r="TNO3" s="201"/>
      <c r="TNP3" s="201"/>
      <c r="TNQ3" s="200"/>
      <c r="TNR3" s="201"/>
      <c r="TNS3" s="201"/>
      <c r="TNT3" s="201"/>
      <c r="TNU3" s="200"/>
      <c r="TNV3" s="201"/>
      <c r="TNW3" s="201"/>
      <c r="TNX3" s="201"/>
      <c r="TNY3" s="200"/>
      <c r="TNZ3" s="201"/>
      <c r="TOA3" s="201"/>
      <c r="TOB3" s="201"/>
      <c r="TOC3" s="200"/>
      <c r="TOD3" s="201"/>
      <c r="TOE3" s="201"/>
      <c r="TOF3" s="201"/>
      <c r="TOG3" s="200"/>
      <c r="TOH3" s="201"/>
      <c r="TOI3" s="201"/>
      <c r="TOJ3" s="201"/>
      <c r="TOK3" s="200"/>
      <c r="TOL3" s="201"/>
      <c r="TOM3" s="201"/>
      <c r="TON3" s="201"/>
      <c r="TOO3" s="200"/>
      <c r="TOP3" s="201"/>
      <c r="TOQ3" s="201"/>
      <c r="TOR3" s="201"/>
      <c r="TOS3" s="200"/>
      <c r="TOT3" s="201"/>
      <c r="TOU3" s="201"/>
      <c r="TOV3" s="201"/>
      <c r="TOW3" s="200"/>
      <c r="TOX3" s="201"/>
      <c r="TOY3" s="201"/>
      <c r="TOZ3" s="201"/>
      <c r="TPA3" s="200"/>
      <c r="TPB3" s="201"/>
      <c r="TPC3" s="201"/>
      <c r="TPD3" s="201"/>
      <c r="TPE3" s="200"/>
      <c r="TPF3" s="201"/>
      <c r="TPG3" s="201"/>
      <c r="TPH3" s="201"/>
      <c r="TPI3" s="200"/>
      <c r="TPJ3" s="201"/>
      <c r="TPK3" s="201"/>
      <c r="TPL3" s="201"/>
      <c r="TPM3" s="200"/>
      <c r="TPN3" s="201"/>
      <c r="TPO3" s="201"/>
      <c r="TPP3" s="201"/>
      <c r="TPQ3" s="200"/>
      <c r="TPR3" s="201"/>
      <c r="TPS3" s="201"/>
      <c r="TPT3" s="201"/>
      <c r="TPU3" s="200"/>
      <c r="TPV3" s="201"/>
      <c r="TPW3" s="201"/>
      <c r="TPX3" s="201"/>
      <c r="TPY3" s="200"/>
      <c r="TPZ3" s="201"/>
      <c r="TQA3" s="201"/>
      <c r="TQB3" s="201"/>
      <c r="TQC3" s="200"/>
      <c r="TQD3" s="201"/>
      <c r="TQE3" s="201"/>
      <c r="TQF3" s="201"/>
      <c r="TQG3" s="200"/>
      <c r="TQH3" s="201"/>
      <c r="TQI3" s="201"/>
      <c r="TQJ3" s="201"/>
      <c r="TQK3" s="200"/>
      <c r="TQL3" s="201"/>
      <c r="TQM3" s="201"/>
      <c r="TQN3" s="201"/>
      <c r="TQO3" s="200"/>
      <c r="TQP3" s="201"/>
      <c r="TQQ3" s="201"/>
      <c r="TQR3" s="201"/>
      <c r="TQS3" s="200"/>
      <c r="TQT3" s="201"/>
      <c r="TQU3" s="201"/>
      <c r="TQV3" s="201"/>
      <c r="TQW3" s="200"/>
      <c r="TQX3" s="201"/>
      <c r="TQY3" s="201"/>
      <c r="TQZ3" s="201"/>
      <c r="TRA3" s="200"/>
      <c r="TRB3" s="201"/>
      <c r="TRC3" s="201"/>
      <c r="TRD3" s="201"/>
      <c r="TRE3" s="200"/>
      <c r="TRF3" s="201"/>
      <c r="TRG3" s="201"/>
      <c r="TRH3" s="201"/>
      <c r="TRI3" s="200"/>
      <c r="TRJ3" s="201"/>
      <c r="TRK3" s="201"/>
      <c r="TRL3" s="201"/>
      <c r="TRM3" s="200"/>
      <c r="TRN3" s="201"/>
      <c r="TRO3" s="201"/>
      <c r="TRP3" s="201"/>
      <c r="TRQ3" s="200"/>
      <c r="TRR3" s="201"/>
      <c r="TRS3" s="201"/>
      <c r="TRT3" s="201"/>
      <c r="TRU3" s="200"/>
      <c r="TRV3" s="201"/>
      <c r="TRW3" s="201"/>
      <c r="TRX3" s="201"/>
      <c r="TRY3" s="200"/>
      <c r="TRZ3" s="201"/>
      <c r="TSA3" s="201"/>
      <c r="TSB3" s="201"/>
      <c r="TSC3" s="200"/>
      <c r="TSD3" s="201"/>
      <c r="TSE3" s="201"/>
      <c r="TSF3" s="201"/>
      <c r="TSG3" s="200"/>
      <c r="TSH3" s="201"/>
      <c r="TSI3" s="201"/>
      <c r="TSJ3" s="201"/>
      <c r="TSK3" s="200"/>
      <c r="TSL3" s="201"/>
      <c r="TSM3" s="201"/>
      <c r="TSN3" s="201"/>
      <c r="TSO3" s="200"/>
      <c r="TSP3" s="201"/>
      <c r="TSQ3" s="201"/>
      <c r="TSR3" s="201"/>
      <c r="TSS3" s="200"/>
      <c r="TST3" s="201"/>
      <c r="TSU3" s="201"/>
      <c r="TSV3" s="201"/>
      <c r="TSW3" s="200"/>
      <c r="TSX3" s="201"/>
      <c r="TSY3" s="201"/>
      <c r="TSZ3" s="201"/>
      <c r="TTA3" s="200"/>
      <c r="TTB3" s="201"/>
      <c r="TTC3" s="201"/>
      <c r="TTD3" s="201"/>
      <c r="TTE3" s="200"/>
      <c r="TTF3" s="201"/>
      <c r="TTG3" s="201"/>
      <c r="TTH3" s="201"/>
      <c r="TTI3" s="200"/>
      <c r="TTJ3" s="201"/>
      <c r="TTK3" s="201"/>
      <c r="TTL3" s="201"/>
      <c r="TTM3" s="200"/>
      <c r="TTN3" s="201"/>
      <c r="TTO3" s="201"/>
      <c r="TTP3" s="201"/>
      <c r="TTQ3" s="200"/>
      <c r="TTR3" s="201"/>
      <c r="TTS3" s="201"/>
      <c r="TTT3" s="201"/>
      <c r="TTU3" s="200"/>
      <c r="TTV3" s="201"/>
      <c r="TTW3" s="201"/>
      <c r="TTX3" s="201"/>
      <c r="TTY3" s="200"/>
      <c r="TTZ3" s="201"/>
      <c r="TUA3" s="201"/>
      <c r="TUB3" s="201"/>
      <c r="TUC3" s="200"/>
      <c r="TUD3" s="201"/>
      <c r="TUE3" s="201"/>
      <c r="TUF3" s="201"/>
      <c r="TUG3" s="200"/>
      <c r="TUH3" s="201"/>
      <c r="TUI3" s="201"/>
      <c r="TUJ3" s="201"/>
      <c r="TUK3" s="200"/>
      <c r="TUL3" s="201"/>
      <c r="TUM3" s="201"/>
      <c r="TUN3" s="201"/>
      <c r="TUO3" s="200"/>
      <c r="TUP3" s="201"/>
      <c r="TUQ3" s="201"/>
      <c r="TUR3" s="201"/>
      <c r="TUS3" s="200"/>
      <c r="TUT3" s="201"/>
      <c r="TUU3" s="201"/>
      <c r="TUV3" s="201"/>
      <c r="TUW3" s="200"/>
      <c r="TUX3" s="201"/>
      <c r="TUY3" s="201"/>
      <c r="TUZ3" s="201"/>
      <c r="TVA3" s="200"/>
      <c r="TVB3" s="201"/>
      <c r="TVC3" s="201"/>
      <c r="TVD3" s="201"/>
      <c r="TVE3" s="200"/>
      <c r="TVF3" s="201"/>
      <c r="TVG3" s="201"/>
      <c r="TVH3" s="201"/>
      <c r="TVI3" s="200"/>
      <c r="TVJ3" s="201"/>
      <c r="TVK3" s="201"/>
      <c r="TVL3" s="201"/>
      <c r="TVM3" s="200"/>
      <c r="TVN3" s="201"/>
      <c r="TVO3" s="201"/>
      <c r="TVP3" s="201"/>
      <c r="TVQ3" s="200"/>
      <c r="TVR3" s="201"/>
      <c r="TVS3" s="201"/>
      <c r="TVT3" s="201"/>
      <c r="TVU3" s="200"/>
      <c r="TVV3" s="201"/>
      <c r="TVW3" s="201"/>
      <c r="TVX3" s="201"/>
      <c r="TVY3" s="200"/>
      <c r="TVZ3" s="201"/>
      <c r="TWA3" s="201"/>
      <c r="TWB3" s="201"/>
      <c r="TWC3" s="200"/>
      <c r="TWD3" s="201"/>
      <c r="TWE3" s="201"/>
      <c r="TWF3" s="201"/>
      <c r="TWG3" s="200"/>
      <c r="TWH3" s="201"/>
      <c r="TWI3" s="201"/>
      <c r="TWJ3" s="201"/>
      <c r="TWK3" s="200"/>
      <c r="TWL3" s="201"/>
      <c r="TWM3" s="201"/>
      <c r="TWN3" s="201"/>
      <c r="TWO3" s="200"/>
      <c r="TWP3" s="201"/>
      <c r="TWQ3" s="201"/>
      <c r="TWR3" s="201"/>
      <c r="TWS3" s="200"/>
      <c r="TWT3" s="201"/>
      <c r="TWU3" s="201"/>
      <c r="TWV3" s="201"/>
      <c r="TWW3" s="200"/>
      <c r="TWX3" s="201"/>
      <c r="TWY3" s="201"/>
      <c r="TWZ3" s="201"/>
      <c r="TXA3" s="200"/>
      <c r="TXB3" s="201"/>
      <c r="TXC3" s="201"/>
      <c r="TXD3" s="201"/>
      <c r="TXE3" s="200"/>
      <c r="TXF3" s="201"/>
      <c r="TXG3" s="201"/>
      <c r="TXH3" s="201"/>
      <c r="TXI3" s="200"/>
      <c r="TXJ3" s="201"/>
      <c r="TXK3" s="201"/>
      <c r="TXL3" s="201"/>
      <c r="TXM3" s="200"/>
      <c r="TXN3" s="201"/>
      <c r="TXO3" s="201"/>
      <c r="TXP3" s="201"/>
      <c r="TXQ3" s="200"/>
      <c r="TXR3" s="201"/>
      <c r="TXS3" s="201"/>
      <c r="TXT3" s="201"/>
      <c r="TXU3" s="200"/>
      <c r="TXV3" s="201"/>
      <c r="TXW3" s="201"/>
      <c r="TXX3" s="201"/>
      <c r="TXY3" s="200"/>
      <c r="TXZ3" s="201"/>
      <c r="TYA3" s="201"/>
      <c r="TYB3" s="201"/>
      <c r="TYC3" s="200"/>
      <c r="TYD3" s="201"/>
      <c r="TYE3" s="201"/>
      <c r="TYF3" s="201"/>
      <c r="TYG3" s="200"/>
      <c r="TYH3" s="201"/>
      <c r="TYI3" s="201"/>
      <c r="TYJ3" s="201"/>
      <c r="TYK3" s="200"/>
      <c r="TYL3" s="201"/>
      <c r="TYM3" s="201"/>
      <c r="TYN3" s="201"/>
      <c r="TYO3" s="200"/>
      <c r="TYP3" s="201"/>
      <c r="TYQ3" s="201"/>
      <c r="TYR3" s="201"/>
      <c r="TYS3" s="200"/>
      <c r="TYT3" s="201"/>
      <c r="TYU3" s="201"/>
      <c r="TYV3" s="201"/>
      <c r="TYW3" s="200"/>
      <c r="TYX3" s="201"/>
      <c r="TYY3" s="201"/>
      <c r="TYZ3" s="201"/>
      <c r="TZA3" s="200"/>
      <c r="TZB3" s="201"/>
      <c r="TZC3" s="201"/>
      <c r="TZD3" s="201"/>
      <c r="TZE3" s="200"/>
      <c r="TZF3" s="201"/>
      <c r="TZG3" s="201"/>
      <c r="TZH3" s="201"/>
      <c r="TZI3" s="200"/>
      <c r="TZJ3" s="201"/>
      <c r="TZK3" s="201"/>
      <c r="TZL3" s="201"/>
      <c r="TZM3" s="200"/>
      <c r="TZN3" s="201"/>
      <c r="TZO3" s="201"/>
      <c r="TZP3" s="201"/>
      <c r="TZQ3" s="200"/>
      <c r="TZR3" s="201"/>
      <c r="TZS3" s="201"/>
      <c r="TZT3" s="201"/>
      <c r="TZU3" s="200"/>
      <c r="TZV3" s="201"/>
      <c r="TZW3" s="201"/>
      <c r="TZX3" s="201"/>
      <c r="TZY3" s="200"/>
      <c r="TZZ3" s="201"/>
      <c r="UAA3" s="201"/>
      <c r="UAB3" s="201"/>
      <c r="UAC3" s="200"/>
      <c r="UAD3" s="201"/>
      <c r="UAE3" s="201"/>
      <c r="UAF3" s="201"/>
      <c r="UAG3" s="200"/>
      <c r="UAH3" s="201"/>
      <c r="UAI3" s="201"/>
      <c r="UAJ3" s="201"/>
      <c r="UAK3" s="200"/>
      <c r="UAL3" s="201"/>
      <c r="UAM3" s="201"/>
      <c r="UAN3" s="201"/>
      <c r="UAO3" s="200"/>
      <c r="UAP3" s="201"/>
      <c r="UAQ3" s="201"/>
      <c r="UAR3" s="201"/>
      <c r="UAS3" s="200"/>
      <c r="UAT3" s="201"/>
      <c r="UAU3" s="201"/>
      <c r="UAV3" s="201"/>
      <c r="UAW3" s="200"/>
      <c r="UAX3" s="201"/>
      <c r="UAY3" s="201"/>
      <c r="UAZ3" s="201"/>
      <c r="UBA3" s="200"/>
      <c r="UBB3" s="201"/>
      <c r="UBC3" s="201"/>
      <c r="UBD3" s="201"/>
      <c r="UBE3" s="200"/>
      <c r="UBF3" s="201"/>
      <c r="UBG3" s="201"/>
      <c r="UBH3" s="201"/>
      <c r="UBI3" s="200"/>
      <c r="UBJ3" s="201"/>
      <c r="UBK3" s="201"/>
      <c r="UBL3" s="201"/>
      <c r="UBM3" s="200"/>
      <c r="UBN3" s="201"/>
      <c r="UBO3" s="201"/>
      <c r="UBP3" s="201"/>
      <c r="UBQ3" s="200"/>
      <c r="UBR3" s="201"/>
      <c r="UBS3" s="201"/>
      <c r="UBT3" s="201"/>
      <c r="UBU3" s="200"/>
      <c r="UBV3" s="201"/>
      <c r="UBW3" s="201"/>
      <c r="UBX3" s="201"/>
      <c r="UBY3" s="200"/>
      <c r="UBZ3" s="201"/>
      <c r="UCA3" s="201"/>
      <c r="UCB3" s="201"/>
      <c r="UCC3" s="200"/>
      <c r="UCD3" s="201"/>
      <c r="UCE3" s="201"/>
      <c r="UCF3" s="201"/>
      <c r="UCG3" s="200"/>
      <c r="UCH3" s="201"/>
      <c r="UCI3" s="201"/>
      <c r="UCJ3" s="201"/>
      <c r="UCK3" s="200"/>
      <c r="UCL3" s="201"/>
      <c r="UCM3" s="201"/>
      <c r="UCN3" s="201"/>
      <c r="UCO3" s="200"/>
      <c r="UCP3" s="201"/>
      <c r="UCQ3" s="201"/>
      <c r="UCR3" s="201"/>
      <c r="UCS3" s="200"/>
      <c r="UCT3" s="201"/>
      <c r="UCU3" s="201"/>
      <c r="UCV3" s="201"/>
      <c r="UCW3" s="200"/>
      <c r="UCX3" s="201"/>
      <c r="UCY3" s="201"/>
      <c r="UCZ3" s="201"/>
      <c r="UDA3" s="200"/>
      <c r="UDB3" s="201"/>
      <c r="UDC3" s="201"/>
      <c r="UDD3" s="201"/>
      <c r="UDE3" s="200"/>
      <c r="UDF3" s="201"/>
      <c r="UDG3" s="201"/>
      <c r="UDH3" s="201"/>
      <c r="UDI3" s="200"/>
      <c r="UDJ3" s="201"/>
      <c r="UDK3" s="201"/>
      <c r="UDL3" s="201"/>
      <c r="UDM3" s="200"/>
      <c r="UDN3" s="201"/>
      <c r="UDO3" s="201"/>
      <c r="UDP3" s="201"/>
      <c r="UDQ3" s="200"/>
      <c r="UDR3" s="201"/>
      <c r="UDS3" s="201"/>
      <c r="UDT3" s="201"/>
      <c r="UDU3" s="200"/>
      <c r="UDV3" s="201"/>
      <c r="UDW3" s="201"/>
      <c r="UDX3" s="201"/>
      <c r="UDY3" s="200"/>
      <c r="UDZ3" s="201"/>
      <c r="UEA3" s="201"/>
      <c r="UEB3" s="201"/>
      <c r="UEC3" s="200"/>
      <c r="UED3" s="201"/>
      <c r="UEE3" s="201"/>
      <c r="UEF3" s="201"/>
      <c r="UEG3" s="200"/>
      <c r="UEH3" s="201"/>
      <c r="UEI3" s="201"/>
      <c r="UEJ3" s="201"/>
      <c r="UEK3" s="200"/>
      <c r="UEL3" s="201"/>
      <c r="UEM3" s="201"/>
      <c r="UEN3" s="201"/>
      <c r="UEO3" s="200"/>
      <c r="UEP3" s="201"/>
      <c r="UEQ3" s="201"/>
      <c r="UER3" s="201"/>
      <c r="UES3" s="200"/>
      <c r="UET3" s="201"/>
      <c r="UEU3" s="201"/>
      <c r="UEV3" s="201"/>
      <c r="UEW3" s="200"/>
      <c r="UEX3" s="201"/>
      <c r="UEY3" s="201"/>
      <c r="UEZ3" s="201"/>
      <c r="UFA3" s="200"/>
      <c r="UFB3" s="201"/>
      <c r="UFC3" s="201"/>
      <c r="UFD3" s="201"/>
      <c r="UFE3" s="200"/>
      <c r="UFF3" s="201"/>
      <c r="UFG3" s="201"/>
      <c r="UFH3" s="201"/>
      <c r="UFI3" s="200"/>
      <c r="UFJ3" s="201"/>
      <c r="UFK3" s="201"/>
      <c r="UFL3" s="201"/>
      <c r="UFM3" s="200"/>
      <c r="UFN3" s="201"/>
      <c r="UFO3" s="201"/>
      <c r="UFP3" s="201"/>
      <c r="UFQ3" s="200"/>
      <c r="UFR3" s="201"/>
      <c r="UFS3" s="201"/>
      <c r="UFT3" s="201"/>
      <c r="UFU3" s="200"/>
      <c r="UFV3" s="201"/>
      <c r="UFW3" s="201"/>
      <c r="UFX3" s="201"/>
      <c r="UFY3" s="200"/>
      <c r="UFZ3" s="201"/>
      <c r="UGA3" s="201"/>
      <c r="UGB3" s="201"/>
      <c r="UGC3" s="200"/>
      <c r="UGD3" s="201"/>
      <c r="UGE3" s="201"/>
      <c r="UGF3" s="201"/>
      <c r="UGG3" s="200"/>
      <c r="UGH3" s="201"/>
      <c r="UGI3" s="201"/>
      <c r="UGJ3" s="201"/>
      <c r="UGK3" s="200"/>
      <c r="UGL3" s="201"/>
      <c r="UGM3" s="201"/>
      <c r="UGN3" s="201"/>
      <c r="UGO3" s="200"/>
      <c r="UGP3" s="201"/>
      <c r="UGQ3" s="201"/>
      <c r="UGR3" s="201"/>
      <c r="UGS3" s="200"/>
      <c r="UGT3" s="201"/>
      <c r="UGU3" s="201"/>
      <c r="UGV3" s="201"/>
      <c r="UGW3" s="200"/>
      <c r="UGX3" s="201"/>
      <c r="UGY3" s="201"/>
      <c r="UGZ3" s="201"/>
      <c r="UHA3" s="200"/>
      <c r="UHB3" s="201"/>
      <c r="UHC3" s="201"/>
      <c r="UHD3" s="201"/>
      <c r="UHE3" s="200"/>
      <c r="UHF3" s="201"/>
      <c r="UHG3" s="201"/>
      <c r="UHH3" s="201"/>
      <c r="UHI3" s="200"/>
      <c r="UHJ3" s="201"/>
      <c r="UHK3" s="201"/>
      <c r="UHL3" s="201"/>
      <c r="UHM3" s="200"/>
      <c r="UHN3" s="201"/>
      <c r="UHO3" s="201"/>
      <c r="UHP3" s="201"/>
      <c r="UHQ3" s="200"/>
      <c r="UHR3" s="201"/>
      <c r="UHS3" s="201"/>
      <c r="UHT3" s="201"/>
      <c r="UHU3" s="200"/>
      <c r="UHV3" s="201"/>
      <c r="UHW3" s="201"/>
      <c r="UHX3" s="201"/>
      <c r="UHY3" s="200"/>
      <c r="UHZ3" s="201"/>
      <c r="UIA3" s="201"/>
      <c r="UIB3" s="201"/>
      <c r="UIC3" s="200"/>
      <c r="UID3" s="201"/>
      <c r="UIE3" s="201"/>
      <c r="UIF3" s="201"/>
      <c r="UIG3" s="200"/>
      <c r="UIH3" s="201"/>
      <c r="UII3" s="201"/>
      <c r="UIJ3" s="201"/>
      <c r="UIK3" s="200"/>
      <c r="UIL3" s="201"/>
      <c r="UIM3" s="201"/>
      <c r="UIN3" s="201"/>
      <c r="UIO3" s="200"/>
      <c r="UIP3" s="201"/>
      <c r="UIQ3" s="201"/>
      <c r="UIR3" s="201"/>
      <c r="UIS3" s="200"/>
      <c r="UIT3" s="201"/>
      <c r="UIU3" s="201"/>
      <c r="UIV3" s="201"/>
      <c r="UIW3" s="200"/>
      <c r="UIX3" s="201"/>
      <c r="UIY3" s="201"/>
      <c r="UIZ3" s="201"/>
      <c r="UJA3" s="200"/>
      <c r="UJB3" s="201"/>
      <c r="UJC3" s="201"/>
      <c r="UJD3" s="201"/>
      <c r="UJE3" s="200"/>
      <c r="UJF3" s="201"/>
      <c r="UJG3" s="201"/>
      <c r="UJH3" s="201"/>
      <c r="UJI3" s="200"/>
      <c r="UJJ3" s="201"/>
      <c r="UJK3" s="201"/>
      <c r="UJL3" s="201"/>
      <c r="UJM3" s="200"/>
      <c r="UJN3" s="201"/>
      <c r="UJO3" s="201"/>
      <c r="UJP3" s="201"/>
      <c r="UJQ3" s="200"/>
      <c r="UJR3" s="201"/>
      <c r="UJS3" s="201"/>
      <c r="UJT3" s="201"/>
      <c r="UJU3" s="200"/>
      <c r="UJV3" s="201"/>
      <c r="UJW3" s="201"/>
      <c r="UJX3" s="201"/>
      <c r="UJY3" s="200"/>
      <c r="UJZ3" s="201"/>
      <c r="UKA3" s="201"/>
      <c r="UKB3" s="201"/>
      <c r="UKC3" s="200"/>
      <c r="UKD3" s="201"/>
      <c r="UKE3" s="201"/>
      <c r="UKF3" s="201"/>
      <c r="UKG3" s="200"/>
      <c r="UKH3" s="201"/>
      <c r="UKI3" s="201"/>
      <c r="UKJ3" s="201"/>
      <c r="UKK3" s="200"/>
      <c r="UKL3" s="201"/>
      <c r="UKM3" s="201"/>
      <c r="UKN3" s="201"/>
      <c r="UKO3" s="200"/>
      <c r="UKP3" s="201"/>
      <c r="UKQ3" s="201"/>
      <c r="UKR3" s="201"/>
      <c r="UKS3" s="200"/>
      <c r="UKT3" s="201"/>
      <c r="UKU3" s="201"/>
      <c r="UKV3" s="201"/>
      <c r="UKW3" s="200"/>
      <c r="UKX3" s="201"/>
      <c r="UKY3" s="201"/>
      <c r="UKZ3" s="201"/>
      <c r="ULA3" s="200"/>
      <c r="ULB3" s="201"/>
      <c r="ULC3" s="201"/>
      <c r="ULD3" s="201"/>
      <c r="ULE3" s="200"/>
      <c r="ULF3" s="201"/>
      <c r="ULG3" s="201"/>
      <c r="ULH3" s="201"/>
      <c r="ULI3" s="200"/>
      <c r="ULJ3" s="201"/>
      <c r="ULK3" s="201"/>
      <c r="ULL3" s="201"/>
      <c r="ULM3" s="200"/>
      <c r="ULN3" s="201"/>
      <c r="ULO3" s="201"/>
      <c r="ULP3" s="201"/>
      <c r="ULQ3" s="200"/>
      <c r="ULR3" s="201"/>
      <c r="ULS3" s="201"/>
      <c r="ULT3" s="201"/>
      <c r="ULU3" s="200"/>
      <c r="ULV3" s="201"/>
      <c r="ULW3" s="201"/>
      <c r="ULX3" s="201"/>
      <c r="ULY3" s="200"/>
      <c r="ULZ3" s="201"/>
      <c r="UMA3" s="201"/>
      <c r="UMB3" s="201"/>
      <c r="UMC3" s="200"/>
      <c r="UMD3" s="201"/>
      <c r="UME3" s="201"/>
      <c r="UMF3" s="201"/>
      <c r="UMG3" s="200"/>
      <c r="UMH3" s="201"/>
      <c r="UMI3" s="201"/>
      <c r="UMJ3" s="201"/>
      <c r="UMK3" s="200"/>
      <c r="UML3" s="201"/>
      <c r="UMM3" s="201"/>
      <c r="UMN3" s="201"/>
      <c r="UMO3" s="200"/>
      <c r="UMP3" s="201"/>
      <c r="UMQ3" s="201"/>
      <c r="UMR3" s="201"/>
      <c r="UMS3" s="200"/>
      <c r="UMT3" s="201"/>
      <c r="UMU3" s="201"/>
      <c r="UMV3" s="201"/>
      <c r="UMW3" s="200"/>
      <c r="UMX3" s="201"/>
      <c r="UMY3" s="201"/>
      <c r="UMZ3" s="201"/>
      <c r="UNA3" s="200"/>
      <c r="UNB3" s="201"/>
      <c r="UNC3" s="201"/>
      <c r="UND3" s="201"/>
      <c r="UNE3" s="200"/>
      <c r="UNF3" s="201"/>
      <c r="UNG3" s="201"/>
      <c r="UNH3" s="201"/>
      <c r="UNI3" s="200"/>
      <c r="UNJ3" s="201"/>
      <c r="UNK3" s="201"/>
      <c r="UNL3" s="201"/>
      <c r="UNM3" s="200"/>
      <c r="UNN3" s="201"/>
      <c r="UNO3" s="201"/>
      <c r="UNP3" s="201"/>
      <c r="UNQ3" s="200"/>
      <c r="UNR3" s="201"/>
      <c r="UNS3" s="201"/>
      <c r="UNT3" s="201"/>
      <c r="UNU3" s="200"/>
      <c r="UNV3" s="201"/>
      <c r="UNW3" s="201"/>
      <c r="UNX3" s="201"/>
      <c r="UNY3" s="200"/>
      <c r="UNZ3" s="201"/>
      <c r="UOA3" s="201"/>
      <c r="UOB3" s="201"/>
      <c r="UOC3" s="200"/>
      <c r="UOD3" s="201"/>
      <c r="UOE3" s="201"/>
      <c r="UOF3" s="201"/>
      <c r="UOG3" s="200"/>
      <c r="UOH3" s="201"/>
      <c r="UOI3" s="201"/>
      <c r="UOJ3" s="201"/>
      <c r="UOK3" s="200"/>
      <c r="UOL3" s="201"/>
      <c r="UOM3" s="201"/>
      <c r="UON3" s="201"/>
      <c r="UOO3" s="200"/>
      <c r="UOP3" s="201"/>
      <c r="UOQ3" s="201"/>
      <c r="UOR3" s="201"/>
      <c r="UOS3" s="200"/>
      <c r="UOT3" s="201"/>
      <c r="UOU3" s="201"/>
      <c r="UOV3" s="201"/>
      <c r="UOW3" s="200"/>
      <c r="UOX3" s="201"/>
      <c r="UOY3" s="201"/>
      <c r="UOZ3" s="201"/>
      <c r="UPA3" s="200"/>
      <c r="UPB3" s="201"/>
      <c r="UPC3" s="201"/>
      <c r="UPD3" s="201"/>
      <c r="UPE3" s="200"/>
      <c r="UPF3" s="201"/>
      <c r="UPG3" s="201"/>
      <c r="UPH3" s="201"/>
      <c r="UPI3" s="200"/>
      <c r="UPJ3" s="201"/>
      <c r="UPK3" s="201"/>
      <c r="UPL3" s="201"/>
      <c r="UPM3" s="200"/>
      <c r="UPN3" s="201"/>
      <c r="UPO3" s="201"/>
      <c r="UPP3" s="201"/>
      <c r="UPQ3" s="200"/>
      <c r="UPR3" s="201"/>
      <c r="UPS3" s="201"/>
      <c r="UPT3" s="201"/>
      <c r="UPU3" s="200"/>
      <c r="UPV3" s="201"/>
      <c r="UPW3" s="201"/>
      <c r="UPX3" s="201"/>
      <c r="UPY3" s="200"/>
      <c r="UPZ3" s="201"/>
      <c r="UQA3" s="201"/>
      <c r="UQB3" s="201"/>
      <c r="UQC3" s="200"/>
      <c r="UQD3" s="201"/>
      <c r="UQE3" s="201"/>
      <c r="UQF3" s="201"/>
      <c r="UQG3" s="200"/>
      <c r="UQH3" s="201"/>
      <c r="UQI3" s="201"/>
      <c r="UQJ3" s="201"/>
      <c r="UQK3" s="200"/>
      <c r="UQL3" s="201"/>
      <c r="UQM3" s="201"/>
      <c r="UQN3" s="201"/>
      <c r="UQO3" s="200"/>
      <c r="UQP3" s="201"/>
      <c r="UQQ3" s="201"/>
      <c r="UQR3" s="201"/>
      <c r="UQS3" s="200"/>
      <c r="UQT3" s="201"/>
      <c r="UQU3" s="201"/>
      <c r="UQV3" s="201"/>
      <c r="UQW3" s="200"/>
      <c r="UQX3" s="201"/>
      <c r="UQY3" s="201"/>
      <c r="UQZ3" s="201"/>
      <c r="URA3" s="200"/>
      <c r="URB3" s="201"/>
      <c r="URC3" s="201"/>
      <c r="URD3" s="201"/>
      <c r="URE3" s="200"/>
      <c r="URF3" s="201"/>
      <c r="URG3" s="201"/>
      <c r="URH3" s="201"/>
      <c r="URI3" s="200"/>
      <c r="URJ3" s="201"/>
      <c r="URK3" s="201"/>
      <c r="URL3" s="201"/>
      <c r="URM3" s="200"/>
      <c r="URN3" s="201"/>
      <c r="URO3" s="201"/>
      <c r="URP3" s="201"/>
      <c r="URQ3" s="200"/>
      <c r="URR3" s="201"/>
      <c r="URS3" s="201"/>
      <c r="URT3" s="201"/>
      <c r="URU3" s="200"/>
      <c r="URV3" s="201"/>
      <c r="URW3" s="201"/>
      <c r="URX3" s="201"/>
      <c r="URY3" s="200"/>
      <c r="URZ3" s="201"/>
      <c r="USA3" s="201"/>
      <c r="USB3" s="201"/>
      <c r="USC3" s="200"/>
      <c r="USD3" s="201"/>
      <c r="USE3" s="201"/>
      <c r="USF3" s="201"/>
      <c r="USG3" s="200"/>
      <c r="USH3" s="201"/>
      <c r="USI3" s="201"/>
      <c r="USJ3" s="201"/>
      <c r="USK3" s="200"/>
      <c r="USL3" s="201"/>
      <c r="USM3" s="201"/>
      <c r="USN3" s="201"/>
      <c r="USO3" s="200"/>
      <c r="USP3" s="201"/>
      <c r="USQ3" s="201"/>
      <c r="USR3" s="201"/>
      <c r="USS3" s="200"/>
      <c r="UST3" s="201"/>
      <c r="USU3" s="201"/>
      <c r="USV3" s="201"/>
      <c r="USW3" s="200"/>
      <c r="USX3" s="201"/>
      <c r="USY3" s="201"/>
      <c r="USZ3" s="201"/>
      <c r="UTA3" s="200"/>
      <c r="UTB3" s="201"/>
      <c r="UTC3" s="201"/>
      <c r="UTD3" s="201"/>
      <c r="UTE3" s="200"/>
      <c r="UTF3" s="201"/>
      <c r="UTG3" s="201"/>
      <c r="UTH3" s="201"/>
      <c r="UTI3" s="200"/>
      <c r="UTJ3" s="201"/>
      <c r="UTK3" s="201"/>
      <c r="UTL3" s="201"/>
      <c r="UTM3" s="200"/>
      <c r="UTN3" s="201"/>
      <c r="UTO3" s="201"/>
      <c r="UTP3" s="201"/>
      <c r="UTQ3" s="200"/>
      <c r="UTR3" s="201"/>
      <c r="UTS3" s="201"/>
      <c r="UTT3" s="201"/>
      <c r="UTU3" s="200"/>
      <c r="UTV3" s="201"/>
      <c r="UTW3" s="201"/>
      <c r="UTX3" s="201"/>
      <c r="UTY3" s="200"/>
      <c r="UTZ3" s="201"/>
      <c r="UUA3" s="201"/>
      <c r="UUB3" s="201"/>
      <c r="UUC3" s="200"/>
      <c r="UUD3" s="201"/>
      <c r="UUE3" s="201"/>
      <c r="UUF3" s="201"/>
      <c r="UUG3" s="200"/>
      <c r="UUH3" s="201"/>
      <c r="UUI3" s="201"/>
      <c r="UUJ3" s="201"/>
      <c r="UUK3" s="200"/>
      <c r="UUL3" s="201"/>
      <c r="UUM3" s="201"/>
      <c r="UUN3" s="201"/>
      <c r="UUO3" s="200"/>
      <c r="UUP3" s="201"/>
      <c r="UUQ3" s="201"/>
      <c r="UUR3" s="201"/>
      <c r="UUS3" s="200"/>
      <c r="UUT3" s="201"/>
      <c r="UUU3" s="201"/>
      <c r="UUV3" s="201"/>
      <c r="UUW3" s="200"/>
      <c r="UUX3" s="201"/>
      <c r="UUY3" s="201"/>
      <c r="UUZ3" s="201"/>
      <c r="UVA3" s="200"/>
      <c r="UVB3" s="201"/>
      <c r="UVC3" s="201"/>
      <c r="UVD3" s="201"/>
      <c r="UVE3" s="200"/>
      <c r="UVF3" s="201"/>
      <c r="UVG3" s="201"/>
      <c r="UVH3" s="201"/>
      <c r="UVI3" s="200"/>
      <c r="UVJ3" s="201"/>
      <c r="UVK3" s="201"/>
      <c r="UVL3" s="201"/>
      <c r="UVM3" s="200"/>
      <c r="UVN3" s="201"/>
      <c r="UVO3" s="201"/>
      <c r="UVP3" s="201"/>
      <c r="UVQ3" s="200"/>
      <c r="UVR3" s="201"/>
      <c r="UVS3" s="201"/>
      <c r="UVT3" s="201"/>
      <c r="UVU3" s="200"/>
      <c r="UVV3" s="201"/>
      <c r="UVW3" s="201"/>
      <c r="UVX3" s="201"/>
      <c r="UVY3" s="200"/>
      <c r="UVZ3" s="201"/>
      <c r="UWA3" s="201"/>
      <c r="UWB3" s="201"/>
      <c r="UWC3" s="200"/>
      <c r="UWD3" s="201"/>
      <c r="UWE3" s="201"/>
      <c r="UWF3" s="201"/>
      <c r="UWG3" s="200"/>
      <c r="UWH3" s="201"/>
      <c r="UWI3" s="201"/>
      <c r="UWJ3" s="201"/>
      <c r="UWK3" s="200"/>
      <c r="UWL3" s="201"/>
      <c r="UWM3" s="201"/>
      <c r="UWN3" s="201"/>
      <c r="UWO3" s="200"/>
      <c r="UWP3" s="201"/>
      <c r="UWQ3" s="201"/>
      <c r="UWR3" s="201"/>
      <c r="UWS3" s="200"/>
      <c r="UWT3" s="201"/>
      <c r="UWU3" s="201"/>
      <c r="UWV3" s="201"/>
      <c r="UWW3" s="200"/>
      <c r="UWX3" s="201"/>
      <c r="UWY3" s="201"/>
      <c r="UWZ3" s="201"/>
      <c r="UXA3" s="200"/>
      <c r="UXB3" s="201"/>
      <c r="UXC3" s="201"/>
      <c r="UXD3" s="201"/>
      <c r="UXE3" s="200"/>
      <c r="UXF3" s="201"/>
      <c r="UXG3" s="201"/>
      <c r="UXH3" s="201"/>
      <c r="UXI3" s="200"/>
      <c r="UXJ3" s="201"/>
      <c r="UXK3" s="201"/>
      <c r="UXL3" s="201"/>
      <c r="UXM3" s="200"/>
      <c r="UXN3" s="201"/>
      <c r="UXO3" s="201"/>
      <c r="UXP3" s="201"/>
      <c r="UXQ3" s="200"/>
      <c r="UXR3" s="201"/>
      <c r="UXS3" s="201"/>
      <c r="UXT3" s="201"/>
      <c r="UXU3" s="200"/>
      <c r="UXV3" s="201"/>
      <c r="UXW3" s="201"/>
      <c r="UXX3" s="201"/>
      <c r="UXY3" s="200"/>
      <c r="UXZ3" s="201"/>
      <c r="UYA3" s="201"/>
      <c r="UYB3" s="201"/>
      <c r="UYC3" s="200"/>
      <c r="UYD3" s="201"/>
      <c r="UYE3" s="201"/>
      <c r="UYF3" s="201"/>
      <c r="UYG3" s="200"/>
      <c r="UYH3" s="201"/>
      <c r="UYI3" s="201"/>
      <c r="UYJ3" s="201"/>
      <c r="UYK3" s="200"/>
      <c r="UYL3" s="201"/>
      <c r="UYM3" s="201"/>
      <c r="UYN3" s="201"/>
      <c r="UYO3" s="200"/>
      <c r="UYP3" s="201"/>
      <c r="UYQ3" s="201"/>
      <c r="UYR3" s="201"/>
      <c r="UYS3" s="200"/>
      <c r="UYT3" s="201"/>
      <c r="UYU3" s="201"/>
      <c r="UYV3" s="201"/>
      <c r="UYW3" s="200"/>
      <c r="UYX3" s="201"/>
      <c r="UYY3" s="201"/>
      <c r="UYZ3" s="201"/>
      <c r="UZA3" s="200"/>
      <c r="UZB3" s="201"/>
      <c r="UZC3" s="201"/>
      <c r="UZD3" s="201"/>
      <c r="UZE3" s="200"/>
      <c r="UZF3" s="201"/>
      <c r="UZG3" s="201"/>
      <c r="UZH3" s="201"/>
      <c r="UZI3" s="200"/>
      <c r="UZJ3" s="201"/>
      <c r="UZK3" s="201"/>
      <c r="UZL3" s="201"/>
      <c r="UZM3" s="200"/>
      <c r="UZN3" s="201"/>
      <c r="UZO3" s="201"/>
      <c r="UZP3" s="201"/>
      <c r="UZQ3" s="200"/>
      <c r="UZR3" s="201"/>
      <c r="UZS3" s="201"/>
      <c r="UZT3" s="201"/>
      <c r="UZU3" s="200"/>
      <c r="UZV3" s="201"/>
      <c r="UZW3" s="201"/>
      <c r="UZX3" s="201"/>
      <c r="UZY3" s="200"/>
      <c r="UZZ3" s="201"/>
      <c r="VAA3" s="201"/>
      <c r="VAB3" s="201"/>
      <c r="VAC3" s="200"/>
      <c r="VAD3" s="201"/>
      <c r="VAE3" s="201"/>
      <c r="VAF3" s="201"/>
      <c r="VAG3" s="200"/>
      <c r="VAH3" s="201"/>
      <c r="VAI3" s="201"/>
      <c r="VAJ3" s="201"/>
      <c r="VAK3" s="200"/>
      <c r="VAL3" s="201"/>
      <c r="VAM3" s="201"/>
      <c r="VAN3" s="201"/>
      <c r="VAO3" s="200"/>
      <c r="VAP3" s="201"/>
      <c r="VAQ3" s="201"/>
      <c r="VAR3" s="201"/>
      <c r="VAS3" s="200"/>
      <c r="VAT3" s="201"/>
      <c r="VAU3" s="201"/>
      <c r="VAV3" s="201"/>
      <c r="VAW3" s="200"/>
      <c r="VAX3" s="201"/>
      <c r="VAY3" s="201"/>
      <c r="VAZ3" s="201"/>
      <c r="VBA3" s="200"/>
      <c r="VBB3" s="201"/>
      <c r="VBC3" s="201"/>
      <c r="VBD3" s="201"/>
      <c r="VBE3" s="200"/>
      <c r="VBF3" s="201"/>
      <c r="VBG3" s="201"/>
      <c r="VBH3" s="201"/>
      <c r="VBI3" s="200"/>
      <c r="VBJ3" s="201"/>
      <c r="VBK3" s="201"/>
      <c r="VBL3" s="201"/>
      <c r="VBM3" s="200"/>
      <c r="VBN3" s="201"/>
      <c r="VBO3" s="201"/>
      <c r="VBP3" s="201"/>
      <c r="VBQ3" s="200"/>
      <c r="VBR3" s="201"/>
      <c r="VBS3" s="201"/>
      <c r="VBT3" s="201"/>
      <c r="VBU3" s="200"/>
      <c r="VBV3" s="201"/>
      <c r="VBW3" s="201"/>
      <c r="VBX3" s="201"/>
      <c r="VBY3" s="200"/>
      <c r="VBZ3" s="201"/>
      <c r="VCA3" s="201"/>
      <c r="VCB3" s="201"/>
      <c r="VCC3" s="200"/>
      <c r="VCD3" s="201"/>
      <c r="VCE3" s="201"/>
      <c r="VCF3" s="201"/>
      <c r="VCG3" s="200"/>
      <c r="VCH3" s="201"/>
      <c r="VCI3" s="201"/>
      <c r="VCJ3" s="201"/>
      <c r="VCK3" s="200"/>
      <c r="VCL3" s="201"/>
      <c r="VCM3" s="201"/>
      <c r="VCN3" s="201"/>
      <c r="VCO3" s="200"/>
      <c r="VCP3" s="201"/>
      <c r="VCQ3" s="201"/>
      <c r="VCR3" s="201"/>
      <c r="VCS3" s="200"/>
      <c r="VCT3" s="201"/>
      <c r="VCU3" s="201"/>
      <c r="VCV3" s="201"/>
      <c r="VCW3" s="200"/>
      <c r="VCX3" s="201"/>
      <c r="VCY3" s="201"/>
      <c r="VCZ3" s="201"/>
      <c r="VDA3" s="200"/>
      <c r="VDB3" s="201"/>
      <c r="VDC3" s="201"/>
      <c r="VDD3" s="201"/>
      <c r="VDE3" s="200"/>
      <c r="VDF3" s="201"/>
      <c r="VDG3" s="201"/>
      <c r="VDH3" s="201"/>
      <c r="VDI3" s="200"/>
      <c r="VDJ3" s="201"/>
      <c r="VDK3" s="201"/>
      <c r="VDL3" s="201"/>
      <c r="VDM3" s="200"/>
      <c r="VDN3" s="201"/>
      <c r="VDO3" s="201"/>
      <c r="VDP3" s="201"/>
      <c r="VDQ3" s="200"/>
      <c r="VDR3" s="201"/>
      <c r="VDS3" s="201"/>
      <c r="VDT3" s="201"/>
      <c r="VDU3" s="200"/>
      <c r="VDV3" s="201"/>
      <c r="VDW3" s="201"/>
      <c r="VDX3" s="201"/>
      <c r="VDY3" s="200"/>
      <c r="VDZ3" s="201"/>
      <c r="VEA3" s="201"/>
      <c r="VEB3" s="201"/>
      <c r="VEC3" s="200"/>
      <c r="VED3" s="201"/>
      <c r="VEE3" s="201"/>
      <c r="VEF3" s="201"/>
      <c r="VEG3" s="200"/>
      <c r="VEH3" s="201"/>
      <c r="VEI3" s="201"/>
      <c r="VEJ3" s="201"/>
      <c r="VEK3" s="200"/>
      <c r="VEL3" s="201"/>
      <c r="VEM3" s="201"/>
      <c r="VEN3" s="201"/>
      <c r="VEO3" s="200"/>
      <c r="VEP3" s="201"/>
      <c r="VEQ3" s="201"/>
      <c r="VER3" s="201"/>
      <c r="VES3" s="200"/>
      <c r="VET3" s="201"/>
      <c r="VEU3" s="201"/>
      <c r="VEV3" s="201"/>
      <c r="VEW3" s="200"/>
      <c r="VEX3" s="201"/>
      <c r="VEY3" s="201"/>
      <c r="VEZ3" s="201"/>
      <c r="VFA3" s="200"/>
      <c r="VFB3" s="201"/>
      <c r="VFC3" s="201"/>
      <c r="VFD3" s="201"/>
      <c r="VFE3" s="200"/>
      <c r="VFF3" s="201"/>
      <c r="VFG3" s="201"/>
      <c r="VFH3" s="201"/>
      <c r="VFI3" s="200"/>
      <c r="VFJ3" s="201"/>
      <c r="VFK3" s="201"/>
      <c r="VFL3" s="201"/>
      <c r="VFM3" s="200"/>
      <c r="VFN3" s="201"/>
      <c r="VFO3" s="201"/>
      <c r="VFP3" s="201"/>
      <c r="VFQ3" s="200"/>
      <c r="VFR3" s="201"/>
      <c r="VFS3" s="201"/>
      <c r="VFT3" s="201"/>
      <c r="VFU3" s="200"/>
      <c r="VFV3" s="201"/>
      <c r="VFW3" s="201"/>
      <c r="VFX3" s="201"/>
      <c r="VFY3" s="200"/>
      <c r="VFZ3" s="201"/>
      <c r="VGA3" s="201"/>
      <c r="VGB3" s="201"/>
      <c r="VGC3" s="200"/>
      <c r="VGD3" s="201"/>
      <c r="VGE3" s="201"/>
      <c r="VGF3" s="201"/>
      <c r="VGG3" s="200"/>
      <c r="VGH3" s="201"/>
      <c r="VGI3" s="201"/>
      <c r="VGJ3" s="201"/>
      <c r="VGK3" s="200"/>
      <c r="VGL3" s="201"/>
      <c r="VGM3" s="201"/>
      <c r="VGN3" s="201"/>
      <c r="VGO3" s="200"/>
      <c r="VGP3" s="201"/>
      <c r="VGQ3" s="201"/>
      <c r="VGR3" s="201"/>
      <c r="VGS3" s="200"/>
      <c r="VGT3" s="201"/>
      <c r="VGU3" s="201"/>
      <c r="VGV3" s="201"/>
      <c r="VGW3" s="200"/>
      <c r="VGX3" s="201"/>
      <c r="VGY3" s="201"/>
      <c r="VGZ3" s="201"/>
      <c r="VHA3" s="200"/>
      <c r="VHB3" s="201"/>
      <c r="VHC3" s="201"/>
      <c r="VHD3" s="201"/>
      <c r="VHE3" s="200"/>
      <c r="VHF3" s="201"/>
      <c r="VHG3" s="201"/>
      <c r="VHH3" s="201"/>
      <c r="VHI3" s="200"/>
      <c r="VHJ3" s="201"/>
      <c r="VHK3" s="201"/>
      <c r="VHL3" s="201"/>
      <c r="VHM3" s="200"/>
      <c r="VHN3" s="201"/>
      <c r="VHO3" s="201"/>
      <c r="VHP3" s="201"/>
      <c r="VHQ3" s="200"/>
      <c r="VHR3" s="201"/>
      <c r="VHS3" s="201"/>
      <c r="VHT3" s="201"/>
      <c r="VHU3" s="200"/>
      <c r="VHV3" s="201"/>
      <c r="VHW3" s="201"/>
      <c r="VHX3" s="201"/>
      <c r="VHY3" s="200"/>
      <c r="VHZ3" s="201"/>
      <c r="VIA3" s="201"/>
      <c r="VIB3" s="201"/>
      <c r="VIC3" s="200"/>
      <c r="VID3" s="201"/>
      <c r="VIE3" s="201"/>
      <c r="VIF3" s="201"/>
      <c r="VIG3" s="200"/>
      <c r="VIH3" s="201"/>
      <c r="VII3" s="201"/>
      <c r="VIJ3" s="201"/>
      <c r="VIK3" s="200"/>
      <c r="VIL3" s="201"/>
      <c r="VIM3" s="201"/>
      <c r="VIN3" s="201"/>
      <c r="VIO3" s="200"/>
      <c r="VIP3" s="201"/>
      <c r="VIQ3" s="201"/>
      <c r="VIR3" s="201"/>
      <c r="VIS3" s="200"/>
      <c r="VIT3" s="201"/>
      <c r="VIU3" s="201"/>
      <c r="VIV3" s="201"/>
      <c r="VIW3" s="200"/>
      <c r="VIX3" s="201"/>
      <c r="VIY3" s="201"/>
      <c r="VIZ3" s="201"/>
      <c r="VJA3" s="200"/>
      <c r="VJB3" s="201"/>
      <c r="VJC3" s="201"/>
      <c r="VJD3" s="201"/>
      <c r="VJE3" s="200"/>
      <c r="VJF3" s="201"/>
      <c r="VJG3" s="201"/>
      <c r="VJH3" s="201"/>
      <c r="VJI3" s="200"/>
      <c r="VJJ3" s="201"/>
      <c r="VJK3" s="201"/>
      <c r="VJL3" s="201"/>
      <c r="VJM3" s="200"/>
      <c r="VJN3" s="201"/>
      <c r="VJO3" s="201"/>
      <c r="VJP3" s="201"/>
      <c r="VJQ3" s="200"/>
      <c r="VJR3" s="201"/>
      <c r="VJS3" s="201"/>
      <c r="VJT3" s="201"/>
      <c r="VJU3" s="200"/>
      <c r="VJV3" s="201"/>
      <c r="VJW3" s="201"/>
      <c r="VJX3" s="201"/>
      <c r="VJY3" s="200"/>
      <c r="VJZ3" s="201"/>
      <c r="VKA3" s="201"/>
      <c r="VKB3" s="201"/>
      <c r="VKC3" s="200"/>
      <c r="VKD3" s="201"/>
      <c r="VKE3" s="201"/>
      <c r="VKF3" s="201"/>
      <c r="VKG3" s="200"/>
      <c r="VKH3" s="201"/>
      <c r="VKI3" s="201"/>
      <c r="VKJ3" s="201"/>
      <c r="VKK3" s="200"/>
      <c r="VKL3" s="201"/>
      <c r="VKM3" s="201"/>
      <c r="VKN3" s="201"/>
      <c r="VKO3" s="200"/>
      <c r="VKP3" s="201"/>
      <c r="VKQ3" s="201"/>
      <c r="VKR3" s="201"/>
      <c r="VKS3" s="200"/>
      <c r="VKT3" s="201"/>
      <c r="VKU3" s="201"/>
      <c r="VKV3" s="201"/>
      <c r="VKW3" s="200"/>
      <c r="VKX3" s="201"/>
      <c r="VKY3" s="201"/>
      <c r="VKZ3" s="201"/>
      <c r="VLA3" s="200"/>
      <c r="VLB3" s="201"/>
      <c r="VLC3" s="201"/>
      <c r="VLD3" s="201"/>
      <c r="VLE3" s="200"/>
      <c r="VLF3" s="201"/>
      <c r="VLG3" s="201"/>
      <c r="VLH3" s="201"/>
      <c r="VLI3" s="200"/>
      <c r="VLJ3" s="201"/>
      <c r="VLK3" s="201"/>
      <c r="VLL3" s="201"/>
      <c r="VLM3" s="200"/>
      <c r="VLN3" s="201"/>
      <c r="VLO3" s="201"/>
      <c r="VLP3" s="201"/>
      <c r="VLQ3" s="200"/>
      <c r="VLR3" s="201"/>
      <c r="VLS3" s="201"/>
      <c r="VLT3" s="201"/>
      <c r="VLU3" s="200"/>
      <c r="VLV3" s="201"/>
      <c r="VLW3" s="201"/>
      <c r="VLX3" s="201"/>
      <c r="VLY3" s="200"/>
      <c r="VLZ3" s="201"/>
      <c r="VMA3" s="201"/>
      <c r="VMB3" s="201"/>
      <c r="VMC3" s="200"/>
      <c r="VMD3" s="201"/>
      <c r="VME3" s="201"/>
      <c r="VMF3" s="201"/>
      <c r="VMG3" s="200"/>
      <c r="VMH3" s="201"/>
      <c r="VMI3" s="201"/>
      <c r="VMJ3" s="201"/>
      <c r="VMK3" s="200"/>
      <c r="VML3" s="201"/>
      <c r="VMM3" s="201"/>
      <c r="VMN3" s="201"/>
      <c r="VMO3" s="200"/>
      <c r="VMP3" s="201"/>
      <c r="VMQ3" s="201"/>
      <c r="VMR3" s="201"/>
      <c r="VMS3" s="200"/>
      <c r="VMT3" s="201"/>
      <c r="VMU3" s="201"/>
      <c r="VMV3" s="201"/>
      <c r="VMW3" s="200"/>
      <c r="VMX3" s="201"/>
      <c r="VMY3" s="201"/>
      <c r="VMZ3" s="201"/>
      <c r="VNA3" s="200"/>
      <c r="VNB3" s="201"/>
      <c r="VNC3" s="201"/>
      <c r="VND3" s="201"/>
      <c r="VNE3" s="200"/>
      <c r="VNF3" s="201"/>
      <c r="VNG3" s="201"/>
      <c r="VNH3" s="201"/>
      <c r="VNI3" s="200"/>
      <c r="VNJ3" s="201"/>
      <c r="VNK3" s="201"/>
      <c r="VNL3" s="201"/>
      <c r="VNM3" s="200"/>
      <c r="VNN3" s="201"/>
      <c r="VNO3" s="201"/>
      <c r="VNP3" s="201"/>
      <c r="VNQ3" s="200"/>
      <c r="VNR3" s="201"/>
      <c r="VNS3" s="201"/>
      <c r="VNT3" s="201"/>
      <c r="VNU3" s="200"/>
      <c r="VNV3" s="201"/>
      <c r="VNW3" s="201"/>
      <c r="VNX3" s="201"/>
      <c r="VNY3" s="200"/>
      <c r="VNZ3" s="201"/>
      <c r="VOA3" s="201"/>
      <c r="VOB3" s="201"/>
      <c r="VOC3" s="200"/>
      <c r="VOD3" s="201"/>
      <c r="VOE3" s="201"/>
      <c r="VOF3" s="201"/>
      <c r="VOG3" s="200"/>
      <c r="VOH3" s="201"/>
      <c r="VOI3" s="201"/>
      <c r="VOJ3" s="201"/>
      <c r="VOK3" s="200"/>
      <c r="VOL3" s="201"/>
      <c r="VOM3" s="201"/>
      <c r="VON3" s="201"/>
      <c r="VOO3" s="200"/>
      <c r="VOP3" s="201"/>
      <c r="VOQ3" s="201"/>
      <c r="VOR3" s="201"/>
      <c r="VOS3" s="200"/>
      <c r="VOT3" s="201"/>
      <c r="VOU3" s="201"/>
      <c r="VOV3" s="201"/>
      <c r="VOW3" s="200"/>
      <c r="VOX3" s="201"/>
      <c r="VOY3" s="201"/>
      <c r="VOZ3" s="201"/>
      <c r="VPA3" s="200"/>
      <c r="VPB3" s="201"/>
      <c r="VPC3" s="201"/>
      <c r="VPD3" s="201"/>
      <c r="VPE3" s="200"/>
      <c r="VPF3" s="201"/>
      <c r="VPG3" s="201"/>
      <c r="VPH3" s="201"/>
      <c r="VPI3" s="200"/>
      <c r="VPJ3" s="201"/>
      <c r="VPK3" s="201"/>
      <c r="VPL3" s="201"/>
      <c r="VPM3" s="200"/>
      <c r="VPN3" s="201"/>
      <c r="VPO3" s="201"/>
      <c r="VPP3" s="201"/>
      <c r="VPQ3" s="200"/>
      <c r="VPR3" s="201"/>
      <c r="VPS3" s="201"/>
      <c r="VPT3" s="201"/>
      <c r="VPU3" s="200"/>
      <c r="VPV3" s="201"/>
      <c r="VPW3" s="201"/>
      <c r="VPX3" s="201"/>
      <c r="VPY3" s="200"/>
      <c r="VPZ3" s="201"/>
      <c r="VQA3" s="201"/>
      <c r="VQB3" s="201"/>
      <c r="VQC3" s="200"/>
      <c r="VQD3" s="201"/>
      <c r="VQE3" s="201"/>
      <c r="VQF3" s="201"/>
      <c r="VQG3" s="200"/>
      <c r="VQH3" s="201"/>
      <c r="VQI3" s="201"/>
      <c r="VQJ3" s="201"/>
      <c r="VQK3" s="200"/>
      <c r="VQL3" s="201"/>
      <c r="VQM3" s="201"/>
      <c r="VQN3" s="201"/>
      <c r="VQO3" s="200"/>
      <c r="VQP3" s="201"/>
      <c r="VQQ3" s="201"/>
      <c r="VQR3" s="201"/>
      <c r="VQS3" s="200"/>
      <c r="VQT3" s="201"/>
      <c r="VQU3" s="201"/>
      <c r="VQV3" s="201"/>
      <c r="VQW3" s="200"/>
      <c r="VQX3" s="201"/>
      <c r="VQY3" s="201"/>
      <c r="VQZ3" s="201"/>
      <c r="VRA3" s="200"/>
      <c r="VRB3" s="201"/>
      <c r="VRC3" s="201"/>
      <c r="VRD3" s="201"/>
      <c r="VRE3" s="200"/>
      <c r="VRF3" s="201"/>
      <c r="VRG3" s="201"/>
      <c r="VRH3" s="201"/>
      <c r="VRI3" s="200"/>
      <c r="VRJ3" s="201"/>
      <c r="VRK3" s="201"/>
      <c r="VRL3" s="201"/>
      <c r="VRM3" s="200"/>
      <c r="VRN3" s="201"/>
      <c r="VRO3" s="201"/>
      <c r="VRP3" s="201"/>
      <c r="VRQ3" s="200"/>
      <c r="VRR3" s="201"/>
      <c r="VRS3" s="201"/>
      <c r="VRT3" s="201"/>
      <c r="VRU3" s="200"/>
      <c r="VRV3" s="201"/>
      <c r="VRW3" s="201"/>
      <c r="VRX3" s="201"/>
      <c r="VRY3" s="200"/>
      <c r="VRZ3" s="201"/>
      <c r="VSA3" s="201"/>
      <c r="VSB3" s="201"/>
      <c r="VSC3" s="200"/>
      <c r="VSD3" s="201"/>
      <c r="VSE3" s="201"/>
      <c r="VSF3" s="201"/>
      <c r="VSG3" s="200"/>
      <c r="VSH3" s="201"/>
      <c r="VSI3" s="201"/>
      <c r="VSJ3" s="201"/>
      <c r="VSK3" s="200"/>
      <c r="VSL3" s="201"/>
      <c r="VSM3" s="201"/>
      <c r="VSN3" s="201"/>
      <c r="VSO3" s="200"/>
      <c r="VSP3" s="201"/>
      <c r="VSQ3" s="201"/>
      <c r="VSR3" s="201"/>
      <c r="VSS3" s="200"/>
      <c r="VST3" s="201"/>
      <c r="VSU3" s="201"/>
      <c r="VSV3" s="201"/>
      <c r="VSW3" s="200"/>
      <c r="VSX3" s="201"/>
      <c r="VSY3" s="201"/>
      <c r="VSZ3" s="201"/>
      <c r="VTA3" s="200"/>
      <c r="VTB3" s="201"/>
      <c r="VTC3" s="201"/>
      <c r="VTD3" s="201"/>
      <c r="VTE3" s="200"/>
      <c r="VTF3" s="201"/>
      <c r="VTG3" s="201"/>
      <c r="VTH3" s="201"/>
      <c r="VTI3" s="200"/>
      <c r="VTJ3" s="201"/>
      <c r="VTK3" s="201"/>
      <c r="VTL3" s="201"/>
      <c r="VTM3" s="200"/>
      <c r="VTN3" s="201"/>
      <c r="VTO3" s="201"/>
      <c r="VTP3" s="201"/>
      <c r="VTQ3" s="200"/>
      <c r="VTR3" s="201"/>
      <c r="VTS3" s="201"/>
      <c r="VTT3" s="201"/>
      <c r="VTU3" s="200"/>
      <c r="VTV3" s="201"/>
      <c r="VTW3" s="201"/>
      <c r="VTX3" s="201"/>
      <c r="VTY3" s="200"/>
      <c r="VTZ3" s="201"/>
      <c r="VUA3" s="201"/>
      <c r="VUB3" s="201"/>
      <c r="VUC3" s="200"/>
      <c r="VUD3" s="201"/>
      <c r="VUE3" s="201"/>
      <c r="VUF3" s="201"/>
      <c r="VUG3" s="200"/>
      <c r="VUH3" s="201"/>
      <c r="VUI3" s="201"/>
      <c r="VUJ3" s="201"/>
      <c r="VUK3" s="200"/>
      <c r="VUL3" s="201"/>
      <c r="VUM3" s="201"/>
      <c r="VUN3" s="201"/>
      <c r="VUO3" s="200"/>
      <c r="VUP3" s="201"/>
      <c r="VUQ3" s="201"/>
      <c r="VUR3" s="201"/>
      <c r="VUS3" s="200"/>
      <c r="VUT3" s="201"/>
      <c r="VUU3" s="201"/>
      <c r="VUV3" s="201"/>
      <c r="VUW3" s="200"/>
      <c r="VUX3" s="201"/>
      <c r="VUY3" s="201"/>
      <c r="VUZ3" s="201"/>
      <c r="VVA3" s="200"/>
      <c r="VVB3" s="201"/>
      <c r="VVC3" s="201"/>
      <c r="VVD3" s="201"/>
      <c r="VVE3" s="200"/>
      <c r="VVF3" s="201"/>
      <c r="VVG3" s="201"/>
      <c r="VVH3" s="201"/>
      <c r="VVI3" s="200"/>
      <c r="VVJ3" s="201"/>
      <c r="VVK3" s="201"/>
      <c r="VVL3" s="201"/>
      <c r="VVM3" s="200"/>
      <c r="VVN3" s="201"/>
      <c r="VVO3" s="201"/>
      <c r="VVP3" s="201"/>
      <c r="VVQ3" s="200"/>
      <c r="VVR3" s="201"/>
      <c r="VVS3" s="201"/>
      <c r="VVT3" s="201"/>
      <c r="VVU3" s="200"/>
      <c r="VVV3" s="201"/>
      <c r="VVW3" s="201"/>
      <c r="VVX3" s="201"/>
      <c r="VVY3" s="200"/>
      <c r="VVZ3" s="201"/>
      <c r="VWA3" s="201"/>
      <c r="VWB3" s="201"/>
      <c r="VWC3" s="200"/>
      <c r="VWD3" s="201"/>
      <c r="VWE3" s="201"/>
      <c r="VWF3" s="201"/>
      <c r="VWG3" s="200"/>
      <c r="VWH3" s="201"/>
      <c r="VWI3" s="201"/>
      <c r="VWJ3" s="201"/>
      <c r="VWK3" s="200"/>
      <c r="VWL3" s="201"/>
      <c r="VWM3" s="201"/>
      <c r="VWN3" s="201"/>
      <c r="VWO3" s="200"/>
      <c r="VWP3" s="201"/>
      <c r="VWQ3" s="201"/>
      <c r="VWR3" s="201"/>
      <c r="VWS3" s="200"/>
      <c r="VWT3" s="201"/>
      <c r="VWU3" s="201"/>
      <c r="VWV3" s="201"/>
      <c r="VWW3" s="200"/>
      <c r="VWX3" s="201"/>
      <c r="VWY3" s="201"/>
      <c r="VWZ3" s="201"/>
      <c r="VXA3" s="200"/>
      <c r="VXB3" s="201"/>
      <c r="VXC3" s="201"/>
      <c r="VXD3" s="201"/>
      <c r="VXE3" s="200"/>
      <c r="VXF3" s="201"/>
      <c r="VXG3" s="201"/>
      <c r="VXH3" s="201"/>
      <c r="VXI3" s="200"/>
      <c r="VXJ3" s="201"/>
      <c r="VXK3" s="201"/>
      <c r="VXL3" s="201"/>
      <c r="VXM3" s="200"/>
      <c r="VXN3" s="201"/>
      <c r="VXO3" s="201"/>
      <c r="VXP3" s="201"/>
      <c r="VXQ3" s="200"/>
      <c r="VXR3" s="201"/>
      <c r="VXS3" s="201"/>
      <c r="VXT3" s="201"/>
      <c r="VXU3" s="200"/>
      <c r="VXV3" s="201"/>
      <c r="VXW3" s="201"/>
      <c r="VXX3" s="201"/>
      <c r="VXY3" s="200"/>
      <c r="VXZ3" s="201"/>
      <c r="VYA3" s="201"/>
      <c r="VYB3" s="201"/>
      <c r="VYC3" s="200"/>
      <c r="VYD3" s="201"/>
      <c r="VYE3" s="201"/>
      <c r="VYF3" s="201"/>
      <c r="VYG3" s="200"/>
      <c r="VYH3" s="201"/>
      <c r="VYI3" s="201"/>
      <c r="VYJ3" s="201"/>
      <c r="VYK3" s="200"/>
      <c r="VYL3" s="201"/>
      <c r="VYM3" s="201"/>
      <c r="VYN3" s="201"/>
      <c r="VYO3" s="200"/>
      <c r="VYP3" s="201"/>
      <c r="VYQ3" s="201"/>
      <c r="VYR3" s="201"/>
      <c r="VYS3" s="200"/>
      <c r="VYT3" s="201"/>
      <c r="VYU3" s="201"/>
      <c r="VYV3" s="201"/>
      <c r="VYW3" s="200"/>
      <c r="VYX3" s="201"/>
      <c r="VYY3" s="201"/>
      <c r="VYZ3" s="201"/>
      <c r="VZA3" s="200"/>
      <c r="VZB3" s="201"/>
      <c r="VZC3" s="201"/>
      <c r="VZD3" s="201"/>
      <c r="VZE3" s="200"/>
      <c r="VZF3" s="201"/>
      <c r="VZG3" s="201"/>
      <c r="VZH3" s="201"/>
      <c r="VZI3" s="200"/>
      <c r="VZJ3" s="201"/>
      <c r="VZK3" s="201"/>
      <c r="VZL3" s="201"/>
      <c r="VZM3" s="200"/>
      <c r="VZN3" s="201"/>
      <c r="VZO3" s="201"/>
      <c r="VZP3" s="201"/>
      <c r="VZQ3" s="200"/>
      <c r="VZR3" s="201"/>
      <c r="VZS3" s="201"/>
      <c r="VZT3" s="201"/>
      <c r="VZU3" s="200"/>
      <c r="VZV3" s="201"/>
      <c r="VZW3" s="201"/>
      <c r="VZX3" s="201"/>
      <c r="VZY3" s="200"/>
      <c r="VZZ3" s="201"/>
      <c r="WAA3" s="201"/>
      <c r="WAB3" s="201"/>
      <c r="WAC3" s="200"/>
      <c r="WAD3" s="201"/>
      <c r="WAE3" s="201"/>
      <c r="WAF3" s="201"/>
      <c r="WAG3" s="200"/>
      <c r="WAH3" s="201"/>
      <c r="WAI3" s="201"/>
      <c r="WAJ3" s="201"/>
      <c r="WAK3" s="200"/>
      <c r="WAL3" s="201"/>
      <c r="WAM3" s="201"/>
      <c r="WAN3" s="201"/>
      <c r="WAO3" s="200"/>
      <c r="WAP3" s="201"/>
      <c r="WAQ3" s="201"/>
      <c r="WAR3" s="201"/>
      <c r="WAS3" s="200"/>
      <c r="WAT3" s="201"/>
      <c r="WAU3" s="201"/>
      <c r="WAV3" s="201"/>
      <c r="WAW3" s="200"/>
      <c r="WAX3" s="201"/>
      <c r="WAY3" s="201"/>
      <c r="WAZ3" s="201"/>
      <c r="WBA3" s="200"/>
      <c r="WBB3" s="201"/>
      <c r="WBC3" s="201"/>
      <c r="WBD3" s="201"/>
      <c r="WBE3" s="200"/>
      <c r="WBF3" s="201"/>
      <c r="WBG3" s="201"/>
      <c r="WBH3" s="201"/>
      <c r="WBI3" s="200"/>
      <c r="WBJ3" s="201"/>
      <c r="WBK3" s="201"/>
      <c r="WBL3" s="201"/>
      <c r="WBM3" s="200"/>
      <c r="WBN3" s="201"/>
      <c r="WBO3" s="201"/>
      <c r="WBP3" s="201"/>
      <c r="WBQ3" s="200"/>
      <c r="WBR3" s="201"/>
      <c r="WBS3" s="201"/>
      <c r="WBT3" s="201"/>
      <c r="WBU3" s="200"/>
      <c r="WBV3" s="201"/>
      <c r="WBW3" s="201"/>
      <c r="WBX3" s="201"/>
      <c r="WBY3" s="200"/>
      <c r="WBZ3" s="201"/>
      <c r="WCA3" s="201"/>
      <c r="WCB3" s="201"/>
      <c r="WCC3" s="200"/>
      <c r="WCD3" s="201"/>
      <c r="WCE3" s="201"/>
      <c r="WCF3" s="201"/>
      <c r="WCG3" s="200"/>
      <c r="WCH3" s="201"/>
      <c r="WCI3" s="201"/>
      <c r="WCJ3" s="201"/>
      <c r="WCK3" s="200"/>
      <c r="WCL3" s="201"/>
      <c r="WCM3" s="201"/>
      <c r="WCN3" s="201"/>
      <c r="WCO3" s="200"/>
      <c r="WCP3" s="201"/>
      <c r="WCQ3" s="201"/>
      <c r="WCR3" s="201"/>
      <c r="WCS3" s="200"/>
      <c r="WCT3" s="201"/>
      <c r="WCU3" s="201"/>
      <c r="WCV3" s="201"/>
      <c r="WCW3" s="200"/>
      <c r="WCX3" s="201"/>
      <c r="WCY3" s="201"/>
      <c r="WCZ3" s="201"/>
      <c r="WDA3" s="200"/>
      <c r="WDB3" s="201"/>
      <c r="WDC3" s="201"/>
      <c r="WDD3" s="201"/>
      <c r="WDE3" s="200"/>
      <c r="WDF3" s="201"/>
      <c r="WDG3" s="201"/>
      <c r="WDH3" s="201"/>
      <c r="WDI3" s="200"/>
      <c r="WDJ3" s="201"/>
      <c r="WDK3" s="201"/>
      <c r="WDL3" s="201"/>
      <c r="WDM3" s="200"/>
      <c r="WDN3" s="201"/>
      <c r="WDO3" s="201"/>
      <c r="WDP3" s="201"/>
      <c r="WDQ3" s="200"/>
      <c r="WDR3" s="201"/>
      <c r="WDS3" s="201"/>
      <c r="WDT3" s="201"/>
      <c r="WDU3" s="200"/>
      <c r="WDV3" s="201"/>
      <c r="WDW3" s="201"/>
      <c r="WDX3" s="201"/>
      <c r="WDY3" s="200"/>
      <c r="WDZ3" s="201"/>
      <c r="WEA3" s="201"/>
      <c r="WEB3" s="201"/>
      <c r="WEC3" s="200"/>
      <c r="WED3" s="201"/>
      <c r="WEE3" s="201"/>
      <c r="WEF3" s="201"/>
      <c r="WEG3" s="200"/>
      <c r="WEH3" s="201"/>
      <c r="WEI3" s="201"/>
      <c r="WEJ3" s="201"/>
      <c r="WEK3" s="200"/>
      <c r="WEL3" s="201"/>
      <c r="WEM3" s="201"/>
      <c r="WEN3" s="201"/>
      <c r="WEO3" s="200"/>
      <c r="WEP3" s="201"/>
      <c r="WEQ3" s="201"/>
      <c r="WER3" s="201"/>
      <c r="WES3" s="200"/>
      <c r="WET3" s="201"/>
      <c r="WEU3" s="201"/>
      <c r="WEV3" s="201"/>
      <c r="WEW3" s="200"/>
      <c r="WEX3" s="201"/>
      <c r="WEY3" s="201"/>
      <c r="WEZ3" s="201"/>
      <c r="WFA3" s="200"/>
      <c r="WFB3" s="201"/>
      <c r="WFC3" s="201"/>
      <c r="WFD3" s="201"/>
      <c r="WFE3" s="200"/>
      <c r="WFF3" s="201"/>
      <c r="WFG3" s="201"/>
      <c r="WFH3" s="201"/>
      <c r="WFI3" s="200"/>
      <c r="WFJ3" s="201"/>
      <c r="WFK3" s="201"/>
      <c r="WFL3" s="201"/>
      <c r="WFM3" s="200"/>
      <c r="WFN3" s="201"/>
      <c r="WFO3" s="201"/>
      <c r="WFP3" s="201"/>
      <c r="WFQ3" s="200"/>
      <c r="WFR3" s="201"/>
      <c r="WFS3" s="201"/>
      <c r="WFT3" s="201"/>
      <c r="WFU3" s="200"/>
      <c r="WFV3" s="201"/>
      <c r="WFW3" s="201"/>
      <c r="WFX3" s="201"/>
      <c r="WFY3" s="200"/>
      <c r="WFZ3" s="201"/>
      <c r="WGA3" s="201"/>
      <c r="WGB3" s="201"/>
      <c r="WGC3" s="200"/>
      <c r="WGD3" s="201"/>
      <c r="WGE3" s="201"/>
      <c r="WGF3" s="201"/>
      <c r="WGG3" s="200"/>
      <c r="WGH3" s="201"/>
      <c r="WGI3" s="201"/>
      <c r="WGJ3" s="201"/>
      <c r="WGK3" s="200"/>
      <c r="WGL3" s="201"/>
      <c r="WGM3" s="201"/>
      <c r="WGN3" s="201"/>
      <c r="WGO3" s="200"/>
      <c r="WGP3" s="201"/>
      <c r="WGQ3" s="201"/>
      <c r="WGR3" s="201"/>
      <c r="WGS3" s="200"/>
      <c r="WGT3" s="201"/>
      <c r="WGU3" s="201"/>
      <c r="WGV3" s="201"/>
      <c r="WGW3" s="200"/>
      <c r="WGX3" s="201"/>
      <c r="WGY3" s="201"/>
      <c r="WGZ3" s="201"/>
      <c r="WHA3" s="200"/>
      <c r="WHB3" s="201"/>
      <c r="WHC3" s="201"/>
      <c r="WHD3" s="201"/>
      <c r="WHE3" s="200"/>
      <c r="WHF3" s="201"/>
      <c r="WHG3" s="201"/>
      <c r="WHH3" s="201"/>
      <c r="WHI3" s="200"/>
      <c r="WHJ3" s="201"/>
      <c r="WHK3" s="201"/>
      <c r="WHL3" s="201"/>
      <c r="WHM3" s="200"/>
      <c r="WHN3" s="201"/>
      <c r="WHO3" s="201"/>
      <c r="WHP3" s="201"/>
      <c r="WHQ3" s="200"/>
      <c r="WHR3" s="201"/>
      <c r="WHS3" s="201"/>
      <c r="WHT3" s="201"/>
      <c r="WHU3" s="200"/>
      <c r="WHV3" s="201"/>
      <c r="WHW3" s="201"/>
      <c r="WHX3" s="201"/>
      <c r="WHY3" s="200"/>
      <c r="WHZ3" s="201"/>
      <c r="WIA3" s="201"/>
      <c r="WIB3" s="201"/>
      <c r="WIC3" s="200"/>
      <c r="WID3" s="201"/>
      <c r="WIE3" s="201"/>
      <c r="WIF3" s="201"/>
      <c r="WIG3" s="200"/>
      <c r="WIH3" s="201"/>
      <c r="WII3" s="201"/>
      <c r="WIJ3" s="201"/>
      <c r="WIK3" s="200"/>
      <c r="WIL3" s="201"/>
      <c r="WIM3" s="201"/>
      <c r="WIN3" s="201"/>
      <c r="WIO3" s="200"/>
      <c r="WIP3" s="201"/>
      <c r="WIQ3" s="201"/>
      <c r="WIR3" s="201"/>
      <c r="WIS3" s="200"/>
      <c r="WIT3" s="201"/>
      <c r="WIU3" s="201"/>
      <c r="WIV3" s="201"/>
      <c r="WIW3" s="200"/>
      <c r="WIX3" s="201"/>
      <c r="WIY3" s="201"/>
      <c r="WIZ3" s="201"/>
      <c r="WJA3" s="200"/>
      <c r="WJB3" s="201"/>
      <c r="WJC3" s="201"/>
      <c r="WJD3" s="201"/>
      <c r="WJE3" s="200"/>
      <c r="WJF3" s="201"/>
      <c r="WJG3" s="201"/>
      <c r="WJH3" s="201"/>
      <c r="WJI3" s="200"/>
      <c r="WJJ3" s="201"/>
      <c r="WJK3" s="201"/>
      <c r="WJL3" s="201"/>
      <c r="WJM3" s="200"/>
      <c r="WJN3" s="201"/>
      <c r="WJO3" s="201"/>
      <c r="WJP3" s="201"/>
      <c r="WJQ3" s="200"/>
      <c r="WJR3" s="201"/>
      <c r="WJS3" s="201"/>
      <c r="WJT3" s="201"/>
      <c r="WJU3" s="200"/>
      <c r="WJV3" s="201"/>
      <c r="WJW3" s="201"/>
      <c r="WJX3" s="201"/>
      <c r="WJY3" s="200"/>
      <c r="WJZ3" s="201"/>
      <c r="WKA3" s="201"/>
      <c r="WKB3" s="201"/>
      <c r="WKC3" s="200"/>
      <c r="WKD3" s="201"/>
      <c r="WKE3" s="201"/>
      <c r="WKF3" s="201"/>
      <c r="WKG3" s="200"/>
      <c r="WKH3" s="201"/>
      <c r="WKI3" s="201"/>
      <c r="WKJ3" s="201"/>
      <c r="WKK3" s="200"/>
      <c r="WKL3" s="201"/>
      <c r="WKM3" s="201"/>
      <c r="WKN3" s="201"/>
      <c r="WKO3" s="200"/>
      <c r="WKP3" s="201"/>
      <c r="WKQ3" s="201"/>
      <c r="WKR3" s="201"/>
      <c r="WKS3" s="200"/>
      <c r="WKT3" s="201"/>
      <c r="WKU3" s="201"/>
      <c r="WKV3" s="201"/>
      <c r="WKW3" s="200"/>
      <c r="WKX3" s="201"/>
      <c r="WKY3" s="201"/>
      <c r="WKZ3" s="201"/>
      <c r="WLA3" s="200"/>
      <c r="WLB3" s="201"/>
      <c r="WLC3" s="201"/>
      <c r="WLD3" s="201"/>
      <c r="WLE3" s="200"/>
      <c r="WLF3" s="201"/>
      <c r="WLG3" s="201"/>
      <c r="WLH3" s="201"/>
      <c r="WLI3" s="200"/>
      <c r="WLJ3" s="201"/>
      <c r="WLK3" s="201"/>
      <c r="WLL3" s="201"/>
      <c r="WLM3" s="200"/>
      <c r="WLN3" s="201"/>
      <c r="WLO3" s="201"/>
      <c r="WLP3" s="201"/>
      <c r="WLQ3" s="200"/>
      <c r="WLR3" s="201"/>
      <c r="WLS3" s="201"/>
      <c r="WLT3" s="201"/>
      <c r="WLU3" s="200"/>
      <c r="WLV3" s="201"/>
      <c r="WLW3" s="201"/>
      <c r="WLX3" s="201"/>
      <c r="WLY3" s="200"/>
      <c r="WLZ3" s="201"/>
      <c r="WMA3" s="201"/>
      <c r="WMB3" s="201"/>
      <c r="WMC3" s="200"/>
      <c r="WMD3" s="201"/>
      <c r="WME3" s="201"/>
      <c r="WMF3" s="201"/>
      <c r="WMG3" s="200"/>
      <c r="WMH3" s="201"/>
      <c r="WMI3" s="201"/>
      <c r="WMJ3" s="201"/>
      <c r="WMK3" s="200"/>
      <c r="WML3" s="201"/>
      <c r="WMM3" s="201"/>
      <c r="WMN3" s="201"/>
      <c r="WMO3" s="200"/>
      <c r="WMP3" s="201"/>
      <c r="WMQ3" s="201"/>
      <c r="WMR3" s="201"/>
      <c r="WMS3" s="200"/>
      <c r="WMT3" s="201"/>
      <c r="WMU3" s="201"/>
      <c r="WMV3" s="201"/>
      <c r="WMW3" s="200"/>
      <c r="WMX3" s="201"/>
      <c r="WMY3" s="201"/>
      <c r="WMZ3" s="201"/>
      <c r="WNA3" s="200"/>
      <c r="WNB3" s="201"/>
      <c r="WNC3" s="201"/>
      <c r="WND3" s="201"/>
      <c r="WNE3" s="200"/>
      <c r="WNF3" s="201"/>
      <c r="WNG3" s="201"/>
      <c r="WNH3" s="201"/>
      <c r="WNI3" s="200"/>
      <c r="WNJ3" s="201"/>
      <c r="WNK3" s="201"/>
      <c r="WNL3" s="201"/>
      <c r="WNM3" s="200"/>
      <c r="WNN3" s="201"/>
      <c r="WNO3" s="201"/>
      <c r="WNP3" s="201"/>
      <c r="WNQ3" s="200"/>
      <c r="WNR3" s="201"/>
      <c r="WNS3" s="201"/>
      <c r="WNT3" s="201"/>
      <c r="WNU3" s="200"/>
      <c r="WNV3" s="201"/>
      <c r="WNW3" s="201"/>
      <c r="WNX3" s="201"/>
      <c r="WNY3" s="200"/>
      <c r="WNZ3" s="201"/>
      <c r="WOA3" s="201"/>
      <c r="WOB3" s="201"/>
      <c r="WOC3" s="200"/>
      <c r="WOD3" s="201"/>
      <c r="WOE3" s="201"/>
      <c r="WOF3" s="201"/>
      <c r="WOG3" s="200"/>
      <c r="WOH3" s="201"/>
      <c r="WOI3" s="201"/>
      <c r="WOJ3" s="201"/>
      <c r="WOK3" s="200"/>
      <c r="WOL3" s="201"/>
      <c r="WOM3" s="201"/>
      <c r="WON3" s="201"/>
      <c r="WOO3" s="200"/>
      <c r="WOP3" s="201"/>
      <c r="WOQ3" s="201"/>
      <c r="WOR3" s="201"/>
      <c r="WOS3" s="200"/>
      <c r="WOT3" s="201"/>
      <c r="WOU3" s="201"/>
      <c r="WOV3" s="201"/>
      <c r="WOW3" s="200"/>
      <c r="WOX3" s="201"/>
      <c r="WOY3" s="201"/>
      <c r="WOZ3" s="201"/>
      <c r="WPA3" s="200"/>
      <c r="WPB3" s="201"/>
      <c r="WPC3" s="201"/>
      <c r="WPD3" s="201"/>
      <c r="WPE3" s="200"/>
      <c r="WPF3" s="201"/>
      <c r="WPG3" s="201"/>
      <c r="WPH3" s="201"/>
      <c r="WPI3" s="200"/>
      <c r="WPJ3" s="201"/>
      <c r="WPK3" s="201"/>
      <c r="WPL3" s="201"/>
      <c r="WPM3" s="200"/>
      <c r="WPN3" s="201"/>
      <c r="WPO3" s="201"/>
      <c r="WPP3" s="201"/>
      <c r="WPQ3" s="200"/>
      <c r="WPR3" s="201"/>
      <c r="WPS3" s="201"/>
      <c r="WPT3" s="201"/>
      <c r="WPU3" s="200"/>
      <c r="WPV3" s="201"/>
      <c r="WPW3" s="201"/>
      <c r="WPX3" s="201"/>
      <c r="WPY3" s="200"/>
      <c r="WPZ3" s="201"/>
      <c r="WQA3" s="201"/>
      <c r="WQB3" s="201"/>
      <c r="WQC3" s="200"/>
      <c r="WQD3" s="201"/>
      <c r="WQE3" s="201"/>
      <c r="WQF3" s="201"/>
      <c r="WQG3" s="200"/>
      <c r="WQH3" s="201"/>
      <c r="WQI3" s="201"/>
      <c r="WQJ3" s="201"/>
      <c r="WQK3" s="200"/>
      <c r="WQL3" s="201"/>
      <c r="WQM3" s="201"/>
      <c r="WQN3" s="201"/>
      <c r="WQO3" s="200"/>
      <c r="WQP3" s="201"/>
      <c r="WQQ3" s="201"/>
      <c r="WQR3" s="201"/>
      <c r="WQS3" s="200"/>
      <c r="WQT3" s="201"/>
      <c r="WQU3" s="201"/>
      <c r="WQV3" s="201"/>
      <c r="WQW3" s="200"/>
      <c r="WQX3" s="201"/>
      <c r="WQY3" s="201"/>
      <c r="WQZ3" s="201"/>
      <c r="WRA3" s="200"/>
      <c r="WRB3" s="201"/>
      <c r="WRC3" s="201"/>
      <c r="WRD3" s="201"/>
      <c r="WRE3" s="200"/>
      <c r="WRF3" s="201"/>
      <c r="WRG3" s="201"/>
      <c r="WRH3" s="201"/>
      <c r="WRI3" s="200"/>
      <c r="WRJ3" s="201"/>
      <c r="WRK3" s="201"/>
      <c r="WRL3" s="201"/>
      <c r="WRM3" s="200"/>
      <c r="WRN3" s="201"/>
      <c r="WRO3" s="201"/>
      <c r="WRP3" s="201"/>
      <c r="WRQ3" s="200"/>
      <c r="WRR3" s="201"/>
      <c r="WRS3" s="201"/>
      <c r="WRT3" s="201"/>
      <c r="WRU3" s="200"/>
      <c r="WRV3" s="201"/>
      <c r="WRW3" s="201"/>
      <c r="WRX3" s="201"/>
      <c r="WRY3" s="200"/>
      <c r="WRZ3" s="201"/>
      <c r="WSA3" s="201"/>
      <c r="WSB3" s="201"/>
      <c r="WSC3" s="200"/>
      <c r="WSD3" s="201"/>
      <c r="WSE3" s="201"/>
      <c r="WSF3" s="201"/>
      <c r="WSG3" s="200"/>
      <c r="WSH3" s="201"/>
      <c r="WSI3" s="201"/>
      <c r="WSJ3" s="201"/>
      <c r="WSK3" s="200"/>
      <c r="WSL3" s="201"/>
      <c r="WSM3" s="201"/>
      <c r="WSN3" s="201"/>
      <c r="WSO3" s="200"/>
      <c r="WSP3" s="201"/>
      <c r="WSQ3" s="201"/>
      <c r="WSR3" s="201"/>
      <c r="WSS3" s="200"/>
      <c r="WST3" s="201"/>
      <c r="WSU3" s="201"/>
      <c r="WSV3" s="201"/>
      <c r="WSW3" s="200"/>
      <c r="WSX3" s="201"/>
      <c r="WSY3" s="201"/>
      <c r="WSZ3" s="201"/>
      <c r="WTA3" s="200"/>
      <c r="WTB3" s="201"/>
      <c r="WTC3" s="201"/>
      <c r="WTD3" s="201"/>
      <c r="WTE3" s="200"/>
      <c r="WTF3" s="201"/>
      <c r="WTG3" s="201"/>
      <c r="WTH3" s="201"/>
      <c r="WTI3" s="200"/>
      <c r="WTJ3" s="201"/>
      <c r="WTK3" s="201"/>
      <c r="WTL3" s="201"/>
      <c r="WTM3" s="200"/>
      <c r="WTN3" s="201"/>
      <c r="WTO3" s="201"/>
      <c r="WTP3" s="201"/>
      <c r="WTQ3" s="200"/>
      <c r="WTR3" s="201"/>
      <c r="WTS3" s="201"/>
      <c r="WTT3" s="201"/>
      <c r="WTU3" s="200"/>
      <c r="WTV3" s="201"/>
      <c r="WTW3" s="201"/>
      <c r="WTX3" s="201"/>
      <c r="WTY3" s="200"/>
      <c r="WTZ3" s="201"/>
      <c r="WUA3" s="201"/>
      <c r="WUB3" s="201"/>
      <c r="WUC3" s="200"/>
      <c r="WUD3" s="201"/>
      <c r="WUE3" s="201"/>
      <c r="WUF3" s="201"/>
      <c r="WUG3" s="200"/>
      <c r="WUH3" s="201"/>
      <c r="WUI3" s="201"/>
      <c r="WUJ3" s="201"/>
      <c r="WUK3" s="200"/>
      <c r="WUL3" s="201"/>
      <c r="WUM3" s="201"/>
      <c r="WUN3" s="201"/>
      <c r="WUO3" s="200"/>
      <c r="WUP3" s="201"/>
      <c r="WUQ3" s="201"/>
      <c r="WUR3" s="201"/>
      <c r="WUS3" s="200"/>
      <c r="WUT3" s="201"/>
      <c r="WUU3" s="201"/>
      <c r="WUV3" s="201"/>
      <c r="WUW3" s="200"/>
      <c r="WUX3" s="201"/>
      <c r="WUY3" s="201"/>
      <c r="WUZ3" s="201"/>
      <c r="WVA3" s="200"/>
      <c r="WVB3" s="201"/>
      <c r="WVC3" s="201"/>
      <c r="WVD3" s="201"/>
      <c r="WVE3" s="200"/>
      <c r="WVF3" s="201"/>
      <c r="WVG3" s="201"/>
      <c r="WVH3" s="201"/>
      <c r="WVI3" s="200"/>
      <c r="WVJ3" s="201"/>
      <c r="WVK3" s="201"/>
      <c r="WVL3" s="201"/>
      <c r="WVM3" s="200"/>
      <c r="WVN3" s="201"/>
      <c r="WVO3" s="201"/>
      <c r="WVP3" s="201"/>
      <c r="WVQ3" s="200"/>
      <c r="WVR3" s="201"/>
      <c r="WVS3" s="201"/>
      <c r="WVT3" s="201"/>
      <c r="WVU3" s="200"/>
      <c r="WVV3" s="201"/>
      <c r="WVW3" s="201"/>
      <c r="WVX3" s="201"/>
      <c r="WVY3" s="200"/>
      <c r="WVZ3" s="201"/>
      <c r="WWA3" s="201"/>
      <c r="WWB3" s="201"/>
      <c r="WWC3" s="200"/>
      <c r="WWD3" s="201"/>
      <c r="WWE3" s="201"/>
      <c r="WWF3" s="201"/>
      <c r="WWG3" s="200"/>
      <c r="WWH3" s="201"/>
      <c r="WWI3" s="201"/>
      <c r="WWJ3" s="201"/>
      <c r="WWK3" s="200"/>
      <c r="WWL3" s="201"/>
      <c r="WWM3" s="201"/>
      <c r="WWN3" s="201"/>
      <c r="WWO3" s="200"/>
      <c r="WWP3" s="201"/>
      <c r="WWQ3" s="201"/>
      <c r="WWR3" s="201"/>
      <c r="WWS3" s="200"/>
      <c r="WWT3" s="201"/>
      <c r="WWU3" s="201"/>
      <c r="WWV3" s="201"/>
      <c r="WWW3" s="200"/>
      <c r="WWX3" s="201"/>
      <c r="WWY3" s="201"/>
      <c r="WWZ3" s="201"/>
      <c r="WXA3" s="200"/>
      <c r="WXB3" s="201"/>
      <c r="WXC3" s="201"/>
      <c r="WXD3" s="201"/>
      <c r="WXE3" s="200"/>
      <c r="WXF3" s="201"/>
      <c r="WXG3" s="201"/>
      <c r="WXH3" s="201"/>
      <c r="WXI3" s="200"/>
      <c r="WXJ3" s="201"/>
      <c r="WXK3" s="201"/>
      <c r="WXL3" s="201"/>
      <c r="WXM3" s="200"/>
      <c r="WXN3" s="201"/>
      <c r="WXO3" s="201"/>
      <c r="WXP3" s="201"/>
      <c r="WXQ3" s="200"/>
      <c r="WXR3" s="201"/>
      <c r="WXS3" s="201"/>
      <c r="WXT3" s="201"/>
      <c r="WXU3" s="200"/>
      <c r="WXV3" s="201"/>
      <c r="WXW3" s="201"/>
      <c r="WXX3" s="201"/>
      <c r="WXY3" s="200"/>
      <c r="WXZ3" s="201"/>
      <c r="WYA3" s="201"/>
      <c r="WYB3" s="201"/>
      <c r="WYC3" s="200"/>
      <c r="WYD3" s="201"/>
      <c r="WYE3" s="201"/>
      <c r="WYF3" s="201"/>
      <c r="WYG3" s="200"/>
      <c r="WYH3" s="201"/>
      <c r="WYI3" s="201"/>
      <c r="WYJ3" s="201"/>
      <c r="WYK3" s="200"/>
      <c r="WYL3" s="201"/>
      <c r="WYM3" s="201"/>
      <c r="WYN3" s="201"/>
      <c r="WYO3" s="200"/>
      <c r="WYP3" s="201"/>
      <c r="WYQ3" s="201"/>
      <c r="WYR3" s="201"/>
      <c r="WYS3" s="200"/>
      <c r="WYT3" s="201"/>
      <c r="WYU3" s="201"/>
      <c r="WYV3" s="201"/>
      <c r="WYW3" s="200"/>
      <c r="WYX3" s="201"/>
      <c r="WYY3" s="201"/>
      <c r="WYZ3" s="201"/>
      <c r="WZA3" s="200"/>
      <c r="WZB3" s="201"/>
      <c r="WZC3" s="201"/>
      <c r="WZD3" s="201"/>
      <c r="WZE3" s="200"/>
      <c r="WZF3" s="201"/>
      <c r="WZG3" s="201"/>
      <c r="WZH3" s="201"/>
      <c r="WZI3" s="200"/>
      <c r="WZJ3" s="201"/>
      <c r="WZK3" s="201"/>
      <c r="WZL3" s="201"/>
      <c r="WZM3" s="200"/>
      <c r="WZN3" s="201"/>
      <c r="WZO3" s="201"/>
      <c r="WZP3" s="201"/>
      <c r="WZQ3" s="200"/>
      <c r="WZR3" s="201"/>
      <c r="WZS3" s="201"/>
      <c r="WZT3" s="201"/>
      <c r="WZU3" s="200"/>
      <c r="WZV3" s="201"/>
      <c r="WZW3" s="201"/>
      <c r="WZX3" s="201"/>
      <c r="WZY3" s="200"/>
      <c r="WZZ3" s="201"/>
      <c r="XAA3" s="201"/>
      <c r="XAB3" s="201"/>
      <c r="XAC3" s="200"/>
      <c r="XAD3" s="201"/>
      <c r="XAE3" s="201"/>
      <c r="XAF3" s="201"/>
      <c r="XAG3" s="200"/>
      <c r="XAH3" s="201"/>
      <c r="XAI3" s="201"/>
      <c r="XAJ3" s="201"/>
      <c r="XAK3" s="200"/>
      <c r="XAL3" s="201"/>
      <c r="XAM3" s="201"/>
      <c r="XAN3" s="201"/>
      <c r="XAO3" s="200"/>
      <c r="XAP3" s="201"/>
      <c r="XAQ3" s="201"/>
      <c r="XAR3" s="201"/>
      <c r="XAS3" s="200"/>
      <c r="XAT3" s="201"/>
      <c r="XAU3" s="201"/>
      <c r="XAV3" s="201"/>
      <c r="XAW3" s="200"/>
      <c r="XAX3" s="201"/>
      <c r="XAY3" s="201"/>
      <c r="XAZ3" s="201"/>
      <c r="XBA3" s="200"/>
      <c r="XBB3" s="201"/>
      <c r="XBC3" s="201"/>
      <c r="XBD3" s="201"/>
      <c r="XBE3" s="200"/>
      <c r="XBF3" s="201"/>
      <c r="XBG3" s="201"/>
      <c r="XBH3" s="201"/>
      <c r="XBI3" s="200"/>
      <c r="XBJ3" s="201"/>
      <c r="XBK3" s="201"/>
      <c r="XBL3" s="201"/>
      <c r="XBM3" s="200"/>
      <c r="XBN3" s="201"/>
      <c r="XBO3" s="201"/>
      <c r="XBP3" s="201"/>
      <c r="XBQ3" s="200"/>
      <c r="XBR3" s="201"/>
      <c r="XBS3" s="201"/>
      <c r="XBT3" s="201"/>
      <c r="XBU3" s="200"/>
      <c r="XBV3" s="201"/>
      <c r="XBW3" s="201"/>
      <c r="XBX3" s="201"/>
      <c r="XBY3" s="200"/>
      <c r="XBZ3" s="201"/>
      <c r="XCA3" s="201"/>
      <c r="XCB3" s="201"/>
      <c r="XCC3" s="200"/>
      <c r="XCD3" s="201"/>
      <c r="XCE3" s="201"/>
      <c r="XCF3" s="201"/>
      <c r="XCG3" s="200"/>
      <c r="XCH3" s="201"/>
      <c r="XCI3" s="201"/>
      <c r="XCJ3" s="201"/>
      <c r="XCK3" s="200"/>
      <c r="XCL3" s="201"/>
      <c r="XCM3" s="201"/>
      <c r="XCN3" s="201"/>
      <c r="XCO3" s="200"/>
      <c r="XCP3" s="201"/>
      <c r="XCQ3" s="201"/>
      <c r="XCR3" s="201"/>
      <c r="XCS3" s="200"/>
      <c r="XCT3" s="201"/>
      <c r="XCU3" s="201"/>
      <c r="XCV3" s="201"/>
      <c r="XCW3" s="200"/>
      <c r="XCX3" s="201"/>
      <c r="XCY3" s="201"/>
      <c r="XCZ3" s="201"/>
      <c r="XDA3" s="200"/>
      <c r="XDB3" s="201"/>
      <c r="XDC3" s="201"/>
      <c r="XDD3" s="201"/>
      <c r="XDE3" s="200"/>
      <c r="XDF3" s="201"/>
      <c r="XDG3" s="201"/>
      <c r="XDH3" s="201"/>
      <c r="XDI3" s="200"/>
      <c r="XDJ3" s="201"/>
      <c r="XDK3" s="201"/>
      <c r="XDL3" s="201"/>
      <c r="XDM3" s="200"/>
      <c r="XDN3" s="201"/>
      <c r="XDO3" s="201"/>
      <c r="XDP3" s="201"/>
      <c r="XDQ3" s="200"/>
      <c r="XDR3" s="201"/>
      <c r="XDS3" s="201"/>
      <c r="XDT3" s="201"/>
      <c r="XDU3" s="200"/>
      <c r="XDV3" s="201"/>
      <c r="XDW3" s="201"/>
      <c r="XDX3" s="201"/>
      <c r="XDY3" s="200"/>
      <c r="XDZ3" s="201"/>
      <c r="XEA3" s="201"/>
      <c r="XEB3" s="201"/>
      <c r="XEC3" s="200"/>
      <c r="XED3" s="201"/>
      <c r="XEE3" s="201"/>
      <c r="XEF3" s="201"/>
      <c r="XEG3" s="200"/>
      <c r="XEH3" s="201"/>
      <c r="XEI3" s="201"/>
      <c r="XEJ3" s="201"/>
      <c r="XEK3" s="200"/>
      <c r="XEL3" s="201"/>
      <c r="XEM3" s="201"/>
      <c r="XEN3" s="201"/>
      <c r="XEO3" s="200"/>
      <c r="XEP3" s="201"/>
      <c r="XEQ3" s="201"/>
      <c r="XER3" s="201"/>
      <c r="XES3" s="200"/>
      <c r="XET3" s="201"/>
      <c r="XEU3" s="201"/>
      <c r="XEV3" s="201"/>
      <c r="XEW3" s="200"/>
      <c r="XEX3" s="200"/>
      <c r="XEY3" s="200"/>
      <c r="XEZ3" s="200"/>
    </row>
    <row r="4" spans="1:16380" ht="24.95" customHeight="1" x14ac:dyDescent="0.3">
      <c r="A4" s="206" t="s">
        <v>63</v>
      </c>
      <c r="B4" s="207" t="s">
        <v>64</v>
      </c>
      <c r="C4" s="207" t="s">
        <v>65</v>
      </c>
    </row>
    <row r="5" spans="1:16380" ht="23.1" customHeight="1" x14ac:dyDescent="0.3">
      <c r="A5" s="403" t="s">
        <v>66</v>
      </c>
      <c r="B5" s="48"/>
      <c r="C5" s="49"/>
    </row>
    <row r="6" spans="1:16380" ht="23.1" customHeight="1" x14ac:dyDescent="0.3">
      <c r="A6" s="403" t="s">
        <v>67</v>
      </c>
      <c r="B6" s="48"/>
      <c r="C6" s="49"/>
    </row>
    <row r="7" spans="1:16380" ht="23.1" customHeight="1" x14ac:dyDescent="0.3">
      <c r="A7" s="403" t="s">
        <v>68</v>
      </c>
      <c r="B7" s="48"/>
      <c r="C7" s="49"/>
    </row>
    <row r="8" spans="1:16380" ht="23.1" customHeight="1" x14ac:dyDescent="0.3">
      <c r="A8" s="403" t="s">
        <v>69</v>
      </c>
      <c r="B8" s="48"/>
      <c r="C8" s="49"/>
    </row>
    <row r="9" spans="1:16380" ht="23.1" customHeight="1" x14ac:dyDescent="0.3">
      <c r="A9" s="403" t="s">
        <v>70</v>
      </c>
      <c r="B9" s="48"/>
      <c r="C9" s="49"/>
    </row>
    <row r="10" spans="1:16380" ht="23.1" customHeight="1" x14ac:dyDescent="0.3">
      <c r="A10" s="403" t="s">
        <v>71</v>
      </c>
      <c r="B10" s="48"/>
      <c r="C10" s="49"/>
    </row>
    <row r="11" spans="1:16380" ht="23.1" customHeight="1" x14ac:dyDescent="0.3">
      <c r="A11" s="403" t="str">
        <f>CONCATENATE("Otro 1: ",C11)</f>
        <v xml:space="preserve">Otro 1: </v>
      </c>
      <c r="B11" s="48"/>
      <c r="C11" s="49"/>
    </row>
    <row r="12" spans="1:16380" ht="23.1" customHeight="1" x14ac:dyDescent="0.3">
      <c r="A12" s="403" t="str">
        <f>CONCATENATE("Otro 2: ",C12)</f>
        <v xml:space="preserve">Otro 2: </v>
      </c>
      <c r="B12" s="48"/>
      <c r="C12" s="49"/>
    </row>
    <row r="13" spans="1:16380" ht="23.1" customHeight="1" x14ac:dyDescent="0.3">
      <c r="A13" s="403" t="str">
        <f>CONCATENATE("Otro 3: ",C13)</f>
        <v xml:space="preserve">Otro 3: </v>
      </c>
      <c r="B13" s="48"/>
      <c r="C13" s="49"/>
    </row>
    <row r="14" spans="1:16380" ht="23.1" customHeight="1" x14ac:dyDescent="0.3">
      <c r="A14" s="403" t="s">
        <v>72</v>
      </c>
      <c r="B14" s="48"/>
      <c r="C14" s="49"/>
    </row>
    <row r="15" spans="1:16380" ht="23.1" customHeight="1" x14ac:dyDescent="0.3">
      <c r="A15" s="403" t="s">
        <v>73</v>
      </c>
      <c r="B15" s="48"/>
      <c r="C15" s="49"/>
    </row>
    <row r="16" spans="1:16380" ht="38.1" customHeight="1" x14ac:dyDescent="0.3">
      <c r="A16" s="404" t="s">
        <v>74</v>
      </c>
      <c r="B16" s="48"/>
      <c r="C16" s="49"/>
    </row>
    <row r="17" spans="1:4" ht="23.1" customHeight="1" x14ac:dyDescent="0.3">
      <c r="A17" s="404" t="s">
        <v>75</v>
      </c>
      <c r="B17" s="50"/>
      <c r="C17" s="49"/>
    </row>
    <row r="18" spans="1:4" ht="23.1" customHeight="1" x14ac:dyDescent="0.3">
      <c r="A18" s="404" t="s">
        <v>76</v>
      </c>
      <c r="B18" s="50"/>
      <c r="C18" s="49"/>
    </row>
    <row r="19" spans="1:4" ht="23.1" customHeight="1" x14ac:dyDescent="0.3">
      <c r="A19" s="404" t="s">
        <v>77</v>
      </c>
      <c r="B19" s="51"/>
      <c r="C19" s="49"/>
      <c r="D19" s="208" t="s">
        <v>78</v>
      </c>
    </row>
    <row r="20" spans="1:4" ht="23.1" customHeight="1" x14ac:dyDescent="0.3">
      <c r="A20" s="404" t="s">
        <v>79</v>
      </c>
      <c r="B20" s="51"/>
      <c r="C20" s="49"/>
      <c r="D20" s="208" t="s">
        <v>80</v>
      </c>
    </row>
    <row r="21" spans="1:4" ht="23.1" customHeight="1" x14ac:dyDescent="0.3">
      <c r="A21" s="404" t="s">
        <v>81</v>
      </c>
      <c r="B21" s="51"/>
      <c r="C21" s="49"/>
      <c r="D21" s="208" t="s">
        <v>82</v>
      </c>
    </row>
    <row r="22" spans="1:4" ht="23.1" customHeight="1" x14ac:dyDescent="0.3">
      <c r="A22" s="404" t="str">
        <f>CONCATENATE("Precio de venta por quintal Uva  ",Año_Inicial)</f>
        <v>Precio de venta por quintal Uva  2023</v>
      </c>
      <c r="B22" s="48">
        <v>150</v>
      </c>
      <c r="C22" s="49"/>
    </row>
    <row r="23" spans="1:4" ht="23.1" customHeight="1" x14ac:dyDescent="0.3">
      <c r="A23" s="404" t="str">
        <f>CONCATENATE("Precio de venta por quintal Uva  ",Año_Inicial+1)</f>
        <v>Precio de venta por quintal Uva  2024</v>
      </c>
      <c r="B23" s="48"/>
      <c r="C23" s="49"/>
    </row>
    <row r="24" spans="1:4" ht="23.1" customHeight="1" x14ac:dyDescent="0.3">
      <c r="A24" s="404" t="str">
        <f>CONCATENATE("Precio de venta por quintal Uva  ",Año_Inicial+2)</f>
        <v>Precio de venta por quintal Uva  2025</v>
      </c>
      <c r="B24" s="48"/>
      <c r="C24" s="49"/>
    </row>
    <row r="25" spans="1:4" ht="23.1" customHeight="1" x14ac:dyDescent="0.3">
      <c r="A25" s="404" t="str">
        <f>CONCATENATE("Precio de venta por quintal Uva  ",Año_Inicial+3)</f>
        <v>Precio de venta por quintal Uva  2026</v>
      </c>
      <c r="B25" s="48"/>
      <c r="C25" s="49"/>
    </row>
    <row r="26" spans="1:4" ht="23.1" customHeight="1" x14ac:dyDescent="0.3">
      <c r="A26" s="404" t="str">
        <f>CONCATENATE("Precio de venta por quintal Uva  ",Año_Inicial+4)</f>
        <v>Precio de venta por quintal Uva  2027</v>
      </c>
      <c r="B26" s="48"/>
      <c r="C26" s="49"/>
    </row>
    <row r="27" spans="1:4" ht="23.1" customHeight="1" x14ac:dyDescent="0.3">
      <c r="A27" s="404" t="str">
        <f>CONCATENATE("Precio de venta por quintal Uva  ",Año_Inicial+5)</f>
        <v>Precio de venta por quintal Uva  2028</v>
      </c>
      <c r="B27" s="48"/>
      <c r="C27" s="49"/>
    </row>
    <row r="28" spans="1:4" ht="23.1" customHeight="1" x14ac:dyDescent="0.3">
      <c r="A28" s="404" t="str">
        <f>CONCATENATE("Precio de venta por quintal Uva  ",Año_Inicial+6)</f>
        <v>Precio de venta por quintal Uva  2029</v>
      </c>
      <c r="B28" s="48"/>
      <c r="C28" s="49"/>
    </row>
    <row r="29" spans="1:4" ht="23.1" customHeight="1" x14ac:dyDescent="0.3">
      <c r="A29" s="404" t="str">
        <f>CONCATENATE("Precio de venta por quintal Uva  ",Año_Inicial+7)</f>
        <v>Precio de venta por quintal Uva  2030</v>
      </c>
      <c r="B29" s="48"/>
      <c r="C29" s="49"/>
    </row>
    <row r="30" spans="1:4" ht="23.1" customHeight="1" x14ac:dyDescent="0.3">
      <c r="A30" s="404" t="str">
        <f>CONCATENATE("Precio de venta por quintal Uva  ",Año_Inicial+8)</f>
        <v>Precio de venta por quintal Uva  2031</v>
      </c>
      <c r="B30" s="48"/>
      <c r="C30" s="49"/>
    </row>
    <row r="31" spans="1:4" ht="23.1" customHeight="1" x14ac:dyDescent="0.3">
      <c r="A31" s="404" t="str">
        <f>CONCATENATE("Precio de venta por quintal Uva  ",Año_Inicial+9)</f>
        <v>Precio de venta por quintal Uva  2032</v>
      </c>
      <c r="B31" s="48"/>
      <c r="C31" s="49"/>
    </row>
    <row r="32" spans="1:4" ht="23.1" customHeight="1" x14ac:dyDescent="0.3">
      <c r="A32" s="404" t="str">
        <f>CONCATENATE("Precio de venta por quintal Uva  ",Año_Inicial+10)</f>
        <v>Precio de venta por quintal Uva  2033</v>
      </c>
      <c r="B32" s="48"/>
      <c r="C32" s="49"/>
    </row>
    <row r="33" spans="1:4" ht="23.1" customHeight="1" x14ac:dyDescent="0.3">
      <c r="A33" s="404" t="str">
        <f>CONCATENATE("Precio de venta por quintal Uva  ",Año_Inicial+11)</f>
        <v>Precio de venta por quintal Uva  2034</v>
      </c>
      <c r="B33" s="48"/>
      <c r="C33" s="49"/>
    </row>
    <row r="34" spans="1:4" ht="23.1" customHeight="1" x14ac:dyDescent="0.3">
      <c r="A34" s="404" t="s">
        <v>83</v>
      </c>
      <c r="B34" s="48"/>
      <c r="C34" s="49"/>
    </row>
    <row r="35" spans="1:4" ht="23.1" customHeight="1" x14ac:dyDescent="0.3">
      <c r="A35" s="404" t="s">
        <v>84</v>
      </c>
      <c r="B35" s="48"/>
      <c r="C35" s="49"/>
    </row>
    <row r="36" spans="1:4" ht="23.1" customHeight="1" x14ac:dyDescent="0.3">
      <c r="A36" s="404" t="str">
        <f>CONCATENATE("Inflación anual ",Año_Inicial+1)</f>
        <v>Inflación anual 2024</v>
      </c>
      <c r="B36" s="52">
        <v>5.5399999999999998E-2</v>
      </c>
      <c r="C36" s="49"/>
      <c r="D36" s="194">
        <f>1+B36</f>
        <v>1.0553999999999999</v>
      </c>
    </row>
    <row r="37" spans="1:4" ht="23.1" customHeight="1" x14ac:dyDescent="0.3">
      <c r="A37" s="404" t="str">
        <f>CONCATENATE("Inflación anual ",Año_Inicial+2)</f>
        <v>Inflación anual 2025</v>
      </c>
      <c r="B37" s="52">
        <v>4.3999999999999997E-2</v>
      </c>
      <c r="C37" s="49"/>
      <c r="D37" s="194">
        <f t="shared" ref="D37:D44" si="0">D36*(1+B37)</f>
        <v>1.1018375999999999</v>
      </c>
    </row>
    <row r="38" spans="1:4" ht="23.1" customHeight="1" x14ac:dyDescent="0.3">
      <c r="A38" s="404" t="str">
        <f>CONCATENATE("Inflación anual ",Año_Inicial+3)</f>
        <v>Inflación anual 2026</v>
      </c>
      <c r="B38" s="52">
        <v>3.9800000000000002E-2</v>
      </c>
      <c r="C38" s="49"/>
      <c r="D38" s="194">
        <f t="shared" si="0"/>
        <v>1.14569073648</v>
      </c>
    </row>
    <row r="39" spans="1:4" ht="23.1" customHeight="1" x14ac:dyDescent="0.3">
      <c r="A39" s="404" t="str">
        <f>CONCATENATE("Inflación anual ",Año_Inicial+4)</f>
        <v>Inflación anual 2027</v>
      </c>
      <c r="B39" s="52">
        <v>3.9699999999999999E-2</v>
      </c>
      <c r="C39" s="49"/>
      <c r="D39" s="194">
        <f t="shared" si="0"/>
        <v>1.1911746587182561</v>
      </c>
    </row>
    <row r="40" spans="1:4" ht="23.1" customHeight="1" x14ac:dyDescent="0.3">
      <c r="A40" s="404" t="str">
        <f>CONCATENATE("Inflación anual ",Año_Inicial+5)</f>
        <v>Inflación anual 2028</v>
      </c>
      <c r="B40" s="52">
        <v>3.9699999999999999E-2</v>
      </c>
      <c r="C40" s="49"/>
      <c r="D40" s="194">
        <f t="shared" si="0"/>
        <v>1.238464292669371</v>
      </c>
    </row>
    <row r="41" spans="1:4" ht="23.1" customHeight="1" x14ac:dyDescent="0.3">
      <c r="A41" s="404" t="str">
        <f>CONCATENATE("Inflación anual ",Año_Inicial+6)</f>
        <v>Inflación anual 2029</v>
      </c>
      <c r="B41" s="52">
        <v>3.9699999999999999E-2</v>
      </c>
      <c r="C41" s="49"/>
      <c r="D41" s="194">
        <f t="shared" si="0"/>
        <v>1.2876313250883451</v>
      </c>
    </row>
    <row r="42" spans="1:4" ht="23.1" customHeight="1" x14ac:dyDescent="0.3">
      <c r="A42" s="404" t="str">
        <f>CONCATENATE("Inflación anual ",Año_Inicial+7)</f>
        <v>Inflación anual 2030</v>
      </c>
      <c r="B42" s="52">
        <v>3.9699999999999999E-2</v>
      </c>
      <c r="C42" s="49"/>
      <c r="D42" s="194">
        <f t="shared" si="0"/>
        <v>1.3387502886943525</v>
      </c>
    </row>
    <row r="43" spans="1:4" ht="23.1" customHeight="1" x14ac:dyDescent="0.3">
      <c r="A43" s="404" t="str">
        <f>CONCATENATE("Inflación anual ",Año_Inicial+8)</f>
        <v>Inflación anual 2031</v>
      </c>
      <c r="B43" s="52">
        <v>3.9699999999999999E-2</v>
      </c>
      <c r="C43" s="49"/>
      <c r="D43" s="194">
        <f t="shared" si="0"/>
        <v>1.3918986751555185</v>
      </c>
    </row>
    <row r="44" spans="1:4" ht="23.1" customHeight="1" x14ac:dyDescent="0.3">
      <c r="A44" s="404" t="str">
        <f>CONCATENATE("Inflación anual ",Año_Inicial+9)</f>
        <v>Inflación anual 2032</v>
      </c>
      <c r="B44" s="52">
        <v>3.9699999999999999E-2</v>
      </c>
      <c r="C44" s="49"/>
      <c r="D44" s="194">
        <f t="shared" si="0"/>
        <v>1.4471570525591926</v>
      </c>
    </row>
    <row r="45" spans="1:4" ht="23.1" customHeight="1" x14ac:dyDescent="0.3">
      <c r="A45" s="404" t="str">
        <f>CONCATENATE("Inflación anual ",Año_Inicial+10)</f>
        <v>Inflación anual 2033</v>
      </c>
      <c r="B45" s="52">
        <v>3.9699999999999999E-2</v>
      </c>
      <c r="C45" s="49"/>
      <c r="D45" s="194">
        <f t="shared" ref="D45:D46" si="1">D44*(1+B45)</f>
        <v>1.5046091875457925</v>
      </c>
    </row>
    <row r="46" spans="1:4" ht="23.1" customHeight="1" thickBot="1" x14ac:dyDescent="0.35">
      <c r="A46" s="405" t="str">
        <f>CONCATENATE("Inflación anual ",Año_Inicial+11)</f>
        <v>Inflación anual 2034</v>
      </c>
      <c r="B46" s="53">
        <v>3.9699999999999999E-2</v>
      </c>
      <c r="C46" s="54"/>
      <c r="D46" s="194">
        <f t="shared" si="1"/>
        <v>1.5643421722913606</v>
      </c>
    </row>
    <row r="47" spans="1:4" x14ac:dyDescent="0.3">
      <c r="A47" s="424" t="s">
        <v>85</v>
      </c>
      <c r="B47" s="424"/>
      <c r="C47" s="424"/>
      <c r="D47" s="194"/>
    </row>
    <row r="49" spans="1:1" x14ac:dyDescent="0.3">
      <c r="A49" s="195"/>
    </row>
  </sheetData>
  <sheetProtection algorithmName="SHA-512" hashValue="9U6uT3uq0o4HQV46MWSeXPnoj2X6ch9Hc8XBDHHVp0kTLHNC0d72JV4yruqV2BMlEKD/t51QVSBOjehlPinzpQ==" saltValue="V4VwSL8BT71U1J1/vs1Y6A==" spinCount="100000" sheet="1" objects="1" scenarios="1"/>
  <mergeCells count="4096">
    <mergeCell ref="XEO2:XER2"/>
    <mergeCell ref="XES2:XEV2"/>
    <mergeCell ref="XEW2:XEZ2"/>
    <mergeCell ref="XDQ2:XDT2"/>
    <mergeCell ref="XDU2:XDX2"/>
    <mergeCell ref="XDY2:XEB2"/>
    <mergeCell ref="XEC2:XEF2"/>
    <mergeCell ref="XEG2:XEJ2"/>
    <mergeCell ref="XEK2:XEN2"/>
    <mergeCell ref="XCS2:XCV2"/>
    <mergeCell ref="XCW2:XCZ2"/>
    <mergeCell ref="XDA2:XDD2"/>
    <mergeCell ref="XDE2:XDH2"/>
    <mergeCell ref="XDI2:XDL2"/>
    <mergeCell ref="XDM2:XDP2"/>
    <mergeCell ref="XBU2:XBX2"/>
    <mergeCell ref="XBY2:XCB2"/>
    <mergeCell ref="XCC2:XCF2"/>
    <mergeCell ref="XCG2:XCJ2"/>
    <mergeCell ref="XCK2:XCN2"/>
    <mergeCell ref="XCO2:XCR2"/>
    <mergeCell ref="XAW2:XAZ2"/>
    <mergeCell ref="XBA2:XBD2"/>
    <mergeCell ref="XBE2:XBH2"/>
    <mergeCell ref="XBI2:XBL2"/>
    <mergeCell ref="XBM2:XBP2"/>
    <mergeCell ref="XBQ2:XBT2"/>
    <mergeCell ref="WZY2:XAB2"/>
    <mergeCell ref="XAC2:XAF2"/>
    <mergeCell ref="XAG2:XAJ2"/>
    <mergeCell ref="XAK2:XAN2"/>
    <mergeCell ref="XAO2:XAR2"/>
    <mergeCell ref="XAS2:XAV2"/>
    <mergeCell ref="WZA2:WZD2"/>
    <mergeCell ref="WZE2:WZH2"/>
    <mergeCell ref="WZI2:WZL2"/>
    <mergeCell ref="WZM2:WZP2"/>
    <mergeCell ref="WZQ2:WZT2"/>
    <mergeCell ref="WZU2:WZX2"/>
    <mergeCell ref="WYC2:WYF2"/>
    <mergeCell ref="WYG2:WYJ2"/>
    <mergeCell ref="WYK2:WYN2"/>
    <mergeCell ref="WYO2:WYR2"/>
    <mergeCell ref="WYS2:WYV2"/>
    <mergeCell ref="WYW2:WYZ2"/>
    <mergeCell ref="WXE2:WXH2"/>
    <mergeCell ref="WXI2:WXL2"/>
    <mergeCell ref="WXM2:WXP2"/>
    <mergeCell ref="WXQ2:WXT2"/>
    <mergeCell ref="WXU2:WXX2"/>
    <mergeCell ref="WXY2:WYB2"/>
    <mergeCell ref="WWG2:WWJ2"/>
    <mergeCell ref="WWK2:WWN2"/>
    <mergeCell ref="WWO2:WWR2"/>
    <mergeCell ref="WWS2:WWV2"/>
    <mergeCell ref="WWW2:WWZ2"/>
    <mergeCell ref="WXA2:WXD2"/>
    <mergeCell ref="WVI2:WVL2"/>
    <mergeCell ref="WVM2:WVP2"/>
    <mergeCell ref="WVQ2:WVT2"/>
    <mergeCell ref="WVU2:WVX2"/>
    <mergeCell ref="WVY2:WWB2"/>
    <mergeCell ref="WWC2:WWF2"/>
    <mergeCell ref="WUK2:WUN2"/>
    <mergeCell ref="WUO2:WUR2"/>
    <mergeCell ref="WUS2:WUV2"/>
    <mergeCell ref="WUW2:WUZ2"/>
    <mergeCell ref="WVA2:WVD2"/>
    <mergeCell ref="WVE2:WVH2"/>
    <mergeCell ref="WTM2:WTP2"/>
    <mergeCell ref="WTQ2:WTT2"/>
    <mergeCell ref="WTU2:WTX2"/>
    <mergeCell ref="WTY2:WUB2"/>
    <mergeCell ref="WUC2:WUF2"/>
    <mergeCell ref="WUG2:WUJ2"/>
    <mergeCell ref="WSO2:WSR2"/>
    <mergeCell ref="WSS2:WSV2"/>
    <mergeCell ref="WSW2:WSZ2"/>
    <mergeCell ref="WTA2:WTD2"/>
    <mergeCell ref="WTE2:WTH2"/>
    <mergeCell ref="WTI2:WTL2"/>
    <mergeCell ref="WRQ2:WRT2"/>
    <mergeCell ref="WRU2:WRX2"/>
    <mergeCell ref="WRY2:WSB2"/>
    <mergeCell ref="WSC2:WSF2"/>
    <mergeCell ref="WSG2:WSJ2"/>
    <mergeCell ref="WSK2:WSN2"/>
    <mergeCell ref="WQS2:WQV2"/>
    <mergeCell ref="WQW2:WQZ2"/>
    <mergeCell ref="WRA2:WRD2"/>
    <mergeCell ref="WRE2:WRH2"/>
    <mergeCell ref="WRI2:WRL2"/>
    <mergeCell ref="WRM2:WRP2"/>
    <mergeCell ref="WPU2:WPX2"/>
    <mergeCell ref="WPY2:WQB2"/>
    <mergeCell ref="WQC2:WQF2"/>
    <mergeCell ref="WQG2:WQJ2"/>
    <mergeCell ref="WQK2:WQN2"/>
    <mergeCell ref="WQO2:WQR2"/>
    <mergeCell ref="WOW2:WOZ2"/>
    <mergeCell ref="WPA2:WPD2"/>
    <mergeCell ref="WPE2:WPH2"/>
    <mergeCell ref="WPI2:WPL2"/>
    <mergeCell ref="WPM2:WPP2"/>
    <mergeCell ref="WPQ2:WPT2"/>
    <mergeCell ref="WNY2:WOB2"/>
    <mergeCell ref="WOC2:WOF2"/>
    <mergeCell ref="WOG2:WOJ2"/>
    <mergeCell ref="WOK2:WON2"/>
    <mergeCell ref="WOO2:WOR2"/>
    <mergeCell ref="WOS2:WOV2"/>
    <mergeCell ref="WNA2:WND2"/>
    <mergeCell ref="WNE2:WNH2"/>
    <mergeCell ref="WNI2:WNL2"/>
    <mergeCell ref="WNM2:WNP2"/>
    <mergeCell ref="WNQ2:WNT2"/>
    <mergeCell ref="WNU2:WNX2"/>
    <mergeCell ref="WMC2:WMF2"/>
    <mergeCell ref="WMG2:WMJ2"/>
    <mergeCell ref="WMK2:WMN2"/>
    <mergeCell ref="WMO2:WMR2"/>
    <mergeCell ref="WMS2:WMV2"/>
    <mergeCell ref="WMW2:WMZ2"/>
    <mergeCell ref="WLE2:WLH2"/>
    <mergeCell ref="WLI2:WLL2"/>
    <mergeCell ref="WLM2:WLP2"/>
    <mergeCell ref="WLQ2:WLT2"/>
    <mergeCell ref="WLU2:WLX2"/>
    <mergeCell ref="WLY2:WMB2"/>
    <mergeCell ref="WKG2:WKJ2"/>
    <mergeCell ref="WKK2:WKN2"/>
    <mergeCell ref="WKO2:WKR2"/>
    <mergeCell ref="WKS2:WKV2"/>
    <mergeCell ref="WKW2:WKZ2"/>
    <mergeCell ref="WLA2:WLD2"/>
    <mergeCell ref="WJI2:WJL2"/>
    <mergeCell ref="WJM2:WJP2"/>
    <mergeCell ref="WJQ2:WJT2"/>
    <mergeCell ref="WJU2:WJX2"/>
    <mergeCell ref="WJY2:WKB2"/>
    <mergeCell ref="WKC2:WKF2"/>
    <mergeCell ref="WIK2:WIN2"/>
    <mergeCell ref="WIO2:WIR2"/>
    <mergeCell ref="WIS2:WIV2"/>
    <mergeCell ref="WIW2:WIZ2"/>
    <mergeCell ref="WJA2:WJD2"/>
    <mergeCell ref="WJE2:WJH2"/>
    <mergeCell ref="WHM2:WHP2"/>
    <mergeCell ref="WHQ2:WHT2"/>
    <mergeCell ref="WHU2:WHX2"/>
    <mergeCell ref="WHY2:WIB2"/>
    <mergeCell ref="WIC2:WIF2"/>
    <mergeCell ref="WIG2:WIJ2"/>
    <mergeCell ref="WGO2:WGR2"/>
    <mergeCell ref="WGS2:WGV2"/>
    <mergeCell ref="WGW2:WGZ2"/>
    <mergeCell ref="WHA2:WHD2"/>
    <mergeCell ref="WHE2:WHH2"/>
    <mergeCell ref="WHI2:WHL2"/>
    <mergeCell ref="WFQ2:WFT2"/>
    <mergeCell ref="WFU2:WFX2"/>
    <mergeCell ref="WFY2:WGB2"/>
    <mergeCell ref="WGC2:WGF2"/>
    <mergeCell ref="WGG2:WGJ2"/>
    <mergeCell ref="WGK2:WGN2"/>
    <mergeCell ref="WES2:WEV2"/>
    <mergeCell ref="WEW2:WEZ2"/>
    <mergeCell ref="WFA2:WFD2"/>
    <mergeCell ref="WFE2:WFH2"/>
    <mergeCell ref="WFI2:WFL2"/>
    <mergeCell ref="WFM2:WFP2"/>
    <mergeCell ref="WDU2:WDX2"/>
    <mergeCell ref="WDY2:WEB2"/>
    <mergeCell ref="WEC2:WEF2"/>
    <mergeCell ref="WEG2:WEJ2"/>
    <mergeCell ref="WEK2:WEN2"/>
    <mergeCell ref="WEO2:WER2"/>
    <mergeCell ref="WCW2:WCZ2"/>
    <mergeCell ref="WDA2:WDD2"/>
    <mergeCell ref="WDE2:WDH2"/>
    <mergeCell ref="WDI2:WDL2"/>
    <mergeCell ref="WDM2:WDP2"/>
    <mergeCell ref="WDQ2:WDT2"/>
    <mergeCell ref="WBY2:WCB2"/>
    <mergeCell ref="WCC2:WCF2"/>
    <mergeCell ref="WCG2:WCJ2"/>
    <mergeCell ref="WCK2:WCN2"/>
    <mergeCell ref="WCO2:WCR2"/>
    <mergeCell ref="WCS2:WCV2"/>
    <mergeCell ref="WBA2:WBD2"/>
    <mergeCell ref="WBE2:WBH2"/>
    <mergeCell ref="WBI2:WBL2"/>
    <mergeCell ref="WBM2:WBP2"/>
    <mergeCell ref="WBQ2:WBT2"/>
    <mergeCell ref="WBU2:WBX2"/>
    <mergeCell ref="WAC2:WAF2"/>
    <mergeCell ref="WAG2:WAJ2"/>
    <mergeCell ref="WAK2:WAN2"/>
    <mergeCell ref="WAO2:WAR2"/>
    <mergeCell ref="WAS2:WAV2"/>
    <mergeCell ref="WAW2:WAZ2"/>
    <mergeCell ref="VZE2:VZH2"/>
    <mergeCell ref="VZI2:VZL2"/>
    <mergeCell ref="VZM2:VZP2"/>
    <mergeCell ref="VZQ2:VZT2"/>
    <mergeCell ref="VZU2:VZX2"/>
    <mergeCell ref="VZY2:WAB2"/>
    <mergeCell ref="VYG2:VYJ2"/>
    <mergeCell ref="VYK2:VYN2"/>
    <mergeCell ref="VYO2:VYR2"/>
    <mergeCell ref="VYS2:VYV2"/>
    <mergeCell ref="VYW2:VYZ2"/>
    <mergeCell ref="VZA2:VZD2"/>
    <mergeCell ref="VXI2:VXL2"/>
    <mergeCell ref="VXM2:VXP2"/>
    <mergeCell ref="VXQ2:VXT2"/>
    <mergeCell ref="VXU2:VXX2"/>
    <mergeCell ref="VXY2:VYB2"/>
    <mergeCell ref="VYC2:VYF2"/>
    <mergeCell ref="VWK2:VWN2"/>
    <mergeCell ref="VWO2:VWR2"/>
    <mergeCell ref="VWS2:VWV2"/>
    <mergeCell ref="VWW2:VWZ2"/>
    <mergeCell ref="VXA2:VXD2"/>
    <mergeCell ref="VXE2:VXH2"/>
    <mergeCell ref="VVM2:VVP2"/>
    <mergeCell ref="VVQ2:VVT2"/>
    <mergeCell ref="VVU2:VVX2"/>
    <mergeCell ref="VVY2:VWB2"/>
    <mergeCell ref="VWC2:VWF2"/>
    <mergeCell ref="VWG2:VWJ2"/>
    <mergeCell ref="VUO2:VUR2"/>
    <mergeCell ref="VUS2:VUV2"/>
    <mergeCell ref="VUW2:VUZ2"/>
    <mergeCell ref="VVA2:VVD2"/>
    <mergeCell ref="VVE2:VVH2"/>
    <mergeCell ref="VVI2:VVL2"/>
    <mergeCell ref="VTQ2:VTT2"/>
    <mergeCell ref="VTU2:VTX2"/>
    <mergeCell ref="VTY2:VUB2"/>
    <mergeCell ref="VUC2:VUF2"/>
    <mergeCell ref="VUG2:VUJ2"/>
    <mergeCell ref="VUK2:VUN2"/>
    <mergeCell ref="VSS2:VSV2"/>
    <mergeCell ref="VSW2:VSZ2"/>
    <mergeCell ref="VTA2:VTD2"/>
    <mergeCell ref="VTE2:VTH2"/>
    <mergeCell ref="VTI2:VTL2"/>
    <mergeCell ref="VTM2:VTP2"/>
    <mergeCell ref="VRU2:VRX2"/>
    <mergeCell ref="VRY2:VSB2"/>
    <mergeCell ref="VSC2:VSF2"/>
    <mergeCell ref="VSG2:VSJ2"/>
    <mergeCell ref="VSK2:VSN2"/>
    <mergeCell ref="VSO2:VSR2"/>
    <mergeCell ref="VQW2:VQZ2"/>
    <mergeCell ref="VRA2:VRD2"/>
    <mergeCell ref="VRE2:VRH2"/>
    <mergeCell ref="VRI2:VRL2"/>
    <mergeCell ref="VRM2:VRP2"/>
    <mergeCell ref="VRQ2:VRT2"/>
    <mergeCell ref="VPY2:VQB2"/>
    <mergeCell ref="VQC2:VQF2"/>
    <mergeCell ref="VQG2:VQJ2"/>
    <mergeCell ref="VQK2:VQN2"/>
    <mergeCell ref="VQO2:VQR2"/>
    <mergeCell ref="VQS2:VQV2"/>
    <mergeCell ref="VPA2:VPD2"/>
    <mergeCell ref="VPE2:VPH2"/>
    <mergeCell ref="VPI2:VPL2"/>
    <mergeCell ref="VPM2:VPP2"/>
    <mergeCell ref="VPQ2:VPT2"/>
    <mergeCell ref="VPU2:VPX2"/>
    <mergeCell ref="VOC2:VOF2"/>
    <mergeCell ref="VOG2:VOJ2"/>
    <mergeCell ref="VOK2:VON2"/>
    <mergeCell ref="VOO2:VOR2"/>
    <mergeCell ref="VOS2:VOV2"/>
    <mergeCell ref="VOW2:VOZ2"/>
    <mergeCell ref="VNE2:VNH2"/>
    <mergeCell ref="VNI2:VNL2"/>
    <mergeCell ref="VNM2:VNP2"/>
    <mergeCell ref="VNQ2:VNT2"/>
    <mergeCell ref="VNU2:VNX2"/>
    <mergeCell ref="VNY2:VOB2"/>
    <mergeCell ref="VMG2:VMJ2"/>
    <mergeCell ref="VMK2:VMN2"/>
    <mergeCell ref="VMO2:VMR2"/>
    <mergeCell ref="VMS2:VMV2"/>
    <mergeCell ref="VMW2:VMZ2"/>
    <mergeCell ref="VNA2:VND2"/>
    <mergeCell ref="VLI2:VLL2"/>
    <mergeCell ref="VLM2:VLP2"/>
    <mergeCell ref="VLQ2:VLT2"/>
    <mergeCell ref="VLU2:VLX2"/>
    <mergeCell ref="VLY2:VMB2"/>
    <mergeCell ref="VMC2:VMF2"/>
    <mergeCell ref="VKK2:VKN2"/>
    <mergeCell ref="VKO2:VKR2"/>
    <mergeCell ref="VKS2:VKV2"/>
    <mergeCell ref="VKW2:VKZ2"/>
    <mergeCell ref="VLA2:VLD2"/>
    <mergeCell ref="VLE2:VLH2"/>
    <mergeCell ref="VJM2:VJP2"/>
    <mergeCell ref="VJQ2:VJT2"/>
    <mergeCell ref="VJU2:VJX2"/>
    <mergeCell ref="VJY2:VKB2"/>
    <mergeCell ref="VKC2:VKF2"/>
    <mergeCell ref="VKG2:VKJ2"/>
    <mergeCell ref="VIO2:VIR2"/>
    <mergeCell ref="VIS2:VIV2"/>
    <mergeCell ref="VIW2:VIZ2"/>
    <mergeCell ref="VJA2:VJD2"/>
    <mergeCell ref="VJE2:VJH2"/>
    <mergeCell ref="VJI2:VJL2"/>
    <mergeCell ref="VHQ2:VHT2"/>
    <mergeCell ref="VHU2:VHX2"/>
    <mergeCell ref="VHY2:VIB2"/>
    <mergeCell ref="VIC2:VIF2"/>
    <mergeCell ref="VIG2:VIJ2"/>
    <mergeCell ref="VIK2:VIN2"/>
    <mergeCell ref="VGS2:VGV2"/>
    <mergeCell ref="VGW2:VGZ2"/>
    <mergeCell ref="VHA2:VHD2"/>
    <mergeCell ref="VHE2:VHH2"/>
    <mergeCell ref="VHI2:VHL2"/>
    <mergeCell ref="VHM2:VHP2"/>
    <mergeCell ref="VFU2:VFX2"/>
    <mergeCell ref="VFY2:VGB2"/>
    <mergeCell ref="VGC2:VGF2"/>
    <mergeCell ref="VGG2:VGJ2"/>
    <mergeCell ref="VGK2:VGN2"/>
    <mergeCell ref="VGO2:VGR2"/>
    <mergeCell ref="VEW2:VEZ2"/>
    <mergeCell ref="VFA2:VFD2"/>
    <mergeCell ref="VFE2:VFH2"/>
    <mergeCell ref="VFI2:VFL2"/>
    <mergeCell ref="VFM2:VFP2"/>
    <mergeCell ref="VFQ2:VFT2"/>
    <mergeCell ref="VDY2:VEB2"/>
    <mergeCell ref="VEC2:VEF2"/>
    <mergeCell ref="VEG2:VEJ2"/>
    <mergeCell ref="VEK2:VEN2"/>
    <mergeCell ref="VEO2:VER2"/>
    <mergeCell ref="VES2:VEV2"/>
    <mergeCell ref="VDA2:VDD2"/>
    <mergeCell ref="VDE2:VDH2"/>
    <mergeCell ref="VDI2:VDL2"/>
    <mergeCell ref="VDM2:VDP2"/>
    <mergeCell ref="VDQ2:VDT2"/>
    <mergeCell ref="VDU2:VDX2"/>
    <mergeCell ref="VCC2:VCF2"/>
    <mergeCell ref="VCG2:VCJ2"/>
    <mergeCell ref="VCK2:VCN2"/>
    <mergeCell ref="VCO2:VCR2"/>
    <mergeCell ref="VCS2:VCV2"/>
    <mergeCell ref="VCW2:VCZ2"/>
    <mergeCell ref="VBE2:VBH2"/>
    <mergeCell ref="VBI2:VBL2"/>
    <mergeCell ref="VBM2:VBP2"/>
    <mergeCell ref="VBQ2:VBT2"/>
    <mergeCell ref="VBU2:VBX2"/>
    <mergeCell ref="VBY2:VCB2"/>
    <mergeCell ref="VAG2:VAJ2"/>
    <mergeCell ref="VAK2:VAN2"/>
    <mergeCell ref="VAO2:VAR2"/>
    <mergeCell ref="VAS2:VAV2"/>
    <mergeCell ref="VAW2:VAZ2"/>
    <mergeCell ref="VBA2:VBD2"/>
    <mergeCell ref="UZI2:UZL2"/>
    <mergeCell ref="UZM2:UZP2"/>
    <mergeCell ref="UZQ2:UZT2"/>
    <mergeCell ref="UZU2:UZX2"/>
    <mergeCell ref="UZY2:VAB2"/>
    <mergeCell ref="VAC2:VAF2"/>
    <mergeCell ref="UYK2:UYN2"/>
    <mergeCell ref="UYO2:UYR2"/>
    <mergeCell ref="UYS2:UYV2"/>
    <mergeCell ref="UYW2:UYZ2"/>
    <mergeCell ref="UZA2:UZD2"/>
    <mergeCell ref="UZE2:UZH2"/>
    <mergeCell ref="UXM2:UXP2"/>
    <mergeCell ref="UXQ2:UXT2"/>
    <mergeCell ref="UXU2:UXX2"/>
    <mergeCell ref="UXY2:UYB2"/>
    <mergeCell ref="UYC2:UYF2"/>
    <mergeCell ref="UYG2:UYJ2"/>
    <mergeCell ref="UWO2:UWR2"/>
    <mergeCell ref="UWS2:UWV2"/>
    <mergeCell ref="UWW2:UWZ2"/>
    <mergeCell ref="UXA2:UXD2"/>
    <mergeCell ref="UXE2:UXH2"/>
    <mergeCell ref="UXI2:UXL2"/>
    <mergeCell ref="UVQ2:UVT2"/>
    <mergeCell ref="UVU2:UVX2"/>
    <mergeCell ref="UVY2:UWB2"/>
    <mergeCell ref="UWC2:UWF2"/>
    <mergeCell ref="UWG2:UWJ2"/>
    <mergeCell ref="UWK2:UWN2"/>
    <mergeCell ref="UUS2:UUV2"/>
    <mergeCell ref="UUW2:UUZ2"/>
    <mergeCell ref="UVA2:UVD2"/>
    <mergeCell ref="UVE2:UVH2"/>
    <mergeCell ref="UVI2:UVL2"/>
    <mergeCell ref="UVM2:UVP2"/>
    <mergeCell ref="UTU2:UTX2"/>
    <mergeCell ref="UTY2:UUB2"/>
    <mergeCell ref="UUC2:UUF2"/>
    <mergeCell ref="UUG2:UUJ2"/>
    <mergeCell ref="UUK2:UUN2"/>
    <mergeCell ref="UUO2:UUR2"/>
    <mergeCell ref="USW2:USZ2"/>
    <mergeCell ref="UTA2:UTD2"/>
    <mergeCell ref="UTE2:UTH2"/>
    <mergeCell ref="UTI2:UTL2"/>
    <mergeCell ref="UTM2:UTP2"/>
    <mergeCell ref="UTQ2:UTT2"/>
    <mergeCell ref="URY2:USB2"/>
    <mergeCell ref="USC2:USF2"/>
    <mergeCell ref="USG2:USJ2"/>
    <mergeCell ref="USK2:USN2"/>
    <mergeCell ref="USO2:USR2"/>
    <mergeCell ref="USS2:USV2"/>
    <mergeCell ref="URA2:URD2"/>
    <mergeCell ref="URE2:URH2"/>
    <mergeCell ref="URI2:URL2"/>
    <mergeCell ref="URM2:URP2"/>
    <mergeCell ref="URQ2:URT2"/>
    <mergeCell ref="URU2:URX2"/>
    <mergeCell ref="UQC2:UQF2"/>
    <mergeCell ref="UQG2:UQJ2"/>
    <mergeCell ref="UQK2:UQN2"/>
    <mergeCell ref="UQO2:UQR2"/>
    <mergeCell ref="UQS2:UQV2"/>
    <mergeCell ref="UQW2:UQZ2"/>
    <mergeCell ref="UPE2:UPH2"/>
    <mergeCell ref="UPI2:UPL2"/>
    <mergeCell ref="UPM2:UPP2"/>
    <mergeCell ref="UPQ2:UPT2"/>
    <mergeCell ref="UPU2:UPX2"/>
    <mergeCell ref="UPY2:UQB2"/>
    <mergeCell ref="UOG2:UOJ2"/>
    <mergeCell ref="UOK2:UON2"/>
    <mergeCell ref="UOO2:UOR2"/>
    <mergeCell ref="UOS2:UOV2"/>
    <mergeCell ref="UOW2:UOZ2"/>
    <mergeCell ref="UPA2:UPD2"/>
    <mergeCell ref="UNI2:UNL2"/>
    <mergeCell ref="UNM2:UNP2"/>
    <mergeCell ref="UNQ2:UNT2"/>
    <mergeCell ref="UNU2:UNX2"/>
    <mergeCell ref="UNY2:UOB2"/>
    <mergeCell ref="UOC2:UOF2"/>
    <mergeCell ref="UMK2:UMN2"/>
    <mergeCell ref="UMO2:UMR2"/>
    <mergeCell ref="UMS2:UMV2"/>
    <mergeCell ref="UMW2:UMZ2"/>
    <mergeCell ref="UNA2:UND2"/>
    <mergeCell ref="UNE2:UNH2"/>
    <mergeCell ref="ULM2:ULP2"/>
    <mergeCell ref="ULQ2:ULT2"/>
    <mergeCell ref="ULU2:ULX2"/>
    <mergeCell ref="ULY2:UMB2"/>
    <mergeCell ref="UMC2:UMF2"/>
    <mergeCell ref="UMG2:UMJ2"/>
    <mergeCell ref="UKO2:UKR2"/>
    <mergeCell ref="UKS2:UKV2"/>
    <mergeCell ref="UKW2:UKZ2"/>
    <mergeCell ref="ULA2:ULD2"/>
    <mergeCell ref="ULE2:ULH2"/>
    <mergeCell ref="ULI2:ULL2"/>
    <mergeCell ref="UJQ2:UJT2"/>
    <mergeCell ref="UJU2:UJX2"/>
    <mergeCell ref="UJY2:UKB2"/>
    <mergeCell ref="UKC2:UKF2"/>
    <mergeCell ref="UKG2:UKJ2"/>
    <mergeCell ref="UKK2:UKN2"/>
    <mergeCell ref="UIS2:UIV2"/>
    <mergeCell ref="UIW2:UIZ2"/>
    <mergeCell ref="UJA2:UJD2"/>
    <mergeCell ref="UJE2:UJH2"/>
    <mergeCell ref="UJI2:UJL2"/>
    <mergeCell ref="UJM2:UJP2"/>
    <mergeCell ref="UHU2:UHX2"/>
    <mergeCell ref="UHY2:UIB2"/>
    <mergeCell ref="UIC2:UIF2"/>
    <mergeCell ref="UIG2:UIJ2"/>
    <mergeCell ref="UIK2:UIN2"/>
    <mergeCell ref="UIO2:UIR2"/>
    <mergeCell ref="UGW2:UGZ2"/>
    <mergeCell ref="UHA2:UHD2"/>
    <mergeCell ref="UHE2:UHH2"/>
    <mergeCell ref="UHI2:UHL2"/>
    <mergeCell ref="UHM2:UHP2"/>
    <mergeCell ref="UHQ2:UHT2"/>
    <mergeCell ref="UFY2:UGB2"/>
    <mergeCell ref="UGC2:UGF2"/>
    <mergeCell ref="UGG2:UGJ2"/>
    <mergeCell ref="UGK2:UGN2"/>
    <mergeCell ref="UGO2:UGR2"/>
    <mergeCell ref="UGS2:UGV2"/>
    <mergeCell ref="UFA2:UFD2"/>
    <mergeCell ref="UFE2:UFH2"/>
    <mergeCell ref="UFI2:UFL2"/>
    <mergeCell ref="UFM2:UFP2"/>
    <mergeCell ref="UFQ2:UFT2"/>
    <mergeCell ref="UFU2:UFX2"/>
    <mergeCell ref="UEC2:UEF2"/>
    <mergeCell ref="UEG2:UEJ2"/>
    <mergeCell ref="UEK2:UEN2"/>
    <mergeCell ref="UEO2:UER2"/>
    <mergeCell ref="UES2:UEV2"/>
    <mergeCell ref="UEW2:UEZ2"/>
    <mergeCell ref="UDE2:UDH2"/>
    <mergeCell ref="UDI2:UDL2"/>
    <mergeCell ref="UDM2:UDP2"/>
    <mergeCell ref="UDQ2:UDT2"/>
    <mergeCell ref="UDU2:UDX2"/>
    <mergeCell ref="UDY2:UEB2"/>
    <mergeCell ref="UCG2:UCJ2"/>
    <mergeCell ref="UCK2:UCN2"/>
    <mergeCell ref="UCO2:UCR2"/>
    <mergeCell ref="UCS2:UCV2"/>
    <mergeCell ref="UCW2:UCZ2"/>
    <mergeCell ref="UDA2:UDD2"/>
    <mergeCell ref="UBI2:UBL2"/>
    <mergeCell ref="UBM2:UBP2"/>
    <mergeCell ref="UBQ2:UBT2"/>
    <mergeCell ref="UBU2:UBX2"/>
    <mergeCell ref="UBY2:UCB2"/>
    <mergeCell ref="UCC2:UCF2"/>
    <mergeCell ref="UAK2:UAN2"/>
    <mergeCell ref="UAO2:UAR2"/>
    <mergeCell ref="UAS2:UAV2"/>
    <mergeCell ref="UAW2:UAZ2"/>
    <mergeCell ref="UBA2:UBD2"/>
    <mergeCell ref="UBE2:UBH2"/>
    <mergeCell ref="TZM2:TZP2"/>
    <mergeCell ref="TZQ2:TZT2"/>
    <mergeCell ref="TZU2:TZX2"/>
    <mergeCell ref="TZY2:UAB2"/>
    <mergeCell ref="UAC2:UAF2"/>
    <mergeCell ref="UAG2:UAJ2"/>
    <mergeCell ref="TYO2:TYR2"/>
    <mergeCell ref="TYS2:TYV2"/>
    <mergeCell ref="TYW2:TYZ2"/>
    <mergeCell ref="TZA2:TZD2"/>
    <mergeCell ref="TZE2:TZH2"/>
    <mergeCell ref="TZI2:TZL2"/>
    <mergeCell ref="TXQ2:TXT2"/>
    <mergeCell ref="TXU2:TXX2"/>
    <mergeCell ref="TXY2:TYB2"/>
    <mergeCell ref="TYC2:TYF2"/>
    <mergeCell ref="TYG2:TYJ2"/>
    <mergeCell ref="TYK2:TYN2"/>
    <mergeCell ref="TWS2:TWV2"/>
    <mergeCell ref="TWW2:TWZ2"/>
    <mergeCell ref="TXA2:TXD2"/>
    <mergeCell ref="TXE2:TXH2"/>
    <mergeCell ref="TXI2:TXL2"/>
    <mergeCell ref="TXM2:TXP2"/>
    <mergeCell ref="TVU2:TVX2"/>
    <mergeCell ref="TVY2:TWB2"/>
    <mergeCell ref="TWC2:TWF2"/>
    <mergeCell ref="TWG2:TWJ2"/>
    <mergeCell ref="TWK2:TWN2"/>
    <mergeCell ref="TWO2:TWR2"/>
    <mergeCell ref="TUW2:TUZ2"/>
    <mergeCell ref="TVA2:TVD2"/>
    <mergeCell ref="TVE2:TVH2"/>
    <mergeCell ref="TVI2:TVL2"/>
    <mergeCell ref="TVM2:TVP2"/>
    <mergeCell ref="TVQ2:TVT2"/>
    <mergeCell ref="TTY2:TUB2"/>
    <mergeCell ref="TUC2:TUF2"/>
    <mergeCell ref="TUG2:TUJ2"/>
    <mergeCell ref="TUK2:TUN2"/>
    <mergeCell ref="TUO2:TUR2"/>
    <mergeCell ref="TUS2:TUV2"/>
    <mergeCell ref="TTA2:TTD2"/>
    <mergeCell ref="TTE2:TTH2"/>
    <mergeCell ref="TTI2:TTL2"/>
    <mergeCell ref="TTM2:TTP2"/>
    <mergeCell ref="TTQ2:TTT2"/>
    <mergeCell ref="TTU2:TTX2"/>
    <mergeCell ref="TSC2:TSF2"/>
    <mergeCell ref="TSG2:TSJ2"/>
    <mergeCell ref="TSK2:TSN2"/>
    <mergeCell ref="TSO2:TSR2"/>
    <mergeCell ref="TSS2:TSV2"/>
    <mergeCell ref="TSW2:TSZ2"/>
    <mergeCell ref="TRE2:TRH2"/>
    <mergeCell ref="TRI2:TRL2"/>
    <mergeCell ref="TRM2:TRP2"/>
    <mergeCell ref="TRQ2:TRT2"/>
    <mergeCell ref="TRU2:TRX2"/>
    <mergeCell ref="TRY2:TSB2"/>
    <mergeCell ref="TQG2:TQJ2"/>
    <mergeCell ref="TQK2:TQN2"/>
    <mergeCell ref="TQO2:TQR2"/>
    <mergeCell ref="TQS2:TQV2"/>
    <mergeCell ref="TQW2:TQZ2"/>
    <mergeCell ref="TRA2:TRD2"/>
    <mergeCell ref="TPI2:TPL2"/>
    <mergeCell ref="TPM2:TPP2"/>
    <mergeCell ref="TPQ2:TPT2"/>
    <mergeCell ref="TPU2:TPX2"/>
    <mergeCell ref="TPY2:TQB2"/>
    <mergeCell ref="TQC2:TQF2"/>
    <mergeCell ref="TOK2:TON2"/>
    <mergeCell ref="TOO2:TOR2"/>
    <mergeCell ref="TOS2:TOV2"/>
    <mergeCell ref="TOW2:TOZ2"/>
    <mergeCell ref="TPA2:TPD2"/>
    <mergeCell ref="TPE2:TPH2"/>
    <mergeCell ref="TNM2:TNP2"/>
    <mergeCell ref="TNQ2:TNT2"/>
    <mergeCell ref="TNU2:TNX2"/>
    <mergeCell ref="TNY2:TOB2"/>
    <mergeCell ref="TOC2:TOF2"/>
    <mergeCell ref="TOG2:TOJ2"/>
    <mergeCell ref="TMO2:TMR2"/>
    <mergeCell ref="TMS2:TMV2"/>
    <mergeCell ref="TMW2:TMZ2"/>
    <mergeCell ref="TNA2:TND2"/>
    <mergeCell ref="TNE2:TNH2"/>
    <mergeCell ref="TNI2:TNL2"/>
    <mergeCell ref="TLQ2:TLT2"/>
    <mergeCell ref="TLU2:TLX2"/>
    <mergeCell ref="TLY2:TMB2"/>
    <mergeCell ref="TMC2:TMF2"/>
    <mergeCell ref="TMG2:TMJ2"/>
    <mergeCell ref="TMK2:TMN2"/>
    <mergeCell ref="TKS2:TKV2"/>
    <mergeCell ref="TKW2:TKZ2"/>
    <mergeCell ref="TLA2:TLD2"/>
    <mergeCell ref="TLE2:TLH2"/>
    <mergeCell ref="TLI2:TLL2"/>
    <mergeCell ref="TLM2:TLP2"/>
    <mergeCell ref="TJU2:TJX2"/>
    <mergeCell ref="TJY2:TKB2"/>
    <mergeCell ref="TKC2:TKF2"/>
    <mergeCell ref="TKG2:TKJ2"/>
    <mergeCell ref="TKK2:TKN2"/>
    <mergeCell ref="TKO2:TKR2"/>
    <mergeCell ref="TIW2:TIZ2"/>
    <mergeCell ref="TJA2:TJD2"/>
    <mergeCell ref="TJE2:TJH2"/>
    <mergeCell ref="TJI2:TJL2"/>
    <mergeCell ref="TJM2:TJP2"/>
    <mergeCell ref="TJQ2:TJT2"/>
    <mergeCell ref="THY2:TIB2"/>
    <mergeCell ref="TIC2:TIF2"/>
    <mergeCell ref="TIG2:TIJ2"/>
    <mergeCell ref="TIK2:TIN2"/>
    <mergeCell ref="TIO2:TIR2"/>
    <mergeCell ref="TIS2:TIV2"/>
    <mergeCell ref="THA2:THD2"/>
    <mergeCell ref="THE2:THH2"/>
    <mergeCell ref="THI2:THL2"/>
    <mergeCell ref="THM2:THP2"/>
    <mergeCell ref="THQ2:THT2"/>
    <mergeCell ref="THU2:THX2"/>
    <mergeCell ref="TGC2:TGF2"/>
    <mergeCell ref="TGG2:TGJ2"/>
    <mergeCell ref="TGK2:TGN2"/>
    <mergeCell ref="TGO2:TGR2"/>
    <mergeCell ref="TGS2:TGV2"/>
    <mergeCell ref="TGW2:TGZ2"/>
    <mergeCell ref="TFE2:TFH2"/>
    <mergeCell ref="TFI2:TFL2"/>
    <mergeCell ref="TFM2:TFP2"/>
    <mergeCell ref="TFQ2:TFT2"/>
    <mergeCell ref="TFU2:TFX2"/>
    <mergeCell ref="TFY2:TGB2"/>
    <mergeCell ref="TEG2:TEJ2"/>
    <mergeCell ref="TEK2:TEN2"/>
    <mergeCell ref="TEO2:TER2"/>
    <mergeCell ref="TES2:TEV2"/>
    <mergeCell ref="TEW2:TEZ2"/>
    <mergeCell ref="TFA2:TFD2"/>
    <mergeCell ref="TDI2:TDL2"/>
    <mergeCell ref="TDM2:TDP2"/>
    <mergeCell ref="TDQ2:TDT2"/>
    <mergeCell ref="TDU2:TDX2"/>
    <mergeCell ref="TDY2:TEB2"/>
    <mergeCell ref="TEC2:TEF2"/>
    <mergeCell ref="TCK2:TCN2"/>
    <mergeCell ref="TCO2:TCR2"/>
    <mergeCell ref="TCS2:TCV2"/>
    <mergeCell ref="TCW2:TCZ2"/>
    <mergeCell ref="TDA2:TDD2"/>
    <mergeCell ref="TDE2:TDH2"/>
    <mergeCell ref="TBM2:TBP2"/>
    <mergeCell ref="TBQ2:TBT2"/>
    <mergeCell ref="TBU2:TBX2"/>
    <mergeCell ref="TBY2:TCB2"/>
    <mergeCell ref="TCC2:TCF2"/>
    <mergeCell ref="TCG2:TCJ2"/>
    <mergeCell ref="TAO2:TAR2"/>
    <mergeCell ref="TAS2:TAV2"/>
    <mergeCell ref="TAW2:TAZ2"/>
    <mergeCell ref="TBA2:TBD2"/>
    <mergeCell ref="TBE2:TBH2"/>
    <mergeCell ref="TBI2:TBL2"/>
    <mergeCell ref="SZQ2:SZT2"/>
    <mergeCell ref="SZU2:SZX2"/>
    <mergeCell ref="SZY2:TAB2"/>
    <mergeCell ref="TAC2:TAF2"/>
    <mergeCell ref="TAG2:TAJ2"/>
    <mergeCell ref="TAK2:TAN2"/>
    <mergeCell ref="SYS2:SYV2"/>
    <mergeCell ref="SYW2:SYZ2"/>
    <mergeCell ref="SZA2:SZD2"/>
    <mergeCell ref="SZE2:SZH2"/>
    <mergeCell ref="SZI2:SZL2"/>
    <mergeCell ref="SZM2:SZP2"/>
    <mergeCell ref="SXU2:SXX2"/>
    <mergeCell ref="SXY2:SYB2"/>
    <mergeCell ref="SYC2:SYF2"/>
    <mergeCell ref="SYG2:SYJ2"/>
    <mergeCell ref="SYK2:SYN2"/>
    <mergeCell ref="SYO2:SYR2"/>
    <mergeCell ref="SWW2:SWZ2"/>
    <mergeCell ref="SXA2:SXD2"/>
    <mergeCell ref="SXE2:SXH2"/>
    <mergeCell ref="SXI2:SXL2"/>
    <mergeCell ref="SXM2:SXP2"/>
    <mergeCell ref="SXQ2:SXT2"/>
    <mergeCell ref="SVY2:SWB2"/>
    <mergeCell ref="SWC2:SWF2"/>
    <mergeCell ref="SWG2:SWJ2"/>
    <mergeCell ref="SWK2:SWN2"/>
    <mergeCell ref="SWO2:SWR2"/>
    <mergeCell ref="SWS2:SWV2"/>
    <mergeCell ref="SVA2:SVD2"/>
    <mergeCell ref="SVE2:SVH2"/>
    <mergeCell ref="SVI2:SVL2"/>
    <mergeCell ref="SVM2:SVP2"/>
    <mergeCell ref="SVQ2:SVT2"/>
    <mergeCell ref="SVU2:SVX2"/>
    <mergeCell ref="SUC2:SUF2"/>
    <mergeCell ref="SUG2:SUJ2"/>
    <mergeCell ref="SUK2:SUN2"/>
    <mergeCell ref="SUO2:SUR2"/>
    <mergeCell ref="SUS2:SUV2"/>
    <mergeCell ref="SUW2:SUZ2"/>
    <mergeCell ref="STE2:STH2"/>
    <mergeCell ref="STI2:STL2"/>
    <mergeCell ref="STM2:STP2"/>
    <mergeCell ref="STQ2:STT2"/>
    <mergeCell ref="STU2:STX2"/>
    <mergeCell ref="STY2:SUB2"/>
    <mergeCell ref="SSG2:SSJ2"/>
    <mergeCell ref="SSK2:SSN2"/>
    <mergeCell ref="SSO2:SSR2"/>
    <mergeCell ref="SSS2:SSV2"/>
    <mergeCell ref="SSW2:SSZ2"/>
    <mergeCell ref="STA2:STD2"/>
    <mergeCell ref="SRI2:SRL2"/>
    <mergeCell ref="SRM2:SRP2"/>
    <mergeCell ref="SRQ2:SRT2"/>
    <mergeCell ref="SRU2:SRX2"/>
    <mergeCell ref="SRY2:SSB2"/>
    <mergeCell ref="SSC2:SSF2"/>
    <mergeCell ref="SQK2:SQN2"/>
    <mergeCell ref="SQO2:SQR2"/>
    <mergeCell ref="SQS2:SQV2"/>
    <mergeCell ref="SQW2:SQZ2"/>
    <mergeCell ref="SRA2:SRD2"/>
    <mergeCell ref="SRE2:SRH2"/>
    <mergeCell ref="SPM2:SPP2"/>
    <mergeCell ref="SPQ2:SPT2"/>
    <mergeCell ref="SPU2:SPX2"/>
    <mergeCell ref="SPY2:SQB2"/>
    <mergeCell ref="SQC2:SQF2"/>
    <mergeCell ref="SQG2:SQJ2"/>
    <mergeCell ref="SOO2:SOR2"/>
    <mergeCell ref="SOS2:SOV2"/>
    <mergeCell ref="SOW2:SOZ2"/>
    <mergeCell ref="SPA2:SPD2"/>
    <mergeCell ref="SPE2:SPH2"/>
    <mergeCell ref="SPI2:SPL2"/>
    <mergeCell ref="SNQ2:SNT2"/>
    <mergeCell ref="SNU2:SNX2"/>
    <mergeCell ref="SNY2:SOB2"/>
    <mergeCell ref="SOC2:SOF2"/>
    <mergeCell ref="SOG2:SOJ2"/>
    <mergeCell ref="SOK2:SON2"/>
    <mergeCell ref="SMS2:SMV2"/>
    <mergeCell ref="SMW2:SMZ2"/>
    <mergeCell ref="SNA2:SND2"/>
    <mergeCell ref="SNE2:SNH2"/>
    <mergeCell ref="SNI2:SNL2"/>
    <mergeCell ref="SNM2:SNP2"/>
    <mergeCell ref="SLU2:SLX2"/>
    <mergeCell ref="SLY2:SMB2"/>
    <mergeCell ref="SMC2:SMF2"/>
    <mergeCell ref="SMG2:SMJ2"/>
    <mergeCell ref="SMK2:SMN2"/>
    <mergeCell ref="SMO2:SMR2"/>
    <mergeCell ref="SKW2:SKZ2"/>
    <mergeCell ref="SLA2:SLD2"/>
    <mergeCell ref="SLE2:SLH2"/>
    <mergeCell ref="SLI2:SLL2"/>
    <mergeCell ref="SLM2:SLP2"/>
    <mergeCell ref="SLQ2:SLT2"/>
    <mergeCell ref="SJY2:SKB2"/>
    <mergeCell ref="SKC2:SKF2"/>
    <mergeCell ref="SKG2:SKJ2"/>
    <mergeCell ref="SKK2:SKN2"/>
    <mergeCell ref="SKO2:SKR2"/>
    <mergeCell ref="SKS2:SKV2"/>
    <mergeCell ref="SJA2:SJD2"/>
    <mergeCell ref="SJE2:SJH2"/>
    <mergeCell ref="SJI2:SJL2"/>
    <mergeCell ref="SJM2:SJP2"/>
    <mergeCell ref="SJQ2:SJT2"/>
    <mergeCell ref="SJU2:SJX2"/>
    <mergeCell ref="SIC2:SIF2"/>
    <mergeCell ref="SIG2:SIJ2"/>
    <mergeCell ref="SIK2:SIN2"/>
    <mergeCell ref="SIO2:SIR2"/>
    <mergeCell ref="SIS2:SIV2"/>
    <mergeCell ref="SIW2:SIZ2"/>
    <mergeCell ref="SHE2:SHH2"/>
    <mergeCell ref="SHI2:SHL2"/>
    <mergeCell ref="SHM2:SHP2"/>
    <mergeCell ref="SHQ2:SHT2"/>
    <mergeCell ref="SHU2:SHX2"/>
    <mergeCell ref="SHY2:SIB2"/>
    <mergeCell ref="SGG2:SGJ2"/>
    <mergeCell ref="SGK2:SGN2"/>
    <mergeCell ref="SGO2:SGR2"/>
    <mergeCell ref="SGS2:SGV2"/>
    <mergeCell ref="SGW2:SGZ2"/>
    <mergeCell ref="SHA2:SHD2"/>
    <mergeCell ref="SFI2:SFL2"/>
    <mergeCell ref="SFM2:SFP2"/>
    <mergeCell ref="SFQ2:SFT2"/>
    <mergeCell ref="SFU2:SFX2"/>
    <mergeCell ref="SFY2:SGB2"/>
    <mergeCell ref="SGC2:SGF2"/>
    <mergeCell ref="SEK2:SEN2"/>
    <mergeCell ref="SEO2:SER2"/>
    <mergeCell ref="SES2:SEV2"/>
    <mergeCell ref="SEW2:SEZ2"/>
    <mergeCell ref="SFA2:SFD2"/>
    <mergeCell ref="SFE2:SFH2"/>
    <mergeCell ref="SDM2:SDP2"/>
    <mergeCell ref="SDQ2:SDT2"/>
    <mergeCell ref="SDU2:SDX2"/>
    <mergeCell ref="SDY2:SEB2"/>
    <mergeCell ref="SEC2:SEF2"/>
    <mergeCell ref="SEG2:SEJ2"/>
    <mergeCell ref="SCO2:SCR2"/>
    <mergeCell ref="SCS2:SCV2"/>
    <mergeCell ref="SCW2:SCZ2"/>
    <mergeCell ref="SDA2:SDD2"/>
    <mergeCell ref="SDE2:SDH2"/>
    <mergeCell ref="SDI2:SDL2"/>
    <mergeCell ref="SBQ2:SBT2"/>
    <mergeCell ref="SBU2:SBX2"/>
    <mergeCell ref="SBY2:SCB2"/>
    <mergeCell ref="SCC2:SCF2"/>
    <mergeCell ref="SCG2:SCJ2"/>
    <mergeCell ref="SCK2:SCN2"/>
    <mergeCell ref="SAS2:SAV2"/>
    <mergeCell ref="SAW2:SAZ2"/>
    <mergeCell ref="SBA2:SBD2"/>
    <mergeCell ref="SBE2:SBH2"/>
    <mergeCell ref="SBI2:SBL2"/>
    <mergeCell ref="SBM2:SBP2"/>
    <mergeCell ref="RZU2:RZX2"/>
    <mergeCell ref="RZY2:SAB2"/>
    <mergeCell ref="SAC2:SAF2"/>
    <mergeCell ref="SAG2:SAJ2"/>
    <mergeCell ref="SAK2:SAN2"/>
    <mergeCell ref="SAO2:SAR2"/>
    <mergeCell ref="RYW2:RYZ2"/>
    <mergeCell ref="RZA2:RZD2"/>
    <mergeCell ref="RZE2:RZH2"/>
    <mergeCell ref="RZI2:RZL2"/>
    <mergeCell ref="RZM2:RZP2"/>
    <mergeCell ref="RZQ2:RZT2"/>
    <mergeCell ref="RXY2:RYB2"/>
    <mergeCell ref="RYC2:RYF2"/>
    <mergeCell ref="RYG2:RYJ2"/>
    <mergeCell ref="RYK2:RYN2"/>
    <mergeCell ref="RYO2:RYR2"/>
    <mergeCell ref="RYS2:RYV2"/>
    <mergeCell ref="RXA2:RXD2"/>
    <mergeCell ref="RXE2:RXH2"/>
    <mergeCell ref="RXI2:RXL2"/>
    <mergeCell ref="RXM2:RXP2"/>
    <mergeCell ref="RXQ2:RXT2"/>
    <mergeCell ref="RXU2:RXX2"/>
    <mergeCell ref="RWC2:RWF2"/>
    <mergeCell ref="RWG2:RWJ2"/>
    <mergeCell ref="RWK2:RWN2"/>
    <mergeCell ref="RWO2:RWR2"/>
    <mergeCell ref="RWS2:RWV2"/>
    <mergeCell ref="RWW2:RWZ2"/>
    <mergeCell ref="RVE2:RVH2"/>
    <mergeCell ref="RVI2:RVL2"/>
    <mergeCell ref="RVM2:RVP2"/>
    <mergeCell ref="RVQ2:RVT2"/>
    <mergeCell ref="RVU2:RVX2"/>
    <mergeCell ref="RVY2:RWB2"/>
    <mergeCell ref="RUG2:RUJ2"/>
    <mergeCell ref="RUK2:RUN2"/>
    <mergeCell ref="RUO2:RUR2"/>
    <mergeCell ref="RUS2:RUV2"/>
    <mergeCell ref="RUW2:RUZ2"/>
    <mergeCell ref="RVA2:RVD2"/>
    <mergeCell ref="RTI2:RTL2"/>
    <mergeCell ref="RTM2:RTP2"/>
    <mergeCell ref="RTQ2:RTT2"/>
    <mergeCell ref="RTU2:RTX2"/>
    <mergeCell ref="RTY2:RUB2"/>
    <mergeCell ref="RUC2:RUF2"/>
    <mergeCell ref="RSK2:RSN2"/>
    <mergeCell ref="RSO2:RSR2"/>
    <mergeCell ref="RSS2:RSV2"/>
    <mergeCell ref="RSW2:RSZ2"/>
    <mergeCell ref="RTA2:RTD2"/>
    <mergeCell ref="RTE2:RTH2"/>
    <mergeCell ref="RRM2:RRP2"/>
    <mergeCell ref="RRQ2:RRT2"/>
    <mergeCell ref="RRU2:RRX2"/>
    <mergeCell ref="RRY2:RSB2"/>
    <mergeCell ref="RSC2:RSF2"/>
    <mergeCell ref="RSG2:RSJ2"/>
    <mergeCell ref="RQO2:RQR2"/>
    <mergeCell ref="RQS2:RQV2"/>
    <mergeCell ref="RQW2:RQZ2"/>
    <mergeCell ref="RRA2:RRD2"/>
    <mergeCell ref="RRE2:RRH2"/>
    <mergeCell ref="RRI2:RRL2"/>
    <mergeCell ref="RPQ2:RPT2"/>
    <mergeCell ref="RPU2:RPX2"/>
    <mergeCell ref="RPY2:RQB2"/>
    <mergeCell ref="RQC2:RQF2"/>
    <mergeCell ref="RQG2:RQJ2"/>
    <mergeCell ref="RQK2:RQN2"/>
    <mergeCell ref="ROS2:ROV2"/>
    <mergeCell ref="ROW2:ROZ2"/>
    <mergeCell ref="RPA2:RPD2"/>
    <mergeCell ref="RPE2:RPH2"/>
    <mergeCell ref="RPI2:RPL2"/>
    <mergeCell ref="RPM2:RPP2"/>
    <mergeCell ref="RNU2:RNX2"/>
    <mergeCell ref="RNY2:ROB2"/>
    <mergeCell ref="ROC2:ROF2"/>
    <mergeCell ref="ROG2:ROJ2"/>
    <mergeCell ref="ROK2:RON2"/>
    <mergeCell ref="ROO2:ROR2"/>
    <mergeCell ref="RMW2:RMZ2"/>
    <mergeCell ref="RNA2:RND2"/>
    <mergeCell ref="RNE2:RNH2"/>
    <mergeCell ref="RNI2:RNL2"/>
    <mergeCell ref="RNM2:RNP2"/>
    <mergeCell ref="RNQ2:RNT2"/>
    <mergeCell ref="RLY2:RMB2"/>
    <mergeCell ref="RMC2:RMF2"/>
    <mergeCell ref="RMG2:RMJ2"/>
    <mergeCell ref="RMK2:RMN2"/>
    <mergeCell ref="RMO2:RMR2"/>
    <mergeCell ref="RMS2:RMV2"/>
    <mergeCell ref="RLA2:RLD2"/>
    <mergeCell ref="RLE2:RLH2"/>
    <mergeCell ref="RLI2:RLL2"/>
    <mergeCell ref="RLM2:RLP2"/>
    <mergeCell ref="RLQ2:RLT2"/>
    <mergeCell ref="RLU2:RLX2"/>
    <mergeCell ref="RKC2:RKF2"/>
    <mergeCell ref="RKG2:RKJ2"/>
    <mergeCell ref="RKK2:RKN2"/>
    <mergeCell ref="RKO2:RKR2"/>
    <mergeCell ref="RKS2:RKV2"/>
    <mergeCell ref="RKW2:RKZ2"/>
    <mergeCell ref="RJE2:RJH2"/>
    <mergeCell ref="RJI2:RJL2"/>
    <mergeCell ref="RJM2:RJP2"/>
    <mergeCell ref="RJQ2:RJT2"/>
    <mergeCell ref="RJU2:RJX2"/>
    <mergeCell ref="RJY2:RKB2"/>
    <mergeCell ref="RIG2:RIJ2"/>
    <mergeCell ref="RIK2:RIN2"/>
    <mergeCell ref="RIO2:RIR2"/>
    <mergeCell ref="RIS2:RIV2"/>
    <mergeCell ref="RIW2:RIZ2"/>
    <mergeCell ref="RJA2:RJD2"/>
    <mergeCell ref="RHI2:RHL2"/>
    <mergeCell ref="RHM2:RHP2"/>
    <mergeCell ref="RHQ2:RHT2"/>
    <mergeCell ref="RHU2:RHX2"/>
    <mergeCell ref="RHY2:RIB2"/>
    <mergeCell ref="RIC2:RIF2"/>
    <mergeCell ref="RGK2:RGN2"/>
    <mergeCell ref="RGO2:RGR2"/>
    <mergeCell ref="RGS2:RGV2"/>
    <mergeCell ref="RGW2:RGZ2"/>
    <mergeCell ref="RHA2:RHD2"/>
    <mergeCell ref="RHE2:RHH2"/>
    <mergeCell ref="RFM2:RFP2"/>
    <mergeCell ref="RFQ2:RFT2"/>
    <mergeCell ref="RFU2:RFX2"/>
    <mergeCell ref="RFY2:RGB2"/>
    <mergeCell ref="RGC2:RGF2"/>
    <mergeCell ref="RGG2:RGJ2"/>
    <mergeCell ref="REO2:RER2"/>
    <mergeCell ref="RES2:REV2"/>
    <mergeCell ref="REW2:REZ2"/>
    <mergeCell ref="RFA2:RFD2"/>
    <mergeCell ref="RFE2:RFH2"/>
    <mergeCell ref="RFI2:RFL2"/>
    <mergeCell ref="RDQ2:RDT2"/>
    <mergeCell ref="RDU2:RDX2"/>
    <mergeCell ref="RDY2:REB2"/>
    <mergeCell ref="REC2:REF2"/>
    <mergeCell ref="REG2:REJ2"/>
    <mergeCell ref="REK2:REN2"/>
    <mergeCell ref="RCS2:RCV2"/>
    <mergeCell ref="RCW2:RCZ2"/>
    <mergeCell ref="RDA2:RDD2"/>
    <mergeCell ref="RDE2:RDH2"/>
    <mergeCell ref="RDI2:RDL2"/>
    <mergeCell ref="RDM2:RDP2"/>
    <mergeCell ref="RBU2:RBX2"/>
    <mergeCell ref="RBY2:RCB2"/>
    <mergeCell ref="RCC2:RCF2"/>
    <mergeCell ref="RCG2:RCJ2"/>
    <mergeCell ref="RCK2:RCN2"/>
    <mergeCell ref="RCO2:RCR2"/>
    <mergeCell ref="RAW2:RAZ2"/>
    <mergeCell ref="RBA2:RBD2"/>
    <mergeCell ref="RBE2:RBH2"/>
    <mergeCell ref="RBI2:RBL2"/>
    <mergeCell ref="RBM2:RBP2"/>
    <mergeCell ref="RBQ2:RBT2"/>
    <mergeCell ref="QZY2:RAB2"/>
    <mergeCell ref="RAC2:RAF2"/>
    <mergeCell ref="RAG2:RAJ2"/>
    <mergeCell ref="RAK2:RAN2"/>
    <mergeCell ref="RAO2:RAR2"/>
    <mergeCell ref="RAS2:RAV2"/>
    <mergeCell ref="QZA2:QZD2"/>
    <mergeCell ref="QZE2:QZH2"/>
    <mergeCell ref="QZI2:QZL2"/>
    <mergeCell ref="QZM2:QZP2"/>
    <mergeCell ref="QZQ2:QZT2"/>
    <mergeCell ref="QZU2:QZX2"/>
    <mergeCell ref="QYC2:QYF2"/>
    <mergeCell ref="QYG2:QYJ2"/>
    <mergeCell ref="QYK2:QYN2"/>
    <mergeCell ref="QYO2:QYR2"/>
    <mergeCell ref="QYS2:QYV2"/>
    <mergeCell ref="QYW2:QYZ2"/>
    <mergeCell ref="QXE2:QXH2"/>
    <mergeCell ref="QXI2:QXL2"/>
    <mergeCell ref="QXM2:QXP2"/>
    <mergeCell ref="QXQ2:QXT2"/>
    <mergeCell ref="QXU2:QXX2"/>
    <mergeCell ref="QXY2:QYB2"/>
    <mergeCell ref="QWG2:QWJ2"/>
    <mergeCell ref="QWK2:QWN2"/>
    <mergeCell ref="QWO2:QWR2"/>
    <mergeCell ref="QWS2:QWV2"/>
    <mergeCell ref="QWW2:QWZ2"/>
    <mergeCell ref="QXA2:QXD2"/>
    <mergeCell ref="QVI2:QVL2"/>
    <mergeCell ref="QVM2:QVP2"/>
    <mergeCell ref="QVQ2:QVT2"/>
    <mergeCell ref="QVU2:QVX2"/>
    <mergeCell ref="QVY2:QWB2"/>
    <mergeCell ref="QWC2:QWF2"/>
    <mergeCell ref="QUK2:QUN2"/>
    <mergeCell ref="QUO2:QUR2"/>
    <mergeCell ref="QUS2:QUV2"/>
    <mergeCell ref="QUW2:QUZ2"/>
    <mergeCell ref="QVA2:QVD2"/>
    <mergeCell ref="QVE2:QVH2"/>
    <mergeCell ref="QTM2:QTP2"/>
    <mergeCell ref="QTQ2:QTT2"/>
    <mergeCell ref="QTU2:QTX2"/>
    <mergeCell ref="QTY2:QUB2"/>
    <mergeCell ref="QUC2:QUF2"/>
    <mergeCell ref="QUG2:QUJ2"/>
    <mergeCell ref="QSO2:QSR2"/>
    <mergeCell ref="QSS2:QSV2"/>
    <mergeCell ref="QSW2:QSZ2"/>
    <mergeCell ref="QTA2:QTD2"/>
    <mergeCell ref="QTE2:QTH2"/>
    <mergeCell ref="QTI2:QTL2"/>
    <mergeCell ref="QRQ2:QRT2"/>
    <mergeCell ref="QRU2:QRX2"/>
    <mergeCell ref="QRY2:QSB2"/>
    <mergeCell ref="QSC2:QSF2"/>
    <mergeCell ref="QSG2:QSJ2"/>
    <mergeCell ref="QSK2:QSN2"/>
    <mergeCell ref="QQS2:QQV2"/>
    <mergeCell ref="QQW2:QQZ2"/>
    <mergeCell ref="QRA2:QRD2"/>
    <mergeCell ref="QRE2:QRH2"/>
    <mergeCell ref="QRI2:QRL2"/>
    <mergeCell ref="QRM2:QRP2"/>
    <mergeCell ref="QPU2:QPX2"/>
    <mergeCell ref="QPY2:QQB2"/>
    <mergeCell ref="QQC2:QQF2"/>
    <mergeCell ref="QQG2:QQJ2"/>
    <mergeCell ref="QQK2:QQN2"/>
    <mergeCell ref="QQO2:QQR2"/>
    <mergeCell ref="QOW2:QOZ2"/>
    <mergeCell ref="QPA2:QPD2"/>
    <mergeCell ref="QPE2:QPH2"/>
    <mergeCell ref="QPI2:QPL2"/>
    <mergeCell ref="QPM2:QPP2"/>
    <mergeCell ref="QPQ2:QPT2"/>
    <mergeCell ref="QNY2:QOB2"/>
    <mergeCell ref="QOC2:QOF2"/>
    <mergeCell ref="QOG2:QOJ2"/>
    <mergeCell ref="QOK2:QON2"/>
    <mergeCell ref="QOO2:QOR2"/>
    <mergeCell ref="QOS2:QOV2"/>
    <mergeCell ref="QNA2:QND2"/>
    <mergeCell ref="QNE2:QNH2"/>
    <mergeCell ref="QNI2:QNL2"/>
    <mergeCell ref="QNM2:QNP2"/>
    <mergeCell ref="QNQ2:QNT2"/>
    <mergeCell ref="QNU2:QNX2"/>
    <mergeCell ref="QMC2:QMF2"/>
    <mergeCell ref="QMG2:QMJ2"/>
    <mergeCell ref="QMK2:QMN2"/>
    <mergeCell ref="QMO2:QMR2"/>
    <mergeCell ref="QMS2:QMV2"/>
    <mergeCell ref="QMW2:QMZ2"/>
    <mergeCell ref="QLE2:QLH2"/>
    <mergeCell ref="QLI2:QLL2"/>
    <mergeCell ref="QLM2:QLP2"/>
    <mergeCell ref="QLQ2:QLT2"/>
    <mergeCell ref="QLU2:QLX2"/>
    <mergeCell ref="QLY2:QMB2"/>
    <mergeCell ref="QKG2:QKJ2"/>
    <mergeCell ref="QKK2:QKN2"/>
    <mergeCell ref="QKO2:QKR2"/>
    <mergeCell ref="QKS2:QKV2"/>
    <mergeCell ref="QKW2:QKZ2"/>
    <mergeCell ref="QLA2:QLD2"/>
    <mergeCell ref="QJI2:QJL2"/>
    <mergeCell ref="QJM2:QJP2"/>
    <mergeCell ref="QJQ2:QJT2"/>
    <mergeCell ref="QJU2:QJX2"/>
    <mergeCell ref="QJY2:QKB2"/>
    <mergeCell ref="QKC2:QKF2"/>
    <mergeCell ref="QIK2:QIN2"/>
    <mergeCell ref="QIO2:QIR2"/>
    <mergeCell ref="QIS2:QIV2"/>
    <mergeCell ref="QIW2:QIZ2"/>
    <mergeCell ref="QJA2:QJD2"/>
    <mergeCell ref="QJE2:QJH2"/>
    <mergeCell ref="QHM2:QHP2"/>
    <mergeCell ref="QHQ2:QHT2"/>
    <mergeCell ref="QHU2:QHX2"/>
    <mergeCell ref="QHY2:QIB2"/>
    <mergeCell ref="QIC2:QIF2"/>
    <mergeCell ref="QIG2:QIJ2"/>
    <mergeCell ref="QGO2:QGR2"/>
    <mergeCell ref="QGS2:QGV2"/>
    <mergeCell ref="QGW2:QGZ2"/>
    <mergeCell ref="QHA2:QHD2"/>
    <mergeCell ref="QHE2:QHH2"/>
    <mergeCell ref="QHI2:QHL2"/>
    <mergeCell ref="QFQ2:QFT2"/>
    <mergeCell ref="QFU2:QFX2"/>
    <mergeCell ref="QFY2:QGB2"/>
    <mergeCell ref="QGC2:QGF2"/>
    <mergeCell ref="QGG2:QGJ2"/>
    <mergeCell ref="QGK2:QGN2"/>
    <mergeCell ref="QES2:QEV2"/>
    <mergeCell ref="QEW2:QEZ2"/>
    <mergeCell ref="QFA2:QFD2"/>
    <mergeCell ref="QFE2:QFH2"/>
    <mergeCell ref="QFI2:QFL2"/>
    <mergeCell ref="QFM2:QFP2"/>
    <mergeCell ref="QDU2:QDX2"/>
    <mergeCell ref="QDY2:QEB2"/>
    <mergeCell ref="QEC2:QEF2"/>
    <mergeCell ref="QEG2:QEJ2"/>
    <mergeCell ref="QEK2:QEN2"/>
    <mergeCell ref="QEO2:QER2"/>
    <mergeCell ref="QCW2:QCZ2"/>
    <mergeCell ref="QDA2:QDD2"/>
    <mergeCell ref="QDE2:QDH2"/>
    <mergeCell ref="QDI2:QDL2"/>
    <mergeCell ref="QDM2:QDP2"/>
    <mergeCell ref="QDQ2:QDT2"/>
    <mergeCell ref="QBY2:QCB2"/>
    <mergeCell ref="QCC2:QCF2"/>
    <mergeCell ref="QCG2:QCJ2"/>
    <mergeCell ref="QCK2:QCN2"/>
    <mergeCell ref="QCO2:QCR2"/>
    <mergeCell ref="QCS2:QCV2"/>
    <mergeCell ref="QBA2:QBD2"/>
    <mergeCell ref="QBE2:QBH2"/>
    <mergeCell ref="QBI2:QBL2"/>
    <mergeCell ref="QBM2:QBP2"/>
    <mergeCell ref="QBQ2:QBT2"/>
    <mergeCell ref="QBU2:QBX2"/>
    <mergeCell ref="QAC2:QAF2"/>
    <mergeCell ref="QAG2:QAJ2"/>
    <mergeCell ref="QAK2:QAN2"/>
    <mergeCell ref="QAO2:QAR2"/>
    <mergeCell ref="QAS2:QAV2"/>
    <mergeCell ref="QAW2:QAZ2"/>
    <mergeCell ref="PZE2:PZH2"/>
    <mergeCell ref="PZI2:PZL2"/>
    <mergeCell ref="PZM2:PZP2"/>
    <mergeCell ref="PZQ2:PZT2"/>
    <mergeCell ref="PZU2:PZX2"/>
    <mergeCell ref="PZY2:QAB2"/>
    <mergeCell ref="PYG2:PYJ2"/>
    <mergeCell ref="PYK2:PYN2"/>
    <mergeCell ref="PYO2:PYR2"/>
    <mergeCell ref="PYS2:PYV2"/>
    <mergeCell ref="PYW2:PYZ2"/>
    <mergeCell ref="PZA2:PZD2"/>
    <mergeCell ref="PXI2:PXL2"/>
    <mergeCell ref="PXM2:PXP2"/>
    <mergeCell ref="PXQ2:PXT2"/>
    <mergeCell ref="PXU2:PXX2"/>
    <mergeCell ref="PXY2:PYB2"/>
    <mergeCell ref="PYC2:PYF2"/>
    <mergeCell ref="PWK2:PWN2"/>
    <mergeCell ref="PWO2:PWR2"/>
    <mergeCell ref="PWS2:PWV2"/>
    <mergeCell ref="PWW2:PWZ2"/>
    <mergeCell ref="PXA2:PXD2"/>
    <mergeCell ref="PXE2:PXH2"/>
    <mergeCell ref="PVM2:PVP2"/>
    <mergeCell ref="PVQ2:PVT2"/>
    <mergeCell ref="PVU2:PVX2"/>
    <mergeCell ref="PVY2:PWB2"/>
    <mergeCell ref="PWC2:PWF2"/>
    <mergeCell ref="PWG2:PWJ2"/>
    <mergeCell ref="PUO2:PUR2"/>
    <mergeCell ref="PUS2:PUV2"/>
    <mergeCell ref="PUW2:PUZ2"/>
    <mergeCell ref="PVA2:PVD2"/>
    <mergeCell ref="PVE2:PVH2"/>
    <mergeCell ref="PVI2:PVL2"/>
    <mergeCell ref="PTQ2:PTT2"/>
    <mergeCell ref="PTU2:PTX2"/>
    <mergeCell ref="PTY2:PUB2"/>
    <mergeCell ref="PUC2:PUF2"/>
    <mergeCell ref="PUG2:PUJ2"/>
    <mergeCell ref="PUK2:PUN2"/>
    <mergeCell ref="PSS2:PSV2"/>
    <mergeCell ref="PSW2:PSZ2"/>
    <mergeCell ref="PTA2:PTD2"/>
    <mergeCell ref="PTE2:PTH2"/>
    <mergeCell ref="PTI2:PTL2"/>
    <mergeCell ref="PTM2:PTP2"/>
    <mergeCell ref="PRU2:PRX2"/>
    <mergeCell ref="PRY2:PSB2"/>
    <mergeCell ref="PSC2:PSF2"/>
    <mergeCell ref="PSG2:PSJ2"/>
    <mergeCell ref="PSK2:PSN2"/>
    <mergeCell ref="PSO2:PSR2"/>
    <mergeCell ref="PQW2:PQZ2"/>
    <mergeCell ref="PRA2:PRD2"/>
    <mergeCell ref="PRE2:PRH2"/>
    <mergeCell ref="PRI2:PRL2"/>
    <mergeCell ref="PRM2:PRP2"/>
    <mergeCell ref="PRQ2:PRT2"/>
    <mergeCell ref="PPY2:PQB2"/>
    <mergeCell ref="PQC2:PQF2"/>
    <mergeCell ref="PQG2:PQJ2"/>
    <mergeCell ref="PQK2:PQN2"/>
    <mergeCell ref="PQO2:PQR2"/>
    <mergeCell ref="PQS2:PQV2"/>
    <mergeCell ref="PPA2:PPD2"/>
    <mergeCell ref="PPE2:PPH2"/>
    <mergeCell ref="PPI2:PPL2"/>
    <mergeCell ref="PPM2:PPP2"/>
    <mergeCell ref="PPQ2:PPT2"/>
    <mergeCell ref="PPU2:PPX2"/>
    <mergeCell ref="POC2:POF2"/>
    <mergeCell ref="POG2:POJ2"/>
    <mergeCell ref="POK2:PON2"/>
    <mergeCell ref="POO2:POR2"/>
    <mergeCell ref="POS2:POV2"/>
    <mergeCell ref="POW2:POZ2"/>
    <mergeCell ref="PNE2:PNH2"/>
    <mergeCell ref="PNI2:PNL2"/>
    <mergeCell ref="PNM2:PNP2"/>
    <mergeCell ref="PNQ2:PNT2"/>
    <mergeCell ref="PNU2:PNX2"/>
    <mergeCell ref="PNY2:POB2"/>
    <mergeCell ref="PMG2:PMJ2"/>
    <mergeCell ref="PMK2:PMN2"/>
    <mergeCell ref="PMO2:PMR2"/>
    <mergeCell ref="PMS2:PMV2"/>
    <mergeCell ref="PMW2:PMZ2"/>
    <mergeCell ref="PNA2:PND2"/>
    <mergeCell ref="PLI2:PLL2"/>
    <mergeCell ref="PLM2:PLP2"/>
    <mergeCell ref="PLQ2:PLT2"/>
    <mergeCell ref="PLU2:PLX2"/>
    <mergeCell ref="PLY2:PMB2"/>
    <mergeCell ref="PMC2:PMF2"/>
    <mergeCell ref="PKK2:PKN2"/>
    <mergeCell ref="PKO2:PKR2"/>
    <mergeCell ref="PKS2:PKV2"/>
    <mergeCell ref="PKW2:PKZ2"/>
    <mergeCell ref="PLA2:PLD2"/>
    <mergeCell ref="PLE2:PLH2"/>
    <mergeCell ref="PJM2:PJP2"/>
    <mergeCell ref="PJQ2:PJT2"/>
    <mergeCell ref="PJU2:PJX2"/>
    <mergeCell ref="PJY2:PKB2"/>
    <mergeCell ref="PKC2:PKF2"/>
    <mergeCell ref="PKG2:PKJ2"/>
    <mergeCell ref="PIO2:PIR2"/>
    <mergeCell ref="PIS2:PIV2"/>
    <mergeCell ref="PIW2:PIZ2"/>
    <mergeCell ref="PJA2:PJD2"/>
    <mergeCell ref="PJE2:PJH2"/>
    <mergeCell ref="PJI2:PJL2"/>
    <mergeCell ref="PHQ2:PHT2"/>
    <mergeCell ref="PHU2:PHX2"/>
    <mergeCell ref="PHY2:PIB2"/>
    <mergeCell ref="PIC2:PIF2"/>
    <mergeCell ref="PIG2:PIJ2"/>
    <mergeCell ref="PIK2:PIN2"/>
    <mergeCell ref="PGS2:PGV2"/>
    <mergeCell ref="PGW2:PGZ2"/>
    <mergeCell ref="PHA2:PHD2"/>
    <mergeCell ref="PHE2:PHH2"/>
    <mergeCell ref="PHI2:PHL2"/>
    <mergeCell ref="PHM2:PHP2"/>
    <mergeCell ref="PFU2:PFX2"/>
    <mergeCell ref="PFY2:PGB2"/>
    <mergeCell ref="PGC2:PGF2"/>
    <mergeCell ref="PGG2:PGJ2"/>
    <mergeCell ref="PGK2:PGN2"/>
    <mergeCell ref="PGO2:PGR2"/>
    <mergeCell ref="PEW2:PEZ2"/>
    <mergeCell ref="PFA2:PFD2"/>
    <mergeCell ref="PFE2:PFH2"/>
    <mergeCell ref="PFI2:PFL2"/>
    <mergeCell ref="PFM2:PFP2"/>
    <mergeCell ref="PFQ2:PFT2"/>
    <mergeCell ref="PDY2:PEB2"/>
    <mergeCell ref="PEC2:PEF2"/>
    <mergeCell ref="PEG2:PEJ2"/>
    <mergeCell ref="PEK2:PEN2"/>
    <mergeCell ref="PEO2:PER2"/>
    <mergeCell ref="PES2:PEV2"/>
    <mergeCell ref="PDA2:PDD2"/>
    <mergeCell ref="PDE2:PDH2"/>
    <mergeCell ref="PDI2:PDL2"/>
    <mergeCell ref="PDM2:PDP2"/>
    <mergeCell ref="PDQ2:PDT2"/>
    <mergeCell ref="PDU2:PDX2"/>
    <mergeCell ref="PCC2:PCF2"/>
    <mergeCell ref="PCG2:PCJ2"/>
    <mergeCell ref="PCK2:PCN2"/>
    <mergeCell ref="PCO2:PCR2"/>
    <mergeCell ref="PCS2:PCV2"/>
    <mergeCell ref="PCW2:PCZ2"/>
    <mergeCell ref="PBE2:PBH2"/>
    <mergeCell ref="PBI2:PBL2"/>
    <mergeCell ref="PBM2:PBP2"/>
    <mergeCell ref="PBQ2:PBT2"/>
    <mergeCell ref="PBU2:PBX2"/>
    <mergeCell ref="PBY2:PCB2"/>
    <mergeCell ref="PAG2:PAJ2"/>
    <mergeCell ref="PAK2:PAN2"/>
    <mergeCell ref="PAO2:PAR2"/>
    <mergeCell ref="PAS2:PAV2"/>
    <mergeCell ref="PAW2:PAZ2"/>
    <mergeCell ref="PBA2:PBD2"/>
    <mergeCell ref="OZI2:OZL2"/>
    <mergeCell ref="OZM2:OZP2"/>
    <mergeCell ref="OZQ2:OZT2"/>
    <mergeCell ref="OZU2:OZX2"/>
    <mergeCell ref="OZY2:PAB2"/>
    <mergeCell ref="PAC2:PAF2"/>
    <mergeCell ref="OYK2:OYN2"/>
    <mergeCell ref="OYO2:OYR2"/>
    <mergeCell ref="OYS2:OYV2"/>
    <mergeCell ref="OYW2:OYZ2"/>
    <mergeCell ref="OZA2:OZD2"/>
    <mergeCell ref="OZE2:OZH2"/>
    <mergeCell ref="OXM2:OXP2"/>
    <mergeCell ref="OXQ2:OXT2"/>
    <mergeCell ref="OXU2:OXX2"/>
    <mergeCell ref="OXY2:OYB2"/>
    <mergeCell ref="OYC2:OYF2"/>
    <mergeCell ref="OYG2:OYJ2"/>
    <mergeCell ref="OWO2:OWR2"/>
    <mergeCell ref="OWS2:OWV2"/>
    <mergeCell ref="OWW2:OWZ2"/>
    <mergeCell ref="OXA2:OXD2"/>
    <mergeCell ref="OXE2:OXH2"/>
    <mergeCell ref="OXI2:OXL2"/>
    <mergeCell ref="OVQ2:OVT2"/>
    <mergeCell ref="OVU2:OVX2"/>
    <mergeCell ref="OVY2:OWB2"/>
    <mergeCell ref="OWC2:OWF2"/>
    <mergeCell ref="OWG2:OWJ2"/>
    <mergeCell ref="OWK2:OWN2"/>
    <mergeCell ref="OUS2:OUV2"/>
    <mergeCell ref="OUW2:OUZ2"/>
    <mergeCell ref="OVA2:OVD2"/>
    <mergeCell ref="OVE2:OVH2"/>
    <mergeCell ref="OVI2:OVL2"/>
    <mergeCell ref="OVM2:OVP2"/>
    <mergeCell ref="OTU2:OTX2"/>
    <mergeCell ref="OTY2:OUB2"/>
    <mergeCell ref="OUC2:OUF2"/>
    <mergeCell ref="OUG2:OUJ2"/>
    <mergeCell ref="OUK2:OUN2"/>
    <mergeCell ref="OUO2:OUR2"/>
    <mergeCell ref="OSW2:OSZ2"/>
    <mergeCell ref="OTA2:OTD2"/>
    <mergeCell ref="OTE2:OTH2"/>
    <mergeCell ref="OTI2:OTL2"/>
    <mergeCell ref="OTM2:OTP2"/>
    <mergeCell ref="OTQ2:OTT2"/>
    <mergeCell ref="ORY2:OSB2"/>
    <mergeCell ref="OSC2:OSF2"/>
    <mergeCell ref="OSG2:OSJ2"/>
    <mergeCell ref="OSK2:OSN2"/>
    <mergeCell ref="OSO2:OSR2"/>
    <mergeCell ref="OSS2:OSV2"/>
    <mergeCell ref="ORA2:ORD2"/>
    <mergeCell ref="ORE2:ORH2"/>
    <mergeCell ref="ORI2:ORL2"/>
    <mergeCell ref="ORM2:ORP2"/>
    <mergeCell ref="ORQ2:ORT2"/>
    <mergeCell ref="ORU2:ORX2"/>
    <mergeCell ref="OQC2:OQF2"/>
    <mergeCell ref="OQG2:OQJ2"/>
    <mergeCell ref="OQK2:OQN2"/>
    <mergeCell ref="OQO2:OQR2"/>
    <mergeCell ref="OQS2:OQV2"/>
    <mergeCell ref="OQW2:OQZ2"/>
    <mergeCell ref="OPE2:OPH2"/>
    <mergeCell ref="OPI2:OPL2"/>
    <mergeCell ref="OPM2:OPP2"/>
    <mergeCell ref="OPQ2:OPT2"/>
    <mergeCell ref="OPU2:OPX2"/>
    <mergeCell ref="OPY2:OQB2"/>
    <mergeCell ref="OOG2:OOJ2"/>
    <mergeCell ref="OOK2:OON2"/>
    <mergeCell ref="OOO2:OOR2"/>
    <mergeCell ref="OOS2:OOV2"/>
    <mergeCell ref="OOW2:OOZ2"/>
    <mergeCell ref="OPA2:OPD2"/>
    <mergeCell ref="ONI2:ONL2"/>
    <mergeCell ref="ONM2:ONP2"/>
    <mergeCell ref="ONQ2:ONT2"/>
    <mergeCell ref="ONU2:ONX2"/>
    <mergeCell ref="ONY2:OOB2"/>
    <mergeCell ref="OOC2:OOF2"/>
    <mergeCell ref="OMK2:OMN2"/>
    <mergeCell ref="OMO2:OMR2"/>
    <mergeCell ref="OMS2:OMV2"/>
    <mergeCell ref="OMW2:OMZ2"/>
    <mergeCell ref="ONA2:OND2"/>
    <mergeCell ref="ONE2:ONH2"/>
    <mergeCell ref="OLM2:OLP2"/>
    <mergeCell ref="OLQ2:OLT2"/>
    <mergeCell ref="OLU2:OLX2"/>
    <mergeCell ref="OLY2:OMB2"/>
    <mergeCell ref="OMC2:OMF2"/>
    <mergeCell ref="OMG2:OMJ2"/>
    <mergeCell ref="OKO2:OKR2"/>
    <mergeCell ref="OKS2:OKV2"/>
    <mergeCell ref="OKW2:OKZ2"/>
    <mergeCell ref="OLA2:OLD2"/>
    <mergeCell ref="OLE2:OLH2"/>
    <mergeCell ref="OLI2:OLL2"/>
    <mergeCell ref="OJQ2:OJT2"/>
    <mergeCell ref="OJU2:OJX2"/>
    <mergeCell ref="OJY2:OKB2"/>
    <mergeCell ref="OKC2:OKF2"/>
    <mergeCell ref="OKG2:OKJ2"/>
    <mergeCell ref="OKK2:OKN2"/>
    <mergeCell ref="OIS2:OIV2"/>
    <mergeCell ref="OIW2:OIZ2"/>
    <mergeCell ref="OJA2:OJD2"/>
    <mergeCell ref="OJE2:OJH2"/>
    <mergeCell ref="OJI2:OJL2"/>
    <mergeCell ref="OJM2:OJP2"/>
    <mergeCell ref="OHU2:OHX2"/>
    <mergeCell ref="OHY2:OIB2"/>
    <mergeCell ref="OIC2:OIF2"/>
    <mergeCell ref="OIG2:OIJ2"/>
    <mergeCell ref="OIK2:OIN2"/>
    <mergeCell ref="OIO2:OIR2"/>
    <mergeCell ref="OGW2:OGZ2"/>
    <mergeCell ref="OHA2:OHD2"/>
    <mergeCell ref="OHE2:OHH2"/>
    <mergeCell ref="OHI2:OHL2"/>
    <mergeCell ref="OHM2:OHP2"/>
    <mergeCell ref="OHQ2:OHT2"/>
    <mergeCell ref="OFY2:OGB2"/>
    <mergeCell ref="OGC2:OGF2"/>
    <mergeCell ref="OGG2:OGJ2"/>
    <mergeCell ref="OGK2:OGN2"/>
    <mergeCell ref="OGO2:OGR2"/>
    <mergeCell ref="OGS2:OGV2"/>
    <mergeCell ref="OFA2:OFD2"/>
    <mergeCell ref="OFE2:OFH2"/>
    <mergeCell ref="OFI2:OFL2"/>
    <mergeCell ref="OFM2:OFP2"/>
    <mergeCell ref="OFQ2:OFT2"/>
    <mergeCell ref="OFU2:OFX2"/>
    <mergeCell ref="OEC2:OEF2"/>
    <mergeCell ref="OEG2:OEJ2"/>
    <mergeCell ref="OEK2:OEN2"/>
    <mergeCell ref="OEO2:OER2"/>
    <mergeCell ref="OES2:OEV2"/>
    <mergeCell ref="OEW2:OEZ2"/>
    <mergeCell ref="ODE2:ODH2"/>
    <mergeCell ref="ODI2:ODL2"/>
    <mergeCell ref="ODM2:ODP2"/>
    <mergeCell ref="ODQ2:ODT2"/>
    <mergeCell ref="ODU2:ODX2"/>
    <mergeCell ref="ODY2:OEB2"/>
    <mergeCell ref="OCG2:OCJ2"/>
    <mergeCell ref="OCK2:OCN2"/>
    <mergeCell ref="OCO2:OCR2"/>
    <mergeCell ref="OCS2:OCV2"/>
    <mergeCell ref="OCW2:OCZ2"/>
    <mergeCell ref="ODA2:ODD2"/>
    <mergeCell ref="OBI2:OBL2"/>
    <mergeCell ref="OBM2:OBP2"/>
    <mergeCell ref="OBQ2:OBT2"/>
    <mergeCell ref="OBU2:OBX2"/>
    <mergeCell ref="OBY2:OCB2"/>
    <mergeCell ref="OCC2:OCF2"/>
    <mergeCell ref="OAK2:OAN2"/>
    <mergeCell ref="OAO2:OAR2"/>
    <mergeCell ref="OAS2:OAV2"/>
    <mergeCell ref="OAW2:OAZ2"/>
    <mergeCell ref="OBA2:OBD2"/>
    <mergeCell ref="OBE2:OBH2"/>
    <mergeCell ref="NZM2:NZP2"/>
    <mergeCell ref="NZQ2:NZT2"/>
    <mergeCell ref="NZU2:NZX2"/>
    <mergeCell ref="NZY2:OAB2"/>
    <mergeCell ref="OAC2:OAF2"/>
    <mergeCell ref="OAG2:OAJ2"/>
    <mergeCell ref="NYO2:NYR2"/>
    <mergeCell ref="NYS2:NYV2"/>
    <mergeCell ref="NYW2:NYZ2"/>
    <mergeCell ref="NZA2:NZD2"/>
    <mergeCell ref="NZE2:NZH2"/>
    <mergeCell ref="NZI2:NZL2"/>
    <mergeCell ref="NXQ2:NXT2"/>
    <mergeCell ref="NXU2:NXX2"/>
    <mergeCell ref="NXY2:NYB2"/>
    <mergeCell ref="NYC2:NYF2"/>
    <mergeCell ref="NYG2:NYJ2"/>
    <mergeCell ref="NYK2:NYN2"/>
    <mergeCell ref="NWS2:NWV2"/>
    <mergeCell ref="NWW2:NWZ2"/>
    <mergeCell ref="NXA2:NXD2"/>
    <mergeCell ref="NXE2:NXH2"/>
    <mergeCell ref="NXI2:NXL2"/>
    <mergeCell ref="NXM2:NXP2"/>
    <mergeCell ref="NVU2:NVX2"/>
    <mergeCell ref="NVY2:NWB2"/>
    <mergeCell ref="NWC2:NWF2"/>
    <mergeCell ref="NWG2:NWJ2"/>
    <mergeCell ref="NWK2:NWN2"/>
    <mergeCell ref="NWO2:NWR2"/>
    <mergeCell ref="NUW2:NUZ2"/>
    <mergeCell ref="NVA2:NVD2"/>
    <mergeCell ref="NVE2:NVH2"/>
    <mergeCell ref="NVI2:NVL2"/>
    <mergeCell ref="NVM2:NVP2"/>
    <mergeCell ref="NVQ2:NVT2"/>
    <mergeCell ref="NTY2:NUB2"/>
    <mergeCell ref="NUC2:NUF2"/>
    <mergeCell ref="NUG2:NUJ2"/>
    <mergeCell ref="NUK2:NUN2"/>
    <mergeCell ref="NUO2:NUR2"/>
    <mergeCell ref="NUS2:NUV2"/>
    <mergeCell ref="NTA2:NTD2"/>
    <mergeCell ref="NTE2:NTH2"/>
    <mergeCell ref="NTI2:NTL2"/>
    <mergeCell ref="NTM2:NTP2"/>
    <mergeCell ref="NTQ2:NTT2"/>
    <mergeCell ref="NTU2:NTX2"/>
    <mergeCell ref="NSC2:NSF2"/>
    <mergeCell ref="NSG2:NSJ2"/>
    <mergeCell ref="NSK2:NSN2"/>
    <mergeCell ref="NSO2:NSR2"/>
    <mergeCell ref="NSS2:NSV2"/>
    <mergeCell ref="NSW2:NSZ2"/>
    <mergeCell ref="NRE2:NRH2"/>
    <mergeCell ref="NRI2:NRL2"/>
    <mergeCell ref="NRM2:NRP2"/>
    <mergeCell ref="NRQ2:NRT2"/>
    <mergeCell ref="NRU2:NRX2"/>
    <mergeCell ref="NRY2:NSB2"/>
    <mergeCell ref="NQG2:NQJ2"/>
    <mergeCell ref="NQK2:NQN2"/>
    <mergeCell ref="NQO2:NQR2"/>
    <mergeCell ref="NQS2:NQV2"/>
    <mergeCell ref="NQW2:NQZ2"/>
    <mergeCell ref="NRA2:NRD2"/>
    <mergeCell ref="NPI2:NPL2"/>
    <mergeCell ref="NPM2:NPP2"/>
    <mergeCell ref="NPQ2:NPT2"/>
    <mergeCell ref="NPU2:NPX2"/>
    <mergeCell ref="NPY2:NQB2"/>
    <mergeCell ref="NQC2:NQF2"/>
    <mergeCell ref="NOK2:NON2"/>
    <mergeCell ref="NOO2:NOR2"/>
    <mergeCell ref="NOS2:NOV2"/>
    <mergeCell ref="NOW2:NOZ2"/>
    <mergeCell ref="NPA2:NPD2"/>
    <mergeCell ref="NPE2:NPH2"/>
    <mergeCell ref="NNM2:NNP2"/>
    <mergeCell ref="NNQ2:NNT2"/>
    <mergeCell ref="NNU2:NNX2"/>
    <mergeCell ref="NNY2:NOB2"/>
    <mergeCell ref="NOC2:NOF2"/>
    <mergeCell ref="NOG2:NOJ2"/>
    <mergeCell ref="NMO2:NMR2"/>
    <mergeCell ref="NMS2:NMV2"/>
    <mergeCell ref="NMW2:NMZ2"/>
    <mergeCell ref="NNA2:NND2"/>
    <mergeCell ref="NNE2:NNH2"/>
    <mergeCell ref="NNI2:NNL2"/>
    <mergeCell ref="NLQ2:NLT2"/>
    <mergeCell ref="NLU2:NLX2"/>
    <mergeCell ref="NLY2:NMB2"/>
    <mergeCell ref="NMC2:NMF2"/>
    <mergeCell ref="NMG2:NMJ2"/>
    <mergeCell ref="NMK2:NMN2"/>
    <mergeCell ref="NKS2:NKV2"/>
    <mergeCell ref="NKW2:NKZ2"/>
    <mergeCell ref="NLA2:NLD2"/>
    <mergeCell ref="NLE2:NLH2"/>
    <mergeCell ref="NLI2:NLL2"/>
    <mergeCell ref="NLM2:NLP2"/>
    <mergeCell ref="NJU2:NJX2"/>
    <mergeCell ref="NJY2:NKB2"/>
    <mergeCell ref="NKC2:NKF2"/>
    <mergeCell ref="NKG2:NKJ2"/>
    <mergeCell ref="NKK2:NKN2"/>
    <mergeCell ref="NKO2:NKR2"/>
    <mergeCell ref="NIW2:NIZ2"/>
    <mergeCell ref="NJA2:NJD2"/>
    <mergeCell ref="NJE2:NJH2"/>
    <mergeCell ref="NJI2:NJL2"/>
    <mergeCell ref="NJM2:NJP2"/>
    <mergeCell ref="NJQ2:NJT2"/>
    <mergeCell ref="NHY2:NIB2"/>
    <mergeCell ref="NIC2:NIF2"/>
    <mergeCell ref="NIG2:NIJ2"/>
    <mergeCell ref="NIK2:NIN2"/>
    <mergeCell ref="NIO2:NIR2"/>
    <mergeCell ref="NIS2:NIV2"/>
    <mergeCell ref="NHA2:NHD2"/>
    <mergeCell ref="NHE2:NHH2"/>
    <mergeCell ref="NHI2:NHL2"/>
    <mergeCell ref="NHM2:NHP2"/>
    <mergeCell ref="NHQ2:NHT2"/>
    <mergeCell ref="NHU2:NHX2"/>
    <mergeCell ref="NGC2:NGF2"/>
    <mergeCell ref="NGG2:NGJ2"/>
    <mergeCell ref="NGK2:NGN2"/>
    <mergeCell ref="NGO2:NGR2"/>
    <mergeCell ref="NGS2:NGV2"/>
    <mergeCell ref="NGW2:NGZ2"/>
    <mergeCell ref="NFE2:NFH2"/>
    <mergeCell ref="NFI2:NFL2"/>
    <mergeCell ref="NFM2:NFP2"/>
    <mergeCell ref="NFQ2:NFT2"/>
    <mergeCell ref="NFU2:NFX2"/>
    <mergeCell ref="NFY2:NGB2"/>
    <mergeCell ref="NEG2:NEJ2"/>
    <mergeCell ref="NEK2:NEN2"/>
    <mergeCell ref="NEO2:NER2"/>
    <mergeCell ref="NES2:NEV2"/>
    <mergeCell ref="NEW2:NEZ2"/>
    <mergeCell ref="NFA2:NFD2"/>
    <mergeCell ref="NDI2:NDL2"/>
    <mergeCell ref="NDM2:NDP2"/>
    <mergeCell ref="NDQ2:NDT2"/>
    <mergeCell ref="NDU2:NDX2"/>
    <mergeCell ref="NDY2:NEB2"/>
    <mergeCell ref="NEC2:NEF2"/>
    <mergeCell ref="NCK2:NCN2"/>
    <mergeCell ref="NCO2:NCR2"/>
    <mergeCell ref="NCS2:NCV2"/>
    <mergeCell ref="NCW2:NCZ2"/>
    <mergeCell ref="NDA2:NDD2"/>
    <mergeCell ref="NDE2:NDH2"/>
    <mergeCell ref="NBM2:NBP2"/>
    <mergeCell ref="NBQ2:NBT2"/>
    <mergeCell ref="NBU2:NBX2"/>
    <mergeCell ref="NBY2:NCB2"/>
    <mergeCell ref="NCC2:NCF2"/>
    <mergeCell ref="NCG2:NCJ2"/>
    <mergeCell ref="NAO2:NAR2"/>
    <mergeCell ref="NAS2:NAV2"/>
    <mergeCell ref="NAW2:NAZ2"/>
    <mergeCell ref="NBA2:NBD2"/>
    <mergeCell ref="NBE2:NBH2"/>
    <mergeCell ref="NBI2:NBL2"/>
    <mergeCell ref="MZQ2:MZT2"/>
    <mergeCell ref="MZU2:MZX2"/>
    <mergeCell ref="MZY2:NAB2"/>
    <mergeCell ref="NAC2:NAF2"/>
    <mergeCell ref="NAG2:NAJ2"/>
    <mergeCell ref="NAK2:NAN2"/>
    <mergeCell ref="MYS2:MYV2"/>
    <mergeCell ref="MYW2:MYZ2"/>
    <mergeCell ref="MZA2:MZD2"/>
    <mergeCell ref="MZE2:MZH2"/>
    <mergeCell ref="MZI2:MZL2"/>
    <mergeCell ref="MZM2:MZP2"/>
    <mergeCell ref="MXU2:MXX2"/>
    <mergeCell ref="MXY2:MYB2"/>
    <mergeCell ref="MYC2:MYF2"/>
    <mergeCell ref="MYG2:MYJ2"/>
    <mergeCell ref="MYK2:MYN2"/>
    <mergeCell ref="MYO2:MYR2"/>
    <mergeCell ref="MWW2:MWZ2"/>
    <mergeCell ref="MXA2:MXD2"/>
    <mergeCell ref="MXE2:MXH2"/>
    <mergeCell ref="MXI2:MXL2"/>
    <mergeCell ref="MXM2:MXP2"/>
    <mergeCell ref="MXQ2:MXT2"/>
    <mergeCell ref="MVY2:MWB2"/>
    <mergeCell ref="MWC2:MWF2"/>
    <mergeCell ref="MWG2:MWJ2"/>
    <mergeCell ref="MWK2:MWN2"/>
    <mergeCell ref="MWO2:MWR2"/>
    <mergeCell ref="MWS2:MWV2"/>
    <mergeCell ref="MVA2:MVD2"/>
    <mergeCell ref="MVE2:MVH2"/>
    <mergeCell ref="MVI2:MVL2"/>
    <mergeCell ref="MVM2:MVP2"/>
    <mergeCell ref="MVQ2:MVT2"/>
    <mergeCell ref="MVU2:MVX2"/>
    <mergeCell ref="MUC2:MUF2"/>
    <mergeCell ref="MUG2:MUJ2"/>
    <mergeCell ref="MUK2:MUN2"/>
    <mergeCell ref="MUO2:MUR2"/>
    <mergeCell ref="MUS2:MUV2"/>
    <mergeCell ref="MUW2:MUZ2"/>
    <mergeCell ref="MTE2:MTH2"/>
    <mergeCell ref="MTI2:MTL2"/>
    <mergeCell ref="MTM2:MTP2"/>
    <mergeCell ref="MTQ2:MTT2"/>
    <mergeCell ref="MTU2:MTX2"/>
    <mergeCell ref="MTY2:MUB2"/>
    <mergeCell ref="MSG2:MSJ2"/>
    <mergeCell ref="MSK2:MSN2"/>
    <mergeCell ref="MSO2:MSR2"/>
    <mergeCell ref="MSS2:MSV2"/>
    <mergeCell ref="MSW2:MSZ2"/>
    <mergeCell ref="MTA2:MTD2"/>
    <mergeCell ref="MRI2:MRL2"/>
    <mergeCell ref="MRM2:MRP2"/>
    <mergeCell ref="MRQ2:MRT2"/>
    <mergeCell ref="MRU2:MRX2"/>
    <mergeCell ref="MRY2:MSB2"/>
    <mergeCell ref="MSC2:MSF2"/>
    <mergeCell ref="MQK2:MQN2"/>
    <mergeCell ref="MQO2:MQR2"/>
    <mergeCell ref="MQS2:MQV2"/>
    <mergeCell ref="MQW2:MQZ2"/>
    <mergeCell ref="MRA2:MRD2"/>
    <mergeCell ref="MRE2:MRH2"/>
    <mergeCell ref="MPM2:MPP2"/>
    <mergeCell ref="MPQ2:MPT2"/>
    <mergeCell ref="MPU2:MPX2"/>
    <mergeCell ref="MPY2:MQB2"/>
    <mergeCell ref="MQC2:MQF2"/>
    <mergeCell ref="MQG2:MQJ2"/>
    <mergeCell ref="MOO2:MOR2"/>
    <mergeCell ref="MOS2:MOV2"/>
    <mergeCell ref="MOW2:MOZ2"/>
    <mergeCell ref="MPA2:MPD2"/>
    <mergeCell ref="MPE2:MPH2"/>
    <mergeCell ref="MPI2:MPL2"/>
    <mergeCell ref="MNQ2:MNT2"/>
    <mergeCell ref="MNU2:MNX2"/>
    <mergeCell ref="MNY2:MOB2"/>
    <mergeCell ref="MOC2:MOF2"/>
    <mergeCell ref="MOG2:MOJ2"/>
    <mergeCell ref="MOK2:MON2"/>
    <mergeCell ref="MMS2:MMV2"/>
    <mergeCell ref="MMW2:MMZ2"/>
    <mergeCell ref="MNA2:MND2"/>
    <mergeCell ref="MNE2:MNH2"/>
    <mergeCell ref="MNI2:MNL2"/>
    <mergeCell ref="MNM2:MNP2"/>
    <mergeCell ref="MLU2:MLX2"/>
    <mergeCell ref="MLY2:MMB2"/>
    <mergeCell ref="MMC2:MMF2"/>
    <mergeCell ref="MMG2:MMJ2"/>
    <mergeCell ref="MMK2:MMN2"/>
    <mergeCell ref="MMO2:MMR2"/>
    <mergeCell ref="MKW2:MKZ2"/>
    <mergeCell ref="MLA2:MLD2"/>
    <mergeCell ref="MLE2:MLH2"/>
    <mergeCell ref="MLI2:MLL2"/>
    <mergeCell ref="MLM2:MLP2"/>
    <mergeCell ref="MLQ2:MLT2"/>
    <mergeCell ref="MJY2:MKB2"/>
    <mergeCell ref="MKC2:MKF2"/>
    <mergeCell ref="MKG2:MKJ2"/>
    <mergeCell ref="MKK2:MKN2"/>
    <mergeCell ref="MKO2:MKR2"/>
    <mergeCell ref="MKS2:MKV2"/>
    <mergeCell ref="MJA2:MJD2"/>
    <mergeCell ref="MJE2:MJH2"/>
    <mergeCell ref="MJI2:MJL2"/>
    <mergeCell ref="MJM2:MJP2"/>
    <mergeCell ref="MJQ2:MJT2"/>
    <mergeCell ref="MJU2:MJX2"/>
    <mergeCell ref="MIC2:MIF2"/>
    <mergeCell ref="MIG2:MIJ2"/>
    <mergeCell ref="MIK2:MIN2"/>
    <mergeCell ref="MIO2:MIR2"/>
    <mergeCell ref="MIS2:MIV2"/>
    <mergeCell ref="MIW2:MIZ2"/>
    <mergeCell ref="MHE2:MHH2"/>
    <mergeCell ref="MHI2:MHL2"/>
    <mergeCell ref="MHM2:MHP2"/>
    <mergeCell ref="MHQ2:MHT2"/>
    <mergeCell ref="MHU2:MHX2"/>
    <mergeCell ref="MHY2:MIB2"/>
    <mergeCell ref="MGG2:MGJ2"/>
    <mergeCell ref="MGK2:MGN2"/>
    <mergeCell ref="MGO2:MGR2"/>
    <mergeCell ref="MGS2:MGV2"/>
    <mergeCell ref="MGW2:MGZ2"/>
    <mergeCell ref="MHA2:MHD2"/>
    <mergeCell ref="MFI2:MFL2"/>
    <mergeCell ref="MFM2:MFP2"/>
    <mergeCell ref="MFQ2:MFT2"/>
    <mergeCell ref="MFU2:MFX2"/>
    <mergeCell ref="MFY2:MGB2"/>
    <mergeCell ref="MGC2:MGF2"/>
    <mergeCell ref="MEK2:MEN2"/>
    <mergeCell ref="MEO2:MER2"/>
    <mergeCell ref="MES2:MEV2"/>
    <mergeCell ref="MEW2:MEZ2"/>
    <mergeCell ref="MFA2:MFD2"/>
    <mergeCell ref="MFE2:MFH2"/>
    <mergeCell ref="MDM2:MDP2"/>
    <mergeCell ref="MDQ2:MDT2"/>
    <mergeCell ref="MDU2:MDX2"/>
    <mergeCell ref="MDY2:MEB2"/>
    <mergeCell ref="MEC2:MEF2"/>
    <mergeCell ref="MEG2:MEJ2"/>
    <mergeCell ref="MCO2:MCR2"/>
    <mergeCell ref="MCS2:MCV2"/>
    <mergeCell ref="MCW2:MCZ2"/>
    <mergeCell ref="MDA2:MDD2"/>
    <mergeCell ref="MDE2:MDH2"/>
    <mergeCell ref="MDI2:MDL2"/>
    <mergeCell ref="MBQ2:MBT2"/>
    <mergeCell ref="MBU2:MBX2"/>
    <mergeCell ref="MBY2:MCB2"/>
    <mergeCell ref="MCC2:MCF2"/>
    <mergeCell ref="MCG2:MCJ2"/>
    <mergeCell ref="MCK2:MCN2"/>
    <mergeCell ref="MAS2:MAV2"/>
    <mergeCell ref="MAW2:MAZ2"/>
    <mergeCell ref="MBA2:MBD2"/>
    <mergeCell ref="MBE2:MBH2"/>
    <mergeCell ref="MBI2:MBL2"/>
    <mergeCell ref="MBM2:MBP2"/>
    <mergeCell ref="LZU2:LZX2"/>
    <mergeCell ref="LZY2:MAB2"/>
    <mergeCell ref="MAC2:MAF2"/>
    <mergeCell ref="MAG2:MAJ2"/>
    <mergeCell ref="MAK2:MAN2"/>
    <mergeCell ref="MAO2:MAR2"/>
    <mergeCell ref="LYW2:LYZ2"/>
    <mergeCell ref="LZA2:LZD2"/>
    <mergeCell ref="LZE2:LZH2"/>
    <mergeCell ref="LZI2:LZL2"/>
    <mergeCell ref="LZM2:LZP2"/>
    <mergeCell ref="LZQ2:LZT2"/>
    <mergeCell ref="LXY2:LYB2"/>
    <mergeCell ref="LYC2:LYF2"/>
    <mergeCell ref="LYG2:LYJ2"/>
    <mergeCell ref="LYK2:LYN2"/>
    <mergeCell ref="LYO2:LYR2"/>
    <mergeCell ref="LYS2:LYV2"/>
    <mergeCell ref="LXA2:LXD2"/>
    <mergeCell ref="LXE2:LXH2"/>
    <mergeCell ref="LXI2:LXL2"/>
    <mergeCell ref="LXM2:LXP2"/>
    <mergeCell ref="LXQ2:LXT2"/>
    <mergeCell ref="LXU2:LXX2"/>
    <mergeCell ref="LWC2:LWF2"/>
    <mergeCell ref="LWG2:LWJ2"/>
    <mergeCell ref="LWK2:LWN2"/>
    <mergeCell ref="LWO2:LWR2"/>
    <mergeCell ref="LWS2:LWV2"/>
    <mergeCell ref="LWW2:LWZ2"/>
    <mergeCell ref="LVE2:LVH2"/>
    <mergeCell ref="LVI2:LVL2"/>
    <mergeCell ref="LVM2:LVP2"/>
    <mergeCell ref="LVQ2:LVT2"/>
    <mergeCell ref="LVU2:LVX2"/>
    <mergeCell ref="LVY2:LWB2"/>
    <mergeCell ref="LUG2:LUJ2"/>
    <mergeCell ref="LUK2:LUN2"/>
    <mergeCell ref="LUO2:LUR2"/>
    <mergeCell ref="LUS2:LUV2"/>
    <mergeCell ref="LUW2:LUZ2"/>
    <mergeCell ref="LVA2:LVD2"/>
    <mergeCell ref="LTI2:LTL2"/>
    <mergeCell ref="LTM2:LTP2"/>
    <mergeCell ref="LTQ2:LTT2"/>
    <mergeCell ref="LTU2:LTX2"/>
    <mergeCell ref="LTY2:LUB2"/>
    <mergeCell ref="LUC2:LUF2"/>
    <mergeCell ref="LSK2:LSN2"/>
    <mergeCell ref="LSO2:LSR2"/>
    <mergeCell ref="LSS2:LSV2"/>
    <mergeCell ref="LSW2:LSZ2"/>
    <mergeCell ref="LTA2:LTD2"/>
    <mergeCell ref="LTE2:LTH2"/>
    <mergeCell ref="LRM2:LRP2"/>
    <mergeCell ref="LRQ2:LRT2"/>
    <mergeCell ref="LRU2:LRX2"/>
    <mergeCell ref="LRY2:LSB2"/>
    <mergeCell ref="LSC2:LSF2"/>
    <mergeCell ref="LSG2:LSJ2"/>
    <mergeCell ref="LQO2:LQR2"/>
    <mergeCell ref="LQS2:LQV2"/>
    <mergeCell ref="LQW2:LQZ2"/>
    <mergeCell ref="LRA2:LRD2"/>
    <mergeCell ref="LRE2:LRH2"/>
    <mergeCell ref="LRI2:LRL2"/>
    <mergeCell ref="LPQ2:LPT2"/>
    <mergeCell ref="LPU2:LPX2"/>
    <mergeCell ref="LPY2:LQB2"/>
    <mergeCell ref="LQC2:LQF2"/>
    <mergeCell ref="LQG2:LQJ2"/>
    <mergeCell ref="LQK2:LQN2"/>
    <mergeCell ref="LOS2:LOV2"/>
    <mergeCell ref="LOW2:LOZ2"/>
    <mergeCell ref="LPA2:LPD2"/>
    <mergeCell ref="LPE2:LPH2"/>
    <mergeCell ref="LPI2:LPL2"/>
    <mergeCell ref="LPM2:LPP2"/>
    <mergeCell ref="LNU2:LNX2"/>
    <mergeCell ref="LNY2:LOB2"/>
    <mergeCell ref="LOC2:LOF2"/>
    <mergeCell ref="LOG2:LOJ2"/>
    <mergeCell ref="LOK2:LON2"/>
    <mergeCell ref="LOO2:LOR2"/>
    <mergeCell ref="LMW2:LMZ2"/>
    <mergeCell ref="LNA2:LND2"/>
    <mergeCell ref="LNE2:LNH2"/>
    <mergeCell ref="LNI2:LNL2"/>
    <mergeCell ref="LNM2:LNP2"/>
    <mergeCell ref="LNQ2:LNT2"/>
    <mergeCell ref="LLY2:LMB2"/>
    <mergeCell ref="LMC2:LMF2"/>
    <mergeCell ref="LMG2:LMJ2"/>
    <mergeCell ref="LMK2:LMN2"/>
    <mergeCell ref="LMO2:LMR2"/>
    <mergeCell ref="LMS2:LMV2"/>
    <mergeCell ref="LLA2:LLD2"/>
    <mergeCell ref="LLE2:LLH2"/>
    <mergeCell ref="LLI2:LLL2"/>
    <mergeCell ref="LLM2:LLP2"/>
    <mergeCell ref="LLQ2:LLT2"/>
    <mergeCell ref="LLU2:LLX2"/>
    <mergeCell ref="LKC2:LKF2"/>
    <mergeCell ref="LKG2:LKJ2"/>
    <mergeCell ref="LKK2:LKN2"/>
    <mergeCell ref="LKO2:LKR2"/>
    <mergeCell ref="LKS2:LKV2"/>
    <mergeCell ref="LKW2:LKZ2"/>
    <mergeCell ref="LJE2:LJH2"/>
    <mergeCell ref="LJI2:LJL2"/>
    <mergeCell ref="LJM2:LJP2"/>
    <mergeCell ref="LJQ2:LJT2"/>
    <mergeCell ref="LJU2:LJX2"/>
    <mergeCell ref="LJY2:LKB2"/>
    <mergeCell ref="LIG2:LIJ2"/>
    <mergeCell ref="LIK2:LIN2"/>
    <mergeCell ref="LIO2:LIR2"/>
    <mergeCell ref="LIS2:LIV2"/>
    <mergeCell ref="LIW2:LIZ2"/>
    <mergeCell ref="LJA2:LJD2"/>
    <mergeCell ref="LHI2:LHL2"/>
    <mergeCell ref="LHM2:LHP2"/>
    <mergeCell ref="LHQ2:LHT2"/>
    <mergeCell ref="LHU2:LHX2"/>
    <mergeCell ref="LHY2:LIB2"/>
    <mergeCell ref="LIC2:LIF2"/>
    <mergeCell ref="LGK2:LGN2"/>
    <mergeCell ref="LGO2:LGR2"/>
    <mergeCell ref="LGS2:LGV2"/>
    <mergeCell ref="LGW2:LGZ2"/>
    <mergeCell ref="LHA2:LHD2"/>
    <mergeCell ref="LHE2:LHH2"/>
    <mergeCell ref="LFM2:LFP2"/>
    <mergeCell ref="LFQ2:LFT2"/>
    <mergeCell ref="LFU2:LFX2"/>
    <mergeCell ref="LFY2:LGB2"/>
    <mergeCell ref="LGC2:LGF2"/>
    <mergeCell ref="LGG2:LGJ2"/>
    <mergeCell ref="LEO2:LER2"/>
    <mergeCell ref="LES2:LEV2"/>
    <mergeCell ref="LEW2:LEZ2"/>
    <mergeCell ref="LFA2:LFD2"/>
    <mergeCell ref="LFE2:LFH2"/>
    <mergeCell ref="LFI2:LFL2"/>
    <mergeCell ref="LDQ2:LDT2"/>
    <mergeCell ref="LDU2:LDX2"/>
    <mergeCell ref="LDY2:LEB2"/>
    <mergeCell ref="LEC2:LEF2"/>
    <mergeCell ref="LEG2:LEJ2"/>
    <mergeCell ref="LEK2:LEN2"/>
    <mergeCell ref="LCS2:LCV2"/>
    <mergeCell ref="LCW2:LCZ2"/>
    <mergeCell ref="LDA2:LDD2"/>
    <mergeCell ref="LDE2:LDH2"/>
    <mergeCell ref="LDI2:LDL2"/>
    <mergeCell ref="LDM2:LDP2"/>
    <mergeCell ref="LBU2:LBX2"/>
    <mergeCell ref="LBY2:LCB2"/>
    <mergeCell ref="LCC2:LCF2"/>
    <mergeCell ref="LCG2:LCJ2"/>
    <mergeCell ref="LCK2:LCN2"/>
    <mergeCell ref="LCO2:LCR2"/>
    <mergeCell ref="LAW2:LAZ2"/>
    <mergeCell ref="LBA2:LBD2"/>
    <mergeCell ref="LBE2:LBH2"/>
    <mergeCell ref="LBI2:LBL2"/>
    <mergeCell ref="LBM2:LBP2"/>
    <mergeCell ref="LBQ2:LBT2"/>
    <mergeCell ref="KZY2:LAB2"/>
    <mergeCell ref="LAC2:LAF2"/>
    <mergeCell ref="LAG2:LAJ2"/>
    <mergeCell ref="LAK2:LAN2"/>
    <mergeCell ref="LAO2:LAR2"/>
    <mergeCell ref="LAS2:LAV2"/>
    <mergeCell ref="KZA2:KZD2"/>
    <mergeCell ref="KZE2:KZH2"/>
    <mergeCell ref="KZI2:KZL2"/>
    <mergeCell ref="KZM2:KZP2"/>
    <mergeCell ref="KZQ2:KZT2"/>
    <mergeCell ref="KZU2:KZX2"/>
    <mergeCell ref="KYC2:KYF2"/>
    <mergeCell ref="KYG2:KYJ2"/>
    <mergeCell ref="KYK2:KYN2"/>
    <mergeCell ref="KYO2:KYR2"/>
    <mergeCell ref="KYS2:KYV2"/>
    <mergeCell ref="KYW2:KYZ2"/>
    <mergeCell ref="KXE2:KXH2"/>
    <mergeCell ref="KXI2:KXL2"/>
    <mergeCell ref="KXM2:KXP2"/>
    <mergeCell ref="KXQ2:KXT2"/>
    <mergeCell ref="KXU2:KXX2"/>
    <mergeCell ref="KXY2:KYB2"/>
    <mergeCell ref="KWG2:KWJ2"/>
    <mergeCell ref="KWK2:KWN2"/>
    <mergeCell ref="KWO2:KWR2"/>
    <mergeCell ref="KWS2:KWV2"/>
    <mergeCell ref="KWW2:KWZ2"/>
    <mergeCell ref="KXA2:KXD2"/>
    <mergeCell ref="KVI2:KVL2"/>
    <mergeCell ref="KVM2:KVP2"/>
    <mergeCell ref="KVQ2:KVT2"/>
    <mergeCell ref="KVU2:KVX2"/>
    <mergeCell ref="KVY2:KWB2"/>
    <mergeCell ref="KWC2:KWF2"/>
    <mergeCell ref="KUK2:KUN2"/>
    <mergeCell ref="KUO2:KUR2"/>
    <mergeCell ref="KUS2:KUV2"/>
    <mergeCell ref="KUW2:KUZ2"/>
    <mergeCell ref="KVA2:KVD2"/>
    <mergeCell ref="KVE2:KVH2"/>
    <mergeCell ref="KTM2:KTP2"/>
    <mergeCell ref="KTQ2:KTT2"/>
    <mergeCell ref="KTU2:KTX2"/>
    <mergeCell ref="KTY2:KUB2"/>
    <mergeCell ref="KUC2:KUF2"/>
    <mergeCell ref="KUG2:KUJ2"/>
    <mergeCell ref="KSO2:KSR2"/>
    <mergeCell ref="KSS2:KSV2"/>
    <mergeCell ref="KSW2:KSZ2"/>
    <mergeCell ref="KTA2:KTD2"/>
    <mergeCell ref="KTE2:KTH2"/>
    <mergeCell ref="KTI2:KTL2"/>
    <mergeCell ref="KRQ2:KRT2"/>
    <mergeCell ref="KRU2:KRX2"/>
    <mergeCell ref="KRY2:KSB2"/>
    <mergeCell ref="KSC2:KSF2"/>
    <mergeCell ref="KSG2:KSJ2"/>
    <mergeCell ref="KSK2:KSN2"/>
    <mergeCell ref="KQS2:KQV2"/>
    <mergeCell ref="KQW2:KQZ2"/>
    <mergeCell ref="KRA2:KRD2"/>
    <mergeCell ref="KRE2:KRH2"/>
    <mergeCell ref="KRI2:KRL2"/>
    <mergeCell ref="KRM2:KRP2"/>
    <mergeCell ref="KPU2:KPX2"/>
    <mergeCell ref="KPY2:KQB2"/>
    <mergeCell ref="KQC2:KQF2"/>
    <mergeCell ref="KQG2:KQJ2"/>
    <mergeCell ref="KQK2:KQN2"/>
    <mergeCell ref="KQO2:KQR2"/>
    <mergeCell ref="KOW2:KOZ2"/>
    <mergeCell ref="KPA2:KPD2"/>
    <mergeCell ref="KPE2:KPH2"/>
    <mergeCell ref="KPI2:KPL2"/>
    <mergeCell ref="KPM2:KPP2"/>
    <mergeCell ref="KPQ2:KPT2"/>
    <mergeCell ref="KNY2:KOB2"/>
    <mergeCell ref="KOC2:KOF2"/>
    <mergeCell ref="KOG2:KOJ2"/>
    <mergeCell ref="KOK2:KON2"/>
    <mergeCell ref="KOO2:KOR2"/>
    <mergeCell ref="KOS2:KOV2"/>
    <mergeCell ref="KNA2:KND2"/>
    <mergeCell ref="KNE2:KNH2"/>
    <mergeCell ref="KNI2:KNL2"/>
    <mergeCell ref="KNM2:KNP2"/>
    <mergeCell ref="KNQ2:KNT2"/>
    <mergeCell ref="KNU2:KNX2"/>
    <mergeCell ref="KMC2:KMF2"/>
    <mergeCell ref="KMG2:KMJ2"/>
    <mergeCell ref="KMK2:KMN2"/>
    <mergeCell ref="KMO2:KMR2"/>
    <mergeCell ref="KMS2:KMV2"/>
    <mergeCell ref="KMW2:KMZ2"/>
    <mergeCell ref="KLE2:KLH2"/>
    <mergeCell ref="KLI2:KLL2"/>
    <mergeCell ref="KLM2:KLP2"/>
    <mergeCell ref="KLQ2:KLT2"/>
    <mergeCell ref="KLU2:KLX2"/>
    <mergeCell ref="KLY2:KMB2"/>
    <mergeCell ref="KKG2:KKJ2"/>
    <mergeCell ref="KKK2:KKN2"/>
    <mergeCell ref="KKO2:KKR2"/>
    <mergeCell ref="KKS2:KKV2"/>
    <mergeCell ref="KKW2:KKZ2"/>
    <mergeCell ref="KLA2:KLD2"/>
    <mergeCell ref="KJI2:KJL2"/>
    <mergeCell ref="KJM2:KJP2"/>
    <mergeCell ref="KJQ2:KJT2"/>
    <mergeCell ref="KJU2:KJX2"/>
    <mergeCell ref="KJY2:KKB2"/>
    <mergeCell ref="KKC2:KKF2"/>
    <mergeCell ref="KIK2:KIN2"/>
    <mergeCell ref="KIO2:KIR2"/>
    <mergeCell ref="KIS2:KIV2"/>
    <mergeCell ref="KIW2:KIZ2"/>
    <mergeCell ref="KJA2:KJD2"/>
    <mergeCell ref="KJE2:KJH2"/>
    <mergeCell ref="KHM2:KHP2"/>
    <mergeCell ref="KHQ2:KHT2"/>
    <mergeCell ref="KHU2:KHX2"/>
    <mergeCell ref="KHY2:KIB2"/>
    <mergeCell ref="KIC2:KIF2"/>
    <mergeCell ref="KIG2:KIJ2"/>
    <mergeCell ref="KGO2:KGR2"/>
    <mergeCell ref="KGS2:KGV2"/>
    <mergeCell ref="KGW2:KGZ2"/>
    <mergeCell ref="KHA2:KHD2"/>
    <mergeCell ref="KHE2:KHH2"/>
    <mergeCell ref="KHI2:KHL2"/>
    <mergeCell ref="KFQ2:KFT2"/>
    <mergeCell ref="KFU2:KFX2"/>
    <mergeCell ref="KFY2:KGB2"/>
    <mergeCell ref="KGC2:KGF2"/>
    <mergeCell ref="KGG2:KGJ2"/>
    <mergeCell ref="KGK2:KGN2"/>
    <mergeCell ref="KES2:KEV2"/>
    <mergeCell ref="KEW2:KEZ2"/>
    <mergeCell ref="KFA2:KFD2"/>
    <mergeCell ref="KFE2:KFH2"/>
    <mergeCell ref="KFI2:KFL2"/>
    <mergeCell ref="KFM2:KFP2"/>
    <mergeCell ref="KDU2:KDX2"/>
    <mergeCell ref="KDY2:KEB2"/>
    <mergeCell ref="KEC2:KEF2"/>
    <mergeCell ref="KEG2:KEJ2"/>
    <mergeCell ref="KEK2:KEN2"/>
    <mergeCell ref="KEO2:KER2"/>
    <mergeCell ref="KCW2:KCZ2"/>
    <mergeCell ref="KDA2:KDD2"/>
    <mergeCell ref="KDE2:KDH2"/>
    <mergeCell ref="KDI2:KDL2"/>
    <mergeCell ref="KDM2:KDP2"/>
    <mergeCell ref="KDQ2:KDT2"/>
    <mergeCell ref="KBY2:KCB2"/>
    <mergeCell ref="KCC2:KCF2"/>
    <mergeCell ref="KCG2:KCJ2"/>
    <mergeCell ref="KCK2:KCN2"/>
    <mergeCell ref="KCO2:KCR2"/>
    <mergeCell ref="KCS2:KCV2"/>
    <mergeCell ref="KBA2:KBD2"/>
    <mergeCell ref="KBE2:KBH2"/>
    <mergeCell ref="KBI2:KBL2"/>
    <mergeCell ref="KBM2:KBP2"/>
    <mergeCell ref="KBQ2:KBT2"/>
    <mergeCell ref="KBU2:KBX2"/>
    <mergeCell ref="KAC2:KAF2"/>
    <mergeCell ref="KAG2:KAJ2"/>
    <mergeCell ref="KAK2:KAN2"/>
    <mergeCell ref="KAO2:KAR2"/>
    <mergeCell ref="KAS2:KAV2"/>
    <mergeCell ref="KAW2:KAZ2"/>
    <mergeCell ref="JZE2:JZH2"/>
    <mergeCell ref="JZI2:JZL2"/>
    <mergeCell ref="JZM2:JZP2"/>
    <mergeCell ref="JZQ2:JZT2"/>
    <mergeCell ref="JZU2:JZX2"/>
    <mergeCell ref="JZY2:KAB2"/>
    <mergeCell ref="JYG2:JYJ2"/>
    <mergeCell ref="JYK2:JYN2"/>
    <mergeCell ref="JYO2:JYR2"/>
    <mergeCell ref="JYS2:JYV2"/>
    <mergeCell ref="JYW2:JYZ2"/>
    <mergeCell ref="JZA2:JZD2"/>
    <mergeCell ref="JXI2:JXL2"/>
    <mergeCell ref="JXM2:JXP2"/>
    <mergeCell ref="JXQ2:JXT2"/>
    <mergeCell ref="JXU2:JXX2"/>
    <mergeCell ref="JXY2:JYB2"/>
    <mergeCell ref="JYC2:JYF2"/>
    <mergeCell ref="JWK2:JWN2"/>
    <mergeCell ref="JWO2:JWR2"/>
    <mergeCell ref="JWS2:JWV2"/>
    <mergeCell ref="JWW2:JWZ2"/>
    <mergeCell ref="JXA2:JXD2"/>
    <mergeCell ref="JXE2:JXH2"/>
    <mergeCell ref="JVM2:JVP2"/>
    <mergeCell ref="JVQ2:JVT2"/>
    <mergeCell ref="JVU2:JVX2"/>
    <mergeCell ref="JVY2:JWB2"/>
    <mergeCell ref="JWC2:JWF2"/>
    <mergeCell ref="JWG2:JWJ2"/>
    <mergeCell ref="JUO2:JUR2"/>
    <mergeCell ref="JUS2:JUV2"/>
    <mergeCell ref="JUW2:JUZ2"/>
    <mergeCell ref="JVA2:JVD2"/>
    <mergeCell ref="JVE2:JVH2"/>
    <mergeCell ref="JVI2:JVL2"/>
    <mergeCell ref="JTQ2:JTT2"/>
    <mergeCell ref="JTU2:JTX2"/>
    <mergeCell ref="JTY2:JUB2"/>
    <mergeCell ref="JUC2:JUF2"/>
    <mergeCell ref="JUG2:JUJ2"/>
    <mergeCell ref="JUK2:JUN2"/>
    <mergeCell ref="JSS2:JSV2"/>
    <mergeCell ref="JSW2:JSZ2"/>
    <mergeCell ref="JTA2:JTD2"/>
    <mergeCell ref="JTE2:JTH2"/>
    <mergeCell ref="JTI2:JTL2"/>
    <mergeCell ref="JTM2:JTP2"/>
    <mergeCell ref="JRU2:JRX2"/>
    <mergeCell ref="JRY2:JSB2"/>
    <mergeCell ref="JSC2:JSF2"/>
    <mergeCell ref="JSG2:JSJ2"/>
    <mergeCell ref="JSK2:JSN2"/>
    <mergeCell ref="JSO2:JSR2"/>
    <mergeCell ref="JQW2:JQZ2"/>
    <mergeCell ref="JRA2:JRD2"/>
    <mergeCell ref="JRE2:JRH2"/>
    <mergeCell ref="JRI2:JRL2"/>
    <mergeCell ref="JRM2:JRP2"/>
    <mergeCell ref="JRQ2:JRT2"/>
    <mergeCell ref="JPY2:JQB2"/>
    <mergeCell ref="JQC2:JQF2"/>
    <mergeCell ref="JQG2:JQJ2"/>
    <mergeCell ref="JQK2:JQN2"/>
    <mergeCell ref="JQO2:JQR2"/>
    <mergeCell ref="JQS2:JQV2"/>
    <mergeCell ref="JPA2:JPD2"/>
    <mergeCell ref="JPE2:JPH2"/>
    <mergeCell ref="JPI2:JPL2"/>
    <mergeCell ref="JPM2:JPP2"/>
    <mergeCell ref="JPQ2:JPT2"/>
    <mergeCell ref="JPU2:JPX2"/>
    <mergeCell ref="JOC2:JOF2"/>
    <mergeCell ref="JOG2:JOJ2"/>
    <mergeCell ref="JOK2:JON2"/>
    <mergeCell ref="JOO2:JOR2"/>
    <mergeCell ref="JOS2:JOV2"/>
    <mergeCell ref="JOW2:JOZ2"/>
    <mergeCell ref="JNE2:JNH2"/>
    <mergeCell ref="JNI2:JNL2"/>
    <mergeCell ref="JNM2:JNP2"/>
    <mergeCell ref="JNQ2:JNT2"/>
    <mergeCell ref="JNU2:JNX2"/>
    <mergeCell ref="JNY2:JOB2"/>
    <mergeCell ref="JMG2:JMJ2"/>
    <mergeCell ref="JMK2:JMN2"/>
    <mergeCell ref="JMO2:JMR2"/>
    <mergeCell ref="JMS2:JMV2"/>
    <mergeCell ref="JMW2:JMZ2"/>
    <mergeCell ref="JNA2:JND2"/>
    <mergeCell ref="JLI2:JLL2"/>
    <mergeCell ref="JLM2:JLP2"/>
    <mergeCell ref="JLQ2:JLT2"/>
    <mergeCell ref="JLU2:JLX2"/>
    <mergeCell ref="JLY2:JMB2"/>
    <mergeCell ref="JMC2:JMF2"/>
    <mergeCell ref="JKK2:JKN2"/>
    <mergeCell ref="JKO2:JKR2"/>
    <mergeCell ref="JKS2:JKV2"/>
    <mergeCell ref="JKW2:JKZ2"/>
    <mergeCell ref="JLA2:JLD2"/>
    <mergeCell ref="JLE2:JLH2"/>
    <mergeCell ref="JJM2:JJP2"/>
    <mergeCell ref="JJQ2:JJT2"/>
    <mergeCell ref="JJU2:JJX2"/>
    <mergeCell ref="JJY2:JKB2"/>
    <mergeCell ref="JKC2:JKF2"/>
    <mergeCell ref="JKG2:JKJ2"/>
    <mergeCell ref="JIO2:JIR2"/>
    <mergeCell ref="JIS2:JIV2"/>
    <mergeCell ref="JIW2:JIZ2"/>
    <mergeCell ref="JJA2:JJD2"/>
    <mergeCell ref="JJE2:JJH2"/>
    <mergeCell ref="JJI2:JJL2"/>
    <mergeCell ref="JHQ2:JHT2"/>
    <mergeCell ref="JHU2:JHX2"/>
    <mergeCell ref="JHY2:JIB2"/>
    <mergeCell ref="JIC2:JIF2"/>
    <mergeCell ref="JIG2:JIJ2"/>
    <mergeCell ref="JIK2:JIN2"/>
    <mergeCell ref="JGS2:JGV2"/>
    <mergeCell ref="JGW2:JGZ2"/>
    <mergeCell ref="JHA2:JHD2"/>
    <mergeCell ref="JHE2:JHH2"/>
    <mergeCell ref="JHI2:JHL2"/>
    <mergeCell ref="JHM2:JHP2"/>
    <mergeCell ref="JFU2:JFX2"/>
    <mergeCell ref="JFY2:JGB2"/>
    <mergeCell ref="JGC2:JGF2"/>
    <mergeCell ref="JGG2:JGJ2"/>
    <mergeCell ref="JGK2:JGN2"/>
    <mergeCell ref="JGO2:JGR2"/>
    <mergeCell ref="JEW2:JEZ2"/>
    <mergeCell ref="JFA2:JFD2"/>
    <mergeCell ref="JFE2:JFH2"/>
    <mergeCell ref="JFI2:JFL2"/>
    <mergeCell ref="JFM2:JFP2"/>
    <mergeCell ref="JFQ2:JFT2"/>
    <mergeCell ref="JDY2:JEB2"/>
    <mergeCell ref="JEC2:JEF2"/>
    <mergeCell ref="JEG2:JEJ2"/>
    <mergeCell ref="JEK2:JEN2"/>
    <mergeCell ref="JEO2:JER2"/>
    <mergeCell ref="JES2:JEV2"/>
    <mergeCell ref="JDA2:JDD2"/>
    <mergeCell ref="JDE2:JDH2"/>
    <mergeCell ref="JDI2:JDL2"/>
    <mergeCell ref="JDM2:JDP2"/>
    <mergeCell ref="JDQ2:JDT2"/>
    <mergeCell ref="JDU2:JDX2"/>
    <mergeCell ref="JCC2:JCF2"/>
    <mergeCell ref="JCG2:JCJ2"/>
    <mergeCell ref="JCK2:JCN2"/>
    <mergeCell ref="JCO2:JCR2"/>
    <mergeCell ref="JCS2:JCV2"/>
    <mergeCell ref="JCW2:JCZ2"/>
    <mergeCell ref="JBE2:JBH2"/>
    <mergeCell ref="JBI2:JBL2"/>
    <mergeCell ref="JBM2:JBP2"/>
    <mergeCell ref="JBQ2:JBT2"/>
    <mergeCell ref="JBU2:JBX2"/>
    <mergeCell ref="JBY2:JCB2"/>
    <mergeCell ref="JAG2:JAJ2"/>
    <mergeCell ref="JAK2:JAN2"/>
    <mergeCell ref="JAO2:JAR2"/>
    <mergeCell ref="JAS2:JAV2"/>
    <mergeCell ref="JAW2:JAZ2"/>
    <mergeCell ref="JBA2:JBD2"/>
    <mergeCell ref="IZI2:IZL2"/>
    <mergeCell ref="IZM2:IZP2"/>
    <mergeCell ref="IZQ2:IZT2"/>
    <mergeCell ref="IZU2:IZX2"/>
    <mergeCell ref="IZY2:JAB2"/>
    <mergeCell ref="JAC2:JAF2"/>
    <mergeCell ref="IYK2:IYN2"/>
    <mergeCell ref="IYO2:IYR2"/>
    <mergeCell ref="IYS2:IYV2"/>
    <mergeCell ref="IYW2:IYZ2"/>
    <mergeCell ref="IZA2:IZD2"/>
    <mergeCell ref="IZE2:IZH2"/>
    <mergeCell ref="IXM2:IXP2"/>
    <mergeCell ref="IXQ2:IXT2"/>
    <mergeCell ref="IXU2:IXX2"/>
    <mergeCell ref="IXY2:IYB2"/>
    <mergeCell ref="IYC2:IYF2"/>
    <mergeCell ref="IYG2:IYJ2"/>
    <mergeCell ref="IWO2:IWR2"/>
    <mergeCell ref="IWS2:IWV2"/>
    <mergeCell ref="IWW2:IWZ2"/>
    <mergeCell ref="IXA2:IXD2"/>
    <mergeCell ref="IXE2:IXH2"/>
    <mergeCell ref="IXI2:IXL2"/>
    <mergeCell ref="IVQ2:IVT2"/>
    <mergeCell ref="IVU2:IVX2"/>
    <mergeCell ref="IVY2:IWB2"/>
    <mergeCell ref="IWC2:IWF2"/>
    <mergeCell ref="IWG2:IWJ2"/>
    <mergeCell ref="IWK2:IWN2"/>
    <mergeCell ref="IUS2:IUV2"/>
    <mergeCell ref="IUW2:IUZ2"/>
    <mergeCell ref="IVA2:IVD2"/>
    <mergeCell ref="IVE2:IVH2"/>
    <mergeCell ref="IVI2:IVL2"/>
    <mergeCell ref="IVM2:IVP2"/>
    <mergeCell ref="ITU2:ITX2"/>
    <mergeCell ref="ITY2:IUB2"/>
    <mergeCell ref="IUC2:IUF2"/>
    <mergeCell ref="IUG2:IUJ2"/>
    <mergeCell ref="IUK2:IUN2"/>
    <mergeCell ref="IUO2:IUR2"/>
    <mergeCell ref="ISW2:ISZ2"/>
    <mergeCell ref="ITA2:ITD2"/>
    <mergeCell ref="ITE2:ITH2"/>
    <mergeCell ref="ITI2:ITL2"/>
    <mergeCell ref="ITM2:ITP2"/>
    <mergeCell ref="ITQ2:ITT2"/>
    <mergeCell ref="IRY2:ISB2"/>
    <mergeCell ref="ISC2:ISF2"/>
    <mergeCell ref="ISG2:ISJ2"/>
    <mergeCell ref="ISK2:ISN2"/>
    <mergeCell ref="ISO2:ISR2"/>
    <mergeCell ref="ISS2:ISV2"/>
    <mergeCell ref="IRA2:IRD2"/>
    <mergeCell ref="IRE2:IRH2"/>
    <mergeCell ref="IRI2:IRL2"/>
    <mergeCell ref="IRM2:IRP2"/>
    <mergeCell ref="IRQ2:IRT2"/>
    <mergeCell ref="IRU2:IRX2"/>
    <mergeCell ref="IQC2:IQF2"/>
    <mergeCell ref="IQG2:IQJ2"/>
    <mergeCell ref="IQK2:IQN2"/>
    <mergeCell ref="IQO2:IQR2"/>
    <mergeCell ref="IQS2:IQV2"/>
    <mergeCell ref="IQW2:IQZ2"/>
    <mergeCell ref="IPE2:IPH2"/>
    <mergeCell ref="IPI2:IPL2"/>
    <mergeCell ref="IPM2:IPP2"/>
    <mergeCell ref="IPQ2:IPT2"/>
    <mergeCell ref="IPU2:IPX2"/>
    <mergeCell ref="IPY2:IQB2"/>
    <mergeCell ref="IOG2:IOJ2"/>
    <mergeCell ref="IOK2:ION2"/>
    <mergeCell ref="IOO2:IOR2"/>
    <mergeCell ref="IOS2:IOV2"/>
    <mergeCell ref="IOW2:IOZ2"/>
    <mergeCell ref="IPA2:IPD2"/>
    <mergeCell ref="INI2:INL2"/>
    <mergeCell ref="INM2:INP2"/>
    <mergeCell ref="INQ2:INT2"/>
    <mergeCell ref="INU2:INX2"/>
    <mergeCell ref="INY2:IOB2"/>
    <mergeCell ref="IOC2:IOF2"/>
    <mergeCell ref="IMK2:IMN2"/>
    <mergeCell ref="IMO2:IMR2"/>
    <mergeCell ref="IMS2:IMV2"/>
    <mergeCell ref="IMW2:IMZ2"/>
    <mergeCell ref="INA2:IND2"/>
    <mergeCell ref="INE2:INH2"/>
    <mergeCell ref="ILM2:ILP2"/>
    <mergeCell ref="ILQ2:ILT2"/>
    <mergeCell ref="ILU2:ILX2"/>
    <mergeCell ref="ILY2:IMB2"/>
    <mergeCell ref="IMC2:IMF2"/>
    <mergeCell ref="IMG2:IMJ2"/>
    <mergeCell ref="IKO2:IKR2"/>
    <mergeCell ref="IKS2:IKV2"/>
    <mergeCell ref="IKW2:IKZ2"/>
    <mergeCell ref="ILA2:ILD2"/>
    <mergeCell ref="ILE2:ILH2"/>
    <mergeCell ref="ILI2:ILL2"/>
    <mergeCell ref="IJQ2:IJT2"/>
    <mergeCell ref="IJU2:IJX2"/>
    <mergeCell ref="IJY2:IKB2"/>
    <mergeCell ref="IKC2:IKF2"/>
    <mergeCell ref="IKG2:IKJ2"/>
    <mergeCell ref="IKK2:IKN2"/>
    <mergeCell ref="IIS2:IIV2"/>
    <mergeCell ref="IIW2:IIZ2"/>
    <mergeCell ref="IJA2:IJD2"/>
    <mergeCell ref="IJE2:IJH2"/>
    <mergeCell ref="IJI2:IJL2"/>
    <mergeCell ref="IJM2:IJP2"/>
    <mergeCell ref="IHU2:IHX2"/>
    <mergeCell ref="IHY2:IIB2"/>
    <mergeCell ref="IIC2:IIF2"/>
    <mergeCell ref="IIG2:IIJ2"/>
    <mergeCell ref="IIK2:IIN2"/>
    <mergeCell ref="IIO2:IIR2"/>
    <mergeCell ref="IGW2:IGZ2"/>
    <mergeCell ref="IHA2:IHD2"/>
    <mergeCell ref="IHE2:IHH2"/>
    <mergeCell ref="IHI2:IHL2"/>
    <mergeCell ref="IHM2:IHP2"/>
    <mergeCell ref="IHQ2:IHT2"/>
    <mergeCell ref="IFY2:IGB2"/>
    <mergeCell ref="IGC2:IGF2"/>
    <mergeCell ref="IGG2:IGJ2"/>
    <mergeCell ref="IGK2:IGN2"/>
    <mergeCell ref="IGO2:IGR2"/>
    <mergeCell ref="IGS2:IGV2"/>
    <mergeCell ref="IFA2:IFD2"/>
    <mergeCell ref="IFE2:IFH2"/>
    <mergeCell ref="IFI2:IFL2"/>
    <mergeCell ref="IFM2:IFP2"/>
    <mergeCell ref="IFQ2:IFT2"/>
    <mergeCell ref="IFU2:IFX2"/>
    <mergeCell ref="IEC2:IEF2"/>
    <mergeCell ref="IEG2:IEJ2"/>
    <mergeCell ref="IEK2:IEN2"/>
    <mergeCell ref="IEO2:IER2"/>
    <mergeCell ref="IES2:IEV2"/>
    <mergeCell ref="IEW2:IEZ2"/>
    <mergeCell ref="IDE2:IDH2"/>
    <mergeCell ref="IDI2:IDL2"/>
    <mergeCell ref="IDM2:IDP2"/>
    <mergeCell ref="IDQ2:IDT2"/>
    <mergeCell ref="IDU2:IDX2"/>
    <mergeCell ref="IDY2:IEB2"/>
    <mergeCell ref="ICG2:ICJ2"/>
    <mergeCell ref="ICK2:ICN2"/>
    <mergeCell ref="ICO2:ICR2"/>
    <mergeCell ref="ICS2:ICV2"/>
    <mergeCell ref="ICW2:ICZ2"/>
    <mergeCell ref="IDA2:IDD2"/>
    <mergeCell ref="IBI2:IBL2"/>
    <mergeCell ref="IBM2:IBP2"/>
    <mergeCell ref="IBQ2:IBT2"/>
    <mergeCell ref="IBU2:IBX2"/>
    <mergeCell ref="IBY2:ICB2"/>
    <mergeCell ref="ICC2:ICF2"/>
    <mergeCell ref="IAK2:IAN2"/>
    <mergeCell ref="IAO2:IAR2"/>
    <mergeCell ref="IAS2:IAV2"/>
    <mergeCell ref="IAW2:IAZ2"/>
    <mergeCell ref="IBA2:IBD2"/>
    <mergeCell ref="IBE2:IBH2"/>
    <mergeCell ref="HZM2:HZP2"/>
    <mergeCell ref="HZQ2:HZT2"/>
    <mergeCell ref="HZU2:HZX2"/>
    <mergeCell ref="HZY2:IAB2"/>
    <mergeCell ref="IAC2:IAF2"/>
    <mergeCell ref="IAG2:IAJ2"/>
    <mergeCell ref="HYO2:HYR2"/>
    <mergeCell ref="HYS2:HYV2"/>
    <mergeCell ref="HYW2:HYZ2"/>
    <mergeCell ref="HZA2:HZD2"/>
    <mergeCell ref="HZE2:HZH2"/>
    <mergeCell ref="HZI2:HZL2"/>
    <mergeCell ref="HXQ2:HXT2"/>
    <mergeCell ref="HXU2:HXX2"/>
    <mergeCell ref="HXY2:HYB2"/>
    <mergeCell ref="HYC2:HYF2"/>
    <mergeCell ref="HYG2:HYJ2"/>
    <mergeCell ref="HYK2:HYN2"/>
    <mergeCell ref="HWS2:HWV2"/>
    <mergeCell ref="HWW2:HWZ2"/>
    <mergeCell ref="HXA2:HXD2"/>
    <mergeCell ref="HXE2:HXH2"/>
    <mergeCell ref="HXI2:HXL2"/>
    <mergeCell ref="HXM2:HXP2"/>
    <mergeCell ref="HVU2:HVX2"/>
    <mergeCell ref="HVY2:HWB2"/>
    <mergeCell ref="HWC2:HWF2"/>
    <mergeCell ref="HWG2:HWJ2"/>
    <mergeCell ref="HWK2:HWN2"/>
    <mergeCell ref="HWO2:HWR2"/>
    <mergeCell ref="HUW2:HUZ2"/>
    <mergeCell ref="HVA2:HVD2"/>
    <mergeCell ref="HVE2:HVH2"/>
    <mergeCell ref="HVI2:HVL2"/>
    <mergeCell ref="HVM2:HVP2"/>
    <mergeCell ref="HVQ2:HVT2"/>
    <mergeCell ref="HTY2:HUB2"/>
    <mergeCell ref="HUC2:HUF2"/>
    <mergeCell ref="HUG2:HUJ2"/>
    <mergeCell ref="HUK2:HUN2"/>
    <mergeCell ref="HUO2:HUR2"/>
    <mergeCell ref="HUS2:HUV2"/>
    <mergeCell ref="HTA2:HTD2"/>
    <mergeCell ref="HTE2:HTH2"/>
    <mergeCell ref="HTI2:HTL2"/>
    <mergeCell ref="HTM2:HTP2"/>
    <mergeCell ref="HTQ2:HTT2"/>
    <mergeCell ref="HTU2:HTX2"/>
    <mergeCell ref="HSC2:HSF2"/>
    <mergeCell ref="HSG2:HSJ2"/>
    <mergeCell ref="HSK2:HSN2"/>
    <mergeCell ref="HSO2:HSR2"/>
    <mergeCell ref="HSS2:HSV2"/>
    <mergeCell ref="HSW2:HSZ2"/>
    <mergeCell ref="HRE2:HRH2"/>
    <mergeCell ref="HRI2:HRL2"/>
    <mergeCell ref="HRM2:HRP2"/>
    <mergeCell ref="HRQ2:HRT2"/>
    <mergeCell ref="HRU2:HRX2"/>
    <mergeCell ref="HRY2:HSB2"/>
    <mergeCell ref="HQG2:HQJ2"/>
    <mergeCell ref="HQK2:HQN2"/>
    <mergeCell ref="HQO2:HQR2"/>
    <mergeCell ref="HQS2:HQV2"/>
    <mergeCell ref="HQW2:HQZ2"/>
    <mergeCell ref="HRA2:HRD2"/>
    <mergeCell ref="HPI2:HPL2"/>
    <mergeCell ref="HPM2:HPP2"/>
    <mergeCell ref="HPQ2:HPT2"/>
    <mergeCell ref="HPU2:HPX2"/>
    <mergeCell ref="HPY2:HQB2"/>
    <mergeCell ref="HQC2:HQF2"/>
    <mergeCell ref="HOK2:HON2"/>
    <mergeCell ref="HOO2:HOR2"/>
    <mergeCell ref="HOS2:HOV2"/>
    <mergeCell ref="HOW2:HOZ2"/>
    <mergeCell ref="HPA2:HPD2"/>
    <mergeCell ref="HPE2:HPH2"/>
    <mergeCell ref="HNM2:HNP2"/>
    <mergeCell ref="HNQ2:HNT2"/>
    <mergeCell ref="HNU2:HNX2"/>
    <mergeCell ref="HNY2:HOB2"/>
    <mergeCell ref="HOC2:HOF2"/>
    <mergeCell ref="HOG2:HOJ2"/>
    <mergeCell ref="HMO2:HMR2"/>
    <mergeCell ref="HMS2:HMV2"/>
    <mergeCell ref="HMW2:HMZ2"/>
    <mergeCell ref="HNA2:HND2"/>
    <mergeCell ref="HNE2:HNH2"/>
    <mergeCell ref="HNI2:HNL2"/>
    <mergeCell ref="HLQ2:HLT2"/>
    <mergeCell ref="HLU2:HLX2"/>
    <mergeCell ref="HLY2:HMB2"/>
    <mergeCell ref="HMC2:HMF2"/>
    <mergeCell ref="HMG2:HMJ2"/>
    <mergeCell ref="HMK2:HMN2"/>
    <mergeCell ref="HKS2:HKV2"/>
    <mergeCell ref="HKW2:HKZ2"/>
    <mergeCell ref="HLA2:HLD2"/>
    <mergeCell ref="HLE2:HLH2"/>
    <mergeCell ref="HLI2:HLL2"/>
    <mergeCell ref="HLM2:HLP2"/>
    <mergeCell ref="HJU2:HJX2"/>
    <mergeCell ref="HJY2:HKB2"/>
    <mergeCell ref="HKC2:HKF2"/>
    <mergeCell ref="HKG2:HKJ2"/>
    <mergeCell ref="HKK2:HKN2"/>
    <mergeCell ref="HKO2:HKR2"/>
    <mergeCell ref="HIW2:HIZ2"/>
    <mergeCell ref="HJA2:HJD2"/>
    <mergeCell ref="HJE2:HJH2"/>
    <mergeCell ref="HJI2:HJL2"/>
    <mergeCell ref="HJM2:HJP2"/>
    <mergeCell ref="HJQ2:HJT2"/>
    <mergeCell ref="HHY2:HIB2"/>
    <mergeCell ref="HIC2:HIF2"/>
    <mergeCell ref="HIG2:HIJ2"/>
    <mergeCell ref="HIK2:HIN2"/>
    <mergeCell ref="HIO2:HIR2"/>
    <mergeCell ref="HIS2:HIV2"/>
    <mergeCell ref="HHA2:HHD2"/>
    <mergeCell ref="HHE2:HHH2"/>
    <mergeCell ref="HHI2:HHL2"/>
    <mergeCell ref="HHM2:HHP2"/>
    <mergeCell ref="HHQ2:HHT2"/>
    <mergeCell ref="HHU2:HHX2"/>
    <mergeCell ref="HGC2:HGF2"/>
    <mergeCell ref="HGG2:HGJ2"/>
    <mergeCell ref="HGK2:HGN2"/>
    <mergeCell ref="HGO2:HGR2"/>
    <mergeCell ref="HGS2:HGV2"/>
    <mergeCell ref="HGW2:HGZ2"/>
    <mergeCell ref="HFE2:HFH2"/>
    <mergeCell ref="HFI2:HFL2"/>
    <mergeCell ref="HFM2:HFP2"/>
    <mergeCell ref="HFQ2:HFT2"/>
    <mergeCell ref="HFU2:HFX2"/>
    <mergeCell ref="HFY2:HGB2"/>
    <mergeCell ref="HEG2:HEJ2"/>
    <mergeCell ref="HEK2:HEN2"/>
    <mergeCell ref="HEO2:HER2"/>
    <mergeCell ref="HES2:HEV2"/>
    <mergeCell ref="HEW2:HEZ2"/>
    <mergeCell ref="HFA2:HFD2"/>
    <mergeCell ref="HDI2:HDL2"/>
    <mergeCell ref="HDM2:HDP2"/>
    <mergeCell ref="HDQ2:HDT2"/>
    <mergeCell ref="HDU2:HDX2"/>
    <mergeCell ref="HDY2:HEB2"/>
    <mergeCell ref="HEC2:HEF2"/>
    <mergeCell ref="HCK2:HCN2"/>
    <mergeCell ref="HCO2:HCR2"/>
    <mergeCell ref="HCS2:HCV2"/>
    <mergeCell ref="HCW2:HCZ2"/>
    <mergeCell ref="HDA2:HDD2"/>
    <mergeCell ref="HDE2:HDH2"/>
    <mergeCell ref="HBM2:HBP2"/>
    <mergeCell ref="HBQ2:HBT2"/>
    <mergeCell ref="HBU2:HBX2"/>
    <mergeCell ref="HBY2:HCB2"/>
    <mergeCell ref="HCC2:HCF2"/>
    <mergeCell ref="HCG2:HCJ2"/>
    <mergeCell ref="HAO2:HAR2"/>
    <mergeCell ref="HAS2:HAV2"/>
    <mergeCell ref="HAW2:HAZ2"/>
    <mergeCell ref="HBA2:HBD2"/>
    <mergeCell ref="HBE2:HBH2"/>
    <mergeCell ref="HBI2:HBL2"/>
    <mergeCell ref="GZQ2:GZT2"/>
    <mergeCell ref="GZU2:GZX2"/>
    <mergeCell ref="GZY2:HAB2"/>
    <mergeCell ref="HAC2:HAF2"/>
    <mergeCell ref="HAG2:HAJ2"/>
    <mergeCell ref="HAK2:HAN2"/>
    <mergeCell ref="GYS2:GYV2"/>
    <mergeCell ref="GYW2:GYZ2"/>
    <mergeCell ref="GZA2:GZD2"/>
    <mergeCell ref="GZE2:GZH2"/>
    <mergeCell ref="GZI2:GZL2"/>
    <mergeCell ref="GZM2:GZP2"/>
    <mergeCell ref="GXU2:GXX2"/>
    <mergeCell ref="GXY2:GYB2"/>
    <mergeCell ref="GYC2:GYF2"/>
    <mergeCell ref="GYG2:GYJ2"/>
    <mergeCell ref="GYK2:GYN2"/>
    <mergeCell ref="GYO2:GYR2"/>
    <mergeCell ref="GWW2:GWZ2"/>
    <mergeCell ref="GXA2:GXD2"/>
    <mergeCell ref="GXE2:GXH2"/>
    <mergeCell ref="GXI2:GXL2"/>
    <mergeCell ref="GXM2:GXP2"/>
    <mergeCell ref="GXQ2:GXT2"/>
    <mergeCell ref="GVY2:GWB2"/>
    <mergeCell ref="GWC2:GWF2"/>
    <mergeCell ref="GWG2:GWJ2"/>
    <mergeCell ref="GWK2:GWN2"/>
    <mergeCell ref="GWO2:GWR2"/>
    <mergeCell ref="GWS2:GWV2"/>
    <mergeCell ref="GVA2:GVD2"/>
    <mergeCell ref="GVE2:GVH2"/>
    <mergeCell ref="GVI2:GVL2"/>
    <mergeCell ref="GVM2:GVP2"/>
    <mergeCell ref="GVQ2:GVT2"/>
    <mergeCell ref="GVU2:GVX2"/>
    <mergeCell ref="GUC2:GUF2"/>
    <mergeCell ref="GUG2:GUJ2"/>
    <mergeCell ref="GUK2:GUN2"/>
    <mergeCell ref="GUO2:GUR2"/>
    <mergeCell ref="GUS2:GUV2"/>
    <mergeCell ref="GUW2:GUZ2"/>
    <mergeCell ref="GTE2:GTH2"/>
    <mergeCell ref="GTI2:GTL2"/>
    <mergeCell ref="GTM2:GTP2"/>
    <mergeCell ref="GTQ2:GTT2"/>
    <mergeCell ref="GTU2:GTX2"/>
    <mergeCell ref="GTY2:GUB2"/>
    <mergeCell ref="GSG2:GSJ2"/>
    <mergeCell ref="GSK2:GSN2"/>
    <mergeCell ref="GSO2:GSR2"/>
    <mergeCell ref="GSS2:GSV2"/>
    <mergeCell ref="GSW2:GSZ2"/>
    <mergeCell ref="GTA2:GTD2"/>
    <mergeCell ref="GRI2:GRL2"/>
    <mergeCell ref="GRM2:GRP2"/>
    <mergeCell ref="GRQ2:GRT2"/>
    <mergeCell ref="GRU2:GRX2"/>
    <mergeCell ref="GRY2:GSB2"/>
    <mergeCell ref="GSC2:GSF2"/>
    <mergeCell ref="GQK2:GQN2"/>
    <mergeCell ref="GQO2:GQR2"/>
    <mergeCell ref="GQS2:GQV2"/>
    <mergeCell ref="GQW2:GQZ2"/>
    <mergeCell ref="GRA2:GRD2"/>
    <mergeCell ref="GRE2:GRH2"/>
    <mergeCell ref="GPM2:GPP2"/>
    <mergeCell ref="GPQ2:GPT2"/>
    <mergeCell ref="GPU2:GPX2"/>
    <mergeCell ref="GPY2:GQB2"/>
    <mergeCell ref="GQC2:GQF2"/>
    <mergeCell ref="GQG2:GQJ2"/>
    <mergeCell ref="GOO2:GOR2"/>
    <mergeCell ref="GOS2:GOV2"/>
    <mergeCell ref="GOW2:GOZ2"/>
    <mergeCell ref="GPA2:GPD2"/>
    <mergeCell ref="GPE2:GPH2"/>
    <mergeCell ref="GPI2:GPL2"/>
    <mergeCell ref="GNQ2:GNT2"/>
    <mergeCell ref="GNU2:GNX2"/>
    <mergeCell ref="GNY2:GOB2"/>
    <mergeCell ref="GOC2:GOF2"/>
    <mergeCell ref="GOG2:GOJ2"/>
    <mergeCell ref="GOK2:GON2"/>
    <mergeCell ref="GMS2:GMV2"/>
    <mergeCell ref="GMW2:GMZ2"/>
    <mergeCell ref="GNA2:GND2"/>
    <mergeCell ref="GNE2:GNH2"/>
    <mergeCell ref="GNI2:GNL2"/>
    <mergeCell ref="GNM2:GNP2"/>
    <mergeCell ref="GLU2:GLX2"/>
    <mergeCell ref="GLY2:GMB2"/>
    <mergeCell ref="GMC2:GMF2"/>
    <mergeCell ref="GMG2:GMJ2"/>
    <mergeCell ref="GMK2:GMN2"/>
    <mergeCell ref="GMO2:GMR2"/>
    <mergeCell ref="GKW2:GKZ2"/>
    <mergeCell ref="GLA2:GLD2"/>
    <mergeCell ref="GLE2:GLH2"/>
    <mergeCell ref="GLI2:GLL2"/>
    <mergeCell ref="GLM2:GLP2"/>
    <mergeCell ref="GLQ2:GLT2"/>
    <mergeCell ref="GJY2:GKB2"/>
    <mergeCell ref="GKC2:GKF2"/>
    <mergeCell ref="GKG2:GKJ2"/>
    <mergeCell ref="GKK2:GKN2"/>
    <mergeCell ref="GKO2:GKR2"/>
    <mergeCell ref="GKS2:GKV2"/>
    <mergeCell ref="GJA2:GJD2"/>
    <mergeCell ref="GJE2:GJH2"/>
    <mergeCell ref="GJI2:GJL2"/>
    <mergeCell ref="GJM2:GJP2"/>
    <mergeCell ref="GJQ2:GJT2"/>
    <mergeCell ref="GJU2:GJX2"/>
    <mergeCell ref="GIC2:GIF2"/>
    <mergeCell ref="GIG2:GIJ2"/>
    <mergeCell ref="GIK2:GIN2"/>
    <mergeCell ref="GIO2:GIR2"/>
    <mergeCell ref="GIS2:GIV2"/>
    <mergeCell ref="GIW2:GIZ2"/>
    <mergeCell ref="GHE2:GHH2"/>
    <mergeCell ref="GHI2:GHL2"/>
    <mergeCell ref="GHM2:GHP2"/>
    <mergeCell ref="GHQ2:GHT2"/>
    <mergeCell ref="GHU2:GHX2"/>
    <mergeCell ref="GHY2:GIB2"/>
    <mergeCell ref="GGG2:GGJ2"/>
    <mergeCell ref="GGK2:GGN2"/>
    <mergeCell ref="GGO2:GGR2"/>
    <mergeCell ref="GGS2:GGV2"/>
    <mergeCell ref="GGW2:GGZ2"/>
    <mergeCell ref="GHA2:GHD2"/>
    <mergeCell ref="GFI2:GFL2"/>
    <mergeCell ref="GFM2:GFP2"/>
    <mergeCell ref="GFQ2:GFT2"/>
    <mergeCell ref="GFU2:GFX2"/>
    <mergeCell ref="GFY2:GGB2"/>
    <mergeCell ref="GGC2:GGF2"/>
    <mergeCell ref="GEK2:GEN2"/>
    <mergeCell ref="GEO2:GER2"/>
    <mergeCell ref="GES2:GEV2"/>
    <mergeCell ref="GEW2:GEZ2"/>
    <mergeCell ref="GFA2:GFD2"/>
    <mergeCell ref="GFE2:GFH2"/>
    <mergeCell ref="GDM2:GDP2"/>
    <mergeCell ref="GDQ2:GDT2"/>
    <mergeCell ref="GDU2:GDX2"/>
    <mergeCell ref="GDY2:GEB2"/>
    <mergeCell ref="GEC2:GEF2"/>
    <mergeCell ref="GEG2:GEJ2"/>
    <mergeCell ref="GCO2:GCR2"/>
    <mergeCell ref="GCS2:GCV2"/>
    <mergeCell ref="GCW2:GCZ2"/>
    <mergeCell ref="GDA2:GDD2"/>
    <mergeCell ref="GDE2:GDH2"/>
    <mergeCell ref="GDI2:GDL2"/>
    <mergeCell ref="GBQ2:GBT2"/>
    <mergeCell ref="GBU2:GBX2"/>
    <mergeCell ref="GBY2:GCB2"/>
    <mergeCell ref="GCC2:GCF2"/>
    <mergeCell ref="GCG2:GCJ2"/>
    <mergeCell ref="GCK2:GCN2"/>
    <mergeCell ref="GAS2:GAV2"/>
    <mergeCell ref="GAW2:GAZ2"/>
    <mergeCell ref="GBA2:GBD2"/>
    <mergeCell ref="GBE2:GBH2"/>
    <mergeCell ref="GBI2:GBL2"/>
    <mergeCell ref="GBM2:GBP2"/>
    <mergeCell ref="FZU2:FZX2"/>
    <mergeCell ref="FZY2:GAB2"/>
    <mergeCell ref="GAC2:GAF2"/>
    <mergeCell ref="GAG2:GAJ2"/>
    <mergeCell ref="GAK2:GAN2"/>
    <mergeCell ref="GAO2:GAR2"/>
    <mergeCell ref="FYW2:FYZ2"/>
    <mergeCell ref="FZA2:FZD2"/>
    <mergeCell ref="FZE2:FZH2"/>
    <mergeCell ref="FZI2:FZL2"/>
    <mergeCell ref="FZM2:FZP2"/>
    <mergeCell ref="FZQ2:FZT2"/>
    <mergeCell ref="FXY2:FYB2"/>
    <mergeCell ref="FYC2:FYF2"/>
    <mergeCell ref="FYG2:FYJ2"/>
    <mergeCell ref="FYK2:FYN2"/>
    <mergeCell ref="FYO2:FYR2"/>
    <mergeCell ref="FYS2:FYV2"/>
    <mergeCell ref="FXA2:FXD2"/>
    <mergeCell ref="FXE2:FXH2"/>
    <mergeCell ref="FXI2:FXL2"/>
    <mergeCell ref="FXM2:FXP2"/>
    <mergeCell ref="FXQ2:FXT2"/>
    <mergeCell ref="FXU2:FXX2"/>
    <mergeCell ref="FWC2:FWF2"/>
    <mergeCell ref="FWG2:FWJ2"/>
    <mergeCell ref="FWK2:FWN2"/>
    <mergeCell ref="FWO2:FWR2"/>
    <mergeCell ref="FWS2:FWV2"/>
    <mergeCell ref="FWW2:FWZ2"/>
    <mergeCell ref="FVE2:FVH2"/>
    <mergeCell ref="FVI2:FVL2"/>
    <mergeCell ref="FVM2:FVP2"/>
    <mergeCell ref="FVQ2:FVT2"/>
    <mergeCell ref="FVU2:FVX2"/>
    <mergeCell ref="FVY2:FWB2"/>
    <mergeCell ref="FUG2:FUJ2"/>
    <mergeCell ref="FUK2:FUN2"/>
    <mergeCell ref="FUO2:FUR2"/>
    <mergeCell ref="FUS2:FUV2"/>
    <mergeCell ref="FUW2:FUZ2"/>
    <mergeCell ref="FVA2:FVD2"/>
    <mergeCell ref="FTI2:FTL2"/>
    <mergeCell ref="FTM2:FTP2"/>
    <mergeCell ref="FTQ2:FTT2"/>
    <mergeCell ref="FTU2:FTX2"/>
    <mergeCell ref="FTY2:FUB2"/>
    <mergeCell ref="FUC2:FUF2"/>
    <mergeCell ref="FSK2:FSN2"/>
    <mergeCell ref="FSO2:FSR2"/>
    <mergeCell ref="FSS2:FSV2"/>
    <mergeCell ref="FSW2:FSZ2"/>
    <mergeCell ref="FTA2:FTD2"/>
    <mergeCell ref="FTE2:FTH2"/>
    <mergeCell ref="FRM2:FRP2"/>
    <mergeCell ref="FRQ2:FRT2"/>
    <mergeCell ref="FRU2:FRX2"/>
    <mergeCell ref="FRY2:FSB2"/>
    <mergeCell ref="FSC2:FSF2"/>
    <mergeCell ref="FSG2:FSJ2"/>
    <mergeCell ref="FQO2:FQR2"/>
    <mergeCell ref="FQS2:FQV2"/>
    <mergeCell ref="FQW2:FQZ2"/>
    <mergeCell ref="FRA2:FRD2"/>
    <mergeCell ref="FRE2:FRH2"/>
    <mergeCell ref="FRI2:FRL2"/>
    <mergeCell ref="FPQ2:FPT2"/>
    <mergeCell ref="FPU2:FPX2"/>
    <mergeCell ref="FPY2:FQB2"/>
    <mergeCell ref="FQC2:FQF2"/>
    <mergeCell ref="FQG2:FQJ2"/>
    <mergeCell ref="FQK2:FQN2"/>
    <mergeCell ref="FOS2:FOV2"/>
    <mergeCell ref="FOW2:FOZ2"/>
    <mergeCell ref="FPA2:FPD2"/>
    <mergeCell ref="FPE2:FPH2"/>
    <mergeCell ref="FPI2:FPL2"/>
    <mergeCell ref="FPM2:FPP2"/>
    <mergeCell ref="FNU2:FNX2"/>
    <mergeCell ref="FNY2:FOB2"/>
    <mergeCell ref="FOC2:FOF2"/>
    <mergeCell ref="FOG2:FOJ2"/>
    <mergeCell ref="FOK2:FON2"/>
    <mergeCell ref="FOO2:FOR2"/>
    <mergeCell ref="FMW2:FMZ2"/>
    <mergeCell ref="FNA2:FND2"/>
    <mergeCell ref="FNE2:FNH2"/>
    <mergeCell ref="FNI2:FNL2"/>
    <mergeCell ref="FNM2:FNP2"/>
    <mergeCell ref="FNQ2:FNT2"/>
    <mergeCell ref="FLY2:FMB2"/>
    <mergeCell ref="FMC2:FMF2"/>
    <mergeCell ref="FMG2:FMJ2"/>
    <mergeCell ref="FMK2:FMN2"/>
    <mergeCell ref="FMO2:FMR2"/>
    <mergeCell ref="FMS2:FMV2"/>
    <mergeCell ref="FLA2:FLD2"/>
    <mergeCell ref="FLE2:FLH2"/>
    <mergeCell ref="FLI2:FLL2"/>
    <mergeCell ref="FLM2:FLP2"/>
    <mergeCell ref="FLQ2:FLT2"/>
    <mergeCell ref="FLU2:FLX2"/>
    <mergeCell ref="FKC2:FKF2"/>
    <mergeCell ref="FKG2:FKJ2"/>
    <mergeCell ref="FKK2:FKN2"/>
    <mergeCell ref="FKO2:FKR2"/>
    <mergeCell ref="FKS2:FKV2"/>
    <mergeCell ref="FKW2:FKZ2"/>
    <mergeCell ref="FJE2:FJH2"/>
    <mergeCell ref="FJI2:FJL2"/>
    <mergeCell ref="FJM2:FJP2"/>
    <mergeCell ref="FJQ2:FJT2"/>
    <mergeCell ref="FJU2:FJX2"/>
    <mergeCell ref="FJY2:FKB2"/>
    <mergeCell ref="FIG2:FIJ2"/>
    <mergeCell ref="FIK2:FIN2"/>
    <mergeCell ref="FIO2:FIR2"/>
    <mergeCell ref="FIS2:FIV2"/>
    <mergeCell ref="FIW2:FIZ2"/>
    <mergeCell ref="FJA2:FJD2"/>
    <mergeCell ref="FHI2:FHL2"/>
    <mergeCell ref="FHM2:FHP2"/>
    <mergeCell ref="FHQ2:FHT2"/>
    <mergeCell ref="FHU2:FHX2"/>
    <mergeCell ref="FHY2:FIB2"/>
    <mergeCell ref="FIC2:FIF2"/>
    <mergeCell ref="FGK2:FGN2"/>
    <mergeCell ref="FGO2:FGR2"/>
    <mergeCell ref="FGS2:FGV2"/>
    <mergeCell ref="FGW2:FGZ2"/>
    <mergeCell ref="FHA2:FHD2"/>
    <mergeCell ref="FHE2:FHH2"/>
    <mergeCell ref="FFM2:FFP2"/>
    <mergeCell ref="FFQ2:FFT2"/>
    <mergeCell ref="FFU2:FFX2"/>
    <mergeCell ref="FFY2:FGB2"/>
    <mergeCell ref="FGC2:FGF2"/>
    <mergeCell ref="FGG2:FGJ2"/>
    <mergeCell ref="FEO2:FER2"/>
    <mergeCell ref="FES2:FEV2"/>
    <mergeCell ref="FEW2:FEZ2"/>
    <mergeCell ref="FFA2:FFD2"/>
    <mergeCell ref="FFE2:FFH2"/>
    <mergeCell ref="FFI2:FFL2"/>
    <mergeCell ref="FDQ2:FDT2"/>
    <mergeCell ref="FDU2:FDX2"/>
    <mergeCell ref="FDY2:FEB2"/>
    <mergeCell ref="FEC2:FEF2"/>
    <mergeCell ref="FEG2:FEJ2"/>
    <mergeCell ref="FEK2:FEN2"/>
    <mergeCell ref="FCS2:FCV2"/>
    <mergeCell ref="FCW2:FCZ2"/>
    <mergeCell ref="FDA2:FDD2"/>
    <mergeCell ref="FDE2:FDH2"/>
    <mergeCell ref="FDI2:FDL2"/>
    <mergeCell ref="FDM2:FDP2"/>
    <mergeCell ref="FBU2:FBX2"/>
    <mergeCell ref="FBY2:FCB2"/>
    <mergeCell ref="FCC2:FCF2"/>
    <mergeCell ref="FCG2:FCJ2"/>
    <mergeCell ref="FCK2:FCN2"/>
    <mergeCell ref="FCO2:FCR2"/>
    <mergeCell ref="FAW2:FAZ2"/>
    <mergeCell ref="FBA2:FBD2"/>
    <mergeCell ref="FBE2:FBH2"/>
    <mergeCell ref="FBI2:FBL2"/>
    <mergeCell ref="FBM2:FBP2"/>
    <mergeCell ref="FBQ2:FBT2"/>
    <mergeCell ref="EZY2:FAB2"/>
    <mergeCell ref="FAC2:FAF2"/>
    <mergeCell ref="FAG2:FAJ2"/>
    <mergeCell ref="FAK2:FAN2"/>
    <mergeCell ref="FAO2:FAR2"/>
    <mergeCell ref="FAS2:FAV2"/>
    <mergeCell ref="EZA2:EZD2"/>
    <mergeCell ref="EZE2:EZH2"/>
    <mergeCell ref="EZI2:EZL2"/>
    <mergeCell ref="EZM2:EZP2"/>
    <mergeCell ref="EZQ2:EZT2"/>
    <mergeCell ref="EZU2:EZX2"/>
    <mergeCell ref="EYC2:EYF2"/>
    <mergeCell ref="EYG2:EYJ2"/>
    <mergeCell ref="EYK2:EYN2"/>
    <mergeCell ref="EYO2:EYR2"/>
    <mergeCell ref="EYS2:EYV2"/>
    <mergeCell ref="EYW2:EYZ2"/>
    <mergeCell ref="EXE2:EXH2"/>
    <mergeCell ref="EXI2:EXL2"/>
    <mergeCell ref="EXM2:EXP2"/>
    <mergeCell ref="EXQ2:EXT2"/>
    <mergeCell ref="EXU2:EXX2"/>
    <mergeCell ref="EXY2:EYB2"/>
    <mergeCell ref="EWG2:EWJ2"/>
    <mergeCell ref="EWK2:EWN2"/>
    <mergeCell ref="EWO2:EWR2"/>
    <mergeCell ref="EWS2:EWV2"/>
    <mergeCell ref="EWW2:EWZ2"/>
    <mergeCell ref="EXA2:EXD2"/>
    <mergeCell ref="EVI2:EVL2"/>
    <mergeCell ref="EVM2:EVP2"/>
    <mergeCell ref="EVQ2:EVT2"/>
    <mergeCell ref="EVU2:EVX2"/>
    <mergeCell ref="EVY2:EWB2"/>
    <mergeCell ref="EWC2:EWF2"/>
    <mergeCell ref="EUK2:EUN2"/>
    <mergeCell ref="EUO2:EUR2"/>
    <mergeCell ref="EUS2:EUV2"/>
    <mergeCell ref="EUW2:EUZ2"/>
    <mergeCell ref="EVA2:EVD2"/>
    <mergeCell ref="EVE2:EVH2"/>
    <mergeCell ref="ETM2:ETP2"/>
    <mergeCell ref="ETQ2:ETT2"/>
    <mergeCell ref="ETU2:ETX2"/>
    <mergeCell ref="ETY2:EUB2"/>
    <mergeCell ref="EUC2:EUF2"/>
    <mergeCell ref="EUG2:EUJ2"/>
    <mergeCell ref="ESO2:ESR2"/>
    <mergeCell ref="ESS2:ESV2"/>
    <mergeCell ref="ESW2:ESZ2"/>
    <mergeCell ref="ETA2:ETD2"/>
    <mergeCell ref="ETE2:ETH2"/>
    <mergeCell ref="ETI2:ETL2"/>
    <mergeCell ref="ERQ2:ERT2"/>
    <mergeCell ref="ERU2:ERX2"/>
    <mergeCell ref="ERY2:ESB2"/>
    <mergeCell ref="ESC2:ESF2"/>
    <mergeCell ref="ESG2:ESJ2"/>
    <mergeCell ref="ESK2:ESN2"/>
    <mergeCell ref="EQS2:EQV2"/>
    <mergeCell ref="EQW2:EQZ2"/>
    <mergeCell ref="ERA2:ERD2"/>
    <mergeCell ref="ERE2:ERH2"/>
    <mergeCell ref="ERI2:ERL2"/>
    <mergeCell ref="ERM2:ERP2"/>
    <mergeCell ref="EPU2:EPX2"/>
    <mergeCell ref="EPY2:EQB2"/>
    <mergeCell ref="EQC2:EQF2"/>
    <mergeCell ref="EQG2:EQJ2"/>
    <mergeCell ref="EQK2:EQN2"/>
    <mergeCell ref="EQO2:EQR2"/>
    <mergeCell ref="EOW2:EOZ2"/>
    <mergeCell ref="EPA2:EPD2"/>
    <mergeCell ref="EPE2:EPH2"/>
    <mergeCell ref="EPI2:EPL2"/>
    <mergeCell ref="EPM2:EPP2"/>
    <mergeCell ref="EPQ2:EPT2"/>
    <mergeCell ref="ENY2:EOB2"/>
    <mergeCell ref="EOC2:EOF2"/>
    <mergeCell ref="EOG2:EOJ2"/>
    <mergeCell ref="EOK2:EON2"/>
    <mergeCell ref="EOO2:EOR2"/>
    <mergeCell ref="EOS2:EOV2"/>
    <mergeCell ref="ENA2:END2"/>
    <mergeCell ref="ENE2:ENH2"/>
    <mergeCell ref="ENI2:ENL2"/>
    <mergeCell ref="ENM2:ENP2"/>
    <mergeCell ref="ENQ2:ENT2"/>
    <mergeCell ref="ENU2:ENX2"/>
    <mergeCell ref="EMC2:EMF2"/>
    <mergeCell ref="EMG2:EMJ2"/>
    <mergeCell ref="EMK2:EMN2"/>
    <mergeCell ref="EMO2:EMR2"/>
    <mergeCell ref="EMS2:EMV2"/>
    <mergeCell ref="EMW2:EMZ2"/>
    <mergeCell ref="ELE2:ELH2"/>
    <mergeCell ref="ELI2:ELL2"/>
    <mergeCell ref="ELM2:ELP2"/>
    <mergeCell ref="ELQ2:ELT2"/>
    <mergeCell ref="ELU2:ELX2"/>
    <mergeCell ref="ELY2:EMB2"/>
    <mergeCell ref="EKG2:EKJ2"/>
    <mergeCell ref="EKK2:EKN2"/>
    <mergeCell ref="EKO2:EKR2"/>
    <mergeCell ref="EKS2:EKV2"/>
    <mergeCell ref="EKW2:EKZ2"/>
    <mergeCell ref="ELA2:ELD2"/>
    <mergeCell ref="EJI2:EJL2"/>
    <mergeCell ref="EJM2:EJP2"/>
    <mergeCell ref="EJQ2:EJT2"/>
    <mergeCell ref="EJU2:EJX2"/>
    <mergeCell ref="EJY2:EKB2"/>
    <mergeCell ref="EKC2:EKF2"/>
    <mergeCell ref="EIK2:EIN2"/>
    <mergeCell ref="EIO2:EIR2"/>
    <mergeCell ref="EIS2:EIV2"/>
    <mergeCell ref="EIW2:EIZ2"/>
    <mergeCell ref="EJA2:EJD2"/>
    <mergeCell ref="EJE2:EJH2"/>
    <mergeCell ref="EHM2:EHP2"/>
    <mergeCell ref="EHQ2:EHT2"/>
    <mergeCell ref="EHU2:EHX2"/>
    <mergeCell ref="EHY2:EIB2"/>
    <mergeCell ref="EIC2:EIF2"/>
    <mergeCell ref="EIG2:EIJ2"/>
    <mergeCell ref="EGO2:EGR2"/>
    <mergeCell ref="EGS2:EGV2"/>
    <mergeCell ref="EGW2:EGZ2"/>
    <mergeCell ref="EHA2:EHD2"/>
    <mergeCell ref="EHE2:EHH2"/>
    <mergeCell ref="EHI2:EHL2"/>
    <mergeCell ref="EFQ2:EFT2"/>
    <mergeCell ref="EFU2:EFX2"/>
    <mergeCell ref="EFY2:EGB2"/>
    <mergeCell ref="EGC2:EGF2"/>
    <mergeCell ref="EGG2:EGJ2"/>
    <mergeCell ref="EGK2:EGN2"/>
    <mergeCell ref="EES2:EEV2"/>
    <mergeCell ref="EEW2:EEZ2"/>
    <mergeCell ref="EFA2:EFD2"/>
    <mergeCell ref="EFE2:EFH2"/>
    <mergeCell ref="EFI2:EFL2"/>
    <mergeCell ref="EFM2:EFP2"/>
    <mergeCell ref="EDU2:EDX2"/>
    <mergeCell ref="EDY2:EEB2"/>
    <mergeCell ref="EEC2:EEF2"/>
    <mergeCell ref="EEG2:EEJ2"/>
    <mergeCell ref="EEK2:EEN2"/>
    <mergeCell ref="EEO2:EER2"/>
    <mergeCell ref="ECW2:ECZ2"/>
    <mergeCell ref="EDA2:EDD2"/>
    <mergeCell ref="EDE2:EDH2"/>
    <mergeCell ref="EDI2:EDL2"/>
    <mergeCell ref="EDM2:EDP2"/>
    <mergeCell ref="EDQ2:EDT2"/>
    <mergeCell ref="EBY2:ECB2"/>
    <mergeCell ref="ECC2:ECF2"/>
    <mergeCell ref="ECG2:ECJ2"/>
    <mergeCell ref="ECK2:ECN2"/>
    <mergeCell ref="ECO2:ECR2"/>
    <mergeCell ref="ECS2:ECV2"/>
    <mergeCell ref="EBA2:EBD2"/>
    <mergeCell ref="EBE2:EBH2"/>
    <mergeCell ref="EBI2:EBL2"/>
    <mergeCell ref="EBM2:EBP2"/>
    <mergeCell ref="EBQ2:EBT2"/>
    <mergeCell ref="EBU2:EBX2"/>
    <mergeCell ref="EAC2:EAF2"/>
    <mergeCell ref="EAG2:EAJ2"/>
    <mergeCell ref="EAK2:EAN2"/>
    <mergeCell ref="EAO2:EAR2"/>
    <mergeCell ref="EAS2:EAV2"/>
    <mergeCell ref="EAW2:EAZ2"/>
    <mergeCell ref="DZE2:DZH2"/>
    <mergeCell ref="DZI2:DZL2"/>
    <mergeCell ref="DZM2:DZP2"/>
    <mergeCell ref="DZQ2:DZT2"/>
    <mergeCell ref="DZU2:DZX2"/>
    <mergeCell ref="DZY2:EAB2"/>
    <mergeCell ref="DYG2:DYJ2"/>
    <mergeCell ref="DYK2:DYN2"/>
    <mergeCell ref="DYO2:DYR2"/>
    <mergeCell ref="DYS2:DYV2"/>
    <mergeCell ref="DYW2:DYZ2"/>
    <mergeCell ref="DZA2:DZD2"/>
    <mergeCell ref="DXI2:DXL2"/>
    <mergeCell ref="DXM2:DXP2"/>
    <mergeCell ref="DXQ2:DXT2"/>
    <mergeCell ref="DXU2:DXX2"/>
    <mergeCell ref="DXY2:DYB2"/>
    <mergeCell ref="DYC2:DYF2"/>
    <mergeCell ref="DWK2:DWN2"/>
    <mergeCell ref="DWO2:DWR2"/>
    <mergeCell ref="DWS2:DWV2"/>
    <mergeCell ref="DWW2:DWZ2"/>
    <mergeCell ref="DXA2:DXD2"/>
    <mergeCell ref="DXE2:DXH2"/>
    <mergeCell ref="DVM2:DVP2"/>
    <mergeCell ref="DVQ2:DVT2"/>
    <mergeCell ref="DVU2:DVX2"/>
    <mergeCell ref="DVY2:DWB2"/>
    <mergeCell ref="DWC2:DWF2"/>
    <mergeCell ref="DWG2:DWJ2"/>
    <mergeCell ref="DUO2:DUR2"/>
    <mergeCell ref="DUS2:DUV2"/>
    <mergeCell ref="DUW2:DUZ2"/>
    <mergeCell ref="DVA2:DVD2"/>
    <mergeCell ref="DVE2:DVH2"/>
    <mergeCell ref="DVI2:DVL2"/>
    <mergeCell ref="DTQ2:DTT2"/>
    <mergeCell ref="DTU2:DTX2"/>
    <mergeCell ref="DTY2:DUB2"/>
    <mergeCell ref="DUC2:DUF2"/>
    <mergeCell ref="DUG2:DUJ2"/>
    <mergeCell ref="DUK2:DUN2"/>
    <mergeCell ref="DSS2:DSV2"/>
    <mergeCell ref="DSW2:DSZ2"/>
    <mergeCell ref="DTA2:DTD2"/>
    <mergeCell ref="DTE2:DTH2"/>
    <mergeCell ref="DTI2:DTL2"/>
    <mergeCell ref="DTM2:DTP2"/>
    <mergeCell ref="DRU2:DRX2"/>
    <mergeCell ref="DRY2:DSB2"/>
    <mergeCell ref="DSC2:DSF2"/>
    <mergeCell ref="DSG2:DSJ2"/>
    <mergeCell ref="DSK2:DSN2"/>
    <mergeCell ref="DSO2:DSR2"/>
    <mergeCell ref="DQW2:DQZ2"/>
    <mergeCell ref="DRA2:DRD2"/>
    <mergeCell ref="DRE2:DRH2"/>
    <mergeCell ref="DRI2:DRL2"/>
    <mergeCell ref="DRM2:DRP2"/>
    <mergeCell ref="DRQ2:DRT2"/>
    <mergeCell ref="DPY2:DQB2"/>
    <mergeCell ref="DQC2:DQF2"/>
    <mergeCell ref="DQG2:DQJ2"/>
    <mergeCell ref="DQK2:DQN2"/>
    <mergeCell ref="DQO2:DQR2"/>
    <mergeCell ref="DQS2:DQV2"/>
    <mergeCell ref="DPA2:DPD2"/>
    <mergeCell ref="DPE2:DPH2"/>
    <mergeCell ref="DPI2:DPL2"/>
    <mergeCell ref="DPM2:DPP2"/>
    <mergeCell ref="DPQ2:DPT2"/>
    <mergeCell ref="DPU2:DPX2"/>
    <mergeCell ref="DOC2:DOF2"/>
    <mergeCell ref="DOG2:DOJ2"/>
    <mergeCell ref="DOK2:DON2"/>
    <mergeCell ref="DOO2:DOR2"/>
    <mergeCell ref="DOS2:DOV2"/>
    <mergeCell ref="DOW2:DOZ2"/>
    <mergeCell ref="DNE2:DNH2"/>
    <mergeCell ref="DNI2:DNL2"/>
    <mergeCell ref="DNM2:DNP2"/>
    <mergeCell ref="DNQ2:DNT2"/>
    <mergeCell ref="DNU2:DNX2"/>
    <mergeCell ref="DNY2:DOB2"/>
    <mergeCell ref="DMG2:DMJ2"/>
    <mergeCell ref="DMK2:DMN2"/>
    <mergeCell ref="DMO2:DMR2"/>
    <mergeCell ref="DMS2:DMV2"/>
    <mergeCell ref="DMW2:DMZ2"/>
    <mergeCell ref="DNA2:DND2"/>
    <mergeCell ref="DLI2:DLL2"/>
    <mergeCell ref="DLM2:DLP2"/>
    <mergeCell ref="DLQ2:DLT2"/>
    <mergeCell ref="DLU2:DLX2"/>
    <mergeCell ref="DLY2:DMB2"/>
    <mergeCell ref="DMC2:DMF2"/>
    <mergeCell ref="DKK2:DKN2"/>
    <mergeCell ref="DKO2:DKR2"/>
    <mergeCell ref="DKS2:DKV2"/>
    <mergeCell ref="DKW2:DKZ2"/>
    <mergeCell ref="DLA2:DLD2"/>
    <mergeCell ref="DLE2:DLH2"/>
    <mergeCell ref="DJM2:DJP2"/>
    <mergeCell ref="DJQ2:DJT2"/>
    <mergeCell ref="DJU2:DJX2"/>
    <mergeCell ref="DJY2:DKB2"/>
    <mergeCell ref="DKC2:DKF2"/>
    <mergeCell ref="DKG2:DKJ2"/>
    <mergeCell ref="DIO2:DIR2"/>
    <mergeCell ref="DIS2:DIV2"/>
    <mergeCell ref="DIW2:DIZ2"/>
    <mergeCell ref="DJA2:DJD2"/>
    <mergeCell ref="DJE2:DJH2"/>
    <mergeCell ref="DJI2:DJL2"/>
    <mergeCell ref="DHQ2:DHT2"/>
    <mergeCell ref="DHU2:DHX2"/>
    <mergeCell ref="DHY2:DIB2"/>
    <mergeCell ref="DIC2:DIF2"/>
    <mergeCell ref="DIG2:DIJ2"/>
    <mergeCell ref="DIK2:DIN2"/>
    <mergeCell ref="DGS2:DGV2"/>
    <mergeCell ref="DGW2:DGZ2"/>
    <mergeCell ref="DHA2:DHD2"/>
    <mergeCell ref="DHE2:DHH2"/>
    <mergeCell ref="DHI2:DHL2"/>
    <mergeCell ref="DHM2:DHP2"/>
    <mergeCell ref="DFU2:DFX2"/>
    <mergeCell ref="DFY2:DGB2"/>
    <mergeCell ref="DGC2:DGF2"/>
    <mergeCell ref="DGG2:DGJ2"/>
    <mergeCell ref="DGK2:DGN2"/>
    <mergeCell ref="DGO2:DGR2"/>
    <mergeCell ref="DEW2:DEZ2"/>
    <mergeCell ref="DFA2:DFD2"/>
    <mergeCell ref="DFE2:DFH2"/>
    <mergeCell ref="DFI2:DFL2"/>
    <mergeCell ref="DFM2:DFP2"/>
    <mergeCell ref="DFQ2:DFT2"/>
    <mergeCell ref="DDY2:DEB2"/>
    <mergeCell ref="DEC2:DEF2"/>
    <mergeCell ref="DEG2:DEJ2"/>
    <mergeCell ref="DEK2:DEN2"/>
    <mergeCell ref="DEO2:DER2"/>
    <mergeCell ref="DES2:DEV2"/>
    <mergeCell ref="DDA2:DDD2"/>
    <mergeCell ref="DDE2:DDH2"/>
    <mergeCell ref="DDI2:DDL2"/>
    <mergeCell ref="DDM2:DDP2"/>
    <mergeCell ref="DDQ2:DDT2"/>
    <mergeCell ref="DDU2:DDX2"/>
    <mergeCell ref="DCC2:DCF2"/>
    <mergeCell ref="DCG2:DCJ2"/>
    <mergeCell ref="DCK2:DCN2"/>
    <mergeCell ref="DCO2:DCR2"/>
    <mergeCell ref="DCS2:DCV2"/>
    <mergeCell ref="DCW2:DCZ2"/>
    <mergeCell ref="DBE2:DBH2"/>
    <mergeCell ref="DBI2:DBL2"/>
    <mergeCell ref="DBM2:DBP2"/>
    <mergeCell ref="DBQ2:DBT2"/>
    <mergeCell ref="DBU2:DBX2"/>
    <mergeCell ref="DBY2:DCB2"/>
    <mergeCell ref="DAG2:DAJ2"/>
    <mergeCell ref="DAK2:DAN2"/>
    <mergeCell ref="DAO2:DAR2"/>
    <mergeCell ref="DAS2:DAV2"/>
    <mergeCell ref="DAW2:DAZ2"/>
    <mergeCell ref="DBA2:DBD2"/>
    <mergeCell ref="CZI2:CZL2"/>
    <mergeCell ref="CZM2:CZP2"/>
    <mergeCell ref="CZQ2:CZT2"/>
    <mergeCell ref="CZU2:CZX2"/>
    <mergeCell ref="CZY2:DAB2"/>
    <mergeCell ref="DAC2:DAF2"/>
    <mergeCell ref="CYK2:CYN2"/>
    <mergeCell ref="CYO2:CYR2"/>
    <mergeCell ref="CYS2:CYV2"/>
    <mergeCell ref="CYW2:CYZ2"/>
    <mergeCell ref="CZA2:CZD2"/>
    <mergeCell ref="CZE2:CZH2"/>
    <mergeCell ref="CXM2:CXP2"/>
    <mergeCell ref="CXQ2:CXT2"/>
    <mergeCell ref="CXU2:CXX2"/>
    <mergeCell ref="CXY2:CYB2"/>
    <mergeCell ref="CYC2:CYF2"/>
    <mergeCell ref="CYG2:CYJ2"/>
    <mergeCell ref="CWO2:CWR2"/>
    <mergeCell ref="CWS2:CWV2"/>
    <mergeCell ref="CWW2:CWZ2"/>
    <mergeCell ref="CXA2:CXD2"/>
    <mergeCell ref="CXE2:CXH2"/>
    <mergeCell ref="CXI2:CXL2"/>
    <mergeCell ref="CVQ2:CVT2"/>
    <mergeCell ref="CVU2:CVX2"/>
    <mergeCell ref="CVY2:CWB2"/>
    <mergeCell ref="CWC2:CWF2"/>
    <mergeCell ref="CWG2:CWJ2"/>
    <mergeCell ref="CWK2:CWN2"/>
    <mergeCell ref="CUS2:CUV2"/>
    <mergeCell ref="CUW2:CUZ2"/>
    <mergeCell ref="CVA2:CVD2"/>
    <mergeCell ref="CVE2:CVH2"/>
    <mergeCell ref="CVI2:CVL2"/>
    <mergeCell ref="CVM2:CVP2"/>
    <mergeCell ref="CTU2:CTX2"/>
    <mergeCell ref="CTY2:CUB2"/>
    <mergeCell ref="CUC2:CUF2"/>
    <mergeCell ref="CUG2:CUJ2"/>
    <mergeCell ref="CUK2:CUN2"/>
    <mergeCell ref="CUO2:CUR2"/>
    <mergeCell ref="CSW2:CSZ2"/>
    <mergeCell ref="CTA2:CTD2"/>
    <mergeCell ref="CTE2:CTH2"/>
    <mergeCell ref="CTI2:CTL2"/>
    <mergeCell ref="CTM2:CTP2"/>
    <mergeCell ref="CTQ2:CTT2"/>
    <mergeCell ref="CRY2:CSB2"/>
    <mergeCell ref="CSC2:CSF2"/>
    <mergeCell ref="CSG2:CSJ2"/>
    <mergeCell ref="CSK2:CSN2"/>
    <mergeCell ref="CSO2:CSR2"/>
    <mergeCell ref="CSS2:CSV2"/>
    <mergeCell ref="CRA2:CRD2"/>
    <mergeCell ref="CRE2:CRH2"/>
    <mergeCell ref="CRI2:CRL2"/>
    <mergeCell ref="CRM2:CRP2"/>
    <mergeCell ref="CRQ2:CRT2"/>
    <mergeCell ref="CRU2:CRX2"/>
    <mergeCell ref="CQC2:CQF2"/>
    <mergeCell ref="CQG2:CQJ2"/>
    <mergeCell ref="CQK2:CQN2"/>
    <mergeCell ref="CQO2:CQR2"/>
    <mergeCell ref="CQS2:CQV2"/>
    <mergeCell ref="CQW2:CQZ2"/>
    <mergeCell ref="CPE2:CPH2"/>
    <mergeCell ref="CPI2:CPL2"/>
    <mergeCell ref="CPM2:CPP2"/>
    <mergeCell ref="CPQ2:CPT2"/>
    <mergeCell ref="CPU2:CPX2"/>
    <mergeCell ref="CPY2:CQB2"/>
    <mergeCell ref="COG2:COJ2"/>
    <mergeCell ref="COK2:CON2"/>
    <mergeCell ref="COO2:COR2"/>
    <mergeCell ref="COS2:COV2"/>
    <mergeCell ref="COW2:COZ2"/>
    <mergeCell ref="CPA2:CPD2"/>
    <mergeCell ref="CNI2:CNL2"/>
    <mergeCell ref="CNM2:CNP2"/>
    <mergeCell ref="CNQ2:CNT2"/>
    <mergeCell ref="CNU2:CNX2"/>
    <mergeCell ref="CNY2:COB2"/>
    <mergeCell ref="COC2:COF2"/>
    <mergeCell ref="CMK2:CMN2"/>
    <mergeCell ref="CMO2:CMR2"/>
    <mergeCell ref="CMS2:CMV2"/>
    <mergeCell ref="CMW2:CMZ2"/>
    <mergeCell ref="CNA2:CND2"/>
    <mergeCell ref="CNE2:CNH2"/>
    <mergeCell ref="CLM2:CLP2"/>
    <mergeCell ref="CLQ2:CLT2"/>
    <mergeCell ref="CLU2:CLX2"/>
    <mergeCell ref="CLY2:CMB2"/>
    <mergeCell ref="CMC2:CMF2"/>
    <mergeCell ref="CMG2:CMJ2"/>
    <mergeCell ref="CKO2:CKR2"/>
    <mergeCell ref="CKS2:CKV2"/>
    <mergeCell ref="CKW2:CKZ2"/>
    <mergeCell ref="CLA2:CLD2"/>
    <mergeCell ref="CLE2:CLH2"/>
    <mergeCell ref="CLI2:CLL2"/>
    <mergeCell ref="CJQ2:CJT2"/>
    <mergeCell ref="CJU2:CJX2"/>
    <mergeCell ref="CJY2:CKB2"/>
    <mergeCell ref="CKC2:CKF2"/>
    <mergeCell ref="CKG2:CKJ2"/>
    <mergeCell ref="CKK2:CKN2"/>
    <mergeCell ref="CIS2:CIV2"/>
    <mergeCell ref="CIW2:CIZ2"/>
    <mergeCell ref="CJA2:CJD2"/>
    <mergeCell ref="CJE2:CJH2"/>
    <mergeCell ref="CJI2:CJL2"/>
    <mergeCell ref="CJM2:CJP2"/>
    <mergeCell ref="CHU2:CHX2"/>
    <mergeCell ref="CHY2:CIB2"/>
    <mergeCell ref="CIC2:CIF2"/>
    <mergeCell ref="CIG2:CIJ2"/>
    <mergeCell ref="CIK2:CIN2"/>
    <mergeCell ref="CIO2:CIR2"/>
    <mergeCell ref="CGW2:CGZ2"/>
    <mergeCell ref="CHA2:CHD2"/>
    <mergeCell ref="CHE2:CHH2"/>
    <mergeCell ref="CHI2:CHL2"/>
    <mergeCell ref="CHM2:CHP2"/>
    <mergeCell ref="CHQ2:CHT2"/>
    <mergeCell ref="CFY2:CGB2"/>
    <mergeCell ref="CGC2:CGF2"/>
    <mergeCell ref="CGG2:CGJ2"/>
    <mergeCell ref="CGK2:CGN2"/>
    <mergeCell ref="CGO2:CGR2"/>
    <mergeCell ref="CGS2:CGV2"/>
    <mergeCell ref="CFA2:CFD2"/>
    <mergeCell ref="CFE2:CFH2"/>
    <mergeCell ref="CFI2:CFL2"/>
    <mergeCell ref="CFM2:CFP2"/>
    <mergeCell ref="CFQ2:CFT2"/>
    <mergeCell ref="CFU2:CFX2"/>
    <mergeCell ref="CEC2:CEF2"/>
    <mergeCell ref="CEG2:CEJ2"/>
    <mergeCell ref="CEK2:CEN2"/>
    <mergeCell ref="CEO2:CER2"/>
    <mergeCell ref="CES2:CEV2"/>
    <mergeCell ref="CEW2:CEZ2"/>
    <mergeCell ref="CDE2:CDH2"/>
    <mergeCell ref="CDI2:CDL2"/>
    <mergeCell ref="CDM2:CDP2"/>
    <mergeCell ref="CDQ2:CDT2"/>
    <mergeCell ref="CDU2:CDX2"/>
    <mergeCell ref="CDY2:CEB2"/>
    <mergeCell ref="CCG2:CCJ2"/>
    <mergeCell ref="CCK2:CCN2"/>
    <mergeCell ref="CCO2:CCR2"/>
    <mergeCell ref="CCS2:CCV2"/>
    <mergeCell ref="CCW2:CCZ2"/>
    <mergeCell ref="CDA2:CDD2"/>
    <mergeCell ref="CBI2:CBL2"/>
    <mergeCell ref="CBM2:CBP2"/>
    <mergeCell ref="CBQ2:CBT2"/>
    <mergeCell ref="CBU2:CBX2"/>
    <mergeCell ref="CBY2:CCB2"/>
    <mergeCell ref="CCC2:CCF2"/>
    <mergeCell ref="CAK2:CAN2"/>
    <mergeCell ref="CAO2:CAR2"/>
    <mergeCell ref="CAS2:CAV2"/>
    <mergeCell ref="CAW2:CAZ2"/>
    <mergeCell ref="CBA2:CBD2"/>
    <mergeCell ref="CBE2:CBH2"/>
    <mergeCell ref="BZM2:BZP2"/>
    <mergeCell ref="BZQ2:BZT2"/>
    <mergeCell ref="BZU2:BZX2"/>
    <mergeCell ref="BZY2:CAB2"/>
    <mergeCell ref="CAC2:CAF2"/>
    <mergeCell ref="CAG2:CAJ2"/>
    <mergeCell ref="BYO2:BYR2"/>
    <mergeCell ref="BYS2:BYV2"/>
    <mergeCell ref="BYW2:BYZ2"/>
    <mergeCell ref="BZA2:BZD2"/>
    <mergeCell ref="BZE2:BZH2"/>
    <mergeCell ref="BZI2:BZL2"/>
    <mergeCell ref="BXQ2:BXT2"/>
    <mergeCell ref="BXU2:BXX2"/>
    <mergeCell ref="BXY2:BYB2"/>
    <mergeCell ref="BYC2:BYF2"/>
    <mergeCell ref="BYG2:BYJ2"/>
    <mergeCell ref="BYK2:BYN2"/>
    <mergeCell ref="BWS2:BWV2"/>
    <mergeCell ref="BWW2:BWZ2"/>
    <mergeCell ref="BXA2:BXD2"/>
    <mergeCell ref="BXE2:BXH2"/>
    <mergeCell ref="BXI2:BXL2"/>
    <mergeCell ref="BXM2:BXP2"/>
    <mergeCell ref="BVU2:BVX2"/>
    <mergeCell ref="BVY2:BWB2"/>
    <mergeCell ref="BWC2:BWF2"/>
    <mergeCell ref="BWG2:BWJ2"/>
    <mergeCell ref="BWK2:BWN2"/>
    <mergeCell ref="BWO2:BWR2"/>
    <mergeCell ref="BUW2:BUZ2"/>
    <mergeCell ref="BVA2:BVD2"/>
    <mergeCell ref="BVE2:BVH2"/>
    <mergeCell ref="BVI2:BVL2"/>
    <mergeCell ref="BVM2:BVP2"/>
    <mergeCell ref="BVQ2:BVT2"/>
    <mergeCell ref="BTY2:BUB2"/>
    <mergeCell ref="BUC2:BUF2"/>
    <mergeCell ref="BUG2:BUJ2"/>
    <mergeCell ref="BUK2:BUN2"/>
    <mergeCell ref="BUO2:BUR2"/>
    <mergeCell ref="BUS2:BUV2"/>
    <mergeCell ref="BTA2:BTD2"/>
    <mergeCell ref="BTE2:BTH2"/>
    <mergeCell ref="BTI2:BTL2"/>
    <mergeCell ref="BTM2:BTP2"/>
    <mergeCell ref="BTQ2:BTT2"/>
    <mergeCell ref="BTU2:BTX2"/>
    <mergeCell ref="BSC2:BSF2"/>
    <mergeCell ref="BSG2:BSJ2"/>
    <mergeCell ref="BSK2:BSN2"/>
    <mergeCell ref="BSO2:BSR2"/>
    <mergeCell ref="BSS2:BSV2"/>
    <mergeCell ref="BSW2:BSZ2"/>
    <mergeCell ref="BRE2:BRH2"/>
    <mergeCell ref="BRI2:BRL2"/>
    <mergeCell ref="BRM2:BRP2"/>
    <mergeCell ref="BRQ2:BRT2"/>
    <mergeCell ref="BRU2:BRX2"/>
    <mergeCell ref="BRY2:BSB2"/>
    <mergeCell ref="BQG2:BQJ2"/>
    <mergeCell ref="BQK2:BQN2"/>
    <mergeCell ref="BQO2:BQR2"/>
    <mergeCell ref="BQS2:BQV2"/>
    <mergeCell ref="BQW2:BQZ2"/>
    <mergeCell ref="BRA2:BRD2"/>
    <mergeCell ref="BPI2:BPL2"/>
    <mergeCell ref="BPM2:BPP2"/>
    <mergeCell ref="BPQ2:BPT2"/>
    <mergeCell ref="BPU2:BPX2"/>
    <mergeCell ref="BPY2:BQB2"/>
    <mergeCell ref="BQC2:BQF2"/>
    <mergeCell ref="BOK2:BON2"/>
    <mergeCell ref="BOO2:BOR2"/>
    <mergeCell ref="BOS2:BOV2"/>
    <mergeCell ref="BOW2:BOZ2"/>
    <mergeCell ref="BPA2:BPD2"/>
    <mergeCell ref="BPE2:BPH2"/>
    <mergeCell ref="BNM2:BNP2"/>
    <mergeCell ref="BNQ2:BNT2"/>
    <mergeCell ref="BNU2:BNX2"/>
    <mergeCell ref="BNY2:BOB2"/>
    <mergeCell ref="BOC2:BOF2"/>
    <mergeCell ref="BOG2:BOJ2"/>
    <mergeCell ref="BMO2:BMR2"/>
    <mergeCell ref="BMS2:BMV2"/>
    <mergeCell ref="BMW2:BMZ2"/>
    <mergeCell ref="BNA2:BND2"/>
    <mergeCell ref="BNE2:BNH2"/>
    <mergeCell ref="BNI2:BNL2"/>
    <mergeCell ref="BLQ2:BLT2"/>
    <mergeCell ref="BLU2:BLX2"/>
    <mergeCell ref="BLY2:BMB2"/>
    <mergeCell ref="BMC2:BMF2"/>
    <mergeCell ref="BMG2:BMJ2"/>
    <mergeCell ref="BMK2:BMN2"/>
    <mergeCell ref="BKS2:BKV2"/>
    <mergeCell ref="BKW2:BKZ2"/>
    <mergeCell ref="BLA2:BLD2"/>
    <mergeCell ref="BLE2:BLH2"/>
    <mergeCell ref="BLI2:BLL2"/>
    <mergeCell ref="BLM2:BLP2"/>
    <mergeCell ref="BJU2:BJX2"/>
    <mergeCell ref="BJY2:BKB2"/>
    <mergeCell ref="BKC2:BKF2"/>
    <mergeCell ref="BKG2:BKJ2"/>
    <mergeCell ref="BKK2:BKN2"/>
    <mergeCell ref="BKO2:BKR2"/>
    <mergeCell ref="BIW2:BIZ2"/>
    <mergeCell ref="BJA2:BJD2"/>
    <mergeCell ref="BJE2:BJH2"/>
    <mergeCell ref="BJI2:BJL2"/>
    <mergeCell ref="BJM2:BJP2"/>
    <mergeCell ref="BJQ2:BJT2"/>
    <mergeCell ref="BHY2:BIB2"/>
    <mergeCell ref="BIC2:BIF2"/>
    <mergeCell ref="BIG2:BIJ2"/>
    <mergeCell ref="BIK2:BIN2"/>
    <mergeCell ref="BIO2:BIR2"/>
    <mergeCell ref="BIS2:BIV2"/>
    <mergeCell ref="BHA2:BHD2"/>
    <mergeCell ref="BHE2:BHH2"/>
    <mergeCell ref="BHI2:BHL2"/>
    <mergeCell ref="BHM2:BHP2"/>
    <mergeCell ref="BHQ2:BHT2"/>
    <mergeCell ref="BHU2:BHX2"/>
    <mergeCell ref="BGC2:BGF2"/>
    <mergeCell ref="BGG2:BGJ2"/>
    <mergeCell ref="BGK2:BGN2"/>
    <mergeCell ref="BGO2:BGR2"/>
    <mergeCell ref="BGS2:BGV2"/>
    <mergeCell ref="BGW2:BGZ2"/>
    <mergeCell ref="BFE2:BFH2"/>
    <mergeCell ref="BFI2:BFL2"/>
    <mergeCell ref="BFM2:BFP2"/>
    <mergeCell ref="BFQ2:BFT2"/>
    <mergeCell ref="BFU2:BFX2"/>
    <mergeCell ref="BFY2:BGB2"/>
    <mergeCell ref="BEG2:BEJ2"/>
    <mergeCell ref="BEK2:BEN2"/>
    <mergeCell ref="BEO2:BER2"/>
    <mergeCell ref="BES2:BEV2"/>
    <mergeCell ref="BEW2:BEZ2"/>
    <mergeCell ref="BFA2:BFD2"/>
    <mergeCell ref="BDI2:BDL2"/>
    <mergeCell ref="BDM2:BDP2"/>
    <mergeCell ref="BDQ2:BDT2"/>
    <mergeCell ref="BDU2:BDX2"/>
    <mergeCell ref="BDY2:BEB2"/>
    <mergeCell ref="BEC2:BEF2"/>
    <mergeCell ref="BCK2:BCN2"/>
    <mergeCell ref="BCO2:BCR2"/>
    <mergeCell ref="BCS2:BCV2"/>
    <mergeCell ref="BCW2:BCZ2"/>
    <mergeCell ref="BDA2:BDD2"/>
    <mergeCell ref="BDE2:BDH2"/>
    <mergeCell ref="BBM2:BBP2"/>
    <mergeCell ref="BBQ2:BBT2"/>
    <mergeCell ref="BBU2:BBX2"/>
    <mergeCell ref="BBY2:BCB2"/>
    <mergeCell ref="BCC2:BCF2"/>
    <mergeCell ref="BCG2:BCJ2"/>
    <mergeCell ref="BAO2:BAR2"/>
    <mergeCell ref="BAS2:BAV2"/>
    <mergeCell ref="BAW2:BAZ2"/>
    <mergeCell ref="BBA2:BBD2"/>
    <mergeCell ref="BBE2:BBH2"/>
    <mergeCell ref="BBI2:BBL2"/>
    <mergeCell ref="AZQ2:AZT2"/>
    <mergeCell ref="AZU2:AZX2"/>
    <mergeCell ref="AZY2:BAB2"/>
    <mergeCell ref="BAC2:BAF2"/>
    <mergeCell ref="BAG2:BAJ2"/>
    <mergeCell ref="BAK2:BAN2"/>
    <mergeCell ref="AYS2:AYV2"/>
    <mergeCell ref="AYW2:AYZ2"/>
    <mergeCell ref="AZA2:AZD2"/>
    <mergeCell ref="AZE2:AZH2"/>
    <mergeCell ref="AZI2:AZL2"/>
    <mergeCell ref="AZM2:AZP2"/>
    <mergeCell ref="AXU2:AXX2"/>
    <mergeCell ref="AXY2:AYB2"/>
    <mergeCell ref="AYC2:AYF2"/>
    <mergeCell ref="AYG2:AYJ2"/>
    <mergeCell ref="AYK2:AYN2"/>
    <mergeCell ref="AYO2:AYR2"/>
    <mergeCell ref="AWW2:AWZ2"/>
    <mergeCell ref="AXA2:AXD2"/>
    <mergeCell ref="AXE2:AXH2"/>
    <mergeCell ref="AXI2:AXL2"/>
    <mergeCell ref="AXM2:AXP2"/>
    <mergeCell ref="AXQ2:AXT2"/>
    <mergeCell ref="AVY2:AWB2"/>
    <mergeCell ref="AWC2:AWF2"/>
    <mergeCell ref="AWG2:AWJ2"/>
    <mergeCell ref="AWK2:AWN2"/>
    <mergeCell ref="AWO2:AWR2"/>
    <mergeCell ref="AWS2:AWV2"/>
    <mergeCell ref="AVA2:AVD2"/>
    <mergeCell ref="AVE2:AVH2"/>
    <mergeCell ref="AVI2:AVL2"/>
    <mergeCell ref="AVM2:AVP2"/>
    <mergeCell ref="AVQ2:AVT2"/>
    <mergeCell ref="AVU2:AVX2"/>
    <mergeCell ref="AUC2:AUF2"/>
    <mergeCell ref="AUG2:AUJ2"/>
    <mergeCell ref="AUK2:AUN2"/>
    <mergeCell ref="AUO2:AUR2"/>
    <mergeCell ref="AUS2:AUV2"/>
    <mergeCell ref="AUW2:AUZ2"/>
    <mergeCell ref="ATE2:ATH2"/>
    <mergeCell ref="ATI2:ATL2"/>
    <mergeCell ref="ATM2:ATP2"/>
    <mergeCell ref="ATQ2:ATT2"/>
    <mergeCell ref="ATU2:ATX2"/>
    <mergeCell ref="ATY2:AUB2"/>
    <mergeCell ref="ASG2:ASJ2"/>
    <mergeCell ref="ASK2:ASN2"/>
    <mergeCell ref="ASO2:ASR2"/>
    <mergeCell ref="ASS2:ASV2"/>
    <mergeCell ref="ASW2:ASZ2"/>
    <mergeCell ref="ATA2:ATD2"/>
    <mergeCell ref="ARI2:ARL2"/>
    <mergeCell ref="ARM2:ARP2"/>
    <mergeCell ref="ARQ2:ART2"/>
    <mergeCell ref="ARU2:ARX2"/>
    <mergeCell ref="ARY2:ASB2"/>
    <mergeCell ref="ASC2:ASF2"/>
    <mergeCell ref="AQK2:AQN2"/>
    <mergeCell ref="AQO2:AQR2"/>
    <mergeCell ref="AQS2:AQV2"/>
    <mergeCell ref="AQW2:AQZ2"/>
    <mergeCell ref="ARA2:ARD2"/>
    <mergeCell ref="ARE2:ARH2"/>
    <mergeCell ref="APM2:APP2"/>
    <mergeCell ref="APQ2:APT2"/>
    <mergeCell ref="APU2:APX2"/>
    <mergeCell ref="APY2:AQB2"/>
    <mergeCell ref="AQC2:AQF2"/>
    <mergeCell ref="AQG2:AQJ2"/>
    <mergeCell ref="AOO2:AOR2"/>
    <mergeCell ref="AOS2:AOV2"/>
    <mergeCell ref="AOW2:AOZ2"/>
    <mergeCell ref="APA2:APD2"/>
    <mergeCell ref="APE2:APH2"/>
    <mergeCell ref="API2:APL2"/>
    <mergeCell ref="ANQ2:ANT2"/>
    <mergeCell ref="ANU2:ANX2"/>
    <mergeCell ref="ANY2:AOB2"/>
    <mergeCell ref="AOC2:AOF2"/>
    <mergeCell ref="AOG2:AOJ2"/>
    <mergeCell ref="AOK2:AON2"/>
    <mergeCell ref="AMS2:AMV2"/>
    <mergeCell ref="AMW2:AMZ2"/>
    <mergeCell ref="ANA2:AND2"/>
    <mergeCell ref="ANE2:ANH2"/>
    <mergeCell ref="ANI2:ANL2"/>
    <mergeCell ref="ANM2:ANP2"/>
    <mergeCell ref="ALU2:ALX2"/>
    <mergeCell ref="ALY2:AMB2"/>
    <mergeCell ref="AMC2:AMF2"/>
    <mergeCell ref="AMG2:AMJ2"/>
    <mergeCell ref="AMK2:AMN2"/>
    <mergeCell ref="AMO2:AMR2"/>
    <mergeCell ref="AKW2:AKZ2"/>
    <mergeCell ref="ALA2:ALD2"/>
    <mergeCell ref="ALE2:ALH2"/>
    <mergeCell ref="ALI2:ALL2"/>
    <mergeCell ref="ALM2:ALP2"/>
    <mergeCell ref="ALQ2:ALT2"/>
    <mergeCell ref="AJY2:AKB2"/>
    <mergeCell ref="AKC2:AKF2"/>
    <mergeCell ref="AKG2:AKJ2"/>
    <mergeCell ref="AKK2:AKN2"/>
    <mergeCell ref="AKO2:AKR2"/>
    <mergeCell ref="AKS2:AKV2"/>
    <mergeCell ref="AJA2:AJD2"/>
    <mergeCell ref="AJE2:AJH2"/>
    <mergeCell ref="AJI2:AJL2"/>
    <mergeCell ref="AJM2:AJP2"/>
    <mergeCell ref="AJQ2:AJT2"/>
    <mergeCell ref="AJU2:AJX2"/>
    <mergeCell ref="AIC2:AIF2"/>
    <mergeCell ref="AIG2:AIJ2"/>
    <mergeCell ref="AIK2:AIN2"/>
    <mergeCell ref="AIO2:AIR2"/>
    <mergeCell ref="AIS2:AIV2"/>
    <mergeCell ref="AIW2:AIZ2"/>
    <mergeCell ref="AHE2:AHH2"/>
    <mergeCell ref="AHI2:AHL2"/>
    <mergeCell ref="AHM2:AHP2"/>
    <mergeCell ref="AHQ2:AHT2"/>
    <mergeCell ref="AHU2:AHX2"/>
    <mergeCell ref="AHY2:AIB2"/>
    <mergeCell ref="AGG2:AGJ2"/>
    <mergeCell ref="AGK2:AGN2"/>
    <mergeCell ref="AGO2:AGR2"/>
    <mergeCell ref="AGS2:AGV2"/>
    <mergeCell ref="AGW2:AGZ2"/>
    <mergeCell ref="AHA2:AHD2"/>
    <mergeCell ref="AFI2:AFL2"/>
    <mergeCell ref="AFM2:AFP2"/>
    <mergeCell ref="AFQ2:AFT2"/>
    <mergeCell ref="AFU2:AFX2"/>
    <mergeCell ref="AFY2:AGB2"/>
    <mergeCell ref="AGC2:AGF2"/>
    <mergeCell ref="AEK2:AEN2"/>
    <mergeCell ref="AEO2:AER2"/>
    <mergeCell ref="AES2:AEV2"/>
    <mergeCell ref="AEW2:AEZ2"/>
    <mergeCell ref="AFA2:AFD2"/>
    <mergeCell ref="AFE2:AFH2"/>
    <mergeCell ref="ADM2:ADP2"/>
    <mergeCell ref="ADQ2:ADT2"/>
    <mergeCell ref="ADU2:ADX2"/>
    <mergeCell ref="ADY2:AEB2"/>
    <mergeCell ref="AEC2:AEF2"/>
    <mergeCell ref="AEG2:AEJ2"/>
    <mergeCell ref="ACO2:ACR2"/>
    <mergeCell ref="ACS2:ACV2"/>
    <mergeCell ref="ACW2:ACZ2"/>
    <mergeCell ref="ADA2:ADD2"/>
    <mergeCell ref="ADE2:ADH2"/>
    <mergeCell ref="ADI2:ADL2"/>
    <mergeCell ref="ABQ2:ABT2"/>
    <mergeCell ref="ABU2:ABX2"/>
    <mergeCell ref="ABY2:ACB2"/>
    <mergeCell ref="ACC2:ACF2"/>
    <mergeCell ref="ACG2:ACJ2"/>
    <mergeCell ref="ACK2:ACN2"/>
    <mergeCell ref="AAS2:AAV2"/>
    <mergeCell ref="AAW2:AAZ2"/>
    <mergeCell ref="ABA2:ABD2"/>
    <mergeCell ref="ABE2:ABH2"/>
    <mergeCell ref="ABI2:ABL2"/>
    <mergeCell ref="ABM2:ABP2"/>
    <mergeCell ref="ZU2:ZX2"/>
    <mergeCell ref="ZY2:AAB2"/>
    <mergeCell ref="AAC2:AAF2"/>
    <mergeCell ref="AAG2:AAJ2"/>
    <mergeCell ref="AAK2:AAN2"/>
    <mergeCell ref="AAO2:AAR2"/>
    <mergeCell ref="YW2:YZ2"/>
    <mergeCell ref="ZA2:ZD2"/>
    <mergeCell ref="ZE2:ZH2"/>
    <mergeCell ref="ZI2:ZL2"/>
    <mergeCell ref="ZM2:ZP2"/>
    <mergeCell ref="ZQ2:ZT2"/>
    <mergeCell ref="XY2:YB2"/>
    <mergeCell ref="YC2:YF2"/>
    <mergeCell ref="YG2:YJ2"/>
    <mergeCell ref="YK2:YN2"/>
    <mergeCell ref="YO2:YR2"/>
    <mergeCell ref="YS2:YV2"/>
    <mergeCell ref="XA2:XD2"/>
    <mergeCell ref="XE2:XH2"/>
    <mergeCell ref="XI2:XL2"/>
    <mergeCell ref="XM2:XP2"/>
    <mergeCell ref="XQ2:XT2"/>
    <mergeCell ref="XU2:XX2"/>
    <mergeCell ref="WC2:WF2"/>
    <mergeCell ref="WG2:WJ2"/>
    <mergeCell ref="WK2:WN2"/>
    <mergeCell ref="WO2:WR2"/>
    <mergeCell ref="WS2:WV2"/>
    <mergeCell ref="WW2:WZ2"/>
    <mergeCell ref="VE2:VH2"/>
    <mergeCell ref="VI2:VL2"/>
    <mergeCell ref="VM2:VP2"/>
    <mergeCell ref="VQ2:VT2"/>
    <mergeCell ref="VU2:VX2"/>
    <mergeCell ref="VY2:WB2"/>
    <mergeCell ref="UG2:UJ2"/>
    <mergeCell ref="UK2:UN2"/>
    <mergeCell ref="UO2:UR2"/>
    <mergeCell ref="US2:UV2"/>
    <mergeCell ref="UW2:UZ2"/>
    <mergeCell ref="VA2:VD2"/>
    <mergeCell ref="TI2:TL2"/>
    <mergeCell ref="TM2:TP2"/>
    <mergeCell ref="TQ2:TT2"/>
    <mergeCell ref="TU2:TX2"/>
    <mergeCell ref="TY2:UB2"/>
    <mergeCell ref="UC2:UF2"/>
    <mergeCell ref="SK2:SN2"/>
    <mergeCell ref="SO2:SR2"/>
    <mergeCell ref="SS2:SV2"/>
    <mergeCell ref="SW2:SZ2"/>
    <mergeCell ref="TA2:TD2"/>
    <mergeCell ref="TE2:TH2"/>
    <mergeCell ref="RM2:RP2"/>
    <mergeCell ref="RQ2:RT2"/>
    <mergeCell ref="RU2:RX2"/>
    <mergeCell ref="RY2:SB2"/>
    <mergeCell ref="SC2:SF2"/>
    <mergeCell ref="SG2:SJ2"/>
    <mergeCell ref="QO2:QR2"/>
    <mergeCell ref="QS2:QV2"/>
    <mergeCell ref="QW2:QZ2"/>
    <mergeCell ref="RA2:RD2"/>
    <mergeCell ref="RE2:RH2"/>
    <mergeCell ref="RI2:RL2"/>
    <mergeCell ref="PQ2:PT2"/>
    <mergeCell ref="PU2:PX2"/>
    <mergeCell ref="PY2:QB2"/>
    <mergeCell ref="QC2:QF2"/>
    <mergeCell ref="QG2:QJ2"/>
    <mergeCell ref="QK2:QN2"/>
    <mergeCell ref="OS2:OV2"/>
    <mergeCell ref="OW2:OZ2"/>
    <mergeCell ref="PA2:PD2"/>
    <mergeCell ref="PE2:PH2"/>
    <mergeCell ref="PI2:PL2"/>
    <mergeCell ref="PM2:PP2"/>
    <mergeCell ref="NU2:NX2"/>
    <mergeCell ref="NY2:OB2"/>
    <mergeCell ref="OC2:OF2"/>
    <mergeCell ref="OG2:OJ2"/>
    <mergeCell ref="OK2:ON2"/>
    <mergeCell ref="OO2:OR2"/>
    <mergeCell ref="MW2:MZ2"/>
    <mergeCell ref="NA2:ND2"/>
    <mergeCell ref="NE2:NH2"/>
    <mergeCell ref="NI2:NL2"/>
    <mergeCell ref="NM2:NP2"/>
    <mergeCell ref="NQ2:NT2"/>
    <mergeCell ref="LY2:MB2"/>
    <mergeCell ref="MC2:MF2"/>
    <mergeCell ref="MG2:MJ2"/>
    <mergeCell ref="MK2:MN2"/>
    <mergeCell ref="MO2:MR2"/>
    <mergeCell ref="MS2:MV2"/>
    <mergeCell ref="LA2:LD2"/>
    <mergeCell ref="LE2:LH2"/>
    <mergeCell ref="LI2:LL2"/>
    <mergeCell ref="LM2:LP2"/>
    <mergeCell ref="LQ2:LT2"/>
    <mergeCell ref="LU2:LX2"/>
    <mergeCell ref="KC2:KF2"/>
    <mergeCell ref="KG2:KJ2"/>
    <mergeCell ref="KK2:KN2"/>
    <mergeCell ref="KO2:KR2"/>
    <mergeCell ref="KS2:KV2"/>
    <mergeCell ref="KW2:KZ2"/>
    <mergeCell ref="JE2:JH2"/>
    <mergeCell ref="JI2:JL2"/>
    <mergeCell ref="JM2:JP2"/>
    <mergeCell ref="JQ2:JT2"/>
    <mergeCell ref="JU2:JX2"/>
    <mergeCell ref="JY2:KB2"/>
    <mergeCell ref="IG2:IJ2"/>
    <mergeCell ref="IK2:IN2"/>
    <mergeCell ref="IO2:IR2"/>
    <mergeCell ref="IS2:IV2"/>
    <mergeCell ref="IW2:IZ2"/>
    <mergeCell ref="JA2:JD2"/>
    <mergeCell ref="HI2:HL2"/>
    <mergeCell ref="HM2:HP2"/>
    <mergeCell ref="HQ2:HT2"/>
    <mergeCell ref="HU2:HX2"/>
    <mergeCell ref="HY2:IB2"/>
    <mergeCell ref="IC2:IF2"/>
    <mergeCell ref="GK2:GN2"/>
    <mergeCell ref="GO2:GR2"/>
    <mergeCell ref="GS2:GV2"/>
    <mergeCell ref="GW2:GZ2"/>
    <mergeCell ref="HA2:HD2"/>
    <mergeCell ref="HE2:HH2"/>
    <mergeCell ref="FM2:FP2"/>
    <mergeCell ref="FQ2:FT2"/>
    <mergeCell ref="FU2:FX2"/>
    <mergeCell ref="FY2:GB2"/>
    <mergeCell ref="GC2:GF2"/>
    <mergeCell ref="GG2:GJ2"/>
    <mergeCell ref="EO2:ER2"/>
    <mergeCell ref="ES2:EV2"/>
    <mergeCell ref="EW2:EZ2"/>
    <mergeCell ref="FA2:FD2"/>
    <mergeCell ref="FE2:FH2"/>
    <mergeCell ref="FI2:FL2"/>
    <mergeCell ref="DQ2:DT2"/>
    <mergeCell ref="DU2:DX2"/>
    <mergeCell ref="DY2:EB2"/>
    <mergeCell ref="EC2:EF2"/>
    <mergeCell ref="EG2:EJ2"/>
    <mergeCell ref="EK2:EN2"/>
    <mergeCell ref="CS2:CV2"/>
    <mergeCell ref="CW2:CZ2"/>
    <mergeCell ref="DA2:DD2"/>
    <mergeCell ref="DE2:DH2"/>
    <mergeCell ref="DI2:DL2"/>
    <mergeCell ref="DM2:DP2"/>
    <mergeCell ref="A47:C47"/>
    <mergeCell ref="A2:C2"/>
    <mergeCell ref="E2:H2"/>
    <mergeCell ref="I2:L2"/>
    <mergeCell ref="M2:P2"/>
    <mergeCell ref="Q2:T2"/>
    <mergeCell ref="U2:X2"/>
    <mergeCell ref="BU2:BX2"/>
    <mergeCell ref="BY2:CB2"/>
    <mergeCell ref="CC2:CF2"/>
    <mergeCell ref="CG2:CJ2"/>
    <mergeCell ref="CK2:CN2"/>
    <mergeCell ref="CO2:CR2"/>
    <mergeCell ref="AW2:AZ2"/>
    <mergeCell ref="BA2:BD2"/>
    <mergeCell ref="BE2:BH2"/>
    <mergeCell ref="BI2:BL2"/>
    <mergeCell ref="BM2:BP2"/>
    <mergeCell ref="BQ2:BT2"/>
    <mergeCell ref="Y2:AB2"/>
    <mergeCell ref="AC2:AF2"/>
    <mergeCell ref="AG2:AJ2"/>
    <mergeCell ref="AK2:AN2"/>
    <mergeCell ref="AO2:AR2"/>
    <mergeCell ref="AS2:AV2"/>
  </mergeCells>
  <phoneticPr fontId="4" type="noConversion"/>
  <hyperlinks>
    <hyperlink ref="A1" location="Inicio!A1" display="Regresar" xr:uid="{375A3A41-ACDD-C94E-8D78-3E716B98CE79}"/>
    <hyperlink ref="A1:C1" location="Inicio!C8" display="Regresar" xr:uid="{E51BEFD3-35B4-BD4F-AF04-DF1D82639302}"/>
  </hyperlinks>
  <pageMargins left="0.7" right="0.7" top="0.75" bottom="0.75" header="0.3" footer="0.3"/>
  <pageSetup fitToWidth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555C6-06D1-AF4A-9A86-88B2147F70ED}">
  <sheetPr codeName="Hoja7">
    <pageSetUpPr fitToPage="1"/>
  </sheetPr>
  <dimension ref="A1:FN48"/>
  <sheetViews>
    <sheetView showGridLines="0" zoomScale="62" zoomScaleNormal="62" workbookViewId="0">
      <pane xSplit="1" ySplit="4" topLeftCell="B14" activePane="bottomRight" state="frozen"/>
      <selection pane="topRight" activeCell="C5" sqref="C5"/>
      <selection pane="bottomLeft" activeCell="C5" sqref="C5"/>
      <selection pane="bottomRight" activeCell="J9" sqref="J9"/>
    </sheetView>
  </sheetViews>
  <sheetFormatPr baseColWidth="10" defaultColWidth="11" defaultRowHeight="17.25" x14ac:dyDescent="0.3"/>
  <cols>
    <col min="1" max="1" width="46.125" style="4" customWidth="1"/>
    <col min="2" max="4" width="20.375" style="4" customWidth="1"/>
    <col min="5" max="5" width="22.625" style="4" customWidth="1"/>
    <col min="6" max="6" width="20.375" style="4" customWidth="1"/>
    <col min="7" max="7" width="13.375" style="4" customWidth="1"/>
    <col min="8" max="8" width="3.625" style="4" customWidth="1"/>
    <col min="9" max="9" width="39.625" style="4" customWidth="1"/>
    <col min="10" max="10" width="20.125" style="12" customWidth="1"/>
    <col min="11" max="11" width="18" style="12" customWidth="1"/>
    <col min="12" max="18" width="20" style="58" customWidth="1"/>
    <col min="19" max="19" width="35.875" style="58" customWidth="1"/>
    <col min="20" max="24" width="12.125" style="58" bestFit="1" customWidth="1"/>
    <col min="25" max="26" width="0" style="58" hidden="1" customWidth="1"/>
    <col min="27" max="27" width="11" style="58"/>
    <col min="28" max="32" width="20" style="58" customWidth="1"/>
    <col min="33" max="61" width="11" style="58"/>
    <col min="62" max="170" width="11" style="12"/>
    <col min="171" max="16384" width="11" style="4"/>
  </cols>
  <sheetData>
    <row r="1" spans="1:170" ht="35.1" customHeight="1" thickBot="1" x14ac:dyDescent="0.35">
      <c r="A1" s="23" t="s">
        <v>21</v>
      </c>
      <c r="B1" s="56"/>
      <c r="C1" s="56"/>
      <c r="D1" s="56"/>
      <c r="E1" s="56"/>
      <c r="F1" s="56"/>
      <c r="G1" s="57"/>
    </row>
    <row r="2" spans="1:170" s="59" customFormat="1" ht="56.1" customHeight="1" x14ac:dyDescent="0.25">
      <c r="A2" s="430" t="str">
        <f>CONCATENATE("Planificación financiera ",Up, " | Presupuesto por categoría productiva")</f>
        <v>Planificación financiera  | Presupuesto por categoría productiva</v>
      </c>
      <c r="B2" s="431"/>
      <c r="C2" s="431"/>
      <c r="D2" s="431"/>
      <c r="E2" s="431"/>
      <c r="F2" s="431"/>
      <c r="G2" s="432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>
        <v>0.12499054054054054</v>
      </c>
      <c r="AF2" s="61"/>
      <c r="AG2" s="61"/>
      <c r="AH2" s="61"/>
      <c r="AI2" s="61"/>
      <c r="AJ2" s="61"/>
      <c r="AK2" s="61"/>
      <c r="AL2" s="61"/>
      <c r="AM2" s="61"/>
      <c r="AN2" s="61"/>
      <c r="AO2" s="61"/>
      <c r="AP2" s="61"/>
      <c r="AQ2" s="61"/>
      <c r="AR2" s="61"/>
      <c r="AS2" s="61"/>
      <c r="AT2" s="61"/>
      <c r="AU2" s="61"/>
      <c r="AV2" s="61"/>
      <c r="AW2" s="61"/>
      <c r="AX2" s="61"/>
      <c r="AY2" s="61"/>
      <c r="AZ2" s="61"/>
      <c r="BA2" s="61"/>
      <c r="BB2" s="61"/>
      <c r="BC2" s="61"/>
      <c r="BD2" s="61"/>
      <c r="BE2" s="61"/>
      <c r="BF2" s="61"/>
      <c r="BG2" s="61"/>
      <c r="BH2" s="61"/>
      <c r="BI2" s="61"/>
      <c r="BJ2" s="60"/>
      <c r="BK2" s="60"/>
      <c r="BL2" s="60"/>
      <c r="BM2" s="60"/>
      <c r="BN2" s="60"/>
      <c r="BO2" s="60"/>
      <c r="BP2" s="60"/>
      <c r="BQ2" s="60"/>
      <c r="BR2" s="60"/>
      <c r="BS2" s="60"/>
      <c r="BT2" s="60"/>
      <c r="BU2" s="60"/>
      <c r="BV2" s="60"/>
      <c r="BW2" s="60"/>
      <c r="BX2" s="60"/>
      <c r="BY2" s="60"/>
      <c r="BZ2" s="60"/>
      <c r="CA2" s="60"/>
      <c r="CB2" s="60"/>
      <c r="CC2" s="60"/>
      <c r="CD2" s="60"/>
      <c r="CE2" s="60"/>
      <c r="CF2" s="60"/>
      <c r="CG2" s="60"/>
      <c r="CH2" s="60"/>
      <c r="CI2" s="60"/>
      <c r="CJ2" s="60"/>
      <c r="CK2" s="60"/>
      <c r="CL2" s="60"/>
      <c r="CM2" s="60"/>
      <c r="CN2" s="60"/>
      <c r="CO2" s="60"/>
      <c r="CP2" s="60"/>
      <c r="CQ2" s="60"/>
      <c r="CR2" s="60"/>
      <c r="CS2" s="60"/>
      <c r="CT2" s="60"/>
      <c r="CU2" s="60"/>
      <c r="CV2" s="60"/>
      <c r="CW2" s="60"/>
      <c r="CX2" s="60"/>
      <c r="CY2" s="60"/>
      <c r="CZ2" s="60"/>
      <c r="DA2" s="60"/>
      <c r="DB2" s="60"/>
      <c r="DC2" s="60"/>
      <c r="DD2" s="60"/>
      <c r="DE2" s="60"/>
      <c r="DF2" s="60"/>
      <c r="DG2" s="60"/>
      <c r="DH2" s="60"/>
      <c r="DI2" s="60"/>
      <c r="DJ2" s="60"/>
      <c r="DK2" s="60"/>
      <c r="DL2" s="60"/>
      <c r="DM2" s="60"/>
      <c r="DN2" s="60"/>
      <c r="DO2" s="60"/>
      <c r="DP2" s="60"/>
      <c r="DQ2" s="60"/>
      <c r="DR2" s="60"/>
      <c r="DS2" s="60"/>
      <c r="DT2" s="60"/>
      <c r="DU2" s="60"/>
      <c r="DV2" s="60"/>
      <c r="DW2" s="60"/>
      <c r="DX2" s="60"/>
      <c r="DY2" s="60"/>
      <c r="DZ2" s="60"/>
      <c r="EA2" s="60"/>
      <c r="EB2" s="60"/>
      <c r="EC2" s="60"/>
      <c r="ED2" s="60"/>
      <c r="EE2" s="60"/>
      <c r="EF2" s="60"/>
      <c r="EG2" s="60"/>
      <c r="EH2" s="60"/>
      <c r="EI2" s="60"/>
      <c r="EJ2" s="60"/>
      <c r="EK2" s="60"/>
      <c r="EL2" s="60"/>
      <c r="EM2" s="60"/>
      <c r="EN2" s="60"/>
      <c r="EO2" s="60"/>
      <c r="EP2" s="60"/>
      <c r="EQ2" s="60"/>
      <c r="ER2" s="60"/>
      <c r="ES2" s="60"/>
      <c r="ET2" s="60"/>
      <c r="EU2" s="60"/>
      <c r="EV2" s="60"/>
      <c r="EW2" s="60"/>
      <c r="EX2" s="60"/>
      <c r="EY2" s="60"/>
      <c r="EZ2" s="60"/>
      <c r="FA2" s="60"/>
      <c r="FB2" s="60"/>
      <c r="FC2" s="60"/>
      <c r="FD2" s="60"/>
      <c r="FE2" s="60"/>
      <c r="FF2" s="60"/>
      <c r="FG2" s="60"/>
      <c r="FH2" s="60"/>
      <c r="FI2" s="60"/>
      <c r="FJ2" s="60"/>
      <c r="FK2" s="60"/>
      <c r="FL2" s="60"/>
      <c r="FM2" s="60"/>
      <c r="FN2" s="60"/>
    </row>
    <row r="3" spans="1:170" s="59" customFormat="1" ht="8.1" customHeight="1" thickBot="1" x14ac:dyDescent="0.3">
      <c r="A3" s="438"/>
      <c r="B3" s="439"/>
      <c r="C3" s="439"/>
      <c r="D3" s="439"/>
      <c r="E3" s="439"/>
      <c r="F3" s="439"/>
      <c r="G3" s="440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  <c r="AJ3" s="61"/>
      <c r="AK3" s="61"/>
      <c r="AL3" s="61"/>
      <c r="AM3" s="61"/>
      <c r="AN3" s="61"/>
      <c r="AO3" s="61"/>
      <c r="AP3" s="61"/>
      <c r="AQ3" s="61"/>
      <c r="AR3" s="61"/>
      <c r="AS3" s="61"/>
      <c r="AT3" s="61"/>
      <c r="AU3" s="61"/>
      <c r="AV3" s="61"/>
      <c r="AW3" s="61"/>
      <c r="AX3" s="61"/>
      <c r="AY3" s="61"/>
      <c r="AZ3" s="61"/>
      <c r="BA3" s="61"/>
      <c r="BB3" s="61"/>
      <c r="BC3" s="61"/>
      <c r="BD3" s="61"/>
      <c r="BE3" s="61"/>
      <c r="BF3" s="61"/>
      <c r="BG3" s="61"/>
      <c r="BH3" s="61"/>
      <c r="BI3" s="61"/>
      <c r="BJ3" s="60"/>
      <c r="BK3" s="60"/>
      <c r="BL3" s="60"/>
      <c r="BM3" s="60"/>
      <c r="BN3" s="60"/>
      <c r="BO3" s="60"/>
      <c r="BP3" s="60"/>
      <c r="BQ3" s="60"/>
      <c r="BR3" s="60"/>
      <c r="BS3" s="60"/>
      <c r="BT3" s="60"/>
      <c r="BU3" s="60"/>
      <c r="BV3" s="60"/>
      <c r="BW3" s="60"/>
      <c r="BX3" s="60"/>
      <c r="BY3" s="60"/>
      <c r="BZ3" s="60"/>
      <c r="CA3" s="60"/>
      <c r="CB3" s="60"/>
      <c r="CC3" s="60"/>
      <c r="CD3" s="60"/>
      <c r="CE3" s="60"/>
      <c r="CF3" s="60"/>
      <c r="CG3" s="60"/>
      <c r="CH3" s="60"/>
      <c r="CI3" s="60"/>
      <c r="CJ3" s="60"/>
      <c r="CK3" s="60"/>
      <c r="CL3" s="60"/>
      <c r="CM3" s="60"/>
      <c r="CN3" s="60"/>
      <c r="CO3" s="60"/>
      <c r="CP3" s="60"/>
      <c r="CQ3" s="60"/>
      <c r="CR3" s="60"/>
      <c r="CS3" s="60"/>
      <c r="CT3" s="60"/>
      <c r="CU3" s="60"/>
      <c r="CV3" s="60"/>
      <c r="CW3" s="60"/>
      <c r="CX3" s="60"/>
      <c r="CY3" s="60"/>
      <c r="CZ3" s="60"/>
      <c r="DA3" s="60"/>
      <c r="DB3" s="60"/>
      <c r="DC3" s="60"/>
      <c r="DD3" s="60"/>
      <c r="DE3" s="60"/>
      <c r="DF3" s="60"/>
      <c r="DG3" s="60"/>
      <c r="DH3" s="60"/>
      <c r="DI3" s="60"/>
      <c r="DJ3" s="60"/>
      <c r="DK3" s="60"/>
      <c r="DL3" s="60"/>
      <c r="DM3" s="60"/>
      <c r="DN3" s="60"/>
      <c r="DO3" s="60"/>
      <c r="DP3" s="60"/>
      <c r="DQ3" s="60"/>
      <c r="DR3" s="60"/>
      <c r="DS3" s="60"/>
      <c r="DT3" s="60"/>
      <c r="DU3" s="60"/>
      <c r="DV3" s="60"/>
      <c r="DW3" s="60"/>
      <c r="DX3" s="60"/>
      <c r="DY3" s="60"/>
      <c r="DZ3" s="60"/>
      <c r="EA3" s="60"/>
      <c r="EB3" s="60"/>
      <c r="EC3" s="60"/>
      <c r="ED3" s="60"/>
      <c r="EE3" s="60"/>
      <c r="EF3" s="60"/>
      <c r="EG3" s="60"/>
      <c r="EH3" s="60"/>
      <c r="EI3" s="60"/>
      <c r="EJ3" s="60"/>
      <c r="EK3" s="60"/>
      <c r="EL3" s="60"/>
      <c r="EM3" s="60"/>
      <c r="EN3" s="60"/>
      <c r="EO3" s="60"/>
      <c r="EP3" s="60"/>
      <c r="EQ3" s="60"/>
      <c r="ER3" s="60"/>
      <c r="ES3" s="60"/>
      <c r="ET3" s="60"/>
      <c r="EU3" s="60"/>
      <c r="EV3" s="60"/>
      <c r="EW3" s="60"/>
      <c r="EX3" s="60"/>
      <c r="EY3" s="60"/>
      <c r="EZ3" s="60"/>
      <c r="FA3" s="60"/>
      <c r="FB3" s="60"/>
      <c r="FC3" s="60"/>
      <c r="FD3" s="60"/>
      <c r="FE3" s="60"/>
      <c r="FF3" s="60"/>
      <c r="FG3" s="60"/>
      <c r="FH3" s="60"/>
      <c r="FI3" s="60"/>
      <c r="FJ3" s="60"/>
      <c r="FK3" s="60"/>
      <c r="FL3" s="60"/>
      <c r="FM3" s="60"/>
      <c r="FN3" s="60"/>
    </row>
    <row r="4" spans="1:170" ht="54.95" customHeight="1" thickBot="1" x14ac:dyDescent="0.35">
      <c r="A4" s="138" t="s">
        <v>86</v>
      </c>
      <c r="B4" s="139" t="str">
        <f>CONCATENATE("Planta en producción pico: ",ROUND(L5,0)," qq Cereza por ",UMp)</f>
        <v>Planta en producción pico: 350 qq Cereza por Mz.</v>
      </c>
      <c r="C4" s="139" t="str">
        <f>CONCATENATE("Planta en crecimiento y producción: ",ROUND(L6,0)," qq Cereza por ",UMp)</f>
        <v>Planta en crecimiento y producción: 245 qq Cereza por Mz.</v>
      </c>
      <c r="D4" s="139" t="str">
        <f>CONCATENATE("Plantas de menos de ",LI_B," Libras: ",ROUND(L7,0)," qq Cereza por ",UMp)</f>
        <v>Plantas de menos de 2 Libras: 140 qq Cereza por Mz.</v>
      </c>
      <c r="E4" s="139" t="str">
        <f>CONCATENATE("Plantas de menos de ",LI_C," Libras: ",ROUND(L8,0)," qq Cereza por ",UMp)</f>
        <v>Plantas de menos de 2 Libras: 175 qq Cereza por Mz.</v>
      </c>
      <c r="F4" s="139" t="s">
        <v>87</v>
      </c>
      <c r="G4" s="140" t="s">
        <v>88</v>
      </c>
      <c r="J4" s="433" t="str">
        <f>CONCATENATE("Rangos de producción libras cereza por planta")</f>
        <v>Rangos de producción libras cereza por planta</v>
      </c>
      <c r="K4" s="434"/>
      <c r="L4" s="58" t="s">
        <v>89</v>
      </c>
      <c r="M4" s="409" t="s">
        <v>39</v>
      </c>
      <c r="N4" s="58" t="s">
        <v>90</v>
      </c>
      <c r="O4" s="58" t="s">
        <v>91</v>
      </c>
      <c r="P4" s="58" t="s">
        <v>92</v>
      </c>
      <c r="Q4" s="58" t="s">
        <v>93</v>
      </c>
      <c r="R4" s="58" t="s">
        <v>94</v>
      </c>
      <c r="S4" s="83" t="s">
        <v>95</v>
      </c>
      <c r="T4" s="83" t="s">
        <v>96</v>
      </c>
      <c r="U4" s="83" t="s">
        <v>97</v>
      </c>
      <c r="V4" s="83" t="s">
        <v>98</v>
      </c>
      <c r="W4" s="83" t="s">
        <v>99</v>
      </c>
      <c r="X4" s="83" t="s">
        <v>100</v>
      </c>
      <c r="AB4" s="83" t="s">
        <v>96</v>
      </c>
      <c r="AC4" s="83" t="s">
        <v>97</v>
      </c>
      <c r="AD4" s="83" t="s">
        <v>98</v>
      </c>
      <c r="AE4" s="83" t="s">
        <v>99</v>
      </c>
      <c r="AF4" s="83" t="s">
        <v>100</v>
      </c>
    </row>
    <row r="5" spans="1:170" ht="39.950000000000003" customHeight="1" thickBot="1" x14ac:dyDescent="0.35">
      <c r="A5" s="141" t="s">
        <v>30</v>
      </c>
      <c r="B5" s="142"/>
      <c r="C5" s="142"/>
      <c r="D5" s="142"/>
      <c r="E5" s="142"/>
      <c r="F5" s="142"/>
      <c r="G5" s="143"/>
      <c r="I5" s="323" t="s">
        <v>101</v>
      </c>
      <c r="J5" s="323" t="s">
        <v>102</v>
      </c>
      <c r="K5" s="323" t="s">
        <v>103</v>
      </c>
      <c r="L5" s="58">
        <f>(LI_A*K10)/100</f>
        <v>350</v>
      </c>
      <c r="M5" s="58">
        <f>L5*CUI_Corte</f>
        <v>0</v>
      </c>
      <c r="N5" s="58">
        <f>(L5/5)*CUI_Poscosecha</f>
        <v>0</v>
      </c>
      <c r="P5" s="191">
        <f>SUM(T6:T31)</f>
        <v>0</v>
      </c>
      <c r="Q5" s="58">
        <f>SUM(M5:P5)/(L5/6.25)</f>
        <v>0</v>
      </c>
      <c r="R5" s="191">
        <f>(P5+M5+O5)/L5</f>
        <v>0</v>
      </c>
    </row>
    <row r="6" spans="1:170" s="12" customFormat="1" ht="33.950000000000003" customHeight="1" thickBot="1" x14ac:dyDescent="0.35">
      <c r="A6" s="63" t="str">
        <f>CONCATENATE("Poda | Jornales por ",UMp)</f>
        <v>Poda | Jornales por Mz.</v>
      </c>
      <c r="B6" s="64">
        <v>2</v>
      </c>
      <c r="C6" s="64"/>
      <c r="D6" s="64"/>
      <c r="E6" s="64"/>
      <c r="F6" s="64"/>
      <c r="G6" s="65">
        <f>IFERROR(AVERAGEIF(B6:E6,"&gt;0",B6:E6),0)</f>
        <v>2</v>
      </c>
      <c r="I6" s="324" t="s">
        <v>104</v>
      </c>
      <c r="J6" s="375">
        <v>5</v>
      </c>
      <c r="K6" s="325"/>
      <c r="L6" s="58">
        <f>(((LI_B+LS_B)/2)*K10/100)</f>
        <v>244.65</v>
      </c>
      <c r="M6" s="58">
        <f>L6*CUI_Corte</f>
        <v>0</v>
      </c>
      <c r="N6" s="58">
        <f>(L6/5)*CUI_Poscosecha</f>
        <v>0</v>
      </c>
      <c r="O6" s="58"/>
      <c r="P6" s="191">
        <f>SUM(U6:U31)</f>
        <v>0</v>
      </c>
      <c r="Q6" s="58">
        <f>SUM(M6:P6)/(L6/6.25)</f>
        <v>0</v>
      </c>
      <c r="R6" s="191">
        <f>(P6+M6+O6)/L6</f>
        <v>0</v>
      </c>
      <c r="S6" s="58" t="s">
        <v>40</v>
      </c>
      <c r="T6" s="58">
        <f t="shared" ref="T6:X7" si="0">B6*CUI_Jornal</f>
        <v>0</v>
      </c>
      <c r="U6" s="58">
        <f t="shared" si="0"/>
        <v>0</v>
      </c>
      <c r="V6" s="58">
        <f t="shared" si="0"/>
        <v>0</v>
      </c>
      <c r="W6" s="58">
        <f t="shared" si="0"/>
        <v>0</v>
      </c>
      <c r="X6" s="58">
        <f t="shared" si="0"/>
        <v>0</v>
      </c>
      <c r="Y6" s="58"/>
      <c r="Z6" s="58"/>
      <c r="AA6" s="58"/>
      <c r="AB6" s="410">
        <f t="shared" ref="AB6:AF7" si="1">T6/$K$10</f>
        <v>0</v>
      </c>
      <c r="AC6" s="410">
        <f t="shared" si="1"/>
        <v>0</v>
      </c>
      <c r="AD6" s="410">
        <f t="shared" si="1"/>
        <v>0</v>
      </c>
      <c r="AE6" s="410">
        <f t="shared" si="1"/>
        <v>0</v>
      </c>
      <c r="AF6" s="410">
        <f t="shared" si="1"/>
        <v>0</v>
      </c>
      <c r="AG6" s="58"/>
      <c r="AH6" s="58"/>
      <c r="AI6" s="58"/>
      <c r="AJ6" s="58"/>
      <c r="AK6" s="58"/>
      <c r="AL6" s="58"/>
      <c r="AM6" s="58"/>
      <c r="AN6" s="58"/>
      <c r="AO6" s="58"/>
      <c r="AP6" s="58"/>
      <c r="AQ6" s="58"/>
      <c r="AR6" s="58"/>
      <c r="AS6" s="58"/>
      <c r="AT6" s="58"/>
      <c r="AU6" s="58"/>
      <c r="AV6" s="58"/>
      <c r="AW6" s="58"/>
      <c r="AX6" s="58"/>
      <c r="AY6" s="58"/>
      <c r="AZ6" s="58"/>
      <c r="BA6" s="58"/>
      <c r="BB6" s="58"/>
      <c r="BC6" s="58"/>
      <c r="BD6" s="58"/>
      <c r="BE6" s="58"/>
      <c r="BF6" s="58"/>
      <c r="BG6" s="58"/>
      <c r="BH6" s="58"/>
      <c r="BI6" s="58"/>
    </row>
    <row r="7" spans="1:170" s="12" customFormat="1" ht="33.950000000000003" customHeight="1" thickBot="1" x14ac:dyDescent="0.35">
      <c r="A7" s="63" t="str">
        <f>CONCATENATE("Deshije | Jornales por ",UMp)</f>
        <v>Deshije | Jornales por Mz.</v>
      </c>
      <c r="B7" s="64">
        <v>1</v>
      </c>
      <c r="C7" s="64"/>
      <c r="D7" s="64"/>
      <c r="E7" s="64"/>
      <c r="F7" s="64"/>
      <c r="G7" s="65">
        <f>IFERROR(AVERAGEIF(B7:E7,"&gt;0",B7:E7),0)</f>
        <v>1</v>
      </c>
      <c r="I7" s="326" t="s">
        <v>105</v>
      </c>
      <c r="J7" s="376">
        <v>2</v>
      </c>
      <c r="K7" s="327">
        <f>LI_A-0.01</f>
        <v>4.99</v>
      </c>
      <c r="L7" s="58">
        <f>(((LI_C+LS_C)/2)*K10/100)</f>
        <v>139.65</v>
      </c>
      <c r="M7" s="58">
        <f>L7*CUI_Corte</f>
        <v>0</v>
      </c>
      <c r="N7" s="58">
        <f>(L7/5)*CUI_Poscosecha</f>
        <v>0</v>
      </c>
      <c r="O7" s="58"/>
      <c r="P7" s="191">
        <f>SUM(V6:V31)</f>
        <v>0</v>
      </c>
      <c r="Q7" s="58">
        <f>SUM(M7:P7)/(L7/6.25)</f>
        <v>0</v>
      </c>
      <c r="R7" s="191">
        <f>(P7+M7+O7)/L7</f>
        <v>0</v>
      </c>
      <c r="S7" s="58" t="s">
        <v>48</v>
      </c>
      <c r="T7" s="58">
        <f t="shared" si="0"/>
        <v>0</v>
      </c>
      <c r="U7" s="58">
        <f t="shared" si="0"/>
        <v>0</v>
      </c>
      <c r="V7" s="58">
        <f t="shared" si="0"/>
        <v>0</v>
      </c>
      <c r="W7" s="58">
        <f t="shared" si="0"/>
        <v>0</v>
      </c>
      <c r="X7" s="58">
        <f t="shared" si="0"/>
        <v>0</v>
      </c>
      <c r="Y7" s="58"/>
      <c r="Z7" s="58"/>
      <c r="AA7" s="58"/>
      <c r="AB7" s="410">
        <f t="shared" si="1"/>
        <v>0</v>
      </c>
      <c r="AC7" s="410">
        <f t="shared" si="1"/>
        <v>0</v>
      </c>
      <c r="AD7" s="410">
        <f t="shared" si="1"/>
        <v>0</v>
      </c>
      <c r="AE7" s="410">
        <f t="shared" si="1"/>
        <v>0</v>
      </c>
      <c r="AF7" s="410">
        <f t="shared" si="1"/>
        <v>0</v>
      </c>
      <c r="AG7" s="58"/>
      <c r="AH7" s="58"/>
      <c r="AI7" s="58"/>
      <c r="AJ7" s="58"/>
      <c r="AK7" s="58"/>
      <c r="AL7" s="58"/>
      <c r="AM7" s="58"/>
      <c r="AN7" s="58"/>
      <c r="AO7" s="58"/>
      <c r="AP7" s="58"/>
      <c r="AQ7" s="58"/>
      <c r="AR7" s="58"/>
      <c r="AS7" s="58"/>
      <c r="AT7" s="58"/>
      <c r="AU7" s="58"/>
      <c r="AV7" s="58"/>
      <c r="AW7" s="58"/>
      <c r="AX7" s="58"/>
      <c r="AY7" s="58"/>
      <c r="AZ7" s="58"/>
      <c r="BA7" s="58"/>
      <c r="BB7" s="58"/>
      <c r="BC7" s="58"/>
      <c r="BD7" s="58"/>
      <c r="BE7" s="58"/>
      <c r="BF7" s="58"/>
      <c r="BG7" s="58"/>
      <c r="BH7" s="58"/>
      <c r="BI7" s="58"/>
    </row>
    <row r="8" spans="1:170" s="12" customFormat="1" ht="39.950000000000003" customHeight="1" thickBot="1" x14ac:dyDescent="0.35">
      <c r="A8" s="435" t="s">
        <v>31</v>
      </c>
      <c r="B8" s="436"/>
      <c r="C8" s="436"/>
      <c r="D8" s="436"/>
      <c r="E8" s="436"/>
      <c r="F8" s="436"/>
      <c r="G8" s="437"/>
      <c r="I8" s="326" t="s">
        <v>106</v>
      </c>
      <c r="J8" s="376">
        <v>2</v>
      </c>
      <c r="K8" s="327">
        <f>LI_B-0.01</f>
        <v>1.99</v>
      </c>
      <c r="L8" s="58">
        <f>(((LI_D+LS_D)/2)*K10/100)</f>
        <v>174.65</v>
      </c>
      <c r="M8" s="58">
        <f>L8*CUI_Corte</f>
        <v>0</v>
      </c>
      <c r="N8" s="58">
        <f>(L8/5)*CUI_Poscosecha</f>
        <v>0</v>
      </c>
      <c r="O8" s="58"/>
      <c r="P8" s="191">
        <f>SUM(W6:W31)</f>
        <v>0</v>
      </c>
      <c r="Q8" s="58">
        <f>SUM(M8:P8)/(L8/6.25)</f>
        <v>0</v>
      </c>
      <c r="R8" s="191">
        <f>(P8+M8+O8)/L8</f>
        <v>0</v>
      </c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</row>
    <row r="9" spans="1:170" s="12" customFormat="1" ht="33.950000000000003" customHeight="1" thickBot="1" x14ac:dyDescent="0.35">
      <c r="A9" s="63" t="str">
        <f>CONCATENATE("Nutrición | Jornales por ",UMp)</f>
        <v>Nutrición | Jornales por Mz.</v>
      </c>
      <c r="B9" s="66">
        <v>3</v>
      </c>
      <c r="C9" s="67"/>
      <c r="D9" s="67"/>
      <c r="E9" s="67"/>
      <c r="F9" s="67"/>
      <c r="G9" s="68">
        <f>IFERROR(AVERAGEIF(B9:E9,"&gt;0",B9:E9),0)</f>
        <v>3</v>
      </c>
      <c r="H9" s="4"/>
      <c r="I9" s="328" t="s">
        <v>107</v>
      </c>
      <c r="J9" s="376">
        <v>3</v>
      </c>
      <c r="K9" s="327">
        <f>LI_C-0.01</f>
        <v>1.99</v>
      </c>
      <c r="L9" s="58"/>
      <c r="M9" s="58"/>
      <c r="N9" s="58"/>
      <c r="O9" s="58"/>
      <c r="P9" s="58"/>
      <c r="Q9" s="58"/>
      <c r="R9" s="58"/>
      <c r="S9" s="58" t="s">
        <v>31</v>
      </c>
      <c r="T9" s="58">
        <f>B9*CUI_Jornal</f>
        <v>0</v>
      </c>
      <c r="U9" s="58">
        <f>C9*CUI_Jornal</f>
        <v>0</v>
      </c>
      <c r="V9" s="58">
        <f>D9*CUI_Jornal</f>
        <v>0</v>
      </c>
      <c r="W9" s="58">
        <f>E9*CUI_Jornal</f>
        <v>0</v>
      </c>
      <c r="X9" s="58">
        <f>F9*CUI_Jornal</f>
        <v>0</v>
      </c>
      <c r="Y9" s="58"/>
      <c r="Z9" s="58"/>
      <c r="AA9" s="58"/>
      <c r="AB9" s="410">
        <f>T9/$K$10</f>
        <v>0</v>
      </c>
      <c r="AC9" s="410">
        <f>U9/$K$10</f>
        <v>0</v>
      </c>
      <c r="AD9" s="410">
        <f>V9/$K$10</f>
        <v>0</v>
      </c>
      <c r="AE9" s="410">
        <f>W9/$K$10</f>
        <v>0</v>
      </c>
      <c r="AF9" s="410">
        <f>X9/$K$10</f>
        <v>0</v>
      </c>
      <c r="AG9" s="58"/>
      <c r="AH9" s="58"/>
      <c r="AI9" s="58"/>
      <c r="AJ9" s="58"/>
      <c r="AK9" s="58"/>
      <c r="AL9" s="58"/>
      <c r="AM9" s="58"/>
      <c r="AN9" s="58"/>
      <c r="AO9" s="58"/>
      <c r="AP9" s="58"/>
      <c r="AQ9" s="58"/>
      <c r="AR9" s="58"/>
      <c r="AS9" s="58"/>
      <c r="AT9" s="58"/>
      <c r="AU9" s="58"/>
      <c r="AV9" s="58"/>
      <c r="AW9" s="58"/>
      <c r="AX9" s="58"/>
      <c r="AY9" s="58"/>
      <c r="AZ9" s="58"/>
      <c r="BA9" s="58"/>
      <c r="BB9" s="58"/>
      <c r="BC9" s="58"/>
      <c r="BD9" s="58"/>
      <c r="BE9" s="58"/>
      <c r="BF9" s="58"/>
      <c r="BG9" s="58"/>
      <c r="BH9" s="58"/>
      <c r="BI9" s="58"/>
    </row>
    <row r="10" spans="1:170" s="12" customFormat="1" ht="33.950000000000003" customHeight="1" thickBot="1" x14ac:dyDescent="0.35">
      <c r="A10" s="170" t="s">
        <v>108</v>
      </c>
      <c r="B10" s="214">
        <f>(($L$5/5)*0.567)</f>
        <v>39.69</v>
      </c>
      <c r="C10" s="215">
        <f>(($L$6/5)*0.567)</f>
        <v>27.743309999999997</v>
      </c>
      <c r="D10" s="215">
        <f>(($L$7/5)*0.567)</f>
        <v>15.836309999999999</v>
      </c>
      <c r="E10" s="215">
        <f>(($L$8/5)*0.567)</f>
        <v>19.805309999999999</v>
      </c>
      <c r="F10" s="215"/>
      <c r="G10" s="171"/>
      <c r="H10" s="4"/>
      <c r="I10" s="4"/>
      <c r="J10" s="329" t="str">
        <f>CONCATENATE("Plantas por ",UMp)</f>
        <v>Plantas por Mz.</v>
      </c>
      <c r="K10" s="330">
        <f>AVERAGEIF('1'!F5:F44,"&lt;&gt;0")</f>
        <v>7000</v>
      </c>
      <c r="L10" s="58"/>
      <c r="M10" s="58"/>
      <c r="N10" s="58"/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  <c r="AC10" s="58"/>
      <c r="AD10" s="58"/>
      <c r="AE10" s="58"/>
      <c r="AF10" s="58"/>
      <c r="AG10" s="58"/>
      <c r="AH10" s="58"/>
      <c r="AI10" s="58"/>
      <c r="AJ10" s="58"/>
      <c r="AK10" s="58"/>
      <c r="AL10" s="58"/>
      <c r="AM10" s="58"/>
      <c r="AN10" s="58"/>
      <c r="AO10" s="58"/>
      <c r="AP10" s="58"/>
      <c r="AQ10" s="58"/>
      <c r="AR10" s="58"/>
      <c r="AS10" s="58"/>
      <c r="AT10" s="58"/>
      <c r="AU10" s="58"/>
      <c r="AV10" s="58"/>
      <c r="AW10" s="58"/>
      <c r="AX10" s="58"/>
      <c r="AY10" s="58"/>
      <c r="AZ10" s="58"/>
      <c r="BA10" s="58"/>
      <c r="BB10" s="58"/>
      <c r="BC10" s="58"/>
      <c r="BD10" s="58"/>
      <c r="BE10" s="58"/>
      <c r="BF10" s="58"/>
      <c r="BG10" s="58"/>
      <c r="BH10" s="58"/>
      <c r="BI10" s="58"/>
    </row>
    <row r="11" spans="1:170" s="12" customFormat="1" ht="33.950000000000003" customHeight="1" x14ac:dyDescent="0.3">
      <c r="A11" s="69" t="s">
        <v>109</v>
      </c>
      <c r="B11" s="70"/>
      <c r="C11" s="71"/>
      <c r="D11" s="71"/>
      <c r="E11" s="71"/>
      <c r="F11" s="71"/>
      <c r="G11" s="65">
        <f>IFERROR(AVERAGEIF(B11:E11,"&gt;0",B11:E11),0)</f>
        <v>0</v>
      </c>
      <c r="H11" s="4"/>
      <c r="I11" s="4"/>
      <c r="L11" s="58"/>
      <c r="M11" s="58"/>
      <c r="N11" s="58"/>
      <c r="O11" s="58"/>
      <c r="P11" s="58"/>
      <c r="Q11" s="58"/>
      <c r="R11" s="58"/>
      <c r="S11" s="58" t="s">
        <v>110</v>
      </c>
      <c r="T11" s="58">
        <f>(B11*CUI_Fertilizante)</f>
        <v>0</v>
      </c>
      <c r="U11" s="58">
        <f>(C11*CUI_Fertilizante)</f>
        <v>0</v>
      </c>
      <c r="V11" s="58">
        <f>(D11*CUI_Fertilizante)</f>
        <v>0</v>
      </c>
      <c r="W11" s="58">
        <f>(E11*CUI_Fertilizante)</f>
        <v>0</v>
      </c>
      <c r="X11" s="58">
        <f>(F11*CUI_Fertilizante)</f>
        <v>0</v>
      </c>
      <c r="Y11" s="58"/>
      <c r="Z11" s="58"/>
      <c r="AA11" s="58"/>
      <c r="AB11" s="410">
        <f t="shared" ref="AB11:AF13" si="2">T11/$K$10</f>
        <v>0</v>
      </c>
      <c r="AC11" s="410">
        <f t="shared" si="2"/>
        <v>0</v>
      </c>
      <c r="AD11" s="410">
        <f t="shared" si="2"/>
        <v>0</v>
      </c>
      <c r="AE11" s="410">
        <f t="shared" si="2"/>
        <v>0</v>
      </c>
      <c r="AF11" s="410">
        <f t="shared" si="2"/>
        <v>0</v>
      </c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</row>
    <row r="12" spans="1:170" s="12" customFormat="1" ht="33.950000000000003" customHeight="1" x14ac:dyDescent="0.3">
      <c r="A12" s="63" t="s">
        <v>111</v>
      </c>
      <c r="B12" s="72"/>
      <c r="C12" s="64"/>
      <c r="D12" s="64"/>
      <c r="E12" s="64"/>
      <c r="F12" s="64"/>
      <c r="G12" s="65">
        <f>IFERROR(AVERAGEIF(B12:E12,"&gt;0",B12:E12),0)</f>
        <v>0</v>
      </c>
      <c r="H12" s="4"/>
      <c r="I12" s="4"/>
      <c r="L12" s="58"/>
      <c r="M12" s="58"/>
      <c r="N12" s="58"/>
      <c r="O12" s="58"/>
      <c r="P12" s="58"/>
      <c r="Q12" s="58"/>
      <c r="R12" s="58"/>
      <c r="S12" s="58" t="s">
        <v>112</v>
      </c>
      <c r="T12" s="58">
        <f>B12*CUI_Jornal</f>
        <v>0</v>
      </c>
      <c r="U12" s="58">
        <f>C12*CUI_Jornal</f>
        <v>0</v>
      </c>
      <c r="V12" s="58">
        <f>D12*CUI_Jornal</f>
        <v>0</v>
      </c>
      <c r="W12" s="58">
        <f>E12*CUI_Jornal</f>
        <v>0</v>
      </c>
      <c r="X12" s="58">
        <f>F12*CUI_Jornal</f>
        <v>0</v>
      </c>
      <c r="Y12" s="58"/>
      <c r="Z12" s="58"/>
      <c r="AA12" s="58"/>
      <c r="AB12" s="410">
        <f t="shared" si="2"/>
        <v>0</v>
      </c>
      <c r="AC12" s="410">
        <f t="shared" si="2"/>
        <v>0</v>
      </c>
      <c r="AD12" s="410">
        <f t="shared" si="2"/>
        <v>0</v>
      </c>
      <c r="AE12" s="410">
        <f t="shared" si="2"/>
        <v>0</v>
      </c>
      <c r="AF12" s="410">
        <f t="shared" si="2"/>
        <v>0</v>
      </c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</row>
    <row r="13" spans="1:170" s="12" customFormat="1" ht="33.950000000000003" customHeight="1" thickBot="1" x14ac:dyDescent="0.35">
      <c r="A13" s="63" t="s">
        <v>113</v>
      </c>
      <c r="B13" s="73"/>
      <c r="C13" s="74"/>
      <c r="D13" s="74"/>
      <c r="E13" s="74"/>
      <c r="F13" s="74"/>
      <c r="G13" s="75">
        <f>IFERROR(AVERAGEIF(B13:E13,"&gt;0",B13:E13),0)</f>
        <v>0</v>
      </c>
      <c r="H13" s="4"/>
      <c r="I13" s="4"/>
      <c r="J13" s="62"/>
      <c r="L13" s="58"/>
      <c r="M13" s="58"/>
      <c r="N13" s="58"/>
      <c r="O13" s="58"/>
      <c r="P13" s="58"/>
      <c r="Q13" s="58"/>
      <c r="R13" s="58"/>
      <c r="S13" s="58" t="s">
        <v>114</v>
      </c>
      <c r="T13" s="58">
        <f>B13*CUI_Enmienda</f>
        <v>0</v>
      </c>
      <c r="U13" s="58">
        <f>C13*CUI_Enmienda</f>
        <v>0</v>
      </c>
      <c r="V13" s="58">
        <f>D13*CUI_Enmienda</f>
        <v>0</v>
      </c>
      <c r="W13" s="58">
        <f>E13*CUI_Enmienda</f>
        <v>0</v>
      </c>
      <c r="X13" s="58">
        <f>F13*CUI_Enmienda</f>
        <v>0</v>
      </c>
      <c r="Y13" s="58"/>
      <c r="Z13" s="58"/>
      <c r="AA13" s="58"/>
      <c r="AB13" s="410">
        <f t="shared" si="2"/>
        <v>0</v>
      </c>
      <c r="AC13" s="410">
        <f t="shared" si="2"/>
        <v>0</v>
      </c>
      <c r="AD13" s="410">
        <f t="shared" si="2"/>
        <v>0</v>
      </c>
      <c r="AE13" s="410">
        <f t="shared" si="2"/>
        <v>0</v>
      </c>
      <c r="AF13" s="410">
        <f t="shared" si="2"/>
        <v>0</v>
      </c>
      <c r="AG13" s="58"/>
      <c r="AH13" s="58"/>
      <c r="AI13" s="58"/>
      <c r="AJ13" s="58"/>
      <c r="AK13" s="58"/>
      <c r="AL13" s="58"/>
      <c r="AM13" s="58"/>
      <c r="AN13" s="58"/>
      <c r="AO13" s="58"/>
      <c r="AP13" s="58"/>
      <c r="AQ13" s="58"/>
      <c r="AR13" s="58"/>
      <c r="AS13" s="58"/>
      <c r="AT13" s="58"/>
      <c r="AU13" s="58"/>
      <c r="AV13" s="58"/>
      <c r="AW13" s="58"/>
      <c r="AX13" s="58"/>
      <c r="AY13" s="58"/>
      <c r="AZ13" s="58"/>
      <c r="BA13" s="58"/>
      <c r="BB13" s="58"/>
      <c r="BC13" s="58"/>
      <c r="BD13" s="58"/>
      <c r="BE13" s="58"/>
      <c r="BF13" s="58"/>
      <c r="BG13" s="58"/>
      <c r="BH13" s="58"/>
      <c r="BI13" s="58"/>
    </row>
    <row r="14" spans="1:170" s="12" customFormat="1" ht="39.950000000000003" customHeight="1" x14ac:dyDescent="0.3">
      <c r="A14" s="144" t="s">
        <v>115</v>
      </c>
      <c r="B14" s="145"/>
      <c r="C14" s="145"/>
      <c r="D14" s="145"/>
      <c r="E14" s="145"/>
      <c r="F14" s="145"/>
      <c r="G14" s="146"/>
      <c r="H14" s="4"/>
      <c r="I14" s="4"/>
      <c r="J14" s="62"/>
      <c r="L14" s="58"/>
      <c r="M14" s="58"/>
      <c r="N14" s="58"/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  <c r="AC14" s="58"/>
      <c r="AD14" s="58"/>
      <c r="AE14" s="58"/>
      <c r="AF14" s="58"/>
      <c r="AG14" s="58"/>
      <c r="AH14" s="58"/>
      <c r="AI14" s="58"/>
      <c r="AJ14" s="58"/>
      <c r="AK14" s="58"/>
      <c r="AL14" s="58"/>
      <c r="AM14" s="58"/>
      <c r="AN14" s="58"/>
      <c r="AO14" s="58"/>
      <c r="AP14" s="58"/>
      <c r="AQ14" s="58"/>
      <c r="AR14" s="58"/>
      <c r="AS14" s="58"/>
      <c r="AT14" s="58"/>
      <c r="AU14" s="58"/>
      <c r="AV14" s="58"/>
      <c r="AW14" s="58"/>
      <c r="AX14" s="58"/>
      <c r="AY14" s="58"/>
      <c r="AZ14" s="58"/>
      <c r="BA14" s="58"/>
      <c r="BB14" s="58"/>
      <c r="BC14" s="58"/>
      <c r="BD14" s="58"/>
      <c r="BE14" s="58"/>
      <c r="BF14" s="58"/>
      <c r="BG14" s="58"/>
      <c r="BH14" s="58"/>
      <c r="BI14" s="58"/>
    </row>
    <row r="15" spans="1:170" s="12" customFormat="1" ht="33.950000000000003" customHeight="1" x14ac:dyDescent="0.3">
      <c r="A15" s="63" t="str">
        <f>CONCATENATE("Malezas manual | Jornales por ",UMp)</f>
        <v>Malezas manual | Jornales por Mz.</v>
      </c>
      <c r="B15" s="64"/>
      <c r="C15" s="64"/>
      <c r="D15" s="64"/>
      <c r="E15" s="64"/>
      <c r="F15" s="64"/>
      <c r="G15" s="65">
        <f>IFERROR(AVERAGEIF(B15:E15,"&gt;0",B15:E15),0)</f>
        <v>0</v>
      </c>
      <c r="H15" s="4"/>
      <c r="I15" s="4"/>
      <c r="L15" s="58"/>
      <c r="M15" s="58"/>
      <c r="N15" s="58"/>
      <c r="O15" s="58"/>
      <c r="P15" s="58"/>
      <c r="Q15" s="58"/>
      <c r="R15" s="58"/>
      <c r="S15" s="58" t="s">
        <v>116</v>
      </c>
      <c r="T15" s="58">
        <f t="shared" ref="T15:X16" si="3">B15*CUI_Jornal</f>
        <v>0</v>
      </c>
      <c r="U15" s="58">
        <f t="shared" si="3"/>
        <v>0</v>
      </c>
      <c r="V15" s="58">
        <f t="shared" si="3"/>
        <v>0</v>
      </c>
      <c r="W15" s="58">
        <f t="shared" si="3"/>
        <v>0</v>
      </c>
      <c r="X15" s="58">
        <f t="shared" si="3"/>
        <v>0</v>
      </c>
      <c r="Y15" s="58"/>
      <c r="Z15" s="58"/>
      <c r="AA15" s="58"/>
      <c r="AB15" s="410">
        <f t="shared" ref="AB15:AF17" si="4">T15/$K$10</f>
        <v>0</v>
      </c>
      <c r="AC15" s="410">
        <f t="shared" si="4"/>
        <v>0</v>
      </c>
      <c r="AD15" s="410">
        <f t="shared" si="4"/>
        <v>0</v>
      </c>
      <c r="AE15" s="410">
        <f t="shared" si="4"/>
        <v>0</v>
      </c>
      <c r="AF15" s="410">
        <f t="shared" si="4"/>
        <v>0</v>
      </c>
      <c r="AG15" s="58"/>
      <c r="AH15" s="58"/>
      <c r="AI15" s="58"/>
      <c r="AJ15" s="58"/>
      <c r="AK15" s="58"/>
      <c r="AL15" s="58"/>
      <c r="AM15" s="58"/>
      <c r="AN15" s="58"/>
      <c r="AO15" s="58"/>
      <c r="AP15" s="58"/>
      <c r="AQ15" s="58"/>
      <c r="AR15" s="58"/>
      <c r="AS15" s="58"/>
      <c r="AT15" s="58"/>
      <c r="AU15" s="58"/>
      <c r="AV15" s="58"/>
      <c r="AW15" s="58"/>
      <c r="AX15" s="58"/>
      <c r="AY15" s="58"/>
      <c r="AZ15" s="58"/>
      <c r="BA15" s="58"/>
      <c r="BB15" s="58"/>
      <c r="BC15" s="58"/>
      <c r="BD15" s="58"/>
      <c r="BE15" s="58"/>
      <c r="BF15" s="58"/>
      <c r="BG15" s="58"/>
      <c r="BH15" s="58"/>
      <c r="BI15" s="58"/>
    </row>
    <row r="16" spans="1:170" ht="33.950000000000003" customHeight="1" x14ac:dyDescent="0.3">
      <c r="A16" s="63" t="str">
        <f>CONCATENATE("Malezas químico | Jornales por ",UMp)</f>
        <v>Malezas químico | Jornales por Mz.</v>
      </c>
      <c r="B16" s="64"/>
      <c r="C16" s="64"/>
      <c r="D16" s="64"/>
      <c r="E16" s="64"/>
      <c r="F16" s="64"/>
      <c r="G16" s="65">
        <f>IFERROR(AVERAGEIF(B16:E16,"&gt;0",B16:E16),0)</f>
        <v>0</v>
      </c>
      <c r="S16" s="58" t="s">
        <v>117</v>
      </c>
      <c r="T16" s="58">
        <f t="shared" si="3"/>
        <v>0</v>
      </c>
      <c r="U16" s="58">
        <f t="shared" si="3"/>
        <v>0</v>
      </c>
      <c r="V16" s="58">
        <f t="shared" si="3"/>
        <v>0</v>
      </c>
      <c r="W16" s="58">
        <f t="shared" si="3"/>
        <v>0</v>
      </c>
      <c r="X16" s="58">
        <f t="shared" si="3"/>
        <v>0</v>
      </c>
      <c r="AB16" s="410">
        <f t="shared" si="4"/>
        <v>0</v>
      </c>
      <c r="AC16" s="410">
        <f t="shared" si="4"/>
        <v>0</v>
      </c>
      <c r="AD16" s="410">
        <f t="shared" si="4"/>
        <v>0</v>
      </c>
      <c r="AE16" s="410">
        <f t="shared" si="4"/>
        <v>0</v>
      </c>
      <c r="AF16" s="410">
        <f t="shared" si="4"/>
        <v>0</v>
      </c>
      <c r="AH16" s="5"/>
      <c r="AI16" s="5"/>
      <c r="AJ16" s="5"/>
      <c r="AK16" s="5"/>
      <c r="AL16" s="5"/>
      <c r="AM16" s="5"/>
    </row>
    <row r="17" spans="1:39" ht="33.950000000000003" customHeight="1" x14ac:dyDescent="0.3">
      <c r="A17" s="63" t="s">
        <v>118</v>
      </c>
      <c r="B17" s="64"/>
      <c r="C17" s="64"/>
      <c r="D17" s="64"/>
      <c r="E17" s="64"/>
      <c r="F17" s="64"/>
      <c r="G17" s="65">
        <f>IFERROR(AVERAGEIF(B17:E17,"&gt;0",B17:E17),0)</f>
        <v>0</v>
      </c>
      <c r="S17" s="58" t="s">
        <v>119</v>
      </c>
      <c r="T17" s="58">
        <f>B17*CUI_Herbicida</f>
        <v>0</v>
      </c>
      <c r="U17" s="58">
        <f>C17*CUI_Herbicida</f>
        <v>0</v>
      </c>
      <c r="V17" s="58">
        <f>D17*CUI_Herbicida</f>
        <v>0</v>
      </c>
      <c r="W17" s="58">
        <f>E17*CUI_Herbicida</f>
        <v>0</v>
      </c>
      <c r="X17" s="58">
        <f>F17*CUI_Herbicida</f>
        <v>0</v>
      </c>
      <c r="AB17" s="410">
        <f t="shared" si="4"/>
        <v>0</v>
      </c>
      <c r="AC17" s="410">
        <f t="shared" si="4"/>
        <v>0</v>
      </c>
      <c r="AD17" s="410">
        <f t="shared" si="4"/>
        <v>0</v>
      </c>
      <c r="AE17" s="410">
        <f t="shared" si="4"/>
        <v>0</v>
      </c>
      <c r="AF17" s="410">
        <f t="shared" si="4"/>
        <v>0</v>
      </c>
      <c r="AH17" s="5"/>
      <c r="AI17" s="5"/>
      <c r="AJ17" s="5"/>
      <c r="AK17" s="5"/>
      <c r="AL17" s="5"/>
      <c r="AM17" s="5"/>
    </row>
    <row r="18" spans="1:39" ht="39.950000000000003" customHeight="1" x14ac:dyDescent="0.3">
      <c r="A18" s="144" t="s">
        <v>43</v>
      </c>
      <c r="B18" s="145"/>
      <c r="C18" s="145"/>
      <c r="D18" s="145"/>
      <c r="E18" s="145"/>
      <c r="F18" s="145"/>
      <c r="G18" s="146"/>
      <c r="AH18" s="5"/>
      <c r="AI18" s="5"/>
      <c r="AJ18" s="5"/>
      <c r="AK18" s="5"/>
      <c r="AL18" s="5"/>
      <c r="AM18" s="5"/>
    </row>
    <row r="19" spans="1:39" ht="33.950000000000003" customHeight="1" x14ac:dyDescent="0.3">
      <c r="A19" s="63" t="str">
        <f>CONCATENATE("Prev. Plagas | Jornales por ",UMp)</f>
        <v>Prev. Plagas | Jornales por Mz.</v>
      </c>
      <c r="B19" s="64"/>
      <c r="C19" s="64"/>
      <c r="D19" s="64"/>
      <c r="E19" s="64"/>
      <c r="F19" s="64"/>
      <c r="G19" s="65">
        <f>IFERROR(AVERAGEIF(B19:E19,"&gt;0",B19:E19),0)</f>
        <v>0</v>
      </c>
      <c r="S19" s="58" t="s">
        <v>120</v>
      </c>
      <c r="T19" s="58">
        <f>B19*CUI_Jornal</f>
        <v>0</v>
      </c>
      <c r="U19" s="58">
        <f>C19*CUI_Jornal</f>
        <v>0</v>
      </c>
      <c r="V19" s="58">
        <f>D19*CUI_Jornal</f>
        <v>0</v>
      </c>
      <c r="W19" s="58">
        <f>E19*CUI_Jornal</f>
        <v>0</v>
      </c>
      <c r="X19" s="58">
        <f>F19*CUI_Jornal</f>
        <v>0</v>
      </c>
      <c r="AB19" s="410">
        <f t="shared" ref="AB19:AF20" si="5">T19/$K$10</f>
        <v>0</v>
      </c>
      <c r="AC19" s="410">
        <f t="shared" si="5"/>
        <v>0</v>
      </c>
      <c r="AD19" s="410">
        <f t="shared" si="5"/>
        <v>0</v>
      </c>
      <c r="AE19" s="410">
        <f t="shared" si="5"/>
        <v>0</v>
      </c>
      <c r="AF19" s="410">
        <f t="shared" si="5"/>
        <v>0</v>
      </c>
      <c r="AH19" s="5"/>
      <c r="AI19" s="5"/>
      <c r="AJ19" s="5"/>
      <c r="AK19" s="5"/>
      <c r="AL19" s="5"/>
      <c r="AM19" s="5"/>
    </row>
    <row r="20" spans="1:39" ht="33.950000000000003" customHeight="1" x14ac:dyDescent="0.3">
      <c r="A20" s="63" t="s">
        <v>121</v>
      </c>
      <c r="B20" s="64"/>
      <c r="C20" s="64"/>
      <c r="D20" s="64"/>
      <c r="E20" s="64"/>
      <c r="F20" s="64"/>
      <c r="G20" s="65">
        <f>IFERROR(AVERAGEIF(B20:E20,"&gt;0",B20:E20),0)</f>
        <v>0</v>
      </c>
      <c r="S20" s="58" t="s">
        <v>122</v>
      </c>
      <c r="T20" s="58">
        <f>B20*CUI_Insecticida</f>
        <v>0</v>
      </c>
      <c r="U20" s="58">
        <f>C20*CUI_Insecticida</f>
        <v>0</v>
      </c>
      <c r="V20" s="58">
        <f>D20*CUI_Insecticida</f>
        <v>0</v>
      </c>
      <c r="W20" s="58">
        <f>E20*CUI_Insecticida</f>
        <v>0</v>
      </c>
      <c r="X20" s="58">
        <f>F20*CUI_Insecticida</f>
        <v>0</v>
      </c>
      <c r="AB20" s="410">
        <f t="shared" si="5"/>
        <v>0</v>
      </c>
      <c r="AC20" s="410">
        <f t="shared" si="5"/>
        <v>0</v>
      </c>
      <c r="AD20" s="410">
        <f t="shared" si="5"/>
        <v>0</v>
      </c>
      <c r="AE20" s="410">
        <f t="shared" si="5"/>
        <v>0</v>
      </c>
      <c r="AF20" s="410">
        <f t="shared" si="5"/>
        <v>0</v>
      </c>
      <c r="AH20" s="5"/>
      <c r="AI20" s="5"/>
      <c r="AJ20" s="5"/>
      <c r="AK20" s="5"/>
      <c r="AL20" s="5"/>
      <c r="AM20" s="5"/>
    </row>
    <row r="21" spans="1:39" ht="33.950000000000003" customHeight="1" x14ac:dyDescent="0.3">
      <c r="A21" s="144" t="s">
        <v>57</v>
      </c>
      <c r="B21" s="145"/>
      <c r="C21" s="145"/>
      <c r="D21" s="145"/>
      <c r="E21" s="145"/>
      <c r="F21" s="145"/>
      <c r="G21" s="146"/>
      <c r="AH21" s="5"/>
      <c r="AI21" s="5"/>
      <c r="AJ21" s="5"/>
      <c r="AK21" s="5"/>
      <c r="AL21" s="5"/>
      <c r="AM21" s="5"/>
    </row>
    <row r="22" spans="1:39" ht="33.950000000000003" customHeight="1" x14ac:dyDescent="0.3">
      <c r="A22" s="63" t="str">
        <f>CONCATENATE("Prev. Enfermedades | Jornales por ",UMp)</f>
        <v>Prev. Enfermedades | Jornales por Mz.</v>
      </c>
      <c r="B22" s="64"/>
      <c r="C22" s="64"/>
      <c r="D22" s="64"/>
      <c r="E22" s="64"/>
      <c r="F22" s="64"/>
      <c r="G22" s="65">
        <f>IFERROR(AVERAGEIF(B22:E22,"&gt;0",B22:E22),0)</f>
        <v>0</v>
      </c>
      <c r="J22" s="213"/>
      <c r="S22" s="58" t="s">
        <v>123</v>
      </c>
      <c r="T22" s="58">
        <f>B22*CUI_Jornal</f>
        <v>0</v>
      </c>
      <c r="U22" s="58">
        <f>C22*CUI_Jornal</f>
        <v>0</v>
      </c>
      <c r="V22" s="58">
        <f>D22*CUI_Jornal</f>
        <v>0</v>
      </c>
      <c r="W22" s="58">
        <f>E22*CUI_Jornal</f>
        <v>0</v>
      </c>
      <c r="X22" s="58">
        <f>F22*CUI_Jornal</f>
        <v>0</v>
      </c>
      <c r="AB22" s="410">
        <f t="shared" ref="AB22:AF24" si="6">T22/$K$10</f>
        <v>0</v>
      </c>
      <c r="AC22" s="410">
        <f t="shared" si="6"/>
        <v>0</v>
      </c>
      <c r="AD22" s="410">
        <f t="shared" si="6"/>
        <v>0</v>
      </c>
      <c r="AE22" s="410">
        <f t="shared" si="6"/>
        <v>0</v>
      </c>
      <c r="AF22" s="410">
        <f t="shared" si="6"/>
        <v>0</v>
      </c>
    </row>
    <row r="23" spans="1:39" ht="33.950000000000003" customHeight="1" x14ac:dyDescent="0.3">
      <c r="A23" s="63" t="s">
        <v>124</v>
      </c>
      <c r="B23" s="64"/>
      <c r="C23" s="64"/>
      <c r="D23" s="64"/>
      <c r="E23" s="64"/>
      <c r="F23" s="64"/>
      <c r="G23" s="65">
        <f>IFERROR(AVERAGEIF(B23:E23,"&gt;0",B23:E23),0)</f>
        <v>0</v>
      </c>
      <c r="J23" s="213"/>
      <c r="S23" s="58" t="s">
        <v>125</v>
      </c>
      <c r="T23" s="58">
        <f>B23*CUI_Fungicida</f>
        <v>0</v>
      </c>
      <c r="U23" s="58">
        <f>C23*CUI_Fungicida</f>
        <v>0</v>
      </c>
      <c r="V23" s="58">
        <f>D23*CUI_Fungicida</f>
        <v>0</v>
      </c>
      <c r="W23" s="58">
        <f>E23*CUI_Fungicida</f>
        <v>0</v>
      </c>
      <c r="X23" s="58">
        <f>F23*CUI_Fungicida</f>
        <v>0</v>
      </c>
      <c r="AB23" s="410">
        <f t="shared" si="6"/>
        <v>0</v>
      </c>
      <c r="AC23" s="410">
        <f t="shared" si="6"/>
        <v>0</v>
      </c>
      <c r="AD23" s="410">
        <f t="shared" si="6"/>
        <v>0</v>
      </c>
      <c r="AE23" s="410">
        <f t="shared" si="6"/>
        <v>0</v>
      </c>
      <c r="AF23" s="410">
        <f t="shared" si="6"/>
        <v>0</v>
      </c>
    </row>
    <row r="24" spans="1:39" ht="33.950000000000003" customHeight="1" x14ac:dyDescent="0.3">
      <c r="A24" s="63" t="s">
        <v>126</v>
      </c>
      <c r="B24" s="64"/>
      <c r="C24" s="64"/>
      <c r="D24" s="64"/>
      <c r="E24" s="64"/>
      <c r="F24" s="64"/>
      <c r="G24" s="65">
        <f>IFERROR(AVERAGEIF(B24:E24,"&gt;0",B24:E24),0)</f>
        <v>0</v>
      </c>
      <c r="J24" s="213"/>
      <c r="S24" s="58" t="s">
        <v>62</v>
      </c>
      <c r="T24" s="58">
        <f>B24*CUI_Coadyuvantes</f>
        <v>0</v>
      </c>
      <c r="U24" s="58">
        <f>C24*CUI_Coadyuvantes</f>
        <v>0</v>
      </c>
      <c r="V24" s="58">
        <f>D24*CUI_Coadyuvantes</f>
        <v>0</v>
      </c>
      <c r="W24" s="58">
        <f>E24*CUI_Coadyuvantes</f>
        <v>0</v>
      </c>
      <c r="X24" s="58">
        <f>F24*CUI_Coadyuvantes</f>
        <v>0</v>
      </c>
      <c r="AB24" s="410">
        <f t="shared" si="6"/>
        <v>0</v>
      </c>
      <c r="AC24" s="410">
        <f t="shared" si="6"/>
        <v>0</v>
      </c>
      <c r="AD24" s="410">
        <f t="shared" si="6"/>
        <v>0</v>
      </c>
      <c r="AE24" s="410">
        <f t="shared" si="6"/>
        <v>0</v>
      </c>
      <c r="AF24" s="410">
        <f t="shared" si="6"/>
        <v>0</v>
      </c>
    </row>
    <row r="25" spans="1:39" ht="39.950000000000003" customHeight="1" x14ac:dyDescent="0.3">
      <c r="A25" s="144" t="s">
        <v>127</v>
      </c>
      <c r="B25" s="145"/>
      <c r="C25" s="145"/>
      <c r="D25" s="145"/>
      <c r="E25" s="145"/>
      <c r="F25" s="145"/>
      <c r="G25" s="146"/>
      <c r="J25" s="213"/>
    </row>
    <row r="26" spans="1:39" ht="33.950000000000003" customHeight="1" x14ac:dyDescent="0.3">
      <c r="A26" s="63" t="str">
        <f>CONCATENATE("Man. De Sombra | Jornales por ",UMp)</f>
        <v>Man. De Sombra | Jornales por Mz.</v>
      </c>
      <c r="B26" s="64"/>
      <c r="C26" s="64"/>
      <c r="D26" s="64"/>
      <c r="E26" s="64"/>
      <c r="F26" s="64"/>
      <c r="G26" s="65">
        <f t="shared" ref="G26:G31" si="7">IFERROR(AVERAGEIF(B26:E26,"&gt;0",B26:E26),0)</f>
        <v>0</v>
      </c>
      <c r="J26" s="213"/>
      <c r="S26" s="58" t="s">
        <v>128</v>
      </c>
      <c r="T26" s="58">
        <f t="shared" ref="T26:X28" si="8">B26*CUI_Jornal</f>
        <v>0</v>
      </c>
      <c r="U26" s="58">
        <f t="shared" si="8"/>
        <v>0</v>
      </c>
      <c r="V26" s="58">
        <f t="shared" si="8"/>
        <v>0</v>
      </c>
      <c r="W26" s="58">
        <f t="shared" si="8"/>
        <v>0</v>
      </c>
      <c r="X26" s="58">
        <f t="shared" si="8"/>
        <v>0</v>
      </c>
      <c r="AB26" s="410">
        <f t="shared" ref="AB26:AF31" si="9">T26/$K$10</f>
        <v>0</v>
      </c>
      <c r="AC26" s="410">
        <f t="shared" si="9"/>
        <v>0</v>
      </c>
      <c r="AD26" s="410">
        <f t="shared" si="9"/>
        <v>0</v>
      </c>
      <c r="AE26" s="410">
        <f t="shared" si="9"/>
        <v>0</v>
      </c>
      <c r="AF26" s="410">
        <f t="shared" si="9"/>
        <v>0</v>
      </c>
    </row>
    <row r="27" spans="1:39" ht="33.950000000000003" customHeight="1" x14ac:dyDescent="0.3">
      <c r="A27" s="63" t="str">
        <f>CONCATENATE("Cons. De suelos | Jornales por ",UMp)</f>
        <v>Cons. De suelos | Jornales por Mz.</v>
      </c>
      <c r="B27" s="64"/>
      <c r="C27" s="64"/>
      <c r="D27" s="64"/>
      <c r="E27" s="64"/>
      <c r="F27" s="64"/>
      <c r="G27" s="65">
        <f t="shared" si="7"/>
        <v>0</v>
      </c>
      <c r="S27" s="58" t="s">
        <v>52</v>
      </c>
      <c r="T27" s="58">
        <f t="shared" si="8"/>
        <v>0</v>
      </c>
      <c r="U27" s="58">
        <f t="shared" si="8"/>
        <v>0</v>
      </c>
      <c r="V27" s="58">
        <f t="shared" si="8"/>
        <v>0</v>
      </c>
      <c r="W27" s="58">
        <f t="shared" si="8"/>
        <v>0</v>
      </c>
      <c r="X27" s="58">
        <f t="shared" si="8"/>
        <v>0</v>
      </c>
      <c r="AB27" s="410">
        <f t="shared" si="9"/>
        <v>0</v>
      </c>
      <c r="AC27" s="410">
        <f t="shared" si="9"/>
        <v>0</v>
      </c>
      <c r="AD27" s="410">
        <f t="shared" si="9"/>
        <v>0</v>
      </c>
      <c r="AE27" s="410">
        <f t="shared" si="9"/>
        <v>0</v>
      </c>
      <c r="AF27" s="410">
        <f t="shared" si="9"/>
        <v>0</v>
      </c>
    </row>
    <row r="28" spans="1:39" ht="33.950000000000003" customHeight="1" x14ac:dyDescent="0.3">
      <c r="A28" s="63" t="s">
        <v>58</v>
      </c>
      <c r="B28" s="64"/>
      <c r="C28" s="64"/>
      <c r="D28" s="64"/>
      <c r="E28" s="64"/>
      <c r="F28" s="64"/>
      <c r="G28" s="65">
        <f t="shared" si="7"/>
        <v>0</v>
      </c>
      <c r="S28" s="58" t="s">
        <v>127</v>
      </c>
      <c r="T28" s="58">
        <f t="shared" si="8"/>
        <v>0</v>
      </c>
      <c r="U28" s="58">
        <f t="shared" si="8"/>
        <v>0</v>
      </c>
      <c r="V28" s="58">
        <f t="shared" si="8"/>
        <v>0</v>
      </c>
      <c r="W28" s="58">
        <f t="shared" si="8"/>
        <v>0</v>
      </c>
      <c r="X28" s="58">
        <f t="shared" si="8"/>
        <v>0</v>
      </c>
      <c r="Y28" s="5"/>
      <c r="Z28" s="5"/>
      <c r="AA28" s="5"/>
      <c r="AB28" s="410">
        <f t="shared" si="9"/>
        <v>0</v>
      </c>
      <c r="AC28" s="410">
        <f t="shared" si="9"/>
        <v>0</v>
      </c>
      <c r="AD28" s="410">
        <f t="shared" si="9"/>
        <v>0</v>
      </c>
      <c r="AE28" s="410">
        <f t="shared" si="9"/>
        <v>0</v>
      </c>
      <c r="AF28" s="410">
        <f t="shared" si="9"/>
        <v>0</v>
      </c>
    </row>
    <row r="29" spans="1:39" ht="33.950000000000003" customHeight="1" x14ac:dyDescent="0.3">
      <c r="A29" s="63" t="s">
        <v>129</v>
      </c>
      <c r="B29" s="64"/>
      <c r="C29" s="64"/>
      <c r="D29" s="64"/>
      <c r="E29" s="64"/>
      <c r="F29" s="64"/>
      <c r="G29" s="65">
        <f t="shared" si="7"/>
        <v>0</v>
      </c>
      <c r="S29" s="58" t="str">
        <f>A29</f>
        <v>Otro insumo 1:</v>
      </c>
      <c r="T29" s="58">
        <f>B29*CUI_Otro_1</f>
        <v>0</v>
      </c>
      <c r="U29" s="58">
        <f>C29*CUI_Otro_1</f>
        <v>0</v>
      </c>
      <c r="V29" s="58">
        <f>D29*CUI_Otro_1</f>
        <v>0</v>
      </c>
      <c r="W29" s="58">
        <f>E29*CUI_Otro_1</f>
        <v>0</v>
      </c>
      <c r="X29" s="58">
        <f>F29*CUI_Otro_1</f>
        <v>0</v>
      </c>
      <c r="Y29" s="5"/>
      <c r="Z29" s="5"/>
      <c r="AA29" s="5"/>
      <c r="AB29" s="410">
        <f t="shared" si="9"/>
        <v>0</v>
      </c>
      <c r="AC29" s="410">
        <f t="shared" si="9"/>
        <v>0</v>
      </c>
      <c r="AD29" s="410">
        <f t="shared" si="9"/>
        <v>0</v>
      </c>
      <c r="AE29" s="410">
        <f t="shared" si="9"/>
        <v>0</v>
      </c>
      <c r="AF29" s="410">
        <f t="shared" si="9"/>
        <v>0</v>
      </c>
    </row>
    <row r="30" spans="1:39" ht="33.950000000000003" customHeight="1" x14ac:dyDescent="0.3">
      <c r="A30" s="63" t="s">
        <v>130</v>
      </c>
      <c r="B30" s="64"/>
      <c r="C30" s="64"/>
      <c r="D30" s="64"/>
      <c r="E30" s="64"/>
      <c r="F30" s="64"/>
      <c r="G30" s="65">
        <f t="shared" si="7"/>
        <v>0</v>
      </c>
      <c r="S30" s="58" t="str">
        <f>A30</f>
        <v>Otro insumo 2:</v>
      </c>
      <c r="T30" s="58">
        <f>B30*CUI_Otro_2</f>
        <v>0</v>
      </c>
      <c r="U30" s="58">
        <f>C30*CUI_Otro_2</f>
        <v>0</v>
      </c>
      <c r="V30" s="58">
        <f>D30*CUI_Otro_2</f>
        <v>0</v>
      </c>
      <c r="W30" s="58">
        <f>E30*CUI_Otro_2</f>
        <v>0</v>
      </c>
      <c r="X30" s="58">
        <f>F30*CUI_Otro_2</f>
        <v>0</v>
      </c>
      <c r="Y30" s="5"/>
      <c r="Z30" s="5"/>
      <c r="AA30" s="5"/>
      <c r="AB30" s="410">
        <f t="shared" si="9"/>
        <v>0</v>
      </c>
      <c r="AC30" s="410">
        <f t="shared" si="9"/>
        <v>0</v>
      </c>
      <c r="AD30" s="410">
        <f t="shared" si="9"/>
        <v>0</v>
      </c>
      <c r="AE30" s="410">
        <f t="shared" si="9"/>
        <v>0</v>
      </c>
      <c r="AF30" s="410">
        <f t="shared" si="9"/>
        <v>0</v>
      </c>
    </row>
    <row r="31" spans="1:39" ht="33.950000000000003" customHeight="1" thickBot="1" x14ac:dyDescent="0.35">
      <c r="A31" s="76" t="s">
        <v>131</v>
      </c>
      <c r="B31" s="74"/>
      <c r="C31" s="74"/>
      <c r="D31" s="74"/>
      <c r="E31" s="74"/>
      <c r="F31" s="74"/>
      <c r="G31" s="75">
        <f t="shared" si="7"/>
        <v>0</v>
      </c>
      <c r="S31" s="58" t="str">
        <f>A31</f>
        <v>Otro insumo 3:</v>
      </c>
      <c r="T31" s="58">
        <f>B31*CUI_Otro_3</f>
        <v>0</v>
      </c>
      <c r="U31" s="58">
        <f>C31*CUI_Otro_3</f>
        <v>0</v>
      </c>
      <c r="V31" s="58">
        <f>D31*CUI_Otro_3</f>
        <v>0</v>
      </c>
      <c r="W31" s="58">
        <f>E31*CUI_Otro_3</f>
        <v>0</v>
      </c>
      <c r="X31" s="58">
        <f>F31*CUI_Otro_3</f>
        <v>0</v>
      </c>
      <c r="Y31" s="5"/>
      <c r="Z31" s="5"/>
      <c r="AA31" s="5"/>
      <c r="AB31" s="410">
        <f t="shared" si="9"/>
        <v>0</v>
      </c>
      <c r="AC31" s="410">
        <f t="shared" si="9"/>
        <v>0</v>
      </c>
      <c r="AD31" s="410">
        <f t="shared" si="9"/>
        <v>0</v>
      </c>
      <c r="AE31" s="410">
        <f t="shared" si="9"/>
        <v>0</v>
      </c>
      <c r="AF31" s="410">
        <f t="shared" si="9"/>
        <v>0</v>
      </c>
    </row>
    <row r="32" spans="1:39" ht="18" customHeight="1" thickBot="1" x14ac:dyDescent="0.35">
      <c r="A32" s="147"/>
      <c r="B32" s="148"/>
      <c r="C32" s="148"/>
      <c r="D32" s="148"/>
      <c r="E32" s="148"/>
      <c r="F32" s="148"/>
      <c r="G32" s="148"/>
      <c r="Y32" s="5"/>
      <c r="Z32" s="5"/>
      <c r="AA32" s="5"/>
      <c r="AB32" s="58" t="s">
        <v>132</v>
      </c>
      <c r="AC32" s="58" t="s">
        <v>133</v>
      </c>
      <c r="AD32" s="58" t="s">
        <v>134</v>
      </c>
      <c r="AE32" s="58" t="s">
        <v>135</v>
      </c>
      <c r="AF32" s="58" t="s">
        <v>136</v>
      </c>
    </row>
    <row r="33" spans="1:33" ht="33.950000000000003" customHeight="1" x14ac:dyDescent="0.3">
      <c r="A33" s="77" t="str">
        <f>CONCATENATE("Total jornales por ",IF(UM=1,"Ha.","Mz"))</f>
        <v>Total jornales por Mz</v>
      </c>
      <c r="B33" s="211">
        <f>SUM(B6,B7,B9,B12,B15,B16,B19,B22,B26,B27,B28)</f>
        <v>6</v>
      </c>
      <c r="C33" s="211">
        <f>SUM(C6,C7,C9,C12,C15,C16,C19,C22,C26,C27,C28)</f>
        <v>0</v>
      </c>
      <c r="D33" s="211">
        <f>SUM(D6,D7,D9,D12,D15,D16,D19,D22,D26,D27,D28)</f>
        <v>0</v>
      </c>
      <c r="E33" s="211">
        <f>SUM(E6,E7,E9,E12,E15,E16,E19,E22,E26,E27,E28)</f>
        <v>0</v>
      </c>
      <c r="F33" s="212"/>
      <c r="G33" s="68">
        <f>IFERROR(AVERAGEIF(B33:E33,"&gt;0",B33:E33),0)</f>
        <v>6</v>
      </c>
      <c r="Y33" s="5"/>
      <c r="Z33" s="5"/>
      <c r="AA33" s="5"/>
      <c r="AB33" s="410">
        <f>SUM(AB6:AB31)</f>
        <v>0</v>
      </c>
      <c r="AC33" s="410">
        <f>SUM(AC6:AC31)</f>
        <v>0</v>
      </c>
      <c r="AD33" s="410">
        <f>SUM(AD6:AD31)</f>
        <v>0</v>
      </c>
      <c r="AE33" s="410">
        <f>SUM(AE6:AE31)</f>
        <v>0</v>
      </c>
      <c r="AF33" s="410">
        <f>SUM(AF6:AF31)</f>
        <v>0</v>
      </c>
    </row>
    <row r="34" spans="1:33" ht="33.950000000000003" customHeight="1" x14ac:dyDescent="0.3">
      <c r="A34" s="77" t="s">
        <v>137</v>
      </c>
      <c r="B34" s="78">
        <f>R5</f>
        <v>0</v>
      </c>
      <c r="C34" s="79">
        <f>R6</f>
        <v>0</v>
      </c>
      <c r="D34" s="79">
        <f>R7</f>
        <v>0</v>
      </c>
      <c r="E34" s="79">
        <f>R8</f>
        <v>0</v>
      </c>
      <c r="F34" s="79"/>
      <c r="G34" s="79">
        <f>IFERROR(AVERAGEIF(B34:E34,"&gt;0",B34:E34),0)</f>
        <v>0</v>
      </c>
    </row>
    <row r="35" spans="1:33" ht="33.950000000000003" customHeight="1" thickBot="1" x14ac:dyDescent="0.35">
      <c r="A35" s="80" t="s">
        <v>138</v>
      </c>
      <c r="B35" s="81">
        <f>Q5</f>
        <v>0</v>
      </c>
      <c r="C35" s="82">
        <f>Q6</f>
        <v>0</v>
      </c>
      <c r="D35" s="82">
        <f>Q7</f>
        <v>0</v>
      </c>
      <c r="E35" s="82">
        <f>Q8</f>
        <v>0</v>
      </c>
      <c r="F35" s="82"/>
      <c r="G35" s="82">
        <f>IFERROR(AVERAGEIF(B35:E35,"&gt;0",B35:E35),0)</f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33" ht="26.1" customHeight="1" x14ac:dyDescent="0.3">
      <c r="A36" s="424" t="s">
        <v>85</v>
      </c>
      <c r="B36" s="424"/>
      <c r="C36" s="424"/>
      <c r="S36" s="5"/>
      <c r="T36" s="5"/>
      <c r="U36" s="5"/>
      <c r="V36" s="5"/>
      <c r="W36" s="5"/>
      <c r="X36" s="5"/>
      <c r="Y36" s="5"/>
      <c r="Z36" s="5"/>
      <c r="AA36" s="5"/>
    </row>
    <row r="37" spans="1:33" ht="26.1" customHeight="1" x14ac:dyDescent="0.3">
      <c r="S37" s="5"/>
      <c r="T37" s="5"/>
      <c r="U37" s="5"/>
      <c r="V37" s="5"/>
      <c r="W37" s="5"/>
      <c r="X37" s="5"/>
      <c r="Y37" s="5"/>
      <c r="Z37" s="5"/>
      <c r="AA37" s="5"/>
      <c r="AG37" s="5"/>
    </row>
    <row r="38" spans="1:33" ht="26.1" customHeight="1" x14ac:dyDescent="0.3"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26.1" customHeight="1" x14ac:dyDescent="0.3">
      <c r="A39" s="12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26.1" customHeight="1" x14ac:dyDescent="0.3">
      <c r="A40" s="12"/>
      <c r="B40" s="12"/>
      <c r="C40" s="12"/>
      <c r="D40" s="12"/>
      <c r="E40" s="12"/>
      <c r="F40" s="12"/>
      <c r="G40" s="12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26.1" customHeight="1" x14ac:dyDescent="0.3">
      <c r="A41" s="12"/>
      <c r="B41" s="12"/>
      <c r="C41" s="12"/>
      <c r="D41" s="12"/>
      <c r="E41" s="12"/>
      <c r="F41" s="12"/>
      <c r="G41" s="12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26.1" customHeight="1" x14ac:dyDescent="0.3">
      <c r="A42" s="12"/>
      <c r="B42" s="12"/>
      <c r="C42" s="12"/>
      <c r="D42" s="12"/>
      <c r="E42" s="12"/>
      <c r="F42" s="12"/>
      <c r="G42" s="12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26.1" customHeight="1" x14ac:dyDescent="0.3">
      <c r="A43" s="12"/>
      <c r="B43" s="12"/>
      <c r="C43" s="12"/>
      <c r="D43" s="12"/>
      <c r="E43" s="12"/>
      <c r="F43" s="12"/>
      <c r="G43" s="12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24" customHeight="1" x14ac:dyDescent="0.3">
      <c r="A44" s="83"/>
      <c r="B44" s="84"/>
      <c r="C44" s="84"/>
      <c r="D44" s="84"/>
      <c r="E44" s="84"/>
      <c r="F44" s="84"/>
      <c r="G44" s="84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x14ac:dyDescent="0.3">
      <c r="A45" s="55"/>
    </row>
    <row r="48" spans="1:33" ht="38.1" customHeight="1" x14ac:dyDescent="0.3"/>
  </sheetData>
  <sheetProtection algorithmName="SHA-512" hashValue="UePKPXxyG8xtz+leuILnzQJ9y3UnaIX2PO/NkJ8k2EzWr7FsTnwk0n+yIB7lOTlS6GYs9SuskNuyvCYsSrssJA==" saltValue="PHHLiX0qJu1lVUloTBUusw==" spinCount="100000" sheet="1" objects="1" scenarios="1"/>
  <mergeCells count="5">
    <mergeCell ref="A2:G2"/>
    <mergeCell ref="J4:K4"/>
    <mergeCell ref="A8:G8"/>
    <mergeCell ref="A3:G3"/>
    <mergeCell ref="A36:C36"/>
  </mergeCells>
  <hyperlinks>
    <hyperlink ref="A1" location="Inicio!A1" display="Regresar" xr:uid="{4D7C1B8D-9216-5A47-A29B-3682DF9FAC11}"/>
    <hyperlink ref="A1:G1" location="Inicio!A9" display="Regresar" xr:uid="{0AE6D5E4-C4CD-574B-932A-CA3B90A3027C}"/>
  </hyperlinks>
  <pageMargins left="0.7" right="0.7" top="0.75" bottom="0.75" header="0.3" footer="0.3"/>
  <pageSetup scale="10" fitToHeight="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C07C5-0E75-B84E-901A-9AB8FBC5A882}">
  <sheetPr codeName="Hoja3">
    <pageSetUpPr fitToPage="1"/>
  </sheetPr>
  <dimension ref="A1:XEZ256"/>
  <sheetViews>
    <sheetView showGridLines="0" zoomScale="80" zoomScaleNormal="80" workbookViewId="0">
      <pane ySplit="4" topLeftCell="A31" activePane="bottomLeft" state="frozen"/>
      <selection activeCell="C5" sqref="C5"/>
      <selection pane="bottomLeft" activeCell="A21" sqref="A21"/>
    </sheetView>
  </sheetViews>
  <sheetFormatPr baseColWidth="10" defaultColWidth="11" defaultRowHeight="17.25" x14ac:dyDescent="0.3"/>
  <cols>
    <col min="1" max="1" width="45.875" style="4" customWidth="1"/>
    <col min="2" max="2" width="41.375" style="4" customWidth="1"/>
    <col min="3" max="3" width="41.125" style="4" customWidth="1"/>
    <col min="4" max="4" width="16.875" style="5" customWidth="1"/>
    <col min="5" max="8" width="11" style="5"/>
    <col min="9" max="16384" width="11" style="4"/>
  </cols>
  <sheetData>
    <row r="1" spans="1:16380" ht="33.950000000000003" customHeight="1" thickBot="1" x14ac:dyDescent="0.35">
      <c r="A1" s="23" t="s">
        <v>21</v>
      </c>
      <c r="B1" s="25"/>
      <c r="C1" s="26"/>
    </row>
    <row r="2" spans="1:16380" s="12" customFormat="1" ht="50.1" customHeight="1" x14ac:dyDescent="0.3">
      <c r="A2" s="453" t="str">
        <f>CONCATENATE("Planificación financiera ",Up, " | Gastos administrativos, generales y financieros por año")</f>
        <v>Planificación financiera  | Gastos administrativos, generales y financieros por año</v>
      </c>
      <c r="B2" s="454"/>
      <c r="C2" s="455"/>
      <c r="D2" s="47"/>
      <c r="E2" s="419" t="s">
        <v>23</v>
      </c>
      <c r="F2" s="420"/>
      <c r="G2" s="420"/>
      <c r="H2" s="420"/>
      <c r="I2" s="419" t="s">
        <v>23</v>
      </c>
      <c r="J2" s="420"/>
      <c r="K2" s="420"/>
      <c r="L2" s="420"/>
      <c r="M2" s="419" t="s">
        <v>23</v>
      </c>
      <c r="N2" s="420"/>
      <c r="O2" s="420"/>
      <c r="P2" s="420"/>
      <c r="Q2" s="419" t="s">
        <v>23</v>
      </c>
      <c r="R2" s="420"/>
      <c r="S2" s="420"/>
      <c r="T2" s="420"/>
      <c r="U2" s="419" t="s">
        <v>23</v>
      </c>
      <c r="V2" s="420"/>
      <c r="W2" s="420"/>
      <c r="X2" s="420"/>
      <c r="Y2" s="419" t="s">
        <v>23</v>
      </c>
      <c r="Z2" s="420"/>
      <c r="AA2" s="420"/>
      <c r="AB2" s="420"/>
      <c r="AC2" s="419" t="s">
        <v>23</v>
      </c>
      <c r="AD2" s="420"/>
      <c r="AE2" s="420"/>
      <c r="AF2" s="420"/>
      <c r="AG2" s="419" t="s">
        <v>23</v>
      </c>
      <c r="AH2" s="420"/>
      <c r="AI2" s="420"/>
      <c r="AJ2" s="420"/>
      <c r="AK2" s="419" t="s">
        <v>23</v>
      </c>
      <c r="AL2" s="420"/>
      <c r="AM2" s="420"/>
      <c r="AN2" s="420"/>
      <c r="AO2" s="419" t="s">
        <v>23</v>
      </c>
      <c r="AP2" s="420"/>
      <c r="AQ2" s="420"/>
      <c r="AR2" s="420"/>
      <c r="AS2" s="419" t="s">
        <v>23</v>
      </c>
      <c r="AT2" s="420"/>
      <c r="AU2" s="420"/>
      <c r="AV2" s="420"/>
      <c r="AW2" s="419" t="s">
        <v>23</v>
      </c>
      <c r="AX2" s="420"/>
      <c r="AY2" s="420"/>
      <c r="AZ2" s="420"/>
      <c r="BA2" s="419" t="s">
        <v>23</v>
      </c>
      <c r="BB2" s="420"/>
      <c r="BC2" s="420"/>
      <c r="BD2" s="420"/>
      <c r="BE2" s="419" t="s">
        <v>23</v>
      </c>
      <c r="BF2" s="420"/>
      <c r="BG2" s="420"/>
      <c r="BH2" s="420"/>
      <c r="BI2" s="419" t="s">
        <v>23</v>
      </c>
      <c r="BJ2" s="420"/>
      <c r="BK2" s="420"/>
      <c r="BL2" s="420"/>
      <c r="BM2" s="419" t="s">
        <v>23</v>
      </c>
      <c r="BN2" s="420"/>
      <c r="BO2" s="420"/>
      <c r="BP2" s="420"/>
      <c r="BQ2" s="419" t="s">
        <v>23</v>
      </c>
      <c r="BR2" s="420"/>
      <c r="BS2" s="420"/>
      <c r="BT2" s="420"/>
      <c r="BU2" s="419" t="s">
        <v>23</v>
      </c>
      <c r="BV2" s="420"/>
      <c r="BW2" s="420"/>
      <c r="BX2" s="420"/>
      <c r="BY2" s="419" t="s">
        <v>23</v>
      </c>
      <c r="BZ2" s="420"/>
      <c r="CA2" s="420"/>
      <c r="CB2" s="420"/>
      <c r="CC2" s="419" t="s">
        <v>23</v>
      </c>
      <c r="CD2" s="420"/>
      <c r="CE2" s="420"/>
      <c r="CF2" s="420"/>
      <c r="CG2" s="419" t="s">
        <v>23</v>
      </c>
      <c r="CH2" s="420"/>
      <c r="CI2" s="420"/>
      <c r="CJ2" s="420"/>
      <c r="CK2" s="419" t="s">
        <v>23</v>
      </c>
      <c r="CL2" s="420"/>
      <c r="CM2" s="420"/>
      <c r="CN2" s="420"/>
      <c r="CO2" s="419" t="s">
        <v>23</v>
      </c>
      <c r="CP2" s="420"/>
      <c r="CQ2" s="420"/>
      <c r="CR2" s="420"/>
      <c r="CS2" s="419" t="s">
        <v>23</v>
      </c>
      <c r="CT2" s="420"/>
      <c r="CU2" s="420"/>
      <c r="CV2" s="420"/>
      <c r="CW2" s="419" t="s">
        <v>23</v>
      </c>
      <c r="CX2" s="420"/>
      <c r="CY2" s="420"/>
      <c r="CZ2" s="420"/>
      <c r="DA2" s="419" t="s">
        <v>23</v>
      </c>
      <c r="DB2" s="420"/>
      <c r="DC2" s="420"/>
      <c r="DD2" s="420"/>
      <c r="DE2" s="419" t="s">
        <v>23</v>
      </c>
      <c r="DF2" s="420"/>
      <c r="DG2" s="420"/>
      <c r="DH2" s="420"/>
      <c r="DI2" s="419" t="s">
        <v>23</v>
      </c>
      <c r="DJ2" s="420"/>
      <c r="DK2" s="420"/>
      <c r="DL2" s="420"/>
      <c r="DM2" s="419" t="s">
        <v>23</v>
      </c>
      <c r="DN2" s="420"/>
      <c r="DO2" s="420"/>
      <c r="DP2" s="420"/>
      <c r="DQ2" s="419" t="s">
        <v>23</v>
      </c>
      <c r="DR2" s="420"/>
      <c r="DS2" s="420"/>
      <c r="DT2" s="420"/>
      <c r="DU2" s="419" t="s">
        <v>23</v>
      </c>
      <c r="DV2" s="420"/>
      <c r="DW2" s="420"/>
      <c r="DX2" s="420"/>
      <c r="DY2" s="419" t="s">
        <v>23</v>
      </c>
      <c r="DZ2" s="420"/>
      <c r="EA2" s="420"/>
      <c r="EB2" s="420"/>
      <c r="EC2" s="419" t="s">
        <v>23</v>
      </c>
      <c r="ED2" s="420"/>
      <c r="EE2" s="420"/>
      <c r="EF2" s="420"/>
      <c r="EG2" s="419" t="s">
        <v>23</v>
      </c>
      <c r="EH2" s="420"/>
      <c r="EI2" s="420"/>
      <c r="EJ2" s="420"/>
      <c r="EK2" s="419" t="s">
        <v>23</v>
      </c>
      <c r="EL2" s="420"/>
      <c r="EM2" s="420"/>
      <c r="EN2" s="420"/>
      <c r="EO2" s="419" t="s">
        <v>23</v>
      </c>
      <c r="EP2" s="420"/>
      <c r="EQ2" s="420"/>
      <c r="ER2" s="420"/>
      <c r="ES2" s="419" t="s">
        <v>23</v>
      </c>
      <c r="ET2" s="420"/>
      <c r="EU2" s="420"/>
      <c r="EV2" s="420"/>
      <c r="EW2" s="419" t="s">
        <v>23</v>
      </c>
      <c r="EX2" s="420"/>
      <c r="EY2" s="420"/>
      <c r="EZ2" s="420"/>
      <c r="FA2" s="419" t="s">
        <v>23</v>
      </c>
      <c r="FB2" s="420"/>
      <c r="FC2" s="420"/>
      <c r="FD2" s="420"/>
      <c r="FE2" s="419" t="s">
        <v>23</v>
      </c>
      <c r="FF2" s="420"/>
      <c r="FG2" s="420"/>
      <c r="FH2" s="420"/>
      <c r="FI2" s="419" t="s">
        <v>23</v>
      </c>
      <c r="FJ2" s="420"/>
      <c r="FK2" s="420"/>
      <c r="FL2" s="420"/>
      <c r="FM2" s="419" t="s">
        <v>23</v>
      </c>
      <c r="FN2" s="420"/>
      <c r="FO2" s="420"/>
      <c r="FP2" s="420"/>
      <c r="FQ2" s="419" t="s">
        <v>23</v>
      </c>
      <c r="FR2" s="420"/>
      <c r="FS2" s="420"/>
      <c r="FT2" s="420"/>
      <c r="FU2" s="419" t="s">
        <v>23</v>
      </c>
      <c r="FV2" s="420"/>
      <c r="FW2" s="420"/>
      <c r="FX2" s="420"/>
      <c r="FY2" s="419" t="s">
        <v>23</v>
      </c>
      <c r="FZ2" s="420"/>
      <c r="GA2" s="420"/>
      <c r="GB2" s="420"/>
      <c r="GC2" s="419" t="s">
        <v>23</v>
      </c>
      <c r="GD2" s="420"/>
      <c r="GE2" s="420"/>
      <c r="GF2" s="420"/>
      <c r="GG2" s="419" t="s">
        <v>23</v>
      </c>
      <c r="GH2" s="420"/>
      <c r="GI2" s="420"/>
      <c r="GJ2" s="420"/>
      <c r="GK2" s="419" t="s">
        <v>23</v>
      </c>
      <c r="GL2" s="420"/>
      <c r="GM2" s="420"/>
      <c r="GN2" s="420"/>
      <c r="GO2" s="419" t="s">
        <v>23</v>
      </c>
      <c r="GP2" s="420"/>
      <c r="GQ2" s="420"/>
      <c r="GR2" s="420"/>
      <c r="GS2" s="419" t="s">
        <v>23</v>
      </c>
      <c r="GT2" s="420"/>
      <c r="GU2" s="420"/>
      <c r="GV2" s="420"/>
      <c r="GW2" s="419" t="s">
        <v>23</v>
      </c>
      <c r="GX2" s="420"/>
      <c r="GY2" s="420"/>
      <c r="GZ2" s="420"/>
      <c r="HA2" s="419" t="s">
        <v>23</v>
      </c>
      <c r="HB2" s="420"/>
      <c r="HC2" s="420"/>
      <c r="HD2" s="420"/>
      <c r="HE2" s="419" t="s">
        <v>23</v>
      </c>
      <c r="HF2" s="420"/>
      <c r="HG2" s="420"/>
      <c r="HH2" s="420"/>
      <c r="HI2" s="419" t="s">
        <v>23</v>
      </c>
      <c r="HJ2" s="420"/>
      <c r="HK2" s="420"/>
      <c r="HL2" s="420"/>
      <c r="HM2" s="419" t="s">
        <v>23</v>
      </c>
      <c r="HN2" s="420"/>
      <c r="HO2" s="420"/>
      <c r="HP2" s="420"/>
      <c r="HQ2" s="419" t="s">
        <v>23</v>
      </c>
      <c r="HR2" s="420"/>
      <c r="HS2" s="420"/>
      <c r="HT2" s="420"/>
      <c r="HU2" s="419" t="s">
        <v>23</v>
      </c>
      <c r="HV2" s="420"/>
      <c r="HW2" s="420"/>
      <c r="HX2" s="420"/>
      <c r="HY2" s="419" t="s">
        <v>23</v>
      </c>
      <c r="HZ2" s="420"/>
      <c r="IA2" s="420"/>
      <c r="IB2" s="420"/>
      <c r="IC2" s="419" t="s">
        <v>23</v>
      </c>
      <c r="ID2" s="420"/>
      <c r="IE2" s="420"/>
      <c r="IF2" s="420"/>
      <c r="IG2" s="419" t="s">
        <v>23</v>
      </c>
      <c r="IH2" s="420"/>
      <c r="II2" s="420"/>
      <c r="IJ2" s="420"/>
      <c r="IK2" s="419" t="s">
        <v>23</v>
      </c>
      <c r="IL2" s="420"/>
      <c r="IM2" s="420"/>
      <c r="IN2" s="420"/>
      <c r="IO2" s="419" t="s">
        <v>23</v>
      </c>
      <c r="IP2" s="420"/>
      <c r="IQ2" s="420"/>
      <c r="IR2" s="420"/>
      <c r="IS2" s="419" t="s">
        <v>23</v>
      </c>
      <c r="IT2" s="420"/>
      <c r="IU2" s="420"/>
      <c r="IV2" s="420"/>
      <c r="IW2" s="419" t="s">
        <v>23</v>
      </c>
      <c r="IX2" s="420"/>
      <c r="IY2" s="420"/>
      <c r="IZ2" s="420"/>
      <c r="JA2" s="419" t="s">
        <v>23</v>
      </c>
      <c r="JB2" s="420"/>
      <c r="JC2" s="420"/>
      <c r="JD2" s="420"/>
      <c r="JE2" s="419" t="s">
        <v>23</v>
      </c>
      <c r="JF2" s="420"/>
      <c r="JG2" s="420"/>
      <c r="JH2" s="420"/>
      <c r="JI2" s="419" t="s">
        <v>23</v>
      </c>
      <c r="JJ2" s="420"/>
      <c r="JK2" s="420"/>
      <c r="JL2" s="420"/>
      <c r="JM2" s="419" t="s">
        <v>23</v>
      </c>
      <c r="JN2" s="420"/>
      <c r="JO2" s="420"/>
      <c r="JP2" s="420"/>
      <c r="JQ2" s="419" t="s">
        <v>23</v>
      </c>
      <c r="JR2" s="420"/>
      <c r="JS2" s="420"/>
      <c r="JT2" s="420"/>
      <c r="JU2" s="419" t="s">
        <v>23</v>
      </c>
      <c r="JV2" s="420"/>
      <c r="JW2" s="420"/>
      <c r="JX2" s="420"/>
      <c r="JY2" s="419" t="s">
        <v>23</v>
      </c>
      <c r="JZ2" s="420"/>
      <c r="KA2" s="420"/>
      <c r="KB2" s="420"/>
      <c r="KC2" s="419" t="s">
        <v>23</v>
      </c>
      <c r="KD2" s="420"/>
      <c r="KE2" s="420"/>
      <c r="KF2" s="420"/>
      <c r="KG2" s="419" t="s">
        <v>23</v>
      </c>
      <c r="KH2" s="420"/>
      <c r="KI2" s="420"/>
      <c r="KJ2" s="420"/>
      <c r="KK2" s="419" t="s">
        <v>23</v>
      </c>
      <c r="KL2" s="420"/>
      <c r="KM2" s="420"/>
      <c r="KN2" s="420"/>
      <c r="KO2" s="419" t="s">
        <v>23</v>
      </c>
      <c r="KP2" s="420"/>
      <c r="KQ2" s="420"/>
      <c r="KR2" s="420"/>
      <c r="KS2" s="419" t="s">
        <v>23</v>
      </c>
      <c r="KT2" s="420"/>
      <c r="KU2" s="420"/>
      <c r="KV2" s="420"/>
      <c r="KW2" s="419" t="s">
        <v>23</v>
      </c>
      <c r="KX2" s="420"/>
      <c r="KY2" s="420"/>
      <c r="KZ2" s="420"/>
      <c r="LA2" s="419" t="s">
        <v>23</v>
      </c>
      <c r="LB2" s="420"/>
      <c r="LC2" s="420"/>
      <c r="LD2" s="420"/>
      <c r="LE2" s="419" t="s">
        <v>23</v>
      </c>
      <c r="LF2" s="420"/>
      <c r="LG2" s="420"/>
      <c r="LH2" s="420"/>
      <c r="LI2" s="419" t="s">
        <v>23</v>
      </c>
      <c r="LJ2" s="420"/>
      <c r="LK2" s="420"/>
      <c r="LL2" s="420"/>
      <c r="LM2" s="419" t="s">
        <v>23</v>
      </c>
      <c r="LN2" s="420"/>
      <c r="LO2" s="420"/>
      <c r="LP2" s="420"/>
      <c r="LQ2" s="419" t="s">
        <v>23</v>
      </c>
      <c r="LR2" s="420"/>
      <c r="LS2" s="420"/>
      <c r="LT2" s="420"/>
      <c r="LU2" s="419" t="s">
        <v>23</v>
      </c>
      <c r="LV2" s="420"/>
      <c r="LW2" s="420"/>
      <c r="LX2" s="420"/>
      <c r="LY2" s="419" t="s">
        <v>23</v>
      </c>
      <c r="LZ2" s="420"/>
      <c r="MA2" s="420"/>
      <c r="MB2" s="420"/>
      <c r="MC2" s="419" t="s">
        <v>23</v>
      </c>
      <c r="MD2" s="420"/>
      <c r="ME2" s="420"/>
      <c r="MF2" s="420"/>
      <c r="MG2" s="419" t="s">
        <v>23</v>
      </c>
      <c r="MH2" s="420"/>
      <c r="MI2" s="420"/>
      <c r="MJ2" s="420"/>
      <c r="MK2" s="419" t="s">
        <v>23</v>
      </c>
      <c r="ML2" s="420"/>
      <c r="MM2" s="420"/>
      <c r="MN2" s="420"/>
      <c r="MO2" s="419" t="s">
        <v>23</v>
      </c>
      <c r="MP2" s="420"/>
      <c r="MQ2" s="420"/>
      <c r="MR2" s="420"/>
      <c r="MS2" s="419" t="s">
        <v>23</v>
      </c>
      <c r="MT2" s="420"/>
      <c r="MU2" s="420"/>
      <c r="MV2" s="420"/>
      <c r="MW2" s="419" t="s">
        <v>23</v>
      </c>
      <c r="MX2" s="420"/>
      <c r="MY2" s="420"/>
      <c r="MZ2" s="420"/>
      <c r="NA2" s="419" t="s">
        <v>23</v>
      </c>
      <c r="NB2" s="420"/>
      <c r="NC2" s="420"/>
      <c r="ND2" s="420"/>
      <c r="NE2" s="419" t="s">
        <v>23</v>
      </c>
      <c r="NF2" s="420"/>
      <c r="NG2" s="420"/>
      <c r="NH2" s="420"/>
      <c r="NI2" s="419" t="s">
        <v>23</v>
      </c>
      <c r="NJ2" s="420"/>
      <c r="NK2" s="420"/>
      <c r="NL2" s="420"/>
      <c r="NM2" s="419" t="s">
        <v>23</v>
      </c>
      <c r="NN2" s="420"/>
      <c r="NO2" s="420"/>
      <c r="NP2" s="420"/>
      <c r="NQ2" s="419" t="s">
        <v>23</v>
      </c>
      <c r="NR2" s="420"/>
      <c r="NS2" s="420"/>
      <c r="NT2" s="420"/>
      <c r="NU2" s="419" t="s">
        <v>23</v>
      </c>
      <c r="NV2" s="420"/>
      <c r="NW2" s="420"/>
      <c r="NX2" s="420"/>
      <c r="NY2" s="419" t="s">
        <v>23</v>
      </c>
      <c r="NZ2" s="420"/>
      <c r="OA2" s="420"/>
      <c r="OB2" s="420"/>
      <c r="OC2" s="419" t="s">
        <v>23</v>
      </c>
      <c r="OD2" s="420"/>
      <c r="OE2" s="420"/>
      <c r="OF2" s="420"/>
      <c r="OG2" s="419" t="s">
        <v>23</v>
      </c>
      <c r="OH2" s="420"/>
      <c r="OI2" s="420"/>
      <c r="OJ2" s="420"/>
      <c r="OK2" s="419" t="s">
        <v>23</v>
      </c>
      <c r="OL2" s="420"/>
      <c r="OM2" s="420"/>
      <c r="ON2" s="420"/>
      <c r="OO2" s="419" t="s">
        <v>23</v>
      </c>
      <c r="OP2" s="420"/>
      <c r="OQ2" s="420"/>
      <c r="OR2" s="420"/>
      <c r="OS2" s="419" t="s">
        <v>23</v>
      </c>
      <c r="OT2" s="420"/>
      <c r="OU2" s="420"/>
      <c r="OV2" s="420"/>
      <c r="OW2" s="419" t="s">
        <v>23</v>
      </c>
      <c r="OX2" s="420"/>
      <c r="OY2" s="420"/>
      <c r="OZ2" s="420"/>
      <c r="PA2" s="419" t="s">
        <v>23</v>
      </c>
      <c r="PB2" s="420"/>
      <c r="PC2" s="420"/>
      <c r="PD2" s="420"/>
      <c r="PE2" s="419" t="s">
        <v>23</v>
      </c>
      <c r="PF2" s="420"/>
      <c r="PG2" s="420"/>
      <c r="PH2" s="420"/>
      <c r="PI2" s="419" t="s">
        <v>23</v>
      </c>
      <c r="PJ2" s="420"/>
      <c r="PK2" s="420"/>
      <c r="PL2" s="420"/>
      <c r="PM2" s="419" t="s">
        <v>23</v>
      </c>
      <c r="PN2" s="420"/>
      <c r="PO2" s="420"/>
      <c r="PP2" s="420"/>
      <c r="PQ2" s="419" t="s">
        <v>23</v>
      </c>
      <c r="PR2" s="420"/>
      <c r="PS2" s="420"/>
      <c r="PT2" s="420"/>
      <c r="PU2" s="419" t="s">
        <v>23</v>
      </c>
      <c r="PV2" s="420"/>
      <c r="PW2" s="420"/>
      <c r="PX2" s="420"/>
      <c r="PY2" s="419" t="s">
        <v>23</v>
      </c>
      <c r="PZ2" s="420"/>
      <c r="QA2" s="420"/>
      <c r="QB2" s="420"/>
      <c r="QC2" s="419" t="s">
        <v>23</v>
      </c>
      <c r="QD2" s="420"/>
      <c r="QE2" s="420"/>
      <c r="QF2" s="420"/>
      <c r="QG2" s="419" t="s">
        <v>23</v>
      </c>
      <c r="QH2" s="420"/>
      <c r="QI2" s="420"/>
      <c r="QJ2" s="420"/>
      <c r="QK2" s="419" t="s">
        <v>23</v>
      </c>
      <c r="QL2" s="420"/>
      <c r="QM2" s="420"/>
      <c r="QN2" s="420"/>
      <c r="QO2" s="419" t="s">
        <v>23</v>
      </c>
      <c r="QP2" s="420"/>
      <c r="QQ2" s="420"/>
      <c r="QR2" s="420"/>
      <c r="QS2" s="419" t="s">
        <v>23</v>
      </c>
      <c r="QT2" s="420"/>
      <c r="QU2" s="420"/>
      <c r="QV2" s="420"/>
      <c r="QW2" s="419" t="s">
        <v>23</v>
      </c>
      <c r="QX2" s="420"/>
      <c r="QY2" s="420"/>
      <c r="QZ2" s="420"/>
      <c r="RA2" s="419" t="s">
        <v>23</v>
      </c>
      <c r="RB2" s="420"/>
      <c r="RC2" s="420"/>
      <c r="RD2" s="420"/>
      <c r="RE2" s="419" t="s">
        <v>23</v>
      </c>
      <c r="RF2" s="420"/>
      <c r="RG2" s="420"/>
      <c r="RH2" s="420"/>
      <c r="RI2" s="419" t="s">
        <v>23</v>
      </c>
      <c r="RJ2" s="420"/>
      <c r="RK2" s="420"/>
      <c r="RL2" s="420"/>
      <c r="RM2" s="419" t="s">
        <v>23</v>
      </c>
      <c r="RN2" s="420"/>
      <c r="RO2" s="420"/>
      <c r="RP2" s="420"/>
      <c r="RQ2" s="419" t="s">
        <v>23</v>
      </c>
      <c r="RR2" s="420"/>
      <c r="RS2" s="420"/>
      <c r="RT2" s="420"/>
      <c r="RU2" s="419" t="s">
        <v>23</v>
      </c>
      <c r="RV2" s="420"/>
      <c r="RW2" s="420"/>
      <c r="RX2" s="420"/>
      <c r="RY2" s="419" t="s">
        <v>23</v>
      </c>
      <c r="RZ2" s="420"/>
      <c r="SA2" s="420"/>
      <c r="SB2" s="420"/>
      <c r="SC2" s="419" t="s">
        <v>23</v>
      </c>
      <c r="SD2" s="420"/>
      <c r="SE2" s="420"/>
      <c r="SF2" s="420"/>
      <c r="SG2" s="419" t="s">
        <v>23</v>
      </c>
      <c r="SH2" s="420"/>
      <c r="SI2" s="420"/>
      <c r="SJ2" s="420"/>
      <c r="SK2" s="419" t="s">
        <v>23</v>
      </c>
      <c r="SL2" s="420"/>
      <c r="SM2" s="420"/>
      <c r="SN2" s="420"/>
      <c r="SO2" s="419" t="s">
        <v>23</v>
      </c>
      <c r="SP2" s="420"/>
      <c r="SQ2" s="420"/>
      <c r="SR2" s="420"/>
      <c r="SS2" s="419" t="s">
        <v>23</v>
      </c>
      <c r="ST2" s="420"/>
      <c r="SU2" s="420"/>
      <c r="SV2" s="420"/>
      <c r="SW2" s="419" t="s">
        <v>23</v>
      </c>
      <c r="SX2" s="420"/>
      <c r="SY2" s="420"/>
      <c r="SZ2" s="420"/>
      <c r="TA2" s="419" t="s">
        <v>23</v>
      </c>
      <c r="TB2" s="420"/>
      <c r="TC2" s="420"/>
      <c r="TD2" s="420"/>
      <c r="TE2" s="419" t="s">
        <v>23</v>
      </c>
      <c r="TF2" s="420"/>
      <c r="TG2" s="420"/>
      <c r="TH2" s="420"/>
      <c r="TI2" s="419" t="s">
        <v>23</v>
      </c>
      <c r="TJ2" s="420"/>
      <c r="TK2" s="420"/>
      <c r="TL2" s="420"/>
      <c r="TM2" s="419" t="s">
        <v>23</v>
      </c>
      <c r="TN2" s="420"/>
      <c r="TO2" s="420"/>
      <c r="TP2" s="420"/>
      <c r="TQ2" s="419" t="s">
        <v>23</v>
      </c>
      <c r="TR2" s="420"/>
      <c r="TS2" s="420"/>
      <c r="TT2" s="420"/>
      <c r="TU2" s="419" t="s">
        <v>23</v>
      </c>
      <c r="TV2" s="420"/>
      <c r="TW2" s="420"/>
      <c r="TX2" s="420"/>
      <c r="TY2" s="419" t="s">
        <v>23</v>
      </c>
      <c r="TZ2" s="420"/>
      <c r="UA2" s="420"/>
      <c r="UB2" s="420"/>
      <c r="UC2" s="419" t="s">
        <v>23</v>
      </c>
      <c r="UD2" s="420"/>
      <c r="UE2" s="420"/>
      <c r="UF2" s="420"/>
      <c r="UG2" s="419" t="s">
        <v>23</v>
      </c>
      <c r="UH2" s="420"/>
      <c r="UI2" s="420"/>
      <c r="UJ2" s="420"/>
      <c r="UK2" s="419" t="s">
        <v>23</v>
      </c>
      <c r="UL2" s="420"/>
      <c r="UM2" s="420"/>
      <c r="UN2" s="420"/>
      <c r="UO2" s="419" t="s">
        <v>23</v>
      </c>
      <c r="UP2" s="420"/>
      <c r="UQ2" s="420"/>
      <c r="UR2" s="420"/>
      <c r="US2" s="419" t="s">
        <v>23</v>
      </c>
      <c r="UT2" s="420"/>
      <c r="UU2" s="420"/>
      <c r="UV2" s="420"/>
      <c r="UW2" s="419" t="s">
        <v>23</v>
      </c>
      <c r="UX2" s="420"/>
      <c r="UY2" s="420"/>
      <c r="UZ2" s="420"/>
      <c r="VA2" s="419" t="s">
        <v>23</v>
      </c>
      <c r="VB2" s="420"/>
      <c r="VC2" s="420"/>
      <c r="VD2" s="420"/>
      <c r="VE2" s="419" t="s">
        <v>23</v>
      </c>
      <c r="VF2" s="420"/>
      <c r="VG2" s="420"/>
      <c r="VH2" s="420"/>
      <c r="VI2" s="419" t="s">
        <v>23</v>
      </c>
      <c r="VJ2" s="420"/>
      <c r="VK2" s="420"/>
      <c r="VL2" s="420"/>
      <c r="VM2" s="419" t="s">
        <v>23</v>
      </c>
      <c r="VN2" s="420"/>
      <c r="VO2" s="420"/>
      <c r="VP2" s="420"/>
      <c r="VQ2" s="419" t="s">
        <v>23</v>
      </c>
      <c r="VR2" s="420"/>
      <c r="VS2" s="420"/>
      <c r="VT2" s="420"/>
      <c r="VU2" s="419" t="s">
        <v>23</v>
      </c>
      <c r="VV2" s="420"/>
      <c r="VW2" s="420"/>
      <c r="VX2" s="420"/>
      <c r="VY2" s="419" t="s">
        <v>23</v>
      </c>
      <c r="VZ2" s="420"/>
      <c r="WA2" s="420"/>
      <c r="WB2" s="420"/>
      <c r="WC2" s="419" t="s">
        <v>23</v>
      </c>
      <c r="WD2" s="420"/>
      <c r="WE2" s="420"/>
      <c r="WF2" s="420"/>
      <c r="WG2" s="419" t="s">
        <v>23</v>
      </c>
      <c r="WH2" s="420"/>
      <c r="WI2" s="420"/>
      <c r="WJ2" s="420"/>
      <c r="WK2" s="419" t="s">
        <v>23</v>
      </c>
      <c r="WL2" s="420"/>
      <c r="WM2" s="420"/>
      <c r="WN2" s="420"/>
      <c r="WO2" s="419" t="s">
        <v>23</v>
      </c>
      <c r="WP2" s="420"/>
      <c r="WQ2" s="420"/>
      <c r="WR2" s="420"/>
      <c r="WS2" s="419" t="s">
        <v>23</v>
      </c>
      <c r="WT2" s="420"/>
      <c r="WU2" s="420"/>
      <c r="WV2" s="420"/>
      <c r="WW2" s="419" t="s">
        <v>23</v>
      </c>
      <c r="WX2" s="420"/>
      <c r="WY2" s="420"/>
      <c r="WZ2" s="420"/>
      <c r="XA2" s="419" t="s">
        <v>23</v>
      </c>
      <c r="XB2" s="420"/>
      <c r="XC2" s="420"/>
      <c r="XD2" s="420"/>
      <c r="XE2" s="419" t="s">
        <v>23</v>
      </c>
      <c r="XF2" s="420"/>
      <c r="XG2" s="420"/>
      <c r="XH2" s="420"/>
      <c r="XI2" s="419" t="s">
        <v>23</v>
      </c>
      <c r="XJ2" s="420"/>
      <c r="XK2" s="420"/>
      <c r="XL2" s="420"/>
      <c r="XM2" s="419" t="s">
        <v>23</v>
      </c>
      <c r="XN2" s="420"/>
      <c r="XO2" s="420"/>
      <c r="XP2" s="420"/>
      <c r="XQ2" s="419" t="s">
        <v>23</v>
      </c>
      <c r="XR2" s="420"/>
      <c r="XS2" s="420"/>
      <c r="XT2" s="420"/>
      <c r="XU2" s="419" t="s">
        <v>23</v>
      </c>
      <c r="XV2" s="420"/>
      <c r="XW2" s="420"/>
      <c r="XX2" s="420"/>
      <c r="XY2" s="419" t="s">
        <v>23</v>
      </c>
      <c r="XZ2" s="420"/>
      <c r="YA2" s="420"/>
      <c r="YB2" s="420"/>
      <c r="YC2" s="419" t="s">
        <v>23</v>
      </c>
      <c r="YD2" s="420"/>
      <c r="YE2" s="420"/>
      <c r="YF2" s="420"/>
      <c r="YG2" s="419" t="s">
        <v>23</v>
      </c>
      <c r="YH2" s="420"/>
      <c r="YI2" s="420"/>
      <c r="YJ2" s="420"/>
      <c r="YK2" s="419" t="s">
        <v>23</v>
      </c>
      <c r="YL2" s="420"/>
      <c r="YM2" s="420"/>
      <c r="YN2" s="420"/>
      <c r="YO2" s="419" t="s">
        <v>23</v>
      </c>
      <c r="YP2" s="420"/>
      <c r="YQ2" s="420"/>
      <c r="YR2" s="420"/>
      <c r="YS2" s="419" t="s">
        <v>23</v>
      </c>
      <c r="YT2" s="420"/>
      <c r="YU2" s="420"/>
      <c r="YV2" s="420"/>
      <c r="YW2" s="419" t="s">
        <v>23</v>
      </c>
      <c r="YX2" s="420"/>
      <c r="YY2" s="420"/>
      <c r="YZ2" s="420"/>
      <c r="ZA2" s="419" t="s">
        <v>23</v>
      </c>
      <c r="ZB2" s="420"/>
      <c r="ZC2" s="420"/>
      <c r="ZD2" s="420"/>
      <c r="ZE2" s="419" t="s">
        <v>23</v>
      </c>
      <c r="ZF2" s="420"/>
      <c r="ZG2" s="420"/>
      <c r="ZH2" s="420"/>
      <c r="ZI2" s="419" t="s">
        <v>23</v>
      </c>
      <c r="ZJ2" s="420"/>
      <c r="ZK2" s="420"/>
      <c r="ZL2" s="420"/>
      <c r="ZM2" s="419" t="s">
        <v>23</v>
      </c>
      <c r="ZN2" s="420"/>
      <c r="ZO2" s="420"/>
      <c r="ZP2" s="420"/>
      <c r="ZQ2" s="419" t="s">
        <v>23</v>
      </c>
      <c r="ZR2" s="420"/>
      <c r="ZS2" s="420"/>
      <c r="ZT2" s="420"/>
      <c r="ZU2" s="419" t="s">
        <v>23</v>
      </c>
      <c r="ZV2" s="420"/>
      <c r="ZW2" s="420"/>
      <c r="ZX2" s="420"/>
      <c r="ZY2" s="419" t="s">
        <v>23</v>
      </c>
      <c r="ZZ2" s="420"/>
      <c r="AAA2" s="420"/>
      <c r="AAB2" s="420"/>
      <c r="AAC2" s="419" t="s">
        <v>23</v>
      </c>
      <c r="AAD2" s="420"/>
      <c r="AAE2" s="420"/>
      <c r="AAF2" s="420"/>
      <c r="AAG2" s="419" t="s">
        <v>23</v>
      </c>
      <c r="AAH2" s="420"/>
      <c r="AAI2" s="420"/>
      <c r="AAJ2" s="420"/>
      <c r="AAK2" s="419" t="s">
        <v>23</v>
      </c>
      <c r="AAL2" s="420"/>
      <c r="AAM2" s="420"/>
      <c r="AAN2" s="420"/>
      <c r="AAO2" s="419" t="s">
        <v>23</v>
      </c>
      <c r="AAP2" s="420"/>
      <c r="AAQ2" s="420"/>
      <c r="AAR2" s="420"/>
      <c r="AAS2" s="419" t="s">
        <v>23</v>
      </c>
      <c r="AAT2" s="420"/>
      <c r="AAU2" s="420"/>
      <c r="AAV2" s="420"/>
      <c r="AAW2" s="419" t="s">
        <v>23</v>
      </c>
      <c r="AAX2" s="420"/>
      <c r="AAY2" s="420"/>
      <c r="AAZ2" s="420"/>
      <c r="ABA2" s="419" t="s">
        <v>23</v>
      </c>
      <c r="ABB2" s="420"/>
      <c r="ABC2" s="420"/>
      <c r="ABD2" s="420"/>
      <c r="ABE2" s="419" t="s">
        <v>23</v>
      </c>
      <c r="ABF2" s="420"/>
      <c r="ABG2" s="420"/>
      <c r="ABH2" s="420"/>
      <c r="ABI2" s="419" t="s">
        <v>23</v>
      </c>
      <c r="ABJ2" s="420"/>
      <c r="ABK2" s="420"/>
      <c r="ABL2" s="420"/>
      <c r="ABM2" s="419" t="s">
        <v>23</v>
      </c>
      <c r="ABN2" s="420"/>
      <c r="ABO2" s="420"/>
      <c r="ABP2" s="420"/>
      <c r="ABQ2" s="419" t="s">
        <v>23</v>
      </c>
      <c r="ABR2" s="420"/>
      <c r="ABS2" s="420"/>
      <c r="ABT2" s="420"/>
      <c r="ABU2" s="419" t="s">
        <v>23</v>
      </c>
      <c r="ABV2" s="420"/>
      <c r="ABW2" s="420"/>
      <c r="ABX2" s="420"/>
      <c r="ABY2" s="419" t="s">
        <v>23</v>
      </c>
      <c r="ABZ2" s="420"/>
      <c r="ACA2" s="420"/>
      <c r="ACB2" s="420"/>
      <c r="ACC2" s="419" t="s">
        <v>23</v>
      </c>
      <c r="ACD2" s="420"/>
      <c r="ACE2" s="420"/>
      <c r="ACF2" s="420"/>
      <c r="ACG2" s="419" t="s">
        <v>23</v>
      </c>
      <c r="ACH2" s="420"/>
      <c r="ACI2" s="420"/>
      <c r="ACJ2" s="420"/>
      <c r="ACK2" s="419" t="s">
        <v>23</v>
      </c>
      <c r="ACL2" s="420"/>
      <c r="ACM2" s="420"/>
      <c r="ACN2" s="420"/>
      <c r="ACO2" s="419" t="s">
        <v>23</v>
      </c>
      <c r="ACP2" s="420"/>
      <c r="ACQ2" s="420"/>
      <c r="ACR2" s="420"/>
      <c r="ACS2" s="419" t="s">
        <v>23</v>
      </c>
      <c r="ACT2" s="420"/>
      <c r="ACU2" s="420"/>
      <c r="ACV2" s="420"/>
      <c r="ACW2" s="419" t="s">
        <v>23</v>
      </c>
      <c r="ACX2" s="420"/>
      <c r="ACY2" s="420"/>
      <c r="ACZ2" s="420"/>
      <c r="ADA2" s="419" t="s">
        <v>23</v>
      </c>
      <c r="ADB2" s="420"/>
      <c r="ADC2" s="420"/>
      <c r="ADD2" s="420"/>
      <c r="ADE2" s="419" t="s">
        <v>23</v>
      </c>
      <c r="ADF2" s="420"/>
      <c r="ADG2" s="420"/>
      <c r="ADH2" s="420"/>
      <c r="ADI2" s="419" t="s">
        <v>23</v>
      </c>
      <c r="ADJ2" s="420"/>
      <c r="ADK2" s="420"/>
      <c r="ADL2" s="420"/>
      <c r="ADM2" s="419" t="s">
        <v>23</v>
      </c>
      <c r="ADN2" s="420"/>
      <c r="ADO2" s="420"/>
      <c r="ADP2" s="420"/>
      <c r="ADQ2" s="419" t="s">
        <v>23</v>
      </c>
      <c r="ADR2" s="420"/>
      <c r="ADS2" s="420"/>
      <c r="ADT2" s="420"/>
      <c r="ADU2" s="419" t="s">
        <v>23</v>
      </c>
      <c r="ADV2" s="420"/>
      <c r="ADW2" s="420"/>
      <c r="ADX2" s="420"/>
      <c r="ADY2" s="419" t="s">
        <v>23</v>
      </c>
      <c r="ADZ2" s="420"/>
      <c r="AEA2" s="420"/>
      <c r="AEB2" s="420"/>
      <c r="AEC2" s="419" t="s">
        <v>23</v>
      </c>
      <c r="AED2" s="420"/>
      <c r="AEE2" s="420"/>
      <c r="AEF2" s="420"/>
      <c r="AEG2" s="419" t="s">
        <v>23</v>
      </c>
      <c r="AEH2" s="420"/>
      <c r="AEI2" s="420"/>
      <c r="AEJ2" s="420"/>
      <c r="AEK2" s="419" t="s">
        <v>23</v>
      </c>
      <c r="AEL2" s="420"/>
      <c r="AEM2" s="420"/>
      <c r="AEN2" s="420"/>
      <c r="AEO2" s="419" t="s">
        <v>23</v>
      </c>
      <c r="AEP2" s="420"/>
      <c r="AEQ2" s="420"/>
      <c r="AER2" s="420"/>
      <c r="AES2" s="419" t="s">
        <v>23</v>
      </c>
      <c r="AET2" s="420"/>
      <c r="AEU2" s="420"/>
      <c r="AEV2" s="420"/>
      <c r="AEW2" s="419" t="s">
        <v>23</v>
      </c>
      <c r="AEX2" s="420"/>
      <c r="AEY2" s="420"/>
      <c r="AEZ2" s="420"/>
      <c r="AFA2" s="419" t="s">
        <v>23</v>
      </c>
      <c r="AFB2" s="420"/>
      <c r="AFC2" s="420"/>
      <c r="AFD2" s="420"/>
      <c r="AFE2" s="419" t="s">
        <v>23</v>
      </c>
      <c r="AFF2" s="420"/>
      <c r="AFG2" s="420"/>
      <c r="AFH2" s="420"/>
      <c r="AFI2" s="419" t="s">
        <v>23</v>
      </c>
      <c r="AFJ2" s="420"/>
      <c r="AFK2" s="420"/>
      <c r="AFL2" s="420"/>
      <c r="AFM2" s="419" t="s">
        <v>23</v>
      </c>
      <c r="AFN2" s="420"/>
      <c r="AFO2" s="420"/>
      <c r="AFP2" s="420"/>
      <c r="AFQ2" s="419" t="s">
        <v>23</v>
      </c>
      <c r="AFR2" s="420"/>
      <c r="AFS2" s="420"/>
      <c r="AFT2" s="420"/>
      <c r="AFU2" s="419" t="s">
        <v>23</v>
      </c>
      <c r="AFV2" s="420"/>
      <c r="AFW2" s="420"/>
      <c r="AFX2" s="420"/>
      <c r="AFY2" s="419" t="s">
        <v>23</v>
      </c>
      <c r="AFZ2" s="420"/>
      <c r="AGA2" s="420"/>
      <c r="AGB2" s="420"/>
      <c r="AGC2" s="419" t="s">
        <v>23</v>
      </c>
      <c r="AGD2" s="420"/>
      <c r="AGE2" s="420"/>
      <c r="AGF2" s="420"/>
      <c r="AGG2" s="419" t="s">
        <v>23</v>
      </c>
      <c r="AGH2" s="420"/>
      <c r="AGI2" s="420"/>
      <c r="AGJ2" s="420"/>
      <c r="AGK2" s="419" t="s">
        <v>23</v>
      </c>
      <c r="AGL2" s="420"/>
      <c r="AGM2" s="420"/>
      <c r="AGN2" s="420"/>
      <c r="AGO2" s="419" t="s">
        <v>23</v>
      </c>
      <c r="AGP2" s="420"/>
      <c r="AGQ2" s="420"/>
      <c r="AGR2" s="420"/>
      <c r="AGS2" s="419" t="s">
        <v>23</v>
      </c>
      <c r="AGT2" s="420"/>
      <c r="AGU2" s="420"/>
      <c r="AGV2" s="420"/>
      <c r="AGW2" s="419" t="s">
        <v>23</v>
      </c>
      <c r="AGX2" s="420"/>
      <c r="AGY2" s="420"/>
      <c r="AGZ2" s="420"/>
      <c r="AHA2" s="419" t="s">
        <v>23</v>
      </c>
      <c r="AHB2" s="420"/>
      <c r="AHC2" s="420"/>
      <c r="AHD2" s="420"/>
      <c r="AHE2" s="419" t="s">
        <v>23</v>
      </c>
      <c r="AHF2" s="420"/>
      <c r="AHG2" s="420"/>
      <c r="AHH2" s="420"/>
      <c r="AHI2" s="419" t="s">
        <v>23</v>
      </c>
      <c r="AHJ2" s="420"/>
      <c r="AHK2" s="420"/>
      <c r="AHL2" s="420"/>
      <c r="AHM2" s="419" t="s">
        <v>23</v>
      </c>
      <c r="AHN2" s="420"/>
      <c r="AHO2" s="420"/>
      <c r="AHP2" s="420"/>
      <c r="AHQ2" s="419" t="s">
        <v>23</v>
      </c>
      <c r="AHR2" s="420"/>
      <c r="AHS2" s="420"/>
      <c r="AHT2" s="420"/>
      <c r="AHU2" s="419" t="s">
        <v>23</v>
      </c>
      <c r="AHV2" s="420"/>
      <c r="AHW2" s="420"/>
      <c r="AHX2" s="420"/>
      <c r="AHY2" s="419" t="s">
        <v>23</v>
      </c>
      <c r="AHZ2" s="420"/>
      <c r="AIA2" s="420"/>
      <c r="AIB2" s="420"/>
      <c r="AIC2" s="419" t="s">
        <v>23</v>
      </c>
      <c r="AID2" s="420"/>
      <c r="AIE2" s="420"/>
      <c r="AIF2" s="420"/>
      <c r="AIG2" s="419" t="s">
        <v>23</v>
      </c>
      <c r="AIH2" s="420"/>
      <c r="AII2" s="420"/>
      <c r="AIJ2" s="420"/>
      <c r="AIK2" s="419" t="s">
        <v>23</v>
      </c>
      <c r="AIL2" s="420"/>
      <c r="AIM2" s="420"/>
      <c r="AIN2" s="420"/>
      <c r="AIO2" s="419" t="s">
        <v>23</v>
      </c>
      <c r="AIP2" s="420"/>
      <c r="AIQ2" s="420"/>
      <c r="AIR2" s="420"/>
      <c r="AIS2" s="419" t="s">
        <v>23</v>
      </c>
      <c r="AIT2" s="420"/>
      <c r="AIU2" s="420"/>
      <c r="AIV2" s="420"/>
      <c r="AIW2" s="419" t="s">
        <v>23</v>
      </c>
      <c r="AIX2" s="420"/>
      <c r="AIY2" s="420"/>
      <c r="AIZ2" s="420"/>
      <c r="AJA2" s="419" t="s">
        <v>23</v>
      </c>
      <c r="AJB2" s="420"/>
      <c r="AJC2" s="420"/>
      <c r="AJD2" s="420"/>
      <c r="AJE2" s="419" t="s">
        <v>23</v>
      </c>
      <c r="AJF2" s="420"/>
      <c r="AJG2" s="420"/>
      <c r="AJH2" s="420"/>
      <c r="AJI2" s="419" t="s">
        <v>23</v>
      </c>
      <c r="AJJ2" s="420"/>
      <c r="AJK2" s="420"/>
      <c r="AJL2" s="420"/>
      <c r="AJM2" s="419" t="s">
        <v>23</v>
      </c>
      <c r="AJN2" s="420"/>
      <c r="AJO2" s="420"/>
      <c r="AJP2" s="420"/>
      <c r="AJQ2" s="419" t="s">
        <v>23</v>
      </c>
      <c r="AJR2" s="420"/>
      <c r="AJS2" s="420"/>
      <c r="AJT2" s="420"/>
      <c r="AJU2" s="419" t="s">
        <v>23</v>
      </c>
      <c r="AJV2" s="420"/>
      <c r="AJW2" s="420"/>
      <c r="AJX2" s="420"/>
      <c r="AJY2" s="419" t="s">
        <v>23</v>
      </c>
      <c r="AJZ2" s="420"/>
      <c r="AKA2" s="420"/>
      <c r="AKB2" s="420"/>
      <c r="AKC2" s="419" t="s">
        <v>23</v>
      </c>
      <c r="AKD2" s="420"/>
      <c r="AKE2" s="420"/>
      <c r="AKF2" s="420"/>
      <c r="AKG2" s="419" t="s">
        <v>23</v>
      </c>
      <c r="AKH2" s="420"/>
      <c r="AKI2" s="420"/>
      <c r="AKJ2" s="420"/>
      <c r="AKK2" s="419" t="s">
        <v>23</v>
      </c>
      <c r="AKL2" s="420"/>
      <c r="AKM2" s="420"/>
      <c r="AKN2" s="420"/>
      <c r="AKO2" s="419" t="s">
        <v>23</v>
      </c>
      <c r="AKP2" s="420"/>
      <c r="AKQ2" s="420"/>
      <c r="AKR2" s="420"/>
      <c r="AKS2" s="419" t="s">
        <v>23</v>
      </c>
      <c r="AKT2" s="420"/>
      <c r="AKU2" s="420"/>
      <c r="AKV2" s="420"/>
      <c r="AKW2" s="419" t="s">
        <v>23</v>
      </c>
      <c r="AKX2" s="420"/>
      <c r="AKY2" s="420"/>
      <c r="AKZ2" s="420"/>
      <c r="ALA2" s="419" t="s">
        <v>23</v>
      </c>
      <c r="ALB2" s="420"/>
      <c r="ALC2" s="420"/>
      <c r="ALD2" s="420"/>
      <c r="ALE2" s="419" t="s">
        <v>23</v>
      </c>
      <c r="ALF2" s="420"/>
      <c r="ALG2" s="420"/>
      <c r="ALH2" s="420"/>
      <c r="ALI2" s="419" t="s">
        <v>23</v>
      </c>
      <c r="ALJ2" s="420"/>
      <c r="ALK2" s="420"/>
      <c r="ALL2" s="420"/>
      <c r="ALM2" s="419" t="s">
        <v>23</v>
      </c>
      <c r="ALN2" s="420"/>
      <c r="ALO2" s="420"/>
      <c r="ALP2" s="420"/>
      <c r="ALQ2" s="419" t="s">
        <v>23</v>
      </c>
      <c r="ALR2" s="420"/>
      <c r="ALS2" s="420"/>
      <c r="ALT2" s="420"/>
      <c r="ALU2" s="419" t="s">
        <v>23</v>
      </c>
      <c r="ALV2" s="420"/>
      <c r="ALW2" s="420"/>
      <c r="ALX2" s="420"/>
      <c r="ALY2" s="419" t="s">
        <v>23</v>
      </c>
      <c r="ALZ2" s="420"/>
      <c r="AMA2" s="420"/>
      <c r="AMB2" s="420"/>
      <c r="AMC2" s="419" t="s">
        <v>23</v>
      </c>
      <c r="AMD2" s="420"/>
      <c r="AME2" s="420"/>
      <c r="AMF2" s="420"/>
      <c r="AMG2" s="419" t="s">
        <v>23</v>
      </c>
      <c r="AMH2" s="420"/>
      <c r="AMI2" s="420"/>
      <c r="AMJ2" s="420"/>
      <c r="AMK2" s="419" t="s">
        <v>23</v>
      </c>
      <c r="AML2" s="420"/>
      <c r="AMM2" s="420"/>
      <c r="AMN2" s="420"/>
      <c r="AMO2" s="419" t="s">
        <v>23</v>
      </c>
      <c r="AMP2" s="420"/>
      <c r="AMQ2" s="420"/>
      <c r="AMR2" s="420"/>
      <c r="AMS2" s="419" t="s">
        <v>23</v>
      </c>
      <c r="AMT2" s="420"/>
      <c r="AMU2" s="420"/>
      <c r="AMV2" s="420"/>
      <c r="AMW2" s="419" t="s">
        <v>23</v>
      </c>
      <c r="AMX2" s="420"/>
      <c r="AMY2" s="420"/>
      <c r="AMZ2" s="420"/>
      <c r="ANA2" s="419" t="s">
        <v>23</v>
      </c>
      <c r="ANB2" s="420"/>
      <c r="ANC2" s="420"/>
      <c r="AND2" s="420"/>
      <c r="ANE2" s="419" t="s">
        <v>23</v>
      </c>
      <c r="ANF2" s="420"/>
      <c r="ANG2" s="420"/>
      <c r="ANH2" s="420"/>
      <c r="ANI2" s="419" t="s">
        <v>23</v>
      </c>
      <c r="ANJ2" s="420"/>
      <c r="ANK2" s="420"/>
      <c r="ANL2" s="420"/>
      <c r="ANM2" s="419" t="s">
        <v>23</v>
      </c>
      <c r="ANN2" s="420"/>
      <c r="ANO2" s="420"/>
      <c r="ANP2" s="420"/>
      <c r="ANQ2" s="419" t="s">
        <v>23</v>
      </c>
      <c r="ANR2" s="420"/>
      <c r="ANS2" s="420"/>
      <c r="ANT2" s="420"/>
      <c r="ANU2" s="419" t="s">
        <v>23</v>
      </c>
      <c r="ANV2" s="420"/>
      <c r="ANW2" s="420"/>
      <c r="ANX2" s="420"/>
      <c r="ANY2" s="419" t="s">
        <v>23</v>
      </c>
      <c r="ANZ2" s="420"/>
      <c r="AOA2" s="420"/>
      <c r="AOB2" s="420"/>
      <c r="AOC2" s="419" t="s">
        <v>23</v>
      </c>
      <c r="AOD2" s="420"/>
      <c r="AOE2" s="420"/>
      <c r="AOF2" s="420"/>
      <c r="AOG2" s="419" t="s">
        <v>23</v>
      </c>
      <c r="AOH2" s="420"/>
      <c r="AOI2" s="420"/>
      <c r="AOJ2" s="420"/>
      <c r="AOK2" s="419" t="s">
        <v>23</v>
      </c>
      <c r="AOL2" s="420"/>
      <c r="AOM2" s="420"/>
      <c r="AON2" s="420"/>
      <c r="AOO2" s="419" t="s">
        <v>23</v>
      </c>
      <c r="AOP2" s="420"/>
      <c r="AOQ2" s="420"/>
      <c r="AOR2" s="420"/>
      <c r="AOS2" s="419" t="s">
        <v>23</v>
      </c>
      <c r="AOT2" s="420"/>
      <c r="AOU2" s="420"/>
      <c r="AOV2" s="420"/>
      <c r="AOW2" s="419" t="s">
        <v>23</v>
      </c>
      <c r="AOX2" s="420"/>
      <c r="AOY2" s="420"/>
      <c r="AOZ2" s="420"/>
      <c r="APA2" s="419" t="s">
        <v>23</v>
      </c>
      <c r="APB2" s="420"/>
      <c r="APC2" s="420"/>
      <c r="APD2" s="420"/>
      <c r="APE2" s="419" t="s">
        <v>23</v>
      </c>
      <c r="APF2" s="420"/>
      <c r="APG2" s="420"/>
      <c r="APH2" s="420"/>
      <c r="API2" s="419" t="s">
        <v>23</v>
      </c>
      <c r="APJ2" s="420"/>
      <c r="APK2" s="420"/>
      <c r="APL2" s="420"/>
      <c r="APM2" s="419" t="s">
        <v>23</v>
      </c>
      <c r="APN2" s="420"/>
      <c r="APO2" s="420"/>
      <c r="APP2" s="420"/>
      <c r="APQ2" s="419" t="s">
        <v>23</v>
      </c>
      <c r="APR2" s="420"/>
      <c r="APS2" s="420"/>
      <c r="APT2" s="420"/>
      <c r="APU2" s="419" t="s">
        <v>23</v>
      </c>
      <c r="APV2" s="420"/>
      <c r="APW2" s="420"/>
      <c r="APX2" s="420"/>
      <c r="APY2" s="419" t="s">
        <v>23</v>
      </c>
      <c r="APZ2" s="420"/>
      <c r="AQA2" s="420"/>
      <c r="AQB2" s="420"/>
      <c r="AQC2" s="419" t="s">
        <v>23</v>
      </c>
      <c r="AQD2" s="420"/>
      <c r="AQE2" s="420"/>
      <c r="AQF2" s="420"/>
      <c r="AQG2" s="419" t="s">
        <v>23</v>
      </c>
      <c r="AQH2" s="420"/>
      <c r="AQI2" s="420"/>
      <c r="AQJ2" s="420"/>
      <c r="AQK2" s="419" t="s">
        <v>23</v>
      </c>
      <c r="AQL2" s="420"/>
      <c r="AQM2" s="420"/>
      <c r="AQN2" s="420"/>
      <c r="AQO2" s="419" t="s">
        <v>23</v>
      </c>
      <c r="AQP2" s="420"/>
      <c r="AQQ2" s="420"/>
      <c r="AQR2" s="420"/>
      <c r="AQS2" s="419" t="s">
        <v>23</v>
      </c>
      <c r="AQT2" s="420"/>
      <c r="AQU2" s="420"/>
      <c r="AQV2" s="420"/>
      <c r="AQW2" s="419" t="s">
        <v>23</v>
      </c>
      <c r="AQX2" s="420"/>
      <c r="AQY2" s="420"/>
      <c r="AQZ2" s="420"/>
      <c r="ARA2" s="419" t="s">
        <v>23</v>
      </c>
      <c r="ARB2" s="420"/>
      <c r="ARC2" s="420"/>
      <c r="ARD2" s="420"/>
      <c r="ARE2" s="419" t="s">
        <v>23</v>
      </c>
      <c r="ARF2" s="420"/>
      <c r="ARG2" s="420"/>
      <c r="ARH2" s="420"/>
      <c r="ARI2" s="419" t="s">
        <v>23</v>
      </c>
      <c r="ARJ2" s="420"/>
      <c r="ARK2" s="420"/>
      <c r="ARL2" s="420"/>
      <c r="ARM2" s="419" t="s">
        <v>23</v>
      </c>
      <c r="ARN2" s="420"/>
      <c r="ARO2" s="420"/>
      <c r="ARP2" s="420"/>
      <c r="ARQ2" s="419" t="s">
        <v>23</v>
      </c>
      <c r="ARR2" s="420"/>
      <c r="ARS2" s="420"/>
      <c r="ART2" s="420"/>
      <c r="ARU2" s="419" t="s">
        <v>23</v>
      </c>
      <c r="ARV2" s="420"/>
      <c r="ARW2" s="420"/>
      <c r="ARX2" s="420"/>
      <c r="ARY2" s="419" t="s">
        <v>23</v>
      </c>
      <c r="ARZ2" s="420"/>
      <c r="ASA2" s="420"/>
      <c r="ASB2" s="420"/>
      <c r="ASC2" s="419" t="s">
        <v>23</v>
      </c>
      <c r="ASD2" s="420"/>
      <c r="ASE2" s="420"/>
      <c r="ASF2" s="420"/>
      <c r="ASG2" s="419" t="s">
        <v>23</v>
      </c>
      <c r="ASH2" s="420"/>
      <c r="ASI2" s="420"/>
      <c r="ASJ2" s="420"/>
      <c r="ASK2" s="419" t="s">
        <v>23</v>
      </c>
      <c r="ASL2" s="420"/>
      <c r="ASM2" s="420"/>
      <c r="ASN2" s="420"/>
      <c r="ASO2" s="419" t="s">
        <v>23</v>
      </c>
      <c r="ASP2" s="420"/>
      <c r="ASQ2" s="420"/>
      <c r="ASR2" s="420"/>
      <c r="ASS2" s="419" t="s">
        <v>23</v>
      </c>
      <c r="AST2" s="420"/>
      <c r="ASU2" s="420"/>
      <c r="ASV2" s="420"/>
      <c r="ASW2" s="419" t="s">
        <v>23</v>
      </c>
      <c r="ASX2" s="420"/>
      <c r="ASY2" s="420"/>
      <c r="ASZ2" s="420"/>
      <c r="ATA2" s="419" t="s">
        <v>23</v>
      </c>
      <c r="ATB2" s="420"/>
      <c r="ATC2" s="420"/>
      <c r="ATD2" s="420"/>
      <c r="ATE2" s="419" t="s">
        <v>23</v>
      </c>
      <c r="ATF2" s="420"/>
      <c r="ATG2" s="420"/>
      <c r="ATH2" s="420"/>
      <c r="ATI2" s="419" t="s">
        <v>23</v>
      </c>
      <c r="ATJ2" s="420"/>
      <c r="ATK2" s="420"/>
      <c r="ATL2" s="420"/>
      <c r="ATM2" s="419" t="s">
        <v>23</v>
      </c>
      <c r="ATN2" s="420"/>
      <c r="ATO2" s="420"/>
      <c r="ATP2" s="420"/>
      <c r="ATQ2" s="419" t="s">
        <v>23</v>
      </c>
      <c r="ATR2" s="420"/>
      <c r="ATS2" s="420"/>
      <c r="ATT2" s="420"/>
      <c r="ATU2" s="419" t="s">
        <v>23</v>
      </c>
      <c r="ATV2" s="420"/>
      <c r="ATW2" s="420"/>
      <c r="ATX2" s="420"/>
      <c r="ATY2" s="419" t="s">
        <v>23</v>
      </c>
      <c r="ATZ2" s="420"/>
      <c r="AUA2" s="420"/>
      <c r="AUB2" s="420"/>
      <c r="AUC2" s="419" t="s">
        <v>23</v>
      </c>
      <c r="AUD2" s="420"/>
      <c r="AUE2" s="420"/>
      <c r="AUF2" s="420"/>
      <c r="AUG2" s="419" t="s">
        <v>23</v>
      </c>
      <c r="AUH2" s="420"/>
      <c r="AUI2" s="420"/>
      <c r="AUJ2" s="420"/>
      <c r="AUK2" s="419" t="s">
        <v>23</v>
      </c>
      <c r="AUL2" s="420"/>
      <c r="AUM2" s="420"/>
      <c r="AUN2" s="420"/>
      <c r="AUO2" s="419" t="s">
        <v>23</v>
      </c>
      <c r="AUP2" s="420"/>
      <c r="AUQ2" s="420"/>
      <c r="AUR2" s="420"/>
      <c r="AUS2" s="419" t="s">
        <v>23</v>
      </c>
      <c r="AUT2" s="420"/>
      <c r="AUU2" s="420"/>
      <c r="AUV2" s="420"/>
      <c r="AUW2" s="419" t="s">
        <v>23</v>
      </c>
      <c r="AUX2" s="420"/>
      <c r="AUY2" s="420"/>
      <c r="AUZ2" s="420"/>
      <c r="AVA2" s="419" t="s">
        <v>23</v>
      </c>
      <c r="AVB2" s="420"/>
      <c r="AVC2" s="420"/>
      <c r="AVD2" s="420"/>
      <c r="AVE2" s="419" t="s">
        <v>23</v>
      </c>
      <c r="AVF2" s="420"/>
      <c r="AVG2" s="420"/>
      <c r="AVH2" s="420"/>
      <c r="AVI2" s="419" t="s">
        <v>23</v>
      </c>
      <c r="AVJ2" s="420"/>
      <c r="AVK2" s="420"/>
      <c r="AVL2" s="420"/>
      <c r="AVM2" s="419" t="s">
        <v>23</v>
      </c>
      <c r="AVN2" s="420"/>
      <c r="AVO2" s="420"/>
      <c r="AVP2" s="420"/>
      <c r="AVQ2" s="419" t="s">
        <v>23</v>
      </c>
      <c r="AVR2" s="420"/>
      <c r="AVS2" s="420"/>
      <c r="AVT2" s="420"/>
      <c r="AVU2" s="419" t="s">
        <v>23</v>
      </c>
      <c r="AVV2" s="420"/>
      <c r="AVW2" s="420"/>
      <c r="AVX2" s="420"/>
      <c r="AVY2" s="419" t="s">
        <v>23</v>
      </c>
      <c r="AVZ2" s="420"/>
      <c r="AWA2" s="420"/>
      <c r="AWB2" s="420"/>
      <c r="AWC2" s="419" t="s">
        <v>23</v>
      </c>
      <c r="AWD2" s="420"/>
      <c r="AWE2" s="420"/>
      <c r="AWF2" s="420"/>
      <c r="AWG2" s="419" t="s">
        <v>23</v>
      </c>
      <c r="AWH2" s="420"/>
      <c r="AWI2" s="420"/>
      <c r="AWJ2" s="420"/>
      <c r="AWK2" s="419" t="s">
        <v>23</v>
      </c>
      <c r="AWL2" s="420"/>
      <c r="AWM2" s="420"/>
      <c r="AWN2" s="420"/>
      <c r="AWO2" s="419" t="s">
        <v>23</v>
      </c>
      <c r="AWP2" s="420"/>
      <c r="AWQ2" s="420"/>
      <c r="AWR2" s="420"/>
      <c r="AWS2" s="419" t="s">
        <v>23</v>
      </c>
      <c r="AWT2" s="420"/>
      <c r="AWU2" s="420"/>
      <c r="AWV2" s="420"/>
      <c r="AWW2" s="419" t="s">
        <v>23</v>
      </c>
      <c r="AWX2" s="420"/>
      <c r="AWY2" s="420"/>
      <c r="AWZ2" s="420"/>
      <c r="AXA2" s="419" t="s">
        <v>23</v>
      </c>
      <c r="AXB2" s="420"/>
      <c r="AXC2" s="420"/>
      <c r="AXD2" s="420"/>
      <c r="AXE2" s="419" t="s">
        <v>23</v>
      </c>
      <c r="AXF2" s="420"/>
      <c r="AXG2" s="420"/>
      <c r="AXH2" s="420"/>
      <c r="AXI2" s="419" t="s">
        <v>23</v>
      </c>
      <c r="AXJ2" s="420"/>
      <c r="AXK2" s="420"/>
      <c r="AXL2" s="420"/>
      <c r="AXM2" s="419" t="s">
        <v>23</v>
      </c>
      <c r="AXN2" s="420"/>
      <c r="AXO2" s="420"/>
      <c r="AXP2" s="420"/>
      <c r="AXQ2" s="419" t="s">
        <v>23</v>
      </c>
      <c r="AXR2" s="420"/>
      <c r="AXS2" s="420"/>
      <c r="AXT2" s="420"/>
      <c r="AXU2" s="419" t="s">
        <v>23</v>
      </c>
      <c r="AXV2" s="420"/>
      <c r="AXW2" s="420"/>
      <c r="AXX2" s="420"/>
      <c r="AXY2" s="419" t="s">
        <v>23</v>
      </c>
      <c r="AXZ2" s="420"/>
      <c r="AYA2" s="420"/>
      <c r="AYB2" s="420"/>
      <c r="AYC2" s="419" t="s">
        <v>23</v>
      </c>
      <c r="AYD2" s="420"/>
      <c r="AYE2" s="420"/>
      <c r="AYF2" s="420"/>
      <c r="AYG2" s="419" t="s">
        <v>23</v>
      </c>
      <c r="AYH2" s="420"/>
      <c r="AYI2" s="420"/>
      <c r="AYJ2" s="420"/>
      <c r="AYK2" s="419" t="s">
        <v>23</v>
      </c>
      <c r="AYL2" s="420"/>
      <c r="AYM2" s="420"/>
      <c r="AYN2" s="420"/>
      <c r="AYO2" s="419" t="s">
        <v>23</v>
      </c>
      <c r="AYP2" s="420"/>
      <c r="AYQ2" s="420"/>
      <c r="AYR2" s="420"/>
      <c r="AYS2" s="419" t="s">
        <v>23</v>
      </c>
      <c r="AYT2" s="420"/>
      <c r="AYU2" s="420"/>
      <c r="AYV2" s="420"/>
      <c r="AYW2" s="419" t="s">
        <v>23</v>
      </c>
      <c r="AYX2" s="420"/>
      <c r="AYY2" s="420"/>
      <c r="AYZ2" s="420"/>
      <c r="AZA2" s="419" t="s">
        <v>23</v>
      </c>
      <c r="AZB2" s="420"/>
      <c r="AZC2" s="420"/>
      <c r="AZD2" s="420"/>
      <c r="AZE2" s="419" t="s">
        <v>23</v>
      </c>
      <c r="AZF2" s="420"/>
      <c r="AZG2" s="420"/>
      <c r="AZH2" s="420"/>
      <c r="AZI2" s="419" t="s">
        <v>23</v>
      </c>
      <c r="AZJ2" s="420"/>
      <c r="AZK2" s="420"/>
      <c r="AZL2" s="420"/>
      <c r="AZM2" s="419" t="s">
        <v>23</v>
      </c>
      <c r="AZN2" s="420"/>
      <c r="AZO2" s="420"/>
      <c r="AZP2" s="420"/>
      <c r="AZQ2" s="419" t="s">
        <v>23</v>
      </c>
      <c r="AZR2" s="420"/>
      <c r="AZS2" s="420"/>
      <c r="AZT2" s="420"/>
      <c r="AZU2" s="419" t="s">
        <v>23</v>
      </c>
      <c r="AZV2" s="420"/>
      <c r="AZW2" s="420"/>
      <c r="AZX2" s="420"/>
      <c r="AZY2" s="419" t="s">
        <v>23</v>
      </c>
      <c r="AZZ2" s="420"/>
      <c r="BAA2" s="420"/>
      <c r="BAB2" s="420"/>
      <c r="BAC2" s="419" t="s">
        <v>23</v>
      </c>
      <c r="BAD2" s="420"/>
      <c r="BAE2" s="420"/>
      <c r="BAF2" s="420"/>
      <c r="BAG2" s="419" t="s">
        <v>23</v>
      </c>
      <c r="BAH2" s="420"/>
      <c r="BAI2" s="420"/>
      <c r="BAJ2" s="420"/>
      <c r="BAK2" s="419" t="s">
        <v>23</v>
      </c>
      <c r="BAL2" s="420"/>
      <c r="BAM2" s="420"/>
      <c r="BAN2" s="420"/>
      <c r="BAO2" s="419" t="s">
        <v>23</v>
      </c>
      <c r="BAP2" s="420"/>
      <c r="BAQ2" s="420"/>
      <c r="BAR2" s="420"/>
      <c r="BAS2" s="419" t="s">
        <v>23</v>
      </c>
      <c r="BAT2" s="420"/>
      <c r="BAU2" s="420"/>
      <c r="BAV2" s="420"/>
      <c r="BAW2" s="419" t="s">
        <v>23</v>
      </c>
      <c r="BAX2" s="420"/>
      <c r="BAY2" s="420"/>
      <c r="BAZ2" s="420"/>
      <c r="BBA2" s="419" t="s">
        <v>23</v>
      </c>
      <c r="BBB2" s="420"/>
      <c r="BBC2" s="420"/>
      <c r="BBD2" s="420"/>
      <c r="BBE2" s="419" t="s">
        <v>23</v>
      </c>
      <c r="BBF2" s="420"/>
      <c r="BBG2" s="420"/>
      <c r="BBH2" s="420"/>
      <c r="BBI2" s="419" t="s">
        <v>23</v>
      </c>
      <c r="BBJ2" s="420"/>
      <c r="BBK2" s="420"/>
      <c r="BBL2" s="420"/>
      <c r="BBM2" s="419" t="s">
        <v>23</v>
      </c>
      <c r="BBN2" s="420"/>
      <c r="BBO2" s="420"/>
      <c r="BBP2" s="420"/>
      <c r="BBQ2" s="419" t="s">
        <v>23</v>
      </c>
      <c r="BBR2" s="420"/>
      <c r="BBS2" s="420"/>
      <c r="BBT2" s="420"/>
      <c r="BBU2" s="419" t="s">
        <v>23</v>
      </c>
      <c r="BBV2" s="420"/>
      <c r="BBW2" s="420"/>
      <c r="BBX2" s="420"/>
      <c r="BBY2" s="419" t="s">
        <v>23</v>
      </c>
      <c r="BBZ2" s="420"/>
      <c r="BCA2" s="420"/>
      <c r="BCB2" s="420"/>
      <c r="BCC2" s="419" t="s">
        <v>23</v>
      </c>
      <c r="BCD2" s="420"/>
      <c r="BCE2" s="420"/>
      <c r="BCF2" s="420"/>
      <c r="BCG2" s="419" t="s">
        <v>23</v>
      </c>
      <c r="BCH2" s="420"/>
      <c r="BCI2" s="420"/>
      <c r="BCJ2" s="420"/>
      <c r="BCK2" s="419" t="s">
        <v>23</v>
      </c>
      <c r="BCL2" s="420"/>
      <c r="BCM2" s="420"/>
      <c r="BCN2" s="420"/>
      <c r="BCO2" s="419" t="s">
        <v>23</v>
      </c>
      <c r="BCP2" s="420"/>
      <c r="BCQ2" s="420"/>
      <c r="BCR2" s="420"/>
      <c r="BCS2" s="419" t="s">
        <v>23</v>
      </c>
      <c r="BCT2" s="420"/>
      <c r="BCU2" s="420"/>
      <c r="BCV2" s="420"/>
      <c r="BCW2" s="419" t="s">
        <v>23</v>
      </c>
      <c r="BCX2" s="420"/>
      <c r="BCY2" s="420"/>
      <c r="BCZ2" s="420"/>
      <c r="BDA2" s="419" t="s">
        <v>23</v>
      </c>
      <c r="BDB2" s="420"/>
      <c r="BDC2" s="420"/>
      <c r="BDD2" s="420"/>
      <c r="BDE2" s="419" t="s">
        <v>23</v>
      </c>
      <c r="BDF2" s="420"/>
      <c r="BDG2" s="420"/>
      <c r="BDH2" s="420"/>
      <c r="BDI2" s="419" t="s">
        <v>23</v>
      </c>
      <c r="BDJ2" s="420"/>
      <c r="BDK2" s="420"/>
      <c r="BDL2" s="420"/>
      <c r="BDM2" s="419" t="s">
        <v>23</v>
      </c>
      <c r="BDN2" s="420"/>
      <c r="BDO2" s="420"/>
      <c r="BDP2" s="420"/>
      <c r="BDQ2" s="419" t="s">
        <v>23</v>
      </c>
      <c r="BDR2" s="420"/>
      <c r="BDS2" s="420"/>
      <c r="BDT2" s="420"/>
      <c r="BDU2" s="419" t="s">
        <v>23</v>
      </c>
      <c r="BDV2" s="420"/>
      <c r="BDW2" s="420"/>
      <c r="BDX2" s="420"/>
      <c r="BDY2" s="419" t="s">
        <v>23</v>
      </c>
      <c r="BDZ2" s="420"/>
      <c r="BEA2" s="420"/>
      <c r="BEB2" s="420"/>
      <c r="BEC2" s="419" t="s">
        <v>23</v>
      </c>
      <c r="BED2" s="420"/>
      <c r="BEE2" s="420"/>
      <c r="BEF2" s="420"/>
      <c r="BEG2" s="419" t="s">
        <v>23</v>
      </c>
      <c r="BEH2" s="420"/>
      <c r="BEI2" s="420"/>
      <c r="BEJ2" s="420"/>
      <c r="BEK2" s="419" t="s">
        <v>23</v>
      </c>
      <c r="BEL2" s="420"/>
      <c r="BEM2" s="420"/>
      <c r="BEN2" s="420"/>
      <c r="BEO2" s="419" t="s">
        <v>23</v>
      </c>
      <c r="BEP2" s="420"/>
      <c r="BEQ2" s="420"/>
      <c r="BER2" s="420"/>
      <c r="BES2" s="419" t="s">
        <v>23</v>
      </c>
      <c r="BET2" s="420"/>
      <c r="BEU2" s="420"/>
      <c r="BEV2" s="420"/>
      <c r="BEW2" s="419" t="s">
        <v>23</v>
      </c>
      <c r="BEX2" s="420"/>
      <c r="BEY2" s="420"/>
      <c r="BEZ2" s="420"/>
      <c r="BFA2" s="419" t="s">
        <v>23</v>
      </c>
      <c r="BFB2" s="420"/>
      <c r="BFC2" s="420"/>
      <c r="BFD2" s="420"/>
      <c r="BFE2" s="419" t="s">
        <v>23</v>
      </c>
      <c r="BFF2" s="420"/>
      <c r="BFG2" s="420"/>
      <c r="BFH2" s="420"/>
      <c r="BFI2" s="419" t="s">
        <v>23</v>
      </c>
      <c r="BFJ2" s="420"/>
      <c r="BFK2" s="420"/>
      <c r="BFL2" s="420"/>
      <c r="BFM2" s="419" t="s">
        <v>23</v>
      </c>
      <c r="BFN2" s="420"/>
      <c r="BFO2" s="420"/>
      <c r="BFP2" s="420"/>
      <c r="BFQ2" s="419" t="s">
        <v>23</v>
      </c>
      <c r="BFR2" s="420"/>
      <c r="BFS2" s="420"/>
      <c r="BFT2" s="420"/>
      <c r="BFU2" s="419" t="s">
        <v>23</v>
      </c>
      <c r="BFV2" s="420"/>
      <c r="BFW2" s="420"/>
      <c r="BFX2" s="420"/>
      <c r="BFY2" s="419" t="s">
        <v>23</v>
      </c>
      <c r="BFZ2" s="420"/>
      <c r="BGA2" s="420"/>
      <c r="BGB2" s="420"/>
      <c r="BGC2" s="419" t="s">
        <v>23</v>
      </c>
      <c r="BGD2" s="420"/>
      <c r="BGE2" s="420"/>
      <c r="BGF2" s="420"/>
      <c r="BGG2" s="419" t="s">
        <v>23</v>
      </c>
      <c r="BGH2" s="420"/>
      <c r="BGI2" s="420"/>
      <c r="BGJ2" s="420"/>
      <c r="BGK2" s="419" t="s">
        <v>23</v>
      </c>
      <c r="BGL2" s="420"/>
      <c r="BGM2" s="420"/>
      <c r="BGN2" s="420"/>
      <c r="BGO2" s="419" t="s">
        <v>23</v>
      </c>
      <c r="BGP2" s="420"/>
      <c r="BGQ2" s="420"/>
      <c r="BGR2" s="420"/>
      <c r="BGS2" s="419" t="s">
        <v>23</v>
      </c>
      <c r="BGT2" s="420"/>
      <c r="BGU2" s="420"/>
      <c r="BGV2" s="420"/>
      <c r="BGW2" s="419" t="s">
        <v>23</v>
      </c>
      <c r="BGX2" s="420"/>
      <c r="BGY2" s="420"/>
      <c r="BGZ2" s="420"/>
      <c r="BHA2" s="419" t="s">
        <v>23</v>
      </c>
      <c r="BHB2" s="420"/>
      <c r="BHC2" s="420"/>
      <c r="BHD2" s="420"/>
      <c r="BHE2" s="419" t="s">
        <v>23</v>
      </c>
      <c r="BHF2" s="420"/>
      <c r="BHG2" s="420"/>
      <c r="BHH2" s="420"/>
      <c r="BHI2" s="419" t="s">
        <v>23</v>
      </c>
      <c r="BHJ2" s="420"/>
      <c r="BHK2" s="420"/>
      <c r="BHL2" s="420"/>
      <c r="BHM2" s="419" t="s">
        <v>23</v>
      </c>
      <c r="BHN2" s="420"/>
      <c r="BHO2" s="420"/>
      <c r="BHP2" s="420"/>
      <c r="BHQ2" s="419" t="s">
        <v>23</v>
      </c>
      <c r="BHR2" s="420"/>
      <c r="BHS2" s="420"/>
      <c r="BHT2" s="420"/>
      <c r="BHU2" s="419" t="s">
        <v>23</v>
      </c>
      <c r="BHV2" s="420"/>
      <c r="BHW2" s="420"/>
      <c r="BHX2" s="420"/>
      <c r="BHY2" s="419" t="s">
        <v>23</v>
      </c>
      <c r="BHZ2" s="420"/>
      <c r="BIA2" s="420"/>
      <c r="BIB2" s="420"/>
      <c r="BIC2" s="419" t="s">
        <v>23</v>
      </c>
      <c r="BID2" s="420"/>
      <c r="BIE2" s="420"/>
      <c r="BIF2" s="420"/>
      <c r="BIG2" s="419" t="s">
        <v>23</v>
      </c>
      <c r="BIH2" s="420"/>
      <c r="BII2" s="420"/>
      <c r="BIJ2" s="420"/>
      <c r="BIK2" s="419" t="s">
        <v>23</v>
      </c>
      <c r="BIL2" s="420"/>
      <c r="BIM2" s="420"/>
      <c r="BIN2" s="420"/>
      <c r="BIO2" s="419" t="s">
        <v>23</v>
      </c>
      <c r="BIP2" s="420"/>
      <c r="BIQ2" s="420"/>
      <c r="BIR2" s="420"/>
      <c r="BIS2" s="419" t="s">
        <v>23</v>
      </c>
      <c r="BIT2" s="420"/>
      <c r="BIU2" s="420"/>
      <c r="BIV2" s="420"/>
      <c r="BIW2" s="419" t="s">
        <v>23</v>
      </c>
      <c r="BIX2" s="420"/>
      <c r="BIY2" s="420"/>
      <c r="BIZ2" s="420"/>
      <c r="BJA2" s="419" t="s">
        <v>23</v>
      </c>
      <c r="BJB2" s="420"/>
      <c r="BJC2" s="420"/>
      <c r="BJD2" s="420"/>
      <c r="BJE2" s="419" t="s">
        <v>23</v>
      </c>
      <c r="BJF2" s="420"/>
      <c r="BJG2" s="420"/>
      <c r="BJH2" s="420"/>
      <c r="BJI2" s="419" t="s">
        <v>23</v>
      </c>
      <c r="BJJ2" s="420"/>
      <c r="BJK2" s="420"/>
      <c r="BJL2" s="420"/>
      <c r="BJM2" s="419" t="s">
        <v>23</v>
      </c>
      <c r="BJN2" s="420"/>
      <c r="BJO2" s="420"/>
      <c r="BJP2" s="420"/>
      <c r="BJQ2" s="419" t="s">
        <v>23</v>
      </c>
      <c r="BJR2" s="420"/>
      <c r="BJS2" s="420"/>
      <c r="BJT2" s="420"/>
      <c r="BJU2" s="419" t="s">
        <v>23</v>
      </c>
      <c r="BJV2" s="420"/>
      <c r="BJW2" s="420"/>
      <c r="BJX2" s="420"/>
      <c r="BJY2" s="419" t="s">
        <v>23</v>
      </c>
      <c r="BJZ2" s="420"/>
      <c r="BKA2" s="420"/>
      <c r="BKB2" s="420"/>
      <c r="BKC2" s="419" t="s">
        <v>23</v>
      </c>
      <c r="BKD2" s="420"/>
      <c r="BKE2" s="420"/>
      <c r="BKF2" s="420"/>
      <c r="BKG2" s="419" t="s">
        <v>23</v>
      </c>
      <c r="BKH2" s="420"/>
      <c r="BKI2" s="420"/>
      <c r="BKJ2" s="420"/>
      <c r="BKK2" s="419" t="s">
        <v>23</v>
      </c>
      <c r="BKL2" s="420"/>
      <c r="BKM2" s="420"/>
      <c r="BKN2" s="420"/>
      <c r="BKO2" s="419" t="s">
        <v>23</v>
      </c>
      <c r="BKP2" s="420"/>
      <c r="BKQ2" s="420"/>
      <c r="BKR2" s="420"/>
      <c r="BKS2" s="419" t="s">
        <v>23</v>
      </c>
      <c r="BKT2" s="420"/>
      <c r="BKU2" s="420"/>
      <c r="BKV2" s="420"/>
      <c r="BKW2" s="419" t="s">
        <v>23</v>
      </c>
      <c r="BKX2" s="420"/>
      <c r="BKY2" s="420"/>
      <c r="BKZ2" s="420"/>
      <c r="BLA2" s="419" t="s">
        <v>23</v>
      </c>
      <c r="BLB2" s="420"/>
      <c r="BLC2" s="420"/>
      <c r="BLD2" s="420"/>
      <c r="BLE2" s="419" t="s">
        <v>23</v>
      </c>
      <c r="BLF2" s="420"/>
      <c r="BLG2" s="420"/>
      <c r="BLH2" s="420"/>
      <c r="BLI2" s="419" t="s">
        <v>23</v>
      </c>
      <c r="BLJ2" s="420"/>
      <c r="BLK2" s="420"/>
      <c r="BLL2" s="420"/>
      <c r="BLM2" s="419" t="s">
        <v>23</v>
      </c>
      <c r="BLN2" s="420"/>
      <c r="BLO2" s="420"/>
      <c r="BLP2" s="420"/>
      <c r="BLQ2" s="419" t="s">
        <v>23</v>
      </c>
      <c r="BLR2" s="420"/>
      <c r="BLS2" s="420"/>
      <c r="BLT2" s="420"/>
      <c r="BLU2" s="419" t="s">
        <v>23</v>
      </c>
      <c r="BLV2" s="420"/>
      <c r="BLW2" s="420"/>
      <c r="BLX2" s="420"/>
      <c r="BLY2" s="419" t="s">
        <v>23</v>
      </c>
      <c r="BLZ2" s="420"/>
      <c r="BMA2" s="420"/>
      <c r="BMB2" s="420"/>
      <c r="BMC2" s="419" t="s">
        <v>23</v>
      </c>
      <c r="BMD2" s="420"/>
      <c r="BME2" s="420"/>
      <c r="BMF2" s="420"/>
      <c r="BMG2" s="419" t="s">
        <v>23</v>
      </c>
      <c r="BMH2" s="420"/>
      <c r="BMI2" s="420"/>
      <c r="BMJ2" s="420"/>
      <c r="BMK2" s="419" t="s">
        <v>23</v>
      </c>
      <c r="BML2" s="420"/>
      <c r="BMM2" s="420"/>
      <c r="BMN2" s="420"/>
      <c r="BMO2" s="419" t="s">
        <v>23</v>
      </c>
      <c r="BMP2" s="420"/>
      <c r="BMQ2" s="420"/>
      <c r="BMR2" s="420"/>
      <c r="BMS2" s="419" t="s">
        <v>23</v>
      </c>
      <c r="BMT2" s="420"/>
      <c r="BMU2" s="420"/>
      <c r="BMV2" s="420"/>
      <c r="BMW2" s="419" t="s">
        <v>23</v>
      </c>
      <c r="BMX2" s="420"/>
      <c r="BMY2" s="420"/>
      <c r="BMZ2" s="420"/>
      <c r="BNA2" s="419" t="s">
        <v>23</v>
      </c>
      <c r="BNB2" s="420"/>
      <c r="BNC2" s="420"/>
      <c r="BND2" s="420"/>
      <c r="BNE2" s="419" t="s">
        <v>23</v>
      </c>
      <c r="BNF2" s="420"/>
      <c r="BNG2" s="420"/>
      <c r="BNH2" s="420"/>
      <c r="BNI2" s="419" t="s">
        <v>23</v>
      </c>
      <c r="BNJ2" s="420"/>
      <c r="BNK2" s="420"/>
      <c r="BNL2" s="420"/>
      <c r="BNM2" s="419" t="s">
        <v>23</v>
      </c>
      <c r="BNN2" s="420"/>
      <c r="BNO2" s="420"/>
      <c r="BNP2" s="420"/>
      <c r="BNQ2" s="419" t="s">
        <v>23</v>
      </c>
      <c r="BNR2" s="420"/>
      <c r="BNS2" s="420"/>
      <c r="BNT2" s="420"/>
      <c r="BNU2" s="419" t="s">
        <v>23</v>
      </c>
      <c r="BNV2" s="420"/>
      <c r="BNW2" s="420"/>
      <c r="BNX2" s="420"/>
      <c r="BNY2" s="419" t="s">
        <v>23</v>
      </c>
      <c r="BNZ2" s="420"/>
      <c r="BOA2" s="420"/>
      <c r="BOB2" s="420"/>
      <c r="BOC2" s="419" t="s">
        <v>23</v>
      </c>
      <c r="BOD2" s="420"/>
      <c r="BOE2" s="420"/>
      <c r="BOF2" s="420"/>
      <c r="BOG2" s="419" t="s">
        <v>23</v>
      </c>
      <c r="BOH2" s="420"/>
      <c r="BOI2" s="420"/>
      <c r="BOJ2" s="420"/>
      <c r="BOK2" s="419" t="s">
        <v>23</v>
      </c>
      <c r="BOL2" s="420"/>
      <c r="BOM2" s="420"/>
      <c r="BON2" s="420"/>
      <c r="BOO2" s="419" t="s">
        <v>23</v>
      </c>
      <c r="BOP2" s="420"/>
      <c r="BOQ2" s="420"/>
      <c r="BOR2" s="420"/>
      <c r="BOS2" s="419" t="s">
        <v>23</v>
      </c>
      <c r="BOT2" s="420"/>
      <c r="BOU2" s="420"/>
      <c r="BOV2" s="420"/>
      <c r="BOW2" s="419" t="s">
        <v>23</v>
      </c>
      <c r="BOX2" s="420"/>
      <c r="BOY2" s="420"/>
      <c r="BOZ2" s="420"/>
      <c r="BPA2" s="419" t="s">
        <v>23</v>
      </c>
      <c r="BPB2" s="420"/>
      <c r="BPC2" s="420"/>
      <c r="BPD2" s="420"/>
      <c r="BPE2" s="419" t="s">
        <v>23</v>
      </c>
      <c r="BPF2" s="420"/>
      <c r="BPG2" s="420"/>
      <c r="BPH2" s="420"/>
      <c r="BPI2" s="419" t="s">
        <v>23</v>
      </c>
      <c r="BPJ2" s="420"/>
      <c r="BPK2" s="420"/>
      <c r="BPL2" s="420"/>
      <c r="BPM2" s="419" t="s">
        <v>23</v>
      </c>
      <c r="BPN2" s="420"/>
      <c r="BPO2" s="420"/>
      <c r="BPP2" s="420"/>
      <c r="BPQ2" s="419" t="s">
        <v>23</v>
      </c>
      <c r="BPR2" s="420"/>
      <c r="BPS2" s="420"/>
      <c r="BPT2" s="420"/>
      <c r="BPU2" s="419" t="s">
        <v>23</v>
      </c>
      <c r="BPV2" s="420"/>
      <c r="BPW2" s="420"/>
      <c r="BPX2" s="420"/>
      <c r="BPY2" s="419" t="s">
        <v>23</v>
      </c>
      <c r="BPZ2" s="420"/>
      <c r="BQA2" s="420"/>
      <c r="BQB2" s="420"/>
      <c r="BQC2" s="419" t="s">
        <v>23</v>
      </c>
      <c r="BQD2" s="420"/>
      <c r="BQE2" s="420"/>
      <c r="BQF2" s="420"/>
      <c r="BQG2" s="419" t="s">
        <v>23</v>
      </c>
      <c r="BQH2" s="420"/>
      <c r="BQI2" s="420"/>
      <c r="BQJ2" s="420"/>
      <c r="BQK2" s="419" t="s">
        <v>23</v>
      </c>
      <c r="BQL2" s="420"/>
      <c r="BQM2" s="420"/>
      <c r="BQN2" s="420"/>
      <c r="BQO2" s="419" t="s">
        <v>23</v>
      </c>
      <c r="BQP2" s="420"/>
      <c r="BQQ2" s="420"/>
      <c r="BQR2" s="420"/>
      <c r="BQS2" s="419" t="s">
        <v>23</v>
      </c>
      <c r="BQT2" s="420"/>
      <c r="BQU2" s="420"/>
      <c r="BQV2" s="420"/>
      <c r="BQW2" s="419" t="s">
        <v>23</v>
      </c>
      <c r="BQX2" s="420"/>
      <c r="BQY2" s="420"/>
      <c r="BQZ2" s="420"/>
      <c r="BRA2" s="419" t="s">
        <v>23</v>
      </c>
      <c r="BRB2" s="420"/>
      <c r="BRC2" s="420"/>
      <c r="BRD2" s="420"/>
      <c r="BRE2" s="419" t="s">
        <v>23</v>
      </c>
      <c r="BRF2" s="420"/>
      <c r="BRG2" s="420"/>
      <c r="BRH2" s="420"/>
      <c r="BRI2" s="419" t="s">
        <v>23</v>
      </c>
      <c r="BRJ2" s="420"/>
      <c r="BRK2" s="420"/>
      <c r="BRL2" s="420"/>
      <c r="BRM2" s="419" t="s">
        <v>23</v>
      </c>
      <c r="BRN2" s="420"/>
      <c r="BRO2" s="420"/>
      <c r="BRP2" s="420"/>
      <c r="BRQ2" s="419" t="s">
        <v>23</v>
      </c>
      <c r="BRR2" s="420"/>
      <c r="BRS2" s="420"/>
      <c r="BRT2" s="420"/>
      <c r="BRU2" s="419" t="s">
        <v>23</v>
      </c>
      <c r="BRV2" s="420"/>
      <c r="BRW2" s="420"/>
      <c r="BRX2" s="420"/>
      <c r="BRY2" s="419" t="s">
        <v>23</v>
      </c>
      <c r="BRZ2" s="420"/>
      <c r="BSA2" s="420"/>
      <c r="BSB2" s="420"/>
      <c r="BSC2" s="419" t="s">
        <v>23</v>
      </c>
      <c r="BSD2" s="420"/>
      <c r="BSE2" s="420"/>
      <c r="BSF2" s="420"/>
      <c r="BSG2" s="419" t="s">
        <v>23</v>
      </c>
      <c r="BSH2" s="420"/>
      <c r="BSI2" s="420"/>
      <c r="BSJ2" s="420"/>
      <c r="BSK2" s="419" t="s">
        <v>23</v>
      </c>
      <c r="BSL2" s="420"/>
      <c r="BSM2" s="420"/>
      <c r="BSN2" s="420"/>
      <c r="BSO2" s="419" t="s">
        <v>23</v>
      </c>
      <c r="BSP2" s="420"/>
      <c r="BSQ2" s="420"/>
      <c r="BSR2" s="420"/>
      <c r="BSS2" s="419" t="s">
        <v>23</v>
      </c>
      <c r="BST2" s="420"/>
      <c r="BSU2" s="420"/>
      <c r="BSV2" s="420"/>
      <c r="BSW2" s="419" t="s">
        <v>23</v>
      </c>
      <c r="BSX2" s="420"/>
      <c r="BSY2" s="420"/>
      <c r="BSZ2" s="420"/>
      <c r="BTA2" s="419" t="s">
        <v>23</v>
      </c>
      <c r="BTB2" s="420"/>
      <c r="BTC2" s="420"/>
      <c r="BTD2" s="420"/>
      <c r="BTE2" s="419" t="s">
        <v>23</v>
      </c>
      <c r="BTF2" s="420"/>
      <c r="BTG2" s="420"/>
      <c r="BTH2" s="420"/>
      <c r="BTI2" s="419" t="s">
        <v>23</v>
      </c>
      <c r="BTJ2" s="420"/>
      <c r="BTK2" s="420"/>
      <c r="BTL2" s="420"/>
      <c r="BTM2" s="419" t="s">
        <v>23</v>
      </c>
      <c r="BTN2" s="420"/>
      <c r="BTO2" s="420"/>
      <c r="BTP2" s="420"/>
      <c r="BTQ2" s="419" t="s">
        <v>23</v>
      </c>
      <c r="BTR2" s="420"/>
      <c r="BTS2" s="420"/>
      <c r="BTT2" s="420"/>
      <c r="BTU2" s="419" t="s">
        <v>23</v>
      </c>
      <c r="BTV2" s="420"/>
      <c r="BTW2" s="420"/>
      <c r="BTX2" s="420"/>
      <c r="BTY2" s="419" t="s">
        <v>23</v>
      </c>
      <c r="BTZ2" s="420"/>
      <c r="BUA2" s="420"/>
      <c r="BUB2" s="420"/>
      <c r="BUC2" s="419" t="s">
        <v>23</v>
      </c>
      <c r="BUD2" s="420"/>
      <c r="BUE2" s="420"/>
      <c r="BUF2" s="420"/>
      <c r="BUG2" s="419" t="s">
        <v>23</v>
      </c>
      <c r="BUH2" s="420"/>
      <c r="BUI2" s="420"/>
      <c r="BUJ2" s="420"/>
      <c r="BUK2" s="419" t="s">
        <v>23</v>
      </c>
      <c r="BUL2" s="420"/>
      <c r="BUM2" s="420"/>
      <c r="BUN2" s="420"/>
      <c r="BUO2" s="419" t="s">
        <v>23</v>
      </c>
      <c r="BUP2" s="420"/>
      <c r="BUQ2" s="420"/>
      <c r="BUR2" s="420"/>
      <c r="BUS2" s="419" t="s">
        <v>23</v>
      </c>
      <c r="BUT2" s="420"/>
      <c r="BUU2" s="420"/>
      <c r="BUV2" s="420"/>
      <c r="BUW2" s="419" t="s">
        <v>23</v>
      </c>
      <c r="BUX2" s="420"/>
      <c r="BUY2" s="420"/>
      <c r="BUZ2" s="420"/>
      <c r="BVA2" s="419" t="s">
        <v>23</v>
      </c>
      <c r="BVB2" s="420"/>
      <c r="BVC2" s="420"/>
      <c r="BVD2" s="420"/>
      <c r="BVE2" s="419" t="s">
        <v>23</v>
      </c>
      <c r="BVF2" s="420"/>
      <c r="BVG2" s="420"/>
      <c r="BVH2" s="420"/>
      <c r="BVI2" s="419" t="s">
        <v>23</v>
      </c>
      <c r="BVJ2" s="420"/>
      <c r="BVK2" s="420"/>
      <c r="BVL2" s="420"/>
      <c r="BVM2" s="419" t="s">
        <v>23</v>
      </c>
      <c r="BVN2" s="420"/>
      <c r="BVO2" s="420"/>
      <c r="BVP2" s="420"/>
      <c r="BVQ2" s="419" t="s">
        <v>23</v>
      </c>
      <c r="BVR2" s="420"/>
      <c r="BVS2" s="420"/>
      <c r="BVT2" s="420"/>
      <c r="BVU2" s="419" t="s">
        <v>23</v>
      </c>
      <c r="BVV2" s="420"/>
      <c r="BVW2" s="420"/>
      <c r="BVX2" s="420"/>
      <c r="BVY2" s="419" t="s">
        <v>23</v>
      </c>
      <c r="BVZ2" s="420"/>
      <c r="BWA2" s="420"/>
      <c r="BWB2" s="420"/>
      <c r="BWC2" s="419" t="s">
        <v>23</v>
      </c>
      <c r="BWD2" s="420"/>
      <c r="BWE2" s="420"/>
      <c r="BWF2" s="420"/>
      <c r="BWG2" s="419" t="s">
        <v>23</v>
      </c>
      <c r="BWH2" s="420"/>
      <c r="BWI2" s="420"/>
      <c r="BWJ2" s="420"/>
      <c r="BWK2" s="419" t="s">
        <v>23</v>
      </c>
      <c r="BWL2" s="420"/>
      <c r="BWM2" s="420"/>
      <c r="BWN2" s="420"/>
      <c r="BWO2" s="419" t="s">
        <v>23</v>
      </c>
      <c r="BWP2" s="420"/>
      <c r="BWQ2" s="420"/>
      <c r="BWR2" s="420"/>
      <c r="BWS2" s="419" t="s">
        <v>23</v>
      </c>
      <c r="BWT2" s="420"/>
      <c r="BWU2" s="420"/>
      <c r="BWV2" s="420"/>
      <c r="BWW2" s="419" t="s">
        <v>23</v>
      </c>
      <c r="BWX2" s="420"/>
      <c r="BWY2" s="420"/>
      <c r="BWZ2" s="420"/>
      <c r="BXA2" s="419" t="s">
        <v>23</v>
      </c>
      <c r="BXB2" s="420"/>
      <c r="BXC2" s="420"/>
      <c r="BXD2" s="420"/>
      <c r="BXE2" s="419" t="s">
        <v>23</v>
      </c>
      <c r="BXF2" s="420"/>
      <c r="BXG2" s="420"/>
      <c r="BXH2" s="420"/>
      <c r="BXI2" s="419" t="s">
        <v>23</v>
      </c>
      <c r="BXJ2" s="420"/>
      <c r="BXK2" s="420"/>
      <c r="BXL2" s="420"/>
      <c r="BXM2" s="419" t="s">
        <v>23</v>
      </c>
      <c r="BXN2" s="420"/>
      <c r="BXO2" s="420"/>
      <c r="BXP2" s="420"/>
      <c r="BXQ2" s="419" t="s">
        <v>23</v>
      </c>
      <c r="BXR2" s="420"/>
      <c r="BXS2" s="420"/>
      <c r="BXT2" s="420"/>
      <c r="BXU2" s="419" t="s">
        <v>23</v>
      </c>
      <c r="BXV2" s="420"/>
      <c r="BXW2" s="420"/>
      <c r="BXX2" s="420"/>
      <c r="BXY2" s="419" t="s">
        <v>23</v>
      </c>
      <c r="BXZ2" s="420"/>
      <c r="BYA2" s="420"/>
      <c r="BYB2" s="420"/>
      <c r="BYC2" s="419" t="s">
        <v>23</v>
      </c>
      <c r="BYD2" s="420"/>
      <c r="BYE2" s="420"/>
      <c r="BYF2" s="420"/>
      <c r="BYG2" s="419" t="s">
        <v>23</v>
      </c>
      <c r="BYH2" s="420"/>
      <c r="BYI2" s="420"/>
      <c r="BYJ2" s="420"/>
      <c r="BYK2" s="419" t="s">
        <v>23</v>
      </c>
      <c r="BYL2" s="420"/>
      <c r="BYM2" s="420"/>
      <c r="BYN2" s="420"/>
      <c r="BYO2" s="419" t="s">
        <v>23</v>
      </c>
      <c r="BYP2" s="420"/>
      <c r="BYQ2" s="420"/>
      <c r="BYR2" s="420"/>
      <c r="BYS2" s="419" t="s">
        <v>23</v>
      </c>
      <c r="BYT2" s="420"/>
      <c r="BYU2" s="420"/>
      <c r="BYV2" s="420"/>
      <c r="BYW2" s="419" t="s">
        <v>23</v>
      </c>
      <c r="BYX2" s="420"/>
      <c r="BYY2" s="420"/>
      <c r="BYZ2" s="420"/>
      <c r="BZA2" s="419" t="s">
        <v>23</v>
      </c>
      <c r="BZB2" s="420"/>
      <c r="BZC2" s="420"/>
      <c r="BZD2" s="420"/>
      <c r="BZE2" s="419" t="s">
        <v>23</v>
      </c>
      <c r="BZF2" s="420"/>
      <c r="BZG2" s="420"/>
      <c r="BZH2" s="420"/>
      <c r="BZI2" s="419" t="s">
        <v>23</v>
      </c>
      <c r="BZJ2" s="420"/>
      <c r="BZK2" s="420"/>
      <c r="BZL2" s="420"/>
      <c r="BZM2" s="419" t="s">
        <v>23</v>
      </c>
      <c r="BZN2" s="420"/>
      <c r="BZO2" s="420"/>
      <c r="BZP2" s="420"/>
      <c r="BZQ2" s="419" t="s">
        <v>23</v>
      </c>
      <c r="BZR2" s="420"/>
      <c r="BZS2" s="420"/>
      <c r="BZT2" s="420"/>
      <c r="BZU2" s="419" t="s">
        <v>23</v>
      </c>
      <c r="BZV2" s="420"/>
      <c r="BZW2" s="420"/>
      <c r="BZX2" s="420"/>
      <c r="BZY2" s="419" t="s">
        <v>23</v>
      </c>
      <c r="BZZ2" s="420"/>
      <c r="CAA2" s="420"/>
      <c r="CAB2" s="420"/>
      <c r="CAC2" s="419" t="s">
        <v>23</v>
      </c>
      <c r="CAD2" s="420"/>
      <c r="CAE2" s="420"/>
      <c r="CAF2" s="420"/>
      <c r="CAG2" s="419" t="s">
        <v>23</v>
      </c>
      <c r="CAH2" s="420"/>
      <c r="CAI2" s="420"/>
      <c r="CAJ2" s="420"/>
      <c r="CAK2" s="419" t="s">
        <v>23</v>
      </c>
      <c r="CAL2" s="420"/>
      <c r="CAM2" s="420"/>
      <c r="CAN2" s="420"/>
      <c r="CAO2" s="419" t="s">
        <v>23</v>
      </c>
      <c r="CAP2" s="420"/>
      <c r="CAQ2" s="420"/>
      <c r="CAR2" s="420"/>
      <c r="CAS2" s="419" t="s">
        <v>23</v>
      </c>
      <c r="CAT2" s="420"/>
      <c r="CAU2" s="420"/>
      <c r="CAV2" s="420"/>
      <c r="CAW2" s="419" t="s">
        <v>23</v>
      </c>
      <c r="CAX2" s="420"/>
      <c r="CAY2" s="420"/>
      <c r="CAZ2" s="420"/>
      <c r="CBA2" s="419" t="s">
        <v>23</v>
      </c>
      <c r="CBB2" s="420"/>
      <c r="CBC2" s="420"/>
      <c r="CBD2" s="420"/>
      <c r="CBE2" s="419" t="s">
        <v>23</v>
      </c>
      <c r="CBF2" s="420"/>
      <c r="CBG2" s="420"/>
      <c r="CBH2" s="420"/>
      <c r="CBI2" s="419" t="s">
        <v>23</v>
      </c>
      <c r="CBJ2" s="420"/>
      <c r="CBK2" s="420"/>
      <c r="CBL2" s="420"/>
      <c r="CBM2" s="419" t="s">
        <v>23</v>
      </c>
      <c r="CBN2" s="420"/>
      <c r="CBO2" s="420"/>
      <c r="CBP2" s="420"/>
      <c r="CBQ2" s="419" t="s">
        <v>23</v>
      </c>
      <c r="CBR2" s="420"/>
      <c r="CBS2" s="420"/>
      <c r="CBT2" s="420"/>
      <c r="CBU2" s="419" t="s">
        <v>23</v>
      </c>
      <c r="CBV2" s="420"/>
      <c r="CBW2" s="420"/>
      <c r="CBX2" s="420"/>
      <c r="CBY2" s="419" t="s">
        <v>23</v>
      </c>
      <c r="CBZ2" s="420"/>
      <c r="CCA2" s="420"/>
      <c r="CCB2" s="420"/>
      <c r="CCC2" s="419" t="s">
        <v>23</v>
      </c>
      <c r="CCD2" s="420"/>
      <c r="CCE2" s="420"/>
      <c r="CCF2" s="420"/>
      <c r="CCG2" s="419" t="s">
        <v>23</v>
      </c>
      <c r="CCH2" s="420"/>
      <c r="CCI2" s="420"/>
      <c r="CCJ2" s="420"/>
      <c r="CCK2" s="419" t="s">
        <v>23</v>
      </c>
      <c r="CCL2" s="420"/>
      <c r="CCM2" s="420"/>
      <c r="CCN2" s="420"/>
      <c r="CCO2" s="419" t="s">
        <v>23</v>
      </c>
      <c r="CCP2" s="420"/>
      <c r="CCQ2" s="420"/>
      <c r="CCR2" s="420"/>
      <c r="CCS2" s="419" t="s">
        <v>23</v>
      </c>
      <c r="CCT2" s="420"/>
      <c r="CCU2" s="420"/>
      <c r="CCV2" s="420"/>
      <c r="CCW2" s="419" t="s">
        <v>23</v>
      </c>
      <c r="CCX2" s="420"/>
      <c r="CCY2" s="420"/>
      <c r="CCZ2" s="420"/>
      <c r="CDA2" s="419" t="s">
        <v>23</v>
      </c>
      <c r="CDB2" s="420"/>
      <c r="CDC2" s="420"/>
      <c r="CDD2" s="420"/>
      <c r="CDE2" s="419" t="s">
        <v>23</v>
      </c>
      <c r="CDF2" s="420"/>
      <c r="CDG2" s="420"/>
      <c r="CDH2" s="420"/>
      <c r="CDI2" s="419" t="s">
        <v>23</v>
      </c>
      <c r="CDJ2" s="420"/>
      <c r="CDK2" s="420"/>
      <c r="CDL2" s="420"/>
      <c r="CDM2" s="419" t="s">
        <v>23</v>
      </c>
      <c r="CDN2" s="420"/>
      <c r="CDO2" s="420"/>
      <c r="CDP2" s="420"/>
      <c r="CDQ2" s="419" t="s">
        <v>23</v>
      </c>
      <c r="CDR2" s="420"/>
      <c r="CDS2" s="420"/>
      <c r="CDT2" s="420"/>
      <c r="CDU2" s="419" t="s">
        <v>23</v>
      </c>
      <c r="CDV2" s="420"/>
      <c r="CDW2" s="420"/>
      <c r="CDX2" s="420"/>
      <c r="CDY2" s="419" t="s">
        <v>23</v>
      </c>
      <c r="CDZ2" s="420"/>
      <c r="CEA2" s="420"/>
      <c r="CEB2" s="420"/>
      <c r="CEC2" s="419" t="s">
        <v>23</v>
      </c>
      <c r="CED2" s="420"/>
      <c r="CEE2" s="420"/>
      <c r="CEF2" s="420"/>
      <c r="CEG2" s="419" t="s">
        <v>23</v>
      </c>
      <c r="CEH2" s="420"/>
      <c r="CEI2" s="420"/>
      <c r="CEJ2" s="420"/>
      <c r="CEK2" s="419" t="s">
        <v>23</v>
      </c>
      <c r="CEL2" s="420"/>
      <c r="CEM2" s="420"/>
      <c r="CEN2" s="420"/>
      <c r="CEO2" s="419" t="s">
        <v>23</v>
      </c>
      <c r="CEP2" s="420"/>
      <c r="CEQ2" s="420"/>
      <c r="CER2" s="420"/>
      <c r="CES2" s="419" t="s">
        <v>23</v>
      </c>
      <c r="CET2" s="420"/>
      <c r="CEU2" s="420"/>
      <c r="CEV2" s="420"/>
      <c r="CEW2" s="419" t="s">
        <v>23</v>
      </c>
      <c r="CEX2" s="420"/>
      <c r="CEY2" s="420"/>
      <c r="CEZ2" s="420"/>
      <c r="CFA2" s="419" t="s">
        <v>23</v>
      </c>
      <c r="CFB2" s="420"/>
      <c r="CFC2" s="420"/>
      <c r="CFD2" s="420"/>
      <c r="CFE2" s="419" t="s">
        <v>23</v>
      </c>
      <c r="CFF2" s="420"/>
      <c r="CFG2" s="420"/>
      <c r="CFH2" s="420"/>
      <c r="CFI2" s="419" t="s">
        <v>23</v>
      </c>
      <c r="CFJ2" s="420"/>
      <c r="CFK2" s="420"/>
      <c r="CFL2" s="420"/>
      <c r="CFM2" s="419" t="s">
        <v>23</v>
      </c>
      <c r="CFN2" s="420"/>
      <c r="CFO2" s="420"/>
      <c r="CFP2" s="420"/>
      <c r="CFQ2" s="419" t="s">
        <v>23</v>
      </c>
      <c r="CFR2" s="420"/>
      <c r="CFS2" s="420"/>
      <c r="CFT2" s="420"/>
      <c r="CFU2" s="419" t="s">
        <v>23</v>
      </c>
      <c r="CFV2" s="420"/>
      <c r="CFW2" s="420"/>
      <c r="CFX2" s="420"/>
      <c r="CFY2" s="419" t="s">
        <v>23</v>
      </c>
      <c r="CFZ2" s="420"/>
      <c r="CGA2" s="420"/>
      <c r="CGB2" s="420"/>
      <c r="CGC2" s="419" t="s">
        <v>23</v>
      </c>
      <c r="CGD2" s="420"/>
      <c r="CGE2" s="420"/>
      <c r="CGF2" s="420"/>
      <c r="CGG2" s="419" t="s">
        <v>23</v>
      </c>
      <c r="CGH2" s="420"/>
      <c r="CGI2" s="420"/>
      <c r="CGJ2" s="420"/>
      <c r="CGK2" s="419" t="s">
        <v>23</v>
      </c>
      <c r="CGL2" s="420"/>
      <c r="CGM2" s="420"/>
      <c r="CGN2" s="420"/>
      <c r="CGO2" s="419" t="s">
        <v>23</v>
      </c>
      <c r="CGP2" s="420"/>
      <c r="CGQ2" s="420"/>
      <c r="CGR2" s="420"/>
      <c r="CGS2" s="419" t="s">
        <v>23</v>
      </c>
      <c r="CGT2" s="420"/>
      <c r="CGU2" s="420"/>
      <c r="CGV2" s="420"/>
      <c r="CGW2" s="419" t="s">
        <v>23</v>
      </c>
      <c r="CGX2" s="420"/>
      <c r="CGY2" s="420"/>
      <c r="CGZ2" s="420"/>
      <c r="CHA2" s="419" t="s">
        <v>23</v>
      </c>
      <c r="CHB2" s="420"/>
      <c r="CHC2" s="420"/>
      <c r="CHD2" s="420"/>
      <c r="CHE2" s="419" t="s">
        <v>23</v>
      </c>
      <c r="CHF2" s="420"/>
      <c r="CHG2" s="420"/>
      <c r="CHH2" s="420"/>
      <c r="CHI2" s="419" t="s">
        <v>23</v>
      </c>
      <c r="CHJ2" s="420"/>
      <c r="CHK2" s="420"/>
      <c r="CHL2" s="420"/>
      <c r="CHM2" s="419" t="s">
        <v>23</v>
      </c>
      <c r="CHN2" s="420"/>
      <c r="CHO2" s="420"/>
      <c r="CHP2" s="420"/>
      <c r="CHQ2" s="419" t="s">
        <v>23</v>
      </c>
      <c r="CHR2" s="420"/>
      <c r="CHS2" s="420"/>
      <c r="CHT2" s="420"/>
      <c r="CHU2" s="419" t="s">
        <v>23</v>
      </c>
      <c r="CHV2" s="420"/>
      <c r="CHW2" s="420"/>
      <c r="CHX2" s="420"/>
      <c r="CHY2" s="419" t="s">
        <v>23</v>
      </c>
      <c r="CHZ2" s="420"/>
      <c r="CIA2" s="420"/>
      <c r="CIB2" s="420"/>
      <c r="CIC2" s="419" t="s">
        <v>23</v>
      </c>
      <c r="CID2" s="420"/>
      <c r="CIE2" s="420"/>
      <c r="CIF2" s="420"/>
      <c r="CIG2" s="419" t="s">
        <v>23</v>
      </c>
      <c r="CIH2" s="420"/>
      <c r="CII2" s="420"/>
      <c r="CIJ2" s="420"/>
      <c r="CIK2" s="419" t="s">
        <v>23</v>
      </c>
      <c r="CIL2" s="420"/>
      <c r="CIM2" s="420"/>
      <c r="CIN2" s="420"/>
      <c r="CIO2" s="419" t="s">
        <v>23</v>
      </c>
      <c r="CIP2" s="420"/>
      <c r="CIQ2" s="420"/>
      <c r="CIR2" s="420"/>
      <c r="CIS2" s="419" t="s">
        <v>23</v>
      </c>
      <c r="CIT2" s="420"/>
      <c r="CIU2" s="420"/>
      <c r="CIV2" s="420"/>
      <c r="CIW2" s="419" t="s">
        <v>23</v>
      </c>
      <c r="CIX2" s="420"/>
      <c r="CIY2" s="420"/>
      <c r="CIZ2" s="420"/>
      <c r="CJA2" s="419" t="s">
        <v>23</v>
      </c>
      <c r="CJB2" s="420"/>
      <c r="CJC2" s="420"/>
      <c r="CJD2" s="420"/>
      <c r="CJE2" s="419" t="s">
        <v>23</v>
      </c>
      <c r="CJF2" s="420"/>
      <c r="CJG2" s="420"/>
      <c r="CJH2" s="420"/>
      <c r="CJI2" s="419" t="s">
        <v>23</v>
      </c>
      <c r="CJJ2" s="420"/>
      <c r="CJK2" s="420"/>
      <c r="CJL2" s="420"/>
      <c r="CJM2" s="419" t="s">
        <v>23</v>
      </c>
      <c r="CJN2" s="420"/>
      <c r="CJO2" s="420"/>
      <c r="CJP2" s="420"/>
      <c r="CJQ2" s="419" t="s">
        <v>23</v>
      </c>
      <c r="CJR2" s="420"/>
      <c r="CJS2" s="420"/>
      <c r="CJT2" s="420"/>
      <c r="CJU2" s="419" t="s">
        <v>23</v>
      </c>
      <c r="CJV2" s="420"/>
      <c r="CJW2" s="420"/>
      <c r="CJX2" s="420"/>
      <c r="CJY2" s="419" t="s">
        <v>23</v>
      </c>
      <c r="CJZ2" s="420"/>
      <c r="CKA2" s="420"/>
      <c r="CKB2" s="420"/>
      <c r="CKC2" s="419" t="s">
        <v>23</v>
      </c>
      <c r="CKD2" s="420"/>
      <c r="CKE2" s="420"/>
      <c r="CKF2" s="420"/>
      <c r="CKG2" s="419" t="s">
        <v>23</v>
      </c>
      <c r="CKH2" s="420"/>
      <c r="CKI2" s="420"/>
      <c r="CKJ2" s="420"/>
      <c r="CKK2" s="419" t="s">
        <v>23</v>
      </c>
      <c r="CKL2" s="420"/>
      <c r="CKM2" s="420"/>
      <c r="CKN2" s="420"/>
      <c r="CKO2" s="419" t="s">
        <v>23</v>
      </c>
      <c r="CKP2" s="420"/>
      <c r="CKQ2" s="420"/>
      <c r="CKR2" s="420"/>
      <c r="CKS2" s="419" t="s">
        <v>23</v>
      </c>
      <c r="CKT2" s="420"/>
      <c r="CKU2" s="420"/>
      <c r="CKV2" s="420"/>
      <c r="CKW2" s="419" t="s">
        <v>23</v>
      </c>
      <c r="CKX2" s="420"/>
      <c r="CKY2" s="420"/>
      <c r="CKZ2" s="420"/>
      <c r="CLA2" s="419" t="s">
        <v>23</v>
      </c>
      <c r="CLB2" s="420"/>
      <c r="CLC2" s="420"/>
      <c r="CLD2" s="420"/>
      <c r="CLE2" s="419" t="s">
        <v>23</v>
      </c>
      <c r="CLF2" s="420"/>
      <c r="CLG2" s="420"/>
      <c r="CLH2" s="420"/>
      <c r="CLI2" s="419" t="s">
        <v>23</v>
      </c>
      <c r="CLJ2" s="420"/>
      <c r="CLK2" s="420"/>
      <c r="CLL2" s="420"/>
      <c r="CLM2" s="419" t="s">
        <v>23</v>
      </c>
      <c r="CLN2" s="420"/>
      <c r="CLO2" s="420"/>
      <c r="CLP2" s="420"/>
      <c r="CLQ2" s="419" t="s">
        <v>23</v>
      </c>
      <c r="CLR2" s="420"/>
      <c r="CLS2" s="420"/>
      <c r="CLT2" s="420"/>
      <c r="CLU2" s="419" t="s">
        <v>23</v>
      </c>
      <c r="CLV2" s="420"/>
      <c r="CLW2" s="420"/>
      <c r="CLX2" s="420"/>
      <c r="CLY2" s="419" t="s">
        <v>23</v>
      </c>
      <c r="CLZ2" s="420"/>
      <c r="CMA2" s="420"/>
      <c r="CMB2" s="420"/>
      <c r="CMC2" s="419" t="s">
        <v>23</v>
      </c>
      <c r="CMD2" s="420"/>
      <c r="CME2" s="420"/>
      <c r="CMF2" s="420"/>
      <c r="CMG2" s="419" t="s">
        <v>23</v>
      </c>
      <c r="CMH2" s="420"/>
      <c r="CMI2" s="420"/>
      <c r="CMJ2" s="420"/>
      <c r="CMK2" s="419" t="s">
        <v>23</v>
      </c>
      <c r="CML2" s="420"/>
      <c r="CMM2" s="420"/>
      <c r="CMN2" s="420"/>
      <c r="CMO2" s="419" t="s">
        <v>23</v>
      </c>
      <c r="CMP2" s="420"/>
      <c r="CMQ2" s="420"/>
      <c r="CMR2" s="420"/>
      <c r="CMS2" s="419" t="s">
        <v>23</v>
      </c>
      <c r="CMT2" s="420"/>
      <c r="CMU2" s="420"/>
      <c r="CMV2" s="420"/>
      <c r="CMW2" s="419" t="s">
        <v>23</v>
      </c>
      <c r="CMX2" s="420"/>
      <c r="CMY2" s="420"/>
      <c r="CMZ2" s="420"/>
      <c r="CNA2" s="419" t="s">
        <v>23</v>
      </c>
      <c r="CNB2" s="420"/>
      <c r="CNC2" s="420"/>
      <c r="CND2" s="420"/>
      <c r="CNE2" s="419" t="s">
        <v>23</v>
      </c>
      <c r="CNF2" s="420"/>
      <c r="CNG2" s="420"/>
      <c r="CNH2" s="420"/>
      <c r="CNI2" s="419" t="s">
        <v>23</v>
      </c>
      <c r="CNJ2" s="420"/>
      <c r="CNK2" s="420"/>
      <c r="CNL2" s="420"/>
      <c r="CNM2" s="419" t="s">
        <v>23</v>
      </c>
      <c r="CNN2" s="420"/>
      <c r="CNO2" s="420"/>
      <c r="CNP2" s="420"/>
      <c r="CNQ2" s="419" t="s">
        <v>23</v>
      </c>
      <c r="CNR2" s="420"/>
      <c r="CNS2" s="420"/>
      <c r="CNT2" s="420"/>
      <c r="CNU2" s="419" t="s">
        <v>23</v>
      </c>
      <c r="CNV2" s="420"/>
      <c r="CNW2" s="420"/>
      <c r="CNX2" s="420"/>
      <c r="CNY2" s="419" t="s">
        <v>23</v>
      </c>
      <c r="CNZ2" s="420"/>
      <c r="COA2" s="420"/>
      <c r="COB2" s="420"/>
      <c r="COC2" s="419" t="s">
        <v>23</v>
      </c>
      <c r="COD2" s="420"/>
      <c r="COE2" s="420"/>
      <c r="COF2" s="420"/>
      <c r="COG2" s="419" t="s">
        <v>23</v>
      </c>
      <c r="COH2" s="420"/>
      <c r="COI2" s="420"/>
      <c r="COJ2" s="420"/>
      <c r="COK2" s="419" t="s">
        <v>23</v>
      </c>
      <c r="COL2" s="420"/>
      <c r="COM2" s="420"/>
      <c r="CON2" s="420"/>
      <c r="COO2" s="419" t="s">
        <v>23</v>
      </c>
      <c r="COP2" s="420"/>
      <c r="COQ2" s="420"/>
      <c r="COR2" s="420"/>
      <c r="COS2" s="419" t="s">
        <v>23</v>
      </c>
      <c r="COT2" s="420"/>
      <c r="COU2" s="420"/>
      <c r="COV2" s="420"/>
      <c r="COW2" s="419" t="s">
        <v>23</v>
      </c>
      <c r="COX2" s="420"/>
      <c r="COY2" s="420"/>
      <c r="COZ2" s="420"/>
      <c r="CPA2" s="419" t="s">
        <v>23</v>
      </c>
      <c r="CPB2" s="420"/>
      <c r="CPC2" s="420"/>
      <c r="CPD2" s="420"/>
      <c r="CPE2" s="419" t="s">
        <v>23</v>
      </c>
      <c r="CPF2" s="420"/>
      <c r="CPG2" s="420"/>
      <c r="CPH2" s="420"/>
      <c r="CPI2" s="419" t="s">
        <v>23</v>
      </c>
      <c r="CPJ2" s="420"/>
      <c r="CPK2" s="420"/>
      <c r="CPL2" s="420"/>
      <c r="CPM2" s="419" t="s">
        <v>23</v>
      </c>
      <c r="CPN2" s="420"/>
      <c r="CPO2" s="420"/>
      <c r="CPP2" s="420"/>
      <c r="CPQ2" s="419" t="s">
        <v>23</v>
      </c>
      <c r="CPR2" s="420"/>
      <c r="CPS2" s="420"/>
      <c r="CPT2" s="420"/>
      <c r="CPU2" s="419" t="s">
        <v>23</v>
      </c>
      <c r="CPV2" s="420"/>
      <c r="CPW2" s="420"/>
      <c r="CPX2" s="420"/>
      <c r="CPY2" s="419" t="s">
        <v>23</v>
      </c>
      <c r="CPZ2" s="420"/>
      <c r="CQA2" s="420"/>
      <c r="CQB2" s="420"/>
      <c r="CQC2" s="419" t="s">
        <v>23</v>
      </c>
      <c r="CQD2" s="420"/>
      <c r="CQE2" s="420"/>
      <c r="CQF2" s="420"/>
      <c r="CQG2" s="419" t="s">
        <v>23</v>
      </c>
      <c r="CQH2" s="420"/>
      <c r="CQI2" s="420"/>
      <c r="CQJ2" s="420"/>
      <c r="CQK2" s="419" t="s">
        <v>23</v>
      </c>
      <c r="CQL2" s="420"/>
      <c r="CQM2" s="420"/>
      <c r="CQN2" s="420"/>
      <c r="CQO2" s="419" t="s">
        <v>23</v>
      </c>
      <c r="CQP2" s="420"/>
      <c r="CQQ2" s="420"/>
      <c r="CQR2" s="420"/>
      <c r="CQS2" s="419" t="s">
        <v>23</v>
      </c>
      <c r="CQT2" s="420"/>
      <c r="CQU2" s="420"/>
      <c r="CQV2" s="420"/>
      <c r="CQW2" s="419" t="s">
        <v>23</v>
      </c>
      <c r="CQX2" s="420"/>
      <c r="CQY2" s="420"/>
      <c r="CQZ2" s="420"/>
      <c r="CRA2" s="419" t="s">
        <v>23</v>
      </c>
      <c r="CRB2" s="420"/>
      <c r="CRC2" s="420"/>
      <c r="CRD2" s="420"/>
      <c r="CRE2" s="419" t="s">
        <v>23</v>
      </c>
      <c r="CRF2" s="420"/>
      <c r="CRG2" s="420"/>
      <c r="CRH2" s="420"/>
      <c r="CRI2" s="419" t="s">
        <v>23</v>
      </c>
      <c r="CRJ2" s="420"/>
      <c r="CRK2" s="420"/>
      <c r="CRL2" s="420"/>
      <c r="CRM2" s="419" t="s">
        <v>23</v>
      </c>
      <c r="CRN2" s="420"/>
      <c r="CRO2" s="420"/>
      <c r="CRP2" s="420"/>
      <c r="CRQ2" s="419" t="s">
        <v>23</v>
      </c>
      <c r="CRR2" s="420"/>
      <c r="CRS2" s="420"/>
      <c r="CRT2" s="420"/>
      <c r="CRU2" s="419" t="s">
        <v>23</v>
      </c>
      <c r="CRV2" s="420"/>
      <c r="CRW2" s="420"/>
      <c r="CRX2" s="420"/>
      <c r="CRY2" s="419" t="s">
        <v>23</v>
      </c>
      <c r="CRZ2" s="420"/>
      <c r="CSA2" s="420"/>
      <c r="CSB2" s="420"/>
      <c r="CSC2" s="419" t="s">
        <v>23</v>
      </c>
      <c r="CSD2" s="420"/>
      <c r="CSE2" s="420"/>
      <c r="CSF2" s="420"/>
      <c r="CSG2" s="419" t="s">
        <v>23</v>
      </c>
      <c r="CSH2" s="420"/>
      <c r="CSI2" s="420"/>
      <c r="CSJ2" s="420"/>
      <c r="CSK2" s="419" t="s">
        <v>23</v>
      </c>
      <c r="CSL2" s="420"/>
      <c r="CSM2" s="420"/>
      <c r="CSN2" s="420"/>
      <c r="CSO2" s="419" t="s">
        <v>23</v>
      </c>
      <c r="CSP2" s="420"/>
      <c r="CSQ2" s="420"/>
      <c r="CSR2" s="420"/>
      <c r="CSS2" s="419" t="s">
        <v>23</v>
      </c>
      <c r="CST2" s="420"/>
      <c r="CSU2" s="420"/>
      <c r="CSV2" s="420"/>
      <c r="CSW2" s="419" t="s">
        <v>23</v>
      </c>
      <c r="CSX2" s="420"/>
      <c r="CSY2" s="420"/>
      <c r="CSZ2" s="420"/>
      <c r="CTA2" s="419" t="s">
        <v>23</v>
      </c>
      <c r="CTB2" s="420"/>
      <c r="CTC2" s="420"/>
      <c r="CTD2" s="420"/>
      <c r="CTE2" s="419" t="s">
        <v>23</v>
      </c>
      <c r="CTF2" s="420"/>
      <c r="CTG2" s="420"/>
      <c r="CTH2" s="420"/>
      <c r="CTI2" s="419" t="s">
        <v>23</v>
      </c>
      <c r="CTJ2" s="420"/>
      <c r="CTK2" s="420"/>
      <c r="CTL2" s="420"/>
      <c r="CTM2" s="419" t="s">
        <v>23</v>
      </c>
      <c r="CTN2" s="420"/>
      <c r="CTO2" s="420"/>
      <c r="CTP2" s="420"/>
      <c r="CTQ2" s="419" t="s">
        <v>23</v>
      </c>
      <c r="CTR2" s="420"/>
      <c r="CTS2" s="420"/>
      <c r="CTT2" s="420"/>
      <c r="CTU2" s="419" t="s">
        <v>23</v>
      </c>
      <c r="CTV2" s="420"/>
      <c r="CTW2" s="420"/>
      <c r="CTX2" s="420"/>
      <c r="CTY2" s="419" t="s">
        <v>23</v>
      </c>
      <c r="CTZ2" s="420"/>
      <c r="CUA2" s="420"/>
      <c r="CUB2" s="420"/>
      <c r="CUC2" s="419" t="s">
        <v>23</v>
      </c>
      <c r="CUD2" s="420"/>
      <c r="CUE2" s="420"/>
      <c r="CUF2" s="420"/>
      <c r="CUG2" s="419" t="s">
        <v>23</v>
      </c>
      <c r="CUH2" s="420"/>
      <c r="CUI2" s="420"/>
      <c r="CUJ2" s="420"/>
      <c r="CUK2" s="419" t="s">
        <v>23</v>
      </c>
      <c r="CUL2" s="420"/>
      <c r="CUM2" s="420"/>
      <c r="CUN2" s="420"/>
      <c r="CUO2" s="419" t="s">
        <v>23</v>
      </c>
      <c r="CUP2" s="420"/>
      <c r="CUQ2" s="420"/>
      <c r="CUR2" s="420"/>
      <c r="CUS2" s="419" t="s">
        <v>23</v>
      </c>
      <c r="CUT2" s="420"/>
      <c r="CUU2" s="420"/>
      <c r="CUV2" s="420"/>
      <c r="CUW2" s="419" t="s">
        <v>23</v>
      </c>
      <c r="CUX2" s="420"/>
      <c r="CUY2" s="420"/>
      <c r="CUZ2" s="420"/>
      <c r="CVA2" s="419" t="s">
        <v>23</v>
      </c>
      <c r="CVB2" s="420"/>
      <c r="CVC2" s="420"/>
      <c r="CVD2" s="420"/>
      <c r="CVE2" s="419" t="s">
        <v>23</v>
      </c>
      <c r="CVF2" s="420"/>
      <c r="CVG2" s="420"/>
      <c r="CVH2" s="420"/>
      <c r="CVI2" s="419" t="s">
        <v>23</v>
      </c>
      <c r="CVJ2" s="420"/>
      <c r="CVK2" s="420"/>
      <c r="CVL2" s="420"/>
      <c r="CVM2" s="419" t="s">
        <v>23</v>
      </c>
      <c r="CVN2" s="420"/>
      <c r="CVO2" s="420"/>
      <c r="CVP2" s="420"/>
      <c r="CVQ2" s="419" t="s">
        <v>23</v>
      </c>
      <c r="CVR2" s="420"/>
      <c r="CVS2" s="420"/>
      <c r="CVT2" s="420"/>
      <c r="CVU2" s="419" t="s">
        <v>23</v>
      </c>
      <c r="CVV2" s="420"/>
      <c r="CVW2" s="420"/>
      <c r="CVX2" s="420"/>
      <c r="CVY2" s="419" t="s">
        <v>23</v>
      </c>
      <c r="CVZ2" s="420"/>
      <c r="CWA2" s="420"/>
      <c r="CWB2" s="420"/>
      <c r="CWC2" s="419" t="s">
        <v>23</v>
      </c>
      <c r="CWD2" s="420"/>
      <c r="CWE2" s="420"/>
      <c r="CWF2" s="420"/>
      <c r="CWG2" s="419" t="s">
        <v>23</v>
      </c>
      <c r="CWH2" s="420"/>
      <c r="CWI2" s="420"/>
      <c r="CWJ2" s="420"/>
      <c r="CWK2" s="419" t="s">
        <v>23</v>
      </c>
      <c r="CWL2" s="420"/>
      <c r="CWM2" s="420"/>
      <c r="CWN2" s="420"/>
      <c r="CWO2" s="419" t="s">
        <v>23</v>
      </c>
      <c r="CWP2" s="420"/>
      <c r="CWQ2" s="420"/>
      <c r="CWR2" s="420"/>
      <c r="CWS2" s="419" t="s">
        <v>23</v>
      </c>
      <c r="CWT2" s="420"/>
      <c r="CWU2" s="420"/>
      <c r="CWV2" s="420"/>
      <c r="CWW2" s="419" t="s">
        <v>23</v>
      </c>
      <c r="CWX2" s="420"/>
      <c r="CWY2" s="420"/>
      <c r="CWZ2" s="420"/>
      <c r="CXA2" s="419" t="s">
        <v>23</v>
      </c>
      <c r="CXB2" s="420"/>
      <c r="CXC2" s="420"/>
      <c r="CXD2" s="420"/>
      <c r="CXE2" s="419" t="s">
        <v>23</v>
      </c>
      <c r="CXF2" s="420"/>
      <c r="CXG2" s="420"/>
      <c r="CXH2" s="420"/>
      <c r="CXI2" s="419" t="s">
        <v>23</v>
      </c>
      <c r="CXJ2" s="420"/>
      <c r="CXK2" s="420"/>
      <c r="CXL2" s="420"/>
      <c r="CXM2" s="419" t="s">
        <v>23</v>
      </c>
      <c r="CXN2" s="420"/>
      <c r="CXO2" s="420"/>
      <c r="CXP2" s="420"/>
      <c r="CXQ2" s="419" t="s">
        <v>23</v>
      </c>
      <c r="CXR2" s="420"/>
      <c r="CXS2" s="420"/>
      <c r="CXT2" s="420"/>
      <c r="CXU2" s="419" t="s">
        <v>23</v>
      </c>
      <c r="CXV2" s="420"/>
      <c r="CXW2" s="420"/>
      <c r="CXX2" s="420"/>
      <c r="CXY2" s="419" t="s">
        <v>23</v>
      </c>
      <c r="CXZ2" s="420"/>
      <c r="CYA2" s="420"/>
      <c r="CYB2" s="420"/>
      <c r="CYC2" s="419" t="s">
        <v>23</v>
      </c>
      <c r="CYD2" s="420"/>
      <c r="CYE2" s="420"/>
      <c r="CYF2" s="420"/>
      <c r="CYG2" s="419" t="s">
        <v>23</v>
      </c>
      <c r="CYH2" s="420"/>
      <c r="CYI2" s="420"/>
      <c r="CYJ2" s="420"/>
      <c r="CYK2" s="419" t="s">
        <v>23</v>
      </c>
      <c r="CYL2" s="420"/>
      <c r="CYM2" s="420"/>
      <c r="CYN2" s="420"/>
      <c r="CYO2" s="419" t="s">
        <v>23</v>
      </c>
      <c r="CYP2" s="420"/>
      <c r="CYQ2" s="420"/>
      <c r="CYR2" s="420"/>
      <c r="CYS2" s="419" t="s">
        <v>23</v>
      </c>
      <c r="CYT2" s="420"/>
      <c r="CYU2" s="420"/>
      <c r="CYV2" s="420"/>
      <c r="CYW2" s="419" t="s">
        <v>23</v>
      </c>
      <c r="CYX2" s="420"/>
      <c r="CYY2" s="420"/>
      <c r="CYZ2" s="420"/>
      <c r="CZA2" s="419" t="s">
        <v>23</v>
      </c>
      <c r="CZB2" s="420"/>
      <c r="CZC2" s="420"/>
      <c r="CZD2" s="420"/>
      <c r="CZE2" s="419" t="s">
        <v>23</v>
      </c>
      <c r="CZF2" s="420"/>
      <c r="CZG2" s="420"/>
      <c r="CZH2" s="420"/>
      <c r="CZI2" s="419" t="s">
        <v>23</v>
      </c>
      <c r="CZJ2" s="420"/>
      <c r="CZK2" s="420"/>
      <c r="CZL2" s="420"/>
      <c r="CZM2" s="419" t="s">
        <v>23</v>
      </c>
      <c r="CZN2" s="420"/>
      <c r="CZO2" s="420"/>
      <c r="CZP2" s="420"/>
      <c r="CZQ2" s="419" t="s">
        <v>23</v>
      </c>
      <c r="CZR2" s="420"/>
      <c r="CZS2" s="420"/>
      <c r="CZT2" s="420"/>
      <c r="CZU2" s="419" t="s">
        <v>23</v>
      </c>
      <c r="CZV2" s="420"/>
      <c r="CZW2" s="420"/>
      <c r="CZX2" s="420"/>
      <c r="CZY2" s="419" t="s">
        <v>23</v>
      </c>
      <c r="CZZ2" s="420"/>
      <c r="DAA2" s="420"/>
      <c r="DAB2" s="420"/>
      <c r="DAC2" s="419" t="s">
        <v>23</v>
      </c>
      <c r="DAD2" s="420"/>
      <c r="DAE2" s="420"/>
      <c r="DAF2" s="420"/>
      <c r="DAG2" s="419" t="s">
        <v>23</v>
      </c>
      <c r="DAH2" s="420"/>
      <c r="DAI2" s="420"/>
      <c r="DAJ2" s="420"/>
      <c r="DAK2" s="419" t="s">
        <v>23</v>
      </c>
      <c r="DAL2" s="420"/>
      <c r="DAM2" s="420"/>
      <c r="DAN2" s="420"/>
      <c r="DAO2" s="419" t="s">
        <v>23</v>
      </c>
      <c r="DAP2" s="420"/>
      <c r="DAQ2" s="420"/>
      <c r="DAR2" s="420"/>
      <c r="DAS2" s="419" t="s">
        <v>23</v>
      </c>
      <c r="DAT2" s="420"/>
      <c r="DAU2" s="420"/>
      <c r="DAV2" s="420"/>
      <c r="DAW2" s="419" t="s">
        <v>23</v>
      </c>
      <c r="DAX2" s="420"/>
      <c r="DAY2" s="420"/>
      <c r="DAZ2" s="420"/>
      <c r="DBA2" s="419" t="s">
        <v>23</v>
      </c>
      <c r="DBB2" s="420"/>
      <c r="DBC2" s="420"/>
      <c r="DBD2" s="420"/>
      <c r="DBE2" s="419" t="s">
        <v>23</v>
      </c>
      <c r="DBF2" s="420"/>
      <c r="DBG2" s="420"/>
      <c r="DBH2" s="420"/>
      <c r="DBI2" s="419" t="s">
        <v>23</v>
      </c>
      <c r="DBJ2" s="420"/>
      <c r="DBK2" s="420"/>
      <c r="DBL2" s="420"/>
      <c r="DBM2" s="419" t="s">
        <v>23</v>
      </c>
      <c r="DBN2" s="420"/>
      <c r="DBO2" s="420"/>
      <c r="DBP2" s="420"/>
      <c r="DBQ2" s="419" t="s">
        <v>23</v>
      </c>
      <c r="DBR2" s="420"/>
      <c r="DBS2" s="420"/>
      <c r="DBT2" s="420"/>
      <c r="DBU2" s="419" t="s">
        <v>23</v>
      </c>
      <c r="DBV2" s="420"/>
      <c r="DBW2" s="420"/>
      <c r="DBX2" s="420"/>
      <c r="DBY2" s="419" t="s">
        <v>23</v>
      </c>
      <c r="DBZ2" s="420"/>
      <c r="DCA2" s="420"/>
      <c r="DCB2" s="420"/>
      <c r="DCC2" s="419" t="s">
        <v>23</v>
      </c>
      <c r="DCD2" s="420"/>
      <c r="DCE2" s="420"/>
      <c r="DCF2" s="420"/>
      <c r="DCG2" s="419" t="s">
        <v>23</v>
      </c>
      <c r="DCH2" s="420"/>
      <c r="DCI2" s="420"/>
      <c r="DCJ2" s="420"/>
      <c r="DCK2" s="419" t="s">
        <v>23</v>
      </c>
      <c r="DCL2" s="420"/>
      <c r="DCM2" s="420"/>
      <c r="DCN2" s="420"/>
      <c r="DCO2" s="419" t="s">
        <v>23</v>
      </c>
      <c r="DCP2" s="420"/>
      <c r="DCQ2" s="420"/>
      <c r="DCR2" s="420"/>
      <c r="DCS2" s="419" t="s">
        <v>23</v>
      </c>
      <c r="DCT2" s="420"/>
      <c r="DCU2" s="420"/>
      <c r="DCV2" s="420"/>
      <c r="DCW2" s="419" t="s">
        <v>23</v>
      </c>
      <c r="DCX2" s="420"/>
      <c r="DCY2" s="420"/>
      <c r="DCZ2" s="420"/>
      <c r="DDA2" s="419" t="s">
        <v>23</v>
      </c>
      <c r="DDB2" s="420"/>
      <c r="DDC2" s="420"/>
      <c r="DDD2" s="420"/>
      <c r="DDE2" s="419" t="s">
        <v>23</v>
      </c>
      <c r="DDF2" s="420"/>
      <c r="DDG2" s="420"/>
      <c r="DDH2" s="420"/>
      <c r="DDI2" s="419" t="s">
        <v>23</v>
      </c>
      <c r="DDJ2" s="420"/>
      <c r="DDK2" s="420"/>
      <c r="DDL2" s="420"/>
      <c r="DDM2" s="419" t="s">
        <v>23</v>
      </c>
      <c r="DDN2" s="420"/>
      <c r="DDO2" s="420"/>
      <c r="DDP2" s="420"/>
      <c r="DDQ2" s="419" t="s">
        <v>23</v>
      </c>
      <c r="DDR2" s="420"/>
      <c r="DDS2" s="420"/>
      <c r="DDT2" s="420"/>
      <c r="DDU2" s="419" t="s">
        <v>23</v>
      </c>
      <c r="DDV2" s="420"/>
      <c r="DDW2" s="420"/>
      <c r="DDX2" s="420"/>
      <c r="DDY2" s="419" t="s">
        <v>23</v>
      </c>
      <c r="DDZ2" s="420"/>
      <c r="DEA2" s="420"/>
      <c r="DEB2" s="420"/>
      <c r="DEC2" s="419" t="s">
        <v>23</v>
      </c>
      <c r="DED2" s="420"/>
      <c r="DEE2" s="420"/>
      <c r="DEF2" s="420"/>
      <c r="DEG2" s="419" t="s">
        <v>23</v>
      </c>
      <c r="DEH2" s="420"/>
      <c r="DEI2" s="420"/>
      <c r="DEJ2" s="420"/>
      <c r="DEK2" s="419" t="s">
        <v>23</v>
      </c>
      <c r="DEL2" s="420"/>
      <c r="DEM2" s="420"/>
      <c r="DEN2" s="420"/>
      <c r="DEO2" s="419" t="s">
        <v>23</v>
      </c>
      <c r="DEP2" s="420"/>
      <c r="DEQ2" s="420"/>
      <c r="DER2" s="420"/>
      <c r="DES2" s="419" t="s">
        <v>23</v>
      </c>
      <c r="DET2" s="420"/>
      <c r="DEU2" s="420"/>
      <c r="DEV2" s="420"/>
      <c r="DEW2" s="419" t="s">
        <v>23</v>
      </c>
      <c r="DEX2" s="420"/>
      <c r="DEY2" s="420"/>
      <c r="DEZ2" s="420"/>
      <c r="DFA2" s="419" t="s">
        <v>23</v>
      </c>
      <c r="DFB2" s="420"/>
      <c r="DFC2" s="420"/>
      <c r="DFD2" s="420"/>
      <c r="DFE2" s="419" t="s">
        <v>23</v>
      </c>
      <c r="DFF2" s="420"/>
      <c r="DFG2" s="420"/>
      <c r="DFH2" s="420"/>
      <c r="DFI2" s="419" t="s">
        <v>23</v>
      </c>
      <c r="DFJ2" s="420"/>
      <c r="DFK2" s="420"/>
      <c r="DFL2" s="420"/>
      <c r="DFM2" s="419" t="s">
        <v>23</v>
      </c>
      <c r="DFN2" s="420"/>
      <c r="DFO2" s="420"/>
      <c r="DFP2" s="420"/>
      <c r="DFQ2" s="419" t="s">
        <v>23</v>
      </c>
      <c r="DFR2" s="420"/>
      <c r="DFS2" s="420"/>
      <c r="DFT2" s="420"/>
      <c r="DFU2" s="419" t="s">
        <v>23</v>
      </c>
      <c r="DFV2" s="420"/>
      <c r="DFW2" s="420"/>
      <c r="DFX2" s="420"/>
      <c r="DFY2" s="419" t="s">
        <v>23</v>
      </c>
      <c r="DFZ2" s="420"/>
      <c r="DGA2" s="420"/>
      <c r="DGB2" s="420"/>
      <c r="DGC2" s="419" t="s">
        <v>23</v>
      </c>
      <c r="DGD2" s="420"/>
      <c r="DGE2" s="420"/>
      <c r="DGF2" s="420"/>
      <c r="DGG2" s="419" t="s">
        <v>23</v>
      </c>
      <c r="DGH2" s="420"/>
      <c r="DGI2" s="420"/>
      <c r="DGJ2" s="420"/>
      <c r="DGK2" s="419" t="s">
        <v>23</v>
      </c>
      <c r="DGL2" s="420"/>
      <c r="DGM2" s="420"/>
      <c r="DGN2" s="420"/>
      <c r="DGO2" s="419" t="s">
        <v>23</v>
      </c>
      <c r="DGP2" s="420"/>
      <c r="DGQ2" s="420"/>
      <c r="DGR2" s="420"/>
      <c r="DGS2" s="419" t="s">
        <v>23</v>
      </c>
      <c r="DGT2" s="420"/>
      <c r="DGU2" s="420"/>
      <c r="DGV2" s="420"/>
      <c r="DGW2" s="419" t="s">
        <v>23</v>
      </c>
      <c r="DGX2" s="420"/>
      <c r="DGY2" s="420"/>
      <c r="DGZ2" s="420"/>
      <c r="DHA2" s="419" t="s">
        <v>23</v>
      </c>
      <c r="DHB2" s="420"/>
      <c r="DHC2" s="420"/>
      <c r="DHD2" s="420"/>
      <c r="DHE2" s="419" t="s">
        <v>23</v>
      </c>
      <c r="DHF2" s="420"/>
      <c r="DHG2" s="420"/>
      <c r="DHH2" s="420"/>
      <c r="DHI2" s="419" t="s">
        <v>23</v>
      </c>
      <c r="DHJ2" s="420"/>
      <c r="DHK2" s="420"/>
      <c r="DHL2" s="420"/>
      <c r="DHM2" s="419" t="s">
        <v>23</v>
      </c>
      <c r="DHN2" s="420"/>
      <c r="DHO2" s="420"/>
      <c r="DHP2" s="420"/>
      <c r="DHQ2" s="419" t="s">
        <v>23</v>
      </c>
      <c r="DHR2" s="420"/>
      <c r="DHS2" s="420"/>
      <c r="DHT2" s="420"/>
      <c r="DHU2" s="419" t="s">
        <v>23</v>
      </c>
      <c r="DHV2" s="420"/>
      <c r="DHW2" s="420"/>
      <c r="DHX2" s="420"/>
      <c r="DHY2" s="419" t="s">
        <v>23</v>
      </c>
      <c r="DHZ2" s="420"/>
      <c r="DIA2" s="420"/>
      <c r="DIB2" s="420"/>
      <c r="DIC2" s="419" t="s">
        <v>23</v>
      </c>
      <c r="DID2" s="420"/>
      <c r="DIE2" s="420"/>
      <c r="DIF2" s="420"/>
      <c r="DIG2" s="419" t="s">
        <v>23</v>
      </c>
      <c r="DIH2" s="420"/>
      <c r="DII2" s="420"/>
      <c r="DIJ2" s="420"/>
      <c r="DIK2" s="419" t="s">
        <v>23</v>
      </c>
      <c r="DIL2" s="420"/>
      <c r="DIM2" s="420"/>
      <c r="DIN2" s="420"/>
      <c r="DIO2" s="419" t="s">
        <v>23</v>
      </c>
      <c r="DIP2" s="420"/>
      <c r="DIQ2" s="420"/>
      <c r="DIR2" s="420"/>
      <c r="DIS2" s="419" t="s">
        <v>23</v>
      </c>
      <c r="DIT2" s="420"/>
      <c r="DIU2" s="420"/>
      <c r="DIV2" s="420"/>
      <c r="DIW2" s="419" t="s">
        <v>23</v>
      </c>
      <c r="DIX2" s="420"/>
      <c r="DIY2" s="420"/>
      <c r="DIZ2" s="420"/>
      <c r="DJA2" s="419" t="s">
        <v>23</v>
      </c>
      <c r="DJB2" s="420"/>
      <c r="DJC2" s="420"/>
      <c r="DJD2" s="420"/>
      <c r="DJE2" s="419" t="s">
        <v>23</v>
      </c>
      <c r="DJF2" s="420"/>
      <c r="DJG2" s="420"/>
      <c r="DJH2" s="420"/>
      <c r="DJI2" s="419" t="s">
        <v>23</v>
      </c>
      <c r="DJJ2" s="420"/>
      <c r="DJK2" s="420"/>
      <c r="DJL2" s="420"/>
      <c r="DJM2" s="419" t="s">
        <v>23</v>
      </c>
      <c r="DJN2" s="420"/>
      <c r="DJO2" s="420"/>
      <c r="DJP2" s="420"/>
      <c r="DJQ2" s="419" t="s">
        <v>23</v>
      </c>
      <c r="DJR2" s="420"/>
      <c r="DJS2" s="420"/>
      <c r="DJT2" s="420"/>
      <c r="DJU2" s="419" t="s">
        <v>23</v>
      </c>
      <c r="DJV2" s="420"/>
      <c r="DJW2" s="420"/>
      <c r="DJX2" s="420"/>
      <c r="DJY2" s="419" t="s">
        <v>23</v>
      </c>
      <c r="DJZ2" s="420"/>
      <c r="DKA2" s="420"/>
      <c r="DKB2" s="420"/>
      <c r="DKC2" s="419" t="s">
        <v>23</v>
      </c>
      <c r="DKD2" s="420"/>
      <c r="DKE2" s="420"/>
      <c r="DKF2" s="420"/>
      <c r="DKG2" s="419" t="s">
        <v>23</v>
      </c>
      <c r="DKH2" s="420"/>
      <c r="DKI2" s="420"/>
      <c r="DKJ2" s="420"/>
      <c r="DKK2" s="419" t="s">
        <v>23</v>
      </c>
      <c r="DKL2" s="420"/>
      <c r="DKM2" s="420"/>
      <c r="DKN2" s="420"/>
      <c r="DKO2" s="419" t="s">
        <v>23</v>
      </c>
      <c r="DKP2" s="420"/>
      <c r="DKQ2" s="420"/>
      <c r="DKR2" s="420"/>
      <c r="DKS2" s="419" t="s">
        <v>23</v>
      </c>
      <c r="DKT2" s="420"/>
      <c r="DKU2" s="420"/>
      <c r="DKV2" s="420"/>
      <c r="DKW2" s="419" t="s">
        <v>23</v>
      </c>
      <c r="DKX2" s="420"/>
      <c r="DKY2" s="420"/>
      <c r="DKZ2" s="420"/>
      <c r="DLA2" s="419" t="s">
        <v>23</v>
      </c>
      <c r="DLB2" s="420"/>
      <c r="DLC2" s="420"/>
      <c r="DLD2" s="420"/>
      <c r="DLE2" s="419" t="s">
        <v>23</v>
      </c>
      <c r="DLF2" s="420"/>
      <c r="DLG2" s="420"/>
      <c r="DLH2" s="420"/>
      <c r="DLI2" s="419" t="s">
        <v>23</v>
      </c>
      <c r="DLJ2" s="420"/>
      <c r="DLK2" s="420"/>
      <c r="DLL2" s="420"/>
      <c r="DLM2" s="419" t="s">
        <v>23</v>
      </c>
      <c r="DLN2" s="420"/>
      <c r="DLO2" s="420"/>
      <c r="DLP2" s="420"/>
      <c r="DLQ2" s="419" t="s">
        <v>23</v>
      </c>
      <c r="DLR2" s="420"/>
      <c r="DLS2" s="420"/>
      <c r="DLT2" s="420"/>
      <c r="DLU2" s="419" t="s">
        <v>23</v>
      </c>
      <c r="DLV2" s="420"/>
      <c r="DLW2" s="420"/>
      <c r="DLX2" s="420"/>
      <c r="DLY2" s="419" t="s">
        <v>23</v>
      </c>
      <c r="DLZ2" s="420"/>
      <c r="DMA2" s="420"/>
      <c r="DMB2" s="420"/>
      <c r="DMC2" s="419" t="s">
        <v>23</v>
      </c>
      <c r="DMD2" s="420"/>
      <c r="DME2" s="420"/>
      <c r="DMF2" s="420"/>
      <c r="DMG2" s="419" t="s">
        <v>23</v>
      </c>
      <c r="DMH2" s="420"/>
      <c r="DMI2" s="420"/>
      <c r="DMJ2" s="420"/>
      <c r="DMK2" s="419" t="s">
        <v>23</v>
      </c>
      <c r="DML2" s="420"/>
      <c r="DMM2" s="420"/>
      <c r="DMN2" s="420"/>
      <c r="DMO2" s="419" t="s">
        <v>23</v>
      </c>
      <c r="DMP2" s="420"/>
      <c r="DMQ2" s="420"/>
      <c r="DMR2" s="420"/>
      <c r="DMS2" s="419" t="s">
        <v>23</v>
      </c>
      <c r="DMT2" s="420"/>
      <c r="DMU2" s="420"/>
      <c r="DMV2" s="420"/>
      <c r="DMW2" s="419" t="s">
        <v>23</v>
      </c>
      <c r="DMX2" s="420"/>
      <c r="DMY2" s="420"/>
      <c r="DMZ2" s="420"/>
      <c r="DNA2" s="419" t="s">
        <v>23</v>
      </c>
      <c r="DNB2" s="420"/>
      <c r="DNC2" s="420"/>
      <c r="DND2" s="420"/>
      <c r="DNE2" s="419" t="s">
        <v>23</v>
      </c>
      <c r="DNF2" s="420"/>
      <c r="DNG2" s="420"/>
      <c r="DNH2" s="420"/>
      <c r="DNI2" s="419" t="s">
        <v>23</v>
      </c>
      <c r="DNJ2" s="420"/>
      <c r="DNK2" s="420"/>
      <c r="DNL2" s="420"/>
      <c r="DNM2" s="419" t="s">
        <v>23</v>
      </c>
      <c r="DNN2" s="420"/>
      <c r="DNO2" s="420"/>
      <c r="DNP2" s="420"/>
      <c r="DNQ2" s="419" t="s">
        <v>23</v>
      </c>
      <c r="DNR2" s="420"/>
      <c r="DNS2" s="420"/>
      <c r="DNT2" s="420"/>
      <c r="DNU2" s="419" t="s">
        <v>23</v>
      </c>
      <c r="DNV2" s="420"/>
      <c r="DNW2" s="420"/>
      <c r="DNX2" s="420"/>
      <c r="DNY2" s="419" t="s">
        <v>23</v>
      </c>
      <c r="DNZ2" s="420"/>
      <c r="DOA2" s="420"/>
      <c r="DOB2" s="420"/>
      <c r="DOC2" s="419" t="s">
        <v>23</v>
      </c>
      <c r="DOD2" s="420"/>
      <c r="DOE2" s="420"/>
      <c r="DOF2" s="420"/>
      <c r="DOG2" s="419" t="s">
        <v>23</v>
      </c>
      <c r="DOH2" s="420"/>
      <c r="DOI2" s="420"/>
      <c r="DOJ2" s="420"/>
      <c r="DOK2" s="419" t="s">
        <v>23</v>
      </c>
      <c r="DOL2" s="420"/>
      <c r="DOM2" s="420"/>
      <c r="DON2" s="420"/>
      <c r="DOO2" s="419" t="s">
        <v>23</v>
      </c>
      <c r="DOP2" s="420"/>
      <c r="DOQ2" s="420"/>
      <c r="DOR2" s="420"/>
      <c r="DOS2" s="419" t="s">
        <v>23</v>
      </c>
      <c r="DOT2" s="420"/>
      <c r="DOU2" s="420"/>
      <c r="DOV2" s="420"/>
      <c r="DOW2" s="419" t="s">
        <v>23</v>
      </c>
      <c r="DOX2" s="420"/>
      <c r="DOY2" s="420"/>
      <c r="DOZ2" s="420"/>
      <c r="DPA2" s="419" t="s">
        <v>23</v>
      </c>
      <c r="DPB2" s="420"/>
      <c r="DPC2" s="420"/>
      <c r="DPD2" s="420"/>
      <c r="DPE2" s="419" t="s">
        <v>23</v>
      </c>
      <c r="DPF2" s="420"/>
      <c r="DPG2" s="420"/>
      <c r="DPH2" s="420"/>
      <c r="DPI2" s="419" t="s">
        <v>23</v>
      </c>
      <c r="DPJ2" s="420"/>
      <c r="DPK2" s="420"/>
      <c r="DPL2" s="420"/>
      <c r="DPM2" s="419" t="s">
        <v>23</v>
      </c>
      <c r="DPN2" s="420"/>
      <c r="DPO2" s="420"/>
      <c r="DPP2" s="420"/>
      <c r="DPQ2" s="419" t="s">
        <v>23</v>
      </c>
      <c r="DPR2" s="420"/>
      <c r="DPS2" s="420"/>
      <c r="DPT2" s="420"/>
      <c r="DPU2" s="419" t="s">
        <v>23</v>
      </c>
      <c r="DPV2" s="420"/>
      <c r="DPW2" s="420"/>
      <c r="DPX2" s="420"/>
      <c r="DPY2" s="419" t="s">
        <v>23</v>
      </c>
      <c r="DPZ2" s="420"/>
      <c r="DQA2" s="420"/>
      <c r="DQB2" s="420"/>
      <c r="DQC2" s="419" t="s">
        <v>23</v>
      </c>
      <c r="DQD2" s="420"/>
      <c r="DQE2" s="420"/>
      <c r="DQF2" s="420"/>
      <c r="DQG2" s="419" t="s">
        <v>23</v>
      </c>
      <c r="DQH2" s="420"/>
      <c r="DQI2" s="420"/>
      <c r="DQJ2" s="420"/>
      <c r="DQK2" s="419" t="s">
        <v>23</v>
      </c>
      <c r="DQL2" s="420"/>
      <c r="DQM2" s="420"/>
      <c r="DQN2" s="420"/>
      <c r="DQO2" s="419" t="s">
        <v>23</v>
      </c>
      <c r="DQP2" s="420"/>
      <c r="DQQ2" s="420"/>
      <c r="DQR2" s="420"/>
      <c r="DQS2" s="419" t="s">
        <v>23</v>
      </c>
      <c r="DQT2" s="420"/>
      <c r="DQU2" s="420"/>
      <c r="DQV2" s="420"/>
      <c r="DQW2" s="419" t="s">
        <v>23</v>
      </c>
      <c r="DQX2" s="420"/>
      <c r="DQY2" s="420"/>
      <c r="DQZ2" s="420"/>
      <c r="DRA2" s="419" t="s">
        <v>23</v>
      </c>
      <c r="DRB2" s="420"/>
      <c r="DRC2" s="420"/>
      <c r="DRD2" s="420"/>
      <c r="DRE2" s="419" t="s">
        <v>23</v>
      </c>
      <c r="DRF2" s="420"/>
      <c r="DRG2" s="420"/>
      <c r="DRH2" s="420"/>
      <c r="DRI2" s="419" t="s">
        <v>23</v>
      </c>
      <c r="DRJ2" s="420"/>
      <c r="DRK2" s="420"/>
      <c r="DRL2" s="420"/>
      <c r="DRM2" s="419" t="s">
        <v>23</v>
      </c>
      <c r="DRN2" s="420"/>
      <c r="DRO2" s="420"/>
      <c r="DRP2" s="420"/>
      <c r="DRQ2" s="419" t="s">
        <v>23</v>
      </c>
      <c r="DRR2" s="420"/>
      <c r="DRS2" s="420"/>
      <c r="DRT2" s="420"/>
      <c r="DRU2" s="419" t="s">
        <v>23</v>
      </c>
      <c r="DRV2" s="420"/>
      <c r="DRW2" s="420"/>
      <c r="DRX2" s="420"/>
      <c r="DRY2" s="419" t="s">
        <v>23</v>
      </c>
      <c r="DRZ2" s="420"/>
      <c r="DSA2" s="420"/>
      <c r="DSB2" s="420"/>
      <c r="DSC2" s="419" t="s">
        <v>23</v>
      </c>
      <c r="DSD2" s="420"/>
      <c r="DSE2" s="420"/>
      <c r="DSF2" s="420"/>
      <c r="DSG2" s="419" t="s">
        <v>23</v>
      </c>
      <c r="DSH2" s="420"/>
      <c r="DSI2" s="420"/>
      <c r="DSJ2" s="420"/>
      <c r="DSK2" s="419" t="s">
        <v>23</v>
      </c>
      <c r="DSL2" s="420"/>
      <c r="DSM2" s="420"/>
      <c r="DSN2" s="420"/>
      <c r="DSO2" s="419" t="s">
        <v>23</v>
      </c>
      <c r="DSP2" s="420"/>
      <c r="DSQ2" s="420"/>
      <c r="DSR2" s="420"/>
      <c r="DSS2" s="419" t="s">
        <v>23</v>
      </c>
      <c r="DST2" s="420"/>
      <c r="DSU2" s="420"/>
      <c r="DSV2" s="420"/>
      <c r="DSW2" s="419" t="s">
        <v>23</v>
      </c>
      <c r="DSX2" s="420"/>
      <c r="DSY2" s="420"/>
      <c r="DSZ2" s="420"/>
      <c r="DTA2" s="419" t="s">
        <v>23</v>
      </c>
      <c r="DTB2" s="420"/>
      <c r="DTC2" s="420"/>
      <c r="DTD2" s="420"/>
      <c r="DTE2" s="419" t="s">
        <v>23</v>
      </c>
      <c r="DTF2" s="420"/>
      <c r="DTG2" s="420"/>
      <c r="DTH2" s="420"/>
      <c r="DTI2" s="419" t="s">
        <v>23</v>
      </c>
      <c r="DTJ2" s="420"/>
      <c r="DTK2" s="420"/>
      <c r="DTL2" s="420"/>
      <c r="DTM2" s="419" t="s">
        <v>23</v>
      </c>
      <c r="DTN2" s="420"/>
      <c r="DTO2" s="420"/>
      <c r="DTP2" s="420"/>
      <c r="DTQ2" s="419" t="s">
        <v>23</v>
      </c>
      <c r="DTR2" s="420"/>
      <c r="DTS2" s="420"/>
      <c r="DTT2" s="420"/>
      <c r="DTU2" s="419" t="s">
        <v>23</v>
      </c>
      <c r="DTV2" s="420"/>
      <c r="DTW2" s="420"/>
      <c r="DTX2" s="420"/>
      <c r="DTY2" s="419" t="s">
        <v>23</v>
      </c>
      <c r="DTZ2" s="420"/>
      <c r="DUA2" s="420"/>
      <c r="DUB2" s="420"/>
      <c r="DUC2" s="419" t="s">
        <v>23</v>
      </c>
      <c r="DUD2" s="420"/>
      <c r="DUE2" s="420"/>
      <c r="DUF2" s="420"/>
      <c r="DUG2" s="419" t="s">
        <v>23</v>
      </c>
      <c r="DUH2" s="420"/>
      <c r="DUI2" s="420"/>
      <c r="DUJ2" s="420"/>
      <c r="DUK2" s="419" t="s">
        <v>23</v>
      </c>
      <c r="DUL2" s="420"/>
      <c r="DUM2" s="420"/>
      <c r="DUN2" s="420"/>
      <c r="DUO2" s="419" t="s">
        <v>23</v>
      </c>
      <c r="DUP2" s="420"/>
      <c r="DUQ2" s="420"/>
      <c r="DUR2" s="420"/>
      <c r="DUS2" s="419" t="s">
        <v>23</v>
      </c>
      <c r="DUT2" s="420"/>
      <c r="DUU2" s="420"/>
      <c r="DUV2" s="420"/>
      <c r="DUW2" s="419" t="s">
        <v>23</v>
      </c>
      <c r="DUX2" s="420"/>
      <c r="DUY2" s="420"/>
      <c r="DUZ2" s="420"/>
      <c r="DVA2" s="419" t="s">
        <v>23</v>
      </c>
      <c r="DVB2" s="420"/>
      <c r="DVC2" s="420"/>
      <c r="DVD2" s="420"/>
      <c r="DVE2" s="419" t="s">
        <v>23</v>
      </c>
      <c r="DVF2" s="420"/>
      <c r="DVG2" s="420"/>
      <c r="DVH2" s="420"/>
      <c r="DVI2" s="419" t="s">
        <v>23</v>
      </c>
      <c r="DVJ2" s="420"/>
      <c r="DVK2" s="420"/>
      <c r="DVL2" s="420"/>
      <c r="DVM2" s="419" t="s">
        <v>23</v>
      </c>
      <c r="DVN2" s="420"/>
      <c r="DVO2" s="420"/>
      <c r="DVP2" s="420"/>
      <c r="DVQ2" s="419" t="s">
        <v>23</v>
      </c>
      <c r="DVR2" s="420"/>
      <c r="DVS2" s="420"/>
      <c r="DVT2" s="420"/>
      <c r="DVU2" s="419" t="s">
        <v>23</v>
      </c>
      <c r="DVV2" s="420"/>
      <c r="DVW2" s="420"/>
      <c r="DVX2" s="420"/>
      <c r="DVY2" s="419" t="s">
        <v>23</v>
      </c>
      <c r="DVZ2" s="420"/>
      <c r="DWA2" s="420"/>
      <c r="DWB2" s="420"/>
      <c r="DWC2" s="419" t="s">
        <v>23</v>
      </c>
      <c r="DWD2" s="420"/>
      <c r="DWE2" s="420"/>
      <c r="DWF2" s="420"/>
      <c r="DWG2" s="419" t="s">
        <v>23</v>
      </c>
      <c r="DWH2" s="420"/>
      <c r="DWI2" s="420"/>
      <c r="DWJ2" s="420"/>
      <c r="DWK2" s="419" t="s">
        <v>23</v>
      </c>
      <c r="DWL2" s="420"/>
      <c r="DWM2" s="420"/>
      <c r="DWN2" s="420"/>
      <c r="DWO2" s="419" t="s">
        <v>23</v>
      </c>
      <c r="DWP2" s="420"/>
      <c r="DWQ2" s="420"/>
      <c r="DWR2" s="420"/>
      <c r="DWS2" s="419" t="s">
        <v>23</v>
      </c>
      <c r="DWT2" s="420"/>
      <c r="DWU2" s="420"/>
      <c r="DWV2" s="420"/>
      <c r="DWW2" s="419" t="s">
        <v>23</v>
      </c>
      <c r="DWX2" s="420"/>
      <c r="DWY2" s="420"/>
      <c r="DWZ2" s="420"/>
      <c r="DXA2" s="419" t="s">
        <v>23</v>
      </c>
      <c r="DXB2" s="420"/>
      <c r="DXC2" s="420"/>
      <c r="DXD2" s="420"/>
      <c r="DXE2" s="419" t="s">
        <v>23</v>
      </c>
      <c r="DXF2" s="420"/>
      <c r="DXG2" s="420"/>
      <c r="DXH2" s="420"/>
      <c r="DXI2" s="419" t="s">
        <v>23</v>
      </c>
      <c r="DXJ2" s="420"/>
      <c r="DXK2" s="420"/>
      <c r="DXL2" s="420"/>
      <c r="DXM2" s="419" t="s">
        <v>23</v>
      </c>
      <c r="DXN2" s="420"/>
      <c r="DXO2" s="420"/>
      <c r="DXP2" s="420"/>
      <c r="DXQ2" s="419" t="s">
        <v>23</v>
      </c>
      <c r="DXR2" s="420"/>
      <c r="DXS2" s="420"/>
      <c r="DXT2" s="420"/>
      <c r="DXU2" s="419" t="s">
        <v>23</v>
      </c>
      <c r="DXV2" s="420"/>
      <c r="DXW2" s="420"/>
      <c r="DXX2" s="420"/>
      <c r="DXY2" s="419" t="s">
        <v>23</v>
      </c>
      <c r="DXZ2" s="420"/>
      <c r="DYA2" s="420"/>
      <c r="DYB2" s="420"/>
      <c r="DYC2" s="419" t="s">
        <v>23</v>
      </c>
      <c r="DYD2" s="420"/>
      <c r="DYE2" s="420"/>
      <c r="DYF2" s="420"/>
      <c r="DYG2" s="419" t="s">
        <v>23</v>
      </c>
      <c r="DYH2" s="420"/>
      <c r="DYI2" s="420"/>
      <c r="DYJ2" s="420"/>
      <c r="DYK2" s="419" t="s">
        <v>23</v>
      </c>
      <c r="DYL2" s="420"/>
      <c r="DYM2" s="420"/>
      <c r="DYN2" s="420"/>
      <c r="DYO2" s="419" t="s">
        <v>23</v>
      </c>
      <c r="DYP2" s="420"/>
      <c r="DYQ2" s="420"/>
      <c r="DYR2" s="420"/>
      <c r="DYS2" s="419" t="s">
        <v>23</v>
      </c>
      <c r="DYT2" s="420"/>
      <c r="DYU2" s="420"/>
      <c r="DYV2" s="420"/>
      <c r="DYW2" s="419" t="s">
        <v>23</v>
      </c>
      <c r="DYX2" s="420"/>
      <c r="DYY2" s="420"/>
      <c r="DYZ2" s="420"/>
      <c r="DZA2" s="419" t="s">
        <v>23</v>
      </c>
      <c r="DZB2" s="420"/>
      <c r="DZC2" s="420"/>
      <c r="DZD2" s="420"/>
      <c r="DZE2" s="419" t="s">
        <v>23</v>
      </c>
      <c r="DZF2" s="420"/>
      <c r="DZG2" s="420"/>
      <c r="DZH2" s="420"/>
      <c r="DZI2" s="419" t="s">
        <v>23</v>
      </c>
      <c r="DZJ2" s="420"/>
      <c r="DZK2" s="420"/>
      <c r="DZL2" s="420"/>
      <c r="DZM2" s="419" t="s">
        <v>23</v>
      </c>
      <c r="DZN2" s="420"/>
      <c r="DZO2" s="420"/>
      <c r="DZP2" s="420"/>
      <c r="DZQ2" s="419" t="s">
        <v>23</v>
      </c>
      <c r="DZR2" s="420"/>
      <c r="DZS2" s="420"/>
      <c r="DZT2" s="420"/>
      <c r="DZU2" s="419" t="s">
        <v>23</v>
      </c>
      <c r="DZV2" s="420"/>
      <c r="DZW2" s="420"/>
      <c r="DZX2" s="420"/>
      <c r="DZY2" s="419" t="s">
        <v>23</v>
      </c>
      <c r="DZZ2" s="420"/>
      <c r="EAA2" s="420"/>
      <c r="EAB2" s="420"/>
      <c r="EAC2" s="419" t="s">
        <v>23</v>
      </c>
      <c r="EAD2" s="420"/>
      <c r="EAE2" s="420"/>
      <c r="EAF2" s="420"/>
      <c r="EAG2" s="419" t="s">
        <v>23</v>
      </c>
      <c r="EAH2" s="420"/>
      <c r="EAI2" s="420"/>
      <c r="EAJ2" s="420"/>
      <c r="EAK2" s="419" t="s">
        <v>23</v>
      </c>
      <c r="EAL2" s="420"/>
      <c r="EAM2" s="420"/>
      <c r="EAN2" s="420"/>
      <c r="EAO2" s="419" t="s">
        <v>23</v>
      </c>
      <c r="EAP2" s="420"/>
      <c r="EAQ2" s="420"/>
      <c r="EAR2" s="420"/>
      <c r="EAS2" s="419" t="s">
        <v>23</v>
      </c>
      <c r="EAT2" s="420"/>
      <c r="EAU2" s="420"/>
      <c r="EAV2" s="420"/>
      <c r="EAW2" s="419" t="s">
        <v>23</v>
      </c>
      <c r="EAX2" s="420"/>
      <c r="EAY2" s="420"/>
      <c r="EAZ2" s="420"/>
      <c r="EBA2" s="419" t="s">
        <v>23</v>
      </c>
      <c r="EBB2" s="420"/>
      <c r="EBC2" s="420"/>
      <c r="EBD2" s="420"/>
      <c r="EBE2" s="419" t="s">
        <v>23</v>
      </c>
      <c r="EBF2" s="420"/>
      <c r="EBG2" s="420"/>
      <c r="EBH2" s="420"/>
      <c r="EBI2" s="419" t="s">
        <v>23</v>
      </c>
      <c r="EBJ2" s="420"/>
      <c r="EBK2" s="420"/>
      <c r="EBL2" s="420"/>
      <c r="EBM2" s="419" t="s">
        <v>23</v>
      </c>
      <c r="EBN2" s="420"/>
      <c r="EBO2" s="420"/>
      <c r="EBP2" s="420"/>
      <c r="EBQ2" s="419" t="s">
        <v>23</v>
      </c>
      <c r="EBR2" s="420"/>
      <c r="EBS2" s="420"/>
      <c r="EBT2" s="420"/>
      <c r="EBU2" s="419" t="s">
        <v>23</v>
      </c>
      <c r="EBV2" s="420"/>
      <c r="EBW2" s="420"/>
      <c r="EBX2" s="420"/>
      <c r="EBY2" s="419" t="s">
        <v>23</v>
      </c>
      <c r="EBZ2" s="420"/>
      <c r="ECA2" s="420"/>
      <c r="ECB2" s="420"/>
      <c r="ECC2" s="419" t="s">
        <v>23</v>
      </c>
      <c r="ECD2" s="420"/>
      <c r="ECE2" s="420"/>
      <c r="ECF2" s="420"/>
      <c r="ECG2" s="419" t="s">
        <v>23</v>
      </c>
      <c r="ECH2" s="420"/>
      <c r="ECI2" s="420"/>
      <c r="ECJ2" s="420"/>
      <c r="ECK2" s="419" t="s">
        <v>23</v>
      </c>
      <c r="ECL2" s="420"/>
      <c r="ECM2" s="420"/>
      <c r="ECN2" s="420"/>
      <c r="ECO2" s="419" t="s">
        <v>23</v>
      </c>
      <c r="ECP2" s="420"/>
      <c r="ECQ2" s="420"/>
      <c r="ECR2" s="420"/>
      <c r="ECS2" s="419" t="s">
        <v>23</v>
      </c>
      <c r="ECT2" s="420"/>
      <c r="ECU2" s="420"/>
      <c r="ECV2" s="420"/>
      <c r="ECW2" s="419" t="s">
        <v>23</v>
      </c>
      <c r="ECX2" s="420"/>
      <c r="ECY2" s="420"/>
      <c r="ECZ2" s="420"/>
      <c r="EDA2" s="419" t="s">
        <v>23</v>
      </c>
      <c r="EDB2" s="420"/>
      <c r="EDC2" s="420"/>
      <c r="EDD2" s="420"/>
      <c r="EDE2" s="419" t="s">
        <v>23</v>
      </c>
      <c r="EDF2" s="420"/>
      <c r="EDG2" s="420"/>
      <c r="EDH2" s="420"/>
      <c r="EDI2" s="419" t="s">
        <v>23</v>
      </c>
      <c r="EDJ2" s="420"/>
      <c r="EDK2" s="420"/>
      <c r="EDL2" s="420"/>
      <c r="EDM2" s="419" t="s">
        <v>23</v>
      </c>
      <c r="EDN2" s="420"/>
      <c r="EDO2" s="420"/>
      <c r="EDP2" s="420"/>
      <c r="EDQ2" s="419" t="s">
        <v>23</v>
      </c>
      <c r="EDR2" s="420"/>
      <c r="EDS2" s="420"/>
      <c r="EDT2" s="420"/>
      <c r="EDU2" s="419" t="s">
        <v>23</v>
      </c>
      <c r="EDV2" s="420"/>
      <c r="EDW2" s="420"/>
      <c r="EDX2" s="420"/>
      <c r="EDY2" s="419" t="s">
        <v>23</v>
      </c>
      <c r="EDZ2" s="420"/>
      <c r="EEA2" s="420"/>
      <c r="EEB2" s="420"/>
      <c r="EEC2" s="419" t="s">
        <v>23</v>
      </c>
      <c r="EED2" s="420"/>
      <c r="EEE2" s="420"/>
      <c r="EEF2" s="420"/>
      <c r="EEG2" s="419" t="s">
        <v>23</v>
      </c>
      <c r="EEH2" s="420"/>
      <c r="EEI2" s="420"/>
      <c r="EEJ2" s="420"/>
      <c r="EEK2" s="419" t="s">
        <v>23</v>
      </c>
      <c r="EEL2" s="420"/>
      <c r="EEM2" s="420"/>
      <c r="EEN2" s="420"/>
      <c r="EEO2" s="419" t="s">
        <v>23</v>
      </c>
      <c r="EEP2" s="420"/>
      <c r="EEQ2" s="420"/>
      <c r="EER2" s="420"/>
      <c r="EES2" s="419" t="s">
        <v>23</v>
      </c>
      <c r="EET2" s="420"/>
      <c r="EEU2" s="420"/>
      <c r="EEV2" s="420"/>
      <c r="EEW2" s="419" t="s">
        <v>23</v>
      </c>
      <c r="EEX2" s="420"/>
      <c r="EEY2" s="420"/>
      <c r="EEZ2" s="420"/>
      <c r="EFA2" s="419" t="s">
        <v>23</v>
      </c>
      <c r="EFB2" s="420"/>
      <c r="EFC2" s="420"/>
      <c r="EFD2" s="420"/>
      <c r="EFE2" s="419" t="s">
        <v>23</v>
      </c>
      <c r="EFF2" s="420"/>
      <c r="EFG2" s="420"/>
      <c r="EFH2" s="420"/>
      <c r="EFI2" s="419" t="s">
        <v>23</v>
      </c>
      <c r="EFJ2" s="420"/>
      <c r="EFK2" s="420"/>
      <c r="EFL2" s="420"/>
      <c r="EFM2" s="419" t="s">
        <v>23</v>
      </c>
      <c r="EFN2" s="420"/>
      <c r="EFO2" s="420"/>
      <c r="EFP2" s="420"/>
      <c r="EFQ2" s="419" t="s">
        <v>23</v>
      </c>
      <c r="EFR2" s="420"/>
      <c r="EFS2" s="420"/>
      <c r="EFT2" s="420"/>
      <c r="EFU2" s="419" t="s">
        <v>23</v>
      </c>
      <c r="EFV2" s="420"/>
      <c r="EFW2" s="420"/>
      <c r="EFX2" s="420"/>
      <c r="EFY2" s="419" t="s">
        <v>23</v>
      </c>
      <c r="EFZ2" s="420"/>
      <c r="EGA2" s="420"/>
      <c r="EGB2" s="420"/>
      <c r="EGC2" s="419" t="s">
        <v>23</v>
      </c>
      <c r="EGD2" s="420"/>
      <c r="EGE2" s="420"/>
      <c r="EGF2" s="420"/>
      <c r="EGG2" s="419" t="s">
        <v>23</v>
      </c>
      <c r="EGH2" s="420"/>
      <c r="EGI2" s="420"/>
      <c r="EGJ2" s="420"/>
      <c r="EGK2" s="419" t="s">
        <v>23</v>
      </c>
      <c r="EGL2" s="420"/>
      <c r="EGM2" s="420"/>
      <c r="EGN2" s="420"/>
      <c r="EGO2" s="419" t="s">
        <v>23</v>
      </c>
      <c r="EGP2" s="420"/>
      <c r="EGQ2" s="420"/>
      <c r="EGR2" s="420"/>
      <c r="EGS2" s="419" t="s">
        <v>23</v>
      </c>
      <c r="EGT2" s="420"/>
      <c r="EGU2" s="420"/>
      <c r="EGV2" s="420"/>
      <c r="EGW2" s="419" t="s">
        <v>23</v>
      </c>
      <c r="EGX2" s="420"/>
      <c r="EGY2" s="420"/>
      <c r="EGZ2" s="420"/>
      <c r="EHA2" s="419" t="s">
        <v>23</v>
      </c>
      <c r="EHB2" s="420"/>
      <c r="EHC2" s="420"/>
      <c r="EHD2" s="420"/>
      <c r="EHE2" s="419" t="s">
        <v>23</v>
      </c>
      <c r="EHF2" s="420"/>
      <c r="EHG2" s="420"/>
      <c r="EHH2" s="420"/>
      <c r="EHI2" s="419" t="s">
        <v>23</v>
      </c>
      <c r="EHJ2" s="420"/>
      <c r="EHK2" s="420"/>
      <c r="EHL2" s="420"/>
      <c r="EHM2" s="419" t="s">
        <v>23</v>
      </c>
      <c r="EHN2" s="420"/>
      <c r="EHO2" s="420"/>
      <c r="EHP2" s="420"/>
      <c r="EHQ2" s="419" t="s">
        <v>23</v>
      </c>
      <c r="EHR2" s="420"/>
      <c r="EHS2" s="420"/>
      <c r="EHT2" s="420"/>
      <c r="EHU2" s="419" t="s">
        <v>23</v>
      </c>
      <c r="EHV2" s="420"/>
      <c r="EHW2" s="420"/>
      <c r="EHX2" s="420"/>
      <c r="EHY2" s="419" t="s">
        <v>23</v>
      </c>
      <c r="EHZ2" s="420"/>
      <c r="EIA2" s="420"/>
      <c r="EIB2" s="420"/>
      <c r="EIC2" s="419" t="s">
        <v>23</v>
      </c>
      <c r="EID2" s="420"/>
      <c r="EIE2" s="420"/>
      <c r="EIF2" s="420"/>
      <c r="EIG2" s="419" t="s">
        <v>23</v>
      </c>
      <c r="EIH2" s="420"/>
      <c r="EII2" s="420"/>
      <c r="EIJ2" s="420"/>
      <c r="EIK2" s="419" t="s">
        <v>23</v>
      </c>
      <c r="EIL2" s="420"/>
      <c r="EIM2" s="420"/>
      <c r="EIN2" s="420"/>
      <c r="EIO2" s="419" t="s">
        <v>23</v>
      </c>
      <c r="EIP2" s="420"/>
      <c r="EIQ2" s="420"/>
      <c r="EIR2" s="420"/>
      <c r="EIS2" s="419" t="s">
        <v>23</v>
      </c>
      <c r="EIT2" s="420"/>
      <c r="EIU2" s="420"/>
      <c r="EIV2" s="420"/>
      <c r="EIW2" s="419" t="s">
        <v>23</v>
      </c>
      <c r="EIX2" s="420"/>
      <c r="EIY2" s="420"/>
      <c r="EIZ2" s="420"/>
      <c r="EJA2" s="419" t="s">
        <v>23</v>
      </c>
      <c r="EJB2" s="420"/>
      <c r="EJC2" s="420"/>
      <c r="EJD2" s="420"/>
      <c r="EJE2" s="419" t="s">
        <v>23</v>
      </c>
      <c r="EJF2" s="420"/>
      <c r="EJG2" s="420"/>
      <c r="EJH2" s="420"/>
      <c r="EJI2" s="419" t="s">
        <v>23</v>
      </c>
      <c r="EJJ2" s="420"/>
      <c r="EJK2" s="420"/>
      <c r="EJL2" s="420"/>
      <c r="EJM2" s="419" t="s">
        <v>23</v>
      </c>
      <c r="EJN2" s="420"/>
      <c r="EJO2" s="420"/>
      <c r="EJP2" s="420"/>
      <c r="EJQ2" s="419" t="s">
        <v>23</v>
      </c>
      <c r="EJR2" s="420"/>
      <c r="EJS2" s="420"/>
      <c r="EJT2" s="420"/>
      <c r="EJU2" s="419" t="s">
        <v>23</v>
      </c>
      <c r="EJV2" s="420"/>
      <c r="EJW2" s="420"/>
      <c r="EJX2" s="420"/>
      <c r="EJY2" s="419" t="s">
        <v>23</v>
      </c>
      <c r="EJZ2" s="420"/>
      <c r="EKA2" s="420"/>
      <c r="EKB2" s="420"/>
      <c r="EKC2" s="419" t="s">
        <v>23</v>
      </c>
      <c r="EKD2" s="420"/>
      <c r="EKE2" s="420"/>
      <c r="EKF2" s="420"/>
      <c r="EKG2" s="419" t="s">
        <v>23</v>
      </c>
      <c r="EKH2" s="420"/>
      <c r="EKI2" s="420"/>
      <c r="EKJ2" s="420"/>
      <c r="EKK2" s="419" t="s">
        <v>23</v>
      </c>
      <c r="EKL2" s="420"/>
      <c r="EKM2" s="420"/>
      <c r="EKN2" s="420"/>
      <c r="EKO2" s="419" t="s">
        <v>23</v>
      </c>
      <c r="EKP2" s="420"/>
      <c r="EKQ2" s="420"/>
      <c r="EKR2" s="420"/>
      <c r="EKS2" s="419" t="s">
        <v>23</v>
      </c>
      <c r="EKT2" s="420"/>
      <c r="EKU2" s="420"/>
      <c r="EKV2" s="420"/>
      <c r="EKW2" s="419" t="s">
        <v>23</v>
      </c>
      <c r="EKX2" s="420"/>
      <c r="EKY2" s="420"/>
      <c r="EKZ2" s="420"/>
      <c r="ELA2" s="419" t="s">
        <v>23</v>
      </c>
      <c r="ELB2" s="420"/>
      <c r="ELC2" s="420"/>
      <c r="ELD2" s="420"/>
      <c r="ELE2" s="419" t="s">
        <v>23</v>
      </c>
      <c r="ELF2" s="420"/>
      <c r="ELG2" s="420"/>
      <c r="ELH2" s="420"/>
      <c r="ELI2" s="419" t="s">
        <v>23</v>
      </c>
      <c r="ELJ2" s="420"/>
      <c r="ELK2" s="420"/>
      <c r="ELL2" s="420"/>
      <c r="ELM2" s="419" t="s">
        <v>23</v>
      </c>
      <c r="ELN2" s="420"/>
      <c r="ELO2" s="420"/>
      <c r="ELP2" s="420"/>
      <c r="ELQ2" s="419" t="s">
        <v>23</v>
      </c>
      <c r="ELR2" s="420"/>
      <c r="ELS2" s="420"/>
      <c r="ELT2" s="420"/>
      <c r="ELU2" s="419" t="s">
        <v>23</v>
      </c>
      <c r="ELV2" s="420"/>
      <c r="ELW2" s="420"/>
      <c r="ELX2" s="420"/>
      <c r="ELY2" s="419" t="s">
        <v>23</v>
      </c>
      <c r="ELZ2" s="420"/>
      <c r="EMA2" s="420"/>
      <c r="EMB2" s="420"/>
      <c r="EMC2" s="419" t="s">
        <v>23</v>
      </c>
      <c r="EMD2" s="420"/>
      <c r="EME2" s="420"/>
      <c r="EMF2" s="420"/>
      <c r="EMG2" s="419" t="s">
        <v>23</v>
      </c>
      <c r="EMH2" s="420"/>
      <c r="EMI2" s="420"/>
      <c r="EMJ2" s="420"/>
      <c r="EMK2" s="419" t="s">
        <v>23</v>
      </c>
      <c r="EML2" s="420"/>
      <c r="EMM2" s="420"/>
      <c r="EMN2" s="420"/>
      <c r="EMO2" s="419" t="s">
        <v>23</v>
      </c>
      <c r="EMP2" s="420"/>
      <c r="EMQ2" s="420"/>
      <c r="EMR2" s="420"/>
      <c r="EMS2" s="419" t="s">
        <v>23</v>
      </c>
      <c r="EMT2" s="420"/>
      <c r="EMU2" s="420"/>
      <c r="EMV2" s="420"/>
      <c r="EMW2" s="419" t="s">
        <v>23</v>
      </c>
      <c r="EMX2" s="420"/>
      <c r="EMY2" s="420"/>
      <c r="EMZ2" s="420"/>
      <c r="ENA2" s="419" t="s">
        <v>23</v>
      </c>
      <c r="ENB2" s="420"/>
      <c r="ENC2" s="420"/>
      <c r="END2" s="420"/>
      <c r="ENE2" s="419" t="s">
        <v>23</v>
      </c>
      <c r="ENF2" s="420"/>
      <c r="ENG2" s="420"/>
      <c r="ENH2" s="420"/>
      <c r="ENI2" s="419" t="s">
        <v>23</v>
      </c>
      <c r="ENJ2" s="420"/>
      <c r="ENK2" s="420"/>
      <c r="ENL2" s="420"/>
      <c r="ENM2" s="419" t="s">
        <v>23</v>
      </c>
      <c r="ENN2" s="420"/>
      <c r="ENO2" s="420"/>
      <c r="ENP2" s="420"/>
      <c r="ENQ2" s="419" t="s">
        <v>23</v>
      </c>
      <c r="ENR2" s="420"/>
      <c r="ENS2" s="420"/>
      <c r="ENT2" s="420"/>
      <c r="ENU2" s="419" t="s">
        <v>23</v>
      </c>
      <c r="ENV2" s="420"/>
      <c r="ENW2" s="420"/>
      <c r="ENX2" s="420"/>
      <c r="ENY2" s="419" t="s">
        <v>23</v>
      </c>
      <c r="ENZ2" s="420"/>
      <c r="EOA2" s="420"/>
      <c r="EOB2" s="420"/>
      <c r="EOC2" s="419" t="s">
        <v>23</v>
      </c>
      <c r="EOD2" s="420"/>
      <c r="EOE2" s="420"/>
      <c r="EOF2" s="420"/>
      <c r="EOG2" s="419" t="s">
        <v>23</v>
      </c>
      <c r="EOH2" s="420"/>
      <c r="EOI2" s="420"/>
      <c r="EOJ2" s="420"/>
      <c r="EOK2" s="419" t="s">
        <v>23</v>
      </c>
      <c r="EOL2" s="420"/>
      <c r="EOM2" s="420"/>
      <c r="EON2" s="420"/>
      <c r="EOO2" s="419" t="s">
        <v>23</v>
      </c>
      <c r="EOP2" s="420"/>
      <c r="EOQ2" s="420"/>
      <c r="EOR2" s="420"/>
      <c r="EOS2" s="419" t="s">
        <v>23</v>
      </c>
      <c r="EOT2" s="420"/>
      <c r="EOU2" s="420"/>
      <c r="EOV2" s="420"/>
      <c r="EOW2" s="419" t="s">
        <v>23</v>
      </c>
      <c r="EOX2" s="420"/>
      <c r="EOY2" s="420"/>
      <c r="EOZ2" s="420"/>
      <c r="EPA2" s="419" t="s">
        <v>23</v>
      </c>
      <c r="EPB2" s="420"/>
      <c r="EPC2" s="420"/>
      <c r="EPD2" s="420"/>
      <c r="EPE2" s="419" t="s">
        <v>23</v>
      </c>
      <c r="EPF2" s="420"/>
      <c r="EPG2" s="420"/>
      <c r="EPH2" s="420"/>
      <c r="EPI2" s="419" t="s">
        <v>23</v>
      </c>
      <c r="EPJ2" s="420"/>
      <c r="EPK2" s="420"/>
      <c r="EPL2" s="420"/>
      <c r="EPM2" s="419" t="s">
        <v>23</v>
      </c>
      <c r="EPN2" s="420"/>
      <c r="EPO2" s="420"/>
      <c r="EPP2" s="420"/>
      <c r="EPQ2" s="419" t="s">
        <v>23</v>
      </c>
      <c r="EPR2" s="420"/>
      <c r="EPS2" s="420"/>
      <c r="EPT2" s="420"/>
      <c r="EPU2" s="419" t="s">
        <v>23</v>
      </c>
      <c r="EPV2" s="420"/>
      <c r="EPW2" s="420"/>
      <c r="EPX2" s="420"/>
      <c r="EPY2" s="419" t="s">
        <v>23</v>
      </c>
      <c r="EPZ2" s="420"/>
      <c r="EQA2" s="420"/>
      <c r="EQB2" s="420"/>
      <c r="EQC2" s="419" t="s">
        <v>23</v>
      </c>
      <c r="EQD2" s="420"/>
      <c r="EQE2" s="420"/>
      <c r="EQF2" s="420"/>
      <c r="EQG2" s="419" t="s">
        <v>23</v>
      </c>
      <c r="EQH2" s="420"/>
      <c r="EQI2" s="420"/>
      <c r="EQJ2" s="420"/>
      <c r="EQK2" s="419" t="s">
        <v>23</v>
      </c>
      <c r="EQL2" s="420"/>
      <c r="EQM2" s="420"/>
      <c r="EQN2" s="420"/>
      <c r="EQO2" s="419" t="s">
        <v>23</v>
      </c>
      <c r="EQP2" s="420"/>
      <c r="EQQ2" s="420"/>
      <c r="EQR2" s="420"/>
      <c r="EQS2" s="419" t="s">
        <v>23</v>
      </c>
      <c r="EQT2" s="420"/>
      <c r="EQU2" s="420"/>
      <c r="EQV2" s="420"/>
      <c r="EQW2" s="419" t="s">
        <v>23</v>
      </c>
      <c r="EQX2" s="420"/>
      <c r="EQY2" s="420"/>
      <c r="EQZ2" s="420"/>
      <c r="ERA2" s="419" t="s">
        <v>23</v>
      </c>
      <c r="ERB2" s="420"/>
      <c r="ERC2" s="420"/>
      <c r="ERD2" s="420"/>
      <c r="ERE2" s="419" t="s">
        <v>23</v>
      </c>
      <c r="ERF2" s="420"/>
      <c r="ERG2" s="420"/>
      <c r="ERH2" s="420"/>
      <c r="ERI2" s="419" t="s">
        <v>23</v>
      </c>
      <c r="ERJ2" s="420"/>
      <c r="ERK2" s="420"/>
      <c r="ERL2" s="420"/>
      <c r="ERM2" s="419" t="s">
        <v>23</v>
      </c>
      <c r="ERN2" s="420"/>
      <c r="ERO2" s="420"/>
      <c r="ERP2" s="420"/>
      <c r="ERQ2" s="419" t="s">
        <v>23</v>
      </c>
      <c r="ERR2" s="420"/>
      <c r="ERS2" s="420"/>
      <c r="ERT2" s="420"/>
      <c r="ERU2" s="419" t="s">
        <v>23</v>
      </c>
      <c r="ERV2" s="420"/>
      <c r="ERW2" s="420"/>
      <c r="ERX2" s="420"/>
      <c r="ERY2" s="419" t="s">
        <v>23</v>
      </c>
      <c r="ERZ2" s="420"/>
      <c r="ESA2" s="420"/>
      <c r="ESB2" s="420"/>
      <c r="ESC2" s="419" t="s">
        <v>23</v>
      </c>
      <c r="ESD2" s="420"/>
      <c r="ESE2" s="420"/>
      <c r="ESF2" s="420"/>
      <c r="ESG2" s="419" t="s">
        <v>23</v>
      </c>
      <c r="ESH2" s="420"/>
      <c r="ESI2" s="420"/>
      <c r="ESJ2" s="420"/>
      <c r="ESK2" s="419" t="s">
        <v>23</v>
      </c>
      <c r="ESL2" s="420"/>
      <c r="ESM2" s="420"/>
      <c r="ESN2" s="420"/>
      <c r="ESO2" s="419" t="s">
        <v>23</v>
      </c>
      <c r="ESP2" s="420"/>
      <c r="ESQ2" s="420"/>
      <c r="ESR2" s="420"/>
      <c r="ESS2" s="419" t="s">
        <v>23</v>
      </c>
      <c r="EST2" s="420"/>
      <c r="ESU2" s="420"/>
      <c r="ESV2" s="420"/>
      <c r="ESW2" s="419" t="s">
        <v>23</v>
      </c>
      <c r="ESX2" s="420"/>
      <c r="ESY2" s="420"/>
      <c r="ESZ2" s="420"/>
      <c r="ETA2" s="419" t="s">
        <v>23</v>
      </c>
      <c r="ETB2" s="420"/>
      <c r="ETC2" s="420"/>
      <c r="ETD2" s="420"/>
      <c r="ETE2" s="419" t="s">
        <v>23</v>
      </c>
      <c r="ETF2" s="420"/>
      <c r="ETG2" s="420"/>
      <c r="ETH2" s="420"/>
      <c r="ETI2" s="419" t="s">
        <v>23</v>
      </c>
      <c r="ETJ2" s="420"/>
      <c r="ETK2" s="420"/>
      <c r="ETL2" s="420"/>
      <c r="ETM2" s="419" t="s">
        <v>23</v>
      </c>
      <c r="ETN2" s="420"/>
      <c r="ETO2" s="420"/>
      <c r="ETP2" s="420"/>
      <c r="ETQ2" s="419" t="s">
        <v>23</v>
      </c>
      <c r="ETR2" s="420"/>
      <c r="ETS2" s="420"/>
      <c r="ETT2" s="420"/>
      <c r="ETU2" s="419" t="s">
        <v>23</v>
      </c>
      <c r="ETV2" s="420"/>
      <c r="ETW2" s="420"/>
      <c r="ETX2" s="420"/>
      <c r="ETY2" s="419" t="s">
        <v>23</v>
      </c>
      <c r="ETZ2" s="420"/>
      <c r="EUA2" s="420"/>
      <c r="EUB2" s="420"/>
      <c r="EUC2" s="419" t="s">
        <v>23</v>
      </c>
      <c r="EUD2" s="420"/>
      <c r="EUE2" s="420"/>
      <c r="EUF2" s="420"/>
      <c r="EUG2" s="419" t="s">
        <v>23</v>
      </c>
      <c r="EUH2" s="420"/>
      <c r="EUI2" s="420"/>
      <c r="EUJ2" s="420"/>
      <c r="EUK2" s="419" t="s">
        <v>23</v>
      </c>
      <c r="EUL2" s="420"/>
      <c r="EUM2" s="420"/>
      <c r="EUN2" s="420"/>
      <c r="EUO2" s="419" t="s">
        <v>23</v>
      </c>
      <c r="EUP2" s="420"/>
      <c r="EUQ2" s="420"/>
      <c r="EUR2" s="420"/>
      <c r="EUS2" s="419" t="s">
        <v>23</v>
      </c>
      <c r="EUT2" s="420"/>
      <c r="EUU2" s="420"/>
      <c r="EUV2" s="420"/>
      <c r="EUW2" s="419" t="s">
        <v>23</v>
      </c>
      <c r="EUX2" s="420"/>
      <c r="EUY2" s="420"/>
      <c r="EUZ2" s="420"/>
      <c r="EVA2" s="419" t="s">
        <v>23</v>
      </c>
      <c r="EVB2" s="420"/>
      <c r="EVC2" s="420"/>
      <c r="EVD2" s="420"/>
      <c r="EVE2" s="419" t="s">
        <v>23</v>
      </c>
      <c r="EVF2" s="420"/>
      <c r="EVG2" s="420"/>
      <c r="EVH2" s="420"/>
      <c r="EVI2" s="419" t="s">
        <v>23</v>
      </c>
      <c r="EVJ2" s="420"/>
      <c r="EVK2" s="420"/>
      <c r="EVL2" s="420"/>
      <c r="EVM2" s="419" t="s">
        <v>23</v>
      </c>
      <c r="EVN2" s="420"/>
      <c r="EVO2" s="420"/>
      <c r="EVP2" s="420"/>
      <c r="EVQ2" s="419" t="s">
        <v>23</v>
      </c>
      <c r="EVR2" s="420"/>
      <c r="EVS2" s="420"/>
      <c r="EVT2" s="420"/>
      <c r="EVU2" s="419" t="s">
        <v>23</v>
      </c>
      <c r="EVV2" s="420"/>
      <c r="EVW2" s="420"/>
      <c r="EVX2" s="420"/>
      <c r="EVY2" s="419" t="s">
        <v>23</v>
      </c>
      <c r="EVZ2" s="420"/>
      <c r="EWA2" s="420"/>
      <c r="EWB2" s="420"/>
      <c r="EWC2" s="419" t="s">
        <v>23</v>
      </c>
      <c r="EWD2" s="420"/>
      <c r="EWE2" s="420"/>
      <c r="EWF2" s="420"/>
      <c r="EWG2" s="419" t="s">
        <v>23</v>
      </c>
      <c r="EWH2" s="420"/>
      <c r="EWI2" s="420"/>
      <c r="EWJ2" s="420"/>
      <c r="EWK2" s="419" t="s">
        <v>23</v>
      </c>
      <c r="EWL2" s="420"/>
      <c r="EWM2" s="420"/>
      <c r="EWN2" s="420"/>
      <c r="EWO2" s="419" t="s">
        <v>23</v>
      </c>
      <c r="EWP2" s="420"/>
      <c r="EWQ2" s="420"/>
      <c r="EWR2" s="420"/>
      <c r="EWS2" s="419" t="s">
        <v>23</v>
      </c>
      <c r="EWT2" s="420"/>
      <c r="EWU2" s="420"/>
      <c r="EWV2" s="420"/>
      <c r="EWW2" s="419" t="s">
        <v>23</v>
      </c>
      <c r="EWX2" s="420"/>
      <c r="EWY2" s="420"/>
      <c r="EWZ2" s="420"/>
      <c r="EXA2" s="419" t="s">
        <v>23</v>
      </c>
      <c r="EXB2" s="420"/>
      <c r="EXC2" s="420"/>
      <c r="EXD2" s="420"/>
      <c r="EXE2" s="419" t="s">
        <v>23</v>
      </c>
      <c r="EXF2" s="420"/>
      <c r="EXG2" s="420"/>
      <c r="EXH2" s="420"/>
      <c r="EXI2" s="419" t="s">
        <v>23</v>
      </c>
      <c r="EXJ2" s="420"/>
      <c r="EXK2" s="420"/>
      <c r="EXL2" s="420"/>
      <c r="EXM2" s="419" t="s">
        <v>23</v>
      </c>
      <c r="EXN2" s="420"/>
      <c r="EXO2" s="420"/>
      <c r="EXP2" s="420"/>
      <c r="EXQ2" s="419" t="s">
        <v>23</v>
      </c>
      <c r="EXR2" s="420"/>
      <c r="EXS2" s="420"/>
      <c r="EXT2" s="420"/>
      <c r="EXU2" s="419" t="s">
        <v>23</v>
      </c>
      <c r="EXV2" s="420"/>
      <c r="EXW2" s="420"/>
      <c r="EXX2" s="420"/>
      <c r="EXY2" s="419" t="s">
        <v>23</v>
      </c>
      <c r="EXZ2" s="420"/>
      <c r="EYA2" s="420"/>
      <c r="EYB2" s="420"/>
      <c r="EYC2" s="419" t="s">
        <v>23</v>
      </c>
      <c r="EYD2" s="420"/>
      <c r="EYE2" s="420"/>
      <c r="EYF2" s="420"/>
      <c r="EYG2" s="419" t="s">
        <v>23</v>
      </c>
      <c r="EYH2" s="420"/>
      <c r="EYI2" s="420"/>
      <c r="EYJ2" s="420"/>
      <c r="EYK2" s="419" t="s">
        <v>23</v>
      </c>
      <c r="EYL2" s="420"/>
      <c r="EYM2" s="420"/>
      <c r="EYN2" s="420"/>
      <c r="EYO2" s="419" t="s">
        <v>23</v>
      </c>
      <c r="EYP2" s="420"/>
      <c r="EYQ2" s="420"/>
      <c r="EYR2" s="420"/>
      <c r="EYS2" s="419" t="s">
        <v>23</v>
      </c>
      <c r="EYT2" s="420"/>
      <c r="EYU2" s="420"/>
      <c r="EYV2" s="420"/>
      <c r="EYW2" s="419" t="s">
        <v>23</v>
      </c>
      <c r="EYX2" s="420"/>
      <c r="EYY2" s="420"/>
      <c r="EYZ2" s="420"/>
      <c r="EZA2" s="419" t="s">
        <v>23</v>
      </c>
      <c r="EZB2" s="420"/>
      <c r="EZC2" s="420"/>
      <c r="EZD2" s="420"/>
      <c r="EZE2" s="419" t="s">
        <v>23</v>
      </c>
      <c r="EZF2" s="420"/>
      <c r="EZG2" s="420"/>
      <c r="EZH2" s="420"/>
      <c r="EZI2" s="419" t="s">
        <v>23</v>
      </c>
      <c r="EZJ2" s="420"/>
      <c r="EZK2" s="420"/>
      <c r="EZL2" s="420"/>
      <c r="EZM2" s="419" t="s">
        <v>23</v>
      </c>
      <c r="EZN2" s="420"/>
      <c r="EZO2" s="420"/>
      <c r="EZP2" s="420"/>
      <c r="EZQ2" s="419" t="s">
        <v>23</v>
      </c>
      <c r="EZR2" s="420"/>
      <c r="EZS2" s="420"/>
      <c r="EZT2" s="420"/>
      <c r="EZU2" s="419" t="s">
        <v>23</v>
      </c>
      <c r="EZV2" s="420"/>
      <c r="EZW2" s="420"/>
      <c r="EZX2" s="420"/>
      <c r="EZY2" s="419" t="s">
        <v>23</v>
      </c>
      <c r="EZZ2" s="420"/>
      <c r="FAA2" s="420"/>
      <c r="FAB2" s="420"/>
      <c r="FAC2" s="419" t="s">
        <v>23</v>
      </c>
      <c r="FAD2" s="420"/>
      <c r="FAE2" s="420"/>
      <c r="FAF2" s="420"/>
      <c r="FAG2" s="419" t="s">
        <v>23</v>
      </c>
      <c r="FAH2" s="420"/>
      <c r="FAI2" s="420"/>
      <c r="FAJ2" s="420"/>
      <c r="FAK2" s="419" t="s">
        <v>23</v>
      </c>
      <c r="FAL2" s="420"/>
      <c r="FAM2" s="420"/>
      <c r="FAN2" s="420"/>
      <c r="FAO2" s="419" t="s">
        <v>23</v>
      </c>
      <c r="FAP2" s="420"/>
      <c r="FAQ2" s="420"/>
      <c r="FAR2" s="420"/>
      <c r="FAS2" s="419" t="s">
        <v>23</v>
      </c>
      <c r="FAT2" s="420"/>
      <c r="FAU2" s="420"/>
      <c r="FAV2" s="420"/>
      <c r="FAW2" s="419" t="s">
        <v>23</v>
      </c>
      <c r="FAX2" s="420"/>
      <c r="FAY2" s="420"/>
      <c r="FAZ2" s="420"/>
      <c r="FBA2" s="419" t="s">
        <v>23</v>
      </c>
      <c r="FBB2" s="420"/>
      <c r="FBC2" s="420"/>
      <c r="FBD2" s="420"/>
      <c r="FBE2" s="419" t="s">
        <v>23</v>
      </c>
      <c r="FBF2" s="420"/>
      <c r="FBG2" s="420"/>
      <c r="FBH2" s="420"/>
      <c r="FBI2" s="419" t="s">
        <v>23</v>
      </c>
      <c r="FBJ2" s="420"/>
      <c r="FBK2" s="420"/>
      <c r="FBL2" s="420"/>
      <c r="FBM2" s="419" t="s">
        <v>23</v>
      </c>
      <c r="FBN2" s="420"/>
      <c r="FBO2" s="420"/>
      <c r="FBP2" s="420"/>
      <c r="FBQ2" s="419" t="s">
        <v>23</v>
      </c>
      <c r="FBR2" s="420"/>
      <c r="FBS2" s="420"/>
      <c r="FBT2" s="420"/>
      <c r="FBU2" s="419" t="s">
        <v>23</v>
      </c>
      <c r="FBV2" s="420"/>
      <c r="FBW2" s="420"/>
      <c r="FBX2" s="420"/>
      <c r="FBY2" s="419" t="s">
        <v>23</v>
      </c>
      <c r="FBZ2" s="420"/>
      <c r="FCA2" s="420"/>
      <c r="FCB2" s="420"/>
      <c r="FCC2" s="419" t="s">
        <v>23</v>
      </c>
      <c r="FCD2" s="420"/>
      <c r="FCE2" s="420"/>
      <c r="FCF2" s="420"/>
      <c r="FCG2" s="419" t="s">
        <v>23</v>
      </c>
      <c r="FCH2" s="420"/>
      <c r="FCI2" s="420"/>
      <c r="FCJ2" s="420"/>
      <c r="FCK2" s="419" t="s">
        <v>23</v>
      </c>
      <c r="FCL2" s="420"/>
      <c r="FCM2" s="420"/>
      <c r="FCN2" s="420"/>
      <c r="FCO2" s="419" t="s">
        <v>23</v>
      </c>
      <c r="FCP2" s="420"/>
      <c r="FCQ2" s="420"/>
      <c r="FCR2" s="420"/>
      <c r="FCS2" s="419" t="s">
        <v>23</v>
      </c>
      <c r="FCT2" s="420"/>
      <c r="FCU2" s="420"/>
      <c r="FCV2" s="420"/>
      <c r="FCW2" s="419" t="s">
        <v>23</v>
      </c>
      <c r="FCX2" s="420"/>
      <c r="FCY2" s="420"/>
      <c r="FCZ2" s="420"/>
      <c r="FDA2" s="419" t="s">
        <v>23</v>
      </c>
      <c r="FDB2" s="420"/>
      <c r="FDC2" s="420"/>
      <c r="FDD2" s="420"/>
      <c r="FDE2" s="419" t="s">
        <v>23</v>
      </c>
      <c r="FDF2" s="420"/>
      <c r="FDG2" s="420"/>
      <c r="FDH2" s="420"/>
      <c r="FDI2" s="419" t="s">
        <v>23</v>
      </c>
      <c r="FDJ2" s="420"/>
      <c r="FDK2" s="420"/>
      <c r="FDL2" s="420"/>
      <c r="FDM2" s="419" t="s">
        <v>23</v>
      </c>
      <c r="FDN2" s="420"/>
      <c r="FDO2" s="420"/>
      <c r="FDP2" s="420"/>
      <c r="FDQ2" s="419" t="s">
        <v>23</v>
      </c>
      <c r="FDR2" s="420"/>
      <c r="FDS2" s="420"/>
      <c r="FDT2" s="420"/>
      <c r="FDU2" s="419" t="s">
        <v>23</v>
      </c>
      <c r="FDV2" s="420"/>
      <c r="FDW2" s="420"/>
      <c r="FDX2" s="420"/>
      <c r="FDY2" s="419" t="s">
        <v>23</v>
      </c>
      <c r="FDZ2" s="420"/>
      <c r="FEA2" s="420"/>
      <c r="FEB2" s="420"/>
      <c r="FEC2" s="419" t="s">
        <v>23</v>
      </c>
      <c r="FED2" s="420"/>
      <c r="FEE2" s="420"/>
      <c r="FEF2" s="420"/>
      <c r="FEG2" s="419" t="s">
        <v>23</v>
      </c>
      <c r="FEH2" s="420"/>
      <c r="FEI2" s="420"/>
      <c r="FEJ2" s="420"/>
      <c r="FEK2" s="419" t="s">
        <v>23</v>
      </c>
      <c r="FEL2" s="420"/>
      <c r="FEM2" s="420"/>
      <c r="FEN2" s="420"/>
      <c r="FEO2" s="419" t="s">
        <v>23</v>
      </c>
      <c r="FEP2" s="420"/>
      <c r="FEQ2" s="420"/>
      <c r="FER2" s="420"/>
      <c r="FES2" s="419" t="s">
        <v>23</v>
      </c>
      <c r="FET2" s="420"/>
      <c r="FEU2" s="420"/>
      <c r="FEV2" s="420"/>
      <c r="FEW2" s="419" t="s">
        <v>23</v>
      </c>
      <c r="FEX2" s="420"/>
      <c r="FEY2" s="420"/>
      <c r="FEZ2" s="420"/>
      <c r="FFA2" s="419" t="s">
        <v>23</v>
      </c>
      <c r="FFB2" s="420"/>
      <c r="FFC2" s="420"/>
      <c r="FFD2" s="420"/>
      <c r="FFE2" s="419" t="s">
        <v>23</v>
      </c>
      <c r="FFF2" s="420"/>
      <c r="FFG2" s="420"/>
      <c r="FFH2" s="420"/>
      <c r="FFI2" s="419" t="s">
        <v>23</v>
      </c>
      <c r="FFJ2" s="420"/>
      <c r="FFK2" s="420"/>
      <c r="FFL2" s="420"/>
      <c r="FFM2" s="419" t="s">
        <v>23</v>
      </c>
      <c r="FFN2" s="420"/>
      <c r="FFO2" s="420"/>
      <c r="FFP2" s="420"/>
      <c r="FFQ2" s="419" t="s">
        <v>23</v>
      </c>
      <c r="FFR2" s="420"/>
      <c r="FFS2" s="420"/>
      <c r="FFT2" s="420"/>
      <c r="FFU2" s="419" t="s">
        <v>23</v>
      </c>
      <c r="FFV2" s="420"/>
      <c r="FFW2" s="420"/>
      <c r="FFX2" s="420"/>
      <c r="FFY2" s="419" t="s">
        <v>23</v>
      </c>
      <c r="FFZ2" s="420"/>
      <c r="FGA2" s="420"/>
      <c r="FGB2" s="420"/>
      <c r="FGC2" s="419" t="s">
        <v>23</v>
      </c>
      <c r="FGD2" s="420"/>
      <c r="FGE2" s="420"/>
      <c r="FGF2" s="420"/>
      <c r="FGG2" s="419" t="s">
        <v>23</v>
      </c>
      <c r="FGH2" s="420"/>
      <c r="FGI2" s="420"/>
      <c r="FGJ2" s="420"/>
      <c r="FGK2" s="419" t="s">
        <v>23</v>
      </c>
      <c r="FGL2" s="420"/>
      <c r="FGM2" s="420"/>
      <c r="FGN2" s="420"/>
      <c r="FGO2" s="419" t="s">
        <v>23</v>
      </c>
      <c r="FGP2" s="420"/>
      <c r="FGQ2" s="420"/>
      <c r="FGR2" s="420"/>
      <c r="FGS2" s="419" t="s">
        <v>23</v>
      </c>
      <c r="FGT2" s="420"/>
      <c r="FGU2" s="420"/>
      <c r="FGV2" s="420"/>
      <c r="FGW2" s="419" t="s">
        <v>23</v>
      </c>
      <c r="FGX2" s="420"/>
      <c r="FGY2" s="420"/>
      <c r="FGZ2" s="420"/>
      <c r="FHA2" s="419" t="s">
        <v>23</v>
      </c>
      <c r="FHB2" s="420"/>
      <c r="FHC2" s="420"/>
      <c r="FHD2" s="420"/>
      <c r="FHE2" s="419" t="s">
        <v>23</v>
      </c>
      <c r="FHF2" s="420"/>
      <c r="FHG2" s="420"/>
      <c r="FHH2" s="420"/>
      <c r="FHI2" s="419" t="s">
        <v>23</v>
      </c>
      <c r="FHJ2" s="420"/>
      <c r="FHK2" s="420"/>
      <c r="FHL2" s="420"/>
      <c r="FHM2" s="419" t="s">
        <v>23</v>
      </c>
      <c r="FHN2" s="420"/>
      <c r="FHO2" s="420"/>
      <c r="FHP2" s="420"/>
      <c r="FHQ2" s="419" t="s">
        <v>23</v>
      </c>
      <c r="FHR2" s="420"/>
      <c r="FHS2" s="420"/>
      <c r="FHT2" s="420"/>
      <c r="FHU2" s="419" t="s">
        <v>23</v>
      </c>
      <c r="FHV2" s="420"/>
      <c r="FHW2" s="420"/>
      <c r="FHX2" s="420"/>
      <c r="FHY2" s="419" t="s">
        <v>23</v>
      </c>
      <c r="FHZ2" s="420"/>
      <c r="FIA2" s="420"/>
      <c r="FIB2" s="420"/>
      <c r="FIC2" s="419" t="s">
        <v>23</v>
      </c>
      <c r="FID2" s="420"/>
      <c r="FIE2" s="420"/>
      <c r="FIF2" s="420"/>
      <c r="FIG2" s="419" t="s">
        <v>23</v>
      </c>
      <c r="FIH2" s="420"/>
      <c r="FII2" s="420"/>
      <c r="FIJ2" s="420"/>
      <c r="FIK2" s="419" t="s">
        <v>23</v>
      </c>
      <c r="FIL2" s="420"/>
      <c r="FIM2" s="420"/>
      <c r="FIN2" s="420"/>
      <c r="FIO2" s="419" t="s">
        <v>23</v>
      </c>
      <c r="FIP2" s="420"/>
      <c r="FIQ2" s="420"/>
      <c r="FIR2" s="420"/>
      <c r="FIS2" s="419" t="s">
        <v>23</v>
      </c>
      <c r="FIT2" s="420"/>
      <c r="FIU2" s="420"/>
      <c r="FIV2" s="420"/>
      <c r="FIW2" s="419" t="s">
        <v>23</v>
      </c>
      <c r="FIX2" s="420"/>
      <c r="FIY2" s="420"/>
      <c r="FIZ2" s="420"/>
      <c r="FJA2" s="419" t="s">
        <v>23</v>
      </c>
      <c r="FJB2" s="420"/>
      <c r="FJC2" s="420"/>
      <c r="FJD2" s="420"/>
      <c r="FJE2" s="419" t="s">
        <v>23</v>
      </c>
      <c r="FJF2" s="420"/>
      <c r="FJG2" s="420"/>
      <c r="FJH2" s="420"/>
      <c r="FJI2" s="419" t="s">
        <v>23</v>
      </c>
      <c r="FJJ2" s="420"/>
      <c r="FJK2" s="420"/>
      <c r="FJL2" s="420"/>
      <c r="FJM2" s="419" t="s">
        <v>23</v>
      </c>
      <c r="FJN2" s="420"/>
      <c r="FJO2" s="420"/>
      <c r="FJP2" s="420"/>
      <c r="FJQ2" s="419" t="s">
        <v>23</v>
      </c>
      <c r="FJR2" s="420"/>
      <c r="FJS2" s="420"/>
      <c r="FJT2" s="420"/>
      <c r="FJU2" s="419" t="s">
        <v>23</v>
      </c>
      <c r="FJV2" s="420"/>
      <c r="FJW2" s="420"/>
      <c r="FJX2" s="420"/>
      <c r="FJY2" s="419" t="s">
        <v>23</v>
      </c>
      <c r="FJZ2" s="420"/>
      <c r="FKA2" s="420"/>
      <c r="FKB2" s="420"/>
      <c r="FKC2" s="419" t="s">
        <v>23</v>
      </c>
      <c r="FKD2" s="420"/>
      <c r="FKE2" s="420"/>
      <c r="FKF2" s="420"/>
      <c r="FKG2" s="419" t="s">
        <v>23</v>
      </c>
      <c r="FKH2" s="420"/>
      <c r="FKI2" s="420"/>
      <c r="FKJ2" s="420"/>
      <c r="FKK2" s="419" t="s">
        <v>23</v>
      </c>
      <c r="FKL2" s="420"/>
      <c r="FKM2" s="420"/>
      <c r="FKN2" s="420"/>
      <c r="FKO2" s="419" t="s">
        <v>23</v>
      </c>
      <c r="FKP2" s="420"/>
      <c r="FKQ2" s="420"/>
      <c r="FKR2" s="420"/>
      <c r="FKS2" s="419" t="s">
        <v>23</v>
      </c>
      <c r="FKT2" s="420"/>
      <c r="FKU2" s="420"/>
      <c r="FKV2" s="420"/>
      <c r="FKW2" s="419" t="s">
        <v>23</v>
      </c>
      <c r="FKX2" s="420"/>
      <c r="FKY2" s="420"/>
      <c r="FKZ2" s="420"/>
      <c r="FLA2" s="419" t="s">
        <v>23</v>
      </c>
      <c r="FLB2" s="420"/>
      <c r="FLC2" s="420"/>
      <c r="FLD2" s="420"/>
      <c r="FLE2" s="419" t="s">
        <v>23</v>
      </c>
      <c r="FLF2" s="420"/>
      <c r="FLG2" s="420"/>
      <c r="FLH2" s="420"/>
      <c r="FLI2" s="419" t="s">
        <v>23</v>
      </c>
      <c r="FLJ2" s="420"/>
      <c r="FLK2" s="420"/>
      <c r="FLL2" s="420"/>
      <c r="FLM2" s="419" t="s">
        <v>23</v>
      </c>
      <c r="FLN2" s="420"/>
      <c r="FLO2" s="420"/>
      <c r="FLP2" s="420"/>
      <c r="FLQ2" s="419" t="s">
        <v>23</v>
      </c>
      <c r="FLR2" s="420"/>
      <c r="FLS2" s="420"/>
      <c r="FLT2" s="420"/>
      <c r="FLU2" s="419" t="s">
        <v>23</v>
      </c>
      <c r="FLV2" s="420"/>
      <c r="FLW2" s="420"/>
      <c r="FLX2" s="420"/>
      <c r="FLY2" s="419" t="s">
        <v>23</v>
      </c>
      <c r="FLZ2" s="420"/>
      <c r="FMA2" s="420"/>
      <c r="FMB2" s="420"/>
      <c r="FMC2" s="419" t="s">
        <v>23</v>
      </c>
      <c r="FMD2" s="420"/>
      <c r="FME2" s="420"/>
      <c r="FMF2" s="420"/>
      <c r="FMG2" s="419" t="s">
        <v>23</v>
      </c>
      <c r="FMH2" s="420"/>
      <c r="FMI2" s="420"/>
      <c r="FMJ2" s="420"/>
      <c r="FMK2" s="419" t="s">
        <v>23</v>
      </c>
      <c r="FML2" s="420"/>
      <c r="FMM2" s="420"/>
      <c r="FMN2" s="420"/>
      <c r="FMO2" s="419" t="s">
        <v>23</v>
      </c>
      <c r="FMP2" s="420"/>
      <c r="FMQ2" s="420"/>
      <c r="FMR2" s="420"/>
      <c r="FMS2" s="419" t="s">
        <v>23</v>
      </c>
      <c r="FMT2" s="420"/>
      <c r="FMU2" s="420"/>
      <c r="FMV2" s="420"/>
      <c r="FMW2" s="419" t="s">
        <v>23</v>
      </c>
      <c r="FMX2" s="420"/>
      <c r="FMY2" s="420"/>
      <c r="FMZ2" s="420"/>
      <c r="FNA2" s="419" t="s">
        <v>23</v>
      </c>
      <c r="FNB2" s="420"/>
      <c r="FNC2" s="420"/>
      <c r="FND2" s="420"/>
      <c r="FNE2" s="419" t="s">
        <v>23</v>
      </c>
      <c r="FNF2" s="420"/>
      <c r="FNG2" s="420"/>
      <c r="FNH2" s="420"/>
      <c r="FNI2" s="419" t="s">
        <v>23</v>
      </c>
      <c r="FNJ2" s="420"/>
      <c r="FNK2" s="420"/>
      <c r="FNL2" s="420"/>
      <c r="FNM2" s="419" t="s">
        <v>23</v>
      </c>
      <c r="FNN2" s="420"/>
      <c r="FNO2" s="420"/>
      <c r="FNP2" s="420"/>
      <c r="FNQ2" s="419" t="s">
        <v>23</v>
      </c>
      <c r="FNR2" s="420"/>
      <c r="FNS2" s="420"/>
      <c r="FNT2" s="420"/>
      <c r="FNU2" s="419" t="s">
        <v>23</v>
      </c>
      <c r="FNV2" s="420"/>
      <c r="FNW2" s="420"/>
      <c r="FNX2" s="420"/>
      <c r="FNY2" s="419" t="s">
        <v>23</v>
      </c>
      <c r="FNZ2" s="420"/>
      <c r="FOA2" s="420"/>
      <c r="FOB2" s="420"/>
      <c r="FOC2" s="419" t="s">
        <v>23</v>
      </c>
      <c r="FOD2" s="420"/>
      <c r="FOE2" s="420"/>
      <c r="FOF2" s="420"/>
      <c r="FOG2" s="419" t="s">
        <v>23</v>
      </c>
      <c r="FOH2" s="420"/>
      <c r="FOI2" s="420"/>
      <c r="FOJ2" s="420"/>
      <c r="FOK2" s="419" t="s">
        <v>23</v>
      </c>
      <c r="FOL2" s="420"/>
      <c r="FOM2" s="420"/>
      <c r="FON2" s="420"/>
      <c r="FOO2" s="419" t="s">
        <v>23</v>
      </c>
      <c r="FOP2" s="420"/>
      <c r="FOQ2" s="420"/>
      <c r="FOR2" s="420"/>
      <c r="FOS2" s="419" t="s">
        <v>23</v>
      </c>
      <c r="FOT2" s="420"/>
      <c r="FOU2" s="420"/>
      <c r="FOV2" s="420"/>
      <c r="FOW2" s="419" t="s">
        <v>23</v>
      </c>
      <c r="FOX2" s="420"/>
      <c r="FOY2" s="420"/>
      <c r="FOZ2" s="420"/>
      <c r="FPA2" s="419" t="s">
        <v>23</v>
      </c>
      <c r="FPB2" s="420"/>
      <c r="FPC2" s="420"/>
      <c r="FPD2" s="420"/>
      <c r="FPE2" s="419" t="s">
        <v>23</v>
      </c>
      <c r="FPF2" s="420"/>
      <c r="FPG2" s="420"/>
      <c r="FPH2" s="420"/>
      <c r="FPI2" s="419" t="s">
        <v>23</v>
      </c>
      <c r="FPJ2" s="420"/>
      <c r="FPK2" s="420"/>
      <c r="FPL2" s="420"/>
      <c r="FPM2" s="419" t="s">
        <v>23</v>
      </c>
      <c r="FPN2" s="420"/>
      <c r="FPO2" s="420"/>
      <c r="FPP2" s="420"/>
      <c r="FPQ2" s="419" t="s">
        <v>23</v>
      </c>
      <c r="FPR2" s="420"/>
      <c r="FPS2" s="420"/>
      <c r="FPT2" s="420"/>
      <c r="FPU2" s="419" t="s">
        <v>23</v>
      </c>
      <c r="FPV2" s="420"/>
      <c r="FPW2" s="420"/>
      <c r="FPX2" s="420"/>
      <c r="FPY2" s="419" t="s">
        <v>23</v>
      </c>
      <c r="FPZ2" s="420"/>
      <c r="FQA2" s="420"/>
      <c r="FQB2" s="420"/>
      <c r="FQC2" s="419" t="s">
        <v>23</v>
      </c>
      <c r="FQD2" s="420"/>
      <c r="FQE2" s="420"/>
      <c r="FQF2" s="420"/>
      <c r="FQG2" s="419" t="s">
        <v>23</v>
      </c>
      <c r="FQH2" s="420"/>
      <c r="FQI2" s="420"/>
      <c r="FQJ2" s="420"/>
      <c r="FQK2" s="419" t="s">
        <v>23</v>
      </c>
      <c r="FQL2" s="420"/>
      <c r="FQM2" s="420"/>
      <c r="FQN2" s="420"/>
      <c r="FQO2" s="419" t="s">
        <v>23</v>
      </c>
      <c r="FQP2" s="420"/>
      <c r="FQQ2" s="420"/>
      <c r="FQR2" s="420"/>
      <c r="FQS2" s="419" t="s">
        <v>23</v>
      </c>
      <c r="FQT2" s="420"/>
      <c r="FQU2" s="420"/>
      <c r="FQV2" s="420"/>
      <c r="FQW2" s="419" t="s">
        <v>23</v>
      </c>
      <c r="FQX2" s="420"/>
      <c r="FQY2" s="420"/>
      <c r="FQZ2" s="420"/>
      <c r="FRA2" s="419" t="s">
        <v>23</v>
      </c>
      <c r="FRB2" s="420"/>
      <c r="FRC2" s="420"/>
      <c r="FRD2" s="420"/>
      <c r="FRE2" s="419" t="s">
        <v>23</v>
      </c>
      <c r="FRF2" s="420"/>
      <c r="FRG2" s="420"/>
      <c r="FRH2" s="420"/>
      <c r="FRI2" s="419" t="s">
        <v>23</v>
      </c>
      <c r="FRJ2" s="420"/>
      <c r="FRK2" s="420"/>
      <c r="FRL2" s="420"/>
      <c r="FRM2" s="419" t="s">
        <v>23</v>
      </c>
      <c r="FRN2" s="420"/>
      <c r="FRO2" s="420"/>
      <c r="FRP2" s="420"/>
      <c r="FRQ2" s="419" t="s">
        <v>23</v>
      </c>
      <c r="FRR2" s="420"/>
      <c r="FRS2" s="420"/>
      <c r="FRT2" s="420"/>
      <c r="FRU2" s="419" t="s">
        <v>23</v>
      </c>
      <c r="FRV2" s="420"/>
      <c r="FRW2" s="420"/>
      <c r="FRX2" s="420"/>
      <c r="FRY2" s="419" t="s">
        <v>23</v>
      </c>
      <c r="FRZ2" s="420"/>
      <c r="FSA2" s="420"/>
      <c r="FSB2" s="420"/>
      <c r="FSC2" s="419" t="s">
        <v>23</v>
      </c>
      <c r="FSD2" s="420"/>
      <c r="FSE2" s="420"/>
      <c r="FSF2" s="420"/>
      <c r="FSG2" s="419" t="s">
        <v>23</v>
      </c>
      <c r="FSH2" s="420"/>
      <c r="FSI2" s="420"/>
      <c r="FSJ2" s="420"/>
      <c r="FSK2" s="419" t="s">
        <v>23</v>
      </c>
      <c r="FSL2" s="420"/>
      <c r="FSM2" s="420"/>
      <c r="FSN2" s="420"/>
      <c r="FSO2" s="419" t="s">
        <v>23</v>
      </c>
      <c r="FSP2" s="420"/>
      <c r="FSQ2" s="420"/>
      <c r="FSR2" s="420"/>
      <c r="FSS2" s="419" t="s">
        <v>23</v>
      </c>
      <c r="FST2" s="420"/>
      <c r="FSU2" s="420"/>
      <c r="FSV2" s="420"/>
      <c r="FSW2" s="419" t="s">
        <v>23</v>
      </c>
      <c r="FSX2" s="420"/>
      <c r="FSY2" s="420"/>
      <c r="FSZ2" s="420"/>
      <c r="FTA2" s="419" t="s">
        <v>23</v>
      </c>
      <c r="FTB2" s="420"/>
      <c r="FTC2" s="420"/>
      <c r="FTD2" s="420"/>
      <c r="FTE2" s="419" t="s">
        <v>23</v>
      </c>
      <c r="FTF2" s="420"/>
      <c r="FTG2" s="420"/>
      <c r="FTH2" s="420"/>
      <c r="FTI2" s="419" t="s">
        <v>23</v>
      </c>
      <c r="FTJ2" s="420"/>
      <c r="FTK2" s="420"/>
      <c r="FTL2" s="420"/>
      <c r="FTM2" s="419" t="s">
        <v>23</v>
      </c>
      <c r="FTN2" s="420"/>
      <c r="FTO2" s="420"/>
      <c r="FTP2" s="420"/>
      <c r="FTQ2" s="419" t="s">
        <v>23</v>
      </c>
      <c r="FTR2" s="420"/>
      <c r="FTS2" s="420"/>
      <c r="FTT2" s="420"/>
      <c r="FTU2" s="419" t="s">
        <v>23</v>
      </c>
      <c r="FTV2" s="420"/>
      <c r="FTW2" s="420"/>
      <c r="FTX2" s="420"/>
      <c r="FTY2" s="419" t="s">
        <v>23</v>
      </c>
      <c r="FTZ2" s="420"/>
      <c r="FUA2" s="420"/>
      <c r="FUB2" s="420"/>
      <c r="FUC2" s="419" t="s">
        <v>23</v>
      </c>
      <c r="FUD2" s="420"/>
      <c r="FUE2" s="420"/>
      <c r="FUF2" s="420"/>
      <c r="FUG2" s="419" t="s">
        <v>23</v>
      </c>
      <c r="FUH2" s="420"/>
      <c r="FUI2" s="420"/>
      <c r="FUJ2" s="420"/>
      <c r="FUK2" s="419" t="s">
        <v>23</v>
      </c>
      <c r="FUL2" s="420"/>
      <c r="FUM2" s="420"/>
      <c r="FUN2" s="420"/>
      <c r="FUO2" s="419" t="s">
        <v>23</v>
      </c>
      <c r="FUP2" s="420"/>
      <c r="FUQ2" s="420"/>
      <c r="FUR2" s="420"/>
      <c r="FUS2" s="419" t="s">
        <v>23</v>
      </c>
      <c r="FUT2" s="420"/>
      <c r="FUU2" s="420"/>
      <c r="FUV2" s="420"/>
      <c r="FUW2" s="419" t="s">
        <v>23</v>
      </c>
      <c r="FUX2" s="420"/>
      <c r="FUY2" s="420"/>
      <c r="FUZ2" s="420"/>
      <c r="FVA2" s="419" t="s">
        <v>23</v>
      </c>
      <c r="FVB2" s="420"/>
      <c r="FVC2" s="420"/>
      <c r="FVD2" s="420"/>
      <c r="FVE2" s="419" t="s">
        <v>23</v>
      </c>
      <c r="FVF2" s="420"/>
      <c r="FVG2" s="420"/>
      <c r="FVH2" s="420"/>
      <c r="FVI2" s="419" t="s">
        <v>23</v>
      </c>
      <c r="FVJ2" s="420"/>
      <c r="FVK2" s="420"/>
      <c r="FVL2" s="420"/>
      <c r="FVM2" s="419" t="s">
        <v>23</v>
      </c>
      <c r="FVN2" s="420"/>
      <c r="FVO2" s="420"/>
      <c r="FVP2" s="420"/>
      <c r="FVQ2" s="419" t="s">
        <v>23</v>
      </c>
      <c r="FVR2" s="420"/>
      <c r="FVS2" s="420"/>
      <c r="FVT2" s="420"/>
      <c r="FVU2" s="419" t="s">
        <v>23</v>
      </c>
      <c r="FVV2" s="420"/>
      <c r="FVW2" s="420"/>
      <c r="FVX2" s="420"/>
      <c r="FVY2" s="419" t="s">
        <v>23</v>
      </c>
      <c r="FVZ2" s="420"/>
      <c r="FWA2" s="420"/>
      <c r="FWB2" s="420"/>
      <c r="FWC2" s="419" t="s">
        <v>23</v>
      </c>
      <c r="FWD2" s="420"/>
      <c r="FWE2" s="420"/>
      <c r="FWF2" s="420"/>
      <c r="FWG2" s="419" t="s">
        <v>23</v>
      </c>
      <c r="FWH2" s="420"/>
      <c r="FWI2" s="420"/>
      <c r="FWJ2" s="420"/>
      <c r="FWK2" s="419" t="s">
        <v>23</v>
      </c>
      <c r="FWL2" s="420"/>
      <c r="FWM2" s="420"/>
      <c r="FWN2" s="420"/>
      <c r="FWO2" s="419" t="s">
        <v>23</v>
      </c>
      <c r="FWP2" s="420"/>
      <c r="FWQ2" s="420"/>
      <c r="FWR2" s="420"/>
      <c r="FWS2" s="419" t="s">
        <v>23</v>
      </c>
      <c r="FWT2" s="420"/>
      <c r="FWU2" s="420"/>
      <c r="FWV2" s="420"/>
      <c r="FWW2" s="419" t="s">
        <v>23</v>
      </c>
      <c r="FWX2" s="420"/>
      <c r="FWY2" s="420"/>
      <c r="FWZ2" s="420"/>
      <c r="FXA2" s="419" t="s">
        <v>23</v>
      </c>
      <c r="FXB2" s="420"/>
      <c r="FXC2" s="420"/>
      <c r="FXD2" s="420"/>
      <c r="FXE2" s="419" t="s">
        <v>23</v>
      </c>
      <c r="FXF2" s="420"/>
      <c r="FXG2" s="420"/>
      <c r="FXH2" s="420"/>
      <c r="FXI2" s="419" t="s">
        <v>23</v>
      </c>
      <c r="FXJ2" s="420"/>
      <c r="FXK2" s="420"/>
      <c r="FXL2" s="420"/>
      <c r="FXM2" s="419" t="s">
        <v>23</v>
      </c>
      <c r="FXN2" s="420"/>
      <c r="FXO2" s="420"/>
      <c r="FXP2" s="420"/>
      <c r="FXQ2" s="419" t="s">
        <v>23</v>
      </c>
      <c r="FXR2" s="420"/>
      <c r="FXS2" s="420"/>
      <c r="FXT2" s="420"/>
      <c r="FXU2" s="419" t="s">
        <v>23</v>
      </c>
      <c r="FXV2" s="420"/>
      <c r="FXW2" s="420"/>
      <c r="FXX2" s="420"/>
      <c r="FXY2" s="419" t="s">
        <v>23</v>
      </c>
      <c r="FXZ2" s="420"/>
      <c r="FYA2" s="420"/>
      <c r="FYB2" s="420"/>
      <c r="FYC2" s="419" t="s">
        <v>23</v>
      </c>
      <c r="FYD2" s="420"/>
      <c r="FYE2" s="420"/>
      <c r="FYF2" s="420"/>
      <c r="FYG2" s="419" t="s">
        <v>23</v>
      </c>
      <c r="FYH2" s="420"/>
      <c r="FYI2" s="420"/>
      <c r="FYJ2" s="420"/>
      <c r="FYK2" s="419" t="s">
        <v>23</v>
      </c>
      <c r="FYL2" s="420"/>
      <c r="FYM2" s="420"/>
      <c r="FYN2" s="420"/>
      <c r="FYO2" s="419" t="s">
        <v>23</v>
      </c>
      <c r="FYP2" s="420"/>
      <c r="FYQ2" s="420"/>
      <c r="FYR2" s="420"/>
      <c r="FYS2" s="419" t="s">
        <v>23</v>
      </c>
      <c r="FYT2" s="420"/>
      <c r="FYU2" s="420"/>
      <c r="FYV2" s="420"/>
      <c r="FYW2" s="419" t="s">
        <v>23</v>
      </c>
      <c r="FYX2" s="420"/>
      <c r="FYY2" s="420"/>
      <c r="FYZ2" s="420"/>
      <c r="FZA2" s="419" t="s">
        <v>23</v>
      </c>
      <c r="FZB2" s="420"/>
      <c r="FZC2" s="420"/>
      <c r="FZD2" s="420"/>
      <c r="FZE2" s="419" t="s">
        <v>23</v>
      </c>
      <c r="FZF2" s="420"/>
      <c r="FZG2" s="420"/>
      <c r="FZH2" s="420"/>
      <c r="FZI2" s="419" t="s">
        <v>23</v>
      </c>
      <c r="FZJ2" s="420"/>
      <c r="FZK2" s="420"/>
      <c r="FZL2" s="420"/>
      <c r="FZM2" s="419" t="s">
        <v>23</v>
      </c>
      <c r="FZN2" s="420"/>
      <c r="FZO2" s="420"/>
      <c r="FZP2" s="420"/>
      <c r="FZQ2" s="419" t="s">
        <v>23</v>
      </c>
      <c r="FZR2" s="420"/>
      <c r="FZS2" s="420"/>
      <c r="FZT2" s="420"/>
      <c r="FZU2" s="419" t="s">
        <v>23</v>
      </c>
      <c r="FZV2" s="420"/>
      <c r="FZW2" s="420"/>
      <c r="FZX2" s="420"/>
      <c r="FZY2" s="419" t="s">
        <v>23</v>
      </c>
      <c r="FZZ2" s="420"/>
      <c r="GAA2" s="420"/>
      <c r="GAB2" s="420"/>
      <c r="GAC2" s="419" t="s">
        <v>23</v>
      </c>
      <c r="GAD2" s="420"/>
      <c r="GAE2" s="420"/>
      <c r="GAF2" s="420"/>
      <c r="GAG2" s="419" t="s">
        <v>23</v>
      </c>
      <c r="GAH2" s="420"/>
      <c r="GAI2" s="420"/>
      <c r="GAJ2" s="420"/>
      <c r="GAK2" s="419" t="s">
        <v>23</v>
      </c>
      <c r="GAL2" s="420"/>
      <c r="GAM2" s="420"/>
      <c r="GAN2" s="420"/>
      <c r="GAO2" s="419" t="s">
        <v>23</v>
      </c>
      <c r="GAP2" s="420"/>
      <c r="GAQ2" s="420"/>
      <c r="GAR2" s="420"/>
      <c r="GAS2" s="419" t="s">
        <v>23</v>
      </c>
      <c r="GAT2" s="420"/>
      <c r="GAU2" s="420"/>
      <c r="GAV2" s="420"/>
      <c r="GAW2" s="419" t="s">
        <v>23</v>
      </c>
      <c r="GAX2" s="420"/>
      <c r="GAY2" s="420"/>
      <c r="GAZ2" s="420"/>
      <c r="GBA2" s="419" t="s">
        <v>23</v>
      </c>
      <c r="GBB2" s="420"/>
      <c r="GBC2" s="420"/>
      <c r="GBD2" s="420"/>
      <c r="GBE2" s="419" t="s">
        <v>23</v>
      </c>
      <c r="GBF2" s="420"/>
      <c r="GBG2" s="420"/>
      <c r="GBH2" s="420"/>
      <c r="GBI2" s="419" t="s">
        <v>23</v>
      </c>
      <c r="GBJ2" s="420"/>
      <c r="GBK2" s="420"/>
      <c r="GBL2" s="420"/>
      <c r="GBM2" s="419" t="s">
        <v>23</v>
      </c>
      <c r="GBN2" s="420"/>
      <c r="GBO2" s="420"/>
      <c r="GBP2" s="420"/>
      <c r="GBQ2" s="419" t="s">
        <v>23</v>
      </c>
      <c r="GBR2" s="420"/>
      <c r="GBS2" s="420"/>
      <c r="GBT2" s="420"/>
      <c r="GBU2" s="419" t="s">
        <v>23</v>
      </c>
      <c r="GBV2" s="420"/>
      <c r="GBW2" s="420"/>
      <c r="GBX2" s="420"/>
      <c r="GBY2" s="419" t="s">
        <v>23</v>
      </c>
      <c r="GBZ2" s="420"/>
      <c r="GCA2" s="420"/>
      <c r="GCB2" s="420"/>
      <c r="GCC2" s="419" t="s">
        <v>23</v>
      </c>
      <c r="GCD2" s="420"/>
      <c r="GCE2" s="420"/>
      <c r="GCF2" s="420"/>
      <c r="GCG2" s="419" t="s">
        <v>23</v>
      </c>
      <c r="GCH2" s="420"/>
      <c r="GCI2" s="420"/>
      <c r="GCJ2" s="420"/>
      <c r="GCK2" s="419" t="s">
        <v>23</v>
      </c>
      <c r="GCL2" s="420"/>
      <c r="GCM2" s="420"/>
      <c r="GCN2" s="420"/>
      <c r="GCO2" s="419" t="s">
        <v>23</v>
      </c>
      <c r="GCP2" s="420"/>
      <c r="GCQ2" s="420"/>
      <c r="GCR2" s="420"/>
      <c r="GCS2" s="419" t="s">
        <v>23</v>
      </c>
      <c r="GCT2" s="420"/>
      <c r="GCU2" s="420"/>
      <c r="GCV2" s="420"/>
      <c r="GCW2" s="419" t="s">
        <v>23</v>
      </c>
      <c r="GCX2" s="420"/>
      <c r="GCY2" s="420"/>
      <c r="GCZ2" s="420"/>
      <c r="GDA2" s="419" t="s">
        <v>23</v>
      </c>
      <c r="GDB2" s="420"/>
      <c r="GDC2" s="420"/>
      <c r="GDD2" s="420"/>
      <c r="GDE2" s="419" t="s">
        <v>23</v>
      </c>
      <c r="GDF2" s="420"/>
      <c r="GDG2" s="420"/>
      <c r="GDH2" s="420"/>
      <c r="GDI2" s="419" t="s">
        <v>23</v>
      </c>
      <c r="GDJ2" s="420"/>
      <c r="GDK2" s="420"/>
      <c r="GDL2" s="420"/>
      <c r="GDM2" s="419" t="s">
        <v>23</v>
      </c>
      <c r="GDN2" s="420"/>
      <c r="GDO2" s="420"/>
      <c r="GDP2" s="420"/>
      <c r="GDQ2" s="419" t="s">
        <v>23</v>
      </c>
      <c r="GDR2" s="420"/>
      <c r="GDS2" s="420"/>
      <c r="GDT2" s="420"/>
      <c r="GDU2" s="419" t="s">
        <v>23</v>
      </c>
      <c r="GDV2" s="420"/>
      <c r="GDW2" s="420"/>
      <c r="GDX2" s="420"/>
      <c r="GDY2" s="419" t="s">
        <v>23</v>
      </c>
      <c r="GDZ2" s="420"/>
      <c r="GEA2" s="420"/>
      <c r="GEB2" s="420"/>
      <c r="GEC2" s="419" t="s">
        <v>23</v>
      </c>
      <c r="GED2" s="420"/>
      <c r="GEE2" s="420"/>
      <c r="GEF2" s="420"/>
      <c r="GEG2" s="419" t="s">
        <v>23</v>
      </c>
      <c r="GEH2" s="420"/>
      <c r="GEI2" s="420"/>
      <c r="GEJ2" s="420"/>
      <c r="GEK2" s="419" t="s">
        <v>23</v>
      </c>
      <c r="GEL2" s="420"/>
      <c r="GEM2" s="420"/>
      <c r="GEN2" s="420"/>
      <c r="GEO2" s="419" t="s">
        <v>23</v>
      </c>
      <c r="GEP2" s="420"/>
      <c r="GEQ2" s="420"/>
      <c r="GER2" s="420"/>
      <c r="GES2" s="419" t="s">
        <v>23</v>
      </c>
      <c r="GET2" s="420"/>
      <c r="GEU2" s="420"/>
      <c r="GEV2" s="420"/>
      <c r="GEW2" s="419" t="s">
        <v>23</v>
      </c>
      <c r="GEX2" s="420"/>
      <c r="GEY2" s="420"/>
      <c r="GEZ2" s="420"/>
      <c r="GFA2" s="419" t="s">
        <v>23</v>
      </c>
      <c r="GFB2" s="420"/>
      <c r="GFC2" s="420"/>
      <c r="GFD2" s="420"/>
      <c r="GFE2" s="419" t="s">
        <v>23</v>
      </c>
      <c r="GFF2" s="420"/>
      <c r="GFG2" s="420"/>
      <c r="GFH2" s="420"/>
      <c r="GFI2" s="419" t="s">
        <v>23</v>
      </c>
      <c r="GFJ2" s="420"/>
      <c r="GFK2" s="420"/>
      <c r="GFL2" s="420"/>
      <c r="GFM2" s="419" t="s">
        <v>23</v>
      </c>
      <c r="GFN2" s="420"/>
      <c r="GFO2" s="420"/>
      <c r="GFP2" s="420"/>
      <c r="GFQ2" s="419" t="s">
        <v>23</v>
      </c>
      <c r="GFR2" s="420"/>
      <c r="GFS2" s="420"/>
      <c r="GFT2" s="420"/>
      <c r="GFU2" s="419" t="s">
        <v>23</v>
      </c>
      <c r="GFV2" s="420"/>
      <c r="GFW2" s="420"/>
      <c r="GFX2" s="420"/>
      <c r="GFY2" s="419" t="s">
        <v>23</v>
      </c>
      <c r="GFZ2" s="420"/>
      <c r="GGA2" s="420"/>
      <c r="GGB2" s="420"/>
      <c r="GGC2" s="419" t="s">
        <v>23</v>
      </c>
      <c r="GGD2" s="420"/>
      <c r="GGE2" s="420"/>
      <c r="GGF2" s="420"/>
      <c r="GGG2" s="419" t="s">
        <v>23</v>
      </c>
      <c r="GGH2" s="420"/>
      <c r="GGI2" s="420"/>
      <c r="GGJ2" s="420"/>
      <c r="GGK2" s="419" t="s">
        <v>23</v>
      </c>
      <c r="GGL2" s="420"/>
      <c r="GGM2" s="420"/>
      <c r="GGN2" s="420"/>
      <c r="GGO2" s="419" t="s">
        <v>23</v>
      </c>
      <c r="GGP2" s="420"/>
      <c r="GGQ2" s="420"/>
      <c r="GGR2" s="420"/>
      <c r="GGS2" s="419" t="s">
        <v>23</v>
      </c>
      <c r="GGT2" s="420"/>
      <c r="GGU2" s="420"/>
      <c r="GGV2" s="420"/>
      <c r="GGW2" s="419" t="s">
        <v>23</v>
      </c>
      <c r="GGX2" s="420"/>
      <c r="GGY2" s="420"/>
      <c r="GGZ2" s="420"/>
      <c r="GHA2" s="419" t="s">
        <v>23</v>
      </c>
      <c r="GHB2" s="420"/>
      <c r="GHC2" s="420"/>
      <c r="GHD2" s="420"/>
      <c r="GHE2" s="419" t="s">
        <v>23</v>
      </c>
      <c r="GHF2" s="420"/>
      <c r="GHG2" s="420"/>
      <c r="GHH2" s="420"/>
      <c r="GHI2" s="419" t="s">
        <v>23</v>
      </c>
      <c r="GHJ2" s="420"/>
      <c r="GHK2" s="420"/>
      <c r="GHL2" s="420"/>
      <c r="GHM2" s="419" t="s">
        <v>23</v>
      </c>
      <c r="GHN2" s="420"/>
      <c r="GHO2" s="420"/>
      <c r="GHP2" s="420"/>
      <c r="GHQ2" s="419" t="s">
        <v>23</v>
      </c>
      <c r="GHR2" s="420"/>
      <c r="GHS2" s="420"/>
      <c r="GHT2" s="420"/>
      <c r="GHU2" s="419" t="s">
        <v>23</v>
      </c>
      <c r="GHV2" s="420"/>
      <c r="GHW2" s="420"/>
      <c r="GHX2" s="420"/>
      <c r="GHY2" s="419" t="s">
        <v>23</v>
      </c>
      <c r="GHZ2" s="420"/>
      <c r="GIA2" s="420"/>
      <c r="GIB2" s="420"/>
      <c r="GIC2" s="419" t="s">
        <v>23</v>
      </c>
      <c r="GID2" s="420"/>
      <c r="GIE2" s="420"/>
      <c r="GIF2" s="420"/>
      <c r="GIG2" s="419" t="s">
        <v>23</v>
      </c>
      <c r="GIH2" s="420"/>
      <c r="GII2" s="420"/>
      <c r="GIJ2" s="420"/>
      <c r="GIK2" s="419" t="s">
        <v>23</v>
      </c>
      <c r="GIL2" s="420"/>
      <c r="GIM2" s="420"/>
      <c r="GIN2" s="420"/>
      <c r="GIO2" s="419" t="s">
        <v>23</v>
      </c>
      <c r="GIP2" s="420"/>
      <c r="GIQ2" s="420"/>
      <c r="GIR2" s="420"/>
      <c r="GIS2" s="419" t="s">
        <v>23</v>
      </c>
      <c r="GIT2" s="420"/>
      <c r="GIU2" s="420"/>
      <c r="GIV2" s="420"/>
      <c r="GIW2" s="419" t="s">
        <v>23</v>
      </c>
      <c r="GIX2" s="420"/>
      <c r="GIY2" s="420"/>
      <c r="GIZ2" s="420"/>
      <c r="GJA2" s="419" t="s">
        <v>23</v>
      </c>
      <c r="GJB2" s="420"/>
      <c r="GJC2" s="420"/>
      <c r="GJD2" s="420"/>
      <c r="GJE2" s="419" t="s">
        <v>23</v>
      </c>
      <c r="GJF2" s="420"/>
      <c r="GJG2" s="420"/>
      <c r="GJH2" s="420"/>
      <c r="GJI2" s="419" t="s">
        <v>23</v>
      </c>
      <c r="GJJ2" s="420"/>
      <c r="GJK2" s="420"/>
      <c r="GJL2" s="420"/>
      <c r="GJM2" s="419" t="s">
        <v>23</v>
      </c>
      <c r="GJN2" s="420"/>
      <c r="GJO2" s="420"/>
      <c r="GJP2" s="420"/>
      <c r="GJQ2" s="419" t="s">
        <v>23</v>
      </c>
      <c r="GJR2" s="420"/>
      <c r="GJS2" s="420"/>
      <c r="GJT2" s="420"/>
      <c r="GJU2" s="419" t="s">
        <v>23</v>
      </c>
      <c r="GJV2" s="420"/>
      <c r="GJW2" s="420"/>
      <c r="GJX2" s="420"/>
      <c r="GJY2" s="419" t="s">
        <v>23</v>
      </c>
      <c r="GJZ2" s="420"/>
      <c r="GKA2" s="420"/>
      <c r="GKB2" s="420"/>
      <c r="GKC2" s="419" t="s">
        <v>23</v>
      </c>
      <c r="GKD2" s="420"/>
      <c r="GKE2" s="420"/>
      <c r="GKF2" s="420"/>
      <c r="GKG2" s="419" t="s">
        <v>23</v>
      </c>
      <c r="GKH2" s="420"/>
      <c r="GKI2" s="420"/>
      <c r="GKJ2" s="420"/>
      <c r="GKK2" s="419" t="s">
        <v>23</v>
      </c>
      <c r="GKL2" s="420"/>
      <c r="GKM2" s="420"/>
      <c r="GKN2" s="420"/>
      <c r="GKO2" s="419" t="s">
        <v>23</v>
      </c>
      <c r="GKP2" s="420"/>
      <c r="GKQ2" s="420"/>
      <c r="GKR2" s="420"/>
      <c r="GKS2" s="419" t="s">
        <v>23</v>
      </c>
      <c r="GKT2" s="420"/>
      <c r="GKU2" s="420"/>
      <c r="GKV2" s="420"/>
      <c r="GKW2" s="419" t="s">
        <v>23</v>
      </c>
      <c r="GKX2" s="420"/>
      <c r="GKY2" s="420"/>
      <c r="GKZ2" s="420"/>
      <c r="GLA2" s="419" t="s">
        <v>23</v>
      </c>
      <c r="GLB2" s="420"/>
      <c r="GLC2" s="420"/>
      <c r="GLD2" s="420"/>
      <c r="GLE2" s="419" t="s">
        <v>23</v>
      </c>
      <c r="GLF2" s="420"/>
      <c r="GLG2" s="420"/>
      <c r="GLH2" s="420"/>
      <c r="GLI2" s="419" t="s">
        <v>23</v>
      </c>
      <c r="GLJ2" s="420"/>
      <c r="GLK2" s="420"/>
      <c r="GLL2" s="420"/>
      <c r="GLM2" s="419" t="s">
        <v>23</v>
      </c>
      <c r="GLN2" s="420"/>
      <c r="GLO2" s="420"/>
      <c r="GLP2" s="420"/>
      <c r="GLQ2" s="419" t="s">
        <v>23</v>
      </c>
      <c r="GLR2" s="420"/>
      <c r="GLS2" s="420"/>
      <c r="GLT2" s="420"/>
      <c r="GLU2" s="419" t="s">
        <v>23</v>
      </c>
      <c r="GLV2" s="420"/>
      <c r="GLW2" s="420"/>
      <c r="GLX2" s="420"/>
      <c r="GLY2" s="419" t="s">
        <v>23</v>
      </c>
      <c r="GLZ2" s="420"/>
      <c r="GMA2" s="420"/>
      <c r="GMB2" s="420"/>
      <c r="GMC2" s="419" t="s">
        <v>23</v>
      </c>
      <c r="GMD2" s="420"/>
      <c r="GME2" s="420"/>
      <c r="GMF2" s="420"/>
      <c r="GMG2" s="419" t="s">
        <v>23</v>
      </c>
      <c r="GMH2" s="420"/>
      <c r="GMI2" s="420"/>
      <c r="GMJ2" s="420"/>
      <c r="GMK2" s="419" t="s">
        <v>23</v>
      </c>
      <c r="GML2" s="420"/>
      <c r="GMM2" s="420"/>
      <c r="GMN2" s="420"/>
      <c r="GMO2" s="419" t="s">
        <v>23</v>
      </c>
      <c r="GMP2" s="420"/>
      <c r="GMQ2" s="420"/>
      <c r="GMR2" s="420"/>
      <c r="GMS2" s="419" t="s">
        <v>23</v>
      </c>
      <c r="GMT2" s="420"/>
      <c r="GMU2" s="420"/>
      <c r="GMV2" s="420"/>
      <c r="GMW2" s="419" t="s">
        <v>23</v>
      </c>
      <c r="GMX2" s="420"/>
      <c r="GMY2" s="420"/>
      <c r="GMZ2" s="420"/>
      <c r="GNA2" s="419" t="s">
        <v>23</v>
      </c>
      <c r="GNB2" s="420"/>
      <c r="GNC2" s="420"/>
      <c r="GND2" s="420"/>
      <c r="GNE2" s="419" t="s">
        <v>23</v>
      </c>
      <c r="GNF2" s="420"/>
      <c r="GNG2" s="420"/>
      <c r="GNH2" s="420"/>
      <c r="GNI2" s="419" t="s">
        <v>23</v>
      </c>
      <c r="GNJ2" s="420"/>
      <c r="GNK2" s="420"/>
      <c r="GNL2" s="420"/>
      <c r="GNM2" s="419" t="s">
        <v>23</v>
      </c>
      <c r="GNN2" s="420"/>
      <c r="GNO2" s="420"/>
      <c r="GNP2" s="420"/>
      <c r="GNQ2" s="419" t="s">
        <v>23</v>
      </c>
      <c r="GNR2" s="420"/>
      <c r="GNS2" s="420"/>
      <c r="GNT2" s="420"/>
      <c r="GNU2" s="419" t="s">
        <v>23</v>
      </c>
      <c r="GNV2" s="420"/>
      <c r="GNW2" s="420"/>
      <c r="GNX2" s="420"/>
      <c r="GNY2" s="419" t="s">
        <v>23</v>
      </c>
      <c r="GNZ2" s="420"/>
      <c r="GOA2" s="420"/>
      <c r="GOB2" s="420"/>
      <c r="GOC2" s="419" t="s">
        <v>23</v>
      </c>
      <c r="GOD2" s="420"/>
      <c r="GOE2" s="420"/>
      <c r="GOF2" s="420"/>
      <c r="GOG2" s="419" t="s">
        <v>23</v>
      </c>
      <c r="GOH2" s="420"/>
      <c r="GOI2" s="420"/>
      <c r="GOJ2" s="420"/>
      <c r="GOK2" s="419" t="s">
        <v>23</v>
      </c>
      <c r="GOL2" s="420"/>
      <c r="GOM2" s="420"/>
      <c r="GON2" s="420"/>
      <c r="GOO2" s="419" t="s">
        <v>23</v>
      </c>
      <c r="GOP2" s="420"/>
      <c r="GOQ2" s="420"/>
      <c r="GOR2" s="420"/>
      <c r="GOS2" s="419" t="s">
        <v>23</v>
      </c>
      <c r="GOT2" s="420"/>
      <c r="GOU2" s="420"/>
      <c r="GOV2" s="420"/>
      <c r="GOW2" s="419" t="s">
        <v>23</v>
      </c>
      <c r="GOX2" s="420"/>
      <c r="GOY2" s="420"/>
      <c r="GOZ2" s="420"/>
      <c r="GPA2" s="419" t="s">
        <v>23</v>
      </c>
      <c r="GPB2" s="420"/>
      <c r="GPC2" s="420"/>
      <c r="GPD2" s="420"/>
      <c r="GPE2" s="419" t="s">
        <v>23</v>
      </c>
      <c r="GPF2" s="420"/>
      <c r="GPG2" s="420"/>
      <c r="GPH2" s="420"/>
      <c r="GPI2" s="419" t="s">
        <v>23</v>
      </c>
      <c r="GPJ2" s="420"/>
      <c r="GPK2" s="420"/>
      <c r="GPL2" s="420"/>
      <c r="GPM2" s="419" t="s">
        <v>23</v>
      </c>
      <c r="GPN2" s="420"/>
      <c r="GPO2" s="420"/>
      <c r="GPP2" s="420"/>
      <c r="GPQ2" s="419" t="s">
        <v>23</v>
      </c>
      <c r="GPR2" s="420"/>
      <c r="GPS2" s="420"/>
      <c r="GPT2" s="420"/>
      <c r="GPU2" s="419" t="s">
        <v>23</v>
      </c>
      <c r="GPV2" s="420"/>
      <c r="GPW2" s="420"/>
      <c r="GPX2" s="420"/>
      <c r="GPY2" s="419" t="s">
        <v>23</v>
      </c>
      <c r="GPZ2" s="420"/>
      <c r="GQA2" s="420"/>
      <c r="GQB2" s="420"/>
      <c r="GQC2" s="419" t="s">
        <v>23</v>
      </c>
      <c r="GQD2" s="420"/>
      <c r="GQE2" s="420"/>
      <c r="GQF2" s="420"/>
      <c r="GQG2" s="419" t="s">
        <v>23</v>
      </c>
      <c r="GQH2" s="420"/>
      <c r="GQI2" s="420"/>
      <c r="GQJ2" s="420"/>
      <c r="GQK2" s="419" t="s">
        <v>23</v>
      </c>
      <c r="GQL2" s="420"/>
      <c r="GQM2" s="420"/>
      <c r="GQN2" s="420"/>
      <c r="GQO2" s="419" t="s">
        <v>23</v>
      </c>
      <c r="GQP2" s="420"/>
      <c r="GQQ2" s="420"/>
      <c r="GQR2" s="420"/>
      <c r="GQS2" s="419" t="s">
        <v>23</v>
      </c>
      <c r="GQT2" s="420"/>
      <c r="GQU2" s="420"/>
      <c r="GQV2" s="420"/>
      <c r="GQW2" s="419" t="s">
        <v>23</v>
      </c>
      <c r="GQX2" s="420"/>
      <c r="GQY2" s="420"/>
      <c r="GQZ2" s="420"/>
      <c r="GRA2" s="419" t="s">
        <v>23</v>
      </c>
      <c r="GRB2" s="420"/>
      <c r="GRC2" s="420"/>
      <c r="GRD2" s="420"/>
      <c r="GRE2" s="419" t="s">
        <v>23</v>
      </c>
      <c r="GRF2" s="420"/>
      <c r="GRG2" s="420"/>
      <c r="GRH2" s="420"/>
      <c r="GRI2" s="419" t="s">
        <v>23</v>
      </c>
      <c r="GRJ2" s="420"/>
      <c r="GRK2" s="420"/>
      <c r="GRL2" s="420"/>
      <c r="GRM2" s="419" t="s">
        <v>23</v>
      </c>
      <c r="GRN2" s="420"/>
      <c r="GRO2" s="420"/>
      <c r="GRP2" s="420"/>
      <c r="GRQ2" s="419" t="s">
        <v>23</v>
      </c>
      <c r="GRR2" s="420"/>
      <c r="GRS2" s="420"/>
      <c r="GRT2" s="420"/>
      <c r="GRU2" s="419" t="s">
        <v>23</v>
      </c>
      <c r="GRV2" s="420"/>
      <c r="GRW2" s="420"/>
      <c r="GRX2" s="420"/>
      <c r="GRY2" s="419" t="s">
        <v>23</v>
      </c>
      <c r="GRZ2" s="420"/>
      <c r="GSA2" s="420"/>
      <c r="GSB2" s="420"/>
      <c r="GSC2" s="419" t="s">
        <v>23</v>
      </c>
      <c r="GSD2" s="420"/>
      <c r="GSE2" s="420"/>
      <c r="GSF2" s="420"/>
      <c r="GSG2" s="419" t="s">
        <v>23</v>
      </c>
      <c r="GSH2" s="420"/>
      <c r="GSI2" s="420"/>
      <c r="GSJ2" s="420"/>
      <c r="GSK2" s="419" t="s">
        <v>23</v>
      </c>
      <c r="GSL2" s="420"/>
      <c r="GSM2" s="420"/>
      <c r="GSN2" s="420"/>
      <c r="GSO2" s="419" t="s">
        <v>23</v>
      </c>
      <c r="GSP2" s="420"/>
      <c r="GSQ2" s="420"/>
      <c r="GSR2" s="420"/>
      <c r="GSS2" s="419" t="s">
        <v>23</v>
      </c>
      <c r="GST2" s="420"/>
      <c r="GSU2" s="420"/>
      <c r="GSV2" s="420"/>
      <c r="GSW2" s="419" t="s">
        <v>23</v>
      </c>
      <c r="GSX2" s="420"/>
      <c r="GSY2" s="420"/>
      <c r="GSZ2" s="420"/>
      <c r="GTA2" s="419" t="s">
        <v>23</v>
      </c>
      <c r="GTB2" s="420"/>
      <c r="GTC2" s="420"/>
      <c r="GTD2" s="420"/>
      <c r="GTE2" s="419" t="s">
        <v>23</v>
      </c>
      <c r="GTF2" s="420"/>
      <c r="GTG2" s="420"/>
      <c r="GTH2" s="420"/>
      <c r="GTI2" s="419" t="s">
        <v>23</v>
      </c>
      <c r="GTJ2" s="420"/>
      <c r="GTK2" s="420"/>
      <c r="GTL2" s="420"/>
      <c r="GTM2" s="419" t="s">
        <v>23</v>
      </c>
      <c r="GTN2" s="420"/>
      <c r="GTO2" s="420"/>
      <c r="GTP2" s="420"/>
      <c r="GTQ2" s="419" t="s">
        <v>23</v>
      </c>
      <c r="GTR2" s="420"/>
      <c r="GTS2" s="420"/>
      <c r="GTT2" s="420"/>
      <c r="GTU2" s="419" t="s">
        <v>23</v>
      </c>
      <c r="GTV2" s="420"/>
      <c r="GTW2" s="420"/>
      <c r="GTX2" s="420"/>
      <c r="GTY2" s="419" t="s">
        <v>23</v>
      </c>
      <c r="GTZ2" s="420"/>
      <c r="GUA2" s="420"/>
      <c r="GUB2" s="420"/>
      <c r="GUC2" s="419" t="s">
        <v>23</v>
      </c>
      <c r="GUD2" s="420"/>
      <c r="GUE2" s="420"/>
      <c r="GUF2" s="420"/>
      <c r="GUG2" s="419" t="s">
        <v>23</v>
      </c>
      <c r="GUH2" s="420"/>
      <c r="GUI2" s="420"/>
      <c r="GUJ2" s="420"/>
      <c r="GUK2" s="419" t="s">
        <v>23</v>
      </c>
      <c r="GUL2" s="420"/>
      <c r="GUM2" s="420"/>
      <c r="GUN2" s="420"/>
      <c r="GUO2" s="419" t="s">
        <v>23</v>
      </c>
      <c r="GUP2" s="420"/>
      <c r="GUQ2" s="420"/>
      <c r="GUR2" s="420"/>
      <c r="GUS2" s="419" t="s">
        <v>23</v>
      </c>
      <c r="GUT2" s="420"/>
      <c r="GUU2" s="420"/>
      <c r="GUV2" s="420"/>
      <c r="GUW2" s="419" t="s">
        <v>23</v>
      </c>
      <c r="GUX2" s="420"/>
      <c r="GUY2" s="420"/>
      <c r="GUZ2" s="420"/>
      <c r="GVA2" s="419" t="s">
        <v>23</v>
      </c>
      <c r="GVB2" s="420"/>
      <c r="GVC2" s="420"/>
      <c r="GVD2" s="420"/>
      <c r="GVE2" s="419" t="s">
        <v>23</v>
      </c>
      <c r="GVF2" s="420"/>
      <c r="GVG2" s="420"/>
      <c r="GVH2" s="420"/>
      <c r="GVI2" s="419" t="s">
        <v>23</v>
      </c>
      <c r="GVJ2" s="420"/>
      <c r="GVK2" s="420"/>
      <c r="GVL2" s="420"/>
      <c r="GVM2" s="419" t="s">
        <v>23</v>
      </c>
      <c r="GVN2" s="420"/>
      <c r="GVO2" s="420"/>
      <c r="GVP2" s="420"/>
      <c r="GVQ2" s="419" t="s">
        <v>23</v>
      </c>
      <c r="GVR2" s="420"/>
      <c r="GVS2" s="420"/>
      <c r="GVT2" s="420"/>
      <c r="GVU2" s="419" t="s">
        <v>23</v>
      </c>
      <c r="GVV2" s="420"/>
      <c r="GVW2" s="420"/>
      <c r="GVX2" s="420"/>
      <c r="GVY2" s="419" t="s">
        <v>23</v>
      </c>
      <c r="GVZ2" s="420"/>
      <c r="GWA2" s="420"/>
      <c r="GWB2" s="420"/>
      <c r="GWC2" s="419" t="s">
        <v>23</v>
      </c>
      <c r="GWD2" s="420"/>
      <c r="GWE2" s="420"/>
      <c r="GWF2" s="420"/>
      <c r="GWG2" s="419" t="s">
        <v>23</v>
      </c>
      <c r="GWH2" s="420"/>
      <c r="GWI2" s="420"/>
      <c r="GWJ2" s="420"/>
      <c r="GWK2" s="419" t="s">
        <v>23</v>
      </c>
      <c r="GWL2" s="420"/>
      <c r="GWM2" s="420"/>
      <c r="GWN2" s="420"/>
      <c r="GWO2" s="419" t="s">
        <v>23</v>
      </c>
      <c r="GWP2" s="420"/>
      <c r="GWQ2" s="420"/>
      <c r="GWR2" s="420"/>
      <c r="GWS2" s="419" t="s">
        <v>23</v>
      </c>
      <c r="GWT2" s="420"/>
      <c r="GWU2" s="420"/>
      <c r="GWV2" s="420"/>
      <c r="GWW2" s="419" t="s">
        <v>23</v>
      </c>
      <c r="GWX2" s="420"/>
      <c r="GWY2" s="420"/>
      <c r="GWZ2" s="420"/>
      <c r="GXA2" s="419" t="s">
        <v>23</v>
      </c>
      <c r="GXB2" s="420"/>
      <c r="GXC2" s="420"/>
      <c r="GXD2" s="420"/>
      <c r="GXE2" s="419" t="s">
        <v>23</v>
      </c>
      <c r="GXF2" s="420"/>
      <c r="GXG2" s="420"/>
      <c r="GXH2" s="420"/>
      <c r="GXI2" s="419" t="s">
        <v>23</v>
      </c>
      <c r="GXJ2" s="420"/>
      <c r="GXK2" s="420"/>
      <c r="GXL2" s="420"/>
      <c r="GXM2" s="419" t="s">
        <v>23</v>
      </c>
      <c r="GXN2" s="420"/>
      <c r="GXO2" s="420"/>
      <c r="GXP2" s="420"/>
      <c r="GXQ2" s="419" t="s">
        <v>23</v>
      </c>
      <c r="GXR2" s="420"/>
      <c r="GXS2" s="420"/>
      <c r="GXT2" s="420"/>
      <c r="GXU2" s="419" t="s">
        <v>23</v>
      </c>
      <c r="GXV2" s="420"/>
      <c r="GXW2" s="420"/>
      <c r="GXX2" s="420"/>
      <c r="GXY2" s="419" t="s">
        <v>23</v>
      </c>
      <c r="GXZ2" s="420"/>
      <c r="GYA2" s="420"/>
      <c r="GYB2" s="420"/>
      <c r="GYC2" s="419" t="s">
        <v>23</v>
      </c>
      <c r="GYD2" s="420"/>
      <c r="GYE2" s="420"/>
      <c r="GYF2" s="420"/>
      <c r="GYG2" s="419" t="s">
        <v>23</v>
      </c>
      <c r="GYH2" s="420"/>
      <c r="GYI2" s="420"/>
      <c r="GYJ2" s="420"/>
      <c r="GYK2" s="419" t="s">
        <v>23</v>
      </c>
      <c r="GYL2" s="420"/>
      <c r="GYM2" s="420"/>
      <c r="GYN2" s="420"/>
      <c r="GYO2" s="419" t="s">
        <v>23</v>
      </c>
      <c r="GYP2" s="420"/>
      <c r="GYQ2" s="420"/>
      <c r="GYR2" s="420"/>
      <c r="GYS2" s="419" t="s">
        <v>23</v>
      </c>
      <c r="GYT2" s="420"/>
      <c r="GYU2" s="420"/>
      <c r="GYV2" s="420"/>
      <c r="GYW2" s="419" t="s">
        <v>23</v>
      </c>
      <c r="GYX2" s="420"/>
      <c r="GYY2" s="420"/>
      <c r="GYZ2" s="420"/>
      <c r="GZA2" s="419" t="s">
        <v>23</v>
      </c>
      <c r="GZB2" s="420"/>
      <c r="GZC2" s="420"/>
      <c r="GZD2" s="420"/>
      <c r="GZE2" s="419" t="s">
        <v>23</v>
      </c>
      <c r="GZF2" s="420"/>
      <c r="GZG2" s="420"/>
      <c r="GZH2" s="420"/>
      <c r="GZI2" s="419" t="s">
        <v>23</v>
      </c>
      <c r="GZJ2" s="420"/>
      <c r="GZK2" s="420"/>
      <c r="GZL2" s="420"/>
      <c r="GZM2" s="419" t="s">
        <v>23</v>
      </c>
      <c r="GZN2" s="420"/>
      <c r="GZO2" s="420"/>
      <c r="GZP2" s="420"/>
      <c r="GZQ2" s="419" t="s">
        <v>23</v>
      </c>
      <c r="GZR2" s="420"/>
      <c r="GZS2" s="420"/>
      <c r="GZT2" s="420"/>
      <c r="GZU2" s="419" t="s">
        <v>23</v>
      </c>
      <c r="GZV2" s="420"/>
      <c r="GZW2" s="420"/>
      <c r="GZX2" s="420"/>
      <c r="GZY2" s="419" t="s">
        <v>23</v>
      </c>
      <c r="GZZ2" s="420"/>
      <c r="HAA2" s="420"/>
      <c r="HAB2" s="420"/>
      <c r="HAC2" s="419" t="s">
        <v>23</v>
      </c>
      <c r="HAD2" s="420"/>
      <c r="HAE2" s="420"/>
      <c r="HAF2" s="420"/>
      <c r="HAG2" s="419" t="s">
        <v>23</v>
      </c>
      <c r="HAH2" s="420"/>
      <c r="HAI2" s="420"/>
      <c r="HAJ2" s="420"/>
      <c r="HAK2" s="419" t="s">
        <v>23</v>
      </c>
      <c r="HAL2" s="420"/>
      <c r="HAM2" s="420"/>
      <c r="HAN2" s="420"/>
      <c r="HAO2" s="419" t="s">
        <v>23</v>
      </c>
      <c r="HAP2" s="420"/>
      <c r="HAQ2" s="420"/>
      <c r="HAR2" s="420"/>
      <c r="HAS2" s="419" t="s">
        <v>23</v>
      </c>
      <c r="HAT2" s="420"/>
      <c r="HAU2" s="420"/>
      <c r="HAV2" s="420"/>
      <c r="HAW2" s="419" t="s">
        <v>23</v>
      </c>
      <c r="HAX2" s="420"/>
      <c r="HAY2" s="420"/>
      <c r="HAZ2" s="420"/>
      <c r="HBA2" s="419" t="s">
        <v>23</v>
      </c>
      <c r="HBB2" s="420"/>
      <c r="HBC2" s="420"/>
      <c r="HBD2" s="420"/>
      <c r="HBE2" s="419" t="s">
        <v>23</v>
      </c>
      <c r="HBF2" s="420"/>
      <c r="HBG2" s="420"/>
      <c r="HBH2" s="420"/>
      <c r="HBI2" s="419" t="s">
        <v>23</v>
      </c>
      <c r="HBJ2" s="420"/>
      <c r="HBK2" s="420"/>
      <c r="HBL2" s="420"/>
      <c r="HBM2" s="419" t="s">
        <v>23</v>
      </c>
      <c r="HBN2" s="420"/>
      <c r="HBO2" s="420"/>
      <c r="HBP2" s="420"/>
      <c r="HBQ2" s="419" t="s">
        <v>23</v>
      </c>
      <c r="HBR2" s="420"/>
      <c r="HBS2" s="420"/>
      <c r="HBT2" s="420"/>
      <c r="HBU2" s="419" t="s">
        <v>23</v>
      </c>
      <c r="HBV2" s="420"/>
      <c r="HBW2" s="420"/>
      <c r="HBX2" s="420"/>
      <c r="HBY2" s="419" t="s">
        <v>23</v>
      </c>
      <c r="HBZ2" s="420"/>
      <c r="HCA2" s="420"/>
      <c r="HCB2" s="420"/>
      <c r="HCC2" s="419" t="s">
        <v>23</v>
      </c>
      <c r="HCD2" s="420"/>
      <c r="HCE2" s="420"/>
      <c r="HCF2" s="420"/>
      <c r="HCG2" s="419" t="s">
        <v>23</v>
      </c>
      <c r="HCH2" s="420"/>
      <c r="HCI2" s="420"/>
      <c r="HCJ2" s="420"/>
      <c r="HCK2" s="419" t="s">
        <v>23</v>
      </c>
      <c r="HCL2" s="420"/>
      <c r="HCM2" s="420"/>
      <c r="HCN2" s="420"/>
      <c r="HCO2" s="419" t="s">
        <v>23</v>
      </c>
      <c r="HCP2" s="420"/>
      <c r="HCQ2" s="420"/>
      <c r="HCR2" s="420"/>
      <c r="HCS2" s="419" t="s">
        <v>23</v>
      </c>
      <c r="HCT2" s="420"/>
      <c r="HCU2" s="420"/>
      <c r="HCV2" s="420"/>
      <c r="HCW2" s="419" t="s">
        <v>23</v>
      </c>
      <c r="HCX2" s="420"/>
      <c r="HCY2" s="420"/>
      <c r="HCZ2" s="420"/>
      <c r="HDA2" s="419" t="s">
        <v>23</v>
      </c>
      <c r="HDB2" s="420"/>
      <c r="HDC2" s="420"/>
      <c r="HDD2" s="420"/>
      <c r="HDE2" s="419" t="s">
        <v>23</v>
      </c>
      <c r="HDF2" s="420"/>
      <c r="HDG2" s="420"/>
      <c r="HDH2" s="420"/>
      <c r="HDI2" s="419" t="s">
        <v>23</v>
      </c>
      <c r="HDJ2" s="420"/>
      <c r="HDK2" s="420"/>
      <c r="HDL2" s="420"/>
      <c r="HDM2" s="419" t="s">
        <v>23</v>
      </c>
      <c r="HDN2" s="420"/>
      <c r="HDO2" s="420"/>
      <c r="HDP2" s="420"/>
      <c r="HDQ2" s="419" t="s">
        <v>23</v>
      </c>
      <c r="HDR2" s="420"/>
      <c r="HDS2" s="420"/>
      <c r="HDT2" s="420"/>
      <c r="HDU2" s="419" t="s">
        <v>23</v>
      </c>
      <c r="HDV2" s="420"/>
      <c r="HDW2" s="420"/>
      <c r="HDX2" s="420"/>
      <c r="HDY2" s="419" t="s">
        <v>23</v>
      </c>
      <c r="HDZ2" s="420"/>
      <c r="HEA2" s="420"/>
      <c r="HEB2" s="420"/>
      <c r="HEC2" s="419" t="s">
        <v>23</v>
      </c>
      <c r="HED2" s="420"/>
      <c r="HEE2" s="420"/>
      <c r="HEF2" s="420"/>
      <c r="HEG2" s="419" t="s">
        <v>23</v>
      </c>
      <c r="HEH2" s="420"/>
      <c r="HEI2" s="420"/>
      <c r="HEJ2" s="420"/>
      <c r="HEK2" s="419" t="s">
        <v>23</v>
      </c>
      <c r="HEL2" s="420"/>
      <c r="HEM2" s="420"/>
      <c r="HEN2" s="420"/>
      <c r="HEO2" s="419" t="s">
        <v>23</v>
      </c>
      <c r="HEP2" s="420"/>
      <c r="HEQ2" s="420"/>
      <c r="HER2" s="420"/>
      <c r="HES2" s="419" t="s">
        <v>23</v>
      </c>
      <c r="HET2" s="420"/>
      <c r="HEU2" s="420"/>
      <c r="HEV2" s="420"/>
      <c r="HEW2" s="419" t="s">
        <v>23</v>
      </c>
      <c r="HEX2" s="420"/>
      <c r="HEY2" s="420"/>
      <c r="HEZ2" s="420"/>
      <c r="HFA2" s="419" t="s">
        <v>23</v>
      </c>
      <c r="HFB2" s="420"/>
      <c r="HFC2" s="420"/>
      <c r="HFD2" s="420"/>
      <c r="HFE2" s="419" t="s">
        <v>23</v>
      </c>
      <c r="HFF2" s="420"/>
      <c r="HFG2" s="420"/>
      <c r="HFH2" s="420"/>
      <c r="HFI2" s="419" t="s">
        <v>23</v>
      </c>
      <c r="HFJ2" s="420"/>
      <c r="HFK2" s="420"/>
      <c r="HFL2" s="420"/>
      <c r="HFM2" s="419" t="s">
        <v>23</v>
      </c>
      <c r="HFN2" s="420"/>
      <c r="HFO2" s="420"/>
      <c r="HFP2" s="420"/>
      <c r="HFQ2" s="419" t="s">
        <v>23</v>
      </c>
      <c r="HFR2" s="420"/>
      <c r="HFS2" s="420"/>
      <c r="HFT2" s="420"/>
      <c r="HFU2" s="419" t="s">
        <v>23</v>
      </c>
      <c r="HFV2" s="420"/>
      <c r="HFW2" s="420"/>
      <c r="HFX2" s="420"/>
      <c r="HFY2" s="419" t="s">
        <v>23</v>
      </c>
      <c r="HFZ2" s="420"/>
      <c r="HGA2" s="420"/>
      <c r="HGB2" s="420"/>
      <c r="HGC2" s="419" t="s">
        <v>23</v>
      </c>
      <c r="HGD2" s="420"/>
      <c r="HGE2" s="420"/>
      <c r="HGF2" s="420"/>
      <c r="HGG2" s="419" t="s">
        <v>23</v>
      </c>
      <c r="HGH2" s="420"/>
      <c r="HGI2" s="420"/>
      <c r="HGJ2" s="420"/>
      <c r="HGK2" s="419" t="s">
        <v>23</v>
      </c>
      <c r="HGL2" s="420"/>
      <c r="HGM2" s="420"/>
      <c r="HGN2" s="420"/>
      <c r="HGO2" s="419" t="s">
        <v>23</v>
      </c>
      <c r="HGP2" s="420"/>
      <c r="HGQ2" s="420"/>
      <c r="HGR2" s="420"/>
      <c r="HGS2" s="419" t="s">
        <v>23</v>
      </c>
      <c r="HGT2" s="420"/>
      <c r="HGU2" s="420"/>
      <c r="HGV2" s="420"/>
      <c r="HGW2" s="419" t="s">
        <v>23</v>
      </c>
      <c r="HGX2" s="420"/>
      <c r="HGY2" s="420"/>
      <c r="HGZ2" s="420"/>
      <c r="HHA2" s="419" t="s">
        <v>23</v>
      </c>
      <c r="HHB2" s="420"/>
      <c r="HHC2" s="420"/>
      <c r="HHD2" s="420"/>
      <c r="HHE2" s="419" t="s">
        <v>23</v>
      </c>
      <c r="HHF2" s="420"/>
      <c r="HHG2" s="420"/>
      <c r="HHH2" s="420"/>
      <c r="HHI2" s="419" t="s">
        <v>23</v>
      </c>
      <c r="HHJ2" s="420"/>
      <c r="HHK2" s="420"/>
      <c r="HHL2" s="420"/>
      <c r="HHM2" s="419" t="s">
        <v>23</v>
      </c>
      <c r="HHN2" s="420"/>
      <c r="HHO2" s="420"/>
      <c r="HHP2" s="420"/>
      <c r="HHQ2" s="419" t="s">
        <v>23</v>
      </c>
      <c r="HHR2" s="420"/>
      <c r="HHS2" s="420"/>
      <c r="HHT2" s="420"/>
      <c r="HHU2" s="419" t="s">
        <v>23</v>
      </c>
      <c r="HHV2" s="420"/>
      <c r="HHW2" s="420"/>
      <c r="HHX2" s="420"/>
      <c r="HHY2" s="419" t="s">
        <v>23</v>
      </c>
      <c r="HHZ2" s="420"/>
      <c r="HIA2" s="420"/>
      <c r="HIB2" s="420"/>
      <c r="HIC2" s="419" t="s">
        <v>23</v>
      </c>
      <c r="HID2" s="420"/>
      <c r="HIE2" s="420"/>
      <c r="HIF2" s="420"/>
      <c r="HIG2" s="419" t="s">
        <v>23</v>
      </c>
      <c r="HIH2" s="420"/>
      <c r="HII2" s="420"/>
      <c r="HIJ2" s="420"/>
      <c r="HIK2" s="419" t="s">
        <v>23</v>
      </c>
      <c r="HIL2" s="420"/>
      <c r="HIM2" s="420"/>
      <c r="HIN2" s="420"/>
      <c r="HIO2" s="419" t="s">
        <v>23</v>
      </c>
      <c r="HIP2" s="420"/>
      <c r="HIQ2" s="420"/>
      <c r="HIR2" s="420"/>
      <c r="HIS2" s="419" t="s">
        <v>23</v>
      </c>
      <c r="HIT2" s="420"/>
      <c r="HIU2" s="420"/>
      <c r="HIV2" s="420"/>
      <c r="HIW2" s="419" t="s">
        <v>23</v>
      </c>
      <c r="HIX2" s="420"/>
      <c r="HIY2" s="420"/>
      <c r="HIZ2" s="420"/>
      <c r="HJA2" s="419" t="s">
        <v>23</v>
      </c>
      <c r="HJB2" s="420"/>
      <c r="HJC2" s="420"/>
      <c r="HJD2" s="420"/>
      <c r="HJE2" s="419" t="s">
        <v>23</v>
      </c>
      <c r="HJF2" s="420"/>
      <c r="HJG2" s="420"/>
      <c r="HJH2" s="420"/>
      <c r="HJI2" s="419" t="s">
        <v>23</v>
      </c>
      <c r="HJJ2" s="420"/>
      <c r="HJK2" s="420"/>
      <c r="HJL2" s="420"/>
      <c r="HJM2" s="419" t="s">
        <v>23</v>
      </c>
      <c r="HJN2" s="420"/>
      <c r="HJO2" s="420"/>
      <c r="HJP2" s="420"/>
      <c r="HJQ2" s="419" t="s">
        <v>23</v>
      </c>
      <c r="HJR2" s="420"/>
      <c r="HJS2" s="420"/>
      <c r="HJT2" s="420"/>
      <c r="HJU2" s="419" t="s">
        <v>23</v>
      </c>
      <c r="HJV2" s="420"/>
      <c r="HJW2" s="420"/>
      <c r="HJX2" s="420"/>
      <c r="HJY2" s="419" t="s">
        <v>23</v>
      </c>
      <c r="HJZ2" s="420"/>
      <c r="HKA2" s="420"/>
      <c r="HKB2" s="420"/>
      <c r="HKC2" s="419" t="s">
        <v>23</v>
      </c>
      <c r="HKD2" s="420"/>
      <c r="HKE2" s="420"/>
      <c r="HKF2" s="420"/>
      <c r="HKG2" s="419" t="s">
        <v>23</v>
      </c>
      <c r="HKH2" s="420"/>
      <c r="HKI2" s="420"/>
      <c r="HKJ2" s="420"/>
      <c r="HKK2" s="419" t="s">
        <v>23</v>
      </c>
      <c r="HKL2" s="420"/>
      <c r="HKM2" s="420"/>
      <c r="HKN2" s="420"/>
      <c r="HKO2" s="419" t="s">
        <v>23</v>
      </c>
      <c r="HKP2" s="420"/>
      <c r="HKQ2" s="420"/>
      <c r="HKR2" s="420"/>
      <c r="HKS2" s="419" t="s">
        <v>23</v>
      </c>
      <c r="HKT2" s="420"/>
      <c r="HKU2" s="420"/>
      <c r="HKV2" s="420"/>
      <c r="HKW2" s="419" t="s">
        <v>23</v>
      </c>
      <c r="HKX2" s="420"/>
      <c r="HKY2" s="420"/>
      <c r="HKZ2" s="420"/>
      <c r="HLA2" s="419" t="s">
        <v>23</v>
      </c>
      <c r="HLB2" s="420"/>
      <c r="HLC2" s="420"/>
      <c r="HLD2" s="420"/>
      <c r="HLE2" s="419" t="s">
        <v>23</v>
      </c>
      <c r="HLF2" s="420"/>
      <c r="HLG2" s="420"/>
      <c r="HLH2" s="420"/>
      <c r="HLI2" s="419" t="s">
        <v>23</v>
      </c>
      <c r="HLJ2" s="420"/>
      <c r="HLK2" s="420"/>
      <c r="HLL2" s="420"/>
      <c r="HLM2" s="419" t="s">
        <v>23</v>
      </c>
      <c r="HLN2" s="420"/>
      <c r="HLO2" s="420"/>
      <c r="HLP2" s="420"/>
      <c r="HLQ2" s="419" t="s">
        <v>23</v>
      </c>
      <c r="HLR2" s="420"/>
      <c r="HLS2" s="420"/>
      <c r="HLT2" s="420"/>
      <c r="HLU2" s="419" t="s">
        <v>23</v>
      </c>
      <c r="HLV2" s="420"/>
      <c r="HLW2" s="420"/>
      <c r="HLX2" s="420"/>
      <c r="HLY2" s="419" t="s">
        <v>23</v>
      </c>
      <c r="HLZ2" s="420"/>
      <c r="HMA2" s="420"/>
      <c r="HMB2" s="420"/>
      <c r="HMC2" s="419" t="s">
        <v>23</v>
      </c>
      <c r="HMD2" s="420"/>
      <c r="HME2" s="420"/>
      <c r="HMF2" s="420"/>
      <c r="HMG2" s="419" t="s">
        <v>23</v>
      </c>
      <c r="HMH2" s="420"/>
      <c r="HMI2" s="420"/>
      <c r="HMJ2" s="420"/>
      <c r="HMK2" s="419" t="s">
        <v>23</v>
      </c>
      <c r="HML2" s="420"/>
      <c r="HMM2" s="420"/>
      <c r="HMN2" s="420"/>
      <c r="HMO2" s="419" t="s">
        <v>23</v>
      </c>
      <c r="HMP2" s="420"/>
      <c r="HMQ2" s="420"/>
      <c r="HMR2" s="420"/>
      <c r="HMS2" s="419" t="s">
        <v>23</v>
      </c>
      <c r="HMT2" s="420"/>
      <c r="HMU2" s="420"/>
      <c r="HMV2" s="420"/>
      <c r="HMW2" s="419" t="s">
        <v>23</v>
      </c>
      <c r="HMX2" s="420"/>
      <c r="HMY2" s="420"/>
      <c r="HMZ2" s="420"/>
      <c r="HNA2" s="419" t="s">
        <v>23</v>
      </c>
      <c r="HNB2" s="420"/>
      <c r="HNC2" s="420"/>
      <c r="HND2" s="420"/>
      <c r="HNE2" s="419" t="s">
        <v>23</v>
      </c>
      <c r="HNF2" s="420"/>
      <c r="HNG2" s="420"/>
      <c r="HNH2" s="420"/>
      <c r="HNI2" s="419" t="s">
        <v>23</v>
      </c>
      <c r="HNJ2" s="420"/>
      <c r="HNK2" s="420"/>
      <c r="HNL2" s="420"/>
      <c r="HNM2" s="419" t="s">
        <v>23</v>
      </c>
      <c r="HNN2" s="420"/>
      <c r="HNO2" s="420"/>
      <c r="HNP2" s="420"/>
      <c r="HNQ2" s="419" t="s">
        <v>23</v>
      </c>
      <c r="HNR2" s="420"/>
      <c r="HNS2" s="420"/>
      <c r="HNT2" s="420"/>
      <c r="HNU2" s="419" t="s">
        <v>23</v>
      </c>
      <c r="HNV2" s="420"/>
      <c r="HNW2" s="420"/>
      <c r="HNX2" s="420"/>
      <c r="HNY2" s="419" t="s">
        <v>23</v>
      </c>
      <c r="HNZ2" s="420"/>
      <c r="HOA2" s="420"/>
      <c r="HOB2" s="420"/>
      <c r="HOC2" s="419" t="s">
        <v>23</v>
      </c>
      <c r="HOD2" s="420"/>
      <c r="HOE2" s="420"/>
      <c r="HOF2" s="420"/>
      <c r="HOG2" s="419" t="s">
        <v>23</v>
      </c>
      <c r="HOH2" s="420"/>
      <c r="HOI2" s="420"/>
      <c r="HOJ2" s="420"/>
      <c r="HOK2" s="419" t="s">
        <v>23</v>
      </c>
      <c r="HOL2" s="420"/>
      <c r="HOM2" s="420"/>
      <c r="HON2" s="420"/>
      <c r="HOO2" s="419" t="s">
        <v>23</v>
      </c>
      <c r="HOP2" s="420"/>
      <c r="HOQ2" s="420"/>
      <c r="HOR2" s="420"/>
      <c r="HOS2" s="419" t="s">
        <v>23</v>
      </c>
      <c r="HOT2" s="420"/>
      <c r="HOU2" s="420"/>
      <c r="HOV2" s="420"/>
      <c r="HOW2" s="419" t="s">
        <v>23</v>
      </c>
      <c r="HOX2" s="420"/>
      <c r="HOY2" s="420"/>
      <c r="HOZ2" s="420"/>
      <c r="HPA2" s="419" t="s">
        <v>23</v>
      </c>
      <c r="HPB2" s="420"/>
      <c r="HPC2" s="420"/>
      <c r="HPD2" s="420"/>
      <c r="HPE2" s="419" t="s">
        <v>23</v>
      </c>
      <c r="HPF2" s="420"/>
      <c r="HPG2" s="420"/>
      <c r="HPH2" s="420"/>
      <c r="HPI2" s="419" t="s">
        <v>23</v>
      </c>
      <c r="HPJ2" s="420"/>
      <c r="HPK2" s="420"/>
      <c r="HPL2" s="420"/>
      <c r="HPM2" s="419" t="s">
        <v>23</v>
      </c>
      <c r="HPN2" s="420"/>
      <c r="HPO2" s="420"/>
      <c r="HPP2" s="420"/>
      <c r="HPQ2" s="419" t="s">
        <v>23</v>
      </c>
      <c r="HPR2" s="420"/>
      <c r="HPS2" s="420"/>
      <c r="HPT2" s="420"/>
      <c r="HPU2" s="419" t="s">
        <v>23</v>
      </c>
      <c r="HPV2" s="420"/>
      <c r="HPW2" s="420"/>
      <c r="HPX2" s="420"/>
      <c r="HPY2" s="419" t="s">
        <v>23</v>
      </c>
      <c r="HPZ2" s="420"/>
      <c r="HQA2" s="420"/>
      <c r="HQB2" s="420"/>
      <c r="HQC2" s="419" t="s">
        <v>23</v>
      </c>
      <c r="HQD2" s="420"/>
      <c r="HQE2" s="420"/>
      <c r="HQF2" s="420"/>
      <c r="HQG2" s="419" t="s">
        <v>23</v>
      </c>
      <c r="HQH2" s="420"/>
      <c r="HQI2" s="420"/>
      <c r="HQJ2" s="420"/>
      <c r="HQK2" s="419" t="s">
        <v>23</v>
      </c>
      <c r="HQL2" s="420"/>
      <c r="HQM2" s="420"/>
      <c r="HQN2" s="420"/>
      <c r="HQO2" s="419" t="s">
        <v>23</v>
      </c>
      <c r="HQP2" s="420"/>
      <c r="HQQ2" s="420"/>
      <c r="HQR2" s="420"/>
      <c r="HQS2" s="419" t="s">
        <v>23</v>
      </c>
      <c r="HQT2" s="420"/>
      <c r="HQU2" s="420"/>
      <c r="HQV2" s="420"/>
      <c r="HQW2" s="419" t="s">
        <v>23</v>
      </c>
      <c r="HQX2" s="420"/>
      <c r="HQY2" s="420"/>
      <c r="HQZ2" s="420"/>
      <c r="HRA2" s="419" t="s">
        <v>23</v>
      </c>
      <c r="HRB2" s="420"/>
      <c r="HRC2" s="420"/>
      <c r="HRD2" s="420"/>
      <c r="HRE2" s="419" t="s">
        <v>23</v>
      </c>
      <c r="HRF2" s="420"/>
      <c r="HRG2" s="420"/>
      <c r="HRH2" s="420"/>
      <c r="HRI2" s="419" t="s">
        <v>23</v>
      </c>
      <c r="HRJ2" s="420"/>
      <c r="HRK2" s="420"/>
      <c r="HRL2" s="420"/>
      <c r="HRM2" s="419" t="s">
        <v>23</v>
      </c>
      <c r="HRN2" s="420"/>
      <c r="HRO2" s="420"/>
      <c r="HRP2" s="420"/>
      <c r="HRQ2" s="419" t="s">
        <v>23</v>
      </c>
      <c r="HRR2" s="420"/>
      <c r="HRS2" s="420"/>
      <c r="HRT2" s="420"/>
      <c r="HRU2" s="419" t="s">
        <v>23</v>
      </c>
      <c r="HRV2" s="420"/>
      <c r="HRW2" s="420"/>
      <c r="HRX2" s="420"/>
      <c r="HRY2" s="419" t="s">
        <v>23</v>
      </c>
      <c r="HRZ2" s="420"/>
      <c r="HSA2" s="420"/>
      <c r="HSB2" s="420"/>
      <c r="HSC2" s="419" t="s">
        <v>23</v>
      </c>
      <c r="HSD2" s="420"/>
      <c r="HSE2" s="420"/>
      <c r="HSF2" s="420"/>
      <c r="HSG2" s="419" t="s">
        <v>23</v>
      </c>
      <c r="HSH2" s="420"/>
      <c r="HSI2" s="420"/>
      <c r="HSJ2" s="420"/>
      <c r="HSK2" s="419" t="s">
        <v>23</v>
      </c>
      <c r="HSL2" s="420"/>
      <c r="HSM2" s="420"/>
      <c r="HSN2" s="420"/>
      <c r="HSO2" s="419" t="s">
        <v>23</v>
      </c>
      <c r="HSP2" s="420"/>
      <c r="HSQ2" s="420"/>
      <c r="HSR2" s="420"/>
      <c r="HSS2" s="419" t="s">
        <v>23</v>
      </c>
      <c r="HST2" s="420"/>
      <c r="HSU2" s="420"/>
      <c r="HSV2" s="420"/>
      <c r="HSW2" s="419" t="s">
        <v>23</v>
      </c>
      <c r="HSX2" s="420"/>
      <c r="HSY2" s="420"/>
      <c r="HSZ2" s="420"/>
      <c r="HTA2" s="419" t="s">
        <v>23</v>
      </c>
      <c r="HTB2" s="420"/>
      <c r="HTC2" s="420"/>
      <c r="HTD2" s="420"/>
      <c r="HTE2" s="419" t="s">
        <v>23</v>
      </c>
      <c r="HTF2" s="420"/>
      <c r="HTG2" s="420"/>
      <c r="HTH2" s="420"/>
      <c r="HTI2" s="419" t="s">
        <v>23</v>
      </c>
      <c r="HTJ2" s="420"/>
      <c r="HTK2" s="420"/>
      <c r="HTL2" s="420"/>
      <c r="HTM2" s="419" t="s">
        <v>23</v>
      </c>
      <c r="HTN2" s="420"/>
      <c r="HTO2" s="420"/>
      <c r="HTP2" s="420"/>
      <c r="HTQ2" s="419" t="s">
        <v>23</v>
      </c>
      <c r="HTR2" s="420"/>
      <c r="HTS2" s="420"/>
      <c r="HTT2" s="420"/>
      <c r="HTU2" s="419" t="s">
        <v>23</v>
      </c>
      <c r="HTV2" s="420"/>
      <c r="HTW2" s="420"/>
      <c r="HTX2" s="420"/>
      <c r="HTY2" s="419" t="s">
        <v>23</v>
      </c>
      <c r="HTZ2" s="420"/>
      <c r="HUA2" s="420"/>
      <c r="HUB2" s="420"/>
      <c r="HUC2" s="419" t="s">
        <v>23</v>
      </c>
      <c r="HUD2" s="420"/>
      <c r="HUE2" s="420"/>
      <c r="HUF2" s="420"/>
      <c r="HUG2" s="419" t="s">
        <v>23</v>
      </c>
      <c r="HUH2" s="420"/>
      <c r="HUI2" s="420"/>
      <c r="HUJ2" s="420"/>
      <c r="HUK2" s="419" t="s">
        <v>23</v>
      </c>
      <c r="HUL2" s="420"/>
      <c r="HUM2" s="420"/>
      <c r="HUN2" s="420"/>
      <c r="HUO2" s="419" t="s">
        <v>23</v>
      </c>
      <c r="HUP2" s="420"/>
      <c r="HUQ2" s="420"/>
      <c r="HUR2" s="420"/>
      <c r="HUS2" s="419" t="s">
        <v>23</v>
      </c>
      <c r="HUT2" s="420"/>
      <c r="HUU2" s="420"/>
      <c r="HUV2" s="420"/>
      <c r="HUW2" s="419" t="s">
        <v>23</v>
      </c>
      <c r="HUX2" s="420"/>
      <c r="HUY2" s="420"/>
      <c r="HUZ2" s="420"/>
      <c r="HVA2" s="419" t="s">
        <v>23</v>
      </c>
      <c r="HVB2" s="420"/>
      <c r="HVC2" s="420"/>
      <c r="HVD2" s="420"/>
      <c r="HVE2" s="419" t="s">
        <v>23</v>
      </c>
      <c r="HVF2" s="420"/>
      <c r="HVG2" s="420"/>
      <c r="HVH2" s="420"/>
      <c r="HVI2" s="419" t="s">
        <v>23</v>
      </c>
      <c r="HVJ2" s="420"/>
      <c r="HVK2" s="420"/>
      <c r="HVL2" s="420"/>
      <c r="HVM2" s="419" t="s">
        <v>23</v>
      </c>
      <c r="HVN2" s="420"/>
      <c r="HVO2" s="420"/>
      <c r="HVP2" s="420"/>
      <c r="HVQ2" s="419" t="s">
        <v>23</v>
      </c>
      <c r="HVR2" s="420"/>
      <c r="HVS2" s="420"/>
      <c r="HVT2" s="420"/>
      <c r="HVU2" s="419" t="s">
        <v>23</v>
      </c>
      <c r="HVV2" s="420"/>
      <c r="HVW2" s="420"/>
      <c r="HVX2" s="420"/>
      <c r="HVY2" s="419" t="s">
        <v>23</v>
      </c>
      <c r="HVZ2" s="420"/>
      <c r="HWA2" s="420"/>
      <c r="HWB2" s="420"/>
      <c r="HWC2" s="419" t="s">
        <v>23</v>
      </c>
      <c r="HWD2" s="420"/>
      <c r="HWE2" s="420"/>
      <c r="HWF2" s="420"/>
      <c r="HWG2" s="419" t="s">
        <v>23</v>
      </c>
      <c r="HWH2" s="420"/>
      <c r="HWI2" s="420"/>
      <c r="HWJ2" s="420"/>
      <c r="HWK2" s="419" t="s">
        <v>23</v>
      </c>
      <c r="HWL2" s="420"/>
      <c r="HWM2" s="420"/>
      <c r="HWN2" s="420"/>
      <c r="HWO2" s="419" t="s">
        <v>23</v>
      </c>
      <c r="HWP2" s="420"/>
      <c r="HWQ2" s="420"/>
      <c r="HWR2" s="420"/>
      <c r="HWS2" s="419" t="s">
        <v>23</v>
      </c>
      <c r="HWT2" s="420"/>
      <c r="HWU2" s="420"/>
      <c r="HWV2" s="420"/>
      <c r="HWW2" s="419" t="s">
        <v>23</v>
      </c>
      <c r="HWX2" s="420"/>
      <c r="HWY2" s="420"/>
      <c r="HWZ2" s="420"/>
      <c r="HXA2" s="419" t="s">
        <v>23</v>
      </c>
      <c r="HXB2" s="420"/>
      <c r="HXC2" s="420"/>
      <c r="HXD2" s="420"/>
      <c r="HXE2" s="419" t="s">
        <v>23</v>
      </c>
      <c r="HXF2" s="420"/>
      <c r="HXG2" s="420"/>
      <c r="HXH2" s="420"/>
      <c r="HXI2" s="419" t="s">
        <v>23</v>
      </c>
      <c r="HXJ2" s="420"/>
      <c r="HXK2" s="420"/>
      <c r="HXL2" s="420"/>
      <c r="HXM2" s="419" t="s">
        <v>23</v>
      </c>
      <c r="HXN2" s="420"/>
      <c r="HXO2" s="420"/>
      <c r="HXP2" s="420"/>
      <c r="HXQ2" s="419" t="s">
        <v>23</v>
      </c>
      <c r="HXR2" s="420"/>
      <c r="HXS2" s="420"/>
      <c r="HXT2" s="420"/>
      <c r="HXU2" s="419" t="s">
        <v>23</v>
      </c>
      <c r="HXV2" s="420"/>
      <c r="HXW2" s="420"/>
      <c r="HXX2" s="420"/>
      <c r="HXY2" s="419" t="s">
        <v>23</v>
      </c>
      <c r="HXZ2" s="420"/>
      <c r="HYA2" s="420"/>
      <c r="HYB2" s="420"/>
      <c r="HYC2" s="419" t="s">
        <v>23</v>
      </c>
      <c r="HYD2" s="420"/>
      <c r="HYE2" s="420"/>
      <c r="HYF2" s="420"/>
      <c r="HYG2" s="419" t="s">
        <v>23</v>
      </c>
      <c r="HYH2" s="420"/>
      <c r="HYI2" s="420"/>
      <c r="HYJ2" s="420"/>
      <c r="HYK2" s="419" t="s">
        <v>23</v>
      </c>
      <c r="HYL2" s="420"/>
      <c r="HYM2" s="420"/>
      <c r="HYN2" s="420"/>
      <c r="HYO2" s="419" t="s">
        <v>23</v>
      </c>
      <c r="HYP2" s="420"/>
      <c r="HYQ2" s="420"/>
      <c r="HYR2" s="420"/>
      <c r="HYS2" s="419" t="s">
        <v>23</v>
      </c>
      <c r="HYT2" s="420"/>
      <c r="HYU2" s="420"/>
      <c r="HYV2" s="420"/>
      <c r="HYW2" s="419" t="s">
        <v>23</v>
      </c>
      <c r="HYX2" s="420"/>
      <c r="HYY2" s="420"/>
      <c r="HYZ2" s="420"/>
      <c r="HZA2" s="419" t="s">
        <v>23</v>
      </c>
      <c r="HZB2" s="420"/>
      <c r="HZC2" s="420"/>
      <c r="HZD2" s="420"/>
      <c r="HZE2" s="419" t="s">
        <v>23</v>
      </c>
      <c r="HZF2" s="420"/>
      <c r="HZG2" s="420"/>
      <c r="HZH2" s="420"/>
      <c r="HZI2" s="419" t="s">
        <v>23</v>
      </c>
      <c r="HZJ2" s="420"/>
      <c r="HZK2" s="420"/>
      <c r="HZL2" s="420"/>
      <c r="HZM2" s="419" t="s">
        <v>23</v>
      </c>
      <c r="HZN2" s="420"/>
      <c r="HZO2" s="420"/>
      <c r="HZP2" s="420"/>
      <c r="HZQ2" s="419" t="s">
        <v>23</v>
      </c>
      <c r="HZR2" s="420"/>
      <c r="HZS2" s="420"/>
      <c r="HZT2" s="420"/>
      <c r="HZU2" s="419" t="s">
        <v>23</v>
      </c>
      <c r="HZV2" s="420"/>
      <c r="HZW2" s="420"/>
      <c r="HZX2" s="420"/>
      <c r="HZY2" s="419" t="s">
        <v>23</v>
      </c>
      <c r="HZZ2" s="420"/>
      <c r="IAA2" s="420"/>
      <c r="IAB2" s="420"/>
      <c r="IAC2" s="419" t="s">
        <v>23</v>
      </c>
      <c r="IAD2" s="420"/>
      <c r="IAE2" s="420"/>
      <c r="IAF2" s="420"/>
      <c r="IAG2" s="419" t="s">
        <v>23</v>
      </c>
      <c r="IAH2" s="420"/>
      <c r="IAI2" s="420"/>
      <c r="IAJ2" s="420"/>
      <c r="IAK2" s="419" t="s">
        <v>23</v>
      </c>
      <c r="IAL2" s="420"/>
      <c r="IAM2" s="420"/>
      <c r="IAN2" s="420"/>
      <c r="IAO2" s="419" t="s">
        <v>23</v>
      </c>
      <c r="IAP2" s="420"/>
      <c r="IAQ2" s="420"/>
      <c r="IAR2" s="420"/>
      <c r="IAS2" s="419" t="s">
        <v>23</v>
      </c>
      <c r="IAT2" s="420"/>
      <c r="IAU2" s="420"/>
      <c r="IAV2" s="420"/>
      <c r="IAW2" s="419" t="s">
        <v>23</v>
      </c>
      <c r="IAX2" s="420"/>
      <c r="IAY2" s="420"/>
      <c r="IAZ2" s="420"/>
      <c r="IBA2" s="419" t="s">
        <v>23</v>
      </c>
      <c r="IBB2" s="420"/>
      <c r="IBC2" s="420"/>
      <c r="IBD2" s="420"/>
      <c r="IBE2" s="419" t="s">
        <v>23</v>
      </c>
      <c r="IBF2" s="420"/>
      <c r="IBG2" s="420"/>
      <c r="IBH2" s="420"/>
      <c r="IBI2" s="419" t="s">
        <v>23</v>
      </c>
      <c r="IBJ2" s="420"/>
      <c r="IBK2" s="420"/>
      <c r="IBL2" s="420"/>
      <c r="IBM2" s="419" t="s">
        <v>23</v>
      </c>
      <c r="IBN2" s="420"/>
      <c r="IBO2" s="420"/>
      <c r="IBP2" s="420"/>
      <c r="IBQ2" s="419" t="s">
        <v>23</v>
      </c>
      <c r="IBR2" s="420"/>
      <c r="IBS2" s="420"/>
      <c r="IBT2" s="420"/>
      <c r="IBU2" s="419" t="s">
        <v>23</v>
      </c>
      <c r="IBV2" s="420"/>
      <c r="IBW2" s="420"/>
      <c r="IBX2" s="420"/>
      <c r="IBY2" s="419" t="s">
        <v>23</v>
      </c>
      <c r="IBZ2" s="420"/>
      <c r="ICA2" s="420"/>
      <c r="ICB2" s="420"/>
      <c r="ICC2" s="419" t="s">
        <v>23</v>
      </c>
      <c r="ICD2" s="420"/>
      <c r="ICE2" s="420"/>
      <c r="ICF2" s="420"/>
      <c r="ICG2" s="419" t="s">
        <v>23</v>
      </c>
      <c r="ICH2" s="420"/>
      <c r="ICI2" s="420"/>
      <c r="ICJ2" s="420"/>
      <c r="ICK2" s="419" t="s">
        <v>23</v>
      </c>
      <c r="ICL2" s="420"/>
      <c r="ICM2" s="420"/>
      <c r="ICN2" s="420"/>
      <c r="ICO2" s="419" t="s">
        <v>23</v>
      </c>
      <c r="ICP2" s="420"/>
      <c r="ICQ2" s="420"/>
      <c r="ICR2" s="420"/>
      <c r="ICS2" s="419" t="s">
        <v>23</v>
      </c>
      <c r="ICT2" s="420"/>
      <c r="ICU2" s="420"/>
      <c r="ICV2" s="420"/>
      <c r="ICW2" s="419" t="s">
        <v>23</v>
      </c>
      <c r="ICX2" s="420"/>
      <c r="ICY2" s="420"/>
      <c r="ICZ2" s="420"/>
      <c r="IDA2" s="419" t="s">
        <v>23</v>
      </c>
      <c r="IDB2" s="420"/>
      <c r="IDC2" s="420"/>
      <c r="IDD2" s="420"/>
      <c r="IDE2" s="419" t="s">
        <v>23</v>
      </c>
      <c r="IDF2" s="420"/>
      <c r="IDG2" s="420"/>
      <c r="IDH2" s="420"/>
      <c r="IDI2" s="419" t="s">
        <v>23</v>
      </c>
      <c r="IDJ2" s="420"/>
      <c r="IDK2" s="420"/>
      <c r="IDL2" s="420"/>
      <c r="IDM2" s="419" t="s">
        <v>23</v>
      </c>
      <c r="IDN2" s="420"/>
      <c r="IDO2" s="420"/>
      <c r="IDP2" s="420"/>
      <c r="IDQ2" s="419" t="s">
        <v>23</v>
      </c>
      <c r="IDR2" s="420"/>
      <c r="IDS2" s="420"/>
      <c r="IDT2" s="420"/>
      <c r="IDU2" s="419" t="s">
        <v>23</v>
      </c>
      <c r="IDV2" s="420"/>
      <c r="IDW2" s="420"/>
      <c r="IDX2" s="420"/>
      <c r="IDY2" s="419" t="s">
        <v>23</v>
      </c>
      <c r="IDZ2" s="420"/>
      <c r="IEA2" s="420"/>
      <c r="IEB2" s="420"/>
      <c r="IEC2" s="419" t="s">
        <v>23</v>
      </c>
      <c r="IED2" s="420"/>
      <c r="IEE2" s="420"/>
      <c r="IEF2" s="420"/>
      <c r="IEG2" s="419" t="s">
        <v>23</v>
      </c>
      <c r="IEH2" s="420"/>
      <c r="IEI2" s="420"/>
      <c r="IEJ2" s="420"/>
      <c r="IEK2" s="419" t="s">
        <v>23</v>
      </c>
      <c r="IEL2" s="420"/>
      <c r="IEM2" s="420"/>
      <c r="IEN2" s="420"/>
      <c r="IEO2" s="419" t="s">
        <v>23</v>
      </c>
      <c r="IEP2" s="420"/>
      <c r="IEQ2" s="420"/>
      <c r="IER2" s="420"/>
      <c r="IES2" s="419" t="s">
        <v>23</v>
      </c>
      <c r="IET2" s="420"/>
      <c r="IEU2" s="420"/>
      <c r="IEV2" s="420"/>
      <c r="IEW2" s="419" t="s">
        <v>23</v>
      </c>
      <c r="IEX2" s="420"/>
      <c r="IEY2" s="420"/>
      <c r="IEZ2" s="420"/>
      <c r="IFA2" s="419" t="s">
        <v>23</v>
      </c>
      <c r="IFB2" s="420"/>
      <c r="IFC2" s="420"/>
      <c r="IFD2" s="420"/>
      <c r="IFE2" s="419" t="s">
        <v>23</v>
      </c>
      <c r="IFF2" s="420"/>
      <c r="IFG2" s="420"/>
      <c r="IFH2" s="420"/>
      <c r="IFI2" s="419" t="s">
        <v>23</v>
      </c>
      <c r="IFJ2" s="420"/>
      <c r="IFK2" s="420"/>
      <c r="IFL2" s="420"/>
      <c r="IFM2" s="419" t="s">
        <v>23</v>
      </c>
      <c r="IFN2" s="420"/>
      <c r="IFO2" s="420"/>
      <c r="IFP2" s="420"/>
      <c r="IFQ2" s="419" t="s">
        <v>23</v>
      </c>
      <c r="IFR2" s="420"/>
      <c r="IFS2" s="420"/>
      <c r="IFT2" s="420"/>
      <c r="IFU2" s="419" t="s">
        <v>23</v>
      </c>
      <c r="IFV2" s="420"/>
      <c r="IFW2" s="420"/>
      <c r="IFX2" s="420"/>
      <c r="IFY2" s="419" t="s">
        <v>23</v>
      </c>
      <c r="IFZ2" s="420"/>
      <c r="IGA2" s="420"/>
      <c r="IGB2" s="420"/>
      <c r="IGC2" s="419" t="s">
        <v>23</v>
      </c>
      <c r="IGD2" s="420"/>
      <c r="IGE2" s="420"/>
      <c r="IGF2" s="420"/>
      <c r="IGG2" s="419" t="s">
        <v>23</v>
      </c>
      <c r="IGH2" s="420"/>
      <c r="IGI2" s="420"/>
      <c r="IGJ2" s="420"/>
      <c r="IGK2" s="419" t="s">
        <v>23</v>
      </c>
      <c r="IGL2" s="420"/>
      <c r="IGM2" s="420"/>
      <c r="IGN2" s="420"/>
      <c r="IGO2" s="419" t="s">
        <v>23</v>
      </c>
      <c r="IGP2" s="420"/>
      <c r="IGQ2" s="420"/>
      <c r="IGR2" s="420"/>
      <c r="IGS2" s="419" t="s">
        <v>23</v>
      </c>
      <c r="IGT2" s="420"/>
      <c r="IGU2" s="420"/>
      <c r="IGV2" s="420"/>
      <c r="IGW2" s="419" t="s">
        <v>23</v>
      </c>
      <c r="IGX2" s="420"/>
      <c r="IGY2" s="420"/>
      <c r="IGZ2" s="420"/>
      <c r="IHA2" s="419" t="s">
        <v>23</v>
      </c>
      <c r="IHB2" s="420"/>
      <c r="IHC2" s="420"/>
      <c r="IHD2" s="420"/>
      <c r="IHE2" s="419" t="s">
        <v>23</v>
      </c>
      <c r="IHF2" s="420"/>
      <c r="IHG2" s="420"/>
      <c r="IHH2" s="420"/>
      <c r="IHI2" s="419" t="s">
        <v>23</v>
      </c>
      <c r="IHJ2" s="420"/>
      <c r="IHK2" s="420"/>
      <c r="IHL2" s="420"/>
      <c r="IHM2" s="419" t="s">
        <v>23</v>
      </c>
      <c r="IHN2" s="420"/>
      <c r="IHO2" s="420"/>
      <c r="IHP2" s="420"/>
      <c r="IHQ2" s="419" t="s">
        <v>23</v>
      </c>
      <c r="IHR2" s="420"/>
      <c r="IHS2" s="420"/>
      <c r="IHT2" s="420"/>
      <c r="IHU2" s="419" t="s">
        <v>23</v>
      </c>
      <c r="IHV2" s="420"/>
      <c r="IHW2" s="420"/>
      <c r="IHX2" s="420"/>
      <c r="IHY2" s="419" t="s">
        <v>23</v>
      </c>
      <c r="IHZ2" s="420"/>
      <c r="IIA2" s="420"/>
      <c r="IIB2" s="420"/>
      <c r="IIC2" s="419" t="s">
        <v>23</v>
      </c>
      <c r="IID2" s="420"/>
      <c r="IIE2" s="420"/>
      <c r="IIF2" s="420"/>
      <c r="IIG2" s="419" t="s">
        <v>23</v>
      </c>
      <c r="IIH2" s="420"/>
      <c r="III2" s="420"/>
      <c r="IIJ2" s="420"/>
      <c r="IIK2" s="419" t="s">
        <v>23</v>
      </c>
      <c r="IIL2" s="420"/>
      <c r="IIM2" s="420"/>
      <c r="IIN2" s="420"/>
      <c r="IIO2" s="419" t="s">
        <v>23</v>
      </c>
      <c r="IIP2" s="420"/>
      <c r="IIQ2" s="420"/>
      <c r="IIR2" s="420"/>
      <c r="IIS2" s="419" t="s">
        <v>23</v>
      </c>
      <c r="IIT2" s="420"/>
      <c r="IIU2" s="420"/>
      <c r="IIV2" s="420"/>
      <c r="IIW2" s="419" t="s">
        <v>23</v>
      </c>
      <c r="IIX2" s="420"/>
      <c r="IIY2" s="420"/>
      <c r="IIZ2" s="420"/>
      <c r="IJA2" s="419" t="s">
        <v>23</v>
      </c>
      <c r="IJB2" s="420"/>
      <c r="IJC2" s="420"/>
      <c r="IJD2" s="420"/>
      <c r="IJE2" s="419" t="s">
        <v>23</v>
      </c>
      <c r="IJF2" s="420"/>
      <c r="IJG2" s="420"/>
      <c r="IJH2" s="420"/>
      <c r="IJI2" s="419" t="s">
        <v>23</v>
      </c>
      <c r="IJJ2" s="420"/>
      <c r="IJK2" s="420"/>
      <c r="IJL2" s="420"/>
      <c r="IJM2" s="419" t="s">
        <v>23</v>
      </c>
      <c r="IJN2" s="420"/>
      <c r="IJO2" s="420"/>
      <c r="IJP2" s="420"/>
      <c r="IJQ2" s="419" t="s">
        <v>23</v>
      </c>
      <c r="IJR2" s="420"/>
      <c r="IJS2" s="420"/>
      <c r="IJT2" s="420"/>
      <c r="IJU2" s="419" t="s">
        <v>23</v>
      </c>
      <c r="IJV2" s="420"/>
      <c r="IJW2" s="420"/>
      <c r="IJX2" s="420"/>
      <c r="IJY2" s="419" t="s">
        <v>23</v>
      </c>
      <c r="IJZ2" s="420"/>
      <c r="IKA2" s="420"/>
      <c r="IKB2" s="420"/>
      <c r="IKC2" s="419" t="s">
        <v>23</v>
      </c>
      <c r="IKD2" s="420"/>
      <c r="IKE2" s="420"/>
      <c r="IKF2" s="420"/>
      <c r="IKG2" s="419" t="s">
        <v>23</v>
      </c>
      <c r="IKH2" s="420"/>
      <c r="IKI2" s="420"/>
      <c r="IKJ2" s="420"/>
      <c r="IKK2" s="419" t="s">
        <v>23</v>
      </c>
      <c r="IKL2" s="420"/>
      <c r="IKM2" s="420"/>
      <c r="IKN2" s="420"/>
      <c r="IKO2" s="419" t="s">
        <v>23</v>
      </c>
      <c r="IKP2" s="420"/>
      <c r="IKQ2" s="420"/>
      <c r="IKR2" s="420"/>
      <c r="IKS2" s="419" t="s">
        <v>23</v>
      </c>
      <c r="IKT2" s="420"/>
      <c r="IKU2" s="420"/>
      <c r="IKV2" s="420"/>
      <c r="IKW2" s="419" t="s">
        <v>23</v>
      </c>
      <c r="IKX2" s="420"/>
      <c r="IKY2" s="420"/>
      <c r="IKZ2" s="420"/>
      <c r="ILA2" s="419" t="s">
        <v>23</v>
      </c>
      <c r="ILB2" s="420"/>
      <c r="ILC2" s="420"/>
      <c r="ILD2" s="420"/>
      <c r="ILE2" s="419" t="s">
        <v>23</v>
      </c>
      <c r="ILF2" s="420"/>
      <c r="ILG2" s="420"/>
      <c r="ILH2" s="420"/>
      <c r="ILI2" s="419" t="s">
        <v>23</v>
      </c>
      <c r="ILJ2" s="420"/>
      <c r="ILK2" s="420"/>
      <c r="ILL2" s="420"/>
      <c r="ILM2" s="419" t="s">
        <v>23</v>
      </c>
      <c r="ILN2" s="420"/>
      <c r="ILO2" s="420"/>
      <c r="ILP2" s="420"/>
      <c r="ILQ2" s="419" t="s">
        <v>23</v>
      </c>
      <c r="ILR2" s="420"/>
      <c r="ILS2" s="420"/>
      <c r="ILT2" s="420"/>
      <c r="ILU2" s="419" t="s">
        <v>23</v>
      </c>
      <c r="ILV2" s="420"/>
      <c r="ILW2" s="420"/>
      <c r="ILX2" s="420"/>
      <c r="ILY2" s="419" t="s">
        <v>23</v>
      </c>
      <c r="ILZ2" s="420"/>
      <c r="IMA2" s="420"/>
      <c r="IMB2" s="420"/>
      <c r="IMC2" s="419" t="s">
        <v>23</v>
      </c>
      <c r="IMD2" s="420"/>
      <c r="IME2" s="420"/>
      <c r="IMF2" s="420"/>
      <c r="IMG2" s="419" t="s">
        <v>23</v>
      </c>
      <c r="IMH2" s="420"/>
      <c r="IMI2" s="420"/>
      <c r="IMJ2" s="420"/>
      <c r="IMK2" s="419" t="s">
        <v>23</v>
      </c>
      <c r="IML2" s="420"/>
      <c r="IMM2" s="420"/>
      <c r="IMN2" s="420"/>
      <c r="IMO2" s="419" t="s">
        <v>23</v>
      </c>
      <c r="IMP2" s="420"/>
      <c r="IMQ2" s="420"/>
      <c r="IMR2" s="420"/>
      <c r="IMS2" s="419" t="s">
        <v>23</v>
      </c>
      <c r="IMT2" s="420"/>
      <c r="IMU2" s="420"/>
      <c r="IMV2" s="420"/>
      <c r="IMW2" s="419" t="s">
        <v>23</v>
      </c>
      <c r="IMX2" s="420"/>
      <c r="IMY2" s="420"/>
      <c r="IMZ2" s="420"/>
      <c r="INA2" s="419" t="s">
        <v>23</v>
      </c>
      <c r="INB2" s="420"/>
      <c r="INC2" s="420"/>
      <c r="IND2" s="420"/>
      <c r="INE2" s="419" t="s">
        <v>23</v>
      </c>
      <c r="INF2" s="420"/>
      <c r="ING2" s="420"/>
      <c r="INH2" s="420"/>
      <c r="INI2" s="419" t="s">
        <v>23</v>
      </c>
      <c r="INJ2" s="420"/>
      <c r="INK2" s="420"/>
      <c r="INL2" s="420"/>
      <c r="INM2" s="419" t="s">
        <v>23</v>
      </c>
      <c r="INN2" s="420"/>
      <c r="INO2" s="420"/>
      <c r="INP2" s="420"/>
      <c r="INQ2" s="419" t="s">
        <v>23</v>
      </c>
      <c r="INR2" s="420"/>
      <c r="INS2" s="420"/>
      <c r="INT2" s="420"/>
      <c r="INU2" s="419" t="s">
        <v>23</v>
      </c>
      <c r="INV2" s="420"/>
      <c r="INW2" s="420"/>
      <c r="INX2" s="420"/>
      <c r="INY2" s="419" t="s">
        <v>23</v>
      </c>
      <c r="INZ2" s="420"/>
      <c r="IOA2" s="420"/>
      <c r="IOB2" s="420"/>
      <c r="IOC2" s="419" t="s">
        <v>23</v>
      </c>
      <c r="IOD2" s="420"/>
      <c r="IOE2" s="420"/>
      <c r="IOF2" s="420"/>
      <c r="IOG2" s="419" t="s">
        <v>23</v>
      </c>
      <c r="IOH2" s="420"/>
      <c r="IOI2" s="420"/>
      <c r="IOJ2" s="420"/>
      <c r="IOK2" s="419" t="s">
        <v>23</v>
      </c>
      <c r="IOL2" s="420"/>
      <c r="IOM2" s="420"/>
      <c r="ION2" s="420"/>
      <c r="IOO2" s="419" t="s">
        <v>23</v>
      </c>
      <c r="IOP2" s="420"/>
      <c r="IOQ2" s="420"/>
      <c r="IOR2" s="420"/>
      <c r="IOS2" s="419" t="s">
        <v>23</v>
      </c>
      <c r="IOT2" s="420"/>
      <c r="IOU2" s="420"/>
      <c r="IOV2" s="420"/>
      <c r="IOW2" s="419" t="s">
        <v>23</v>
      </c>
      <c r="IOX2" s="420"/>
      <c r="IOY2" s="420"/>
      <c r="IOZ2" s="420"/>
      <c r="IPA2" s="419" t="s">
        <v>23</v>
      </c>
      <c r="IPB2" s="420"/>
      <c r="IPC2" s="420"/>
      <c r="IPD2" s="420"/>
      <c r="IPE2" s="419" t="s">
        <v>23</v>
      </c>
      <c r="IPF2" s="420"/>
      <c r="IPG2" s="420"/>
      <c r="IPH2" s="420"/>
      <c r="IPI2" s="419" t="s">
        <v>23</v>
      </c>
      <c r="IPJ2" s="420"/>
      <c r="IPK2" s="420"/>
      <c r="IPL2" s="420"/>
      <c r="IPM2" s="419" t="s">
        <v>23</v>
      </c>
      <c r="IPN2" s="420"/>
      <c r="IPO2" s="420"/>
      <c r="IPP2" s="420"/>
      <c r="IPQ2" s="419" t="s">
        <v>23</v>
      </c>
      <c r="IPR2" s="420"/>
      <c r="IPS2" s="420"/>
      <c r="IPT2" s="420"/>
      <c r="IPU2" s="419" t="s">
        <v>23</v>
      </c>
      <c r="IPV2" s="420"/>
      <c r="IPW2" s="420"/>
      <c r="IPX2" s="420"/>
      <c r="IPY2" s="419" t="s">
        <v>23</v>
      </c>
      <c r="IPZ2" s="420"/>
      <c r="IQA2" s="420"/>
      <c r="IQB2" s="420"/>
      <c r="IQC2" s="419" t="s">
        <v>23</v>
      </c>
      <c r="IQD2" s="420"/>
      <c r="IQE2" s="420"/>
      <c r="IQF2" s="420"/>
      <c r="IQG2" s="419" t="s">
        <v>23</v>
      </c>
      <c r="IQH2" s="420"/>
      <c r="IQI2" s="420"/>
      <c r="IQJ2" s="420"/>
      <c r="IQK2" s="419" t="s">
        <v>23</v>
      </c>
      <c r="IQL2" s="420"/>
      <c r="IQM2" s="420"/>
      <c r="IQN2" s="420"/>
      <c r="IQO2" s="419" t="s">
        <v>23</v>
      </c>
      <c r="IQP2" s="420"/>
      <c r="IQQ2" s="420"/>
      <c r="IQR2" s="420"/>
      <c r="IQS2" s="419" t="s">
        <v>23</v>
      </c>
      <c r="IQT2" s="420"/>
      <c r="IQU2" s="420"/>
      <c r="IQV2" s="420"/>
      <c r="IQW2" s="419" t="s">
        <v>23</v>
      </c>
      <c r="IQX2" s="420"/>
      <c r="IQY2" s="420"/>
      <c r="IQZ2" s="420"/>
      <c r="IRA2" s="419" t="s">
        <v>23</v>
      </c>
      <c r="IRB2" s="420"/>
      <c r="IRC2" s="420"/>
      <c r="IRD2" s="420"/>
      <c r="IRE2" s="419" t="s">
        <v>23</v>
      </c>
      <c r="IRF2" s="420"/>
      <c r="IRG2" s="420"/>
      <c r="IRH2" s="420"/>
      <c r="IRI2" s="419" t="s">
        <v>23</v>
      </c>
      <c r="IRJ2" s="420"/>
      <c r="IRK2" s="420"/>
      <c r="IRL2" s="420"/>
      <c r="IRM2" s="419" t="s">
        <v>23</v>
      </c>
      <c r="IRN2" s="420"/>
      <c r="IRO2" s="420"/>
      <c r="IRP2" s="420"/>
      <c r="IRQ2" s="419" t="s">
        <v>23</v>
      </c>
      <c r="IRR2" s="420"/>
      <c r="IRS2" s="420"/>
      <c r="IRT2" s="420"/>
      <c r="IRU2" s="419" t="s">
        <v>23</v>
      </c>
      <c r="IRV2" s="420"/>
      <c r="IRW2" s="420"/>
      <c r="IRX2" s="420"/>
      <c r="IRY2" s="419" t="s">
        <v>23</v>
      </c>
      <c r="IRZ2" s="420"/>
      <c r="ISA2" s="420"/>
      <c r="ISB2" s="420"/>
      <c r="ISC2" s="419" t="s">
        <v>23</v>
      </c>
      <c r="ISD2" s="420"/>
      <c r="ISE2" s="420"/>
      <c r="ISF2" s="420"/>
      <c r="ISG2" s="419" t="s">
        <v>23</v>
      </c>
      <c r="ISH2" s="420"/>
      <c r="ISI2" s="420"/>
      <c r="ISJ2" s="420"/>
      <c r="ISK2" s="419" t="s">
        <v>23</v>
      </c>
      <c r="ISL2" s="420"/>
      <c r="ISM2" s="420"/>
      <c r="ISN2" s="420"/>
      <c r="ISO2" s="419" t="s">
        <v>23</v>
      </c>
      <c r="ISP2" s="420"/>
      <c r="ISQ2" s="420"/>
      <c r="ISR2" s="420"/>
      <c r="ISS2" s="419" t="s">
        <v>23</v>
      </c>
      <c r="IST2" s="420"/>
      <c r="ISU2" s="420"/>
      <c r="ISV2" s="420"/>
      <c r="ISW2" s="419" t="s">
        <v>23</v>
      </c>
      <c r="ISX2" s="420"/>
      <c r="ISY2" s="420"/>
      <c r="ISZ2" s="420"/>
      <c r="ITA2" s="419" t="s">
        <v>23</v>
      </c>
      <c r="ITB2" s="420"/>
      <c r="ITC2" s="420"/>
      <c r="ITD2" s="420"/>
      <c r="ITE2" s="419" t="s">
        <v>23</v>
      </c>
      <c r="ITF2" s="420"/>
      <c r="ITG2" s="420"/>
      <c r="ITH2" s="420"/>
      <c r="ITI2" s="419" t="s">
        <v>23</v>
      </c>
      <c r="ITJ2" s="420"/>
      <c r="ITK2" s="420"/>
      <c r="ITL2" s="420"/>
      <c r="ITM2" s="419" t="s">
        <v>23</v>
      </c>
      <c r="ITN2" s="420"/>
      <c r="ITO2" s="420"/>
      <c r="ITP2" s="420"/>
      <c r="ITQ2" s="419" t="s">
        <v>23</v>
      </c>
      <c r="ITR2" s="420"/>
      <c r="ITS2" s="420"/>
      <c r="ITT2" s="420"/>
      <c r="ITU2" s="419" t="s">
        <v>23</v>
      </c>
      <c r="ITV2" s="420"/>
      <c r="ITW2" s="420"/>
      <c r="ITX2" s="420"/>
      <c r="ITY2" s="419" t="s">
        <v>23</v>
      </c>
      <c r="ITZ2" s="420"/>
      <c r="IUA2" s="420"/>
      <c r="IUB2" s="420"/>
      <c r="IUC2" s="419" t="s">
        <v>23</v>
      </c>
      <c r="IUD2" s="420"/>
      <c r="IUE2" s="420"/>
      <c r="IUF2" s="420"/>
      <c r="IUG2" s="419" t="s">
        <v>23</v>
      </c>
      <c r="IUH2" s="420"/>
      <c r="IUI2" s="420"/>
      <c r="IUJ2" s="420"/>
      <c r="IUK2" s="419" t="s">
        <v>23</v>
      </c>
      <c r="IUL2" s="420"/>
      <c r="IUM2" s="420"/>
      <c r="IUN2" s="420"/>
      <c r="IUO2" s="419" t="s">
        <v>23</v>
      </c>
      <c r="IUP2" s="420"/>
      <c r="IUQ2" s="420"/>
      <c r="IUR2" s="420"/>
      <c r="IUS2" s="419" t="s">
        <v>23</v>
      </c>
      <c r="IUT2" s="420"/>
      <c r="IUU2" s="420"/>
      <c r="IUV2" s="420"/>
      <c r="IUW2" s="419" t="s">
        <v>23</v>
      </c>
      <c r="IUX2" s="420"/>
      <c r="IUY2" s="420"/>
      <c r="IUZ2" s="420"/>
      <c r="IVA2" s="419" t="s">
        <v>23</v>
      </c>
      <c r="IVB2" s="420"/>
      <c r="IVC2" s="420"/>
      <c r="IVD2" s="420"/>
      <c r="IVE2" s="419" t="s">
        <v>23</v>
      </c>
      <c r="IVF2" s="420"/>
      <c r="IVG2" s="420"/>
      <c r="IVH2" s="420"/>
      <c r="IVI2" s="419" t="s">
        <v>23</v>
      </c>
      <c r="IVJ2" s="420"/>
      <c r="IVK2" s="420"/>
      <c r="IVL2" s="420"/>
      <c r="IVM2" s="419" t="s">
        <v>23</v>
      </c>
      <c r="IVN2" s="420"/>
      <c r="IVO2" s="420"/>
      <c r="IVP2" s="420"/>
      <c r="IVQ2" s="419" t="s">
        <v>23</v>
      </c>
      <c r="IVR2" s="420"/>
      <c r="IVS2" s="420"/>
      <c r="IVT2" s="420"/>
      <c r="IVU2" s="419" t="s">
        <v>23</v>
      </c>
      <c r="IVV2" s="420"/>
      <c r="IVW2" s="420"/>
      <c r="IVX2" s="420"/>
      <c r="IVY2" s="419" t="s">
        <v>23</v>
      </c>
      <c r="IVZ2" s="420"/>
      <c r="IWA2" s="420"/>
      <c r="IWB2" s="420"/>
      <c r="IWC2" s="419" t="s">
        <v>23</v>
      </c>
      <c r="IWD2" s="420"/>
      <c r="IWE2" s="420"/>
      <c r="IWF2" s="420"/>
      <c r="IWG2" s="419" t="s">
        <v>23</v>
      </c>
      <c r="IWH2" s="420"/>
      <c r="IWI2" s="420"/>
      <c r="IWJ2" s="420"/>
      <c r="IWK2" s="419" t="s">
        <v>23</v>
      </c>
      <c r="IWL2" s="420"/>
      <c r="IWM2" s="420"/>
      <c r="IWN2" s="420"/>
      <c r="IWO2" s="419" t="s">
        <v>23</v>
      </c>
      <c r="IWP2" s="420"/>
      <c r="IWQ2" s="420"/>
      <c r="IWR2" s="420"/>
      <c r="IWS2" s="419" t="s">
        <v>23</v>
      </c>
      <c r="IWT2" s="420"/>
      <c r="IWU2" s="420"/>
      <c r="IWV2" s="420"/>
      <c r="IWW2" s="419" t="s">
        <v>23</v>
      </c>
      <c r="IWX2" s="420"/>
      <c r="IWY2" s="420"/>
      <c r="IWZ2" s="420"/>
      <c r="IXA2" s="419" t="s">
        <v>23</v>
      </c>
      <c r="IXB2" s="420"/>
      <c r="IXC2" s="420"/>
      <c r="IXD2" s="420"/>
      <c r="IXE2" s="419" t="s">
        <v>23</v>
      </c>
      <c r="IXF2" s="420"/>
      <c r="IXG2" s="420"/>
      <c r="IXH2" s="420"/>
      <c r="IXI2" s="419" t="s">
        <v>23</v>
      </c>
      <c r="IXJ2" s="420"/>
      <c r="IXK2" s="420"/>
      <c r="IXL2" s="420"/>
      <c r="IXM2" s="419" t="s">
        <v>23</v>
      </c>
      <c r="IXN2" s="420"/>
      <c r="IXO2" s="420"/>
      <c r="IXP2" s="420"/>
      <c r="IXQ2" s="419" t="s">
        <v>23</v>
      </c>
      <c r="IXR2" s="420"/>
      <c r="IXS2" s="420"/>
      <c r="IXT2" s="420"/>
      <c r="IXU2" s="419" t="s">
        <v>23</v>
      </c>
      <c r="IXV2" s="420"/>
      <c r="IXW2" s="420"/>
      <c r="IXX2" s="420"/>
      <c r="IXY2" s="419" t="s">
        <v>23</v>
      </c>
      <c r="IXZ2" s="420"/>
      <c r="IYA2" s="420"/>
      <c r="IYB2" s="420"/>
      <c r="IYC2" s="419" t="s">
        <v>23</v>
      </c>
      <c r="IYD2" s="420"/>
      <c r="IYE2" s="420"/>
      <c r="IYF2" s="420"/>
      <c r="IYG2" s="419" t="s">
        <v>23</v>
      </c>
      <c r="IYH2" s="420"/>
      <c r="IYI2" s="420"/>
      <c r="IYJ2" s="420"/>
      <c r="IYK2" s="419" t="s">
        <v>23</v>
      </c>
      <c r="IYL2" s="420"/>
      <c r="IYM2" s="420"/>
      <c r="IYN2" s="420"/>
      <c r="IYO2" s="419" t="s">
        <v>23</v>
      </c>
      <c r="IYP2" s="420"/>
      <c r="IYQ2" s="420"/>
      <c r="IYR2" s="420"/>
      <c r="IYS2" s="419" t="s">
        <v>23</v>
      </c>
      <c r="IYT2" s="420"/>
      <c r="IYU2" s="420"/>
      <c r="IYV2" s="420"/>
      <c r="IYW2" s="419" t="s">
        <v>23</v>
      </c>
      <c r="IYX2" s="420"/>
      <c r="IYY2" s="420"/>
      <c r="IYZ2" s="420"/>
      <c r="IZA2" s="419" t="s">
        <v>23</v>
      </c>
      <c r="IZB2" s="420"/>
      <c r="IZC2" s="420"/>
      <c r="IZD2" s="420"/>
      <c r="IZE2" s="419" t="s">
        <v>23</v>
      </c>
      <c r="IZF2" s="420"/>
      <c r="IZG2" s="420"/>
      <c r="IZH2" s="420"/>
      <c r="IZI2" s="419" t="s">
        <v>23</v>
      </c>
      <c r="IZJ2" s="420"/>
      <c r="IZK2" s="420"/>
      <c r="IZL2" s="420"/>
      <c r="IZM2" s="419" t="s">
        <v>23</v>
      </c>
      <c r="IZN2" s="420"/>
      <c r="IZO2" s="420"/>
      <c r="IZP2" s="420"/>
      <c r="IZQ2" s="419" t="s">
        <v>23</v>
      </c>
      <c r="IZR2" s="420"/>
      <c r="IZS2" s="420"/>
      <c r="IZT2" s="420"/>
      <c r="IZU2" s="419" t="s">
        <v>23</v>
      </c>
      <c r="IZV2" s="420"/>
      <c r="IZW2" s="420"/>
      <c r="IZX2" s="420"/>
      <c r="IZY2" s="419" t="s">
        <v>23</v>
      </c>
      <c r="IZZ2" s="420"/>
      <c r="JAA2" s="420"/>
      <c r="JAB2" s="420"/>
      <c r="JAC2" s="419" t="s">
        <v>23</v>
      </c>
      <c r="JAD2" s="420"/>
      <c r="JAE2" s="420"/>
      <c r="JAF2" s="420"/>
      <c r="JAG2" s="419" t="s">
        <v>23</v>
      </c>
      <c r="JAH2" s="420"/>
      <c r="JAI2" s="420"/>
      <c r="JAJ2" s="420"/>
      <c r="JAK2" s="419" t="s">
        <v>23</v>
      </c>
      <c r="JAL2" s="420"/>
      <c r="JAM2" s="420"/>
      <c r="JAN2" s="420"/>
      <c r="JAO2" s="419" t="s">
        <v>23</v>
      </c>
      <c r="JAP2" s="420"/>
      <c r="JAQ2" s="420"/>
      <c r="JAR2" s="420"/>
      <c r="JAS2" s="419" t="s">
        <v>23</v>
      </c>
      <c r="JAT2" s="420"/>
      <c r="JAU2" s="420"/>
      <c r="JAV2" s="420"/>
      <c r="JAW2" s="419" t="s">
        <v>23</v>
      </c>
      <c r="JAX2" s="420"/>
      <c r="JAY2" s="420"/>
      <c r="JAZ2" s="420"/>
      <c r="JBA2" s="419" t="s">
        <v>23</v>
      </c>
      <c r="JBB2" s="420"/>
      <c r="JBC2" s="420"/>
      <c r="JBD2" s="420"/>
      <c r="JBE2" s="419" t="s">
        <v>23</v>
      </c>
      <c r="JBF2" s="420"/>
      <c r="JBG2" s="420"/>
      <c r="JBH2" s="420"/>
      <c r="JBI2" s="419" t="s">
        <v>23</v>
      </c>
      <c r="JBJ2" s="420"/>
      <c r="JBK2" s="420"/>
      <c r="JBL2" s="420"/>
      <c r="JBM2" s="419" t="s">
        <v>23</v>
      </c>
      <c r="JBN2" s="420"/>
      <c r="JBO2" s="420"/>
      <c r="JBP2" s="420"/>
      <c r="JBQ2" s="419" t="s">
        <v>23</v>
      </c>
      <c r="JBR2" s="420"/>
      <c r="JBS2" s="420"/>
      <c r="JBT2" s="420"/>
      <c r="JBU2" s="419" t="s">
        <v>23</v>
      </c>
      <c r="JBV2" s="420"/>
      <c r="JBW2" s="420"/>
      <c r="JBX2" s="420"/>
      <c r="JBY2" s="419" t="s">
        <v>23</v>
      </c>
      <c r="JBZ2" s="420"/>
      <c r="JCA2" s="420"/>
      <c r="JCB2" s="420"/>
      <c r="JCC2" s="419" t="s">
        <v>23</v>
      </c>
      <c r="JCD2" s="420"/>
      <c r="JCE2" s="420"/>
      <c r="JCF2" s="420"/>
      <c r="JCG2" s="419" t="s">
        <v>23</v>
      </c>
      <c r="JCH2" s="420"/>
      <c r="JCI2" s="420"/>
      <c r="JCJ2" s="420"/>
      <c r="JCK2" s="419" t="s">
        <v>23</v>
      </c>
      <c r="JCL2" s="420"/>
      <c r="JCM2" s="420"/>
      <c r="JCN2" s="420"/>
      <c r="JCO2" s="419" t="s">
        <v>23</v>
      </c>
      <c r="JCP2" s="420"/>
      <c r="JCQ2" s="420"/>
      <c r="JCR2" s="420"/>
      <c r="JCS2" s="419" t="s">
        <v>23</v>
      </c>
      <c r="JCT2" s="420"/>
      <c r="JCU2" s="420"/>
      <c r="JCV2" s="420"/>
      <c r="JCW2" s="419" t="s">
        <v>23</v>
      </c>
      <c r="JCX2" s="420"/>
      <c r="JCY2" s="420"/>
      <c r="JCZ2" s="420"/>
      <c r="JDA2" s="419" t="s">
        <v>23</v>
      </c>
      <c r="JDB2" s="420"/>
      <c r="JDC2" s="420"/>
      <c r="JDD2" s="420"/>
      <c r="JDE2" s="419" t="s">
        <v>23</v>
      </c>
      <c r="JDF2" s="420"/>
      <c r="JDG2" s="420"/>
      <c r="JDH2" s="420"/>
      <c r="JDI2" s="419" t="s">
        <v>23</v>
      </c>
      <c r="JDJ2" s="420"/>
      <c r="JDK2" s="420"/>
      <c r="JDL2" s="420"/>
      <c r="JDM2" s="419" t="s">
        <v>23</v>
      </c>
      <c r="JDN2" s="420"/>
      <c r="JDO2" s="420"/>
      <c r="JDP2" s="420"/>
      <c r="JDQ2" s="419" t="s">
        <v>23</v>
      </c>
      <c r="JDR2" s="420"/>
      <c r="JDS2" s="420"/>
      <c r="JDT2" s="420"/>
      <c r="JDU2" s="419" t="s">
        <v>23</v>
      </c>
      <c r="JDV2" s="420"/>
      <c r="JDW2" s="420"/>
      <c r="JDX2" s="420"/>
      <c r="JDY2" s="419" t="s">
        <v>23</v>
      </c>
      <c r="JDZ2" s="420"/>
      <c r="JEA2" s="420"/>
      <c r="JEB2" s="420"/>
      <c r="JEC2" s="419" t="s">
        <v>23</v>
      </c>
      <c r="JED2" s="420"/>
      <c r="JEE2" s="420"/>
      <c r="JEF2" s="420"/>
      <c r="JEG2" s="419" t="s">
        <v>23</v>
      </c>
      <c r="JEH2" s="420"/>
      <c r="JEI2" s="420"/>
      <c r="JEJ2" s="420"/>
      <c r="JEK2" s="419" t="s">
        <v>23</v>
      </c>
      <c r="JEL2" s="420"/>
      <c r="JEM2" s="420"/>
      <c r="JEN2" s="420"/>
      <c r="JEO2" s="419" t="s">
        <v>23</v>
      </c>
      <c r="JEP2" s="420"/>
      <c r="JEQ2" s="420"/>
      <c r="JER2" s="420"/>
      <c r="JES2" s="419" t="s">
        <v>23</v>
      </c>
      <c r="JET2" s="420"/>
      <c r="JEU2" s="420"/>
      <c r="JEV2" s="420"/>
      <c r="JEW2" s="419" t="s">
        <v>23</v>
      </c>
      <c r="JEX2" s="420"/>
      <c r="JEY2" s="420"/>
      <c r="JEZ2" s="420"/>
      <c r="JFA2" s="419" t="s">
        <v>23</v>
      </c>
      <c r="JFB2" s="420"/>
      <c r="JFC2" s="420"/>
      <c r="JFD2" s="420"/>
      <c r="JFE2" s="419" t="s">
        <v>23</v>
      </c>
      <c r="JFF2" s="420"/>
      <c r="JFG2" s="420"/>
      <c r="JFH2" s="420"/>
      <c r="JFI2" s="419" t="s">
        <v>23</v>
      </c>
      <c r="JFJ2" s="420"/>
      <c r="JFK2" s="420"/>
      <c r="JFL2" s="420"/>
      <c r="JFM2" s="419" t="s">
        <v>23</v>
      </c>
      <c r="JFN2" s="420"/>
      <c r="JFO2" s="420"/>
      <c r="JFP2" s="420"/>
      <c r="JFQ2" s="419" t="s">
        <v>23</v>
      </c>
      <c r="JFR2" s="420"/>
      <c r="JFS2" s="420"/>
      <c r="JFT2" s="420"/>
      <c r="JFU2" s="419" t="s">
        <v>23</v>
      </c>
      <c r="JFV2" s="420"/>
      <c r="JFW2" s="420"/>
      <c r="JFX2" s="420"/>
      <c r="JFY2" s="419" t="s">
        <v>23</v>
      </c>
      <c r="JFZ2" s="420"/>
      <c r="JGA2" s="420"/>
      <c r="JGB2" s="420"/>
      <c r="JGC2" s="419" t="s">
        <v>23</v>
      </c>
      <c r="JGD2" s="420"/>
      <c r="JGE2" s="420"/>
      <c r="JGF2" s="420"/>
      <c r="JGG2" s="419" t="s">
        <v>23</v>
      </c>
      <c r="JGH2" s="420"/>
      <c r="JGI2" s="420"/>
      <c r="JGJ2" s="420"/>
      <c r="JGK2" s="419" t="s">
        <v>23</v>
      </c>
      <c r="JGL2" s="420"/>
      <c r="JGM2" s="420"/>
      <c r="JGN2" s="420"/>
      <c r="JGO2" s="419" t="s">
        <v>23</v>
      </c>
      <c r="JGP2" s="420"/>
      <c r="JGQ2" s="420"/>
      <c r="JGR2" s="420"/>
      <c r="JGS2" s="419" t="s">
        <v>23</v>
      </c>
      <c r="JGT2" s="420"/>
      <c r="JGU2" s="420"/>
      <c r="JGV2" s="420"/>
      <c r="JGW2" s="419" t="s">
        <v>23</v>
      </c>
      <c r="JGX2" s="420"/>
      <c r="JGY2" s="420"/>
      <c r="JGZ2" s="420"/>
      <c r="JHA2" s="419" t="s">
        <v>23</v>
      </c>
      <c r="JHB2" s="420"/>
      <c r="JHC2" s="420"/>
      <c r="JHD2" s="420"/>
      <c r="JHE2" s="419" t="s">
        <v>23</v>
      </c>
      <c r="JHF2" s="420"/>
      <c r="JHG2" s="420"/>
      <c r="JHH2" s="420"/>
      <c r="JHI2" s="419" t="s">
        <v>23</v>
      </c>
      <c r="JHJ2" s="420"/>
      <c r="JHK2" s="420"/>
      <c r="JHL2" s="420"/>
      <c r="JHM2" s="419" t="s">
        <v>23</v>
      </c>
      <c r="JHN2" s="420"/>
      <c r="JHO2" s="420"/>
      <c r="JHP2" s="420"/>
      <c r="JHQ2" s="419" t="s">
        <v>23</v>
      </c>
      <c r="JHR2" s="420"/>
      <c r="JHS2" s="420"/>
      <c r="JHT2" s="420"/>
      <c r="JHU2" s="419" t="s">
        <v>23</v>
      </c>
      <c r="JHV2" s="420"/>
      <c r="JHW2" s="420"/>
      <c r="JHX2" s="420"/>
      <c r="JHY2" s="419" t="s">
        <v>23</v>
      </c>
      <c r="JHZ2" s="420"/>
      <c r="JIA2" s="420"/>
      <c r="JIB2" s="420"/>
      <c r="JIC2" s="419" t="s">
        <v>23</v>
      </c>
      <c r="JID2" s="420"/>
      <c r="JIE2" s="420"/>
      <c r="JIF2" s="420"/>
      <c r="JIG2" s="419" t="s">
        <v>23</v>
      </c>
      <c r="JIH2" s="420"/>
      <c r="JII2" s="420"/>
      <c r="JIJ2" s="420"/>
      <c r="JIK2" s="419" t="s">
        <v>23</v>
      </c>
      <c r="JIL2" s="420"/>
      <c r="JIM2" s="420"/>
      <c r="JIN2" s="420"/>
      <c r="JIO2" s="419" t="s">
        <v>23</v>
      </c>
      <c r="JIP2" s="420"/>
      <c r="JIQ2" s="420"/>
      <c r="JIR2" s="420"/>
      <c r="JIS2" s="419" t="s">
        <v>23</v>
      </c>
      <c r="JIT2" s="420"/>
      <c r="JIU2" s="420"/>
      <c r="JIV2" s="420"/>
      <c r="JIW2" s="419" t="s">
        <v>23</v>
      </c>
      <c r="JIX2" s="420"/>
      <c r="JIY2" s="420"/>
      <c r="JIZ2" s="420"/>
      <c r="JJA2" s="419" t="s">
        <v>23</v>
      </c>
      <c r="JJB2" s="420"/>
      <c r="JJC2" s="420"/>
      <c r="JJD2" s="420"/>
      <c r="JJE2" s="419" t="s">
        <v>23</v>
      </c>
      <c r="JJF2" s="420"/>
      <c r="JJG2" s="420"/>
      <c r="JJH2" s="420"/>
      <c r="JJI2" s="419" t="s">
        <v>23</v>
      </c>
      <c r="JJJ2" s="420"/>
      <c r="JJK2" s="420"/>
      <c r="JJL2" s="420"/>
      <c r="JJM2" s="419" t="s">
        <v>23</v>
      </c>
      <c r="JJN2" s="420"/>
      <c r="JJO2" s="420"/>
      <c r="JJP2" s="420"/>
      <c r="JJQ2" s="419" t="s">
        <v>23</v>
      </c>
      <c r="JJR2" s="420"/>
      <c r="JJS2" s="420"/>
      <c r="JJT2" s="420"/>
      <c r="JJU2" s="419" t="s">
        <v>23</v>
      </c>
      <c r="JJV2" s="420"/>
      <c r="JJW2" s="420"/>
      <c r="JJX2" s="420"/>
      <c r="JJY2" s="419" t="s">
        <v>23</v>
      </c>
      <c r="JJZ2" s="420"/>
      <c r="JKA2" s="420"/>
      <c r="JKB2" s="420"/>
      <c r="JKC2" s="419" t="s">
        <v>23</v>
      </c>
      <c r="JKD2" s="420"/>
      <c r="JKE2" s="420"/>
      <c r="JKF2" s="420"/>
      <c r="JKG2" s="419" t="s">
        <v>23</v>
      </c>
      <c r="JKH2" s="420"/>
      <c r="JKI2" s="420"/>
      <c r="JKJ2" s="420"/>
      <c r="JKK2" s="419" t="s">
        <v>23</v>
      </c>
      <c r="JKL2" s="420"/>
      <c r="JKM2" s="420"/>
      <c r="JKN2" s="420"/>
      <c r="JKO2" s="419" t="s">
        <v>23</v>
      </c>
      <c r="JKP2" s="420"/>
      <c r="JKQ2" s="420"/>
      <c r="JKR2" s="420"/>
      <c r="JKS2" s="419" t="s">
        <v>23</v>
      </c>
      <c r="JKT2" s="420"/>
      <c r="JKU2" s="420"/>
      <c r="JKV2" s="420"/>
      <c r="JKW2" s="419" t="s">
        <v>23</v>
      </c>
      <c r="JKX2" s="420"/>
      <c r="JKY2" s="420"/>
      <c r="JKZ2" s="420"/>
      <c r="JLA2" s="419" t="s">
        <v>23</v>
      </c>
      <c r="JLB2" s="420"/>
      <c r="JLC2" s="420"/>
      <c r="JLD2" s="420"/>
      <c r="JLE2" s="419" t="s">
        <v>23</v>
      </c>
      <c r="JLF2" s="420"/>
      <c r="JLG2" s="420"/>
      <c r="JLH2" s="420"/>
      <c r="JLI2" s="419" t="s">
        <v>23</v>
      </c>
      <c r="JLJ2" s="420"/>
      <c r="JLK2" s="420"/>
      <c r="JLL2" s="420"/>
      <c r="JLM2" s="419" t="s">
        <v>23</v>
      </c>
      <c r="JLN2" s="420"/>
      <c r="JLO2" s="420"/>
      <c r="JLP2" s="420"/>
      <c r="JLQ2" s="419" t="s">
        <v>23</v>
      </c>
      <c r="JLR2" s="420"/>
      <c r="JLS2" s="420"/>
      <c r="JLT2" s="420"/>
      <c r="JLU2" s="419" t="s">
        <v>23</v>
      </c>
      <c r="JLV2" s="420"/>
      <c r="JLW2" s="420"/>
      <c r="JLX2" s="420"/>
      <c r="JLY2" s="419" t="s">
        <v>23</v>
      </c>
      <c r="JLZ2" s="420"/>
      <c r="JMA2" s="420"/>
      <c r="JMB2" s="420"/>
      <c r="JMC2" s="419" t="s">
        <v>23</v>
      </c>
      <c r="JMD2" s="420"/>
      <c r="JME2" s="420"/>
      <c r="JMF2" s="420"/>
      <c r="JMG2" s="419" t="s">
        <v>23</v>
      </c>
      <c r="JMH2" s="420"/>
      <c r="JMI2" s="420"/>
      <c r="JMJ2" s="420"/>
      <c r="JMK2" s="419" t="s">
        <v>23</v>
      </c>
      <c r="JML2" s="420"/>
      <c r="JMM2" s="420"/>
      <c r="JMN2" s="420"/>
      <c r="JMO2" s="419" t="s">
        <v>23</v>
      </c>
      <c r="JMP2" s="420"/>
      <c r="JMQ2" s="420"/>
      <c r="JMR2" s="420"/>
      <c r="JMS2" s="419" t="s">
        <v>23</v>
      </c>
      <c r="JMT2" s="420"/>
      <c r="JMU2" s="420"/>
      <c r="JMV2" s="420"/>
      <c r="JMW2" s="419" t="s">
        <v>23</v>
      </c>
      <c r="JMX2" s="420"/>
      <c r="JMY2" s="420"/>
      <c r="JMZ2" s="420"/>
      <c r="JNA2" s="419" t="s">
        <v>23</v>
      </c>
      <c r="JNB2" s="420"/>
      <c r="JNC2" s="420"/>
      <c r="JND2" s="420"/>
      <c r="JNE2" s="419" t="s">
        <v>23</v>
      </c>
      <c r="JNF2" s="420"/>
      <c r="JNG2" s="420"/>
      <c r="JNH2" s="420"/>
      <c r="JNI2" s="419" t="s">
        <v>23</v>
      </c>
      <c r="JNJ2" s="420"/>
      <c r="JNK2" s="420"/>
      <c r="JNL2" s="420"/>
      <c r="JNM2" s="419" t="s">
        <v>23</v>
      </c>
      <c r="JNN2" s="420"/>
      <c r="JNO2" s="420"/>
      <c r="JNP2" s="420"/>
      <c r="JNQ2" s="419" t="s">
        <v>23</v>
      </c>
      <c r="JNR2" s="420"/>
      <c r="JNS2" s="420"/>
      <c r="JNT2" s="420"/>
      <c r="JNU2" s="419" t="s">
        <v>23</v>
      </c>
      <c r="JNV2" s="420"/>
      <c r="JNW2" s="420"/>
      <c r="JNX2" s="420"/>
      <c r="JNY2" s="419" t="s">
        <v>23</v>
      </c>
      <c r="JNZ2" s="420"/>
      <c r="JOA2" s="420"/>
      <c r="JOB2" s="420"/>
      <c r="JOC2" s="419" t="s">
        <v>23</v>
      </c>
      <c r="JOD2" s="420"/>
      <c r="JOE2" s="420"/>
      <c r="JOF2" s="420"/>
      <c r="JOG2" s="419" t="s">
        <v>23</v>
      </c>
      <c r="JOH2" s="420"/>
      <c r="JOI2" s="420"/>
      <c r="JOJ2" s="420"/>
      <c r="JOK2" s="419" t="s">
        <v>23</v>
      </c>
      <c r="JOL2" s="420"/>
      <c r="JOM2" s="420"/>
      <c r="JON2" s="420"/>
      <c r="JOO2" s="419" t="s">
        <v>23</v>
      </c>
      <c r="JOP2" s="420"/>
      <c r="JOQ2" s="420"/>
      <c r="JOR2" s="420"/>
      <c r="JOS2" s="419" t="s">
        <v>23</v>
      </c>
      <c r="JOT2" s="420"/>
      <c r="JOU2" s="420"/>
      <c r="JOV2" s="420"/>
      <c r="JOW2" s="419" t="s">
        <v>23</v>
      </c>
      <c r="JOX2" s="420"/>
      <c r="JOY2" s="420"/>
      <c r="JOZ2" s="420"/>
      <c r="JPA2" s="419" t="s">
        <v>23</v>
      </c>
      <c r="JPB2" s="420"/>
      <c r="JPC2" s="420"/>
      <c r="JPD2" s="420"/>
      <c r="JPE2" s="419" t="s">
        <v>23</v>
      </c>
      <c r="JPF2" s="420"/>
      <c r="JPG2" s="420"/>
      <c r="JPH2" s="420"/>
      <c r="JPI2" s="419" t="s">
        <v>23</v>
      </c>
      <c r="JPJ2" s="420"/>
      <c r="JPK2" s="420"/>
      <c r="JPL2" s="420"/>
      <c r="JPM2" s="419" t="s">
        <v>23</v>
      </c>
      <c r="JPN2" s="420"/>
      <c r="JPO2" s="420"/>
      <c r="JPP2" s="420"/>
      <c r="JPQ2" s="419" t="s">
        <v>23</v>
      </c>
      <c r="JPR2" s="420"/>
      <c r="JPS2" s="420"/>
      <c r="JPT2" s="420"/>
      <c r="JPU2" s="419" t="s">
        <v>23</v>
      </c>
      <c r="JPV2" s="420"/>
      <c r="JPW2" s="420"/>
      <c r="JPX2" s="420"/>
      <c r="JPY2" s="419" t="s">
        <v>23</v>
      </c>
      <c r="JPZ2" s="420"/>
      <c r="JQA2" s="420"/>
      <c r="JQB2" s="420"/>
      <c r="JQC2" s="419" t="s">
        <v>23</v>
      </c>
      <c r="JQD2" s="420"/>
      <c r="JQE2" s="420"/>
      <c r="JQF2" s="420"/>
      <c r="JQG2" s="419" t="s">
        <v>23</v>
      </c>
      <c r="JQH2" s="420"/>
      <c r="JQI2" s="420"/>
      <c r="JQJ2" s="420"/>
      <c r="JQK2" s="419" t="s">
        <v>23</v>
      </c>
      <c r="JQL2" s="420"/>
      <c r="JQM2" s="420"/>
      <c r="JQN2" s="420"/>
      <c r="JQO2" s="419" t="s">
        <v>23</v>
      </c>
      <c r="JQP2" s="420"/>
      <c r="JQQ2" s="420"/>
      <c r="JQR2" s="420"/>
      <c r="JQS2" s="419" t="s">
        <v>23</v>
      </c>
      <c r="JQT2" s="420"/>
      <c r="JQU2" s="420"/>
      <c r="JQV2" s="420"/>
      <c r="JQW2" s="419" t="s">
        <v>23</v>
      </c>
      <c r="JQX2" s="420"/>
      <c r="JQY2" s="420"/>
      <c r="JQZ2" s="420"/>
      <c r="JRA2" s="419" t="s">
        <v>23</v>
      </c>
      <c r="JRB2" s="420"/>
      <c r="JRC2" s="420"/>
      <c r="JRD2" s="420"/>
      <c r="JRE2" s="419" t="s">
        <v>23</v>
      </c>
      <c r="JRF2" s="420"/>
      <c r="JRG2" s="420"/>
      <c r="JRH2" s="420"/>
      <c r="JRI2" s="419" t="s">
        <v>23</v>
      </c>
      <c r="JRJ2" s="420"/>
      <c r="JRK2" s="420"/>
      <c r="JRL2" s="420"/>
      <c r="JRM2" s="419" t="s">
        <v>23</v>
      </c>
      <c r="JRN2" s="420"/>
      <c r="JRO2" s="420"/>
      <c r="JRP2" s="420"/>
      <c r="JRQ2" s="419" t="s">
        <v>23</v>
      </c>
      <c r="JRR2" s="420"/>
      <c r="JRS2" s="420"/>
      <c r="JRT2" s="420"/>
      <c r="JRU2" s="419" t="s">
        <v>23</v>
      </c>
      <c r="JRV2" s="420"/>
      <c r="JRW2" s="420"/>
      <c r="JRX2" s="420"/>
      <c r="JRY2" s="419" t="s">
        <v>23</v>
      </c>
      <c r="JRZ2" s="420"/>
      <c r="JSA2" s="420"/>
      <c r="JSB2" s="420"/>
      <c r="JSC2" s="419" t="s">
        <v>23</v>
      </c>
      <c r="JSD2" s="420"/>
      <c r="JSE2" s="420"/>
      <c r="JSF2" s="420"/>
      <c r="JSG2" s="419" t="s">
        <v>23</v>
      </c>
      <c r="JSH2" s="420"/>
      <c r="JSI2" s="420"/>
      <c r="JSJ2" s="420"/>
      <c r="JSK2" s="419" t="s">
        <v>23</v>
      </c>
      <c r="JSL2" s="420"/>
      <c r="JSM2" s="420"/>
      <c r="JSN2" s="420"/>
      <c r="JSO2" s="419" t="s">
        <v>23</v>
      </c>
      <c r="JSP2" s="420"/>
      <c r="JSQ2" s="420"/>
      <c r="JSR2" s="420"/>
      <c r="JSS2" s="419" t="s">
        <v>23</v>
      </c>
      <c r="JST2" s="420"/>
      <c r="JSU2" s="420"/>
      <c r="JSV2" s="420"/>
      <c r="JSW2" s="419" t="s">
        <v>23</v>
      </c>
      <c r="JSX2" s="420"/>
      <c r="JSY2" s="420"/>
      <c r="JSZ2" s="420"/>
      <c r="JTA2" s="419" t="s">
        <v>23</v>
      </c>
      <c r="JTB2" s="420"/>
      <c r="JTC2" s="420"/>
      <c r="JTD2" s="420"/>
      <c r="JTE2" s="419" t="s">
        <v>23</v>
      </c>
      <c r="JTF2" s="420"/>
      <c r="JTG2" s="420"/>
      <c r="JTH2" s="420"/>
      <c r="JTI2" s="419" t="s">
        <v>23</v>
      </c>
      <c r="JTJ2" s="420"/>
      <c r="JTK2" s="420"/>
      <c r="JTL2" s="420"/>
      <c r="JTM2" s="419" t="s">
        <v>23</v>
      </c>
      <c r="JTN2" s="420"/>
      <c r="JTO2" s="420"/>
      <c r="JTP2" s="420"/>
      <c r="JTQ2" s="419" t="s">
        <v>23</v>
      </c>
      <c r="JTR2" s="420"/>
      <c r="JTS2" s="420"/>
      <c r="JTT2" s="420"/>
      <c r="JTU2" s="419" t="s">
        <v>23</v>
      </c>
      <c r="JTV2" s="420"/>
      <c r="JTW2" s="420"/>
      <c r="JTX2" s="420"/>
      <c r="JTY2" s="419" t="s">
        <v>23</v>
      </c>
      <c r="JTZ2" s="420"/>
      <c r="JUA2" s="420"/>
      <c r="JUB2" s="420"/>
      <c r="JUC2" s="419" t="s">
        <v>23</v>
      </c>
      <c r="JUD2" s="420"/>
      <c r="JUE2" s="420"/>
      <c r="JUF2" s="420"/>
      <c r="JUG2" s="419" t="s">
        <v>23</v>
      </c>
      <c r="JUH2" s="420"/>
      <c r="JUI2" s="420"/>
      <c r="JUJ2" s="420"/>
      <c r="JUK2" s="419" t="s">
        <v>23</v>
      </c>
      <c r="JUL2" s="420"/>
      <c r="JUM2" s="420"/>
      <c r="JUN2" s="420"/>
      <c r="JUO2" s="419" t="s">
        <v>23</v>
      </c>
      <c r="JUP2" s="420"/>
      <c r="JUQ2" s="420"/>
      <c r="JUR2" s="420"/>
      <c r="JUS2" s="419" t="s">
        <v>23</v>
      </c>
      <c r="JUT2" s="420"/>
      <c r="JUU2" s="420"/>
      <c r="JUV2" s="420"/>
      <c r="JUW2" s="419" t="s">
        <v>23</v>
      </c>
      <c r="JUX2" s="420"/>
      <c r="JUY2" s="420"/>
      <c r="JUZ2" s="420"/>
      <c r="JVA2" s="419" t="s">
        <v>23</v>
      </c>
      <c r="JVB2" s="420"/>
      <c r="JVC2" s="420"/>
      <c r="JVD2" s="420"/>
      <c r="JVE2" s="419" t="s">
        <v>23</v>
      </c>
      <c r="JVF2" s="420"/>
      <c r="JVG2" s="420"/>
      <c r="JVH2" s="420"/>
      <c r="JVI2" s="419" t="s">
        <v>23</v>
      </c>
      <c r="JVJ2" s="420"/>
      <c r="JVK2" s="420"/>
      <c r="JVL2" s="420"/>
      <c r="JVM2" s="419" t="s">
        <v>23</v>
      </c>
      <c r="JVN2" s="420"/>
      <c r="JVO2" s="420"/>
      <c r="JVP2" s="420"/>
      <c r="JVQ2" s="419" t="s">
        <v>23</v>
      </c>
      <c r="JVR2" s="420"/>
      <c r="JVS2" s="420"/>
      <c r="JVT2" s="420"/>
      <c r="JVU2" s="419" t="s">
        <v>23</v>
      </c>
      <c r="JVV2" s="420"/>
      <c r="JVW2" s="420"/>
      <c r="JVX2" s="420"/>
      <c r="JVY2" s="419" t="s">
        <v>23</v>
      </c>
      <c r="JVZ2" s="420"/>
      <c r="JWA2" s="420"/>
      <c r="JWB2" s="420"/>
      <c r="JWC2" s="419" t="s">
        <v>23</v>
      </c>
      <c r="JWD2" s="420"/>
      <c r="JWE2" s="420"/>
      <c r="JWF2" s="420"/>
      <c r="JWG2" s="419" t="s">
        <v>23</v>
      </c>
      <c r="JWH2" s="420"/>
      <c r="JWI2" s="420"/>
      <c r="JWJ2" s="420"/>
      <c r="JWK2" s="419" t="s">
        <v>23</v>
      </c>
      <c r="JWL2" s="420"/>
      <c r="JWM2" s="420"/>
      <c r="JWN2" s="420"/>
      <c r="JWO2" s="419" t="s">
        <v>23</v>
      </c>
      <c r="JWP2" s="420"/>
      <c r="JWQ2" s="420"/>
      <c r="JWR2" s="420"/>
      <c r="JWS2" s="419" t="s">
        <v>23</v>
      </c>
      <c r="JWT2" s="420"/>
      <c r="JWU2" s="420"/>
      <c r="JWV2" s="420"/>
      <c r="JWW2" s="419" t="s">
        <v>23</v>
      </c>
      <c r="JWX2" s="420"/>
      <c r="JWY2" s="420"/>
      <c r="JWZ2" s="420"/>
      <c r="JXA2" s="419" t="s">
        <v>23</v>
      </c>
      <c r="JXB2" s="420"/>
      <c r="JXC2" s="420"/>
      <c r="JXD2" s="420"/>
      <c r="JXE2" s="419" t="s">
        <v>23</v>
      </c>
      <c r="JXF2" s="420"/>
      <c r="JXG2" s="420"/>
      <c r="JXH2" s="420"/>
      <c r="JXI2" s="419" t="s">
        <v>23</v>
      </c>
      <c r="JXJ2" s="420"/>
      <c r="JXK2" s="420"/>
      <c r="JXL2" s="420"/>
      <c r="JXM2" s="419" t="s">
        <v>23</v>
      </c>
      <c r="JXN2" s="420"/>
      <c r="JXO2" s="420"/>
      <c r="JXP2" s="420"/>
      <c r="JXQ2" s="419" t="s">
        <v>23</v>
      </c>
      <c r="JXR2" s="420"/>
      <c r="JXS2" s="420"/>
      <c r="JXT2" s="420"/>
      <c r="JXU2" s="419" t="s">
        <v>23</v>
      </c>
      <c r="JXV2" s="420"/>
      <c r="JXW2" s="420"/>
      <c r="JXX2" s="420"/>
      <c r="JXY2" s="419" t="s">
        <v>23</v>
      </c>
      <c r="JXZ2" s="420"/>
      <c r="JYA2" s="420"/>
      <c r="JYB2" s="420"/>
      <c r="JYC2" s="419" t="s">
        <v>23</v>
      </c>
      <c r="JYD2" s="420"/>
      <c r="JYE2" s="420"/>
      <c r="JYF2" s="420"/>
      <c r="JYG2" s="419" t="s">
        <v>23</v>
      </c>
      <c r="JYH2" s="420"/>
      <c r="JYI2" s="420"/>
      <c r="JYJ2" s="420"/>
      <c r="JYK2" s="419" t="s">
        <v>23</v>
      </c>
      <c r="JYL2" s="420"/>
      <c r="JYM2" s="420"/>
      <c r="JYN2" s="420"/>
      <c r="JYO2" s="419" t="s">
        <v>23</v>
      </c>
      <c r="JYP2" s="420"/>
      <c r="JYQ2" s="420"/>
      <c r="JYR2" s="420"/>
      <c r="JYS2" s="419" t="s">
        <v>23</v>
      </c>
      <c r="JYT2" s="420"/>
      <c r="JYU2" s="420"/>
      <c r="JYV2" s="420"/>
      <c r="JYW2" s="419" t="s">
        <v>23</v>
      </c>
      <c r="JYX2" s="420"/>
      <c r="JYY2" s="420"/>
      <c r="JYZ2" s="420"/>
      <c r="JZA2" s="419" t="s">
        <v>23</v>
      </c>
      <c r="JZB2" s="420"/>
      <c r="JZC2" s="420"/>
      <c r="JZD2" s="420"/>
      <c r="JZE2" s="419" t="s">
        <v>23</v>
      </c>
      <c r="JZF2" s="420"/>
      <c r="JZG2" s="420"/>
      <c r="JZH2" s="420"/>
      <c r="JZI2" s="419" t="s">
        <v>23</v>
      </c>
      <c r="JZJ2" s="420"/>
      <c r="JZK2" s="420"/>
      <c r="JZL2" s="420"/>
      <c r="JZM2" s="419" t="s">
        <v>23</v>
      </c>
      <c r="JZN2" s="420"/>
      <c r="JZO2" s="420"/>
      <c r="JZP2" s="420"/>
      <c r="JZQ2" s="419" t="s">
        <v>23</v>
      </c>
      <c r="JZR2" s="420"/>
      <c r="JZS2" s="420"/>
      <c r="JZT2" s="420"/>
      <c r="JZU2" s="419" t="s">
        <v>23</v>
      </c>
      <c r="JZV2" s="420"/>
      <c r="JZW2" s="420"/>
      <c r="JZX2" s="420"/>
      <c r="JZY2" s="419" t="s">
        <v>23</v>
      </c>
      <c r="JZZ2" s="420"/>
      <c r="KAA2" s="420"/>
      <c r="KAB2" s="420"/>
      <c r="KAC2" s="419" t="s">
        <v>23</v>
      </c>
      <c r="KAD2" s="420"/>
      <c r="KAE2" s="420"/>
      <c r="KAF2" s="420"/>
      <c r="KAG2" s="419" t="s">
        <v>23</v>
      </c>
      <c r="KAH2" s="420"/>
      <c r="KAI2" s="420"/>
      <c r="KAJ2" s="420"/>
      <c r="KAK2" s="419" t="s">
        <v>23</v>
      </c>
      <c r="KAL2" s="420"/>
      <c r="KAM2" s="420"/>
      <c r="KAN2" s="420"/>
      <c r="KAO2" s="419" t="s">
        <v>23</v>
      </c>
      <c r="KAP2" s="420"/>
      <c r="KAQ2" s="420"/>
      <c r="KAR2" s="420"/>
      <c r="KAS2" s="419" t="s">
        <v>23</v>
      </c>
      <c r="KAT2" s="420"/>
      <c r="KAU2" s="420"/>
      <c r="KAV2" s="420"/>
      <c r="KAW2" s="419" t="s">
        <v>23</v>
      </c>
      <c r="KAX2" s="420"/>
      <c r="KAY2" s="420"/>
      <c r="KAZ2" s="420"/>
      <c r="KBA2" s="419" t="s">
        <v>23</v>
      </c>
      <c r="KBB2" s="420"/>
      <c r="KBC2" s="420"/>
      <c r="KBD2" s="420"/>
      <c r="KBE2" s="419" t="s">
        <v>23</v>
      </c>
      <c r="KBF2" s="420"/>
      <c r="KBG2" s="420"/>
      <c r="KBH2" s="420"/>
      <c r="KBI2" s="419" t="s">
        <v>23</v>
      </c>
      <c r="KBJ2" s="420"/>
      <c r="KBK2" s="420"/>
      <c r="KBL2" s="420"/>
      <c r="KBM2" s="419" t="s">
        <v>23</v>
      </c>
      <c r="KBN2" s="420"/>
      <c r="KBO2" s="420"/>
      <c r="KBP2" s="420"/>
      <c r="KBQ2" s="419" t="s">
        <v>23</v>
      </c>
      <c r="KBR2" s="420"/>
      <c r="KBS2" s="420"/>
      <c r="KBT2" s="420"/>
      <c r="KBU2" s="419" t="s">
        <v>23</v>
      </c>
      <c r="KBV2" s="420"/>
      <c r="KBW2" s="420"/>
      <c r="KBX2" s="420"/>
      <c r="KBY2" s="419" t="s">
        <v>23</v>
      </c>
      <c r="KBZ2" s="420"/>
      <c r="KCA2" s="420"/>
      <c r="KCB2" s="420"/>
      <c r="KCC2" s="419" t="s">
        <v>23</v>
      </c>
      <c r="KCD2" s="420"/>
      <c r="KCE2" s="420"/>
      <c r="KCF2" s="420"/>
      <c r="KCG2" s="419" t="s">
        <v>23</v>
      </c>
      <c r="KCH2" s="420"/>
      <c r="KCI2" s="420"/>
      <c r="KCJ2" s="420"/>
      <c r="KCK2" s="419" t="s">
        <v>23</v>
      </c>
      <c r="KCL2" s="420"/>
      <c r="KCM2" s="420"/>
      <c r="KCN2" s="420"/>
      <c r="KCO2" s="419" t="s">
        <v>23</v>
      </c>
      <c r="KCP2" s="420"/>
      <c r="KCQ2" s="420"/>
      <c r="KCR2" s="420"/>
      <c r="KCS2" s="419" t="s">
        <v>23</v>
      </c>
      <c r="KCT2" s="420"/>
      <c r="KCU2" s="420"/>
      <c r="KCV2" s="420"/>
      <c r="KCW2" s="419" t="s">
        <v>23</v>
      </c>
      <c r="KCX2" s="420"/>
      <c r="KCY2" s="420"/>
      <c r="KCZ2" s="420"/>
      <c r="KDA2" s="419" t="s">
        <v>23</v>
      </c>
      <c r="KDB2" s="420"/>
      <c r="KDC2" s="420"/>
      <c r="KDD2" s="420"/>
      <c r="KDE2" s="419" t="s">
        <v>23</v>
      </c>
      <c r="KDF2" s="420"/>
      <c r="KDG2" s="420"/>
      <c r="KDH2" s="420"/>
      <c r="KDI2" s="419" t="s">
        <v>23</v>
      </c>
      <c r="KDJ2" s="420"/>
      <c r="KDK2" s="420"/>
      <c r="KDL2" s="420"/>
      <c r="KDM2" s="419" t="s">
        <v>23</v>
      </c>
      <c r="KDN2" s="420"/>
      <c r="KDO2" s="420"/>
      <c r="KDP2" s="420"/>
      <c r="KDQ2" s="419" t="s">
        <v>23</v>
      </c>
      <c r="KDR2" s="420"/>
      <c r="KDS2" s="420"/>
      <c r="KDT2" s="420"/>
      <c r="KDU2" s="419" t="s">
        <v>23</v>
      </c>
      <c r="KDV2" s="420"/>
      <c r="KDW2" s="420"/>
      <c r="KDX2" s="420"/>
      <c r="KDY2" s="419" t="s">
        <v>23</v>
      </c>
      <c r="KDZ2" s="420"/>
      <c r="KEA2" s="420"/>
      <c r="KEB2" s="420"/>
      <c r="KEC2" s="419" t="s">
        <v>23</v>
      </c>
      <c r="KED2" s="420"/>
      <c r="KEE2" s="420"/>
      <c r="KEF2" s="420"/>
      <c r="KEG2" s="419" t="s">
        <v>23</v>
      </c>
      <c r="KEH2" s="420"/>
      <c r="KEI2" s="420"/>
      <c r="KEJ2" s="420"/>
      <c r="KEK2" s="419" t="s">
        <v>23</v>
      </c>
      <c r="KEL2" s="420"/>
      <c r="KEM2" s="420"/>
      <c r="KEN2" s="420"/>
      <c r="KEO2" s="419" t="s">
        <v>23</v>
      </c>
      <c r="KEP2" s="420"/>
      <c r="KEQ2" s="420"/>
      <c r="KER2" s="420"/>
      <c r="KES2" s="419" t="s">
        <v>23</v>
      </c>
      <c r="KET2" s="420"/>
      <c r="KEU2" s="420"/>
      <c r="KEV2" s="420"/>
      <c r="KEW2" s="419" t="s">
        <v>23</v>
      </c>
      <c r="KEX2" s="420"/>
      <c r="KEY2" s="420"/>
      <c r="KEZ2" s="420"/>
      <c r="KFA2" s="419" t="s">
        <v>23</v>
      </c>
      <c r="KFB2" s="420"/>
      <c r="KFC2" s="420"/>
      <c r="KFD2" s="420"/>
      <c r="KFE2" s="419" t="s">
        <v>23</v>
      </c>
      <c r="KFF2" s="420"/>
      <c r="KFG2" s="420"/>
      <c r="KFH2" s="420"/>
      <c r="KFI2" s="419" t="s">
        <v>23</v>
      </c>
      <c r="KFJ2" s="420"/>
      <c r="KFK2" s="420"/>
      <c r="KFL2" s="420"/>
      <c r="KFM2" s="419" t="s">
        <v>23</v>
      </c>
      <c r="KFN2" s="420"/>
      <c r="KFO2" s="420"/>
      <c r="KFP2" s="420"/>
      <c r="KFQ2" s="419" t="s">
        <v>23</v>
      </c>
      <c r="KFR2" s="420"/>
      <c r="KFS2" s="420"/>
      <c r="KFT2" s="420"/>
      <c r="KFU2" s="419" t="s">
        <v>23</v>
      </c>
      <c r="KFV2" s="420"/>
      <c r="KFW2" s="420"/>
      <c r="KFX2" s="420"/>
      <c r="KFY2" s="419" t="s">
        <v>23</v>
      </c>
      <c r="KFZ2" s="420"/>
      <c r="KGA2" s="420"/>
      <c r="KGB2" s="420"/>
      <c r="KGC2" s="419" t="s">
        <v>23</v>
      </c>
      <c r="KGD2" s="420"/>
      <c r="KGE2" s="420"/>
      <c r="KGF2" s="420"/>
      <c r="KGG2" s="419" t="s">
        <v>23</v>
      </c>
      <c r="KGH2" s="420"/>
      <c r="KGI2" s="420"/>
      <c r="KGJ2" s="420"/>
      <c r="KGK2" s="419" t="s">
        <v>23</v>
      </c>
      <c r="KGL2" s="420"/>
      <c r="KGM2" s="420"/>
      <c r="KGN2" s="420"/>
      <c r="KGO2" s="419" t="s">
        <v>23</v>
      </c>
      <c r="KGP2" s="420"/>
      <c r="KGQ2" s="420"/>
      <c r="KGR2" s="420"/>
      <c r="KGS2" s="419" t="s">
        <v>23</v>
      </c>
      <c r="KGT2" s="420"/>
      <c r="KGU2" s="420"/>
      <c r="KGV2" s="420"/>
      <c r="KGW2" s="419" t="s">
        <v>23</v>
      </c>
      <c r="KGX2" s="420"/>
      <c r="KGY2" s="420"/>
      <c r="KGZ2" s="420"/>
      <c r="KHA2" s="419" t="s">
        <v>23</v>
      </c>
      <c r="KHB2" s="420"/>
      <c r="KHC2" s="420"/>
      <c r="KHD2" s="420"/>
      <c r="KHE2" s="419" t="s">
        <v>23</v>
      </c>
      <c r="KHF2" s="420"/>
      <c r="KHG2" s="420"/>
      <c r="KHH2" s="420"/>
      <c r="KHI2" s="419" t="s">
        <v>23</v>
      </c>
      <c r="KHJ2" s="420"/>
      <c r="KHK2" s="420"/>
      <c r="KHL2" s="420"/>
      <c r="KHM2" s="419" t="s">
        <v>23</v>
      </c>
      <c r="KHN2" s="420"/>
      <c r="KHO2" s="420"/>
      <c r="KHP2" s="420"/>
      <c r="KHQ2" s="419" t="s">
        <v>23</v>
      </c>
      <c r="KHR2" s="420"/>
      <c r="KHS2" s="420"/>
      <c r="KHT2" s="420"/>
      <c r="KHU2" s="419" t="s">
        <v>23</v>
      </c>
      <c r="KHV2" s="420"/>
      <c r="KHW2" s="420"/>
      <c r="KHX2" s="420"/>
      <c r="KHY2" s="419" t="s">
        <v>23</v>
      </c>
      <c r="KHZ2" s="420"/>
      <c r="KIA2" s="420"/>
      <c r="KIB2" s="420"/>
      <c r="KIC2" s="419" t="s">
        <v>23</v>
      </c>
      <c r="KID2" s="420"/>
      <c r="KIE2" s="420"/>
      <c r="KIF2" s="420"/>
      <c r="KIG2" s="419" t="s">
        <v>23</v>
      </c>
      <c r="KIH2" s="420"/>
      <c r="KII2" s="420"/>
      <c r="KIJ2" s="420"/>
      <c r="KIK2" s="419" t="s">
        <v>23</v>
      </c>
      <c r="KIL2" s="420"/>
      <c r="KIM2" s="420"/>
      <c r="KIN2" s="420"/>
      <c r="KIO2" s="419" t="s">
        <v>23</v>
      </c>
      <c r="KIP2" s="420"/>
      <c r="KIQ2" s="420"/>
      <c r="KIR2" s="420"/>
      <c r="KIS2" s="419" t="s">
        <v>23</v>
      </c>
      <c r="KIT2" s="420"/>
      <c r="KIU2" s="420"/>
      <c r="KIV2" s="420"/>
      <c r="KIW2" s="419" t="s">
        <v>23</v>
      </c>
      <c r="KIX2" s="420"/>
      <c r="KIY2" s="420"/>
      <c r="KIZ2" s="420"/>
      <c r="KJA2" s="419" t="s">
        <v>23</v>
      </c>
      <c r="KJB2" s="420"/>
      <c r="KJC2" s="420"/>
      <c r="KJD2" s="420"/>
      <c r="KJE2" s="419" t="s">
        <v>23</v>
      </c>
      <c r="KJF2" s="420"/>
      <c r="KJG2" s="420"/>
      <c r="KJH2" s="420"/>
      <c r="KJI2" s="419" t="s">
        <v>23</v>
      </c>
      <c r="KJJ2" s="420"/>
      <c r="KJK2" s="420"/>
      <c r="KJL2" s="420"/>
      <c r="KJM2" s="419" t="s">
        <v>23</v>
      </c>
      <c r="KJN2" s="420"/>
      <c r="KJO2" s="420"/>
      <c r="KJP2" s="420"/>
      <c r="KJQ2" s="419" t="s">
        <v>23</v>
      </c>
      <c r="KJR2" s="420"/>
      <c r="KJS2" s="420"/>
      <c r="KJT2" s="420"/>
      <c r="KJU2" s="419" t="s">
        <v>23</v>
      </c>
      <c r="KJV2" s="420"/>
      <c r="KJW2" s="420"/>
      <c r="KJX2" s="420"/>
      <c r="KJY2" s="419" t="s">
        <v>23</v>
      </c>
      <c r="KJZ2" s="420"/>
      <c r="KKA2" s="420"/>
      <c r="KKB2" s="420"/>
      <c r="KKC2" s="419" t="s">
        <v>23</v>
      </c>
      <c r="KKD2" s="420"/>
      <c r="KKE2" s="420"/>
      <c r="KKF2" s="420"/>
      <c r="KKG2" s="419" t="s">
        <v>23</v>
      </c>
      <c r="KKH2" s="420"/>
      <c r="KKI2" s="420"/>
      <c r="KKJ2" s="420"/>
      <c r="KKK2" s="419" t="s">
        <v>23</v>
      </c>
      <c r="KKL2" s="420"/>
      <c r="KKM2" s="420"/>
      <c r="KKN2" s="420"/>
      <c r="KKO2" s="419" t="s">
        <v>23</v>
      </c>
      <c r="KKP2" s="420"/>
      <c r="KKQ2" s="420"/>
      <c r="KKR2" s="420"/>
      <c r="KKS2" s="419" t="s">
        <v>23</v>
      </c>
      <c r="KKT2" s="420"/>
      <c r="KKU2" s="420"/>
      <c r="KKV2" s="420"/>
      <c r="KKW2" s="419" t="s">
        <v>23</v>
      </c>
      <c r="KKX2" s="420"/>
      <c r="KKY2" s="420"/>
      <c r="KKZ2" s="420"/>
      <c r="KLA2" s="419" t="s">
        <v>23</v>
      </c>
      <c r="KLB2" s="420"/>
      <c r="KLC2" s="420"/>
      <c r="KLD2" s="420"/>
      <c r="KLE2" s="419" t="s">
        <v>23</v>
      </c>
      <c r="KLF2" s="420"/>
      <c r="KLG2" s="420"/>
      <c r="KLH2" s="420"/>
      <c r="KLI2" s="419" t="s">
        <v>23</v>
      </c>
      <c r="KLJ2" s="420"/>
      <c r="KLK2" s="420"/>
      <c r="KLL2" s="420"/>
      <c r="KLM2" s="419" t="s">
        <v>23</v>
      </c>
      <c r="KLN2" s="420"/>
      <c r="KLO2" s="420"/>
      <c r="KLP2" s="420"/>
      <c r="KLQ2" s="419" t="s">
        <v>23</v>
      </c>
      <c r="KLR2" s="420"/>
      <c r="KLS2" s="420"/>
      <c r="KLT2" s="420"/>
      <c r="KLU2" s="419" t="s">
        <v>23</v>
      </c>
      <c r="KLV2" s="420"/>
      <c r="KLW2" s="420"/>
      <c r="KLX2" s="420"/>
      <c r="KLY2" s="419" t="s">
        <v>23</v>
      </c>
      <c r="KLZ2" s="420"/>
      <c r="KMA2" s="420"/>
      <c r="KMB2" s="420"/>
      <c r="KMC2" s="419" t="s">
        <v>23</v>
      </c>
      <c r="KMD2" s="420"/>
      <c r="KME2" s="420"/>
      <c r="KMF2" s="420"/>
      <c r="KMG2" s="419" t="s">
        <v>23</v>
      </c>
      <c r="KMH2" s="420"/>
      <c r="KMI2" s="420"/>
      <c r="KMJ2" s="420"/>
      <c r="KMK2" s="419" t="s">
        <v>23</v>
      </c>
      <c r="KML2" s="420"/>
      <c r="KMM2" s="420"/>
      <c r="KMN2" s="420"/>
      <c r="KMO2" s="419" t="s">
        <v>23</v>
      </c>
      <c r="KMP2" s="420"/>
      <c r="KMQ2" s="420"/>
      <c r="KMR2" s="420"/>
      <c r="KMS2" s="419" t="s">
        <v>23</v>
      </c>
      <c r="KMT2" s="420"/>
      <c r="KMU2" s="420"/>
      <c r="KMV2" s="420"/>
      <c r="KMW2" s="419" t="s">
        <v>23</v>
      </c>
      <c r="KMX2" s="420"/>
      <c r="KMY2" s="420"/>
      <c r="KMZ2" s="420"/>
      <c r="KNA2" s="419" t="s">
        <v>23</v>
      </c>
      <c r="KNB2" s="420"/>
      <c r="KNC2" s="420"/>
      <c r="KND2" s="420"/>
      <c r="KNE2" s="419" t="s">
        <v>23</v>
      </c>
      <c r="KNF2" s="420"/>
      <c r="KNG2" s="420"/>
      <c r="KNH2" s="420"/>
      <c r="KNI2" s="419" t="s">
        <v>23</v>
      </c>
      <c r="KNJ2" s="420"/>
      <c r="KNK2" s="420"/>
      <c r="KNL2" s="420"/>
      <c r="KNM2" s="419" t="s">
        <v>23</v>
      </c>
      <c r="KNN2" s="420"/>
      <c r="KNO2" s="420"/>
      <c r="KNP2" s="420"/>
      <c r="KNQ2" s="419" t="s">
        <v>23</v>
      </c>
      <c r="KNR2" s="420"/>
      <c r="KNS2" s="420"/>
      <c r="KNT2" s="420"/>
      <c r="KNU2" s="419" t="s">
        <v>23</v>
      </c>
      <c r="KNV2" s="420"/>
      <c r="KNW2" s="420"/>
      <c r="KNX2" s="420"/>
      <c r="KNY2" s="419" t="s">
        <v>23</v>
      </c>
      <c r="KNZ2" s="420"/>
      <c r="KOA2" s="420"/>
      <c r="KOB2" s="420"/>
      <c r="KOC2" s="419" t="s">
        <v>23</v>
      </c>
      <c r="KOD2" s="420"/>
      <c r="KOE2" s="420"/>
      <c r="KOF2" s="420"/>
      <c r="KOG2" s="419" t="s">
        <v>23</v>
      </c>
      <c r="KOH2" s="420"/>
      <c r="KOI2" s="420"/>
      <c r="KOJ2" s="420"/>
      <c r="KOK2" s="419" t="s">
        <v>23</v>
      </c>
      <c r="KOL2" s="420"/>
      <c r="KOM2" s="420"/>
      <c r="KON2" s="420"/>
      <c r="KOO2" s="419" t="s">
        <v>23</v>
      </c>
      <c r="KOP2" s="420"/>
      <c r="KOQ2" s="420"/>
      <c r="KOR2" s="420"/>
      <c r="KOS2" s="419" t="s">
        <v>23</v>
      </c>
      <c r="KOT2" s="420"/>
      <c r="KOU2" s="420"/>
      <c r="KOV2" s="420"/>
      <c r="KOW2" s="419" t="s">
        <v>23</v>
      </c>
      <c r="KOX2" s="420"/>
      <c r="KOY2" s="420"/>
      <c r="KOZ2" s="420"/>
      <c r="KPA2" s="419" t="s">
        <v>23</v>
      </c>
      <c r="KPB2" s="420"/>
      <c r="KPC2" s="420"/>
      <c r="KPD2" s="420"/>
      <c r="KPE2" s="419" t="s">
        <v>23</v>
      </c>
      <c r="KPF2" s="420"/>
      <c r="KPG2" s="420"/>
      <c r="KPH2" s="420"/>
      <c r="KPI2" s="419" t="s">
        <v>23</v>
      </c>
      <c r="KPJ2" s="420"/>
      <c r="KPK2" s="420"/>
      <c r="KPL2" s="420"/>
      <c r="KPM2" s="419" t="s">
        <v>23</v>
      </c>
      <c r="KPN2" s="420"/>
      <c r="KPO2" s="420"/>
      <c r="KPP2" s="420"/>
      <c r="KPQ2" s="419" t="s">
        <v>23</v>
      </c>
      <c r="KPR2" s="420"/>
      <c r="KPS2" s="420"/>
      <c r="KPT2" s="420"/>
      <c r="KPU2" s="419" t="s">
        <v>23</v>
      </c>
      <c r="KPV2" s="420"/>
      <c r="KPW2" s="420"/>
      <c r="KPX2" s="420"/>
      <c r="KPY2" s="419" t="s">
        <v>23</v>
      </c>
      <c r="KPZ2" s="420"/>
      <c r="KQA2" s="420"/>
      <c r="KQB2" s="420"/>
      <c r="KQC2" s="419" t="s">
        <v>23</v>
      </c>
      <c r="KQD2" s="420"/>
      <c r="KQE2" s="420"/>
      <c r="KQF2" s="420"/>
      <c r="KQG2" s="419" t="s">
        <v>23</v>
      </c>
      <c r="KQH2" s="420"/>
      <c r="KQI2" s="420"/>
      <c r="KQJ2" s="420"/>
      <c r="KQK2" s="419" t="s">
        <v>23</v>
      </c>
      <c r="KQL2" s="420"/>
      <c r="KQM2" s="420"/>
      <c r="KQN2" s="420"/>
      <c r="KQO2" s="419" t="s">
        <v>23</v>
      </c>
      <c r="KQP2" s="420"/>
      <c r="KQQ2" s="420"/>
      <c r="KQR2" s="420"/>
      <c r="KQS2" s="419" t="s">
        <v>23</v>
      </c>
      <c r="KQT2" s="420"/>
      <c r="KQU2" s="420"/>
      <c r="KQV2" s="420"/>
      <c r="KQW2" s="419" t="s">
        <v>23</v>
      </c>
      <c r="KQX2" s="420"/>
      <c r="KQY2" s="420"/>
      <c r="KQZ2" s="420"/>
      <c r="KRA2" s="419" t="s">
        <v>23</v>
      </c>
      <c r="KRB2" s="420"/>
      <c r="KRC2" s="420"/>
      <c r="KRD2" s="420"/>
      <c r="KRE2" s="419" t="s">
        <v>23</v>
      </c>
      <c r="KRF2" s="420"/>
      <c r="KRG2" s="420"/>
      <c r="KRH2" s="420"/>
      <c r="KRI2" s="419" t="s">
        <v>23</v>
      </c>
      <c r="KRJ2" s="420"/>
      <c r="KRK2" s="420"/>
      <c r="KRL2" s="420"/>
      <c r="KRM2" s="419" t="s">
        <v>23</v>
      </c>
      <c r="KRN2" s="420"/>
      <c r="KRO2" s="420"/>
      <c r="KRP2" s="420"/>
      <c r="KRQ2" s="419" t="s">
        <v>23</v>
      </c>
      <c r="KRR2" s="420"/>
      <c r="KRS2" s="420"/>
      <c r="KRT2" s="420"/>
      <c r="KRU2" s="419" t="s">
        <v>23</v>
      </c>
      <c r="KRV2" s="420"/>
      <c r="KRW2" s="420"/>
      <c r="KRX2" s="420"/>
      <c r="KRY2" s="419" t="s">
        <v>23</v>
      </c>
      <c r="KRZ2" s="420"/>
      <c r="KSA2" s="420"/>
      <c r="KSB2" s="420"/>
      <c r="KSC2" s="419" t="s">
        <v>23</v>
      </c>
      <c r="KSD2" s="420"/>
      <c r="KSE2" s="420"/>
      <c r="KSF2" s="420"/>
      <c r="KSG2" s="419" t="s">
        <v>23</v>
      </c>
      <c r="KSH2" s="420"/>
      <c r="KSI2" s="420"/>
      <c r="KSJ2" s="420"/>
      <c r="KSK2" s="419" t="s">
        <v>23</v>
      </c>
      <c r="KSL2" s="420"/>
      <c r="KSM2" s="420"/>
      <c r="KSN2" s="420"/>
      <c r="KSO2" s="419" t="s">
        <v>23</v>
      </c>
      <c r="KSP2" s="420"/>
      <c r="KSQ2" s="420"/>
      <c r="KSR2" s="420"/>
      <c r="KSS2" s="419" t="s">
        <v>23</v>
      </c>
      <c r="KST2" s="420"/>
      <c r="KSU2" s="420"/>
      <c r="KSV2" s="420"/>
      <c r="KSW2" s="419" t="s">
        <v>23</v>
      </c>
      <c r="KSX2" s="420"/>
      <c r="KSY2" s="420"/>
      <c r="KSZ2" s="420"/>
      <c r="KTA2" s="419" t="s">
        <v>23</v>
      </c>
      <c r="KTB2" s="420"/>
      <c r="KTC2" s="420"/>
      <c r="KTD2" s="420"/>
      <c r="KTE2" s="419" t="s">
        <v>23</v>
      </c>
      <c r="KTF2" s="420"/>
      <c r="KTG2" s="420"/>
      <c r="KTH2" s="420"/>
      <c r="KTI2" s="419" t="s">
        <v>23</v>
      </c>
      <c r="KTJ2" s="420"/>
      <c r="KTK2" s="420"/>
      <c r="KTL2" s="420"/>
      <c r="KTM2" s="419" t="s">
        <v>23</v>
      </c>
      <c r="KTN2" s="420"/>
      <c r="KTO2" s="420"/>
      <c r="KTP2" s="420"/>
      <c r="KTQ2" s="419" t="s">
        <v>23</v>
      </c>
      <c r="KTR2" s="420"/>
      <c r="KTS2" s="420"/>
      <c r="KTT2" s="420"/>
      <c r="KTU2" s="419" t="s">
        <v>23</v>
      </c>
      <c r="KTV2" s="420"/>
      <c r="KTW2" s="420"/>
      <c r="KTX2" s="420"/>
      <c r="KTY2" s="419" t="s">
        <v>23</v>
      </c>
      <c r="KTZ2" s="420"/>
      <c r="KUA2" s="420"/>
      <c r="KUB2" s="420"/>
      <c r="KUC2" s="419" t="s">
        <v>23</v>
      </c>
      <c r="KUD2" s="420"/>
      <c r="KUE2" s="420"/>
      <c r="KUF2" s="420"/>
      <c r="KUG2" s="419" t="s">
        <v>23</v>
      </c>
      <c r="KUH2" s="420"/>
      <c r="KUI2" s="420"/>
      <c r="KUJ2" s="420"/>
      <c r="KUK2" s="419" t="s">
        <v>23</v>
      </c>
      <c r="KUL2" s="420"/>
      <c r="KUM2" s="420"/>
      <c r="KUN2" s="420"/>
      <c r="KUO2" s="419" t="s">
        <v>23</v>
      </c>
      <c r="KUP2" s="420"/>
      <c r="KUQ2" s="420"/>
      <c r="KUR2" s="420"/>
      <c r="KUS2" s="419" t="s">
        <v>23</v>
      </c>
      <c r="KUT2" s="420"/>
      <c r="KUU2" s="420"/>
      <c r="KUV2" s="420"/>
      <c r="KUW2" s="419" t="s">
        <v>23</v>
      </c>
      <c r="KUX2" s="420"/>
      <c r="KUY2" s="420"/>
      <c r="KUZ2" s="420"/>
      <c r="KVA2" s="419" t="s">
        <v>23</v>
      </c>
      <c r="KVB2" s="420"/>
      <c r="KVC2" s="420"/>
      <c r="KVD2" s="420"/>
      <c r="KVE2" s="419" t="s">
        <v>23</v>
      </c>
      <c r="KVF2" s="420"/>
      <c r="KVG2" s="420"/>
      <c r="KVH2" s="420"/>
      <c r="KVI2" s="419" t="s">
        <v>23</v>
      </c>
      <c r="KVJ2" s="420"/>
      <c r="KVK2" s="420"/>
      <c r="KVL2" s="420"/>
      <c r="KVM2" s="419" t="s">
        <v>23</v>
      </c>
      <c r="KVN2" s="420"/>
      <c r="KVO2" s="420"/>
      <c r="KVP2" s="420"/>
      <c r="KVQ2" s="419" t="s">
        <v>23</v>
      </c>
      <c r="KVR2" s="420"/>
      <c r="KVS2" s="420"/>
      <c r="KVT2" s="420"/>
      <c r="KVU2" s="419" t="s">
        <v>23</v>
      </c>
      <c r="KVV2" s="420"/>
      <c r="KVW2" s="420"/>
      <c r="KVX2" s="420"/>
      <c r="KVY2" s="419" t="s">
        <v>23</v>
      </c>
      <c r="KVZ2" s="420"/>
      <c r="KWA2" s="420"/>
      <c r="KWB2" s="420"/>
      <c r="KWC2" s="419" t="s">
        <v>23</v>
      </c>
      <c r="KWD2" s="420"/>
      <c r="KWE2" s="420"/>
      <c r="KWF2" s="420"/>
      <c r="KWG2" s="419" t="s">
        <v>23</v>
      </c>
      <c r="KWH2" s="420"/>
      <c r="KWI2" s="420"/>
      <c r="KWJ2" s="420"/>
      <c r="KWK2" s="419" t="s">
        <v>23</v>
      </c>
      <c r="KWL2" s="420"/>
      <c r="KWM2" s="420"/>
      <c r="KWN2" s="420"/>
      <c r="KWO2" s="419" t="s">
        <v>23</v>
      </c>
      <c r="KWP2" s="420"/>
      <c r="KWQ2" s="420"/>
      <c r="KWR2" s="420"/>
      <c r="KWS2" s="419" t="s">
        <v>23</v>
      </c>
      <c r="KWT2" s="420"/>
      <c r="KWU2" s="420"/>
      <c r="KWV2" s="420"/>
      <c r="KWW2" s="419" t="s">
        <v>23</v>
      </c>
      <c r="KWX2" s="420"/>
      <c r="KWY2" s="420"/>
      <c r="KWZ2" s="420"/>
      <c r="KXA2" s="419" t="s">
        <v>23</v>
      </c>
      <c r="KXB2" s="420"/>
      <c r="KXC2" s="420"/>
      <c r="KXD2" s="420"/>
      <c r="KXE2" s="419" t="s">
        <v>23</v>
      </c>
      <c r="KXF2" s="420"/>
      <c r="KXG2" s="420"/>
      <c r="KXH2" s="420"/>
      <c r="KXI2" s="419" t="s">
        <v>23</v>
      </c>
      <c r="KXJ2" s="420"/>
      <c r="KXK2" s="420"/>
      <c r="KXL2" s="420"/>
      <c r="KXM2" s="419" t="s">
        <v>23</v>
      </c>
      <c r="KXN2" s="420"/>
      <c r="KXO2" s="420"/>
      <c r="KXP2" s="420"/>
      <c r="KXQ2" s="419" t="s">
        <v>23</v>
      </c>
      <c r="KXR2" s="420"/>
      <c r="KXS2" s="420"/>
      <c r="KXT2" s="420"/>
      <c r="KXU2" s="419" t="s">
        <v>23</v>
      </c>
      <c r="KXV2" s="420"/>
      <c r="KXW2" s="420"/>
      <c r="KXX2" s="420"/>
      <c r="KXY2" s="419" t="s">
        <v>23</v>
      </c>
      <c r="KXZ2" s="420"/>
      <c r="KYA2" s="420"/>
      <c r="KYB2" s="420"/>
      <c r="KYC2" s="419" t="s">
        <v>23</v>
      </c>
      <c r="KYD2" s="420"/>
      <c r="KYE2" s="420"/>
      <c r="KYF2" s="420"/>
      <c r="KYG2" s="419" t="s">
        <v>23</v>
      </c>
      <c r="KYH2" s="420"/>
      <c r="KYI2" s="420"/>
      <c r="KYJ2" s="420"/>
      <c r="KYK2" s="419" t="s">
        <v>23</v>
      </c>
      <c r="KYL2" s="420"/>
      <c r="KYM2" s="420"/>
      <c r="KYN2" s="420"/>
      <c r="KYO2" s="419" t="s">
        <v>23</v>
      </c>
      <c r="KYP2" s="420"/>
      <c r="KYQ2" s="420"/>
      <c r="KYR2" s="420"/>
      <c r="KYS2" s="419" t="s">
        <v>23</v>
      </c>
      <c r="KYT2" s="420"/>
      <c r="KYU2" s="420"/>
      <c r="KYV2" s="420"/>
      <c r="KYW2" s="419" t="s">
        <v>23</v>
      </c>
      <c r="KYX2" s="420"/>
      <c r="KYY2" s="420"/>
      <c r="KYZ2" s="420"/>
      <c r="KZA2" s="419" t="s">
        <v>23</v>
      </c>
      <c r="KZB2" s="420"/>
      <c r="KZC2" s="420"/>
      <c r="KZD2" s="420"/>
      <c r="KZE2" s="419" t="s">
        <v>23</v>
      </c>
      <c r="KZF2" s="420"/>
      <c r="KZG2" s="420"/>
      <c r="KZH2" s="420"/>
      <c r="KZI2" s="419" t="s">
        <v>23</v>
      </c>
      <c r="KZJ2" s="420"/>
      <c r="KZK2" s="420"/>
      <c r="KZL2" s="420"/>
      <c r="KZM2" s="419" t="s">
        <v>23</v>
      </c>
      <c r="KZN2" s="420"/>
      <c r="KZO2" s="420"/>
      <c r="KZP2" s="420"/>
      <c r="KZQ2" s="419" t="s">
        <v>23</v>
      </c>
      <c r="KZR2" s="420"/>
      <c r="KZS2" s="420"/>
      <c r="KZT2" s="420"/>
      <c r="KZU2" s="419" t="s">
        <v>23</v>
      </c>
      <c r="KZV2" s="420"/>
      <c r="KZW2" s="420"/>
      <c r="KZX2" s="420"/>
      <c r="KZY2" s="419" t="s">
        <v>23</v>
      </c>
      <c r="KZZ2" s="420"/>
      <c r="LAA2" s="420"/>
      <c r="LAB2" s="420"/>
      <c r="LAC2" s="419" t="s">
        <v>23</v>
      </c>
      <c r="LAD2" s="420"/>
      <c r="LAE2" s="420"/>
      <c r="LAF2" s="420"/>
      <c r="LAG2" s="419" t="s">
        <v>23</v>
      </c>
      <c r="LAH2" s="420"/>
      <c r="LAI2" s="420"/>
      <c r="LAJ2" s="420"/>
      <c r="LAK2" s="419" t="s">
        <v>23</v>
      </c>
      <c r="LAL2" s="420"/>
      <c r="LAM2" s="420"/>
      <c r="LAN2" s="420"/>
      <c r="LAO2" s="419" t="s">
        <v>23</v>
      </c>
      <c r="LAP2" s="420"/>
      <c r="LAQ2" s="420"/>
      <c r="LAR2" s="420"/>
      <c r="LAS2" s="419" t="s">
        <v>23</v>
      </c>
      <c r="LAT2" s="420"/>
      <c r="LAU2" s="420"/>
      <c r="LAV2" s="420"/>
      <c r="LAW2" s="419" t="s">
        <v>23</v>
      </c>
      <c r="LAX2" s="420"/>
      <c r="LAY2" s="420"/>
      <c r="LAZ2" s="420"/>
      <c r="LBA2" s="419" t="s">
        <v>23</v>
      </c>
      <c r="LBB2" s="420"/>
      <c r="LBC2" s="420"/>
      <c r="LBD2" s="420"/>
      <c r="LBE2" s="419" t="s">
        <v>23</v>
      </c>
      <c r="LBF2" s="420"/>
      <c r="LBG2" s="420"/>
      <c r="LBH2" s="420"/>
      <c r="LBI2" s="419" t="s">
        <v>23</v>
      </c>
      <c r="LBJ2" s="420"/>
      <c r="LBK2" s="420"/>
      <c r="LBL2" s="420"/>
      <c r="LBM2" s="419" t="s">
        <v>23</v>
      </c>
      <c r="LBN2" s="420"/>
      <c r="LBO2" s="420"/>
      <c r="LBP2" s="420"/>
      <c r="LBQ2" s="419" t="s">
        <v>23</v>
      </c>
      <c r="LBR2" s="420"/>
      <c r="LBS2" s="420"/>
      <c r="LBT2" s="420"/>
      <c r="LBU2" s="419" t="s">
        <v>23</v>
      </c>
      <c r="LBV2" s="420"/>
      <c r="LBW2" s="420"/>
      <c r="LBX2" s="420"/>
      <c r="LBY2" s="419" t="s">
        <v>23</v>
      </c>
      <c r="LBZ2" s="420"/>
      <c r="LCA2" s="420"/>
      <c r="LCB2" s="420"/>
      <c r="LCC2" s="419" t="s">
        <v>23</v>
      </c>
      <c r="LCD2" s="420"/>
      <c r="LCE2" s="420"/>
      <c r="LCF2" s="420"/>
      <c r="LCG2" s="419" t="s">
        <v>23</v>
      </c>
      <c r="LCH2" s="420"/>
      <c r="LCI2" s="420"/>
      <c r="LCJ2" s="420"/>
      <c r="LCK2" s="419" t="s">
        <v>23</v>
      </c>
      <c r="LCL2" s="420"/>
      <c r="LCM2" s="420"/>
      <c r="LCN2" s="420"/>
      <c r="LCO2" s="419" t="s">
        <v>23</v>
      </c>
      <c r="LCP2" s="420"/>
      <c r="LCQ2" s="420"/>
      <c r="LCR2" s="420"/>
      <c r="LCS2" s="419" t="s">
        <v>23</v>
      </c>
      <c r="LCT2" s="420"/>
      <c r="LCU2" s="420"/>
      <c r="LCV2" s="420"/>
      <c r="LCW2" s="419" t="s">
        <v>23</v>
      </c>
      <c r="LCX2" s="420"/>
      <c r="LCY2" s="420"/>
      <c r="LCZ2" s="420"/>
      <c r="LDA2" s="419" t="s">
        <v>23</v>
      </c>
      <c r="LDB2" s="420"/>
      <c r="LDC2" s="420"/>
      <c r="LDD2" s="420"/>
      <c r="LDE2" s="419" t="s">
        <v>23</v>
      </c>
      <c r="LDF2" s="420"/>
      <c r="LDG2" s="420"/>
      <c r="LDH2" s="420"/>
      <c r="LDI2" s="419" t="s">
        <v>23</v>
      </c>
      <c r="LDJ2" s="420"/>
      <c r="LDK2" s="420"/>
      <c r="LDL2" s="420"/>
      <c r="LDM2" s="419" t="s">
        <v>23</v>
      </c>
      <c r="LDN2" s="420"/>
      <c r="LDO2" s="420"/>
      <c r="LDP2" s="420"/>
      <c r="LDQ2" s="419" t="s">
        <v>23</v>
      </c>
      <c r="LDR2" s="420"/>
      <c r="LDS2" s="420"/>
      <c r="LDT2" s="420"/>
      <c r="LDU2" s="419" t="s">
        <v>23</v>
      </c>
      <c r="LDV2" s="420"/>
      <c r="LDW2" s="420"/>
      <c r="LDX2" s="420"/>
      <c r="LDY2" s="419" t="s">
        <v>23</v>
      </c>
      <c r="LDZ2" s="420"/>
      <c r="LEA2" s="420"/>
      <c r="LEB2" s="420"/>
      <c r="LEC2" s="419" t="s">
        <v>23</v>
      </c>
      <c r="LED2" s="420"/>
      <c r="LEE2" s="420"/>
      <c r="LEF2" s="420"/>
      <c r="LEG2" s="419" t="s">
        <v>23</v>
      </c>
      <c r="LEH2" s="420"/>
      <c r="LEI2" s="420"/>
      <c r="LEJ2" s="420"/>
      <c r="LEK2" s="419" t="s">
        <v>23</v>
      </c>
      <c r="LEL2" s="420"/>
      <c r="LEM2" s="420"/>
      <c r="LEN2" s="420"/>
      <c r="LEO2" s="419" t="s">
        <v>23</v>
      </c>
      <c r="LEP2" s="420"/>
      <c r="LEQ2" s="420"/>
      <c r="LER2" s="420"/>
      <c r="LES2" s="419" t="s">
        <v>23</v>
      </c>
      <c r="LET2" s="420"/>
      <c r="LEU2" s="420"/>
      <c r="LEV2" s="420"/>
      <c r="LEW2" s="419" t="s">
        <v>23</v>
      </c>
      <c r="LEX2" s="420"/>
      <c r="LEY2" s="420"/>
      <c r="LEZ2" s="420"/>
      <c r="LFA2" s="419" t="s">
        <v>23</v>
      </c>
      <c r="LFB2" s="420"/>
      <c r="LFC2" s="420"/>
      <c r="LFD2" s="420"/>
      <c r="LFE2" s="419" t="s">
        <v>23</v>
      </c>
      <c r="LFF2" s="420"/>
      <c r="LFG2" s="420"/>
      <c r="LFH2" s="420"/>
      <c r="LFI2" s="419" t="s">
        <v>23</v>
      </c>
      <c r="LFJ2" s="420"/>
      <c r="LFK2" s="420"/>
      <c r="LFL2" s="420"/>
      <c r="LFM2" s="419" t="s">
        <v>23</v>
      </c>
      <c r="LFN2" s="420"/>
      <c r="LFO2" s="420"/>
      <c r="LFP2" s="420"/>
      <c r="LFQ2" s="419" t="s">
        <v>23</v>
      </c>
      <c r="LFR2" s="420"/>
      <c r="LFS2" s="420"/>
      <c r="LFT2" s="420"/>
      <c r="LFU2" s="419" t="s">
        <v>23</v>
      </c>
      <c r="LFV2" s="420"/>
      <c r="LFW2" s="420"/>
      <c r="LFX2" s="420"/>
      <c r="LFY2" s="419" t="s">
        <v>23</v>
      </c>
      <c r="LFZ2" s="420"/>
      <c r="LGA2" s="420"/>
      <c r="LGB2" s="420"/>
      <c r="LGC2" s="419" t="s">
        <v>23</v>
      </c>
      <c r="LGD2" s="420"/>
      <c r="LGE2" s="420"/>
      <c r="LGF2" s="420"/>
      <c r="LGG2" s="419" t="s">
        <v>23</v>
      </c>
      <c r="LGH2" s="420"/>
      <c r="LGI2" s="420"/>
      <c r="LGJ2" s="420"/>
      <c r="LGK2" s="419" t="s">
        <v>23</v>
      </c>
      <c r="LGL2" s="420"/>
      <c r="LGM2" s="420"/>
      <c r="LGN2" s="420"/>
      <c r="LGO2" s="419" t="s">
        <v>23</v>
      </c>
      <c r="LGP2" s="420"/>
      <c r="LGQ2" s="420"/>
      <c r="LGR2" s="420"/>
      <c r="LGS2" s="419" t="s">
        <v>23</v>
      </c>
      <c r="LGT2" s="420"/>
      <c r="LGU2" s="420"/>
      <c r="LGV2" s="420"/>
      <c r="LGW2" s="419" t="s">
        <v>23</v>
      </c>
      <c r="LGX2" s="420"/>
      <c r="LGY2" s="420"/>
      <c r="LGZ2" s="420"/>
      <c r="LHA2" s="419" t="s">
        <v>23</v>
      </c>
      <c r="LHB2" s="420"/>
      <c r="LHC2" s="420"/>
      <c r="LHD2" s="420"/>
      <c r="LHE2" s="419" t="s">
        <v>23</v>
      </c>
      <c r="LHF2" s="420"/>
      <c r="LHG2" s="420"/>
      <c r="LHH2" s="420"/>
      <c r="LHI2" s="419" t="s">
        <v>23</v>
      </c>
      <c r="LHJ2" s="420"/>
      <c r="LHK2" s="420"/>
      <c r="LHL2" s="420"/>
      <c r="LHM2" s="419" t="s">
        <v>23</v>
      </c>
      <c r="LHN2" s="420"/>
      <c r="LHO2" s="420"/>
      <c r="LHP2" s="420"/>
      <c r="LHQ2" s="419" t="s">
        <v>23</v>
      </c>
      <c r="LHR2" s="420"/>
      <c r="LHS2" s="420"/>
      <c r="LHT2" s="420"/>
      <c r="LHU2" s="419" t="s">
        <v>23</v>
      </c>
      <c r="LHV2" s="420"/>
      <c r="LHW2" s="420"/>
      <c r="LHX2" s="420"/>
      <c r="LHY2" s="419" t="s">
        <v>23</v>
      </c>
      <c r="LHZ2" s="420"/>
      <c r="LIA2" s="420"/>
      <c r="LIB2" s="420"/>
      <c r="LIC2" s="419" t="s">
        <v>23</v>
      </c>
      <c r="LID2" s="420"/>
      <c r="LIE2" s="420"/>
      <c r="LIF2" s="420"/>
      <c r="LIG2" s="419" t="s">
        <v>23</v>
      </c>
      <c r="LIH2" s="420"/>
      <c r="LII2" s="420"/>
      <c r="LIJ2" s="420"/>
      <c r="LIK2" s="419" t="s">
        <v>23</v>
      </c>
      <c r="LIL2" s="420"/>
      <c r="LIM2" s="420"/>
      <c r="LIN2" s="420"/>
      <c r="LIO2" s="419" t="s">
        <v>23</v>
      </c>
      <c r="LIP2" s="420"/>
      <c r="LIQ2" s="420"/>
      <c r="LIR2" s="420"/>
      <c r="LIS2" s="419" t="s">
        <v>23</v>
      </c>
      <c r="LIT2" s="420"/>
      <c r="LIU2" s="420"/>
      <c r="LIV2" s="420"/>
      <c r="LIW2" s="419" t="s">
        <v>23</v>
      </c>
      <c r="LIX2" s="420"/>
      <c r="LIY2" s="420"/>
      <c r="LIZ2" s="420"/>
      <c r="LJA2" s="419" t="s">
        <v>23</v>
      </c>
      <c r="LJB2" s="420"/>
      <c r="LJC2" s="420"/>
      <c r="LJD2" s="420"/>
      <c r="LJE2" s="419" t="s">
        <v>23</v>
      </c>
      <c r="LJF2" s="420"/>
      <c r="LJG2" s="420"/>
      <c r="LJH2" s="420"/>
      <c r="LJI2" s="419" t="s">
        <v>23</v>
      </c>
      <c r="LJJ2" s="420"/>
      <c r="LJK2" s="420"/>
      <c r="LJL2" s="420"/>
      <c r="LJM2" s="419" t="s">
        <v>23</v>
      </c>
      <c r="LJN2" s="420"/>
      <c r="LJO2" s="420"/>
      <c r="LJP2" s="420"/>
      <c r="LJQ2" s="419" t="s">
        <v>23</v>
      </c>
      <c r="LJR2" s="420"/>
      <c r="LJS2" s="420"/>
      <c r="LJT2" s="420"/>
      <c r="LJU2" s="419" t="s">
        <v>23</v>
      </c>
      <c r="LJV2" s="420"/>
      <c r="LJW2" s="420"/>
      <c r="LJX2" s="420"/>
      <c r="LJY2" s="419" t="s">
        <v>23</v>
      </c>
      <c r="LJZ2" s="420"/>
      <c r="LKA2" s="420"/>
      <c r="LKB2" s="420"/>
      <c r="LKC2" s="419" t="s">
        <v>23</v>
      </c>
      <c r="LKD2" s="420"/>
      <c r="LKE2" s="420"/>
      <c r="LKF2" s="420"/>
      <c r="LKG2" s="419" t="s">
        <v>23</v>
      </c>
      <c r="LKH2" s="420"/>
      <c r="LKI2" s="420"/>
      <c r="LKJ2" s="420"/>
      <c r="LKK2" s="419" t="s">
        <v>23</v>
      </c>
      <c r="LKL2" s="420"/>
      <c r="LKM2" s="420"/>
      <c r="LKN2" s="420"/>
      <c r="LKO2" s="419" t="s">
        <v>23</v>
      </c>
      <c r="LKP2" s="420"/>
      <c r="LKQ2" s="420"/>
      <c r="LKR2" s="420"/>
      <c r="LKS2" s="419" t="s">
        <v>23</v>
      </c>
      <c r="LKT2" s="420"/>
      <c r="LKU2" s="420"/>
      <c r="LKV2" s="420"/>
      <c r="LKW2" s="419" t="s">
        <v>23</v>
      </c>
      <c r="LKX2" s="420"/>
      <c r="LKY2" s="420"/>
      <c r="LKZ2" s="420"/>
      <c r="LLA2" s="419" t="s">
        <v>23</v>
      </c>
      <c r="LLB2" s="420"/>
      <c r="LLC2" s="420"/>
      <c r="LLD2" s="420"/>
      <c r="LLE2" s="419" t="s">
        <v>23</v>
      </c>
      <c r="LLF2" s="420"/>
      <c r="LLG2" s="420"/>
      <c r="LLH2" s="420"/>
      <c r="LLI2" s="419" t="s">
        <v>23</v>
      </c>
      <c r="LLJ2" s="420"/>
      <c r="LLK2" s="420"/>
      <c r="LLL2" s="420"/>
      <c r="LLM2" s="419" t="s">
        <v>23</v>
      </c>
      <c r="LLN2" s="420"/>
      <c r="LLO2" s="420"/>
      <c r="LLP2" s="420"/>
      <c r="LLQ2" s="419" t="s">
        <v>23</v>
      </c>
      <c r="LLR2" s="420"/>
      <c r="LLS2" s="420"/>
      <c r="LLT2" s="420"/>
      <c r="LLU2" s="419" t="s">
        <v>23</v>
      </c>
      <c r="LLV2" s="420"/>
      <c r="LLW2" s="420"/>
      <c r="LLX2" s="420"/>
      <c r="LLY2" s="419" t="s">
        <v>23</v>
      </c>
      <c r="LLZ2" s="420"/>
      <c r="LMA2" s="420"/>
      <c r="LMB2" s="420"/>
      <c r="LMC2" s="419" t="s">
        <v>23</v>
      </c>
      <c r="LMD2" s="420"/>
      <c r="LME2" s="420"/>
      <c r="LMF2" s="420"/>
      <c r="LMG2" s="419" t="s">
        <v>23</v>
      </c>
      <c r="LMH2" s="420"/>
      <c r="LMI2" s="420"/>
      <c r="LMJ2" s="420"/>
      <c r="LMK2" s="419" t="s">
        <v>23</v>
      </c>
      <c r="LML2" s="420"/>
      <c r="LMM2" s="420"/>
      <c r="LMN2" s="420"/>
      <c r="LMO2" s="419" t="s">
        <v>23</v>
      </c>
      <c r="LMP2" s="420"/>
      <c r="LMQ2" s="420"/>
      <c r="LMR2" s="420"/>
      <c r="LMS2" s="419" t="s">
        <v>23</v>
      </c>
      <c r="LMT2" s="420"/>
      <c r="LMU2" s="420"/>
      <c r="LMV2" s="420"/>
      <c r="LMW2" s="419" t="s">
        <v>23</v>
      </c>
      <c r="LMX2" s="420"/>
      <c r="LMY2" s="420"/>
      <c r="LMZ2" s="420"/>
      <c r="LNA2" s="419" t="s">
        <v>23</v>
      </c>
      <c r="LNB2" s="420"/>
      <c r="LNC2" s="420"/>
      <c r="LND2" s="420"/>
      <c r="LNE2" s="419" t="s">
        <v>23</v>
      </c>
      <c r="LNF2" s="420"/>
      <c r="LNG2" s="420"/>
      <c r="LNH2" s="420"/>
      <c r="LNI2" s="419" t="s">
        <v>23</v>
      </c>
      <c r="LNJ2" s="420"/>
      <c r="LNK2" s="420"/>
      <c r="LNL2" s="420"/>
      <c r="LNM2" s="419" t="s">
        <v>23</v>
      </c>
      <c r="LNN2" s="420"/>
      <c r="LNO2" s="420"/>
      <c r="LNP2" s="420"/>
      <c r="LNQ2" s="419" t="s">
        <v>23</v>
      </c>
      <c r="LNR2" s="420"/>
      <c r="LNS2" s="420"/>
      <c r="LNT2" s="420"/>
      <c r="LNU2" s="419" t="s">
        <v>23</v>
      </c>
      <c r="LNV2" s="420"/>
      <c r="LNW2" s="420"/>
      <c r="LNX2" s="420"/>
      <c r="LNY2" s="419" t="s">
        <v>23</v>
      </c>
      <c r="LNZ2" s="420"/>
      <c r="LOA2" s="420"/>
      <c r="LOB2" s="420"/>
      <c r="LOC2" s="419" t="s">
        <v>23</v>
      </c>
      <c r="LOD2" s="420"/>
      <c r="LOE2" s="420"/>
      <c r="LOF2" s="420"/>
      <c r="LOG2" s="419" t="s">
        <v>23</v>
      </c>
      <c r="LOH2" s="420"/>
      <c r="LOI2" s="420"/>
      <c r="LOJ2" s="420"/>
      <c r="LOK2" s="419" t="s">
        <v>23</v>
      </c>
      <c r="LOL2" s="420"/>
      <c r="LOM2" s="420"/>
      <c r="LON2" s="420"/>
      <c r="LOO2" s="419" t="s">
        <v>23</v>
      </c>
      <c r="LOP2" s="420"/>
      <c r="LOQ2" s="420"/>
      <c r="LOR2" s="420"/>
      <c r="LOS2" s="419" t="s">
        <v>23</v>
      </c>
      <c r="LOT2" s="420"/>
      <c r="LOU2" s="420"/>
      <c r="LOV2" s="420"/>
      <c r="LOW2" s="419" t="s">
        <v>23</v>
      </c>
      <c r="LOX2" s="420"/>
      <c r="LOY2" s="420"/>
      <c r="LOZ2" s="420"/>
      <c r="LPA2" s="419" t="s">
        <v>23</v>
      </c>
      <c r="LPB2" s="420"/>
      <c r="LPC2" s="420"/>
      <c r="LPD2" s="420"/>
      <c r="LPE2" s="419" t="s">
        <v>23</v>
      </c>
      <c r="LPF2" s="420"/>
      <c r="LPG2" s="420"/>
      <c r="LPH2" s="420"/>
      <c r="LPI2" s="419" t="s">
        <v>23</v>
      </c>
      <c r="LPJ2" s="420"/>
      <c r="LPK2" s="420"/>
      <c r="LPL2" s="420"/>
      <c r="LPM2" s="419" t="s">
        <v>23</v>
      </c>
      <c r="LPN2" s="420"/>
      <c r="LPO2" s="420"/>
      <c r="LPP2" s="420"/>
      <c r="LPQ2" s="419" t="s">
        <v>23</v>
      </c>
      <c r="LPR2" s="420"/>
      <c r="LPS2" s="420"/>
      <c r="LPT2" s="420"/>
      <c r="LPU2" s="419" t="s">
        <v>23</v>
      </c>
      <c r="LPV2" s="420"/>
      <c r="LPW2" s="420"/>
      <c r="LPX2" s="420"/>
      <c r="LPY2" s="419" t="s">
        <v>23</v>
      </c>
      <c r="LPZ2" s="420"/>
      <c r="LQA2" s="420"/>
      <c r="LQB2" s="420"/>
      <c r="LQC2" s="419" t="s">
        <v>23</v>
      </c>
      <c r="LQD2" s="420"/>
      <c r="LQE2" s="420"/>
      <c r="LQF2" s="420"/>
      <c r="LQG2" s="419" t="s">
        <v>23</v>
      </c>
      <c r="LQH2" s="420"/>
      <c r="LQI2" s="420"/>
      <c r="LQJ2" s="420"/>
      <c r="LQK2" s="419" t="s">
        <v>23</v>
      </c>
      <c r="LQL2" s="420"/>
      <c r="LQM2" s="420"/>
      <c r="LQN2" s="420"/>
      <c r="LQO2" s="419" t="s">
        <v>23</v>
      </c>
      <c r="LQP2" s="420"/>
      <c r="LQQ2" s="420"/>
      <c r="LQR2" s="420"/>
      <c r="LQS2" s="419" t="s">
        <v>23</v>
      </c>
      <c r="LQT2" s="420"/>
      <c r="LQU2" s="420"/>
      <c r="LQV2" s="420"/>
      <c r="LQW2" s="419" t="s">
        <v>23</v>
      </c>
      <c r="LQX2" s="420"/>
      <c r="LQY2" s="420"/>
      <c r="LQZ2" s="420"/>
      <c r="LRA2" s="419" t="s">
        <v>23</v>
      </c>
      <c r="LRB2" s="420"/>
      <c r="LRC2" s="420"/>
      <c r="LRD2" s="420"/>
      <c r="LRE2" s="419" t="s">
        <v>23</v>
      </c>
      <c r="LRF2" s="420"/>
      <c r="LRG2" s="420"/>
      <c r="LRH2" s="420"/>
      <c r="LRI2" s="419" t="s">
        <v>23</v>
      </c>
      <c r="LRJ2" s="420"/>
      <c r="LRK2" s="420"/>
      <c r="LRL2" s="420"/>
      <c r="LRM2" s="419" t="s">
        <v>23</v>
      </c>
      <c r="LRN2" s="420"/>
      <c r="LRO2" s="420"/>
      <c r="LRP2" s="420"/>
      <c r="LRQ2" s="419" t="s">
        <v>23</v>
      </c>
      <c r="LRR2" s="420"/>
      <c r="LRS2" s="420"/>
      <c r="LRT2" s="420"/>
      <c r="LRU2" s="419" t="s">
        <v>23</v>
      </c>
      <c r="LRV2" s="420"/>
      <c r="LRW2" s="420"/>
      <c r="LRX2" s="420"/>
      <c r="LRY2" s="419" t="s">
        <v>23</v>
      </c>
      <c r="LRZ2" s="420"/>
      <c r="LSA2" s="420"/>
      <c r="LSB2" s="420"/>
      <c r="LSC2" s="419" t="s">
        <v>23</v>
      </c>
      <c r="LSD2" s="420"/>
      <c r="LSE2" s="420"/>
      <c r="LSF2" s="420"/>
      <c r="LSG2" s="419" t="s">
        <v>23</v>
      </c>
      <c r="LSH2" s="420"/>
      <c r="LSI2" s="420"/>
      <c r="LSJ2" s="420"/>
      <c r="LSK2" s="419" t="s">
        <v>23</v>
      </c>
      <c r="LSL2" s="420"/>
      <c r="LSM2" s="420"/>
      <c r="LSN2" s="420"/>
      <c r="LSO2" s="419" t="s">
        <v>23</v>
      </c>
      <c r="LSP2" s="420"/>
      <c r="LSQ2" s="420"/>
      <c r="LSR2" s="420"/>
      <c r="LSS2" s="419" t="s">
        <v>23</v>
      </c>
      <c r="LST2" s="420"/>
      <c r="LSU2" s="420"/>
      <c r="LSV2" s="420"/>
      <c r="LSW2" s="419" t="s">
        <v>23</v>
      </c>
      <c r="LSX2" s="420"/>
      <c r="LSY2" s="420"/>
      <c r="LSZ2" s="420"/>
      <c r="LTA2" s="419" t="s">
        <v>23</v>
      </c>
      <c r="LTB2" s="420"/>
      <c r="LTC2" s="420"/>
      <c r="LTD2" s="420"/>
      <c r="LTE2" s="419" t="s">
        <v>23</v>
      </c>
      <c r="LTF2" s="420"/>
      <c r="LTG2" s="420"/>
      <c r="LTH2" s="420"/>
      <c r="LTI2" s="419" t="s">
        <v>23</v>
      </c>
      <c r="LTJ2" s="420"/>
      <c r="LTK2" s="420"/>
      <c r="LTL2" s="420"/>
      <c r="LTM2" s="419" t="s">
        <v>23</v>
      </c>
      <c r="LTN2" s="420"/>
      <c r="LTO2" s="420"/>
      <c r="LTP2" s="420"/>
      <c r="LTQ2" s="419" t="s">
        <v>23</v>
      </c>
      <c r="LTR2" s="420"/>
      <c r="LTS2" s="420"/>
      <c r="LTT2" s="420"/>
      <c r="LTU2" s="419" t="s">
        <v>23</v>
      </c>
      <c r="LTV2" s="420"/>
      <c r="LTW2" s="420"/>
      <c r="LTX2" s="420"/>
      <c r="LTY2" s="419" t="s">
        <v>23</v>
      </c>
      <c r="LTZ2" s="420"/>
      <c r="LUA2" s="420"/>
      <c r="LUB2" s="420"/>
      <c r="LUC2" s="419" t="s">
        <v>23</v>
      </c>
      <c r="LUD2" s="420"/>
      <c r="LUE2" s="420"/>
      <c r="LUF2" s="420"/>
      <c r="LUG2" s="419" t="s">
        <v>23</v>
      </c>
      <c r="LUH2" s="420"/>
      <c r="LUI2" s="420"/>
      <c r="LUJ2" s="420"/>
      <c r="LUK2" s="419" t="s">
        <v>23</v>
      </c>
      <c r="LUL2" s="420"/>
      <c r="LUM2" s="420"/>
      <c r="LUN2" s="420"/>
      <c r="LUO2" s="419" t="s">
        <v>23</v>
      </c>
      <c r="LUP2" s="420"/>
      <c r="LUQ2" s="420"/>
      <c r="LUR2" s="420"/>
      <c r="LUS2" s="419" t="s">
        <v>23</v>
      </c>
      <c r="LUT2" s="420"/>
      <c r="LUU2" s="420"/>
      <c r="LUV2" s="420"/>
      <c r="LUW2" s="419" t="s">
        <v>23</v>
      </c>
      <c r="LUX2" s="420"/>
      <c r="LUY2" s="420"/>
      <c r="LUZ2" s="420"/>
      <c r="LVA2" s="419" t="s">
        <v>23</v>
      </c>
      <c r="LVB2" s="420"/>
      <c r="LVC2" s="420"/>
      <c r="LVD2" s="420"/>
      <c r="LVE2" s="419" t="s">
        <v>23</v>
      </c>
      <c r="LVF2" s="420"/>
      <c r="LVG2" s="420"/>
      <c r="LVH2" s="420"/>
      <c r="LVI2" s="419" t="s">
        <v>23</v>
      </c>
      <c r="LVJ2" s="420"/>
      <c r="LVK2" s="420"/>
      <c r="LVL2" s="420"/>
      <c r="LVM2" s="419" t="s">
        <v>23</v>
      </c>
      <c r="LVN2" s="420"/>
      <c r="LVO2" s="420"/>
      <c r="LVP2" s="420"/>
      <c r="LVQ2" s="419" t="s">
        <v>23</v>
      </c>
      <c r="LVR2" s="420"/>
      <c r="LVS2" s="420"/>
      <c r="LVT2" s="420"/>
      <c r="LVU2" s="419" t="s">
        <v>23</v>
      </c>
      <c r="LVV2" s="420"/>
      <c r="LVW2" s="420"/>
      <c r="LVX2" s="420"/>
      <c r="LVY2" s="419" t="s">
        <v>23</v>
      </c>
      <c r="LVZ2" s="420"/>
      <c r="LWA2" s="420"/>
      <c r="LWB2" s="420"/>
      <c r="LWC2" s="419" t="s">
        <v>23</v>
      </c>
      <c r="LWD2" s="420"/>
      <c r="LWE2" s="420"/>
      <c r="LWF2" s="420"/>
      <c r="LWG2" s="419" t="s">
        <v>23</v>
      </c>
      <c r="LWH2" s="420"/>
      <c r="LWI2" s="420"/>
      <c r="LWJ2" s="420"/>
      <c r="LWK2" s="419" t="s">
        <v>23</v>
      </c>
      <c r="LWL2" s="420"/>
      <c r="LWM2" s="420"/>
      <c r="LWN2" s="420"/>
      <c r="LWO2" s="419" t="s">
        <v>23</v>
      </c>
      <c r="LWP2" s="420"/>
      <c r="LWQ2" s="420"/>
      <c r="LWR2" s="420"/>
      <c r="LWS2" s="419" t="s">
        <v>23</v>
      </c>
      <c r="LWT2" s="420"/>
      <c r="LWU2" s="420"/>
      <c r="LWV2" s="420"/>
      <c r="LWW2" s="419" t="s">
        <v>23</v>
      </c>
      <c r="LWX2" s="420"/>
      <c r="LWY2" s="420"/>
      <c r="LWZ2" s="420"/>
      <c r="LXA2" s="419" t="s">
        <v>23</v>
      </c>
      <c r="LXB2" s="420"/>
      <c r="LXC2" s="420"/>
      <c r="LXD2" s="420"/>
      <c r="LXE2" s="419" t="s">
        <v>23</v>
      </c>
      <c r="LXF2" s="420"/>
      <c r="LXG2" s="420"/>
      <c r="LXH2" s="420"/>
      <c r="LXI2" s="419" t="s">
        <v>23</v>
      </c>
      <c r="LXJ2" s="420"/>
      <c r="LXK2" s="420"/>
      <c r="LXL2" s="420"/>
      <c r="LXM2" s="419" t="s">
        <v>23</v>
      </c>
      <c r="LXN2" s="420"/>
      <c r="LXO2" s="420"/>
      <c r="LXP2" s="420"/>
      <c r="LXQ2" s="419" t="s">
        <v>23</v>
      </c>
      <c r="LXR2" s="420"/>
      <c r="LXS2" s="420"/>
      <c r="LXT2" s="420"/>
      <c r="LXU2" s="419" t="s">
        <v>23</v>
      </c>
      <c r="LXV2" s="420"/>
      <c r="LXW2" s="420"/>
      <c r="LXX2" s="420"/>
      <c r="LXY2" s="419" t="s">
        <v>23</v>
      </c>
      <c r="LXZ2" s="420"/>
      <c r="LYA2" s="420"/>
      <c r="LYB2" s="420"/>
      <c r="LYC2" s="419" t="s">
        <v>23</v>
      </c>
      <c r="LYD2" s="420"/>
      <c r="LYE2" s="420"/>
      <c r="LYF2" s="420"/>
      <c r="LYG2" s="419" t="s">
        <v>23</v>
      </c>
      <c r="LYH2" s="420"/>
      <c r="LYI2" s="420"/>
      <c r="LYJ2" s="420"/>
      <c r="LYK2" s="419" t="s">
        <v>23</v>
      </c>
      <c r="LYL2" s="420"/>
      <c r="LYM2" s="420"/>
      <c r="LYN2" s="420"/>
      <c r="LYO2" s="419" t="s">
        <v>23</v>
      </c>
      <c r="LYP2" s="420"/>
      <c r="LYQ2" s="420"/>
      <c r="LYR2" s="420"/>
      <c r="LYS2" s="419" t="s">
        <v>23</v>
      </c>
      <c r="LYT2" s="420"/>
      <c r="LYU2" s="420"/>
      <c r="LYV2" s="420"/>
      <c r="LYW2" s="419" t="s">
        <v>23</v>
      </c>
      <c r="LYX2" s="420"/>
      <c r="LYY2" s="420"/>
      <c r="LYZ2" s="420"/>
      <c r="LZA2" s="419" t="s">
        <v>23</v>
      </c>
      <c r="LZB2" s="420"/>
      <c r="LZC2" s="420"/>
      <c r="LZD2" s="420"/>
      <c r="LZE2" s="419" t="s">
        <v>23</v>
      </c>
      <c r="LZF2" s="420"/>
      <c r="LZG2" s="420"/>
      <c r="LZH2" s="420"/>
      <c r="LZI2" s="419" t="s">
        <v>23</v>
      </c>
      <c r="LZJ2" s="420"/>
      <c r="LZK2" s="420"/>
      <c r="LZL2" s="420"/>
      <c r="LZM2" s="419" t="s">
        <v>23</v>
      </c>
      <c r="LZN2" s="420"/>
      <c r="LZO2" s="420"/>
      <c r="LZP2" s="420"/>
      <c r="LZQ2" s="419" t="s">
        <v>23</v>
      </c>
      <c r="LZR2" s="420"/>
      <c r="LZS2" s="420"/>
      <c r="LZT2" s="420"/>
      <c r="LZU2" s="419" t="s">
        <v>23</v>
      </c>
      <c r="LZV2" s="420"/>
      <c r="LZW2" s="420"/>
      <c r="LZX2" s="420"/>
      <c r="LZY2" s="419" t="s">
        <v>23</v>
      </c>
      <c r="LZZ2" s="420"/>
      <c r="MAA2" s="420"/>
      <c r="MAB2" s="420"/>
      <c r="MAC2" s="419" t="s">
        <v>23</v>
      </c>
      <c r="MAD2" s="420"/>
      <c r="MAE2" s="420"/>
      <c r="MAF2" s="420"/>
      <c r="MAG2" s="419" t="s">
        <v>23</v>
      </c>
      <c r="MAH2" s="420"/>
      <c r="MAI2" s="420"/>
      <c r="MAJ2" s="420"/>
      <c r="MAK2" s="419" t="s">
        <v>23</v>
      </c>
      <c r="MAL2" s="420"/>
      <c r="MAM2" s="420"/>
      <c r="MAN2" s="420"/>
      <c r="MAO2" s="419" t="s">
        <v>23</v>
      </c>
      <c r="MAP2" s="420"/>
      <c r="MAQ2" s="420"/>
      <c r="MAR2" s="420"/>
      <c r="MAS2" s="419" t="s">
        <v>23</v>
      </c>
      <c r="MAT2" s="420"/>
      <c r="MAU2" s="420"/>
      <c r="MAV2" s="420"/>
      <c r="MAW2" s="419" t="s">
        <v>23</v>
      </c>
      <c r="MAX2" s="420"/>
      <c r="MAY2" s="420"/>
      <c r="MAZ2" s="420"/>
      <c r="MBA2" s="419" t="s">
        <v>23</v>
      </c>
      <c r="MBB2" s="420"/>
      <c r="MBC2" s="420"/>
      <c r="MBD2" s="420"/>
      <c r="MBE2" s="419" t="s">
        <v>23</v>
      </c>
      <c r="MBF2" s="420"/>
      <c r="MBG2" s="420"/>
      <c r="MBH2" s="420"/>
      <c r="MBI2" s="419" t="s">
        <v>23</v>
      </c>
      <c r="MBJ2" s="420"/>
      <c r="MBK2" s="420"/>
      <c r="MBL2" s="420"/>
      <c r="MBM2" s="419" t="s">
        <v>23</v>
      </c>
      <c r="MBN2" s="420"/>
      <c r="MBO2" s="420"/>
      <c r="MBP2" s="420"/>
      <c r="MBQ2" s="419" t="s">
        <v>23</v>
      </c>
      <c r="MBR2" s="420"/>
      <c r="MBS2" s="420"/>
      <c r="MBT2" s="420"/>
      <c r="MBU2" s="419" t="s">
        <v>23</v>
      </c>
      <c r="MBV2" s="420"/>
      <c r="MBW2" s="420"/>
      <c r="MBX2" s="420"/>
      <c r="MBY2" s="419" t="s">
        <v>23</v>
      </c>
      <c r="MBZ2" s="420"/>
      <c r="MCA2" s="420"/>
      <c r="MCB2" s="420"/>
      <c r="MCC2" s="419" t="s">
        <v>23</v>
      </c>
      <c r="MCD2" s="420"/>
      <c r="MCE2" s="420"/>
      <c r="MCF2" s="420"/>
      <c r="MCG2" s="419" t="s">
        <v>23</v>
      </c>
      <c r="MCH2" s="420"/>
      <c r="MCI2" s="420"/>
      <c r="MCJ2" s="420"/>
      <c r="MCK2" s="419" t="s">
        <v>23</v>
      </c>
      <c r="MCL2" s="420"/>
      <c r="MCM2" s="420"/>
      <c r="MCN2" s="420"/>
      <c r="MCO2" s="419" t="s">
        <v>23</v>
      </c>
      <c r="MCP2" s="420"/>
      <c r="MCQ2" s="420"/>
      <c r="MCR2" s="420"/>
      <c r="MCS2" s="419" t="s">
        <v>23</v>
      </c>
      <c r="MCT2" s="420"/>
      <c r="MCU2" s="420"/>
      <c r="MCV2" s="420"/>
      <c r="MCW2" s="419" t="s">
        <v>23</v>
      </c>
      <c r="MCX2" s="420"/>
      <c r="MCY2" s="420"/>
      <c r="MCZ2" s="420"/>
      <c r="MDA2" s="419" t="s">
        <v>23</v>
      </c>
      <c r="MDB2" s="420"/>
      <c r="MDC2" s="420"/>
      <c r="MDD2" s="420"/>
      <c r="MDE2" s="419" t="s">
        <v>23</v>
      </c>
      <c r="MDF2" s="420"/>
      <c r="MDG2" s="420"/>
      <c r="MDH2" s="420"/>
      <c r="MDI2" s="419" t="s">
        <v>23</v>
      </c>
      <c r="MDJ2" s="420"/>
      <c r="MDK2" s="420"/>
      <c r="MDL2" s="420"/>
      <c r="MDM2" s="419" t="s">
        <v>23</v>
      </c>
      <c r="MDN2" s="420"/>
      <c r="MDO2" s="420"/>
      <c r="MDP2" s="420"/>
      <c r="MDQ2" s="419" t="s">
        <v>23</v>
      </c>
      <c r="MDR2" s="420"/>
      <c r="MDS2" s="420"/>
      <c r="MDT2" s="420"/>
      <c r="MDU2" s="419" t="s">
        <v>23</v>
      </c>
      <c r="MDV2" s="420"/>
      <c r="MDW2" s="420"/>
      <c r="MDX2" s="420"/>
      <c r="MDY2" s="419" t="s">
        <v>23</v>
      </c>
      <c r="MDZ2" s="420"/>
      <c r="MEA2" s="420"/>
      <c r="MEB2" s="420"/>
      <c r="MEC2" s="419" t="s">
        <v>23</v>
      </c>
      <c r="MED2" s="420"/>
      <c r="MEE2" s="420"/>
      <c r="MEF2" s="420"/>
      <c r="MEG2" s="419" t="s">
        <v>23</v>
      </c>
      <c r="MEH2" s="420"/>
      <c r="MEI2" s="420"/>
      <c r="MEJ2" s="420"/>
      <c r="MEK2" s="419" t="s">
        <v>23</v>
      </c>
      <c r="MEL2" s="420"/>
      <c r="MEM2" s="420"/>
      <c r="MEN2" s="420"/>
      <c r="MEO2" s="419" t="s">
        <v>23</v>
      </c>
      <c r="MEP2" s="420"/>
      <c r="MEQ2" s="420"/>
      <c r="MER2" s="420"/>
      <c r="MES2" s="419" t="s">
        <v>23</v>
      </c>
      <c r="MET2" s="420"/>
      <c r="MEU2" s="420"/>
      <c r="MEV2" s="420"/>
      <c r="MEW2" s="419" t="s">
        <v>23</v>
      </c>
      <c r="MEX2" s="420"/>
      <c r="MEY2" s="420"/>
      <c r="MEZ2" s="420"/>
      <c r="MFA2" s="419" t="s">
        <v>23</v>
      </c>
      <c r="MFB2" s="420"/>
      <c r="MFC2" s="420"/>
      <c r="MFD2" s="420"/>
      <c r="MFE2" s="419" t="s">
        <v>23</v>
      </c>
      <c r="MFF2" s="420"/>
      <c r="MFG2" s="420"/>
      <c r="MFH2" s="420"/>
      <c r="MFI2" s="419" t="s">
        <v>23</v>
      </c>
      <c r="MFJ2" s="420"/>
      <c r="MFK2" s="420"/>
      <c r="MFL2" s="420"/>
      <c r="MFM2" s="419" t="s">
        <v>23</v>
      </c>
      <c r="MFN2" s="420"/>
      <c r="MFO2" s="420"/>
      <c r="MFP2" s="420"/>
      <c r="MFQ2" s="419" t="s">
        <v>23</v>
      </c>
      <c r="MFR2" s="420"/>
      <c r="MFS2" s="420"/>
      <c r="MFT2" s="420"/>
      <c r="MFU2" s="419" t="s">
        <v>23</v>
      </c>
      <c r="MFV2" s="420"/>
      <c r="MFW2" s="420"/>
      <c r="MFX2" s="420"/>
      <c r="MFY2" s="419" t="s">
        <v>23</v>
      </c>
      <c r="MFZ2" s="420"/>
      <c r="MGA2" s="420"/>
      <c r="MGB2" s="420"/>
      <c r="MGC2" s="419" t="s">
        <v>23</v>
      </c>
      <c r="MGD2" s="420"/>
      <c r="MGE2" s="420"/>
      <c r="MGF2" s="420"/>
      <c r="MGG2" s="419" t="s">
        <v>23</v>
      </c>
      <c r="MGH2" s="420"/>
      <c r="MGI2" s="420"/>
      <c r="MGJ2" s="420"/>
      <c r="MGK2" s="419" t="s">
        <v>23</v>
      </c>
      <c r="MGL2" s="420"/>
      <c r="MGM2" s="420"/>
      <c r="MGN2" s="420"/>
      <c r="MGO2" s="419" t="s">
        <v>23</v>
      </c>
      <c r="MGP2" s="420"/>
      <c r="MGQ2" s="420"/>
      <c r="MGR2" s="420"/>
      <c r="MGS2" s="419" t="s">
        <v>23</v>
      </c>
      <c r="MGT2" s="420"/>
      <c r="MGU2" s="420"/>
      <c r="MGV2" s="420"/>
      <c r="MGW2" s="419" t="s">
        <v>23</v>
      </c>
      <c r="MGX2" s="420"/>
      <c r="MGY2" s="420"/>
      <c r="MGZ2" s="420"/>
      <c r="MHA2" s="419" t="s">
        <v>23</v>
      </c>
      <c r="MHB2" s="420"/>
      <c r="MHC2" s="420"/>
      <c r="MHD2" s="420"/>
      <c r="MHE2" s="419" t="s">
        <v>23</v>
      </c>
      <c r="MHF2" s="420"/>
      <c r="MHG2" s="420"/>
      <c r="MHH2" s="420"/>
      <c r="MHI2" s="419" t="s">
        <v>23</v>
      </c>
      <c r="MHJ2" s="420"/>
      <c r="MHK2" s="420"/>
      <c r="MHL2" s="420"/>
      <c r="MHM2" s="419" t="s">
        <v>23</v>
      </c>
      <c r="MHN2" s="420"/>
      <c r="MHO2" s="420"/>
      <c r="MHP2" s="420"/>
      <c r="MHQ2" s="419" t="s">
        <v>23</v>
      </c>
      <c r="MHR2" s="420"/>
      <c r="MHS2" s="420"/>
      <c r="MHT2" s="420"/>
      <c r="MHU2" s="419" t="s">
        <v>23</v>
      </c>
      <c r="MHV2" s="420"/>
      <c r="MHW2" s="420"/>
      <c r="MHX2" s="420"/>
      <c r="MHY2" s="419" t="s">
        <v>23</v>
      </c>
      <c r="MHZ2" s="420"/>
      <c r="MIA2" s="420"/>
      <c r="MIB2" s="420"/>
      <c r="MIC2" s="419" t="s">
        <v>23</v>
      </c>
      <c r="MID2" s="420"/>
      <c r="MIE2" s="420"/>
      <c r="MIF2" s="420"/>
      <c r="MIG2" s="419" t="s">
        <v>23</v>
      </c>
      <c r="MIH2" s="420"/>
      <c r="MII2" s="420"/>
      <c r="MIJ2" s="420"/>
      <c r="MIK2" s="419" t="s">
        <v>23</v>
      </c>
      <c r="MIL2" s="420"/>
      <c r="MIM2" s="420"/>
      <c r="MIN2" s="420"/>
      <c r="MIO2" s="419" t="s">
        <v>23</v>
      </c>
      <c r="MIP2" s="420"/>
      <c r="MIQ2" s="420"/>
      <c r="MIR2" s="420"/>
      <c r="MIS2" s="419" t="s">
        <v>23</v>
      </c>
      <c r="MIT2" s="420"/>
      <c r="MIU2" s="420"/>
      <c r="MIV2" s="420"/>
      <c r="MIW2" s="419" t="s">
        <v>23</v>
      </c>
      <c r="MIX2" s="420"/>
      <c r="MIY2" s="420"/>
      <c r="MIZ2" s="420"/>
      <c r="MJA2" s="419" t="s">
        <v>23</v>
      </c>
      <c r="MJB2" s="420"/>
      <c r="MJC2" s="420"/>
      <c r="MJD2" s="420"/>
      <c r="MJE2" s="419" t="s">
        <v>23</v>
      </c>
      <c r="MJF2" s="420"/>
      <c r="MJG2" s="420"/>
      <c r="MJH2" s="420"/>
      <c r="MJI2" s="419" t="s">
        <v>23</v>
      </c>
      <c r="MJJ2" s="420"/>
      <c r="MJK2" s="420"/>
      <c r="MJL2" s="420"/>
      <c r="MJM2" s="419" t="s">
        <v>23</v>
      </c>
      <c r="MJN2" s="420"/>
      <c r="MJO2" s="420"/>
      <c r="MJP2" s="420"/>
      <c r="MJQ2" s="419" t="s">
        <v>23</v>
      </c>
      <c r="MJR2" s="420"/>
      <c r="MJS2" s="420"/>
      <c r="MJT2" s="420"/>
      <c r="MJU2" s="419" t="s">
        <v>23</v>
      </c>
      <c r="MJV2" s="420"/>
      <c r="MJW2" s="420"/>
      <c r="MJX2" s="420"/>
      <c r="MJY2" s="419" t="s">
        <v>23</v>
      </c>
      <c r="MJZ2" s="420"/>
      <c r="MKA2" s="420"/>
      <c r="MKB2" s="420"/>
      <c r="MKC2" s="419" t="s">
        <v>23</v>
      </c>
      <c r="MKD2" s="420"/>
      <c r="MKE2" s="420"/>
      <c r="MKF2" s="420"/>
      <c r="MKG2" s="419" t="s">
        <v>23</v>
      </c>
      <c r="MKH2" s="420"/>
      <c r="MKI2" s="420"/>
      <c r="MKJ2" s="420"/>
      <c r="MKK2" s="419" t="s">
        <v>23</v>
      </c>
      <c r="MKL2" s="420"/>
      <c r="MKM2" s="420"/>
      <c r="MKN2" s="420"/>
      <c r="MKO2" s="419" t="s">
        <v>23</v>
      </c>
      <c r="MKP2" s="420"/>
      <c r="MKQ2" s="420"/>
      <c r="MKR2" s="420"/>
      <c r="MKS2" s="419" t="s">
        <v>23</v>
      </c>
      <c r="MKT2" s="420"/>
      <c r="MKU2" s="420"/>
      <c r="MKV2" s="420"/>
      <c r="MKW2" s="419" t="s">
        <v>23</v>
      </c>
      <c r="MKX2" s="420"/>
      <c r="MKY2" s="420"/>
      <c r="MKZ2" s="420"/>
      <c r="MLA2" s="419" t="s">
        <v>23</v>
      </c>
      <c r="MLB2" s="420"/>
      <c r="MLC2" s="420"/>
      <c r="MLD2" s="420"/>
      <c r="MLE2" s="419" t="s">
        <v>23</v>
      </c>
      <c r="MLF2" s="420"/>
      <c r="MLG2" s="420"/>
      <c r="MLH2" s="420"/>
      <c r="MLI2" s="419" t="s">
        <v>23</v>
      </c>
      <c r="MLJ2" s="420"/>
      <c r="MLK2" s="420"/>
      <c r="MLL2" s="420"/>
      <c r="MLM2" s="419" t="s">
        <v>23</v>
      </c>
      <c r="MLN2" s="420"/>
      <c r="MLO2" s="420"/>
      <c r="MLP2" s="420"/>
      <c r="MLQ2" s="419" t="s">
        <v>23</v>
      </c>
      <c r="MLR2" s="420"/>
      <c r="MLS2" s="420"/>
      <c r="MLT2" s="420"/>
      <c r="MLU2" s="419" t="s">
        <v>23</v>
      </c>
      <c r="MLV2" s="420"/>
      <c r="MLW2" s="420"/>
      <c r="MLX2" s="420"/>
      <c r="MLY2" s="419" t="s">
        <v>23</v>
      </c>
      <c r="MLZ2" s="420"/>
      <c r="MMA2" s="420"/>
      <c r="MMB2" s="420"/>
      <c r="MMC2" s="419" t="s">
        <v>23</v>
      </c>
      <c r="MMD2" s="420"/>
      <c r="MME2" s="420"/>
      <c r="MMF2" s="420"/>
      <c r="MMG2" s="419" t="s">
        <v>23</v>
      </c>
      <c r="MMH2" s="420"/>
      <c r="MMI2" s="420"/>
      <c r="MMJ2" s="420"/>
      <c r="MMK2" s="419" t="s">
        <v>23</v>
      </c>
      <c r="MML2" s="420"/>
      <c r="MMM2" s="420"/>
      <c r="MMN2" s="420"/>
      <c r="MMO2" s="419" t="s">
        <v>23</v>
      </c>
      <c r="MMP2" s="420"/>
      <c r="MMQ2" s="420"/>
      <c r="MMR2" s="420"/>
      <c r="MMS2" s="419" t="s">
        <v>23</v>
      </c>
      <c r="MMT2" s="420"/>
      <c r="MMU2" s="420"/>
      <c r="MMV2" s="420"/>
      <c r="MMW2" s="419" t="s">
        <v>23</v>
      </c>
      <c r="MMX2" s="420"/>
      <c r="MMY2" s="420"/>
      <c r="MMZ2" s="420"/>
      <c r="MNA2" s="419" t="s">
        <v>23</v>
      </c>
      <c r="MNB2" s="420"/>
      <c r="MNC2" s="420"/>
      <c r="MND2" s="420"/>
      <c r="MNE2" s="419" t="s">
        <v>23</v>
      </c>
      <c r="MNF2" s="420"/>
      <c r="MNG2" s="420"/>
      <c r="MNH2" s="420"/>
      <c r="MNI2" s="419" t="s">
        <v>23</v>
      </c>
      <c r="MNJ2" s="420"/>
      <c r="MNK2" s="420"/>
      <c r="MNL2" s="420"/>
      <c r="MNM2" s="419" t="s">
        <v>23</v>
      </c>
      <c r="MNN2" s="420"/>
      <c r="MNO2" s="420"/>
      <c r="MNP2" s="420"/>
      <c r="MNQ2" s="419" t="s">
        <v>23</v>
      </c>
      <c r="MNR2" s="420"/>
      <c r="MNS2" s="420"/>
      <c r="MNT2" s="420"/>
      <c r="MNU2" s="419" t="s">
        <v>23</v>
      </c>
      <c r="MNV2" s="420"/>
      <c r="MNW2" s="420"/>
      <c r="MNX2" s="420"/>
      <c r="MNY2" s="419" t="s">
        <v>23</v>
      </c>
      <c r="MNZ2" s="420"/>
      <c r="MOA2" s="420"/>
      <c r="MOB2" s="420"/>
      <c r="MOC2" s="419" t="s">
        <v>23</v>
      </c>
      <c r="MOD2" s="420"/>
      <c r="MOE2" s="420"/>
      <c r="MOF2" s="420"/>
      <c r="MOG2" s="419" t="s">
        <v>23</v>
      </c>
      <c r="MOH2" s="420"/>
      <c r="MOI2" s="420"/>
      <c r="MOJ2" s="420"/>
      <c r="MOK2" s="419" t="s">
        <v>23</v>
      </c>
      <c r="MOL2" s="420"/>
      <c r="MOM2" s="420"/>
      <c r="MON2" s="420"/>
      <c r="MOO2" s="419" t="s">
        <v>23</v>
      </c>
      <c r="MOP2" s="420"/>
      <c r="MOQ2" s="420"/>
      <c r="MOR2" s="420"/>
      <c r="MOS2" s="419" t="s">
        <v>23</v>
      </c>
      <c r="MOT2" s="420"/>
      <c r="MOU2" s="420"/>
      <c r="MOV2" s="420"/>
      <c r="MOW2" s="419" t="s">
        <v>23</v>
      </c>
      <c r="MOX2" s="420"/>
      <c r="MOY2" s="420"/>
      <c r="MOZ2" s="420"/>
      <c r="MPA2" s="419" t="s">
        <v>23</v>
      </c>
      <c r="MPB2" s="420"/>
      <c r="MPC2" s="420"/>
      <c r="MPD2" s="420"/>
      <c r="MPE2" s="419" t="s">
        <v>23</v>
      </c>
      <c r="MPF2" s="420"/>
      <c r="MPG2" s="420"/>
      <c r="MPH2" s="420"/>
      <c r="MPI2" s="419" t="s">
        <v>23</v>
      </c>
      <c r="MPJ2" s="420"/>
      <c r="MPK2" s="420"/>
      <c r="MPL2" s="420"/>
      <c r="MPM2" s="419" t="s">
        <v>23</v>
      </c>
      <c r="MPN2" s="420"/>
      <c r="MPO2" s="420"/>
      <c r="MPP2" s="420"/>
      <c r="MPQ2" s="419" t="s">
        <v>23</v>
      </c>
      <c r="MPR2" s="420"/>
      <c r="MPS2" s="420"/>
      <c r="MPT2" s="420"/>
      <c r="MPU2" s="419" t="s">
        <v>23</v>
      </c>
      <c r="MPV2" s="420"/>
      <c r="MPW2" s="420"/>
      <c r="MPX2" s="420"/>
      <c r="MPY2" s="419" t="s">
        <v>23</v>
      </c>
      <c r="MPZ2" s="420"/>
      <c r="MQA2" s="420"/>
      <c r="MQB2" s="420"/>
      <c r="MQC2" s="419" t="s">
        <v>23</v>
      </c>
      <c r="MQD2" s="420"/>
      <c r="MQE2" s="420"/>
      <c r="MQF2" s="420"/>
      <c r="MQG2" s="419" t="s">
        <v>23</v>
      </c>
      <c r="MQH2" s="420"/>
      <c r="MQI2" s="420"/>
      <c r="MQJ2" s="420"/>
      <c r="MQK2" s="419" t="s">
        <v>23</v>
      </c>
      <c r="MQL2" s="420"/>
      <c r="MQM2" s="420"/>
      <c r="MQN2" s="420"/>
      <c r="MQO2" s="419" t="s">
        <v>23</v>
      </c>
      <c r="MQP2" s="420"/>
      <c r="MQQ2" s="420"/>
      <c r="MQR2" s="420"/>
      <c r="MQS2" s="419" t="s">
        <v>23</v>
      </c>
      <c r="MQT2" s="420"/>
      <c r="MQU2" s="420"/>
      <c r="MQV2" s="420"/>
      <c r="MQW2" s="419" t="s">
        <v>23</v>
      </c>
      <c r="MQX2" s="420"/>
      <c r="MQY2" s="420"/>
      <c r="MQZ2" s="420"/>
      <c r="MRA2" s="419" t="s">
        <v>23</v>
      </c>
      <c r="MRB2" s="420"/>
      <c r="MRC2" s="420"/>
      <c r="MRD2" s="420"/>
      <c r="MRE2" s="419" t="s">
        <v>23</v>
      </c>
      <c r="MRF2" s="420"/>
      <c r="MRG2" s="420"/>
      <c r="MRH2" s="420"/>
      <c r="MRI2" s="419" t="s">
        <v>23</v>
      </c>
      <c r="MRJ2" s="420"/>
      <c r="MRK2" s="420"/>
      <c r="MRL2" s="420"/>
      <c r="MRM2" s="419" t="s">
        <v>23</v>
      </c>
      <c r="MRN2" s="420"/>
      <c r="MRO2" s="420"/>
      <c r="MRP2" s="420"/>
      <c r="MRQ2" s="419" t="s">
        <v>23</v>
      </c>
      <c r="MRR2" s="420"/>
      <c r="MRS2" s="420"/>
      <c r="MRT2" s="420"/>
      <c r="MRU2" s="419" t="s">
        <v>23</v>
      </c>
      <c r="MRV2" s="420"/>
      <c r="MRW2" s="420"/>
      <c r="MRX2" s="420"/>
      <c r="MRY2" s="419" t="s">
        <v>23</v>
      </c>
      <c r="MRZ2" s="420"/>
      <c r="MSA2" s="420"/>
      <c r="MSB2" s="420"/>
      <c r="MSC2" s="419" t="s">
        <v>23</v>
      </c>
      <c r="MSD2" s="420"/>
      <c r="MSE2" s="420"/>
      <c r="MSF2" s="420"/>
      <c r="MSG2" s="419" t="s">
        <v>23</v>
      </c>
      <c r="MSH2" s="420"/>
      <c r="MSI2" s="420"/>
      <c r="MSJ2" s="420"/>
      <c r="MSK2" s="419" t="s">
        <v>23</v>
      </c>
      <c r="MSL2" s="420"/>
      <c r="MSM2" s="420"/>
      <c r="MSN2" s="420"/>
      <c r="MSO2" s="419" t="s">
        <v>23</v>
      </c>
      <c r="MSP2" s="420"/>
      <c r="MSQ2" s="420"/>
      <c r="MSR2" s="420"/>
      <c r="MSS2" s="419" t="s">
        <v>23</v>
      </c>
      <c r="MST2" s="420"/>
      <c r="MSU2" s="420"/>
      <c r="MSV2" s="420"/>
      <c r="MSW2" s="419" t="s">
        <v>23</v>
      </c>
      <c r="MSX2" s="420"/>
      <c r="MSY2" s="420"/>
      <c r="MSZ2" s="420"/>
      <c r="MTA2" s="419" t="s">
        <v>23</v>
      </c>
      <c r="MTB2" s="420"/>
      <c r="MTC2" s="420"/>
      <c r="MTD2" s="420"/>
      <c r="MTE2" s="419" t="s">
        <v>23</v>
      </c>
      <c r="MTF2" s="420"/>
      <c r="MTG2" s="420"/>
      <c r="MTH2" s="420"/>
      <c r="MTI2" s="419" t="s">
        <v>23</v>
      </c>
      <c r="MTJ2" s="420"/>
      <c r="MTK2" s="420"/>
      <c r="MTL2" s="420"/>
      <c r="MTM2" s="419" t="s">
        <v>23</v>
      </c>
      <c r="MTN2" s="420"/>
      <c r="MTO2" s="420"/>
      <c r="MTP2" s="420"/>
      <c r="MTQ2" s="419" t="s">
        <v>23</v>
      </c>
      <c r="MTR2" s="420"/>
      <c r="MTS2" s="420"/>
      <c r="MTT2" s="420"/>
      <c r="MTU2" s="419" t="s">
        <v>23</v>
      </c>
      <c r="MTV2" s="420"/>
      <c r="MTW2" s="420"/>
      <c r="MTX2" s="420"/>
      <c r="MTY2" s="419" t="s">
        <v>23</v>
      </c>
      <c r="MTZ2" s="420"/>
      <c r="MUA2" s="420"/>
      <c r="MUB2" s="420"/>
      <c r="MUC2" s="419" t="s">
        <v>23</v>
      </c>
      <c r="MUD2" s="420"/>
      <c r="MUE2" s="420"/>
      <c r="MUF2" s="420"/>
      <c r="MUG2" s="419" t="s">
        <v>23</v>
      </c>
      <c r="MUH2" s="420"/>
      <c r="MUI2" s="420"/>
      <c r="MUJ2" s="420"/>
      <c r="MUK2" s="419" t="s">
        <v>23</v>
      </c>
      <c r="MUL2" s="420"/>
      <c r="MUM2" s="420"/>
      <c r="MUN2" s="420"/>
      <c r="MUO2" s="419" t="s">
        <v>23</v>
      </c>
      <c r="MUP2" s="420"/>
      <c r="MUQ2" s="420"/>
      <c r="MUR2" s="420"/>
      <c r="MUS2" s="419" t="s">
        <v>23</v>
      </c>
      <c r="MUT2" s="420"/>
      <c r="MUU2" s="420"/>
      <c r="MUV2" s="420"/>
      <c r="MUW2" s="419" t="s">
        <v>23</v>
      </c>
      <c r="MUX2" s="420"/>
      <c r="MUY2" s="420"/>
      <c r="MUZ2" s="420"/>
      <c r="MVA2" s="419" t="s">
        <v>23</v>
      </c>
      <c r="MVB2" s="420"/>
      <c r="MVC2" s="420"/>
      <c r="MVD2" s="420"/>
      <c r="MVE2" s="419" t="s">
        <v>23</v>
      </c>
      <c r="MVF2" s="420"/>
      <c r="MVG2" s="420"/>
      <c r="MVH2" s="420"/>
      <c r="MVI2" s="419" t="s">
        <v>23</v>
      </c>
      <c r="MVJ2" s="420"/>
      <c r="MVK2" s="420"/>
      <c r="MVL2" s="420"/>
      <c r="MVM2" s="419" t="s">
        <v>23</v>
      </c>
      <c r="MVN2" s="420"/>
      <c r="MVO2" s="420"/>
      <c r="MVP2" s="420"/>
      <c r="MVQ2" s="419" t="s">
        <v>23</v>
      </c>
      <c r="MVR2" s="420"/>
      <c r="MVS2" s="420"/>
      <c r="MVT2" s="420"/>
      <c r="MVU2" s="419" t="s">
        <v>23</v>
      </c>
      <c r="MVV2" s="420"/>
      <c r="MVW2" s="420"/>
      <c r="MVX2" s="420"/>
      <c r="MVY2" s="419" t="s">
        <v>23</v>
      </c>
      <c r="MVZ2" s="420"/>
      <c r="MWA2" s="420"/>
      <c r="MWB2" s="420"/>
      <c r="MWC2" s="419" t="s">
        <v>23</v>
      </c>
      <c r="MWD2" s="420"/>
      <c r="MWE2" s="420"/>
      <c r="MWF2" s="420"/>
      <c r="MWG2" s="419" t="s">
        <v>23</v>
      </c>
      <c r="MWH2" s="420"/>
      <c r="MWI2" s="420"/>
      <c r="MWJ2" s="420"/>
      <c r="MWK2" s="419" t="s">
        <v>23</v>
      </c>
      <c r="MWL2" s="420"/>
      <c r="MWM2" s="420"/>
      <c r="MWN2" s="420"/>
      <c r="MWO2" s="419" t="s">
        <v>23</v>
      </c>
      <c r="MWP2" s="420"/>
      <c r="MWQ2" s="420"/>
      <c r="MWR2" s="420"/>
      <c r="MWS2" s="419" t="s">
        <v>23</v>
      </c>
      <c r="MWT2" s="420"/>
      <c r="MWU2" s="420"/>
      <c r="MWV2" s="420"/>
      <c r="MWW2" s="419" t="s">
        <v>23</v>
      </c>
      <c r="MWX2" s="420"/>
      <c r="MWY2" s="420"/>
      <c r="MWZ2" s="420"/>
      <c r="MXA2" s="419" t="s">
        <v>23</v>
      </c>
      <c r="MXB2" s="420"/>
      <c r="MXC2" s="420"/>
      <c r="MXD2" s="420"/>
      <c r="MXE2" s="419" t="s">
        <v>23</v>
      </c>
      <c r="MXF2" s="420"/>
      <c r="MXG2" s="420"/>
      <c r="MXH2" s="420"/>
      <c r="MXI2" s="419" t="s">
        <v>23</v>
      </c>
      <c r="MXJ2" s="420"/>
      <c r="MXK2" s="420"/>
      <c r="MXL2" s="420"/>
      <c r="MXM2" s="419" t="s">
        <v>23</v>
      </c>
      <c r="MXN2" s="420"/>
      <c r="MXO2" s="420"/>
      <c r="MXP2" s="420"/>
      <c r="MXQ2" s="419" t="s">
        <v>23</v>
      </c>
      <c r="MXR2" s="420"/>
      <c r="MXS2" s="420"/>
      <c r="MXT2" s="420"/>
      <c r="MXU2" s="419" t="s">
        <v>23</v>
      </c>
      <c r="MXV2" s="420"/>
      <c r="MXW2" s="420"/>
      <c r="MXX2" s="420"/>
      <c r="MXY2" s="419" t="s">
        <v>23</v>
      </c>
      <c r="MXZ2" s="420"/>
      <c r="MYA2" s="420"/>
      <c r="MYB2" s="420"/>
      <c r="MYC2" s="419" t="s">
        <v>23</v>
      </c>
      <c r="MYD2" s="420"/>
      <c r="MYE2" s="420"/>
      <c r="MYF2" s="420"/>
      <c r="MYG2" s="419" t="s">
        <v>23</v>
      </c>
      <c r="MYH2" s="420"/>
      <c r="MYI2" s="420"/>
      <c r="MYJ2" s="420"/>
      <c r="MYK2" s="419" t="s">
        <v>23</v>
      </c>
      <c r="MYL2" s="420"/>
      <c r="MYM2" s="420"/>
      <c r="MYN2" s="420"/>
      <c r="MYO2" s="419" t="s">
        <v>23</v>
      </c>
      <c r="MYP2" s="420"/>
      <c r="MYQ2" s="420"/>
      <c r="MYR2" s="420"/>
      <c r="MYS2" s="419" t="s">
        <v>23</v>
      </c>
      <c r="MYT2" s="420"/>
      <c r="MYU2" s="420"/>
      <c r="MYV2" s="420"/>
      <c r="MYW2" s="419" t="s">
        <v>23</v>
      </c>
      <c r="MYX2" s="420"/>
      <c r="MYY2" s="420"/>
      <c r="MYZ2" s="420"/>
      <c r="MZA2" s="419" t="s">
        <v>23</v>
      </c>
      <c r="MZB2" s="420"/>
      <c r="MZC2" s="420"/>
      <c r="MZD2" s="420"/>
      <c r="MZE2" s="419" t="s">
        <v>23</v>
      </c>
      <c r="MZF2" s="420"/>
      <c r="MZG2" s="420"/>
      <c r="MZH2" s="420"/>
      <c r="MZI2" s="419" t="s">
        <v>23</v>
      </c>
      <c r="MZJ2" s="420"/>
      <c r="MZK2" s="420"/>
      <c r="MZL2" s="420"/>
      <c r="MZM2" s="419" t="s">
        <v>23</v>
      </c>
      <c r="MZN2" s="420"/>
      <c r="MZO2" s="420"/>
      <c r="MZP2" s="420"/>
      <c r="MZQ2" s="419" t="s">
        <v>23</v>
      </c>
      <c r="MZR2" s="420"/>
      <c r="MZS2" s="420"/>
      <c r="MZT2" s="420"/>
      <c r="MZU2" s="419" t="s">
        <v>23</v>
      </c>
      <c r="MZV2" s="420"/>
      <c r="MZW2" s="420"/>
      <c r="MZX2" s="420"/>
      <c r="MZY2" s="419" t="s">
        <v>23</v>
      </c>
      <c r="MZZ2" s="420"/>
      <c r="NAA2" s="420"/>
      <c r="NAB2" s="420"/>
      <c r="NAC2" s="419" t="s">
        <v>23</v>
      </c>
      <c r="NAD2" s="420"/>
      <c r="NAE2" s="420"/>
      <c r="NAF2" s="420"/>
      <c r="NAG2" s="419" t="s">
        <v>23</v>
      </c>
      <c r="NAH2" s="420"/>
      <c r="NAI2" s="420"/>
      <c r="NAJ2" s="420"/>
      <c r="NAK2" s="419" t="s">
        <v>23</v>
      </c>
      <c r="NAL2" s="420"/>
      <c r="NAM2" s="420"/>
      <c r="NAN2" s="420"/>
      <c r="NAO2" s="419" t="s">
        <v>23</v>
      </c>
      <c r="NAP2" s="420"/>
      <c r="NAQ2" s="420"/>
      <c r="NAR2" s="420"/>
      <c r="NAS2" s="419" t="s">
        <v>23</v>
      </c>
      <c r="NAT2" s="420"/>
      <c r="NAU2" s="420"/>
      <c r="NAV2" s="420"/>
      <c r="NAW2" s="419" t="s">
        <v>23</v>
      </c>
      <c r="NAX2" s="420"/>
      <c r="NAY2" s="420"/>
      <c r="NAZ2" s="420"/>
      <c r="NBA2" s="419" t="s">
        <v>23</v>
      </c>
      <c r="NBB2" s="420"/>
      <c r="NBC2" s="420"/>
      <c r="NBD2" s="420"/>
      <c r="NBE2" s="419" t="s">
        <v>23</v>
      </c>
      <c r="NBF2" s="420"/>
      <c r="NBG2" s="420"/>
      <c r="NBH2" s="420"/>
      <c r="NBI2" s="419" t="s">
        <v>23</v>
      </c>
      <c r="NBJ2" s="420"/>
      <c r="NBK2" s="420"/>
      <c r="NBL2" s="420"/>
      <c r="NBM2" s="419" t="s">
        <v>23</v>
      </c>
      <c r="NBN2" s="420"/>
      <c r="NBO2" s="420"/>
      <c r="NBP2" s="420"/>
      <c r="NBQ2" s="419" t="s">
        <v>23</v>
      </c>
      <c r="NBR2" s="420"/>
      <c r="NBS2" s="420"/>
      <c r="NBT2" s="420"/>
      <c r="NBU2" s="419" t="s">
        <v>23</v>
      </c>
      <c r="NBV2" s="420"/>
      <c r="NBW2" s="420"/>
      <c r="NBX2" s="420"/>
      <c r="NBY2" s="419" t="s">
        <v>23</v>
      </c>
      <c r="NBZ2" s="420"/>
      <c r="NCA2" s="420"/>
      <c r="NCB2" s="420"/>
      <c r="NCC2" s="419" t="s">
        <v>23</v>
      </c>
      <c r="NCD2" s="420"/>
      <c r="NCE2" s="420"/>
      <c r="NCF2" s="420"/>
      <c r="NCG2" s="419" t="s">
        <v>23</v>
      </c>
      <c r="NCH2" s="420"/>
      <c r="NCI2" s="420"/>
      <c r="NCJ2" s="420"/>
      <c r="NCK2" s="419" t="s">
        <v>23</v>
      </c>
      <c r="NCL2" s="420"/>
      <c r="NCM2" s="420"/>
      <c r="NCN2" s="420"/>
      <c r="NCO2" s="419" t="s">
        <v>23</v>
      </c>
      <c r="NCP2" s="420"/>
      <c r="NCQ2" s="420"/>
      <c r="NCR2" s="420"/>
      <c r="NCS2" s="419" t="s">
        <v>23</v>
      </c>
      <c r="NCT2" s="420"/>
      <c r="NCU2" s="420"/>
      <c r="NCV2" s="420"/>
      <c r="NCW2" s="419" t="s">
        <v>23</v>
      </c>
      <c r="NCX2" s="420"/>
      <c r="NCY2" s="420"/>
      <c r="NCZ2" s="420"/>
      <c r="NDA2" s="419" t="s">
        <v>23</v>
      </c>
      <c r="NDB2" s="420"/>
      <c r="NDC2" s="420"/>
      <c r="NDD2" s="420"/>
      <c r="NDE2" s="419" t="s">
        <v>23</v>
      </c>
      <c r="NDF2" s="420"/>
      <c r="NDG2" s="420"/>
      <c r="NDH2" s="420"/>
      <c r="NDI2" s="419" t="s">
        <v>23</v>
      </c>
      <c r="NDJ2" s="420"/>
      <c r="NDK2" s="420"/>
      <c r="NDL2" s="420"/>
      <c r="NDM2" s="419" t="s">
        <v>23</v>
      </c>
      <c r="NDN2" s="420"/>
      <c r="NDO2" s="420"/>
      <c r="NDP2" s="420"/>
      <c r="NDQ2" s="419" t="s">
        <v>23</v>
      </c>
      <c r="NDR2" s="420"/>
      <c r="NDS2" s="420"/>
      <c r="NDT2" s="420"/>
      <c r="NDU2" s="419" t="s">
        <v>23</v>
      </c>
      <c r="NDV2" s="420"/>
      <c r="NDW2" s="420"/>
      <c r="NDX2" s="420"/>
      <c r="NDY2" s="419" t="s">
        <v>23</v>
      </c>
      <c r="NDZ2" s="420"/>
      <c r="NEA2" s="420"/>
      <c r="NEB2" s="420"/>
      <c r="NEC2" s="419" t="s">
        <v>23</v>
      </c>
      <c r="NED2" s="420"/>
      <c r="NEE2" s="420"/>
      <c r="NEF2" s="420"/>
      <c r="NEG2" s="419" t="s">
        <v>23</v>
      </c>
      <c r="NEH2" s="420"/>
      <c r="NEI2" s="420"/>
      <c r="NEJ2" s="420"/>
      <c r="NEK2" s="419" t="s">
        <v>23</v>
      </c>
      <c r="NEL2" s="420"/>
      <c r="NEM2" s="420"/>
      <c r="NEN2" s="420"/>
      <c r="NEO2" s="419" t="s">
        <v>23</v>
      </c>
      <c r="NEP2" s="420"/>
      <c r="NEQ2" s="420"/>
      <c r="NER2" s="420"/>
      <c r="NES2" s="419" t="s">
        <v>23</v>
      </c>
      <c r="NET2" s="420"/>
      <c r="NEU2" s="420"/>
      <c r="NEV2" s="420"/>
      <c r="NEW2" s="419" t="s">
        <v>23</v>
      </c>
      <c r="NEX2" s="420"/>
      <c r="NEY2" s="420"/>
      <c r="NEZ2" s="420"/>
      <c r="NFA2" s="419" t="s">
        <v>23</v>
      </c>
      <c r="NFB2" s="420"/>
      <c r="NFC2" s="420"/>
      <c r="NFD2" s="420"/>
      <c r="NFE2" s="419" t="s">
        <v>23</v>
      </c>
      <c r="NFF2" s="420"/>
      <c r="NFG2" s="420"/>
      <c r="NFH2" s="420"/>
      <c r="NFI2" s="419" t="s">
        <v>23</v>
      </c>
      <c r="NFJ2" s="420"/>
      <c r="NFK2" s="420"/>
      <c r="NFL2" s="420"/>
      <c r="NFM2" s="419" t="s">
        <v>23</v>
      </c>
      <c r="NFN2" s="420"/>
      <c r="NFO2" s="420"/>
      <c r="NFP2" s="420"/>
      <c r="NFQ2" s="419" t="s">
        <v>23</v>
      </c>
      <c r="NFR2" s="420"/>
      <c r="NFS2" s="420"/>
      <c r="NFT2" s="420"/>
      <c r="NFU2" s="419" t="s">
        <v>23</v>
      </c>
      <c r="NFV2" s="420"/>
      <c r="NFW2" s="420"/>
      <c r="NFX2" s="420"/>
      <c r="NFY2" s="419" t="s">
        <v>23</v>
      </c>
      <c r="NFZ2" s="420"/>
      <c r="NGA2" s="420"/>
      <c r="NGB2" s="420"/>
      <c r="NGC2" s="419" t="s">
        <v>23</v>
      </c>
      <c r="NGD2" s="420"/>
      <c r="NGE2" s="420"/>
      <c r="NGF2" s="420"/>
      <c r="NGG2" s="419" t="s">
        <v>23</v>
      </c>
      <c r="NGH2" s="420"/>
      <c r="NGI2" s="420"/>
      <c r="NGJ2" s="420"/>
      <c r="NGK2" s="419" t="s">
        <v>23</v>
      </c>
      <c r="NGL2" s="420"/>
      <c r="NGM2" s="420"/>
      <c r="NGN2" s="420"/>
      <c r="NGO2" s="419" t="s">
        <v>23</v>
      </c>
      <c r="NGP2" s="420"/>
      <c r="NGQ2" s="420"/>
      <c r="NGR2" s="420"/>
      <c r="NGS2" s="419" t="s">
        <v>23</v>
      </c>
      <c r="NGT2" s="420"/>
      <c r="NGU2" s="420"/>
      <c r="NGV2" s="420"/>
      <c r="NGW2" s="419" t="s">
        <v>23</v>
      </c>
      <c r="NGX2" s="420"/>
      <c r="NGY2" s="420"/>
      <c r="NGZ2" s="420"/>
      <c r="NHA2" s="419" t="s">
        <v>23</v>
      </c>
      <c r="NHB2" s="420"/>
      <c r="NHC2" s="420"/>
      <c r="NHD2" s="420"/>
      <c r="NHE2" s="419" t="s">
        <v>23</v>
      </c>
      <c r="NHF2" s="420"/>
      <c r="NHG2" s="420"/>
      <c r="NHH2" s="420"/>
      <c r="NHI2" s="419" t="s">
        <v>23</v>
      </c>
      <c r="NHJ2" s="420"/>
      <c r="NHK2" s="420"/>
      <c r="NHL2" s="420"/>
      <c r="NHM2" s="419" t="s">
        <v>23</v>
      </c>
      <c r="NHN2" s="420"/>
      <c r="NHO2" s="420"/>
      <c r="NHP2" s="420"/>
      <c r="NHQ2" s="419" t="s">
        <v>23</v>
      </c>
      <c r="NHR2" s="420"/>
      <c r="NHS2" s="420"/>
      <c r="NHT2" s="420"/>
      <c r="NHU2" s="419" t="s">
        <v>23</v>
      </c>
      <c r="NHV2" s="420"/>
      <c r="NHW2" s="420"/>
      <c r="NHX2" s="420"/>
      <c r="NHY2" s="419" t="s">
        <v>23</v>
      </c>
      <c r="NHZ2" s="420"/>
      <c r="NIA2" s="420"/>
      <c r="NIB2" s="420"/>
      <c r="NIC2" s="419" t="s">
        <v>23</v>
      </c>
      <c r="NID2" s="420"/>
      <c r="NIE2" s="420"/>
      <c r="NIF2" s="420"/>
      <c r="NIG2" s="419" t="s">
        <v>23</v>
      </c>
      <c r="NIH2" s="420"/>
      <c r="NII2" s="420"/>
      <c r="NIJ2" s="420"/>
      <c r="NIK2" s="419" t="s">
        <v>23</v>
      </c>
      <c r="NIL2" s="420"/>
      <c r="NIM2" s="420"/>
      <c r="NIN2" s="420"/>
      <c r="NIO2" s="419" t="s">
        <v>23</v>
      </c>
      <c r="NIP2" s="420"/>
      <c r="NIQ2" s="420"/>
      <c r="NIR2" s="420"/>
      <c r="NIS2" s="419" t="s">
        <v>23</v>
      </c>
      <c r="NIT2" s="420"/>
      <c r="NIU2" s="420"/>
      <c r="NIV2" s="420"/>
      <c r="NIW2" s="419" t="s">
        <v>23</v>
      </c>
      <c r="NIX2" s="420"/>
      <c r="NIY2" s="420"/>
      <c r="NIZ2" s="420"/>
      <c r="NJA2" s="419" t="s">
        <v>23</v>
      </c>
      <c r="NJB2" s="420"/>
      <c r="NJC2" s="420"/>
      <c r="NJD2" s="420"/>
      <c r="NJE2" s="419" t="s">
        <v>23</v>
      </c>
      <c r="NJF2" s="420"/>
      <c r="NJG2" s="420"/>
      <c r="NJH2" s="420"/>
      <c r="NJI2" s="419" t="s">
        <v>23</v>
      </c>
      <c r="NJJ2" s="420"/>
      <c r="NJK2" s="420"/>
      <c r="NJL2" s="420"/>
      <c r="NJM2" s="419" t="s">
        <v>23</v>
      </c>
      <c r="NJN2" s="420"/>
      <c r="NJO2" s="420"/>
      <c r="NJP2" s="420"/>
      <c r="NJQ2" s="419" t="s">
        <v>23</v>
      </c>
      <c r="NJR2" s="420"/>
      <c r="NJS2" s="420"/>
      <c r="NJT2" s="420"/>
      <c r="NJU2" s="419" t="s">
        <v>23</v>
      </c>
      <c r="NJV2" s="420"/>
      <c r="NJW2" s="420"/>
      <c r="NJX2" s="420"/>
      <c r="NJY2" s="419" t="s">
        <v>23</v>
      </c>
      <c r="NJZ2" s="420"/>
      <c r="NKA2" s="420"/>
      <c r="NKB2" s="420"/>
      <c r="NKC2" s="419" t="s">
        <v>23</v>
      </c>
      <c r="NKD2" s="420"/>
      <c r="NKE2" s="420"/>
      <c r="NKF2" s="420"/>
      <c r="NKG2" s="419" t="s">
        <v>23</v>
      </c>
      <c r="NKH2" s="420"/>
      <c r="NKI2" s="420"/>
      <c r="NKJ2" s="420"/>
      <c r="NKK2" s="419" t="s">
        <v>23</v>
      </c>
      <c r="NKL2" s="420"/>
      <c r="NKM2" s="420"/>
      <c r="NKN2" s="420"/>
      <c r="NKO2" s="419" t="s">
        <v>23</v>
      </c>
      <c r="NKP2" s="420"/>
      <c r="NKQ2" s="420"/>
      <c r="NKR2" s="420"/>
      <c r="NKS2" s="419" t="s">
        <v>23</v>
      </c>
      <c r="NKT2" s="420"/>
      <c r="NKU2" s="420"/>
      <c r="NKV2" s="420"/>
      <c r="NKW2" s="419" t="s">
        <v>23</v>
      </c>
      <c r="NKX2" s="420"/>
      <c r="NKY2" s="420"/>
      <c r="NKZ2" s="420"/>
      <c r="NLA2" s="419" t="s">
        <v>23</v>
      </c>
      <c r="NLB2" s="420"/>
      <c r="NLC2" s="420"/>
      <c r="NLD2" s="420"/>
      <c r="NLE2" s="419" t="s">
        <v>23</v>
      </c>
      <c r="NLF2" s="420"/>
      <c r="NLG2" s="420"/>
      <c r="NLH2" s="420"/>
      <c r="NLI2" s="419" t="s">
        <v>23</v>
      </c>
      <c r="NLJ2" s="420"/>
      <c r="NLK2" s="420"/>
      <c r="NLL2" s="420"/>
      <c r="NLM2" s="419" t="s">
        <v>23</v>
      </c>
      <c r="NLN2" s="420"/>
      <c r="NLO2" s="420"/>
      <c r="NLP2" s="420"/>
      <c r="NLQ2" s="419" t="s">
        <v>23</v>
      </c>
      <c r="NLR2" s="420"/>
      <c r="NLS2" s="420"/>
      <c r="NLT2" s="420"/>
      <c r="NLU2" s="419" t="s">
        <v>23</v>
      </c>
      <c r="NLV2" s="420"/>
      <c r="NLW2" s="420"/>
      <c r="NLX2" s="420"/>
      <c r="NLY2" s="419" t="s">
        <v>23</v>
      </c>
      <c r="NLZ2" s="420"/>
      <c r="NMA2" s="420"/>
      <c r="NMB2" s="420"/>
      <c r="NMC2" s="419" t="s">
        <v>23</v>
      </c>
      <c r="NMD2" s="420"/>
      <c r="NME2" s="420"/>
      <c r="NMF2" s="420"/>
      <c r="NMG2" s="419" t="s">
        <v>23</v>
      </c>
      <c r="NMH2" s="420"/>
      <c r="NMI2" s="420"/>
      <c r="NMJ2" s="420"/>
      <c r="NMK2" s="419" t="s">
        <v>23</v>
      </c>
      <c r="NML2" s="420"/>
      <c r="NMM2" s="420"/>
      <c r="NMN2" s="420"/>
      <c r="NMO2" s="419" t="s">
        <v>23</v>
      </c>
      <c r="NMP2" s="420"/>
      <c r="NMQ2" s="420"/>
      <c r="NMR2" s="420"/>
      <c r="NMS2" s="419" t="s">
        <v>23</v>
      </c>
      <c r="NMT2" s="420"/>
      <c r="NMU2" s="420"/>
      <c r="NMV2" s="420"/>
      <c r="NMW2" s="419" t="s">
        <v>23</v>
      </c>
      <c r="NMX2" s="420"/>
      <c r="NMY2" s="420"/>
      <c r="NMZ2" s="420"/>
      <c r="NNA2" s="419" t="s">
        <v>23</v>
      </c>
      <c r="NNB2" s="420"/>
      <c r="NNC2" s="420"/>
      <c r="NND2" s="420"/>
      <c r="NNE2" s="419" t="s">
        <v>23</v>
      </c>
      <c r="NNF2" s="420"/>
      <c r="NNG2" s="420"/>
      <c r="NNH2" s="420"/>
      <c r="NNI2" s="419" t="s">
        <v>23</v>
      </c>
      <c r="NNJ2" s="420"/>
      <c r="NNK2" s="420"/>
      <c r="NNL2" s="420"/>
      <c r="NNM2" s="419" t="s">
        <v>23</v>
      </c>
      <c r="NNN2" s="420"/>
      <c r="NNO2" s="420"/>
      <c r="NNP2" s="420"/>
      <c r="NNQ2" s="419" t="s">
        <v>23</v>
      </c>
      <c r="NNR2" s="420"/>
      <c r="NNS2" s="420"/>
      <c r="NNT2" s="420"/>
      <c r="NNU2" s="419" t="s">
        <v>23</v>
      </c>
      <c r="NNV2" s="420"/>
      <c r="NNW2" s="420"/>
      <c r="NNX2" s="420"/>
      <c r="NNY2" s="419" t="s">
        <v>23</v>
      </c>
      <c r="NNZ2" s="420"/>
      <c r="NOA2" s="420"/>
      <c r="NOB2" s="420"/>
      <c r="NOC2" s="419" t="s">
        <v>23</v>
      </c>
      <c r="NOD2" s="420"/>
      <c r="NOE2" s="420"/>
      <c r="NOF2" s="420"/>
      <c r="NOG2" s="419" t="s">
        <v>23</v>
      </c>
      <c r="NOH2" s="420"/>
      <c r="NOI2" s="420"/>
      <c r="NOJ2" s="420"/>
      <c r="NOK2" s="419" t="s">
        <v>23</v>
      </c>
      <c r="NOL2" s="420"/>
      <c r="NOM2" s="420"/>
      <c r="NON2" s="420"/>
      <c r="NOO2" s="419" t="s">
        <v>23</v>
      </c>
      <c r="NOP2" s="420"/>
      <c r="NOQ2" s="420"/>
      <c r="NOR2" s="420"/>
      <c r="NOS2" s="419" t="s">
        <v>23</v>
      </c>
      <c r="NOT2" s="420"/>
      <c r="NOU2" s="420"/>
      <c r="NOV2" s="420"/>
      <c r="NOW2" s="419" t="s">
        <v>23</v>
      </c>
      <c r="NOX2" s="420"/>
      <c r="NOY2" s="420"/>
      <c r="NOZ2" s="420"/>
      <c r="NPA2" s="419" t="s">
        <v>23</v>
      </c>
      <c r="NPB2" s="420"/>
      <c r="NPC2" s="420"/>
      <c r="NPD2" s="420"/>
      <c r="NPE2" s="419" t="s">
        <v>23</v>
      </c>
      <c r="NPF2" s="420"/>
      <c r="NPG2" s="420"/>
      <c r="NPH2" s="420"/>
      <c r="NPI2" s="419" t="s">
        <v>23</v>
      </c>
      <c r="NPJ2" s="420"/>
      <c r="NPK2" s="420"/>
      <c r="NPL2" s="420"/>
      <c r="NPM2" s="419" t="s">
        <v>23</v>
      </c>
      <c r="NPN2" s="420"/>
      <c r="NPO2" s="420"/>
      <c r="NPP2" s="420"/>
      <c r="NPQ2" s="419" t="s">
        <v>23</v>
      </c>
      <c r="NPR2" s="420"/>
      <c r="NPS2" s="420"/>
      <c r="NPT2" s="420"/>
      <c r="NPU2" s="419" t="s">
        <v>23</v>
      </c>
      <c r="NPV2" s="420"/>
      <c r="NPW2" s="420"/>
      <c r="NPX2" s="420"/>
      <c r="NPY2" s="419" t="s">
        <v>23</v>
      </c>
      <c r="NPZ2" s="420"/>
      <c r="NQA2" s="420"/>
      <c r="NQB2" s="420"/>
      <c r="NQC2" s="419" t="s">
        <v>23</v>
      </c>
      <c r="NQD2" s="420"/>
      <c r="NQE2" s="420"/>
      <c r="NQF2" s="420"/>
      <c r="NQG2" s="419" t="s">
        <v>23</v>
      </c>
      <c r="NQH2" s="420"/>
      <c r="NQI2" s="420"/>
      <c r="NQJ2" s="420"/>
      <c r="NQK2" s="419" t="s">
        <v>23</v>
      </c>
      <c r="NQL2" s="420"/>
      <c r="NQM2" s="420"/>
      <c r="NQN2" s="420"/>
      <c r="NQO2" s="419" t="s">
        <v>23</v>
      </c>
      <c r="NQP2" s="420"/>
      <c r="NQQ2" s="420"/>
      <c r="NQR2" s="420"/>
      <c r="NQS2" s="419" t="s">
        <v>23</v>
      </c>
      <c r="NQT2" s="420"/>
      <c r="NQU2" s="420"/>
      <c r="NQV2" s="420"/>
      <c r="NQW2" s="419" t="s">
        <v>23</v>
      </c>
      <c r="NQX2" s="420"/>
      <c r="NQY2" s="420"/>
      <c r="NQZ2" s="420"/>
      <c r="NRA2" s="419" t="s">
        <v>23</v>
      </c>
      <c r="NRB2" s="420"/>
      <c r="NRC2" s="420"/>
      <c r="NRD2" s="420"/>
      <c r="NRE2" s="419" t="s">
        <v>23</v>
      </c>
      <c r="NRF2" s="420"/>
      <c r="NRG2" s="420"/>
      <c r="NRH2" s="420"/>
      <c r="NRI2" s="419" t="s">
        <v>23</v>
      </c>
      <c r="NRJ2" s="420"/>
      <c r="NRK2" s="420"/>
      <c r="NRL2" s="420"/>
      <c r="NRM2" s="419" t="s">
        <v>23</v>
      </c>
      <c r="NRN2" s="420"/>
      <c r="NRO2" s="420"/>
      <c r="NRP2" s="420"/>
      <c r="NRQ2" s="419" t="s">
        <v>23</v>
      </c>
      <c r="NRR2" s="420"/>
      <c r="NRS2" s="420"/>
      <c r="NRT2" s="420"/>
      <c r="NRU2" s="419" t="s">
        <v>23</v>
      </c>
      <c r="NRV2" s="420"/>
      <c r="NRW2" s="420"/>
      <c r="NRX2" s="420"/>
      <c r="NRY2" s="419" t="s">
        <v>23</v>
      </c>
      <c r="NRZ2" s="420"/>
      <c r="NSA2" s="420"/>
      <c r="NSB2" s="420"/>
      <c r="NSC2" s="419" t="s">
        <v>23</v>
      </c>
      <c r="NSD2" s="420"/>
      <c r="NSE2" s="420"/>
      <c r="NSF2" s="420"/>
      <c r="NSG2" s="419" t="s">
        <v>23</v>
      </c>
      <c r="NSH2" s="420"/>
      <c r="NSI2" s="420"/>
      <c r="NSJ2" s="420"/>
      <c r="NSK2" s="419" t="s">
        <v>23</v>
      </c>
      <c r="NSL2" s="420"/>
      <c r="NSM2" s="420"/>
      <c r="NSN2" s="420"/>
      <c r="NSO2" s="419" t="s">
        <v>23</v>
      </c>
      <c r="NSP2" s="420"/>
      <c r="NSQ2" s="420"/>
      <c r="NSR2" s="420"/>
      <c r="NSS2" s="419" t="s">
        <v>23</v>
      </c>
      <c r="NST2" s="420"/>
      <c r="NSU2" s="420"/>
      <c r="NSV2" s="420"/>
      <c r="NSW2" s="419" t="s">
        <v>23</v>
      </c>
      <c r="NSX2" s="420"/>
      <c r="NSY2" s="420"/>
      <c r="NSZ2" s="420"/>
      <c r="NTA2" s="419" t="s">
        <v>23</v>
      </c>
      <c r="NTB2" s="420"/>
      <c r="NTC2" s="420"/>
      <c r="NTD2" s="420"/>
      <c r="NTE2" s="419" t="s">
        <v>23</v>
      </c>
      <c r="NTF2" s="420"/>
      <c r="NTG2" s="420"/>
      <c r="NTH2" s="420"/>
      <c r="NTI2" s="419" t="s">
        <v>23</v>
      </c>
      <c r="NTJ2" s="420"/>
      <c r="NTK2" s="420"/>
      <c r="NTL2" s="420"/>
      <c r="NTM2" s="419" t="s">
        <v>23</v>
      </c>
      <c r="NTN2" s="420"/>
      <c r="NTO2" s="420"/>
      <c r="NTP2" s="420"/>
      <c r="NTQ2" s="419" t="s">
        <v>23</v>
      </c>
      <c r="NTR2" s="420"/>
      <c r="NTS2" s="420"/>
      <c r="NTT2" s="420"/>
      <c r="NTU2" s="419" t="s">
        <v>23</v>
      </c>
      <c r="NTV2" s="420"/>
      <c r="NTW2" s="420"/>
      <c r="NTX2" s="420"/>
      <c r="NTY2" s="419" t="s">
        <v>23</v>
      </c>
      <c r="NTZ2" s="420"/>
      <c r="NUA2" s="420"/>
      <c r="NUB2" s="420"/>
      <c r="NUC2" s="419" t="s">
        <v>23</v>
      </c>
      <c r="NUD2" s="420"/>
      <c r="NUE2" s="420"/>
      <c r="NUF2" s="420"/>
      <c r="NUG2" s="419" t="s">
        <v>23</v>
      </c>
      <c r="NUH2" s="420"/>
      <c r="NUI2" s="420"/>
      <c r="NUJ2" s="420"/>
      <c r="NUK2" s="419" t="s">
        <v>23</v>
      </c>
      <c r="NUL2" s="420"/>
      <c r="NUM2" s="420"/>
      <c r="NUN2" s="420"/>
      <c r="NUO2" s="419" t="s">
        <v>23</v>
      </c>
      <c r="NUP2" s="420"/>
      <c r="NUQ2" s="420"/>
      <c r="NUR2" s="420"/>
      <c r="NUS2" s="419" t="s">
        <v>23</v>
      </c>
      <c r="NUT2" s="420"/>
      <c r="NUU2" s="420"/>
      <c r="NUV2" s="420"/>
      <c r="NUW2" s="419" t="s">
        <v>23</v>
      </c>
      <c r="NUX2" s="420"/>
      <c r="NUY2" s="420"/>
      <c r="NUZ2" s="420"/>
      <c r="NVA2" s="419" t="s">
        <v>23</v>
      </c>
      <c r="NVB2" s="420"/>
      <c r="NVC2" s="420"/>
      <c r="NVD2" s="420"/>
      <c r="NVE2" s="419" t="s">
        <v>23</v>
      </c>
      <c r="NVF2" s="420"/>
      <c r="NVG2" s="420"/>
      <c r="NVH2" s="420"/>
      <c r="NVI2" s="419" t="s">
        <v>23</v>
      </c>
      <c r="NVJ2" s="420"/>
      <c r="NVK2" s="420"/>
      <c r="NVL2" s="420"/>
      <c r="NVM2" s="419" t="s">
        <v>23</v>
      </c>
      <c r="NVN2" s="420"/>
      <c r="NVO2" s="420"/>
      <c r="NVP2" s="420"/>
      <c r="NVQ2" s="419" t="s">
        <v>23</v>
      </c>
      <c r="NVR2" s="420"/>
      <c r="NVS2" s="420"/>
      <c r="NVT2" s="420"/>
      <c r="NVU2" s="419" t="s">
        <v>23</v>
      </c>
      <c r="NVV2" s="420"/>
      <c r="NVW2" s="420"/>
      <c r="NVX2" s="420"/>
      <c r="NVY2" s="419" t="s">
        <v>23</v>
      </c>
      <c r="NVZ2" s="420"/>
      <c r="NWA2" s="420"/>
      <c r="NWB2" s="420"/>
      <c r="NWC2" s="419" t="s">
        <v>23</v>
      </c>
      <c r="NWD2" s="420"/>
      <c r="NWE2" s="420"/>
      <c r="NWF2" s="420"/>
      <c r="NWG2" s="419" t="s">
        <v>23</v>
      </c>
      <c r="NWH2" s="420"/>
      <c r="NWI2" s="420"/>
      <c r="NWJ2" s="420"/>
      <c r="NWK2" s="419" t="s">
        <v>23</v>
      </c>
      <c r="NWL2" s="420"/>
      <c r="NWM2" s="420"/>
      <c r="NWN2" s="420"/>
      <c r="NWO2" s="419" t="s">
        <v>23</v>
      </c>
      <c r="NWP2" s="420"/>
      <c r="NWQ2" s="420"/>
      <c r="NWR2" s="420"/>
      <c r="NWS2" s="419" t="s">
        <v>23</v>
      </c>
      <c r="NWT2" s="420"/>
      <c r="NWU2" s="420"/>
      <c r="NWV2" s="420"/>
      <c r="NWW2" s="419" t="s">
        <v>23</v>
      </c>
      <c r="NWX2" s="420"/>
      <c r="NWY2" s="420"/>
      <c r="NWZ2" s="420"/>
      <c r="NXA2" s="419" t="s">
        <v>23</v>
      </c>
      <c r="NXB2" s="420"/>
      <c r="NXC2" s="420"/>
      <c r="NXD2" s="420"/>
      <c r="NXE2" s="419" t="s">
        <v>23</v>
      </c>
      <c r="NXF2" s="420"/>
      <c r="NXG2" s="420"/>
      <c r="NXH2" s="420"/>
      <c r="NXI2" s="419" t="s">
        <v>23</v>
      </c>
      <c r="NXJ2" s="420"/>
      <c r="NXK2" s="420"/>
      <c r="NXL2" s="420"/>
      <c r="NXM2" s="419" t="s">
        <v>23</v>
      </c>
      <c r="NXN2" s="420"/>
      <c r="NXO2" s="420"/>
      <c r="NXP2" s="420"/>
      <c r="NXQ2" s="419" t="s">
        <v>23</v>
      </c>
      <c r="NXR2" s="420"/>
      <c r="NXS2" s="420"/>
      <c r="NXT2" s="420"/>
      <c r="NXU2" s="419" t="s">
        <v>23</v>
      </c>
      <c r="NXV2" s="420"/>
      <c r="NXW2" s="420"/>
      <c r="NXX2" s="420"/>
      <c r="NXY2" s="419" t="s">
        <v>23</v>
      </c>
      <c r="NXZ2" s="420"/>
      <c r="NYA2" s="420"/>
      <c r="NYB2" s="420"/>
      <c r="NYC2" s="419" t="s">
        <v>23</v>
      </c>
      <c r="NYD2" s="420"/>
      <c r="NYE2" s="420"/>
      <c r="NYF2" s="420"/>
      <c r="NYG2" s="419" t="s">
        <v>23</v>
      </c>
      <c r="NYH2" s="420"/>
      <c r="NYI2" s="420"/>
      <c r="NYJ2" s="420"/>
      <c r="NYK2" s="419" t="s">
        <v>23</v>
      </c>
      <c r="NYL2" s="420"/>
      <c r="NYM2" s="420"/>
      <c r="NYN2" s="420"/>
      <c r="NYO2" s="419" t="s">
        <v>23</v>
      </c>
      <c r="NYP2" s="420"/>
      <c r="NYQ2" s="420"/>
      <c r="NYR2" s="420"/>
      <c r="NYS2" s="419" t="s">
        <v>23</v>
      </c>
      <c r="NYT2" s="420"/>
      <c r="NYU2" s="420"/>
      <c r="NYV2" s="420"/>
      <c r="NYW2" s="419" t="s">
        <v>23</v>
      </c>
      <c r="NYX2" s="420"/>
      <c r="NYY2" s="420"/>
      <c r="NYZ2" s="420"/>
      <c r="NZA2" s="419" t="s">
        <v>23</v>
      </c>
      <c r="NZB2" s="420"/>
      <c r="NZC2" s="420"/>
      <c r="NZD2" s="420"/>
      <c r="NZE2" s="419" t="s">
        <v>23</v>
      </c>
      <c r="NZF2" s="420"/>
      <c r="NZG2" s="420"/>
      <c r="NZH2" s="420"/>
      <c r="NZI2" s="419" t="s">
        <v>23</v>
      </c>
      <c r="NZJ2" s="420"/>
      <c r="NZK2" s="420"/>
      <c r="NZL2" s="420"/>
      <c r="NZM2" s="419" t="s">
        <v>23</v>
      </c>
      <c r="NZN2" s="420"/>
      <c r="NZO2" s="420"/>
      <c r="NZP2" s="420"/>
      <c r="NZQ2" s="419" t="s">
        <v>23</v>
      </c>
      <c r="NZR2" s="420"/>
      <c r="NZS2" s="420"/>
      <c r="NZT2" s="420"/>
      <c r="NZU2" s="419" t="s">
        <v>23</v>
      </c>
      <c r="NZV2" s="420"/>
      <c r="NZW2" s="420"/>
      <c r="NZX2" s="420"/>
      <c r="NZY2" s="419" t="s">
        <v>23</v>
      </c>
      <c r="NZZ2" s="420"/>
      <c r="OAA2" s="420"/>
      <c r="OAB2" s="420"/>
      <c r="OAC2" s="419" t="s">
        <v>23</v>
      </c>
      <c r="OAD2" s="420"/>
      <c r="OAE2" s="420"/>
      <c r="OAF2" s="420"/>
      <c r="OAG2" s="419" t="s">
        <v>23</v>
      </c>
      <c r="OAH2" s="420"/>
      <c r="OAI2" s="420"/>
      <c r="OAJ2" s="420"/>
      <c r="OAK2" s="419" t="s">
        <v>23</v>
      </c>
      <c r="OAL2" s="420"/>
      <c r="OAM2" s="420"/>
      <c r="OAN2" s="420"/>
      <c r="OAO2" s="419" t="s">
        <v>23</v>
      </c>
      <c r="OAP2" s="420"/>
      <c r="OAQ2" s="420"/>
      <c r="OAR2" s="420"/>
      <c r="OAS2" s="419" t="s">
        <v>23</v>
      </c>
      <c r="OAT2" s="420"/>
      <c r="OAU2" s="420"/>
      <c r="OAV2" s="420"/>
      <c r="OAW2" s="419" t="s">
        <v>23</v>
      </c>
      <c r="OAX2" s="420"/>
      <c r="OAY2" s="420"/>
      <c r="OAZ2" s="420"/>
      <c r="OBA2" s="419" t="s">
        <v>23</v>
      </c>
      <c r="OBB2" s="420"/>
      <c r="OBC2" s="420"/>
      <c r="OBD2" s="420"/>
      <c r="OBE2" s="419" t="s">
        <v>23</v>
      </c>
      <c r="OBF2" s="420"/>
      <c r="OBG2" s="420"/>
      <c r="OBH2" s="420"/>
      <c r="OBI2" s="419" t="s">
        <v>23</v>
      </c>
      <c r="OBJ2" s="420"/>
      <c r="OBK2" s="420"/>
      <c r="OBL2" s="420"/>
      <c r="OBM2" s="419" t="s">
        <v>23</v>
      </c>
      <c r="OBN2" s="420"/>
      <c r="OBO2" s="420"/>
      <c r="OBP2" s="420"/>
      <c r="OBQ2" s="419" t="s">
        <v>23</v>
      </c>
      <c r="OBR2" s="420"/>
      <c r="OBS2" s="420"/>
      <c r="OBT2" s="420"/>
      <c r="OBU2" s="419" t="s">
        <v>23</v>
      </c>
      <c r="OBV2" s="420"/>
      <c r="OBW2" s="420"/>
      <c r="OBX2" s="420"/>
      <c r="OBY2" s="419" t="s">
        <v>23</v>
      </c>
      <c r="OBZ2" s="420"/>
      <c r="OCA2" s="420"/>
      <c r="OCB2" s="420"/>
      <c r="OCC2" s="419" t="s">
        <v>23</v>
      </c>
      <c r="OCD2" s="420"/>
      <c r="OCE2" s="420"/>
      <c r="OCF2" s="420"/>
      <c r="OCG2" s="419" t="s">
        <v>23</v>
      </c>
      <c r="OCH2" s="420"/>
      <c r="OCI2" s="420"/>
      <c r="OCJ2" s="420"/>
      <c r="OCK2" s="419" t="s">
        <v>23</v>
      </c>
      <c r="OCL2" s="420"/>
      <c r="OCM2" s="420"/>
      <c r="OCN2" s="420"/>
      <c r="OCO2" s="419" t="s">
        <v>23</v>
      </c>
      <c r="OCP2" s="420"/>
      <c r="OCQ2" s="420"/>
      <c r="OCR2" s="420"/>
      <c r="OCS2" s="419" t="s">
        <v>23</v>
      </c>
      <c r="OCT2" s="420"/>
      <c r="OCU2" s="420"/>
      <c r="OCV2" s="420"/>
      <c r="OCW2" s="419" t="s">
        <v>23</v>
      </c>
      <c r="OCX2" s="420"/>
      <c r="OCY2" s="420"/>
      <c r="OCZ2" s="420"/>
      <c r="ODA2" s="419" t="s">
        <v>23</v>
      </c>
      <c r="ODB2" s="420"/>
      <c r="ODC2" s="420"/>
      <c r="ODD2" s="420"/>
      <c r="ODE2" s="419" t="s">
        <v>23</v>
      </c>
      <c r="ODF2" s="420"/>
      <c r="ODG2" s="420"/>
      <c r="ODH2" s="420"/>
      <c r="ODI2" s="419" t="s">
        <v>23</v>
      </c>
      <c r="ODJ2" s="420"/>
      <c r="ODK2" s="420"/>
      <c r="ODL2" s="420"/>
      <c r="ODM2" s="419" t="s">
        <v>23</v>
      </c>
      <c r="ODN2" s="420"/>
      <c r="ODO2" s="420"/>
      <c r="ODP2" s="420"/>
      <c r="ODQ2" s="419" t="s">
        <v>23</v>
      </c>
      <c r="ODR2" s="420"/>
      <c r="ODS2" s="420"/>
      <c r="ODT2" s="420"/>
      <c r="ODU2" s="419" t="s">
        <v>23</v>
      </c>
      <c r="ODV2" s="420"/>
      <c r="ODW2" s="420"/>
      <c r="ODX2" s="420"/>
      <c r="ODY2" s="419" t="s">
        <v>23</v>
      </c>
      <c r="ODZ2" s="420"/>
      <c r="OEA2" s="420"/>
      <c r="OEB2" s="420"/>
      <c r="OEC2" s="419" t="s">
        <v>23</v>
      </c>
      <c r="OED2" s="420"/>
      <c r="OEE2" s="420"/>
      <c r="OEF2" s="420"/>
      <c r="OEG2" s="419" t="s">
        <v>23</v>
      </c>
      <c r="OEH2" s="420"/>
      <c r="OEI2" s="420"/>
      <c r="OEJ2" s="420"/>
      <c r="OEK2" s="419" t="s">
        <v>23</v>
      </c>
      <c r="OEL2" s="420"/>
      <c r="OEM2" s="420"/>
      <c r="OEN2" s="420"/>
      <c r="OEO2" s="419" t="s">
        <v>23</v>
      </c>
      <c r="OEP2" s="420"/>
      <c r="OEQ2" s="420"/>
      <c r="OER2" s="420"/>
      <c r="OES2" s="419" t="s">
        <v>23</v>
      </c>
      <c r="OET2" s="420"/>
      <c r="OEU2" s="420"/>
      <c r="OEV2" s="420"/>
      <c r="OEW2" s="419" t="s">
        <v>23</v>
      </c>
      <c r="OEX2" s="420"/>
      <c r="OEY2" s="420"/>
      <c r="OEZ2" s="420"/>
      <c r="OFA2" s="419" t="s">
        <v>23</v>
      </c>
      <c r="OFB2" s="420"/>
      <c r="OFC2" s="420"/>
      <c r="OFD2" s="420"/>
      <c r="OFE2" s="419" t="s">
        <v>23</v>
      </c>
      <c r="OFF2" s="420"/>
      <c r="OFG2" s="420"/>
      <c r="OFH2" s="420"/>
      <c r="OFI2" s="419" t="s">
        <v>23</v>
      </c>
      <c r="OFJ2" s="420"/>
      <c r="OFK2" s="420"/>
      <c r="OFL2" s="420"/>
      <c r="OFM2" s="419" t="s">
        <v>23</v>
      </c>
      <c r="OFN2" s="420"/>
      <c r="OFO2" s="420"/>
      <c r="OFP2" s="420"/>
      <c r="OFQ2" s="419" t="s">
        <v>23</v>
      </c>
      <c r="OFR2" s="420"/>
      <c r="OFS2" s="420"/>
      <c r="OFT2" s="420"/>
      <c r="OFU2" s="419" t="s">
        <v>23</v>
      </c>
      <c r="OFV2" s="420"/>
      <c r="OFW2" s="420"/>
      <c r="OFX2" s="420"/>
      <c r="OFY2" s="419" t="s">
        <v>23</v>
      </c>
      <c r="OFZ2" s="420"/>
      <c r="OGA2" s="420"/>
      <c r="OGB2" s="420"/>
      <c r="OGC2" s="419" t="s">
        <v>23</v>
      </c>
      <c r="OGD2" s="420"/>
      <c r="OGE2" s="420"/>
      <c r="OGF2" s="420"/>
      <c r="OGG2" s="419" t="s">
        <v>23</v>
      </c>
      <c r="OGH2" s="420"/>
      <c r="OGI2" s="420"/>
      <c r="OGJ2" s="420"/>
      <c r="OGK2" s="419" t="s">
        <v>23</v>
      </c>
      <c r="OGL2" s="420"/>
      <c r="OGM2" s="420"/>
      <c r="OGN2" s="420"/>
      <c r="OGO2" s="419" t="s">
        <v>23</v>
      </c>
      <c r="OGP2" s="420"/>
      <c r="OGQ2" s="420"/>
      <c r="OGR2" s="420"/>
      <c r="OGS2" s="419" t="s">
        <v>23</v>
      </c>
      <c r="OGT2" s="420"/>
      <c r="OGU2" s="420"/>
      <c r="OGV2" s="420"/>
      <c r="OGW2" s="419" t="s">
        <v>23</v>
      </c>
      <c r="OGX2" s="420"/>
      <c r="OGY2" s="420"/>
      <c r="OGZ2" s="420"/>
      <c r="OHA2" s="419" t="s">
        <v>23</v>
      </c>
      <c r="OHB2" s="420"/>
      <c r="OHC2" s="420"/>
      <c r="OHD2" s="420"/>
      <c r="OHE2" s="419" t="s">
        <v>23</v>
      </c>
      <c r="OHF2" s="420"/>
      <c r="OHG2" s="420"/>
      <c r="OHH2" s="420"/>
      <c r="OHI2" s="419" t="s">
        <v>23</v>
      </c>
      <c r="OHJ2" s="420"/>
      <c r="OHK2" s="420"/>
      <c r="OHL2" s="420"/>
      <c r="OHM2" s="419" t="s">
        <v>23</v>
      </c>
      <c r="OHN2" s="420"/>
      <c r="OHO2" s="420"/>
      <c r="OHP2" s="420"/>
      <c r="OHQ2" s="419" t="s">
        <v>23</v>
      </c>
      <c r="OHR2" s="420"/>
      <c r="OHS2" s="420"/>
      <c r="OHT2" s="420"/>
      <c r="OHU2" s="419" t="s">
        <v>23</v>
      </c>
      <c r="OHV2" s="420"/>
      <c r="OHW2" s="420"/>
      <c r="OHX2" s="420"/>
      <c r="OHY2" s="419" t="s">
        <v>23</v>
      </c>
      <c r="OHZ2" s="420"/>
      <c r="OIA2" s="420"/>
      <c r="OIB2" s="420"/>
      <c r="OIC2" s="419" t="s">
        <v>23</v>
      </c>
      <c r="OID2" s="420"/>
      <c r="OIE2" s="420"/>
      <c r="OIF2" s="420"/>
      <c r="OIG2" s="419" t="s">
        <v>23</v>
      </c>
      <c r="OIH2" s="420"/>
      <c r="OII2" s="420"/>
      <c r="OIJ2" s="420"/>
      <c r="OIK2" s="419" t="s">
        <v>23</v>
      </c>
      <c r="OIL2" s="420"/>
      <c r="OIM2" s="420"/>
      <c r="OIN2" s="420"/>
      <c r="OIO2" s="419" t="s">
        <v>23</v>
      </c>
      <c r="OIP2" s="420"/>
      <c r="OIQ2" s="420"/>
      <c r="OIR2" s="420"/>
      <c r="OIS2" s="419" t="s">
        <v>23</v>
      </c>
      <c r="OIT2" s="420"/>
      <c r="OIU2" s="420"/>
      <c r="OIV2" s="420"/>
      <c r="OIW2" s="419" t="s">
        <v>23</v>
      </c>
      <c r="OIX2" s="420"/>
      <c r="OIY2" s="420"/>
      <c r="OIZ2" s="420"/>
      <c r="OJA2" s="419" t="s">
        <v>23</v>
      </c>
      <c r="OJB2" s="420"/>
      <c r="OJC2" s="420"/>
      <c r="OJD2" s="420"/>
      <c r="OJE2" s="419" t="s">
        <v>23</v>
      </c>
      <c r="OJF2" s="420"/>
      <c r="OJG2" s="420"/>
      <c r="OJH2" s="420"/>
      <c r="OJI2" s="419" t="s">
        <v>23</v>
      </c>
      <c r="OJJ2" s="420"/>
      <c r="OJK2" s="420"/>
      <c r="OJL2" s="420"/>
      <c r="OJM2" s="419" t="s">
        <v>23</v>
      </c>
      <c r="OJN2" s="420"/>
      <c r="OJO2" s="420"/>
      <c r="OJP2" s="420"/>
      <c r="OJQ2" s="419" t="s">
        <v>23</v>
      </c>
      <c r="OJR2" s="420"/>
      <c r="OJS2" s="420"/>
      <c r="OJT2" s="420"/>
      <c r="OJU2" s="419" t="s">
        <v>23</v>
      </c>
      <c r="OJV2" s="420"/>
      <c r="OJW2" s="420"/>
      <c r="OJX2" s="420"/>
      <c r="OJY2" s="419" t="s">
        <v>23</v>
      </c>
      <c r="OJZ2" s="420"/>
      <c r="OKA2" s="420"/>
      <c r="OKB2" s="420"/>
      <c r="OKC2" s="419" t="s">
        <v>23</v>
      </c>
      <c r="OKD2" s="420"/>
      <c r="OKE2" s="420"/>
      <c r="OKF2" s="420"/>
      <c r="OKG2" s="419" t="s">
        <v>23</v>
      </c>
      <c r="OKH2" s="420"/>
      <c r="OKI2" s="420"/>
      <c r="OKJ2" s="420"/>
      <c r="OKK2" s="419" t="s">
        <v>23</v>
      </c>
      <c r="OKL2" s="420"/>
      <c r="OKM2" s="420"/>
      <c r="OKN2" s="420"/>
      <c r="OKO2" s="419" t="s">
        <v>23</v>
      </c>
      <c r="OKP2" s="420"/>
      <c r="OKQ2" s="420"/>
      <c r="OKR2" s="420"/>
      <c r="OKS2" s="419" t="s">
        <v>23</v>
      </c>
      <c r="OKT2" s="420"/>
      <c r="OKU2" s="420"/>
      <c r="OKV2" s="420"/>
      <c r="OKW2" s="419" t="s">
        <v>23</v>
      </c>
      <c r="OKX2" s="420"/>
      <c r="OKY2" s="420"/>
      <c r="OKZ2" s="420"/>
      <c r="OLA2" s="419" t="s">
        <v>23</v>
      </c>
      <c r="OLB2" s="420"/>
      <c r="OLC2" s="420"/>
      <c r="OLD2" s="420"/>
      <c r="OLE2" s="419" t="s">
        <v>23</v>
      </c>
      <c r="OLF2" s="420"/>
      <c r="OLG2" s="420"/>
      <c r="OLH2" s="420"/>
      <c r="OLI2" s="419" t="s">
        <v>23</v>
      </c>
      <c r="OLJ2" s="420"/>
      <c r="OLK2" s="420"/>
      <c r="OLL2" s="420"/>
      <c r="OLM2" s="419" t="s">
        <v>23</v>
      </c>
      <c r="OLN2" s="420"/>
      <c r="OLO2" s="420"/>
      <c r="OLP2" s="420"/>
      <c r="OLQ2" s="419" t="s">
        <v>23</v>
      </c>
      <c r="OLR2" s="420"/>
      <c r="OLS2" s="420"/>
      <c r="OLT2" s="420"/>
      <c r="OLU2" s="419" t="s">
        <v>23</v>
      </c>
      <c r="OLV2" s="420"/>
      <c r="OLW2" s="420"/>
      <c r="OLX2" s="420"/>
      <c r="OLY2" s="419" t="s">
        <v>23</v>
      </c>
      <c r="OLZ2" s="420"/>
      <c r="OMA2" s="420"/>
      <c r="OMB2" s="420"/>
      <c r="OMC2" s="419" t="s">
        <v>23</v>
      </c>
      <c r="OMD2" s="420"/>
      <c r="OME2" s="420"/>
      <c r="OMF2" s="420"/>
      <c r="OMG2" s="419" t="s">
        <v>23</v>
      </c>
      <c r="OMH2" s="420"/>
      <c r="OMI2" s="420"/>
      <c r="OMJ2" s="420"/>
      <c r="OMK2" s="419" t="s">
        <v>23</v>
      </c>
      <c r="OML2" s="420"/>
      <c r="OMM2" s="420"/>
      <c r="OMN2" s="420"/>
      <c r="OMO2" s="419" t="s">
        <v>23</v>
      </c>
      <c r="OMP2" s="420"/>
      <c r="OMQ2" s="420"/>
      <c r="OMR2" s="420"/>
      <c r="OMS2" s="419" t="s">
        <v>23</v>
      </c>
      <c r="OMT2" s="420"/>
      <c r="OMU2" s="420"/>
      <c r="OMV2" s="420"/>
      <c r="OMW2" s="419" t="s">
        <v>23</v>
      </c>
      <c r="OMX2" s="420"/>
      <c r="OMY2" s="420"/>
      <c r="OMZ2" s="420"/>
      <c r="ONA2" s="419" t="s">
        <v>23</v>
      </c>
      <c r="ONB2" s="420"/>
      <c r="ONC2" s="420"/>
      <c r="OND2" s="420"/>
      <c r="ONE2" s="419" t="s">
        <v>23</v>
      </c>
      <c r="ONF2" s="420"/>
      <c r="ONG2" s="420"/>
      <c r="ONH2" s="420"/>
      <c r="ONI2" s="419" t="s">
        <v>23</v>
      </c>
      <c r="ONJ2" s="420"/>
      <c r="ONK2" s="420"/>
      <c r="ONL2" s="420"/>
      <c r="ONM2" s="419" t="s">
        <v>23</v>
      </c>
      <c r="ONN2" s="420"/>
      <c r="ONO2" s="420"/>
      <c r="ONP2" s="420"/>
      <c r="ONQ2" s="419" t="s">
        <v>23</v>
      </c>
      <c r="ONR2" s="420"/>
      <c r="ONS2" s="420"/>
      <c r="ONT2" s="420"/>
      <c r="ONU2" s="419" t="s">
        <v>23</v>
      </c>
      <c r="ONV2" s="420"/>
      <c r="ONW2" s="420"/>
      <c r="ONX2" s="420"/>
      <c r="ONY2" s="419" t="s">
        <v>23</v>
      </c>
      <c r="ONZ2" s="420"/>
      <c r="OOA2" s="420"/>
      <c r="OOB2" s="420"/>
      <c r="OOC2" s="419" t="s">
        <v>23</v>
      </c>
      <c r="OOD2" s="420"/>
      <c r="OOE2" s="420"/>
      <c r="OOF2" s="420"/>
      <c r="OOG2" s="419" t="s">
        <v>23</v>
      </c>
      <c r="OOH2" s="420"/>
      <c r="OOI2" s="420"/>
      <c r="OOJ2" s="420"/>
      <c r="OOK2" s="419" t="s">
        <v>23</v>
      </c>
      <c r="OOL2" s="420"/>
      <c r="OOM2" s="420"/>
      <c r="OON2" s="420"/>
      <c r="OOO2" s="419" t="s">
        <v>23</v>
      </c>
      <c r="OOP2" s="420"/>
      <c r="OOQ2" s="420"/>
      <c r="OOR2" s="420"/>
      <c r="OOS2" s="419" t="s">
        <v>23</v>
      </c>
      <c r="OOT2" s="420"/>
      <c r="OOU2" s="420"/>
      <c r="OOV2" s="420"/>
      <c r="OOW2" s="419" t="s">
        <v>23</v>
      </c>
      <c r="OOX2" s="420"/>
      <c r="OOY2" s="420"/>
      <c r="OOZ2" s="420"/>
      <c r="OPA2" s="419" t="s">
        <v>23</v>
      </c>
      <c r="OPB2" s="420"/>
      <c r="OPC2" s="420"/>
      <c r="OPD2" s="420"/>
      <c r="OPE2" s="419" t="s">
        <v>23</v>
      </c>
      <c r="OPF2" s="420"/>
      <c r="OPG2" s="420"/>
      <c r="OPH2" s="420"/>
      <c r="OPI2" s="419" t="s">
        <v>23</v>
      </c>
      <c r="OPJ2" s="420"/>
      <c r="OPK2" s="420"/>
      <c r="OPL2" s="420"/>
      <c r="OPM2" s="419" t="s">
        <v>23</v>
      </c>
      <c r="OPN2" s="420"/>
      <c r="OPO2" s="420"/>
      <c r="OPP2" s="420"/>
      <c r="OPQ2" s="419" t="s">
        <v>23</v>
      </c>
      <c r="OPR2" s="420"/>
      <c r="OPS2" s="420"/>
      <c r="OPT2" s="420"/>
      <c r="OPU2" s="419" t="s">
        <v>23</v>
      </c>
      <c r="OPV2" s="420"/>
      <c r="OPW2" s="420"/>
      <c r="OPX2" s="420"/>
      <c r="OPY2" s="419" t="s">
        <v>23</v>
      </c>
      <c r="OPZ2" s="420"/>
      <c r="OQA2" s="420"/>
      <c r="OQB2" s="420"/>
      <c r="OQC2" s="419" t="s">
        <v>23</v>
      </c>
      <c r="OQD2" s="420"/>
      <c r="OQE2" s="420"/>
      <c r="OQF2" s="420"/>
      <c r="OQG2" s="419" t="s">
        <v>23</v>
      </c>
      <c r="OQH2" s="420"/>
      <c r="OQI2" s="420"/>
      <c r="OQJ2" s="420"/>
      <c r="OQK2" s="419" t="s">
        <v>23</v>
      </c>
      <c r="OQL2" s="420"/>
      <c r="OQM2" s="420"/>
      <c r="OQN2" s="420"/>
      <c r="OQO2" s="419" t="s">
        <v>23</v>
      </c>
      <c r="OQP2" s="420"/>
      <c r="OQQ2" s="420"/>
      <c r="OQR2" s="420"/>
      <c r="OQS2" s="419" t="s">
        <v>23</v>
      </c>
      <c r="OQT2" s="420"/>
      <c r="OQU2" s="420"/>
      <c r="OQV2" s="420"/>
      <c r="OQW2" s="419" t="s">
        <v>23</v>
      </c>
      <c r="OQX2" s="420"/>
      <c r="OQY2" s="420"/>
      <c r="OQZ2" s="420"/>
      <c r="ORA2" s="419" t="s">
        <v>23</v>
      </c>
      <c r="ORB2" s="420"/>
      <c r="ORC2" s="420"/>
      <c r="ORD2" s="420"/>
      <c r="ORE2" s="419" t="s">
        <v>23</v>
      </c>
      <c r="ORF2" s="420"/>
      <c r="ORG2" s="420"/>
      <c r="ORH2" s="420"/>
      <c r="ORI2" s="419" t="s">
        <v>23</v>
      </c>
      <c r="ORJ2" s="420"/>
      <c r="ORK2" s="420"/>
      <c r="ORL2" s="420"/>
      <c r="ORM2" s="419" t="s">
        <v>23</v>
      </c>
      <c r="ORN2" s="420"/>
      <c r="ORO2" s="420"/>
      <c r="ORP2" s="420"/>
      <c r="ORQ2" s="419" t="s">
        <v>23</v>
      </c>
      <c r="ORR2" s="420"/>
      <c r="ORS2" s="420"/>
      <c r="ORT2" s="420"/>
      <c r="ORU2" s="419" t="s">
        <v>23</v>
      </c>
      <c r="ORV2" s="420"/>
      <c r="ORW2" s="420"/>
      <c r="ORX2" s="420"/>
      <c r="ORY2" s="419" t="s">
        <v>23</v>
      </c>
      <c r="ORZ2" s="420"/>
      <c r="OSA2" s="420"/>
      <c r="OSB2" s="420"/>
      <c r="OSC2" s="419" t="s">
        <v>23</v>
      </c>
      <c r="OSD2" s="420"/>
      <c r="OSE2" s="420"/>
      <c r="OSF2" s="420"/>
      <c r="OSG2" s="419" t="s">
        <v>23</v>
      </c>
      <c r="OSH2" s="420"/>
      <c r="OSI2" s="420"/>
      <c r="OSJ2" s="420"/>
      <c r="OSK2" s="419" t="s">
        <v>23</v>
      </c>
      <c r="OSL2" s="420"/>
      <c r="OSM2" s="420"/>
      <c r="OSN2" s="420"/>
      <c r="OSO2" s="419" t="s">
        <v>23</v>
      </c>
      <c r="OSP2" s="420"/>
      <c r="OSQ2" s="420"/>
      <c r="OSR2" s="420"/>
      <c r="OSS2" s="419" t="s">
        <v>23</v>
      </c>
      <c r="OST2" s="420"/>
      <c r="OSU2" s="420"/>
      <c r="OSV2" s="420"/>
      <c r="OSW2" s="419" t="s">
        <v>23</v>
      </c>
      <c r="OSX2" s="420"/>
      <c r="OSY2" s="420"/>
      <c r="OSZ2" s="420"/>
      <c r="OTA2" s="419" t="s">
        <v>23</v>
      </c>
      <c r="OTB2" s="420"/>
      <c r="OTC2" s="420"/>
      <c r="OTD2" s="420"/>
      <c r="OTE2" s="419" t="s">
        <v>23</v>
      </c>
      <c r="OTF2" s="420"/>
      <c r="OTG2" s="420"/>
      <c r="OTH2" s="420"/>
      <c r="OTI2" s="419" t="s">
        <v>23</v>
      </c>
      <c r="OTJ2" s="420"/>
      <c r="OTK2" s="420"/>
      <c r="OTL2" s="420"/>
      <c r="OTM2" s="419" t="s">
        <v>23</v>
      </c>
      <c r="OTN2" s="420"/>
      <c r="OTO2" s="420"/>
      <c r="OTP2" s="420"/>
      <c r="OTQ2" s="419" t="s">
        <v>23</v>
      </c>
      <c r="OTR2" s="420"/>
      <c r="OTS2" s="420"/>
      <c r="OTT2" s="420"/>
      <c r="OTU2" s="419" t="s">
        <v>23</v>
      </c>
      <c r="OTV2" s="420"/>
      <c r="OTW2" s="420"/>
      <c r="OTX2" s="420"/>
      <c r="OTY2" s="419" t="s">
        <v>23</v>
      </c>
      <c r="OTZ2" s="420"/>
      <c r="OUA2" s="420"/>
      <c r="OUB2" s="420"/>
      <c r="OUC2" s="419" t="s">
        <v>23</v>
      </c>
      <c r="OUD2" s="420"/>
      <c r="OUE2" s="420"/>
      <c r="OUF2" s="420"/>
      <c r="OUG2" s="419" t="s">
        <v>23</v>
      </c>
      <c r="OUH2" s="420"/>
      <c r="OUI2" s="420"/>
      <c r="OUJ2" s="420"/>
      <c r="OUK2" s="419" t="s">
        <v>23</v>
      </c>
      <c r="OUL2" s="420"/>
      <c r="OUM2" s="420"/>
      <c r="OUN2" s="420"/>
      <c r="OUO2" s="419" t="s">
        <v>23</v>
      </c>
      <c r="OUP2" s="420"/>
      <c r="OUQ2" s="420"/>
      <c r="OUR2" s="420"/>
      <c r="OUS2" s="419" t="s">
        <v>23</v>
      </c>
      <c r="OUT2" s="420"/>
      <c r="OUU2" s="420"/>
      <c r="OUV2" s="420"/>
      <c r="OUW2" s="419" t="s">
        <v>23</v>
      </c>
      <c r="OUX2" s="420"/>
      <c r="OUY2" s="420"/>
      <c r="OUZ2" s="420"/>
      <c r="OVA2" s="419" t="s">
        <v>23</v>
      </c>
      <c r="OVB2" s="420"/>
      <c r="OVC2" s="420"/>
      <c r="OVD2" s="420"/>
      <c r="OVE2" s="419" t="s">
        <v>23</v>
      </c>
      <c r="OVF2" s="420"/>
      <c r="OVG2" s="420"/>
      <c r="OVH2" s="420"/>
      <c r="OVI2" s="419" t="s">
        <v>23</v>
      </c>
      <c r="OVJ2" s="420"/>
      <c r="OVK2" s="420"/>
      <c r="OVL2" s="420"/>
      <c r="OVM2" s="419" t="s">
        <v>23</v>
      </c>
      <c r="OVN2" s="420"/>
      <c r="OVO2" s="420"/>
      <c r="OVP2" s="420"/>
      <c r="OVQ2" s="419" t="s">
        <v>23</v>
      </c>
      <c r="OVR2" s="420"/>
      <c r="OVS2" s="420"/>
      <c r="OVT2" s="420"/>
      <c r="OVU2" s="419" t="s">
        <v>23</v>
      </c>
      <c r="OVV2" s="420"/>
      <c r="OVW2" s="420"/>
      <c r="OVX2" s="420"/>
      <c r="OVY2" s="419" t="s">
        <v>23</v>
      </c>
      <c r="OVZ2" s="420"/>
      <c r="OWA2" s="420"/>
      <c r="OWB2" s="420"/>
      <c r="OWC2" s="419" t="s">
        <v>23</v>
      </c>
      <c r="OWD2" s="420"/>
      <c r="OWE2" s="420"/>
      <c r="OWF2" s="420"/>
      <c r="OWG2" s="419" t="s">
        <v>23</v>
      </c>
      <c r="OWH2" s="420"/>
      <c r="OWI2" s="420"/>
      <c r="OWJ2" s="420"/>
      <c r="OWK2" s="419" t="s">
        <v>23</v>
      </c>
      <c r="OWL2" s="420"/>
      <c r="OWM2" s="420"/>
      <c r="OWN2" s="420"/>
      <c r="OWO2" s="419" t="s">
        <v>23</v>
      </c>
      <c r="OWP2" s="420"/>
      <c r="OWQ2" s="420"/>
      <c r="OWR2" s="420"/>
      <c r="OWS2" s="419" t="s">
        <v>23</v>
      </c>
      <c r="OWT2" s="420"/>
      <c r="OWU2" s="420"/>
      <c r="OWV2" s="420"/>
      <c r="OWW2" s="419" t="s">
        <v>23</v>
      </c>
      <c r="OWX2" s="420"/>
      <c r="OWY2" s="420"/>
      <c r="OWZ2" s="420"/>
      <c r="OXA2" s="419" t="s">
        <v>23</v>
      </c>
      <c r="OXB2" s="420"/>
      <c r="OXC2" s="420"/>
      <c r="OXD2" s="420"/>
      <c r="OXE2" s="419" t="s">
        <v>23</v>
      </c>
      <c r="OXF2" s="420"/>
      <c r="OXG2" s="420"/>
      <c r="OXH2" s="420"/>
      <c r="OXI2" s="419" t="s">
        <v>23</v>
      </c>
      <c r="OXJ2" s="420"/>
      <c r="OXK2" s="420"/>
      <c r="OXL2" s="420"/>
      <c r="OXM2" s="419" t="s">
        <v>23</v>
      </c>
      <c r="OXN2" s="420"/>
      <c r="OXO2" s="420"/>
      <c r="OXP2" s="420"/>
      <c r="OXQ2" s="419" t="s">
        <v>23</v>
      </c>
      <c r="OXR2" s="420"/>
      <c r="OXS2" s="420"/>
      <c r="OXT2" s="420"/>
      <c r="OXU2" s="419" t="s">
        <v>23</v>
      </c>
      <c r="OXV2" s="420"/>
      <c r="OXW2" s="420"/>
      <c r="OXX2" s="420"/>
      <c r="OXY2" s="419" t="s">
        <v>23</v>
      </c>
      <c r="OXZ2" s="420"/>
      <c r="OYA2" s="420"/>
      <c r="OYB2" s="420"/>
      <c r="OYC2" s="419" t="s">
        <v>23</v>
      </c>
      <c r="OYD2" s="420"/>
      <c r="OYE2" s="420"/>
      <c r="OYF2" s="420"/>
      <c r="OYG2" s="419" t="s">
        <v>23</v>
      </c>
      <c r="OYH2" s="420"/>
      <c r="OYI2" s="420"/>
      <c r="OYJ2" s="420"/>
      <c r="OYK2" s="419" t="s">
        <v>23</v>
      </c>
      <c r="OYL2" s="420"/>
      <c r="OYM2" s="420"/>
      <c r="OYN2" s="420"/>
      <c r="OYO2" s="419" t="s">
        <v>23</v>
      </c>
      <c r="OYP2" s="420"/>
      <c r="OYQ2" s="420"/>
      <c r="OYR2" s="420"/>
      <c r="OYS2" s="419" t="s">
        <v>23</v>
      </c>
      <c r="OYT2" s="420"/>
      <c r="OYU2" s="420"/>
      <c r="OYV2" s="420"/>
      <c r="OYW2" s="419" t="s">
        <v>23</v>
      </c>
      <c r="OYX2" s="420"/>
      <c r="OYY2" s="420"/>
      <c r="OYZ2" s="420"/>
      <c r="OZA2" s="419" t="s">
        <v>23</v>
      </c>
      <c r="OZB2" s="420"/>
      <c r="OZC2" s="420"/>
      <c r="OZD2" s="420"/>
      <c r="OZE2" s="419" t="s">
        <v>23</v>
      </c>
      <c r="OZF2" s="420"/>
      <c r="OZG2" s="420"/>
      <c r="OZH2" s="420"/>
      <c r="OZI2" s="419" t="s">
        <v>23</v>
      </c>
      <c r="OZJ2" s="420"/>
      <c r="OZK2" s="420"/>
      <c r="OZL2" s="420"/>
      <c r="OZM2" s="419" t="s">
        <v>23</v>
      </c>
      <c r="OZN2" s="420"/>
      <c r="OZO2" s="420"/>
      <c r="OZP2" s="420"/>
      <c r="OZQ2" s="419" t="s">
        <v>23</v>
      </c>
      <c r="OZR2" s="420"/>
      <c r="OZS2" s="420"/>
      <c r="OZT2" s="420"/>
      <c r="OZU2" s="419" t="s">
        <v>23</v>
      </c>
      <c r="OZV2" s="420"/>
      <c r="OZW2" s="420"/>
      <c r="OZX2" s="420"/>
      <c r="OZY2" s="419" t="s">
        <v>23</v>
      </c>
      <c r="OZZ2" s="420"/>
      <c r="PAA2" s="420"/>
      <c r="PAB2" s="420"/>
      <c r="PAC2" s="419" t="s">
        <v>23</v>
      </c>
      <c r="PAD2" s="420"/>
      <c r="PAE2" s="420"/>
      <c r="PAF2" s="420"/>
      <c r="PAG2" s="419" t="s">
        <v>23</v>
      </c>
      <c r="PAH2" s="420"/>
      <c r="PAI2" s="420"/>
      <c r="PAJ2" s="420"/>
      <c r="PAK2" s="419" t="s">
        <v>23</v>
      </c>
      <c r="PAL2" s="420"/>
      <c r="PAM2" s="420"/>
      <c r="PAN2" s="420"/>
      <c r="PAO2" s="419" t="s">
        <v>23</v>
      </c>
      <c r="PAP2" s="420"/>
      <c r="PAQ2" s="420"/>
      <c r="PAR2" s="420"/>
      <c r="PAS2" s="419" t="s">
        <v>23</v>
      </c>
      <c r="PAT2" s="420"/>
      <c r="PAU2" s="420"/>
      <c r="PAV2" s="420"/>
      <c r="PAW2" s="419" t="s">
        <v>23</v>
      </c>
      <c r="PAX2" s="420"/>
      <c r="PAY2" s="420"/>
      <c r="PAZ2" s="420"/>
      <c r="PBA2" s="419" t="s">
        <v>23</v>
      </c>
      <c r="PBB2" s="420"/>
      <c r="PBC2" s="420"/>
      <c r="PBD2" s="420"/>
      <c r="PBE2" s="419" t="s">
        <v>23</v>
      </c>
      <c r="PBF2" s="420"/>
      <c r="PBG2" s="420"/>
      <c r="PBH2" s="420"/>
      <c r="PBI2" s="419" t="s">
        <v>23</v>
      </c>
      <c r="PBJ2" s="420"/>
      <c r="PBK2" s="420"/>
      <c r="PBL2" s="420"/>
      <c r="PBM2" s="419" t="s">
        <v>23</v>
      </c>
      <c r="PBN2" s="420"/>
      <c r="PBO2" s="420"/>
      <c r="PBP2" s="420"/>
      <c r="PBQ2" s="419" t="s">
        <v>23</v>
      </c>
      <c r="PBR2" s="420"/>
      <c r="PBS2" s="420"/>
      <c r="PBT2" s="420"/>
      <c r="PBU2" s="419" t="s">
        <v>23</v>
      </c>
      <c r="PBV2" s="420"/>
      <c r="PBW2" s="420"/>
      <c r="PBX2" s="420"/>
      <c r="PBY2" s="419" t="s">
        <v>23</v>
      </c>
      <c r="PBZ2" s="420"/>
      <c r="PCA2" s="420"/>
      <c r="PCB2" s="420"/>
      <c r="PCC2" s="419" t="s">
        <v>23</v>
      </c>
      <c r="PCD2" s="420"/>
      <c r="PCE2" s="420"/>
      <c r="PCF2" s="420"/>
      <c r="PCG2" s="419" t="s">
        <v>23</v>
      </c>
      <c r="PCH2" s="420"/>
      <c r="PCI2" s="420"/>
      <c r="PCJ2" s="420"/>
      <c r="PCK2" s="419" t="s">
        <v>23</v>
      </c>
      <c r="PCL2" s="420"/>
      <c r="PCM2" s="420"/>
      <c r="PCN2" s="420"/>
      <c r="PCO2" s="419" t="s">
        <v>23</v>
      </c>
      <c r="PCP2" s="420"/>
      <c r="PCQ2" s="420"/>
      <c r="PCR2" s="420"/>
      <c r="PCS2" s="419" t="s">
        <v>23</v>
      </c>
      <c r="PCT2" s="420"/>
      <c r="PCU2" s="420"/>
      <c r="PCV2" s="420"/>
      <c r="PCW2" s="419" t="s">
        <v>23</v>
      </c>
      <c r="PCX2" s="420"/>
      <c r="PCY2" s="420"/>
      <c r="PCZ2" s="420"/>
      <c r="PDA2" s="419" t="s">
        <v>23</v>
      </c>
      <c r="PDB2" s="420"/>
      <c r="PDC2" s="420"/>
      <c r="PDD2" s="420"/>
      <c r="PDE2" s="419" t="s">
        <v>23</v>
      </c>
      <c r="PDF2" s="420"/>
      <c r="PDG2" s="420"/>
      <c r="PDH2" s="420"/>
      <c r="PDI2" s="419" t="s">
        <v>23</v>
      </c>
      <c r="PDJ2" s="420"/>
      <c r="PDK2" s="420"/>
      <c r="PDL2" s="420"/>
      <c r="PDM2" s="419" t="s">
        <v>23</v>
      </c>
      <c r="PDN2" s="420"/>
      <c r="PDO2" s="420"/>
      <c r="PDP2" s="420"/>
      <c r="PDQ2" s="419" t="s">
        <v>23</v>
      </c>
      <c r="PDR2" s="420"/>
      <c r="PDS2" s="420"/>
      <c r="PDT2" s="420"/>
      <c r="PDU2" s="419" t="s">
        <v>23</v>
      </c>
      <c r="PDV2" s="420"/>
      <c r="PDW2" s="420"/>
      <c r="PDX2" s="420"/>
      <c r="PDY2" s="419" t="s">
        <v>23</v>
      </c>
      <c r="PDZ2" s="420"/>
      <c r="PEA2" s="420"/>
      <c r="PEB2" s="420"/>
      <c r="PEC2" s="419" t="s">
        <v>23</v>
      </c>
      <c r="PED2" s="420"/>
      <c r="PEE2" s="420"/>
      <c r="PEF2" s="420"/>
      <c r="PEG2" s="419" t="s">
        <v>23</v>
      </c>
      <c r="PEH2" s="420"/>
      <c r="PEI2" s="420"/>
      <c r="PEJ2" s="420"/>
      <c r="PEK2" s="419" t="s">
        <v>23</v>
      </c>
      <c r="PEL2" s="420"/>
      <c r="PEM2" s="420"/>
      <c r="PEN2" s="420"/>
      <c r="PEO2" s="419" t="s">
        <v>23</v>
      </c>
      <c r="PEP2" s="420"/>
      <c r="PEQ2" s="420"/>
      <c r="PER2" s="420"/>
      <c r="PES2" s="419" t="s">
        <v>23</v>
      </c>
      <c r="PET2" s="420"/>
      <c r="PEU2" s="420"/>
      <c r="PEV2" s="420"/>
      <c r="PEW2" s="419" t="s">
        <v>23</v>
      </c>
      <c r="PEX2" s="420"/>
      <c r="PEY2" s="420"/>
      <c r="PEZ2" s="420"/>
      <c r="PFA2" s="419" t="s">
        <v>23</v>
      </c>
      <c r="PFB2" s="420"/>
      <c r="PFC2" s="420"/>
      <c r="PFD2" s="420"/>
      <c r="PFE2" s="419" t="s">
        <v>23</v>
      </c>
      <c r="PFF2" s="420"/>
      <c r="PFG2" s="420"/>
      <c r="PFH2" s="420"/>
      <c r="PFI2" s="419" t="s">
        <v>23</v>
      </c>
      <c r="PFJ2" s="420"/>
      <c r="PFK2" s="420"/>
      <c r="PFL2" s="420"/>
      <c r="PFM2" s="419" t="s">
        <v>23</v>
      </c>
      <c r="PFN2" s="420"/>
      <c r="PFO2" s="420"/>
      <c r="PFP2" s="420"/>
      <c r="PFQ2" s="419" t="s">
        <v>23</v>
      </c>
      <c r="PFR2" s="420"/>
      <c r="PFS2" s="420"/>
      <c r="PFT2" s="420"/>
      <c r="PFU2" s="419" t="s">
        <v>23</v>
      </c>
      <c r="PFV2" s="420"/>
      <c r="PFW2" s="420"/>
      <c r="PFX2" s="420"/>
      <c r="PFY2" s="419" t="s">
        <v>23</v>
      </c>
      <c r="PFZ2" s="420"/>
      <c r="PGA2" s="420"/>
      <c r="PGB2" s="420"/>
      <c r="PGC2" s="419" t="s">
        <v>23</v>
      </c>
      <c r="PGD2" s="420"/>
      <c r="PGE2" s="420"/>
      <c r="PGF2" s="420"/>
      <c r="PGG2" s="419" t="s">
        <v>23</v>
      </c>
      <c r="PGH2" s="420"/>
      <c r="PGI2" s="420"/>
      <c r="PGJ2" s="420"/>
      <c r="PGK2" s="419" t="s">
        <v>23</v>
      </c>
      <c r="PGL2" s="420"/>
      <c r="PGM2" s="420"/>
      <c r="PGN2" s="420"/>
      <c r="PGO2" s="419" t="s">
        <v>23</v>
      </c>
      <c r="PGP2" s="420"/>
      <c r="PGQ2" s="420"/>
      <c r="PGR2" s="420"/>
      <c r="PGS2" s="419" t="s">
        <v>23</v>
      </c>
      <c r="PGT2" s="420"/>
      <c r="PGU2" s="420"/>
      <c r="PGV2" s="420"/>
      <c r="PGW2" s="419" t="s">
        <v>23</v>
      </c>
      <c r="PGX2" s="420"/>
      <c r="PGY2" s="420"/>
      <c r="PGZ2" s="420"/>
      <c r="PHA2" s="419" t="s">
        <v>23</v>
      </c>
      <c r="PHB2" s="420"/>
      <c r="PHC2" s="420"/>
      <c r="PHD2" s="420"/>
      <c r="PHE2" s="419" t="s">
        <v>23</v>
      </c>
      <c r="PHF2" s="420"/>
      <c r="PHG2" s="420"/>
      <c r="PHH2" s="420"/>
      <c r="PHI2" s="419" t="s">
        <v>23</v>
      </c>
      <c r="PHJ2" s="420"/>
      <c r="PHK2" s="420"/>
      <c r="PHL2" s="420"/>
      <c r="PHM2" s="419" t="s">
        <v>23</v>
      </c>
      <c r="PHN2" s="420"/>
      <c r="PHO2" s="420"/>
      <c r="PHP2" s="420"/>
      <c r="PHQ2" s="419" t="s">
        <v>23</v>
      </c>
      <c r="PHR2" s="420"/>
      <c r="PHS2" s="420"/>
      <c r="PHT2" s="420"/>
      <c r="PHU2" s="419" t="s">
        <v>23</v>
      </c>
      <c r="PHV2" s="420"/>
      <c r="PHW2" s="420"/>
      <c r="PHX2" s="420"/>
      <c r="PHY2" s="419" t="s">
        <v>23</v>
      </c>
      <c r="PHZ2" s="420"/>
      <c r="PIA2" s="420"/>
      <c r="PIB2" s="420"/>
      <c r="PIC2" s="419" t="s">
        <v>23</v>
      </c>
      <c r="PID2" s="420"/>
      <c r="PIE2" s="420"/>
      <c r="PIF2" s="420"/>
      <c r="PIG2" s="419" t="s">
        <v>23</v>
      </c>
      <c r="PIH2" s="420"/>
      <c r="PII2" s="420"/>
      <c r="PIJ2" s="420"/>
      <c r="PIK2" s="419" t="s">
        <v>23</v>
      </c>
      <c r="PIL2" s="420"/>
      <c r="PIM2" s="420"/>
      <c r="PIN2" s="420"/>
      <c r="PIO2" s="419" t="s">
        <v>23</v>
      </c>
      <c r="PIP2" s="420"/>
      <c r="PIQ2" s="420"/>
      <c r="PIR2" s="420"/>
      <c r="PIS2" s="419" t="s">
        <v>23</v>
      </c>
      <c r="PIT2" s="420"/>
      <c r="PIU2" s="420"/>
      <c r="PIV2" s="420"/>
      <c r="PIW2" s="419" t="s">
        <v>23</v>
      </c>
      <c r="PIX2" s="420"/>
      <c r="PIY2" s="420"/>
      <c r="PIZ2" s="420"/>
      <c r="PJA2" s="419" t="s">
        <v>23</v>
      </c>
      <c r="PJB2" s="420"/>
      <c r="PJC2" s="420"/>
      <c r="PJD2" s="420"/>
      <c r="PJE2" s="419" t="s">
        <v>23</v>
      </c>
      <c r="PJF2" s="420"/>
      <c r="PJG2" s="420"/>
      <c r="PJH2" s="420"/>
      <c r="PJI2" s="419" t="s">
        <v>23</v>
      </c>
      <c r="PJJ2" s="420"/>
      <c r="PJK2" s="420"/>
      <c r="PJL2" s="420"/>
      <c r="PJM2" s="419" t="s">
        <v>23</v>
      </c>
      <c r="PJN2" s="420"/>
      <c r="PJO2" s="420"/>
      <c r="PJP2" s="420"/>
      <c r="PJQ2" s="419" t="s">
        <v>23</v>
      </c>
      <c r="PJR2" s="420"/>
      <c r="PJS2" s="420"/>
      <c r="PJT2" s="420"/>
      <c r="PJU2" s="419" t="s">
        <v>23</v>
      </c>
      <c r="PJV2" s="420"/>
      <c r="PJW2" s="420"/>
      <c r="PJX2" s="420"/>
      <c r="PJY2" s="419" t="s">
        <v>23</v>
      </c>
      <c r="PJZ2" s="420"/>
      <c r="PKA2" s="420"/>
      <c r="PKB2" s="420"/>
      <c r="PKC2" s="419" t="s">
        <v>23</v>
      </c>
      <c r="PKD2" s="420"/>
      <c r="PKE2" s="420"/>
      <c r="PKF2" s="420"/>
      <c r="PKG2" s="419" t="s">
        <v>23</v>
      </c>
      <c r="PKH2" s="420"/>
      <c r="PKI2" s="420"/>
      <c r="PKJ2" s="420"/>
      <c r="PKK2" s="419" t="s">
        <v>23</v>
      </c>
      <c r="PKL2" s="420"/>
      <c r="PKM2" s="420"/>
      <c r="PKN2" s="420"/>
      <c r="PKO2" s="419" t="s">
        <v>23</v>
      </c>
      <c r="PKP2" s="420"/>
      <c r="PKQ2" s="420"/>
      <c r="PKR2" s="420"/>
      <c r="PKS2" s="419" t="s">
        <v>23</v>
      </c>
      <c r="PKT2" s="420"/>
      <c r="PKU2" s="420"/>
      <c r="PKV2" s="420"/>
      <c r="PKW2" s="419" t="s">
        <v>23</v>
      </c>
      <c r="PKX2" s="420"/>
      <c r="PKY2" s="420"/>
      <c r="PKZ2" s="420"/>
      <c r="PLA2" s="419" t="s">
        <v>23</v>
      </c>
      <c r="PLB2" s="420"/>
      <c r="PLC2" s="420"/>
      <c r="PLD2" s="420"/>
      <c r="PLE2" s="419" t="s">
        <v>23</v>
      </c>
      <c r="PLF2" s="420"/>
      <c r="PLG2" s="420"/>
      <c r="PLH2" s="420"/>
      <c r="PLI2" s="419" t="s">
        <v>23</v>
      </c>
      <c r="PLJ2" s="420"/>
      <c r="PLK2" s="420"/>
      <c r="PLL2" s="420"/>
      <c r="PLM2" s="419" t="s">
        <v>23</v>
      </c>
      <c r="PLN2" s="420"/>
      <c r="PLO2" s="420"/>
      <c r="PLP2" s="420"/>
      <c r="PLQ2" s="419" t="s">
        <v>23</v>
      </c>
      <c r="PLR2" s="420"/>
      <c r="PLS2" s="420"/>
      <c r="PLT2" s="420"/>
      <c r="PLU2" s="419" t="s">
        <v>23</v>
      </c>
      <c r="PLV2" s="420"/>
      <c r="PLW2" s="420"/>
      <c r="PLX2" s="420"/>
      <c r="PLY2" s="419" t="s">
        <v>23</v>
      </c>
      <c r="PLZ2" s="420"/>
      <c r="PMA2" s="420"/>
      <c r="PMB2" s="420"/>
      <c r="PMC2" s="419" t="s">
        <v>23</v>
      </c>
      <c r="PMD2" s="420"/>
      <c r="PME2" s="420"/>
      <c r="PMF2" s="420"/>
      <c r="PMG2" s="419" t="s">
        <v>23</v>
      </c>
      <c r="PMH2" s="420"/>
      <c r="PMI2" s="420"/>
      <c r="PMJ2" s="420"/>
      <c r="PMK2" s="419" t="s">
        <v>23</v>
      </c>
      <c r="PML2" s="420"/>
      <c r="PMM2" s="420"/>
      <c r="PMN2" s="420"/>
      <c r="PMO2" s="419" t="s">
        <v>23</v>
      </c>
      <c r="PMP2" s="420"/>
      <c r="PMQ2" s="420"/>
      <c r="PMR2" s="420"/>
      <c r="PMS2" s="419" t="s">
        <v>23</v>
      </c>
      <c r="PMT2" s="420"/>
      <c r="PMU2" s="420"/>
      <c r="PMV2" s="420"/>
      <c r="PMW2" s="419" t="s">
        <v>23</v>
      </c>
      <c r="PMX2" s="420"/>
      <c r="PMY2" s="420"/>
      <c r="PMZ2" s="420"/>
      <c r="PNA2" s="419" t="s">
        <v>23</v>
      </c>
      <c r="PNB2" s="420"/>
      <c r="PNC2" s="420"/>
      <c r="PND2" s="420"/>
      <c r="PNE2" s="419" t="s">
        <v>23</v>
      </c>
      <c r="PNF2" s="420"/>
      <c r="PNG2" s="420"/>
      <c r="PNH2" s="420"/>
      <c r="PNI2" s="419" t="s">
        <v>23</v>
      </c>
      <c r="PNJ2" s="420"/>
      <c r="PNK2" s="420"/>
      <c r="PNL2" s="420"/>
      <c r="PNM2" s="419" t="s">
        <v>23</v>
      </c>
      <c r="PNN2" s="420"/>
      <c r="PNO2" s="420"/>
      <c r="PNP2" s="420"/>
      <c r="PNQ2" s="419" t="s">
        <v>23</v>
      </c>
      <c r="PNR2" s="420"/>
      <c r="PNS2" s="420"/>
      <c r="PNT2" s="420"/>
      <c r="PNU2" s="419" t="s">
        <v>23</v>
      </c>
      <c r="PNV2" s="420"/>
      <c r="PNW2" s="420"/>
      <c r="PNX2" s="420"/>
      <c r="PNY2" s="419" t="s">
        <v>23</v>
      </c>
      <c r="PNZ2" s="420"/>
      <c r="POA2" s="420"/>
      <c r="POB2" s="420"/>
      <c r="POC2" s="419" t="s">
        <v>23</v>
      </c>
      <c r="POD2" s="420"/>
      <c r="POE2" s="420"/>
      <c r="POF2" s="420"/>
      <c r="POG2" s="419" t="s">
        <v>23</v>
      </c>
      <c r="POH2" s="420"/>
      <c r="POI2" s="420"/>
      <c r="POJ2" s="420"/>
      <c r="POK2" s="419" t="s">
        <v>23</v>
      </c>
      <c r="POL2" s="420"/>
      <c r="POM2" s="420"/>
      <c r="PON2" s="420"/>
      <c r="POO2" s="419" t="s">
        <v>23</v>
      </c>
      <c r="POP2" s="420"/>
      <c r="POQ2" s="420"/>
      <c r="POR2" s="420"/>
      <c r="POS2" s="419" t="s">
        <v>23</v>
      </c>
      <c r="POT2" s="420"/>
      <c r="POU2" s="420"/>
      <c r="POV2" s="420"/>
      <c r="POW2" s="419" t="s">
        <v>23</v>
      </c>
      <c r="POX2" s="420"/>
      <c r="POY2" s="420"/>
      <c r="POZ2" s="420"/>
      <c r="PPA2" s="419" t="s">
        <v>23</v>
      </c>
      <c r="PPB2" s="420"/>
      <c r="PPC2" s="420"/>
      <c r="PPD2" s="420"/>
      <c r="PPE2" s="419" t="s">
        <v>23</v>
      </c>
      <c r="PPF2" s="420"/>
      <c r="PPG2" s="420"/>
      <c r="PPH2" s="420"/>
      <c r="PPI2" s="419" t="s">
        <v>23</v>
      </c>
      <c r="PPJ2" s="420"/>
      <c r="PPK2" s="420"/>
      <c r="PPL2" s="420"/>
      <c r="PPM2" s="419" t="s">
        <v>23</v>
      </c>
      <c r="PPN2" s="420"/>
      <c r="PPO2" s="420"/>
      <c r="PPP2" s="420"/>
      <c r="PPQ2" s="419" t="s">
        <v>23</v>
      </c>
      <c r="PPR2" s="420"/>
      <c r="PPS2" s="420"/>
      <c r="PPT2" s="420"/>
      <c r="PPU2" s="419" t="s">
        <v>23</v>
      </c>
      <c r="PPV2" s="420"/>
      <c r="PPW2" s="420"/>
      <c r="PPX2" s="420"/>
      <c r="PPY2" s="419" t="s">
        <v>23</v>
      </c>
      <c r="PPZ2" s="420"/>
      <c r="PQA2" s="420"/>
      <c r="PQB2" s="420"/>
      <c r="PQC2" s="419" t="s">
        <v>23</v>
      </c>
      <c r="PQD2" s="420"/>
      <c r="PQE2" s="420"/>
      <c r="PQF2" s="420"/>
      <c r="PQG2" s="419" t="s">
        <v>23</v>
      </c>
      <c r="PQH2" s="420"/>
      <c r="PQI2" s="420"/>
      <c r="PQJ2" s="420"/>
      <c r="PQK2" s="419" t="s">
        <v>23</v>
      </c>
      <c r="PQL2" s="420"/>
      <c r="PQM2" s="420"/>
      <c r="PQN2" s="420"/>
      <c r="PQO2" s="419" t="s">
        <v>23</v>
      </c>
      <c r="PQP2" s="420"/>
      <c r="PQQ2" s="420"/>
      <c r="PQR2" s="420"/>
      <c r="PQS2" s="419" t="s">
        <v>23</v>
      </c>
      <c r="PQT2" s="420"/>
      <c r="PQU2" s="420"/>
      <c r="PQV2" s="420"/>
      <c r="PQW2" s="419" t="s">
        <v>23</v>
      </c>
      <c r="PQX2" s="420"/>
      <c r="PQY2" s="420"/>
      <c r="PQZ2" s="420"/>
      <c r="PRA2" s="419" t="s">
        <v>23</v>
      </c>
      <c r="PRB2" s="420"/>
      <c r="PRC2" s="420"/>
      <c r="PRD2" s="420"/>
      <c r="PRE2" s="419" t="s">
        <v>23</v>
      </c>
      <c r="PRF2" s="420"/>
      <c r="PRG2" s="420"/>
      <c r="PRH2" s="420"/>
      <c r="PRI2" s="419" t="s">
        <v>23</v>
      </c>
      <c r="PRJ2" s="420"/>
      <c r="PRK2" s="420"/>
      <c r="PRL2" s="420"/>
      <c r="PRM2" s="419" t="s">
        <v>23</v>
      </c>
      <c r="PRN2" s="420"/>
      <c r="PRO2" s="420"/>
      <c r="PRP2" s="420"/>
      <c r="PRQ2" s="419" t="s">
        <v>23</v>
      </c>
      <c r="PRR2" s="420"/>
      <c r="PRS2" s="420"/>
      <c r="PRT2" s="420"/>
      <c r="PRU2" s="419" t="s">
        <v>23</v>
      </c>
      <c r="PRV2" s="420"/>
      <c r="PRW2" s="420"/>
      <c r="PRX2" s="420"/>
      <c r="PRY2" s="419" t="s">
        <v>23</v>
      </c>
      <c r="PRZ2" s="420"/>
      <c r="PSA2" s="420"/>
      <c r="PSB2" s="420"/>
      <c r="PSC2" s="419" t="s">
        <v>23</v>
      </c>
      <c r="PSD2" s="420"/>
      <c r="PSE2" s="420"/>
      <c r="PSF2" s="420"/>
      <c r="PSG2" s="419" t="s">
        <v>23</v>
      </c>
      <c r="PSH2" s="420"/>
      <c r="PSI2" s="420"/>
      <c r="PSJ2" s="420"/>
      <c r="PSK2" s="419" t="s">
        <v>23</v>
      </c>
      <c r="PSL2" s="420"/>
      <c r="PSM2" s="420"/>
      <c r="PSN2" s="420"/>
      <c r="PSO2" s="419" t="s">
        <v>23</v>
      </c>
      <c r="PSP2" s="420"/>
      <c r="PSQ2" s="420"/>
      <c r="PSR2" s="420"/>
      <c r="PSS2" s="419" t="s">
        <v>23</v>
      </c>
      <c r="PST2" s="420"/>
      <c r="PSU2" s="420"/>
      <c r="PSV2" s="420"/>
      <c r="PSW2" s="419" t="s">
        <v>23</v>
      </c>
      <c r="PSX2" s="420"/>
      <c r="PSY2" s="420"/>
      <c r="PSZ2" s="420"/>
      <c r="PTA2" s="419" t="s">
        <v>23</v>
      </c>
      <c r="PTB2" s="420"/>
      <c r="PTC2" s="420"/>
      <c r="PTD2" s="420"/>
      <c r="PTE2" s="419" t="s">
        <v>23</v>
      </c>
      <c r="PTF2" s="420"/>
      <c r="PTG2" s="420"/>
      <c r="PTH2" s="420"/>
      <c r="PTI2" s="419" t="s">
        <v>23</v>
      </c>
      <c r="PTJ2" s="420"/>
      <c r="PTK2" s="420"/>
      <c r="PTL2" s="420"/>
      <c r="PTM2" s="419" t="s">
        <v>23</v>
      </c>
      <c r="PTN2" s="420"/>
      <c r="PTO2" s="420"/>
      <c r="PTP2" s="420"/>
      <c r="PTQ2" s="419" t="s">
        <v>23</v>
      </c>
      <c r="PTR2" s="420"/>
      <c r="PTS2" s="420"/>
      <c r="PTT2" s="420"/>
      <c r="PTU2" s="419" t="s">
        <v>23</v>
      </c>
      <c r="PTV2" s="420"/>
      <c r="PTW2" s="420"/>
      <c r="PTX2" s="420"/>
      <c r="PTY2" s="419" t="s">
        <v>23</v>
      </c>
      <c r="PTZ2" s="420"/>
      <c r="PUA2" s="420"/>
      <c r="PUB2" s="420"/>
      <c r="PUC2" s="419" t="s">
        <v>23</v>
      </c>
      <c r="PUD2" s="420"/>
      <c r="PUE2" s="420"/>
      <c r="PUF2" s="420"/>
      <c r="PUG2" s="419" t="s">
        <v>23</v>
      </c>
      <c r="PUH2" s="420"/>
      <c r="PUI2" s="420"/>
      <c r="PUJ2" s="420"/>
      <c r="PUK2" s="419" t="s">
        <v>23</v>
      </c>
      <c r="PUL2" s="420"/>
      <c r="PUM2" s="420"/>
      <c r="PUN2" s="420"/>
      <c r="PUO2" s="419" t="s">
        <v>23</v>
      </c>
      <c r="PUP2" s="420"/>
      <c r="PUQ2" s="420"/>
      <c r="PUR2" s="420"/>
      <c r="PUS2" s="419" t="s">
        <v>23</v>
      </c>
      <c r="PUT2" s="420"/>
      <c r="PUU2" s="420"/>
      <c r="PUV2" s="420"/>
      <c r="PUW2" s="419" t="s">
        <v>23</v>
      </c>
      <c r="PUX2" s="420"/>
      <c r="PUY2" s="420"/>
      <c r="PUZ2" s="420"/>
      <c r="PVA2" s="419" t="s">
        <v>23</v>
      </c>
      <c r="PVB2" s="420"/>
      <c r="PVC2" s="420"/>
      <c r="PVD2" s="420"/>
      <c r="PVE2" s="419" t="s">
        <v>23</v>
      </c>
      <c r="PVF2" s="420"/>
      <c r="PVG2" s="420"/>
      <c r="PVH2" s="420"/>
      <c r="PVI2" s="419" t="s">
        <v>23</v>
      </c>
      <c r="PVJ2" s="420"/>
      <c r="PVK2" s="420"/>
      <c r="PVL2" s="420"/>
      <c r="PVM2" s="419" t="s">
        <v>23</v>
      </c>
      <c r="PVN2" s="420"/>
      <c r="PVO2" s="420"/>
      <c r="PVP2" s="420"/>
      <c r="PVQ2" s="419" t="s">
        <v>23</v>
      </c>
      <c r="PVR2" s="420"/>
      <c r="PVS2" s="420"/>
      <c r="PVT2" s="420"/>
      <c r="PVU2" s="419" t="s">
        <v>23</v>
      </c>
      <c r="PVV2" s="420"/>
      <c r="PVW2" s="420"/>
      <c r="PVX2" s="420"/>
      <c r="PVY2" s="419" t="s">
        <v>23</v>
      </c>
      <c r="PVZ2" s="420"/>
      <c r="PWA2" s="420"/>
      <c r="PWB2" s="420"/>
      <c r="PWC2" s="419" t="s">
        <v>23</v>
      </c>
      <c r="PWD2" s="420"/>
      <c r="PWE2" s="420"/>
      <c r="PWF2" s="420"/>
      <c r="PWG2" s="419" t="s">
        <v>23</v>
      </c>
      <c r="PWH2" s="420"/>
      <c r="PWI2" s="420"/>
      <c r="PWJ2" s="420"/>
      <c r="PWK2" s="419" t="s">
        <v>23</v>
      </c>
      <c r="PWL2" s="420"/>
      <c r="PWM2" s="420"/>
      <c r="PWN2" s="420"/>
      <c r="PWO2" s="419" t="s">
        <v>23</v>
      </c>
      <c r="PWP2" s="420"/>
      <c r="PWQ2" s="420"/>
      <c r="PWR2" s="420"/>
      <c r="PWS2" s="419" t="s">
        <v>23</v>
      </c>
      <c r="PWT2" s="420"/>
      <c r="PWU2" s="420"/>
      <c r="PWV2" s="420"/>
      <c r="PWW2" s="419" t="s">
        <v>23</v>
      </c>
      <c r="PWX2" s="420"/>
      <c r="PWY2" s="420"/>
      <c r="PWZ2" s="420"/>
      <c r="PXA2" s="419" t="s">
        <v>23</v>
      </c>
      <c r="PXB2" s="420"/>
      <c r="PXC2" s="420"/>
      <c r="PXD2" s="420"/>
      <c r="PXE2" s="419" t="s">
        <v>23</v>
      </c>
      <c r="PXF2" s="420"/>
      <c r="PXG2" s="420"/>
      <c r="PXH2" s="420"/>
      <c r="PXI2" s="419" t="s">
        <v>23</v>
      </c>
      <c r="PXJ2" s="420"/>
      <c r="PXK2" s="420"/>
      <c r="PXL2" s="420"/>
      <c r="PXM2" s="419" t="s">
        <v>23</v>
      </c>
      <c r="PXN2" s="420"/>
      <c r="PXO2" s="420"/>
      <c r="PXP2" s="420"/>
      <c r="PXQ2" s="419" t="s">
        <v>23</v>
      </c>
      <c r="PXR2" s="420"/>
      <c r="PXS2" s="420"/>
      <c r="PXT2" s="420"/>
      <c r="PXU2" s="419" t="s">
        <v>23</v>
      </c>
      <c r="PXV2" s="420"/>
      <c r="PXW2" s="420"/>
      <c r="PXX2" s="420"/>
      <c r="PXY2" s="419" t="s">
        <v>23</v>
      </c>
      <c r="PXZ2" s="420"/>
      <c r="PYA2" s="420"/>
      <c r="PYB2" s="420"/>
      <c r="PYC2" s="419" t="s">
        <v>23</v>
      </c>
      <c r="PYD2" s="420"/>
      <c r="PYE2" s="420"/>
      <c r="PYF2" s="420"/>
      <c r="PYG2" s="419" t="s">
        <v>23</v>
      </c>
      <c r="PYH2" s="420"/>
      <c r="PYI2" s="420"/>
      <c r="PYJ2" s="420"/>
      <c r="PYK2" s="419" t="s">
        <v>23</v>
      </c>
      <c r="PYL2" s="420"/>
      <c r="PYM2" s="420"/>
      <c r="PYN2" s="420"/>
      <c r="PYO2" s="419" t="s">
        <v>23</v>
      </c>
      <c r="PYP2" s="420"/>
      <c r="PYQ2" s="420"/>
      <c r="PYR2" s="420"/>
      <c r="PYS2" s="419" t="s">
        <v>23</v>
      </c>
      <c r="PYT2" s="420"/>
      <c r="PYU2" s="420"/>
      <c r="PYV2" s="420"/>
      <c r="PYW2" s="419" t="s">
        <v>23</v>
      </c>
      <c r="PYX2" s="420"/>
      <c r="PYY2" s="420"/>
      <c r="PYZ2" s="420"/>
      <c r="PZA2" s="419" t="s">
        <v>23</v>
      </c>
      <c r="PZB2" s="420"/>
      <c r="PZC2" s="420"/>
      <c r="PZD2" s="420"/>
      <c r="PZE2" s="419" t="s">
        <v>23</v>
      </c>
      <c r="PZF2" s="420"/>
      <c r="PZG2" s="420"/>
      <c r="PZH2" s="420"/>
      <c r="PZI2" s="419" t="s">
        <v>23</v>
      </c>
      <c r="PZJ2" s="420"/>
      <c r="PZK2" s="420"/>
      <c r="PZL2" s="420"/>
      <c r="PZM2" s="419" t="s">
        <v>23</v>
      </c>
      <c r="PZN2" s="420"/>
      <c r="PZO2" s="420"/>
      <c r="PZP2" s="420"/>
      <c r="PZQ2" s="419" t="s">
        <v>23</v>
      </c>
      <c r="PZR2" s="420"/>
      <c r="PZS2" s="420"/>
      <c r="PZT2" s="420"/>
      <c r="PZU2" s="419" t="s">
        <v>23</v>
      </c>
      <c r="PZV2" s="420"/>
      <c r="PZW2" s="420"/>
      <c r="PZX2" s="420"/>
      <c r="PZY2" s="419" t="s">
        <v>23</v>
      </c>
      <c r="PZZ2" s="420"/>
      <c r="QAA2" s="420"/>
      <c r="QAB2" s="420"/>
      <c r="QAC2" s="419" t="s">
        <v>23</v>
      </c>
      <c r="QAD2" s="420"/>
      <c r="QAE2" s="420"/>
      <c r="QAF2" s="420"/>
      <c r="QAG2" s="419" t="s">
        <v>23</v>
      </c>
      <c r="QAH2" s="420"/>
      <c r="QAI2" s="420"/>
      <c r="QAJ2" s="420"/>
      <c r="QAK2" s="419" t="s">
        <v>23</v>
      </c>
      <c r="QAL2" s="420"/>
      <c r="QAM2" s="420"/>
      <c r="QAN2" s="420"/>
      <c r="QAO2" s="419" t="s">
        <v>23</v>
      </c>
      <c r="QAP2" s="420"/>
      <c r="QAQ2" s="420"/>
      <c r="QAR2" s="420"/>
      <c r="QAS2" s="419" t="s">
        <v>23</v>
      </c>
      <c r="QAT2" s="420"/>
      <c r="QAU2" s="420"/>
      <c r="QAV2" s="420"/>
      <c r="QAW2" s="419" t="s">
        <v>23</v>
      </c>
      <c r="QAX2" s="420"/>
      <c r="QAY2" s="420"/>
      <c r="QAZ2" s="420"/>
      <c r="QBA2" s="419" t="s">
        <v>23</v>
      </c>
      <c r="QBB2" s="420"/>
      <c r="QBC2" s="420"/>
      <c r="QBD2" s="420"/>
      <c r="QBE2" s="419" t="s">
        <v>23</v>
      </c>
      <c r="QBF2" s="420"/>
      <c r="QBG2" s="420"/>
      <c r="QBH2" s="420"/>
      <c r="QBI2" s="419" t="s">
        <v>23</v>
      </c>
      <c r="QBJ2" s="420"/>
      <c r="QBK2" s="420"/>
      <c r="QBL2" s="420"/>
      <c r="QBM2" s="419" t="s">
        <v>23</v>
      </c>
      <c r="QBN2" s="420"/>
      <c r="QBO2" s="420"/>
      <c r="QBP2" s="420"/>
      <c r="QBQ2" s="419" t="s">
        <v>23</v>
      </c>
      <c r="QBR2" s="420"/>
      <c r="QBS2" s="420"/>
      <c r="QBT2" s="420"/>
      <c r="QBU2" s="419" t="s">
        <v>23</v>
      </c>
      <c r="QBV2" s="420"/>
      <c r="QBW2" s="420"/>
      <c r="QBX2" s="420"/>
      <c r="QBY2" s="419" t="s">
        <v>23</v>
      </c>
      <c r="QBZ2" s="420"/>
      <c r="QCA2" s="420"/>
      <c r="QCB2" s="420"/>
      <c r="QCC2" s="419" t="s">
        <v>23</v>
      </c>
      <c r="QCD2" s="420"/>
      <c r="QCE2" s="420"/>
      <c r="QCF2" s="420"/>
      <c r="QCG2" s="419" t="s">
        <v>23</v>
      </c>
      <c r="QCH2" s="420"/>
      <c r="QCI2" s="420"/>
      <c r="QCJ2" s="420"/>
      <c r="QCK2" s="419" t="s">
        <v>23</v>
      </c>
      <c r="QCL2" s="420"/>
      <c r="QCM2" s="420"/>
      <c r="QCN2" s="420"/>
      <c r="QCO2" s="419" t="s">
        <v>23</v>
      </c>
      <c r="QCP2" s="420"/>
      <c r="QCQ2" s="420"/>
      <c r="QCR2" s="420"/>
      <c r="QCS2" s="419" t="s">
        <v>23</v>
      </c>
      <c r="QCT2" s="420"/>
      <c r="QCU2" s="420"/>
      <c r="QCV2" s="420"/>
      <c r="QCW2" s="419" t="s">
        <v>23</v>
      </c>
      <c r="QCX2" s="420"/>
      <c r="QCY2" s="420"/>
      <c r="QCZ2" s="420"/>
      <c r="QDA2" s="419" t="s">
        <v>23</v>
      </c>
      <c r="QDB2" s="420"/>
      <c r="QDC2" s="420"/>
      <c r="QDD2" s="420"/>
      <c r="QDE2" s="419" t="s">
        <v>23</v>
      </c>
      <c r="QDF2" s="420"/>
      <c r="QDG2" s="420"/>
      <c r="QDH2" s="420"/>
      <c r="QDI2" s="419" t="s">
        <v>23</v>
      </c>
      <c r="QDJ2" s="420"/>
      <c r="QDK2" s="420"/>
      <c r="QDL2" s="420"/>
      <c r="QDM2" s="419" t="s">
        <v>23</v>
      </c>
      <c r="QDN2" s="420"/>
      <c r="QDO2" s="420"/>
      <c r="QDP2" s="420"/>
      <c r="QDQ2" s="419" t="s">
        <v>23</v>
      </c>
      <c r="QDR2" s="420"/>
      <c r="QDS2" s="420"/>
      <c r="QDT2" s="420"/>
      <c r="QDU2" s="419" t="s">
        <v>23</v>
      </c>
      <c r="QDV2" s="420"/>
      <c r="QDW2" s="420"/>
      <c r="QDX2" s="420"/>
      <c r="QDY2" s="419" t="s">
        <v>23</v>
      </c>
      <c r="QDZ2" s="420"/>
      <c r="QEA2" s="420"/>
      <c r="QEB2" s="420"/>
      <c r="QEC2" s="419" t="s">
        <v>23</v>
      </c>
      <c r="QED2" s="420"/>
      <c r="QEE2" s="420"/>
      <c r="QEF2" s="420"/>
      <c r="QEG2" s="419" t="s">
        <v>23</v>
      </c>
      <c r="QEH2" s="420"/>
      <c r="QEI2" s="420"/>
      <c r="QEJ2" s="420"/>
      <c r="QEK2" s="419" t="s">
        <v>23</v>
      </c>
      <c r="QEL2" s="420"/>
      <c r="QEM2" s="420"/>
      <c r="QEN2" s="420"/>
      <c r="QEO2" s="419" t="s">
        <v>23</v>
      </c>
      <c r="QEP2" s="420"/>
      <c r="QEQ2" s="420"/>
      <c r="QER2" s="420"/>
      <c r="QES2" s="419" t="s">
        <v>23</v>
      </c>
      <c r="QET2" s="420"/>
      <c r="QEU2" s="420"/>
      <c r="QEV2" s="420"/>
      <c r="QEW2" s="419" t="s">
        <v>23</v>
      </c>
      <c r="QEX2" s="420"/>
      <c r="QEY2" s="420"/>
      <c r="QEZ2" s="420"/>
      <c r="QFA2" s="419" t="s">
        <v>23</v>
      </c>
      <c r="QFB2" s="420"/>
      <c r="QFC2" s="420"/>
      <c r="QFD2" s="420"/>
      <c r="QFE2" s="419" t="s">
        <v>23</v>
      </c>
      <c r="QFF2" s="420"/>
      <c r="QFG2" s="420"/>
      <c r="QFH2" s="420"/>
      <c r="QFI2" s="419" t="s">
        <v>23</v>
      </c>
      <c r="QFJ2" s="420"/>
      <c r="QFK2" s="420"/>
      <c r="QFL2" s="420"/>
      <c r="QFM2" s="419" t="s">
        <v>23</v>
      </c>
      <c r="QFN2" s="420"/>
      <c r="QFO2" s="420"/>
      <c r="QFP2" s="420"/>
      <c r="QFQ2" s="419" t="s">
        <v>23</v>
      </c>
      <c r="QFR2" s="420"/>
      <c r="QFS2" s="420"/>
      <c r="QFT2" s="420"/>
      <c r="QFU2" s="419" t="s">
        <v>23</v>
      </c>
      <c r="QFV2" s="420"/>
      <c r="QFW2" s="420"/>
      <c r="QFX2" s="420"/>
      <c r="QFY2" s="419" t="s">
        <v>23</v>
      </c>
      <c r="QFZ2" s="420"/>
      <c r="QGA2" s="420"/>
      <c r="QGB2" s="420"/>
      <c r="QGC2" s="419" t="s">
        <v>23</v>
      </c>
      <c r="QGD2" s="420"/>
      <c r="QGE2" s="420"/>
      <c r="QGF2" s="420"/>
      <c r="QGG2" s="419" t="s">
        <v>23</v>
      </c>
      <c r="QGH2" s="420"/>
      <c r="QGI2" s="420"/>
      <c r="QGJ2" s="420"/>
      <c r="QGK2" s="419" t="s">
        <v>23</v>
      </c>
      <c r="QGL2" s="420"/>
      <c r="QGM2" s="420"/>
      <c r="QGN2" s="420"/>
      <c r="QGO2" s="419" t="s">
        <v>23</v>
      </c>
      <c r="QGP2" s="420"/>
      <c r="QGQ2" s="420"/>
      <c r="QGR2" s="420"/>
      <c r="QGS2" s="419" t="s">
        <v>23</v>
      </c>
      <c r="QGT2" s="420"/>
      <c r="QGU2" s="420"/>
      <c r="QGV2" s="420"/>
      <c r="QGW2" s="419" t="s">
        <v>23</v>
      </c>
      <c r="QGX2" s="420"/>
      <c r="QGY2" s="420"/>
      <c r="QGZ2" s="420"/>
      <c r="QHA2" s="419" t="s">
        <v>23</v>
      </c>
      <c r="QHB2" s="420"/>
      <c r="QHC2" s="420"/>
      <c r="QHD2" s="420"/>
      <c r="QHE2" s="419" t="s">
        <v>23</v>
      </c>
      <c r="QHF2" s="420"/>
      <c r="QHG2" s="420"/>
      <c r="QHH2" s="420"/>
      <c r="QHI2" s="419" t="s">
        <v>23</v>
      </c>
      <c r="QHJ2" s="420"/>
      <c r="QHK2" s="420"/>
      <c r="QHL2" s="420"/>
      <c r="QHM2" s="419" t="s">
        <v>23</v>
      </c>
      <c r="QHN2" s="420"/>
      <c r="QHO2" s="420"/>
      <c r="QHP2" s="420"/>
      <c r="QHQ2" s="419" t="s">
        <v>23</v>
      </c>
      <c r="QHR2" s="420"/>
      <c r="QHS2" s="420"/>
      <c r="QHT2" s="420"/>
      <c r="QHU2" s="419" t="s">
        <v>23</v>
      </c>
      <c r="QHV2" s="420"/>
      <c r="QHW2" s="420"/>
      <c r="QHX2" s="420"/>
      <c r="QHY2" s="419" t="s">
        <v>23</v>
      </c>
      <c r="QHZ2" s="420"/>
      <c r="QIA2" s="420"/>
      <c r="QIB2" s="420"/>
      <c r="QIC2" s="419" t="s">
        <v>23</v>
      </c>
      <c r="QID2" s="420"/>
      <c r="QIE2" s="420"/>
      <c r="QIF2" s="420"/>
      <c r="QIG2" s="419" t="s">
        <v>23</v>
      </c>
      <c r="QIH2" s="420"/>
      <c r="QII2" s="420"/>
      <c r="QIJ2" s="420"/>
      <c r="QIK2" s="419" t="s">
        <v>23</v>
      </c>
      <c r="QIL2" s="420"/>
      <c r="QIM2" s="420"/>
      <c r="QIN2" s="420"/>
      <c r="QIO2" s="419" t="s">
        <v>23</v>
      </c>
      <c r="QIP2" s="420"/>
      <c r="QIQ2" s="420"/>
      <c r="QIR2" s="420"/>
      <c r="QIS2" s="419" t="s">
        <v>23</v>
      </c>
      <c r="QIT2" s="420"/>
      <c r="QIU2" s="420"/>
      <c r="QIV2" s="420"/>
      <c r="QIW2" s="419" t="s">
        <v>23</v>
      </c>
      <c r="QIX2" s="420"/>
      <c r="QIY2" s="420"/>
      <c r="QIZ2" s="420"/>
      <c r="QJA2" s="419" t="s">
        <v>23</v>
      </c>
      <c r="QJB2" s="420"/>
      <c r="QJC2" s="420"/>
      <c r="QJD2" s="420"/>
      <c r="QJE2" s="419" t="s">
        <v>23</v>
      </c>
      <c r="QJF2" s="420"/>
      <c r="QJG2" s="420"/>
      <c r="QJH2" s="420"/>
      <c r="QJI2" s="419" t="s">
        <v>23</v>
      </c>
      <c r="QJJ2" s="420"/>
      <c r="QJK2" s="420"/>
      <c r="QJL2" s="420"/>
      <c r="QJM2" s="419" t="s">
        <v>23</v>
      </c>
      <c r="QJN2" s="420"/>
      <c r="QJO2" s="420"/>
      <c r="QJP2" s="420"/>
      <c r="QJQ2" s="419" t="s">
        <v>23</v>
      </c>
      <c r="QJR2" s="420"/>
      <c r="QJS2" s="420"/>
      <c r="QJT2" s="420"/>
      <c r="QJU2" s="419" t="s">
        <v>23</v>
      </c>
      <c r="QJV2" s="420"/>
      <c r="QJW2" s="420"/>
      <c r="QJX2" s="420"/>
      <c r="QJY2" s="419" t="s">
        <v>23</v>
      </c>
      <c r="QJZ2" s="420"/>
      <c r="QKA2" s="420"/>
      <c r="QKB2" s="420"/>
      <c r="QKC2" s="419" t="s">
        <v>23</v>
      </c>
      <c r="QKD2" s="420"/>
      <c r="QKE2" s="420"/>
      <c r="QKF2" s="420"/>
      <c r="QKG2" s="419" t="s">
        <v>23</v>
      </c>
      <c r="QKH2" s="420"/>
      <c r="QKI2" s="420"/>
      <c r="QKJ2" s="420"/>
      <c r="QKK2" s="419" t="s">
        <v>23</v>
      </c>
      <c r="QKL2" s="420"/>
      <c r="QKM2" s="420"/>
      <c r="QKN2" s="420"/>
      <c r="QKO2" s="419" t="s">
        <v>23</v>
      </c>
      <c r="QKP2" s="420"/>
      <c r="QKQ2" s="420"/>
      <c r="QKR2" s="420"/>
      <c r="QKS2" s="419" t="s">
        <v>23</v>
      </c>
      <c r="QKT2" s="420"/>
      <c r="QKU2" s="420"/>
      <c r="QKV2" s="420"/>
      <c r="QKW2" s="419" t="s">
        <v>23</v>
      </c>
      <c r="QKX2" s="420"/>
      <c r="QKY2" s="420"/>
      <c r="QKZ2" s="420"/>
      <c r="QLA2" s="419" t="s">
        <v>23</v>
      </c>
      <c r="QLB2" s="420"/>
      <c r="QLC2" s="420"/>
      <c r="QLD2" s="420"/>
      <c r="QLE2" s="419" t="s">
        <v>23</v>
      </c>
      <c r="QLF2" s="420"/>
      <c r="QLG2" s="420"/>
      <c r="QLH2" s="420"/>
      <c r="QLI2" s="419" t="s">
        <v>23</v>
      </c>
      <c r="QLJ2" s="420"/>
      <c r="QLK2" s="420"/>
      <c r="QLL2" s="420"/>
      <c r="QLM2" s="419" t="s">
        <v>23</v>
      </c>
      <c r="QLN2" s="420"/>
      <c r="QLO2" s="420"/>
      <c r="QLP2" s="420"/>
      <c r="QLQ2" s="419" t="s">
        <v>23</v>
      </c>
      <c r="QLR2" s="420"/>
      <c r="QLS2" s="420"/>
      <c r="QLT2" s="420"/>
      <c r="QLU2" s="419" t="s">
        <v>23</v>
      </c>
      <c r="QLV2" s="420"/>
      <c r="QLW2" s="420"/>
      <c r="QLX2" s="420"/>
      <c r="QLY2" s="419" t="s">
        <v>23</v>
      </c>
      <c r="QLZ2" s="420"/>
      <c r="QMA2" s="420"/>
      <c r="QMB2" s="420"/>
      <c r="QMC2" s="419" t="s">
        <v>23</v>
      </c>
      <c r="QMD2" s="420"/>
      <c r="QME2" s="420"/>
      <c r="QMF2" s="420"/>
      <c r="QMG2" s="419" t="s">
        <v>23</v>
      </c>
      <c r="QMH2" s="420"/>
      <c r="QMI2" s="420"/>
      <c r="QMJ2" s="420"/>
      <c r="QMK2" s="419" t="s">
        <v>23</v>
      </c>
      <c r="QML2" s="420"/>
      <c r="QMM2" s="420"/>
      <c r="QMN2" s="420"/>
      <c r="QMO2" s="419" t="s">
        <v>23</v>
      </c>
      <c r="QMP2" s="420"/>
      <c r="QMQ2" s="420"/>
      <c r="QMR2" s="420"/>
      <c r="QMS2" s="419" t="s">
        <v>23</v>
      </c>
      <c r="QMT2" s="420"/>
      <c r="QMU2" s="420"/>
      <c r="QMV2" s="420"/>
      <c r="QMW2" s="419" t="s">
        <v>23</v>
      </c>
      <c r="QMX2" s="420"/>
      <c r="QMY2" s="420"/>
      <c r="QMZ2" s="420"/>
      <c r="QNA2" s="419" t="s">
        <v>23</v>
      </c>
      <c r="QNB2" s="420"/>
      <c r="QNC2" s="420"/>
      <c r="QND2" s="420"/>
      <c r="QNE2" s="419" t="s">
        <v>23</v>
      </c>
      <c r="QNF2" s="420"/>
      <c r="QNG2" s="420"/>
      <c r="QNH2" s="420"/>
      <c r="QNI2" s="419" t="s">
        <v>23</v>
      </c>
      <c r="QNJ2" s="420"/>
      <c r="QNK2" s="420"/>
      <c r="QNL2" s="420"/>
      <c r="QNM2" s="419" t="s">
        <v>23</v>
      </c>
      <c r="QNN2" s="420"/>
      <c r="QNO2" s="420"/>
      <c r="QNP2" s="420"/>
      <c r="QNQ2" s="419" t="s">
        <v>23</v>
      </c>
      <c r="QNR2" s="420"/>
      <c r="QNS2" s="420"/>
      <c r="QNT2" s="420"/>
      <c r="QNU2" s="419" t="s">
        <v>23</v>
      </c>
      <c r="QNV2" s="420"/>
      <c r="QNW2" s="420"/>
      <c r="QNX2" s="420"/>
      <c r="QNY2" s="419" t="s">
        <v>23</v>
      </c>
      <c r="QNZ2" s="420"/>
      <c r="QOA2" s="420"/>
      <c r="QOB2" s="420"/>
      <c r="QOC2" s="419" t="s">
        <v>23</v>
      </c>
      <c r="QOD2" s="420"/>
      <c r="QOE2" s="420"/>
      <c r="QOF2" s="420"/>
      <c r="QOG2" s="419" t="s">
        <v>23</v>
      </c>
      <c r="QOH2" s="420"/>
      <c r="QOI2" s="420"/>
      <c r="QOJ2" s="420"/>
      <c r="QOK2" s="419" t="s">
        <v>23</v>
      </c>
      <c r="QOL2" s="420"/>
      <c r="QOM2" s="420"/>
      <c r="QON2" s="420"/>
      <c r="QOO2" s="419" t="s">
        <v>23</v>
      </c>
      <c r="QOP2" s="420"/>
      <c r="QOQ2" s="420"/>
      <c r="QOR2" s="420"/>
      <c r="QOS2" s="419" t="s">
        <v>23</v>
      </c>
      <c r="QOT2" s="420"/>
      <c r="QOU2" s="420"/>
      <c r="QOV2" s="420"/>
      <c r="QOW2" s="419" t="s">
        <v>23</v>
      </c>
      <c r="QOX2" s="420"/>
      <c r="QOY2" s="420"/>
      <c r="QOZ2" s="420"/>
      <c r="QPA2" s="419" t="s">
        <v>23</v>
      </c>
      <c r="QPB2" s="420"/>
      <c r="QPC2" s="420"/>
      <c r="QPD2" s="420"/>
      <c r="QPE2" s="419" t="s">
        <v>23</v>
      </c>
      <c r="QPF2" s="420"/>
      <c r="QPG2" s="420"/>
      <c r="QPH2" s="420"/>
      <c r="QPI2" s="419" t="s">
        <v>23</v>
      </c>
      <c r="QPJ2" s="420"/>
      <c r="QPK2" s="420"/>
      <c r="QPL2" s="420"/>
      <c r="QPM2" s="419" t="s">
        <v>23</v>
      </c>
      <c r="QPN2" s="420"/>
      <c r="QPO2" s="420"/>
      <c r="QPP2" s="420"/>
      <c r="QPQ2" s="419" t="s">
        <v>23</v>
      </c>
      <c r="QPR2" s="420"/>
      <c r="QPS2" s="420"/>
      <c r="QPT2" s="420"/>
      <c r="QPU2" s="419" t="s">
        <v>23</v>
      </c>
      <c r="QPV2" s="420"/>
      <c r="QPW2" s="420"/>
      <c r="QPX2" s="420"/>
      <c r="QPY2" s="419" t="s">
        <v>23</v>
      </c>
      <c r="QPZ2" s="420"/>
      <c r="QQA2" s="420"/>
      <c r="QQB2" s="420"/>
      <c r="QQC2" s="419" t="s">
        <v>23</v>
      </c>
      <c r="QQD2" s="420"/>
      <c r="QQE2" s="420"/>
      <c r="QQF2" s="420"/>
      <c r="QQG2" s="419" t="s">
        <v>23</v>
      </c>
      <c r="QQH2" s="420"/>
      <c r="QQI2" s="420"/>
      <c r="QQJ2" s="420"/>
      <c r="QQK2" s="419" t="s">
        <v>23</v>
      </c>
      <c r="QQL2" s="420"/>
      <c r="QQM2" s="420"/>
      <c r="QQN2" s="420"/>
      <c r="QQO2" s="419" t="s">
        <v>23</v>
      </c>
      <c r="QQP2" s="420"/>
      <c r="QQQ2" s="420"/>
      <c r="QQR2" s="420"/>
      <c r="QQS2" s="419" t="s">
        <v>23</v>
      </c>
      <c r="QQT2" s="420"/>
      <c r="QQU2" s="420"/>
      <c r="QQV2" s="420"/>
      <c r="QQW2" s="419" t="s">
        <v>23</v>
      </c>
      <c r="QQX2" s="420"/>
      <c r="QQY2" s="420"/>
      <c r="QQZ2" s="420"/>
      <c r="QRA2" s="419" t="s">
        <v>23</v>
      </c>
      <c r="QRB2" s="420"/>
      <c r="QRC2" s="420"/>
      <c r="QRD2" s="420"/>
      <c r="QRE2" s="419" t="s">
        <v>23</v>
      </c>
      <c r="QRF2" s="420"/>
      <c r="QRG2" s="420"/>
      <c r="QRH2" s="420"/>
      <c r="QRI2" s="419" t="s">
        <v>23</v>
      </c>
      <c r="QRJ2" s="420"/>
      <c r="QRK2" s="420"/>
      <c r="QRL2" s="420"/>
      <c r="QRM2" s="419" t="s">
        <v>23</v>
      </c>
      <c r="QRN2" s="420"/>
      <c r="QRO2" s="420"/>
      <c r="QRP2" s="420"/>
      <c r="QRQ2" s="419" t="s">
        <v>23</v>
      </c>
      <c r="QRR2" s="420"/>
      <c r="QRS2" s="420"/>
      <c r="QRT2" s="420"/>
      <c r="QRU2" s="419" t="s">
        <v>23</v>
      </c>
      <c r="QRV2" s="420"/>
      <c r="QRW2" s="420"/>
      <c r="QRX2" s="420"/>
      <c r="QRY2" s="419" t="s">
        <v>23</v>
      </c>
      <c r="QRZ2" s="420"/>
      <c r="QSA2" s="420"/>
      <c r="QSB2" s="420"/>
      <c r="QSC2" s="419" t="s">
        <v>23</v>
      </c>
      <c r="QSD2" s="420"/>
      <c r="QSE2" s="420"/>
      <c r="QSF2" s="420"/>
      <c r="QSG2" s="419" t="s">
        <v>23</v>
      </c>
      <c r="QSH2" s="420"/>
      <c r="QSI2" s="420"/>
      <c r="QSJ2" s="420"/>
      <c r="QSK2" s="419" t="s">
        <v>23</v>
      </c>
      <c r="QSL2" s="420"/>
      <c r="QSM2" s="420"/>
      <c r="QSN2" s="420"/>
      <c r="QSO2" s="419" t="s">
        <v>23</v>
      </c>
      <c r="QSP2" s="420"/>
      <c r="QSQ2" s="420"/>
      <c r="QSR2" s="420"/>
      <c r="QSS2" s="419" t="s">
        <v>23</v>
      </c>
      <c r="QST2" s="420"/>
      <c r="QSU2" s="420"/>
      <c r="QSV2" s="420"/>
      <c r="QSW2" s="419" t="s">
        <v>23</v>
      </c>
      <c r="QSX2" s="420"/>
      <c r="QSY2" s="420"/>
      <c r="QSZ2" s="420"/>
      <c r="QTA2" s="419" t="s">
        <v>23</v>
      </c>
      <c r="QTB2" s="420"/>
      <c r="QTC2" s="420"/>
      <c r="QTD2" s="420"/>
      <c r="QTE2" s="419" t="s">
        <v>23</v>
      </c>
      <c r="QTF2" s="420"/>
      <c r="QTG2" s="420"/>
      <c r="QTH2" s="420"/>
      <c r="QTI2" s="419" t="s">
        <v>23</v>
      </c>
      <c r="QTJ2" s="420"/>
      <c r="QTK2" s="420"/>
      <c r="QTL2" s="420"/>
      <c r="QTM2" s="419" t="s">
        <v>23</v>
      </c>
      <c r="QTN2" s="420"/>
      <c r="QTO2" s="420"/>
      <c r="QTP2" s="420"/>
      <c r="QTQ2" s="419" t="s">
        <v>23</v>
      </c>
      <c r="QTR2" s="420"/>
      <c r="QTS2" s="420"/>
      <c r="QTT2" s="420"/>
      <c r="QTU2" s="419" t="s">
        <v>23</v>
      </c>
      <c r="QTV2" s="420"/>
      <c r="QTW2" s="420"/>
      <c r="QTX2" s="420"/>
      <c r="QTY2" s="419" t="s">
        <v>23</v>
      </c>
      <c r="QTZ2" s="420"/>
      <c r="QUA2" s="420"/>
      <c r="QUB2" s="420"/>
      <c r="QUC2" s="419" t="s">
        <v>23</v>
      </c>
      <c r="QUD2" s="420"/>
      <c r="QUE2" s="420"/>
      <c r="QUF2" s="420"/>
      <c r="QUG2" s="419" t="s">
        <v>23</v>
      </c>
      <c r="QUH2" s="420"/>
      <c r="QUI2" s="420"/>
      <c r="QUJ2" s="420"/>
      <c r="QUK2" s="419" t="s">
        <v>23</v>
      </c>
      <c r="QUL2" s="420"/>
      <c r="QUM2" s="420"/>
      <c r="QUN2" s="420"/>
      <c r="QUO2" s="419" t="s">
        <v>23</v>
      </c>
      <c r="QUP2" s="420"/>
      <c r="QUQ2" s="420"/>
      <c r="QUR2" s="420"/>
      <c r="QUS2" s="419" t="s">
        <v>23</v>
      </c>
      <c r="QUT2" s="420"/>
      <c r="QUU2" s="420"/>
      <c r="QUV2" s="420"/>
      <c r="QUW2" s="419" t="s">
        <v>23</v>
      </c>
      <c r="QUX2" s="420"/>
      <c r="QUY2" s="420"/>
      <c r="QUZ2" s="420"/>
      <c r="QVA2" s="419" t="s">
        <v>23</v>
      </c>
      <c r="QVB2" s="420"/>
      <c r="QVC2" s="420"/>
      <c r="QVD2" s="420"/>
      <c r="QVE2" s="419" t="s">
        <v>23</v>
      </c>
      <c r="QVF2" s="420"/>
      <c r="QVG2" s="420"/>
      <c r="QVH2" s="420"/>
      <c r="QVI2" s="419" t="s">
        <v>23</v>
      </c>
      <c r="QVJ2" s="420"/>
      <c r="QVK2" s="420"/>
      <c r="QVL2" s="420"/>
      <c r="QVM2" s="419" t="s">
        <v>23</v>
      </c>
      <c r="QVN2" s="420"/>
      <c r="QVO2" s="420"/>
      <c r="QVP2" s="420"/>
      <c r="QVQ2" s="419" t="s">
        <v>23</v>
      </c>
      <c r="QVR2" s="420"/>
      <c r="QVS2" s="420"/>
      <c r="QVT2" s="420"/>
      <c r="QVU2" s="419" t="s">
        <v>23</v>
      </c>
      <c r="QVV2" s="420"/>
      <c r="QVW2" s="420"/>
      <c r="QVX2" s="420"/>
      <c r="QVY2" s="419" t="s">
        <v>23</v>
      </c>
      <c r="QVZ2" s="420"/>
      <c r="QWA2" s="420"/>
      <c r="QWB2" s="420"/>
      <c r="QWC2" s="419" t="s">
        <v>23</v>
      </c>
      <c r="QWD2" s="420"/>
      <c r="QWE2" s="420"/>
      <c r="QWF2" s="420"/>
      <c r="QWG2" s="419" t="s">
        <v>23</v>
      </c>
      <c r="QWH2" s="420"/>
      <c r="QWI2" s="420"/>
      <c r="QWJ2" s="420"/>
      <c r="QWK2" s="419" t="s">
        <v>23</v>
      </c>
      <c r="QWL2" s="420"/>
      <c r="QWM2" s="420"/>
      <c r="QWN2" s="420"/>
      <c r="QWO2" s="419" t="s">
        <v>23</v>
      </c>
      <c r="QWP2" s="420"/>
      <c r="QWQ2" s="420"/>
      <c r="QWR2" s="420"/>
      <c r="QWS2" s="419" t="s">
        <v>23</v>
      </c>
      <c r="QWT2" s="420"/>
      <c r="QWU2" s="420"/>
      <c r="QWV2" s="420"/>
      <c r="QWW2" s="419" t="s">
        <v>23</v>
      </c>
      <c r="QWX2" s="420"/>
      <c r="QWY2" s="420"/>
      <c r="QWZ2" s="420"/>
      <c r="QXA2" s="419" t="s">
        <v>23</v>
      </c>
      <c r="QXB2" s="420"/>
      <c r="QXC2" s="420"/>
      <c r="QXD2" s="420"/>
      <c r="QXE2" s="419" t="s">
        <v>23</v>
      </c>
      <c r="QXF2" s="420"/>
      <c r="QXG2" s="420"/>
      <c r="QXH2" s="420"/>
      <c r="QXI2" s="419" t="s">
        <v>23</v>
      </c>
      <c r="QXJ2" s="420"/>
      <c r="QXK2" s="420"/>
      <c r="QXL2" s="420"/>
      <c r="QXM2" s="419" t="s">
        <v>23</v>
      </c>
      <c r="QXN2" s="420"/>
      <c r="QXO2" s="420"/>
      <c r="QXP2" s="420"/>
      <c r="QXQ2" s="419" t="s">
        <v>23</v>
      </c>
      <c r="QXR2" s="420"/>
      <c r="QXS2" s="420"/>
      <c r="QXT2" s="420"/>
      <c r="QXU2" s="419" t="s">
        <v>23</v>
      </c>
      <c r="QXV2" s="420"/>
      <c r="QXW2" s="420"/>
      <c r="QXX2" s="420"/>
      <c r="QXY2" s="419" t="s">
        <v>23</v>
      </c>
      <c r="QXZ2" s="420"/>
      <c r="QYA2" s="420"/>
      <c r="QYB2" s="420"/>
      <c r="QYC2" s="419" t="s">
        <v>23</v>
      </c>
      <c r="QYD2" s="420"/>
      <c r="QYE2" s="420"/>
      <c r="QYF2" s="420"/>
      <c r="QYG2" s="419" t="s">
        <v>23</v>
      </c>
      <c r="QYH2" s="420"/>
      <c r="QYI2" s="420"/>
      <c r="QYJ2" s="420"/>
      <c r="QYK2" s="419" t="s">
        <v>23</v>
      </c>
      <c r="QYL2" s="420"/>
      <c r="QYM2" s="420"/>
      <c r="QYN2" s="420"/>
      <c r="QYO2" s="419" t="s">
        <v>23</v>
      </c>
      <c r="QYP2" s="420"/>
      <c r="QYQ2" s="420"/>
      <c r="QYR2" s="420"/>
      <c r="QYS2" s="419" t="s">
        <v>23</v>
      </c>
      <c r="QYT2" s="420"/>
      <c r="QYU2" s="420"/>
      <c r="QYV2" s="420"/>
      <c r="QYW2" s="419" t="s">
        <v>23</v>
      </c>
      <c r="QYX2" s="420"/>
      <c r="QYY2" s="420"/>
      <c r="QYZ2" s="420"/>
      <c r="QZA2" s="419" t="s">
        <v>23</v>
      </c>
      <c r="QZB2" s="420"/>
      <c r="QZC2" s="420"/>
      <c r="QZD2" s="420"/>
      <c r="QZE2" s="419" t="s">
        <v>23</v>
      </c>
      <c r="QZF2" s="420"/>
      <c r="QZG2" s="420"/>
      <c r="QZH2" s="420"/>
      <c r="QZI2" s="419" t="s">
        <v>23</v>
      </c>
      <c r="QZJ2" s="420"/>
      <c r="QZK2" s="420"/>
      <c r="QZL2" s="420"/>
      <c r="QZM2" s="419" t="s">
        <v>23</v>
      </c>
      <c r="QZN2" s="420"/>
      <c r="QZO2" s="420"/>
      <c r="QZP2" s="420"/>
      <c r="QZQ2" s="419" t="s">
        <v>23</v>
      </c>
      <c r="QZR2" s="420"/>
      <c r="QZS2" s="420"/>
      <c r="QZT2" s="420"/>
      <c r="QZU2" s="419" t="s">
        <v>23</v>
      </c>
      <c r="QZV2" s="420"/>
      <c r="QZW2" s="420"/>
      <c r="QZX2" s="420"/>
      <c r="QZY2" s="419" t="s">
        <v>23</v>
      </c>
      <c r="QZZ2" s="420"/>
      <c r="RAA2" s="420"/>
      <c r="RAB2" s="420"/>
      <c r="RAC2" s="419" t="s">
        <v>23</v>
      </c>
      <c r="RAD2" s="420"/>
      <c r="RAE2" s="420"/>
      <c r="RAF2" s="420"/>
      <c r="RAG2" s="419" t="s">
        <v>23</v>
      </c>
      <c r="RAH2" s="420"/>
      <c r="RAI2" s="420"/>
      <c r="RAJ2" s="420"/>
      <c r="RAK2" s="419" t="s">
        <v>23</v>
      </c>
      <c r="RAL2" s="420"/>
      <c r="RAM2" s="420"/>
      <c r="RAN2" s="420"/>
      <c r="RAO2" s="419" t="s">
        <v>23</v>
      </c>
      <c r="RAP2" s="420"/>
      <c r="RAQ2" s="420"/>
      <c r="RAR2" s="420"/>
      <c r="RAS2" s="419" t="s">
        <v>23</v>
      </c>
      <c r="RAT2" s="420"/>
      <c r="RAU2" s="420"/>
      <c r="RAV2" s="420"/>
      <c r="RAW2" s="419" t="s">
        <v>23</v>
      </c>
      <c r="RAX2" s="420"/>
      <c r="RAY2" s="420"/>
      <c r="RAZ2" s="420"/>
      <c r="RBA2" s="419" t="s">
        <v>23</v>
      </c>
      <c r="RBB2" s="420"/>
      <c r="RBC2" s="420"/>
      <c r="RBD2" s="420"/>
      <c r="RBE2" s="419" t="s">
        <v>23</v>
      </c>
      <c r="RBF2" s="420"/>
      <c r="RBG2" s="420"/>
      <c r="RBH2" s="420"/>
      <c r="RBI2" s="419" t="s">
        <v>23</v>
      </c>
      <c r="RBJ2" s="420"/>
      <c r="RBK2" s="420"/>
      <c r="RBL2" s="420"/>
      <c r="RBM2" s="419" t="s">
        <v>23</v>
      </c>
      <c r="RBN2" s="420"/>
      <c r="RBO2" s="420"/>
      <c r="RBP2" s="420"/>
      <c r="RBQ2" s="419" t="s">
        <v>23</v>
      </c>
      <c r="RBR2" s="420"/>
      <c r="RBS2" s="420"/>
      <c r="RBT2" s="420"/>
      <c r="RBU2" s="419" t="s">
        <v>23</v>
      </c>
      <c r="RBV2" s="420"/>
      <c r="RBW2" s="420"/>
      <c r="RBX2" s="420"/>
      <c r="RBY2" s="419" t="s">
        <v>23</v>
      </c>
      <c r="RBZ2" s="420"/>
      <c r="RCA2" s="420"/>
      <c r="RCB2" s="420"/>
      <c r="RCC2" s="419" t="s">
        <v>23</v>
      </c>
      <c r="RCD2" s="420"/>
      <c r="RCE2" s="420"/>
      <c r="RCF2" s="420"/>
      <c r="RCG2" s="419" t="s">
        <v>23</v>
      </c>
      <c r="RCH2" s="420"/>
      <c r="RCI2" s="420"/>
      <c r="RCJ2" s="420"/>
      <c r="RCK2" s="419" t="s">
        <v>23</v>
      </c>
      <c r="RCL2" s="420"/>
      <c r="RCM2" s="420"/>
      <c r="RCN2" s="420"/>
      <c r="RCO2" s="419" t="s">
        <v>23</v>
      </c>
      <c r="RCP2" s="420"/>
      <c r="RCQ2" s="420"/>
      <c r="RCR2" s="420"/>
      <c r="RCS2" s="419" t="s">
        <v>23</v>
      </c>
      <c r="RCT2" s="420"/>
      <c r="RCU2" s="420"/>
      <c r="RCV2" s="420"/>
      <c r="RCW2" s="419" t="s">
        <v>23</v>
      </c>
      <c r="RCX2" s="420"/>
      <c r="RCY2" s="420"/>
      <c r="RCZ2" s="420"/>
      <c r="RDA2" s="419" t="s">
        <v>23</v>
      </c>
      <c r="RDB2" s="420"/>
      <c r="RDC2" s="420"/>
      <c r="RDD2" s="420"/>
      <c r="RDE2" s="419" t="s">
        <v>23</v>
      </c>
      <c r="RDF2" s="420"/>
      <c r="RDG2" s="420"/>
      <c r="RDH2" s="420"/>
      <c r="RDI2" s="419" t="s">
        <v>23</v>
      </c>
      <c r="RDJ2" s="420"/>
      <c r="RDK2" s="420"/>
      <c r="RDL2" s="420"/>
      <c r="RDM2" s="419" t="s">
        <v>23</v>
      </c>
      <c r="RDN2" s="420"/>
      <c r="RDO2" s="420"/>
      <c r="RDP2" s="420"/>
      <c r="RDQ2" s="419" t="s">
        <v>23</v>
      </c>
      <c r="RDR2" s="420"/>
      <c r="RDS2" s="420"/>
      <c r="RDT2" s="420"/>
      <c r="RDU2" s="419" t="s">
        <v>23</v>
      </c>
      <c r="RDV2" s="420"/>
      <c r="RDW2" s="420"/>
      <c r="RDX2" s="420"/>
      <c r="RDY2" s="419" t="s">
        <v>23</v>
      </c>
      <c r="RDZ2" s="420"/>
      <c r="REA2" s="420"/>
      <c r="REB2" s="420"/>
      <c r="REC2" s="419" t="s">
        <v>23</v>
      </c>
      <c r="RED2" s="420"/>
      <c r="REE2" s="420"/>
      <c r="REF2" s="420"/>
      <c r="REG2" s="419" t="s">
        <v>23</v>
      </c>
      <c r="REH2" s="420"/>
      <c r="REI2" s="420"/>
      <c r="REJ2" s="420"/>
      <c r="REK2" s="419" t="s">
        <v>23</v>
      </c>
      <c r="REL2" s="420"/>
      <c r="REM2" s="420"/>
      <c r="REN2" s="420"/>
      <c r="REO2" s="419" t="s">
        <v>23</v>
      </c>
      <c r="REP2" s="420"/>
      <c r="REQ2" s="420"/>
      <c r="RER2" s="420"/>
      <c r="RES2" s="419" t="s">
        <v>23</v>
      </c>
      <c r="RET2" s="420"/>
      <c r="REU2" s="420"/>
      <c r="REV2" s="420"/>
      <c r="REW2" s="419" t="s">
        <v>23</v>
      </c>
      <c r="REX2" s="420"/>
      <c r="REY2" s="420"/>
      <c r="REZ2" s="420"/>
      <c r="RFA2" s="419" t="s">
        <v>23</v>
      </c>
      <c r="RFB2" s="420"/>
      <c r="RFC2" s="420"/>
      <c r="RFD2" s="420"/>
      <c r="RFE2" s="419" t="s">
        <v>23</v>
      </c>
      <c r="RFF2" s="420"/>
      <c r="RFG2" s="420"/>
      <c r="RFH2" s="420"/>
      <c r="RFI2" s="419" t="s">
        <v>23</v>
      </c>
      <c r="RFJ2" s="420"/>
      <c r="RFK2" s="420"/>
      <c r="RFL2" s="420"/>
      <c r="RFM2" s="419" t="s">
        <v>23</v>
      </c>
      <c r="RFN2" s="420"/>
      <c r="RFO2" s="420"/>
      <c r="RFP2" s="420"/>
      <c r="RFQ2" s="419" t="s">
        <v>23</v>
      </c>
      <c r="RFR2" s="420"/>
      <c r="RFS2" s="420"/>
      <c r="RFT2" s="420"/>
      <c r="RFU2" s="419" t="s">
        <v>23</v>
      </c>
      <c r="RFV2" s="420"/>
      <c r="RFW2" s="420"/>
      <c r="RFX2" s="420"/>
      <c r="RFY2" s="419" t="s">
        <v>23</v>
      </c>
      <c r="RFZ2" s="420"/>
      <c r="RGA2" s="420"/>
      <c r="RGB2" s="420"/>
      <c r="RGC2" s="419" t="s">
        <v>23</v>
      </c>
      <c r="RGD2" s="420"/>
      <c r="RGE2" s="420"/>
      <c r="RGF2" s="420"/>
      <c r="RGG2" s="419" t="s">
        <v>23</v>
      </c>
      <c r="RGH2" s="420"/>
      <c r="RGI2" s="420"/>
      <c r="RGJ2" s="420"/>
      <c r="RGK2" s="419" t="s">
        <v>23</v>
      </c>
      <c r="RGL2" s="420"/>
      <c r="RGM2" s="420"/>
      <c r="RGN2" s="420"/>
      <c r="RGO2" s="419" t="s">
        <v>23</v>
      </c>
      <c r="RGP2" s="420"/>
      <c r="RGQ2" s="420"/>
      <c r="RGR2" s="420"/>
      <c r="RGS2" s="419" t="s">
        <v>23</v>
      </c>
      <c r="RGT2" s="420"/>
      <c r="RGU2" s="420"/>
      <c r="RGV2" s="420"/>
      <c r="RGW2" s="419" t="s">
        <v>23</v>
      </c>
      <c r="RGX2" s="420"/>
      <c r="RGY2" s="420"/>
      <c r="RGZ2" s="420"/>
      <c r="RHA2" s="419" t="s">
        <v>23</v>
      </c>
      <c r="RHB2" s="420"/>
      <c r="RHC2" s="420"/>
      <c r="RHD2" s="420"/>
      <c r="RHE2" s="419" t="s">
        <v>23</v>
      </c>
      <c r="RHF2" s="420"/>
      <c r="RHG2" s="420"/>
      <c r="RHH2" s="420"/>
      <c r="RHI2" s="419" t="s">
        <v>23</v>
      </c>
      <c r="RHJ2" s="420"/>
      <c r="RHK2" s="420"/>
      <c r="RHL2" s="420"/>
      <c r="RHM2" s="419" t="s">
        <v>23</v>
      </c>
      <c r="RHN2" s="420"/>
      <c r="RHO2" s="420"/>
      <c r="RHP2" s="420"/>
      <c r="RHQ2" s="419" t="s">
        <v>23</v>
      </c>
      <c r="RHR2" s="420"/>
      <c r="RHS2" s="420"/>
      <c r="RHT2" s="420"/>
      <c r="RHU2" s="419" t="s">
        <v>23</v>
      </c>
      <c r="RHV2" s="420"/>
      <c r="RHW2" s="420"/>
      <c r="RHX2" s="420"/>
      <c r="RHY2" s="419" t="s">
        <v>23</v>
      </c>
      <c r="RHZ2" s="420"/>
      <c r="RIA2" s="420"/>
      <c r="RIB2" s="420"/>
      <c r="RIC2" s="419" t="s">
        <v>23</v>
      </c>
      <c r="RID2" s="420"/>
      <c r="RIE2" s="420"/>
      <c r="RIF2" s="420"/>
      <c r="RIG2" s="419" t="s">
        <v>23</v>
      </c>
      <c r="RIH2" s="420"/>
      <c r="RII2" s="420"/>
      <c r="RIJ2" s="420"/>
      <c r="RIK2" s="419" t="s">
        <v>23</v>
      </c>
      <c r="RIL2" s="420"/>
      <c r="RIM2" s="420"/>
      <c r="RIN2" s="420"/>
      <c r="RIO2" s="419" t="s">
        <v>23</v>
      </c>
      <c r="RIP2" s="420"/>
      <c r="RIQ2" s="420"/>
      <c r="RIR2" s="420"/>
      <c r="RIS2" s="419" t="s">
        <v>23</v>
      </c>
      <c r="RIT2" s="420"/>
      <c r="RIU2" s="420"/>
      <c r="RIV2" s="420"/>
      <c r="RIW2" s="419" t="s">
        <v>23</v>
      </c>
      <c r="RIX2" s="420"/>
      <c r="RIY2" s="420"/>
      <c r="RIZ2" s="420"/>
      <c r="RJA2" s="419" t="s">
        <v>23</v>
      </c>
      <c r="RJB2" s="420"/>
      <c r="RJC2" s="420"/>
      <c r="RJD2" s="420"/>
      <c r="RJE2" s="419" t="s">
        <v>23</v>
      </c>
      <c r="RJF2" s="420"/>
      <c r="RJG2" s="420"/>
      <c r="RJH2" s="420"/>
      <c r="RJI2" s="419" t="s">
        <v>23</v>
      </c>
      <c r="RJJ2" s="420"/>
      <c r="RJK2" s="420"/>
      <c r="RJL2" s="420"/>
      <c r="RJM2" s="419" t="s">
        <v>23</v>
      </c>
      <c r="RJN2" s="420"/>
      <c r="RJO2" s="420"/>
      <c r="RJP2" s="420"/>
      <c r="RJQ2" s="419" t="s">
        <v>23</v>
      </c>
      <c r="RJR2" s="420"/>
      <c r="RJS2" s="420"/>
      <c r="RJT2" s="420"/>
      <c r="RJU2" s="419" t="s">
        <v>23</v>
      </c>
      <c r="RJV2" s="420"/>
      <c r="RJW2" s="420"/>
      <c r="RJX2" s="420"/>
      <c r="RJY2" s="419" t="s">
        <v>23</v>
      </c>
      <c r="RJZ2" s="420"/>
      <c r="RKA2" s="420"/>
      <c r="RKB2" s="420"/>
      <c r="RKC2" s="419" t="s">
        <v>23</v>
      </c>
      <c r="RKD2" s="420"/>
      <c r="RKE2" s="420"/>
      <c r="RKF2" s="420"/>
      <c r="RKG2" s="419" t="s">
        <v>23</v>
      </c>
      <c r="RKH2" s="420"/>
      <c r="RKI2" s="420"/>
      <c r="RKJ2" s="420"/>
      <c r="RKK2" s="419" t="s">
        <v>23</v>
      </c>
      <c r="RKL2" s="420"/>
      <c r="RKM2" s="420"/>
      <c r="RKN2" s="420"/>
      <c r="RKO2" s="419" t="s">
        <v>23</v>
      </c>
      <c r="RKP2" s="420"/>
      <c r="RKQ2" s="420"/>
      <c r="RKR2" s="420"/>
      <c r="RKS2" s="419" t="s">
        <v>23</v>
      </c>
      <c r="RKT2" s="420"/>
      <c r="RKU2" s="420"/>
      <c r="RKV2" s="420"/>
      <c r="RKW2" s="419" t="s">
        <v>23</v>
      </c>
      <c r="RKX2" s="420"/>
      <c r="RKY2" s="420"/>
      <c r="RKZ2" s="420"/>
      <c r="RLA2" s="419" t="s">
        <v>23</v>
      </c>
      <c r="RLB2" s="420"/>
      <c r="RLC2" s="420"/>
      <c r="RLD2" s="420"/>
      <c r="RLE2" s="419" t="s">
        <v>23</v>
      </c>
      <c r="RLF2" s="420"/>
      <c r="RLG2" s="420"/>
      <c r="RLH2" s="420"/>
      <c r="RLI2" s="419" t="s">
        <v>23</v>
      </c>
      <c r="RLJ2" s="420"/>
      <c r="RLK2" s="420"/>
      <c r="RLL2" s="420"/>
      <c r="RLM2" s="419" t="s">
        <v>23</v>
      </c>
      <c r="RLN2" s="420"/>
      <c r="RLO2" s="420"/>
      <c r="RLP2" s="420"/>
      <c r="RLQ2" s="419" t="s">
        <v>23</v>
      </c>
      <c r="RLR2" s="420"/>
      <c r="RLS2" s="420"/>
      <c r="RLT2" s="420"/>
      <c r="RLU2" s="419" t="s">
        <v>23</v>
      </c>
      <c r="RLV2" s="420"/>
      <c r="RLW2" s="420"/>
      <c r="RLX2" s="420"/>
      <c r="RLY2" s="419" t="s">
        <v>23</v>
      </c>
      <c r="RLZ2" s="420"/>
      <c r="RMA2" s="420"/>
      <c r="RMB2" s="420"/>
      <c r="RMC2" s="419" t="s">
        <v>23</v>
      </c>
      <c r="RMD2" s="420"/>
      <c r="RME2" s="420"/>
      <c r="RMF2" s="420"/>
      <c r="RMG2" s="419" t="s">
        <v>23</v>
      </c>
      <c r="RMH2" s="420"/>
      <c r="RMI2" s="420"/>
      <c r="RMJ2" s="420"/>
      <c r="RMK2" s="419" t="s">
        <v>23</v>
      </c>
      <c r="RML2" s="420"/>
      <c r="RMM2" s="420"/>
      <c r="RMN2" s="420"/>
      <c r="RMO2" s="419" t="s">
        <v>23</v>
      </c>
      <c r="RMP2" s="420"/>
      <c r="RMQ2" s="420"/>
      <c r="RMR2" s="420"/>
      <c r="RMS2" s="419" t="s">
        <v>23</v>
      </c>
      <c r="RMT2" s="420"/>
      <c r="RMU2" s="420"/>
      <c r="RMV2" s="420"/>
      <c r="RMW2" s="419" t="s">
        <v>23</v>
      </c>
      <c r="RMX2" s="420"/>
      <c r="RMY2" s="420"/>
      <c r="RMZ2" s="420"/>
      <c r="RNA2" s="419" t="s">
        <v>23</v>
      </c>
      <c r="RNB2" s="420"/>
      <c r="RNC2" s="420"/>
      <c r="RND2" s="420"/>
      <c r="RNE2" s="419" t="s">
        <v>23</v>
      </c>
      <c r="RNF2" s="420"/>
      <c r="RNG2" s="420"/>
      <c r="RNH2" s="420"/>
      <c r="RNI2" s="419" t="s">
        <v>23</v>
      </c>
      <c r="RNJ2" s="420"/>
      <c r="RNK2" s="420"/>
      <c r="RNL2" s="420"/>
      <c r="RNM2" s="419" t="s">
        <v>23</v>
      </c>
      <c r="RNN2" s="420"/>
      <c r="RNO2" s="420"/>
      <c r="RNP2" s="420"/>
      <c r="RNQ2" s="419" t="s">
        <v>23</v>
      </c>
      <c r="RNR2" s="420"/>
      <c r="RNS2" s="420"/>
      <c r="RNT2" s="420"/>
      <c r="RNU2" s="419" t="s">
        <v>23</v>
      </c>
      <c r="RNV2" s="420"/>
      <c r="RNW2" s="420"/>
      <c r="RNX2" s="420"/>
      <c r="RNY2" s="419" t="s">
        <v>23</v>
      </c>
      <c r="RNZ2" s="420"/>
      <c r="ROA2" s="420"/>
      <c r="ROB2" s="420"/>
      <c r="ROC2" s="419" t="s">
        <v>23</v>
      </c>
      <c r="ROD2" s="420"/>
      <c r="ROE2" s="420"/>
      <c r="ROF2" s="420"/>
      <c r="ROG2" s="419" t="s">
        <v>23</v>
      </c>
      <c r="ROH2" s="420"/>
      <c r="ROI2" s="420"/>
      <c r="ROJ2" s="420"/>
      <c r="ROK2" s="419" t="s">
        <v>23</v>
      </c>
      <c r="ROL2" s="420"/>
      <c r="ROM2" s="420"/>
      <c r="RON2" s="420"/>
      <c r="ROO2" s="419" t="s">
        <v>23</v>
      </c>
      <c r="ROP2" s="420"/>
      <c r="ROQ2" s="420"/>
      <c r="ROR2" s="420"/>
      <c r="ROS2" s="419" t="s">
        <v>23</v>
      </c>
      <c r="ROT2" s="420"/>
      <c r="ROU2" s="420"/>
      <c r="ROV2" s="420"/>
      <c r="ROW2" s="419" t="s">
        <v>23</v>
      </c>
      <c r="ROX2" s="420"/>
      <c r="ROY2" s="420"/>
      <c r="ROZ2" s="420"/>
      <c r="RPA2" s="419" t="s">
        <v>23</v>
      </c>
      <c r="RPB2" s="420"/>
      <c r="RPC2" s="420"/>
      <c r="RPD2" s="420"/>
      <c r="RPE2" s="419" t="s">
        <v>23</v>
      </c>
      <c r="RPF2" s="420"/>
      <c r="RPG2" s="420"/>
      <c r="RPH2" s="420"/>
      <c r="RPI2" s="419" t="s">
        <v>23</v>
      </c>
      <c r="RPJ2" s="420"/>
      <c r="RPK2" s="420"/>
      <c r="RPL2" s="420"/>
      <c r="RPM2" s="419" t="s">
        <v>23</v>
      </c>
      <c r="RPN2" s="420"/>
      <c r="RPO2" s="420"/>
      <c r="RPP2" s="420"/>
      <c r="RPQ2" s="419" t="s">
        <v>23</v>
      </c>
      <c r="RPR2" s="420"/>
      <c r="RPS2" s="420"/>
      <c r="RPT2" s="420"/>
      <c r="RPU2" s="419" t="s">
        <v>23</v>
      </c>
      <c r="RPV2" s="420"/>
      <c r="RPW2" s="420"/>
      <c r="RPX2" s="420"/>
      <c r="RPY2" s="419" t="s">
        <v>23</v>
      </c>
      <c r="RPZ2" s="420"/>
      <c r="RQA2" s="420"/>
      <c r="RQB2" s="420"/>
      <c r="RQC2" s="419" t="s">
        <v>23</v>
      </c>
      <c r="RQD2" s="420"/>
      <c r="RQE2" s="420"/>
      <c r="RQF2" s="420"/>
      <c r="RQG2" s="419" t="s">
        <v>23</v>
      </c>
      <c r="RQH2" s="420"/>
      <c r="RQI2" s="420"/>
      <c r="RQJ2" s="420"/>
      <c r="RQK2" s="419" t="s">
        <v>23</v>
      </c>
      <c r="RQL2" s="420"/>
      <c r="RQM2" s="420"/>
      <c r="RQN2" s="420"/>
      <c r="RQO2" s="419" t="s">
        <v>23</v>
      </c>
      <c r="RQP2" s="420"/>
      <c r="RQQ2" s="420"/>
      <c r="RQR2" s="420"/>
      <c r="RQS2" s="419" t="s">
        <v>23</v>
      </c>
      <c r="RQT2" s="420"/>
      <c r="RQU2" s="420"/>
      <c r="RQV2" s="420"/>
      <c r="RQW2" s="419" t="s">
        <v>23</v>
      </c>
      <c r="RQX2" s="420"/>
      <c r="RQY2" s="420"/>
      <c r="RQZ2" s="420"/>
      <c r="RRA2" s="419" t="s">
        <v>23</v>
      </c>
      <c r="RRB2" s="420"/>
      <c r="RRC2" s="420"/>
      <c r="RRD2" s="420"/>
      <c r="RRE2" s="419" t="s">
        <v>23</v>
      </c>
      <c r="RRF2" s="420"/>
      <c r="RRG2" s="420"/>
      <c r="RRH2" s="420"/>
      <c r="RRI2" s="419" t="s">
        <v>23</v>
      </c>
      <c r="RRJ2" s="420"/>
      <c r="RRK2" s="420"/>
      <c r="RRL2" s="420"/>
      <c r="RRM2" s="419" t="s">
        <v>23</v>
      </c>
      <c r="RRN2" s="420"/>
      <c r="RRO2" s="420"/>
      <c r="RRP2" s="420"/>
      <c r="RRQ2" s="419" t="s">
        <v>23</v>
      </c>
      <c r="RRR2" s="420"/>
      <c r="RRS2" s="420"/>
      <c r="RRT2" s="420"/>
      <c r="RRU2" s="419" t="s">
        <v>23</v>
      </c>
      <c r="RRV2" s="420"/>
      <c r="RRW2" s="420"/>
      <c r="RRX2" s="420"/>
      <c r="RRY2" s="419" t="s">
        <v>23</v>
      </c>
      <c r="RRZ2" s="420"/>
      <c r="RSA2" s="420"/>
      <c r="RSB2" s="420"/>
      <c r="RSC2" s="419" t="s">
        <v>23</v>
      </c>
      <c r="RSD2" s="420"/>
      <c r="RSE2" s="420"/>
      <c r="RSF2" s="420"/>
      <c r="RSG2" s="419" t="s">
        <v>23</v>
      </c>
      <c r="RSH2" s="420"/>
      <c r="RSI2" s="420"/>
      <c r="RSJ2" s="420"/>
      <c r="RSK2" s="419" t="s">
        <v>23</v>
      </c>
      <c r="RSL2" s="420"/>
      <c r="RSM2" s="420"/>
      <c r="RSN2" s="420"/>
      <c r="RSO2" s="419" t="s">
        <v>23</v>
      </c>
      <c r="RSP2" s="420"/>
      <c r="RSQ2" s="420"/>
      <c r="RSR2" s="420"/>
      <c r="RSS2" s="419" t="s">
        <v>23</v>
      </c>
      <c r="RST2" s="420"/>
      <c r="RSU2" s="420"/>
      <c r="RSV2" s="420"/>
      <c r="RSW2" s="419" t="s">
        <v>23</v>
      </c>
      <c r="RSX2" s="420"/>
      <c r="RSY2" s="420"/>
      <c r="RSZ2" s="420"/>
      <c r="RTA2" s="419" t="s">
        <v>23</v>
      </c>
      <c r="RTB2" s="420"/>
      <c r="RTC2" s="420"/>
      <c r="RTD2" s="420"/>
      <c r="RTE2" s="419" t="s">
        <v>23</v>
      </c>
      <c r="RTF2" s="420"/>
      <c r="RTG2" s="420"/>
      <c r="RTH2" s="420"/>
      <c r="RTI2" s="419" t="s">
        <v>23</v>
      </c>
      <c r="RTJ2" s="420"/>
      <c r="RTK2" s="420"/>
      <c r="RTL2" s="420"/>
      <c r="RTM2" s="419" t="s">
        <v>23</v>
      </c>
      <c r="RTN2" s="420"/>
      <c r="RTO2" s="420"/>
      <c r="RTP2" s="420"/>
      <c r="RTQ2" s="419" t="s">
        <v>23</v>
      </c>
      <c r="RTR2" s="420"/>
      <c r="RTS2" s="420"/>
      <c r="RTT2" s="420"/>
      <c r="RTU2" s="419" t="s">
        <v>23</v>
      </c>
      <c r="RTV2" s="420"/>
      <c r="RTW2" s="420"/>
      <c r="RTX2" s="420"/>
      <c r="RTY2" s="419" t="s">
        <v>23</v>
      </c>
      <c r="RTZ2" s="420"/>
      <c r="RUA2" s="420"/>
      <c r="RUB2" s="420"/>
      <c r="RUC2" s="419" t="s">
        <v>23</v>
      </c>
      <c r="RUD2" s="420"/>
      <c r="RUE2" s="420"/>
      <c r="RUF2" s="420"/>
      <c r="RUG2" s="419" t="s">
        <v>23</v>
      </c>
      <c r="RUH2" s="420"/>
      <c r="RUI2" s="420"/>
      <c r="RUJ2" s="420"/>
      <c r="RUK2" s="419" t="s">
        <v>23</v>
      </c>
      <c r="RUL2" s="420"/>
      <c r="RUM2" s="420"/>
      <c r="RUN2" s="420"/>
      <c r="RUO2" s="419" t="s">
        <v>23</v>
      </c>
      <c r="RUP2" s="420"/>
      <c r="RUQ2" s="420"/>
      <c r="RUR2" s="420"/>
      <c r="RUS2" s="419" t="s">
        <v>23</v>
      </c>
      <c r="RUT2" s="420"/>
      <c r="RUU2" s="420"/>
      <c r="RUV2" s="420"/>
      <c r="RUW2" s="419" t="s">
        <v>23</v>
      </c>
      <c r="RUX2" s="420"/>
      <c r="RUY2" s="420"/>
      <c r="RUZ2" s="420"/>
      <c r="RVA2" s="419" t="s">
        <v>23</v>
      </c>
      <c r="RVB2" s="420"/>
      <c r="RVC2" s="420"/>
      <c r="RVD2" s="420"/>
      <c r="RVE2" s="419" t="s">
        <v>23</v>
      </c>
      <c r="RVF2" s="420"/>
      <c r="RVG2" s="420"/>
      <c r="RVH2" s="420"/>
      <c r="RVI2" s="419" t="s">
        <v>23</v>
      </c>
      <c r="RVJ2" s="420"/>
      <c r="RVK2" s="420"/>
      <c r="RVL2" s="420"/>
      <c r="RVM2" s="419" t="s">
        <v>23</v>
      </c>
      <c r="RVN2" s="420"/>
      <c r="RVO2" s="420"/>
      <c r="RVP2" s="420"/>
      <c r="RVQ2" s="419" t="s">
        <v>23</v>
      </c>
      <c r="RVR2" s="420"/>
      <c r="RVS2" s="420"/>
      <c r="RVT2" s="420"/>
      <c r="RVU2" s="419" t="s">
        <v>23</v>
      </c>
      <c r="RVV2" s="420"/>
      <c r="RVW2" s="420"/>
      <c r="RVX2" s="420"/>
      <c r="RVY2" s="419" t="s">
        <v>23</v>
      </c>
      <c r="RVZ2" s="420"/>
      <c r="RWA2" s="420"/>
      <c r="RWB2" s="420"/>
      <c r="RWC2" s="419" t="s">
        <v>23</v>
      </c>
      <c r="RWD2" s="420"/>
      <c r="RWE2" s="420"/>
      <c r="RWF2" s="420"/>
      <c r="RWG2" s="419" t="s">
        <v>23</v>
      </c>
      <c r="RWH2" s="420"/>
      <c r="RWI2" s="420"/>
      <c r="RWJ2" s="420"/>
      <c r="RWK2" s="419" t="s">
        <v>23</v>
      </c>
      <c r="RWL2" s="420"/>
      <c r="RWM2" s="420"/>
      <c r="RWN2" s="420"/>
      <c r="RWO2" s="419" t="s">
        <v>23</v>
      </c>
      <c r="RWP2" s="420"/>
      <c r="RWQ2" s="420"/>
      <c r="RWR2" s="420"/>
      <c r="RWS2" s="419" t="s">
        <v>23</v>
      </c>
      <c r="RWT2" s="420"/>
      <c r="RWU2" s="420"/>
      <c r="RWV2" s="420"/>
      <c r="RWW2" s="419" t="s">
        <v>23</v>
      </c>
      <c r="RWX2" s="420"/>
      <c r="RWY2" s="420"/>
      <c r="RWZ2" s="420"/>
      <c r="RXA2" s="419" t="s">
        <v>23</v>
      </c>
      <c r="RXB2" s="420"/>
      <c r="RXC2" s="420"/>
      <c r="RXD2" s="420"/>
      <c r="RXE2" s="419" t="s">
        <v>23</v>
      </c>
      <c r="RXF2" s="420"/>
      <c r="RXG2" s="420"/>
      <c r="RXH2" s="420"/>
      <c r="RXI2" s="419" t="s">
        <v>23</v>
      </c>
      <c r="RXJ2" s="420"/>
      <c r="RXK2" s="420"/>
      <c r="RXL2" s="420"/>
      <c r="RXM2" s="419" t="s">
        <v>23</v>
      </c>
      <c r="RXN2" s="420"/>
      <c r="RXO2" s="420"/>
      <c r="RXP2" s="420"/>
      <c r="RXQ2" s="419" t="s">
        <v>23</v>
      </c>
      <c r="RXR2" s="420"/>
      <c r="RXS2" s="420"/>
      <c r="RXT2" s="420"/>
      <c r="RXU2" s="419" t="s">
        <v>23</v>
      </c>
      <c r="RXV2" s="420"/>
      <c r="RXW2" s="420"/>
      <c r="RXX2" s="420"/>
      <c r="RXY2" s="419" t="s">
        <v>23</v>
      </c>
      <c r="RXZ2" s="420"/>
      <c r="RYA2" s="420"/>
      <c r="RYB2" s="420"/>
      <c r="RYC2" s="419" t="s">
        <v>23</v>
      </c>
      <c r="RYD2" s="420"/>
      <c r="RYE2" s="420"/>
      <c r="RYF2" s="420"/>
      <c r="RYG2" s="419" t="s">
        <v>23</v>
      </c>
      <c r="RYH2" s="420"/>
      <c r="RYI2" s="420"/>
      <c r="RYJ2" s="420"/>
      <c r="RYK2" s="419" t="s">
        <v>23</v>
      </c>
      <c r="RYL2" s="420"/>
      <c r="RYM2" s="420"/>
      <c r="RYN2" s="420"/>
      <c r="RYO2" s="419" t="s">
        <v>23</v>
      </c>
      <c r="RYP2" s="420"/>
      <c r="RYQ2" s="420"/>
      <c r="RYR2" s="420"/>
      <c r="RYS2" s="419" t="s">
        <v>23</v>
      </c>
      <c r="RYT2" s="420"/>
      <c r="RYU2" s="420"/>
      <c r="RYV2" s="420"/>
      <c r="RYW2" s="419" t="s">
        <v>23</v>
      </c>
      <c r="RYX2" s="420"/>
      <c r="RYY2" s="420"/>
      <c r="RYZ2" s="420"/>
      <c r="RZA2" s="419" t="s">
        <v>23</v>
      </c>
      <c r="RZB2" s="420"/>
      <c r="RZC2" s="420"/>
      <c r="RZD2" s="420"/>
      <c r="RZE2" s="419" t="s">
        <v>23</v>
      </c>
      <c r="RZF2" s="420"/>
      <c r="RZG2" s="420"/>
      <c r="RZH2" s="420"/>
      <c r="RZI2" s="419" t="s">
        <v>23</v>
      </c>
      <c r="RZJ2" s="420"/>
      <c r="RZK2" s="420"/>
      <c r="RZL2" s="420"/>
      <c r="RZM2" s="419" t="s">
        <v>23</v>
      </c>
      <c r="RZN2" s="420"/>
      <c r="RZO2" s="420"/>
      <c r="RZP2" s="420"/>
      <c r="RZQ2" s="419" t="s">
        <v>23</v>
      </c>
      <c r="RZR2" s="420"/>
      <c r="RZS2" s="420"/>
      <c r="RZT2" s="420"/>
      <c r="RZU2" s="419" t="s">
        <v>23</v>
      </c>
      <c r="RZV2" s="420"/>
      <c r="RZW2" s="420"/>
      <c r="RZX2" s="420"/>
      <c r="RZY2" s="419" t="s">
        <v>23</v>
      </c>
      <c r="RZZ2" s="420"/>
      <c r="SAA2" s="420"/>
      <c r="SAB2" s="420"/>
      <c r="SAC2" s="419" t="s">
        <v>23</v>
      </c>
      <c r="SAD2" s="420"/>
      <c r="SAE2" s="420"/>
      <c r="SAF2" s="420"/>
      <c r="SAG2" s="419" t="s">
        <v>23</v>
      </c>
      <c r="SAH2" s="420"/>
      <c r="SAI2" s="420"/>
      <c r="SAJ2" s="420"/>
      <c r="SAK2" s="419" t="s">
        <v>23</v>
      </c>
      <c r="SAL2" s="420"/>
      <c r="SAM2" s="420"/>
      <c r="SAN2" s="420"/>
      <c r="SAO2" s="419" t="s">
        <v>23</v>
      </c>
      <c r="SAP2" s="420"/>
      <c r="SAQ2" s="420"/>
      <c r="SAR2" s="420"/>
      <c r="SAS2" s="419" t="s">
        <v>23</v>
      </c>
      <c r="SAT2" s="420"/>
      <c r="SAU2" s="420"/>
      <c r="SAV2" s="420"/>
      <c r="SAW2" s="419" t="s">
        <v>23</v>
      </c>
      <c r="SAX2" s="420"/>
      <c r="SAY2" s="420"/>
      <c r="SAZ2" s="420"/>
      <c r="SBA2" s="419" t="s">
        <v>23</v>
      </c>
      <c r="SBB2" s="420"/>
      <c r="SBC2" s="420"/>
      <c r="SBD2" s="420"/>
      <c r="SBE2" s="419" t="s">
        <v>23</v>
      </c>
      <c r="SBF2" s="420"/>
      <c r="SBG2" s="420"/>
      <c r="SBH2" s="420"/>
      <c r="SBI2" s="419" t="s">
        <v>23</v>
      </c>
      <c r="SBJ2" s="420"/>
      <c r="SBK2" s="420"/>
      <c r="SBL2" s="420"/>
      <c r="SBM2" s="419" t="s">
        <v>23</v>
      </c>
      <c r="SBN2" s="420"/>
      <c r="SBO2" s="420"/>
      <c r="SBP2" s="420"/>
      <c r="SBQ2" s="419" t="s">
        <v>23</v>
      </c>
      <c r="SBR2" s="420"/>
      <c r="SBS2" s="420"/>
      <c r="SBT2" s="420"/>
      <c r="SBU2" s="419" t="s">
        <v>23</v>
      </c>
      <c r="SBV2" s="420"/>
      <c r="SBW2" s="420"/>
      <c r="SBX2" s="420"/>
      <c r="SBY2" s="419" t="s">
        <v>23</v>
      </c>
      <c r="SBZ2" s="420"/>
      <c r="SCA2" s="420"/>
      <c r="SCB2" s="420"/>
      <c r="SCC2" s="419" t="s">
        <v>23</v>
      </c>
      <c r="SCD2" s="420"/>
      <c r="SCE2" s="420"/>
      <c r="SCF2" s="420"/>
      <c r="SCG2" s="419" t="s">
        <v>23</v>
      </c>
      <c r="SCH2" s="420"/>
      <c r="SCI2" s="420"/>
      <c r="SCJ2" s="420"/>
      <c r="SCK2" s="419" t="s">
        <v>23</v>
      </c>
      <c r="SCL2" s="420"/>
      <c r="SCM2" s="420"/>
      <c r="SCN2" s="420"/>
      <c r="SCO2" s="419" t="s">
        <v>23</v>
      </c>
      <c r="SCP2" s="420"/>
      <c r="SCQ2" s="420"/>
      <c r="SCR2" s="420"/>
      <c r="SCS2" s="419" t="s">
        <v>23</v>
      </c>
      <c r="SCT2" s="420"/>
      <c r="SCU2" s="420"/>
      <c r="SCV2" s="420"/>
      <c r="SCW2" s="419" t="s">
        <v>23</v>
      </c>
      <c r="SCX2" s="420"/>
      <c r="SCY2" s="420"/>
      <c r="SCZ2" s="420"/>
      <c r="SDA2" s="419" t="s">
        <v>23</v>
      </c>
      <c r="SDB2" s="420"/>
      <c r="SDC2" s="420"/>
      <c r="SDD2" s="420"/>
      <c r="SDE2" s="419" t="s">
        <v>23</v>
      </c>
      <c r="SDF2" s="420"/>
      <c r="SDG2" s="420"/>
      <c r="SDH2" s="420"/>
      <c r="SDI2" s="419" t="s">
        <v>23</v>
      </c>
      <c r="SDJ2" s="420"/>
      <c r="SDK2" s="420"/>
      <c r="SDL2" s="420"/>
      <c r="SDM2" s="419" t="s">
        <v>23</v>
      </c>
      <c r="SDN2" s="420"/>
      <c r="SDO2" s="420"/>
      <c r="SDP2" s="420"/>
      <c r="SDQ2" s="419" t="s">
        <v>23</v>
      </c>
      <c r="SDR2" s="420"/>
      <c r="SDS2" s="420"/>
      <c r="SDT2" s="420"/>
      <c r="SDU2" s="419" t="s">
        <v>23</v>
      </c>
      <c r="SDV2" s="420"/>
      <c r="SDW2" s="420"/>
      <c r="SDX2" s="420"/>
      <c r="SDY2" s="419" t="s">
        <v>23</v>
      </c>
      <c r="SDZ2" s="420"/>
      <c r="SEA2" s="420"/>
      <c r="SEB2" s="420"/>
      <c r="SEC2" s="419" t="s">
        <v>23</v>
      </c>
      <c r="SED2" s="420"/>
      <c r="SEE2" s="420"/>
      <c r="SEF2" s="420"/>
      <c r="SEG2" s="419" t="s">
        <v>23</v>
      </c>
      <c r="SEH2" s="420"/>
      <c r="SEI2" s="420"/>
      <c r="SEJ2" s="420"/>
      <c r="SEK2" s="419" t="s">
        <v>23</v>
      </c>
      <c r="SEL2" s="420"/>
      <c r="SEM2" s="420"/>
      <c r="SEN2" s="420"/>
      <c r="SEO2" s="419" t="s">
        <v>23</v>
      </c>
      <c r="SEP2" s="420"/>
      <c r="SEQ2" s="420"/>
      <c r="SER2" s="420"/>
      <c r="SES2" s="419" t="s">
        <v>23</v>
      </c>
      <c r="SET2" s="420"/>
      <c r="SEU2" s="420"/>
      <c r="SEV2" s="420"/>
      <c r="SEW2" s="419" t="s">
        <v>23</v>
      </c>
      <c r="SEX2" s="420"/>
      <c r="SEY2" s="420"/>
      <c r="SEZ2" s="420"/>
      <c r="SFA2" s="419" t="s">
        <v>23</v>
      </c>
      <c r="SFB2" s="420"/>
      <c r="SFC2" s="420"/>
      <c r="SFD2" s="420"/>
      <c r="SFE2" s="419" t="s">
        <v>23</v>
      </c>
      <c r="SFF2" s="420"/>
      <c r="SFG2" s="420"/>
      <c r="SFH2" s="420"/>
      <c r="SFI2" s="419" t="s">
        <v>23</v>
      </c>
      <c r="SFJ2" s="420"/>
      <c r="SFK2" s="420"/>
      <c r="SFL2" s="420"/>
      <c r="SFM2" s="419" t="s">
        <v>23</v>
      </c>
      <c r="SFN2" s="420"/>
      <c r="SFO2" s="420"/>
      <c r="SFP2" s="420"/>
      <c r="SFQ2" s="419" t="s">
        <v>23</v>
      </c>
      <c r="SFR2" s="420"/>
      <c r="SFS2" s="420"/>
      <c r="SFT2" s="420"/>
      <c r="SFU2" s="419" t="s">
        <v>23</v>
      </c>
      <c r="SFV2" s="420"/>
      <c r="SFW2" s="420"/>
      <c r="SFX2" s="420"/>
      <c r="SFY2" s="419" t="s">
        <v>23</v>
      </c>
      <c r="SFZ2" s="420"/>
      <c r="SGA2" s="420"/>
      <c r="SGB2" s="420"/>
      <c r="SGC2" s="419" t="s">
        <v>23</v>
      </c>
      <c r="SGD2" s="420"/>
      <c r="SGE2" s="420"/>
      <c r="SGF2" s="420"/>
      <c r="SGG2" s="419" t="s">
        <v>23</v>
      </c>
      <c r="SGH2" s="420"/>
      <c r="SGI2" s="420"/>
      <c r="SGJ2" s="420"/>
      <c r="SGK2" s="419" t="s">
        <v>23</v>
      </c>
      <c r="SGL2" s="420"/>
      <c r="SGM2" s="420"/>
      <c r="SGN2" s="420"/>
      <c r="SGO2" s="419" t="s">
        <v>23</v>
      </c>
      <c r="SGP2" s="420"/>
      <c r="SGQ2" s="420"/>
      <c r="SGR2" s="420"/>
      <c r="SGS2" s="419" t="s">
        <v>23</v>
      </c>
      <c r="SGT2" s="420"/>
      <c r="SGU2" s="420"/>
      <c r="SGV2" s="420"/>
      <c r="SGW2" s="419" t="s">
        <v>23</v>
      </c>
      <c r="SGX2" s="420"/>
      <c r="SGY2" s="420"/>
      <c r="SGZ2" s="420"/>
      <c r="SHA2" s="419" t="s">
        <v>23</v>
      </c>
      <c r="SHB2" s="420"/>
      <c r="SHC2" s="420"/>
      <c r="SHD2" s="420"/>
      <c r="SHE2" s="419" t="s">
        <v>23</v>
      </c>
      <c r="SHF2" s="420"/>
      <c r="SHG2" s="420"/>
      <c r="SHH2" s="420"/>
      <c r="SHI2" s="419" t="s">
        <v>23</v>
      </c>
      <c r="SHJ2" s="420"/>
      <c r="SHK2" s="420"/>
      <c r="SHL2" s="420"/>
      <c r="SHM2" s="419" t="s">
        <v>23</v>
      </c>
      <c r="SHN2" s="420"/>
      <c r="SHO2" s="420"/>
      <c r="SHP2" s="420"/>
      <c r="SHQ2" s="419" t="s">
        <v>23</v>
      </c>
      <c r="SHR2" s="420"/>
      <c r="SHS2" s="420"/>
      <c r="SHT2" s="420"/>
      <c r="SHU2" s="419" t="s">
        <v>23</v>
      </c>
      <c r="SHV2" s="420"/>
      <c r="SHW2" s="420"/>
      <c r="SHX2" s="420"/>
      <c r="SHY2" s="419" t="s">
        <v>23</v>
      </c>
      <c r="SHZ2" s="420"/>
      <c r="SIA2" s="420"/>
      <c r="SIB2" s="420"/>
      <c r="SIC2" s="419" t="s">
        <v>23</v>
      </c>
      <c r="SID2" s="420"/>
      <c r="SIE2" s="420"/>
      <c r="SIF2" s="420"/>
      <c r="SIG2" s="419" t="s">
        <v>23</v>
      </c>
      <c r="SIH2" s="420"/>
      <c r="SII2" s="420"/>
      <c r="SIJ2" s="420"/>
      <c r="SIK2" s="419" t="s">
        <v>23</v>
      </c>
      <c r="SIL2" s="420"/>
      <c r="SIM2" s="420"/>
      <c r="SIN2" s="420"/>
      <c r="SIO2" s="419" t="s">
        <v>23</v>
      </c>
      <c r="SIP2" s="420"/>
      <c r="SIQ2" s="420"/>
      <c r="SIR2" s="420"/>
      <c r="SIS2" s="419" t="s">
        <v>23</v>
      </c>
      <c r="SIT2" s="420"/>
      <c r="SIU2" s="420"/>
      <c r="SIV2" s="420"/>
      <c r="SIW2" s="419" t="s">
        <v>23</v>
      </c>
      <c r="SIX2" s="420"/>
      <c r="SIY2" s="420"/>
      <c r="SIZ2" s="420"/>
      <c r="SJA2" s="419" t="s">
        <v>23</v>
      </c>
      <c r="SJB2" s="420"/>
      <c r="SJC2" s="420"/>
      <c r="SJD2" s="420"/>
      <c r="SJE2" s="419" t="s">
        <v>23</v>
      </c>
      <c r="SJF2" s="420"/>
      <c r="SJG2" s="420"/>
      <c r="SJH2" s="420"/>
      <c r="SJI2" s="419" t="s">
        <v>23</v>
      </c>
      <c r="SJJ2" s="420"/>
      <c r="SJK2" s="420"/>
      <c r="SJL2" s="420"/>
      <c r="SJM2" s="419" t="s">
        <v>23</v>
      </c>
      <c r="SJN2" s="420"/>
      <c r="SJO2" s="420"/>
      <c r="SJP2" s="420"/>
      <c r="SJQ2" s="419" t="s">
        <v>23</v>
      </c>
      <c r="SJR2" s="420"/>
      <c r="SJS2" s="420"/>
      <c r="SJT2" s="420"/>
      <c r="SJU2" s="419" t="s">
        <v>23</v>
      </c>
      <c r="SJV2" s="420"/>
      <c r="SJW2" s="420"/>
      <c r="SJX2" s="420"/>
      <c r="SJY2" s="419" t="s">
        <v>23</v>
      </c>
      <c r="SJZ2" s="420"/>
      <c r="SKA2" s="420"/>
      <c r="SKB2" s="420"/>
      <c r="SKC2" s="419" t="s">
        <v>23</v>
      </c>
      <c r="SKD2" s="420"/>
      <c r="SKE2" s="420"/>
      <c r="SKF2" s="420"/>
      <c r="SKG2" s="419" t="s">
        <v>23</v>
      </c>
      <c r="SKH2" s="420"/>
      <c r="SKI2" s="420"/>
      <c r="SKJ2" s="420"/>
      <c r="SKK2" s="419" t="s">
        <v>23</v>
      </c>
      <c r="SKL2" s="420"/>
      <c r="SKM2" s="420"/>
      <c r="SKN2" s="420"/>
      <c r="SKO2" s="419" t="s">
        <v>23</v>
      </c>
      <c r="SKP2" s="420"/>
      <c r="SKQ2" s="420"/>
      <c r="SKR2" s="420"/>
      <c r="SKS2" s="419" t="s">
        <v>23</v>
      </c>
      <c r="SKT2" s="420"/>
      <c r="SKU2" s="420"/>
      <c r="SKV2" s="420"/>
      <c r="SKW2" s="419" t="s">
        <v>23</v>
      </c>
      <c r="SKX2" s="420"/>
      <c r="SKY2" s="420"/>
      <c r="SKZ2" s="420"/>
      <c r="SLA2" s="419" t="s">
        <v>23</v>
      </c>
      <c r="SLB2" s="420"/>
      <c r="SLC2" s="420"/>
      <c r="SLD2" s="420"/>
      <c r="SLE2" s="419" t="s">
        <v>23</v>
      </c>
      <c r="SLF2" s="420"/>
      <c r="SLG2" s="420"/>
      <c r="SLH2" s="420"/>
      <c r="SLI2" s="419" t="s">
        <v>23</v>
      </c>
      <c r="SLJ2" s="420"/>
      <c r="SLK2" s="420"/>
      <c r="SLL2" s="420"/>
      <c r="SLM2" s="419" t="s">
        <v>23</v>
      </c>
      <c r="SLN2" s="420"/>
      <c r="SLO2" s="420"/>
      <c r="SLP2" s="420"/>
      <c r="SLQ2" s="419" t="s">
        <v>23</v>
      </c>
      <c r="SLR2" s="420"/>
      <c r="SLS2" s="420"/>
      <c r="SLT2" s="420"/>
      <c r="SLU2" s="419" t="s">
        <v>23</v>
      </c>
      <c r="SLV2" s="420"/>
      <c r="SLW2" s="420"/>
      <c r="SLX2" s="420"/>
      <c r="SLY2" s="419" t="s">
        <v>23</v>
      </c>
      <c r="SLZ2" s="420"/>
      <c r="SMA2" s="420"/>
      <c r="SMB2" s="420"/>
      <c r="SMC2" s="419" t="s">
        <v>23</v>
      </c>
      <c r="SMD2" s="420"/>
      <c r="SME2" s="420"/>
      <c r="SMF2" s="420"/>
      <c r="SMG2" s="419" t="s">
        <v>23</v>
      </c>
      <c r="SMH2" s="420"/>
      <c r="SMI2" s="420"/>
      <c r="SMJ2" s="420"/>
      <c r="SMK2" s="419" t="s">
        <v>23</v>
      </c>
      <c r="SML2" s="420"/>
      <c r="SMM2" s="420"/>
      <c r="SMN2" s="420"/>
      <c r="SMO2" s="419" t="s">
        <v>23</v>
      </c>
      <c r="SMP2" s="420"/>
      <c r="SMQ2" s="420"/>
      <c r="SMR2" s="420"/>
      <c r="SMS2" s="419" t="s">
        <v>23</v>
      </c>
      <c r="SMT2" s="420"/>
      <c r="SMU2" s="420"/>
      <c r="SMV2" s="420"/>
      <c r="SMW2" s="419" t="s">
        <v>23</v>
      </c>
      <c r="SMX2" s="420"/>
      <c r="SMY2" s="420"/>
      <c r="SMZ2" s="420"/>
      <c r="SNA2" s="419" t="s">
        <v>23</v>
      </c>
      <c r="SNB2" s="420"/>
      <c r="SNC2" s="420"/>
      <c r="SND2" s="420"/>
      <c r="SNE2" s="419" t="s">
        <v>23</v>
      </c>
      <c r="SNF2" s="420"/>
      <c r="SNG2" s="420"/>
      <c r="SNH2" s="420"/>
      <c r="SNI2" s="419" t="s">
        <v>23</v>
      </c>
      <c r="SNJ2" s="420"/>
      <c r="SNK2" s="420"/>
      <c r="SNL2" s="420"/>
      <c r="SNM2" s="419" t="s">
        <v>23</v>
      </c>
      <c r="SNN2" s="420"/>
      <c r="SNO2" s="420"/>
      <c r="SNP2" s="420"/>
      <c r="SNQ2" s="419" t="s">
        <v>23</v>
      </c>
      <c r="SNR2" s="420"/>
      <c r="SNS2" s="420"/>
      <c r="SNT2" s="420"/>
      <c r="SNU2" s="419" t="s">
        <v>23</v>
      </c>
      <c r="SNV2" s="420"/>
      <c r="SNW2" s="420"/>
      <c r="SNX2" s="420"/>
      <c r="SNY2" s="419" t="s">
        <v>23</v>
      </c>
      <c r="SNZ2" s="420"/>
      <c r="SOA2" s="420"/>
      <c r="SOB2" s="420"/>
      <c r="SOC2" s="419" t="s">
        <v>23</v>
      </c>
      <c r="SOD2" s="420"/>
      <c r="SOE2" s="420"/>
      <c r="SOF2" s="420"/>
      <c r="SOG2" s="419" t="s">
        <v>23</v>
      </c>
      <c r="SOH2" s="420"/>
      <c r="SOI2" s="420"/>
      <c r="SOJ2" s="420"/>
      <c r="SOK2" s="419" t="s">
        <v>23</v>
      </c>
      <c r="SOL2" s="420"/>
      <c r="SOM2" s="420"/>
      <c r="SON2" s="420"/>
      <c r="SOO2" s="419" t="s">
        <v>23</v>
      </c>
      <c r="SOP2" s="420"/>
      <c r="SOQ2" s="420"/>
      <c r="SOR2" s="420"/>
      <c r="SOS2" s="419" t="s">
        <v>23</v>
      </c>
      <c r="SOT2" s="420"/>
      <c r="SOU2" s="420"/>
      <c r="SOV2" s="420"/>
      <c r="SOW2" s="419" t="s">
        <v>23</v>
      </c>
      <c r="SOX2" s="420"/>
      <c r="SOY2" s="420"/>
      <c r="SOZ2" s="420"/>
      <c r="SPA2" s="419" t="s">
        <v>23</v>
      </c>
      <c r="SPB2" s="420"/>
      <c r="SPC2" s="420"/>
      <c r="SPD2" s="420"/>
      <c r="SPE2" s="419" t="s">
        <v>23</v>
      </c>
      <c r="SPF2" s="420"/>
      <c r="SPG2" s="420"/>
      <c r="SPH2" s="420"/>
      <c r="SPI2" s="419" t="s">
        <v>23</v>
      </c>
      <c r="SPJ2" s="420"/>
      <c r="SPK2" s="420"/>
      <c r="SPL2" s="420"/>
      <c r="SPM2" s="419" t="s">
        <v>23</v>
      </c>
      <c r="SPN2" s="420"/>
      <c r="SPO2" s="420"/>
      <c r="SPP2" s="420"/>
      <c r="SPQ2" s="419" t="s">
        <v>23</v>
      </c>
      <c r="SPR2" s="420"/>
      <c r="SPS2" s="420"/>
      <c r="SPT2" s="420"/>
      <c r="SPU2" s="419" t="s">
        <v>23</v>
      </c>
      <c r="SPV2" s="420"/>
      <c r="SPW2" s="420"/>
      <c r="SPX2" s="420"/>
      <c r="SPY2" s="419" t="s">
        <v>23</v>
      </c>
      <c r="SPZ2" s="420"/>
      <c r="SQA2" s="420"/>
      <c r="SQB2" s="420"/>
      <c r="SQC2" s="419" t="s">
        <v>23</v>
      </c>
      <c r="SQD2" s="420"/>
      <c r="SQE2" s="420"/>
      <c r="SQF2" s="420"/>
      <c r="SQG2" s="419" t="s">
        <v>23</v>
      </c>
      <c r="SQH2" s="420"/>
      <c r="SQI2" s="420"/>
      <c r="SQJ2" s="420"/>
      <c r="SQK2" s="419" t="s">
        <v>23</v>
      </c>
      <c r="SQL2" s="420"/>
      <c r="SQM2" s="420"/>
      <c r="SQN2" s="420"/>
      <c r="SQO2" s="419" t="s">
        <v>23</v>
      </c>
      <c r="SQP2" s="420"/>
      <c r="SQQ2" s="420"/>
      <c r="SQR2" s="420"/>
      <c r="SQS2" s="419" t="s">
        <v>23</v>
      </c>
      <c r="SQT2" s="420"/>
      <c r="SQU2" s="420"/>
      <c r="SQV2" s="420"/>
      <c r="SQW2" s="419" t="s">
        <v>23</v>
      </c>
      <c r="SQX2" s="420"/>
      <c r="SQY2" s="420"/>
      <c r="SQZ2" s="420"/>
      <c r="SRA2" s="419" t="s">
        <v>23</v>
      </c>
      <c r="SRB2" s="420"/>
      <c r="SRC2" s="420"/>
      <c r="SRD2" s="420"/>
      <c r="SRE2" s="419" t="s">
        <v>23</v>
      </c>
      <c r="SRF2" s="420"/>
      <c r="SRG2" s="420"/>
      <c r="SRH2" s="420"/>
      <c r="SRI2" s="419" t="s">
        <v>23</v>
      </c>
      <c r="SRJ2" s="420"/>
      <c r="SRK2" s="420"/>
      <c r="SRL2" s="420"/>
      <c r="SRM2" s="419" t="s">
        <v>23</v>
      </c>
      <c r="SRN2" s="420"/>
      <c r="SRO2" s="420"/>
      <c r="SRP2" s="420"/>
      <c r="SRQ2" s="419" t="s">
        <v>23</v>
      </c>
      <c r="SRR2" s="420"/>
      <c r="SRS2" s="420"/>
      <c r="SRT2" s="420"/>
      <c r="SRU2" s="419" t="s">
        <v>23</v>
      </c>
      <c r="SRV2" s="420"/>
      <c r="SRW2" s="420"/>
      <c r="SRX2" s="420"/>
      <c r="SRY2" s="419" t="s">
        <v>23</v>
      </c>
      <c r="SRZ2" s="420"/>
      <c r="SSA2" s="420"/>
      <c r="SSB2" s="420"/>
      <c r="SSC2" s="419" t="s">
        <v>23</v>
      </c>
      <c r="SSD2" s="420"/>
      <c r="SSE2" s="420"/>
      <c r="SSF2" s="420"/>
      <c r="SSG2" s="419" t="s">
        <v>23</v>
      </c>
      <c r="SSH2" s="420"/>
      <c r="SSI2" s="420"/>
      <c r="SSJ2" s="420"/>
      <c r="SSK2" s="419" t="s">
        <v>23</v>
      </c>
      <c r="SSL2" s="420"/>
      <c r="SSM2" s="420"/>
      <c r="SSN2" s="420"/>
      <c r="SSO2" s="419" t="s">
        <v>23</v>
      </c>
      <c r="SSP2" s="420"/>
      <c r="SSQ2" s="420"/>
      <c r="SSR2" s="420"/>
      <c r="SSS2" s="419" t="s">
        <v>23</v>
      </c>
      <c r="SST2" s="420"/>
      <c r="SSU2" s="420"/>
      <c r="SSV2" s="420"/>
      <c r="SSW2" s="419" t="s">
        <v>23</v>
      </c>
      <c r="SSX2" s="420"/>
      <c r="SSY2" s="420"/>
      <c r="SSZ2" s="420"/>
      <c r="STA2" s="419" t="s">
        <v>23</v>
      </c>
      <c r="STB2" s="420"/>
      <c r="STC2" s="420"/>
      <c r="STD2" s="420"/>
      <c r="STE2" s="419" t="s">
        <v>23</v>
      </c>
      <c r="STF2" s="420"/>
      <c r="STG2" s="420"/>
      <c r="STH2" s="420"/>
      <c r="STI2" s="419" t="s">
        <v>23</v>
      </c>
      <c r="STJ2" s="420"/>
      <c r="STK2" s="420"/>
      <c r="STL2" s="420"/>
      <c r="STM2" s="419" t="s">
        <v>23</v>
      </c>
      <c r="STN2" s="420"/>
      <c r="STO2" s="420"/>
      <c r="STP2" s="420"/>
      <c r="STQ2" s="419" t="s">
        <v>23</v>
      </c>
      <c r="STR2" s="420"/>
      <c r="STS2" s="420"/>
      <c r="STT2" s="420"/>
      <c r="STU2" s="419" t="s">
        <v>23</v>
      </c>
      <c r="STV2" s="420"/>
      <c r="STW2" s="420"/>
      <c r="STX2" s="420"/>
      <c r="STY2" s="419" t="s">
        <v>23</v>
      </c>
      <c r="STZ2" s="420"/>
      <c r="SUA2" s="420"/>
      <c r="SUB2" s="420"/>
      <c r="SUC2" s="419" t="s">
        <v>23</v>
      </c>
      <c r="SUD2" s="420"/>
      <c r="SUE2" s="420"/>
      <c r="SUF2" s="420"/>
      <c r="SUG2" s="419" t="s">
        <v>23</v>
      </c>
      <c r="SUH2" s="420"/>
      <c r="SUI2" s="420"/>
      <c r="SUJ2" s="420"/>
      <c r="SUK2" s="419" t="s">
        <v>23</v>
      </c>
      <c r="SUL2" s="420"/>
      <c r="SUM2" s="420"/>
      <c r="SUN2" s="420"/>
      <c r="SUO2" s="419" t="s">
        <v>23</v>
      </c>
      <c r="SUP2" s="420"/>
      <c r="SUQ2" s="420"/>
      <c r="SUR2" s="420"/>
      <c r="SUS2" s="419" t="s">
        <v>23</v>
      </c>
      <c r="SUT2" s="420"/>
      <c r="SUU2" s="420"/>
      <c r="SUV2" s="420"/>
      <c r="SUW2" s="419" t="s">
        <v>23</v>
      </c>
      <c r="SUX2" s="420"/>
      <c r="SUY2" s="420"/>
      <c r="SUZ2" s="420"/>
      <c r="SVA2" s="419" t="s">
        <v>23</v>
      </c>
      <c r="SVB2" s="420"/>
      <c r="SVC2" s="420"/>
      <c r="SVD2" s="420"/>
      <c r="SVE2" s="419" t="s">
        <v>23</v>
      </c>
      <c r="SVF2" s="420"/>
      <c r="SVG2" s="420"/>
      <c r="SVH2" s="420"/>
      <c r="SVI2" s="419" t="s">
        <v>23</v>
      </c>
      <c r="SVJ2" s="420"/>
      <c r="SVK2" s="420"/>
      <c r="SVL2" s="420"/>
      <c r="SVM2" s="419" t="s">
        <v>23</v>
      </c>
      <c r="SVN2" s="420"/>
      <c r="SVO2" s="420"/>
      <c r="SVP2" s="420"/>
      <c r="SVQ2" s="419" t="s">
        <v>23</v>
      </c>
      <c r="SVR2" s="420"/>
      <c r="SVS2" s="420"/>
      <c r="SVT2" s="420"/>
      <c r="SVU2" s="419" t="s">
        <v>23</v>
      </c>
      <c r="SVV2" s="420"/>
      <c r="SVW2" s="420"/>
      <c r="SVX2" s="420"/>
      <c r="SVY2" s="419" t="s">
        <v>23</v>
      </c>
      <c r="SVZ2" s="420"/>
      <c r="SWA2" s="420"/>
      <c r="SWB2" s="420"/>
      <c r="SWC2" s="419" t="s">
        <v>23</v>
      </c>
      <c r="SWD2" s="420"/>
      <c r="SWE2" s="420"/>
      <c r="SWF2" s="420"/>
      <c r="SWG2" s="419" t="s">
        <v>23</v>
      </c>
      <c r="SWH2" s="420"/>
      <c r="SWI2" s="420"/>
      <c r="SWJ2" s="420"/>
      <c r="SWK2" s="419" t="s">
        <v>23</v>
      </c>
      <c r="SWL2" s="420"/>
      <c r="SWM2" s="420"/>
      <c r="SWN2" s="420"/>
      <c r="SWO2" s="419" t="s">
        <v>23</v>
      </c>
      <c r="SWP2" s="420"/>
      <c r="SWQ2" s="420"/>
      <c r="SWR2" s="420"/>
      <c r="SWS2" s="419" t="s">
        <v>23</v>
      </c>
      <c r="SWT2" s="420"/>
      <c r="SWU2" s="420"/>
      <c r="SWV2" s="420"/>
      <c r="SWW2" s="419" t="s">
        <v>23</v>
      </c>
      <c r="SWX2" s="420"/>
      <c r="SWY2" s="420"/>
      <c r="SWZ2" s="420"/>
      <c r="SXA2" s="419" t="s">
        <v>23</v>
      </c>
      <c r="SXB2" s="420"/>
      <c r="SXC2" s="420"/>
      <c r="SXD2" s="420"/>
      <c r="SXE2" s="419" t="s">
        <v>23</v>
      </c>
      <c r="SXF2" s="420"/>
      <c r="SXG2" s="420"/>
      <c r="SXH2" s="420"/>
      <c r="SXI2" s="419" t="s">
        <v>23</v>
      </c>
      <c r="SXJ2" s="420"/>
      <c r="SXK2" s="420"/>
      <c r="SXL2" s="420"/>
      <c r="SXM2" s="419" t="s">
        <v>23</v>
      </c>
      <c r="SXN2" s="420"/>
      <c r="SXO2" s="420"/>
      <c r="SXP2" s="420"/>
      <c r="SXQ2" s="419" t="s">
        <v>23</v>
      </c>
      <c r="SXR2" s="420"/>
      <c r="SXS2" s="420"/>
      <c r="SXT2" s="420"/>
      <c r="SXU2" s="419" t="s">
        <v>23</v>
      </c>
      <c r="SXV2" s="420"/>
      <c r="SXW2" s="420"/>
      <c r="SXX2" s="420"/>
      <c r="SXY2" s="419" t="s">
        <v>23</v>
      </c>
      <c r="SXZ2" s="420"/>
      <c r="SYA2" s="420"/>
      <c r="SYB2" s="420"/>
      <c r="SYC2" s="419" t="s">
        <v>23</v>
      </c>
      <c r="SYD2" s="420"/>
      <c r="SYE2" s="420"/>
      <c r="SYF2" s="420"/>
      <c r="SYG2" s="419" t="s">
        <v>23</v>
      </c>
      <c r="SYH2" s="420"/>
      <c r="SYI2" s="420"/>
      <c r="SYJ2" s="420"/>
      <c r="SYK2" s="419" t="s">
        <v>23</v>
      </c>
      <c r="SYL2" s="420"/>
      <c r="SYM2" s="420"/>
      <c r="SYN2" s="420"/>
      <c r="SYO2" s="419" t="s">
        <v>23</v>
      </c>
      <c r="SYP2" s="420"/>
      <c r="SYQ2" s="420"/>
      <c r="SYR2" s="420"/>
      <c r="SYS2" s="419" t="s">
        <v>23</v>
      </c>
      <c r="SYT2" s="420"/>
      <c r="SYU2" s="420"/>
      <c r="SYV2" s="420"/>
      <c r="SYW2" s="419" t="s">
        <v>23</v>
      </c>
      <c r="SYX2" s="420"/>
      <c r="SYY2" s="420"/>
      <c r="SYZ2" s="420"/>
      <c r="SZA2" s="419" t="s">
        <v>23</v>
      </c>
      <c r="SZB2" s="420"/>
      <c r="SZC2" s="420"/>
      <c r="SZD2" s="420"/>
      <c r="SZE2" s="419" t="s">
        <v>23</v>
      </c>
      <c r="SZF2" s="420"/>
      <c r="SZG2" s="420"/>
      <c r="SZH2" s="420"/>
      <c r="SZI2" s="419" t="s">
        <v>23</v>
      </c>
      <c r="SZJ2" s="420"/>
      <c r="SZK2" s="420"/>
      <c r="SZL2" s="420"/>
      <c r="SZM2" s="419" t="s">
        <v>23</v>
      </c>
      <c r="SZN2" s="420"/>
      <c r="SZO2" s="420"/>
      <c r="SZP2" s="420"/>
      <c r="SZQ2" s="419" t="s">
        <v>23</v>
      </c>
      <c r="SZR2" s="420"/>
      <c r="SZS2" s="420"/>
      <c r="SZT2" s="420"/>
      <c r="SZU2" s="419" t="s">
        <v>23</v>
      </c>
      <c r="SZV2" s="420"/>
      <c r="SZW2" s="420"/>
      <c r="SZX2" s="420"/>
      <c r="SZY2" s="419" t="s">
        <v>23</v>
      </c>
      <c r="SZZ2" s="420"/>
      <c r="TAA2" s="420"/>
      <c r="TAB2" s="420"/>
      <c r="TAC2" s="419" t="s">
        <v>23</v>
      </c>
      <c r="TAD2" s="420"/>
      <c r="TAE2" s="420"/>
      <c r="TAF2" s="420"/>
      <c r="TAG2" s="419" t="s">
        <v>23</v>
      </c>
      <c r="TAH2" s="420"/>
      <c r="TAI2" s="420"/>
      <c r="TAJ2" s="420"/>
      <c r="TAK2" s="419" t="s">
        <v>23</v>
      </c>
      <c r="TAL2" s="420"/>
      <c r="TAM2" s="420"/>
      <c r="TAN2" s="420"/>
      <c r="TAO2" s="419" t="s">
        <v>23</v>
      </c>
      <c r="TAP2" s="420"/>
      <c r="TAQ2" s="420"/>
      <c r="TAR2" s="420"/>
      <c r="TAS2" s="419" t="s">
        <v>23</v>
      </c>
      <c r="TAT2" s="420"/>
      <c r="TAU2" s="420"/>
      <c r="TAV2" s="420"/>
      <c r="TAW2" s="419" t="s">
        <v>23</v>
      </c>
      <c r="TAX2" s="420"/>
      <c r="TAY2" s="420"/>
      <c r="TAZ2" s="420"/>
      <c r="TBA2" s="419" t="s">
        <v>23</v>
      </c>
      <c r="TBB2" s="420"/>
      <c r="TBC2" s="420"/>
      <c r="TBD2" s="420"/>
      <c r="TBE2" s="419" t="s">
        <v>23</v>
      </c>
      <c r="TBF2" s="420"/>
      <c r="TBG2" s="420"/>
      <c r="TBH2" s="420"/>
      <c r="TBI2" s="419" t="s">
        <v>23</v>
      </c>
      <c r="TBJ2" s="420"/>
      <c r="TBK2" s="420"/>
      <c r="TBL2" s="420"/>
      <c r="TBM2" s="419" t="s">
        <v>23</v>
      </c>
      <c r="TBN2" s="420"/>
      <c r="TBO2" s="420"/>
      <c r="TBP2" s="420"/>
      <c r="TBQ2" s="419" t="s">
        <v>23</v>
      </c>
      <c r="TBR2" s="420"/>
      <c r="TBS2" s="420"/>
      <c r="TBT2" s="420"/>
      <c r="TBU2" s="419" t="s">
        <v>23</v>
      </c>
      <c r="TBV2" s="420"/>
      <c r="TBW2" s="420"/>
      <c r="TBX2" s="420"/>
      <c r="TBY2" s="419" t="s">
        <v>23</v>
      </c>
      <c r="TBZ2" s="420"/>
      <c r="TCA2" s="420"/>
      <c r="TCB2" s="420"/>
      <c r="TCC2" s="419" t="s">
        <v>23</v>
      </c>
      <c r="TCD2" s="420"/>
      <c r="TCE2" s="420"/>
      <c r="TCF2" s="420"/>
      <c r="TCG2" s="419" t="s">
        <v>23</v>
      </c>
      <c r="TCH2" s="420"/>
      <c r="TCI2" s="420"/>
      <c r="TCJ2" s="420"/>
      <c r="TCK2" s="419" t="s">
        <v>23</v>
      </c>
      <c r="TCL2" s="420"/>
      <c r="TCM2" s="420"/>
      <c r="TCN2" s="420"/>
      <c r="TCO2" s="419" t="s">
        <v>23</v>
      </c>
      <c r="TCP2" s="420"/>
      <c r="TCQ2" s="420"/>
      <c r="TCR2" s="420"/>
      <c r="TCS2" s="419" t="s">
        <v>23</v>
      </c>
      <c r="TCT2" s="420"/>
      <c r="TCU2" s="420"/>
      <c r="TCV2" s="420"/>
      <c r="TCW2" s="419" t="s">
        <v>23</v>
      </c>
      <c r="TCX2" s="420"/>
      <c r="TCY2" s="420"/>
      <c r="TCZ2" s="420"/>
      <c r="TDA2" s="419" t="s">
        <v>23</v>
      </c>
      <c r="TDB2" s="420"/>
      <c r="TDC2" s="420"/>
      <c r="TDD2" s="420"/>
      <c r="TDE2" s="419" t="s">
        <v>23</v>
      </c>
      <c r="TDF2" s="420"/>
      <c r="TDG2" s="420"/>
      <c r="TDH2" s="420"/>
      <c r="TDI2" s="419" t="s">
        <v>23</v>
      </c>
      <c r="TDJ2" s="420"/>
      <c r="TDK2" s="420"/>
      <c r="TDL2" s="420"/>
      <c r="TDM2" s="419" t="s">
        <v>23</v>
      </c>
      <c r="TDN2" s="420"/>
      <c r="TDO2" s="420"/>
      <c r="TDP2" s="420"/>
      <c r="TDQ2" s="419" t="s">
        <v>23</v>
      </c>
      <c r="TDR2" s="420"/>
      <c r="TDS2" s="420"/>
      <c r="TDT2" s="420"/>
      <c r="TDU2" s="419" t="s">
        <v>23</v>
      </c>
      <c r="TDV2" s="420"/>
      <c r="TDW2" s="420"/>
      <c r="TDX2" s="420"/>
      <c r="TDY2" s="419" t="s">
        <v>23</v>
      </c>
      <c r="TDZ2" s="420"/>
      <c r="TEA2" s="420"/>
      <c r="TEB2" s="420"/>
      <c r="TEC2" s="419" t="s">
        <v>23</v>
      </c>
      <c r="TED2" s="420"/>
      <c r="TEE2" s="420"/>
      <c r="TEF2" s="420"/>
      <c r="TEG2" s="419" t="s">
        <v>23</v>
      </c>
      <c r="TEH2" s="420"/>
      <c r="TEI2" s="420"/>
      <c r="TEJ2" s="420"/>
      <c r="TEK2" s="419" t="s">
        <v>23</v>
      </c>
      <c r="TEL2" s="420"/>
      <c r="TEM2" s="420"/>
      <c r="TEN2" s="420"/>
      <c r="TEO2" s="419" t="s">
        <v>23</v>
      </c>
      <c r="TEP2" s="420"/>
      <c r="TEQ2" s="420"/>
      <c r="TER2" s="420"/>
      <c r="TES2" s="419" t="s">
        <v>23</v>
      </c>
      <c r="TET2" s="420"/>
      <c r="TEU2" s="420"/>
      <c r="TEV2" s="420"/>
      <c r="TEW2" s="419" t="s">
        <v>23</v>
      </c>
      <c r="TEX2" s="420"/>
      <c r="TEY2" s="420"/>
      <c r="TEZ2" s="420"/>
      <c r="TFA2" s="419" t="s">
        <v>23</v>
      </c>
      <c r="TFB2" s="420"/>
      <c r="TFC2" s="420"/>
      <c r="TFD2" s="420"/>
      <c r="TFE2" s="419" t="s">
        <v>23</v>
      </c>
      <c r="TFF2" s="420"/>
      <c r="TFG2" s="420"/>
      <c r="TFH2" s="420"/>
      <c r="TFI2" s="419" t="s">
        <v>23</v>
      </c>
      <c r="TFJ2" s="420"/>
      <c r="TFK2" s="420"/>
      <c r="TFL2" s="420"/>
      <c r="TFM2" s="419" t="s">
        <v>23</v>
      </c>
      <c r="TFN2" s="420"/>
      <c r="TFO2" s="420"/>
      <c r="TFP2" s="420"/>
      <c r="TFQ2" s="419" t="s">
        <v>23</v>
      </c>
      <c r="TFR2" s="420"/>
      <c r="TFS2" s="420"/>
      <c r="TFT2" s="420"/>
      <c r="TFU2" s="419" t="s">
        <v>23</v>
      </c>
      <c r="TFV2" s="420"/>
      <c r="TFW2" s="420"/>
      <c r="TFX2" s="420"/>
      <c r="TFY2" s="419" t="s">
        <v>23</v>
      </c>
      <c r="TFZ2" s="420"/>
      <c r="TGA2" s="420"/>
      <c r="TGB2" s="420"/>
      <c r="TGC2" s="419" t="s">
        <v>23</v>
      </c>
      <c r="TGD2" s="420"/>
      <c r="TGE2" s="420"/>
      <c r="TGF2" s="420"/>
      <c r="TGG2" s="419" t="s">
        <v>23</v>
      </c>
      <c r="TGH2" s="420"/>
      <c r="TGI2" s="420"/>
      <c r="TGJ2" s="420"/>
      <c r="TGK2" s="419" t="s">
        <v>23</v>
      </c>
      <c r="TGL2" s="420"/>
      <c r="TGM2" s="420"/>
      <c r="TGN2" s="420"/>
      <c r="TGO2" s="419" t="s">
        <v>23</v>
      </c>
      <c r="TGP2" s="420"/>
      <c r="TGQ2" s="420"/>
      <c r="TGR2" s="420"/>
      <c r="TGS2" s="419" t="s">
        <v>23</v>
      </c>
      <c r="TGT2" s="420"/>
      <c r="TGU2" s="420"/>
      <c r="TGV2" s="420"/>
      <c r="TGW2" s="419" t="s">
        <v>23</v>
      </c>
      <c r="TGX2" s="420"/>
      <c r="TGY2" s="420"/>
      <c r="TGZ2" s="420"/>
      <c r="THA2" s="419" t="s">
        <v>23</v>
      </c>
      <c r="THB2" s="420"/>
      <c r="THC2" s="420"/>
      <c r="THD2" s="420"/>
      <c r="THE2" s="419" t="s">
        <v>23</v>
      </c>
      <c r="THF2" s="420"/>
      <c r="THG2" s="420"/>
      <c r="THH2" s="420"/>
      <c r="THI2" s="419" t="s">
        <v>23</v>
      </c>
      <c r="THJ2" s="420"/>
      <c r="THK2" s="420"/>
      <c r="THL2" s="420"/>
      <c r="THM2" s="419" t="s">
        <v>23</v>
      </c>
      <c r="THN2" s="420"/>
      <c r="THO2" s="420"/>
      <c r="THP2" s="420"/>
      <c r="THQ2" s="419" t="s">
        <v>23</v>
      </c>
      <c r="THR2" s="420"/>
      <c r="THS2" s="420"/>
      <c r="THT2" s="420"/>
      <c r="THU2" s="419" t="s">
        <v>23</v>
      </c>
      <c r="THV2" s="420"/>
      <c r="THW2" s="420"/>
      <c r="THX2" s="420"/>
      <c r="THY2" s="419" t="s">
        <v>23</v>
      </c>
      <c r="THZ2" s="420"/>
      <c r="TIA2" s="420"/>
      <c r="TIB2" s="420"/>
      <c r="TIC2" s="419" t="s">
        <v>23</v>
      </c>
      <c r="TID2" s="420"/>
      <c r="TIE2" s="420"/>
      <c r="TIF2" s="420"/>
      <c r="TIG2" s="419" t="s">
        <v>23</v>
      </c>
      <c r="TIH2" s="420"/>
      <c r="TII2" s="420"/>
      <c r="TIJ2" s="420"/>
      <c r="TIK2" s="419" t="s">
        <v>23</v>
      </c>
      <c r="TIL2" s="420"/>
      <c r="TIM2" s="420"/>
      <c r="TIN2" s="420"/>
      <c r="TIO2" s="419" t="s">
        <v>23</v>
      </c>
      <c r="TIP2" s="420"/>
      <c r="TIQ2" s="420"/>
      <c r="TIR2" s="420"/>
      <c r="TIS2" s="419" t="s">
        <v>23</v>
      </c>
      <c r="TIT2" s="420"/>
      <c r="TIU2" s="420"/>
      <c r="TIV2" s="420"/>
      <c r="TIW2" s="419" t="s">
        <v>23</v>
      </c>
      <c r="TIX2" s="420"/>
      <c r="TIY2" s="420"/>
      <c r="TIZ2" s="420"/>
      <c r="TJA2" s="419" t="s">
        <v>23</v>
      </c>
      <c r="TJB2" s="420"/>
      <c r="TJC2" s="420"/>
      <c r="TJD2" s="420"/>
      <c r="TJE2" s="419" t="s">
        <v>23</v>
      </c>
      <c r="TJF2" s="420"/>
      <c r="TJG2" s="420"/>
      <c r="TJH2" s="420"/>
      <c r="TJI2" s="419" t="s">
        <v>23</v>
      </c>
      <c r="TJJ2" s="420"/>
      <c r="TJK2" s="420"/>
      <c r="TJL2" s="420"/>
      <c r="TJM2" s="419" t="s">
        <v>23</v>
      </c>
      <c r="TJN2" s="420"/>
      <c r="TJO2" s="420"/>
      <c r="TJP2" s="420"/>
      <c r="TJQ2" s="419" t="s">
        <v>23</v>
      </c>
      <c r="TJR2" s="420"/>
      <c r="TJS2" s="420"/>
      <c r="TJT2" s="420"/>
      <c r="TJU2" s="419" t="s">
        <v>23</v>
      </c>
      <c r="TJV2" s="420"/>
      <c r="TJW2" s="420"/>
      <c r="TJX2" s="420"/>
      <c r="TJY2" s="419" t="s">
        <v>23</v>
      </c>
      <c r="TJZ2" s="420"/>
      <c r="TKA2" s="420"/>
      <c r="TKB2" s="420"/>
      <c r="TKC2" s="419" t="s">
        <v>23</v>
      </c>
      <c r="TKD2" s="420"/>
      <c r="TKE2" s="420"/>
      <c r="TKF2" s="420"/>
      <c r="TKG2" s="419" t="s">
        <v>23</v>
      </c>
      <c r="TKH2" s="420"/>
      <c r="TKI2" s="420"/>
      <c r="TKJ2" s="420"/>
      <c r="TKK2" s="419" t="s">
        <v>23</v>
      </c>
      <c r="TKL2" s="420"/>
      <c r="TKM2" s="420"/>
      <c r="TKN2" s="420"/>
      <c r="TKO2" s="419" t="s">
        <v>23</v>
      </c>
      <c r="TKP2" s="420"/>
      <c r="TKQ2" s="420"/>
      <c r="TKR2" s="420"/>
      <c r="TKS2" s="419" t="s">
        <v>23</v>
      </c>
      <c r="TKT2" s="420"/>
      <c r="TKU2" s="420"/>
      <c r="TKV2" s="420"/>
      <c r="TKW2" s="419" t="s">
        <v>23</v>
      </c>
      <c r="TKX2" s="420"/>
      <c r="TKY2" s="420"/>
      <c r="TKZ2" s="420"/>
      <c r="TLA2" s="419" t="s">
        <v>23</v>
      </c>
      <c r="TLB2" s="420"/>
      <c r="TLC2" s="420"/>
      <c r="TLD2" s="420"/>
      <c r="TLE2" s="419" t="s">
        <v>23</v>
      </c>
      <c r="TLF2" s="420"/>
      <c r="TLG2" s="420"/>
      <c r="TLH2" s="420"/>
      <c r="TLI2" s="419" t="s">
        <v>23</v>
      </c>
      <c r="TLJ2" s="420"/>
      <c r="TLK2" s="420"/>
      <c r="TLL2" s="420"/>
      <c r="TLM2" s="419" t="s">
        <v>23</v>
      </c>
      <c r="TLN2" s="420"/>
      <c r="TLO2" s="420"/>
      <c r="TLP2" s="420"/>
      <c r="TLQ2" s="419" t="s">
        <v>23</v>
      </c>
      <c r="TLR2" s="420"/>
      <c r="TLS2" s="420"/>
      <c r="TLT2" s="420"/>
      <c r="TLU2" s="419" t="s">
        <v>23</v>
      </c>
      <c r="TLV2" s="420"/>
      <c r="TLW2" s="420"/>
      <c r="TLX2" s="420"/>
      <c r="TLY2" s="419" t="s">
        <v>23</v>
      </c>
      <c r="TLZ2" s="420"/>
      <c r="TMA2" s="420"/>
      <c r="TMB2" s="420"/>
      <c r="TMC2" s="419" t="s">
        <v>23</v>
      </c>
      <c r="TMD2" s="420"/>
      <c r="TME2" s="420"/>
      <c r="TMF2" s="420"/>
      <c r="TMG2" s="419" t="s">
        <v>23</v>
      </c>
      <c r="TMH2" s="420"/>
      <c r="TMI2" s="420"/>
      <c r="TMJ2" s="420"/>
      <c r="TMK2" s="419" t="s">
        <v>23</v>
      </c>
      <c r="TML2" s="420"/>
      <c r="TMM2" s="420"/>
      <c r="TMN2" s="420"/>
      <c r="TMO2" s="419" t="s">
        <v>23</v>
      </c>
      <c r="TMP2" s="420"/>
      <c r="TMQ2" s="420"/>
      <c r="TMR2" s="420"/>
      <c r="TMS2" s="419" t="s">
        <v>23</v>
      </c>
      <c r="TMT2" s="420"/>
      <c r="TMU2" s="420"/>
      <c r="TMV2" s="420"/>
      <c r="TMW2" s="419" t="s">
        <v>23</v>
      </c>
      <c r="TMX2" s="420"/>
      <c r="TMY2" s="420"/>
      <c r="TMZ2" s="420"/>
      <c r="TNA2" s="419" t="s">
        <v>23</v>
      </c>
      <c r="TNB2" s="420"/>
      <c r="TNC2" s="420"/>
      <c r="TND2" s="420"/>
      <c r="TNE2" s="419" t="s">
        <v>23</v>
      </c>
      <c r="TNF2" s="420"/>
      <c r="TNG2" s="420"/>
      <c r="TNH2" s="420"/>
      <c r="TNI2" s="419" t="s">
        <v>23</v>
      </c>
      <c r="TNJ2" s="420"/>
      <c r="TNK2" s="420"/>
      <c r="TNL2" s="420"/>
      <c r="TNM2" s="419" t="s">
        <v>23</v>
      </c>
      <c r="TNN2" s="420"/>
      <c r="TNO2" s="420"/>
      <c r="TNP2" s="420"/>
      <c r="TNQ2" s="419" t="s">
        <v>23</v>
      </c>
      <c r="TNR2" s="420"/>
      <c r="TNS2" s="420"/>
      <c r="TNT2" s="420"/>
      <c r="TNU2" s="419" t="s">
        <v>23</v>
      </c>
      <c r="TNV2" s="420"/>
      <c r="TNW2" s="420"/>
      <c r="TNX2" s="420"/>
      <c r="TNY2" s="419" t="s">
        <v>23</v>
      </c>
      <c r="TNZ2" s="420"/>
      <c r="TOA2" s="420"/>
      <c r="TOB2" s="420"/>
      <c r="TOC2" s="419" t="s">
        <v>23</v>
      </c>
      <c r="TOD2" s="420"/>
      <c r="TOE2" s="420"/>
      <c r="TOF2" s="420"/>
      <c r="TOG2" s="419" t="s">
        <v>23</v>
      </c>
      <c r="TOH2" s="420"/>
      <c r="TOI2" s="420"/>
      <c r="TOJ2" s="420"/>
      <c r="TOK2" s="419" t="s">
        <v>23</v>
      </c>
      <c r="TOL2" s="420"/>
      <c r="TOM2" s="420"/>
      <c r="TON2" s="420"/>
      <c r="TOO2" s="419" t="s">
        <v>23</v>
      </c>
      <c r="TOP2" s="420"/>
      <c r="TOQ2" s="420"/>
      <c r="TOR2" s="420"/>
      <c r="TOS2" s="419" t="s">
        <v>23</v>
      </c>
      <c r="TOT2" s="420"/>
      <c r="TOU2" s="420"/>
      <c r="TOV2" s="420"/>
      <c r="TOW2" s="419" t="s">
        <v>23</v>
      </c>
      <c r="TOX2" s="420"/>
      <c r="TOY2" s="420"/>
      <c r="TOZ2" s="420"/>
      <c r="TPA2" s="419" t="s">
        <v>23</v>
      </c>
      <c r="TPB2" s="420"/>
      <c r="TPC2" s="420"/>
      <c r="TPD2" s="420"/>
      <c r="TPE2" s="419" t="s">
        <v>23</v>
      </c>
      <c r="TPF2" s="420"/>
      <c r="TPG2" s="420"/>
      <c r="TPH2" s="420"/>
      <c r="TPI2" s="419" t="s">
        <v>23</v>
      </c>
      <c r="TPJ2" s="420"/>
      <c r="TPK2" s="420"/>
      <c r="TPL2" s="420"/>
      <c r="TPM2" s="419" t="s">
        <v>23</v>
      </c>
      <c r="TPN2" s="420"/>
      <c r="TPO2" s="420"/>
      <c r="TPP2" s="420"/>
      <c r="TPQ2" s="419" t="s">
        <v>23</v>
      </c>
      <c r="TPR2" s="420"/>
      <c r="TPS2" s="420"/>
      <c r="TPT2" s="420"/>
      <c r="TPU2" s="419" t="s">
        <v>23</v>
      </c>
      <c r="TPV2" s="420"/>
      <c r="TPW2" s="420"/>
      <c r="TPX2" s="420"/>
      <c r="TPY2" s="419" t="s">
        <v>23</v>
      </c>
      <c r="TPZ2" s="420"/>
      <c r="TQA2" s="420"/>
      <c r="TQB2" s="420"/>
      <c r="TQC2" s="419" t="s">
        <v>23</v>
      </c>
      <c r="TQD2" s="420"/>
      <c r="TQE2" s="420"/>
      <c r="TQF2" s="420"/>
      <c r="TQG2" s="419" t="s">
        <v>23</v>
      </c>
      <c r="TQH2" s="420"/>
      <c r="TQI2" s="420"/>
      <c r="TQJ2" s="420"/>
      <c r="TQK2" s="419" t="s">
        <v>23</v>
      </c>
      <c r="TQL2" s="420"/>
      <c r="TQM2" s="420"/>
      <c r="TQN2" s="420"/>
      <c r="TQO2" s="419" t="s">
        <v>23</v>
      </c>
      <c r="TQP2" s="420"/>
      <c r="TQQ2" s="420"/>
      <c r="TQR2" s="420"/>
      <c r="TQS2" s="419" t="s">
        <v>23</v>
      </c>
      <c r="TQT2" s="420"/>
      <c r="TQU2" s="420"/>
      <c r="TQV2" s="420"/>
      <c r="TQW2" s="419" t="s">
        <v>23</v>
      </c>
      <c r="TQX2" s="420"/>
      <c r="TQY2" s="420"/>
      <c r="TQZ2" s="420"/>
      <c r="TRA2" s="419" t="s">
        <v>23</v>
      </c>
      <c r="TRB2" s="420"/>
      <c r="TRC2" s="420"/>
      <c r="TRD2" s="420"/>
      <c r="TRE2" s="419" t="s">
        <v>23</v>
      </c>
      <c r="TRF2" s="420"/>
      <c r="TRG2" s="420"/>
      <c r="TRH2" s="420"/>
      <c r="TRI2" s="419" t="s">
        <v>23</v>
      </c>
      <c r="TRJ2" s="420"/>
      <c r="TRK2" s="420"/>
      <c r="TRL2" s="420"/>
      <c r="TRM2" s="419" t="s">
        <v>23</v>
      </c>
      <c r="TRN2" s="420"/>
      <c r="TRO2" s="420"/>
      <c r="TRP2" s="420"/>
      <c r="TRQ2" s="419" t="s">
        <v>23</v>
      </c>
      <c r="TRR2" s="420"/>
      <c r="TRS2" s="420"/>
      <c r="TRT2" s="420"/>
      <c r="TRU2" s="419" t="s">
        <v>23</v>
      </c>
      <c r="TRV2" s="420"/>
      <c r="TRW2" s="420"/>
      <c r="TRX2" s="420"/>
      <c r="TRY2" s="419" t="s">
        <v>23</v>
      </c>
      <c r="TRZ2" s="420"/>
      <c r="TSA2" s="420"/>
      <c r="TSB2" s="420"/>
      <c r="TSC2" s="419" t="s">
        <v>23</v>
      </c>
      <c r="TSD2" s="420"/>
      <c r="TSE2" s="420"/>
      <c r="TSF2" s="420"/>
      <c r="TSG2" s="419" t="s">
        <v>23</v>
      </c>
      <c r="TSH2" s="420"/>
      <c r="TSI2" s="420"/>
      <c r="TSJ2" s="420"/>
      <c r="TSK2" s="419" t="s">
        <v>23</v>
      </c>
      <c r="TSL2" s="420"/>
      <c r="TSM2" s="420"/>
      <c r="TSN2" s="420"/>
      <c r="TSO2" s="419" t="s">
        <v>23</v>
      </c>
      <c r="TSP2" s="420"/>
      <c r="TSQ2" s="420"/>
      <c r="TSR2" s="420"/>
      <c r="TSS2" s="419" t="s">
        <v>23</v>
      </c>
      <c r="TST2" s="420"/>
      <c r="TSU2" s="420"/>
      <c r="TSV2" s="420"/>
      <c r="TSW2" s="419" t="s">
        <v>23</v>
      </c>
      <c r="TSX2" s="420"/>
      <c r="TSY2" s="420"/>
      <c r="TSZ2" s="420"/>
      <c r="TTA2" s="419" t="s">
        <v>23</v>
      </c>
      <c r="TTB2" s="420"/>
      <c r="TTC2" s="420"/>
      <c r="TTD2" s="420"/>
      <c r="TTE2" s="419" t="s">
        <v>23</v>
      </c>
      <c r="TTF2" s="420"/>
      <c r="TTG2" s="420"/>
      <c r="TTH2" s="420"/>
      <c r="TTI2" s="419" t="s">
        <v>23</v>
      </c>
      <c r="TTJ2" s="420"/>
      <c r="TTK2" s="420"/>
      <c r="TTL2" s="420"/>
      <c r="TTM2" s="419" t="s">
        <v>23</v>
      </c>
      <c r="TTN2" s="420"/>
      <c r="TTO2" s="420"/>
      <c r="TTP2" s="420"/>
      <c r="TTQ2" s="419" t="s">
        <v>23</v>
      </c>
      <c r="TTR2" s="420"/>
      <c r="TTS2" s="420"/>
      <c r="TTT2" s="420"/>
      <c r="TTU2" s="419" t="s">
        <v>23</v>
      </c>
      <c r="TTV2" s="420"/>
      <c r="TTW2" s="420"/>
      <c r="TTX2" s="420"/>
      <c r="TTY2" s="419" t="s">
        <v>23</v>
      </c>
      <c r="TTZ2" s="420"/>
      <c r="TUA2" s="420"/>
      <c r="TUB2" s="420"/>
      <c r="TUC2" s="419" t="s">
        <v>23</v>
      </c>
      <c r="TUD2" s="420"/>
      <c r="TUE2" s="420"/>
      <c r="TUF2" s="420"/>
      <c r="TUG2" s="419" t="s">
        <v>23</v>
      </c>
      <c r="TUH2" s="420"/>
      <c r="TUI2" s="420"/>
      <c r="TUJ2" s="420"/>
      <c r="TUK2" s="419" t="s">
        <v>23</v>
      </c>
      <c r="TUL2" s="420"/>
      <c r="TUM2" s="420"/>
      <c r="TUN2" s="420"/>
      <c r="TUO2" s="419" t="s">
        <v>23</v>
      </c>
      <c r="TUP2" s="420"/>
      <c r="TUQ2" s="420"/>
      <c r="TUR2" s="420"/>
      <c r="TUS2" s="419" t="s">
        <v>23</v>
      </c>
      <c r="TUT2" s="420"/>
      <c r="TUU2" s="420"/>
      <c r="TUV2" s="420"/>
      <c r="TUW2" s="419" t="s">
        <v>23</v>
      </c>
      <c r="TUX2" s="420"/>
      <c r="TUY2" s="420"/>
      <c r="TUZ2" s="420"/>
      <c r="TVA2" s="419" t="s">
        <v>23</v>
      </c>
      <c r="TVB2" s="420"/>
      <c r="TVC2" s="420"/>
      <c r="TVD2" s="420"/>
      <c r="TVE2" s="419" t="s">
        <v>23</v>
      </c>
      <c r="TVF2" s="420"/>
      <c r="TVG2" s="420"/>
      <c r="TVH2" s="420"/>
      <c r="TVI2" s="419" t="s">
        <v>23</v>
      </c>
      <c r="TVJ2" s="420"/>
      <c r="TVK2" s="420"/>
      <c r="TVL2" s="420"/>
      <c r="TVM2" s="419" t="s">
        <v>23</v>
      </c>
      <c r="TVN2" s="420"/>
      <c r="TVO2" s="420"/>
      <c r="TVP2" s="420"/>
      <c r="TVQ2" s="419" t="s">
        <v>23</v>
      </c>
      <c r="TVR2" s="420"/>
      <c r="TVS2" s="420"/>
      <c r="TVT2" s="420"/>
      <c r="TVU2" s="419" t="s">
        <v>23</v>
      </c>
      <c r="TVV2" s="420"/>
      <c r="TVW2" s="420"/>
      <c r="TVX2" s="420"/>
      <c r="TVY2" s="419" t="s">
        <v>23</v>
      </c>
      <c r="TVZ2" s="420"/>
      <c r="TWA2" s="420"/>
      <c r="TWB2" s="420"/>
      <c r="TWC2" s="419" t="s">
        <v>23</v>
      </c>
      <c r="TWD2" s="420"/>
      <c r="TWE2" s="420"/>
      <c r="TWF2" s="420"/>
      <c r="TWG2" s="419" t="s">
        <v>23</v>
      </c>
      <c r="TWH2" s="420"/>
      <c r="TWI2" s="420"/>
      <c r="TWJ2" s="420"/>
      <c r="TWK2" s="419" t="s">
        <v>23</v>
      </c>
      <c r="TWL2" s="420"/>
      <c r="TWM2" s="420"/>
      <c r="TWN2" s="420"/>
      <c r="TWO2" s="419" t="s">
        <v>23</v>
      </c>
      <c r="TWP2" s="420"/>
      <c r="TWQ2" s="420"/>
      <c r="TWR2" s="420"/>
      <c r="TWS2" s="419" t="s">
        <v>23</v>
      </c>
      <c r="TWT2" s="420"/>
      <c r="TWU2" s="420"/>
      <c r="TWV2" s="420"/>
      <c r="TWW2" s="419" t="s">
        <v>23</v>
      </c>
      <c r="TWX2" s="420"/>
      <c r="TWY2" s="420"/>
      <c r="TWZ2" s="420"/>
      <c r="TXA2" s="419" t="s">
        <v>23</v>
      </c>
      <c r="TXB2" s="420"/>
      <c r="TXC2" s="420"/>
      <c r="TXD2" s="420"/>
      <c r="TXE2" s="419" t="s">
        <v>23</v>
      </c>
      <c r="TXF2" s="420"/>
      <c r="TXG2" s="420"/>
      <c r="TXH2" s="420"/>
      <c r="TXI2" s="419" t="s">
        <v>23</v>
      </c>
      <c r="TXJ2" s="420"/>
      <c r="TXK2" s="420"/>
      <c r="TXL2" s="420"/>
      <c r="TXM2" s="419" t="s">
        <v>23</v>
      </c>
      <c r="TXN2" s="420"/>
      <c r="TXO2" s="420"/>
      <c r="TXP2" s="420"/>
      <c r="TXQ2" s="419" t="s">
        <v>23</v>
      </c>
      <c r="TXR2" s="420"/>
      <c r="TXS2" s="420"/>
      <c r="TXT2" s="420"/>
      <c r="TXU2" s="419" t="s">
        <v>23</v>
      </c>
      <c r="TXV2" s="420"/>
      <c r="TXW2" s="420"/>
      <c r="TXX2" s="420"/>
      <c r="TXY2" s="419" t="s">
        <v>23</v>
      </c>
      <c r="TXZ2" s="420"/>
      <c r="TYA2" s="420"/>
      <c r="TYB2" s="420"/>
      <c r="TYC2" s="419" t="s">
        <v>23</v>
      </c>
      <c r="TYD2" s="420"/>
      <c r="TYE2" s="420"/>
      <c r="TYF2" s="420"/>
      <c r="TYG2" s="419" t="s">
        <v>23</v>
      </c>
      <c r="TYH2" s="420"/>
      <c r="TYI2" s="420"/>
      <c r="TYJ2" s="420"/>
      <c r="TYK2" s="419" t="s">
        <v>23</v>
      </c>
      <c r="TYL2" s="420"/>
      <c r="TYM2" s="420"/>
      <c r="TYN2" s="420"/>
      <c r="TYO2" s="419" t="s">
        <v>23</v>
      </c>
      <c r="TYP2" s="420"/>
      <c r="TYQ2" s="420"/>
      <c r="TYR2" s="420"/>
      <c r="TYS2" s="419" t="s">
        <v>23</v>
      </c>
      <c r="TYT2" s="420"/>
      <c r="TYU2" s="420"/>
      <c r="TYV2" s="420"/>
      <c r="TYW2" s="419" t="s">
        <v>23</v>
      </c>
      <c r="TYX2" s="420"/>
      <c r="TYY2" s="420"/>
      <c r="TYZ2" s="420"/>
      <c r="TZA2" s="419" t="s">
        <v>23</v>
      </c>
      <c r="TZB2" s="420"/>
      <c r="TZC2" s="420"/>
      <c r="TZD2" s="420"/>
      <c r="TZE2" s="419" t="s">
        <v>23</v>
      </c>
      <c r="TZF2" s="420"/>
      <c r="TZG2" s="420"/>
      <c r="TZH2" s="420"/>
      <c r="TZI2" s="419" t="s">
        <v>23</v>
      </c>
      <c r="TZJ2" s="420"/>
      <c r="TZK2" s="420"/>
      <c r="TZL2" s="420"/>
      <c r="TZM2" s="419" t="s">
        <v>23</v>
      </c>
      <c r="TZN2" s="420"/>
      <c r="TZO2" s="420"/>
      <c r="TZP2" s="420"/>
      <c r="TZQ2" s="419" t="s">
        <v>23</v>
      </c>
      <c r="TZR2" s="420"/>
      <c r="TZS2" s="420"/>
      <c r="TZT2" s="420"/>
      <c r="TZU2" s="419" t="s">
        <v>23</v>
      </c>
      <c r="TZV2" s="420"/>
      <c r="TZW2" s="420"/>
      <c r="TZX2" s="420"/>
      <c r="TZY2" s="419" t="s">
        <v>23</v>
      </c>
      <c r="TZZ2" s="420"/>
      <c r="UAA2" s="420"/>
      <c r="UAB2" s="420"/>
      <c r="UAC2" s="419" t="s">
        <v>23</v>
      </c>
      <c r="UAD2" s="420"/>
      <c r="UAE2" s="420"/>
      <c r="UAF2" s="420"/>
      <c r="UAG2" s="419" t="s">
        <v>23</v>
      </c>
      <c r="UAH2" s="420"/>
      <c r="UAI2" s="420"/>
      <c r="UAJ2" s="420"/>
      <c r="UAK2" s="419" t="s">
        <v>23</v>
      </c>
      <c r="UAL2" s="420"/>
      <c r="UAM2" s="420"/>
      <c r="UAN2" s="420"/>
      <c r="UAO2" s="419" t="s">
        <v>23</v>
      </c>
      <c r="UAP2" s="420"/>
      <c r="UAQ2" s="420"/>
      <c r="UAR2" s="420"/>
      <c r="UAS2" s="419" t="s">
        <v>23</v>
      </c>
      <c r="UAT2" s="420"/>
      <c r="UAU2" s="420"/>
      <c r="UAV2" s="420"/>
      <c r="UAW2" s="419" t="s">
        <v>23</v>
      </c>
      <c r="UAX2" s="420"/>
      <c r="UAY2" s="420"/>
      <c r="UAZ2" s="420"/>
      <c r="UBA2" s="419" t="s">
        <v>23</v>
      </c>
      <c r="UBB2" s="420"/>
      <c r="UBC2" s="420"/>
      <c r="UBD2" s="420"/>
      <c r="UBE2" s="419" t="s">
        <v>23</v>
      </c>
      <c r="UBF2" s="420"/>
      <c r="UBG2" s="420"/>
      <c r="UBH2" s="420"/>
      <c r="UBI2" s="419" t="s">
        <v>23</v>
      </c>
      <c r="UBJ2" s="420"/>
      <c r="UBK2" s="420"/>
      <c r="UBL2" s="420"/>
      <c r="UBM2" s="419" t="s">
        <v>23</v>
      </c>
      <c r="UBN2" s="420"/>
      <c r="UBO2" s="420"/>
      <c r="UBP2" s="420"/>
      <c r="UBQ2" s="419" t="s">
        <v>23</v>
      </c>
      <c r="UBR2" s="420"/>
      <c r="UBS2" s="420"/>
      <c r="UBT2" s="420"/>
      <c r="UBU2" s="419" t="s">
        <v>23</v>
      </c>
      <c r="UBV2" s="420"/>
      <c r="UBW2" s="420"/>
      <c r="UBX2" s="420"/>
      <c r="UBY2" s="419" t="s">
        <v>23</v>
      </c>
      <c r="UBZ2" s="420"/>
      <c r="UCA2" s="420"/>
      <c r="UCB2" s="420"/>
      <c r="UCC2" s="419" t="s">
        <v>23</v>
      </c>
      <c r="UCD2" s="420"/>
      <c r="UCE2" s="420"/>
      <c r="UCF2" s="420"/>
      <c r="UCG2" s="419" t="s">
        <v>23</v>
      </c>
      <c r="UCH2" s="420"/>
      <c r="UCI2" s="420"/>
      <c r="UCJ2" s="420"/>
      <c r="UCK2" s="419" t="s">
        <v>23</v>
      </c>
      <c r="UCL2" s="420"/>
      <c r="UCM2" s="420"/>
      <c r="UCN2" s="420"/>
      <c r="UCO2" s="419" t="s">
        <v>23</v>
      </c>
      <c r="UCP2" s="420"/>
      <c r="UCQ2" s="420"/>
      <c r="UCR2" s="420"/>
      <c r="UCS2" s="419" t="s">
        <v>23</v>
      </c>
      <c r="UCT2" s="420"/>
      <c r="UCU2" s="420"/>
      <c r="UCV2" s="420"/>
      <c r="UCW2" s="419" t="s">
        <v>23</v>
      </c>
      <c r="UCX2" s="420"/>
      <c r="UCY2" s="420"/>
      <c r="UCZ2" s="420"/>
      <c r="UDA2" s="419" t="s">
        <v>23</v>
      </c>
      <c r="UDB2" s="420"/>
      <c r="UDC2" s="420"/>
      <c r="UDD2" s="420"/>
      <c r="UDE2" s="419" t="s">
        <v>23</v>
      </c>
      <c r="UDF2" s="420"/>
      <c r="UDG2" s="420"/>
      <c r="UDH2" s="420"/>
      <c r="UDI2" s="419" t="s">
        <v>23</v>
      </c>
      <c r="UDJ2" s="420"/>
      <c r="UDK2" s="420"/>
      <c r="UDL2" s="420"/>
      <c r="UDM2" s="419" t="s">
        <v>23</v>
      </c>
      <c r="UDN2" s="420"/>
      <c r="UDO2" s="420"/>
      <c r="UDP2" s="420"/>
      <c r="UDQ2" s="419" t="s">
        <v>23</v>
      </c>
      <c r="UDR2" s="420"/>
      <c r="UDS2" s="420"/>
      <c r="UDT2" s="420"/>
      <c r="UDU2" s="419" t="s">
        <v>23</v>
      </c>
      <c r="UDV2" s="420"/>
      <c r="UDW2" s="420"/>
      <c r="UDX2" s="420"/>
      <c r="UDY2" s="419" t="s">
        <v>23</v>
      </c>
      <c r="UDZ2" s="420"/>
      <c r="UEA2" s="420"/>
      <c r="UEB2" s="420"/>
      <c r="UEC2" s="419" t="s">
        <v>23</v>
      </c>
      <c r="UED2" s="420"/>
      <c r="UEE2" s="420"/>
      <c r="UEF2" s="420"/>
      <c r="UEG2" s="419" t="s">
        <v>23</v>
      </c>
      <c r="UEH2" s="420"/>
      <c r="UEI2" s="420"/>
      <c r="UEJ2" s="420"/>
      <c r="UEK2" s="419" t="s">
        <v>23</v>
      </c>
      <c r="UEL2" s="420"/>
      <c r="UEM2" s="420"/>
      <c r="UEN2" s="420"/>
      <c r="UEO2" s="419" t="s">
        <v>23</v>
      </c>
      <c r="UEP2" s="420"/>
      <c r="UEQ2" s="420"/>
      <c r="UER2" s="420"/>
      <c r="UES2" s="419" t="s">
        <v>23</v>
      </c>
      <c r="UET2" s="420"/>
      <c r="UEU2" s="420"/>
      <c r="UEV2" s="420"/>
      <c r="UEW2" s="419" t="s">
        <v>23</v>
      </c>
      <c r="UEX2" s="420"/>
      <c r="UEY2" s="420"/>
      <c r="UEZ2" s="420"/>
      <c r="UFA2" s="419" t="s">
        <v>23</v>
      </c>
      <c r="UFB2" s="420"/>
      <c r="UFC2" s="420"/>
      <c r="UFD2" s="420"/>
      <c r="UFE2" s="419" t="s">
        <v>23</v>
      </c>
      <c r="UFF2" s="420"/>
      <c r="UFG2" s="420"/>
      <c r="UFH2" s="420"/>
      <c r="UFI2" s="419" t="s">
        <v>23</v>
      </c>
      <c r="UFJ2" s="420"/>
      <c r="UFK2" s="420"/>
      <c r="UFL2" s="420"/>
      <c r="UFM2" s="419" t="s">
        <v>23</v>
      </c>
      <c r="UFN2" s="420"/>
      <c r="UFO2" s="420"/>
      <c r="UFP2" s="420"/>
      <c r="UFQ2" s="419" t="s">
        <v>23</v>
      </c>
      <c r="UFR2" s="420"/>
      <c r="UFS2" s="420"/>
      <c r="UFT2" s="420"/>
      <c r="UFU2" s="419" t="s">
        <v>23</v>
      </c>
      <c r="UFV2" s="420"/>
      <c r="UFW2" s="420"/>
      <c r="UFX2" s="420"/>
      <c r="UFY2" s="419" t="s">
        <v>23</v>
      </c>
      <c r="UFZ2" s="420"/>
      <c r="UGA2" s="420"/>
      <c r="UGB2" s="420"/>
      <c r="UGC2" s="419" t="s">
        <v>23</v>
      </c>
      <c r="UGD2" s="420"/>
      <c r="UGE2" s="420"/>
      <c r="UGF2" s="420"/>
      <c r="UGG2" s="419" t="s">
        <v>23</v>
      </c>
      <c r="UGH2" s="420"/>
      <c r="UGI2" s="420"/>
      <c r="UGJ2" s="420"/>
      <c r="UGK2" s="419" t="s">
        <v>23</v>
      </c>
      <c r="UGL2" s="420"/>
      <c r="UGM2" s="420"/>
      <c r="UGN2" s="420"/>
      <c r="UGO2" s="419" t="s">
        <v>23</v>
      </c>
      <c r="UGP2" s="420"/>
      <c r="UGQ2" s="420"/>
      <c r="UGR2" s="420"/>
      <c r="UGS2" s="419" t="s">
        <v>23</v>
      </c>
      <c r="UGT2" s="420"/>
      <c r="UGU2" s="420"/>
      <c r="UGV2" s="420"/>
      <c r="UGW2" s="419" t="s">
        <v>23</v>
      </c>
      <c r="UGX2" s="420"/>
      <c r="UGY2" s="420"/>
      <c r="UGZ2" s="420"/>
      <c r="UHA2" s="419" t="s">
        <v>23</v>
      </c>
      <c r="UHB2" s="420"/>
      <c r="UHC2" s="420"/>
      <c r="UHD2" s="420"/>
      <c r="UHE2" s="419" t="s">
        <v>23</v>
      </c>
      <c r="UHF2" s="420"/>
      <c r="UHG2" s="420"/>
      <c r="UHH2" s="420"/>
      <c r="UHI2" s="419" t="s">
        <v>23</v>
      </c>
      <c r="UHJ2" s="420"/>
      <c r="UHK2" s="420"/>
      <c r="UHL2" s="420"/>
      <c r="UHM2" s="419" t="s">
        <v>23</v>
      </c>
      <c r="UHN2" s="420"/>
      <c r="UHO2" s="420"/>
      <c r="UHP2" s="420"/>
      <c r="UHQ2" s="419" t="s">
        <v>23</v>
      </c>
      <c r="UHR2" s="420"/>
      <c r="UHS2" s="420"/>
      <c r="UHT2" s="420"/>
      <c r="UHU2" s="419" t="s">
        <v>23</v>
      </c>
      <c r="UHV2" s="420"/>
      <c r="UHW2" s="420"/>
      <c r="UHX2" s="420"/>
      <c r="UHY2" s="419" t="s">
        <v>23</v>
      </c>
      <c r="UHZ2" s="420"/>
      <c r="UIA2" s="420"/>
      <c r="UIB2" s="420"/>
      <c r="UIC2" s="419" t="s">
        <v>23</v>
      </c>
      <c r="UID2" s="420"/>
      <c r="UIE2" s="420"/>
      <c r="UIF2" s="420"/>
      <c r="UIG2" s="419" t="s">
        <v>23</v>
      </c>
      <c r="UIH2" s="420"/>
      <c r="UII2" s="420"/>
      <c r="UIJ2" s="420"/>
      <c r="UIK2" s="419" t="s">
        <v>23</v>
      </c>
      <c r="UIL2" s="420"/>
      <c r="UIM2" s="420"/>
      <c r="UIN2" s="420"/>
      <c r="UIO2" s="419" t="s">
        <v>23</v>
      </c>
      <c r="UIP2" s="420"/>
      <c r="UIQ2" s="420"/>
      <c r="UIR2" s="420"/>
      <c r="UIS2" s="419" t="s">
        <v>23</v>
      </c>
      <c r="UIT2" s="420"/>
      <c r="UIU2" s="420"/>
      <c r="UIV2" s="420"/>
      <c r="UIW2" s="419" t="s">
        <v>23</v>
      </c>
      <c r="UIX2" s="420"/>
      <c r="UIY2" s="420"/>
      <c r="UIZ2" s="420"/>
      <c r="UJA2" s="419" t="s">
        <v>23</v>
      </c>
      <c r="UJB2" s="420"/>
      <c r="UJC2" s="420"/>
      <c r="UJD2" s="420"/>
      <c r="UJE2" s="419" t="s">
        <v>23</v>
      </c>
      <c r="UJF2" s="420"/>
      <c r="UJG2" s="420"/>
      <c r="UJH2" s="420"/>
      <c r="UJI2" s="419" t="s">
        <v>23</v>
      </c>
      <c r="UJJ2" s="420"/>
      <c r="UJK2" s="420"/>
      <c r="UJL2" s="420"/>
      <c r="UJM2" s="419" t="s">
        <v>23</v>
      </c>
      <c r="UJN2" s="420"/>
      <c r="UJO2" s="420"/>
      <c r="UJP2" s="420"/>
      <c r="UJQ2" s="419" t="s">
        <v>23</v>
      </c>
      <c r="UJR2" s="420"/>
      <c r="UJS2" s="420"/>
      <c r="UJT2" s="420"/>
      <c r="UJU2" s="419" t="s">
        <v>23</v>
      </c>
      <c r="UJV2" s="420"/>
      <c r="UJW2" s="420"/>
      <c r="UJX2" s="420"/>
      <c r="UJY2" s="419" t="s">
        <v>23</v>
      </c>
      <c r="UJZ2" s="420"/>
      <c r="UKA2" s="420"/>
      <c r="UKB2" s="420"/>
      <c r="UKC2" s="419" t="s">
        <v>23</v>
      </c>
      <c r="UKD2" s="420"/>
      <c r="UKE2" s="420"/>
      <c r="UKF2" s="420"/>
      <c r="UKG2" s="419" t="s">
        <v>23</v>
      </c>
      <c r="UKH2" s="420"/>
      <c r="UKI2" s="420"/>
      <c r="UKJ2" s="420"/>
      <c r="UKK2" s="419" t="s">
        <v>23</v>
      </c>
      <c r="UKL2" s="420"/>
      <c r="UKM2" s="420"/>
      <c r="UKN2" s="420"/>
      <c r="UKO2" s="419" t="s">
        <v>23</v>
      </c>
      <c r="UKP2" s="420"/>
      <c r="UKQ2" s="420"/>
      <c r="UKR2" s="420"/>
      <c r="UKS2" s="419" t="s">
        <v>23</v>
      </c>
      <c r="UKT2" s="420"/>
      <c r="UKU2" s="420"/>
      <c r="UKV2" s="420"/>
      <c r="UKW2" s="419" t="s">
        <v>23</v>
      </c>
      <c r="UKX2" s="420"/>
      <c r="UKY2" s="420"/>
      <c r="UKZ2" s="420"/>
      <c r="ULA2" s="419" t="s">
        <v>23</v>
      </c>
      <c r="ULB2" s="420"/>
      <c r="ULC2" s="420"/>
      <c r="ULD2" s="420"/>
      <c r="ULE2" s="419" t="s">
        <v>23</v>
      </c>
      <c r="ULF2" s="420"/>
      <c r="ULG2" s="420"/>
      <c r="ULH2" s="420"/>
      <c r="ULI2" s="419" t="s">
        <v>23</v>
      </c>
      <c r="ULJ2" s="420"/>
      <c r="ULK2" s="420"/>
      <c r="ULL2" s="420"/>
      <c r="ULM2" s="419" t="s">
        <v>23</v>
      </c>
      <c r="ULN2" s="420"/>
      <c r="ULO2" s="420"/>
      <c r="ULP2" s="420"/>
      <c r="ULQ2" s="419" t="s">
        <v>23</v>
      </c>
      <c r="ULR2" s="420"/>
      <c r="ULS2" s="420"/>
      <c r="ULT2" s="420"/>
      <c r="ULU2" s="419" t="s">
        <v>23</v>
      </c>
      <c r="ULV2" s="420"/>
      <c r="ULW2" s="420"/>
      <c r="ULX2" s="420"/>
      <c r="ULY2" s="419" t="s">
        <v>23</v>
      </c>
      <c r="ULZ2" s="420"/>
      <c r="UMA2" s="420"/>
      <c r="UMB2" s="420"/>
      <c r="UMC2" s="419" t="s">
        <v>23</v>
      </c>
      <c r="UMD2" s="420"/>
      <c r="UME2" s="420"/>
      <c r="UMF2" s="420"/>
      <c r="UMG2" s="419" t="s">
        <v>23</v>
      </c>
      <c r="UMH2" s="420"/>
      <c r="UMI2" s="420"/>
      <c r="UMJ2" s="420"/>
      <c r="UMK2" s="419" t="s">
        <v>23</v>
      </c>
      <c r="UML2" s="420"/>
      <c r="UMM2" s="420"/>
      <c r="UMN2" s="420"/>
      <c r="UMO2" s="419" t="s">
        <v>23</v>
      </c>
      <c r="UMP2" s="420"/>
      <c r="UMQ2" s="420"/>
      <c r="UMR2" s="420"/>
      <c r="UMS2" s="419" t="s">
        <v>23</v>
      </c>
      <c r="UMT2" s="420"/>
      <c r="UMU2" s="420"/>
      <c r="UMV2" s="420"/>
      <c r="UMW2" s="419" t="s">
        <v>23</v>
      </c>
      <c r="UMX2" s="420"/>
      <c r="UMY2" s="420"/>
      <c r="UMZ2" s="420"/>
      <c r="UNA2" s="419" t="s">
        <v>23</v>
      </c>
      <c r="UNB2" s="420"/>
      <c r="UNC2" s="420"/>
      <c r="UND2" s="420"/>
      <c r="UNE2" s="419" t="s">
        <v>23</v>
      </c>
      <c r="UNF2" s="420"/>
      <c r="UNG2" s="420"/>
      <c r="UNH2" s="420"/>
      <c r="UNI2" s="419" t="s">
        <v>23</v>
      </c>
      <c r="UNJ2" s="420"/>
      <c r="UNK2" s="420"/>
      <c r="UNL2" s="420"/>
      <c r="UNM2" s="419" t="s">
        <v>23</v>
      </c>
      <c r="UNN2" s="420"/>
      <c r="UNO2" s="420"/>
      <c r="UNP2" s="420"/>
      <c r="UNQ2" s="419" t="s">
        <v>23</v>
      </c>
      <c r="UNR2" s="420"/>
      <c r="UNS2" s="420"/>
      <c r="UNT2" s="420"/>
      <c r="UNU2" s="419" t="s">
        <v>23</v>
      </c>
      <c r="UNV2" s="420"/>
      <c r="UNW2" s="420"/>
      <c r="UNX2" s="420"/>
      <c r="UNY2" s="419" t="s">
        <v>23</v>
      </c>
      <c r="UNZ2" s="420"/>
      <c r="UOA2" s="420"/>
      <c r="UOB2" s="420"/>
      <c r="UOC2" s="419" t="s">
        <v>23</v>
      </c>
      <c r="UOD2" s="420"/>
      <c r="UOE2" s="420"/>
      <c r="UOF2" s="420"/>
      <c r="UOG2" s="419" t="s">
        <v>23</v>
      </c>
      <c r="UOH2" s="420"/>
      <c r="UOI2" s="420"/>
      <c r="UOJ2" s="420"/>
      <c r="UOK2" s="419" t="s">
        <v>23</v>
      </c>
      <c r="UOL2" s="420"/>
      <c r="UOM2" s="420"/>
      <c r="UON2" s="420"/>
      <c r="UOO2" s="419" t="s">
        <v>23</v>
      </c>
      <c r="UOP2" s="420"/>
      <c r="UOQ2" s="420"/>
      <c r="UOR2" s="420"/>
      <c r="UOS2" s="419" t="s">
        <v>23</v>
      </c>
      <c r="UOT2" s="420"/>
      <c r="UOU2" s="420"/>
      <c r="UOV2" s="420"/>
      <c r="UOW2" s="419" t="s">
        <v>23</v>
      </c>
      <c r="UOX2" s="420"/>
      <c r="UOY2" s="420"/>
      <c r="UOZ2" s="420"/>
      <c r="UPA2" s="419" t="s">
        <v>23</v>
      </c>
      <c r="UPB2" s="420"/>
      <c r="UPC2" s="420"/>
      <c r="UPD2" s="420"/>
      <c r="UPE2" s="419" t="s">
        <v>23</v>
      </c>
      <c r="UPF2" s="420"/>
      <c r="UPG2" s="420"/>
      <c r="UPH2" s="420"/>
      <c r="UPI2" s="419" t="s">
        <v>23</v>
      </c>
      <c r="UPJ2" s="420"/>
      <c r="UPK2" s="420"/>
      <c r="UPL2" s="420"/>
      <c r="UPM2" s="419" t="s">
        <v>23</v>
      </c>
      <c r="UPN2" s="420"/>
      <c r="UPO2" s="420"/>
      <c r="UPP2" s="420"/>
      <c r="UPQ2" s="419" t="s">
        <v>23</v>
      </c>
      <c r="UPR2" s="420"/>
      <c r="UPS2" s="420"/>
      <c r="UPT2" s="420"/>
      <c r="UPU2" s="419" t="s">
        <v>23</v>
      </c>
      <c r="UPV2" s="420"/>
      <c r="UPW2" s="420"/>
      <c r="UPX2" s="420"/>
      <c r="UPY2" s="419" t="s">
        <v>23</v>
      </c>
      <c r="UPZ2" s="420"/>
      <c r="UQA2" s="420"/>
      <c r="UQB2" s="420"/>
      <c r="UQC2" s="419" t="s">
        <v>23</v>
      </c>
      <c r="UQD2" s="420"/>
      <c r="UQE2" s="420"/>
      <c r="UQF2" s="420"/>
      <c r="UQG2" s="419" t="s">
        <v>23</v>
      </c>
      <c r="UQH2" s="420"/>
      <c r="UQI2" s="420"/>
      <c r="UQJ2" s="420"/>
      <c r="UQK2" s="419" t="s">
        <v>23</v>
      </c>
      <c r="UQL2" s="420"/>
      <c r="UQM2" s="420"/>
      <c r="UQN2" s="420"/>
      <c r="UQO2" s="419" t="s">
        <v>23</v>
      </c>
      <c r="UQP2" s="420"/>
      <c r="UQQ2" s="420"/>
      <c r="UQR2" s="420"/>
      <c r="UQS2" s="419" t="s">
        <v>23</v>
      </c>
      <c r="UQT2" s="420"/>
      <c r="UQU2" s="420"/>
      <c r="UQV2" s="420"/>
      <c r="UQW2" s="419" t="s">
        <v>23</v>
      </c>
      <c r="UQX2" s="420"/>
      <c r="UQY2" s="420"/>
      <c r="UQZ2" s="420"/>
      <c r="URA2" s="419" t="s">
        <v>23</v>
      </c>
      <c r="URB2" s="420"/>
      <c r="URC2" s="420"/>
      <c r="URD2" s="420"/>
      <c r="URE2" s="419" t="s">
        <v>23</v>
      </c>
      <c r="URF2" s="420"/>
      <c r="URG2" s="420"/>
      <c r="URH2" s="420"/>
      <c r="URI2" s="419" t="s">
        <v>23</v>
      </c>
      <c r="URJ2" s="420"/>
      <c r="URK2" s="420"/>
      <c r="URL2" s="420"/>
      <c r="URM2" s="419" t="s">
        <v>23</v>
      </c>
      <c r="URN2" s="420"/>
      <c r="URO2" s="420"/>
      <c r="URP2" s="420"/>
      <c r="URQ2" s="419" t="s">
        <v>23</v>
      </c>
      <c r="URR2" s="420"/>
      <c r="URS2" s="420"/>
      <c r="URT2" s="420"/>
      <c r="URU2" s="419" t="s">
        <v>23</v>
      </c>
      <c r="URV2" s="420"/>
      <c r="URW2" s="420"/>
      <c r="URX2" s="420"/>
      <c r="URY2" s="419" t="s">
        <v>23</v>
      </c>
      <c r="URZ2" s="420"/>
      <c r="USA2" s="420"/>
      <c r="USB2" s="420"/>
      <c r="USC2" s="419" t="s">
        <v>23</v>
      </c>
      <c r="USD2" s="420"/>
      <c r="USE2" s="420"/>
      <c r="USF2" s="420"/>
      <c r="USG2" s="419" t="s">
        <v>23</v>
      </c>
      <c r="USH2" s="420"/>
      <c r="USI2" s="420"/>
      <c r="USJ2" s="420"/>
      <c r="USK2" s="419" t="s">
        <v>23</v>
      </c>
      <c r="USL2" s="420"/>
      <c r="USM2" s="420"/>
      <c r="USN2" s="420"/>
      <c r="USO2" s="419" t="s">
        <v>23</v>
      </c>
      <c r="USP2" s="420"/>
      <c r="USQ2" s="420"/>
      <c r="USR2" s="420"/>
      <c r="USS2" s="419" t="s">
        <v>23</v>
      </c>
      <c r="UST2" s="420"/>
      <c r="USU2" s="420"/>
      <c r="USV2" s="420"/>
      <c r="USW2" s="419" t="s">
        <v>23</v>
      </c>
      <c r="USX2" s="420"/>
      <c r="USY2" s="420"/>
      <c r="USZ2" s="420"/>
      <c r="UTA2" s="419" t="s">
        <v>23</v>
      </c>
      <c r="UTB2" s="420"/>
      <c r="UTC2" s="420"/>
      <c r="UTD2" s="420"/>
      <c r="UTE2" s="419" t="s">
        <v>23</v>
      </c>
      <c r="UTF2" s="420"/>
      <c r="UTG2" s="420"/>
      <c r="UTH2" s="420"/>
      <c r="UTI2" s="419" t="s">
        <v>23</v>
      </c>
      <c r="UTJ2" s="420"/>
      <c r="UTK2" s="420"/>
      <c r="UTL2" s="420"/>
      <c r="UTM2" s="419" t="s">
        <v>23</v>
      </c>
      <c r="UTN2" s="420"/>
      <c r="UTO2" s="420"/>
      <c r="UTP2" s="420"/>
      <c r="UTQ2" s="419" t="s">
        <v>23</v>
      </c>
      <c r="UTR2" s="420"/>
      <c r="UTS2" s="420"/>
      <c r="UTT2" s="420"/>
      <c r="UTU2" s="419" t="s">
        <v>23</v>
      </c>
      <c r="UTV2" s="420"/>
      <c r="UTW2" s="420"/>
      <c r="UTX2" s="420"/>
      <c r="UTY2" s="419" t="s">
        <v>23</v>
      </c>
      <c r="UTZ2" s="420"/>
      <c r="UUA2" s="420"/>
      <c r="UUB2" s="420"/>
      <c r="UUC2" s="419" t="s">
        <v>23</v>
      </c>
      <c r="UUD2" s="420"/>
      <c r="UUE2" s="420"/>
      <c r="UUF2" s="420"/>
      <c r="UUG2" s="419" t="s">
        <v>23</v>
      </c>
      <c r="UUH2" s="420"/>
      <c r="UUI2" s="420"/>
      <c r="UUJ2" s="420"/>
      <c r="UUK2" s="419" t="s">
        <v>23</v>
      </c>
      <c r="UUL2" s="420"/>
      <c r="UUM2" s="420"/>
      <c r="UUN2" s="420"/>
      <c r="UUO2" s="419" t="s">
        <v>23</v>
      </c>
      <c r="UUP2" s="420"/>
      <c r="UUQ2" s="420"/>
      <c r="UUR2" s="420"/>
      <c r="UUS2" s="419" t="s">
        <v>23</v>
      </c>
      <c r="UUT2" s="420"/>
      <c r="UUU2" s="420"/>
      <c r="UUV2" s="420"/>
      <c r="UUW2" s="419" t="s">
        <v>23</v>
      </c>
      <c r="UUX2" s="420"/>
      <c r="UUY2" s="420"/>
      <c r="UUZ2" s="420"/>
      <c r="UVA2" s="419" t="s">
        <v>23</v>
      </c>
      <c r="UVB2" s="420"/>
      <c r="UVC2" s="420"/>
      <c r="UVD2" s="420"/>
      <c r="UVE2" s="419" t="s">
        <v>23</v>
      </c>
      <c r="UVF2" s="420"/>
      <c r="UVG2" s="420"/>
      <c r="UVH2" s="420"/>
      <c r="UVI2" s="419" t="s">
        <v>23</v>
      </c>
      <c r="UVJ2" s="420"/>
      <c r="UVK2" s="420"/>
      <c r="UVL2" s="420"/>
      <c r="UVM2" s="419" t="s">
        <v>23</v>
      </c>
      <c r="UVN2" s="420"/>
      <c r="UVO2" s="420"/>
      <c r="UVP2" s="420"/>
      <c r="UVQ2" s="419" t="s">
        <v>23</v>
      </c>
      <c r="UVR2" s="420"/>
      <c r="UVS2" s="420"/>
      <c r="UVT2" s="420"/>
      <c r="UVU2" s="419" t="s">
        <v>23</v>
      </c>
      <c r="UVV2" s="420"/>
      <c r="UVW2" s="420"/>
      <c r="UVX2" s="420"/>
      <c r="UVY2" s="419" t="s">
        <v>23</v>
      </c>
      <c r="UVZ2" s="420"/>
      <c r="UWA2" s="420"/>
      <c r="UWB2" s="420"/>
      <c r="UWC2" s="419" t="s">
        <v>23</v>
      </c>
      <c r="UWD2" s="420"/>
      <c r="UWE2" s="420"/>
      <c r="UWF2" s="420"/>
      <c r="UWG2" s="419" t="s">
        <v>23</v>
      </c>
      <c r="UWH2" s="420"/>
      <c r="UWI2" s="420"/>
      <c r="UWJ2" s="420"/>
      <c r="UWK2" s="419" t="s">
        <v>23</v>
      </c>
      <c r="UWL2" s="420"/>
      <c r="UWM2" s="420"/>
      <c r="UWN2" s="420"/>
      <c r="UWO2" s="419" t="s">
        <v>23</v>
      </c>
      <c r="UWP2" s="420"/>
      <c r="UWQ2" s="420"/>
      <c r="UWR2" s="420"/>
      <c r="UWS2" s="419" t="s">
        <v>23</v>
      </c>
      <c r="UWT2" s="420"/>
      <c r="UWU2" s="420"/>
      <c r="UWV2" s="420"/>
      <c r="UWW2" s="419" t="s">
        <v>23</v>
      </c>
      <c r="UWX2" s="420"/>
      <c r="UWY2" s="420"/>
      <c r="UWZ2" s="420"/>
      <c r="UXA2" s="419" t="s">
        <v>23</v>
      </c>
      <c r="UXB2" s="420"/>
      <c r="UXC2" s="420"/>
      <c r="UXD2" s="420"/>
      <c r="UXE2" s="419" t="s">
        <v>23</v>
      </c>
      <c r="UXF2" s="420"/>
      <c r="UXG2" s="420"/>
      <c r="UXH2" s="420"/>
      <c r="UXI2" s="419" t="s">
        <v>23</v>
      </c>
      <c r="UXJ2" s="420"/>
      <c r="UXK2" s="420"/>
      <c r="UXL2" s="420"/>
      <c r="UXM2" s="419" t="s">
        <v>23</v>
      </c>
      <c r="UXN2" s="420"/>
      <c r="UXO2" s="420"/>
      <c r="UXP2" s="420"/>
      <c r="UXQ2" s="419" t="s">
        <v>23</v>
      </c>
      <c r="UXR2" s="420"/>
      <c r="UXS2" s="420"/>
      <c r="UXT2" s="420"/>
      <c r="UXU2" s="419" t="s">
        <v>23</v>
      </c>
      <c r="UXV2" s="420"/>
      <c r="UXW2" s="420"/>
      <c r="UXX2" s="420"/>
      <c r="UXY2" s="419" t="s">
        <v>23</v>
      </c>
      <c r="UXZ2" s="420"/>
      <c r="UYA2" s="420"/>
      <c r="UYB2" s="420"/>
      <c r="UYC2" s="419" t="s">
        <v>23</v>
      </c>
      <c r="UYD2" s="420"/>
      <c r="UYE2" s="420"/>
      <c r="UYF2" s="420"/>
      <c r="UYG2" s="419" t="s">
        <v>23</v>
      </c>
      <c r="UYH2" s="420"/>
      <c r="UYI2" s="420"/>
      <c r="UYJ2" s="420"/>
      <c r="UYK2" s="419" t="s">
        <v>23</v>
      </c>
      <c r="UYL2" s="420"/>
      <c r="UYM2" s="420"/>
      <c r="UYN2" s="420"/>
      <c r="UYO2" s="419" t="s">
        <v>23</v>
      </c>
      <c r="UYP2" s="420"/>
      <c r="UYQ2" s="420"/>
      <c r="UYR2" s="420"/>
      <c r="UYS2" s="419" t="s">
        <v>23</v>
      </c>
      <c r="UYT2" s="420"/>
      <c r="UYU2" s="420"/>
      <c r="UYV2" s="420"/>
      <c r="UYW2" s="419" t="s">
        <v>23</v>
      </c>
      <c r="UYX2" s="420"/>
      <c r="UYY2" s="420"/>
      <c r="UYZ2" s="420"/>
      <c r="UZA2" s="419" t="s">
        <v>23</v>
      </c>
      <c r="UZB2" s="420"/>
      <c r="UZC2" s="420"/>
      <c r="UZD2" s="420"/>
      <c r="UZE2" s="419" t="s">
        <v>23</v>
      </c>
      <c r="UZF2" s="420"/>
      <c r="UZG2" s="420"/>
      <c r="UZH2" s="420"/>
      <c r="UZI2" s="419" t="s">
        <v>23</v>
      </c>
      <c r="UZJ2" s="420"/>
      <c r="UZK2" s="420"/>
      <c r="UZL2" s="420"/>
      <c r="UZM2" s="419" t="s">
        <v>23</v>
      </c>
      <c r="UZN2" s="420"/>
      <c r="UZO2" s="420"/>
      <c r="UZP2" s="420"/>
      <c r="UZQ2" s="419" t="s">
        <v>23</v>
      </c>
      <c r="UZR2" s="420"/>
      <c r="UZS2" s="420"/>
      <c r="UZT2" s="420"/>
      <c r="UZU2" s="419" t="s">
        <v>23</v>
      </c>
      <c r="UZV2" s="420"/>
      <c r="UZW2" s="420"/>
      <c r="UZX2" s="420"/>
      <c r="UZY2" s="419" t="s">
        <v>23</v>
      </c>
      <c r="UZZ2" s="420"/>
      <c r="VAA2" s="420"/>
      <c r="VAB2" s="420"/>
      <c r="VAC2" s="419" t="s">
        <v>23</v>
      </c>
      <c r="VAD2" s="420"/>
      <c r="VAE2" s="420"/>
      <c r="VAF2" s="420"/>
      <c r="VAG2" s="419" t="s">
        <v>23</v>
      </c>
      <c r="VAH2" s="420"/>
      <c r="VAI2" s="420"/>
      <c r="VAJ2" s="420"/>
      <c r="VAK2" s="419" t="s">
        <v>23</v>
      </c>
      <c r="VAL2" s="420"/>
      <c r="VAM2" s="420"/>
      <c r="VAN2" s="420"/>
      <c r="VAO2" s="419" t="s">
        <v>23</v>
      </c>
      <c r="VAP2" s="420"/>
      <c r="VAQ2" s="420"/>
      <c r="VAR2" s="420"/>
      <c r="VAS2" s="419" t="s">
        <v>23</v>
      </c>
      <c r="VAT2" s="420"/>
      <c r="VAU2" s="420"/>
      <c r="VAV2" s="420"/>
      <c r="VAW2" s="419" t="s">
        <v>23</v>
      </c>
      <c r="VAX2" s="420"/>
      <c r="VAY2" s="420"/>
      <c r="VAZ2" s="420"/>
      <c r="VBA2" s="419" t="s">
        <v>23</v>
      </c>
      <c r="VBB2" s="420"/>
      <c r="VBC2" s="420"/>
      <c r="VBD2" s="420"/>
      <c r="VBE2" s="419" t="s">
        <v>23</v>
      </c>
      <c r="VBF2" s="420"/>
      <c r="VBG2" s="420"/>
      <c r="VBH2" s="420"/>
      <c r="VBI2" s="419" t="s">
        <v>23</v>
      </c>
      <c r="VBJ2" s="420"/>
      <c r="VBK2" s="420"/>
      <c r="VBL2" s="420"/>
      <c r="VBM2" s="419" t="s">
        <v>23</v>
      </c>
      <c r="VBN2" s="420"/>
      <c r="VBO2" s="420"/>
      <c r="VBP2" s="420"/>
      <c r="VBQ2" s="419" t="s">
        <v>23</v>
      </c>
      <c r="VBR2" s="420"/>
      <c r="VBS2" s="420"/>
      <c r="VBT2" s="420"/>
      <c r="VBU2" s="419" t="s">
        <v>23</v>
      </c>
      <c r="VBV2" s="420"/>
      <c r="VBW2" s="420"/>
      <c r="VBX2" s="420"/>
      <c r="VBY2" s="419" t="s">
        <v>23</v>
      </c>
      <c r="VBZ2" s="420"/>
      <c r="VCA2" s="420"/>
      <c r="VCB2" s="420"/>
      <c r="VCC2" s="419" t="s">
        <v>23</v>
      </c>
      <c r="VCD2" s="420"/>
      <c r="VCE2" s="420"/>
      <c r="VCF2" s="420"/>
      <c r="VCG2" s="419" t="s">
        <v>23</v>
      </c>
      <c r="VCH2" s="420"/>
      <c r="VCI2" s="420"/>
      <c r="VCJ2" s="420"/>
      <c r="VCK2" s="419" t="s">
        <v>23</v>
      </c>
      <c r="VCL2" s="420"/>
      <c r="VCM2" s="420"/>
      <c r="VCN2" s="420"/>
      <c r="VCO2" s="419" t="s">
        <v>23</v>
      </c>
      <c r="VCP2" s="420"/>
      <c r="VCQ2" s="420"/>
      <c r="VCR2" s="420"/>
      <c r="VCS2" s="419" t="s">
        <v>23</v>
      </c>
      <c r="VCT2" s="420"/>
      <c r="VCU2" s="420"/>
      <c r="VCV2" s="420"/>
      <c r="VCW2" s="419" t="s">
        <v>23</v>
      </c>
      <c r="VCX2" s="420"/>
      <c r="VCY2" s="420"/>
      <c r="VCZ2" s="420"/>
      <c r="VDA2" s="419" t="s">
        <v>23</v>
      </c>
      <c r="VDB2" s="420"/>
      <c r="VDC2" s="420"/>
      <c r="VDD2" s="420"/>
      <c r="VDE2" s="419" t="s">
        <v>23</v>
      </c>
      <c r="VDF2" s="420"/>
      <c r="VDG2" s="420"/>
      <c r="VDH2" s="420"/>
      <c r="VDI2" s="419" t="s">
        <v>23</v>
      </c>
      <c r="VDJ2" s="420"/>
      <c r="VDK2" s="420"/>
      <c r="VDL2" s="420"/>
      <c r="VDM2" s="419" t="s">
        <v>23</v>
      </c>
      <c r="VDN2" s="420"/>
      <c r="VDO2" s="420"/>
      <c r="VDP2" s="420"/>
      <c r="VDQ2" s="419" t="s">
        <v>23</v>
      </c>
      <c r="VDR2" s="420"/>
      <c r="VDS2" s="420"/>
      <c r="VDT2" s="420"/>
      <c r="VDU2" s="419" t="s">
        <v>23</v>
      </c>
      <c r="VDV2" s="420"/>
      <c r="VDW2" s="420"/>
      <c r="VDX2" s="420"/>
      <c r="VDY2" s="419" t="s">
        <v>23</v>
      </c>
      <c r="VDZ2" s="420"/>
      <c r="VEA2" s="420"/>
      <c r="VEB2" s="420"/>
      <c r="VEC2" s="419" t="s">
        <v>23</v>
      </c>
      <c r="VED2" s="420"/>
      <c r="VEE2" s="420"/>
      <c r="VEF2" s="420"/>
      <c r="VEG2" s="419" t="s">
        <v>23</v>
      </c>
      <c r="VEH2" s="420"/>
      <c r="VEI2" s="420"/>
      <c r="VEJ2" s="420"/>
      <c r="VEK2" s="419" t="s">
        <v>23</v>
      </c>
      <c r="VEL2" s="420"/>
      <c r="VEM2" s="420"/>
      <c r="VEN2" s="420"/>
      <c r="VEO2" s="419" t="s">
        <v>23</v>
      </c>
      <c r="VEP2" s="420"/>
      <c r="VEQ2" s="420"/>
      <c r="VER2" s="420"/>
      <c r="VES2" s="419" t="s">
        <v>23</v>
      </c>
      <c r="VET2" s="420"/>
      <c r="VEU2" s="420"/>
      <c r="VEV2" s="420"/>
      <c r="VEW2" s="419" t="s">
        <v>23</v>
      </c>
      <c r="VEX2" s="420"/>
      <c r="VEY2" s="420"/>
      <c r="VEZ2" s="420"/>
      <c r="VFA2" s="419" t="s">
        <v>23</v>
      </c>
      <c r="VFB2" s="420"/>
      <c r="VFC2" s="420"/>
      <c r="VFD2" s="420"/>
      <c r="VFE2" s="419" t="s">
        <v>23</v>
      </c>
      <c r="VFF2" s="420"/>
      <c r="VFG2" s="420"/>
      <c r="VFH2" s="420"/>
      <c r="VFI2" s="419" t="s">
        <v>23</v>
      </c>
      <c r="VFJ2" s="420"/>
      <c r="VFK2" s="420"/>
      <c r="VFL2" s="420"/>
      <c r="VFM2" s="419" t="s">
        <v>23</v>
      </c>
      <c r="VFN2" s="420"/>
      <c r="VFO2" s="420"/>
      <c r="VFP2" s="420"/>
      <c r="VFQ2" s="419" t="s">
        <v>23</v>
      </c>
      <c r="VFR2" s="420"/>
      <c r="VFS2" s="420"/>
      <c r="VFT2" s="420"/>
      <c r="VFU2" s="419" t="s">
        <v>23</v>
      </c>
      <c r="VFV2" s="420"/>
      <c r="VFW2" s="420"/>
      <c r="VFX2" s="420"/>
      <c r="VFY2" s="419" t="s">
        <v>23</v>
      </c>
      <c r="VFZ2" s="420"/>
      <c r="VGA2" s="420"/>
      <c r="VGB2" s="420"/>
      <c r="VGC2" s="419" t="s">
        <v>23</v>
      </c>
      <c r="VGD2" s="420"/>
      <c r="VGE2" s="420"/>
      <c r="VGF2" s="420"/>
      <c r="VGG2" s="419" t="s">
        <v>23</v>
      </c>
      <c r="VGH2" s="420"/>
      <c r="VGI2" s="420"/>
      <c r="VGJ2" s="420"/>
      <c r="VGK2" s="419" t="s">
        <v>23</v>
      </c>
      <c r="VGL2" s="420"/>
      <c r="VGM2" s="420"/>
      <c r="VGN2" s="420"/>
      <c r="VGO2" s="419" t="s">
        <v>23</v>
      </c>
      <c r="VGP2" s="420"/>
      <c r="VGQ2" s="420"/>
      <c r="VGR2" s="420"/>
      <c r="VGS2" s="419" t="s">
        <v>23</v>
      </c>
      <c r="VGT2" s="420"/>
      <c r="VGU2" s="420"/>
      <c r="VGV2" s="420"/>
      <c r="VGW2" s="419" t="s">
        <v>23</v>
      </c>
      <c r="VGX2" s="420"/>
      <c r="VGY2" s="420"/>
      <c r="VGZ2" s="420"/>
      <c r="VHA2" s="419" t="s">
        <v>23</v>
      </c>
      <c r="VHB2" s="420"/>
      <c r="VHC2" s="420"/>
      <c r="VHD2" s="420"/>
      <c r="VHE2" s="419" t="s">
        <v>23</v>
      </c>
      <c r="VHF2" s="420"/>
      <c r="VHG2" s="420"/>
      <c r="VHH2" s="420"/>
      <c r="VHI2" s="419" t="s">
        <v>23</v>
      </c>
      <c r="VHJ2" s="420"/>
      <c r="VHK2" s="420"/>
      <c r="VHL2" s="420"/>
      <c r="VHM2" s="419" t="s">
        <v>23</v>
      </c>
      <c r="VHN2" s="420"/>
      <c r="VHO2" s="420"/>
      <c r="VHP2" s="420"/>
      <c r="VHQ2" s="419" t="s">
        <v>23</v>
      </c>
      <c r="VHR2" s="420"/>
      <c r="VHS2" s="420"/>
      <c r="VHT2" s="420"/>
      <c r="VHU2" s="419" t="s">
        <v>23</v>
      </c>
      <c r="VHV2" s="420"/>
      <c r="VHW2" s="420"/>
      <c r="VHX2" s="420"/>
      <c r="VHY2" s="419" t="s">
        <v>23</v>
      </c>
      <c r="VHZ2" s="420"/>
      <c r="VIA2" s="420"/>
      <c r="VIB2" s="420"/>
      <c r="VIC2" s="419" t="s">
        <v>23</v>
      </c>
      <c r="VID2" s="420"/>
      <c r="VIE2" s="420"/>
      <c r="VIF2" s="420"/>
      <c r="VIG2" s="419" t="s">
        <v>23</v>
      </c>
      <c r="VIH2" s="420"/>
      <c r="VII2" s="420"/>
      <c r="VIJ2" s="420"/>
      <c r="VIK2" s="419" t="s">
        <v>23</v>
      </c>
      <c r="VIL2" s="420"/>
      <c r="VIM2" s="420"/>
      <c r="VIN2" s="420"/>
      <c r="VIO2" s="419" t="s">
        <v>23</v>
      </c>
      <c r="VIP2" s="420"/>
      <c r="VIQ2" s="420"/>
      <c r="VIR2" s="420"/>
      <c r="VIS2" s="419" t="s">
        <v>23</v>
      </c>
      <c r="VIT2" s="420"/>
      <c r="VIU2" s="420"/>
      <c r="VIV2" s="420"/>
      <c r="VIW2" s="419" t="s">
        <v>23</v>
      </c>
      <c r="VIX2" s="420"/>
      <c r="VIY2" s="420"/>
      <c r="VIZ2" s="420"/>
      <c r="VJA2" s="419" t="s">
        <v>23</v>
      </c>
      <c r="VJB2" s="420"/>
      <c r="VJC2" s="420"/>
      <c r="VJD2" s="420"/>
      <c r="VJE2" s="419" t="s">
        <v>23</v>
      </c>
      <c r="VJF2" s="420"/>
      <c r="VJG2" s="420"/>
      <c r="VJH2" s="420"/>
      <c r="VJI2" s="419" t="s">
        <v>23</v>
      </c>
      <c r="VJJ2" s="420"/>
      <c r="VJK2" s="420"/>
      <c r="VJL2" s="420"/>
      <c r="VJM2" s="419" t="s">
        <v>23</v>
      </c>
      <c r="VJN2" s="420"/>
      <c r="VJO2" s="420"/>
      <c r="VJP2" s="420"/>
      <c r="VJQ2" s="419" t="s">
        <v>23</v>
      </c>
      <c r="VJR2" s="420"/>
      <c r="VJS2" s="420"/>
      <c r="VJT2" s="420"/>
      <c r="VJU2" s="419" t="s">
        <v>23</v>
      </c>
      <c r="VJV2" s="420"/>
      <c r="VJW2" s="420"/>
      <c r="VJX2" s="420"/>
      <c r="VJY2" s="419" t="s">
        <v>23</v>
      </c>
      <c r="VJZ2" s="420"/>
      <c r="VKA2" s="420"/>
      <c r="VKB2" s="420"/>
      <c r="VKC2" s="419" t="s">
        <v>23</v>
      </c>
      <c r="VKD2" s="420"/>
      <c r="VKE2" s="420"/>
      <c r="VKF2" s="420"/>
      <c r="VKG2" s="419" t="s">
        <v>23</v>
      </c>
      <c r="VKH2" s="420"/>
      <c r="VKI2" s="420"/>
      <c r="VKJ2" s="420"/>
      <c r="VKK2" s="419" t="s">
        <v>23</v>
      </c>
      <c r="VKL2" s="420"/>
      <c r="VKM2" s="420"/>
      <c r="VKN2" s="420"/>
      <c r="VKO2" s="419" t="s">
        <v>23</v>
      </c>
      <c r="VKP2" s="420"/>
      <c r="VKQ2" s="420"/>
      <c r="VKR2" s="420"/>
      <c r="VKS2" s="419" t="s">
        <v>23</v>
      </c>
      <c r="VKT2" s="420"/>
      <c r="VKU2" s="420"/>
      <c r="VKV2" s="420"/>
      <c r="VKW2" s="419" t="s">
        <v>23</v>
      </c>
      <c r="VKX2" s="420"/>
      <c r="VKY2" s="420"/>
      <c r="VKZ2" s="420"/>
      <c r="VLA2" s="419" t="s">
        <v>23</v>
      </c>
      <c r="VLB2" s="420"/>
      <c r="VLC2" s="420"/>
      <c r="VLD2" s="420"/>
      <c r="VLE2" s="419" t="s">
        <v>23</v>
      </c>
      <c r="VLF2" s="420"/>
      <c r="VLG2" s="420"/>
      <c r="VLH2" s="420"/>
      <c r="VLI2" s="419" t="s">
        <v>23</v>
      </c>
      <c r="VLJ2" s="420"/>
      <c r="VLK2" s="420"/>
      <c r="VLL2" s="420"/>
      <c r="VLM2" s="419" t="s">
        <v>23</v>
      </c>
      <c r="VLN2" s="420"/>
      <c r="VLO2" s="420"/>
      <c r="VLP2" s="420"/>
      <c r="VLQ2" s="419" t="s">
        <v>23</v>
      </c>
      <c r="VLR2" s="420"/>
      <c r="VLS2" s="420"/>
      <c r="VLT2" s="420"/>
      <c r="VLU2" s="419" t="s">
        <v>23</v>
      </c>
      <c r="VLV2" s="420"/>
      <c r="VLW2" s="420"/>
      <c r="VLX2" s="420"/>
      <c r="VLY2" s="419" t="s">
        <v>23</v>
      </c>
      <c r="VLZ2" s="420"/>
      <c r="VMA2" s="420"/>
      <c r="VMB2" s="420"/>
      <c r="VMC2" s="419" t="s">
        <v>23</v>
      </c>
      <c r="VMD2" s="420"/>
      <c r="VME2" s="420"/>
      <c r="VMF2" s="420"/>
      <c r="VMG2" s="419" t="s">
        <v>23</v>
      </c>
      <c r="VMH2" s="420"/>
      <c r="VMI2" s="420"/>
      <c r="VMJ2" s="420"/>
      <c r="VMK2" s="419" t="s">
        <v>23</v>
      </c>
      <c r="VML2" s="420"/>
      <c r="VMM2" s="420"/>
      <c r="VMN2" s="420"/>
      <c r="VMO2" s="419" t="s">
        <v>23</v>
      </c>
      <c r="VMP2" s="420"/>
      <c r="VMQ2" s="420"/>
      <c r="VMR2" s="420"/>
      <c r="VMS2" s="419" t="s">
        <v>23</v>
      </c>
      <c r="VMT2" s="420"/>
      <c r="VMU2" s="420"/>
      <c r="VMV2" s="420"/>
      <c r="VMW2" s="419" t="s">
        <v>23</v>
      </c>
      <c r="VMX2" s="420"/>
      <c r="VMY2" s="420"/>
      <c r="VMZ2" s="420"/>
      <c r="VNA2" s="419" t="s">
        <v>23</v>
      </c>
      <c r="VNB2" s="420"/>
      <c r="VNC2" s="420"/>
      <c r="VND2" s="420"/>
      <c r="VNE2" s="419" t="s">
        <v>23</v>
      </c>
      <c r="VNF2" s="420"/>
      <c r="VNG2" s="420"/>
      <c r="VNH2" s="420"/>
      <c r="VNI2" s="419" t="s">
        <v>23</v>
      </c>
      <c r="VNJ2" s="420"/>
      <c r="VNK2" s="420"/>
      <c r="VNL2" s="420"/>
      <c r="VNM2" s="419" t="s">
        <v>23</v>
      </c>
      <c r="VNN2" s="420"/>
      <c r="VNO2" s="420"/>
      <c r="VNP2" s="420"/>
      <c r="VNQ2" s="419" t="s">
        <v>23</v>
      </c>
      <c r="VNR2" s="420"/>
      <c r="VNS2" s="420"/>
      <c r="VNT2" s="420"/>
      <c r="VNU2" s="419" t="s">
        <v>23</v>
      </c>
      <c r="VNV2" s="420"/>
      <c r="VNW2" s="420"/>
      <c r="VNX2" s="420"/>
      <c r="VNY2" s="419" t="s">
        <v>23</v>
      </c>
      <c r="VNZ2" s="420"/>
      <c r="VOA2" s="420"/>
      <c r="VOB2" s="420"/>
      <c r="VOC2" s="419" t="s">
        <v>23</v>
      </c>
      <c r="VOD2" s="420"/>
      <c r="VOE2" s="420"/>
      <c r="VOF2" s="420"/>
      <c r="VOG2" s="419" t="s">
        <v>23</v>
      </c>
      <c r="VOH2" s="420"/>
      <c r="VOI2" s="420"/>
      <c r="VOJ2" s="420"/>
      <c r="VOK2" s="419" t="s">
        <v>23</v>
      </c>
      <c r="VOL2" s="420"/>
      <c r="VOM2" s="420"/>
      <c r="VON2" s="420"/>
      <c r="VOO2" s="419" t="s">
        <v>23</v>
      </c>
      <c r="VOP2" s="420"/>
      <c r="VOQ2" s="420"/>
      <c r="VOR2" s="420"/>
      <c r="VOS2" s="419" t="s">
        <v>23</v>
      </c>
      <c r="VOT2" s="420"/>
      <c r="VOU2" s="420"/>
      <c r="VOV2" s="420"/>
      <c r="VOW2" s="419" t="s">
        <v>23</v>
      </c>
      <c r="VOX2" s="420"/>
      <c r="VOY2" s="420"/>
      <c r="VOZ2" s="420"/>
      <c r="VPA2" s="419" t="s">
        <v>23</v>
      </c>
      <c r="VPB2" s="420"/>
      <c r="VPC2" s="420"/>
      <c r="VPD2" s="420"/>
      <c r="VPE2" s="419" t="s">
        <v>23</v>
      </c>
      <c r="VPF2" s="420"/>
      <c r="VPG2" s="420"/>
      <c r="VPH2" s="420"/>
      <c r="VPI2" s="419" t="s">
        <v>23</v>
      </c>
      <c r="VPJ2" s="420"/>
      <c r="VPK2" s="420"/>
      <c r="VPL2" s="420"/>
      <c r="VPM2" s="419" t="s">
        <v>23</v>
      </c>
      <c r="VPN2" s="420"/>
      <c r="VPO2" s="420"/>
      <c r="VPP2" s="420"/>
      <c r="VPQ2" s="419" t="s">
        <v>23</v>
      </c>
      <c r="VPR2" s="420"/>
      <c r="VPS2" s="420"/>
      <c r="VPT2" s="420"/>
      <c r="VPU2" s="419" t="s">
        <v>23</v>
      </c>
      <c r="VPV2" s="420"/>
      <c r="VPW2" s="420"/>
      <c r="VPX2" s="420"/>
      <c r="VPY2" s="419" t="s">
        <v>23</v>
      </c>
      <c r="VPZ2" s="420"/>
      <c r="VQA2" s="420"/>
      <c r="VQB2" s="420"/>
      <c r="VQC2" s="419" t="s">
        <v>23</v>
      </c>
      <c r="VQD2" s="420"/>
      <c r="VQE2" s="420"/>
      <c r="VQF2" s="420"/>
      <c r="VQG2" s="419" t="s">
        <v>23</v>
      </c>
      <c r="VQH2" s="420"/>
      <c r="VQI2" s="420"/>
      <c r="VQJ2" s="420"/>
      <c r="VQK2" s="419" t="s">
        <v>23</v>
      </c>
      <c r="VQL2" s="420"/>
      <c r="VQM2" s="420"/>
      <c r="VQN2" s="420"/>
      <c r="VQO2" s="419" t="s">
        <v>23</v>
      </c>
      <c r="VQP2" s="420"/>
      <c r="VQQ2" s="420"/>
      <c r="VQR2" s="420"/>
      <c r="VQS2" s="419" t="s">
        <v>23</v>
      </c>
      <c r="VQT2" s="420"/>
      <c r="VQU2" s="420"/>
      <c r="VQV2" s="420"/>
      <c r="VQW2" s="419" t="s">
        <v>23</v>
      </c>
      <c r="VQX2" s="420"/>
      <c r="VQY2" s="420"/>
      <c r="VQZ2" s="420"/>
      <c r="VRA2" s="419" t="s">
        <v>23</v>
      </c>
      <c r="VRB2" s="420"/>
      <c r="VRC2" s="420"/>
      <c r="VRD2" s="420"/>
      <c r="VRE2" s="419" t="s">
        <v>23</v>
      </c>
      <c r="VRF2" s="420"/>
      <c r="VRG2" s="420"/>
      <c r="VRH2" s="420"/>
      <c r="VRI2" s="419" t="s">
        <v>23</v>
      </c>
      <c r="VRJ2" s="420"/>
      <c r="VRK2" s="420"/>
      <c r="VRL2" s="420"/>
      <c r="VRM2" s="419" t="s">
        <v>23</v>
      </c>
      <c r="VRN2" s="420"/>
      <c r="VRO2" s="420"/>
      <c r="VRP2" s="420"/>
      <c r="VRQ2" s="419" t="s">
        <v>23</v>
      </c>
      <c r="VRR2" s="420"/>
      <c r="VRS2" s="420"/>
      <c r="VRT2" s="420"/>
      <c r="VRU2" s="419" t="s">
        <v>23</v>
      </c>
      <c r="VRV2" s="420"/>
      <c r="VRW2" s="420"/>
      <c r="VRX2" s="420"/>
      <c r="VRY2" s="419" t="s">
        <v>23</v>
      </c>
      <c r="VRZ2" s="420"/>
      <c r="VSA2" s="420"/>
      <c r="VSB2" s="420"/>
      <c r="VSC2" s="419" t="s">
        <v>23</v>
      </c>
      <c r="VSD2" s="420"/>
      <c r="VSE2" s="420"/>
      <c r="VSF2" s="420"/>
      <c r="VSG2" s="419" t="s">
        <v>23</v>
      </c>
      <c r="VSH2" s="420"/>
      <c r="VSI2" s="420"/>
      <c r="VSJ2" s="420"/>
      <c r="VSK2" s="419" t="s">
        <v>23</v>
      </c>
      <c r="VSL2" s="420"/>
      <c r="VSM2" s="420"/>
      <c r="VSN2" s="420"/>
      <c r="VSO2" s="419" t="s">
        <v>23</v>
      </c>
      <c r="VSP2" s="420"/>
      <c r="VSQ2" s="420"/>
      <c r="VSR2" s="420"/>
      <c r="VSS2" s="419" t="s">
        <v>23</v>
      </c>
      <c r="VST2" s="420"/>
      <c r="VSU2" s="420"/>
      <c r="VSV2" s="420"/>
      <c r="VSW2" s="419" t="s">
        <v>23</v>
      </c>
      <c r="VSX2" s="420"/>
      <c r="VSY2" s="420"/>
      <c r="VSZ2" s="420"/>
      <c r="VTA2" s="419" t="s">
        <v>23</v>
      </c>
      <c r="VTB2" s="420"/>
      <c r="VTC2" s="420"/>
      <c r="VTD2" s="420"/>
      <c r="VTE2" s="419" t="s">
        <v>23</v>
      </c>
      <c r="VTF2" s="420"/>
      <c r="VTG2" s="420"/>
      <c r="VTH2" s="420"/>
      <c r="VTI2" s="419" t="s">
        <v>23</v>
      </c>
      <c r="VTJ2" s="420"/>
      <c r="VTK2" s="420"/>
      <c r="VTL2" s="420"/>
      <c r="VTM2" s="419" t="s">
        <v>23</v>
      </c>
      <c r="VTN2" s="420"/>
      <c r="VTO2" s="420"/>
      <c r="VTP2" s="420"/>
      <c r="VTQ2" s="419" t="s">
        <v>23</v>
      </c>
      <c r="VTR2" s="420"/>
      <c r="VTS2" s="420"/>
      <c r="VTT2" s="420"/>
      <c r="VTU2" s="419" t="s">
        <v>23</v>
      </c>
      <c r="VTV2" s="420"/>
      <c r="VTW2" s="420"/>
      <c r="VTX2" s="420"/>
      <c r="VTY2" s="419" t="s">
        <v>23</v>
      </c>
      <c r="VTZ2" s="420"/>
      <c r="VUA2" s="420"/>
      <c r="VUB2" s="420"/>
      <c r="VUC2" s="419" t="s">
        <v>23</v>
      </c>
      <c r="VUD2" s="420"/>
      <c r="VUE2" s="420"/>
      <c r="VUF2" s="420"/>
      <c r="VUG2" s="419" t="s">
        <v>23</v>
      </c>
      <c r="VUH2" s="420"/>
      <c r="VUI2" s="420"/>
      <c r="VUJ2" s="420"/>
      <c r="VUK2" s="419" t="s">
        <v>23</v>
      </c>
      <c r="VUL2" s="420"/>
      <c r="VUM2" s="420"/>
      <c r="VUN2" s="420"/>
      <c r="VUO2" s="419" t="s">
        <v>23</v>
      </c>
      <c r="VUP2" s="420"/>
      <c r="VUQ2" s="420"/>
      <c r="VUR2" s="420"/>
      <c r="VUS2" s="419" t="s">
        <v>23</v>
      </c>
      <c r="VUT2" s="420"/>
      <c r="VUU2" s="420"/>
      <c r="VUV2" s="420"/>
      <c r="VUW2" s="419" t="s">
        <v>23</v>
      </c>
      <c r="VUX2" s="420"/>
      <c r="VUY2" s="420"/>
      <c r="VUZ2" s="420"/>
      <c r="VVA2" s="419" t="s">
        <v>23</v>
      </c>
      <c r="VVB2" s="420"/>
      <c r="VVC2" s="420"/>
      <c r="VVD2" s="420"/>
      <c r="VVE2" s="419" t="s">
        <v>23</v>
      </c>
      <c r="VVF2" s="420"/>
      <c r="VVG2" s="420"/>
      <c r="VVH2" s="420"/>
      <c r="VVI2" s="419" t="s">
        <v>23</v>
      </c>
      <c r="VVJ2" s="420"/>
      <c r="VVK2" s="420"/>
      <c r="VVL2" s="420"/>
      <c r="VVM2" s="419" t="s">
        <v>23</v>
      </c>
      <c r="VVN2" s="420"/>
      <c r="VVO2" s="420"/>
      <c r="VVP2" s="420"/>
      <c r="VVQ2" s="419" t="s">
        <v>23</v>
      </c>
      <c r="VVR2" s="420"/>
      <c r="VVS2" s="420"/>
      <c r="VVT2" s="420"/>
      <c r="VVU2" s="419" t="s">
        <v>23</v>
      </c>
      <c r="VVV2" s="420"/>
      <c r="VVW2" s="420"/>
      <c r="VVX2" s="420"/>
      <c r="VVY2" s="419" t="s">
        <v>23</v>
      </c>
      <c r="VVZ2" s="420"/>
      <c r="VWA2" s="420"/>
      <c r="VWB2" s="420"/>
      <c r="VWC2" s="419" t="s">
        <v>23</v>
      </c>
      <c r="VWD2" s="420"/>
      <c r="VWE2" s="420"/>
      <c r="VWF2" s="420"/>
      <c r="VWG2" s="419" t="s">
        <v>23</v>
      </c>
      <c r="VWH2" s="420"/>
      <c r="VWI2" s="420"/>
      <c r="VWJ2" s="420"/>
      <c r="VWK2" s="419" t="s">
        <v>23</v>
      </c>
      <c r="VWL2" s="420"/>
      <c r="VWM2" s="420"/>
      <c r="VWN2" s="420"/>
      <c r="VWO2" s="419" t="s">
        <v>23</v>
      </c>
      <c r="VWP2" s="420"/>
      <c r="VWQ2" s="420"/>
      <c r="VWR2" s="420"/>
      <c r="VWS2" s="419" t="s">
        <v>23</v>
      </c>
      <c r="VWT2" s="420"/>
      <c r="VWU2" s="420"/>
      <c r="VWV2" s="420"/>
      <c r="VWW2" s="419" t="s">
        <v>23</v>
      </c>
      <c r="VWX2" s="420"/>
      <c r="VWY2" s="420"/>
      <c r="VWZ2" s="420"/>
      <c r="VXA2" s="419" t="s">
        <v>23</v>
      </c>
      <c r="VXB2" s="420"/>
      <c r="VXC2" s="420"/>
      <c r="VXD2" s="420"/>
      <c r="VXE2" s="419" t="s">
        <v>23</v>
      </c>
      <c r="VXF2" s="420"/>
      <c r="VXG2" s="420"/>
      <c r="VXH2" s="420"/>
      <c r="VXI2" s="419" t="s">
        <v>23</v>
      </c>
      <c r="VXJ2" s="420"/>
      <c r="VXK2" s="420"/>
      <c r="VXL2" s="420"/>
      <c r="VXM2" s="419" t="s">
        <v>23</v>
      </c>
      <c r="VXN2" s="420"/>
      <c r="VXO2" s="420"/>
      <c r="VXP2" s="420"/>
      <c r="VXQ2" s="419" t="s">
        <v>23</v>
      </c>
      <c r="VXR2" s="420"/>
      <c r="VXS2" s="420"/>
      <c r="VXT2" s="420"/>
      <c r="VXU2" s="419" t="s">
        <v>23</v>
      </c>
      <c r="VXV2" s="420"/>
      <c r="VXW2" s="420"/>
      <c r="VXX2" s="420"/>
      <c r="VXY2" s="419" t="s">
        <v>23</v>
      </c>
      <c r="VXZ2" s="420"/>
      <c r="VYA2" s="420"/>
      <c r="VYB2" s="420"/>
      <c r="VYC2" s="419" t="s">
        <v>23</v>
      </c>
      <c r="VYD2" s="420"/>
      <c r="VYE2" s="420"/>
      <c r="VYF2" s="420"/>
      <c r="VYG2" s="419" t="s">
        <v>23</v>
      </c>
      <c r="VYH2" s="420"/>
      <c r="VYI2" s="420"/>
      <c r="VYJ2" s="420"/>
      <c r="VYK2" s="419" t="s">
        <v>23</v>
      </c>
      <c r="VYL2" s="420"/>
      <c r="VYM2" s="420"/>
      <c r="VYN2" s="420"/>
      <c r="VYO2" s="419" t="s">
        <v>23</v>
      </c>
      <c r="VYP2" s="420"/>
      <c r="VYQ2" s="420"/>
      <c r="VYR2" s="420"/>
      <c r="VYS2" s="419" t="s">
        <v>23</v>
      </c>
      <c r="VYT2" s="420"/>
      <c r="VYU2" s="420"/>
      <c r="VYV2" s="420"/>
      <c r="VYW2" s="419" t="s">
        <v>23</v>
      </c>
      <c r="VYX2" s="420"/>
      <c r="VYY2" s="420"/>
      <c r="VYZ2" s="420"/>
      <c r="VZA2" s="419" t="s">
        <v>23</v>
      </c>
      <c r="VZB2" s="420"/>
      <c r="VZC2" s="420"/>
      <c r="VZD2" s="420"/>
      <c r="VZE2" s="419" t="s">
        <v>23</v>
      </c>
      <c r="VZF2" s="420"/>
      <c r="VZG2" s="420"/>
      <c r="VZH2" s="420"/>
      <c r="VZI2" s="419" t="s">
        <v>23</v>
      </c>
      <c r="VZJ2" s="420"/>
      <c r="VZK2" s="420"/>
      <c r="VZL2" s="420"/>
      <c r="VZM2" s="419" t="s">
        <v>23</v>
      </c>
      <c r="VZN2" s="420"/>
      <c r="VZO2" s="420"/>
      <c r="VZP2" s="420"/>
      <c r="VZQ2" s="419" t="s">
        <v>23</v>
      </c>
      <c r="VZR2" s="420"/>
      <c r="VZS2" s="420"/>
      <c r="VZT2" s="420"/>
      <c r="VZU2" s="419" t="s">
        <v>23</v>
      </c>
      <c r="VZV2" s="420"/>
      <c r="VZW2" s="420"/>
      <c r="VZX2" s="420"/>
      <c r="VZY2" s="419" t="s">
        <v>23</v>
      </c>
      <c r="VZZ2" s="420"/>
      <c r="WAA2" s="420"/>
      <c r="WAB2" s="420"/>
      <c r="WAC2" s="419" t="s">
        <v>23</v>
      </c>
      <c r="WAD2" s="420"/>
      <c r="WAE2" s="420"/>
      <c r="WAF2" s="420"/>
      <c r="WAG2" s="419" t="s">
        <v>23</v>
      </c>
      <c r="WAH2" s="420"/>
      <c r="WAI2" s="420"/>
      <c r="WAJ2" s="420"/>
      <c r="WAK2" s="419" t="s">
        <v>23</v>
      </c>
      <c r="WAL2" s="420"/>
      <c r="WAM2" s="420"/>
      <c r="WAN2" s="420"/>
      <c r="WAO2" s="419" t="s">
        <v>23</v>
      </c>
      <c r="WAP2" s="420"/>
      <c r="WAQ2" s="420"/>
      <c r="WAR2" s="420"/>
      <c r="WAS2" s="419" t="s">
        <v>23</v>
      </c>
      <c r="WAT2" s="420"/>
      <c r="WAU2" s="420"/>
      <c r="WAV2" s="420"/>
      <c r="WAW2" s="419" t="s">
        <v>23</v>
      </c>
      <c r="WAX2" s="420"/>
      <c r="WAY2" s="420"/>
      <c r="WAZ2" s="420"/>
      <c r="WBA2" s="419" t="s">
        <v>23</v>
      </c>
      <c r="WBB2" s="420"/>
      <c r="WBC2" s="420"/>
      <c r="WBD2" s="420"/>
      <c r="WBE2" s="419" t="s">
        <v>23</v>
      </c>
      <c r="WBF2" s="420"/>
      <c r="WBG2" s="420"/>
      <c r="WBH2" s="420"/>
      <c r="WBI2" s="419" t="s">
        <v>23</v>
      </c>
      <c r="WBJ2" s="420"/>
      <c r="WBK2" s="420"/>
      <c r="WBL2" s="420"/>
      <c r="WBM2" s="419" t="s">
        <v>23</v>
      </c>
      <c r="WBN2" s="420"/>
      <c r="WBO2" s="420"/>
      <c r="WBP2" s="420"/>
      <c r="WBQ2" s="419" t="s">
        <v>23</v>
      </c>
      <c r="WBR2" s="420"/>
      <c r="WBS2" s="420"/>
      <c r="WBT2" s="420"/>
      <c r="WBU2" s="419" t="s">
        <v>23</v>
      </c>
      <c r="WBV2" s="420"/>
      <c r="WBW2" s="420"/>
      <c r="WBX2" s="420"/>
      <c r="WBY2" s="419" t="s">
        <v>23</v>
      </c>
      <c r="WBZ2" s="420"/>
      <c r="WCA2" s="420"/>
      <c r="WCB2" s="420"/>
      <c r="WCC2" s="419" t="s">
        <v>23</v>
      </c>
      <c r="WCD2" s="420"/>
      <c r="WCE2" s="420"/>
      <c r="WCF2" s="420"/>
      <c r="WCG2" s="419" t="s">
        <v>23</v>
      </c>
      <c r="WCH2" s="420"/>
      <c r="WCI2" s="420"/>
      <c r="WCJ2" s="420"/>
      <c r="WCK2" s="419" t="s">
        <v>23</v>
      </c>
      <c r="WCL2" s="420"/>
      <c r="WCM2" s="420"/>
      <c r="WCN2" s="420"/>
      <c r="WCO2" s="419" t="s">
        <v>23</v>
      </c>
      <c r="WCP2" s="420"/>
      <c r="WCQ2" s="420"/>
      <c r="WCR2" s="420"/>
      <c r="WCS2" s="419" t="s">
        <v>23</v>
      </c>
      <c r="WCT2" s="420"/>
      <c r="WCU2" s="420"/>
      <c r="WCV2" s="420"/>
      <c r="WCW2" s="419" t="s">
        <v>23</v>
      </c>
      <c r="WCX2" s="420"/>
      <c r="WCY2" s="420"/>
      <c r="WCZ2" s="420"/>
      <c r="WDA2" s="419" t="s">
        <v>23</v>
      </c>
      <c r="WDB2" s="420"/>
      <c r="WDC2" s="420"/>
      <c r="WDD2" s="420"/>
      <c r="WDE2" s="419" t="s">
        <v>23</v>
      </c>
      <c r="WDF2" s="420"/>
      <c r="WDG2" s="420"/>
      <c r="WDH2" s="420"/>
      <c r="WDI2" s="419" t="s">
        <v>23</v>
      </c>
      <c r="WDJ2" s="420"/>
      <c r="WDK2" s="420"/>
      <c r="WDL2" s="420"/>
      <c r="WDM2" s="419" t="s">
        <v>23</v>
      </c>
      <c r="WDN2" s="420"/>
      <c r="WDO2" s="420"/>
      <c r="WDP2" s="420"/>
      <c r="WDQ2" s="419" t="s">
        <v>23</v>
      </c>
      <c r="WDR2" s="420"/>
      <c r="WDS2" s="420"/>
      <c r="WDT2" s="420"/>
      <c r="WDU2" s="419" t="s">
        <v>23</v>
      </c>
      <c r="WDV2" s="420"/>
      <c r="WDW2" s="420"/>
      <c r="WDX2" s="420"/>
      <c r="WDY2" s="419" t="s">
        <v>23</v>
      </c>
      <c r="WDZ2" s="420"/>
      <c r="WEA2" s="420"/>
      <c r="WEB2" s="420"/>
      <c r="WEC2" s="419" t="s">
        <v>23</v>
      </c>
      <c r="WED2" s="420"/>
      <c r="WEE2" s="420"/>
      <c r="WEF2" s="420"/>
      <c r="WEG2" s="419" t="s">
        <v>23</v>
      </c>
      <c r="WEH2" s="420"/>
      <c r="WEI2" s="420"/>
      <c r="WEJ2" s="420"/>
      <c r="WEK2" s="419" t="s">
        <v>23</v>
      </c>
      <c r="WEL2" s="420"/>
      <c r="WEM2" s="420"/>
      <c r="WEN2" s="420"/>
      <c r="WEO2" s="419" t="s">
        <v>23</v>
      </c>
      <c r="WEP2" s="420"/>
      <c r="WEQ2" s="420"/>
      <c r="WER2" s="420"/>
      <c r="WES2" s="419" t="s">
        <v>23</v>
      </c>
      <c r="WET2" s="420"/>
      <c r="WEU2" s="420"/>
      <c r="WEV2" s="420"/>
      <c r="WEW2" s="419" t="s">
        <v>23</v>
      </c>
      <c r="WEX2" s="420"/>
      <c r="WEY2" s="420"/>
      <c r="WEZ2" s="420"/>
      <c r="WFA2" s="419" t="s">
        <v>23</v>
      </c>
      <c r="WFB2" s="420"/>
      <c r="WFC2" s="420"/>
      <c r="WFD2" s="420"/>
      <c r="WFE2" s="419" t="s">
        <v>23</v>
      </c>
      <c r="WFF2" s="420"/>
      <c r="WFG2" s="420"/>
      <c r="WFH2" s="420"/>
      <c r="WFI2" s="419" t="s">
        <v>23</v>
      </c>
      <c r="WFJ2" s="420"/>
      <c r="WFK2" s="420"/>
      <c r="WFL2" s="420"/>
      <c r="WFM2" s="419" t="s">
        <v>23</v>
      </c>
      <c r="WFN2" s="420"/>
      <c r="WFO2" s="420"/>
      <c r="WFP2" s="420"/>
      <c r="WFQ2" s="419" t="s">
        <v>23</v>
      </c>
      <c r="WFR2" s="420"/>
      <c r="WFS2" s="420"/>
      <c r="WFT2" s="420"/>
      <c r="WFU2" s="419" t="s">
        <v>23</v>
      </c>
      <c r="WFV2" s="420"/>
      <c r="WFW2" s="420"/>
      <c r="WFX2" s="420"/>
      <c r="WFY2" s="419" t="s">
        <v>23</v>
      </c>
      <c r="WFZ2" s="420"/>
      <c r="WGA2" s="420"/>
      <c r="WGB2" s="420"/>
      <c r="WGC2" s="419" t="s">
        <v>23</v>
      </c>
      <c r="WGD2" s="420"/>
      <c r="WGE2" s="420"/>
      <c r="WGF2" s="420"/>
      <c r="WGG2" s="419" t="s">
        <v>23</v>
      </c>
      <c r="WGH2" s="420"/>
      <c r="WGI2" s="420"/>
      <c r="WGJ2" s="420"/>
      <c r="WGK2" s="419" t="s">
        <v>23</v>
      </c>
      <c r="WGL2" s="420"/>
      <c r="WGM2" s="420"/>
      <c r="WGN2" s="420"/>
      <c r="WGO2" s="419" t="s">
        <v>23</v>
      </c>
      <c r="WGP2" s="420"/>
      <c r="WGQ2" s="420"/>
      <c r="WGR2" s="420"/>
      <c r="WGS2" s="419" t="s">
        <v>23</v>
      </c>
      <c r="WGT2" s="420"/>
      <c r="WGU2" s="420"/>
      <c r="WGV2" s="420"/>
      <c r="WGW2" s="419" t="s">
        <v>23</v>
      </c>
      <c r="WGX2" s="420"/>
      <c r="WGY2" s="420"/>
      <c r="WGZ2" s="420"/>
      <c r="WHA2" s="419" t="s">
        <v>23</v>
      </c>
      <c r="WHB2" s="420"/>
      <c r="WHC2" s="420"/>
      <c r="WHD2" s="420"/>
      <c r="WHE2" s="419" t="s">
        <v>23</v>
      </c>
      <c r="WHF2" s="420"/>
      <c r="WHG2" s="420"/>
      <c r="WHH2" s="420"/>
      <c r="WHI2" s="419" t="s">
        <v>23</v>
      </c>
      <c r="WHJ2" s="420"/>
      <c r="WHK2" s="420"/>
      <c r="WHL2" s="420"/>
      <c r="WHM2" s="419" t="s">
        <v>23</v>
      </c>
      <c r="WHN2" s="420"/>
      <c r="WHO2" s="420"/>
      <c r="WHP2" s="420"/>
      <c r="WHQ2" s="419" t="s">
        <v>23</v>
      </c>
      <c r="WHR2" s="420"/>
      <c r="WHS2" s="420"/>
      <c r="WHT2" s="420"/>
      <c r="WHU2" s="419" t="s">
        <v>23</v>
      </c>
      <c r="WHV2" s="420"/>
      <c r="WHW2" s="420"/>
      <c r="WHX2" s="420"/>
      <c r="WHY2" s="419" t="s">
        <v>23</v>
      </c>
      <c r="WHZ2" s="420"/>
      <c r="WIA2" s="420"/>
      <c r="WIB2" s="420"/>
      <c r="WIC2" s="419" t="s">
        <v>23</v>
      </c>
      <c r="WID2" s="420"/>
      <c r="WIE2" s="420"/>
      <c r="WIF2" s="420"/>
      <c r="WIG2" s="419" t="s">
        <v>23</v>
      </c>
      <c r="WIH2" s="420"/>
      <c r="WII2" s="420"/>
      <c r="WIJ2" s="420"/>
      <c r="WIK2" s="419" t="s">
        <v>23</v>
      </c>
      <c r="WIL2" s="420"/>
      <c r="WIM2" s="420"/>
      <c r="WIN2" s="420"/>
      <c r="WIO2" s="419" t="s">
        <v>23</v>
      </c>
      <c r="WIP2" s="420"/>
      <c r="WIQ2" s="420"/>
      <c r="WIR2" s="420"/>
      <c r="WIS2" s="419" t="s">
        <v>23</v>
      </c>
      <c r="WIT2" s="420"/>
      <c r="WIU2" s="420"/>
      <c r="WIV2" s="420"/>
      <c r="WIW2" s="419" t="s">
        <v>23</v>
      </c>
      <c r="WIX2" s="420"/>
      <c r="WIY2" s="420"/>
      <c r="WIZ2" s="420"/>
      <c r="WJA2" s="419" t="s">
        <v>23</v>
      </c>
      <c r="WJB2" s="420"/>
      <c r="WJC2" s="420"/>
      <c r="WJD2" s="420"/>
      <c r="WJE2" s="419" t="s">
        <v>23</v>
      </c>
      <c r="WJF2" s="420"/>
      <c r="WJG2" s="420"/>
      <c r="WJH2" s="420"/>
      <c r="WJI2" s="419" t="s">
        <v>23</v>
      </c>
      <c r="WJJ2" s="420"/>
      <c r="WJK2" s="420"/>
      <c r="WJL2" s="420"/>
      <c r="WJM2" s="419" t="s">
        <v>23</v>
      </c>
      <c r="WJN2" s="420"/>
      <c r="WJO2" s="420"/>
      <c r="WJP2" s="420"/>
      <c r="WJQ2" s="419" t="s">
        <v>23</v>
      </c>
      <c r="WJR2" s="420"/>
      <c r="WJS2" s="420"/>
      <c r="WJT2" s="420"/>
      <c r="WJU2" s="419" t="s">
        <v>23</v>
      </c>
      <c r="WJV2" s="420"/>
      <c r="WJW2" s="420"/>
      <c r="WJX2" s="420"/>
      <c r="WJY2" s="419" t="s">
        <v>23</v>
      </c>
      <c r="WJZ2" s="420"/>
      <c r="WKA2" s="420"/>
      <c r="WKB2" s="420"/>
      <c r="WKC2" s="419" t="s">
        <v>23</v>
      </c>
      <c r="WKD2" s="420"/>
      <c r="WKE2" s="420"/>
      <c r="WKF2" s="420"/>
      <c r="WKG2" s="419" t="s">
        <v>23</v>
      </c>
      <c r="WKH2" s="420"/>
      <c r="WKI2" s="420"/>
      <c r="WKJ2" s="420"/>
      <c r="WKK2" s="419" t="s">
        <v>23</v>
      </c>
      <c r="WKL2" s="420"/>
      <c r="WKM2" s="420"/>
      <c r="WKN2" s="420"/>
      <c r="WKO2" s="419" t="s">
        <v>23</v>
      </c>
      <c r="WKP2" s="420"/>
      <c r="WKQ2" s="420"/>
      <c r="WKR2" s="420"/>
      <c r="WKS2" s="419" t="s">
        <v>23</v>
      </c>
      <c r="WKT2" s="420"/>
      <c r="WKU2" s="420"/>
      <c r="WKV2" s="420"/>
      <c r="WKW2" s="419" t="s">
        <v>23</v>
      </c>
      <c r="WKX2" s="420"/>
      <c r="WKY2" s="420"/>
      <c r="WKZ2" s="420"/>
      <c r="WLA2" s="419" t="s">
        <v>23</v>
      </c>
      <c r="WLB2" s="420"/>
      <c r="WLC2" s="420"/>
      <c r="WLD2" s="420"/>
      <c r="WLE2" s="419" t="s">
        <v>23</v>
      </c>
      <c r="WLF2" s="420"/>
      <c r="WLG2" s="420"/>
      <c r="WLH2" s="420"/>
      <c r="WLI2" s="419" t="s">
        <v>23</v>
      </c>
      <c r="WLJ2" s="420"/>
      <c r="WLK2" s="420"/>
      <c r="WLL2" s="420"/>
      <c r="WLM2" s="419" t="s">
        <v>23</v>
      </c>
      <c r="WLN2" s="420"/>
      <c r="WLO2" s="420"/>
      <c r="WLP2" s="420"/>
      <c r="WLQ2" s="419" t="s">
        <v>23</v>
      </c>
      <c r="WLR2" s="420"/>
      <c r="WLS2" s="420"/>
      <c r="WLT2" s="420"/>
      <c r="WLU2" s="419" t="s">
        <v>23</v>
      </c>
      <c r="WLV2" s="420"/>
      <c r="WLW2" s="420"/>
      <c r="WLX2" s="420"/>
      <c r="WLY2" s="419" t="s">
        <v>23</v>
      </c>
      <c r="WLZ2" s="420"/>
      <c r="WMA2" s="420"/>
      <c r="WMB2" s="420"/>
      <c r="WMC2" s="419" t="s">
        <v>23</v>
      </c>
      <c r="WMD2" s="420"/>
      <c r="WME2" s="420"/>
      <c r="WMF2" s="420"/>
      <c r="WMG2" s="419" t="s">
        <v>23</v>
      </c>
      <c r="WMH2" s="420"/>
      <c r="WMI2" s="420"/>
      <c r="WMJ2" s="420"/>
      <c r="WMK2" s="419" t="s">
        <v>23</v>
      </c>
      <c r="WML2" s="420"/>
      <c r="WMM2" s="420"/>
      <c r="WMN2" s="420"/>
      <c r="WMO2" s="419" t="s">
        <v>23</v>
      </c>
      <c r="WMP2" s="420"/>
      <c r="WMQ2" s="420"/>
      <c r="WMR2" s="420"/>
      <c r="WMS2" s="419" t="s">
        <v>23</v>
      </c>
      <c r="WMT2" s="420"/>
      <c r="WMU2" s="420"/>
      <c r="WMV2" s="420"/>
      <c r="WMW2" s="419" t="s">
        <v>23</v>
      </c>
      <c r="WMX2" s="420"/>
      <c r="WMY2" s="420"/>
      <c r="WMZ2" s="420"/>
      <c r="WNA2" s="419" t="s">
        <v>23</v>
      </c>
      <c r="WNB2" s="420"/>
      <c r="WNC2" s="420"/>
      <c r="WND2" s="420"/>
      <c r="WNE2" s="419" t="s">
        <v>23</v>
      </c>
      <c r="WNF2" s="420"/>
      <c r="WNG2" s="420"/>
      <c r="WNH2" s="420"/>
      <c r="WNI2" s="419" t="s">
        <v>23</v>
      </c>
      <c r="WNJ2" s="420"/>
      <c r="WNK2" s="420"/>
      <c r="WNL2" s="420"/>
      <c r="WNM2" s="419" t="s">
        <v>23</v>
      </c>
      <c r="WNN2" s="420"/>
      <c r="WNO2" s="420"/>
      <c r="WNP2" s="420"/>
      <c r="WNQ2" s="419" t="s">
        <v>23</v>
      </c>
      <c r="WNR2" s="420"/>
      <c r="WNS2" s="420"/>
      <c r="WNT2" s="420"/>
      <c r="WNU2" s="419" t="s">
        <v>23</v>
      </c>
      <c r="WNV2" s="420"/>
      <c r="WNW2" s="420"/>
      <c r="WNX2" s="420"/>
      <c r="WNY2" s="419" t="s">
        <v>23</v>
      </c>
      <c r="WNZ2" s="420"/>
      <c r="WOA2" s="420"/>
      <c r="WOB2" s="420"/>
      <c r="WOC2" s="419" t="s">
        <v>23</v>
      </c>
      <c r="WOD2" s="420"/>
      <c r="WOE2" s="420"/>
      <c r="WOF2" s="420"/>
      <c r="WOG2" s="419" t="s">
        <v>23</v>
      </c>
      <c r="WOH2" s="420"/>
      <c r="WOI2" s="420"/>
      <c r="WOJ2" s="420"/>
      <c r="WOK2" s="419" t="s">
        <v>23</v>
      </c>
      <c r="WOL2" s="420"/>
      <c r="WOM2" s="420"/>
      <c r="WON2" s="420"/>
      <c r="WOO2" s="419" t="s">
        <v>23</v>
      </c>
      <c r="WOP2" s="420"/>
      <c r="WOQ2" s="420"/>
      <c r="WOR2" s="420"/>
      <c r="WOS2" s="419" t="s">
        <v>23</v>
      </c>
      <c r="WOT2" s="420"/>
      <c r="WOU2" s="420"/>
      <c r="WOV2" s="420"/>
      <c r="WOW2" s="419" t="s">
        <v>23</v>
      </c>
      <c r="WOX2" s="420"/>
      <c r="WOY2" s="420"/>
      <c r="WOZ2" s="420"/>
      <c r="WPA2" s="419" t="s">
        <v>23</v>
      </c>
      <c r="WPB2" s="420"/>
      <c r="WPC2" s="420"/>
      <c r="WPD2" s="420"/>
      <c r="WPE2" s="419" t="s">
        <v>23</v>
      </c>
      <c r="WPF2" s="420"/>
      <c r="WPG2" s="420"/>
      <c r="WPH2" s="420"/>
      <c r="WPI2" s="419" t="s">
        <v>23</v>
      </c>
      <c r="WPJ2" s="420"/>
      <c r="WPK2" s="420"/>
      <c r="WPL2" s="420"/>
      <c r="WPM2" s="419" t="s">
        <v>23</v>
      </c>
      <c r="WPN2" s="420"/>
      <c r="WPO2" s="420"/>
      <c r="WPP2" s="420"/>
      <c r="WPQ2" s="419" t="s">
        <v>23</v>
      </c>
      <c r="WPR2" s="420"/>
      <c r="WPS2" s="420"/>
      <c r="WPT2" s="420"/>
      <c r="WPU2" s="419" t="s">
        <v>23</v>
      </c>
      <c r="WPV2" s="420"/>
      <c r="WPW2" s="420"/>
      <c r="WPX2" s="420"/>
      <c r="WPY2" s="419" t="s">
        <v>23</v>
      </c>
      <c r="WPZ2" s="420"/>
      <c r="WQA2" s="420"/>
      <c r="WQB2" s="420"/>
      <c r="WQC2" s="419" t="s">
        <v>23</v>
      </c>
      <c r="WQD2" s="420"/>
      <c r="WQE2" s="420"/>
      <c r="WQF2" s="420"/>
      <c r="WQG2" s="419" t="s">
        <v>23</v>
      </c>
      <c r="WQH2" s="420"/>
      <c r="WQI2" s="420"/>
      <c r="WQJ2" s="420"/>
      <c r="WQK2" s="419" t="s">
        <v>23</v>
      </c>
      <c r="WQL2" s="420"/>
      <c r="WQM2" s="420"/>
      <c r="WQN2" s="420"/>
      <c r="WQO2" s="419" t="s">
        <v>23</v>
      </c>
      <c r="WQP2" s="420"/>
      <c r="WQQ2" s="420"/>
      <c r="WQR2" s="420"/>
      <c r="WQS2" s="419" t="s">
        <v>23</v>
      </c>
      <c r="WQT2" s="420"/>
      <c r="WQU2" s="420"/>
      <c r="WQV2" s="420"/>
      <c r="WQW2" s="419" t="s">
        <v>23</v>
      </c>
      <c r="WQX2" s="420"/>
      <c r="WQY2" s="420"/>
      <c r="WQZ2" s="420"/>
      <c r="WRA2" s="419" t="s">
        <v>23</v>
      </c>
      <c r="WRB2" s="420"/>
      <c r="WRC2" s="420"/>
      <c r="WRD2" s="420"/>
      <c r="WRE2" s="419" t="s">
        <v>23</v>
      </c>
      <c r="WRF2" s="420"/>
      <c r="WRG2" s="420"/>
      <c r="WRH2" s="420"/>
      <c r="WRI2" s="419" t="s">
        <v>23</v>
      </c>
      <c r="WRJ2" s="420"/>
      <c r="WRK2" s="420"/>
      <c r="WRL2" s="420"/>
      <c r="WRM2" s="419" t="s">
        <v>23</v>
      </c>
      <c r="WRN2" s="420"/>
      <c r="WRO2" s="420"/>
      <c r="WRP2" s="420"/>
      <c r="WRQ2" s="419" t="s">
        <v>23</v>
      </c>
      <c r="WRR2" s="420"/>
      <c r="WRS2" s="420"/>
      <c r="WRT2" s="420"/>
      <c r="WRU2" s="419" t="s">
        <v>23</v>
      </c>
      <c r="WRV2" s="420"/>
      <c r="WRW2" s="420"/>
      <c r="WRX2" s="420"/>
      <c r="WRY2" s="419" t="s">
        <v>23</v>
      </c>
      <c r="WRZ2" s="420"/>
      <c r="WSA2" s="420"/>
      <c r="WSB2" s="420"/>
      <c r="WSC2" s="419" t="s">
        <v>23</v>
      </c>
      <c r="WSD2" s="420"/>
      <c r="WSE2" s="420"/>
      <c r="WSF2" s="420"/>
      <c r="WSG2" s="419" t="s">
        <v>23</v>
      </c>
      <c r="WSH2" s="420"/>
      <c r="WSI2" s="420"/>
      <c r="WSJ2" s="420"/>
      <c r="WSK2" s="419" t="s">
        <v>23</v>
      </c>
      <c r="WSL2" s="420"/>
      <c r="WSM2" s="420"/>
      <c r="WSN2" s="420"/>
      <c r="WSO2" s="419" t="s">
        <v>23</v>
      </c>
      <c r="WSP2" s="420"/>
      <c r="WSQ2" s="420"/>
      <c r="WSR2" s="420"/>
      <c r="WSS2" s="419" t="s">
        <v>23</v>
      </c>
      <c r="WST2" s="420"/>
      <c r="WSU2" s="420"/>
      <c r="WSV2" s="420"/>
      <c r="WSW2" s="419" t="s">
        <v>23</v>
      </c>
      <c r="WSX2" s="420"/>
      <c r="WSY2" s="420"/>
      <c r="WSZ2" s="420"/>
      <c r="WTA2" s="419" t="s">
        <v>23</v>
      </c>
      <c r="WTB2" s="420"/>
      <c r="WTC2" s="420"/>
      <c r="WTD2" s="420"/>
      <c r="WTE2" s="419" t="s">
        <v>23</v>
      </c>
      <c r="WTF2" s="420"/>
      <c r="WTG2" s="420"/>
      <c r="WTH2" s="420"/>
      <c r="WTI2" s="419" t="s">
        <v>23</v>
      </c>
      <c r="WTJ2" s="420"/>
      <c r="WTK2" s="420"/>
      <c r="WTL2" s="420"/>
      <c r="WTM2" s="419" t="s">
        <v>23</v>
      </c>
      <c r="WTN2" s="420"/>
      <c r="WTO2" s="420"/>
      <c r="WTP2" s="420"/>
      <c r="WTQ2" s="419" t="s">
        <v>23</v>
      </c>
      <c r="WTR2" s="420"/>
      <c r="WTS2" s="420"/>
      <c r="WTT2" s="420"/>
      <c r="WTU2" s="419" t="s">
        <v>23</v>
      </c>
      <c r="WTV2" s="420"/>
      <c r="WTW2" s="420"/>
      <c r="WTX2" s="420"/>
      <c r="WTY2" s="419" t="s">
        <v>23</v>
      </c>
      <c r="WTZ2" s="420"/>
      <c r="WUA2" s="420"/>
      <c r="WUB2" s="420"/>
      <c r="WUC2" s="419" t="s">
        <v>23</v>
      </c>
      <c r="WUD2" s="420"/>
      <c r="WUE2" s="420"/>
      <c r="WUF2" s="420"/>
      <c r="WUG2" s="419" t="s">
        <v>23</v>
      </c>
      <c r="WUH2" s="420"/>
      <c r="WUI2" s="420"/>
      <c r="WUJ2" s="420"/>
      <c r="WUK2" s="419" t="s">
        <v>23</v>
      </c>
      <c r="WUL2" s="420"/>
      <c r="WUM2" s="420"/>
      <c r="WUN2" s="420"/>
      <c r="WUO2" s="419" t="s">
        <v>23</v>
      </c>
      <c r="WUP2" s="420"/>
      <c r="WUQ2" s="420"/>
      <c r="WUR2" s="420"/>
      <c r="WUS2" s="419" t="s">
        <v>23</v>
      </c>
      <c r="WUT2" s="420"/>
      <c r="WUU2" s="420"/>
      <c r="WUV2" s="420"/>
      <c r="WUW2" s="419" t="s">
        <v>23</v>
      </c>
      <c r="WUX2" s="420"/>
      <c r="WUY2" s="420"/>
      <c r="WUZ2" s="420"/>
      <c r="WVA2" s="419" t="s">
        <v>23</v>
      </c>
      <c r="WVB2" s="420"/>
      <c r="WVC2" s="420"/>
      <c r="WVD2" s="420"/>
      <c r="WVE2" s="419" t="s">
        <v>23</v>
      </c>
      <c r="WVF2" s="420"/>
      <c r="WVG2" s="420"/>
      <c r="WVH2" s="420"/>
      <c r="WVI2" s="419" t="s">
        <v>23</v>
      </c>
      <c r="WVJ2" s="420"/>
      <c r="WVK2" s="420"/>
      <c r="WVL2" s="420"/>
      <c r="WVM2" s="419" t="s">
        <v>23</v>
      </c>
      <c r="WVN2" s="420"/>
      <c r="WVO2" s="420"/>
      <c r="WVP2" s="420"/>
      <c r="WVQ2" s="419" t="s">
        <v>23</v>
      </c>
      <c r="WVR2" s="420"/>
      <c r="WVS2" s="420"/>
      <c r="WVT2" s="420"/>
      <c r="WVU2" s="419" t="s">
        <v>23</v>
      </c>
      <c r="WVV2" s="420"/>
      <c r="WVW2" s="420"/>
      <c r="WVX2" s="420"/>
      <c r="WVY2" s="419" t="s">
        <v>23</v>
      </c>
      <c r="WVZ2" s="420"/>
      <c r="WWA2" s="420"/>
      <c r="WWB2" s="420"/>
      <c r="WWC2" s="419" t="s">
        <v>23</v>
      </c>
      <c r="WWD2" s="420"/>
      <c r="WWE2" s="420"/>
      <c r="WWF2" s="420"/>
      <c r="WWG2" s="419" t="s">
        <v>23</v>
      </c>
      <c r="WWH2" s="420"/>
      <c r="WWI2" s="420"/>
      <c r="WWJ2" s="420"/>
      <c r="WWK2" s="419" t="s">
        <v>23</v>
      </c>
      <c r="WWL2" s="420"/>
      <c r="WWM2" s="420"/>
      <c r="WWN2" s="420"/>
      <c r="WWO2" s="419" t="s">
        <v>23</v>
      </c>
      <c r="WWP2" s="420"/>
      <c r="WWQ2" s="420"/>
      <c r="WWR2" s="420"/>
      <c r="WWS2" s="419" t="s">
        <v>23</v>
      </c>
      <c r="WWT2" s="420"/>
      <c r="WWU2" s="420"/>
      <c r="WWV2" s="420"/>
      <c r="WWW2" s="419" t="s">
        <v>23</v>
      </c>
      <c r="WWX2" s="420"/>
      <c r="WWY2" s="420"/>
      <c r="WWZ2" s="420"/>
      <c r="WXA2" s="419" t="s">
        <v>23</v>
      </c>
      <c r="WXB2" s="420"/>
      <c r="WXC2" s="420"/>
      <c r="WXD2" s="420"/>
      <c r="WXE2" s="419" t="s">
        <v>23</v>
      </c>
      <c r="WXF2" s="420"/>
      <c r="WXG2" s="420"/>
      <c r="WXH2" s="420"/>
      <c r="WXI2" s="419" t="s">
        <v>23</v>
      </c>
      <c r="WXJ2" s="420"/>
      <c r="WXK2" s="420"/>
      <c r="WXL2" s="420"/>
      <c r="WXM2" s="419" t="s">
        <v>23</v>
      </c>
      <c r="WXN2" s="420"/>
      <c r="WXO2" s="420"/>
      <c r="WXP2" s="420"/>
      <c r="WXQ2" s="419" t="s">
        <v>23</v>
      </c>
      <c r="WXR2" s="420"/>
      <c r="WXS2" s="420"/>
      <c r="WXT2" s="420"/>
      <c r="WXU2" s="419" t="s">
        <v>23</v>
      </c>
      <c r="WXV2" s="420"/>
      <c r="WXW2" s="420"/>
      <c r="WXX2" s="420"/>
      <c r="WXY2" s="419" t="s">
        <v>23</v>
      </c>
      <c r="WXZ2" s="420"/>
      <c r="WYA2" s="420"/>
      <c r="WYB2" s="420"/>
      <c r="WYC2" s="419" t="s">
        <v>23</v>
      </c>
      <c r="WYD2" s="420"/>
      <c r="WYE2" s="420"/>
      <c r="WYF2" s="420"/>
      <c r="WYG2" s="419" t="s">
        <v>23</v>
      </c>
      <c r="WYH2" s="420"/>
      <c r="WYI2" s="420"/>
      <c r="WYJ2" s="420"/>
      <c r="WYK2" s="419" t="s">
        <v>23</v>
      </c>
      <c r="WYL2" s="420"/>
      <c r="WYM2" s="420"/>
      <c r="WYN2" s="420"/>
      <c r="WYO2" s="419" t="s">
        <v>23</v>
      </c>
      <c r="WYP2" s="420"/>
      <c r="WYQ2" s="420"/>
      <c r="WYR2" s="420"/>
      <c r="WYS2" s="419" t="s">
        <v>23</v>
      </c>
      <c r="WYT2" s="420"/>
      <c r="WYU2" s="420"/>
      <c r="WYV2" s="420"/>
      <c r="WYW2" s="419" t="s">
        <v>23</v>
      </c>
      <c r="WYX2" s="420"/>
      <c r="WYY2" s="420"/>
      <c r="WYZ2" s="420"/>
      <c r="WZA2" s="419" t="s">
        <v>23</v>
      </c>
      <c r="WZB2" s="420"/>
      <c r="WZC2" s="420"/>
      <c r="WZD2" s="420"/>
      <c r="WZE2" s="419" t="s">
        <v>23</v>
      </c>
      <c r="WZF2" s="420"/>
      <c r="WZG2" s="420"/>
      <c r="WZH2" s="420"/>
      <c r="WZI2" s="419" t="s">
        <v>23</v>
      </c>
      <c r="WZJ2" s="420"/>
      <c r="WZK2" s="420"/>
      <c r="WZL2" s="420"/>
      <c r="WZM2" s="419" t="s">
        <v>23</v>
      </c>
      <c r="WZN2" s="420"/>
      <c r="WZO2" s="420"/>
      <c r="WZP2" s="420"/>
      <c r="WZQ2" s="419" t="s">
        <v>23</v>
      </c>
      <c r="WZR2" s="420"/>
      <c r="WZS2" s="420"/>
      <c r="WZT2" s="420"/>
      <c r="WZU2" s="419" t="s">
        <v>23</v>
      </c>
      <c r="WZV2" s="420"/>
      <c r="WZW2" s="420"/>
      <c r="WZX2" s="420"/>
      <c r="WZY2" s="419" t="s">
        <v>23</v>
      </c>
      <c r="WZZ2" s="420"/>
      <c r="XAA2" s="420"/>
      <c r="XAB2" s="420"/>
      <c r="XAC2" s="419" t="s">
        <v>23</v>
      </c>
      <c r="XAD2" s="420"/>
      <c r="XAE2" s="420"/>
      <c r="XAF2" s="420"/>
      <c r="XAG2" s="419" t="s">
        <v>23</v>
      </c>
      <c r="XAH2" s="420"/>
      <c r="XAI2" s="420"/>
      <c r="XAJ2" s="420"/>
      <c r="XAK2" s="419" t="s">
        <v>23</v>
      </c>
      <c r="XAL2" s="420"/>
      <c r="XAM2" s="420"/>
      <c r="XAN2" s="420"/>
      <c r="XAO2" s="419" t="s">
        <v>23</v>
      </c>
      <c r="XAP2" s="420"/>
      <c r="XAQ2" s="420"/>
      <c r="XAR2" s="420"/>
      <c r="XAS2" s="419" t="s">
        <v>23</v>
      </c>
      <c r="XAT2" s="420"/>
      <c r="XAU2" s="420"/>
      <c r="XAV2" s="420"/>
      <c r="XAW2" s="419" t="s">
        <v>23</v>
      </c>
      <c r="XAX2" s="420"/>
      <c r="XAY2" s="420"/>
      <c r="XAZ2" s="420"/>
      <c r="XBA2" s="419" t="s">
        <v>23</v>
      </c>
      <c r="XBB2" s="420"/>
      <c r="XBC2" s="420"/>
      <c r="XBD2" s="420"/>
      <c r="XBE2" s="419" t="s">
        <v>23</v>
      </c>
      <c r="XBF2" s="420"/>
      <c r="XBG2" s="420"/>
      <c r="XBH2" s="420"/>
      <c r="XBI2" s="419" t="s">
        <v>23</v>
      </c>
      <c r="XBJ2" s="420"/>
      <c r="XBK2" s="420"/>
      <c r="XBL2" s="420"/>
      <c r="XBM2" s="419" t="s">
        <v>23</v>
      </c>
      <c r="XBN2" s="420"/>
      <c r="XBO2" s="420"/>
      <c r="XBP2" s="420"/>
      <c r="XBQ2" s="419" t="s">
        <v>23</v>
      </c>
      <c r="XBR2" s="420"/>
      <c r="XBS2" s="420"/>
      <c r="XBT2" s="420"/>
      <c r="XBU2" s="419" t="s">
        <v>23</v>
      </c>
      <c r="XBV2" s="420"/>
      <c r="XBW2" s="420"/>
      <c r="XBX2" s="420"/>
      <c r="XBY2" s="419" t="s">
        <v>23</v>
      </c>
      <c r="XBZ2" s="420"/>
      <c r="XCA2" s="420"/>
      <c r="XCB2" s="420"/>
      <c r="XCC2" s="419" t="s">
        <v>23</v>
      </c>
      <c r="XCD2" s="420"/>
      <c r="XCE2" s="420"/>
      <c r="XCF2" s="420"/>
      <c r="XCG2" s="419" t="s">
        <v>23</v>
      </c>
      <c r="XCH2" s="420"/>
      <c r="XCI2" s="420"/>
      <c r="XCJ2" s="420"/>
      <c r="XCK2" s="419" t="s">
        <v>23</v>
      </c>
      <c r="XCL2" s="420"/>
      <c r="XCM2" s="420"/>
      <c r="XCN2" s="420"/>
      <c r="XCO2" s="419" t="s">
        <v>23</v>
      </c>
      <c r="XCP2" s="420"/>
      <c r="XCQ2" s="420"/>
      <c r="XCR2" s="420"/>
      <c r="XCS2" s="419" t="s">
        <v>23</v>
      </c>
      <c r="XCT2" s="420"/>
      <c r="XCU2" s="420"/>
      <c r="XCV2" s="420"/>
      <c r="XCW2" s="419" t="s">
        <v>23</v>
      </c>
      <c r="XCX2" s="420"/>
      <c r="XCY2" s="420"/>
      <c r="XCZ2" s="420"/>
      <c r="XDA2" s="419" t="s">
        <v>23</v>
      </c>
      <c r="XDB2" s="420"/>
      <c r="XDC2" s="420"/>
      <c r="XDD2" s="420"/>
      <c r="XDE2" s="419" t="s">
        <v>23</v>
      </c>
      <c r="XDF2" s="420"/>
      <c r="XDG2" s="420"/>
      <c r="XDH2" s="420"/>
      <c r="XDI2" s="419" t="s">
        <v>23</v>
      </c>
      <c r="XDJ2" s="420"/>
      <c r="XDK2" s="420"/>
      <c r="XDL2" s="420"/>
      <c r="XDM2" s="419" t="s">
        <v>23</v>
      </c>
      <c r="XDN2" s="420"/>
      <c r="XDO2" s="420"/>
      <c r="XDP2" s="420"/>
      <c r="XDQ2" s="419" t="s">
        <v>23</v>
      </c>
      <c r="XDR2" s="420"/>
      <c r="XDS2" s="420"/>
      <c r="XDT2" s="420"/>
      <c r="XDU2" s="419" t="s">
        <v>23</v>
      </c>
      <c r="XDV2" s="420"/>
      <c r="XDW2" s="420"/>
      <c r="XDX2" s="420"/>
      <c r="XDY2" s="419" t="s">
        <v>23</v>
      </c>
      <c r="XDZ2" s="420"/>
      <c r="XEA2" s="420"/>
      <c r="XEB2" s="420"/>
      <c r="XEC2" s="419" t="s">
        <v>23</v>
      </c>
      <c r="XED2" s="420"/>
      <c r="XEE2" s="420"/>
      <c r="XEF2" s="420"/>
      <c r="XEG2" s="419" t="s">
        <v>23</v>
      </c>
      <c r="XEH2" s="420"/>
      <c r="XEI2" s="420"/>
      <c r="XEJ2" s="420"/>
      <c r="XEK2" s="419" t="s">
        <v>23</v>
      </c>
      <c r="XEL2" s="420"/>
      <c r="XEM2" s="420"/>
      <c r="XEN2" s="420"/>
      <c r="XEO2" s="419" t="s">
        <v>23</v>
      </c>
      <c r="XEP2" s="420"/>
      <c r="XEQ2" s="420"/>
      <c r="XER2" s="420"/>
      <c r="XES2" s="419" t="s">
        <v>23</v>
      </c>
      <c r="XET2" s="420"/>
      <c r="XEU2" s="420"/>
      <c r="XEV2" s="420"/>
      <c r="XEW2" s="419" t="s">
        <v>23</v>
      </c>
      <c r="XEX2" s="419"/>
      <c r="XEY2" s="419"/>
      <c r="XEZ2" s="419"/>
    </row>
    <row r="3" spans="1:16380" s="12" customFormat="1" ht="8.1" customHeight="1" thickBot="1" x14ac:dyDescent="0.35">
      <c r="A3" s="27"/>
      <c r="B3" s="28"/>
      <c r="C3" s="29"/>
      <c r="D3" s="47"/>
      <c r="E3" s="31"/>
      <c r="F3" s="30"/>
      <c r="G3" s="30"/>
      <c r="H3" s="30"/>
      <c r="I3" s="31"/>
      <c r="J3" s="30"/>
      <c r="K3" s="30"/>
      <c r="L3" s="30"/>
      <c r="M3" s="31"/>
      <c r="N3" s="30"/>
      <c r="O3" s="30"/>
      <c r="P3" s="30"/>
      <c r="Q3" s="31"/>
      <c r="R3" s="30"/>
      <c r="S3" s="30"/>
      <c r="T3" s="30"/>
      <c r="U3" s="31"/>
      <c r="V3" s="30"/>
      <c r="W3" s="30"/>
      <c r="X3" s="30"/>
      <c r="Y3" s="31"/>
      <c r="Z3" s="30"/>
      <c r="AA3" s="30"/>
      <c r="AB3" s="30"/>
      <c r="AC3" s="31"/>
      <c r="AD3" s="30"/>
      <c r="AE3" s="30"/>
      <c r="AF3" s="30"/>
      <c r="AG3" s="31"/>
      <c r="AH3" s="30"/>
      <c r="AI3" s="30"/>
      <c r="AJ3" s="30"/>
      <c r="AK3" s="31"/>
      <c r="AL3" s="30"/>
      <c r="AM3" s="30"/>
      <c r="AN3" s="30"/>
      <c r="AO3" s="31"/>
      <c r="AP3" s="30"/>
      <c r="AQ3" s="30"/>
      <c r="AR3" s="30"/>
      <c r="AS3" s="31"/>
      <c r="AT3" s="30"/>
      <c r="AU3" s="30"/>
      <c r="AV3" s="30"/>
      <c r="AW3" s="31"/>
      <c r="AX3" s="30"/>
      <c r="AY3" s="30"/>
      <c r="AZ3" s="30"/>
      <c r="BA3" s="31"/>
      <c r="BB3" s="30"/>
      <c r="BC3" s="30"/>
      <c r="BD3" s="30"/>
      <c r="BE3" s="31"/>
      <c r="BF3" s="30"/>
      <c r="BG3" s="30"/>
      <c r="BH3" s="30"/>
      <c r="BI3" s="31"/>
      <c r="BJ3" s="30"/>
      <c r="BK3" s="30"/>
      <c r="BL3" s="30"/>
      <c r="BM3" s="31"/>
      <c r="BN3" s="30"/>
      <c r="BO3" s="30"/>
      <c r="BP3" s="30"/>
      <c r="BQ3" s="31"/>
      <c r="BR3" s="30"/>
      <c r="BS3" s="30"/>
      <c r="BT3" s="30"/>
      <c r="BU3" s="31"/>
      <c r="BV3" s="30"/>
      <c r="BW3" s="30"/>
      <c r="BX3" s="30"/>
      <c r="BY3" s="31"/>
      <c r="BZ3" s="30"/>
      <c r="CA3" s="30"/>
      <c r="CB3" s="30"/>
      <c r="CC3" s="31"/>
      <c r="CD3" s="30"/>
      <c r="CE3" s="30"/>
      <c r="CF3" s="30"/>
      <c r="CG3" s="31"/>
      <c r="CH3" s="30"/>
      <c r="CI3" s="30"/>
      <c r="CJ3" s="30"/>
      <c r="CK3" s="31"/>
      <c r="CL3" s="30"/>
      <c r="CM3" s="30"/>
      <c r="CN3" s="30"/>
      <c r="CO3" s="31"/>
      <c r="CP3" s="30"/>
      <c r="CQ3" s="30"/>
      <c r="CR3" s="30"/>
      <c r="CS3" s="31"/>
      <c r="CT3" s="30"/>
      <c r="CU3" s="30"/>
      <c r="CV3" s="30"/>
      <c r="CW3" s="31"/>
      <c r="CX3" s="30"/>
      <c r="CY3" s="30"/>
      <c r="CZ3" s="30"/>
      <c r="DA3" s="31"/>
      <c r="DB3" s="30"/>
      <c r="DC3" s="30"/>
      <c r="DD3" s="30"/>
      <c r="DE3" s="31"/>
      <c r="DF3" s="30"/>
      <c r="DG3" s="30"/>
      <c r="DH3" s="30"/>
      <c r="DI3" s="31"/>
      <c r="DJ3" s="30"/>
      <c r="DK3" s="30"/>
      <c r="DL3" s="30"/>
      <c r="DM3" s="31"/>
      <c r="DN3" s="30"/>
      <c r="DO3" s="30"/>
      <c r="DP3" s="30"/>
      <c r="DQ3" s="31"/>
      <c r="DR3" s="30"/>
      <c r="DS3" s="30"/>
      <c r="DT3" s="30"/>
      <c r="DU3" s="31"/>
      <c r="DV3" s="30"/>
      <c r="DW3" s="30"/>
      <c r="DX3" s="30"/>
      <c r="DY3" s="31"/>
      <c r="DZ3" s="30"/>
      <c r="EA3" s="30"/>
      <c r="EB3" s="30"/>
      <c r="EC3" s="31"/>
      <c r="ED3" s="30"/>
      <c r="EE3" s="30"/>
      <c r="EF3" s="30"/>
      <c r="EG3" s="31"/>
      <c r="EH3" s="30"/>
      <c r="EI3" s="30"/>
      <c r="EJ3" s="30"/>
      <c r="EK3" s="31"/>
      <c r="EL3" s="30"/>
      <c r="EM3" s="30"/>
      <c r="EN3" s="30"/>
      <c r="EO3" s="31"/>
      <c r="EP3" s="30"/>
      <c r="EQ3" s="30"/>
      <c r="ER3" s="30"/>
      <c r="ES3" s="31"/>
      <c r="ET3" s="30"/>
      <c r="EU3" s="30"/>
      <c r="EV3" s="30"/>
      <c r="EW3" s="31"/>
      <c r="EX3" s="30"/>
      <c r="EY3" s="30"/>
      <c r="EZ3" s="30"/>
      <c r="FA3" s="31"/>
      <c r="FB3" s="30"/>
      <c r="FC3" s="30"/>
      <c r="FD3" s="30"/>
      <c r="FE3" s="31"/>
      <c r="FF3" s="30"/>
      <c r="FG3" s="30"/>
      <c r="FH3" s="30"/>
      <c r="FI3" s="31"/>
      <c r="FJ3" s="30"/>
      <c r="FK3" s="30"/>
      <c r="FL3" s="30"/>
      <c r="FM3" s="31"/>
      <c r="FN3" s="30"/>
      <c r="FO3" s="30"/>
      <c r="FP3" s="30"/>
      <c r="FQ3" s="31"/>
      <c r="FR3" s="30"/>
      <c r="FS3" s="30"/>
      <c r="FT3" s="30"/>
      <c r="FU3" s="31"/>
      <c r="FV3" s="30"/>
      <c r="FW3" s="30"/>
      <c r="FX3" s="30"/>
      <c r="FY3" s="31"/>
      <c r="FZ3" s="30"/>
      <c r="GA3" s="30"/>
      <c r="GB3" s="30"/>
      <c r="GC3" s="31"/>
      <c r="GD3" s="30"/>
      <c r="GE3" s="30"/>
      <c r="GF3" s="30"/>
      <c r="GG3" s="31"/>
      <c r="GH3" s="30"/>
      <c r="GI3" s="30"/>
      <c r="GJ3" s="30"/>
      <c r="GK3" s="31"/>
      <c r="GL3" s="30"/>
      <c r="GM3" s="30"/>
      <c r="GN3" s="30"/>
      <c r="GO3" s="31"/>
      <c r="GP3" s="30"/>
      <c r="GQ3" s="30"/>
      <c r="GR3" s="30"/>
      <c r="GS3" s="31"/>
      <c r="GT3" s="30"/>
      <c r="GU3" s="30"/>
      <c r="GV3" s="30"/>
      <c r="GW3" s="31"/>
      <c r="GX3" s="30"/>
      <c r="GY3" s="30"/>
      <c r="GZ3" s="30"/>
      <c r="HA3" s="31"/>
      <c r="HB3" s="30"/>
      <c r="HC3" s="30"/>
      <c r="HD3" s="30"/>
      <c r="HE3" s="31"/>
      <c r="HF3" s="30"/>
      <c r="HG3" s="30"/>
      <c r="HH3" s="30"/>
      <c r="HI3" s="31"/>
      <c r="HJ3" s="30"/>
      <c r="HK3" s="30"/>
      <c r="HL3" s="30"/>
      <c r="HM3" s="31"/>
      <c r="HN3" s="30"/>
      <c r="HO3" s="30"/>
      <c r="HP3" s="30"/>
      <c r="HQ3" s="31"/>
      <c r="HR3" s="30"/>
      <c r="HS3" s="30"/>
      <c r="HT3" s="30"/>
      <c r="HU3" s="31"/>
      <c r="HV3" s="30"/>
      <c r="HW3" s="30"/>
      <c r="HX3" s="30"/>
      <c r="HY3" s="31"/>
      <c r="HZ3" s="30"/>
      <c r="IA3" s="30"/>
      <c r="IB3" s="30"/>
      <c r="IC3" s="31"/>
      <c r="ID3" s="30"/>
      <c r="IE3" s="30"/>
      <c r="IF3" s="30"/>
      <c r="IG3" s="31"/>
      <c r="IH3" s="30"/>
      <c r="II3" s="30"/>
      <c r="IJ3" s="30"/>
      <c r="IK3" s="31"/>
      <c r="IL3" s="30"/>
      <c r="IM3" s="30"/>
      <c r="IN3" s="30"/>
      <c r="IO3" s="31"/>
      <c r="IP3" s="30"/>
      <c r="IQ3" s="30"/>
      <c r="IR3" s="30"/>
      <c r="IS3" s="31"/>
      <c r="IT3" s="30"/>
      <c r="IU3" s="30"/>
      <c r="IV3" s="30"/>
      <c r="IW3" s="31"/>
      <c r="IX3" s="30"/>
      <c r="IY3" s="30"/>
      <c r="IZ3" s="30"/>
      <c r="JA3" s="31"/>
      <c r="JB3" s="30"/>
      <c r="JC3" s="30"/>
      <c r="JD3" s="30"/>
      <c r="JE3" s="31"/>
      <c r="JF3" s="30"/>
      <c r="JG3" s="30"/>
      <c r="JH3" s="30"/>
      <c r="JI3" s="31"/>
      <c r="JJ3" s="30"/>
      <c r="JK3" s="30"/>
      <c r="JL3" s="30"/>
      <c r="JM3" s="31"/>
      <c r="JN3" s="30"/>
      <c r="JO3" s="30"/>
      <c r="JP3" s="30"/>
      <c r="JQ3" s="31"/>
      <c r="JR3" s="30"/>
      <c r="JS3" s="30"/>
      <c r="JT3" s="30"/>
      <c r="JU3" s="31"/>
      <c r="JV3" s="30"/>
      <c r="JW3" s="30"/>
      <c r="JX3" s="30"/>
      <c r="JY3" s="31"/>
      <c r="JZ3" s="30"/>
      <c r="KA3" s="30"/>
      <c r="KB3" s="30"/>
      <c r="KC3" s="31"/>
      <c r="KD3" s="30"/>
      <c r="KE3" s="30"/>
      <c r="KF3" s="30"/>
      <c r="KG3" s="31"/>
      <c r="KH3" s="30"/>
      <c r="KI3" s="30"/>
      <c r="KJ3" s="30"/>
      <c r="KK3" s="31"/>
      <c r="KL3" s="30"/>
      <c r="KM3" s="30"/>
      <c r="KN3" s="30"/>
      <c r="KO3" s="31"/>
      <c r="KP3" s="30"/>
      <c r="KQ3" s="30"/>
      <c r="KR3" s="30"/>
      <c r="KS3" s="31"/>
      <c r="KT3" s="30"/>
      <c r="KU3" s="30"/>
      <c r="KV3" s="30"/>
      <c r="KW3" s="31"/>
      <c r="KX3" s="30"/>
      <c r="KY3" s="30"/>
      <c r="KZ3" s="30"/>
      <c r="LA3" s="31"/>
      <c r="LB3" s="30"/>
      <c r="LC3" s="30"/>
      <c r="LD3" s="30"/>
      <c r="LE3" s="31"/>
      <c r="LF3" s="30"/>
      <c r="LG3" s="30"/>
      <c r="LH3" s="30"/>
      <c r="LI3" s="31"/>
      <c r="LJ3" s="30"/>
      <c r="LK3" s="30"/>
      <c r="LL3" s="30"/>
      <c r="LM3" s="31"/>
      <c r="LN3" s="30"/>
      <c r="LO3" s="30"/>
      <c r="LP3" s="30"/>
      <c r="LQ3" s="31"/>
      <c r="LR3" s="30"/>
      <c r="LS3" s="30"/>
      <c r="LT3" s="30"/>
      <c r="LU3" s="31"/>
      <c r="LV3" s="30"/>
      <c r="LW3" s="30"/>
      <c r="LX3" s="30"/>
      <c r="LY3" s="31"/>
      <c r="LZ3" s="30"/>
      <c r="MA3" s="30"/>
      <c r="MB3" s="30"/>
      <c r="MC3" s="31"/>
      <c r="MD3" s="30"/>
      <c r="ME3" s="30"/>
      <c r="MF3" s="30"/>
      <c r="MG3" s="31"/>
      <c r="MH3" s="30"/>
      <c r="MI3" s="30"/>
      <c r="MJ3" s="30"/>
      <c r="MK3" s="31"/>
      <c r="ML3" s="30"/>
      <c r="MM3" s="30"/>
      <c r="MN3" s="30"/>
      <c r="MO3" s="31"/>
      <c r="MP3" s="30"/>
      <c r="MQ3" s="30"/>
      <c r="MR3" s="30"/>
      <c r="MS3" s="31"/>
      <c r="MT3" s="30"/>
      <c r="MU3" s="30"/>
      <c r="MV3" s="30"/>
      <c r="MW3" s="31"/>
      <c r="MX3" s="30"/>
      <c r="MY3" s="30"/>
      <c r="MZ3" s="30"/>
      <c r="NA3" s="31"/>
      <c r="NB3" s="30"/>
      <c r="NC3" s="30"/>
      <c r="ND3" s="30"/>
      <c r="NE3" s="31"/>
      <c r="NF3" s="30"/>
      <c r="NG3" s="30"/>
      <c r="NH3" s="30"/>
      <c r="NI3" s="31"/>
      <c r="NJ3" s="30"/>
      <c r="NK3" s="30"/>
      <c r="NL3" s="30"/>
      <c r="NM3" s="31"/>
      <c r="NN3" s="30"/>
      <c r="NO3" s="30"/>
      <c r="NP3" s="30"/>
      <c r="NQ3" s="31"/>
      <c r="NR3" s="30"/>
      <c r="NS3" s="30"/>
      <c r="NT3" s="30"/>
      <c r="NU3" s="31"/>
      <c r="NV3" s="30"/>
      <c r="NW3" s="30"/>
      <c r="NX3" s="30"/>
      <c r="NY3" s="31"/>
      <c r="NZ3" s="30"/>
      <c r="OA3" s="30"/>
      <c r="OB3" s="30"/>
      <c r="OC3" s="31"/>
      <c r="OD3" s="30"/>
      <c r="OE3" s="30"/>
      <c r="OF3" s="30"/>
      <c r="OG3" s="31"/>
      <c r="OH3" s="30"/>
      <c r="OI3" s="30"/>
      <c r="OJ3" s="30"/>
      <c r="OK3" s="31"/>
      <c r="OL3" s="30"/>
      <c r="OM3" s="30"/>
      <c r="ON3" s="30"/>
      <c r="OO3" s="31"/>
      <c r="OP3" s="30"/>
      <c r="OQ3" s="30"/>
      <c r="OR3" s="30"/>
      <c r="OS3" s="31"/>
      <c r="OT3" s="30"/>
      <c r="OU3" s="30"/>
      <c r="OV3" s="30"/>
      <c r="OW3" s="31"/>
      <c r="OX3" s="30"/>
      <c r="OY3" s="30"/>
      <c r="OZ3" s="30"/>
      <c r="PA3" s="31"/>
      <c r="PB3" s="30"/>
      <c r="PC3" s="30"/>
      <c r="PD3" s="30"/>
      <c r="PE3" s="31"/>
      <c r="PF3" s="30"/>
      <c r="PG3" s="30"/>
      <c r="PH3" s="30"/>
      <c r="PI3" s="31"/>
      <c r="PJ3" s="30"/>
      <c r="PK3" s="30"/>
      <c r="PL3" s="30"/>
      <c r="PM3" s="31"/>
      <c r="PN3" s="30"/>
      <c r="PO3" s="30"/>
      <c r="PP3" s="30"/>
      <c r="PQ3" s="31"/>
      <c r="PR3" s="30"/>
      <c r="PS3" s="30"/>
      <c r="PT3" s="30"/>
      <c r="PU3" s="31"/>
      <c r="PV3" s="30"/>
      <c r="PW3" s="30"/>
      <c r="PX3" s="30"/>
      <c r="PY3" s="31"/>
      <c r="PZ3" s="30"/>
      <c r="QA3" s="30"/>
      <c r="QB3" s="30"/>
      <c r="QC3" s="31"/>
      <c r="QD3" s="30"/>
      <c r="QE3" s="30"/>
      <c r="QF3" s="30"/>
      <c r="QG3" s="31"/>
      <c r="QH3" s="30"/>
      <c r="QI3" s="30"/>
      <c r="QJ3" s="30"/>
      <c r="QK3" s="31"/>
      <c r="QL3" s="30"/>
      <c r="QM3" s="30"/>
      <c r="QN3" s="30"/>
      <c r="QO3" s="31"/>
      <c r="QP3" s="30"/>
      <c r="QQ3" s="30"/>
      <c r="QR3" s="30"/>
      <c r="QS3" s="31"/>
      <c r="QT3" s="30"/>
      <c r="QU3" s="30"/>
      <c r="QV3" s="30"/>
      <c r="QW3" s="31"/>
      <c r="QX3" s="30"/>
      <c r="QY3" s="30"/>
      <c r="QZ3" s="30"/>
      <c r="RA3" s="31"/>
      <c r="RB3" s="30"/>
      <c r="RC3" s="30"/>
      <c r="RD3" s="30"/>
      <c r="RE3" s="31"/>
      <c r="RF3" s="30"/>
      <c r="RG3" s="30"/>
      <c r="RH3" s="30"/>
      <c r="RI3" s="31"/>
      <c r="RJ3" s="30"/>
      <c r="RK3" s="30"/>
      <c r="RL3" s="30"/>
      <c r="RM3" s="31"/>
      <c r="RN3" s="30"/>
      <c r="RO3" s="30"/>
      <c r="RP3" s="30"/>
      <c r="RQ3" s="31"/>
      <c r="RR3" s="30"/>
      <c r="RS3" s="30"/>
      <c r="RT3" s="30"/>
      <c r="RU3" s="31"/>
      <c r="RV3" s="30"/>
      <c r="RW3" s="30"/>
      <c r="RX3" s="30"/>
      <c r="RY3" s="31"/>
      <c r="RZ3" s="30"/>
      <c r="SA3" s="30"/>
      <c r="SB3" s="30"/>
      <c r="SC3" s="31"/>
      <c r="SD3" s="30"/>
      <c r="SE3" s="30"/>
      <c r="SF3" s="30"/>
      <c r="SG3" s="31"/>
      <c r="SH3" s="30"/>
      <c r="SI3" s="30"/>
      <c r="SJ3" s="30"/>
      <c r="SK3" s="31"/>
      <c r="SL3" s="30"/>
      <c r="SM3" s="30"/>
      <c r="SN3" s="30"/>
      <c r="SO3" s="31"/>
      <c r="SP3" s="30"/>
      <c r="SQ3" s="30"/>
      <c r="SR3" s="30"/>
      <c r="SS3" s="31"/>
      <c r="ST3" s="30"/>
      <c r="SU3" s="30"/>
      <c r="SV3" s="30"/>
      <c r="SW3" s="31"/>
      <c r="SX3" s="30"/>
      <c r="SY3" s="30"/>
      <c r="SZ3" s="30"/>
      <c r="TA3" s="31"/>
      <c r="TB3" s="30"/>
      <c r="TC3" s="30"/>
      <c r="TD3" s="30"/>
      <c r="TE3" s="31"/>
      <c r="TF3" s="30"/>
      <c r="TG3" s="30"/>
      <c r="TH3" s="30"/>
      <c r="TI3" s="31"/>
      <c r="TJ3" s="30"/>
      <c r="TK3" s="30"/>
      <c r="TL3" s="30"/>
      <c r="TM3" s="31"/>
      <c r="TN3" s="30"/>
      <c r="TO3" s="30"/>
      <c r="TP3" s="30"/>
      <c r="TQ3" s="31"/>
      <c r="TR3" s="30"/>
      <c r="TS3" s="30"/>
      <c r="TT3" s="30"/>
      <c r="TU3" s="31"/>
      <c r="TV3" s="30"/>
      <c r="TW3" s="30"/>
      <c r="TX3" s="30"/>
      <c r="TY3" s="31"/>
      <c r="TZ3" s="30"/>
      <c r="UA3" s="30"/>
      <c r="UB3" s="30"/>
      <c r="UC3" s="31"/>
      <c r="UD3" s="30"/>
      <c r="UE3" s="30"/>
      <c r="UF3" s="30"/>
      <c r="UG3" s="31"/>
      <c r="UH3" s="30"/>
      <c r="UI3" s="30"/>
      <c r="UJ3" s="30"/>
      <c r="UK3" s="31"/>
      <c r="UL3" s="30"/>
      <c r="UM3" s="30"/>
      <c r="UN3" s="30"/>
      <c r="UO3" s="31"/>
      <c r="UP3" s="30"/>
      <c r="UQ3" s="30"/>
      <c r="UR3" s="30"/>
      <c r="US3" s="31"/>
      <c r="UT3" s="30"/>
      <c r="UU3" s="30"/>
      <c r="UV3" s="30"/>
      <c r="UW3" s="31"/>
      <c r="UX3" s="30"/>
      <c r="UY3" s="30"/>
      <c r="UZ3" s="30"/>
      <c r="VA3" s="31"/>
      <c r="VB3" s="30"/>
      <c r="VC3" s="30"/>
      <c r="VD3" s="30"/>
      <c r="VE3" s="31"/>
      <c r="VF3" s="30"/>
      <c r="VG3" s="30"/>
      <c r="VH3" s="30"/>
      <c r="VI3" s="31"/>
      <c r="VJ3" s="30"/>
      <c r="VK3" s="30"/>
      <c r="VL3" s="30"/>
      <c r="VM3" s="31"/>
      <c r="VN3" s="30"/>
      <c r="VO3" s="30"/>
      <c r="VP3" s="30"/>
      <c r="VQ3" s="31"/>
      <c r="VR3" s="30"/>
      <c r="VS3" s="30"/>
      <c r="VT3" s="30"/>
      <c r="VU3" s="31"/>
      <c r="VV3" s="30"/>
      <c r="VW3" s="30"/>
      <c r="VX3" s="30"/>
      <c r="VY3" s="31"/>
      <c r="VZ3" s="30"/>
      <c r="WA3" s="30"/>
      <c r="WB3" s="30"/>
      <c r="WC3" s="31"/>
      <c r="WD3" s="30"/>
      <c r="WE3" s="30"/>
      <c r="WF3" s="30"/>
      <c r="WG3" s="31"/>
      <c r="WH3" s="30"/>
      <c r="WI3" s="30"/>
      <c r="WJ3" s="30"/>
      <c r="WK3" s="31"/>
      <c r="WL3" s="30"/>
      <c r="WM3" s="30"/>
      <c r="WN3" s="30"/>
      <c r="WO3" s="31"/>
      <c r="WP3" s="30"/>
      <c r="WQ3" s="30"/>
      <c r="WR3" s="30"/>
      <c r="WS3" s="31"/>
      <c r="WT3" s="30"/>
      <c r="WU3" s="30"/>
      <c r="WV3" s="30"/>
      <c r="WW3" s="31"/>
      <c r="WX3" s="30"/>
      <c r="WY3" s="30"/>
      <c r="WZ3" s="30"/>
      <c r="XA3" s="31"/>
      <c r="XB3" s="30"/>
      <c r="XC3" s="30"/>
      <c r="XD3" s="30"/>
      <c r="XE3" s="31"/>
      <c r="XF3" s="30"/>
      <c r="XG3" s="30"/>
      <c r="XH3" s="30"/>
      <c r="XI3" s="31"/>
      <c r="XJ3" s="30"/>
      <c r="XK3" s="30"/>
      <c r="XL3" s="30"/>
      <c r="XM3" s="31"/>
      <c r="XN3" s="30"/>
      <c r="XO3" s="30"/>
      <c r="XP3" s="30"/>
      <c r="XQ3" s="31"/>
      <c r="XR3" s="30"/>
      <c r="XS3" s="30"/>
      <c r="XT3" s="30"/>
      <c r="XU3" s="31"/>
      <c r="XV3" s="30"/>
      <c r="XW3" s="30"/>
      <c r="XX3" s="30"/>
      <c r="XY3" s="31"/>
      <c r="XZ3" s="30"/>
      <c r="YA3" s="30"/>
      <c r="YB3" s="30"/>
      <c r="YC3" s="31"/>
      <c r="YD3" s="30"/>
      <c r="YE3" s="30"/>
      <c r="YF3" s="30"/>
      <c r="YG3" s="31"/>
      <c r="YH3" s="30"/>
      <c r="YI3" s="30"/>
      <c r="YJ3" s="30"/>
      <c r="YK3" s="31"/>
      <c r="YL3" s="30"/>
      <c r="YM3" s="30"/>
      <c r="YN3" s="30"/>
      <c r="YO3" s="31"/>
      <c r="YP3" s="30"/>
      <c r="YQ3" s="30"/>
      <c r="YR3" s="30"/>
      <c r="YS3" s="31"/>
      <c r="YT3" s="30"/>
      <c r="YU3" s="30"/>
      <c r="YV3" s="30"/>
      <c r="YW3" s="31"/>
      <c r="YX3" s="30"/>
      <c r="YY3" s="30"/>
      <c r="YZ3" s="30"/>
      <c r="ZA3" s="31"/>
      <c r="ZB3" s="30"/>
      <c r="ZC3" s="30"/>
      <c r="ZD3" s="30"/>
      <c r="ZE3" s="31"/>
      <c r="ZF3" s="30"/>
      <c r="ZG3" s="30"/>
      <c r="ZH3" s="30"/>
      <c r="ZI3" s="31"/>
      <c r="ZJ3" s="30"/>
      <c r="ZK3" s="30"/>
      <c r="ZL3" s="30"/>
      <c r="ZM3" s="31"/>
      <c r="ZN3" s="30"/>
      <c r="ZO3" s="30"/>
      <c r="ZP3" s="30"/>
      <c r="ZQ3" s="31"/>
      <c r="ZR3" s="30"/>
      <c r="ZS3" s="30"/>
      <c r="ZT3" s="30"/>
      <c r="ZU3" s="31"/>
      <c r="ZV3" s="30"/>
      <c r="ZW3" s="30"/>
      <c r="ZX3" s="30"/>
      <c r="ZY3" s="31"/>
      <c r="ZZ3" s="30"/>
      <c r="AAA3" s="30"/>
      <c r="AAB3" s="30"/>
      <c r="AAC3" s="31"/>
      <c r="AAD3" s="30"/>
      <c r="AAE3" s="30"/>
      <c r="AAF3" s="30"/>
      <c r="AAG3" s="31"/>
      <c r="AAH3" s="30"/>
      <c r="AAI3" s="30"/>
      <c r="AAJ3" s="30"/>
      <c r="AAK3" s="31"/>
      <c r="AAL3" s="30"/>
      <c r="AAM3" s="30"/>
      <c r="AAN3" s="30"/>
      <c r="AAO3" s="31"/>
      <c r="AAP3" s="30"/>
      <c r="AAQ3" s="30"/>
      <c r="AAR3" s="30"/>
      <c r="AAS3" s="31"/>
      <c r="AAT3" s="30"/>
      <c r="AAU3" s="30"/>
      <c r="AAV3" s="30"/>
      <c r="AAW3" s="31"/>
      <c r="AAX3" s="30"/>
      <c r="AAY3" s="30"/>
      <c r="AAZ3" s="30"/>
      <c r="ABA3" s="31"/>
      <c r="ABB3" s="30"/>
      <c r="ABC3" s="30"/>
      <c r="ABD3" s="30"/>
      <c r="ABE3" s="31"/>
      <c r="ABF3" s="30"/>
      <c r="ABG3" s="30"/>
      <c r="ABH3" s="30"/>
      <c r="ABI3" s="31"/>
      <c r="ABJ3" s="30"/>
      <c r="ABK3" s="30"/>
      <c r="ABL3" s="30"/>
      <c r="ABM3" s="31"/>
      <c r="ABN3" s="30"/>
      <c r="ABO3" s="30"/>
      <c r="ABP3" s="30"/>
      <c r="ABQ3" s="31"/>
      <c r="ABR3" s="30"/>
      <c r="ABS3" s="30"/>
      <c r="ABT3" s="30"/>
      <c r="ABU3" s="31"/>
      <c r="ABV3" s="30"/>
      <c r="ABW3" s="30"/>
      <c r="ABX3" s="30"/>
      <c r="ABY3" s="31"/>
      <c r="ABZ3" s="30"/>
      <c r="ACA3" s="30"/>
      <c r="ACB3" s="30"/>
      <c r="ACC3" s="31"/>
      <c r="ACD3" s="30"/>
      <c r="ACE3" s="30"/>
      <c r="ACF3" s="30"/>
      <c r="ACG3" s="31"/>
      <c r="ACH3" s="30"/>
      <c r="ACI3" s="30"/>
      <c r="ACJ3" s="30"/>
      <c r="ACK3" s="31"/>
      <c r="ACL3" s="30"/>
      <c r="ACM3" s="30"/>
      <c r="ACN3" s="30"/>
      <c r="ACO3" s="31"/>
      <c r="ACP3" s="30"/>
      <c r="ACQ3" s="30"/>
      <c r="ACR3" s="30"/>
      <c r="ACS3" s="31"/>
      <c r="ACT3" s="30"/>
      <c r="ACU3" s="30"/>
      <c r="ACV3" s="30"/>
      <c r="ACW3" s="31"/>
      <c r="ACX3" s="30"/>
      <c r="ACY3" s="30"/>
      <c r="ACZ3" s="30"/>
      <c r="ADA3" s="31"/>
      <c r="ADB3" s="30"/>
      <c r="ADC3" s="30"/>
      <c r="ADD3" s="30"/>
      <c r="ADE3" s="31"/>
      <c r="ADF3" s="30"/>
      <c r="ADG3" s="30"/>
      <c r="ADH3" s="30"/>
      <c r="ADI3" s="31"/>
      <c r="ADJ3" s="30"/>
      <c r="ADK3" s="30"/>
      <c r="ADL3" s="30"/>
      <c r="ADM3" s="31"/>
      <c r="ADN3" s="30"/>
      <c r="ADO3" s="30"/>
      <c r="ADP3" s="30"/>
      <c r="ADQ3" s="31"/>
      <c r="ADR3" s="30"/>
      <c r="ADS3" s="30"/>
      <c r="ADT3" s="30"/>
      <c r="ADU3" s="31"/>
      <c r="ADV3" s="30"/>
      <c r="ADW3" s="30"/>
      <c r="ADX3" s="30"/>
      <c r="ADY3" s="31"/>
      <c r="ADZ3" s="30"/>
      <c r="AEA3" s="30"/>
      <c r="AEB3" s="30"/>
      <c r="AEC3" s="31"/>
      <c r="AED3" s="30"/>
      <c r="AEE3" s="30"/>
      <c r="AEF3" s="30"/>
      <c r="AEG3" s="31"/>
      <c r="AEH3" s="30"/>
      <c r="AEI3" s="30"/>
      <c r="AEJ3" s="30"/>
      <c r="AEK3" s="31"/>
      <c r="AEL3" s="30"/>
      <c r="AEM3" s="30"/>
      <c r="AEN3" s="30"/>
      <c r="AEO3" s="31"/>
      <c r="AEP3" s="30"/>
      <c r="AEQ3" s="30"/>
      <c r="AER3" s="30"/>
      <c r="AES3" s="31"/>
      <c r="AET3" s="30"/>
      <c r="AEU3" s="30"/>
      <c r="AEV3" s="30"/>
      <c r="AEW3" s="31"/>
      <c r="AEX3" s="30"/>
      <c r="AEY3" s="30"/>
      <c r="AEZ3" s="30"/>
      <c r="AFA3" s="31"/>
      <c r="AFB3" s="30"/>
      <c r="AFC3" s="30"/>
      <c r="AFD3" s="30"/>
      <c r="AFE3" s="31"/>
      <c r="AFF3" s="30"/>
      <c r="AFG3" s="30"/>
      <c r="AFH3" s="30"/>
      <c r="AFI3" s="31"/>
      <c r="AFJ3" s="30"/>
      <c r="AFK3" s="30"/>
      <c r="AFL3" s="30"/>
      <c r="AFM3" s="31"/>
      <c r="AFN3" s="30"/>
      <c r="AFO3" s="30"/>
      <c r="AFP3" s="30"/>
      <c r="AFQ3" s="31"/>
      <c r="AFR3" s="30"/>
      <c r="AFS3" s="30"/>
      <c r="AFT3" s="30"/>
      <c r="AFU3" s="31"/>
      <c r="AFV3" s="30"/>
      <c r="AFW3" s="30"/>
      <c r="AFX3" s="30"/>
      <c r="AFY3" s="31"/>
      <c r="AFZ3" s="30"/>
      <c r="AGA3" s="30"/>
      <c r="AGB3" s="30"/>
      <c r="AGC3" s="31"/>
      <c r="AGD3" s="30"/>
      <c r="AGE3" s="30"/>
      <c r="AGF3" s="30"/>
      <c r="AGG3" s="31"/>
      <c r="AGH3" s="30"/>
      <c r="AGI3" s="30"/>
      <c r="AGJ3" s="30"/>
      <c r="AGK3" s="31"/>
      <c r="AGL3" s="30"/>
      <c r="AGM3" s="30"/>
      <c r="AGN3" s="30"/>
      <c r="AGO3" s="31"/>
      <c r="AGP3" s="30"/>
      <c r="AGQ3" s="30"/>
      <c r="AGR3" s="30"/>
      <c r="AGS3" s="31"/>
      <c r="AGT3" s="30"/>
      <c r="AGU3" s="30"/>
      <c r="AGV3" s="30"/>
      <c r="AGW3" s="31"/>
      <c r="AGX3" s="30"/>
      <c r="AGY3" s="30"/>
      <c r="AGZ3" s="30"/>
      <c r="AHA3" s="31"/>
      <c r="AHB3" s="30"/>
      <c r="AHC3" s="30"/>
      <c r="AHD3" s="30"/>
      <c r="AHE3" s="31"/>
      <c r="AHF3" s="30"/>
      <c r="AHG3" s="30"/>
      <c r="AHH3" s="30"/>
      <c r="AHI3" s="31"/>
      <c r="AHJ3" s="30"/>
      <c r="AHK3" s="30"/>
      <c r="AHL3" s="30"/>
      <c r="AHM3" s="31"/>
      <c r="AHN3" s="30"/>
      <c r="AHO3" s="30"/>
      <c r="AHP3" s="30"/>
      <c r="AHQ3" s="31"/>
      <c r="AHR3" s="30"/>
      <c r="AHS3" s="30"/>
      <c r="AHT3" s="30"/>
      <c r="AHU3" s="31"/>
      <c r="AHV3" s="30"/>
      <c r="AHW3" s="30"/>
      <c r="AHX3" s="30"/>
      <c r="AHY3" s="31"/>
      <c r="AHZ3" s="30"/>
      <c r="AIA3" s="30"/>
      <c r="AIB3" s="30"/>
      <c r="AIC3" s="31"/>
      <c r="AID3" s="30"/>
      <c r="AIE3" s="30"/>
      <c r="AIF3" s="30"/>
      <c r="AIG3" s="31"/>
      <c r="AIH3" s="30"/>
      <c r="AII3" s="30"/>
      <c r="AIJ3" s="30"/>
      <c r="AIK3" s="31"/>
      <c r="AIL3" s="30"/>
      <c r="AIM3" s="30"/>
      <c r="AIN3" s="30"/>
      <c r="AIO3" s="31"/>
      <c r="AIP3" s="30"/>
      <c r="AIQ3" s="30"/>
      <c r="AIR3" s="30"/>
      <c r="AIS3" s="31"/>
      <c r="AIT3" s="30"/>
      <c r="AIU3" s="30"/>
      <c r="AIV3" s="30"/>
      <c r="AIW3" s="31"/>
      <c r="AIX3" s="30"/>
      <c r="AIY3" s="30"/>
      <c r="AIZ3" s="30"/>
      <c r="AJA3" s="31"/>
      <c r="AJB3" s="30"/>
      <c r="AJC3" s="30"/>
      <c r="AJD3" s="30"/>
      <c r="AJE3" s="31"/>
      <c r="AJF3" s="30"/>
      <c r="AJG3" s="30"/>
      <c r="AJH3" s="30"/>
      <c r="AJI3" s="31"/>
      <c r="AJJ3" s="30"/>
      <c r="AJK3" s="30"/>
      <c r="AJL3" s="30"/>
      <c r="AJM3" s="31"/>
      <c r="AJN3" s="30"/>
      <c r="AJO3" s="30"/>
      <c r="AJP3" s="30"/>
      <c r="AJQ3" s="31"/>
      <c r="AJR3" s="30"/>
      <c r="AJS3" s="30"/>
      <c r="AJT3" s="30"/>
      <c r="AJU3" s="31"/>
      <c r="AJV3" s="30"/>
      <c r="AJW3" s="30"/>
      <c r="AJX3" s="30"/>
      <c r="AJY3" s="31"/>
      <c r="AJZ3" s="30"/>
      <c r="AKA3" s="30"/>
      <c r="AKB3" s="30"/>
      <c r="AKC3" s="31"/>
      <c r="AKD3" s="30"/>
      <c r="AKE3" s="30"/>
      <c r="AKF3" s="30"/>
      <c r="AKG3" s="31"/>
      <c r="AKH3" s="30"/>
      <c r="AKI3" s="30"/>
      <c r="AKJ3" s="30"/>
      <c r="AKK3" s="31"/>
      <c r="AKL3" s="30"/>
      <c r="AKM3" s="30"/>
      <c r="AKN3" s="30"/>
      <c r="AKO3" s="31"/>
      <c r="AKP3" s="30"/>
      <c r="AKQ3" s="30"/>
      <c r="AKR3" s="30"/>
      <c r="AKS3" s="31"/>
      <c r="AKT3" s="30"/>
      <c r="AKU3" s="30"/>
      <c r="AKV3" s="30"/>
      <c r="AKW3" s="31"/>
      <c r="AKX3" s="30"/>
      <c r="AKY3" s="30"/>
      <c r="AKZ3" s="30"/>
      <c r="ALA3" s="31"/>
      <c r="ALB3" s="30"/>
      <c r="ALC3" s="30"/>
      <c r="ALD3" s="30"/>
      <c r="ALE3" s="31"/>
      <c r="ALF3" s="30"/>
      <c r="ALG3" s="30"/>
      <c r="ALH3" s="30"/>
      <c r="ALI3" s="31"/>
      <c r="ALJ3" s="30"/>
      <c r="ALK3" s="30"/>
      <c r="ALL3" s="30"/>
      <c r="ALM3" s="31"/>
      <c r="ALN3" s="30"/>
      <c r="ALO3" s="30"/>
      <c r="ALP3" s="30"/>
      <c r="ALQ3" s="31"/>
      <c r="ALR3" s="30"/>
      <c r="ALS3" s="30"/>
      <c r="ALT3" s="30"/>
      <c r="ALU3" s="31"/>
      <c r="ALV3" s="30"/>
      <c r="ALW3" s="30"/>
      <c r="ALX3" s="30"/>
      <c r="ALY3" s="31"/>
      <c r="ALZ3" s="30"/>
      <c r="AMA3" s="30"/>
      <c r="AMB3" s="30"/>
      <c r="AMC3" s="31"/>
      <c r="AMD3" s="30"/>
      <c r="AME3" s="30"/>
      <c r="AMF3" s="30"/>
      <c r="AMG3" s="31"/>
      <c r="AMH3" s="30"/>
      <c r="AMI3" s="30"/>
      <c r="AMJ3" s="30"/>
      <c r="AMK3" s="31"/>
      <c r="AML3" s="30"/>
      <c r="AMM3" s="30"/>
      <c r="AMN3" s="30"/>
      <c r="AMO3" s="31"/>
      <c r="AMP3" s="30"/>
      <c r="AMQ3" s="30"/>
      <c r="AMR3" s="30"/>
      <c r="AMS3" s="31"/>
      <c r="AMT3" s="30"/>
      <c r="AMU3" s="30"/>
      <c r="AMV3" s="30"/>
      <c r="AMW3" s="31"/>
      <c r="AMX3" s="30"/>
      <c r="AMY3" s="30"/>
      <c r="AMZ3" s="30"/>
      <c r="ANA3" s="31"/>
      <c r="ANB3" s="30"/>
      <c r="ANC3" s="30"/>
      <c r="AND3" s="30"/>
      <c r="ANE3" s="31"/>
      <c r="ANF3" s="30"/>
      <c r="ANG3" s="30"/>
      <c r="ANH3" s="30"/>
      <c r="ANI3" s="31"/>
      <c r="ANJ3" s="30"/>
      <c r="ANK3" s="30"/>
      <c r="ANL3" s="30"/>
      <c r="ANM3" s="31"/>
      <c r="ANN3" s="30"/>
      <c r="ANO3" s="30"/>
      <c r="ANP3" s="30"/>
      <c r="ANQ3" s="31"/>
      <c r="ANR3" s="30"/>
      <c r="ANS3" s="30"/>
      <c r="ANT3" s="30"/>
      <c r="ANU3" s="31"/>
      <c r="ANV3" s="30"/>
      <c r="ANW3" s="30"/>
      <c r="ANX3" s="30"/>
      <c r="ANY3" s="31"/>
      <c r="ANZ3" s="30"/>
      <c r="AOA3" s="30"/>
      <c r="AOB3" s="30"/>
      <c r="AOC3" s="31"/>
      <c r="AOD3" s="30"/>
      <c r="AOE3" s="30"/>
      <c r="AOF3" s="30"/>
      <c r="AOG3" s="31"/>
      <c r="AOH3" s="30"/>
      <c r="AOI3" s="30"/>
      <c r="AOJ3" s="30"/>
      <c r="AOK3" s="31"/>
      <c r="AOL3" s="30"/>
      <c r="AOM3" s="30"/>
      <c r="AON3" s="30"/>
      <c r="AOO3" s="31"/>
      <c r="AOP3" s="30"/>
      <c r="AOQ3" s="30"/>
      <c r="AOR3" s="30"/>
      <c r="AOS3" s="31"/>
      <c r="AOT3" s="30"/>
      <c r="AOU3" s="30"/>
      <c r="AOV3" s="30"/>
      <c r="AOW3" s="31"/>
      <c r="AOX3" s="30"/>
      <c r="AOY3" s="30"/>
      <c r="AOZ3" s="30"/>
      <c r="APA3" s="31"/>
      <c r="APB3" s="30"/>
      <c r="APC3" s="30"/>
      <c r="APD3" s="30"/>
      <c r="APE3" s="31"/>
      <c r="APF3" s="30"/>
      <c r="APG3" s="30"/>
      <c r="APH3" s="30"/>
      <c r="API3" s="31"/>
      <c r="APJ3" s="30"/>
      <c r="APK3" s="30"/>
      <c r="APL3" s="30"/>
      <c r="APM3" s="31"/>
      <c r="APN3" s="30"/>
      <c r="APO3" s="30"/>
      <c r="APP3" s="30"/>
      <c r="APQ3" s="31"/>
      <c r="APR3" s="30"/>
      <c r="APS3" s="30"/>
      <c r="APT3" s="30"/>
      <c r="APU3" s="31"/>
      <c r="APV3" s="30"/>
      <c r="APW3" s="30"/>
      <c r="APX3" s="30"/>
      <c r="APY3" s="31"/>
      <c r="APZ3" s="30"/>
      <c r="AQA3" s="30"/>
      <c r="AQB3" s="30"/>
      <c r="AQC3" s="31"/>
      <c r="AQD3" s="30"/>
      <c r="AQE3" s="30"/>
      <c r="AQF3" s="30"/>
      <c r="AQG3" s="31"/>
      <c r="AQH3" s="30"/>
      <c r="AQI3" s="30"/>
      <c r="AQJ3" s="30"/>
      <c r="AQK3" s="31"/>
      <c r="AQL3" s="30"/>
      <c r="AQM3" s="30"/>
      <c r="AQN3" s="30"/>
      <c r="AQO3" s="31"/>
      <c r="AQP3" s="30"/>
      <c r="AQQ3" s="30"/>
      <c r="AQR3" s="30"/>
      <c r="AQS3" s="31"/>
      <c r="AQT3" s="30"/>
      <c r="AQU3" s="30"/>
      <c r="AQV3" s="30"/>
      <c r="AQW3" s="31"/>
      <c r="AQX3" s="30"/>
      <c r="AQY3" s="30"/>
      <c r="AQZ3" s="30"/>
      <c r="ARA3" s="31"/>
      <c r="ARB3" s="30"/>
      <c r="ARC3" s="30"/>
      <c r="ARD3" s="30"/>
      <c r="ARE3" s="31"/>
      <c r="ARF3" s="30"/>
      <c r="ARG3" s="30"/>
      <c r="ARH3" s="30"/>
      <c r="ARI3" s="31"/>
      <c r="ARJ3" s="30"/>
      <c r="ARK3" s="30"/>
      <c r="ARL3" s="30"/>
      <c r="ARM3" s="31"/>
      <c r="ARN3" s="30"/>
      <c r="ARO3" s="30"/>
      <c r="ARP3" s="30"/>
      <c r="ARQ3" s="31"/>
      <c r="ARR3" s="30"/>
      <c r="ARS3" s="30"/>
      <c r="ART3" s="30"/>
      <c r="ARU3" s="31"/>
      <c r="ARV3" s="30"/>
      <c r="ARW3" s="30"/>
      <c r="ARX3" s="30"/>
      <c r="ARY3" s="31"/>
      <c r="ARZ3" s="30"/>
      <c r="ASA3" s="30"/>
      <c r="ASB3" s="30"/>
      <c r="ASC3" s="31"/>
      <c r="ASD3" s="30"/>
      <c r="ASE3" s="30"/>
      <c r="ASF3" s="30"/>
      <c r="ASG3" s="31"/>
      <c r="ASH3" s="30"/>
      <c r="ASI3" s="30"/>
      <c r="ASJ3" s="30"/>
      <c r="ASK3" s="31"/>
      <c r="ASL3" s="30"/>
      <c r="ASM3" s="30"/>
      <c r="ASN3" s="30"/>
      <c r="ASO3" s="31"/>
      <c r="ASP3" s="30"/>
      <c r="ASQ3" s="30"/>
      <c r="ASR3" s="30"/>
      <c r="ASS3" s="31"/>
      <c r="AST3" s="30"/>
      <c r="ASU3" s="30"/>
      <c r="ASV3" s="30"/>
      <c r="ASW3" s="31"/>
      <c r="ASX3" s="30"/>
      <c r="ASY3" s="30"/>
      <c r="ASZ3" s="30"/>
      <c r="ATA3" s="31"/>
      <c r="ATB3" s="30"/>
      <c r="ATC3" s="30"/>
      <c r="ATD3" s="30"/>
      <c r="ATE3" s="31"/>
      <c r="ATF3" s="30"/>
      <c r="ATG3" s="30"/>
      <c r="ATH3" s="30"/>
      <c r="ATI3" s="31"/>
      <c r="ATJ3" s="30"/>
      <c r="ATK3" s="30"/>
      <c r="ATL3" s="30"/>
      <c r="ATM3" s="31"/>
      <c r="ATN3" s="30"/>
      <c r="ATO3" s="30"/>
      <c r="ATP3" s="30"/>
      <c r="ATQ3" s="31"/>
      <c r="ATR3" s="30"/>
      <c r="ATS3" s="30"/>
      <c r="ATT3" s="30"/>
      <c r="ATU3" s="31"/>
      <c r="ATV3" s="30"/>
      <c r="ATW3" s="30"/>
      <c r="ATX3" s="30"/>
      <c r="ATY3" s="31"/>
      <c r="ATZ3" s="30"/>
      <c r="AUA3" s="30"/>
      <c r="AUB3" s="30"/>
      <c r="AUC3" s="31"/>
      <c r="AUD3" s="30"/>
      <c r="AUE3" s="30"/>
      <c r="AUF3" s="30"/>
      <c r="AUG3" s="31"/>
      <c r="AUH3" s="30"/>
      <c r="AUI3" s="30"/>
      <c r="AUJ3" s="30"/>
      <c r="AUK3" s="31"/>
      <c r="AUL3" s="30"/>
      <c r="AUM3" s="30"/>
      <c r="AUN3" s="30"/>
      <c r="AUO3" s="31"/>
      <c r="AUP3" s="30"/>
      <c r="AUQ3" s="30"/>
      <c r="AUR3" s="30"/>
      <c r="AUS3" s="31"/>
      <c r="AUT3" s="30"/>
      <c r="AUU3" s="30"/>
      <c r="AUV3" s="30"/>
      <c r="AUW3" s="31"/>
      <c r="AUX3" s="30"/>
      <c r="AUY3" s="30"/>
      <c r="AUZ3" s="30"/>
      <c r="AVA3" s="31"/>
      <c r="AVB3" s="30"/>
      <c r="AVC3" s="30"/>
      <c r="AVD3" s="30"/>
      <c r="AVE3" s="31"/>
      <c r="AVF3" s="30"/>
      <c r="AVG3" s="30"/>
      <c r="AVH3" s="30"/>
      <c r="AVI3" s="31"/>
      <c r="AVJ3" s="30"/>
      <c r="AVK3" s="30"/>
      <c r="AVL3" s="30"/>
      <c r="AVM3" s="31"/>
      <c r="AVN3" s="30"/>
      <c r="AVO3" s="30"/>
      <c r="AVP3" s="30"/>
      <c r="AVQ3" s="31"/>
      <c r="AVR3" s="30"/>
      <c r="AVS3" s="30"/>
      <c r="AVT3" s="30"/>
      <c r="AVU3" s="31"/>
      <c r="AVV3" s="30"/>
      <c r="AVW3" s="30"/>
      <c r="AVX3" s="30"/>
      <c r="AVY3" s="31"/>
      <c r="AVZ3" s="30"/>
      <c r="AWA3" s="30"/>
      <c r="AWB3" s="30"/>
      <c r="AWC3" s="31"/>
      <c r="AWD3" s="30"/>
      <c r="AWE3" s="30"/>
      <c r="AWF3" s="30"/>
      <c r="AWG3" s="31"/>
      <c r="AWH3" s="30"/>
      <c r="AWI3" s="30"/>
      <c r="AWJ3" s="30"/>
      <c r="AWK3" s="31"/>
      <c r="AWL3" s="30"/>
      <c r="AWM3" s="30"/>
      <c r="AWN3" s="30"/>
      <c r="AWO3" s="31"/>
      <c r="AWP3" s="30"/>
      <c r="AWQ3" s="30"/>
      <c r="AWR3" s="30"/>
      <c r="AWS3" s="31"/>
      <c r="AWT3" s="30"/>
      <c r="AWU3" s="30"/>
      <c r="AWV3" s="30"/>
      <c r="AWW3" s="31"/>
      <c r="AWX3" s="30"/>
      <c r="AWY3" s="30"/>
      <c r="AWZ3" s="30"/>
      <c r="AXA3" s="31"/>
      <c r="AXB3" s="30"/>
      <c r="AXC3" s="30"/>
      <c r="AXD3" s="30"/>
      <c r="AXE3" s="31"/>
      <c r="AXF3" s="30"/>
      <c r="AXG3" s="30"/>
      <c r="AXH3" s="30"/>
      <c r="AXI3" s="31"/>
      <c r="AXJ3" s="30"/>
      <c r="AXK3" s="30"/>
      <c r="AXL3" s="30"/>
      <c r="AXM3" s="31"/>
      <c r="AXN3" s="30"/>
      <c r="AXO3" s="30"/>
      <c r="AXP3" s="30"/>
      <c r="AXQ3" s="31"/>
      <c r="AXR3" s="30"/>
      <c r="AXS3" s="30"/>
      <c r="AXT3" s="30"/>
      <c r="AXU3" s="31"/>
      <c r="AXV3" s="30"/>
      <c r="AXW3" s="30"/>
      <c r="AXX3" s="30"/>
      <c r="AXY3" s="31"/>
      <c r="AXZ3" s="30"/>
      <c r="AYA3" s="30"/>
      <c r="AYB3" s="30"/>
      <c r="AYC3" s="31"/>
      <c r="AYD3" s="30"/>
      <c r="AYE3" s="30"/>
      <c r="AYF3" s="30"/>
      <c r="AYG3" s="31"/>
      <c r="AYH3" s="30"/>
      <c r="AYI3" s="30"/>
      <c r="AYJ3" s="30"/>
      <c r="AYK3" s="31"/>
      <c r="AYL3" s="30"/>
      <c r="AYM3" s="30"/>
      <c r="AYN3" s="30"/>
      <c r="AYO3" s="31"/>
      <c r="AYP3" s="30"/>
      <c r="AYQ3" s="30"/>
      <c r="AYR3" s="30"/>
      <c r="AYS3" s="31"/>
      <c r="AYT3" s="30"/>
      <c r="AYU3" s="30"/>
      <c r="AYV3" s="30"/>
      <c r="AYW3" s="31"/>
      <c r="AYX3" s="30"/>
      <c r="AYY3" s="30"/>
      <c r="AYZ3" s="30"/>
      <c r="AZA3" s="31"/>
      <c r="AZB3" s="30"/>
      <c r="AZC3" s="30"/>
      <c r="AZD3" s="30"/>
      <c r="AZE3" s="31"/>
      <c r="AZF3" s="30"/>
      <c r="AZG3" s="30"/>
      <c r="AZH3" s="30"/>
      <c r="AZI3" s="31"/>
      <c r="AZJ3" s="30"/>
      <c r="AZK3" s="30"/>
      <c r="AZL3" s="30"/>
      <c r="AZM3" s="31"/>
      <c r="AZN3" s="30"/>
      <c r="AZO3" s="30"/>
      <c r="AZP3" s="30"/>
      <c r="AZQ3" s="31"/>
      <c r="AZR3" s="30"/>
      <c r="AZS3" s="30"/>
      <c r="AZT3" s="30"/>
      <c r="AZU3" s="31"/>
      <c r="AZV3" s="30"/>
      <c r="AZW3" s="30"/>
      <c r="AZX3" s="30"/>
      <c r="AZY3" s="31"/>
      <c r="AZZ3" s="30"/>
      <c r="BAA3" s="30"/>
      <c r="BAB3" s="30"/>
      <c r="BAC3" s="31"/>
      <c r="BAD3" s="30"/>
      <c r="BAE3" s="30"/>
      <c r="BAF3" s="30"/>
      <c r="BAG3" s="31"/>
      <c r="BAH3" s="30"/>
      <c r="BAI3" s="30"/>
      <c r="BAJ3" s="30"/>
      <c r="BAK3" s="31"/>
      <c r="BAL3" s="30"/>
      <c r="BAM3" s="30"/>
      <c r="BAN3" s="30"/>
      <c r="BAO3" s="31"/>
      <c r="BAP3" s="30"/>
      <c r="BAQ3" s="30"/>
      <c r="BAR3" s="30"/>
      <c r="BAS3" s="31"/>
      <c r="BAT3" s="30"/>
      <c r="BAU3" s="30"/>
      <c r="BAV3" s="30"/>
      <c r="BAW3" s="31"/>
      <c r="BAX3" s="30"/>
      <c r="BAY3" s="30"/>
      <c r="BAZ3" s="30"/>
      <c r="BBA3" s="31"/>
      <c r="BBB3" s="30"/>
      <c r="BBC3" s="30"/>
      <c r="BBD3" s="30"/>
      <c r="BBE3" s="31"/>
      <c r="BBF3" s="30"/>
      <c r="BBG3" s="30"/>
      <c r="BBH3" s="30"/>
      <c r="BBI3" s="31"/>
      <c r="BBJ3" s="30"/>
      <c r="BBK3" s="30"/>
      <c r="BBL3" s="30"/>
      <c r="BBM3" s="31"/>
      <c r="BBN3" s="30"/>
      <c r="BBO3" s="30"/>
      <c r="BBP3" s="30"/>
      <c r="BBQ3" s="31"/>
      <c r="BBR3" s="30"/>
      <c r="BBS3" s="30"/>
      <c r="BBT3" s="30"/>
      <c r="BBU3" s="31"/>
      <c r="BBV3" s="30"/>
      <c r="BBW3" s="30"/>
      <c r="BBX3" s="30"/>
      <c r="BBY3" s="31"/>
      <c r="BBZ3" s="30"/>
      <c r="BCA3" s="30"/>
      <c r="BCB3" s="30"/>
      <c r="BCC3" s="31"/>
      <c r="BCD3" s="30"/>
      <c r="BCE3" s="30"/>
      <c r="BCF3" s="30"/>
      <c r="BCG3" s="31"/>
      <c r="BCH3" s="30"/>
      <c r="BCI3" s="30"/>
      <c r="BCJ3" s="30"/>
      <c r="BCK3" s="31"/>
      <c r="BCL3" s="30"/>
      <c r="BCM3" s="30"/>
      <c r="BCN3" s="30"/>
      <c r="BCO3" s="31"/>
      <c r="BCP3" s="30"/>
      <c r="BCQ3" s="30"/>
      <c r="BCR3" s="30"/>
      <c r="BCS3" s="31"/>
      <c r="BCT3" s="30"/>
      <c r="BCU3" s="30"/>
      <c r="BCV3" s="30"/>
      <c r="BCW3" s="31"/>
      <c r="BCX3" s="30"/>
      <c r="BCY3" s="30"/>
      <c r="BCZ3" s="30"/>
      <c r="BDA3" s="31"/>
      <c r="BDB3" s="30"/>
      <c r="BDC3" s="30"/>
      <c r="BDD3" s="30"/>
      <c r="BDE3" s="31"/>
      <c r="BDF3" s="30"/>
      <c r="BDG3" s="30"/>
      <c r="BDH3" s="30"/>
      <c r="BDI3" s="31"/>
      <c r="BDJ3" s="30"/>
      <c r="BDK3" s="30"/>
      <c r="BDL3" s="30"/>
      <c r="BDM3" s="31"/>
      <c r="BDN3" s="30"/>
      <c r="BDO3" s="30"/>
      <c r="BDP3" s="30"/>
      <c r="BDQ3" s="31"/>
      <c r="BDR3" s="30"/>
      <c r="BDS3" s="30"/>
      <c r="BDT3" s="30"/>
      <c r="BDU3" s="31"/>
      <c r="BDV3" s="30"/>
      <c r="BDW3" s="30"/>
      <c r="BDX3" s="30"/>
      <c r="BDY3" s="31"/>
      <c r="BDZ3" s="30"/>
      <c r="BEA3" s="30"/>
      <c r="BEB3" s="30"/>
      <c r="BEC3" s="31"/>
      <c r="BED3" s="30"/>
      <c r="BEE3" s="30"/>
      <c r="BEF3" s="30"/>
      <c r="BEG3" s="31"/>
      <c r="BEH3" s="30"/>
      <c r="BEI3" s="30"/>
      <c r="BEJ3" s="30"/>
      <c r="BEK3" s="31"/>
      <c r="BEL3" s="30"/>
      <c r="BEM3" s="30"/>
      <c r="BEN3" s="30"/>
      <c r="BEO3" s="31"/>
      <c r="BEP3" s="30"/>
      <c r="BEQ3" s="30"/>
      <c r="BER3" s="30"/>
      <c r="BES3" s="31"/>
      <c r="BET3" s="30"/>
      <c r="BEU3" s="30"/>
      <c r="BEV3" s="30"/>
      <c r="BEW3" s="31"/>
      <c r="BEX3" s="30"/>
      <c r="BEY3" s="30"/>
      <c r="BEZ3" s="30"/>
      <c r="BFA3" s="31"/>
      <c r="BFB3" s="30"/>
      <c r="BFC3" s="30"/>
      <c r="BFD3" s="30"/>
      <c r="BFE3" s="31"/>
      <c r="BFF3" s="30"/>
      <c r="BFG3" s="30"/>
      <c r="BFH3" s="30"/>
      <c r="BFI3" s="31"/>
      <c r="BFJ3" s="30"/>
      <c r="BFK3" s="30"/>
      <c r="BFL3" s="30"/>
      <c r="BFM3" s="31"/>
      <c r="BFN3" s="30"/>
      <c r="BFO3" s="30"/>
      <c r="BFP3" s="30"/>
      <c r="BFQ3" s="31"/>
      <c r="BFR3" s="30"/>
      <c r="BFS3" s="30"/>
      <c r="BFT3" s="30"/>
      <c r="BFU3" s="31"/>
      <c r="BFV3" s="30"/>
      <c r="BFW3" s="30"/>
      <c r="BFX3" s="30"/>
      <c r="BFY3" s="31"/>
      <c r="BFZ3" s="30"/>
      <c r="BGA3" s="30"/>
      <c r="BGB3" s="30"/>
      <c r="BGC3" s="31"/>
      <c r="BGD3" s="30"/>
      <c r="BGE3" s="30"/>
      <c r="BGF3" s="30"/>
      <c r="BGG3" s="31"/>
      <c r="BGH3" s="30"/>
      <c r="BGI3" s="30"/>
      <c r="BGJ3" s="30"/>
      <c r="BGK3" s="31"/>
      <c r="BGL3" s="30"/>
      <c r="BGM3" s="30"/>
      <c r="BGN3" s="30"/>
      <c r="BGO3" s="31"/>
      <c r="BGP3" s="30"/>
      <c r="BGQ3" s="30"/>
      <c r="BGR3" s="30"/>
      <c r="BGS3" s="31"/>
      <c r="BGT3" s="30"/>
      <c r="BGU3" s="30"/>
      <c r="BGV3" s="30"/>
      <c r="BGW3" s="31"/>
      <c r="BGX3" s="30"/>
      <c r="BGY3" s="30"/>
      <c r="BGZ3" s="30"/>
      <c r="BHA3" s="31"/>
      <c r="BHB3" s="30"/>
      <c r="BHC3" s="30"/>
      <c r="BHD3" s="30"/>
      <c r="BHE3" s="31"/>
      <c r="BHF3" s="30"/>
      <c r="BHG3" s="30"/>
      <c r="BHH3" s="30"/>
      <c r="BHI3" s="31"/>
      <c r="BHJ3" s="30"/>
      <c r="BHK3" s="30"/>
      <c r="BHL3" s="30"/>
      <c r="BHM3" s="31"/>
      <c r="BHN3" s="30"/>
      <c r="BHO3" s="30"/>
      <c r="BHP3" s="30"/>
      <c r="BHQ3" s="31"/>
      <c r="BHR3" s="30"/>
      <c r="BHS3" s="30"/>
      <c r="BHT3" s="30"/>
      <c r="BHU3" s="31"/>
      <c r="BHV3" s="30"/>
      <c r="BHW3" s="30"/>
      <c r="BHX3" s="30"/>
      <c r="BHY3" s="31"/>
      <c r="BHZ3" s="30"/>
      <c r="BIA3" s="30"/>
      <c r="BIB3" s="30"/>
      <c r="BIC3" s="31"/>
      <c r="BID3" s="30"/>
      <c r="BIE3" s="30"/>
      <c r="BIF3" s="30"/>
      <c r="BIG3" s="31"/>
      <c r="BIH3" s="30"/>
      <c r="BII3" s="30"/>
      <c r="BIJ3" s="30"/>
      <c r="BIK3" s="31"/>
      <c r="BIL3" s="30"/>
      <c r="BIM3" s="30"/>
      <c r="BIN3" s="30"/>
      <c r="BIO3" s="31"/>
      <c r="BIP3" s="30"/>
      <c r="BIQ3" s="30"/>
      <c r="BIR3" s="30"/>
      <c r="BIS3" s="31"/>
      <c r="BIT3" s="30"/>
      <c r="BIU3" s="30"/>
      <c r="BIV3" s="30"/>
      <c r="BIW3" s="31"/>
      <c r="BIX3" s="30"/>
      <c r="BIY3" s="30"/>
      <c r="BIZ3" s="30"/>
      <c r="BJA3" s="31"/>
      <c r="BJB3" s="30"/>
      <c r="BJC3" s="30"/>
      <c r="BJD3" s="30"/>
      <c r="BJE3" s="31"/>
      <c r="BJF3" s="30"/>
      <c r="BJG3" s="30"/>
      <c r="BJH3" s="30"/>
      <c r="BJI3" s="31"/>
      <c r="BJJ3" s="30"/>
      <c r="BJK3" s="30"/>
      <c r="BJL3" s="30"/>
      <c r="BJM3" s="31"/>
      <c r="BJN3" s="30"/>
      <c r="BJO3" s="30"/>
      <c r="BJP3" s="30"/>
      <c r="BJQ3" s="31"/>
      <c r="BJR3" s="30"/>
      <c r="BJS3" s="30"/>
      <c r="BJT3" s="30"/>
      <c r="BJU3" s="31"/>
      <c r="BJV3" s="30"/>
      <c r="BJW3" s="30"/>
      <c r="BJX3" s="30"/>
      <c r="BJY3" s="31"/>
      <c r="BJZ3" s="30"/>
      <c r="BKA3" s="30"/>
      <c r="BKB3" s="30"/>
      <c r="BKC3" s="31"/>
      <c r="BKD3" s="30"/>
      <c r="BKE3" s="30"/>
      <c r="BKF3" s="30"/>
      <c r="BKG3" s="31"/>
      <c r="BKH3" s="30"/>
      <c r="BKI3" s="30"/>
      <c r="BKJ3" s="30"/>
      <c r="BKK3" s="31"/>
      <c r="BKL3" s="30"/>
      <c r="BKM3" s="30"/>
      <c r="BKN3" s="30"/>
      <c r="BKO3" s="31"/>
      <c r="BKP3" s="30"/>
      <c r="BKQ3" s="30"/>
      <c r="BKR3" s="30"/>
      <c r="BKS3" s="31"/>
      <c r="BKT3" s="30"/>
      <c r="BKU3" s="30"/>
      <c r="BKV3" s="30"/>
      <c r="BKW3" s="31"/>
      <c r="BKX3" s="30"/>
      <c r="BKY3" s="30"/>
      <c r="BKZ3" s="30"/>
      <c r="BLA3" s="31"/>
      <c r="BLB3" s="30"/>
      <c r="BLC3" s="30"/>
      <c r="BLD3" s="30"/>
      <c r="BLE3" s="31"/>
      <c r="BLF3" s="30"/>
      <c r="BLG3" s="30"/>
      <c r="BLH3" s="30"/>
      <c r="BLI3" s="31"/>
      <c r="BLJ3" s="30"/>
      <c r="BLK3" s="30"/>
      <c r="BLL3" s="30"/>
      <c r="BLM3" s="31"/>
      <c r="BLN3" s="30"/>
      <c r="BLO3" s="30"/>
      <c r="BLP3" s="30"/>
      <c r="BLQ3" s="31"/>
      <c r="BLR3" s="30"/>
      <c r="BLS3" s="30"/>
      <c r="BLT3" s="30"/>
      <c r="BLU3" s="31"/>
      <c r="BLV3" s="30"/>
      <c r="BLW3" s="30"/>
      <c r="BLX3" s="30"/>
      <c r="BLY3" s="31"/>
      <c r="BLZ3" s="30"/>
      <c r="BMA3" s="30"/>
      <c r="BMB3" s="30"/>
      <c r="BMC3" s="31"/>
      <c r="BMD3" s="30"/>
      <c r="BME3" s="30"/>
      <c r="BMF3" s="30"/>
      <c r="BMG3" s="31"/>
      <c r="BMH3" s="30"/>
      <c r="BMI3" s="30"/>
      <c r="BMJ3" s="30"/>
      <c r="BMK3" s="31"/>
      <c r="BML3" s="30"/>
      <c r="BMM3" s="30"/>
      <c r="BMN3" s="30"/>
      <c r="BMO3" s="31"/>
      <c r="BMP3" s="30"/>
      <c r="BMQ3" s="30"/>
      <c r="BMR3" s="30"/>
      <c r="BMS3" s="31"/>
      <c r="BMT3" s="30"/>
      <c r="BMU3" s="30"/>
      <c r="BMV3" s="30"/>
      <c r="BMW3" s="31"/>
      <c r="BMX3" s="30"/>
      <c r="BMY3" s="30"/>
      <c r="BMZ3" s="30"/>
      <c r="BNA3" s="31"/>
      <c r="BNB3" s="30"/>
      <c r="BNC3" s="30"/>
      <c r="BND3" s="30"/>
      <c r="BNE3" s="31"/>
      <c r="BNF3" s="30"/>
      <c r="BNG3" s="30"/>
      <c r="BNH3" s="30"/>
      <c r="BNI3" s="31"/>
      <c r="BNJ3" s="30"/>
      <c r="BNK3" s="30"/>
      <c r="BNL3" s="30"/>
      <c r="BNM3" s="31"/>
      <c r="BNN3" s="30"/>
      <c r="BNO3" s="30"/>
      <c r="BNP3" s="30"/>
      <c r="BNQ3" s="31"/>
      <c r="BNR3" s="30"/>
      <c r="BNS3" s="30"/>
      <c r="BNT3" s="30"/>
      <c r="BNU3" s="31"/>
      <c r="BNV3" s="30"/>
      <c r="BNW3" s="30"/>
      <c r="BNX3" s="30"/>
      <c r="BNY3" s="31"/>
      <c r="BNZ3" s="30"/>
      <c r="BOA3" s="30"/>
      <c r="BOB3" s="30"/>
      <c r="BOC3" s="31"/>
      <c r="BOD3" s="30"/>
      <c r="BOE3" s="30"/>
      <c r="BOF3" s="30"/>
      <c r="BOG3" s="31"/>
      <c r="BOH3" s="30"/>
      <c r="BOI3" s="30"/>
      <c r="BOJ3" s="30"/>
      <c r="BOK3" s="31"/>
      <c r="BOL3" s="30"/>
      <c r="BOM3" s="30"/>
      <c r="BON3" s="30"/>
      <c r="BOO3" s="31"/>
      <c r="BOP3" s="30"/>
      <c r="BOQ3" s="30"/>
      <c r="BOR3" s="30"/>
      <c r="BOS3" s="31"/>
      <c r="BOT3" s="30"/>
      <c r="BOU3" s="30"/>
      <c r="BOV3" s="30"/>
      <c r="BOW3" s="31"/>
      <c r="BOX3" s="30"/>
      <c r="BOY3" s="30"/>
      <c r="BOZ3" s="30"/>
      <c r="BPA3" s="31"/>
      <c r="BPB3" s="30"/>
      <c r="BPC3" s="30"/>
      <c r="BPD3" s="30"/>
      <c r="BPE3" s="31"/>
      <c r="BPF3" s="30"/>
      <c r="BPG3" s="30"/>
      <c r="BPH3" s="30"/>
      <c r="BPI3" s="31"/>
      <c r="BPJ3" s="30"/>
      <c r="BPK3" s="30"/>
      <c r="BPL3" s="30"/>
      <c r="BPM3" s="31"/>
      <c r="BPN3" s="30"/>
      <c r="BPO3" s="30"/>
      <c r="BPP3" s="30"/>
      <c r="BPQ3" s="31"/>
      <c r="BPR3" s="30"/>
      <c r="BPS3" s="30"/>
      <c r="BPT3" s="30"/>
      <c r="BPU3" s="31"/>
      <c r="BPV3" s="30"/>
      <c r="BPW3" s="30"/>
      <c r="BPX3" s="30"/>
      <c r="BPY3" s="31"/>
      <c r="BPZ3" s="30"/>
      <c r="BQA3" s="30"/>
      <c r="BQB3" s="30"/>
      <c r="BQC3" s="31"/>
      <c r="BQD3" s="30"/>
      <c r="BQE3" s="30"/>
      <c r="BQF3" s="30"/>
      <c r="BQG3" s="31"/>
      <c r="BQH3" s="30"/>
      <c r="BQI3" s="30"/>
      <c r="BQJ3" s="30"/>
      <c r="BQK3" s="31"/>
      <c r="BQL3" s="30"/>
      <c r="BQM3" s="30"/>
      <c r="BQN3" s="30"/>
      <c r="BQO3" s="31"/>
      <c r="BQP3" s="30"/>
      <c r="BQQ3" s="30"/>
      <c r="BQR3" s="30"/>
      <c r="BQS3" s="31"/>
      <c r="BQT3" s="30"/>
      <c r="BQU3" s="30"/>
      <c r="BQV3" s="30"/>
      <c r="BQW3" s="31"/>
      <c r="BQX3" s="30"/>
      <c r="BQY3" s="30"/>
      <c r="BQZ3" s="30"/>
      <c r="BRA3" s="31"/>
      <c r="BRB3" s="30"/>
      <c r="BRC3" s="30"/>
      <c r="BRD3" s="30"/>
      <c r="BRE3" s="31"/>
      <c r="BRF3" s="30"/>
      <c r="BRG3" s="30"/>
      <c r="BRH3" s="30"/>
      <c r="BRI3" s="31"/>
      <c r="BRJ3" s="30"/>
      <c r="BRK3" s="30"/>
      <c r="BRL3" s="30"/>
      <c r="BRM3" s="31"/>
      <c r="BRN3" s="30"/>
      <c r="BRO3" s="30"/>
      <c r="BRP3" s="30"/>
      <c r="BRQ3" s="31"/>
      <c r="BRR3" s="30"/>
      <c r="BRS3" s="30"/>
      <c r="BRT3" s="30"/>
      <c r="BRU3" s="31"/>
      <c r="BRV3" s="30"/>
      <c r="BRW3" s="30"/>
      <c r="BRX3" s="30"/>
      <c r="BRY3" s="31"/>
      <c r="BRZ3" s="30"/>
      <c r="BSA3" s="30"/>
      <c r="BSB3" s="30"/>
      <c r="BSC3" s="31"/>
      <c r="BSD3" s="30"/>
      <c r="BSE3" s="30"/>
      <c r="BSF3" s="30"/>
      <c r="BSG3" s="31"/>
      <c r="BSH3" s="30"/>
      <c r="BSI3" s="30"/>
      <c r="BSJ3" s="30"/>
      <c r="BSK3" s="31"/>
      <c r="BSL3" s="30"/>
      <c r="BSM3" s="30"/>
      <c r="BSN3" s="30"/>
      <c r="BSO3" s="31"/>
      <c r="BSP3" s="30"/>
      <c r="BSQ3" s="30"/>
      <c r="BSR3" s="30"/>
      <c r="BSS3" s="31"/>
      <c r="BST3" s="30"/>
      <c r="BSU3" s="30"/>
      <c r="BSV3" s="30"/>
      <c r="BSW3" s="31"/>
      <c r="BSX3" s="30"/>
      <c r="BSY3" s="30"/>
      <c r="BSZ3" s="30"/>
      <c r="BTA3" s="31"/>
      <c r="BTB3" s="30"/>
      <c r="BTC3" s="30"/>
      <c r="BTD3" s="30"/>
      <c r="BTE3" s="31"/>
      <c r="BTF3" s="30"/>
      <c r="BTG3" s="30"/>
      <c r="BTH3" s="30"/>
      <c r="BTI3" s="31"/>
      <c r="BTJ3" s="30"/>
      <c r="BTK3" s="30"/>
      <c r="BTL3" s="30"/>
      <c r="BTM3" s="31"/>
      <c r="BTN3" s="30"/>
      <c r="BTO3" s="30"/>
      <c r="BTP3" s="30"/>
      <c r="BTQ3" s="31"/>
      <c r="BTR3" s="30"/>
      <c r="BTS3" s="30"/>
      <c r="BTT3" s="30"/>
      <c r="BTU3" s="31"/>
      <c r="BTV3" s="30"/>
      <c r="BTW3" s="30"/>
      <c r="BTX3" s="30"/>
      <c r="BTY3" s="31"/>
      <c r="BTZ3" s="30"/>
      <c r="BUA3" s="30"/>
      <c r="BUB3" s="30"/>
      <c r="BUC3" s="31"/>
      <c r="BUD3" s="30"/>
      <c r="BUE3" s="30"/>
      <c r="BUF3" s="30"/>
      <c r="BUG3" s="31"/>
      <c r="BUH3" s="30"/>
      <c r="BUI3" s="30"/>
      <c r="BUJ3" s="30"/>
      <c r="BUK3" s="31"/>
      <c r="BUL3" s="30"/>
      <c r="BUM3" s="30"/>
      <c r="BUN3" s="30"/>
      <c r="BUO3" s="31"/>
      <c r="BUP3" s="30"/>
      <c r="BUQ3" s="30"/>
      <c r="BUR3" s="30"/>
      <c r="BUS3" s="31"/>
      <c r="BUT3" s="30"/>
      <c r="BUU3" s="30"/>
      <c r="BUV3" s="30"/>
      <c r="BUW3" s="31"/>
      <c r="BUX3" s="30"/>
      <c r="BUY3" s="30"/>
      <c r="BUZ3" s="30"/>
      <c r="BVA3" s="31"/>
      <c r="BVB3" s="30"/>
      <c r="BVC3" s="30"/>
      <c r="BVD3" s="30"/>
      <c r="BVE3" s="31"/>
      <c r="BVF3" s="30"/>
      <c r="BVG3" s="30"/>
      <c r="BVH3" s="30"/>
      <c r="BVI3" s="31"/>
      <c r="BVJ3" s="30"/>
      <c r="BVK3" s="30"/>
      <c r="BVL3" s="30"/>
      <c r="BVM3" s="31"/>
      <c r="BVN3" s="30"/>
      <c r="BVO3" s="30"/>
      <c r="BVP3" s="30"/>
      <c r="BVQ3" s="31"/>
      <c r="BVR3" s="30"/>
      <c r="BVS3" s="30"/>
      <c r="BVT3" s="30"/>
      <c r="BVU3" s="31"/>
      <c r="BVV3" s="30"/>
      <c r="BVW3" s="30"/>
      <c r="BVX3" s="30"/>
      <c r="BVY3" s="31"/>
      <c r="BVZ3" s="30"/>
      <c r="BWA3" s="30"/>
      <c r="BWB3" s="30"/>
      <c r="BWC3" s="31"/>
      <c r="BWD3" s="30"/>
      <c r="BWE3" s="30"/>
      <c r="BWF3" s="30"/>
      <c r="BWG3" s="31"/>
      <c r="BWH3" s="30"/>
      <c r="BWI3" s="30"/>
      <c r="BWJ3" s="30"/>
      <c r="BWK3" s="31"/>
      <c r="BWL3" s="30"/>
      <c r="BWM3" s="30"/>
      <c r="BWN3" s="30"/>
      <c r="BWO3" s="31"/>
      <c r="BWP3" s="30"/>
      <c r="BWQ3" s="30"/>
      <c r="BWR3" s="30"/>
      <c r="BWS3" s="31"/>
      <c r="BWT3" s="30"/>
      <c r="BWU3" s="30"/>
      <c r="BWV3" s="30"/>
      <c r="BWW3" s="31"/>
      <c r="BWX3" s="30"/>
      <c r="BWY3" s="30"/>
      <c r="BWZ3" s="30"/>
      <c r="BXA3" s="31"/>
      <c r="BXB3" s="30"/>
      <c r="BXC3" s="30"/>
      <c r="BXD3" s="30"/>
      <c r="BXE3" s="31"/>
      <c r="BXF3" s="30"/>
      <c r="BXG3" s="30"/>
      <c r="BXH3" s="30"/>
      <c r="BXI3" s="31"/>
      <c r="BXJ3" s="30"/>
      <c r="BXK3" s="30"/>
      <c r="BXL3" s="30"/>
      <c r="BXM3" s="31"/>
      <c r="BXN3" s="30"/>
      <c r="BXO3" s="30"/>
      <c r="BXP3" s="30"/>
      <c r="BXQ3" s="31"/>
      <c r="BXR3" s="30"/>
      <c r="BXS3" s="30"/>
      <c r="BXT3" s="30"/>
      <c r="BXU3" s="31"/>
      <c r="BXV3" s="30"/>
      <c r="BXW3" s="30"/>
      <c r="BXX3" s="30"/>
      <c r="BXY3" s="31"/>
      <c r="BXZ3" s="30"/>
      <c r="BYA3" s="30"/>
      <c r="BYB3" s="30"/>
      <c r="BYC3" s="31"/>
      <c r="BYD3" s="30"/>
      <c r="BYE3" s="30"/>
      <c r="BYF3" s="30"/>
      <c r="BYG3" s="31"/>
      <c r="BYH3" s="30"/>
      <c r="BYI3" s="30"/>
      <c r="BYJ3" s="30"/>
      <c r="BYK3" s="31"/>
      <c r="BYL3" s="30"/>
      <c r="BYM3" s="30"/>
      <c r="BYN3" s="30"/>
      <c r="BYO3" s="31"/>
      <c r="BYP3" s="30"/>
      <c r="BYQ3" s="30"/>
      <c r="BYR3" s="30"/>
      <c r="BYS3" s="31"/>
      <c r="BYT3" s="30"/>
      <c r="BYU3" s="30"/>
      <c r="BYV3" s="30"/>
      <c r="BYW3" s="31"/>
      <c r="BYX3" s="30"/>
      <c r="BYY3" s="30"/>
      <c r="BYZ3" s="30"/>
      <c r="BZA3" s="31"/>
      <c r="BZB3" s="30"/>
      <c r="BZC3" s="30"/>
      <c r="BZD3" s="30"/>
      <c r="BZE3" s="31"/>
      <c r="BZF3" s="30"/>
      <c r="BZG3" s="30"/>
      <c r="BZH3" s="30"/>
      <c r="BZI3" s="31"/>
      <c r="BZJ3" s="30"/>
      <c r="BZK3" s="30"/>
      <c r="BZL3" s="30"/>
      <c r="BZM3" s="31"/>
      <c r="BZN3" s="30"/>
      <c r="BZO3" s="30"/>
      <c r="BZP3" s="30"/>
      <c r="BZQ3" s="31"/>
      <c r="BZR3" s="30"/>
      <c r="BZS3" s="30"/>
      <c r="BZT3" s="30"/>
      <c r="BZU3" s="31"/>
      <c r="BZV3" s="30"/>
      <c r="BZW3" s="30"/>
      <c r="BZX3" s="30"/>
      <c r="BZY3" s="31"/>
      <c r="BZZ3" s="30"/>
      <c r="CAA3" s="30"/>
      <c r="CAB3" s="30"/>
      <c r="CAC3" s="31"/>
      <c r="CAD3" s="30"/>
      <c r="CAE3" s="30"/>
      <c r="CAF3" s="30"/>
      <c r="CAG3" s="31"/>
      <c r="CAH3" s="30"/>
      <c r="CAI3" s="30"/>
      <c r="CAJ3" s="30"/>
      <c r="CAK3" s="31"/>
      <c r="CAL3" s="30"/>
      <c r="CAM3" s="30"/>
      <c r="CAN3" s="30"/>
      <c r="CAO3" s="31"/>
      <c r="CAP3" s="30"/>
      <c r="CAQ3" s="30"/>
      <c r="CAR3" s="30"/>
      <c r="CAS3" s="31"/>
      <c r="CAT3" s="30"/>
      <c r="CAU3" s="30"/>
      <c r="CAV3" s="30"/>
      <c r="CAW3" s="31"/>
      <c r="CAX3" s="30"/>
      <c r="CAY3" s="30"/>
      <c r="CAZ3" s="30"/>
      <c r="CBA3" s="31"/>
      <c r="CBB3" s="30"/>
      <c r="CBC3" s="30"/>
      <c r="CBD3" s="30"/>
      <c r="CBE3" s="31"/>
      <c r="CBF3" s="30"/>
      <c r="CBG3" s="30"/>
      <c r="CBH3" s="30"/>
      <c r="CBI3" s="31"/>
      <c r="CBJ3" s="30"/>
      <c r="CBK3" s="30"/>
      <c r="CBL3" s="30"/>
      <c r="CBM3" s="31"/>
      <c r="CBN3" s="30"/>
      <c r="CBO3" s="30"/>
      <c r="CBP3" s="30"/>
      <c r="CBQ3" s="31"/>
      <c r="CBR3" s="30"/>
      <c r="CBS3" s="30"/>
      <c r="CBT3" s="30"/>
      <c r="CBU3" s="31"/>
      <c r="CBV3" s="30"/>
      <c r="CBW3" s="30"/>
      <c r="CBX3" s="30"/>
      <c r="CBY3" s="31"/>
      <c r="CBZ3" s="30"/>
      <c r="CCA3" s="30"/>
      <c r="CCB3" s="30"/>
      <c r="CCC3" s="31"/>
      <c r="CCD3" s="30"/>
      <c r="CCE3" s="30"/>
      <c r="CCF3" s="30"/>
      <c r="CCG3" s="31"/>
      <c r="CCH3" s="30"/>
      <c r="CCI3" s="30"/>
      <c r="CCJ3" s="30"/>
      <c r="CCK3" s="31"/>
      <c r="CCL3" s="30"/>
      <c r="CCM3" s="30"/>
      <c r="CCN3" s="30"/>
      <c r="CCO3" s="31"/>
      <c r="CCP3" s="30"/>
      <c r="CCQ3" s="30"/>
      <c r="CCR3" s="30"/>
      <c r="CCS3" s="31"/>
      <c r="CCT3" s="30"/>
      <c r="CCU3" s="30"/>
      <c r="CCV3" s="30"/>
      <c r="CCW3" s="31"/>
      <c r="CCX3" s="30"/>
      <c r="CCY3" s="30"/>
      <c r="CCZ3" s="30"/>
      <c r="CDA3" s="31"/>
      <c r="CDB3" s="30"/>
      <c r="CDC3" s="30"/>
      <c r="CDD3" s="30"/>
      <c r="CDE3" s="31"/>
      <c r="CDF3" s="30"/>
      <c r="CDG3" s="30"/>
      <c r="CDH3" s="30"/>
      <c r="CDI3" s="31"/>
      <c r="CDJ3" s="30"/>
      <c r="CDK3" s="30"/>
      <c r="CDL3" s="30"/>
      <c r="CDM3" s="31"/>
      <c r="CDN3" s="30"/>
      <c r="CDO3" s="30"/>
      <c r="CDP3" s="30"/>
      <c r="CDQ3" s="31"/>
      <c r="CDR3" s="30"/>
      <c r="CDS3" s="30"/>
      <c r="CDT3" s="30"/>
      <c r="CDU3" s="31"/>
      <c r="CDV3" s="30"/>
      <c r="CDW3" s="30"/>
      <c r="CDX3" s="30"/>
      <c r="CDY3" s="31"/>
      <c r="CDZ3" s="30"/>
      <c r="CEA3" s="30"/>
      <c r="CEB3" s="30"/>
      <c r="CEC3" s="31"/>
      <c r="CED3" s="30"/>
      <c r="CEE3" s="30"/>
      <c r="CEF3" s="30"/>
      <c r="CEG3" s="31"/>
      <c r="CEH3" s="30"/>
      <c r="CEI3" s="30"/>
      <c r="CEJ3" s="30"/>
      <c r="CEK3" s="31"/>
      <c r="CEL3" s="30"/>
      <c r="CEM3" s="30"/>
      <c r="CEN3" s="30"/>
      <c r="CEO3" s="31"/>
      <c r="CEP3" s="30"/>
      <c r="CEQ3" s="30"/>
      <c r="CER3" s="30"/>
      <c r="CES3" s="31"/>
      <c r="CET3" s="30"/>
      <c r="CEU3" s="30"/>
      <c r="CEV3" s="30"/>
      <c r="CEW3" s="31"/>
      <c r="CEX3" s="30"/>
      <c r="CEY3" s="30"/>
      <c r="CEZ3" s="30"/>
      <c r="CFA3" s="31"/>
      <c r="CFB3" s="30"/>
      <c r="CFC3" s="30"/>
      <c r="CFD3" s="30"/>
      <c r="CFE3" s="31"/>
      <c r="CFF3" s="30"/>
      <c r="CFG3" s="30"/>
      <c r="CFH3" s="30"/>
      <c r="CFI3" s="31"/>
      <c r="CFJ3" s="30"/>
      <c r="CFK3" s="30"/>
      <c r="CFL3" s="30"/>
      <c r="CFM3" s="31"/>
      <c r="CFN3" s="30"/>
      <c r="CFO3" s="30"/>
      <c r="CFP3" s="30"/>
      <c r="CFQ3" s="31"/>
      <c r="CFR3" s="30"/>
      <c r="CFS3" s="30"/>
      <c r="CFT3" s="30"/>
      <c r="CFU3" s="31"/>
      <c r="CFV3" s="30"/>
      <c r="CFW3" s="30"/>
      <c r="CFX3" s="30"/>
      <c r="CFY3" s="31"/>
      <c r="CFZ3" s="30"/>
      <c r="CGA3" s="30"/>
      <c r="CGB3" s="30"/>
      <c r="CGC3" s="31"/>
      <c r="CGD3" s="30"/>
      <c r="CGE3" s="30"/>
      <c r="CGF3" s="30"/>
      <c r="CGG3" s="31"/>
      <c r="CGH3" s="30"/>
      <c r="CGI3" s="30"/>
      <c r="CGJ3" s="30"/>
      <c r="CGK3" s="31"/>
      <c r="CGL3" s="30"/>
      <c r="CGM3" s="30"/>
      <c r="CGN3" s="30"/>
      <c r="CGO3" s="31"/>
      <c r="CGP3" s="30"/>
      <c r="CGQ3" s="30"/>
      <c r="CGR3" s="30"/>
      <c r="CGS3" s="31"/>
      <c r="CGT3" s="30"/>
      <c r="CGU3" s="30"/>
      <c r="CGV3" s="30"/>
      <c r="CGW3" s="31"/>
      <c r="CGX3" s="30"/>
      <c r="CGY3" s="30"/>
      <c r="CGZ3" s="30"/>
      <c r="CHA3" s="31"/>
      <c r="CHB3" s="30"/>
      <c r="CHC3" s="30"/>
      <c r="CHD3" s="30"/>
      <c r="CHE3" s="31"/>
      <c r="CHF3" s="30"/>
      <c r="CHG3" s="30"/>
      <c r="CHH3" s="30"/>
      <c r="CHI3" s="31"/>
      <c r="CHJ3" s="30"/>
      <c r="CHK3" s="30"/>
      <c r="CHL3" s="30"/>
      <c r="CHM3" s="31"/>
      <c r="CHN3" s="30"/>
      <c r="CHO3" s="30"/>
      <c r="CHP3" s="30"/>
      <c r="CHQ3" s="31"/>
      <c r="CHR3" s="30"/>
      <c r="CHS3" s="30"/>
      <c r="CHT3" s="30"/>
      <c r="CHU3" s="31"/>
      <c r="CHV3" s="30"/>
      <c r="CHW3" s="30"/>
      <c r="CHX3" s="30"/>
      <c r="CHY3" s="31"/>
      <c r="CHZ3" s="30"/>
      <c r="CIA3" s="30"/>
      <c r="CIB3" s="30"/>
      <c r="CIC3" s="31"/>
      <c r="CID3" s="30"/>
      <c r="CIE3" s="30"/>
      <c r="CIF3" s="30"/>
      <c r="CIG3" s="31"/>
      <c r="CIH3" s="30"/>
      <c r="CII3" s="30"/>
      <c r="CIJ3" s="30"/>
      <c r="CIK3" s="31"/>
      <c r="CIL3" s="30"/>
      <c r="CIM3" s="30"/>
      <c r="CIN3" s="30"/>
      <c r="CIO3" s="31"/>
      <c r="CIP3" s="30"/>
      <c r="CIQ3" s="30"/>
      <c r="CIR3" s="30"/>
      <c r="CIS3" s="31"/>
      <c r="CIT3" s="30"/>
      <c r="CIU3" s="30"/>
      <c r="CIV3" s="30"/>
      <c r="CIW3" s="31"/>
      <c r="CIX3" s="30"/>
      <c r="CIY3" s="30"/>
      <c r="CIZ3" s="30"/>
      <c r="CJA3" s="31"/>
      <c r="CJB3" s="30"/>
      <c r="CJC3" s="30"/>
      <c r="CJD3" s="30"/>
      <c r="CJE3" s="31"/>
      <c r="CJF3" s="30"/>
      <c r="CJG3" s="30"/>
      <c r="CJH3" s="30"/>
      <c r="CJI3" s="31"/>
      <c r="CJJ3" s="30"/>
      <c r="CJK3" s="30"/>
      <c r="CJL3" s="30"/>
      <c r="CJM3" s="31"/>
      <c r="CJN3" s="30"/>
      <c r="CJO3" s="30"/>
      <c r="CJP3" s="30"/>
      <c r="CJQ3" s="31"/>
      <c r="CJR3" s="30"/>
      <c r="CJS3" s="30"/>
      <c r="CJT3" s="30"/>
      <c r="CJU3" s="31"/>
      <c r="CJV3" s="30"/>
      <c r="CJW3" s="30"/>
      <c r="CJX3" s="30"/>
      <c r="CJY3" s="31"/>
      <c r="CJZ3" s="30"/>
      <c r="CKA3" s="30"/>
      <c r="CKB3" s="30"/>
      <c r="CKC3" s="31"/>
      <c r="CKD3" s="30"/>
      <c r="CKE3" s="30"/>
      <c r="CKF3" s="30"/>
      <c r="CKG3" s="31"/>
      <c r="CKH3" s="30"/>
      <c r="CKI3" s="30"/>
      <c r="CKJ3" s="30"/>
      <c r="CKK3" s="31"/>
      <c r="CKL3" s="30"/>
      <c r="CKM3" s="30"/>
      <c r="CKN3" s="30"/>
      <c r="CKO3" s="31"/>
      <c r="CKP3" s="30"/>
      <c r="CKQ3" s="30"/>
      <c r="CKR3" s="30"/>
      <c r="CKS3" s="31"/>
      <c r="CKT3" s="30"/>
      <c r="CKU3" s="30"/>
      <c r="CKV3" s="30"/>
      <c r="CKW3" s="31"/>
      <c r="CKX3" s="30"/>
      <c r="CKY3" s="30"/>
      <c r="CKZ3" s="30"/>
      <c r="CLA3" s="31"/>
      <c r="CLB3" s="30"/>
      <c r="CLC3" s="30"/>
      <c r="CLD3" s="30"/>
      <c r="CLE3" s="31"/>
      <c r="CLF3" s="30"/>
      <c r="CLG3" s="30"/>
      <c r="CLH3" s="30"/>
      <c r="CLI3" s="31"/>
      <c r="CLJ3" s="30"/>
      <c r="CLK3" s="30"/>
      <c r="CLL3" s="30"/>
      <c r="CLM3" s="31"/>
      <c r="CLN3" s="30"/>
      <c r="CLO3" s="30"/>
      <c r="CLP3" s="30"/>
      <c r="CLQ3" s="31"/>
      <c r="CLR3" s="30"/>
      <c r="CLS3" s="30"/>
      <c r="CLT3" s="30"/>
      <c r="CLU3" s="31"/>
      <c r="CLV3" s="30"/>
      <c r="CLW3" s="30"/>
      <c r="CLX3" s="30"/>
      <c r="CLY3" s="31"/>
      <c r="CLZ3" s="30"/>
      <c r="CMA3" s="30"/>
      <c r="CMB3" s="30"/>
      <c r="CMC3" s="31"/>
      <c r="CMD3" s="30"/>
      <c r="CME3" s="30"/>
      <c r="CMF3" s="30"/>
      <c r="CMG3" s="31"/>
      <c r="CMH3" s="30"/>
      <c r="CMI3" s="30"/>
      <c r="CMJ3" s="30"/>
      <c r="CMK3" s="31"/>
      <c r="CML3" s="30"/>
      <c r="CMM3" s="30"/>
      <c r="CMN3" s="30"/>
      <c r="CMO3" s="31"/>
      <c r="CMP3" s="30"/>
      <c r="CMQ3" s="30"/>
      <c r="CMR3" s="30"/>
      <c r="CMS3" s="31"/>
      <c r="CMT3" s="30"/>
      <c r="CMU3" s="30"/>
      <c r="CMV3" s="30"/>
      <c r="CMW3" s="31"/>
      <c r="CMX3" s="30"/>
      <c r="CMY3" s="30"/>
      <c r="CMZ3" s="30"/>
      <c r="CNA3" s="31"/>
      <c r="CNB3" s="30"/>
      <c r="CNC3" s="30"/>
      <c r="CND3" s="30"/>
      <c r="CNE3" s="31"/>
      <c r="CNF3" s="30"/>
      <c r="CNG3" s="30"/>
      <c r="CNH3" s="30"/>
      <c r="CNI3" s="31"/>
      <c r="CNJ3" s="30"/>
      <c r="CNK3" s="30"/>
      <c r="CNL3" s="30"/>
      <c r="CNM3" s="31"/>
      <c r="CNN3" s="30"/>
      <c r="CNO3" s="30"/>
      <c r="CNP3" s="30"/>
      <c r="CNQ3" s="31"/>
      <c r="CNR3" s="30"/>
      <c r="CNS3" s="30"/>
      <c r="CNT3" s="30"/>
      <c r="CNU3" s="31"/>
      <c r="CNV3" s="30"/>
      <c r="CNW3" s="30"/>
      <c r="CNX3" s="30"/>
      <c r="CNY3" s="31"/>
      <c r="CNZ3" s="30"/>
      <c r="COA3" s="30"/>
      <c r="COB3" s="30"/>
      <c r="COC3" s="31"/>
      <c r="COD3" s="30"/>
      <c r="COE3" s="30"/>
      <c r="COF3" s="30"/>
      <c r="COG3" s="31"/>
      <c r="COH3" s="30"/>
      <c r="COI3" s="30"/>
      <c r="COJ3" s="30"/>
      <c r="COK3" s="31"/>
      <c r="COL3" s="30"/>
      <c r="COM3" s="30"/>
      <c r="CON3" s="30"/>
      <c r="COO3" s="31"/>
      <c r="COP3" s="30"/>
      <c r="COQ3" s="30"/>
      <c r="COR3" s="30"/>
      <c r="COS3" s="31"/>
      <c r="COT3" s="30"/>
      <c r="COU3" s="30"/>
      <c r="COV3" s="30"/>
      <c r="COW3" s="31"/>
      <c r="COX3" s="30"/>
      <c r="COY3" s="30"/>
      <c r="COZ3" s="30"/>
      <c r="CPA3" s="31"/>
      <c r="CPB3" s="30"/>
      <c r="CPC3" s="30"/>
      <c r="CPD3" s="30"/>
      <c r="CPE3" s="31"/>
      <c r="CPF3" s="30"/>
      <c r="CPG3" s="30"/>
      <c r="CPH3" s="30"/>
      <c r="CPI3" s="31"/>
      <c r="CPJ3" s="30"/>
      <c r="CPK3" s="30"/>
      <c r="CPL3" s="30"/>
      <c r="CPM3" s="31"/>
      <c r="CPN3" s="30"/>
      <c r="CPO3" s="30"/>
      <c r="CPP3" s="30"/>
      <c r="CPQ3" s="31"/>
      <c r="CPR3" s="30"/>
      <c r="CPS3" s="30"/>
      <c r="CPT3" s="30"/>
      <c r="CPU3" s="31"/>
      <c r="CPV3" s="30"/>
      <c r="CPW3" s="30"/>
      <c r="CPX3" s="30"/>
      <c r="CPY3" s="31"/>
      <c r="CPZ3" s="30"/>
      <c r="CQA3" s="30"/>
      <c r="CQB3" s="30"/>
      <c r="CQC3" s="31"/>
      <c r="CQD3" s="30"/>
      <c r="CQE3" s="30"/>
      <c r="CQF3" s="30"/>
      <c r="CQG3" s="31"/>
      <c r="CQH3" s="30"/>
      <c r="CQI3" s="30"/>
      <c r="CQJ3" s="30"/>
      <c r="CQK3" s="31"/>
      <c r="CQL3" s="30"/>
      <c r="CQM3" s="30"/>
      <c r="CQN3" s="30"/>
      <c r="CQO3" s="31"/>
      <c r="CQP3" s="30"/>
      <c r="CQQ3" s="30"/>
      <c r="CQR3" s="30"/>
      <c r="CQS3" s="31"/>
      <c r="CQT3" s="30"/>
      <c r="CQU3" s="30"/>
      <c r="CQV3" s="30"/>
      <c r="CQW3" s="31"/>
      <c r="CQX3" s="30"/>
      <c r="CQY3" s="30"/>
      <c r="CQZ3" s="30"/>
      <c r="CRA3" s="31"/>
      <c r="CRB3" s="30"/>
      <c r="CRC3" s="30"/>
      <c r="CRD3" s="30"/>
      <c r="CRE3" s="31"/>
      <c r="CRF3" s="30"/>
      <c r="CRG3" s="30"/>
      <c r="CRH3" s="30"/>
      <c r="CRI3" s="31"/>
      <c r="CRJ3" s="30"/>
      <c r="CRK3" s="30"/>
      <c r="CRL3" s="30"/>
      <c r="CRM3" s="31"/>
      <c r="CRN3" s="30"/>
      <c r="CRO3" s="30"/>
      <c r="CRP3" s="30"/>
      <c r="CRQ3" s="31"/>
      <c r="CRR3" s="30"/>
      <c r="CRS3" s="30"/>
      <c r="CRT3" s="30"/>
      <c r="CRU3" s="31"/>
      <c r="CRV3" s="30"/>
      <c r="CRW3" s="30"/>
      <c r="CRX3" s="30"/>
      <c r="CRY3" s="31"/>
      <c r="CRZ3" s="30"/>
      <c r="CSA3" s="30"/>
      <c r="CSB3" s="30"/>
      <c r="CSC3" s="31"/>
      <c r="CSD3" s="30"/>
      <c r="CSE3" s="30"/>
      <c r="CSF3" s="30"/>
      <c r="CSG3" s="31"/>
      <c r="CSH3" s="30"/>
      <c r="CSI3" s="30"/>
      <c r="CSJ3" s="30"/>
      <c r="CSK3" s="31"/>
      <c r="CSL3" s="30"/>
      <c r="CSM3" s="30"/>
      <c r="CSN3" s="30"/>
      <c r="CSO3" s="31"/>
      <c r="CSP3" s="30"/>
      <c r="CSQ3" s="30"/>
      <c r="CSR3" s="30"/>
      <c r="CSS3" s="31"/>
      <c r="CST3" s="30"/>
      <c r="CSU3" s="30"/>
      <c r="CSV3" s="30"/>
      <c r="CSW3" s="31"/>
      <c r="CSX3" s="30"/>
      <c r="CSY3" s="30"/>
      <c r="CSZ3" s="30"/>
      <c r="CTA3" s="31"/>
      <c r="CTB3" s="30"/>
      <c r="CTC3" s="30"/>
      <c r="CTD3" s="30"/>
      <c r="CTE3" s="31"/>
      <c r="CTF3" s="30"/>
      <c r="CTG3" s="30"/>
      <c r="CTH3" s="30"/>
      <c r="CTI3" s="31"/>
      <c r="CTJ3" s="30"/>
      <c r="CTK3" s="30"/>
      <c r="CTL3" s="30"/>
      <c r="CTM3" s="31"/>
      <c r="CTN3" s="30"/>
      <c r="CTO3" s="30"/>
      <c r="CTP3" s="30"/>
      <c r="CTQ3" s="31"/>
      <c r="CTR3" s="30"/>
      <c r="CTS3" s="30"/>
      <c r="CTT3" s="30"/>
      <c r="CTU3" s="31"/>
      <c r="CTV3" s="30"/>
      <c r="CTW3" s="30"/>
      <c r="CTX3" s="30"/>
      <c r="CTY3" s="31"/>
      <c r="CTZ3" s="30"/>
      <c r="CUA3" s="30"/>
      <c r="CUB3" s="30"/>
      <c r="CUC3" s="31"/>
      <c r="CUD3" s="30"/>
      <c r="CUE3" s="30"/>
      <c r="CUF3" s="30"/>
      <c r="CUG3" s="31"/>
      <c r="CUH3" s="30"/>
      <c r="CUI3" s="30"/>
      <c r="CUJ3" s="30"/>
      <c r="CUK3" s="31"/>
      <c r="CUL3" s="30"/>
      <c r="CUM3" s="30"/>
      <c r="CUN3" s="30"/>
      <c r="CUO3" s="31"/>
      <c r="CUP3" s="30"/>
      <c r="CUQ3" s="30"/>
      <c r="CUR3" s="30"/>
      <c r="CUS3" s="31"/>
      <c r="CUT3" s="30"/>
      <c r="CUU3" s="30"/>
      <c r="CUV3" s="30"/>
      <c r="CUW3" s="31"/>
      <c r="CUX3" s="30"/>
      <c r="CUY3" s="30"/>
      <c r="CUZ3" s="30"/>
      <c r="CVA3" s="31"/>
      <c r="CVB3" s="30"/>
      <c r="CVC3" s="30"/>
      <c r="CVD3" s="30"/>
      <c r="CVE3" s="31"/>
      <c r="CVF3" s="30"/>
      <c r="CVG3" s="30"/>
      <c r="CVH3" s="30"/>
      <c r="CVI3" s="31"/>
      <c r="CVJ3" s="30"/>
      <c r="CVK3" s="30"/>
      <c r="CVL3" s="30"/>
      <c r="CVM3" s="31"/>
      <c r="CVN3" s="30"/>
      <c r="CVO3" s="30"/>
      <c r="CVP3" s="30"/>
      <c r="CVQ3" s="31"/>
      <c r="CVR3" s="30"/>
      <c r="CVS3" s="30"/>
      <c r="CVT3" s="30"/>
      <c r="CVU3" s="31"/>
      <c r="CVV3" s="30"/>
      <c r="CVW3" s="30"/>
      <c r="CVX3" s="30"/>
      <c r="CVY3" s="31"/>
      <c r="CVZ3" s="30"/>
      <c r="CWA3" s="30"/>
      <c r="CWB3" s="30"/>
      <c r="CWC3" s="31"/>
      <c r="CWD3" s="30"/>
      <c r="CWE3" s="30"/>
      <c r="CWF3" s="30"/>
      <c r="CWG3" s="31"/>
      <c r="CWH3" s="30"/>
      <c r="CWI3" s="30"/>
      <c r="CWJ3" s="30"/>
      <c r="CWK3" s="31"/>
      <c r="CWL3" s="30"/>
      <c r="CWM3" s="30"/>
      <c r="CWN3" s="30"/>
      <c r="CWO3" s="31"/>
      <c r="CWP3" s="30"/>
      <c r="CWQ3" s="30"/>
      <c r="CWR3" s="30"/>
      <c r="CWS3" s="31"/>
      <c r="CWT3" s="30"/>
      <c r="CWU3" s="30"/>
      <c r="CWV3" s="30"/>
      <c r="CWW3" s="31"/>
      <c r="CWX3" s="30"/>
      <c r="CWY3" s="30"/>
      <c r="CWZ3" s="30"/>
      <c r="CXA3" s="31"/>
      <c r="CXB3" s="30"/>
      <c r="CXC3" s="30"/>
      <c r="CXD3" s="30"/>
      <c r="CXE3" s="31"/>
      <c r="CXF3" s="30"/>
      <c r="CXG3" s="30"/>
      <c r="CXH3" s="30"/>
      <c r="CXI3" s="31"/>
      <c r="CXJ3" s="30"/>
      <c r="CXK3" s="30"/>
      <c r="CXL3" s="30"/>
      <c r="CXM3" s="31"/>
      <c r="CXN3" s="30"/>
      <c r="CXO3" s="30"/>
      <c r="CXP3" s="30"/>
      <c r="CXQ3" s="31"/>
      <c r="CXR3" s="30"/>
      <c r="CXS3" s="30"/>
      <c r="CXT3" s="30"/>
      <c r="CXU3" s="31"/>
      <c r="CXV3" s="30"/>
      <c r="CXW3" s="30"/>
      <c r="CXX3" s="30"/>
      <c r="CXY3" s="31"/>
      <c r="CXZ3" s="30"/>
      <c r="CYA3" s="30"/>
      <c r="CYB3" s="30"/>
      <c r="CYC3" s="31"/>
      <c r="CYD3" s="30"/>
      <c r="CYE3" s="30"/>
      <c r="CYF3" s="30"/>
      <c r="CYG3" s="31"/>
      <c r="CYH3" s="30"/>
      <c r="CYI3" s="30"/>
      <c r="CYJ3" s="30"/>
      <c r="CYK3" s="31"/>
      <c r="CYL3" s="30"/>
      <c r="CYM3" s="30"/>
      <c r="CYN3" s="30"/>
      <c r="CYO3" s="31"/>
      <c r="CYP3" s="30"/>
      <c r="CYQ3" s="30"/>
      <c r="CYR3" s="30"/>
      <c r="CYS3" s="31"/>
      <c r="CYT3" s="30"/>
      <c r="CYU3" s="30"/>
      <c r="CYV3" s="30"/>
      <c r="CYW3" s="31"/>
      <c r="CYX3" s="30"/>
      <c r="CYY3" s="30"/>
      <c r="CYZ3" s="30"/>
      <c r="CZA3" s="31"/>
      <c r="CZB3" s="30"/>
      <c r="CZC3" s="30"/>
      <c r="CZD3" s="30"/>
      <c r="CZE3" s="31"/>
      <c r="CZF3" s="30"/>
      <c r="CZG3" s="30"/>
      <c r="CZH3" s="30"/>
      <c r="CZI3" s="31"/>
      <c r="CZJ3" s="30"/>
      <c r="CZK3" s="30"/>
      <c r="CZL3" s="30"/>
      <c r="CZM3" s="31"/>
      <c r="CZN3" s="30"/>
      <c r="CZO3" s="30"/>
      <c r="CZP3" s="30"/>
      <c r="CZQ3" s="31"/>
      <c r="CZR3" s="30"/>
      <c r="CZS3" s="30"/>
      <c r="CZT3" s="30"/>
      <c r="CZU3" s="31"/>
      <c r="CZV3" s="30"/>
      <c r="CZW3" s="30"/>
      <c r="CZX3" s="30"/>
      <c r="CZY3" s="31"/>
      <c r="CZZ3" s="30"/>
      <c r="DAA3" s="30"/>
      <c r="DAB3" s="30"/>
      <c r="DAC3" s="31"/>
      <c r="DAD3" s="30"/>
      <c r="DAE3" s="30"/>
      <c r="DAF3" s="30"/>
      <c r="DAG3" s="31"/>
      <c r="DAH3" s="30"/>
      <c r="DAI3" s="30"/>
      <c r="DAJ3" s="30"/>
      <c r="DAK3" s="31"/>
      <c r="DAL3" s="30"/>
      <c r="DAM3" s="30"/>
      <c r="DAN3" s="30"/>
      <c r="DAO3" s="31"/>
      <c r="DAP3" s="30"/>
      <c r="DAQ3" s="30"/>
      <c r="DAR3" s="30"/>
      <c r="DAS3" s="31"/>
      <c r="DAT3" s="30"/>
      <c r="DAU3" s="30"/>
      <c r="DAV3" s="30"/>
      <c r="DAW3" s="31"/>
      <c r="DAX3" s="30"/>
      <c r="DAY3" s="30"/>
      <c r="DAZ3" s="30"/>
      <c r="DBA3" s="31"/>
      <c r="DBB3" s="30"/>
      <c r="DBC3" s="30"/>
      <c r="DBD3" s="30"/>
      <c r="DBE3" s="31"/>
      <c r="DBF3" s="30"/>
      <c r="DBG3" s="30"/>
      <c r="DBH3" s="30"/>
      <c r="DBI3" s="31"/>
      <c r="DBJ3" s="30"/>
      <c r="DBK3" s="30"/>
      <c r="DBL3" s="30"/>
      <c r="DBM3" s="31"/>
      <c r="DBN3" s="30"/>
      <c r="DBO3" s="30"/>
      <c r="DBP3" s="30"/>
      <c r="DBQ3" s="31"/>
      <c r="DBR3" s="30"/>
      <c r="DBS3" s="30"/>
      <c r="DBT3" s="30"/>
      <c r="DBU3" s="31"/>
      <c r="DBV3" s="30"/>
      <c r="DBW3" s="30"/>
      <c r="DBX3" s="30"/>
      <c r="DBY3" s="31"/>
      <c r="DBZ3" s="30"/>
      <c r="DCA3" s="30"/>
      <c r="DCB3" s="30"/>
      <c r="DCC3" s="31"/>
      <c r="DCD3" s="30"/>
      <c r="DCE3" s="30"/>
      <c r="DCF3" s="30"/>
      <c r="DCG3" s="31"/>
      <c r="DCH3" s="30"/>
      <c r="DCI3" s="30"/>
      <c r="DCJ3" s="30"/>
      <c r="DCK3" s="31"/>
      <c r="DCL3" s="30"/>
      <c r="DCM3" s="30"/>
      <c r="DCN3" s="30"/>
      <c r="DCO3" s="31"/>
      <c r="DCP3" s="30"/>
      <c r="DCQ3" s="30"/>
      <c r="DCR3" s="30"/>
      <c r="DCS3" s="31"/>
      <c r="DCT3" s="30"/>
      <c r="DCU3" s="30"/>
      <c r="DCV3" s="30"/>
      <c r="DCW3" s="31"/>
      <c r="DCX3" s="30"/>
      <c r="DCY3" s="30"/>
      <c r="DCZ3" s="30"/>
      <c r="DDA3" s="31"/>
      <c r="DDB3" s="30"/>
      <c r="DDC3" s="30"/>
      <c r="DDD3" s="30"/>
      <c r="DDE3" s="31"/>
      <c r="DDF3" s="30"/>
      <c r="DDG3" s="30"/>
      <c r="DDH3" s="30"/>
      <c r="DDI3" s="31"/>
      <c r="DDJ3" s="30"/>
      <c r="DDK3" s="30"/>
      <c r="DDL3" s="30"/>
      <c r="DDM3" s="31"/>
      <c r="DDN3" s="30"/>
      <c r="DDO3" s="30"/>
      <c r="DDP3" s="30"/>
      <c r="DDQ3" s="31"/>
      <c r="DDR3" s="30"/>
      <c r="DDS3" s="30"/>
      <c r="DDT3" s="30"/>
      <c r="DDU3" s="31"/>
      <c r="DDV3" s="30"/>
      <c r="DDW3" s="30"/>
      <c r="DDX3" s="30"/>
      <c r="DDY3" s="31"/>
      <c r="DDZ3" s="30"/>
      <c r="DEA3" s="30"/>
      <c r="DEB3" s="30"/>
      <c r="DEC3" s="31"/>
      <c r="DED3" s="30"/>
      <c r="DEE3" s="30"/>
      <c r="DEF3" s="30"/>
      <c r="DEG3" s="31"/>
      <c r="DEH3" s="30"/>
      <c r="DEI3" s="30"/>
      <c r="DEJ3" s="30"/>
      <c r="DEK3" s="31"/>
      <c r="DEL3" s="30"/>
      <c r="DEM3" s="30"/>
      <c r="DEN3" s="30"/>
      <c r="DEO3" s="31"/>
      <c r="DEP3" s="30"/>
      <c r="DEQ3" s="30"/>
      <c r="DER3" s="30"/>
      <c r="DES3" s="31"/>
      <c r="DET3" s="30"/>
      <c r="DEU3" s="30"/>
      <c r="DEV3" s="30"/>
      <c r="DEW3" s="31"/>
      <c r="DEX3" s="30"/>
      <c r="DEY3" s="30"/>
      <c r="DEZ3" s="30"/>
      <c r="DFA3" s="31"/>
      <c r="DFB3" s="30"/>
      <c r="DFC3" s="30"/>
      <c r="DFD3" s="30"/>
      <c r="DFE3" s="31"/>
      <c r="DFF3" s="30"/>
      <c r="DFG3" s="30"/>
      <c r="DFH3" s="30"/>
      <c r="DFI3" s="31"/>
      <c r="DFJ3" s="30"/>
      <c r="DFK3" s="30"/>
      <c r="DFL3" s="30"/>
      <c r="DFM3" s="31"/>
      <c r="DFN3" s="30"/>
      <c r="DFO3" s="30"/>
      <c r="DFP3" s="30"/>
      <c r="DFQ3" s="31"/>
      <c r="DFR3" s="30"/>
      <c r="DFS3" s="30"/>
      <c r="DFT3" s="30"/>
      <c r="DFU3" s="31"/>
      <c r="DFV3" s="30"/>
      <c r="DFW3" s="30"/>
      <c r="DFX3" s="30"/>
      <c r="DFY3" s="31"/>
      <c r="DFZ3" s="30"/>
      <c r="DGA3" s="30"/>
      <c r="DGB3" s="30"/>
      <c r="DGC3" s="31"/>
      <c r="DGD3" s="30"/>
      <c r="DGE3" s="30"/>
      <c r="DGF3" s="30"/>
      <c r="DGG3" s="31"/>
      <c r="DGH3" s="30"/>
      <c r="DGI3" s="30"/>
      <c r="DGJ3" s="30"/>
      <c r="DGK3" s="31"/>
      <c r="DGL3" s="30"/>
      <c r="DGM3" s="30"/>
      <c r="DGN3" s="30"/>
      <c r="DGO3" s="31"/>
      <c r="DGP3" s="30"/>
      <c r="DGQ3" s="30"/>
      <c r="DGR3" s="30"/>
      <c r="DGS3" s="31"/>
      <c r="DGT3" s="30"/>
      <c r="DGU3" s="30"/>
      <c r="DGV3" s="30"/>
      <c r="DGW3" s="31"/>
      <c r="DGX3" s="30"/>
      <c r="DGY3" s="30"/>
      <c r="DGZ3" s="30"/>
      <c r="DHA3" s="31"/>
      <c r="DHB3" s="30"/>
      <c r="DHC3" s="30"/>
      <c r="DHD3" s="30"/>
      <c r="DHE3" s="31"/>
      <c r="DHF3" s="30"/>
      <c r="DHG3" s="30"/>
      <c r="DHH3" s="30"/>
      <c r="DHI3" s="31"/>
      <c r="DHJ3" s="30"/>
      <c r="DHK3" s="30"/>
      <c r="DHL3" s="30"/>
      <c r="DHM3" s="31"/>
      <c r="DHN3" s="30"/>
      <c r="DHO3" s="30"/>
      <c r="DHP3" s="30"/>
      <c r="DHQ3" s="31"/>
      <c r="DHR3" s="30"/>
      <c r="DHS3" s="30"/>
      <c r="DHT3" s="30"/>
      <c r="DHU3" s="31"/>
      <c r="DHV3" s="30"/>
      <c r="DHW3" s="30"/>
      <c r="DHX3" s="30"/>
      <c r="DHY3" s="31"/>
      <c r="DHZ3" s="30"/>
      <c r="DIA3" s="30"/>
      <c r="DIB3" s="30"/>
      <c r="DIC3" s="31"/>
      <c r="DID3" s="30"/>
      <c r="DIE3" s="30"/>
      <c r="DIF3" s="30"/>
      <c r="DIG3" s="31"/>
      <c r="DIH3" s="30"/>
      <c r="DII3" s="30"/>
      <c r="DIJ3" s="30"/>
      <c r="DIK3" s="31"/>
      <c r="DIL3" s="30"/>
      <c r="DIM3" s="30"/>
      <c r="DIN3" s="30"/>
      <c r="DIO3" s="31"/>
      <c r="DIP3" s="30"/>
      <c r="DIQ3" s="30"/>
      <c r="DIR3" s="30"/>
      <c r="DIS3" s="31"/>
      <c r="DIT3" s="30"/>
      <c r="DIU3" s="30"/>
      <c r="DIV3" s="30"/>
      <c r="DIW3" s="31"/>
      <c r="DIX3" s="30"/>
      <c r="DIY3" s="30"/>
      <c r="DIZ3" s="30"/>
      <c r="DJA3" s="31"/>
      <c r="DJB3" s="30"/>
      <c r="DJC3" s="30"/>
      <c r="DJD3" s="30"/>
      <c r="DJE3" s="31"/>
      <c r="DJF3" s="30"/>
      <c r="DJG3" s="30"/>
      <c r="DJH3" s="30"/>
      <c r="DJI3" s="31"/>
      <c r="DJJ3" s="30"/>
      <c r="DJK3" s="30"/>
      <c r="DJL3" s="30"/>
      <c r="DJM3" s="31"/>
      <c r="DJN3" s="30"/>
      <c r="DJO3" s="30"/>
      <c r="DJP3" s="30"/>
      <c r="DJQ3" s="31"/>
      <c r="DJR3" s="30"/>
      <c r="DJS3" s="30"/>
      <c r="DJT3" s="30"/>
      <c r="DJU3" s="31"/>
      <c r="DJV3" s="30"/>
      <c r="DJW3" s="30"/>
      <c r="DJX3" s="30"/>
      <c r="DJY3" s="31"/>
      <c r="DJZ3" s="30"/>
      <c r="DKA3" s="30"/>
      <c r="DKB3" s="30"/>
      <c r="DKC3" s="31"/>
      <c r="DKD3" s="30"/>
      <c r="DKE3" s="30"/>
      <c r="DKF3" s="30"/>
      <c r="DKG3" s="31"/>
      <c r="DKH3" s="30"/>
      <c r="DKI3" s="30"/>
      <c r="DKJ3" s="30"/>
      <c r="DKK3" s="31"/>
      <c r="DKL3" s="30"/>
      <c r="DKM3" s="30"/>
      <c r="DKN3" s="30"/>
      <c r="DKO3" s="31"/>
      <c r="DKP3" s="30"/>
      <c r="DKQ3" s="30"/>
      <c r="DKR3" s="30"/>
      <c r="DKS3" s="31"/>
      <c r="DKT3" s="30"/>
      <c r="DKU3" s="30"/>
      <c r="DKV3" s="30"/>
      <c r="DKW3" s="31"/>
      <c r="DKX3" s="30"/>
      <c r="DKY3" s="30"/>
      <c r="DKZ3" s="30"/>
      <c r="DLA3" s="31"/>
      <c r="DLB3" s="30"/>
      <c r="DLC3" s="30"/>
      <c r="DLD3" s="30"/>
      <c r="DLE3" s="31"/>
      <c r="DLF3" s="30"/>
      <c r="DLG3" s="30"/>
      <c r="DLH3" s="30"/>
      <c r="DLI3" s="31"/>
      <c r="DLJ3" s="30"/>
      <c r="DLK3" s="30"/>
      <c r="DLL3" s="30"/>
      <c r="DLM3" s="31"/>
      <c r="DLN3" s="30"/>
      <c r="DLO3" s="30"/>
      <c r="DLP3" s="30"/>
      <c r="DLQ3" s="31"/>
      <c r="DLR3" s="30"/>
      <c r="DLS3" s="30"/>
      <c r="DLT3" s="30"/>
      <c r="DLU3" s="31"/>
      <c r="DLV3" s="30"/>
      <c r="DLW3" s="30"/>
      <c r="DLX3" s="30"/>
      <c r="DLY3" s="31"/>
      <c r="DLZ3" s="30"/>
      <c r="DMA3" s="30"/>
      <c r="DMB3" s="30"/>
      <c r="DMC3" s="31"/>
      <c r="DMD3" s="30"/>
      <c r="DME3" s="30"/>
      <c r="DMF3" s="30"/>
      <c r="DMG3" s="31"/>
      <c r="DMH3" s="30"/>
      <c r="DMI3" s="30"/>
      <c r="DMJ3" s="30"/>
      <c r="DMK3" s="31"/>
      <c r="DML3" s="30"/>
      <c r="DMM3" s="30"/>
      <c r="DMN3" s="30"/>
      <c r="DMO3" s="31"/>
      <c r="DMP3" s="30"/>
      <c r="DMQ3" s="30"/>
      <c r="DMR3" s="30"/>
      <c r="DMS3" s="31"/>
      <c r="DMT3" s="30"/>
      <c r="DMU3" s="30"/>
      <c r="DMV3" s="30"/>
      <c r="DMW3" s="31"/>
      <c r="DMX3" s="30"/>
      <c r="DMY3" s="30"/>
      <c r="DMZ3" s="30"/>
      <c r="DNA3" s="31"/>
      <c r="DNB3" s="30"/>
      <c r="DNC3" s="30"/>
      <c r="DND3" s="30"/>
      <c r="DNE3" s="31"/>
      <c r="DNF3" s="30"/>
      <c r="DNG3" s="30"/>
      <c r="DNH3" s="30"/>
      <c r="DNI3" s="31"/>
      <c r="DNJ3" s="30"/>
      <c r="DNK3" s="30"/>
      <c r="DNL3" s="30"/>
      <c r="DNM3" s="31"/>
      <c r="DNN3" s="30"/>
      <c r="DNO3" s="30"/>
      <c r="DNP3" s="30"/>
      <c r="DNQ3" s="31"/>
      <c r="DNR3" s="30"/>
      <c r="DNS3" s="30"/>
      <c r="DNT3" s="30"/>
      <c r="DNU3" s="31"/>
      <c r="DNV3" s="30"/>
      <c r="DNW3" s="30"/>
      <c r="DNX3" s="30"/>
      <c r="DNY3" s="31"/>
      <c r="DNZ3" s="30"/>
      <c r="DOA3" s="30"/>
      <c r="DOB3" s="30"/>
      <c r="DOC3" s="31"/>
      <c r="DOD3" s="30"/>
      <c r="DOE3" s="30"/>
      <c r="DOF3" s="30"/>
      <c r="DOG3" s="31"/>
      <c r="DOH3" s="30"/>
      <c r="DOI3" s="30"/>
      <c r="DOJ3" s="30"/>
      <c r="DOK3" s="31"/>
      <c r="DOL3" s="30"/>
      <c r="DOM3" s="30"/>
      <c r="DON3" s="30"/>
      <c r="DOO3" s="31"/>
      <c r="DOP3" s="30"/>
      <c r="DOQ3" s="30"/>
      <c r="DOR3" s="30"/>
      <c r="DOS3" s="31"/>
      <c r="DOT3" s="30"/>
      <c r="DOU3" s="30"/>
      <c r="DOV3" s="30"/>
      <c r="DOW3" s="31"/>
      <c r="DOX3" s="30"/>
      <c r="DOY3" s="30"/>
      <c r="DOZ3" s="30"/>
      <c r="DPA3" s="31"/>
      <c r="DPB3" s="30"/>
      <c r="DPC3" s="30"/>
      <c r="DPD3" s="30"/>
      <c r="DPE3" s="31"/>
      <c r="DPF3" s="30"/>
      <c r="DPG3" s="30"/>
      <c r="DPH3" s="30"/>
      <c r="DPI3" s="31"/>
      <c r="DPJ3" s="30"/>
      <c r="DPK3" s="30"/>
      <c r="DPL3" s="30"/>
      <c r="DPM3" s="31"/>
      <c r="DPN3" s="30"/>
      <c r="DPO3" s="30"/>
      <c r="DPP3" s="30"/>
      <c r="DPQ3" s="31"/>
      <c r="DPR3" s="30"/>
      <c r="DPS3" s="30"/>
      <c r="DPT3" s="30"/>
      <c r="DPU3" s="31"/>
      <c r="DPV3" s="30"/>
      <c r="DPW3" s="30"/>
      <c r="DPX3" s="30"/>
      <c r="DPY3" s="31"/>
      <c r="DPZ3" s="30"/>
      <c r="DQA3" s="30"/>
      <c r="DQB3" s="30"/>
      <c r="DQC3" s="31"/>
      <c r="DQD3" s="30"/>
      <c r="DQE3" s="30"/>
      <c r="DQF3" s="30"/>
      <c r="DQG3" s="31"/>
      <c r="DQH3" s="30"/>
      <c r="DQI3" s="30"/>
      <c r="DQJ3" s="30"/>
      <c r="DQK3" s="31"/>
      <c r="DQL3" s="30"/>
      <c r="DQM3" s="30"/>
      <c r="DQN3" s="30"/>
      <c r="DQO3" s="31"/>
      <c r="DQP3" s="30"/>
      <c r="DQQ3" s="30"/>
      <c r="DQR3" s="30"/>
      <c r="DQS3" s="31"/>
      <c r="DQT3" s="30"/>
      <c r="DQU3" s="30"/>
      <c r="DQV3" s="30"/>
      <c r="DQW3" s="31"/>
      <c r="DQX3" s="30"/>
      <c r="DQY3" s="30"/>
      <c r="DQZ3" s="30"/>
      <c r="DRA3" s="31"/>
      <c r="DRB3" s="30"/>
      <c r="DRC3" s="30"/>
      <c r="DRD3" s="30"/>
      <c r="DRE3" s="31"/>
      <c r="DRF3" s="30"/>
      <c r="DRG3" s="30"/>
      <c r="DRH3" s="30"/>
      <c r="DRI3" s="31"/>
      <c r="DRJ3" s="30"/>
      <c r="DRK3" s="30"/>
      <c r="DRL3" s="30"/>
      <c r="DRM3" s="31"/>
      <c r="DRN3" s="30"/>
      <c r="DRO3" s="30"/>
      <c r="DRP3" s="30"/>
      <c r="DRQ3" s="31"/>
      <c r="DRR3" s="30"/>
      <c r="DRS3" s="30"/>
      <c r="DRT3" s="30"/>
      <c r="DRU3" s="31"/>
      <c r="DRV3" s="30"/>
      <c r="DRW3" s="30"/>
      <c r="DRX3" s="30"/>
      <c r="DRY3" s="31"/>
      <c r="DRZ3" s="30"/>
      <c r="DSA3" s="30"/>
      <c r="DSB3" s="30"/>
      <c r="DSC3" s="31"/>
      <c r="DSD3" s="30"/>
      <c r="DSE3" s="30"/>
      <c r="DSF3" s="30"/>
      <c r="DSG3" s="31"/>
      <c r="DSH3" s="30"/>
      <c r="DSI3" s="30"/>
      <c r="DSJ3" s="30"/>
      <c r="DSK3" s="31"/>
      <c r="DSL3" s="30"/>
      <c r="DSM3" s="30"/>
      <c r="DSN3" s="30"/>
      <c r="DSO3" s="31"/>
      <c r="DSP3" s="30"/>
      <c r="DSQ3" s="30"/>
      <c r="DSR3" s="30"/>
      <c r="DSS3" s="31"/>
      <c r="DST3" s="30"/>
      <c r="DSU3" s="30"/>
      <c r="DSV3" s="30"/>
      <c r="DSW3" s="31"/>
      <c r="DSX3" s="30"/>
      <c r="DSY3" s="30"/>
      <c r="DSZ3" s="30"/>
      <c r="DTA3" s="31"/>
      <c r="DTB3" s="30"/>
      <c r="DTC3" s="30"/>
      <c r="DTD3" s="30"/>
      <c r="DTE3" s="31"/>
      <c r="DTF3" s="30"/>
      <c r="DTG3" s="30"/>
      <c r="DTH3" s="30"/>
      <c r="DTI3" s="31"/>
      <c r="DTJ3" s="30"/>
      <c r="DTK3" s="30"/>
      <c r="DTL3" s="30"/>
      <c r="DTM3" s="31"/>
      <c r="DTN3" s="30"/>
      <c r="DTO3" s="30"/>
      <c r="DTP3" s="30"/>
      <c r="DTQ3" s="31"/>
      <c r="DTR3" s="30"/>
      <c r="DTS3" s="30"/>
      <c r="DTT3" s="30"/>
      <c r="DTU3" s="31"/>
      <c r="DTV3" s="30"/>
      <c r="DTW3" s="30"/>
      <c r="DTX3" s="30"/>
      <c r="DTY3" s="31"/>
      <c r="DTZ3" s="30"/>
      <c r="DUA3" s="30"/>
      <c r="DUB3" s="30"/>
      <c r="DUC3" s="31"/>
      <c r="DUD3" s="30"/>
      <c r="DUE3" s="30"/>
      <c r="DUF3" s="30"/>
      <c r="DUG3" s="31"/>
      <c r="DUH3" s="30"/>
      <c r="DUI3" s="30"/>
      <c r="DUJ3" s="30"/>
      <c r="DUK3" s="31"/>
      <c r="DUL3" s="30"/>
      <c r="DUM3" s="30"/>
      <c r="DUN3" s="30"/>
      <c r="DUO3" s="31"/>
      <c r="DUP3" s="30"/>
      <c r="DUQ3" s="30"/>
      <c r="DUR3" s="30"/>
      <c r="DUS3" s="31"/>
      <c r="DUT3" s="30"/>
      <c r="DUU3" s="30"/>
      <c r="DUV3" s="30"/>
      <c r="DUW3" s="31"/>
      <c r="DUX3" s="30"/>
      <c r="DUY3" s="30"/>
      <c r="DUZ3" s="30"/>
      <c r="DVA3" s="31"/>
      <c r="DVB3" s="30"/>
      <c r="DVC3" s="30"/>
      <c r="DVD3" s="30"/>
      <c r="DVE3" s="31"/>
      <c r="DVF3" s="30"/>
      <c r="DVG3" s="30"/>
      <c r="DVH3" s="30"/>
      <c r="DVI3" s="31"/>
      <c r="DVJ3" s="30"/>
      <c r="DVK3" s="30"/>
      <c r="DVL3" s="30"/>
      <c r="DVM3" s="31"/>
      <c r="DVN3" s="30"/>
      <c r="DVO3" s="30"/>
      <c r="DVP3" s="30"/>
      <c r="DVQ3" s="31"/>
      <c r="DVR3" s="30"/>
      <c r="DVS3" s="30"/>
      <c r="DVT3" s="30"/>
      <c r="DVU3" s="31"/>
      <c r="DVV3" s="30"/>
      <c r="DVW3" s="30"/>
      <c r="DVX3" s="30"/>
      <c r="DVY3" s="31"/>
      <c r="DVZ3" s="30"/>
      <c r="DWA3" s="30"/>
      <c r="DWB3" s="30"/>
      <c r="DWC3" s="31"/>
      <c r="DWD3" s="30"/>
      <c r="DWE3" s="30"/>
      <c r="DWF3" s="30"/>
      <c r="DWG3" s="31"/>
      <c r="DWH3" s="30"/>
      <c r="DWI3" s="30"/>
      <c r="DWJ3" s="30"/>
      <c r="DWK3" s="31"/>
      <c r="DWL3" s="30"/>
      <c r="DWM3" s="30"/>
      <c r="DWN3" s="30"/>
      <c r="DWO3" s="31"/>
      <c r="DWP3" s="30"/>
      <c r="DWQ3" s="30"/>
      <c r="DWR3" s="30"/>
      <c r="DWS3" s="31"/>
      <c r="DWT3" s="30"/>
      <c r="DWU3" s="30"/>
      <c r="DWV3" s="30"/>
      <c r="DWW3" s="31"/>
      <c r="DWX3" s="30"/>
      <c r="DWY3" s="30"/>
      <c r="DWZ3" s="30"/>
      <c r="DXA3" s="31"/>
      <c r="DXB3" s="30"/>
      <c r="DXC3" s="30"/>
      <c r="DXD3" s="30"/>
      <c r="DXE3" s="31"/>
      <c r="DXF3" s="30"/>
      <c r="DXG3" s="30"/>
      <c r="DXH3" s="30"/>
      <c r="DXI3" s="31"/>
      <c r="DXJ3" s="30"/>
      <c r="DXK3" s="30"/>
      <c r="DXL3" s="30"/>
      <c r="DXM3" s="31"/>
      <c r="DXN3" s="30"/>
      <c r="DXO3" s="30"/>
      <c r="DXP3" s="30"/>
      <c r="DXQ3" s="31"/>
      <c r="DXR3" s="30"/>
      <c r="DXS3" s="30"/>
      <c r="DXT3" s="30"/>
      <c r="DXU3" s="31"/>
      <c r="DXV3" s="30"/>
      <c r="DXW3" s="30"/>
      <c r="DXX3" s="30"/>
      <c r="DXY3" s="31"/>
      <c r="DXZ3" s="30"/>
      <c r="DYA3" s="30"/>
      <c r="DYB3" s="30"/>
      <c r="DYC3" s="31"/>
      <c r="DYD3" s="30"/>
      <c r="DYE3" s="30"/>
      <c r="DYF3" s="30"/>
      <c r="DYG3" s="31"/>
      <c r="DYH3" s="30"/>
      <c r="DYI3" s="30"/>
      <c r="DYJ3" s="30"/>
      <c r="DYK3" s="31"/>
      <c r="DYL3" s="30"/>
      <c r="DYM3" s="30"/>
      <c r="DYN3" s="30"/>
      <c r="DYO3" s="31"/>
      <c r="DYP3" s="30"/>
      <c r="DYQ3" s="30"/>
      <c r="DYR3" s="30"/>
      <c r="DYS3" s="31"/>
      <c r="DYT3" s="30"/>
      <c r="DYU3" s="30"/>
      <c r="DYV3" s="30"/>
      <c r="DYW3" s="31"/>
      <c r="DYX3" s="30"/>
      <c r="DYY3" s="30"/>
      <c r="DYZ3" s="30"/>
      <c r="DZA3" s="31"/>
      <c r="DZB3" s="30"/>
      <c r="DZC3" s="30"/>
      <c r="DZD3" s="30"/>
      <c r="DZE3" s="31"/>
      <c r="DZF3" s="30"/>
      <c r="DZG3" s="30"/>
      <c r="DZH3" s="30"/>
      <c r="DZI3" s="31"/>
      <c r="DZJ3" s="30"/>
      <c r="DZK3" s="30"/>
      <c r="DZL3" s="30"/>
      <c r="DZM3" s="31"/>
      <c r="DZN3" s="30"/>
      <c r="DZO3" s="30"/>
      <c r="DZP3" s="30"/>
      <c r="DZQ3" s="31"/>
      <c r="DZR3" s="30"/>
      <c r="DZS3" s="30"/>
      <c r="DZT3" s="30"/>
      <c r="DZU3" s="31"/>
      <c r="DZV3" s="30"/>
      <c r="DZW3" s="30"/>
      <c r="DZX3" s="30"/>
      <c r="DZY3" s="31"/>
      <c r="DZZ3" s="30"/>
      <c r="EAA3" s="30"/>
      <c r="EAB3" s="30"/>
      <c r="EAC3" s="31"/>
      <c r="EAD3" s="30"/>
      <c r="EAE3" s="30"/>
      <c r="EAF3" s="30"/>
      <c r="EAG3" s="31"/>
      <c r="EAH3" s="30"/>
      <c r="EAI3" s="30"/>
      <c r="EAJ3" s="30"/>
      <c r="EAK3" s="31"/>
      <c r="EAL3" s="30"/>
      <c r="EAM3" s="30"/>
      <c r="EAN3" s="30"/>
      <c r="EAO3" s="31"/>
      <c r="EAP3" s="30"/>
      <c r="EAQ3" s="30"/>
      <c r="EAR3" s="30"/>
      <c r="EAS3" s="31"/>
      <c r="EAT3" s="30"/>
      <c r="EAU3" s="30"/>
      <c r="EAV3" s="30"/>
      <c r="EAW3" s="31"/>
      <c r="EAX3" s="30"/>
      <c r="EAY3" s="30"/>
      <c r="EAZ3" s="30"/>
      <c r="EBA3" s="31"/>
      <c r="EBB3" s="30"/>
      <c r="EBC3" s="30"/>
      <c r="EBD3" s="30"/>
      <c r="EBE3" s="31"/>
      <c r="EBF3" s="30"/>
      <c r="EBG3" s="30"/>
      <c r="EBH3" s="30"/>
      <c r="EBI3" s="31"/>
      <c r="EBJ3" s="30"/>
      <c r="EBK3" s="30"/>
      <c r="EBL3" s="30"/>
      <c r="EBM3" s="31"/>
      <c r="EBN3" s="30"/>
      <c r="EBO3" s="30"/>
      <c r="EBP3" s="30"/>
      <c r="EBQ3" s="31"/>
      <c r="EBR3" s="30"/>
      <c r="EBS3" s="30"/>
      <c r="EBT3" s="30"/>
      <c r="EBU3" s="31"/>
      <c r="EBV3" s="30"/>
      <c r="EBW3" s="30"/>
      <c r="EBX3" s="30"/>
      <c r="EBY3" s="31"/>
      <c r="EBZ3" s="30"/>
      <c r="ECA3" s="30"/>
      <c r="ECB3" s="30"/>
      <c r="ECC3" s="31"/>
      <c r="ECD3" s="30"/>
      <c r="ECE3" s="30"/>
      <c r="ECF3" s="30"/>
      <c r="ECG3" s="31"/>
      <c r="ECH3" s="30"/>
      <c r="ECI3" s="30"/>
      <c r="ECJ3" s="30"/>
      <c r="ECK3" s="31"/>
      <c r="ECL3" s="30"/>
      <c r="ECM3" s="30"/>
      <c r="ECN3" s="30"/>
      <c r="ECO3" s="31"/>
      <c r="ECP3" s="30"/>
      <c r="ECQ3" s="30"/>
      <c r="ECR3" s="30"/>
      <c r="ECS3" s="31"/>
      <c r="ECT3" s="30"/>
      <c r="ECU3" s="30"/>
      <c r="ECV3" s="30"/>
      <c r="ECW3" s="31"/>
      <c r="ECX3" s="30"/>
      <c r="ECY3" s="30"/>
      <c r="ECZ3" s="30"/>
      <c r="EDA3" s="31"/>
      <c r="EDB3" s="30"/>
      <c r="EDC3" s="30"/>
      <c r="EDD3" s="30"/>
      <c r="EDE3" s="31"/>
      <c r="EDF3" s="30"/>
      <c r="EDG3" s="30"/>
      <c r="EDH3" s="30"/>
      <c r="EDI3" s="31"/>
      <c r="EDJ3" s="30"/>
      <c r="EDK3" s="30"/>
      <c r="EDL3" s="30"/>
      <c r="EDM3" s="31"/>
      <c r="EDN3" s="30"/>
      <c r="EDO3" s="30"/>
      <c r="EDP3" s="30"/>
      <c r="EDQ3" s="31"/>
      <c r="EDR3" s="30"/>
      <c r="EDS3" s="30"/>
      <c r="EDT3" s="30"/>
      <c r="EDU3" s="31"/>
      <c r="EDV3" s="30"/>
      <c r="EDW3" s="30"/>
      <c r="EDX3" s="30"/>
      <c r="EDY3" s="31"/>
      <c r="EDZ3" s="30"/>
      <c r="EEA3" s="30"/>
      <c r="EEB3" s="30"/>
      <c r="EEC3" s="31"/>
      <c r="EED3" s="30"/>
      <c r="EEE3" s="30"/>
      <c r="EEF3" s="30"/>
      <c r="EEG3" s="31"/>
      <c r="EEH3" s="30"/>
      <c r="EEI3" s="30"/>
      <c r="EEJ3" s="30"/>
      <c r="EEK3" s="31"/>
      <c r="EEL3" s="30"/>
      <c r="EEM3" s="30"/>
      <c r="EEN3" s="30"/>
      <c r="EEO3" s="31"/>
      <c r="EEP3" s="30"/>
      <c r="EEQ3" s="30"/>
      <c r="EER3" s="30"/>
      <c r="EES3" s="31"/>
      <c r="EET3" s="30"/>
      <c r="EEU3" s="30"/>
      <c r="EEV3" s="30"/>
      <c r="EEW3" s="31"/>
      <c r="EEX3" s="30"/>
      <c r="EEY3" s="30"/>
      <c r="EEZ3" s="30"/>
      <c r="EFA3" s="31"/>
      <c r="EFB3" s="30"/>
      <c r="EFC3" s="30"/>
      <c r="EFD3" s="30"/>
      <c r="EFE3" s="31"/>
      <c r="EFF3" s="30"/>
      <c r="EFG3" s="30"/>
      <c r="EFH3" s="30"/>
      <c r="EFI3" s="31"/>
      <c r="EFJ3" s="30"/>
      <c r="EFK3" s="30"/>
      <c r="EFL3" s="30"/>
      <c r="EFM3" s="31"/>
      <c r="EFN3" s="30"/>
      <c r="EFO3" s="30"/>
      <c r="EFP3" s="30"/>
      <c r="EFQ3" s="31"/>
      <c r="EFR3" s="30"/>
      <c r="EFS3" s="30"/>
      <c r="EFT3" s="30"/>
      <c r="EFU3" s="31"/>
      <c r="EFV3" s="30"/>
      <c r="EFW3" s="30"/>
      <c r="EFX3" s="30"/>
      <c r="EFY3" s="31"/>
      <c r="EFZ3" s="30"/>
      <c r="EGA3" s="30"/>
      <c r="EGB3" s="30"/>
      <c r="EGC3" s="31"/>
      <c r="EGD3" s="30"/>
      <c r="EGE3" s="30"/>
      <c r="EGF3" s="30"/>
      <c r="EGG3" s="31"/>
      <c r="EGH3" s="30"/>
      <c r="EGI3" s="30"/>
      <c r="EGJ3" s="30"/>
      <c r="EGK3" s="31"/>
      <c r="EGL3" s="30"/>
      <c r="EGM3" s="30"/>
      <c r="EGN3" s="30"/>
      <c r="EGO3" s="31"/>
      <c r="EGP3" s="30"/>
      <c r="EGQ3" s="30"/>
      <c r="EGR3" s="30"/>
      <c r="EGS3" s="31"/>
      <c r="EGT3" s="30"/>
      <c r="EGU3" s="30"/>
      <c r="EGV3" s="30"/>
      <c r="EGW3" s="31"/>
      <c r="EGX3" s="30"/>
      <c r="EGY3" s="30"/>
      <c r="EGZ3" s="30"/>
      <c r="EHA3" s="31"/>
      <c r="EHB3" s="30"/>
      <c r="EHC3" s="30"/>
      <c r="EHD3" s="30"/>
      <c r="EHE3" s="31"/>
      <c r="EHF3" s="30"/>
      <c r="EHG3" s="30"/>
      <c r="EHH3" s="30"/>
      <c r="EHI3" s="31"/>
      <c r="EHJ3" s="30"/>
      <c r="EHK3" s="30"/>
      <c r="EHL3" s="30"/>
      <c r="EHM3" s="31"/>
      <c r="EHN3" s="30"/>
      <c r="EHO3" s="30"/>
      <c r="EHP3" s="30"/>
      <c r="EHQ3" s="31"/>
      <c r="EHR3" s="30"/>
      <c r="EHS3" s="30"/>
      <c r="EHT3" s="30"/>
      <c r="EHU3" s="31"/>
      <c r="EHV3" s="30"/>
      <c r="EHW3" s="30"/>
      <c r="EHX3" s="30"/>
      <c r="EHY3" s="31"/>
      <c r="EHZ3" s="30"/>
      <c r="EIA3" s="30"/>
      <c r="EIB3" s="30"/>
      <c r="EIC3" s="31"/>
      <c r="EID3" s="30"/>
      <c r="EIE3" s="30"/>
      <c r="EIF3" s="30"/>
      <c r="EIG3" s="31"/>
      <c r="EIH3" s="30"/>
      <c r="EII3" s="30"/>
      <c r="EIJ3" s="30"/>
      <c r="EIK3" s="31"/>
      <c r="EIL3" s="30"/>
      <c r="EIM3" s="30"/>
      <c r="EIN3" s="30"/>
      <c r="EIO3" s="31"/>
      <c r="EIP3" s="30"/>
      <c r="EIQ3" s="30"/>
      <c r="EIR3" s="30"/>
      <c r="EIS3" s="31"/>
      <c r="EIT3" s="30"/>
      <c r="EIU3" s="30"/>
      <c r="EIV3" s="30"/>
      <c r="EIW3" s="31"/>
      <c r="EIX3" s="30"/>
      <c r="EIY3" s="30"/>
      <c r="EIZ3" s="30"/>
      <c r="EJA3" s="31"/>
      <c r="EJB3" s="30"/>
      <c r="EJC3" s="30"/>
      <c r="EJD3" s="30"/>
      <c r="EJE3" s="31"/>
      <c r="EJF3" s="30"/>
      <c r="EJG3" s="30"/>
      <c r="EJH3" s="30"/>
      <c r="EJI3" s="31"/>
      <c r="EJJ3" s="30"/>
      <c r="EJK3" s="30"/>
      <c r="EJL3" s="30"/>
      <c r="EJM3" s="31"/>
      <c r="EJN3" s="30"/>
      <c r="EJO3" s="30"/>
      <c r="EJP3" s="30"/>
      <c r="EJQ3" s="31"/>
      <c r="EJR3" s="30"/>
      <c r="EJS3" s="30"/>
      <c r="EJT3" s="30"/>
      <c r="EJU3" s="31"/>
      <c r="EJV3" s="30"/>
      <c r="EJW3" s="30"/>
      <c r="EJX3" s="30"/>
      <c r="EJY3" s="31"/>
      <c r="EJZ3" s="30"/>
      <c r="EKA3" s="30"/>
      <c r="EKB3" s="30"/>
      <c r="EKC3" s="31"/>
      <c r="EKD3" s="30"/>
      <c r="EKE3" s="30"/>
      <c r="EKF3" s="30"/>
      <c r="EKG3" s="31"/>
      <c r="EKH3" s="30"/>
      <c r="EKI3" s="30"/>
      <c r="EKJ3" s="30"/>
      <c r="EKK3" s="31"/>
      <c r="EKL3" s="30"/>
      <c r="EKM3" s="30"/>
      <c r="EKN3" s="30"/>
      <c r="EKO3" s="31"/>
      <c r="EKP3" s="30"/>
      <c r="EKQ3" s="30"/>
      <c r="EKR3" s="30"/>
      <c r="EKS3" s="31"/>
      <c r="EKT3" s="30"/>
      <c r="EKU3" s="30"/>
      <c r="EKV3" s="30"/>
      <c r="EKW3" s="31"/>
      <c r="EKX3" s="30"/>
      <c r="EKY3" s="30"/>
      <c r="EKZ3" s="30"/>
      <c r="ELA3" s="31"/>
      <c r="ELB3" s="30"/>
      <c r="ELC3" s="30"/>
      <c r="ELD3" s="30"/>
      <c r="ELE3" s="31"/>
      <c r="ELF3" s="30"/>
      <c r="ELG3" s="30"/>
      <c r="ELH3" s="30"/>
      <c r="ELI3" s="31"/>
      <c r="ELJ3" s="30"/>
      <c r="ELK3" s="30"/>
      <c r="ELL3" s="30"/>
      <c r="ELM3" s="31"/>
      <c r="ELN3" s="30"/>
      <c r="ELO3" s="30"/>
      <c r="ELP3" s="30"/>
      <c r="ELQ3" s="31"/>
      <c r="ELR3" s="30"/>
      <c r="ELS3" s="30"/>
      <c r="ELT3" s="30"/>
      <c r="ELU3" s="31"/>
      <c r="ELV3" s="30"/>
      <c r="ELW3" s="30"/>
      <c r="ELX3" s="30"/>
      <c r="ELY3" s="31"/>
      <c r="ELZ3" s="30"/>
      <c r="EMA3" s="30"/>
      <c r="EMB3" s="30"/>
      <c r="EMC3" s="31"/>
      <c r="EMD3" s="30"/>
      <c r="EME3" s="30"/>
      <c r="EMF3" s="30"/>
      <c r="EMG3" s="31"/>
      <c r="EMH3" s="30"/>
      <c r="EMI3" s="30"/>
      <c r="EMJ3" s="30"/>
      <c r="EMK3" s="31"/>
      <c r="EML3" s="30"/>
      <c r="EMM3" s="30"/>
      <c r="EMN3" s="30"/>
      <c r="EMO3" s="31"/>
      <c r="EMP3" s="30"/>
      <c r="EMQ3" s="30"/>
      <c r="EMR3" s="30"/>
      <c r="EMS3" s="31"/>
      <c r="EMT3" s="30"/>
      <c r="EMU3" s="30"/>
      <c r="EMV3" s="30"/>
      <c r="EMW3" s="31"/>
      <c r="EMX3" s="30"/>
      <c r="EMY3" s="30"/>
      <c r="EMZ3" s="30"/>
      <c r="ENA3" s="31"/>
      <c r="ENB3" s="30"/>
      <c r="ENC3" s="30"/>
      <c r="END3" s="30"/>
      <c r="ENE3" s="31"/>
      <c r="ENF3" s="30"/>
      <c r="ENG3" s="30"/>
      <c r="ENH3" s="30"/>
      <c r="ENI3" s="31"/>
      <c r="ENJ3" s="30"/>
      <c r="ENK3" s="30"/>
      <c r="ENL3" s="30"/>
      <c r="ENM3" s="31"/>
      <c r="ENN3" s="30"/>
      <c r="ENO3" s="30"/>
      <c r="ENP3" s="30"/>
      <c r="ENQ3" s="31"/>
      <c r="ENR3" s="30"/>
      <c r="ENS3" s="30"/>
      <c r="ENT3" s="30"/>
      <c r="ENU3" s="31"/>
      <c r="ENV3" s="30"/>
      <c r="ENW3" s="30"/>
      <c r="ENX3" s="30"/>
      <c r="ENY3" s="31"/>
      <c r="ENZ3" s="30"/>
      <c r="EOA3" s="30"/>
      <c r="EOB3" s="30"/>
      <c r="EOC3" s="31"/>
      <c r="EOD3" s="30"/>
      <c r="EOE3" s="30"/>
      <c r="EOF3" s="30"/>
      <c r="EOG3" s="31"/>
      <c r="EOH3" s="30"/>
      <c r="EOI3" s="30"/>
      <c r="EOJ3" s="30"/>
      <c r="EOK3" s="31"/>
      <c r="EOL3" s="30"/>
      <c r="EOM3" s="30"/>
      <c r="EON3" s="30"/>
      <c r="EOO3" s="31"/>
      <c r="EOP3" s="30"/>
      <c r="EOQ3" s="30"/>
      <c r="EOR3" s="30"/>
      <c r="EOS3" s="31"/>
      <c r="EOT3" s="30"/>
      <c r="EOU3" s="30"/>
      <c r="EOV3" s="30"/>
      <c r="EOW3" s="31"/>
      <c r="EOX3" s="30"/>
      <c r="EOY3" s="30"/>
      <c r="EOZ3" s="30"/>
      <c r="EPA3" s="31"/>
      <c r="EPB3" s="30"/>
      <c r="EPC3" s="30"/>
      <c r="EPD3" s="30"/>
      <c r="EPE3" s="31"/>
      <c r="EPF3" s="30"/>
      <c r="EPG3" s="30"/>
      <c r="EPH3" s="30"/>
      <c r="EPI3" s="31"/>
      <c r="EPJ3" s="30"/>
      <c r="EPK3" s="30"/>
      <c r="EPL3" s="30"/>
      <c r="EPM3" s="31"/>
      <c r="EPN3" s="30"/>
      <c r="EPO3" s="30"/>
      <c r="EPP3" s="30"/>
      <c r="EPQ3" s="31"/>
      <c r="EPR3" s="30"/>
      <c r="EPS3" s="30"/>
      <c r="EPT3" s="30"/>
      <c r="EPU3" s="31"/>
      <c r="EPV3" s="30"/>
      <c r="EPW3" s="30"/>
      <c r="EPX3" s="30"/>
      <c r="EPY3" s="31"/>
      <c r="EPZ3" s="30"/>
      <c r="EQA3" s="30"/>
      <c r="EQB3" s="30"/>
      <c r="EQC3" s="31"/>
      <c r="EQD3" s="30"/>
      <c r="EQE3" s="30"/>
      <c r="EQF3" s="30"/>
      <c r="EQG3" s="31"/>
      <c r="EQH3" s="30"/>
      <c r="EQI3" s="30"/>
      <c r="EQJ3" s="30"/>
      <c r="EQK3" s="31"/>
      <c r="EQL3" s="30"/>
      <c r="EQM3" s="30"/>
      <c r="EQN3" s="30"/>
      <c r="EQO3" s="31"/>
      <c r="EQP3" s="30"/>
      <c r="EQQ3" s="30"/>
      <c r="EQR3" s="30"/>
      <c r="EQS3" s="31"/>
      <c r="EQT3" s="30"/>
      <c r="EQU3" s="30"/>
      <c r="EQV3" s="30"/>
      <c r="EQW3" s="31"/>
      <c r="EQX3" s="30"/>
      <c r="EQY3" s="30"/>
      <c r="EQZ3" s="30"/>
      <c r="ERA3" s="31"/>
      <c r="ERB3" s="30"/>
      <c r="ERC3" s="30"/>
      <c r="ERD3" s="30"/>
      <c r="ERE3" s="31"/>
      <c r="ERF3" s="30"/>
      <c r="ERG3" s="30"/>
      <c r="ERH3" s="30"/>
      <c r="ERI3" s="31"/>
      <c r="ERJ3" s="30"/>
      <c r="ERK3" s="30"/>
      <c r="ERL3" s="30"/>
      <c r="ERM3" s="31"/>
      <c r="ERN3" s="30"/>
      <c r="ERO3" s="30"/>
      <c r="ERP3" s="30"/>
      <c r="ERQ3" s="31"/>
      <c r="ERR3" s="30"/>
      <c r="ERS3" s="30"/>
      <c r="ERT3" s="30"/>
      <c r="ERU3" s="31"/>
      <c r="ERV3" s="30"/>
      <c r="ERW3" s="30"/>
      <c r="ERX3" s="30"/>
      <c r="ERY3" s="31"/>
      <c r="ERZ3" s="30"/>
      <c r="ESA3" s="30"/>
      <c r="ESB3" s="30"/>
      <c r="ESC3" s="31"/>
      <c r="ESD3" s="30"/>
      <c r="ESE3" s="30"/>
      <c r="ESF3" s="30"/>
      <c r="ESG3" s="31"/>
      <c r="ESH3" s="30"/>
      <c r="ESI3" s="30"/>
      <c r="ESJ3" s="30"/>
      <c r="ESK3" s="31"/>
      <c r="ESL3" s="30"/>
      <c r="ESM3" s="30"/>
      <c r="ESN3" s="30"/>
      <c r="ESO3" s="31"/>
      <c r="ESP3" s="30"/>
      <c r="ESQ3" s="30"/>
      <c r="ESR3" s="30"/>
      <c r="ESS3" s="31"/>
      <c r="EST3" s="30"/>
      <c r="ESU3" s="30"/>
      <c r="ESV3" s="30"/>
      <c r="ESW3" s="31"/>
      <c r="ESX3" s="30"/>
      <c r="ESY3" s="30"/>
      <c r="ESZ3" s="30"/>
      <c r="ETA3" s="31"/>
      <c r="ETB3" s="30"/>
      <c r="ETC3" s="30"/>
      <c r="ETD3" s="30"/>
      <c r="ETE3" s="31"/>
      <c r="ETF3" s="30"/>
      <c r="ETG3" s="30"/>
      <c r="ETH3" s="30"/>
      <c r="ETI3" s="31"/>
      <c r="ETJ3" s="30"/>
      <c r="ETK3" s="30"/>
      <c r="ETL3" s="30"/>
      <c r="ETM3" s="31"/>
      <c r="ETN3" s="30"/>
      <c r="ETO3" s="30"/>
      <c r="ETP3" s="30"/>
      <c r="ETQ3" s="31"/>
      <c r="ETR3" s="30"/>
      <c r="ETS3" s="30"/>
      <c r="ETT3" s="30"/>
      <c r="ETU3" s="31"/>
      <c r="ETV3" s="30"/>
      <c r="ETW3" s="30"/>
      <c r="ETX3" s="30"/>
      <c r="ETY3" s="31"/>
      <c r="ETZ3" s="30"/>
      <c r="EUA3" s="30"/>
      <c r="EUB3" s="30"/>
      <c r="EUC3" s="31"/>
      <c r="EUD3" s="30"/>
      <c r="EUE3" s="30"/>
      <c r="EUF3" s="30"/>
      <c r="EUG3" s="31"/>
      <c r="EUH3" s="30"/>
      <c r="EUI3" s="30"/>
      <c r="EUJ3" s="30"/>
      <c r="EUK3" s="31"/>
      <c r="EUL3" s="30"/>
      <c r="EUM3" s="30"/>
      <c r="EUN3" s="30"/>
      <c r="EUO3" s="31"/>
      <c r="EUP3" s="30"/>
      <c r="EUQ3" s="30"/>
      <c r="EUR3" s="30"/>
      <c r="EUS3" s="31"/>
      <c r="EUT3" s="30"/>
      <c r="EUU3" s="30"/>
      <c r="EUV3" s="30"/>
      <c r="EUW3" s="31"/>
      <c r="EUX3" s="30"/>
      <c r="EUY3" s="30"/>
      <c r="EUZ3" s="30"/>
      <c r="EVA3" s="31"/>
      <c r="EVB3" s="30"/>
      <c r="EVC3" s="30"/>
      <c r="EVD3" s="30"/>
      <c r="EVE3" s="31"/>
      <c r="EVF3" s="30"/>
      <c r="EVG3" s="30"/>
      <c r="EVH3" s="30"/>
      <c r="EVI3" s="31"/>
      <c r="EVJ3" s="30"/>
      <c r="EVK3" s="30"/>
      <c r="EVL3" s="30"/>
      <c r="EVM3" s="31"/>
      <c r="EVN3" s="30"/>
      <c r="EVO3" s="30"/>
      <c r="EVP3" s="30"/>
      <c r="EVQ3" s="31"/>
      <c r="EVR3" s="30"/>
      <c r="EVS3" s="30"/>
      <c r="EVT3" s="30"/>
      <c r="EVU3" s="31"/>
      <c r="EVV3" s="30"/>
      <c r="EVW3" s="30"/>
      <c r="EVX3" s="30"/>
      <c r="EVY3" s="31"/>
      <c r="EVZ3" s="30"/>
      <c r="EWA3" s="30"/>
      <c r="EWB3" s="30"/>
      <c r="EWC3" s="31"/>
      <c r="EWD3" s="30"/>
      <c r="EWE3" s="30"/>
      <c r="EWF3" s="30"/>
      <c r="EWG3" s="31"/>
      <c r="EWH3" s="30"/>
      <c r="EWI3" s="30"/>
      <c r="EWJ3" s="30"/>
      <c r="EWK3" s="31"/>
      <c r="EWL3" s="30"/>
      <c r="EWM3" s="30"/>
      <c r="EWN3" s="30"/>
      <c r="EWO3" s="31"/>
      <c r="EWP3" s="30"/>
      <c r="EWQ3" s="30"/>
      <c r="EWR3" s="30"/>
      <c r="EWS3" s="31"/>
      <c r="EWT3" s="30"/>
      <c r="EWU3" s="30"/>
      <c r="EWV3" s="30"/>
      <c r="EWW3" s="31"/>
      <c r="EWX3" s="30"/>
      <c r="EWY3" s="30"/>
      <c r="EWZ3" s="30"/>
      <c r="EXA3" s="31"/>
      <c r="EXB3" s="30"/>
      <c r="EXC3" s="30"/>
      <c r="EXD3" s="30"/>
      <c r="EXE3" s="31"/>
      <c r="EXF3" s="30"/>
      <c r="EXG3" s="30"/>
      <c r="EXH3" s="30"/>
      <c r="EXI3" s="31"/>
      <c r="EXJ3" s="30"/>
      <c r="EXK3" s="30"/>
      <c r="EXL3" s="30"/>
      <c r="EXM3" s="31"/>
      <c r="EXN3" s="30"/>
      <c r="EXO3" s="30"/>
      <c r="EXP3" s="30"/>
      <c r="EXQ3" s="31"/>
      <c r="EXR3" s="30"/>
      <c r="EXS3" s="30"/>
      <c r="EXT3" s="30"/>
      <c r="EXU3" s="31"/>
      <c r="EXV3" s="30"/>
      <c r="EXW3" s="30"/>
      <c r="EXX3" s="30"/>
      <c r="EXY3" s="31"/>
      <c r="EXZ3" s="30"/>
      <c r="EYA3" s="30"/>
      <c r="EYB3" s="30"/>
      <c r="EYC3" s="31"/>
      <c r="EYD3" s="30"/>
      <c r="EYE3" s="30"/>
      <c r="EYF3" s="30"/>
      <c r="EYG3" s="31"/>
      <c r="EYH3" s="30"/>
      <c r="EYI3" s="30"/>
      <c r="EYJ3" s="30"/>
      <c r="EYK3" s="31"/>
      <c r="EYL3" s="30"/>
      <c r="EYM3" s="30"/>
      <c r="EYN3" s="30"/>
      <c r="EYO3" s="31"/>
      <c r="EYP3" s="30"/>
      <c r="EYQ3" s="30"/>
      <c r="EYR3" s="30"/>
      <c r="EYS3" s="31"/>
      <c r="EYT3" s="30"/>
      <c r="EYU3" s="30"/>
      <c r="EYV3" s="30"/>
      <c r="EYW3" s="31"/>
      <c r="EYX3" s="30"/>
      <c r="EYY3" s="30"/>
      <c r="EYZ3" s="30"/>
      <c r="EZA3" s="31"/>
      <c r="EZB3" s="30"/>
      <c r="EZC3" s="30"/>
      <c r="EZD3" s="30"/>
      <c r="EZE3" s="31"/>
      <c r="EZF3" s="30"/>
      <c r="EZG3" s="30"/>
      <c r="EZH3" s="30"/>
      <c r="EZI3" s="31"/>
      <c r="EZJ3" s="30"/>
      <c r="EZK3" s="30"/>
      <c r="EZL3" s="30"/>
      <c r="EZM3" s="31"/>
      <c r="EZN3" s="30"/>
      <c r="EZO3" s="30"/>
      <c r="EZP3" s="30"/>
      <c r="EZQ3" s="31"/>
      <c r="EZR3" s="30"/>
      <c r="EZS3" s="30"/>
      <c r="EZT3" s="30"/>
      <c r="EZU3" s="31"/>
      <c r="EZV3" s="30"/>
      <c r="EZW3" s="30"/>
      <c r="EZX3" s="30"/>
      <c r="EZY3" s="31"/>
      <c r="EZZ3" s="30"/>
      <c r="FAA3" s="30"/>
      <c r="FAB3" s="30"/>
      <c r="FAC3" s="31"/>
      <c r="FAD3" s="30"/>
      <c r="FAE3" s="30"/>
      <c r="FAF3" s="30"/>
      <c r="FAG3" s="31"/>
      <c r="FAH3" s="30"/>
      <c r="FAI3" s="30"/>
      <c r="FAJ3" s="30"/>
      <c r="FAK3" s="31"/>
      <c r="FAL3" s="30"/>
      <c r="FAM3" s="30"/>
      <c r="FAN3" s="30"/>
      <c r="FAO3" s="31"/>
      <c r="FAP3" s="30"/>
      <c r="FAQ3" s="30"/>
      <c r="FAR3" s="30"/>
      <c r="FAS3" s="31"/>
      <c r="FAT3" s="30"/>
      <c r="FAU3" s="30"/>
      <c r="FAV3" s="30"/>
      <c r="FAW3" s="31"/>
      <c r="FAX3" s="30"/>
      <c r="FAY3" s="30"/>
      <c r="FAZ3" s="30"/>
      <c r="FBA3" s="31"/>
      <c r="FBB3" s="30"/>
      <c r="FBC3" s="30"/>
      <c r="FBD3" s="30"/>
      <c r="FBE3" s="31"/>
      <c r="FBF3" s="30"/>
      <c r="FBG3" s="30"/>
      <c r="FBH3" s="30"/>
      <c r="FBI3" s="31"/>
      <c r="FBJ3" s="30"/>
      <c r="FBK3" s="30"/>
      <c r="FBL3" s="30"/>
      <c r="FBM3" s="31"/>
      <c r="FBN3" s="30"/>
      <c r="FBO3" s="30"/>
      <c r="FBP3" s="30"/>
      <c r="FBQ3" s="31"/>
      <c r="FBR3" s="30"/>
      <c r="FBS3" s="30"/>
      <c r="FBT3" s="30"/>
      <c r="FBU3" s="31"/>
      <c r="FBV3" s="30"/>
      <c r="FBW3" s="30"/>
      <c r="FBX3" s="30"/>
      <c r="FBY3" s="31"/>
      <c r="FBZ3" s="30"/>
      <c r="FCA3" s="30"/>
      <c r="FCB3" s="30"/>
      <c r="FCC3" s="31"/>
      <c r="FCD3" s="30"/>
      <c r="FCE3" s="30"/>
      <c r="FCF3" s="30"/>
      <c r="FCG3" s="31"/>
      <c r="FCH3" s="30"/>
      <c r="FCI3" s="30"/>
      <c r="FCJ3" s="30"/>
      <c r="FCK3" s="31"/>
      <c r="FCL3" s="30"/>
      <c r="FCM3" s="30"/>
      <c r="FCN3" s="30"/>
      <c r="FCO3" s="31"/>
      <c r="FCP3" s="30"/>
      <c r="FCQ3" s="30"/>
      <c r="FCR3" s="30"/>
      <c r="FCS3" s="31"/>
      <c r="FCT3" s="30"/>
      <c r="FCU3" s="30"/>
      <c r="FCV3" s="30"/>
      <c r="FCW3" s="31"/>
      <c r="FCX3" s="30"/>
      <c r="FCY3" s="30"/>
      <c r="FCZ3" s="30"/>
      <c r="FDA3" s="31"/>
      <c r="FDB3" s="30"/>
      <c r="FDC3" s="30"/>
      <c r="FDD3" s="30"/>
      <c r="FDE3" s="31"/>
      <c r="FDF3" s="30"/>
      <c r="FDG3" s="30"/>
      <c r="FDH3" s="30"/>
      <c r="FDI3" s="31"/>
      <c r="FDJ3" s="30"/>
      <c r="FDK3" s="30"/>
      <c r="FDL3" s="30"/>
      <c r="FDM3" s="31"/>
      <c r="FDN3" s="30"/>
      <c r="FDO3" s="30"/>
      <c r="FDP3" s="30"/>
      <c r="FDQ3" s="31"/>
      <c r="FDR3" s="30"/>
      <c r="FDS3" s="30"/>
      <c r="FDT3" s="30"/>
      <c r="FDU3" s="31"/>
      <c r="FDV3" s="30"/>
      <c r="FDW3" s="30"/>
      <c r="FDX3" s="30"/>
      <c r="FDY3" s="31"/>
      <c r="FDZ3" s="30"/>
      <c r="FEA3" s="30"/>
      <c r="FEB3" s="30"/>
      <c r="FEC3" s="31"/>
      <c r="FED3" s="30"/>
      <c r="FEE3" s="30"/>
      <c r="FEF3" s="30"/>
      <c r="FEG3" s="31"/>
      <c r="FEH3" s="30"/>
      <c r="FEI3" s="30"/>
      <c r="FEJ3" s="30"/>
      <c r="FEK3" s="31"/>
      <c r="FEL3" s="30"/>
      <c r="FEM3" s="30"/>
      <c r="FEN3" s="30"/>
      <c r="FEO3" s="31"/>
      <c r="FEP3" s="30"/>
      <c r="FEQ3" s="30"/>
      <c r="FER3" s="30"/>
      <c r="FES3" s="31"/>
      <c r="FET3" s="30"/>
      <c r="FEU3" s="30"/>
      <c r="FEV3" s="30"/>
      <c r="FEW3" s="31"/>
      <c r="FEX3" s="30"/>
      <c r="FEY3" s="30"/>
      <c r="FEZ3" s="30"/>
      <c r="FFA3" s="31"/>
      <c r="FFB3" s="30"/>
      <c r="FFC3" s="30"/>
      <c r="FFD3" s="30"/>
      <c r="FFE3" s="31"/>
      <c r="FFF3" s="30"/>
      <c r="FFG3" s="30"/>
      <c r="FFH3" s="30"/>
      <c r="FFI3" s="31"/>
      <c r="FFJ3" s="30"/>
      <c r="FFK3" s="30"/>
      <c r="FFL3" s="30"/>
      <c r="FFM3" s="31"/>
      <c r="FFN3" s="30"/>
      <c r="FFO3" s="30"/>
      <c r="FFP3" s="30"/>
      <c r="FFQ3" s="31"/>
      <c r="FFR3" s="30"/>
      <c r="FFS3" s="30"/>
      <c r="FFT3" s="30"/>
      <c r="FFU3" s="31"/>
      <c r="FFV3" s="30"/>
      <c r="FFW3" s="30"/>
      <c r="FFX3" s="30"/>
      <c r="FFY3" s="31"/>
      <c r="FFZ3" s="30"/>
      <c r="FGA3" s="30"/>
      <c r="FGB3" s="30"/>
      <c r="FGC3" s="31"/>
      <c r="FGD3" s="30"/>
      <c r="FGE3" s="30"/>
      <c r="FGF3" s="30"/>
      <c r="FGG3" s="31"/>
      <c r="FGH3" s="30"/>
      <c r="FGI3" s="30"/>
      <c r="FGJ3" s="30"/>
      <c r="FGK3" s="31"/>
      <c r="FGL3" s="30"/>
      <c r="FGM3" s="30"/>
      <c r="FGN3" s="30"/>
      <c r="FGO3" s="31"/>
      <c r="FGP3" s="30"/>
      <c r="FGQ3" s="30"/>
      <c r="FGR3" s="30"/>
      <c r="FGS3" s="31"/>
      <c r="FGT3" s="30"/>
      <c r="FGU3" s="30"/>
      <c r="FGV3" s="30"/>
      <c r="FGW3" s="31"/>
      <c r="FGX3" s="30"/>
      <c r="FGY3" s="30"/>
      <c r="FGZ3" s="30"/>
      <c r="FHA3" s="31"/>
      <c r="FHB3" s="30"/>
      <c r="FHC3" s="30"/>
      <c r="FHD3" s="30"/>
      <c r="FHE3" s="31"/>
      <c r="FHF3" s="30"/>
      <c r="FHG3" s="30"/>
      <c r="FHH3" s="30"/>
      <c r="FHI3" s="31"/>
      <c r="FHJ3" s="30"/>
      <c r="FHK3" s="30"/>
      <c r="FHL3" s="30"/>
      <c r="FHM3" s="31"/>
      <c r="FHN3" s="30"/>
      <c r="FHO3" s="30"/>
      <c r="FHP3" s="30"/>
      <c r="FHQ3" s="31"/>
      <c r="FHR3" s="30"/>
      <c r="FHS3" s="30"/>
      <c r="FHT3" s="30"/>
      <c r="FHU3" s="31"/>
      <c r="FHV3" s="30"/>
      <c r="FHW3" s="30"/>
      <c r="FHX3" s="30"/>
      <c r="FHY3" s="31"/>
      <c r="FHZ3" s="30"/>
      <c r="FIA3" s="30"/>
      <c r="FIB3" s="30"/>
      <c r="FIC3" s="31"/>
      <c r="FID3" s="30"/>
      <c r="FIE3" s="30"/>
      <c r="FIF3" s="30"/>
      <c r="FIG3" s="31"/>
      <c r="FIH3" s="30"/>
      <c r="FII3" s="30"/>
      <c r="FIJ3" s="30"/>
      <c r="FIK3" s="31"/>
      <c r="FIL3" s="30"/>
      <c r="FIM3" s="30"/>
      <c r="FIN3" s="30"/>
      <c r="FIO3" s="31"/>
      <c r="FIP3" s="30"/>
      <c r="FIQ3" s="30"/>
      <c r="FIR3" s="30"/>
      <c r="FIS3" s="31"/>
      <c r="FIT3" s="30"/>
      <c r="FIU3" s="30"/>
      <c r="FIV3" s="30"/>
      <c r="FIW3" s="31"/>
      <c r="FIX3" s="30"/>
      <c r="FIY3" s="30"/>
      <c r="FIZ3" s="30"/>
      <c r="FJA3" s="31"/>
      <c r="FJB3" s="30"/>
      <c r="FJC3" s="30"/>
      <c r="FJD3" s="30"/>
      <c r="FJE3" s="31"/>
      <c r="FJF3" s="30"/>
      <c r="FJG3" s="30"/>
      <c r="FJH3" s="30"/>
      <c r="FJI3" s="31"/>
      <c r="FJJ3" s="30"/>
      <c r="FJK3" s="30"/>
      <c r="FJL3" s="30"/>
      <c r="FJM3" s="31"/>
      <c r="FJN3" s="30"/>
      <c r="FJO3" s="30"/>
      <c r="FJP3" s="30"/>
      <c r="FJQ3" s="31"/>
      <c r="FJR3" s="30"/>
      <c r="FJS3" s="30"/>
      <c r="FJT3" s="30"/>
      <c r="FJU3" s="31"/>
      <c r="FJV3" s="30"/>
      <c r="FJW3" s="30"/>
      <c r="FJX3" s="30"/>
      <c r="FJY3" s="31"/>
      <c r="FJZ3" s="30"/>
      <c r="FKA3" s="30"/>
      <c r="FKB3" s="30"/>
      <c r="FKC3" s="31"/>
      <c r="FKD3" s="30"/>
      <c r="FKE3" s="30"/>
      <c r="FKF3" s="30"/>
      <c r="FKG3" s="31"/>
      <c r="FKH3" s="30"/>
      <c r="FKI3" s="30"/>
      <c r="FKJ3" s="30"/>
      <c r="FKK3" s="31"/>
      <c r="FKL3" s="30"/>
      <c r="FKM3" s="30"/>
      <c r="FKN3" s="30"/>
      <c r="FKO3" s="31"/>
      <c r="FKP3" s="30"/>
      <c r="FKQ3" s="30"/>
      <c r="FKR3" s="30"/>
      <c r="FKS3" s="31"/>
      <c r="FKT3" s="30"/>
      <c r="FKU3" s="30"/>
      <c r="FKV3" s="30"/>
      <c r="FKW3" s="31"/>
      <c r="FKX3" s="30"/>
      <c r="FKY3" s="30"/>
      <c r="FKZ3" s="30"/>
      <c r="FLA3" s="31"/>
      <c r="FLB3" s="30"/>
      <c r="FLC3" s="30"/>
      <c r="FLD3" s="30"/>
      <c r="FLE3" s="31"/>
      <c r="FLF3" s="30"/>
      <c r="FLG3" s="30"/>
      <c r="FLH3" s="30"/>
      <c r="FLI3" s="31"/>
      <c r="FLJ3" s="30"/>
      <c r="FLK3" s="30"/>
      <c r="FLL3" s="30"/>
      <c r="FLM3" s="31"/>
      <c r="FLN3" s="30"/>
      <c r="FLO3" s="30"/>
      <c r="FLP3" s="30"/>
      <c r="FLQ3" s="31"/>
      <c r="FLR3" s="30"/>
      <c r="FLS3" s="30"/>
      <c r="FLT3" s="30"/>
      <c r="FLU3" s="31"/>
      <c r="FLV3" s="30"/>
      <c r="FLW3" s="30"/>
      <c r="FLX3" s="30"/>
      <c r="FLY3" s="31"/>
      <c r="FLZ3" s="30"/>
      <c r="FMA3" s="30"/>
      <c r="FMB3" s="30"/>
      <c r="FMC3" s="31"/>
      <c r="FMD3" s="30"/>
      <c r="FME3" s="30"/>
      <c r="FMF3" s="30"/>
      <c r="FMG3" s="31"/>
      <c r="FMH3" s="30"/>
      <c r="FMI3" s="30"/>
      <c r="FMJ3" s="30"/>
      <c r="FMK3" s="31"/>
      <c r="FML3" s="30"/>
      <c r="FMM3" s="30"/>
      <c r="FMN3" s="30"/>
      <c r="FMO3" s="31"/>
      <c r="FMP3" s="30"/>
      <c r="FMQ3" s="30"/>
      <c r="FMR3" s="30"/>
      <c r="FMS3" s="31"/>
      <c r="FMT3" s="30"/>
      <c r="FMU3" s="30"/>
      <c r="FMV3" s="30"/>
      <c r="FMW3" s="31"/>
      <c r="FMX3" s="30"/>
      <c r="FMY3" s="30"/>
      <c r="FMZ3" s="30"/>
      <c r="FNA3" s="31"/>
      <c r="FNB3" s="30"/>
      <c r="FNC3" s="30"/>
      <c r="FND3" s="30"/>
      <c r="FNE3" s="31"/>
      <c r="FNF3" s="30"/>
      <c r="FNG3" s="30"/>
      <c r="FNH3" s="30"/>
      <c r="FNI3" s="31"/>
      <c r="FNJ3" s="30"/>
      <c r="FNK3" s="30"/>
      <c r="FNL3" s="30"/>
      <c r="FNM3" s="31"/>
      <c r="FNN3" s="30"/>
      <c r="FNO3" s="30"/>
      <c r="FNP3" s="30"/>
      <c r="FNQ3" s="31"/>
      <c r="FNR3" s="30"/>
      <c r="FNS3" s="30"/>
      <c r="FNT3" s="30"/>
      <c r="FNU3" s="31"/>
      <c r="FNV3" s="30"/>
      <c r="FNW3" s="30"/>
      <c r="FNX3" s="30"/>
      <c r="FNY3" s="31"/>
      <c r="FNZ3" s="30"/>
      <c r="FOA3" s="30"/>
      <c r="FOB3" s="30"/>
      <c r="FOC3" s="31"/>
      <c r="FOD3" s="30"/>
      <c r="FOE3" s="30"/>
      <c r="FOF3" s="30"/>
      <c r="FOG3" s="31"/>
      <c r="FOH3" s="30"/>
      <c r="FOI3" s="30"/>
      <c r="FOJ3" s="30"/>
      <c r="FOK3" s="31"/>
      <c r="FOL3" s="30"/>
      <c r="FOM3" s="30"/>
      <c r="FON3" s="30"/>
      <c r="FOO3" s="31"/>
      <c r="FOP3" s="30"/>
      <c r="FOQ3" s="30"/>
      <c r="FOR3" s="30"/>
      <c r="FOS3" s="31"/>
      <c r="FOT3" s="30"/>
      <c r="FOU3" s="30"/>
      <c r="FOV3" s="30"/>
      <c r="FOW3" s="31"/>
      <c r="FOX3" s="30"/>
      <c r="FOY3" s="30"/>
      <c r="FOZ3" s="30"/>
      <c r="FPA3" s="31"/>
      <c r="FPB3" s="30"/>
      <c r="FPC3" s="30"/>
      <c r="FPD3" s="30"/>
      <c r="FPE3" s="31"/>
      <c r="FPF3" s="30"/>
      <c r="FPG3" s="30"/>
      <c r="FPH3" s="30"/>
      <c r="FPI3" s="31"/>
      <c r="FPJ3" s="30"/>
      <c r="FPK3" s="30"/>
      <c r="FPL3" s="30"/>
      <c r="FPM3" s="31"/>
      <c r="FPN3" s="30"/>
      <c r="FPO3" s="30"/>
      <c r="FPP3" s="30"/>
      <c r="FPQ3" s="31"/>
      <c r="FPR3" s="30"/>
      <c r="FPS3" s="30"/>
      <c r="FPT3" s="30"/>
      <c r="FPU3" s="31"/>
      <c r="FPV3" s="30"/>
      <c r="FPW3" s="30"/>
      <c r="FPX3" s="30"/>
      <c r="FPY3" s="31"/>
      <c r="FPZ3" s="30"/>
      <c r="FQA3" s="30"/>
      <c r="FQB3" s="30"/>
      <c r="FQC3" s="31"/>
      <c r="FQD3" s="30"/>
      <c r="FQE3" s="30"/>
      <c r="FQF3" s="30"/>
      <c r="FQG3" s="31"/>
      <c r="FQH3" s="30"/>
      <c r="FQI3" s="30"/>
      <c r="FQJ3" s="30"/>
      <c r="FQK3" s="31"/>
      <c r="FQL3" s="30"/>
      <c r="FQM3" s="30"/>
      <c r="FQN3" s="30"/>
      <c r="FQO3" s="31"/>
      <c r="FQP3" s="30"/>
      <c r="FQQ3" s="30"/>
      <c r="FQR3" s="30"/>
      <c r="FQS3" s="31"/>
      <c r="FQT3" s="30"/>
      <c r="FQU3" s="30"/>
      <c r="FQV3" s="30"/>
      <c r="FQW3" s="31"/>
      <c r="FQX3" s="30"/>
      <c r="FQY3" s="30"/>
      <c r="FQZ3" s="30"/>
      <c r="FRA3" s="31"/>
      <c r="FRB3" s="30"/>
      <c r="FRC3" s="30"/>
      <c r="FRD3" s="30"/>
      <c r="FRE3" s="31"/>
      <c r="FRF3" s="30"/>
      <c r="FRG3" s="30"/>
      <c r="FRH3" s="30"/>
      <c r="FRI3" s="31"/>
      <c r="FRJ3" s="30"/>
      <c r="FRK3" s="30"/>
      <c r="FRL3" s="30"/>
      <c r="FRM3" s="31"/>
      <c r="FRN3" s="30"/>
      <c r="FRO3" s="30"/>
      <c r="FRP3" s="30"/>
      <c r="FRQ3" s="31"/>
      <c r="FRR3" s="30"/>
      <c r="FRS3" s="30"/>
      <c r="FRT3" s="30"/>
      <c r="FRU3" s="31"/>
      <c r="FRV3" s="30"/>
      <c r="FRW3" s="30"/>
      <c r="FRX3" s="30"/>
      <c r="FRY3" s="31"/>
      <c r="FRZ3" s="30"/>
      <c r="FSA3" s="30"/>
      <c r="FSB3" s="30"/>
      <c r="FSC3" s="31"/>
      <c r="FSD3" s="30"/>
      <c r="FSE3" s="30"/>
      <c r="FSF3" s="30"/>
      <c r="FSG3" s="31"/>
      <c r="FSH3" s="30"/>
      <c r="FSI3" s="30"/>
      <c r="FSJ3" s="30"/>
      <c r="FSK3" s="31"/>
      <c r="FSL3" s="30"/>
      <c r="FSM3" s="30"/>
      <c r="FSN3" s="30"/>
      <c r="FSO3" s="31"/>
      <c r="FSP3" s="30"/>
      <c r="FSQ3" s="30"/>
      <c r="FSR3" s="30"/>
      <c r="FSS3" s="31"/>
      <c r="FST3" s="30"/>
      <c r="FSU3" s="30"/>
      <c r="FSV3" s="30"/>
      <c r="FSW3" s="31"/>
      <c r="FSX3" s="30"/>
      <c r="FSY3" s="30"/>
      <c r="FSZ3" s="30"/>
      <c r="FTA3" s="31"/>
      <c r="FTB3" s="30"/>
      <c r="FTC3" s="30"/>
      <c r="FTD3" s="30"/>
      <c r="FTE3" s="31"/>
      <c r="FTF3" s="30"/>
      <c r="FTG3" s="30"/>
      <c r="FTH3" s="30"/>
      <c r="FTI3" s="31"/>
      <c r="FTJ3" s="30"/>
      <c r="FTK3" s="30"/>
      <c r="FTL3" s="30"/>
      <c r="FTM3" s="31"/>
      <c r="FTN3" s="30"/>
      <c r="FTO3" s="30"/>
      <c r="FTP3" s="30"/>
      <c r="FTQ3" s="31"/>
      <c r="FTR3" s="30"/>
      <c r="FTS3" s="30"/>
      <c r="FTT3" s="30"/>
      <c r="FTU3" s="31"/>
      <c r="FTV3" s="30"/>
      <c r="FTW3" s="30"/>
      <c r="FTX3" s="30"/>
      <c r="FTY3" s="31"/>
      <c r="FTZ3" s="30"/>
      <c r="FUA3" s="30"/>
      <c r="FUB3" s="30"/>
      <c r="FUC3" s="31"/>
      <c r="FUD3" s="30"/>
      <c r="FUE3" s="30"/>
      <c r="FUF3" s="30"/>
      <c r="FUG3" s="31"/>
      <c r="FUH3" s="30"/>
      <c r="FUI3" s="30"/>
      <c r="FUJ3" s="30"/>
      <c r="FUK3" s="31"/>
      <c r="FUL3" s="30"/>
      <c r="FUM3" s="30"/>
      <c r="FUN3" s="30"/>
      <c r="FUO3" s="31"/>
      <c r="FUP3" s="30"/>
      <c r="FUQ3" s="30"/>
      <c r="FUR3" s="30"/>
      <c r="FUS3" s="31"/>
      <c r="FUT3" s="30"/>
      <c r="FUU3" s="30"/>
      <c r="FUV3" s="30"/>
      <c r="FUW3" s="31"/>
      <c r="FUX3" s="30"/>
      <c r="FUY3" s="30"/>
      <c r="FUZ3" s="30"/>
      <c r="FVA3" s="31"/>
      <c r="FVB3" s="30"/>
      <c r="FVC3" s="30"/>
      <c r="FVD3" s="30"/>
      <c r="FVE3" s="31"/>
      <c r="FVF3" s="30"/>
      <c r="FVG3" s="30"/>
      <c r="FVH3" s="30"/>
      <c r="FVI3" s="31"/>
      <c r="FVJ3" s="30"/>
      <c r="FVK3" s="30"/>
      <c r="FVL3" s="30"/>
      <c r="FVM3" s="31"/>
      <c r="FVN3" s="30"/>
      <c r="FVO3" s="30"/>
      <c r="FVP3" s="30"/>
      <c r="FVQ3" s="31"/>
      <c r="FVR3" s="30"/>
      <c r="FVS3" s="30"/>
      <c r="FVT3" s="30"/>
      <c r="FVU3" s="31"/>
      <c r="FVV3" s="30"/>
      <c r="FVW3" s="30"/>
      <c r="FVX3" s="30"/>
      <c r="FVY3" s="31"/>
      <c r="FVZ3" s="30"/>
      <c r="FWA3" s="30"/>
      <c r="FWB3" s="30"/>
      <c r="FWC3" s="31"/>
      <c r="FWD3" s="30"/>
      <c r="FWE3" s="30"/>
      <c r="FWF3" s="30"/>
      <c r="FWG3" s="31"/>
      <c r="FWH3" s="30"/>
      <c r="FWI3" s="30"/>
      <c r="FWJ3" s="30"/>
      <c r="FWK3" s="31"/>
      <c r="FWL3" s="30"/>
      <c r="FWM3" s="30"/>
      <c r="FWN3" s="30"/>
      <c r="FWO3" s="31"/>
      <c r="FWP3" s="30"/>
      <c r="FWQ3" s="30"/>
      <c r="FWR3" s="30"/>
      <c r="FWS3" s="31"/>
      <c r="FWT3" s="30"/>
      <c r="FWU3" s="30"/>
      <c r="FWV3" s="30"/>
      <c r="FWW3" s="31"/>
      <c r="FWX3" s="30"/>
      <c r="FWY3" s="30"/>
      <c r="FWZ3" s="30"/>
      <c r="FXA3" s="31"/>
      <c r="FXB3" s="30"/>
      <c r="FXC3" s="30"/>
      <c r="FXD3" s="30"/>
      <c r="FXE3" s="31"/>
      <c r="FXF3" s="30"/>
      <c r="FXG3" s="30"/>
      <c r="FXH3" s="30"/>
      <c r="FXI3" s="31"/>
      <c r="FXJ3" s="30"/>
      <c r="FXK3" s="30"/>
      <c r="FXL3" s="30"/>
      <c r="FXM3" s="31"/>
      <c r="FXN3" s="30"/>
      <c r="FXO3" s="30"/>
      <c r="FXP3" s="30"/>
      <c r="FXQ3" s="31"/>
      <c r="FXR3" s="30"/>
      <c r="FXS3" s="30"/>
      <c r="FXT3" s="30"/>
      <c r="FXU3" s="31"/>
      <c r="FXV3" s="30"/>
      <c r="FXW3" s="30"/>
      <c r="FXX3" s="30"/>
      <c r="FXY3" s="31"/>
      <c r="FXZ3" s="30"/>
      <c r="FYA3" s="30"/>
      <c r="FYB3" s="30"/>
      <c r="FYC3" s="31"/>
      <c r="FYD3" s="30"/>
      <c r="FYE3" s="30"/>
      <c r="FYF3" s="30"/>
      <c r="FYG3" s="31"/>
      <c r="FYH3" s="30"/>
      <c r="FYI3" s="30"/>
      <c r="FYJ3" s="30"/>
      <c r="FYK3" s="31"/>
      <c r="FYL3" s="30"/>
      <c r="FYM3" s="30"/>
      <c r="FYN3" s="30"/>
      <c r="FYO3" s="31"/>
      <c r="FYP3" s="30"/>
      <c r="FYQ3" s="30"/>
      <c r="FYR3" s="30"/>
      <c r="FYS3" s="31"/>
      <c r="FYT3" s="30"/>
      <c r="FYU3" s="30"/>
      <c r="FYV3" s="30"/>
      <c r="FYW3" s="31"/>
      <c r="FYX3" s="30"/>
      <c r="FYY3" s="30"/>
      <c r="FYZ3" s="30"/>
      <c r="FZA3" s="31"/>
      <c r="FZB3" s="30"/>
      <c r="FZC3" s="30"/>
      <c r="FZD3" s="30"/>
      <c r="FZE3" s="31"/>
      <c r="FZF3" s="30"/>
      <c r="FZG3" s="30"/>
      <c r="FZH3" s="30"/>
      <c r="FZI3" s="31"/>
      <c r="FZJ3" s="30"/>
      <c r="FZK3" s="30"/>
      <c r="FZL3" s="30"/>
      <c r="FZM3" s="31"/>
      <c r="FZN3" s="30"/>
      <c r="FZO3" s="30"/>
      <c r="FZP3" s="30"/>
      <c r="FZQ3" s="31"/>
      <c r="FZR3" s="30"/>
      <c r="FZS3" s="30"/>
      <c r="FZT3" s="30"/>
      <c r="FZU3" s="31"/>
      <c r="FZV3" s="30"/>
      <c r="FZW3" s="30"/>
      <c r="FZX3" s="30"/>
      <c r="FZY3" s="31"/>
      <c r="FZZ3" s="30"/>
      <c r="GAA3" s="30"/>
      <c r="GAB3" s="30"/>
      <c r="GAC3" s="31"/>
      <c r="GAD3" s="30"/>
      <c r="GAE3" s="30"/>
      <c r="GAF3" s="30"/>
      <c r="GAG3" s="31"/>
      <c r="GAH3" s="30"/>
      <c r="GAI3" s="30"/>
      <c r="GAJ3" s="30"/>
      <c r="GAK3" s="31"/>
      <c r="GAL3" s="30"/>
      <c r="GAM3" s="30"/>
      <c r="GAN3" s="30"/>
      <c r="GAO3" s="31"/>
      <c r="GAP3" s="30"/>
      <c r="GAQ3" s="30"/>
      <c r="GAR3" s="30"/>
      <c r="GAS3" s="31"/>
      <c r="GAT3" s="30"/>
      <c r="GAU3" s="30"/>
      <c r="GAV3" s="30"/>
      <c r="GAW3" s="31"/>
      <c r="GAX3" s="30"/>
      <c r="GAY3" s="30"/>
      <c r="GAZ3" s="30"/>
      <c r="GBA3" s="31"/>
      <c r="GBB3" s="30"/>
      <c r="GBC3" s="30"/>
      <c r="GBD3" s="30"/>
      <c r="GBE3" s="31"/>
      <c r="GBF3" s="30"/>
      <c r="GBG3" s="30"/>
      <c r="GBH3" s="30"/>
      <c r="GBI3" s="31"/>
      <c r="GBJ3" s="30"/>
      <c r="GBK3" s="30"/>
      <c r="GBL3" s="30"/>
      <c r="GBM3" s="31"/>
      <c r="GBN3" s="30"/>
      <c r="GBO3" s="30"/>
      <c r="GBP3" s="30"/>
      <c r="GBQ3" s="31"/>
      <c r="GBR3" s="30"/>
      <c r="GBS3" s="30"/>
      <c r="GBT3" s="30"/>
      <c r="GBU3" s="31"/>
      <c r="GBV3" s="30"/>
      <c r="GBW3" s="30"/>
      <c r="GBX3" s="30"/>
      <c r="GBY3" s="31"/>
      <c r="GBZ3" s="30"/>
      <c r="GCA3" s="30"/>
      <c r="GCB3" s="30"/>
      <c r="GCC3" s="31"/>
      <c r="GCD3" s="30"/>
      <c r="GCE3" s="30"/>
      <c r="GCF3" s="30"/>
      <c r="GCG3" s="31"/>
      <c r="GCH3" s="30"/>
      <c r="GCI3" s="30"/>
      <c r="GCJ3" s="30"/>
      <c r="GCK3" s="31"/>
      <c r="GCL3" s="30"/>
      <c r="GCM3" s="30"/>
      <c r="GCN3" s="30"/>
      <c r="GCO3" s="31"/>
      <c r="GCP3" s="30"/>
      <c r="GCQ3" s="30"/>
      <c r="GCR3" s="30"/>
      <c r="GCS3" s="31"/>
      <c r="GCT3" s="30"/>
      <c r="GCU3" s="30"/>
      <c r="GCV3" s="30"/>
      <c r="GCW3" s="31"/>
      <c r="GCX3" s="30"/>
      <c r="GCY3" s="30"/>
      <c r="GCZ3" s="30"/>
      <c r="GDA3" s="31"/>
      <c r="GDB3" s="30"/>
      <c r="GDC3" s="30"/>
      <c r="GDD3" s="30"/>
      <c r="GDE3" s="31"/>
      <c r="GDF3" s="30"/>
      <c r="GDG3" s="30"/>
      <c r="GDH3" s="30"/>
      <c r="GDI3" s="31"/>
      <c r="GDJ3" s="30"/>
      <c r="GDK3" s="30"/>
      <c r="GDL3" s="30"/>
      <c r="GDM3" s="31"/>
      <c r="GDN3" s="30"/>
      <c r="GDO3" s="30"/>
      <c r="GDP3" s="30"/>
      <c r="GDQ3" s="31"/>
      <c r="GDR3" s="30"/>
      <c r="GDS3" s="30"/>
      <c r="GDT3" s="30"/>
      <c r="GDU3" s="31"/>
      <c r="GDV3" s="30"/>
      <c r="GDW3" s="30"/>
      <c r="GDX3" s="30"/>
      <c r="GDY3" s="31"/>
      <c r="GDZ3" s="30"/>
      <c r="GEA3" s="30"/>
      <c r="GEB3" s="30"/>
      <c r="GEC3" s="31"/>
      <c r="GED3" s="30"/>
      <c r="GEE3" s="30"/>
      <c r="GEF3" s="30"/>
      <c r="GEG3" s="31"/>
      <c r="GEH3" s="30"/>
      <c r="GEI3" s="30"/>
      <c r="GEJ3" s="30"/>
      <c r="GEK3" s="31"/>
      <c r="GEL3" s="30"/>
      <c r="GEM3" s="30"/>
      <c r="GEN3" s="30"/>
      <c r="GEO3" s="31"/>
      <c r="GEP3" s="30"/>
      <c r="GEQ3" s="30"/>
      <c r="GER3" s="30"/>
      <c r="GES3" s="31"/>
      <c r="GET3" s="30"/>
      <c r="GEU3" s="30"/>
      <c r="GEV3" s="30"/>
      <c r="GEW3" s="31"/>
      <c r="GEX3" s="30"/>
      <c r="GEY3" s="30"/>
      <c r="GEZ3" s="30"/>
      <c r="GFA3" s="31"/>
      <c r="GFB3" s="30"/>
      <c r="GFC3" s="30"/>
      <c r="GFD3" s="30"/>
      <c r="GFE3" s="31"/>
      <c r="GFF3" s="30"/>
      <c r="GFG3" s="30"/>
      <c r="GFH3" s="30"/>
      <c r="GFI3" s="31"/>
      <c r="GFJ3" s="30"/>
      <c r="GFK3" s="30"/>
      <c r="GFL3" s="30"/>
      <c r="GFM3" s="31"/>
      <c r="GFN3" s="30"/>
      <c r="GFO3" s="30"/>
      <c r="GFP3" s="30"/>
      <c r="GFQ3" s="31"/>
      <c r="GFR3" s="30"/>
      <c r="GFS3" s="30"/>
      <c r="GFT3" s="30"/>
      <c r="GFU3" s="31"/>
      <c r="GFV3" s="30"/>
      <c r="GFW3" s="30"/>
      <c r="GFX3" s="30"/>
      <c r="GFY3" s="31"/>
      <c r="GFZ3" s="30"/>
      <c r="GGA3" s="30"/>
      <c r="GGB3" s="30"/>
      <c r="GGC3" s="31"/>
      <c r="GGD3" s="30"/>
      <c r="GGE3" s="30"/>
      <c r="GGF3" s="30"/>
      <c r="GGG3" s="31"/>
      <c r="GGH3" s="30"/>
      <c r="GGI3" s="30"/>
      <c r="GGJ3" s="30"/>
      <c r="GGK3" s="31"/>
      <c r="GGL3" s="30"/>
      <c r="GGM3" s="30"/>
      <c r="GGN3" s="30"/>
      <c r="GGO3" s="31"/>
      <c r="GGP3" s="30"/>
      <c r="GGQ3" s="30"/>
      <c r="GGR3" s="30"/>
      <c r="GGS3" s="31"/>
      <c r="GGT3" s="30"/>
      <c r="GGU3" s="30"/>
      <c r="GGV3" s="30"/>
      <c r="GGW3" s="31"/>
      <c r="GGX3" s="30"/>
      <c r="GGY3" s="30"/>
      <c r="GGZ3" s="30"/>
      <c r="GHA3" s="31"/>
      <c r="GHB3" s="30"/>
      <c r="GHC3" s="30"/>
      <c r="GHD3" s="30"/>
      <c r="GHE3" s="31"/>
      <c r="GHF3" s="30"/>
      <c r="GHG3" s="30"/>
      <c r="GHH3" s="30"/>
      <c r="GHI3" s="31"/>
      <c r="GHJ3" s="30"/>
      <c r="GHK3" s="30"/>
      <c r="GHL3" s="30"/>
      <c r="GHM3" s="31"/>
      <c r="GHN3" s="30"/>
      <c r="GHO3" s="30"/>
      <c r="GHP3" s="30"/>
      <c r="GHQ3" s="31"/>
      <c r="GHR3" s="30"/>
      <c r="GHS3" s="30"/>
      <c r="GHT3" s="30"/>
      <c r="GHU3" s="31"/>
      <c r="GHV3" s="30"/>
      <c r="GHW3" s="30"/>
      <c r="GHX3" s="30"/>
      <c r="GHY3" s="31"/>
      <c r="GHZ3" s="30"/>
      <c r="GIA3" s="30"/>
      <c r="GIB3" s="30"/>
      <c r="GIC3" s="31"/>
      <c r="GID3" s="30"/>
      <c r="GIE3" s="30"/>
      <c r="GIF3" s="30"/>
      <c r="GIG3" s="31"/>
      <c r="GIH3" s="30"/>
      <c r="GII3" s="30"/>
      <c r="GIJ3" s="30"/>
      <c r="GIK3" s="31"/>
      <c r="GIL3" s="30"/>
      <c r="GIM3" s="30"/>
      <c r="GIN3" s="30"/>
      <c r="GIO3" s="31"/>
      <c r="GIP3" s="30"/>
      <c r="GIQ3" s="30"/>
      <c r="GIR3" s="30"/>
      <c r="GIS3" s="31"/>
      <c r="GIT3" s="30"/>
      <c r="GIU3" s="30"/>
      <c r="GIV3" s="30"/>
      <c r="GIW3" s="31"/>
      <c r="GIX3" s="30"/>
      <c r="GIY3" s="30"/>
      <c r="GIZ3" s="30"/>
      <c r="GJA3" s="31"/>
      <c r="GJB3" s="30"/>
      <c r="GJC3" s="30"/>
      <c r="GJD3" s="30"/>
      <c r="GJE3" s="31"/>
      <c r="GJF3" s="30"/>
      <c r="GJG3" s="30"/>
      <c r="GJH3" s="30"/>
      <c r="GJI3" s="31"/>
      <c r="GJJ3" s="30"/>
      <c r="GJK3" s="30"/>
      <c r="GJL3" s="30"/>
      <c r="GJM3" s="31"/>
      <c r="GJN3" s="30"/>
      <c r="GJO3" s="30"/>
      <c r="GJP3" s="30"/>
      <c r="GJQ3" s="31"/>
      <c r="GJR3" s="30"/>
      <c r="GJS3" s="30"/>
      <c r="GJT3" s="30"/>
      <c r="GJU3" s="31"/>
      <c r="GJV3" s="30"/>
      <c r="GJW3" s="30"/>
      <c r="GJX3" s="30"/>
      <c r="GJY3" s="31"/>
      <c r="GJZ3" s="30"/>
      <c r="GKA3" s="30"/>
      <c r="GKB3" s="30"/>
      <c r="GKC3" s="31"/>
      <c r="GKD3" s="30"/>
      <c r="GKE3" s="30"/>
      <c r="GKF3" s="30"/>
      <c r="GKG3" s="31"/>
      <c r="GKH3" s="30"/>
      <c r="GKI3" s="30"/>
      <c r="GKJ3" s="30"/>
      <c r="GKK3" s="31"/>
      <c r="GKL3" s="30"/>
      <c r="GKM3" s="30"/>
      <c r="GKN3" s="30"/>
      <c r="GKO3" s="31"/>
      <c r="GKP3" s="30"/>
      <c r="GKQ3" s="30"/>
      <c r="GKR3" s="30"/>
      <c r="GKS3" s="31"/>
      <c r="GKT3" s="30"/>
      <c r="GKU3" s="30"/>
      <c r="GKV3" s="30"/>
      <c r="GKW3" s="31"/>
      <c r="GKX3" s="30"/>
      <c r="GKY3" s="30"/>
      <c r="GKZ3" s="30"/>
      <c r="GLA3" s="31"/>
      <c r="GLB3" s="30"/>
      <c r="GLC3" s="30"/>
      <c r="GLD3" s="30"/>
      <c r="GLE3" s="31"/>
      <c r="GLF3" s="30"/>
      <c r="GLG3" s="30"/>
      <c r="GLH3" s="30"/>
      <c r="GLI3" s="31"/>
      <c r="GLJ3" s="30"/>
      <c r="GLK3" s="30"/>
      <c r="GLL3" s="30"/>
      <c r="GLM3" s="31"/>
      <c r="GLN3" s="30"/>
      <c r="GLO3" s="30"/>
      <c r="GLP3" s="30"/>
      <c r="GLQ3" s="31"/>
      <c r="GLR3" s="30"/>
      <c r="GLS3" s="30"/>
      <c r="GLT3" s="30"/>
      <c r="GLU3" s="31"/>
      <c r="GLV3" s="30"/>
      <c r="GLW3" s="30"/>
      <c r="GLX3" s="30"/>
      <c r="GLY3" s="31"/>
      <c r="GLZ3" s="30"/>
      <c r="GMA3" s="30"/>
      <c r="GMB3" s="30"/>
      <c r="GMC3" s="31"/>
      <c r="GMD3" s="30"/>
      <c r="GME3" s="30"/>
      <c r="GMF3" s="30"/>
      <c r="GMG3" s="31"/>
      <c r="GMH3" s="30"/>
      <c r="GMI3" s="30"/>
      <c r="GMJ3" s="30"/>
      <c r="GMK3" s="31"/>
      <c r="GML3" s="30"/>
      <c r="GMM3" s="30"/>
      <c r="GMN3" s="30"/>
      <c r="GMO3" s="31"/>
      <c r="GMP3" s="30"/>
      <c r="GMQ3" s="30"/>
      <c r="GMR3" s="30"/>
      <c r="GMS3" s="31"/>
      <c r="GMT3" s="30"/>
      <c r="GMU3" s="30"/>
      <c r="GMV3" s="30"/>
      <c r="GMW3" s="31"/>
      <c r="GMX3" s="30"/>
      <c r="GMY3" s="30"/>
      <c r="GMZ3" s="30"/>
      <c r="GNA3" s="31"/>
      <c r="GNB3" s="30"/>
      <c r="GNC3" s="30"/>
      <c r="GND3" s="30"/>
      <c r="GNE3" s="31"/>
      <c r="GNF3" s="30"/>
      <c r="GNG3" s="30"/>
      <c r="GNH3" s="30"/>
      <c r="GNI3" s="31"/>
      <c r="GNJ3" s="30"/>
      <c r="GNK3" s="30"/>
      <c r="GNL3" s="30"/>
      <c r="GNM3" s="31"/>
      <c r="GNN3" s="30"/>
      <c r="GNO3" s="30"/>
      <c r="GNP3" s="30"/>
      <c r="GNQ3" s="31"/>
      <c r="GNR3" s="30"/>
      <c r="GNS3" s="30"/>
      <c r="GNT3" s="30"/>
      <c r="GNU3" s="31"/>
      <c r="GNV3" s="30"/>
      <c r="GNW3" s="30"/>
      <c r="GNX3" s="30"/>
      <c r="GNY3" s="31"/>
      <c r="GNZ3" s="30"/>
      <c r="GOA3" s="30"/>
      <c r="GOB3" s="30"/>
      <c r="GOC3" s="31"/>
      <c r="GOD3" s="30"/>
      <c r="GOE3" s="30"/>
      <c r="GOF3" s="30"/>
      <c r="GOG3" s="31"/>
      <c r="GOH3" s="30"/>
      <c r="GOI3" s="30"/>
      <c r="GOJ3" s="30"/>
      <c r="GOK3" s="31"/>
      <c r="GOL3" s="30"/>
      <c r="GOM3" s="30"/>
      <c r="GON3" s="30"/>
      <c r="GOO3" s="31"/>
      <c r="GOP3" s="30"/>
      <c r="GOQ3" s="30"/>
      <c r="GOR3" s="30"/>
      <c r="GOS3" s="31"/>
      <c r="GOT3" s="30"/>
      <c r="GOU3" s="30"/>
      <c r="GOV3" s="30"/>
      <c r="GOW3" s="31"/>
      <c r="GOX3" s="30"/>
      <c r="GOY3" s="30"/>
      <c r="GOZ3" s="30"/>
      <c r="GPA3" s="31"/>
      <c r="GPB3" s="30"/>
      <c r="GPC3" s="30"/>
      <c r="GPD3" s="30"/>
      <c r="GPE3" s="31"/>
      <c r="GPF3" s="30"/>
      <c r="GPG3" s="30"/>
      <c r="GPH3" s="30"/>
      <c r="GPI3" s="31"/>
      <c r="GPJ3" s="30"/>
      <c r="GPK3" s="30"/>
      <c r="GPL3" s="30"/>
      <c r="GPM3" s="31"/>
      <c r="GPN3" s="30"/>
      <c r="GPO3" s="30"/>
      <c r="GPP3" s="30"/>
      <c r="GPQ3" s="31"/>
      <c r="GPR3" s="30"/>
      <c r="GPS3" s="30"/>
      <c r="GPT3" s="30"/>
      <c r="GPU3" s="31"/>
      <c r="GPV3" s="30"/>
      <c r="GPW3" s="30"/>
      <c r="GPX3" s="30"/>
      <c r="GPY3" s="31"/>
      <c r="GPZ3" s="30"/>
      <c r="GQA3" s="30"/>
      <c r="GQB3" s="30"/>
      <c r="GQC3" s="31"/>
      <c r="GQD3" s="30"/>
      <c r="GQE3" s="30"/>
      <c r="GQF3" s="30"/>
      <c r="GQG3" s="31"/>
      <c r="GQH3" s="30"/>
      <c r="GQI3" s="30"/>
      <c r="GQJ3" s="30"/>
      <c r="GQK3" s="31"/>
      <c r="GQL3" s="30"/>
      <c r="GQM3" s="30"/>
      <c r="GQN3" s="30"/>
      <c r="GQO3" s="31"/>
      <c r="GQP3" s="30"/>
      <c r="GQQ3" s="30"/>
      <c r="GQR3" s="30"/>
      <c r="GQS3" s="31"/>
      <c r="GQT3" s="30"/>
      <c r="GQU3" s="30"/>
      <c r="GQV3" s="30"/>
      <c r="GQW3" s="31"/>
      <c r="GQX3" s="30"/>
      <c r="GQY3" s="30"/>
      <c r="GQZ3" s="30"/>
      <c r="GRA3" s="31"/>
      <c r="GRB3" s="30"/>
      <c r="GRC3" s="30"/>
      <c r="GRD3" s="30"/>
      <c r="GRE3" s="31"/>
      <c r="GRF3" s="30"/>
      <c r="GRG3" s="30"/>
      <c r="GRH3" s="30"/>
      <c r="GRI3" s="31"/>
      <c r="GRJ3" s="30"/>
      <c r="GRK3" s="30"/>
      <c r="GRL3" s="30"/>
      <c r="GRM3" s="31"/>
      <c r="GRN3" s="30"/>
      <c r="GRO3" s="30"/>
      <c r="GRP3" s="30"/>
      <c r="GRQ3" s="31"/>
      <c r="GRR3" s="30"/>
      <c r="GRS3" s="30"/>
      <c r="GRT3" s="30"/>
      <c r="GRU3" s="31"/>
      <c r="GRV3" s="30"/>
      <c r="GRW3" s="30"/>
      <c r="GRX3" s="30"/>
      <c r="GRY3" s="31"/>
      <c r="GRZ3" s="30"/>
      <c r="GSA3" s="30"/>
      <c r="GSB3" s="30"/>
      <c r="GSC3" s="31"/>
      <c r="GSD3" s="30"/>
      <c r="GSE3" s="30"/>
      <c r="GSF3" s="30"/>
      <c r="GSG3" s="31"/>
      <c r="GSH3" s="30"/>
      <c r="GSI3" s="30"/>
      <c r="GSJ3" s="30"/>
      <c r="GSK3" s="31"/>
      <c r="GSL3" s="30"/>
      <c r="GSM3" s="30"/>
      <c r="GSN3" s="30"/>
      <c r="GSO3" s="31"/>
      <c r="GSP3" s="30"/>
      <c r="GSQ3" s="30"/>
      <c r="GSR3" s="30"/>
      <c r="GSS3" s="31"/>
      <c r="GST3" s="30"/>
      <c r="GSU3" s="30"/>
      <c r="GSV3" s="30"/>
      <c r="GSW3" s="31"/>
      <c r="GSX3" s="30"/>
      <c r="GSY3" s="30"/>
      <c r="GSZ3" s="30"/>
      <c r="GTA3" s="31"/>
      <c r="GTB3" s="30"/>
      <c r="GTC3" s="30"/>
      <c r="GTD3" s="30"/>
      <c r="GTE3" s="31"/>
      <c r="GTF3" s="30"/>
      <c r="GTG3" s="30"/>
      <c r="GTH3" s="30"/>
      <c r="GTI3" s="31"/>
      <c r="GTJ3" s="30"/>
      <c r="GTK3" s="30"/>
      <c r="GTL3" s="30"/>
      <c r="GTM3" s="31"/>
      <c r="GTN3" s="30"/>
      <c r="GTO3" s="30"/>
      <c r="GTP3" s="30"/>
      <c r="GTQ3" s="31"/>
      <c r="GTR3" s="30"/>
      <c r="GTS3" s="30"/>
      <c r="GTT3" s="30"/>
      <c r="GTU3" s="31"/>
      <c r="GTV3" s="30"/>
      <c r="GTW3" s="30"/>
      <c r="GTX3" s="30"/>
      <c r="GTY3" s="31"/>
      <c r="GTZ3" s="30"/>
      <c r="GUA3" s="30"/>
      <c r="GUB3" s="30"/>
      <c r="GUC3" s="31"/>
      <c r="GUD3" s="30"/>
      <c r="GUE3" s="30"/>
      <c r="GUF3" s="30"/>
      <c r="GUG3" s="31"/>
      <c r="GUH3" s="30"/>
      <c r="GUI3" s="30"/>
      <c r="GUJ3" s="30"/>
      <c r="GUK3" s="31"/>
      <c r="GUL3" s="30"/>
      <c r="GUM3" s="30"/>
      <c r="GUN3" s="30"/>
      <c r="GUO3" s="31"/>
      <c r="GUP3" s="30"/>
      <c r="GUQ3" s="30"/>
      <c r="GUR3" s="30"/>
      <c r="GUS3" s="31"/>
      <c r="GUT3" s="30"/>
      <c r="GUU3" s="30"/>
      <c r="GUV3" s="30"/>
      <c r="GUW3" s="31"/>
      <c r="GUX3" s="30"/>
      <c r="GUY3" s="30"/>
      <c r="GUZ3" s="30"/>
      <c r="GVA3" s="31"/>
      <c r="GVB3" s="30"/>
      <c r="GVC3" s="30"/>
      <c r="GVD3" s="30"/>
      <c r="GVE3" s="31"/>
      <c r="GVF3" s="30"/>
      <c r="GVG3" s="30"/>
      <c r="GVH3" s="30"/>
      <c r="GVI3" s="31"/>
      <c r="GVJ3" s="30"/>
      <c r="GVK3" s="30"/>
      <c r="GVL3" s="30"/>
      <c r="GVM3" s="31"/>
      <c r="GVN3" s="30"/>
      <c r="GVO3" s="30"/>
      <c r="GVP3" s="30"/>
      <c r="GVQ3" s="31"/>
      <c r="GVR3" s="30"/>
      <c r="GVS3" s="30"/>
      <c r="GVT3" s="30"/>
      <c r="GVU3" s="31"/>
      <c r="GVV3" s="30"/>
      <c r="GVW3" s="30"/>
      <c r="GVX3" s="30"/>
      <c r="GVY3" s="31"/>
      <c r="GVZ3" s="30"/>
      <c r="GWA3" s="30"/>
      <c r="GWB3" s="30"/>
      <c r="GWC3" s="31"/>
      <c r="GWD3" s="30"/>
      <c r="GWE3" s="30"/>
      <c r="GWF3" s="30"/>
      <c r="GWG3" s="31"/>
      <c r="GWH3" s="30"/>
      <c r="GWI3" s="30"/>
      <c r="GWJ3" s="30"/>
      <c r="GWK3" s="31"/>
      <c r="GWL3" s="30"/>
      <c r="GWM3" s="30"/>
      <c r="GWN3" s="30"/>
      <c r="GWO3" s="31"/>
      <c r="GWP3" s="30"/>
      <c r="GWQ3" s="30"/>
      <c r="GWR3" s="30"/>
      <c r="GWS3" s="31"/>
      <c r="GWT3" s="30"/>
      <c r="GWU3" s="30"/>
      <c r="GWV3" s="30"/>
      <c r="GWW3" s="31"/>
      <c r="GWX3" s="30"/>
      <c r="GWY3" s="30"/>
      <c r="GWZ3" s="30"/>
      <c r="GXA3" s="31"/>
      <c r="GXB3" s="30"/>
      <c r="GXC3" s="30"/>
      <c r="GXD3" s="30"/>
      <c r="GXE3" s="31"/>
      <c r="GXF3" s="30"/>
      <c r="GXG3" s="30"/>
      <c r="GXH3" s="30"/>
      <c r="GXI3" s="31"/>
      <c r="GXJ3" s="30"/>
      <c r="GXK3" s="30"/>
      <c r="GXL3" s="30"/>
      <c r="GXM3" s="31"/>
      <c r="GXN3" s="30"/>
      <c r="GXO3" s="30"/>
      <c r="GXP3" s="30"/>
      <c r="GXQ3" s="31"/>
      <c r="GXR3" s="30"/>
      <c r="GXS3" s="30"/>
      <c r="GXT3" s="30"/>
      <c r="GXU3" s="31"/>
      <c r="GXV3" s="30"/>
      <c r="GXW3" s="30"/>
      <c r="GXX3" s="30"/>
      <c r="GXY3" s="31"/>
      <c r="GXZ3" s="30"/>
      <c r="GYA3" s="30"/>
      <c r="GYB3" s="30"/>
      <c r="GYC3" s="31"/>
      <c r="GYD3" s="30"/>
      <c r="GYE3" s="30"/>
      <c r="GYF3" s="30"/>
      <c r="GYG3" s="31"/>
      <c r="GYH3" s="30"/>
      <c r="GYI3" s="30"/>
      <c r="GYJ3" s="30"/>
      <c r="GYK3" s="31"/>
      <c r="GYL3" s="30"/>
      <c r="GYM3" s="30"/>
      <c r="GYN3" s="30"/>
      <c r="GYO3" s="31"/>
      <c r="GYP3" s="30"/>
      <c r="GYQ3" s="30"/>
      <c r="GYR3" s="30"/>
      <c r="GYS3" s="31"/>
      <c r="GYT3" s="30"/>
      <c r="GYU3" s="30"/>
      <c r="GYV3" s="30"/>
      <c r="GYW3" s="31"/>
      <c r="GYX3" s="30"/>
      <c r="GYY3" s="30"/>
      <c r="GYZ3" s="30"/>
      <c r="GZA3" s="31"/>
      <c r="GZB3" s="30"/>
      <c r="GZC3" s="30"/>
      <c r="GZD3" s="30"/>
      <c r="GZE3" s="31"/>
      <c r="GZF3" s="30"/>
      <c r="GZG3" s="30"/>
      <c r="GZH3" s="30"/>
      <c r="GZI3" s="31"/>
      <c r="GZJ3" s="30"/>
      <c r="GZK3" s="30"/>
      <c r="GZL3" s="30"/>
      <c r="GZM3" s="31"/>
      <c r="GZN3" s="30"/>
      <c r="GZO3" s="30"/>
      <c r="GZP3" s="30"/>
      <c r="GZQ3" s="31"/>
      <c r="GZR3" s="30"/>
      <c r="GZS3" s="30"/>
      <c r="GZT3" s="30"/>
      <c r="GZU3" s="31"/>
      <c r="GZV3" s="30"/>
      <c r="GZW3" s="30"/>
      <c r="GZX3" s="30"/>
      <c r="GZY3" s="31"/>
      <c r="GZZ3" s="30"/>
      <c r="HAA3" s="30"/>
      <c r="HAB3" s="30"/>
      <c r="HAC3" s="31"/>
      <c r="HAD3" s="30"/>
      <c r="HAE3" s="30"/>
      <c r="HAF3" s="30"/>
      <c r="HAG3" s="31"/>
      <c r="HAH3" s="30"/>
      <c r="HAI3" s="30"/>
      <c r="HAJ3" s="30"/>
      <c r="HAK3" s="31"/>
      <c r="HAL3" s="30"/>
      <c r="HAM3" s="30"/>
      <c r="HAN3" s="30"/>
      <c r="HAO3" s="31"/>
      <c r="HAP3" s="30"/>
      <c r="HAQ3" s="30"/>
      <c r="HAR3" s="30"/>
      <c r="HAS3" s="31"/>
      <c r="HAT3" s="30"/>
      <c r="HAU3" s="30"/>
      <c r="HAV3" s="30"/>
      <c r="HAW3" s="31"/>
      <c r="HAX3" s="30"/>
      <c r="HAY3" s="30"/>
      <c r="HAZ3" s="30"/>
      <c r="HBA3" s="31"/>
      <c r="HBB3" s="30"/>
      <c r="HBC3" s="30"/>
      <c r="HBD3" s="30"/>
      <c r="HBE3" s="31"/>
      <c r="HBF3" s="30"/>
      <c r="HBG3" s="30"/>
      <c r="HBH3" s="30"/>
      <c r="HBI3" s="31"/>
      <c r="HBJ3" s="30"/>
      <c r="HBK3" s="30"/>
      <c r="HBL3" s="30"/>
      <c r="HBM3" s="31"/>
      <c r="HBN3" s="30"/>
      <c r="HBO3" s="30"/>
      <c r="HBP3" s="30"/>
      <c r="HBQ3" s="31"/>
      <c r="HBR3" s="30"/>
      <c r="HBS3" s="30"/>
      <c r="HBT3" s="30"/>
      <c r="HBU3" s="31"/>
      <c r="HBV3" s="30"/>
      <c r="HBW3" s="30"/>
      <c r="HBX3" s="30"/>
      <c r="HBY3" s="31"/>
      <c r="HBZ3" s="30"/>
      <c r="HCA3" s="30"/>
      <c r="HCB3" s="30"/>
      <c r="HCC3" s="31"/>
      <c r="HCD3" s="30"/>
      <c r="HCE3" s="30"/>
      <c r="HCF3" s="30"/>
      <c r="HCG3" s="31"/>
      <c r="HCH3" s="30"/>
      <c r="HCI3" s="30"/>
      <c r="HCJ3" s="30"/>
      <c r="HCK3" s="31"/>
      <c r="HCL3" s="30"/>
      <c r="HCM3" s="30"/>
      <c r="HCN3" s="30"/>
      <c r="HCO3" s="31"/>
      <c r="HCP3" s="30"/>
      <c r="HCQ3" s="30"/>
      <c r="HCR3" s="30"/>
      <c r="HCS3" s="31"/>
      <c r="HCT3" s="30"/>
      <c r="HCU3" s="30"/>
      <c r="HCV3" s="30"/>
      <c r="HCW3" s="31"/>
      <c r="HCX3" s="30"/>
      <c r="HCY3" s="30"/>
      <c r="HCZ3" s="30"/>
      <c r="HDA3" s="31"/>
      <c r="HDB3" s="30"/>
      <c r="HDC3" s="30"/>
      <c r="HDD3" s="30"/>
      <c r="HDE3" s="31"/>
      <c r="HDF3" s="30"/>
      <c r="HDG3" s="30"/>
      <c r="HDH3" s="30"/>
      <c r="HDI3" s="31"/>
      <c r="HDJ3" s="30"/>
      <c r="HDK3" s="30"/>
      <c r="HDL3" s="30"/>
      <c r="HDM3" s="31"/>
      <c r="HDN3" s="30"/>
      <c r="HDO3" s="30"/>
      <c r="HDP3" s="30"/>
      <c r="HDQ3" s="31"/>
      <c r="HDR3" s="30"/>
      <c r="HDS3" s="30"/>
      <c r="HDT3" s="30"/>
      <c r="HDU3" s="31"/>
      <c r="HDV3" s="30"/>
      <c r="HDW3" s="30"/>
      <c r="HDX3" s="30"/>
      <c r="HDY3" s="31"/>
      <c r="HDZ3" s="30"/>
      <c r="HEA3" s="30"/>
      <c r="HEB3" s="30"/>
      <c r="HEC3" s="31"/>
      <c r="HED3" s="30"/>
      <c r="HEE3" s="30"/>
      <c r="HEF3" s="30"/>
      <c r="HEG3" s="31"/>
      <c r="HEH3" s="30"/>
      <c r="HEI3" s="30"/>
      <c r="HEJ3" s="30"/>
      <c r="HEK3" s="31"/>
      <c r="HEL3" s="30"/>
      <c r="HEM3" s="30"/>
      <c r="HEN3" s="30"/>
      <c r="HEO3" s="31"/>
      <c r="HEP3" s="30"/>
      <c r="HEQ3" s="30"/>
      <c r="HER3" s="30"/>
      <c r="HES3" s="31"/>
      <c r="HET3" s="30"/>
      <c r="HEU3" s="30"/>
      <c r="HEV3" s="30"/>
      <c r="HEW3" s="31"/>
      <c r="HEX3" s="30"/>
      <c r="HEY3" s="30"/>
      <c r="HEZ3" s="30"/>
      <c r="HFA3" s="31"/>
      <c r="HFB3" s="30"/>
      <c r="HFC3" s="30"/>
      <c r="HFD3" s="30"/>
      <c r="HFE3" s="31"/>
      <c r="HFF3" s="30"/>
      <c r="HFG3" s="30"/>
      <c r="HFH3" s="30"/>
      <c r="HFI3" s="31"/>
      <c r="HFJ3" s="30"/>
      <c r="HFK3" s="30"/>
      <c r="HFL3" s="30"/>
      <c r="HFM3" s="31"/>
      <c r="HFN3" s="30"/>
      <c r="HFO3" s="30"/>
      <c r="HFP3" s="30"/>
      <c r="HFQ3" s="31"/>
      <c r="HFR3" s="30"/>
      <c r="HFS3" s="30"/>
      <c r="HFT3" s="30"/>
      <c r="HFU3" s="31"/>
      <c r="HFV3" s="30"/>
      <c r="HFW3" s="30"/>
      <c r="HFX3" s="30"/>
      <c r="HFY3" s="31"/>
      <c r="HFZ3" s="30"/>
      <c r="HGA3" s="30"/>
      <c r="HGB3" s="30"/>
      <c r="HGC3" s="31"/>
      <c r="HGD3" s="30"/>
      <c r="HGE3" s="30"/>
      <c r="HGF3" s="30"/>
      <c r="HGG3" s="31"/>
      <c r="HGH3" s="30"/>
      <c r="HGI3" s="30"/>
      <c r="HGJ3" s="30"/>
      <c r="HGK3" s="31"/>
      <c r="HGL3" s="30"/>
      <c r="HGM3" s="30"/>
      <c r="HGN3" s="30"/>
      <c r="HGO3" s="31"/>
      <c r="HGP3" s="30"/>
      <c r="HGQ3" s="30"/>
      <c r="HGR3" s="30"/>
      <c r="HGS3" s="31"/>
      <c r="HGT3" s="30"/>
      <c r="HGU3" s="30"/>
      <c r="HGV3" s="30"/>
      <c r="HGW3" s="31"/>
      <c r="HGX3" s="30"/>
      <c r="HGY3" s="30"/>
      <c r="HGZ3" s="30"/>
      <c r="HHA3" s="31"/>
      <c r="HHB3" s="30"/>
      <c r="HHC3" s="30"/>
      <c r="HHD3" s="30"/>
      <c r="HHE3" s="31"/>
      <c r="HHF3" s="30"/>
      <c r="HHG3" s="30"/>
      <c r="HHH3" s="30"/>
      <c r="HHI3" s="31"/>
      <c r="HHJ3" s="30"/>
      <c r="HHK3" s="30"/>
      <c r="HHL3" s="30"/>
      <c r="HHM3" s="31"/>
      <c r="HHN3" s="30"/>
      <c r="HHO3" s="30"/>
      <c r="HHP3" s="30"/>
      <c r="HHQ3" s="31"/>
      <c r="HHR3" s="30"/>
      <c r="HHS3" s="30"/>
      <c r="HHT3" s="30"/>
      <c r="HHU3" s="31"/>
      <c r="HHV3" s="30"/>
      <c r="HHW3" s="30"/>
      <c r="HHX3" s="30"/>
      <c r="HHY3" s="31"/>
      <c r="HHZ3" s="30"/>
      <c r="HIA3" s="30"/>
      <c r="HIB3" s="30"/>
      <c r="HIC3" s="31"/>
      <c r="HID3" s="30"/>
      <c r="HIE3" s="30"/>
      <c r="HIF3" s="30"/>
      <c r="HIG3" s="31"/>
      <c r="HIH3" s="30"/>
      <c r="HII3" s="30"/>
      <c r="HIJ3" s="30"/>
      <c r="HIK3" s="31"/>
      <c r="HIL3" s="30"/>
      <c r="HIM3" s="30"/>
      <c r="HIN3" s="30"/>
      <c r="HIO3" s="31"/>
      <c r="HIP3" s="30"/>
      <c r="HIQ3" s="30"/>
      <c r="HIR3" s="30"/>
      <c r="HIS3" s="31"/>
      <c r="HIT3" s="30"/>
      <c r="HIU3" s="30"/>
      <c r="HIV3" s="30"/>
      <c r="HIW3" s="31"/>
      <c r="HIX3" s="30"/>
      <c r="HIY3" s="30"/>
      <c r="HIZ3" s="30"/>
      <c r="HJA3" s="31"/>
      <c r="HJB3" s="30"/>
      <c r="HJC3" s="30"/>
      <c r="HJD3" s="30"/>
      <c r="HJE3" s="31"/>
      <c r="HJF3" s="30"/>
      <c r="HJG3" s="30"/>
      <c r="HJH3" s="30"/>
      <c r="HJI3" s="31"/>
      <c r="HJJ3" s="30"/>
      <c r="HJK3" s="30"/>
      <c r="HJL3" s="30"/>
      <c r="HJM3" s="31"/>
      <c r="HJN3" s="30"/>
      <c r="HJO3" s="30"/>
      <c r="HJP3" s="30"/>
      <c r="HJQ3" s="31"/>
      <c r="HJR3" s="30"/>
      <c r="HJS3" s="30"/>
      <c r="HJT3" s="30"/>
      <c r="HJU3" s="31"/>
      <c r="HJV3" s="30"/>
      <c r="HJW3" s="30"/>
      <c r="HJX3" s="30"/>
      <c r="HJY3" s="31"/>
      <c r="HJZ3" s="30"/>
      <c r="HKA3" s="30"/>
      <c r="HKB3" s="30"/>
      <c r="HKC3" s="31"/>
      <c r="HKD3" s="30"/>
      <c r="HKE3" s="30"/>
      <c r="HKF3" s="30"/>
      <c r="HKG3" s="31"/>
      <c r="HKH3" s="30"/>
      <c r="HKI3" s="30"/>
      <c r="HKJ3" s="30"/>
      <c r="HKK3" s="31"/>
      <c r="HKL3" s="30"/>
      <c r="HKM3" s="30"/>
      <c r="HKN3" s="30"/>
      <c r="HKO3" s="31"/>
      <c r="HKP3" s="30"/>
      <c r="HKQ3" s="30"/>
      <c r="HKR3" s="30"/>
      <c r="HKS3" s="31"/>
      <c r="HKT3" s="30"/>
      <c r="HKU3" s="30"/>
      <c r="HKV3" s="30"/>
      <c r="HKW3" s="31"/>
      <c r="HKX3" s="30"/>
      <c r="HKY3" s="30"/>
      <c r="HKZ3" s="30"/>
      <c r="HLA3" s="31"/>
      <c r="HLB3" s="30"/>
      <c r="HLC3" s="30"/>
      <c r="HLD3" s="30"/>
      <c r="HLE3" s="31"/>
      <c r="HLF3" s="30"/>
      <c r="HLG3" s="30"/>
      <c r="HLH3" s="30"/>
      <c r="HLI3" s="31"/>
      <c r="HLJ3" s="30"/>
      <c r="HLK3" s="30"/>
      <c r="HLL3" s="30"/>
      <c r="HLM3" s="31"/>
      <c r="HLN3" s="30"/>
      <c r="HLO3" s="30"/>
      <c r="HLP3" s="30"/>
      <c r="HLQ3" s="31"/>
      <c r="HLR3" s="30"/>
      <c r="HLS3" s="30"/>
      <c r="HLT3" s="30"/>
      <c r="HLU3" s="31"/>
      <c r="HLV3" s="30"/>
      <c r="HLW3" s="30"/>
      <c r="HLX3" s="30"/>
      <c r="HLY3" s="31"/>
      <c r="HLZ3" s="30"/>
      <c r="HMA3" s="30"/>
      <c r="HMB3" s="30"/>
      <c r="HMC3" s="31"/>
      <c r="HMD3" s="30"/>
      <c r="HME3" s="30"/>
      <c r="HMF3" s="30"/>
      <c r="HMG3" s="31"/>
      <c r="HMH3" s="30"/>
      <c r="HMI3" s="30"/>
      <c r="HMJ3" s="30"/>
      <c r="HMK3" s="31"/>
      <c r="HML3" s="30"/>
      <c r="HMM3" s="30"/>
      <c r="HMN3" s="30"/>
      <c r="HMO3" s="31"/>
      <c r="HMP3" s="30"/>
      <c r="HMQ3" s="30"/>
      <c r="HMR3" s="30"/>
      <c r="HMS3" s="31"/>
      <c r="HMT3" s="30"/>
      <c r="HMU3" s="30"/>
      <c r="HMV3" s="30"/>
      <c r="HMW3" s="31"/>
      <c r="HMX3" s="30"/>
      <c r="HMY3" s="30"/>
      <c r="HMZ3" s="30"/>
      <c r="HNA3" s="31"/>
      <c r="HNB3" s="30"/>
      <c r="HNC3" s="30"/>
      <c r="HND3" s="30"/>
      <c r="HNE3" s="31"/>
      <c r="HNF3" s="30"/>
      <c r="HNG3" s="30"/>
      <c r="HNH3" s="30"/>
      <c r="HNI3" s="31"/>
      <c r="HNJ3" s="30"/>
      <c r="HNK3" s="30"/>
      <c r="HNL3" s="30"/>
      <c r="HNM3" s="31"/>
      <c r="HNN3" s="30"/>
      <c r="HNO3" s="30"/>
      <c r="HNP3" s="30"/>
      <c r="HNQ3" s="31"/>
      <c r="HNR3" s="30"/>
      <c r="HNS3" s="30"/>
      <c r="HNT3" s="30"/>
      <c r="HNU3" s="31"/>
      <c r="HNV3" s="30"/>
      <c r="HNW3" s="30"/>
      <c r="HNX3" s="30"/>
      <c r="HNY3" s="31"/>
      <c r="HNZ3" s="30"/>
      <c r="HOA3" s="30"/>
      <c r="HOB3" s="30"/>
      <c r="HOC3" s="31"/>
      <c r="HOD3" s="30"/>
      <c r="HOE3" s="30"/>
      <c r="HOF3" s="30"/>
      <c r="HOG3" s="31"/>
      <c r="HOH3" s="30"/>
      <c r="HOI3" s="30"/>
      <c r="HOJ3" s="30"/>
      <c r="HOK3" s="31"/>
      <c r="HOL3" s="30"/>
      <c r="HOM3" s="30"/>
      <c r="HON3" s="30"/>
      <c r="HOO3" s="31"/>
      <c r="HOP3" s="30"/>
      <c r="HOQ3" s="30"/>
      <c r="HOR3" s="30"/>
      <c r="HOS3" s="31"/>
      <c r="HOT3" s="30"/>
      <c r="HOU3" s="30"/>
      <c r="HOV3" s="30"/>
      <c r="HOW3" s="31"/>
      <c r="HOX3" s="30"/>
      <c r="HOY3" s="30"/>
      <c r="HOZ3" s="30"/>
      <c r="HPA3" s="31"/>
      <c r="HPB3" s="30"/>
      <c r="HPC3" s="30"/>
      <c r="HPD3" s="30"/>
      <c r="HPE3" s="31"/>
      <c r="HPF3" s="30"/>
      <c r="HPG3" s="30"/>
      <c r="HPH3" s="30"/>
      <c r="HPI3" s="31"/>
      <c r="HPJ3" s="30"/>
      <c r="HPK3" s="30"/>
      <c r="HPL3" s="30"/>
      <c r="HPM3" s="31"/>
      <c r="HPN3" s="30"/>
      <c r="HPO3" s="30"/>
      <c r="HPP3" s="30"/>
      <c r="HPQ3" s="31"/>
      <c r="HPR3" s="30"/>
      <c r="HPS3" s="30"/>
      <c r="HPT3" s="30"/>
      <c r="HPU3" s="31"/>
      <c r="HPV3" s="30"/>
      <c r="HPW3" s="30"/>
      <c r="HPX3" s="30"/>
      <c r="HPY3" s="31"/>
      <c r="HPZ3" s="30"/>
      <c r="HQA3" s="30"/>
      <c r="HQB3" s="30"/>
      <c r="HQC3" s="31"/>
      <c r="HQD3" s="30"/>
      <c r="HQE3" s="30"/>
      <c r="HQF3" s="30"/>
      <c r="HQG3" s="31"/>
      <c r="HQH3" s="30"/>
      <c r="HQI3" s="30"/>
      <c r="HQJ3" s="30"/>
      <c r="HQK3" s="31"/>
      <c r="HQL3" s="30"/>
      <c r="HQM3" s="30"/>
      <c r="HQN3" s="30"/>
      <c r="HQO3" s="31"/>
      <c r="HQP3" s="30"/>
      <c r="HQQ3" s="30"/>
      <c r="HQR3" s="30"/>
      <c r="HQS3" s="31"/>
      <c r="HQT3" s="30"/>
      <c r="HQU3" s="30"/>
      <c r="HQV3" s="30"/>
      <c r="HQW3" s="31"/>
      <c r="HQX3" s="30"/>
      <c r="HQY3" s="30"/>
      <c r="HQZ3" s="30"/>
      <c r="HRA3" s="31"/>
      <c r="HRB3" s="30"/>
      <c r="HRC3" s="30"/>
      <c r="HRD3" s="30"/>
      <c r="HRE3" s="31"/>
      <c r="HRF3" s="30"/>
      <c r="HRG3" s="30"/>
      <c r="HRH3" s="30"/>
      <c r="HRI3" s="31"/>
      <c r="HRJ3" s="30"/>
      <c r="HRK3" s="30"/>
      <c r="HRL3" s="30"/>
      <c r="HRM3" s="31"/>
      <c r="HRN3" s="30"/>
      <c r="HRO3" s="30"/>
      <c r="HRP3" s="30"/>
      <c r="HRQ3" s="31"/>
      <c r="HRR3" s="30"/>
      <c r="HRS3" s="30"/>
      <c r="HRT3" s="30"/>
      <c r="HRU3" s="31"/>
      <c r="HRV3" s="30"/>
      <c r="HRW3" s="30"/>
      <c r="HRX3" s="30"/>
      <c r="HRY3" s="31"/>
      <c r="HRZ3" s="30"/>
      <c r="HSA3" s="30"/>
      <c r="HSB3" s="30"/>
      <c r="HSC3" s="31"/>
      <c r="HSD3" s="30"/>
      <c r="HSE3" s="30"/>
      <c r="HSF3" s="30"/>
      <c r="HSG3" s="31"/>
      <c r="HSH3" s="30"/>
      <c r="HSI3" s="30"/>
      <c r="HSJ3" s="30"/>
      <c r="HSK3" s="31"/>
      <c r="HSL3" s="30"/>
      <c r="HSM3" s="30"/>
      <c r="HSN3" s="30"/>
      <c r="HSO3" s="31"/>
      <c r="HSP3" s="30"/>
      <c r="HSQ3" s="30"/>
      <c r="HSR3" s="30"/>
      <c r="HSS3" s="31"/>
      <c r="HST3" s="30"/>
      <c r="HSU3" s="30"/>
      <c r="HSV3" s="30"/>
      <c r="HSW3" s="31"/>
      <c r="HSX3" s="30"/>
      <c r="HSY3" s="30"/>
      <c r="HSZ3" s="30"/>
      <c r="HTA3" s="31"/>
      <c r="HTB3" s="30"/>
      <c r="HTC3" s="30"/>
      <c r="HTD3" s="30"/>
      <c r="HTE3" s="31"/>
      <c r="HTF3" s="30"/>
      <c r="HTG3" s="30"/>
      <c r="HTH3" s="30"/>
      <c r="HTI3" s="31"/>
      <c r="HTJ3" s="30"/>
      <c r="HTK3" s="30"/>
      <c r="HTL3" s="30"/>
      <c r="HTM3" s="31"/>
      <c r="HTN3" s="30"/>
      <c r="HTO3" s="30"/>
      <c r="HTP3" s="30"/>
      <c r="HTQ3" s="31"/>
      <c r="HTR3" s="30"/>
      <c r="HTS3" s="30"/>
      <c r="HTT3" s="30"/>
      <c r="HTU3" s="31"/>
      <c r="HTV3" s="30"/>
      <c r="HTW3" s="30"/>
      <c r="HTX3" s="30"/>
      <c r="HTY3" s="31"/>
      <c r="HTZ3" s="30"/>
      <c r="HUA3" s="30"/>
      <c r="HUB3" s="30"/>
      <c r="HUC3" s="31"/>
      <c r="HUD3" s="30"/>
      <c r="HUE3" s="30"/>
      <c r="HUF3" s="30"/>
      <c r="HUG3" s="31"/>
      <c r="HUH3" s="30"/>
      <c r="HUI3" s="30"/>
      <c r="HUJ3" s="30"/>
      <c r="HUK3" s="31"/>
      <c r="HUL3" s="30"/>
      <c r="HUM3" s="30"/>
      <c r="HUN3" s="30"/>
      <c r="HUO3" s="31"/>
      <c r="HUP3" s="30"/>
      <c r="HUQ3" s="30"/>
      <c r="HUR3" s="30"/>
      <c r="HUS3" s="31"/>
      <c r="HUT3" s="30"/>
      <c r="HUU3" s="30"/>
      <c r="HUV3" s="30"/>
      <c r="HUW3" s="31"/>
      <c r="HUX3" s="30"/>
      <c r="HUY3" s="30"/>
      <c r="HUZ3" s="30"/>
      <c r="HVA3" s="31"/>
      <c r="HVB3" s="30"/>
      <c r="HVC3" s="30"/>
      <c r="HVD3" s="30"/>
      <c r="HVE3" s="31"/>
      <c r="HVF3" s="30"/>
      <c r="HVG3" s="30"/>
      <c r="HVH3" s="30"/>
      <c r="HVI3" s="31"/>
      <c r="HVJ3" s="30"/>
      <c r="HVK3" s="30"/>
      <c r="HVL3" s="30"/>
      <c r="HVM3" s="31"/>
      <c r="HVN3" s="30"/>
      <c r="HVO3" s="30"/>
      <c r="HVP3" s="30"/>
      <c r="HVQ3" s="31"/>
      <c r="HVR3" s="30"/>
      <c r="HVS3" s="30"/>
      <c r="HVT3" s="30"/>
      <c r="HVU3" s="31"/>
      <c r="HVV3" s="30"/>
      <c r="HVW3" s="30"/>
      <c r="HVX3" s="30"/>
      <c r="HVY3" s="31"/>
      <c r="HVZ3" s="30"/>
      <c r="HWA3" s="30"/>
      <c r="HWB3" s="30"/>
      <c r="HWC3" s="31"/>
      <c r="HWD3" s="30"/>
      <c r="HWE3" s="30"/>
      <c r="HWF3" s="30"/>
      <c r="HWG3" s="31"/>
      <c r="HWH3" s="30"/>
      <c r="HWI3" s="30"/>
      <c r="HWJ3" s="30"/>
      <c r="HWK3" s="31"/>
      <c r="HWL3" s="30"/>
      <c r="HWM3" s="30"/>
      <c r="HWN3" s="30"/>
      <c r="HWO3" s="31"/>
      <c r="HWP3" s="30"/>
      <c r="HWQ3" s="30"/>
      <c r="HWR3" s="30"/>
      <c r="HWS3" s="31"/>
      <c r="HWT3" s="30"/>
      <c r="HWU3" s="30"/>
      <c r="HWV3" s="30"/>
      <c r="HWW3" s="31"/>
      <c r="HWX3" s="30"/>
      <c r="HWY3" s="30"/>
      <c r="HWZ3" s="30"/>
      <c r="HXA3" s="31"/>
      <c r="HXB3" s="30"/>
      <c r="HXC3" s="30"/>
      <c r="HXD3" s="30"/>
      <c r="HXE3" s="31"/>
      <c r="HXF3" s="30"/>
      <c r="HXG3" s="30"/>
      <c r="HXH3" s="30"/>
      <c r="HXI3" s="31"/>
      <c r="HXJ3" s="30"/>
      <c r="HXK3" s="30"/>
      <c r="HXL3" s="30"/>
      <c r="HXM3" s="31"/>
      <c r="HXN3" s="30"/>
      <c r="HXO3" s="30"/>
      <c r="HXP3" s="30"/>
      <c r="HXQ3" s="31"/>
      <c r="HXR3" s="30"/>
      <c r="HXS3" s="30"/>
      <c r="HXT3" s="30"/>
      <c r="HXU3" s="31"/>
      <c r="HXV3" s="30"/>
      <c r="HXW3" s="30"/>
      <c r="HXX3" s="30"/>
      <c r="HXY3" s="31"/>
      <c r="HXZ3" s="30"/>
      <c r="HYA3" s="30"/>
      <c r="HYB3" s="30"/>
      <c r="HYC3" s="31"/>
      <c r="HYD3" s="30"/>
      <c r="HYE3" s="30"/>
      <c r="HYF3" s="30"/>
      <c r="HYG3" s="31"/>
      <c r="HYH3" s="30"/>
      <c r="HYI3" s="30"/>
      <c r="HYJ3" s="30"/>
      <c r="HYK3" s="31"/>
      <c r="HYL3" s="30"/>
      <c r="HYM3" s="30"/>
      <c r="HYN3" s="30"/>
      <c r="HYO3" s="31"/>
      <c r="HYP3" s="30"/>
      <c r="HYQ3" s="30"/>
      <c r="HYR3" s="30"/>
      <c r="HYS3" s="31"/>
      <c r="HYT3" s="30"/>
      <c r="HYU3" s="30"/>
      <c r="HYV3" s="30"/>
      <c r="HYW3" s="31"/>
      <c r="HYX3" s="30"/>
      <c r="HYY3" s="30"/>
      <c r="HYZ3" s="30"/>
      <c r="HZA3" s="31"/>
      <c r="HZB3" s="30"/>
      <c r="HZC3" s="30"/>
      <c r="HZD3" s="30"/>
      <c r="HZE3" s="31"/>
      <c r="HZF3" s="30"/>
      <c r="HZG3" s="30"/>
      <c r="HZH3" s="30"/>
      <c r="HZI3" s="31"/>
      <c r="HZJ3" s="30"/>
      <c r="HZK3" s="30"/>
      <c r="HZL3" s="30"/>
      <c r="HZM3" s="31"/>
      <c r="HZN3" s="30"/>
      <c r="HZO3" s="30"/>
      <c r="HZP3" s="30"/>
      <c r="HZQ3" s="31"/>
      <c r="HZR3" s="30"/>
      <c r="HZS3" s="30"/>
      <c r="HZT3" s="30"/>
      <c r="HZU3" s="31"/>
      <c r="HZV3" s="30"/>
      <c r="HZW3" s="30"/>
      <c r="HZX3" s="30"/>
      <c r="HZY3" s="31"/>
      <c r="HZZ3" s="30"/>
      <c r="IAA3" s="30"/>
      <c r="IAB3" s="30"/>
      <c r="IAC3" s="31"/>
      <c r="IAD3" s="30"/>
      <c r="IAE3" s="30"/>
      <c r="IAF3" s="30"/>
      <c r="IAG3" s="31"/>
      <c r="IAH3" s="30"/>
      <c r="IAI3" s="30"/>
      <c r="IAJ3" s="30"/>
      <c r="IAK3" s="31"/>
      <c r="IAL3" s="30"/>
      <c r="IAM3" s="30"/>
      <c r="IAN3" s="30"/>
      <c r="IAO3" s="31"/>
      <c r="IAP3" s="30"/>
      <c r="IAQ3" s="30"/>
      <c r="IAR3" s="30"/>
      <c r="IAS3" s="31"/>
      <c r="IAT3" s="30"/>
      <c r="IAU3" s="30"/>
      <c r="IAV3" s="30"/>
      <c r="IAW3" s="31"/>
      <c r="IAX3" s="30"/>
      <c r="IAY3" s="30"/>
      <c r="IAZ3" s="30"/>
      <c r="IBA3" s="31"/>
      <c r="IBB3" s="30"/>
      <c r="IBC3" s="30"/>
      <c r="IBD3" s="30"/>
      <c r="IBE3" s="31"/>
      <c r="IBF3" s="30"/>
      <c r="IBG3" s="30"/>
      <c r="IBH3" s="30"/>
      <c r="IBI3" s="31"/>
      <c r="IBJ3" s="30"/>
      <c r="IBK3" s="30"/>
      <c r="IBL3" s="30"/>
      <c r="IBM3" s="31"/>
      <c r="IBN3" s="30"/>
      <c r="IBO3" s="30"/>
      <c r="IBP3" s="30"/>
      <c r="IBQ3" s="31"/>
      <c r="IBR3" s="30"/>
      <c r="IBS3" s="30"/>
      <c r="IBT3" s="30"/>
      <c r="IBU3" s="31"/>
      <c r="IBV3" s="30"/>
      <c r="IBW3" s="30"/>
      <c r="IBX3" s="30"/>
      <c r="IBY3" s="31"/>
      <c r="IBZ3" s="30"/>
      <c r="ICA3" s="30"/>
      <c r="ICB3" s="30"/>
      <c r="ICC3" s="31"/>
      <c r="ICD3" s="30"/>
      <c r="ICE3" s="30"/>
      <c r="ICF3" s="30"/>
      <c r="ICG3" s="31"/>
      <c r="ICH3" s="30"/>
      <c r="ICI3" s="30"/>
      <c r="ICJ3" s="30"/>
      <c r="ICK3" s="31"/>
      <c r="ICL3" s="30"/>
      <c r="ICM3" s="30"/>
      <c r="ICN3" s="30"/>
      <c r="ICO3" s="31"/>
      <c r="ICP3" s="30"/>
      <c r="ICQ3" s="30"/>
      <c r="ICR3" s="30"/>
      <c r="ICS3" s="31"/>
      <c r="ICT3" s="30"/>
      <c r="ICU3" s="30"/>
      <c r="ICV3" s="30"/>
      <c r="ICW3" s="31"/>
      <c r="ICX3" s="30"/>
      <c r="ICY3" s="30"/>
      <c r="ICZ3" s="30"/>
      <c r="IDA3" s="31"/>
      <c r="IDB3" s="30"/>
      <c r="IDC3" s="30"/>
      <c r="IDD3" s="30"/>
      <c r="IDE3" s="31"/>
      <c r="IDF3" s="30"/>
      <c r="IDG3" s="30"/>
      <c r="IDH3" s="30"/>
      <c r="IDI3" s="31"/>
      <c r="IDJ3" s="30"/>
      <c r="IDK3" s="30"/>
      <c r="IDL3" s="30"/>
      <c r="IDM3" s="31"/>
      <c r="IDN3" s="30"/>
      <c r="IDO3" s="30"/>
      <c r="IDP3" s="30"/>
      <c r="IDQ3" s="31"/>
      <c r="IDR3" s="30"/>
      <c r="IDS3" s="30"/>
      <c r="IDT3" s="30"/>
      <c r="IDU3" s="31"/>
      <c r="IDV3" s="30"/>
      <c r="IDW3" s="30"/>
      <c r="IDX3" s="30"/>
      <c r="IDY3" s="31"/>
      <c r="IDZ3" s="30"/>
      <c r="IEA3" s="30"/>
      <c r="IEB3" s="30"/>
      <c r="IEC3" s="31"/>
      <c r="IED3" s="30"/>
      <c r="IEE3" s="30"/>
      <c r="IEF3" s="30"/>
      <c r="IEG3" s="31"/>
      <c r="IEH3" s="30"/>
      <c r="IEI3" s="30"/>
      <c r="IEJ3" s="30"/>
      <c r="IEK3" s="31"/>
      <c r="IEL3" s="30"/>
      <c r="IEM3" s="30"/>
      <c r="IEN3" s="30"/>
      <c r="IEO3" s="31"/>
      <c r="IEP3" s="30"/>
      <c r="IEQ3" s="30"/>
      <c r="IER3" s="30"/>
      <c r="IES3" s="31"/>
      <c r="IET3" s="30"/>
      <c r="IEU3" s="30"/>
      <c r="IEV3" s="30"/>
      <c r="IEW3" s="31"/>
      <c r="IEX3" s="30"/>
      <c r="IEY3" s="30"/>
      <c r="IEZ3" s="30"/>
      <c r="IFA3" s="31"/>
      <c r="IFB3" s="30"/>
      <c r="IFC3" s="30"/>
      <c r="IFD3" s="30"/>
      <c r="IFE3" s="31"/>
      <c r="IFF3" s="30"/>
      <c r="IFG3" s="30"/>
      <c r="IFH3" s="30"/>
      <c r="IFI3" s="31"/>
      <c r="IFJ3" s="30"/>
      <c r="IFK3" s="30"/>
      <c r="IFL3" s="30"/>
      <c r="IFM3" s="31"/>
      <c r="IFN3" s="30"/>
      <c r="IFO3" s="30"/>
      <c r="IFP3" s="30"/>
      <c r="IFQ3" s="31"/>
      <c r="IFR3" s="30"/>
      <c r="IFS3" s="30"/>
      <c r="IFT3" s="30"/>
      <c r="IFU3" s="31"/>
      <c r="IFV3" s="30"/>
      <c r="IFW3" s="30"/>
      <c r="IFX3" s="30"/>
      <c r="IFY3" s="31"/>
      <c r="IFZ3" s="30"/>
      <c r="IGA3" s="30"/>
      <c r="IGB3" s="30"/>
      <c r="IGC3" s="31"/>
      <c r="IGD3" s="30"/>
      <c r="IGE3" s="30"/>
      <c r="IGF3" s="30"/>
      <c r="IGG3" s="31"/>
      <c r="IGH3" s="30"/>
      <c r="IGI3" s="30"/>
      <c r="IGJ3" s="30"/>
      <c r="IGK3" s="31"/>
      <c r="IGL3" s="30"/>
      <c r="IGM3" s="30"/>
      <c r="IGN3" s="30"/>
      <c r="IGO3" s="31"/>
      <c r="IGP3" s="30"/>
      <c r="IGQ3" s="30"/>
      <c r="IGR3" s="30"/>
      <c r="IGS3" s="31"/>
      <c r="IGT3" s="30"/>
      <c r="IGU3" s="30"/>
      <c r="IGV3" s="30"/>
      <c r="IGW3" s="31"/>
      <c r="IGX3" s="30"/>
      <c r="IGY3" s="30"/>
      <c r="IGZ3" s="30"/>
      <c r="IHA3" s="31"/>
      <c r="IHB3" s="30"/>
      <c r="IHC3" s="30"/>
      <c r="IHD3" s="30"/>
      <c r="IHE3" s="31"/>
      <c r="IHF3" s="30"/>
      <c r="IHG3" s="30"/>
      <c r="IHH3" s="30"/>
      <c r="IHI3" s="31"/>
      <c r="IHJ3" s="30"/>
      <c r="IHK3" s="30"/>
      <c r="IHL3" s="30"/>
      <c r="IHM3" s="31"/>
      <c r="IHN3" s="30"/>
      <c r="IHO3" s="30"/>
      <c r="IHP3" s="30"/>
      <c r="IHQ3" s="31"/>
      <c r="IHR3" s="30"/>
      <c r="IHS3" s="30"/>
      <c r="IHT3" s="30"/>
      <c r="IHU3" s="31"/>
      <c r="IHV3" s="30"/>
      <c r="IHW3" s="30"/>
      <c r="IHX3" s="30"/>
      <c r="IHY3" s="31"/>
      <c r="IHZ3" s="30"/>
      <c r="IIA3" s="30"/>
      <c r="IIB3" s="30"/>
      <c r="IIC3" s="31"/>
      <c r="IID3" s="30"/>
      <c r="IIE3" s="30"/>
      <c r="IIF3" s="30"/>
      <c r="IIG3" s="31"/>
      <c r="IIH3" s="30"/>
      <c r="III3" s="30"/>
      <c r="IIJ3" s="30"/>
      <c r="IIK3" s="31"/>
      <c r="IIL3" s="30"/>
      <c r="IIM3" s="30"/>
      <c r="IIN3" s="30"/>
      <c r="IIO3" s="31"/>
      <c r="IIP3" s="30"/>
      <c r="IIQ3" s="30"/>
      <c r="IIR3" s="30"/>
      <c r="IIS3" s="31"/>
      <c r="IIT3" s="30"/>
      <c r="IIU3" s="30"/>
      <c r="IIV3" s="30"/>
      <c r="IIW3" s="31"/>
      <c r="IIX3" s="30"/>
      <c r="IIY3" s="30"/>
      <c r="IIZ3" s="30"/>
      <c r="IJA3" s="31"/>
      <c r="IJB3" s="30"/>
      <c r="IJC3" s="30"/>
      <c r="IJD3" s="30"/>
      <c r="IJE3" s="31"/>
      <c r="IJF3" s="30"/>
      <c r="IJG3" s="30"/>
      <c r="IJH3" s="30"/>
      <c r="IJI3" s="31"/>
      <c r="IJJ3" s="30"/>
      <c r="IJK3" s="30"/>
      <c r="IJL3" s="30"/>
      <c r="IJM3" s="31"/>
      <c r="IJN3" s="30"/>
      <c r="IJO3" s="30"/>
      <c r="IJP3" s="30"/>
      <c r="IJQ3" s="31"/>
      <c r="IJR3" s="30"/>
      <c r="IJS3" s="30"/>
      <c r="IJT3" s="30"/>
      <c r="IJU3" s="31"/>
      <c r="IJV3" s="30"/>
      <c r="IJW3" s="30"/>
      <c r="IJX3" s="30"/>
      <c r="IJY3" s="31"/>
      <c r="IJZ3" s="30"/>
      <c r="IKA3" s="30"/>
      <c r="IKB3" s="30"/>
      <c r="IKC3" s="31"/>
      <c r="IKD3" s="30"/>
      <c r="IKE3" s="30"/>
      <c r="IKF3" s="30"/>
      <c r="IKG3" s="31"/>
      <c r="IKH3" s="30"/>
      <c r="IKI3" s="30"/>
      <c r="IKJ3" s="30"/>
      <c r="IKK3" s="31"/>
      <c r="IKL3" s="30"/>
      <c r="IKM3" s="30"/>
      <c r="IKN3" s="30"/>
      <c r="IKO3" s="31"/>
      <c r="IKP3" s="30"/>
      <c r="IKQ3" s="30"/>
      <c r="IKR3" s="30"/>
      <c r="IKS3" s="31"/>
      <c r="IKT3" s="30"/>
      <c r="IKU3" s="30"/>
      <c r="IKV3" s="30"/>
      <c r="IKW3" s="31"/>
      <c r="IKX3" s="30"/>
      <c r="IKY3" s="30"/>
      <c r="IKZ3" s="30"/>
      <c r="ILA3" s="31"/>
      <c r="ILB3" s="30"/>
      <c r="ILC3" s="30"/>
      <c r="ILD3" s="30"/>
      <c r="ILE3" s="31"/>
      <c r="ILF3" s="30"/>
      <c r="ILG3" s="30"/>
      <c r="ILH3" s="30"/>
      <c r="ILI3" s="31"/>
      <c r="ILJ3" s="30"/>
      <c r="ILK3" s="30"/>
      <c r="ILL3" s="30"/>
      <c r="ILM3" s="31"/>
      <c r="ILN3" s="30"/>
      <c r="ILO3" s="30"/>
      <c r="ILP3" s="30"/>
      <c r="ILQ3" s="31"/>
      <c r="ILR3" s="30"/>
      <c r="ILS3" s="30"/>
      <c r="ILT3" s="30"/>
      <c r="ILU3" s="31"/>
      <c r="ILV3" s="30"/>
      <c r="ILW3" s="30"/>
      <c r="ILX3" s="30"/>
      <c r="ILY3" s="31"/>
      <c r="ILZ3" s="30"/>
      <c r="IMA3" s="30"/>
      <c r="IMB3" s="30"/>
      <c r="IMC3" s="31"/>
      <c r="IMD3" s="30"/>
      <c r="IME3" s="30"/>
      <c r="IMF3" s="30"/>
      <c r="IMG3" s="31"/>
      <c r="IMH3" s="30"/>
      <c r="IMI3" s="30"/>
      <c r="IMJ3" s="30"/>
      <c r="IMK3" s="31"/>
      <c r="IML3" s="30"/>
      <c r="IMM3" s="30"/>
      <c r="IMN3" s="30"/>
      <c r="IMO3" s="31"/>
      <c r="IMP3" s="30"/>
      <c r="IMQ3" s="30"/>
      <c r="IMR3" s="30"/>
      <c r="IMS3" s="31"/>
      <c r="IMT3" s="30"/>
      <c r="IMU3" s="30"/>
      <c r="IMV3" s="30"/>
      <c r="IMW3" s="31"/>
      <c r="IMX3" s="30"/>
      <c r="IMY3" s="30"/>
      <c r="IMZ3" s="30"/>
      <c r="INA3" s="31"/>
      <c r="INB3" s="30"/>
      <c r="INC3" s="30"/>
      <c r="IND3" s="30"/>
      <c r="INE3" s="31"/>
      <c r="INF3" s="30"/>
      <c r="ING3" s="30"/>
      <c r="INH3" s="30"/>
      <c r="INI3" s="31"/>
      <c r="INJ3" s="30"/>
      <c r="INK3" s="30"/>
      <c r="INL3" s="30"/>
      <c r="INM3" s="31"/>
      <c r="INN3" s="30"/>
      <c r="INO3" s="30"/>
      <c r="INP3" s="30"/>
      <c r="INQ3" s="31"/>
      <c r="INR3" s="30"/>
      <c r="INS3" s="30"/>
      <c r="INT3" s="30"/>
      <c r="INU3" s="31"/>
      <c r="INV3" s="30"/>
      <c r="INW3" s="30"/>
      <c r="INX3" s="30"/>
      <c r="INY3" s="31"/>
      <c r="INZ3" s="30"/>
      <c r="IOA3" s="30"/>
      <c r="IOB3" s="30"/>
      <c r="IOC3" s="31"/>
      <c r="IOD3" s="30"/>
      <c r="IOE3" s="30"/>
      <c r="IOF3" s="30"/>
      <c r="IOG3" s="31"/>
      <c r="IOH3" s="30"/>
      <c r="IOI3" s="30"/>
      <c r="IOJ3" s="30"/>
      <c r="IOK3" s="31"/>
      <c r="IOL3" s="30"/>
      <c r="IOM3" s="30"/>
      <c r="ION3" s="30"/>
      <c r="IOO3" s="31"/>
      <c r="IOP3" s="30"/>
      <c r="IOQ3" s="30"/>
      <c r="IOR3" s="30"/>
      <c r="IOS3" s="31"/>
      <c r="IOT3" s="30"/>
      <c r="IOU3" s="30"/>
      <c r="IOV3" s="30"/>
      <c r="IOW3" s="31"/>
      <c r="IOX3" s="30"/>
      <c r="IOY3" s="30"/>
      <c r="IOZ3" s="30"/>
      <c r="IPA3" s="31"/>
      <c r="IPB3" s="30"/>
      <c r="IPC3" s="30"/>
      <c r="IPD3" s="30"/>
      <c r="IPE3" s="31"/>
      <c r="IPF3" s="30"/>
      <c r="IPG3" s="30"/>
      <c r="IPH3" s="30"/>
      <c r="IPI3" s="31"/>
      <c r="IPJ3" s="30"/>
      <c r="IPK3" s="30"/>
      <c r="IPL3" s="30"/>
      <c r="IPM3" s="31"/>
      <c r="IPN3" s="30"/>
      <c r="IPO3" s="30"/>
      <c r="IPP3" s="30"/>
      <c r="IPQ3" s="31"/>
      <c r="IPR3" s="30"/>
      <c r="IPS3" s="30"/>
      <c r="IPT3" s="30"/>
      <c r="IPU3" s="31"/>
      <c r="IPV3" s="30"/>
      <c r="IPW3" s="30"/>
      <c r="IPX3" s="30"/>
      <c r="IPY3" s="31"/>
      <c r="IPZ3" s="30"/>
      <c r="IQA3" s="30"/>
      <c r="IQB3" s="30"/>
      <c r="IQC3" s="31"/>
      <c r="IQD3" s="30"/>
      <c r="IQE3" s="30"/>
      <c r="IQF3" s="30"/>
      <c r="IQG3" s="31"/>
      <c r="IQH3" s="30"/>
      <c r="IQI3" s="30"/>
      <c r="IQJ3" s="30"/>
      <c r="IQK3" s="31"/>
      <c r="IQL3" s="30"/>
      <c r="IQM3" s="30"/>
      <c r="IQN3" s="30"/>
      <c r="IQO3" s="31"/>
      <c r="IQP3" s="30"/>
      <c r="IQQ3" s="30"/>
      <c r="IQR3" s="30"/>
      <c r="IQS3" s="31"/>
      <c r="IQT3" s="30"/>
      <c r="IQU3" s="30"/>
      <c r="IQV3" s="30"/>
      <c r="IQW3" s="31"/>
      <c r="IQX3" s="30"/>
      <c r="IQY3" s="30"/>
      <c r="IQZ3" s="30"/>
      <c r="IRA3" s="31"/>
      <c r="IRB3" s="30"/>
      <c r="IRC3" s="30"/>
      <c r="IRD3" s="30"/>
      <c r="IRE3" s="31"/>
      <c r="IRF3" s="30"/>
      <c r="IRG3" s="30"/>
      <c r="IRH3" s="30"/>
      <c r="IRI3" s="31"/>
      <c r="IRJ3" s="30"/>
      <c r="IRK3" s="30"/>
      <c r="IRL3" s="30"/>
      <c r="IRM3" s="31"/>
      <c r="IRN3" s="30"/>
      <c r="IRO3" s="30"/>
      <c r="IRP3" s="30"/>
      <c r="IRQ3" s="31"/>
      <c r="IRR3" s="30"/>
      <c r="IRS3" s="30"/>
      <c r="IRT3" s="30"/>
      <c r="IRU3" s="31"/>
      <c r="IRV3" s="30"/>
      <c r="IRW3" s="30"/>
      <c r="IRX3" s="30"/>
      <c r="IRY3" s="31"/>
      <c r="IRZ3" s="30"/>
      <c r="ISA3" s="30"/>
      <c r="ISB3" s="30"/>
      <c r="ISC3" s="31"/>
      <c r="ISD3" s="30"/>
      <c r="ISE3" s="30"/>
      <c r="ISF3" s="30"/>
      <c r="ISG3" s="31"/>
      <c r="ISH3" s="30"/>
      <c r="ISI3" s="30"/>
      <c r="ISJ3" s="30"/>
      <c r="ISK3" s="31"/>
      <c r="ISL3" s="30"/>
      <c r="ISM3" s="30"/>
      <c r="ISN3" s="30"/>
      <c r="ISO3" s="31"/>
      <c r="ISP3" s="30"/>
      <c r="ISQ3" s="30"/>
      <c r="ISR3" s="30"/>
      <c r="ISS3" s="31"/>
      <c r="IST3" s="30"/>
      <c r="ISU3" s="30"/>
      <c r="ISV3" s="30"/>
      <c r="ISW3" s="31"/>
      <c r="ISX3" s="30"/>
      <c r="ISY3" s="30"/>
      <c r="ISZ3" s="30"/>
      <c r="ITA3" s="31"/>
      <c r="ITB3" s="30"/>
      <c r="ITC3" s="30"/>
      <c r="ITD3" s="30"/>
      <c r="ITE3" s="31"/>
      <c r="ITF3" s="30"/>
      <c r="ITG3" s="30"/>
      <c r="ITH3" s="30"/>
      <c r="ITI3" s="31"/>
      <c r="ITJ3" s="30"/>
      <c r="ITK3" s="30"/>
      <c r="ITL3" s="30"/>
      <c r="ITM3" s="31"/>
      <c r="ITN3" s="30"/>
      <c r="ITO3" s="30"/>
      <c r="ITP3" s="30"/>
      <c r="ITQ3" s="31"/>
      <c r="ITR3" s="30"/>
      <c r="ITS3" s="30"/>
      <c r="ITT3" s="30"/>
      <c r="ITU3" s="31"/>
      <c r="ITV3" s="30"/>
      <c r="ITW3" s="30"/>
      <c r="ITX3" s="30"/>
      <c r="ITY3" s="31"/>
      <c r="ITZ3" s="30"/>
      <c r="IUA3" s="30"/>
      <c r="IUB3" s="30"/>
      <c r="IUC3" s="31"/>
      <c r="IUD3" s="30"/>
      <c r="IUE3" s="30"/>
      <c r="IUF3" s="30"/>
      <c r="IUG3" s="31"/>
      <c r="IUH3" s="30"/>
      <c r="IUI3" s="30"/>
      <c r="IUJ3" s="30"/>
      <c r="IUK3" s="31"/>
      <c r="IUL3" s="30"/>
      <c r="IUM3" s="30"/>
      <c r="IUN3" s="30"/>
      <c r="IUO3" s="31"/>
      <c r="IUP3" s="30"/>
      <c r="IUQ3" s="30"/>
      <c r="IUR3" s="30"/>
      <c r="IUS3" s="31"/>
      <c r="IUT3" s="30"/>
      <c r="IUU3" s="30"/>
      <c r="IUV3" s="30"/>
      <c r="IUW3" s="31"/>
      <c r="IUX3" s="30"/>
      <c r="IUY3" s="30"/>
      <c r="IUZ3" s="30"/>
      <c r="IVA3" s="31"/>
      <c r="IVB3" s="30"/>
      <c r="IVC3" s="30"/>
      <c r="IVD3" s="30"/>
      <c r="IVE3" s="31"/>
      <c r="IVF3" s="30"/>
      <c r="IVG3" s="30"/>
      <c r="IVH3" s="30"/>
      <c r="IVI3" s="31"/>
      <c r="IVJ3" s="30"/>
      <c r="IVK3" s="30"/>
      <c r="IVL3" s="30"/>
      <c r="IVM3" s="31"/>
      <c r="IVN3" s="30"/>
      <c r="IVO3" s="30"/>
      <c r="IVP3" s="30"/>
      <c r="IVQ3" s="31"/>
      <c r="IVR3" s="30"/>
      <c r="IVS3" s="30"/>
      <c r="IVT3" s="30"/>
      <c r="IVU3" s="31"/>
      <c r="IVV3" s="30"/>
      <c r="IVW3" s="30"/>
      <c r="IVX3" s="30"/>
      <c r="IVY3" s="31"/>
      <c r="IVZ3" s="30"/>
      <c r="IWA3" s="30"/>
      <c r="IWB3" s="30"/>
      <c r="IWC3" s="31"/>
      <c r="IWD3" s="30"/>
      <c r="IWE3" s="30"/>
      <c r="IWF3" s="30"/>
      <c r="IWG3" s="31"/>
      <c r="IWH3" s="30"/>
      <c r="IWI3" s="30"/>
      <c r="IWJ3" s="30"/>
      <c r="IWK3" s="31"/>
      <c r="IWL3" s="30"/>
      <c r="IWM3" s="30"/>
      <c r="IWN3" s="30"/>
      <c r="IWO3" s="31"/>
      <c r="IWP3" s="30"/>
      <c r="IWQ3" s="30"/>
      <c r="IWR3" s="30"/>
      <c r="IWS3" s="31"/>
      <c r="IWT3" s="30"/>
      <c r="IWU3" s="30"/>
      <c r="IWV3" s="30"/>
      <c r="IWW3" s="31"/>
      <c r="IWX3" s="30"/>
      <c r="IWY3" s="30"/>
      <c r="IWZ3" s="30"/>
      <c r="IXA3" s="31"/>
      <c r="IXB3" s="30"/>
      <c r="IXC3" s="30"/>
      <c r="IXD3" s="30"/>
      <c r="IXE3" s="31"/>
      <c r="IXF3" s="30"/>
      <c r="IXG3" s="30"/>
      <c r="IXH3" s="30"/>
      <c r="IXI3" s="31"/>
      <c r="IXJ3" s="30"/>
      <c r="IXK3" s="30"/>
      <c r="IXL3" s="30"/>
      <c r="IXM3" s="31"/>
      <c r="IXN3" s="30"/>
      <c r="IXO3" s="30"/>
      <c r="IXP3" s="30"/>
      <c r="IXQ3" s="31"/>
      <c r="IXR3" s="30"/>
      <c r="IXS3" s="30"/>
      <c r="IXT3" s="30"/>
      <c r="IXU3" s="31"/>
      <c r="IXV3" s="30"/>
      <c r="IXW3" s="30"/>
      <c r="IXX3" s="30"/>
      <c r="IXY3" s="31"/>
      <c r="IXZ3" s="30"/>
      <c r="IYA3" s="30"/>
      <c r="IYB3" s="30"/>
      <c r="IYC3" s="31"/>
      <c r="IYD3" s="30"/>
      <c r="IYE3" s="30"/>
      <c r="IYF3" s="30"/>
      <c r="IYG3" s="31"/>
      <c r="IYH3" s="30"/>
      <c r="IYI3" s="30"/>
      <c r="IYJ3" s="30"/>
      <c r="IYK3" s="31"/>
      <c r="IYL3" s="30"/>
      <c r="IYM3" s="30"/>
      <c r="IYN3" s="30"/>
      <c r="IYO3" s="31"/>
      <c r="IYP3" s="30"/>
      <c r="IYQ3" s="30"/>
      <c r="IYR3" s="30"/>
      <c r="IYS3" s="31"/>
      <c r="IYT3" s="30"/>
      <c r="IYU3" s="30"/>
      <c r="IYV3" s="30"/>
      <c r="IYW3" s="31"/>
      <c r="IYX3" s="30"/>
      <c r="IYY3" s="30"/>
      <c r="IYZ3" s="30"/>
      <c r="IZA3" s="31"/>
      <c r="IZB3" s="30"/>
      <c r="IZC3" s="30"/>
      <c r="IZD3" s="30"/>
      <c r="IZE3" s="31"/>
      <c r="IZF3" s="30"/>
      <c r="IZG3" s="30"/>
      <c r="IZH3" s="30"/>
      <c r="IZI3" s="31"/>
      <c r="IZJ3" s="30"/>
      <c r="IZK3" s="30"/>
      <c r="IZL3" s="30"/>
      <c r="IZM3" s="31"/>
      <c r="IZN3" s="30"/>
      <c r="IZO3" s="30"/>
      <c r="IZP3" s="30"/>
      <c r="IZQ3" s="31"/>
      <c r="IZR3" s="30"/>
      <c r="IZS3" s="30"/>
      <c r="IZT3" s="30"/>
      <c r="IZU3" s="31"/>
      <c r="IZV3" s="30"/>
      <c r="IZW3" s="30"/>
      <c r="IZX3" s="30"/>
      <c r="IZY3" s="31"/>
      <c r="IZZ3" s="30"/>
      <c r="JAA3" s="30"/>
      <c r="JAB3" s="30"/>
      <c r="JAC3" s="31"/>
      <c r="JAD3" s="30"/>
      <c r="JAE3" s="30"/>
      <c r="JAF3" s="30"/>
      <c r="JAG3" s="31"/>
      <c r="JAH3" s="30"/>
      <c r="JAI3" s="30"/>
      <c r="JAJ3" s="30"/>
      <c r="JAK3" s="31"/>
      <c r="JAL3" s="30"/>
      <c r="JAM3" s="30"/>
      <c r="JAN3" s="30"/>
      <c r="JAO3" s="31"/>
      <c r="JAP3" s="30"/>
      <c r="JAQ3" s="30"/>
      <c r="JAR3" s="30"/>
      <c r="JAS3" s="31"/>
      <c r="JAT3" s="30"/>
      <c r="JAU3" s="30"/>
      <c r="JAV3" s="30"/>
      <c r="JAW3" s="31"/>
      <c r="JAX3" s="30"/>
      <c r="JAY3" s="30"/>
      <c r="JAZ3" s="30"/>
      <c r="JBA3" s="31"/>
      <c r="JBB3" s="30"/>
      <c r="JBC3" s="30"/>
      <c r="JBD3" s="30"/>
      <c r="JBE3" s="31"/>
      <c r="JBF3" s="30"/>
      <c r="JBG3" s="30"/>
      <c r="JBH3" s="30"/>
      <c r="JBI3" s="31"/>
      <c r="JBJ3" s="30"/>
      <c r="JBK3" s="30"/>
      <c r="JBL3" s="30"/>
      <c r="JBM3" s="31"/>
      <c r="JBN3" s="30"/>
      <c r="JBO3" s="30"/>
      <c r="JBP3" s="30"/>
      <c r="JBQ3" s="31"/>
      <c r="JBR3" s="30"/>
      <c r="JBS3" s="30"/>
      <c r="JBT3" s="30"/>
      <c r="JBU3" s="31"/>
      <c r="JBV3" s="30"/>
      <c r="JBW3" s="30"/>
      <c r="JBX3" s="30"/>
      <c r="JBY3" s="31"/>
      <c r="JBZ3" s="30"/>
      <c r="JCA3" s="30"/>
      <c r="JCB3" s="30"/>
      <c r="JCC3" s="31"/>
      <c r="JCD3" s="30"/>
      <c r="JCE3" s="30"/>
      <c r="JCF3" s="30"/>
      <c r="JCG3" s="31"/>
      <c r="JCH3" s="30"/>
      <c r="JCI3" s="30"/>
      <c r="JCJ3" s="30"/>
      <c r="JCK3" s="31"/>
      <c r="JCL3" s="30"/>
      <c r="JCM3" s="30"/>
      <c r="JCN3" s="30"/>
      <c r="JCO3" s="31"/>
      <c r="JCP3" s="30"/>
      <c r="JCQ3" s="30"/>
      <c r="JCR3" s="30"/>
      <c r="JCS3" s="31"/>
      <c r="JCT3" s="30"/>
      <c r="JCU3" s="30"/>
      <c r="JCV3" s="30"/>
      <c r="JCW3" s="31"/>
      <c r="JCX3" s="30"/>
      <c r="JCY3" s="30"/>
      <c r="JCZ3" s="30"/>
      <c r="JDA3" s="31"/>
      <c r="JDB3" s="30"/>
      <c r="JDC3" s="30"/>
      <c r="JDD3" s="30"/>
      <c r="JDE3" s="31"/>
      <c r="JDF3" s="30"/>
      <c r="JDG3" s="30"/>
      <c r="JDH3" s="30"/>
      <c r="JDI3" s="31"/>
      <c r="JDJ3" s="30"/>
      <c r="JDK3" s="30"/>
      <c r="JDL3" s="30"/>
      <c r="JDM3" s="31"/>
      <c r="JDN3" s="30"/>
      <c r="JDO3" s="30"/>
      <c r="JDP3" s="30"/>
      <c r="JDQ3" s="31"/>
      <c r="JDR3" s="30"/>
      <c r="JDS3" s="30"/>
      <c r="JDT3" s="30"/>
      <c r="JDU3" s="31"/>
      <c r="JDV3" s="30"/>
      <c r="JDW3" s="30"/>
      <c r="JDX3" s="30"/>
      <c r="JDY3" s="31"/>
      <c r="JDZ3" s="30"/>
      <c r="JEA3" s="30"/>
      <c r="JEB3" s="30"/>
      <c r="JEC3" s="31"/>
      <c r="JED3" s="30"/>
      <c r="JEE3" s="30"/>
      <c r="JEF3" s="30"/>
      <c r="JEG3" s="31"/>
      <c r="JEH3" s="30"/>
      <c r="JEI3" s="30"/>
      <c r="JEJ3" s="30"/>
      <c r="JEK3" s="31"/>
      <c r="JEL3" s="30"/>
      <c r="JEM3" s="30"/>
      <c r="JEN3" s="30"/>
      <c r="JEO3" s="31"/>
      <c r="JEP3" s="30"/>
      <c r="JEQ3" s="30"/>
      <c r="JER3" s="30"/>
      <c r="JES3" s="31"/>
      <c r="JET3" s="30"/>
      <c r="JEU3" s="30"/>
      <c r="JEV3" s="30"/>
      <c r="JEW3" s="31"/>
      <c r="JEX3" s="30"/>
      <c r="JEY3" s="30"/>
      <c r="JEZ3" s="30"/>
      <c r="JFA3" s="31"/>
      <c r="JFB3" s="30"/>
      <c r="JFC3" s="30"/>
      <c r="JFD3" s="30"/>
      <c r="JFE3" s="31"/>
      <c r="JFF3" s="30"/>
      <c r="JFG3" s="30"/>
      <c r="JFH3" s="30"/>
      <c r="JFI3" s="31"/>
      <c r="JFJ3" s="30"/>
      <c r="JFK3" s="30"/>
      <c r="JFL3" s="30"/>
      <c r="JFM3" s="31"/>
      <c r="JFN3" s="30"/>
      <c r="JFO3" s="30"/>
      <c r="JFP3" s="30"/>
      <c r="JFQ3" s="31"/>
      <c r="JFR3" s="30"/>
      <c r="JFS3" s="30"/>
      <c r="JFT3" s="30"/>
      <c r="JFU3" s="31"/>
      <c r="JFV3" s="30"/>
      <c r="JFW3" s="30"/>
      <c r="JFX3" s="30"/>
      <c r="JFY3" s="31"/>
      <c r="JFZ3" s="30"/>
      <c r="JGA3" s="30"/>
      <c r="JGB3" s="30"/>
      <c r="JGC3" s="31"/>
      <c r="JGD3" s="30"/>
      <c r="JGE3" s="30"/>
      <c r="JGF3" s="30"/>
      <c r="JGG3" s="31"/>
      <c r="JGH3" s="30"/>
      <c r="JGI3" s="30"/>
      <c r="JGJ3" s="30"/>
      <c r="JGK3" s="31"/>
      <c r="JGL3" s="30"/>
      <c r="JGM3" s="30"/>
      <c r="JGN3" s="30"/>
      <c r="JGO3" s="31"/>
      <c r="JGP3" s="30"/>
      <c r="JGQ3" s="30"/>
      <c r="JGR3" s="30"/>
      <c r="JGS3" s="31"/>
      <c r="JGT3" s="30"/>
      <c r="JGU3" s="30"/>
      <c r="JGV3" s="30"/>
      <c r="JGW3" s="31"/>
      <c r="JGX3" s="30"/>
      <c r="JGY3" s="30"/>
      <c r="JGZ3" s="30"/>
      <c r="JHA3" s="31"/>
      <c r="JHB3" s="30"/>
      <c r="JHC3" s="30"/>
      <c r="JHD3" s="30"/>
      <c r="JHE3" s="31"/>
      <c r="JHF3" s="30"/>
      <c r="JHG3" s="30"/>
      <c r="JHH3" s="30"/>
      <c r="JHI3" s="31"/>
      <c r="JHJ3" s="30"/>
      <c r="JHK3" s="30"/>
      <c r="JHL3" s="30"/>
      <c r="JHM3" s="31"/>
      <c r="JHN3" s="30"/>
      <c r="JHO3" s="30"/>
      <c r="JHP3" s="30"/>
      <c r="JHQ3" s="31"/>
      <c r="JHR3" s="30"/>
      <c r="JHS3" s="30"/>
      <c r="JHT3" s="30"/>
      <c r="JHU3" s="31"/>
      <c r="JHV3" s="30"/>
      <c r="JHW3" s="30"/>
      <c r="JHX3" s="30"/>
      <c r="JHY3" s="31"/>
      <c r="JHZ3" s="30"/>
      <c r="JIA3" s="30"/>
      <c r="JIB3" s="30"/>
      <c r="JIC3" s="31"/>
      <c r="JID3" s="30"/>
      <c r="JIE3" s="30"/>
      <c r="JIF3" s="30"/>
      <c r="JIG3" s="31"/>
      <c r="JIH3" s="30"/>
      <c r="JII3" s="30"/>
      <c r="JIJ3" s="30"/>
      <c r="JIK3" s="31"/>
      <c r="JIL3" s="30"/>
      <c r="JIM3" s="30"/>
      <c r="JIN3" s="30"/>
      <c r="JIO3" s="31"/>
      <c r="JIP3" s="30"/>
      <c r="JIQ3" s="30"/>
      <c r="JIR3" s="30"/>
      <c r="JIS3" s="31"/>
      <c r="JIT3" s="30"/>
      <c r="JIU3" s="30"/>
      <c r="JIV3" s="30"/>
      <c r="JIW3" s="31"/>
      <c r="JIX3" s="30"/>
      <c r="JIY3" s="30"/>
      <c r="JIZ3" s="30"/>
      <c r="JJA3" s="31"/>
      <c r="JJB3" s="30"/>
      <c r="JJC3" s="30"/>
      <c r="JJD3" s="30"/>
      <c r="JJE3" s="31"/>
      <c r="JJF3" s="30"/>
      <c r="JJG3" s="30"/>
      <c r="JJH3" s="30"/>
      <c r="JJI3" s="31"/>
      <c r="JJJ3" s="30"/>
      <c r="JJK3" s="30"/>
      <c r="JJL3" s="30"/>
      <c r="JJM3" s="31"/>
      <c r="JJN3" s="30"/>
      <c r="JJO3" s="30"/>
      <c r="JJP3" s="30"/>
      <c r="JJQ3" s="31"/>
      <c r="JJR3" s="30"/>
      <c r="JJS3" s="30"/>
      <c r="JJT3" s="30"/>
      <c r="JJU3" s="31"/>
      <c r="JJV3" s="30"/>
      <c r="JJW3" s="30"/>
      <c r="JJX3" s="30"/>
      <c r="JJY3" s="31"/>
      <c r="JJZ3" s="30"/>
      <c r="JKA3" s="30"/>
      <c r="JKB3" s="30"/>
      <c r="JKC3" s="31"/>
      <c r="JKD3" s="30"/>
      <c r="JKE3" s="30"/>
      <c r="JKF3" s="30"/>
      <c r="JKG3" s="31"/>
      <c r="JKH3" s="30"/>
      <c r="JKI3" s="30"/>
      <c r="JKJ3" s="30"/>
      <c r="JKK3" s="31"/>
      <c r="JKL3" s="30"/>
      <c r="JKM3" s="30"/>
      <c r="JKN3" s="30"/>
      <c r="JKO3" s="31"/>
      <c r="JKP3" s="30"/>
      <c r="JKQ3" s="30"/>
      <c r="JKR3" s="30"/>
      <c r="JKS3" s="31"/>
      <c r="JKT3" s="30"/>
      <c r="JKU3" s="30"/>
      <c r="JKV3" s="30"/>
      <c r="JKW3" s="31"/>
      <c r="JKX3" s="30"/>
      <c r="JKY3" s="30"/>
      <c r="JKZ3" s="30"/>
      <c r="JLA3" s="31"/>
      <c r="JLB3" s="30"/>
      <c r="JLC3" s="30"/>
      <c r="JLD3" s="30"/>
      <c r="JLE3" s="31"/>
      <c r="JLF3" s="30"/>
      <c r="JLG3" s="30"/>
      <c r="JLH3" s="30"/>
      <c r="JLI3" s="31"/>
      <c r="JLJ3" s="30"/>
      <c r="JLK3" s="30"/>
      <c r="JLL3" s="30"/>
      <c r="JLM3" s="31"/>
      <c r="JLN3" s="30"/>
      <c r="JLO3" s="30"/>
      <c r="JLP3" s="30"/>
      <c r="JLQ3" s="31"/>
      <c r="JLR3" s="30"/>
      <c r="JLS3" s="30"/>
      <c r="JLT3" s="30"/>
      <c r="JLU3" s="31"/>
      <c r="JLV3" s="30"/>
      <c r="JLW3" s="30"/>
      <c r="JLX3" s="30"/>
      <c r="JLY3" s="31"/>
      <c r="JLZ3" s="30"/>
      <c r="JMA3" s="30"/>
      <c r="JMB3" s="30"/>
      <c r="JMC3" s="31"/>
      <c r="JMD3" s="30"/>
      <c r="JME3" s="30"/>
      <c r="JMF3" s="30"/>
      <c r="JMG3" s="31"/>
      <c r="JMH3" s="30"/>
      <c r="JMI3" s="30"/>
      <c r="JMJ3" s="30"/>
      <c r="JMK3" s="31"/>
      <c r="JML3" s="30"/>
      <c r="JMM3" s="30"/>
      <c r="JMN3" s="30"/>
      <c r="JMO3" s="31"/>
      <c r="JMP3" s="30"/>
      <c r="JMQ3" s="30"/>
      <c r="JMR3" s="30"/>
      <c r="JMS3" s="31"/>
      <c r="JMT3" s="30"/>
      <c r="JMU3" s="30"/>
      <c r="JMV3" s="30"/>
      <c r="JMW3" s="31"/>
      <c r="JMX3" s="30"/>
      <c r="JMY3" s="30"/>
      <c r="JMZ3" s="30"/>
      <c r="JNA3" s="31"/>
      <c r="JNB3" s="30"/>
      <c r="JNC3" s="30"/>
      <c r="JND3" s="30"/>
      <c r="JNE3" s="31"/>
      <c r="JNF3" s="30"/>
      <c r="JNG3" s="30"/>
      <c r="JNH3" s="30"/>
      <c r="JNI3" s="31"/>
      <c r="JNJ3" s="30"/>
      <c r="JNK3" s="30"/>
      <c r="JNL3" s="30"/>
      <c r="JNM3" s="31"/>
      <c r="JNN3" s="30"/>
      <c r="JNO3" s="30"/>
      <c r="JNP3" s="30"/>
      <c r="JNQ3" s="31"/>
      <c r="JNR3" s="30"/>
      <c r="JNS3" s="30"/>
      <c r="JNT3" s="30"/>
      <c r="JNU3" s="31"/>
      <c r="JNV3" s="30"/>
      <c r="JNW3" s="30"/>
      <c r="JNX3" s="30"/>
      <c r="JNY3" s="31"/>
      <c r="JNZ3" s="30"/>
      <c r="JOA3" s="30"/>
      <c r="JOB3" s="30"/>
      <c r="JOC3" s="31"/>
      <c r="JOD3" s="30"/>
      <c r="JOE3" s="30"/>
      <c r="JOF3" s="30"/>
      <c r="JOG3" s="31"/>
      <c r="JOH3" s="30"/>
      <c r="JOI3" s="30"/>
      <c r="JOJ3" s="30"/>
      <c r="JOK3" s="31"/>
      <c r="JOL3" s="30"/>
      <c r="JOM3" s="30"/>
      <c r="JON3" s="30"/>
      <c r="JOO3" s="31"/>
      <c r="JOP3" s="30"/>
      <c r="JOQ3" s="30"/>
      <c r="JOR3" s="30"/>
      <c r="JOS3" s="31"/>
      <c r="JOT3" s="30"/>
      <c r="JOU3" s="30"/>
      <c r="JOV3" s="30"/>
      <c r="JOW3" s="31"/>
      <c r="JOX3" s="30"/>
      <c r="JOY3" s="30"/>
      <c r="JOZ3" s="30"/>
      <c r="JPA3" s="31"/>
      <c r="JPB3" s="30"/>
      <c r="JPC3" s="30"/>
      <c r="JPD3" s="30"/>
      <c r="JPE3" s="31"/>
      <c r="JPF3" s="30"/>
      <c r="JPG3" s="30"/>
      <c r="JPH3" s="30"/>
      <c r="JPI3" s="31"/>
      <c r="JPJ3" s="30"/>
      <c r="JPK3" s="30"/>
      <c r="JPL3" s="30"/>
      <c r="JPM3" s="31"/>
      <c r="JPN3" s="30"/>
      <c r="JPO3" s="30"/>
      <c r="JPP3" s="30"/>
      <c r="JPQ3" s="31"/>
      <c r="JPR3" s="30"/>
      <c r="JPS3" s="30"/>
      <c r="JPT3" s="30"/>
      <c r="JPU3" s="31"/>
      <c r="JPV3" s="30"/>
      <c r="JPW3" s="30"/>
      <c r="JPX3" s="30"/>
      <c r="JPY3" s="31"/>
      <c r="JPZ3" s="30"/>
      <c r="JQA3" s="30"/>
      <c r="JQB3" s="30"/>
      <c r="JQC3" s="31"/>
      <c r="JQD3" s="30"/>
      <c r="JQE3" s="30"/>
      <c r="JQF3" s="30"/>
      <c r="JQG3" s="31"/>
      <c r="JQH3" s="30"/>
      <c r="JQI3" s="30"/>
      <c r="JQJ3" s="30"/>
      <c r="JQK3" s="31"/>
      <c r="JQL3" s="30"/>
      <c r="JQM3" s="30"/>
      <c r="JQN3" s="30"/>
      <c r="JQO3" s="31"/>
      <c r="JQP3" s="30"/>
      <c r="JQQ3" s="30"/>
      <c r="JQR3" s="30"/>
      <c r="JQS3" s="31"/>
      <c r="JQT3" s="30"/>
      <c r="JQU3" s="30"/>
      <c r="JQV3" s="30"/>
      <c r="JQW3" s="31"/>
      <c r="JQX3" s="30"/>
      <c r="JQY3" s="30"/>
      <c r="JQZ3" s="30"/>
      <c r="JRA3" s="31"/>
      <c r="JRB3" s="30"/>
      <c r="JRC3" s="30"/>
      <c r="JRD3" s="30"/>
      <c r="JRE3" s="31"/>
      <c r="JRF3" s="30"/>
      <c r="JRG3" s="30"/>
      <c r="JRH3" s="30"/>
      <c r="JRI3" s="31"/>
      <c r="JRJ3" s="30"/>
      <c r="JRK3" s="30"/>
      <c r="JRL3" s="30"/>
      <c r="JRM3" s="31"/>
      <c r="JRN3" s="30"/>
      <c r="JRO3" s="30"/>
      <c r="JRP3" s="30"/>
      <c r="JRQ3" s="31"/>
      <c r="JRR3" s="30"/>
      <c r="JRS3" s="30"/>
      <c r="JRT3" s="30"/>
      <c r="JRU3" s="31"/>
      <c r="JRV3" s="30"/>
      <c r="JRW3" s="30"/>
      <c r="JRX3" s="30"/>
      <c r="JRY3" s="31"/>
      <c r="JRZ3" s="30"/>
      <c r="JSA3" s="30"/>
      <c r="JSB3" s="30"/>
      <c r="JSC3" s="31"/>
      <c r="JSD3" s="30"/>
      <c r="JSE3" s="30"/>
      <c r="JSF3" s="30"/>
      <c r="JSG3" s="31"/>
      <c r="JSH3" s="30"/>
      <c r="JSI3" s="30"/>
      <c r="JSJ3" s="30"/>
      <c r="JSK3" s="31"/>
      <c r="JSL3" s="30"/>
      <c r="JSM3" s="30"/>
      <c r="JSN3" s="30"/>
      <c r="JSO3" s="31"/>
      <c r="JSP3" s="30"/>
      <c r="JSQ3" s="30"/>
      <c r="JSR3" s="30"/>
      <c r="JSS3" s="31"/>
      <c r="JST3" s="30"/>
      <c r="JSU3" s="30"/>
      <c r="JSV3" s="30"/>
      <c r="JSW3" s="31"/>
      <c r="JSX3" s="30"/>
      <c r="JSY3" s="30"/>
      <c r="JSZ3" s="30"/>
      <c r="JTA3" s="31"/>
      <c r="JTB3" s="30"/>
      <c r="JTC3" s="30"/>
      <c r="JTD3" s="30"/>
      <c r="JTE3" s="31"/>
      <c r="JTF3" s="30"/>
      <c r="JTG3" s="30"/>
      <c r="JTH3" s="30"/>
      <c r="JTI3" s="31"/>
      <c r="JTJ3" s="30"/>
      <c r="JTK3" s="30"/>
      <c r="JTL3" s="30"/>
      <c r="JTM3" s="31"/>
      <c r="JTN3" s="30"/>
      <c r="JTO3" s="30"/>
      <c r="JTP3" s="30"/>
      <c r="JTQ3" s="31"/>
      <c r="JTR3" s="30"/>
      <c r="JTS3" s="30"/>
      <c r="JTT3" s="30"/>
      <c r="JTU3" s="31"/>
      <c r="JTV3" s="30"/>
      <c r="JTW3" s="30"/>
      <c r="JTX3" s="30"/>
      <c r="JTY3" s="31"/>
      <c r="JTZ3" s="30"/>
      <c r="JUA3" s="30"/>
      <c r="JUB3" s="30"/>
      <c r="JUC3" s="31"/>
      <c r="JUD3" s="30"/>
      <c r="JUE3" s="30"/>
      <c r="JUF3" s="30"/>
      <c r="JUG3" s="31"/>
      <c r="JUH3" s="30"/>
      <c r="JUI3" s="30"/>
      <c r="JUJ3" s="30"/>
      <c r="JUK3" s="31"/>
      <c r="JUL3" s="30"/>
      <c r="JUM3" s="30"/>
      <c r="JUN3" s="30"/>
      <c r="JUO3" s="31"/>
      <c r="JUP3" s="30"/>
      <c r="JUQ3" s="30"/>
      <c r="JUR3" s="30"/>
      <c r="JUS3" s="31"/>
      <c r="JUT3" s="30"/>
      <c r="JUU3" s="30"/>
      <c r="JUV3" s="30"/>
      <c r="JUW3" s="31"/>
      <c r="JUX3" s="30"/>
      <c r="JUY3" s="30"/>
      <c r="JUZ3" s="30"/>
      <c r="JVA3" s="31"/>
      <c r="JVB3" s="30"/>
      <c r="JVC3" s="30"/>
      <c r="JVD3" s="30"/>
      <c r="JVE3" s="31"/>
      <c r="JVF3" s="30"/>
      <c r="JVG3" s="30"/>
      <c r="JVH3" s="30"/>
      <c r="JVI3" s="31"/>
      <c r="JVJ3" s="30"/>
      <c r="JVK3" s="30"/>
      <c r="JVL3" s="30"/>
      <c r="JVM3" s="31"/>
      <c r="JVN3" s="30"/>
      <c r="JVO3" s="30"/>
      <c r="JVP3" s="30"/>
      <c r="JVQ3" s="31"/>
      <c r="JVR3" s="30"/>
      <c r="JVS3" s="30"/>
      <c r="JVT3" s="30"/>
      <c r="JVU3" s="31"/>
      <c r="JVV3" s="30"/>
      <c r="JVW3" s="30"/>
      <c r="JVX3" s="30"/>
      <c r="JVY3" s="31"/>
      <c r="JVZ3" s="30"/>
      <c r="JWA3" s="30"/>
      <c r="JWB3" s="30"/>
      <c r="JWC3" s="31"/>
      <c r="JWD3" s="30"/>
      <c r="JWE3" s="30"/>
      <c r="JWF3" s="30"/>
      <c r="JWG3" s="31"/>
      <c r="JWH3" s="30"/>
      <c r="JWI3" s="30"/>
      <c r="JWJ3" s="30"/>
      <c r="JWK3" s="31"/>
      <c r="JWL3" s="30"/>
      <c r="JWM3" s="30"/>
      <c r="JWN3" s="30"/>
      <c r="JWO3" s="31"/>
      <c r="JWP3" s="30"/>
      <c r="JWQ3" s="30"/>
      <c r="JWR3" s="30"/>
      <c r="JWS3" s="31"/>
      <c r="JWT3" s="30"/>
      <c r="JWU3" s="30"/>
      <c r="JWV3" s="30"/>
      <c r="JWW3" s="31"/>
      <c r="JWX3" s="30"/>
      <c r="JWY3" s="30"/>
      <c r="JWZ3" s="30"/>
      <c r="JXA3" s="31"/>
      <c r="JXB3" s="30"/>
      <c r="JXC3" s="30"/>
      <c r="JXD3" s="30"/>
      <c r="JXE3" s="31"/>
      <c r="JXF3" s="30"/>
      <c r="JXG3" s="30"/>
      <c r="JXH3" s="30"/>
      <c r="JXI3" s="31"/>
      <c r="JXJ3" s="30"/>
      <c r="JXK3" s="30"/>
      <c r="JXL3" s="30"/>
      <c r="JXM3" s="31"/>
      <c r="JXN3" s="30"/>
      <c r="JXO3" s="30"/>
      <c r="JXP3" s="30"/>
      <c r="JXQ3" s="31"/>
      <c r="JXR3" s="30"/>
      <c r="JXS3" s="30"/>
      <c r="JXT3" s="30"/>
      <c r="JXU3" s="31"/>
      <c r="JXV3" s="30"/>
      <c r="JXW3" s="30"/>
      <c r="JXX3" s="30"/>
      <c r="JXY3" s="31"/>
      <c r="JXZ3" s="30"/>
      <c r="JYA3" s="30"/>
      <c r="JYB3" s="30"/>
      <c r="JYC3" s="31"/>
      <c r="JYD3" s="30"/>
      <c r="JYE3" s="30"/>
      <c r="JYF3" s="30"/>
      <c r="JYG3" s="31"/>
      <c r="JYH3" s="30"/>
      <c r="JYI3" s="30"/>
      <c r="JYJ3" s="30"/>
      <c r="JYK3" s="31"/>
      <c r="JYL3" s="30"/>
      <c r="JYM3" s="30"/>
      <c r="JYN3" s="30"/>
      <c r="JYO3" s="31"/>
      <c r="JYP3" s="30"/>
      <c r="JYQ3" s="30"/>
      <c r="JYR3" s="30"/>
      <c r="JYS3" s="31"/>
      <c r="JYT3" s="30"/>
      <c r="JYU3" s="30"/>
      <c r="JYV3" s="30"/>
      <c r="JYW3" s="31"/>
      <c r="JYX3" s="30"/>
      <c r="JYY3" s="30"/>
      <c r="JYZ3" s="30"/>
      <c r="JZA3" s="31"/>
      <c r="JZB3" s="30"/>
      <c r="JZC3" s="30"/>
      <c r="JZD3" s="30"/>
      <c r="JZE3" s="31"/>
      <c r="JZF3" s="30"/>
      <c r="JZG3" s="30"/>
      <c r="JZH3" s="30"/>
      <c r="JZI3" s="31"/>
      <c r="JZJ3" s="30"/>
      <c r="JZK3" s="30"/>
      <c r="JZL3" s="30"/>
      <c r="JZM3" s="31"/>
      <c r="JZN3" s="30"/>
      <c r="JZO3" s="30"/>
      <c r="JZP3" s="30"/>
      <c r="JZQ3" s="31"/>
      <c r="JZR3" s="30"/>
      <c r="JZS3" s="30"/>
      <c r="JZT3" s="30"/>
      <c r="JZU3" s="31"/>
      <c r="JZV3" s="30"/>
      <c r="JZW3" s="30"/>
      <c r="JZX3" s="30"/>
      <c r="JZY3" s="31"/>
      <c r="JZZ3" s="30"/>
      <c r="KAA3" s="30"/>
      <c r="KAB3" s="30"/>
      <c r="KAC3" s="31"/>
      <c r="KAD3" s="30"/>
      <c r="KAE3" s="30"/>
      <c r="KAF3" s="30"/>
      <c r="KAG3" s="31"/>
      <c r="KAH3" s="30"/>
      <c r="KAI3" s="30"/>
      <c r="KAJ3" s="30"/>
      <c r="KAK3" s="31"/>
      <c r="KAL3" s="30"/>
      <c r="KAM3" s="30"/>
      <c r="KAN3" s="30"/>
      <c r="KAO3" s="31"/>
      <c r="KAP3" s="30"/>
      <c r="KAQ3" s="30"/>
      <c r="KAR3" s="30"/>
      <c r="KAS3" s="31"/>
      <c r="KAT3" s="30"/>
      <c r="KAU3" s="30"/>
      <c r="KAV3" s="30"/>
      <c r="KAW3" s="31"/>
      <c r="KAX3" s="30"/>
      <c r="KAY3" s="30"/>
      <c r="KAZ3" s="30"/>
      <c r="KBA3" s="31"/>
      <c r="KBB3" s="30"/>
      <c r="KBC3" s="30"/>
      <c r="KBD3" s="30"/>
      <c r="KBE3" s="31"/>
      <c r="KBF3" s="30"/>
      <c r="KBG3" s="30"/>
      <c r="KBH3" s="30"/>
      <c r="KBI3" s="31"/>
      <c r="KBJ3" s="30"/>
      <c r="KBK3" s="30"/>
      <c r="KBL3" s="30"/>
      <c r="KBM3" s="31"/>
      <c r="KBN3" s="30"/>
      <c r="KBO3" s="30"/>
      <c r="KBP3" s="30"/>
      <c r="KBQ3" s="31"/>
      <c r="KBR3" s="30"/>
      <c r="KBS3" s="30"/>
      <c r="KBT3" s="30"/>
      <c r="KBU3" s="31"/>
      <c r="KBV3" s="30"/>
      <c r="KBW3" s="30"/>
      <c r="KBX3" s="30"/>
      <c r="KBY3" s="31"/>
      <c r="KBZ3" s="30"/>
      <c r="KCA3" s="30"/>
      <c r="KCB3" s="30"/>
      <c r="KCC3" s="31"/>
      <c r="KCD3" s="30"/>
      <c r="KCE3" s="30"/>
      <c r="KCF3" s="30"/>
      <c r="KCG3" s="31"/>
      <c r="KCH3" s="30"/>
      <c r="KCI3" s="30"/>
      <c r="KCJ3" s="30"/>
      <c r="KCK3" s="31"/>
      <c r="KCL3" s="30"/>
      <c r="KCM3" s="30"/>
      <c r="KCN3" s="30"/>
      <c r="KCO3" s="31"/>
      <c r="KCP3" s="30"/>
      <c r="KCQ3" s="30"/>
      <c r="KCR3" s="30"/>
      <c r="KCS3" s="31"/>
      <c r="KCT3" s="30"/>
      <c r="KCU3" s="30"/>
      <c r="KCV3" s="30"/>
      <c r="KCW3" s="31"/>
      <c r="KCX3" s="30"/>
      <c r="KCY3" s="30"/>
      <c r="KCZ3" s="30"/>
      <c r="KDA3" s="31"/>
      <c r="KDB3" s="30"/>
      <c r="KDC3" s="30"/>
      <c r="KDD3" s="30"/>
      <c r="KDE3" s="31"/>
      <c r="KDF3" s="30"/>
      <c r="KDG3" s="30"/>
      <c r="KDH3" s="30"/>
      <c r="KDI3" s="31"/>
      <c r="KDJ3" s="30"/>
      <c r="KDK3" s="30"/>
      <c r="KDL3" s="30"/>
      <c r="KDM3" s="31"/>
      <c r="KDN3" s="30"/>
      <c r="KDO3" s="30"/>
      <c r="KDP3" s="30"/>
      <c r="KDQ3" s="31"/>
      <c r="KDR3" s="30"/>
      <c r="KDS3" s="30"/>
      <c r="KDT3" s="30"/>
      <c r="KDU3" s="31"/>
      <c r="KDV3" s="30"/>
      <c r="KDW3" s="30"/>
      <c r="KDX3" s="30"/>
      <c r="KDY3" s="31"/>
      <c r="KDZ3" s="30"/>
      <c r="KEA3" s="30"/>
      <c r="KEB3" s="30"/>
      <c r="KEC3" s="31"/>
      <c r="KED3" s="30"/>
      <c r="KEE3" s="30"/>
      <c r="KEF3" s="30"/>
      <c r="KEG3" s="31"/>
      <c r="KEH3" s="30"/>
      <c r="KEI3" s="30"/>
      <c r="KEJ3" s="30"/>
      <c r="KEK3" s="31"/>
      <c r="KEL3" s="30"/>
      <c r="KEM3" s="30"/>
      <c r="KEN3" s="30"/>
      <c r="KEO3" s="31"/>
      <c r="KEP3" s="30"/>
      <c r="KEQ3" s="30"/>
      <c r="KER3" s="30"/>
      <c r="KES3" s="31"/>
      <c r="KET3" s="30"/>
      <c r="KEU3" s="30"/>
      <c r="KEV3" s="30"/>
      <c r="KEW3" s="31"/>
      <c r="KEX3" s="30"/>
      <c r="KEY3" s="30"/>
      <c r="KEZ3" s="30"/>
      <c r="KFA3" s="31"/>
      <c r="KFB3" s="30"/>
      <c r="KFC3" s="30"/>
      <c r="KFD3" s="30"/>
      <c r="KFE3" s="31"/>
      <c r="KFF3" s="30"/>
      <c r="KFG3" s="30"/>
      <c r="KFH3" s="30"/>
      <c r="KFI3" s="31"/>
      <c r="KFJ3" s="30"/>
      <c r="KFK3" s="30"/>
      <c r="KFL3" s="30"/>
      <c r="KFM3" s="31"/>
      <c r="KFN3" s="30"/>
      <c r="KFO3" s="30"/>
      <c r="KFP3" s="30"/>
      <c r="KFQ3" s="31"/>
      <c r="KFR3" s="30"/>
      <c r="KFS3" s="30"/>
      <c r="KFT3" s="30"/>
      <c r="KFU3" s="31"/>
      <c r="KFV3" s="30"/>
      <c r="KFW3" s="30"/>
      <c r="KFX3" s="30"/>
      <c r="KFY3" s="31"/>
      <c r="KFZ3" s="30"/>
      <c r="KGA3" s="30"/>
      <c r="KGB3" s="30"/>
      <c r="KGC3" s="31"/>
      <c r="KGD3" s="30"/>
      <c r="KGE3" s="30"/>
      <c r="KGF3" s="30"/>
      <c r="KGG3" s="31"/>
      <c r="KGH3" s="30"/>
      <c r="KGI3" s="30"/>
      <c r="KGJ3" s="30"/>
      <c r="KGK3" s="31"/>
      <c r="KGL3" s="30"/>
      <c r="KGM3" s="30"/>
      <c r="KGN3" s="30"/>
      <c r="KGO3" s="31"/>
      <c r="KGP3" s="30"/>
      <c r="KGQ3" s="30"/>
      <c r="KGR3" s="30"/>
      <c r="KGS3" s="31"/>
      <c r="KGT3" s="30"/>
      <c r="KGU3" s="30"/>
      <c r="KGV3" s="30"/>
      <c r="KGW3" s="31"/>
      <c r="KGX3" s="30"/>
      <c r="KGY3" s="30"/>
      <c r="KGZ3" s="30"/>
      <c r="KHA3" s="31"/>
      <c r="KHB3" s="30"/>
      <c r="KHC3" s="30"/>
      <c r="KHD3" s="30"/>
      <c r="KHE3" s="31"/>
      <c r="KHF3" s="30"/>
      <c r="KHG3" s="30"/>
      <c r="KHH3" s="30"/>
      <c r="KHI3" s="31"/>
      <c r="KHJ3" s="30"/>
      <c r="KHK3" s="30"/>
      <c r="KHL3" s="30"/>
      <c r="KHM3" s="31"/>
      <c r="KHN3" s="30"/>
      <c r="KHO3" s="30"/>
      <c r="KHP3" s="30"/>
      <c r="KHQ3" s="31"/>
      <c r="KHR3" s="30"/>
      <c r="KHS3" s="30"/>
      <c r="KHT3" s="30"/>
      <c r="KHU3" s="31"/>
      <c r="KHV3" s="30"/>
      <c r="KHW3" s="30"/>
      <c r="KHX3" s="30"/>
      <c r="KHY3" s="31"/>
      <c r="KHZ3" s="30"/>
      <c r="KIA3" s="30"/>
      <c r="KIB3" s="30"/>
      <c r="KIC3" s="31"/>
      <c r="KID3" s="30"/>
      <c r="KIE3" s="30"/>
      <c r="KIF3" s="30"/>
      <c r="KIG3" s="31"/>
      <c r="KIH3" s="30"/>
      <c r="KII3" s="30"/>
      <c r="KIJ3" s="30"/>
      <c r="KIK3" s="31"/>
      <c r="KIL3" s="30"/>
      <c r="KIM3" s="30"/>
      <c r="KIN3" s="30"/>
      <c r="KIO3" s="31"/>
      <c r="KIP3" s="30"/>
      <c r="KIQ3" s="30"/>
      <c r="KIR3" s="30"/>
      <c r="KIS3" s="31"/>
      <c r="KIT3" s="30"/>
      <c r="KIU3" s="30"/>
      <c r="KIV3" s="30"/>
      <c r="KIW3" s="31"/>
      <c r="KIX3" s="30"/>
      <c r="KIY3" s="30"/>
      <c r="KIZ3" s="30"/>
      <c r="KJA3" s="31"/>
      <c r="KJB3" s="30"/>
      <c r="KJC3" s="30"/>
      <c r="KJD3" s="30"/>
      <c r="KJE3" s="31"/>
      <c r="KJF3" s="30"/>
      <c r="KJG3" s="30"/>
      <c r="KJH3" s="30"/>
      <c r="KJI3" s="31"/>
      <c r="KJJ3" s="30"/>
      <c r="KJK3" s="30"/>
      <c r="KJL3" s="30"/>
      <c r="KJM3" s="31"/>
      <c r="KJN3" s="30"/>
      <c r="KJO3" s="30"/>
      <c r="KJP3" s="30"/>
      <c r="KJQ3" s="31"/>
      <c r="KJR3" s="30"/>
      <c r="KJS3" s="30"/>
      <c r="KJT3" s="30"/>
      <c r="KJU3" s="31"/>
      <c r="KJV3" s="30"/>
      <c r="KJW3" s="30"/>
      <c r="KJX3" s="30"/>
      <c r="KJY3" s="31"/>
      <c r="KJZ3" s="30"/>
      <c r="KKA3" s="30"/>
      <c r="KKB3" s="30"/>
      <c r="KKC3" s="31"/>
      <c r="KKD3" s="30"/>
      <c r="KKE3" s="30"/>
      <c r="KKF3" s="30"/>
      <c r="KKG3" s="31"/>
      <c r="KKH3" s="30"/>
      <c r="KKI3" s="30"/>
      <c r="KKJ3" s="30"/>
      <c r="KKK3" s="31"/>
      <c r="KKL3" s="30"/>
      <c r="KKM3" s="30"/>
      <c r="KKN3" s="30"/>
      <c r="KKO3" s="31"/>
      <c r="KKP3" s="30"/>
      <c r="KKQ3" s="30"/>
      <c r="KKR3" s="30"/>
      <c r="KKS3" s="31"/>
      <c r="KKT3" s="30"/>
      <c r="KKU3" s="30"/>
      <c r="KKV3" s="30"/>
      <c r="KKW3" s="31"/>
      <c r="KKX3" s="30"/>
      <c r="KKY3" s="30"/>
      <c r="KKZ3" s="30"/>
      <c r="KLA3" s="31"/>
      <c r="KLB3" s="30"/>
      <c r="KLC3" s="30"/>
      <c r="KLD3" s="30"/>
      <c r="KLE3" s="31"/>
      <c r="KLF3" s="30"/>
      <c r="KLG3" s="30"/>
      <c r="KLH3" s="30"/>
      <c r="KLI3" s="31"/>
      <c r="KLJ3" s="30"/>
      <c r="KLK3" s="30"/>
      <c r="KLL3" s="30"/>
      <c r="KLM3" s="31"/>
      <c r="KLN3" s="30"/>
      <c r="KLO3" s="30"/>
      <c r="KLP3" s="30"/>
      <c r="KLQ3" s="31"/>
      <c r="KLR3" s="30"/>
      <c r="KLS3" s="30"/>
      <c r="KLT3" s="30"/>
      <c r="KLU3" s="31"/>
      <c r="KLV3" s="30"/>
      <c r="KLW3" s="30"/>
      <c r="KLX3" s="30"/>
      <c r="KLY3" s="31"/>
      <c r="KLZ3" s="30"/>
      <c r="KMA3" s="30"/>
      <c r="KMB3" s="30"/>
      <c r="KMC3" s="31"/>
      <c r="KMD3" s="30"/>
      <c r="KME3" s="30"/>
      <c r="KMF3" s="30"/>
      <c r="KMG3" s="31"/>
      <c r="KMH3" s="30"/>
      <c r="KMI3" s="30"/>
      <c r="KMJ3" s="30"/>
      <c r="KMK3" s="31"/>
      <c r="KML3" s="30"/>
      <c r="KMM3" s="30"/>
      <c r="KMN3" s="30"/>
      <c r="KMO3" s="31"/>
      <c r="KMP3" s="30"/>
      <c r="KMQ3" s="30"/>
      <c r="KMR3" s="30"/>
      <c r="KMS3" s="31"/>
      <c r="KMT3" s="30"/>
      <c r="KMU3" s="30"/>
      <c r="KMV3" s="30"/>
      <c r="KMW3" s="31"/>
      <c r="KMX3" s="30"/>
      <c r="KMY3" s="30"/>
      <c r="KMZ3" s="30"/>
      <c r="KNA3" s="31"/>
      <c r="KNB3" s="30"/>
      <c r="KNC3" s="30"/>
      <c r="KND3" s="30"/>
      <c r="KNE3" s="31"/>
      <c r="KNF3" s="30"/>
      <c r="KNG3" s="30"/>
      <c r="KNH3" s="30"/>
      <c r="KNI3" s="31"/>
      <c r="KNJ3" s="30"/>
      <c r="KNK3" s="30"/>
      <c r="KNL3" s="30"/>
      <c r="KNM3" s="31"/>
      <c r="KNN3" s="30"/>
      <c r="KNO3" s="30"/>
      <c r="KNP3" s="30"/>
      <c r="KNQ3" s="31"/>
      <c r="KNR3" s="30"/>
      <c r="KNS3" s="30"/>
      <c r="KNT3" s="30"/>
      <c r="KNU3" s="31"/>
      <c r="KNV3" s="30"/>
      <c r="KNW3" s="30"/>
      <c r="KNX3" s="30"/>
      <c r="KNY3" s="31"/>
      <c r="KNZ3" s="30"/>
      <c r="KOA3" s="30"/>
      <c r="KOB3" s="30"/>
      <c r="KOC3" s="31"/>
      <c r="KOD3" s="30"/>
      <c r="KOE3" s="30"/>
      <c r="KOF3" s="30"/>
      <c r="KOG3" s="31"/>
      <c r="KOH3" s="30"/>
      <c r="KOI3" s="30"/>
      <c r="KOJ3" s="30"/>
      <c r="KOK3" s="31"/>
      <c r="KOL3" s="30"/>
      <c r="KOM3" s="30"/>
      <c r="KON3" s="30"/>
      <c r="KOO3" s="31"/>
      <c r="KOP3" s="30"/>
      <c r="KOQ3" s="30"/>
      <c r="KOR3" s="30"/>
      <c r="KOS3" s="31"/>
      <c r="KOT3" s="30"/>
      <c r="KOU3" s="30"/>
      <c r="KOV3" s="30"/>
      <c r="KOW3" s="31"/>
      <c r="KOX3" s="30"/>
      <c r="KOY3" s="30"/>
      <c r="KOZ3" s="30"/>
      <c r="KPA3" s="31"/>
      <c r="KPB3" s="30"/>
      <c r="KPC3" s="30"/>
      <c r="KPD3" s="30"/>
      <c r="KPE3" s="31"/>
      <c r="KPF3" s="30"/>
      <c r="KPG3" s="30"/>
      <c r="KPH3" s="30"/>
      <c r="KPI3" s="31"/>
      <c r="KPJ3" s="30"/>
      <c r="KPK3" s="30"/>
      <c r="KPL3" s="30"/>
      <c r="KPM3" s="31"/>
      <c r="KPN3" s="30"/>
      <c r="KPO3" s="30"/>
      <c r="KPP3" s="30"/>
      <c r="KPQ3" s="31"/>
      <c r="KPR3" s="30"/>
      <c r="KPS3" s="30"/>
      <c r="KPT3" s="30"/>
      <c r="KPU3" s="31"/>
      <c r="KPV3" s="30"/>
      <c r="KPW3" s="30"/>
      <c r="KPX3" s="30"/>
      <c r="KPY3" s="31"/>
      <c r="KPZ3" s="30"/>
      <c r="KQA3" s="30"/>
      <c r="KQB3" s="30"/>
      <c r="KQC3" s="31"/>
      <c r="KQD3" s="30"/>
      <c r="KQE3" s="30"/>
      <c r="KQF3" s="30"/>
      <c r="KQG3" s="31"/>
      <c r="KQH3" s="30"/>
      <c r="KQI3" s="30"/>
      <c r="KQJ3" s="30"/>
      <c r="KQK3" s="31"/>
      <c r="KQL3" s="30"/>
      <c r="KQM3" s="30"/>
      <c r="KQN3" s="30"/>
      <c r="KQO3" s="31"/>
      <c r="KQP3" s="30"/>
      <c r="KQQ3" s="30"/>
      <c r="KQR3" s="30"/>
      <c r="KQS3" s="31"/>
      <c r="KQT3" s="30"/>
      <c r="KQU3" s="30"/>
      <c r="KQV3" s="30"/>
      <c r="KQW3" s="31"/>
      <c r="KQX3" s="30"/>
      <c r="KQY3" s="30"/>
      <c r="KQZ3" s="30"/>
      <c r="KRA3" s="31"/>
      <c r="KRB3" s="30"/>
      <c r="KRC3" s="30"/>
      <c r="KRD3" s="30"/>
      <c r="KRE3" s="31"/>
      <c r="KRF3" s="30"/>
      <c r="KRG3" s="30"/>
      <c r="KRH3" s="30"/>
      <c r="KRI3" s="31"/>
      <c r="KRJ3" s="30"/>
      <c r="KRK3" s="30"/>
      <c r="KRL3" s="30"/>
      <c r="KRM3" s="31"/>
      <c r="KRN3" s="30"/>
      <c r="KRO3" s="30"/>
      <c r="KRP3" s="30"/>
      <c r="KRQ3" s="31"/>
      <c r="KRR3" s="30"/>
      <c r="KRS3" s="30"/>
      <c r="KRT3" s="30"/>
      <c r="KRU3" s="31"/>
      <c r="KRV3" s="30"/>
      <c r="KRW3" s="30"/>
      <c r="KRX3" s="30"/>
      <c r="KRY3" s="31"/>
      <c r="KRZ3" s="30"/>
      <c r="KSA3" s="30"/>
      <c r="KSB3" s="30"/>
      <c r="KSC3" s="31"/>
      <c r="KSD3" s="30"/>
      <c r="KSE3" s="30"/>
      <c r="KSF3" s="30"/>
      <c r="KSG3" s="31"/>
      <c r="KSH3" s="30"/>
      <c r="KSI3" s="30"/>
      <c r="KSJ3" s="30"/>
      <c r="KSK3" s="31"/>
      <c r="KSL3" s="30"/>
      <c r="KSM3" s="30"/>
      <c r="KSN3" s="30"/>
      <c r="KSO3" s="31"/>
      <c r="KSP3" s="30"/>
      <c r="KSQ3" s="30"/>
      <c r="KSR3" s="30"/>
      <c r="KSS3" s="31"/>
      <c r="KST3" s="30"/>
      <c r="KSU3" s="30"/>
      <c r="KSV3" s="30"/>
      <c r="KSW3" s="31"/>
      <c r="KSX3" s="30"/>
      <c r="KSY3" s="30"/>
      <c r="KSZ3" s="30"/>
      <c r="KTA3" s="31"/>
      <c r="KTB3" s="30"/>
      <c r="KTC3" s="30"/>
      <c r="KTD3" s="30"/>
      <c r="KTE3" s="31"/>
      <c r="KTF3" s="30"/>
      <c r="KTG3" s="30"/>
      <c r="KTH3" s="30"/>
      <c r="KTI3" s="31"/>
      <c r="KTJ3" s="30"/>
      <c r="KTK3" s="30"/>
      <c r="KTL3" s="30"/>
      <c r="KTM3" s="31"/>
      <c r="KTN3" s="30"/>
      <c r="KTO3" s="30"/>
      <c r="KTP3" s="30"/>
      <c r="KTQ3" s="31"/>
      <c r="KTR3" s="30"/>
      <c r="KTS3" s="30"/>
      <c r="KTT3" s="30"/>
      <c r="KTU3" s="31"/>
      <c r="KTV3" s="30"/>
      <c r="KTW3" s="30"/>
      <c r="KTX3" s="30"/>
      <c r="KTY3" s="31"/>
      <c r="KTZ3" s="30"/>
      <c r="KUA3" s="30"/>
      <c r="KUB3" s="30"/>
      <c r="KUC3" s="31"/>
      <c r="KUD3" s="30"/>
      <c r="KUE3" s="30"/>
      <c r="KUF3" s="30"/>
      <c r="KUG3" s="31"/>
      <c r="KUH3" s="30"/>
      <c r="KUI3" s="30"/>
      <c r="KUJ3" s="30"/>
      <c r="KUK3" s="31"/>
      <c r="KUL3" s="30"/>
      <c r="KUM3" s="30"/>
      <c r="KUN3" s="30"/>
      <c r="KUO3" s="31"/>
      <c r="KUP3" s="30"/>
      <c r="KUQ3" s="30"/>
      <c r="KUR3" s="30"/>
      <c r="KUS3" s="31"/>
      <c r="KUT3" s="30"/>
      <c r="KUU3" s="30"/>
      <c r="KUV3" s="30"/>
      <c r="KUW3" s="31"/>
      <c r="KUX3" s="30"/>
      <c r="KUY3" s="30"/>
      <c r="KUZ3" s="30"/>
      <c r="KVA3" s="31"/>
      <c r="KVB3" s="30"/>
      <c r="KVC3" s="30"/>
      <c r="KVD3" s="30"/>
      <c r="KVE3" s="31"/>
      <c r="KVF3" s="30"/>
      <c r="KVG3" s="30"/>
      <c r="KVH3" s="30"/>
      <c r="KVI3" s="31"/>
      <c r="KVJ3" s="30"/>
      <c r="KVK3" s="30"/>
      <c r="KVL3" s="30"/>
      <c r="KVM3" s="31"/>
      <c r="KVN3" s="30"/>
      <c r="KVO3" s="30"/>
      <c r="KVP3" s="30"/>
      <c r="KVQ3" s="31"/>
      <c r="KVR3" s="30"/>
      <c r="KVS3" s="30"/>
      <c r="KVT3" s="30"/>
      <c r="KVU3" s="31"/>
      <c r="KVV3" s="30"/>
      <c r="KVW3" s="30"/>
      <c r="KVX3" s="30"/>
      <c r="KVY3" s="31"/>
      <c r="KVZ3" s="30"/>
      <c r="KWA3" s="30"/>
      <c r="KWB3" s="30"/>
      <c r="KWC3" s="31"/>
      <c r="KWD3" s="30"/>
      <c r="KWE3" s="30"/>
      <c r="KWF3" s="30"/>
      <c r="KWG3" s="31"/>
      <c r="KWH3" s="30"/>
      <c r="KWI3" s="30"/>
      <c r="KWJ3" s="30"/>
      <c r="KWK3" s="31"/>
      <c r="KWL3" s="30"/>
      <c r="KWM3" s="30"/>
      <c r="KWN3" s="30"/>
      <c r="KWO3" s="31"/>
      <c r="KWP3" s="30"/>
      <c r="KWQ3" s="30"/>
      <c r="KWR3" s="30"/>
      <c r="KWS3" s="31"/>
      <c r="KWT3" s="30"/>
      <c r="KWU3" s="30"/>
      <c r="KWV3" s="30"/>
      <c r="KWW3" s="31"/>
      <c r="KWX3" s="30"/>
      <c r="KWY3" s="30"/>
      <c r="KWZ3" s="30"/>
      <c r="KXA3" s="31"/>
      <c r="KXB3" s="30"/>
      <c r="KXC3" s="30"/>
      <c r="KXD3" s="30"/>
      <c r="KXE3" s="31"/>
      <c r="KXF3" s="30"/>
      <c r="KXG3" s="30"/>
      <c r="KXH3" s="30"/>
      <c r="KXI3" s="31"/>
      <c r="KXJ3" s="30"/>
      <c r="KXK3" s="30"/>
      <c r="KXL3" s="30"/>
      <c r="KXM3" s="31"/>
      <c r="KXN3" s="30"/>
      <c r="KXO3" s="30"/>
      <c r="KXP3" s="30"/>
      <c r="KXQ3" s="31"/>
      <c r="KXR3" s="30"/>
      <c r="KXS3" s="30"/>
      <c r="KXT3" s="30"/>
      <c r="KXU3" s="31"/>
      <c r="KXV3" s="30"/>
      <c r="KXW3" s="30"/>
      <c r="KXX3" s="30"/>
      <c r="KXY3" s="31"/>
      <c r="KXZ3" s="30"/>
      <c r="KYA3" s="30"/>
      <c r="KYB3" s="30"/>
      <c r="KYC3" s="31"/>
      <c r="KYD3" s="30"/>
      <c r="KYE3" s="30"/>
      <c r="KYF3" s="30"/>
      <c r="KYG3" s="31"/>
      <c r="KYH3" s="30"/>
      <c r="KYI3" s="30"/>
      <c r="KYJ3" s="30"/>
      <c r="KYK3" s="31"/>
      <c r="KYL3" s="30"/>
      <c r="KYM3" s="30"/>
      <c r="KYN3" s="30"/>
      <c r="KYO3" s="31"/>
      <c r="KYP3" s="30"/>
      <c r="KYQ3" s="30"/>
      <c r="KYR3" s="30"/>
      <c r="KYS3" s="31"/>
      <c r="KYT3" s="30"/>
      <c r="KYU3" s="30"/>
      <c r="KYV3" s="30"/>
      <c r="KYW3" s="31"/>
      <c r="KYX3" s="30"/>
      <c r="KYY3" s="30"/>
      <c r="KYZ3" s="30"/>
      <c r="KZA3" s="31"/>
      <c r="KZB3" s="30"/>
      <c r="KZC3" s="30"/>
      <c r="KZD3" s="30"/>
      <c r="KZE3" s="31"/>
      <c r="KZF3" s="30"/>
      <c r="KZG3" s="30"/>
      <c r="KZH3" s="30"/>
      <c r="KZI3" s="31"/>
      <c r="KZJ3" s="30"/>
      <c r="KZK3" s="30"/>
      <c r="KZL3" s="30"/>
      <c r="KZM3" s="31"/>
      <c r="KZN3" s="30"/>
      <c r="KZO3" s="30"/>
      <c r="KZP3" s="30"/>
      <c r="KZQ3" s="31"/>
      <c r="KZR3" s="30"/>
      <c r="KZS3" s="30"/>
      <c r="KZT3" s="30"/>
      <c r="KZU3" s="31"/>
      <c r="KZV3" s="30"/>
      <c r="KZW3" s="30"/>
      <c r="KZX3" s="30"/>
      <c r="KZY3" s="31"/>
      <c r="KZZ3" s="30"/>
      <c r="LAA3" s="30"/>
      <c r="LAB3" s="30"/>
      <c r="LAC3" s="31"/>
      <c r="LAD3" s="30"/>
      <c r="LAE3" s="30"/>
      <c r="LAF3" s="30"/>
      <c r="LAG3" s="31"/>
      <c r="LAH3" s="30"/>
      <c r="LAI3" s="30"/>
      <c r="LAJ3" s="30"/>
      <c r="LAK3" s="31"/>
      <c r="LAL3" s="30"/>
      <c r="LAM3" s="30"/>
      <c r="LAN3" s="30"/>
      <c r="LAO3" s="31"/>
      <c r="LAP3" s="30"/>
      <c r="LAQ3" s="30"/>
      <c r="LAR3" s="30"/>
      <c r="LAS3" s="31"/>
      <c r="LAT3" s="30"/>
      <c r="LAU3" s="30"/>
      <c r="LAV3" s="30"/>
      <c r="LAW3" s="31"/>
      <c r="LAX3" s="30"/>
      <c r="LAY3" s="30"/>
      <c r="LAZ3" s="30"/>
      <c r="LBA3" s="31"/>
      <c r="LBB3" s="30"/>
      <c r="LBC3" s="30"/>
      <c r="LBD3" s="30"/>
      <c r="LBE3" s="31"/>
      <c r="LBF3" s="30"/>
      <c r="LBG3" s="30"/>
      <c r="LBH3" s="30"/>
      <c r="LBI3" s="31"/>
      <c r="LBJ3" s="30"/>
      <c r="LBK3" s="30"/>
      <c r="LBL3" s="30"/>
      <c r="LBM3" s="31"/>
      <c r="LBN3" s="30"/>
      <c r="LBO3" s="30"/>
      <c r="LBP3" s="30"/>
      <c r="LBQ3" s="31"/>
      <c r="LBR3" s="30"/>
      <c r="LBS3" s="30"/>
      <c r="LBT3" s="30"/>
      <c r="LBU3" s="31"/>
      <c r="LBV3" s="30"/>
      <c r="LBW3" s="30"/>
      <c r="LBX3" s="30"/>
      <c r="LBY3" s="31"/>
      <c r="LBZ3" s="30"/>
      <c r="LCA3" s="30"/>
      <c r="LCB3" s="30"/>
      <c r="LCC3" s="31"/>
      <c r="LCD3" s="30"/>
      <c r="LCE3" s="30"/>
      <c r="LCF3" s="30"/>
      <c r="LCG3" s="31"/>
      <c r="LCH3" s="30"/>
      <c r="LCI3" s="30"/>
      <c r="LCJ3" s="30"/>
      <c r="LCK3" s="31"/>
      <c r="LCL3" s="30"/>
      <c r="LCM3" s="30"/>
      <c r="LCN3" s="30"/>
      <c r="LCO3" s="31"/>
      <c r="LCP3" s="30"/>
      <c r="LCQ3" s="30"/>
      <c r="LCR3" s="30"/>
      <c r="LCS3" s="31"/>
      <c r="LCT3" s="30"/>
      <c r="LCU3" s="30"/>
      <c r="LCV3" s="30"/>
      <c r="LCW3" s="31"/>
      <c r="LCX3" s="30"/>
      <c r="LCY3" s="30"/>
      <c r="LCZ3" s="30"/>
      <c r="LDA3" s="31"/>
      <c r="LDB3" s="30"/>
      <c r="LDC3" s="30"/>
      <c r="LDD3" s="30"/>
      <c r="LDE3" s="31"/>
      <c r="LDF3" s="30"/>
      <c r="LDG3" s="30"/>
      <c r="LDH3" s="30"/>
      <c r="LDI3" s="31"/>
      <c r="LDJ3" s="30"/>
      <c r="LDK3" s="30"/>
      <c r="LDL3" s="30"/>
      <c r="LDM3" s="31"/>
      <c r="LDN3" s="30"/>
      <c r="LDO3" s="30"/>
      <c r="LDP3" s="30"/>
      <c r="LDQ3" s="31"/>
      <c r="LDR3" s="30"/>
      <c r="LDS3" s="30"/>
      <c r="LDT3" s="30"/>
      <c r="LDU3" s="31"/>
      <c r="LDV3" s="30"/>
      <c r="LDW3" s="30"/>
      <c r="LDX3" s="30"/>
      <c r="LDY3" s="31"/>
      <c r="LDZ3" s="30"/>
      <c r="LEA3" s="30"/>
      <c r="LEB3" s="30"/>
      <c r="LEC3" s="31"/>
      <c r="LED3" s="30"/>
      <c r="LEE3" s="30"/>
      <c r="LEF3" s="30"/>
      <c r="LEG3" s="31"/>
      <c r="LEH3" s="30"/>
      <c r="LEI3" s="30"/>
      <c r="LEJ3" s="30"/>
      <c r="LEK3" s="31"/>
      <c r="LEL3" s="30"/>
      <c r="LEM3" s="30"/>
      <c r="LEN3" s="30"/>
      <c r="LEO3" s="31"/>
      <c r="LEP3" s="30"/>
      <c r="LEQ3" s="30"/>
      <c r="LER3" s="30"/>
      <c r="LES3" s="31"/>
      <c r="LET3" s="30"/>
      <c r="LEU3" s="30"/>
      <c r="LEV3" s="30"/>
      <c r="LEW3" s="31"/>
      <c r="LEX3" s="30"/>
      <c r="LEY3" s="30"/>
      <c r="LEZ3" s="30"/>
      <c r="LFA3" s="31"/>
      <c r="LFB3" s="30"/>
      <c r="LFC3" s="30"/>
      <c r="LFD3" s="30"/>
      <c r="LFE3" s="31"/>
      <c r="LFF3" s="30"/>
      <c r="LFG3" s="30"/>
      <c r="LFH3" s="30"/>
      <c r="LFI3" s="31"/>
      <c r="LFJ3" s="30"/>
      <c r="LFK3" s="30"/>
      <c r="LFL3" s="30"/>
      <c r="LFM3" s="31"/>
      <c r="LFN3" s="30"/>
      <c r="LFO3" s="30"/>
      <c r="LFP3" s="30"/>
      <c r="LFQ3" s="31"/>
      <c r="LFR3" s="30"/>
      <c r="LFS3" s="30"/>
      <c r="LFT3" s="30"/>
      <c r="LFU3" s="31"/>
      <c r="LFV3" s="30"/>
      <c r="LFW3" s="30"/>
      <c r="LFX3" s="30"/>
      <c r="LFY3" s="31"/>
      <c r="LFZ3" s="30"/>
      <c r="LGA3" s="30"/>
      <c r="LGB3" s="30"/>
      <c r="LGC3" s="31"/>
      <c r="LGD3" s="30"/>
      <c r="LGE3" s="30"/>
      <c r="LGF3" s="30"/>
      <c r="LGG3" s="31"/>
      <c r="LGH3" s="30"/>
      <c r="LGI3" s="30"/>
      <c r="LGJ3" s="30"/>
      <c r="LGK3" s="31"/>
      <c r="LGL3" s="30"/>
      <c r="LGM3" s="30"/>
      <c r="LGN3" s="30"/>
      <c r="LGO3" s="31"/>
      <c r="LGP3" s="30"/>
      <c r="LGQ3" s="30"/>
      <c r="LGR3" s="30"/>
      <c r="LGS3" s="31"/>
      <c r="LGT3" s="30"/>
      <c r="LGU3" s="30"/>
      <c r="LGV3" s="30"/>
      <c r="LGW3" s="31"/>
      <c r="LGX3" s="30"/>
      <c r="LGY3" s="30"/>
      <c r="LGZ3" s="30"/>
      <c r="LHA3" s="31"/>
      <c r="LHB3" s="30"/>
      <c r="LHC3" s="30"/>
      <c r="LHD3" s="30"/>
      <c r="LHE3" s="31"/>
      <c r="LHF3" s="30"/>
      <c r="LHG3" s="30"/>
      <c r="LHH3" s="30"/>
      <c r="LHI3" s="31"/>
      <c r="LHJ3" s="30"/>
      <c r="LHK3" s="30"/>
      <c r="LHL3" s="30"/>
      <c r="LHM3" s="31"/>
      <c r="LHN3" s="30"/>
      <c r="LHO3" s="30"/>
      <c r="LHP3" s="30"/>
      <c r="LHQ3" s="31"/>
      <c r="LHR3" s="30"/>
      <c r="LHS3" s="30"/>
      <c r="LHT3" s="30"/>
      <c r="LHU3" s="31"/>
      <c r="LHV3" s="30"/>
      <c r="LHW3" s="30"/>
      <c r="LHX3" s="30"/>
      <c r="LHY3" s="31"/>
      <c r="LHZ3" s="30"/>
      <c r="LIA3" s="30"/>
      <c r="LIB3" s="30"/>
      <c r="LIC3" s="31"/>
      <c r="LID3" s="30"/>
      <c r="LIE3" s="30"/>
      <c r="LIF3" s="30"/>
      <c r="LIG3" s="31"/>
      <c r="LIH3" s="30"/>
      <c r="LII3" s="30"/>
      <c r="LIJ3" s="30"/>
      <c r="LIK3" s="31"/>
      <c r="LIL3" s="30"/>
      <c r="LIM3" s="30"/>
      <c r="LIN3" s="30"/>
      <c r="LIO3" s="31"/>
      <c r="LIP3" s="30"/>
      <c r="LIQ3" s="30"/>
      <c r="LIR3" s="30"/>
      <c r="LIS3" s="31"/>
      <c r="LIT3" s="30"/>
      <c r="LIU3" s="30"/>
      <c r="LIV3" s="30"/>
      <c r="LIW3" s="31"/>
      <c r="LIX3" s="30"/>
      <c r="LIY3" s="30"/>
      <c r="LIZ3" s="30"/>
      <c r="LJA3" s="31"/>
      <c r="LJB3" s="30"/>
      <c r="LJC3" s="30"/>
      <c r="LJD3" s="30"/>
      <c r="LJE3" s="31"/>
      <c r="LJF3" s="30"/>
      <c r="LJG3" s="30"/>
      <c r="LJH3" s="30"/>
      <c r="LJI3" s="31"/>
      <c r="LJJ3" s="30"/>
      <c r="LJK3" s="30"/>
      <c r="LJL3" s="30"/>
      <c r="LJM3" s="31"/>
      <c r="LJN3" s="30"/>
      <c r="LJO3" s="30"/>
      <c r="LJP3" s="30"/>
      <c r="LJQ3" s="31"/>
      <c r="LJR3" s="30"/>
      <c r="LJS3" s="30"/>
      <c r="LJT3" s="30"/>
      <c r="LJU3" s="31"/>
      <c r="LJV3" s="30"/>
      <c r="LJW3" s="30"/>
      <c r="LJX3" s="30"/>
      <c r="LJY3" s="31"/>
      <c r="LJZ3" s="30"/>
      <c r="LKA3" s="30"/>
      <c r="LKB3" s="30"/>
      <c r="LKC3" s="31"/>
      <c r="LKD3" s="30"/>
      <c r="LKE3" s="30"/>
      <c r="LKF3" s="30"/>
      <c r="LKG3" s="31"/>
      <c r="LKH3" s="30"/>
      <c r="LKI3" s="30"/>
      <c r="LKJ3" s="30"/>
      <c r="LKK3" s="31"/>
      <c r="LKL3" s="30"/>
      <c r="LKM3" s="30"/>
      <c r="LKN3" s="30"/>
      <c r="LKO3" s="31"/>
      <c r="LKP3" s="30"/>
      <c r="LKQ3" s="30"/>
      <c r="LKR3" s="30"/>
      <c r="LKS3" s="31"/>
      <c r="LKT3" s="30"/>
      <c r="LKU3" s="30"/>
      <c r="LKV3" s="30"/>
      <c r="LKW3" s="31"/>
      <c r="LKX3" s="30"/>
      <c r="LKY3" s="30"/>
      <c r="LKZ3" s="30"/>
      <c r="LLA3" s="31"/>
      <c r="LLB3" s="30"/>
      <c r="LLC3" s="30"/>
      <c r="LLD3" s="30"/>
      <c r="LLE3" s="31"/>
      <c r="LLF3" s="30"/>
      <c r="LLG3" s="30"/>
      <c r="LLH3" s="30"/>
      <c r="LLI3" s="31"/>
      <c r="LLJ3" s="30"/>
      <c r="LLK3" s="30"/>
      <c r="LLL3" s="30"/>
      <c r="LLM3" s="31"/>
      <c r="LLN3" s="30"/>
      <c r="LLO3" s="30"/>
      <c r="LLP3" s="30"/>
      <c r="LLQ3" s="31"/>
      <c r="LLR3" s="30"/>
      <c r="LLS3" s="30"/>
      <c r="LLT3" s="30"/>
      <c r="LLU3" s="31"/>
      <c r="LLV3" s="30"/>
      <c r="LLW3" s="30"/>
      <c r="LLX3" s="30"/>
      <c r="LLY3" s="31"/>
      <c r="LLZ3" s="30"/>
      <c r="LMA3" s="30"/>
      <c r="LMB3" s="30"/>
      <c r="LMC3" s="31"/>
      <c r="LMD3" s="30"/>
      <c r="LME3" s="30"/>
      <c r="LMF3" s="30"/>
      <c r="LMG3" s="31"/>
      <c r="LMH3" s="30"/>
      <c r="LMI3" s="30"/>
      <c r="LMJ3" s="30"/>
      <c r="LMK3" s="31"/>
      <c r="LML3" s="30"/>
      <c r="LMM3" s="30"/>
      <c r="LMN3" s="30"/>
      <c r="LMO3" s="31"/>
      <c r="LMP3" s="30"/>
      <c r="LMQ3" s="30"/>
      <c r="LMR3" s="30"/>
      <c r="LMS3" s="31"/>
      <c r="LMT3" s="30"/>
      <c r="LMU3" s="30"/>
      <c r="LMV3" s="30"/>
      <c r="LMW3" s="31"/>
      <c r="LMX3" s="30"/>
      <c r="LMY3" s="30"/>
      <c r="LMZ3" s="30"/>
      <c r="LNA3" s="31"/>
      <c r="LNB3" s="30"/>
      <c r="LNC3" s="30"/>
      <c r="LND3" s="30"/>
      <c r="LNE3" s="31"/>
      <c r="LNF3" s="30"/>
      <c r="LNG3" s="30"/>
      <c r="LNH3" s="30"/>
      <c r="LNI3" s="31"/>
      <c r="LNJ3" s="30"/>
      <c r="LNK3" s="30"/>
      <c r="LNL3" s="30"/>
      <c r="LNM3" s="31"/>
      <c r="LNN3" s="30"/>
      <c r="LNO3" s="30"/>
      <c r="LNP3" s="30"/>
      <c r="LNQ3" s="31"/>
      <c r="LNR3" s="30"/>
      <c r="LNS3" s="30"/>
      <c r="LNT3" s="30"/>
      <c r="LNU3" s="31"/>
      <c r="LNV3" s="30"/>
      <c r="LNW3" s="30"/>
      <c r="LNX3" s="30"/>
      <c r="LNY3" s="31"/>
      <c r="LNZ3" s="30"/>
      <c r="LOA3" s="30"/>
      <c r="LOB3" s="30"/>
      <c r="LOC3" s="31"/>
      <c r="LOD3" s="30"/>
      <c r="LOE3" s="30"/>
      <c r="LOF3" s="30"/>
      <c r="LOG3" s="31"/>
      <c r="LOH3" s="30"/>
      <c r="LOI3" s="30"/>
      <c r="LOJ3" s="30"/>
      <c r="LOK3" s="31"/>
      <c r="LOL3" s="30"/>
      <c r="LOM3" s="30"/>
      <c r="LON3" s="30"/>
      <c r="LOO3" s="31"/>
      <c r="LOP3" s="30"/>
      <c r="LOQ3" s="30"/>
      <c r="LOR3" s="30"/>
      <c r="LOS3" s="31"/>
      <c r="LOT3" s="30"/>
      <c r="LOU3" s="30"/>
      <c r="LOV3" s="30"/>
      <c r="LOW3" s="31"/>
      <c r="LOX3" s="30"/>
      <c r="LOY3" s="30"/>
      <c r="LOZ3" s="30"/>
      <c r="LPA3" s="31"/>
      <c r="LPB3" s="30"/>
      <c r="LPC3" s="30"/>
      <c r="LPD3" s="30"/>
      <c r="LPE3" s="31"/>
      <c r="LPF3" s="30"/>
      <c r="LPG3" s="30"/>
      <c r="LPH3" s="30"/>
      <c r="LPI3" s="31"/>
      <c r="LPJ3" s="30"/>
      <c r="LPK3" s="30"/>
      <c r="LPL3" s="30"/>
      <c r="LPM3" s="31"/>
      <c r="LPN3" s="30"/>
      <c r="LPO3" s="30"/>
      <c r="LPP3" s="30"/>
      <c r="LPQ3" s="31"/>
      <c r="LPR3" s="30"/>
      <c r="LPS3" s="30"/>
      <c r="LPT3" s="30"/>
      <c r="LPU3" s="31"/>
      <c r="LPV3" s="30"/>
      <c r="LPW3" s="30"/>
      <c r="LPX3" s="30"/>
      <c r="LPY3" s="31"/>
      <c r="LPZ3" s="30"/>
      <c r="LQA3" s="30"/>
      <c r="LQB3" s="30"/>
      <c r="LQC3" s="31"/>
      <c r="LQD3" s="30"/>
      <c r="LQE3" s="30"/>
      <c r="LQF3" s="30"/>
      <c r="LQG3" s="31"/>
      <c r="LQH3" s="30"/>
      <c r="LQI3" s="30"/>
      <c r="LQJ3" s="30"/>
      <c r="LQK3" s="31"/>
      <c r="LQL3" s="30"/>
      <c r="LQM3" s="30"/>
      <c r="LQN3" s="30"/>
      <c r="LQO3" s="31"/>
      <c r="LQP3" s="30"/>
      <c r="LQQ3" s="30"/>
      <c r="LQR3" s="30"/>
      <c r="LQS3" s="31"/>
      <c r="LQT3" s="30"/>
      <c r="LQU3" s="30"/>
      <c r="LQV3" s="30"/>
      <c r="LQW3" s="31"/>
      <c r="LQX3" s="30"/>
      <c r="LQY3" s="30"/>
      <c r="LQZ3" s="30"/>
      <c r="LRA3" s="31"/>
      <c r="LRB3" s="30"/>
      <c r="LRC3" s="30"/>
      <c r="LRD3" s="30"/>
      <c r="LRE3" s="31"/>
      <c r="LRF3" s="30"/>
      <c r="LRG3" s="30"/>
      <c r="LRH3" s="30"/>
      <c r="LRI3" s="31"/>
      <c r="LRJ3" s="30"/>
      <c r="LRK3" s="30"/>
      <c r="LRL3" s="30"/>
      <c r="LRM3" s="31"/>
      <c r="LRN3" s="30"/>
      <c r="LRO3" s="30"/>
      <c r="LRP3" s="30"/>
      <c r="LRQ3" s="31"/>
      <c r="LRR3" s="30"/>
      <c r="LRS3" s="30"/>
      <c r="LRT3" s="30"/>
      <c r="LRU3" s="31"/>
      <c r="LRV3" s="30"/>
      <c r="LRW3" s="30"/>
      <c r="LRX3" s="30"/>
      <c r="LRY3" s="31"/>
      <c r="LRZ3" s="30"/>
      <c r="LSA3" s="30"/>
      <c r="LSB3" s="30"/>
      <c r="LSC3" s="31"/>
      <c r="LSD3" s="30"/>
      <c r="LSE3" s="30"/>
      <c r="LSF3" s="30"/>
      <c r="LSG3" s="31"/>
      <c r="LSH3" s="30"/>
      <c r="LSI3" s="30"/>
      <c r="LSJ3" s="30"/>
      <c r="LSK3" s="31"/>
      <c r="LSL3" s="30"/>
      <c r="LSM3" s="30"/>
      <c r="LSN3" s="30"/>
      <c r="LSO3" s="31"/>
      <c r="LSP3" s="30"/>
      <c r="LSQ3" s="30"/>
      <c r="LSR3" s="30"/>
      <c r="LSS3" s="31"/>
      <c r="LST3" s="30"/>
      <c r="LSU3" s="30"/>
      <c r="LSV3" s="30"/>
      <c r="LSW3" s="31"/>
      <c r="LSX3" s="30"/>
      <c r="LSY3" s="30"/>
      <c r="LSZ3" s="30"/>
      <c r="LTA3" s="31"/>
      <c r="LTB3" s="30"/>
      <c r="LTC3" s="30"/>
      <c r="LTD3" s="30"/>
      <c r="LTE3" s="31"/>
      <c r="LTF3" s="30"/>
      <c r="LTG3" s="30"/>
      <c r="LTH3" s="30"/>
      <c r="LTI3" s="31"/>
      <c r="LTJ3" s="30"/>
      <c r="LTK3" s="30"/>
      <c r="LTL3" s="30"/>
      <c r="LTM3" s="31"/>
      <c r="LTN3" s="30"/>
      <c r="LTO3" s="30"/>
      <c r="LTP3" s="30"/>
      <c r="LTQ3" s="31"/>
      <c r="LTR3" s="30"/>
      <c r="LTS3" s="30"/>
      <c r="LTT3" s="30"/>
      <c r="LTU3" s="31"/>
      <c r="LTV3" s="30"/>
      <c r="LTW3" s="30"/>
      <c r="LTX3" s="30"/>
      <c r="LTY3" s="31"/>
      <c r="LTZ3" s="30"/>
      <c r="LUA3" s="30"/>
      <c r="LUB3" s="30"/>
      <c r="LUC3" s="31"/>
      <c r="LUD3" s="30"/>
      <c r="LUE3" s="30"/>
      <c r="LUF3" s="30"/>
      <c r="LUG3" s="31"/>
      <c r="LUH3" s="30"/>
      <c r="LUI3" s="30"/>
      <c r="LUJ3" s="30"/>
      <c r="LUK3" s="31"/>
      <c r="LUL3" s="30"/>
      <c r="LUM3" s="30"/>
      <c r="LUN3" s="30"/>
      <c r="LUO3" s="31"/>
      <c r="LUP3" s="30"/>
      <c r="LUQ3" s="30"/>
      <c r="LUR3" s="30"/>
      <c r="LUS3" s="31"/>
      <c r="LUT3" s="30"/>
      <c r="LUU3" s="30"/>
      <c r="LUV3" s="30"/>
      <c r="LUW3" s="31"/>
      <c r="LUX3" s="30"/>
      <c r="LUY3" s="30"/>
      <c r="LUZ3" s="30"/>
      <c r="LVA3" s="31"/>
      <c r="LVB3" s="30"/>
      <c r="LVC3" s="30"/>
      <c r="LVD3" s="30"/>
      <c r="LVE3" s="31"/>
      <c r="LVF3" s="30"/>
      <c r="LVG3" s="30"/>
      <c r="LVH3" s="30"/>
      <c r="LVI3" s="31"/>
      <c r="LVJ3" s="30"/>
      <c r="LVK3" s="30"/>
      <c r="LVL3" s="30"/>
      <c r="LVM3" s="31"/>
      <c r="LVN3" s="30"/>
      <c r="LVO3" s="30"/>
      <c r="LVP3" s="30"/>
      <c r="LVQ3" s="31"/>
      <c r="LVR3" s="30"/>
      <c r="LVS3" s="30"/>
      <c r="LVT3" s="30"/>
      <c r="LVU3" s="31"/>
      <c r="LVV3" s="30"/>
      <c r="LVW3" s="30"/>
      <c r="LVX3" s="30"/>
      <c r="LVY3" s="31"/>
      <c r="LVZ3" s="30"/>
      <c r="LWA3" s="30"/>
      <c r="LWB3" s="30"/>
      <c r="LWC3" s="31"/>
      <c r="LWD3" s="30"/>
      <c r="LWE3" s="30"/>
      <c r="LWF3" s="30"/>
      <c r="LWG3" s="31"/>
      <c r="LWH3" s="30"/>
      <c r="LWI3" s="30"/>
      <c r="LWJ3" s="30"/>
      <c r="LWK3" s="31"/>
      <c r="LWL3" s="30"/>
      <c r="LWM3" s="30"/>
      <c r="LWN3" s="30"/>
      <c r="LWO3" s="31"/>
      <c r="LWP3" s="30"/>
      <c r="LWQ3" s="30"/>
      <c r="LWR3" s="30"/>
      <c r="LWS3" s="31"/>
      <c r="LWT3" s="30"/>
      <c r="LWU3" s="30"/>
      <c r="LWV3" s="30"/>
      <c r="LWW3" s="31"/>
      <c r="LWX3" s="30"/>
      <c r="LWY3" s="30"/>
      <c r="LWZ3" s="30"/>
      <c r="LXA3" s="31"/>
      <c r="LXB3" s="30"/>
      <c r="LXC3" s="30"/>
      <c r="LXD3" s="30"/>
      <c r="LXE3" s="31"/>
      <c r="LXF3" s="30"/>
      <c r="LXG3" s="30"/>
      <c r="LXH3" s="30"/>
      <c r="LXI3" s="31"/>
      <c r="LXJ3" s="30"/>
      <c r="LXK3" s="30"/>
      <c r="LXL3" s="30"/>
      <c r="LXM3" s="31"/>
      <c r="LXN3" s="30"/>
      <c r="LXO3" s="30"/>
      <c r="LXP3" s="30"/>
      <c r="LXQ3" s="31"/>
      <c r="LXR3" s="30"/>
      <c r="LXS3" s="30"/>
      <c r="LXT3" s="30"/>
      <c r="LXU3" s="31"/>
      <c r="LXV3" s="30"/>
      <c r="LXW3" s="30"/>
      <c r="LXX3" s="30"/>
      <c r="LXY3" s="31"/>
      <c r="LXZ3" s="30"/>
      <c r="LYA3" s="30"/>
      <c r="LYB3" s="30"/>
      <c r="LYC3" s="31"/>
      <c r="LYD3" s="30"/>
      <c r="LYE3" s="30"/>
      <c r="LYF3" s="30"/>
      <c r="LYG3" s="31"/>
      <c r="LYH3" s="30"/>
      <c r="LYI3" s="30"/>
      <c r="LYJ3" s="30"/>
      <c r="LYK3" s="31"/>
      <c r="LYL3" s="30"/>
      <c r="LYM3" s="30"/>
      <c r="LYN3" s="30"/>
      <c r="LYO3" s="31"/>
      <c r="LYP3" s="30"/>
      <c r="LYQ3" s="30"/>
      <c r="LYR3" s="30"/>
      <c r="LYS3" s="31"/>
      <c r="LYT3" s="30"/>
      <c r="LYU3" s="30"/>
      <c r="LYV3" s="30"/>
      <c r="LYW3" s="31"/>
      <c r="LYX3" s="30"/>
      <c r="LYY3" s="30"/>
      <c r="LYZ3" s="30"/>
      <c r="LZA3" s="31"/>
      <c r="LZB3" s="30"/>
      <c r="LZC3" s="30"/>
      <c r="LZD3" s="30"/>
      <c r="LZE3" s="31"/>
      <c r="LZF3" s="30"/>
      <c r="LZG3" s="30"/>
      <c r="LZH3" s="30"/>
      <c r="LZI3" s="31"/>
      <c r="LZJ3" s="30"/>
      <c r="LZK3" s="30"/>
      <c r="LZL3" s="30"/>
      <c r="LZM3" s="31"/>
      <c r="LZN3" s="30"/>
      <c r="LZO3" s="30"/>
      <c r="LZP3" s="30"/>
      <c r="LZQ3" s="31"/>
      <c r="LZR3" s="30"/>
      <c r="LZS3" s="30"/>
      <c r="LZT3" s="30"/>
      <c r="LZU3" s="31"/>
      <c r="LZV3" s="30"/>
      <c r="LZW3" s="30"/>
      <c r="LZX3" s="30"/>
      <c r="LZY3" s="31"/>
      <c r="LZZ3" s="30"/>
      <c r="MAA3" s="30"/>
      <c r="MAB3" s="30"/>
      <c r="MAC3" s="31"/>
      <c r="MAD3" s="30"/>
      <c r="MAE3" s="30"/>
      <c r="MAF3" s="30"/>
      <c r="MAG3" s="31"/>
      <c r="MAH3" s="30"/>
      <c r="MAI3" s="30"/>
      <c r="MAJ3" s="30"/>
      <c r="MAK3" s="31"/>
      <c r="MAL3" s="30"/>
      <c r="MAM3" s="30"/>
      <c r="MAN3" s="30"/>
      <c r="MAO3" s="31"/>
      <c r="MAP3" s="30"/>
      <c r="MAQ3" s="30"/>
      <c r="MAR3" s="30"/>
      <c r="MAS3" s="31"/>
      <c r="MAT3" s="30"/>
      <c r="MAU3" s="30"/>
      <c r="MAV3" s="30"/>
      <c r="MAW3" s="31"/>
      <c r="MAX3" s="30"/>
      <c r="MAY3" s="30"/>
      <c r="MAZ3" s="30"/>
      <c r="MBA3" s="31"/>
      <c r="MBB3" s="30"/>
      <c r="MBC3" s="30"/>
      <c r="MBD3" s="30"/>
      <c r="MBE3" s="31"/>
      <c r="MBF3" s="30"/>
      <c r="MBG3" s="30"/>
      <c r="MBH3" s="30"/>
      <c r="MBI3" s="31"/>
      <c r="MBJ3" s="30"/>
      <c r="MBK3" s="30"/>
      <c r="MBL3" s="30"/>
      <c r="MBM3" s="31"/>
      <c r="MBN3" s="30"/>
      <c r="MBO3" s="30"/>
      <c r="MBP3" s="30"/>
      <c r="MBQ3" s="31"/>
      <c r="MBR3" s="30"/>
      <c r="MBS3" s="30"/>
      <c r="MBT3" s="30"/>
      <c r="MBU3" s="31"/>
      <c r="MBV3" s="30"/>
      <c r="MBW3" s="30"/>
      <c r="MBX3" s="30"/>
      <c r="MBY3" s="31"/>
      <c r="MBZ3" s="30"/>
      <c r="MCA3" s="30"/>
      <c r="MCB3" s="30"/>
      <c r="MCC3" s="31"/>
      <c r="MCD3" s="30"/>
      <c r="MCE3" s="30"/>
      <c r="MCF3" s="30"/>
      <c r="MCG3" s="31"/>
      <c r="MCH3" s="30"/>
      <c r="MCI3" s="30"/>
      <c r="MCJ3" s="30"/>
      <c r="MCK3" s="31"/>
      <c r="MCL3" s="30"/>
      <c r="MCM3" s="30"/>
      <c r="MCN3" s="30"/>
      <c r="MCO3" s="31"/>
      <c r="MCP3" s="30"/>
      <c r="MCQ3" s="30"/>
      <c r="MCR3" s="30"/>
      <c r="MCS3" s="31"/>
      <c r="MCT3" s="30"/>
      <c r="MCU3" s="30"/>
      <c r="MCV3" s="30"/>
      <c r="MCW3" s="31"/>
      <c r="MCX3" s="30"/>
      <c r="MCY3" s="30"/>
      <c r="MCZ3" s="30"/>
      <c r="MDA3" s="31"/>
      <c r="MDB3" s="30"/>
      <c r="MDC3" s="30"/>
      <c r="MDD3" s="30"/>
      <c r="MDE3" s="31"/>
      <c r="MDF3" s="30"/>
      <c r="MDG3" s="30"/>
      <c r="MDH3" s="30"/>
      <c r="MDI3" s="31"/>
      <c r="MDJ3" s="30"/>
      <c r="MDK3" s="30"/>
      <c r="MDL3" s="30"/>
      <c r="MDM3" s="31"/>
      <c r="MDN3" s="30"/>
      <c r="MDO3" s="30"/>
      <c r="MDP3" s="30"/>
      <c r="MDQ3" s="31"/>
      <c r="MDR3" s="30"/>
      <c r="MDS3" s="30"/>
      <c r="MDT3" s="30"/>
      <c r="MDU3" s="31"/>
      <c r="MDV3" s="30"/>
      <c r="MDW3" s="30"/>
      <c r="MDX3" s="30"/>
      <c r="MDY3" s="31"/>
      <c r="MDZ3" s="30"/>
      <c r="MEA3" s="30"/>
      <c r="MEB3" s="30"/>
      <c r="MEC3" s="31"/>
      <c r="MED3" s="30"/>
      <c r="MEE3" s="30"/>
      <c r="MEF3" s="30"/>
      <c r="MEG3" s="31"/>
      <c r="MEH3" s="30"/>
      <c r="MEI3" s="30"/>
      <c r="MEJ3" s="30"/>
      <c r="MEK3" s="31"/>
      <c r="MEL3" s="30"/>
      <c r="MEM3" s="30"/>
      <c r="MEN3" s="30"/>
      <c r="MEO3" s="31"/>
      <c r="MEP3" s="30"/>
      <c r="MEQ3" s="30"/>
      <c r="MER3" s="30"/>
      <c r="MES3" s="31"/>
      <c r="MET3" s="30"/>
      <c r="MEU3" s="30"/>
      <c r="MEV3" s="30"/>
      <c r="MEW3" s="31"/>
      <c r="MEX3" s="30"/>
      <c r="MEY3" s="30"/>
      <c r="MEZ3" s="30"/>
      <c r="MFA3" s="31"/>
      <c r="MFB3" s="30"/>
      <c r="MFC3" s="30"/>
      <c r="MFD3" s="30"/>
      <c r="MFE3" s="31"/>
      <c r="MFF3" s="30"/>
      <c r="MFG3" s="30"/>
      <c r="MFH3" s="30"/>
      <c r="MFI3" s="31"/>
      <c r="MFJ3" s="30"/>
      <c r="MFK3" s="30"/>
      <c r="MFL3" s="30"/>
      <c r="MFM3" s="31"/>
      <c r="MFN3" s="30"/>
      <c r="MFO3" s="30"/>
      <c r="MFP3" s="30"/>
      <c r="MFQ3" s="31"/>
      <c r="MFR3" s="30"/>
      <c r="MFS3" s="30"/>
      <c r="MFT3" s="30"/>
      <c r="MFU3" s="31"/>
      <c r="MFV3" s="30"/>
      <c r="MFW3" s="30"/>
      <c r="MFX3" s="30"/>
      <c r="MFY3" s="31"/>
      <c r="MFZ3" s="30"/>
      <c r="MGA3" s="30"/>
      <c r="MGB3" s="30"/>
      <c r="MGC3" s="31"/>
      <c r="MGD3" s="30"/>
      <c r="MGE3" s="30"/>
      <c r="MGF3" s="30"/>
      <c r="MGG3" s="31"/>
      <c r="MGH3" s="30"/>
      <c r="MGI3" s="30"/>
      <c r="MGJ3" s="30"/>
      <c r="MGK3" s="31"/>
      <c r="MGL3" s="30"/>
      <c r="MGM3" s="30"/>
      <c r="MGN3" s="30"/>
      <c r="MGO3" s="31"/>
      <c r="MGP3" s="30"/>
      <c r="MGQ3" s="30"/>
      <c r="MGR3" s="30"/>
      <c r="MGS3" s="31"/>
      <c r="MGT3" s="30"/>
      <c r="MGU3" s="30"/>
      <c r="MGV3" s="30"/>
      <c r="MGW3" s="31"/>
      <c r="MGX3" s="30"/>
      <c r="MGY3" s="30"/>
      <c r="MGZ3" s="30"/>
      <c r="MHA3" s="31"/>
      <c r="MHB3" s="30"/>
      <c r="MHC3" s="30"/>
      <c r="MHD3" s="30"/>
      <c r="MHE3" s="31"/>
      <c r="MHF3" s="30"/>
      <c r="MHG3" s="30"/>
      <c r="MHH3" s="30"/>
      <c r="MHI3" s="31"/>
      <c r="MHJ3" s="30"/>
      <c r="MHK3" s="30"/>
      <c r="MHL3" s="30"/>
      <c r="MHM3" s="31"/>
      <c r="MHN3" s="30"/>
      <c r="MHO3" s="30"/>
      <c r="MHP3" s="30"/>
      <c r="MHQ3" s="31"/>
      <c r="MHR3" s="30"/>
      <c r="MHS3" s="30"/>
      <c r="MHT3" s="30"/>
      <c r="MHU3" s="31"/>
      <c r="MHV3" s="30"/>
      <c r="MHW3" s="30"/>
      <c r="MHX3" s="30"/>
      <c r="MHY3" s="31"/>
      <c r="MHZ3" s="30"/>
      <c r="MIA3" s="30"/>
      <c r="MIB3" s="30"/>
      <c r="MIC3" s="31"/>
      <c r="MID3" s="30"/>
      <c r="MIE3" s="30"/>
      <c r="MIF3" s="30"/>
      <c r="MIG3" s="31"/>
      <c r="MIH3" s="30"/>
      <c r="MII3" s="30"/>
      <c r="MIJ3" s="30"/>
      <c r="MIK3" s="31"/>
      <c r="MIL3" s="30"/>
      <c r="MIM3" s="30"/>
      <c r="MIN3" s="30"/>
      <c r="MIO3" s="31"/>
      <c r="MIP3" s="30"/>
      <c r="MIQ3" s="30"/>
      <c r="MIR3" s="30"/>
      <c r="MIS3" s="31"/>
      <c r="MIT3" s="30"/>
      <c r="MIU3" s="30"/>
      <c r="MIV3" s="30"/>
      <c r="MIW3" s="31"/>
      <c r="MIX3" s="30"/>
      <c r="MIY3" s="30"/>
      <c r="MIZ3" s="30"/>
      <c r="MJA3" s="31"/>
      <c r="MJB3" s="30"/>
      <c r="MJC3" s="30"/>
      <c r="MJD3" s="30"/>
      <c r="MJE3" s="31"/>
      <c r="MJF3" s="30"/>
      <c r="MJG3" s="30"/>
      <c r="MJH3" s="30"/>
      <c r="MJI3" s="31"/>
      <c r="MJJ3" s="30"/>
      <c r="MJK3" s="30"/>
      <c r="MJL3" s="30"/>
      <c r="MJM3" s="31"/>
      <c r="MJN3" s="30"/>
      <c r="MJO3" s="30"/>
      <c r="MJP3" s="30"/>
      <c r="MJQ3" s="31"/>
      <c r="MJR3" s="30"/>
      <c r="MJS3" s="30"/>
      <c r="MJT3" s="30"/>
      <c r="MJU3" s="31"/>
      <c r="MJV3" s="30"/>
      <c r="MJW3" s="30"/>
      <c r="MJX3" s="30"/>
      <c r="MJY3" s="31"/>
      <c r="MJZ3" s="30"/>
      <c r="MKA3" s="30"/>
      <c r="MKB3" s="30"/>
      <c r="MKC3" s="31"/>
      <c r="MKD3" s="30"/>
      <c r="MKE3" s="30"/>
      <c r="MKF3" s="30"/>
      <c r="MKG3" s="31"/>
      <c r="MKH3" s="30"/>
      <c r="MKI3" s="30"/>
      <c r="MKJ3" s="30"/>
      <c r="MKK3" s="31"/>
      <c r="MKL3" s="30"/>
      <c r="MKM3" s="30"/>
      <c r="MKN3" s="30"/>
      <c r="MKO3" s="31"/>
      <c r="MKP3" s="30"/>
      <c r="MKQ3" s="30"/>
      <c r="MKR3" s="30"/>
      <c r="MKS3" s="31"/>
      <c r="MKT3" s="30"/>
      <c r="MKU3" s="30"/>
      <c r="MKV3" s="30"/>
      <c r="MKW3" s="31"/>
      <c r="MKX3" s="30"/>
      <c r="MKY3" s="30"/>
      <c r="MKZ3" s="30"/>
      <c r="MLA3" s="31"/>
      <c r="MLB3" s="30"/>
      <c r="MLC3" s="30"/>
      <c r="MLD3" s="30"/>
      <c r="MLE3" s="31"/>
      <c r="MLF3" s="30"/>
      <c r="MLG3" s="30"/>
      <c r="MLH3" s="30"/>
      <c r="MLI3" s="31"/>
      <c r="MLJ3" s="30"/>
      <c r="MLK3" s="30"/>
      <c r="MLL3" s="30"/>
      <c r="MLM3" s="31"/>
      <c r="MLN3" s="30"/>
      <c r="MLO3" s="30"/>
      <c r="MLP3" s="30"/>
      <c r="MLQ3" s="31"/>
      <c r="MLR3" s="30"/>
      <c r="MLS3" s="30"/>
      <c r="MLT3" s="30"/>
      <c r="MLU3" s="31"/>
      <c r="MLV3" s="30"/>
      <c r="MLW3" s="30"/>
      <c r="MLX3" s="30"/>
      <c r="MLY3" s="31"/>
      <c r="MLZ3" s="30"/>
      <c r="MMA3" s="30"/>
      <c r="MMB3" s="30"/>
      <c r="MMC3" s="31"/>
      <c r="MMD3" s="30"/>
      <c r="MME3" s="30"/>
      <c r="MMF3" s="30"/>
      <c r="MMG3" s="31"/>
      <c r="MMH3" s="30"/>
      <c r="MMI3" s="30"/>
      <c r="MMJ3" s="30"/>
      <c r="MMK3" s="31"/>
      <c r="MML3" s="30"/>
      <c r="MMM3" s="30"/>
      <c r="MMN3" s="30"/>
      <c r="MMO3" s="31"/>
      <c r="MMP3" s="30"/>
      <c r="MMQ3" s="30"/>
      <c r="MMR3" s="30"/>
      <c r="MMS3" s="31"/>
      <c r="MMT3" s="30"/>
      <c r="MMU3" s="30"/>
      <c r="MMV3" s="30"/>
      <c r="MMW3" s="31"/>
      <c r="MMX3" s="30"/>
      <c r="MMY3" s="30"/>
      <c r="MMZ3" s="30"/>
      <c r="MNA3" s="31"/>
      <c r="MNB3" s="30"/>
      <c r="MNC3" s="30"/>
      <c r="MND3" s="30"/>
      <c r="MNE3" s="31"/>
      <c r="MNF3" s="30"/>
      <c r="MNG3" s="30"/>
      <c r="MNH3" s="30"/>
      <c r="MNI3" s="31"/>
      <c r="MNJ3" s="30"/>
      <c r="MNK3" s="30"/>
      <c r="MNL3" s="30"/>
      <c r="MNM3" s="31"/>
      <c r="MNN3" s="30"/>
      <c r="MNO3" s="30"/>
      <c r="MNP3" s="30"/>
      <c r="MNQ3" s="31"/>
      <c r="MNR3" s="30"/>
      <c r="MNS3" s="30"/>
      <c r="MNT3" s="30"/>
      <c r="MNU3" s="31"/>
      <c r="MNV3" s="30"/>
      <c r="MNW3" s="30"/>
      <c r="MNX3" s="30"/>
      <c r="MNY3" s="31"/>
      <c r="MNZ3" s="30"/>
      <c r="MOA3" s="30"/>
      <c r="MOB3" s="30"/>
      <c r="MOC3" s="31"/>
      <c r="MOD3" s="30"/>
      <c r="MOE3" s="30"/>
      <c r="MOF3" s="30"/>
      <c r="MOG3" s="31"/>
      <c r="MOH3" s="30"/>
      <c r="MOI3" s="30"/>
      <c r="MOJ3" s="30"/>
      <c r="MOK3" s="31"/>
      <c r="MOL3" s="30"/>
      <c r="MOM3" s="30"/>
      <c r="MON3" s="30"/>
      <c r="MOO3" s="31"/>
      <c r="MOP3" s="30"/>
      <c r="MOQ3" s="30"/>
      <c r="MOR3" s="30"/>
      <c r="MOS3" s="31"/>
      <c r="MOT3" s="30"/>
      <c r="MOU3" s="30"/>
      <c r="MOV3" s="30"/>
      <c r="MOW3" s="31"/>
      <c r="MOX3" s="30"/>
      <c r="MOY3" s="30"/>
      <c r="MOZ3" s="30"/>
      <c r="MPA3" s="31"/>
      <c r="MPB3" s="30"/>
      <c r="MPC3" s="30"/>
      <c r="MPD3" s="30"/>
      <c r="MPE3" s="31"/>
      <c r="MPF3" s="30"/>
      <c r="MPG3" s="30"/>
      <c r="MPH3" s="30"/>
      <c r="MPI3" s="31"/>
      <c r="MPJ3" s="30"/>
      <c r="MPK3" s="30"/>
      <c r="MPL3" s="30"/>
      <c r="MPM3" s="31"/>
      <c r="MPN3" s="30"/>
      <c r="MPO3" s="30"/>
      <c r="MPP3" s="30"/>
      <c r="MPQ3" s="31"/>
      <c r="MPR3" s="30"/>
      <c r="MPS3" s="30"/>
      <c r="MPT3" s="30"/>
      <c r="MPU3" s="31"/>
      <c r="MPV3" s="30"/>
      <c r="MPW3" s="30"/>
      <c r="MPX3" s="30"/>
      <c r="MPY3" s="31"/>
      <c r="MPZ3" s="30"/>
      <c r="MQA3" s="30"/>
      <c r="MQB3" s="30"/>
      <c r="MQC3" s="31"/>
      <c r="MQD3" s="30"/>
      <c r="MQE3" s="30"/>
      <c r="MQF3" s="30"/>
      <c r="MQG3" s="31"/>
      <c r="MQH3" s="30"/>
      <c r="MQI3" s="30"/>
      <c r="MQJ3" s="30"/>
      <c r="MQK3" s="31"/>
      <c r="MQL3" s="30"/>
      <c r="MQM3" s="30"/>
      <c r="MQN3" s="30"/>
      <c r="MQO3" s="31"/>
      <c r="MQP3" s="30"/>
      <c r="MQQ3" s="30"/>
      <c r="MQR3" s="30"/>
      <c r="MQS3" s="31"/>
      <c r="MQT3" s="30"/>
      <c r="MQU3" s="30"/>
      <c r="MQV3" s="30"/>
      <c r="MQW3" s="31"/>
      <c r="MQX3" s="30"/>
      <c r="MQY3" s="30"/>
      <c r="MQZ3" s="30"/>
      <c r="MRA3" s="31"/>
      <c r="MRB3" s="30"/>
      <c r="MRC3" s="30"/>
      <c r="MRD3" s="30"/>
      <c r="MRE3" s="31"/>
      <c r="MRF3" s="30"/>
      <c r="MRG3" s="30"/>
      <c r="MRH3" s="30"/>
      <c r="MRI3" s="31"/>
      <c r="MRJ3" s="30"/>
      <c r="MRK3" s="30"/>
      <c r="MRL3" s="30"/>
      <c r="MRM3" s="31"/>
      <c r="MRN3" s="30"/>
      <c r="MRO3" s="30"/>
      <c r="MRP3" s="30"/>
      <c r="MRQ3" s="31"/>
      <c r="MRR3" s="30"/>
      <c r="MRS3" s="30"/>
      <c r="MRT3" s="30"/>
      <c r="MRU3" s="31"/>
      <c r="MRV3" s="30"/>
      <c r="MRW3" s="30"/>
      <c r="MRX3" s="30"/>
      <c r="MRY3" s="31"/>
      <c r="MRZ3" s="30"/>
      <c r="MSA3" s="30"/>
      <c r="MSB3" s="30"/>
      <c r="MSC3" s="31"/>
      <c r="MSD3" s="30"/>
      <c r="MSE3" s="30"/>
      <c r="MSF3" s="30"/>
      <c r="MSG3" s="31"/>
      <c r="MSH3" s="30"/>
      <c r="MSI3" s="30"/>
      <c r="MSJ3" s="30"/>
      <c r="MSK3" s="31"/>
      <c r="MSL3" s="30"/>
      <c r="MSM3" s="30"/>
      <c r="MSN3" s="30"/>
      <c r="MSO3" s="31"/>
      <c r="MSP3" s="30"/>
      <c r="MSQ3" s="30"/>
      <c r="MSR3" s="30"/>
      <c r="MSS3" s="31"/>
      <c r="MST3" s="30"/>
      <c r="MSU3" s="30"/>
      <c r="MSV3" s="30"/>
      <c r="MSW3" s="31"/>
      <c r="MSX3" s="30"/>
      <c r="MSY3" s="30"/>
      <c r="MSZ3" s="30"/>
      <c r="MTA3" s="31"/>
      <c r="MTB3" s="30"/>
      <c r="MTC3" s="30"/>
      <c r="MTD3" s="30"/>
      <c r="MTE3" s="31"/>
      <c r="MTF3" s="30"/>
      <c r="MTG3" s="30"/>
      <c r="MTH3" s="30"/>
      <c r="MTI3" s="31"/>
      <c r="MTJ3" s="30"/>
      <c r="MTK3" s="30"/>
      <c r="MTL3" s="30"/>
      <c r="MTM3" s="31"/>
      <c r="MTN3" s="30"/>
      <c r="MTO3" s="30"/>
      <c r="MTP3" s="30"/>
      <c r="MTQ3" s="31"/>
      <c r="MTR3" s="30"/>
      <c r="MTS3" s="30"/>
      <c r="MTT3" s="30"/>
      <c r="MTU3" s="31"/>
      <c r="MTV3" s="30"/>
      <c r="MTW3" s="30"/>
      <c r="MTX3" s="30"/>
      <c r="MTY3" s="31"/>
      <c r="MTZ3" s="30"/>
      <c r="MUA3" s="30"/>
      <c r="MUB3" s="30"/>
      <c r="MUC3" s="31"/>
      <c r="MUD3" s="30"/>
      <c r="MUE3" s="30"/>
      <c r="MUF3" s="30"/>
      <c r="MUG3" s="31"/>
      <c r="MUH3" s="30"/>
      <c r="MUI3" s="30"/>
      <c r="MUJ3" s="30"/>
      <c r="MUK3" s="31"/>
      <c r="MUL3" s="30"/>
      <c r="MUM3" s="30"/>
      <c r="MUN3" s="30"/>
      <c r="MUO3" s="31"/>
      <c r="MUP3" s="30"/>
      <c r="MUQ3" s="30"/>
      <c r="MUR3" s="30"/>
      <c r="MUS3" s="31"/>
      <c r="MUT3" s="30"/>
      <c r="MUU3" s="30"/>
      <c r="MUV3" s="30"/>
      <c r="MUW3" s="31"/>
      <c r="MUX3" s="30"/>
      <c r="MUY3" s="30"/>
      <c r="MUZ3" s="30"/>
      <c r="MVA3" s="31"/>
      <c r="MVB3" s="30"/>
      <c r="MVC3" s="30"/>
      <c r="MVD3" s="30"/>
      <c r="MVE3" s="31"/>
      <c r="MVF3" s="30"/>
      <c r="MVG3" s="30"/>
      <c r="MVH3" s="30"/>
      <c r="MVI3" s="31"/>
      <c r="MVJ3" s="30"/>
      <c r="MVK3" s="30"/>
      <c r="MVL3" s="30"/>
      <c r="MVM3" s="31"/>
      <c r="MVN3" s="30"/>
      <c r="MVO3" s="30"/>
      <c r="MVP3" s="30"/>
      <c r="MVQ3" s="31"/>
      <c r="MVR3" s="30"/>
      <c r="MVS3" s="30"/>
      <c r="MVT3" s="30"/>
      <c r="MVU3" s="31"/>
      <c r="MVV3" s="30"/>
      <c r="MVW3" s="30"/>
      <c r="MVX3" s="30"/>
      <c r="MVY3" s="31"/>
      <c r="MVZ3" s="30"/>
      <c r="MWA3" s="30"/>
      <c r="MWB3" s="30"/>
      <c r="MWC3" s="31"/>
      <c r="MWD3" s="30"/>
      <c r="MWE3" s="30"/>
      <c r="MWF3" s="30"/>
      <c r="MWG3" s="31"/>
      <c r="MWH3" s="30"/>
      <c r="MWI3" s="30"/>
      <c r="MWJ3" s="30"/>
      <c r="MWK3" s="31"/>
      <c r="MWL3" s="30"/>
      <c r="MWM3" s="30"/>
      <c r="MWN3" s="30"/>
      <c r="MWO3" s="31"/>
      <c r="MWP3" s="30"/>
      <c r="MWQ3" s="30"/>
      <c r="MWR3" s="30"/>
      <c r="MWS3" s="31"/>
      <c r="MWT3" s="30"/>
      <c r="MWU3" s="30"/>
      <c r="MWV3" s="30"/>
      <c r="MWW3" s="31"/>
      <c r="MWX3" s="30"/>
      <c r="MWY3" s="30"/>
      <c r="MWZ3" s="30"/>
      <c r="MXA3" s="31"/>
      <c r="MXB3" s="30"/>
      <c r="MXC3" s="30"/>
      <c r="MXD3" s="30"/>
      <c r="MXE3" s="31"/>
      <c r="MXF3" s="30"/>
      <c r="MXG3" s="30"/>
      <c r="MXH3" s="30"/>
      <c r="MXI3" s="31"/>
      <c r="MXJ3" s="30"/>
      <c r="MXK3" s="30"/>
      <c r="MXL3" s="30"/>
      <c r="MXM3" s="31"/>
      <c r="MXN3" s="30"/>
      <c r="MXO3" s="30"/>
      <c r="MXP3" s="30"/>
      <c r="MXQ3" s="31"/>
      <c r="MXR3" s="30"/>
      <c r="MXS3" s="30"/>
      <c r="MXT3" s="30"/>
      <c r="MXU3" s="31"/>
      <c r="MXV3" s="30"/>
      <c r="MXW3" s="30"/>
      <c r="MXX3" s="30"/>
      <c r="MXY3" s="31"/>
      <c r="MXZ3" s="30"/>
      <c r="MYA3" s="30"/>
      <c r="MYB3" s="30"/>
      <c r="MYC3" s="31"/>
      <c r="MYD3" s="30"/>
      <c r="MYE3" s="30"/>
      <c r="MYF3" s="30"/>
      <c r="MYG3" s="31"/>
      <c r="MYH3" s="30"/>
      <c r="MYI3" s="30"/>
      <c r="MYJ3" s="30"/>
      <c r="MYK3" s="31"/>
      <c r="MYL3" s="30"/>
      <c r="MYM3" s="30"/>
      <c r="MYN3" s="30"/>
      <c r="MYO3" s="31"/>
      <c r="MYP3" s="30"/>
      <c r="MYQ3" s="30"/>
      <c r="MYR3" s="30"/>
      <c r="MYS3" s="31"/>
      <c r="MYT3" s="30"/>
      <c r="MYU3" s="30"/>
      <c r="MYV3" s="30"/>
      <c r="MYW3" s="31"/>
      <c r="MYX3" s="30"/>
      <c r="MYY3" s="30"/>
      <c r="MYZ3" s="30"/>
      <c r="MZA3" s="31"/>
      <c r="MZB3" s="30"/>
      <c r="MZC3" s="30"/>
      <c r="MZD3" s="30"/>
      <c r="MZE3" s="31"/>
      <c r="MZF3" s="30"/>
      <c r="MZG3" s="30"/>
      <c r="MZH3" s="30"/>
      <c r="MZI3" s="31"/>
      <c r="MZJ3" s="30"/>
      <c r="MZK3" s="30"/>
      <c r="MZL3" s="30"/>
      <c r="MZM3" s="31"/>
      <c r="MZN3" s="30"/>
      <c r="MZO3" s="30"/>
      <c r="MZP3" s="30"/>
      <c r="MZQ3" s="31"/>
      <c r="MZR3" s="30"/>
      <c r="MZS3" s="30"/>
      <c r="MZT3" s="30"/>
      <c r="MZU3" s="31"/>
      <c r="MZV3" s="30"/>
      <c r="MZW3" s="30"/>
      <c r="MZX3" s="30"/>
      <c r="MZY3" s="31"/>
      <c r="MZZ3" s="30"/>
      <c r="NAA3" s="30"/>
      <c r="NAB3" s="30"/>
      <c r="NAC3" s="31"/>
      <c r="NAD3" s="30"/>
      <c r="NAE3" s="30"/>
      <c r="NAF3" s="30"/>
      <c r="NAG3" s="31"/>
      <c r="NAH3" s="30"/>
      <c r="NAI3" s="30"/>
      <c r="NAJ3" s="30"/>
      <c r="NAK3" s="31"/>
      <c r="NAL3" s="30"/>
      <c r="NAM3" s="30"/>
      <c r="NAN3" s="30"/>
      <c r="NAO3" s="31"/>
      <c r="NAP3" s="30"/>
      <c r="NAQ3" s="30"/>
      <c r="NAR3" s="30"/>
      <c r="NAS3" s="31"/>
      <c r="NAT3" s="30"/>
      <c r="NAU3" s="30"/>
      <c r="NAV3" s="30"/>
      <c r="NAW3" s="31"/>
      <c r="NAX3" s="30"/>
      <c r="NAY3" s="30"/>
      <c r="NAZ3" s="30"/>
      <c r="NBA3" s="31"/>
      <c r="NBB3" s="30"/>
      <c r="NBC3" s="30"/>
      <c r="NBD3" s="30"/>
      <c r="NBE3" s="31"/>
      <c r="NBF3" s="30"/>
      <c r="NBG3" s="30"/>
      <c r="NBH3" s="30"/>
      <c r="NBI3" s="31"/>
      <c r="NBJ3" s="30"/>
      <c r="NBK3" s="30"/>
      <c r="NBL3" s="30"/>
      <c r="NBM3" s="31"/>
      <c r="NBN3" s="30"/>
      <c r="NBO3" s="30"/>
      <c r="NBP3" s="30"/>
      <c r="NBQ3" s="31"/>
      <c r="NBR3" s="30"/>
      <c r="NBS3" s="30"/>
      <c r="NBT3" s="30"/>
      <c r="NBU3" s="31"/>
      <c r="NBV3" s="30"/>
      <c r="NBW3" s="30"/>
      <c r="NBX3" s="30"/>
      <c r="NBY3" s="31"/>
      <c r="NBZ3" s="30"/>
      <c r="NCA3" s="30"/>
      <c r="NCB3" s="30"/>
      <c r="NCC3" s="31"/>
      <c r="NCD3" s="30"/>
      <c r="NCE3" s="30"/>
      <c r="NCF3" s="30"/>
      <c r="NCG3" s="31"/>
      <c r="NCH3" s="30"/>
      <c r="NCI3" s="30"/>
      <c r="NCJ3" s="30"/>
      <c r="NCK3" s="31"/>
      <c r="NCL3" s="30"/>
      <c r="NCM3" s="30"/>
      <c r="NCN3" s="30"/>
      <c r="NCO3" s="31"/>
      <c r="NCP3" s="30"/>
      <c r="NCQ3" s="30"/>
      <c r="NCR3" s="30"/>
      <c r="NCS3" s="31"/>
      <c r="NCT3" s="30"/>
      <c r="NCU3" s="30"/>
      <c r="NCV3" s="30"/>
      <c r="NCW3" s="31"/>
      <c r="NCX3" s="30"/>
      <c r="NCY3" s="30"/>
      <c r="NCZ3" s="30"/>
      <c r="NDA3" s="31"/>
      <c r="NDB3" s="30"/>
      <c r="NDC3" s="30"/>
      <c r="NDD3" s="30"/>
      <c r="NDE3" s="31"/>
      <c r="NDF3" s="30"/>
      <c r="NDG3" s="30"/>
      <c r="NDH3" s="30"/>
      <c r="NDI3" s="31"/>
      <c r="NDJ3" s="30"/>
      <c r="NDK3" s="30"/>
      <c r="NDL3" s="30"/>
      <c r="NDM3" s="31"/>
      <c r="NDN3" s="30"/>
      <c r="NDO3" s="30"/>
      <c r="NDP3" s="30"/>
      <c r="NDQ3" s="31"/>
      <c r="NDR3" s="30"/>
      <c r="NDS3" s="30"/>
      <c r="NDT3" s="30"/>
      <c r="NDU3" s="31"/>
      <c r="NDV3" s="30"/>
      <c r="NDW3" s="30"/>
      <c r="NDX3" s="30"/>
      <c r="NDY3" s="31"/>
      <c r="NDZ3" s="30"/>
      <c r="NEA3" s="30"/>
      <c r="NEB3" s="30"/>
      <c r="NEC3" s="31"/>
      <c r="NED3" s="30"/>
      <c r="NEE3" s="30"/>
      <c r="NEF3" s="30"/>
      <c r="NEG3" s="31"/>
      <c r="NEH3" s="30"/>
      <c r="NEI3" s="30"/>
      <c r="NEJ3" s="30"/>
      <c r="NEK3" s="31"/>
      <c r="NEL3" s="30"/>
      <c r="NEM3" s="30"/>
      <c r="NEN3" s="30"/>
      <c r="NEO3" s="31"/>
      <c r="NEP3" s="30"/>
      <c r="NEQ3" s="30"/>
      <c r="NER3" s="30"/>
      <c r="NES3" s="31"/>
      <c r="NET3" s="30"/>
      <c r="NEU3" s="30"/>
      <c r="NEV3" s="30"/>
      <c r="NEW3" s="31"/>
      <c r="NEX3" s="30"/>
      <c r="NEY3" s="30"/>
      <c r="NEZ3" s="30"/>
      <c r="NFA3" s="31"/>
      <c r="NFB3" s="30"/>
      <c r="NFC3" s="30"/>
      <c r="NFD3" s="30"/>
      <c r="NFE3" s="31"/>
      <c r="NFF3" s="30"/>
      <c r="NFG3" s="30"/>
      <c r="NFH3" s="30"/>
      <c r="NFI3" s="31"/>
      <c r="NFJ3" s="30"/>
      <c r="NFK3" s="30"/>
      <c r="NFL3" s="30"/>
      <c r="NFM3" s="31"/>
      <c r="NFN3" s="30"/>
      <c r="NFO3" s="30"/>
      <c r="NFP3" s="30"/>
      <c r="NFQ3" s="31"/>
      <c r="NFR3" s="30"/>
      <c r="NFS3" s="30"/>
      <c r="NFT3" s="30"/>
      <c r="NFU3" s="31"/>
      <c r="NFV3" s="30"/>
      <c r="NFW3" s="30"/>
      <c r="NFX3" s="30"/>
      <c r="NFY3" s="31"/>
      <c r="NFZ3" s="30"/>
      <c r="NGA3" s="30"/>
      <c r="NGB3" s="30"/>
      <c r="NGC3" s="31"/>
      <c r="NGD3" s="30"/>
      <c r="NGE3" s="30"/>
      <c r="NGF3" s="30"/>
      <c r="NGG3" s="31"/>
      <c r="NGH3" s="30"/>
      <c r="NGI3" s="30"/>
      <c r="NGJ3" s="30"/>
      <c r="NGK3" s="31"/>
      <c r="NGL3" s="30"/>
      <c r="NGM3" s="30"/>
      <c r="NGN3" s="30"/>
      <c r="NGO3" s="31"/>
      <c r="NGP3" s="30"/>
      <c r="NGQ3" s="30"/>
      <c r="NGR3" s="30"/>
      <c r="NGS3" s="31"/>
      <c r="NGT3" s="30"/>
      <c r="NGU3" s="30"/>
      <c r="NGV3" s="30"/>
      <c r="NGW3" s="31"/>
      <c r="NGX3" s="30"/>
      <c r="NGY3" s="30"/>
      <c r="NGZ3" s="30"/>
      <c r="NHA3" s="31"/>
      <c r="NHB3" s="30"/>
      <c r="NHC3" s="30"/>
      <c r="NHD3" s="30"/>
      <c r="NHE3" s="31"/>
      <c r="NHF3" s="30"/>
      <c r="NHG3" s="30"/>
      <c r="NHH3" s="30"/>
      <c r="NHI3" s="31"/>
      <c r="NHJ3" s="30"/>
      <c r="NHK3" s="30"/>
      <c r="NHL3" s="30"/>
      <c r="NHM3" s="31"/>
      <c r="NHN3" s="30"/>
      <c r="NHO3" s="30"/>
      <c r="NHP3" s="30"/>
      <c r="NHQ3" s="31"/>
      <c r="NHR3" s="30"/>
      <c r="NHS3" s="30"/>
      <c r="NHT3" s="30"/>
      <c r="NHU3" s="31"/>
      <c r="NHV3" s="30"/>
      <c r="NHW3" s="30"/>
      <c r="NHX3" s="30"/>
      <c r="NHY3" s="31"/>
      <c r="NHZ3" s="30"/>
      <c r="NIA3" s="30"/>
      <c r="NIB3" s="30"/>
      <c r="NIC3" s="31"/>
      <c r="NID3" s="30"/>
      <c r="NIE3" s="30"/>
      <c r="NIF3" s="30"/>
      <c r="NIG3" s="31"/>
      <c r="NIH3" s="30"/>
      <c r="NII3" s="30"/>
      <c r="NIJ3" s="30"/>
      <c r="NIK3" s="31"/>
      <c r="NIL3" s="30"/>
      <c r="NIM3" s="30"/>
      <c r="NIN3" s="30"/>
      <c r="NIO3" s="31"/>
      <c r="NIP3" s="30"/>
      <c r="NIQ3" s="30"/>
      <c r="NIR3" s="30"/>
      <c r="NIS3" s="31"/>
      <c r="NIT3" s="30"/>
      <c r="NIU3" s="30"/>
      <c r="NIV3" s="30"/>
      <c r="NIW3" s="31"/>
      <c r="NIX3" s="30"/>
      <c r="NIY3" s="30"/>
      <c r="NIZ3" s="30"/>
      <c r="NJA3" s="31"/>
      <c r="NJB3" s="30"/>
      <c r="NJC3" s="30"/>
      <c r="NJD3" s="30"/>
      <c r="NJE3" s="31"/>
      <c r="NJF3" s="30"/>
      <c r="NJG3" s="30"/>
      <c r="NJH3" s="30"/>
      <c r="NJI3" s="31"/>
      <c r="NJJ3" s="30"/>
      <c r="NJK3" s="30"/>
      <c r="NJL3" s="30"/>
      <c r="NJM3" s="31"/>
      <c r="NJN3" s="30"/>
      <c r="NJO3" s="30"/>
      <c r="NJP3" s="30"/>
      <c r="NJQ3" s="31"/>
      <c r="NJR3" s="30"/>
      <c r="NJS3" s="30"/>
      <c r="NJT3" s="30"/>
      <c r="NJU3" s="31"/>
      <c r="NJV3" s="30"/>
      <c r="NJW3" s="30"/>
      <c r="NJX3" s="30"/>
      <c r="NJY3" s="31"/>
      <c r="NJZ3" s="30"/>
      <c r="NKA3" s="30"/>
      <c r="NKB3" s="30"/>
      <c r="NKC3" s="31"/>
      <c r="NKD3" s="30"/>
      <c r="NKE3" s="30"/>
      <c r="NKF3" s="30"/>
      <c r="NKG3" s="31"/>
      <c r="NKH3" s="30"/>
      <c r="NKI3" s="30"/>
      <c r="NKJ3" s="30"/>
      <c r="NKK3" s="31"/>
      <c r="NKL3" s="30"/>
      <c r="NKM3" s="30"/>
      <c r="NKN3" s="30"/>
      <c r="NKO3" s="31"/>
      <c r="NKP3" s="30"/>
      <c r="NKQ3" s="30"/>
      <c r="NKR3" s="30"/>
      <c r="NKS3" s="31"/>
      <c r="NKT3" s="30"/>
      <c r="NKU3" s="30"/>
      <c r="NKV3" s="30"/>
      <c r="NKW3" s="31"/>
      <c r="NKX3" s="30"/>
      <c r="NKY3" s="30"/>
      <c r="NKZ3" s="30"/>
      <c r="NLA3" s="31"/>
      <c r="NLB3" s="30"/>
      <c r="NLC3" s="30"/>
      <c r="NLD3" s="30"/>
      <c r="NLE3" s="31"/>
      <c r="NLF3" s="30"/>
      <c r="NLG3" s="30"/>
      <c r="NLH3" s="30"/>
      <c r="NLI3" s="31"/>
      <c r="NLJ3" s="30"/>
      <c r="NLK3" s="30"/>
      <c r="NLL3" s="30"/>
      <c r="NLM3" s="31"/>
      <c r="NLN3" s="30"/>
      <c r="NLO3" s="30"/>
      <c r="NLP3" s="30"/>
      <c r="NLQ3" s="31"/>
      <c r="NLR3" s="30"/>
      <c r="NLS3" s="30"/>
      <c r="NLT3" s="30"/>
      <c r="NLU3" s="31"/>
      <c r="NLV3" s="30"/>
      <c r="NLW3" s="30"/>
      <c r="NLX3" s="30"/>
      <c r="NLY3" s="31"/>
      <c r="NLZ3" s="30"/>
      <c r="NMA3" s="30"/>
      <c r="NMB3" s="30"/>
      <c r="NMC3" s="31"/>
      <c r="NMD3" s="30"/>
      <c r="NME3" s="30"/>
      <c r="NMF3" s="30"/>
      <c r="NMG3" s="31"/>
      <c r="NMH3" s="30"/>
      <c r="NMI3" s="30"/>
      <c r="NMJ3" s="30"/>
      <c r="NMK3" s="31"/>
      <c r="NML3" s="30"/>
      <c r="NMM3" s="30"/>
      <c r="NMN3" s="30"/>
      <c r="NMO3" s="31"/>
      <c r="NMP3" s="30"/>
      <c r="NMQ3" s="30"/>
      <c r="NMR3" s="30"/>
      <c r="NMS3" s="31"/>
      <c r="NMT3" s="30"/>
      <c r="NMU3" s="30"/>
      <c r="NMV3" s="30"/>
      <c r="NMW3" s="31"/>
      <c r="NMX3" s="30"/>
      <c r="NMY3" s="30"/>
      <c r="NMZ3" s="30"/>
      <c r="NNA3" s="31"/>
      <c r="NNB3" s="30"/>
      <c r="NNC3" s="30"/>
      <c r="NND3" s="30"/>
      <c r="NNE3" s="31"/>
      <c r="NNF3" s="30"/>
      <c r="NNG3" s="30"/>
      <c r="NNH3" s="30"/>
      <c r="NNI3" s="31"/>
      <c r="NNJ3" s="30"/>
      <c r="NNK3" s="30"/>
      <c r="NNL3" s="30"/>
      <c r="NNM3" s="31"/>
      <c r="NNN3" s="30"/>
      <c r="NNO3" s="30"/>
      <c r="NNP3" s="30"/>
      <c r="NNQ3" s="31"/>
      <c r="NNR3" s="30"/>
      <c r="NNS3" s="30"/>
      <c r="NNT3" s="30"/>
      <c r="NNU3" s="31"/>
      <c r="NNV3" s="30"/>
      <c r="NNW3" s="30"/>
      <c r="NNX3" s="30"/>
      <c r="NNY3" s="31"/>
      <c r="NNZ3" s="30"/>
      <c r="NOA3" s="30"/>
      <c r="NOB3" s="30"/>
      <c r="NOC3" s="31"/>
      <c r="NOD3" s="30"/>
      <c r="NOE3" s="30"/>
      <c r="NOF3" s="30"/>
      <c r="NOG3" s="31"/>
      <c r="NOH3" s="30"/>
      <c r="NOI3" s="30"/>
      <c r="NOJ3" s="30"/>
      <c r="NOK3" s="31"/>
      <c r="NOL3" s="30"/>
      <c r="NOM3" s="30"/>
      <c r="NON3" s="30"/>
      <c r="NOO3" s="31"/>
      <c r="NOP3" s="30"/>
      <c r="NOQ3" s="30"/>
      <c r="NOR3" s="30"/>
      <c r="NOS3" s="31"/>
      <c r="NOT3" s="30"/>
      <c r="NOU3" s="30"/>
      <c r="NOV3" s="30"/>
      <c r="NOW3" s="31"/>
      <c r="NOX3" s="30"/>
      <c r="NOY3" s="30"/>
      <c r="NOZ3" s="30"/>
      <c r="NPA3" s="31"/>
      <c r="NPB3" s="30"/>
      <c r="NPC3" s="30"/>
      <c r="NPD3" s="30"/>
      <c r="NPE3" s="31"/>
      <c r="NPF3" s="30"/>
      <c r="NPG3" s="30"/>
      <c r="NPH3" s="30"/>
      <c r="NPI3" s="31"/>
      <c r="NPJ3" s="30"/>
      <c r="NPK3" s="30"/>
      <c r="NPL3" s="30"/>
      <c r="NPM3" s="31"/>
      <c r="NPN3" s="30"/>
      <c r="NPO3" s="30"/>
      <c r="NPP3" s="30"/>
      <c r="NPQ3" s="31"/>
      <c r="NPR3" s="30"/>
      <c r="NPS3" s="30"/>
      <c r="NPT3" s="30"/>
      <c r="NPU3" s="31"/>
      <c r="NPV3" s="30"/>
      <c r="NPW3" s="30"/>
      <c r="NPX3" s="30"/>
      <c r="NPY3" s="31"/>
      <c r="NPZ3" s="30"/>
      <c r="NQA3" s="30"/>
      <c r="NQB3" s="30"/>
      <c r="NQC3" s="31"/>
      <c r="NQD3" s="30"/>
      <c r="NQE3" s="30"/>
      <c r="NQF3" s="30"/>
      <c r="NQG3" s="31"/>
      <c r="NQH3" s="30"/>
      <c r="NQI3" s="30"/>
      <c r="NQJ3" s="30"/>
      <c r="NQK3" s="31"/>
      <c r="NQL3" s="30"/>
      <c r="NQM3" s="30"/>
      <c r="NQN3" s="30"/>
      <c r="NQO3" s="31"/>
      <c r="NQP3" s="30"/>
      <c r="NQQ3" s="30"/>
      <c r="NQR3" s="30"/>
      <c r="NQS3" s="31"/>
      <c r="NQT3" s="30"/>
      <c r="NQU3" s="30"/>
      <c r="NQV3" s="30"/>
      <c r="NQW3" s="31"/>
      <c r="NQX3" s="30"/>
      <c r="NQY3" s="30"/>
      <c r="NQZ3" s="30"/>
      <c r="NRA3" s="31"/>
      <c r="NRB3" s="30"/>
      <c r="NRC3" s="30"/>
      <c r="NRD3" s="30"/>
      <c r="NRE3" s="31"/>
      <c r="NRF3" s="30"/>
      <c r="NRG3" s="30"/>
      <c r="NRH3" s="30"/>
      <c r="NRI3" s="31"/>
      <c r="NRJ3" s="30"/>
      <c r="NRK3" s="30"/>
      <c r="NRL3" s="30"/>
      <c r="NRM3" s="31"/>
      <c r="NRN3" s="30"/>
      <c r="NRO3" s="30"/>
      <c r="NRP3" s="30"/>
      <c r="NRQ3" s="31"/>
      <c r="NRR3" s="30"/>
      <c r="NRS3" s="30"/>
      <c r="NRT3" s="30"/>
      <c r="NRU3" s="31"/>
      <c r="NRV3" s="30"/>
      <c r="NRW3" s="30"/>
      <c r="NRX3" s="30"/>
      <c r="NRY3" s="31"/>
      <c r="NRZ3" s="30"/>
      <c r="NSA3" s="30"/>
      <c r="NSB3" s="30"/>
      <c r="NSC3" s="31"/>
      <c r="NSD3" s="30"/>
      <c r="NSE3" s="30"/>
      <c r="NSF3" s="30"/>
      <c r="NSG3" s="31"/>
      <c r="NSH3" s="30"/>
      <c r="NSI3" s="30"/>
      <c r="NSJ3" s="30"/>
      <c r="NSK3" s="31"/>
      <c r="NSL3" s="30"/>
      <c r="NSM3" s="30"/>
      <c r="NSN3" s="30"/>
      <c r="NSO3" s="31"/>
      <c r="NSP3" s="30"/>
      <c r="NSQ3" s="30"/>
      <c r="NSR3" s="30"/>
      <c r="NSS3" s="31"/>
      <c r="NST3" s="30"/>
      <c r="NSU3" s="30"/>
      <c r="NSV3" s="30"/>
      <c r="NSW3" s="31"/>
      <c r="NSX3" s="30"/>
      <c r="NSY3" s="30"/>
      <c r="NSZ3" s="30"/>
      <c r="NTA3" s="31"/>
      <c r="NTB3" s="30"/>
      <c r="NTC3" s="30"/>
      <c r="NTD3" s="30"/>
      <c r="NTE3" s="31"/>
      <c r="NTF3" s="30"/>
      <c r="NTG3" s="30"/>
      <c r="NTH3" s="30"/>
      <c r="NTI3" s="31"/>
      <c r="NTJ3" s="30"/>
      <c r="NTK3" s="30"/>
      <c r="NTL3" s="30"/>
      <c r="NTM3" s="31"/>
      <c r="NTN3" s="30"/>
      <c r="NTO3" s="30"/>
      <c r="NTP3" s="30"/>
      <c r="NTQ3" s="31"/>
      <c r="NTR3" s="30"/>
      <c r="NTS3" s="30"/>
      <c r="NTT3" s="30"/>
      <c r="NTU3" s="31"/>
      <c r="NTV3" s="30"/>
      <c r="NTW3" s="30"/>
      <c r="NTX3" s="30"/>
      <c r="NTY3" s="31"/>
      <c r="NTZ3" s="30"/>
      <c r="NUA3" s="30"/>
      <c r="NUB3" s="30"/>
      <c r="NUC3" s="31"/>
      <c r="NUD3" s="30"/>
      <c r="NUE3" s="30"/>
      <c r="NUF3" s="30"/>
      <c r="NUG3" s="31"/>
      <c r="NUH3" s="30"/>
      <c r="NUI3" s="30"/>
      <c r="NUJ3" s="30"/>
      <c r="NUK3" s="31"/>
      <c r="NUL3" s="30"/>
      <c r="NUM3" s="30"/>
      <c r="NUN3" s="30"/>
      <c r="NUO3" s="31"/>
      <c r="NUP3" s="30"/>
      <c r="NUQ3" s="30"/>
      <c r="NUR3" s="30"/>
      <c r="NUS3" s="31"/>
      <c r="NUT3" s="30"/>
      <c r="NUU3" s="30"/>
      <c r="NUV3" s="30"/>
      <c r="NUW3" s="31"/>
      <c r="NUX3" s="30"/>
      <c r="NUY3" s="30"/>
      <c r="NUZ3" s="30"/>
      <c r="NVA3" s="31"/>
      <c r="NVB3" s="30"/>
      <c r="NVC3" s="30"/>
      <c r="NVD3" s="30"/>
      <c r="NVE3" s="31"/>
      <c r="NVF3" s="30"/>
      <c r="NVG3" s="30"/>
      <c r="NVH3" s="30"/>
      <c r="NVI3" s="31"/>
      <c r="NVJ3" s="30"/>
      <c r="NVK3" s="30"/>
      <c r="NVL3" s="30"/>
      <c r="NVM3" s="31"/>
      <c r="NVN3" s="30"/>
      <c r="NVO3" s="30"/>
      <c r="NVP3" s="30"/>
      <c r="NVQ3" s="31"/>
      <c r="NVR3" s="30"/>
      <c r="NVS3" s="30"/>
      <c r="NVT3" s="30"/>
      <c r="NVU3" s="31"/>
      <c r="NVV3" s="30"/>
      <c r="NVW3" s="30"/>
      <c r="NVX3" s="30"/>
      <c r="NVY3" s="31"/>
      <c r="NVZ3" s="30"/>
      <c r="NWA3" s="30"/>
      <c r="NWB3" s="30"/>
      <c r="NWC3" s="31"/>
      <c r="NWD3" s="30"/>
      <c r="NWE3" s="30"/>
      <c r="NWF3" s="30"/>
      <c r="NWG3" s="31"/>
      <c r="NWH3" s="30"/>
      <c r="NWI3" s="30"/>
      <c r="NWJ3" s="30"/>
      <c r="NWK3" s="31"/>
      <c r="NWL3" s="30"/>
      <c r="NWM3" s="30"/>
      <c r="NWN3" s="30"/>
      <c r="NWO3" s="31"/>
      <c r="NWP3" s="30"/>
      <c r="NWQ3" s="30"/>
      <c r="NWR3" s="30"/>
      <c r="NWS3" s="31"/>
      <c r="NWT3" s="30"/>
      <c r="NWU3" s="30"/>
      <c r="NWV3" s="30"/>
      <c r="NWW3" s="31"/>
      <c r="NWX3" s="30"/>
      <c r="NWY3" s="30"/>
      <c r="NWZ3" s="30"/>
      <c r="NXA3" s="31"/>
      <c r="NXB3" s="30"/>
      <c r="NXC3" s="30"/>
      <c r="NXD3" s="30"/>
      <c r="NXE3" s="31"/>
      <c r="NXF3" s="30"/>
      <c r="NXG3" s="30"/>
      <c r="NXH3" s="30"/>
      <c r="NXI3" s="31"/>
      <c r="NXJ3" s="30"/>
      <c r="NXK3" s="30"/>
      <c r="NXL3" s="30"/>
      <c r="NXM3" s="31"/>
      <c r="NXN3" s="30"/>
      <c r="NXO3" s="30"/>
      <c r="NXP3" s="30"/>
      <c r="NXQ3" s="31"/>
      <c r="NXR3" s="30"/>
      <c r="NXS3" s="30"/>
      <c r="NXT3" s="30"/>
      <c r="NXU3" s="31"/>
      <c r="NXV3" s="30"/>
      <c r="NXW3" s="30"/>
      <c r="NXX3" s="30"/>
      <c r="NXY3" s="31"/>
      <c r="NXZ3" s="30"/>
      <c r="NYA3" s="30"/>
      <c r="NYB3" s="30"/>
      <c r="NYC3" s="31"/>
      <c r="NYD3" s="30"/>
      <c r="NYE3" s="30"/>
      <c r="NYF3" s="30"/>
      <c r="NYG3" s="31"/>
      <c r="NYH3" s="30"/>
      <c r="NYI3" s="30"/>
      <c r="NYJ3" s="30"/>
      <c r="NYK3" s="31"/>
      <c r="NYL3" s="30"/>
      <c r="NYM3" s="30"/>
      <c r="NYN3" s="30"/>
      <c r="NYO3" s="31"/>
      <c r="NYP3" s="30"/>
      <c r="NYQ3" s="30"/>
      <c r="NYR3" s="30"/>
      <c r="NYS3" s="31"/>
      <c r="NYT3" s="30"/>
      <c r="NYU3" s="30"/>
      <c r="NYV3" s="30"/>
      <c r="NYW3" s="31"/>
      <c r="NYX3" s="30"/>
      <c r="NYY3" s="30"/>
      <c r="NYZ3" s="30"/>
      <c r="NZA3" s="31"/>
      <c r="NZB3" s="30"/>
      <c r="NZC3" s="30"/>
      <c r="NZD3" s="30"/>
      <c r="NZE3" s="31"/>
      <c r="NZF3" s="30"/>
      <c r="NZG3" s="30"/>
      <c r="NZH3" s="30"/>
      <c r="NZI3" s="31"/>
      <c r="NZJ3" s="30"/>
      <c r="NZK3" s="30"/>
      <c r="NZL3" s="30"/>
      <c r="NZM3" s="31"/>
      <c r="NZN3" s="30"/>
      <c r="NZO3" s="30"/>
      <c r="NZP3" s="30"/>
      <c r="NZQ3" s="31"/>
      <c r="NZR3" s="30"/>
      <c r="NZS3" s="30"/>
      <c r="NZT3" s="30"/>
      <c r="NZU3" s="31"/>
      <c r="NZV3" s="30"/>
      <c r="NZW3" s="30"/>
      <c r="NZX3" s="30"/>
      <c r="NZY3" s="31"/>
      <c r="NZZ3" s="30"/>
      <c r="OAA3" s="30"/>
      <c r="OAB3" s="30"/>
      <c r="OAC3" s="31"/>
      <c r="OAD3" s="30"/>
      <c r="OAE3" s="30"/>
      <c r="OAF3" s="30"/>
      <c r="OAG3" s="31"/>
      <c r="OAH3" s="30"/>
      <c r="OAI3" s="30"/>
      <c r="OAJ3" s="30"/>
      <c r="OAK3" s="31"/>
      <c r="OAL3" s="30"/>
      <c r="OAM3" s="30"/>
      <c r="OAN3" s="30"/>
      <c r="OAO3" s="31"/>
      <c r="OAP3" s="30"/>
      <c r="OAQ3" s="30"/>
      <c r="OAR3" s="30"/>
      <c r="OAS3" s="31"/>
      <c r="OAT3" s="30"/>
      <c r="OAU3" s="30"/>
      <c r="OAV3" s="30"/>
      <c r="OAW3" s="31"/>
      <c r="OAX3" s="30"/>
      <c r="OAY3" s="30"/>
      <c r="OAZ3" s="30"/>
      <c r="OBA3" s="31"/>
      <c r="OBB3" s="30"/>
      <c r="OBC3" s="30"/>
      <c r="OBD3" s="30"/>
      <c r="OBE3" s="31"/>
      <c r="OBF3" s="30"/>
      <c r="OBG3" s="30"/>
      <c r="OBH3" s="30"/>
      <c r="OBI3" s="31"/>
      <c r="OBJ3" s="30"/>
      <c r="OBK3" s="30"/>
      <c r="OBL3" s="30"/>
      <c r="OBM3" s="31"/>
      <c r="OBN3" s="30"/>
      <c r="OBO3" s="30"/>
      <c r="OBP3" s="30"/>
      <c r="OBQ3" s="31"/>
      <c r="OBR3" s="30"/>
      <c r="OBS3" s="30"/>
      <c r="OBT3" s="30"/>
      <c r="OBU3" s="31"/>
      <c r="OBV3" s="30"/>
      <c r="OBW3" s="30"/>
      <c r="OBX3" s="30"/>
      <c r="OBY3" s="31"/>
      <c r="OBZ3" s="30"/>
      <c r="OCA3" s="30"/>
      <c r="OCB3" s="30"/>
      <c r="OCC3" s="31"/>
      <c r="OCD3" s="30"/>
      <c r="OCE3" s="30"/>
      <c r="OCF3" s="30"/>
      <c r="OCG3" s="31"/>
      <c r="OCH3" s="30"/>
      <c r="OCI3" s="30"/>
      <c r="OCJ3" s="30"/>
      <c r="OCK3" s="31"/>
      <c r="OCL3" s="30"/>
      <c r="OCM3" s="30"/>
      <c r="OCN3" s="30"/>
      <c r="OCO3" s="31"/>
      <c r="OCP3" s="30"/>
      <c r="OCQ3" s="30"/>
      <c r="OCR3" s="30"/>
      <c r="OCS3" s="31"/>
      <c r="OCT3" s="30"/>
      <c r="OCU3" s="30"/>
      <c r="OCV3" s="30"/>
      <c r="OCW3" s="31"/>
      <c r="OCX3" s="30"/>
      <c r="OCY3" s="30"/>
      <c r="OCZ3" s="30"/>
      <c r="ODA3" s="31"/>
      <c r="ODB3" s="30"/>
      <c r="ODC3" s="30"/>
      <c r="ODD3" s="30"/>
      <c r="ODE3" s="31"/>
      <c r="ODF3" s="30"/>
      <c r="ODG3" s="30"/>
      <c r="ODH3" s="30"/>
      <c r="ODI3" s="31"/>
      <c r="ODJ3" s="30"/>
      <c r="ODK3" s="30"/>
      <c r="ODL3" s="30"/>
      <c r="ODM3" s="31"/>
      <c r="ODN3" s="30"/>
      <c r="ODO3" s="30"/>
      <c r="ODP3" s="30"/>
      <c r="ODQ3" s="31"/>
      <c r="ODR3" s="30"/>
      <c r="ODS3" s="30"/>
      <c r="ODT3" s="30"/>
      <c r="ODU3" s="31"/>
      <c r="ODV3" s="30"/>
      <c r="ODW3" s="30"/>
      <c r="ODX3" s="30"/>
      <c r="ODY3" s="31"/>
      <c r="ODZ3" s="30"/>
      <c r="OEA3" s="30"/>
      <c r="OEB3" s="30"/>
      <c r="OEC3" s="31"/>
      <c r="OED3" s="30"/>
      <c r="OEE3" s="30"/>
      <c r="OEF3" s="30"/>
      <c r="OEG3" s="31"/>
      <c r="OEH3" s="30"/>
      <c r="OEI3" s="30"/>
      <c r="OEJ3" s="30"/>
      <c r="OEK3" s="31"/>
      <c r="OEL3" s="30"/>
      <c r="OEM3" s="30"/>
      <c r="OEN3" s="30"/>
      <c r="OEO3" s="31"/>
      <c r="OEP3" s="30"/>
      <c r="OEQ3" s="30"/>
      <c r="OER3" s="30"/>
      <c r="OES3" s="31"/>
      <c r="OET3" s="30"/>
      <c r="OEU3" s="30"/>
      <c r="OEV3" s="30"/>
      <c r="OEW3" s="31"/>
      <c r="OEX3" s="30"/>
      <c r="OEY3" s="30"/>
      <c r="OEZ3" s="30"/>
      <c r="OFA3" s="31"/>
      <c r="OFB3" s="30"/>
      <c r="OFC3" s="30"/>
      <c r="OFD3" s="30"/>
      <c r="OFE3" s="31"/>
      <c r="OFF3" s="30"/>
      <c r="OFG3" s="30"/>
      <c r="OFH3" s="30"/>
      <c r="OFI3" s="31"/>
      <c r="OFJ3" s="30"/>
      <c r="OFK3" s="30"/>
      <c r="OFL3" s="30"/>
      <c r="OFM3" s="31"/>
      <c r="OFN3" s="30"/>
      <c r="OFO3" s="30"/>
      <c r="OFP3" s="30"/>
      <c r="OFQ3" s="31"/>
      <c r="OFR3" s="30"/>
      <c r="OFS3" s="30"/>
      <c r="OFT3" s="30"/>
      <c r="OFU3" s="31"/>
      <c r="OFV3" s="30"/>
      <c r="OFW3" s="30"/>
      <c r="OFX3" s="30"/>
      <c r="OFY3" s="31"/>
      <c r="OFZ3" s="30"/>
      <c r="OGA3" s="30"/>
      <c r="OGB3" s="30"/>
      <c r="OGC3" s="31"/>
      <c r="OGD3" s="30"/>
      <c r="OGE3" s="30"/>
      <c r="OGF3" s="30"/>
      <c r="OGG3" s="31"/>
      <c r="OGH3" s="30"/>
      <c r="OGI3" s="30"/>
      <c r="OGJ3" s="30"/>
      <c r="OGK3" s="31"/>
      <c r="OGL3" s="30"/>
      <c r="OGM3" s="30"/>
      <c r="OGN3" s="30"/>
      <c r="OGO3" s="31"/>
      <c r="OGP3" s="30"/>
      <c r="OGQ3" s="30"/>
      <c r="OGR3" s="30"/>
      <c r="OGS3" s="31"/>
      <c r="OGT3" s="30"/>
      <c r="OGU3" s="30"/>
      <c r="OGV3" s="30"/>
      <c r="OGW3" s="31"/>
      <c r="OGX3" s="30"/>
      <c r="OGY3" s="30"/>
      <c r="OGZ3" s="30"/>
      <c r="OHA3" s="31"/>
      <c r="OHB3" s="30"/>
      <c r="OHC3" s="30"/>
      <c r="OHD3" s="30"/>
      <c r="OHE3" s="31"/>
      <c r="OHF3" s="30"/>
      <c r="OHG3" s="30"/>
      <c r="OHH3" s="30"/>
      <c r="OHI3" s="31"/>
      <c r="OHJ3" s="30"/>
      <c r="OHK3" s="30"/>
      <c r="OHL3" s="30"/>
      <c r="OHM3" s="31"/>
      <c r="OHN3" s="30"/>
      <c r="OHO3" s="30"/>
      <c r="OHP3" s="30"/>
      <c r="OHQ3" s="31"/>
      <c r="OHR3" s="30"/>
      <c r="OHS3" s="30"/>
      <c r="OHT3" s="30"/>
      <c r="OHU3" s="31"/>
      <c r="OHV3" s="30"/>
      <c r="OHW3" s="30"/>
      <c r="OHX3" s="30"/>
      <c r="OHY3" s="31"/>
      <c r="OHZ3" s="30"/>
      <c r="OIA3" s="30"/>
      <c r="OIB3" s="30"/>
      <c r="OIC3" s="31"/>
      <c r="OID3" s="30"/>
      <c r="OIE3" s="30"/>
      <c r="OIF3" s="30"/>
      <c r="OIG3" s="31"/>
      <c r="OIH3" s="30"/>
      <c r="OII3" s="30"/>
      <c r="OIJ3" s="30"/>
      <c r="OIK3" s="31"/>
      <c r="OIL3" s="30"/>
      <c r="OIM3" s="30"/>
      <c r="OIN3" s="30"/>
      <c r="OIO3" s="31"/>
      <c r="OIP3" s="30"/>
      <c r="OIQ3" s="30"/>
      <c r="OIR3" s="30"/>
      <c r="OIS3" s="31"/>
      <c r="OIT3" s="30"/>
      <c r="OIU3" s="30"/>
      <c r="OIV3" s="30"/>
      <c r="OIW3" s="31"/>
      <c r="OIX3" s="30"/>
      <c r="OIY3" s="30"/>
      <c r="OIZ3" s="30"/>
      <c r="OJA3" s="31"/>
      <c r="OJB3" s="30"/>
      <c r="OJC3" s="30"/>
      <c r="OJD3" s="30"/>
      <c r="OJE3" s="31"/>
      <c r="OJF3" s="30"/>
      <c r="OJG3" s="30"/>
      <c r="OJH3" s="30"/>
      <c r="OJI3" s="31"/>
      <c r="OJJ3" s="30"/>
      <c r="OJK3" s="30"/>
      <c r="OJL3" s="30"/>
      <c r="OJM3" s="31"/>
      <c r="OJN3" s="30"/>
      <c r="OJO3" s="30"/>
      <c r="OJP3" s="30"/>
      <c r="OJQ3" s="31"/>
      <c r="OJR3" s="30"/>
      <c r="OJS3" s="30"/>
      <c r="OJT3" s="30"/>
      <c r="OJU3" s="31"/>
      <c r="OJV3" s="30"/>
      <c r="OJW3" s="30"/>
      <c r="OJX3" s="30"/>
      <c r="OJY3" s="31"/>
      <c r="OJZ3" s="30"/>
      <c r="OKA3" s="30"/>
      <c r="OKB3" s="30"/>
      <c r="OKC3" s="31"/>
      <c r="OKD3" s="30"/>
      <c r="OKE3" s="30"/>
      <c r="OKF3" s="30"/>
      <c r="OKG3" s="31"/>
      <c r="OKH3" s="30"/>
      <c r="OKI3" s="30"/>
      <c r="OKJ3" s="30"/>
      <c r="OKK3" s="31"/>
      <c r="OKL3" s="30"/>
      <c r="OKM3" s="30"/>
      <c r="OKN3" s="30"/>
      <c r="OKO3" s="31"/>
      <c r="OKP3" s="30"/>
      <c r="OKQ3" s="30"/>
      <c r="OKR3" s="30"/>
      <c r="OKS3" s="31"/>
      <c r="OKT3" s="30"/>
      <c r="OKU3" s="30"/>
      <c r="OKV3" s="30"/>
      <c r="OKW3" s="31"/>
      <c r="OKX3" s="30"/>
      <c r="OKY3" s="30"/>
      <c r="OKZ3" s="30"/>
      <c r="OLA3" s="31"/>
      <c r="OLB3" s="30"/>
      <c r="OLC3" s="30"/>
      <c r="OLD3" s="30"/>
      <c r="OLE3" s="31"/>
      <c r="OLF3" s="30"/>
      <c r="OLG3" s="30"/>
      <c r="OLH3" s="30"/>
      <c r="OLI3" s="31"/>
      <c r="OLJ3" s="30"/>
      <c r="OLK3" s="30"/>
      <c r="OLL3" s="30"/>
      <c r="OLM3" s="31"/>
      <c r="OLN3" s="30"/>
      <c r="OLO3" s="30"/>
      <c r="OLP3" s="30"/>
      <c r="OLQ3" s="31"/>
      <c r="OLR3" s="30"/>
      <c r="OLS3" s="30"/>
      <c r="OLT3" s="30"/>
      <c r="OLU3" s="31"/>
      <c r="OLV3" s="30"/>
      <c r="OLW3" s="30"/>
      <c r="OLX3" s="30"/>
      <c r="OLY3" s="31"/>
      <c r="OLZ3" s="30"/>
      <c r="OMA3" s="30"/>
      <c r="OMB3" s="30"/>
      <c r="OMC3" s="31"/>
      <c r="OMD3" s="30"/>
      <c r="OME3" s="30"/>
      <c r="OMF3" s="30"/>
      <c r="OMG3" s="31"/>
      <c r="OMH3" s="30"/>
      <c r="OMI3" s="30"/>
      <c r="OMJ3" s="30"/>
      <c r="OMK3" s="31"/>
      <c r="OML3" s="30"/>
      <c r="OMM3" s="30"/>
      <c r="OMN3" s="30"/>
      <c r="OMO3" s="31"/>
      <c r="OMP3" s="30"/>
      <c r="OMQ3" s="30"/>
      <c r="OMR3" s="30"/>
      <c r="OMS3" s="31"/>
      <c r="OMT3" s="30"/>
      <c r="OMU3" s="30"/>
      <c r="OMV3" s="30"/>
      <c r="OMW3" s="31"/>
      <c r="OMX3" s="30"/>
      <c r="OMY3" s="30"/>
      <c r="OMZ3" s="30"/>
      <c r="ONA3" s="31"/>
      <c r="ONB3" s="30"/>
      <c r="ONC3" s="30"/>
      <c r="OND3" s="30"/>
      <c r="ONE3" s="31"/>
      <c r="ONF3" s="30"/>
      <c r="ONG3" s="30"/>
      <c r="ONH3" s="30"/>
      <c r="ONI3" s="31"/>
      <c r="ONJ3" s="30"/>
      <c r="ONK3" s="30"/>
      <c r="ONL3" s="30"/>
      <c r="ONM3" s="31"/>
      <c r="ONN3" s="30"/>
      <c r="ONO3" s="30"/>
      <c r="ONP3" s="30"/>
      <c r="ONQ3" s="31"/>
      <c r="ONR3" s="30"/>
      <c r="ONS3" s="30"/>
      <c r="ONT3" s="30"/>
      <c r="ONU3" s="31"/>
      <c r="ONV3" s="30"/>
      <c r="ONW3" s="30"/>
      <c r="ONX3" s="30"/>
      <c r="ONY3" s="31"/>
      <c r="ONZ3" s="30"/>
      <c r="OOA3" s="30"/>
      <c r="OOB3" s="30"/>
      <c r="OOC3" s="31"/>
      <c r="OOD3" s="30"/>
      <c r="OOE3" s="30"/>
      <c r="OOF3" s="30"/>
      <c r="OOG3" s="31"/>
      <c r="OOH3" s="30"/>
      <c r="OOI3" s="30"/>
      <c r="OOJ3" s="30"/>
      <c r="OOK3" s="31"/>
      <c r="OOL3" s="30"/>
      <c r="OOM3" s="30"/>
      <c r="OON3" s="30"/>
      <c r="OOO3" s="31"/>
      <c r="OOP3" s="30"/>
      <c r="OOQ3" s="30"/>
      <c r="OOR3" s="30"/>
      <c r="OOS3" s="31"/>
      <c r="OOT3" s="30"/>
      <c r="OOU3" s="30"/>
      <c r="OOV3" s="30"/>
      <c r="OOW3" s="31"/>
      <c r="OOX3" s="30"/>
      <c r="OOY3" s="30"/>
      <c r="OOZ3" s="30"/>
      <c r="OPA3" s="31"/>
      <c r="OPB3" s="30"/>
      <c r="OPC3" s="30"/>
      <c r="OPD3" s="30"/>
      <c r="OPE3" s="31"/>
      <c r="OPF3" s="30"/>
      <c r="OPG3" s="30"/>
      <c r="OPH3" s="30"/>
      <c r="OPI3" s="31"/>
      <c r="OPJ3" s="30"/>
      <c r="OPK3" s="30"/>
      <c r="OPL3" s="30"/>
      <c r="OPM3" s="31"/>
      <c r="OPN3" s="30"/>
      <c r="OPO3" s="30"/>
      <c r="OPP3" s="30"/>
      <c r="OPQ3" s="31"/>
      <c r="OPR3" s="30"/>
      <c r="OPS3" s="30"/>
      <c r="OPT3" s="30"/>
      <c r="OPU3" s="31"/>
      <c r="OPV3" s="30"/>
      <c r="OPW3" s="30"/>
      <c r="OPX3" s="30"/>
      <c r="OPY3" s="31"/>
      <c r="OPZ3" s="30"/>
      <c r="OQA3" s="30"/>
      <c r="OQB3" s="30"/>
      <c r="OQC3" s="31"/>
      <c r="OQD3" s="30"/>
      <c r="OQE3" s="30"/>
      <c r="OQF3" s="30"/>
      <c r="OQG3" s="31"/>
      <c r="OQH3" s="30"/>
      <c r="OQI3" s="30"/>
      <c r="OQJ3" s="30"/>
      <c r="OQK3" s="31"/>
      <c r="OQL3" s="30"/>
      <c r="OQM3" s="30"/>
      <c r="OQN3" s="30"/>
      <c r="OQO3" s="31"/>
      <c r="OQP3" s="30"/>
      <c r="OQQ3" s="30"/>
      <c r="OQR3" s="30"/>
      <c r="OQS3" s="31"/>
      <c r="OQT3" s="30"/>
      <c r="OQU3" s="30"/>
      <c r="OQV3" s="30"/>
      <c r="OQW3" s="31"/>
      <c r="OQX3" s="30"/>
      <c r="OQY3" s="30"/>
      <c r="OQZ3" s="30"/>
      <c r="ORA3" s="31"/>
      <c r="ORB3" s="30"/>
      <c r="ORC3" s="30"/>
      <c r="ORD3" s="30"/>
      <c r="ORE3" s="31"/>
      <c r="ORF3" s="30"/>
      <c r="ORG3" s="30"/>
      <c r="ORH3" s="30"/>
      <c r="ORI3" s="31"/>
      <c r="ORJ3" s="30"/>
      <c r="ORK3" s="30"/>
      <c r="ORL3" s="30"/>
      <c r="ORM3" s="31"/>
      <c r="ORN3" s="30"/>
      <c r="ORO3" s="30"/>
      <c r="ORP3" s="30"/>
      <c r="ORQ3" s="31"/>
      <c r="ORR3" s="30"/>
      <c r="ORS3" s="30"/>
      <c r="ORT3" s="30"/>
      <c r="ORU3" s="31"/>
      <c r="ORV3" s="30"/>
      <c r="ORW3" s="30"/>
      <c r="ORX3" s="30"/>
      <c r="ORY3" s="31"/>
      <c r="ORZ3" s="30"/>
      <c r="OSA3" s="30"/>
      <c r="OSB3" s="30"/>
      <c r="OSC3" s="31"/>
      <c r="OSD3" s="30"/>
      <c r="OSE3" s="30"/>
      <c r="OSF3" s="30"/>
      <c r="OSG3" s="31"/>
      <c r="OSH3" s="30"/>
      <c r="OSI3" s="30"/>
      <c r="OSJ3" s="30"/>
      <c r="OSK3" s="31"/>
      <c r="OSL3" s="30"/>
      <c r="OSM3" s="30"/>
      <c r="OSN3" s="30"/>
      <c r="OSO3" s="31"/>
      <c r="OSP3" s="30"/>
      <c r="OSQ3" s="30"/>
      <c r="OSR3" s="30"/>
      <c r="OSS3" s="31"/>
      <c r="OST3" s="30"/>
      <c r="OSU3" s="30"/>
      <c r="OSV3" s="30"/>
      <c r="OSW3" s="31"/>
      <c r="OSX3" s="30"/>
      <c r="OSY3" s="30"/>
      <c r="OSZ3" s="30"/>
      <c r="OTA3" s="31"/>
      <c r="OTB3" s="30"/>
      <c r="OTC3" s="30"/>
      <c r="OTD3" s="30"/>
      <c r="OTE3" s="31"/>
      <c r="OTF3" s="30"/>
      <c r="OTG3" s="30"/>
      <c r="OTH3" s="30"/>
      <c r="OTI3" s="31"/>
      <c r="OTJ3" s="30"/>
      <c r="OTK3" s="30"/>
      <c r="OTL3" s="30"/>
      <c r="OTM3" s="31"/>
      <c r="OTN3" s="30"/>
      <c r="OTO3" s="30"/>
      <c r="OTP3" s="30"/>
      <c r="OTQ3" s="31"/>
      <c r="OTR3" s="30"/>
      <c r="OTS3" s="30"/>
      <c r="OTT3" s="30"/>
      <c r="OTU3" s="31"/>
      <c r="OTV3" s="30"/>
      <c r="OTW3" s="30"/>
      <c r="OTX3" s="30"/>
      <c r="OTY3" s="31"/>
      <c r="OTZ3" s="30"/>
      <c r="OUA3" s="30"/>
      <c r="OUB3" s="30"/>
      <c r="OUC3" s="31"/>
      <c r="OUD3" s="30"/>
      <c r="OUE3" s="30"/>
      <c r="OUF3" s="30"/>
      <c r="OUG3" s="31"/>
      <c r="OUH3" s="30"/>
      <c r="OUI3" s="30"/>
      <c r="OUJ3" s="30"/>
      <c r="OUK3" s="31"/>
      <c r="OUL3" s="30"/>
      <c r="OUM3" s="30"/>
      <c r="OUN3" s="30"/>
      <c r="OUO3" s="31"/>
      <c r="OUP3" s="30"/>
      <c r="OUQ3" s="30"/>
      <c r="OUR3" s="30"/>
      <c r="OUS3" s="31"/>
      <c r="OUT3" s="30"/>
      <c r="OUU3" s="30"/>
      <c r="OUV3" s="30"/>
      <c r="OUW3" s="31"/>
      <c r="OUX3" s="30"/>
      <c r="OUY3" s="30"/>
      <c r="OUZ3" s="30"/>
      <c r="OVA3" s="31"/>
      <c r="OVB3" s="30"/>
      <c r="OVC3" s="30"/>
      <c r="OVD3" s="30"/>
      <c r="OVE3" s="31"/>
      <c r="OVF3" s="30"/>
      <c r="OVG3" s="30"/>
      <c r="OVH3" s="30"/>
      <c r="OVI3" s="31"/>
      <c r="OVJ3" s="30"/>
      <c r="OVK3" s="30"/>
      <c r="OVL3" s="30"/>
      <c r="OVM3" s="31"/>
      <c r="OVN3" s="30"/>
      <c r="OVO3" s="30"/>
      <c r="OVP3" s="30"/>
      <c r="OVQ3" s="31"/>
      <c r="OVR3" s="30"/>
      <c r="OVS3" s="30"/>
      <c r="OVT3" s="30"/>
      <c r="OVU3" s="31"/>
      <c r="OVV3" s="30"/>
      <c r="OVW3" s="30"/>
      <c r="OVX3" s="30"/>
      <c r="OVY3" s="31"/>
      <c r="OVZ3" s="30"/>
      <c r="OWA3" s="30"/>
      <c r="OWB3" s="30"/>
      <c r="OWC3" s="31"/>
      <c r="OWD3" s="30"/>
      <c r="OWE3" s="30"/>
      <c r="OWF3" s="30"/>
      <c r="OWG3" s="31"/>
      <c r="OWH3" s="30"/>
      <c r="OWI3" s="30"/>
      <c r="OWJ3" s="30"/>
      <c r="OWK3" s="31"/>
      <c r="OWL3" s="30"/>
      <c r="OWM3" s="30"/>
      <c r="OWN3" s="30"/>
      <c r="OWO3" s="31"/>
      <c r="OWP3" s="30"/>
      <c r="OWQ3" s="30"/>
      <c r="OWR3" s="30"/>
      <c r="OWS3" s="31"/>
      <c r="OWT3" s="30"/>
      <c r="OWU3" s="30"/>
      <c r="OWV3" s="30"/>
      <c r="OWW3" s="31"/>
      <c r="OWX3" s="30"/>
      <c r="OWY3" s="30"/>
      <c r="OWZ3" s="30"/>
      <c r="OXA3" s="31"/>
      <c r="OXB3" s="30"/>
      <c r="OXC3" s="30"/>
      <c r="OXD3" s="30"/>
      <c r="OXE3" s="31"/>
      <c r="OXF3" s="30"/>
      <c r="OXG3" s="30"/>
      <c r="OXH3" s="30"/>
      <c r="OXI3" s="31"/>
      <c r="OXJ3" s="30"/>
      <c r="OXK3" s="30"/>
      <c r="OXL3" s="30"/>
      <c r="OXM3" s="31"/>
      <c r="OXN3" s="30"/>
      <c r="OXO3" s="30"/>
      <c r="OXP3" s="30"/>
      <c r="OXQ3" s="31"/>
      <c r="OXR3" s="30"/>
      <c r="OXS3" s="30"/>
      <c r="OXT3" s="30"/>
      <c r="OXU3" s="31"/>
      <c r="OXV3" s="30"/>
      <c r="OXW3" s="30"/>
      <c r="OXX3" s="30"/>
      <c r="OXY3" s="31"/>
      <c r="OXZ3" s="30"/>
      <c r="OYA3" s="30"/>
      <c r="OYB3" s="30"/>
      <c r="OYC3" s="31"/>
      <c r="OYD3" s="30"/>
      <c r="OYE3" s="30"/>
      <c r="OYF3" s="30"/>
      <c r="OYG3" s="31"/>
      <c r="OYH3" s="30"/>
      <c r="OYI3" s="30"/>
      <c r="OYJ3" s="30"/>
      <c r="OYK3" s="31"/>
      <c r="OYL3" s="30"/>
      <c r="OYM3" s="30"/>
      <c r="OYN3" s="30"/>
      <c r="OYO3" s="31"/>
      <c r="OYP3" s="30"/>
      <c r="OYQ3" s="30"/>
      <c r="OYR3" s="30"/>
      <c r="OYS3" s="31"/>
      <c r="OYT3" s="30"/>
      <c r="OYU3" s="30"/>
      <c r="OYV3" s="30"/>
      <c r="OYW3" s="31"/>
      <c r="OYX3" s="30"/>
      <c r="OYY3" s="30"/>
      <c r="OYZ3" s="30"/>
      <c r="OZA3" s="31"/>
      <c r="OZB3" s="30"/>
      <c r="OZC3" s="30"/>
      <c r="OZD3" s="30"/>
      <c r="OZE3" s="31"/>
      <c r="OZF3" s="30"/>
      <c r="OZG3" s="30"/>
      <c r="OZH3" s="30"/>
      <c r="OZI3" s="31"/>
      <c r="OZJ3" s="30"/>
      <c r="OZK3" s="30"/>
      <c r="OZL3" s="30"/>
      <c r="OZM3" s="31"/>
      <c r="OZN3" s="30"/>
      <c r="OZO3" s="30"/>
      <c r="OZP3" s="30"/>
      <c r="OZQ3" s="31"/>
      <c r="OZR3" s="30"/>
      <c r="OZS3" s="30"/>
      <c r="OZT3" s="30"/>
      <c r="OZU3" s="31"/>
      <c r="OZV3" s="30"/>
      <c r="OZW3" s="30"/>
      <c r="OZX3" s="30"/>
      <c r="OZY3" s="31"/>
      <c r="OZZ3" s="30"/>
      <c r="PAA3" s="30"/>
      <c r="PAB3" s="30"/>
      <c r="PAC3" s="31"/>
      <c r="PAD3" s="30"/>
      <c r="PAE3" s="30"/>
      <c r="PAF3" s="30"/>
      <c r="PAG3" s="31"/>
      <c r="PAH3" s="30"/>
      <c r="PAI3" s="30"/>
      <c r="PAJ3" s="30"/>
      <c r="PAK3" s="31"/>
      <c r="PAL3" s="30"/>
      <c r="PAM3" s="30"/>
      <c r="PAN3" s="30"/>
      <c r="PAO3" s="31"/>
      <c r="PAP3" s="30"/>
      <c r="PAQ3" s="30"/>
      <c r="PAR3" s="30"/>
      <c r="PAS3" s="31"/>
      <c r="PAT3" s="30"/>
      <c r="PAU3" s="30"/>
      <c r="PAV3" s="30"/>
      <c r="PAW3" s="31"/>
      <c r="PAX3" s="30"/>
      <c r="PAY3" s="30"/>
      <c r="PAZ3" s="30"/>
      <c r="PBA3" s="31"/>
      <c r="PBB3" s="30"/>
      <c r="PBC3" s="30"/>
      <c r="PBD3" s="30"/>
      <c r="PBE3" s="31"/>
      <c r="PBF3" s="30"/>
      <c r="PBG3" s="30"/>
      <c r="PBH3" s="30"/>
      <c r="PBI3" s="31"/>
      <c r="PBJ3" s="30"/>
      <c r="PBK3" s="30"/>
      <c r="PBL3" s="30"/>
      <c r="PBM3" s="31"/>
      <c r="PBN3" s="30"/>
      <c r="PBO3" s="30"/>
      <c r="PBP3" s="30"/>
      <c r="PBQ3" s="31"/>
      <c r="PBR3" s="30"/>
      <c r="PBS3" s="30"/>
      <c r="PBT3" s="30"/>
      <c r="PBU3" s="31"/>
      <c r="PBV3" s="30"/>
      <c r="PBW3" s="30"/>
      <c r="PBX3" s="30"/>
      <c r="PBY3" s="31"/>
      <c r="PBZ3" s="30"/>
      <c r="PCA3" s="30"/>
      <c r="PCB3" s="30"/>
      <c r="PCC3" s="31"/>
      <c r="PCD3" s="30"/>
      <c r="PCE3" s="30"/>
      <c r="PCF3" s="30"/>
      <c r="PCG3" s="31"/>
      <c r="PCH3" s="30"/>
      <c r="PCI3" s="30"/>
      <c r="PCJ3" s="30"/>
      <c r="PCK3" s="31"/>
      <c r="PCL3" s="30"/>
      <c r="PCM3" s="30"/>
      <c r="PCN3" s="30"/>
      <c r="PCO3" s="31"/>
      <c r="PCP3" s="30"/>
      <c r="PCQ3" s="30"/>
      <c r="PCR3" s="30"/>
      <c r="PCS3" s="31"/>
      <c r="PCT3" s="30"/>
      <c r="PCU3" s="30"/>
      <c r="PCV3" s="30"/>
      <c r="PCW3" s="31"/>
      <c r="PCX3" s="30"/>
      <c r="PCY3" s="30"/>
      <c r="PCZ3" s="30"/>
      <c r="PDA3" s="31"/>
      <c r="PDB3" s="30"/>
      <c r="PDC3" s="30"/>
      <c r="PDD3" s="30"/>
      <c r="PDE3" s="31"/>
      <c r="PDF3" s="30"/>
      <c r="PDG3" s="30"/>
      <c r="PDH3" s="30"/>
      <c r="PDI3" s="31"/>
      <c r="PDJ3" s="30"/>
      <c r="PDK3" s="30"/>
      <c r="PDL3" s="30"/>
      <c r="PDM3" s="31"/>
      <c r="PDN3" s="30"/>
      <c r="PDO3" s="30"/>
      <c r="PDP3" s="30"/>
      <c r="PDQ3" s="31"/>
      <c r="PDR3" s="30"/>
      <c r="PDS3" s="30"/>
      <c r="PDT3" s="30"/>
      <c r="PDU3" s="31"/>
      <c r="PDV3" s="30"/>
      <c r="PDW3" s="30"/>
      <c r="PDX3" s="30"/>
      <c r="PDY3" s="31"/>
      <c r="PDZ3" s="30"/>
      <c r="PEA3" s="30"/>
      <c r="PEB3" s="30"/>
      <c r="PEC3" s="31"/>
      <c r="PED3" s="30"/>
      <c r="PEE3" s="30"/>
      <c r="PEF3" s="30"/>
      <c r="PEG3" s="31"/>
      <c r="PEH3" s="30"/>
      <c r="PEI3" s="30"/>
      <c r="PEJ3" s="30"/>
      <c r="PEK3" s="31"/>
      <c r="PEL3" s="30"/>
      <c r="PEM3" s="30"/>
      <c r="PEN3" s="30"/>
      <c r="PEO3" s="31"/>
      <c r="PEP3" s="30"/>
      <c r="PEQ3" s="30"/>
      <c r="PER3" s="30"/>
      <c r="PES3" s="31"/>
      <c r="PET3" s="30"/>
      <c r="PEU3" s="30"/>
      <c r="PEV3" s="30"/>
      <c r="PEW3" s="31"/>
      <c r="PEX3" s="30"/>
      <c r="PEY3" s="30"/>
      <c r="PEZ3" s="30"/>
      <c r="PFA3" s="31"/>
      <c r="PFB3" s="30"/>
      <c r="PFC3" s="30"/>
      <c r="PFD3" s="30"/>
      <c r="PFE3" s="31"/>
      <c r="PFF3" s="30"/>
      <c r="PFG3" s="30"/>
      <c r="PFH3" s="30"/>
      <c r="PFI3" s="31"/>
      <c r="PFJ3" s="30"/>
      <c r="PFK3" s="30"/>
      <c r="PFL3" s="30"/>
      <c r="PFM3" s="31"/>
      <c r="PFN3" s="30"/>
      <c r="PFO3" s="30"/>
      <c r="PFP3" s="30"/>
      <c r="PFQ3" s="31"/>
      <c r="PFR3" s="30"/>
      <c r="PFS3" s="30"/>
      <c r="PFT3" s="30"/>
      <c r="PFU3" s="31"/>
      <c r="PFV3" s="30"/>
      <c r="PFW3" s="30"/>
      <c r="PFX3" s="30"/>
      <c r="PFY3" s="31"/>
      <c r="PFZ3" s="30"/>
      <c r="PGA3" s="30"/>
      <c r="PGB3" s="30"/>
      <c r="PGC3" s="31"/>
      <c r="PGD3" s="30"/>
      <c r="PGE3" s="30"/>
      <c r="PGF3" s="30"/>
      <c r="PGG3" s="31"/>
      <c r="PGH3" s="30"/>
      <c r="PGI3" s="30"/>
      <c r="PGJ3" s="30"/>
      <c r="PGK3" s="31"/>
      <c r="PGL3" s="30"/>
      <c r="PGM3" s="30"/>
      <c r="PGN3" s="30"/>
      <c r="PGO3" s="31"/>
      <c r="PGP3" s="30"/>
      <c r="PGQ3" s="30"/>
      <c r="PGR3" s="30"/>
      <c r="PGS3" s="31"/>
      <c r="PGT3" s="30"/>
      <c r="PGU3" s="30"/>
      <c r="PGV3" s="30"/>
      <c r="PGW3" s="31"/>
      <c r="PGX3" s="30"/>
      <c r="PGY3" s="30"/>
      <c r="PGZ3" s="30"/>
      <c r="PHA3" s="31"/>
      <c r="PHB3" s="30"/>
      <c r="PHC3" s="30"/>
      <c r="PHD3" s="30"/>
      <c r="PHE3" s="31"/>
      <c r="PHF3" s="30"/>
      <c r="PHG3" s="30"/>
      <c r="PHH3" s="30"/>
      <c r="PHI3" s="31"/>
      <c r="PHJ3" s="30"/>
      <c r="PHK3" s="30"/>
      <c r="PHL3" s="30"/>
      <c r="PHM3" s="31"/>
      <c r="PHN3" s="30"/>
      <c r="PHO3" s="30"/>
      <c r="PHP3" s="30"/>
      <c r="PHQ3" s="31"/>
      <c r="PHR3" s="30"/>
      <c r="PHS3" s="30"/>
      <c r="PHT3" s="30"/>
      <c r="PHU3" s="31"/>
      <c r="PHV3" s="30"/>
      <c r="PHW3" s="30"/>
      <c r="PHX3" s="30"/>
      <c r="PHY3" s="31"/>
      <c r="PHZ3" s="30"/>
      <c r="PIA3" s="30"/>
      <c r="PIB3" s="30"/>
      <c r="PIC3" s="31"/>
      <c r="PID3" s="30"/>
      <c r="PIE3" s="30"/>
      <c r="PIF3" s="30"/>
      <c r="PIG3" s="31"/>
      <c r="PIH3" s="30"/>
      <c r="PII3" s="30"/>
      <c r="PIJ3" s="30"/>
      <c r="PIK3" s="31"/>
      <c r="PIL3" s="30"/>
      <c r="PIM3" s="30"/>
      <c r="PIN3" s="30"/>
      <c r="PIO3" s="31"/>
      <c r="PIP3" s="30"/>
      <c r="PIQ3" s="30"/>
      <c r="PIR3" s="30"/>
      <c r="PIS3" s="31"/>
      <c r="PIT3" s="30"/>
      <c r="PIU3" s="30"/>
      <c r="PIV3" s="30"/>
      <c r="PIW3" s="31"/>
      <c r="PIX3" s="30"/>
      <c r="PIY3" s="30"/>
      <c r="PIZ3" s="30"/>
      <c r="PJA3" s="31"/>
      <c r="PJB3" s="30"/>
      <c r="PJC3" s="30"/>
      <c r="PJD3" s="30"/>
      <c r="PJE3" s="31"/>
      <c r="PJF3" s="30"/>
      <c r="PJG3" s="30"/>
      <c r="PJH3" s="30"/>
      <c r="PJI3" s="31"/>
      <c r="PJJ3" s="30"/>
      <c r="PJK3" s="30"/>
      <c r="PJL3" s="30"/>
      <c r="PJM3" s="31"/>
      <c r="PJN3" s="30"/>
      <c r="PJO3" s="30"/>
      <c r="PJP3" s="30"/>
      <c r="PJQ3" s="31"/>
      <c r="PJR3" s="30"/>
      <c r="PJS3" s="30"/>
      <c r="PJT3" s="30"/>
      <c r="PJU3" s="31"/>
      <c r="PJV3" s="30"/>
      <c r="PJW3" s="30"/>
      <c r="PJX3" s="30"/>
      <c r="PJY3" s="31"/>
      <c r="PJZ3" s="30"/>
      <c r="PKA3" s="30"/>
      <c r="PKB3" s="30"/>
      <c r="PKC3" s="31"/>
      <c r="PKD3" s="30"/>
      <c r="PKE3" s="30"/>
      <c r="PKF3" s="30"/>
      <c r="PKG3" s="31"/>
      <c r="PKH3" s="30"/>
      <c r="PKI3" s="30"/>
      <c r="PKJ3" s="30"/>
      <c r="PKK3" s="31"/>
      <c r="PKL3" s="30"/>
      <c r="PKM3" s="30"/>
      <c r="PKN3" s="30"/>
      <c r="PKO3" s="31"/>
      <c r="PKP3" s="30"/>
      <c r="PKQ3" s="30"/>
      <c r="PKR3" s="30"/>
      <c r="PKS3" s="31"/>
      <c r="PKT3" s="30"/>
      <c r="PKU3" s="30"/>
      <c r="PKV3" s="30"/>
      <c r="PKW3" s="31"/>
      <c r="PKX3" s="30"/>
      <c r="PKY3" s="30"/>
      <c r="PKZ3" s="30"/>
      <c r="PLA3" s="31"/>
      <c r="PLB3" s="30"/>
      <c r="PLC3" s="30"/>
      <c r="PLD3" s="30"/>
      <c r="PLE3" s="31"/>
      <c r="PLF3" s="30"/>
      <c r="PLG3" s="30"/>
      <c r="PLH3" s="30"/>
      <c r="PLI3" s="31"/>
      <c r="PLJ3" s="30"/>
      <c r="PLK3" s="30"/>
      <c r="PLL3" s="30"/>
      <c r="PLM3" s="31"/>
      <c r="PLN3" s="30"/>
      <c r="PLO3" s="30"/>
      <c r="PLP3" s="30"/>
      <c r="PLQ3" s="31"/>
      <c r="PLR3" s="30"/>
      <c r="PLS3" s="30"/>
      <c r="PLT3" s="30"/>
      <c r="PLU3" s="31"/>
      <c r="PLV3" s="30"/>
      <c r="PLW3" s="30"/>
      <c r="PLX3" s="30"/>
      <c r="PLY3" s="31"/>
      <c r="PLZ3" s="30"/>
      <c r="PMA3" s="30"/>
      <c r="PMB3" s="30"/>
      <c r="PMC3" s="31"/>
      <c r="PMD3" s="30"/>
      <c r="PME3" s="30"/>
      <c r="PMF3" s="30"/>
      <c r="PMG3" s="31"/>
      <c r="PMH3" s="30"/>
      <c r="PMI3" s="30"/>
      <c r="PMJ3" s="30"/>
      <c r="PMK3" s="31"/>
      <c r="PML3" s="30"/>
      <c r="PMM3" s="30"/>
      <c r="PMN3" s="30"/>
      <c r="PMO3" s="31"/>
      <c r="PMP3" s="30"/>
      <c r="PMQ3" s="30"/>
      <c r="PMR3" s="30"/>
      <c r="PMS3" s="31"/>
      <c r="PMT3" s="30"/>
      <c r="PMU3" s="30"/>
      <c r="PMV3" s="30"/>
      <c r="PMW3" s="31"/>
      <c r="PMX3" s="30"/>
      <c r="PMY3" s="30"/>
      <c r="PMZ3" s="30"/>
      <c r="PNA3" s="31"/>
      <c r="PNB3" s="30"/>
      <c r="PNC3" s="30"/>
      <c r="PND3" s="30"/>
      <c r="PNE3" s="31"/>
      <c r="PNF3" s="30"/>
      <c r="PNG3" s="30"/>
      <c r="PNH3" s="30"/>
      <c r="PNI3" s="31"/>
      <c r="PNJ3" s="30"/>
      <c r="PNK3" s="30"/>
      <c r="PNL3" s="30"/>
      <c r="PNM3" s="31"/>
      <c r="PNN3" s="30"/>
      <c r="PNO3" s="30"/>
      <c r="PNP3" s="30"/>
      <c r="PNQ3" s="31"/>
      <c r="PNR3" s="30"/>
      <c r="PNS3" s="30"/>
      <c r="PNT3" s="30"/>
      <c r="PNU3" s="31"/>
      <c r="PNV3" s="30"/>
      <c r="PNW3" s="30"/>
      <c r="PNX3" s="30"/>
      <c r="PNY3" s="31"/>
      <c r="PNZ3" s="30"/>
      <c r="POA3" s="30"/>
      <c r="POB3" s="30"/>
      <c r="POC3" s="31"/>
      <c r="POD3" s="30"/>
      <c r="POE3" s="30"/>
      <c r="POF3" s="30"/>
      <c r="POG3" s="31"/>
      <c r="POH3" s="30"/>
      <c r="POI3" s="30"/>
      <c r="POJ3" s="30"/>
      <c r="POK3" s="31"/>
      <c r="POL3" s="30"/>
      <c r="POM3" s="30"/>
      <c r="PON3" s="30"/>
      <c r="POO3" s="31"/>
      <c r="POP3" s="30"/>
      <c r="POQ3" s="30"/>
      <c r="POR3" s="30"/>
      <c r="POS3" s="31"/>
      <c r="POT3" s="30"/>
      <c r="POU3" s="30"/>
      <c r="POV3" s="30"/>
      <c r="POW3" s="31"/>
      <c r="POX3" s="30"/>
      <c r="POY3" s="30"/>
      <c r="POZ3" s="30"/>
      <c r="PPA3" s="31"/>
      <c r="PPB3" s="30"/>
      <c r="PPC3" s="30"/>
      <c r="PPD3" s="30"/>
      <c r="PPE3" s="31"/>
      <c r="PPF3" s="30"/>
      <c r="PPG3" s="30"/>
      <c r="PPH3" s="30"/>
      <c r="PPI3" s="31"/>
      <c r="PPJ3" s="30"/>
      <c r="PPK3" s="30"/>
      <c r="PPL3" s="30"/>
      <c r="PPM3" s="31"/>
      <c r="PPN3" s="30"/>
      <c r="PPO3" s="30"/>
      <c r="PPP3" s="30"/>
      <c r="PPQ3" s="31"/>
      <c r="PPR3" s="30"/>
      <c r="PPS3" s="30"/>
      <c r="PPT3" s="30"/>
      <c r="PPU3" s="31"/>
      <c r="PPV3" s="30"/>
      <c r="PPW3" s="30"/>
      <c r="PPX3" s="30"/>
      <c r="PPY3" s="31"/>
      <c r="PPZ3" s="30"/>
      <c r="PQA3" s="30"/>
      <c r="PQB3" s="30"/>
      <c r="PQC3" s="31"/>
      <c r="PQD3" s="30"/>
      <c r="PQE3" s="30"/>
      <c r="PQF3" s="30"/>
      <c r="PQG3" s="31"/>
      <c r="PQH3" s="30"/>
      <c r="PQI3" s="30"/>
      <c r="PQJ3" s="30"/>
      <c r="PQK3" s="31"/>
      <c r="PQL3" s="30"/>
      <c r="PQM3" s="30"/>
      <c r="PQN3" s="30"/>
      <c r="PQO3" s="31"/>
      <c r="PQP3" s="30"/>
      <c r="PQQ3" s="30"/>
      <c r="PQR3" s="30"/>
      <c r="PQS3" s="31"/>
      <c r="PQT3" s="30"/>
      <c r="PQU3" s="30"/>
      <c r="PQV3" s="30"/>
      <c r="PQW3" s="31"/>
      <c r="PQX3" s="30"/>
      <c r="PQY3" s="30"/>
      <c r="PQZ3" s="30"/>
      <c r="PRA3" s="31"/>
      <c r="PRB3" s="30"/>
      <c r="PRC3" s="30"/>
      <c r="PRD3" s="30"/>
      <c r="PRE3" s="31"/>
      <c r="PRF3" s="30"/>
      <c r="PRG3" s="30"/>
      <c r="PRH3" s="30"/>
      <c r="PRI3" s="31"/>
      <c r="PRJ3" s="30"/>
      <c r="PRK3" s="30"/>
      <c r="PRL3" s="30"/>
      <c r="PRM3" s="31"/>
      <c r="PRN3" s="30"/>
      <c r="PRO3" s="30"/>
      <c r="PRP3" s="30"/>
      <c r="PRQ3" s="31"/>
      <c r="PRR3" s="30"/>
      <c r="PRS3" s="30"/>
      <c r="PRT3" s="30"/>
      <c r="PRU3" s="31"/>
      <c r="PRV3" s="30"/>
      <c r="PRW3" s="30"/>
      <c r="PRX3" s="30"/>
      <c r="PRY3" s="31"/>
      <c r="PRZ3" s="30"/>
      <c r="PSA3" s="30"/>
      <c r="PSB3" s="30"/>
      <c r="PSC3" s="31"/>
      <c r="PSD3" s="30"/>
      <c r="PSE3" s="30"/>
      <c r="PSF3" s="30"/>
      <c r="PSG3" s="31"/>
      <c r="PSH3" s="30"/>
      <c r="PSI3" s="30"/>
      <c r="PSJ3" s="30"/>
      <c r="PSK3" s="31"/>
      <c r="PSL3" s="30"/>
      <c r="PSM3" s="30"/>
      <c r="PSN3" s="30"/>
      <c r="PSO3" s="31"/>
      <c r="PSP3" s="30"/>
      <c r="PSQ3" s="30"/>
      <c r="PSR3" s="30"/>
      <c r="PSS3" s="31"/>
      <c r="PST3" s="30"/>
      <c r="PSU3" s="30"/>
      <c r="PSV3" s="30"/>
      <c r="PSW3" s="31"/>
      <c r="PSX3" s="30"/>
      <c r="PSY3" s="30"/>
      <c r="PSZ3" s="30"/>
      <c r="PTA3" s="31"/>
      <c r="PTB3" s="30"/>
      <c r="PTC3" s="30"/>
      <c r="PTD3" s="30"/>
      <c r="PTE3" s="31"/>
      <c r="PTF3" s="30"/>
      <c r="PTG3" s="30"/>
      <c r="PTH3" s="30"/>
      <c r="PTI3" s="31"/>
      <c r="PTJ3" s="30"/>
      <c r="PTK3" s="30"/>
      <c r="PTL3" s="30"/>
      <c r="PTM3" s="31"/>
      <c r="PTN3" s="30"/>
      <c r="PTO3" s="30"/>
      <c r="PTP3" s="30"/>
      <c r="PTQ3" s="31"/>
      <c r="PTR3" s="30"/>
      <c r="PTS3" s="30"/>
      <c r="PTT3" s="30"/>
      <c r="PTU3" s="31"/>
      <c r="PTV3" s="30"/>
      <c r="PTW3" s="30"/>
      <c r="PTX3" s="30"/>
      <c r="PTY3" s="31"/>
      <c r="PTZ3" s="30"/>
      <c r="PUA3" s="30"/>
      <c r="PUB3" s="30"/>
      <c r="PUC3" s="31"/>
      <c r="PUD3" s="30"/>
      <c r="PUE3" s="30"/>
      <c r="PUF3" s="30"/>
      <c r="PUG3" s="31"/>
      <c r="PUH3" s="30"/>
      <c r="PUI3" s="30"/>
      <c r="PUJ3" s="30"/>
      <c r="PUK3" s="31"/>
      <c r="PUL3" s="30"/>
      <c r="PUM3" s="30"/>
      <c r="PUN3" s="30"/>
      <c r="PUO3" s="31"/>
      <c r="PUP3" s="30"/>
      <c r="PUQ3" s="30"/>
      <c r="PUR3" s="30"/>
      <c r="PUS3" s="31"/>
      <c r="PUT3" s="30"/>
      <c r="PUU3" s="30"/>
      <c r="PUV3" s="30"/>
      <c r="PUW3" s="31"/>
      <c r="PUX3" s="30"/>
      <c r="PUY3" s="30"/>
      <c r="PUZ3" s="30"/>
      <c r="PVA3" s="31"/>
      <c r="PVB3" s="30"/>
      <c r="PVC3" s="30"/>
      <c r="PVD3" s="30"/>
      <c r="PVE3" s="31"/>
      <c r="PVF3" s="30"/>
      <c r="PVG3" s="30"/>
      <c r="PVH3" s="30"/>
      <c r="PVI3" s="31"/>
      <c r="PVJ3" s="30"/>
      <c r="PVK3" s="30"/>
      <c r="PVL3" s="30"/>
      <c r="PVM3" s="31"/>
      <c r="PVN3" s="30"/>
      <c r="PVO3" s="30"/>
      <c r="PVP3" s="30"/>
      <c r="PVQ3" s="31"/>
      <c r="PVR3" s="30"/>
      <c r="PVS3" s="30"/>
      <c r="PVT3" s="30"/>
      <c r="PVU3" s="31"/>
      <c r="PVV3" s="30"/>
      <c r="PVW3" s="30"/>
      <c r="PVX3" s="30"/>
      <c r="PVY3" s="31"/>
      <c r="PVZ3" s="30"/>
      <c r="PWA3" s="30"/>
      <c r="PWB3" s="30"/>
      <c r="PWC3" s="31"/>
      <c r="PWD3" s="30"/>
      <c r="PWE3" s="30"/>
      <c r="PWF3" s="30"/>
      <c r="PWG3" s="31"/>
      <c r="PWH3" s="30"/>
      <c r="PWI3" s="30"/>
      <c r="PWJ3" s="30"/>
      <c r="PWK3" s="31"/>
      <c r="PWL3" s="30"/>
      <c r="PWM3" s="30"/>
      <c r="PWN3" s="30"/>
      <c r="PWO3" s="31"/>
      <c r="PWP3" s="30"/>
      <c r="PWQ3" s="30"/>
      <c r="PWR3" s="30"/>
      <c r="PWS3" s="31"/>
      <c r="PWT3" s="30"/>
      <c r="PWU3" s="30"/>
      <c r="PWV3" s="30"/>
      <c r="PWW3" s="31"/>
      <c r="PWX3" s="30"/>
      <c r="PWY3" s="30"/>
      <c r="PWZ3" s="30"/>
      <c r="PXA3" s="31"/>
      <c r="PXB3" s="30"/>
      <c r="PXC3" s="30"/>
      <c r="PXD3" s="30"/>
      <c r="PXE3" s="31"/>
      <c r="PXF3" s="30"/>
      <c r="PXG3" s="30"/>
      <c r="PXH3" s="30"/>
      <c r="PXI3" s="31"/>
      <c r="PXJ3" s="30"/>
      <c r="PXK3" s="30"/>
      <c r="PXL3" s="30"/>
      <c r="PXM3" s="31"/>
      <c r="PXN3" s="30"/>
      <c r="PXO3" s="30"/>
      <c r="PXP3" s="30"/>
      <c r="PXQ3" s="31"/>
      <c r="PXR3" s="30"/>
      <c r="PXS3" s="30"/>
      <c r="PXT3" s="30"/>
      <c r="PXU3" s="31"/>
      <c r="PXV3" s="30"/>
      <c r="PXW3" s="30"/>
      <c r="PXX3" s="30"/>
      <c r="PXY3" s="31"/>
      <c r="PXZ3" s="30"/>
      <c r="PYA3" s="30"/>
      <c r="PYB3" s="30"/>
      <c r="PYC3" s="31"/>
      <c r="PYD3" s="30"/>
      <c r="PYE3" s="30"/>
      <c r="PYF3" s="30"/>
      <c r="PYG3" s="31"/>
      <c r="PYH3" s="30"/>
      <c r="PYI3" s="30"/>
      <c r="PYJ3" s="30"/>
      <c r="PYK3" s="31"/>
      <c r="PYL3" s="30"/>
      <c r="PYM3" s="30"/>
      <c r="PYN3" s="30"/>
      <c r="PYO3" s="31"/>
      <c r="PYP3" s="30"/>
      <c r="PYQ3" s="30"/>
      <c r="PYR3" s="30"/>
      <c r="PYS3" s="31"/>
      <c r="PYT3" s="30"/>
      <c r="PYU3" s="30"/>
      <c r="PYV3" s="30"/>
      <c r="PYW3" s="31"/>
      <c r="PYX3" s="30"/>
      <c r="PYY3" s="30"/>
      <c r="PYZ3" s="30"/>
      <c r="PZA3" s="31"/>
      <c r="PZB3" s="30"/>
      <c r="PZC3" s="30"/>
      <c r="PZD3" s="30"/>
      <c r="PZE3" s="31"/>
      <c r="PZF3" s="30"/>
      <c r="PZG3" s="30"/>
      <c r="PZH3" s="30"/>
      <c r="PZI3" s="31"/>
      <c r="PZJ3" s="30"/>
      <c r="PZK3" s="30"/>
      <c r="PZL3" s="30"/>
      <c r="PZM3" s="31"/>
      <c r="PZN3" s="30"/>
      <c r="PZO3" s="30"/>
      <c r="PZP3" s="30"/>
      <c r="PZQ3" s="31"/>
      <c r="PZR3" s="30"/>
      <c r="PZS3" s="30"/>
      <c r="PZT3" s="30"/>
      <c r="PZU3" s="31"/>
      <c r="PZV3" s="30"/>
      <c r="PZW3" s="30"/>
      <c r="PZX3" s="30"/>
      <c r="PZY3" s="31"/>
      <c r="PZZ3" s="30"/>
      <c r="QAA3" s="30"/>
      <c r="QAB3" s="30"/>
      <c r="QAC3" s="31"/>
      <c r="QAD3" s="30"/>
      <c r="QAE3" s="30"/>
      <c r="QAF3" s="30"/>
      <c r="QAG3" s="31"/>
      <c r="QAH3" s="30"/>
      <c r="QAI3" s="30"/>
      <c r="QAJ3" s="30"/>
      <c r="QAK3" s="31"/>
      <c r="QAL3" s="30"/>
      <c r="QAM3" s="30"/>
      <c r="QAN3" s="30"/>
      <c r="QAO3" s="31"/>
      <c r="QAP3" s="30"/>
      <c r="QAQ3" s="30"/>
      <c r="QAR3" s="30"/>
      <c r="QAS3" s="31"/>
      <c r="QAT3" s="30"/>
      <c r="QAU3" s="30"/>
      <c r="QAV3" s="30"/>
      <c r="QAW3" s="31"/>
      <c r="QAX3" s="30"/>
      <c r="QAY3" s="30"/>
      <c r="QAZ3" s="30"/>
      <c r="QBA3" s="31"/>
      <c r="QBB3" s="30"/>
      <c r="QBC3" s="30"/>
      <c r="QBD3" s="30"/>
      <c r="QBE3" s="31"/>
      <c r="QBF3" s="30"/>
      <c r="QBG3" s="30"/>
      <c r="QBH3" s="30"/>
      <c r="QBI3" s="31"/>
      <c r="QBJ3" s="30"/>
      <c r="QBK3" s="30"/>
      <c r="QBL3" s="30"/>
      <c r="QBM3" s="31"/>
      <c r="QBN3" s="30"/>
      <c r="QBO3" s="30"/>
      <c r="QBP3" s="30"/>
      <c r="QBQ3" s="31"/>
      <c r="QBR3" s="30"/>
      <c r="QBS3" s="30"/>
      <c r="QBT3" s="30"/>
      <c r="QBU3" s="31"/>
      <c r="QBV3" s="30"/>
      <c r="QBW3" s="30"/>
      <c r="QBX3" s="30"/>
      <c r="QBY3" s="31"/>
      <c r="QBZ3" s="30"/>
      <c r="QCA3" s="30"/>
      <c r="QCB3" s="30"/>
      <c r="QCC3" s="31"/>
      <c r="QCD3" s="30"/>
      <c r="QCE3" s="30"/>
      <c r="QCF3" s="30"/>
      <c r="QCG3" s="31"/>
      <c r="QCH3" s="30"/>
      <c r="QCI3" s="30"/>
      <c r="QCJ3" s="30"/>
      <c r="QCK3" s="31"/>
      <c r="QCL3" s="30"/>
      <c r="QCM3" s="30"/>
      <c r="QCN3" s="30"/>
      <c r="QCO3" s="31"/>
      <c r="QCP3" s="30"/>
      <c r="QCQ3" s="30"/>
      <c r="QCR3" s="30"/>
      <c r="QCS3" s="31"/>
      <c r="QCT3" s="30"/>
      <c r="QCU3" s="30"/>
      <c r="QCV3" s="30"/>
      <c r="QCW3" s="31"/>
      <c r="QCX3" s="30"/>
      <c r="QCY3" s="30"/>
      <c r="QCZ3" s="30"/>
      <c r="QDA3" s="31"/>
      <c r="QDB3" s="30"/>
      <c r="QDC3" s="30"/>
      <c r="QDD3" s="30"/>
      <c r="QDE3" s="31"/>
      <c r="QDF3" s="30"/>
      <c r="QDG3" s="30"/>
      <c r="QDH3" s="30"/>
      <c r="QDI3" s="31"/>
      <c r="QDJ3" s="30"/>
      <c r="QDK3" s="30"/>
      <c r="QDL3" s="30"/>
      <c r="QDM3" s="31"/>
      <c r="QDN3" s="30"/>
      <c r="QDO3" s="30"/>
      <c r="QDP3" s="30"/>
      <c r="QDQ3" s="31"/>
      <c r="QDR3" s="30"/>
      <c r="QDS3" s="30"/>
      <c r="QDT3" s="30"/>
      <c r="QDU3" s="31"/>
      <c r="QDV3" s="30"/>
      <c r="QDW3" s="30"/>
      <c r="QDX3" s="30"/>
      <c r="QDY3" s="31"/>
      <c r="QDZ3" s="30"/>
      <c r="QEA3" s="30"/>
      <c r="QEB3" s="30"/>
      <c r="QEC3" s="31"/>
      <c r="QED3" s="30"/>
      <c r="QEE3" s="30"/>
      <c r="QEF3" s="30"/>
      <c r="QEG3" s="31"/>
      <c r="QEH3" s="30"/>
      <c r="QEI3" s="30"/>
      <c r="QEJ3" s="30"/>
      <c r="QEK3" s="31"/>
      <c r="QEL3" s="30"/>
      <c r="QEM3" s="30"/>
      <c r="QEN3" s="30"/>
      <c r="QEO3" s="31"/>
      <c r="QEP3" s="30"/>
      <c r="QEQ3" s="30"/>
      <c r="QER3" s="30"/>
      <c r="QES3" s="31"/>
      <c r="QET3" s="30"/>
      <c r="QEU3" s="30"/>
      <c r="QEV3" s="30"/>
      <c r="QEW3" s="31"/>
      <c r="QEX3" s="30"/>
      <c r="QEY3" s="30"/>
      <c r="QEZ3" s="30"/>
      <c r="QFA3" s="31"/>
      <c r="QFB3" s="30"/>
      <c r="QFC3" s="30"/>
      <c r="QFD3" s="30"/>
      <c r="QFE3" s="31"/>
      <c r="QFF3" s="30"/>
      <c r="QFG3" s="30"/>
      <c r="QFH3" s="30"/>
      <c r="QFI3" s="31"/>
      <c r="QFJ3" s="30"/>
      <c r="QFK3" s="30"/>
      <c r="QFL3" s="30"/>
      <c r="QFM3" s="31"/>
      <c r="QFN3" s="30"/>
      <c r="QFO3" s="30"/>
      <c r="QFP3" s="30"/>
      <c r="QFQ3" s="31"/>
      <c r="QFR3" s="30"/>
      <c r="QFS3" s="30"/>
      <c r="QFT3" s="30"/>
      <c r="QFU3" s="31"/>
      <c r="QFV3" s="30"/>
      <c r="QFW3" s="30"/>
      <c r="QFX3" s="30"/>
      <c r="QFY3" s="31"/>
      <c r="QFZ3" s="30"/>
      <c r="QGA3" s="30"/>
      <c r="QGB3" s="30"/>
      <c r="QGC3" s="31"/>
      <c r="QGD3" s="30"/>
      <c r="QGE3" s="30"/>
      <c r="QGF3" s="30"/>
      <c r="QGG3" s="31"/>
      <c r="QGH3" s="30"/>
      <c r="QGI3" s="30"/>
      <c r="QGJ3" s="30"/>
      <c r="QGK3" s="31"/>
      <c r="QGL3" s="30"/>
      <c r="QGM3" s="30"/>
      <c r="QGN3" s="30"/>
      <c r="QGO3" s="31"/>
      <c r="QGP3" s="30"/>
      <c r="QGQ3" s="30"/>
      <c r="QGR3" s="30"/>
      <c r="QGS3" s="31"/>
      <c r="QGT3" s="30"/>
      <c r="QGU3" s="30"/>
      <c r="QGV3" s="30"/>
      <c r="QGW3" s="31"/>
      <c r="QGX3" s="30"/>
      <c r="QGY3" s="30"/>
      <c r="QGZ3" s="30"/>
      <c r="QHA3" s="31"/>
      <c r="QHB3" s="30"/>
      <c r="QHC3" s="30"/>
      <c r="QHD3" s="30"/>
      <c r="QHE3" s="31"/>
      <c r="QHF3" s="30"/>
      <c r="QHG3" s="30"/>
      <c r="QHH3" s="30"/>
      <c r="QHI3" s="31"/>
      <c r="QHJ3" s="30"/>
      <c r="QHK3" s="30"/>
      <c r="QHL3" s="30"/>
      <c r="QHM3" s="31"/>
      <c r="QHN3" s="30"/>
      <c r="QHO3" s="30"/>
      <c r="QHP3" s="30"/>
      <c r="QHQ3" s="31"/>
      <c r="QHR3" s="30"/>
      <c r="QHS3" s="30"/>
      <c r="QHT3" s="30"/>
      <c r="QHU3" s="31"/>
      <c r="QHV3" s="30"/>
      <c r="QHW3" s="30"/>
      <c r="QHX3" s="30"/>
      <c r="QHY3" s="31"/>
      <c r="QHZ3" s="30"/>
      <c r="QIA3" s="30"/>
      <c r="QIB3" s="30"/>
      <c r="QIC3" s="31"/>
      <c r="QID3" s="30"/>
      <c r="QIE3" s="30"/>
      <c r="QIF3" s="30"/>
      <c r="QIG3" s="31"/>
      <c r="QIH3" s="30"/>
      <c r="QII3" s="30"/>
      <c r="QIJ3" s="30"/>
      <c r="QIK3" s="31"/>
      <c r="QIL3" s="30"/>
      <c r="QIM3" s="30"/>
      <c r="QIN3" s="30"/>
      <c r="QIO3" s="31"/>
      <c r="QIP3" s="30"/>
      <c r="QIQ3" s="30"/>
      <c r="QIR3" s="30"/>
      <c r="QIS3" s="31"/>
      <c r="QIT3" s="30"/>
      <c r="QIU3" s="30"/>
      <c r="QIV3" s="30"/>
      <c r="QIW3" s="31"/>
      <c r="QIX3" s="30"/>
      <c r="QIY3" s="30"/>
      <c r="QIZ3" s="30"/>
      <c r="QJA3" s="31"/>
      <c r="QJB3" s="30"/>
      <c r="QJC3" s="30"/>
      <c r="QJD3" s="30"/>
      <c r="QJE3" s="31"/>
      <c r="QJF3" s="30"/>
      <c r="QJG3" s="30"/>
      <c r="QJH3" s="30"/>
      <c r="QJI3" s="31"/>
      <c r="QJJ3" s="30"/>
      <c r="QJK3" s="30"/>
      <c r="QJL3" s="30"/>
      <c r="QJM3" s="31"/>
      <c r="QJN3" s="30"/>
      <c r="QJO3" s="30"/>
      <c r="QJP3" s="30"/>
      <c r="QJQ3" s="31"/>
      <c r="QJR3" s="30"/>
      <c r="QJS3" s="30"/>
      <c r="QJT3" s="30"/>
      <c r="QJU3" s="31"/>
      <c r="QJV3" s="30"/>
      <c r="QJW3" s="30"/>
      <c r="QJX3" s="30"/>
      <c r="QJY3" s="31"/>
      <c r="QJZ3" s="30"/>
      <c r="QKA3" s="30"/>
      <c r="QKB3" s="30"/>
      <c r="QKC3" s="31"/>
      <c r="QKD3" s="30"/>
      <c r="QKE3" s="30"/>
      <c r="QKF3" s="30"/>
      <c r="QKG3" s="31"/>
      <c r="QKH3" s="30"/>
      <c r="QKI3" s="30"/>
      <c r="QKJ3" s="30"/>
      <c r="QKK3" s="31"/>
      <c r="QKL3" s="30"/>
      <c r="QKM3" s="30"/>
      <c r="QKN3" s="30"/>
      <c r="QKO3" s="31"/>
      <c r="QKP3" s="30"/>
      <c r="QKQ3" s="30"/>
      <c r="QKR3" s="30"/>
      <c r="QKS3" s="31"/>
      <c r="QKT3" s="30"/>
      <c r="QKU3" s="30"/>
      <c r="QKV3" s="30"/>
      <c r="QKW3" s="31"/>
      <c r="QKX3" s="30"/>
      <c r="QKY3" s="30"/>
      <c r="QKZ3" s="30"/>
      <c r="QLA3" s="31"/>
      <c r="QLB3" s="30"/>
      <c r="QLC3" s="30"/>
      <c r="QLD3" s="30"/>
      <c r="QLE3" s="31"/>
      <c r="QLF3" s="30"/>
      <c r="QLG3" s="30"/>
      <c r="QLH3" s="30"/>
      <c r="QLI3" s="31"/>
      <c r="QLJ3" s="30"/>
      <c r="QLK3" s="30"/>
      <c r="QLL3" s="30"/>
      <c r="QLM3" s="31"/>
      <c r="QLN3" s="30"/>
      <c r="QLO3" s="30"/>
      <c r="QLP3" s="30"/>
      <c r="QLQ3" s="31"/>
      <c r="QLR3" s="30"/>
      <c r="QLS3" s="30"/>
      <c r="QLT3" s="30"/>
      <c r="QLU3" s="31"/>
      <c r="QLV3" s="30"/>
      <c r="QLW3" s="30"/>
      <c r="QLX3" s="30"/>
      <c r="QLY3" s="31"/>
      <c r="QLZ3" s="30"/>
      <c r="QMA3" s="30"/>
      <c r="QMB3" s="30"/>
      <c r="QMC3" s="31"/>
      <c r="QMD3" s="30"/>
      <c r="QME3" s="30"/>
      <c r="QMF3" s="30"/>
      <c r="QMG3" s="31"/>
      <c r="QMH3" s="30"/>
      <c r="QMI3" s="30"/>
      <c r="QMJ3" s="30"/>
      <c r="QMK3" s="31"/>
      <c r="QML3" s="30"/>
      <c r="QMM3" s="30"/>
      <c r="QMN3" s="30"/>
      <c r="QMO3" s="31"/>
      <c r="QMP3" s="30"/>
      <c r="QMQ3" s="30"/>
      <c r="QMR3" s="30"/>
      <c r="QMS3" s="31"/>
      <c r="QMT3" s="30"/>
      <c r="QMU3" s="30"/>
      <c r="QMV3" s="30"/>
      <c r="QMW3" s="31"/>
      <c r="QMX3" s="30"/>
      <c r="QMY3" s="30"/>
      <c r="QMZ3" s="30"/>
      <c r="QNA3" s="31"/>
      <c r="QNB3" s="30"/>
      <c r="QNC3" s="30"/>
      <c r="QND3" s="30"/>
      <c r="QNE3" s="31"/>
      <c r="QNF3" s="30"/>
      <c r="QNG3" s="30"/>
      <c r="QNH3" s="30"/>
      <c r="QNI3" s="31"/>
      <c r="QNJ3" s="30"/>
      <c r="QNK3" s="30"/>
      <c r="QNL3" s="30"/>
      <c r="QNM3" s="31"/>
      <c r="QNN3" s="30"/>
      <c r="QNO3" s="30"/>
      <c r="QNP3" s="30"/>
      <c r="QNQ3" s="31"/>
      <c r="QNR3" s="30"/>
      <c r="QNS3" s="30"/>
      <c r="QNT3" s="30"/>
      <c r="QNU3" s="31"/>
      <c r="QNV3" s="30"/>
      <c r="QNW3" s="30"/>
      <c r="QNX3" s="30"/>
      <c r="QNY3" s="31"/>
      <c r="QNZ3" s="30"/>
      <c r="QOA3" s="30"/>
      <c r="QOB3" s="30"/>
      <c r="QOC3" s="31"/>
      <c r="QOD3" s="30"/>
      <c r="QOE3" s="30"/>
      <c r="QOF3" s="30"/>
      <c r="QOG3" s="31"/>
      <c r="QOH3" s="30"/>
      <c r="QOI3" s="30"/>
      <c r="QOJ3" s="30"/>
      <c r="QOK3" s="31"/>
      <c r="QOL3" s="30"/>
      <c r="QOM3" s="30"/>
      <c r="QON3" s="30"/>
      <c r="QOO3" s="31"/>
      <c r="QOP3" s="30"/>
      <c r="QOQ3" s="30"/>
      <c r="QOR3" s="30"/>
      <c r="QOS3" s="31"/>
      <c r="QOT3" s="30"/>
      <c r="QOU3" s="30"/>
      <c r="QOV3" s="30"/>
      <c r="QOW3" s="31"/>
      <c r="QOX3" s="30"/>
      <c r="QOY3" s="30"/>
      <c r="QOZ3" s="30"/>
      <c r="QPA3" s="31"/>
      <c r="QPB3" s="30"/>
      <c r="QPC3" s="30"/>
      <c r="QPD3" s="30"/>
      <c r="QPE3" s="31"/>
      <c r="QPF3" s="30"/>
      <c r="QPG3" s="30"/>
      <c r="QPH3" s="30"/>
      <c r="QPI3" s="31"/>
      <c r="QPJ3" s="30"/>
      <c r="QPK3" s="30"/>
      <c r="QPL3" s="30"/>
      <c r="QPM3" s="31"/>
      <c r="QPN3" s="30"/>
      <c r="QPO3" s="30"/>
      <c r="QPP3" s="30"/>
      <c r="QPQ3" s="31"/>
      <c r="QPR3" s="30"/>
      <c r="QPS3" s="30"/>
      <c r="QPT3" s="30"/>
      <c r="QPU3" s="31"/>
      <c r="QPV3" s="30"/>
      <c r="QPW3" s="30"/>
      <c r="QPX3" s="30"/>
      <c r="QPY3" s="31"/>
      <c r="QPZ3" s="30"/>
      <c r="QQA3" s="30"/>
      <c r="QQB3" s="30"/>
      <c r="QQC3" s="31"/>
      <c r="QQD3" s="30"/>
      <c r="QQE3" s="30"/>
      <c r="QQF3" s="30"/>
      <c r="QQG3" s="31"/>
      <c r="QQH3" s="30"/>
      <c r="QQI3" s="30"/>
      <c r="QQJ3" s="30"/>
      <c r="QQK3" s="31"/>
      <c r="QQL3" s="30"/>
      <c r="QQM3" s="30"/>
      <c r="QQN3" s="30"/>
      <c r="QQO3" s="31"/>
      <c r="QQP3" s="30"/>
      <c r="QQQ3" s="30"/>
      <c r="QQR3" s="30"/>
      <c r="QQS3" s="31"/>
      <c r="QQT3" s="30"/>
      <c r="QQU3" s="30"/>
      <c r="QQV3" s="30"/>
      <c r="QQW3" s="31"/>
      <c r="QQX3" s="30"/>
      <c r="QQY3" s="30"/>
      <c r="QQZ3" s="30"/>
      <c r="QRA3" s="31"/>
      <c r="QRB3" s="30"/>
      <c r="QRC3" s="30"/>
      <c r="QRD3" s="30"/>
      <c r="QRE3" s="31"/>
      <c r="QRF3" s="30"/>
      <c r="QRG3" s="30"/>
      <c r="QRH3" s="30"/>
      <c r="QRI3" s="31"/>
      <c r="QRJ3" s="30"/>
      <c r="QRK3" s="30"/>
      <c r="QRL3" s="30"/>
      <c r="QRM3" s="31"/>
      <c r="QRN3" s="30"/>
      <c r="QRO3" s="30"/>
      <c r="QRP3" s="30"/>
      <c r="QRQ3" s="31"/>
      <c r="QRR3" s="30"/>
      <c r="QRS3" s="30"/>
      <c r="QRT3" s="30"/>
      <c r="QRU3" s="31"/>
      <c r="QRV3" s="30"/>
      <c r="QRW3" s="30"/>
      <c r="QRX3" s="30"/>
      <c r="QRY3" s="31"/>
      <c r="QRZ3" s="30"/>
      <c r="QSA3" s="30"/>
      <c r="QSB3" s="30"/>
      <c r="QSC3" s="31"/>
      <c r="QSD3" s="30"/>
      <c r="QSE3" s="30"/>
      <c r="QSF3" s="30"/>
      <c r="QSG3" s="31"/>
      <c r="QSH3" s="30"/>
      <c r="QSI3" s="30"/>
      <c r="QSJ3" s="30"/>
      <c r="QSK3" s="31"/>
      <c r="QSL3" s="30"/>
      <c r="QSM3" s="30"/>
      <c r="QSN3" s="30"/>
      <c r="QSO3" s="31"/>
      <c r="QSP3" s="30"/>
      <c r="QSQ3" s="30"/>
      <c r="QSR3" s="30"/>
      <c r="QSS3" s="31"/>
      <c r="QST3" s="30"/>
      <c r="QSU3" s="30"/>
      <c r="QSV3" s="30"/>
      <c r="QSW3" s="31"/>
      <c r="QSX3" s="30"/>
      <c r="QSY3" s="30"/>
      <c r="QSZ3" s="30"/>
      <c r="QTA3" s="31"/>
      <c r="QTB3" s="30"/>
      <c r="QTC3" s="30"/>
      <c r="QTD3" s="30"/>
      <c r="QTE3" s="31"/>
      <c r="QTF3" s="30"/>
      <c r="QTG3" s="30"/>
      <c r="QTH3" s="30"/>
      <c r="QTI3" s="31"/>
      <c r="QTJ3" s="30"/>
      <c r="QTK3" s="30"/>
      <c r="QTL3" s="30"/>
      <c r="QTM3" s="31"/>
      <c r="QTN3" s="30"/>
      <c r="QTO3" s="30"/>
      <c r="QTP3" s="30"/>
      <c r="QTQ3" s="31"/>
      <c r="QTR3" s="30"/>
      <c r="QTS3" s="30"/>
      <c r="QTT3" s="30"/>
      <c r="QTU3" s="31"/>
      <c r="QTV3" s="30"/>
      <c r="QTW3" s="30"/>
      <c r="QTX3" s="30"/>
      <c r="QTY3" s="31"/>
      <c r="QTZ3" s="30"/>
      <c r="QUA3" s="30"/>
      <c r="QUB3" s="30"/>
      <c r="QUC3" s="31"/>
      <c r="QUD3" s="30"/>
      <c r="QUE3" s="30"/>
      <c r="QUF3" s="30"/>
      <c r="QUG3" s="31"/>
      <c r="QUH3" s="30"/>
      <c r="QUI3" s="30"/>
      <c r="QUJ3" s="30"/>
      <c r="QUK3" s="31"/>
      <c r="QUL3" s="30"/>
      <c r="QUM3" s="30"/>
      <c r="QUN3" s="30"/>
      <c r="QUO3" s="31"/>
      <c r="QUP3" s="30"/>
      <c r="QUQ3" s="30"/>
      <c r="QUR3" s="30"/>
      <c r="QUS3" s="31"/>
      <c r="QUT3" s="30"/>
      <c r="QUU3" s="30"/>
      <c r="QUV3" s="30"/>
      <c r="QUW3" s="31"/>
      <c r="QUX3" s="30"/>
      <c r="QUY3" s="30"/>
      <c r="QUZ3" s="30"/>
      <c r="QVA3" s="31"/>
      <c r="QVB3" s="30"/>
      <c r="QVC3" s="30"/>
      <c r="QVD3" s="30"/>
      <c r="QVE3" s="31"/>
      <c r="QVF3" s="30"/>
      <c r="QVG3" s="30"/>
      <c r="QVH3" s="30"/>
      <c r="QVI3" s="31"/>
      <c r="QVJ3" s="30"/>
      <c r="QVK3" s="30"/>
      <c r="QVL3" s="30"/>
      <c r="QVM3" s="31"/>
      <c r="QVN3" s="30"/>
      <c r="QVO3" s="30"/>
      <c r="QVP3" s="30"/>
      <c r="QVQ3" s="31"/>
      <c r="QVR3" s="30"/>
      <c r="QVS3" s="30"/>
      <c r="QVT3" s="30"/>
      <c r="QVU3" s="31"/>
      <c r="QVV3" s="30"/>
      <c r="QVW3" s="30"/>
      <c r="QVX3" s="30"/>
      <c r="QVY3" s="31"/>
      <c r="QVZ3" s="30"/>
      <c r="QWA3" s="30"/>
      <c r="QWB3" s="30"/>
      <c r="QWC3" s="31"/>
      <c r="QWD3" s="30"/>
      <c r="QWE3" s="30"/>
      <c r="QWF3" s="30"/>
      <c r="QWG3" s="31"/>
      <c r="QWH3" s="30"/>
      <c r="QWI3" s="30"/>
      <c r="QWJ3" s="30"/>
      <c r="QWK3" s="31"/>
      <c r="QWL3" s="30"/>
      <c r="QWM3" s="30"/>
      <c r="QWN3" s="30"/>
      <c r="QWO3" s="31"/>
      <c r="QWP3" s="30"/>
      <c r="QWQ3" s="30"/>
      <c r="QWR3" s="30"/>
      <c r="QWS3" s="31"/>
      <c r="QWT3" s="30"/>
      <c r="QWU3" s="30"/>
      <c r="QWV3" s="30"/>
      <c r="QWW3" s="31"/>
      <c r="QWX3" s="30"/>
      <c r="QWY3" s="30"/>
      <c r="QWZ3" s="30"/>
      <c r="QXA3" s="31"/>
      <c r="QXB3" s="30"/>
      <c r="QXC3" s="30"/>
      <c r="QXD3" s="30"/>
      <c r="QXE3" s="31"/>
      <c r="QXF3" s="30"/>
      <c r="QXG3" s="30"/>
      <c r="QXH3" s="30"/>
      <c r="QXI3" s="31"/>
      <c r="QXJ3" s="30"/>
      <c r="QXK3" s="30"/>
      <c r="QXL3" s="30"/>
      <c r="QXM3" s="31"/>
      <c r="QXN3" s="30"/>
      <c r="QXO3" s="30"/>
      <c r="QXP3" s="30"/>
      <c r="QXQ3" s="31"/>
      <c r="QXR3" s="30"/>
      <c r="QXS3" s="30"/>
      <c r="QXT3" s="30"/>
      <c r="QXU3" s="31"/>
      <c r="QXV3" s="30"/>
      <c r="QXW3" s="30"/>
      <c r="QXX3" s="30"/>
      <c r="QXY3" s="31"/>
      <c r="QXZ3" s="30"/>
      <c r="QYA3" s="30"/>
      <c r="QYB3" s="30"/>
      <c r="QYC3" s="31"/>
      <c r="QYD3" s="30"/>
      <c r="QYE3" s="30"/>
      <c r="QYF3" s="30"/>
      <c r="QYG3" s="31"/>
      <c r="QYH3" s="30"/>
      <c r="QYI3" s="30"/>
      <c r="QYJ3" s="30"/>
      <c r="QYK3" s="31"/>
      <c r="QYL3" s="30"/>
      <c r="QYM3" s="30"/>
      <c r="QYN3" s="30"/>
      <c r="QYO3" s="31"/>
      <c r="QYP3" s="30"/>
      <c r="QYQ3" s="30"/>
      <c r="QYR3" s="30"/>
      <c r="QYS3" s="31"/>
      <c r="QYT3" s="30"/>
      <c r="QYU3" s="30"/>
      <c r="QYV3" s="30"/>
      <c r="QYW3" s="31"/>
      <c r="QYX3" s="30"/>
      <c r="QYY3" s="30"/>
      <c r="QYZ3" s="30"/>
      <c r="QZA3" s="31"/>
      <c r="QZB3" s="30"/>
      <c r="QZC3" s="30"/>
      <c r="QZD3" s="30"/>
      <c r="QZE3" s="31"/>
      <c r="QZF3" s="30"/>
      <c r="QZG3" s="30"/>
      <c r="QZH3" s="30"/>
      <c r="QZI3" s="31"/>
      <c r="QZJ3" s="30"/>
      <c r="QZK3" s="30"/>
      <c r="QZL3" s="30"/>
      <c r="QZM3" s="31"/>
      <c r="QZN3" s="30"/>
      <c r="QZO3" s="30"/>
      <c r="QZP3" s="30"/>
      <c r="QZQ3" s="31"/>
      <c r="QZR3" s="30"/>
      <c r="QZS3" s="30"/>
      <c r="QZT3" s="30"/>
      <c r="QZU3" s="31"/>
      <c r="QZV3" s="30"/>
      <c r="QZW3" s="30"/>
      <c r="QZX3" s="30"/>
      <c r="QZY3" s="31"/>
      <c r="QZZ3" s="30"/>
      <c r="RAA3" s="30"/>
      <c r="RAB3" s="30"/>
      <c r="RAC3" s="31"/>
      <c r="RAD3" s="30"/>
      <c r="RAE3" s="30"/>
      <c r="RAF3" s="30"/>
      <c r="RAG3" s="31"/>
      <c r="RAH3" s="30"/>
      <c r="RAI3" s="30"/>
      <c r="RAJ3" s="30"/>
      <c r="RAK3" s="31"/>
      <c r="RAL3" s="30"/>
      <c r="RAM3" s="30"/>
      <c r="RAN3" s="30"/>
      <c r="RAO3" s="31"/>
      <c r="RAP3" s="30"/>
      <c r="RAQ3" s="30"/>
      <c r="RAR3" s="30"/>
      <c r="RAS3" s="31"/>
      <c r="RAT3" s="30"/>
      <c r="RAU3" s="30"/>
      <c r="RAV3" s="30"/>
      <c r="RAW3" s="31"/>
      <c r="RAX3" s="30"/>
      <c r="RAY3" s="30"/>
      <c r="RAZ3" s="30"/>
      <c r="RBA3" s="31"/>
      <c r="RBB3" s="30"/>
      <c r="RBC3" s="30"/>
      <c r="RBD3" s="30"/>
      <c r="RBE3" s="31"/>
      <c r="RBF3" s="30"/>
      <c r="RBG3" s="30"/>
      <c r="RBH3" s="30"/>
      <c r="RBI3" s="31"/>
      <c r="RBJ3" s="30"/>
      <c r="RBK3" s="30"/>
      <c r="RBL3" s="30"/>
      <c r="RBM3" s="31"/>
      <c r="RBN3" s="30"/>
      <c r="RBO3" s="30"/>
      <c r="RBP3" s="30"/>
      <c r="RBQ3" s="31"/>
      <c r="RBR3" s="30"/>
      <c r="RBS3" s="30"/>
      <c r="RBT3" s="30"/>
      <c r="RBU3" s="31"/>
      <c r="RBV3" s="30"/>
      <c r="RBW3" s="30"/>
      <c r="RBX3" s="30"/>
      <c r="RBY3" s="31"/>
      <c r="RBZ3" s="30"/>
      <c r="RCA3" s="30"/>
      <c r="RCB3" s="30"/>
      <c r="RCC3" s="31"/>
      <c r="RCD3" s="30"/>
      <c r="RCE3" s="30"/>
      <c r="RCF3" s="30"/>
      <c r="RCG3" s="31"/>
      <c r="RCH3" s="30"/>
      <c r="RCI3" s="30"/>
      <c r="RCJ3" s="30"/>
      <c r="RCK3" s="31"/>
      <c r="RCL3" s="30"/>
      <c r="RCM3" s="30"/>
      <c r="RCN3" s="30"/>
      <c r="RCO3" s="31"/>
      <c r="RCP3" s="30"/>
      <c r="RCQ3" s="30"/>
      <c r="RCR3" s="30"/>
      <c r="RCS3" s="31"/>
      <c r="RCT3" s="30"/>
      <c r="RCU3" s="30"/>
      <c r="RCV3" s="30"/>
      <c r="RCW3" s="31"/>
      <c r="RCX3" s="30"/>
      <c r="RCY3" s="30"/>
      <c r="RCZ3" s="30"/>
      <c r="RDA3" s="31"/>
      <c r="RDB3" s="30"/>
      <c r="RDC3" s="30"/>
      <c r="RDD3" s="30"/>
      <c r="RDE3" s="31"/>
      <c r="RDF3" s="30"/>
      <c r="RDG3" s="30"/>
      <c r="RDH3" s="30"/>
      <c r="RDI3" s="31"/>
      <c r="RDJ3" s="30"/>
      <c r="RDK3" s="30"/>
      <c r="RDL3" s="30"/>
      <c r="RDM3" s="31"/>
      <c r="RDN3" s="30"/>
      <c r="RDO3" s="30"/>
      <c r="RDP3" s="30"/>
      <c r="RDQ3" s="31"/>
      <c r="RDR3" s="30"/>
      <c r="RDS3" s="30"/>
      <c r="RDT3" s="30"/>
      <c r="RDU3" s="31"/>
      <c r="RDV3" s="30"/>
      <c r="RDW3" s="30"/>
      <c r="RDX3" s="30"/>
      <c r="RDY3" s="31"/>
      <c r="RDZ3" s="30"/>
      <c r="REA3" s="30"/>
      <c r="REB3" s="30"/>
      <c r="REC3" s="31"/>
      <c r="RED3" s="30"/>
      <c r="REE3" s="30"/>
      <c r="REF3" s="30"/>
      <c r="REG3" s="31"/>
      <c r="REH3" s="30"/>
      <c r="REI3" s="30"/>
      <c r="REJ3" s="30"/>
      <c r="REK3" s="31"/>
      <c r="REL3" s="30"/>
      <c r="REM3" s="30"/>
      <c r="REN3" s="30"/>
      <c r="REO3" s="31"/>
      <c r="REP3" s="30"/>
      <c r="REQ3" s="30"/>
      <c r="RER3" s="30"/>
      <c r="RES3" s="31"/>
      <c r="RET3" s="30"/>
      <c r="REU3" s="30"/>
      <c r="REV3" s="30"/>
      <c r="REW3" s="31"/>
      <c r="REX3" s="30"/>
      <c r="REY3" s="30"/>
      <c r="REZ3" s="30"/>
      <c r="RFA3" s="31"/>
      <c r="RFB3" s="30"/>
      <c r="RFC3" s="30"/>
      <c r="RFD3" s="30"/>
      <c r="RFE3" s="31"/>
      <c r="RFF3" s="30"/>
      <c r="RFG3" s="30"/>
      <c r="RFH3" s="30"/>
      <c r="RFI3" s="31"/>
      <c r="RFJ3" s="30"/>
      <c r="RFK3" s="30"/>
      <c r="RFL3" s="30"/>
      <c r="RFM3" s="31"/>
      <c r="RFN3" s="30"/>
      <c r="RFO3" s="30"/>
      <c r="RFP3" s="30"/>
      <c r="RFQ3" s="31"/>
      <c r="RFR3" s="30"/>
      <c r="RFS3" s="30"/>
      <c r="RFT3" s="30"/>
      <c r="RFU3" s="31"/>
      <c r="RFV3" s="30"/>
      <c r="RFW3" s="30"/>
      <c r="RFX3" s="30"/>
      <c r="RFY3" s="31"/>
      <c r="RFZ3" s="30"/>
      <c r="RGA3" s="30"/>
      <c r="RGB3" s="30"/>
      <c r="RGC3" s="31"/>
      <c r="RGD3" s="30"/>
      <c r="RGE3" s="30"/>
      <c r="RGF3" s="30"/>
      <c r="RGG3" s="31"/>
      <c r="RGH3" s="30"/>
      <c r="RGI3" s="30"/>
      <c r="RGJ3" s="30"/>
      <c r="RGK3" s="31"/>
      <c r="RGL3" s="30"/>
      <c r="RGM3" s="30"/>
      <c r="RGN3" s="30"/>
      <c r="RGO3" s="31"/>
      <c r="RGP3" s="30"/>
      <c r="RGQ3" s="30"/>
      <c r="RGR3" s="30"/>
      <c r="RGS3" s="31"/>
      <c r="RGT3" s="30"/>
      <c r="RGU3" s="30"/>
      <c r="RGV3" s="30"/>
      <c r="RGW3" s="31"/>
      <c r="RGX3" s="30"/>
      <c r="RGY3" s="30"/>
      <c r="RGZ3" s="30"/>
      <c r="RHA3" s="31"/>
      <c r="RHB3" s="30"/>
      <c r="RHC3" s="30"/>
      <c r="RHD3" s="30"/>
      <c r="RHE3" s="31"/>
      <c r="RHF3" s="30"/>
      <c r="RHG3" s="30"/>
      <c r="RHH3" s="30"/>
      <c r="RHI3" s="31"/>
      <c r="RHJ3" s="30"/>
      <c r="RHK3" s="30"/>
      <c r="RHL3" s="30"/>
      <c r="RHM3" s="31"/>
      <c r="RHN3" s="30"/>
      <c r="RHO3" s="30"/>
      <c r="RHP3" s="30"/>
      <c r="RHQ3" s="31"/>
      <c r="RHR3" s="30"/>
      <c r="RHS3" s="30"/>
      <c r="RHT3" s="30"/>
      <c r="RHU3" s="31"/>
      <c r="RHV3" s="30"/>
      <c r="RHW3" s="30"/>
      <c r="RHX3" s="30"/>
      <c r="RHY3" s="31"/>
      <c r="RHZ3" s="30"/>
      <c r="RIA3" s="30"/>
      <c r="RIB3" s="30"/>
      <c r="RIC3" s="31"/>
      <c r="RID3" s="30"/>
      <c r="RIE3" s="30"/>
      <c r="RIF3" s="30"/>
      <c r="RIG3" s="31"/>
      <c r="RIH3" s="30"/>
      <c r="RII3" s="30"/>
      <c r="RIJ3" s="30"/>
      <c r="RIK3" s="31"/>
      <c r="RIL3" s="30"/>
      <c r="RIM3" s="30"/>
      <c r="RIN3" s="30"/>
      <c r="RIO3" s="31"/>
      <c r="RIP3" s="30"/>
      <c r="RIQ3" s="30"/>
      <c r="RIR3" s="30"/>
      <c r="RIS3" s="31"/>
      <c r="RIT3" s="30"/>
      <c r="RIU3" s="30"/>
      <c r="RIV3" s="30"/>
      <c r="RIW3" s="31"/>
      <c r="RIX3" s="30"/>
      <c r="RIY3" s="30"/>
      <c r="RIZ3" s="30"/>
      <c r="RJA3" s="31"/>
      <c r="RJB3" s="30"/>
      <c r="RJC3" s="30"/>
      <c r="RJD3" s="30"/>
      <c r="RJE3" s="31"/>
      <c r="RJF3" s="30"/>
      <c r="RJG3" s="30"/>
      <c r="RJH3" s="30"/>
      <c r="RJI3" s="31"/>
      <c r="RJJ3" s="30"/>
      <c r="RJK3" s="30"/>
      <c r="RJL3" s="30"/>
      <c r="RJM3" s="31"/>
      <c r="RJN3" s="30"/>
      <c r="RJO3" s="30"/>
      <c r="RJP3" s="30"/>
      <c r="RJQ3" s="31"/>
      <c r="RJR3" s="30"/>
      <c r="RJS3" s="30"/>
      <c r="RJT3" s="30"/>
      <c r="RJU3" s="31"/>
      <c r="RJV3" s="30"/>
      <c r="RJW3" s="30"/>
      <c r="RJX3" s="30"/>
      <c r="RJY3" s="31"/>
      <c r="RJZ3" s="30"/>
      <c r="RKA3" s="30"/>
      <c r="RKB3" s="30"/>
      <c r="RKC3" s="31"/>
      <c r="RKD3" s="30"/>
      <c r="RKE3" s="30"/>
      <c r="RKF3" s="30"/>
      <c r="RKG3" s="31"/>
      <c r="RKH3" s="30"/>
      <c r="RKI3" s="30"/>
      <c r="RKJ3" s="30"/>
      <c r="RKK3" s="31"/>
      <c r="RKL3" s="30"/>
      <c r="RKM3" s="30"/>
      <c r="RKN3" s="30"/>
      <c r="RKO3" s="31"/>
      <c r="RKP3" s="30"/>
      <c r="RKQ3" s="30"/>
      <c r="RKR3" s="30"/>
      <c r="RKS3" s="31"/>
      <c r="RKT3" s="30"/>
      <c r="RKU3" s="30"/>
      <c r="RKV3" s="30"/>
      <c r="RKW3" s="31"/>
      <c r="RKX3" s="30"/>
      <c r="RKY3" s="30"/>
      <c r="RKZ3" s="30"/>
      <c r="RLA3" s="31"/>
      <c r="RLB3" s="30"/>
      <c r="RLC3" s="30"/>
      <c r="RLD3" s="30"/>
      <c r="RLE3" s="31"/>
      <c r="RLF3" s="30"/>
      <c r="RLG3" s="30"/>
      <c r="RLH3" s="30"/>
      <c r="RLI3" s="31"/>
      <c r="RLJ3" s="30"/>
      <c r="RLK3" s="30"/>
      <c r="RLL3" s="30"/>
      <c r="RLM3" s="31"/>
      <c r="RLN3" s="30"/>
      <c r="RLO3" s="30"/>
      <c r="RLP3" s="30"/>
      <c r="RLQ3" s="31"/>
      <c r="RLR3" s="30"/>
      <c r="RLS3" s="30"/>
      <c r="RLT3" s="30"/>
      <c r="RLU3" s="31"/>
      <c r="RLV3" s="30"/>
      <c r="RLW3" s="30"/>
      <c r="RLX3" s="30"/>
      <c r="RLY3" s="31"/>
      <c r="RLZ3" s="30"/>
      <c r="RMA3" s="30"/>
      <c r="RMB3" s="30"/>
      <c r="RMC3" s="31"/>
      <c r="RMD3" s="30"/>
      <c r="RME3" s="30"/>
      <c r="RMF3" s="30"/>
      <c r="RMG3" s="31"/>
      <c r="RMH3" s="30"/>
      <c r="RMI3" s="30"/>
      <c r="RMJ3" s="30"/>
      <c r="RMK3" s="31"/>
      <c r="RML3" s="30"/>
      <c r="RMM3" s="30"/>
      <c r="RMN3" s="30"/>
      <c r="RMO3" s="31"/>
      <c r="RMP3" s="30"/>
      <c r="RMQ3" s="30"/>
      <c r="RMR3" s="30"/>
      <c r="RMS3" s="31"/>
      <c r="RMT3" s="30"/>
      <c r="RMU3" s="30"/>
      <c r="RMV3" s="30"/>
      <c r="RMW3" s="31"/>
      <c r="RMX3" s="30"/>
      <c r="RMY3" s="30"/>
      <c r="RMZ3" s="30"/>
      <c r="RNA3" s="31"/>
      <c r="RNB3" s="30"/>
      <c r="RNC3" s="30"/>
      <c r="RND3" s="30"/>
      <c r="RNE3" s="31"/>
      <c r="RNF3" s="30"/>
      <c r="RNG3" s="30"/>
      <c r="RNH3" s="30"/>
      <c r="RNI3" s="31"/>
      <c r="RNJ3" s="30"/>
      <c r="RNK3" s="30"/>
      <c r="RNL3" s="30"/>
      <c r="RNM3" s="31"/>
      <c r="RNN3" s="30"/>
      <c r="RNO3" s="30"/>
      <c r="RNP3" s="30"/>
      <c r="RNQ3" s="31"/>
      <c r="RNR3" s="30"/>
      <c r="RNS3" s="30"/>
      <c r="RNT3" s="30"/>
      <c r="RNU3" s="31"/>
      <c r="RNV3" s="30"/>
      <c r="RNW3" s="30"/>
      <c r="RNX3" s="30"/>
      <c r="RNY3" s="31"/>
      <c r="RNZ3" s="30"/>
      <c r="ROA3" s="30"/>
      <c r="ROB3" s="30"/>
      <c r="ROC3" s="31"/>
      <c r="ROD3" s="30"/>
      <c r="ROE3" s="30"/>
      <c r="ROF3" s="30"/>
      <c r="ROG3" s="31"/>
      <c r="ROH3" s="30"/>
      <c r="ROI3" s="30"/>
      <c r="ROJ3" s="30"/>
      <c r="ROK3" s="31"/>
      <c r="ROL3" s="30"/>
      <c r="ROM3" s="30"/>
      <c r="RON3" s="30"/>
      <c r="ROO3" s="31"/>
      <c r="ROP3" s="30"/>
      <c r="ROQ3" s="30"/>
      <c r="ROR3" s="30"/>
      <c r="ROS3" s="31"/>
      <c r="ROT3" s="30"/>
      <c r="ROU3" s="30"/>
      <c r="ROV3" s="30"/>
      <c r="ROW3" s="31"/>
      <c r="ROX3" s="30"/>
      <c r="ROY3" s="30"/>
      <c r="ROZ3" s="30"/>
      <c r="RPA3" s="31"/>
      <c r="RPB3" s="30"/>
      <c r="RPC3" s="30"/>
      <c r="RPD3" s="30"/>
      <c r="RPE3" s="31"/>
      <c r="RPF3" s="30"/>
      <c r="RPG3" s="30"/>
      <c r="RPH3" s="30"/>
      <c r="RPI3" s="31"/>
      <c r="RPJ3" s="30"/>
      <c r="RPK3" s="30"/>
      <c r="RPL3" s="30"/>
      <c r="RPM3" s="31"/>
      <c r="RPN3" s="30"/>
      <c r="RPO3" s="30"/>
      <c r="RPP3" s="30"/>
      <c r="RPQ3" s="31"/>
      <c r="RPR3" s="30"/>
      <c r="RPS3" s="30"/>
      <c r="RPT3" s="30"/>
      <c r="RPU3" s="31"/>
      <c r="RPV3" s="30"/>
      <c r="RPW3" s="30"/>
      <c r="RPX3" s="30"/>
      <c r="RPY3" s="31"/>
      <c r="RPZ3" s="30"/>
      <c r="RQA3" s="30"/>
      <c r="RQB3" s="30"/>
      <c r="RQC3" s="31"/>
      <c r="RQD3" s="30"/>
      <c r="RQE3" s="30"/>
      <c r="RQF3" s="30"/>
      <c r="RQG3" s="31"/>
      <c r="RQH3" s="30"/>
      <c r="RQI3" s="30"/>
      <c r="RQJ3" s="30"/>
      <c r="RQK3" s="31"/>
      <c r="RQL3" s="30"/>
      <c r="RQM3" s="30"/>
      <c r="RQN3" s="30"/>
      <c r="RQO3" s="31"/>
      <c r="RQP3" s="30"/>
      <c r="RQQ3" s="30"/>
      <c r="RQR3" s="30"/>
      <c r="RQS3" s="31"/>
      <c r="RQT3" s="30"/>
      <c r="RQU3" s="30"/>
      <c r="RQV3" s="30"/>
      <c r="RQW3" s="31"/>
      <c r="RQX3" s="30"/>
      <c r="RQY3" s="30"/>
      <c r="RQZ3" s="30"/>
      <c r="RRA3" s="31"/>
      <c r="RRB3" s="30"/>
      <c r="RRC3" s="30"/>
      <c r="RRD3" s="30"/>
      <c r="RRE3" s="31"/>
      <c r="RRF3" s="30"/>
      <c r="RRG3" s="30"/>
      <c r="RRH3" s="30"/>
      <c r="RRI3" s="31"/>
      <c r="RRJ3" s="30"/>
      <c r="RRK3" s="30"/>
      <c r="RRL3" s="30"/>
      <c r="RRM3" s="31"/>
      <c r="RRN3" s="30"/>
      <c r="RRO3" s="30"/>
      <c r="RRP3" s="30"/>
      <c r="RRQ3" s="31"/>
      <c r="RRR3" s="30"/>
      <c r="RRS3" s="30"/>
      <c r="RRT3" s="30"/>
      <c r="RRU3" s="31"/>
      <c r="RRV3" s="30"/>
      <c r="RRW3" s="30"/>
      <c r="RRX3" s="30"/>
      <c r="RRY3" s="31"/>
      <c r="RRZ3" s="30"/>
      <c r="RSA3" s="30"/>
      <c r="RSB3" s="30"/>
      <c r="RSC3" s="31"/>
      <c r="RSD3" s="30"/>
      <c r="RSE3" s="30"/>
      <c r="RSF3" s="30"/>
      <c r="RSG3" s="31"/>
      <c r="RSH3" s="30"/>
      <c r="RSI3" s="30"/>
      <c r="RSJ3" s="30"/>
      <c r="RSK3" s="31"/>
      <c r="RSL3" s="30"/>
      <c r="RSM3" s="30"/>
      <c r="RSN3" s="30"/>
      <c r="RSO3" s="31"/>
      <c r="RSP3" s="30"/>
      <c r="RSQ3" s="30"/>
      <c r="RSR3" s="30"/>
      <c r="RSS3" s="31"/>
      <c r="RST3" s="30"/>
      <c r="RSU3" s="30"/>
      <c r="RSV3" s="30"/>
      <c r="RSW3" s="31"/>
      <c r="RSX3" s="30"/>
      <c r="RSY3" s="30"/>
      <c r="RSZ3" s="30"/>
      <c r="RTA3" s="31"/>
      <c r="RTB3" s="30"/>
      <c r="RTC3" s="30"/>
      <c r="RTD3" s="30"/>
      <c r="RTE3" s="31"/>
      <c r="RTF3" s="30"/>
      <c r="RTG3" s="30"/>
      <c r="RTH3" s="30"/>
      <c r="RTI3" s="31"/>
      <c r="RTJ3" s="30"/>
      <c r="RTK3" s="30"/>
      <c r="RTL3" s="30"/>
      <c r="RTM3" s="31"/>
      <c r="RTN3" s="30"/>
      <c r="RTO3" s="30"/>
      <c r="RTP3" s="30"/>
      <c r="RTQ3" s="31"/>
      <c r="RTR3" s="30"/>
      <c r="RTS3" s="30"/>
      <c r="RTT3" s="30"/>
      <c r="RTU3" s="31"/>
      <c r="RTV3" s="30"/>
      <c r="RTW3" s="30"/>
      <c r="RTX3" s="30"/>
      <c r="RTY3" s="31"/>
      <c r="RTZ3" s="30"/>
      <c r="RUA3" s="30"/>
      <c r="RUB3" s="30"/>
      <c r="RUC3" s="31"/>
      <c r="RUD3" s="30"/>
      <c r="RUE3" s="30"/>
      <c r="RUF3" s="30"/>
      <c r="RUG3" s="31"/>
      <c r="RUH3" s="30"/>
      <c r="RUI3" s="30"/>
      <c r="RUJ3" s="30"/>
      <c r="RUK3" s="31"/>
      <c r="RUL3" s="30"/>
      <c r="RUM3" s="30"/>
      <c r="RUN3" s="30"/>
      <c r="RUO3" s="31"/>
      <c r="RUP3" s="30"/>
      <c r="RUQ3" s="30"/>
      <c r="RUR3" s="30"/>
      <c r="RUS3" s="31"/>
      <c r="RUT3" s="30"/>
      <c r="RUU3" s="30"/>
      <c r="RUV3" s="30"/>
      <c r="RUW3" s="31"/>
      <c r="RUX3" s="30"/>
      <c r="RUY3" s="30"/>
      <c r="RUZ3" s="30"/>
      <c r="RVA3" s="31"/>
      <c r="RVB3" s="30"/>
      <c r="RVC3" s="30"/>
      <c r="RVD3" s="30"/>
      <c r="RVE3" s="31"/>
      <c r="RVF3" s="30"/>
      <c r="RVG3" s="30"/>
      <c r="RVH3" s="30"/>
      <c r="RVI3" s="31"/>
      <c r="RVJ3" s="30"/>
      <c r="RVK3" s="30"/>
      <c r="RVL3" s="30"/>
      <c r="RVM3" s="31"/>
      <c r="RVN3" s="30"/>
      <c r="RVO3" s="30"/>
      <c r="RVP3" s="30"/>
      <c r="RVQ3" s="31"/>
      <c r="RVR3" s="30"/>
      <c r="RVS3" s="30"/>
      <c r="RVT3" s="30"/>
      <c r="RVU3" s="31"/>
      <c r="RVV3" s="30"/>
      <c r="RVW3" s="30"/>
      <c r="RVX3" s="30"/>
      <c r="RVY3" s="31"/>
      <c r="RVZ3" s="30"/>
      <c r="RWA3" s="30"/>
      <c r="RWB3" s="30"/>
      <c r="RWC3" s="31"/>
      <c r="RWD3" s="30"/>
      <c r="RWE3" s="30"/>
      <c r="RWF3" s="30"/>
      <c r="RWG3" s="31"/>
      <c r="RWH3" s="30"/>
      <c r="RWI3" s="30"/>
      <c r="RWJ3" s="30"/>
      <c r="RWK3" s="31"/>
      <c r="RWL3" s="30"/>
      <c r="RWM3" s="30"/>
      <c r="RWN3" s="30"/>
      <c r="RWO3" s="31"/>
      <c r="RWP3" s="30"/>
      <c r="RWQ3" s="30"/>
      <c r="RWR3" s="30"/>
      <c r="RWS3" s="31"/>
      <c r="RWT3" s="30"/>
      <c r="RWU3" s="30"/>
      <c r="RWV3" s="30"/>
      <c r="RWW3" s="31"/>
      <c r="RWX3" s="30"/>
      <c r="RWY3" s="30"/>
      <c r="RWZ3" s="30"/>
      <c r="RXA3" s="31"/>
      <c r="RXB3" s="30"/>
      <c r="RXC3" s="30"/>
      <c r="RXD3" s="30"/>
      <c r="RXE3" s="31"/>
      <c r="RXF3" s="30"/>
      <c r="RXG3" s="30"/>
      <c r="RXH3" s="30"/>
      <c r="RXI3" s="31"/>
      <c r="RXJ3" s="30"/>
      <c r="RXK3" s="30"/>
      <c r="RXL3" s="30"/>
      <c r="RXM3" s="31"/>
      <c r="RXN3" s="30"/>
      <c r="RXO3" s="30"/>
      <c r="RXP3" s="30"/>
      <c r="RXQ3" s="31"/>
      <c r="RXR3" s="30"/>
      <c r="RXS3" s="30"/>
      <c r="RXT3" s="30"/>
      <c r="RXU3" s="31"/>
      <c r="RXV3" s="30"/>
      <c r="RXW3" s="30"/>
      <c r="RXX3" s="30"/>
      <c r="RXY3" s="31"/>
      <c r="RXZ3" s="30"/>
      <c r="RYA3" s="30"/>
      <c r="RYB3" s="30"/>
      <c r="RYC3" s="31"/>
      <c r="RYD3" s="30"/>
      <c r="RYE3" s="30"/>
      <c r="RYF3" s="30"/>
      <c r="RYG3" s="31"/>
      <c r="RYH3" s="30"/>
      <c r="RYI3" s="30"/>
      <c r="RYJ3" s="30"/>
      <c r="RYK3" s="31"/>
      <c r="RYL3" s="30"/>
      <c r="RYM3" s="30"/>
      <c r="RYN3" s="30"/>
      <c r="RYO3" s="31"/>
      <c r="RYP3" s="30"/>
      <c r="RYQ3" s="30"/>
      <c r="RYR3" s="30"/>
      <c r="RYS3" s="31"/>
      <c r="RYT3" s="30"/>
      <c r="RYU3" s="30"/>
      <c r="RYV3" s="30"/>
      <c r="RYW3" s="31"/>
      <c r="RYX3" s="30"/>
      <c r="RYY3" s="30"/>
      <c r="RYZ3" s="30"/>
      <c r="RZA3" s="31"/>
      <c r="RZB3" s="30"/>
      <c r="RZC3" s="30"/>
      <c r="RZD3" s="30"/>
      <c r="RZE3" s="31"/>
      <c r="RZF3" s="30"/>
      <c r="RZG3" s="30"/>
      <c r="RZH3" s="30"/>
      <c r="RZI3" s="31"/>
      <c r="RZJ3" s="30"/>
      <c r="RZK3" s="30"/>
      <c r="RZL3" s="30"/>
      <c r="RZM3" s="31"/>
      <c r="RZN3" s="30"/>
      <c r="RZO3" s="30"/>
      <c r="RZP3" s="30"/>
      <c r="RZQ3" s="31"/>
      <c r="RZR3" s="30"/>
      <c r="RZS3" s="30"/>
      <c r="RZT3" s="30"/>
      <c r="RZU3" s="31"/>
      <c r="RZV3" s="30"/>
      <c r="RZW3" s="30"/>
      <c r="RZX3" s="30"/>
      <c r="RZY3" s="31"/>
      <c r="RZZ3" s="30"/>
      <c r="SAA3" s="30"/>
      <c r="SAB3" s="30"/>
      <c r="SAC3" s="31"/>
      <c r="SAD3" s="30"/>
      <c r="SAE3" s="30"/>
      <c r="SAF3" s="30"/>
      <c r="SAG3" s="31"/>
      <c r="SAH3" s="30"/>
      <c r="SAI3" s="30"/>
      <c r="SAJ3" s="30"/>
      <c r="SAK3" s="31"/>
      <c r="SAL3" s="30"/>
      <c r="SAM3" s="30"/>
      <c r="SAN3" s="30"/>
      <c r="SAO3" s="31"/>
      <c r="SAP3" s="30"/>
      <c r="SAQ3" s="30"/>
      <c r="SAR3" s="30"/>
      <c r="SAS3" s="31"/>
      <c r="SAT3" s="30"/>
      <c r="SAU3" s="30"/>
      <c r="SAV3" s="30"/>
      <c r="SAW3" s="31"/>
      <c r="SAX3" s="30"/>
      <c r="SAY3" s="30"/>
      <c r="SAZ3" s="30"/>
      <c r="SBA3" s="31"/>
      <c r="SBB3" s="30"/>
      <c r="SBC3" s="30"/>
      <c r="SBD3" s="30"/>
      <c r="SBE3" s="31"/>
      <c r="SBF3" s="30"/>
      <c r="SBG3" s="30"/>
      <c r="SBH3" s="30"/>
      <c r="SBI3" s="31"/>
      <c r="SBJ3" s="30"/>
      <c r="SBK3" s="30"/>
      <c r="SBL3" s="30"/>
      <c r="SBM3" s="31"/>
      <c r="SBN3" s="30"/>
      <c r="SBO3" s="30"/>
      <c r="SBP3" s="30"/>
      <c r="SBQ3" s="31"/>
      <c r="SBR3" s="30"/>
      <c r="SBS3" s="30"/>
      <c r="SBT3" s="30"/>
      <c r="SBU3" s="31"/>
      <c r="SBV3" s="30"/>
      <c r="SBW3" s="30"/>
      <c r="SBX3" s="30"/>
      <c r="SBY3" s="31"/>
      <c r="SBZ3" s="30"/>
      <c r="SCA3" s="30"/>
      <c r="SCB3" s="30"/>
      <c r="SCC3" s="31"/>
      <c r="SCD3" s="30"/>
      <c r="SCE3" s="30"/>
      <c r="SCF3" s="30"/>
      <c r="SCG3" s="31"/>
      <c r="SCH3" s="30"/>
      <c r="SCI3" s="30"/>
      <c r="SCJ3" s="30"/>
      <c r="SCK3" s="31"/>
      <c r="SCL3" s="30"/>
      <c r="SCM3" s="30"/>
      <c r="SCN3" s="30"/>
      <c r="SCO3" s="31"/>
      <c r="SCP3" s="30"/>
      <c r="SCQ3" s="30"/>
      <c r="SCR3" s="30"/>
      <c r="SCS3" s="31"/>
      <c r="SCT3" s="30"/>
      <c r="SCU3" s="30"/>
      <c r="SCV3" s="30"/>
      <c r="SCW3" s="31"/>
      <c r="SCX3" s="30"/>
      <c r="SCY3" s="30"/>
      <c r="SCZ3" s="30"/>
      <c r="SDA3" s="31"/>
      <c r="SDB3" s="30"/>
      <c r="SDC3" s="30"/>
      <c r="SDD3" s="30"/>
      <c r="SDE3" s="31"/>
      <c r="SDF3" s="30"/>
      <c r="SDG3" s="30"/>
      <c r="SDH3" s="30"/>
      <c r="SDI3" s="31"/>
      <c r="SDJ3" s="30"/>
      <c r="SDK3" s="30"/>
      <c r="SDL3" s="30"/>
      <c r="SDM3" s="31"/>
      <c r="SDN3" s="30"/>
      <c r="SDO3" s="30"/>
      <c r="SDP3" s="30"/>
      <c r="SDQ3" s="31"/>
      <c r="SDR3" s="30"/>
      <c r="SDS3" s="30"/>
      <c r="SDT3" s="30"/>
      <c r="SDU3" s="31"/>
      <c r="SDV3" s="30"/>
      <c r="SDW3" s="30"/>
      <c r="SDX3" s="30"/>
      <c r="SDY3" s="31"/>
      <c r="SDZ3" s="30"/>
      <c r="SEA3" s="30"/>
      <c r="SEB3" s="30"/>
      <c r="SEC3" s="31"/>
      <c r="SED3" s="30"/>
      <c r="SEE3" s="30"/>
      <c r="SEF3" s="30"/>
      <c r="SEG3" s="31"/>
      <c r="SEH3" s="30"/>
      <c r="SEI3" s="30"/>
      <c r="SEJ3" s="30"/>
      <c r="SEK3" s="31"/>
      <c r="SEL3" s="30"/>
      <c r="SEM3" s="30"/>
      <c r="SEN3" s="30"/>
      <c r="SEO3" s="31"/>
      <c r="SEP3" s="30"/>
      <c r="SEQ3" s="30"/>
      <c r="SER3" s="30"/>
      <c r="SES3" s="31"/>
      <c r="SET3" s="30"/>
      <c r="SEU3" s="30"/>
      <c r="SEV3" s="30"/>
      <c r="SEW3" s="31"/>
      <c r="SEX3" s="30"/>
      <c r="SEY3" s="30"/>
      <c r="SEZ3" s="30"/>
      <c r="SFA3" s="31"/>
      <c r="SFB3" s="30"/>
      <c r="SFC3" s="30"/>
      <c r="SFD3" s="30"/>
      <c r="SFE3" s="31"/>
      <c r="SFF3" s="30"/>
      <c r="SFG3" s="30"/>
      <c r="SFH3" s="30"/>
      <c r="SFI3" s="31"/>
      <c r="SFJ3" s="30"/>
      <c r="SFK3" s="30"/>
      <c r="SFL3" s="30"/>
      <c r="SFM3" s="31"/>
      <c r="SFN3" s="30"/>
      <c r="SFO3" s="30"/>
      <c r="SFP3" s="30"/>
      <c r="SFQ3" s="31"/>
      <c r="SFR3" s="30"/>
      <c r="SFS3" s="30"/>
      <c r="SFT3" s="30"/>
      <c r="SFU3" s="31"/>
      <c r="SFV3" s="30"/>
      <c r="SFW3" s="30"/>
      <c r="SFX3" s="30"/>
      <c r="SFY3" s="31"/>
      <c r="SFZ3" s="30"/>
      <c r="SGA3" s="30"/>
      <c r="SGB3" s="30"/>
      <c r="SGC3" s="31"/>
      <c r="SGD3" s="30"/>
      <c r="SGE3" s="30"/>
      <c r="SGF3" s="30"/>
      <c r="SGG3" s="31"/>
      <c r="SGH3" s="30"/>
      <c r="SGI3" s="30"/>
      <c r="SGJ3" s="30"/>
      <c r="SGK3" s="31"/>
      <c r="SGL3" s="30"/>
      <c r="SGM3" s="30"/>
      <c r="SGN3" s="30"/>
      <c r="SGO3" s="31"/>
      <c r="SGP3" s="30"/>
      <c r="SGQ3" s="30"/>
      <c r="SGR3" s="30"/>
      <c r="SGS3" s="31"/>
      <c r="SGT3" s="30"/>
      <c r="SGU3" s="30"/>
      <c r="SGV3" s="30"/>
      <c r="SGW3" s="31"/>
      <c r="SGX3" s="30"/>
      <c r="SGY3" s="30"/>
      <c r="SGZ3" s="30"/>
      <c r="SHA3" s="31"/>
      <c r="SHB3" s="30"/>
      <c r="SHC3" s="30"/>
      <c r="SHD3" s="30"/>
      <c r="SHE3" s="31"/>
      <c r="SHF3" s="30"/>
      <c r="SHG3" s="30"/>
      <c r="SHH3" s="30"/>
      <c r="SHI3" s="31"/>
      <c r="SHJ3" s="30"/>
      <c r="SHK3" s="30"/>
      <c r="SHL3" s="30"/>
      <c r="SHM3" s="31"/>
      <c r="SHN3" s="30"/>
      <c r="SHO3" s="30"/>
      <c r="SHP3" s="30"/>
      <c r="SHQ3" s="31"/>
      <c r="SHR3" s="30"/>
      <c r="SHS3" s="30"/>
      <c r="SHT3" s="30"/>
      <c r="SHU3" s="31"/>
      <c r="SHV3" s="30"/>
      <c r="SHW3" s="30"/>
      <c r="SHX3" s="30"/>
      <c r="SHY3" s="31"/>
      <c r="SHZ3" s="30"/>
      <c r="SIA3" s="30"/>
      <c r="SIB3" s="30"/>
      <c r="SIC3" s="31"/>
      <c r="SID3" s="30"/>
      <c r="SIE3" s="30"/>
      <c r="SIF3" s="30"/>
      <c r="SIG3" s="31"/>
      <c r="SIH3" s="30"/>
      <c r="SII3" s="30"/>
      <c r="SIJ3" s="30"/>
      <c r="SIK3" s="31"/>
      <c r="SIL3" s="30"/>
      <c r="SIM3" s="30"/>
      <c r="SIN3" s="30"/>
      <c r="SIO3" s="31"/>
      <c r="SIP3" s="30"/>
      <c r="SIQ3" s="30"/>
      <c r="SIR3" s="30"/>
      <c r="SIS3" s="31"/>
      <c r="SIT3" s="30"/>
      <c r="SIU3" s="30"/>
      <c r="SIV3" s="30"/>
      <c r="SIW3" s="31"/>
      <c r="SIX3" s="30"/>
      <c r="SIY3" s="30"/>
      <c r="SIZ3" s="30"/>
      <c r="SJA3" s="31"/>
      <c r="SJB3" s="30"/>
      <c r="SJC3" s="30"/>
      <c r="SJD3" s="30"/>
      <c r="SJE3" s="31"/>
      <c r="SJF3" s="30"/>
      <c r="SJG3" s="30"/>
      <c r="SJH3" s="30"/>
      <c r="SJI3" s="31"/>
      <c r="SJJ3" s="30"/>
      <c r="SJK3" s="30"/>
      <c r="SJL3" s="30"/>
      <c r="SJM3" s="31"/>
      <c r="SJN3" s="30"/>
      <c r="SJO3" s="30"/>
      <c r="SJP3" s="30"/>
      <c r="SJQ3" s="31"/>
      <c r="SJR3" s="30"/>
      <c r="SJS3" s="30"/>
      <c r="SJT3" s="30"/>
      <c r="SJU3" s="31"/>
      <c r="SJV3" s="30"/>
      <c r="SJW3" s="30"/>
      <c r="SJX3" s="30"/>
      <c r="SJY3" s="31"/>
      <c r="SJZ3" s="30"/>
      <c r="SKA3" s="30"/>
      <c r="SKB3" s="30"/>
      <c r="SKC3" s="31"/>
      <c r="SKD3" s="30"/>
      <c r="SKE3" s="30"/>
      <c r="SKF3" s="30"/>
      <c r="SKG3" s="31"/>
      <c r="SKH3" s="30"/>
      <c r="SKI3" s="30"/>
      <c r="SKJ3" s="30"/>
      <c r="SKK3" s="31"/>
      <c r="SKL3" s="30"/>
      <c r="SKM3" s="30"/>
      <c r="SKN3" s="30"/>
      <c r="SKO3" s="31"/>
      <c r="SKP3" s="30"/>
      <c r="SKQ3" s="30"/>
      <c r="SKR3" s="30"/>
      <c r="SKS3" s="31"/>
      <c r="SKT3" s="30"/>
      <c r="SKU3" s="30"/>
      <c r="SKV3" s="30"/>
      <c r="SKW3" s="31"/>
      <c r="SKX3" s="30"/>
      <c r="SKY3" s="30"/>
      <c r="SKZ3" s="30"/>
      <c r="SLA3" s="31"/>
      <c r="SLB3" s="30"/>
      <c r="SLC3" s="30"/>
      <c r="SLD3" s="30"/>
      <c r="SLE3" s="31"/>
      <c r="SLF3" s="30"/>
      <c r="SLG3" s="30"/>
      <c r="SLH3" s="30"/>
      <c r="SLI3" s="31"/>
      <c r="SLJ3" s="30"/>
      <c r="SLK3" s="30"/>
      <c r="SLL3" s="30"/>
      <c r="SLM3" s="31"/>
      <c r="SLN3" s="30"/>
      <c r="SLO3" s="30"/>
      <c r="SLP3" s="30"/>
      <c r="SLQ3" s="31"/>
      <c r="SLR3" s="30"/>
      <c r="SLS3" s="30"/>
      <c r="SLT3" s="30"/>
      <c r="SLU3" s="31"/>
      <c r="SLV3" s="30"/>
      <c r="SLW3" s="30"/>
      <c r="SLX3" s="30"/>
      <c r="SLY3" s="31"/>
      <c r="SLZ3" s="30"/>
      <c r="SMA3" s="30"/>
      <c r="SMB3" s="30"/>
      <c r="SMC3" s="31"/>
      <c r="SMD3" s="30"/>
      <c r="SME3" s="30"/>
      <c r="SMF3" s="30"/>
      <c r="SMG3" s="31"/>
      <c r="SMH3" s="30"/>
      <c r="SMI3" s="30"/>
      <c r="SMJ3" s="30"/>
      <c r="SMK3" s="31"/>
      <c r="SML3" s="30"/>
      <c r="SMM3" s="30"/>
      <c r="SMN3" s="30"/>
      <c r="SMO3" s="31"/>
      <c r="SMP3" s="30"/>
      <c r="SMQ3" s="30"/>
      <c r="SMR3" s="30"/>
      <c r="SMS3" s="31"/>
      <c r="SMT3" s="30"/>
      <c r="SMU3" s="30"/>
      <c r="SMV3" s="30"/>
      <c r="SMW3" s="31"/>
      <c r="SMX3" s="30"/>
      <c r="SMY3" s="30"/>
      <c r="SMZ3" s="30"/>
      <c r="SNA3" s="31"/>
      <c r="SNB3" s="30"/>
      <c r="SNC3" s="30"/>
      <c r="SND3" s="30"/>
      <c r="SNE3" s="31"/>
      <c r="SNF3" s="30"/>
      <c r="SNG3" s="30"/>
      <c r="SNH3" s="30"/>
      <c r="SNI3" s="31"/>
      <c r="SNJ3" s="30"/>
      <c r="SNK3" s="30"/>
      <c r="SNL3" s="30"/>
      <c r="SNM3" s="31"/>
      <c r="SNN3" s="30"/>
      <c r="SNO3" s="30"/>
      <c r="SNP3" s="30"/>
      <c r="SNQ3" s="31"/>
      <c r="SNR3" s="30"/>
      <c r="SNS3" s="30"/>
      <c r="SNT3" s="30"/>
      <c r="SNU3" s="31"/>
      <c r="SNV3" s="30"/>
      <c r="SNW3" s="30"/>
      <c r="SNX3" s="30"/>
      <c r="SNY3" s="31"/>
      <c r="SNZ3" s="30"/>
      <c r="SOA3" s="30"/>
      <c r="SOB3" s="30"/>
      <c r="SOC3" s="31"/>
      <c r="SOD3" s="30"/>
      <c r="SOE3" s="30"/>
      <c r="SOF3" s="30"/>
      <c r="SOG3" s="31"/>
      <c r="SOH3" s="30"/>
      <c r="SOI3" s="30"/>
      <c r="SOJ3" s="30"/>
      <c r="SOK3" s="31"/>
      <c r="SOL3" s="30"/>
      <c r="SOM3" s="30"/>
      <c r="SON3" s="30"/>
      <c r="SOO3" s="31"/>
      <c r="SOP3" s="30"/>
      <c r="SOQ3" s="30"/>
      <c r="SOR3" s="30"/>
      <c r="SOS3" s="31"/>
      <c r="SOT3" s="30"/>
      <c r="SOU3" s="30"/>
      <c r="SOV3" s="30"/>
      <c r="SOW3" s="31"/>
      <c r="SOX3" s="30"/>
      <c r="SOY3" s="30"/>
      <c r="SOZ3" s="30"/>
      <c r="SPA3" s="31"/>
      <c r="SPB3" s="30"/>
      <c r="SPC3" s="30"/>
      <c r="SPD3" s="30"/>
      <c r="SPE3" s="31"/>
      <c r="SPF3" s="30"/>
      <c r="SPG3" s="30"/>
      <c r="SPH3" s="30"/>
      <c r="SPI3" s="31"/>
      <c r="SPJ3" s="30"/>
      <c r="SPK3" s="30"/>
      <c r="SPL3" s="30"/>
      <c r="SPM3" s="31"/>
      <c r="SPN3" s="30"/>
      <c r="SPO3" s="30"/>
      <c r="SPP3" s="30"/>
      <c r="SPQ3" s="31"/>
      <c r="SPR3" s="30"/>
      <c r="SPS3" s="30"/>
      <c r="SPT3" s="30"/>
      <c r="SPU3" s="31"/>
      <c r="SPV3" s="30"/>
      <c r="SPW3" s="30"/>
      <c r="SPX3" s="30"/>
      <c r="SPY3" s="31"/>
      <c r="SPZ3" s="30"/>
      <c r="SQA3" s="30"/>
      <c r="SQB3" s="30"/>
      <c r="SQC3" s="31"/>
      <c r="SQD3" s="30"/>
      <c r="SQE3" s="30"/>
      <c r="SQF3" s="30"/>
      <c r="SQG3" s="31"/>
      <c r="SQH3" s="30"/>
      <c r="SQI3" s="30"/>
      <c r="SQJ3" s="30"/>
      <c r="SQK3" s="31"/>
      <c r="SQL3" s="30"/>
      <c r="SQM3" s="30"/>
      <c r="SQN3" s="30"/>
      <c r="SQO3" s="31"/>
      <c r="SQP3" s="30"/>
      <c r="SQQ3" s="30"/>
      <c r="SQR3" s="30"/>
      <c r="SQS3" s="31"/>
      <c r="SQT3" s="30"/>
      <c r="SQU3" s="30"/>
      <c r="SQV3" s="30"/>
      <c r="SQW3" s="31"/>
      <c r="SQX3" s="30"/>
      <c r="SQY3" s="30"/>
      <c r="SQZ3" s="30"/>
      <c r="SRA3" s="31"/>
      <c r="SRB3" s="30"/>
      <c r="SRC3" s="30"/>
      <c r="SRD3" s="30"/>
      <c r="SRE3" s="31"/>
      <c r="SRF3" s="30"/>
      <c r="SRG3" s="30"/>
      <c r="SRH3" s="30"/>
      <c r="SRI3" s="31"/>
      <c r="SRJ3" s="30"/>
      <c r="SRK3" s="30"/>
      <c r="SRL3" s="30"/>
      <c r="SRM3" s="31"/>
      <c r="SRN3" s="30"/>
      <c r="SRO3" s="30"/>
      <c r="SRP3" s="30"/>
      <c r="SRQ3" s="31"/>
      <c r="SRR3" s="30"/>
      <c r="SRS3" s="30"/>
      <c r="SRT3" s="30"/>
      <c r="SRU3" s="31"/>
      <c r="SRV3" s="30"/>
      <c r="SRW3" s="30"/>
      <c r="SRX3" s="30"/>
      <c r="SRY3" s="31"/>
      <c r="SRZ3" s="30"/>
      <c r="SSA3" s="30"/>
      <c r="SSB3" s="30"/>
      <c r="SSC3" s="31"/>
      <c r="SSD3" s="30"/>
      <c r="SSE3" s="30"/>
      <c r="SSF3" s="30"/>
      <c r="SSG3" s="31"/>
      <c r="SSH3" s="30"/>
      <c r="SSI3" s="30"/>
      <c r="SSJ3" s="30"/>
      <c r="SSK3" s="31"/>
      <c r="SSL3" s="30"/>
      <c r="SSM3" s="30"/>
      <c r="SSN3" s="30"/>
      <c r="SSO3" s="31"/>
      <c r="SSP3" s="30"/>
      <c r="SSQ3" s="30"/>
      <c r="SSR3" s="30"/>
      <c r="SSS3" s="31"/>
      <c r="SST3" s="30"/>
      <c r="SSU3" s="30"/>
      <c r="SSV3" s="30"/>
      <c r="SSW3" s="31"/>
      <c r="SSX3" s="30"/>
      <c r="SSY3" s="30"/>
      <c r="SSZ3" s="30"/>
      <c r="STA3" s="31"/>
      <c r="STB3" s="30"/>
      <c r="STC3" s="30"/>
      <c r="STD3" s="30"/>
      <c r="STE3" s="31"/>
      <c r="STF3" s="30"/>
      <c r="STG3" s="30"/>
      <c r="STH3" s="30"/>
      <c r="STI3" s="31"/>
      <c r="STJ3" s="30"/>
      <c r="STK3" s="30"/>
      <c r="STL3" s="30"/>
      <c r="STM3" s="31"/>
      <c r="STN3" s="30"/>
      <c r="STO3" s="30"/>
      <c r="STP3" s="30"/>
      <c r="STQ3" s="31"/>
      <c r="STR3" s="30"/>
      <c r="STS3" s="30"/>
      <c r="STT3" s="30"/>
      <c r="STU3" s="31"/>
      <c r="STV3" s="30"/>
      <c r="STW3" s="30"/>
      <c r="STX3" s="30"/>
      <c r="STY3" s="31"/>
      <c r="STZ3" s="30"/>
      <c r="SUA3" s="30"/>
      <c r="SUB3" s="30"/>
      <c r="SUC3" s="31"/>
      <c r="SUD3" s="30"/>
      <c r="SUE3" s="30"/>
      <c r="SUF3" s="30"/>
      <c r="SUG3" s="31"/>
      <c r="SUH3" s="30"/>
      <c r="SUI3" s="30"/>
      <c r="SUJ3" s="30"/>
      <c r="SUK3" s="31"/>
      <c r="SUL3" s="30"/>
      <c r="SUM3" s="30"/>
      <c r="SUN3" s="30"/>
      <c r="SUO3" s="31"/>
      <c r="SUP3" s="30"/>
      <c r="SUQ3" s="30"/>
      <c r="SUR3" s="30"/>
      <c r="SUS3" s="31"/>
      <c r="SUT3" s="30"/>
      <c r="SUU3" s="30"/>
      <c r="SUV3" s="30"/>
      <c r="SUW3" s="31"/>
      <c r="SUX3" s="30"/>
      <c r="SUY3" s="30"/>
      <c r="SUZ3" s="30"/>
      <c r="SVA3" s="31"/>
      <c r="SVB3" s="30"/>
      <c r="SVC3" s="30"/>
      <c r="SVD3" s="30"/>
      <c r="SVE3" s="31"/>
      <c r="SVF3" s="30"/>
      <c r="SVG3" s="30"/>
      <c r="SVH3" s="30"/>
      <c r="SVI3" s="31"/>
      <c r="SVJ3" s="30"/>
      <c r="SVK3" s="30"/>
      <c r="SVL3" s="30"/>
      <c r="SVM3" s="31"/>
      <c r="SVN3" s="30"/>
      <c r="SVO3" s="30"/>
      <c r="SVP3" s="30"/>
      <c r="SVQ3" s="31"/>
      <c r="SVR3" s="30"/>
      <c r="SVS3" s="30"/>
      <c r="SVT3" s="30"/>
      <c r="SVU3" s="31"/>
      <c r="SVV3" s="30"/>
      <c r="SVW3" s="30"/>
      <c r="SVX3" s="30"/>
      <c r="SVY3" s="31"/>
      <c r="SVZ3" s="30"/>
      <c r="SWA3" s="30"/>
      <c r="SWB3" s="30"/>
      <c r="SWC3" s="31"/>
      <c r="SWD3" s="30"/>
      <c r="SWE3" s="30"/>
      <c r="SWF3" s="30"/>
      <c r="SWG3" s="31"/>
      <c r="SWH3" s="30"/>
      <c r="SWI3" s="30"/>
      <c r="SWJ3" s="30"/>
      <c r="SWK3" s="31"/>
      <c r="SWL3" s="30"/>
      <c r="SWM3" s="30"/>
      <c r="SWN3" s="30"/>
      <c r="SWO3" s="31"/>
      <c r="SWP3" s="30"/>
      <c r="SWQ3" s="30"/>
      <c r="SWR3" s="30"/>
      <c r="SWS3" s="31"/>
      <c r="SWT3" s="30"/>
      <c r="SWU3" s="30"/>
      <c r="SWV3" s="30"/>
      <c r="SWW3" s="31"/>
      <c r="SWX3" s="30"/>
      <c r="SWY3" s="30"/>
      <c r="SWZ3" s="30"/>
      <c r="SXA3" s="31"/>
      <c r="SXB3" s="30"/>
      <c r="SXC3" s="30"/>
      <c r="SXD3" s="30"/>
      <c r="SXE3" s="31"/>
      <c r="SXF3" s="30"/>
      <c r="SXG3" s="30"/>
      <c r="SXH3" s="30"/>
      <c r="SXI3" s="31"/>
      <c r="SXJ3" s="30"/>
      <c r="SXK3" s="30"/>
      <c r="SXL3" s="30"/>
      <c r="SXM3" s="31"/>
      <c r="SXN3" s="30"/>
      <c r="SXO3" s="30"/>
      <c r="SXP3" s="30"/>
      <c r="SXQ3" s="31"/>
      <c r="SXR3" s="30"/>
      <c r="SXS3" s="30"/>
      <c r="SXT3" s="30"/>
      <c r="SXU3" s="31"/>
      <c r="SXV3" s="30"/>
      <c r="SXW3" s="30"/>
      <c r="SXX3" s="30"/>
      <c r="SXY3" s="31"/>
      <c r="SXZ3" s="30"/>
      <c r="SYA3" s="30"/>
      <c r="SYB3" s="30"/>
      <c r="SYC3" s="31"/>
      <c r="SYD3" s="30"/>
      <c r="SYE3" s="30"/>
      <c r="SYF3" s="30"/>
      <c r="SYG3" s="31"/>
      <c r="SYH3" s="30"/>
      <c r="SYI3" s="30"/>
      <c r="SYJ3" s="30"/>
      <c r="SYK3" s="31"/>
      <c r="SYL3" s="30"/>
      <c r="SYM3" s="30"/>
      <c r="SYN3" s="30"/>
      <c r="SYO3" s="31"/>
      <c r="SYP3" s="30"/>
      <c r="SYQ3" s="30"/>
      <c r="SYR3" s="30"/>
      <c r="SYS3" s="31"/>
      <c r="SYT3" s="30"/>
      <c r="SYU3" s="30"/>
      <c r="SYV3" s="30"/>
      <c r="SYW3" s="31"/>
      <c r="SYX3" s="30"/>
      <c r="SYY3" s="30"/>
      <c r="SYZ3" s="30"/>
      <c r="SZA3" s="31"/>
      <c r="SZB3" s="30"/>
      <c r="SZC3" s="30"/>
      <c r="SZD3" s="30"/>
      <c r="SZE3" s="31"/>
      <c r="SZF3" s="30"/>
      <c r="SZG3" s="30"/>
      <c r="SZH3" s="30"/>
      <c r="SZI3" s="31"/>
      <c r="SZJ3" s="30"/>
      <c r="SZK3" s="30"/>
      <c r="SZL3" s="30"/>
      <c r="SZM3" s="31"/>
      <c r="SZN3" s="30"/>
      <c r="SZO3" s="30"/>
      <c r="SZP3" s="30"/>
      <c r="SZQ3" s="31"/>
      <c r="SZR3" s="30"/>
      <c r="SZS3" s="30"/>
      <c r="SZT3" s="30"/>
      <c r="SZU3" s="31"/>
      <c r="SZV3" s="30"/>
      <c r="SZW3" s="30"/>
      <c r="SZX3" s="30"/>
      <c r="SZY3" s="31"/>
      <c r="SZZ3" s="30"/>
      <c r="TAA3" s="30"/>
      <c r="TAB3" s="30"/>
      <c r="TAC3" s="31"/>
      <c r="TAD3" s="30"/>
      <c r="TAE3" s="30"/>
      <c r="TAF3" s="30"/>
      <c r="TAG3" s="31"/>
      <c r="TAH3" s="30"/>
      <c r="TAI3" s="30"/>
      <c r="TAJ3" s="30"/>
      <c r="TAK3" s="31"/>
      <c r="TAL3" s="30"/>
      <c r="TAM3" s="30"/>
      <c r="TAN3" s="30"/>
      <c r="TAO3" s="31"/>
      <c r="TAP3" s="30"/>
      <c r="TAQ3" s="30"/>
      <c r="TAR3" s="30"/>
      <c r="TAS3" s="31"/>
      <c r="TAT3" s="30"/>
      <c r="TAU3" s="30"/>
      <c r="TAV3" s="30"/>
      <c r="TAW3" s="31"/>
      <c r="TAX3" s="30"/>
      <c r="TAY3" s="30"/>
      <c r="TAZ3" s="30"/>
      <c r="TBA3" s="31"/>
      <c r="TBB3" s="30"/>
      <c r="TBC3" s="30"/>
      <c r="TBD3" s="30"/>
      <c r="TBE3" s="31"/>
      <c r="TBF3" s="30"/>
      <c r="TBG3" s="30"/>
      <c r="TBH3" s="30"/>
      <c r="TBI3" s="31"/>
      <c r="TBJ3" s="30"/>
      <c r="TBK3" s="30"/>
      <c r="TBL3" s="30"/>
      <c r="TBM3" s="31"/>
      <c r="TBN3" s="30"/>
      <c r="TBO3" s="30"/>
      <c r="TBP3" s="30"/>
      <c r="TBQ3" s="31"/>
      <c r="TBR3" s="30"/>
      <c r="TBS3" s="30"/>
      <c r="TBT3" s="30"/>
      <c r="TBU3" s="31"/>
      <c r="TBV3" s="30"/>
      <c r="TBW3" s="30"/>
      <c r="TBX3" s="30"/>
      <c r="TBY3" s="31"/>
      <c r="TBZ3" s="30"/>
      <c r="TCA3" s="30"/>
      <c r="TCB3" s="30"/>
      <c r="TCC3" s="31"/>
      <c r="TCD3" s="30"/>
      <c r="TCE3" s="30"/>
      <c r="TCF3" s="30"/>
      <c r="TCG3" s="31"/>
      <c r="TCH3" s="30"/>
      <c r="TCI3" s="30"/>
      <c r="TCJ3" s="30"/>
      <c r="TCK3" s="31"/>
      <c r="TCL3" s="30"/>
      <c r="TCM3" s="30"/>
      <c r="TCN3" s="30"/>
      <c r="TCO3" s="31"/>
      <c r="TCP3" s="30"/>
      <c r="TCQ3" s="30"/>
      <c r="TCR3" s="30"/>
      <c r="TCS3" s="31"/>
      <c r="TCT3" s="30"/>
      <c r="TCU3" s="30"/>
      <c r="TCV3" s="30"/>
      <c r="TCW3" s="31"/>
      <c r="TCX3" s="30"/>
      <c r="TCY3" s="30"/>
      <c r="TCZ3" s="30"/>
      <c r="TDA3" s="31"/>
      <c r="TDB3" s="30"/>
      <c r="TDC3" s="30"/>
      <c r="TDD3" s="30"/>
      <c r="TDE3" s="31"/>
      <c r="TDF3" s="30"/>
      <c r="TDG3" s="30"/>
      <c r="TDH3" s="30"/>
      <c r="TDI3" s="31"/>
      <c r="TDJ3" s="30"/>
      <c r="TDK3" s="30"/>
      <c r="TDL3" s="30"/>
      <c r="TDM3" s="31"/>
      <c r="TDN3" s="30"/>
      <c r="TDO3" s="30"/>
      <c r="TDP3" s="30"/>
      <c r="TDQ3" s="31"/>
      <c r="TDR3" s="30"/>
      <c r="TDS3" s="30"/>
      <c r="TDT3" s="30"/>
      <c r="TDU3" s="31"/>
      <c r="TDV3" s="30"/>
      <c r="TDW3" s="30"/>
      <c r="TDX3" s="30"/>
      <c r="TDY3" s="31"/>
      <c r="TDZ3" s="30"/>
      <c r="TEA3" s="30"/>
      <c r="TEB3" s="30"/>
      <c r="TEC3" s="31"/>
      <c r="TED3" s="30"/>
      <c r="TEE3" s="30"/>
      <c r="TEF3" s="30"/>
      <c r="TEG3" s="31"/>
      <c r="TEH3" s="30"/>
      <c r="TEI3" s="30"/>
      <c r="TEJ3" s="30"/>
      <c r="TEK3" s="31"/>
      <c r="TEL3" s="30"/>
      <c r="TEM3" s="30"/>
      <c r="TEN3" s="30"/>
      <c r="TEO3" s="31"/>
      <c r="TEP3" s="30"/>
      <c r="TEQ3" s="30"/>
      <c r="TER3" s="30"/>
      <c r="TES3" s="31"/>
      <c r="TET3" s="30"/>
      <c r="TEU3" s="30"/>
      <c r="TEV3" s="30"/>
      <c r="TEW3" s="31"/>
      <c r="TEX3" s="30"/>
      <c r="TEY3" s="30"/>
      <c r="TEZ3" s="30"/>
      <c r="TFA3" s="31"/>
      <c r="TFB3" s="30"/>
      <c r="TFC3" s="30"/>
      <c r="TFD3" s="30"/>
      <c r="TFE3" s="31"/>
      <c r="TFF3" s="30"/>
      <c r="TFG3" s="30"/>
      <c r="TFH3" s="30"/>
      <c r="TFI3" s="31"/>
      <c r="TFJ3" s="30"/>
      <c r="TFK3" s="30"/>
      <c r="TFL3" s="30"/>
      <c r="TFM3" s="31"/>
      <c r="TFN3" s="30"/>
      <c r="TFO3" s="30"/>
      <c r="TFP3" s="30"/>
      <c r="TFQ3" s="31"/>
      <c r="TFR3" s="30"/>
      <c r="TFS3" s="30"/>
      <c r="TFT3" s="30"/>
      <c r="TFU3" s="31"/>
      <c r="TFV3" s="30"/>
      <c r="TFW3" s="30"/>
      <c r="TFX3" s="30"/>
      <c r="TFY3" s="31"/>
      <c r="TFZ3" s="30"/>
      <c r="TGA3" s="30"/>
      <c r="TGB3" s="30"/>
      <c r="TGC3" s="31"/>
      <c r="TGD3" s="30"/>
      <c r="TGE3" s="30"/>
      <c r="TGF3" s="30"/>
      <c r="TGG3" s="31"/>
      <c r="TGH3" s="30"/>
      <c r="TGI3" s="30"/>
      <c r="TGJ3" s="30"/>
      <c r="TGK3" s="31"/>
      <c r="TGL3" s="30"/>
      <c r="TGM3" s="30"/>
      <c r="TGN3" s="30"/>
      <c r="TGO3" s="31"/>
      <c r="TGP3" s="30"/>
      <c r="TGQ3" s="30"/>
      <c r="TGR3" s="30"/>
      <c r="TGS3" s="31"/>
      <c r="TGT3" s="30"/>
      <c r="TGU3" s="30"/>
      <c r="TGV3" s="30"/>
      <c r="TGW3" s="31"/>
      <c r="TGX3" s="30"/>
      <c r="TGY3" s="30"/>
      <c r="TGZ3" s="30"/>
      <c r="THA3" s="31"/>
      <c r="THB3" s="30"/>
      <c r="THC3" s="30"/>
      <c r="THD3" s="30"/>
      <c r="THE3" s="31"/>
      <c r="THF3" s="30"/>
      <c r="THG3" s="30"/>
      <c r="THH3" s="30"/>
      <c r="THI3" s="31"/>
      <c r="THJ3" s="30"/>
      <c r="THK3" s="30"/>
      <c r="THL3" s="30"/>
      <c r="THM3" s="31"/>
      <c r="THN3" s="30"/>
      <c r="THO3" s="30"/>
      <c r="THP3" s="30"/>
      <c r="THQ3" s="31"/>
      <c r="THR3" s="30"/>
      <c r="THS3" s="30"/>
      <c r="THT3" s="30"/>
      <c r="THU3" s="31"/>
      <c r="THV3" s="30"/>
      <c r="THW3" s="30"/>
      <c r="THX3" s="30"/>
      <c r="THY3" s="31"/>
      <c r="THZ3" s="30"/>
      <c r="TIA3" s="30"/>
      <c r="TIB3" s="30"/>
      <c r="TIC3" s="31"/>
      <c r="TID3" s="30"/>
      <c r="TIE3" s="30"/>
      <c r="TIF3" s="30"/>
      <c r="TIG3" s="31"/>
      <c r="TIH3" s="30"/>
      <c r="TII3" s="30"/>
      <c r="TIJ3" s="30"/>
      <c r="TIK3" s="31"/>
      <c r="TIL3" s="30"/>
      <c r="TIM3" s="30"/>
      <c r="TIN3" s="30"/>
      <c r="TIO3" s="31"/>
      <c r="TIP3" s="30"/>
      <c r="TIQ3" s="30"/>
      <c r="TIR3" s="30"/>
      <c r="TIS3" s="31"/>
      <c r="TIT3" s="30"/>
      <c r="TIU3" s="30"/>
      <c r="TIV3" s="30"/>
      <c r="TIW3" s="31"/>
      <c r="TIX3" s="30"/>
      <c r="TIY3" s="30"/>
      <c r="TIZ3" s="30"/>
      <c r="TJA3" s="31"/>
      <c r="TJB3" s="30"/>
      <c r="TJC3" s="30"/>
      <c r="TJD3" s="30"/>
      <c r="TJE3" s="31"/>
      <c r="TJF3" s="30"/>
      <c r="TJG3" s="30"/>
      <c r="TJH3" s="30"/>
      <c r="TJI3" s="31"/>
      <c r="TJJ3" s="30"/>
      <c r="TJK3" s="30"/>
      <c r="TJL3" s="30"/>
      <c r="TJM3" s="31"/>
      <c r="TJN3" s="30"/>
      <c r="TJO3" s="30"/>
      <c r="TJP3" s="30"/>
      <c r="TJQ3" s="31"/>
      <c r="TJR3" s="30"/>
      <c r="TJS3" s="30"/>
      <c r="TJT3" s="30"/>
      <c r="TJU3" s="31"/>
      <c r="TJV3" s="30"/>
      <c r="TJW3" s="30"/>
      <c r="TJX3" s="30"/>
      <c r="TJY3" s="31"/>
      <c r="TJZ3" s="30"/>
      <c r="TKA3" s="30"/>
      <c r="TKB3" s="30"/>
      <c r="TKC3" s="31"/>
      <c r="TKD3" s="30"/>
      <c r="TKE3" s="30"/>
      <c r="TKF3" s="30"/>
      <c r="TKG3" s="31"/>
      <c r="TKH3" s="30"/>
      <c r="TKI3" s="30"/>
      <c r="TKJ3" s="30"/>
      <c r="TKK3" s="31"/>
      <c r="TKL3" s="30"/>
      <c r="TKM3" s="30"/>
      <c r="TKN3" s="30"/>
      <c r="TKO3" s="31"/>
      <c r="TKP3" s="30"/>
      <c r="TKQ3" s="30"/>
      <c r="TKR3" s="30"/>
      <c r="TKS3" s="31"/>
      <c r="TKT3" s="30"/>
      <c r="TKU3" s="30"/>
      <c r="TKV3" s="30"/>
      <c r="TKW3" s="31"/>
      <c r="TKX3" s="30"/>
      <c r="TKY3" s="30"/>
      <c r="TKZ3" s="30"/>
      <c r="TLA3" s="31"/>
      <c r="TLB3" s="30"/>
      <c r="TLC3" s="30"/>
      <c r="TLD3" s="30"/>
      <c r="TLE3" s="31"/>
      <c r="TLF3" s="30"/>
      <c r="TLG3" s="30"/>
      <c r="TLH3" s="30"/>
      <c r="TLI3" s="31"/>
      <c r="TLJ3" s="30"/>
      <c r="TLK3" s="30"/>
      <c r="TLL3" s="30"/>
      <c r="TLM3" s="31"/>
      <c r="TLN3" s="30"/>
      <c r="TLO3" s="30"/>
      <c r="TLP3" s="30"/>
      <c r="TLQ3" s="31"/>
      <c r="TLR3" s="30"/>
      <c r="TLS3" s="30"/>
      <c r="TLT3" s="30"/>
      <c r="TLU3" s="31"/>
      <c r="TLV3" s="30"/>
      <c r="TLW3" s="30"/>
      <c r="TLX3" s="30"/>
      <c r="TLY3" s="31"/>
      <c r="TLZ3" s="30"/>
      <c r="TMA3" s="30"/>
      <c r="TMB3" s="30"/>
      <c r="TMC3" s="31"/>
      <c r="TMD3" s="30"/>
      <c r="TME3" s="30"/>
      <c r="TMF3" s="30"/>
      <c r="TMG3" s="31"/>
      <c r="TMH3" s="30"/>
      <c r="TMI3" s="30"/>
      <c r="TMJ3" s="30"/>
      <c r="TMK3" s="31"/>
      <c r="TML3" s="30"/>
      <c r="TMM3" s="30"/>
      <c r="TMN3" s="30"/>
      <c r="TMO3" s="31"/>
      <c r="TMP3" s="30"/>
      <c r="TMQ3" s="30"/>
      <c r="TMR3" s="30"/>
      <c r="TMS3" s="31"/>
      <c r="TMT3" s="30"/>
      <c r="TMU3" s="30"/>
      <c r="TMV3" s="30"/>
      <c r="TMW3" s="31"/>
      <c r="TMX3" s="30"/>
      <c r="TMY3" s="30"/>
      <c r="TMZ3" s="30"/>
      <c r="TNA3" s="31"/>
      <c r="TNB3" s="30"/>
      <c r="TNC3" s="30"/>
      <c r="TND3" s="30"/>
      <c r="TNE3" s="31"/>
      <c r="TNF3" s="30"/>
      <c r="TNG3" s="30"/>
      <c r="TNH3" s="30"/>
      <c r="TNI3" s="31"/>
      <c r="TNJ3" s="30"/>
      <c r="TNK3" s="30"/>
      <c r="TNL3" s="30"/>
      <c r="TNM3" s="31"/>
      <c r="TNN3" s="30"/>
      <c r="TNO3" s="30"/>
      <c r="TNP3" s="30"/>
      <c r="TNQ3" s="31"/>
      <c r="TNR3" s="30"/>
      <c r="TNS3" s="30"/>
      <c r="TNT3" s="30"/>
      <c r="TNU3" s="31"/>
      <c r="TNV3" s="30"/>
      <c r="TNW3" s="30"/>
      <c r="TNX3" s="30"/>
      <c r="TNY3" s="31"/>
      <c r="TNZ3" s="30"/>
      <c r="TOA3" s="30"/>
      <c r="TOB3" s="30"/>
      <c r="TOC3" s="31"/>
      <c r="TOD3" s="30"/>
      <c r="TOE3" s="30"/>
      <c r="TOF3" s="30"/>
      <c r="TOG3" s="31"/>
      <c r="TOH3" s="30"/>
      <c r="TOI3" s="30"/>
      <c r="TOJ3" s="30"/>
      <c r="TOK3" s="31"/>
      <c r="TOL3" s="30"/>
      <c r="TOM3" s="30"/>
      <c r="TON3" s="30"/>
      <c r="TOO3" s="31"/>
      <c r="TOP3" s="30"/>
      <c r="TOQ3" s="30"/>
      <c r="TOR3" s="30"/>
      <c r="TOS3" s="31"/>
      <c r="TOT3" s="30"/>
      <c r="TOU3" s="30"/>
      <c r="TOV3" s="30"/>
      <c r="TOW3" s="31"/>
      <c r="TOX3" s="30"/>
      <c r="TOY3" s="30"/>
      <c r="TOZ3" s="30"/>
      <c r="TPA3" s="31"/>
      <c r="TPB3" s="30"/>
      <c r="TPC3" s="30"/>
      <c r="TPD3" s="30"/>
      <c r="TPE3" s="31"/>
      <c r="TPF3" s="30"/>
      <c r="TPG3" s="30"/>
      <c r="TPH3" s="30"/>
      <c r="TPI3" s="31"/>
      <c r="TPJ3" s="30"/>
      <c r="TPK3" s="30"/>
      <c r="TPL3" s="30"/>
      <c r="TPM3" s="31"/>
      <c r="TPN3" s="30"/>
      <c r="TPO3" s="30"/>
      <c r="TPP3" s="30"/>
      <c r="TPQ3" s="31"/>
      <c r="TPR3" s="30"/>
      <c r="TPS3" s="30"/>
      <c r="TPT3" s="30"/>
      <c r="TPU3" s="31"/>
      <c r="TPV3" s="30"/>
      <c r="TPW3" s="30"/>
      <c r="TPX3" s="30"/>
      <c r="TPY3" s="31"/>
      <c r="TPZ3" s="30"/>
      <c r="TQA3" s="30"/>
      <c r="TQB3" s="30"/>
      <c r="TQC3" s="31"/>
      <c r="TQD3" s="30"/>
      <c r="TQE3" s="30"/>
      <c r="TQF3" s="30"/>
      <c r="TQG3" s="31"/>
      <c r="TQH3" s="30"/>
      <c r="TQI3" s="30"/>
      <c r="TQJ3" s="30"/>
      <c r="TQK3" s="31"/>
      <c r="TQL3" s="30"/>
      <c r="TQM3" s="30"/>
      <c r="TQN3" s="30"/>
      <c r="TQO3" s="31"/>
      <c r="TQP3" s="30"/>
      <c r="TQQ3" s="30"/>
      <c r="TQR3" s="30"/>
      <c r="TQS3" s="31"/>
      <c r="TQT3" s="30"/>
      <c r="TQU3" s="30"/>
      <c r="TQV3" s="30"/>
      <c r="TQW3" s="31"/>
      <c r="TQX3" s="30"/>
      <c r="TQY3" s="30"/>
      <c r="TQZ3" s="30"/>
      <c r="TRA3" s="31"/>
      <c r="TRB3" s="30"/>
      <c r="TRC3" s="30"/>
      <c r="TRD3" s="30"/>
      <c r="TRE3" s="31"/>
      <c r="TRF3" s="30"/>
      <c r="TRG3" s="30"/>
      <c r="TRH3" s="30"/>
      <c r="TRI3" s="31"/>
      <c r="TRJ3" s="30"/>
      <c r="TRK3" s="30"/>
      <c r="TRL3" s="30"/>
      <c r="TRM3" s="31"/>
      <c r="TRN3" s="30"/>
      <c r="TRO3" s="30"/>
      <c r="TRP3" s="30"/>
      <c r="TRQ3" s="31"/>
      <c r="TRR3" s="30"/>
      <c r="TRS3" s="30"/>
      <c r="TRT3" s="30"/>
      <c r="TRU3" s="31"/>
      <c r="TRV3" s="30"/>
      <c r="TRW3" s="30"/>
      <c r="TRX3" s="30"/>
      <c r="TRY3" s="31"/>
      <c r="TRZ3" s="30"/>
      <c r="TSA3" s="30"/>
      <c r="TSB3" s="30"/>
      <c r="TSC3" s="31"/>
      <c r="TSD3" s="30"/>
      <c r="TSE3" s="30"/>
      <c r="TSF3" s="30"/>
      <c r="TSG3" s="31"/>
      <c r="TSH3" s="30"/>
      <c r="TSI3" s="30"/>
      <c r="TSJ3" s="30"/>
      <c r="TSK3" s="31"/>
      <c r="TSL3" s="30"/>
      <c r="TSM3" s="30"/>
      <c r="TSN3" s="30"/>
      <c r="TSO3" s="31"/>
      <c r="TSP3" s="30"/>
      <c r="TSQ3" s="30"/>
      <c r="TSR3" s="30"/>
      <c r="TSS3" s="31"/>
      <c r="TST3" s="30"/>
      <c r="TSU3" s="30"/>
      <c r="TSV3" s="30"/>
      <c r="TSW3" s="31"/>
      <c r="TSX3" s="30"/>
      <c r="TSY3" s="30"/>
      <c r="TSZ3" s="30"/>
      <c r="TTA3" s="31"/>
      <c r="TTB3" s="30"/>
      <c r="TTC3" s="30"/>
      <c r="TTD3" s="30"/>
      <c r="TTE3" s="31"/>
      <c r="TTF3" s="30"/>
      <c r="TTG3" s="30"/>
      <c r="TTH3" s="30"/>
      <c r="TTI3" s="31"/>
      <c r="TTJ3" s="30"/>
      <c r="TTK3" s="30"/>
      <c r="TTL3" s="30"/>
      <c r="TTM3" s="31"/>
      <c r="TTN3" s="30"/>
      <c r="TTO3" s="30"/>
      <c r="TTP3" s="30"/>
      <c r="TTQ3" s="31"/>
      <c r="TTR3" s="30"/>
      <c r="TTS3" s="30"/>
      <c r="TTT3" s="30"/>
      <c r="TTU3" s="31"/>
      <c r="TTV3" s="30"/>
      <c r="TTW3" s="30"/>
      <c r="TTX3" s="30"/>
      <c r="TTY3" s="31"/>
      <c r="TTZ3" s="30"/>
      <c r="TUA3" s="30"/>
      <c r="TUB3" s="30"/>
      <c r="TUC3" s="31"/>
      <c r="TUD3" s="30"/>
      <c r="TUE3" s="30"/>
      <c r="TUF3" s="30"/>
      <c r="TUG3" s="31"/>
      <c r="TUH3" s="30"/>
      <c r="TUI3" s="30"/>
      <c r="TUJ3" s="30"/>
      <c r="TUK3" s="31"/>
      <c r="TUL3" s="30"/>
      <c r="TUM3" s="30"/>
      <c r="TUN3" s="30"/>
      <c r="TUO3" s="31"/>
      <c r="TUP3" s="30"/>
      <c r="TUQ3" s="30"/>
      <c r="TUR3" s="30"/>
      <c r="TUS3" s="31"/>
      <c r="TUT3" s="30"/>
      <c r="TUU3" s="30"/>
      <c r="TUV3" s="30"/>
      <c r="TUW3" s="31"/>
      <c r="TUX3" s="30"/>
      <c r="TUY3" s="30"/>
      <c r="TUZ3" s="30"/>
      <c r="TVA3" s="31"/>
      <c r="TVB3" s="30"/>
      <c r="TVC3" s="30"/>
      <c r="TVD3" s="30"/>
      <c r="TVE3" s="31"/>
      <c r="TVF3" s="30"/>
      <c r="TVG3" s="30"/>
      <c r="TVH3" s="30"/>
      <c r="TVI3" s="31"/>
      <c r="TVJ3" s="30"/>
      <c r="TVK3" s="30"/>
      <c r="TVL3" s="30"/>
      <c r="TVM3" s="31"/>
      <c r="TVN3" s="30"/>
      <c r="TVO3" s="30"/>
      <c r="TVP3" s="30"/>
      <c r="TVQ3" s="31"/>
      <c r="TVR3" s="30"/>
      <c r="TVS3" s="30"/>
      <c r="TVT3" s="30"/>
      <c r="TVU3" s="31"/>
      <c r="TVV3" s="30"/>
      <c r="TVW3" s="30"/>
      <c r="TVX3" s="30"/>
      <c r="TVY3" s="31"/>
      <c r="TVZ3" s="30"/>
      <c r="TWA3" s="30"/>
      <c r="TWB3" s="30"/>
      <c r="TWC3" s="31"/>
      <c r="TWD3" s="30"/>
      <c r="TWE3" s="30"/>
      <c r="TWF3" s="30"/>
      <c r="TWG3" s="31"/>
      <c r="TWH3" s="30"/>
      <c r="TWI3" s="30"/>
      <c r="TWJ3" s="30"/>
      <c r="TWK3" s="31"/>
      <c r="TWL3" s="30"/>
      <c r="TWM3" s="30"/>
      <c r="TWN3" s="30"/>
      <c r="TWO3" s="31"/>
      <c r="TWP3" s="30"/>
      <c r="TWQ3" s="30"/>
      <c r="TWR3" s="30"/>
      <c r="TWS3" s="31"/>
      <c r="TWT3" s="30"/>
      <c r="TWU3" s="30"/>
      <c r="TWV3" s="30"/>
      <c r="TWW3" s="31"/>
      <c r="TWX3" s="30"/>
      <c r="TWY3" s="30"/>
      <c r="TWZ3" s="30"/>
      <c r="TXA3" s="31"/>
      <c r="TXB3" s="30"/>
      <c r="TXC3" s="30"/>
      <c r="TXD3" s="30"/>
      <c r="TXE3" s="31"/>
      <c r="TXF3" s="30"/>
      <c r="TXG3" s="30"/>
      <c r="TXH3" s="30"/>
      <c r="TXI3" s="31"/>
      <c r="TXJ3" s="30"/>
      <c r="TXK3" s="30"/>
      <c r="TXL3" s="30"/>
      <c r="TXM3" s="31"/>
      <c r="TXN3" s="30"/>
      <c r="TXO3" s="30"/>
      <c r="TXP3" s="30"/>
      <c r="TXQ3" s="31"/>
      <c r="TXR3" s="30"/>
      <c r="TXS3" s="30"/>
      <c r="TXT3" s="30"/>
      <c r="TXU3" s="31"/>
      <c r="TXV3" s="30"/>
      <c r="TXW3" s="30"/>
      <c r="TXX3" s="30"/>
      <c r="TXY3" s="31"/>
      <c r="TXZ3" s="30"/>
      <c r="TYA3" s="30"/>
      <c r="TYB3" s="30"/>
      <c r="TYC3" s="31"/>
      <c r="TYD3" s="30"/>
      <c r="TYE3" s="30"/>
      <c r="TYF3" s="30"/>
      <c r="TYG3" s="31"/>
      <c r="TYH3" s="30"/>
      <c r="TYI3" s="30"/>
      <c r="TYJ3" s="30"/>
      <c r="TYK3" s="31"/>
      <c r="TYL3" s="30"/>
      <c r="TYM3" s="30"/>
      <c r="TYN3" s="30"/>
      <c r="TYO3" s="31"/>
      <c r="TYP3" s="30"/>
      <c r="TYQ3" s="30"/>
      <c r="TYR3" s="30"/>
      <c r="TYS3" s="31"/>
      <c r="TYT3" s="30"/>
      <c r="TYU3" s="30"/>
      <c r="TYV3" s="30"/>
      <c r="TYW3" s="31"/>
      <c r="TYX3" s="30"/>
      <c r="TYY3" s="30"/>
      <c r="TYZ3" s="30"/>
      <c r="TZA3" s="31"/>
      <c r="TZB3" s="30"/>
      <c r="TZC3" s="30"/>
      <c r="TZD3" s="30"/>
      <c r="TZE3" s="31"/>
      <c r="TZF3" s="30"/>
      <c r="TZG3" s="30"/>
      <c r="TZH3" s="30"/>
      <c r="TZI3" s="31"/>
      <c r="TZJ3" s="30"/>
      <c r="TZK3" s="30"/>
      <c r="TZL3" s="30"/>
      <c r="TZM3" s="31"/>
      <c r="TZN3" s="30"/>
      <c r="TZO3" s="30"/>
      <c r="TZP3" s="30"/>
      <c r="TZQ3" s="31"/>
      <c r="TZR3" s="30"/>
      <c r="TZS3" s="30"/>
      <c r="TZT3" s="30"/>
      <c r="TZU3" s="31"/>
      <c r="TZV3" s="30"/>
      <c r="TZW3" s="30"/>
      <c r="TZX3" s="30"/>
      <c r="TZY3" s="31"/>
      <c r="TZZ3" s="30"/>
      <c r="UAA3" s="30"/>
      <c r="UAB3" s="30"/>
      <c r="UAC3" s="31"/>
      <c r="UAD3" s="30"/>
      <c r="UAE3" s="30"/>
      <c r="UAF3" s="30"/>
      <c r="UAG3" s="31"/>
      <c r="UAH3" s="30"/>
      <c r="UAI3" s="30"/>
      <c r="UAJ3" s="30"/>
      <c r="UAK3" s="31"/>
      <c r="UAL3" s="30"/>
      <c r="UAM3" s="30"/>
      <c r="UAN3" s="30"/>
      <c r="UAO3" s="31"/>
      <c r="UAP3" s="30"/>
      <c r="UAQ3" s="30"/>
      <c r="UAR3" s="30"/>
      <c r="UAS3" s="31"/>
      <c r="UAT3" s="30"/>
      <c r="UAU3" s="30"/>
      <c r="UAV3" s="30"/>
      <c r="UAW3" s="31"/>
      <c r="UAX3" s="30"/>
      <c r="UAY3" s="30"/>
      <c r="UAZ3" s="30"/>
      <c r="UBA3" s="31"/>
      <c r="UBB3" s="30"/>
      <c r="UBC3" s="30"/>
      <c r="UBD3" s="30"/>
      <c r="UBE3" s="31"/>
      <c r="UBF3" s="30"/>
      <c r="UBG3" s="30"/>
      <c r="UBH3" s="30"/>
      <c r="UBI3" s="31"/>
      <c r="UBJ3" s="30"/>
      <c r="UBK3" s="30"/>
      <c r="UBL3" s="30"/>
      <c r="UBM3" s="31"/>
      <c r="UBN3" s="30"/>
      <c r="UBO3" s="30"/>
      <c r="UBP3" s="30"/>
      <c r="UBQ3" s="31"/>
      <c r="UBR3" s="30"/>
      <c r="UBS3" s="30"/>
      <c r="UBT3" s="30"/>
      <c r="UBU3" s="31"/>
      <c r="UBV3" s="30"/>
      <c r="UBW3" s="30"/>
      <c r="UBX3" s="30"/>
      <c r="UBY3" s="31"/>
      <c r="UBZ3" s="30"/>
      <c r="UCA3" s="30"/>
      <c r="UCB3" s="30"/>
      <c r="UCC3" s="31"/>
      <c r="UCD3" s="30"/>
      <c r="UCE3" s="30"/>
      <c r="UCF3" s="30"/>
      <c r="UCG3" s="31"/>
      <c r="UCH3" s="30"/>
      <c r="UCI3" s="30"/>
      <c r="UCJ3" s="30"/>
      <c r="UCK3" s="31"/>
      <c r="UCL3" s="30"/>
      <c r="UCM3" s="30"/>
      <c r="UCN3" s="30"/>
      <c r="UCO3" s="31"/>
      <c r="UCP3" s="30"/>
      <c r="UCQ3" s="30"/>
      <c r="UCR3" s="30"/>
      <c r="UCS3" s="31"/>
      <c r="UCT3" s="30"/>
      <c r="UCU3" s="30"/>
      <c r="UCV3" s="30"/>
      <c r="UCW3" s="31"/>
      <c r="UCX3" s="30"/>
      <c r="UCY3" s="30"/>
      <c r="UCZ3" s="30"/>
      <c r="UDA3" s="31"/>
      <c r="UDB3" s="30"/>
      <c r="UDC3" s="30"/>
      <c r="UDD3" s="30"/>
      <c r="UDE3" s="31"/>
      <c r="UDF3" s="30"/>
      <c r="UDG3" s="30"/>
      <c r="UDH3" s="30"/>
      <c r="UDI3" s="31"/>
      <c r="UDJ3" s="30"/>
      <c r="UDK3" s="30"/>
      <c r="UDL3" s="30"/>
      <c r="UDM3" s="31"/>
      <c r="UDN3" s="30"/>
      <c r="UDO3" s="30"/>
      <c r="UDP3" s="30"/>
      <c r="UDQ3" s="31"/>
      <c r="UDR3" s="30"/>
      <c r="UDS3" s="30"/>
      <c r="UDT3" s="30"/>
      <c r="UDU3" s="31"/>
      <c r="UDV3" s="30"/>
      <c r="UDW3" s="30"/>
      <c r="UDX3" s="30"/>
      <c r="UDY3" s="31"/>
      <c r="UDZ3" s="30"/>
      <c r="UEA3" s="30"/>
      <c r="UEB3" s="30"/>
      <c r="UEC3" s="31"/>
      <c r="UED3" s="30"/>
      <c r="UEE3" s="30"/>
      <c r="UEF3" s="30"/>
      <c r="UEG3" s="31"/>
      <c r="UEH3" s="30"/>
      <c r="UEI3" s="30"/>
      <c r="UEJ3" s="30"/>
      <c r="UEK3" s="31"/>
      <c r="UEL3" s="30"/>
      <c r="UEM3" s="30"/>
      <c r="UEN3" s="30"/>
      <c r="UEO3" s="31"/>
      <c r="UEP3" s="30"/>
      <c r="UEQ3" s="30"/>
      <c r="UER3" s="30"/>
      <c r="UES3" s="31"/>
      <c r="UET3" s="30"/>
      <c r="UEU3" s="30"/>
      <c r="UEV3" s="30"/>
      <c r="UEW3" s="31"/>
      <c r="UEX3" s="30"/>
      <c r="UEY3" s="30"/>
      <c r="UEZ3" s="30"/>
      <c r="UFA3" s="31"/>
      <c r="UFB3" s="30"/>
      <c r="UFC3" s="30"/>
      <c r="UFD3" s="30"/>
      <c r="UFE3" s="31"/>
      <c r="UFF3" s="30"/>
      <c r="UFG3" s="30"/>
      <c r="UFH3" s="30"/>
      <c r="UFI3" s="31"/>
      <c r="UFJ3" s="30"/>
      <c r="UFK3" s="30"/>
      <c r="UFL3" s="30"/>
      <c r="UFM3" s="31"/>
      <c r="UFN3" s="30"/>
      <c r="UFO3" s="30"/>
      <c r="UFP3" s="30"/>
      <c r="UFQ3" s="31"/>
      <c r="UFR3" s="30"/>
      <c r="UFS3" s="30"/>
      <c r="UFT3" s="30"/>
      <c r="UFU3" s="31"/>
      <c r="UFV3" s="30"/>
      <c r="UFW3" s="30"/>
      <c r="UFX3" s="30"/>
      <c r="UFY3" s="31"/>
      <c r="UFZ3" s="30"/>
      <c r="UGA3" s="30"/>
      <c r="UGB3" s="30"/>
      <c r="UGC3" s="31"/>
      <c r="UGD3" s="30"/>
      <c r="UGE3" s="30"/>
      <c r="UGF3" s="30"/>
      <c r="UGG3" s="31"/>
      <c r="UGH3" s="30"/>
      <c r="UGI3" s="30"/>
      <c r="UGJ3" s="30"/>
      <c r="UGK3" s="31"/>
      <c r="UGL3" s="30"/>
      <c r="UGM3" s="30"/>
      <c r="UGN3" s="30"/>
      <c r="UGO3" s="31"/>
      <c r="UGP3" s="30"/>
      <c r="UGQ3" s="30"/>
      <c r="UGR3" s="30"/>
      <c r="UGS3" s="31"/>
      <c r="UGT3" s="30"/>
      <c r="UGU3" s="30"/>
      <c r="UGV3" s="30"/>
      <c r="UGW3" s="31"/>
      <c r="UGX3" s="30"/>
      <c r="UGY3" s="30"/>
      <c r="UGZ3" s="30"/>
      <c r="UHA3" s="31"/>
      <c r="UHB3" s="30"/>
      <c r="UHC3" s="30"/>
      <c r="UHD3" s="30"/>
      <c r="UHE3" s="31"/>
      <c r="UHF3" s="30"/>
      <c r="UHG3" s="30"/>
      <c r="UHH3" s="30"/>
      <c r="UHI3" s="31"/>
      <c r="UHJ3" s="30"/>
      <c r="UHK3" s="30"/>
      <c r="UHL3" s="30"/>
      <c r="UHM3" s="31"/>
      <c r="UHN3" s="30"/>
      <c r="UHO3" s="30"/>
      <c r="UHP3" s="30"/>
      <c r="UHQ3" s="31"/>
      <c r="UHR3" s="30"/>
      <c r="UHS3" s="30"/>
      <c r="UHT3" s="30"/>
      <c r="UHU3" s="31"/>
      <c r="UHV3" s="30"/>
      <c r="UHW3" s="30"/>
      <c r="UHX3" s="30"/>
      <c r="UHY3" s="31"/>
      <c r="UHZ3" s="30"/>
      <c r="UIA3" s="30"/>
      <c r="UIB3" s="30"/>
      <c r="UIC3" s="31"/>
      <c r="UID3" s="30"/>
      <c r="UIE3" s="30"/>
      <c r="UIF3" s="30"/>
      <c r="UIG3" s="31"/>
      <c r="UIH3" s="30"/>
      <c r="UII3" s="30"/>
      <c r="UIJ3" s="30"/>
      <c r="UIK3" s="31"/>
      <c r="UIL3" s="30"/>
      <c r="UIM3" s="30"/>
      <c r="UIN3" s="30"/>
      <c r="UIO3" s="31"/>
      <c r="UIP3" s="30"/>
      <c r="UIQ3" s="30"/>
      <c r="UIR3" s="30"/>
      <c r="UIS3" s="31"/>
      <c r="UIT3" s="30"/>
      <c r="UIU3" s="30"/>
      <c r="UIV3" s="30"/>
      <c r="UIW3" s="31"/>
      <c r="UIX3" s="30"/>
      <c r="UIY3" s="30"/>
      <c r="UIZ3" s="30"/>
      <c r="UJA3" s="31"/>
      <c r="UJB3" s="30"/>
      <c r="UJC3" s="30"/>
      <c r="UJD3" s="30"/>
      <c r="UJE3" s="31"/>
      <c r="UJF3" s="30"/>
      <c r="UJG3" s="30"/>
      <c r="UJH3" s="30"/>
      <c r="UJI3" s="31"/>
      <c r="UJJ3" s="30"/>
      <c r="UJK3" s="30"/>
      <c r="UJL3" s="30"/>
      <c r="UJM3" s="31"/>
      <c r="UJN3" s="30"/>
      <c r="UJO3" s="30"/>
      <c r="UJP3" s="30"/>
      <c r="UJQ3" s="31"/>
      <c r="UJR3" s="30"/>
      <c r="UJS3" s="30"/>
      <c r="UJT3" s="30"/>
      <c r="UJU3" s="31"/>
      <c r="UJV3" s="30"/>
      <c r="UJW3" s="30"/>
      <c r="UJX3" s="30"/>
      <c r="UJY3" s="31"/>
      <c r="UJZ3" s="30"/>
      <c r="UKA3" s="30"/>
      <c r="UKB3" s="30"/>
      <c r="UKC3" s="31"/>
      <c r="UKD3" s="30"/>
      <c r="UKE3" s="30"/>
      <c r="UKF3" s="30"/>
      <c r="UKG3" s="31"/>
      <c r="UKH3" s="30"/>
      <c r="UKI3" s="30"/>
      <c r="UKJ3" s="30"/>
      <c r="UKK3" s="31"/>
      <c r="UKL3" s="30"/>
      <c r="UKM3" s="30"/>
      <c r="UKN3" s="30"/>
      <c r="UKO3" s="31"/>
      <c r="UKP3" s="30"/>
      <c r="UKQ3" s="30"/>
      <c r="UKR3" s="30"/>
      <c r="UKS3" s="31"/>
      <c r="UKT3" s="30"/>
      <c r="UKU3" s="30"/>
      <c r="UKV3" s="30"/>
      <c r="UKW3" s="31"/>
      <c r="UKX3" s="30"/>
      <c r="UKY3" s="30"/>
      <c r="UKZ3" s="30"/>
      <c r="ULA3" s="31"/>
      <c r="ULB3" s="30"/>
      <c r="ULC3" s="30"/>
      <c r="ULD3" s="30"/>
      <c r="ULE3" s="31"/>
      <c r="ULF3" s="30"/>
      <c r="ULG3" s="30"/>
      <c r="ULH3" s="30"/>
      <c r="ULI3" s="31"/>
      <c r="ULJ3" s="30"/>
      <c r="ULK3" s="30"/>
      <c r="ULL3" s="30"/>
      <c r="ULM3" s="31"/>
      <c r="ULN3" s="30"/>
      <c r="ULO3" s="30"/>
      <c r="ULP3" s="30"/>
      <c r="ULQ3" s="31"/>
      <c r="ULR3" s="30"/>
      <c r="ULS3" s="30"/>
      <c r="ULT3" s="30"/>
      <c r="ULU3" s="31"/>
      <c r="ULV3" s="30"/>
      <c r="ULW3" s="30"/>
      <c r="ULX3" s="30"/>
      <c r="ULY3" s="31"/>
      <c r="ULZ3" s="30"/>
      <c r="UMA3" s="30"/>
      <c r="UMB3" s="30"/>
      <c r="UMC3" s="31"/>
      <c r="UMD3" s="30"/>
      <c r="UME3" s="30"/>
      <c r="UMF3" s="30"/>
      <c r="UMG3" s="31"/>
      <c r="UMH3" s="30"/>
      <c r="UMI3" s="30"/>
      <c r="UMJ3" s="30"/>
      <c r="UMK3" s="31"/>
      <c r="UML3" s="30"/>
      <c r="UMM3" s="30"/>
      <c r="UMN3" s="30"/>
      <c r="UMO3" s="31"/>
      <c r="UMP3" s="30"/>
      <c r="UMQ3" s="30"/>
      <c r="UMR3" s="30"/>
      <c r="UMS3" s="31"/>
      <c r="UMT3" s="30"/>
      <c r="UMU3" s="30"/>
      <c r="UMV3" s="30"/>
      <c r="UMW3" s="31"/>
      <c r="UMX3" s="30"/>
      <c r="UMY3" s="30"/>
      <c r="UMZ3" s="30"/>
      <c r="UNA3" s="31"/>
      <c r="UNB3" s="30"/>
      <c r="UNC3" s="30"/>
      <c r="UND3" s="30"/>
      <c r="UNE3" s="31"/>
      <c r="UNF3" s="30"/>
      <c r="UNG3" s="30"/>
      <c r="UNH3" s="30"/>
      <c r="UNI3" s="31"/>
      <c r="UNJ3" s="30"/>
      <c r="UNK3" s="30"/>
      <c r="UNL3" s="30"/>
      <c r="UNM3" s="31"/>
      <c r="UNN3" s="30"/>
      <c r="UNO3" s="30"/>
      <c r="UNP3" s="30"/>
      <c r="UNQ3" s="31"/>
      <c r="UNR3" s="30"/>
      <c r="UNS3" s="30"/>
      <c r="UNT3" s="30"/>
      <c r="UNU3" s="31"/>
      <c r="UNV3" s="30"/>
      <c r="UNW3" s="30"/>
      <c r="UNX3" s="30"/>
      <c r="UNY3" s="31"/>
      <c r="UNZ3" s="30"/>
      <c r="UOA3" s="30"/>
      <c r="UOB3" s="30"/>
      <c r="UOC3" s="31"/>
      <c r="UOD3" s="30"/>
      <c r="UOE3" s="30"/>
      <c r="UOF3" s="30"/>
      <c r="UOG3" s="31"/>
      <c r="UOH3" s="30"/>
      <c r="UOI3" s="30"/>
      <c r="UOJ3" s="30"/>
      <c r="UOK3" s="31"/>
      <c r="UOL3" s="30"/>
      <c r="UOM3" s="30"/>
      <c r="UON3" s="30"/>
      <c r="UOO3" s="31"/>
      <c r="UOP3" s="30"/>
      <c r="UOQ3" s="30"/>
      <c r="UOR3" s="30"/>
      <c r="UOS3" s="31"/>
      <c r="UOT3" s="30"/>
      <c r="UOU3" s="30"/>
      <c r="UOV3" s="30"/>
      <c r="UOW3" s="31"/>
      <c r="UOX3" s="30"/>
      <c r="UOY3" s="30"/>
      <c r="UOZ3" s="30"/>
      <c r="UPA3" s="31"/>
      <c r="UPB3" s="30"/>
      <c r="UPC3" s="30"/>
      <c r="UPD3" s="30"/>
      <c r="UPE3" s="31"/>
      <c r="UPF3" s="30"/>
      <c r="UPG3" s="30"/>
      <c r="UPH3" s="30"/>
      <c r="UPI3" s="31"/>
      <c r="UPJ3" s="30"/>
      <c r="UPK3" s="30"/>
      <c r="UPL3" s="30"/>
      <c r="UPM3" s="31"/>
      <c r="UPN3" s="30"/>
      <c r="UPO3" s="30"/>
      <c r="UPP3" s="30"/>
      <c r="UPQ3" s="31"/>
      <c r="UPR3" s="30"/>
      <c r="UPS3" s="30"/>
      <c r="UPT3" s="30"/>
      <c r="UPU3" s="31"/>
      <c r="UPV3" s="30"/>
      <c r="UPW3" s="30"/>
      <c r="UPX3" s="30"/>
      <c r="UPY3" s="31"/>
      <c r="UPZ3" s="30"/>
      <c r="UQA3" s="30"/>
      <c r="UQB3" s="30"/>
      <c r="UQC3" s="31"/>
      <c r="UQD3" s="30"/>
      <c r="UQE3" s="30"/>
      <c r="UQF3" s="30"/>
      <c r="UQG3" s="31"/>
      <c r="UQH3" s="30"/>
      <c r="UQI3" s="30"/>
      <c r="UQJ3" s="30"/>
      <c r="UQK3" s="31"/>
      <c r="UQL3" s="30"/>
      <c r="UQM3" s="30"/>
      <c r="UQN3" s="30"/>
      <c r="UQO3" s="31"/>
      <c r="UQP3" s="30"/>
      <c r="UQQ3" s="30"/>
      <c r="UQR3" s="30"/>
      <c r="UQS3" s="31"/>
      <c r="UQT3" s="30"/>
      <c r="UQU3" s="30"/>
      <c r="UQV3" s="30"/>
      <c r="UQW3" s="31"/>
      <c r="UQX3" s="30"/>
      <c r="UQY3" s="30"/>
      <c r="UQZ3" s="30"/>
      <c r="URA3" s="31"/>
      <c r="URB3" s="30"/>
      <c r="URC3" s="30"/>
      <c r="URD3" s="30"/>
      <c r="URE3" s="31"/>
      <c r="URF3" s="30"/>
      <c r="URG3" s="30"/>
      <c r="URH3" s="30"/>
      <c r="URI3" s="31"/>
      <c r="URJ3" s="30"/>
      <c r="URK3" s="30"/>
      <c r="URL3" s="30"/>
      <c r="URM3" s="31"/>
      <c r="URN3" s="30"/>
      <c r="URO3" s="30"/>
      <c r="URP3" s="30"/>
      <c r="URQ3" s="31"/>
      <c r="URR3" s="30"/>
      <c r="URS3" s="30"/>
      <c r="URT3" s="30"/>
      <c r="URU3" s="31"/>
      <c r="URV3" s="30"/>
      <c r="URW3" s="30"/>
      <c r="URX3" s="30"/>
      <c r="URY3" s="31"/>
      <c r="URZ3" s="30"/>
      <c r="USA3" s="30"/>
      <c r="USB3" s="30"/>
      <c r="USC3" s="31"/>
      <c r="USD3" s="30"/>
      <c r="USE3" s="30"/>
      <c r="USF3" s="30"/>
      <c r="USG3" s="31"/>
      <c r="USH3" s="30"/>
      <c r="USI3" s="30"/>
      <c r="USJ3" s="30"/>
      <c r="USK3" s="31"/>
      <c r="USL3" s="30"/>
      <c r="USM3" s="30"/>
      <c r="USN3" s="30"/>
      <c r="USO3" s="31"/>
      <c r="USP3" s="30"/>
      <c r="USQ3" s="30"/>
      <c r="USR3" s="30"/>
      <c r="USS3" s="31"/>
      <c r="UST3" s="30"/>
      <c r="USU3" s="30"/>
      <c r="USV3" s="30"/>
      <c r="USW3" s="31"/>
      <c r="USX3" s="30"/>
      <c r="USY3" s="30"/>
      <c r="USZ3" s="30"/>
      <c r="UTA3" s="31"/>
      <c r="UTB3" s="30"/>
      <c r="UTC3" s="30"/>
      <c r="UTD3" s="30"/>
      <c r="UTE3" s="31"/>
      <c r="UTF3" s="30"/>
      <c r="UTG3" s="30"/>
      <c r="UTH3" s="30"/>
      <c r="UTI3" s="31"/>
      <c r="UTJ3" s="30"/>
      <c r="UTK3" s="30"/>
      <c r="UTL3" s="30"/>
      <c r="UTM3" s="31"/>
      <c r="UTN3" s="30"/>
      <c r="UTO3" s="30"/>
      <c r="UTP3" s="30"/>
      <c r="UTQ3" s="31"/>
      <c r="UTR3" s="30"/>
      <c r="UTS3" s="30"/>
      <c r="UTT3" s="30"/>
      <c r="UTU3" s="31"/>
      <c r="UTV3" s="30"/>
      <c r="UTW3" s="30"/>
      <c r="UTX3" s="30"/>
      <c r="UTY3" s="31"/>
      <c r="UTZ3" s="30"/>
      <c r="UUA3" s="30"/>
      <c r="UUB3" s="30"/>
      <c r="UUC3" s="31"/>
      <c r="UUD3" s="30"/>
      <c r="UUE3" s="30"/>
      <c r="UUF3" s="30"/>
      <c r="UUG3" s="31"/>
      <c r="UUH3" s="30"/>
      <c r="UUI3" s="30"/>
      <c r="UUJ3" s="30"/>
      <c r="UUK3" s="31"/>
      <c r="UUL3" s="30"/>
      <c r="UUM3" s="30"/>
      <c r="UUN3" s="30"/>
      <c r="UUO3" s="31"/>
      <c r="UUP3" s="30"/>
      <c r="UUQ3" s="30"/>
      <c r="UUR3" s="30"/>
      <c r="UUS3" s="31"/>
      <c r="UUT3" s="30"/>
      <c r="UUU3" s="30"/>
      <c r="UUV3" s="30"/>
      <c r="UUW3" s="31"/>
      <c r="UUX3" s="30"/>
      <c r="UUY3" s="30"/>
      <c r="UUZ3" s="30"/>
      <c r="UVA3" s="31"/>
      <c r="UVB3" s="30"/>
      <c r="UVC3" s="30"/>
      <c r="UVD3" s="30"/>
      <c r="UVE3" s="31"/>
      <c r="UVF3" s="30"/>
      <c r="UVG3" s="30"/>
      <c r="UVH3" s="30"/>
      <c r="UVI3" s="31"/>
      <c r="UVJ3" s="30"/>
      <c r="UVK3" s="30"/>
      <c r="UVL3" s="30"/>
      <c r="UVM3" s="31"/>
      <c r="UVN3" s="30"/>
      <c r="UVO3" s="30"/>
      <c r="UVP3" s="30"/>
      <c r="UVQ3" s="31"/>
      <c r="UVR3" s="30"/>
      <c r="UVS3" s="30"/>
      <c r="UVT3" s="30"/>
      <c r="UVU3" s="31"/>
      <c r="UVV3" s="30"/>
      <c r="UVW3" s="30"/>
      <c r="UVX3" s="30"/>
      <c r="UVY3" s="31"/>
      <c r="UVZ3" s="30"/>
      <c r="UWA3" s="30"/>
      <c r="UWB3" s="30"/>
      <c r="UWC3" s="31"/>
      <c r="UWD3" s="30"/>
      <c r="UWE3" s="30"/>
      <c r="UWF3" s="30"/>
      <c r="UWG3" s="31"/>
      <c r="UWH3" s="30"/>
      <c r="UWI3" s="30"/>
      <c r="UWJ3" s="30"/>
      <c r="UWK3" s="31"/>
      <c r="UWL3" s="30"/>
      <c r="UWM3" s="30"/>
      <c r="UWN3" s="30"/>
      <c r="UWO3" s="31"/>
      <c r="UWP3" s="30"/>
      <c r="UWQ3" s="30"/>
      <c r="UWR3" s="30"/>
      <c r="UWS3" s="31"/>
      <c r="UWT3" s="30"/>
      <c r="UWU3" s="30"/>
      <c r="UWV3" s="30"/>
      <c r="UWW3" s="31"/>
      <c r="UWX3" s="30"/>
      <c r="UWY3" s="30"/>
      <c r="UWZ3" s="30"/>
      <c r="UXA3" s="31"/>
      <c r="UXB3" s="30"/>
      <c r="UXC3" s="30"/>
      <c r="UXD3" s="30"/>
      <c r="UXE3" s="31"/>
      <c r="UXF3" s="30"/>
      <c r="UXG3" s="30"/>
      <c r="UXH3" s="30"/>
      <c r="UXI3" s="31"/>
      <c r="UXJ3" s="30"/>
      <c r="UXK3" s="30"/>
      <c r="UXL3" s="30"/>
      <c r="UXM3" s="31"/>
      <c r="UXN3" s="30"/>
      <c r="UXO3" s="30"/>
      <c r="UXP3" s="30"/>
      <c r="UXQ3" s="31"/>
      <c r="UXR3" s="30"/>
      <c r="UXS3" s="30"/>
      <c r="UXT3" s="30"/>
      <c r="UXU3" s="31"/>
      <c r="UXV3" s="30"/>
      <c r="UXW3" s="30"/>
      <c r="UXX3" s="30"/>
      <c r="UXY3" s="31"/>
      <c r="UXZ3" s="30"/>
      <c r="UYA3" s="30"/>
      <c r="UYB3" s="30"/>
      <c r="UYC3" s="31"/>
      <c r="UYD3" s="30"/>
      <c r="UYE3" s="30"/>
      <c r="UYF3" s="30"/>
      <c r="UYG3" s="31"/>
      <c r="UYH3" s="30"/>
      <c r="UYI3" s="30"/>
      <c r="UYJ3" s="30"/>
      <c r="UYK3" s="31"/>
      <c r="UYL3" s="30"/>
      <c r="UYM3" s="30"/>
      <c r="UYN3" s="30"/>
      <c r="UYO3" s="31"/>
      <c r="UYP3" s="30"/>
      <c r="UYQ3" s="30"/>
      <c r="UYR3" s="30"/>
      <c r="UYS3" s="31"/>
      <c r="UYT3" s="30"/>
      <c r="UYU3" s="30"/>
      <c r="UYV3" s="30"/>
      <c r="UYW3" s="31"/>
      <c r="UYX3" s="30"/>
      <c r="UYY3" s="30"/>
      <c r="UYZ3" s="30"/>
      <c r="UZA3" s="31"/>
      <c r="UZB3" s="30"/>
      <c r="UZC3" s="30"/>
      <c r="UZD3" s="30"/>
      <c r="UZE3" s="31"/>
      <c r="UZF3" s="30"/>
      <c r="UZG3" s="30"/>
      <c r="UZH3" s="30"/>
      <c r="UZI3" s="31"/>
      <c r="UZJ3" s="30"/>
      <c r="UZK3" s="30"/>
      <c r="UZL3" s="30"/>
      <c r="UZM3" s="31"/>
      <c r="UZN3" s="30"/>
      <c r="UZO3" s="30"/>
      <c r="UZP3" s="30"/>
      <c r="UZQ3" s="31"/>
      <c r="UZR3" s="30"/>
      <c r="UZS3" s="30"/>
      <c r="UZT3" s="30"/>
      <c r="UZU3" s="31"/>
      <c r="UZV3" s="30"/>
      <c r="UZW3" s="30"/>
      <c r="UZX3" s="30"/>
      <c r="UZY3" s="31"/>
      <c r="UZZ3" s="30"/>
      <c r="VAA3" s="30"/>
      <c r="VAB3" s="30"/>
      <c r="VAC3" s="31"/>
      <c r="VAD3" s="30"/>
      <c r="VAE3" s="30"/>
      <c r="VAF3" s="30"/>
      <c r="VAG3" s="31"/>
      <c r="VAH3" s="30"/>
      <c r="VAI3" s="30"/>
      <c r="VAJ3" s="30"/>
      <c r="VAK3" s="31"/>
      <c r="VAL3" s="30"/>
      <c r="VAM3" s="30"/>
      <c r="VAN3" s="30"/>
      <c r="VAO3" s="31"/>
      <c r="VAP3" s="30"/>
      <c r="VAQ3" s="30"/>
      <c r="VAR3" s="30"/>
      <c r="VAS3" s="31"/>
      <c r="VAT3" s="30"/>
      <c r="VAU3" s="30"/>
      <c r="VAV3" s="30"/>
      <c r="VAW3" s="31"/>
      <c r="VAX3" s="30"/>
      <c r="VAY3" s="30"/>
      <c r="VAZ3" s="30"/>
      <c r="VBA3" s="31"/>
      <c r="VBB3" s="30"/>
      <c r="VBC3" s="30"/>
      <c r="VBD3" s="30"/>
      <c r="VBE3" s="31"/>
      <c r="VBF3" s="30"/>
      <c r="VBG3" s="30"/>
      <c r="VBH3" s="30"/>
      <c r="VBI3" s="31"/>
      <c r="VBJ3" s="30"/>
      <c r="VBK3" s="30"/>
      <c r="VBL3" s="30"/>
      <c r="VBM3" s="31"/>
      <c r="VBN3" s="30"/>
      <c r="VBO3" s="30"/>
      <c r="VBP3" s="30"/>
      <c r="VBQ3" s="31"/>
      <c r="VBR3" s="30"/>
      <c r="VBS3" s="30"/>
      <c r="VBT3" s="30"/>
      <c r="VBU3" s="31"/>
      <c r="VBV3" s="30"/>
      <c r="VBW3" s="30"/>
      <c r="VBX3" s="30"/>
      <c r="VBY3" s="31"/>
      <c r="VBZ3" s="30"/>
      <c r="VCA3" s="30"/>
      <c r="VCB3" s="30"/>
      <c r="VCC3" s="31"/>
      <c r="VCD3" s="30"/>
      <c r="VCE3" s="30"/>
      <c r="VCF3" s="30"/>
      <c r="VCG3" s="31"/>
      <c r="VCH3" s="30"/>
      <c r="VCI3" s="30"/>
      <c r="VCJ3" s="30"/>
      <c r="VCK3" s="31"/>
      <c r="VCL3" s="30"/>
      <c r="VCM3" s="30"/>
      <c r="VCN3" s="30"/>
      <c r="VCO3" s="31"/>
      <c r="VCP3" s="30"/>
      <c r="VCQ3" s="30"/>
      <c r="VCR3" s="30"/>
      <c r="VCS3" s="31"/>
      <c r="VCT3" s="30"/>
      <c r="VCU3" s="30"/>
      <c r="VCV3" s="30"/>
      <c r="VCW3" s="31"/>
      <c r="VCX3" s="30"/>
      <c r="VCY3" s="30"/>
      <c r="VCZ3" s="30"/>
      <c r="VDA3" s="31"/>
      <c r="VDB3" s="30"/>
      <c r="VDC3" s="30"/>
      <c r="VDD3" s="30"/>
      <c r="VDE3" s="31"/>
      <c r="VDF3" s="30"/>
      <c r="VDG3" s="30"/>
      <c r="VDH3" s="30"/>
      <c r="VDI3" s="31"/>
      <c r="VDJ3" s="30"/>
      <c r="VDK3" s="30"/>
      <c r="VDL3" s="30"/>
      <c r="VDM3" s="31"/>
      <c r="VDN3" s="30"/>
      <c r="VDO3" s="30"/>
      <c r="VDP3" s="30"/>
      <c r="VDQ3" s="31"/>
      <c r="VDR3" s="30"/>
      <c r="VDS3" s="30"/>
      <c r="VDT3" s="30"/>
      <c r="VDU3" s="31"/>
      <c r="VDV3" s="30"/>
      <c r="VDW3" s="30"/>
      <c r="VDX3" s="30"/>
      <c r="VDY3" s="31"/>
      <c r="VDZ3" s="30"/>
      <c r="VEA3" s="30"/>
      <c r="VEB3" s="30"/>
      <c r="VEC3" s="31"/>
      <c r="VED3" s="30"/>
      <c r="VEE3" s="30"/>
      <c r="VEF3" s="30"/>
      <c r="VEG3" s="31"/>
      <c r="VEH3" s="30"/>
      <c r="VEI3" s="30"/>
      <c r="VEJ3" s="30"/>
      <c r="VEK3" s="31"/>
      <c r="VEL3" s="30"/>
      <c r="VEM3" s="30"/>
      <c r="VEN3" s="30"/>
      <c r="VEO3" s="31"/>
      <c r="VEP3" s="30"/>
      <c r="VEQ3" s="30"/>
      <c r="VER3" s="30"/>
      <c r="VES3" s="31"/>
      <c r="VET3" s="30"/>
      <c r="VEU3" s="30"/>
      <c r="VEV3" s="30"/>
      <c r="VEW3" s="31"/>
      <c r="VEX3" s="30"/>
      <c r="VEY3" s="30"/>
      <c r="VEZ3" s="30"/>
      <c r="VFA3" s="31"/>
      <c r="VFB3" s="30"/>
      <c r="VFC3" s="30"/>
      <c r="VFD3" s="30"/>
      <c r="VFE3" s="31"/>
      <c r="VFF3" s="30"/>
      <c r="VFG3" s="30"/>
      <c r="VFH3" s="30"/>
      <c r="VFI3" s="31"/>
      <c r="VFJ3" s="30"/>
      <c r="VFK3" s="30"/>
      <c r="VFL3" s="30"/>
      <c r="VFM3" s="31"/>
      <c r="VFN3" s="30"/>
      <c r="VFO3" s="30"/>
      <c r="VFP3" s="30"/>
      <c r="VFQ3" s="31"/>
      <c r="VFR3" s="30"/>
      <c r="VFS3" s="30"/>
      <c r="VFT3" s="30"/>
      <c r="VFU3" s="31"/>
      <c r="VFV3" s="30"/>
      <c r="VFW3" s="30"/>
      <c r="VFX3" s="30"/>
      <c r="VFY3" s="31"/>
      <c r="VFZ3" s="30"/>
      <c r="VGA3" s="30"/>
      <c r="VGB3" s="30"/>
      <c r="VGC3" s="31"/>
      <c r="VGD3" s="30"/>
      <c r="VGE3" s="30"/>
      <c r="VGF3" s="30"/>
      <c r="VGG3" s="31"/>
      <c r="VGH3" s="30"/>
      <c r="VGI3" s="30"/>
      <c r="VGJ3" s="30"/>
      <c r="VGK3" s="31"/>
      <c r="VGL3" s="30"/>
      <c r="VGM3" s="30"/>
      <c r="VGN3" s="30"/>
      <c r="VGO3" s="31"/>
      <c r="VGP3" s="30"/>
      <c r="VGQ3" s="30"/>
      <c r="VGR3" s="30"/>
      <c r="VGS3" s="31"/>
      <c r="VGT3" s="30"/>
      <c r="VGU3" s="30"/>
      <c r="VGV3" s="30"/>
      <c r="VGW3" s="31"/>
      <c r="VGX3" s="30"/>
      <c r="VGY3" s="30"/>
      <c r="VGZ3" s="30"/>
      <c r="VHA3" s="31"/>
      <c r="VHB3" s="30"/>
      <c r="VHC3" s="30"/>
      <c r="VHD3" s="30"/>
      <c r="VHE3" s="31"/>
      <c r="VHF3" s="30"/>
      <c r="VHG3" s="30"/>
      <c r="VHH3" s="30"/>
      <c r="VHI3" s="31"/>
      <c r="VHJ3" s="30"/>
      <c r="VHK3" s="30"/>
      <c r="VHL3" s="30"/>
      <c r="VHM3" s="31"/>
      <c r="VHN3" s="30"/>
      <c r="VHO3" s="30"/>
      <c r="VHP3" s="30"/>
      <c r="VHQ3" s="31"/>
      <c r="VHR3" s="30"/>
      <c r="VHS3" s="30"/>
      <c r="VHT3" s="30"/>
      <c r="VHU3" s="31"/>
      <c r="VHV3" s="30"/>
      <c r="VHW3" s="30"/>
      <c r="VHX3" s="30"/>
      <c r="VHY3" s="31"/>
      <c r="VHZ3" s="30"/>
      <c r="VIA3" s="30"/>
      <c r="VIB3" s="30"/>
      <c r="VIC3" s="31"/>
      <c r="VID3" s="30"/>
      <c r="VIE3" s="30"/>
      <c r="VIF3" s="30"/>
      <c r="VIG3" s="31"/>
      <c r="VIH3" s="30"/>
      <c r="VII3" s="30"/>
      <c r="VIJ3" s="30"/>
      <c r="VIK3" s="31"/>
      <c r="VIL3" s="30"/>
      <c r="VIM3" s="30"/>
      <c r="VIN3" s="30"/>
      <c r="VIO3" s="31"/>
      <c r="VIP3" s="30"/>
      <c r="VIQ3" s="30"/>
      <c r="VIR3" s="30"/>
      <c r="VIS3" s="31"/>
      <c r="VIT3" s="30"/>
      <c r="VIU3" s="30"/>
      <c r="VIV3" s="30"/>
      <c r="VIW3" s="31"/>
      <c r="VIX3" s="30"/>
      <c r="VIY3" s="30"/>
      <c r="VIZ3" s="30"/>
      <c r="VJA3" s="31"/>
      <c r="VJB3" s="30"/>
      <c r="VJC3" s="30"/>
      <c r="VJD3" s="30"/>
      <c r="VJE3" s="31"/>
      <c r="VJF3" s="30"/>
      <c r="VJG3" s="30"/>
      <c r="VJH3" s="30"/>
      <c r="VJI3" s="31"/>
      <c r="VJJ3" s="30"/>
      <c r="VJK3" s="30"/>
      <c r="VJL3" s="30"/>
      <c r="VJM3" s="31"/>
      <c r="VJN3" s="30"/>
      <c r="VJO3" s="30"/>
      <c r="VJP3" s="30"/>
      <c r="VJQ3" s="31"/>
      <c r="VJR3" s="30"/>
      <c r="VJS3" s="30"/>
      <c r="VJT3" s="30"/>
      <c r="VJU3" s="31"/>
      <c r="VJV3" s="30"/>
      <c r="VJW3" s="30"/>
      <c r="VJX3" s="30"/>
      <c r="VJY3" s="31"/>
      <c r="VJZ3" s="30"/>
      <c r="VKA3" s="30"/>
      <c r="VKB3" s="30"/>
      <c r="VKC3" s="31"/>
      <c r="VKD3" s="30"/>
      <c r="VKE3" s="30"/>
      <c r="VKF3" s="30"/>
      <c r="VKG3" s="31"/>
      <c r="VKH3" s="30"/>
      <c r="VKI3" s="30"/>
      <c r="VKJ3" s="30"/>
      <c r="VKK3" s="31"/>
      <c r="VKL3" s="30"/>
      <c r="VKM3" s="30"/>
      <c r="VKN3" s="30"/>
      <c r="VKO3" s="31"/>
      <c r="VKP3" s="30"/>
      <c r="VKQ3" s="30"/>
      <c r="VKR3" s="30"/>
      <c r="VKS3" s="31"/>
      <c r="VKT3" s="30"/>
      <c r="VKU3" s="30"/>
      <c r="VKV3" s="30"/>
      <c r="VKW3" s="31"/>
      <c r="VKX3" s="30"/>
      <c r="VKY3" s="30"/>
      <c r="VKZ3" s="30"/>
      <c r="VLA3" s="31"/>
      <c r="VLB3" s="30"/>
      <c r="VLC3" s="30"/>
      <c r="VLD3" s="30"/>
      <c r="VLE3" s="31"/>
      <c r="VLF3" s="30"/>
      <c r="VLG3" s="30"/>
      <c r="VLH3" s="30"/>
      <c r="VLI3" s="31"/>
      <c r="VLJ3" s="30"/>
      <c r="VLK3" s="30"/>
      <c r="VLL3" s="30"/>
      <c r="VLM3" s="31"/>
      <c r="VLN3" s="30"/>
      <c r="VLO3" s="30"/>
      <c r="VLP3" s="30"/>
      <c r="VLQ3" s="31"/>
      <c r="VLR3" s="30"/>
      <c r="VLS3" s="30"/>
      <c r="VLT3" s="30"/>
      <c r="VLU3" s="31"/>
      <c r="VLV3" s="30"/>
      <c r="VLW3" s="30"/>
      <c r="VLX3" s="30"/>
      <c r="VLY3" s="31"/>
      <c r="VLZ3" s="30"/>
      <c r="VMA3" s="30"/>
      <c r="VMB3" s="30"/>
      <c r="VMC3" s="31"/>
      <c r="VMD3" s="30"/>
      <c r="VME3" s="30"/>
      <c r="VMF3" s="30"/>
      <c r="VMG3" s="31"/>
      <c r="VMH3" s="30"/>
      <c r="VMI3" s="30"/>
      <c r="VMJ3" s="30"/>
      <c r="VMK3" s="31"/>
      <c r="VML3" s="30"/>
      <c r="VMM3" s="30"/>
      <c r="VMN3" s="30"/>
      <c r="VMO3" s="31"/>
      <c r="VMP3" s="30"/>
      <c r="VMQ3" s="30"/>
      <c r="VMR3" s="30"/>
      <c r="VMS3" s="31"/>
      <c r="VMT3" s="30"/>
      <c r="VMU3" s="30"/>
      <c r="VMV3" s="30"/>
      <c r="VMW3" s="31"/>
      <c r="VMX3" s="30"/>
      <c r="VMY3" s="30"/>
      <c r="VMZ3" s="30"/>
      <c r="VNA3" s="31"/>
      <c r="VNB3" s="30"/>
      <c r="VNC3" s="30"/>
      <c r="VND3" s="30"/>
      <c r="VNE3" s="31"/>
      <c r="VNF3" s="30"/>
      <c r="VNG3" s="30"/>
      <c r="VNH3" s="30"/>
      <c r="VNI3" s="31"/>
      <c r="VNJ3" s="30"/>
      <c r="VNK3" s="30"/>
      <c r="VNL3" s="30"/>
      <c r="VNM3" s="31"/>
      <c r="VNN3" s="30"/>
      <c r="VNO3" s="30"/>
      <c r="VNP3" s="30"/>
      <c r="VNQ3" s="31"/>
      <c r="VNR3" s="30"/>
      <c r="VNS3" s="30"/>
      <c r="VNT3" s="30"/>
      <c r="VNU3" s="31"/>
      <c r="VNV3" s="30"/>
      <c r="VNW3" s="30"/>
      <c r="VNX3" s="30"/>
      <c r="VNY3" s="31"/>
      <c r="VNZ3" s="30"/>
      <c r="VOA3" s="30"/>
      <c r="VOB3" s="30"/>
      <c r="VOC3" s="31"/>
      <c r="VOD3" s="30"/>
      <c r="VOE3" s="30"/>
      <c r="VOF3" s="30"/>
      <c r="VOG3" s="31"/>
      <c r="VOH3" s="30"/>
      <c r="VOI3" s="30"/>
      <c r="VOJ3" s="30"/>
      <c r="VOK3" s="31"/>
      <c r="VOL3" s="30"/>
      <c r="VOM3" s="30"/>
      <c r="VON3" s="30"/>
      <c r="VOO3" s="31"/>
      <c r="VOP3" s="30"/>
      <c r="VOQ3" s="30"/>
      <c r="VOR3" s="30"/>
      <c r="VOS3" s="31"/>
      <c r="VOT3" s="30"/>
      <c r="VOU3" s="30"/>
      <c r="VOV3" s="30"/>
      <c r="VOW3" s="31"/>
      <c r="VOX3" s="30"/>
      <c r="VOY3" s="30"/>
      <c r="VOZ3" s="30"/>
      <c r="VPA3" s="31"/>
      <c r="VPB3" s="30"/>
      <c r="VPC3" s="30"/>
      <c r="VPD3" s="30"/>
      <c r="VPE3" s="31"/>
      <c r="VPF3" s="30"/>
      <c r="VPG3" s="30"/>
      <c r="VPH3" s="30"/>
      <c r="VPI3" s="31"/>
      <c r="VPJ3" s="30"/>
      <c r="VPK3" s="30"/>
      <c r="VPL3" s="30"/>
      <c r="VPM3" s="31"/>
      <c r="VPN3" s="30"/>
      <c r="VPO3" s="30"/>
      <c r="VPP3" s="30"/>
      <c r="VPQ3" s="31"/>
      <c r="VPR3" s="30"/>
      <c r="VPS3" s="30"/>
      <c r="VPT3" s="30"/>
      <c r="VPU3" s="31"/>
      <c r="VPV3" s="30"/>
      <c r="VPW3" s="30"/>
      <c r="VPX3" s="30"/>
      <c r="VPY3" s="31"/>
      <c r="VPZ3" s="30"/>
      <c r="VQA3" s="30"/>
      <c r="VQB3" s="30"/>
      <c r="VQC3" s="31"/>
      <c r="VQD3" s="30"/>
      <c r="VQE3" s="30"/>
      <c r="VQF3" s="30"/>
      <c r="VQG3" s="31"/>
      <c r="VQH3" s="30"/>
      <c r="VQI3" s="30"/>
      <c r="VQJ3" s="30"/>
      <c r="VQK3" s="31"/>
      <c r="VQL3" s="30"/>
      <c r="VQM3" s="30"/>
      <c r="VQN3" s="30"/>
      <c r="VQO3" s="31"/>
      <c r="VQP3" s="30"/>
      <c r="VQQ3" s="30"/>
      <c r="VQR3" s="30"/>
      <c r="VQS3" s="31"/>
      <c r="VQT3" s="30"/>
      <c r="VQU3" s="30"/>
      <c r="VQV3" s="30"/>
      <c r="VQW3" s="31"/>
      <c r="VQX3" s="30"/>
      <c r="VQY3" s="30"/>
      <c r="VQZ3" s="30"/>
      <c r="VRA3" s="31"/>
      <c r="VRB3" s="30"/>
      <c r="VRC3" s="30"/>
      <c r="VRD3" s="30"/>
      <c r="VRE3" s="31"/>
      <c r="VRF3" s="30"/>
      <c r="VRG3" s="30"/>
      <c r="VRH3" s="30"/>
      <c r="VRI3" s="31"/>
      <c r="VRJ3" s="30"/>
      <c r="VRK3" s="30"/>
      <c r="VRL3" s="30"/>
      <c r="VRM3" s="31"/>
      <c r="VRN3" s="30"/>
      <c r="VRO3" s="30"/>
      <c r="VRP3" s="30"/>
      <c r="VRQ3" s="31"/>
      <c r="VRR3" s="30"/>
      <c r="VRS3" s="30"/>
      <c r="VRT3" s="30"/>
      <c r="VRU3" s="31"/>
      <c r="VRV3" s="30"/>
      <c r="VRW3" s="30"/>
      <c r="VRX3" s="30"/>
      <c r="VRY3" s="31"/>
      <c r="VRZ3" s="30"/>
      <c r="VSA3" s="30"/>
      <c r="VSB3" s="30"/>
      <c r="VSC3" s="31"/>
      <c r="VSD3" s="30"/>
      <c r="VSE3" s="30"/>
      <c r="VSF3" s="30"/>
      <c r="VSG3" s="31"/>
      <c r="VSH3" s="30"/>
      <c r="VSI3" s="30"/>
      <c r="VSJ3" s="30"/>
      <c r="VSK3" s="31"/>
      <c r="VSL3" s="30"/>
      <c r="VSM3" s="30"/>
      <c r="VSN3" s="30"/>
      <c r="VSO3" s="31"/>
      <c r="VSP3" s="30"/>
      <c r="VSQ3" s="30"/>
      <c r="VSR3" s="30"/>
      <c r="VSS3" s="31"/>
      <c r="VST3" s="30"/>
      <c r="VSU3" s="30"/>
      <c r="VSV3" s="30"/>
      <c r="VSW3" s="31"/>
      <c r="VSX3" s="30"/>
      <c r="VSY3" s="30"/>
      <c r="VSZ3" s="30"/>
      <c r="VTA3" s="31"/>
      <c r="VTB3" s="30"/>
      <c r="VTC3" s="30"/>
      <c r="VTD3" s="30"/>
      <c r="VTE3" s="31"/>
      <c r="VTF3" s="30"/>
      <c r="VTG3" s="30"/>
      <c r="VTH3" s="30"/>
      <c r="VTI3" s="31"/>
      <c r="VTJ3" s="30"/>
      <c r="VTK3" s="30"/>
      <c r="VTL3" s="30"/>
      <c r="VTM3" s="31"/>
      <c r="VTN3" s="30"/>
      <c r="VTO3" s="30"/>
      <c r="VTP3" s="30"/>
      <c r="VTQ3" s="31"/>
      <c r="VTR3" s="30"/>
      <c r="VTS3" s="30"/>
      <c r="VTT3" s="30"/>
      <c r="VTU3" s="31"/>
      <c r="VTV3" s="30"/>
      <c r="VTW3" s="30"/>
      <c r="VTX3" s="30"/>
      <c r="VTY3" s="31"/>
      <c r="VTZ3" s="30"/>
      <c r="VUA3" s="30"/>
      <c r="VUB3" s="30"/>
      <c r="VUC3" s="31"/>
      <c r="VUD3" s="30"/>
      <c r="VUE3" s="30"/>
      <c r="VUF3" s="30"/>
      <c r="VUG3" s="31"/>
      <c r="VUH3" s="30"/>
      <c r="VUI3" s="30"/>
      <c r="VUJ3" s="30"/>
      <c r="VUK3" s="31"/>
      <c r="VUL3" s="30"/>
      <c r="VUM3" s="30"/>
      <c r="VUN3" s="30"/>
      <c r="VUO3" s="31"/>
      <c r="VUP3" s="30"/>
      <c r="VUQ3" s="30"/>
      <c r="VUR3" s="30"/>
      <c r="VUS3" s="31"/>
      <c r="VUT3" s="30"/>
      <c r="VUU3" s="30"/>
      <c r="VUV3" s="30"/>
      <c r="VUW3" s="31"/>
      <c r="VUX3" s="30"/>
      <c r="VUY3" s="30"/>
      <c r="VUZ3" s="30"/>
      <c r="VVA3" s="31"/>
      <c r="VVB3" s="30"/>
      <c r="VVC3" s="30"/>
      <c r="VVD3" s="30"/>
      <c r="VVE3" s="31"/>
      <c r="VVF3" s="30"/>
      <c r="VVG3" s="30"/>
      <c r="VVH3" s="30"/>
      <c r="VVI3" s="31"/>
      <c r="VVJ3" s="30"/>
      <c r="VVK3" s="30"/>
      <c r="VVL3" s="30"/>
      <c r="VVM3" s="31"/>
      <c r="VVN3" s="30"/>
      <c r="VVO3" s="30"/>
      <c r="VVP3" s="30"/>
      <c r="VVQ3" s="31"/>
      <c r="VVR3" s="30"/>
      <c r="VVS3" s="30"/>
      <c r="VVT3" s="30"/>
      <c r="VVU3" s="31"/>
      <c r="VVV3" s="30"/>
      <c r="VVW3" s="30"/>
      <c r="VVX3" s="30"/>
      <c r="VVY3" s="31"/>
      <c r="VVZ3" s="30"/>
      <c r="VWA3" s="30"/>
      <c r="VWB3" s="30"/>
      <c r="VWC3" s="31"/>
      <c r="VWD3" s="30"/>
      <c r="VWE3" s="30"/>
      <c r="VWF3" s="30"/>
      <c r="VWG3" s="31"/>
      <c r="VWH3" s="30"/>
      <c r="VWI3" s="30"/>
      <c r="VWJ3" s="30"/>
      <c r="VWK3" s="31"/>
      <c r="VWL3" s="30"/>
      <c r="VWM3" s="30"/>
      <c r="VWN3" s="30"/>
      <c r="VWO3" s="31"/>
      <c r="VWP3" s="30"/>
      <c r="VWQ3" s="30"/>
      <c r="VWR3" s="30"/>
      <c r="VWS3" s="31"/>
      <c r="VWT3" s="30"/>
      <c r="VWU3" s="30"/>
      <c r="VWV3" s="30"/>
      <c r="VWW3" s="31"/>
      <c r="VWX3" s="30"/>
      <c r="VWY3" s="30"/>
      <c r="VWZ3" s="30"/>
      <c r="VXA3" s="31"/>
      <c r="VXB3" s="30"/>
      <c r="VXC3" s="30"/>
      <c r="VXD3" s="30"/>
      <c r="VXE3" s="31"/>
      <c r="VXF3" s="30"/>
      <c r="VXG3" s="30"/>
      <c r="VXH3" s="30"/>
      <c r="VXI3" s="31"/>
      <c r="VXJ3" s="30"/>
      <c r="VXK3" s="30"/>
      <c r="VXL3" s="30"/>
      <c r="VXM3" s="31"/>
      <c r="VXN3" s="30"/>
      <c r="VXO3" s="30"/>
      <c r="VXP3" s="30"/>
      <c r="VXQ3" s="31"/>
      <c r="VXR3" s="30"/>
      <c r="VXS3" s="30"/>
      <c r="VXT3" s="30"/>
      <c r="VXU3" s="31"/>
      <c r="VXV3" s="30"/>
      <c r="VXW3" s="30"/>
      <c r="VXX3" s="30"/>
      <c r="VXY3" s="31"/>
      <c r="VXZ3" s="30"/>
      <c r="VYA3" s="30"/>
      <c r="VYB3" s="30"/>
      <c r="VYC3" s="31"/>
      <c r="VYD3" s="30"/>
      <c r="VYE3" s="30"/>
      <c r="VYF3" s="30"/>
      <c r="VYG3" s="31"/>
      <c r="VYH3" s="30"/>
      <c r="VYI3" s="30"/>
      <c r="VYJ3" s="30"/>
      <c r="VYK3" s="31"/>
      <c r="VYL3" s="30"/>
      <c r="VYM3" s="30"/>
      <c r="VYN3" s="30"/>
      <c r="VYO3" s="31"/>
      <c r="VYP3" s="30"/>
      <c r="VYQ3" s="30"/>
      <c r="VYR3" s="30"/>
      <c r="VYS3" s="31"/>
      <c r="VYT3" s="30"/>
      <c r="VYU3" s="30"/>
      <c r="VYV3" s="30"/>
      <c r="VYW3" s="31"/>
      <c r="VYX3" s="30"/>
      <c r="VYY3" s="30"/>
      <c r="VYZ3" s="30"/>
      <c r="VZA3" s="31"/>
      <c r="VZB3" s="30"/>
      <c r="VZC3" s="30"/>
      <c r="VZD3" s="30"/>
      <c r="VZE3" s="31"/>
      <c r="VZF3" s="30"/>
      <c r="VZG3" s="30"/>
      <c r="VZH3" s="30"/>
      <c r="VZI3" s="31"/>
      <c r="VZJ3" s="30"/>
      <c r="VZK3" s="30"/>
      <c r="VZL3" s="30"/>
      <c r="VZM3" s="31"/>
      <c r="VZN3" s="30"/>
      <c r="VZO3" s="30"/>
      <c r="VZP3" s="30"/>
      <c r="VZQ3" s="31"/>
      <c r="VZR3" s="30"/>
      <c r="VZS3" s="30"/>
      <c r="VZT3" s="30"/>
      <c r="VZU3" s="31"/>
      <c r="VZV3" s="30"/>
      <c r="VZW3" s="30"/>
      <c r="VZX3" s="30"/>
      <c r="VZY3" s="31"/>
      <c r="VZZ3" s="30"/>
      <c r="WAA3" s="30"/>
      <c r="WAB3" s="30"/>
      <c r="WAC3" s="31"/>
      <c r="WAD3" s="30"/>
      <c r="WAE3" s="30"/>
      <c r="WAF3" s="30"/>
      <c r="WAG3" s="31"/>
      <c r="WAH3" s="30"/>
      <c r="WAI3" s="30"/>
      <c r="WAJ3" s="30"/>
      <c r="WAK3" s="31"/>
      <c r="WAL3" s="30"/>
      <c r="WAM3" s="30"/>
      <c r="WAN3" s="30"/>
      <c r="WAO3" s="31"/>
      <c r="WAP3" s="30"/>
      <c r="WAQ3" s="30"/>
      <c r="WAR3" s="30"/>
      <c r="WAS3" s="31"/>
      <c r="WAT3" s="30"/>
      <c r="WAU3" s="30"/>
      <c r="WAV3" s="30"/>
      <c r="WAW3" s="31"/>
      <c r="WAX3" s="30"/>
      <c r="WAY3" s="30"/>
      <c r="WAZ3" s="30"/>
      <c r="WBA3" s="31"/>
      <c r="WBB3" s="30"/>
      <c r="WBC3" s="30"/>
      <c r="WBD3" s="30"/>
      <c r="WBE3" s="31"/>
      <c r="WBF3" s="30"/>
      <c r="WBG3" s="30"/>
      <c r="WBH3" s="30"/>
      <c r="WBI3" s="31"/>
      <c r="WBJ3" s="30"/>
      <c r="WBK3" s="30"/>
      <c r="WBL3" s="30"/>
      <c r="WBM3" s="31"/>
      <c r="WBN3" s="30"/>
      <c r="WBO3" s="30"/>
      <c r="WBP3" s="30"/>
      <c r="WBQ3" s="31"/>
      <c r="WBR3" s="30"/>
      <c r="WBS3" s="30"/>
      <c r="WBT3" s="30"/>
      <c r="WBU3" s="31"/>
      <c r="WBV3" s="30"/>
      <c r="WBW3" s="30"/>
      <c r="WBX3" s="30"/>
      <c r="WBY3" s="31"/>
      <c r="WBZ3" s="30"/>
      <c r="WCA3" s="30"/>
      <c r="WCB3" s="30"/>
      <c r="WCC3" s="31"/>
      <c r="WCD3" s="30"/>
      <c r="WCE3" s="30"/>
      <c r="WCF3" s="30"/>
      <c r="WCG3" s="31"/>
      <c r="WCH3" s="30"/>
      <c r="WCI3" s="30"/>
      <c r="WCJ3" s="30"/>
      <c r="WCK3" s="31"/>
      <c r="WCL3" s="30"/>
      <c r="WCM3" s="30"/>
      <c r="WCN3" s="30"/>
      <c r="WCO3" s="31"/>
      <c r="WCP3" s="30"/>
      <c r="WCQ3" s="30"/>
      <c r="WCR3" s="30"/>
      <c r="WCS3" s="31"/>
      <c r="WCT3" s="30"/>
      <c r="WCU3" s="30"/>
      <c r="WCV3" s="30"/>
      <c r="WCW3" s="31"/>
      <c r="WCX3" s="30"/>
      <c r="WCY3" s="30"/>
      <c r="WCZ3" s="30"/>
      <c r="WDA3" s="31"/>
      <c r="WDB3" s="30"/>
      <c r="WDC3" s="30"/>
      <c r="WDD3" s="30"/>
      <c r="WDE3" s="31"/>
      <c r="WDF3" s="30"/>
      <c r="WDG3" s="30"/>
      <c r="WDH3" s="30"/>
      <c r="WDI3" s="31"/>
      <c r="WDJ3" s="30"/>
      <c r="WDK3" s="30"/>
      <c r="WDL3" s="30"/>
      <c r="WDM3" s="31"/>
      <c r="WDN3" s="30"/>
      <c r="WDO3" s="30"/>
      <c r="WDP3" s="30"/>
      <c r="WDQ3" s="31"/>
      <c r="WDR3" s="30"/>
      <c r="WDS3" s="30"/>
      <c r="WDT3" s="30"/>
      <c r="WDU3" s="31"/>
      <c r="WDV3" s="30"/>
      <c r="WDW3" s="30"/>
      <c r="WDX3" s="30"/>
      <c r="WDY3" s="31"/>
      <c r="WDZ3" s="30"/>
      <c r="WEA3" s="30"/>
      <c r="WEB3" s="30"/>
      <c r="WEC3" s="31"/>
      <c r="WED3" s="30"/>
      <c r="WEE3" s="30"/>
      <c r="WEF3" s="30"/>
      <c r="WEG3" s="31"/>
      <c r="WEH3" s="30"/>
      <c r="WEI3" s="30"/>
      <c r="WEJ3" s="30"/>
      <c r="WEK3" s="31"/>
      <c r="WEL3" s="30"/>
      <c r="WEM3" s="30"/>
      <c r="WEN3" s="30"/>
      <c r="WEO3" s="31"/>
      <c r="WEP3" s="30"/>
      <c r="WEQ3" s="30"/>
      <c r="WER3" s="30"/>
      <c r="WES3" s="31"/>
      <c r="WET3" s="30"/>
      <c r="WEU3" s="30"/>
      <c r="WEV3" s="30"/>
      <c r="WEW3" s="31"/>
      <c r="WEX3" s="30"/>
      <c r="WEY3" s="30"/>
      <c r="WEZ3" s="30"/>
      <c r="WFA3" s="31"/>
      <c r="WFB3" s="30"/>
      <c r="WFC3" s="30"/>
      <c r="WFD3" s="30"/>
      <c r="WFE3" s="31"/>
      <c r="WFF3" s="30"/>
      <c r="WFG3" s="30"/>
      <c r="WFH3" s="30"/>
      <c r="WFI3" s="31"/>
      <c r="WFJ3" s="30"/>
      <c r="WFK3" s="30"/>
      <c r="WFL3" s="30"/>
      <c r="WFM3" s="31"/>
      <c r="WFN3" s="30"/>
      <c r="WFO3" s="30"/>
      <c r="WFP3" s="30"/>
      <c r="WFQ3" s="31"/>
      <c r="WFR3" s="30"/>
      <c r="WFS3" s="30"/>
      <c r="WFT3" s="30"/>
      <c r="WFU3" s="31"/>
      <c r="WFV3" s="30"/>
      <c r="WFW3" s="30"/>
      <c r="WFX3" s="30"/>
      <c r="WFY3" s="31"/>
      <c r="WFZ3" s="30"/>
      <c r="WGA3" s="30"/>
      <c r="WGB3" s="30"/>
      <c r="WGC3" s="31"/>
      <c r="WGD3" s="30"/>
      <c r="WGE3" s="30"/>
      <c r="WGF3" s="30"/>
      <c r="WGG3" s="31"/>
      <c r="WGH3" s="30"/>
      <c r="WGI3" s="30"/>
      <c r="WGJ3" s="30"/>
      <c r="WGK3" s="31"/>
      <c r="WGL3" s="30"/>
      <c r="WGM3" s="30"/>
      <c r="WGN3" s="30"/>
      <c r="WGO3" s="31"/>
      <c r="WGP3" s="30"/>
      <c r="WGQ3" s="30"/>
      <c r="WGR3" s="30"/>
      <c r="WGS3" s="31"/>
      <c r="WGT3" s="30"/>
      <c r="WGU3" s="30"/>
      <c r="WGV3" s="30"/>
      <c r="WGW3" s="31"/>
      <c r="WGX3" s="30"/>
      <c r="WGY3" s="30"/>
      <c r="WGZ3" s="30"/>
      <c r="WHA3" s="31"/>
      <c r="WHB3" s="30"/>
      <c r="WHC3" s="30"/>
      <c r="WHD3" s="30"/>
      <c r="WHE3" s="31"/>
      <c r="WHF3" s="30"/>
      <c r="WHG3" s="30"/>
      <c r="WHH3" s="30"/>
      <c r="WHI3" s="31"/>
      <c r="WHJ3" s="30"/>
      <c r="WHK3" s="30"/>
      <c r="WHL3" s="30"/>
      <c r="WHM3" s="31"/>
      <c r="WHN3" s="30"/>
      <c r="WHO3" s="30"/>
      <c r="WHP3" s="30"/>
      <c r="WHQ3" s="31"/>
      <c r="WHR3" s="30"/>
      <c r="WHS3" s="30"/>
      <c r="WHT3" s="30"/>
      <c r="WHU3" s="31"/>
      <c r="WHV3" s="30"/>
      <c r="WHW3" s="30"/>
      <c r="WHX3" s="30"/>
      <c r="WHY3" s="31"/>
      <c r="WHZ3" s="30"/>
      <c r="WIA3" s="30"/>
      <c r="WIB3" s="30"/>
      <c r="WIC3" s="31"/>
      <c r="WID3" s="30"/>
      <c r="WIE3" s="30"/>
      <c r="WIF3" s="30"/>
      <c r="WIG3" s="31"/>
      <c r="WIH3" s="30"/>
      <c r="WII3" s="30"/>
      <c r="WIJ3" s="30"/>
      <c r="WIK3" s="31"/>
      <c r="WIL3" s="30"/>
      <c r="WIM3" s="30"/>
      <c r="WIN3" s="30"/>
      <c r="WIO3" s="31"/>
      <c r="WIP3" s="30"/>
      <c r="WIQ3" s="30"/>
      <c r="WIR3" s="30"/>
      <c r="WIS3" s="31"/>
      <c r="WIT3" s="30"/>
      <c r="WIU3" s="30"/>
      <c r="WIV3" s="30"/>
      <c r="WIW3" s="31"/>
      <c r="WIX3" s="30"/>
      <c r="WIY3" s="30"/>
      <c r="WIZ3" s="30"/>
      <c r="WJA3" s="31"/>
      <c r="WJB3" s="30"/>
      <c r="WJC3" s="30"/>
      <c r="WJD3" s="30"/>
      <c r="WJE3" s="31"/>
      <c r="WJF3" s="30"/>
      <c r="WJG3" s="30"/>
      <c r="WJH3" s="30"/>
      <c r="WJI3" s="31"/>
      <c r="WJJ3" s="30"/>
      <c r="WJK3" s="30"/>
      <c r="WJL3" s="30"/>
      <c r="WJM3" s="31"/>
      <c r="WJN3" s="30"/>
      <c r="WJO3" s="30"/>
      <c r="WJP3" s="30"/>
      <c r="WJQ3" s="31"/>
      <c r="WJR3" s="30"/>
      <c r="WJS3" s="30"/>
      <c r="WJT3" s="30"/>
      <c r="WJU3" s="31"/>
      <c r="WJV3" s="30"/>
      <c r="WJW3" s="30"/>
      <c r="WJX3" s="30"/>
      <c r="WJY3" s="31"/>
      <c r="WJZ3" s="30"/>
      <c r="WKA3" s="30"/>
      <c r="WKB3" s="30"/>
      <c r="WKC3" s="31"/>
      <c r="WKD3" s="30"/>
      <c r="WKE3" s="30"/>
      <c r="WKF3" s="30"/>
      <c r="WKG3" s="31"/>
      <c r="WKH3" s="30"/>
      <c r="WKI3" s="30"/>
      <c r="WKJ3" s="30"/>
      <c r="WKK3" s="31"/>
      <c r="WKL3" s="30"/>
      <c r="WKM3" s="30"/>
      <c r="WKN3" s="30"/>
      <c r="WKO3" s="31"/>
      <c r="WKP3" s="30"/>
      <c r="WKQ3" s="30"/>
      <c r="WKR3" s="30"/>
      <c r="WKS3" s="31"/>
      <c r="WKT3" s="30"/>
      <c r="WKU3" s="30"/>
      <c r="WKV3" s="30"/>
      <c r="WKW3" s="31"/>
      <c r="WKX3" s="30"/>
      <c r="WKY3" s="30"/>
      <c r="WKZ3" s="30"/>
      <c r="WLA3" s="31"/>
      <c r="WLB3" s="30"/>
      <c r="WLC3" s="30"/>
      <c r="WLD3" s="30"/>
      <c r="WLE3" s="31"/>
      <c r="WLF3" s="30"/>
      <c r="WLG3" s="30"/>
      <c r="WLH3" s="30"/>
      <c r="WLI3" s="31"/>
      <c r="WLJ3" s="30"/>
      <c r="WLK3" s="30"/>
      <c r="WLL3" s="30"/>
      <c r="WLM3" s="31"/>
      <c r="WLN3" s="30"/>
      <c r="WLO3" s="30"/>
      <c r="WLP3" s="30"/>
      <c r="WLQ3" s="31"/>
      <c r="WLR3" s="30"/>
      <c r="WLS3" s="30"/>
      <c r="WLT3" s="30"/>
      <c r="WLU3" s="31"/>
      <c r="WLV3" s="30"/>
      <c r="WLW3" s="30"/>
      <c r="WLX3" s="30"/>
      <c r="WLY3" s="31"/>
      <c r="WLZ3" s="30"/>
      <c r="WMA3" s="30"/>
      <c r="WMB3" s="30"/>
      <c r="WMC3" s="31"/>
      <c r="WMD3" s="30"/>
      <c r="WME3" s="30"/>
      <c r="WMF3" s="30"/>
      <c r="WMG3" s="31"/>
      <c r="WMH3" s="30"/>
      <c r="WMI3" s="30"/>
      <c r="WMJ3" s="30"/>
      <c r="WMK3" s="31"/>
      <c r="WML3" s="30"/>
      <c r="WMM3" s="30"/>
      <c r="WMN3" s="30"/>
      <c r="WMO3" s="31"/>
      <c r="WMP3" s="30"/>
      <c r="WMQ3" s="30"/>
      <c r="WMR3" s="30"/>
      <c r="WMS3" s="31"/>
      <c r="WMT3" s="30"/>
      <c r="WMU3" s="30"/>
      <c r="WMV3" s="30"/>
      <c r="WMW3" s="31"/>
      <c r="WMX3" s="30"/>
      <c r="WMY3" s="30"/>
      <c r="WMZ3" s="30"/>
      <c r="WNA3" s="31"/>
      <c r="WNB3" s="30"/>
      <c r="WNC3" s="30"/>
      <c r="WND3" s="30"/>
      <c r="WNE3" s="31"/>
      <c r="WNF3" s="30"/>
      <c r="WNG3" s="30"/>
      <c r="WNH3" s="30"/>
      <c r="WNI3" s="31"/>
      <c r="WNJ3" s="30"/>
      <c r="WNK3" s="30"/>
      <c r="WNL3" s="30"/>
      <c r="WNM3" s="31"/>
      <c r="WNN3" s="30"/>
      <c r="WNO3" s="30"/>
      <c r="WNP3" s="30"/>
      <c r="WNQ3" s="31"/>
      <c r="WNR3" s="30"/>
      <c r="WNS3" s="30"/>
      <c r="WNT3" s="30"/>
      <c r="WNU3" s="31"/>
      <c r="WNV3" s="30"/>
      <c r="WNW3" s="30"/>
      <c r="WNX3" s="30"/>
      <c r="WNY3" s="31"/>
      <c r="WNZ3" s="30"/>
      <c r="WOA3" s="30"/>
      <c r="WOB3" s="30"/>
      <c r="WOC3" s="31"/>
      <c r="WOD3" s="30"/>
      <c r="WOE3" s="30"/>
      <c r="WOF3" s="30"/>
      <c r="WOG3" s="31"/>
      <c r="WOH3" s="30"/>
      <c r="WOI3" s="30"/>
      <c r="WOJ3" s="30"/>
      <c r="WOK3" s="31"/>
      <c r="WOL3" s="30"/>
      <c r="WOM3" s="30"/>
      <c r="WON3" s="30"/>
      <c r="WOO3" s="31"/>
      <c r="WOP3" s="30"/>
      <c r="WOQ3" s="30"/>
      <c r="WOR3" s="30"/>
      <c r="WOS3" s="31"/>
      <c r="WOT3" s="30"/>
      <c r="WOU3" s="30"/>
      <c r="WOV3" s="30"/>
      <c r="WOW3" s="31"/>
      <c r="WOX3" s="30"/>
      <c r="WOY3" s="30"/>
      <c r="WOZ3" s="30"/>
      <c r="WPA3" s="31"/>
      <c r="WPB3" s="30"/>
      <c r="WPC3" s="30"/>
      <c r="WPD3" s="30"/>
      <c r="WPE3" s="31"/>
      <c r="WPF3" s="30"/>
      <c r="WPG3" s="30"/>
      <c r="WPH3" s="30"/>
      <c r="WPI3" s="31"/>
      <c r="WPJ3" s="30"/>
      <c r="WPK3" s="30"/>
      <c r="WPL3" s="30"/>
      <c r="WPM3" s="31"/>
      <c r="WPN3" s="30"/>
      <c r="WPO3" s="30"/>
      <c r="WPP3" s="30"/>
      <c r="WPQ3" s="31"/>
      <c r="WPR3" s="30"/>
      <c r="WPS3" s="30"/>
      <c r="WPT3" s="30"/>
      <c r="WPU3" s="31"/>
      <c r="WPV3" s="30"/>
      <c r="WPW3" s="30"/>
      <c r="WPX3" s="30"/>
      <c r="WPY3" s="31"/>
      <c r="WPZ3" s="30"/>
      <c r="WQA3" s="30"/>
      <c r="WQB3" s="30"/>
      <c r="WQC3" s="31"/>
      <c r="WQD3" s="30"/>
      <c r="WQE3" s="30"/>
      <c r="WQF3" s="30"/>
      <c r="WQG3" s="31"/>
      <c r="WQH3" s="30"/>
      <c r="WQI3" s="30"/>
      <c r="WQJ3" s="30"/>
      <c r="WQK3" s="31"/>
      <c r="WQL3" s="30"/>
      <c r="WQM3" s="30"/>
      <c r="WQN3" s="30"/>
      <c r="WQO3" s="31"/>
      <c r="WQP3" s="30"/>
      <c r="WQQ3" s="30"/>
      <c r="WQR3" s="30"/>
      <c r="WQS3" s="31"/>
      <c r="WQT3" s="30"/>
      <c r="WQU3" s="30"/>
      <c r="WQV3" s="30"/>
      <c r="WQW3" s="31"/>
      <c r="WQX3" s="30"/>
      <c r="WQY3" s="30"/>
      <c r="WQZ3" s="30"/>
      <c r="WRA3" s="31"/>
      <c r="WRB3" s="30"/>
      <c r="WRC3" s="30"/>
      <c r="WRD3" s="30"/>
      <c r="WRE3" s="31"/>
      <c r="WRF3" s="30"/>
      <c r="WRG3" s="30"/>
      <c r="WRH3" s="30"/>
      <c r="WRI3" s="31"/>
      <c r="WRJ3" s="30"/>
      <c r="WRK3" s="30"/>
      <c r="WRL3" s="30"/>
      <c r="WRM3" s="31"/>
      <c r="WRN3" s="30"/>
      <c r="WRO3" s="30"/>
      <c r="WRP3" s="30"/>
      <c r="WRQ3" s="31"/>
      <c r="WRR3" s="30"/>
      <c r="WRS3" s="30"/>
      <c r="WRT3" s="30"/>
      <c r="WRU3" s="31"/>
      <c r="WRV3" s="30"/>
      <c r="WRW3" s="30"/>
      <c r="WRX3" s="30"/>
      <c r="WRY3" s="31"/>
      <c r="WRZ3" s="30"/>
      <c r="WSA3" s="30"/>
      <c r="WSB3" s="30"/>
      <c r="WSC3" s="31"/>
      <c r="WSD3" s="30"/>
      <c r="WSE3" s="30"/>
      <c r="WSF3" s="30"/>
      <c r="WSG3" s="31"/>
      <c r="WSH3" s="30"/>
      <c r="WSI3" s="30"/>
      <c r="WSJ3" s="30"/>
      <c r="WSK3" s="31"/>
      <c r="WSL3" s="30"/>
      <c r="WSM3" s="30"/>
      <c r="WSN3" s="30"/>
      <c r="WSO3" s="31"/>
      <c r="WSP3" s="30"/>
      <c r="WSQ3" s="30"/>
      <c r="WSR3" s="30"/>
      <c r="WSS3" s="31"/>
      <c r="WST3" s="30"/>
      <c r="WSU3" s="30"/>
      <c r="WSV3" s="30"/>
      <c r="WSW3" s="31"/>
      <c r="WSX3" s="30"/>
      <c r="WSY3" s="30"/>
      <c r="WSZ3" s="30"/>
      <c r="WTA3" s="31"/>
      <c r="WTB3" s="30"/>
      <c r="WTC3" s="30"/>
      <c r="WTD3" s="30"/>
      <c r="WTE3" s="31"/>
      <c r="WTF3" s="30"/>
      <c r="WTG3" s="30"/>
      <c r="WTH3" s="30"/>
      <c r="WTI3" s="31"/>
      <c r="WTJ3" s="30"/>
      <c r="WTK3" s="30"/>
      <c r="WTL3" s="30"/>
      <c r="WTM3" s="31"/>
      <c r="WTN3" s="30"/>
      <c r="WTO3" s="30"/>
      <c r="WTP3" s="30"/>
      <c r="WTQ3" s="31"/>
      <c r="WTR3" s="30"/>
      <c r="WTS3" s="30"/>
      <c r="WTT3" s="30"/>
      <c r="WTU3" s="31"/>
      <c r="WTV3" s="30"/>
      <c r="WTW3" s="30"/>
      <c r="WTX3" s="30"/>
      <c r="WTY3" s="31"/>
      <c r="WTZ3" s="30"/>
      <c r="WUA3" s="30"/>
      <c r="WUB3" s="30"/>
      <c r="WUC3" s="31"/>
      <c r="WUD3" s="30"/>
      <c r="WUE3" s="30"/>
      <c r="WUF3" s="30"/>
      <c r="WUG3" s="31"/>
      <c r="WUH3" s="30"/>
      <c r="WUI3" s="30"/>
      <c r="WUJ3" s="30"/>
      <c r="WUK3" s="31"/>
      <c r="WUL3" s="30"/>
      <c r="WUM3" s="30"/>
      <c r="WUN3" s="30"/>
      <c r="WUO3" s="31"/>
      <c r="WUP3" s="30"/>
      <c r="WUQ3" s="30"/>
      <c r="WUR3" s="30"/>
      <c r="WUS3" s="31"/>
      <c r="WUT3" s="30"/>
      <c r="WUU3" s="30"/>
      <c r="WUV3" s="30"/>
      <c r="WUW3" s="31"/>
      <c r="WUX3" s="30"/>
      <c r="WUY3" s="30"/>
      <c r="WUZ3" s="30"/>
      <c r="WVA3" s="31"/>
      <c r="WVB3" s="30"/>
      <c r="WVC3" s="30"/>
      <c r="WVD3" s="30"/>
      <c r="WVE3" s="31"/>
      <c r="WVF3" s="30"/>
      <c r="WVG3" s="30"/>
      <c r="WVH3" s="30"/>
      <c r="WVI3" s="31"/>
      <c r="WVJ3" s="30"/>
      <c r="WVK3" s="30"/>
      <c r="WVL3" s="30"/>
      <c r="WVM3" s="31"/>
      <c r="WVN3" s="30"/>
      <c r="WVO3" s="30"/>
      <c r="WVP3" s="30"/>
      <c r="WVQ3" s="31"/>
      <c r="WVR3" s="30"/>
      <c r="WVS3" s="30"/>
      <c r="WVT3" s="30"/>
      <c r="WVU3" s="31"/>
      <c r="WVV3" s="30"/>
      <c r="WVW3" s="30"/>
      <c r="WVX3" s="30"/>
      <c r="WVY3" s="31"/>
      <c r="WVZ3" s="30"/>
      <c r="WWA3" s="30"/>
      <c r="WWB3" s="30"/>
      <c r="WWC3" s="31"/>
      <c r="WWD3" s="30"/>
      <c r="WWE3" s="30"/>
      <c r="WWF3" s="30"/>
      <c r="WWG3" s="31"/>
      <c r="WWH3" s="30"/>
      <c r="WWI3" s="30"/>
      <c r="WWJ3" s="30"/>
      <c r="WWK3" s="31"/>
      <c r="WWL3" s="30"/>
      <c r="WWM3" s="30"/>
      <c r="WWN3" s="30"/>
      <c r="WWO3" s="31"/>
      <c r="WWP3" s="30"/>
      <c r="WWQ3" s="30"/>
      <c r="WWR3" s="30"/>
      <c r="WWS3" s="31"/>
      <c r="WWT3" s="30"/>
      <c r="WWU3" s="30"/>
      <c r="WWV3" s="30"/>
      <c r="WWW3" s="31"/>
      <c r="WWX3" s="30"/>
      <c r="WWY3" s="30"/>
      <c r="WWZ3" s="30"/>
      <c r="WXA3" s="31"/>
      <c r="WXB3" s="30"/>
      <c r="WXC3" s="30"/>
      <c r="WXD3" s="30"/>
      <c r="WXE3" s="31"/>
      <c r="WXF3" s="30"/>
      <c r="WXG3" s="30"/>
      <c r="WXH3" s="30"/>
      <c r="WXI3" s="31"/>
      <c r="WXJ3" s="30"/>
      <c r="WXK3" s="30"/>
      <c r="WXL3" s="30"/>
      <c r="WXM3" s="31"/>
      <c r="WXN3" s="30"/>
      <c r="WXO3" s="30"/>
      <c r="WXP3" s="30"/>
      <c r="WXQ3" s="31"/>
      <c r="WXR3" s="30"/>
      <c r="WXS3" s="30"/>
      <c r="WXT3" s="30"/>
      <c r="WXU3" s="31"/>
      <c r="WXV3" s="30"/>
      <c r="WXW3" s="30"/>
      <c r="WXX3" s="30"/>
      <c r="WXY3" s="31"/>
      <c r="WXZ3" s="30"/>
      <c r="WYA3" s="30"/>
      <c r="WYB3" s="30"/>
      <c r="WYC3" s="31"/>
      <c r="WYD3" s="30"/>
      <c r="WYE3" s="30"/>
      <c r="WYF3" s="30"/>
      <c r="WYG3" s="31"/>
      <c r="WYH3" s="30"/>
      <c r="WYI3" s="30"/>
      <c r="WYJ3" s="30"/>
      <c r="WYK3" s="31"/>
      <c r="WYL3" s="30"/>
      <c r="WYM3" s="30"/>
      <c r="WYN3" s="30"/>
      <c r="WYO3" s="31"/>
      <c r="WYP3" s="30"/>
      <c r="WYQ3" s="30"/>
      <c r="WYR3" s="30"/>
      <c r="WYS3" s="31"/>
      <c r="WYT3" s="30"/>
      <c r="WYU3" s="30"/>
      <c r="WYV3" s="30"/>
      <c r="WYW3" s="31"/>
      <c r="WYX3" s="30"/>
      <c r="WYY3" s="30"/>
      <c r="WYZ3" s="30"/>
      <c r="WZA3" s="31"/>
      <c r="WZB3" s="30"/>
      <c r="WZC3" s="30"/>
      <c r="WZD3" s="30"/>
      <c r="WZE3" s="31"/>
      <c r="WZF3" s="30"/>
      <c r="WZG3" s="30"/>
      <c r="WZH3" s="30"/>
      <c r="WZI3" s="31"/>
      <c r="WZJ3" s="30"/>
      <c r="WZK3" s="30"/>
      <c r="WZL3" s="30"/>
      <c r="WZM3" s="31"/>
      <c r="WZN3" s="30"/>
      <c r="WZO3" s="30"/>
      <c r="WZP3" s="30"/>
      <c r="WZQ3" s="31"/>
      <c r="WZR3" s="30"/>
      <c r="WZS3" s="30"/>
      <c r="WZT3" s="30"/>
      <c r="WZU3" s="31"/>
      <c r="WZV3" s="30"/>
      <c r="WZW3" s="30"/>
      <c r="WZX3" s="30"/>
      <c r="WZY3" s="31"/>
      <c r="WZZ3" s="30"/>
      <c r="XAA3" s="30"/>
      <c r="XAB3" s="30"/>
      <c r="XAC3" s="31"/>
      <c r="XAD3" s="30"/>
      <c r="XAE3" s="30"/>
      <c r="XAF3" s="30"/>
      <c r="XAG3" s="31"/>
      <c r="XAH3" s="30"/>
      <c r="XAI3" s="30"/>
      <c r="XAJ3" s="30"/>
      <c r="XAK3" s="31"/>
      <c r="XAL3" s="30"/>
      <c r="XAM3" s="30"/>
      <c r="XAN3" s="30"/>
      <c r="XAO3" s="31"/>
      <c r="XAP3" s="30"/>
      <c r="XAQ3" s="30"/>
      <c r="XAR3" s="30"/>
      <c r="XAS3" s="31"/>
      <c r="XAT3" s="30"/>
      <c r="XAU3" s="30"/>
      <c r="XAV3" s="30"/>
      <c r="XAW3" s="31"/>
      <c r="XAX3" s="30"/>
      <c r="XAY3" s="30"/>
      <c r="XAZ3" s="30"/>
      <c r="XBA3" s="31"/>
      <c r="XBB3" s="30"/>
      <c r="XBC3" s="30"/>
      <c r="XBD3" s="30"/>
      <c r="XBE3" s="31"/>
      <c r="XBF3" s="30"/>
      <c r="XBG3" s="30"/>
      <c r="XBH3" s="30"/>
      <c r="XBI3" s="31"/>
      <c r="XBJ3" s="30"/>
      <c r="XBK3" s="30"/>
      <c r="XBL3" s="30"/>
      <c r="XBM3" s="31"/>
      <c r="XBN3" s="30"/>
      <c r="XBO3" s="30"/>
      <c r="XBP3" s="30"/>
      <c r="XBQ3" s="31"/>
      <c r="XBR3" s="30"/>
      <c r="XBS3" s="30"/>
      <c r="XBT3" s="30"/>
      <c r="XBU3" s="31"/>
      <c r="XBV3" s="30"/>
      <c r="XBW3" s="30"/>
      <c r="XBX3" s="30"/>
      <c r="XBY3" s="31"/>
      <c r="XBZ3" s="30"/>
      <c r="XCA3" s="30"/>
      <c r="XCB3" s="30"/>
      <c r="XCC3" s="31"/>
      <c r="XCD3" s="30"/>
      <c r="XCE3" s="30"/>
      <c r="XCF3" s="30"/>
      <c r="XCG3" s="31"/>
      <c r="XCH3" s="30"/>
      <c r="XCI3" s="30"/>
      <c r="XCJ3" s="30"/>
      <c r="XCK3" s="31"/>
      <c r="XCL3" s="30"/>
      <c r="XCM3" s="30"/>
      <c r="XCN3" s="30"/>
      <c r="XCO3" s="31"/>
      <c r="XCP3" s="30"/>
      <c r="XCQ3" s="30"/>
      <c r="XCR3" s="30"/>
      <c r="XCS3" s="31"/>
      <c r="XCT3" s="30"/>
      <c r="XCU3" s="30"/>
      <c r="XCV3" s="30"/>
      <c r="XCW3" s="31"/>
      <c r="XCX3" s="30"/>
      <c r="XCY3" s="30"/>
      <c r="XCZ3" s="30"/>
      <c r="XDA3" s="31"/>
      <c r="XDB3" s="30"/>
      <c r="XDC3" s="30"/>
      <c r="XDD3" s="30"/>
      <c r="XDE3" s="31"/>
      <c r="XDF3" s="30"/>
      <c r="XDG3" s="30"/>
      <c r="XDH3" s="30"/>
      <c r="XDI3" s="31"/>
      <c r="XDJ3" s="30"/>
      <c r="XDK3" s="30"/>
      <c r="XDL3" s="30"/>
      <c r="XDM3" s="31"/>
      <c r="XDN3" s="30"/>
      <c r="XDO3" s="30"/>
      <c r="XDP3" s="30"/>
      <c r="XDQ3" s="31"/>
      <c r="XDR3" s="30"/>
      <c r="XDS3" s="30"/>
      <c r="XDT3" s="30"/>
      <c r="XDU3" s="31"/>
      <c r="XDV3" s="30"/>
      <c r="XDW3" s="30"/>
      <c r="XDX3" s="30"/>
      <c r="XDY3" s="31"/>
      <c r="XDZ3" s="30"/>
      <c r="XEA3" s="30"/>
      <c r="XEB3" s="30"/>
      <c r="XEC3" s="31"/>
      <c r="XED3" s="30"/>
      <c r="XEE3" s="30"/>
      <c r="XEF3" s="30"/>
      <c r="XEG3" s="31"/>
      <c r="XEH3" s="30"/>
      <c r="XEI3" s="30"/>
      <c r="XEJ3" s="30"/>
      <c r="XEK3" s="31"/>
      <c r="XEL3" s="30"/>
      <c r="XEM3" s="30"/>
      <c r="XEN3" s="30"/>
      <c r="XEO3" s="31"/>
      <c r="XEP3" s="30"/>
      <c r="XEQ3" s="30"/>
      <c r="XER3" s="30"/>
      <c r="XES3" s="31"/>
      <c r="XET3" s="30"/>
      <c r="XEU3" s="30"/>
      <c r="XEV3" s="30"/>
      <c r="XEW3" s="31"/>
      <c r="XEX3" s="31"/>
      <c r="XEY3" s="31"/>
      <c r="XEZ3" s="31"/>
    </row>
    <row r="4" spans="1:16380" ht="21" customHeight="1" thickBot="1" x14ac:dyDescent="0.35">
      <c r="A4" s="298" t="s">
        <v>139</v>
      </c>
      <c r="B4" s="299" t="s">
        <v>140</v>
      </c>
      <c r="C4" s="299" t="s">
        <v>65</v>
      </c>
      <c r="D4" s="300"/>
    </row>
    <row r="5" spans="1:16380" ht="21" customHeight="1" thickBot="1" x14ac:dyDescent="0.35">
      <c r="A5" s="444">
        <f>Año_Inicial</f>
        <v>2023</v>
      </c>
      <c r="B5" s="445"/>
      <c r="C5" s="446"/>
      <c r="D5" s="300"/>
    </row>
    <row r="6" spans="1:16380" ht="21" customHeight="1" thickBot="1" x14ac:dyDescent="0.35">
      <c r="A6" s="441" t="s">
        <v>141</v>
      </c>
      <c r="B6" s="442"/>
      <c r="C6" s="443"/>
      <c r="D6" s="300"/>
    </row>
    <row r="7" spans="1:16380" ht="26.1" customHeight="1" x14ac:dyDescent="0.3">
      <c r="A7" s="210" t="s">
        <v>142</v>
      </c>
      <c r="B7" s="301"/>
      <c r="C7" s="209"/>
    </row>
    <row r="8" spans="1:16380" ht="26.1" customHeight="1" x14ac:dyDescent="0.3">
      <c r="A8" s="210" t="s">
        <v>143</v>
      </c>
      <c r="B8" s="301"/>
      <c r="C8" s="209"/>
    </row>
    <row r="9" spans="1:16380" ht="26.1" customHeight="1" x14ac:dyDescent="0.3">
      <c r="A9" s="210" t="s">
        <v>144</v>
      </c>
      <c r="B9" s="301"/>
      <c r="C9" s="209"/>
    </row>
    <row r="10" spans="1:16380" ht="26.1" customHeight="1" x14ac:dyDescent="0.3">
      <c r="A10" s="210" t="s">
        <v>145</v>
      </c>
      <c r="B10" s="301"/>
      <c r="C10" s="209"/>
    </row>
    <row r="11" spans="1:16380" ht="26.1" customHeight="1" x14ac:dyDescent="0.3">
      <c r="A11" s="210"/>
      <c r="B11" s="301"/>
      <c r="C11" s="209"/>
    </row>
    <row r="12" spans="1:16380" ht="26.1" customHeight="1" x14ac:dyDescent="0.3">
      <c r="A12" s="210"/>
      <c r="B12" s="301"/>
      <c r="C12" s="302"/>
    </row>
    <row r="13" spans="1:16380" ht="26.1" customHeight="1" x14ac:dyDescent="0.3">
      <c r="A13" s="210"/>
      <c r="B13" s="301"/>
      <c r="C13" s="302"/>
    </row>
    <row r="14" spans="1:16380" ht="26.1" customHeight="1" x14ac:dyDescent="0.3">
      <c r="A14" s="210"/>
      <c r="B14" s="301"/>
      <c r="C14" s="302"/>
    </row>
    <row r="15" spans="1:16380" ht="26.1" customHeight="1" x14ac:dyDescent="0.3">
      <c r="A15" s="210"/>
      <c r="B15" s="301"/>
      <c r="C15" s="302"/>
    </row>
    <row r="16" spans="1:16380" ht="26.1" customHeight="1" thickBot="1" x14ac:dyDescent="0.35">
      <c r="A16" s="210"/>
      <c r="B16" s="301"/>
      <c r="C16" s="302"/>
    </row>
    <row r="17" spans="1:8" ht="20.100000000000001" customHeight="1" thickBot="1" x14ac:dyDescent="0.35">
      <c r="A17" s="303" t="s">
        <v>146</v>
      </c>
      <c r="B17" s="304">
        <f>SUM(B7:B16)</f>
        <v>0</v>
      </c>
      <c r="C17" s="305"/>
    </row>
    <row r="18" spans="1:8" s="12" customFormat="1" ht="20.100000000000001" customHeight="1" thickBot="1" x14ac:dyDescent="0.35">
      <c r="A18" s="441" t="s">
        <v>147</v>
      </c>
      <c r="B18" s="442"/>
      <c r="C18" s="443"/>
      <c r="D18" s="58"/>
      <c r="E18" s="58"/>
      <c r="F18" s="58"/>
      <c r="G18" s="58"/>
      <c r="H18" s="58"/>
    </row>
    <row r="19" spans="1:8" s="12" customFormat="1" ht="20.100000000000001" customHeight="1" x14ac:dyDescent="0.3">
      <c r="A19" s="210" t="s">
        <v>148</v>
      </c>
      <c r="B19" s="306"/>
      <c r="C19" s="307"/>
      <c r="D19" s="58"/>
      <c r="E19" s="58"/>
      <c r="F19" s="58"/>
      <c r="G19" s="58"/>
      <c r="H19" s="58"/>
    </row>
    <row r="20" spans="1:8" s="12" customFormat="1" ht="20.100000000000001" customHeight="1" x14ac:dyDescent="0.3">
      <c r="A20" s="210" t="s">
        <v>149</v>
      </c>
      <c r="B20" s="306"/>
      <c r="C20" s="308"/>
      <c r="D20" s="58"/>
      <c r="E20" s="58"/>
      <c r="F20" s="58"/>
      <c r="G20" s="58"/>
      <c r="H20" s="58"/>
    </row>
    <row r="21" spans="1:8" s="12" customFormat="1" ht="20.100000000000001" customHeight="1" x14ac:dyDescent="0.3">
      <c r="A21" s="210" t="s">
        <v>150</v>
      </c>
      <c r="B21" s="306"/>
      <c r="C21" s="308"/>
      <c r="D21" s="58"/>
      <c r="E21" s="58"/>
      <c r="F21" s="58"/>
      <c r="G21" s="58"/>
      <c r="H21" s="58"/>
    </row>
    <row r="22" spans="1:8" s="12" customFormat="1" ht="20.100000000000001" customHeight="1" x14ac:dyDescent="0.3">
      <c r="A22" s="210"/>
      <c r="B22" s="306"/>
      <c r="C22" s="308"/>
      <c r="D22" s="58"/>
      <c r="E22" s="58"/>
      <c r="F22" s="58"/>
      <c r="G22" s="58"/>
      <c r="H22" s="58"/>
    </row>
    <row r="23" spans="1:8" s="12" customFormat="1" ht="20.100000000000001" customHeight="1" x14ac:dyDescent="0.3">
      <c r="A23" s="210"/>
      <c r="B23" s="306"/>
      <c r="C23" s="308"/>
      <c r="D23" s="58"/>
      <c r="E23" s="58"/>
      <c r="F23" s="58"/>
      <c r="G23" s="58"/>
      <c r="H23" s="58"/>
    </row>
    <row r="24" spans="1:8" s="12" customFormat="1" ht="20.100000000000001" customHeight="1" thickBot="1" x14ac:dyDescent="0.35">
      <c r="A24" s="210"/>
      <c r="B24" s="306"/>
      <c r="C24" s="309"/>
      <c r="D24" s="58"/>
      <c r="E24" s="58"/>
      <c r="F24" s="58"/>
      <c r="G24" s="58"/>
      <c r="H24" s="58"/>
    </row>
    <row r="25" spans="1:8" ht="20.100000000000001" customHeight="1" x14ac:dyDescent="0.3">
      <c r="A25" s="303" t="s">
        <v>146</v>
      </c>
      <c r="B25" s="304">
        <f>SUM(B19:B24)</f>
        <v>0</v>
      </c>
      <c r="C25" s="310"/>
    </row>
    <row r="26" spans="1:8" ht="20.100000000000001" customHeight="1" thickBot="1" x14ac:dyDescent="0.35">
      <c r="A26" s="447">
        <f>Año_Inicial+1</f>
        <v>2024</v>
      </c>
      <c r="B26" s="448"/>
      <c r="C26" s="449"/>
      <c r="D26" s="300"/>
    </row>
    <row r="27" spans="1:8" ht="21" customHeight="1" thickBot="1" x14ac:dyDescent="0.35">
      <c r="A27" s="441" t="s">
        <v>141</v>
      </c>
      <c r="B27" s="442"/>
      <c r="C27" s="443"/>
      <c r="D27" s="300"/>
    </row>
    <row r="28" spans="1:8" ht="26.1" customHeight="1" x14ac:dyDescent="0.3">
      <c r="A28" s="210" t="s">
        <v>142</v>
      </c>
      <c r="B28" s="301"/>
      <c r="C28" s="302"/>
    </row>
    <row r="29" spans="1:8" ht="26.1" customHeight="1" x14ac:dyDescent="0.3">
      <c r="A29" s="210" t="s">
        <v>143</v>
      </c>
      <c r="B29" s="301"/>
      <c r="C29" s="302"/>
    </row>
    <row r="30" spans="1:8" ht="26.1" customHeight="1" x14ac:dyDescent="0.3">
      <c r="A30" s="210" t="s">
        <v>144</v>
      </c>
      <c r="B30" s="301"/>
      <c r="C30" s="302"/>
    </row>
    <row r="31" spans="1:8" ht="26.1" customHeight="1" x14ac:dyDescent="0.3">
      <c r="A31" s="210" t="s">
        <v>145</v>
      </c>
      <c r="B31" s="301"/>
      <c r="C31" s="302"/>
    </row>
    <row r="32" spans="1:8" ht="26.1" customHeight="1" x14ac:dyDescent="0.3">
      <c r="A32" s="210"/>
      <c r="B32" s="301"/>
      <c r="C32" s="302"/>
    </row>
    <row r="33" spans="1:8" ht="26.1" customHeight="1" x14ac:dyDescent="0.3">
      <c r="A33" s="210"/>
      <c r="B33" s="301"/>
      <c r="C33" s="302"/>
    </row>
    <row r="34" spans="1:8" ht="26.1" customHeight="1" x14ac:dyDescent="0.3">
      <c r="A34" s="210"/>
      <c r="B34" s="301"/>
      <c r="C34" s="302"/>
    </row>
    <row r="35" spans="1:8" ht="26.1" customHeight="1" x14ac:dyDescent="0.3">
      <c r="A35" s="210"/>
      <c r="B35" s="301"/>
      <c r="C35" s="302"/>
    </row>
    <row r="36" spans="1:8" ht="26.1" customHeight="1" x14ac:dyDescent="0.3">
      <c r="A36" s="210"/>
      <c r="B36" s="301"/>
      <c r="C36" s="302"/>
    </row>
    <row r="37" spans="1:8" ht="26.1" customHeight="1" thickBot="1" x14ac:dyDescent="0.35">
      <c r="A37" s="210"/>
      <c r="B37" s="301"/>
      <c r="C37" s="302"/>
    </row>
    <row r="38" spans="1:8" ht="20.100000000000001" customHeight="1" thickBot="1" x14ac:dyDescent="0.35">
      <c r="A38" s="311" t="s">
        <v>146</v>
      </c>
      <c r="B38" s="312">
        <f>SUM(B28:B37)</f>
        <v>0</v>
      </c>
      <c r="C38" s="313"/>
    </row>
    <row r="39" spans="1:8" s="12" customFormat="1" ht="20.100000000000001" customHeight="1" thickBot="1" x14ac:dyDescent="0.35">
      <c r="A39" s="441" t="s">
        <v>147</v>
      </c>
      <c r="B39" s="442"/>
      <c r="C39" s="443"/>
      <c r="D39" s="58"/>
      <c r="E39" s="58"/>
      <c r="F39" s="58"/>
      <c r="G39" s="58"/>
      <c r="H39" s="58"/>
    </row>
    <row r="40" spans="1:8" s="12" customFormat="1" ht="20.100000000000001" customHeight="1" x14ac:dyDescent="0.3">
      <c r="A40" s="210" t="s">
        <v>148</v>
      </c>
      <c r="B40" s="306"/>
      <c r="C40" s="307"/>
      <c r="D40" s="58"/>
      <c r="E40" s="58"/>
      <c r="F40" s="58"/>
      <c r="G40" s="58"/>
      <c r="H40" s="58"/>
    </row>
    <row r="41" spans="1:8" s="12" customFormat="1" ht="20.100000000000001" customHeight="1" x14ac:dyDescent="0.3">
      <c r="A41" s="210" t="s">
        <v>149</v>
      </c>
      <c r="B41" s="306"/>
      <c r="C41" s="308"/>
      <c r="D41" s="58"/>
      <c r="E41" s="58"/>
      <c r="F41" s="58"/>
      <c r="G41" s="58"/>
      <c r="H41" s="58"/>
    </row>
    <row r="42" spans="1:8" s="12" customFormat="1" ht="20.100000000000001" customHeight="1" x14ac:dyDescent="0.3">
      <c r="A42" s="210" t="s">
        <v>150</v>
      </c>
      <c r="B42" s="306"/>
      <c r="C42" s="308"/>
      <c r="D42" s="58"/>
      <c r="E42" s="58"/>
      <c r="F42" s="58"/>
      <c r="G42" s="58"/>
      <c r="H42" s="58"/>
    </row>
    <row r="43" spans="1:8" s="12" customFormat="1" ht="20.100000000000001" customHeight="1" x14ac:dyDescent="0.3">
      <c r="A43" s="210"/>
      <c r="B43" s="306"/>
      <c r="C43" s="308"/>
      <c r="D43" s="58"/>
      <c r="E43" s="58"/>
      <c r="F43" s="58"/>
      <c r="G43" s="58"/>
      <c r="H43" s="58"/>
    </row>
    <row r="44" spans="1:8" s="12" customFormat="1" ht="20.100000000000001" customHeight="1" x14ac:dyDescent="0.3">
      <c r="A44" s="210"/>
      <c r="B44" s="306"/>
      <c r="C44" s="308"/>
      <c r="D44" s="58"/>
      <c r="E44" s="58"/>
      <c r="F44" s="58"/>
      <c r="G44" s="58"/>
      <c r="H44" s="58"/>
    </row>
    <row r="45" spans="1:8" s="12" customFormat="1" ht="20.100000000000001" customHeight="1" thickBot="1" x14ac:dyDescent="0.35">
      <c r="A45" s="210"/>
      <c r="B45" s="306"/>
      <c r="C45" s="309"/>
      <c r="D45" s="58"/>
      <c r="E45" s="58"/>
      <c r="F45" s="58"/>
      <c r="G45" s="58"/>
      <c r="H45" s="58"/>
    </row>
    <row r="46" spans="1:8" ht="20.100000000000001" customHeight="1" thickBot="1" x14ac:dyDescent="0.35">
      <c r="A46" s="303" t="s">
        <v>146</v>
      </c>
      <c r="B46" s="304">
        <f>SUM(B40:B45)</f>
        <v>0</v>
      </c>
      <c r="C46" s="310"/>
    </row>
    <row r="47" spans="1:8" ht="20.100000000000001" customHeight="1" thickBot="1" x14ac:dyDescent="0.35">
      <c r="A47" s="450">
        <f>Año_Inicial+2</f>
        <v>2025</v>
      </c>
      <c r="B47" s="451"/>
      <c r="C47" s="452"/>
      <c r="D47" s="300"/>
    </row>
    <row r="48" spans="1:8" ht="21" customHeight="1" thickBot="1" x14ac:dyDescent="0.35">
      <c r="A48" s="441" t="s">
        <v>141</v>
      </c>
      <c r="B48" s="442"/>
      <c r="C48" s="443"/>
      <c r="D48" s="300"/>
    </row>
    <row r="49" spans="1:8" ht="26.1" customHeight="1" x14ac:dyDescent="0.3">
      <c r="A49" s="210" t="s">
        <v>142</v>
      </c>
      <c r="B49" s="301"/>
      <c r="C49" s="302"/>
    </row>
    <row r="50" spans="1:8" ht="26.1" customHeight="1" x14ac:dyDescent="0.3">
      <c r="A50" s="210" t="s">
        <v>143</v>
      </c>
      <c r="B50" s="301"/>
      <c r="C50" s="302"/>
    </row>
    <row r="51" spans="1:8" ht="26.1" customHeight="1" x14ac:dyDescent="0.3">
      <c r="A51" s="210" t="s">
        <v>144</v>
      </c>
      <c r="B51" s="301"/>
      <c r="C51" s="302"/>
    </row>
    <row r="52" spans="1:8" ht="26.1" customHeight="1" x14ac:dyDescent="0.3">
      <c r="A52" s="210" t="s">
        <v>145</v>
      </c>
      <c r="B52" s="301"/>
      <c r="C52" s="302"/>
    </row>
    <row r="53" spans="1:8" ht="26.1" customHeight="1" x14ac:dyDescent="0.3">
      <c r="A53" s="210"/>
      <c r="B53" s="301"/>
      <c r="C53" s="302"/>
    </row>
    <row r="54" spans="1:8" ht="26.1" customHeight="1" x14ac:dyDescent="0.3">
      <c r="A54" s="210"/>
      <c r="B54" s="301"/>
      <c r="C54" s="302"/>
    </row>
    <row r="55" spans="1:8" ht="26.1" customHeight="1" x14ac:dyDescent="0.3">
      <c r="A55" s="210"/>
      <c r="B55" s="301"/>
      <c r="C55" s="302"/>
    </row>
    <row r="56" spans="1:8" ht="26.1" customHeight="1" x14ac:dyDescent="0.3">
      <c r="A56" s="210"/>
      <c r="B56" s="301"/>
      <c r="C56" s="302"/>
    </row>
    <row r="57" spans="1:8" ht="26.1" customHeight="1" x14ac:dyDescent="0.3">
      <c r="A57" s="210"/>
      <c r="B57" s="301"/>
      <c r="C57" s="302"/>
    </row>
    <row r="58" spans="1:8" ht="26.1" customHeight="1" thickBot="1" x14ac:dyDescent="0.35">
      <c r="A58" s="210"/>
      <c r="B58" s="301"/>
      <c r="C58" s="302"/>
    </row>
    <row r="59" spans="1:8" ht="20.100000000000001" customHeight="1" thickBot="1" x14ac:dyDescent="0.35">
      <c r="A59" s="311" t="s">
        <v>146</v>
      </c>
      <c r="B59" s="312">
        <f>SUM(B49:B58)</f>
        <v>0</v>
      </c>
      <c r="C59" s="313"/>
    </row>
    <row r="60" spans="1:8" s="12" customFormat="1" ht="20.100000000000001" customHeight="1" thickBot="1" x14ac:dyDescent="0.35">
      <c r="A60" s="441" t="s">
        <v>147</v>
      </c>
      <c r="B60" s="442"/>
      <c r="C60" s="443"/>
      <c r="D60" s="58"/>
      <c r="E60" s="58"/>
      <c r="F60" s="58"/>
      <c r="G60" s="58"/>
      <c r="H60" s="58"/>
    </row>
    <row r="61" spans="1:8" s="12" customFormat="1" ht="20.100000000000001" customHeight="1" x14ac:dyDescent="0.3">
      <c r="A61" s="210" t="s">
        <v>148</v>
      </c>
      <c r="B61" s="306"/>
      <c r="C61" s="307"/>
      <c r="D61" s="58"/>
      <c r="E61" s="58"/>
      <c r="F61" s="58"/>
      <c r="G61" s="58"/>
      <c r="H61" s="58"/>
    </row>
    <row r="62" spans="1:8" s="12" customFormat="1" ht="20.100000000000001" customHeight="1" x14ac:dyDescent="0.3">
      <c r="A62" s="210" t="s">
        <v>149</v>
      </c>
      <c r="B62" s="306"/>
      <c r="C62" s="308"/>
      <c r="D62" s="58"/>
      <c r="E62" s="58"/>
      <c r="F62" s="58"/>
      <c r="G62" s="58"/>
      <c r="H62" s="58"/>
    </row>
    <row r="63" spans="1:8" s="12" customFormat="1" ht="20.100000000000001" customHeight="1" x14ac:dyDescent="0.3">
      <c r="A63" s="210" t="s">
        <v>150</v>
      </c>
      <c r="B63" s="306"/>
      <c r="C63" s="308"/>
      <c r="D63" s="58"/>
      <c r="E63" s="58"/>
      <c r="F63" s="58"/>
      <c r="G63" s="58"/>
      <c r="H63" s="58"/>
    </row>
    <row r="64" spans="1:8" s="12" customFormat="1" ht="20.100000000000001" customHeight="1" x14ac:dyDescent="0.3">
      <c r="A64" s="210"/>
      <c r="B64" s="306"/>
      <c r="C64" s="308"/>
      <c r="D64" s="58"/>
      <c r="E64" s="58"/>
      <c r="F64" s="58"/>
      <c r="G64" s="58"/>
      <c r="H64" s="58"/>
    </row>
    <row r="65" spans="1:8" s="12" customFormat="1" ht="20.100000000000001" customHeight="1" x14ac:dyDescent="0.3">
      <c r="A65" s="210"/>
      <c r="B65" s="306"/>
      <c r="C65" s="308"/>
      <c r="D65" s="58"/>
      <c r="E65" s="58"/>
      <c r="F65" s="58"/>
      <c r="G65" s="58"/>
      <c r="H65" s="58"/>
    </row>
    <row r="66" spans="1:8" s="12" customFormat="1" ht="20.100000000000001" customHeight="1" thickBot="1" x14ac:dyDescent="0.35">
      <c r="A66" s="210"/>
      <c r="B66" s="306"/>
      <c r="C66" s="309"/>
      <c r="D66" s="58"/>
      <c r="E66" s="58"/>
      <c r="F66" s="58"/>
      <c r="G66" s="58"/>
      <c r="H66" s="58"/>
    </row>
    <row r="67" spans="1:8" ht="20.100000000000001" customHeight="1" thickBot="1" x14ac:dyDescent="0.35">
      <c r="A67" s="303" t="s">
        <v>146</v>
      </c>
      <c r="B67" s="304">
        <f>SUM(B61:B66)</f>
        <v>0</v>
      </c>
      <c r="C67" s="310"/>
    </row>
    <row r="68" spans="1:8" ht="20.100000000000001" customHeight="1" thickBot="1" x14ac:dyDescent="0.35">
      <c r="A68" s="450">
        <f>Año_Inicial+3</f>
        <v>2026</v>
      </c>
      <c r="B68" s="451"/>
      <c r="C68" s="452"/>
      <c r="D68" s="300"/>
    </row>
    <row r="69" spans="1:8" ht="21" customHeight="1" thickBot="1" x14ac:dyDescent="0.35">
      <c r="A69" s="441" t="s">
        <v>141</v>
      </c>
      <c r="B69" s="442"/>
      <c r="C69" s="443"/>
      <c r="D69" s="300"/>
    </row>
    <row r="70" spans="1:8" ht="26.1" customHeight="1" x14ac:dyDescent="0.3">
      <c r="A70" s="210" t="s">
        <v>142</v>
      </c>
      <c r="B70" s="301"/>
      <c r="C70" s="302"/>
    </row>
    <row r="71" spans="1:8" ht="26.1" customHeight="1" x14ac:dyDescent="0.3">
      <c r="A71" s="210" t="s">
        <v>143</v>
      </c>
      <c r="B71" s="301"/>
      <c r="C71" s="302"/>
    </row>
    <row r="72" spans="1:8" ht="26.1" customHeight="1" x14ac:dyDescent="0.3">
      <c r="A72" s="210" t="s">
        <v>144</v>
      </c>
      <c r="B72" s="301"/>
      <c r="C72" s="302"/>
    </row>
    <row r="73" spans="1:8" ht="26.1" customHeight="1" x14ac:dyDescent="0.3">
      <c r="A73" s="210" t="s">
        <v>145</v>
      </c>
      <c r="B73" s="301"/>
      <c r="C73" s="302"/>
    </row>
    <row r="74" spans="1:8" ht="26.1" customHeight="1" x14ac:dyDescent="0.3">
      <c r="A74" s="210"/>
      <c r="B74" s="301"/>
      <c r="C74" s="302"/>
    </row>
    <row r="75" spans="1:8" ht="26.1" customHeight="1" x14ac:dyDescent="0.3">
      <c r="A75" s="210"/>
      <c r="B75" s="301"/>
      <c r="C75" s="302"/>
    </row>
    <row r="76" spans="1:8" ht="26.1" customHeight="1" x14ac:dyDescent="0.3">
      <c r="A76" s="210"/>
      <c r="B76" s="301"/>
      <c r="C76" s="302"/>
    </row>
    <row r="77" spans="1:8" ht="26.1" customHeight="1" x14ac:dyDescent="0.3">
      <c r="A77" s="210"/>
      <c r="B77" s="301"/>
      <c r="C77" s="302"/>
    </row>
    <row r="78" spans="1:8" ht="26.1" customHeight="1" x14ac:dyDescent="0.3">
      <c r="A78" s="210"/>
      <c r="B78" s="301"/>
      <c r="C78" s="302"/>
    </row>
    <row r="79" spans="1:8" ht="26.1" customHeight="1" thickBot="1" x14ac:dyDescent="0.35">
      <c r="A79" s="210"/>
      <c r="B79" s="301"/>
      <c r="C79" s="302"/>
    </row>
    <row r="80" spans="1:8" ht="20.100000000000001" customHeight="1" thickBot="1" x14ac:dyDescent="0.35">
      <c r="A80" s="311" t="s">
        <v>146</v>
      </c>
      <c r="B80" s="312">
        <f>SUM(B70:B79)</f>
        <v>0</v>
      </c>
      <c r="C80" s="313"/>
    </row>
    <row r="81" spans="1:8" s="12" customFormat="1" ht="20.100000000000001" customHeight="1" thickBot="1" x14ac:dyDescent="0.35">
      <c r="A81" s="441" t="s">
        <v>147</v>
      </c>
      <c r="B81" s="442"/>
      <c r="C81" s="443"/>
      <c r="D81" s="58"/>
      <c r="E81" s="58"/>
      <c r="F81" s="58"/>
      <c r="G81" s="58"/>
      <c r="H81" s="58"/>
    </row>
    <row r="82" spans="1:8" s="12" customFormat="1" ht="20.100000000000001" customHeight="1" x14ac:dyDescent="0.3">
      <c r="A82" s="210" t="s">
        <v>148</v>
      </c>
      <c r="B82" s="306"/>
      <c r="C82" s="307"/>
      <c r="D82" s="58"/>
      <c r="E82" s="58"/>
      <c r="F82" s="58"/>
      <c r="G82" s="58"/>
      <c r="H82" s="58"/>
    </row>
    <row r="83" spans="1:8" s="12" customFormat="1" ht="20.100000000000001" customHeight="1" x14ac:dyDescent="0.3">
      <c r="A83" s="210" t="s">
        <v>149</v>
      </c>
      <c r="B83" s="306"/>
      <c r="C83" s="308"/>
      <c r="D83" s="58"/>
      <c r="E83" s="58"/>
      <c r="F83" s="58"/>
      <c r="G83" s="58"/>
      <c r="H83" s="58"/>
    </row>
    <row r="84" spans="1:8" s="12" customFormat="1" ht="20.100000000000001" customHeight="1" x14ac:dyDescent="0.3">
      <c r="A84" s="210" t="s">
        <v>150</v>
      </c>
      <c r="B84" s="306"/>
      <c r="C84" s="308"/>
      <c r="D84" s="58"/>
      <c r="E84" s="58"/>
      <c r="F84" s="58"/>
      <c r="G84" s="58"/>
      <c r="H84" s="58"/>
    </row>
    <row r="85" spans="1:8" s="12" customFormat="1" ht="20.100000000000001" customHeight="1" x14ac:dyDescent="0.3">
      <c r="A85" s="210"/>
      <c r="B85" s="306"/>
      <c r="C85" s="308"/>
      <c r="D85" s="58"/>
      <c r="E85" s="58"/>
      <c r="F85" s="58"/>
      <c r="G85" s="58"/>
      <c r="H85" s="58"/>
    </row>
    <row r="86" spans="1:8" s="12" customFormat="1" ht="20.100000000000001" customHeight="1" x14ac:dyDescent="0.3">
      <c r="A86" s="210"/>
      <c r="B86" s="306"/>
      <c r="C86" s="308"/>
      <c r="D86" s="58"/>
      <c r="E86" s="58"/>
      <c r="F86" s="58"/>
      <c r="G86" s="58"/>
      <c r="H86" s="58"/>
    </row>
    <row r="87" spans="1:8" s="12" customFormat="1" ht="20.100000000000001" customHeight="1" thickBot="1" x14ac:dyDescent="0.35">
      <c r="A87" s="210"/>
      <c r="B87" s="306"/>
      <c r="C87" s="309"/>
      <c r="D87" s="58"/>
      <c r="E87" s="58"/>
      <c r="F87" s="58"/>
      <c r="G87" s="58"/>
      <c r="H87" s="58"/>
    </row>
    <row r="88" spans="1:8" ht="20.100000000000001" customHeight="1" thickBot="1" x14ac:dyDescent="0.35">
      <c r="A88" s="303" t="s">
        <v>146</v>
      </c>
      <c r="B88" s="304">
        <f>SUM(B82:B87)</f>
        <v>0</v>
      </c>
      <c r="C88" s="310"/>
    </row>
    <row r="89" spans="1:8" ht="20.100000000000001" customHeight="1" thickBot="1" x14ac:dyDescent="0.35">
      <c r="A89" s="450">
        <f>Año_Inicial+4</f>
        <v>2027</v>
      </c>
      <c r="B89" s="451"/>
      <c r="C89" s="452"/>
      <c r="D89" s="300"/>
    </row>
    <row r="90" spans="1:8" ht="21" customHeight="1" thickBot="1" x14ac:dyDescent="0.35">
      <c r="A90" s="441" t="s">
        <v>141</v>
      </c>
      <c r="B90" s="442"/>
      <c r="C90" s="443"/>
      <c r="D90" s="300"/>
    </row>
    <row r="91" spans="1:8" ht="26.1" customHeight="1" x14ac:dyDescent="0.3">
      <c r="A91" s="210" t="s">
        <v>142</v>
      </c>
      <c r="B91" s="301"/>
      <c r="C91" s="302"/>
    </row>
    <row r="92" spans="1:8" ht="26.1" customHeight="1" x14ac:dyDescent="0.3">
      <c r="A92" s="210" t="s">
        <v>143</v>
      </c>
      <c r="B92" s="301"/>
      <c r="C92" s="302"/>
    </row>
    <row r="93" spans="1:8" ht="26.1" customHeight="1" x14ac:dyDescent="0.3">
      <c r="A93" s="210" t="s">
        <v>144</v>
      </c>
      <c r="B93" s="301"/>
      <c r="C93" s="302"/>
    </row>
    <row r="94" spans="1:8" ht="26.1" customHeight="1" x14ac:dyDescent="0.3">
      <c r="A94" s="210" t="s">
        <v>145</v>
      </c>
      <c r="B94" s="301"/>
      <c r="C94" s="302"/>
    </row>
    <row r="95" spans="1:8" ht="26.1" customHeight="1" x14ac:dyDescent="0.3">
      <c r="A95" s="210"/>
      <c r="B95" s="301"/>
      <c r="C95" s="302"/>
    </row>
    <row r="96" spans="1:8" ht="26.1" customHeight="1" x14ac:dyDescent="0.3">
      <c r="A96" s="210"/>
      <c r="B96" s="301"/>
      <c r="C96" s="302"/>
    </row>
    <row r="97" spans="1:8" ht="26.1" customHeight="1" x14ac:dyDescent="0.3">
      <c r="A97" s="210"/>
      <c r="B97" s="301"/>
      <c r="C97" s="302"/>
    </row>
    <row r="98" spans="1:8" ht="26.1" customHeight="1" x14ac:dyDescent="0.3">
      <c r="A98" s="210"/>
      <c r="B98" s="301"/>
      <c r="C98" s="302"/>
    </row>
    <row r="99" spans="1:8" ht="26.1" customHeight="1" x14ac:dyDescent="0.3">
      <c r="A99" s="210"/>
      <c r="B99" s="301"/>
      <c r="C99" s="302"/>
    </row>
    <row r="100" spans="1:8" ht="26.1" customHeight="1" thickBot="1" x14ac:dyDescent="0.35">
      <c r="A100" s="210"/>
      <c r="B100" s="301"/>
      <c r="C100" s="302"/>
    </row>
    <row r="101" spans="1:8" ht="20.100000000000001" customHeight="1" thickBot="1" x14ac:dyDescent="0.35">
      <c r="A101" s="311" t="s">
        <v>146</v>
      </c>
      <c r="B101" s="312">
        <f>SUM(B91:B100)</f>
        <v>0</v>
      </c>
      <c r="C101" s="313"/>
    </row>
    <row r="102" spans="1:8" s="12" customFormat="1" ht="20.100000000000001" customHeight="1" thickBot="1" x14ac:dyDescent="0.35">
      <c r="A102" s="441" t="s">
        <v>147</v>
      </c>
      <c r="B102" s="442"/>
      <c r="C102" s="443"/>
      <c r="D102" s="58"/>
      <c r="E102" s="58"/>
      <c r="F102" s="58"/>
      <c r="G102" s="58"/>
      <c r="H102" s="58"/>
    </row>
    <row r="103" spans="1:8" s="12" customFormat="1" ht="20.100000000000001" customHeight="1" x14ac:dyDescent="0.3">
      <c r="A103" s="210" t="s">
        <v>148</v>
      </c>
      <c r="B103" s="306"/>
      <c r="C103" s="307"/>
      <c r="D103" s="58"/>
      <c r="E103" s="58"/>
      <c r="F103" s="58"/>
      <c r="G103" s="58"/>
      <c r="H103" s="58"/>
    </row>
    <row r="104" spans="1:8" s="12" customFormat="1" ht="20.100000000000001" customHeight="1" x14ac:dyDescent="0.3">
      <c r="A104" s="210" t="s">
        <v>149</v>
      </c>
      <c r="B104" s="306"/>
      <c r="C104" s="308"/>
      <c r="D104" s="58"/>
      <c r="E104" s="58"/>
      <c r="F104" s="58"/>
      <c r="G104" s="58"/>
      <c r="H104" s="58"/>
    </row>
    <row r="105" spans="1:8" s="12" customFormat="1" ht="20.100000000000001" customHeight="1" x14ac:dyDescent="0.3">
      <c r="A105" s="210" t="s">
        <v>150</v>
      </c>
      <c r="B105" s="306"/>
      <c r="C105" s="308"/>
      <c r="D105" s="58"/>
      <c r="E105" s="58"/>
      <c r="F105" s="58"/>
      <c r="G105" s="58"/>
      <c r="H105" s="58"/>
    </row>
    <row r="106" spans="1:8" s="12" customFormat="1" ht="20.100000000000001" customHeight="1" x14ac:dyDescent="0.3">
      <c r="A106" s="210"/>
      <c r="B106" s="306"/>
      <c r="C106" s="308"/>
      <c r="D106" s="58"/>
      <c r="E106" s="58"/>
      <c r="F106" s="58"/>
      <c r="G106" s="58"/>
      <c r="H106" s="58"/>
    </row>
    <row r="107" spans="1:8" s="12" customFormat="1" ht="20.100000000000001" customHeight="1" x14ac:dyDescent="0.3">
      <c r="A107" s="210"/>
      <c r="B107" s="306"/>
      <c r="C107" s="308"/>
      <c r="D107" s="58"/>
      <c r="E107" s="58"/>
      <c r="F107" s="58"/>
      <c r="G107" s="58"/>
      <c r="H107" s="58"/>
    </row>
    <row r="108" spans="1:8" s="12" customFormat="1" ht="20.100000000000001" customHeight="1" thickBot="1" x14ac:dyDescent="0.35">
      <c r="A108" s="210"/>
      <c r="B108" s="306"/>
      <c r="C108" s="309"/>
      <c r="D108" s="58"/>
      <c r="E108" s="58"/>
      <c r="F108" s="58"/>
      <c r="G108" s="58"/>
      <c r="H108" s="58"/>
    </row>
    <row r="109" spans="1:8" ht="20.100000000000001" customHeight="1" thickBot="1" x14ac:dyDescent="0.35">
      <c r="A109" s="303" t="s">
        <v>146</v>
      </c>
      <c r="B109" s="304">
        <f>SUM(B103:B108)</f>
        <v>0</v>
      </c>
      <c r="C109" s="310"/>
    </row>
    <row r="110" spans="1:8" ht="20.100000000000001" customHeight="1" thickBot="1" x14ac:dyDescent="0.35">
      <c r="A110" s="450">
        <f>Año_Inicial+5</f>
        <v>2028</v>
      </c>
      <c r="B110" s="451"/>
      <c r="C110" s="452"/>
      <c r="D110" s="300"/>
    </row>
    <row r="111" spans="1:8" ht="21" customHeight="1" thickBot="1" x14ac:dyDescent="0.35">
      <c r="A111" s="441" t="s">
        <v>141</v>
      </c>
      <c r="B111" s="442"/>
      <c r="C111" s="443"/>
      <c r="D111" s="300"/>
    </row>
    <row r="112" spans="1:8" ht="26.1" customHeight="1" x14ac:dyDescent="0.3">
      <c r="A112" s="210" t="s">
        <v>142</v>
      </c>
      <c r="B112" s="301"/>
      <c r="C112" s="302"/>
    </row>
    <row r="113" spans="1:8" ht="26.1" customHeight="1" x14ac:dyDescent="0.3">
      <c r="A113" s="210" t="s">
        <v>143</v>
      </c>
      <c r="B113" s="301"/>
      <c r="C113" s="302"/>
    </row>
    <row r="114" spans="1:8" ht="26.1" customHeight="1" x14ac:dyDescent="0.3">
      <c r="A114" s="210" t="s">
        <v>144</v>
      </c>
      <c r="B114" s="301"/>
      <c r="C114" s="302"/>
    </row>
    <row r="115" spans="1:8" ht="26.1" customHeight="1" x14ac:dyDescent="0.3">
      <c r="A115" s="210" t="s">
        <v>145</v>
      </c>
      <c r="B115" s="301"/>
      <c r="C115" s="302"/>
    </row>
    <row r="116" spans="1:8" ht="26.1" customHeight="1" x14ac:dyDescent="0.3">
      <c r="A116" s="210"/>
      <c r="B116" s="301"/>
      <c r="C116" s="302"/>
    </row>
    <row r="117" spans="1:8" ht="26.1" customHeight="1" x14ac:dyDescent="0.3">
      <c r="A117" s="210"/>
      <c r="B117" s="301"/>
      <c r="C117" s="302"/>
    </row>
    <row r="118" spans="1:8" ht="26.1" customHeight="1" x14ac:dyDescent="0.3">
      <c r="A118" s="210"/>
      <c r="B118" s="301"/>
      <c r="C118" s="302"/>
    </row>
    <row r="119" spans="1:8" ht="26.1" customHeight="1" x14ac:dyDescent="0.3">
      <c r="A119" s="210"/>
      <c r="B119" s="301"/>
      <c r="C119" s="302"/>
    </row>
    <row r="120" spans="1:8" ht="26.1" customHeight="1" x14ac:dyDescent="0.3">
      <c r="A120" s="210"/>
      <c r="B120" s="301"/>
      <c r="C120" s="302"/>
    </row>
    <row r="121" spans="1:8" ht="26.1" customHeight="1" thickBot="1" x14ac:dyDescent="0.35">
      <c r="A121" s="210"/>
      <c r="B121" s="301"/>
      <c r="C121" s="302"/>
    </row>
    <row r="122" spans="1:8" ht="20.100000000000001" customHeight="1" thickBot="1" x14ac:dyDescent="0.35">
      <c r="A122" s="311" t="s">
        <v>146</v>
      </c>
      <c r="B122" s="312">
        <f>SUM(B112:B121)</f>
        <v>0</v>
      </c>
      <c r="C122" s="313"/>
    </row>
    <row r="123" spans="1:8" s="12" customFormat="1" ht="20.100000000000001" customHeight="1" thickBot="1" x14ac:dyDescent="0.35">
      <c r="A123" s="441" t="s">
        <v>147</v>
      </c>
      <c r="B123" s="442"/>
      <c r="C123" s="443"/>
      <c r="D123" s="58"/>
      <c r="E123" s="58"/>
      <c r="F123" s="58"/>
      <c r="G123" s="58"/>
      <c r="H123" s="58"/>
    </row>
    <row r="124" spans="1:8" s="12" customFormat="1" ht="20.100000000000001" customHeight="1" x14ac:dyDescent="0.3">
      <c r="A124" s="210" t="s">
        <v>148</v>
      </c>
      <c r="B124" s="306"/>
      <c r="C124" s="307"/>
      <c r="D124" s="58"/>
      <c r="E124" s="58"/>
      <c r="F124" s="58"/>
      <c r="G124" s="58"/>
      <c r="H124" s="58"/>
    </row>
    <row r="125" spans="1:8" s="12" customFormat="1" ht="20.100000000000001" customHeight="1" x14ac:dyDescent="0.3">
      <c r="A125" s="210" t="s">
        <v>149</v>
      </c>
      <c r="B125" s="306"/>
      <c r="C125" s="308"/>
      <c r="D125" s="58"/>
      <c r="E125" s="58"/>
      <c r="F125" s="58"/>
      <c r="G125" s="58"/>
      <c r="H125" s="58"/>
    </row>
    <row r="126" spans="1:8" s="12" customFormat="1" ht="20.100000000000001" customHeight="1" x14ac:dyDescent="0.3">
      <c r="A126" s="210" t="s">
        <v>150</v>
      </c>
      <c r="B126" s="306"/>
      <c r="C126" s="308"/>
      <c r="D126" s="58"/>
      <c r="E126" s="58"/>
      <c r="F126" s="58"/>
      <c r="G126" s="58"/>
      <c r="H126" s="58"/>
    </row>
    <row r="127" spans="1:8" s="12" customFormat="1" ht="20.100000000000001" customHeight="1" x14ac:dyDescent="0.3">
      <c r="A127" s="210"/>
      <c r="B127" s="306"/>
      <c r="C127" s="308"/>
      <c r="D127" s="58"/>
      <c r="E127" s="58"/>
      <c r="F127" s="58"/>
      <c r="G127" s="58"/>
      <c r="H127" s="58"/>
    </row>
    <row r="128" spans="1:8" s="12" customFormat="1" ht="20.100000000000001" customHeight="1" x14ac:dyDescent="0.3">
      <c r="A128" s="210"/>
      <c r="B128" s="306"/>
      <c r="C128" s="308"/>
      <c r="D128" s="58"/>
      <c r="E128" s="58"/>
      <c r="F128" s="58"/>
      <c r="G128" s="58"/>
      <c r="H128" s="58"/>
    </row>
    <row r="129" spans="1:8" s="12" customFormat="1" ht="20.100000000000001" customHeight="1" thickBot="1" x14ac:dyDescent="0.35">
      <c r="A129" s="210"/>
      <c r="B129" s="306"/>
      <c r="C129" s="309"/>
      <c r="D129" s="58"/>
      <c r="E129" s="58"/>
      <c r="F129" s="58"/>
      <c r="G129" s="58"/>
      <c r="H129" s="58"/>
    </row>
    <row r="130" spans="1:8" ht="20.100000000000001" customHeight="1" thickBot="1" x14ac:dyDescent="0.35">
      <c r="A130" s="303" t="s">
        <v>146</v>
      </c>
      <c r="B130" s="304">
        <f>SUM(B124:B129)</f>
        <v>0</v>
      </c>
      <c r="C130" s="310"/>
    </row>
    <row r="131" spans="1:8" ht="20.100000000000001" customHeight="1" thickBot="1" x14ac:dyDescent="0.35">
      <c r="A131" s="450">
        <f>Año_Inicial+6</f>
        <v>2029</v>
      </c>
      <c r="B131" s="451"/>
      <c r="C131" s="452"/>
      <c r="D131" s="300"/>
    </row>
    <row r="132" spans="1:8" ht="21" customHeight="1" thickBot="1" x14ac:dyDescent="0.35">
      <c r="A132" s="441" t="s">
        <v>141</v>
      </c>
      <c r="B132" s="442"/>
      <c r="C132" s="443"/>
      <c r="D132" s="300"/>
    </row>
    <row r="133" spans="1:8" ht="26.1" customHeight="1" x14ac:dyDescent="0.3">
      <c r="A133" s="210" t="s">
        <v>142</v>
      </c>
      <c r="B133" s="301"/>
      <c r="C133" s="302"/>
    </row>
    <row r="134" spans="1:8" ht="26.1" customHeight="1" x14ac:dyDescent="0.3">
      <c r="A134" s="210" t="s">
        <v>143</v>
      </c>
      <c r="B134" s="301"/>
      <c r="C134" s="302"/>
    </row>
    <row r="135" spans="1:8" ht="26.1" customHeight="1" x14ac:dyDescent="0.3">
      <c r="A135" s="210" t="s">
        <v>144</v>
      </c>
      <c r="B135" s="301"/>
      <c r="C135" s="302"/>
    </row>
    <row r="136" spans="1:8" ht="26.1" customHeight="1" x14ac:dyDescent="0.3">
      <c r="A136" s="210" t="s">
        <v>145</v>
      </c>
      <c r="B136" s="301"/>
      <c r="C136" s="302"/>
    </row>
    <row r="137" spans="1:8" ht="26.1" customHeight="1" x14ac:dyDescent="0.3">
      <c r="A137" s="210"/>
      <c r="B137" s="301"/>
      <c r="C137" s="302"/>
    </row>
    <row r="138" spans="1:8" ht="26.1" customHeight="1" x14ac:dyDescent="0.3">
      <c r="A138" s="210"/>
      <c r="B138" s="301"/>
      <c r="C138" s="302"/>
    </row>
    <row r="139" spans="1:8" ht="26.1" customHeight="1" x14ac:dyDescent="0.3">
      <c r="A139" s="210"/>
      <c r="B139" s="301"/>
      <c r="C139" s="302"/>
    </row>
    <row r="140" spans="1:8" ht="26.1" customHeight="1" x14ac:dyDescent="0.3">
      <c r="A140" s="210"/>
      <c r="B140" s="301"/>
      <c r="C140" s="302"/>
    </row>
    <row r="141" spans="1:8" ht="26.1" customHeight="1" x14ac:dyDescent="0.3">
      <c r="A141" s="210"/>
      <c r="B141" s="301"/>
      <c r="C141" s="302"/>
    </row>
    <row r="142" spans="1:8" ht="26.1" customHeight="1" thickBot="1" x14ac:dyDescent="0.35">
      <c r="A142" s="210"/>
      <c r="B142" s="301"/>
      <c r="C142" s="302"/>
    </row>
    <row r="143" spans="1:8" ht="20.100000000000001" customHeight="1" thickBot="1" x14ac:dyDescent="0.35">
      <c r="A143" s="311" t="s">
        <v>146</v>
      </c>
      <c r="B143" s="312">
        <f>SUM(B133:B142)</f>
        <v>0</v>
      </c>
      <c r="C143" s="313"/>
    </row>
    <row r="144" spans="1:8" s="12" customFormat="1" ht="20.100000000000001" customHeight="1" thickBot="1" x14ac:dyDescent="0.35">
      <c r="A144" s="441" t="s">
        <v>147</v>
      </c>
      <c r="B144" s="442"/>
      <c r="C144" s="443"/>
      <c r="D144" s="58"/>
      <c r="E144" s="58"/>
      <c r="F144" s="58"/>
      <c r="G144" s="58"/>
      <c r="H144" s="58"/>
    </row>
    <row r="145" spans="1:8" s="12" customFormat="1" ht="20.100000000000001" customHeight="1" x14ac:dyDescent="0.3">
      <c r="A145" s="210" t="s">
        <v>148</v>
      </c>
      <c r="B145" s="306"/>
      <c r="C145" s="307"/>
      <c r="D145" s="58"/>
      <c r="E145" s="58"/>
      <c r="F145" s="58"/>
      <c r="G145" s="58"/>
      <c r="H145" s="58"/>
    </row>
    <row r="146" spans="1:8" s="12" customFormat="1" ht="20.100000000000001" customHeight="1" x14ac:dyDescent="0.3">
      <c r="A146" s="210" t="s">
        <v>149</v>
      </c>
      <c r="B146" s="306"/>
      <c r="C146" s="308"/>
      <c r="D146" s="58"/>
      <c r="E146" s="58"/>
      <c r="F146" s="58"/>
      <c r="G146" s="58"/>
      <c r="H146" s="58"/>
    </row>
    <row r="147" spans="1:8" s="12" customFormat="1" ht="20.100000000000001" customHeight="1" x14ac:dyDescent="0.3">
      <c r="A147" s="210" t="s">
        <v>150</v>
      </c>
      <c r="B147" s="306"/>
      <c r="C147" s="308"/>
      <c r="D147" s="58"/>
      <c r="E147" s="58"/>
      <c r="F147" s="58"/>
      <c r="G147" s="58"/>
      <c r="H147" s="58"/>
    </row>
    <row r="148" spans="1:8" s="12" customFormat="1" ht="20.100000000000001" customHeight="1" x14ac:dyDescent="0.3">
      <c r="A148" s="210"/>
      <c r="B148" s="306"/>
      <c r="C148" s="308"/>
      <c r="D148" s="58"/>
      <c r="E148" s="58"/>
      <c r="F148" s="58"/>
      <c r="G148" s="58"/>
      <c r="H148" s="58"/>
    </row>
    <row r="149" spans="1:8" s="12" customFormat="1" ht="20.100000000000001" customHeight="1" x14ac:dyDescent="0.3">
      <c r="A149" s="210"/>
      <c r="B149" s="306"/>
      <c r="C149" s="308"/>
      <c r="D149" s="58"/>
      <c r="E149" s="58"/>
      <c r="F149" s="58"/>
      <c r="G149" s="58"/>
      <c r="H149" s="58"/>
    </row>
    <row r="150" spans="1:8" s="12" customFormat="1" ht="20.100000000000001" customHeight="1" thickBot="1" x14ac:dyDescent="0.35">
      <c r="A150" s="210"/>
      <c r="B150" s="306"/>
      <c r="C150" s="309"/>
      <c r="D150" s="58"/>
      <c r="E150" s="58"/>
      <c r="F150" s="58"/>
      <c r="G150" s="58"/>
      <c r="H150" s="58"/>
    </row>
    <row r="151" spans="1:8" ht="20.100000000000001" customHeight="1" thickBot="1" x14ac:dyDescent="0.35">
      <c r="A151" s="303" t="s">
        <v>146</v>
      </c>
      <c r="B151" s="304">
        <f>SUM(B145:B150)</f>
        <v>0</v>
      </c>
      <c r="C151" s="310"/>
    </row>
    <row r="152" spans="1:8" ht="20.100000000000001" customHeight="1" thickBot="1" x14ac:dyDescent="0.35">
      <c r="A152" s="450">
        <f>Año_Inicial+7</f>
        <v>2030</v>
      </c>
      <c r="B152" s="451"/>
      <c r="C152" s="452"/>
      <c r="D152" s="300"/>
    </row>
    <row r="153" spans="1:8" ht="21" customHeight="1" thickBot="1" x14ac:dyDescent="0.35">
      <c r="A153" s="441" t="s">
        <v>141</v>
      </c>
      <c r="B153" s="442"/>
      <c r="C153" s="443"/>
      <c r="D153" s="300"/>
    </row>
    <row r="154" spans="1:8" ht="26.1" customHeight="1" x14ac:dyDescent="0.3">
      <c r="A154" s="210" t="s">
        <v>142</v>
      </c>
      <c r="B154" s="301"/>
      <c r="C154" s="302"/>
    </row>
    <row r="155" spans="1:8" ht="26.1" customHeight="1" x14ac:dyDescent="0.3">
      <c r="A155" s="210" t="s">
        <v>143</v>
      </c>
      <c r="B155" s="301"/>
      <c r="C155" s="302"/>
    </row>
    <row r="156" spans="1:8" ht="26.1" customHeight="1" x14ac:dyDescent="0.3">
      <c r="A156" s="210" t="s">
        <v>144</v>
      </c>
      <c r="B156" s="301"/>
      <c r="C156" s="302"/>
    </row>
    <row r="157" spans="1:8" ht="26.1" customHeight="1" x14ac:dyDescent="0.3">
      <c r="A157" s="210" t="s">
        <v>145</v>
      </c>
      <c r="B157" s="301"/>
      <c r="C157" s="302"/>
    </row>
    <row r="158" spans="1:8" ht="26.1" customHeight="1" x14ac:dyDescent="0.3">
      <c r="A158" s="210"/>
      <c r="B158" s="301"/>
      <c r="C158" s="302"/>
    </row>
    <row r="159" spans="1:8" ht="26.1" customHeight="1" x14ac:dyDescent="0.3">
      <c r="A159" s="210"/>
      <c r="B159" s="301"/>
      <c r="C159" s="302"/>
    </row>
    <row r="160" spans="1:8" ht="26.1" customHeight="1" x14ac:dyDescent="0.3">
      <c r="A160" s="210"/>
      <c r="B160" s="301"/>
      <c r="C160" s="302"/>
    </row>
    <row r="161" spans="1:8" ht="26.1" customHeight="1" x14ac:dyDescent="0.3">
      <c r="A161" s="210"/>
      <c r="B161" s="301"/>
      <c r="C161" s="302"/>
    </row>
    <row r="162" spans="1:8" ht="26.1" customHeight="1" x14ac:dyDescent="0.3">
      <c r="A162" s="210"/>
      <c r="B162" s="301"/>
      <c r="C162" s="302"/>
    </row>
    <row r="163" spans="1:8" ht="26.1" customHeight="1" thickBot="1" x14ac:dyDescent="0.35">
      <c r="A163" s="210"/>
      <c r="B163" s="301"/>
      <c r="C163" s="302"/>
    </row>
    <row r="164" spans="1:8" ht="20.100000000000001" customHeight="1" thickBot="1" x14ac:dyDescent="0.35">
      <c r="A164" s="311" t="s">
        <v>146</v>
      </c>
      <c r="B164" s="312">
        <f>SUM(B154:B163)</f>
        <v>0</v>
      </c>
      <c r="C164" s="313"/>
    </row>
    <row r="165" spans="1:8" s="12" customFormat="1" ht="20.100000000000001" customHeight="1" thickBot="1" x14ac:dyDescent="0.35">
      <c r="A165" s="441" t="s">
        <v>147</v>
      </c>
      <c r="B165" s="442"/>
      <c r="C165" s="443"/>
      <c r="D165" s="58"/>
      <c r="E165" s="58"/>
      <c r="F165" s="58"/>
      <c r="G165" s="58"/>
      <c r="H165" s="58"/>
    </row>
    <row r="166" spans="1:8" s="12" customFormat="1" ht="20.100000000000001" customHeight="1" x14ac:dyDescent="0.3">
      <c r="A166" s="210" t="s">
        <v>148</v>
      </c>
      <c r="B166" s="306"/>
      <c r="C166" s="307"/>
      <c r="D166" s="58"/>
      <c r="E166" s="58"/>
      <c r="F166" s="58"/>
      <c r="G166" s="58"/>
      <c r="H166" s="58"/>
    </row>
    <row r="167" spans="1:8" s="12" customFormat="1" ht="20.100000000000001" customHeight="1" x14ac:dyDescent="0.3">
      <c r="A167" s="210" t="s">
        <v>149</v>
      </c>
      <c r="B167" s="306"/>
      <c r="C167" s="308"/>
      <c r="D167" s="58"/>
      <c r="E167" s="58"/>
      <c r="F167" s="58"/>
      <c r="G167" s="58"/>
      <c r="H167" s="58"/>
    </row>
    <row r="168" spans="1:8" s="12" customFormat="1" ht="20.100000000000001" customHeight="1" x14ac:dyDescent="0.3">
      <c r="A168" s="210" t="s">
        <v>150</v>
      </c>
      <c r="B168" s="306"/>
      <c r="C168" s="308"/>
      <c r="D168" s="58"/>
      <c r="E168" s="58"/>
      <c r="F168" s="58"/>
      <c r="G168" s="58"/>
      <c r="H168" s="58"/>
    </row>
    <row r="169" spans="1:8" s="12" customFormat="1" ht="20.100000000000001" customHeight="1" x14ac:dyDescent="0.3">
      <c r="A169" s="210"/>
      <c r="B169" s="306"/>
      <c r="C169" s="308"/>
      <c r="D169" s="58"/>
      <c r="E169" s="58"/>
      <c r="F169" s="58"/>
      <c r="G169" s="58"/>
      <c r="H169" s="58"/>
    </row>
    <row r="170" spans="1:8" s="12" customFormat="1" ht="20.100000000000001" customHeight="1" x14ac:dyDescent="0.3">
      <c r="A170" s="210"/>
      <c r="B170" s="306"/>
      <c r="C170" s="308"/>
      <c r="D170" s="58"/>
      <c r="E170" s="58"/>
      <c r="F170" s="58"/>
      <c r="G170" s="58"/>
      <c r="H170" s="58"/>
    </row>
    <row r="171" spans="1:8" s="12" customFormat="1" ht="20.100000000000001" customHeight="1" thickBot="1" x14ac:dyDescent="0.35">
      <c r="A171" s="210"/>
      <c r="B171" s="306"/>
      <c r="C171" s="309"/>
      <c r="D171" s="58"/>
      <c r="E171" s="58"/>
      <c r="F171" s="58"/>
      <c r="G171" s="58"/>
      <c r="H171" s="58"/>
    </row>
    <row r="172" spans="1:8" ht="20.100000000000001" customHeight="1" thickBot="1" x14ac:dyDescent="0.35">
      <c r="A172" s="303" t="s">
        <v>146</v>
      </c>
      <c r="B172" s="304">
        <f>SUM(B166:B171)</f>
        <v>0</v>
      </c>
      <c r="C172" s="310"/>
    </row>
    <row r="173" spans="1:8" ht="20.100000000000001" customHeight="1" thickBot="1" x14ac:dyDescent="0.35">
      <c r="A173" s="450">
        <f>Año_Inicial+8</f>
        <v>2031</v>
      </c>
      <c r="B173" s="451"/>
      <c r="C173" s="452"/>
      <c r="D173" s="300"/>
    </row>
    <row r="174" spans="1:8" ht="21" customHeight="1" thickBot="1" x14ac:dyDescent="0.35">
      <c r="A174" s="441" t="s">
        <v>141</v>
      </c>
      <c r="B174" s="442"/>
      <c r="C174" s="443"/>
      <c r="D174" s="300"/>
    </row>
    <row r="175" spans="1:8" ht="26.1" customHeight="1" x14ac:dyDescent="0.3">
      <c r="A175" s="210" t="s">
        <v>142</v>
      </c>
      <c r="B175" s="301"/>
      <c r="C175" s="302"/>
    </row>
    <row r="176" spans="1:8" ht="26.1" customHeight="1" x14ac:dyDescent="0.3">
      <c r="A176" s="210" t="s">
        <v>143</v>
      </c>
      <c r="B176" s="301"/>
      <c r="C176" s="302"/>
    </row>
    <row r="177" spans="1:8" ht="26.1" customHeight="1" x14ac:dyDescent="0.3">
      <c r="A177" s="210" t="s">
        <v>144</v>
      </c>
      <c r="B177" s="301"/>
      <c r="C177" s="302"/>
    </row>
    <row r="178" spans="1:8" ht="26.1" customHeight="1" x14ac:dyDescent="0.3">
      <c r="A178" s="210" t="s">
        <v>145</v>
      </c>
      <c r="B178" s="301"/>
      <c r="C178" s="302"/>
    </row>
    <row r="179" spans="1:8" ht="26.1" customHeight="1" x14ac:dyDescent="0.3">
      <c r="A179" s="210"/>
      <c r="B179" s="301"/>
      <c r="C179" s="302"/>
    </row>
    <row r="180" spans="1:8" ht="26.1" customHeight="1" x14ac:dyDescent="0.3">
      <c r="A180" s="210"/>
      <c r="B180" s="301"/>
      <c r="C180" s="302"/>
    </row>
    <row r="181" spans="1:8" ht="26.1" customHeight="1" x14ac:dyDescent="0.3">
      <c r="A181" s="210"/>
      <c r="B181" s="301"/>
      <c r="C181" s="302"/>
    </row>
    <row r="182" spans="1:8" ht="26.1" customHeight="1" x14ac:dyDescent="0.3">
      <c r="A182" s="210"/>
      <c r="B182" s="301"/>
      <c r="C182" s="302"/>
    </row>
    <row r="183" spans="1:8" ht="26.1" customHeight="1" x14ac:dyDescent="0.3">
      <c r="A183" s="210"/>
      <c r="B183" s="301"/>
      <c r="C183" s="302"/>
    </row>
    <row r="184" spans="1:8" ht="26.1" customHeight="1" thickBot="1" x14ac:dyDescent="0.35">
      <c r="A184" s="210"/>
      <c r="B184" s="301"/>
      <c r="C184" s="302"/>
    </row>
    <row r="185" spans="1:8" ht="20.100000000000001" customHeight="1" thickBot="1" x14ac:dyDescent="0.35">
      <c r="A185" s="311" t="s">
        <v>146</v>
      </c>
      <c r="B185" s="312">
        <f>SUM(B175:B184)</f>
        <v>0</v>
      </c>
      <c r="C185" s="313"/>
    </row>
    <row r="186" spans="1:8" s="12" customFormat="1" ht="20.100000000000001" customHeight="1" thickBot="1" x14ac:dyDescent="0.35">
      <c r="A186" s="441" t="s">
        <v>147</v>
      </c>
      <c r="B186" s="442"/>
      <c r="C186" s="443"/>
      <c r="D186" s="58"/>
      <c r="E186" s="58"/>
      <c r="F186" s="58"/>
      <c r="G186" s="58"/>
      <c r="H186" s="58"/>
    </row>
    <row r="187" spans="1:8" s="12" customFormat="1" ht="20.100000000000001" customHeight="1" x14ac:dyDescent="0.3">
      <c r="A187" s="210" t="s">
        <v>148</v>
      </c>
      <c r="B187" s="306"/>
      <c r="C187" s="307"/>
      <c r="D187" s="58"/>
      <c r="E187" s="58"/>
      <c r="F187" s="58"/>
      <c r="G187" s="58"/>
      <c r="H187" s="58"/>
    </row>
    <row r="188" spans="1:8" s="12" customFormat="1" ht="20.100000000000001" customHeight="1" x14ac:dyDescent="0.3">
      <c r="A188" s="210" t="s">
        <v>149</v>
      </c>
      <c r="B188" s="306"/>
      <c r="C188" s="308"/>
      <c r="D188" s="58"/>
      <c r="E188" s="58"/>
      <c r="F188" s="58"/>
      <c r="G188" s="58"/>
      <c r="H188" s="58"/>
    </row>
    <row r="189" spans="1:8" s="12" customFormat="1" ht="20.100000000000001" customHeight="1" x14ac:dyDescent="0.3">
      <c r="A189" s="210" t="s">
        <v>150</v>
      </c>
      <c r="B189" s="306"/>
      <c r="C189" s="308"/>
      <c r="D189" s="58"/>
      <c r="E189" s="58"/>
      <c r="F189" s="58"/>
      <c r="G189" s="58"/>
      <c r="H189" s="58"/>
    </row>
    <row r="190" spans="1:8" s="12" customFormat="1" ht="20.100000000000001" customHeight="1" x14ac:dyDescent="0.3">
      <c r="A190" s="210"/>
      <c r="B190" s="306"/>
      <c r="C190" s="308"/>
      <c r="D190" s="58"/>
      <c r="E190" s="58"/>
      <c r="F190" s="58"/>
      <c r="G190" s="58"/>
      <c r="H190" s="58"/>
    </row>
    <row r="191" spans="1:8" s="12" customFormat="1" ht="20.100000000000001" customHeight="1" x14ac:dyDescent="0.3">
      <c r="A191" s="210"/>
      <c r="B191" s="306"/>
      <c r="C191" s="308"/>
      <c r="D191" s="58"/>
      <c r="E191" s="58"/>
      <c r="F191" s="58"/>
      <c r="G191" s="58"/>
      <c r="H191" s="58"/>
    </row>
    <row r="192" spans="1:8" s="12" customFormat="1" ht="20.100000000000001" customHeight="1" thickBot="1" x14ac:dyDescent="0.35">
      <c r="A192" s="210"/>
      <c r="B192" s="306"/>
      <c r="C192" s="309"/>
      <c r="D192" s="58"/>
      <c r="E192" s="58"/>
      <c r="F192" s="58"/>
      <c r="G192" s="58"/>
      <c r="H192" s="58"/>
    </row>
    <row r="193" spans="1:8" ht="20.100000000000001" customHeight="1" thickBot="1" x14ac:dyDescent="0.35">
      <c r="A193" s="303" t="s">
        <v>146</v>
      </c>
      <c r="B193" s="304">
        <f>SUM(B187:B192)</f>
        <v>0</v>
      </c>
      <c r="C193" s="310"/>
    </row>
    <row r="194" spans="1:8" ht="20.100000000000001" customHeight="1" thickBot="1" x14ac:dyDescent="0.35">
      <c r="A194" s="450">
        <f>Año_Inicial+9</f>
        <v>2032</v>
      </c>
      <c r="B194" s="451"/>
      <c r="C194" s="452"/>
      <c r="D194" s="300"/>
    </row>
    <row r="195" spans="1:8" ht="21" customHeight="1" thickBot="1" x14ac:dyDescent="0.35">
      <c r="A195" s="441" t="s">
        <v>141</v>
      </c>
      <c r="B195" s="442"/>
      <c r="C195" s="443"/>
      <c r="D195" s="300"/>
    </row>
    <row r="196" spans="1:8" ht="26.1" customHeight="1" x14ac:dyDescent="0.3">
      <c r="A196" s="210" t="s">
        <v>142</v>
      </c>
      <c r="B196" s="301"/>
      <c r="C196" s="302"/>
    </row>
    <row r="197" spans="1:8" ht="26.1" customHeight="1" x14ac:dyDescent="0.3">
      <c r="A197" s="210" t="s">
        <v>143</v>
      </c>
      <c r="B197" s="301"/>
      <c r="C197" s="302"/>
    </row>
    <row r="198" spans="1:8" ht="26.1" customHeight="1" x14ac:dyDescent="0.3">
      <c r="A198" s="210" t="s">
        <v>144</v>
      </c>
      <c r="B198" s="301"/>
      <c r="C198" s="302"/>
    </row>
    <row r="199" spans="1:8" ht="26.1" customHeight="1" x14ac:dyDescent="0.3">
      <c r="A199" s="210" t="s">
        <v>145</v>
      </c>
      <c r="B199" s="301"/>
      <c r="C199" s="302"/>
    </row>
    <row r="200" spans="1:8" ht="26.1" customHeight="1" x14ac:dyDescent="0.3">
      <c r="A200" s="210"/>
      <c r="B200" s="301"/>
      <c r="C200" s="302"/>
    </row>
    <row r="201" spans="1:8" ht="26.1" customHeight="1" x14ac:dyDescent="0.3">
      <c r="A201" s="210"/>
      <c r="B201" s="301"/>
      <c r="C201" s="302"/>
    </row>
    <row r="202" spans="1:8" ht="26.1" customHeight="1" x14ac:dyDescent="0.3">
      <c r="A202" s="210"/>
      <c r="B202" s="301"/>
      <c r="C202" s="302"/>
    </row>
    <row r="203" spans="1:8" ht="26.1" customHeight="1" x14ac:dyDescent="0.3">
      <c r="A203" s="210"/>
      <c r="B203" s="301"/>
      <c r="C203" s="302"/>
    </row>
    <row r="204" spans="1:8" ht="26.1" customHeight="1" x14ac:dyDescent="0.3">
      <c r="A204" s="210"/>
      <c r="B204" s="301"/>
      <c r="C204" s="302"/>
    </row>
    <row r="205" spans="1:8" ht="26.1" customHeight="1" thickBot="1" x14ac:dyDescent="0.35">
      <c r="A205" s="210"/>
      <c r="B205" s="301"/>
      <c r="C205" s="302"/>
    </row>
    <row r="206" spans="1:8" ht="20.100000000000001" customHeight="1" thickBot="1" x14ac:dyDescent="0.35">
      <c r="A206" s="311" t="s">
        <v>146</v>
      </c>
      <c r="B206" s="312">
        <f>SUM(B196:B205)</f>
        <v>0</v>
      </c>
      <c r="C206" s="313"/>
    </row>
    <row r="207" spans="1:8" s="12" customFormat="1" ht="20.100000000000001" customHeight="1" thickBot="1" x14ac:dyDescent="0.35">
      <c r="A207" s="441" t="s">
        <v>147</v>
      </c>
      <c r="B207" s="442"/>
      <c r="C207" s="443"/>
      <c r="D207" s="58"/>
      <c r="E207" s="58"/>
      <c r="F207" s="58"/>
      <c r="G207" s="58"/>
      <c r="H207" s="58"/>
    </row>
    <row r="208" spans="1:8" s="12" customFormat="1" ht="20.100000000000001" customHeight="1" x14ac:dyDescent="0.3">
      <c r="A208" s="210" t="s">
        <v>148</v>
      </c>
      <c r="B208" s="306"/>
      <c r="C208" s="307"/>
      <c r="D208" s="58"/>
      <c r="E208" s="58"/>
      <c r="F208" s="58"/>
      <c r="G208" s="58"/>
      <c r="H208" s="58"/>
    </row>
    <row r="209" spans="1:8" s="12" customFormat="1" ht="20.100000000000001" customHeight="1" x14ac:dyDescent="0.3">
      <c r="A209" s="210" t="s">
        <v>149</v>
      </c>
      <c r="B209" s="306"/>
      <c r="C209" s="308"/>
      <c r="D209" s="58"/>
      <c r="E209" s="58"/>
      <c r="F209" s="58"/>
      <c r="G209" s="58"/>
      <c r="H209" s="58"/>
    </row>
    <row r="210" spans="1:8" s="12" customFormat="1" ht="20.100000000000001" customHeight="1" x14ac:dyDescent="0.3">
      <c r="A210" s="210" t="s">
        <v>150</v>
      </c>
      <c r="B210" s="306"/>
      <c r="C210" s="308"/>
      <c r="D210" s="58"/>
      <c r="E210" s="58"/>
      <c r="F210" s="58"/>
      <c r="G210" s="58"/>
      <c r="H210" s="58"/>
    </row>
    <row r="211" spans="1:8" s="12" customFormat="1" ht="20.100000000000001" customHeight="1" x14ac:dyDescent="0.3">
      <c r="A211" s="210"/>
      <c r="B211" s="306"/>
      <c r="C211" s="308"/>
      <c r="D211" s="58"/>
      <c r="E211" s="58"/>
      <c r="F211" s="58"/>
      <c r="G211" s="58"/>
      <c r="H211" s="58"/>
    </row>
    <row r="212" spans="1:8" s="12" customFormat="1" ht="20.100000000000001" customHeight="1" x14ac:dyDescent="0.3">
      <c r="A212" s="210"/>
      <c r="B212" s="306"/>
      <c r="C212" s="308"/>
      <c r="D212" s="58"/>
      <c r="E212" s="58"/>
      <c r="F212" s="58"/>
      <c r="G212" s="58"/>
      <c r="H212" s="58"/>
    </row>
    <row r="213" spans="1:8" s="12" customFormat="1" ht="20.100000000000001" customHeight="1" thickBot="1" x14ac:dyDescent="0.35">
      <c r="A213" s="210"/>
      <c r="B213" s="306"/>
      <c r="C213" s="309"/>
      <c r="D213" s="58"/>
      <c r="E213" s="58"/>
      <c r="F213" s="58"/>
      <c r="G213" s="58"/>
      <c r="H213" s="58"/>
    </row>
    <row r="214" spans="1:8" ht="20.100000000000001" customHeight="1" thickBot="1" x14ac:dyDescent="0.35">
      <c r="A214" s="303" t="s">
        <v>146</v>
      </c>
      <c r="B214" s="304">
        <f>SUM(B208:B213)</f>
        <v>0</v>
      </c>
      <c r="C214" s="310"/>
    </row>
    <row r="215" spans="1:8" ht="20.100000000000001" customHeight="1" thickBot="1" x14ac:dyDescent="0.35">
      <c r="A215" s="450">
        <f>Año_Inicial+10</f>
        <v>2033</v>
      </c>
      <c r="B215" s="451"/>
      <c r="C215" s="452"/>
      <c r="D215" s="300"/>
    </row>
    <row r="216" spans="1:8" ht="21" customHeight="1" thickBot="1" x14ac:dyDescent="0.35">
      <c r="A216" s="441" t="s">
        <v>141</v>
      </c>
      <c r="B216" s="442"/>
      <c r="C216" s="443"/>
      <c r="D216" s="300"/>
    </row>
    <row r="217" spans="1:8" ht="26.1" customHeight="1" x14ac:dyDescent="0.3">
      <c r="A217" s="210" t="s">
        <v>142</v>
      </c>
      <c r="B217" s="301"/>
      <c r="C217" s="302"/>
    </row>
    <row r="218" spans="1:8" ht="26.1" customHeight="1" x14ac:dyDescent="0.3">
      <c r="A218" s="210" t="s">
        <v>143</v>
      </c>
      <c r="B218" s="301"/>
      <c r="C218" s="302"/>
    </row>
    <row r="219" spans="1:8" ht="26.1" customHeight="1" x14ac:dyDescent="0.3">
      <c r="A219" s="210" t="s">
        <v>144</v>
      </c>
      <c r="B219" s="301"/>
      <c r="C219" s="302"/>
    </row>
    <row r="220" spans="1:8" ht="26.1" customHeight="1" x14ac:dyDescent="0.3">
      <c r="A220" s="210" t="s">
        <v>145</v>
      </c>
      <c r="B220" s="301"/>
      <c r="C220" s="302"/>
    </row>
    <row r="221" spans="1:8" ht="26.1" customHeight="1" x14ac:dyDescent="0.3">
      <c r="A221" s="210"/>
      <c r="B221" s="301"/>
      <c r="C221" s="302"/>
    </row>
    <row r="222" spans="1:8" ht="26.1" customHeight="1" x14ac:dyDescent="0.3">
      <c r="A222" s="210"/>
      <c r="B222" s="301"/>
      <c r="C222" s="302"/>
    </row>
    <row r="223" spans="1:8" ht="26.1" customHeight="1" x14ac:dyDescent="0.3">
      <c r="A223" s="210"/>
      <c r="B223" s="301"/>
      <c r="C223" s="302"/>
    </row>
    <row r="224" spans="1:8" ht="26.1" customHeight="1" x14ac:dyDescent="0.3">
      <c r="A224" s="210"/>
      <c r="B224" s="301"/>
      <c r="C224" s="302"/>
    </row>
    <row r="225" spans="1:8" ht="26.1" customHeight="1" x14ac:dyDescent="0.3">
      <c r="A225" s="210"/>
      <c r="B225" s="301"/>
      <c r="C225" s="302"/>
    </row>
    <row r="226" spans="1:8" ht="26.1" customHeight="1" thickBot="1" x14ac:dyDescent="0.35">
      <c r="A226" s="210"/>
      <c r="B226" s="301"/>
      <c r="C226" s="302"/>
    </row>
    <row r="227" spans="1:8" ht="20.100000000000001" customHeight="1" thickBot="1" x14ac:dyDescent="0.35">
      <c r="A227" s="311" t="s">
        <v>146</v>
      </c>
      <c r="B227" s="312">
        <f>SUM(B217:B226)</f>
        <v>0</v>
      </c>
      <c r="C227" s="313"/>
    </row>
    <row r="228" spans="1:8" s="12" customFormat="1" ht="20.100000000000001" customHeight="1" thickBot="1" x14ac:dyDescent="0.35">
      <c r="A228" s="441" t="s">
        <v>147</v>
      </c>
      <c r="B228" s="442"/>
      <c r="C228" s="443"/>
      <c r="D228" s="58"/>
      <c r="E228" s="58"/>
      <c r="F228" s="58"/>
      <c r="G228" s="58"/>
      <c r="H228" s="58"/>
    </row>
    <row r="229" spans="1:8" s="12" customFormat="1" ht="20.100000000000001" customHeight="1" x14ac:dyDescent="0.3">
      <c r="A229" s="210" t="s">
        <v>148</v>
      </c>
      <c r="B229" s="306"/>
      <c r="C229" s="307"/>
      <c r="D229" s="58"/>
      <c r="E229" s="58"/>
      <c r="F229" s="58"/>
      <c r="G229" s="58"/>
      <c r="H229" s="58"/>
    </row>
    <row r="230" spans="1:8" s="12" customFormat="1" ht="20.100000000000001" customHeight="1" x14ac:dyDescent="0.3">
      <c r="A230" s="210" t="s">
        <v>149</v>
      </c>
      <c r="B230" s="306"/>
      <c r="C230" s="308"/>
      <c r="D230" s="58"/>
      <c r="E230" s="58"/>
      <c r="F230" s="58"/>
      <c r="G230" s="58"/>
      <c r="H230" s="58"/>
    </row>
    <row r="231" spans="1:8" s="12" customFormat="1" ht="20.100000000000001" customHeight="1" x14ac:dyDescent="0.3">
      <c r="A231" s="210" t="s">
        <v>150</v>
      </c>
      <c r="B231" s="306"/>
      <c r="C231" s="308"/>
      <c r="D231" s="58"/>
      <c r="E231" s="58"/>
      <c r="F231" s="58"/>
      <c r="G231" s="58"/>
      <c r="H231" s="58"/>
    </row>
    <row r="232" spans="1:8" s="12" customFormat="1" ht="20.100000000000001" customHeight="1" x14ac:dyDescent="0.3">
      <c r="A232" s="210"/>
      <c r="B232" s="306"/>
      <c r="C232" s="308"/>
      <c r="D232" s="58"/>
      <c r="E232" s="58"/>
      <c r="F232" s="58"/>
      <c r="G232" s="58"/>
      <c r="H232" s="58"/>
    </row>
    <row r="233" spans="1:8" s="12" customFormat="1" ht="20.100000000000001" customHeight="1" x14ac:dyDescent="0.3">
      <c r="A233" s="210"/>
      <c r="B233" s="306"/>
      <c r="C233" s="308"/>
      <c r="D233" s="58"/>
      <c r="E233" s="58"/>
      <c r="F233" s="58"/>
      <c r="G233" s="58"/>
      <c r="H233" s="58"/>
    </row>
    <row r="234" spans="1:8" s="12" customFormat="1" ht="20.100000000000001" customHeight="1" thickBot="1" x14ac:dyDescent="0.35">
      <c r="A234" s="210"/>
      <c r="B234" s="306"/>
      <c r="C234" s="309"/>
      <c r="D234" s="58"/>
      <c r="E234" s="58"/>
      <c r="F234" s="58"/>
      <c r="G234" s="58"/>
      <c r="H234" s="58"/>
    </row>
    <row r="235" spans="1:8" ht="20.100000000000001" customHeight="1" thickBot="1" x14ac:dyDescent="0.35">
      <c r="A235" s="303" t="s">
        <v>146</v>
      </c>
      <c r="B235" s="304">
        <f>SUM(B229:B234)</f>
        <v>0</v>
      </c>
      <c r="C235" s="310"/>
    </row>
    <row r="236" spans="1:8" ht="20.100000000000001" customHeight="1" thickBot="1" x14ac:dyDescent="0.35">
      <c r="A236" s="450">
        <f>Año_Inicial+11</f>
        <v>2034</v>
      </c>
      <c r="B236" s="451"/>
      <c r="C236" s="452"/>
      <c r="D236" s="300"/>
    </row>
    <row r="237" spans="1:8" ht="21" customHeight="1" thickBot="1" x14ac:dyDescent="0.35">
      <c r="A237" s="441" t="s">
        <v>141</v>
      </c>
      <c r="B237" s="442"/>
      <c r="C237" s="443"/>
      <c r="D237" s="300"/>
    </row>
    <row r="238" spans="1:8" ht="26.1" customHeight="1" x14ac:dyDescent="0.3">
      <c r="A238" s="210" t="s">
        <v>142</v>
      </c>
      <c r="B238" s="301"/>
      <c r="C238" s="302"/>
    </row>
    <row r="239" spans="1:8" ht="26.1" customHeight="1" x14ac:dyDescent="0.3">
      <c r="A239" s="210" t="s">
        <v>143</v>
      </c>
      <c r="B239" s="301"/>
      <c r="C239" s="302"/>
    </row>
    <row r="240" spans="1:8" ht="26.1" customHeight="1" x14ac:dyDescent="0.3">
      <c r="A240" s="210" t="s">
        <v>144</v>
      </c>
      <c r="B240" s="301"/>
      <c r="C240" s="302"/>
    </row>
    <row r="241" spans="1:8" ht="26.1" customHeight="1" x14ac:dyDescent="0.3">
      <c r="A241" s="210" t="s">
        <v>145</v>
      </c>
      <c r="B241" s="301"/>
      <c r="C241" s="302"/>
    </row>
    <row r="242" spans="1:8" ht="26.1" customHeight="1" x14ac:dyDescent="0.3">
      <c r="A242" s="210"/>
      <c r="B242" s="301"/>
      <c r="C242" s="302"/>
    </row>
    <row r="243" spans="1:8" ht="26.1" customHeight="1" x14ac:dyDescent="0.3">
      <c r="A243" s="210"/>
      <c r="B243" s="301"/>
      <c r="C243" s="302"/>
    </row>
    <row r="244" spans="1:8" ht="26.1" customHeight="1" x14ac:dyDescent="0.3">
      <c r="A244" s="210"/>
      <c r="B244" s="301"/>
      <c r="C244" s="302"/>
    </row>
    <row r="245" spans="1:8" ht="26.1" customHeight="1" x14ac:dyDescent="0.3">
      <c r="A245" s="210"/>
      <c r="B245" s="301"/>
      <c r="C245" s="302"/>
    </row>
    <row r="246" spans="1:8" ht="26.1" customHeight="1" x14ac:dyDescent="0.3">
      <c r="A246" s="210"/>
      <c r="B246" s="301"/>
      <c r="C246" s="302"/>
    </row>
    <row r="247" spans="1:8" ht="26.1" customHeight="1" thickBot="1" x14ac:dyDescent="0.35">
      <c r="A247" s="210"/>
      <c r="B247" s="301"/>
      <c r="C247" s="302"/>
    </row>
    <row r="248" spans="1:8" ht="26.1" customHeight="1" thickBot="1" x14ac:dyDescent="0.35">
      <c r="A248" s="311" t="s">
        <v>146</v>
      </c>
      <c r="B248" s="312">
        <f>SUM(B238:B247)</f>
        <v>0</v>
      </c>
      <c r="C248" s="313"/>
    </row>
    <row r="249" spans="1:8" s="12" customFormat="1" ht="20.100000000000001" customHeight="1" thickBot="1" x14ac:dyDescent="0.35">
      <c r="A249" s="441" t="s">
        <v>147</v>
      </c>
      <c r="B249" s="442"/>
      <c r="C249" s="443"/>
      <c r="D249" s="58"/>
      <c r="E249" s="58"/>
      <c r="F249" s="58"/>
      <c r="G249" s="58"/>
      <c r="H249" s="58"/>
    </row>
    <row r="250" spans="1:8" s="12" customFormat="1" ht="20.100000000000001" customHeight="1" x14ac:dyDescent="0.3">
      <c r="A250" s="210" t="s">
        <v>148</v>
      </c>
      <c r="B250" s="306"/>
      <c r="C250" s="307"/>
      <c r="D250" s="58"/>
      <c r="E250" s="58"/>
      <c r="F250" s="58"/>
      <c r="G250" s="58"/>
      <c r="H250" s="58"/>
    </row>
    <row r="251" spans="1:8" s="12" customFormat="1" ht="20.100000000000001" customHeight="1" x14ac:dyDescent="0.3">
      <c r="A251" s="210" t="s">
        <v>149</v>
      </c>
      <c r="B251" s="306"/>
      <c r="C251" s="308"/>
      <c r="D251" s="58"/>
      <c r="E251" s="58"/>
      <c r="F251" s="58"/>
      <c r="G251" s="58"/>
      <c r="H251" s="58"/>
    </row>
    <row r="252" spans="1:8" s="12" customFormat="1" ht="20.100000000000001" customHeight="1" x14ac:dyDescent="0.3">
      <c r="A252" s="210" t="s">
        <v>150</v>
      </c>
      <c r="B252" s="306"/>
      <c r="C252" s="308"/>
      <c r="D252" s="58"/>
      <c r="E252" s="58"/>
      <c r="F252" s="58"/>
      <c r="G252" s="58"/>
      <c r="H252" s="58"/>
    </row>
    <row r="253" spans="1:8" s="12" customFormat="1" ht="20.100000000000001" customHeight="1" x14ac:dyDescent="0.3">
      <c r="A253" s="210"/>
      <c r="B253" s="306"/>
      <c r="C253" s="308"/>
      <c r="D253" s="58"/>
      <c r="E253" s="58"/>
      <c r="F253" s="58"/>
      <c r="G253" s="58"/>
      <c r="H253" s="58"/>
    </row>
    <row r="254" spans="1:8" s="12" customFormat="1" ht="20.100000000000001" customHeight="1" x14ac:dyDescent="0.3">
      <c r="A254" s="210"/>
      <c r="B254" s="306"/>
      <c r="C254" s="308"/>
      <c r="D254" s="58"/>
      <c r="E254" s="58"/>
      <c r="F254" s="58"/>
      <c r="G254" s="58"/>
      <c r="H254" s="58"/>
    </row>
    <row r="255" spans="1:8" s="12" customFormat="1" ht="20.100000000000001" customHeight="1" thickBot="1" x14ac:dyDescent="0.35">
      <c r="A255" s="210"/>
      <c r="B255" s="306"/>
      <c r="C255" s="309"/>
      <c r="D255" s="58"/>
      <c r="E255" s="58"/>
      <c r="F255" s="58"/>
      <c r="G255" s="58"/>
      <c r="H255" s="58"/>
    </row>
    <row r="256" spans="1:8" ht="20.100000000000001" customHeight="1" x14ac:dyDescent="0.3">
      <c r="A256" s="303" t="s">
        <v>146</v>
      </c>
      <c r="B256" s="304">
        <f>SUM(B250:B255)</f>
        <v>0</v>
      </c>
      <c r="C256" s="310"/>
    </row>
  </sheetData>
  <sheetProtection algorithmName="SHA-512" hashValue="qSTJ4M9P/ZjuqevOkzf4j2TlwQfIbPL00v7i0qNJkbApH+Wn3eVKLpdBkmmS13M6VqLnpdnBC6KbtDumCUElmw==" saltValue="6QPbNq/Xj4rpWiWg9Dt7Pg==" spinCount="100000" sheet="1" objects="1" scenarios="1"/>
  <mergeCells count="4131">
    <mergeCell ref="A249:C249"/>
    <mergeCell ref="XEG2:XEJ2"/>
    <mergeCell ref="XEK2:XEN2"/>
    <mergeCell ref="XEO2:XER2"/>
    <mergeCell ref="XES2:XEV2"/>
    <mergeCell ref="XEW2:XEZ2"/>
    <mergeCell ref="XDI2:XDL2"/>
    <mergeCell ref="XDM2:XDP2"/>
    <mergeCell ref="XDQ2:XDT2"/>
    <mergeCell ref="XDU2:XDX2"/>
    <mergeCell ref="XDY2:XEB2"/>
    <mergeCell ref="XEC2:XEF2"/>
    <mergeCell ref="XCK2:XCN2"/>
    <mergeCell ref="XCO2:XCR2"/>
    <mergeCell ref="XCS2:XCV2"/>
    <mergeCell ref="XCW2:XCZ2"/>
    <mergeCell ref="XDA2:XDD2"/>
    <mergeCell ref="XDE2:XDH2"/>
    <mergeCell ref="XBM2:XBP2"/>
    <mergeCell ref="XBQ2:XBT2"/>
    <mergeCell ref="XBU2:XBX2"/>
    <mergeCell ref="XBY2:XCB2"/>
    <mergeCell ref="XCC2:XCF2"/>
    <mergeCell ref="XCG2:XCJ2"/>
    <mergeCell ref="XAO2:XAR2"/>
    <mergeCell ref="XAS2:XAV2"/>
    <mergeCell ref="XAW2:XAZ2"/>
    <mergeCell ref="XBA2:XBD2"/>
    <mergeCell ref="XBE2:XBH2"/>
    <mergeCell ref="XBI2:XBL2"/>
    <mergeCell ref="WZQ2:WZT2"/>
    <mergeCell ref="WZU2:WZX2"/>
    <mergeCell ref="WZY2:XAB2"/>
    <mergeCell ref="XAC2:XAF2"/>
    <mergeCell ref="XAG2:XAJ2"/>
    <mergeCell ref="XAK2:XAN2"/>
    <mergeCell ref="WYS2:WYV2"/>
    <mergeCell ref="WYW2:WYZ2"/>
    <mergeCell ref="WZA2:WZD2"/>
    <mergeCell ref="WZE2:WZH2"/>
    <mergeCell ref="WZI2:WZL2"/>
    <mergeCell ref="WZM2:WZP2"/>
    <mergeCell ref="WXU2:WXX2"/>
    <mergeCell ref="WXY2:WYB2"/>
    <mergeCell ref="WYC2:WYF2"/>
    <mergeCell ref="WYG2:WYJ2"/>
    <mergeCell ref="WYK2:WYN2"/>
    <mergeCell ref="WYO2:WYR2"/>
    <mergeCell ref="WWW2:WWZ2"/>
    <mergeCell ref="WXA2:WXD2"/>
    <mergeCell ref="WXE2:WXH2"/>
    <mergeCell ref="WXI2:WXL2"/>
    <mergeCell ref="WXM2:WXP2"/>
    <mergeCell ref="WXQ2:WXT2"/>
    <mergeCell ref="WVY2:WWB2"/>
    <mergeCell ref="WWC2:WWF2"/>
    <mergeCell ref="WWG2:WWJ2"/>
    <mergeCell ref="WWK2:WWN2"/>
    <mergeCell ref="WWO2:WWR2"/>
    <mergeCell ref="WWS2:WWV2"/>
    <mergeCell ref="WVA2:WVD2"/>
    <mergeCell ref="WVE2:WVH2"/>
    <mergeCell ref="WVI2:WVL2"/>
    <mergeCell ref="WVM2:WVP2"/>
    <mergeCell ref="WVQ2:WVT2"/>
    <mergeCell ref="WVU2:WVX2"/>
    <mergeCell ref="WUC2:WUF2"/>
    <mergeCell ref="WUG2:WUJ2"/>
    <mergeCell ref="WUK2:WUN2"/>
    <mergeCell ref="WUO2:WUR2"/>
    <mergeCell ref="WUS2:WUV2"/>
    <mergeCell ref="WUW2:WUZ2"/>
    <mergeCell ref="WTE2:WTH2"/>
    <mergeCell ref="WTI2:WTL2"/>
    <mergeCell ref="WTM2:WTP2"/>
    <mergeCell ref="WTQ2:WTT2"/>
    <mergeCell ref="WTU2:WTX2"/>
    <mergeCell ref="WTY2:WUB2"/>
    <mergeCell ref="WSG2:WSJ2"/>
    <mergeCell ref="WSK2:WSN2"/>
    <mergeCell ref="WSO2:WSR2"/>
    <mergeCell ref="WSS2:WSV2"/>
    <mergeCell ref="WSW2:WSZ2"/>
    <mergeCell ref="WTA2:WTD2"/>
    <mergeCell ref="WRI2:WRL2"/>
    <mergeCell ref="WRM2:WRP2"/>
    <mergeCell ref="WRQ2:WRT2"/>
    <mergeCell ref="WRU2:WRX2"/>
    <mergeCell ref="WRY2:WSB2"/>
    <mergeCell ref="WSC2:WSF2"/>
    <mergeCell ref="WQK2:WQN2"/>
    <mergeCell ref="WQO2:WQR2"/>
    <mergeCell ref="WQS2:WQV2"/>
    <mergeCell ref="WQW2:WQZ2"/>
    <mergeCell ref="WRA2:WRD2"/>
    <mergeCell ref="WRE2:WRH2"/>
    <mergeCell ref="WPM2:WPP2"/>
    <mergeCell ref="WPQ2:WPT2"/>
    <mergeCell ref="WPU2:WPX2"/>
    <mergeCell ref="WPY2:WQB2"/>
    <mergeCell ref="WQC2:WQF2"/>
    <mergeCell ref="WQG2:WQJ2"/>
    <mergeCell ref="WOO2:WOR2"/>
    <mergeCell ref="WOS2:WOV2"/>
    <mergeCell ref="WOW2:WOZ2"/>
    <mergeCell ref="WPA2:WPD2"/>
    <mergeCell ref="WPE2:WPH2"/>
    <mergeCell ref="WPI2:WPL2"/>
    <mergeCell ref="WNQ2:WNT2"/>
    <mergeCell ref="WNU2:WNX2"/>
    <mergeCell ref="WNY2:WOB2"/>
    <mergeCell ref="WOC2:WOF2"/>
    <mergeCell ref="WOG2:WOJ2"/>
    <mergeCell ref="WOK2:WON2"/>
    <mergeCell ref="WMS2:WMV2"/>
    <mergeCell ref="WMW2:WMZ2"/>
    <mergeCell ref="WNA2:WND2"/>
    <mergeCell ref="WNE2:WNH2"/>
    <mergeCell ref="WNI2:WNL2"/>
    <mergeCell ref="WNM2:WNP2"/>
    <mergeCell ref="WLU2:WLX2"/>
    <mergeCell ref="WLY2:WMB2"/>
    <mergeCell ref="WMC2:WMF2"/>
    <mergeCell ref="WMG2:WMJ2"/>
    <mergeCell ref="WMK2:WMN2"/>
    <mergeCell ref="WMO2:WMR2"/>
    <mergeCell ref="WKW2:WKZ2"/>
    <mergeCell ref="WLA2:WLD2"/>
    <mergeCell ref="WLE2:WLH2"/>
    <mergeCell ref="WLI2:WLL2"/>
    <mergeCell ref="WLM2:WLP2"/>
    <mergeCell ref="WLQ2:WLT2"/>
    <mergeCell ref="WJY2:WKB2"/>
    <mergeCell ref="WKC2:WKF2"/>
    <mergeCell ref="WKG2:WKJ2"/>
    <mergeCell ref="WKK2:WKN2"/>
    <mergeCell ref="WKO2:WKR2"/>
    <mergeCell ref="WKS2:WKV2"/>
    <mergeCell ref="WJA2:WJD2"/>
    <mergeCell ref="WJE2:WJH2"/>
    <mergeCell ref="WJI2:WJL2"/>
    <mergeCell ref="WJM2:WJP2"/>
    <mergeCell ref="WJQ2:WJT2"/>
    <mergeCell ref="WJU2:WJX2"/>
    <mergeCell ref="WIC2:WIF2"/>
    <mergeCell ref="WIG2:WIJ2"/>
    <mergeCell ref="WIK2:WIN2"/>
    <mergeCell ref="WIO2:WIR2"/>
    <mergeCell ref="WIS2:WIV2"/>
    <mergeCell ref="WIW2:WIZ2"/>
    <mergeCell ref="WHE2:WHH2"/>
    <mergeCell ref="WHI2:WHL2"/>
    <mergeCell ref="WHM2:WHP2"/>
    <mergeCell ref="WHQ2:WHT2"/>
    <mergeCell ref="WHU2:WHX2"/>
    <mergeCell ref="WHY2:WIB2"/>
    <mergeCell ref="WGG2:WGJ2"/>
    <mergeCell ref="WGK2:WGN2"/>
    <mergeCell ref="WGO2:WGR2"/>
    <mergeCell ref="WGS2:WGV2"/>
    <mergeCell ref="WGW2:WGZ2"/>
    <mergeCell ref="WHA2:WHD2"/>
    <mergeCell ref="WFI2:WFL2"/>
    <mergeCell ref="WFM2:WFP2"/>
    <mergeCell ref="WFQ2:WFT2"/>
    <mergeCell ref="WFU2:WFX2"/>
    <mergeCell ref="WFY2:WGB2"/>
    <mergeCell ref="WGC2:WGF2"/>
    <mergeCell ref="WEK2:WEN2"/>
    <mergeCell ref="WEO2:WER2"/>
    <mergeCell ref="WES2:WEV2"/>
    <mergeCell ref="WEW2:WEZ2"/>
    <mergeCell ref="WFA2:WFD2"/>
    <mergeCell ref="WFE2:WFH2"/>
    <mergeCell ref="WDM2:WDP2"/>
    <mergeCell ref="WDQ2:WDT2"/>
    <mergeCell ref="WDU2:WDX2"/>
    <mergeCell ref="WDY2:WEB2"/>
    <mergeCell ref="WEC2:WEF2"/>
    <mergeCell ref="WEG2:WEJ2"/>
    <mergeCell ref="WCO2:WCR2"/>
    <mergeCell ref="WCS2:WCV2"/>
    <mergeCell ref="WCW2:WCZ2"/>
    <mergeCell ref="WDA2:WDD2"/>
    <mergeCell ref="WDE2:WDH2"/>
    <mergeCell ref="WDI2:WDL2"/>
    <mergeCell ref="WBQ2:WBT2"/>
    <mergeCell ref="WBU2:WBX2"/>
    <mergeCell ref="WBY2:WCB2"/>
    <mergeCell ref="WCC2:WCF2"/>
    <mergeCell ref="WCG2:WCJ2"/>
    <mergeCell ref="WCK2:WCN2"/>
    <mergeCell ref="WAS2:WAV2"/>
    <mergeCell ref="WAW2:WAZ2"/>
    <mergeCell ref="WBA2:WBD2"/>
    <mergeCell ref="WBE2:WBH2"/>
    <mergeCell ref="WBI2:WBL2"/>
    <mergeCell ref="WBM2:WBP2"/>
    <mergeCell ref="VZU2:VZX2"/>
    <mergeCell ref="VZY2:WAB2"/>
    <mergeCell ref="WAC2:WAF2"/>
    <mergeCell ref="WAG2:WAJ2"/>
    <mergeCell ref="WAK2:WAN2"/>
    <mergeCell ref="WAO2:WAR2"/>
    <mergeCell ref="VYW2:VYZ2"/>
    <mergeCell ref="VZA2:VZD2"/>
    <mergeCell ref="VZE2:VZH2"/>
    <mergeCell ref="VZI2:VZL2"/>
    <mergeCell ref="VZM2:VZP2"/>
    <mergeCell ref="VZQ2:VZT2"/>
    <mergeCell ref="VXY2:VYB2"/>
    <mergeCell ref="VYC2:VYF2"/>
    <mergeCell ref="VYG2:VYJ2"/>
    <mergeCell ref="VYK2:VYN2"/>
    <mergeCell ref="VYO2:VYR2"/>
    <mergeCell ref="VYS2:VYV2"/>
    <mergeCell ref="VXA2:VXD2"/>
    <mergeCell ref="VXE2:VXH2"/>
    <mergeCell ref="VXI2:VXL2"/>
    <mergeCell ref="VXM2:VXP2"/>
    <mergeCell ref="VXQ2:VXT2"/>
    <mergeCell ref="VXU2:VXX2"/>
    <mergeCell ref="VWC2:VWF2"/>
    <mergeCell ref="VWG2:VWJ2"/>
    <mergeCell ref="VWK2:VWN2"/>
    <mergeCell ref="VWO2:VWR2"/>
    <mergeCell ref="VWS2:VWV2"/>
    <mergeCell ref="VWW2:VWZ2"/>
    <mergeCell ref="VVE2:VVH2"/>
    <mergeCell ref="VVI2:VVL2"/>
    <mergeCell ref="VVM2:VVP2"/>
    <mergeCell ref="VVQ2:VVT2"/>
    <mergeCell ref="VVU2:VVX2"/>
    <mergeCell ref="VVY2:VWB2"/>
    <mergeCell ref="VUG2:VUJ2"/>
    <mergeCell ref="VUK2:VUN2"/>
    <mergeCell ref="VUO2:VUR2"/>
    <mergeCell ref="VUS2:VUV2"/>
    <mergeCell ref="VUW2:VUZ2"/>
    <mergeCell ref="VVA2:VVD2"/>
    <mergeCell ref="VTI2:VTL2"/>
    <mergeCell ref="VTM2:VTP2"/>
    <mergeCell ref="VTQ2:VTT2"/>
    <mergeCell ref="VTU2:VTX2"/>
    <mergeCell ref="VTY2:VUB2"/>
    <mergeCell ref="VUC2:VUF2"/>
    <mergeCell ref="VSK2:VSN2"/>
    <mergeCell ref="VSO2:VSR2"/>
    <mergeCell ref="VSS2:VSV2"/>
    <mergeCell ref="VSW2:VSZ2"/>
    <mergeCell ref="VTA2:VTD2"/>
    <mergeCell ref="VTE2:VTH2"/>
    <mergeCell ref="VRM2:VRP2"/>
    <mergeCell ref="VRQ2:VRT2"/>
    <mergeCell ref="VRU2:VRX2"/>
    <mergeCell ref="VRY2:VSB2"/>
    <mergeCell ref="VSC2:VSF2"/>
    <mergeCell ref="VSG2:VSJ2"/>
    <mergeCell ref="VQO2:VQR2"/>
    <mergeCell ref="VQS2:VQV2"/>
    <mergeCell ref="VQW2:VQZ2"/>
    <mergeCell ref="VRA2:VRD2"/>
    <mergeCell ref="VRE2:VRH2"/>
    <mergeCell ref="VRI2:VRL2"/>
    <mergeCell ref="VPQ2:VPT2"/>
    <mergeCell ref="VPU2:VPX2"/>
    <mergeCell ref="VPY2:VQB2"/>
    <mergeCell ref="VQC2:VQF2"/>
    <mergeCell ref="VQG2:VQJ2"/>
    <mergeCell ref="VQK2:VQN2"/>
    <mergeCell ref="VOS2:VOV2"/>
    <mergeCell ref="VOW2:VOZ2"/>
    <mergeCell ref="VPA2:VPD2"/>
    <mergeCell ref="VPE2:VPH2"/>
    <mergeCell ref="VPI2:VPL2"/>
    <mergeCell ref="VPM2:VPP2"/>
    <mergeCell ref="VNU2:VNX2"/>
    <mergeCell ref="VNY2:VOB2"/>
    <mergeCell ref="VOC2:VOF2"/>
    <mergeCell ref="VOG2:VOJ2"/>
    <mergeCell ref="VOK2:VON2"/>
    <mergeCell ref="VOO2:VOR2"/>
    <mergeCell ref="VMW2:VMZ2"/>
    <mergeCell ref="VNA2:VND2"/>
    <mergeCell ref="VNE2:VNH2"/>
    <mergeCell ref="VNI2:VNL2"/>
    <mergeCell ref="VNM2:VNP2"/>
    <mergeCell ref="VNQ2:VNT2"/>
    <mergeCell ref="VLY2:VMB2"/>
    <mergeCell ref="VMC2:VMF2"/>
    <mergeCell ref="VMG2:VMJ2"/>
    <mergeCell ref="VMK2:VMN2"/>
    <mergeCell ref="VMO2:VMR2"/>
    <mergeCell ref="VMS2:VMV2"/>
    <mergeCell ref="VLA2:VLD2"/>
    <mergeCell ref="VLE2:VLH2"/>
    <mergeCell ref="VLI2:VLL2"/>
    <mergeCell ref="VLM2:VLP2"/>
    <mergeCell ref="VLQ2:VLT2"/>
    <mergeCell ref="VLU2:VLX2"/>
    <mergeCell ref="VKC2:VKF2"/>
    <mergeCell ref="VKG2:VKJ2"/>
    <mergeCell ref="VKK2:VKN2"/>
    <mergeCell ref="VKO2:VKR2"/>
    <mergeCell ref="VKS2:VKV2"/>
    <mergeCell ref="VKW2:VKZ2"/>
    <mergeCell ref="VJE2:VJH2"/>
    <mergeCell ref="VJI2:VJL2"/>
    <mergeCell ref="VJM2:VJP2"/>
    <mergeCell ref="VJQ2:VJT2"/>
    <mergeCell ref="VJU2:VJX2"/>
    <mergeCell ref="VJY2:VKB2"/>
    <mergeCell ref="VIG2:VIJ2"/>
    <mergeCell ref="VIK2:VIN2"/>
    <mergeCell ref="VIO2:VIR2"/>
    <mergeCell ref="VIS2:VIV2"/>
    <mergeCell ref="VIW2:VIZ2"/>
    <mergeCell ref="VJA2:VJD2"/>
    <mergeCell ref="VHI2:VHL2"/>
    <mergeCell ref="VHM2:VHP2"/>
    <mergeCell ref="VHQ2:VHT2"/>
    <mergeCell ref="VHU2:VHX2"/>
    <mergeCell ref="VHY2:VIB2"/>
    <mergeCell ref="VIC2:VIF2"/>
    <mergeCell ref="VGK2:VGN2"/>
    <mergeCell ref="VGO2:VGR2"/>
    <mergeCell ref="VGS2:VGV2"/>
    <mergeCell ref="VGW2:VGZ2"/>
    <mergeCell ref="VHA2:VHD2"/>
    <mergeCell ref="VHE2:VHH2"/>
    <mergeCell ref="VFM2:VFP2"/>
    <mergeCell ref="VFQ2:VFT2"/>
    <mergeCell ref="VFU2:VFX2"/>
    <mergeCell ref="VFY2:VGB2"/>
    <mergeCell ref="VGC2:VGF2"/>
    <mergeCell ref="VGG2:VGJ2"/>
    <mergeCell ref="VEO2:VER2"/>
    <mergeCell ref="VES2:VEV2"/>
    <mergeCell ref="VEW2:VEZ2"/>
    <mergeCell ref="VFA2:VFD2"/>
    <mergeCell ref="VFE2:VFH2"/>
    <mergeCell ref="VFI2:VFL2"/>
    <mergeCell ref="VDQ2:VDT2"/>
    <mergeCell ref="VDU2:VDX2"/>
    <mergeCell ref="VDY2:VEB2"/>
    <mergeCell ref="VEC2:VEF2"/>
    <mergeCell ref="VEG2:VEJ2"/>
    <mergeCell ref="VEK2:VEN2"/>
    <mergeCell ref="VCS2:VCV2"/>
    <mergeCell ref="VCW2:VCZ2"/>
    <mergeCell ref="VDA2:VDD2"/>
    <mergeCell ref="VDE2:VDH2"/>
    <mergeCell ref="VDI2:VDL2"/>
    <mergeCell ref="VDM2:VDP2"/>
    <mergeCell ref="VBU2:VBX2"/>
    <mergeCell ref="VBY2:VCB2"/>
    <mergeCell ref="VCC2:VCF2"/>
    <mergeCell ref="VCG2:VCJ2"/>
    <mergeCell ref="VCK2:VCN2"/>
    <mergeCell ref="VCO2:VCR2"/>
    <mergeCell ref="VAW2:VAZ2"/>
    <mergeCell ref="VBA2:VBD2"/>
    <mergeCell ref="VBE2:VBH2"/>
    <mergeCell ref="VBI2:VBL2"/>
    <mergeCell ref="VBM2:VBP2"/>
    <mergeCell ref="VBQ2:VBT2"/>
    <mergeCell ref="UZY2:VAB2"/>
    <mergeCell ref="VAC2:VAF2"/>
    <mergeCell ref="VAG2:VAJ2"/>
    <mergeCell ref="VAK2:VAN2"/>
    <mergeCell ref="VAO2:VAR2"/>
    <mergeCell ref="VAS2:VAV2"/>
    <mergeCell ref="UZA2:UZD2"/>
    <mergeCell ref="UZE2:UZH2"/>
    <mergeCell ref="UZI2:UZL2"/>
    <mergeCell ref="UZM2:UZP2"/>
    <mergeCell ref="UZQ2:UZT2"/>
    <mergeCell ref="UZU2:UZX2"/>
    <mergeCell ref="UYC2:UYF2"/>
    <mergeCell ref="UYG2:UYJ2"/>
    <mergeCell ref="UYK2:UYN2"/>
    <mergeCell ref="UYO2:UYR2"/>
    <mergeCell ref="UYS2:UYV2"/>
    <mergeCell ref="UYW2:UYZ2"/>
    <mergeCell ref="UXE2:UXH2"/>
    <mergeCell ref="UXI2:UXL2"/>
    <mergeCell ref="UXM2:UXP2"/>
    <mergeCell ref="UXQ2:UXT2"/>
    <mergeCell ref="UXU2:UXX2"/>
    <mergeCell ref="UXY2:UYB2"/>
    <mergeCell ref="UWG2:UWJ2"/>
    <mergeCell ref="UWK2:UWN2"/>
    <mergeCell ref="UWO2:UWR2"/>
    <mergeCell ref="UWS2:UWV2"/>
    <mergeCell ref="UWW2:UWZ2"/>
    <mergeCell ref="UXA2:UXD2"/>
    <mergeCell ref="UVI2:UVL2"/>
    <mergeCell ref="UVM2:UVP2"/>
    <mergeCell ref="UVQ2:UVT2"/>
    <mergeCell ref="UVU2:UVX2"/>
    <mergeCell ref="UVY2:UWB2"/>
    <mergeCell ref="UWC2:UWF2"/>
    <mergeCell ref="UUK2:UUN2"/>
    <mergeCell ref="UUO2:UUR2"/>
    <mergeCell ref="UUS2:UUV2"/>
    <mergeCell ref="UUW2:UUZ2"/>
    <mergeCell ref="UVA2:UVD2"/>
    <mergeCell ref="UVE2:UVH2"/>
    <mergeCell ref="UTM2:UTP2"/>
    <mergeCell ref="UTQ2:UTT2"/>
    <mergeCell ref="UTU2:UTX2"/>
    <mergeCell ref="UTY2:UUB2"/>
    <mergeCell ref="UUC2:UUF2"/>
    <mergeCell ref="UUG2:UUJ2"/>
    <mergeCell ref="USO2:USR2"/>
    <mergeCell ref="USS2:USV2"/>
    <mergeCell ref="USW2:USZ2"/>
    <mergeCell ref="UTA2:UTD2"/>
    <mergeCell ref="UTE2:UTH2"/>
    <mergeCell ref="UTI2:UTL2"/>
    <mergeCell ref="URQ2:URT2"/>
    <mergeCell ref="URU2:URX2"/>
    <mergeCell ref="URY2:USB2"/>
    <mergeCell ref="USC2:USF2"/>
    <mergeCell ref="USG2:USJ2"/>
    <mergeCell ref="USK2:USN2"/>
    <mergeCell ref="UQS2:UQV2"/>
    <mergeCell ref="UQW2:UQZ2"/>
    <mergeCell ref="URA2:URD2"/>
    <mergeCell ref="URE2:URH2"/>
    <mergeCell ref="URI2:URL2"/>
    <mergeCell ref="URM2:URP2"/>
    <mergeCell ref="UPU2:UPX2"/>
    <mergeCell ref="UPY2:UQB2"/>
    <mergeCell ref="UQC2:UQF2"/>
    <mergeCell ref="UQG2:UQJ2"/>
    <mergeCell ref="UQK2:UQN2"/>
    <mergeCell ref="UQO2:UQR2"/>
    <mergeCell ref="UOW2:UOZ2"/>
    <mergeCell ref="UPA2:UPD2"/>
    <mergeCell ref="UPE2:UPH2"/>
    <mergeCell ref="UPI2:UPL2"/>
    <mergeCell ref="UPM2:UPP2"/>
    <mergeCell ref="UPQ2:UPT2"/>
    <mergeCell ref="UNY2:UOB2"/>
    <mergeCell ref="UOC2:UOF2"/>
    <mergeCell ref="UOG2:UOJ2"/>
    <mergeCell ref="UOK2:UON2"/>
    <mergeCell ref="UOO2:UOR2"/>
    <mergeCell ref="UOS2:UOV2"/>
    <mergeCell ref="UNA2:UND2"/>
    <mergeCell ref="UNE2:UNH2"/>
    <mergeCell ref="UNI2:UNL2"/>
    <mergeCell ref="UNM2:UNP2"/>
    <mergeCell ref="UNQ2:UNT2"/>
    <mergeCell ref="UNU2:UNX2"/>
    <mergeCell ref="UMC2:UMF2"/>
    <mergeCell ref="UMG2:UMJ2"/>
    <mergeCell ref="UMK2:UMN2"/>
    <mergeCell ref="UMO2:UMR2"/>
    <mergeCell ref="UMS2:UMV2"/>
    <mergeCell ref="UMW2:UMZ2"/>
    <mergeCell ref="ULE2:ULH2"/>
    <mergeCell ref="ULI2:ULL2"/>
    <mergeCell ref="ULM2:ULP2"/>
    <mergeCell ref="ULQ2:ULT2"/>
    <mergeCell ref="ULU2:ULX2"/>
    <mergeCell ref="ULY2:UMB2"/>
    <mergeCell ref="UKG2:UKJ2"/>
    <mergeCell ref="UKK2:UKN2"/>
    <mergeCell ref="UKO2:UKR2"/>
    <mergeCell ref="UKS2:UKV2"/>
    <mergeCell ref="UKW2:UKZ2"/>
    <mergeCell ref="ULA2:ULD2"/>
    <mergeCell ref="UJI2:UJL2"/>
    <mergeCell ref="UJM2:UJP2"/>
    <mergeCell ref="UJQ2:UJT2"/>
    <mergeCell ref="UJU2:UJX2"/>
    <mergeCell ref="UJY2:UKB2"/>
    <mergeCell ref="UKC2:UKF2"/>
    <mergeCell ref="UIK2:UIN2"/>
    <mergeCell ref="UIO2:UIR2"/>
    <mergeCell ref="UIS2:UIV2"/>
    <mergeCell ref="UIW2:UIZ2"/>
    <mergeCell ref="UJA2:UJD2"/>
    <mergeCell ref="UJE2:UJH2"/>
    <mergeCell ref="UHM2:UHP2"/>
    <mergeCell ref="UHQ2:UHT2"/>
    <mergeCell ref="UHU2:UHX2"/>
    <mergeCell ref="UHY2:UIB2"/>
    <mergeCell ref="UIC2:UIF2"/>
    <mergeCell ref="UIG2:UIJ2"/>
    <mergeCell ref="UGO2:UGR2"/>
    <mergeCell ref="UGS2:UGV2"/>
    <mergeCell ref="UGW2:UGZ2"/>
    <mergeCell ref="UHA2:UHD2"/>
    <mergeCell ref="UHE2:UHH2"/>
    <mergeCell ref="UHI2:UHL2"/>
    <mergeCell ref="UFQ2:UFT2"/>
    <mergeCell ref="UFU2:UFX2"/>
    <mergeCell ref="UFY2:UGB2"/>
    <mergeCell ref="UGC2:UGF2"/>
    <mergeCell ref="UGG2:UGJ2"/>
    <mergeCell ref="UGK2:UGN2"/>
    <mergeCell ref="UES2:UEV2"/>
    <mergeCell ref="UEW2:UEZ2"/>
    <mergeCell ref="UFA2:UFD2"/>
    <mergeCell ref="UFE2:UFH2"/>
    <mergeCell ref="UFI2:UFL2"/>
    <mergeCell ref="UFM2:UFP2"/>
    <mergeCell ref="UDU2:UDX2"/>
    <mergeCell ref="UDY2:UEB2"/>
    <mergeCell ref="UEC2:UEF2"/>
    <mergeCell ref="UEG2:UEJ2"/>
    <mergeCell ref="UEK2:UEN2"/>
    <mergeCell ref="UEO2:UER2"/>
    <mergeCell ref="UCW2:UCZ2"/>
    <mergeCell ref="UDA2:UDD2"/>
    <mergeCell ref="UDE2:UDH2"/>
    <mergeCell ref="UDI2:UDL2"/>
    <mergeCell ref="UDM2:UDP2"/>
    <mergeCell ref="UDQ2:UDT2"/>
    <mergeCell ref="UBY2:UCB2"/>
    <mergeCell ref="UCC2:UCF2"/>
    <mergeCell ref="UCG2:UCJ2"/>
    <mergeCell ref="UCK2:UCN2"/>
    <mergeCell ref="UCO2:UCR2"/>
    <mergeCell ref="UCS2:UCV2"/>
    <mergeCell ref="UBA2:UBD2"/>
    <mergeCell ref="UBE2:UBH2"/>
    <mergeCell ref="UBI2:UBL2"/>
    <mergeCell ref="UBM2:UBP2"/>
    <mergeCell ref="UBQ2:UBT2"/>
    <mergeCell ref="UBU2:UBX2"/>
    <mergeCell ref="UAC2:UAF2"/>
    <mergeCell ref="UAG2:UAJ2"/>
    <mergeCell ref="UAK2:UAN2"/>
    <mergeCell ref="UAO2:UAR2"/>
    <mergeCell ref="UAS2:UAV2"/>
    <mergeCell ref="UAW2:UAZ2"/>
    <mergeCell ref="TZE2:TZH2"/>
    <mergeCell ref="TZI2:TZL2"/>
    <mergeCell ref="TZM2:TZP2"/>
    <mergeCell ref="TZQ2:TZT2"/>
    <mergeCell ref="TZU2:TZX2"/>
    <mergeCell ref="TZY2:UAB2"/>
    <mergeCell ref="TYG2:TYJ2"/>
    <mergeCell ref="TYK2:TYN2"/>
    <mergeCell ref="TYO2:TYR2"/>
    <mergeCell ref="TYS2:TYV2"/>
    <mergeCell ref="TYW2:TYZ2"/>
    <mergeCell ref="TZA2:TZD2"/>
    <mergeCell ref="TXI2:TXL2"/>
    <mergeCell ref="TXM2:TXP2"/>
    <mergeCell ref="TXQ2:TXT2"/>
    <mergeCell ref="TXU2:TXX2"/>
    <mergeCell ref="TXY2:TYB2"/>
    <mergeCell ref="TYC2:TYF2"/>
    <mergeCell ref="TWK2:TWN2"/>
    <mergeCell ref="TWO2:TWR2"/>
    <mergeCell ref="TWS2:TWV2"/>
    <mergeCell ref="TWW2:TWZ2"/>
    <mergeCell ref="TXA2:TXD2"/>
    <mergeCell ref="TXE2:TXH2"/>
    <mergeCell ref="TVM2:TVP2"/>
    <mergeCell ref="TVQ2:TVT2"/>
    <mergeCell ref="TVU2:TVX2"/>
    <mergeCell ref="TVY2:TWB2"/>
    <mergeCell ref="TWC2:TWF2"/>
    <mergeCell ref="TWG2:TWJ2"/>
    <mergeCell ref="TUO2:TUR2"/>
    <mergeCell ref="TUS2:TUV2"/>
    <mergeCell ref="TUW2:TUZ2"/>
    <mergeCell ref="TVA2:TVD2"/>
    <mergeCell ref="TVE2:TVH2"/>
    <mergeCell ref="TVI2:TVL2"/>
    <mergeCell ref="TTQ2:TTT2"/>
    <mergeCell ref="TTU2:TTX2"/>
    <mergeCell ref="TTY2:TUB2"/>
    <mergeCell ref="TUC2:TUF2"/>
    <mergeCell ref="TUG2:TUJ2"/>
    <mergeCell ref="TUK2:TUN2"/>
    <mergeCell ref="TSS2:TSV2"/>
    <mergeCell ref="TSW2:TSZ2"/>
    <mergeCell ref="TTA2:TTD2"/>
    <mergeCell ref="TTE2:TTH2"/>
    <mergeCell ref="TTI2:TTL2"/>
    <mergeCell ref="TTM2:TTP2"/>
    <mergeCell ref="TRU2:TRX2"/>
    <mergeCell ref="TRY2:TSB2"/>
    <mergeCell ref="TSC2:TSF2"/>
    <mergeCell ref="TSG2:TSJ2"/>
    <mergeCell ref="TSK2:TSN2"/>
    <mergeCell ref="TSO2:TSR2"/>
    <mergeCell ref="TQW2:TQZ2"/>
    <mergeCell ref="TRA2:TRD2"/>
    <mergeCell ref="TRE2:TRH2"/>
    <mergeCell ref="TRI2:TRL2"/>
    <mergeCell ref="TRM2:TRP2"/>
    <mergeCell ref="TRQ2:TRT2"/>
    <mergeCell ref="TPY2:TQB2"/>
    <mergeCell ref="TQC2:TQF2"/>
    <mergeCell ref="TQG2:TQJ2"/>
    <mergeCell ref="TQK2:TQN2"/>
    <mergeCell ref="TQO2:TQR2"/>
    <mergeCell ref="TQS2:TQV2"/>
    <mergeCell ref="TPA2:TPD2"/>
    <mergeCell ref="TPE2:TPH2"/>
    <mergeCell ref="TPI2:TPL2"/>
    <mergeCell ref="TPM2:TPP2"/>
    <mergeCell ref="TPQ2:TPT2"/>
    <mergeCell ref="TPU2:TPX2"/>
    <mergeCell ref="TOC2:TOF2"/>
    <mergeCell ref="TOG2:TOJ2"/>
    <mergeCell ref="TOK2:TON2"/>
    <mergeCell ref="TOO2:TOR2"/>
    <mergeCell ref="TOS2:TOV2"/>
    <mergeCell ref="TOW2:TOZ2"/>
    <mergeCell ref="TNE2:TNH2"/>
    <mergeCell ref="TNI2:TNL2"/>
    <mergeCell ref="TNM2:TNP2"/>
    <mergeCell ref="TNQ2:TNT2"/>
    <mergeCell ref="TNU2:TNX2"/>
    <mergeCell ref="TNY2:TOB2"/>
    <mergeCell ref="TMG2:TMJ2"/>
    <mergeCell ref="TMK2:TMN2"/>
    <mergeCell ref="TMO2:TMR2"/>
    <mergeCell ref="TMS2:TMV2"/>
    <mergeCell ref="TMW2:TMZ2"/>
    <mergeCell ref="TNA2:TND2"/>
    <mergeCell ref="TLI2:TLL2"/>
    <mergeCell ref="TLM2:TLP2"/>
    <mergeCell ref="TLQ2:TLT2"/>
    <mergeCell ref="TLU2:TLX2"/>
    <mergeCell ref="TLY2:TMB2"/>
    <mergeCell ref="TMC2:TMF2"/>
    <mergeCell ref="TKK2:TKN2"/>
    <mergeCell ref="TKO2:TKR2"/>
    <mergeCell ref="TKS2:TKV2"/>
    <mergeCell ref="TKW2:TKZ2"/>
    <mergeCell ref="TLA2:TLD2"/>
    <mergeCell ref="TLE2:TLH2"/>
    <mergeCell ref="TJM2:TJP2"/>
    <mergeCell ref="TJQ2:TJT2"/>
    <mergeCell ref="TJU2:TJX2"/>
    <mergeCell ref="TJY2:TKB2"/>
    <mergeCell ref="TKC2:TKF2"/>
    <mergeCell ref="TKG2:TKJ2"/>
    <mergeCell ref="TIO2:TIR2"/>
    <mergeCell ref="TIS2:TIV2"/>
    <mergeCell ref="TIW2:TIZ2"/>
    <mergeCell ref="TJA2:TJD2"/>
    <mergeCell ref="TJE2:TJH2"/>
    <mergeCell ref="TJI2:TJL2"/>
    <mergeCell ref="THQ2:THT2"/>
    <mergeCell ref="THU2:THX2"/>
    <mergeCell ref="THY2:TIB2"/>
    <mergeCell ref="TIC2:TIF2"/>
    <mergeCell ref="TIG2:TIJ2"/>
    <mergeCell ref="TIK2:TIN2"/>
    <mergeCell ref="TGS2:TGV2"/>
    <mergeCell ref="TGW2:TGZ2"/>
    <mergeCell ref="THA2:THD2"/>
    <mergeCell ref="THE2:THH2"/>
    <mergeCell ref="THI2:THL2"/>
    <mergeCell ref="THM2:THP2"/>
    <mergeCell ref="TFU2:TFX2"/>
    <mergeCell ref="TFY2:TGB2"/>
    <mergeCell ref="TGC2:TGF2"/>
    <mergeCell ref="TGG2:TGJ2"/>
    <mergeCell ref="TGK2:TGN2"/>
    <mergeCell ref="TGO2:TGR2"/>
    <mergeCell ref="TEW2:TEZ2"/>
    <mergeCell ref="TFA2:TFD2"/>
    <mergeCell ref="TFE2:TFH2"/>
    <mergeCell ref="TFI2:TFL2"/>
    <mergeCell ref="TFM2:TFP2"/>
    <mergeCell ref="TFQ2:TFT2"/>
    <mergeCell ref="TDY2:TEB2"/>
    <mergeCell ref="TEC2:TEF2"/>
    <mergeCell ref="TEG2:TEJ2"/>
    <mergeCell ref="TEK2:TEN2"/>
    <mergeCell ref="TEO2:TER2"/>
    <mergeCell ref="TES2:TEV2"/>
    <mergeCell ref="TDA2:TDD2"/>
    <mergeCell ref="TDE2:TDH2"/>
    <mergeCell ref="TDI2:TDL2"/>
    <mergeCell ref="TDM2:TDP2"/>
    <mergeCell ref="TDQ2:TDT2"/>
    <mergeCell ref="TDU2:TDX2"/>
    <mergeCell ref="TCC2:TCF2"/>
    <mergeCell ref="TCG2:TCJ2"/>
    <mergeCell ref="TCK2:TCN2"/>
    <mergeCell ref="TCO2:TCR2"/>
    <mergeCell ref="TCS2:TCV2"/>
    <mergeCell ref="TCW2:TCZ2"/>
    <mergeCell ref="TBE2:TBH2"/>
    <mergeCell ref="TBI2:TBL2"/>
    <mergeCell ref="TBM2:TBP2"/>
    <mergeCell ref="TBQ2:TBT2"/>
    <mergeCell ref="TBU2:TBX2"/>
    <mergeCell ref="TBY2:TCB2"/>
    <mergeCell ref="TAG2:TAJ2"/>
    <mergeCell ref="TAK2:TAN2"/>
    <mergeCell ref="TAO2:TAR2"/>
    <mergeCell ref="TAS2:TAV2"/>
    <mergeCell ref="TAW2:TAZ2"/>
    <mergeCell ref="TBA2:TBD2"/>
    <mergeCell ref="SZI2:SZL2"/>
    <mergeCell ref="SZM2:SZP2"/>
    <mergeCell ref="SZQ2:SZT2"/>
    <mergeCell ref="SZU2:SZX2"/>
    <mergeCell ref="SZY2:TAB2"/>
    <mergeCell ref="TAC2:TAF2"/>
    <mergeCell ref="SYK2:SYN2"/>
    <mergeCell ref="SYO2:SYR2"/>
    <mergeCell ref="SYS2:SYV2"/>
    <mergeCell ref="SYW2:SYZ2"/>
    <mergeCell ref="SZA2:SZD2"/>
    <mergeCell ref="SZE2:SZH2"/>
    <mergeCell ref="SXM2:SXP2"/>
    <mergeCell ref="SXQ2:SXT2"/>
    <mergeCell ref="SXU2:SXX2"/>
    <mergeCell ref="SXY2:SYB2"/>
    <mergeCell ref="SYC2:SYF2"/>
    <mergeCell ref="SYG2:SYJ2"/>
    <mergeCell ref="SWO2:SWR2"/>
    <mergeCell ref="SWS2:SWV2"/>
    <mergeCell ref="SWW2:SWZ2"/>
    <mergeCell ref="SXA2:SXD2"/>
    <mergeCell ref="SXE2:SXH2"/>
    <mergeCell ref="SXI2:SXL2"/>
    <mergeCell ref="SVQ2:SVT2"/>
    <mergeCell ref="SVU2:SVX2"/>
    <mergeCell ref="SVY2:SWB2"/>
    <mergeCell ref="SWC2:SWF2"/>
    <mergeCell ref="SWG2:SWJ2"/>
    <mergeCell ref="SWK2:SWN2"/>
    <mergeCell ref="SUS2:SUV2"/>
    <mergeCell ref="SUW2:SUZ2"/>
    <mergeCell ref="SVA2:SVD2"/>
    <mergeCell ref="SVE2:SVH2"/>
    <mergeCell ref="SVI2:SVL2"/>
    <mergeCell ref="SVM2:SVP2"/>
    <mergeCell ref="STU2:STX2"/>
    <mergeCell ref="STY2:SUB2"/>
    <mergeCell ref="SUC2:SUF2"/>
    <mergeCell ref="SUG2:SUJ2"/>
    <mergeCell ref="SUK2:SUN2"/>
    <mergeCell ref="SUO2:SUR2"/>
    <mergeCell ref="SSW2:SSZ2"/>
    <mergeCell ref="STA2:STD2"/>
    <mergeCell ref="STE2:STH2"/>
    <mergeCell ref="STI2:STL2"/>
    <mergeCell ref="STM2:STP2"/>
    <mergeCell ref="STQ2:STT2"/>
    <mergeCell ref="SRY2:SSB2"/>
    <mergeCell ref="SSC2:SSF2"/>
    <mergeCell ref="SSG2:SSJ2"/>
    <mergeCell ref="SSK2:SSN2"/>
    <mergeCell ref="SSO2:SSR2"/>
    <mergeCell ref="SSS2:SSV2"/>
    <mergeCell ref="SRA2:SRD2"/>
    <mergeCell ref="SRE2:SRH2"/>
    <mergeCell ref="SRI2:SRL2"/>
    <mergeCell ref="SRM2:SRP2"/>
    <mergeCell ref="SRQ2:SRT2"/>
    <mergeCell ref="SRU2:SRX2"/>
    <mergeCell ref="SQC2:SQF2"/>
    <mergeCell ref="SQG2:SQJ2"/>
    <mergeCell ref="SQK2:SQN2"/>
    <mergeCell ref="SQO2:SQR2"/>
    <mergeCell ref="SQS2:SQV2"/>
    <mergeCell ref="SQW2:SQZ2"/>
    <mergeCell ref="SPE2:SPH2"/>
    <mergeCell ref="SPI2:SPL2"/>
    <mergeCell ref="SPM2:SPP2"/>
    <mergeCell ref="SPQ2:SPT2"/>
    <mergeCell ref="SPU2:SPX2"/>
    <mergeCell ref="SPY2:SQB2"/>
    <mergeCell ref="SOG2:SOJ2"/>
    <mergeCell ref="SOK2:SON2"/>
    <mergeCell ref="SOO2:SOR2"/>
    <mergeCell ref="SOS2:SOV2"/>
    <mergeCell ref="SOW2:SOZ2"/>
    <mergeCell ref="SPA2:SPD2"/>
    <mergeCell ref="SNI2:SNL2"/>
    <mergeCell ref="SNM2:SNP2"/>
    <mergeCell ref="SNQ2:SNT2"/>
    <mergeCell ref="SNU2:SNX2"/>
    <mergeCell ref="SNY2:SOB2"/>
    <mergeCell ref="SOC2:SOF2"/>
    <mergeCell ref="SMK2:SMN2"/>
    <mergeCell ref="SMO2:SMR2"/>
    <mergeCell ref="SMS2:SMV2"/>
    <mergeCell ref="SMW2:SMZ2"/>
    <mergeCell ref="SNA2:SND2"/>
    <mergeCell ref="SNE2:SNH2"/>
    <mergeCell ref="SLM2:SLP2"/>
    <mergeCell ref="SLQ2:SLT2"/>
    <mergeCell ref="SLU2:SLX2"/>
    <mergeCell ref="SLY2:SMB2"/>
    <mergeCell ref="SMC2:SMF2"/>
    <mergeCell ref="SMG2:SMJ2"/>
    <mergeCell ref="SKO2:SKR2"/>
    <mergeCell ref="SKS2:SKV2"/>
    <mergeCell ref="SKW2:SKZ2"/>
    <mergeCell ref="SLA2:SLD2"/>
    <mergeCell ref="SLE2:SLH2"/>
    <mergeCell ref="SLI2:SLL2"/>
    <mergeCell ref="SJQ2:SJT2"/>
    <mergeCell ref="SJU2:SJX2"/>
    <mergeCell ref="SJY2:SKB2"/>
    <mergeCell ref="SKC2:SKF2"/>
    <mergeCell ref="SKG2:SKJ2"/>
    <mergeCell ref="SKK2:SKN2"/>
    <mergeCell ref="SIS2:SIV2"/>
    <mergeCell ref="SIW2:SIZ2"/>
    <mergeCell ref="SJA2:SJD2"/>
    <mergeCell ref="SJE2:SJH2"/>
    <mergeCell ref="SJI2:SJL2"/>
    <mergeCell ref="SJM2:SJP2"/>
    <mergeCell ref="SHU2:SHX2"/>
    <mergeCell ref="SHY2:SIB2"/>
    <mergeCell ref="SIC2:SIF2"/>
    <mergeCell ref="SIG2:SIJ2"/>
    <mergeCell ref="SIK2:SIN2"/>
    <mergeCell ref="SIO2:SIR2"/>
    <mergeCell ref="SGW2:SGZ2"/>
    <mergeCell ref="SHA2:SHD2"/>
    <mergeCell ref="SHE2:SHH2"/>
    <mergeCell ref="SHI2:SHL2"/>
    <mergeCell ref="SHM2:SHP2"/>
    <mergeCell ref="SHQ2:SHT2"/>
    <mergeCell ref="SFY2:SGB2"/>
    <mergeCell ref="SGC2:SGF2"/>
    <mergeCell ref="SGG2:SGJ2"/>
    <mergeCell ref="SGK2:SGN2"/>
    <mergeCell ref="SGO2:SGR2"/>
    <mergeCell ref="SGS2:SGV2"/>
    <mergeCell ref="SFA2:SFD2"/>
    <mergeCell ref="SFE2:SFH2"/>
    <mergeCell ref="SFI2:SFL2"/>
    <mergeCell ref="SFM2:SFP2"/>
    <mergeCell ref="SFQ2:SFT2"/>
    <mergeCell ref="SFU2:SFX2"/>
    <mergeCell ref="SEC2:SEF2"/>
    <mergeCell ref="SEG2:SEJ2"/>
    <mergeCell ref="SEK2:SEN2"/>
    <mergeCell ref="SEO2:SER2"/>
    <mergeCell ref="SES2:SEV2"/>
    <mergeCell ref="SEW2:SEZ2"/>
    <mergeCell ref="SDE2:SDH2"/>
    <mergeCell ref="SDI2:SDL2"/>
    <mergeCell ref="SDM2:SDP2"/>
    <mergeCell ref="SDQ2:SDT2"/>
    <mergeCell ref="SDU2:SDX2"/>
    <mergeCell ref="SDY2:SEB2"/>
    <mergeCell ref="SCG2:SCJ2"/>
    <mergeCell ref="SCK2:SCN2"/>
    <mergeCell ref="SCO2:SCR2"/>
    <mergeCell ref="SCS2:SCV2"/>
    <mergeCell ref="SCW2:SCZ2"/>
    <mergeCell ref="SDA2:SDD2"/>
    <mergeCell ref="SBI2:SBL2"/>
    <mergeCell ref="SBM2:SBP2"/>
    <mergeCell ref="SBQ2:SBT2"/>
    <mergeCell ref="SBU2:SBX2"/>
    <mergeCell ref="SBY2:SCB2"/>
    <mergeCell ref="SCC2:SCF2"/>
    <mergeCell ref="SAK2:SAN2"/>
    <mergeCell ref="SAO2:SAR2"/>
    <mergeCell ref="SAS2:SAV2"/>
    <mergeCell ref="SAW2:SAZ2"/>
    <mergeCell ref="SBA2:SBD2"/>
    <mergeCell ref="SBE2:SBH2"/>
    <mergeCell ref="RZM2:RZP2"/>
    <mergeCell ref="RZQ2:RZT2"/>
    <mergeCell ref="RZU2:RZX2"/>
    <mergeCell ref="RZY2:SAB2"/>
    <mergeCell ref="SAC2:SAF2"/>
    <mergeCell ref="SAG2:SAJ2"/>
    <mergeCell ref="RYO2:RYR2"/>
    <mergeCell ref="RYS2:RYV2"/>
    <mergeCell ref="RYW2:RYZ2"/>
    <mergeCell ref="RZA2:RZD2"/>
    <mergeCell ref="RZE2:RZH2"/>
    <mergeCell ref="RZI2:RZL2"/>
    <mergeCell ref="RXQ2:RXT2"/>
    <mergeCell ref="RXU2:RXX2"/>
    <mergeCell ref="RXY2:RYB2"/>
    <mergeCell ref="RYC2:RYF2"/>
    <mergeCell ref="RYG2:RYJ2"/>
    <mergeCell ref="RYK2:RYN2"/>
    <mergeCell ref="RWS2:RWV2"/>
    <mergeCell ref="RWW2:RWZ2"/>
    <mergeCell ref="RXA2:RXD2"/>
    <mergeCell ref="RXE2:RXH2"/>
    <mergeCell ref="RXI2:RXL2"/>
    <mergeCell ref="RXM2:RXP2"/>
    <mergeCell ref="RVU2:RVX2"/>
    <mergeCell ref="RVY2:RWB2"/>
    <mergeCell ref="RWC2:RWF2"/>
    <mergeCell ref="RWG2:RWJ2"/>
    <mergeCell ref="RWK2:RWN2"/>
    <mergeCell ref="RWO2:RWR2"/>
    <mergeCell ref="RUW2:RUZ2"/>
    <mergeCell ref="RVA2:RVD2"/>
    <mergeCell ref="RVE2:RVH2"/>
    <mergeCell ref="RVI2:RVL2"/>
    <mergeCell ref="RVM2:RVP2"/>
    <mergeCell ref="RVQ2:RVT2"/>
    <mergeCell ref="RTY2:RUB2"/>
    <mergeCell ref="RUC2:RUF2"/>
    <mergeCell ref="RUG2:RUJ2"/>
    <mergeCell ref="RUK2:RUN2"/>
    <mergeCell ref="RUO2:RUR2"/>
    <mergeCell ref="RUS2:RUV2"/>
    <mergeCell ref="RTA2:RTD2"/>
    <mergeCell ref="RTE2:RTH2"/>
    <mergeCell ref="RTI2:RTL2"/>
    <mergeCell ref="RTM2:RTP2"/>
    <mergeCell ref="RTQ2:RTT2"/>
    <mergeCell ref="RTU2:RTX2"/>
    <mergeCell ref="RSC2:RSF2"/>
    <mergeCell ref="RSG2:RSJ2"/>
    <mergeCell ref="RSK2:RSN2"/>
    <mergeCell ref="RSO2:RSR2"/>
    <mergeCell ref="RSS2:RSV2"/>
    <mergeCell ref="RSW2:RSZ2"/>
    <mergeCell ref="RRE2:RRH2"/>
    <mergeCell ref="RRI2:RRL2"/>
    <mergeCell ref="RRM2:RRP2"/>
    <mergeCell ref="RRQ2:RRT2"/>
    <mergeCell ref="RRU2:RRX2"/>
    <mergeCell ref="RRY2:RSB2"/>
    <mergeCell ref="RQG2:RQJ2"/>
    <mergeCell ref="RQK2:RQN2"/>
    <mergeCell ref="RQO2:RQR2"/>
    <mergeCell ref="RQS2:RQV2"/>
    <mergeCell ref="RQW2:RQZ2"/>
    <mergeCell ref="RRA2:RRD2"/>
    <mergeCell ref="RPI2:RPL2"/>
    <mergeCell ref="RPM2:RPP2"/>
    <mergeCell ref="RPQ2:RPT2"/>
    <mergeCell ref="RPU2:RPX2"/>
    <mergeCell ref="RPY2:RQB2"/>
    <mergeCell ref="RQC2:RQF2"/>
    <mergeCell ref="ROK2:RON2"/>
    <mergeCell ref="ROO2:ROR2"/>
    <mergeCell ref="ROS2:ROV2"/>
    <mergeCell ref="ROW2:ROZ2"/>
    <mergeCell ref="RPA2:RPD2"/>
    <mergeCell ref="RPE2:RPH2"/>
    <mergeCell ref="RNM2:RNP2"/>
    <mergeCell ref="RNQ2:RNT2"/>
    <mergeCell ref="RNU2:RNX2"/>
    <mergeCell ref="RNY2:ROB2"/>
    <mergeCell ref="ROC2:ROF2"/>
    <mergeCell ref="ROG2:ROJ2"/>
    <mergeCell ref="RMO2:RMR2"/>
    <mergeCell ref="RMS2:RMV2"/>
    <mergeCell ref="RMW2:RMZ2"/>
    <mergeCell ref="RNA2:RND2"/>
    <mergeCell ref="RNE2:RNH2"/>
    <mergeCell ref="RNI2:RNL2"/>
    <mergeCell ref="RLQ2:RLT2"/>
    <mergeCell ref="RLU2:RLX2"/>
    <mergeCell ref="RLY2:RMB2"/>
    <mergeCell ref="RMC2:RMF2"/>
    <mergeCell ref="RMG2:RMJ2"/>
    <mergeCell ref="RMK2:RMN2"/>
    <mergeCell ref="RKS2:RKV2"/>
    <mergeCell ref="RKW2:RKZ2"/>
    <mergeCell ref="RLA2:RLD2"/>
    <mergeCell ref="RLE2:RLH2"/>
    <mergeCell ref="RLI2:RLL2"/>
    <mergeCell ref="RLM2:RLP2"/>
    <mergeCell ref="RJU2:RJX2"/>
    <mergeCell ref="RJY2:RKB2"/>
    <mergeCell ref="RKC2:RKF2"/>
    <mergeCell ref="RKG2:RKJ2"/>
    <mergeCell ref="RKK2:RKN2"/>
    <mergeCell ref="RKO2:RKR2"/>
    <mergeCell ref="RIW2:RIZ2"/>
    <mergeCell ref="RJA2:RJD2"/>
    <mergeCell ref="RJE2:RJH2"/>
    <mergeCell ref="RJI2:RJL2"/>
    <mergeCell ref="RJM2:RJP2"/>
    <mergeCell ref="RJQ2:RJT2"/>
    <mergeCell ref="RHY2:RIB2"/>
    <mergeCell ref="RIC2:RIF2"/>
    <mergeCell ref="RIG2:RIJ2"/>
    <mergeCell ref="RIK2:RIN2"/>
    <mergeCell ref="RIO2:RIR2"/>
    <mergeCell ref="RIS2:RIV2"/>
    <mergeCell ref="RHA2:RHD2"/>
    <mergeCell ref="RHE2:RHH2"/>
    <mergeCell ref="RHI2:RHL2"/>
    <mergeCell ref="RHM2:RHP2"/>
    <mergeCell ref="RHQ2:RHT2"/>
    <mergeCell ref="RHU2:RHX2"/>
    <mergeCell ref="RGC2:RGF2"/>
    <mergeCell ref="RGG2:RGJ2"/>
    <mergeCell ref="RGK2:RGN2"/>
    <mergeCell ref="RGO2:RGR2"/>
    <mergeCell ref="RGS2:RGV2"/>
    <mergeCell ref="RGW2:RGZ2"/>
    <mergeCell ref="RFE2:RFH2"/>
    <mergeCell ref="RFI2:RFL2"/>
    <mergeCell ref="RFM2:RFP2"/>
    <mergeCell ref="RFQ2:RFT2"/>
    <mergeCell ref="RFU2:RFX2"/>
    <mergeCell ref="RFY2:RGB2"/>
    <mergeCell ref="REG2:REJ2"/>
    <mergeCell ref="REK2:REN2"/>
    <mergeCell ref="REO2:RER2"/>
    <mergeCell ref="RES2:REV2"/>
    <mergeCell ref="REW2:REZ2"/>
    <mergeCell ref="RFA2:RFD2"/>
    <mergeCell ref="RDI2:RDL2"/>
    <mergeCell ref="RDM2:RDP2"/>
    <mergeCell ref="RDQ2:RDT2"/>
    <mergeCell ref="RDU2:RDX2"/>
    <mergeCell ref="RDY2:REB2"/>
    <mergeCell ref="REC2:REF2"/>
    <mergeCell ref="RCK2:RCN2"/>
    <mergeCell ref="RCO2:RCR2"/>
    <mergeCell ref="RCS2:RCV2"/>
    <mergeCell ref="RCW2:RCZ2"/>
    <mergeCell ref="RDA2:RDD2"/>
    <mergeCell ref="RDE2:RDH2"/>
    <mergeCell ref="RBM2:RBP2"/>
    <mergeCell ref="RBQ2:RBT2"/>
    <mergeCell ref="RBU2:RBX2"/>
    <mergeCell ref="RBY2:RCB2"/>
    <mergeCell ref="RCC2:RCF2"/>
    <mergeCell ref="RCG2:RCJ2"/>
    <mergeCell ref="RAO2:RAR2"/>
    <mergeCell ref="RAS2:RAV2"/>
    <mergeCell ref="RAW2:RAZ2"/>
    <mergeCell ref="RBA2:RBD2"/>
    <mergeCell ref="RBE2:RBH2"/>
    <mergeCell ref="RBI2:RBL2"/>
    <mergeCell ref="QZQ2:QZT2"/>
    <mergeCell ref="QZU2:QZX2"/>
    <mergeCell ref="QZY2:RAB2"/>
    <mergeCell ref="RAC2:RAF2"/>
    <mergeCell ref="RAG2:RAJ2"/>
    <mergeCell ref="RAK2:RAN2"/>
    <mergeCell ref="QYS2:QYV2"/>
    <mergeCell ref="QYW2:QYZ2"/>
    <mergeCell ref="QZA2:QZD2"/>
    <mergeCell ref="QZE2:QZH2"/>
    <mergeCell ref="QZI2:QZL2"/>
    <mergeCell ref="QZM2:QZP2"/>
    <mergeCell ref="QXU2:QXX2"/>
    <mergeCell ref="QXY2:QYB2"/>
    <mergeCell ref="QYC2:QYF2"/>
    <mergeCell ref="QYG2:QYJ2"/>
    <mergeCell ref="QYK2:QYN2"/>
    <mergeCell ref="QYO2:QYR2"/>
    <mergeCell ref="QWW2:QWZ2"/>
    <mergeCell ref="QXA2:QXD2"/>
    <mergeCell ref="QXE2:QXH2"/>
    <mergeCell ref="QXI2:QXL2"/>
    <mergeCell ref="QXM2:QXP2"/>
    <mergeCell ref="QXQ2:QXT2"/>
    <mergeCell ref="QVY2:QWB2"/>
    <mergeCell ref="QWC2:QWF2"/>
    <mergeCell ref="QWG2:QWJ2"/>
    <mergeCell ref="QWK2:QWN2"/>
    <mergeCell ref="QWO2:QWR2"/>
    <mergeCell ref="QWS2:QWV2"/>
    <mergeCell ref="QVA2:QVD2"/>
    <mergeCell ref="QVE2:QVH2"/>
    <mergeCell ref="QVI2:QVL2"/>
    <mergeCell ref="QVM2:QVP2"/>
    <mergeCell ref="QVQ2:QVT2"/>
    <mergeCell ref="QVU2:QVX2"/>
    <mergeCell ref="QUC2:QUF2"/>
    <mergeCell ref="QUG2:QUJ2"/>
    <mergeCell ref="QUK2:QUN2"/>
    <mergeCell ref="QUO2:QUR2"/>
    <mergeCell ref="QUS2:QUV2"/>
    <mergeCell ref="QUW2:QUZ2"/>
    <mergeCell ref="QTE2:QTH2"/>
    <mergeCell ref="QTI2:QTL2"/>
    <mergeCell ref="QTM2:QTP2"/>
    <mergeCell ref="QTQ2:QTT2"/>
    <mergeCell ref="QTU2:QTX2"/>
    <mergeCell ref="QTY2:QUB2"/>
    <mergeCell ref="QSG2:QSJ2"/>
    <mergeCell ref="QSK2:QSN2"/>
    <mergeCell ref="QSO2:QSR2"/>
    <mergeCell ref="QSS2:QSV2"/>
    <mergeCell ref="QSW2:QSZ2"/>
    <mergeCell ref="QTA2:QTD2"/>
    <mergeCell ref="QRI2:QRL2"/>
    <mergeCell ref="QRM2:QRP2"/>
    <mergeCell ref="QRQ2:QRT2"/>
    <mergeCell ref="QRU2:QRX2"/>
    <mergeCell ref="QRY2:QSB2"/>
    <mergeCell ref="QSC2:QSF2"/>
    <mergeCell ref="QQK2:QQN2"/>
    <mergeCell ref="QQO2:QQR2"/>
    <mergeCell ref="QQS2:QQV2"/>
    <mergeCell ref="QQW2:QQZ2"/>
    <mergeCell ref="QRA2:QRD2"/>
    <mergeCell ref="QRE2:QRH2"/>
    <mergeCell ref="QPM2:QPP2"/>
    <mergeCell ref="QPQ2:QPT2"/>
    <mergeCell ref="QPU2:QPX2"/>
    <mergeCell ref="QPY2:QQB2"/>
    <mergeCell ref="QQC2:QQF2"/>
    <mergeCell ref="QQG2:QQJ2"/>
    <mergeCell ref="QOO2:QOR2"/>
    <mergeCell ref="QOS2:QOV2"/>
    <mergeCell ref="QOW2:QOZ2"/>
    <mergeCell ref="QPA2:QPD2"/>
    <mergeCell ref="QPE2:QPH2"/>
    <mergeCell ref="QPI2:QPL2"/>
    <mergeCell ref="QNQ2:QNT2"/>
    <mergeCell ref="QNU2:QNX2"/>
    <mergeCell ref="QNY2:QOB2"/>
    <mergeCell ref="QOC2:QOF2"/>
    <mergeCell ref="QOG2:QOJ2"/>
    <mergeCell ref="QOK2:QON2"/>
    <mergeCell ref="QMS2:QMV2"/>
    <mergeCell ref="QMW2:QMZ2"/>
    <mergeCell ref="QNA2:QND2"/>
    <mergeCell ref="QNE2:QNH2"/>
    <mergeCell ref="QNI2:QNL2"/>
    <mergeCell ref="QNM2:QNP2"/>
    <mergeCell ref="QLU2:QLX2"/>
    <mergeCell ref="QLY2:QMB2"/>
    <mergeCell ref="QMC2:QMF2"/>
    <mergeCell ref="QMG2:QMJ2"/>
    <mergeCell ref="QMK2:QMN2"/>
    <mergeCell ref="QMO2:QMR2"/>
    <mergeCell ref="QKW2:QKZ2"/>
    <mergeCell ref="QLA2:QLD2"/>
    <mergeCell ref="QLE2:QLH2"/>
    <mergeCell ref="QLI2:QLL2"/>
    <mergeCell ref="QLM2:QLP2"/>
    <mergeCell ref="QLQ2:QLT2"/>
    <mergeCell ref="QJY2:QKB2"/>
    <mergeCell ref="QKC2:QKF2"/>
    <mergeCell ref="QKG2:QKJ2"/>
    <mergeCell ref="QKK2:QKN2"/>
    <mergeCell ref="QKO2:QKR2"/>
    <mergeCell ref="QKS2:QKV2"/>
    <mergeCell ref="QJA2:QJD2"/>
    <mergeCell ref="QJE2:QJH2"/>
    <mergeCell ref="QJI2:QJL2"/>
    <mergeCell ref="QJM2:QJP2"/>
    <mergeCell ref="QJQ2:QJT2"/>
    <mergeCell ref="QJU2:QJX2"/>
    <mergeCell ref="QIC2:QIF2"/>
    <mergeCell ref="QIG2:QIJ2"/>
    <mergeCell ref="QIK2:QIN2"/>
    <mergeCell ref="QIO2:QIR2"/>
    <mergeCell ref="QIS2:QIV2"/>
    <mergeCell ref="QIW2:QIZ2"/>
    <mergeCell ref="QHE2:QHH2"/>
    <mergeCell ref="QHI2:QHL2"/>
    <mergeCell ref="QHM2:QHP2"/>
    <mergeCell ref="QHQ2:QHT2"/>
    <mergeCell ref="QHU2:QHX2"/>
    <mergeCell ref="QHY2:QIB2"/>
    <mergeCell ref="QGG2:QGJ2"/>
    <mergeCell ref="QGK2:QGN2"/>
    <mergeCell ref="QGO2:QGR2"/>
    <mergeCell ref="QGS2:QGV2"/>
    <mergeCell ref="QGW2:QGZ2"/>
    <mergeCell ref="QHA2:QHD2"/>
    <mergeCell ref="QFI2:QFL2"/>
    <mergeCell ref="QFM2:QFP2"/>
    <mergeCell ref="QFQ2:QFT2"/>
    <mergeCell ref="QFU2:QFX2"/>
    <mergeCell ref="QFY2:QGB2"/>
    <mergeCell ref="QGC2:QGF2"/>
    <mergeCell ref="QEK2:QEN2"/>
    <mergeCell ref="QEO2:QER2"/>
    <mergeCell ref="QES2:QEV2"/>
    <mergeCell ref="QEW2:QEZ2"/>
    <mergeCell ref="QFA2:QFD2"/>
    <mergeCell ref="QFE2:QFH2"/>
    <mergeCell ref="QDM2:QDP2"/>
    <mergeCell ref="QDQ2:QDT2"/>
    <mergeCell ref="QDU2:QDX2"/>
    <mergeCell ref="QDY2:QEB2"/>
    <mergeCell ref="QEC2:QEF2"/>
    <mergeCell ref="QEG2:QEJ2"/>
    <mergeCell ref="QCO2:QCR2"/>
    <mergeCell ref="QCS2:QCV2"/>
    <mergeCell ref="QCW2:QCZ2"/>
    <mergeCell ref="QDA2:QDD2"/>
    <mergeCell ref="QDE2:QDH2"/>
    <mergeCell ref="QDI2:QDL2"/>
    <mergeCell ref="QBQ2:QBT2"/>
    <mergeCell ref="QBU2:QBX2"/>
    <mergeCell ref="QBY2:QCB2"/>
    <mergeCell ref="QCC2:QCF2"/>
    <mergeCell ref="QCG2:QCJ2"/>
    <mergeCell ref="QCK2:QCN2"/>
    <mergeCell ref="QAS2:QAV2"/>
    <mergeCell ref="QAW2:QAZ2"/>
    <mergeCell ref="QBA2:QBD2"/>
    <mergeCell ref="QBE2:QBH2"/>
    <mergeCell ref="QBI2:QBL2"/>
    <mergeCell ref="QBM2:QBP2"/>
    <mergeCell ref="PZU2:PZX2"/>
    <mergeCell ref="PZY2:QAB2"/>
    <mergeCell ref="QAC2:QAF2"/>
    <mergeCell ref="QAG2:QAJ2"/>
    <mergeCell ref="QAK2:QAN2"/>
    <mergeCell ref="QAO2:QAR2"/>
    <mergeCell ref="PYW2:PYZ2"/>
    <mergeCell ref="PZA2:PZD2"/>
    <mergeCell ref="PZE2:PZH2"/>
    <mergeCell ref="PZI2:PZL2"/>
    <mergeCell ref="PZM2:PZP2"/>
    <mergeCell ref="PZQ2:PZT2"/>
    <mergeCell ref="PXY2:PYB2"/>
    <mergeCell ref="PYC2:PYF2"/>
    <mergeCell ref="PYG2:PYJ2"/>
    <mergeCell ref="PYK2:PYN2"/>
    <mergeCell ref="PYO2:PYR2"/>
    <mergeCell ref="PYS2:PYV2"/>
    <mergeCell ref="PXA2:PXD2"/>
    <mergeCell ref="PXE2:PXH2"/>
    <mergeCell ref="PXI2:PXL2"/>
    <mergeCell ref="PXM2:PXP2"/>
    <mergeCell ref="PXQ2:PXT2"/>
    <mergeCell ref="PXU2:PXX2"/>
    <mergeCell ref="PWC2:PWF2"/>
    <mergeCell ref="PWG2:PWJ2"/>
    <mergeCell ref="PWK2:PWN2"/>
    <mergeCell ref="PWO2:PWR2"/>
    <mergeCell ref="PWS2:PWV2"/>
    <mergeCell ref="PWW2:PWZ2"/>
    <mergeCell ref="PVE2:PVH2"/>
    <mergeCell ref="PVI2:PVL2"/>
    <mergeCell ref="PVM2:PVP2"/>
    <mergeCell ref="PVQ2:PVT2"/>
    <mergeCell ref="PVU2:PVX2"/>
    <mergeCell ref="PVY2:PWB2"/>
    <mergeCell ref="PUG2:PUJ2"/>
    <mergeCell ref="PUK2:PUN2"/>
    <mergeCell ref="PUO2:PUR2"/>
    <mergeCell ref="PUS2:PUV2"/>
    <mergeCell ref="PUW2:PUZ2"/>
    <mergeCell ref="PVA2:PVD2"/>
    <mergeCell ref="PTI2:PTL2"/>
    <mergeCell ref="PTM2:PTP2"/>
    <mergeCell ref="PTQ2:PTT2"/>
    <mergeCell ref="PTU2:PTX2"/>
    <mergeCell ref="PTY2:PUB2"/>
    <mergeCell ref="PUC2:PUF2"/>
    <mergeCell ref="PSK2:PSN2"/>
    <mergeCell ref="PSO2:PSR2"/>
    <mergeCell ref="PSS2:PSV2"/>
    <mergeCell ref="PSW2:PSZ2"/>
    <mergeCell ref="PTA2:PTD2"/>
    <mergeCell ref="PTE2:PTH2"/>
    <mergeCell ref="PRM2:PRP2"/>
    <mergeCell ref="PRQ2:PRT2"/>
    <mergeCell ref="PRU2:PRX2"/>
    <mergeCell ref="PRY2:PSB2"/>
    <mergeCell ref="PSC2:PSF2"/>
    <mergeCell ref="PSG2:PSJ2"/>
    <mergeCell ref="PQO2:PQR2"/>
    <mergeCell ref="PQS2:PQV2"/>
    <mergeCell ref="PQW2:PQZ2"/>
    <mergeCell ref="PRA2:PRD2"/>
    <mergeCell ref="PRE2:PRH2"/>
    <mergeCell ref="PRI2:PRL2"/>
    <mergeCell ref="PPQ2:PPT2"/>
    <mergeCell ref="PPU2:PPX2"/>
    <mergeCell ref="PPY2:PQB2"/>
    <mergeCell ref="PQC2:PQF2"/>
    <mergeCell ref="PQG2:PQJ2"/>
    <mergeCell ref="PQK2:PQN2"/>
    <mergeCell ref="POS2:POV2"/>
    <mergeCell ref="POW2:POZ2"/>
    <mergeCell ref="PPA2:PPD2"/>
    <mergeCell ref="PPE2:PPH2"/>
    <mergeCell ref="PPI2:PPL2"/>
    <mergeCell ref="PPM2:PPP2"/>
    <mergeCell ref="PNU2:PNX2"/>
    <mergeCell ref="PNY2:POB2"/>
    <mergeCell ref="POC2:POF2"/>
    <mergeCell ref="POG2:POJ2"/>
    <mergeCell ref="POK2:PON2"/>
    <mergeCell ref="POO2:POR2"/>
    <mergeCell ref="PMW2:PMZ2"/>
    <mergeCell ref="PNA2:PND2"/>
    <mergeCell ref="PNE2:PNH2"/>
    <mergeCell ref="PNI2:PNL2"/>
    <mergeCell ref="PNM2:PNP2"/>
    <mergeCell ref="PNQ2:PNT2"/>
    <mergeCell ref="PLY2:PMB2"/>
    <mergeCell ref="PMC2:PMF2"/>
    <mergeCell ref="PMG2:PMJ2"/>
    <mergeCell ref="PMK2:PMN2"/>
    <mergeCell ref="PMO2:PMR2"/>
    <mergeCell ref="PMS2:PMV2"/>
    <mergeCell ref="PLA2:PLD2"/>
    <mergeCell ref="PLE2:PLH2"/>
    <mergeCell ref="PLI2:PLL2"/>
    <mergeCell ref="PLM2:PLP2"/>
    <mergeCell ref="PLQ2:PLT2"/>
    <mergeCell ref="PLU2:PLX2"/>
    <mergeCell ref="PKC2:PKF2"/>
    <mergeCell ref="PKG2:PKJ2"/>
    <mergeCell ref="PKK2:PKN2"/>
    <mergeCell ref="PKO2:PKR2"/>
    <mergeCell ref="PKS2:PKV2"/>
    <mergeCell ref="PKW2:PKZ2"/>
    <mergeCell ref="PJE2:PJH2"/>
    <mergeCell ref="PJI2:PJL2"/>
    <mergeCell ref="PJM2:PJP2"/>
    <mergeCell ref="PJQ2:PJT2"/>
    <mergeCell ref="PJU2:PJX2"/>
    <mergeCell ref="PJY2:PKB2"/>
    <mergeCell ref="PIG2:PIJ2"/>
    <mergeCell ref="PIK2:PIN2"/>
    <mergeCell ref="PIO2:PIR2"/>
    <mergeCell ref="PIS2:PIV2"/>
    <mergeCell ref="PIW2:PIZ2"/>
    <mergeCell ref="PJA2:PJD2"/>
    <mergeCell ref="PHI2:PHL2"/>
    <mergeCell ref="PHM2:PHP2"/>
    <mergeCell ref="PHQ2:PHT2"/>
    <mergeCell ref="PHU2:PHX2"/>
    <mergeCell ref="PHY2:PIB2"/>
    <mergeCell ref="PIC2:PIF2"/>
    <mergeCell ref="PGK2:PGN2"/>
    <mergeCell ref="PGO2:PGR2"/>
    <mergeCell ref="PGS2:PGV2"/>
    <mergeCell ref="PGW2:PGZ2"/>
    <mergeCell ref="PHA2:PHD2"/>
    <mergeCell ref="PHE2:PHH2"/>
    <mergeCell ref="PFM2:PFP2"/>
    <mergeCell ref="PFQ2:PFT2"/>
    <mergeCell ref="PFU2:PFX2"/>
    <mergeCell ref="PFY2:PGB2"/>
    <mergeCell ref="PGC2:PGF2"/>
    <mergeCell ref="PGG2:PGJ2"/>
    <mergeCell ref="PEO2:PER2"/>
    <mergeCell ref="PES2:PEV2"/>
    <mergeCell ref="PEW2:PEZ2"/>
    <mergeCell ref="PFA2:PFD2"/>
    <mergeCell ref="PFE2:PFH2"/>
    <mergeCell ref="PFI2:PFL2"/>
    <mergeCell ref="PDQ2:PDT2"/>
    <mergeCell ref="PDU2:PDX2"/>
    <mergeCell ref="PDY2:PEB2"/>
    <mergeCell ref="PEC2:PEF2"/>
    <mergeCell ref="PEG2:PEJ2"/>
    <mergeCell ref="PEK2:PEN2"/>
    <mergeCell ref="PCS2:PCV2"/>
    <mergeCell ref="PCW2:PCZ2"/>
    <mergeCell ref="PDA2:PDD2"/>
    <mergeCell ref="PDE2:PDH2"/>
    <mergeCell ref="PDI2:PDL2"/>
    <mergeCell ref="PDM2:PDP2"/>
    <mergeCell ref="PBU2:PBX2"/>
    <mergeCell ref="PBY2:PCB2"/>
    <mergeCell ref="PCC2:PCF2"/>
    <mergeCell ref="PCG2:PCJ2"/>
    <mergeCell ref="PCK2:PCN2"/>
    <mergeCell ref="PCO2:PCR2"/>
    <mergeCell ref="PAW2:PAZ2"/>
    <mergeCell ref="PBA2:PBD2"/>
    <mergeCell ref="PBE2:PBH2"/>
    <mergeCell ref="PBI2:PBL2"/>
    <mergeCell ref="PBM2:PBP2"/>
    <mergeCell ref="PBQ2:PBT2"/>
    <mergeCell ref="OZY2:PAB2"/>
    <mergeCell ref="PAC2:PAF2"/>
    <mergeCell ref="PAG2:PAJ2"/>
    <mergeCell ref="PAK2:PAN2"/>
    <mergeCell ref="PAO2:PAR2"/>
    <mergeCell ref="PAS2:PAV2"/>
    <mergeCell ref="OZA2:OZD2"/>
    <mergeCell ref="OZE2:OZH2"/>
    <mergeCell ref="OZI2:OZL2"/>
    <mergeCell ref="OZM2:OZP2"/>
    <mergeCell ref="OZQ2:OZT2"/>
    <mergeCell ref="OZU2:OZX2"/>
    <mergeCell ref="OYC2:OYF2"/>
    <mergeCell ref="OYG2:OYJ2"/>
    <mergeCell ref="OYK2:OYN2"/>
    <mergeCell ref="OYO2:OYR2"/>
    <mergeCell ref="OYS2:OYV2"/>
    <mergeCell ref="OYW2:OYZ2"/>
    <mergeCell ref="OXE2:OXH2"/>
    <mergeCell ref="OXI2:OXL2"/>
    <mergeCell ref="OXM2:OXP2"/>
    <mergeCell ref="OXQ2:OXT2"/>
    <mergeCell ref="OXU2:OXX2"/>
    <mergeCell ref="OXY2:OYB2"/>
    <mergeCell ref="OWG2:OWJ2"/>
    <mergeCell ref="OWK2:OWN2"/>
    <mergeCell ref="OWO2:OWR2"/>
    <mergeCell ref="OWS2:OWV2"/>
    <mergeCell ref="OWW2:OWZ2"/>
    <mergeCell ref="OXA2:OXD2"/>
    <mergeCell ref="OVI2:OVL2"/>
    <mergeCell ref="OVM2:OVP2"/>
    <mergeCell ref="OVQ2:OVT2"/>
    <mergeCell ref="OVU2:OVX2"/>
    <mergeCell ref="OVY2:OWB2"/>
    <mergeCell ref="OWC2:OWF2"/>
    <mergeCell ref="OUK2:OUN2"/>
    <mergeCell ref="OUO2:OUR2"/>
    <mergeCell ref="OUS2:OUV2"/>
    <mergeCell ref="OUW2:OUZ2"/>
    <mergeCell ref="OVA2:OVD2"/>
    <mergeCell ref="OVE2:OVH2"/>
    <mergeCell ref="OTM2:OTP2"/>
    <mergeCell ref="OTQ2:OTT2"/>
    <mergeCell ref="OTU2:OTX2"/>
    <mergeCell ref="OTY2:OUB2"/>
    <mergeCell ref="OUC2:OUF2"/>
    <mergeCell ref="OUG2:OUJ2"/>
    <mergeCell ref="OSO2:OSR2"/>
    <mergeCell ref="OSS2:OSV2"/>
    <mergeCell ref="OSW2:OSZ2"/>
    <mergeCell ref="OTA2:OTD2"/>
    <mergeCell ref="OTE2:OTH2"/>
    <mergeCell ref="OTI2:OTL2"/>
    <mergeCell ref="ORQ2:ORT2"/>
    <mergeCell ref="ORU2:ORX2"/>
    <mergeCell ref="ORY2:OSB2"/>
    <mergeCell ref="OSC2:OSF2"/>
    <mergeCell ref="OSG2:OSJ2"/>
    <mergeCell ref="OSK2:OSN2"/>
    <mergeCell ref="OQS2:OQV2"/>
    <mergeCell ref="OQW2:OQZ2"/>
    <mergeCell ref="ORA2:ORD2"/>
    <mergeCell ref="ORE2:ORH2"/>
    <mergeCell ref="ORI2:ORL2"/>
    <mergeCell ref="ORM2:ORP2"/>
    <mergeCell ref="OPU2:OPX2"/>
    <mergeCell ref="OPY2:OQB2"/>
    <mergeCell ref="OQC2:OQF2"/>
    <mergeCell ref="OQG2:OQJ2"/>
    <mergeCell ref="OQK2:OQN2"/>
    <mergeCell ref="OQO2:OQR2"/>
    <mergeCell ref="OOW2:OOZ2"/>
    <mergeCell ref="OPA2:OPD2"/>
    <mergeCell ref="OPE2:OPH2"/>
    <mergeCell ref="OPI2:OPL2"/>
    <mergeCell ref="OPM2:OPP2"/>
    <mergeCell ref="OPQ2:OPT2"/>
    <mergeCell ref="ONY2:OOB2"/>
    <mergeCell ref="OOC2:OOF2"/>
    <mergeCell ref="OOG2:OOJ2"/>
    <mergeCell ref="OOK2:OON2"/>
    <mergeCell ref="OOO2:OOR2"/>
    <mergeCell ref="OOS2:OOV2"/>
    <mergeCell ref="ONA2:OND2"/>
    <mergeCell ref="ONE2:ONH2"/>
    <mergeCell ref="ONI2:ONL2"/>
    <mergeCell ref="ONM2:ONP2"/>
    <mergeCell ref="ONQ2:ONT2"/>
    <mergeCell ref="ONU2:ONX2"/>
    <mergeCell ref="OMC2:OMF2"/>
    <mergeCell ref="OMG2:OMJ2"/>
    <mergeCell ref="OMK2:OMN2"/>
    <mergeCell ref="OMO2:OMR2"/>
    <mergeCell ref="OMS2:OMV2"/>
    <mergeCell ref="OMW2:OMZ2"/>
    <mergeCell ref="OLE2:OLH2"/>
    <mergeCell ref="OLI2:OLL2"/>
    <mergeCell ref="OLM2:OLP2"/>
    <mergeCell ref="OLQ2:OLT2"/>
    <mergeCell ref="OLU2:OLX2"/>
    <mergeCell ref="OLY2:OMB2"/>
    <mergeCell ref="OKG2:OKJ2"/>
    <mergeCell ref="OKK2:OKN2"/>
    <mergeCell ref="OKO2:OKR2"/>
    <mergeCell ref="OKS2:OKV2"/>
    <mergeCell ref="OKW2:OKZ2"/>
    <mergeCell ref="OLA2:OLD2"/>
    <mergeCell ref="OJI2:OJL2"/>
    <mergeCell ref="OJM2:OJP2"/>
    <mergeCell ref="OJQ2:OJT2"/>
    <mergeCell ref="OJU2:OJX2"/>
    <mergeCell ref="OJY2:OKB2"/>
    <mergeCell ref="OKC2:OKF2"/>
    <mergeCell ref="OIK2:OIN2"/>
    <mergeCell ref="OIO2:OIR2"/>
    <mergeCell ref="OIS2:OIV2"/>
    <mergeCell ref="OIW2:OIZ2"/>
    <mergeCell ref="OJA2:OJD2"/>
    <mergeCell ref="OJE2:OJH2"/>
    <mergeCell ref="OHM2:OHP2"/>
    <mergeCell ref="OHQ2:OHT2"/>
    <mergeCell ref="OHU2:OHX2"/>
    <mergeCell ref="OHY2:OIB2"/>
    <mergeCell ref="OIC2:OIF2"/>
    <mergeCell ref="OIG2:OIJ2"/>
    <mergeCell ref="OGO2:OGR2"/>
    <mergeCell ref="OGS2:OGV2"/>
    <mergeCell ref="OGW2:OGZ2"/>
    <mergeCell ref="OHA2:OHD2"/>
    <mergeCell ref="OHE2:OHH2"/>
    <mergeCell ref="OHI2:OHL2"/>
    <mergeCell ref="OFQ2:OFT2"/>
    <mergeCell ref="OFU2:OFX2"/>
    <mergeCell ref="OFY2:OGB2"/>
    <mergeCell ref="OGC2:OGF2"/>
    <mergeCell ref="OGG2:OGJ2"/>
    <mergeCell ref="OGK2:OGN2"/>
    <mergeCell ref="OES2:OEV2"/>
    <mergeCell ref="OEW2:OEZ2"/>
    <mergeCell ref="OFA2:OFD2"/>
    <mergeCell ref="OFE2:OFH2"/>
    <mergeCell ref="OFI2:OFL2"/>
    <mergeCell ref="OFM2:OFP2"/>
    <mergeCell ref="ODU2:ODX2"/>
    <mergeCell ref="ODY2:OEB2"/>
    <mergeCell ref="OEC2:OEF2"/>
    <mergeCell ref="OEG2:OEJ2"/>
    <mergeCell ref="OEK2:OEN2"/>
    <mergeCell ref="OEO2:OER2"/>
    <mergeCell ref="OCW2:OCZ2"/>
    <mergeCell ref="ODA2:ODD2"/>
    <mergeCell ref="ODE2:ODH2"/>
    <mergeCell ref="ODI2:ODL2"/>
    <mergeCell ref="ODM2:ODP2"/>
    <mergeCell ref="ODQ2:ODT2"/>
    <mergeCell ref="OBY2:OCB2"/>
    <mergeCell ref="OCC2:OCF2"/>
    <mergeCell ref="OCG2:OCJ2"/>
    <mergeCell ref="OCK2:OCN2"/>
    <mergeCell ref="OCO2:OCR2"/>
    <mergeCell ref="OCS2:OCV2"/>
    <mergeCell ref="OBA2:OBD2"/>
    <mergeCell ref="OBE2:OBH2"/>
    <mergeCell ref="OBI2:OBL2"/>
    <mergeCell ref="OBM2:OBP2"/>
    <mergeCell ref="OBQ2:OBT2"/>
    <mergeCell ref="OBU2:OBX2"/>
    <mergeCell ref="OAC2:OAF2"/>
    <mergeCell ref="OAG2:OAJ2"/>
    <mergeCell ref="OAK2:OAN2"/>
    <mergeCell ref="OAO2:OAR2"/>
    <mergeCell ref="OAS2:OAV2"/>
    <mergeCell ref="OAW2:OAZ2"/>
    <mergeCell ref="NZE2:NZH2"/>
    <mergeCell ref="NZI2:NZL2"/>
    <mergeCell ref="NZM2:NZP2"/>
    <mergeCell ref="NZQ2:NZT2"/>
    <mergeCell ref="NZU2:NZX2"/>
    <mergeCell ref="NZY2:OAB2"/>
    <mergeCell ref="NYG2:NYJ2"/>
    <mergeCell ref="NYK2:NYN2"/>
    <mergeCell ref="NYO2:NYR2"/>
    <mergeCell ref="NYS2:NYV2"/>
    <mergeCell ref="NYW2:NYZ2"/>
    <mergeCell ref="NZA2:NZD2"/>
    <mergeCell ref="NXI2:NXL2"/>
    <mergeCell ref="NXM2:NXP2"/>
    <mergeCell ref="NXQ2:NXT2"/>
    <mergeCell ref="NXU2:NXX2"/>
    <mergeCell ref="NXY2:NYB2"/>
    <mergeCell ref="NYC2:NYF2"/>
    <mergeCell ref="NWK2:NWN2"/>
    <mergeCell ref="NWO2:NWR2"/>
    <mergeCell ref="NWS2:NWV2"/>
    <mergeCell ref="NWW2:NWZ2"/>
    <mergeCell ref="NXA2:NXD2"/>
    <mergeCell ref="NXE2:NXH2"/>
    <mergeCell ref="NVM2:NVP2"/>
    <mergeCell ref="NVQ2:NVT2"/>
    <mergeCell ref="NVU2:NVX2"/>
    <mergeCell ref="NVY2:NWB2"/>
    <mergeCell ref="NWC2:NWF2"/>
    <mergeCell ref="NWG2:NWJ2"/>
    <mergeCell ref="NUO2:NUR2"/>
    <mergeCell ref="NUS2:NUV2"/>
    <mergeCell ref="NUW2:NUZ2"/>
    <mergeCell ref="NVA2:NVD2"/>
    <mergeCell ref="NVE2:NVH2"/>
    <mergeCell ref="NVI2:NVL2"/>
    <mergeCell ref="NTQ2:NTT2"/>
    <mergeCell ref="NTU2:NTX2"/>
    <mergeCell ref="NTY2:NUB2"/>
    <mergeCell ref="NUC2:NUF2"/>
    <mergeCell ref="NUG2:NUJ2"/>
    <mergeCell ref="NUK2:NUN2"/>
    <mergeCell ref="NSS2:NSV2"/>
    <mergeCell ref="NSW2:NSZ2"/>
    <mergeCell ref="NTA2:NTD2"/>
    <mergeCell ref="NTE2:NTH2"/>
    <mergeCell ref="NTI2:NTL2"/>
    <mergeCell ref="NTM2:NTP2"/>
    <mergeCell ref="NRU2:NRX2"/>
    <mergeCell ref="NRY2:NSB2"/>
    <mergeCell ref="NSC2:NSF2"/>
    <mergeCell ref="NSG2:NSJ2"/>
    <mergeCell ref="NSK2:NSN2"/>
    <mergeCell ref="NSO2:NSR2"/>
    <mergeCell ref="NQW2:NQZ2"/>
    <mergeCell ref="NRA2:NRD2"/>
    <mergeCell ref="NRE2:NRH2"/>
    <mergeCell ref="NRI2:NRL2"/>
    <mergeCell ref="NRM2:NRP2"/>
    <mergeCell ref="NRQ2:NRT2"/>
    <mergeCell ref="NPY2:NQB2"/>
    <mergeCell ref="NQC2:NQF2"/>
    <mergeCell ref="NQG2:NQJ2"/>
    <mergeCell ref="NQK2:NQN2"/>
    <mergeCell ref="NQO2:NQR2"/>
    <mergeCell ref="NQS2:NQV2"/>
    <mergeCell ref="NPA2:NPD2"/>
    <mergeCell ref="NPE2:NPH2"/>
    <mergeCell ref="NPI2:NPL2"/>
    <mergeCell ref="NPM2:NPP2"/>
    <mergeCell ref="NPQ2:NPT2"/>
    <mergeCell ref="NPU2:NPX2"/>
    <mergeCell ref="NOC2:NOF2"/>
    <mergeCell ref="NOG2:NOJ2"/>
    <mergeCell ref="NOK2:NON2"/>
    <mergeCell ref="NOO2:NOR2"/>
    <mergeCell ref="NOS2:NOV2"/>
    <mergeCell ref="NOW2:NOZ2"/>
    <mergeCell ref="NNE2:NNH2"/>
    <mergeCell ref="NNI2:NNL2"/>
    <mergeCell ref="NNM2:NNP2"/>
    <mergeCell ref="NNQ2:NNT2"/>
    <mergeCell ref="NNU2:NNX2"/>
    <mergeCell ref="NNY2:NOB2"/>
    <mergeCell ref="NMG2:NMJ2"/>
    <mergeCell ref="NMK2:NMN2"/>
    <mergeCell ref="NMO2:NMR2"/>
    <mergeCell ref="NMS2:NMV2"/>
    <mergeCell ref="NMW2:NMZ2"/>
    <mergeCell ref="NNA2:NND2"/>
    <mergeCell ref="NLI2:NLL2"/>
    <mergeCell ref="NLM2:NLP2"/>
    <mergeCell ref="NLQ2:NLT2"/>
    <mergeCell ref="NLU2:NLX2"/>
    <mergeCell ref="NLY2:NMB2"/>
    <mergeCell ref="NMC2:NMF2"/>
    <mergeCell ref="NKK2:NKN2"/>
    <mergeCell ref="NKO2:NKR2"/>
    <mergeCell ref="NKS2:NKV2"/>
    <mergeCell ref="NKW2:NKZ2"/>
    <mergeCell ref="NLA2:NLD2"/>
    <mergeCell ref="NLE2:NLH2"/>
    <mergeCell ref="NJM2:NJP2"/>
    <mergeCell ref="NJQ2:NJT2"/>
    <mergeCell ref="NJU2:NJX2"/>
    <mergeCell ref="NJY2:NKB2"/>
    <mergeCell ref="NKC2:NKF2"/>
    <mergeCell ref="NKG2:NKJ2"/>
    <mergeCell ref="NIO2:NIR2"/>
    <mergeCell ref="NIS2:NIV2"/>
    <mergeCell ref="NIW2:NIZ2"/>
    <mergeCell ref="NJA2:NJD2"/>
    <mergeCell ref="NJE2:NJH2"/>
    <mergeCell ref="NJI2:NJL2"/>
    <mergeCell ref="NHQ2:NHT2"/>
    <mergeCell ref="NHU2:NHX2"/>
    <mergeCell ref="NHY2:NIB2"/>
    <mergeCell ref="NIC2:NIF2"/>
    <mergeCell ref="NIG2:NIJ2"/>
    <mergeCell ref="NIK2:NIN2"/>
    <mergeCell ref="NGS2:NGV2"/>
    <mergeCell ref="NGW2:NGZ2"/>
    <mergeCell ref="NHA2:NHD2"/>
    <mergeCell ref="NHE2:NHH2"/>
    <mergeCell ref="NHI2:NHL2"/>
    <mergeCell ref="NHM2:NHP2"/>
    <mergeCell ref="NFU2:NFX2"/>
    <mergeCell ref="NFY2:NGB2"/>
    <mergeCell ref="NGC2:NGF2"/>
    <mergeCell ref="NGG2:NGJ2"/>
    <mergeCell ref="NGK2:NGN2"/>
    <mergeCell ref="NGO2:NGR2"/>
    <mergeCell ref="NEW2:NEZ2"/>
    <mergeCell ref="NFA2:NFD2"/>
    <mergeCell ref="NFE2:NFH2"/>
    <mergeCell ref="NFI2:NFL2"/>
    <mergeCell ref="NFM2:NFP2"/>
    <mergeCell ref="NFQ2:NFT2"/>
    <mergeCell ref="NDY2:NEB2"/>
    <mergeCell ref="NEC2:NEF2"/>
    <mergeCell ref="NEG2:NEJ2"/>
    <mergeCell ref="NEK2:NEN2"/>
    <mergeCell ref="NEO2:NER2"/>
    <mergeCell ref="NES2:NEV2"/>
    <mergeCell ref="NDA2:NDD2"/>
    <mergeCell ref="NDE2:NDH2"/>
    <mergeCell ref="NDI2:NDL2"/>
    <mergeCell ref="NDM2:NDP2"/>
    <mergeCell ref="NDQ2:NDT2"/>
    <mergeCell ref="NDU2:NDX2"/>
    <mergeCell ref="NCC2:NCF2"/>
    <mergeCell ref="NCG2:NCJ2"/>
    <mergeCell ref="NCK2:NCN2"/>
    <mergeCell ref="NCO2:NCR2"/>
    <mergeCell ref="NCS2:NCV2"/>
    <mergeCell ref="NCW2:NCZ2"/>
    <mergeCell ref="NBE2:NBH2"/>
    <mergeCell ref="NBI2:NBL2"/>
    <mergeCell ref="NBM2:NBP2"/>
    <mergeCell ref="NBQ2:NBT2"/>
    <mergeCell ref="NBU2:NBX2"/>
    <mergeCell ref="NBY2:NCB2"/>
    <mergeCell ref="NAG2:NAJ2"/>
    <mergeCell ref="NAK2:NAN2"/>
    <mergeCell ref="NAO2:NAR2"/>
    <mergeCell ref="NAS2:NAV2"/>
    <mergeCell ref="NAW2:NAZ2"/>
    <mergeCell ref="NBA2:NBD2"/>
    <mergeCell ref="MZI2:MZL2"/>
    <mergeCell ref="MZM2:MZP2"/>
    <mergeCell ref="MZQ2:MZT2"/>
    <mergeCell ref="MZU2:MZX2"/>
    <mergeCell ref="MZY2:NAB2"/>
    <mergeCell ref="NAC2:NAF2"/>
    <mergeCell ref="MYK2:MYN2"/>
    <mergeCell ref="MYO2:MYR2"/>
    <mergeCell ref="MYS2:MYV2"/>
    <mergeCell ref="MYW2:MYZ2"/>
    <mergeCell ref="MZA2:MZD2"/>
    <mergeCell ref="MZE2:MZH2"/>
    <mergeCell ref="MXM2:MXP2"/>
    <mergeCell ref="MXQ2:MXT2"/>
    <mergeCell ref="MXU2:MXX2"/>
    <mergeCell ref="MXY2:MYB2"/>
    <mergeCell ref="MYC2:MYF2"/>
    <mergeCell ref="MYG2:MYJ2"/>
    <mergeCell ref="MWO2:MWR2"/>
    <mergeCell ref="MWS2:MWV2"/>
    <mergeCell ref="MWW2:MWZ2"/>
    <mergeCell ref="MXA2:MXD2"/>
    <mergeCell ref="MXE2:MXH2"/>
    <mergeCell ref="MXI2:MXL2"/>
    <mergeCell ref="MVQ2:MVT2"/>
    <mergeCell ref="MVU2:MVX2"/>
    <mergeCell ref="MVY2:MWB2"/>
    <mergeCell ref="MWC2:MWF2"/>
    <mergeCell ref="MWG2:MWJ2"/>
    <mergeCell ref="MWK2:MWN2"/>
    <mergeCell ref="MUS2:MUV2"/>
    <mergeCell ref="MUW2:MUZ2"/>
    <mergeCell ref="MVA2:MVD2"/>
    <mergeCell ref="MVE2:MVH2"/>
    <mergeCell ref="MVI2:MVL2"/>
    <mergeCell ref="MVM2:MVP2"/>
    <mergeCell ref="MTU2:MTX2"/>
    <mergeCell ref="MTY2:MUB2"/>
    <mergeCell ref="MUC2:MUF2"/>
    <mergeCell ref="MUG2:MUJ2"/>
    <mergeCell ref="MUK2:MUN2"/>
    <mergeCell ref="MUO2:MUR2"/>
    <mergeCell ref="MSW2:MSZ2"/>
    <mergeCell ref="MTA2:MTD2"/>
    <mergeCell ref="MTE2:MTH2"/>
    <mergeCell ref="MTI2:MTL2"/>
    <mergeCell ref="MTM2:MTP2"/>
    <mergeCell ref="MTQ2:MTT2"/>
    <mergeCell ref="MRY2:MSB2"/>
    <mergeCell ref="MSC2:MSF2"/>
    <mergeCell ref="MSG2:MSJ2"/>
    <mergeCell ref="MSK2:MSN2"/>
    <mergeCell ref="MSO2:MSR2"/>
    <mergeCell ref="MSS2:MSV2"/>
    <mergeCell ref="MRA2:MRD2"/>
    <mergeCell ref="MRE2:MRH2"/>
    <mergeCell ref="MRI2:MRL2"/>
    <mergeCell ref="MRM2:MRP2"/>
    <mergeCell ref="MRQ2:MRT2"/>
    <mergeCell ref="MRU2:MRX2"/>
    <mergeCell ref="MQC2:MQF2"/>
    <mergeCell ref="MQG2:MQJ2"/>
    <mergeCell ref="MQK2:MQN2"/>
    <mergeCell ref="MQO2:MQR2"/>
    <mergeCell ref="MQS2:MQV2"/>
    <mergeCell ref="MQW2:MQZ2"/>
    <mergeCell ref="MPE2:MPH2"/>
    <mergeCell ref="MPI2:MPL2"/>
    <mergeCell ref="MPM2:MPP2"/>
    <mergeCell ref="MPQ2:MPT2"/>
    <mergeCell ref="MPU2:MPX2"/>
    <mergeCell ref="MPY2:MQB2"/>
    <mergeCell ref="MOG2:MOJ2"/>
    <mergeCell ref="MOK2:MON2"/>
    <mergeCell ref="MOO2:MOR2"/>
    <mergeCell ref="MOS2:MOV2"/>
    <mergeCell ref="MOW2:MOZ2"/>
    <mergeCell ref="MPA2:MPD2"/>
    <mergeCell ref="MNI2:MNL2"/>
    <mergeCell ref="MNM2:MNP2"/>
    <mergeCell ref="MNQ2:MNT2"/>
    <mergeCell ref="MNU2:MNX2"/>
    <mergeCell ref="MNY2:MOB2"/>
    <mergeCell ref="MOC2:MOF2"/>
    <mergeCell ref="MMK2:MMN2"/>
    <mergeCell ref="MMO2:MMR2"/>
    <mergeCell ref="MMS2:MMV2"/>
    <mergeCell ref="MMW2:MMZ2"/>
    <mergeCell ref="MNA2:MND2"/>
    <mergeCell ref="MNE2:MNH2"/>
    <mergeCell ref="MLM2:MLP2"/>
    <mergeCell ref="MLQ2:MLT2"/>
    <mergeCell ref="MLU2:MLX2"/>
    <mergeCell ref="MLY2:MMB2"/>
    <mergeCell ref="MMC2:MMF2"/>
    <mergeCell ref="MMG2:MMJ2"/>
    <mergeCell ref="MKO2:MKR2"/>
    <mergeCell ref="MKS2:MKV2"/>
    <mergeCell ref="MKW2:MKZ2"/>
    <mergeCell ref="MLA2:MLD2"/>
    <mergeCell ref="MLE2:MLH2"/>
    <mergeCell ref="MLI2:MLL2"/>
    <mergeCell ref="MJQ2:MJT2"/>
    <mergeCell ref="MJU2:MJX2"/>
    <mergeCell ref="MJY2:MKB2"/>
    <mergeCell ref="MKC2:MKF2"/>
    <mergeCell ref="MKG2:MKJ2"/>
    <mergeCell ref="MKK2:MKN2"/>
    <mergeCell ref="MIS2:MIV2"/>
    <mergeCell ref="MIW2:MIZ2"/>
    <mergeCell ref="MJA2:MJD2"/>
    <mergeCell ref="MJE2:MJH2"/>
    <mergeCell ref="MJI2:MJL2"/>
    <mergeCell ref="MJM2:MJP2"/>
    <mergeCell ref="MHU2:MHX2"/>
    <mergeCell ref="MHY2:MIB2"/>
    <mergeCell ref="MIC2:MIF2"/>
    <mergeCell ref="MIG2:MIJ2"/>
    <mergeCell ref="MIK2:MIN2"/>
    <mergeCell ref="MIO2:MIR2"/>
    <mergeCell ref="MGW2:MGZ2"/>
    <mergeCell ref="MHA2:MHD2"/>
    <mergeCell ref="MHE2:MHH2"/>
    <mergeCell ref="MHI2:MHL2"/>
    <mergeCell ref="MHM2:MHP2"/>
    <mergeCell ref="MHQ2:MHT2"/>
    <mergeCell ref="MFY2:MGB2"/>
    <mergeCell ref="MGC2:MGF2"/>
    <mergeCell ref="MGG2:MGJ2"/>
    <mergeCell ref="MGK2:MGN2"/>
    <mergeCell ref="MGO2:MGR2"/>
    <mergeCell ref="MGS2:MGV2"/>
    <mergeCell ref="MFA2:MFD2"/>
    <mergeCell ref="MFE2:MFH2"/>
    <mergeCell ref="MFI2:MFL2"/>
    <mergeCell ref="MFM2:MFP2"/>
    <mergeCell ref="MFQ2:MFT2"/>
    <mergeCell ref="MFU2:MFX2"/>
    <mergeCell ref="MEC2:MEF2"/>
    <mergeCell ref="MEG2:MEJ2"/>
    <mergeCell ref="MEK2:MEN2"/>
    <mergeCell ref="MEO2:MER2"/>
    <mergeCell ref="MES2:MEV2"/>
    <mergeCell ref="MEW2:MEZ2"/>
    <mergeCell ref="MDE2:MDH2"/>
    <mergeCell ref="MDI2:MDL2"/>
    <mergeCell ref="MDM2:MDP2"/>
    <mergeCell ref="MDQ2:MDT2"/>
    <mergeCell ref="MDU2:MDX2"/>
    <mergeCell ref="MDY2:MEB2"/>
    <mergeCell ref="MCG2:MCJ2"/>
    <mergeCell ref="MCK2:MCN2"/>
    <mergeCell ref="MCO2:MCR2"/>
    <mergeCell ref="MCS2:MCV2"/>
    <mergeCell ref="MCW2:MCZ2"/>
    <mergeCell ref="MDA2:MDD2"/>
    <mergeCell ref="MBI2:MBL2"/>
    <mergeCell ref="MBM2:MBP2"/>
    <mergeCell ref="MBQ2:MBT2"/>
    <mergeCell ref="MBU2:MBX2"/>
    <mergeCell ref="MBY2:MCB2"/>
    <mergeCell ref="MCC2:MCF2"/>
    <mergeCell ref="MAK2:MAN2"/>
    <mergeCell ref="MAO2:MAR2"/>
    <mergeCell ref="MAS2:MAV2"/>
    <mergeCell ref="MAW2:MAZ2"/>
    <mergeCell ref="MBA2:MBD2"/>
    <mergeCell ref="MBE2:MBH2"/>
    <mergeCell ref="LZM2:LZP2"/>
    <mergeCell ref="LZQ2:LZT2"/>
    <mergeCell ref="LZU2:LZX2"/>
    <mergeCell ref="LZY2:MAB2"/>
    <mergeCell ref="MAC2:MAF2"/>
    <mergeCell ref="MAG2:MAJ2"/>
    <mergeCell ref="LYO2:LYR2"/>
    <mergeCell ref="LYS2:LYV2"/>
    <mergeCell ref="LYW2:LYZ2"/>
    <mergeCell ref="LZA2:LZD2"/>
    <mergeCell ref="LZE2:LZH2"/>
    <mergeCell ref="LZI2:LZL2"/>
    <mergeCell ref="LXQ2:LXT2"/>
    <mergeCell ref="LXU2:LXX2"/>
    <mergeCell ref="LXY2:LYB2"/>
    <mergeCell ref="LYC2:LYF2"/>
    <mergeCell ref="LYG2:LYJ2"/>
    <mergeCell ref="LYK2:LYN2"/>
    <mergeCell ref="LWS2:LWV2"/>
    <mergeCell ref="LWW2:LWZ2"/>
    <mergeCell ref="LXA2:LXD2"/>
    <mergeCell ref="LXE2:LXH2"/>
    <mergeCell ref="LXI2:LXL2"/>
    <mergeCell ref="LXM2:LXP2"/>
    <mergeCell ref="LVU2:LVX2"/>
    <mergeCell ref="LVY2:LWB2"/>
    <mergeCell ref="LWC2:LWF2"/>
    <mergeCell ref="LWG2:LWJ2"/>
    <mergeCell ref="LWK2:LWN2"/>
    <mergeCell ref="LWO2:LWR2"/>
    <mergeCell ref="LUW2:LUZ2"/>
    <mergeCell ref="LVA2:LVD2"/>
    <mergeCell ref="LVE2:LVH2"/>
    <mergeCell ref="LVI2:LVL2"/>
    <mergeCell ref="LVM2:LVP2"/>
    <mergeCell ref="LVQ2:LVT2"/>
    <mergeCell ref="LTY2:LUB2"/>
    <mergeCell ref="LUC2:LUF2"/>
    <mergeCell ref="LUG2:LUJ2"/>
    <mergeCell ref="LUK2:LUN2"/>
    <mergeCell ref="LUO2:LUR2"/>
    <mergeCell ref="LUS2:LUV2"/>
    <mergeCell ref="LTA2:LTD2"/>
    <mergeCell ref="LTE2:LTH2"/>
    <mergeCell ref="LTI2:LTL2"/>
    <mergeCell ref="LTM2:LTP2"/>
    <mergeCell ref="LTQ2:LTT2"/>
    <mergeCell ref="LTU2:LTX2"/>
    <mergeCell ref="LSC2:LSF2"/>
    <mergeCell ref="LSG2:LSJ2"/>
    <mergeCell ref="LSK2:LSN2"/>
    <mergeCell ref="LSO2:LSR2"/>
    <mergeCell ref="LSS2:LSV2"/>
    <mergeCell ref="LSW2:LSZ2"/>
    <mergeCell ref="LRE2:LRH2"/>
    <mergeCell ref="LRI2:LRL2"/>
    <mergeCell ref="LRM2:LRP2"/>
    <mergeCell ref="LRQ2:LRT2"/>
    <mergeCell ref="LRU2:LRX2"/>
    <mergeCell ref="LRY2:LSB2"/>
    <mergeCell ref="LQG2:LQJ2"/>
    <mergeCell ref="LQK2:LQN2"/>
    <mergeCell ref="LQO2:LQR2"/>
    <mergeCell ref="LQS2:LQV2"/>
    <mergeCell ref="LQW2:LQZ2"/>
    <mergeCell ref="LRA2:LRD2"/>
    <mergeCell ref="LPI2:LPL2"/>
    <mergeCell ref="LPM2:LPP2"/>
    <mergeCell ref="LPQ2:LPT2"/>
    <mergeCell ref="LPU2:LPX2"/>
    <mergeCell ref="LPY2:LQB2"/>
    <mergeCell ref="LQC2:LQF2"/>
    <mergeCell ref="LOK2:LON2"/>
    <mergeCell ref="LOO2:LOR2"/>
    <mergeCell ref="LOS2:LOV2"/>
    <mergeCell ref="LOW2:LOZ2"/>
    <mergeCell ref="LPA2:LPD2"/>
    <mergeCell ref="LPE2:LPH2"/>
    <mergeCell ref="LNM2:LNP2"/>
    <mergeCell ref="LNQ2:LNT2"/>
    <mergeCell ref="LNU2:LNX2"/>
    <mergeCell ref="LNY2:LOB2"/>
    <mergeCell ref="LOC2:LOF2"/>
    <mergeCell ref="LOG2:LOJ2"/>
    <mergeCell ref="LMO2:LMR2"/>
    <mergeCell ref="LMS2:LMV2"/>
    <mergeCell ref="LMW2:LMZ2"/>
    <mergeCell ref="LNA2:LND2"/>
    <mergeCell ref="LNE2:LNH2"/>
    <mergeCell ref="LNI2:LNL2"/>
    <mergeCell ref="LLQ2:LLT2"/>
    <mergeCell ref="LLU2:LLX2"/>
    <mergeCell ref="LLY2:LMB2"/>
    <mergeCell ref="LMC2:LMF2"/>
    <mergeCell ref="LMG2:LMJ2"/>
    <mergeCell ref="LMK2:LMN2"/>
    <mergeCell ref="LKS2:LKV2"/>
    <mergeCell ref="LKW2:LKZ2"/>
    <mergeCell ref="LLA2:LLD2"/>
    <mergeCell ref="LLE2:LLH2"/>
    <mergeCell ref="LLI2:LLL2"/>
    <mergeCell ref="LLM2:LLP2"/>
    <mergeCell ref="LJU2:LJX2"/>
    <mergeCell ref="LJY2:LKB2"/>
    <mergeCell ref="LKC2:LKF2"/>
    <mergeCell ref="LKG2:LKJ2"/>
    <mergeCell ref="LKK2:LKN2"/>
    <mergeCell ref="LKO2:LKR2"/>
    <mergeCell ref="LIW2:LIZ2"/>
    <mergeCell ref="LJA2:LJD2"/>
    <mergeCell ref="LJE2:LJH2"/>
    <mergeCell ref="LJI2:LJL2"/>
    <mergeCell ref="LJM2:LJP2"/>
    <mergeCell ref="LJQ2:LJT2"/>
    <mergeCell ref="LHY2:LIB2"/>
    <mergeCell ref="LIC2:LIF2"/>
    <mergeCell ref="LIG2:LIJ2"/>
    <mergeCell ref="LIK2:LIN2"/>
    <mergeCell ref="LIO2:LIR2"/>
    <mergeCell ref="LIS2:LIV2"/>
    <mergeCell ref="LHA2:LHD2"/>
    <mergeCell ref="LHE2:LHH2"/>
    <mergeCell ref="LHI2:LHL2"/>
    <mergeCell ref="LHM2:LHP2"/>
    <mergeCell ref="LHQ2:LHT2"/>
    <mergeCell ref="LHU2:LHX2"/>
    <mergeCell ref="LGC2:LGF2"/>
    <mergeCell ref="LGG2:LGJ2"/>
    <mergeCell ref="LGK2:LGN2"/>
    <mergeCell ref="LGO2:LGR2"/>
    <mergeCell ref="LGS2:LGV2"/>
    <mergeCell ref="LGW2:LGZ2"/>
    <mergeCell ref="LFE2:LFH2"/>
    <mergeCell ref="LFI2:LFL2"/>
    <mergeCell ref="LFM2:LFP2"/>
    <mergeCell ref="LFQ2:LFT2"/>
    <mergeCell ref="LFU2:LFX2"/>
    <mergeCell ref="LFY2:LGB2"/>
    <mergeCell ref="LEG2:LEJ2"/>
    <mergeCell ref="LEK2:LEN2"/>
    <mergeCell ref="LEO2:LER2"/>
    <mergeCell ref="LES2:LEV2"/>
    <mergeCell ref="LEW2:LEZ2"/>
    <mergeCell ref="LFA2:LFD2"/>
    <mergeCell ref="LDI2:LDL2"/>
    <mergeCell ref="LDM2:LDP2"/>
    <mergeCell ref="LDQ2:LDT2"/>
    <mergeCell ref="LDU2:LDX2"/>
    <mergeCell ref="LDY2:LEB2"/>
    <mergeCell ref="LEC2:LEF2"/>
    <mergeCell ref="LCK2:LCN2"/>
    <mergeCell ref="LCO2:LCR2"/>
    <mergeCell ref="LCS2:LCV2"/>
    <mergeCell ref="LCW2:LCZ2"/>
    <mergeCell ref="LDA2:LDD2"/>
    <mergeCell ref="LDE2:LDH2"/>
    <mergeCell ref="LBM2:LBP2"/>
    <mergeCell ref="LBQ2:LBT2"/>
    <mergeCell ref="LBU2:LBX2"/>
    <mergeCell ref="LBY2:LCB2"/>
    <mergeCell ref="LCC2:LCF2"/>
    <mergeCell ref="LCG2:LCJ2"/>
    <mergeCell ref="LAO2:LAR2"/>
    <mergeCell ref="LAS2:LAV2"/>
    <mergeCell ref="LAW2:LAZ2"/>
    <mergeCell ref="LBA2:LBD2"/>
    <mergeCell ref="LBE2:LBH2"/>
    <mergeCell ref="LBI2:LBL2"/>
    <mergeCell ref="KZQ2:KZT2"/>
    <mergeCell ref="KZU2:KZX2"/>
    <mergeCell ref="KZY2:LAB2"/>
    <mergeCell ref="LAC2:LAF2"/>
    <mergeCell ref="LAG2:LAJ2"/>
    <mergeCell ref="LAK2:LAN2"/>
    <mergeCell ref="KYS2:KYV2"/>
    <mergeCell ref="KYW2:KYZ2"/>
    <mergeCell ref="KZA2:KZD2"/>
    <mergeCell ref="KZE2:KZH2"/>
    <mergeCell ref="KZI2:KZL2"/>
    <mergeCell ref="KZM2:KZP2"/>
    <mergeCell ref="KXU2:KXX2"/>
    <mergeCell ref="KXY2:KYB2"/>
    <mergeCell ref="KYC2:KYF2"/>
    <mergeCell ref="KYG2:KYJ2"/>
    <mergeCell ref="KYK2:KYN2"/>
    <mergeCell ref="KYO2:KYR2"/>
    <mergeCell ref="KWW2:KWZ2"/>
    <mergeCell ref="KXA2:KXD2"/>
    <mergeCell ref="KXE2:KXH2"/>
    <mergeCell ref="KXI2:KXL2"/>
    <mergeCell ref="KXM2:KXP2"/>
    <mergeCell ref="KXQ2:KXT2"/>
    <mergeCell ref="KVY2:KWB2"/>
    <mergeCell ref="KWC2:KWF2"/>
    <mergeCell ref="KWG2:KWJ2"/>
    <mergeCell ref="KWK2:KWN2"/>
    <mergeCell ref="KWO2:KWR2"/>
    <mergeCell ref="KWS2:KWV2"/>
    <mergeCell ref="KVA2:KVD2"/>
    <mergeCell ref="KVE2:KVH2"/>
    <mergeCell ref="KVI2:KVL2"/>
    <mergeCell ref="KVM2:KVP2"/>
    <mergeCell ref="KVQ2:KVT2"/>
    <mergeCell ref="KVU2:KVX2"/>
    <mergeCell ref="KUC2:KUF2"/>
    <mergeCell ref="KUG2:KUJ2"/>
    <mergeCell ref="KUK2:KUN2"/>
    <mergeCell ref="KUO2:KUR2"/>
    <mergeCell ref="KUS2:KUV2"/>
    <mergeCell ref="KUW2:KUZ2"/>
    <mergeCell ref="KTE2:KTH2"/>
    <mergeCell ref="KTI2:KTL2"/>
    <mergeCell ref="KTM2:KTP2"/>
    <mergeCell ref="KTQ2:KTT2"/>
    <mergeCell ref="KTU2:KTX2"/>
    <mergeCell ref="KTY2:KUB2"/>
    <mergeCell ref="KSG2:KSJ2"/>
    <mergeCell ref="KSK2:KSN2"/>
    <mergeCell ref="KSO2:KSR2"/>
    <mergeCell ref="KSS2:KSV2"/>
    <mergeCell ref="KSW2:KSZ2"/>
    <mergeCell ref="KTA2:KTD2"/>
    <mergeCell ref="KRI2:KRL2"/>
    <mergeCell ref="KRM2:KRP2"/>
    <mergeCell ref="KRQ2:KRT2"/>
    <mergeCell ref="KRU2:KRX2"/>
    <mergeCell ref="KRY2:KSB2"/>
    <mergeCell ref="KSC2:KSF2"/>
    <mergeCell ref="KQK2:KQN2"/>
    <mergeCell ref="KQO2:KQR2"/>
    <mergeCell ref="KQS2:KQV2"/>
    <mergeCell ref="KQW2:KQZ2"/>
    <mergeCell ref="KRA2:KRD2"/>
    <mergeCell ref="KRE2:KRH2"/>
    <mergeCell ref="KPM2:KPP2"/>
    <mergeCell ref="KPQ2:KPT2"/>
    <mergeCell ref="KPU2:KPX2"/>
    <mergeCell ref="KPY2:KQB2"/>
    <mergeCell ref="KQC2:KQF2"/>
    <mergeCell ref="KQG2:KQJ2"/>
    <mergeCell ref="KOO2:KOR2"/>
    <mergeCell ref="KOS2:KOV2"/>
    <mergeCell ref="KOW2:KOZ2"/>
    <mergeCell ref="KPA2:KPD2"/>
    <mergeCell ref="KPE2:KPH2"/>
    <mergeCell ref="KPI2:KPL2"/>
    <mergeCell ref="KNQ2:KNT2"/>
    <mergeCell ref="KNU2:KNX2"/>
    <mergeCell ref="KNY2:KOB2"/>
    <mergeCell ref="KOC2:KOF2"/>
    <mergeCell ref="KOG2:KOJ2"/>
    <mergeCell ref="KOK2:KON2"/>
    <mergeCell ref="KMS2:KMV2"/>
    <mergeCell ref="KMW2:KMZ2"/>
    <mergeCell ref="KNA2:KND2"/>
    <mergeCell ref="KNE2:KNH2"/>
    <mergeCell ref="KNI2:KNL2"/>
    <mergeCell ref="KNM2:KNP2"/>
    <mergeCell ref="KLU2:KLX2"/>
    <mergeCell ref="KLY2:KMB2"/>
    <mergeCell ref="KMC2:KMF2"/>
    <mergeCell ref="KMG2:KMJ2"/>
    <mergeCell ref="KMK2:KMN2"/>
    <mergeCell ref="KMO2:KMR2"/>
    <mergeCell ref="KKW2:KKZ2"/>
    <mergeCell ref="KLA2:KLD2"/>
    <mergeCell ref="KLE2:KLH2"/>
    <mergeCell ref="KLI2:KLL2"/>
    <mergeCell ref="KLM2:KLP2"/>
    <mergeCell ref="KLQ2:KLT2"/>
    <mergeCell ref="KJY2:KKB2"/>
    <mergeCell ref="KKC2:KKF2"/>
    <mergeCell ref="KKG2:KKJ2"/>
    <mergeCell ref="KKK2:KKN2"/>
    <mergeCell ref="KKO2:KKR2"/>
    <mergeCell ref="KKS2:KKV2"/>
    <mergeCell ref="KJA2:KJD2"/>
    <mergeCell ref="KJE2:KJH2"/>
    <mergeCell ref="KJI2:KJL2"/>
    <mergeCell ref="KJM2:KJP2"/>
    <mergeCell ref="KJQ2:KJT2"/>
    <mergeCell ref="KJU2:KJX2"/>
    <mergeCell ref="KIC2:KIF2"/>
    <mergeCell ref="KIG2:KIJ2"/>
    <mergeCell ref="KIK2:KIN2"/>
    <mergeCell ref="KIO2:KIR2"/>
    <mergeCell ref="KIS2:KIV2"/>
    <mergeCell ref="KIW2:KIZ2"/>
    <mergeCell ref="KHE2:KHH2"/>
    <mergeCell ref="KHI2:KHL2"/>
    <mergeCell ref="KHM2:KHP2"/>
    <mergeCell ref="KHQ2:KHT2"/>
    <mergeCell ref="KHU2:KHX2"/>
    <mergeCell ref="KHY2:KIB2"/>
    <mergeCell ref="KGG2:KGJ2"/>
    <mergeCell ref="KGK2:KGN2"/>
    <mergeCell ref="KGO2:KGR2"/>
    <mergeCell ref="KGS2:KGV2"/>
    <mergeCell ref="KGW2:KGZ2"/>
    <mergeCell ref="KHA2:KHD2"/>
    <mergeCell ref="KFI2:KFL2"/>
    <mergeCell ref="KFM2:KFP2"/>
    <mergeCell ref="KFQ2:KFT2"/>
    <mergeCell ref="KFU2:KFX2"/>
    <mergeCell ref="KFY2:KGB2"/>
    <mergeCell ref="KGC2:KGF2"/>
    <mergeCell ref="KEK2:KEN2"/>
    <mergeCell ref="KEO2:KER2"/>
    <mergeCell ref="KES2:KEV2"/>
    <mergeCell ref="KEW2:KEZ2"/>
    <mergeCell ref="KFA2:KFD2"/>
    <mergeCell ref="KFE2:KFH2"/>
    <mergeCell ref="KDM2:KDP2"/>
    <mergeCell ref="KDQ2:KDT2"/>
    <mergeCell ref="KDU2:KDX2"/>
    <mergeCell ref="KDY2:KEB2"/>
    <mergeCell ref="KEC2:KEF2"/>
    <mergeCell ref="KEG2:KEJ2"/>
    <mergeCell ref="KCO2:KCR2"/>
    <mergeCell ref="KCS2:KCV2"/>
    <mergeCell ref="KCW2:KCZ2"/>
    <mergeCell ref="KDA2:KDD2"/>
    <mergeCell ref="KDE2:KDH2"/>
    <mergeCell ref="KDI2:KDL2"/>
    <mergeCell ref="KBQ2:KBT2"/>
    <mergeCell ref="KBU2:KBX2"/>
    <mergeCell ref="KBY2:KCB2"/>
    <mergeCell ref="KCC2:KCF2"/>
    <mergeCell ref="KCG2:KCJ2"/>
    <mergeCell ref="KCK2:KCN2"/>
    <mergeCell ref="KAS2:KAV2"/>
    <mergeCell ref="KAW2:KAZ2"/>
    <mergeCell ref="KBA2:KBD2"/>
    <mergeCell ref="KBE2:KBH2"/>
    <mergeCell ref="KBI2:KBL2"/>
    <mergeCell ref="KBM2:KBP2"/>
    <mergeCell ref="JZU2:JZX2"/>
    <mergeCell ref="JZY2:KAB2"/>
    <mergeCell ref="KAC2:KAF2"/>
    <mergeCell ref="KAG2:KAJ2"/>
    <mergeCell ref="KAK2:KAN2"/>
    <mergeCell ref="KAO2:KAR2"/>
    <mergeCell ref="JYW2:JYZ2"/>
    <mergeCell ref="JZA2:JZD2"/>
    <mergeCell ref="JZE2:JZH2"/>
    <mergeCell ref="JZI2:JZL2"/>
    <mergeCell ref="JZM2:JZP2"/>
    <mergeCell ref="JZQ2:JZT2"/>
    <mergeCell ref="JXY2:JYB2"/>
    <mergeCell ref="JYC2:JYF2"/>
    <mergeCell ref="JYG2:JYJ2"/>
    <mergeCell ref="JYK2:JYN2"/>
    <mergeCell ref="JYO2:JYR2"/>
    <mergeCell ref="JYS2:JYV2"/>
    <mergeCell ref="JXA2:JXD2"/>
    <mergeCell ref="JXE2:JXH2"/>
    <mergeCell ref="JXI2:JXL2"/>
    <mergeCell ref="JXM2:JXP2"/>
    <mergeCell ref="JXQ2:JXT2"/>
    <mergeCell ref="JXU2:JXX2"/>
    <mergeCell ref="JWC2:JWF2"/>
    <mergeCell ref="JWG2:JWJ2"/>
    <mergeCell ref="JWK2:JWN2"/>
    <mergeCell ref="JWO2:JWR2"/>
    <mergeCell ref="JWS2:JWV2"/>
    <mergeCell ref="JWW2:JWZ2"/>
    <mergeCell ref="JVE2:JVH2"/>
    <mergeCell ref="JVI2:JVL2"/>
    <mergeCell ref="JVM2:JVP2"/>
    <mergeCell ref="JVQ2:JVT2"/>
    <mergeCell ref="JVU2:JVX2"/>
    <mergeCell ref="JVY2:JWB2"/>
    <mergeCell ref="JUG2:JUJ2"/>
    <mergeCell ref="JUK2:JUN2"/>
    <mergeCell ref="JUO2:JUR2"/>
    <mergeCell ref="JUS2:JUV2"/>
    <mergeCell ref="JUW2:JUZ2"/>
    <mergeCell ref="JVA2:JVD2"/>
    <mergeCell ref="JTI2:JTL2"/>
    <mergeCell ref="JTM2:JTP2"/>
    <mergeCell ref="JTQ2:JTT2"/>
    <mergeCell ref="JTU2:JTX2"/>
    <mergeCell ref="JTY2:JUB2"/>
    <mergeCell ref="JUC2:JUF2"/>
    <mergeCell ref="JSK2:JSN2"/>
    <mergeCell ref="JSO2:JSR2"/>
    <mergeCell ref="JSS2:JSV2"/>
    <mergeCell ref="JSW2:JSZ2"/>
    <mergeCell ref="JTA2:JTD2"/>
    <mergeCell ref="JTE2:JTH2"/>
    <mergeCell ref="JRM2:JRP2"/>
    <mergeCell ref="JRQ2:JRT2"/>
    <mergeCell ref="JRU2:JRX2"/>
    <mergeCell ref="JRY2:JSB2"/>
    <mergeCell ref="JSC2:JSF2"/>
    <mergeCell ref="JSG2:JSJ2"/>
    <mergeCell ref="JQO2:JQR2"/>
    <mergeCell ref="JQS2:JQV2"/>
    <mergeCell ref="JQW2:JQZ2"/>
    <mergeCell ref="JRA2:JRD2"/>
    <mergeCell ref="JRE2:JRH2"/>
    <mergeCell ref="JRI2:JRL2"/>
    <mergeCell ref="JPQ2:JPT2"/>
    <mergeCell ref="JPU2:JPX2"/>
    <mergeCell ref="JPY2:JQB2"/>
    <mergeCell ref="JQC2:JQF2"/>
    <mergeCell ref="JQG2:JQJ2"/>
    <mergeCell ref="JQK2:JQN2"/>
    <mergeCell ref="JOS2:JOV2"/>
    <mergeCell ref="JOW2:JOZ2"/>
    <mergeCell ref="JPA2:JPD2"/>
    <mergeCell ref="JPE2:JPH2"/>
    <mergeCell ref="JPI2:JPL2"/>
    <mergeCell ref="JPM2:JPP2"/>
    <mergeCell ref="JNU2:JNX2"/>
    <mergeCell ref="JNY2:JOB2"/>
    <mergeCell ref="JOC2:JOF2"/>
    <mergeCell ref="JOG2:JOJ2"/>
    <mergeCell ref="JOK2:JON2"/>
    <mergeCell ref="JOO2:JOR2"/>
    <mergeCell ref="JMW2:JMZ2"/>
    <mergeCell ref="JNA2:JND2"/>
    <mergeCell ref="JNE2:JNH2"/>
    <mergeCell ref="JNI2:JNL2"/>
    <mergeCell ref="JNM2:JNP2"/>
    <mergeCell ref="JNQ2:JNT2"/>
    <mergeCell ref="JLY2:JMB2"/>
    <mergeCell ref="JMC2:JMF2"/>
    <mergeCell ref="JMG2:JMJ2"/>
    <mergeCell ref="JMK2:JMN2"/>
    <mergeCell ref="JMO2:JMR2"/>
    <mergeCell ref="JMS2:JMV2"/>
    <mergeCell ref="JLA2:JLD2"/>
    <mergeCell ref="JLE2:JLH2"/>
    <mergeCell ref="JLI2:JLL2"/>
    <mergeCell ref="JLM2:JLP2"/>
    <mergeCell ref="JLQ2:JLT2"/>
    <mergeCell ref="JLU2:JLX2"/>
    <mergeCell ref="JKC2:JKF2"/>
    <mergeCell ref="JKG2:JKJ2"/>
    <mergeCell ref="JKK2:JKN2"/>
    <mergeCell ref="JKO2:JKR2"/>
    <mergeCell ref="JKS2:JKV2"/>
    <mergeCell ref="JKW2:JKZ2"/>
    <mergeCell ref="JJE2:JJH2"/>
    <mergeCell ref="JJI2:JJL2"/>
    <mergeCell ref="JJM2:JJP2"/>
    <mergeCell ref="JJQ2:JJT2"/>
    <mergeCell ref="JJU2:JJX2"/>
    <mergeCell ref="JJY2:JKB2"/>
    <mergeCell ref="JIG2:JIJ2"/>
    <mergeCell ref="JIK2:JIN2"/>
    <mergeCell ref="JIO2:JIR2"/>
    <mergeCell ref="JIS2:JIV2"/>
    <mergeCell ref="JIW2:JIZ2"/>
    <mergeCell ref="JJA2:JJD2"/>
    <mergeCell ref="JHI2:JHL2"/>
    <mergeCell ref="JHM2:JHP2"/>
    <mergeCell ref="JHQ2:JHT2"/>
    <mergeCell ref="JHU2:JHX2"/>
    <mergeCell ref="JHY2:JIB2"/>
    <mergeCell ref="JIC2:JIF2"/>
    <mergeCell ref="JGK2:JGN2"/>
    <mergeCell ref="JGO2:JGR2"/>
    <mergeCell ref="JGS2:JGV2"/>
    <mergeCell ref="JGW2:JGZ2"/>
    <mergeCell ref="JHA2:JHD2"/>
    <mergeCell ref="JHE2:JHH2"/>
    <mergeCell ref="JFM2:JFP2"/>
    <mergeCell ref="JFQ2:JFT2"/>
    <mergeCell ref="JFU2:JFX2"/>
    <mergeCell ref="JFY2:JGB2"/>
    <mergeCell ref="JGC2:JGF2"/>
    <mergeCell ref="JGG2:JGJ2"/>
    <mergeCell ref="JEO2:JER2"/>
    <mergeCell ref="JES2:JEV2"/>
    <mergeCell ref="JEW2:JEZ2"/>
    <mergeCell ref="JFA2:JFD2"/>
    <mergeCell ref="JFE2:JFH2"/>
    <mergeCell ref="JFI2:JFL2"/>
    <mergeCell ref="JDQ2:JDT2"/>
    <mergeCell ref="JDU2:JDX2"/>
    <mergeCell ref="JDY2:JEB2"/>
    <mergeCell ref="JEC2:JEF2"/>
    <mergeCell ref="JEG2:JEJ2"/>
    <mergeCell ref="JEK2:JEN2"/>
    <mergeCell ref="JCS2:JCV2"/>
    <mergeCell ref="JCW2:JCZ2"/>
    <mergeCell ref="JDA2:JDD2"/>
    <mergeCell ref="JDE2:JDH2"/>
    <mergeCell ref="JDI2:JDL2"/>
    <mergeCell ref="JDM2:JDP2"/>
    <mergeCell ref="JBU2:JBX2"/>
    <mergeCell ref="JBY2:JCB2"/>
    <mergeCell ref="JCC2:JCF2"/>
    <mergeCell ref="JCG2:JCJ2"/>
    <mergeCell ref="JCK2:JCN2"/>
    <mergeCell ref="JCO2:JCR2"/>
    <mergeCell ref="JAW2:JAZ2"/>
    <mergeCell ref="JBA2:JBD2"/>
    <mergeCell ref="JBE2:JBH2"/>
    <mergeCell ref="JBI2:JBL2"/>
    <mergeCell ref="JBM2:JBP2"/>
    <mergeCell ref="JBQ2:JBT2"/>
    <mergeCell ref="IZY2:JAB2"/>
    <mergeCell ref="JAC2:JAF2"/>
    <mergeCell ref="JAG2:JAJ2"/>
    <mergeCell ref="JAK2:JAN2"/>
    <mergeCell ref="JAO2:JAR2"/>
    <mergeCell ref="JAS2:JAV2"/>
    <mergeCell ref="IZA2:IZD2"/>
    <mergeCell ref="IZE2:IZH2"/>
    <mergeCell ref="IZI2:IZL2"/>
    <mergeCell ref="IZM2:IZP2"/>
    <mergeCell ref="IZQ2:IZT2"/>
    <mergeCell ref="IZU2:IZX2"/>
    <mergeCell ref="IYC2:IYF2"/>
    <mergeCell ref="IYG2:IYJ2"/>
    <mergeCell ref="IYK2:IYN2"/>
    <mergeCell ref="IYO2:IYR2"/>
    <mergeCell ref="IYS2:IYV2"/>
    <mergeCell ref="IYW2:IYZ2"/>
    <mergeCell ref="IXE2:IXH2"/>
    <mergeCell ref="IXI2:IXL2"/>
    <mergeCell ref="IXM2:IXP2"/>
    <mergeCell ref="IXQ2:IXT2"/>
    <mergeCell ref="IXU2:IXX2"/>
    <mergeCell ref="IXY2:IYB2"/>
    <mergeCell ref="IWG2:IWJ2"/>
    <mergeCell ref="IWK2:IWN2"/>
    <mergeCell ref="IWO2:IWR2"/>
    <mergeCell ref="IWS2:IWV2"/>
    <mergeCell ref="IWW2:IWZ2"/>
    <mergeCell ref="IXA2:IXD2"/>
    <mergeCell ref="IVI2:IVL2"/>
    <mergeCell ref="IVM2:IVP2"/>
    <mergeCell ref="IVQ2:IVT2"/>
    <mergeCell ref="IVU2:IVX2"/>
    <mergeCell ref="IVY2:IWB2"/>
    <mergeCell ref="IWC2:IWF2"/>
    <mergeCell ref="IUK2:IUN2"/>
    <mergeCell ref="IUO2:IUR2"/>
    <mergeCell ref="IUS2:IUV2"/>
    <mergeCell ref="IUW2:IUZ2"/>
    <mergeCell ref="IVA2:IVD2"/>
    <mergeCell ref="IVE2:IVH2"/>
    <mergeCell ref="ITM2:ITP2"/>
    <mergeCell ref="ITQ2:ITT2"/>
    <mergeCell ref="ITU2:ITX2"/>
    <mergeCell ref="ITY2:IUB2"/>
    <mergeCell ref="IUC2:IUF2"/>
    <mergeCell ref="IUG2:IUJ2"/>
    <mergeCell ref="ISO2:ISR2"/>
    <mergeCell ref="ISS2:ISV2"/>
    <mergeCell ref="ISW2:ISZ2"/>
    <mergeCell ref="ITA2:ITD2"/>
    <mergeCell ref="ITE2:ITH2"/>
    <mergeCell ref="ITI2:ITL2"/>
    <mergeCell ref="IRQ2:IRT2"/>
    <mergeCell ref="IRU2:IRX2"/>
    <mergeCell ref="IRY2:ISB2"/>
    <mergeCell ref="ISC2:ISF2"/>
    <mergeCell ref="ISG2:ISJ2"/>
    <mergeCell ref="ISK2:ISN2"/>
    <mergeCell ref="IQS2:IQV2"/>
    <mergeCell ref="IQW2:IQZ2"/>
    <mergeCell ref="IRA2:IRD2"/>
    <mergeCell ref="IRE2:IRH2"/>
    <mergeCell ref="IRI2:IRL2"/>
    <mergeCell ref="IRM2:IRP2"/>
    <mergeCell ref="IPU2:IPX2"/>
    <mergeCell ref="IPY2:IQB2"/>
    <mergeCell ref="IQC2:IQF2"/>
    <mergeCell ref="IQG2:IQJ2"/>
    <mergeCell ref="IQK2:IQN2"/>
    <mergeCell ref="IQO2:IQR2"/>
    <mergeCell ref="IOW2:IOZ2"/>
    <mergeCell ref="IPA2:IPD2"/>
    <mergeCell ref="IPE2:IPH2"/>
    <mergeCell ref="IPI2:IPL2"/>
    <mergeCell ref="IPM2:IPP2"/>
    <mergeCell ref="IPQ2:IPT2"/>
    <mergeCell ref="INY2:IOB2"/>
    <mergeCell ref="IOC2:IOF2"/>
    <mergeCell ref="IOG2:IOJ2"/>
    <mergeCell ref="IOK2:ION2"/>
    <mergeCell ref="IOO2:IOR2"/>
    <mergeCell ref="IOS2:IOV2"/>
    <mergeCell ref="INA2:IND2"/>
    <mergeCell ref="INE2:INH2"/>
    <mergeCell ref="INI2:INL2"/>
    <mergeCell ref="INM2:INP2"/>
    <mergeCell ref="INQ2:INT2"/>
    <mergeCell ref="INU2:INX2"/>
    <mergeCell ref="IMC2:IMF2"/>
    <mergeCell ref="IMG2:IMJ2"/>
    <mergeCell ref="IMK2:IMN2"/>
    <mergeCell ref="IMO2:IMR2"/>
    <mergeCell ref="IMS2:IMV2"/>
    <mergeCell ref="IMW2:IMZ2"/>
    <mergeCell ref="ILE2:ILH2"/>
    <mergeCell ref="ILI2:ILL2"/>
    <mergeCell ref="ILM2:ILP2"/>
    <mergeCell ref="ILQ2:ILT2"/>
    <mergeCell ref="ILU2:ILX2"/>
    <mergeCell ref="ILY2:IMB2"/>
    <mergeCell ref="IKG2:IKJ2"/>
    <mergeCell ref="IKK2:IKN2"/>
    <mergeCell ref="IKO2:IKR2"/>
    <mergeCell ref="IKS2:IKV2"/>
    <mergeCell ref="IKW2:IKZ2"/>
    <mergeCell ref="ILA2:ILD2"/>
    <mergeCell ref="IJI2:IJL2"/>
    <mergeCell ref="IJM2:IJP2"/>
    <mergeCell ref="IJQ2:IJT2"/>
    <mergeCell ref="IJU2:IJX2"/>
    <mergeCell ref="IJY2:IKB2"/>
    <mergeCell ref="IKC2:IKF2"/>
    <mergeCell ref="IIK2:IIN2"/>
    <mergeCell ref="IIO2:IIR2"/>
    <mergeCell ref="IIS2:IIV2"/>
    <mergeCell ref="IIW2:IIZ2"/>
    <mergeCell ref="IJA2:IJD2"/>
    <mergeCell ref="IJE2:IJH2"/>
    <mergeCell ref="IHM2:IHP2"/>
    <mergeCell ref="IHQ2:IHT2"/>
    <mergeCell ref="IHU2:IHX2"/>
    <mergeCell ref="IHY2:IIB2"/>
    <mergeCell ref="IIC2:IIF2"/>
    <mergeCell ref="IIG2:IIJ2"/>
    <mergeCell ref="IGO2:IGR2"/>
    <mergeCell ref="IGS2:IGV2"/>
    <mergeCell ref="IGW2:IGZ2"/>
    <mergeCell ref="IHA2:IHD2"/>
    <mergeCell ref="IHE2:IHH2"/>
    <mergeCell ref="IHI2:IHL2"/>
    <mergeCell ref="IFQ2:IFT2"/>
    <mergeCell ref="IFU2:IFX2"/>
    <mergeCell ref="IFY2:IGB2"/>
    <mergeCell ref="IGC2:IGF2"/>
    <mergeCell ref="IGG2:IGJ2"/>
    <mergeCell ref="IGK2:IGN2"/>
    <mergeCell ref="IES2:IEV2"/>
    <mergeCell ref="IEW2:IEZ2"/>
    <mergeCell ref="IFA2:IFD2"/>
    <mergeCell ref="IFE2:IFH2"/>
    <mergeCell ref="IFI2:IFL2"/>
    <mergeCell ref="IFM2:IFP2"/>
    <mergeCell ref="IDU2:IDX2"/>
    <mergeCell ref="IDY2:IEB2"/>
    <mergeCell ref="IEC2:IEF2"/>
    <mergeCell ref="IEG2:IEJ2"/>
    <mergeCell ref="IEK2:IEN2"/>
    <mergeCell ref="IEO2:IER2"/>
    <mergeCell ref="ICW2:ICZ2"/>
    <mergeCell ref="IDA2:IDD2"/>
    <mergeCell ref="IDE2:IDH2"/>
    <mergeCell ref="IDI2:IDL2"/>
    <mergeCell ref="IDM2:IDP2"/>
    <mergeCell ref="IDQ2:IDT2"/>
    <mergeCell ref="IBY2:ICB2"/>
    <mergeCell ref="ICC2:ICF2"/>
    <mergeCell ref="ICG2:ICJ2"/>
    <mergeCell ref="ICK2:ICN2"/>
    <mergeCell ref="ICO2:ICR2"/>
    <mergeCell ref="ICS2:ICV2"/>
    <mergeCell ref="IBA2:IBD2"/>
    <mergeCell ref="IBE2:IBH2"/>
    <mergeCell ref="IBI2:IBL2"/>
    <mergeCell ref="IBM2:IBP2"/>
    <mergeCell ref="IBQ2:IBT2"/>
    <mergeCell ref="IBU2:IBX2"/>
    <mergeCell ref="IAC2:IAF2"/>
    <mergeCell ref="IAG2:IAJ2"/>
    <mergeCell ref="IAK2:IAN2"/>
    <mergeCell ref="IAO2:IAR2"/>
    <mergeCell ref="IAS2:IAV2"/>
    <mergeCell ref="IAW2:IAZ2"/>
    <mergeCell ref="HZE2:HZH2"/>
    <mergeCell ref="HZI2:HZL2"/>
    <mergeCell ref="HZM2:HZP2"/>
    <mergeCell ref="HZQ2:HZT2"/>
    <mergeCell ref="HZU2:HZX2"/>
    <mergeCell ref="HZY2:IAB2"/>
    <mergeCell ref="HYG2:HYJ2"/>
    <mergeCell ref="HYK2:HYN2"/>
    <mergeCell ref="HYO2:HYR2"/>
    <mergeCell ref="HYS2:HYV2"/>
    <mergeCell ref="HYW2:HYZ2"/>
    <mergeCell ref="HZA2:HZD2"/>
    <mergeCell ref="HXI2:HXL2"/>
    <mergeCell ref="HXM2:HXP2"/>
    <mergeCell ref="HXQ2:HXT2"/>
    <mergeCell ref="HXU2:HXX2"/>
    <mergeCell ref="HXY2:HYB2"/>
    <mergeCell ref="HYC2:HYF2"/>
    <mergeCell ref="HWK2:HWN2"/>
    <mergeCell ref="HWO2:HWR2"/>
    <mergeCell ref="HWS2:HWV2"/>
    <mergeCell ref="HWW2:HWZ2"/>
    <mergeCell ref="HXA2:HXD2"/>
    <mergeCell ref="HXE2:HXH2"/>
    <mergeCell ref="HVM2:HVP2"/>
    <mergeCell ref="HVQ2:HVT2"/>
    <mergeCell ref="HVU2:HVX2"/>
    <mergeCell ref="HVY2:HWB2"/>
    <mergeCell ref="HWC2:HWF2"/>
    <mergeCell ref="HWG2:HWJ2"/>
    <mergeCell ref="HUO2:HUR2"/>
    <mergeCell ref="HUS2:HUV2"/>
    <mergeCell ref="HUW2:HUZ2"/>
    <mergeCell ref="HVA2:HVD2"/>
    <mergeCell ref="HVE2:HVH2"/>
    <mergeCell ref="HVI2:HVL2"/>
    <mergeCell ref="HTQ2:HTT2"/>
    <mergeCell ref="HTU2:HTX2"/>
    <mergeCell ref="HTY2:HUB2"/>
    <mergeCell ref="HUC2:HUF2"/>
    <mergeCell ref="HUG2:HUJ2"/>
    <mergeCell ref="HUK2:HUN2"/>
    <mergeCell ref="HSS2:HSV2"/>
    <mergeCell ref="HSW2:HSZ2"/>
    <mergeCell ref="HTA2:HTD2"/>
    <mergeCell ref="HTE2:HTH2"/>
    <mergeCell ref="HTI2:HTL2"/>
    <mergeCell ref="HTM2:HTP2"/>
    <mergeCell ref="HRU2:HRX2"/>
    <mergeCell ref="HRY2:HSB2"/>
    <mergeCell ref="HSC2:HSF2"/>
    <mergeCell ref="HSG2:HSJ2"/>
    <mergeCell ref="HSK2:HSN2"/>
    <mergeCell ref="HSO2:HSR2"/>
    <mergeCell ref="HQW2:HQZ2"/>
    <mergeCell ref="HRA2:HRD2"/>
    <mergeCell ref="HRE2:HRH2"/>
    <mergeCell ref="HRI2:HRL2"/>
    <mergeCell ref="HRM2:HRP2"/>
    <mergeCell ref="HRQ2:HRT2"/>
    <mergeCell ref="HPY2:HQB2"/>
    <mergeCell ref="HQC2:HQF2"/>
    <mergeCell ref="HQG2:HQJ2"/>
    <mergeCell ref="HQK2:HQN2"/>
    <mergeCell ref="HQO2:HQR2"/>
    <mergeCell ref="HQS2:HQV2"/>
    <mergeCell ref="HPA2:HPD2"/>
    <mergeCell ref="HPE2:HPH2"/>
    <mergeCell ref="HPI2:HPL2"/>
    <mergeCell ref="HPM2:HPP2"/>
    <mergeCell ref="HPQ2:HPT2"/>
    <mergeCell ref="HPU2:HPX2"/>
    <mergeCell ref="HOC2:HOF2"/>
    <mergeCell ref="HOG2:HOJ2"/>
    <mergeCell ref="HOK2:HON2"/>
    <mergeCell ref="HOO2:HOR2"/>
    <mergeCell ref="HOS2:HOV2"/>
    <mergeCell ref="HOW2:HOZ2"/>
    <mergeCell ref="HNE2:HNH2"/>
    <mergeCell ref="HNI2:HNL2"/>
    <mergeCell ref="HNM2:HNP2"/>
    <mergeCell ref="HNQ2:HNT2"/>
    <mergeCell ref="HNU2:HNX2"/>
    <mergeCell ref="HNY2:HOB2"/>
    <mergeCell ref="HMG2:HMJ2"/>
    <mergeCell ref="HMK2:HMN2"/>
    <mergeCell ref="HMO2:HMR2"/>
    <mergeCell ref="HMS2:HMV2"/>
    <mergeCell ref="HMW2:HMZ2"/>
    <mergeCell ref="HNA2:HND2"/>
    <mergeCell ref="HLI2:HLL2"/>
    <mergeCell ref="HLM2:HLP2"/>
    <mergeCell ref="HLQ2:HLT2"/>
    <mergeCell ref="HLU2:HLX2"/>
    <mergeCell ref="HLY2:HMB2"/>
    <mergeCell ref="HMC2:HMF2"/>
    <mergeCell ref="HKK2:HKN2"/>
    <mergeCell ref="HKO2:HKR2"/>
    <mergeCell ref="HKS2:HKV2"/>
    <mergeCell ref="HKW2:HKZ2"/>
    <mergeCell ref="HLA2:HLD2"/>
    <mergeCell ref="HLE2:HLH2"/>
    <mergeCell ref="HJM2:HJP2"/>
    <mergeCell ref="HJQ2:HJT2"/>
    <mergeCell ref="HJU2:HJX2"/>
    <mergeCell ref="HJY2:HKB2"/>
    <mergeCell ref="HKC2:HKF2"/>
    <mergeCell ref="HKG2:HKJ2"/>
    <mergeCell ref="HIO2:HIR2"/>
    <mergeCell ref="HIS2:HIV2"/>
    <mergeCell ref="HIW2:HIZ2"/>
    <mergeCell ref="HJA2:HJD2"/>
    <mergeCell ref="HJE2:HJH2"/>
    <mergeCell ref="HJI2:HJL2"/>
    <mergeCell ref="HHQ2:HHT2"/>
    <mergeCell ref="HHU2:HHX2"/>
    <mergeCell ref="HHY2:HIB2"/>
    <mergeCell ref="HIC2:HIF2"/>
    <mergeCell ref="HIG2:HIJ2"/>
    <mergeCell ref="HIK2:HIN2"/>
    <mergeCell ref="HGS2:HGV2"/>
    <mergeCell ref="HGW2:HGZ2"/>
    <mergeCell ref="HHA2:HHD2"/>
    <mergeCell ref="HHE2:HHH2"/>
    <mergeCell ref="HHI2:HHL2"/>
    <mergeCell ref="HHM2:HHP2"/>
    <mergeCell ref="HFU2:HFX2"/>
    <mergeCell ref="HFY2:HGB2"/>
    <mergeCell ref="HGC2:HGF2"/>
    <mergeCell ref="HGG2:HGJ2"/>
    <mergeCell ref="HGK2:HGN2"/>
    <mergeCell ref="HGO2:HGR2"/>
    <mergeCell ref="HEW2:HEZ2"/>
    <mergeCell ref="HFA2:HFD2"/>
    <mergeCell ref="HFE2:HFH2"/>
    <mergeCell ref="HFI2:HFL2"/>
    <mergeCell ref="HFM2:HFP2"/>
    <mergeCell ref="HFQ2:HFT2"/>
    <mergeCell ref="HDY2:HEB2"/>
    <mergeCell ref="HEC2:HEF2"/>
    <mergeCell ref="HEG2:HEJ2"/>
    <mergeCell ref="HEK2:HEN2"/>
    <mergeCell ref="HEO2:HER2"/>
    <mergeCell ref="HES2:HEV2"/>
    <mergeCell ref="HDA2:HDD2"/>
    <mergeCell ref="HDE2:HDH2"/>
    <mergeCell ref="HDI2:HDL2"/>
    <mergeCell ref="HDM2:HDP2"/>
    <mergeCell ref="HDQ2:HDT2"/>
    <mergeCell ref="HDU2:HDX2"/>
    <mergeCell ref="HCC2:HCF2"/>
    <mergeCell ref="HCG2:HCJ2"/>
    <mergeCell ref="HCK2:HCN2"/>
    <mergeCell ref="HCO2:HCR2"/>
    <mergeCell ref="HCS2:HCV2"/>
    <mergeCell ref="HCW2:HCZ2"/>
    <mergeCell ref="HBE2:HBH2"/>
    <mergeCell ref="HBI2:HBL2"/>
    <mergeCell ref="HBM2:HBP2"/>
    <mergeCell ref="HBQ2:HBT2"/>
    <mergeCell ref="HBU2:HBX2"/>
    <mergeCell ref="HBY2:HCB2"/>
    <mergeCell ref="HAG2:HAJ2"/>
    <mergeCell ref="HAK2:HAN2"/>
    <mergeCell ref="HAO2:HAR2"/>
    <mergeCell ref="HAS2:HAV2"/>
    <mergeCell ref="HAW2:HAZ2"/>
    <mergeCell ref="HBA2:HBD2"/>
    <mergeCell ref="GZI2:GZL2"/>
    <mergeCell ref="GZM2:GZP2"/>
    <mergeCell ref="GZQ2:GZT2"/>
    <mergeCell ref="GZU2:GZX2"/>
    <mergeCell ref="GZY2:HAB2"/>
    <mergeCell ref="HAC2:HAF2"/>
    <mergeCell ref="GYK2:GYN2"/>
    <mergeCell ref="GYO2:GYR2"/>
    <mergeCell ref="GYS2:GYV2"/>
    <mergeCell ref="GYW2:GYZ2"/>
    <mergeCell ref="GZA2:GZD2"/>
    <mergeCell ref="GZE2:GZH2"/>
    <mergeCell ref="GXM2:GXP2"/>
    <mergeCell ref="GXQ2:GXT2"/>
    <mergeCell ref="GXU2:GXX2"/>
    <mergeCell ref="GXY2:GYB2"/>
    <mergeCell ref="GYC2:GYF2"/>
    <mergeCell ref="GYG2:GYJ2"/>
    <mergeCell ref="GWO2:GWR2"/>
    <mergeCell ref="GWS2:GWV2"/>
    <mergeCell ref="GWW2:GWZ2"/>
    <mergeCell ref="GXA2:GXD2"/>
    <mergeCell ref="GXE2:GXH2"/>
    <mergeCell ref="GXI2:GXL2"/>
    <mergeCell ref="GVQ2:GVT2"/>
    <mergeCell ref="GVU2:GVX2"/>
    <mergeCell ref="GVY2:GWB2"/>
    <mergeCell ref="GWC2:GWF2"/>
    <mergeCell ref="GWG2:GWJ2"/>
    <mergeCell ref="GWK2:GWN2"/>
    <mergeCell ref="GUS2:GUV2"/>
    <mergeCell ref="GUW2:GUZ2"/>
    <mergeCell ref="GVA2:GVD2"/>
    <mergeCell ref="GVE2:GVH2"/>
    <mergeCell ref="GVI2:GVL2"/>
    <mergeCell ref="GVM2:GVP2"/>
    <mergeCell ref="GTU2:GTX2"/>
    <mergeCell ref="GTY2:GUB2"/>
    <mergeCell ref="GUC2:GUF2"/>
    <mergeCell ref="GUG2:GUJ2"/>
    <mergeCell ref="GUK2:GUN2"/>
    <mergeCell ref="GUO2:GUR2"/>
    <mergeCell ref="GSW2:GSZ2"/>
    <mergeCell ref="GTA2:GTD2"/>
    <mergeCell ref="GTE2:GTH2"/>
    <mergeCell ref="GTI2:GTL2"/>
    <mergeCell ref="GTM2:GTP2"/>
    <mergeCell ref="GTQ2:GTT2"/>
    <mergeCell ref="GRY2:GSB2"/>
    <mergeCell ref="GSC2:GSF2"/>
    <mergeCell ref="GSG2:GSJ2"/>
    <mergeCell ref="GSK2:GSN2"/>
    <mergeCell ref="GSO2:GSR2"/>
    <mergeCell ref="GSS2:GSV2"/>
    <mergeCell ref="GRA2:GRD2"/>
    <mergeCell ref="GRE2:GRH2"/>
    <mergeCell ref="GRI2:GRL2"/>
    <mergeCell ref="GRM2:GRP2"/>
    <mergeCell ref="GRQ2:GRT2"/>
    <mergeCell ref="GRU2:GRX2"/>
    <mergeCell ref="GQC2:GQF2"/>
    <mergeCell ref="GQG2:GQJ2"/>
    <mergeCell ref="GQK2:GQN2"/>
    <mergeCell ref="GQO2:GQR2"/>
    <mergeCell ref="GQS2:GQV2"/>
    <mergeCell ref="GQW2:GQZ2"/>
    <mergeCell ref="GPE2:GPH2"/>
    <mergeCell ref="GPI2:GPL2"/>
    <mergeCell ref="GPM2:GPP2"/>
    <mergeCell ref="GPQ2:GPT2"/>
    <mergeCell ref="GPU2:GPX2"/>
    <mergeCell ref="GPY2:GQB2"/>
    <mergeCell ref="GOG2:GOJ2"/>
    <mergeCell ref="GOK2:GON2"/>
    <mergeCell ref="GOO2:GOR2"/>
    <mergeCell ref="GOS2:GOV2"/>
    <mergeCell ref="GOW2:GOZ2"/>
    <mergeCell ref="GPA2:GPD2"/>
    <mergeCell ref="GNI2:GNL2"/>
    <mergeCell ref="GNM2:GNP2"/>
    <mergeCell ref="GNQ2:GNT2"/>
    <mergeCell ref="GNU2:GNX2"/>
    <mergeCell ref="GNY2:GOB2"/>
    <mergeCell ref="GOC2:GOF2"/>
    <mergeCell ref="GMK2:GMN2"/>
    <mergeCell ref="GMO2:GMR2"/>
    <mergeCell ref="GMS2:GMV2"/>
    <mergeCell ref="GMW2:GMZ2"/>
    <mergeCell ref="GNA2:GND2"/>
    <mergeCell ref="GNE2:GNH2"/>
    <mergeCell ref="GLM2:GLP2"/>
    <mergeCell ref="GLQ2:GLT2"/>
    <mergeCell ref="GLU2:GLX2"/>
    <mergeCell ref="GLY2:GMB2"/>
    <mergeCell ref="GMC2:GMF2"/>
    <mergeCell ref="GMG2:GMJ2"/>
    <mergeCell ref="GKO2:GKR2"/>
    <mergeCell ref="GKS2:GKV2"/>
    <mergeCell ref="GKW2:GKZ2"/>
    <mergeCell ref="GLA2:GLD2"/>
    <mergeCell ref="GLE2:GLH2"/>
    <mergeCell ref="GLI2:GLL2"/>
    <mergeCell ref="GJQ2:GJT2"/>
    <mergeCell ref="GJU2:GJX2"/>
    <mergeCell ref="GJY2:GKB2"/>
    <mergeCell ref="GKC2:GKF2"/>
    <mergeCell ref="GKG2:GKJ2"/>
    <mergeCell ref="GKK2:GKN2"/>
    <mergeCell ref="GIS2:GIV2"/>
    <mergeCell ref="GIW2:GIZ2"/>
    <mergeCell ref="GJA2:GJD2"/>
    <mergeCell ref="GJE2:GJH2"/>
    <mergeCell ref="GJI2:GJL2"/>
    <mergeCell ref="GJM2:GJP2"/>
    <mergeCell ref="GHU2:GHX2"/>
    <mergeCell ref="GHY2:GIB2"/>
    <mergeCell ref="GIC2:GIF2"/>
    <mergeCell ref="GIG2:GIJ2"/>
    <mergeCell ref="GIK2:GIN2"/>
    <mergeCell ref="GIO2:GIR2"/>
    <mergeCell ref="GGW2:GGZ2"/>
    <mergeCell ref="GHA2:GHD2"/>
    <mergeCell ref="GHE2:GHH2"/>
    <mergeCell ref="GHI2:GHL2"/>
    <mergeCell ref="GHM2:GHP2"/>
    <mergeCell ref="GHQ2:GHT2"/>
    <mergeCell ref="GFY2:GGB2"/>
    <mergeCell ref="GGC2:GGF2"/>
    <mergeCell ref="GGG2:GGJ2"/>
    <mergeCell ref="GGK2:GGN2"/>
    <mergeCell ref="GGO2:GGR2"/>
    <mergeCell ref="GGS2:GGV2"/>
    <mergeCell ref="GFA2:GFD2"/>
    <mergeCell ref="GFE2:GFH2"/>
    <mergeCell ref="GFI2:GFL2"/>
    <mergeCell ref="GFM2:GFP2"/>
    <mergeCell ref="GFQ2:GFT2"/>
    <mergeCell ref="GFU2:GFX2"/>
    <mergeCell ref="GEC2:GEF2"/>
    <mergeCell ref="GEG2:GEJ2"/>
    <mergeCell ref="GEK2:GEN2"/>
    <mergeCell ref="GEO2:GER2"/>
    <mergeCell ref="GES2:GEV2"/>
    <mergeCell ref="GEW2:GEZ2"/>
    <mergeCell ref="GDE2:GDH2"/>
    <mergeCell ref="GDI2:GDL2"/>
    <mergeCell ref="GDM2:GDP2"/>
    <mergeCell ref="GDQ2:GDT2"/>
    <mergeCell ref="GDU2:GDX2"/>
    <mergeCell ref="GDY2:GEB2"/>
    <mergeCell ref="GCG2:GCJ2"/>
    <mergeCell ref="GCK2:GCN2"/>
    <mergeCell ref="GCO2:GCR2"/>
    <mergeCell ref="GCS2:GCV2"/>
    <mergeCell ref="GCW2:GCZ2"/>
    <mergeCell ref="GDA2:GDD2"/>
    <mergeCell ref="GBI2:GBL2"/>
    <mergeCell ref="GBM2:GBP2"/>
    <mergeCell ref="GBQ2:GBT2"/>
    <mergeCell ref="GBU2:GBX2"/>
    <mergeCell ref="GBY2:GCB2"/>
    <mergeCell ref="GCC2:GCF2"/>
    <mergeCell ref="GAK2:GAN2"/>
    <mergeCell ref="GAO2:GAR2"/>
    <mergeCell ref="GAS2:GAV2"/>
    <mergeCell ref="GAW2:GAZ2"/>
    <mergeCell ref="GBA2:GBD2"/>
    <mergeCell ref="GBE2:GBH2"/>
    <mergeCell ref="FZM2:FZP2"/>
    <mergeCell ref="FZQ2:FZT2"/>
    <mergeCell ref="FZU2:FZX2"/>
    <mergeCell ref="FZY2:GAB2"/>
    <mergeCell ref="GAC2:GAF2"/>
    <mergeCell ref="GAG2:GAJ2"/>
    <mergeCell ref="FYO2:FYR2"/>
    <mergeCell ref="FYS2:FYV2"/>
    <mergeCell ref="FYW2:FYZ2"/>
    <mergeCell ref="FZA2:FZD2"/>
    <mergeCell ref="FZE2:FZH2"/>
    <mergeCell ref="FZI2:FZL2"/>
    <mergeCell ref="FXQ2:FXT2"/>
    <mergeCell ref="FXU2:FXX2"/>
    <mergeCell ref="FXY2:FYB2"/>
    <mergeCell ref="FYC2:FYF2"/>
    <mergeCell ref="FYG2:FYJ2"/>
    <mergeCell ref="FYK2:FYN2"/>
    <mergeCell ref="FWS2:FWV2"/>
    <mergeCell ref="FWW2:FWZ2"/>
    <mergeCell ref="FXA2:FXD2"/>
    <mergeCell ref="FXE2:FXH2"/>
    <mergeCell ref="FXI2:FXL2"/>
    <mergeCell ref="FXM2:FXP2"/>
    <mergeCell ref="FVU2:FVX2"/>
    <mergeCell ref="FVY2:FWB2"/>
    <mergeCell ref="FWC2:FWF2"/>
    <mergeCell ref="FWG2:FWJ2"/>
    <mergeCell ref="FWK2:FWN2"/>
    <mergeCell ref="FWO2:FWR2"/>
    <mergeCell ref="FUW2:FUZ2"/>
    <mergeCell ref="FVA2:FVD2"/>
    <mergeCell ref="FVE2:FVH2"/>
    <mergeCell ref="FVI2:FVL2"/>
    <mergeCell ref="FVM2:FVP2"/>
    <mergeCell ref="FVQ2:FVT2"/>
    <mergeCell ref="FTY2:FUB2"/>
    <mergeCell ref="FUC2:FUF2"/>
    <mergeCell ref="FUG2:FUJ2"/>
    <mergeCell ref="FUK2:FUN2"/>
    <mergeCell ref="FUO2:FUR2"/>
    <mergeCell ref="FUS2:FUV2"/>
    <mergeCell ref="FTA2:FTD2"/>
    <mergeCell ref="FTE2:FTH2"/>
    <mergeCell ref="FTI2:FTL2"/>
    <mergeCell ref="FTM2:FTP2"/>
    <mergeCell ref="FTQ2:FTT2"/>
    <mergeCell ref="FTU2:FTX2"/>
    <mergeCell ref="FSC2:FSF2"/>
    <mergeCell ref="FSG2:FSJ2"/>
    <mergeCell ref="FSK2:FSN2"/>
    <mergeCell ref="FSO2:FSR2"/>
    <mergeCell ref="FSS2:FSV2"/>
    <mergeCell ref="FSW2:FSZ2"/>
    <mergeCell ref="FRE2:FRH2"/>
    <mergeCell ref="FRI2:FRL2"/>
    <mergeCell ref="FRM2:FRP2"/>
    <mergeCell ref="FRQ2:FRT2"/>
    <mergeCell ref="FRU2:FRX2"/>
    <mergeCell ref="FRY2:FSB2"/>
    <mergeCell ref="FQG2:FQJ2"/>
    <mergeCell ref="FQK2:FQN2"/>
    <mergeCell ref="FQO2:FQR2"/>
    <mergeCell ref="FQS2:FQV2"/>
    <mergeCell ref="FQW2:FQZ2"/>
    <mergeCell ref="FRA2:FRD2"/>
    <mergeCell ref="FPI2:FPL2"/>
    <mergeCell ref="FPM2:FPP2"/>
    <mergeCell ref="FPQ2:FPT2"/>
    <mergeCell ref="FPU2:FPX2"/>
    <mergeCell ref="FPY2:FQB2"/>
    <mergeCell ref="FQC2:FQF2"/>
    <mergeCell ref="FOK2:FON2"/>
    <mergeCell ref="FOO2:FOR2"/>
    <mergeCell ref="FOS2:FOV2"/>
    <mergeCell ref="FOW2:FOZ2"/>
    <mergeCell ref="FPA2:FPD2"/>
    <mergeCell ref="FPE2:FPH2"/>
    <mergeCell ref="FNM2:FNP2"/>
    <mergeCell ref="FNQ2:FNT2"/>
    <mergeCell ref="FNU2:FNX2"/>
    <mergeCell ref="FNY2:FOB2"/>
    <mergeCell ref="FOC2:FOF2"/>
    <mergeCell ref="FOG2:FOJ2"/>
    <mergeCell ref="FMO2:FMR2"/>
    <mergeCell ref="FMS2:FMV2"/>
    <mergeCell ref="FMW2:FMZ2"/>
    <mergeCell ref="FNA2:FND2"/>
    <mergeCell ref="FNE2:FNH2"/>
    <mergeCell ref="FNI2:FNL2"/>
    <mergeCell ref="FLQ2:FLT2"/>
    <mergeCell ref="FLU2:FLX2"/>
    <mergeCell ref="FLY2:FMB2"/>
    <mergeCell ref="FMC2:FMF2"/>
    <mergeCell ref="FMG2:FMJ2"/>
    <mergeCell ref="FMK2:FMN2"/>
    <mergeCell ref="FKS2:FKV2"/>
    <mergeCell ref="FKW2:FKZ2"/>
    <mergeCell ref="FLA2:FLD2"/>
    <mergeCell ref="FLE2:FLH2"/>
    <mergeCell ref="FLI2:FLL2"/>
    <mergeCell ref="FLM2:FLP2"/>
    <mergeCell ref="FJU2:FJX2"/>
    <mergeCell ref="FJY2:FKB2"/>
    <mergeCell ref="FKC2:FKF2"/>
    <mergeCell ref="FKG2:FKJ2"/>
    <mergeCell ref="FKK2:FKN2"/>
    <mergeCell ref="FKO2:FKR2"/>
    <mergeCell ref="FIW2:FIZ2"/>
    <mergeCell ref="FJA2:FJD2"/>
    <mergeCell ref="FJE2:FJH2"/>
    <mergeCell ref="FJI2:FJL2"/>
    <mergeCell ref="FJM2:FJP2"/>
    <mergeCell ref="FJQ2:FJT2"/>
    <mergeCell ref="FHY2:FIB2"/>
    <mergeCell ref="FIC2:FIF2"/>
    <mergeCell ref="FIG2:FIJ2"/>
    <mergeCell ref="FIK2:FIN2"/>
    <mergeCell ref="FIO2:FIR2"/>
    <mergeCell ref="FIS2:FIV2"/>
    <mergeCell ref="FHA2:FHD2"/>
    <mergeCell ref="FHE2:FHH2"/>
    <mergeCell ref="FHI2:FHL2"/>
    <mergeCell ref="FHM2:FHP2"/>
    <mergeCell ref="FHQ2:FHT2"/>
    <mergeCell ref="FHU2:FHX2"/>
    <mergeCell ref="FGC2:FGF2"/>
    <mergeCell ref="FGG2:FGJ2"/>
    <mergeCell ref="FGK2:FGN2"/>
    <mergeCell ref="FGO2:FGR2"/>
    <mergeCell ref="FGS2:FGV2"/>
    <mergeCell ref="FGW2:FGZ2"/>
    <mergeCell ref="FFE2:FFH2"/>
    <mergeCell ref="FFI2:FFL2"/>
    <mergeCell ref="FFM2:FFP2"/>
    <mergeCell ref="FFQ2:FFT2"/>
    <mergeCell ref="FFU2:FFX2"/>
    <mergeCell ref="FFY2:FGB2"/>
    <mergeCell ref="FEG2:FEJ2"/>
    <mergeCell ref="FEK2:FEN2"/>
    <mergeCell ref="FEO2:FER2"/>
    <mergeCell ref="FES2:FEV2"/>
    <mergeCell ref="FEW2:FEZ2"/>
    <mergeCell ref="FFA2:FFD2"/>
    <mergeCell ref="FDI2:FDL2"/>
    <mergeCell ref="FDM2:FDP2"/>
    <mergeCell ref="FDQ2:FDT2"/>
    <mergeCell ref="FDU2:FDX2"/>
    <mergeCell ref="FDY2:FEB2"/>
    <mergeCell ref="FEC2:FEF2"/>
    <mergeCell ref="FCK2:FCN2"/>
    <mergeCell ref="FCO2:FCR2"/>
    <mergeCell ref="FCS2:FCV2"/>
    <mergeCell ref="FCW2:FCZ2"/>
    <mergeCell ref="FDA2:FDD2"/>
    <mergeCell ref="FDE2:FDH2"/>
    <mergeCell ref="FBM2:FBP2"/>
    <mergeCell ref="FBQ2:FBT2"/>
    <mergeCell ref="FBU2:FBX2"/>
    <mergeCell ref="FBY2:FCB2"/>
    <mergeCell ref="FCC2:FCF2"/>
    <mergeCell ref="FCG2:FCJ2"/>
    <mergeCell ref="FAO2:FAR2"/>
    <mergeCell ref="FAS2:FAV2"/>
    <mergeCell ref="FAW2:FAZ2"/>
    <mergeCell ref="FBA2:FBD2"/>
    <mergeCell ref="FBE2:FBH2"/>
    <mergeCell ref="FBI2:FBL2"/>
    <mergeCell ref="EZQ2:EZT2"/>
    <mergeCell ref="EZU2:EZX2"/>
    <mergeCell ref="EZY2:FAB2"/>
    <mergeCell ref="FAC2:FAF2"/>
    <mergeCell ref="FAG2:FAJ2"/>
    <mergeCell ref="FAK2:FAN2"/>
    <mergeCell ref="EYS2:EYV2"/>
    <mergeCell ref="EYW2:EYZ2"/>
    <mergeCell ref="EZA2:EZD2"/>
    <mergeCell ref="EZE2:EZH2"/>
    <mergeCell ref="EZI2:EZL2"/>
    <mergeCell ref="EZM2:EZP2"/>
    <mergeCell ref="EXU2:EXX2"/>
    <mergeCell ref="EXY2:EYB2"/>
    <mergeCell ref="EYC2:EYF2"/>
    <mergeCell ref="EYG2:EYJ2"/>
    <mergeCell ref="EYK2:EYN2"/>
    <mergeCell ref="EYO2:EYR2"/>
    <mergeCell ref="EWW2:EWZ2"/>
    <mergeCell ref="EXA2:EXD2"/>
    <mergeCell ref="EXE2:EXH2"/>
    <mergeCell ref="EXI2:EXL2"/>
    <mergeCell ref="EXM2:EXP2"/>
    <mergeCell ref="EXQ2:EXT2"/>
    <mergeCell ref="EVY2:EWB2"/>
    <mergeCell ref="EWC2:EWF2"/>
    <mergeCell ref="EWG2:EWJ2"/>
    <mergeCell ref="EWK2:EWN2"/>
    <mergeCell ref="EWO2:EWR2"/>
    <mergeCell ref="EWS2:EWV2"/>
    <mergeCell ref="EVA2:EVD2"/>
    <mergeCell ref="EVE2:EVH2"/>
    <mergeCell ref="EVI2:EVL2"/>
    <mergeCell ref="EVM2:EVP2"/>
    <mergeCell ref="EVQ2:EVT2"/>
    <mergeCell ref="EVU2:EVX2"/>
    <mergeCell ref="EUC2:EUF2"/>
    <mergeCell ref="EUG2:EUJ2"/>
    <mergeCell ref="EUK2:EUN2"/>
    <mergeCell ref="EUO2:EUR2"/>
    <mergeCell ref="EUS2:EUV2"/>
    <mergeCell ref="EUW2:EUZ2"/>
    <mergeCell ref="ETE2:ETH2"/>
    <mergeCell ref="ETI2:ETL2"/>
    <mergeCell ref="ETM2:ETP2"/>
    <mergeCell ref="ETQ2:ETT2"/>
    <mergeCell ref="ETU2:ETX2"/>
    <mergeCell ref="ETY2:EUB2"/>
    <mergeCell ref="ESG2:ESJ2"/>
    <mergeCell ref="ESK2:ESN2"/>
    <mergeCell ref="ESO2:ESR2"/>
    <mergeCell ref="ESS2:ESV2"/>
    <mergeCell ref="ESW2:ESZ2"/>
    <mergeCell ref="ETA2:ETD2"/>
    <mergeCell ref="ERI2:ERL2"/>
    <mergeCell ref="ERM2:ERP2"/>
    <mergeCell ref="ERQ2:ERT2"/>
    <mergeCell ref="ERU2:ERX2"/>
    <mergeCell ref="ERY2:ESB2"/>
    <mergeCell ref="ESC2:ESF2"/>
    <mergeCell ref="EQK2:EQN2"/>
    <mergeCell ref="EQO2:EQR2"/>
    <mergeCell ref="EQS2:EQV2"/>
    <mergeCell ref="EQW2:EQZ2"/>
    <mergeCell ref="ERA2:ERD2"/>
    <mergeCell ref="ERE2:ERH2"/>
    <mergeCell ref="EPM2:EPP2"/>
    <mergeCell ref="EPQ2:EPT2"/>
    <mergeCell ref="EPU2:EPX2"/>
    <mergeCell ref="EPY2:EQB2"/>
    <mergeCell ref="EQC2:EQF2"/>
    <mergeCell ref="EQG2:EQJ2"/>
    <mergeCell ref="EOO2:EOR2"/>
    <mergeCell ref="EOS2:EOV2"/>
    <mergeCell ref="EOW2:EOZ2"/>
    <mergeCell ref="EPA2:EPD2"/>
    <mergeCell ref="EPE2:EPH2"/>
    <mergeCell ref="EPI2:EPL2"/>
    <mergeCell ref="ENQ2:ENT2"/>
    <mergeCell ref="ENU2:ENX2"/>
    <mergeCell ref="ENY2:EOB2"/>
    <mergeCell ref="EOC2:EOF2"/>
    <mergeCell ref="EOG2:EOJ2"/>
    <mergeCell ref="EOK2:EON2"/>
    <mergeCell ref="EMS2:EMV2"/>
    <mergeCell ref="EMW2:EMZ2"/>
    <mergeCell ref="ENA2:END2"/>
    <mergeCell ref="ENE2:ENH2"/>
    <mergeCell ref="ENI2:ENL2"/>
    <mergeCell ref="ENM2:ENP2"/>
    <mergeCell ref="ELU2:ELX2"/>
    <mergeCell ref="ELY2:EMB2"/>
    <mergeCell ref="EMC2:EMF2"/>
    <mergeCell ref="EMG2:EMJ2"/>
    <mergeCell ref="EMK2:EMN2"/>
    <mergeCell ref="EMO2:EMR2"/>
    <mergeCell ref="EKW2:EKZ2"/>
    <mergeCell ref="ELA2:ELD2"/>
    <mergeCell ref="ELE2:ELH2"/>
    <mergeCell ref="ELI2:ELL2"/>
    <mergeCell ref="ELM2:ELP2"/>
    <mergeCell ref="ELQ2:ELT2"/>
    <mergeCell ref="EJY2:EKB2"/>
    <mergeCell ref="EKC2:EKF2"/>
    <mergeCell ref="EKG2:EKJ2"/>
    <mergeCell ref="EKK2:EKN2"/>
    <mergeCell ref="EKO2:EKR2"/>
    <mergeCell ref="EKS2:EKV2"/>
    <mergeCell ref="EJA2:EJD2"/>
    <mergeCell ref="EJE2:EJH2"/>
    <mergeCell ref="EJI2:EJL2"/>
    <mergeCell ref="EJM2:EJP2"/>
    <mergeCell ref="EJQ2:EJT2"/>
    <mergeCell ref="EJU2:EJX2"/>
    <mergeCell ref="EIC2:EIF2"/>
    <mergeCell ref="EIG2:EIJ2"/>
    <mergeCell ref="EIK2:EIN2"/>
    <mergeCell ref="EIO2:EIR2"/>
    <mergeCell ref="EIS2:EIV2"/>
    <mergeCell ref="EIW2:EIZ2"/>
    <mergeCell ref="EHE2:EHH2"/>
    <mergeCell ref="EHI2:EHL2"/>
    <mergeCell ref="EHM2:EHP2"/>
    <mergeCell ref="EHQ2:EHT2"/>
    <mergeCell ref="EHU2:EHX2"/>
    <mergeCell ref="EHY2:EIB2"/>
    <mergeCell ref="EGG2:EGJ2"/>
    <mergeCell ref="EGK2:EGN2"/>
    <mergeCell ref="EGO2:EGR2"/>
    <mergeCell ref="EGS2:EGV2"/>
    <mergeCell ref="EGW2:EGZ2"/>
    <mergeCell ref="EHA2:EHD2"/>
    <mergeCell ref="EFI2:EFL2"/>
    <mergeCell ref="EFM2:EFP2"/>
    <mergeCell ref="EFQ2:EFT2"/>
    <mergeCell ref="EFU2:EFX2"/>
    <mergeCell ref="EFY2:EGB2"/>
    <mergeCell ref="EGC2:EGF2"/>
    <mergeCell ref="EEK2:EEN2"/>
    <mergeCell ref="EEO2:EER2"/>
    <mergeCell ref="EES2:EEV2"/>
    <mergeCell ref="EEW2:EEZ2"/>
    <mergeCell ref="EFA2:EFD2"/>
    <mergeCell ref="EFE2:EFH2"/>
    <mergeCell ref="EDM2:EDP2"/>
    <mergeCell ref="EDQ2:EDT2"/>
    <mergeCell ref="EDU2:EDX2"/>
    <mergeCell ref="EDY2:EEB2"/>
    <mergeCell ref="EEC2:EEF2"/>
    <mergeCell ref="EEG2:EEJ2"/>
    <mergeCell ref="ECO2:ECR2"/>
    <mergeCell ref="ECS2:ECV2"/>
    <mergeCell ref="ECW2:ECZ2"/>
    <mergeCell ref="EDA2:EDD2"/>
    <mergeCell ref="EDE2:EDH2"/>
    <mergeCell ref="EDI2:EDL2"/>
    <mergeCell ref="EBQ2:EBT2"/>
    <mergeCell ref="EBU2:EBX2"/>
    <mergeCell ref="EBY2:ECB2"/>
    <mergeCell ref="ECC2:ECF2"/>
    <mergeCell ref="ECG2:ECJ2"/>
    <mergeCell ref="ECK2:ECN2"/>
    <mergeCell ref="EAS2:EAV2"/>
    <mergeCell ref="EAW2:EAZ2"/>
    <mergeCell ref="EBA2:EBD2"/>
    <mergeCell ref="EBE2:EBH2"/>
    <mergeCell ref="EBI2:EBL2"/>
    <mergeCell ref="EBM2:EBP2"/>
    <mergeCell ref="DZU2:DZX2"/>
    <mergeCell ref="DZY2:EAB2"/>
    <mergeCell ref="EAC2:EAF2"/>
    <mergeCell ref="EAG2:EAJ2"/>
    <mergeCell ref="EAK2:EAN2"/>
    <mergeCell ref="EAO2:EAR2"/>
    <mergeCell ref="DYW2:DYZ2"/>
    <mergeCell ref="DZA2:DZD2"/>
    <mergeCell ref="DZE2:DZH2"/>
    <mergeCell ref="DZI2:DZL2"/>
    <mergeCell ref="DZM2:DZP2"/>
    <mergeCell ref="DZQ2:DZT2"/>
    <mergeCell ref="DXY2:DYB2"/>
    <mergeCell ref="DYC2:DYF2"/>
    <mergeCell ref="DYG2:DYJ2"/>
    <mergeCell ref="DYK2:DYN2"/>
    <mergeCell ref="DYO2:DYR2"/>
    <mergeCell ref="DYS2:DYV2"/>
    <mergeCell ref="DXA2:DXD2"/>
    <mergeCell ref="DXE2:DXH2"/>
    <mergeCell ref="DXI2:DXL2"/>
    <mergeCell ref="DXM2:DXP2"/>
    <mergeCell ref="DXQ2:DXT2"/>
    <mergeCell ref="DXU2:DXX2"/>
    <mergeCell ref="DWC2:DWF2"/>
    <mergeCell ref="DWG2:DWJ2"/>
    <mergeCell ref="DWK2:DWN2"/>
    <mergeCell ref="DWO2:DWR2"/>
    <mergeCell ref="DWS2:DWV2"/>
    <mergeCell ref="DWW2:DWZ2"/>
    <mergeCell ref="DVE2:DVH2"/>
    <mergeCell ref="DVI2:DVL2"/>
    <mergeCell ref="DVM2:DVP2"/>
    <mergeCell ref="DVQ2:DVT2"/>
    <mergeCell ref="DVU2:DVX2"/>
    <mergeCell ref="DVY2:DWB2"/>
    <mergeCell ref="DUG2:DUJ2"/>
    <mergeCell ref="DUK2:DUN2"/>
    <mergeCell ref="DUO2:DUR2"/>
    <mergeCell ref="DUS2:DUV2"/>
    <mergeCell ref="DUW2:DUZ2"/>
    <mergeCell ref="DVA2:DVD2"/>
    <mergeCell ref="DTI2:DTL2"/>
    <mergeCell ref="DTM2:DTP2"/>
    <mergeCell ref="DTQ2:DTT2"/>
    <mergeCell ref="DTU2:DTX2"/>
    <mergeCell ref="DTY2:DUB2"/>
    <mergeCell ref="DUC2:DUF2"/>
    <mergeCell ref="DSK2:DSN2"/>
    <mergeCell ref="DSO2:DSR2"/>
    <mergeCell ref="DSS2:DSV2"/>
    <mergeCell ref="DSW2:DSZ2"/>
    <mergeCell ref="DTA2:DTD2"/>
    <mergeCell ref="DTE2:DTH2"/>
    <mergeCell ref="DRM2:DRP2"/>
    <mergeCell ref="DRQ2:DRT2"/>
    <mergeCell ref="DRU2:DRX2"/>
    <mergeCell ref="DRY2:DSB2"/>
    <mergeCell ref="DSC2:DSF2"/>
    <mergeCell ref="DSG2:DSJ2"/>
    <mergeCell ref="DQO2:DQR2"/>
    <mergeCell ref="DQS2:DQV2"/>
    <mergeCell ref="DQW2:DQZ2"/>
    <mergeCell ref="DRA2:DRD2"/>
    <mergeCell ref="DRE2:DRH2"/>
    <mergeCell ref="DRI2:DRL2"/>
    <mergeCell ref="DPQ2:DPT2"/>
    <mergeCell ref="DPU2:DPX2"/>
    <mergeCell ref="DPY2:DQB2"/>
    <mergeCell ref="DQC2:DQF2"/>
    <mergeCell ref="DQG2:DQJ2"/>
    <mergeCell ref="DQK2:DQN2"/>
    <mergeCell ref="DOS2:DOV2"/>
    <mergeCell ref="DOW2:DOZ2"/>
    <mergeCell ref="DPA2:DPD2"/>
    <mergeCell ref="DPE2:DPH2"/>
    <mergeCell ref="DPI2:DPL2"/>
    <mergeCell ref="DPM2:DPP2"/>
    <mergeCell ref="DNU2:DNX2"/>
    <mergeCell ref="DNY2:DOB2"/>
    <mergeCell ref="DOC2:DOF2"/>
    <mergeCell ref="DOG2:DOJ2"/>
    <mergeCell ref="DOK2:DON2"/>
    <mergeCell ref="DOO2:DOR2"/>
    <mergeCell ref="DMW2:DMZ2"/>
    <mergeCell ref="DNA2:DND2"/>
    <mergeCell ref="DNE2:DNH2"/>
    <mergeCell ref="DNI2:DNL2"/>
    <mergeCell ref="DNM2:DNP2"/>
    <mergeCell ref="DNQ2:DNT2"/>
    <mergeCell ref="DLY2:DMB2"/>
    <mergeCell ref="DMC2:DMF2"/>
    <mergeCell ref="DMG2:DMJ2"/>
    <mergeCell ref="DMK2:DMN2"/>
    <mergeCell ref="DMO2:DMR2"/>
    <mergeCell ref="DMS2:DMV2"/>
    <mergeCell ref="DLA2:DLD2"/>
    <mergeCell ref="DLE2:DLH2"/>
    <mergeCell ref="DLI2:DLL2"/>
    <mergeCell ref="DLM2:DLP2"/>
    <mergeCell ref="DLQ2:DLT2"/>
    <mergeCell ref="DLU2:DLX2"/>
    <mergeCell ref="DKC2:DKF2"/>
    <mergeCell ref="DKG2:DKJ2"/>
    <mergeCell ref="DKK2:DKN2"/>
    <mergeCell ref="DKO2:DKR2"/>
    <mergeCell ref="DKS2:DKV2"/>
    <mergeCell ref="DKW2:DKZ2"/>
    <mergeCell ref="DJE2:DJH2"/>
    <mergeCell ref="DJI2:DJL2"/>
    <mergeCell ref="DJM2:DJP2"/>
    <mergeCell ref="DJQ2:DJT2"/>
    <mergeCell ref="DJU2:DJX2"/>
    <mergeCell ref="DJY2:DKB2"/>
    <mergeCell ref="DIG2:DIJ2"/>
    <mergeCell ref="DIK2:DIN2"/>
    <mergeCell ref="DIO2:DIR2"/>
    <mergeCell ref="DIS2:DIV2"/>
    <mergeCell ref="DIW2:DIZ2"/>
    <mergeCell ref="DJA2:DJD2"/>
    <mergeCell ref="DHI2:DHL2"/>
    <mergeCell ref="DHM2:DHP2"/>
    <mergeCell ref="DHQ2:DHT2"/>
    <mergeCell ref="DHU2:DHX2"/>
    <mergeCell ref="DHY2:DIB2"/>
    <mergeCell ref="DIC2:DIF2"/>
    <mergeCell ref="DGK2:DGN2"/>
    <mergeCell ref="DGO2:DGR2"/>
    <mergeCell ref="DGS2:DGV2"/>
    <mergeCell ref="DGW2:DGZ2"/>
    <mergeCell ref="DHA2:DHD2"/>
    <mergeCell ref="DHE2:DHH2"/>
    <mergeCell ref="DFM2:DFP2"/>
    <mergeCell ref="DFQ2:DFT2"/>
    <mergeCell ref="DFU2:DFX2"/>
    <mergeCell ref="DFY2:DGB2"/>
    <mergeCell ref="DGC2:DGF2"/>
    <mergeCell ref="DGG2:DGJ2"/>
    <mergeCell ref="DEO2:DER2"/>
    <mergeCell ref="DES2:DEV2"/>
    <mergeCell ref="DEW2:DEZ2"/>
    <mergeCell ref="DFA2:DFD2"/>
    <mergeCell ref="DFE2:DFH2"/>
    <mergeCell ref="DFI2:DFL2"/>
    <mergeCell ref="DDQ2:DDT2"/>
    <mergeCell ref="DDU2:DDX2"/>
    <mergeCell ref="DDY2:DEB2"/>
    <mergeCell ref="DEC2:DEF2"/>
    <mergeCell ref="DEG2:DEJ2"/>
    <mergeCell ref="DEK2:DEN2"/>
    <mergeCell ref="DCS2:DCV2"/>
    <mergeCell ref="DCW2:DCZ2"/>
    <mergeCell ref="DDA2:DDD2"/>
    <mergeCell ref="DDE2:DDH2"/>
    <mergeCell ref="DDI2:DDL2"/>
    <mergeCell ref="DDM2:DDP2"/>
    <mergeCell ref="DBU2:DBX2"/>
    <mergeCell ref="DBY2:DCB2"/>
    <mergeCell ref="DCC2:DCF2"/>
    <mergeCell ref="DCG2:DCJ2"/>
    <mergeCell ref="DCK2:DCN2"/>
    <mergeCell ref="DCO2:DCR2"/>
    <mergeCell ref="DAW2:DAZ2"/>
    <mergeCell ref="DBA2:DBD2"/>
    <mergeCell ref="DBE2:DBH2"/>
    <mergeCell ref="DBI2:DBL2"/>
    <mergeCell ref="DBM2:DBP2"/>
    <mergeCell ref="DBQ2:DBT2"/>
    <mergeCell ref="CZY2:DAB2"/>
    <mergeCell ref="DAC2:DAF2"/>
    <mergeCell ref="DAG2:DAJ2"/>
    <mergeCell ref="DAK2:DAN2"/>
    <mergeCell ref="DAO2:DAR2"/>
    <mergeCell ref="DAS2:DAV2"/>
    <mergeCell ref="CZA2:CZD2"/>
    <mergeCell ref="CZE2:CZH2"/>
    <mergeCell ref="CZI2:CZL2"/>
    <mergeCell ref="CZM2:CZP2"/>
    <mergeCell ref="CZQ2:CZT2"/>
    <mergeCell ref="CZU2:CZX2"/>
    <mergeCell ref="CYC2:CYF2"/>
    <mergeCell ref="CYG2:CYJ2"/>
    <mergeCell ref="CYK2:CYN2"/>
    <mergeCell ref="CYO2:CYR2"/>
    <mergeCell ref="CYS2:CYV2"/>
    <mergeCell ref="CYW2:CYZ2"/>
    <mergeCell ref="CXE2:CXH2"/>
    <mergeCell ref="CXI2:CXL2"/>
    <mergeCell ref="CXM2:CXP2"/>
    <mergeCell ref="CXQ2:CXT2"/>
    <mergeCell ref="CXU2:CXX2"/>
    <mergeCell ref="CXY2:CYB2"/>
    <mergeCell ref="CWG2:CWJ2"/>
    <mergeCell ref="CWK2:CWN2"/>
    <mergeCell ref="CWO2:CWR2"/>
    <mergeCell ref="CWS2:CWV2"/>
    <mergeCell ref="CWW2:CWZ2"/>
    <mergeCell ref="CXA2:CXD2"/>
    <mergeCell ref="CVI2:CVL2"/>
    <mergeCell ref="CVM2:CVP2"/>
    <mergeCell ref="CVQ2:CVT2"/>
    <mergeCell ref="CVU2:CVX2"/>
    <mergeCell ref="CVY2:CWB2"/>
    <mergeCell ref="CWC2:CWF2"/>
    <mergeCell ref="CUK2:CUN2"/>
    <mergeCell ref="CUO2:CUR2"/>
    <mergeCell ref="CUS2:CUV2"/>
    <mergeCell ref="CUW2:CUZ2"/>
    <mergeCell ref="CVA2:CVD2"/>
    <mergeCell ref="CVE2:CVH2"/>
    <mergeCell ref="CTM2:CTP2"/>
    <mergeCell ref="CTQ2:CTT2"/>
    <mergeCell ref="CTU2:CTX2"/>
    <mergeCell ref="CTY2:CUB2"/>
    <mergeCell ref="CUC2:CUF2"/>
    <mergeCell ref="CUG2:CUJ2"/>
    <mergeCell ref="CSO2:CSR2"/>
    <mergeCell ref="CSS2:CSV2"/>
    <mergeCell ref="CSW2:CSZ2"/>
    <mergeCell ref="CTA2:CTD2"/>
    <mergeCell ref="CTE2:CTH2"/>
    <mergeCell ref="CTI2:CTL2"/>
    <mergeCell ref="CRQ2:CRT2"/>
    <mergeCell ref="CRU2:CRX2"/>
    <mergeCell ref="CRY2:CSB2"/>
    <mergeCell ref="CSC2:CSF2"/>
    <mergeCell ref="CSG2:CSJ2"/>
    <mergeCell ref="CSK2:CSN2"/>
    <mergeCell ref="CQS2:CQV2"/>
    <mergeCell ref="CQW2:CQZ2"/>
    <mergeCell ref="CRA2:CRD2"/>
    <mergeCell ref="CRE2:CRH2"/>
    <mergeCell ref="CRI2:CRL2"/>
    <mergeCell ref="CRM2:CRP2"/>
    <mergeCell ref="CPU2:CPX2"/>
    <mergeCell ref="CPY2:CQB2"/>
    <mergeCell ref="CQC2:CQF2"/>
    <mergeCell ref="CQG2:CQJ2"/>
    <mergeCell ref="CQK2:CQN2"/>
    <mergeCell ref="CQO2:CQR2"/>
    <mergeCell ref="COW2:COZ2"/>
    <mergeCell ref="CPA2:CPD2"/>
    <mergeCell ref="CPE2:CPH2"/>
    <mergeCell ref="CPI2:CPL2"/>
    <mergeCell ref="CPM2:CPP2"/>
    <mergeCell ref="CPQ2:CPT2"/>
    <mergeCell ref="CNY2:COB2"/>
    <mergeCell ref="COC2:COF2"/>
    <mergeCell ref="COG2:COJ2"/>
    <mergeCell ref="COK2:CON2"/>
    <mergeCell ref="COO2:COR2"/>
    <mergeCell ref="COS2:COV2"/>
    <mergeCell ref="CNA2:CND2"/>
    <mergeCell ref="CNE2:CNH2"/>
    <mergeCell ref="CNI2:CNL2"/>
    <mergeCell ref="CNM2:CNP2"/>
    <mergeCell ref="CNQ2:CNT2"/>
    <mergeCell ref="CNU2:CNX2"/>
    <mergeCell ref="CMC2:CMF2"/>
    <mergeCell ref="CMG2:CMJ2"/>
    <mergeCell ref="CMK2:CMN2"/>
    <mergeCell ref="CMO2:CMR2"/>
    <mergeCell ref="CMS2:CMV2"/>
    <mergeCell ref="CMW2:CMZ2"/>
    <mergeCell ref="CLE2:CLH2"/>
    <mergeCell ref="CLI2:CLL2"/>
    <mergeCell ref="CLM2:CLP2"/>
    <mergeCell ref="CLQ2:CLT2"/>
    <mergeCell ref="CLU2:CLX2"/>
    <mergeCell ref="CLY2:CMB2"/>
    <mergeCell ref="CKG2:CKJ2"/>
    <mergeCell ref="CKK2:CKN2"/>
    <mergeCell ref="CKO2:CKR2"/>
    <mergeCell ref="CKS2:CKV2"/>
    <mergeCell ref="CKW2:CKZ2"/>
    <mergeCell ref="CLA2:CLD2"/>
    <mergeCell ref="CJI2:CJL2"/>
    <mergeCell ref="CJM2:CJP2"/>
    <mergeCell ref="CJQ2:CJT2"/>
    <mergeCell ref="CJU2:CJX2"/>
    <mergeCell ref="CJY2:CKB2"/>
    <mergeCell ref="CKC2:CKF2"/>
    <mergeCell ref="CIK2:CIN2"/>
    <mergeCell ref="CIO2:CIR2"/>
    <mergeCell ref="CIS2:CIV2"/>
    <mergeCell ref="CIW2:CIZ2"/>
    <mergeCell ref="CJA2:CJD2"/>
    <mergeCell ref="CJE2:CJH2"/>
    <mergeCell ref="CHM2:CHP2"/>
    <mergeCell ref="CHQ2:CHT2"/>
    <mergeCell ref="CHU2:CHX2"/>
    <mergeCell ref="CHY2:CIB2"/>
    <mergeCell ref="CIC2:CIF2"/>
    <mergeCell ref="CIG2:CIJ2"/>
    <mergeCell ref="CGO2:CGR2"/>
    <mergeCell ref="CGS2:CGV2"/>
    <mergeCell ref="CGW2:CGZ2"/>
    <mergeCell ref="CHA2:CHD2"/>
    <mergeCell ref="CHE2:CHH2"/>
    <mergeCell ref="CHI2:CHL2"/>
    <mergeCell ref="CFQ2:CFT2"/>
    <mergeCell ref="CFU2:CFX2"/>
    <mergeCell ref="CFY2:CGB2"/>
    <mergeCell ref="CGC2:CGF2"/>
    <mergeCell ref="CGG2:CGJ2"/>
    <mergeCell ref="CGK2:CGN2"/>
    <mergeCell ref="CES2:CEV2"/>
    <mergeCell ref="CEW2:CEZ2"/>
    <mergeCell ref="CFA2:CFD2"/>
    <mergeCell ref="CFE2:CFH2"/>
    <mergeCell ref="CFI2:CFL2"/>
    <mergeCell ref="CFM2:CFP2"/>
    <mergeCell ref="CDU2:CDX2"/>
    <mergeCell ref="CDY2:CEB2"/>
    <mergeCell ref="CEC2:CEF2"/>
    <mergeCell ref="CEG2:CEJ2"/>
    <mergeCell ref="CEK2:CEN2"/>
    <mergeCell ref="CEO2:CER2"/>
    <mergeCell ref="CCW2:CCZ2"/>
    <mergeCell ref="CDA2:CDD2"/>
    <mergeCell ref="CDE2:CDH2"/>
    <mergeCell ref="CDI2:CDL2"/>
    <mergeCell ref="CDM2:CDP2"/>
    <mergeCell ref="CDQ2:CDT2"/>
    <mergeCell ref="CBY2:CCB2"/>
    <mergeCell ref="CCC2:CCF2"/>
    <mergeCell ref="CCG2:CCJ2"/>
    <mergeCell ref="CCK2:CCN2"/>
    <mergeCell ref="CCO2:CCR2"/>
    <mergeCell ref="CCS2:CCV2"/>
    <mergeCell ref="CBA2:CBD2"/>
    <mergeCell ref="CBE2:CBH2"/>
    <mergeCell ref="CBI2:CBL2"/>
    <mergeCell ref="CBM2:CBP2"/>
    <mergeCell ref="CBQ2:CBT2"/>
    <mergeCell ref="CBU2:CBX2"/>
    <mergeCell ref="CAC2:CAF2"/>
    <mergeCell ref="CAG2:CAJ2"/>
    <mergeCell ref="CAK2:CAN2"/>
    <mergeCell ref="CAO2:CAR2"/>
    <mergeCell ref="CAS2:CAV2"/>
    <mergeCell ref="CAW2:CAZ2"/>
    <mergeCell ref="BZE2:BZH2"/>
    <mergeCell ref="BZI2:BZL2"/>
    <mergeCell ref="BZM2:BZP2"/>
    <mergeCell ref="BZQ2:BZT2"/>
    <mergeCell ref="BZU2:BZX2"/>
    <mergeCell ref="BZY2:CAB2"/>
    <mergeCell ref="BYG2:BYJ2"/>
    <mergeCell ref="BYK2:BYN2"/>
    <mergeCell ref="BYO2:BYR2"/>
    <mergeCell ref="BYS2:BYV2"/>
    <mergeCell ref="BYW2:BYZ2"/>
    <mergeCell ref="BZA2:BZD2"/>
    <mergeCell ref="BXI2:BXL2"/>
    <mergeCell ref="BXM2:BXP2"/>
    <mergeCell ref="BXQ2:BXT2"/>
    <mergeCell ref="BXU2:BXX2"/>
    <mergeCell ref="BXY2:BYB2"/>
    <mergeCell ref="BYC2:BYF2"/>
    <mergeCell ref="BWK2:BWN2"/>
    <mergeCell ref="BWO2:BWR2"/>
    <mergeCell ref="BWS2:BWV2"/>
    <mergeCell ref="BWW2:BWZ2"/>
    <mergeCell ref="BXA2:BXD2"/>
    <mergeCell ref="BXE2:BXH2"/>
    <mergeCell ref="BVM2:BVP2"/>
    <mergeCell ref="BVQ2:BVT2"/>
    <mergeCell ref="BVU2:BVX2"/>
    <mergeCell ref="BVY2:BWB2"/>
    <mergeCell ref="BWC2:BWF2"/>
    <mergeCell ref="BWG2:BWJ2"/>
    <mergeCell ref="BUO2:BUR2"/>
    <mergeCell ref="BUS2:BUV2"/>
    <mergeCell ref="BUW2:BUZ2"/>
    <mergeCell ref="BVA2:BVD2"/>
    <mergeCell ref="BVE2:BVH2"/>
    <mergeCell ref="BVI2:BVL2"/>
    <mergeCell ref="BTQ2:BTT2"/>
    <mergeCell ref="BTU2:BTX2"/>
    <mergeCell ref="BTY2:BUB2"/>
    <mergeCell ref="BUC2:BUF2"/>
    <mergeCell ref="BUG2:BUJ2"/>
    <mergeCell ref="BUK2:BUN2"/>
    <mergeCell ref="BSS2:BSV2"/>
    <mergeCell ref="BSW2:BSZ2"/>
    <mergeCell ref="BTA2:BTD2"/>
    <mergeCell ref="BTE2:BTH2"/>
    <mergeCell ref="BTI2:BTL2"/>
    <mergeCell ref="BTM2:BTP2"/>
    <mergeCell ref="BRU2:BRX2"/>
    <mergeCell ref="BRY2:BSB2"/>
    <mergeCell ref="BSC2:BSF2"/>
    <mergeCell ref="BSG2:BSJ2"/>
    <mergeCell ref="BSK2:BSN2"/>
    <mergeCell ref="BSO2:BSR2"/>
    <mergeCell ref="BQW2:BQZ2"/>
    <mergeCell ref="BRA2:BRD2"/>
    <mergeCell ref="BRE2:BRH2"/>
    <mergeCell ref="BRI2:BRL2"/>
    <mergeCell ref="BRM2:BRP2"/>
    <mergeCell ref="BRQ2:BRT2"/>
    <mergeCell ref="BPY2:BQB2"/>
    <mergeCell ref="BQC2:BQF2"/>
    <mergeCell ref="BQG2:BQJ2"/>
    <mergeCell ref="BQK2:BQN2"/>
    <mergeCell ref="BQO2:BQR2"/>
    <mergeCell ref="BQS2:BQV2"/>
    <mergeCell ref="BPA2:BPD2"/>
    <mergeCell ref="BPE2:BPH2"/>
    <mergeCell ref="BPI2:BPL2"/>
    <mergeCell ref="BPM2:BPP2"/>
    <mergeCell ref="BPQ2:BPT2"/>
    <mergeCell ref="BPU2:BPX2"/>
    <mergeCell ref="BOC2:BOF2"/>
    <mergeCell ref="BOG2:BOJ2"/>
    <mergeCell ref="BOK2:BON2"/>
    <mergeCell ref="BOO2:BOR2"/>
    <mergeCell ref="BOS2:BOV2"/>
    <mergeCell ref="BOW2:BOZ2"/>
    <mergeCell ref="BNE2:BNH2"/>
    <mergeCell ref="BNI2:BNL2"/>
    <mergeCell ref="BNM2:BNP2"/>
    <mergeCell ref="BNQ2:BNT2"/>
    <mergeCell ref="BNU2:BNX2"/>
    <mergeCell ref="BNY2:BOB2"/>
    <mergeCell ref="BMG2:BMJ2"/>
    <mergeCell ref="BMK2:BMN2"/>
    <mergeCell ref="BMO2:BMR2"/>
    <mergeCell ref="BMS2:BMV2"/>
    <mergeCell ref="BMW2:BMZ2"/>
    <mergeCell ref="BNA2:BND2"/>
    <mergeCell ref="BLI2:BLL2"/>
    <mergeCell ref="BLM2:BLP2"/>
    <mergeCell ref="BLQ2:BLT2"/>
    <mergeCell ref="BLU2:BLX2"/>
    <mergeCell ref="BLY2:BMB2"/>
    <mergeCell ref="BMC2:BMF2"/>
    <mergeCell ref="BKK2:BKN2"/>
    <mergeCell ref="BKO2:BKR2"/>
    <mergeCell ref="BKS2:BKV2"/>
    <mergeCell ref="BKW2:BKZ2"/>
    <mergeCell ref="BLA2:BLD2"/>
    <mergeCell ref="BLE2:BLH2"/>
    <mergeCell ref="BJM2:BJP2"/>
    <mergeCell ref="BJQ2:BJT2"/>
    <mergeCell ref="BJU2:BJX2"/>
    <mergeCell ref="BJY2:BKB2"/>
    <mergeCell ref="BKC2:BKF2"/>
    <mergeCell ref="BKG2:BKJ2"/>
    <mergeCell ref="BIO2:BIR2"/>
    <mergeCell ref="BIS2:BIV2"/>
    <mergeCell ref="BIW2:BIZ2"/>
    <mergeCell ref="BJA2:BJD2"/>
    <mergeCell ref="BJE2:BJH2"/>
    <mergeCell ref="BJI2:BJL2"/>
    <mergeCell ref="BHQ2:BHT2"/>
    <mergeCell ref="BHU2:BHX2"/>
    <mergeCell ref="BHY2:BIB2"/>
    <mergeCell ref="BIC2:BIF2"/>
    <mergeCell ref="BIG2:BIJ2"/>
    <mergeCell ref="BIK2:BIN2"/>
    <mergeCell ref="BGS2:BGV2"/>
    <mergeCell ref="BGW2:BGZ2"/>
    <mergeCell ref="BHA2:BHD2"/>
    <mergeCell ref="BHE2:BHH2"/>
    <mergeCell ref="BHI2:BHL2"/>
    <mergeCell ref="BHM2:BHP2"/>
    <mergeCell ref="BFU2:BFX2"/>
    <mergeCell ref="BFY2:BGB2"/>
    <mergeCell ref="BGC2:BGF2"/>
    <mergeCell ref="BGG2:BGJ2"/>
    <mergeCell ref="BGK2:BGN2"/>
    <mergeCell ref="BGO2:BGR2"/>
    <mergeCell ref="BEW2:BEZ2"/>
    <mergeCell ref="BFA2:BFD2"/>
    <mergeCell ref="BFE2:BFH2"/>
    <mergeCell ref="BFI2:BFL2"/>
    <mergeCell ref="BFM2:BFP2"/>
    <mergeCell ref="BFQ2:BFT2"/>
    <mergeCell ref="BDY2:BEB2"/>
    <mergeCell ref="BEC2:BEF2"/>
    <mergeCell ref="BEG2:BEJ2"/>
    <mergeCell ref="BEK2:BEN2"/>
    <mergeCell ref="BEO2:BER2"/>
    <mergeCell ref="BES2:BEV2"/>
    <mergeCell ref="BDA2:BDD2"/>
    <mergeCell ref="BDE2:BDH2"/>
    <mergeCell ref="BDI2:BDL2"/>
    <mergeCell ref="BDM2:BDP2"/>
    <mergeCell ref="BDQ2:BDT2"/>
    <mergeCell ref="BDU2:BDX2"/>
    <mergeCell ref="BCC2:BCF2"/>
    <mergeCell ref="BCG2:BCJ2"/>
    <mergeCell ref="BCK2:BCN2"/>
    <mergeCell ref="BCO2:BCR2"/>
    <mergeCell ref="BCS2:BCV2"/>
    <mergeCell ref="BCW2:BCZ2"/>
    <mergeCell ref="BBE2:BBH2"/>
    <mergeCell ref="BBI2:BBL2"/>
    <mergeCell ref="BBM2:BBP2"/>
    <mergeCell ref="BBQ2:BBT2"/>
    <mergeCell ref="BBU2:BBX2"/>
    <mergeCell ref="BBY2:BCB2"/>
    <mergeCell ref="BAG2:BAJ2"/>
    <mergeCell ref="BAK2:BAN2"/>
    <mergeCell ref="BAO2:BAR2"/>
    <mergeCell ref="BAS2:BAV2"/>
    <mergeCell ref="BAW2:BAZ2"/>
    <mergeCell ref="BBA2:BBD2"/>
    <mergeCell ref="AZI2:AZL2"/>
    <mergeCell ref="AZM2:AZP2"/>
    <mergeCell ref="AZQ2:AZT2"/>
    <mergeCell ref="AZU2:AZX2"/>
    <mergeCell ref="AZY2:BAB2"/>
    <mergeCell ref="BAC2:BAF2"/>
    <mergeCell ref="AYK2:AYN2"/>
    <mergeCell ref="AYO2:AYR2"/>
    <mergeCell ref="AYS2:AYV2"/>
    <mergeCell ref="AYW2:AYZ2"/>
    <mergeCell ref="AZA2:AZD2"/>
    <mergeCell ref="AZE2:AZH2"/>
    <mergeCell ref="AXM2:AXP2"/>
    <mergeCell ref="AXQ2:AXT2"/>
    <mergeCell ref="AXU2:AXX2"/>
    <mergeCell ref="AXY2:AYB2"/>
    <mergeCell ref="AYC2:AYF2"/>
    <mergeCell ref="AYG2:AYJ2"/>
    <mergeCell ref="AWO2:AWR2"/>
    <mergeCell ref="AWS2:AWV2"/>
    <mergeCell ref="AWW2:AWZ2"/>
    <mergeCell ref="AXA2:AXD2"/>
    <mergeCell ref="AXE2:AXH2"/>
    <mergeCell ref="AXI2:AXL2"/>
    <mergeCell ref="AVQ2:AVT2"/>
    <mergeCell ref="AVU2:AVX2"/>
    <mergeCell ref="AVY2:AWB2"/>
    <mergeCell ref="AWC2:AWF2"/>
    <mergeCell ref="AWG2:AWJ2"/>
    <mergeCell ref="AWK2:AWN2"/>
    <mergeCell ref="AUS2:AUV2"/>
    <mergeCell ref="AUW2:AUZ2"/>
    <mergeCell ref="AVA2:AVD2"/>
    <mergeCell ref="AVE2:AVH2"/>
    <mergeCell ref="AVI2:AVL2"/>
    <mergeCell ref="AVM2:AVP2"/>
    <mergeCell ref="ATU2:ATX2"/>
    <mergeCell ref="ATY2:AUB2"/>
    <mergeCell ref="AUC2:AUF2"/>
    <mergeCell ref="AUG2:AUJ2"/>
    <mergeCell ref="AUK2:AUN2"/>
    <mergeCell ref="AUO2:AUR2"/>
    <mergeCell ref="ASW2:ASZ2"/>
    <mergeCell ref="ATA2:ATD2"/>
    <mergeCell ref="ATE2:ATH2"/>
    <mergeCell ref="ATI2:ATL2"/>
    <mergeCell ref="ATM2:ATP2"/>
    <mergeCell ref="ATQ2:ATT2"/>
    <mergeCell ref="ARY2:ASB2"/>
    <mergeCell ref="ASC2:ASF2"/>
    <mergeCell ref="ASG2:ASJ2"/>
    <mergeCell ref="ASK2:ASN2"/>
    <mergeCell ref="ASO2:ASR2"/>
    <mergeCell ref="ASS2:ASV2"/>
    <mergeCell ref="ARA2:ARD2"/>
    <mergeCell ref="ARE2:ARH2"/>
    <mergeCell ref="ARI2:ARL2"/>
    <mergeCell ref="ARM2:ARP2"/>
    <mergeCell ref="ARQ2:ART2"/>
    <mergeCell ref="ARU2:ARX2"/>
    <mergeCell ref="AQC2:AQF2"/>
    <mergeCell ref="AQG2:AQJ2"/>
    <mergeCell ref="AQK2:AQN2"/>
    <mergeCell ref="AQO2:AQR2"/>
    <mergeCell ref="AQS2:AQV2"/>
    <mergeCell ref="AQW2:AQZ2"/>
    <mergeCell ref="APE2:APH2"/>
    <mergeCell ref="API2:APL2"/>
    <mergeCell ref="APM2:APP2"/>
    <mergeCell ref="APQ2:APT2"/>
    <mergeCell ref="APU2:APX2"/>
    <mergeCell ref="APY2:AQB2"/>
    <mergeCell ref="AOG2:AOJ2"/>
    <mergeCell ref="AOK2:AON2"/>
    <mergeCell ref="AOO2:AOR2"/>
    <mergeCell ref="AOS2:AOV2"/>
    <mergeCell ref="AOW2:AOZ2"/>
    <mergeCell ref="APA2:APD2"/>
    <mergeCell ref="ANI2:ANL2"/>
    <mergeCell ref="ANM2:ANP2"/>
    <mergeCell ref="ANQ2:ANT2"/>
    <mergeCell ref="ANU2:ANX2"/>
    <mergeCell ref="ANY2:AOB2"/>
    <mergeCell ref="AOC2:AOF2"/>
    <mergeCell ref="AMK2:AMN2"/>
    <mergeCell ref="AMO2:AMR2"/>
    <mergeCell ref="AMS2:AMV2"/>
    <mergeCell ref="AMW2:AMZ2"/>
    <mergeCell ref="ANA2:AND2"/>
    <mergeCell ref="ANE2:ANH2"/>
    <mergeCell ref="ALM2:ALP2"/>
    <mergeCell ref="ALQ2:ALT2"/>
    <mergeCell ref="ALU2:ALX2"/>
    <mergeCell ref="ALY2:AMB2"/>
    <mergeCell ref="AMC2:AMF2"/>
    <mergeCell ref="AMG2:AMJ2"/>
    <mergeCell ref="AKO2:AKR2"/>
    <mergeCell ref="AKS2:AKV2"/>
    <mergeCell ref="AKW2:AKZ2"/>
    <mergeCell ref="ALA2:ALD2"/>
    <mergeCell ref="ALE2:ALH2"/>
    <mergeCell ref="ALI2:ALL2"/>
    <mergeCell ref="AJQ2:AJT2"/>
    <mergeCell ref="AJU2:AJX2"/>
    <mergeCell ref="AJY2:AKB2"/>
    <mergeCell ref="AKC2:AKF2"/>
    <mergeCell ref="AKG2:AKJ2"/>
    <mergeCell ref="AKK2:AKN2"/>
    <mergeCell ref="AIS2:AIV2"/>
    <mergeCell ref="AIW2:AIZ2"/>
    <mergeCell ref="AJA2:AJD2"/>
    <mergeCell ref="AJE2:AJH2"/>
    <mergeCell ref="AJI2:AJL2"/>
    <mergeCell ref="AJM2:AJP2"/>
    <mergeCell ref="AHU2:AHX2"/>
    <mergeCell ref="AHY2:AIB2"/>
    <mergeCell ref="AIC2:AIF2"/>
    <mergeCell ref="AIG2:AIJ2"/>
    <mergeCell ref="AIK2:AIN2"/>
    <mergeCell ref="AIO2:AIR2"/>
    <mergeCell ref="AGW2:AGZ2"/>
    <mergeCell ref="AHA2:AHD2"/>
    <mergeCell ref="AHE2:AHH2"/>
    <mergeCell ref="AHI2:AHL2"/>
    <mergeCell ref="AHM2:AHP2"/>
    <mergeCell ref="AHQ2:AHT2"/>
    <mergeCell ref="AFY2:AGB2"/>
    <mergeCell ref="AGC2:AGF2"/>
    <mergeCell ref="AGG2:AGJ2"/>
    <mergeCell ref="AGK2:AGN2"/>
    <mergeCell ref="AGO2:AGR2"/>
    <mergeCell ref="AGS2:AGV2"/>
    <mergeCell ref="AFA2:AFD2"/>
    <mergeCell ref="AFE2:AFH2"/>
    <mergeCell ref="AFI2:AFL2"/>
    <mergeCell ref="AFM2:AFP2"/>
    <mergeCell ref="AFQ2:AFT2"/>
    <mergeCell ref="AFU2:AFX2"/>
    <mergeCell ref="AEC2:AEF2"/>
    <mergeCell ref="AEG2:AEJ2"/>
    <mergeCell ref="AEK2:AEN2"/>
    <mergeCell ref="AEO2:AER2"/>
    <mergeCell ref="AES2:AEV2"/>
    <mergeCell ref="AEW2:AEZ2"/>
    <mergeCell ref="ADE2:ADH2"/>
    <mergeCell ref="ADI2:ADL2"/>
    <mergeCell ref="ADM2:ADP2"/>
    <mergeCell ref="ADQ2:ADT2"/>
    <mergeCell ref="ADU2:ADX2"/>
    <mergeCell ref="ADY2:AEB2"/>
    <mergeCell ref="ACG2:ACJ2"/>
    <mergeCell ref="ACK2:ACN2"/>
    <mergeCell ref="ACO2:ACR2"/>
    <mergeCell ref="ACS2:ACV2"/>
    <mergeCell ref="ACW2:ACZ2"/>
    <mergeCell ref="ADA2:ADD2"/>
    <mergeCell ref="ABI2:ABL2"/>
    <mergeCell ref="ABM2:ABP2"/>
    <mergeCell ref="ABQ2:ABT2"/>
    <mergeCell ref="ABU2:ABX2"/>
    <mergeCell ref="ABY2:ACB2"/>
    <mergeCell ref="ACC2:ACF2"/>
    <mergeCell ref="AAK2:AAN2"/>
    <mergeCell ref="AAO2:AAR2"/>
    <mergeCell ref="AAS2:AAV2"/>
    <mergeCell ref="AAW2:AAZ2"/>
    <mergeCell ref="ABA2:ABD2"/>
    <mergeCell ref="ABE2:ABH2"/>
    <mergeCell ref="ZM2:ZP2"/>
    <mergeCell ref="ZQ2:ZT2"/>
    <mergeCell ref="ZU2:ZX2"/>
    <mergeCell ref="ZY2:AAB2"/>
    <mergeCell ref="AAC2:AAF2"/>
    <mergeCell ref="AAG2:AAJ2"/>
    <mergeCell ref="YO2:YR2"/>
    <mergeCell ref="YS2:YV2"/>
    <mergeCell ref="YW2:YZ2"/>
    <mergeCell ref="ZA2:ZD2"/>
    <mergeCell ref="ZE2:ZH2"/>
    <mergeCell ref="ZI2:ZL2"/>
    <mergeCell ref="XQ2:XT2"/>
    <mergeCell ref="XU2:XX2"/>
    <mergeCell ref="XY2:YB2"/>
    <mergeCell ref="YC2:YF2"/>
    <mergeCell ref="YG2:YJ2"/>
    <mergeCell ref="YK2:YN2"/>
    <mergeCell ref="WS2:WV2"/>
    <mergeCell ref="WW2:WZ2"/>
    <mergeCell ref="XA2:XD2"/>
    <mergeCell ref="XE2:XH2"/>
    <mergeCell ref="XI2:XL2"/>
    <mergeCell ref="XM2:XP2"/>
    <mergeCell ref="VU2:VX2"/>
    <mergeCell ref="VY2:WB2"/>
    <mergeCell ref="WC2:WF2"/>
    <mergeCell ref="WG2:WJ2"/>
    <mergeCell ref="WK2:WN2"/>
    <mergeCell ref="WO2:WR2"/>
    <mergeCell ref="UW2:UZ2"/>
    <mergeCell ref="VA2:VD2"/>
    <mergeCell ref="VE2:VH2"/>
    <mergeCell ref="VI2:VL2"/>
    <mergeCell ref="VM2:VP2"/>
    <mergeCell ref="VQ2:VT2"/>
    <mergeCell ref="TY2:UB2"/>
    <mergeCell ref="UC2:UF2"/>
    <mergeCell ref="UG2:UJ2"/>
    <mergeCell ref="UK2:UN2"/>
    <mergeCell ref="UO2:UR2"/>
    <mergeCell ref="US2:UV2"/>
    <mergeCell ref="TA2:TD2"/>
    <mergeCell ref="TE2:TH2"/>
    <mergeCell ref="TI2:TL2"/>
    <mergeCell ref="TM2:TP2"/>
    <mergeCell ref="TQ2:TT2"/>
    <mergeCell ref="TU2:TX2"/>
    <mergeCell ref="SC2:SF2"/>
    <mergeCell ref="SG2:SJ2"/>
    <mergeCell ref="SK2:SN2"/>
    <mergeCell ref="SO2:SR2"/>
    <mergeCell ref="SS2:SV2"/>
    <mergeCell ref="SW2:SZ2"/>
    <mergeCell ref="RE2:RH2"/>
    <mergeCell ref="RI2:RL2"/>
    <mergeCell ref="RM2:RP2"/>
    <mergeCell ref="RQ2:RT2"/>
    <mergeCell ref="RU2:RX2"/>
    <mergeCell ref="RY2:SB2"/>
    <mergeCell ref="QG2:QJ2"/>
    <mergeCell ref="QK2:QN2"/>
    <mergeCell ref="QO2:QR2"/>
    <mergeCell ref="QS2:QV2"/>
    <mergeCell ref="QW2:QZ2"/>
    <mergeCell ref="RA2:RD2"/>
    <mergeCell ref="PI2:PL2"/>
    <mergeCell ref="PM2:PP2"/>
    <mergeCell ref="PQ2:PT2"/>
    <mergeCell ref="PU2:PX2"/>
    <mergeCell ref="PY2:QB2"/>
    <mergeCell ref="QC2:QF2"/>
    <mergeCell ref="OK2:ON2"/>
    <mergeCell ref="OO2:OR2"/>
    <mergeCell ref="OS2:OV2"/>
    <mergeCell ref="OW2:OZ2"/>
    <mergeCell ref="PA2:PD2"/>
    <mergeCell ref="PE2:PH2"/>
    <mergeCell ref="NM2:NP2"/>
    <mergeCell ref="NQ2:NT2"/>
    <mergeCell ref="NU2:NX2"/>
    <mergeCell ref="NY2:OB2"/>
    <mergeCell ref="OC2:OF2"/>
    <mergeCell ref="OG2:OJ2"/>
    <mergeCell ref="MO2:MR2"/>
    <mergeCell ref="MS2:MV2"/>
    <mergeCell ref="MW2:MZ2"/>
    <mergeCell ref="NA2:ND2"/>
    <mergeCell ref="NE2:NH2"/>
    <mergeCell ref="NI2:NL2"/>
    <mergeCell ref="LQ2:LT2"/>
    <mergeCell ref="LU2:LX2"/>
    <mergeCell ref="LY2:MB2"/>
    <mergeCell ref="MC2:MF2"/>
    <mergeCell ref="MG2:MJ2"/>
    <mergeCell ref="MK2:MN2"/>
    <mergeCell ref="KW2:KZ2"/>
    <mergeCell ref="LA2:LD2"/>
    <mergeCell ref="LE2:LH2"/>
    <mergeCell ref="LI2:LL2"/>
    <mergeCell ref="LM2:LP2"/>
    <mergeCell ref="JU2:JX2"/>
    <mergeCell ref="JY2:KB2"/>
    <mergeCell ref="KC2:KF2"/>
    <mergeCell ref="KG2:KJ2"/>
    <mergeCell ref="KK2:KN2"/>
    <mergeCell ref="KO2:KR2"/>
    <mergeCell ref="IW2:IZ2"/>
    <mergeCell ref="JA2:JD2"/>
    <mergeCell ref="JE2:JH2"/>
    <mergeCell ref="JI2:JL2"/>
    <mergeCell ref="JM2:JP2"/>
    <mergeCell ref="JQ2:JT2"/>
    <mergeCell ref="IG2:IJ2"/>
    <mergeCell ref="IK2:IN2"/>
    <mergeCell ref="IO2:IR2"/>
    <mergeCell ref="IS2:IV2"/>
    <mergeCell ref="HA2:HD2"/>
    <mergeCell ref="HE2:HH2"/>
    <mergeCell ref="HI2:HL2"/>
    <mergeCell ref="HM2:HP2"/>
    <mergeCell ref="HQ2:HT2"/>
    <mergeCell ref="HU2:HX2"/>
    <mergeCell ref="GC2:GF2"/>
    <mergeCell ref="GG2:GJ2"/>
    <mergeCell ref="GK2:GN2"/>
    <mergeCell ref="GO2:GR2"/>
    <mergeCell ref="GS2:GV2"/>
    <mergeCell ref="GW2:GZ2"/>
    <mergeCell ref="KS2:KV2"/>
    <mergeCell ref="FQ2:FT2"/>
    <mergeCell ref="FU2:FX2"/>
    <mergeCell ref="FY2:GB2"/>
    <mergeCell ref="EG2:EJ2"/>
    <mergeCell ref="EK2:EN2"/>
    <mergeCell ref="EO2:ER2"/>
    <mergeCell ref="ES2:EV2"/>
    <mergeCell ref="EW2:EZ2"/>
    <mergeCell ref="FA2:FD2"/>
    <mergeCell ref="DI2:DL2"/>
    <mergeCell ref="DM2:DP2"/>
    <mergeCell ref="DQ2:DT2"/>
    <mergeCell ref="DU2:DX2"/>
    <mergeCell ref="DY2:EB2"/>
    <mergeCell ref="EC2:EF2"/>
    <mergeCell ref="HY2:IB2"/>
    <mergeCell ref="IC2:IF2"/>
    <mergeCell ref="DA2:DD2"/>
    <mergeCell ref="DE2:DH2"/>
    <mergeCell ref="BM2:BP2"/>
    <mergeCell ref="BQ2:BT2"/>
    <mergeCell ref="BU2:BX2"/>
    <mergeCell ref="BY2:CB2"/>
    <mergeCell ref="CC2:CF2"/>
    <mergeCell ref="CG2:CJ2"/>
    <mergeCell ref="AO2:AR2"/>
    <mergeCell ref="AS2:AV2"/>
    <mergeCell ref="AW2:AZ2"/>
    <mergeCell ref="BA2:BD2"/>
    <mergeCell ref="BE2:BH2"/>
    <mergeCell ref="BI2:BL2"/>
    <mergeCell ref="FE2:FH2"/>
    <mergeCell ref="FI2:FL2"/>
    <mergeCell ref="FM2:FP2"/>
    <mergeCell ref="A90:C90"/>
    <mergeCell ref="A111:C111"/>
    <mergeCell ref="A132:C132"/>
    <mergeCell ref="A153:C153"/>
    <mergeCell ref="A174:C174"/>
    <mergeCell ref="A195:C195"/>
    <mergeCell ref="A216:C216"/>
    <mergeCell ref="AC2:AF2"/>
    <mergeCell ref="AG2:AJ2"/>
    <mergeCell ref="AK2:AN2"/>
    <mergeCell ref="E2:H2"/>
    <mergeCell ref="I2:L2"/>
    <mergeCell ref="M2:P2"/>
    <mergeCell ref="CK2:CN2"/>
    <mergeCell ref="CO2:CR2"/>
    <mergeCell ref="CS2:CV2"/>
    <mergeCell ref="CW2:CZ2"/>
    <mergeCell ref="A237:C237"/>
    <mergeCell ref="A5:C5"/>
    <mergeCell ref="A26:C26"/>
    <mergeCell ref="A47:C47"/>
    <mergeCell ref="A68:C68"/>
    <mergeCell ref="A89:C89"/>
    <mergeCell ref="A110:C110"/>
    <mergeCell ref="A131:C131"/>
    <mergeCell ref="A152:C152"/>
    <mergeCell ref="A173:C173"/>
    <mergeCell ref="A194:C194"/>
    <mergeCell ref="A215:C215"/>
    <mergeCell ref="A236:C236"/>
    <mergeCell ref="A2:C2"/>
    <mergeCell ref="Q2:T2"/>
    <mergeCell ref="U2:X2"/>
    <mergeCell ref="Y2:AB2"/>
    <mergeCell ref="A6:C6"/>
    <mergeCell ref="A18:C18"/>
    <mergeCell ref="A39:C39"/>
    <mergeCell ref="A60:C60"/>
    <mergeCell ref="A81:C81"/>
    <mergeCell ref="A102:C102"/>
    <mergeCell ref="A123:C123"/>
    <mergeCell ref="A144:C144"/>
    <mergeCell ref="A165:C165"/>
    <mergeCell ref="A186:C186"/>
    <mergeCell ref="A207:C207"/>
    <mergeCell ref="A228:C228"/>
    <mergeCell ref="A27:C27"/>
    <mergeCell ref="A48:C48"/>
    <mergeCell ref="A69:C69"/>
  </mergeCells>
  <hyperlinks>
    <hyperlink ref="A1" location="Inicio!A1" display="Regresar" xr:uid="{3834FC16-2B38-A44A-B391-A6931E79A55B}"/>
    <hyperlink ref="A1:C1" location="Inicio!C9" display="Regresar" xr:uid="{D4E7764D-0649-CF42-BDFD-7635F279BF27}"/>
  </hyperlinks>
  <pageMargins left="0.7" right="0.7" top="0.75" bottom="0.75" header="0.3" footer="0.3"/>
  <pageSetup scale="79" fitToWidth="0" fitToHeight="4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6F8E82-DB5A-1840-8F51-31A25599FF3F}">
  <sheetPr codeName="Hoja6"/>
  <dimension ref="A1:F27"/>
  <sheetViews>
    <sheetView showGridLines="0" zoomScale="89" zoomScaleNormal="8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baseColWidth="10" defaultColWidth="10.875" defaultRowHeight="17.25" x14ac:dyDescent="0.3"/>
  <cols>
    <col min="1" max="1" width="59.625" style="4" customWidth="1"/>
    <col min="2" max="2" width="15" style="4" customWidth="1"/>
    <col min="3" max="3" width="13.5" style="4" customWidth="1"/>
    <col min="4" max="4" width="14.875" style="4" customWidth="1"/>
    <col min="5" max="5" width="19.5" style="4" customWidth="1"/>
    <col min="6" max="6" width="10.875" style="5"/>
    <col min="7" max="16384" width="10.875" style="4"/>
  </cols>
  <sheetData>
    <row r="1" spans="1:5" ht="35.1" customHeight="1" thickBot="1" x14ac:dyDescent="0.35">
      <c r="A1" s="23" t="s">
        <v>21</v>
      </c>
      <c r="B1" s="24"/>
      <c r="C1" s="24"/>
      <c r="D1" s="24"/>
      <c r="E1" s="331"/>
    </row>
    <row r="2" spans="1:5" ht="50.1" customHeight="1" x14ac:dyDescent="0.3">
      <c r="A2" s="411" t="str">
        <f>CONCATENATE("Planificación financiera ",Up, " | Costos de siembra por ",UMs)</f>
        <v>Planificación financiera  | Costos de siembra por Manzana</v>
      </c>
      <c r="B2" s="412"/>
      <c r="C2" s="412"/>
      <c r="D2" s="412"/>
      <c r="E2" s="413"/>
    </row>
    <row r="3" spans="1:5" ht="8.1" customHeight="1" thickBot="1" x14ac:dyDescent="0.35">
      <c r="A3" s="268"/>
      <c r="B3" s="28"/>
      <c r="C3" s="28"/>
      <c r="D3" s="28"/>
      <c r="E3" s="29"/>
    </row>
    <row r="4" spans="1:5" ht="24" customHeight="1" thickBot="1" x14ac:dyDescent="0.35">
      <c r="A4" s="280" t="s">
        <v>151</v>
      </c>
      <c r="B4" s="280" t="s">
        <v>152</v>
      </c>
      <c r="C4" s="281" t="s">
        <v>153</v>
      </c>
      <c r="D4" s="280" t="s">
        <v>154</v>
      </c>
      <c r="E4" s="280" t="s">
        <v>146</v>
      </c>
    </row>
    <row r="5" spans="1:5" ht="24.95" customHeight="1" x14ac:dyDescent="0.3">
      <c r="A5" s="202" t="s">
        <v>155</v>
      </c>
      <c r="B5" s="282"/>
      <c r="C5" s="283"/>
      <c r="D5" s="284"/>
      <c r="E5" s="285">
        <f t="shared" ref="E5:E6" si="0">(B5*C5)+(D5*CUI_Jornal)</f>
        <v>0</v>
      </c>
    </row>
    <row r="6" spans="1:5" ht="24.95" customHeight="1" x14ac:dyDescent="0.3">
      <c r="A6" s="286" t="s">
        <v>156</v>
      </c>
      <c r="B6" s="287"/>
      <c r="C6" s="288"/>
      <c r="D6" s="289"/>
      <c r="E6" s="290">
        <f t="shared" si="0"/>
        <v>0</v>
      </c>
    </row>
    <row r="7" spans="1:5" ht="24.95" customHeight="1" x14ac:dyDescent="0.3">
      <c r="A7" s="286" t="s">
        <v>157</v>
      </c>
      <c r="B7" s="287"/>
      <c r="C7" s="288"/>
      <c r="D7" s="289"/>
      <c r="E7" s="290">
        <f t="shared" ref="E7:E25" si="1">(B7*C7)+(D7*CUI_Jornal)</f>
        <v>0</v>
      </c>
    </row>
    <row r="8" spans="1:5" ht="24.95" customHeight="1" x14ac:dyDescent="0.3">
      <c r="A8" s="286" t="s">
        <v>52</v>
      </c>
      <c r="B8" s="287"/>
      <c r="C8" s="288"/>
      <c r="D8" s="289"/>
      <c r="E8" s="290">
        <f t="shared" si="1"/>
        <v>0</v>
      </c>
    </row>
    <row r="9" spans="1:5" ht="24.95" customHeight="1" x14ac:dyDescent="0.3">
      <c r="A9" s="286" t="s">
        <v>158</v>
      </c>
      <c r="B9" s="287"/>
      <c r="C9" s="288"/>
      <c r="D9" s="289"/>
      <c r="E9" s="290">
        <f t="shared" si="1"/>
        <v>0</v>
      </c>
    </row>
    <row r="10" spans="1:5" ht="24.95" customHeight="1" x14ac:dyDescent="0.3">
      <c r="A10" s="286" t="s">
        <v>159</v>
      </c>
      <c r="B10" s="287"/>
      <c r="C10" s="288"/>
      <c r="D10" s="289"/>
      <c r="E10" s="290">
        <f t="shared" si="1"/>
        <v>0</v>
      </c>
    </row>
    <row r="11" spans="1:5" ht="24.95" customHeight="1" x14ac:dyDescent="0.3">
      <c r="A11" s="286" t="s">
        <v>160</v>
      </c>
      <c r="B11" s="287"/>
      <c r="C11" s="288"/>
      <c r="D11" s="289"/>
      <c r="E11" s="290">
        <f t="shared" si="1"/>
        <v>0</v>
      </c>
    </row>
    <row r="12" spans="1:5" ht="24.95" customHeight="1" x14ac:dyDescent="0.3">
      <c r="A12" s="286" t="s">
        <v>161</v>
      </c>
      <c r="B12" s="287"/>
      <c r="C12" s="288"/>
      <c r="D12" s="289"/>
      <c r="E12" s="290">
        <f t="shared" si="1"/>
        <v>0</v>
      </c>
    </row>
    <row r="13" spans="1:5" ht="24.95" customHeight="1" x14ac:dyDescent="0.3">
      <c r="A13" s="286" t="s">
        <v>162</v>
      </c>
      <c r="B13" s="287"/>
      <c r="C13" s="288"/>
      <c r="D13" s="289"/>
      <c r="E13" s="290">
        <f t="shared" si="1"/>
        <v>0</v>
      </c>
    </row>
    <row r="14" spans="1:5" ht="24.95" customHeight="1" x14ac:dyDescent="0.3">
      <c r="A14" s="286" t="s">
        <v>163</v>
      </c>
      <c r="B14" s="287"/>
      <c r="C14" s="288"/>
      <c r="D14" s="289"/>
      <c r="E14" s="290">
        <f t="shared" si="1"/>
        <v>0</v>
      </c>
    </row>
    <row r="15" spans="1:5" ht="24.95" customHeight="1" x14ac:dyDescent="0.3">
      <c r="A15" s="286" t="s">
        <v>164</v>
      </c>
      <c r="B15" s="287"/>
      <c r="C15" s="288"/>
      <c r="D15" s="289"/>
      <c r="E15" s="290">
        <f t="shared" si="1"/>
        <v>0</v>
      </c>
    </row>
    <row r="16" spans="1:5" ht="24.95" customHeight="1" x14ac:dyDescent="0.3">
      <c r="A16" s="286" t="s">
        <v>44</v>
      </c>
      <c r="B16" s="287"/>
      <c r="C16" s="288"/>
      <c r="D16" s="289"/>
      <c r="E16" s="290">
        <f t="shared" si="1"/>
        <v>0</v>
      </c>
    </row>
    <row r="17" spans="1:6" ht="24.95" customHeight="1" x14ac:dyDescent="0.3">
      <c r="A17" s="286" t="s">
        <v>165</v>
      </c>
      <c r="B17" s="287"/>
      <c r="C17" s="288"/>
      <c r="D17" s="289"/>
      <c r="E17" s="290">
        <f t="shared" si="1"/>
        <v>0</v>
      </c>
    </row>
    <row r="18" spans="1:6" ht="24.95" customHeight="1" x14ac:dyDescent="0.3">
      <c r="A18" s="286" t="s">
        <v>166</v>
      </c>
      <c r="B18" s="287"/>
      <c r="C18" s="288"/>
      <c r="D18" s="289"/>
      <c r="E18" s="290">
        <f t="shared" si="1"/>
        <v>0</v>
      </c>
    </row>
    <row r="19" spans="1:6" ht="24.95" customHeight="1" x14ac:dyDescent="0.3">
      <c r="A19" s="286" t="s">
        <v>167</v>
      </c>
      <c r="B19" s="287"/>
      <c r="C19" s="288"/>
      <c r="D19" s="289"/>
      <c r="E19" s="290">
        <f t="shared" si="1"/>
        <v>0</v>
      </c>
    </row>
    <row r="20" spans="1:6" ht="24.95" customHeight="1" x14ac:dyDescent="0.3">
      <c r="A20" s="286" t="s">
        <v>168</v>
      </c>
      <c r="B20" s="287"/>
      <c r="C20" s="288"/>
      <c r="D20" s="289"/>
      <c r="E20" s="290">
        <f t="shared" si="1"/>
        <v>0</v>
      </c>
    </row>
    <row r="21" spans="1:6" ht="24.95" customHeight="1" x14ac:dyDescent="0.3">
      <c r="A21" s="286" t="s">
        <v>169</v>
      </c>
      <c r="B21" s="287"/>
      <c r="C21" s="288"/>
      <c r="D21" s="289"/>
      <c r="E21" s="290">
        <f t="shared" si="1"/>
        <v>0</v>
      </c>
    </row>
    <row r="22" spans="1:6" ht="24.95" customHeight="1" x14ac:dyDescent="0.3">
      <c r="A22" s="286" t="s">
        <v>112</v>
      </c>
      <c r="B22" s="287"/>
      <c r="C22" s="288"/>
      <c r="D22" s="289"/>
      <c r="E22" s="290">
        <f t="shared" si="1"/>
        <v>0</v>
      </c>
    </row>
    <row r="23" spans="1:6" ht="24.95" customHeight="1" x14ac:dyDescent="0.3">
      <c r="A23" s="286" t="s">
        <v>62</v>
      </c>
      <c r="B23" s="287"/>
      <c r="C23" s="288"/>
      <c r="D23" s="289"/>
      <c r="E23" s="290">
        <f t="shared" si="1"/>
        <v>0</v>
      </c>
    </row>
    <row r="24" spans="1:6" ht="24.95" customHeight="1" x14ac:dyDescent="0.3">
      <c r="A24" s="286" t="s">
        <v>127</v>
      </c>
      <c r="B24" s="287"/>
      <c r="C24" s="288"/>
      <c r="D24" s="289"/>
      <c r="E24" s="290">
        <f t="shared" si="1"/>
        <v>0</v>
      </c>
    </row>
    <row r="25" spans="1:6" ht="24.95" customHeight="1" thickBot="1" x14ac:dyDescent="0.35">
      <c r="A25" s="291" t="s">
        <v>170</v>
      </c>
      <c r="B25" s="292"/>
      <c r="C25" s="293"/>
      <c r="D25" s="294"/>
      <c r="E25" s="295">
        <f t="shared" si="1"/>
        <v>0</v>
      </c>
    </row>
    <row r="26" spans="1:6" ht="23.1" customHeight="1" thickBot="1" x14ac:dyDescent="0.35">
      <c r="A26" s="447" t="s">
        <v>146</v>
      </c>
      <c r="B26" s="448"/>
      <c r="C26" s="456"/>
      <c r="D26" s="296">
        <f>SUM(D7:D25)</f>
        <v>0</v>
      </c>
      <c r="E26" s="297">
        <f>SUM(E5:E25)</f>
        <v>0</v>
      </c>
      <c r="F26" s="5">
        <f>Siembra_nueva/'3'!K10</f>
        <v>0</v>
      </c>
    </row>
    <row r="27" spans="1:6" x14ac:dyDescent="0.3">
      <c r="A27" s="424" t="s">
        <v>85</v>
      </c>
      <c r="B27" s="424"/>
      <c r="C27" s="424"/>
    </row>
  </sheetData>
  <sheetProtection algorithmName="SHA-512" hashValue="Tf/Ru1zxC3e+h8he/Bd8PJARBkmS5fMUXFZMnrboLf1BfK7h9ALAJjW4CHPvyDs2q6q+eKadRxp3srQ0gA6snA==" saltValue="wuAfBw0iXRfBnwJXRHU6HQ==" spinCount="100000" sheet="1" objects="1" scenarios="1"/>
  <mergeCells count="3">
    <mergeCell ref="A26:C26"/>
    <mergeCell ref="A2:E2"/>
    <mergeCell ref="A27:C27"/>
  </mergeCells>
  <hyperlinks>
    <hyperlink ref="A1" location="Inicio!A1" display="Regresar" xr:uid="{E9BB2012-2510-3244-BBE2-F7D179472B4B}"/>
    <hyperlink ref="A1:E1" location="Inicio!A10" display="Regresar" xr:uid="{30678F78-D5F1-0949-A725-FAEF25719D7D}"/>
  </hyperlinks>
  <pageMargins left="0.7" right="0.7" top="0.75" bottom="0.75" header="0.3" footer="0.3"/>
  <pageSetup orientation="portrait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98A89-0211-477E-952F-375CF501DEEF}">
  <sheetPr codeName="Hoja11">
    <pageSetUpPr fitToPage="1"/>
  </sheetPr>
  <dimension ref="A1:II166"/>
  <sheetViews>
    <sheetView showGridLines="0" zoomScaleNormal="100" workbookViewId="0">
      <pane xSplit="1" ySplit="5" topLeftCell="B6" activePane="bottomRight" state="frozen"/>
      <selection pane="topRight" activeCell="C5" sqref="C5"/>
      <selection pane="bottomLeft" activeCell="C5" sqref="C5"/>
      <selection pane="bottomRight" activeCell="A6" sqref="A6"/>
    </sheetView>
  </sheetViews>
  <sheetFormatPr baseColWidth="10" defaultColWidth="11" defaultRowHeight="17.25" x14ac:dyDescent="0.3"/>
  <cols>
    <col min="1" max="1" width="23" style="4" customWidth="1"/>
    <col min="2" max="13" width="14.125" style="4" customWidth="1"/>
    <col min="14" max="14" width="12.125" style="6" customWidth="1"/>
    <col min="15" max="26" width="11" style="58" customWidth="1"/>
    <col min="27" max="29" width="11" style="58"/>
    <col min="30" max="30" width="11.5" style="58" bestFit="1" customWidth="1"/>
    <col min="31" max="35" width="11" style="58"/>
    <col min="36" max="36" width="12.125" style="58" customWidth="1"/>
    <col min="37" max="172" width="11" style="58"/>
    <col min="173" max="181" width="11" style="12"/>
    <col min="182" max="188" width="11" style="58"/>
    <col min="189" max="243" width="11" style="354"/>
    <col min="244" max="16384" width="11" style="6"/>
  </cols>
  <sheetData>
    <row r="1" spans="1:243" ht="35.1" customHeight="1" thickBot="1" x14ac:dyDescent="0.35">
      <c r="A1" s="23" t="s">
        <v>21</v>
      </c>
      <c r="B1" s="25"/>
      <c r="C1" s="25"/>
      <c r="D1" s="25"/>
      <c r="E1" s="25"/>
      <c r="F1" s="25"/>
      <c r="G1" s="25"/>
      <c r="H1" s="25"/>
      <c r="I1" s="25"/>
      <c r="J1" s="25"/>
      <c r="K1" s="25"/>
      <c r="L1" s="25"/>
      <c r="M1" s="26"/>
    </row>
    <row r="2" spans="1:243" ht="51" customHeight="1" x14ac:dyDescent="0.3">
      <c r="A2" s="459" t="str">
        <f>CONCATENATE("Planificación financiera ",Up, " | Estimado de producción por planta |",Ciclo," años |","Bloque compacto")</f>
        <v>Planificación financiera  | Estimado de producción por planta |3 años |Bloque compacto</v>
      </c>
      <c r="B2" s="460"/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1"/>
    </row>
    <row r="3" spans="1:243" ht="8.1" customHeight="1" thickBot="1" x14ac:dyDescent="0.35">
      <c r="A3" s="268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9"/>
      <c r="N3" s="4"/>
      <c r="DI3" s="58" t="s">
        <v>171</v>
      </c>
      <c r="DJ3" s="58" t="s">
        <v>172</v>
      </c>
      <c r="DK3" s="58" t="s">
        <v>173</v>
      </c>
      <c r="DL3" s="58" t="s">
        <v>174</v>
      </c>
      <c r="DM3" s="58" t="s">
        <v>175</v>
      </c>
      <c r="DN3" s="58" t="s">
        <v>176</v>
      </c>
      <c r="DO3" s="58" t="s">
        <v>177</v>
      </c>
      <c r="DP3" s="58" t="s">
        <v>178</v>
      </c>
      <c r="DQ3" s="58" t="s">
        <v>179</v>
      </c>
      <c r="DR3" s="58" t="s">
        <v>180</v>
      </c>
      <c r="DS3" s="58" t="s">
        <v>181</v>
      </c>
      <c r="DT3" s="58" t="s">
        <v>182</v>
      </c>
      <c r="DU3" s="58" t="s">
        <v>183</v>
      </c>
      <c r="DV3" s="58" t="s">
        <v>184</v>
      </c>
      <c r="DW3" s="58" t="s">
        <v>185</v>
      </c>
      <c r="DX3" s="58" t="s">
        <v>186</v>
      </c>
      <c r="DY3" s="58" t="s">
        <v>187</v>
      </c>
      <c r="DZ3" s="58" t="s">
        <v>188</v>
      </c>
      <c r="EA3" s="58" t="s">
        <v>189</v>
      </c>
      <c r="EB3" s="58" t="s">
        <v>190</v>
      </c>
      <c r="EC3" s="58" t="s">
        <v>191</v>
      </c>
      <c r="ED3" s="58" t="s">
        <v>192</v>
      </c>
      <c r="EE3" s="58" t="s">
        <v>193</v>
      </c>
      <c r="EF3" s="58" t="s">
        <v>194</v>
      </c>
      <c r="EG3" s="58" t="s">
        <v>195</v>
      </c>
      <c r="EH3" s="58" t="s">
        <v>196</v>
      </c>
      <c r="EI3" s="58" t="s">
        <v>197</v>
      </c>
      <c r="EJ3" s="58" t="s">
        <v>198</v>
      </c>
      <c r="EK3" s="58" t="s">
        <v>199</v>
      </c>
      <c r="EL3" s="58" t="s">
        <v>200</v>
      </c>
      <c r="EM3" s="58" t="s">
        <v>201</v>
      </c>
      <c r="EN3" s="58" t="s">
        <v>202</v>
      </c>
      <c r="EO3" s="58" t="s">
        <v>203</v>
      </c>
      <c r="EP3" s="58" t="s">
        <v>204</v>
      </c>
      <c r="EQ3" s="58" t="s">
        <v>205</v>
      </c>
      <c r="ER3" s="58" t="s">
        <v>206</v>
      </c>
      <c r="ES3" s="58" t="s">
        <v>207</v>
      </c>
      <c r="ET3" s="58" t="s">
        <v>208</v>
      </c>
      <c r="EU3" s="58" t="s">
        <v>209</v>
      </c>
      <c r="EV3" s="58" t="s">
        <v>210</v>
      </c>
      <c r="EW3" s="58" t="s">
        <v>211</v>
      </c>
      <c r="EX3" s="58" t="s">
        <v>212</v>
      </c>
      <c r="EY3" s="58" t="s">
        <v>213</v>
      </c>
      <c r="EZ3" s="58" t="s">
        <v>214</v>
      </c>
      <c r="FA3" s="58" t="s">
        <v>215</v>
      </c>
      <c r="FB3" s="58" t="s">
        <v>216</v>
      </c>
      <c r="FC3" s="58" t="s">
        <v>217</v>
      </c>
      <c r="FD3" s="58" t="s">
        <v>218</v>
      </c>
      <c r="FE3" s="58" t="s">
        <v>219</v>
      </c>
      <c r="FF3" s="58" t="s">
        <v>220</v>
      </c>
      <c r="FG3" s="58" t="s">
        <v>221</v>
      </c>
      <c r="FH3" s="58" t="s">
        <v>222</v>
      </c>
      <c r="FI3" s="58" t="s">
        <v>223</v>
      </c>
      <c r="FJ3" s="58" t="s">
        <v>224</v>
      </c>
      <c r="FK3" s="58" t="s">
        <v>225</v>
      </c>
      <c r="FL3" s="58" t="s">
        <v>226</v>
      </c>
      <c r="FM3" s="58" t="s">
        <v>227</v>
      </c>
      <c r="FN3" s="58" t="s">
        <v>228</v>
      </c>
      <c r="FO3" s="58" t="s">
        <v>229</v>
      </c>
      <c r="FP3" s="58" t="s">
        <v>230</v>
      </c>
    </row>
    <row r="4" spans="1:243" ht="30" customHeight="1" x14ac:dyDescent="0.3">
      <c r="A4" s="269" t="s">
        <v>231</v>
      </c>
      <c r="B4" s="270">
        <f>Año_Inicial</f>
        <v>2023</v>
      </c>
      <c r="C4" s="270">
        <f t="shared" ref="C4:M4" si="0">B4+1</f>
        <v>2024</v>
      </c>
      <c r="D4" s="270">
        <f t="shared" si="0"/>
        <v>2025</v>
      </c>
      <c r="E4" s="270">
        <f t="shared" si="0"/>
        <v>2026</v>
      </c>
      <c r="F4" s="270">
        <f t="shared" si="0"/>
        <v>2027</v>
      </c>
      <c r="G4" s="270">
        <f t="shared" si="0"/>
        <v>2028</v>
      </c>
      <c r="H4" s="270">
        <f t="shared" si="0"/>
        <v>2029</v>
      </c>
      <c r="I4" s="270">
        <f t="shared" si="0"/>
        <v>2030</v>
      </c>
      <c r="J4" s="270">
        <f t="shared" si="0"/>
        <v>2031</v>
      </c>
      <c r="K4" s="270">
        <f t="shared" si="0"/>
        <v>2032</v>
      </c>
      <c r="L4" s="270">
        <f t="shared" si="0"/>
        <v>2033</v>
      </c>
      <c r="M4" s="270">
        <f t="shared" si="0"/>
        <v>2034</v>
      </c>
      <c r="N4" s="5" t="s">
        <v>232</v>
      </c>
      <c r="O4" s="458" t="s">
        <v>233</v>
      </c>
      <c r="P4" s="458"/>
      <c r="Q4" s="458"/>
      <c r="R4" s="458"/>
      <c r="S4" s="458"/>
      <c r="T4" s="458"/>
      <c r="U4" s="458"/>
      <c r="V4" s="458"/>
      <c r="W4" s="458"/>
      <c r="X4" s="458"/>
      <c r="Y4" s="458"/>
      <c r="Z4" s="458"/>
      <c r="AA4" s="364"/>
      <c r="AB4" s="458">
        <f>Año_Inicial</f>
        <v>2023</v>
      </c>
      <c r="AC4" s="458"/>
      <c r="AD4" s="458"/>
      <c r="AE4" s="458"/>
      <c r="AF4" s="458"/>
      <c r="AG4" s="364"/>
      <c r="AH4" s="364"/>
      <c r="AI4" s="458">
        <f>Año_Inicial+1</f>
        <v>2024</v>
      </c>
      <c r="AJ4" s="458"/>
      <c r="AK4" s="458"/>
      <c r="AL4" s="458"/>
      <c r="AM4" s="458"/>
      <c r="AN4" s="364"/>
      <c r="AO4" s="364"/>
      <c r="AP4" s="458">
        <f>Año_Inicial+2</f>
        <v>2025</v>
      </c>
      <c r="AQ4" s="458"/>
      <c r="AR4" s="458"/>
      <c r="AS4" s="458"/>
      <c r="AT4" s="458"/>
      <c r="AU4" s="364"/>
      <c r="AV4" s="364"/>
      <c r="AW4" s="458">
        <f>Año_Inicial+3</f>
        <v>2026</v>
      </c>
      <c r="AX4" s="458"/>
      <c r="AY4" s="458"/>
      <c r="AZ4" s="458"/>
      <c r="BA4" s="458"/>
      <c r="BB4" s="364"/>
      <c r="BC4" s="364"/>
      <c r="BD4" s="458">
        <f>Año_Inicial+4</f>
        <v>2027</v>
      </c>
      <c r="BE4" s="458"/>
      <c r="BF4" s="458"/>
      <c r="BG4" s="458"/>
      <c r="BH4" s="458"/>
      <c r="BI4" s="364"/>
      <c r="BJ4" s="364"/>
      <c r="BK4" s="458">
        <f>Año_Inicial+5</f>
        <v>2028</v>
      </c>
      <c r="BL4" s="458"/>
      <c r="BM4" s="458"/>
      <c r="BN4" s="458"/>
      <c r="BO4" s="458"/>
      <c r="BP4" s="364"/>
      <c r="BQ4" s="364"/>
      <c r="BR4" s="458">
        <f>Año_Inicial+6</f>
        <v>2029</v>
      </c>
      <c r="BS4" s="458"/>
      <c r="BT4" s="458"/>
      <c r="BU4" s="458"/>
      <c r="BV4" s="458"/>
      <c r="BW4" s="364"/>
      <c r="BX4" s="364"/>
      <c r="BY4" s="458">
        <f>Año_Inicial+7</f>
        <v>2030</v>
      </c>
      <c r="BZ4" s="458"/>
      <c r="CA4" s="458"/>
      <c r="CB4" s="458"/>
      <c r="CC4" s="458"/>
      <c r="CD4" s="364"/>
      <c r="CE4" s="364"/>
      <c r="CF4" s="458">
        <f>Año_Inicial+8</f>
        <v>2031</v>
      </c>
      <c r="CG4" s="458"/>
      <c r="CH4" s="458"/>
      <c r="CI4" s="458"/>
      <c r="CJ4" s="458"/>
      <c r="CK4" s="364"/>
      <c r="CL4" s="364"/>
      <c r="CM4" s="458">
        <f>Año_Inicial+9</f>
        <v>2032</v>
      </c>
      <c r="CN4" s="458"/>
      <c r="CO4" s="458"/>
      <c r="CP4" s="458"/>
      <c r="CQ4" s="458"/>
      <c r="CR4" s="364"/>
      <c r="CS4" s="364"/>
      <c r="CT4" s="458">
        <f>Año_Inicial+10</f>
        <v>2033</v>
      </c>
      <c r="CU4" s="458"/>
      <c r="CV4" s="458"/>
      <c r="CW4" s="458"/>
      <c r="CX4" s="458"/>
      <c r="CY4" s="364"/>
      <c r="CZ4" s="364"/>
      <c r="DA4" s="458">
        <f>Año_Inicial+11</f>
        <v>2034</v>
      </c>
      <c r="DB4" s="458"/>
      <c r="DC4" s="458"/>
      <c r="DD4" s="458"/>
      <c r="DE4" s="458"/>
      <c r="DF4" s="364"/>
      <c r="DG4" s="364"/>
      <c r="DI4" s="58">
        <f t="shared" ref="DI4:EN4" si="1">SUM(DI6:DI165)</f>
        <v>0</v>
      </c>
      <c r="DJ4" s="58">
        <f t="shared" si="1"/>
        <v>0</v>
      </c>
      <c r="DK4" s="58">
        <f t="shared" si="1"/>
        <v>0</v>
      </c>
      <c r="DL4" s="58">
        <f t="shared" si="1"/>
        <v>0</v>
      </c>
      <c r="DM4" s="58">
        <f t="shared" si="1"/>
        <v>0</v>
      </c>
      <c r="DN4" s="58">
        <f t="shared" si="1"/>
        <v>0</v>
      </c>
      <c r="DO4" s="58">
        <f t="shared" si="1"/>
        <v>0</v>
      </c>
      <c r="DP4" s="58">
        <f t="shared" si="1"/>
        <v>0</v>
      </c>
      <c r="DQ4" s="58">
        <f t="shared" si="1"/>
        <v>0</v>
      </c>
      <c r="DR4" s="58">
        <f t="shared" si="1"/>
        <v>0</v>
      </c>
      <c r="DS4" s="58">
        <f t="shared" si="1"/>
        <v>0</v>
      </c>
      <c r="DT4" s="58">
        <f t="shared" si="1"/>
        <v>0</v>
      </c>
      <c r="DU4" s="58">
        <f t="shared" si="1"/>
        <v>0</v>
      </c>
      <c r="DV4" s="58">
        <f t="shared" si="1"/>
        <v>0</v>
      </c>
      <c r="DW4" s="58">
        <f t="shared" si="1"/>
        <v>0</v>
      </c>
      <c r="DX4" s="58">
        <f t="shared" si="1"/>
        <v>0</v>
      </c>
      <c r="DY4" s="58">
        <f t="shared" si="1"/>
        <v>0</v>
      </c>
      <c r="DZ4" s="58">
        <f t="shared" si="1"/>
        <v>0</v>
      </c>
      <c r="EA4" s="58">
        <f t="shared" si="1"/>
        <v>0</v>
      </c>
      <c r="EB4" s="58">
        <f t="shared" si="1"/>
        <v>0</v>
      </c>
      <c r="EC4" s="58">
        <f t="shared" si="1"/>
        <v>0</v>
      </c>
      <c r="ED4" s="58">
        <f t="shared" si="1"/>
        <v>0</v>
      </c>
      <c r="EE4" s="58">
        <f t="shared" si="1"/>
        <v>0</v>
      </c>
      <c r="EF4" s="58">
        <f t="shared" si="1"/>
        <v>0</v>
      </c>
      <c r="EG4" s="58">
        <f t="shared" si="1"/>
        <v>0</v>
      </c>
      <c r="EH4" s="58">
        <f t="shared" si="1"/>
        <v>0</v>
      </c>
      <c r="EI4" s="58">
        <f t="shared" si="1"/>
        <v>0</v>
      </c>
      <c r="EJ4" s="58">
        <f t="shared" si="1"/>
        <v>0</v>
      </c>
      <c r="EK4" s="58">
        <f t="shared" si="1"/>
        <v>0</v>
      </c>
      <c r="EL4" s="58">
        <f t="shared" si="1"/>
        <v>0</v>
      </c>
      <c r="EM4" s="58">
        <f t="shared" si="1"/>
        <v>0</v>
      </c>
      <c r="EN4" s="58">
        <f t="shared" si="1"/>
        <v>0</v>
      </c>
      <c r="EO4" s="58">
        <f t="shared" ref="EO4:FP4" si="2">SUM(EO6:EO165)</f>
        <v>0</v>
      </c>
      <c r="EP4" s="58">
        <f t="shared" si="2"/>
        <v>0</v>
      </c>
      <c r="EQ4" s="58">
        <f t="shared" si="2"/>
        <v>0</v>
      </c>
      <c r="ER4" s="58">
        <f t="shared" si="2"/>
        <v>0</v>
      </c>
      <c r="ES4" s="58">
        <f t="shared" si="2"/>
        <v>0</v>
      </c>
      <c r="ET4" s="58">
        <f t="shared" si="2"/>
        <v>0</v>
      </c>
      <c r="EU4" s="58">
        <f t="shared" si="2"/>
        <v>0</v>
      </c>
      <c r="EV4" s="58">
        <f t="shared" si="2"/>
        <v>0</v>
      </c>
      <c r="EW4" s="58">
        <f t="shared" si="2"/>
        <v>0</v>
      </c>
      <c r="EX4" s="58">
        <f t="shared" si="2"/>
        <v>0</v>
      </c>
      <c r="EY4" s="58">
        <f t="shared" si="2"/>
        <v>0</v>
      </c>
      <c r="EZ4" s="58">
        <f t="shared" si="2"/>
        <v>0</v>
      </c>
      <c r="FA4" s="58">
        <f t="shared" si="2"/>
        <v>0</v>
      </c>
      <c r="FB4" s="58">
        <f t="shared" si="2"/>
        <v>0</v>
      </c>
      <c r="FC4" s="58">
        <f t="shared" si="2"/>
        <v>0</v>
      </c>
      <c r="FD4" s="58">
        <f t="shared" si="2"/>
        <v>0</v>
      </c>
      <c r="FE4" s="58">
        <f t="shared" si="2"/>
        <v>0</v>
      </c>
      <c r="FF4" s="58">
        <f t="shared" si="2"/>
        <v>0</v>
      </c>
      <c r="FG4" s="58">
        <f t="shared" si="2"/>
        <v>0</v>
      </c>
      <c r="FH4" s="58">
        <f t="shared" si="2"/>
        <v>0</v>
      </c>
      <c r="FI4" s="58">
        <f t="shared" si="2"/>
        <v>0</v>
      </c>
      <c r="FJ4" s="58">
        <f t="shared" si="2"/>
        <v>0</v>
      </c>
      <c r="FK4" s="58">
        <f t="shared" si="2"/>
        <v>0</v>
      </c>
      <c r="FL4" s="58">
        <f t="shared" si="2"/>
        <v>0</v>
      </c>
      <c r="FM4" s="58">
        <f t="shared" si="2"/>
        <v>0</v>
      </c>
      <c r="FN4" s="58">
        <f t="shared" si="2"/>
        <v>0</v>
      </c>
      <c r="FO4" s="58">
        <f t="shared" si="2"/>
        <v>0</v>
      </c>
      <c r="FP4" s="58">
        <f t="shared" si="2"/>
        <v>0</v>
      </c>
    </row>
    <row r="5" spans="1:243" s="276" customFormat="1" ht="21" customHeight="1" x14ac:dyDescent="0.3">
      <c r="A5" s="271" t="s">
        <v>234</v>
      </c>
      <c r="B5" s="272">
        <f>ROUND(SUM(DI7:DM165)/100,2)</f>
        <v>0</v>
      </c>
      <c r="C5" s="272">
        <f>ROUND(SUM(DN7:DR165)/100,2)</f>
        <v>0</v>
      </c>
      <c r="D5" s="272">
        <f>ROUND(SUM(DS7:DW165)/100,2)</f>
        <v>0</v>
      </c>
      <c r="E5" s="272">
        <f>ROUND(SUM(DX7:EB165)/100,2)</f>
        <v>0</v>
      </c>
      <c r="F5" s="272">
        <f>ROUND(SUM(EC7:EG165)/100,2)</f>
        <v>0</v>
      </c>
      <c r="G5" s="272">
        <f>ROUND(SUM(EH7:EL165)/100,2)</f>
        <v>0</v>
      </c>
      <c r="H5" s="272">
        <f>ROUND(SUM(EM7:EQ165)/100,2)</f>
        <v>0</v>
      </c>
      <c r="I5" s="272">
        <f>ROUND(SUM(ER7:EV165)/100,2)</f>
        <v>0</v>
      </c>
      <c r="J5" s="272">
        <f>ROUND(SUM(EW7:FA165)/100,2)</f>
        <v>0</v>
      </c>
      <c r="K5" s="272">
        <f>ROUND(SUM(FB7:FF165)/100,2)</f>
        <v>0</v>
      </c>
      <c r="L5" s="272">
        <f>ROUND(SUM(FG7:FK165)/100,2)</f>
        <v>0</v>
      </c>
      <c r="M5" s="272">
        <f>ROUND(SUM(FL7:FP165)/100,2)</f>
        <v>0</v>
      </c>
      <c r="N5" s="273"/>
      <c r="O5" s="364">
        <f>Año_Inicial</f>
        <v>2023</v>
      </c>
      <c r="P5" s="364">
        <f t="shared" ref="P5:Z5" si="3">O5+1</f>
        <v>2024</v>
      </c>
      <c r="Q5" s="364">
        <f t="shared" si="3"/>
        <v>2025</v>
      </c>
      <c r="R5" s="364">
        <f t="shared" si="3"/>
        <v>2026</v>
      </c>
      <c r="S5" s="364">
        <f t="shared" si="3"/>
        <v>2027</v>
      </c>
      <c r="T5" s="364">
        <f t="shared" si="3"/>
        <v>2028</v>
      </c>
      <c r="U5" s="364">
        <f t="shared" si="3"/>
        <v>2029</v>
      </c>
      <c r="V5" s="364">
        <f t="shared" si="3"/>
        <v>2030</v>
      </c>
      <c r="W5" s="364">
        <f t="shared" si="3"/>
        <v>2031</v>
      </c>
      <c r="X5" s="364">
        <f t="shared" si="3"/>
        <v>2032</v>
      </c>
      <c r="Y5" s="364">
        <f t="shared" si="3"/>
        <v>2033</v>
      </c>
      <c r="Z5" s="364">
        <f t="shared" si="3"/>
        <v>2034</v>
      </c>
      <c r="AA5" s="364"/>
      <c r="AB5" s="365" t="s">
        <v>96</v>
      </c>
      <c r="AC5" s="365" t="s">
        <v>97</v>
      </c>
      <c r="AD5" s="365" t="s">
        <v>98</v>
      </c>
      <c r="AE5" s="365" t="s">
        <v>99</v>
      </c>
      <c r="AF5" s="365" t="s">
        <v>100</v>
      </c>
      <c r="AG5" s="365" t="s">
        <v>235</v>
      </c>
      <c r="AH5" s="365" t="s">
        <v>236</v>
      </c>
      <c r="AI5" s="365" t="s">
        <v>96</v>
      </c>
      <c r="AJ5" s="365" t="s">
        <v>97</v>
      </c>
      <c r="AK5" s="365" t="s">
        <v>98</v>
      </c>
      <c r="AL5" s="365" t="s">
        <v>99</v>
      </c>
      <c r="AM5" s="365" t="s">
        <v>100</v>
      </c>
      <c r="AN5" s="365" t="s">
        <v>235</v>
      </c>
      <c r="AO5" s="365" t="s">
        <v>236</v>
      </c>
      <c r="AP5" s="365" t="s">
        <v>96</v>
      </c>
      <c r="AQ5" s="365" t="s">
        <v>97</v>
      </c>
      <c r="AR5" s="365" t="s">
        <v>98</v>
      </c>
      <c r="AS5" s="365" t="s">
        <v>99</v>
      </c>
      <c r="AT5" s="365" t="s">
        <v>100</v>
      </c>
      <c r="AU5" s="365" t="s">
        <v>235</v>
      </c>
      <c r="AV5" s="365" t="s">
        <v>236</v>
      </c>
      <c r="AW5" s="365" t="s">
        <v>96</v>
      </c>
      <c r="AX5" s="365" t="s">
        <v>97</v>
      </c>
      <c r="AY5" s="365" t="s">
        <v>98</v>
      </c>
      <c r="AZ5" s="365" t="s">
        <v>99</v>
      </c>
      <c r="BA5" s="365" t="s">
        <v>100</v>
      </c>
      <c r="BB5" s="365" t="s">
        <v>235</v>
      </c>
      <c r="BC5" s="365" t="s">
        <v>236</v>
      </c>
      <c r="BD5" s="365" t="s">
        <v>96</v>
      </c>
      <c r="BE5" s="365" t="s">
        <v>97</v>
      </c>
      <c r="BF5" s="365" t="s">
        <v>98</v>
      </c>
      <c r="BG5" s="365" t="s">
        <v>99</v>
      </c>
      <c r="BH5" s="365" t="s">
        <v>100</v>
      </c>
      <c r="BI5" s="365" t="s">
        <v>235</v>
      </c>
      <c r="BJ5" s="365" t="s">
        <v>236</v>
      </c>
      <c r="BK5" s="365" t="s">
        <v>96</v>
      </c>
      <c r="BL5" s="365" t="s">
        <v>97</v>
      </c>
      <c r="BM5" s="365" t="s">
        <v>98</v>
      </c>
      <c r="BN5" s="365" t="s">
        <v>99</v>
      </c>
      <c r="BO5" s="365" t="s">
        <v>100</v>
      </c>
      <c r="BP5" s="365" t="s">
        <v>235</v>
      </c>
      <c r="BQ5" s="365" t="s">
        <v>236</v>
      </c>
      <c r="BR5" s="365" t="s">
        <v>96</v>
      </c>
      <c r="BS5" s="365" t="s">
        <v>97</v>
      </c>
      <c r="BT5" s="365" t="s">
        <v>98</v>
      </c>
      <c r="BU5" s="365" t="s">
        <v>99</v>
      </c>
      <c r="BV5" s="365" t="s">
        <v>100</v>
      </c>
      <c r="BW5" s="365" t="s">
        <v>235</v>
      </c>
      <c r="BX5" s="365" t="s">
        <v>236</v>
      </c>
      <c r="BY5" s="365" t="s">
        <v>96</v>
      </c>
      <c r="BZ5" s="365" t="s">
        <v>97</v>
      </c>
      <c r="CA5" s="365" t="s">
        <v>98</v>
      </c>
      <c r="CB5" s="365" t="s">
        <v>99</v>
      </c>
      <c r="CC5" s="365" t="s">
        <v>100</v>
      </c>
      <c r="CD5" s="365" t="s">
        <v>235</v>
      </c>
      <c r="CE5" s="365" t="s">
        <v>236</v>
      </c>
      <c r="CF5" s="365" t="s">
        <v>96</v>
      </c>
      <c r="CG5" s="365" t="s">
        <v>97</v>
      </c>
      <c r="CH5" s="365" t="s">
        <v>98</v>
      </c>
      <c r="CI5" s="365" t="s">
        <v>99</v>
      </c>
      <c r="CJ5" s="365" t="s">
        <v>100</v>
      </c>
      <c r="CK5" s="365" t="s">
        <v>235</v>
      </c>
      <c r="CL5" s="365" t="s">
        <v>236</v>
      </c>
      <c r="CM5" s="365" t="s">
        <v>96</v>
      </c>
      <c r="CN5" s="365" t="s">
        <v>97</v>
      </c>
      <c r="CO5" s="365" t="s">
        <v>98</v>
      </c>
      <c r="CP5" s="365" t="s">
        <v>99</v>
      </c>
      <c r="CQ5" s="365" t="s">
        <v>100</v>
      </c>
      <c r="CR5" s="365" t="s">
        <v>235</v>
      </c>
      <c r="CS5" s="365" t="s">
        <v>236</v>
      </c>
      <c r="CT5" s="365" t="s">
        <v>96</v>
      </c>
      <c r="CU5" s="365" t="s">
        <v>97</v>
      </c>
      <c r="CV5" s="365" t="s">
        <v>98</v>
      </c>
      <c r="CW5" s="365" t="s">
        <v>99</v>
      </c>
      <c r="CX5" s="365" t="s">
        <v>100</v>
      </c>
      <c r="CY5" s="365" t="s">
        <v>235</v>
      </c>
      <c r="CZ5" s="365" t="s">
        <v>236</v>
      </c>
      <c r="DA5" s="365" t="s">
        <v>96</v>
      </c>
      <c r="DB5" s="365" t="s">
        <v>97</v>
      </c>
      <c r="DC5" s="365" t="s">
        <v>98</v>
      </c>
      <c r="DD5" s="365" t="s">
        <v>99</v>
      </c>
      <c r="DE5" s="365" t="s">
        <v>100</v>
      </c>
      <c r="DF5" s="365" t="s">
        <v>235</v>
      </c>
      <c r="DG5" s="365" t="s">
        <v>236</v>
      </c>
      <c r="DH5" s="365"/>
      <c r="DI5" s="365" t="s">
        <v>96</v>
      </c>
      <c r="DJ5" s="365" t="s">
        <v>97</v>
      </c>
      <c r="DK5" s="365" t="s">
        <v>98</v>
      </c>
      <c r="DL5" s="365" t="s">
        <v>99</v>
      </c>
      <c r="DM5" s="365" t="s">
        <v>100</v>
      </c>
      <c r="DN5" s="365" t="s">
        <v>96</v>
      </c>
      <c r="DO5" s="365" t="s">
        <v>97</v>
      </c>
      <c r="DP5" s="365" t="s">
        <v>98</v>
      </c>
      <c r="DQ5" s="365" t="s">
        <v>99</v>
      </c>
      <c r="DR5" s="365" t="s">
        <v>100</v>
      </c>
      <c r="DS5" s="365" t="s">
        <v>96</v>
      </c>
      <c r="DT5" s="365" t="s">
        <v>97</v>
      </c>
      <c r="DU5" s="365" t="s">
        <v>98</v>
      </c>
      <c r="DV5" s="365" t="s">
        <v>99</v>
      </c>
      <c r="DW5" s="365" t="s">
        <v>100</v>
      </c>
      <c r="DX5" s="365" t="s">
        <v>96</v>
      </c>
      <c r="DY5" s="365" t="s">
        <v>97</v>
      </c>
      <c r="DZ5" s="365" t="s">
        <v>98</v>
      </c>
      <c r="EA5" s="365" t="s">
        <v>99</v>
      </c>
      <c r="EB5" s="365" t="s">
        <v>100</v>
      </c>
      <c r="EC5" s="365" t="s">
        <v>96</v>
      </c>
      <c r="ED5" s="365" t="s">
        <v>97</v>
      </c>
      <c r="EE5" s="365" t="s">
        <v>98</v>
      </c>
      <c r="EF5" s="365" t="s">
        <v>99</v>
      </c>
      <c r="EG5" s="365" t="s">
        <v>100</v>
      </c>
      <c r="EH5" s="365" t="s">
        <v>96</v>
      </c>
      <c r="EI5" s="365" t="s">
        <v>97</v>
      </c>
      <c r="EJ5" s="365" t="s">
        <v>98</v>
      </c>
      <c r="EK5" s="365" t="s">
        <v>99</v>
      </c>
      <c r="EL5" s="365" t="s">
        <v>100</v>
      </c>
      <c r="EM5" s="365" t="s">
        <v>96</v>
      </c>
      <c r="EN5" s="365" t="s">
        <v>97</v>
      </c>
      <c r="EO5" s="365" t="s">
        <v>98</v>
      </c>
      <c r="EP5" s="365" t="s">
        <v>99</v>
      </c>
      <c r="EQ5" s="365" t="s">
        <v>100</v>
      </c>
      <c r="ER5" s="365" t="s">
        <v>96</v>
      </c>
      <c r="ES5" s="365" t="s">
        <v>97</v>
      </c>
      <c r="ET5" s="365" t="s">
        <v>98</v>
      </c>
      <c r="EU5" s="365" t="s">
        <v>99</v>
      </c>
      <c r="EV5" s="365" t="s">
        <v>100</v>
      </c>
      <c r="EW5" s="365" t="s">
        <v>96</v>
      </c>
      <c r="EX5" s="365" t="s">
        <v>97</v>
      </c>
      <c r="EY5" s="365" t="s">
        <v>98</v>
      </c>
      <c r="EZ5" s="365" t="s">
        <v>99</v>
      </c>
      <c r="FA5" s="365" t="s">
        <v>100</v>
      </c>
      <c r="FB5" s="365" t="s">
        <v>96</v>
      </c>
      <c r="FC5" s="365" t="s">
        <v>97</v>
      </c>
      <c r="FD5" s="365" t="s">
        <v>98</v>
      </c>
      <c r="FE5" s="365" t="s">
        <v>99</v>
      </c>
      <c r="FF5" s="365" t="s">
        <v>100</v>
      </c>
      <c r="FG5" s="365" t="s">
        <v>96</v>
      </c>
      <c r="FH5" s="365" t="s">
        <v>97</v>
      </c>
      <c r="FI5" s="365" t="s">
        <v>98</v>
      </c>
      <c r="FJ5" s="365" t="s">
        <v>99</v>
      </c>
      <c r="FK5" s="365" t="s">
        <v>100</v>
      </c>
      <c r="FL5" s="365" t="s">
        <v>96</v>
      </c>
      <c r="FM5" s="365" t="s">
        <v>97</v>
      </c>
      <c r="FN5" s="365" t="s">
        <v>98</v>
      </c>
      <c r="FO5" s="365" t="s">
        <v>99</v>
      </c>
      <c r="FP5" s="365" t="s">
        <v>100</v>
      </c>
      <c r="FQ5" s="229"/>
      <c r="FR5" s="229"/>
      <c r="FS5" s="229"/>
      <c r="FT5" s="229"/>
      <c r="FU5" s="229"/>
      <c r="FV5" s="229"/>
      <c r="FW5" s="229"/>
      <c r="FX5" s="229"/>
      <c r="FY5" s="229"/>
      <c r="FZ5" s="365"/>
      <c r="GA5" s="365"/>
      <c r="GB5" s="365"/>
      <c r="GC5" s="365"/>
      <c r="GD5" s="365"/>
      <c r="GE5" s="365"/>
      <c r="GF5" s="365"/>
      <c r="GG5" s="355"/>
      <c r="GH5" s="355"/>
      <c r="GI5" s="355"/>
      <c r="GJ5" s="355"/>
      <c r="GK5" s="355"/>
      <c r="GL5" s="355"/>
      <c r="GM5" s="355"/>
      <c r="GN5" s="355"/>
      <c r="GO5" s="355"/>
      <c r="GP5" s="355"/>
      <c r="GQ5" s="355"/>
      <c r="GR5" s="355"/>
      <c r="GS5" s="355"/>
      <c r="GT5" s="355"/>
      <c r="GU5" s="355"/>
      <c r="GV5" s="355"/>
      <c r="GW5" s="355"/>
      <c r="GX5" s="355"/>
      <c r="GY5" s="355"/>
      <c r="GZ5" s="355"/>
      <c r="HA5" s="355"/>
      <c r="HB5" s="355"/>
      <c r="HC5" s="355"/>
      <c r="HD5" s="355"/>
      <c r="HE5" s="355"/>
      <c r="HF5" s="355"/>
      <c r="HG5" s="355"/>
      <c r="HH5" s="355"/>
      <c r="HI5" s="355"/>
      <c r="HJ5" s="355"/>
      <c r="HK5" s="355"/>
      <c r="HL5" s="355"/>
      <c r="HM5" s="355"/>
      <c r="HN5" s="355"/>
      <c r="HO5" s="355"/>
      <c r="HP5" s="355"/>
      <c r="HQ5" s="355"/>
      <c r="HR5" s="355"/>
      <c r="HS5" s="355"/>
      <c r="HT5" s="355"/>
      <c r="HU5" s="355"/>
      <c r="HV5" s="355"/>
      <c r="HW5" s="355"/>
      <c r="HX5" s="355"/>
      <c r="HY5" s="355"/>
      <c r="HZ5" s="355"/>
      <c r="IA5" s="355"/>
      <c r="IB5" s="355"/>
      <c r="IC5" s="355"/>
      <c r="ID5" s="355"/>
      <c r="IE5" s="355"/>
      <c r="IF5" s="355"/>
      <c r="IG5" s="355"/>
      <c r="IH5" s="355"/>
      <c r="II5" s="355"/>
    </row>
    <row r="6" spans="1:243" s="276" customFormat="1" ht="21" customHeight="1" x14ac:dyDescent="0.3">
      <c r="A6" s="274" t="str">
        <f>N_L1</f>
        <v>La Cumbre</v>
      </c>
      <c r="B6" s="363" t="s">
        <v>37</v>
      </c>
      <c r="C6" s="363" t="s">
        <v>37</v>
      </c>
      <c r="D6" s="363" t="s">
        <v>37</v>
      </c>
      <c r="E6" s="363" t="s">
        <v>37</v>
      </c>
      <c r="F6" s="363" t="s">
        <v>37</v>
      </c>
      <c r="G6" s="363" t="s">
        <v>37</v>
      </c>
      <c r="H6" s="363" t="s">
        <v>37</v>
      </c>
      <c r="I6" s="363" t="s">
        <v>37</v>
      </c>
      <c r="J6" s="363" t="s">
        <v>37</v>
      </c>
      <c r="K6" s="363" t="s">
        <v>37</v>
      </c>
      <c r="L6" s="363" t="s">
        <v>37</v>
      </c>
      <c r="M6" s="363" t="s">
        <v>37</v>
      </c>
      <c r="N6" s="273"/>
      <c r="O6" s="364"/>
      <c r="P6" s="364"/>
      <c r="Q6" s="364"/>
      <c r="R6" s="364"/>
      <c r="S6" s="364"/>
      <c r="T6" s="364"/>
      <c r="U6" s="364"/>
      <c r="V6" s="364"/>
      <c r="W6" s="364"/>
      <c r="X6" s="364"/>
      <c r="Y6" s="364"/>
      <c r="Z6" s="364"/>
      <c r="AA6" s="364"/>
      <c r="AB6" s="365"/>
      <c r="AC6" s="365"/>
      <c r="AD6" s="365"/>
      <c r="AE6" s="365"/>
      <c r="AF6" s="365"/>
      <c r="AG6" s="365"/>
      <c r="AH6" s="365"/>
      <c r="AI6" s="365"/>
      <c r="AJ6" s="365"/>
      <c r="AK6" s="365"/>
      <c r="AL6" s="365"/>
      <c r="AM6" s="365"/>
      <c r="AN6" s="365"/>
      <c r="AO6" s="365"/>
      <c r="AP6" s="365"/>
      <c r="AQ6" s="365"/>
      <c r="AR6" s="365"/>
      <c r="AS6" s="365"/>
      <c r="AT6" s="365"/>
      <c r="AU6" s="365"/>
      <c r="AV6" s="365"/>
      <c r="AW6" s="365"/>
      <c r="AX6" s="365"/>
      <c r="AY6" s="365"/>
      <c r="AZ6" s="365"/>
      <c r="BA6" s="365"/>
      <c r="BB6" s="365"/>
      <c r="BC6" s="365"/>
      <c r="BD6" s="365"/>
      <c r="BE6" s="365"/>
      <c r="BF6" s="365"/>
      <c r="BG6" s="365"/>
      <c r="BH6" s="365"/>
      <c r="BI6" s="365"/>
      <c r="BJ6" s="365"/>
      <c r="BK6" s="365"/>
      <c r="BL6" s="365"/>
      <c r="BM6" s="365"/>
      <c r="BN6" s="365"/>
      <c r="BO6" s="365"/>
      <c r="BP6" s="365"/>
      <c r="BQ6" s="365"/>
      <c r="BR6" s="365"/>
      <c r="BS6" s="365"/>
      <c r="BT6" s="365"/>
      <c r="BU6" s="365"/>
      <c r="BV6" s="365"/>
      <c r="BW6" s="365"/>
      <c r="BX6" s="365"/>
      <c r="BY6" s="365"/>
      <c r="BZ6" s="365"/>
      <c r="CA6" s="365"/>
      <c r="CB6" s="365"/>
      <c r="CC6" s="365"/>
      <c r="CD6" s="365"/>
      <c r="CE6" s="365"/>
      <c r="CF6" s="365"/>
      <c r="CG6" s="365"/>
      <c r="CH6" s="365"/>
      <c r="CI6" s="365"/>
      <c r="CJ6" s="365"/>
      <c r="CK6" s="365"/>
      <c r="CL6" s="365"/>
      <c r="CM6" s="365"/>
      <c r="CN6" s="365"/>
      <c r="CO6" s="365"/>
      <c r="CP6" s="365"/>
      <c r="CQ6" s="365"/>
      <c r="CR6" s="365"/>
      <c r="CS6" s="365"/>
      <c r="CT6" s="365"/>
      <c r="CU6" s="365"/>
      <c r="CV6" s="365"/>
      <c r="CW6" s="365"/>
      <c r="CX6" s="365"/>
      <c r="CY6" s="365"/>
      <c r="CZ6" s="365"/>
      <c r="DA6" s="365"/>
      <c r="DB6" s="365"/>
      <c r="DC6" s="365"/>
      <c r="DD6" s="365"/>
      <c r="DE6" s="365"/>
      <c r="DF6" s="365"/>
      <c r="DG6" s="365"/>
      <c r="DH6" s="365"/>
      <c r="DI6" s="365"/>
      <c r="DJ6" s="365"/>
      <c r="DK6" s="365"/>
      <c r="DL6" s="365"/>
      <c r="DM6" s="365"/>
      <c r="DN6" s="365"/>
      <c r="DO6" s="365"/>
      <c r="DP6" s="365"/>
      <c r="DQ6" s="365"/>
      <c r="DR6" s="365"/>
      <c r="DS6" s="365"/>
      <c r="DT6" s="365"/>
      <c r="DU6" s="365"/>
      <c r="DV6" s="365"/>
      <c r="DW6" s="365"/>
      <c r="DX6" s="365"/>
      <c r="DY6" s="365"/>
      <c r="DZ6" s="365"/>
      <c r="EA6" s="365"/>
      <c r="EB6" s="365"/>
      <c r="EC6" s="365"/>
      <c r="ED6" s="365"/>
      <c r="EE6" s="365"/>
      <c r="EF6" s="365"/>
      <c r="EG6" s="365"/>
      <c r="EH6" s="365"/>
      <c r="EI6" s="365"/>
      <c r="EJ6" s="365"/>
      <c r="EK6" s="365"/>
      <c r="EL6" s="365"/>
      <c r="EM6" s="365"/>
      <c r="EN6" s="365"/>
      <c r="EO6" s="365"/>
      <c r="EP6" s="365"/>
      <c r="EQ6" s="365"/>
      <c r="ER6" s="365"/>
      <c r="ES6" s="365"/>
      <c r="ET6" s="365"/>
      <c r="EU6" s="365"/>
      <c r="EV6" s="365"/>
      <c r="EW6" s="365"/>
      <c r="EX6" s="365"/>
      <c r="EY6" s="365"/>
      <c r="EZ6" s="365"/>
      <c r="FA6" s="365"/>
      <c r="FB6" s="365"/>
      <c r="FC6" s="365"/>
      <c r="FD6" s="365"/>
      <c r="FE6" s="365"/>
      <c r="FF6" s="365"/>
      <c r="FG6" s="365"/>
      <c r="FH6" s="365"/>
      <c r="FI6" s="365"/>
      <c r="FJ6" s="365"/>
      <c r="FK6" s="365"/>
      <c r="FL6" s="365"/>
      <c r="FM6" s="365"/>
      <c r="FN6" s="365"/>
      <c r="FO6" s="365"/>
      <c r="FP6" s="365"/>
      <c r="FQ6" s="229"/>
      <c r="FR6" s="229"/>
      <c r="FS6" s="229"/>
      <c r="FT6" s="229"/>
      <c r="FU6" s="229"/>
      <c r="FV6" s="229"/>
      <c r="FW6" s="229"/>
      <c r="FX6" s="229"/>
      <c r="FY6" s="229"/>
      <c r="FZ6" s="365"/>
      <c r="GA6" s="365"/>
      <c r="GB6" s="365"/>
      <c r="GC6" s="365"/>
      <c r="GD6" s="365"/>
      <c r="GE6" s="365"/>
      <c r="GF6" s="365"/>
      <c r="GG6" s="355"/>
      <c r="GH6" s="355"/>
      <c r="GI6" s="355"/>
      <c r="GJ6" s="355"/>
      <c r="GK6" s="355"/>
      <c r="GL6" s="355"/>
      <c r="GM6" s="355"/>
      <c r="GN6" s="355"/>
      <c r="GO6" s="355"/>
      <c r="GP6" s="355"/>
      <c r="GQ6" s="355"/>
      <c r="GR6" s="355"/>
      <c r="GS6" s="355"/>
      <c r="GT6" s="355"/>
      <c r="GU6" s="355"/>
      <c r="GV6" s="355"/>
      <c r="GW6" s="355"/>
      <c r="GX6" s="355"/>
      <c r="GY6" s="355"/>
      <c r="GZ6" s="355"/>
      <c r="HA6" s="355"/>
      <c r="HB6" s="355"/>
      <c r="HC6" s="355"/>
      <c r="HD6" s="355"/>
      <c r="HE6" s="355"/>
      <c r="HF6" s="355"/>
      <c r="HG6" s="355"/>
      <c r="HH6" s="355"/>
      <c r="HI6" s="355"/>
      <c r="HJ6" s="355"/>
      <c r="HK6" s="355"/>
      <c r="HL6" s="355"/>
      <c r="HM6" s="355"/>
      <c r="HN6" s="355"/>
      <c r="HO6" s="355"/>
      <c r="HP6" s="355"/>
      <c r="HQ6" s="355"/>
      <c r="HR6" s="355"/>
      <c r="HS6" s="355"/>
      <c r="HT6" s="355"/>
      <c r="HU6" s="355"/>
      <c r="HV6" s="355"/>
      <c r="HW6" s="355"/>
      <c r="HX6" s="355"/>
      <c r="HY6" s="355"/>
      <c r="HZ6" s="355"/>
      <c r="IA6" s="355"/>
      <c r="IB6" s="355"/>
      <c r="IC6" s="355"/>
      <c r="ID6" s="355"/>
      <c r="IE6" s="355"/>
      <c r="IF6" s="355"/>
      <c r="IG6" s="355"/>
      <c r="IH6" s="355"/>
      <c r="II6" s="355"/>
    </row>
    <row r="7" spans="1:243" s="276" customFormat="1" ht="21" customHeight="1" x14ac:dyDescent="0.3">
      <c r="A7" s="4" t="s">
        <v>237</v>
      </c>
      <c r="B7" s="7"/>
      <c r="C7" s="275"/>
      <c r="D7" s="275"/>
      <c r="E7" s="275"/>
      <c r="F7" s="275"/>
      <c r="G7" s="275"/>
      <c r="H7" s="275"/>
      <c r="I7" s="275"/>
      <c r="J7" s="275"/>
      <c r="K7" s="275"/>
      <c r="L7" s="275"/>
      <c r="M7" s="275"/>
      <c r="O7" s="365" cm="1">
        <f t="array" ref="O7">Área_L1*D_L1*A1_L1</f>
        <v>7000</v>
      </c>
      <c r="P7" s="365">
        <f>Área_L1*D_L1*A2_L1</f>
        <v>7000</v>
      </c>
      <c r="Q7" s="365">
        <f>Área_L1*D_L1*A3_L1</f>
        <v>7000</v>
      </c>
      <c r="R7" s="365">
        <f>Área_L1*D_L1*A4_L1</f>
        <v>7000</v>
      </c>
      <c r="S7" s="365">
        <f>Área_L1*D_L1*A5_L1</f>
        <v>7000</v>
      </c>
      <c r="T7" s="365">
        <f>Área_L1*D_L1*A6_L1</f>
        <v>7000</v>
      </c>
      <c r="U7" s="365">
        <f>Área_L1*D_L1*A7_L1</f>
        <v>7000</v>
      </c>
      <c r="V7" s="365">
        <f>Área_L1*D_L1*A8_L1</f>
        <v>7000</v>
      </c>
      <c r="W7" s="365">
        <f>Área_L1*D_L1*A9_L1</f>
        <v>7000</v>
      </c>
      <c r="X7" s="365">
        <f>Área_L1*D_L1*A10_L1</f>
        <v>7000</v>
      </c>
      <c r="Y7" s="365">
        <f>Área_L1*D_L1*A11_L1</f>
        <v>7000</v>
      </c>
      <c r="Z7" s="365">
        <f>Área_L1*D_L1*A12_L1</f>
        <v>7000</v>
      </c>
      <c r="AA7" s="365"/>
      <c r="AB7" s="365">
        <f>IF($B6="Producción",IF($B7&gt;=LI_A,$O7,0),0)</f>
        <v>0</v>
      </c>
      <c r="AC7" s="365">
        <f>IF($B6="Producción",IF($B7&gt;=LI_B,IF($B7&lt;LS_B,$O7,0),0),0)</f>
        <v>0</v>
      </c>
      <c r="AD7" s="365">
        <f>IF($B6="Producción",IF($B7&gt;=LI_C,IF($B7&lt;LS_C,$O7,0),0),0)</f>
        <v>0</v>
      </c>
      <c r="AE7" s="365">
        <f>IF($B6="Producción",IF($B7&lt;=LS_D,$O7,0),0)</f>
        <v>7000</v>
      </c>
      <c r="AF7" s="365">
        <f>IF($B6="Crecimiento",$O7,0)</f>
        <v>0</v>
      </c>
      <c r="AG7" s="365">
        <f>IF($B6="Siembra",$O7,0)</f>
        <v>0</v>
      </c>
      <c r="AH7" s="365">
        <f>IF($B6="Abandono",$O7,0)</f>
        <v>0</v>
      </c>
      <c r="AI7" s="365">
        <f>IF($C6="Producción",IF($C7&gt;=LI_A,$P7,0),0)</f>
        <v>0</v>
      </c>
      <c r="AJ7" s="365">
        <f>IF($C6="Producción",IF($C7&gt;=LI_B,IF($C7&lt;LS_B,$P7,0),0),0)</f>
        <v>0</v>
      </c>
      <c r="AK7" s="365">
        <f>IF($C6="Producción",IF($C7&gt;=LI_C,IF($C7&lt;LS_C,$P7,0),0),0)</f>
        <v>0</v>
      </c>
      <c r="AL7" s="365">
        <f>IF($C6="Producción",IF(C7&lt;=LS_D,$P7,0),0)</f>
        <v>7000</v>
      </c>
      <c r="AM7" s="365">
        <f>IF($C6="Crecimiento",$P7,0)</f>
        <v>0</v>
      </c>
      <c r="AN7" s="365">
        <f>IF($C6="Siembra",$P7,0)</f>
        <v>0</v>
      </c>
      <c r="AO7" s="365">
        <f>IF($C6="Abandono",$P7,0)</f>
        <v>0</v>
      </c>
      <c r="AP7" s="365">
        <f>IF($D6="Producción",IF($D7&gt;=LI_A,$Q7,0),0)</f>
        <v>0</v>
      </c>
      <c r="AQ7" s="365">
        <f>IF($D6="Producción",IF($D7&gt;=LI_B,IF($D7&lt;LS_B,$Q7,0),0),0)</f>
        <v>0</v>
      </c>
      <c r="AR7" s="365">
        <f>IF($D6="Producción",IF($D7&gt;=LI_C,IF($D7&lt;LS_C,$Q7,0),0),0)</f>
        <v>0</v>
      </c>
      <c r="AS7" s="365">
        <f>IF($D6="Producción",IF($D7&lt;=LS_D,$Q7,0),0)</f>
        <v>7000</v>
      </c>
      <c r="AT7" s="365">
        <f>IF($D6="Crecimiento",$Q7,0)</f>
        <v>0</v>
      </c>
      <c r="AU7" s="365">
        <f>IF($D6="Siembra",$Q7,0)</f>
        <v>0</v>
      </c>
      <c r="AV7" s="365">
        <f>IF($D6="Abandono",$Q7,0)</f>
        <v>0</v>
      </c>
      <c r="AW7" s="365">
        <f>IF($E6="Producción",IF($E7&gt;=LI_A,$R7,0),0)</f>
        <v>0</v>
      </c>
      <c r="AX7" s="365">
        <f>IF($E6="Producción",IF($E7&gt;=LI_B,IF($E7&lt;LS_B,$R7,0),0),0)</f>
        <v>0</v>
      </c>
      <c r="AY7" s="365">
        <f>IF($E6="Producción",IF($E7&gt;=LI_C,IF($E7&lt;LS_C,$R7,0),0),0)</f>
        <v>0</v>
      </c>
      <c r="AZ7" s="365">
        <f>IF($E6="Producción",IF($E7&lt;=LS_D,$R7,0),0)</f>
        <v>7000</v>
      </c>
      <c r="BA7" s="365">
        <f>IF($E6="Crecimiento",$R7,0)</f>
        <v>0</v>
      </c>
      <c r="BB7" s="365">
        <f>IF($E6="Siembra",$R7,0)</f>
        <v>0</v>
      </c>
      <c r="BC7" s="365">
        <f>IF($E6="Abandono",$R7,0)</f>
        <v>0</v>
      </c>
      <c r="BD7" s="365">
        <f>IF($F6="Producción",IF($F7&gt;=LI_A,$S7,0),0)</f>
        <v>0</v>
      </c>
      <c r="BE7" s="365">
        <f>IF($F6="Producción",IF($F7&gt;=LI_B,IF($F7&lt;LS_B,$S7,0),0),0)</f>
        <v>0</v>
      </c>
      <c r="BF7" s="365">
        <f>IF($F6="Producción",IF($F7&gt;=LI_C,IF($F7&lt;LS_C,$S7,0),0),0)</f>
        <v>0</v>
      </c>
      <c r="BG7" s="365">
        <f>IF($F6="Producción",IF($F7&lt;=LS_D,$S7,0),0)</f>
        <v>7000</v>
      </c>
      <c r="BH7" s="365">
        <f>IF($F6="Crecimiento",$S7,0)</f>
        <v>0</v>
      </c>
      <c r="BI7" s="365">
        <f>IF($F6="Siembra",$S7,0)</f>
        <v>0</v>
      </c>
      <c r="BJ7" s="365">
        <f>IF($F6="Abandono",$S7,0)</f>
        <v>0</v>
      </c>
      <c r="BK7" s="365">
        <f>IF($G6="Producción",IF($G7&gt;=LI_A,$T7,0),0)</f>
        <v>0</v>
      </c>
      <c r="BL7" s="365">
        <f>IF($G6="Producción",IF($G7&gt;=LI_B,IF($G7&lt;LS_B,$T7,0),0),0)</f>
        <v>0</v>
      </c>
      <c r="BM7" s="365">
        <f>IF($G6="Producción",IF($G7&gt;=LI_C,IF($G7&lt;LS_C,$T7,0),0),0)</f>
        <v>0</v>
      </c>
      <c r="BN7" s="365">
        <f>IF($G6="Producción",IF($G7&lt;=LS_D,$T7,0),0)</f>
        <v>7000</v>
      </c>
      <c r="BO7" s="365">
        <f>IF($G6="Crecimiento",$T7,0)</f>
        <v>0</v>
      </c>
      <c r="BP7" s="365">
        <f>IF($G6="Siembra",$T7,0)</f>
        <v>0</v>
      </c>
      <c r="BQ7" s="365">
        <f>IF($G6="Abandono",$T7,0)</f>
        <v>0</v>
      </c>
      <c r="BR7" s="365">
        <f>IF($H6="Producción",IF($H7&gt;=LI_A,$U7,0),0)</f>
        <v>0</v>
      </c>
      <c r="BS7" s="365">
        <f>IF($H6="Producción",IF($H7&gt;=LI_B,IF($H7&lt;LS_B,$U7,0),0),0)</f>
        <v>0</v>
      </c>
      <c r="BT7" s="365">
        <f>IF($H6="Producción",IF($H7&gt;=LI_C,IF($H7&lt;LS_C,$U7,0),0),0)</f>
        <v>0</v>
      </c>
      <c r="BU7" s="365">
        <f>IF($H6="Producción",IF($H7&lt;=LS_D,$U7,0),0)</f>
        <v>7000</v>
      </c>
      <c r="BV7" s="365">
        <f>IF($H6="Crecimiento",$U7,0)</f>
        <v>0</v>
      </c>
      <c r="BW7" s="365">
        <f>IF($H6="Siembra",$U7,0)</f>
        <v>0</v>
      </c>
      <c r="BX7" s="365">
        <f>IF($H6="Abandono",$U7,0)</f>
        <v>0</v>
      </c>
      <c r="BY7" s="365">
        <f>IF($I6="Producción",IF($I7&gt;=LI_A,$V7,0),0)</f>
        <v>0</v>
      </c>
      <c r="BZ7" s="365">
        <f>IF($I6="Producción",IF($I7&gt;=LI_B,IF($I7&lt;LS_B,$V7,0),0),0)</f>
        <v>0</v>
      </c>
      <c r="CA7" s="365">
        <f>IF($I6="Producción",IF($I7&gt;=LI_C,IF($I7&lt;LS_C,$V7,0),0),0)</f>
        <v>0</v>
      </c>
      <c r="CB7" s="365">
        <f>IF($I6="Producción",IF($I7&lt;=LS_D,$V7,0),0)</f>
        <v>7000</v>
      </c>
      <c r="CC7" s="365">
        <f>IF($I6="Crecimiento",$V7,0)</f>
        <v>0</v>
      </c>
      <c r="CD7" s="365">
        <f>IF($I6="Siembra",$V7,0)</f>
        <v>0</v>
      </c>
      <c r="CE7" s="365">
        <f>IF($I6="Abandono",$V7,0)</f>
        <v>0</v>
      </c>
      <c r="CF7" s="365">
        <f>IF($J6="Producción",IF($J7&gt;=LI_A,$W7,0),0)</f>
        <v>0</v>
      </c>
      <c r="CG7" s="365">
        <f>IF($J6="Producción",IF($J7&gt;=LI_B,IF($J7&lt;LS_B,$W7,0),0),0)</f>
        <v>0</v>
      </c>
      <c r="CH7" s="365">
        <f>IF($J6="Producción",IF($J7&gt;=LI_C,IF($J7&lt;LS_C,$W7,0),0),0)</f>
        <v>0</v>
      </c>
      <c r="CI7" s="365">
        <f>IF($J6="Producción",IF($J7&lt;=LS_D,$W7,0),0)</f>
        <v>7000</v>
      </c>
      <c r="CJ7" s="365">
        <f>IF($J6="Crecimiento",$W7,0)</f>
        <v>0</v>
      </c>
      <c r="CK7" s="365">
        <f>IF($J6="Siembra",$W7,0)</f>
        <v>0</v>
      </c>
      <c r="CL7" s="365">
        <f>IF($J6="Abandono",$W7,0)</f>
        <v>0</v>
      </c>
      <c r="CM7" s="365">
        <f>IF($K6="Producción",IF($K7&gt;=LI_A,$X7,0),0)</f>
        <v>0</v>
      </c>
      <c r="CN7" s="365">
        <f>IF($K6="Producción",IF($K7&gt;=LI_B,IF($K7&lt;LS_B,$X7,0),0),0)</f>
        <v>0</v>
      </c>
      <c r="CO7" s="365">
        <f>IF($K6="Producción",IF($K7&gt;=LI_C,IF($K7&lt;LS_C,$X7,0),0),0)</f>
        <v>0</v>
      </c>
      <c r="CP7" s="365">
        <f>IF($K6="Producción",IF($K7&lt;=LS_D,$X7,0),0)</f>
        <v>7000</v>
      </c>
      <c r="CQ7" s="365">
        <f>IF($K6="Crecimiento",$X7,0)</f>
        <v>0</v>
      </c>
      <c r="CR7" s="365">
        <f>IF($K6="Siembra",$X7,0)</f>
        <v>0</v>
      </c>
      <c r="CS7" s="365">
        <f>IF($K6="Abandono",$X7,0)</f>
        <v>0</v>
      </c>
      <c r="CT7" s="365">
        <f>IF($L6="Producción",IF($L7&gt;=LI_A,$Y7,0),0)</f>
        <v>0</v>
      </c>
      <c r="CU7" s="365">
        <f>IF($L6="Producción",IF($L7&gt;=LI_B,IF($L7&lt;LS_B,$Y7,0),0),0)</f>
        <v>0</v>
      </c>
      <c r="CV7" s="365">
        <f>IF($L6="Producción",IF($L7&gt;=LI_C,IF($L7&lt;LS_C,$Y7,0),0),0)</f>
        <v>0</v>
      </c>
      <c r="CW7" s="365">
        <f>IF($L6="Producción",IF($L7&lt;=LS_D,$Y7,0),0)</f>
        <v>7000</v>
      </c>
      <c r="CX7" s="365">
        <f>IF($L6="Crecimiento",$Y7,0)</f>
        <v>0</v>
      </c>
      <c r="CY7" s="365">
        <f>IF($L6="Siembra",$Y7,0)</f>
        <v>0</v>
      </c>
      <c r="CZ7" s="365">
        <f>IF($L6="Abandono",$Y7,0)</f>
        <v>0</v>
      </c>
      <c r="DA7" s="365">
        <f>IF($M6="Producción",IF($M7&gt;=LI_A,$Z7,0),0)</f>
        <v>0</v>
      </c>
      <c r="DB7" s="365">
        <f>IF($M6="Producción",IF($M7&gt;=LI_B,IF($M7&lt;LS_B,$Z7,0),0),0)</f>
        <v>0</v>
      </c>
      <c r="DC7" s="365">
        <f>IF($M6="Producción",IF($M7&gt;=LI_C,IF($M7&lt;LS_C,$Z7,0),0),0)</f>
        <v>0</v>
      </c>
      <c r="DD7" s="365">
        <f>IF($M6="Producción",IF($M7&lt;=LS_D,$Z7,0),0)</f>
        <v>7000</v>
      </c>
      <c r="DE7" s="365">
        <f>IF($M6="Crecimiento",$Z7,0)</f>
        <v>0</v>
      </c>
      <c r="DF7" s="365">
        <f>IF($M6="Siembra",$Z7,0)</f>
        <v>0</v>
      </c>
      <c r="DG7" s="365">
        <f>IF($M6="Abandono",$Z7,0)</f>
        <v>0</v>
      </c>
      <c r="DH7" s="365"/>
      <c r="DI7" s="365">
        <f>AB7*$B7</f>
        <v>0</v>
      </c>
      <c r="DJ7" s="365">
        <f>AC7*$B7</f>
        <v>0</v>
      </c>
      <c r="DK7" s="365">
        <f>AD7*$B7</f>
        <v>0</v>
      </c>
      <c r="DL7" s="365">
        <f>AE7*$B7</f>
        <v>0</v>
      </c>
      <c r="DM7" s="365">
        <f>AF7*$B7</f>
        <v>0</v>
      </c>
      <c r="DN7" s="365">
        <f>AI7*$C7</f>
        <v>0</v>
      </c>
      <c r="DO7" s="365">
        <f>AJ7*$C7</f>
        <v>0</v>
      </c>
      <c r="DP7" s="365">
        <f>AK7*$C7</f>
        <v>0</v>
      </c>
      <c r="DQ7" s="365">
        <f>AL7*$C7</f>
        <v>0</v>
      </c>
      <c r="DR7" s="365">
        <f>AM7*$C7</f>
        <v>0</v>
      </c>
      <c r="DS7" s="365">
        <f>AP7*$D7</f>
        <v>0</v>
      </c>
      <c r="DT7" s="365">
        <f>AQ7*$D7</f>
        <v>0</v>
      </c>
      <c r="DU7" s="365">
        <f>AR7*$D7</f>
        <v>0</v>
      </c>
      <c r="DV7" s="365">
        <f>AS7*$D7</f>
        <v>0</v>
      </c>
      <c r="DW7" s="365">
        <f>AT7*$D7</f>
        <v>0</v>
      </c>
      <c r="DX7" s="365">
        <f>AW7*$E7</f>
        <v>0</v>
      </c>
      <c r="DY7" s="365">
        <f>AX7*$E7</f>
        <v>0</v>
      </c>
      <c r="DZ7" s="365">
        <f>AY7*$E7</f>
        <v>0</v>
      </c>
      <c r="EA7" s="365">
        <f>AZ7*$E7</f>
        <v>0</v>
      </c>
      <c r="EB7" s="365">
        <f>BA7*$E7</f>
        <v>0</v>
      </c>
      <c r="EC7" s="365">
        <f>BD7*$F7</f>
        <v>0</v>
      </c>
      <c r="ED7" s="365">
        <f>BE7*$F7</f>
        <v>0</v>
      </c>
      <c r="EE7" s="365">
        <f>BF7*$F7</f>
        <v>0</v>
      </c>
      <c r="EF7" s="365">
        <f>BG7*$F7</f>
        <v>0</v>
      </c>
      <c r="EG7" s="365">
        <f>BH7*$F7</f>
        <v>0</v>
      </c>
      <c r="EH7" s="365">
        <f>BK7*$G7</f>
        <v>0</v>
      </c>
      <c r="EI7" s="365">
        <f>BL7*$G7</f>
        <v>0</v>
      </c>
      <c r="EJ7" s="365">
        <f>BM7*$G7</f>
        <v>0</v>
      </c>
      <c r="EK7" s="365">
        <f>BN7*$G7</f>
        <v>0</v>
      </c>
      <c r="EL7" s="365">
        <f>BO7*$G7</f>
        <v>0</v>
      </c>
      <c r="EM7" s="365">
        <f>BR7*$H7</f>
        <v>0</v>
      </c>
      <c r="EN7" s="365">
        <f>BS7*$H7</f>
        <v>0</v>
      </c>
      <c r="EO7" s="365">
        <f>BT7*$H7</f>
        <v>0</v>
      </c>
      <c r="EP7" s="365">
        <f>BU7*$H7</f>
        <v>0</v>
      </c>
      <c r="EQ7" s="365">
        <f>BV7*$H7</f>
        <v>0</v>
      </c>
      <c r="ER7" s="365">
        <f>BY7*$I7</f>
        <v>0</v>
      </c>
      <c r="ES7" s="365">
        <f>BZ7*$I7</f>
        <v>0</v>
      </c>
      <c r="ET7" s="365">
        <f>CA7*$I7</f>
        <v>0</v>
      </c>
      <c r="EU7" s="365">
        <f>CB7*$I7</f>
        <v>0</v>
      </c>
      <c r="EV7" s="365">
        <f>CC7*$I7</f>
        <v>0</v>
      </c>
      <c r="EW7" s="365">
        <f>CF7*$J7</f>
        <v>0</v>
      </c>
      <c r="EX7" s="365">
        <f>CG7*$J7</f>
        <v>0</v>
      </c>
      <c r="EY7" s="365">
        <f>CH7*$J7</f>
        <v>0</v>
      </c>
      <c r="EZ7" s="365">
        <f>CI7*$J7</f>
        <v>0</v>
      </c>
      <c r="FA7" s="365">
        <f>CJ7*$J7</f>
        <v>0</v>
      </c>
      <c r="FB7" s="365">
        <f>CM7*$K7</f>
        <v>0</v>
      </c>
      <c r="FC7" s="365">
        <f>CN7*$K7</f>
        <v>0</v>
      </c>
      <c r="FD7" s="365">
        <f>CO7*$K7</f>
        <v>0</v>
      </c>
      <c r="FE7" s="365">
        <f>CP7*$K7</f>
        <v>0</v>
      </c>
      <c r="FF7" s="365">
        <f>CQ7*$K7</f>
        <v>0</v>
      </c>
      <c r="FG7" s="365">
        <f>CT7*$L7</f>
        <v>0</v>
      </c>
      <c r="FH7" s="365">
        <f>CU7*$L7</f>
        <v>0</v>
      </c>
      <c r="FI7" s="365">
        <f>CV7*$L7</f>
        <v>0</v>
      </c>
      <c r="FJ7" s="365">
        <f>CW7*$L7</f>
        <v>0</v>
      </c>
      <c r="FK7" s="365">
        <f>CX7*$L7</f>
        <v>0</v>
      </c>
      <c r="FL7" s="365">
        <f>DA7*$M7</f>
        <v>0</v>
      </c>
      <c r="FM7" s="365">
        <f t="shared" ref="FM7:FP7" si="4">DB7*$M7</f>
        <v>0</v>
      </c>
      <c r="FN7" s="365">
        <f>DC7*$M7</f>
        <v>0</v>
      </c>
      <c r="FO7" s="365">
        <f t="shared" si="4"/>
        <v>0</v>
      </c>
      <c r="FP7" s="365">
        <f t="shared" si="4"/>
        <v>0</v>
      </c>
      <c r="FQ7" s="229"/>
      <c r="FR7" s="229"/>
      <c r="FS7" s="229"/>
      <c r="FT7" s="229"/>
      <c r="FU7" s="229"/>
      <c r="FV7" s="229"/>
      <c r="FW7" s="229"/>
      <c r="FX7" s="229"/>
      <c r="FY7" s="229"/>
      <c r="FZ7" s="365"/>
      <c r="GA7" s="365"/>
      <c r="GB7" s="365"/>
      <c r="GC7" s="365"/>
      <c r="GD7" s="365"/>
      <c r="GE7" s="365"/>
      <c r="GF7" s="365"/>
      <c r="GG7" s="355"/>
      <c r="GH7" s="355"/>
      <c r="GI7" s="355"/>
      <c r="GJ7" s="355"/>
      <c r="GK7" s="355"/>
      <c r="GL7" s="355"/>
      <c r="GM7" s="355"/>
      <c r="GN7" s="355"/>
      <c r="GO7" s="355"/>
      <c r="GP7" s="355"/>
      <c r="GQ7" s="355"/>
      <c r="GR7" s="355"/>
      <c r="GS7" s="355"/>
      <c r="GT7" s="355"/>
      <c r="GU7" s="355"/>
      <c r="GV7" s="355"/>
      <c r="GW7" s="355"/>
      <c r="GX7" s="355"/>
      <c r="GY7" s="355"/>
      <c r="GZ7" s="355"/>
      <c r="HA7" s="355"/>
      <c r="HB7" s="355"/>
      <c r="HC7" s="355"/>
      <c r="HD7" s="355"/>
      <c r="HE7" s="355"/>
      <c r="HF7" s="355"/>
      <c r="HG7" s="355"/>
      <c r="HH7" s="355"/>
      <c r="HI7" s="355"/>
      <c r="HJ7" s="355"/>
      <c r="HK7" s="355"/>
      <c r="HL7" s="355"/>
      <c r="HM7" s="355"/>
      <c r="HN7" s="355"/>
      <c r="HO7" s="355"/>
      <c r="HP7" s="355"/>
      <c r="HQ7" s="355"/>
      <c r="HR7" s="355"/>
      <c r="HS7" s="355"/>
      <c r="HT7" s="355"/>
      <c r="HU7" s="355"/>
      <c r="HV7" s="355"/>
      <c r="HW7" s="355"/>
      <c r="HX7" s="355"/>
      <c r="HY7" s="355"/>
      <c r="HZ7" s="355"/>
      <c r="IA7" s="355"/>
      <c r="IB7" s="355"/>
      <c r="IC7" s="355"/>
      <c r="ID7" s="355"/>
      <c r="IE7" s="355"/>
      <c r="IF7" s="355"/>
      <c r="IG7" s="355"/>
      <c r="IH7" s="355"/>
      <c r="II7" s="355"/>
    </row>
    <row r="8" spans="1:243" s="276" customFormat="1" ht="21" customHeight="1" x14ac:dyDescent="0.3">
      <c r="A8" s="277" t="s">
        <v>238</v>
      </c>
      <c r="B8" s="278">
        <f>SUM(DI7:DM7)/100</f>
        <v>0</v>
      </c>
      <c r="C8" s="278">
        <f>SUM(DN7:DQ7)/100</f>
        <v>0</v>
      </c>
      <c r="D8" s="279">
        <f>SUM(DS7:DW7)/100</f>
        <v>0</v>
      </c>
      <c r="E8" s="279">
        <f>SUM(DX7:EB7)/100</f>
        <v>0</v>
      </c>
      <c r="F8" s="279">
        <f>SUM(EC7:EG7)/100</f>
        <v>0</v>
      </c>
      <c r="G8" s="279">
        <f>SUM(EH7:EL7)/100</f>
        <v>0</v>
      </c>
      <c r="H8" s="279">
        <f>SUM(EM7:EQ7)/100</f>
        <v>0</v>
      </c>
      <c r="I8" s="279">
        <f>SUM(ER7:EV7)/100</f>
        <v>0</v>
      </c>
      <c r="J8" s="279">
        <f>SUM(EW7:FA7)/100</f>
        <v>0</v>
      </c>
      <c r="K8" s="279">
        <f>SUM(FB7:FF7)/100</f>
        <v>0</v>
      </c>
      <c r="L8" s="279">
        <f>SUM(FG7:FK7)/100</f>
        <v>0</v>
      </c>
      <c r="M8" s="279">
        <f>SUM(FL7:FP7)/100</f>
        <v>0</v>
      </c>
      <c r="O8" s="365"/>
      <c r="P8" s="365"/>
      <c r="Q8" s="365"/>
      <c r="R8" s="365"/>
      <c r="S8" s="365"/>
      <c r="T8" s="365"/>
      <c r="U8" s="365"/>
      <c r="V8" s="365"/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  <c r="AP8" s="365"/>
      <c r="AQ8" s="365"/>
      <c r="AR8" s="365"/>
      <c r="AS8" s="365"/>
      <c r="AT8" s="365"/>
      <c r="AU8" s="365"/>
      <c r="AV8" s="365"/>
      <c r="AW8" s="365"/>
      <c r="AX8" s="365"/>
      <c r="AY8" s="365"/>
      <c r="AZ8" s="365"/>
      <c r="BA8" s="365"/>
      <c r="BB8" s="365"/>
      <c r="BC8" s="365"/>
      <c r="BD8" s="365"/>
      <c r="BE8" s="365"/>
      <c r="BF8" s="365"/>
      <c r="BG8" s="365"/>
      <c r="BH8" s="365"/>
      <c r="BI8" s="365"/>
      <c r="BJ8" s="365"/>
      <c r="BK8" s="365"/>
      <c r="BL8" s="365"/>
      <c r="BM8" s="365"/>
      <c r="BN8" s="365"/>
      <c r="BO8" s="365"/>
      <c r="BP8" s="365"/>
      <c r="BQ8" s="365"/>
      <c r="BR8" s="365"/>
      <c r="BS8" s="365"/>
      <c r="BT8" s="365"/>
      <c r="BU8" s="365"/>
      <c r="BV8" s="365"/>
      <c r="BW8" s="365"/>
      <c r="BX8" s="365"/>
      <c r="BY8" s="365"/>
      <c r="BZ8" s="365"/>
      <c r="CA8" s="365"/>
      <c r="CB8" s="365"/>
      <c r="CC8" s="365"/>
      <c r="CD8" s="365"/>
      <c r="CE8" s="365"/>
      <c r="CF8" s="365"/>
      <c r="CG8" s="365"/>
      <c r="CH8" s="365"/>
      <c r="CI8" s="365"/>
      <c r="CJ8" s="365"/>
      <c r="CK8" s="365"/>
      <c r="CL8" s="365"/>
      <c r="CM8" s="365"/>
      <c r="CN8" s="365"/>
      <c r="CO8" s="365"/>
      <c r="CP8" s="365"/>
      <c r="CQ8" s="365"/>
      <c r="CR8" s="365"/>
      <c r="CS8" s="365"/>
      <c r="CT8" s="365"/>
      <c r="CU8" s="365"/>
      <c r="CV8" s="365"/>
      <c r="CW8" s="365"/>
      <c r="CX8" s="365"/>
      <c r="CY8" s="365"/>
      <c r="CZ8" s="365"/>
      <c r="DA8" s="365"/>
      <c r="DB8" s="365"/>
      <c r="DC8" s="365"/>
      <c r="DD8" s="365"/>
      <c r="DE8" s="365"/>
      <c r="DF8" s="365"/>
      <c r="DG8" s="365"/>
      <c r="DH8" s="365"/>
      <c r="DI8" s="365"/>
      <c r="DJ8" s="365"/>
      <c r="DK8" s="365"/>
      <c r="DL8" s="365"/>
      <c r="DM8" s="365"/>
      <c r="DN8" s="365"/>
      <c r="DO8" s="365"/>
      <c r="DP8" s="365"/>
      <c r="DQ8" s="365"/>
      <c r="DR8" s="365"/>
      <c r="DS8" s="365"/>
      <c r="DT8" s="365"/>
      <c r="DU8" s="365"/>
      <c r="DV8" s="365"/>
      <c r="DW8" s="365"/>
      <c r="DX8" s="365"/>
      <c r="DY8" s="365"/>
      <c r="DZ8" s="365"/>
      <c r="EA8" s="365"/>
      <c r="EB8" s="365"/>
      <c r="EC8" s="365"/>
      <c r="ED8" s="365"/>
      <c r="EE8" s="365"/>
      <c r="EF8" s="365"/>
      <c r="EG8" s="365"/>
      <c r="EH8" s="365"/>
      <c r="EI8" s="365"/>
      <c r="EJ8" s="365"/>
      <c r="EK8" s="365"/>
      <c r="EL8" s="365"/>
      <c r="EM8" s="365"/>
      <c r="EN8" s="365"/>
      <c r="EO8" s="365"/>
      <c r="EP8" s="365"/>
      <c r="EQ8" s="365"/>
      <c r="ER8" s="365"/>
      <c r="ES8" s="365"/>
      <c r="ET8" s="365"/>
      <c r="EU8" s="365"/>
      <c r="EV8" s="365"/>
      <c r="EW8" s="365"/>
      <c r="EX8" s="365"/>
      <c r="EY8" s="365"/>
      <c r="EZ8" s="365"/>
      <c r="FA8" s="365"/>
      <c r="FB8" s="365"/>
      <c r="FC8" s="365"/>
      <c r="FD8" s="365"/>
      <c r="FE8" s="365"/>
      <c r="FF8" s="365"/>
      <c r="FG8" s="365"/>
      <c r="FH8" s="365"/>
      <c r="FI8" s="365"/>
      <c r="FJ8" s="365"/>
      <c r="FK8" s="365"/>
      <c r="FL8" s="365"/>
      <c r="FM8" s="365"/>
      <c r="FN8" s="365"/>
      <c r="FO8" s="365"/>
      <c r="FP8" s="365"/>
      <c r="FQ8" s="229"/>
      <c r="FR8" s="229"/>
      <c r="FS8" s="229"/>
      <c r="FT8" s="229"/>
      <c r="FU8" s="229"/>
      <c r="FV8" s="229"/>
      <c r="FW8" s="229"/>
      <c r="FX8" s="229"/>
      <c r="FY8" s="229"/>
      <c r="FZ8" s="365"/>
      <c r="GA8" s="365"/>
      <c r="GB8" s="365"/>
      <c r="GC8" s="365"/>
      <c r="GD8" s="365"/>
      <c r="GE8" s="365"/>
      <c r="GF8" s="365"/>
      <c r="GG8" s="355"/>
      <c r="GH8" s="355"/>
      <c r="GI8" s="355"/>
      <c r="GJ8" s="355"/>
      <c r="GK8" s="355"/>
      <c r="GL8" s="355"/>
      <c r="GM8" s="355"/>
      <c r="GN8" s="355"/>
      <c r="GO8" s="355"/>
      <c r="GP8" s="355"/>
      <c r="GQ8" s="355"/>
      <c r="GR8" s="355"/>
      <c r="GS8" s="355"/>
      <c r="GT8" s="355"/>
      <c r="GU8" s="355"/>
      <c r="GV8" s="355"/>
      <c r="GW8" s="355"/>
      <c r="GX8" s="355"/>
      <c r="GY8" s="355"/>
      <c r="GZ8" s="355"/>
      <c r="HA8" s="355"/>
      <c r="HB8" s="355"/>
      <c r="HC8" s="355"/>
      <c r="HD8" s="355"/>
      <c r="HE8" s="355"/>
      <c r="HF8" s="355"/>
      <c r="HG8" s="355"/>
      <c r="HH8" s="355"/>
      <c r="HI8" s="355"/>
      <c r="HJ8" s="355"/>
      <c r="HK8" s="355"/>
      <c r="HL8" s="355"/>
      <c r="HM8" s="355"/>
      <c r="HN8" s="355"/>
      <c r="HO8" s="355"/>
      <c r="HP8" s="355"/>
      <c r="HQ8" s="355"/>
      <c r="HR8" s="355"/>
      <c r="HS8" s="355"/>
      <c r="HT8" s="355"/>
      <c r="HU8" s="355"/>
      <c r="HV8" s="355"/>
      <c r="HW8" s="355"/>
      <c r="HX8" s="355"/>
      <c r="HY8" s="355"/>
      <c r="HZ8" s="355"/>
      <c r="IA8" s="355"/>
      <c r="IB8" s="355"/>
      <c r="IC8" s="355"/>
      <c r="ID8" s="355"/>
      <c r="IE8" s="355"/>
      <c r="IF8" s="355"/>
      <c r="IG8" s="355"/>
      <c r="IH8" s="355"/>
      <c r="II8" s="355"/>
    </row>
    <row r="9" spans="1:243" s="276" customFormat="1" ht="21" customHeight="1" x14ac:dyDescent="0.3">
      <c r="A9" s="149" t="s">
        <v>239</v>
      </c>
      <c r="B9" s="149">
        <f>SUM(DI7:DM7)/100/Lote_1</f>
        <v>0</v>
      </c>
      <c r="C9" s="149">
        <f>SUM(DN7:DQ7)/100/Lote_1</f>
        <v>0</v>
      </c>
      <c r="D9" s="149">
        <f>SUM(DS7:DW7)/100/Lote_1</f>
        <v>0</v>
      </c>
      <c r="E9" s="149">
        <f>SUM(DX7:EB7)/100/Lote_1</f>
        <v>0</v>
      </c>
      <c r="F9" s="149">
        <f>SUM(EC7:EG7)/100/Lote_1</f>
        <v>0</v>
      </c>
      <c r="G9" s="149">
        <f>SUM(EH7:EL7)/100/Lote_1</f>
        <v>0</v>
      </c>
      <c r="H9" s="149">
        <f>SUM(EM7:EQ7)/100/Lote_1</f>
        <v>0</v>
      </c>
      <c r="I9" s="149">
        <f>SUM(ER7:EV7)/100/Lote_1</f>
        <v>0</v>
      </c>
      <c r="J9" s="149">
        <f>SUM(EW7:FA7)/100/Lote_1</f>
        <v>0</v>
      </c>
      <c r="K9" s="149">
        <f>SUM(FB7:FF7)/100/Lote_1</f>
        <v>0</v>
      </c>
      <c r="L9" s="149">
        <f>SUM(FG7:FK7)/100/Lote_1</f>
        <v>0</v>
      </c>
      <c r="M9" s="149">
        <f>SUM(FL7:FP7)/100/Lote_1</f>
        <v>0</v>
      </c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  <c r="AP9" s="365"/>
      <c r="AQ9" s="365"/>
      <c r="AR9" s="365"/>
      <c r="AS9" s="365"/>
      <c r="AT9" s="365"/>
      <c r="AU9" s="365"/>
      <c r="AV9" s="365"/>
      <c r="AW9" s="365"/>
      <c r="AX9" s="365"/>
      <c r="AY9" s="365"/>
      <c r="AZ9" s="365"/>
      <c r="BA9" s="365"/>
      <c r="BB9" s="365"/>
      <c r="BC9" s="365"/>
      <c r="BD9" s="365"/>
      <c r="BE9" s="365"/>
      <c r="BF9" s="365"/>
      <c r="BG9" s="365"/>
      <c r="BH9" s="365"/>
      <c r="BI9" s="365"/>
      <c r="BJ9" s="365"/>
      <c r="BK9" s="365"/>
      <c r="BL9" s="365"/>
      <c r="BM9" s="365"/>
      <c r="BN9" s="365"/>
      <c r="BO9" s="365"/>
      <c r="BP9" s="365"/>
      <c r="BQ9" s="365"/>
      <c r="BR9" s="365"/>
      <c r="BS9" s="365"/>
      <c r="BT9" s="365"/>
      <c r="BU9" s="365"/>
      <c r="BV9" s="365"/>
      <c r="BW9" s="365"/>
      <c r="BX9" s="365"/>
      <c r="BY9" s="365"/>
      <c r="BZ9" s="365"/>
      <c r="CA9" s="365"/>
      <c r="CB9" s="365"/>
      <c r="CC9" s="365"/>
      <c r="CD9" s="365"/>
      <c r="CE9" s="365"/>
      <c r="CF9" s="365"/>
      <c r="CG9" s="365"/>
      <c r="CH9" s="365"/>
      <c r="CI9" s="365"/>
      <c r="CJ9" s="365"/>
      <c r="CK9" s="365"/>
      <c r="CL9" s="365"/>
      <c r="CM9" s="365"/>
      <c r="CN9" s="365"/>
      <c r="CO9" s="365"/>
      <c r="CP9" s="365"/>
      <c r="CQ9" s="365"/>
      <c r="CR9" s="365"/>
      <c r="CS9" s="365"/>
      <c r="CT9" s="365"/>
      <c r="CU9" s="365"/>
      <c r="CV9" s="365"/>
      <c r="CW9" s="365"/>
      <c r="CX9" s="365"/>
      <c r="CY9" s="365"/>
      <c r="CZ9" s="365"/>
      <c r="DA9" s="365"/>
      <c r="DB9" s="365"/>
      <c r="DC9" s="365"/>
      <c r="DD9" s="365"/>
      <c r="DE9" s="365"/>
      <c r="DF9" s="365"/>
      <c r="DG9" s="365"/>
      <c r="DH9" s="365"/>
      <c r="DI9" s="365"/>
      <c r="DJ9" s="365"/>
      <c r="DK9" s="365"/>
      <c r="DL9" s="365"/>
      <c r="DM9" s="365"/>
      <c r="DN9" s="365"/>
      <c r="DO9" s="365"/>
      <c r="DP9" s="365"/>
      <c r="DQ9" s="365"/>
      <c r="DR9" s="365"/>
      <c r="DS9" s="365"/>
      <c r="DT9" s="365"/>
      <c r="DU9" s="365"/>
      <c r="DV9" s="365"/>
      <c r="DW9" s="365"/>
      <c r="DX9" s="365"/>
      <c r="DY9" s="365"/>
      <c r="DZ9" s="365"/>
      <c r="EA9" s="365"/>
      <c r="EB9" s="365"/>
      <c r="EC9" s="365"/>
      <c r="ED9" s="365"/>
      <c r="EE9" s="365"/>
      <c r="EF9" s="365"/>
      <c r="EG9" s="365"/>
      <c r="EH9" s="365"/>
      <c r="EI9" s="365"/>
      <c r="EJ9" s="365"/>
      <c r="EK9" s="365"/>
      <c r="EL9" s="365"/>
      <c r="EM9" s="365"/>
      <c r="EN9" s="365"/>
      <c r="EO9" s="365"/>
      <c r="EP9" s="365"/>
      <c r="EQ9" s="365"/>
      <c r="ER9" s="365"/>
      <c r="ES9" s="365"/>
      <c r="ET9" s="365"/>
      <c r="EU9" s="365"/>
      <c r="EV9" s="365"/>
      <c r="EW9" s="365"/>
      <c r="EX9" s="365"/>
      <c r="EY9" s="365"/>
      <c r="EZ9" s="365"/>
      <c r="FA9" s="365"/>
      <c r="FB9" s="365"/>
      <c r="FC9" s="365"/>
      <c r="FD9" s="365"/>
      <c r="FE9" s="365"/>
      <c r="FF9" s="365"/>
      <c r="FG9" s="365"/>
      <c r="FH9" s="365"/>
      <c r="FI9" s="365"/>
      <c r="FJ9" s="365"/>
      <c r="FK9" s="365"/>
      <c r="FL9" s="365"/>
      <c r="FM9" s="365"/>
      <c r="FN9" s="365"/>
      <c r="FO9" s="365"/>
      <c r="FP9" s="365"/>
      <c r="FQ9" s="229"/>
      <c r="FR9" s="229"/>
      <c r="FS9" s="229"/>
      <c r="FT9" s="229"/>
      <c r="FU9" s="229"/>
      <c r="FV9" s="229"/>
      <c r="FW9" s="229"/>
      <c r="FX9" s="229"/>
      <c r="FY9" s="229"/>
      <c r="FZ9" s="365"/>
      <c r="GA9" s="365"/>
      <c r="GB9" s="365"/>
      <c r="GC9" s="365"/>
      <c r="GD9" s="365"/>
      <c r="GE9" s="365"/>
      <c r="GF9" s="365"/>
      <c r="GG9" s="355"/>
      <c r="GH9" s="355"/>
      <c r="GI9" s="355"/>
      <c r="GJ9" s="355"/>
      <c r="GK9" s="355"/>
      <c r="GL9" s="355"/>
      <c r="GM9" s="355"/>
      <c r="GN9" s="355"/>
      <c r="GO9" s="355"/>
      <c r="GP9" s="355"/>
      <c r="GQ9" s="355"/>
      <c r="GR9" s="355"/>
      <c r="GS9" s="355"/>
      <c r="GT9" s="355"/>
      <c r="GU9" s="355"/>
      <c r="GV9" s="355"/>
      <c r="GW9" s="355"/>
      <c r="GX9" s="355"/>
      <c r="GY9" s="355"/>
      <c r="GZ9" s="355"/>
      <c r="HA9" s="355"/>
      <c r="HB9" s="355"/>
      <c r="HC9" s="355"/>
      <c r="HD9" s="355"/>
      <c r="HE9" s="355"/>
      <c r="HF9" s="355"/>
      <c r="HG9" s="355"/>
      <c r="HH9" s="355"/>
      <c r="HI9" s="355"/>
      <c r="HJ9" s="355"/>
      <c r="HK9" s="355"/>
      <c r="HL9" s="355"/>
      <c r="HM9" s="355"/>
      <c r="HN9" s="355"/>
      <c r="HO9" s="355"/>
      <c r="HP9" s="355"/>
      <c r="HQ9" s="355"/>
      <c r="HR9" s="355"/>
      <c r="HS9" s="355"/>
      <c r="HT9" s="355"/>
      <c r="HU9" s="355"/>
      <c r="HV9" s="355"/>
      <c r="HW9" s="355"/>
      <c r="HX9" s="355"/>
      <c r="HY9" s="355"/>
      <c r="HZ9" s="355"/>
      <c r="IA9" s="355"/>
      <c r="IB9" s="355"/>
      <c r="IC9" s="355"/>
      <c r="ID9" s="355"/>
      <c r="IE9" s="355"/>
      <c r="IF9" s="355"/>
      <c r="IG9" s="355"/>
      <c r="IH9" s="355"/>
      <c r="II9" s="355"/>
    </row>
    <row r="10" spans="1:243" ht="21" customHeight="1" x14ac:dyDescent="0.3">
      <c r="A10" s="233">
        <f>N_L2</f>
        <v>0</v>
      </c>
      <c r="B10" s="363" t="s">
        <v>37</v>
      </c>
      <c r="C10" s="363" t="s">
        <v>37</v>
      </c>
      <c r="D10" s="363" t="s">
        <v>37</v>
      </c>
      <c r="E10" s="363" t="s">
        <v>37</v>
      </c>
      <c r="F10" s="363" t="s">
        <v>37</v>
      </c>
      <c r="G10" s="363" t="s">
        <v>37</v>
      </c>
      <c r="H10" s="363" t="s">
        <v>37</v>
      </c>
      <c r="I10" s="363" t="s">
        <v>37</v>
      </c>
      <c r="J10" s="363" t="s">
        <v>37</v>
      </c>
      <c r="K10" s="363" t="s">
        <v>37</v>
      </c>
      <c r="L10" s="363" t="s">
        <v>37</v>
      </c>
      <c r="M10" s="363" t="s">
        <v>37</v>
      </c>
    </row>
    <row r="11" spans="1:243" ht="21" customHeight="1" x14ac:dyDescent="0.3">
      <c r="A11" s="4" t="s">
        <v>237</v>
      </c>
      <c r="B11" s="7"/>
      <c r="C11" s="275"/>
      <c r="D11" s="275"/>
      <c r="E11" s="275"/>
      <c r="F11" s="275"/>
      <c r="G11" s="275"/>
      <c r="H11" s="275"/>
      <c r="I11" s="275"/>
      <c r="J11" s="275"/>
      <c r="K11" s="275"/>
      <c r="L11" s="275"/>
      <c r="M11" s="275"/>
      <c r="O11" s="58" cm="1">
        <f t="array" ref="O11">Área_L2*D_L2*A1_L2</f>
        <v>0</v>
      </c>
      <c r="P11" s="58">
        <f>Área_L2*D_L2*A2_L2</f>
        <v>0</v>
      </c>
      <c r="Q11" s="58">
        <f>Área_L2*D_L2*A3_L2</f>
        <v>0</v>
      </c>
      <c r="R11" s="58">
        <f>Área_L2*D_L2*A4_L2</f>
        <v>0</v>
      </c>
      <c r="S11" s="58">
        <f>Área_L2*D_L2*A5_L2</f>
        <v>0</v>
      </c>
      <c r="T11" s="58">
        <f>Área_L2*D_L2*A6_L2</f>
        <v>0</v>
      </c>
      <c r="U11" s="58">
        <f>Área_L2*D_L2*A7_L2</f>
        <v>0</v>
      </c>
      <c r="V11" s="58">
        <f>Área_L2*D_L2*A8_L2</f>
        <v>0</v>
      </c>
      <c r="W11" s="58">
        <f>Área_L2*D_L2*A9_L2</f>
        <v>0</v>
      </c>
      <c r="X11" s="58">
        <f>Área_L2*D_L2*A10_L2</f>
        <v>0</v>
      </c>
      <c r="Y11" s="58">
        <f>Área_L2*D_L2*A11_L2</f>
        <v>0</v>
      </c>
      <c r="Z11" s="58">
        <f>Área_L2*D_L2*A12_L2</f>
        <v>0</v>
      </c>
      <c r="AB11" s="58">
        <f>IF($B10="Producción",IF($B11&gt;=LI_A,$O11,0),0)</f>
        <v>0</v>
      </c>
      <c r="AC11" s="58">
        <f>IF($B10="Producción",IF($B11&gt;=LI_B,IF($B11&lt;LS_B,$O11,0),0),0)</f>
        <v>0</v>
      </c>
      <c r="AD11" s="58">
        <f>IF($B10="Producción",IF($B11&gt;=LI_C,IF($B11&lt;LS_C,$O11,0),0),0)</f>
        <v>0</v>
      </c>
      <c r="AE11" s="58">
        <f>IF($B10="Producción",IF($B11&lt;=LS_D,$O11,0),0)</f>
        <v>0</v>
      </c>
      <c r="AF11" s="365">
        <f>IF($B10="Crecimiento",$O11,0)</f>
        <v>0</v>
      </c>
      <c r="AG11" s="365">
        <f>IF($B10="Siembra",$O11,0)</f>
        <v>0</v>
      </c>
      <c r="AH11" s="365">
        <f>IF($B10="Abandono",$O11,0)</f>
        <v>0</v>
      </c>
      <c r="AI11" s="365">
        <f>IF($C10="Producción",IF($C11&gt;=LI_A,$P11,0),0)</f>
        <v>0</v>
      </c>
      <c r="AJ11" s="365">
        <f>IF($C10="Producción",IF($C11&gt;=LI_B,IF($C11&lt;LS_B,$P11,0),0),0)</f>
        <v>0</v>
      </c>
      <c r="AK11" s="365">
        <f>IF($C10="Producción",IF($C11&gt;=LI_C,IF($C11&lt;LS_C,$P11,0),0),0)</f>
        <v>0</v>
      </c>
      <c r="AL11" s="365">
        <f>IF($C10="Producción",IF(C11&lt;=LS_D,$P11,0),0)</f>
        <v>0</v>
      </c>
      <c r="AM11" s="365">
        <f>IF($C10="Crecimiento",$P11,0)</f>
        <v>0</v>
      </c>
      <c r="AN11" s="365">
        <f>IF($C10="Siembra",$P11,0)</f>
        <v>0</v>
      </c>
      <c r="AO11" s="365">
        <f>IF($C10="Abandono",$P11,0)</f>
        <v>0</v>
      </c>
      <c r="AP11" s="365">
        <f>IF($D10="Producción",IF($D11&gt;=LI_A,$Q11,0),0)</f>
        <v>0</v>
      </c>
      <c r="AQ11" s="365">
        <f>IF($D10="Producción",IF($D11&gt;=LI_B,IF($D11&lt;LS_B,$Q11,0),0),0)</f>
        <v>0</v>
      </c>
      <c r="AR11" s="365">
        <f>IF($D10="Producción",IF($D11&gt;=LI_C,IF($D11&lt;LS_C,$Q11,0),0),0)</f>
        <v>0</v>
      </c>
      <c r="AS11" s="365">
        <f>IF($D10="Producción",IF($D11&lt;=LS_D,$Q11,0),0)</f>
        <v>0</v>
      </c>
      <c r="AT11" s="365">
        <f>IF($D10="Crecimiento",$Q11,0)</f>
        <v>0</v>
      </c>
      <c r="AU11" s="365">
        <f>IF($D10="Siembra",$Q11,0)</f>
        <v>0</v>
      </c>
      <c r="AV11" s="365">
        <f>IF($D10="Abandono",$Q11,0)</f>
        <v>0</v>
      </c>
      <c r="AW11" s="365">
        <f>IF($E10="Producción",IF($E11&gt;=LI_A,$R11,0),0)</f>
        <v>0</v>
      </c>
      <c r="AX11" s="365">
        <f>IF($E10="Producción",IF($E11&gt;=LI_B,IF($E11&lt;LS_B,$R11,0),0),0)</f>
        <v>0</v>
      </c>
      <c r="AY11" s="365">
        <f>IF($E10="Producción",IF($E11&gt;=LI_C,IF($E11&lt;LS_C,$R11,0),0),0)</f>
        <v>0</v>
      </c>
      <c r="AZ11" s="365">
        <f>IF($E10="Producción",IF($E11&lt;=LS_D,$R11,0),0)</f>
        <v>0</v>
      </c>
      <c r="BA11" s="365">
        <f>IF($E10="Crecimiento",$R11,0)</f>
        <v>0</v>
      </c>
      <c r="BB11" s="365">
        <f>IF($E10="Siembra",$R11,0)</f>
        <v>0</v>
      </c>
      <c r="BC11" s="365">
        <f>IF($E10="Abandono",$R11,0)</f>
        <v>0</v>
      </c>
      <c r="BD11" s="365">
        <f>IF($F10="Producción",IF($F11&gt;=LI_A,$S11,0),0)</f>
        <v>0</v>
      </c>
      <c r="BE11" s="365">
        <f>IF($F10="Producción",IF($F11&gt;=LI_B,IF($F11&lt;LS_B,$S11,0),0),0)</f>
        <v>0</v>
      </c>
      <c r="BF11" s="365">
        <f>IF($F10="Producción",IF($F11&gt;=LI_C,IF($F11&lt;LS_C,$S11,0),0),0)</f>
        <v>0</v>
      </c>
      <c r="BG11" s="365">
        <f>IF($F10="Producción",IF($F11&lt;=LS_D,$S11,0),0)</f>
        <v>0</v>
      </c>
      <c r="BH11" s="365">
        <f>IF($F10="Crecimiento",$S11,0)</f>
        <v>0</v>
      </c>
      <c r="BI11" s="365">
        <f>IF($F10="Siembra",$S11,0)</f>
        <v>0</v>
      </c>
      <c r="BJ11" s="365">
        <f>IF($F10="Abandono",$S11,0)</f>
        <v>0</v>
      </c>
      <c r="BK11" s="365">
        <f>IF($G10="Producción",IF($G11&gt;=LI_A,$T11,0),0)</f>
        <v>0</v>
      </c>
      <c r="BL11" s="365">
        <f>IF($G10="Producción",IF($G11&gt;=LI_B,IF($G11&lt;LS_B,$T11,0),0),0)</f>
        <v>0</v>
      </c>
      <c r="BM11" s="365">
        <f>IF($G10="Producción",IF($G11&gt;=LI_C,IF($G11&lt;LS_C,$T11,0),0),0)</f>
        <v>0</v>
      </c>
      <c r="BN11" s="365">
        <f>IF($G10="Producción",IF($G11&lt;=LS_D,$T11,0),0)</f>
        <v>0</v>
      </c>
      <c r="BO11" s="365">
        <f>IF($G10="Crecimiento",$T11,0)</f>
        <v>0</v>
      </c>
      <c r="BP11" s="365">
        <f>IF($G10="Siembra",$T11,0)</f>
        <v>0</v>
      </c>
      <c r="BQ11" s="365">
        <f>IF($G10="Abandono",$T11,0)</f>
        <v>0</v>
      </c>
      <c r="BR11" s="365">
        <f>IF($H10="Producción",IF($H11&gt;=LI_A,$U11,0),0)</f>
        <v>0</v>
      </c>
      <c r="BS11" s="365">
        <f>IF($H10="Producción",IF($H11&gt;=LI_B,IF($H11&lt;LS_B,$U11,0),0),0)</f>
        <v>0</v>
      </c>
      <c r="BT11" s="365">
        <f>IF($H10="Producción",IF($H11&gt;=LI_C,IF($H11&lt;LS_C,$U11,0),0),0)</f>
        <v>0</v>
      </c>
      <c r="BU11" s="365">
        <f>IF($H10="Producción",IF($H11&lt;=LS_D,$U11,0),0)</f>
        <v>0</v>
      </c>
      <c r="BV11" s="365">
        <f>IF($H10="Crecimiento",$U11,0)</f>
        <v>0</v>
      </c>
      <c r="BW11" s="365">
        <f>IF($H10="Siembra",$U11,0)</f>
        <v>0</v>
      </c>
      <c r="BX11" s="365">
        <f>IF($H10="Abandono",$U11,0)</f>
        <v>0</v>
      </c>
      <c r="BY11" s="365">
        <f>IF($I10="Producción",IF($I11&gt;=LI_A,$V11,0),0)</f>
        <v>0</v>
      </c>
      <c r="BZ11" s="365">
        <f>IF($I10="Producción",IF($I11&gt;=LI_B,IF($I11&lt;LS_B,$V11,0),0),0)</f>
        <v>0</v>
      </c>
      <c r="CA11" s="365">
        <f>IF($I10="Producción",IF($I11&gt;=LI_C,IF($I11&lt;LS_C,$V11,0),0),0)</f>
        <v>0</v>
      </c>
      <c r="CB11" s="365">
        <f>IF($I10="Producción",IF($I11&lt;=LS_D,$V11,0),0)</f>
        <v>0</v>
      </c>
      <c r="CC11" s="365">
        <f>IF($I10="Crecimiento",$V11,0)</f>
        <v>0</v>
      </c>
      <c r="CD11" s="365">
        <f>IF($I10="Siembra",$V11,0)</f>
        <v>0</v>
      </c>
      <c r="CE11" s="365">
        <f>IF($I10="Abandono",$V11,0)</f>
        <v>0</v>
      </c>
      <c r="CF11" s="365">
        <f>IF($J10="Producción",IF($J11&gt;=LI_A,$W11,0),0)</f>
        <v>0</v>
      </c>
      <c r="CG11" s="365">
        <f>IF($J10="Producción",IF($J11&gt;=LI_B,IF($J11&lt;LS_B,$W11,0),0),0)</f>
        <v>0</v>
      </c>
      <c r="CH11" s="365">
        <f>IF($J10="Producción",IF($J11&gt;=LI_C,IF($J11&lt;LS_C,$W11,0),0),0)</f>
        <v>0</v>
      </c>
      <c r="CI11" s="365">
        <f>IF($J10="Producción",IF($J11&lt;=LS_D,$W11,0),0)</f>
        <v>0</v>
      </c>
      <c r="CJ11" s="365">
        <f>IF($J10="Crecimiento",$W11,0)</f>
        <v>0</v>
      </c>
      <c r="CK11" s="365">
        <f>IF($J10="Siembra",$W11,0)</f>
        <v>0</v>
      </c>
      <c r="CL11" s="365">
        <f>IF($J10="Abandono",$W11,0)</f>
        <v>0</v>
      </c>
      <c r="CM11" s="365">
        <f>IF($K10="Producción",IF($K11&gt;=LI_A,$X11,0),0)</f>
        <v>0</v>
      </c>
      <c r="CN11" s="365">
        <f>IF($K10="Producción",IF($K11&gt;=LI_B,IF($K11&lt;LS_B,$X11,0),0),0)</f>
        <v>0</v>
      </c>
      <c r="CO11" s="365">
        <f>IF($K10="Producción",IF($K11&gt;=LI_C,IF($K11&lt;LS_C,$X11,0),0),0)</f>
        <v>0</v>
      </c>
      <c r="CP11" s="365">
        <f>IF($K10="Producción",IF($K11&lt;=LS_D,$X11,0),0)</f>
        <v>0</v>
      </c>
      <c r="CQ11" s="365">
        <f>IF($K10="Crecimiento",IF($K11&gt;0,$X11,0),0)</f>
        <v>0</v>
      </c>
      <c r="CR11" s="365">
        <f>IF($K10="Siembra",IF($K11&gt;0,$X11,0),0)</f>
        <v>0</v>
      </c>
      <c r="CS11" s="365">
        <f>IF($K10="Abandono",IF($K11&gt;0,$X11,0),0)</f>
        <v>0</v>
      </c>
      <c r="CT11" s="365">
        <f>IF($L10="Producción",IF($L11&gt;=LI_A,$Y11,0),0)</f>
        <v>0</v>
      </c>
      <c r="CU11" s="365">
        <f>IF($L10="Producción",IF($L11&gt;=LI_B,IF($L11&lt;LS_B,$Y11,0),0),0)</f>
        <v>0</v>
      </c>
      <c r="CV11" s="365">
        <f>IF($L10="Producción",IF($L11&gt;=LI_C,IF($L11&lt;LS_C,$Y11,0),0),0)</f>
        <v>0</v>
      </c>
      <c r="CW11" s="365">
        <f>IF($L10="Producción",IF($L11&lt;=LS_D,$Y11,0),0)</f>
        <v>0</v>
      </c>
      <c r="CX11" s="365">
        <f>IF($L10="Crecimiento",$Y11,0)</f>
        <v>0</v>
      </c>
      <c r="CY11" s="365">
        <f>IF($L10="Siembra",$Y11,0)</f>
        <v>0</v>
      </c>
      <c r="CZ11" s="365">
        <f>IF($L10="Abandono",$Y11,0)</f>
        <v>0</v>
      </c>
      <c r="DA11" s="365">
        <f>IF($M10="Producción",IF($M11&gt;=LI_A,$Z11,0),0)</f>
        <v>0</v>
      </c>
      <c r="DB11" s="365">
        <f>IF($M10="Producción",IF($M11&gt;=LI_B,IF($M11&lt;LS_B,$Z11,0),0),0)</f>
        <v>0</v>
      </c>
      <c r="DC11" s="365">
        <f>IF($M10="Producción",IF($M11&gt;=LI_C,IF($M11&lt;LS_C,$Z11,0),0),0)</f>
        <v>0</v>
      </c>
      <c r="DD11" s="365">
        <f>IF($M10="Producción",IF($M11&lt;=LS_D,$Z11,0),0)</f>
        <v>0</v>
      </c>
      <c r="DE11" s="365">
        <f>IF($M10="Crecimiento",$Z11,0)</f>
        <v>0</v>
      </c>
      <c r="DF11" s="365">
        <f>IF($M10="Siembra",$Z11,0)</f>
        <v>0</v>
      </c>
      <c r="DG11" s="365">
        <f>IF($M10="Abandono",$Z11,0)</f>
        <v>0</v>
      </c>
      <c r="DI11" s="58">
        <f>AB11*$B11</f>
        <v>0</v>
      </c>
      <c r="DJ11" s="58">
        <f>AC11*$B11</f>
        <v>0</v>
      </c>
      <c r="DK11" s="58">
        <f>AD11*$B11</f>
        <v>0</v>
      </c>
      <c r="DL11" s="58">
        <f>AE11*$B11</f>
        <v>0</v>
      </c>
      <c r="DM11" s="365">
        <f>AF11*$B11</f>
        <v>0</v>
      </c>
      <c r="DN11" s="365">
        <f>AI11*$C11</f>
        <v>0</v>
      </c>
      <c r="DO11" s="365">
        <f>AJ11*$C11</f>
        <v>0</v>
      </c>
      <c r="DP11" s="365">
        <f>AK11*$C11</f>
        <v>0</v>
      </c>
      <c r="DQ11" s="365">
        <f>AL11*$C11</f>
        <v>0</v>
      </c>
      <c r="DR11" s="365">
        <f>AM11*$C11</f>
        <v>0</v>
      </c>
      <c r="DS11" s="365">
        <f>AP11*$D11</f>
        <v>0</v>
      </c>
      <c r="DT11" s="365">
        <f>AQ11*$D11</f>
        <v>0</v>
      </c>
      <c r="DU11" s="365">
        <f>AR11*$D11</f>
        <v>0</v>
      </c>
      <c r="DV11" s="365">
        <f>AS11*$D11</f>
        <v>0</v>
      </c>
      <c r="DW11" s="365">
        <f>AT11*$D11</f>
        <v>0</v>
      </c>
      <c r="DX11" s="365">
        <f>AW11*$E11</f>
        <v>0</v>
      </c>
      <c r="DY11" s="365">
        <f>AX11*$E11</f>
        <v>0</v>
      </c>
      <c r="DZ11" s="365">
        <f>AY11*$E11</f>
        <v>0</v>
      </c>
      <c r="EA11" s="365">
        <f>AZ11*$E11</f>
        <v>0</v>
      </c>
      <c r="EB11" s="365">
        <f>BA11*$E11</f>
        <v>0</v>
      </c>
      <c r="EC11" s="365">
        <f>BD11*$F11</f>
        <v>0</v>
      </c>
      <c r="ED11" s="365">
        <f>BE11*$F11</f>
        <v>0</v>
      </c>
      <c r="EE11" s="365">
        <f>BF11*$F11</f>
        <v>0</v>
      </c>
      <c r="EF11" s="365">
        <f>BG11*$F11</f>
        <v>0</v>
      </c>
      <c r="EG11" s="365">
        <f>BH11*$F11</f>
        <v>0</v>
      </c>
      <c r="EH11" s="365">
        <f>BK11*$G11</f>
        <v>0</v>
      </c>
      <c r="EI11" s="365">
        <f>BL11*$G11</f>
        <v>0</v>
      </c>
      <c r="EJ11" s="365">
        <f>BM11*$G11</f>
        <v>0</v>
      </c>
      <c r="EK11" s="365">
        <f>BN11*$G11</f>
        <v>0</v>
      </c>
      <c r="EL11" s="365">
        <f>BO11*$G11</f>
        <v>0</v>
      </c>
      <c r="EM11" s="365">
        <f>BR11*$H11</f>
        <v>0</v>
      </c>
      <c r="EN11" s="365">
        <f>BS11*$H11</f>
        <v>0</v>
      </c>
      <c r="EO11" s="365">
        <f>BT11*$H11</f>
        <v>0</v>
      </c>
      <c r="EP11" s="365">
        <f>BU11*$H11</f>
        <v>0</v>
      </c>
      <c r="EQ11" s="365">
        <f>BV11*$H11</f>
        <v>0</v>
      </c>
      <c r="ER11" s="365">
        <f>BY11*$I11</f>
        <v>0</v>
      </c>
      <c r="ES11" s="365">
        <f>BZ11*$I11</f>
        <v>0</v>
      </c>
      <c r="ET11" s="365">
        <f>CA11*$I11</f>
        <v>0</v>
      </c>
      <c r="EU11" s="365">
        <f>CB11*$I11</f>
        <v>0</v>
      </c>
      <c r="EV11" s="365">
        <f>CC11*$I11</f>
        <v>0</v>
      </c>
      <c r="EW11" s="365">
        <f>CF11*$J11</f>
        <v>0</v>
      </c>
      <c r="EX11" s="365">
        <f>CG11*$J11</f>
        <v>0</v>
      </c>
      <c r="EY11" s="365">
        <f>CH11*$J11</f>
        <v>0</v>
      </c>
      <c r="EZ11" s="365">
        <f>CI11*$J11</f>
        <v>0</v>
      </c>
      <c r="FA11" s="365">
        <f>CJ11*$J11</f>
        <v>0</v>
      </c>
      <c r="FB11" s="365">
        <f>CM11*$K11</f>
        <v>0</v>
      </c>
      <c r="FC11" s="365">
        <f>CN11*$K11</f>
        <v>0</v>
      </c>
      <c r="FD11" s="365">
        <f>CO11*$K11</f>
        <v>0</v>
      </c>
      <c r="FE11" s="365">
        <f>CP11*$K11</f>
        <v>0</v>
      </c>
      <c r="FF11" s="365">
        <f>CQ11*$K11</f>
        <v>0</v>
      </c>
      <c r="FG11" s="365">
        <f>CT11*$L11</f>
        <v>0</v>
      </c>
      <c r="FH11" s="365">
        <f>CU11*$L11</f>
        <v>0</v>
      </c>
      <c r="FI11" s="365">
        <f>CV11*$L11</f>
        <v>0</v>
      </c>
      <c r="FJ11" s="365">
        <f>CW11*$L11</f>
        <v>0</v>
      </c>
      <c r="FK11" s="365">
        <f>CX11*$L11</f>
        <v>0</v>
      </c>
      <c r="FL11" s="365">
        <f>DA11*$M11</f>
        <v>0</v>
      </c>
      <c r="FM11" s="365">
        <f t="shared" ref="FM11" si="5">DB11*$M11</f>
        <v>0</v>
      </c>
      <c r="FN11" s="365">
        <f>DC11*$M11</f>
        <v>0</v>
      </c>
      <c r="FO11" s="365">
        <f t="shared" ref="FO11" si="6">DD11*$M11</f>
        <v>0</v>
      </c>
      <c r="FP11" s="365">
        <f t="shared" ref="FP11" si="7">DE11*$M11</f>
        <v>0</v>
      </c>
    </row>
    <row r="12" spans="1:243" ht="21" customHeight="1" x14ac:dyDescent="0.3">
      <c r="A12" s="277" t="s">
        <v>238</v>
      </c>
      <c r="B12" s="278">
        <f>SUM(DI11:DM11)/100</f>
        <v>0</v>
      </c>
      <c r="C12" s="278">
        <f>SUM(DN11:DQ11)/100</f>
        <v>0</v>
      </c>
      <c r="D12" s="279">
        <f>SUM(DS11:DW11)/100</f>
        <v>0</v>
      </c>
      <c r="E12" s="279">
        <f>SUM(DX11:EB11)/100</f>
        <v>0</v>
      </c>
      <c r="F12" s="279">
        <f>SUM(EC11:EG11)/100</f>
        <v>0</v>
      </c>
      <c r="G12" s="279">
        <f>SUM(EH11:EL11)/100</f>
        <v>0</v>
      </c>
      <c r="H12" s="279">
        <f>SUM(EM11:EQ11)/100</f>
        <v>0</v>
      </c>
      <c r="I12" s="279">
        <f>SUM(ER11:EV11)/100</f>
        <v>0</v>
      </c>
      <c r="J12" s="279">
        <f>SUM(EW11:FA11)/100</f>
        <v>0</v>
      </c>
      <c r="K12" s="279">
        <f>SUM(FB11:FF11)/100</f>
        <v>0</v>
      </c>
      <c r="L12" s="279">
        <f>SUM(FG11:FK11)/100</f>
        <v>0</v>
      </c>
      <c r="M12" s="279">
        <f>SUM(FL11:FP11)/100</f>
        <v>0</v>
      </c>
      <c r="AG12" s="365"/>
      <c r="AH12" s="365"/>
      <c r="AI12" s="365"/>
      <c r="AJ12" s="365"/>
      <c r="AK12" s="365"/>
      <c r="AL12" s="365"/>
      <c r="AM12" s="365"/>
      <c r="AN12" s="365"/>
      <c r="AO12" s="365"/>
      <c r="AP12" s="365"/>
      <c r="AQ12" s="365"/>
      <c r="AR12" s="365"/>
      <c r="AS12" s="365"/>
      <c r="AT12" s="365"/>
      <c r="AU12" s="365"/>
      <c r="AV12" s="365"/>
      <c r="AW12" s="365"/>
      <c r="AX12" s="365"/>
      <c r="AY12" s="365"/>
      <c r="AZ12" s="365"/>
      <c r="BA12" s="365"/>
      <c r="BB12" s="365"/>
      <c r="BC12" s="365"/>
      <c r="BD12" s="365"/>
      <c r="BE12" s="365"/>
      <c r="BF12" s="365"/>
      <c r="BG12" s="365"/>
      <c r="BH12" s="365"/>
      <c r="BI12" s="365"/>
      <c r="BJ12" s="365"/>
      <c r="BK12" s="365"/>
      <c r="BL12" s="365"/>
      <c r="BM12" s="365"/>
      <c r="BN12" s="365"/>
      <c r="BO12" s="365"/>
      <c r="BP12" s="365"/>
      <c r="BQ12" s="365"/>
      <c r="BR12" s="365"/>
      <c r="BS12" s="365"/>
      <c r="BT12" s="365"/>
      <c r="BU12" s="365"/>
      <c r="BV12" s="365"/>
      <c r="BW12" s="365"/>
      <c r="BX12" s="365"/>
      <c r="BY12" s="365"/>
      <c r="BZ12" s="365"/>
      <c r="CA12" s="365"/>
      <c r="CB12" s="365"/>
      <c r="CC12" s="365"/>
      <c r="CD12" s="365"/>
      <c r="CE12" s="365"/>
      <c r="CF12" s="365"/>
      <c r="CG12" s="365"/>
      <c r="CH12" s="365"/>
      <c r="CI12" s="365"/>
      <c r="CJ12" s="365"/>
      <c r="CK12" s="365"/>
      <c r="CL12" s="365"/>
      <c r="CM12" s="365"/>
      <c r="CN12" s="365"/>
      <c r="CO12" s="365"/>
      <c r="CP12" s="365"/>
      <c r="CQ12" s="365"/>
      <c r="CR12" s="365"/>
      <c r="CS12" s="365"/>
      <c r="CT12" s="365"/>
      <c r="CU12" s="365"/>
      <c r="CV12" s="365"/>
      <c r="CW12" s="365"/>
      <c r="CX12" s="365"/>
      <c r="CY12" s="365"/>
      <c r="CZ12" s="365"/>
      <c r="DA12" s="365"/>
      <c r="DB12" s="365"/>
      <c r="DC12" s="365"/>
      <c r="DD12" s="365"/>
      <c r="DE12" s="365"/>
      <c r="DF12" s="365"/>
      <c r="DG12" s="365"/>
      <c r="DM12" s="365"/>
      <c r="DN12" s="365"/>
      <c r="DO12" s="365"/>
      <c r="DP12" s="365"/>
      <c r="DQ12" s="365"/>
      <c r="DR12" s="365"/>
      <c r="DS12" s="365"/>
      <c r="DT12" s="365"/>
      <c r="DU12" s="365"/>
      <c r="DV12" s="365"/>
      <c r="DW12" s="365"/>
      <c r="DX12" s="365"/>
      <c r="DY12" s="365"/>
      <c r="DZ12" s="365"/>
      <c r="EA12" s="365"/>
      <c r="EB12" s="365"/>
      <c r="EC12" s="365"/>
      <c r="ED12" s="365"/>
      <c r="EE12" s="365"/>
      <c r="EF12" s="365"/>
      <c r="EG12" s="365"/>
      <c r="EH12" s="365"/>
      <c r="EI12" s="365"/>
      <c r="EJ12" s="365"/>
      <c r="EK12" s="365"/>
      <c r="EL12" s="365"/>
      <c r="EM12" s="365"/>
      <c r="EN12" s="365"/>
      <c r="EO12" s="365"/>
      <c r="EP12" s="365"/>
      <c r="EQ12" s="365"/>
      <c r="ER12" s="365"/>
      <c r="ES12" s="365"/>
      <c r="ET12" s="365"/>
      <c r="EU12" s="365"/>
      <c r="EV12" s="365"/>
      <c r="EW12" s="365"/>
      <c r="EX12" s="365"/>
      <c r="EY12" s="365"/>
      <c r="EZ12" s="365"/>
      <c r="FA12" s="365"/>
      <c r="FB12" s="365"/>
      <c r="FC12" s="365"/>
      <c r="FD12" s="365"/>
      <c r="FE12" s="365"/>
      <c r="FF12" s="365"/>
      <c r="FG12" s="365"/>
      <c r="FH12" s="365"/>
      <c r="FI12" s="365"/>
      <c r="FJ12" s="365"/>
      <c r="FK12" s="365"/>
      <c r="FL12" s="365"/>
      <c r="FM12" s="365"/>
      <c r="FN12" s="365"/>
      <c r="FO12" s="365"/>
      <c r="FP12" s="365"/>
    </row>
    <row r="13" spans="1:243" ht="21" customHeight="1" x14ac:dyDescent="0.3">
      <c r="A13" s="150" t="s">
        <v>239</v>
      </c>
      <c r="B13" s="149" t="e">
        <f>SUM(DI11:DM11)/100/Lote_2</f>
        <v>#DIV/0!</v>
      </c>
      <c r="C13" s="149" t="e">
        <f>SUM(DN11:DQ11)/100/Lote_2</f>
        <v>#DIV/0!</v>
      </c>
      <c r="D13" s="149" t="e">
        <f>SUM(DS11:DW11)/100/Lote_2</f>
        <v>#DIV/0!</v>
      </c>
      <c r="E13" s="149" t="e">
        <f>SUM(DX11:EB11)/100/Lote_2</f>
        <v>#DIV/0!</v>
      </c>
      <c r="F13" s="149" t="e">
        <f>SUM(EC11:EG11)/100/Lote_2</f>
        <v>#DIV/0!</v>
      </c>
      <c r="G13" s="149" t="e">
        <f>SUM(EH11:EL11)/100/Lote_2</f>
        <v>#DIV/0!</v>
      </c>
      <c r="H13" s="149" t="e">
        <f>SUM(EM11:EQ11)/100/Lote_2</f>
        <v>#DIV/0!</v>
      </c>
      <c r="I13" s="149" t="e">
        <f>SUM(ER11:EV11)/100/Lote_2</f>
        <v>#DIV/0!</v>
      </c>
      <c r="J13" s="149" t="e">
        <f>SUM(EW11:FA11)/100/Lote_2</f>
        <v>#DIV/0!</v>
      </c>
      <c r="K13" s="149" t="e">
        <f>SUM(FB11:FF11)/100/Lote_2</f>
        <v>#DIV/0!</v>
      </c>
      <c r="L13" s="149" t="e">
        <f>SUM(FG11:FK11)/100/Lote_2</f>
        <v>#DIV/0!</v>
      </c>
      <c r="M13" s="149" t="e">
        <f>SUM(FL11:FP11)/100/Lote_2</f>
        <v>#DIV/0!</v>
      </c>
    </row>
    <row r="14" spans="1:243" ht="21" customHeight="1" x14ac:dyDescent="0.3">
      <c r="A14" s="233">
        <f>N_L3</f>
        <v>0</v>
      </c>
      <c r="B14" s="363" t="s">
        <v>37</v>
      </c>
      <c r="C14" s="363" t="s">
        <v>37</v>
      </c>
      <c r="D14" s="363" t="s">
        <v>37</v>
      </c>
      <c r="E14" s="363" t="s">
        <v>37</v>
      </c>
      <c r="F14" s="363" t="s">
        <v>37</v>
      </c>
      <c r="G14" s="363" t="s">
        <v>37</v>
      </c>
      <c r="H14" s="363" t="s">
        <v>37</v>
      </c>
      <c r="I14" s="363" t="s">
        <v>37</v>
      </c>
      <c r="J14" s="363" t="s">
        <v>37</v>
      </c>
      <c r="K14" s="363" t="s">
        <v>37</v>
      </c>
      <c r="L14" s="363" t="s">
        <v>37</v>
      </c>
      <c r="M14" s="363" t="s">
        <v>37</v>
      </c>
    </row>
    <row r="15" spans="1:243" ht="21" customHeight="1" x14ac:dyDescent="0.3">
      <c r="A15" s="4" t="s">
        <v>237</v>
      </c>
      <c r="B15" s="7"/>
      <c r="C15" s="275"/>
      <c r="D15" s="275"/>
      <c r="E15" s="275"/>
      <c r="F15" s="275"/>
      <c r="G15" s="275"/>
      <c r="H15" s="275"/>
      <c r="I15" s="275"/>
      <c r="J15" s="275"/>
      <c r="K15" s="275"/>
      <c r="L15" s="275"/>
      <c r="M15" s="275"/>
      <c r="O15" s="58">
        <f>Área_L3*D_L3*A1_L3</f>
        <v>0</v>
      </c>
      <c r="P15" s="58">
        <f>Área_L3*D_L3*A2_L3</f>
        <v>0</v>
      </c>
      <c r="Q15" s="58">
        <f>Área_L3*D_L3*A3_L3</f>
        <v>0</v>
      </c>
      <c r="R15" s="58">
        <f>Área_L3*D_L3*A4_L3</f>
        <v>0</v>
      </c>
      <c r="S15" s="58">
        <f>Área_L3*D_L3*A5_L3</f>
        <v>0</v>
      </c>
      <c r="T15" s="58">
        <f>Área_L3*D_L3*A6_L3</f>
        <v>0</v>
      </c>
      <c r="U15" s="58">
        <f>Área_L3*D_L3*A7_L3</f>
        <v>0</v>
      </c>
      <c r="V15" s="58">
        <f>Área_L3*D_L3*A8_L3</f>
        <v>0</v>
      </c>
      <c r="W15" s="58">
        <f>Área_L3*D_L3*A9_L3</f>
        <v>0</v>
      </c>
      <c r="X15" s="58">
        <f>Área_L3*D_L3*A10_L3</f>
        <v>0</v>
      </c>
      <c r="Y15" s="58">
        <f>Área_L3*D_L3*A11_L3</f>
        <v>0</v>
      </c>
      <c r="Z15" s="58">
        <f>Área_L3*D_L3*A12_L3</f>
        <v>0</v>
      </c>
      <c r="AB15" s="58">
        <f>IF($B14="Producción",IF($B15&gt;=LI_A,$O15,0),0)</f>
        <v>0</v>
      </c>
      <c r="AC15" s="58">
        <f>IF($B14="Producción",IF($B15&gt;=LI_B,IF($B15&lt;LS_B,$O15,0),0),0)</f>
        <v>0</v>
      </c>
      <c r="AD15" s="58">
        <f>IF($B14="Producción",IF($B15&gt;=LI_C,IF($B15&lt;LS_C,$O15,0),0),0)</f>
        <v>0</v>
      </c>
      <c r="AE15" s="58">
        <f>IF($B14="Producción",IF($B15&lt;=LS_D,$O15,0),0)</f>
        <v>0</v>
      </c>
      <c r="AF15" s="365">
        <f>IF($B14="Crecimiento",$O15,0)</f>
        <v>0</v>
      </c>
      <c r="AG15" s="365">
        <f>IF($B14="Siembra",$O15,0)</f>
        <v>0</v>
      </c>
      <c r="AH15" s="365">
        <f>IF($B14="Abandono",$O15,0)</f>
        <v>0</v>
      </c>
      <c r="AI15" s="365">
        <f>IF($C14="Producción",IF($C15&gt;=LI_A,$P15,0),0)</f>
        <v>0</v>
      </c>
      <c r="AJ15" s="365">
        <f>IF($C14="Producción",IF($C15&gt;=LI_B,IF($C15&lt;LS_B,$P15,0),0),0)</f>
        <v>0</v>
      </c>
      <c r="AK15" s="365">
        <f>IF($C14="Producción",IF($C15&gt;=LI_C,IF($C15&lt;LS_C,$P15,0),0),0)</f>
        <v>0</v>
      </c>
      <c r="AL15" s="365">
        <f>IF($C14="Producción",IF(C15&lt;=LS_D,$P15,0),0)</f>
        <v>0</v>
      </c>
      <c r="AM15" s="365">
        <f>IF($C14="Crecimiento",$P15,0)</f>
        <v>0</v>
      </c>
      <c r="AN15" s="365">
        <f>IF($C14="Siembra",$P15,0)</f>
        <v>0</v>
      </c>
      <c r="AO15" s="365">
        <f>IF($C14="Abandono",$P15,0)</f>
        <v>0</v>
      </c>
      <c r="AP15" s="365">
        <f>IF($D14="Producción",IF($D15&gt;=LI_A,$Q15,0),0)</f>
        <v>0</v>
      </c>
      <c r="AQ15" s="365">
        <f>IF($D14="Producción",IF($D15&gt;=LI_B,IF($D15&lt;LS_B,$Q15,0),0),0)</f>
        <v>0</v>
      </c>
      <c r="AR15" s="365">
        <f>IF($D14="Producción",IF($D15&gt;=LI_C,IF($D15&lt;LS_C,$Q15,0),0),0)</f>
        <v>0</v>
      </c>
      <c r="AS15" s="365">
        <f>IF($D14="Producción",IF($D15&lt;=LS_D,$Q15,0),0)</f>
        <v>0</v>
      </c>
      <c r="AT15" s="365">
        <f>IF($D14="Crecimiento",$Q15,0)</f>
        <v>0</v>
      </c>
      <c r="AU15" s="365">
        <f>IF($D14="Siembra",$Q15,0)</f>
        <v>0</v>
      </c>
      <c r="AV15" s="365">
        <f>IF($D14="Abandono",$Q15,0)</f>
        <v>0</v>
      </c>
      <c r="AW15" s="365">
        <f>IF($E14="Producción",IF($E15&gt;=LI_A,$R15,0),0)</f>
        <v>0</v>
      </c>
      <c r="AX15" s="365">
        <f>IF($E14="Producción",IF($E15&gt;=LI_B,IF($E15&lt;LS_B,$R15,0),0),0)</f>
        <v>0</v>
      </c>
      <c r="AY15" s="365">
        <f>IF($E14="Producción",IF($E15&gt;=LI_C,IF($E15&lt;LS_C,$R15,0),0),0)</f>
        <v>0</v>
      </c>
      <c r="AZ15" s="365">
        <f>IF($E14="Producción",IF($E15&lt;=LS_D,$R15,0),0)</f>
        <v>0</v>
      </c>
      <c r="BA15" s="365">
        <f>IF($E14="Crecimiento",$R15,0)</f>
        <v>0</v>
      </c>
      <c r="BB15" s="365">
        <f>IF($E14="Siembra",$R15,0)</f>
        <v>0</v>
      </c>
      <c r="BC15" s="365">
        <f>IF($E14="Abandono",$R15,0)</f>
        <v>0</v>
      </c>
      <c r="BD15" s="365">
        <f>IF($F14="Producción",IF($F15&gt;=LI_A,$S15,0),0)</f>
        <v>0</v>
      </c>
      <c r="BE15" s="365">
        <f>IF($F14="Producción",IF($F15&gt;=LI_B,IF($F15&lt;LS_B,$S15,0),0),0)</f>
        <v>0</v>
      </c>
      <c r="BF15" s="365">
        <f>IF($F14="Producción",IF($F15&gt;=LI_C,IF($F15&lt;LS_C,$S15,0),0),0)</f>
        <v>0</v>
      </c>
      <c r="BG15" s="365">
        <f>IF($F14="Producción",IF($F15&lt;=LS_D,$S15,0),0)</f>
        <v>0</v>
      </c>
      <c r="BH15" s="365">
        <f>IF($F14="Crecimiento",$S15,0)</f>
        <v>0</v>
      </c>
      <c r="BI15" s="365">
        <f>IF($F14="Siembra",$S15,0)</f>
        <v>0</v>
      </c>
      <c r="BJ15" s="365">
        <f>IF($F14="Abandono",$S15,0)</f>
        <v>0</v>
      </c>
      <c r="BK15" s="365">
        <f>IF($G14="Producción",IF($G15&gt;=LI_A,$T15,0),0)</f>
        <v>0</v>
      </c>
      <c r="BL15" s="365">
        <f>IF($G14="Producción",IF($G15&gt;=LI_B,IF($G15&lt;LS_B,$T15,0),0),0)</f>
        <v>0</v>
      </c>
      <c r="BM15" s="365">
        <f>IF($G14="Producción",IF($G15&gt;=LI_C,IF($G15&lt;LS_C,$T15,0),0),0)</f>
        <v>0</v>
      </c>
      <c r="BN15" s="365">
        <f>IF($G14="Producción",IF($G15&lt;=LS_D,$T15,0),0)</f>
        <v>0</v>
      </c>
      <c r="BO15" s="365">
        <f>IF($G14="Crecimiento",$T15,0)</f>
        <v>0</v>
      </c>
      <c r="BP15" s="365">
        <f>IF($G14="Siembra",$T15,0)</f>
        <v>0</v>
      </c>
      <c r="BQ15" s="365">
        <f>IF($G14="Abandono",$T15,0)</f>
        <v>0</v>
      </c>
      <c r="BR15" s="365">
        <f>IF($H14="Producción",IF($H15&gt;=LI_A,$U15,0),0)</f>
        <v>0</v>
      </c>
      <c r="BS15" s="365">
        <f>IF($H14="Producción",IF($H15&gt;=LI_B,IF($H15&lt;LS_B,$U15,0),0),0)</f>
        <v>0</v>
      </c>
      <c r="BT15" s="365">
        <f>IF($H14="Producción",IF($H15&gt;=LI_C,IF($H15&lt;LS_C,$U15,0),0),0)</f>
        <v>0</v>
      </c>
      <c r="BU15" s="365">
        <f>IF($H14="Producción",IF($H15&lt;=LS_D,$U15,0),0)</f>
        <v>0</v>
      </c>
      <c r="BV15" s="365">
        <f>IF($H14="Crecimiento",$U15,0)</f>
        <v>0</v>
      </c>
      <c r="BW15" s="365">
        <f>IF($H14="Siembra",$U15,0)</f>
        <v>0</v>
      </c>
      <c r="BX15" s="365">
        <f>IF($H14="Abandono",$U15,0)</f>
        <v>0</v>
      </c>
      <c r="BY15" s="365">
        <f>IF($I14="Producción",IF($I15&gt;=LI_A,$V15,0),0)</f>
        <v>0</v>
      </c>
      <c r="BZ15" s="365">
        <f>IF($I14="Producción",IF($I15&gt;=LI_B,IF($I15&lt;LS_B,$V15,0),0),0)</f>
        <v>0</v>
      </c>
      <c r="CA15" s="365">
        <f>IF($I14="Producción",IF($I15&gt;=LI_C,IF($I15&lt;LS_C,$V15,0),0),0)</f>
        <v>0</v>
      </c>
      <c r="CB15" s="365">
        <f>IF($I14="Producción",IF($I15&lt;=LS_D,$V15,0),0)</f>
        <v>0</v>
      </c>
      <c r="CC15" s="365">
        <f>IF($I14="Crecimiento",$V15,0)</f>
        <v>0</v>
      </c>
      <c r="CD15" s="365">
        <f>IF($I14="Siembra",$V15,0)</f>
        <v>0</v>
      </c>
      <c r="CE15" s="365">
        <f>IF($I14="Abandono",$V15,0)</f>
        <v>0</v>
      </c>
      <c r="CF15" s="365">
        <f>IF($J14="Producción",IF($J15&gt;=LI_A,$W15,0),0)</f>
        <v>0</v>
      </c>
      <c r="CG15" s="365">
        <f>IF($J14="Producción",IF($J15&gt;=LI_B,IF($J15&lt;LS_B,$W15,0),0),0)</f>
        <v>0</v>
      </c>
      <c r="CH15" s="365">
        <f>IF($J14="Producción",IF($J15&gt;=LI_C,IF($J15&lt;LS_C,$W15,0),0),0)</f>
        <v>0</v>
      </c>
      <c r="CI15" s="365">
        <f>IF($J14="Producción",IF($J15&lt;=LS_D,$W15,0),0)</f>
        <v>0</v>
      </c>
      <c r="CJ15" s="365">
        <f>IF($J14="Crecimiento",$W15,0)</f>
        <v>0</v>
      </c>
      <c r="CK15" s="365">
        <f>IF($J14="Siembra",$W15,0)</f>
        <v>0</v>
      </c>
      <c r="CL15" s="365">
        <f>IF($J14="Abandono",$W15,0)</f>
        <v>0</v>
      </c>
      <c r="CM15" s="365">
        <f>IF($K14="Producción",IF($K15&gt;=LI_A,$X15,0),0)</f>
        <v>0</v>
      </c>
      <c r="CN15" s="365">
        <f>IF($K14="Producción",IF($K15&gt;=LI_B,IF($K15&lt;LS_B,$X15,0),0),0)</f>
        <v>0</v>
      </c>
      <c r="CO15" s="365">
        <f>IF($K14="Producción",IF($K15&gt;=LI_C,IF($K15&lt;LS_C,$X15,0),0),0)</f>
        <v>0</v>
      </c>
      <c r="CP15" s="365">
        <f>IF($K14="Producción",IF($K15&lt;=LS_D,$X15,0),0)</f>
        <v>0</v>
      </c>
      <c r="CQ15" s="365">
        <f>IF($K14="Crecimiento",IF($K15&gt;0,$X15,0),0)</f>
        <v>0</v>
      </c>
      <c r="CR15" s="365">
        <f>IF($K14="Siembra",IF($K15&gt;0,$X15,0),0)</f>
        <v>0</v>
      </c>
      <c r="CS15" s="365">
        <f>IF($K14="Abandono",IF($K15&gt;0,$X15,0),0)</f>
        <v>0</v>
      </c>
      <c r="CT15" s="365">
        <f>IF($L14="Producción",IF($L15&gt;=LI_A,$Y15,0),0)</f>
        <v>0</v>
      </c>
      <c r="CU15" s="365">
        <f>IF($L14="Producción",IF($L15&gt;=LI_B,IF($L15&lt;LS_B,$Y15,0),0),0)</f>
        <v>0</v>
      </c>
      <c r="CV15" s="365">
        <f>IF($L14="Producción",IF($L15&gt;=LI_C,IF($L15&lt;LS_C,$Y15,0),0),0)</f>
        <v>0</v>
      </c>
      <c r="CW15" s="365">
        <f>IF($L14="Producción",IF($L15&lt;=LS_D,$Y15,0),0)</f>
        <v>0</v>
      </c>
      <c r="CX15" s="365">
        <f>IF($L14="Crecimiento",$Y15,0)</f>
        <v>0</v>
      </c>
      <c r="CY15" s="365">
        <f>IF($L14="Siembra",$Y15,0)</f>
        <v>0</v>
      </c>
      <c r="CZ15" s="365">
        <f>IF($L14="Abandono",$Y15,0)</f>
        <v>0</v>
      </c>
      <c r="DA15" s="365">
        <f>IF($M14="Producción",IF($M15&gt;=LI_A,$Z15,0),0)</f>
        <v>0</v>
      </c>
      <c r="DB15" s="365">
        <f>IF($M14="Producción",IF($M15&gt;=LI_B,IF($M15&lt;LS_B,$Z15,0),0),0)</f>
        <v>0</v>
      </c>
      <c r="DC15" s="365">
        <f>IF($M14="Producción",IF($M15&gt;=LI_C,IF($M15&lt;LS_C,$Z15,0),0),0)</f>
        <v>0</v>
      </c>
      <c r="DD15" s="365">
        <f>IF($M14="Producción",IF($M15&lt;=LS_D,$Z15,0),0)</f>
        <v>0</v>
      </c>
      <c r="DE15" s="365">
        <f>IF($M14="Crecimiento",$Z15,0)</f>
        <v>0</v>
      </c>
      <c r="DF15" s="365">
        <f>IF($M14="Siembra",$Z15,0)</f>
        <v>0</v>
      </c>
      <c r="DG15" s="365">
        <f>IF($M14="Abandono",$Z15,0)</f>
        <v>0</v>
      </c>
      <c r="DI15" s="58">
        <f>AB15*$B15</f>
        <v>0</v>
      </c>
      <c r="DJ15" s="58">
        <f>AC15*$B15</f>
        <v>0</v>
      </c>
      <c r="DK15" s="58">
        <f>AD15*$B15</f>
        <v>0</v>
      </c>
      <c r="DL15" s="58">
        <f>AE15*$B15</f>
        <v>0</v>
      </c>
      <c r="DM15" s="365">
        <f>AF15*$B15</f>
        <v>0</v>
      </c>
      <c r="DN15" s="365">
        <f>AI15*$C15</f>
        <v>0</v>
      </c>
      <c r="DO15" s="365">
        <f>AJ15*$C15</f>
        <v>0</v>
      </c>
      <c r="DP15" s="365">
        <f>AK15*$C15</f>
        <v>0</v>
      </c>
      <c r="DQ15" s="365">
        <f>AL15*$C15</f>
        <v>0</v>
      </c>
      <c r="DR15" s="365">
        <f>AM15*$C15</f>
        <v>0</v>
      </c>
      <c r="DS15" s="365">
        <f>AP15*$D15</f>
        <v>0</v>
      </c>
      <c r="DT15" s="365">
        <f>AQ15*$D15</f>
        <v>0</v>
      </c>
      <c r="DU15" s="365">
        <f>AR15*$D15</f>
        <v>0</v>
      </c>
      <c r="DV15" s="365">
        <f>AS15*$D15</f>
        <v>0</v>
      </c>
      <c r="DW15" s="365">
        <f>AT15*$D15</f>
        <v>0</v>
      </c>
      <c r="DX15" s="365">
        <f>AW15*$E15</f>
        <v>0</v>
      </c>
      <c r="DY15" s="365">
        <f>AX15*$E15</f>
        <v>0</v>
      </c>
      <c r="DZ15" s="365">
        <f>AY15*$E15</f>
        <v>0</v>
      </c>
      <c r="EA15" s="365">
        <f>AZ15*$E15</f>
        <v>0</v>
      </c>
      <c r="EB15" s="365">
        <f>BA15*$E15</f>
        <v>0</v>
      </c>
      <c r="EC15" s="365">
        <f>BD15*$F15</f>
        <v>0</v>
      </c>
      <c r="ED15" s="365">
        <f>BE15*$F15</f>
        <v>0</v>
      </c>
      <c r="EE15" s="365">
        <f>BF15*$F15</f>
        <v>0</v>
      </c>
      <c r="EF15" s="365">
        <f>BG15*$F15</f>
        <v>0</v>
      </c>
      <c r="EG15" s="365">
        <f>BH15*$F15</f>
        <v>0</v>
      </c>
      <c r="EH15" s="365">
        <f>BK15*$G15</f>
        <v>0</v>
      </c>
      <c r="EI15" s="365">
        <f>BL15*$G15</f>
        <v>0</v>
      </c>
      <c r="EJ15" s="365">
        <f>BM15*$G15</f>
        <v>0</v>
      </c>
      <c r="EK15" s="365">
        <f>BN15*$G15</f>
        <v>0</v>
      </c>
      <c r="EL15" s="365">
        <f>BO15*$G15</f>
        <v>0</v>
      </c>
      <c r="EM15" s="365">
        <f>BR15*$H15</f>
        <v>0</v>
      </c>
      <c r="EN15" s="365">
        <f>BS15*$H15</f>
        <v>0</v>
      </c>
      <c r="EO15" s="365">
        <f>BT15*$H15</f>
        <v>0</v>
      </c>
      <c r="EP15" s="365">
        <f>BU15*$H15</f>
        <v>0</v>
      </c>
      <c r="EQ15" s="365">
        <f>BV15*$H15</f>
        <v>0</v>
      </c>
      <c r="ER15" s="365">
        <f>BY15*$I15</f>
        <v>0</v>
      </c>
      <c r="ES15" s="365">
        <f>BZ15*$I15</f>
        <v>0</v>
      </c>
      <c r="ET15" s="365">
        <f>CA15*$I15</f>
        <v>0</v>
      </c>
      <c r="EU15" s="365">
        <f>CB15*$I15</f>
        <v>0</v>
      </c>
      <c r="EV15" s="365">
        <f>CC15*$I15</f>
        <v>0</v>
      </c>
      <c r="EW15" s="365">
        <f>CF15*$J15</f>
        <v>0</v>
      </c>
      <c r="EX15" s="365">
        <f>CG15*$J15</f>
        <v>0</v>
      </c>
      <c r="EY15" s="365">
        <f>CH15*$J15</f>
        <v>0</v>
      </c>
      <c r="EZ15" s="365">
        <f>CI15*$J15</f>
        <v>0</v>
      </c>
      <c r="FA15" s="365">
        <f>CJ15*$J15</f>
        <v>0</v>
      </c>
      <c r="FB15" s="365">
        <f>CM15*$K15</f>
        <v>0</v>
      </c>
      <c r="FC15" s="365">
        <f>CN15*$K15</f>
        <v>0</v>
      </c>
      <c r="FD15" s="365">
        <f>CO15*$K15</f>
        <v>0</v>
      </c>
      <c r="FE15" s="365">
        <f>CP15*$K15</f>
        <v>0</v>
      </c>
      <c r="FF15" s="365">
        <f>CQ15*$K15</f>
        <v>0</v>
      </c>
      <c r="FG15" s="365">
        <f>CT15*$L15</f>
        <v>0</v>
      </c>
      <c r="FH15" s="365">
        <f>CU15*$L15</f>
        <v>0</v>
      </c>
      <c r="FI15" s="365">
        <f>CV15*$L15</f>
        <v>0</v>
      </c>
      <c r="FJ15" s="365">
        <f>CW15*$L15</f>
        <v>0</v>
      </c>
      <c r="FK15" s="365">
        <f>CX15*$L15</f>
        <v>0</v>
      </c>
      <c r="FL15" s="365">
        <f>DA15*$M15</f>
        <v>0</v>
      </c>
      <c r="FM15" s="365">
        <f t="shared" ref="FM15" si="8">DB15*$M15</f>
        <v>0</v>
      </c>
      <c r="FN15" s="365">
        <f>DC15*$M15</f>
        <v>0</v>
      </c>
      <c r="FO15" s="365">
        <f t="shared" ref="FO15" si="9">DD15*$M15</f>
        <v>0</v>
      </c>
      <c r="FP15" s="365">
        <f t="shared" ref="FP15" si="10">DE15*$M15</f>
        <v>0</v>
      </c>
    </row>
    <row r="16" spans="1:243" ht="21" customHeight="1" x14ac:dyDescent="0.3">
      <c r="A16" s="277" t="s">
        <v>238</v>
      </c>
      <c r="B16" s="278">
        <f>SUM(DI15:DM15)/100</f>
        <v>0</v>
      </c>
      <c r="C16" s="278">
        <f>SUM(DN15:DQ15)/100</f>
        <v>0</v>
      </c>
      <c r="D16" s="279">
        <f>SUM(DS15:DW15)/100</f>
        <v>0</v>
      </c>
      <c r="E16" s="279">
        <f>SUM(DX15:EB15)/100</f>
        <v>0</v>
      </c>
      <c r="F16" s="279">
        <f>SUM(EC15:EG15)/100</f>
        <v>0</v>
      </c>
      <c r="G16" s="279">
        <f>SUM(EH15:EL15)/100</f>
        <v>0</v>
      </c>
      <c r="H16" s="279">
        <f>SUM(EM15:EQ15)/100</f>
        <v>0</v>
      </c>
      <c r="I16" s="279">
        <f>SUM(ER15:EV15)/100</f>
        <v>0</v>
      </c>
      <c r="J16" s="279">
        <f>SUM(EW15:FA15)/100</f>
        <v>0</v>
      </c>
      <c r="K16" s="279">
        <f>SUM(FB15:FF15)/100</f>
        <v>0</v>
      </c>
      <c r="L16" s="279">
        <f>SUM(FG15:FK15)/100</f>
        <v>0</v>
      </c>
      <c r="M16" s="279">
        <f>SUM(FL15:FP15)/100</f>
        <v>0</v>
      </c>
      <c r="AG16" s="365"/>
      <c r="AH16" s="365"/>
      <c r="AI16" s="365"/>
      <c r="AJ16" s="365"/>
      <c r="AK16" s="365"/>
      <c r="AL16" s="365"/>
      <c r="AM16" s="365"/>
      <c r="AN16" s="365"/>
      <c r="AO16" s="365"/>
      <c r="AP16" s="365"/>
      <c r="AQ16" s="365"/>
      <c r="AR16" s="365"/>
      <c r="AS16" s="365"/>
      <c r="AT16" s="365"/>
      <c r="AU16" s="365"/>
      <c r="AV16" s="365"/>
      <c r="AW16" s="365"/>
      <c r="AX16" s="365"/>
      <c r="AY16" s="365"/>
      <c r="AZ16" s="365"/>
      <c r="BA16" s="365"/>
      <c r="BB16" s="365"/>
      <c r="BC16" s="365"/>
      <c r="BD16" s="365"/>
      <c r="BE16" s="365"/>
      <c r="BF16" s="365"/>
      <c r="BG16" s="365"/>
      <c r="BH16" s="365"/>
      <c r="BI16" s="365"/>
      <c r="BJ16" s="365"/>
      <c r="BK16" s="365"/>
      <c r="BL16" s="365"/>
      <c r="BM16" s="365"/>
      <c r="BN16" s="365"/>
      <c r="BO16" s="365"/>
      <c r="BP16" s="365"/>
      <c r="BQ16" s="365"/>
      <c r="BR16" s="365"/>
      <c r="BS16" s="365"/>
      <c r="BT16" s="365"/>
      <c r="BU16" s="365"/>
      <c r="BV16" s="365"/>
      <c r="BW16" s="365"/>
      <c r="BX16" s="365"/>
      <c r="BY16" s="365"/>
      <c r="BZ16" s="365"/>
      <c r="CA16" s="365"/>
      <c r="CB16" s="365"/>
      <c r="CC16" s="365"/>
      <c r="CD16" s="365"/>
      <c r="CE16" s="365"/>
      <c r="CF16" s="365"/>
      <c r="CG16" s="365"/>
      <c r="CH16" s="365"/>
      <c r="CI16" s="365"/>
      <c r="CJ16" s="365"/>
      <c r="CK16" s="365"/>
      <c r="CL16" s="365"/>
      <c r="CM16" s="365"/>
      <c r="CN16" s="365"/>
      <c r="CO16" s="365"/>
      <c r="CP16" s="365"/>
      <c r="CQ16" s="365"/>
      <c r="CR16" s="365"/>
      <c r="CS16" s="365"/>
      <c r="CT16" s="365"/>
      <c r="CU16" s="365"/>
      <c r="CV16" s="365"/>
      <c r="CW16" s="365"/>
      <c r="CX16" s="365"/>
      <c r="CY16" s="365"/>
      <c r="CZ16" s="365"/>
      <c r="DA16" s="365"/>
      <c r="DB16" s="365"/>
      <c r="DC16" s="365"/>
      <c r="DD16" s="365"/>
      <c r="DE16" s="365"/>
      <c r="DF16" s="365"/>
      <c r="DG16" s="365"/>
      <c r="DM16" s="365"/>
      <c r="DN16" s="365"/>
      <c r="DO16" s="365"/>
      <c r="DP16" s="365"/>
      <c r="DQ16" s="365"/>
      <c r="DR16" s="365"/>
      <c r="DS16" s="365"/>
      <c r="DT16" s="365"/>
      <c r="DU16" s="365"/>
      <c r="DV16" s="365"/>
      <c r="DW16" s="365"/>
      <c r="DX16" s="365"/>
      <c r="DY16" s="365"/>
      <c r="DZ16" s="365"/>
      <c r="EA16" s="365"/>
      <c r="EB16" s="365"/>
      <c r="EC16" s="365"/>
      <c r="ED16" s="365"/>
      <c r="EE16" s="365"/>
      <c r="EF16" s="365"/>
      <c r="EG16" s="365"/>
      <c r="EH16" s="365"/>
      <c r="EI16" s="365"/>
      <c r="EJ16" s="365"/>
      <c r="EK16" s="365"/>
      <c r="EL16" s="365"/>
      <c r="EM16" s="365"/>
      <c r="EN16" s="365"/>
      <c r="EO16" s="365"/>
      <c r="EP16" s="365"/>
      <c r="EQ16" s="365"/>
      <c r="ER16" s="365"/>
      <c r="ES16" s="365"/>
      <c r="ET16" s="365"/>
      <c r="EU16" s="365"/>
      <c r="EV16" s="365"/>
      <c r="EW16" s="365"/>
      <c r="EX16" s="365"/>
      <c r="EY16" s="365"/>
      <c r="EZ16" s="365"/>
      <c r="FA16" s="365"/>
      <c r="FB16" s="365"/>
      <c r="FC16" s="365"/>
      <c r="FD16" s="365"/>
      <c r="FE16" s="365"/>
      <c r="FF16" s="365"/>
      <c r="FG16" s="365"/>
      <c r="FH16" s="365"/>
      <c r="FI16" s="365"/>
      <c r="FJ16" s="365"/>
      <c r="FK16" s="365"/>
      <c r="FL16" s="365"/>
      <c r="FM16" s="365"/>
      <c r="FN16" s="365"/>
      <c r="FO16" s="365"/>
      <c r="FP16" s="365"/>
    </row>
    <row r="17" spans="1:172" ht="21" customHeight="1" x14ac:dyDescent="0.3">
      <c r="A17" s="150" t="s">
        <v>239</v>
      </c>
      <c r="B17" s="149" t="e">
        <f>SUM(DI15:DM15)/100/Lote_3</f>
        <v>#DIV/0!</v>
      </c>
      <c r="C17" s="149" t="e">
        <f>SUM(DN15:DQ15)/100/Lote_3</f>
        <v>#DIV/0!</v>
      </c>
      <c r="D17" s="149" t="e">
        <f>SUM(DS15:DW15)/100/Lote_3</f>
        <v>#DIV/0!</v>
      </c>
      <c r="E17" s="149" t="e">
        <f>SUM(DX15:EB15)/100/Lote_3</f>
        <v>#DIV/0!</v>
      </c>
      <c r="F17" s="149" t="e">
        <f>SUM(EC15:EG15)/100/Lote_3</f>
        <v>#DIV/0!</v>
      </c>
      <c r="G17" s="149" t="e">
        <f>SUM(EH15:EL15)/100/Lote_3</f>
        <v>#DIV/0!</v>
      </c>
      <c r="H17" s="149" t="e">
        <f>SUM(EM15:EQ15)/100/Lote_3</f>
        <v>#DIV/0!</v>
      </c>
      <c r="I17" s="149" t="e">
        <f>SUM(ER15:EV15)/100/Lote_3</f>
        <v>#DIV/0!</v>
      </c>
      <c r="J17" s="149" t="e">
        <f>SUM(EW15:FA15)/100/Lote_3</f>
        <v>#DIV/0!</v>
      </c>
      <c r="K17" s="149" t="e">
        <f>SUM(FB15:FF15)/100/Lote_3</f>
        <v>#DIV/0!</v>
      </c>
      <c r="L17" s="149" t="e">
        <f>SUM(FG15:FK15)/100/Lote_3</f>
        <v>#DIV/0!</v>
      </c>
      <c r="M17" s="149" t="e">
        <f>SUM(FL15:FP15)/100/Lote_3</f>
        <v>#DIV/0!</v>
      </c>
    </row>
    <row r="18" spans="1:172" ht="21" customHeight="1" x14ac:dyDescent="0.3">
      <c r="A18" s="233">
        <f>N_L4</f>
        <v>0</v>
      </c>
      <c r="B18" s="363" t="s">
        <v>37</v>
      </c>
      <c r="C18" s="363" t="s">
        <v>37</v>
      </c>
      <c r="D18" s="363" t="s">
        <v>37</v>
      </c>
      <c r="E18" s="363" t="s">
        <v>37</v>
      </c>
      <c r="F18" s="363" t="s">
        <v>37</v>
      </c>
      <c r="G18" s="363" t="s">
        <v>37</v>
      </c>
      <c r="H18" s="363" t="s">
        <v>37</v>
      </c>
      <c r="I18" s="363" t="s">
        <v>37</v>
      </c>
      <c r="J18" s="363" t="s">
        <v>37</v>
      </c>
      <c r="K18" s="363" t="s">
        <v>37</v>
      </c>
      <c r="L18" s="363" t="s">
        <v>37</v>
      </c>
      <c r="M18" s="363" t="s">
        <v>37</v>
      </c>
    </row>
    <row r="19" spans="1:172" ht="21" customHeight="1" x14ac:dyDescent="0.3">
      <c r="A19" s="4" t="s">
        <v>237</v>
      </c>
      <c r="B19" s="7"/>
      <c r="C19" s="275"/>
      <c r="D19" s="275"/>
      <c r="E19" s="275"/>
      <c r="F19" s="275"/>
      <c r="G19" s="275"/>
      <c r="H19" s="275"/>
      <c r="I19" s="275"/>
      <c r="J19" s="275"/>
      <c r="K19" s="275"/>
      <c r="L19" s="275"/>
      <c r="M19" s="275"/>
      <c r="O19" s="58">
        <f>Área_L4*D_L4*A1_L4</f>
        <v>0</v>
      </c>
      <c r="P19" s="58">
        <f>Área_L4*D_L4*A2_L4</f>
        <v>0</v>
      </c>
      <c r="Q19" s="58">
        <f>Área_L4*D_L4*A3_L4</f>
        <v>0</v>
      </c>
      <c r="R19" s="58">
        <f>Área_L4*D_L4*A4_L4</f>
        <v>0</v>
      </c>
      <c r="S19" s="58">
        <f>Área_L4*D_L4*A5_L4</f>
        <v>0</v>
      </c>
      <c r="T19" s="58">
        <f>Área_L4*D_L4*A6_L4</f>
        <v>0</v>
      </c>
      <c r="U19" s="58">
        <f>Área_L4*D_L4*A7_L4</f>
        <v>0</v>
      </c>
      <c r="V19" s="58">
        <f>Área_L4*D_L4*A8_L4</f>
        <v>0</v>
      </c>
      <c r="W19" s="58">
        <f>Área_L4*D_L4*A9_L4</f>
        <v>0</v>
      </c>
      <c r="X19" s="58">
        <f>Área_L4*D_L4*A10_L4</f>
        <v>0</v>
      </c>
      <c r="Y19" s="58">
        <f>Área_L4*D_L4*A11_L4</f>
        <v>0</v>
      </c>
      <c r="Z19" s="58">
        <f>Área_L4*D_L4*A12_L4</f>
        <v>0</v>
      </c>
      <c r="AB19" s="58">
        <f>IF($B18="Producción",IF($B19&gt;=LI_A,$O19,0),0)</f>
        <v>0</v>
      </c>
      <c r="AC19" s="58">
        <f>IF($B18="Producción",IF($B19&gt;=LI_B,IF($B19&lt;LS_B,$O19,0),0),0)</f>
        <v>0</v>
      </c>
      <c r="AD19" s="58">
        <f>IF($B18="Producción",IF($B19&gt;=LI_C,IF($B19&lt;LS_C,$O19,0),0),0)</f>
        <v>0</v>
      </c>
      <c r="AE19" s="58">
        <f>IF($B18="Producción",IF($B19&lt;=LS_D,$O19,0),0)</f>
        <v>0</v>
      </c>
      <c r="AF19" s="365">
        <f>IF($B18="Crecimiento",$O19,0)</f>
        <v>0</v>
      </c>
      <c r="AG19" s="365">
        <f>IF($B18="Siembra",$O19,0)</f>
        <v>0</v>
      </c>
      <c r="AH19" s="365">
        <f>IF($B18="Abandono",$O19,0)</f>
        <v>0</v>
      </c>
      <c r="AI19" s="365">
        <f>IF($C18="Producción",IF($C19&gt;=LI_A,$P19,0),0)</f>
        <v>0</v>
      </c>
      <c r="AJ19" s="365">
        <f>IF($C18="Producción",IF($C19&gt;=LI_B,IF($C19&lt;LS_B,$P19,0),0),0)</f>
        <v>0</v>
      </c>
      <c r="AK19" s="365">
        <f>IF($C18="Producción",IF($C19&gt;=LI_C,IF($C19&lt;LS_C,$P19,0),0),0)</f>
        <v>0</v>
      </c>
      <c r="AL19" s="365">
        <f>IF($C18="Producción",IF(C19&lt;=LS_D,$P19,0),0)</f>
        <v>0</v>
      </c>
      <c r="AM19" s="365">
        <f>IF($C18="Crecimiento",$P19,0)</f>
        <v>0</v>
      </c>
      <c r="AN19" s="365">
        <f>IF($C18="Siembra",$P19,0)</f>
        <v>0</v>
      </c>
      <c r="AO19" s="365">
        <f>IF($C18="Abandono",$P19,0)</f>
        <v>0</v>
      </c>
      <c r="AP19" s="365">
        <f>IF($D18="Producción",IF($D19&gt;=LI_A,$Q19,0),0)</f>
        <v>0</v>
      </c>
      <c r="AQ19" s="365">
        <f>IF($D18="Producción",IF($D19&gt;=LI_B,IF($D19&lt;LS_B,$Q19,0),0),0)</f>
        <v>0</v>
      </c>
      <c r="AR19" s="365">
        <f>IF($D18="Producción",IF($D19&gt;=LI_C,IF($D19&lt;LS_C,$Q19,0),0),0)</f>
        <v>0</v>
      </c>
      <c r="AS19" s="365">
        <f>IF($D18="Producción",IF($D19&lt;=LS_D,$Q19,0),0)</f>
        <v>0</v>
      </c>
      <c r="AT19" s="365">
        <f>IF($D18="Crecimiento",$Q19,0)</f>
        <v>0</v>
      </c>
      <c r="AU19" s="365">
        <f>IF($D18="Siembra",$Q19,0)</f>
        <v>0</v>
      </c>
      <c r="AV19" s="365">
        <f>IF($D18="Abandono",$Q19,0)</f>
        <v>0</v>
      </c>
      <c r="AW19" s="365">
        <f>IF($E18="Producción",IF($E19&gt;=LI_A,$R19,0),0)</f>
        <v>0</v>
      </c>
      <c r="AX19" s="365">
        <f>IF($E18="Producción",IF($E19&gt;=LI_B,IF($E19&lt;LS_B,$R19,0),0),0)</f>
        <v>0</v>
      </c>
      <c r="AY19" s="365">
        <f>IF($E18="Producción",IF($E19&gt;=LI_C,IF($E19&lt;LS_C,$R19,0),0),0)</f>
        <v>0</v>
      </c>
      <c r="AZ19" s="365">
        <f>IF($E18="Producción",IF($E19&lt;=LS_D,$R19,0),0)</f>
        <v>0</v>
      </c>
      <c r="BA19" s="365">
        <f>IF($E18="Crecimiento",$R19,0)</f>
        <v>0</v>
      </c>
      <c r="BB19" s="365">
        <f>IF($E18="Siembra",$R19,0)</f>
        <v>0</v>
      </c>
      <c r="BC19" s="365">
        <f>IF($E18="Abandono",$R19,0)</f>
        <v>0</v>
      </c>
      <c r="BD19" s="365">
        <f>IF($F18="Producción",IF($F19&gt;=LI_A,$S19,0),0)</f>
        <v>0</v>
      </c>
      <c r="BE19" s="365">
        <f>IF($F18="Producción",IF($F19&gt;=LI_B,IF($F19&lt;LS_B,$S19,0),0),0)</f>
        <v>0</v>
      </c>
      <c r="BF19" s="365">
        <f>IF($F18="Producción",IF($F19&gt;=LI_C,IF($F19&lt;LS_C,$S19,0),0),0)</f>
        <v>0</v>
      </c>
      <c r="BG19" s="365">
        <f>IF($F18="Producción",IF($F19&lt;=LS_D,$S19,0),0)</f>
        <v>0</v>
      </c>
      <c r="BH19" s="365">
        <f>IF($F18="Crecimiento",$S19,0)</f>
        <v>0</v>
      </c>
      <c r="BI19" s="365">
        <f>IF($F18="Siembra",$S19,0)</f>
        <v>0</v>
      </c>
      <c r="BJ19" s="365">
        <f>IF($F18="Abandono",$S19,0)</f>
        <v>0</v>
      </c>
      <c r="BK19" s="365">
        <f>IF($G18="Producción",IF($G19&gt;=LI_A,$T19,0),0)</f>
        <v>0</v>
      </c>
      <c r="BL19" s="365">
        <f>IF($G18="Producción",IF($G19&gt;=LI_B,IF($G19&lt;LS_B,$T19,0),0),0)</f>
        <v>0</v>
      </c>
      <c r="BM19" s="365">
        <f>IF($G18="Producción",IF($G19&gt;=LI_C,IF($G19&lt;LS_C,$T19,0),0),0)</f>
        <v>0</v>
      </c>
      <c r="BN19" s="365">
        <f>IF($G18="Producción",IF($G19&lt;=LS_D,$T19,0),0)</f>
        <v>0</v>
      </c>
      <c r="BO19" s="365">
        <f>IF($G18="Crecimiento",$T19,0)</f>
        <v>0</v>
      </c>
      <c r="BP19" s="365">
        <f>IF($G18="Siembra",$T19,0)</f>
        <v>0</v>
      </c>
      <c r="BQ19" s="365">
        <f>IF($G18="Abandono",$T19,0)</f>
        <v>0</v>
      </c>
      <c r="BR19" s="365">
        <f>IF($H18="Producción",IF($H19&gt;=LI_A,$U19,0),0)</f>
        <v>0</v>
      </c>
      <c r="BS19" s="365">
        <f>IF($H18="Producción",IF($H19&gt;=LI_B,IF($H19&lt;LS_B,$U19,0),0),0)</f>
        <v>0</v>
      </c>
      <c r="BT19" s="365">
        <f>IF($H18="Producción",IF($H19&gt;=LI_C,IF($H19&lt;LS_C,$U19,0),0),0)</f>
        <v>0</v>
      </c>
      <c r="BU19" s="365">
        <f>IF($H18="Producción",IF($H19&lt;=LS_D,$U19,0),0)</f>
        <v>0</v>
      </c>
      <c r="BV19" s="365">
        <f>IF($H18="Crecimiento",$U19,0)</f>
        <v>0</v>
      </c>
      <c r="BW19" s="365">
        <f>IF($H18="Siembra",$U19,0)</f>
        <v>0</v>
      </c>
      <c r="BX19" s="365">
        <f>IF($H18="Abandono",$U19,0)</f>
        <v>0</v>
      </c>
      <c r="BY19" s="365">
        <f>IF($I18="Producción",IF($I19&gt;=LI_A,$V19,0),0)</f>
        <v>0</v>
      </c>
      <c r="BZ19" s="365">
        <f>IF($I18="Producción",IF($I19&gt;=LI_B,IF($I19&lt;LS_B,$V19,0),0),0)</f>
        <v>0</v>
      </c>
      <c r="CA19" s="365">
        <f>IF($I18="Producción",IF($I19&gt;=LI_C,IF($I19&lt;LS_C,$V19,0),0),0)</f>
        <v>0</v>
      </c>
      <c r="CB19" s="365">
        <f>IF($I18="Producción",IF($I19&lt;=LS_D,$V19,0),0)</f>
        <v>0</v>
      </c>
      <c r="CC19" s="365">
        <f>IF($I18="Crecimiento",$V19,0)</f>
        <v>0</v>
      </c>
      <c r="CD19" s="365">
        <f>IF($I18="Siembra",$V19,0)</f>
        <v>0</v>
      </c>
      <c r="CE19" s="365">
        <f>IF($I18="Abandono",$V19,0)</f>
        <v>0</v>
      </c>
      <c r="CF19" s="365">
        <f>IF($J18="Producción",IF($J19&gt;=LI_A,$W19,0),0)</f>
        <v>0</v>
      </c>
      <c r="CG19" s="365">
        <f>IF($J18="Producción",IF($J19&gt;=LI_B,IF($J19&lt;LS_B,$W19,0),0),0)</f>
        <v>0</v>
      </c>
      <c r="CH19" s="365">
        <f>IF($J18="Producción",IF($J19&gt;=LI_C,IF($J19&lt;LS_C,$W19,0),0),0)</f>
        <v>0</v>
      </c>
      <c r="CI19" s="365">
        <f>IF($J18="Producción",IF($J19&lt;=LS_D,$W19,0),0)</f>
        <v>0</v>
      </c>
      <c r="CJ19" s="365">
        <f>IF($J18="Crecimiento",$W19,0)</f>
        <v>0</v>
      </c>
      <c r="CK19" s="365">
        <f>IF($J18="Siembra",$W19,0)</f>
        <v>0</v>
      </c>
      <c r="CL19" s="365">
        <f>IF($J18="Abandono",$W19,0)</f>
        <v>0</v>
      </c>
      <c r="CM19" s="365">
        <f>IF($K18="Producción",IF($K19&gt;=LI_A,$X19,0),0)</f>
        <v>0</v>
      </c>
      <c r="CN19" s="365">
        <f>IF($K18="Producción",IF($K19&gt;=LI_B,IF($K19&lt;LS_B,$X19,0),0),0)</f>
        <v>0</v>
      </c>
      <c r="CO19" s="365">
        <f>IF($K18="Producción",IF($K19&gt;=LI_C,IF($K19&lt;LS_C,$X19,0),0),0)</f>
        <v>0</v>
      </c>
      <c r="CP19" s="365">
        <f>IF($K18="Producción",IF($K19&lt;=LS_D,$X19,0),0)</f>
        <v>0</v>
      </c>
      <c r="CQ19" s="365">
        <f>IF($K18="Crecimiento",IF($K19&gt;0,$X19,0),0)</f>
        <v>0</v>
      </c>
      <c r="CR19" s="365">
        <f>IF($K18="Siembra",IF($K19&gt;0,$X19,0),0)</f>
        <v>0</v>
      </c>
      <c r="CS19" s="365">
        <f>IF($K18="Abandono",IF($K19&gt;0,$X19,0),0)</f>
        <v>0</v>
      </c>
      <c r="CT19" s="365">
        <f>IF($L18="Producción",IF($L19&gt;=LI_A,$Y19,0),0)</f>
        <v>0</v>
      </c>
      <c r="CU19" s="365">
        <f>IF($L18="Producción",IF($L19&gt;=LI_B,IF($L19&lt;LS_B,$Y19,0),0),0)</f>
        <v>0</v>
      </c>
      <c r="CV19" s="365">
        <f>IF($L18="Producción",IF($L19&gt;=LI_C,IF($L19&lt;LS_C,$Y19,0),0),0)</f>
        <v>0</v>
      </c>
      <c r="CW19" s="365">
        <f>IF($L18="Producción",IF($L19&lt;=LS_D,$Y19,0),0)</f>
        <v>0</v>
      </c>
      <c r="CX19" s="365">
        <f>IF($L18="Crecimiento",$Y19,0)</f>
        <v>0</v>
      </c>
      <c r="CY19" s="365">
        <f>IF($L18="Siembra",$Y19,0)</f>
        <v>0</v>
      </c>
      <c r="CZ19" s="365">
        <f>IF($L18="Abandono",$Y19,0)</f>
        <v>0</v>
      </c>
      <c r="DA19" s="365">
        <f>IF($M18="Producción",IF($M19&gt;=LI_A,$Z19,0),0)</f>
        <v>0</v>
      </c>
      <c r="DB19" s="365">
        <f>IF($M18="Producción",IF($M19&gt;=LI_B,IF($M19&lt;LS_B,$Z19,0),0),0)</f>
        <v>0</v>
      </c>
      <c r="DC19" s="365">
        <f>IF($M18="Producción",IF($M19&gt;=LI_C,IF($M19&lt;LS_C,$Z19,0),0),0)</f>
        <v>0</v>
      </c>
      <c r="DD19" s="365">
        <f>IF($M18="Producción",IF($M19&lt;=LS_D,$Z19,0),0)</f>
        <v>0</v>
      </c>
      <c r="DE19" s="365">
        <f>IF($M18="Crecimiento",$Z19,0)</f>
        <v>0</v>
      </c>
      <c r="DF19" s="365">
        <f>IF($M18="Siembra",$Z19,0)</f>
        <v>0</v>
      </c>
      <c r="DG19" s="365">
        <f>IF($M18="Abandono",$Z19,0)</f>
        <v>0</v>
      </c>
      <c r="DI19" s="58">
        <f>AB19*$B19</f>
        <v>0</v>
      </c>
      <c r="DJ19" s="58">
        <f>AC19*$B19</f>
        <v>0</v>
      </c>
      <c r="DK19" s="58">
        <f>AD19*$B19</f>
        <v>0</v>
      </c>
      <c r="DL19" s="58">
        <f>AE19*$B19</f>
        <v>0</v>
      </c>
      <c r="DM19" s="365">
        <f>AF19*$B19</f>
        <v>0</v>
      </c>
      <c r="DN19" s="365">
        <f>AI19*$C19</f>
        <v>0</v>
      </c>
      <c r="DO19" s="365">
        <f>AJ19*$C19</f>
        <v>0</v>
      </c>
      <c r="DP19" s="365">
        <f>AK19*$C19</f>
        <v>0</v>
      </c>
      <c r="DQ19" s="365">
        <f>AL19*$C19</f>
        <v>0</v>
      </c>
      <c r="DR19" s="365">
        <f>AM19*$C19</f>
        <v>0</v>
      </c>
      <c r="DS19" s="365">
        <f>AP19*$D19</f>
        <v>0</v>
      </c>
      <c r="DT19" s="365">
        <f>AQ19*$D19</f>
        <v>0</v>
      </c>
      <c r="DU19" s="365">
        <f>AR19*$D19</f>
        <v>0</v>
      </c>
      <c r="DV19" s="365">
        <f>AS19*$D19</f>
        <v>0</v>
      </c>
      <c r="DW19" s="365">
        <f>AT19*$D19</f>
        <v>0</v>
      </c>
      <c r="DX19" s="365">
        <f>AW19*$E19</f>
        <v>0</v>
      </c>
      <c r="DY19" s="365">
        <f>AX19*$E19</f>
        <v>0</v>
      </c>
      <c r="DZ19" s="365">
        <f>AY19*$E19</f>
        <v>0</v>
      </c>
      <c r="EA19" s="365">
        <f>AZ19*$E19</f>
        <v>0</v>
      </c>
      <c r="EB19" s="365">
        <f>BA19*$E19</f>
        <v>0</v>
      </c>
      <c r="EC19" s="365">
        <f>BD19*$F19</f>
        <v>0</v>
      </c>
      <c r="ED19" s="365">
        <f>BE19*$F19</f>
        <v>0</v>
      </c>
      <c r="EE19" s="365">
        <f>BF19*$F19</f>
        <v>0</v>
      </c>
      <c r="EF19" s="365">
        <f>BG19*$F19</f>
        <v>0</v>
      </c>
      <c r="EG19" s="365">
        <f>BH19*$F19</f>
        <v>0</v>
      </c>
      <c r="EH19" s="365">
        <f>BK19*$G19</f>
        <v>0</v>
      </c>
      <c r="EI19" s="365">
        <f>BL19*$G19</f>
        <v>0</v>
      </c>
      <c r="EJ19" s="365">
        <f>BM19*$G19</f>
        <v>0</v>
      </c>
      <c r="EK19" s="365">
        <f>BN19*$G19</f>
        <v>0</v>
      </c>
      <c r="EL19" s="365">
        <f>BO19*$G19</f>
        <v>0</v>
      </c>
      <c r="EM19" s="365">
        <f>BR19*$H19</f>
        <v>0</v>
      </c>
      <c r="EN19" s="365">
        <f>BS19*$H19</f>
        <v>0</v>
      </c>
      <c r="EO19" s="365">
        <f>BT19*$H19</f>
        <v>0</v>
      </c>
      <c r="EP19" s="365">
        <f>BU19*$H19</f>
        <v>0</v>
      </c>
      <c r="EQ19" s="365">
        <f>BV19*$H19</f>
        <v>0</v>
      </c>
      <c r="ER19" s="365">
        <f>BY19*$I19</f>
        <v>0</v>
      </c>
      <c r="ES19" s="365">
        <f>BZ19*$I19</f>
        <v>0</v>
      </c>
      <c r="ET19" s="365">
        <f>CA19*$I19</f>
        <v>0</v>
      </c>
      <c r="EU19" s="365">
        <f>CB19*$I19</f>
        <v>0</v>
      </c>
      <c r="EV19" s="365">
        <f>CC19*$I19</f>
        <v>0</v>
      </c>
      <c r="EW19" s="365">
        <f>CF19*$J19</f>
        <v>0</v>
      </c>
      <c r="EX19" s="365">
        <f>CG19*$J19</f>
        <v>0</v>
      </c>
      <c r="EY19" s="365">
        <f>CH19*$J19</f>
        <v>0</v>
      </c>
      <c r="EZ19" s="365">
        <f>CI19*$J19</f>
        <v>0</v>
      </c>
      <c r="FA19" s="365">
        <f>CJ19*$J19</f>
        <v>0</v>
      </c>
      <c r="FB19" s="365">
        <f>CM19*$K19</f>
        <v>0</v>
      </c>
      <c r="FC19" s="365">
        <f>CN19*$K19</f>
        <v>0</v>
      </c>
      <c r="FD19" s="365">
        <f>CO19*$K19</f>
        <v>0</v>
      </c>
      <c r="FE19" s="365">
        <f>CP19*$K19</f>
        <v>0</v>
      </c>
      <c r="FF19" s="365">
        <f>CQ19*$K19</f>
        <v>0</v>
      </c>
      <c r="FG19" s="365">
        <f>CT19*$L19</f>
        <v>0</v>
      </c>
      <c r="FH19" s="365">
        <f>CU19*$L19</f>
        <v>0</v>
      </c>
      <c r="FI19" s="365">
        <f>CV19*$L19</f>
        <v>0</v>
      </c>
      <c r="FJ19" s="365">
        <f>CW19*$L19</f>
        <v>0</v>
      </c>
      <c r="FK19" s="365">
        <f>CX19*$L19</f>
        <v>0</v>
      </c>
      <c r="FL19" s="365">
        <f>DA19*$M19</f>
        <v>0</v>
      </c>
      <c r="FM19" s="365">
        <f t="shared" ref="FM19" si="11">DB19*$M19</f>
        <v>0</v>
      </c>
      <c r="FN19" s="365">
        <f>DC19*$M19</f>
        <v>0</v>
      </c>
      <c r="FO19" s="365">
        <f t="shared" ref="FO19" si="12">DD19*$M19</f>
        <v>0</v>
      </c>
      <c r="FP19" s="365">
        <f t="shared" ref="FP19" si="13">DE19*$M19</f>
        <v>0</v>
      </c>
    </row>
    <row r="20" spans="1:172" ht="21" customHeight="1" x14ac:dyDescent="0.3">
      <c r="A20" s="277" t="s">
        <v>238</v>
      </c>
      <c r="B20" s="278">
        <f>SUM(DI19:DM19)/100</f>
        <v>0</v>
      </c>
      <c r="C20" s="278">
        <f>SUM(DN19:DQ19)/100</f>
        <v>0</v>
      </c>
      <c r="D20" s="279">
        <f>SUM(DS19:DW19)/100</f>
        <v>0</v>
      </c>
      <c r="E20" s="279">
        <f>SUM(DX19:EB19)/100</f>
        <v>0</v>
      </c>
      <c r="F20" s="279">
        <f>SUM(EC19:EG19)/100</f>
        <v>0</v>
      </c>
      <c r="G20" s="279">
        <f>SUM(EH19:EL19)/100</f>
        <v>0</v>
      </c>
      <c r="H20" s="279">
        <f>SUM(EM19:EQ19)/100</f>
        <v>0</v>
      </c>
      <c r="I20" s="279">
        <f>SUM(ER19:EV19)/100</f>
        <v>0</v>
      </c>
      <c r="J20" s="279">
        <f>SUM(EW19:FA19)/100</f>
        <v>0</v>
      </c>
      <c r="K20" s="279">
        <f>SUM(FB19:FF19)/100</f>
        <v>0</v>
      </c>
      <c r="L20" s="279">
        <f>SUM(FG19:FK19)/100</f>
        <v>0</v>
      </c>
      <c r="M20" s="279">
        <f>SUM(FL19:FP19)/100</f>
        <v>0</v>
      </c>
      <c r="AG20" s="365"/>
      <c r="AH20" s="365"/>
      <c r="AI20" s="365"/>
      <c r="AJ20" s="365"/>
      <c r="AK20" s="365"/>
      <c r="AL20" s="365"/>
      <c r="AM20" s="365"/>
      <c r="AN20" s="365"/>
      <c r="AO20" s="365"/>
      <c r="AP20" s="365"/>
      <c r="AQ20" s="365"/>
      <c r="AR20" s="365"/>
      <c r="AS20" s="365"/>
      <c r="AT20" s="365"/>
      <c r="AU20" s="365"/>
      <c r="AV20" s="365"/>
      <c r="AW20" s="365"/>
      <c r="AX20" s="365"/>
      <c r="AY20" s="365"/>
      <c r="AZ20" s="365"/>
      <c r="BA20" s="365"/>
      <c r="BB20" s="365"/>
      <c r="BC20" s="365"/>
      <c r="BD20" s="365"/>
      <c r="BE20" s="365"/>
      <c r="BF20" s="365"/>
      <c r="BG20" s="365"/>
      <c r="BH20" s="365"/>
      <c r="BI20" s="365"/>
      <c r="BJ20" s="365"/>
      <c r="BK20" s="365"/>
      <c r="BL20" s="365"/>
      <c r="BM20" s="365"/>
      <c r="BN20" s="365"/>
      <c r="BO20" s="365"/>
      <c r="BP20" s="365"/>
      <c r="BQ20" s="365"/>
      <c r="BR20" s="365"/>
      <c r="BS20" s="365"/>
      <c r="BT20" s="365"/>
      <c r="BU20" s="365"/>
      <c r="BV20" s="365"/>
      <c r="BW20" s="365"/>
      <c r="BX20" s="365"/>
      <c r="BY20" s="365"/>
      <c r="BZ20" s="365"/>
      <c r="CA20" s="365"/>
      <c r="CB20" s="365"/>
      <c r="CC20" s="365"/>
      <c r="CD20" s="365"/>
      <c r="CE20" s="365"/>
      <c r="CF20" s="365"/>
      <c r="CG20" s="365"/>
      <c r="CH20" s="365"/>
      <c r="CI20" s="365"/>
      <c r="CJ20" s="365"/>
      <c r="CK20" s="365"/>
      <c r="CL20" s="365"/>
      <c r="CM20" s="365"/>
      <c r="CN20" s="365"/>
      <c r="CO20" s="365"/>
      <c r="CP20" s="365"/>
      <c r="CQ20" s="365"/>
      <c r="CR20" s="365"/>
      <c r="CS20" s="365"/>
      <c r="CT20" s="365"/>
      <c r="CU20" s="365"/>
      <c r="CV20" s="365"/>
      <c r="CW20" s="365"/>
      <c r="CX20" s="365"/>
      <c r="CY20" s="365"/>
      <c r="CZ20" s="365"/>
      <c r="DA20" s="365"/>
      <c r="DB20" s="365"/>
      <c r="DC20" s="365"/>
      <c r="DD20" s="365"/>
      <c r="DE20" s="365"/>
      <c r="DF20" s="365"/>
      <c r="DG20" s="365"/>
      <c r="DM20" s="365"/>
      <c r="DN20" s="365"/>
      <c r="DO20" s="365"/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A20" s="365"/>
      <c r="EB20" s="365"/>
      <c r="EC20" s="365"/>
      <c r="ED20" s="365"/>
      <c r="EE20" s="365"/>
      <c r="EF20" s="365"/>
      <c r="EG20" s="365"/>
      <c r="EH20" s="365"/>
      <c r="EI20" s="365"/>
      <c r="EJ20" s="365"/>
      <c r="EK20" s="365"/>
      <c r="EL20" s="365"/>
      <c r="EM20" s="365"/>
      <c r="EN20" s="365"/>
      <c r="EO20" s="365"/>
      <c r="EP20" s="365"/>
      <c r="EQ20" s="365"/>
      <c r="ER20" s="365"/>
      <c r="ES20" s="365"/>
      <c r="ET20" s="365"/>
      <c r="EU20" s="365"/>
      <c r="EV20" s="365"/>
      <c r="EW20" s="365"/>
      <c r="EX20" s="365"/>
      <c r="EY20" s="365"/>
      <c r="EZ20" s="365"/>
      <c r="FA20" s="365"/>
      <c r="FB20" s="365"/>
      <c r="FC20" s="365"/>
      <c r="FD20" s="365"/>
      <c r="FE20" s="365"/>
      <c r="FF20" s="365"/>
      <c r="FG20" s="365"/>
      <c r="FH20" s="365"/>
      <c r="FI20" s="365"/>
      <c r="FJ20" s="365"/>
      <c r="FK20" s="365"/>
      <c r="FL20" s="365"/>
      <c r="FM20" s="365"/>
      <c r="FN20" s="365"/>
      <c r="FO20" s="365"/>
      <c r="FP20" s="365"/>
    </row>
    <row r="21" spans="1:172" ht="21" customHeight="1" x14ac:dyDescent="0.3">
      <c r="A21" s="150" t="s">
        <v>239</v>
      </c>
      <c r="B21" s="149" t="e">
        <f>SUM(DI19:DM19)/100/Lote_4</f>
        <v>#DIV/0!</v>
      </c>
      <c r="C21" s="149" t="e">
        <f>SUM(DN19:DQ19)/100/Lote_4</f>
        <v>#DIV/0!</v>
      </c>
      <c r="D21" s="149" t="e">
        <f>SUM(DS19:DW19)/100/Lote_4</f>
        <v>#DIV/0!</v>
      </c>
      <c r="E21" s="149" t="e">
        <f>SUM(DX19:EB19)/100/Lote_4</f>
        <v>#DIV/0!</v>
      </c>
      <c r="F21" s="149" t="e">
        <f>SUM(EC19:EG19)/100/Lote_4</f>
        <v>#DIV/0!</v>
      </c>
      <c r="G21" s="149" t="e">
        <f>SUM(EH19:EL19)/100/Lote_4</f>
        <v>#DIV/0!</v>
      </c>
      <c r="H21" s="149" t="e">
        <f>SUM(EM19:EQ19)/100/Lote_4</f>
        <v>#DIV/0!</v>
      </c>
      <c r="I21" s="149" t="e">
        <f>SUM(ER19:EV19)/100/Lote_4</f>
        <v>#DIV/0!</v>
      </c>
      <c r="J21" s="149" t="e">
        <f>SUM(EW19:FA19)/100/Lote_4</f>
        <v>#DIV/0!</v>
      </c>
      <c r="K21" s="149" t="e">
        <f>SUM(FB19:FF19)/100/Lote_4</f>
        <v>#DIV/0!</v>
      </c>
      <c r="L21" s="149" t="e">
        <f>SUM(FG19:FK19)/100/Lote_4</f>
        <v>#DIV/0!</v>
      </c>
      <c r="M21" s="149" t="e">
        <f>SUM(FL19:FP19)/100/Lote_4</f>
        <v>#DIV/0!</v>
      </c>
    </row>
    <row r="22" spans="1:172" ht="21" customHeight="1" x14ac:dyDescent="0.3">
      <c r="A22" s="233">
        <f>N_L5</f>
        <v>0</v>
      </c>
      <c r="B22" s="363" t="s">
        <v>37</v>
      </c>
      <c r="C22" s="363" t="s">
        <v>37</v>
      </c>
      <c r="D22" s="363" t="s">
        <v>37</v>
      </c>
      <c r="E22" s="363" t="s">
        <v>37</v>
      </c>
      <c r="F22" s="363" t="s">
        <v>37</v>
      </c>
      <c r="G22" s="363" t="s">
        <v>37</v>
      </c>
      <c r="H22" s="363" t="s">
        <v>37</v>
      </c>
      <c r="I22" s="363" t="s">
        <v>37</v>
      </c>
      <c r="J22" s="363" t="s">
        <v>37</v>
      </c>
      <c r="K22" s="363" t="s">
        <v>37</v>
      </c>
      <c r="L22" s="363" t="s">
        <v>37</v>
      </c>
      <c r="M22" s="363" t="s">
        <v>37</v>
      </c>
    </row>
    <row r="23" spans="1:172" ht="21" customHeight="1" x14ac:dyDescent="0.3">
      <c r="A23" s="4" t="s">
        <v>237</v>
      </c>
      <c r="B23" s="7"/>
      <c r="C23" s="275"/>
      <c r="D23" s="275"/>
      <c r="E23" s="275"/>
      <c r="F23" s="275"/>
      <c r="G23" s="275"/>
      <c r="H23" s="275"/>
      <c r="I23" s="275"/>
      <c r="J23" s="275"/>
      <c r="K23" s="275"/>
      <c r="L23" s="275"/>
      <c r="M23" s="275"/>
      <c r="O23" s="58">
        <f>Área_L5*D_L5*A1_L5</f>
        <v>0</v>
      </c>
      <c r="P23" s="58">
        <f>Área_L5*D_L5*A2_L5</f>
        <v>0</v>
      </c>
      <c r="Q23" s="58">
        <f>Área_L5*D_L5*A3_L5</f>
        <v>0</v>
      </c>
      <c r="R23" s="58">
        <f>Área_L5*D_L5*A4_L5</f>
        <v>0</v>
      </c>
      <c r="S23" s="58">
        <f>Área_L5*D_L5*A5_L5</f>
        <v>0</v>
      </c>
      <c r="T23" s="58">
        <f>Área_L5*D_L5*A6_L5</f>
        <v>0</v>
      </c>
      <c r="U23" s="58">
        <f>Área_L5*D_L5*A7_L5</f>
        <v>0</v>
      </c>
      <c r="V23" s="58">
        <f>Área_L5*D_L5*A8_L5</f>
        <v>0</v>
      </c>
      <c r="W23" s="58">
        <f>Área_L5*D_L5*A9_L5</f>
        <v>0</v>
      </c>
      <c r="X23" s="58">
        <f>Área_L5*D_L5*A10_L5</f>
        <v>0</v>
      </c>
      <c r="Y23" s="58">
        <f>Área_L5*D_L5*A11_L5</f>
        <v>0</v>
      </c>
      <c r="Z23" s="58">
        <f>Área_L5*D_L5*A12_L5</f>
        <v>0</v>
      </c>
      <c r="AB23" s="58">
        <f>IF($B22="Producción",IF($B23&gt;=LI_A,$O23,0),0)</f>
        <v>0</v>
      </c>
      <c r="AC23" s="58">
        <f>IF($B22="Producción",IF($B23&gt;=LI_B,IF($B23&lt;LS_B,$O23,0),0),0)</f>
        <v>0</v>
      </c>
      <c r="AD23" s="58">
        <f>IF($B22="Producción",IF($B23&gt;=LI_C,IF($B23&lt;LS_C,$O23,0),0),0)</f>
        <v>0</v>
      </c>
      <c r="AE23" s="58">
        <f>IF($B22="Producción",IF($B23&lt;=LS_D,$O23,0),0)</f>
        <v>0</v>
      </c>
      <c r="AF23" s="365">
        <f>IF($B22="Crecimiento",$O23,0)</f>
        <v>0</v>
      </c>
      <c r="AG23" s="365">
        <f>IF($B22="Siembra",$O23,0)</f>
        <v>0</v>
      </c>
      <c r="AH23" s="365">
        <f>IF($B22="Abandono",$O23,0)</f>
        <v>0</v>
      </c>
      <c r="AI23" s="365">
        <f>IF($C22="Producción",IF($C23&gt;=LI_A,$P23,0),0)</f>
        <v>0</v>
      </c>
      <c r="AJ23" s="365">
        <f>IF($C22="Producción",IF($C23&gt;=LI_B,IF($C23&lt;LS_B,$P23,0),0),0)</f>
        <v>0</v>
      </c>
      <c r="AK23" s="365">
        <f>IF($C22="Producción",IF($C23&gt;=LI_C,IF($C23&lt;LS_C,$P23,0),0),0)</f>
        <v>0</v>
      </c>
      <c r="AL23" s="365">
        <f>IF($C22="Producción",IF(C23&lt;=LS_D,$P23,0),0)</f>
        <v>0</v>
      </c>
      <c r="AM23" s="365">
        <f>IF($C22="Crecimiento",$P23,0)</f>
        <v>0</v>
      </c>
      <c r="AN23" s="365">
        <f>IF($C22="Siembra",$P23,0)</f>
        <v>0</v>
      </c>
      <c r="AO23" s="365">
        <f>IF($C22="Abandono",$P23,0)</f>
        <v>0</v>
      </c>
      <c r="AP23" s="365">
        <f>IF($D22="Producción",IF($D23&gt;=LI_A,$Q23,0),0)</f>
        <v>0</v>
      </c>
      <c r="AQ23" s="365">
        <f>IF($D22="Producción",IF($D23&gt;=LI_B,IF($D23&lt;LS_B,$Q23,0),0),0)</f>
        <v>0</v>
      </c>
      <c r="AR23" s="365">
        <f>IF($D22="Producción",IF($D23&gt;=LI_C,IF($D23&lt;LS_C,$Q23,0),0),0)</f>
        <v>0</v>
      </c>
      <c r="AS23" s="365">
        <f>IF($D22="Producción",IF($D23&lt;=LS_D,$Q23,0),0)</f>
        <v>0</v>
      </c>
      <c r="AT23" s="365">
        <f>IF($D22="Crecimiento",$Q23,0)</f>
        <v>0</v>
      </c>
      <c r="AU23" s="365">
        <f>IF($D22="Siembra",$Q23,0)</f>
        <v>0</v>
      </c>
      <c r="AV23" s="365">
        <f>IF($D22="Abandono",$Q23,0)</f>
        <v>0</v>
      </c>
      <c r="AW23" s="365">
        <f>IF($E22="Producción",IF($E23&gt;=LI_A,$R23,0),0)</f>
        <v>0</v>
      </c>
      <c r="AX23" s="365">
        <f>IF($E22="Producción",IF($E23&gt;=LI_B,IF($E23&lt;LS_B,$R23,0),0),0)</f>
        <v>0</v>
      </c>
      <c r="AY23" s="365">
        <f>IF($E22="Producción",IF($E23&gt;=LI_C,IF($E23&lt;LS_C,$R23,0),0),0)</f>
        <v>0</v>
      </c>
      <c r="AZ23" s="365">
        <f>IF($E22="Producción",IF($E23&lt;=LS_D,$R23,0),0)</f>
        <v>0</v>
      </c>
      <c r="BA23" s="365">
        <f>IF($E22="Crecimiento",$R23,0)</f>
        <v>0</v>
      </c>
      <c r="BB23" s="365">
        <f>IF($E22="Siembra",$R23,0)</f>
        <v>0</v>
      </c>
      <c r="BC23" s="365">
        <f>IF($E22="Abandono",$R23,0)</f>
        <v>0</v>
      </c>
      <c r="BD23" s="365">
        <f>IF($F22="Producción",IF($F23&gt;=LI_A,$S23,0),0)</f>
        <v>0</v>
      </c>
      <c r="BE23" s="365">
        <f>IF($F22="Producción",IF($F23&gt;=LI_B,IF($F23&lt;LS_B,$S23,0),0),0)</f>
        <v>0</v>
      </c>
      <c r="BF23" s="365">
        <f>IF($F22="Producción",IF($F23&gt;=LI_C,IF($F23&lt;LS_C,$S23,0),0),0)</f>
        <v>0</v>
      </c>
      <c r="BG23" s="365">
        <f>IF($F22="Producción",IF($F23&lt;=LS_D,$S23,0),0)</f>
        <v>0</v>
      </c>
      <c r="BH23" s="365">
        <f>IF($F22="Crecimiento",$S23,0)</f>
        <v>0</v>
      </c>
      <c r="BI23" s="365">
        <f>IF($F22="Siembra",$S23,0)</f>
        <v>0</v>
      </c>
      <c r="BJ23" s="365">
        <f>IF($F22="Abandono",$S23,0)</f>
        <v>0</v>
      </c>
      <c r="BK23" s="365">
        <f>IF($G22="Producción",IF($G23&gt;=LI_A,$T23,0),0)</f>
        <v>0</v>
      </c>
      <c r="BL23" s="365">
        <f>IF($G22="Producción",IF($G23&gt;=LI_B,IF($G23&lt;LS_B,$T23,0),0),0)</f>
        <v>0</v>
      </c>
      <c r="BM23" s="365">
        <f>IF($G22="Producción",IF($G23&gt;=LI_C,IF($G23&lt;LS_C,$T23,0),0),0)</f>
        <v>0</v>
      </c>
      <c r="BN23" s="365">
        <f>IF($G22="Producción",IF($G23&lt;=LS_D,$T23,0),0)</f>
        <v>0</v>
      </c>
      <c r="BO23" s="365">
        <f>IF($G22="Crecimiento",$T23,0)</f>
        <v>0</v>
      </c>
      <c r="BP23" s="365">
        <f>IF($G22="Siembra",$T23,0)</f>
        <v>0</v>
      </c>
      <c r="BQ23" s="365">
        <f>IF($G22="Abandono",$T23,0)</f>
        <v>0</v>
      </c>
      <c r="BR23" s="365">
        <f>IF($H22="Producción",IF($H23&gt;=LI_A,$U23,0),0)</f>
        <v>0</v>
      </c>
      <c r="BS23" s="365">
        <f>IF($H22="Producción",IF($H23&gt;=LI_B,IF($H23&lt;LS_B,$U23,0),0),0)</f>
        <v>0</v>
      </c>
      <c r="BT23" s="365">
        <f>IF($H22="Producción",IF($H23&gt;=LI_C,IF($H23&lt;LS_C,$U23,0),0),0)</f>
        <v>0</v>
      </c>
      <c r="BU23" s="365">
        <f>IF($H22="Producción",IF($H23&lt;=LS_D,$U23,0),0)</f>
        <v>0</v>
      </c>
      <c r="BV23" s="365">
        <f>IF($H22="Crecimiento",$U23,0)</f>
        <v>0</v>
      </c>
      <c r="BW23" s="365">
        <f>IF($H22="Siembra",$U23,0)</f>
        <v>0</v>
      </c>
      <c r="BX23" s="365">
        <f>IF($H22="Abandono",$U23,0)</f>
        <v>0</v>
      </c>
      <c r="BY23" s="365">
        <f>IF($I22="Producción",IF($I23&gt;=LI_A,$V23,0),0)</f>
        <v>0</v>
      </c>
      <c r="BZ23" s="365">
        <f>IF($I22="Producción",IF($I23&gt;=LI_B,IF($I23&lt;LS_B,$V23,0),0),0)</f>
        <v>0</v>
      </c>
      <c r="CA23" s="365">
        <f>IF($I22="Producción",IF($I23&gt;=LI_C,IF($I23&lt;LS_C,$V23,0),0),0)</f>
        <v>0</v>
      </c>
      <c r="CB23" s="365">
        <f>IF($I22="Producción",IF($I23&lt;=LS_D,$V23,0),0)</f>
        <v>0</v>
      </c>
      <c r="CC23" s="365">
        <f>IF($I22="Crecimiento",$V23,0)</f>
        <v>0</v>
      </c>
      <c r="CD23" s="365">
        <f>IF($I22="Siembra",$V23,0)</f>
        <v>0</v>
      </c>
      <c r="CE23" s="365">
        <f>IF($I22="Abandono",$V23,0)</f>
        <v>0</v>
      </c>
      <c r="CF23" s="365">
        <f>IF($J22="Producción",IF($J23&gt;=LI_A,$W23,0),0)</f>
        <v>0</v>
      </c>
      <c r="CG23" s="365">
        <f>IF($J22="Producción",IF($J23&gt;=LI_B,IF($J23&lt;LS_B,$W23,0),0),0)</f>
        <v>0</v>
      </c>
      <c r="CH23" s="365">
        <f>IF($J22="Producción",IF($J23&gt;=LI_C,IF($J23&lt;LS_C,$W23,0),0),0)</f>
        <v>0</v>
      </c>
      <c r="CI23" s="365">
        <f>IF($J22="Producción",IF($J23&lt;=LS_D,$W23,0),0)</f>
        <v>0</v>
      </c>
      <c r="CJ23" s="365">
        <f>IF($J22="Crecimiento",$W23,0)</f>
        <v>0</v>
      </c>
      <c r="CK23" s="365">
        <f>IF($J22="Siembra",$W23,0)</f>
        <v>0</v>
      </c>
      <c r="CL23" s="365">
        <f>IF($J22="Abandono",$W23,0)</f>
        <v>0</v>
      </c>
      <c r="CM23" s="365">
        <f>IF($K22="Producción",IF($K23&gt;=LI_A,$X23,0),0)</f>
        <v>0</v>
      </c>
      <c r="CN23" s="365">
        <f>IF($K22="Producción",IF($K23&gt;=LI_B,IF($K23&lt;LS_B,$X23,0),0),0)</f>
        <v>0</v>
      </c>
      <c r="CO23" s="365">
        <f>IF($K22="Producción",IF($K23&gt;=LI_C,IF($K23&lt;LS_C,$X23,0),0),0)</f>
        <v>0</v>
      </c>
      <c r="CP23" s="365">
        <f>IF($K22="Producción",IF($K23&lt;=LS_D,$X23,0),0)</f>
        <v>0</v>
      </c>
      <c r="CQ23" s="365">
        <f>IF($K22="Crecimiento",IF($K23&gt;0,$X23,0),0)</f>
        <v>0</v>
      </c>
      <c r="CR23" s="365">
        <f>IF($K22="Siembra",IF($K23&gt;0,$X23,0),0)</f>
        <v>0</v>
      </c>
      <c r="CS23" s="365">
        <f>IF($K22="Abandono",IF($K23&gt;0,$X23,0),0)</f>
        <v>0</v>
      </c>
      <c r="CT23" s="365">
        <f>IF($L22="Producción",IF($L23&gt;=LI_A,$Y23,0),0)</f>
        <v>0</v>
      </c>
      <c r="CU23" s="365">
        <f>IF($L22="Producción",IF($L23&gt;=LI_B,IF($L23&lt;LS_B,$Y23,0),0),0)</f>
        <v>0</v>
      </c>
      <c r="CV23" s="365">
        <f>IF($L22="Producción",IF($L23&gt;=LI_C,IF($L23&lt;LS_C,$Y23,0),0),0)</f>
        <v>0</v>
      </c>
      <c r="CW23" s="365">
        <f>IF($L22="Producción",IF($L23&lt;=LS_D,$Y23,0),0)</f>
        <v>0</v>
      </c>
      <c r="CX23" s="365">
        <f>IF($L22="Crecimiento",$Y23,0)</f>
        <v>0</v>
      </c>
      <c r="CY23" s="365">
        <f>IF($L22="Siembra",$Y23,0)</f>
        <v>0</v>
      </c>
      <c r="CZ23" s="365">
        <f>IF($L22="Abandono",$Y23,0)</f>
        <v>0</v>
      </c>
      <c r="DA23" s="365">
        <f>IF($M22="Producción",IF($M23&gt;=LI_A,$Z23,0),0)</f>
        <v>0</v>
      </c>
      <c r="DB23" s="365">
        <f>IF($M22="Producción",IF($M23&gt;=LI_B,IF($M23&lt;LS_B,$Z23,0),0),0)</f>
        <v>0</v>
      </c>
      <c r="DC23" s="365">
        <f>IF($M22="Producción",IF($M23&gt;=LI_C,IF($M23&lt;LS_C,$Z23,0),0),0)</f>
        <v>0</v>
      </c>
      <c r="DD23" s="365">
        <f>IF($M22="Producción",IF($M23&lt;=LS_D,$Z23,0),0)</f>
        <v>0</v>
      </c>
      <c r="DE23" s="365">
        <f>IF($M22="Crecimiento",$Z23,0)</f>
        <v>0</v>
      </c>
      <c r="DF23" s="365">
        <f>IF($M22="Siembra",$Z23,0)</f>
        <v>0</v>
      </c>
      <c r="DG23" s="365">
        <f>IF($M22="Abandono",$Z23,0)</f>
        <v>0</v>
      </c>
      <c r="DI23" s="58">
        <f>AB23*$B23</f>
        <v>0</v>
      </c>
      <c r="DJ23" s="58">
        <f>AC23*$B23</f>
        <v>0</v>
      </c>
      <c r="DK23" s="58">
        <f>AD23*$B23</f>
        <v>0</v>
      </c>
      <c r="DL23" s="58">
        <f>AE23*$B23</f>
        <v>0</v>
      </c>
      <c r="DM23" s="365">
        <f>AF23*$B23</f>
        <v>0</v>
      </c>
      <c r="DN23" s="365">
        <f>AI23*$C23</f>
        <v>0</v>
      </c>
      <c r="DO23" s="365">
        <f>AJ23*$C23</f>
        <v>0</v>
      </c>
      <c r="DP23" s="365">
        <f>AK23*$C23</f>
        <v>0</v>
      </c>
      <c r="DQ23" s="365">
        <f>AL23*$C23</f>
        <v>0</v>
      </c>
      <c r="DR23" s="365">
        <f>AM23*$C23</f>
        <v>0</v>
      </c>
      <c r="DS23" s="365">
        <f>AP23*$D23</f>
        <v>0</v>
      </c>
      <c r="DT23" s="365">
        <f>AQ23*$D23</f>
        <v>0</v>
      </c>
      <c r="DU23" s="365">
        <f>AR23*$D23</f>
        <v>0</v>
      </c>
      <c r="DV23" s="365">
        <f>AS23*$D23</f>
        <v>0</v>
      </c>
      <c r="DW23" s="365">
        <f>AT23*$D23</f>
        <v>0</v>
      </c>
      <c r="DX23" s="365">
        <f>AW23*$E23</f>
        <v>0</v>
      </c>
      <c r="DY23" s="365">
        <f>AX23*$E23</f>
        <v>0</v>
      </c>
      <c r="DZ23" s="365">
        <f>AY23*$E23</f>
        <v>0</v>
      </c>
      <c r="EA23" s="365">
        <f>AZ23*$E23</f>
        <v>0</v>
      </c>
      <c r="EB23" s="365">
        <f>BA23*$E23</f>
        <v>0</v>
      </c>
      <c r="EC23" s="365">
        <f>BD23*$F23</f>
        <v>0</v>
      </c>
      <c r="ED23" s="365">
        <f>BE23*$F23</f>
        <v>0</v>
      </c>
      <c r="EE23" s="365">
        <f>BF23*$F23</f>
        <v>0</v>
      </c>
      <c r="EF23" s="365">
        <f>BG23*$F23</f>
        <v>0</v>
      </c>
      <c r="EG23" s="365">
        <f>BH23*$F23</f>
        <v>0</v>
      </c>
      <c r="EH23" s="365">
        <f>BK23*$G23</f>
        <v>0</v>
      </c>
      <c r="EI23" s="365">
        <f>BL23*$G23</f>
        <v>0</v>
      </c>
      <c r="EJ23" s="365">
        <f>BM23*$G23</f>
        <v>0</v>
      </c>
      <c r="EK23" s="365">
        <f>BN23*$G23</f>
        <v>0</v>
      </c>
      <c r="EL23" s="365">
        <f>BO23*$G23</f>
        <v>0</v>
      </c>
      <c r="EM23" s="365">
        <f>BR23*$H23</f>
        <v>0</v>
      </c>
      <c r="EN23" s="365">
        <f>BS23*$H23</f>
        <v>0</v>
      </c>
      <c r="EO23" s="365">
        <f>BT23*$H23</f>
        <v>0</v>
      </c>
      <c r="EP23" s="365">
        <f>BU23*$H23</f>
        <v>0</v>
      </c>
      <c r="EQ23" s="365">
        <f>BV23*$H23</f>
        <v>0</v>
      </c>
      <c r="ER23" s="365">
        <f>BY23*$I23</f>
        <v>0</v>
      </c>
      <c r="ES23" s="365">
        <f>BZ23*$I23</f>
        <v>0</v>
      </c>
      <c r="ET23" s="365">
        <f>CA23*$I23</f>
        <v>0</v>
      </c>
      <c r="EU23" s="365">
        <f>CB23*$I23</f>
        <v>0</v>
      </c>
      <c r="EV23" s="365">
        <f>CC23*$I23</f>
        <v>0</v>
      </c>
      <c r="EW23" s="365">
        <f>CF23*$J23</f>
        <v>0</v>
      </c>
      <c r="EX23" s="365">
        <f>CG23*$J23</f>
        <v>0</v>
      </c>
      <c r="EY23" s="365">
        <f>CH23*$J23</f>
        <v>0</v>
      </c>
      <c r="EZ23" s="365">
        <f>CI23*$J23</f>
        <v>0</v>
      </c>
      <c r="FA23" s="365">
        <f>CJ23*$J23</f>
        <v>0</v>
      </c>
      <c r="FB23" s="365">
        <f>CM23*$K23</f>
        <v>0</v>
      </c>
      <c r="FC23" s="365">
        <f>CN23*$K23</f>
        <v>0</v>
      </c>
      <c r="FD23" s="365">
        <f>CO23*$K23</f>
        <v>0</v>
      </c>
      <c r="FE23" s="365">
        <f>CP23*$K23</f>
        <v>0</v>
      </c>
      <c r="FF23" s="365">
        <f>CQ23*$K23</f>
        <v>0</v>
      </c>
      <c r="FG23" s="365">
        <f>CT23*$L23</f>
        <v>0</v>
      </c>
      <c r="FH23" s="365">
        <f>CU23*$L23</f>
        <v>0</v>
      </c>
      <c r="FI23" s="365">
        <f>CV23*$L23</f>
        <v>0</v>
      </c>
      <c r="FJ23" s="365">
        <f>CW23*$L23</f>
        <v>0</v>
      </c>
      <c r="FK23" s="365">
        <f>CX23*$L23</f>
        <v>0</v>
      </c>
      <c r="FL23" s="365">
        <f>DA23*$M23</f>
        <v>0</v>
      </c>
      <c r="FM23" s="365">
        <f t="shared" ref="FM23" si="14">DB23*$M23</f>
        <v>0</v>
      </c>
      <c r="FN23" s="365">
        <f>DC23*$M23</f>
        <v>0</v>
      </c>
      <c r="FO23" s="365">
        <f t="shared" ref="FO23" si="15">DD23*$M23</f>
        <v>0</v>
      </c>
      <c r="FP23" s="365">
        <f t="shared" ref="FP23" si="16">DE23*$M23</f>
        <v>0</v>
      </c>
    </row>
    <row r="24" spans="1:172" ht="21" customHeight="1" x14ac:dyDescent="0.3">
      <c r="A24" s="277" t="s">
        <v>238</v>
      </c>
      <c r="B24" s="278">
        <f>SUM(DI23:DM23)/100</f>
        <v>0</v>
      </c>
      <c r="C24" s="278">
        <f>SUM(DN23:DQ23)/100</f>
        <v>0</v>
      </c>
      <c r="D24" s="279">
        <f>SUM(DS23:DW23)/100</f>
        <v>0</v>
      </c>
      <c r="E24" s="279">
        <f>SUM(DX23:EB23)/100</f>
        <v>0</v>
      </c>
      <c r="F24" s="279">
        <f>SUM(EC23:EG23)/100</f>
        <v>0</v>
      </c>
      <c r="G24" s="279">
        <f>SUM(EH23:EL23)/100</f>
        <v>0</v>
      </c>
      <c r="H24" s="279">
        <f>SUM(EM23:EQ23)/100</f>
        <v>0</v>
      </c>
      <c r="I24" s="279">
        <f>SUM(ER23:EV23)/100</f>
        <v>0</v>
      </c>
      <c r="J24" s="279">
        <f>SUM(EW23:FA23)/100</f>
        <v>0</v>
      </c>
      <c r="K24" s="279">
        <f>SUM(FB23:FF23)/100</f>
        <v>0</v>
      </c>
      <c r="L24" s="279">
        <f>SUM(FG23:FK23)/100</f>
        <v>0</v>
      </c>
      <c r="M24" s="279">
        <f>SUM(FL23:FP23)/100</f>
        <v>0</v>
      </c>
      <c r="AG24" s="365"/>
      <c r="AH24" s="365"/>
      <c r="AI24" s="365"/>
      <c r="AJ24" s="365"/>
      <c r="AK24" s="365"/>
      <c r="AL24" s="365"/>
      <c r="AM24" s="365"/>
      <c r="AN24" s="365"/>
      <c r="AO24" s="365"/>
      <c r="AP24" s="365"/>
      <c r="AQ24" s="365"/>
      <c r="AR24" s="365"/>
      <c r="AS24" s="365"/>
      <c r="AT24" s="365"/>
      <c r="AU24" s="365"/>
      <c r="AV24" s="365"/>
      <c r="AW24" s="365"/>
      <c r="AX24" s="365"/>
      <c r="AY24" s="365"/>
      <c r="AZ24" s="365"/>
      <c r="BA24" s="365"/>
      <c r="BB24" s="365"/>
      <c r="BC24" s="365"/>
      <c r="BD24" s="365"/>
      <c r="BE24" s="365"/>
      <c r="BF24" s="365"/>
      <c r="BG24" s="365"/>
      <c r="BH24" s="365"/>
      <c r="BI24" s="365"/>
      <c r="BJ24" s="365"/>
      <c r="BK24" s="365"/>
      <c r="BL24" s="365"/>
      <c r="BM24" s="365"/>
      <c r="BN24" s="365"/>
      <c r="BO24" s="365"/>
      <c r="BP24" s="365"/>
      <c r="BQ24" s="365"/>
      <c r="BR24" s="365"/>
      <c r="BS24" s="365"/>
      <c r="BT24" s="365"/>
      <c r="BU24" s="365"/>
      <c r="BV24" s="365"/>
      <c r="BW24" s="365"/>
      <c r="BX24" s="365"/>
      <c r="BY24" s="365"/>
      <c r="BZ24" s="365"/>
      <c r="CA24" s="365"/>
      <c r="CB24" s="365"/>
      <c r="CC24" s="365"/>
      <c r="CD24" s="365"/>
      <c r="CE24" s="365"/>
      <c r="CF24" s="365"/>
      <c r="CG24" s="365"/>
      <c r="CH24" s="365"/>
      <c r="CI24" s="365"/>
      <c r="CJ24" s="365"/>
      <c r="CK24" s="365"/>
      <c r="CL24" s="365"/>
      <c r="CM24" s="365"/>
      <c r="CN24" s="365"/>
      <c r="CO24" s="365"/>
      <c r="CP24" s="365"/>
      <c r="CQ24" s="365"/>
      <c r="CR24" s="365"/>
      <c r="CS24" s="365"/>
      <c r="CT24" s="365"/>
      <c r="CU24" s="365"/>
      <c r="CV24" s="365"/>
      <c r="CW24" s="365"/>
      <c r="CX24" s="365"/>
      <c r="CY24" s="365"/>
      <c r="CZ24" s="365"/>
      <c r="DA24" s="365"/>
      <c r="DB24" s="365"/>
      <c r="DC24" s="365"/>
      <c r="DD24" s="365"/>
      <c r="DE24" s="365"/>
      <c r="DF24" s="365"/>
      <c r="DG24" s="365"/>
      <c r="DM24" s="365"/>
      <c r="DN24" s="365"/>
      <c r="DO24" s="365"/>
      <c r="DP24" s="365"/>
      <c r="DQ24" s="365"/>
      <c r="DR24" s="365"/>
      <c r="DS24" s="365"/>
      <c r="DT24" s="365"/>
      <c r="DU24" s="365"/>
      <c r="DV24" s="365"/>
      <c r="DW24" s="365"/>
      <c r="DX24" s="365"/>
      <c r="DY24" s="365"/>
      <c r="DZ24" s="365"/>
      <c r="EA24" s="365"/>
      <c r="EB24" s="365"/>
      <c r="EC24" s="365"/>
      <c r="ED24" s="365"/>
      <c r="EE24" s="365"/>
      <c r="EF24" s="365"/>
      <c r="EG24" s="365"/>
      <c r="EH24" s="365"/>
      <c r="EI24" s="365"/>
      <c r="EJ24" s="365"/>
      <c r="EK24" s="365"/>
      <c r="EL24" s="365"/>
      <c r="EM24" s="365"/>
      <c r="EN24" s="365"/>
      <c r="EO24" s="365"/>
      <c r="EP24" s="365"/>
      <c r="EQ24" s="365"/>
      <c r="ER24" s="365"/>
      <c r="ES24" s="365"/>
      <c r="ET24" s="365"/>
      <c r="EU24" s="365"/>
      <c r="EV24" s="365"/>
      <c r="EW24" s="365"/>
      <c r="EX24" s="365"/>
      <c r="EY24" s="365"/>
      <c r="EZ24" s="365"/>
      <c r="FA24" s="365"/>
      <c r="FB24" s="365"/>
      <c r="FC24" s="365"/>
      <c r="FD24" s="365"/>
      <c r="FE24" s="365"/>
      <c r="FF24" s="365"/>
      <c r="FG24" s="365"/>
      <c r="FH24" s="365"/>
      <c r="FI24" s="365"/>
      <c r="FJ24" s="365"/>
      <c r="FK24" s="365"/>
      <c r="FL24" s="365"/>
      <c r="FM24" s="365"/>
      <c r="FN24" s="365"/>
      <c r="FO24" s="365"/>
      <c r="FP24" s="365"/>
    </row>
    <row r="25" spans="1:172" ht="21" customHeight="1" x14ac:dyDescent="0.3">
      <c r="A25" s="150" t="s">
        <v>239</v>
      </c>
      <c r="B25" s="149" t="e">
        <f>SUM(DI23:DM23)/100/Lote_5</f>
        <v>#DIV/0!</v>
      </c>
      <c r="C25" s="149" t="e">
        <f>SUM(DN23:DQ23)/100/Lote_5</f>
        <v>#DIV/0!</v>
      </c>
      <c r="D25" s="149" t="e">
        <f>SUM(DS23:DW23)/100/Lote_5</f>
        <v>#DIV/0!</v>
      </c>
      <c r="E25" s="149" t="e">
        <f>SUM(DX23:EB23)/100/Lote_5</f>
        <v>#DIV/0!</v>
      </c>
      <c r="F25" s="149" t="e">
        <f>SUM(EC23:EG23)/100/Lote_5</f>
        <v>#DIV/0!</v>
      </c>
      <c r="G25" s="149" t="e">
        <f>SUM(EH23:EL23)/100/Lote_5</f>
        <v>#DIV/0!</v>
      </c>
      <c r="H25" s="149" t="e">
        <f>SUM(EM23:EQ23)/100/Lote_5</f>
        <v>#DIV/0!</v>
      </c>
      <c r="I25" s="149" t="e">
        <f>SUM(ER23:EV23)/100/Lote_5</f>
        <v>#DIV/0!</v>
      </c>
      <c r="J25" s="149" t="e">
        <f>SUM(EW23:FA23)/100/Lote_5</f>
        <v>#DIV/0!</v>
      </c>
      <c r="K25" s="149" t="e">
        <f>SUM(FB23:FF23)/100/Lote_5</f>
        <v>#DIV/0!</v>
      </c>
      <c r="L25" s="149" t="e">
        <f>SUM(FG23:FK23)/100/Lote_5</f>
        <v>#DIV/0!</v>
      </c>
      <c r="M25" s="149" t="e">
        <f>SUM(FL23:FP23)/100/Lote_5</f>
        <v>#DIV/0!</v>
      </c>
    </row>
    <row r="26" spans="1:172" ht="21" customHeight="1" x14ac:dyDescent="0.3">
      <c r="A26" s="233">
        <f>N_L6</f>
        <v>0</v>
      </c>
      <c r="B26" s="363" t="s">
        <v>37</v>
      </c>
      <c r="C26" s="363" t="s">
        <v>37</v>
      </c>
      <c r="D26" s="363" t="s">
        <v>37</v>
      </c>
      <c r="E26" s="363" t="s">
        <v>37</v>
      </c>
      <c r="F26" s="363" t="s">
        <v>37</v>
      </c>
      <c r="G26" s="363" t="s">
        <v>37</v>
      </c>
      <c r="H26" s="363" t="s">
        <v>37</v>
      </c>
      <c r="I26" s="363" t="s">
        <v>37</v>
      </c>
      <c r="J26" s="363" t="s">
        <v>37</v>
      </c>
      <c r="K26" s="363" t="s">
        <v>37</v>
      </c>
      <c r="L26" s="363" t="s">
        <v>37</v>
      </c>
      <c r="M26" s="363" t="s">
        <v>37</v>
      </c>
    </row>
    <row r="27" spans="1:172" ht="21" customHeight="1" x14ac:dyDescent="0.3">
      <c r="A27" s="4" t="s">
        <v>237</v>
      </c>
      <c r="B27" s="7"/>
      <c r="C27" s="275"/>
      <c r="D27" s="275"/>
      <c r="E27" s="275"/>
      <c r="F27" s="275"/>
      <c r="G27" s="275"/>
      <c r="H27" s="275"/>
      <c r="I27" s="275"/>
      <c r="J27" s="275"/>
      <c r="K27" s="275"/>
      <c r="L27" s="275"/>
      <c r="M27" s="275"/>
      <c r="O27" s="58">
        <f>Área_L6*D_L6*A1_L6</f>
        <v>0</v>
      </c>
      <c r="P27" s="58">
        <f>Área_L6*D_L6*A2_L6</f>
        <v>0</v>
      </c>
      <c r="Q27" s="58">
        <f>Área_L6*D_L6*A3_L6</f>
        <v>0</v>
      </c>
      <c r="R27" s="58">
        <f>Área_L6*D_L6*A4_L6</f>
        <v>0</v>
      </c>
      <c r="S27" s="58">
        <f>Área_L6*D_L6*A5_L6</f>
        <v>0</v>
      </c>
      <c r="T27" s="58">
        <f>Área_L6*D_L6*A6_L6</f>
        <v>0</v>
      </c>
      <c r="U27" s="58">
        <f>Área_L6*D_L6*A7_L6</f>
        <v>0</v>
      </c>
      <c r="V27" s="58">
        <f>Área_L6*D_L6*A8_L6</f>
        <v>0</v>
      </c>
      <c r="W27" s="58">
        <f>Área_L6*D_L6*A9_L6</f>
        <v>0</v>
      </c>
      <c r="X27" s="58">
        <f>Área_L6*D_L6*A10_L6</f>
        <v>0</v>
      </c>
      <c r="Y27" s="58">
        <f>Área_L6*D_L6*A11_L6</f>
        <v>0</v>
      </c>
      <c r="Z27" s="58">
        <f>Área_L6*D_L6*A12_L6</f>
        <v>0</v>
      </c>
      <c r="AB27" s="58">
        <f>IF($B26="Producción",IF($B27&gt;=LI_A,$O27,0),0)</f>
        <v>0</v>
      </c>
      <c r="AC27" s="58">
        <f>IF($B26="Producción",IF($B27&gt;=LI_B,IF($B27&lt;LS_B,$O27,0),0),0)</f>
        <v>0</v>
      </c>
      <c r="AD27" s="58">
        <f>IF($B26="Producción",IF($B27&gt;=LI_C,IF($B27&lt;LS_C,$O27,0),0),0)</f>
        <v>0</v>
      </c>
      <c r="AE27" s="58">
        <f>IF($B26="Producción",IF($B27&lt;=LS_D,$O27,0),0)</f>
        <v>0</v>
      </c>
      <c r="AF27" s="365">
        <f>IF($B26="Crecimiento",$O27,0)</f>
        <v>0</v>
      </c>
      <c r="AG27" s="365">
        <f>IF($B26="Siembra",$O27,0)</f>
        <v>0</v>
      </c>
      <c r="AH27" s="365">
        <f>IF($B26="Abandono",$O27,0)</f>
        <v>0</v>
      </c>
      <c r="AI27" s="365">
        <f>IF($C26="Producción",IF($C27&gt;=LI_A,$P27,0),0)</f>
        <v>0</v>
      </c>
      <c r="AJ27" s="365">
        <f>IF($C26="Producción",IF($C27&gt;=LI_B,IF($C27&lt;LS_B,$P27,0),0),0)</f>
        <v>0</v>
      </c>
      <c r="AK27" s="365">
        <f>IF($C26="Producción",IF($C27&gt;=LI_C,IF($C27&lt;LS_C,$P27,0),0),0)</f>
        <v>0</v>
      </c>
      <c r="AL27" s="365">
        <f>IF($C26="Producción",IF(C27&lt;=LS_D,$P27,0),0)</f>
        <v>0</v>
      </c>
      <c r="AM27" s="365">
        <f>IF($C26="Crecimiento",$P27,0)</f>
        <v>0</v>
      </c>
      <c r="AN27" s="365">
        <f>IF($C26="Siembra",$P27,0)</f>
        <v>0</v>
      </c>
      <c r="AO27" s="365">
        <f>IF($C26="Abandono",$P27,0)</f>
        <v>0</v>
      </c>
      <c r="AP27" s="365">
        <f>IF($D26="Producción",IF($D27&gt;=LI_A,$Q27,0),0)</f>
        <v>0</v>
      </c>
      <c r="AQ27" s="365">
        <f>IF($D26="Producción",IF($D27&gt;=LI_B,IF($D27&lt;LS_B,$Q27,0),0),0)</f>
        <v>0</v>
      </c>
      <c r="AR27" s="365">
        <f>IF($D26="Producción",IF($D27&gt;=LI_C,IF($D27&lt;LS_C,$Q27,0),0),0)</f>
        <v>0</v>
      </c>
      <c r="AS27" s="365">
        <f>IF($D26="Producción",IF($D27&lt;=LS_D,$Q27,0),0)</f>
        <v>0</v>
      </c>
      <c r="AT27" s="365">
        <f>IF($D26="Crecimiento",$Q27,0)</f>
        <v>0</v>
      </c>
      <c r="AU27" s="365">
        <f>IF($D26="Siembra",$Q27,0)</f>
        <v>0</v>
      </c>
      <c r="AV27" s="365">
        <f>IF($D26="Abandono",$Q27,0)</f>
        <v>0</v>
      </c>
      <c r="AW27" s="365">
        <f>IF($E26="Producción",IF($E27&gt;=LI_A,$R27,0),0)</f>
        <v>0</v>
      </c>
      <c r="AX27" s="365">
        <f>IF($E26="Producción",IF($E27&gt;=LI_B,IF($E27&lt;LS_B,$R27,0),0),0)</f>
        <v>0</v>
      </c>
      <c r="AY27" s="365">
        <f>IF($E26="Producción",IF($E27&gt;=LI_C,IF($E27&lt;LS_C,$R27,0),0),0)</f>
        <v>0</v>
      </c>
      <c r="AZ27" s="365">
        <f>IF($E26="Producción",IF($E27&lt;=LS_D,$R27,0),0)</f>
        <v>0</v>
      </c>
      <c r="BA27" s="365">
        <f>IF($E26="Crecimiento",$R27,0)</f>
        <v>0</v>
      </c>
      <c r="BB27" s="365">
        <f>IF($E26="Siembra",$R27,0)</f>
        <v>0</v>
      </c>
      <c r="BC27" s="365">
        <f>IF($E26="Abandono",$R27,0)</f>
        <v>0</v>
      </c>
      <c r="BD27" s="365">
        <f>IF($F26="Producción",IF($F27&gt;=LI_A,$S27,0),0)</f>
        <v>0</v>
      </c>
      <c r="BE27" s="365">
        <f>IF($F26="Producción",IF($F27&gt;=LI_B,IF($F27&lt;LS_B,$S27,0),0),0)</f>
        <v>0</v>
      </c>
      <c r="BF27" s="365">
        <f>IF($F26="Producción",IF($F27&gt;=LI_C,IF($F27&lt;LS_C,$S27,0),0),0)</f>
        <v>0</v>
      </c>
      <c r="BG27" s="365">
        <f>IF($F26="Producción",IF($F27&lt;=LS_D,$S27,0),0)</f>
        <v>0</v>
      </c>
      <c r="BH27" s="365">
        <f>IF($F26="Crecimiento",$S27,0)</f>
        <v>0</v>
      </c>
      <c r="BI27" s="365">
        <f>IF($F26="Siembra",$S27,0)</f>
        <v>0</v>
      </c>
      <c r="BJ27" s="365">
        <f>IF($F26="Abandono",$S27,0)</f>
        <v>0</v>
      </c>
      <c r="BK27" s="365">
        <f>IF($G26="Producción",IF($G27&gt;=LI_A,$T27,0),0)</f>
        <v>0</v>
      </c>
      <c r="BL27" s="365">
        <f>IF($G26="Producción",IF($G27&gt;=LI_B,IF($G27&lt;LS_B,$T27,0),0),0)</f>
        <v>0</v>
      </c>
      <c r="BM27" s="365">
        <f>IF($G26="Producción",IF($G27&gt;=LI_C,IF($G27&lt;LS_C,$T27,0),0),0)</f>
        <v>0</v>
      </c>
      <c r="BN27" s="365">
        <f>IF($G26="Producción",IF($G27&lt;=LS_D,$T27,0),0)</f>
        <v>0</v>
      </c>
      <c r="BO27" s="365">
        <f>IF($G26="Crecimiento",$T27,0)</f>
        <v>0</v>
      </c>
      <c r="BP27" s="365">
        <f>IF($G26="Siembra",$T27,0)</f>
        <v>0</v>
      </c>
      <c r="BQ27" s="365">
        <f>IF($G26="Abandono",$T27,0)</f>
        <v>0</v>
      </c>
      <c r="BR27" s="365">
        <f>IF($H26="Producción",IF($H27&gt;=LI_A,$U27,0),0)</f>
        <v>0</v>
      </c>
      <c r="BS27" s="365">
        <f>IF($H26="Producción",IF($H27&gt;=LI_B,IF($H27&lt;LS_B,$U27,0),0),0)</f>
        <v>0</v>
      </c>
      <c r="BT27" s="365">
        <f>IF($H26="Producción",IF($H27&gt;=LI_C,IF($H27&lt;LS_C,$U27,0),0),0)</f>
        <v>0</v>
      </c>
      <c r="BU27" s="365">
        <f>IF($H26="Producción",IF($H27&lt;=LS_D,$U27,0),0)</f>
        <v>0</v>
      </c>
      <c r="BV27" s="365">
        <f>IF($H26="Crecimiento",$U27,0)</f>
        <v>0</v>
      </c>
      <c r="BW27" s="365">
        <f>IF($H26="Siembra",$U27,0)</f>
        <v>0</v>
      </c>
      <c r="BX27" s="365">
        <f>IF($H26="Abandono",$U27,0)</f>
        <v>0</v>
      </c>
      <c r="BY27" s="365">
        <f>IF($I26="Producción",IF($I27&gt;=LI_A,$V27,0),0)</f>
        <v>0</v>
      </c>
      <c r="BZ27" s="365">
        <f>IF($I26="Producción",IF($I27&gt;=LI_B,IF($I27&lt;LS_B,$V27,0),0),0)</f>
        <v>0</v>
      </c>
      <c r="CA27" s="365">
        <f>IF($I26="Producción",IF($I27&gt;=LI_C,IF($I27&lt;LS_C,$V27,0),0),0)</f>
        <v>0</v>
      </c>
      <c r="CB27" s="365">
        <f>IF($I26="Producción",IF($I27&lt;=LS_D,$V27,0),0)</f>
        <v>0</v>
      </c>
      <c r="CC27" s="365">
        <f>IF($I26="Crecimiento",$V27,0)</f>
        <v>0</v>
      </c>
      <c r="CD27" s="365">
        <f>IF($I26="Siembra",$V27,0)</f>
        <v>0</v>
      </c>
      <c r="CE27" s="365">
        <f>IF($I26="Abandono",$V27,0)</f>
        <v>0</v>
      </c>
      <c r="CF27" s="365">
        <f>IF($J26="Producción",IF($J27&gt;=LI_A,$W27,0),0)</f>
        <v>0</v>
      </c>
      <c r="CG27" s="365">
        <f>IF($J26="Producción",IF($J27&gt;=LI_B,IF($J27&lt;LS_B,$W27,0),0),0)</f>
        <v>0</v>
      </c>
      <c r="CH27" s="365">
        <f>IF($J26="Producción",IF($J27&gt;=LI_C,IF($J27&lt;LS_C,$W27,0),0),0)</f>
        <v>0</v>
      </c>
      <c r="CI27" s="365">
        <f>IF($J26="Producción",IF($J27&lt;=LS_D,$W27,0),0)</f>
        <v>0</v>
      </c>
      <c r="CJ27" s="365">
        <f>IF($J26="Crecimiento",$W27,0)</f>
        <v>0</v>
      </c>
      <c r="CK27" s="365">
        <f>IF($J26="Siembra",$W27,0)</f>
        <v>0</v>
      </c>
      <c r="CL27" s="365">
        <f>IF($J26="Abandono",$W27,0)</f>
        <v>0</v>
      </c>
      <c r="CM27" s="365">
        <f>IF($K26="Producción",IF($K27&gt;=LI_A,$X27,0),0)</f>
        <v>0</v>
      </c>
      <c r="CN27" s="365">
        <f>IF($K26="Producción",IF($K27&gt;=LI_B,IF($K27&lt;LS_B,$X27,0),0),0)</f>
        <v>0</v>
      </c>
      <c r="CO27" s="365">
        <f>IF($K26="Producción",IF($K27&gt;=LI_C,IF($K27&lt;LS_C,$X27,0),0),0)</f>
        <v>0</v>
      </c>
      <c r="CP27" s="365">
        <f>IF($K26="Producción",IF($K27&lt;=LS_D,$X27,0),0)</f>
        <v>0</v>
      </c>
      <c r="CQ27" s="365">
        <f>IF($K26="Crecimiento",IF($K27&gt;0,$X27,0),0)</f>
        <v>0</v>
      </c>
      <c r="CR27" s="365">
        <f>IF($K26="Siembra",IF($K27&gt;0,$X27,0),0)</f>
        <v>0</v>
      </c>
      <c r="CS27" s="365">
        <f>IF($K26="Abandono",IF($K27&gt;0,$X27,0),0)</f>
        <v>0</v>
      </c>
      <c r="CT27" s="365">
        <f>IF($L26="Producción",IF($L27&gt;=LI_A,$Y27,0),0)</f>
        <v>0</v>
      </c>
      <c r="CU27" s="365">
        <f>IF($L26="Producción",IF($L27&gt;=LI_B,IF($L27&lt;LS_B,$Y27,0),0),0)</f>
        <v>0</v>
      </c>
      <c r="CV27" s="365">
        <f>IF($L26="Producción",IF($L27&gt;=LI_C,IF($L27&lt;LS_C,$Y27,0),0),0)</f>
        <v>0</v>
      </c>
      <c r="CW27" s="365">
        <f>IF($L26="Producción",IF($L27&lt;=LS_D,$Y27,0),0)</f>
        <v>0</v>
      </c>
      <c r="CX27" s="365">
        <f>IF($L26="Crecimiento",$Y27,0)</f>
        <v>0</v>
      </c>
      <c r="CY27" s="365">
        <f>IF($L26="Siembra",$Y27,0)</f>
        <v>0</v>
      </c>
      <c r="CZ27" s="365">
        <f>IF($L26="Abandono",$Y27,0)</f>
        <v>0</v>
      </c>
      <c r="DA27" s="365">
        <f>IF($M26="Producción",IF($M27&gt;=LI_A,$Z27,0),0)</f>
        <v>0</v>
      </c>
      <c r="DB27" s="365">
        <f>IF($M26="Producción",IF($M27&gt;=LI_B,IF($M27&lt;LS_B,$Z27,0),0),0)</f>
        <v>0</v>
      </c>
      <c r="DC27" s="365">
        <f>IF($M26="Producción",IF($M27&gt;=LI_C,IF($M27&lt;LS_C,$Z27,0),0),0)</f>
        <v>0</v>
      </c>
      <c r="DD27" s="365">
        <f>IF($M26="Producción",IF($M27&lt;=LS_D,$Z27,0),0)</f>
        <v>0</v>
      </c>
      <c r="DE27" s="365">
        <f>IF($M26="Crecimiento",$Z27,0)</f>
        <v>0</v>
      </c>
      <c r="DF27" s="365">
        <f>IF($M26="Siembra",$Z27,0)</f>
        <v>0</v>
      </c>
      <c r="DG27" s="365">
        <f>IF($M26="Abandono",$Z27,0)</f>
        <v>0</v>
      </c>
      <c r="DI27" s="58">
        <f>AB27*$B27</f>
        <v>0</v>
      </c>
      <c r="DJ27" s="58">
        <f>AC27*$B27</f>
        <v>0</v>
      </c>
      <c r="DK27" s="58">
        <f>AD27*$B27</f>
        <v>0</v>
      </c>
      <c r="DL27" s="58">
        <f>AE27*$B27</f>
        <v>0</v>
      </c>
      <c r="DM27" s="365">
        <f>AF27*$B27</f>
        <v>0</v>
      </c>
      <c r="DN27" s="365">
        <f>AI27*$C27</f>
        <v>0</v>
      </c>
      <c r="DO27" s="365">
        <f>AJ27*$C27</f>
        <v>0</v>
      </c>
      <c r="DP27" s="365">
        <f>AK27*$C27</f>
        <v>0</v>
      </c>
      <c r="DQ27" s="365">
        <f>AL27*$C27</f>
        <v>0</v>
      </c>
      <c r="DR27" s="365">
        <f>AM27*$C27</f>
        <v>0</v>
      </c>
      <c r="DS27" s="365">
        <f>AP27*$D27</f>
        <v>0</v>
      </c>
      <c r="DT27" s="365">
        <f>AQ27*$D27</f>
        <v>0</v>
      </c>
      <c r="DU27" s="365">
        <f>AR27*$D27</f>
        <v>0</v>
      </c>
      <c r="DV27" s="365">
        <f>AS27*$D27</f>
        <v>0</v>
      </c>
      <c r="DW27" s="365">
        <f>AT27*$D27</f>
        <v>0</v>
      </c>
      <c r="DX27" s="365">
        <f>AW27*$E27</f>
        <v>0</v>
      </c>
      <c r="DY27" s="365">
        <f>AX27*$E27</f>
        <v>0</v>
      </c>
      <c r="DZ27" s="365">
        <f>AY27*$E27</f>
        <v>0</v>
      </c>
      <c r="EA27" s="365">
        <f>AZ27*$E27</f>
        <v>0</v>
      </c>
      <c r="EB27" s="365">
        <f>BA27*$E27</f>
        <v>0</v>
      </c>
      <c r="EC27" s="365">
        <f>BD27*$F27</f>
        <v>0</v>
      </c>
      <c r="ED27" s="365">
        <f>BE27*$F27</f>
        <v>0</v>
      </c>
      <c r="EE27" s="365">
        <f>BF27*$F27</f>
        <v>0</v>
      </c>
      <c r="EF27" s="365">
        <f>BG27*$F27</f>
        <v>0</v>
      </c>
      <c r="EG27" s="365">
        <f>BH27*$F27</f>
        <v>0</v>
      </c>
      <c r="EH27" s="365">
        <f>BK27*$G27</f>
        <v>0</v>
      </c>
      <c r="EI27" s="365">
        <f>BL27*$G27</f>
        <v>0</v>
      </c>
      <c r="EJ27" s="365">
        <f>BM27*$G27</f>
        <v>0</v>
      </c>
      <c r="EK27" s="365">
        <f>BN27*$G27</f>
        <v>0</v>
      </c>
      <c r="EL27" s="365">
        <f>BO27*$G27</f>
        <v>0</v>
      </c>
      <c r="EM27" s="365">
        <f>BR27*$H27</f>
        <v>0</v>
      </c>
      <c r="EN27" s="365">
        <f>BS27*$H27</f>
        <v>0</v>
      </c>
      <c r="EO27" s="365">
        <f>BT27*$H27</f>
        <v>0</v>
      </c>
      <c r="EP27" s="365">
        <f>BU27*$H27</f>
        <v>0</v>
      </c>
      <c r="EQ27" s="365">
        <f>BV27*$H27</f>
        <v>0</v>
      </c>
      <c r="ER27" s="365">
        <f>BY27*$I27</f>
        <v>0</v>
      </c>
      <c r="ES27" s="365">
        <f>BZ27*$I27</f>
        <v>0</v>
      </c>
      <c r="ET27" s="365">
        <f>CA27*$I27</f>
        <v>0</v>
      </c>
      <c r="EU27" s="365">
        <f>CB27*$I27</f>
        <v>0</v>
      </c>
      <c r="EV27" s="365">
        <f>CC27*$I27</f>
        <v>0</v>
      </c>
      <c r="EW27" s="365">
        <f>CF27*$J27</f>
        <v>0</v>
      </c>
      <c r="EX27" s="365">
        <f>CG27*$J27</f>
        <v>0</v>
      </c>
      <c r="EY27" s="365">
        <f>CH27*$J27</f>
        <v>0</v>
      </c>
      <c r="EZ27" s="365">
        <f>CI27*$J27</f>
        <v>0</v>
      </c>
      <c r="FA27" s="365">
        <f>CJ27*$J27</f>
        <v>0</v>
      </c>
      <c r="FB27" s="365">
        <f>CM27*$K27</f>
        <v>0</v>
      </c>
      <c r="FC27" s="365">
        <f>CN27*$K27</f>
        <v>0</v>
      </c>
      <c r="FD27" s="365">
        <f>CO27*$K27</f>
        <v>0</v>
      </c>
      <c r="FE27" s="365">
        <f>CP27*$K27</f>
        <v>0</v>
      </c>
      <c r="FF27" s="365">
        <f>CQ27*$K27</f>
        <v>0</v>
      </c>
      <c r="FG27" s="365">
        <f>CT27*$L27</f>
        <v>0</v>
      </c>
      <c r="FH27" s="365">
        <f>CU27*$L27</f>
        <v>0</v>
      </c>
      <c r="FI27" s="365">
        <f>CV27*$L27</f>
        <v>0</v>
      </c>
      <c r="FJ27" s="365">
        <f>CW27*$L27</f>
        <v>0</v>
      </c>
      <c r="FK27" s="365">
        <f>CX27*$L27</f>
        <v>0</v>
      </c>
      <c r="FL27" s="365">
        <f>DA27*$M27</f>
        <v>0</v>
      </c>
      <c r="FM27" s="365">
        <f t="shared" ref="FM27" si="17">DB27*$M27</f>
        <v>0</v>
      </c>
      <c r="FN27" s="365">
        <f>DC27*$M27</f>
        <v>0</v>
      </c>
      <c r="FO27" s="365">
        <f t="shared" ref="FO27" si="18">DD27*$M27</f>
        <v>0</v>
      </c>
      <c r="FP27" s="365">
        <f t="shared" ref="FP27" si="19">DE27*$M27</f>
        <v>0</v>
      </c>
    </row>
    <row r="28" spans="1:172" ht="21" customHeight="1" x14ac:dyDescent="0.3">
      <c r="A28" s="277" t="s">
        <v>238</v>
      </c>
      <c r="B28" s="278">
        <f>SUM(DI27:DM27)/100</f>
        <v>0</v>
      </c>
      <c r="C28" s="278">
        <f>SUM(DN27:DQ27)/100</f>
        <v>0</v>
      </c>
      <c r="D28" s="279">
        <f>SUM(DS27:DW27)/100</f>
        <v>0</v>
      </c>
      <c r="E28" s="279">
        <f>SUM(DX27:EB27)/100</f>
        <v>0</v>
      </c>
      <c r="F28" s="279">
        <f>SUM(EC27:EG27)/100</f>
        <v>0</v>
      </c>
      <c r="G28" s="279">
        <f>SUM(EH27:EL27)/100</f>
        <v>0</v>
      </c>
      <c r="H28" s="279">
        <f>SUM(EM27:EQ27)/100</f>
        <v>0</v>
      </c>
      <c r="I28" s="279">
        <f>SUM(ER27:EV27)/100</f>
        <v>0</v>
      </c>
      <c r="J28" s="279">
        <f>SUM(EW27:FA27)/100</f>
        <v>0</v>
      </c>
      <c r="K28" s="279">
        <f>SUM(FB27:FF27)/100</f>
        <v>0</v>
      </c>
      <c r="L28" s="279">
        <f>SUM(FG27:FK27)/100</f>
        <v>0</v>
      </c>
      <c r="M28" s="279">
        <f>SUM(FL27:FP27)/100</f>
        <v>0</v>
      </c>
      <c r="AG28" s="365"/>
      <c r="AH28" s="365"/>
      <c r="AI28" s="365"/>
      <c r="AJ28" s="365"/>
      <c r="AK28" s="365"/>
      <c r="AL28" s="365"/>
      <c r="AM28" s="365"/>
      <c r="AN28" s="365"/>
      <c r="AO28" s="365"/>
      <c r="AP28" s="365"/>
      <c r="AQ28" s="365"/>
      <c r="AR28" s="365"/>
      <c r="AS28" s="365"/>
      <c r="AT28" s="365"/>
      <c r="AU28" s="365"/>
      <c r="AV28" s="365"/>
      <c r="AW28" s="365"/>
      <c r="AX28" s="365"/>
      <c r="AY28" s="365"/>
      <c r="AZ28" s="365"/>
      <c r="BA28" s="365"/>
      <c r="BB28" s="365"/>
      <c r="BC28" s="365"/>
      <c r="BD28" s="365"/>
      <c r="BE28" s="365"/>
      <c r="BF28" s="365"/>
      <c r="BG28" s="365"/>
      <c r="BH28" s="365"/>
      <c r="BI28" s="365"/>
      <c r="BJ28" s="365"/>
      <c r="BK28" s="365"/>
      <c r="BL28" s="365"/>
      <c r="BM28" s="365"/>
      <c r="BN28" s="365"/>
      <c r="BO28" s="365"/>
      <c r="BP28" s="365"/>
      <c r="BQ28" s="365"/>
      <c r="BR28" s="365"/>
      <c r="BS28" s="365"/>
      <c r="BT28" s="365"/>
      <c r="BU28" s="365"/>
      <c r="BV28" s="365"/>
      <c r="BW28" s="365"/>
      <c r="BX28" s="365"/>
      <c r="BY28" s="365"/>
      <c r="BZ28" s="365"/>
      <c r="CA28" s="365"/>
      <c r="CB28" s="365"/>
      <c r="CC28" s="365"/>
      <c r="CD28" s="365"/>
      <c r="CE28" s="365"/>
      <c r="CF28" s="365"/>
      <c r="CG28" s="365"/>
      <c r="CH28" s="365"/>
      <c r="CI28" s="365"/>
      <c r="CJ28" s="365"/>
      <c r="CK28" s="365"/>
      <c r="CL28" s="365"/>
      <c r="CM28" s="365"/>
      <c r="CN28" s="365"/>
      <c r="CO28" s="365"/>
      <c r="CP28" s="365"/>
      <c r="CQ28" s="365"/>
      <c r="CR28" s="365"/>
      <c r="CS28" s="365"/>
      <c r="CT28" s="365"/>
      <c r="CU28" s="365"/>
      <c r="CV28" s="365"/>
      <c r="CW28" s="365"/>
      <c r="CX28" s="365"/>
      <c r="CY28" s="365"/>
      <c r="CZ28" s="365"/>
      <c r="DA28" s="365"/>
      <c r="DB28" s="365"/>
      <c r="DC28" s="365"/>
      <c r="DD28" s="365"/>
      <c r="DE28" s="365"/>
      <c r="DF28" s="365"/>
      <c r="DG28" s="365"/>
      <c r="DM28" s="365"/>
      <c r="DN28" s="365"/>
      <c r="DO28" s="365"/>
      <c r="DP28" s="365"/>
      <c r="DQ28" s="365"/>
      <c r="DR28" s="365"/>
      <c r="DS28" s="365"/>
      <c r="DT28" s="365"/>
      <c r="DU28" s="365"/>
      <c r="DV28" s="365"/>
      <c r="DW28" s="365"/>
      <c r="DX28" s="365"/>
      <c r="DY28" s="365"/>
      <c r="DZ28" s="365"/>
      <c r="EA28" s="365"/>
      <c r="EB28" s="365"/>
      <c r="EC28" s="365"/>
      <c r="ED28" s="365"/>
      <c r="EE28" s="365"/>
      <c r="EF28" s="365"/>
      <c r="EG28" s="365"/>
      <c r="EH28" s="365"/>
      <c r="EI28" s="365"/>
      <c r="EJ28" s="365"/>
      <c r="EK28" s="365"/>
      <c r="EL28" s="365"/>
      <c r="EM28" s="365"/>
      <c r="EN28" s="365"/>
      <c r="EO28" s="365"/>
      <c r="EP28" s="365"/>
      <c r="EQ28" s="365"/>
      <c r="ER28" s="365"/>
      <c r="ES28" s="365"/>
      <c r="ET28" s="365"/>
      <c r="EU28" s="365"/>
      <c r="EV28" s="365"/>
      <c r="EW28" s="365"/>
      <c r="EX28" s="365"/>
      <c r="EY28" s="365"/>
      <c r="EZ28" s="365"/>
      <c r="FA28" s="365"/>
      <c r="FB28" s="365"/>
      <c r="FC28" s="365"/>
      <c r="FD28" s="365"/>
      <c r="FE28" s="365"/>
      <c r="FF28" s="365"/>
      <c r="FG28" s="365"/>
      <c r="FH28" s="365"/>
      <c r="FI28" s="365"/>
      <c r="FJ28" s="365"/>
      <c r="FK28" s="365"/>
      <c r="FL28" s="365"/>
      <c r="FM28" s="365"/>
      <c r="FN28" s="365"/>
      <c r="FO28" s="365"/>
      <c r="FP28" s="365"/>
    </row>
    <row r="29" spans="1:172" ht="21" customHeight="1" x14ac:dyDescent="0.3">
      <c r="A29" s="150" t="s">
        <v>239</v>
      </c>
      <c r="B29" s="149" t="e">
        <f>SUM(DI27:DM27)/100/Lote_6</f>
        <v>#DIV/0!</v>
      </c>
      <c r="C29" s="149" t="e">
        <f>SUM(DN27:DQ27)/100/Lote_6</f>
        <v>#DIV/0!</v>
      </c>
      <c r="D29" s="149" t="e">
        <f>SUM(DS27:DW27)/100/Lote_6</f>
        <v>#DIV/0!</v>
      </c>
      <c r="E29" s="149" t="e">
        <f>SUM(DX27:EB27)/100/Lote_6</f>
        <v>#DIV/0!</v>
      </c>
      <c r="F29" s="149" t="e">
        <f>SUM(EC27:EG27)/100/Lote_6</f>
        <v>#DIV/0!</v>
      </c>
      <c r="G29" s="149" t="e">
        <f>SUM(EH27:EL27)/100/Lote_6</f>
        <v>#DIV/0!</v>
      </c>
      <c r="H29" s="149" t="e">
        <f>SUM(EM27:EQ27)/100/Lote_6</f>
        <v>#DIV/0!</v>
      </c>
      <c r="I29" s="149" t="e">
        <f>SUM(ER27:EV27)/100/Lote_6</f>
        <v>#DIV/0!</v>
      </c>
      <c r="J29" s="149" t="e">
        <f>SUM(EW27:FA27)/100/Lote_6</f>
        <v>#DIV/0!</v>
      </c>
      <c r="K29" s="149" t="e">
        <f>SUM(FB27:FF27)/100/Lote_6</f>
        <v>#DIV/0!</v>
      </c>
      <c r="L29" s="149" t="e">
        <f>SUM(FG27:FK27)/100/Lote_6</f>
        <v>#DIV/0!</v>
      </c>
      <c r="M29" s="149" t="e">
        <f>SUM(FL27:FP27)/100/Lote_6</f>
        <v>#DIV/0!</v>
      </c>
    </row>
    <row r="30" spans="1:172" ht="21" customHeight="1" x14ac:dyDescent="0.3">
      <c r="A30" s="233">
        <f>N_L7</f>
        <v>0</v>
      </c>
      <c r="B30" s="363" t="s">
        <v>37</v>
      </c>
      <c r="C30" s="363" t="s">
        <v>37</v>
      </c>
      <c r="D30" s="363" t="s">
        <v>37</v>
      </c>
      <c r="E30" s="363" t="s">
        <v>37</v>
      </c>
      <c r="F30" s="363" t="s">
        <v>37</v>
      </c>
      <c r="G30" s="363" t="s">
        <v>37</v>
      </c>
      <c r="H30" s="363" t="s">
        <v>37</v>
      </c>
      <c r="I30" s="363" t="s">
        <v>37</v>
      </c>
      <c r="J30" s="363" t="s">
        <v>37</v>
      </c>
      <c r="K30" s="363" t="s">
        <v>37</v>
      </c>
      <c r="L30" s="363" t="s">
        <v>37</v>
      </c>
      <c r="M30" s="363" t="s">
        <v>37</v>
      </c>
    </row>
    <row r="31" spans="1:172" ht="21" customHeight="1" x14ac:dyDescent="0.3">
      <c r="A31" s="4" t="s">
        <v>237</v>
      </c>
      <c r="B31" s="7"/>
      <c r="C31" s="275"/>
      <c r="D31" s="275"/>
      <c r="E31" s="275"/>
      <c r="F31" s="275"/>
      <c r="G31" s="275"/>
      <c r="H31" s="275"/>
      <c r="I31" s="275"/>
      <c r="J31" s="275"/>
      <c r="K31" s="275"/>
      <c r="L31" s="275"/>
      <c r="M31" s="275"/>
      <c r="O31" s="58">
        <f>Área_L7*D_L7*A1_L7</f>
        <v>0</v>
      </c>
      <c r="P31" s="58">
        <f>Área_L7*D_L7*A2_L7</f>
        <v>0</v>
      </c>
      <c r="Q31" s="58">
        <f>Área_L7*D_L7*A3_L7</f>
        <v>0</v>
      </c>
      <c r="R31" s="58">
        <f>Área_L7*D_L7*A4_L7</f>
        <v>0</v>
      </c>
      <c r="S31" s="58">
        <f>Área_L7*D_L7*A5_L7</f>
        <v>0</v>
      </c>
      <c r="T31" s="58">
        <f>Área_L7*D_L7*A6_L7</f>
        <v>0</v>
      </c>
      <c r="U31" s="58">
        <f>Área_L7*D_L7*A7_L7</f>
        <v>0</v>
      </c>
      <c r="V31" s="58">
        <f>Área_L7*D_L7*A8_L7</f>
        <v>0</v>
      </c>
      <c r="W31" s="58">
        <f>Área_L7*D_L7*A9_L7</f>
        <v>0</v>
      </c>
      <c r="X31" s="58">
        <f>Área_L7*D_L7*A10_L7</f>
        <v>0</v>
      </c>
      <c r="Y31" s="58">
        <f>Área_L7*D_L7*A11_L7</f>
        <v>0</v>
      </c>
      <c r="Z31" s="58">
        <f>Área_L7*D_L7*A12_L7</f>
        <v>0</v>
      </c>
      <c r="AB31" s="58">
        <f>IF($B30="Producción",IF($B31&gt;=LI_A,$O31,0),0)</f>
        <v>0</v>
      </c>
      <c r="AC31" s="58">
        <f>IF($B30="Producción",IF($B31&gt;=LI_B,IF($B31&lt;LS_B,$O31,0),0),0)</f>
        <v>0</v>
      </c>
      <c r="AD31" s="58">
        <f>IF($B30="Producción",IF($B31&gt;=LI_C,IF($B31&lt;LS_C,$O31,0),0),0)</f>
        <v>0</v>
      </c>
      <c r="AE31" s="58">
        <f>IF($B30="Producción",IF($B31&lt;=LS_D,$O31,0),0)</f>
        <v>0</v>
      </c>
      <c r="AF31" s="365">
        <f>IF($B30="Crecimiento",$O31,0)</f>
        <v>0</v>
      </c>
      <c r="AG31" s="365">
        <f>IF($B30="Siembra",$O31,0)</f>
        <v>0</v>
      </c>
      <c r="AH31" s="365">
        <f>IF($B30="Abandono",$O31,0)</f>
        <v>0</v>
      </c>
      <c r="AI31" s="365">
        <f>IF($C30="Producción",IF($C31&gt;=LI_A,$P31,0),0)</f>
        <v>0</v>
      </c>
      <c r="AJ31" s="365">
        <f>IF($C30="Producción",IF($C31&gt;=LI_B,IF($C31&lt;LS_B,$P31,0),0),0)</f>
        <v>0</v>
      </c>
      <c r="AK31" s="365">
        <f>IF($C30="Producción",IF($C31&gt;=LI_C,IF($C31&lt;LS_C,$P31,0),0),0)</f>
        <v>0</v>
      </c>
      <c r="AL31" s="365">
        <f>IF($C30="Producción",IF(C31&lt;=LS_D,$P31,0),0)</f>
        <v>0</v>
      </c>
      <c r="AM31" s="365">
        <f>IF($C30="Crecimiento",$P31,0)</f>
        <v>0</v>
      </c>
      <c r="AN31" s="365">
        <f>IF($C30="Siembra",$P31,0)</f>
        <v>0</v>
      </c>
      <c r="AO31" s="365">
        <f>IF($C30="Abandono",$P31,0)</f>
        <v>0</v>
      </c>
      <c r="AP31" s="365">
        <f>IF($D30="Producción",IF($D31&gt;=LI_A,$Q31,0),0)</f>
        <v>0</v>
      </c>
      <c r="AQ31" s="365">
        <f>IF($D30="Producción",IF($D31&gt;=LI_B,IF($D31&lt;LS_B,$Q31,0),0),0)</f>
        <v>0</v>
      </c>
      <c r="AR31" s="365">
        <f>IF($D30="Producción",IF($D31&gt;=LI_C,IF($D31&lt;LS_C,$Q31,0),0),0)</f>
        <v>0</v>
      </c>
      <c r="AS31" s="365">
        <f>IF($D30="Producción",IF($D31&lt;=LS_D,$Q31,0),0)</f>
        <v>0</v>
      </c>
      <c r="AT31" s="365">
        <f>IF($D30="Crecimiento",$Q31,0)</f>
        <v>0</v>
      </c>
      <c r="AU31" s="365">
        <f>IF($D30="Siembra",$Q31,0)</f>
        <v>0</v>
      </c>
      <c r="AV31" s="365">
        <f>IF($D30="Abandono",$Q31,0)</f>
        <v>0</v>
      </c>
      <c r="AW31" s="365">
        <f>IF($E30="Producción",IF($E31&gt;=LI_A,$R31,0),0)</f>
        <v>0</v>
      </c>
      <c r="AX31" s="365">
        <f>IF($E30="Producción",IF($E31&gt;=LI_B,IF($E31&lt;LS_B,$R31,0),0),0)</f>
        <v>0</v>
      </c>
      <c r="AY31" s="365">
        <f>IF($E30="Producción",IF($E31&gt;=LI_C,IF($E31&lt;LS_C,$R31,0),0),0)</f>
        <v>0</v>
      </c>
      <c r="AZ31" s="365">
        <f>IF($E30="Producción",IF($E31&lt;=LS_D,$R31,0),0)</f>
        <v>0</v>
      </c>
      <c r="BA31" s="365">
        <f>IF($E30="Crecimiento",$R31,0)</f>
        <v>0</v>
      </c>
      <c r="BB31" s="365">
        <f>IF($E30="Siembra",$R31,0)</f>
        <v>0</v>
      </c>
      <c r="BC31" s="365">
        <f>IF($E30="Abandono",$R31,0)</f>
        <v>0</v>
      </c>
      <c r="BD31" s="365">
        <f>IF($F30="Producción",IF($F31&gt;=LI_A,$S31,0),0)</f>
        <v>0</v>
      </c>
      <c r="BE31" s="365">
        <f>IF($F30="Producción",IF($F31&gt;=LI_B,IF($F31&lt;LS_B,$S31,0),0),0)</f>
        <v>0</v>
      </c>
      <c r="BF31" s="365">
        <f>IF($F30="Producción",IF($F31&gt;=LI_C,IF($F31&lt;LS_C,$S31,0),0),0)</f>
        <v>0</v>
      </c>
      <c r="BG31" s="365">
        <f>IF($F30="Producción",IF($F31&lt;=LS_D,$S31,0),0)</f>
        <v>0</v>
      </c>
      <c r="BH31" s="365">
        <f>IF($F30="Crecimiento",$S31,0)</f>
        <v>0</v>
      </c>
      <c r="BI31" s="365">
        <f>IF($F30="Siembra",$S31,0)</f>
        <v>0</v>
      </c>
      <c r="BJ31" s="365">
        <f>IF($F30="Abandono",$S31,0)</f>
        <v>0</v>
      </c>
      <c r="BK31" s="365">
        <f>IF($G30="Producción",IF($G31&gt;=LI_A,$T31,0),0)</f>
        <v>0</v>
      </c>
      <c r="BL31" s="365">
        <f>IF($G30="Producción",IF($G31&gt;=LI_B,IF($G31&lt;LS_B,$T31,0),0),0)</f>
        <v>0</v>
      </c>
      <c r="BM31" s="365">
        <f>IF($G30="Producción",IF($G31&gt;=LI_C,IF($G31&lt;LS_C,$T31,0),0),0)</f>
        <v>0</v>
      </c>
      <c r="BN31" s="365">
        <f>IF($G30="Producción",IF($G31&lt;=LS_D,$T31,0),0)</f>
        <v>0</v>
      </c>
      <c r="BO31" s="365">
        <f>IF($G30="Crecimiento",$T31,0)</f>
        <v>0</v>
      </c>
      <c r="BP31" s="365">
        <f>IF($G30="Siembra",$T31,0)</f>
        <v>0</v>
      </c>
      <c r="BQ31" s="365">
        <f>IF($G30="Abandono",$T31,0)</f>
        <v>0</v>
      </c>
      <c r="BR31" s="365">
        <f>IF($H30="Producción",IF($H31&gt;=LI_A,$U31,0),0)</f>
        <v>0</v>
      </c>
      <c r="BS31" s="365">
        <f>IF($H30="Producción",IF($H31&gt;=LI_B,IF($H31&lt;LS_B,$U31,0),0),0)</f>
        <v>0</v>
      </c>
      <c r="BT31" s="365">
        <f>IF($H30="Producción",IF($H31&gt;=LI_C,IF($H31&lt;LS_C,$U31,0),0),0)</f>
        <v>0</v>
      </c>
      <c r="BU31" s="365">
        <f>IF($H30="Producción",IF($H31&lt;=LS_D,$U31,0),0)</f>
        <v>0</v>
      </c>
      <c r="BV31" s="365">
        <f>IF($H30="Crecimiento",$U31,0)</f>
        <v>0</v>
      </c>
      <c r="BW31" s="365">
        <f>IF($H30="Siembra",$U31,0)</f>
        <v>0</v>
      </c>
      <c r="BX31" s="365">
        <f>IF($H30="Abandono",$U31,0)</f>
        <v>0</v>
      </c>
      <c r="BY31" s="365">
        <f>IF($I30="Producción",IF($I31&gt;=LI_A,$V31,0),0)</f>
        <v>0</v>
      </c>
      <c r="BZ31" s="365">
        <f>IF($I30="Producción",IF($I31&gt;=LI_B,IF($I31&lt;LS_B,$V31,0),0),0)</f>
        <v>0</v>
      </c>
      <c r="CA31" s="365">
        <f>IF($I30="Producción",IF($I31&gt;=LI_C,IF($I31&lt;LS_C,$V31,0),0),0)</f>
        <v>0</v>
      </c>
      <c r="CB31" s="365">
        <f>IF($I30="Producción",IF($I31&lt;=LS_D,$V31,0),0)</f>
        <v>0</v>
      </c>
      <c r="CC31" s="365">
        <f>IF($I30="Crecimiento",$V31,0)</f>
        <v>0</v>
      </c>
      <c r="CD31" s="365">
        <f>IF($I30="Siembra",$V31,0)</f>
        <v>0</v>
      </c>
      <c r="CE31" s="365">
        <f>IF($I30="Abandono",$V31,0)</f>
        <v>0</v>
      </c>
      <c r="CF31" s="365">
        <f>IF($J30="Producción",IF($J31&gt;=LI_A,$W31,0),0)</f>
        <v>0</v>
      </c>
      <c r="CG31" s="365">
        <f>IF($J30="Producción",IF($J31&gt;=LI_B,IF($J31&lt;LS_B,$W31,0),0),0)</f>
        <v>0</v>
      </c>
      <c r="CH31" s="365">
        <f>IF($J30="Producción",IF($J31&gt;=LI_C,IF($J31&lt;LS_C,$W31,0),0),0)</f>
        <v>0</v>
      </c>
      <c r="CI31" s="365">
        <f>IF($J30="Producción",IF($J31&lt;=LS_D,$W31,0),0)</f>
        <v>0</v>
      </c>
      <c r="CJ31" s="365">
        <f>IF($J30="Crecimiento",$W31,0)</f>
        <v>0</v>
      </c>
      <c r="CK31" s="365">
        <f>IF($J30="Siembra",$W31,0)</f>
        <v>0</v>
      </c>
      <c r="CL31" s="365">
        <f>IF($J30="Abandono",$W31,0)</f>
        <v>0</v>
      </c>
      <c r="CM31" s="365">
        <f>IF($K30="Producción",IF($K31&gt;=LI_A,$X31,0),0)</f>
        <v>0</v>
      </c>
      <c r="CN31" s="365">
        <f>IF($K30="Producción",IF($K31&gt;=LI_B,IF($K31&lt;LS_B,$X31,0),0),0)</f>
        <v>0</v>
      </c>
      <c r="CO31" s="365">
        <f>IF($K30="Producción",IF($K31&gt;=LI_C,IF($K31&lt;LS_C,$X31,0),0),0)</f>
        <v>0</v>
      </c>
      <c r="CP31" s="365">
        <f>IF($K30="Producción",IF($K31&lt;=LS_D,$X31,0),0)</f>
        <v>0</v>
      </c>
      <c r="CQ31" s="365">
        <f>IF($K30="Crecimiento",IF($K31&gt;0,$X31,0),0)</f>
        <v>0</v>
      </c>
      <c r="CR31" s="365">
        <f>IF($K30="Siembra",IF($K31&gt;0,$X31,0),0)</f>
        <v>0</v>
      </c>
      <c r="CS31" s="365">
        <f>IF($K30="Abandono",IF($K31&gt;0,$X31,0),0)</f>
        <v>0</v>
      </c>
      <c r="CT31" s="365">
        <f>IF($L30="Producción",IF($L31&gt;=LI_A,$Y31,0),0)</f>
        <v>0</v>
      </c>
      <c r="CU31" s="365">
        <f>IF($L30="Producción",IF($L31&gt;=LI_B,IF($L31&lt;LS_B,$Y31,0),0),0)</f>
        <v>0</v>
      </c>
      <c r="CV31" s="365">
        <f>IF($L30="Producción",IF($L31&gt;=LI_C,IF($L31&lt;LS_C,$Y31,0),0),0)</f>
        <v>0</v>
      </c>
      <c r="CW31" s="365">
        <f>IF($L30="Producción",IF($L31&lt;=LS_D,$Y31,0),0)</f>
        <v>0</v>
      </c>
      <c r="CX31" s="365">
        <f>IF($L30="Crecimiento",$Y31,0)</f>
        <v>0</v>
      </c>
      <c r="CY31" s="365">
        <f>IF($L30="Siembra",$Y31,0)</f>
        <v>0</v>
      </c>
      <c r="CZ31" s="365">
        <f>IF($L30="Abandono",$Y31,0)</f>
        <v>0</v>
      </c>
      <c r="DA31" s="365">
        <f>IF($M30="Producción",IF($M31&gt;=LI_A,$Z31,0),0)</f>
        <v>0</v>
      </c>
      <c r="DB31" s="365">
        <f>IF($M30="Producción",IF($M31&gt;=LI_B,IF($M31&lt;LS_B,$Z31,0),0),0)</f>
        <v>0</v>
      </c>
      <c r="DC31" s="365">
        <f>IF($M30="Producción",IF($M31&gt;=LI_C,IF($M31&lt;LS_C,$Z31,0),0),0)</f>
        <v>0</v>
      </c>
      <c r="DD31" s="365">
        <f>IF($M30="Producción",IF($M31&lt;=LS_D,$Z31,0),0)</f>
        <v>0</v>
      </c>
      <c r="DE31" s="365">
        <f>IF($M30="Crecimiento",$Z31,0)</f>
        <v>0</v>
      </c>
      <c r="DF31" s="365">
        <f>IF($M30="Siembra",$Z31,0)</f>
        <v>0</v>
      </c>
      <c r="DG31" s="365">
        <f>IF($M30="Abandono",$Z31,0)</f>
        <v>0</v>
      </c>
      <c r="DI31" s="58">
        <f>AB31*$B31</f>
        <v>0</v>
      </c>
      <c r="DJ31" s="58">
        <f>AC31*$B31</f>
        <v>0</v>
      </c>
      <c r="DK31" s="58">
        <f>AD31*$B31</f>
        <v>0</v>
      </c>
      <c r="DL31" s="58">
        <f>AE31*$B31</f>
        <v>0</v>
      </c>
      <c r="DM31" s="365">
        <f>AF31*$B31</f>
        <v>0</v>
      </c>
      <c r="DN31" s="365">
        <f>AI31*$C31</f>
        <v>0</v>
      </c>
      <c r="DO31" s="365">
        <f>AJ31*$C31</f>
        <v>0</v>
      </c>
      <c r="DP31" s="365">
        <f>AK31*$C31</f>
        <v>0</v>
      </c>
      <c r="DQ31" s="365">
        <f>AL31*$C31</f>
        <v>0</v>
      </c>
      <c r="DR31" s="365">
        <f>AM31*$C31</f>
        <v>0</v>
      </c>
      <c r="DS31" s="365">
        <f>AP31*$D31</f>
        <v>0</v>
      </c>
      <c r="DT31" s="365">
        <f>AQ31*$D31</f>
        <v>0</v>
      </c>
      <c r="DU31" s="365">
        <f>AR31*$D31</f>
        <v>0</v>
      </c>
      <c r="DV31" s="365">
        <f>AS31*$D31</f>
        <v>0</v>
      </c>
      <c r="DW31" s="365">
        <f>AT31*$D31</f>
        <v>0</v>
      </c>
      <c r="DX31" s="365">
        <f>AW31*$E31</f>
        <v>0</v>
      </c>
      <c r="DY31" s="365">
        <f>AX31*$E31</f>
        <v>0</v>
      </c>
      <c r="DZ31" s="365">
        <f>AY31*$E31</f>
        <v>0</v>
      </c>
      <c r="EA31" s="365">
        <f>AZ31*$E31</f>
        <v>0</v>
      </c>
      <c r="EB31" s="365">
        <f>BA31*$E31</f>
        <v>0</v>
      </c>
      <c r="EC31" s="365">
        <f>BD31*$F31</f>
        <v>0</v>
      </c>
      <c r="ED31" s="365">
        <f>BE31*$F31</f>
        <v>0</v>
      </c>
      <c r="EE31" s="365">
        <f>BF31*$F31</f>
        <v>0</v>
      </c>
      <c r="EF31" s="365">
        <f>BG31*$F31</f>
        <v>0</v>
      </c>
      <c r="EG31" s="365">
        <f>BH31*$F31</f>
        <v>0</v>
      </c>
      <c r="EH31" s="365">
        <f>BK31*$G31</f>
        <v>0</v>
      </c>
      <c r="EI31" s="365">
        <f>BL31*$G31</f>
        <v>0</v>
      </c>
      <c r="EJ31" s="365">
        <f>BM31*$G31</f>
        <v>0</v>
      </c>
      <c r="EK31" s="365">
        <f>BN31*$G31</f>
        <v>0</v>
      </c>
      <c r="EL31" s="365">
        <f>BO31*$G31</f>
        <v>0</v>
      </c>
      <c r="EM31" s="365">
        <f>BR31*$H31</f>
        <v>0</v>
      </c>
      <c r="EN31" s="365">
        <f>BS31*$H31</f>
        <v>0</v>
      </c>
      <c r="EO31" s="365">
        <f>BT31*$H31</f>
        <v>0</v>
      </c>
      <c r="EP31" s="365">
        <f>BU31*$H31</f>
        <v>0</v>
      </c>
      <c r="EQ31" s="365">
        <f>BV31*$H31</f>
        <v>0</v>
      </c>
      <c r="ER31" s="365">
        <f>BY31*$I31</f>
        <v>0</v>
      </c>
      <c r="ES31" s="365">
        <f>BZ31*$I31</f>
        <v>0</v>
      </c>
      <c r="ET31" s="365">
        <f>CA31*$I31</f>
        <v>0</v>
      </c>
      <c r="EU31" s="365">
        <f>CB31*$I31</f>
        <v>0</v>
      </c>
      <c r="EV31" s="365">
        <f>CC31*$I31</f>
        <v>0</v>
      </c>
      <c r="EW31" s="365">
        <f>CF31*$J31</f>
        <v>0</v>
      </c>
      <c r="EX31" s="365">
        <f>CG31*$J31</f>
        <v>0</v>
      </c>
      <c r="EY31" s="365">
        <f>CH31*$J31</f>
        <v>0</v>
      </c>
      <c r="EZ31" s="365">
        <f>CI31*$J31</f>
        <v>0</v>
      </c>
      <c r="FA31" s="365">
        <f>CJ31*$J31</f>
        <v>0</v>
      </c>
      <c r="FB31" s="365">
        <f>CM31*$K31</f>
        <v>0</v>
      </c>
      <c r="FC31" s="365">
        <f>CN31*$K31</f>
        <v>0</v>
      </c>
      <c r="FD31" s="365">
        <f>CO31*$K31</f>
        <v>0</v>
      </c>
      <c r="FE31" s="365">
        <f>CP31*$K31</f>
        <v>0</v>
      </c>
      <c r="FF31" s="365">
        <f>CQ31*$K31</f>
        <v>0</v>
      </c>
      <c r="FG31" s="365">
        <f>CT31*$L31</f>
        <v>0</v>
      </c>
      <c r="FH31" s="365">
        <f>CU31*$L31</f>
        <v>0</v>
      </c>
      <c r="FI31" s="365">
        <f>CV31*$L31</f>
        <v>0</v>
      </c>
      <c r="FJ31" s="365">
        <f>CW31*$L31</f>
        <v>0</v>
      </c>
      <c r="FK31" s="365">
        <f>CX31*$L31</f>
        <v>0</v>
      </c>
      <c r="FL31" s="365">
        <f>DA31*$M31</f>
        <v>0</v>
      </c>
      <c r="FM31" s="365">
        <f t="shared" ref="FM31" si="20">DB31*$M31</f>
        <v>0</v>
      </c>
      <c r="FN31" s="365">
        <f>DC31*$M31</f>
        <v>0</v>
      </c>
      <c r="FO31" s="365">
        <f t="shared" ref="FO31" si="21">DD31*$M31</f>
        <v>0</v>
      </c>
      <c r="FP31" s="365">
        <f t="shared" ref="FP31" si="22">DE31*$M31</f>
        <v>0</v>
      </c>
    </row>
    <row r="32" spans="1:172" ht="21" customHeight="1" x14ac:dyDescent="0.3">
      <c r="A32" s="277" t="s">
        <v>238</v>
      </c>
      <c r="B32" s="278">
        <f>SUM(DI31:DM31)/100</f>
        <v>0</v>
      </c>
      <c r="C32" s="278">
        <f>SUM(DN31:DQ31)/100</f>
        <v>0</v>
      </c>
      <c r="D32" s="279">
        <f>SUM(DS31:DW31)/100</f>
        <v>0</v>
      </c>
      <c r="E32" s="279">
        <f>SUM(DX31:EB31)/100</f>
        <v>0</v>
      </c>
      <c r="F32" s="279">
        <f>SUM(EC31:EG31)/100</f>
        <v>0</v>
      </c>
      <c r="G32" s="279">
        <f>SUM(EH31:EL31)/100</f>
        <v>0</v>
      </c>
      <c r="H32" s="279">
        <f>SUM(EM31:EQ31)/100</f>
        <v>0</v>
      </c>
      <c r="I32" s="279">
        <f>SUM(ER31:EV31)/100</f>
        <v>0</v>
      </c>
      <c r="J32" s="279">
        <f>SUM(EW31:FA31)/100</f>
        <v>0</v>
      </c>
      <c r="K32" s="279">
        <f>SUM(FB31:FF31)/100</f>
        <v>0</v>
      </c>
      <c r="L32" s="279">
        <f>SUM(FG31:FK31)/100</f>
        <v>0</v>
      </c>
      <c r="M32" s="279">
        <f>SUM(FL31:FP31)/100</f>
        <v>0</v>
      </c>
      <c r="AG32" s="365"/>
      <c r="AH32" s="365"/>
      <c r="AI32" s="365"/>
      <c r="AJ32" s="365"/>
      <c r="AK32" s="365"/>
      <c r="AL32" s="365"/>
      <c r="AM32" s="365"/>
      <c r="AN32" s="365"/>
      <c r="AO32" s="365"/>
      <c r="AP32" s="365"/>
      <c r="AQ32" s="365"/>
      <c r="AR32" s="365"/>
      <c r="AS32" s="365"/>
      <c r="AT32" s="365"/>
      <c r="AU32" s="365"/>
      <c r="AV32" s="365"/>
      <c r="AW32" s="365"/>
      <c r="AX32" s="365"/>
      <c r="AY32" s="365"/>
      <c r="AZ32" s="365"/>
      <c r="BA32" s="365"/>
      <c r="BB32" s="365"/>
      <c r="BC32" s="365"/>
      <c r="BD32" s="365"/>
      <c r="BE32" s="365"/>
      <c r="BF32" s="365"/>
      <c r="BG32" s="365"/>
      <c r="BH32" s="365"/>
      <c r="BI32" s="365"/>
      <c r="BJ32" s="365"/>
      <c r="BK32" s="365"/>
      <c r="BL32" s="365"/>
      <c r="BM32" s="365"/>
      <c r="BN32" s="365"/>
      <c r="BO32" s="365"/>
      <c r="BP32" s="365"/>
      <c r="BQ32" s="365"/>
      <c r="BR32" s="365"/>
      <c r="BS32" s="365"/>
      <c r="BT32" s="365"/>
      <c r="BU32" s="365"/>
      <c r="BV32" s="365"/>
      <c r="BW32" s="365"/>
      <c r="BX32" s="365"/>
      <c r="BY32" s="365"/>
      <c r="BZ32" s="365"/>
      <c r="CA32" s="365"/>
      <c r="CB32" s="365"/>
      <c r="CC32" s="365"/>
      <c r="CD32" s="365"/>
      <c r="CE32" s="365"/>
      <c r="CF32" s="365"/>
      <c r="CG32" s="365"/>
      <c r="CH32" s="365"/>
      <c r="CI32" s="365"/>
      <c r="CJ32" s="365"/>
      <c r="CK32" s="365"/>
      <c r="CL32" s="365"/>
      <c r="CM32" s="365"/>
      <c r="CN32" s="365"/>
      <c r="CO32" s="365"/>
      <c r="CP32" s="365"/>
      <c r="CQ32" s="365"/>
      <c r="CR32" s="365"/>
      <c r="CS32" s="365"/>
      <c r="CT32" s="365"/>
      <c r="CU32" s="365"/>
      <c r="CV32" s="365"/>
      <c r="CW32" s="365"/>
      <c r="CX32" s="365"/>
      <c r="CY32" s="365"/>
      <c r="CZ32" s="365"/>
      <c r="DA32" s="365"/>
      <c r="DB32" s="365"/>
      <c r="DC32" s="365"/>
      <c r="DD32" s="365"/>
      <c r="DE32" s="365"/>
      <c r="DF32" s="365"/>
      <c r="DG32" s="365"/>
      <c r="DM32" s="365"/>
      <c r="DN32" s="365"/>
      <c r="DO32" s="365"/>
      <c r="DP32" s="365"/>
      <c r="DQ32" s="365"/>
      <c r="DR32" s="365"/>
      <c r="DS32" s="365"/>
      <c r="DT32" s="365"/>
      <c r="DU32" s="365"/>
      <c r="DV32" s="365"/>
      <c r="DW32" s="365"/>
      <c r="DX32" s="365"/>
      <c r="DY32" s="365"/>
      <c r="DZ32" s="365"/>
      <c r="EA32" s="365"/>
      <c r="EB32" s="365"/>
      <c r="EC32" s="365"/>
      <c r="ED32" s="365"/>
      <c r="EE32" s="365"/>
      <c r="EF32" s="365"/>
      <c r="EG32" s="365"/>
      <c r="EH32" s="365"/>
      <c r="EI32" s="365"/>
      <c r="EJ32" s="365"/>
      <c r="EK32" s="365"/>
      <c r="EL32" s="365"/>
      <c r="EM32" s="365"/>
      <c r="EN32" s="365"/>
      <c r="EO32" s="365"/>
      <c r="EP32" s="365"/>
      <c r="EQ32" s="365"/>
      <c r="ER32" s="365"/>
      <c r="ES32" s="365"/>
      <c r="ET32" s="365"/>
      <c r="EU32" s="365"/>
      <c r="EV32" s="365"/>
      <c r="EW32" s="365"/>
      <c r="EX32" s="365"/>
      <c r="EY32" s="365"/>
      <c r="EZ32" s="365"/>
      <c r="FA32" s="365"/>
      <c r="FB32" s="365"/>
      <c r="FC32" s="365"/>
      <c r="FD32" s="365"/>
      <c r="FE32" s="365"/>
      <c r="FF32" s="365"/>
      <c r="FG32" s="365"/>
      <c r="FH32" s="365"/>
      <c r="FI32" s="365"/>
      <c r="FJ32" s="365"/>
      <c r="FK32" s="365"/>
      <c r="FL32" s="365"/>
      <c r="FM32" s="365"/>
      <c r="FN32" s="365"/>
      <c r="FO32" s="365"/>
      <c r="FP32" s="365"/>
    </row>
    <row r="33" spans="1:172" ht="21" customHeight="1" x14ac:dyDescent="0.3">
      <c r="A33" s="150" t="s">
        <v>239</v>
      </c>
      <c r="B33" s="149" t="e">
        <f>SUM(DI31:DM31)/100/Lote_7</f>
        <v>#DIV/0!</v>
      </c>
      <c r="C33" s="149" t="e">
        <f>SUM(DN31:DQ31)/100/Lote_7</f>
        <v>#DIV/0!</v>
      </c>
      <c r="D33" s="149" t="e">
        <f>SUM(DS31:DW31)/100/Lote_7</f>
        <v>#DIV/0!</v>
      </c>
      <c r="E33" s="149" t="e">
        <f>SUM(DX31:EB31)/100/Lote_7</f>
        <v>#DIV/0!</v>
      </c>
      <c r="F33" s="149" t="e">
        <f>SUM(EC31:EG31)/100/Lote_7</f>
        <v>#DIV/0!</v>
      </c>
      <c r="G33" s="149" t="e">
        <f>SUM(EH31:EL31)/100/Lote_7</f>
        <v>#DIV/0!</v>
      </c>
      <c r="H33" s="149" t="e">
        <f>SUM(EM31:EQ31)/100/Lote_7</f>
        <v>#DIV/0!</v>
      </c>
      <c r="I33" s="149" t="e">
        <f>SUM(ER31:EV31)/100/Lote_7</f>
        <v>#DIV/0!</v>
      </c>
      <c r="J33" s="149" t="e">
        <f>SUM(EW31:FA31)/100/Lote_7</f>
        <v>#DIV/0!</v>
      </c>
      <c r="K33" s="149" t="e">
        <f>SUM(FB31:FF31)/100/Lote_7</f>
        <v>#DIV/0!</v>
      </c>
      <c r="L33" s="149" t="e">
        <f>SUM(FG31:FK31)/100/Lote_7</f>
        <v>#DIV/0!</v>
      </c>
      <c r="M33" s="149" t="e">
        <f>SUM(FL31:FP31)/100/Lote_7</f>
        <v>#DIV/0!</v>
      </c>
    </row>
    <row r="34" spans="1:172" ht="21" customHeight="1" x14ac:dyDescent="0.3">
      <c r="A34" s="233">
        <f>N_L8</f>
        <v>0</v>
      </c>
      <c r="B34" s="363" t="s">
        <v>37</v>
      </c>
      <c r="C34" s="363" t="s">
        <v>37</v>
      </c>
      <c r="D34" s="363" t="s">
        <v>37</v>
      </c>
      <c r="E34" s="363" t="s">
        <v>37</v>
      </c>
      <c r="F34" s="363" t="s">
        <v>37</v>
      </c>
      <c r="G34" s="363" t="s">
        <v>37</v>
      </c>
      <c r="H34" s="363" t="s">
        <v>37</v>
      </c>
      <c r="I34" s="363" t="s">
        <v>37</v>
      </c>
      <c r="J34" s="363" t="s">
        <v>37</v>
      </c>
      <c r="K34" s="363" t="s">
        <v>37</v>
      </c>
      <c r="L34" s="363" t="s">
        <v>37</v>
      </c>
      <c r="M34" s="363" t="s">
        <v>37</v>
      </c>
    </row>
    <row r="35" spans="1:172" ht="21" customHeight="1" x14ac:dyDescent="0.3">
      <c r="A35" s="4" t="s">
        <v>237</v>
      </c>
      <c r="B35" s="7"/>
      <c r="C35" s="275"/>
      <c r="D35" s="275"/>
      <c r="E35" s="275"/>
      <c r="F35" s="275"/>
      <c r="G35" s="275"/>
      <c r="H35" s="275"/>
      <c r="I35" s="275"/>
      <c r="J35" s="275"/>
      <c r="K35" s="275"/>
      <c r="L35" s="275"/>
      <c r="M35" s="275"/>
      <c r="O35" s="58">
        <f>Área_L8*D_L8*A1_L8</f>
        <v>0</v>
      </c>
      <c r="P35" s="58">
        <f>Área_L8*D_L8*A2_L8</f>
        <v>0</v>
      </c>
      <c r="Q35" s="58">
        <f>Área_L8*D_L8*A3_L8</f>
        <v>0</v>
      </c>
      <c r="R35" s="58">
        <f>Área_L8*D_L8*A4_L8</f>
        <v>0</v>
      </c>
      <c r="S35" s="58">
        <f>Área_L8*D_L8*A5_L8</f>
        <v>0</v>
      </c>
      <c r="T35" s="58">
        <f>Área_L8*D_L8*A6_L8</f>
        <v>0</v>
      </c>
      <c r="U35" s="58">
        <f>Área_L8*D_L8*A7_L8</f>
        <v>0</v>
      </c>
      <c r="V35" s="58">
        <f>Área_L8*D_L8*A8_L8</f>
        <v>0</v>
      </c>
      <c r="W35" s="58">
        <f>Área_L8*D_L8*A9_L8</f>
        <v>0</v>
      </c>
      <c r="X35" s="58">
        <f>Área_L8*D_L8*A10_L8</f>
        <v>0</v>
      </c>
      <c r="Y35" s="58">
        <f>Área_L8*D_L8*A11_L8</f>
        <v>0</v>
      </c>
      <c r="Z35" s="58">
        <f>Área_L8*D_L8*A12_L8</f>
        <v>0</v>
      </c>
      <c r="AB35" s="58">
        <f>IF($B34="Producción",IF($B35&gt;=LI_A,$O35,0),0)</f>
        <v>0</v>
      </c>
      <c r="AC35" s="58">
        <f>IF($B34="Producción",IF($B35&gt;=LI_B,IF($B35&lt;LS_B,$O35,0),0),0)</f>
        <v>0</v>
      </c>
      <c r="AD35" s="58">
        <f>IF($B34="Producción",IF($B35&gt;=LI_C,IF($B35&lt;LS_C,$O35,0),0),0)</f>
        <v>0</v>
      </c>
      <c r="AE35" s="58">
        <f>IF($B34="Producción",IF($B35&lt;=LS_D,$O35,0),0)</f>
        <v>0</v>
      </c>
      <c r="AF35" s="365">
        <f>IF($B34="Crecimiento",$O35,0)</f>
        <v>0</v>
      </c>
      <c r="AG35" s="365">
        <f>IF($B34="Siembra",$O35,0)</f>
        <v>0</v>
      </c>
      <c r="AH35" s="365">
        <f>IF($B34="Abandono",$O35,0)</f>
        <v>0</v>
      </c>
      <c r="AI35" s="365">
        <f>IF($C34="Producción",IF($C35&gt;=LI_A,$P35,0),0)</f>
        <v>0</v>
      </c>
      <c r="AJ35" s="365">
        <f>IF($C34="Producción",IF($C35&gt;=LI_B,IF($C35&lt;LS_B,$P35,0),0),0)</f>
        <v>0</v>
      </c>
      <c r="AK35" s="365">
        <f>IF($C34="Producción",IF($C35&gt;=LI_C,IF($C35&lt;LS_C,$P35,0),0),0)</f>
        <v>0</v>
      </c>
      <c r="AL35" s="365">
        <f>IF($C34="Producción",IF(C35&lt;=LS_D,$P35,0),0)</f>
        <v>0</v>
      </c>
      <c r="AM35" s="365">
        <f>IF($C34="Crecimiento",$P35,0)</f>
        <v>0</v>
      </c>
      <c r="AN35" s="365">
        <f>IF($C34="Siembra",$P35,0)</f>
        <v>0</v>
      </c>
      <c r="AO35" s="365">
        <f>IF($C34="Abandono",$P35,0)</f>
        <v>0</v>
      </c>
      <c r="AP35" s="365">
        <f>IF($D34="Producción",IF($D35&gt;=LI_A,$Q35,0),0)</f>
        <v>0</v>
      </c>
      <c r="AQ35" s="365">
        <f>IF($D34="Producción",IF($D35&gt;=LI_B,IF($D35&lt;LS_B,$Q35,0),0),0)</f>
        <v>0</v>
      </c>
      <c r="AR35" s="365">
        <f>IF($D34="Producción",IF($D35&gt;=LI_C,IF($D35&lt;LS_C,$Q35,0),0),0)</f>
        <v>0</v>
      </c>
      <c r="AS35" s="365">
        <f>IF($D34="Producción",IF($D35&lt;=LS_D,$Q35,0),0)</f>
        <v>0</v>
      </c>
      <c r="AT35" s="365">
        <f>IF($D34="Crecimiento",$Q35,0)</f>
        <v>0</v>
      </c>
      <c r="AU35" s="365">
        <f>IF($D34="Siembra",$Q35,0)</f>
        <v>0</v>
      </c>
      <c r="AV35" s="365">
        <f>IF($D34="Abandono",$Q35,0)</f>
        <v>0</v>
      </c>
      <c r="AW35" s="365">
        <f>IF($E34="Producción",IF($E35&gt;=LI_A,$R35,0),0)</f>
        <v>0</v>
      </c>
      <c r="AX35" s="365">
        <f>IF($E34="Producción",IF($E35&gt;=LI_B,IF($E35&lt;LS_B,$R35,0),0),0)</f>
        <v>0</v>
      </c>
      <c r="AY35" s="365">
        <f>IF($E34="Producción",IF($E35&gt;=LI_C,IF($E35&lt;LS_C,$R35,0),0),0)</f>
        <v>0</v>
      </c>
      <c r="AZ35" s="365">
        <f>IF($E34="Producción",IF($E35&lt;=LS_D,$R35,0),0)</f>
        <v>0</v>
      </c>
      <c r="BA35" s="365">
        <f>IF($E34="Crecimiento",$R35,0)</f>
        <v>0</v>
      </c>
      <c r="BB35" s="365">
        <f>IF($E34="Siembra",$R35,0)</f>
        <v>0</v>
      </c>
      <c r="BC35" s="365">
        <f>IF($E34="Abandono",$R35,0)</f>
        <v>0</v>
      </c>
      <c r="BD35" s="365">
        <f>IF($F34="Producción",IF($F35&gt;=LI_A,$S35,0),0)</f>
        <v>0</v>
      </c>
      <c r="BE35" s="365">
        <f>IF($F34="Producción",IF($F35&gt;=LI_B,IF($F35&lt;LS_B,$S35,0),0),0)</f>
        <v>0</v>
      </c>
      <c r="BF35" s="365">
        <f>IF($F34="Producción",IF($F35&gt;=LI_C,IF($F35&lt;LS_C,$S35,0),0),0)</f>
        <v>0</v>
      </c>
      <c r="BG35" s="365">
        <f>IF($F34="Producción",IF($F35&lt;=LS_D,$S35,0),0)</f>
        <v>0</v>
      </c>
      <c r="BH35" s="365">
        <f>IF($F34="Crecimiento",$S35,0)</f>
        <v>0</v>
      </c>
      <c r="BI35" s="365">
        <f>IF($F34="Siembra",$S35,0)</f>
        <v>0</v>
      </c>
      <c r="BJ35" s="365">
        <f>IF($F34="Abandono",$S35,0)</f>
        <v>0</v>
      </c>
      <c r="BK35" s="365">
        <f>IF($G34="Producción",IF($G35&gt;=LI_A,$T35,0),0)</f>
        <v>0</v>
      </c>
      <c r="BL35" s="365">
        <f>IF($G34="Producción",IF($G35&gt;=LI_B,IF($G35&lt;LS_B,$T35,0),0),0)</f>
        <v>0</v>
      </c>
      <c r="BM35" s="365">
        <f>IF($G34="Producción",IF($G35&gt;=LI_C,IF($G35&lt;LS_C,$T35,0),0),0)</f>
        <v>0</v>
      </c>
      <c r="BN35" s="365">
        <f>IF($G34="Producción",IF($G35&lt;=LS_D,$T35,0),0)</f>
        <v>0</v>
      </c>
      <c r="BO35" s="365">
        <f>IF($G34="Crecimiento",$T35,0)</f>
        <v>0</v>
      </c>
      <c r="BP35" s="365">
        <f>IF($G34="Siembra",$T35,0)</f>
        <v>0</v>
      </c>
      <c r="BQ35" s="365">
        <f>IF($G34="Abandono",$T35,0)</f>
        <v>0</v>
      </c>
      <c r="BR35" s="365">
        <f>IF($H34="Producción",IF($H35&gt;=LI_A,$U35,0),0)</f>
        <v>0</v>
      </c>
      <c r="BS35" s="365">
        <f>IF($H34="Producción",IF($H35&gt;=LI_B,IF($H35&lt;LS_B,$U35,0),0),0)</f>
        <v>0</v>
      </c>
      <c r="BT35" s="365">
        <f>IF($H34="Producción",IF($H35&gt;=LI_C,IF($H35&lt;LS_C,$U35,0),0),0)</f>
        <v>0</v>
      </c>
      <c r="BU35" s="365">
        <f>IF($H34="Producción",IF($H35&lt;=LS_D,$U35,0),0)</f>
        <v>0</v>
      </c>
      <c r="BV35" s="365">
        <f>IF($H34="Crecimiento",$U35,0)</f>
        <v>0</v>
      </c>
      <c r="BW35" s="365">
        <f>IF($H34="Siembra",$U35,0)</f>
        <v>0</v>
      </c>
      <c r="BX35" s="365">
        <f>IF($H34="Abandono",$U35,0)</f>
        <v>0</v>
      </c>
      <c r="BY35" s="365">
        <f>IF($I34="Producción",IF($I35&gt;=LI_A,$V35,0),0)</f>
        <v>0</v>
      </c>
      <c r="BZ35" s="365">
        <f>IF($I34="Producción",IF($I35&gt;=LI_B,IF($I35&lt;LS_B,$V35,0),0),0)</f>
        <v>0</v>
      </c>
      <c r="CA35" s="365">
        <f>IF($I34="Producción",IF($I35&gt;=LI_C,IF($I35&lt;LS_C,$V35,0),0),0)</f>
        <v>0</v>
      </c>
      <c r="CB35" s="365">
        <f>IF($I34="Producción",IF($I35&lt;=LS_D,$V35,0),0)</f>
        <v>0</v>
      </c>
      <c r="CC35" s="365">
        <f>IF($I34="Crecimiento",$V35,0)</f>
        <v>0</v>
      </c>
      <c r="CD35" s="365">
        <f>IF($I34="Siembra",$V35,0)</f>
        <v>0</v>
      </c>
      <c r="CE35" s="365">
        <f>IF($I34="Abandono",$V35,0)</f>
        <v>0</v>
      </c>
      <c r="CF35" s="365">
        <f>IF($J34="Producción",IF($J35&gt;=LI_A,$W35,0),0)</f>
        <v>0</v>
      </c>
      <c r="CG35" s="365">
        <f>IF($J34="Producción",IF($J35&gt;=LI_B,IF($J35&lt;LS_B,$W35,0),0),0)</f>
        <v>0</v>
      </c>
      <c r="CH35" s="365">
        <f>IF($J34="Producción",IF($J35&gt;=LI_C,IF($J35&lt;LS_C,$W35,0),0),0)</f>
        <v>0</v>
      </c>
      <c r="CI35" s="365">
        <f>IF($J34="Producción",IF($J35&lt;=LS_D,$W35,0),0)</f>
        <v>0</v>
      </c>
      <c r="CJ35" s="365">
        <f>IF($J34="Crecimiento",$W35,0)</f>
        <v>0</v>
      </c>
      <c r="CK35" s="365">
        <f>IF($J34="Siembra",$W35,0)</f>
        <v>0</v>
      </c>
      <c r="CL35" s="365">
        <f>IF($J34="Abandono",$W35,0)</f>
        <v>0</v>
      </c>
      <c r="CM35" s="365">
        <f>IF($K34="Producción",IF($K35&gt;=LI_A,$X35,0),0)</f>
        <v>0</v>
      </c>
      <c r="CN35" s="365">
        <f>IF($K34="Producción",IF($K35&gt;=LI_B,IF($K35&lt;LS_B,$X35,0),0),0)</f>
        <v>0</v>
      </c>
      <c r="CO35" s="365">
        <f>IF($K34="Producción",IF($K35&gt;=LI_C,IF($K35&lt;LS_C,$X35,0),0),0)</f>
        <v>0</v>
      </c>
      <c r="CP35" s="365">
        <f>IF($K34="Producción",IF($K35&lt;=LS_D,$X35,0),0)</f>
        <v>0</v>
      </c>
      <c r="CQ35" s="365">
        <f>IF($K34="Crecimiento",IF($K35&gt;0,$X35,0),0)</f>
        <v>0</v>
      </c>
      <c r="CR35" s="365">
        <f>IF($K34="Siembra",IF($K35&gt;0,$X35,0),0)</f>
        <v>0</v>
      </c>
      <c r="CS35" s="365">
        <f>IF($K34="Abandono",IF($K35&gt;0,$X35,0),0)</f>
        <v>0</v>
      </c>
      <c r="CT35" s="365">
        <f>IF($L34="Producción",IF($L35&gt;=LI_A,$Y35,0),0)</f>
        <v>0</v>
      </c>
      <c r="CU35" s="365">
        <f>IF($L34="Producción",IF($L35&gt;=LI_B,IF($L35&lt;LS_B,$Y35,0),0),0)</f>
        <v>0</v>
      </c>
      <c r="CV35" s="365">
        <f>IF($L34="Producción",IF($L35&gt;=LI_C,IF($L35&lt;LS_C,$Y35,0),0),0)</f>
        <v>0</v>
      </c>
      <c r="CW35" s="365">
        <f>IF($L34="Producción",IF($L35&lt;=LS_D,$Y35,0),0)</f>
        <v>0</v>
      </c>
      <c r="CX35" s="365">
        <f>IF($L34="Crecimiento",$Y35,0)</f>
        <v>0</v>
      </c>
      <c r="CY35" s="365">
        <f>IF($L34="Siembra",$Y35,0)</f>
        <v>0</v>
      </c>
      <c r="CZ35" s="365">
        <f>IF($L34="Abandono",$Y35,0)</f>
        <v>0</v>
      </c>
      <c r="DA35" s="365">
        <f>IF($M34="Producción",IF($M35&gt;=LI_A,$Z35,0),0)</f>
        <v>0</v>
      </c>
      <c r="DB35" s="365">
        <f>IF($M34="Producción",IF($M35&gt;=LI_B,IF($M35&lt;LS_B,$Z35,0),0),0)</f>
        <v>0</v>
      </c>
      <c r="DC35" s="365">
        <f>IF($M34="Producción",IF($M35&gt;=LI_C,IF($M35&lt;LS_C,$Z35,0),0),0)</f>
        <v>0</v>
      </c>
      <c r="DD35" s="365">
        <f>IF($M34="Producción",IF($M35&lt;=LS_D,$Z35,0),0)</f>
        <v>0</v>
      </c>
      <c r="DE35" s="365">
        <f>IF($M34="Crecimiento",$Z35,0)</f>
        <v>0</v>
      </c>
      <c r="DF35" s="365">
        <f>IF($M34="Siembra",$Z35,0)</f>
        <v>0</v>
      </c>
      <c r="DG35" s="365">
        <f>IF($M34="Abandono",$Z35,0)</f>
        <v>0</v>
      </c>
      <c r="DI35" s="58">
        <f>AB35*$B35</f>
        <v>0</v>
      </c>
      <c r="DJ35" s="58">
        <f>AC35*$B35</f>
        <v>0</v>
      </c>
      <c r="DK35" s="58">
        <f>AD35*$B35</f>
        <v>0</v>
      </c>
      <c r="DL35" s="58">
        <f>AE35*$B35</f>
        <v>0</v>
      </c>
      <c r="DM35" s="365">
        <f>AF35*$B35</f>
        <v>0</v>
      </c>
      <c r="DN35" s="365">
        <f>AI35*$C35</f>
        <v>0</v>
      </c>
      <c r="DO35" s="365">
        <f>AJ35*$C35</f>
        <v>0</v>
      </c>
      <c r="DP35" s="365">
        <f>AK35*$C35</f>
        <v>0</v>
      </c>
      <c r="DQ35" s="365">
        <f>AL35*$C35</f>
        <v>0</v>
      </c>
      <c r="DR35" s="365">
        <f>AM35*$C35</f>
        <v>0</v>
      </c>
      <c r="DS35" s="365">
        <f>AP35*$D35</f>
        <v>0</v>
      </c>
      <c r="DT35" s="365">
        <f>AQ35*$D35</f>
        <v>0</v>
      </c>
      <c r="DU35" s="365">
        <f>AR35*$D35</f>
        <v>0</v>
      </c>
      <c r="DV35" s="365">
        <f>AS35*$D35</f>
        <v>0</v>
      </c>
      <c r="DW35" s="365">
        <f>AT35*$D35</f>
        <v>0</v>
      </c>
      <c r="DX35" s="365">
        <f>AW35*$E35</f>
        <v>0</v>
      </c>
      <c r="DY35" s="365">
        <f>AX35*$E35</f>
        <v>0</v>
      </c>
      <c r="DZ35" s="365">
        <f>AY35*$E35</f>
        <v>0</v>
      </c>
      <c r="EA35" s="365">
        <f>AZ35*$E35</f>
        <v>0</v>
      </c>
      <c r="EB35" s="365">
        <f>BA35*$E35</f>
        <v>0</v>
      </c>
      <c r="EC35" s="365">
        <f>BD35*$F35</f>
        <v>0</v>
      </c>
      <c r="ED35" s="365">
        <f>BE35*$F35</f>
        <v>0</v>
      </c>
      <c r="EE35" s="365">
        <f>BF35*$F35</f>
        <v>0</v>
      </c>
      <c r="EF35" s="365">
        <f>BG35*$F35</f>
        <v>0</v>
      </c>
      <c r="EG35" s="365">
        <f>BH35*$F35</f>
        <v>0</v>
      </c>
      <c r="EH35" s="365">
        <f>BK35*$G35</f>
        <v>0</v>
      </c>
      <c r="EI35" s="365">
        <f>BL35*$G35</f>
        <v>0</v>
      </c>
      <c r="EJ35" s="365">
        <f>BM35*$G35</f>
        <v>0</v>
      </c>
      <c r="EK35" s="365">
        <f>BN35*$G35</f>
        <v>0</v>
      </c>
      <c r="EL35" s="365">
        <f>BO35*$G35</f>
        <v>0</v>
      </c>
      <c r="EM35" s="365">
        <f>BR35*$H35</f>
        <v>0</v>
      </c>
      <c r="EN35" s="365">
        <f>BS35*$H35</f>
        <v>0</v>
      </c>
      <c r="EO35" s="365">
        <f>BT35*$H35</f>
        <v>0</v>
      </c>
      <c r="EP35" s="365">
        <f>BU35*$H35</f>
        <v>0</v>
      </c>
      <c r="EQ35" s="365">
        <f>BV35*$H35</f>
        <v>0</v>
      </c>
      <c r="ER35" s="365">
        <f>BY35*$I35</f>
        <v>0</v>
      </c>
      <c r="ES35" s="365">
        <f>BZ35*$I35</f>
        <v>0</v>
      </c>
      <c r="ET35" s="365">
        <f>CA35*$I35</f>
        <v>0</v>
      </c>
      <c r="EU35" s="365">
        <f>CB35*$I35</f>
        <v>0</v>
      </c>
      <c r="EV35" s="365">
        <f>CC35*$I35</f>
        <v>0</v>
      </c>
      <c r="EW35" s="365">
        <f>CF35*$J35</f>
        <v>0</v>
      </c>
      <c r="EX35" s="365">
        <f>CG35*$J35</f>
        <v>0</v>
      </c>
      <c r="EY35" s="365">
        <f>CH35*$J35</f>
        <v>0</v>
      </c>
      <c r="EZ35" s="365">
        <f>CI35*$J35</f>
        <v>0</v>
      </c>
      <c r="FA35" s="365">
        <f>CJ35*$J35</f>
        <v>0</v>
      </c>
      <c r="FB35" s="365">
        <f>CM35*$K35</f>
        <v>0</v>
      </c>
      <c r="FC35" s="365">
        <f>CN35*$K35</f>
        <v>0</v>
      </c>
      <c r="FD35" s="365">
        <f>CO35*$K35</f>
        <v>0</v>
      </c>
      <c r="FE35" s="365">
        <f>CP35*$K35</f>
        <v>0</v>
      </c>
      <c r="FF35" s="365">
        <f>CQ35*$K35</f>
        <v>0</v>
      </c>
      <c r="FG35" s="365">
        <f>CT35*$L35</f>
        <v>0</v>
      </c>
      <c r="FH35" s="365">
        <f>CU35*$L35</f>
        <v>0</v>
      </c>
      <c r="FI35" s="365">
        <f>CV35*$L35</f>
        <v>0</v>
      </c>
      <c r="FJ35" s="365">
        <f>CW35*$L35</f>
        <v>0</v>
      </c>
      <c r="FK35" s="365">
        <f>CX35*$L35</f>
        <v>0</v>
      </c>
      <c r="FL35" s="365">
        <f>DA35*$M35</f>
        <v>0</v>
      </c>
      <c r="FM35" s="365">
        <f t="shared" ref="FM35" si="23">DB35*$M35</f>
        <v>0</v>
      </c>
      <c r="FN35" s="365">
        <f>DC35*$M35</f>
        <v>0</v>
      </c>
      <c r="FO35" s="365">
        <f t="shared" ref="FO35" si="24">DD35*$M35</f>
        <v>0</v>
      </c>
      <c r="FP35" s="365">
        <f t="shared" ref="FP35" si="25">DE35*$M35</f>
        <v>0</v>
      </c>
    </row>
    <row r="36" spans="1:172" ht="21" customHeight="1" x14ac:dyDescent="0.3">
      <c r="A36" s="277" t="s">
        <v>238</v>
      </c>
      <c r="B36" s="278">
        <f>SUM(DI35:DM35)/100</f>
        <v>0</v>
      </c>
      <c r="C36" s="278">
        <f>SUM(DN35:DQ35)/100</f>
        <v>0</v>
      </c>
      <c r="D36" s="279">
        <f>SUM(DS35:DW35)/100</f>
        <v>0</v>
      </c>
      <c r="E36" s="279">
        <f>SUM(DX35:EB35)/100</f>
        <v>0</v>
      </c>
      <c r="F36" s="279">
        <f>SUM(EC35:EG35)/100</f>
        <v>0</v>
      </c>
      <c r="G36" s="279">
        <f>SUM(EH35:EL35)/100</f>
        <v>0</v>
      </c>
      <c r="H36" s="279">
        <f>SUM(EM35:EQ35)/100</f>
        <v>0</v>
      </c>
      <c r="I36" s="279">
        <f>SUM(ER35:EV35)/100</f>
        <v>0</v>
      </c>
      <c r="J36" s="279">
        <f>SUM(EW35:FA35)/100</f>
        <v>0</v>
      </c>
      <c r="K36" s="279">
        <f>SUM(FB35:FF35)/100</f>
        <v>0</v>
      </c>
      <c r="L36" s="279">
        <f>SUM(FG35:FK35)/100</f>
        <v>0</v>
      </c>
      <c r="M36" s="279">
        <f>SUM(FL35:FP35)/100</f>
        <v>0</v>
      </c>
      <c r="AG36" s="365"/>
      <c r="AH36" s="365"/>
      <c r="AI36" s="365"/>
      <c r="AJ36" s="365"/>
      <c r="AK36" s="365"/>
      <c r="AL36" s="365"/>
      <c r="AM36" s="365"/>
      <c r="AN36" s="365"/>
      <c r="AO36" s="365"/>
      <c r="AP36" s="365"/>
      <c r="AQ36" s="365"/>
      <c r="AR36" s="365"/>
      <c r="AS36" s="365"/>
      <c r="AT36" s="365"/>
      <c r="AU36" s="365"/>
      <c r="AV36" s="365"/>
      <c r="AW36" s="365"/>
      <c r="AX36" s="365"/>
      <c r="AY36" s="365"/>
      <c r="AZ36" s="365"/>
      <c r="BA36" s="365"/>
      <c r="BB36" s="365"/>
      <c r="BC36" s="365"/>
      <c r="BD36" s="365"/>
      <c r="BE36" s="365"/>
      <c r="BF36" s="365"/>
      <c r="BG36" s="365"/>
      <c r="BH36" s="365"/>
      <c r="BI36" s="365"/>
      <c r="BJ36" s="365"/>
      <c r="BK36" s="365"/>
      <c r="BL36" s="365"/>
      <c r="BM36" s="365"/>
      <c r="BN36" s="365"/>
      <c r="BO36" s="365"/>
      <c r="BP36" s="365"/>
      <c r="BQ36" s="365"/>
      <c r="BR36" s="365"/>
      <c r="BS36" s="365"/>
      <c r="BT36" s="365"/>
      <c r="BU36" s="365"/>
      <c r="BV36" s="365"/>
      <c r="BW36" s="365"/>
      <c r="BX36" s="365"/>
      <c r="BY36" s="365"/>
      <c r="BZ36" s="365"/>
      <c r="CA36" s="365"/>
      <c r="CB36" s="365"/>
      <c r="CC36" s="365"/>
      <c r="CD36" s="365"/>
      <c r="CE36" s="365"/>
      <c r="CF36" s="365"/>
      <c r="CG36" s="365"/>
      <c r="CH36" s="365"/>
      <c r="CI36" s="365"/>
      <c r="CJ36" s="365"/>
      <c r="CK36" s="365"/>
      <c r="CL36" s="365"/>
      <c r="CM36" s="365"/>
      <c r="CN36" s="365"/>
      <c r="CO36" s="365"/>
      <c r="CP36" s="365"/>
      <c r="CQ36" s="365"/>
      <c r="CR36" s="365"/>
      <c r="CS36" s="365"/>
      <c r="CT36" s="365"/>
      <c r="CU36" s="365"/>
      <c r="CV36" s="365"/>
      <c r="CW36" s="365"/>
      <c r="CX36" s="365"/>
      <c r="CY36" s="365"/>
      <c r="CZ36" s="365"/>
      <c r="DA36" s="365"/>
      <c r="DB36" s="365"/>
      <c r="DC36" s="365"/>
      <c r="DD36" s="365"/>
      <c r="DE36" s="365"/>
      <c r="DF36" s="365"/>
      <c r="DG36" s="365"/>
      <c r="DM36" s="365"/>
      <c r="DN36" s="365"/>
      <c r="DO36" s="365"/>
      <c r="DP36" s="365"/>
      <c r="DQ36" s="365"/>
      <c r="DR36" s="365"/>
      <c r="DS36" s="365"/>
      <c r="DT36" s="365"/>
      <c r="DU36" s="365"/>
      <c r="DV36" s="365"/>
      <c r="DW36" s="365"/>
      <c r="DX36" s="365"/>
      <c r="DY36" s="365"/>
      <c r="DZ36" s="365"/>
      <c r="EA36" s="365"/>
      <c r="EB36" s="365"/>
      <c r="EC36" s="365"/>
      <c r="ED36" s="365"/>
      <c r="EE36" s="365"/>
      <c r="EF36" s="365"/>
      <c r="EG36" s="365"/>
      <c r="EH36" s="365"/>
      <c r="EI36" s="365"/>
      <c r="EJ36" s="365"/>
      <c r="EK36" s="365"/>
      <c r="EL36" s="365"/>
      <c r="EM36" s="365"/>
      <c r="EN36" s="365"/>
      <c r="EO36" s="365"/>
      <c r="EP36" s="365"/>
      <c r="EQ36" s="365"/>
      <c r="ER36" s="365"/>
      <c r="ES36" s="365"/>
      <c r="ET36" s="365"/>
      <c r="EU36" s="365"/>
      <c r="EV36" s="365"/>
      <c r="EW36" s="365"/>
      <c r="EX36" s="365"/>
      <c r="EY36" s="365"/>
      <c r="EZ36" s="365"/>
      <c r="FA36" s="365"/>
      <c r="FB36" s="365"/>
      <c r="FC36" s="365"/>
      <c r="FD36" s="365"/>
      <c r="FE36" s="365"/>
      <c r="FF36" s="365"/>
      <c r="FG36" s="365"/>
      <c r="FH36" s="365"/>
      <c r="FI36" s="365"/>
      <c r="FJ36" s="365"/>
      <c r="FK36" s="365"/>
      <c r="FL36" s="365"/>
      <c r="FM36" s="365"/>
      <c r="FN36" s="365"/>
      <c r="FO36" s="365"/>
      <c r="FP36" s="365"/>
    </row>
    <row r="37" spans="1:172" ht="21" customHeight="1" x14ac:dyDescent="0.3">
      <c r="A37" s="150" t="s">
        <v>239</v>
      </c>
      <c r="B37" s="149" t="e">
        <f>SUM(DI35:DM35)/100/Lote_8</f>
        <v>#DIV/0!</v>
      </c>
      <c r="C37" s="149" t="e">
        <f>SUM(DN35:DQ35)/100/Lote_8</f>
        <v>#DIV/0!</v>
      </c>
      <c r="D37" s="149" t="e">
        <f>SUM(DS35:DW35)/100/Lote_8</f>
        <v>#DIV/0!</v>
      </c>
      <c r="E37" s="149" t="e">
        <f>SUM(DX35:EB35)/100/Lote_8</f>
        <v>#DIV/0!</v>
      </c>
      <c r="F37" s="149" t="e">
        <f>SUM(EC35:EG35)/100/Lote_8</f>
        <v>#DIV/0!</v>
      </c>
      <c r="G37" s="149" t="e">
        <f>SUM(EH35:EL35)/100/Lote_8</f>
        <v>#DIV/0!</v>
      </c>
      <c r="H37" s="149" t="e">
        <f>SUM(EM35:EQ35)/100/Lote_8</f>
        <v>#DIV/0!</v>
      </c>
      <c r="I37" s="149" t="e">
        <f>SUM(ER35:EV35)/100/Lote_8</f>
        <v>#DIV/0!</v>
      </c>
      <c r="J37" s="149" t="e">
        <f>SUM(EW35:FA35)/100/Lote_8</f>
        <v>#DIV/0!</v>
      </c>
      <c r="K37" s="149" t="e">
        <f>SUM(FB35:FF35)/100/Lote_8</f>
        <v>#DIV/0!</v>
      </c>
      <c r="L37" s="149" t="e">
        <f>SUM(FG35:FK35)/100/Lote_8</f>
        <v>#DIV/0!</v>
      </c>
      <c r="M37" s="149" t="e">
        <f>SUM(FL35:FP35)/100/Lote_8</f>
        <v>#DIV/0!</v>
      </c>
    </row>
    <row r="38" spans="1:172" ht="21" customHeight="1" x14ac:dyDescent="0.3">
      <c r="A38" s="233">
        <f>N_L9</f>
        <v>0</v>
      </c>
      <c r="B38" s="363" t="s">
        <v>37</v>
      </c>
      <c r="C38" s="363" t="s">
        <v>37</v>
      </c>
      <c r="D38" s="363" t="s">
        <v>37</v>
      </c>
      <c r="E38" s="363" t="s">
        <v>37</v>
      </c>
      <c r="F38" s="363" t="s">
        <v>37</v>
      </c>
      <c r="G38" s="363" t="s">
        <v>37</v>
      </c>
      <c r="H38" s="363" t="s">
        <v>37</v>
      </c>
      <c r="I38" s="363" t="s">
        <v>37</v>
      </c>
      <c r="J38" s="363" t="s">
        <v>37</v>
      </c>
      <c r="K38" s="363" t="s">
        <v>37</v>
      </c>
      <c r="L38" s="363" t="s">
        <v>37</v>
      </c>
      <c r="M38" s="363" t="s">
        <v>37</v>
      </c>
    </row>
    <row r="39" spans="1:172" ht="21" customHeight="1" x14ac:dyDescent="0.3">
      <c r="A39" s="4" t="s">
        <v>237</v>
      </c>
      <c r="B39" s="7"/>
      <c r="C39" s="275"/>
      <c r="D39" s="275"/>
      <c r="E39" s="275"/>
      <c r="F39" s="275"/>
      <c r="G39" s="275"/>
      <c r="H39" s="275"/>
      <c r="I39" s="275"/>
      <c r="J39" s="275"/>
      <c r="K39" s="275"/>
      <c r="L39" s="275"/>
      <c r="M39" s="275"/>
      <c r="O39" s="58">
        <f>Área_L9*D_L9*A1_L9</f>
        <v>0</v>
      </c>
      <c r="P39" s="58">
        <f>Área_L9*D_L9*A2_L9</f>
        <v>0</v>
      </c>
      <c r="Q39" s="58">
        <f>Área_L9*D_L9*A3_L9</f>
        <v>0</v>
      </c>
      <c r="R39" s="58">
        <f>Área_L9*D_L9*A4_L9</f>
        <v>0</v>
      </c>
      <c r="S39" s="58">
        <f>Área_L9*D_L9*A5_L9</f>
        <v>0</v>
      </c>
      <c r="T39" s="58">
        <f>Área_L9*D_L9*A6_L9</f>
        <v>0</v>
      </c>
      <c r="U39" s="58">
        <f>Área_L9*D_L9*A7_L9</f>
        <v>0</v>
      </c>
      <c r="V39" s="58">
        <f>Área_L9*D_L9*A8_L9</f>
        <v>0</v>
      </c>
      <c r="W39" s="58">
        <f>Área_L9*D_L9*A9_L9</f>
        <v>0</v>
      </c>
      <c r="X39" s="58">
        <f>Área_L9*D_L9*A10_L9</f>
        <v>0</v>
      </c>
      <c r="Y39" s="58">
        <f>Área_L9*D_L9*A11_L9</f>
        <v>0</v>
      </c>
      <c r="Z39" s="58">
        <f>Área_L9*D_L9*A12_L9</f>
        <v>0</v>
      </c>
      <c r="AB39" s="58">
        <f>IF($B38="Producción",IF($B39&gt;=LI_A,$O39,0),0)</f>
        <v>0</v>
      </c>
      <c r="AC39" s="58">
        <f>IF($B38="Producción",IF($B39&gt;=LI_B,IF($B39&lt;LS_B,$O39,0),0),0)</f>
        <v>0</v>
      </c>
      <c r="AD39" s="58">
        <f>IF($B38="Producción",IF($B39&gt;=LI_C,IF($B39&lt;LS_C,$O39,0),0),0)</f>
        <v>0</v>
      </c>
      <c r="AE39" s="58">
        <f>IF($B38="Producción",IF($B39&lt;=LS_D,$O39,0),0)</f>
        <v>0</v>
      </c>
      <c r="AF39" s="365">
        <f>IF($B38="Crecimiento",$O39,0)</f>
        <v>0</v>
      </c>
      <c r="AG39" s="365">
        <f>IF($B38="Siembra",$O39,0)</f>
        <v>0</v>
      </c>
      <c r="AH39" s="365">
        <f>IF($B38="Abandono",$O39,0)</f>
        <v>0</v>
      </c>
      <c r="AI39" s="365">
        <f>IF($C38="Producción",IF($C39&gt;=LI_A,$P39,0),0)</f>
        <v>0</v>
      </c>
      <c r="AJ39" s="365">
        <f>IF($C38="Producción",IF($C39&gt;=LI_B,IF($C39&lt;LS_B,$P39,0),0),0)</f>
        <v>0</v>
      </c>
      <c r="AK39" s="365">
        <f>IF($C38="Producción",IF($C39&gt;=LI_C,IF($C39&lt;LS_C,$P39,0),0),0)</f>
        <v>0</v>
      </c>
      <c r="AL39" s="365">
        <f>IF($C38="Producción",IF(C39&lt;=LS_D,$P39,0),0)</f>
        <v>0</v>
      </c>
      <c r="AM39" s="365">
        <f>IF($C38="Crecimiento",$P39,0)</f>
        <v>0</v>
      </c>
      <c r="AN39" s="365">
        <f>IF($C38="Siembra",$P39,0)</f>
        <v>0</v>
      </c>
      <c r="AO39" s="365">
        <f>IF($C38="Abandono",$P39,0)</f>
        <v>0</v>
      </c>
      <c r="AP39" s="365">
        <f>IF($D38="Producción",IF($D39&gt;=LI_A,$Q39,0),0)</f>
        <v>0</v>
      </c>
      <c r="AQ39" s="365">
        <f>IF($D38="Producción",IF($D39&gt;=LI_B,IF($D39&lt;LS_B,$Q39,0),0),0)</f>
        <v>0</v>
      </c>
      <c r="AR39" s="365">
        <f>IF($D38="Producción",IF($D39&gt;=LI_C,IF($D39&lt;LS_C,$Q39,0),0),0)</f>
        <v>0</v>
      </c>
      <c r="AS39" s="365">
        <f>IF($D38="Producción",IF($D39&lt;=LS_D,$Q39,0),0)</f>
        <v>0</v>
      </c>
      <c r="AT39" s="365">
        <f>IF($D38="Crecimiento",$Q39,0)</f>
        <v>0</v>
      </c>
      <c r="AU39" s="365">
        <f>IF($D38="Siembra",$Q39,0)</f>
        <v>0</v>
      </c>
      <c r="AV39" s="365">
        <f>IF($D38="Abandono",$Q39,0)</f>
        <v>0</v>
      </c>
      <c r="AW39" s="365">
        <f>IF($E38="Producción",IF($E39&gt;=LI_A,$R39,0),0)</f>
        <v>0</v>
      </c>
      <c r="AX39" s="365">
        <f>IF($E38="Producción",IF($E39&gt;=LI_B,IF($E39&lt;LS_B,$R39,0),0),0)</f>
        <v>0</v>
      </c>
      <c r="AY39" s="365">
        <f>IF($E38="Producción",IF($E39&gt;=LI_C,IF($E39&lt;LS_C,$R39,0),0),0)</f>
        <v>0</v>
      </c>
      <c r="AZ39" s="365">
        <f>IF($E38="Producción",IF($E39&lt;=LS_D,$R39,0),0)</f>
        <v>0</v>
      </c>
      <c r="BA39" s="365">
        <f>IF($E38="Crecimiento",$R39,0)</f>
        <v>0</v>
      </c>
      <c r="BB39" s="365">
        <f>IF($E38="Siembra",$R39,0)</f>
        <v>0</v>
      </c>
      <c r="BC39" s="365">
        <f>IF($E38="Abandono",$R39,0)</f>
        <v>0</v>
      </c>
      <c r="BD39" s="365">
        <f>IF($F38="Producción",IF($F39&gt;=LI_A,$S39,0),0)</f>
        <v>0</v>
      </c>
      <c r="BE39" s="365">
        <f>IF($F38="Producción",IF($F39&gt;=LI_B,IF($F39&lt;LS_B,$S39,0),0),0)</f>
        <v>0</v>
      </c>
      <c r="BF39" s="365">
        <f>IF($F38="Producción",IF($F39&gt;=LI_C,IF($F39&lt;LS_C,$S39,0),0),0)</f>
        <v>0</v>
      </c>
      <c r="BG39" s="365">
        <f>IF($F38="Producción",IF($F39&lt;=LS_D,$S39,0),0)</f>
        <v>0</v>
      </c>
      <c r="BH39" s="365">
        <f>IF($F38="Crecimiento",$S39,0)</f>
        <v>0</v>
      </c>
      <c r="BI39" s="365">
        <f>IF($F38="Siembra",$S39,0)</f>
        <v>0</v>
      </c>
      <c r="BJ39" s="365">
        <f>IF($F38="Abandono",$S39,0)</f>
        <v>0</v>
      </c>
      <c r="BK39" s="365">
        <f>IF($G38="Producción",IF($G39&gt;=LI_A,$T39,0),0)</f>
        <v>0</v>
      </c>
      <c r="BL39" s="365">
        <f>IF($G38="Producción",IF($G39&gt;=LI_B,IF($G39&lt;LS_B,$T39,0),0),0)</f>
        <v>0</v>
      </c>
      <c r="BM39" s="365">
        <f>IF($G38="Producción",IF($G39&gt;=LI_C,IF($G39&lt;LS_C,$T39,0),0),0)</f>
        <v>0</v>
      </c>
      <c r="BN39" s="365">
        <f>IF($G38="Producción",IF($G39&lt;=LS_D,$T39,0),0)</f>
        <v>0</v>
      </c>
      <c r="BO39" s="365">
        <f>IF($G38="Crecimiento",$T39,0)</f>
        <v>0</v>
      </c>
      <c r="BP39" s="365">
        <f>IF($G38="Siembra",$T39,0)</f>
        <v>0</v>
      </c>
      <c r="BQ39" s="365">
        <f>IF($G38="Abandono",$T39,0)</f>
        <v>0</v>
      </c>
      <c r="BR39" s="365">
        <f>IF($H38="Producción",IF($H39&gt;=LI_A,$U39,0),0)</f>
        <v>0</v>
      </c>
      <c r="BS39" s="365">
        <f>IF($H38="Producción",IF($H39&gt;=LI_B,IF($H39&lt;LS_B,$U39,0),0),0)</f>
        <v>0</v>
      </c>
      <c r="BT39" s="365">
        <f>IF($H38="Producción",IF($H39&gt;=LI_C,IF($H39&lt;LS_C,$U39,0),0),0)</f>
        <v>0</v>
      </c>
      <c r="BU39" s="365">
        <f>IF($H38="Producción",IF($H39&lt;=LS_D,$U39,0),0)</f>
        <v>0</v>
      </c>
      <c r="BV39" s="365">
        <f>IF($H38="Crecimiento",$U39,0)</f>
        <v>0</v>
      </c>
      <c r="BW39" s="365">
        <f>IF($H38="Siembra",$U39,0)</f>
        <v>0</v>
      </c>
      <c r="BX39" s="365">
        <f>IF($H38="Abandono",$U39,0)</f>
        <v>0</v>
      </c>
      <c r="BY39" s="365">
        <f>IF($I38="Producción",IF($I39&gt;=LI_A,$V39,0),0)</f>
        <v>0</v>
      </c>
      <c r="BZ39" s="365">
        <f>IF($I38="Producción",IF($I39&gt;=LI_B,IF($I39&lt;LS_B,$V39,0),0),0)</f>
        <v>0</v>
      </c>
      <c r="CA39" s="365">
        <f>IF($I38="Producción",IF($I39&gt;=LI_C,IF($I39&lt;LS_C,$V39,0),0),0)</f>
        <v>0</v>
      </c>
      <c r="CB39" s="365">
        <f>IF($I38="Producción",IF($I39&lt;=LS_D,$V39,0),0)</f>
        <v>0</v>
      </c>
      <c r="CC39" s="365">
        <f>IF($I38="Crecimiento",$V39,0)</f>
        <v>0</v>
      </c>
      <c r="CD39" s="365">
        <f>IF($I38="Siembra",$V39,0)</f>
        <v>0</v>
      </c>
      <c r="CE39" s="365">
        <f>IF($I38="Abandono",$V39,0)</f>
        <v>0</v>
      </c>
      <c r="CF39" s="365">
        <f>IF($J38="Producción",IF($J39&gt;=LI_A,$W39,0),0)</f>
        <v>0</v>
      </c>
      <c r="CG39" s="365">
        <f>IF($J38="Producción",IF($J39&gt;=LI_B,IF($J39&lt;LS_B,$W39,0),0),0)</f>
        <v>0</v>
      </c>
      <c r="CH39" s="365">
        <f>IF($J38="Producción",IF($J39&gt;=LI_C,IF($J39&lt;LS_C,$W39,0),0),0)</f>
        <v>0</v>
      </c>
      <c r="CI39" s="365">
        <f>IF($J38="Producción",IF($J39&lt;=LS_D,$W39,0),0)</f>
        <v>0</v>
      </c>
      <c r="CJ39" s="365">
        <f>IF($J38="Crecimiento",$W39,0)</f>
        <v>0</v>
      </c>
      <c r="CK39" s="365">
        <f>IF($J38="Siembra",$W39,0)</f>
        <v>0</v>
      </c>
      <c r="CL39" s="365">
        <f>IF($J38="Abandono",$W39,0)</f>
        <v>0</v>
      </c>
      <c r="CM39" s="365">
        <f>IF($K38="Producción",IF($K39&gt;=LI_A,$X39,0),0)</f>
        <v>0</v>
      </c>
      <c r="CN39" s="365">
        <f>IF($K38="Producción",IF($K39&gt;=LI_B,IF($K39&lt;LS_B,$X39,0),0),0)</f>
        <v>0</v>
      </c>
      <c r="CO39" s="365">
        <f>IF($K38="Producción",IF($K39&gt;=LI_C,IF($K39&lt;LS_C,$X39,0),0),0)</f>
        <v>0</v>
      </c>
      <c r="CP39" s="365">
        <f>IF($K38="Producción",IF($K39&lt;=LS_D,$X39,0),0)</f>
        <v>0</v>
      </c>
      <c r="CQ39" s="365">
        <f>IF($K38="Crecimiento",IF($K39&gt;0,$X39,0),0)</f>
        <v>0</v>
      </c>
      <c r="CR39" s="365">
        <f>IF($K38="Siembra",IF($K39&gt;0,$X39,0),0)</f>
        <v>0</v>
      </c>
      <c r="CS39" s="365">
        <f>IF($K38="Abandono",IF($K39&gt;0,$X39,0),0)</f>
        <v>0</v>
      </c>
      <c r="CT39" s="365">
        <f>IF($L38="Producción",IF($L39&gt;=LI_A,$Y39,0),0)</f>
        <v>0</v>
      </c>
      <c r="CU39" s="365">
        <f>IF($L38="Producción",IF($L39&gt;=LI_B,IF($L39&lt;LS_B,$Y39,0),0),0)</f>
        <v>0</v>
      </c>
      <c r="CV39" s="365">
        <f>IF($L38="Producción",IF($L39&gt;=LI_C,IF($L39&lt;LS_C,$Y39,0),0),0)</f>
        <v>0</v>
      </c>
      <c r="CW39" s="365">
        <f>IF($L38="Producción",IF($L39&lt;=LS_D,$Y39,0),0)</f>
        <v>0</v>
      </c>
      <c r="CX39" s="365">
        <f>IF($L38="Crecimiento",$Y39,0)</f>
        <v>0</v>
      </c>
      <c r="CY39" s="365">
        <f>IF($L38="Siembra",$Y39,0)</f>
        <v>0</v>
      </c>
      <c r="CZ39" s="365">
        <f>IF($L38="Abandono",$Y39,0)</f>
        <v>0</v>
      </c>
      <c r="DA39" s="365">
        <f>IF($M38="Producción",IF($M39&gt;=LI_A,$Z39,0),0)</f>
        <v>0</v>
      </c>
      <c r="DB39" s="365">
        <f>IF($M38="Producción",IF($M39&gt;=LI_B,IF($M39&lt;LS_B,$Z39,0),0),0)</f>
        <v>0</v>
      </c>
      <c r="DC39" s="365">
        <f>IF($M38="Producción",IF($M39&gt;=LI_C,IF($M39&lt;LS_C,$Z39,0),0),0)</f>
        <v>0</v>
      </c>
      <c r="DD39" s="365">
        <f>IF($M38="Producción",IF($M39&lt;=LS_D,$Z39,0),0)</f>
        <v>0</v>
      </c>
      <c r="DE39" s="365">
        <f>IF($M38="Crecimiento",$Z39,0)</f>
        <v>0</v>
      </c>
      <c r="DF39" s="365">
        <f>IF($M38="Siembra",$Z39,0)</f>
        <v>0</v>
      </c>
      <c r="DG39" s="365">
        <f>IF($M38="Abandono",$Z39,0)</f>
        <v>0</v>
      </c>
      <c r="DI39" s="58">
        <f>AB39*$B39</f>
        <v>0</v>
      </c>
      <c r="DJ39" s="58">
        <f>AC39*$B39</f>
        <v>0</v>
      </c>
      <c r="DK39" s="58">
        <f>AD39*$B39</f>
        <v>0</v>
      </c>
      <c r="DL39" s="58">
        <f>AE39*$B39</f>
        <v>0</v>
      </c>
      <c r="DM39" s="365">
        <f>AF39*$B39</f>
        <v>0</v>
      </c>
      <c r="DN39" s="365">
        <f>AI39*$C39</f>
        <v>0</v>
      </c>
      <c r="DO39" s="365">
        <f>AJ39*$C39</f>
        <v>0</v>
      </c>
      <c r="DP39" s="365">
        <f>AK39*$C39</f>
        <v>0</v>
      </c>
      <c r="DQ39" s="365">
        <f>AL39*$C39</f>
        <v>0</v>
      </c>
      <c r="DR39" s="365">
        <f>AM39*$C39</f>
        <v>0</v>
      </c>
      <c r="DS39" s="365">
        <f>AP39*$D39</f>
        <v>0</v>
      </c>
      <c r="DT39" s="365">
        <f>AQ39*$D39</f>
        <v>0</v>
      </c>
      <c r="DU39" s="365">
        <f>AR39*$D39</f>
        <v>0</v>
      </c>
      <c r="DV39" s="365">
        <f>AS39*$D39</f>
        <v>0</v>
      </c>
      <c r="DW39" s="365">
        <f>AT39*$D39</f>
        <v>0</v>
      </c>
      <c r="DX39" s="365">
        <f>AW39*$E39</f>
        <v>0</v>
      </c>
      <c r="DY39" s="365">
        <f>AX39*$E39</f>
        <v>0</v>
      </c>
      <c r="DZ39" s="365">
        <f>AY39*$E39</f>
        <v>0</v>
      </c>
      <c r="EA39" s="365">
        <f>AZ39*$E39</f>
        <v>0</v>
      </c>
      <c r="EB39" s="365">
        <f>BA39*$E39</f>
        <v>0</v>
      </c>
      <c r="EC39" s="365">
        <f>BD39*$F39</f>
        <v>0</v>
      </c>
      <c r="ED39" s="365">
        <f>BE39*$F39</f>
        <v>0</v>
      </c>
      <c r="EE39" s="365">
        <f>BF39*$F39</f>
        <v>0</v>
      </c>
      <c r="EF39" s="365">
        <f>BG39*$F39</f>
        <v>0</v>
      </c>
      <c r="EG39" s="365">
        <f>BH39*$F39</f>
        <v>0</v>
      </c>
      <c r="EH39" s="365">
        <f>BK39*$G39</f>
        <v>0</v>
      </c>
      <c r="EI39" s="365">
        <f>BL39*$G39</f>
        <v>0</v>
      </c>
      <c r="EJ39" s="365">
        <f>BM39*$G39</f>
        <v>0</v>
      </c>
      <c r="EK39" s="365">
        <f>BN39*$G39</f>
        <v>0</v>
      </c>
      <c r="EL39" s="365">
        <f>BO39*$G39</f>
        <v>0</v>
      </c>
      <c r="EM39" s="365">
        <f>BR39*$H39</f>
        <v>0</v>
      </c>
      <c r="EN39" s="365">
        <f>BS39*$H39</f>
        <v>0</v>
      </c>
      <c r="EO39" s="365">
        <f>BT39*$H39</f>
        <v>0</v>
      </c>
      <c r="EP39" s="365">
        <f>BU39*$H39</f>
        <v>0</v>
      </c>
      <c r="EQ39" s="365">
        <f>BV39*$H39</f>
        <v>0</v>
      </c>
      <c r="ER39" s="365">
        <f>BY39*$I39</f>
        <v>0</v>
      </c>
      <c r="ES39" s="365">
        <f>BZ39*$I39</f>
        <v>0</v>
      </c>
      <c r="ET39" s="365">
        <f>CA39*$I39</f>
        <v>0</v>
      </c>
      <c r="EU39" s="365">
        <f>CB39*$I39</f>
        <v>0</v>
      </c>
      <c r="EV39" s="365">
        <f>CC39*$I39</f>
        <v>0</v>
      </c>
      <c r="EW39" s="365">
        <f>CF39*$J39</f>
        <v>0</v>
      </c>
      <c r="EX39" s="365">
        <f>CG39*$J39</f>
        <v>0</v>
      </c>
      <c r="EY39" s="365">
        <f>CH39*$J39</f>
        <v>0</v>
      </c>
      <c r="EZ39" s="365">
        <f>CI39*$J39</f>
        <v>0</v>
      </c>
      <c r="FA39" s="365">
        <f>CJ39*$J39</f>
        <v>0</v>
      </c>
      <c r="FB39" s="365">
        <f>CM39*$K39</f>
        <v>0</v>
      </c>
      <c r="FC39" s="365">
        <f>CN39*$K39</f>
        <v>0</v>
      </c>
      <c r="FD39" s="365">
        <f>CO39*$K39</f>
        <v>0</v>
      </c>
      <c r="FE39" s="365">
        <f>CP39*$K39</f>
        <v>0</v>
      </c>
      <c r="FF39" s="365">
        <f>CQ39*$K39</f>
        <v>0</v>
      </c>
      <c r="FG39" s="365">
        <f>CT39*$L39</f>
        <v>0</v>
      </c>
      <c r="FH39" s="365">
        <f>CU39*$L39</f>
        <v>0</v>
      </c>
      <c r="FI39" s="365">
        <f>CV39*$L39</f>
        <v>0</v>
      </c>
      <c r="FJ39" s="365">
        <f>CW39*$L39</f>
        <v>0</v>
      </c>
      <c r="FK39" s="365">
        <f>CX39*$L39</f>
        <v>0</v>
      </c>
      <c r="FL39" s="365">
        <f>DA39*$M39</f>
        <v>0</v>
      </c>
      <c r="FM39" s="365">
        <f t="shared" ref="FM39" si="26">DB39*$M39</f>
        <v>0</v>
      </c>
      <c r="FN39" s="365">
        <f>DC39*$M39</f>
        <v>0</v>
      </c>
      <c r="FO39" s="365">
        <f t="shared" ref="FO39" si="27">DD39*$M39</f>
        <v>0</v>
      </c>
      <c r="FP39" s="365">
        <f t="shared" ref="FP39" si="28">DE39*$M39</f>
        <v>0</v>
      </c>
    </row>
    <row r="40" spans="1:172" ht="21" customHeight="1" x14ac:dyDescent="0.3">
      <c r="A40" s="277" t="s">
        <v>238</v>
      </c>
      <c r="B40" s="278">
        <f>SUM(DI39:DM39)/100</f>
        <v>0</v>
      </c>
      <c r="C40" s="278">
        <f>SUM(DN39:DQ39)/100</f>
        <v>0</v>
      </c>
      <c r="D40" s="279">
        <f>SUM(DS39:DW39)/100</f>
        <v>0</v>
      </c>
      <c r="E40" s="279">
        <f>SUM(DX39:EB39)/100</f>
        <v>0</v>
      </c>
      <c r="F40" s="279">
        <f>SUM(EC39:EG39)/100</f>
        <v>0</v>
      </c>
      <c r="G40" s="279">
        <f>SUM(EH39:EL39)/100</f>
        <v>0</v>
      </c>
      <c r="H40" s="279">
        <f>SUM(EM39:EQ39)/100</f>
        <v>0</v>
      </c>
      <c r="I40" s="279">
        <f>SUM(ER39:EV39)/100</f>
        <v>0</v>
      </c>
      <c r="J40" s="279">
        <f>SUM(EW39:FA39)/100</f>
        <v>0</v>
      </c>
      <c r="K40" s="279">
        <f>SUM(FB39:FF39)/100</f>
        <v>0</v>
      </c>
      <c r="L40" s="279">
        <f>SUM(FG39:FK39)/100</f>
        <v>0</v>
      </c>
      <c r="M40" s="279">
        <f>SUM(FL39:FP39)/100</f>
        <v>0</v>
      </c>
      <c r="AG40" s="365"/>
      <c r="AH40" s="365"/>
      <c r="AI40" s="365"/>
      <c r="AJ40" s="365"/>
      <c r="AK40" s="365"/>
      <c r="AL40" s="365"/>
      <c r="AM40" s="365"/>
      <c r="AN40" s="365"/>
      <c r="AO40" s="365"/>
      <c r="AP40" s="365"/>
      <c r="AQ40" s="365"/>
      <c r="AR40" s="365"/>
      <c r="AS40" s="365"/>
      <c r="AT40" s="365"/>
      <c r="AU40" s="365"/>
      <c r="AV40" s="365"/>
      <c r="AW40" s="365"/>
      <c r="AX40" s="365"/>
      <c r="AY40" s="365"/>
      <c r="AZ40" s="365"/>
      <c r="BA40" s="365"/>
      <c r="BB40" s="365"/>
      <c r="BC40" s="365"/>
      <c r="BD40" s="365"/>
      <c r="BE40" s="365"/>
      <c r="BF40" s="365"/>
      <c r="BG40" s="365"/>
      <c r="BH40" s="365"/>
      <c r="BI40" s="365"/>
      <c r="BJ40" s="365"/>
      <c r="BK40" s="365"/>
      <c r="BL40" s="365"/>
      <c r="BM40" s="365"/>
      <c r="BN40" s="365"/>
      <c r="BO40" s="365"/>
      <c r="BP40" s="365"/>
      <c r="BQ40" s="365"/>
      <c r="BR40" s="365"/>
      <c r="BS40" s="365"/>
      <c r="BT40" s="365"/>
      <c r="BU40" s="365"/>
      <c r="BV40" s="365"/>
      <c r="BW40" s="365"/>
      <c r="BX40" s="365"/>
      <c r="BY40" s="365"/>
      <c r="BZ40" s="365"/>
      <c r="CA40" s="365"/>
      <c r="CB40" s="365"/>
      <c r="CC40" s="365"/>
      <c r="CD40" s="365"/>
      <c r="CE40" s="365"/>
      <c r="CF40" s="365"/>
      <c r="CG40" s="365"/>
      <c r="CH40" s="365"/>
      <c r="CI40" s="365"/>
      <c r="CJ40" s="365"/>
      <c r="CK40" s="365"/>
      <c r="CL40" s="365"/>
      <c r="CM40" s="365"/>
      <c r="CN40" s="365"/>
      <c r="CO40" s="365"/>
      <c r="CP40" s="365"/>
      <c r="CQ40" s="365"/>
      <c r="CR40" s="365"/>
      <c r="CS40" s="365"/>
      <c r="CT40" s="365"/>
      <c r="CU40" s="365"/>
      <c r="CV40" s="365"/>
      <c r="CW40" s="365"/>
      <c r="CX40" s="365"/>
      <c r="CY40" s="365"/>
      <c r="CZ40" s="365"/>
      <c r="DA40" s="365"/>
      <c r="DB40" s="365"/>
      <c r="DC40" s="365"/>
      <c r="DD40" s="365"/>
      <c r="DE40" s="365"/>
      <c r="DF40" s="365"/>
      <c r="DG40" s="365"/>
      <c r="DM40" s="365"/>
      <c r="DN40" s="365"/>
      <c r="DO40" s="365"/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A40" s="365"/>
      <c r="EB40" s="365"/>
      <c r="EC40" s="365"/>
      <c r="ED40" s="365"/>
      <c r="EE40" s="365"/>
      <c r="EF40" s="365"/>
      <c r="EG40" s="365"/>
      <c r="EH40" s="365"/>
      <c r="EI40" s="365"/>
      <c r="EJ40" s="365"/>
      <c r="EK40" s="365"/>
      <c r="EL40" s="365"/>
      <c r="EM40" s="365"/>
      <c r="EN40" s="365"/>
      <c r="EO40" s="365"/>
      <c r="EP40" s="365"/>
      <c r="EQ40" s="365"/>
      <c r="ER40" s="365"/>
      <c r="ES40" s="365"/>
      <c r="ET40" s="365"/>
      <c r="EU40" s="365"/>
      <c r="EV40" s="365"/>
      <c r="EW40" s="365"/>
      <c r="EX40" s="365"/>
      <c r="EY40" s="365"/>
      <c r="EZ40" s="365"/>
      <c r="FA40" s="365"/>
      <c r="FB40" s="365"/>
      <c r="FC40" s="365"/>
      <c r="FD40" s="365"/>
      <c r="FE40" s="365"/>
      <c r="FF40" s="365"/>
      <c r="FG40" s="365"/>
      <c r="FH40" s="365"/>
      <c r="FI40" s="365"/>
      <c r="FJ40" s="365"/>
      <c r="FK40" s="365"/>
      <c r="FL40" s="365"/>
      <c r="FM40" s="365"/>
      <c r="FN40" s="365"/>
      <c r="FO40" s="365"/>
      <c r="FP40" s="365"/>
    </row>
    <row r="41" spans="1:172" ht="21" customHeight="1" x14ac:dyDescent="0.3">
      <c r="A41" s="150" t="s">
        <v>239</v>
      </c>
      <c r="B41" s="149" t="e">
        <f>SUM(DI39:DM39)/100/Lote_9</f>
        <v>#DIV/0!</v>
      </c>
      <c r="C41" s="149" t="e">
        <f>SUM(DN39:DQ39)/100/Lote_9</f>
        <v>#DIV/0!</v>
      </c>
      <c r="D41" s="149" t="e">
        <f>SUM(DS39:DW39)/100/Lote_9</f>
        <v>#DIV/0!</v>
      </c>
      <c r="E41" s="149" t="e">
        <f>SUM(DX39:EB39)/100/Lote_9</f>
        <v>#DIV/0!</v>
      </c>
      <c r="F41" s="149" t="e">
        <f>SUM(EC39:EG39)/100/Lote_9</f>
        <v>#DIV/0!</v>
      </c>
      <c r="G41" s="149" t="e">
        <f>SUM(EH39:EL39)/100/Lote_9</f>
        <v>#DIV/0!</v>
      </c>
      <c r="H41" s="149" t="e">
        <f>SUM(EM39:EQ39)/100/Lote_9</f>
        <v>#DIV/0!</v>
      </c>
      <c r="I41" s="149" t="e">
        <f>SUM(ER39:EV39)/100/Lote_9</f>
        <v>#DIV/0!</v>
      </c>
      <c r="J41" s="149" t="e">
        <f>SUM(EW39:FA39)/100/Lote_9</f>
        <v>#DIV/0!</v>
      </c>
      <c r="K41" s="149" t="e">
        <f>SUM(FB39:FF39)/100/Lote_9</f>
        <v>#DIV/0!</v>
      </c>
      <c r="L41" s="149" t="e">
        <f>SUM(FG39:FK39)/100/Lote_9</f>
        <v>#DIV/0!</v>
      </c>
      <c r="M41" s="149" t="e">
        <f>SUM(FL39:FP39)/100/Lote_9</f>
        <v>#DIV/0!</v>
      </c>
    </row>
    <row r="42" spans="1:172" ht="21" customHeight="1" x14ac:dyDescent="0.3">
      <c r="A42" s="233">
        <f>N_L10</f>
        <v>0</v>
      </c>
      <c r="B42" s="363" t="s">
        <v>37</v>
      </c>
      <c r="C42" s="363" t="s">
        <v>37</v>
      </c>
      <c r="D42" s="363" t="s">
        <v>37</v>
      </c>
      <c r="E42" s="363" t="s">
        <v>37</v>
      </c>
      <c r="F42" s="363" t="s">
        <v>37</v>
      </c>
      <c r="G42" s="363" t="s">
        <v>37</v>
      </c>
      <c r="H42" s="363" t="s">
        <v>37</v>
      </c>
      <c r="I42" s="363" t="s">
        <v>37</v>
      </c>
      <c r="J42" s="363" t="s">
        <v>37</v>
      </c>
      <c r="K42" s="363" t="s">
        <v>37</v>
      </c>
      <c r="L42" s="363" t="s">
        <v>37</v>
      </c>
      <c r="M42" s="363" t="s">
        <v>37</v>
      </c>
    </row>
    <row r="43" spans="1:172" ht="21" customHeight="1" x14ac:dyDescent="0.3">
      <c r="A43" s="4" t="s">
        <v>237</v>
      </c>
      <c r="B43" s="7"/>
      <c r="C43" s="275"/>
      <c r="D43" s="275"/>
      <c r="E43" s="275"/>
      <c r="F43" s="275"/>
      <c r="G43" s="275"/>
      <c r="H43" s="275"/>
      <c r="I43" s="275"/>
      <c r="J43" s="275"/>
      <c r="K43" s="275"/>
      <c r="L43" s="275"/>
      <c r="M43" s="275"/>
      <c r="O43" s="58">
        <f>Área_L10*D_L10*A1_L10</f>
        <v>0</v>
      </c>
      <c r="P43" s="58">
        <f>Área_L10*D_L10*A2_L10</f>
        <v>0</v>
      </c>
      <c r="Q43" s="58">
        <f>Área_L10*D_L10*A3_L10</f>
        <v>0</v>
      </c>
      <c r="R43" s="58">
        <f>Área_L10*D_L10*A4_L10</f>
        <v>0</v>
      </c>
      <c r="S43" s="58">
        <f>Área_L10*D_L10*A5_L10</f>
        <v>0</v>
      </c>
      <c r="T43" s="58">
        <f>Área_L10*D_L10*A6_L10</f>
        <v>0</v>
      </c>
      <c r="U43" s="58">
        <f>Área_L10*D_L10*A7_L10</f>
        <v>0</v>
      </c>
      <c r="V43" s="58">
        <f>Área_L10*D_L10*A8_L10</f>
        <v>0</v>
      </c>
      <c r="W43" s="58">
        <f>Área_L10*D_L10*A9_L10</f>
        <v>0</v>
      </c>
      <c r="X43" s="58">
        <f>Área_L10*D_L10*A10_L10</f>
        <v>0</v>
      </c>
      <c r="Y43" s="58">
        <f>Área_L10*D_L10*A11_L10</f>
        <v>0</v>
      </c>
      <c r="Z43" s="58">
        <f>Área_L10*D_L10*A12_L10</f>
        <v>0</v>
      </c>
      <c r="AB43" s="58">
        <f>IF($B42="Producción",IF($B43&gt;=LI_A,$O43,0),0)</f>
        <v>0</v>
      </c>
      <c r="AC43" s="58">
        <f>IF($B42="Producción",IF($B43&gt;=LI_B,IF($B43&lt;LS_B,$O43,0),0),0)</f>
        <v>0</v>
      </c>
      <c r="AD43" s="58">
        <f>IF($B42="Producción",IF($B43&gt;=LI_C,IF($B43&lt;LS_C,$O43,0),0),0)</f>
        <v>0</v>
      </c>
      <c r="AE43" s="58">
        <f>IF($B42="Producción",IF($B43&lt;=LS_D,$O43,0),0)</f>
        <v>0</v>
      </c>
      <c r="AF43" s="365">
        <f>IF($B42="Crecimiento",$O43,0)</f>
        <v>0</v>
      </c>
      <c r="AG43" s="365">
        <f>IF($B42="Siembra",$O43,0)</f>
        <v>0</v>
      </c>
      <c r="AH43" s="365">
        <f>IF($B42="Abandono",$O43,0)</f>
        <v>0</v>
      </c>
      <c r="AI43" s="365">
        <f>IF($C42="Producción",IF($C43&gt;=LI_A,$P43,0),0)</f>
        <v>0</v>
      </c>
      <c r="AJ43" s="365">
        <f>IF($C42="Producción",IF($C43&gt;=LI_B,IF($C43&lt;LS_B,$P43,0),0),0)</f>
        <v>0</v>
      </c>
      <c r="AK43" s="365">
        <f>IF($C42="Producción",IF($C43&gt;=LI_C,IF($C43&lt;LS_C,$P43,0),0),0)</f>
        <v>0</v>
      </c>
      <c r="AL43" s="365">
        <f>IF($C42="Producción",IF(C43&lt;=LS_D,$P43,0),0)</f>
        <v>0</v>
      </c>
      <c r="AM43" s="365">
        <f>IF($C42="Crecimiento",$P43,0)</f>
        <v>0</v>
      </c>
      <c r="AN43" s="365">
        <f>IF($C42="Siembra",$P43,0)</f>
        <v>0</v>
      </c>
      <c r="AO43" s="365">
        <f>IF($C42="Abandono",$P43,0)</f>
        <v>0</v>
      </c>
      <c r="AP43" s="365">
        <f>IF($D42="Producción",IF($D43&gt;=LI_A,$Q43,0),0)</f>
        <v>0</v>
      </c>
      <c r="AQ43" s="365">
        <f>IF($D42="Producción",IF($D43&gt;=LI_B,IF($D43&lt;LS_B,$Q43,0),0),0)</f>
        <v>0</v>
      </c>
      <c r="AR43" s="365">
        <f>IF($D42="Producción",IF($D43&gt;=LI_C,IF($D43&lt;LS_C,$Q43,0),0),0)</f>
        <v>0</v>
      </c>
      <c r="AS43" s="365">
        <f>IF($D42="Producción",IF($D43&lt;=LS_D,$Q43,0),0)</f>
        <v>0</v>
      </c>
      <c r="AT43" s="365">
        <f>IF($D42="Crecimiento",$Q43,0)</f>
        <v>0</v>
      </c>
      <c r="AU43" s="365">
        <f>IF($D42="Siembra",$Q43,0)</f>
        <v>0</v>
      </c>
      <c r="AV43" s="365">
        <f>IF($D42="Abandono",$Q43,0)</f>
        <v>0</v>
      </c>
      <c r="AW43" s="365">
        <f>IF($E42="Producción",IF($E43&gt;=LI_A,$R43,0),0)</f>
        <v>0</v>
      </c>
      <c r="AX43" s="365">
        <f>IF($E42="Producción",IF($E43&gt;=LI_B,IF($E43&lt;LS_B,$R43,0),0),0)</f>
        <v>0</v>
      </c>
      <c r="AY43" s="365">
        <f>IF($E42="Producción",IF($E43&gt;=LI_C,IF($E43&lt;LS_C,$R43,0),0),0)</f>
        <v>0</v>
      </c>
      <c r="AZ43" s="365">
        <f>IF($E42="Producción",IF($E43&lt;=LS_D,$R43,0),0)</f>
        <v>0</v>
      </c>
      <c r="BA43" s="365">
        <f>IF($E42="Crecimiento",$R43,0)</f>
        <v>0</v>
      </c>
      <c r="BB43" s="365">
        <f>IF($E42="Siembra",$R43,0)</f>
        <v>0</v>
      </c>
      <c r="BC43" s="365">
        <f>IF($E42="Abandono",$R43,0)</f>
        <v>0</v>
      </c>
      <c r="BD43" s="365">
        <f>IF($F42="Producción",IF($F43&gt;=LI_A,$S43,0),0)</f>
        <v>0</v>
      </c>
      <c r="BE43" s="365">
        <f>IF($F42="Producción",IF($F43&gt;=LI_B,IF($F43&lt;LS_B,$S43,0),0),0)</f>
        <v>0</v>
      </c>
      <c r="BF43" s="365">
        <f>IF($F42="Producción",IF($F43&gt;=LI_C,IF($F43&lt;LS_C,$S43,0),0),0)</f>
        <v>0</v>
      </c>
      <c r="BG43" s="365">
        <f>IF($F42="Producción",IF($F43&lt;=LS_D,$S43,0),0)</f>
        <v>0</v>
      </c>
      <c r="BH43" s="365">
        <f>IF($F42="Crecimiento",$S43,0)</f>
        <v>0</v>
      </c>
      <c r="BI43" s="365">
        <f>IF($F42="Siembra",$S43,0)</f>
        <v>0</v>
      </c>
      <c r="BJ43" s="365">
        <f>IF($F42="Abandono",$S43,0)</f>
        <v>0</v>
      </c>
      <c r="BK43" s="365">
        <f>IF($G42="Producción",IF($G43&gt;=LI_A,$T43,0),0)</f>
        <v>0</v>
      </c>
      <c r="BL43" s="365">
        <f>IF($G42="Producción",IF($G43&gt;=LI_B,IF($G43&lt;LS_B,$T43,0),0),0)</f>
        <v>0</v>
      </c>
      <c r="BM43" s="365">
        <f>IF($G42="Producción",IF($G43&gt;=LI_C,IF($G43&lt;LS_C,$T43,0),0),0)</f>
        <v>0</v>
      </c>
      <c r="BN43" s="365">
        <f>IF($G42="Producción",IF($G43&lt;=LS_D,$T43,0),0)</f>
        <v>0</v>
      </c>
      <c r="BO43" s="365">
        <f>IF($G42="Crecimiento",$T43,0)</f>
        <v>0</v>
      </c>
      <c r="BP43" s="365">
        <f>IF($G42="Siembra",$T43,0)</f>
        <v>0</v>
      </c>
      <c r="BQ43" s="365">
        <f>IF($G42="Abandono",$T43,0)</f>
        <v>0</v>
      </c>
      <c r="BR43" s="365">
        <f>IF($H42="Producción",IF($H43&gt;=LI_A,$U43,0),0)</f>
        <v>0</v>
      </c>
      <c r="BS43" s="365">
        <f>IF($H42="Producción",IF($H43&gt;=LI_B,IF($H43&lt;LS_B,$U43,0),0),0)</f>
        <v>0</v>
      </c>
      <c r="BT43" s="365">
        <f>IF($H42="Producción",IF($H43&gt;=LI_C,IF($H43&lt;LS_C,$U43,0),0),0)</f>
        <v>0</v>
      </c>
      <c r="BU43" s="365">
        <f>IF($H42="Producción",IF($H43&lt;=LS_D,$U43,0),0)</f>
        <v>0</v>
      </c>
      <c r="BV43" s="365">
        <f>IF($H42="Crecimiento",$U43,0)</f>
        <v>0</v>
      </c>
      <c r="BW43" s="365">
        <f>IF($H42="Siembra",$U43,0)</f>
        <v>0</v>
      </c>
      <c r="BX43" s="365">
        <f>IF($H42="Abandono",$U43,0)</f>
        <v>0</v>
      </c>
      <c r="BY43" s="365">
        <f>IF($I42="Producción",IF($I43&gt;=LI_A,$V43,0),0)</f>
        <v>0</v>
      </c>
      <c r="BZ43" s="365">
        <f>IF($I42="Producción",IF($I43&gt;=LI_B,IF($I43&lt;LS_B,$V43,0),0),0)</f>
        <v>0</v>
      </c>
      <c r="CA43" s="365">
        <f>IF($I42="Producción",IF($I43&gt;=LI_C,IF($I43&lt;LS_C,$V43,0),0),0)</f>
        <v>0</v>
      </c>
      <c r="CB43" s="365">
        <f>IF($I42="Producción",IF($I43&lt;=LS_D,$V43,0),0)</f>
        <v>0</v>
      </c>
      <c r="CC43" s="365">
        <f>IF($I42="Crecimiento",$V43,0)</f>
        <v>0</v>
      </c>
      <c r="CD43" s="365">
        <f>IF($I42="Siembra",$V43,0)</f>
        <v>0</v>
      </c>
      <c r="CE43" s="365">
        <f>IF($I42="Abandono",$V43,0)</f>
        <v>0</v>
      </c>
      <c r="CF43" s="365">
        <f>IF($J42="Producción",IF($J43&gt;=LI_A,$W43,0),0)</f>
        <v>0</v>
      </c>
      <c r="CG43" s="365">
        <f>IF($J42="Producción",IF($J43&gt;=LI_B,IF($J43&lt;LS_B,$W43,0),0),0)</f>
        <v>0</v>
      </c>
      <c r="CH43" s="365">
        <f>IF($J42="Producción",IF($J43&gt;=LI_C,IF($J43&lt;LS_C,$W43,0),0),0)</f>
        <v>0</v>
      </c>
      <c r="CI43" s="365">
        <f>IF($J42="Producción",IF($J43&lt;=LS_D,$W43,0),0)</f>
        <v>0</v>
      </c>
      <c r="CJ43" s="365">
        <f>IF($J42="Crecimiento",$W43,0)</f>
        <v>0</v>
      </c>
      <c r="CK43" s="365">
        <f>IF($J42="Siembra",$W43,0)</f>
        <v>0</v>
      </c>
      <c r="CL43" s="365">
        <f>IF($J42="Abandono",$W43,0)</f>
        <v>0</v>
      </c>
      <c r="CM43" s="365">
        <f>IF($K42="Producción",IF($K43&gt;=LI_A,$X43,0),0)</f>
        <v>0</v>
      </c>
      <c r="CN43" s="365">
        <f>IF($K42="Producción",IF($K43&gt;=LI_B,IF($K43&lt;LS_B,$X43,0),0),0)</f>
        <v>0</v>
      </c>
      <c r="CO43" s="365">
        <f>IF($K42="Producción",IF($K43&gt;=LI_C,IF($K43&lt;LS_C,$X43,0),0),0)</f>
        <v>0</v>
      </c>
      <c r="CP43" s="365">
        <f>IF($K42="Producción",IF($K43&lt;=LS_D,$X43,0),0)</f>
        <v>0</v>
      </c>
      <c r="CQ43" s="365">
        <f>IF($K42="Crecimiento",IF($K43&gt;0,$X43,0),0)</f>
        <v>0</v>
      </c>
      <c r="CR43" s="365">
        <f>IF($K42="Siembra",IF($K43&gt;0,$X43,0),0)</f>
        <v>0</v>
      </c>
      <c r="CS43" s="365">
        <f>IF($K42="Abandono",IF($K43&gt;0,$X43,0),0)</f>
        <v>0</v>
      </c>
      <c r="CT43" s="365">
        <f>IF($L42="Producción",IF($L43&gt;=LI_A,$Y43,0),0)</f>
        <v>0</v>
      </c>
      <c r="CU43" s="365">
        <f>IF($L42="Producción",IF($L43&gt;=LI_B,IF($L43&lt;LS_B,$Y43,0),0),0)</f>
        <v>0</v>
      </c>
      <c r="CV43" s="365">
        <f>IF($L42="Producción",IF($L43&gt;=LI_C,IF($L43&lt;LS_C,$Y43,0),0),0)</f>
        <v>0</v>
      </c>
      <c r="CW43" s="365">
        <f>IF($L42="Producción",IF($L43&lt;=LS_D,$Y43,0),0)</f>
        <v>0</v>
      </c>
      <c r="CX43" s="365">
        <f>IF($L42="Crecimiento",$Y43,0)</f>
        <v>0</v>
      </c>
      <c r="CY43" s="365">
        <f>IF($L42="Siembra",$Y43,0)</f>
        <v>0</v>
      </c>
      <c r="CZ43" s="365">
        <f>IF($L42="Abandono",$Y43,0)</f>
        <v>0</v>
      </c>
      <c r="DA43" s="365">
        <f>IF($M42="Producción",IF($M43&gt;=LI_A,$Z43,0),0)</f>
        <v>0</v>
      </c>
      <c r="DB43" s="365">
        <f>IF($M42="Producción",IF($M43&gt;=LI_B,IF($M43&lt;LS_B,$Z43,0),0),0)</f>
        <v>0</v>
      </c>
      <c r="DC43" s="365">
        <f>IF($M42="Producción",IF($M43&gt;=LI_C,IF($M43&lt;LS_C,$Z43,0),0),0)</f>
        <v>0</v>
      </c>
      <c r="DD43" s="365">
        <f>IF($M42="Producción",IF($M43&lt;=LS_D,$Z43,0),0)</f>
        <v>0</v>
      </c>
      <c r="DE43" s="365">
        <f>IF($M42="Crecimiento",$Z43,0)</f>
        <v>0</v>
      </c>
      <c r="DF43" s="365">
        <f>IF($M42="Siembra",$Z43,0)</f>
        <v>0</v>
      </c>
      <c r="DG43" s="365">
        <f>IF($M42="Abandono",$Z43,0)</f>
        <v>0</v>
      </c>
      <c r="DI43" s="58">
        <f>AB43*$B43</f>
        <v>0</v>
      </c>
      <c r="DJ43" s="58">
        <f>AC43*$B43</f>
        <v>0</v>
      </c>
      <c r="DK43" s="58">
        <f>AD43*$B43</f>
        <v>0</v>
      </c>
      <c r="DL43" s="58">
        <f>AE43*$B43</f>
        <v>0</v>
      </c>
      <c r="DM43" s="365">
        <f>AF43*$B43</f>
        <v>0</v>
      </c>
      <c r="DN43" s="365">
        <f>AI43*$C43</f>
        <v>0</v>
      </c>
      <c r="DO43" s="365">
        <f>AJ43*$C43</f>
        <v>0</v>
      </c>
      <c r="DP43" s="365">
        <f>AK43*$C43</f>
        <v>0</v>
      </c>
      <c r="DQ43" s="365">
        <f>AL43*$C43</f>
        <v>0</v>
      </c>
      <c r="DR43" s="365">
        <f>AM43*$C43</f>
        <v>0</v>
      </c>
      <c r="DS43" s="365">
        <f>AP43*$D43</f>
        <v>0</v>
      </c>
      <c r="DT43" s="365">
        <f>AQ43*$D43</f>
        <v>0</v>
      </c>
      <c r="DU43" s="365">
        <f>AR43*$D43</f>
        <v>0</v>
      </c>
      <c r="DV43" s="365">
        <f>AS43*$D43</f>
        <v>0</v>
      </c>
      <c r="DW43" s="365">
        <f>AT43*$D43</f>
        <v>0</v>
      </c>
      <c r="DX43" s="365">
        <f>AW43*$E43</f>
        <v>0</v>
      </c>
      <c r="DY43" s="365">
        <f>AX43*$E43</f>
        <v>0</v>
      </c>
      <c r="DZ43" s="365">
        <f>AY43*$E43</f>
        <v>0</v>
      </c>
      <c r="EA43" s="365">
        <f>AZ43*$E43</f>
        <v>0</v>
      </c>
      <c r="EB43" s="365">
        <f>BA43*$E43</f>
        <v>0</v>
      </c>
      <c r="EC43" s="365">
        <f>BD43*$F43</f>
        <v>0</v>
      </c>
      <c r="ED43" s="365">
        <f>BE43*$F43</f>
        <v>0</v>
      </c>
      <c r="EE43" s="365">
        <f>BF43*$F43</f>
        <v>0</v>
      </c>
      <c r="EF43" s="365">
        <f>BG43*$F43</f>
        <v>0</v>
      </c>
      <c r="EG43" s="365">
        <f>BH43*$F43</f>
        <v>0</v>
      </c>
      <c r="EH43" s="365">
        <f>BK43*$G43</f>
        <v>0</v>
      </c>
      <c r="EI43" s="365">
        <f>BL43*$G43</f>
        <v>0</v>
      </c>
      <c r="EJ43" s="365">
        <f>BM43*$G43</f>
        <v>0</v>
      </c>
      <c r="EK43" s="365">
        <f>BN43*$G43</f>
        <v>0</v>
      </c>
      <c r="EL43" s="365">
        <f>BO43*$G43</f>
        <v>0</v>
      </c>
      <c r="EM43" s="365">
        <f>BR43*$H43</f>
        <v>0</v>
      </c>
      <c r="EN43" s="365">
        <f>BS43*$H43</f>
        <v>0</v>
      </c>
      <c r="EO43" s="365">
        <f>BT43*$H43</f>
        <v>0</v>
      </c>
      <c r="EP43" s="365">
        <f>BU43*$H43</f>
        <v>0</v>
      </c>
      <c r="EQ43" s="365">
        <f>BV43*$H43</f>
        <v>0</v>
      </c>
      <c r="ER43" s="365">
        <f>BY43*$I43</f>
        <v>0</v>
      </c>
      <c r="ES43" s="365">
        <f>BZ43*$I43</f>
        <v>0</v>
      </c>
      <c r="ET43" s="365">
        <f>CA43*$I43</f>
        <v>0</v>
      </c>
      <c r="EU43" s="365">
        <f>CB43*$I43</f>
        <v>0</v>
      </c>
      <c r="EV43" s="365">
        <f>CC43*$I43</f>
        <v>0</v>
      </c>
      <c r="EW43" s="365">
        <f>CF43*$J43</f>
        <v>0</v>
      </c>
      <c r="EX43" s="365">
        <f>CG43*$J43</f>
        <v>0</v>
      </c>
      <c r="EY43" s="365">
        <f>CH43*$J43</f>
        <v>0</v>
      </c>
      <c r="EZ43" s="365">
        <f>CI43*$J43</f>
        <v>0</v>
      </c>
      <c r="FA43" s="365">
        <f>CJ43*$J43</f>
        <v>0</v>
      </c>
      <c r="FB43" s="365">
        <f>CM43*$K43</f>
        <v>0</v>
      </c>
      <c r="FC43" s="365">
        <f>CN43*$K43</f>
        <v>0</v>
      </c>
      <c r="FD43" s="365">
        <f>CO43*$K43</f>
        <v>0</v>
      </c>
      <c r="FE43" s="365">
        <f>CP43*$K43</f>
        <v>0</v>
      </c>
      <c r="FF43" s="365">
        <f>CQ43*$K43</f>
        <v>0</v>
      </c>
      <c r="FG43" s="365">
        <f>CT43*$L43</f>
        <v>0</v>
      </c>
      <c r="FH43" s="365">
        <f>CU43*$L43</f>
        <v>0</v>
      </c>
      <c r="FI43" s="365">
        <f>CV43*$L43</f>
        <v>0</v>
      </c>
      <c r="FJ43" s="365">
        <f>CW43*$L43</f>
        <v>0</v>
      </c>
      <c r="FK43" s="365">
        <f>CX43*$L43</f>
        <v>0</v>
      </c>
      <c r="FL43" s="365">
        <f>DA43*$M43</f>
        <v>0</v>
      </c>
      <c r="FM43" s="365">
        <f t="shared" ref="FM43" si="29">DB43*$M43</f>
        <v>0</v>
      </c>
      <c r="FN43" s="365">
        <f>DC43*$M43</f>
        <v>0</v>
      </c>
      <c r="FO43" s="365">
        <f t="shared" ref="FO43" si="30">DD43*$M43</f>
        <v>0</v>
      </c>
      <c r="FP43" s="365">
        <f t="shared" ref="FP43" si="31">DE43*$M43</f>
        <v>0</v>
      </c>
    </row>
    <row r="44" spans="1:172" ht="21" customHeight="1" x14ac:dyDescent="0.3">
      <c r="A44" s="277" t="s">
        <v>238</v>
      </c>
      <c r="B44" s="278">
        <f>SUM(DI43:DM43)/100</f>
        <v>0</v>
      </c>
      <c r="C44" s="278">
        <f>SUM(DN43:DQ43)/100</f>
        <v>0</v>
      </c>
      <c r="D44" s="279">
        <f>SUM(DS43:DW43)/100</f>
        <v>0</v>
      </c>
      <c r="E44" s="279">
        <f>SUM(DX43:EB43)/100</f>
        <v>0</v>
      </c>
      <c r="F44" s="279">
        <f>SUM(EC43:EG43)/100</f>
        <v>0</v>
      </c>
      <c r="G44" s="279">
        <f>SUM(EH43:EL43)/100</f>
        <v>0</v>
      </c>
      <c r="H44" s="279">
        <f>SUM(EM43:EQ43)/100</f>
        <v>0</v>
      </c>
      <c r="I44" s="279">
        <f>SUM(ER43:EV43)/100</f>
        <v>0</v>
      </c>
      <c r="J44" s="279">
        <f>SUM(EW43:FA43)/100</f>
        <v>0</v>
      </c>
      <c r="K44" s="279">
        <f>SUM(FB43:FF43)/100</f>
        <v>0</v>
      </c>
      <c r="L44" s="279">
        <f>SUM(FG43:FK43)/100</f>
        <v>0</v>
      </c>
      <c r="M44" s="279">
        <f>SUM(FL43:FP43)/100</f>
        <v>0</v>
      </c>
      <c r="AG44" s="365"/>
      <c r="AH44" s="365"/>
      <c r="AI44" s="365"/>
      <c r="AJ44" s="365"/>
      <c r="AK44" s="365"/>
      <c r="AL44" s="365"/>
      <c r="AM44" s="365"/>
      <c r="AN44" s="365"/>
      <c r="AO44" s="365"/>
      <c r="AP44" s="365"/>
      <c r="AQ44" s="365"/>
      <c r="AR44" s="365"/>
      <c r="AS44" s="365"/>
      <c r="AT44" s="365"/>
      <c r="AU44" s="365"/>
      <c r="AV44" s="365"/>
      <c r="AW44" s="365"/>
      <c r="AX44" s="365"/>
      <c r="AY44" s="365"/>
      <c r="AZ44" s="365"/>
      <c r="BA44" s="365"/>
      <c r="BB44" s="365"/>
      <c r="BC44" s="365"/>
      <c r="BD44" s="365"/>
      <c r="BE44" s="365"/>
      <c r="BF44" s="365"/>
      <c r="BG44" s="365"/>
      <c r="BH44" s="365"/>
      <c r="BI44" s="365"/>
      <c r="BJ44" s="365"/>
      <c r="BK44" s="365"/>
      <c r="BL44" s="365"/>
      <c r="BM44" s="365"/>
      <c r="BN44" s="365"/>
      <c r="BO44" s="365"/>
      <c r="BP44" s="365"/>
      <c r="BQ44" s="365"/>
      <c r="BR44" s="365"/>
      <c r="BS44" s="365"/>
      <c r="BT44" s="365"/>
      <c r="BU44" s="365"/>
      <c r="BV44" s="365"/>
      <c r="BW44" s="365"/>
      <c r="BX44" s="365"/>
      <c r="BY44" s="365"/>
      <c r="BZ44" s="365"/>
      <c r="CA44" s="365"/>
      <c r="CB44" s="365"/>
      <c r="CC44" s="365"/>
      <c r="CD44" s="365"/>
      <c r="CE44" s="365"/>
      <c r="CF44" s="365"/>
      <c r="CG44" s="365"/>
      <c r="CH44" s="365"/>
      <c r="CI44" s="365"/>
      <c r="CJ44" s="365"/>
      <c r="CK44" s="365"/>
      <c r="CL44" s="365"/>
      <c r="CM44" s="365"/>
      <c r="CN44" s="365"/>
      <c r="CO44" s="365"/>
      <c r="CP44" s="365"/>
      <c r="CQ44" s="365"/>
      <c r="CR44" s="365"/>
      <c r="CS44" s="365"/>
      <c r="CT44" s="365"/>
      <c r="CU44" s="365"/>
      <c r="CV44" s="365"/>
      <c r="CW44" s="365"/>
      <c r="CX44" s="365"/>
      <c r="CY44" s="365"/>
      <c r="CZ44" s="365"/>
      <c r="DA44" s="365"/>
      <c r="DB44" s="365"/>
      <c r="DC44" s="365"/>
      <c r="DD44" s="365"/>
      <c r="DE44" s="365"/>
      <c r="DF44" s="365"/>
      <c r="DG44" s="365"/>
      <c r="DM44" s="365"/>
      <c r="DN44" s="365"/>
      <c r="DO44" s="365"/>
      <c r="DP44" s="365"/>
      <c r="DQ44" s="365"/>
      <c r="DR44" s="365"/>
      <c r="DS44" s="365"/>
      <c r="DT44" s="365"/>
      <c r="DU44" s="365"/>
      <c r="DV44" s="365"/>
      <c r="DW44" s="365"/>
      <c r="DX44" s="365"/>
      <c r="DY44" s="365"/>
      <c r="DZ44" s="365"/>
      <c r="EA44" s="365"/>
      <c r="EB44" s="365"/>
      <c r="EC44" s="365"/>
      <c r="ED44" s="365"/>
      <c r="EE44" s="365"/>
      <c r="EF44" s="365"/>
      <c r="EG44" s="365"/>
      <c r="EH44" s="365"/>
      <c r="EI44" s="365"/>
      <c r="EJ44" s="365"/>
      <c r="EK44" s="365"/>
      <c r="EL44" s="365"/>
      <c r="EM44" s="365"/>
      <c r="EN44" s="365"/>
      <c r="EO44" s="365"/>
      <c r="EP44" s="365"/>
      <c r="EQ44" s="365"/>
      <c r="ER44" s="365"/>
      <c r="ES44" s="365"/>
      <c r="ET44" s="365"/>
      <c r="EU44" s="365"/>
      <c r="EV44" s="365"/>
      <c r="EW44" s="365"/>
      <c r="EX44" s="365"/>
      <c r="EY44" s="365"/>
      <c r="EZ44" s="365"/>
      <c r="FA44" s="365"/>
      <c r="FB44" s="365"/>
      <c r="FC44" s="365"/>
      <c r="FD44" s="365"/>
      <c r="FE44" s="365"/>
      <c r="FF44" s="365"/>
      <c r="FG44" s="365"/>
      <c r="FH44" s="365"/>
      <c r="FI44" s="365"/>
      <c r="FJ44" s="365"/>
      <c r="FK44" s="365"/>
      <c r="FL44" s="365"/>
      <c r="FM44" s="365"/>
      <c r="FN44" s="365"/>
      <c r="FO44" s="365"/>
      <c r="FP44" s="365"/>
    </row>
    <row r="45" spans="1:172" ht="21" customHeight="1" x14ac:dyDescent="0.3">
      <c r="A45" s="150" t="s">
        <v>239</v>
      </c>
      <c r="B45" s="149" t="e">
        <f>SUM(DI43:DM43)/100/Lote_10</f>
        <v>#DIV/0!</v>
      </c>
      <c r="C45" s="149" t="e">
        <f>SUM(DN43:DQ43)/100/Lote_10</f>
        <v>#DIV/0!</v>
      </c>
      <c r="D45" s="149" t="e">
        <f>SUM(DS43:DW43)/100/Lote_10</f>
        <v>#DIV/0!</v>
      </c>
      <c r="E45" s="149" t="e">
        <f>SUM(DX43:EB43)/100/Lote_10</f>
        <v>#DIV/0!</v>
      </c>
      <c r="F45" s="149" t="e">
        <f>SUM(EC43:EG43)/100/Lote_10</f>
        <v>#DIV/0!</v>
      </c>
      <c r="G45" s="149" t="e">
        <f>SUM(EH43:EL43)/100/Lote_10</f>
        <v>#DIV/0!</v>
      </c>
      <c r="H45" s="149" t="e">
        <f>SUM(EM43:EQ43)/100/Lote_10</f>
        <v>#DIV/0!</v>
      </c>
      <c r="I45" s="149" t="e">
        <f>SUM(ER43:EV43)/100/Lote_10</f>
        <v>#DIV/0!</v>
      </c>
      <c r="J45" s="149" t="e">
        <f>SUM(EW43:FA43)/100/Lote_10</f>
        <v>#DIV/0!</v>
      </c>
      <c r="K45" s="149" t="e">
        <f>SUM(FB43:FF43)/100/Lote_10</f>
        <v>#DIV/0!</v>
      </c>
      <c r="L45" s="149" t="e">
        <f>SUM(FG43:FK43)/100/Lote_10</f>
        <v>#DIV/0!</v>
      </c>
      <c r="M45" s="149" t="e">
        <f>SUM(FL43:FP43)/100/Lote_10</f>
        <v>#DIV/0!</v>
      </c>
    </row>
    <row r="46" spans="1:172" ht="21" customHeight="1" x14ac:dyDescent="0.3">
      <c r="A46" s="233">
        <f>N_L11</f>
        <v>0</v>
      </c>
      <c r="B46" s="363" t="s">
        <v>37</v>
      </c>
      <c r="C46" s="363" t="s">
        <v>37</v>
      </c>
      <c r="D46" s="363" t="s">
        <v>37</v>
      </c>
      <c r="E46" s="363" t="s">
        <v>37</v>
      </c>
      <c r="F46" s="363" t="s">
        <v>37</v>
      </c>
      <c r="G46" s="363" t="s">
        <v>37</v>
      </c>
      <c r="H46" s="363" t="s">
        <v>37</v>
      </c>
      <c r="I46" s="363" t="s">
        <v>37</v>
      </c>
      <c r="J46" s="363" t="s">
        <v>37</v>
      </c>
      <c r="K46" s="363" t="s">
        <v>37</v>
      </c>
      <c r="L46" s="363" t="s">
        <v>37</v>
      </c>
      <c r="M46" s="363" t="s">
        <v>37</v>
      </c>
    </row>
    <row r="47" spans="1:172" ht="21" customHeight="1" x14ac:dyDescent="0.3">
      <c r="A47" s="4" t="s">
        <v>237</v>
      </c>
      <c r="B47" s="7"/>
      <c r="C47" s="275"/>
      <c r="D47" s="275"/>
      <c r="E47" s="275"/>
      <c r="F47" s="275"/>
      <c r="G47" s="275"/>
      <c r="H47" s="275"/>
      <c r="I47" s="275"/>
      <c r="J47" s="275"/>
      <c r="K47" s="275"/>
      <c r="L47" s="275"/>
      <c r="M47" s="275"/>
      <c r="O47" s="58">
        <f>Área_L11*D_L11*A1_L11</f>
        <v>0</v>
      </c>
      <c r="P47" s="58">
        <f>Área_L11*D_L11*A2_L11</f>
        <v>0</v>
      </c>
      <c r="Q47" s="58">
        <f>Área_L11*D_L11*A3_L11</f>
        <v>0</v>
      </c>
      <c r="R47" s="58">
        <f>Área_L11*D_L11*A4_L11</f>
        <v>0</v>
      </c>
      <c r="S47" s="58">
        <f>Área_L11*D_L11*A5_L11</f>
        <v>0</v>
      </c>
      <c r="T47" s="58">
        <f>Área_L11*D_L11*A6_L11</f>
        <v>0</v>
      </c>
      <c r="U47" s="58">
        <f>Área_L11*D_L11*A7_L11</f>
        <v>0</v>
      </c>
      <c r="V47" s="58">
        <f>Área_L11*D_L11*A8_L11</f>
        <v>0</v>
      </c>
      <c r="W47" s="58">
        <f>Área_L11*D_L11*A9_L11</f>
        <v>0</v>
      </c>
      <c r="X47" s="58">
        <f>Área_L11*D_L11*A10_L11</f>
        <v>0</v>
      </c>
      <c r="Y47" s="58">
        <f>Área_L11*D_L11*A11_L11</f>
        <v>0</v>
      </c>
      <c r="Z47" s="58">
        <f>Área_L11*D_L11*A12_L11</f>
        <v>0</v>
      </c>
      <c r="AB47" s="58">
        <f>IF($B46="Producción",IF($B47&gt;=LI_A,$O47,0),0)</f>
        <v>0</v>
      </c>
      <c r="AC47" s="58">
        <f>IF($B46="Producción",IF($B47&gt;=LI_B,IF($B47&lt;LS_B,$O47,0),0),0)</f>
        <v>0</v>
      </c>
      <c r="AD47" s="58">
        <f>IF($B46="Producción",IF($B47&gt;=LI_C,IF($B47&lt;LS_C,$O47,0),0),0)</f>
        <v>0</v>
      </c>
      <c r="AE47" s="58">
        <f>IF($B46="Producción",IF($B47&lt;=LS_D,$O47,0),0)</f>
        <v>0</v>
      </c>
      <c r="AF47" s="365">
        <f>IF($B46="Crecimiento",$O47,0)</f>
        <v>0</v>
      </c>
      <c r="AG47" s="365">
        <f>IF($B46="Siembra",$O47,0)</f>
        <v>0</v>
      </c>
      <c r="AH47" s="365">
        <f>IF($B46="Abandono",$O47,0)</f>
        <v>0</v>
      </c>
      <c r="AI47" s="365">
        <f>IF($C46="Producción",IF($C47&gt;=LI_A,$P47,0),0)</f>
        <v>0</v>
      </c>
      <c r="AJ47" s="365">
        <f>IF($C46="Producción",IF($C47&gt;=LI_B,IF($C47&lt;LS_B,$P47,0),0),0)</f>
        <v>0</v>
      </c>
      <c r="AK47" s="365">
        <f>IF($C46="Producción",IF($C47&gt;=LI_C,IF($C47&lt;LS_C,$P47,0),0),0)</f>
        <v>0</v>
      </c>
      <c r="AL47" s="365">
        <f>IF($C46="Producción",IF(C47&lt;=LS_D,$P47,0),0)</f>
        <v>0</v>
      </c>
      <c r="AM47" s="365">
        <f>IF($C46="Crecimiento",$P47,0)</f>
        <v>0</v>
      </c>
      <c r="AN47" s="365">
        <f>IF($C46="Siembra",$P47,0)</f>
        <v>0</v>
      </c>
      <c r="AO47" s="365">
        <f>IF($C46="Abandono",$P47,0)</f>
        <v>0</v>
      </c>
      <c r="AP47" s="365">
        <f>IF($D46="Producción",IF($D47&gt;=LI_A,$Q47,0),0)</f>
        <v>0</v>
      </c>
      <c r="AQ47" s="365">
        <f>IF($D46="Producción",IF($D47&gt;=LI_B,IF($D47&lt;LS_B,$Q47,0),0),0)</f>
        <v>0</v>
      </c>
      <c r="AR47" s="365">
        <f>IF($D46="Producción",IF($D47&gt;=LI_C,IF($D47&lt;LS_C,$Q47,0),0),0)</f>
        <v>0</v>
      </c>
      <c r="AS47" s="365">
        <f>IF($D46="Producción",IF($D47&lt;=LS_D,$Q47,0),0)</f>
        <v>0</v>
      </c>
      <c r="AT47" s="365">
        <f>IF($D46="Crecimiento",$Q47,0)</f>
        <v>0</v>
      </c>
      <c r="AU47" s="365">
        <f>IF($D46="Siembra",$Q47,0)</f>
        <v>0</v>
      </c>
      <c r="AV47" s="365">
        <f>IF($D46="Abandono",$Q47,0)</f>
        <v>0</v>
      </c>
      <c r="AW47" s="365">
        <f>IF($E46="Producción",IF($E47&gt;=LI_A,$R47,0),0)</f>
        <v>0</v>
      </c>
      <c r="AX47" s="365">
        <f>IF($E46="Producción",IF($E47&gt;=LI_B,IF($E47&lt;LS_B,$R47,0),0),0)</f>
        <v>0</v>
      </c>
      <c r="AY47" s="365">
        <f>IF($E46="Producción",IF($E47&gt;=LI_C,IF($E47&lt;LS_C,$R47,0),0),0)</f>
        <v>0</v>
      </c>
      <c r="AZ47" s="365">
        <f>IF($E46="Producción",IF($E47&lt;=LS_D,$R47,0),0)</f>
        <v>0</v>
      </c>
      <c r="BA47" s="365">
        <f>IF($E46="Crecimiento",$R47,0)</f>
        <v>0</v>
      </c>
      <c r="BB47" s="365">
        <f>IF($E46="Siembra",$R47,0)</f>
        <v>0</v>
      </c>
      <c r="BC47" s="365">
        <f>IF($E46="Abandono",$R47,0)</f>
        <v>0</v>
      </c>
      <c r="BD47" s="365">
        <f>IF($F46="Producción",IF($F47&gt;=LI_A,$S47,0),0)</f>
        <v>0</v>
      </c>
      <c r="BE47" s="365">
        <f>IF($F46="Producción",IF($F47&gt;=LI_B,IF($F47&lt;LS_B,$S47,0),0),0)</f>
        <v>0</v>
      </c>
      <c r="BF47" s="365">
        <f>IF($F46="Producción",IF($F47&gt;=LI_C,IF($F47&lt;LS_C,$S47,0),0),0)</f>
        <v>0</v>
      </c>
      <c r="BG47" s="365">
        <f>IF($F46="Producción",IF($F47&lt;=LS_D,$S47,0),0)</f>
        <v>0</v>
      </c>
      <c r="BH47" s="365">
        <f>IF($F46="Crecimiento",$S47,0)</f>
        <v>0</v>
      </c>
      <c r="BI47" s="365">
        <f>IF($F46="Siembra",$S47,0)</f>
        <v>0</v>
      </c>
      <c r="BJ47" s="365">
        <f>IF($F46="Abandono",$S47,0)</f>
        <v>0</v>
      </c>
      <c r="BK47" s="365">
        <f>IF($G46="Producción",IF($G47&gt;=LI_A,$T47,0),0)</f>
        <v>0</v>
      </c>
      <c r="BL47" s="365">
        <f>IF($G46="Producción",IF($G47&gt;=LI_B,IF($G47&lt;LS_B,$T47,0),0),0)</f>
        <v>0</v>
      </c>
      <c r="BM47" s="365">
        <f>IF($G46="Producción",IF($G47&gt;=LI_C,IF($G47&lt;LS_C,$T47,0),0),0)</f>
        <v>0</v>
      </c>
      <c r="BN47" s="365">
        <f>IF($G46="Producción",IF($G47&lt;=LS_D,$T47,0),0)</f>
        <v>0</v>
      </c>
      <c r="BO47" s="365">
        <f>IF($G46="Crecimiento",$T47,0)</f>
        <v>0</v>
      </c>
      <c r="BP47" s="365">
        <f>IF($G46="Siembra",$T47,0)</f>
        <v>0</v>
      </c>
      <c r="BQ47" s="365">
        <f>IF($G46="Abandono",$T47,0)</f>
        <v>0</v>
      </c>
      <c r="BR47" s="365">
        <f>IF($H46="Producción",IF($H47&gt;=LI_A,$U47,0),0)</f>
        <v>0</v>
      </c>
      <c r="BS47" s="365">
        <f>IF($H46="Producción",IF($H47&gt;=LI_B,IF($H47&lt;LS_B,$U47,0),0),0)</f>
        <v>0</v>
      </c>
      <c r="BT47" s="365">
        <f>IF($H46="Producción",IF($H47&gt;=LI_C,IF($H47&lt;LS_C,$U47,0),0),0)</f>
        <v>0</v>
      </c>
      <c r="BU47" s="365">
        <f>IF($H46="Producción",IF($H47&lt;=LS_D,$U47,0),0)</f>
        <v>0</v>
      </c>
      <c r="BV47" s="365">
        <f>IF($H46="Crecimiento",$U47,0)</f>
        <v>0</v>
      </c>
      <c r="BW47" s="365">
        <f>IF($H46="Siembra",$U47,0)</f>
        <v>0</v>
      </c>
      <c r="BX47" s="365">
        <f>IF($H46="Abandono",$U47,0)</f>
        <v>0</v>
      </c>
      <c r="BY47" s="365">
        <f>IF($I46="Producción",IF($I47&gt;=LI_A,$V47,0),0)</f>
        <v>0</v>
      </c>
      <c r="BZ47" s="365">
        <f>IF($I46="Producción",IF($I47&gt;=LI_B,IF($I47&lt;LS_B,$V47,0),0),0)</f>
        <v>0</v>
      </c>
      <c r="CA47" s="365">
        <f>IF($I46="Producción",IF($I47&gt;=LI_C,IF($I47&lt;LS_C,$V47,0),0),0)</f>
        <v>0</v>
      </c>
      <c r="CB47" s="365">
        <f>IF($I46="Producción",IF($I47&lt;=LS_D,$V47,0),0)</f>
        <v>0</v>
      </c>
      <c r="CC47" s="365">
        <f>IF($I46="Crecimiento",$V47,0)</f>
        <v>0</v>
      </c>
      <c r="CD47" s="365">
        <f>IF($I46="Siembra",$V47,0)</f>
        <v>0</v>
      </c>
      <c r="CE47" s="365">
        <f>IF($I46="Abandono",$V47,0)</f>
        <v>0</v>
      </c>
      <c r="CF47" s="365">
        <f>IF($J46="Producción",IF($J47&gt;=LI_A,$W47,0),0)</f>
        <v>0</v>
      </c>
      <c r="CG47" s="365">
        <f>IF($J46="Producción",IF($J47&gt;=LI_B,IF($J47&lt;LS_B,$W47,0),0),0)</f>
        <v>0</v>
      </c>
      <c r="CH47" s="365">
        <f>IF($J46="Producción",IF($J47&gt;=LI_C,IF($J47&lt;LS_C,$W47,0),0),0)</f>
        <v>0</v>
      </c>
      <c r="CI47" s="365">
        <f>IF($J46="Producción",IF($J47&lt;=LS_D,$W47,0),0)</f>
        <v>0</v>
      </c>
      <c r="CJ47" s="365">
        <f>IF($J46="Crecimiento",$W47,0)</f>
        <v>0</v>
      </c>
      <c r="CK47" s="365">
        <f>IF($J46="Siembra",$W47,0)</f>
        <v>0</v>
      </c>
      <c r="CL47" s="365">
        <f>IF($J46="Abandono",$W47,0)</f>
        <v>0</v>
      </c>
      <c r="CM47" s="365">
        <f>IF($K46="Producción",IF($K47&gt;=LI_A,$X47,0),0)</f>
        <v>0</v>
      </c>
      <c r="CN47" s="365">
        <f>IF($K46="Producción",IF($K47&gt;=LI_B,IF($K47&lt;LS_B,$X47,0),0),0)</f>
        <v>0</v>
      </c>
      <c r="CO47" s="365">
        <f>IF($K46="Producción",IF($K47&gt;=LI_C,IF($K47&lt;LS_C,$X47,0),0),0)</f>
        <v>0</v>
      </c>
      <c r="CP47" s="365">
        <f>IF($K46="Producción",IF($K47&lt;=LS_D,$X47,0),0)</f>
        <v>0</v>
      </c>
      <c r="CQ47" s="365">
        <f>IF($K46="Crecimiento",IF($K47&gt;0,$X47,0),0)</f>
        <v>0</v>
      </c>
      <c r="CR47" s="365">
        <f>IF($K46="Siembra",IF($K47&gt;0,$X47,0),0)</f>
        <v>0</v>
      </c>
      <c r="CS47" s="365">
        <f>IF($K46="Abandono",IF($K47&gt;0,$X47,0),0)</f>
        <v>0</v>
      </c>
      <c r="CT47" s="365">
        <f>IF($L46="Producción",IF($L47&gt;=LI_A,$Y47,0),0)</f>
        <v>0</v>
      </c>
      <c r="CU47" s="365">
        <f>IF($L46="Producción",IF($L47&gt;=LI_B,IF($L47&lt;LS_B,$Y47,0),0),0)</f>
        <v>0</v>
      </c>
      <c r="CV47" s="365">
        <f>IF($L46="Producción",IF($L47&gt;=LI_C,IF($L47&lt;LS_C,$Y47,0),0),0)</f>
        <v>0</v>
      </c>
      <c r="CW47" s="365">
        <f>IF($L46="Producción",IF($L47&lt;=LS_D,$Y47,0),0)</f>
        <v>0</v>
      </c>
      <c r="CX47" s="365">
        <f>IF($L46="Crecimiento",$Y47,0)</f>
        <v>0</v>
      </c>
      <c r="CY47" s="365">
        <f>IF($L46="Siembra",$Y47,0)</f>
        <v>0</v>
      </c>
      <c r="CZ47" s="365">
        <f>IF($L46="Abandono",$Y47,0)</f>
        <v>0</v>
      </c>
      <c r="DA47" s="365">
        <f>IF($M46="Producción",IF($M47&gt;=LI_A,$Z47,0),0)</f>
        <v>0</v>
      </c>
      <c r="DB47" s="365">
        <f>IF($M46="Producción",IF($M47&gt;=LI_B,IF($M47&lt;LS_B,$Z47,0),0),0)</f>
        <v>0</v>
      </c>
      <c r="DC47" s="365">
        <f>IF($M46="Producción",IF($M47&gt;=LI_C,IF($M47&lt;LS_C,$Z47,0),0),0)</f>
        <v>0</v>
      </c>
      <c r="DD47" s="365">
        <f>IF($M46="Producción",IF($M47&lt;=LS_D,$Z47,0),0)</f>
        <v>0</v>
      </c>
      <c r="DE47" s="365">
        <f>IF($M46="Crecimiento",$Z47,0)</f>
        <v>0</v>
      </c>
      <c r="DF47" s="365">
        <f>IF($M46="Siembra",$Z47,0)</f>
        <v>0</v>
      </c>
      <c r="DG47" s="365">
        <f>IF($M46="Abandono",$Z47,0)</f>
        <v>0</v>
      </c>
      <c r="DI47" s="58">
        <f>AB47*$B47</f>
        <v>0</v>
      </c>
      <c r="DJ47" s="58">
        <f>AC47*$B47</f>
        <v>0</v>
      </c>
      <c r="DK47" s="58">
        <f>AD47*$B47</f>
        <v>0</v>
      </c>
      <c r="DL47" s="58">
        <f>AE47*$B47</f>
        <v>0</v>
      </c>
      <c r="DM47" s="365">
        <f>AF47*$B47</f>
        <v>0</v>
      </c>
      <c r="DN47" s="365">
        <f>AI47*$C47</f>
        <v>0</v>
      </c>
      <c r="DO47" s="365">
        <f>AJ47*$C47</f>
        <v>0</v>
      </c>
      <c r="DP47" s="365">
        <f>AK47*$C47</f>
        <v>0</v>
      </c>
      <c r="DQ47" s="365">
        <f>AL47*$C47</f>
        <v>0</v>
      </c>
      <c r="DR47" s="365">
        <f>AM47*$C47</f>
        <v>0</v>
      </c>
      <c r="DS47" s="365">
        <f>AP47*$D47</f>
        <v>0</v>
      </c>
      <c r="DT47" s="365">
        <f>AQ47*$D47</f>
        <v>0</v>
      </c>
      <c r="DU47" s="365">
        <f>AR47*$D47</f>
        <v>0</v>
      </c>
      <c r="DV47" s="365">
        <f>AS47*$D47</f>
        <v>0</v>
      </c>
      <c r="DW47" s="365">
        <f>AT47*$D47</f>
        <v>0</v>
      </c>
      <c r="DX47" s="365">
        <f>AW47*$E47</f>
        <v>0</v>
      </c>
      <c r="DY47" s="365">
        <f>AX47*$E47</f>
        <v>0</v>
      </c>
      <c r="DZ47" s="365">
        <f>AY47*$E47</f>
        <v>0</v>
      </c>
      <c r="EA47" s="365">
        <f>AZ47*$E47</f>
        <v>0</v>
      </c>
      <c r="EB47" s="365">
        <f>BA47*$E47</f>
        <v>0</v>
      </c>
      <c r="EC47" s="365">
        <f>BD47*$F47</f>
        <v>0</v>
      </c>
      <c r="ED47" s="365">
        <f>BE47*$F47</f>
        <v>0</v>
      </c>
      <c r="EE47" s="365">
        <f>BF47*$F47</f>
        <v>0</v>
      </c>
      <c r="EF47" s="365">
        <f>BG47*$F47</f>
        <v>0</v>
      </c>
      <c r="EG47" s="365">
        <f>BH47*$F47</f>
        <v>0</v>
      </c>
      <c r="EH47" s="365">
        <f>BK47*$G47</f>
        <v>0</v>
      </c>
      <c r="EI47" s="365">
        <f>BL47*$G47</f>
        <v>0</v>
      </c>
      <c r="EJ47" s="365">
        <f>BM47*$G47</f>
        <v>0</v>
      </c>
      <c r="EK47" s="365">
        <f>BN47*$G47</f>
        <v>0</v>
      </c>
      <c r="EL47" s="365">
        <f>BO47*$G47</f>
        <v>0</v>
      </c>
      <c r="EM47" s="365">
        <f>BR47*$H47</f>
        <v>0</v>
      </c>
      <c r="EN47" s="365">
        <f>BS47*$H47</f>
        <v>0</v>
      </c>
      <c r="EO47" s="365">
        <f>BT47*$H47</f>
        <v>0</v>
      </c>
      <c r="EP47" s="365">
        <f>BU47*$H47</f>
        <v>0</v>
      </c>
      <c r="EQ47" s="365">
        <f>BV47*$H47</f>
        <v>0</v>
      </c>
      <c r="ER47" s="365">
        <f>BY47*$I47</f>
        <v>0</v>
      </c>
      <c r="ES47" s="365">
        <f>BZ47*$I47</f>
        <v>0</v>
      </c>
      <c r="ET47" s="365">
        <f>CA47*$I47</f>
        <v>0</v>
      </c>
      <c r="EU47" s="365">
        <f>CB47*$I47</f>
        <v>0</v>
      </c>
      <c r="EV47" s="365">
        <f>CC47*$I47</f>
        <v>0</v>
      </c>
      <c r="EW47" s="365">
        <f>CF47*$J47</f>
        <v>0</v>
      </c>
      <c r="EX47" s="365">
        <f>CG47*$J47</f>
        <v>0</v>
      </c>
      <c r="EY47" s="365">
        <f>CH47*$J47</f>
        <v>0</v>
      </c>
      <c r="EZ47" s="365">
        <f>CI47*$J47</f>
        <v>0</v>
      </c>
      <c r="FA47" s="365">
        <f>CJ47*$J47</f>
        <v>0</v>
      </c>
      <c r="FB47" s="365">
        <f>CM47*$K47</f>
        <v>0</v>
      </c>
      <c r="FC47" s="365">
        <f>CN47*$K47</f>
        <v>0</v>
      </c>
      <c r="FD47" s="365">
        <f>CO47*$K47</f>
        <v>0</v>
      </c>
      <c r="FE47" s="365">
        <f>CP47*$K47</f>
        <v>0</v>
      </c>
      <c r="FF47" s="365">
        <f>CQ47*$K47</f>
        <v>0</v>
      </c>
      <c r="FG47" s="365">
        <f>CT47*$L47</f>
        <v>0</v>
      </c>
      <c r="FH47" s="365">
        <f>CU47*$L47</f>
        <v>0</v>
      </c>
      <c r="FI47" s="365">
        <f>CV47*$L47</f>
        <v>0</v>
      </c>
      <c r="FJ47" s="365">
        <f>CW47*$L47</f>
        <v>0</v>
      </c>
      <c r="FK47" s="365">
        <f>CX47*$L47</f>
        <v>0</v>
      </c>
      <c r="FL47" s="365">
        <f>DA47*$M47</f>
        <v>0</v>
      </c>
      <c r="FM47" s="365">
        <f t="shared" ref="FM47" si="32">DB47*$M47</f>
        <v>0</v>
      </c>
      <c r="FN47" s="365">
        <f>DC47*$M47</f>
        <v>0</v>
      </c>
      <c r="FO47" s="365">
        <f t="shared" ref="FO47" si="33">DD47*$M47</f>
        <v>0</v>
      </c>
      <c r="FP47" s="365">
        <f t="shared" ref="FP47" si="34">DE47*$M47</f>
        <v>0</v>
      </c>
    </row>
    <row r="48" spans="1:172" ht="21" customHeight="1" x14ac:dyDescent="0.3">
      <c r="A48" s="277" t="s">
        <v>238</v>
      </c>
      <c r="B48" s="278">
        <f>SUM(DI47:DM47)/100</f>
        <v>0</v>
      </c>
      <c r="C48" s="278">
        <f>SUM(DN47:DQ47)/100</f>
        <v>0</v>
      </c>
      <c r="D48" s="279">
        <f>SUM(DS47:DW47)/100</f>
        <v>0</v>
      </c>
      <c r="E48" s="279">
        <f>SUM(DX47:EB47)/100</f>
        <v>0</v>
      </c>
      <c r="F48" s="279">
        <f>SUM(EC47:EG47)/100</f>
        <v>0</v>
      </c>
      <c r="G48" s="279">
        <f>SUM(EH47:EL47)/100</f>
        <v>0</v>
      </c>
      <c r="H48" s="279">
        <f>SUM(EM47:EQ47)/100</f>
        <v>0</v>
      </c>
      <c r="I48" s="279">
        <f>SUM(ER47:EV47)/100</f>
        <v>0</v>
      </c>
      <c r="J48" s="279">
        <f>SUM(EW47:FA47)/100</f>
        <v>0</v>
      </c>
      <c r="K48" s="279">
        <f>SUM(FB47:FF47)/100</f>
        <v>0</v>
      </c>
      <c r="L48" s="279">
        <f>SUM(FG47:FK47)/100</f>
        <v>0</v>
      </c>
      <c r="M48" s="279">
        <f>SUM(FL47:FP47)/100</f>
        <v>0</v>
      </c>
      <c r="AG48" s="365"/>
      <c r="AH48" s="365"/>
      <c r="AI48" s="365"/>
      <c r="AJ48" s="365"/>
      <c r="AK48" s="365"/>
      <c r="AL48" s="365"/>
      <c r="AM48" s="365"/>
      <c r="AN48" s="365"/>
      <c r="AO48" s="365"/>
      <c r="AP48" s="365"/>
      <c r="AQ48" s="365"/>
      <c r="AR48" s="365"/>
      <c r="AS48" s="365"/>
      <c r="AT48" s="365"/>
      <c r="AU48" s="365"/>
      <c r="AV48" s="365"/>
      <c r="AW48" s="365"/>
      <c r="AX48" s="365"/>
      <c r="AY48" s="365"/>
      <c r="AZ48" s="365"/>
      <c r="BA48" s="365"/>
      <c r="BB48" s="365"/>
      <c r="BC48" s="365"/>
      <c r="BD48" s="365"/>
      <c r="BE48" s="365"/>
      <c r="BF48" s="365"/>
      <c r="BG48" s="365"/>
      <c r="BH48" s="365"/>
      <c r="BI48" s="365"/>
      <c r="BJ48" s="365"/>
      <c r="BK48" s="365"/>
      <c r="BL48" s="365"/>
      <c r="BM48" s="365"/>
      <c r="BN48" s="365"/>
      <c r="BO48" s="365"/>
      <c r="BP48" s="365"/>
      <c r="BQ48" s="365"/>
      <c r="BR48" s="365"/>
      <c r="BS48" s="365"/>
      <c r="BT48" s="365"/>
      <c r="BU48" s="365"/>
      <c r="BV48" s="365"/>
      <c r="BW48" s="365"/>
      <c r="BX48" s="365"/>
      <c r="BY48" s="365"/>
      <c r="BZ48" s="365"/>
      <c r="CA48" s="365"/>
      <c r="CB48" s="365"/>
      <c r="CC48" s="365"/>
      <c r="CD48" s="365"/>
      <c r="CE48" s="365"/>
      <c r="CF48" s="365"/>
      <c r="CG48" s="365"/>
      <c r="CH48" s="365"/>
      <c r="CI48" s="365"/>
      <c r="CJ48" s="365"/>
      <c r="CK48" s="365"/>
      <c r="CL48" s="365"/>
      <c r="CM48" s="365"/>
      <c r="CN48" s="365"/>
      <c r="CO48" s="365"/>
      <c r="CP48" s="365"/>
      <c r="CQ48" s="365"/>
      <c r="CR48" s="365"/>
      <c r="CS48" s="365"/>
      <c r="CT48" s="365"/>
      <c r="CU48" s="365"/>
      <c r="CV48" s="365"/>
      <c r="CW48" s="365"/>
      <c r="CX48" s="365"/>
      <c r="CY48" s="365"/>
      <c r="CZ48" s="365"/>
      <c r="DA48" s="365"/>
      <c r="DB48" s="365"/>
      <c r="DC48" s="365"/>
      <c r="DD48" s="365"/>
      <c r="DE48" s="365"/>
      <c r="DF48" s="365"/>
      <c r="DG48" s="365"/>
      <c r="DM48" s="365"/>
      <c r="DN48" s="365"/>
      <c r="DO48" s="365"/>
      <c r="DP48" s="365"/>
      <c r="DQ48" s="365"/>
      <c r="DR48" s="365"/>
      <c r="DS48" s="365"/>
      <c r="DT48" s="365"/>
      <c r="DU48" s="365"/>
      <c r="DV48" s="365"/>
      <c r="DW48" s="365"/>
      <c r="DX48" s="365"/>
      <c r="DY48" s="365"/>
      <c r="DZ48" s="365"/>
      <c r="EA48" s="365"/>
      <c r="EB48" s="365"/>
      <c r="EC48" s="365"/>
      <c r="ED48" s="365"/>
      <c r="EE48" s="365"/>
      <c r="EF48" s="365"/>
      <c r="EG48" s="365"/>
      <c r="EH48" s="365"/>
      <c r="EI48" s="365"/>
      <c r="EJ48" s="365"/>
      <c r="EK48" s="365"/>
      <c r="EL48" s="365"/>
      <c r="EM48" s="365"/>
      <c r="EN48" s="365"/>
      <c r="EO48" s="365"/>
      <c r="EP48" s="365"/>
      <c r="EQ48" s="365"/>
      <c r="ER48" s="365"/>
      <c r="ES48" s="365"/>
      <c r="ET48" s="365"/>
      <c r="EU48" s="365"/>
      <c r="EV48" s="365"/>
      <c r="EW48" s="365"/>
      <c r="EX48" s="365"/>
      <c r="EY48" s="365"/>
      <c r="EZ48" s="365"/>
      <c r="FA48" s="365"/>
      <c r="FB48" s="365"/>
      <c r="FC48" s="365"/>
      <c r="FD48" s="365"/>
      <c r="FE48" s="365"/>
      <c r="FF48" s="365"/>
      <c r="FG48" s="365"/>
      <c r="FH48" s="365"/>
      <c r="FI48" s="365"/>
      <c r="FJ48" s="365"/>
      <c r="FK48" s="365"/>
      <c r="FL48" s="365"/>
      <c r="FM48" s="365"/>
      <c r="FN48" s="365"/>
      <c r="FO48" s="365"/>
      <c r="FP48" s="365"/>
    </row>
    <row r="49" spans="1:172" ht="21" customHeight="1" x14ac:dyDescent="0.3">
      <c r="A49" s="150" t="s">
        <v>239</v>
      </c>
      <c r="B49" s="149" t="e">
        <f>SUM(DI47:DM47)/100/Lote_11</f>
        <v>#DIV/0!</v>
      </c>
      <c r="C49" s="149" t="e">
        <f>SUM(DN47:DQ47)/100/Lote_11</f>
        <v>#DIV/0!</v>
      </c>
      <c r="D49" s="149" t="e">
        <f>SUM(DS47:DW47)/100/Lote_11</f>
        <v>#DIV/0!</v>
      </c>
      <c r="E49" s="149" t="e">
        <f>SUM(DX47:EB47)/100/Lote_11</f>
        <v>#DIV/0!</v>
      </c>
      <c r="F49" s="149" t="e">
        <f>SUM(EC47:EG47)/100/Lote_11</f>
        <v>#DIV/0!</v>
      </c>
      <c r="G49" s="149" t="e">
        <f>SUM(EH47:EL47)/100/Lote_11</f>
        <v>#DIV/0!</v>
      </c>
      <c r="H49" s="149" t="e">
        <f>SUM(EM47:EQ47)/100/Lote_11</f>
        <v>#DIV/0!</v>
      </c>
      <c r="I49" s="149" t="e">
        <f>SUM(ER47:EV47)/100/Lote_11</f>
        <v>#DIV/0!</v>
      </c>
      <c r="J49" s="149" t="e">
        <f>SUM(EW47:FA47)/100/Lote_11</f>
        <v>#DIV/0!</v>
      </c>
      <c r="K49" s="149" t="e">
        <f>SUM(FB47:FF47)/100/Lote_11</f>
        <v>#DIV/0!</v>
      </c>
      <c r="L49" s="149" t="e">
        <f>SUM(FG47:FK47)/100/Lote_11</f>
        <v>#DIV/0!</v>
      </c>
      <c r="M49" s="149" t="e">
        <f>SUM(FL47:FP47)/100/Lote_11</f>
        <v>#DIV/0!</v>
      </c>
    </row>
    <row r="50" spans="1:172" ht="21" customHeight="1" x14ac:dyDescent="0.3">
      <c r="A50" s="233">
        <f>N_L12</f>
        <v>0</v>
      </c>
      <c r="B50" s="363" t="s">
        <v>37</v>
      </c>
      <c r="C50" s="363" t="s">
        <v>37</v>
      </c>
      <c r="D50" s="363" t="s">
        <v>37</v>
      </c>
      <c r="E50" s="363" t="s">
        <v>37</v>
      </c>
      <c r="F50" s="363" t="s">
        <v>37</v>
      </c>
      <c r="G50" s="363" t="s">
        <v>37</v>
      </c>
      <c r="H50" s="363" t="s">
        <v>37</v>
      </c>
      <c r="I50" s="363" t="s">
        <v>37</v>
      </c>
      <c r="J50" s="363" t="s">
        <v>37</v>
      </c>
      <c r="K50" s="363" t="s">
        <v>37</v>
      </c>
      <c r="L50" s="363" t="s">
        <v>37</v>
      </c>
      <c r="M50" s="363" t="s">
        <v>37</v>
      </c>
    </row>
    <row r="51" spans="1:172" ht="21" customHeight="1" x14ac:dyDescent="0.3">
      <c r="A51" s="4" t="s">
        <v>237</v>
      </c>
      <c r="B51" s="7"/>
      <c r="C51" s="275"/>
      <c r="D51" s="275"/>
      <c r="E51" s="275"/>
      <c r="F51" s="275"/>
      <c r="G51" s="275"/>
      <c r="H51" s="275"/>
      <c r="I51" s="275"/>
      <c r="J51" s="275"/>
      <c r="K51" s="275"/>
      <c r="L51" s="275"/>
      <c r="M51" s="275"/>
      <c r="O51" s="58">
        <f>Área_L12*D_L12*A1_L12</f>
        <v>0</v>
      </c>
      <c r="P51" s="58">
        <f>Área_L12*D_L12*A2_L12</f>
        <v>0</v>
      </c>
      <c r="Q51" s="58">
        <f>Área_L12*D_L12*A3_L12</f>
        <v>0</v>
      </c>
      <c r="R51" s="58">
        <f>Área_L12*D_L12*A4_L12</f>
        <v>0</v>
      </c>
      <c r="S51" s="58">
        <f>Área_L12*D_L12*A5_L12</f>
        <v>0</v>
      </c>
      <c r="T51" s="58">
        <f>Área_L12*D_L12*A6_L12</f>
        <v>0</v>
      </c>
      <c r="U51" s="58">
        <f>Área_L12*D_L12*A7_L12</f>
        <v>0</v>
      </c>
      <c r="V51" s="58">
        <f>Área_L12*D_L12*A8_L12</f>
        <v>0</v>
      </c>
      <c r="W51" s="58">
        <f>Área_L12*D_L12*A9_L12</f>
        <v>0</v>
      </c>
      <c r="X51" s="58">
        <f>Área_L12*D_L12*A10_L12</f>
        <v>0</v>
      </c>
      <c r="Y51" s="58">
        <f>Área_L12*D_L12*A11_L12</f>
        <v>0</v>
      </c>
      <c r="Z51" s="58">
        <f>Área_L12*D_L12*A12_L12</f>
        <v>0</v>
      </c>
      <c r="AB51" s="58">
        <f>IF($B50="Producción",IF($B51&gt;=LI_A,$O51,0),0)</f>
        <v>0</v>
      </c>
      <c r="AC51" s="58">
        <f>IF($B50="Producción",IF($B51&gt;=LI_B,IF($B51&lt;LS_B,$O51,0),0),0)</f>
        <v>0</v>
      </c>
      <c r="AD51" s="58">
        <f>IF($B50="Producción",IF($B51&gt;=LI_C,IF($B51&lt;LS_C,$O51,0),0),0)</f>
        <v>0</v>
      </c>
      <c r="AE51" s="58">
        <f>IF($B50="Producción",IF($B51&lt;=LS_D,$O51,0),0)</f>
        <v>0</v>
      </c>
      <c r="AF51" s="365">
        <f>IF($B50="Crecimiento",$O51,0)</f>
        <v>0</v>
      </c>
      <c r="AG51" s="365">
        <f>IF($B50="Siembra",$O51,0)</f>
        <v>0</v>
      </c>
      <c r="AH51" s="365">
        <f>IF($B50="Abandono",$O51,0)</f>
        <v>0</v>
      </c>
      <c r="AI51" s="365">
        <f>IF($C50="Producción",IF($C51&gt;=LI_A,$P51,0),0)</f>
        <v>0</v>
      </c>
      <c r="AJ51" s="365">
        <f>IF($C50="Producción",IF($C51&gt;=LI_B,IF($C51&lt;LS_B,$P51,0),0),0)</f>
        <v>0</v>
      </c>
      <c r="AK51" s="365">
        <f>IF($C50="Producción",IF($C51&gt;=LI_C,IF($C51&lt;LS_C,$P51,0),0),0)</f>
        <v>0</v>
      </c>
      <c r="AL51" s="365">
        <f>IF($C50="Producción",IF(C51&lt;=LS_D,$P51,0),0)</f>
        <v>0</v>
      </c>
      <c r="AM51" s="365">
        <f>IF($C50="Crecimiento",$P51,0)</f>
        <v>0</v>
      </c>
      <c r="AN51" s="365">
        <f>IF($C50="Siembra",$P51,0)</f>
        <v>0</v>
      </c>
      <c r="AO51" s="365">
        <f>IF($C50="Abandono",$P51,0)</f>
        <v>0</v>
      </c>
      <c r="AP51" s="365">
        <f>IF($D50="Producción",IF($D51&gt;=LI_A,$Q51,0),0)</f>
        <v>0</v>
      </c>
      <c r="AQ51" s="365">
        <f>IF($D50="Producción",IF($D51&gt;=LI_B,IF($D51&lt;LS_B,$Q51,0),0),0)</f>
        <v>0</v>
      </c>
      <c r="AR51" s="365">
        <f>IF($D50="Producción",IF($D51&gt;=LI_C,IF($D51&lt;LS_C,$Q51,0),0),0)</f>
        <v>0</v>
      </c>
      <c r="AS51" s="365">
        <f>IF($D50="Producción",IF($D51&lt;=LS_D,$Q51,0),0)</f>
        <v>0</v>
      </c>
      <c r="AT51" s="365">
        <f>IF($D50="Crecimiento",$Q51,0)</f>
        <v>0</v>
      </c>
      <c r="AU51" s="365">
        <f>IF($D50="Siembra",$Q51,0)</f>
        <v>0</v>
      </c>
      <c r="AV51" s="365">
        <f>IF($D50="Abandono",$Q51,0)</f>
        <v>0</v>
      </c>
      <c r="AW51" s="365">
        <f>IF($E50="Producción",IF($E51&gt;=LI_A,$R51,0),0)</f>
        <v>0</v>
      </c>
      <c r="AX51" s="365">
        <f>IF($E50="Producción",IF($E51&gt;=LI_B,IF($E51&lt;LS_B,$R51,0),0),0)</f>
        <v>0</v>
      </c>
      <c r="AY51" s="365">
        <f>IF($E50="Producción",IF($E51&gt;=LI_C,IF($E51&lt;LS_C,$R51,0),0),0)</f>
        <v>0</v>
      </c>
      <c r="AZ51" s="365">
        <f>IF($E50="Producción",IF($E51&lt;=LS_D,$R51,0),0)</f>
        <v>0</v>
      </c>
      <c r="BA51" s="365">
        <f>IF($E50="Crecimiento",$R51,0)</f>
        <v>0</v>
      </c>
      <c r="BB51" s="365">
        <f>IF($E50="Siembra",$R51,0)</f>
        <v>0</v>
      </c>
      <c r="BC51" s="365">
        <f>IF($E50="Abandono",$R51,0)</f>
        <v>0</v>
      </c>
      <c r="BD51" s="365">
        <f>IF($F50="Producción",IF($F51&gt;=LI_A,$S51,0),0)</f>
        <v>0</v>
      </c>
      <c r="BE51" s="365">
        <f>IF($F50="Producción",IF($F51&gt;=LI_B,IF($F51&lt;LS_B,$S51,0),0),0)</f>
        <v>0</v>
      </c>
      <c r="BF51" s="365">
        <f>IF($F50="Producción",IF($F51&gt;=LI_C,IF($F51&lt;LS_C,$S51,0),0),0)</f>
        <v>0</v>
      </c>
      <c r="BG51" s="365">
        <f>IF($F50="Producción",IF($F51&lt;=LS_D,$S51,0),0)</f>
        <v>0</v>
      </c>
      <c r="BH51" s="365">
        <f>IF($F50="Crecimiento",$S51,0)</f>
        <v>0</v>
      </c>
      <c r="BI51" s="365">
        <f>IF($F50="Siembra",$S51,0)</f>
        <v>0</v>
      </c>
      <c r="BJ51" s="365">
        <f>IF($F50="Abandono",$S51,0)</f>
        <v>0</v>
      </c>
      <c r="BK51" s="365">
        <f>IF($G50="Producción",IF($G51&gt;=LI_A,$T51,0),0)</f>
        <v>0</v>
      </c>
      <c r="BL51" s="365">
        <f>IF($G50="Producción",IF($G51&gt;=LI_B,IF($G51&lt;LS_B,$T51,0),0),0)</f>
        <v>0</v>
      </c>
      <c r="BM51" s="365">
        <f>IF($G50="Producción",IF($G51&gt;=LI_C,IF($G51&lt;LS_C,$T51,0),0),0)</f>
        <v>0</v>
      </c>
      <c r="BN51" s="365">
        <f>IF($G50="Producción",IF($G51&lt;=LS_D,$T51,0),0)</f>
        <v>0</v>
      </c>
      <c r="BO51" s="365">
        <f>IF($G50="Crecimiento",$T51,0)</f>
        <v>0</v>
      </c>
      <c r="BP51" s="365">
        <f>IF($G50="Siembra",$T51,0)</f>
        <v>0</v>
      </c>
      <c r="BQ51" s="365">
        <f>IF($G50="Abandono",$T51,0)</f>
        <v>0</v>
      </c>
      <c r="BR51" s="365">
        <f>IF($H50="Producción",IF($H51&gt;=LI_A,$U51,0),0)</f>
        <v>0</v>
      </c>
      <c r="BS51" s="365">
        <f>IF($H50="Producción",IF($H51&gt;=LI_B,IF($H51&lt;LS_B,$U51,0),0),0)</f>
        <v>0</v>
      </c>
      <c r="BT51" s="365">
        <f>IF($H50="Producción",IF($H51&gt;=LI_C,IF($H51&lt;LS_C,$U51,0),0),0)</f>
        <v>0</v>
      </c>
      <c r="BU51" s="365">
        <f>IF($H50="Producción",IF($H51&lt;=LS_D,$U51,0),0)</f>
        <v>0</v>
      </c>
      <c r="BV51" s="365">
        <f>IF($H50="Crecimiento",$U51,0)</f>
        <v>0</v>
      </c>
      <c r="BW51" s="365">
        <f>IF($H50="Siembra",$U51,0)</f>
        <v>0</v>
      </c>
      <c r="BX51" s="365">
        <f>IF($H50="Abandono",$U51,0)</f>
        <v>0</v>
      </c>
      <c r="BY51" s="365">
        <f>IF($I50="Producción",IF($I51&gt;=LI_A,$V51,0),0)</f>
        <v>0</v>
      </c>
      <c r="BZ51" s="365">
        <f>IF($I50="Producción",IF($I51&gt;=LI_B,IF($I51&lt;LS_B,$V51,0),0),0)</f>
        <v>0</v>
      </c>
      <c r="CA51" s="365">
        <f>IF($I50="Producción",IF($I51&gt;=LI_C,IF($I51&lt;LS_C,$V51,0),0),0)</f>
        <v>0</v>
      </c>
      <c r="CB51" s="365">
        <f>IF($I50="Producción",IF($I51&lt;=LS_D,$V51,0),0)</f>
        <v>0</v>
      </c>
      <c r="CC51" s="365">
        <f>IF($I50="Crecimiento",$V51,0)</f>
        <v>0</v>
      </c>
      <c r="CD51" s="365">
        <f>IF($I50="Siembra",$V51,0)</f>
        <v>0</v>
      </c>
      <c r="CE51" s="365">
        <f>IF($I50="Abandono",$V51,0)</f>
        <v>0</v>
      </c>
      <c r="CF51" s="365">
        <f>IF($J50="Producción",IF($J51&gt;=LI_A,$W51,0),0)</f>
        <v>0</v>
      </c>
      <c r="CG51" s="365">
        <f>IF($J50="Producción",IF($J51&gt;=LI_B,IF($J51&lt;LS_B,$W51,0),0),0)</f>
        <v>0</v>
      </c>
      <c r="CH51" s="365">
        <f>IF($J50="Producción",IF($J51&gt;=LI_C,IF($J51&lt;LS_C,$W51,0),0),0)</f>
        <v>0</v>
      </c>
      <c r="CI51" s="365">
        <f>IF($J50="Producción",IF($J51&lt;=LS_D,$W51,0),0)</f>
        <v>0</v>
      </c>
      <c r="CJ51" s="365">
        <f>IF($J50="Crecimiento",$W51,0)</f>
        <v>0</v>
      </c>
      <c r="CK51" s="365">
        <f>IF($J50="Siembra",$W51,0)</f>
        <v>0</v>
      </c>
      <c r="CL51" s="365">
        <f>IF($J50="Abandono",$W51,0)</f>
        <v>0</v>
      </c>
      <c r="CM51" s="365">
        <f>IF($K50="Producción",IF($K51&gt;=LI_A,$X51,0),0)</f>
        <v>0</v>
      </c>
      <c r="CN51" s="365">
        <f>IF($K50="Producción",IF($K51&gt;=LI_B,IF($K51&lt;LS_B,$X51,0),0),0)</f>
        <v>0</v>
      </c>
      <c r="CO51" s="365">
        <f>IF($K50="Producción",IF($K51&gt;=LI_C,IF($K51&lt;LS_C,$X51,0),0),0)</f>
        <v>0</v>
      </c>
      <c r="CP51" s="365">
        <f>IF($K50="Producción",IF($K51&lt;=LS_D,$X51,0),0)</f>
        <v>0</v>
      </c>
      <c r="CQ51" s="365">
        <f>IF($K50="Crecimiento",IF($K51&gt;0,$X51,0),0)</f>
        <v>0</v>
      </c>
      <c r="CR51" s="365">
        <f>IF($K50="Siembra",IF($K51&gt;0,$X51,0),0)</f>
        <v>0</v>
      </c>
      <c r="CS51" s="365">
        <f>IF($K50="Abandono",IF($K51&gt;0,$X51,0),0)</f>
        <v>0</v>
      </c>
      <c r="CT51" s="365">
        <f>IF($L50="Producción",IF($L51&gt;=LI_A,$Y51,0),0)</f>
        <v>0</v>
      </c>
      <c r="CU51" s="365">
        <f>IF($L50="Producción",IF($L51&gt;=LI_B,IF($L51&lt;LS_B,$Y51,0),0),0)</f>
        <v>0</v>
      </c>
      <c r="CV51" s="365">
        <f>IF($L50="Producción",IF($L51&gt;=LI_C,IF($L51&lt;LS_C,$Y51,0),0),0)</f>
        <v>0</v>
      </c>
      <c r="CW51" s="365">
        <f>IF($L50="Producción",IF($L51&lt;=LS_D,$Y51,0),0)</f>
        <v>0</v>
      </c>
      <c r="CX51" s="365">
        <f>IF($L50="Crecimiento",$Y51,0)</f>
        <v>0</v>
      </c>
      <c r="CY51" s="365">
        <f>IF($L50="Siembra",$Y51,0)</f>
        <v>0</v>
      </c>
      <c r="CZ51" s="365">
        <f>IF($L50="Abandono",$Y51,0)</f>
        <v>0</v>
      </c>
      <c r="DA51" s="365">
        <f>IF($M50="Producción",IF($M51&gt;=LI_A,$Z51,0),0)</f>
        <v>0</v>
      </c>
      <c r="DB51" s="365">
        <f>IF($M50="Producción",IF($M51&gt;=LI_B,IF($M51&lt;LS_B,$Z51,0),0),0)</f>
        <v>0</v>
      </c>
      <c r="DC51" s="365">
        <f>IF($M50="Producción",IF($M51&gt;=LI_C,IF($M51&lt;LS_C,$Z51,0),0),0)</f>
        <v>0</v>
      </c>
      <c r="DD51" s="365">
        <f>IF($M50="Producción",IF($M51&lt;=LS_D,$Z51,0),0)</f>
        <v>0</v>
      </c>
      <c r="DE51" s="365">
        <f>IF($M50="Crecimiento",$Z51,0)</f>
        <v>0</v>
      </c>
      <c r="DF51" s="365">
        <f>IF($M50="Siembra",$Z51,0)</f>
        <v>0</v>
      </c>
      <c r="DG51" s="365">
        <f>IF($M50="Abandono",$Z51,0)</f>
        <v>0</v>
      </c>
      <c r="DI51" s="58">
        <f>AB51*$B51</f>
        <v>0</v>
      </c>
      <c r="DJ51" s="58">
        <f>AC51*$B51</f>
        <v>0</v>
      </c>
      <c r="DK51" s="58">
        <f>AD51*$B51</f>
        <v>0</v>
      </c>
      <c r="DL51" s="58">
        <f>AE51*$B51</f>
        <v>0</v>
      </c>
      <c r="DM51" s="365">
        <f>AF51*$B51</f>
        <v>0</v>
      </c>
      <c r="DN51" s="365">
        <f>AI51*$C51</f>
        <v>0</v>
      </c>
      <c r="DO51" s="365">
        <f>AJ51*$C51</f>
        <v>0</v>
      </c>
      <c r="DP51" s="365">
        <f>AK51*$C51</f>
        <v>0</v>
      </c>
      <c r="DQ51" s="365">
        <f>AL51*$C51</f>
        <v>0</v>
      </c>
      <c r="DR51" s="365">
        <f>AM51*$C51</f>
        <v>0</v>
      </c>
      <c r="DS51" s="365">
        <f>AP51*$D51</f>
        <v>0</v>
      </c>
      <c r="DT51" s="365">
        <f>AQ51*$D51</f>
        <v>0</v>
      </c>
      <c r="DU51" s="365">
        <f>AR51*$D51</f>
        <v>0</v>
      </c>
      <c r="DV51" s="365">
        <f>AS51*$D51</f>
        <v>0</v>
      </c>
      <c r="DW51" s="365">
        <f>AT51*$D51</f>
        <v>0</v>
      </c>
      <c r="DX51" s="365">
        <f>AW51*$E51</f>
        <v>0</v>
      </c>
      <c r="DY51" s="365">
        <f>AX51*$E51</f>
        <v>0</v>
      </c>
      <c r="DZ51" s="365">
        <f>AY51*$E51</f>
        <v>0</v>
      </c>
      <c r="EA51" s="365">
        <f>AZ51*$E51</f>
        <v>0</v>
      </c>
      <c r="EB51" s="365">
        <f>BA51*$E51</f>
        <v>0</v>
      </c>
      <c r="EC51" s="365">
        <f>BD51*$F51</f>
        <v>0</v>
      </c>
      <c r="ED51" s="365">
        <f>BE51*$F51</f>
        <v>0</v>
      </c>
      <c r="EE51" s="365">
        <f>BF51*$F51</f>
        <v>0</v>
      </c>
      <c r="EF51" s="365">
        <f>BG51*$F51</f>
        <v>0</v>
      </c>
      <c r="EG51" s="365">
        <f>BH51*$F51</f>
        <v>0</v>
      </c>
      <c r="EH51" s="365">
        <f>BK51*$G51</f>
        <v>0</v>
      </c>
      <c r="EI51" s="365">
        <f>BL51*$G51</f>
        <v>0</v>
      </c>
      <c r="EJ51" s="365">
        <f>BM51*$G51</f>
        <v>0</v>
      </c>
      <c r="EK51" s="365">
        <f>BN51*$G51</f>
        <v>0</v>
      </c>
      <c r="EL51" s="365">
        <f>BO51*$G51</f>
        <v>0</v>
      </c>
      <c r="EM51" s="365">
        <f>BR51*$H51</f>
        <v>0</v>
      </c>
      <c r="EN51" s="365">
        <f>BS51*$H51</f>
        <v>0</v>
      </c>
      <c r="EO51" s="365">
        <f>BT51*$H51</f>
        <v>0</v>
      </c>
      <c r="EP51" s="365">
        <f>BU51*$H51</f>
        <v>0</v>
      </c>
      <c r="EQ51" s="365">
        <f>BV51*$H51</f>
        <v>0</v>
      </c>
      <c r="ER51" s="365">
        <f>BY51*$I51</f>
        <v>0</v>
      </c>
      <c r="ES51" s="365">
        <f>BZ51*$I51</f>
        <v>0</v>
      </c>
      <c r="ET51" s="365">
        <f>CA51*$I51</f>
        <v>0</v>
      </c>
      <c r="EU51" s="365">
        <f>CB51*$I51</f>
        <v>0</v>
      </c>
      <c r="EV51" s="365">
        <f>CC51*$I51</f>
        <v>0</v>
      </c>
      <c r="EW51" s="365">
        <f>CF51*$J51</f>
        <v>0</v>
      </c>
      <c r="EX51" s="365">
        <f>CG51*$J51</f>
        <v>0</v>
      </c>
      <c r="EY51" s="365">
        <f>CH51*$J51</f>
        <v>0</v>
      </c>
      <c r="EZ51" s="365">
        <f>CI51*$J51</f>
        <v>0</v>
      </c>
      <c r="FA51" s="365">
        <f>CJ51*$J51</f>
        <v>0</v>
      </c>
      <c r="FB51" s="365">
        <f>CM51*$K51</f>
        <v>0</v>
      </c>
      <c r="FC51" s="365">
        <f>CN51*$K51</f>
        <v>0</v>
      </c>
      <c r="FD51" s="365">
        <f>CO51*$K51</f>
        <v>0</v>
      </c>
      <c r="FE51" s="365">
        <f>CP51*$K51</f>
        <v>0</v>
      </c>
      <c r="FF51" s="365">
        <f>CQ51*$K51</f>
        <v>0</v>
      </c>
      <c r="FG51" s="365">
        <f>CT51*$L51</f>
        <v>0</v>
      </c>
      <c r="FH51" s="365">
        <f>CU51*$L51</f>
        <v>0</v>
      </c>
      <c r="FI51" s="365">
        <f>CV51*$L51</f>
        <v>0</v>
      </c>
      <c r="FJ51" s="365">
        <f>CW51*$L51</f>
        <v>0</v>
      </c>
      <c r="FK51" s="365">
        <f>CX51*$L51</f>
        <v>0</v>
      </c>
      <c r="FL51" s="365">
        <f>DA51*$M51</f>
        <v>0</v>
      </c>
      <c r="FM51" s="365">
        <f t="shared" ref="FM51" si="35">DB51*$M51</f>
        <v>0</v>
      </c>
      <c r="FN51" s="365">
        <f>DC51*$M51</f>
        <v>0</v>
      </c>
      <c r="FO51" s="365">
        <f t="shared" ref="FO51" si="36">DD51*$M51</f>
        <v>0</v>
      </c>
      <c r="FP51" s="365">
        <f t="shared" ref="FP51" si="37">DE51*$M51</f>
        <v>0</v>
      </c>
    </row>
    <row r="52" spans="1:172" ht="21" customHeight="1" x14ac:dyDescent="0.3">
      <c r="A52" s="277" t="s">
        <v>238</v>
      </c>
      <c r="B52" s="278">
        <f>SUM(DI51:DM51)/100</f>
        <v>0</v>
      </c>
      <c r="C52" s="278">
        <f>SUM(DN51:DQ51)/100</f>
        <v>0</v>
      </c>
      <c r="D52" s="279">
        <f>SUM(DS51:DW51)/100</f>
        <v>0</v>
      </c>
      <c r="E52" s="279">
        <f>SUM(DX51:EB51)/100</f>
        <v>0</v>
      </c>
      <c r="F52" s="279">
        <f>SUM(EC51:EG51)/100</f>
        <v>0</v>
      </c>
      <c r="G52" s="279">
        <f>SUM(EH51:EL51)/100</f>
        <v>0</v>
      </c>
      <c r="H52" s="279">
        <f>SUM(EM51:EQ51)/100</f>
        <v>0</v>
      </c>
      <c r="I52" s="279">
        <f>SUM(ER51:EV51)/100</f>
        <v>0</v>
      </c>
      <c r="J52" s="279">
        <f>SUM(EW51:FA51)/100</f>
        <v>0</v>
      </c>
      <c r="K52" s="279">
        <f>SUM(FB51:FF51)/100</f>
        <v>0</v>
      </c>
      <c r="L52" s="279">
        <f>SUM(FG51:FK51)/100</f>
        <v>0</v>
      </c>
      <c r="M52" s="279">
        <f>SUM(FL51:FP51)/100</f>
        <v>0</v>
      </c>
      <c r="AG52" s="365"/>
      <c r="AH52" s="365"/>
      <c r="AI52" s="365"/>
      <c r="AJ52" s="365"/>
      <c r="AK52" s="365"/>
      <c r="AL52" s="365"/>
      <c r="AM52" s="365"/>
      <c r="AN52" s="365"/>
      <c r="AO52" s="365"/>
      <c r="AP52" s="365"/>
      <c r="AQ52" s="365"/>
      <c r="AR52" s="365"/>
      <c r="AS52" s="365"/>
      <c r="AT52" s="365"/>
      <c r="AU52" s="365"/>
      <c r="AV52" s="365"/>
      <c r="AW52" s="365"/>
      <c r="AX52" s="365"/>
      <c r="AY52" s="365"/>
      <c r="AZ52" s="365"/>
      <c r="BA52" s="365"/>
      <c r="BB52" s="365"/>
      <c r="BC52" s="365"/>
      <c r="BD52" s="365"/>
      <c r="BE52" s="365"/>
      <c r="BF52" s="365"/>
      <c r="BG52" s="365"/>
      <c r="BH52" s="365"/>
      <c r="BI52" s="365"/>
      <c r="BJ52" s="365"/>
      <c r="BK52" s="365"/>
      <c r="BL52" s="365"/>
      <c r="BM52" s="365"/>
      <c r="BN52" s="365"/>
      <c r="BO52" s="365"/>
      <c r="BP52" s="365"/>
      <c r="BQ52" s="365"/>
      <c r="BR52" s="365"/>
      <c r="BS52" s="365"/>
      <c r="BT52" s="365"/>
      <c r="BU52" s="365"/>
      <c r="BV52" s="365"/>
      <c r="BW52" s="365"/>
      <c r="BX52" s="365"/>
      <c r="BY52" s="365"/>
      <c r="BZ52" s="365"/>
      <c r="CA52" s="365"/>
      <c r="CB52" s="365"/>
      <c r="CC52" s="365"/>
      <c r="CD52" s="365"/>
      <c r="CE52" s="365"/>
      <c r="CF52" s="365"/>
      <c r="CG52" s="365"/>
      <c r="CH52" s="365"/>
      <c r="CI52" s="365"/>
      <c r="CJ52" s="365"/>
      <c r="CK52" s="365"/>
      <c r="CL52" s="365"/>
      <c r="CM52" s="365"/>
      <c r="CN52" s="365"/>
      <c r="CO52" s="365"/>
      <c r="CP52" s="365"/>
      <c r="CQ52" s="365"/>
      <c r="CR52" s="365"/>
      <c r="CS52" s="365"/>
      <c r="CT52" s="365"/>
      <c r="CU52" s="365"/>
      <c r="CV52" s="365"/>
      <c r="CW52" s="365"/>
      <c r="CX52" s="365"/>
      <c r="CY52" s="365"/>
      <c r="CZ52" s="365"/>
      <c r="DA52" s="365"/>
      <c r="DB52" s="365"/>
      <c r="DC52" s="365"/>
      <c r="DD52" s="365"/>
      <c r="DE52" s="365"/>
      <c r="DF52" s="365"/>
      <c r="DG52" s="365"/>
      <c r="DM52" s="365"/>
      <c r="DN52" s="365"/>
      <c r="DO52" s="365"/>
      <c r="DP52" s="365"/>
      <c r="DQ52" s="365"/>
      <c r="DR52" s="365"/>
      <c r="DS52" s="365"/>
      <c r="DT52" s="365"/>
      <c r="DU52" s="365"/>
      <c r="DV52" s="365"/>
      <c r="DW52" s="365"/>
      <c r="DX52" s="365"/>
      <c r="DY52" s="365"/>
      <c r="DZ52" s="365"/>
      <c r="EA52" s="365"/>
      <c r="EB52" s="365"/>
      <c r="EC52" s="365"/>
      <c r="ED52" s="365"/>
      <c r="EE52" s="365"/>
      <c r="EF52" s="365"/>
      <c r="EG52" s="365"/>
      <c r="EH52" s="365"/>
      <c r="EI52" s="365"/>
      <c r="EJ52" s="365"/>
      <c r="EK52" s="365"/>
      <c r="EL52" s="365"/>
      <c r="EM52" s="365"/>
      <c r="EN52" s="365"/>
      <c r="EO52" s="365"/>
      <c r="EP52" s="365"/>
      <c r="EQ52" s="365"/>
      <c r="ER52" s="365"/>
      <c r="ES52" s="365"/>
      <c r="ET52" s="365"/>
      <c r="EU52" s="365"/>
      <c r="EV52" s="365"/>
      <c r="EW52" s="365"/>
      <c r="EX52" s="365"/>
      <c r="EY52" s="365"/>
      <c r="EZ52" s="365"/>
      <c r="FA52" s="365"/>
      <c r="FB52" s="365"/>
      <c r="FC52" s="365"/>
      <c r="FD52" s="365"/>
      <c r="FE52" s="365"/>
      <c r="FF52" s="365"/>
      <c r="FG52" s="365"/>
      <c r="FH52" s="365"/>
      <c r="FI52" s="365"/>
      <c r="FJ52" s="365"/>
      <c r="FK52" s="365"/>
      <c r="FL52" s="365"/>
      <c r="FM52" s="365"/>
      <c r="FN52" s="365"/>
      <c r="FO52" s="365"/>
      <c r="FP52" s="365"/>
    </row>
    <row r="53" spans="1:172" ht="21" customHeight="1" x14ac:dyDescent="0.3">
      <c r="A53" s="150" t="s">
        <v>239</v>
      </c>
      <c r="B53" s="149" t="e">
        <f>SUM(DI51:DM51)/100/Lote_12</f>
        <v>#DIV/0!</v>
      </c>
      <c r="C53" s="149" t="e">
        <f>SUM(DN51:DQ51)/100/Lote_12</f>
        <v>#DIV/0!</v>
      </c>
      <c r="D53" s="149" t="e">
        <f>SUM(DS51:DW51)/100/Lote_12</f>
        <v>#DIV/0!</v>
      </c>
      <c r="E53" s="149" t="e">
        <f>SUM(DX51:EB51)/100/Lote_12</f>
        <v>#DIV/0!</v>
      </c>
      <c r="F53" s="149" t="e">
        <f>SUM(EC51:EG51)/100/Lote_12</f>
        <v>#DIV/0!</v>
      </c>
      <c r="G53" s="149" t="e">
        <f>SUM(EH51:EL51)/100/Lote_12</f>
        <v>#DIV/0!</v>
      </c>
      <c r="H53" s="149" t="e">
        <f>SUM(EM51:EQ51)/100/Lote_12</f>
        <v>#DIV/0!</v>
      </c>
      <c r="I53" s="149" t="e">
        <f>SUM(ER51:EV51)/100/Lote_12</f>
        <v>#DIV/0!</v>
      </c>
      <c r="J53" s="149" t="e">
        <f>SUM(EW51:FA51)/100/Lote_12</f>
        <v>#DIV/0!</v>
      </c>
      <c r="K53" s="149" t="e">
        <f>SUM(FB51:FF51)/100/Lote_12</f>
        <v>#DIV/0!</v>
      </c>
      <c r="L53" s="149" t="e">
        <f>SUM(FG51:FK51)/100/Lote_12</f>
        <v>#DIV/0!</v>
      </c>
      <c r="M53" s="149" t="e">
        <f>SUM(FL51:FP51)/100/Lote_12</f>
        <v>#DIV/0!</v>
      </c>
    </row>
    <row r="54" spans="1:172" ht="21" customHeight="1" x14ac:dyDescent="0.3">
      <c r="A54" s="233">
        <f>N_L13</f>
        <v>0</v>
      </c>
      <c r="B54" s="363" t="s">
        <v>37</v>
      </c>
      <c r="C54" s="363" t="s">
        <v>37</v>
      </c>
      <c r="D54" s="363" t="s">
        <v>37</v>
      </c>
      <c r="E54" s="363" t="s">
        <v>37</v>
      </c>
      <c r="F54" s="363" t="s">
        <v>37</v>
      </c>
      <c r="G54" s="363" t="s">
        <v>37</v>
      </c>
      <c r="H54" s="363" t="s">
        <v>37</v>
      </c>
      <c r="I54" s="363" t="s">
        <v>37</v>
      </c>
      <c r="J54" s="363" t="s">
        <v>37</v>
      </c>
      <c r="K54" s="363" t="s">
        <v>37</v>
      </c>
      <c r="L54" s="363" t="s">
        <v>37</v>
      </c>
      <c r="M54" s="363" t="s">
        <v>37</v>
      </c>
    </row>
    <row r="55" spans="1:172" ht="21" customHeight="1" x14ac:dyDescent="0.3">
      <c r="A55" s="4" t="s">
        <v>237</v>
      </c>
      <c r="B55" s="7"/>
      <c r="C55" s="275"/>
      <c r="D55" s="275"/>
      <c r="E55" s="275"/>
      <c r="F55" s="275"/>
      <c r="G55" s="275"/>
      <c r="H55" s="275"/>
      <c r="I55" s="275"/>
      <c r="J55" s="275"/>
      <c r="K55" s="275"/>
      <c r="L55" s="275"/>
      <c r="M55" s="275"/>
      <c r="O55" s="58">
        <f>Área_L13*D_L13*A1_L13</f>
        <v>0</v>
      </c>
      <c r="P55" s="58">
        <f>Área_L13*D_L13*A2_L13</f>
        <v>0</v>
      </c>
      <c r="Q55" s="58">
        <f>Área_L13*D_L13*A3_L13</f>
        <v>0</v>
      </c>
      <c r="R55" s="58">
        <f>Área_L13*D_L13*A4_L13</f>
        <v>0</v>
      </c>
      <c r="S55" s="58">
        <f>Área_L13*D_L13*A5_L13</f>
        <v>0</v>
      </c>
      <c r="T55" s="58">
        <f>Área_L13*D_L13*A6_L13</f>
        <v>0</v>
      </c>
      <c r="U55" s="58">
        <f>Área_L13*D_L13*A7_L13</f>
        <v>0</v>
      </c>
      <c r="V55" s="58">
        <f>Área_L13*D_L13*A8_L13</f>
        <v>0</v>
      </c>
      <c r="W55" s="58">
        <f>Área_L13*D_L13*A9_L13</f>
        <v>0</v>
      </c>
      <c r="X55" s="58">
        <f>Área_L13*D_L13*A10_L13</f>
        <v>0</v>
      </c>
      <c r="Y55" s="58">
        <f>Área_L13*D_L13*A11_L13</f>
        <v>0</v>
      </c>
      <c r="Z55" s="58">
        <f>Área_L13*D_L13*A12_L13</f>
        <v>0</v>
      </c>
      <c r="AB55" s="58">
        <f>IF($B54="Producción",IF($B55&gt;=LI_A,$O55,0),0)</f>
        <v>0</v>
      </c>
      <c r="AC55" s="58">
        <f>IF($B54="Producción",IF($B55&gt;=LI_B,IF($B55&lt;LS_B,$O55,0),0),0)</f>
        <v>0</v>
      </c>
      <c r="AD55" s="58">
        <f>IF($B54="Producción",IF($B55&gt;=LI_C,IF($B55&lt;LS_C,$O55,0),0),0)</f>
        <v>0</v>
      </c>
      <c r="AE55" s="58">
        <f>IF($B54="Producción",IF($B55&lt;=LS_D,$O55,0),0)</f>
        <v>0</v>
      </c>
      <c r="AF55" s="365">
        <f>IF($B54="Crecimiento",$O55,0)</f>
        <v>0</v>
      </c>
      <c r="AG55" s="365">
        <f>IF($B54="Siembra",$O55,0)</f>
        <v>0</v>
      </c>
      <c r="AH55" s="365">
        <f>IF($B54="Abandono",$O55,0)</f>
        <v>0</v>
      </c>
      <c r="AI55" s="365">
        <f>IF($C54="Producción",IF($C55&gt;=LI_A,$P55,0),0)</f>
        <v>0</v>
      </c>
      <c r="AJ55" s="365">
        <f>IF($C54="Producción",IF($C55&gt;=LI_B,IF($C55&lt;LS_B,$P55,0),0),0)</f>
        <v>0</v>
      </c>
      <c r="AK55" s="365">
        <f>IF($C54="Producción",IF($C55&gt;=LI_C,IF($C55&lt;LS_C,$P55,0),0),0)</f>
        <v>0</v>
      </c>
      <c r="AL55" s="365">
        <f>IF($C54="Producción",IF(C55&lt;=LS_D,$P55,0),0)</f>
        <v>0</v>
      </c>
      <c r="AM55" s="365">
        <f>IF($C54="Crecimiento",$P55,0)</f>
        <v>0</v>
      </c>
      <c r="AN55" s="365">
        <f>IF($C54="Siembra",$P55,0)</f>
        <v>0</v>
      </c>
      <c r="AO55" s="365">
        <f>IF($C54="Abandono",$P55,0)</f>
        <v>0</v>
      </c>
      <c r="AP55" s="365">
        <f>IF($D54="Producción",IF($D55&gt;=LI_A,$Q55,0),0)</f>
        <v>0</v>
      </c>
      <c r="AQ55" s="365">
        <f>IF($D54="Producción",IF($D55&gt;=LI_B,IF($D55&lt;LS_B,$Q55,0),0),0)</f>
        <v>0</v>
      </c>
      <c r="AR55" s="365">
        <f>IF($D54="Producción",IF($D55&gt;=LI_C,IF($D55&lt;LS_C,$Q55,0),0),0)</f>
        <v>0</v>
      </c>
      <c r="AS55" s="365">
        <f>IF($D54="Producción",IF($D55&lt;=LS_D,$Q55,0),0)</f>
        <v>0</v>
      </c>
      <c r="AT55" s="365">
        <f>IF($D54="Crecimiento",$Q55,0)</f>
        <v>0</v>
      </c>
      <c r="AU55" s="365">
        <f>IF($D54="Siembra",$Q55,0)</f>
        <v>0</v>
      </c>
      <c r="AV55" s="365">
        <f>IF($D54="Abandono",$Q55,0)</f>
        <v>0</v>
      </c>
      <c r="AW55" s="365">
        <f>IF($E54="Producción",IF($E55&gt;=LI_A,$R55,0),0)</f>
        <v>0</v>
      </c>
      <c r="AX55" s="365">
        <f>IF($E54="Producción",IF($E55&gt;=LI_B,IF($E55&lt;LS_B,$R55,0),0),0)</f>
        <v>0</v>
      </c>
      <c r="AY55" s="365">
        <f>IF($E54="Producción",IF($E55&gt;=LI_C,IF($E55&lt;LS_C,$R55,0),0),0)</f>
        <v>0</v>
      </c>
      <c r="AZ55" s="365">
        <f>IF($E54="Producción",IF($E55&lt;=LS_D,$R55,0),0)</f>
        <v>0</v>
      </c>
      <c r="BA55" s="365">
        <f>IF($E54="Crecimiento",$R55,0)</f>
        <v>0</v>
      </c>
      <c r="BB55" s="365">
        <f>IF($E54="Siembra",$R55,0)</f>
        <v>0</v>
      </c>
      <c r="BC55" s="365">
        <f>IF($E54="Abandono",$R55,0)</f>
        <v>0</v>
      </c>
      <c r="BD55" s="365">
        <f>IF($F54="Producción",IF($F55&gt;=LI_A,$S55,0),0)</f>
        <v>0</v>
      </c>
      <c r="BE55" s="365">
        <f>IF($F54="Producción",IF($F55&gt;=LI_B,IF($F55&lt;LS_B,$S55,0),0),0)</f>
        <v>0</v>
      </c>
      <c r="BF55" s="365">
        <f>IF($F54="Producción",IF($F55&gt;=LI_C,IF($F55&lt;LS_C,$S55,0),0),0)</f>
        <v>0</v>
      </c>
      <c r="BG55" s="365">
        <f>IF($F54="Producción",IF($F55&lt;=LS_D,$S55,0),0)</f>
        <v>0</v>
      </c>
      <c r="BH55" s="365">
        <f>IF($F54="Crecimiento",$S55,0)</f>
        <v>0</v>
      </c>
      <c r="BI55" s="365">
        <f>IF($F54="Siembra",$S55,0)</f>
        <v>0</v>
      </c>
      <c r="BJ55" s="365">
        <f>IF($F54="Abandono",$S55,0)</f>
        <v>0</v>
      </c>
      <c r="BK55" s="365">
        <f>IF($G54="Producción",IF($G55&gt;=LI_A,$T55,0),0)</f>
        <v>0</v>
      </c>
      <c r="BL55" s="365">
        <f>IF($G54="Producción",IF($G55&gt;=LI_B,IF($G55&lt;LS_B,$T55,0),0),0)</f>
        <v>0</v>
      </c>
      <c r="BM55" s="365">
        <f>IF($G54="Producción",IF($G55&gt;=LI_C,IF($G55&lt;LS_C,$T55,0),0),0)</f>
        <v>0</v>
      </c>
      <c r="BN55" s="365">
        <f>IF($G54="Producción",IF($G55&lt;=LS_D,$T55,0),0)</f>
        <v>0</v>
      </c>
      <c r="BO55" s="365">
        <f>IF($G54="Crecimiento",$T55,0)</f>
        <v>0</v>
      </c>
      <c r="BP55" s="365">
        <f>IF($G54="Siembra",$T55,0)</f>
        <v>0</v>
      </c>
      <c r="BQ55" s="365">
        <f>IF($G54="Abandono",$T55,0)</f>
        <v>0</v>
      </c>
      <c r="BR55" s="365">
        <f>IF($H54="Producción",IF($H55&gt;=LI_A,$U55,0),0)</f>
        <v>0</v>
      </c>
      <c r="BS55" s="365">
        <f>IF($H54="Producción",IF($H55&gt;=LI_B,IF($H55&lt;LS_B,$U55,0),0),0)</f>
        <v>0</v>
      </c>
      <c r="BT55" s="365">
        <f>IF($H54="Producción",IF($H55&gt;=LI_C,IF($H55&lt;LS_C,$U55,0),0),0)</f>
        <v>0</v>
      </c>
      <c r="BU55" s="365">
        <f>IF($H54="Producción",IF($H55&lt;=LS_D,$U55,0),0)</f>
        <v>0</v>
      </c>
      <c r="BV55" s="365">
        <f>IF($H54="Crecimiento",$U55,0)</f>
        <v>0</v>
      </c>
      <c r="BW55" s="365">
        <f>IF($H54="Siembra",$U55,0)</f>
        <v>0</v>
      </c>
      <c r="BX55" s="365">
        <f>IF($H54="Abandono",$U55,0)</f>
        <v>0</v>
      </c>
      <c r="BY55" s="365">
        <f>IF($I54="Producción",IF($I55&gt;=LI_A,$V55,0),0)</f>
        <v>0</v>
      </c>
      <c r="BZ55" s="365">
        <f>IF($I54="Producción",IF($I55&gt;=LI_B,IF($I55&lt;LS_B,$V55,0),0),0)</f>
        <v>0</v>
      </c>
      <c r="CA55" s="365">
        <f>IF($I54="Producción",IF($I55&gt;=LI_C,IF($I55&lt;LS_C,$V55,0),0),0)</f>
        <v>0</v>
      </c>
      <c r="CB55" s="365">
        <f>IF($I54="Producción",IF($I55&lt;=LS_D,$V55,0),0)</f>
        <v>0</v>
      </c>
      <c r="CC55" s="365">
        <f>IF($I54="Crecimiento",$V55,0)</f>
        <v>0</v>
      </c>
      <c r="CD55" s="365">
        <f>IF($I54="Siembra",$V55,0)</f>
        <v>0</v>
      </c>
      <c r="CE55" s="365">
        <f>IF($I54="Abandono",$V55,0)</f>
        <v>0</v>
      </c>
      <c r="CF55" s="365">
        <f>IF($J54="Producción",IF($J55&gt;=LI_A,$W55,0),0)</f>
        <v>0</v>
      </c>
      <c r="CG55" s="365">
        <f>IF($J54="Producción",IF($J55&gt;=LI_B,IF($J55&lt;LS_B,$W55,0),0),0)</f>
        <v>0</v>
      </c>
      <c r="CH55" s="365">
        <f>IF($J54="Producción",IF($J55&gt;=LI_C,IF($J55&lt;LS_C,$W55,0),0),0)</f>
        <v>0</v>
      </c>
      <c r="CI55" s="365">
        <f>IF($J54="Producción",IF($J55&lt;=LS_D,$W55,0),0)</f>
        <v>0</v>
      </c>
      <c r="CJ55" s="365">
        <f>IF($J54="Crecimiento",$W55,0)</f>
        <v>0</v>
      </c>
      <c r="CK55" s="365">
        <f>IF($J54="Siembra",$W55,0)</f>
        <v>0</v>
      </c>
      <c r="CL55" s="365">
        <f>IF($J54="Abandono",$W55,0)</f>
        <v>0</v>
      </c>
      <c r="CM55" s="365">
        <f>IF($K54="Producción",IF($K55&gt;=LI_A,$X55,0),0)</f>
        <v>0</v>
      </c>
      <c r="CN55" s="365">
        <f>IF($K54="Producción",IF($K55&gt;=LI_B,IF($K55&lt;LS_B,$X55,0),0),0)</f>
        <v>0</v>
      </c>
      <c r="CO55" s="365">
        <f>IF($K54="Producción",IF($K55&gt;=LI_C,IF($K55&lt;LS_C,$X55,0),0),0)</f>
        <v>0</v>
      </c>
      <c r="CP55" s="365">
        <f>IF($K54="Producción",IF($K55&lt;=LS_D,$X55,0),0)</f>
        <v>0</v>
      </c>
      <c r="CQ55" s="365">
        <f>IF($K54="Crecimiento",IF($K55&gt;0,$X55,0),0)</f>
        <v>0</v>
      </c>
      <c r="CR55" s="365">
        <f>IF($K54="Siembra",IF($K55&gt;0,$X55,0),0)</f>
        <v>0</v>
      </c>
      <c r="CS55" s="365">
        <f>IF($K54="Abandono",IF($K55&gt;0,$X55,0),0)</f>
        <v>0</v>
      </c>
      <c r="CT55" s="365">
        <f>IF($L54="Producción",IF($L55&gt;=LI_A,$Y55,0),0)</f>
        <v>0</v>
      </c>
      <c r="CU55" s="365">
        <f>IF($L54="Producción",IF($L55&gt;=LI_B,IF($L55&lt;LS_B,$Y55,0),0),0)</f>
        <v>0</v>
      </c>
      <c r="CV55" s="365">
        <f>IF($L54="Producción",IF($L55&gt;=LI_C,IF($L55&lt;LS_C,$Y55,0),0),0)</f>
        <v>0</v>
      </c>
      <c r="CW55" s="365">
        <f>IF($L54="Producción",IF($L55&lt;=LS_D,$Y55,0),0)</f>
        <v>0</v>
      </c>
      <c r="CX55" s="365">
        <f>IF($L54="Crecimiento",$Y55,0)</f>
        <v>0</v>
      </c>
      <c r="CY55" s="365">
        <f>IF($L54="Siembra",$Y55,0)</f>
        <v>0</v>
      </c>
      <c r="CZ55" s="365">
        <f>IF($L54="Abandono",$Y55,0)</f>
        <v>0</v>
      </c>
      <c r="DA55" s="365">
        <f>IF($M54="Producción",IF($M55&gt;=LI_A,$Z55,0),0)</f>
        <v>0</v>
      </c>
      <c r="DB55" s="365">
        <f>IF($M54="Producción",IF($M55&gt;=LI_B,IF($M55&lt;LS_B,$Z55,0),0),0)</f>
        <v>0</v>
      </c>
      <c r="DC55" s="365">
        <f>IF($M54="Producción",IF($M55&gt;=LI_C,IF($M55&lt;LS_C,$Z55,0),0),0)</f>
        <v>0</v>
      </c>
      <c r="DD55" s="365">
        <f>IF($M54="Producción",IF($M55&lt;=LS_D,$Z55,0),0)</f>
        <v>0</v>
      </c>
      <c r="DE55" s="365">
        <f>IF($M54="Crecimiento",$Z55,0)</f>
        <v>0</v>
      </c>
      <c r="DF55" s="365">
        <f>IF($M54="Siembra",$Z55,0)</f>
        <v>0</v>
      </c>
      <c r="DG55" s="365">
        <f>IF($M54="Abandono",$Z55,0)</f>
        <v>0</v>
      </c>
      <c r="DI55" s="58">
        <f>AB55*$B55</f>
        <v>0</v>
      </c>
      <c r="DJ55" s="58">
        <f>AC55*$B55</f>
        <v>0</v>
      </c>
      <c r="DK55" s="58">
        <f>AD55*$B55</f>
        <v>0</v>
      </c>
      <c r="DL55" s="58">
        <f>AE55*$B55</f>
        <v>0</v>
      </c>
      <c r="DM55" s="365">
        <f>AF55*$B55</f>
        <v>0</v>
      </c>
      <c r="DN55" s="365">
        <f>AI55*$C55</f>
        <v>0</v>
      </c>
      <c r="DO55" s="365">
        <f>AJ55*$C55</f>
        <v>0</v>
      </c>
      <c r="DP55" s="365">
        <f>AK55*$C55</f>
        <v>0</v>
      </c>
      <c r="DQ55" s="365">
        <f>AL55*$C55</f>
        <v>0</v>
      </c>
      <c r="DR55" s="365">
        <f>AM55*$C55</f>
        <v>0</v>
      </c>
      <c r="DS55" s="365">
        <f>AP55*$D55</f>
        <v>0</v>
      </c>
      <c r="DT55" s="365">
        <f>AQ55*$D55</f>
        <v>0</v>
      </c>
      <c r="DU55" s="365">
        <f>AR55*$D55</f>
        <v>0</v>
      </c>
      <c r="DV55" s="365">
        <f>AS55*$D55</f>
        <v>0</v>
      </c>
      <c r="DW55" s="365">
        <f>AT55*$D55</f>
        <v>0</v>
      </c>
      <c r="DX55" s="365">
        <f>AW55*$E55</f>
        <v>0</v>
      </c>
      <c r="DY55" s="365">
        <f>AX55*$E55</f>
        <v>0</v>
      </c>
      <c r="DZ55" s="365">
        <f>AY55*$E55</f>
        <v>0</v>
      </c>
      <c r="EA55" s="365">
        <f>AZ55*$E55</f>
        <v>0</v>
      </c>
      <c r="EB55" s="365">
        <f>BA55*$E55</f>
        <v>0</v>
      </c>
      <c r="EC55" s="365">
        <f>BD55*$F55</f>
        <v>0</v>
      </c>
      <c r="ED55" s="365">
        <f>BE55*$F55</f>
        <v>0</v>
      </c>
      <c r="EE55" s="365">
        <f>BF55*$F55</f>
        <v>0</v>
      </c>
      <c r="EF55" s="365">
        <f>BG55*$F55</f>
        <v>0</v>
      </c>
      <c r="EG55" s="365">
        <f>BH55*$F55</f>
        <v>0</v>
      </c>
      <c r="EH55" s="365">
        <f>BK55*$G55</f>
        <v>0</v>
      </c>
      <c r="EI55" s="365">
        <f>BL55*$G55</f>
        <v>0</v>
      </c>
      <c r="EJ55" s="365">
        <f>BM55*$G55</f>
        <v>0</v>
      </c>
      <c r="EK55" s="365">
        <f>BN55*$G55</f>
        <v>0</v>
      </c>
      <c r="EL55" s="365">
        <f>BO55*$G55</f>
        <v>0</v>
      </c>
      <c r="EM55" s="365">
        <f>BR55*$H55</f>
        <v>0</v>
      </c>
      <c r="EN55" s="365">
        <f>BS55*$H55</f>
        <v>0</v>
      </c>
      <c r="EO55" s="365">
        <f>BT55*$H55</f>
        <v>0</v>
      </c>
      <c r="EP55" s="365">
        <f>BU55*$H55</f>
        <v>0</v>
      </c>
      <c r="EQ55" s="365">
        <f>BV55*$H55</f>
        <v>0</v>
      </c>
      <c r="ER55" s="365">
        <f>BY55*$I55</f>
        <v>0</v>
      </c>
      <c r="ES55" s="365">
        <f>BZ55*$I55</f>
        <v>0</v>
      </c>
      <c r="ET55" s="365">
        <f>CA55*$I55</f>
        <v>0</v>
      </c>
      <c r="EU55" s="365">
        <f>CB55*$I55</f>
        <v>0</v>
      </c>
      <c r="EV55" s="365">
        <f>CC55*$I55</f>
        <v>0</v>
      </c>
      <c r="EW55" s="365">
        <f>CF55*$J55</f>
        <v>0</v>
      </c>
      <c r="EX55" s="365">
        <f>CG55*$J55</f>
        <v>0</v>
      </c>
      <c r="EY55" s="365">
        <f>CH55*$J55</f>
        <v>0</v>
      </c>
      <c r="EZ55" s="365">
        <f>CI55*$J55</f>
        <v>0</v>
      </c>
      <c r="FA55" s="365">
        <f>CJ55*$J55</f>
        <v>0</v>
      </c>
      <c r="FB55" s="365">
        <f>CM55*$K55</f>
        <v>0</v>
      </c>
      <c r="FC55" s="365">
        <f>CN55*$K55</f>
        <v>0</v>
      </c>
      <c r="FD55" s="365">
        <f>CO55*$K55</f>
        <v>0</v>
      </c>
      <c r="FE55" s="365">
        <f>CP55*$K55</f>
        <v>0</v>
      </c>
      <c r="FF55" s="365">
        <f>CQ55*$K55</f>
        <v>0</v>
      </c>
      <c r="FG55" s="365">
        <f>CT55*$L55</f>
        <v>0</v>
      </c>
      <c r="FH55" s="365">
        <f>CU55*$L55</f>
        <v>0</v>
      </c>
      <c r="FI55" s="365">
        <f>CV55*$L55</f>
        <v>0</v>
      </c>
      <c r="FJ55" s="365">
        <f>CW55*$L55</f>
        <v>0</v>
      </c>
      <c r="FK55" s="365">
        <f>CX55*$L55</f>
        <v>0</v>
      </c>
      <c r="FL55" s="365">
        <f>DA55*$M55</f>
        <v>0</v>
      </c>
      <c r="FM55" s="365">
        <f t="shared" ref="FM55" si="38">DB55*$M55</f>
        <v>0</v>
      </c>
      <c r="FN55" s="365">
        <f>DC55*$M55</f>
        <v>0</v>
      </c>
      <c r="FO55" s="365">
        <f t="shared" ref="FO55" si="39">DD55*$M55</f>
        <v>0</v>
      </c>
      <c r="FP55" s="365">
        <f t="shared" ref="FP55" si="40">DE55*$M55</f>
        <v>0</v>
      </c>
    </row>
    <row r="56" spans="1:172" ht="21" customHeight="1" x14ac:dyDescent="0.3">
      <c r="A56" s="277" t="s">
        <v>238</v>
      </c>
      <c r="B56" s="278">
        <f>SUM(DI55:DM55)/100</f>
        <v>0</v>
      </c>
      <c r="C56" s="278">
        <f>SUM(DN55:DQ55)/100</f>
        <v>0</v>
      </c>
      <c r="D56" s="279">
        <f>SUM(DS55:DW55)/100</f>
        <v>0</v>
      </c>
      <c r="E56" s="279">
        <f>SUM(DX55:EB55)/100</f>
        <v>0</v>
      </c>
      <c r="F56" s="279">
        <f>SUM(EC55:EG55)/100</f>
        <v>0</v>
      </c>
      <c r="G56" s="279">
        <f>SUM(EH55:EL55)/100</f>
        <v>0</v>
      </c>
      <c r="H56" s="279">
        <f>SUM(EM55:EQ55)/100</f>
        <v>0</v>
      </c>
      <c r="I56" s="279">
        <f>SUM(ER55:EV55)/100</f>
        <v>0</v>
      </c>
      <c r="J56" s="279">
        <f>SUM(EW55:FA55)/100</f>
        <v>0</v>
      </c>
      <c r="K56" s="279">
        <f>SUM(FB55:FF55)/100</f>
        <v>0</v>
      </c>
      <c r="L56" s="279">
        <f>SUM(FG55:FK55)/100</f>
        <v>0</v>
      </c>
      <c r="M56" s="279">
        <f>SUM(FL55:FP55)/100</f>
        <v>0</v>
      </c>
      <c r="AG56" s="365"/>
      <c r="AH56" s="365"/>
      <c r="AI56" s="365"/>
      <c r="AJ56" s="365"/>
      <c r="AK56" s="365"/>
      <c r="AL56" s="365"/>
      <c r="AM56" s="365"/>
      <c r="AN56" s="365"/>
      <c r="AO56" s="365"/>
      <c r="AP56" s="365"/>
      <c r="AQ56" s="365"/>
      <c r="AR56" s="365"/>
      <c r="AS56" s="365"/>
      <c r="AT56" s="365"/>
      <c r="AU56" s="365"/>
      <c r="AV56" s="365"/>
      <c r="AW56" s="365"/>
      <c r="AX56" s="365"/>
      <c r="AY56" s="365"/>
      <c r="AZ56" s="365"/>
      <c r="BA56" s="365"/>
      <c r="BB56" s="365"/>
      <c r="BC56" s="365"/>
      <c r="BD56" s="365"/>
      <c r="BE56" s="365"/>
      <c r="BF56" s="365"/>
      <c r="BG56" s="365"/>
      <c r="BH56" s="365"/>
      <c r="BI56" s="365"/>
      <c r="BJ56" s="365"/>
      <c r="BK56" s="365"/>
      <c r="BL56" s="365"/>
      <c r="BM56" s="365"/>
      <c r="BN56" s="365"/>
      <c r="BO56" s="365"/>
      <c r="BP56" s="365"/>
      <c r="BQ56" s="365"/>
      <c r="BR56" s="365"/>
      <c r="BS56" s="365"/>
      <c r="BT56" s="365"/>
      <c r="BU56" s="365"/>
      <c r="BV56" s="365"/>
      <c r="BW56" s="365"/>
      <c r="BX56" s="365"/>
      <c r="BY56" s="365"/>
      <c r="BZ56" s="365"/>
      <c r="CA56" s="365"/>
      <c r="CB56" s="365"/>
      <c r="CC56" s="365"/>
      <c r="CD56" s="365"/>
      <c r="CE56" s="365"/>
      <c r="CF56" s="365"/>
      <c r="CG56" s="365"/>
      <c r="CH56" s="365"/>
      <c r="CI56" s="365"/>
      <c r="CJ56" s="365"/>
      <c r="CK56" s="365"/>
      <c r="CL56" s="365"/>
      <c r="CM56" s="365"/>
      <c r="CN56" s="365"/>
      <c r="CO56" s="365"/>
      <c r="CP56" s="365"/>
      <c r="CQ56" s="365"/>
      <c r="CR56" s="365"/>
      <c r="CS56" s="365"/>
      <c r="CT56" s="365"/>
      <c r="CU56" s="365"/>
      <c r="CV56" s="365"/>
      <c r="CW56" s="365"/>
      <c r="CX56" s="365"/>
      <c r="CY56" s="365"/>
      <c r="CZ56" s="365"/>
      <c r="DA56" s="365"/>
      <c r="DB56" s="365"/>
      <c r="DC56" s="365"/>
      <c r="DD56" s="365"/>
      <c r="DE56" s="365"/>
      <c r="DF56" s="365"/>
      <c r="DG56" s="365"/>
      <c r="DM56" s="365"/>
      <c r="DN56" s="365"/>
      <c r="DO56" s="365"/>
      <c r="DP56" s="365"/>
      <c r="DQ56" s="365"/>
      <c r="DR56" s="365"/>
      <c r="DS56" s="365"/>
      <c r="DT56" s="365"/>
      <c r="DU56" s="365"/>
      <c r="DV56" s="365"/>
      <c r="DW56" s="365"/>
      <c r="DX56" s="365"/>
      <c r="DY56" s="365"/>
      <c r="DZ56" s="365"/>
      <c r="EA56" s="365"/>
      <c r="EB56" s="365"/>
      <c r="EC56" s="365"/>
      <c r="ED56" s="365"/>
      <c r="EE56" s="365"/>
      <c r="EF56" s="365"/>
      <c r="EG56" s="365"/>
      <c r="EH56" s="365"/>
      <c r="EI56" s="365"/>
      <c r="EJ56" s="365"/>
      <c r="EK56" s="365"/>
      <c r="EL56" s="365"/>
      <c r="EM56" s="365"/>
      <c r="EN56" s="365"/>
      <c r="EO56" s="365"/>
      <c r="EP56" s="365"/>
      <c r="EQ56" s="365"/>
      <c r="ER56" s="365"/>
      <c r="ES56" s="365"/>
      <c r="ET56" s="365"/>
      <c r="EU56" s="365"/>
      <c r="EV56" s="365"/>
      <c r="EW56" s="365"/>
      <c r="EX56" s="365"/>
      <c r="EY56" s="365"/>
      <c r="EZ56" s="365"/>
      <c r="FA56" s="365"/>
      <c r="FB56" s="365"/>
      <c r="FC56" s="365"/>
      <c r="FD56" s="365"/>
      <c r="FE56" s="365"/>
      <c r="FF56" s="365"/>
      <c r="FG56" s="365"/>
      <c r="FH56" s="365"/>
      <c r="FI56" s="365"/>
      <c r="FJ56" s="365"/>
      <c r="FK56" s="365"/>
      <c r="FL56" s="365"/>
      <c r="FM56" s="365"/>
      <c r="FN56" s="365"/>
      <c r="FO56" s="365"/>
      <c r="FP56" s="365"/>
    </row>
    <row r="57" spans="1:172" ht="21" customHeight="1" x14ac:dyDescent="0.3">
      <c r="A57" s="150" t="s">
        <v>239</v>
      </c>
      <c r="B57" s="149" t="e">
        <f>SUM(DI55:DM55)/100/Lote_13</f>
        <v>#DIV/0!</v>
      </c>
      <c r="C57" s="149" t="e">
        <f>SUM(DN55:DQ55)/100/Lote_13</f>
        <v>#DIV/0!</v>
      </c>
      <c r="D57" s="149" t="e">
        <f>SUM(DS55:DW55)/100/Lote_13</f>
        <v>#DIV/0!</v>
      </c>
      <c r="E57" s="149" t="e">
        <f>SUM(DX55:EB55)/100/Lote_13</f>
        <v>#DIV/0!</v>
      </c>
      <c r="F57" s="149" t="e">
        <f>SUM(EC55:EG55)/100/Lote_13</f>
        <v>#DIV/0!</v>
      </c>
      <c r="G57" s="149" t="e">
        <f>SUM(EH55:EL55)/100/Lote_13</f>
        <v>#DIV/0!</v>
      </c>
      <c r="H57" s="149" t="e">
        <f>SUM(EM55:EQ55)/100/Lote_13</f>
        <v>#DIV/0!</v>
      </c>
      <c r="I57" s="149" t="e">
        <f>SUM(ER55:EV55)/100/Lote_13</f>
        <v>#DIV/0!</v>
      </c>
      <c r="J57" s="149" t="e">
        <f>SUM(EW55:FA55)/100/Lote_13</f>
        <v>#DIV/0!</v>
      </c>
      <c r="K57" s="149" t="e">
        <f>SUM(FB55:FF55)/100/Lote_13</f>
        <v>#DIV/0!</v>
      </c>
      <c r="L57" s="149" t="e">
        <f>SUM(FG55:FK55)/100/Lote_13</f>
        <v>#DIV/0!</v>
      </c>
      <c r="M57" s="149" t="e">
        <f>SUM(FL55:FP55)/100/Lote_13</f>
        <v>#DIV/0!</v>
      </c>
    </row>
    <row r="58" spans="1:172" ht="21" customHeight="1" x14ac:dyDescent="0.3">
      <c r="A58" s="233">
        <f>N_L14</f>
        <v>0</v>
      </c>
      <c r="B58" s="363" t="s">
        <v>37</v>
      </c>
      <c r="C58" s="363" t="s">
        <v>37</v>
      </c>
      <c r="D58" s="363" t="s">
        <v>37</v>
      </c>
      <c r="E58" s="363" t="s">
        <v>37</v>
      </c>
      <c r="F58" s="363" t="s">
        <v>37</v>
      </c>
      <c r="G58" s="363" t="s">
        <v>37</v>
      </c>
      <c r="H58" s="363" t="s">
        <v>37</v>
      </c>
      <c r="I58" s="363" t="s">
        <v>37</v>
      </c>
      <c r="J58" s="363" t="s">
        <v>37</v>
      </c>
      <c r="K58" s="363" t="s">
        <v>37</v>
      </c>
      <c r="L58" s="363" t="s">
        <v>37</v>
      </c>
      <c r="M58" s="363" t="s">
        <v>37</v>
      </c>
    </row>
    <row r="59" spans="1:172" ht="21" customHeight="1" x14ac:dyDescent="0.3">
      <c r="A59" s="4" t="s">
        <v>237</v>
      </c>
      <c r="B59" s="7"/>
      <c r="C59" s="275"/>
      <c r="D59" s="275"/>
      <c r="E59" s="275"/>
      <c r="F59" s="275"/>
      <c r="G59" s="275"/>
      <c r="H59" s="275"/>
      <c r="I59" s="275"/>
      <c r="J59" s="275"/>
      <c r="K59" s="275"/>
      <c r="L59" s="275"/>
      <c r="M59" s="275"/>
      <c r="O59" s="58">
        <f>Área_L14*D_L14*A1_L14</f>
        <v>0</v>
      </c>
      <c r="P59" s="58">
        <f>Área_L14*D_L14*A2_L14</f>
        <v>0</v>
      </c>
      <c r="Q59" s="58">
        <f>Área_L14*D_L14*A3_L14</f>
        <v>0</v>
      </c>
      <c r="R59" s="58">
        <f>Área_L14*D_L14*A4_L14</f>
        <v>0</v>
      </c>
      <c r="S59" s="58">
        <f>Área_L14*D_L14*A5_L14</f>
        <v>0</v>
      </c>
      <c r="T59" s="58">
        <f>Área_L14*D_L14*A6_L14</f>
        <v>0</v>
      </c>
      <c r="U59" s="58">
        <f>Área_L14*D_L14*A7_L14</f>
        <v>0</v>
      </c>
      <c r="V59" s="58">
        <f>Área_L14*D_L14*A8_L14</f>
        <v>0</v>
      </c>
      <c r="W59" s="58">
        <f>Área_L14*D_L14*A9_L14</f>
        <v>0</v>
      </c>
      <c r="X59" s="58">
        <f>Área_L14*D_L14*A10_L14</f>
        <v>0</v>
      </c>
      <c r="Y59" s="58">
        <f>Área_L14*D_L14*A11_L14</f>
        <v>0</v>
      </c>
      <c r="Z59" s="58">
        <f>Área_L14*D_L14*A12_L14</f>
        <v>0</v>
      </c>
      <c r="AB59" s="58">
        <f>IF($B58="Producción",IF($B59&gt;=LI_A,$O59,0),0)</f>
        <v>0</v>
      </c>
      <c r="AC59" s="58">
        <f>IF($B58="Producción",IF($B59&gt;=LI_B,IF($B59&lt;LS_B,$O59,0),0),0)</f>
        <v>0</v>
      </c>
      <c r="AD59" s="58">
        <f>IF($B58="Producción",IF($B59&gt;=LI_C,IF($B59&lt;LS_C,$O59,0),0),0)</f>
        <v>0</v>
      </c>
      <c r="AE59" s="58">
        <f>IF($B58="Producción",IF($B59&lt;=LS_D,$O59,0),0)</f>
        <v>0</v>
      </c>
      <c r="AF59" s="365">
        <f>IF($B58="Crecimiento",$O59,0)</f>
        <v>0</v>
      </c>
      <c r="AG59" s="365">
        <f>IF($B58="Siembra",$O59,0)</f>
        <v>0</v>
      </c>
      <c r="AH59" s="365">
        <f>IF($B58="Abandono",$O59,0)</f>
        <v>0</v>
      </c>
      <c r="AI59" s="365">
        <f>IF($C58="Producción",IF($C59&gt;=LI_A,$P59,0),0)</f>
        <v>0</v>
      </c>
      <c r="AJ59" s="365">
        <f>IF($C58="Producción",IF($C59&gt;=LI_B,IF($C59&lt;LS_B,$P59,0),0),0)</f>
        <v>0</v>
      </c>
      <c r="AK59" s="365">
        <f>IF($C58="Producción",IF($C59&gt;=LI_C,IF($C59&lt;LS_C,$P59,0),0),0)</f>
        <v>0</v>
      </c>
      <c r="AL59" s="365">
        <f>IF($C58="Producción",IF(C59&lt;=LS_D,$P59,0),0)</f>
        <v>0</v>
      </c>
      <c r="AM59" s="365">
        <f>IF($C58="Crecimiento",$P59,0)</f>
        <v>0</v>
      </c>
      <c r="AN59" s="365">
        <f>IF($C58="Siembra",$P59,0)</f>
        <v>0</v>
      </c>
      <c r="AO59" s="365">
        <f>IF($C58="Abandono",$P59,0)</f>
        <v>0</v>
      </c>
      <c r="AP59" s="365">
        <f>IF($D58="Producción",IF($D59&gt;=LI_A,$Q59,0),0)</f>
        <v>0</v>
      </c>
      <c r="AQ59" s="365">
        <f>IF($D58="Producción",IF($D59&gt;=LI_B,IF($D59&lt;LS_B,$Q59,0),0),0)</f>
        <v>0</v>
      </c>
      <c r="AR59" s="365">
        <f>IF($D58="Producción",IF($D59&gt;=LI_C,IF($D59&lt;LS_C,$Q59,0),0),0)</f>
        <v>0</v>
      </c>
      <c r="AS59" s="365">
        <f>IF($D58="Producción",IF($D59&lt;=LS_D,$Q59,0),0)</f>
        <v>0</v>
      </c>
      <c r="AT59" s="365">
        <f>IF($D58="Crecimiento",$Q59,0)</f>
        <v>0</v>
      </c>
      <c r="AU59" s="365">
        <f>IF($D58="Siembra",$Q59,0)</f>
        <v>0</v>
      </c>
      <c r="AV59" s="365">
        <f>IF($D58="Abandono",$Q59,0)</f>
        <v>0</v>
      </c>
      <c r="AW59" s="365">
        <f>IF($E58="Producción",IF($E59&gt;=LI_A,$R59,0),0)</f>
        <v>0</v>
      </c>
      <c r="AX59" s="365">
        <f>IF($E58="Producción",IF($E59&gt;=LI_B,IF($E59&lt;LS_B,$R59,0),0),0)</f>
        <v>0</v>
      </c>
      <c r="AY59" s="365">
        <f>IF($E58="Producción",IF($E59&gt;=LI_C,IF($E59&lt;LS_C,$R59,0),0),0)</f>
        <v>0</v>
      </c>
      <c r="AZ59" s="365">
        <f>IF($E58="Producción",IF($E59&lt;=LS_D,$R59,0),0)</f>
        <v>0</v>
      </c>
      <c r="BA59" s="365">
        <f>IF($E58="Crecimiento",$R59,0)</f>
        <v>0</v>
      </c>
      <c r="BB59" s="365">
        <f>IF($E58="Siembra",$R59,0)</f>
        <v>0</v>
      </c>
      <c r="BC59" s="365">
        <f>IF($E58="Abandono",$R59,0)</f>
        <v>0</v>
      </c>
      <c r="BD59" s="365">
        <f>IF($F58="Producción",IF($F59&gt;=LI_A,$S59,0),0)</f>
        <v>0</v>
      </c>
      <c r="BE59" s="365">
        <f>IF($F58="Producción",IF($F59&gt;=LI_B,IF($F59&lt;LS_B,$S59,0),0),0)</f>
        <v>0</v>
      </c>
      <c r="BF59" s="365">
        <f>IF($F58="Producción",IF($F59&gt;=LI_C,IF($F59&lt;LS_C,$S59,0),0),0)</f>
        <v>0</v>
      </c>
      <c r="BG59" s="365">
        <f>IF($F58="Producción",IF($F59&lt;=LS_D,$S59,0),0)</f>
        <v>0</v>
      </c>
      <c r="BH59" s="365">
        <f>IF($F58="Crecimiento",$S59,0)</f>
        <v>0</v>
      </c>
      <c r="BI59" s="365">
        <f>IF($F58="Siembra",$S59,0)</f>
        <v>0</v>
      </c>
      <c r="BJ59" s="365">
        <f>IF($F58="Abandono",$S59,0)</f>
        <v>0</v>
      </c>
      <c r="BK59" s="365">
        <f>IF($G58="Producción",IF($G59&gt;=LI_A,$T59,0),0)</f>
        <v>0</v>
      </c>
      <c r="BL59" s="365">
        <f>IF($G58="Producción",IF($G59&gt;=LI_B,IF($G59&lt;LS_B,$T59,0),0),0)</f>
        <v>0</v>
      </c>
      <c r="BM59" s="365">
        <f>IF($G58="Producción",IF($G59&gt;=LI_C,IF($G59&lt;LS_C,$T59,0),0),0)</f>
        <v>0</v>
      </c>
      <c r="BN59" s="365">
        <f>IF($G58="Producción",IF($G59&lt;=LS_D,$T59,0),0)</f>
        <v>0</v>
      </c>
      <c r="BO59" s="365">
        <f>IF($G58="Crecimiento",$T59,0)</f>
        <v>0</v>
      </c>
      <c r="BP59" s="365">
        <f>IF($G58="Siembra",$T59,0)</f>
        <v>0</v>
      </c>
      <c r="BQ59" s="365">
        <f>IF($G58="Abandono",$T59,0)</f>
        <v>0</v>
      </c>
      <c r="BR59" s="365">
        <f>IF($H58="Producción",IF($H59&gt;=LI_A,$U59,0),0)</f>
        <v>0</v>
      </c>
      <c r="BS59" s="365">
        <f>IF($H58="Producción",IF($H59&gt;=LI_B,IF($H59&lt;LS_B,$U59,0),0),0)</f>
        <v>0</v>
      </c>
      <c r="BT59" s="365">
        <f>IF($H58="Producción",IF($H59&gt;=LI_C,IF($H59&lt;LS_C,$U59,0),0),0)</f>
        <v>0</v>
      </c>
      <c r="BU59" s="365">
        <f>IF($H58="Producción",IF($H59&lt;=LS_D,$U59,0),0)</f>
        <v>0</v>
      </c>
      <c r="BV59" s="365">
        <f>IF($H58="Crecimiento",$U59,0)</f>
        <v>0</v>
      </c>
      <c r="BW59" s="365">
        <f>IF($H58="Siembra",$U59,0)</f>
        <v>0</v>
      </c>
      <c r="BX59" s="365">
        <f>IF($H58="Abandono",$U59,0)</f>
        <v>0</v>
      </c>
      <c r="BY59" s="365">
        <f>IF($I58="Producción",IF($I59&gt;=LI_A,$V59,0),0)</f>
        <v>0</v>
      </c>
      <c r="BZ59" s="365">
        <f>IF($I58="Producción",IF($I59&gt;=LI_B,IF($I59&lt;LS_B,$V59,0),0),0)</f>
        <v>0</v>
      </c>
      <c r="CA59" s="365">
        <f>IF($I58="Producción",IF($I59&gt;=LI_C,IF($I59&lt;LS_C,$V59,0),0),0)</f>
        <v>0</v>
      </c>
      <c r="CB59" s="365">
        <f>IF($I58="Producción",IF($I59&lt;=LS_D,$V59,0),0)</f>
        <v>0</v>
      </c>
      <c r="CC59" s="365">
        <f>IF($I58="Crecimiento",$V59,0)</f>
        <v>0</v>
      </c>
      <c r="CD59" s="365">
        <f>IF($I58="Siembra",$V59,0)</f>
        <v>0</v>
      </c>
      <c r="CE59" s="365">
        <f>IF($I58="Abandono",$V59,0)</f>
        <v>0</v>
      </c>
      <c r="CF59" s="365">
        <f>IF($J58="Producción",IF($J59&gt;=LI_A,$W59,0),0)</f>
        <v>0</v>
      </c>
      <c r="CG59" s="365">
        <f>IF($J58="Producción",IF($J59&gt;=LI_B,IF($J59&lt;LS_B,$W59,0),0),0)</f>
        <v>0</v>
      </c>
      <c r="CH59" s="365">
        <f>IF($J58="Producción",IF($J59&gt;=LI_C,IF($J59&lt;LS_C,$W59,0),0),0)</f>
        <v>0</v>
      </c>
      <c r="CI59" s="365">
        <f>IF($J58="Producción",IF($J59&lt;=LS_D,$W59,0),0)</f>
        <v>0</v>
      </c>
      <c r="CJ59" s="365">
        <f>IF($J58="Crecimiento",$W59,0)</f>
        <v>0</v>
      </c>
      <c r="CK59" s="365">
        <f>IF($J58="Siembra",$W59,0)</f>
        <v>0</v>
      </c>
      <c r="CL59" s="365">
        <f>IF($J58="Abandono",$W59,0)</f>
        <v>0</v>
      </c>
      <c r="CM59" s="365">
        <f>IF($K58="Producción",IF($K59&gt;=LI_A,$X59,0),0)</f>
        <v>0</v>
      </c>
      <c r="CN59" s="365">
        <f>IF($K58="Producción",IF($K59&gt;=LI_B,IF($K59&lt;LS_B,$X59,0),0),0)</f>
        <v>0</v>
      </c>
      <c r="CO59" s="365">
        <f>IF($K58="Producción",IF($K59&gt;=LI_C,IF($K59&lt;LS_C,$X59,0),0),0)</f>
        <v>0</v>
      </c>
      <c r="CP59" s="365">
        <f>IF($K58="Producción",IF($K59&lt;=LS_D,$X59,0),0)</f>
        <v>0</v>
      </c>
      <c r="CQ59" s="365">
        <f>IF($K58="Crecimiento",IF($K59&gt;0,$X59,0),0)</f>
        <v>0</v>
      </c>
      <c r="CR59" s="365">
        <f>IF($K58="Siembra",IF($K59&gt;0,$X59,0),0)</f>
        <v>0</v>
      </c>
      <c r="CS59" s="365">
        <f>IF($K58="Abandono",IF($K59&gt;0,$X59,0),0)</f>
        <v>0</v>
      </c>
      <c r="CT59" s="365">
        <f>IF($L58="Producción",IF($L59&gt;=LI_A,$Y59,0),0)</f>
        <v>0</v>
      </c>
      <c r="CU59" s="365">
        <f>IF($L58="Producción",IF($L59&gt;=LI_B,IF($L59&lt;LS_B,$Y59,0),0),0)</f>
        <v>0</v>
      </c>
      <c r="CV59" s="365">
        <f>IF($L58="Producción",IF($L59&gt;=LI_C,IF($L59&lt;LS_C,$Y59,0),0),0)</f>
        <v>0</v>
      </c>
      <c r="CW59" s="365">
        <f>IF($L58="Producción",IF($L59&lt;=LS_D,$Y59,0),0)</f>
        <v>0</v>
      </c>
      <c r="CX59" s="365">
        <f>IF($L58="Crecimiento",$Y59,0)</f>
        <v>0</v>
      </c>
      <c r="CY59" s="365">
        <f>IF($L58="Siembra",$Y59,0)</f>
        <v>0</v>
      </c>
      <c r="CZ59" s="365">
        <f>IF($L58="Abandono",$Y59,0)</f>
        <v>0</v>
      </c>
      <c r="DA59" s="365">
        <f>IF($M58="Producción",IF($M59&gt;=LI_A,$Z59,0),0)</f>
        <v>0</v>
      </c>
      <c r="DB59" s="365">
        <f>IF($M58="Producción",IF($M59&gt;=LI_B,IF($M59&lt;LS_B,$Z59,0),0),0)</f>
        <v>0</v>
      </c>
      <c r="DC59" s="365">
        <f>IF($M58="Producción",IF($M59&gt;=LI_C,IF($M59&lt;LS_C,$Z59,0),0),0)</f>
        <v>0</v>
      </c>
      <c r="DD59" s="365">
        <f>IF($M58="Producción",IF($M59&lt;=LS_D,$Z59,0),0)</f>
        <v>0</v>
      </c>
      <c r="DE59" s="365">
        <f>IF($M58="Crecimiento",$Z59,0)</f>
        <v>0</v>
      </c>
      <c r="DF59" s="365">
        <f>IF($M58="Siembra",$Z59,0)</f>
        <v>0</v>
      </c>
      <c r="DG59" s="365">
        <f>IF($M58="Abandono",$Z59,0)</f>
        <v>0</v>
      </c>
      <c r="DI59" s="58">
        <f>AB59*$B59</f>
        <v>0</v>
      </c>
      <c r="DJ59" s="58">
        <f>AC59*$B59</f>
        <v>0</v>
      </c>
      <c r="DK59" s="58">
        <f>AD59*$B59</f>
        <v>0</v>
      </c>
      <c r="DL59" s="58">
        <f>AE59*$B59</f>
        <v>0</v>
      </c>
      <c r="DM59" s="365">
        <f>AF59*$B59</f>
        <v>0</v>
      </c>
      <c r="DN59" s="365">
        <f>AI59*$C59</f>
        <v>0</v>
      </c>
      <c r="DO59" s="365">
        <f>AJ59*$C59</f>
        <v>0</v>
      </c>
      <c r="DP59" s="365">
        <f>AK59*$C59</f>
        <v>0</v>
      </c>
      <c r="DQ59" s="365">
        <f>AL59*$C59</f>
        <v>0</v>
      </c>
      <c r="DR59" s="365">
        <f>AM59*$C59</f>
        <v>0</v>
      </c>
      <c r="DS59" s="365">
        <f>AP59*$D59</f>
        <v>0</v>
      </c>
      <c r="DT59" s="365">
        <f>AQ59*$D59</f>
        <v>0</v>
      </c>
      <c r="DU59" s="365">
        <f>AR59*$D59</f>
        <v>0</v>
      </c>
      <c r="DV59" s="365">
        <f>AS59*$D59</f>
        <v>0</v>
      </c>
      <c r="DW59" s="365">
        <f>AT59*$D59</f>
        <v>0</v>
      </c>
      <c r="DX59" s="365">
        <f>AW59*$E59</f>
        <v>0</v>
      </c>
      <c r="DY59" s="365">
        <f>AX59*$E59</f>
        <v>0</v>
      </c>
      <c r="DZ59" s="365">
        <f>AY59*$E59</f>
        <v>0</v>
      </c>
      <c r="EA59" s="365">
        <f>AZ59*$E59</f>
        <v>0</v>
      </c>
      <c r="EB59" s="365">
        <f>BA59*$E59</f>
        <v>0</v>
      </c>
      <c r="EC59" s="365">
        <f>BD59*$F59</f>
        <v>0</v>
      </c>
      <c r="ED59" s="365">
        <f>BE59*$F59</f>
        <v>0</v>
      </c>
      <c r="EE59" s="365">
        <f>BF59*$F59</f>
        <v>0</v>
      </c>
      <c r="EF59" s="365">
        <f>BG59*$F59</f>
        <v>0</v>
      </c>
      <c r="EG59" s="365">
        <f>BH59*$F59</f>
        <v>0</v>
      </c>
      <c r="EH59" s="365">
        <f>BK59*$G59</f>
        <v>0</v>
      </c>
      <c r="EI59" s="365">
        <f>BL59*$G59</f>
        <v>0</v>
      </c>
      <c r="EJ59" s="365">
        <f>BM59*$G59</f>
        <v>0</v>
      </c>
      <c r="EK59" s="365">
        <f>BN59*$G59</f>
        <v>0</v>
      </c>
      <c r="EL59" s="365">
        <f>BO59*$G59</f>
        <v>0</v>
      </c>
      <c r="EM59" s="365">
        <f>BR59*$H59</f>
        <v>0</v>
      </c>
      <c r="EN59" s="365">
        <f>BS59*$H59</f>
        <v>0</v>
      </c>
      <c r="EO59" s="365">
        <f>BT59*$H59</f>
        <v>0</v>
      </c>
      <c r="EP59" s="365">
        <f>BU59*$H59</f>
        <v>0</v>
      </c>
      <c r="EQ59" s="365">
        <f>BV59*$H59</f>
        <v>0</v>
      </c>
      <c r="ER59" s="365">
        <f>BY59*$I59</f>
        <v>0</v>
      </c>
      <c r="ES59" s="365">
        <f>BZ59*$I59</f>
        <v>0</v>
      </c>
      <c r="ET59" s="365">
        <f>CA59*$I59</f>
        <v>0</v>
      </c>
      <c r="EU59" s="365">
        <f>CB59*$I59</f>
        <v>0</v>
      </c>
      <c r="EV59" s="365">
        <f>CC59*$I59</f>
        <v>0</v>
      </c>
      <c r="EW59" s="365">
        <f>CF59*$J59</f>
        <v>0</v>
      </c>
      <c r="EX59" s="365">
        <f>CG59*$J59</f>
        <v>0</v>
      </c>
      <c r="EY59" s="365">
        <f>CH59*$J59</f>
        <v>0</v>
      </c>
      <c r="EZ59" s="365">
        <f>CI59*$J59</f>
        <v>0</v>
      </c>
      <c r="FA59" s="365">
        <f>CJ59*$J59</f>
        <v>0</v>
      </c>
      <c r="FB59" s="365">
        <f>CM59*$K59</f>
        <v>0</v>
      </c>
      <c r="FC59" s="365">
        <f>CN59*$K59</f>
        <v>0</v>
      </c>
      <c r="FD59" s="365">
        <f>CO59*$K59</f>
        <v>0</v>
      </c>
      <c r="FE59" s="365">
        <f>CP59*$K59</f>
        <v>0</v>
      </c>
      <c r="FF59" s="365">
        <f>CQ59*$K59</f>
        <v>0</v>
      </c>
      <c r="FG59" s="365">
        <f>CT59*$L59</f>
        <v>0</v>
      </c>
      <c r="FH59" s="365">
        <f>CU59*$L59</f>
        <v>0</v>
      </c>
      <c r="FI59" s="365">
        <f>CV59*$L59</f>
        <v>0</v>
      </c>
      <c r="FJ59" s="365">
        <f>CW59*$L59</f>
        <v>0</v>
      </c>
      <c r="FK59" s="365">
        <f>CX59*$L59</f>
        <v>0</v>
      </c>
      <c r="FL59" s="365">
        <f>DA59*$M59</f>
        <v>0</v>
      </c>
      <c r="FM59" s="365">
        <f t="shared" ref="FM59" si="41">DB59*$M59</f>
        <v>0</v>
      </c>
      <c r="FN59" s="365">
        <f>DC59*$M59</f>
        <v>0</v>
      </c>
      <c r="FO59" s="365">
        <f t="shared" ref="FO59" si="42">DD59*$M59</f>
        <v>0</v>
      </c>
      <c r="FP59" s="365">
        <f t="shared" ref="FP59" si="43">DE59*$M59</f>
        <v>0</v>
      </c>
    </row>
    <row r="60" spans="1:172" ht="21" customHeight="1" x14ac:dyDescent="0.3">
      <c r="A60" s="277" t="s">
        <v>238</v>
      </c>
      <c r="B60" s="278">
        <f>SUM(DI59:DM59)/100</f>
        <v>0</v>
      </c>
      <c r="C60" s="278">
        <f>SUM(DN59:DQ59)/100</f>
        <v>0</v>
      </c>
      <c r="D60" s="279">
        <f>SUM(DS59:DW59)/100</f>
        <v>0</v>
      </c>
      <c r="E60" s="279">
        <f>SUM(DX59:EB59)/100</f>
        <v>0</v>
      </c>
      <c r="F60" s="279">
        <f>SUM(EC59:EG59)/100</f>
        <v>0</v>
      </c>
      <c r="G60" s="279">
        <f>SUM(EH59:EL59)/100</f>
        <v>0</v>
      </c>
      <c r="H60" s="279">
        <f>SUM(EM59:EQ59)/100</f>
        <v>0</v>
      </c>
      <c r="I60" s="279">
        <f>SUM(ER59:EV59)/100</f>
        <v>0</v>
      </c>
      <c r="J60" s="279">
        <f>SUM(EW59:FA59)/100</f>
        <v>0</v>
      </c>
      <c r="K60" s="279">
        <f>SUM(FB59:FF59)/100</f>
        <v>0</v>
      </c>
      <c r="L60" s="279">
        <f>SUM(FG59:FK59)/100</f>
        <v>0</v>
      </c>
      <c r="M60" s="279">
        <f>SUM(FL59:FP59)/100</f>
        <v>0</v>
      </c>
      <c r="AG60" s="365"/>
      <c r="AH60" s="365"/>
      <c r="AI60" s="365"/>
      <c r="AJ60" s="365"/>
      <c r="AK60" s="365"/>
      <c r="AL60" s="365"/>
      <c r="AM60" s="365"/>
      <c r="AN60" s="365"/>
      <c r="AO60" s="365"/>
      <c r="AP60" s="365"/>
      <c r="AQ60" s="365"/>
      <c r="AR60" s="365"/>
      <c r="AS60" s="365"/>
      <c r="AT60" s="365"/>
      <c r="AU60" s="365"/>
      <c r="AV60" s="365"/>
      <c r="AW60" s="365"/>
      <c r="AX60" s="365"/>
      <c r="AY60" s="365"/>
      <c r="AZ60" s="365"/>
      <c r="BA60" s="365"/>
      <c r="BB60" s="365"/>
      <c r="BC60" s="365"/>
      <c r="BD60" s="365"/>
      <c r="BE60" s="365"/>
      <c r="BF60" s="365"/>
      <c r="BG60" s="365"/>
      <c r="BH60" s="365"/>
      <c r="BI60" s="365"/>
      <c r="BJ60" s="365"/>
      <c r="BK60" s="365"/>
      <c r="BL60" s="365"/>
      <c r="BM60" s="365"/>
      <c r="BN60" s="365"/>
      <c r="BO60" s="365"/>
      <c r="BP60" s="365"/>
      <c r="BQ60" s="365"/>
      <c r="BR60" s="365"/>
      <c r="BS60" s="365"/>
      <c r="BT60" s="365"/>
      <c r="BU60" s="365"/>
      <c r="BV60" s="365"/>
      <c r="BW60" s="365"/>
      <c r="BX60" s="365"/>
      <c r="BY60" s="365"/>
      <c r="BZ60" s="365"/>
      <c r="CA60" s="365"/>
      <c r="CB60" s="365"/>
      <c r="CC60" s="365"/>
      <c r="CD60" s="365"/>
      <c r="CE60" s="365"/>
      <c r="CF60" s="365"/>
      <c r="CG60" s="365"/>
      <c r="CH60" s="365"/>
      <c r="CI60" s="365"/>
      <c r="CJ60" s="365"/>
      <c r="CK60" s="365"/>
      <c r="CL60" s="365"/>
      <c r="CM60" s="365"/>
      <c r="CN60" s="365"/>
      <c r="CO60" s="365"/>
      <c r="CP60" s="365"/>
      <c r="CQ60" s="365"/>
      <c r="CR60" s="365"/>
      <c r="CS60" s="365"/>
      <c r="CT60" s="365"/>
      <c r="CU60" s="365"/>
      <c r="CV60" s="365"/>
      <c r="CW60" s="365"/>
      <c r="CX60" s="365"/>
      <c r="CY60" s="365"/>
      <c r="CZ60" s="365"/>
      <c r="DA60" s="365"/>
      <c r="DB60" s="365"/>
      <c r="DC60" s="365"/>
      <c r="DD60" s="365"/>
      <c r="DE60" s="365"/>
      <c r="DF60" s="365"/>
      <c r="DG60" s="365"/>
      <c r="DM60" s="365"/>
      <c r="DN60" s="365"/>
      <c r="DO60" s="365"/>
      <c r="DP60" s="365"/>
      <c r="DQ60" s="365"/>
      <c r="DR60" s="365"/>
      <c r="DS60" s="365"/>
      <c r="DT60" s="365"/>
      <c r="DU60" s="365"/>
      <c r="DV60" s="365"/>
      <c r="DW60" s="365"/>
      <c r="DX60" s="365"/>
      <c r="DY60" s="365"/>
      <c r="DZ60" s="365"/>
      <c r="EA60" s="365"/>
      <c r="EB60" s="365"/>
      <c r="EC60" s="365"/>
      <c r="ED60" s="365"/>
      <c r="EE60" s="365"/>
      <c r="EF60" s="365"/>
      <c r="EG60" s="365"/>
      <c r="EH60" s="365"/>
      <c r="EI60" s="365"/>
      <c r="EJ60" s="365"/>
      <c r="EK60" s="365"/>
      <c r="EL60" s="365"/>
      <c r="EM60" s="365"/>
      <c r="EN60" s="365"/>
      <c r="EO60" s="365"/>
      <c r="EP60" s="365"/>
      <c r="EQ60" s="365"/>
      <c r="ER60" s="365"/>
      <c r="ES60" s="365"/>
      <c r="ET60" s="365"/>
      <c r="EU60" s="365"/>
      <c r="EV60" s="365"/>
      <c r="EW60" s="365"/>
      <c r="EX60" s="365"/>
      <c r="EY60" s="365"/>
      <c r="EZ60" s="365"/>
      <c r="FA60" s="365"/>
      <c r="FB60" s="365"/>
      <c r="FC60" s="365"/>
      <c r="FD60" s="365"/>
      <c r="FE60" s="365"/>
      <c r="FF60" s="365"/>
      <c r="FG60" s="365"/>
      <c r="FH60" s="365"/>
      <c r="FI60" s="365"/>
      <c r="FJ60" s="365"/>
      <c r="FK60" s="365"/>
      <c r="FL60" s="365"/>
      <c r="FM60" s="365"/>
      <c r="FN60" s="365"/>
      <c r="FO60" s="365"/>
      <c r="FP60" s="365"/>
    </row>
    <row r="61" spans="1:172" ht="21" customHeight="1" x14ac:dyDescent="0.3">
      <c r="A61" s="150" t="s">
        <v>239</v>
      </c>
      <c r="B61" s="149" t="e">
        <f>SUM(DI59:DM59)/100/Lote_14</f>
        <v>#DIV/0!</v>
      </c>
      <c r="C61" s="149" t="e">
        <f>SUM(DN59:DQ59)/100/Lote_14</f>
        <v>#DIV/0!</v>
      </c>
      <c r="D61" s="149" t="e">
        <f>SUM(DS59:DW59)/100/Lote_14</f>
        <v>#DIV/0!</v>
      </c>
      <c r="E61" s="149" t="e">
        <f>SUM(DX59:EB59)/100/Lote_14</f>
        <v>#DIV/0!</v>
      </c>
      <c r="F61" s="149" t="e">
        <f>SUM(EC59:EG59)/100/Lote_14</f>
        <v>#DIV/0!</v>
      </c>
      <c r="G61" s="149" t="e">
        <f>SUM(EH59:EL59)/100/Lote_14</f>
        <v>#DIV/0!</v>
      </c>
      <c r="H61" s="149" t="e">
        <f>SUM(EM59:EQ59)/100/Lote_14</f>
        <v>#DIV/0!</v>
      </c>
      <c r="I61" s="149" t="e">
        <f>SUM(ER59:EV59)/100/Lote_14</f>
        <v>#DIV/0!</v>
      </c>
      <c r="J61" s="149" t="e">
        <f>SUM(EW59:FA59)/100/Lote_14</f>
        <v>#DIV/0!</v>
      </c>
      <c r="K61" s="149" t="e">
        <f>SUM(FB59:FF59)/100/Lote_14</f>
        <v>#DIV/0!</v>
      </c>
      <c r="L61" s="149" t="e">
        <f>SUM(FG59:FK59)/100/Lote_14</f>
        <v>#DIV/0!</v>
      </c>
      <c r="M61" s="149" t="e">
        <f>SUM(FL59:FP59)/100/Lote_14</f>
        <v>#DIV/0!</v>
      </c>
    </row>
    <row r="62" spans="1:172" ht="21" customHeight="1" x14ac:dyDescent="0.3">
      <c r="A62" s="233">
        <f>N_L15</f>
        <v>0</v>
      </c>
      <c r="B62" s="363" t="s">
        <v>37</v>
      </c>
      <c r="C62" s="363" t="s">
        <v>37</v>
      </c>
      <c r="D62" s="363" t="s">
        <v>37</v>
      </c>
      <c r="E62" s="363" t="s">
        <v>37</v>
      </c>
      <c r="F62" s="363" t="s">
        <v>37</v>
      </c>
      <c r="G62" s="363" t="s">
        <v>37</v>
      </c>
      <c r="H62" s="363" t="s">
        <v>37</v>
      </c>
      <c r="I62" s="363" t="s">
        <v>37</v>
      </c>
      <c r="J62" s="363" t="s">
        <v>37</v>
      </c>
      <c r="K62" s="363" t="s">
        <v>37</v>
      </c>
      <c r="L62" s="363" t="s">
        <v>37</v>
      </c>
      <c r="M62" s="363" t="s">
        <v>37</v>
      </c>
    </row>
    <row r="63" spans="1:172" ht="21" customHeight="1" x14ac:dyDescent="0.3">
      <c r="A63" s="4" t="s">
        <v>237</v>
      </c>
      <c r="B63" s="7"/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O63" s="58">
        <f>Área_L15*D_L15*A1_L15</f>
        <v>0</v>
      </c>
      <c r="P63" s="58">
        <f>Área_L15*D_L15*A2_L15</f>
        <v>0</v>
      </c>
      <c r="Q63" s="58">
        <f>Área_L15*D_L15*A3_L15</f>
        <v>0</v>
      </c>
      <c r="R63" s="58">
        <f>Área_L15*D_L15*A4_L15</f>
        <v>0</v>
      </c>
      <c r="S63" s="58">
        <f>Área_L15*D_L15*A5_L15</f>
        <v>0</v>
      </c>
      <c r="T63" s="58">
        <f>Área_L15*D_L15*A6_L15</f>
        <v>0</v>
      </c>
      <c r="U63" s="58">
        <f>Área_L15*D_L15*A7_L15</f>
        <v>0</v>
      </c>
      <c r="V63" s="58">
        <f>Área_L15*D_L15*A8_L15</f>
        <v>0</v>
      </c>
      <c r="W63" s="58">
        <f>Área_L15*D_L15*A9_L15</f>
        <v>0</v>
      </c>
      <c r="X63" s="58">
        <f>Área_L15*D_L15*A10_L15</f>
        <v>0</v>
      </c>
      <c r="Y63" s="58">
        <f>Área_L15*D_L15*A11_L15</f>
        <v>0</v>
      </c>
      <c r="Z63" s="58">
        <f>Área_L15*D_L15*A12_L15</f>
        <v>0</v>
      </c>
      <c r="AB63" s="58">
        <f>IF($B62="Producción",IF($B63&gt;=LI_A,$O63,0),0)</f>
        <v>0</v>
      </c>
      <c r="AC63" s="58">
        <f>IF($B62="Producción",IF($B63&gt;=LI_B,IF($B63&lt;LS_B,$O63,0),0),0)</f>
        <v>0</v>
      </c>
      <c r="AD63" s="58">
        <f>IF($B62="Producción",IF($B63&gt;=LI_C,IF($B63&lt;LS_C,$O63,0),0),0)</f>
        <v>0</v>
      </c>
      <c r="AE63" s="58">
        <f>IF($B62="Producción",IF($B63&lt;=LS_D,$O63,0),0)</f>
        <v>0</v>
      </c>
      <c r="AF63" s="365">
        <f>IF($B62="Crecimiento",$O63,0)</f>
        <v>0</v>
      </c>
      <c r="AG63" s="365">
        <f>IF($B62="Siembra",$O63,0)</f>
        <v>0</v>
      </c>
      <c r="AH63" s="365">
        <f>IF($B62="Abandono",$O63,0)</f>
        <v>0</v>
      </c>
      <c r="AI63" s="365">
        <f>IF($C62="Producción",IF($C63&gt;=LI_A,$P63,0),0)</f>
        <v>0</v>
      </c>
      <c r="AJ63" s="365">
        <f>IF($C62="Producción",IF($C63&gt;=LI_B,IF($C63&lt;LS_B,$P63,0),0),0)</f>
        <v>0</v>
      </c>
      <c r="AK63" s="365">
        <f>IF($C62="Producción",IF($C63&gt;=LI_C,IF($C63&lt;LS_C,$P63,0),0),0)</f>
        <v>0</v>
      </c>
      <c r="AL63" s="365">
        <f>IF($C62="Producción",IF(C63&lt;=LS_D,$P63,0),0)</f>
        <v>0</v>
      </c>
      <c r="AM63" s="365">
        <f>IF($C62="Crecimiento",$P63,0)</f>
        <v>0</v>
      </c>
      <c r="AN63" s="365">
        <f>IF($C62="Siembra",$P63,0)</f>
        <v>0</v>
      </c>
      <c r="AO63" s="365">
        <f>IF($C62="Abandono",$P63,0)</f>
        <v>0</v>
      </c>
      <c r="AP63" s="365">
        <f>IF($D62="Producción",IF($D63&gt;=LI_A,$Q63,0),0)</f>
        <v>0</v>
      </c>
      <c r="AQ63" s="365">
        <f>IF($D62="Producción",IF($D63&gt;=LI_B,IF($D63&lt;LS_B,$Q63,0),0),0)</f>
        <v>0</v>
      </c>
      <c r="AR63" s="365">
        <f>IF($D62="Producción",IF($D63&gt;=LI_C,IF($D63&lt;LS_C,$Q63,0),0),0)</f>
        <v>0</v>
      </c>
      <c r="AS63" s="365">
        <f>IF($D62="Producción",IF($D63&lt;=LS_D,$Q63,0),0)</f>
        <v>0</v>
      </c>
      <c r="AT63" s="365">
        <f>IF($D62="Crecimiento",$Q63,0)</f>
        <v>0</v>
      </c>
      <c r="AU63" s="365">
        <f>IF($D62="Siembra",$Q63,0)</f>
        <v>0</v>
      </c>
      <c r="AV63" s="365">
        <f>IF($D62="Abandono",$Q63,0)</f>
        <v>0</v>
      </c>
      <c r="AW63" s="365">
        <f>IF($E62="Producción",IF($E63&gt;=LI_A,$R63,0),0)</f>
        <v>0</v>
      </c>
      <c r="AX63" s="365">
        <f>IF($E62="Producción",IF($E63&gt;=LI_B,IF($E63&lt;LS_B,$R63,0),0),0)</f>
        <v>0</v>
      </c>
      <c r="AY63" s="365">
        <f>IF($E62="Producción",IF($E63&gt;=LI_C,IF($E63&lt;LS_C,$R63,0),0),0)</f>
        <v>0</v>
      </c>
      <c r="AZ63" s="365">
        <f>IF($E62="Producción",IF($E63&lt;=LS_D,$R63,0),0)</f>
        <v>0</v>
      </c>
      <c r="BA63" s="365">
        <f>IF($E62="Crecimiento",$R63,0)</f>
        <v>0</v>
      </c>
      <c r="BB63" s="365">
        <f>IF($E62="Siembra",$R63,0)</f>
        <v>0</v>
      </c>
      <c r="BC63" s="365">
        <f>IF($E62="Abandono",$R63,0)</f>
        <v>0</v>
      </c>
      <c r="BD63" s="365">
        <f>IF($F62="Producción",IF($F63&gt;=LI_A,$S63,0),0)</f>
        <v>0</v>
      </c>
      <c r="BE63" s="365">
        <f>IF($F62="Producción",IF($F63&gt;=LI_B,IF($F63&lt;LS_B,$S63,0),0),0)</f>
        <v>0</v>
      </c>
      <c r="BF63" s="365">
        <f>IF($F62="Producción",IF($F63&gt;=LI_C,IF($F63&lt;LS_C,$S63,0),0),0)</f>
        <v>0</v>
      </c>
      <c r="BG63" s="365">
        <f>IF($F62="Producción",IF($F63&lt;=LS_D,$S63,0),0)</f>
        <v>0</v>
      </c>
      <c r="BH63" s="365">
        <f>IF($F62="Crecimiento",$S63,0)</f>
        <v>0</v>
      </c>
      <c r="BI63" s="365">
        <f>IF($F62="Siembra",$S63,0)</f>
        <v>0</v>
      </c>
      <c r="BJ63" s="365">
        <f>IF($F62="Abandono",$S63,0)</f>
        <v>0</v>
      </c>
      <c r="BK63" s="365">
        <f>IF($G62="Producción",IF($G63&gt;=LI_A,$T63,0),0)</f>
        <v>0</v>
      </c>
      <c r="BL63" s="365">
        <f>IF($G62="Producción",IF($G63&gt;=LI_B,IF($G63&lt;LS_B,$T63,0),0),0)</f>
        <v>0</v>
      </c>
      <c r="BM63" s="365">
        <f>IF($G62="Producción",IF($G63&gt;=LI_C,IF($G63&lt;LS_C,$T63,0),0),0)</f>
        <v>0</v>
      </c>
      <c r="BN63" s="365">
        <f>IF($G62="Producción",IF($G63&lt;=LS_D,$T63,0),0)</f>
        <v>0</v>
      </c>
      <c r="BO63" s="365">
        <f>IF($G62="Crecimiento",$T63,0)</f>
        <v>0</v>
      </c>
      <c r="BP63" s="365">
        <f>IF($G62="Siembra",$T63,0)</f>
        <v>0</v>
      </c>
      <c r="BQ63" s="365">
        <f>IF($G62="Abandono",$T63,0)</f>
        <v>0</v>
      </c>
      <c r="BR63" s="365">
        <f>IF($H62="Producción",IF($H63&gt;=LI_A,$U63,0),0)</f>
        <v>0</v>
      </c>
      <c r="BS63" s="365">
        <f>IF($H62="Producción",IF($H63&gt;=LI_B,IF($H63&lt;LS_B,$U63,0),0),0)</f>
        <v>0</v>
      </c>
      <c r="BT63" s="365">
        <f>IF($H62="Producción",IF($H63&gt;=LI_C,IF($H63&lt;LS_C,$U63,0),0),0)</f>
        <v>0</v>
      </c>
      <c r="BU63" s="365">
        <f>IF($H62="Producción",IF($H63&lt;=LS_D,$U63,0),0)</f>
        <v>0</v>
      </c>
      <c r="BV63" s="365">
        <f>IF($H62="Crecimiento",$U63,0)</f>
        <v>0</v>
      </c>
      <c r="BW63" s="365">
        <f>IF($H62="Siembra",$U63,0)</f>
        <v>0</v>
      </c>
      <c r="BX63" s="365">
        <f>IF($H62="Abandono",$U63,0)</f>
        <v>0</v>
      </c>
      <c r="BY63" s="365">
        <f>IF($I62="Producción",IF($I63&gt;=LI_A,$V63,0),0)</f>
        <v>0</v>
      </c>
      <c r="BZ63" s="365">
        <f>IF($I62="Producción",IF($I63&gt;=LI_B,IF($I63&lt;LS_B,$V63,0),0),0)</f>
        <v>0</v>
      </c>
      <c r="CA63" s="365">
        <f>IF($I62="Producción",IF($I63&gt;=LI_C,IF($I63&lt;LS_C,$V63,0),0),0)</f>
        <v>0</v>
      </c>
      <c r="CB63" s="365">
        <f>IF($I62="Producción",IF($I63&lt;=LS_D,$V63,0),0)</f>
        <v>0</v>
      </c>
      <c r="CC63" s="365">
        <f>IF($I62="Crecimiento",$V63,0)</f>
        <v>0</v>
      </c>
      <c r="CD63" s="365">
        <f>IF($I62="Siembra",$V63,0)</f>
        <v>0</v>
      </c>
      <c r="CE63" s="365">
        <f>IF($I62="Abandono",$V63,0)</f>
        <v>0</v>
      </c>
      <c r="CF63" s="365">
        <f>IF($J62="Producción",IF($J63&gt;=LI_A,$W63,0),0)</f>
        <v>0</v>
      </c>
      <c r="CG63" s="365">
        <f>IF($J62="Producción",IF($J63&gt;=LI_B,IF($J63&lt;LS_B,$W63,0),0),0)</f>
        <v>0</v>
      </c>
      <c r="CH63" s="365">
        <f>IF($J62="Producción",IF($J63&gt;=LI_C,IF($J63&lt;LS_C,$W63,0),0),0)</f>
        <v>0</v>
      </c>
      <c r="CI63" s="365">
        <f>IF($J62="Producción",IF($J63&lt;=LS_D,$W63,0),0)</f>
        <v>0</v>
      </c>
      <c r="CJ63" s="365">
        <f>IF($J62="Crecimiento",$W63,0)</f>
        <v>0</v>
      </c>
      <c r="CK63" s="365">
        <f>IF($J62="Siembra",$W63,0)</f>
        <v>0</v>
      </c>
      <c r="CL63" s="365">
        <f>IF($J62="Abandono",$W63,0)</f>
        <v>0</v>
      </c>
      <c r="CM63" s="365">
        <f>IF($K62="Producción",IF($K63&gt;=LI_A,$X63,0),0)</f>
        <v>0</v>
      </c>
      <c r="CN63" s="365">
        <f>IF($K62="Producción",IF($K63&gt;=LI_B,IF($K63&lt;LS_B,$X63,0),0),0)</f>
        <v>0</v>
      </c>
      <c r="CO63" s="365">
        <f>IF($K62="Producción",IF($K63&gt;=LI_C,IF($K63&lt;LS_C,$X63,0),0),0)</f>
        <v>0</v>
      </c>
      <c r="CP63" s="365">
        <f>IF($K62="Producción",IF($K63&lt;=LS_D,$X63,0),0)</f>
        <v>0</v>
      </c>
      <c r="CQ63" s="365">
        <f>IF($K62="Crecimiento",IF($K63&gt;0,$X63,0),0)</f>
        <v>0</v>
      </c>
      <c r="CR63" s="365">
        <f>IF($K62="Siembra",IF($K63&gt;0,$X63,0),0)</f>
        <v>0</v>
      </c>
      <c r="CS63" s="365">
        <f>IF($K62="Abandono",IF($K63&gt;0,$X63,0),0)</f>
        <v>0</v>
      </c>
      <c r="CT63" s="365">
        <f>IF($L62="Producción",IF($L63&gt;=LI_A,$Y63,0),0)</f>
        <v>0</v>
      </c>
      <c r="CU63" s="365">
        <f>IF($L62="Producción",IF($L63&gt;=LI_B,IF($L63&lt;LS_B,$Y63,0),0),0)</f>
        <v>0</v>
      </c>
      <c r="CV63" s="365">
        <f>IF($L62="Producción",IF($L63&gt;=LI_C,IF($L63&lt;LS_C,$Y63,0),0),0)</f>
        <v>0</v>
      </c>
      <c r="CW63" s="365">
        <f>IF($L62="Producción",IF($L63&lt;=LS_D,$Y63,0),0)</f>
        <v>0</v>
      </c>
      <c r="CX63" s="365">
        <f>IF($L62="Crecimiento",$Y63,0)</f>
        <v>0</v>
      </c>
      <c r="CY63" s="365">
        <f>IF($L62="Siembra",$Y63,0)</f>
        <v>0</v>
      </c>
      <c r="CZ63" s="365">
        <f>IF($L62="Abandono",$Y63,0)</f>
        <v>0</v>
      </c>
      <c r="DA63" s="365">
        <f>IF($M62="Producción",IF($M63&gt;=LI_A,$Z63,0),0)</f>
        <v>0</v>
      </c>
      <c r="DB63" s="365">
        <f>IF($M62="Producción",IF($M63&gt;=LI_B,IF($M63&lt;LS_B,$Z63,0),0),0)</f>
        <v>0</v>
      </c>
      <c r="DC63" s="365">
        <f>IF($M62="Producción",IF($M63&gt;=LI_C,IF($M63&lt;LS_C,$Z63,0),0),0)</f>
        <v>0</v>
      </c>
      <c r="DD63" s="365">
        <f>IF($M62="Producción",IF($M63&lt;=LS_D,$Z63,0),0)</f>
        <v>0</v>
      </c>
      <c r="DE63" s="365">
        <f>IF($M62="Crecimiento",$Z63,0)</f>
        <v>0</v>
      </c>
      <c r="DF63" s="365">
        <f>IF($M62="Siembra",$Z63,0)</f>
        <v>0</v>
      </c>
      <c r="DG63" s="365">
        <f>IF($M62="Abandono",$Z63,0)</f>
        <v>0</v>
      </c>
      <c r="DI63" s="58">
        <f>AB63*$B63</f>
        <v>0</v>
      </c>
      <c r="DJ63" s="58">
        <f>AC63*$B63</f>
        <v>0</v>
      </c>
      <c r="DK63" s="58">
        <f>AD63*$B63</f>
        <v>0</v>
      </c>
      <c r="DL63" s="58">
        <f>AE63*$B63</f>
        <v>0</v>
      </c>
      <c r="DM63" s="365">
        <f>AF63*$B63</f>
        <v>0</v>
      </c>
      <c r="DN63" s="365">
        <f>AI63*$C63</f>
        <v>0</v>
      </c>
      <c r="DO63" s="365">
        <f>AJ63*$C63</f>
        <v>0</v>
      </c>
      <c r="DP63" s="365">
        <f>AK63*$C63</f>
        <v>0</v>
      </c>
      <c r="DQ63" s="365">
        <f>AL63*$C63</f>
        <v>0</v>
      </c>
      <c r="DR63" s="365">
        <f>AM63*$C63</f>
        <v>0</v>
      </c>
      <c r="DS63" s="365">
        <f>AP63*$D63</f>
        <v>0</v>
      </c>
      <c r="DT63" s="365">
        <f>AQ63*$D63</f>
        <v>0</v>
      </c>
      <c r="DU63" s="365">
        <f>AR63*$D63</f>
        <v>0</v>
      </c>
      <c r="DV63" s="365">
        <f>AS63*$D63</f>
        <v>0</v>
      </c>
      <c r="DW63" s="365">
        <f>AT63*$D63</f>
        <v>0</v>
      </c>
      <c r="DX63" s="365">
        <f>AW63*$E63</f>
        <v>0</v>
      </c>
      <c r="DY63" s="365">
        <f>AX63*$E63</f>
        <v>0</v>
      </c>
      <c r="DZ63" s="365">
        <f>AY63*$E63</f>
        <v>0</v>
      </c>
      <c r="EA63" s="365">
        <f>AZ63*$E63</f>
        <v>0</v>
      </c>
      <c r="EB63" s="365">
        <f>BA63*$E63</f>
        <v>0</v>
      </c>
      <c r="EC63" s="365">
        <f>BD63*$F63</f>
        <v>0</v>
      </c>
      <c r="ED63" s="365">
        <f>BE63*$F63</f>
        <v>0</v>
      </c>
      <c r="EE63" s="365">
        <f>BF63*$F63</f>
        <v>0</v>
      </c>
      <c r="EF63" s="365">
        <f>BG63*$F63</f>
        <v>0</v>
      </c>
      <c r="EG63" s="365">
        <f>BH63*$F63</f>
        <v>0</v>
      </c>
      <c r="EH63" s="365">
        <f>BK63*$G63</f>
        <v>0</v>
      </c>
      <c r="EI63" s="365">
        <f>BL63*$G63</f>
        <v>0</v>
      </c>
      <c r="EJ63" s="365">
        <f>BM63*$G63</f>
        <v>0</v>
      </c>
      <c r="EK63" s="365">
        <f>BN63*$G63</f>
        <v>0</v>
      </c>
      <c r="EL63" s="365">
        <f>BO63*$G63</f>
        <v>0</v>
      </c>
      <c r="EM63" s="365">
        <f>BR63*$H63</f>
        <v>0</v>
      </c>
      <c r="EN63" s="365">
        <f>BS63*$H63</f>
        <v>0</v>
      </c>
      <c r="EO63" s="365">
        <f>BT63*$H63</f>
        <v>0</v>
      </c>
      <c r="EP63" s="365">
        <f>BU63*$H63</f>
        <v>0</v>
      </c>
      <c r="EQ63" s="365">
        <f>BV63*$H63</f>
        <v>0</v>
      </c>
      <c r="ER63" s="365">
        <f>BY63*$I63</f>
        <v>0</v>
      </c>
      <c r="ES63" s="365">
        <f>BZ63*$I63</f>
        <v>0</v>
      </c>
      <c r="ET63" s="365">
        <f>CA63*$I63</f>
        <v>0</v>
      </c>
      <c r="EU63" s="365">
        <f>CB63*$I63</f>
        <v>0</v>
      </c>
      <c r="EV63" s="365">
        <f>CC63*$I63</f>
        <v>0</v>
      </c>
      <c r="EW63" s="365">
        <f>CF63*$J63</f>
        <v>0</v>
      </c>
      <c r="EX63" s="365">
        <f>CG63*$J63</f>
        <v>0</v>
      </c>
      <c r="EY63" s="365">
        <f>CH63*$J63</f>
        <v>0</v>
      </c>
      <c r="EZ63" s="365">
        <f>CI63*$J63</f>
        <v>0</v>
      </c>
      <c r="FA63" s="365">
        <f>CJ63*$J63</f>
        <v>0</v>
      </c>
      <c r="FB63" s="365">
        <f>CM63*$K63</f>
        <v>0</v>
      </c>
      <c r="FC63" s="365">
        <f>CN63*$K63</f>
        <v>0</v>
      </c>
      <c r="FD63" s="365">
        <f>CO63*$K63</f>
        <v>0</v>
      </c>
      <c r="FE63" s="365">
        <f>CP63*$K63</f>
        <v>0</v>
      </c>
      <c r="FF63" s="365">
        <f>CQ63*$K63</f>
        <v>0</v>
      </c>
      <c r="FG63" s="365">
        <f>CT63*$L63</f>
        <v>0</v>
      </c>
      <c r="FH63" s="365">
        <f>CU63*$L63</f>
        <v>0</v>
      </c>
      <c r="FI63" s="365">
        <f>CV63*$L63</f>
        <v>0</v>
      </c>
      <c r="FJ63" s="365">
        <f>CW63*$L63</f>
        <v>0</v>
      </c>
      <c r="FK63" s="365">
        <f>CX63*$L63</f>
        <v>0</v>
      </c>
      <c r="FL63" s="365">
        <f>DA63*$M63</f>
        <v>0</v>
      </c>
      <c r="FM63" s="365">
        <f t="shared" ref="FM63" si="44">DB63*$M63</f>
        <v>0</v>
      </c>
      <c r="FN63" s="365">
        <f>DC63*$M63</f>
        <v>0</v>
      </c>
      <c r="FO63" s="365">
        <f t="shared" ref="FO63" si="45">DD63*$M63</f>
        <v>0</v>
      </c>
      <c r="FP63" s="365">
        <f t="shared" ref="FP63" si="46">DE63*$M63</f>
        <v>0</v>
      </c>
    </row>
    <row r="64" spans="1:172" ht="21" customHeight="1" x14ac:dyDescent="0.3">
      <c r="A64" s="277" t="s">
        <v>238</v>
      </c>
      <c r="B64" s="278">
        <f>SUM(DI63:DM63)/100</f>
        <v>0</v>
      </c>
      <c r="C64" s="278">
        <f>SUM(DN63:DQ63)/100</f>
        <v>0</v>
      </c>
      <c r="D64" s="279">
        <f>SUM(DS63:DW63)/100</f>
        <v>0</v>
      </c>
      <c r="E64" s="279">
        <f>SUM(DX63:EB63)/100</f>
        <v>0</v>
      </c>
      <c r="F64" s="279">
        <f>SUM(EC63:EG63)/100</f>
        <v>0</v>
      </c>
      <c r="G64" s="279">
        <f>SUM(EH63:EL63)/100</f>
        <v>0</v>
      </c>
      <c r="H64" s="279">
        <f>SUM(EM63:EQ63)/100</f>
        <v>0</v>
      </c>
      <c r="I64" s="279">
        <f>SUM(ER63:EV63)/100</f>
        <v>0</v>
      </c>
      <c r="J64" s="279">
        <f>SUM(EW63:FA63)/100</f>
        <v>0</v>
      </c>
      <c r="K64" s="279">
        <f>SUM(FB63:FF63)/100</f>
        <v>0</v>
      </c>
      <c r="L64" s="279">
        <f>SUM(FG63:FK63)/100</f>
        <v>0</v>
      </c>
      <c r="M64" s="279">
        <f>SUM(FL63:FP63)/100</f>
        <v>0</v>
      </c>
      <c r="AG64" s="365"/>
      <c r="AH64" s="365"/>
      <c r="AI64" s="365"/>
      <c r="AJ64" s="365"/>
      <c r="AK64" s="365"/>
      <c r="AL64" s="365"/>
      <c r="AM64" s="365"/>
      <c r="AN64" s="365"/>
      <c r="AO64" s="365"/>
      <c r="AP64" s="365"/>
      <c r="AQ64" s="365"/>
      <c r="AR64" s="365"/>
      <c r="AS64" s="365"/>
      <c r="AT64" s="365"/>
      <c r="AU64" s="365"/>
      <c r="AV64" s="365"/>
      <c r="AW64" s="365"/>
      <c r="AX64" s="365"/>
      <c r="AY64" s="365"/>
      <c r="AZ64" s="365"/>
      <c r="BA64" s="365"/>
      <c r="BB64" s="365"/>
      <c r="BC64" s="365"/>
      <c r="BD64" s="365"/>
      <c r="BE64" s="365"/>
      <c r="BF64" s="365"/>
      <c r="BG64" s="365"/>
      <c r="BH64" s="365"/>
      <c r="BI64" s="365"/>
      <c r="BJ64" s="365"/>
      <c r="BK64" s="365"/>
      <c r="BL64" s="365"/>
      <c r="BM64" s="365"/>
      <c r="BN64" s="365"/>
      <c r="BO64" s="365"/>
      <c r="BP64" s="365"/>
      <c r="BQ64" s="365"/>
      <c r="BR64" s="365"/>
      <c r="BS64" s="365"/>
      <c r="BT64" s="365"/>
      <c r="BU64" s="365"/>
      <c r="BV64" s="365"/>
      <c r="BW64" s="365"/>
      <c r="BX64" s="365"/>
      <c r="BY64" s="365"/>
      <c r="BZ64" s="365"/>
      <c r="CA64" s="365"/>
      <c r="CB64" s="365"/>
      <c r="CC64" s="365"/>
      <c r="CD64" s="365"/>
      <c r="CE64" s="365"/>
      <c r="CF64" s="365"/>
      <c r="CG64" s="365"/>
      <c r="CH64" s="365"/>
      <c r="CI64" s="365"/>
      <c r="CJ64" s="365"/>
      <c r="CK64" s="365"/>
      <c r="CL64" s="365"/>
      <c r="CM64" s="365"/>
      <c r="CN64" s="365"/>
      <c r="CO64" s="365"/>
      <c r="CP64" s="365"/>
      <c r="CQ64" s="365"/>
      <c r="CR64" s="365"/>
      <c r="CS64" s="365"/>
      <c r="CT64" s="365"/>
      <c r="CU64" s="365"/>
      <c r="CV64" s="365"/>
      <c r="CW64" s="365"/>
      <c r="CX64" s="365"/>
      <c r="CY64" s="365"/>
      <c r="CZ64" s="365"/>
      <c r="DA64" s="365"/>
      <c r="DB64" s="365"/>
      <c r="DC64" s="365"/>
      <c r="DD64" s="365"/>
      <c r="DE64" s="365"/>
      <c r="DF64" s="365"/>
      <c r="DG64" s="365"/>
      <c r="DM64" s="365"/>
      <c r="DN64" s="365"/>
      <c r="DO64" s="365"/>
      <c r="DP64" s="365"/>
      <c r="DQ64" s="365"/>
      <c r="DR64" s="365"/>
      <c r="DS64" s="365"/>
      <c r="DT64" s="365"/>
      <c r="DU64" s="365"/>
      <c r="DV64" s="365"/>
      <c r="DW64" s="365"/>
      <c r="DX64" s="365"/>
      <c r="DY64" s="365"/>
      <c r="DZ64" s="365"/>
      <c r="EA64" s="365"/>
      <c r="EB64" s="365"/>
      <c r="EC64" s="365"/>
      <c r="ED64" s="365"/>
      <c r="EE64" s="365"/>
      <c r="EF64" s="365"/>
      <c r="EG64" s="365"/>
      <c r="EH64" s="365"/>
      <c r="EI64" s="365"/>
      <c r="EJ64" s="365"/>
      <c r="EK64" s="365"/>
      <c r="EL64" s="365"/>
      <c r="EM64" s="365"/>
      <c r="EN64" s="365"/>
      <c r="EO64" s="365"/>
      <c r="EP64" s="365"/>
      <c r="EQ64" s="365"/>
      <c r="ER64" s="365"/>
      <c r="ES64" s="365"/>
      <c r="ET64" s="365"/>
      <c r="EU64" s="365"/>
      <c r="EV64" s="365"/>
      <c r="EW64" s="365"/>
      <c r="EX64" s="365"/>
      <c r="EY64" s="365"/>
      <c r="EZ64" s="365"/>
      <c r="FA64" s="365"/>
      <c r="FB64" s="365"/>
      <c r="FC64" s="365"/>
      <c r="FD64" s="365"/>
      <c r="FE64" s="365"/>
      <c r="FF64" s="365"/>
      <c r="FG64" s="365"/>
      <c r="FH64" s="365"/>
      <c r="FI64" s="365"/>
      <c r="FJ64" s="365"/>
      <c r="FK64" s="365"/>
      <c r="FL64" s="365"/>
      <c r="FM64" s="365"/>
      <c r="FN64" s="365"/>
      <c r="FO64" s="365"/>
      <c r="FP64" s="365"/>
    </row>
    <row r="65" spans="1:172" ht="21" customHeight="1" x14ac:dyDescent="0.3">
      <c r="A65" s="150" t="s">
        <v>239</v>
      </c>
      <c r="B65" s="149" t="e">
        <f>SUM(DI63:DM63)/100/Lote_15</f>
        <v>#DIV/0!</v>
      </c>
      <c r="C65" s="149" t="e">
        <f>SUM(DN63:DQ63)/100/Lote_15</f>
        <v>#DIV/0!</v>
      </c>
      <c r="D65" s="149" t="e">
        <f>SUM(DS63:DW63)/100/Lote_15</f>
        <v>#DIV/0!</v>
      </c>
      <c r="E65" s="149" t="e">
        <f>SUM(DX63:EB63)/100/Lote_15</f>
        <v>#DIV/0!</v>
      </c>
      <c r="F65" s="149" t="e">
        <f>SUM(EC63:EG63)/100/Lote_15</f>
        <v>#DIV/0!</v>
      </c>
      <c r="G65" s="149" t="e">
        <f>SUM(EH63:EL63)/100/Lote_15</f>
        <v>#DIV/0!</v>
      </c>
      <c r="H65" s="149" t="e">
        <f>SUM(EM63:EQ63)/100/Lote_15</f>
        <v>#DIV/0!</v>
      </c>
      <c r="I65" s="149" t="e">
        <f>SUM(ER63:EV63)/100/Lote_15</f>
        <v>#DIV/0!</v>
      </c>
      <c r="J65" s="149" t="e">
        <f>SUM(EW63:FA63)/100/Lote_15</f>
        <v>#DIV/0!</v>
      </c>
      <c r="K65" s="149" t="e">
        <f>SUM(FB63:FF63)/100/Lote_15</f>
        <v>#DIV/0!</v>
      </c>
      <c r="L65" s="149" t="e">
        <f>SUM(FG63:FK63)/100/Lote_15</f>
        <v>#DIV/0!</v>
      </c>
      <c r="M65" s="149" t="e">
        <f>SUM(FL63:FP63)/100/Lote_15</f>
        <v>#DIV/0!</v>
      </c>
    </row>
    <row r="66" spans="1:172" ht="21" customHeight="1" x14ac:dyDescent="0.3">
      <c r="A66" s="233">
        <f>N_L16</f>
        <v>0</v>
      </c>
      <c r="B66" s="363" t="s">
        <v>37</v>
      </c>
      <c r="C66" s="363" t="s">
        <v>37</v>
      </c>
      <c r="D66" s="363" t="s">
        <v>37</v>
      </c>
      <c r="E66" s="363" t="s">
        <v>37</v>
      </c>
      <c r="F66" s="363" t="s">
        <v>37</v>
      </c>
      <c r="G66" s="363" t="s">
        <v>37</v>
      </c>
      <c r="H66" s="363" t="s">
        <v>37</v>
      </c>
      <c r="I66" s="363" t="s">
        <v>37</v>
      </c>
      <c r="J66" s="363" t="s">
        <v>37</v>
      </c>
      <c r="K66" s="363" t="s">
        <v>37</v>
      </c>
      <c r="L66" s="363" t="s">
        <v>37</v>
      </c>
      <c r="M66" s="363" t="s">
        <v>37</v>
      </c>
    </row>
    <row r="67" spans="1:172" ht="21" customHeight="1" x14ac:dyDescent="0.3">
      <c r="A67" s="4" t="s">
        <v>237</v>
      </c>
      <c r="B67" s="7"/>
      <c r="C67" s="275"/>
      <c r="D67" s="275"/>
      <c r="E67" s="275"/>
      <c r="F67" s="275"/>
      <c r="G67" s="275"/>
      <c r="H67" s="275"/>
      <c r="I67" s="275"/>
      <c r="J67" s="275"/>
      <c r="K67" s="275"/>
      <c r="L67" s="275"/>
      <c r="M67" s="275"/>
      <c r="O67" s="58">
        <f>Área_L16*D_L16*A1_L16</f>
        <v>0</v>
      </c>
      <c r="P67" s="58">
        <f>Área_L16*D_L16*A2_L16</f>
        <v>0</v>
      </c>
      <c r="Q67" s="58">
        <f>Área_L16*D_L16*A3_L16</f>
        <v>0</v>
      </c>
      <c r="R67" s="58">
        <f>Área_L16*D_L16*A4_L16</f>
        <v>0</v>
      </c>
      <c r="S67" s="58">
        <f>Área_L16*D_L16*A5_L16</f>
        <v>0</v>
      </c>
      <c r="T67" s="58">
        <f>Área_L16*D_L16*A6_L16</f>
        <v>0</v>
      </c>
      <c r="U67" s="58">
        <f>Área_L16*D_L16*A7_L16</f>
        <v>0</v>
      </c>
      <c r="V67" s="58">
        <f>Área_L16*D_L16*A8_L16</f>
        <v>0</v>
      </c>
      <c r="W67" s="58">
        <f>Área_L16*D_L16*A9_L16</f>
        <v>0</v>
      </c>
      <c r="X67" s="58">
        <f>Área_L16*D_L16*A10_L16</f>
        <v>0</v>
      </c>
      <c r="Y67" s="58">
        <f>Área_L16*D_L16*A11_L16</f>
        <v>0</v>
      </c>
      <c r="Z67" s="58">
        <f>Área_L16*D_L16*A12_L16</f>
        <v>0</v>
      </c>
      <c r="AB67" s="58">
        <f>IF($B66="Producción",IF($B67&gt;=LI_A,$O67,0),0)</f>
        <v>0</v>
      </c>
      <c r="AC67" s="58">
        <f>IF($B66="Producción",IF($B67&gt;=LI_B,IF($B67&lt;LS_B,$O67,0),0),0)</f>
        <v>0</v>
      </c>
      <c r="AD67" s="58">
        <f>IF($B66="Producción",IF($B67&gt;=LI_C,IF($B67&lt;LS_C,$O67,0),0),0)</f>
        <v>0</v>
      </c>
      <c r="AE67" s="58">
        <f>IF($B66="Producción",IF($B67&lt;=LS_D,$O67,0),0)</f>
        <v>0</v>
      </c>
      <c r="AF67" s="365">
        <f>IF($B66="Crecimiento",$O67,0)</f>
        <v>0</v>
      </c>
      <c r="AG67" s="365">
        <f>IF($B66="Siembra",$O67,0)</f>
        <v>0</v>
      </c>
      <c r="AH67" s="365">
        <f>IF($B66="Abandono",$O67,0)</f>
        <v>0</v>
      </c>
      <c r="AI67" s="365">
        <f>IF($C66="Producción",IF($C67&gt;=LI_A,$P67,0),0)</f>
        <v>0</v>
      </c>
      <c r="AJ67" s="365">
        <f>IF($C66="Producción",IF($C67&gt;=LI_B,IF($C67&lt;LS_B,$P67,0),0),0)</f>
        <v>0</v>
      </c>
      <c r="AK67" s="365">
        <f>IF($C66="Producción",IF($C67&gt;=LI_C,IF($C67&lt;LS_C,$P67,0),0),0)</f>
        <v>0</v>
      </c>
      <c r="AL67" s="365">
        <f>IF($C66="Producción",IF(C67&lt;=LS_D,$P67,0),0)</f>
        <v>0</v>
      </c>
      <c r="AM67" s="365">
        <f>IF($C66="Crecimiento",$P67,0)</f>
        <v>0</v>
      </c>
      <c r="AN67" s="365">
        <f>IF($C66="Siembra",$P67,0)</f>
        <v>0</v>
      </c>
      <c r="AO67" s="365">
        <f>IF($C66="Abandono",$P67,0)</f>
        <v>0</v>
      </c>
      <c r="AP67" s="365">
        <f>IF($D66="Producción",IF($D67&gt;=LI_A,$Q67,0),0)</f>
        <v>0</v>
      </c>
      <c r="AQ67" s="365">
        <f>IF($D66="Producción",IF($D67&gt;=LI_B,IF($D67&lt;LS_B,$Q67,0),0),0)</f>
        <v>0</v>
      </c>
      <c r="AR67" s="365">
        <f>IF($D66="Producción",IF($D67&gt;=LI_C,IF($D67&lt;LS_C,$Q67,0),0),0)</f>
        <v>0</v>
      </c>
      <c r="AS67" s="365">
        <f>IF($D66="Producción",IF($D67&lt;=LS_D,$Q67,0),0)</f>
        <v>0</v>
      </c>
      <c r="AT67" s="365">
        <f>IF($D66="Crecimiento",$Q67,0)</f>
        <v>0</v>
      </c>
      <c r="AU67" s="365">
        <f>IF($D66="Siembra",$Q67,0)</f>
        <v>0</v>
      </c>
      <c r="AV67" s="365">
        <f>IF($D66="Abandono",$Q67,0)</f>
        <v>0</v>
      </c>
      <c r="AW67" s="365">
        <f>IF($E66="Producción",IF($E67&gt;=LI_A,$R67,0),0)</f>
        <v>0</v>
      </c>
      <c r="AX67" s="365">
        <f>IF($E66="Producción",IF($E67&gt;=LI_B,IF($E67&lt;LS_B,$R67,0),0),0)</f>
        <v>0</v>
      </c>
      <c r="AY67" s="365">
        <f>IF($E66="Producción",IF($E67&gt;=LI_C,IF($E67&lt;LS_C,$R67,0),0),0)</f>
        <v>0</v>
      </c>
      <c r="AZ67" s="365">
        <f>IF($E66="Producción",IF($E67&lt;=LS_D,$R67,0),0)</f>
        <v>0</v>
      </c>
      <c r="BA67" s="365">
        <f>IF($E66="Crecimiento",$R67,0)</f>
        <v>0</v>
      </c>
      <c r="BB67" s="365">
        <f>IF($E66="Siembra",$R67,0)</f>
        <v>0</v>
      </c>
      <c r="BC67" s="365">
        <f>IF($E66="Abandono",$R67,0)</f>
        <v>0</v>
      </c>
      <c r="BD67" s="365">
        <f>IF($F66="Producción",IF($F67&gt;=LI_A,$S67,0),0)</f>
        <v>0</v>
      </c>
      <c r="BE67" s="365">
        <f>IF($F66="Producción",IF($F67&gt;=LI_B,IF($F67&lt;LS_B,$S67,0),0),0)</f>
        <v>0</v>
      </c>
      <c r="BF67" s="365">
        <f>IF($F66="Producción",IF($F67&gt;=LI_C,IF($F67&lt;LS_C,$S67,0),0),0)</f>
        <v>0</v>
      </c>
      <c r="BG67" s="365">
        <f>IF($F66="Producción",IF($F67&lt;=LS_D,$S67,0),0)</f>
        <v>0</v>
      </c>
      <c r="BH67" s="365">
        <f>IF($F66="Crecimiento",$S67,0)</f>
        <v>0</v>
      </c>
      <c r="BI67" s="365">
        <f>IF($F66="Siembra",$S67,0)</f>
        <v>0</v>
      </c>
      <c r="BJ67" s="365">
        <f>IF($F66="Abandono",$S67,0)</f>
        <v>0</v>
      </c>
      <c r="BK67" s="365">
        <f>IF($G66="Producción",IF($G67&gt;=LI_A,$T67,0),0)</f>
        <v>0</v>
      </c>
      <c r="BL67" s="365">
        <f>IF($G66="Producción",IF($G67&gt;=LI_B,IF($G67&lt;LS_B,$T67,0),0),0)</f>
        <v>0</v>
      </c>
      <c r="BM67" s="365">
        <f>IF($G66="Producción",IF($G67&gt;=LI_C,IF($G67&lt;LS_C,$T67,0),0),0)</f>
        <v>0</v>
      </c>
      <c r="BN67" s="365">
        <f>IF($G66="Producción",IF($G67&lt;=LS_D,$T67,0),0)</f>
        <v>0</v>
      </c>
      <c r="BO67" s="365">
        <f>IF($G66="Crecimiento",$T67,0)</f>
        <v>0</v>
      </c>
      <c r="BP67" s="365">
        <f>IF($G66="Siembra",$T67,0)</f>
        <v>0</v>
      </c>
      <c r="BQ67" s="365">
        <f>IF($G66="Abandono",$T67,0)</f>
        <v>0</v>
      </c>
      <c r="BR67" s="365">
        <f>IF($H66="Producción",IF($H67&gt;=LI_A,$U67,0),0)</f>
        <v>0</v>
      </c>
      <c r="BS67" s="365">
        <f>IF($H66="Producción",IF($H67&gt;=LI_B,IF($H67&lt;LS_B,$U67,0),0),0)</f>
        <v>0</v>
      </c>
      <c r="BT67" s="365">
        <f>IF($H66="Producción",IF($H67&gt;=LI_C,IF($H67&lt;LS_C,$U67,0),0),0)</f>
        <v>0</v>
      </c>
      <c r="BU67" s="365">
        <f>IF($H66="Producción",IF($H67&lt;=LS_D,$U67,0),0)</f>
        <v>0</v>
      </c>
      <c r="BV67" s="365">
        <f>IF($H66="Crecimiento",$U67,0)</f>
        <v>0</v>
      </c>
      <c r="BW67" s="365">
        <f>IF($H66="Siembra",$U67,0)</f>
        <v>0</v>
      </c>
      <c r="BX67" s="365">
        <f>IF($H66="Abandono",$U67,0)</f>
        <v>0</v>
      </c>
      <c r="BY67" s="365">
        <f>IF($I66="Producción",IF($I67&gt;=LI_A,$V67,0),0)</f>
        <v>0</v>
      </c>
      <c r="BZ67" s="365">
        <f>IF($I66="Producción",IF($I67&gt;=LI_B,IF($I67&lt;LS_B,$V67,0),0),0)</f>
        <v>0</v>
      </c>
      <c r="CA67" s="365">
        <f>IF($I66="Producción",IF($I67&gt;=LI_C,IF($I67&lt;LS_C,$V67,0),0),0)</f>
        <v>0</v>
      </c>
      <c r="CB67" s="365">
        <f>IF($I66="Producción",IF($I67&lt;=LS_D,$V67,0),0)</f>
        <v>0</v>
      </c>
      <c r="CC67" s="365">
        <f>IF($I66="Crecimiento",$V67,0)</f>
        <v>0</v>
      </c>
      <c r="CD67" s="365">
        <f>IF($I66="Siembra",$V67,0)</f>
        <v>0</v>
      </c>
      <c r="CE67" s="365">
        <f>IF($I66="Abandono",$V67,0)</f>
        <v>0</v>
      </c>
      <c r="CF67" s="365">
        <f>IF($J66="Producción",IF($J67&gt;=LI_A,$W67,0),0)</f>
        <v>0</v>
      </c>
      <c r="CG67" s="365">
        <f>IF($J66="Producción",IF($J67&gt;=LI_B,IF($J67&lt;LS_B,$W67,0),0),0)</f>
        <v>0</v>
      </c>
      <c r="CH67" s="365">
        <f>IF($J66="Producción",IF($J67&gt;=LI_C,IF($J67&lt;LS_C,$W67,0),0),0)</f>
        <v>0</v>
      </c>
      <c r="CI67" s="365">
        <f>IF($J66="Producción",IF($J67&lt;=LS_D,$W67,0),0)</f>
        <v>0</v>
      </c>
      <c r="CJ67" s="365">
        <f>IF($J66="Crecimiento",$W67,0)</f>
        <v>0</v>
      </c>
      <c r="CK67" s="365">
        <f>IF($J66="Siembra",$W67,0)</f>
        <v>0</v>
      </c>
      <c r="CL67" s="365">
        <f>IF($J66="Abandono",$W67,0)</f>
        <v>0</v>
      </c>
      <c r="CM67" s="365">
        <f>IF($K66="Producción",IF($K67&gt;=LI_A,$X67,0),0)</f>
        <v>0</v>
      </c>
      <c r="CN67" s="365">
        <f>IF($K66="Producción",IF($K67&gt;=LI_B,IF($K67&lt;LS_B,$X67,0),0),0)</f>
        <v>0</v>
      </c>
      <c r="CO67" s="365">
        <f>IF($K66="Producción",IF($K67&gt;=LI_C,IF($K67&lt;LS_C,$X67,0),0),0)</f>
        <v>0</v>
      </c>
      <c r="CP67" s="365">
        <f>IF($K66="Producción",IF($K67&lt;=LS_D,$X67,0),0)</f>
        <v>0</v>
      </c>
      <c r="CQ67" s="365">
        <f>IF($K66="Crecimiento",IF($K67&gt;0,$X67,0),0)</f>
        <v>0</v>
      </c>
      <c r="CR67" s="365">
        <f>IF($K66="Siembra",IF($K67&gt;0,$X67,0),0)</f>
        <v>0</v>
      </c>
      <c r="CS67" s="365">
        <f>IF($K66="Abandono",IF($K67&gt;0,$X67,0),0)</f>
        <v>0</v>
      </c>
      <c r="CT67" s="365">
        <f>IF($L66="Producción",IF($L67&gt;=LI_A,$Y67,0),0)</f>
        <v>0</v>
      </c>
      <c r="CU67" s="365">
        <f>IF($L66="Producción",IF($L67&gt;=LI_B,IF($L67&lt;LS_B,$Y67,0),0),0)</f>
        <v>0</v>
      </c>
      <c r="CV67" s="365">
        <f>IF($L66="Producción",IF($L67&gt;=LI_C,IF($L67&lt;LS_C,$Y67,0),0),0)</f>
        <v>0</v>
      </c>
      <c r="CW67" s="365">
        <f>IF($L66="Producción",IF($L67&lt;=LS_D,$Y67,0),0)</f>
        <v>0</v>
      </c>
      <c r="CX67" s="365">
        <f>IF($L66="Crecimiento",$Y67,0)</f>
        <v>0</v>
      </c>
      <c r="CY67" s="365">
        <f>IF($L66="Siembra",$Y67,0)</f>
        <v>0</v>
      </c>
      <c r="CZ67" s="365">
        <f>IF($L66="Abandono",$Y67,0)</f>
        <v>0</v>
      </c>
      <c r="DA67" s="365">
        <f>IF($M66="Producción",IF($M67&gt;=LI_A,$Z67,0),0)</f>
        <v>0</v>
      </c>
      <c r="DB67" s="365">
        <f>IF($M66="Producción",IF($M67&gt;=LI_B,IF($M67&lt;LS_B,$Z67,0),0),0)</f>
        <v>0</v>
      </c>
      <c r="DC67" s="365">
        <f>IF($M66="Producción",IF($M67&gt;=LI_C,IF($M67&lt;LS_C,$Z67,0),0),0)</f>
        <v>0</v>
      </c>
      <c r="DD67" s="365">
        <f>IF($M66="Producción",IF($M67&lt;=LS_D,$Z67,0),0)</f>
        <v>0</v>
      </c>
      <c r="DE67" s="365">
        <f>IF($M66="Crecimiento",$Z67,0)</f>
        <v>0</v>
      </c>
      <c r="DF67" s="365">
        <f>IF($M66="Siembra",$Z67,0)</f>
        <v>0</v>
      </c>
      <c r="DG67" s="365">
        <f>IF($M66="Abandono",$Z67,0)</f>
        <v>0</v>
      </c>
      <c r="DI67" s="58">
        <f>AB67*$B67</f>
        <v>0</v>
      </c>
      <c r="DJ67" s="58">
        <f>AC67*$B67</f>
        <v>0</v>
      </c>
      <c r="DK67" s="58">
        <f>AD67*$B67</f>
        <v>0</v>
      </c>
      <c r="DL67" s="58">
        <f>AE67*$B67</f>
        <v>0</v>
      </c>
      <c r="DM67" s="365">
        <f>AF67*$B67</f>
        <v>0</v>
      </c>
      <c r="DN67" s="365">
        <f>AI67*$C67</f>
        <v>0</v>
      </c>
      <c r="DO67" s="365">
        <f>AJ67*$C67</f>
        <v>0</v>
      </c>
      <c r="DP67" s="365">
        <f>AK67*$C67</f>
        <v>0</v>
      </c>
      <c r="DQ67" s="365">
        <f>AL67*$C67</f>
        <v>0</v>
      </c>
      <c r="DR67" s="365">
        <f>AM67*$C67</f>
        <v>0</v>
      </c>
      <c r="DS67" s="365">
        <f>AP67*$D67</f>
        <v>0</v>
      </c>
      <c r="DT67" s="365">
        <f>AQ67*$D67</f>
        <v>0</v>
      </c>
      <c r="DU67" s="365">
        <f>AR67*$D67</f>
        <v>0</v>
      </c>
      <c r="DV67" s="365">
        <f>AS67*$D67</f>
        <v>0</v>
      </c>
      <c r="DW67" s="365">
        <f>AT67*$D67</f>
        <v>0</v>
      </c>
      <c r="DX67" s="365">
        <f>AW67*$E67</f>
        <v>0</v>
      </c>
      <c r="DY67" s="365">
        <f>AX67*$E67</f>
        <v>0</v>
      </c>
      <c r="DZ67" s="365">
        <f>AY67*$E67</f>
        <v>0</v>
      </c>
      <c r="EA67" s="365">
        <f>AZ67*$E67</f>
        <v>0</v>
      </c>
      <c r="EB67" s="365">
        <f>BA67*$E67</f>
        <v>0</v>
      </c>
      <c r="EC67" s="365">
        <f>BD67*$F67</f>
        <v>0</v>
      </c>
      <c r="ED67" s="365">
        <f>BE67*$F67</f>
        <v>0</v>
      </c>
      <c r="EE67" s="365">
        <f>BF67*$F67</f>
        <v>0</v>
      </c>
      <c r="EF67" s="365">
        <f>BG67*$F67</f>
        <v>0</v>
      </c>
      <c r="EG67" s="365">
        <f>BH67*$F67</f>
        <v>0</v>
      </c>
      <c r="EH67" s="365">
        <f>BK67*$G67</f>
        <v>0</v>
      </c>
      <c r="EI67" s="365">
        <f>BL67*$G67</f>
        <v>0</v>
      </c>
      <c r="EJ67" s="365">
        <f>BM67*$G67</f>
        <v>0</v>
      </c>
      <c r="EK67" s="365">
        <f>BN67*$G67</f>
        <v>0</v>
      </c>
      <c r="EL67" s="365">
        <f>BO67*$G67</f>
        <v>0</v>
      </c>
      <c r="EM67" s="365">
        <f>BR67*$H67</f>
        <v>0</v>
      </c>
      <c r="EN67" s="365">
        <f>BS67*$H67</f>
        <v>0</v>
      </c>
      <c r="EO67" s="365">
        <f>BT67*$H67</f>
        <v>0</v>
      </c>
      <c r="EP67" s="365">
        <f>BU67*$H67</f>
        <v>0</v>
      </c>
      <c r="EQ67" s="365">
        <f>BV67*$H67</f>
        <v>0</v>
      </c>
      <c r="ER67" s="365">
        <f>BY67*$I67</f>
        <v>0</v>
      </c>
      <c r="ES67" s="365">
        <f>BZ67*$I67</f>
        <v>0</v>
      </c>
      <c r="ET67" s="365">
        <f>CA67*$I67</f>
        <v>0</v>
      </c>
      <c r="EU67" s="365">
        <f>CB67*$I67</f>
        <v>0</v>
      </c>
      <c r="EV67" s="365">
        <f>CC67*$I67</f>
        <v>0</v>
      </c>
      <c r="EW67" s="365">
        <f>CF67*$J67</f>
        <v>0</v>
      </c>
      <c r="EX67" s="365">
        <f>CG67*$J67</f>
        <v>0</v>
      </c>
      <c r="EY67" s="365">
        <f>CH67*$J67</f>
        <v>0</v>
      </c>
      <c r="EZ67" s="365">
        <f>CI67*$J67</f>
        <v>0</v>
      </c>
      <c r="FA67" s="365">
        <f>CJ67*$J67</f>
        <v>0</v>
      </c>
      <c r="FB67" s="365">
        <f>CM67*$K67</f>
        <v>0</v>
      </c>
      <c r="FC67" s="365">
        <f>CN67*$K67</f>
        <v>0</v>
      </c>
      <c r="FD67" s="365">
        <f>CO67*$K67</f>
        <v>0</v>
      </c>
      <c r="FE67" s="365">
        <f>CP67*$K67</f>
        <v>0</v>
      </c>
      <c r="FF67" s="365">
        <f>CQ67*$K67</f>
        <v>0</v>
      </c>
      <c r="FG67" s="365">
        <f>CT67*$L67</f>
        <v>0</v>
      </c>
      <c r="FH67" s="365">
        <f>CU67*$L67</f>
        <v>0</v>
      </c>
      <c r="FI67" s="365">
        <f>CV67*$L67</f>
        <v>0</v>
      </c>
      <c r="FJ67" s="365">
        <f>CW67*$L67</f>
        <v>0</v>
      </c>
      <c r="FK67" s="365">
        <f>CX67*$L67</f>
        <v>0</v>
      </c>
      <c r="FL67" s="365">
        <f>DA67*$M67</f>
        <v>0</v>
      </c>
      <c r="FM67" s="365">
        <f t="shared" ref="FM67" si="47">DB67*$M67</f>
        <v>0</v>
      </c>
      <c r="FN67" s="365">
        <f>DC67*$M67</f>
        <v>0</v>
      </c>
      <c r="FO67" s="365">
        <f t="shared" ref="FO67" si="48">DD67*$M67</f>
        <v>0</v>
      </c>
      <c r="FP67" s="365">
        <f t="shared" ref="FP67" si="49">DE67*$M67</f>
        <v>0</v>
      </c>
    </row>
    <row r="68" spans="1:172" ht="21" customHeight="1" x14ac:dyDescent="0.3">
      <c r="A68" s="277" t="s">
        <v>238</v>
      </c>
      <c r="B68" s="278">
        <f>SUM(DI67:DM67)/100</f>
        <v>0</v>
      </c>
      <c r="C68" s="278">
        <f>SUM(DN67:DQ67)/100</f>
        <v>0</v>
      </c>
      <c r="D68" s="279">
        <f>SUM(DS67:DW67)/100</f>
        <v>0</v>
      </c>
      <c r="E68" s="279">
        <f>SUM(DX67:EB67)/100</f>
        <v>0</v>
      </c>
      <c r="F68" s="279">
        <f>SUM(EC67:EG67)/100</f>
        <v>0</v>
      </c>
      <c r="G68" s="279">
        <f>SUM(EH67:EL67)/100</f>
        <v>0</v>
      </c>
      <c r="H68" s="279">
        <f>SUM(EM67:EQ67)/100</f>
        <v>0</v>
      </c>
      <c r="I68" s="279">
        <f>SUM(ER67:EV67)/100</f>
        <v>0</v>
      </c>
      <c r="J68" s="279">
        <f>SUM(EW67:FA67)/100</f>
        <v>0</v>
      </c>
      <c r="K68" s="279">
        <f>SUM(FB67:FF67)/100</f>
        <v>0</v>
      </c>
      <c r="L68" s="279">
        <f>SUM(FG67:FK67)/100</f>
        <v>0</v>
      </c>
      <c r="M68" s="279">
        <f>SUM(FL67:FP67)/100</f>
        <v>0</v>
      </c>
      <c r="AG68" s="365"/>
      <c r="AH68" s="365"/>
      <c r="AI68" s="365"/>
      <c r="AJ68" s="365"/>
      <c r="AK68" s="365"/>
      <c r="AL68" s="365"/>
      <c r="AM68" s="365"/>
      <c r="AN68" s="365"/>
      <c r="AO68" s="365"/>
      <c r="AP68" s="365"/>
      <c r="AQ68" s="365"/>
      <c r="AR68" s="365"/>
      <c r="AS68" s="365"/>
      <c r="AT68" s="365"/>
      <c r="AU68" s="365"/>
      <c r="AV68" s="365"/>
      <c r="AW68" s="365"/>
      <c r="AX68" s="365"/>
      <c r="AY68" s="365"/>
      <c r="AZ68" s="365"/>
      <c r="BA68" s="365"/>
      <c r="BB68" s="365"/>
      <c r="BC68" s="365"/>
      <c r="BD68" s="365"/>
      <c r="BE68" s="365"/>
      <c r="BF68" s="365"/>
      <c r="BG68" s="365"/>
      <c r="BH68" s="365"/>
      <c r="BI68" s="365"/>
      <c r="BJ68" s="365"/>
      <c r="BK68" s="365"/>
      <c r="BL68" s="365"/>
      <c r="BM68" s="365"/>
      <c r="BN68" s="365"/>
      <c r="BO68" s="365"/>
      <c r="BP68" s="365"/>
      <c r="BQ68" s="365"/>
      <c r="BR68" s="365"/>
      <c r="BS68" s="365"/>
      <c r="BT68" s="365"/>
      <c r="BU68" s="365"/>
      <c r="BV68" s="365"/>
      <c r="BW68" s="365"/>
      <c r="BX68" s="365"/>
      <c r="BY68" s="365"/>
      <c r="BZ68" s="365"/>
      <c r="CA68" s="365"/>
      <c r="CB68" s="365"/>
      <c r="CC68" s="365"/>
      <c r="CD68" s="365"/>
      <c r="CE68" s="365"/>
      <c r="CF68" s="365"/>
      <c r="CG68" s="365"/>
      <c r="CH68" s="365"/>
      <c r="CI68" s="365"/>
      <c r="CJ68" s="365"/>
      <c r="CK68" s="365"/>
      <c r="CL68" s="365"/>
      <c r="CM68" s="365"/>
      <c r="CN68" s="365"/>
      <c r="CO68" s="365"/>
      <c r="CP68" s="365"/>
      <c r="CQ68" s="365"/>
      <c r="CR68" s="365"/>
      <c r="CS68" s="365"/>
      <c r="CT68" s="365"/>
      <c r="CU68" s="365"/>
      <c r="CV68" s="365"/>
      <c r="CW68" s="365"/>
      <c r="CX68" s="365"/>
      <c r="CY68" s="365"/>
      <c r="CZ68" s="365"/>
      <c r="DA68" s="365"/>
      <c r="DB68" s="365"/>
      <c r="DC68" s="365"/>
      <c r="DD68" s="365"/>
      <c r="DE68" s="365"/>
      <c r="DF68" s="365"/>
      <c r="DG68" s="365"/>
      <c r="DM68" s="365"/>
      <c r="DN68" s="365"/>
      <c r="DO68" s="365"/>
      <c r="DP68" s="365"/>
      <c r="DQ68" s="365"/>
      <c r="DR68" s="365"/>
      <c r="DS68" s="365"/>
      <c r="DT68" s="365"/>
      <c r="DU68" s="365"/>
      <c r="DV68" s="365"/>
      <c r="DW68" s="365"/>
      <c r="DX68" s="365"/>
      <c r="DY68" s="365"/>
      <c r="DZ68" s="365"/>
      <c r="EA68" s="365"/>
      <c r="EB68" s="365"/>
      <c r="EC68" s="365"/>
      <c r="ED68" s="365"/>
      <c r="EE68" s="365"/>
      <c r="EF68" s="365"/>
      <c r="EG68" s="365"/>
      <c r="EH68" s="365"/>
      <c r="EI68" s="365"/>
      <c r="EJ68" s="365"/>
      <c r="EK68" s="365"/>
      <c r="EL68" s="365"/>
      <c r="EM68" s="365"/>
      <c r="EN68" s="365"/>
      <c r="EO68" s="365"/>
      <c r="EP68" s="365"/>
      <c r="EQ68" s="365"/>
      <c r="ER68" s="365"/>
      <c r="ES68" s="365"/>
      <c r="ET68" s="365"/>
      <c r="EU68" s="365"/>
      <c r="EV68" s="365"/>
      <c r="EW68" s="365"/>
      <c r="EX68" s="365"/>
      <c r="EY68" s="365"/>
      <c r="EZ68" s="365"/>
      <c r="FA68" s="365"/>
      <c r="FB68" s="365"/>
      <c r="FC68" s="365"/>
      <c r="FD68" s="365"/>
      <c r="FE68" s="365"/>
      <c r="FF68" s="365"/>
      <c r="FG68" s="365"/>
      <c r="FH68" s="365"/>
      <c r="FI68" s="365"/>
      <c r="FJ68" s="365"/>
      <c r="FK68" s="365"/>
      <c r="FL68" s="365"/>
      <c r="FM68" s="365"/>
      <c r="FN68" s="365"/>
      <c r="FO68" s="365"/>
      <c r="FP68" s="365"/>
    </row>
    <row r="69" spans="1:172" ht="21" customHeight="1" x14ac:dyDescent="0.3">
      <c r="A69" s="150" t="s">
        <v>239</v>
      </c>
      <c r="B69" s="149" t="e">
        <f>SUM(DI67:DM67)/100/Lote_16</f>
        <v>#DIV/0!</v>
      </c>
      <c r="C69" s="149" t="e">
        <f>SUM(DN67:DQ67)/100/Lote_16</f>
        <v>#DIV/0!</v>
      </c>
      <c r="D69" s="149" t="e">
        <f>SUM(DS67:DW67)/100/Lote_16</f>
        <v>#DIV/0!</v>
      </c>
      <c r="E69" s="149" t="e">
        <f>SUM(DX67:EB67)/100/Lote_16</f>
        <v>#DIV/0!</v>
      </c>
      <c r="F69" s="149" t="e">
        <f>SUM(EC67:EG67)/100/Lote_16</f>
        <v>#DIV/0!</v>
      </c>
      <c r="G69" s="149" t="e">
        <f>SUM(EH67:EL67)/100/Lote_16</f>
        <v>#DIV/0!</v>
      </c>
      <c r="H69" s="149" t="e">
        <f>SUM(EM67:EQ67)/100/Lote_16</f>
        <v>#DIV/0!</v>
      </c>
      <c r="I69" s="149" t="e">
        <f>SUM(ER67:EV67)/100/Lote_16</f>
        <v>#DIV/0!</v>
      </c>
      <c r="J69" s="149" t="e">
        <f>SUM(EW67:FA67)/100/Lote_16</f>
        <v>#DIV/0!</v>
      </c>
      <c r="K69" s="149" t="e">
        <f>SUM(FB67:FF67)/100/Lote_16</f>
        <v>#DIV/0!</v>
      </c>
      <c r="L69" s="149" t="e">
        <f>SUM(FG67:FK67)/100/Lote_16</f>
        <v>#DIV/0!</v>
      </c>
      <c r="M69" s="149" t="e">
        <f>SUM(FL67:FP67)/100/Lote_16</f>
        <v>#DIV/0!</v>
      </c>
    </row>
    <row r="70" spans="1:172" ht="21" customHeight="1" x14ac:dyDescent="0.3">
      <c r="A70" s="233">
        <f>N_L17</f>
        <v>0</v>
      </c>
      <c r="B70" s="363" t="s">
        <v>37</v>
      </c>
      <c r="C70" s="363" t="s">
        <v>37</v>
      </c>
      <c r="D70" s="363" t="s">
        <v>37</v>
      </c>
      <c r="E70" s="363" t="s">
        <v>37</v>
      </c>
      <c r="F70" s="363" t="s">
        <v>37</v>
      </c>
      <c r="G70" s="363" t="s">
        <v>37</v>
      </c>
      <c r="H70" s="363" t="s">
        <v>37</v>
      </c>
      <c r="I70" s="363" t="s">
        <v>37</v>
      </c>
      <c r="J70" s="363" t="s">
        <v>37</v>
      </c>
      <c r="K70" s="363" t="s">
        <v>37</v>
      </c>
      <c r="L70" s="363" t="s">
        <v>37</v>
      </c>
      <c r="M70" s="363" t="s">
        <v>37</v>
      </c>
    </row>
    <row r="71" spans="1:172" ht="21" customHeight="1" x14ac:dyDescent="0.3">
      <c r="A71" s="4" t="s">
        <v>237</v>
      </c>
      <c r="B71" s="7"/>
      <c r="C71" s="275"/>
      <c r="D71" s="275"/>
      <c r="E71" s="275"/>
      <c r="F71" s="275"/>
      <c r="G71" s="275"/>
      <c r="H71" s="275"/>
      <c r="I71" s="275"/>
      <c r="J71" s="275"/>
      <c r="K71" s="275"/>
      <c r="L71" s="275"/>
      <c r="M71" s="275"/>
      <c r="O71" s="58">
        <f>Área_L17*D_L17*A1_L17</f>
        <v>0</v>
      </c>
      <c r="P71" s="58">
        <f>Área_L17*D_L17*A2_L17</f>
        <v>0</v>
      </c>
      <c r="Q71" s="58">
        <f>Área_L17*D_L17*A3_L17</f>
        <v>0</v>
      </c>
      <c r="R71" s="58">
        <f>Área_L17*D_L17*A4_L17</f>
        <v>0</v>
      </c>
      <c r="S71" s="58">
        <f>Área_L17*D_L17*A5_L17</f>
        <v>0</v>
      </c>
      <c r="T71" s="58">
        <f>Área_L17*D_L17*A6_L17</f>
        <v>0</v>
      </c>
      <c r="U71" s="58">
        <f>Área_L17*D_L17*A7_L17</f>
        <v>0</v>
      </c>
      <c r="V71" s="58">
        <f>Área_L17*D_L17*A8_L17</f>
        <v>0</v>
      </c>
      <c r="W71" s="58">
        <f>Área_L17*D_L17*A9_L17</f>
        <v>0</v>
      </c>
      <c r="X71" s="58">
        <f>Área_L17*D_L17*A10_L17</f>
        <v>0</v>
      </c>
      <c r="Y71" s="58">
        <f>Área_L17*D_L17*A11_L17</f>
        <v>0</v>
      </c>
      <c r="Z71" s="58">
        <f>Área_L17*D_L17*A12_L17</f>
        <v>0</v>
      </c>
      <c r="AB71" s="58">
        <f>IF($B70="Producción",IF($B71&gt;=LI_A,$O71,0),0)</f>
        <v>0</v>
      </c>
      <c r="AC71" s="58">
        <f>IF($B70="Producción",IF($B71&gt;=LI_B,IF($B71&lt;LS_B,$O71,0),0),0)</f>
        <v>0</v>
      </c>
      <c r="AD71" s="58">
        <f>IF($B70="Producción",IF($B71&gt;=LI_C,IF($B71&lt;LS_C,$O71,0),0),0)</f>
        <v>0</v>
      </c>
      <c r="AE71" s="58">
        <f>IF($B70="Producción",IF($B71&lt;=LS_D,$O71,0),0)</f>
        <v>0</v>
      </c>
      <c r="AF71" s="365">
        <f>IF($B70="Crecimiento",$O71,0)</f>
        <v>0</v>
      </c>
      <c r="AG71" s="365">
        <f>IF($B70="Siembra",$O71,0)</f>
        <v>0</v>
      </c>
      <c r="AH71" s="365">
        <f>IF($B70="Abandono",$O71,0)</f>
        <v>0</v>
      </c>
      <c r="AI71" s="365">
        <f>IF($C70="Producción",IF($C71&gt;=LI_A,$P71,0),0)</f>
        <v>0</v>
      </c>
      <c r="AJ71" s="365">
        <f>IF($C70="Producción",IF($C71&gt;=LI_B,IF($C71&lt;LS_B,$P71,0),0),0)</f>
        <v>0</v>
      </c>
      <c r="AK71" s="365">
        <f>IF($C70="Producción",IF($C71&gt;=LI_C,IF($C71&lt;LS_C,$P71,0),0),0)</f>
        <v>0</v>
      </c>
      <c r="AL71" s="365">
        <f>IF($C70="Producción",IF(C71&lt;=LS_D,$P71,0),0)</f>
        <v>0</v>
      </c>
      <c r="AM71" s="365">
        <f>IF($C70="Crecimiento",$P71,0)</f>
        <v>0</v>
      </c>
      <c r="AN71" s="365">
        <f>IF($C70="Siembra",$P71,0)</f>
        <v>0</v>
      </c>
      <c r="AO71" s="365">
        <f>IF($C70="Abandono",$P71,0)</f>
        <v>0</v>
      </c>
      <c r="AP71" s="365">
        <f>IF($D70="Producción",IF($D71&gt;=LI_A,$Q71,0),0)</f>
        <v>0</v>
      </c>
      <c r="AQ71" s="365">
        <f>IF($D70="Producción",IF($D71&gt;=LI_B,IF($D71&lt;LS_B,$Q71,0),0),0)</f>
        <v>0</v>
      </c>
      <c r="AR71" s="365">
        <f>IF($D70="Producción",IF($D71&gt;=LI_C,IF($D71&lt;LS_C,$Q71,0),0),0)</f>
        <v>0</v>
      </c>
      <c r="AS71" s="365">
        <f>IF($D70="Producción",IF($D71&lt;=LS_D,$Q71,0),0)</f>
        <v>0</v>
      </c>
      <c r="AT71" s="365">
        <f>IF($D70="Crecimiento",$Q71,0)</f>
        <v>0</v>
      </c>
      <c r="AU71" s="365">
        <f>IF($D70="Siembra",$Q71,0)</f>
        <v>0</v>
      </c>
      <c r="AV71" s="365">
        <f>IF($D70="Abandono",$Q71,0)</f>
        <v>0</v>
      </c>
      <c r="AW71" s="365">
        <f>IF($E70="Producción",IF($E71&gt;=LI_A,$R71,0),0)</f>
        <v>0</v>
      </c>
      <c r="AX71" s="365">
        <f>IF($E70="Producción",IF($E71&gt;=LI_B,IF($E71&lt;LS_B,$R71,0),0),0)</f>
        <v>0</v>
      </c>
      <c r="AY71" s="365">
        <f>IF($E70="Producción",IF($E71&gt;=LI_C,IF($E71&lt;LS_C,$R71,0),0),0)</f>
        <v>0</v>
      </c>
      <c r="AZ71" s="365">
        <f>IF($E70="Producción",IF($E71&lt;=LS_D,$R71,0),0)</f>
        <v>0</v>
      </c>
      <c r="BA71" s="365">
        <f>IF($E70="Crecimiento",$R71,0)</f>
        <v>0</v>
      </c>
      <c r="BB71" s="365">
        <f>IF($E70="Siembra",$R71,0)</f>
        <v>0</v>
      </c>
      <c r="BC71" s="365">
        <f>IF($E70="Abandono",$R71,0)</f>
        <v>0</v>
      </c>
      <c r="BD71" s="365">
        <f>IF($F70="Producción",IF($F71&gt;=LI_A,$S71,0),0)</f>
        <v>0</v>
      </c>
      <c r="BE71" s="365">
        <f>IF($F70="Producción",IF($F71&gt;=LI_B,IF($F71&lt;LS_B,$S71,0),0),0)</f>
        <v>0</v>
      </c>
      <c r="BF71" s="365">
        <f>IF($F70="Producción",IF($F71&gt;=LI_C,IF($F71&lt;LS_C,$S71,0),0),0)</f>
        <v>0</v>
      </c>
      <c r="BG71" s="365">
        <f>IF($F70="Producción",IF($F71&lt;=LS_D,$S71,0),0)</f>
        <v>0</v>
      </c>
      <c r="BH71" s="365">
        <f>IF($F70="Crecimiento",$S71,0)</f>
        <v>0</v>
      </c>
      <c r="BI71" s="365">
        <f>IF($F70="Siembra",$S71,0)</f>
        <v>0</v>
      </c>
      <c r="BJ71" s="365">
        <f>IF($F70="Abandono",$S71,0)</f>
        <v>0</v>
      </c>
      <c r="BK71" s="365">
        <f>IF($G70="Producción",IF($G71&gt;=LI_A,$T71,0),0)</f>
        <v>0</v>
      </c>
      <c r="BL71" s="365">
        <f>IF($G70="Producción",IF($G71&gt;=LI_B,IF($G71&lt;LS_B,$T71,0),0),0)</f>
        <v>0</v>
      </c>
      <c r="BM71" s="365">
        <f>IF($G70="Producción",IF($G71&gt;=LI_C,IF($G71&lt;LS_C,$T71,0),0),0)</f>
        <v>0</v>
      </c>
      <c r="BN71" s="365">
        <f>IF($G70="Producción",IF($G71&lt;=LS_D,$T71,0),0)</f>
        <v>0</v>
      </c>
      <c r="BO71" s="365">
        <f>IF($G70="Crecimiento",$T71,0)</f>
        <v>0</v>
      </c>
      <c r="BP71" s="365">
        <f>IF($G70="Siembra",$T71,0)</f>
        <v>0</v>
      </c>
      <c r="BQ71" s="365">
        <f>IF($G70="Abandono",$T71,0)</f>
        <v>0</v>
      </c>
      <c r="BR71" s="365">
        <f>IF($H70="Producción",IF($H71&gt;=LI_A,$U71,0),0)</f>
        <v>0</v>
      </c>
      <c r="BS71" s="365">
        <f>IF($H70="Producción",IF($H71&gt;=LI_B,IF($H71&lt;LS_B,$U71,0),0),0)</f>
        <v>0</v>
      </c>
      <c r="BT71" s="365">
        <f>IF($H70="Producción",IF($H71&gt;=LI_C,IF($H71&lt;LS_C,$U71,0),0),0)</f>
        <v>0</v>
      </c>
      <c r="BU71" s="365">
        <f>IF($H70="Producción",IF($H71&lt;=LS_D,$U71,0),0)</f>
        <v>0</v>
      </c>
      <c r="BV71" s="365">
        <f>IF($H70="Crecimiento",$U71,0)</f>
        <v>0</v>
      </c>
      <c r="BW71" s="365">
        <f>IF($H70="Siembra",$U71,0)</f>
        <v>0</v>
      </c>
      <c r="BX71" s="365">
        <f>IF($H70="Abandono",$U71,0)</f>
        <v>0</v>
      </c>
      <c r="BY71" s="365">
        <f>IF($I70="Producción",IF($I71&gt;=LI_A,$V71,0),0)</f>
        <v>0</v>
      </c>
      <c r="BZ71" s="365">
        <f>IF($I70="Producción",IF($I71&gt;=LI_B,IF($I71&lt;LS_B,$V71,0),0),0)</f>
        <v>0</v>
      </c>
      <c r="CA71" s="365">
        <f>IF($I70="Producción",IF($I71&gt;=LI_C,IF($I71&lt;LS_C,$V71,0),0),0)</f>
        <v>0</v>
      </c>
      <c r="CB71" s="365">
        <f>IF($I70="Producción",IF($I71&lt;=LS_D,$V71,0),0)</f>
        <v>0</v>
      </c>
      <c r="CC71" s="365">
        <f>IF($I70="Crecimiento",$V71,0)</f>
        <v>0</v>
      </c>
      <c r="CD71" s="365">
        <f>IF($I70="Siembra",$V71,0)</f>
        <v>0</v>
      </c>
      <c r="CE71" s="365">
        <f>IF($I70="Abandono",$V71,0)</f>
        <v>0</v>
      </c>
      <c r="CF71" s="365">
        <f>IF($J70="Producción",IF($J71&gt;=LI_A,$W71,0),0)</f>
        <v>0</v>
      </c>
      <c r="CG71" s="365">
        <f>IF($J70="Producción",IF($J71&gt;=LI_B,IF($J71&lt;LS_B,$W71,0),0),0)</f>
        <v>0</v>
      </c>
      <c r="CH71" s="365">
        <f>IF($J70="Producción",IF($J71&gt;=LI_C,IF($J71&lt;LS_C,$W71,0),0),0)</f>
        <v>0</v>
      </c>
      <c r="CI71" s="365">
        <f>IF($J70="Producción",IF($J71&lt;=LS_D,$W71,0),0)</f>
        <v>0</v>
      </c>
      <c r="CJ71" s="365">
        <f>IF($J70="Crecimiento",$W71,0)</f>
        <v>0</v>
      </c>
      <c r="CK71" s="365">
        <f>IF($J70="Siembra",$W71,0)</f>
        <v>0</v>
      </c>
      <c r="CL71" s="365">
        <f>IF($J70="Abandono",$W71,0)</f>
        <v>0</v>
      </c>
      <c r="CM71" s="365">
        <f>IF($K70="Producción",IF($K71&gt;=LI_A,$X71,0),0)</f>
        <v>0</v>
      </c>
      <c r="CN71" s="365">
        <f>IF($K70="Producción",IF($K71&gt;=LI_B,IF($K71&lt;LS_B,$X71,0),0),0)</f>
        <v>0</v>
      </c>
      <c r="CO71" s="365">
        <f>IF($K70="Producción",IF($K71&gt;=LI_C,IF($K71&lt;LS_C,$X71,0),0),0)</f>
        <v>0</v>
      </c>
      <c r="CP71" s="365">
        <f>IF($K70="Producción",IF($K71&lt;=LS_D,$X71,0),0)</f>
        <v>0</v>
      </c>
      <c r="CQ71" s="365">
        <f>IF($K70="Crecimiento",IF($K71&gt;0,$X71,0),0)</f>
        <v>0</v>
      </c>
      <c r="CR71" s="365">
        <f>IF($K70="Siembra",IF($K71&gt;0,$X71,0),0)</f>
        <v>0</v>
      </c>
      <c r="CS71" s="365">
        <f>IF($K70="Abandono",IF($K71&gt;0,$X71,0),0)</f>
        <v>0</v>
      </c>
      <c r="CT71" s="365">
        <f>IF($L70="Producción",IF($L71&gt;=LI_A,$Y71,0),0)</f>
        <v>0</v>
      </c>
      <c r="CU71" s="365">
        <f>IF($L70="Producción",IF($L71&gt;=LI_B,IF($L71&lt;LS_B,$Y71,0),0),0)</f>
        <v>0</v>
      </c>
      <c r="CV71" s="365">
        <f>IF($L70="Producción",IF($L71&gt;=LI_C,IF($L71&lt;LS_C,$Y71,0),0),0)</f>
        <v>0</v>
      </c>
      <c r="CW71" s="365">
        <f>IF($L70="Producción",IF($L71&lt;=LS_D,$Y71,0),0)</f>
        <v>0</v>
      </c>
      <c r="CX71" s="365">
        <f>IF($L70="Crecimiento",$Y71,0)</f>
        <v>0</v>
      </c>
      <c r="CY71" s="365">
        <f>IF($L70="Siembra",$Y71,0)</f>
        <v>0</v>
      </c>
      <c r="CZ71" s="365">
        <f>IF($L70="Abandono",$Y71,0)</f>
        <v>0</v>
      </c>
      <c r="DA71" s="365">
        <f>IF($M70="Producción",IF($M71&gt;=LI_A,$Z71,0),0)</f>
        <v>0</v>
      </c>
      <c r="DB71" s="365">
        <f>IF($M70="Producción",IF($M71&gt;=LI_B,IF($M71&lt;LS_B,$Z71,0),0),0)</f>
        <v>0</v>
      </c>
      <c r="DC71" s="365">
        <f>IF($M70="Producción",IF($M71&gt;=LI_C,IF($M71&lt;LS_C,$Z71,0),0),0)</f>
        <v>0</v>
      </c>
      <c r="DD71" s="365">
        <f>IF($M70="Producción",IF($M71&lt;=LS_D,$Z71,0),0)</f>
        <v>0</v>
      </c>
      <c r="DE71" s="365">
        <f>IF($M70="Crecimiento",$Z71,0)</f>
        <v>0</v>
      </c>
      <c r="DF71" s="365">
        <f>IF($M70="Siembra",$Z71,0)</f>
        <v>0</v>
      </c>
      <c r="DG71" s="365">
        <f>IF($M70="Abandono",$Z71,0)</f>
        <v>0</v>
      </c>
      <c r="DI71" s="58">
        <f>AB71*$B71</f>
        <v>0</v>
      </c>
      <c r="DJ71" s="58">
        <f>AC71*$B71</f>
        <v>0</v>
      </c>
      <c r="DK71" s="58">
        <f>AD71*$B71</f>
        <v>0</v>
      </c>
      <c r="DL71" s="58">
        <f>AE71*$B71</f>
        <v>0</v>
      </c>
      <c r="DM71" s="365">
        <f>AF71*$B71</f>
        <v>0</v>
      </c>
      <c r="DN71" s="365">
        <f>AI71*$C71</f>
        <v>0</v>
      </c>
      <c r="DO71" s="365">
        <f>AJ71*$C71</f>
        <v>0</v>
      </c>
      <c r="DP71" s="365">
        <f>AK71*$C71</f>
        <v>0</v>
      </c>
      <c r="DQ71" s="365">
        <f>AL71*$C71</f>
        <v>0</v>
      </c>
      <c r="DR71" s="365">
        <f>AM71*$C71</f>
        <v>0</v>
      </c>
      <c r="DS71" s="365">
        <f>AP71*$D71</f>
        <v>0</v>
      </c>
      <c r="DT71" s="365">
        <f>AQ71*$D71</f>
        <v>0</v>
      </c>
      <c r="DU71" s="365">
        <f>AR71*$D71</f>
        <v>0</v>
      </c>
      <c r="DV71" s="365">
        <f>AS71*$D71</f>
        <v>0</v>
      </c>
      <c r="DW71" s="365">
        <f>AT71*$D71</f>
        <v>0</v>
      </c>
      <c r="DX71" s="365">
        <f>AW71*$E71</f>
        <v>0</v>
      </c>
      <c r="DY71" s="365">
        <f>AX71*$E71</f>
        <v>0</v>
      </c>
      <c r="DZ71" s="365">
        <f>AY71*$E71</f>
        <v>0</v>
      </c>
      <c r="EA71" s="365">
        <f>AZ71*$E71</f>
        <v>0</v>
      </c>
      <c r="EB71" s="365">
        <f>BA71*$E71</f>
        <v>0</v>
      </c>
      <c r="EC71" s="365">
        <f>BD71*$F71</f>
        <v>0</v>
      </c>
      <c r="ED71" s="365">
        <f>BE71*$F71</f>
        <v>0</v>
      </c>
      <c r="EE71" s="365">
        <f>BF71*$F71</f>
        <v>0</v>
      </c>
      <c r="EF71" s="365">
        <f>BG71*$F71</f>
        <v>0</v>
      </c>
      <c r="EG71" s="365">
        <f>BH71*$F71</f>
        <v>0</v>
      </c>
      <c r="EH71" s="365">
        <f>BK71*$G71</f>
        <v>0</v>
      </c>
      <c r="EI71" s="365">
        <f>BL71*$G71</f>
        <v>0</v>
      </c>
      <c r="EJ71" s="365">
        <f>BM71*$G71</f>
        <v>0</v>
      </c>
      <c r="EK71" s="365">
        <f>BN71*$G71</f>
        <v>0</v>
      </c>
      <c r="EL71" s="365">
        <f>BO71*$G71</f>
        <v>0</v>
      </c>
      <c r="EM71" s="365">
        <f>BR71*$H71</f>
        <v>0</v>
      </c>
      <c r="EN71" s="365">
        <f>BS71*$H71</f>
        <v>0</v>
      </c>
      <c r="EO71" s="365">
        <f>BT71*$H71</f>
        <v>0</v>
      </c>
      <c r="EP71" s="365">
        <f>BU71*$H71</f>
        <v>0</v>
      </c>
      <c r="EQ71" s="365">
        <f>BV71*$H71</f>
        <v>0</v>
      </c>
      <c r="ER71" s="365">
        <f>BY71*$I71</f>
        <v>0</v>
      </c>
      <c r="ES71" s="365">
        <f>BZ71*$I71</f>
        <v>0</v>
      </c>
      <c r="ET71" s="365">
        <f>CA71*$I71</f>
        <v>0</v>
      </c>
      <c r="EU71" s="365">
        <f>CB71*$I71</f>
        <v>0</v>
      </c>
      <c r="EV71" s="365">
        <f>CC71*$I71</f>
        <v>0</v>
      </c>
      <c r="EW71" s="365">
        <f>CF71*$J71</f>
        <v>0</v>
      </c>
      <c r="EX71" s="365">
        <f>CG71*$J71</f>
        <v>0</v>
      </c>
      <c r="EY71" s="365">
        <f>CH71*$J71</f>
        <v>0</v>
      </c>
      <c r="EZ71" s="365">
        <f>CI71*$J71</f>
        <v>0</v>
      </c>
      <c r="FA71" s="365">
        <f>CJ71*$J71</f>
        <v>0</v>
      </c>
      <c r="FB71" s="365">
        <f>CM71*$K71</f>
        <v>0</v>
      </c>
      <c r="FC71" s="365">
        <f>CN71*$K71</f>
        <v>0</v>
      </c>
      <c r="FD71" s="365">
        <f>CO71*$K71</f>
        <v>0</v>
      </c>
      <c r="FE71" s="365">
        <f>CP71*$K71</f>
        <v>0</v>
      </c>
      <c r="FF71" s="365">
        <f>CQ71*$K71</f>
        <v>0</v>
      </c>
      <c r="FG71" s="365">
        <f>CT71*$L71</f>
        <v>0</v>
      </c>
      <c r="FH71" s="365">
        <f>CU71*$L71</f>
        <v>0</v>
      </c>
      <c r="FI71" s="365">
        <f>CV71*$L71</f>
        <v>0</v>
      </c>
      <c r="FJ71" s="365">
        <f>CW71*$L71</f>
        <v>0</v>
      </c>
      <c r="FK71" s="365">
        <f>CX71*$L71</f>
        <v>0</v>
      </c>
      <c r="FL71" s="365">
        <f>DA71*$M71</f>
        <v>0</v>
      </c>
      <c r="FM71" s="365">
        <f t="shared" ref="FM71" si="50">DB71*$M71</f>
        <v>0</v>
      </c>
      <c r="FN71" s="365">
        <f>DC71*$M71</f>
        <v>0</v>
      </c>
      <c r="FO71" s="365">
        <f t="shared" ref="FO71" si="51">DD71*$M71</f>
        <v>0</v>
      </c>
      <c r="FP71" s="365">
        <f t="shared" ref="FP71" si="52">DE71*$M71</f>
        <v>0</v>
      </c>
    </row>
    <row r="72" spans="1:172" ht="21" customHeight="1" x14ac:dyDescent="0.3">
      <c r="A72" s="277" t="s">
        <v>238</v>
      </c>
      <c r="B72" s="278">
        <f>SUM(DI71:DM71)/100</f>
        <v>0</v>
      </c>
      <c r="C72" s="278">
        <f>SUM(DN71:DQ71)/100</f>
        <v>0</v>
      </c>
      <c r="D72" s="279">
        <f>SUM(DS71:DW71)/100</f>
        <v>0</v>
      </c>
      <c r="E72" s="279">
        <f>SUM(DX71:EB71)/100</f>
        <v>0</v>
      </c>
      <c r="F72" s="279">
        <f>SUM(EC71:EG71)/100</f>
        <v>0</v>
      </c>
      <c r="G72" s="279">
        <f>SUM(EH71:EL71)/100</f>
        <v>0</v>
      </c>
      <c r="H72" s="279">
        <f>SUM(EM71:EQ71)/100</f>
        <v>0</v>
      </c>
      <c r="I72" s="279">
        <f>SUM(ER71:EV71)/100</f>
        <v>0</v>
      </c>
      <c r="J72" s="279">
        <f>SUM(EW71:FA71)/100</f>
        <v>0</v>
      </c>
      <c r="K72" s="279">
        <f>SUM(FB71:FF71)/100</f>
        <v>0</v>
      </c>
      <c r="L72" s="279">
        <f>SUM(FG71:FK71)/100</f>
        <v>0</v>
      </c>
      <c r="M72" s="279">
        <f>SUM(FL71:FP71)/100</f>
        <v>0</v>
      </c>
      <c r="AG72" s="365"/>
      <c r="AH72" s="365"/>
      <c r="AI72" s="365"/>
      <c r="AJ72" s="365"/>
      <c r="AK72" s="365"/>
      <c r="AL72" s="365"/>
      <c r="AM72" s="365"/>
      <c r="AN72" s="365"/>
      <c r="AO72" s="365"/>
      <c r="AP72" s="365"/>
      <c r="AQ72" s="365"/>
      <c r="AR72" s="365"/>
      <c r="AS72" s="365"/>
      <c r="AT72" s="365"/>
      <c r="AU72" s="365"/>
      <c r="AV72" s="365"/>
      <c r="AW72" s="365"/>
      <c r="AX72" s="365"/>
      <c r="AY72" s="365"/>
      <c r="AZ72" s="365"/>
      <c r="BA72" s="365"/>
      <c r="BB72" s="365"/>
      <c r="BC72" s="365"/>
      <c r="BD72" s="365"/>
      <c r="BE72" s="365"/>
      <c r="BF72" s="365"/>
      <c r="BG72" s="365"/>
      <c r="BH72" s="365"/>
      <c r="BI72" s="365"/>
      <c r="BJ72" s="365"/>
      <c r="BK72" s="365"/>
      <c r="BL72" s="365"/>
      <c r="BM72" s="365"/>
      <c r="BN72" s="365"/>
      <c r="BO72" s="365"/>
      <c r="BP72" s="365"/>
      <c r="BQ72" s="365"/>
      <c r="BR72" s="365"/>
      <c r="BS72" s="365"/>
      <c r="BT72" s="365"/>
      <c r="BU72" s="365"/>
      <c r="BV72" s="365"/>
      <c r="BW72" s="365"/>
      <c r="BX72" s="365"/>
      <c r="BY72" s="365"/>
      <c r="BZ72" s="365"/>
      <c r="CA72" s="365"/>
      <c r="CB72" s="365"/>
      <c r="CC72" s="365"/>
      <c r="CD72" s="365"/>
      <c r="CE72" s="365"/>
      <c r="CF72" s="365"/>
      <c r="CG72" s="365"/>
      <c r="CH72" s="365"/>
      <c r="CI72" s="365"/>
      <c r="CJ72" s="365"/>
      <c r="CK72" s="365"/>
      <c r="CL72" s="365"/>
      <c r="CM72" s="365"/>
      <c r="CN72" s="365"/>
      <c r="CO72" s="365"/>
      <c r="CP72" s="365"/>
      <c r="CQ72" s="365"/>
      <c r="CR72" s="365"/>
      <c r="CS72" s="365"/>
      <c r="CT72" s="365"/>
      <c r="CU72" s="365"/>
      <c r="CV72" s="365"/>
      <c r="CW72" s="365"/>
      <c r="CX72" s="365"/>
      <c r="CY72" s="365"/>
      <c r="CZ72" s="365"/>
      <c r="DA72" s="365"/>
      <c r="DB72" s="365"/>
      <c r="DC72" s="365"/>
      <c r="DD72" s="365"/>
      <c r="DE72" s="365"/>
      <c r="DF72" s="365"/>
      <c r="DG72" s="365"/>
      <c r="DM72" s="365"/>
      <c r="DN72" s="365"/>
      <c r="DO72" s="365"/>
      <c r="DP72" s="365"/>
      <c r="DQ72" s="365"/>
      <c r="DR72" s="365"/>
      <c r="DS72" s="365"/>
      <c r="DT72" s="365"/>
      <c r="DU72" s="365"/>
      <c r="DV72" s="365"/>
      <c r="DW72" s="365"/>
      <c r="DX72" s="365"/>
      <c r="DY72" s="365"/>
      <c r="DZ72" s="365"/>
      <c r="EA72" s="365"/>
      <c r="EB72" s="365"/>
      <c r="EC72" s="365"/>
      <c r="ED72" s="365"/>
      <c r="EE72" s="365"/>
      <c r="EF72" s="365"/>
      <c r="EG72" s="365"/>
      <c r="EH72" s="365"/>
      <c r="EI72" s="365"/>
      <c r="EJ72" s="365"/>
      <c r="EK72" s="365"/>
      <c r="EL72" s="365"/>
      <c r="EM72" s="365"/>
      <c r="EN72" s="365"/>
      <c r="EO72" s="365"/>
      <c r="EP72" s="365"/>
      <c r="EQ72" s="365"/>
      <c r="ER72" s="365"/>
      <c r="ES72" s="365"/>
      <c r="ET72" s="365"/>
      <c r="EU72" s="365"/>
      <c r="EV72" s="365"/>
      <c r="EW72" s="365"/>
      <c r="EX72" s="365"/>
      <c r="EY72" s="365"/>
      <c r="EZ72" s="365"/>
      <c r="FA72" s="365"/>
      <c r="FB72" s="365"/>
      <c r="FC72" s="365"/>
      <c r="FD72" s="365"/>
      <c r="FE72" s="365"/>
      <c r="FF72" s="365"/>
      <c r="FG72" s="365"/>
      <c r="FH72" s="365"/>
      <c r="FI72" s="365"/>
      <c r="FJ72" s="365"/>
      <c r="FK72" s="365"/>
      <c r="FL72" s="365"/>
      <c r="FM72" s="365"/>
      <c r="FN72" s="365"/>
      <c r="FO72" s="365"/>
      <c r="FP72" s="365"/>
    </row>
    <row r="73" spans="1:172" ht="21" customHeight="1" x14ac:dyDescent="0.3">
      <c r="A73" s="150" t="s">
        <v>239</v>
      </c>
      <c r="B73" s="149" t="e">
        <f>SUM(DI71:DM71)/100/Lote_17</f>
        <v>#DIV/0!</v>
      </c>
      <c r="C73" s="149" t="e">
        <f>SUM(DN71:DQ71)/100/Lote_17</f>
        <v>#DIV/0!</v>
      </c>
      <c r="D73" s="149" t="e">
        <f>SUM(DS71:DW71)/100/Lote_17</f>
        <v>#DIV/0!</v>
      </c>
      <c r="E73" s="149" t="e">
        <f>SUM(DX71:EB71)/100/Lote_17</f>
        <v>#DIV/0!</v>
      </c>
      <c r="F73" s="149" t="e">
        <f>SUM(EC71:EG71)/100/Lote_17</f>
        <v>#DIV/0!</v>
      </c>
      <c r="G73" s="149" t="e">
        <f>SUM(EH71:EL71)/100/Lote_17</f>
        <v>#DIV/0!</v>
      </c>
      <c r="H73" s="149" t="e">
        <f>SUM(EM71:EQ71)/100/Lote_17</f>
        <v>#DIV/0!</v>
      </c>
      <c r="I73" s="149" t="e">
        <f>SUM(ER71:EV71)/100/Lote_17</f>
        <v>#DIV/0!</v>
      </c>
      <c r="J73" s="149" t="e">
        <f>SUM(EW71:FA71)/100/Lote_17</f>
        <v>#DIV/0!</v>
      </c>
      <c r="K73" s="149" t="e">
        <f>SUM(FB71:FF71)/100/Lote_17</f>
        <v>#DIV/0!</v>
      </c>
      <c r="L73" s="149" t="e">
        <f>SUM(FG71:FK71)/100/Lote_17</f>
        <v>#DIV/0!</v>
      </c>
      <c r="M73" s="149" t="e">
        <f>SUM(FL71:FP71)/100/Lote_17</f>
        <v>#DIV/0!</v>
      </c>
    </row>
    <row r="74" spans="1:172" ht="21" customHeight="1" x14ac:dyDescent="0.3">
      <c r="A74" s="233">
        <f>N_L18</f>
        <v>0</v>
      </c>
      <c r="B74" s="363" t="s">
        <v>37</v>
      </c>
      <c r="C74" s="363" t="s">
        <v>37</v>
      </c>
      <c r="D74" s="363" t="s">
        <v>37</v>
      </c>
      <c r="E74" s="363" t="s">
        <v>37</v>
      </c>
      <c r="F74" s="363" t="s">
        <v>37</v>
      </c>
      <c r="G74" s="363" t="s">
        <v>37</v>
      </c>
      <c r="H74" s="363" t="s">
        <v>37</v>
      </c>
      <c r="I74" s="363" t="s">
        <v>37</v>
      </c>
      <c r="J74" s="363" t="s">
        <v>37</v>
      </c>
      <c r="K74" s="363" t="s">
        <v>37</v>
      </c>
      <c r="L74" s="363" t="s">
        <v>37</v>
      </c>
      <c r="M74" s="363" t="s">
        <v>37</v>
      </c>
    </row>
    <row r="75" spans="1:172" ht="21" customHeight="1" x14ac:dyDescent="0.3">
      <c r="A75" s="4" t="s">
        <v>237</v>
      </c>
      <c r="B75" s="7"/>
      <c r="C75" s="275"/>
      <c r="D75" s="275"/>
      <c r="E75" s="275"/>
      <c r="F75" s="275"/>
      <c r="G75" s="275"/>
      <c r="H75" s="275"/>
      <c r="I75" s="275"/>
      <c r="J75" s="275"/>
      <c r="K75" s="275"/>
      <c r="L75" s="275"/>
      <c r="M75" s="275"/>
      <c r="O75" s="58">
        <f>Área_L18*D_L18*A1_L18</f>
        <v>0</v>
      </c>
      <c r="P75" s="58">
        <f>Área_L18*D_L18*A2_L18</f>
        <v>0</v>
      </c>
      <c r="Q75" s="58">
        <f>Área_L18*D_L18*A3_L18</f>
        <v>0</v>
      </c>
      <c r="R75" s="58">
        <f>Área_L18*D_L18*A4_L18</f>
        <v>0</v>
      </c>
      <c r="S75" s="58">
        <f>Área_L18*D_L18*A5_L18</f>
        <v>0</v>
      </c>
      <c r="T75" s="58">
        <f>Área_L18*D_L18*A6_L18</f>
        <v>0</v>
      </c>
      <c r="U75" s="58">
        <f>Área_L18*D_L18*A7_L18</f>
        <v>0</v>
      </c>
      <c r="V75" s="58">
        <f>Área_L18*D_L18*A8_L18</f>
        <v>0</v>
      </c>
      <c r="W75" s="58">
        <f>Área_L18*D_L18*A9_L18</f>
        <v>0</v>
      </c>
      <c r="X75" s="58">
        <f>Área_L18*D_L18*A10_L18</f>
        <v>0</v>
      </c>
      <c r="Y75" s="58">
        <f>Área_L18*D_L18*A11_L18</f>
        <v>0</v>
      </c>
      <c r="Z75" s="58">
        <f>Área_L18*D_L18*A12_L18</f>
        <v>0</v>
      </c>
      <c r="AB75" s="58">
        <f>IF($B74="Producción",IF($B75&gt;=LI_A,$O75,0),0)</f>
        <v>0</v>
      </c>
      <c r="AC75" s="58">
        <f>IF($B74="Producción",IF($B75&gt;=LI_B,IF($B75&lt;LS_B,$O75,0),0),0)</f>
        <v>0</v>
      </c>
      <c r="AD75" s="58">
        <f>IF($B74="Producción",IF($B75&gt;=LI_C,IF($B75&lt;LS_C,$O75,0),0),0)</f>
        <v>0</v>
      </c>
      <c r="AE75" s="58">
        <f>IF($B74="Producción",IF($B75&lt;=LS_D,$O75,0),0)</f>
        <v>0</v>
      </c>
      <c r="AF75" s="365">
        <f>IF($B74="Crecimiento",$O75,0)</f>
        <v>0</v>
      </c>
      <c r="AG75" s="365">
        <f>IF($B74="Siembra",$O75,0)</f>
        <v>0</v>
      </c>
      <c r="AH75" s="365">
        <f>IF($B74="Abandono",$O75,0)</f>
        <v>0</v>
      </c>
      <c r="AI75" s="365">
        <f>IF($C74="Producción",IF($C75&gt;=LI_A,$P75,0),0)</f>
        <v>0</v>
      </c>
      <c r="AJ75" s="365">
        <f>IF($C74="Producción",IF($C75&gt;=LI_B,IF($C75&lt;LS_B,$P75,0),0),0)</f>
        <v>0</v>
      </c>
      <c r="AK75" s="365">
        <f>IF($C74="Producción",IF($C75&gt;=LI_C,IF($C75&lt;LS_C,$P75,0),0),0)</f>
        <v>0</v>
      </c>
      <c r="AL75" s="365">
        <f>IF($C74="Producción",IF(C75&lt;=LS_D,$P75,0),0)</f>
        <v>0</v>
      </c>
      <c r="AM75" s="365">
        <f>IF($C74="Crecimiento",$P75,0)</f>
        <v>0</v>
      </c>
      <c r="AN75" s="365">
        <f>IF($C74="Siembra",$P75,0)</f>
        <v>0</v>
      </c>
      <c r="AO75" s="365">
        <f>IF($C74="Abandono",$P75,0)</f>
        <v>0</v>
      </c>
      <c r="AP75" s="365">
        <f>IF($D74="Producción",IF($D75&gt;=LI_A,$Q75,0),0)</f>
        <v>0</v>
      </c>
      <c r="AQ75" s="365">
        <f>IF($D74="Producción",IF($D75&gt;=LI_B,IF($D75&lt;LS_B,$Q75,0),0),0)</f>
        <v>0</v>
      </c>
      <c r="AR75" s="365">
        <f>IF($D74="Producción",IF($D75&gt;=LI_C,IF($D75&lt;LS_C,$Q75,0),0),0)</f>
        <v>0</v>
      </c>
      <c r="AS75" s="365">
        <f>IF($D74="Producción",IF($D75&lt;=LS_D,$Q75,0),0)</f>
        <v>0</v>
      </c>
      <c r="AT75" s="365">
        <f>IF($D74="Crecimiento",$Q75,0)</f>
        <v>0</v>
      </c>
      <c r="AU75" s="365">
        <f>IF($D74="Siembra",$Q75,0)</f>
        <v>0</v>
      </c>
      <c r="AV75" s="365">
        <f>IF($D74="Abandono",$Q75,0)</f>
        <v>0</v>
      </c>
      <c r="AW75" s="365">
        <f>IF($E74="Producción",IF($E75&gt;=LI_A,$R75,0),0)</f>
        <v>0</v>
      </c>
      <c r="AX75" s="365">
        <f>IF($E74="Producción",IF($E75&gt;=LI_B,IF($E75&lt;LS_B,$R75,0),0),0)</f>
        <v>0</v>
      </c>
      <c r="AY75" s="365">
        <f>IF($E74="Producción",IF($E75&gt;=LI_C,IF($E75&lt;LS_C,$R75,0),0),0)</f>
        <v>0</v>
      </c>
      <c r="AZ75" s="365">
        <f>IF($E74="Producción",IF($E75&lt;=LS_D,$R75,0),0)</f>
        <v>0</v>
      </c>
      <c r="BA75" s="365">
        <f>IF($E74="Crecimiento",$R75,0)</f>
        <v>0</v>
      </c>
      <c r="BB75" s="365">
        <f>IF($E74="Siembra",$R75,0)</f>
        <v>0</v>
      </c>
      <c r="BC75" s="365">
        <f>IF($E74="Abandono",$R75,0)</f>
        <v>0</v>
      </c>
      <c r="BD75" s="365">
        <f>IF($F74="Producción",IF($F75&gt;=LI_A,$S75,0),0)</f>
        <v>0</v>
      </c>
      <c r="BE75" s="365">
        <f>IF($F74="Producción",IF($F75&gt;=LI_B,IF($F75&lt;LS_B,$S75,0),0),0)</f>
        <v>0</v>
      </c>
      <c r="BF75" s="365">
        <f>IF($F74="Producción",IF($F75&gt;=LI_C,IF($F75&lt;LS_C,$S75,0),0),0)</f>
        <v>0</v>
      </c>
      <c r="BG75" s="365">
        <f>IF($F74="Producción",IF($F75&lt;=LS_D,$S75,0),0)</f>
        <v>0</v>
      </c>
      <c r="BH75" s="365">
        <f>IF($F74="Crecimiento",$S75,0)</f>
        <v>0</v>
      </c>
      <c r="BI75" s="365">
        <f>IF($F74="Siembra",$S75,0)</f>
        <v>0</v>
      </c>
      <c r="BJ75" s="365">
        <f>IF($F74="Abandono",$S75,0)</f>
        <v>0</v>
      </c>
      <c r="BK75" s="365">
        <f>IF($G74="Producción",IF($G75&gt;=LI_A,$T75,0),0)</f>
        <v>0</v>
      </c>
      <c r="BL75" s="365">
        <f>IF($G74="Producción",IF($G75&gt;=LI_B,IF($G75&lt;LS_B,$T75,0),0),0)</f>
        <v>0</v>
      </c>
      <c r="BM75" s="365">
        <f>IF($G74="Producción",IF($G75&gt;=LI_C,IF($G75&lt;LS_C,$T75,0),0),0)</f>
        <v>0</v>
      </c>
      <c r="BN75" s="365">
        <f>IF($G74="Producción",IF($G75&lt;=LS_D,$T75,0),0)</f>
        <v>0</v>
      </c>
      <c r="BO75" s="365">
        <f>IF($G74="Crecimiento",$T75,0)</f>
        <v>0</v>
      </c>
      <c r="BP75" s="365">
        <f>IF($G74="Siembra",$T75,0)</f>
        <v>0</v>
      </c>
      <c r="BQ75" s="365">
        <f>IF($G74="Abandono",$T75,0)</f>
        <v>0</v>
      </c>
      <c r="BR75" s="365">
        <f>IF($H74="Producción",IF($H75&gt;=LI_A,$U75,0),0)</f>
        <v>0</v>
      </c>
      <c r="BS75" s="365">
        <f>IF($H74="Producción",IF($H75&gt;=LI_B,IF($H75&lt;LS_B,$U75,0),0),0)</f>
        <v>0</v>
      </c>
      <c r="BT75" s="365">
        <f>IF($H74="Producción",IF($H75&gt;=LI_C,IF($H75&lt;LS_C,$U75,0),0),0)</f>
        <v>0</v>
      </c>
      <c r="BU75" s="365">
        <f>IF($H74="Producción",IF($H75&lt;=LS_D,$U75,0),0)</f>
        <v>0</v>
      </c>
      <c r="BV75" s="365">
        <f>IF($H74="Crecimiento",$U75,0)</f>
        <v>0</v>
      </c>
      <c r="BW75" s="365">
        <f>IF($H74="Siembra",$U75,0)</f>
        <v>0</v>
      </c>
      <c r="BX75" s="365">
        <f>IF($H74="Abandono",$U75,0)</f>
        <v>0</v>
      </c>
      <c r="BY75" s="365">
        <f>IF($I74="Producción",IF($I75&gt;=LI_A,$V75,0),0)</f>
        <v>0</v>
      </c>
      <c r="BZ75" s="365">
        <f>IF($I74="Producción",IF($I75&gt;=LI_B,IF($I75&lt;LS_B,$V75,0),0),0)</f>
        <v>0</v>
      </c>
      <c r="CA75" s="365">
        <f>IF($I74="Producción",IF($I75&gt;=LI_C,IF($I75&lt;LS_C,$V75,0),0),0)</f>
        <v>0</v>
      </c>
      <c r="CB75" s="365">
        <f>IF($I74="Producción",IF($I75&lt;=LS_D,$V75,0),0)</f>
        <v>0</v>
      </c>
      <c r="CC75" s="365">
        <f>IF($I74="Crecimiento",$V75,0)</f>
        <v>0</v>
      </c>
      <c r="CD75" s="365">
        <f>IF($I74="Siembra",$V75,0)</f>
        <v>0</v>
      </c>
      <c r="CE75" s="365">
        <f>IF($I74="Abandono",$V75,0)</f>
        <v>0</v>
      </c>
      <c r="CF75" s="365">
        <f>IF($J74="Producción",IF($J75&gt;=LI_A,$W75,0),0)</f>
        <v>0</v>
      </c>
      <c r="CG75" s="365">
        <f>IF($J74="Producción",IF($J75&gt;=LI_B,IF($J75&lt;LS_B,$W75,0),0),0)</f>
        <v>0</v>
      </c>
      <c r="CH75" s="365">
        <f>IF($J74="Producción",IF($J75&gt;=LI_C,IF($J75&lt;LS_C,$W75,0),0),0)</f>
        <v>0</v>
      </c>
      <c r="CI75" s="365">
        <f>IF($J74="Producción",IF($J75&lt;=LS_D,$W75,0),0)</f>
        <v>0</v>
      </c>
      <c r="CJ75" s="365">
        <f>IF($J74="Crecimiento",$W75,0)</f>
        <v>0</v>
      </c>
      <c r="CK75" s="365">
        <f>IF($J74="Siembra",$W75,0)</f>
        <v>0</v>
      </c>
      <c r="CL75" s="365">
        <f>IF($J74="Abandono",$W75,0)</f>
        <v>0</v>
      </c>
      <c r="CM75" s="365">
        <f>IF($K74="Producción",IF($K75&gt;=LI_A,$X75,0),0)</f>
        <v>0</v>
      </c>
      <c r="CN75" s="365">
        <f>IF($K74="Producción",IF($K75&gt;=LI_B,IF($K75&lt;LS_B,$X75,0),0),0)</f>
        <v>0</v>
      </c>
      <c r="CO75" s="365">
        <f>IF($K74="Producción",IF($K75&gt;=LI_C,IF($K75&lt;LS_C,$X75,0),0),0)</f>
        <v>0</v>
      </c>
      <c r="CP75" s="365">
        <f>IF($K74="Producción",IF($K75&lt;=LS_D,$X75,0),0)</f>
        <v>0</v>
      </c>
      <c r="CQ75" s="365">
        <f>IF($K74="Crecimiento",IF($K75&gt;0,$X75,0),0)</f>
        <v>0</v>
      </c>
      <c r="CR75" s="365">
        <f>IF($K74="Siembra",IF($K75&gt;0,$X75,0),0)</f>
        <v>0</v>
      </c>
      <c r="CS75" s="365">
        <f>IF($K74="Abandono",IF($K75&gt;0,$X75,0),0)</f>
        <v>0</v>
      </c>
      <c r="CT75" s="365">
        <f>IF($L74="Producción",IF($L75&gt;=LI_A,$Y75,0),0)</f>
        <v>0</v>
      </c>
      <c r="CU75" s="365">
        <f>IF($L74="Producción",IF($L75&gt;=LI_B,IF($L75&lt;LS_B,$Y75,0),0),0)</f>
        <v>0</v>
      </c>
      <c r="CV75" s="365">
        <f>IF($L74="Producción",IF($L75&gt;=LI_C,IF($L75&lt;LS_C,$Y75,0),0),0)</f>
        <v>0</v>
      </c>
      <c r="CW75" s="365">
        <f>IF($L74="Producción",IF($L75&lt;=LS_D,$Y75,0),0)</f>
        <v>0</v>
      </c>
      <c r="CX75" s="365">
        <f>IF($L74="Crecimiento",$Y75,0)</f>
        <v>0</v>
      </c>
      <c r="CY75" s="365">
        <f>IF($L74="Siembra",$Y75,0)</f>
        <v>0</v>
      </c>
      <c r="CZ75" s="365">
        <f>IF($L74="Abandono",$Y75,0)</f>
        <v>0</v>
      </c>
      <c r="DA75" s="365">
        <f>IF($M74="Producción",IF($M75&gt;=LI_A,$Z75,0),0)</f>
        <v>0</v>
      </c>
      <c r="DB75" s="365">
        <f>IF($M74="Producción",IF($M75&gt;=LI_B,IF($M75&lt;LS_B,$Z75,0),0),0)</f>
        <v>0</v>
      </c>
      <c r="DC75" s="365">
        <f>IF($M74="Producción",IF($M75&gt;=LI_C,IF($M75&lt;LS_C,$Z75,0),0),0)</f>
        <v>0</v>
      </c>
      <c r="DD75" s="365">
        <f>IF($M74="Producción",IF($M75&lt;=LS_D,$Z75,0),0)</f>
        <v>0</v>
      </c>
      <c r="DE75" s="365">
        <f>IF($M74="Crecimiento",$Z75,0)</f>
        <v>0</v>
      </c>
      <c r="DF75" s="365">
        <f>IF($M74="Siembra",$Z75,0)</f>
        <v>0</v>
      </c>
      <c r="DG75" s="365">
        <f>IF($M74="Abandono",$Z75,0)</f>
        <v>0</v>
      </c>
      <c r="DI75" s="58">
        <f>AB75*$B75</f>
        <v>0</v>
      </c>
      <c r="DJ75" s="58">
        <f>AC75*$B75</f>
        <v>0</v>
      </c>
      <c r="DK75" s="58">
        <f>AD75*$B75</f>
        <v>0</v>
      </c>
      <c r="DL75" s="58">
        <f>AE75*$B75</f>
        <v>0</v>
      </c>
      <c r="DM75" s="365">
        <f>AF75*$B75</f>
        <v>0</v>
      </c>
      <c r="DN75" s="365">
        <f>AI75*$C75</f>
        <v>0</v>
      </c>
      <c r="DO75" s="365">
        <f>AJ75*$C75</f>
        <v>0</v>
      </c>
      <c r="DP75" s="365">
        <f>AK75*$C75</f>
        <v>0</v>
      </c>
      <c r="DQ75" s="365">
        <f>AL75*$C75</f>
        <v>0</v>
      </c>
      <c r="DR75" s="365">
        <f>AM75*$C75</f>
        <v>0</v>
      </c>
      <c r="DS75" s="365">
        <f>AP75*$D75</f>
        <v>0</v>
      </c>
      <c r="DT75" s="365">
        <f>AQ75*$D75</f>
        <v>0</v>
      </c>
      <c r="DU75" s="365">
        <f>AR75*$D75</f>
        <v>0</v>
      </c>
      <c r="DV75" s="365">
        <f>AS75*$D75</f>
        <v>0</v>
      </c>
      <c r="DW75" s="365">
        <f>AT75*$D75</f>
        <v>0</v>
      </c>
      <c r="DX75" s="365">
        <f>AW75*$E75</f>
        <v>0</v>
      </c>
      <c r="DY75" s="365">
        <f>AX75*$E75</f>
        <v>0</v>
      </c>
      <c r="DZ75" s="365">
        <f>AY75*$E75</f>
        <v>0</v>
      </c>
      <c r="EA75" s="365">
        <f>AZ75*$E75</f>
        <v>0</v>
      </c>
      <c r="EB75" s="365">
        <f>BA75*$E75</f>
        <v>0</v>
      </c>
      <c r="EC75" s="365">
        <f>BD75*$F75</f>
        <v>0</v>
      </c>
      <c r="ED75" s="365">
        <f>BE75*$F75</f>
        <v>0</v>
      </c>
      <c r="EE75" s="365">
        <f>BF75*$F75</f>
        <v>0</v>
      </c>
      <c r="EF75" s="365">
        <f>BG75*$F75</f>
        <v>0</v>
      </c>
      <c r="EG75" s="365">
        <f>BH75*$F75</f>
        <v>0</v>
      </c>
      <c r="EH75" s="365">
        <f>BK75*$G75</f>
        <v>0</v>
      </c>
      <c r="EI75" s="365">
        <f>BL75*$G75</f>
        <v>0</v>
      </c>
      <c r="EJ75" s="365">
        <f>BM75*$G75</f>
        <v>0</v>
      </c>
      <c r="EK75" s="365">
        <f>BN75*$G75</f>
        <v>0</v>
      </c>
      <c r="EL75" s="365">
        <f>BO75*$G75</f>
        <v>0</v>
      </c>
      <c r="EM75" s="365">
        <f>BR75*$H75</f>
        <v>0</v>
      </c>
      <c r="EN75" s="365">
        <f>BS75*$H75</f>
        <v>0</v>
      </c>
      <c r="EO75" s="365">
        <f>BT75*$H75</f>
        <v>0</v>
      </c>
      <c r="EP75" s="365">
        <f>BU75*$H75</f>
        <v>0</v>
      </c>
      <c r="EQ75" s="365">
        <f>BV75*$H75</f>
        <v>0</v>
      </c>
      <c r="ER75" s="365">
        <f>BY75*$I75</f>
        <v>0</v>
      </c>
      <c r="ES75" s="365">
        <f>BZ75*$I75</f>
        <v>0</v>
      </c>
      <c r="ET75" s="365">
        <f>CA75*$I75</f>
        <v>0</v>
      </c>
      <c r="EU75" s="365">
        <f>CB75*$I75</f>
        <v>0</v>
      </c>
      <c r="EV75" s="365">
        <f>CC75*$I75</f>
        <v>0</v>
      </c>
      <c r="EW75" s="365">
        <f>CF75*$J75</f>
        <v>0</v>
      </c>
      <c r="EX75" s="365">
        <f>CG75*$J75</f>
        <v>0</v>
      </c>
      <c r="EY75" s="365">
        <f>CH75*$J75</f>
        <v>0</v>
      </c>
      <c r="EZ75" s="365">
        <f>CI75*$J75</f>
        <v>0</v>
      </c>
      <c r="FA75" s="365">
        <f>CJ75*$J75</f>
        <v>0</v>
      </c>
      <c r="FB75" s="365">
        <f>CM75*$K75</f>
        <v>0</v>
      </c>
      <c r="FC75" s="365">
        <f>CN75*$K75</f>
        <v>0</v>
      </c>
      <c r="FD75" s="365">
        <f>CO75*$K75</f>
        <v>0</v>
      </c>
      <c r="FE75" s="365">
        <f>CP75*$K75</f>
        <v>0</v>
      </c>
      <c r="FF75" s="365">
        <f>CQ75*$K75</f>
        <v>0</v>
      </c>
      <c r="FG75" s="365">
        <f>CT75*$L75</f>
        <v>0</v>
      </c>
      <c r="FH75" s="365">
        <f>CU75*$L75</f>
        <v>0</v>
      </c>
      <c r="FI75" s="365">
        <f>CV75*$L75</f>
        <v>0</v>
      </c>
      <c r="FJ75" s="365">
        <f>CW75*$L75</f>
        <v>0</v>
      </c>
      <c r="FK75" s="365">
        <f>CX75*$L75</f>
        <v>0</v>
      </c>
      <c r="FL75" s="365">
        <f>DA75*$M75</f>
        <v>0</v>
      </c>
      <c r="FM75" s="365">
        <f t="shared" ref="FM75" si="53">DB75*$M75</f>
        <v>0</v>
      </c>
      <c r="FN75" s="365">
        <f>DC75*$M75</f>
        <v>0</v>
      </c>
      <c r="FO75" s="365">
        <f t="shared" ref="FO75" si="54">DD75*$M75</f>
        <v>0</v>
      </c>
      <c r="FP75" s="365">
        <f t="shared" ref="FP75" si="55">DE75*$M75</f>
        <v>0</v>
      </c>
    </row>
    <row r="76" spans="1:172" ht="21" customHeight="1" x14ac:dyDescent="0.3">
      <c r="A76" s="277" t="s">
        <v>238</v>
      </c>
      <c r="B76" s="278">
        <f>SUM(DI75:DM75)/100</f>
        <v>0</v>
      </c>
      <c r="C76" s="278">
        <f>SUM(DN75:DQ75)/100</f>
        <v>0</v>
      </c>
      <c r="D76" s="279">
        <f>SUM(DS75:DW75)/100</f>
        <v>0</v>
      </c>
      <c r="E76" s="279">
        <f>SUM(DX75:EB75)/100</f>
        <v>0</v>
      </c>
      <c r="F76" s="279">
        <f>SUM(EC75:EG75)/100</f>
        <v>0</v>
      </c>
      <c r="G76" s="279">
        <f>SUM(EH75:EL75)/100</f>
        <v>0</v>
      </c>
      <c r="H76" s="279">
        <f>SUM(EM75:EQ75)/100</f>
        <v>0</v>
      </c>
      <c r="I76" s="279">
        <f>SUM(ER75:EV75)/100</f>
        <v>0</v>
      </c>
      <c r="J76" s="279">
        <f>SUM(EW75:FA75)/100</f>
        <v>0</v>
      </c>
      <c r="K76" s="279">
        <f>SUM(FB75:FF75)/100</f>
        <v>0</v>
      </c>
      <c r="L76" s="279">
        <f>SUM(FG75:FK75)/100</f>
        <v>0</v>
      </c>
      <c r="M76" s="279">
        <f>SUM(FL75:FP75)/100</f>
        <v>0</v>
      </c>
      <c r="AG76" s="365"/>
      <c r="AH76" s="365"/>
      <c r="AI76" s="365"/>
      <c r="AJ76" s="365"/>
      <c r="AK76" s="365"/>
      <c r="AL76" s="365"/>
      <c r="AM76" s="365"/>
      <c r="AN76" s="365"/>
      <c r="AO76" s="365"/>
      <c r="AP76" s="365"/>
      <c r="AQ76" s="365"/>
      <c r="AR76" s="365"/>
      <c r="AS76" s="365"/>
      <c r="AT76" s="365"/>
      <c r="AU76" s="365"/>
      <c r="AV76" s="365"/>
      <c r="AW76" s="365"/>
      <c r="AX76" s="365"/>
      <c r="AY76" s="365"/>
      <c r="AZ76" s="365"/>
      <c r="BA76" s="365"/>
      <c r="BB76" s="365"/>
      <c r="BC76" s="365"/>
      <c r="BD76" s="365"/>
      <c r="BE76" s="365"/>
      <c r="BF76" s="365"/>
      <c r="BG76" s="365"/>
      <c r="BH76" s="365"/>
      <c r="BI76" s="365"/>
      <c r="BJ76" s="365"/>
      <c r="BK76" s="365"/>
      <c r="BL76" s="365"/>
      <c r="BM76" s="365"/>
      <c r="BN76" s="365"/>
      <c r="BO76" s="365"/>
      <c r="BP76" s="365"/>
      <c r="BQ76" s="365"/>
      <c r="BR76" s="365"/>
      <c r="BS76" s="365"/>
      <c r="BT76" s="365"/>
      <c r="BU76" s="365"/>
      <c r="BV76" s="365"/>
      <c r="BW76" s="365"/>
      <c r="BX76" s="365"/>
      <c r="BY76" s="365"/>
      <c r="BZ76" s="365"/>
      <c r="CA76" s="365"/>
      <c r="CB76" s="365"/>
      <c r="CC76" s="365"/>
      <c r="CD76" s="365"/>
      <c r="CE76" s="365"/>
      <c r="CF76" s="365"/>
      <c r="CG76" s="365"/>
      <c r="CH76" s="365"/>
      <c r="CI76" s="365"/>
      <c r="CJ76" s="365"/>
      <c r="CK76" s="365"/>
      <c r="CL76" s="365"/>
      <c r="CM76" s="365"/>
      <c r="CN76" s="365"/>
      <c r="CO76" s="365"/>
      <c r="CP76" s="365"/>
      <c r="CQ76" s="365"/>
      <c r="CR76" s="365"/>
      <c r="CS76" s="365"/>
      <c r="CT76" s="365"/>
      <c r="CU76" s="365"/>
      <c r="CV76" s="365"/>
      <c r="CW76" s="365"/>
      <c r="CX76" s="365"/>
      <c r="CY76" s="365"/>
      <c r="CZ76" s="365"/>
      <c r="DA76" s="365"/>
      <c r="DB76" s="365"/>
      <c r="DC76" s="365"/>
      <c r="DD76" s="365"/>
      <c r="DE76" s="365"/>
      <c r="DF76" s="365"/>
      <c r="DG76" s="365"/>
      <c r="DM76" s="365"/>
      <c r="DN76" s="365"/>
      <c r="DO76" s="365"/>
      <c r="DP76" s="365"/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A76" s="365"/>
      <c r="EB76" s="365"/>
      <c r="EC76" s="365"/>
      <c r="ED76" s="365"/>
      <c r="EE76" s="365"/>
      <c r="EF76" s="365"/>
      <c r="EG76" s="365"/>
      <c r="EH76" s="365"/>
      <c r="EI76" s="365"/>
      <c r="EJ76" s="365"/>
      <c r="EK76" s="365"/>
      <c r="EL76" s="365"/>
      <c r="EM76" s="365"/>
      <c r="EN76" s="365"/>
      <c r="EO76" s="365"/>
      <c r="EP76" s="365"/>
      <c r="EQ76" s="365"/>
      <c r="ER76" s="365"/>
      <c r="ES76" s="365"/>
      <c r="ET76" s="365"/>
      <c r="EU76" s="365"/>
      <c r="EV76" s="365"/>
      <c r="EW76" s="365"/>
      <c r="EX76" s="365"/>
      <c r="EY76" s="365"/>
      <c r="EZ76" s="365"/>
      <c r="FA76" s="365"/>
      <c r="FB76" s="365"/>
      <c r="FC76" s="365"/>
      <c r="FD76" s="365"/>
      <c r="FE76" s="365"/>
      <c r="FF76" s="365"/>
      <c r="FG76" s="365"/>
      <c r="FH76" s="365"/>
      <c r="FI76" s="365"/>
      <c r="FJ76" s="365"/>
      <c r="FK76" s="365"/>
      <c r="FL76" s="365"/>
      <c r="FM76" s="365"/>
      <c r="FN76" s="365"/>
      <c r="FO76" s="365"/>
      <c r="FP76" s="365"/>
    </row>
    <row r="77" spans="1:172" ht="21" customHeight="1" x14ac:dyDescent="0.3">
      <c r="A77" s="150" t="s">
        <v>239</v>
      </c>
      <c r="B77" s="149" t="e">
        <f>SUM(DI75:DM75)/100/Lote_18</f>
        <v>#DIV/0!</v>
      </c>
      <c r="C77" s="149" t="e">
        <f>SUM(DN75:DQ75)/100/Lote_18</f>
        <v>#DIV/0!</v>
      </c>
      <c r="D77" s="149" t="e">
        <f>SUM(DS75:DW75)/100/Lote_18</f>
        <v>#DIV/0!</v>
      </c>
      <c r="E77" s="149" t="e">
        <f>SUM(DX75:EB75)/100/Lote_18</f>
        <v>#DIV/0!</v>
      </c>
      <c r="F77" s="149" t="e">
        <f>SUM(EC75:EG75)/100/Lote_18</f>
        <v>#DIV/0!</v>
      </c>
      <c r="G77" s="149" t="e">
        <f>SUM(EH75:EL75)/100/Lote_18</f>
        <v>#DIV/0!</v>
      </c>
      <c r="H77" s="149" t="e">
        <f>SUM(EM75:EQ75)/100/Lote_18</f>
        <v>#DIV/0!</v>
      </c>
      <c r="I77" s="149" t="e">
        <f>SUM(ER75:EV75)/100/Lote_18</f>
        <v>#DIV/0!</v>
      </c>
      <c r="J77" s="149" t="e">
        <f>SUM(EW75:FA75)/100/Lote_18</f>
        <v>#DIV/0!</v>
      </c>
      <c r="K77" s="149" t="e">
        <f>SUM(FB75:FF75)/100/Lote_18</f>
        <v>#DIV/0!</v>
      </c>
      <c r="L77" s="149" t="e">
        <f>SUM(FG75:FK75)/100/Lote_18</f>
        <v>#DIV/0!</v>
      </c>
      <c r="M77" s="149" t="e">
        <f>SUM(FL75:FP75)/100/Lote_18</f>
        <v>#DIV/0!</v>
      </c>
    </row>
    <row r="78" spans="1:172" ht="21" customHeight="1" x14ac:dyDescent="0.3">
      <c r="A78" s="233">
        <f>N_L19</f>
        <v>0</v>
      </c>
      <c r="B78" s="363" t="s">
        <v>37</v>
      </c>
      <c r="C78" s="363" t="s">
        <v>37</v>
      </c>
      <c r="D78" s="363" t="s">
        <v>37</v>
      </c>
      <c r="E78" s="363" t="s">
        <v>37</v>
      </c>
      <c r="F78" s="363" t="s">
        <v>37</v>
      </c>
      <c r="G78" s="363" t="s">
        <v>37</v>
      </c>
      <c r="H78" s="363" t="s">
        <v>37</v>
      </c>
      <c r="I78" s="363" t="s">
        <v>37</v>
      </c>
      <c r="J78" s="363" t="s">
        <v>37</v>
      </c>
      <c r="K78" s="363" t="s">
        <v>37</v>
      </c>
      <c r="L78" s="363" t="s">
        <v>37</v>
      </c>
      <c r="M78" s="363" t="s">
        <v>37</v>
      </c>
    </row>
    <row r="79" spans="1:172" ht="21" customHeight="1" x14ac:dyDescent="0.3">
      <c r="A79" s="4" t="s">
        <v>237</v>
      </c>
      <c r="B79" s="7"/>
      <c r="C79" s="275"/>
      <c r="D79" s="275"/>
      <c r="E79" s="275"/>
      <c r="F79" s="275"/>
      <c r="G79" s="275"/>
      <c r="H79" s="275"/>
      <c r="I79" s="275"/>
      <c r="J79" s="275"/>
      <c r="K79" s="275"/>
      <c r="L79" s="275"/>
      <c r="M79" s="275"/>
      <c r="O79" s="58">
        <f>Área_L19*D_L19*A1_L19</f>
        <v>0</v>
      </c>
      <c r="P79" s="58">
        <f>Área_L19*D_L19*A2_L19</f>
        <v>0</v>
      </c>
      <c r="Q79" s="58">
        <f>Área_L19*D_L19*A3_L19</f>
        <v>0</v>
      </c>
      <c r="R79" s="58">
        <f>Área_L19*D_L19*A4_L19</f>
        <v>0</v>
      </c>
      <c r="S79" s="58">
        <f>Área_L19*D_L19*A5_L19</f>
        <v>0</v>
      </c>
      <c r="T79" s="58">
        <f>Área_L19*D_L19*A6_L19</f>
        <v>0</v>
      </c>
      <c r="U79" s="58">
        <f>Área_L19*D_L19*A7_L19</f>
        <v>0</v>
      </c>
      <c r="V79" s="58">
        <f>Área_L19*D_L19*A8_L19</f>
        <v>0</v>
      </c>
      <c r="W79" s="58">
        <f>Área_L19*D_L19*A9_L19</f>
        <v>0</v>
      </c>
      <c r="X79" s="58">
        <f>Área_L19*D_L19*A10_L19</f>
        <v>0</v>
      </c>
      <c r="Y79" s="58">
        <f>Área_L19*D_L19*A11_L19</f>
        <v>0</v>
      </c>
      <c r="Z79" s="58">
        <f>Área_L19*D_L19*A12_L19</f>
        <v>0</v>
      </c>
      <c r="AB79" s="58">
        <f>IF($B78="Producción",IF($B79&gt;=LI_A,$O79,0),0)</f>
        <v>0</v>
      </c>
      <c r="AC79" s="58">
        <f>IF($B78="Producción",IF($B79&gt;=LI_B,IF($B79&lt;LS_B,$O79,0),0),0)</f>
        <v>0</v>
      </c>
      <c r="AD79" s="58">
        <f>IF($B78="Producción",IF($B79&gt;=LI_C,IF($B79&lt;LS_C,$O79,0),0),0)</f>
        <v>0</v>
      </c>
      <c r="AE79" s="58">
        <f>IF($B78="Producción",IF($B79&lt;=LS_D,$O79,0),0)</f>
        <v>0</v>
      </c>
      <c r="AF79" s="365">
        <f>IF($B78="Crecimiento",$O79,0)</f>
        <v>0</v>
      </c>
      <c r="AG79" s="365">
        <f>IF($B78="Siembra",$O79,0)</f>
        <v>0</v>
      </c>
      <c r="AH79" s="365">
        <f>IF($B78="Abandono",$O79,0)</f>
        <v>0</v>
      </c>
      <c r="AI79" s="365">
        <f>IF($C78="Producción",IF($C79&gt;=LI_A,$P79,0),0)</f>
        <v>0</v>
      </c>
      <c r="AJ79" s="365">
        <f>IF($C78="Producción",IF($C79&gt;=LI_B,IF($C79&lt;LS_B,$P79,0),0),0)</f>
        <v>0</v>
      </c>
      <c r="AK79" s="365">
        <f>IF($C78="Producción",IF($C79&gt;=LI_C,IF($C79&lt;LS_C,$P79,0),0),0)</f>
        <v>0</v>
      </c>
      <c r="AL79" s="365">
        <f>IF($C78="Producción",IF(C79&lt;=LS_D,$P79,0),0)</f>
        <v>0</v>
      </c>
      <c r="AM79" s="365">
        <f>IF($C78="Crecimiento",$P79,0)</f>
        <v>0</v>
      </c>
      <c r="AN79" s="365">
        <f>IF($C78="Siembra",$P79,0)</f>
        <v>0</v>
      </c>
      <c r="AO79" s="365">
        <f>IF($C78="Abandono",$P79,0)</f>
        <v>0</v>
      </c>
      <c r="AP79" s="365">
        <f>IF($D78="Producción",IF($D79&gt;=LI_A,$Q79,0),0)</f>
        <v>0</v>
      </c>
      <c r="AQ79" s="365">
        <f>IF($D78="Producción",IF($D79&gt;=LI_B,IF($D79&lt;LS_B,$Q79,0),0),0)</f>
        <v>0</v>
      </c>
      <c r="AR79" s="365">
        <f>IF($D78="Producción",IF($D79&gt;=LI_C,IF($D79&lt;LS_C,$Q79,0),0),0)</f>
        <v>0</v>
      </c>
      <c r="AS79" s="365">
        <f>IF($D78="Producción",IF($D79&lt;=LS_D,$Q79,0),0)</f>
        <v>0</v>
      </c>
      <c r="AT79" s="365">
        <f>IF($D78="Crecimiento",$Q79,0)</f>
        <v>0</v>
      </c>
      <c r="AU79" s="365">
        <f>IF($D78="Siembra",$Q79,0)</f>
        <v>0</v>
      </c>
      <c r="AV79" s="365">
        <f>IF($D78="Abandono",$Q79,0)</f>
        <v>0</v>
      </c>
      <c r="AW79" s="365">
        <f>IF($E78="Producción",IF($E79&gt;=LI_A,$R79,0),0)</f>
        <v>0</v>
      </c>
      <c r="AX79" s="365">
        <f>IF($E78="Producción",IF($E79&gt;=LI_B,IF($E79&lt;LS_B,$R79,0),0),0)</f>
        <v>0</v>
      </c>
      <c r="AY79" s="365">
        <f>IF($E78="Producción",IF($E79&gt;=LI_C,IF($E79&lt;LS_C,$R79,0),0),0)</f>
        <v>0</v>
      </c>
      <c r="AZ79" s="365">
        <f>IF($E78="Producción",IF($E79&lt;=LS_D,$R79,0),0)</f>
        <v>0</v>
      </c>
      <c r="BA79" s="365">
        <f>IF($E78="Crecimiento",$R79,0)</f>
        <v>0</v>
      </c>
      <c r="BB79" s="365">
        <f>IF($E78="Siembra",$R79,0)</f>
        <v>0</v>
      </c>
      <c r="BC79" s="365">
        <f>IF($E78="Abandono",$R79,0)</f>
        <v>0</v>
      </c>
      <c r="BD79" s="365">
        <f>IF($F78="Producción",IF($F79&gt;=LI_A,$S79,0),0)</f>
        <v>0</v>
      </c>
      <c r="BE79" s="365">
        <f>IF($F78="Producción",IF($F79&gt;=LI_B,IF($F79&lt;LS_B,$S79,0),0),0)</f>
        <v>0</v>
      </c>
      <c r="BF79" s="365">
        <f>IF($F78="Producción",IF($F79&gt;=LI_C,IF($F79&lt;LS_C,$S79,0),0),0)</f>
        <v>0</v>
      </c>
      <c r="BG79" s="365">
        <f>IF($F78="Producción",IF($F79&lt;=LS_D,$S79,0),0)</f>
        <v>0</v>
      </c>
      <c r="BH79" s="365">
        <f>IF($F78="Crecimiento",$S79,0)</f>
        <v>0</v>
      </c>
      <c r="BI79" s="365">
        <f>IF($F78="Siembra",$S79,0)</f>
        <v>0</v>
      </c>
      <c r="BJ79" s="365">
        <f>IF($F78="Abandono",$S79,0)</f>
        <v>0</v>
      </c>
      <c r="BK79" s="365">
        <f>IF($G78="Producción",IF($G79&gt;=LI_A,$T79,0),0)</f>
        <v>0</v>
      </c>
      <c r="BL79" s="365">
        <f>IF($G78="Producción",IF($G79&gt;=LI_B,IF($G79&lt;LS_B,$T79,0),0),0)</f>
        <v>0</v>
      </c>
      <c r="BM79" s="365">
        <f>IF($G78="Producción",IF($G79&gt;=LI_C,IF($G79&lt;LS_C,$T79,0),0),0)</f>
        <v>0</v>
      </c>
      <c r="BN79" s="365">
        <f>IF($G78="Producción",IF($G79&lt;=LS_D,$T79,0),0)</f>
        <v>0</v>
      </c>
      <c r="BO79" s="365">
        <f>IF($G78="Crecimiento",$T79,0)</f>
        <v>0</v>
      </c>
      <c r="BP79" s="365">
        <f>IF($G78="Siembra",$T79,0)</f>
        <v>0</v>
      </c>
      <c r="BQ79" s="365">
        <f>IF($G78="Abandono",$T79,0)</f>
        <v>0</v>
      </c>
      <c r="BR79" s="365">
        <f>IF($H78="Producción",IF($H79&gt;=LI_A,$U79,0),0)</f>
        <v>0</v>
      </c>
      <c r="BS79" s="365">
        <f>IF($H78="Producción",IF($H79&gt;=LI_B,IF($H79&lt;LS_B,$U79,0),0),0)</f>
        <v>0</v>
      </c>
      <c r="BT79" s="365">
        <f>IF($H78="Producción",IF($H79&gt;=LI_C,IF($H79&lt;LS_C,$U79,0),0),0)</f>
        <v>0</v>
      </c>
      <c r="BU79" s="365">
        <f>IF($H78="Producción",IF($H79&lt;=LS_D,$U79,0),0)</f>
        <v>0</v>
      </c>
      <c r="BV79" s="365">
        <f>IF($H78="Crecimiento",$U79,0)</f>
        <v>0</v>
      </c>
      <c r="BW79" s="365">
        <f>IF($H78="Siembra",$U79,0)</f>
        <v>0</v>
      </c>
      <c r="BX79" s="365">
        <f>IF($H78="Abandono",$U79,0)</f>
        <v>0</v>
      </c>
      <c r="BY79" s="365">
        <f>IF($I78="Producción",IF($I79&gt;=LI_A,$V79,0),0)</f>
        <v>0</v>
      </c>
      <c r="BZ79" s="365">
        <f>IF($I78="Producción",IF($I79&gt;=LI_B,IF($I79&lt;LS_B,$V79,0),0),0)</f>
        <v>0</v>
      </c>
      <c r="CA79" s="365">
        <f>IF($I78="Producción",IF($I79&gt;=LI_C,IF($I79&lt;LS_C,$V79,0),0),0)</f>
        <v>0</v>
      </c>
      <c r="CB79" s="365">
        <f>IF($I78="Producción",IF($I79&lt;=LS_D,$V79,0),0)</f>
        <v>0</v>
      </c>
      <c r="CC79" s="365">
        <f>IF($I78="Crecimiento",$V79,0)</f>
        <v>0</v>
      </c>
      <c r="CD79" s="365">
        <f>IF($I78="Siembra",$V79,0)</f>
        <v>0</v>
      </c>
      <c r="CE79" s="365">
        <f>IF($I78="Abandono",$V79,0)</f>
        <v>0</v>
      </c>
      <c r="CF79" s="365">
        <f>IF($J78="Producción",IF($J79&gt;=LI_A,$W79,0),0)</f>
        <v>0</v>
      </c>
      <c r="CG79" s="365">
        <f>IF($J78="Producción",IF($J79&gt;=LI_B,IF($J79&lt;LS_B,$W79,0),0),0)</f>
        <v>0</v>
      </c>
      <c r="CH79" s="365">
        <f>IF($J78="Producción",IF($J79&gt;=LI_C,IF($J79&lt;LS_C,$W79,0),0),0)</f>
        <v>0</v>
      </c>
      <c r="CI79" s="365">
        <f>IF($J78="Producción",IF($J79&lt;=LS_D,$W79,0),0)</f>
        <v>0</v>
      </c>
      <c r="CJ79" s="365">
        <f>IF($J78="Crecimiento",$W79,0)</f>
        <v>0</v>
      </c>
      <c r="CK79" s="365">
        <f>IF($J78="Siembra",$W79,0)</f>
        <v>0</v>
      </c>
      <c r="CL79" s="365">
        <f>IF($J78="Abandono",$W79,0)</f>
        <v>0</v>
      </c>
      <c r="CM79" s="365">
        <f>IF($K78="Producción",IF($K79&gt;=LI_A,$X79,0),0)</f>
        <v>0</v>
      </c>
      <c r="CN79" s="365">
        <f>IF($K78="Producción",IF($K79&gt;=LI_B,IF($K79&lt;LS_B,$X79,0),0),0)</f>
        <v>0</v>
      </c>
      <c r="CO79" s="365">
        <f>IF($K78="Producción",IF($K79&gt;=LI_C,IF($K79&lt;LS_C,$X79,0),0),0)</f>
        <v>0</v>
      </c>
      <c r="CP79" s="365">
        <f>IF($K78="Producción",IF($K79&lt;=LS_D,$X79,0),0)</f>
        <v>0</v>
      </c>
      <c r="CQ79" s="365">
        <f>IF($K78="Crecimiento",IF($K79&gt;0,$X79,0),0)</f>
        <v>0</v>
      </c>
      <c r="CR79" s="365">
        <f>IF($K78="Siembra",IF($K79&gt;0,$X79,0),0)</f>
        <v>0</v>
      </c>
      <c r="CS79" s="365">
        <f>IF($K78="Abandono",IF($K79&gt;0,$X79,0),0)</f>
        <v>0</v>
      </c>
      <c r="CT79" s="365">
        <f>IF($L78="Producción",IF($L79&gt;=LI_A,$Y79,0),0)</f>
        <v>0</v>
      </c>
      <c r="CU79" s="365">
        <f>IF($L78="Producción",IF($L79&gt;=LI_B,IF($L79&lt;LS_B,$Y79,0),0),0)</f>
        <v>0</v>
      </c>
      <c r="CV79" s="365">
        <f>IF($L78="Producción",IF($L79&gt;=LI_C,IF($L79&lt;LS_C,$Y79,0),0),0)</f>
        <v>0</v>
      </c>
      <c r="CW79" s="365">
        <f>IF($L78="Producción",IF($L79&lt;=LS_D,$Y79,0),0)</f>
        <v>0</v>
      </c>
      <c r="CX79" s="365">
        <f>IF($L78="Crecimiento",$Y79,0)</f>
        <v>0</v>
      </c>
      <c r="CY79" s="365">
        <f>IF($L78="Siembra",$Y79,0)</f>
        <v>0</v>
      </c>
      <c r="CZ79" s="365">
        <f>IF($L78="Abandono",$Y79,0)</f>
        <v>0</v>
      </c>
      <c r="DA79" s="365">
        <f>IF($M78="Producción",IF($M79&gt;=LI_A,$Z79,0),0)</f>
        <v>0</v>
      </c>
      <c r="DB79" s="365">
        <f>IF($M78="Producción",IF($M79&gt;=LI_B,IF($M79&lt;LS_B,$Z79,0),0),0)</f>
        <v>0</v>
      </c>
      <c r="DC79" s="365">
        <f>IF($M78="Producción",IF($M79&gt;=LI_C,IF($M79&lt;LS_C,$Z79,0),0),0)</f>
        <v>0</v>
      </c>
      <c r="DD79" s="365">
        <f>IF($M78="Producción",IF($M79&lt;=LS_D,$Z79,0),0)</f>
        <v>0</v>
      </c>
      <c r="DE79" s="365">
        <f>IF($M78="Crecimiento",$Z79,0)</f>
        <v>0</v>
      </c>
      <c r="DF79" s="365">
        <f>IF($M78="Siembra",$Z79,0)</f>
        <v>0</v>
      </c>
      <c r="DG79" s="365">
        <f>IF($M78="Abandono",$Z79,0)</f>
        <v>0</v>
      </c>
      <c r="DI79" s="58">
        <f>AB79*$B79</f>
        <v>0</v>
      </c>
      <c r="DJ79" s="58">
        <f>AC79*$B79</f>
        <v>0</v>
      </c>
      <c r="DK79" s="58">
        <f>AD79*$B79</f>
        <v>0</v>
      </c>
      <c r="DL79" s="58">
        <f>AE79*$B79</f>
        <v>0</v>
      </c>
      <c r="DM79" s="365">
        <f>AF79*$B79</f>
        <v>0</v>
      </c>
      <c r="DN79" s="365">
        <f>AI79*$C79</f>
        <v>0</v>
      </c>
      <c r="DO79" s="365">
        <f>AJ79*$C79</f>
        <v>0</v>
      </c>
      <c r="DP79" s="365">
        <f>AK79*$C79</f>
        <v>0</v>
      </c>
      <c r="DQ79" s="365">
        <f>AL79*$C79</f>
        <v>0</v>
      </c>
      <c r="DR79" s="365">
        <f>AM79*$C79</f>
        <v>0</v>
      </c>
      <c r="DS79" s="365">
        <f>AP79*$D79</f>
        <v>0</v>
      </c>
      <c r="DT79" s="365">
        <f>AQ79*$D79</f>
        <v>0</v>
      </c>
      <c r="DU79" s="365">
        <f>AR79*$D79</f>
        <v>0</v>
      </c>
      <c r="DV79" s="365">
        <f>AS79*$D79</f>
        <v>0</v>
      </c>
      <c r="DW79" s="365">
        <f>AT79*$D79</f>
        <v>0</v>
      </c>
      <c r="DX79" s="365">
        <f>AW79*$E79</f>
        <v>0</v>
      </c>
      <c r="DY79" s="365">
        <f>AX79*$E79</f>
        <v>0</v>
      </c>
      <c r="DZ79" s="365">
        <f>AY79*$E79</f>
        <v>0</v>
      </c>
      <c r="EA79" s="365">
        <f>AZ79*$E79</f>
        <v>0</v>
      </c>
      <c r="EB79" s="365">
        <f>BA79*$E79</f>
        <v>0</v>
      </c>
      <c r="EC79" s="365">
        <f>BD79*$F79</f>
        <v>0</v>
      </c>
      <c r="ED79" s="365">
        <f>BE79*$F79</f>
        <v>0</v>
      </c>
      <c r="EE79" s="365">
        <f>BF79*$F79</f>
        <v>0</v>
      </c>
      <c r="EF79" s="365">
        <f>BG79*$F79</f>
        <v>0</v>
      </c>
      <c r="EG79" s="365">
        <f>BH79*$F79</f>
        <v>0</v>
      </c>
      <c r="EH79" s="365">
        <f>BK79*$G79</f>
        <v>0</v>
      </c>
      <c r="EI79" s="365">
        <f>BL79*$G79</f>
        <v>0</v>
      </c>
      <c r="EJ79" s="365">
        <f>BM79*$G79</f>
        <v>0</v>
      </c>
      <c r="EK79" s="365">
        <f>BN79*$G79</f>
        <v>0</v>
      </c>
      <c r="EL79" s="365">
        <f>BO79*$G79</f>
        <v>0</v>
      </c>
      <c r="EM79" s="365">
        <f>BR79*$H79</f>
        <v>0</v>
      </c>
      <c r="EN79" s="365">
        <f>BS79*$H79</f>
        <v>0</v>
      </c>
      <c r="EO79" s="365">
        <f>BT79*$H79</f>
        <v>0</v>
      </c>
      <c r="EP79" s="365">
        <f>BU79*$H79</f>
        <v>0</v>
      </c>
      <c r="EQ79" s="365">
        <f>BV79*$H79</f>
        <v>0</v>
      </c>
      <c r="ER79" s="365">
        <f>BY79*$I79</f>
        <v>0</v>
      </c>
      <c r="ES79" s="365">
        <f>BZ79*$I79</f>
        <v>0</v>
      </c>
      <c r="ET79" s="365">
        <f>CA79*$I79</f>
        <v>0</v>
      </c>
      <c r="EU79" s="365">
        <f>CB79*$I79</f>
        <v>0</v>
      </c>
      <c r="EV79" s="365">
        <f>CC79*$I79</f>
        <v>0</v>
      </c>
      <c r="EW79" s="365">
        <f>CF79*$J79</f>
        <v>0</v>
      </c>
      <c r="EX79" s="365">
        <f>CG79*$J79</f>
        <v>0</v>
      </c>
      <c r="EY79" s="365">
        <f>CH79*$J79</f>
        <v>0</v>
      </c>
      <c r="EZ79" s="365">
        <f>CI79*$J79</f>
        <v>0</v>
      </c>
      <c r="FA79" s="365">
        <f>CJ79*$J79</f>
        <v>0</v>
      </c>
      <c r="FB79" s="365">
        <f>CM79*$K79</f>
        <v>0</v>
      </c>
      <c r="FC79" s="365">
        <f>CN79*$K79</f>
        <v>0</v>
      </c>
      <c r="FD79" s="365">
        <f>CO79*$K79</f>
        <v>0</v>
      </c>
      <c r="FE79" s="365">
        <f>CP79*$K79</f>
        <v>0</v>
      </c>
      <c r="FF79" s="365">
        <f>CQ79*$K79</f>
        <v>0</v>
      </c>
      <c r="FG79" s="365">
        <f>CT79*$L79</f>
        <v>0</v>
      </c>
      <c r="FH79" s="365">
        <f>CU79*$L79</f>
        <v>0</v>
      </c>
      <c r="FI79" s="365">
        <f>CV79*$L79</f>
        <v>0</v>
      </c>
      <c r="FJ79" s="365">
        <f>CW79*$L79</f>
        <v>0</v>
      </c>
      <c r="FK79" s="365">
        <f>CX79*$L79</f>
        <v>0</v>
      </c>
      <c r="FL79" s="365">
        <f>DA79*$M79</f>
        <v>0</v>
      </c>
      <c r="FM79" s="365">
        <f t="shared" ref="FM79" si="56">DB79*$M79</f>
        <v>0</v>
      </c>
      <c r="FN79" s="365">
        <f>DC79*$M79</f>
        <v>0</v>
      </c>
      <c r="FO79" s="365">
        <f t="shared" ref="FO79" si="57">DD79*$M79</f>
        <v>0</v>
      </c>
      <c r="FP79" s="365">
        <f t="shared" ref="FP79" si="58">DE79*$M79</f>
        <v>0</v>
      </c>
    </row>
    <row r="80" spans="1:172" ht="21" customHeight="1" x14ac:dyDescent="0.3">
      <c r="A80" s="277" t="s">
        <v>238</v>
      </c>
      <c r="B80" s="278">
        <f>SUM(DI79:DM79)/100</f>
        <v>0</v>
      </c>
      <c r="C80" s="278">
        <f>SUM(DN79:DQ79)/100</f>
        <v>0</v>
      </c>
      <c r="D80" s="279">
        <f>SUM(DS79:DW79)/100</f>
        <v>0</v>
      </c>
      <c r="E80" s="279">
        <f>SUM(DX79:EB79)/100</f>
        <v>0</v>
      </c>
      <c r="F80" s="279">
        <f>SUM(EC79:EG79)/100</f>
        <v>0</v>
      </c>
      <c r="G80" s="279">
        <f>SUM(EH79:EL79)/100</f>
        <v>0</v>
      </c>
      <c r="H80" s="279">
        <f>SUM(EM79:EQ79)/100</f>
        <v>0</v>
      </c>
      <c r="I80" s="279">
        <f>SUM(ER79:EV79)/100</f>
        <v>0</v>
      </c>
      <c r="J80" s="279">
        <f>SUM(EW79:FA79)/100</f>
        <v>0</v>
      </c>
      <c r="K80" s="279">
        <f>SUM(FB79:FF79)/100</f>
        <v>0</v>
      </c>
      <c r="L80" s="279">
        <f>SUM(FG79:FK79)/100</f>
        <v>0</v>
      </c>
      <c r="M80" s="279">
        <f>SUM(FL79:FP79)/100</f>
        <v>0</v>
      </c>
      <c r="AG80" s="365"/>
      <c r="AH80" s="365"/>
      <c r="AI80" s="365"/>
      <c r="AJ80" s="365"/>
      <c r="AK80" s="365"/>
      <c r="AL80" s="365"/>
      <c r="AM80" s="365"/>
      <c r="AN80" s="365"/>
      <c r="AO80" s="365"/>
      <c r="AP80" s="365"/>
      <c r="AQ80" s="365"/>
      <c r="AR80" s="365"/>
      <c r="AS80" s="365"/>
      <c r="AT80" s="365"/>
      <c r="AU80" s="365"/>
      <c r="AV80" s="365"/>
      <c r="AW80" s="365"/>
      <c r="AX80" s="365"/>
      <c r="AY80" s="365"/>
      <c r="AZ80" s="365"/>
      <c r="BA80" s="365"/>
      <c r="BB80" s="365"/>
      <c r="BC80" s="365"/>
      <c r="BD80" s="365"/>
      <c r="BE80" s="365"/>
      <c r="BF80" s="365"/>
      <c r="BG80" s="365"/>
      <c r="BH80" s="365"/>
      <c r="BI80" s="365"/>
      <c r="BJ80" s="365"/>
      <c r="BK80" s="365"/>
      <c r="BL80" s="365"/>
      <c r="BM80" s="365"/>
      <c r="BN80" s="365"/>
      <c r="BO80" s="365"/>
      <c r="BP80" s="365"/>
      <c r="BQ80" s="365"/>
      <c r="BR80" s="365"/>
      <c r="BS80" s="365"/>
      <c r="BT80" s="365"/>
      <c r="BU80" s="365"/>
      <c r="BV80" s="365"/>
      <c r="BW80" s="365"/>
      <c r="BX80" s="365"/>
      <c r="BY80" s="365"/>
      <c r="BZ80" s="365"/>
      <c r="CA80" s="365"/>
      <c r="CB80" s="365"/>
      <c r="CC80" s="365"/>
      <c r="CD80" s="365"/>
      <c r="CE80" s="365"/>
      <c r="CF80" s="365"/>
      <c r="CG80" s="365"/>
      <c r="CH80" s="365"/>
      <c r="CI80" s="365"/>
      <c r="CJ80" s="365"/>
      <c r="CK80" s="365"/>
      <c r="CL80" s="365"/>
      <c r="CM80" s="365"/>
      <c r="CN80" s="365"/>
      <c r="CO80" s="365"/>
      <c r="CP80" s="365"/>
      <c r="CQ80" s="365"/>
      <c r="CR80" s="365"/>
      <c r="CS80" s="365"/>
      <c r="CT80" s="365"/>
      <c r="CU80" s="365"/>
      <c r="CV80" s="365"/>
      <c r="CW80" s="365"/>
      <c r="CX80" s="365"/>
      <c r="CY80" s="365"/>
      <c r="CZ80" s="365"/>
      <c r="DA80" s="365"/>
      <c r="DB80" s="365"/>
      <c r="DC80" s="365"/>
      <c r="DD80" s="365"/>
      <c r="DE80" s="365"/>
      <c r="DF80" s="365"/>
      <c r="DG80" s="365"/>
      <c r="DM80" s="365"/>
      <c r="DN80" s="365"/>
      <c r="DO80" s="365"/>
      <c r="DP80" s="365"/>
      <c r="DQ80" s="365"/>
      <c r="DR80" s="365"/>
      <c r="DS80" s="365"/>
      <c r="DT80" s="365"/>
      <c r="DU80" s="365"/>
      <c r="DV80" s="365"/>
      <c r="DW80" s="365"/>
      <c r="DX80" s="365"/>
      <c r="DY80" s="365"/>
      <c r="DZ80" s="365"/>
      <c r="EA80" s="365"/>
      <c r="EB80" s="365"/>
      <c r="EC80" s="365"/>
      <c r="ED80" s="365"/>
      <c r="EE80" s="365"/>
      <c r="EF80" s="365"/>
      <c r="EG80" s="365"/>
      <c r="EH80" s="365"/>
      <c r="EI80" s="365"/>
      <c r="EJ80" s="365"/>
      <c r="EK80" s="365"/>
      <c r="EL80" s="365"/>
      <c r="EM80" s="365"/>
      <c r="EN80" s="365"/>
      <c r="EO80" s="365"/>
      <c r="EP80" s="365"/>
      <c r="EQ80" s="365"/>
      <c r="ER80" s="365"/>
      <c r="ES80" s="365"/>
      <c r="ET80" s="365"/>
      <c r="EU80" s="365"/>
      <c r="EV80" s="365"/>
      <c r="EW80" s="365"/>
      <c r="EX80" s="365"/>
      <c r="EY80" s="365"/>
      <c r="EZ80" s="365"/>
      <c r="FA80" s="365"/>
      <c r="FB80" s="365"/>
      <c r="FC80" s="365"/>
      <c r="FD80" s="365"/>
      <c r="FE80" s="365"/>
      <c r="FF80" s="365"/>
      <c r="FG80" s="365"/>
      <c r="FH80" s="365"/>
      <c r="FI80" s="365"/>
      <c r="FJ80" s="365"/>
      <c r="FK80" s="365"/>
      <c r="FL80" s="365"/>
      <c r="FM80" s="365"/>
      <c r="FN80" s="365"/>
      <c r="FO80" s="365"/>
      <c r="FP80" s="365"/>
    </row>
    <row r="81" spans="1:172" ht="21" customHeight="1" x14ac:dyDescent="0.3">
      <c r="A81" s="150" t="s">
        <v>239</v>
      </c>
      <c r="B81" s="149" t="e">
        <f>SUM(DI79:DM79)/100/Lote_19</f>
        <v>#DIV/0!</v>
      </c>
      <c r="C81" s="149" t="e">
        <f>SUM(DN79:DQ79)/100/Lote_19</f>
        <v>#DIV/0!</v>
      </c>
      <c r="D81" s="149" t="e">
        <f>SUM(DS79:DW79)/100/Lote_19</f>
        <v>#DIV/0!</v>
      </c>
      <c r="E81" s="149" t="e">
        <f>SUM(DX79:EB79)/100/Lote_19</f>
        <v>#DIV/0!</v>
      </c>
      <c r="F81" s="149" t="e">
        <f>SUM(EC79:EG79)/100/Lote_19</f>
        <v>#DIV/0!</v>
      </c>
      <c r="G81" s="149" t="e">
        <f>SUM(EH79:EL79)/100/Lote_19</f>
        <v>#DIV/0!</v>
      </c>
      <c r="H81" s="149" t="e">
        <f>SUM(EM79:EQ79)/100/Lote_19</f>
        <v>#DIV/0!</v>
      </c>
      <c r="I81" s="149" t="e">
        <f>SUM(ER79:EV79)/100/Lote_19</f>
        <v>#DIV/0!</v>
      </c>
      <c r="J81" s="149" t="e">
        <f>SUM(EW79:FA79)/100/Lote_19</f>
        <v>#DIV/0!</v>
      </c>
      <c r="K81" s="149" t="e">
        <f>SUM(FB79:FF79)/100/Lote_19</f>
        <v>#DIV/0!</v>
      </c>
      <c r="L81" s="149" t="e">
        <f>SUM(FG79:FK79)/100/Lote_19</f>
        <v>#DIV/0!</v>
      </c>
      <c r="M81" s="149" t="e">
        <f>SUM(FL79:FP79)/100/Lote_19</f>
        <v>#DIV/0!</v>
      </c>
    </row>
    <row r="82" spans="1:172" ht="21" customHeight="1" x14ac:dyDescent="0.3">
      <c r="A82" s="233">
        <f>N_L20</f>
        <v>0</v>
      </c>
      <c r="B82" s="363" t="s">
        <v>37</v>
      </c>
      <c r="C82" s="363" t="s">
        <v>37</v>
      </c>
      <c r="D82" s="363" t="s">
        <v>37</v>
      </c>
      <c r="E82" s="363" t="s">
        <v>37</v>
      </c>
      <c r="F82" s="363" t="s">
        <v>37</v>
      </c>
      <c r="G82" s="363" t="s">
        <v>37</v>
      </c>
      <c r="H82" s="363" t="s">
        <v>37</v>
      </c>
      <c r="I82" s="363" t="s">
        <v>37</v>
      </c>
      <c r="J82" s="363" t="s">
        <v>37</v>
      </c>
      <c r="K82" s="363" t="s">
        <v>37</v>
      </c>
      <c r="L82" s="363" t="s">
        <v>37</v>
      </c>
      <c r="M82" s="363" t="s">
        <v>37</v>
      </c>
    </row>
    <row r="83" spans="1:172" ht="21" customHeight="1" x14ac:dyDescent="0.3">
      <c r="A83" s="4" t="s">
        <v>237</v>
      </c>
      <c r="B83" s="7"/>
      <c r="C83" s="275"/>
      <c r="D83" s="275"/>
      <c r="E83" s="275"/>
      <c r="F83" s="275"/>
      <c r="G83" s="275"/>
      <c r="H83" s="275"/>
      <c r="I83" s="275"/>
      <c r="J83" s="275"/>
      <c r="K83" s="275"/>
      <c r="L83" s="275"/>
      <c r="M83" s="275"/>
      <c r="O83" s="58">
        <f>Área_L20*D_L20*A1_L20</f>
        <v>0</v>
      </c>
      <c r="P83" s="58">
        <f>Área_L20*D_L20*A2_L20</f>
        <v>0</v>
      </c>
      <c r="Q83" s="58">
        <f>Área_L20*D_L20*A3_L20</f>
        <v>0</v>
      </c>
      <c r="R83" s="58">
        <f>Área_L20*D_L20*A4_L20</f>
        <v>0</v>
      </c>
      <c r="S83" s="58">
        <f>Área_L20*D_L20*A5_L20</f>
        <v>0</v>
      </c>
      <c r="T83" s="58">
        <f>Área_L20*D_L20*A6_L20</f>
        <v>0</v>
      </c>
      <c r="U83" s="58">
        <f>Área_L20*D_L20*A7_L20</f>
        <v>0</v>
      </c>
      <c r="V83" s="58">
        <f>Área_L20*D_L20*A8_L20</f>
        <v>0</v>
      </c>
      <c r="W83" s="58">
        <f>Área_L20*D_L20*A9_L20</f>
        <v>0</v>
      </c>
      <c r="X83" s="58">
        <f>Área_L20*D_L20*A10_L20</f>
        <v>0</v>
      </c>
      <c r="Y83" s="58">
        <f>Área_L20*D_L20*A11_L20</f>
        <v>0</v>
      </c>
      <c r="Z83" s="58">
        <f>Área_L20*D_L20*A12_L20</f>
        <v>0</v>
      </c>
      <c r="AB83" s="58">
        <f>IF($B82="Producción",IF($B83&gt;=LI_A,$O83,0),0)</f>
        <v>0</v>
      </c>
      <c r="AC83" s="58">
        <f>IF($B82="Producción",IF($B83&gt;=LI_B,IF($B83&lt;LS_B,$O83,0),0),0)</f>
        <v>0</v>
      </c>
      <c r="AD83" s="58">
        <f>IF($B82="Producción",IF($B83&gt;=LI_C,IF($B83&lt;LS_C,$O83,0),0),0)</f>
        <v>0</v>
      </c>
      <c r="AE83" s="58">
        <f>IF($B82="Producción",IF($B83&lt;=LS_D,$O83,0),0)</f>
        <v>0</v>
      </c>
      <c r="AF83" s="365">
        <f>IF($B82="Crecimiento",$O83,0)</f>
        <v>0</v>
      </c>
      <c r="AG83" s="365">
        <f>IF($B82="Siembra",$O83,0)</f>
        <v>0</v>
      </c>
      <c r="AH83" s="365">
        <f>IF($B82="Abandono",$O83,0)</f>
        <v>0</v>
      </c>
      <c r="AI83" s="365">
        <f>IF($C82="Producción",IF($C83&gt;=LI_A,$P83,0),0)</f>
        <v>0</v>
      </c>
      <c r="AJ83" s="365">
        <f>IF($C82="Producción",IF($C83&gt;=LI_B,IF($C83&lt;LS_B,$P83,0),0),0)</f>
        <v>0</v>
      </c>
      <c r="AK83" s="365">
        <f>IF($C82="Producción",IF($C83&gt;=LI_C,IF($C83&lt;LS_C,$P83,0),0),0)</f>
        <v>0</v>
      </c>
      <c r="AL83" s="365">
        <f>IF($C82="Producción",IF(C83&lt;=LS_D,$P83,0),0)</f>
        <v>0</v>
      </c>
      <c r="AM83" s="365">
        <f>IF($C82="Crecimiento",$P83,0)</f>
        <v>0</v>
      </c>
      <c r="AN83" s="365">
        <f>IF($C82="Siembra",$P83,0)</f>
        <v>0</v>
      </c>
      <c r="AO83" s="365">
        <f>IF($C82="Abandono",$P83,0)</f>
        <v>0</v>
      </c>
      <c r="AP83" s="365">
        <f>IF($D82="Producción",IF($D83&gt;=LI_A,$Q83,0),0)</f>
        <v>0</v>
      </c>
      <c r="AQ83" s="365">
        <f>IF($D82="Producción",IF($D83&gt;=LI_B,IF($D83&lt;LS_B,$Q83,0),0),0)</f>
        <v>0</v>
      </c>
      <c r="AR83" s="365">
        <f>IF($D82="Producción",IF($D83&gt;=LI_C,IF($D83&lt;LS_C,$Q83,0),0),0)</f>
        <v>0</v>
      </c>
      <c r="AS83" s="365">
        <f>IF($D82="Producción",IF($D83&lt;=LS_D,$Q83,0),0)</f>
        <v>0</v>
      </c>
      <c r="AT83" s="365">
        <f>IF($D82="Crecimiento",$Q83,0)</f>
        <v>0</v>
      </c>
      <c r="AU83" s="365">
        <f>IF($D82="Siembra",$Q83,0)</f>
        <v>0</v>
      </c>
      <c r="AV83" s="365">
        <f>IF($D82="Abandono",$Q83,0)</f>
        <v>0</v>
      </c>
      <c r="AW83" s="365">
        <f>IF($E82="Producción",IF($E83&gt;=LI_A,$R83,0),0)</f>
        <v>0</v>
      </c>
      <c r="AX83" s="365">
        <f>IF($E82="Producción",IF($E83&gt;=LI_B,IF($E83&lt;LS_B,$R83,0),0),0)</f>
        <v>0</v>
      </c>
      <c r="AY83" s="365">
        <f>IF($E82="Producción",IF($E83&gt;=LI_C,IF($E83&lt;LS_C,$R83,0),0),0)</f>
        <v>0</v>
      </c>
      <c r="AZ83" s="365">
        <f>IF($E82="Producción",IF($E83&lt;=LS_D,$R83,0),0)</f>
        <v>0</v>
      </c>
      <c r="BA83" s="365">
        <f>IF($E82="Crecimiento",$R83,0)</f>
        <v>0</v>
      </c>
      <c r="BB83" s="365">
        <f>IF($E82="Siembra",$R83,0)</f>
        <v>0</v>
      </c>
      <c r="BC83" s="365">
        <f>IF($E82="Abandono",$R83,0)</f>
        <v>0</v>
      </c>
      <c r="BD83" s="365">
        <f>IF($F82="Producción",IF($F83&gt;=LI_A,$S83,0),0)</f>
        <v>0</v>
      </c>
      <c r="BE83" s="365">
        <f>IF($F82="Producción",IF($F83&gt;=LI_B,IF($F83&lt;LS_B,$S83,0),0),0)</f>
        <v>0</v>
      </c>
      <c r="BF83" s="365">
        <f>IF($F82="Producción",IF($F83&gt;=LI_C,IF($F83&lt;LS_C,$S83,0),0),0)</f>
        <v>0</v>
      </c>
      <c r="BG83" s="365">
        <f>IF($F82="Producción",IF($F83&lt;=LS_D,$S83,0),0)</f>
        <v>0</v>
      </c>
      <c r="BH83" s="365">
        <f>IF($F82="Crecimiento",$S83,0)</f>
        <v>0</v>
      </c>
      <c r="BI83" s="365">
        <f>IF($F82="Siembra",$S83,0)</f>
        <v>0</v>
      </c>
      <c r="BJ83" s="365">
        <f>IF($F82="Abandono",$S83,0)</f>
        <v>0</v>
      </c>
      <c r="BK83" s="365">
        <f>IF($G82="Producción",IF($G83&gt;=LI_A,$T83,0),0)</f>
        <v>0</v>
      </c>
      <c r="BL83" s="365">
        <f>IF($G82="Producción",IF($G83&gt;=LI_B,IF($G83&lt;LS_B,$T83,0),0),0)</f>
        <v>0</v>
      </c>
      <c r="BM83" s="365">
        <f>IF($G82="Producción",IF($G83&gt;=LI_C,IF($G83&lt;LS_C,$T83,0),0),0)</f>
        <v>0</v>
      </c>
      <c r="BN83" s="365">
        <f>IF($G82="Producción",IF($G83&lt;=LS_D,$T83,0),0)</f>
        <v>0</v>
      </c>
      <c r="BO83" s="365">
        <f>IF($G82="Crecimiento",$T83,0)</f>
        <v>0</v>
      </c>
      <c r="BP83" s="365">
        <f>IF($G82="Siembra",$T83,0)</f>
        <v>0</v>
      </c>
      <c r="BQ83" s="365">
        <f>IF($G82="Abandono",$T83,0)</f>
        <v>0</v>
      </c>
      <c r="BR83" s="365">
        <f>IF($H82="Producción",IF($H83&gt;=LI_A,$U83,0),0)</f>
        <v>0</v>
      </c>
      <c r="BS83" s="365">
        <f>IF($H82="Producción",IF($H83&gt;=LI_B,IF($H83&lt;LS_B,$U83,0),0),0)</f>
        <v>0</v>
      </c>
      <c r="BT83" s="365">
        <f>IF($H82="Producción",IF($H83&gt;=LI_C,IF($H83&lt;LS_C,$U83,0),0),0)</f>
        <v>0</v>
      </c>
      <c r="BU83" s="365">
        <f>IF($H82="Producción",IF($H83&lt;=LS_D,$U83,0),0)</f>
        <v>0</v>
      </c>
      <c r="BV83" s="365">
        <f>IF($H82="Crecimiento",$U83,0)</f>
        <v>0</v>
      </c>
      <c r="BW83" s="365">
        <f>IF($H82="Siembra",$U83,0)</f>
        <v>0</v>
      </c>
      <c r="BX83" s="365">
        <f>IF($H82="Abandono",$U83,0)</f>
        <v>0</v>
      </c>
      <c r="BY83" s="365">
        <f>IF($I82="Producción",IF($I83&gt;=LI_A,$V83,0),0)</f>
        <v>0</v>
      </c>
      <c r="BZ83" s="365">
        <f>IF($I82="Producción",IF($I83&gt;=LI_B,IF($I83&lt;LS_B,$V83,0),0),0)</f>
        <v>0</v>
      </c>
      <c r="CA83" s="365">
        <f>IF($I82="Producción",IF($I83&gt;=LI_C,IF($I83&lt;LS_C,$V83,0),0),0)</f>
        <v>0</v>
      </c>
      <c r="CB83" s="365">
        <f>IF($I82="Producción",IF($I83&lt;=LS_D,$V83,0),0)</f>
        <v>0</v>
      </c>
      <c r="CC83" s="365">
        <f>IF($I82="Crecimiento",$V83,0)</f>
        <v>0</v>
      </c>
      <c r="CD83" s="365">
        <f>IF($I82="Siembra",$V83,0)</f>
        <v>0</v>
      </c>
      <c r="CE83" s="365">
        <f>IF($I82="Abandono",$V83,0)</f>
        <v>0</v>
      </c>
      <c r="CF83" s="365">
        <f>IF($J82="Producción",IF($J83&gt;=LI_A,$W83,0),0)</f>
        <v>0</v>
      </c>
      <c r="CG83" s="365">
        <f>IF($J82="Producción",IF($J83&gt;=LI_B,IF($J83&lt;LS_B,$W83,0),0),0)</f>
        <v>0</v>
      </c>
      <c r="CH83" s="365">
        <f>IF($J82="Producción",IF($J83&gt;=LI_C,IF($J83&lt;LS_C,$W83,0),0),0)</f>
        <v>0</v>
      </c>
      <c r="CI83" s="365">
        <f>IF($J82="Producción",IF($J83&lt;=LS_D,$W83,0),0)</f>
        <v>0</v>
      </c>
      <c r="CJ83" s="365">
        <f>IF($J82="Crecimiento",$W83,0)</f>
        <v>0</v>
      </c>
      <c r="CK83" s="365">
        <f>IF($J82="Siembra",$W83,0)</f>
        <v>0</v>
      </c>
      <c r="CL83" s="365">
        <f>IF($J82="Abandono",$W83,0)</f>
        <v>0</v>
      </c>
      <c r="CM83" s="365">
        <f>IF($K82="Producción",IF($K83&gt;=LI_A,$X83,0),0)</f>
        <v>0</v>
      </c>
      <c r="CN83" s="365">
        <f>IF($K82="Producción",IF($K83&gt;=LI_B,IF($K83&lt;LS_B,$X83,0),0),0)</f>
        <v>0</v>
      </c>
      <c r="CO83" s="365">
        <f>IF($K82="Producción",IF($K83&gt;=LI_C,IF($K83&lt;LS_C,$X83,0),0),0)</f>
        <v>0</v>
      </c>
      <c r="CP83" s="365">
        <f>IF($K82="Producción",IF($K83&lt;=LS_D,$X83,0),0)</f>
        <v>0</v>
      </c>
      <c r="CQ83" s="365">
        <f>IF($K82="Crecimiento",IF($K83&gt;0,$X83,0),0)</f>
        <v>0</v>
      </c>
      <c r="CR83" s="365">
        <f>IF($K82="Siembra",IF($K83&gt;0,$X83,0),0)</f>
        <v>0</v>
      </c>
      <c r="CS83" s="365">
        <f>IF($K82="Abandono",IF($K83&gt;0,$X83,0),0)</f>
        <v>0</v>
      </c>
      <c r="CT83" s="365">
        <f>IF($L82="Producción",IF($L83&gt;=LI_A,$Y83,0),0)</f>
        <v>0</v>
      </c>
      <c r="CU83" s="365">
        <f>IF($L82="Producción",IF($L83&gt;=LI_B,IF($L83&lt;LS_B,$Y83,0),0),0)</f>
        <v>0</v>
      </c>
      <c r="CV83" s="365">
        <f>IF($L82="Producción",IF($L83&gt;=LI_C,IF($L83&lt;LS_C,$Y83,0),0),0)</f>
        <v>0</v>
      </c>
      <c r="CW83" s="365">
        <f>IF($L82="Producción",IF($L83&lt;=LS_D,$Y83,0),0)</f>
        <v>0</v>
      </c>
      <c r="CX83" s="365">
        <f>IF($L82="Crecimiento",$Y83,0)</f>
        <v>0</v>
      </c>
      <c r="CY83" s="365">
        <f>IF($L82="Siembra",$Y83,0)</f>
        <v>0</v>
      </c>
      <c r="CZ83" s="365">
        <f>IF($L82="Abandono",$Y83,0)</f>
        <v>0</v>
      </c>
      <c r="DA83" s="365">
        <f>IF($M82="Producción",IF($M83&gt;=LI_A,$Z83,0),0)</f>
        <v>0</v>
      </c>
      <c r="DB83" s="365">
        <f>IF($M82="Producción",IF($M83&gt;=LI_B,IF($M83&lt;LS_B,$Z83,0),0),0)</f>
        <v>0</v>
      </c>
      <c r="DC83" s="365">
        <f>IF($M82="Producción",IF($M83&gt;=LI_C,IF($M83&lt;LS_C,$Z83,0),0),0)</f>
        <v>0</v>
      </c>
      <c r="DD83" s="365">
        <f>IF($M82="Producción",IF($M83&lt;=LS_D,$Z83,0),0)</f>
        <v>0</v>
      </c>
      <c r="DE83" s="365">
        <f>IF($M82="Crecimiento",$Z83,0)</f>
        <v>0</v>
      </c>
      <c r="DF83" s="365">
        <f>IF($M82="Siembra",$Z83,0)</f>
        <v>0</v>
      </c>
      <c r="DG83" s="365">
        <f>IF($M82="Abandono",$Z83,0)</f>
        <v>0</v>
      </c>
      <c r="DI83" s="58">
        <f>AB83*$B83</f>
        <v>0</v>
      </c>
      <c r="DJ83" s="58">
        <f>AC83*$B83</f>
        <v>0</v>
      </c>
      <c r="DK83" s="58">
        <f>AD83*$B83</f>
        <v>0</v>
      </c>
      <c r="DL83" s="58">
        <f>AE83*$B83</f>
        <v>0</v>
      </c>
      <c r="DM83" s="365">
        <f>AF83*$B83</f>
        <v>0</v>
      </c>
      <c r="DN83" s="365">
        <f>AI83*$C83</f>
        <v>0</v>
      </c>
      <c r="DO83" s="365">
        <f>AJ83*$C83</f>
        <v>0</v>
      </c>
      <c r="DP83" s="365">
        <f>AK83*$C83</f>
        <v>0</v>
      </c>
      <c r="DQ83" s="365">
        <f>AL83*$C83</f>
        <v>0</v>
      </c>
      <c r="DR83" s="365">
        <f>AM83*$C83</f>
        <v>0</v>
      </c>
      <c r="DS83" s="365">
        <f>AP83*$D83</f>
        <v>0</v>
      </c>
      <c r="DT83" s="365">
        <f>AQ83*$D83</f>
        <v>0</v>
      </c>
      <c r="DU83" s="365">
        <f>AR83*$D83</f>
        <v>0</v>
      </c>
      <c r="DV83" s="365">
        <f>AS83*$D83</f>
        <v>0</v>
      </c>
      <c r="DW83" s="365">
        <f>AT83*$D83</f>
        <v>0</v>
      </c>
      <c r="DX83" s="365">
        <f>AW83*$E83</f>
        <v>0</v>
      </c>
      <c r="DY83" s="365">
        <f>AX83*$E83</f>
        <v>0</v>
      </c>
      <c r="DZ83" s="365">
        <f>AY83*$E83</f>
        <v>0</v>
      </c>
      <c r="EA83" s="365">
        <f>AZ83*$E83</f>
        <v>0</v>
      </c>
      <c r="EB83" s="365">
        <f>BA83*$E83</f>
        <v>0</v>
      </c>
      <c r="EC83" s="365">
        <f>BD83*$F83</f>
        <v>0</v>
      </c>
      <c r="ED83" s="365">
        <f>BE83*$F83</f>
        <v>0</v>
      </c>
      <c r="EE83" s="365">
        <f>BF83*$F83</f>
        <v>0</v>
      </c>
      <c r="EF83" s="365">
        <f>BG83*$F83</f>
        <v>0</v>
      </c>
      <c r="EG83" s="365">
        <f>BH83*$F83</f>
        <v>0</v>
      </c>
      <c r="EH83" s="365">
        <f>BK83*$G83</f>
        <v>0</v>
      </c>
      <c r="EI83" s="365">
        <f>BL83*$G83</f>
        <v>0</v>
      </c>
      <c r="EJ83" s="365">
        <f>BM83*$G83</f>
        <v>0</v>
      </c>
      <c r="EK83" s="365">
        <f>BN83*$G83</f>
        <v>0</v>
      </c>
      <c r="EL83" s="365">
        <f>BO83*$G83</f>
        <v>0</v>
      </c>
      <c r="EM83" s="365">
        <f>BR83*$H83</f>
        <v>0</v>
      </c>
      <c r="EN83" s="365">
        <f>BS83*$H83</f>
        <v>0</v>
      </c>
      <c r="EO83" s="365">
        <f>BT83*$H83</f>
        <v>0</v>
      </c>
      <c r="EP83" s="365">
        <f>BU83*$H83</f>
        <v>0</v>
      </c>
      <c r="EQ83" s="365">
        <f>BV83*$H83</f>
        <v>0</v>
      </c>
      <c r="ER83" s="365">
        <f>BY83*$I83</f>
        <v>0</v>
      </c>
      <c r="ES83" s="365">
        <f>BZ83*$I83</f>
        <v>0</v>
      </c>
      <c r="ET83" s="365">
        <f>CA83*$I83</f>
        <v>0</v>
      </c>
      <c r="EU83" s="365">
        <f>CB83*$I83</f>
        <v>0</v>
      </c>
      <c r="EV83" s="365">
        <f>CC83*$I83</f>
        <v>0</v>
      </c>
      <c r="EW83" s="365">
        <f>CF83*$J83</f>
        <v>0</v>
      </c>
      <c r="EX83" s="365">
        <f>CG83*$J83</f>
        <v>0</v>
      </c>
      <c r="EY83" s="365">
        <f>CH83*$J83</f>
        <v>0</v>
      </c>
      <c r="EZ83" s="365">
        <f>CI83*$J83</f>
        <v>0</v>
      </c>
      <c r="FA83" s="365">
        <f>CJ83*$J83</f>
        <v>0</v>
      </c>
      <c r="FB83" s="365">
        <f>CM83*$K83</f>
        <v>0</v>
      </c>
      <c r="FC83" s="365">
        <f>CN83*$K83</f>
        <v>0</v>
      </c>
      <c r="FD83" s="365">
        <f>CO83*$K83</f>
        <v>0</v>
      </c>
      <c r="FE83" s="365">
        <f>CP83*$K83</f>
        <v>0</v>
      </c>
      <c r="FF83" s="365">
        <f>CQ83*$K83</f>
        <v>0</v>
      </c>
      <c r="FG83" s="365">
        <f>CT83*$L83</f>
        <v>0</v>
      </c>
      <c r="FH83" s="365">
        <f>CU83*$L83</f>
        <v>0</v>
      </c>
      <c r="FI83" s="365">
        <f>CV83*$L83</f>
        <v>0</v>
      </c>
      <c r="FJ83" s="365">
        <f>CW83*$L83</f>
        <v>0</v>
      </c>
      <c r="FK83" s="365">
        <f>CX83*$L83</f>
        <v>0</v>
      </c>
      <c r="FL83" s="365">
        <f>DA83*$M83</f>
        <v>0</v>
      </c>
      <c r="FM83" s="365">
        <f t="shared" ref="FM83" si="59">DB83*$M83</f>
        <v>0</v>
      </c>
      <c r="FN83" s="365">
        <f>DC83*$M83</f>
        <v>0</v>
      </c>
      <c r="FO83" s="365">
        <f t="shared" ref="FO83" si="60">DD83*$M83</f>
        <v>0</v>
      </c>
      <c r="FP83" s="365">
        <f t="shared" ref="FP83" si="61">DE83*$M83</f>
        <v>0</v>
      </c>
    </row>
    <row r="84" spans="1:172" ht="21" customHeight="1" x14ac:dyDescent="0.3">
      <c r="A84" s="277" t="s">
        <v>238</v>
      </c>
      <c r="B84" s="278">
        <f>SUM(DI83:DM83)/100</f>
        <v>0</v>
      </c>
      <c r="C84" s="278">
        <f>SUM(DN83:DQ83)/100</f>
        <v>0</v>
      </c>
      <c r="D84" s="279">
        <f>SUM(DS83:DW83)/100</f>
        <v>0</v>
      </c>
      <c r="E84" s="279">
        <f>SUM(DX83:EB83)/100</f>
        <v>0</v>
      </c>
      <c r="F84" s="279">
        <f>SUM(EC83:EG83)/100</f>
        <v>0</v>
      </c>
      <c r="G84" s="279">
        <f>SUM(EH83:EL83)/100</f>
        <v>0</v>
      </c>
      <c r="H84" s="279">
        <f>SUM(EM83:EQ83)/100</f>
        <v>0</v>
      </c>
      <c r="I84" s="279">
        <f>SUM(ER83:EV83)/100</f>
        <v>0</v>
      </c>
      <c r="J84" s="279">
        <f>SUM(EW83:FA83)/100</f>
        <v>0</v>
      </c>
      <c r="K84" s="279">
        <f>SUM(FB83:FF83)/100</f>
        <v>0</v>
      </c>
      <c r="L84" s="279">
        <f>SUM(FG83:FK83)/100</f>
        <v>0</v>
      </c>
      <c r="M84" s="279">
        <f>SUM(FL83:FP83)/100</f>
        <v>0</v>
      </c>
      <c r="AG84" s="365"/>
      <c r="AH84" s="365"/>
      <c r="AI84" s="365"/>
      <c r="AJ84" s="365"/>
      <c r="AK84" s="365"/>
      <c r="AL84" s="365"/>
      <c r="AM84" s="365"/>
      <c r="AN84" s="365"/>
      <c r="AO84" s="365"/>
      <c r="AP84" s="365"/>
      <c r="AQ84" s="365"/>
      <c r="AR84" s="365"/>
      <c r="AS84" s="365"/>
      <c r="AT84" s="365"/>
      <c r="AU84" s="365"/>
      <c r="AV84" s="365"/>
      <c r="AW84" s="365"/>
      <c r="AX84" s="365"/>
      <c r="AY84" s="365"/>
      <c r="AZ84" s="365"/>
      <c r="BA84" s="365"/>
      <c r="BB84" s="365"/>
      <c r="BC84" s="365"/>
      <c r="BD84" s="365"/>
      <c r="BE84" s="365"/>
      <c r="BF84" s="365"/>
      <c r="BG84" s="365"/>
      <c r="BH84" s="365"/>
      <c r="BI84" s="365"/>
      <c r="BJ84" s="365"/>
      <c r="BK84" s="365"/>
      <c r="BL84" s="365"/>
      <c r="BM84" s="365"/>
      <c r="BN84" s="365"/>
      <c r="BO84" s="365"/>
      <c r="BP84" s="365"/>
      <c r="BQ84" s="365"/>
      <c r="BR84" s="365"/>
      <c r="BS84" s="365"/>
      <c r="BT84" s="365"/>
      <c r="BU84" s="365"/>
      <c r="BV84" s="365"/>
      <c r="BW84" s="365"/>
      <c r="BX84" s="365"/>
      <c r="BY84" s="365"/>
      <c r="BZ84" s="365"/>
      <c r="CA84" s="365"/>
      <c r="CB84" s="365"/>
      <c r="CC84" s="365"/>
      <c r="CD84" s="365"/>
      <c r="CE84" s="365"/>
      <c r="CF84" s="365"/>
      <c r="CG84" s="365"/>
      <c r="CH84" s="365"/>
      <c r="CI84" s="365"/>
      <c r="CJ84" s="365"/>
      <c r="CK84" s="365"/>
      <c r="CL84" s="365"/>
      <c r="CM84" s="365"/>
      <c r="CN84" s="365"/>
      <c r="CO84" s="365"/>
      <c r="CP84" s="365"/>
      <c r="CQ84" s="365"/>
      <c r="CR84" s="365"/>
      <c r="CS84" s="365"/>
      <c r="CT84" s="365"/>
      <c r="CU84" s="365"/>
      <c r="CV84" s="365"/>
      <c r="CW84" s="365"/>
      <c r="CX84" s="365"/>
      <c r="CY84" s="365"/>
      <c r="CZ84" s="365"/>
      <c r="DA84" s="365"/>
      <c r="DB84" s="365"/>
      <c r="DC84" s="365"/>
      <c r="DD84" s="365"/>
      <c r="DE84" s="365"/>
      <c r="DF84" s="365"/>
      <c r="DG84" s="365"/>
      <c r="DM84" s="365"/>
      <c r="DN84" s="365"/>
      <c r="DO84" s="365"/>
      <c r="DP84" s="365"/>
      <c r="DQ84" s="365"/>
      <c r="DR84" s="365"/>
      <c r="DS84" s="365"/>
      <c r="DT84" s="365"/>
      <c r="DU84" s="365"/>
      <c r="DV84" s="365"/>
      <c r="DW84" s="365"/>
      <c r="DX84" s="365"/>
      <c r="DY84" s="365"/>
      <c r="DZ84" s="365"/>
      <c r="EA84" s="365"/>
      <c r="EB84" s="365"/>
      <c r="EC84" s="365"/>
      <c r="ED84" s="365"/>
      <c r="EE84" s="365"/>
      <c r="EF84" s="365"/>
      <c r="EG84" s="365"/>
      <c r="EH84" s="365"/>
      <c r="EI84" s="365"/>
      <c r="EJ84" s="365"/>
      <c r="EK84" s="365"/>
      <c r="EL84" s="365"/>
      <c r="EM84" s="365"/>
      <c r="EN84" s="365"/>
      <c r="EO84" s="365"/>
      <c r="EP84" s="365"/>
      <c r="EQ84" s="365"/>
      <c r="ER84" s="365"/>
      <c r="ES84" s="365"/>
      <c r="ET84" s="365"/>
      <c r="EU84" s="365"/>
      <c r="EV84" s="365"/>
      <c r="EW84" s="365"/>
      <c r="EX84" s="365"/>
      <c r="EY84" s="365"/>
      <c r="EZ84" s="365"/>
      <c r="FA84" s="365"/>
      <c r="FB84" s="365"/>
      <c r="FC84" s="365"/>
      <c r="FD84" s="365"/>
      <c r="FE84" s="365"/>
      <c r="FF84" s="365"/>
      <c r="FG84" s="365"/>
      <c r="FH84" s="365"/>
      <c r="FI84" s="365"/>
      <c r="FJ84" s="365"/>
      <c r="FK84" s="365"/>
      <c r="FL84" s="365"/>
      <c r="FM84" s="365"/>
      <c r="FN84" s="365"/>
      <c r="FO84" s="365"/>
      <c r="FP84" s="365"/>
    </row>
    <row r="85" spans="1:172" ht="21" customHeight="1" x14ac:dyDescent="0.3">
      <c r="A85" s="150" t="s">
        <v>239</v>
      </c>
      <c r="B85" s="149" t="e">
        <f>SUM(DI83:DM83)/100/Lote_20</f>
        <v>#DIV/0!</v>
      </c>
      <c r="C85" s="149" t="e">
        <f>SUM(DN83:DQ83)/100/Lote_20</f>
        <v>#DIV/0!</v>
      </c>
      <c r="D85" s="149" t="e">
        <f>SUM(DS83:DW83)/100/Lote_20</f>
        <v>#DIV/0!</v>
      </c>
      <c r="E85" s="149" t="e">
        <f>SUM(DX83:EB83)/100/Lote_20</f>
        <v>#DIV/0!</v>
      </c>
      <c r="F85" s="149" t="e">
        <f>SUM(EC83:EG83)/100/Lote_20</f>
        <v>#DIV/0!</v>
      </c>
      <c r="G85" s="149" t="e">
        <f>SUM(EH83:EL83)/100/Lote_20</f>
        <v>#DIV/0!</v>
      </c>
      <c r="H85" s="149" t="e">
        <f>SUM(EM83:EQ83)/100/Lote_20</f>
        <v>#DIV/0!</v>
      </c>
      <c r="I85" s="149" t="e">
        <f>SUM(ER83:EV83)/100/Lote_20</f>
        <v>#DIV/0!</v>
      </c>
      <c r="J85" s="149" t="e">
        <f>SUM(EW83:FA83)/100/Lote_20</f>
        <v>#DIV/0!</v>
      </c>
      <c r="K85" s="149" t="e">
        <f>SUM(FB83:FF83)/100/Lote_20</f>
        <v>#DIV/0!</v>
      </c>
      <c r="L85" s="149" t="e">
        <f>SUM(FG83:FK83)/100/Lote_20</f>
        <v>#DIV/0!</v>
      </c>
      <c r="M85" s="149" t="e">
        <f>SUM(FL83:FP83)/100/Lote_20</f>
        <v>#DIV/0!</v>
      </c>
    </row>
    <row r="86" spans="1:172" ht="21" customHeight="1" x14ac:dyDescent="0.3">
      <c r="A86" s="233">
        <f>N_L21</f>
        <v>0</v>
      </c>
      <c r="B86" s="363" t="s">
        <v>37</v>
      </c>
      <c r="C86" s="363" t="s">
        <v>37</v>
      </c>
      <c r="D86" s="363" t="s">
        <v>37</v>
      </c>
      <c r="E86" s="363" t="s">
        <v>37</v>
      </c>
      <c r="F86" s="363" t="s">
        <v>37</v>
      </c>
      <c r="G86" s="363" t="s">
        <v>37</v>
      </c>
      <c r="H86" s="363" t="s">
        <v>37</v>
      </c>
      <c r="I86" s="363" t="s">
        <v>37</v>
      </c>
      <c r="J86" s="363" t="s">
        <v>37</v>
      </c>
      <c r="K86" s="363" t="s">
        <v>37</v>
      </c>
      <c r="L86" s="363" t="s">
        <v>37</v>
      </c>
      <c r="M86" s="363" t="s">
        <v>37</v>
      </c>
    </row>
    <row r="87" spans="1:172" ht="21" customHeight="1" x14ac:dyDescent="0.3">
      <c r="A87" s="4" t="s">
        <v>237</v>
      </c>
      <c r="B87" s="7"/>
      <c r="C87" s="275"/>
      <c r="D87" s="275"/>
      <c r="E87" s="275"/>
      <c r="F87" s="275"/>
      <c r="G87" s="275"/>
      <c r="H87" s="275"/>
      <c r="I87" s="275"/>
      <c r="J87" s="275"/>
      <c r="K87" s="275"/>
      <c r="L87" s="275"/>
      <c r="M87" s="275"/>
      <c r="O87" s="58">
        <f>Área_L21*D_L21*A1_L21</f>
        <v>0</v>
      </c>
      <c r="P87" s="58">
        <f>Área_L21*D_L21*A2_L21</f>
        <v>0</v>
      </c>
      <c r="Q87" s="58">
        <f>Área_L21*D_L21*A3_L21</f>
        <v>0</v>
      </c>
      <c r="R87" s="58">
        <f>Área_L21*D_L21*A4_L21</f>
        <v>0</v>
      </c>
      <c r="S87" s="58">
        <f>Área_L21*D_L21*A5_L21</f>
        <v>0</v>
      </c>
      <c r="T87" s="58">
        <f>Área_L21*D_L21*A6_L21</f>
        <v>0</v>
      </c>
      <c r="U87" s="58">
        <f>Área_L21*D_L21*A7_L21</f>
        <v>0</v>
      </c>
      <c r="V87" s="58">
        <f>Área_L21*D_L21*A8_L21</f>
        <v>0</v>
      </c>
      <c r="W87" s="58">
        <f>Área_L21*D_L21*A9_L21</f>
        <v>0</v>
      </c>
      <c r="X87" s="58">
        <f>Área_L21*D_L21*A10_L21</f>
        <v>0</v>
      </c>
      <c r="Y87" s="58">
        <f>Área_L21*D_L21*A11_L21</f>
        <v>0</v>
      </c>
      <c r="Z87" s="58">
        <f>Área_L21*D_L21*A12_L21</f>
        <v>0</v>
      </c>
      <c r="AB87" s="58">
        <f>IF($B86="Producción",IF($B87&gt;=LI_A,$O87,0),0)</f>
        <v>0</v>
      </c>
      <c r="AC87" s="58">
        <f>IF($B86="Producción",IF($B87&gt;=LI_B,IF($B87&lt;LS_B,$O87,0),0),0)</f>
        <v>0</v>
      </c>
      <c r="AD87" s="58">
        <f>IF($B86="Producción",IF($B87&gt;=LI_C,IF($B87&lt;LS_C,$O87,0),0),0)</f>
        <v>0</v>
      </c>
      <c r="AE87" s="58">
        <f>IF($B86="Producción",IF($B87&lt;=LS_D,$O87,0),0)</f>
        <v>0</v>
      </c>
      <c r="AF87" s="365">
        <f>IF($B86="Crecimiento",$O87,0)</f>
        <v>0</v>
      </c>
      <c r="AG87" s="365">
        <f>IF($B86="Siembra",$O87,0)</f>
        <v>0</v>
      </c>
      <c r="AH87" s="365">
        <f>IF($B86="Abandono",$O87,0)</f>
        <v>0</v>
      </c>
      <c r="AI87" s="365">
        <f>IF($C86="Producción",IF($C87&gt;=LI_A,$P87,0),0)</f>
        <v>0</v>
      </c>
      <c r="AJ87" s="365">
        <f>IF($C86="Producción",IF($C87&gt;=LI_B,IF($C87&lt;LS_B,$P87,0),0),0)</f>
        <v>0</v>
      </c>
      <c r="AK87" s="365">
        <f>IF($C86="Producción",IF($C87&gt;=LI_C,IF($C87&lt;LS_C,$P87,0),0),0)</f>
        <v>0</v>
      </c>
      <c r="AL87" s="365">
        <f>IF($C86="Producción",IF(C87&lt;=LS_D,$P87,0),0)</f>
        <v>0</v>
      </c>
      <c r="AM87" s="365">
        <f>IF($C86="Crecimiento",$P87,0)</f>
        <v>0</v>
      </c>
      <c r="AN87" s="365">
        <f>IF($C86="Siembra",$P87,0)</f>
        <v>0</v>
      </c>
      <c r="AO87" s="365">
        <f>IF($C86="Abandono",$P87,0)</f>
        <v>0</v>
      </c>
      <c r="AP87" s="365">
        <f>IF($D86="Producción",IF($D87&gt;=LI_A,$Q87,0),0)</f>
        <v>0</v>
      </c>
      <c r="AQ87" s="365">
        <f>IF($D86="Producción",IF($D87&gt;=LI_B,IF($D87&lt;LS_B,$Q87,0),0),0)</f>
        <v>0</v>
      </c>
      <c r="AR87" s="365">
        <f>IF($D86="Producción",IF($D87&gt;=LI_C,IF($D87&lt;LS_C,$Q87,0),0),0)</f>
        <v>0</v>
      </c>
      <c r="AS87" s="365">
        <f>IF($D86="Producción",IF($D87&lt;=LS_D,$Q87,0),0)</f>
        <v>0</v>
      </c>
      <c r="AT87" s="365">
        <f>IF($D86="Crecimiento",$Q87,0)</f>
        <v>0</v>
      </c>
      <c r="AU87" s="365">
        <f>IF($D86="Siembra",$Q87,0)</f>
        <v>0</v>
      </c>
      <c r="AV87" s="365">
        <f>IF($D86="Abandono",$Q87,0)</f>
        <v>0</v>
      </c>
      <c r="AW87" s="365">
        <f>IF($E86="Producción",IF($E87&gt;=LI_A,$R87,0),0)</f>
        <v>0</v>
      </c>
      <c r="AX87" s="365">
        <f>IF($E86="Producción",IF($E87&gt;=LI_B,IF($E87&lt;LS_B,$R87,0),0),0)</f>
        <v>0</v>
      </c>
      <c r="AY87" s="365">
        <f>IF($E86="Producción",IF($E87&gt;=LI_C,IF($E87&lt;LS_C,$R87,0),0),0)</f>
        <v>0</v>
      </c>
      <c r="AZ87" s="365">
        <f>IF($E86="Producción",IF($E87&lt;=LS_D,$R87,0),0)</f>
        <v>0</v>
      </c>
      <c r="BA87" s="365">
        <f>IF($E86="Crecimiento",$R87,0)</f>
        <v>0</v>
      </c>
      <c r="BB87" s="365">
        <f>IF($E86="Siembra",$R87,0)</f>
        <v>0</v>
      </c>
      <c r="BC87" s="365">
        <f>IF($E86="Abandono",$R87,0)</f>
        <v>0</v>
      </c>
      <c r="BD87" s="365">
        <f>IF($F86="Producción",IF($F87&gt;=LI_A,$S87,0),0)</f>
        <v>0</v>
      </c>
      <c r="BE87" s="365">
        <f>IF($F86="Producción",IF($F87&gt;=LI_B,IF($F87&lt;LS_B,$S87,0),0),0)</f>
        <v>0</v>
      </c>
      <c r="BF87" s="365">
        <f>IF($F86="Producción",IF($F87&gt;=LI_C,IF($F87&lt;LS_C,$S87,0),0),0)</f>
        <v>0</v>
      </c>
      <c r="BG87" s="365">
        <f>IF($F86="Producción",IF($F87&lt;=LS_D,$S87,0),0)</f>
        <v>0</v>
      </c>
      <c r="BH87" s="365">
        <f>IF($F86="Crecimiento",$S87,0)</f>
        <v>0</v>
      </c>
      <c r="BI87" s="365">
        <f>IF($F86="Siembra",$S87,0)</f>
        <v>0</v>
      </c>
      <c r="BJ87" s="365">
        <f>IF($F86="Abandono",$S87,0)</f>
        <v>0</v>
      </c>
      <c r="BK87" s="365">
        <f>IF($G86="Producción",IF($G87&gt;=LI_A,$T87,0),0)</f>
        <v>0</v>
      </c>
      <c r="BL87" s="365">
        <f>IF($G86="Producción",IF($G87&gt;=LI_B,IF($G87&lt;LS_B,$T87,0),0),0)</f>
        <v>0</v>
      </c>
      <c r="BM87" s="365">
        <f>IF($G86="Producción",IF($G87&gt;=LI_C,IF($G87&lt;LS_C,$T87,0),0),0)</f>
        <v>0</v>
      </c>
      <c r="BN87" s="365">
        <f>IF($G86="Producción",IF($G87&lt;=LS_D,$T87,0),0)</f>
        <v>0</v>
      </c>
      <c r="BO87" s="365">
        <f>IF($G86="Crecimiento",$T87,0)</f>
        <v>0</v>
      </c>
      <c r="BP87" s="365">
        <f>IF($G86="Siembra",$T87,0)</f>
        <v>0</v>
      </c>
      <c r="BQ87" s="365">
        <f>IF($G86="Abandono",$T87,0)</f>
        <v>0</v>
      </c>
      <c r="BR87" s="365">
        <f>IF($H86="Producción",IF($H87&gt;=LI_A,$U87,0),0)</f>
        <v>0</v>
      </c>
      <c r="BS87" s="365">
        <f>IF($H86="Producción",IF($H87&gt;=LI_B,IF($H87&lt;LS_B,$U87,0),0),0)</f>
        <v>0</v>
      </c>
      <c r="BT87" s="365">
        <f>IF($H86="Producción",IF($H87&gt;=LI_C,IF($H87&lt;LS_C,$U87,0),0),0)</f>
        <v>0</v>
      </c>
      <c r="BU87" s="365">
        <f>IF($H86="Producción",IF($H87&lt;=LS_D,$U87,0),0)</f>
        <v>0</v>
      </c>
      <c r="BV87" s="365">
        <f>IF($H86="Crecimiento",$U87,0)</f>
        <v>0</v>
      </c>
      <c r="BW87" s="365">
        <f>IF($H86="Siembra",$U87,0)</f>
        <v>0</v>
      </c>
      <c r="BX87" s="365">
        <f>IF($H86="Abandono",$U87,0)</f>
        <v>0</v>
      </c>
      <c r="BY87" s="365">
        <f>IF($I86="Producción",IF($I87&gt;=LI_A,$V87,0),0)</f>
        <v>0</v>
      </c>
      <c r="BZ87" s="365">
        <f>IF($I86="Producción",IF($I87&gt;=LI_B,IF($I87&lt;LS_B,$V87,0),0),0)</f>
        <v>0</v>
      </c>
      <c r="CA87" s="365">
        <f>IF($I86="Producción",IF($I87&gt;=LI_C,IF($I87&lt;LS_C,$V87,0),0),0)</f>
        <v>0</v>
      </c>
      <c r="CB87" s="365">
        <f>IF($I86="Producción",IF($I87&lt;=LS_D,$V87,0),0)</f>
        <v>0</v>
      </c>
      <c r="CC87" s="365">
        <f>IF($I86="Crecimiento",$V87,0)</f>
        <v>0</v>
      </c>
      <c r="CD87" s="365">
        <f>IF($I86="Siembra",$V87,0)</f>
        <v>0</v>
      </c>
      <c r="CE87" s="365">
        <f>IF($I86="Abandono",$V87,0)</f>
        <v>0</v>
      </c>
      <c r="CF87" s="365">
        <f>IF($J86="Producción",IF($J87&gt;=LI_A,$W87,0),0)</f>
        <v>0</v>
      </c>
      <c r="CG87" s="365">
        <f>IF($J86="Producción",IF($J87&gt;=LI_B,IF($J87&lt;LS_B,$W87,0),0),0)</f>
        <v>0</v>
      </c>
      <c r="CH87" s="365">
        <f>IF($J86="Producción",IF($J87&gt;=LI_C,IF($J87&lt;LS_C,$W87,0),0),0)</f>
        <v>0</v>
      </c>
      <c r="CI87" s="365">
        <f>IF($J86="Producción",IF($J87&lt;=LS_D,$W87,0),0)</f>
        <v>0</v>
      </c>
      <c r="CJ87" s="365">
        <f>IF($J86="Crecimiento",$W87,0)</f>
        <v>0</v>
      </c>
      <c r="CK87" s="365">
        <f>IF($J86="Siembra",$W87,0)</f>
        <v>0</v>
      </c>
      <c r="CL87" s="365">
        <f>IF($J86="Abandono",$W87,0)</f>
        <v>0</v>
      </c>
      <c r="CM87" s="365">
        <f>IF($K86="Producción",IF($K87&gt;=LI_A,$X87,0),0)</f>
        <v>0</v>
      </c>
      <c r="CN87" s="365">
        <f>IF($K86="Producción",IF($K87&gt;=LI_B,IF($K87&lt;LS_B,$X87,0),0),0)</f>
        <v>0</v>
      </c>
      <c r="CO87" s="365">
        <f>IF($K86="Producción",IF($K87&gt;=LI_C,IF($K87&lt;LS_C,$X87,0),0),0)</f>
        <v>0</v>
      </c>
      <c r="CP87" s="365">
        <f>IF($K86="Producción",IF($K87&lt;=LS_D,$X87,0),0)</f>
        <v>0</v>
      </c>
      <c r="CQ87" s="365">
        <f>IF($K86="Crecimiento",IF($K87&gt;0,$X87,0),0)</f>
        <v>0</v>
      </c>
      <c r="CR87" s="365">
        <f>IF($K86="Siembra",IF($K87&gt;0,$X87,0),0)</f>
        <v>0</v>
      </c>
      <c r="CS87" s="365">
        <f>IF($K86="Abandono",IF($K87&gt;0,$X87,0),0)</f>
        <v>0</v>
      </c>
      <c r="CT87" s="365">
        <f>IF($L86="Producción",IF($L87&gt;=LI_A,$Y87,0),0)</f>
        <v>0</v>
      </c>
      <c r="CU87" s="365">
        <f>IF($L86="Producción",IF($L87&gt;=LI_B,IF($L87&lt;LS_B,$Y87,0),0),0)</f>
        <v>0</v>
      </c>
      <c r="CV87" s="365">
        <f>IF($L86="Producción",IF($L87&gt;=LI_C,IF($L87&lt;LS_C,$Y87,0),0),0)</f>
        <v>0</v>
      </c>
      <c r="CW87" s="365">
        <f>IF($L86="Producción",IF($L87&lt;=LS_D,$Y87,0),0)</f>
        <v>0</v>
      </c>
      <c r="CX87" s="365">
        <f>IF($L86="Crecimiento",$Y87,0)</f>
        <v>0</v>
      </c>
      <c r="CY87" s="365">
        <f>IF($L86="Siembra",$Y87,0)</f>
        <v>0</v>
      </c>
      <c r="CZ87" s="365">
        <f>IF($L86="Abandono",$Y87,0)</f>
        <v>0</v>
      </c>
      <c r="DA87" s="365">
        <f>IF($M86="Producción",IF($M87&gt;=LI_A,$Z87,0),0)</f>
        <v>0</v>
      </c>
      <c r="DB87" s="365">
        <f>IF($M86="Producción",IF($M87&gt;=LI_B,IF($M87&lt;LS_B,$Z87,0),0),0)</f>
        <v>0</v>
      </c>
      <c r="DC87" s="365">
        <f>IF($M86="Producción",IF($M87&gt;=LI_C,IF($M87&lt;LS_C,$Z87,0),0),0)</f>
        <v>0</v>
      </c>
      <c r="DD87" s="365">
        <f>IF($M86="Producción",IF($M87&lt;=LS_D,$Z87,0),0)</f>
        <v>0</v>
      </c>
      <c r="DE87" s="365">
        <f>IF($M86="Crecimiento",$Z87,0)</f>
        <v>0</v>
      </c>
      <c r="DF87" s="365">
        <f>IF($M86="Siembra",$Z87,0)</f>
        <v>0</v>
      </c>
      <c r="DG87" s="365">
        <f>IF($M86="Abandono",$Z87,0)</f>
        <v>0</v>
      </c>
      <c r="DI87" s="58">
        <f>AB87*$B87</f>
        <v>0</v>
      </c>
      <c r="DJ87" s="58">
        <f>AC87*$B87</f>
        <v>0</v>
      </c>
      <c r="DK87" s="58">
        <f>AD87*$B87</f>
        <v>0</v>
      </c>
      <c r="DL87" s="58">
        <f>AE87*$B87</f>
        <v>0</v>
      </c>
      <c r="DM87" s="365">
        <f>AF87*$B87</f>
        <v>0</v>
      </c>
      <c r="DN87" s="365">
        <f>AI87*$C87</f>
        <v>0</v>
      </c>
      <c r="DO87" s="365">
        <f>AJ87*$C87</f>
        <v>0</v>
      </c>
      <c r="DP87" s="365">
        <f>AK87*$C87</f>
        <v>0</v>
      </c>
      <c r="DQ87" s="365">
        <f>AL87*$C87</f>
        <v>0</v>
      </c>
      <c r="DR87" s="365">
        <f>AM87*$C87</f>
        <v>0</v>
      </c>
      <c r="DS87" s="365">
        <f>AP87*$D87</f>
        <v>0</v>
      </c>
      <c r="DT87" s="365">
        <f>AQ87*$D87</f>
        <v>0</v>
      </c>
      <c r="DU87" s="365">
        <f>AR87*$D87</f>
        <v>0</v>
      </c>
      <c r="DV87" s="365">
        <f>AS87*$D87</f>
        <v>0</v>
      </c>
      <c r="DW87" s="365">
        <f>AT87*$D87</f>
        <v>0</v>
      </c>
      <c r="DX87" s="365">
        <f>AW87*$E87</f>
        <v>0</v>
      </c>
      <c r="DY87" s="365">
        <f>AX87*$E87</f>
        <v>0</v>
      </c>
      <c r="DZ87" s="365">
        <f>AY87*$E87</f>
        <v>0</v>
      </c>
      <c r="EA87" s="365">
        <f>AZ87*$E87</f>
        <v>0</v>
      </c>
      <c r="EB87" s="365">
        <f>BA87*$E87</f>
        <v>0</v>
      </c>
      <c r="EC87" s="365">
        <f>BD87*$F87</f>
        <v>0</v>
      </c>
      <c r="ED87" s="365">
        <f>BE87*$F87</f>
        <v>0</v>
      </c>
      <c r="EE87" s="365">
        <f>BF87*$F87</f>
        <v>0</v>
      </c>
      <c r="EF87" s="365">
        <f>BG87*$F87</f>
        <v>0</v>
      </c>
      <c r="EG87" s="365">
        <f>BH87*$F87</f>
        <v>0</v>
      </c>
      <c r="EH87" s="365">
        <f>BK87*$G87</f>
        <v>0</v>
      </c>
      <c r="EI87" s="365">
        <f>BL87*$G87</f>
        <v>0</v>
      </c>
      <c r="EJ87" s="365">
        <f>BM87*$G87</f>
        <v>0</v>
      </c>
      <c r="EK87" s="365">
        <f>BN87*$G87</f>
        <v>0</v>
      </c>
      <c r="EL87" s="365">
        <f>BO87*$G87</f>
        <v>0</v>
      </c>
      <c r="EM87" s="365">
        <f>BR87*$H87</f>
        <v>0</v>
      </c>
      <c r="EN87" s="365">
        <f>BS87*$H87</f>
        <v>0</v>
      </c>
      <c r="EO87" s="365">
        <f>BT87*$H87</f>
        <v>0</v>
      </c>
      <c r="EP87" s="365">
        <f>BU87*$H87</f>
        <v>0</v>
      </c>
      <c r="EQ87" s="365">
        <f>BV87*$H87</f>
        <v>0</v>
      </c>
      <c r="ER87" s="365">
        <f>BY87*$I87</f>
        <v>0</v>
      </c>
      <c r="ES87" s="365">
        <f>BZ87*$I87</f>
        <v>0</v>
      </c>
      <c r="ET87" s="365">
        <f>CA87*$I87</f>
        <v>0</v>
      </c>
      <c r="EU87" s="365">
        <f>CB87*$I87</f>
        <v>0</v>
      </c>
      <c r="EV87" s="365">
        <f>CC87*$I87</f>
        <v>0</v>
      </c>
      <c r="EW87" s="365">
        <f>CF87*$J87</f>
        <v>0</v>
      </c>
      <c r="EX87" s="365">
        <f>CG87*$J87</f>
        <v>0</v>
      </c>
      <c r="EY87" s="365">
        <f>CH87*$J87</f>
        <v>0</v>
      </c>
      <c r="EZ87" s="365">
        <f>CI87*$J87</f>
        <v>0</v>
      </c>
      <c r="FA87" s="365">
        <f>CJ87*$J87</f>
        <v>0</v>
      </c>
      <c r="FB87" s="365">
        <f>CM87*$K87</f>
        <v>0</v>
      </c>
      <c r="FC87" s="365">
        <f>CN87*$K87</f>
        <v>0</v>
      </c>
      <c r="FD87" s="365">
        <f>CO87*$K87</f>
        <v>0</v>
      </c>
      <c r="FE87" s="365">
        <f>CP87*$K87</f>
        <v>0</v>
      </c>
      <c r="FF87" s="365">
        <f>CQ87*$K87</f>
        <v>0</v>
      </c>
      <c r="FG87" s="365">
        <f>CT87*$L87</f>
        <v>0</v>
      </c>
      <c r="FH87" s="365">
        <f>CU87*$L87</f>
        <v>0</v>
      </c>
      <c r="FI87" s="365">
        <f>CV87*$L87</f>
        <v>0</v>
      </c>
      <c r="FJ87" s="365">
        <f>CW87*$L87</f>
        <v>0</v>
      </c>
      <c r="FK87" s="365">
        <f>CX87*$L87</f>
        <v>0</v>
      </c>
      <c r="FL87" s="365">
        <f>DA87*$M87</f>
        <v>0</v>
      </c>
      <c r="FM87" s="365">
        <f t="shared" ref="FM87" si="62">DB87*$M87</f>
        <v>0</v>
      </c>
      <c r="FN87" s="365">
        <f>DC87*$M87</f>
        <v>0</v>
      </c>
      <c r="FO87" s="365">
        <f t="shared" ref="FO87" si="63">DD87*$M87</f>
        <v>0</v>
      </c>
      <c r="FP87" s="365">
        <f t="shared" ref="FP87" si="64">DE87*$M87</f>
        <v>0</v>
      </c>
    </row>
    <row r="88" spans="1:172" ht="21" customHeight="1" x14ac:dyDescent="0.3">
      <c r="A88" s="277" t="s">
        <v>238</v>
      </c>
      <c r="B88" s="278">
        <f>SUM(DI87:DM87)/100</f>
        <v>0</v>
      </c>
      <c r="C88" s="278">
        <f>SUM(DN87:DQ87)/100</f>
        <v>0</v>
      </c>
      <c r="D88" s="279">
        <f>SUM(DS87:DW87)/100</f>
        <v>0</v>
      </c>
      <c r="E88" s="279">
        <f>SUM(DX87:EB87)/100</f>
        <v>0</v>
      </c>
      <c r="F88" s="279">
        <f>SUM(EC87:EG87)/100</f>
        <v>0</v>
      </c>
      <c r="G88" s="279">
        <f>SUM(EH87:EL87)/100</f>
        <v>0</v>
      </c>
      <c r="H88" s="279">
        <f>SUM(EM87:EQ87)/100</f>
        <v>0</v>
      </c>
      <c r="I88" s="279">
        <f>SUM(ER87:EV87)/100</f>
        <v>0</v>
      </c>
      <c r="J88" s="279">
        <f>SUM(EW87:FA87)/100</f>
        <v>0</v>
      </c>
      <c r="K88" s="279">
        <f>SUM(FB87:FF87)/100</f>
        <v>0</v>
      </c>
      <c r="L88" s="279">
        <f>SUM(FG87:FK87)/100</f>
        <v>0</v>
      </c>
      <c r="M88" s="279">
        <f>SUM(FL87:FP87)/100</f>
        <v>0</v>
      </c>
      <c r="AG88" s="365"/>
      <c r="AH88" s="365"/>
      <c r="AI88" s="365"/>
      <c r="AJ88" s="365"/>
      <c r="AK88" s="365"/>
      <c r="AL88" s="365"/>
      <c r="AM88" s="365"/>
      <c r="AN88" s="365"/>
      <c r="AO88" s="365"/>
      <c r="AP88" s="365"/>
      <c r="AQ88" s="365"/>
      <c r="AR88" s="365"/>
      <c r="AS88" s="365"/>
      <c r="AT88" s="365"/>
      <c r="AU88" s="365"/>
      <c r="AV88" s="365"/>
      <c r="AW88" s="365"/>
      <c r="AX88" s="365"/>
      <c r="AY88" s="365"/>
      <c r="AZ88" s="365"/>
      <c r="BA88" s="365"/>
      <c r="BB88" s="365"/>
      <c r="BC88" s="365"/>
      <c r="BD88" s="365"/>
      <c r="BE88" s="365"/>
      <c r="BF88" s="365"/>
      <c r="BG88" s="365"/>
      <c r="BH88" s="365"/>
      <c r="BI88" s="365"/>
      <c r="BJ88" s="365"/>
      <c r="BK88" s="365"/>
      <c r="BL88" s="365"/>
      <c r="BM88" s="365"/>
      <c r="BN88" s="365"/>
      <c r="BO88" s="365"/>
      <c r="BP88" s="365"/>
      <c r="BQ88" s="365"/>
      <c r="BR88" s="365"/>
      <c r="BS88" s="365"/>
      <c r="BT88" s="365"/>
      <c r="BU88" s="365"/>
      <c r="BV88" s="365"/>
      <c r="BW88" s="365"/>
      <c r="BX88" s="365"/>
      <c r="BY88" s="365"/>
      <c r="BZ88" s="365"/>
      <c r="CA88" s="365"/>
      <c r="CB88" s="365"/>
      <c r="CC88" s="365"/>
      <c r="CD88" s="365"/>
      <c r="CE88" s="365"/>
      <c r="CF88" s="365"/>
      <c r="CG88" s="365"/>
      <c r="CH88" s="365"/>
      <c r="CI88" s="365"/>
      <c r="CJ88" s="365"/>
      <c r="CK88" s="365"/>
      <c r="CL88" s="365"/>
      <c r="CM88" s="365"/>
      <c r="CN88" s="365"/>
      <c r="CO88" s="365"/>
      <c r="CP88" s="365"/>
      <c r="CQ88" s="365"/>
      <c r="CR88" s="365"/>
      <c r="CS88" s="365"/>
      <c r="CT88" s="365"/>
      <c r="CU88" s="365"/>
      <c r="CV88" s="365"/>
      <c r="CW88" s="365"/>
      <c r="CX88" s="365"/>
      <c r="CY88" s="365"/>
      <c r="CZ88" s="365"/>
      <c r="DA88" s="365"/>
      <c r="DB88" s="365"/>
      <c r="DC88" s="365"/>
      <c r="DD88" s="365"/>
      <c r="DE88" s="365"/>
      <c r="DF88" s="365"/>
      <c r="DG88" s="365"/>
      <c r="DM88" s="365"/>
      <c r="DN88" s="365"/>
      <c r="DO88" s="365"/>
      <c r="DP88" s="365"/>
      <c r="DQ88" s="365"/>
      <c r="DR88" s="365"/>
      <c r="DS88" s="365"/>
      <c r="DT88" s="365"/>
      <c r="DU88" s="365"/>
      <c r="DV88" s="365"/>
      <c r="DW88" s="365"/>
      <c r="DX88" s="365"/>
      <c r="DY88" s="365"/>
      <c r="DZ88" s="365"/>
      <c r="EA88" s="365"/>
      <c r="EB88" s="365"/>
      <c r="EC88" s="365"/>
      <c r="ED88" s="365"/>
      <c r="EE88" s="365"/>
      <c r="EF88" s="365"/>
      <c r="EG88" s="365"/>
      <c r="EH88" s="365"/>
      <c r="EI88" s="365"/>
      <c r="EJ88" s="365"/>
      <c r="EK88" s="365"/>
      <c r="EL88" s="365"/>
      <c r="EM88" s="365"/>
      <c r="EN88" s="365"/>
      <c r="EO88" s="365"/>
      <c r="EP88" s="365"/>
      <c r="EQ88" s="365"/>
      <c r="ER88" s="365"/>
      <c r="ES88" s="365"/>
      <c r="ET88" s="365"/>
      <c r="EU88" s="365"/>
      <c r="EV88" s="365"/>
      <c r="EW88" s="365"/>
      <c r="EX88" s="365"/>
      <c r="EY88" s="365"/>
      <c r="EZ88" s="365"/>
      <c r="FA88" s="365"/>
      <c r="FB88" s="365"/>
      <c r="FC88" s="365"/>
      <c r="FD88" s="365"/>
      <c r="FE88" s="365"/>
      <c r="FF88" s="365"/>
      <c r="FG88" s="365"/>
      <c r="FH88" s="365"/>
      <c r="FI88" s="365"/>
      <c r="FJ88" s="365"/>
      <c r="FK88" s="365"/>
      <c r="FL88" s="365"/>
      <c r="FM88" s="365"/>
      <c r="FN88" s="365"/>
      <c r="FO88" s="365"/>
      <c r="FP88" s="365"/>
    </row>
    <row r="89" spans="1:172" ht="21" customHeight="1" x14ac:dyDescent="0.3">
      <c r="A89" s="150" t="s">
        <v>239</v>
      </c>
      <c r="B89" s="149" t="e">
        <f>SUM(DI87:DM87)/100/Lote_21</f>
        <v>#DIV/0!</v>
      </c>
      <c r="C89" s="149" t="e">
        <f>SUM(DN87:DQ87)/100/Lote_21</f>
        <v>#DIV/0!</v>
      </c>
      <c r="D89" s="149" t="e">
        <f>SUM(DS87:DW87)/100/Lote_21</f>
        <v>#DIV/0!</v>
      </c>
      <c r="E89" s="149" t="e">
        <f>SUM(DX87:EB87)/100/Lote_21</f>
        <v>#DIV/0!</v>
      </c>
      <c r="F89" s="149" t="e">
        <f>SUM(EC87:EG87)/100/Lote_21</f>
        <v>#DIV/0!</v>
      </c>
      <c r="G89" s="149" t="e">
        <f>SUM(EH87:EL87)/100/Lote_21</f>
        <v>#DIV/0!</v>
      </c>
      <c r="H89" s="149" t="e">
        <f>SUM(EM87:EQ87)/100/Lote_21</f>
        <v>#DIV/0!</v>
      </c>
      <c r="I89" s="149" t="e">
        <f>SUM(ER87:EV87)/100/Lote_21</f>
        <v>#DIV/0!</v>
      </c>
      <c r="J89" s="149" t="e">
        <f>SUM(EW87:FA87)/100/Lote_21</f>
        <v>#DIV/0!</v>
      </c>
      <c r="K89" s="149" t="e">
        <f>SUM(FB87:FF87)/100/Lote_21</f>
        <v>#DIV/0!</v>
      </c>
      <c r="L89" s="149" t="e">
        <f>SUM(FG87:FK87)/100/Lote_21</f>
        <v>#DIV/0!</v>
      </c>
      <c r="M89" s="149" t="e">
        <f>SUM(FL87:FP87)/100/Lote_21</f>
        <v>#DIV/0!</v>
      </c>
    </row>
    <row r="90" spans="1:172" ht="21" customHeight="1" x14ac:dyDescent="0.3">
      <c r="A90" s="233">
        <f>N_L22</f>
        <v>0</v>
      </c>
      <c r="B90" s="363" t="s">
        <v>37</v>
      </c>
      <c r="C90" s="363" t="s">
        <v>37</v>
      </c>
      <c r="D90" s="363" t="s">
        <v>37</v>
      </c>
      <c r="E90" s="363" t="s">
        <v>37</v>
      </c>
      <c r="F90" s="363" t="s">
        <v>37</v>
      </c>
      <c r="G90" s="363" t="s">
        <v>37</v>
      </c>
      <c r="H90" s="363" t="s">
        <v>37</v>
      </c>
      <c r="I90" s="363" t="s">
        <v>37</v>
      </c>
      <c r="J90" s="363" t="s">
        <v>37</v>
      </c>
      <c r="K90" s="363" t="s">
        <v>37</v>
      </c>
      <c r="L90" s="363" t="s">
        <v>37</v>
      </c>
      <c r="M90" s="363" t="s">
        <v>37</v>
      </c>
    </row>
    <row r="91" spans="1:172" ht="21" customHeight="1" x14ac:dyDescent="0.3">
      <c r="A91" s="4" t="s">
        <v>237</v>
      </c>
      <c r="B91" s="7"/>
      <c r="C91" s="275"/>
      <c r="D91" s="275"/>
      <c r="E91" s="275"/>
      <c r="F91" s="275"/>
      <c r="G91" s="275"/>
      <c r="H91" s="275"/>
      <c r="I91" s="275"/>
      <c r="J91" s="275"/>
      <c r="K91" s="275"/>
      <c r="L91" s="275"/>
      <c r="M91" s="275"/>
      <c r="O91" s="58">
        <f>Área_L22*D_L22*A1_L22</f>
        <v>0</v>
      </c>
      <c r="P91" s="58">
        <f>Área_L22*D_L22*A2_L22</f>
        <v>0</v>
      </c>
      <c r="Q91" s="58">
        <f>Área_L22*D_L22*A3_L22</f>
        <v>0</v>
      </c>
      <c r="R91" s="58">
        <f>Área_L22*D_L22*A4_L22</f>
        <v>0</v>
      </c>
      <c r="S91" s="58">
        <f>Área_L22*D_L22*A5_L22</f>
        <v>0</v>
      </c>
      <c r="T91" s="58">
        <f>Área_L22*D_L22*A6_L22</f>
        <v>0</v>
      </c>
      <c r="U91" s="58">
        <f>Área_L22*D_L22*A7_L22</f>
        <v>0</v>
      </c>
      <c r="V91" s="58">
        <f>Área_L22*D_L22*A8_L22</f>
        <v>0</v>
      </c>
      <c r="W91" s="58">
        <f>Área_L22*D_L22*A9_L22</f>
        <v>0</v>
      </c>
      <c r="X91" s="58">
        <f>Área_L22*D_L22*A10_L22</f>
        <v>0</v>
      </c>
      <c r="Y91" s="58">
        <f>Área_L22*D_L22*A11_L22</f>
        <v>0</v>
      </c>
      <c r="Z91" s="58">
        <f>Área_L22*D_L22*A12_L22</f>
        <v>0</v>
      </c>
      <c r="AB91" s="58">
        <f>IF($B90="Producción",IF($B91&gt;=LI_A,$O91,0),0)</f>
        <v>0</v>
      </c>
      <c r="AC91" s="58">
        <f>IF($B90="Producción",IF($B91&gt;=LI_B,IF($B91&lt;LS_B,$O91,0),0),0)</f>
        <v>0</v>
      </c>
      <c r="AD91" s="58">
        <f>IF($B90="Producción",IF($B91&gt;=LI_C,IF($B91&lt;LS_C,$O91,0),0),0)</f>
        <v>0</v>
      </c>
      <c r="AE91" s="58">
        <f>IF($B90="Producción",IF($B91&lt;=LS_D,$O91,0),0)</f>
        <v>0</v>
      </c>
      <c r="AF91" s="365">
        <f>IF($B90="Crecimiento",$O91,0)</f>
        <v>0</v>
      </c>
      <c r="AG91" s="365">
        <f>IF($B90="Siembra",$O91,0)</f>
        <v>0</v>
      </c>
      <c r="AH91" s="365">
        <f>IF($B90="Abandono",$O91,0)</f>
        <v>0</v>
      </c>
      <c r="AI91" s="365">
        <f>IF($C90="Producción",IF($C91&gt;=LI_A,$P91,0),0)</f>
        <v>0</v>
      </c>
      <c r="AJ91" s="365">
        <f>IF($C90="Producción",IF($C91&gt;=LI_B,IF($C91&lt;LS_B,$P91,0),0),0)</f>
        <v>0</v>
      </c>
      <c r="AK91" s="365">
        <f>IF($C90="Producción",IF($C91&gt;=LI_C,IF($C91&lt;LS_C,$P91,0),0),0)</f>
        <v>0</v>
      </c>
      <c r="AL91" s="365">
        <f>IF($C90="Producción",IF(C91&lt;=LS_D,$P91,0),0)</f>
        <v>0</v>
      </c>
      <c r="AM91" s="365">
        <f>IF($C90="Crecimiento",$P91,0)</f>
        <v>0</v>
      </c>
      <c r="AN91" s="365">
        <f>IF($C90="Siembra",$P91,0)</f>
        <v>0</v>
      </c>
      <c r="AO91" s="365">
        <f>IF($C90="Abandono",$P91,0)</f>
        <v>0</v>
      </c>
      <c r="AP91" s="365">
        <f>IF($D90="Producción",IF($D91&gt;=LI_A,$Q91,0),0)</f>
        <v>0</v>
      </c>
      <c r="AQ91" s="365">
        <f>IF($D90="Producción",IF($D91&gt;=LI_B,IF($D91&lt;LS_B,$Q91,0),0),0)</f>
        <v>0</v>
      </c>
      <c r="AR91" s="365">
        <f>IF($D90="Producción",IF($D91&gt;=LI_C,IF($D91&lt;LS_C,$Q91,0),0),0)</f>
        <v>0</v>
      </c>
      <c r="AS91" s="365">
        <f>IF($D90="Producción",IF($D91&lt;=LS_D,$Q91,0),0)</f>
        <v>0</v>
      </c>
      <c r="AT91" s="365">
        <f>IF($D90="Crecimiento",$Q91,0)</f>
        <v>0</v>
      </c>
      <c r="AU91" s="365">
        <f>IF($D90="Siembra",$Q91,0)</f>
        <v>0</v>
      </c>
      <c r="AV91" s="365">
        <f>IF($D90="Abandono",$Q91,0)</f>
        <v>0</v>
      </c>
      <c r="AW91" s="365">
        <f>IF($E90="Producción",IF($E91&gt;=LI_A,$R91,0),0)</f>
        <v>0</v>
      </c>
      <c r="AX91" s="365">
        <f>IF($E90="Producción",IF($E91&gt;=LI_B,IF($E91&lt;LS_B,$R91,0),0),0)</f>
        <v>0</v>
      </c>
      <c r="AY91" s="365">
        <f>IF($E90="Producción",IF($E91&gt;=LI_C,IF($E91&lt;LS_C,$R91,0),0),0)</f>
        <v>0</v>
      </c>
      <c r="AZ91" s="365">
        <f>IF($E90="Producción",IF($E91&lt;=LS_D,$R91,0),0)</f>
        <v>0</v>
      </c>
      <c r="BA91" s="365">
        <f>IF($E90="Crecimiento",$R91,0)</f>
        <v>0</v>
      </c>
      <c r="BB91" s="365">
        <f>IF($E90="Siembra",$R91,0)</f>
        <v>0</v>
      </c>
      <c r="BC91" s="365">
        <f>IF($E90="Abandono",$R91,0)</f>
        <v>0</v>
      </c>
      <c r="BD91" s="365">
        <f>IF($F90="Producción",IF($F91&gt;=LI_A,$S91,0),0)</f>
        <v>0</v>
      </c>
      <c r="BE91" s="365">
        <f>IF($F90="Producción",IF($F91&gt;=LI_B,IF($F91&lt;LS_B,$S91,0),0),0)</f>
        <v>0</v>
      </c>
      <c r="BF91" s="365">
        <f>IF($F90="Producción",IF($F91&gt;=LI_C,IF($F91&lt;LS_C,$S91,0),0),0)</f>
        <v>0</v>
      </c>
      <c r="BG91" s="365">
        <f>IF($F90="Producción",IF($F91&lt;=LS_D,$S91,0),0)</f>
        <v>0</v>
      </c>
      <c r="BH91" s="365">
        <f>IF($F90="Crecimiento",$S91,0)</f>
        <v>0</v>
      </c>
      <c r="BI91" s="365">
        <f>IF($F90="Siembra",$S91,0)</f>
        <v>0</v>
      </c>
      <c r="BJ91" s="365">
        <f>IF($F90="Abandono",$S91,0)</f>
        <v>0</v>
      </c>
      <c r="BK91" s="365">
        <f>IF($G90="Producción",IF($G91&gt;=LI_A,$T91,0),0)</f>
        <v>0</v>
      </c>
      <c r="BL91" s="365">
        <f>IF($G90="Producción",IF($G91&gt;=LI_B,IF($G91&lt;LS_B,$T91,0),0),0)</f>
        <v>0</v>
      </c>
      <c r="BM91" s="365">
        <f>IF($G90="Producción",IF($G91&gt;=LI_C,IF($G91&lt;LS_C,$T91,0),0),0)</f>
        <v>0</v>
      </c>
      <c r="BN91" s="365">
        <f>IF($G90="Producción",IF($G91&lt;=LS_D,$T91,0),0)</f>
        <v>0</v>
      </c>
      <c r="BO91" s="365">
        <f>IF($G90="Crecimiento",$T91,0)</f>
        <v>0</v>
      </c>
      <c r="BP91" s="365">
        <f>IF($G90="Siembra",$T91,0)</f>
        <v>0</v>
      </c>
      <c r="BQ91" s="365">
        <f>IF($G90="Abandono",$T91,0)</f>
        <v>0</v>
      </c>
      <c r="BR91" s="365">
        <f>IF($H90="Producción",IF($H91&gt;=LI_A,$U91,0),0)</f>
        <v>0</v>
      </c>
      <c r="BS91" s="365">
        <f>IF($H90="Producción",IF($H91&gt;=LI_B,IF($H91&lt;LS_B,$U91,0),0),0)</f>
        <v>0</v>
      </c>
      <c r="BT91" s="365">
        <f>IF($H90="Producción",IF($H91&gt;=LI_C,IF($H91&lt;LS_C,$U91,0),0),0)</f>
        <v>0</v>
      </c>
      <c r="BU91" s="365">
        <f>IF($H90="Producción",IF($H91&lt;=LS_D,$U91,0),0)</f>
        <v>0</v>
      </c>
      <c r="BV91" s="365">
        <f>IF($H90="Crecimiento",$U91,0)</f>
        <v>0</v>
      </c>
      <c r="BW91" s="365">
        <f>IF($H90="Siembra",$U91,0)</f>
        <v>0</v>
      </c>
      <c r="BX91" s="365">
        <f>IF($H90="Abandono",$U91,0)</f>
        <v>0</v>
      </c>
      <c r="BY91" s="365">
        <f>IF($I90="Producción",IF($I91&gt;=LI_A,$V91,0),0)</f>
        <v>0</v>
      </c>
      <c r="BZ91" s="365">
        <f>IF($I90="Producción",IF($I91&gt;=LI_B,IF($I91&lt;LS_B,$V91,0),0),0)</f>
        <v>0</v>
      </c>
      <c r="CA91" s="365">
        <f>IF($I90="Producción",IF($I91&gt;=LI_C,IF($I91&lt;LS_C,$V91,0),0),0)</f>
        <v>0</v>
      </c>
      <c r="CB91" s="365">
        <f>IF($I90="Producción",IF($I91&lt;=LS_D,$V91,0),0)</f>
        <v>0</v>
      </c>
      <c r="CC91" s="365">
        <f>IF($I90="Crecimiento",$V91,0)</f>
        <v>0</v>
      </c>
      <c r="CD91" s="365">
        <f>IF($I90="Siembra",$V91,0)</f>
        <v>0</v>
      </c>
      <c r="CE91" s="365">
        <f>IF($I90="Abandono",$V91,0)</f>
        <v>0</v>
      </c>
      <c r="CF91" s="365">
        <f>IF($J90="Producción",IF($J91&gt;=LI_A,$W91,0),0)</f>
        <v>0</v>
      </c>
      <c r="CG91" s="365">
        <f>IF($J90="Producción",IF($J91&gt;=LI_B,IF($J91&lt;LS_B,$W91,0),0),0)</f>
        <v>0</v>
      </c>
      <c r="CH91" s="365">
        <f>IF($J90="Producción",IF($J91&gt;=LI_C,IF($J91&lt;LS_C,$W91,0),0),0)</f>
        <v>0</v>
      </c>
      <c r="CI91" s="365">
        <f>IF($J90="Producción",IF($J91&lt;=LS_D,$W91,0),0)</f>
        <v>0</v>
      </c>
      <c r="CJ91" s="365">
        <f>IF($J90="Crecimiento",$W91,0)</f>
        <v>0</v>
      </c>
      <c r="CK91" s="365">
        <f>IF($J90="Siembra",$W91,0)</f>
        <v>0</v>
      </c>
      <c r="CL91" s="365">
        <f>IF($J90="Abandono",$W91,0)</f>
        <v>0</v>
      </c>
      <c r="CM91" s="365">
        <f>IF($K90="Producción",IF($K91&gt;=LI_A,$X91,0),0)</f>
        <v>0</v>
      </c>
      <c r="CN91" s="365">
        <f>IF($K90="Producción",IF($K91&gt;=LI_B,IF($K91&lt;LS_B,$X91,0),0),0)</f>
        <v>0</v>
      </c>
      <c r="CO91" s="365">
        <f>IF($K90="Producción",IF($K91&gt;=LI_C,IF($K91&lt;LS_C,$X91,0),0),0)</f>
        <v>0</v>
      </c>
      <c r="CP91" s="365">
        <f>IF($K90="Producción",IF($K91&lt;=LS_D,$X91,0),0)</f>
        <v>0</v>
      </c>
      <c r="CQ91" s="365">
        <f>IF($K90="Crecimiento",IF($K91&gt;0,$X91,0),0)</f>
        <v>0</v>
      </c>
      <c r="CR91" s="365">
        <f>IF($K90="Siembra",IF($K91&gt;0,$X91,0),0)</f>
        <v>0</v>
      </c>
      <c r="CS91" s="365">
        <f>IF($K90="Abandono",IF($K91&gt;0,$X91,0),0)</f>
        <v>0</v>
      </c>
      <c r="CT91" s="365">
        <f>IF($L90="Producción",IF($L91&gt;=LI_A,$Y91,0),0)</f>
        <v>0</v>
      </c>
      <c r="CU91" s="365">
        <f>IF($L90="Producción",IF($L91&gt;=LI_B,IF($L91&lt;LS_B,$Y91,0),0),0)</f>
        <v>0</v>
      </c>
      <c r="CV91" s="365">
        <f>IF($L90="Producción",IF($L91&gt;=LI_C,IF($L91&lt;LS_C,$Y91,0),0),0)</f>
        <v>0</v>
      </c>
      <c r="CW91" s="365">
        <f>IF($L90="Producción",IF($L91&lt;=LS_D,$Y91,0),0)</f>
        <v>0</v>
      </c>
      <c r="CX91" s="365">
        <f>IF($L90="Crecimiento",$Y91,0)</f>
        <v>0</v>
      </c>
      <c r="CY91" s="365">
        <f>IF($L90="Siembra",$Y91,0)</f>
        <v>0</v>
      </c>
      <c r="CZ91" s="365">
        <f>IF($L90="Abandono",$Y91,0)</f>
        <v>0</v>
      </c>
      <c r="DA91" s="365">
        <f>IF($M90="Producción",IF($M91&gt;=LI_A,$Z91,0),0)</f>
        <v>0</v>
      </c>
      <c r="DB91" s="365">
        <f>IF($M90="Producción",IF($M91&gt;=LI_B,IF($M91&lt;LS_B,$Z91,0),0),0)</f>
        <v>0</v>
      </c>
      <c r="DC91" s="365">
        <f>IF($M90="Producción",IF($M91&gt;=LI_C,IF($M91&lt;LS_C,$Z91,0),0),0)</f>
        <v>0</v>
      </c>
      <c r="DD91" s="365">
        <f>IF($M90="Producción",IF($M91&lt;=LS_D,$Z91,0),0)</f>
        <v>0</v>
      </c>
      <c r="DE91" s="365">
        <f>IF($M90="Crecimiento",$Z91,0)</f>
        <v>0</v>
      </c>
      <c r="DF91" s="365">
        <f>IF($M90="Siembra",$Z91,0)</f>
        <v>0</v>
      </c>
      <c r="DG91" s="365">
        <f>IF($M90="Abandono",$Z91,0)</f>
        <v>0</v>
      </c>
      <c r="DI91" s="58">
        <f>AB91*$B91</f>
        <v>0</v>
      </c>
      <c r="DJ91" s="58">
        <f>AC91*$B91</f>
        <v>0</v>
      </c>
      <c r="DK91" s="58">
        <f>AD91*$B91</f>
        <v>0</v>
      </c>
      <c r="DL91" s="58">
        <f>AE91*$B91</f>
        <v>0</v>
      </c>
      <c r="DM91" s="365">
        <f>AF91*$B91</f>
        <v>0</v>
      </c>
      <c r="DN91" s="365">
        <f>AI91*$C91</f>
        <v>0</v>
      </c>
      <c r="DO91" s="365">
        <f>AJ91*$C91</f>
        <v>0</v>
      </c>
      <c r="DP91" s="365">
        <f>AK91*$C91</f>
        <v>0</v>
      </c>
      <c r="DQ91" s="365">
        <f>AL91*$C91</f>
        <v>0</v>
      </c>
      <c r="DR91" s="365">
        <f>AM91*$C91</f>
        <v>0</v>
      </c>
      <c r="DS91" s="365">
        <f>AP91*$D91</f>
        <v>0</v>
      </c>
      <c r="DT91" s="365">
        <f>AQ91*$D91</f>
        <v>0</v>
      </c>
      <c r="DU91" s="365">
        <f>AR91*$D91</f>
        <v>0</v>
      </c>
      <c r="DV91" s="365">
        <f>AS91*$D91</f>
        <v>0</v>
      </c>
      <c r="DW91" s="365">
        <f>AT91*$D91</f>
        <v>0</v>
      </c>
      <c r="DX91" s="365">
        <f>AW91*$E91</f>
        <v>0</v>
      </c>
      <c r="DY91" s="365">
        <f>AX91*$E91</f>
        <v>0</v>
      </c>
      <c r="DZ91" s="365">
        <f>AY91*$E91</f>
        <v>0</v>
      </c>
      <c r="EA91" s="365">
        <f>AZ91*$E91</f>
        <v>0</v>
      </c>
      <c r="EB91" s="365">
        <f>BA91*$E91</f>
        <v>0</v>
      </c>
      <c r="EC91" s="365">
        <f>BD91*$F91</f>
        <v>0</v>
      </c>
      <c r="ED91" s="365">
        <f>BE91*$F91</f>
        <v>0</v>
      </c>
      <c r="EE91" s="365">
        <f>BF91*$F91</f>
        <v>0</v>
      </c>
      <c r="EF91" s="365">
        <f>BG91*$F91</f>
        <v>0</v>
      </c>
      <c r="EG91" s="365">
        <f>BH91*$F91</f>
        <v>0</v>
      </c>
      <c r="EH91" s="365">
        <f>BK91*$G91</f>
        <v>0</v>
      </c>
      <c r="EI91" s="365">
        <f>BL91*$G91</f>
        <v>0</v>
      </c>
      <c r="EJ91" s="365">
        <f>BM91*$G91</f>
        <v>0</v>
      </c>
      <c r="EK91" s="365">
        <f>BN91*$G91</f>
        <v>0</v>
      </c>
      <c r="EL91" s="365">
        <f>BO91*$G91</f>
        <v>0</v>
      </c>
      <c r="EM91" s="365">
        <f>BR91*$H91</f>
        <v>0</v>
      </c>
      <c r="EN91" s="365">
        <f>BS91*$H91</f>
        <v>0</v>
      </c>
      <c r="EO91" s="365">
        <f>BT91*$H91</f>
        <v>0</v>
      </c>
      <c r="EP91" s="365">
        <f>BU91*$H91</f>
        <v>0</v>
      </c>
      <c r="EQ91" s="365">
        <f>BV91*$H91</f>
        <v>0</v>
      </c>
      <c r="ER91" s="365">
        <f>BY91*$I91</f>
        <v>0</v>
      </c>
      <c r="ES91" s="365">
        <f>BZ91*$I91</f>
        <v>0</v>
      </c>
      <c r="ET91" s="365">
        <f>CA91*$I91</f>
        <v>0</v>
      </c>
      <c r="EU91" s="365">
        <f>CB91*$I91</f>
        <v>0</v>
      </c>
      <c r="EV91" s="365">
        <f>CC91*$I91</f>
        <v>0</v>
      </c>
      <c r="EW91" s="365">
        <f>CF91*$J91</f>
        <v>0</v>
      </c>
      <c r="EX91" s="365">
        <f>CG91*$J91</f>
        <v>0</v>
      </c>
      <c r="EY91" s="365">
        <f>CH91*$J91</f>
        <v>0</v>
      </c>
      <c r="EZ91" s="365">
        <f>CI91*$J91</f>
        <v>0</v>
      </c>
      <c r="FA91" s="365">
        <f>CJ91*$J91</f>
        <v>0</v>
      </c>
      <c r="FB91" s="365">
        <f>CM91*$K91</f>
        <v>0</v>
      </c>
      <c r="FC91" s="365">
        <f>CN91*$K91</f>
        <v>0</v>
      </c>
      <c r="FD91" s="365">
        <f>CO91*$K91</f>
        <v>0</v>
      </c>
      <c r="FE91" s="365">
        <f>CP91*$K91</f>
        <v>0</v>
      </c>
      <c r="FF91" s="365">
        <f>CQ91*$K91</f>
        <v>0</v>
      </c>
      <c r="FG91" s="365">
        <f>CT91*$L91</f>
        <v>0</v>
      </c>
      <c r="FH91" s="365">
        <f>CU91*$L91</f>
        <v>0</v>
      </c>
      <c r="FI91" s="365">
        <f>CV91*$L91</f>
        <v>0</v>
      </c>
      <c r="FJ91" s="365">
        <f>CW91*$L91</f>
        <v>0</v>
      </c>
      <c r="FK91" s="365">
        <f>CX91*$L91</f>
        <v>0</v>
      </c>
      <c r="FL91" s="365">
        <f>DA91*$M91</f>
        <v>0</v>
      </c>
      <c r="FM91" s="365">
        <f t="shared" ref="FM91" si="65">DB91*$M91</f>
        <v>0</v>
      </c>
      <c r="FN91" s="365">
        <f>DC91*$M91</f>
        <v>0</v>
      </c>
      <c r="FO91" s="365">
        <f t="shared" ref="FO91" si="66">DD91*$M91</f>
        <v>0</v>
      </c>
      <c r="FP91" s="365">
        <f t="shared" ref="FP91" si="67">DE91*$M91</f>
        <v>0</v>
      </c>
    </row>
    <row r="92" spans="1:172" ht="21" customHeight="1" x14ac:dyDescent="0.3">
      <c r="A92" s="277" t="s">
        <v>238</v>
      </c>
      <c r="B92" s="278">
        <f>SUM(DI91:DM91)/100</f>
        <v>0</v>
      </c>
      <c r="C92" s="278">
        <f>SUM(DN91:DQ91)/100</f>
        <v>0</v>
      </c>
      <c r="D92" s="279">
        <f>SUM(DS91:DW91)/100</f>
        <v>0</v>
      </c>
      <c r="E92" s="279">
        <f>SUM(DX91:EB91)/100</f>
        <v>0</v>
      </c>
      <c r="F92" s="279">
        <f>SUM(EC91:EG91)/100</f>
        <v>0</v>
      </c>
      <c r="G92" s="279">
        <f>SUM(EH91:EL91)/100</f>
        <v>0</v>
      </c>
      <c r="H92" s="279">
        <f>SUM(EM91:EQ91)/100</f>
        <v>0</v>
      </c>
      <c r="I92" s="279">
        <f>SUM(ER91:EV91)/100</f>
        <v>0</v>
      </c>
      <c r="J92" s="279">
        <f>SUM(EW91:FA91)/100</f>
        <v>0</v>
      </c>
      <c r="K92" s="279">
        <f>SUM(FB91:FF91)/100</f>
        <v>0</v>
      </c>
      <c r="L92" s="279">
        <f>SUM(FG91:FK91)/100</f>
        <v>0</v>
      </c>
      <c r="M92" s="279">
        <f>SUM(FL91:FP91)/100</f>
        <v>0</v>
      </c>
      <c r="AG92" s="365"/>
      <c r="AH92" s="365"/>
      <c r="AI92" s="365"/>
      <c r="AJ92" s="365"/>
      <c r="AK92" s="365"/>
      <c r="AL92" s="365"/>
      <c r="AM92" s="365"/>
      <c r="AN92" s="365"/>
      <c r="AO92" s="365"/>
      <c r="AP92" s="365"/>
      <c r="AQ92" s="365"/>
      <c r="AR92" s="365"/>
      <c r="AS92" s="365"/>
      <c r="AT92" s="365"/>
      <c r="AU92" s="365"/>
      <c r="AV92" s="365"/>
      <c r="AW92" s="365"/>
      <c r="AX92" s="365"/>
      <c r="AY92" s="365"/>
      <c r="AZ92" s="365"/>
      <c r="BA92" s="365"/>
      <c r="BB92" s="365"/>
      <c r="BC92" s="365"/>
      <c r="BD92" s="365"/>
      <c r="BE92" s="365"/>
      <c r="BF92" s="365"/>
      <c r="BG92" s="365"/>
      <c r="BH92" s="365"/>
      <c r="BI92" s="365"/>
      <c r="BJ92" s="365"/>
      <c r="BK92" s="365"/>
      <c r="BL92" s="365"/>
      <c r="BM92" s="365"/>
      <c r="BN92" s="365"/>
      <c r="BO92" s="365"/>
      <c r="BP92" s="365"/>
      <c r="BQ92" s="365"/>
      <c r="BR92" s="365"/>
      <c r="BS92" s="365"/>
      <c r="BT92" s="365"/>
      <c r="BU92" s="365"/>
      <c r="BV92" s="365"/>
      <c r="BW92" s="365"/>
      <c r="BX92" s="365"/>
      <c r="BY92" s="365"/>
      <c r="BZ92" s="365"/>
      <c r="CA92" s="365"/>
      <c r="CB92" s="365"/>
      <c r="CC92" s="365"/>
      <c r="CD92" s="365"/>
      <c r="CE92" s="365"/>
      <c r="CF92" s="365"/>
      <c r="CG92" s="365"/>
      <c r="CH92" s="365"/>
      <c r="CI92" s="365"/>
      <c r="CJ92" s="365"/>
      <c r="CK92" s="365"/>
      <c r="CL92" s="365"/>
      <c r="CM92" s="365"/>
      <c r="CN92" s="365"/>
      <c r="CO92" s="365"/>
      <c r="CP92" s="365"/>
      <c r="CQ92" s="365"/>
      <c r="CR92" s="365"/>
      <c r="CS92" s="365"/>
      <c r="CT92" s="365"/>
      <c r="CU92" s="365"/>
      <c r="CV92" s="365"/>
      <c r="CW92" s="365"/>
      <c r="CX92" s="365"/>
      <c r="CY92" s="365"/>
      <c r="CZ92" s="365"/>
      <c r="DA92" s="365"/>
      <c r="DB92" s="365"/>
      <c r="DC92" s="365"/>
      <c r="DD92" s="365"/>
      <c r="DE92" s="365"/>
      <c r="DF92" s="365"/>
      <c r="DG92" s="365"/>
      <c r="DM92" s="365"/>
      <c r="DN92" s="365"/>
      <c r="DO92" s="365"/>
      <c r="DP92" s="365"/>
      <c r="DQ92" s="365"/>
      <c r="DR92" s="365"/>
      <c r="DS92" s="365"/>
      <c r="DT92" s="365"/>
      <c r="DU92" s="365"/>
      <c r="DV92" s="365"/>
      <c r="DW92" s="365"/>
      <c r="DX92" s="365"/>
      <c r="DY92" s="365"/>
      <c r="DZ92" s="365"/>
      <c r="EA92" s="365"/>
      <c r="EB92" s="365"/>
      <c r="EC92" s="365"/>
      <c r="ED92" s="365"/>
      <c r="EE92" s="365"/>
      <c r="EF92" s="365"/>
      <c r="EG92" s="365"/>
      <c r="EH92" s="365"/>
      <c r="EI92" s="365"/>
      <c r="EJ92" s="365"/>
      <c r="EK92" s="365"/>
      <c r="EL92" s="365"/>
      <c r="EM92" s="365"/>
      <c r="EN92" s="365"/>
      <c r="EO92" s="365"/>
      <c r="EP92" s="365"/>
      <c r="EQ92" s="365"/>
      <c r="ER92" s="365"/>
      <c r="ES92" s="365"/>
      <c r="ET92" s="365"/>
      <c r="EU92" s="365"/>
      <c r="EV92" s="365"/>
      <c r="EW92" s="365"/>
      <c r="EX92" s="365"/>
      <c r="EY92" s="365"/>
      <c r="EZ92" s="365"/>
      <c r="FA92" s="365"/>
      <c r="FB92" s="365"/>
      <c r="FC92" s="365"/>
      <c r="FD92" s="365"/>
      <c r="FE92" s="365"/>
      <c r="FF92" s="365"/>
      <c r="FG92" s="365"/>
      <c r="FH92" s="365"/>
      <c r="FI92" s="365"/>
      <c r="FJ92" s="365"/>
      <c r="FK92" s="365"/>
      <c r="FL92" s="365"/>
      <c r="FM92" s="365"/>
      <c r="FN92" s="365"/>
      <c r="FO92" s="365"/>
      <c r="FP92" s="365"/>
    </row>
    <row r="93" spans="1:172" ht="21" customHeight="1" x14ac:dyDescent="0.3">
      <c r="A93" s="150" t="s">
        <v>239</v>
      </c>
      <c r="B93" s="149" t="e">
        <f>SUM(DI91:DM91)/100/Lote_22</f>
        <v>#DIV/0!</v>
      </c>
      <c r="C93" s="149" t="e">
        <f>SUM(DN91:DQ91)/100/Lote_22</f>
        <v>#DIV/0!</v>
      </c>
      <c r="D93" s="149" t="e">
        <f>SUM(DS91:DW91)/100/Lote_22</f>
        <v>#DIV/0!</v>
      </c>
      <c r="E93" s="149" t="e">
        <f>SUM(DX91:EB91)/100/Lote_22</f>
        <v>#DIV/0!</v>
      </c>
      <c r="F93" s="149" t="e">
        <f>SUM(EC91:EG91)/100/Lote_22</f>
        <v>#DIV/0!</v>
      </c>
      <c r="G93" s="149" t="e">
        <f>SUM(EH91:EL91)/100/Lote_22</f>
        <v>#DIV/0!</v>
      </c>
      <c r="H93" s="149" t="e">
        <f>SUM(EM91:EQ91)/100/Lote_22</f>
        <v>#DIV/0!</v>
      </c>
      <c r="I93" s="149" t="e">
        <f>SUM(ER91:EV91)/100/Lote_22</f>
        <v>#DIV/0!</v>
      </c>
      <c r="J93" s="149" t="e">
        <f>SUM(EW91:FA91)/100/Lote_22</f>
        <v>#DIV/0!</v>
      </c>
      <c r="K93" s="149" t="e">
        <f>SUM(FB91:FF91)/100/Lote_22</f>
        <v>#DIV/0!</v>
      </c>
      <c r="L93" s="149" t="e">
        <f>SUM(FG91:FK91)/100/Lote_22</f>
        <v>#DIV/0!</v>
      </c>
      <c r="M93" s="149" t="e">
        <f>SUM(FL91:FP91)/100/Lote_22</f>
        <v>#DIV/0!</v>
      </c>
    </row>
    <row r="94" spans="1:172" ht="21" customHeight="1" x14ac:dyDescent="0.3">
      <c r="A94" s="233">
        <f>N_L23</f>
        <v>0</v>
      </c>
      <c r="B94" s="363" t="s">
        <v>37</v>
      </c>
      <c r="C94" s="363" t="s">
        <v>37</v>
      </c>
      <c r="D94" s="363" t="s">
        <v>37</v>
      </c>
      <c r="E94" s="363" t="s">
        <v>37</v>
      </c>
      <c r="F94" s="363" t="s">
        <v>37</v>
      </c>
      <c r="G94" s="363" t="s">
        <v>37</v>
      </c>
      <c r="H94" s="363" t="s">
        <v>37</v>
      </c>
      <c r="I94" s="363" t="s">
        <v>37</v>
      </c>
      <c r="J94" s="363" t="s">
        <v>37</v>
      </c>
      <c r="K94" s="363" t="s">
        <v>37</v>
      </c>
      <c r="L94" s="363" t="s">
        <v>37</v>
      </c>
      <c r="M94" s="363" t="s">
        <v>37</v>
      </c>
    </row>
    <row r="95" spans="1:172" ht="21" customHeight="1" x14ac:dyDescent="0.3">
      <c r="A95" s="4" t="s">
        <v>237</v>
      </c>
      <c r="B95" s="7"/>
      <c r="C95" s="275"/>
      <c r="D95" s="275"/>
      <c r="E95" s="275"/>
      <c r="F95" s="275"/>
      <c r="G95" s="275"/>
      <c r="H95" s="275"/>
      <c r="I95" s="275"/>
      <c r="J95" s="275"/>
      <c r="K95" s="275"/>
      <c r="L95" s="275"/>
      <c r="M95" s="275"/>
      <c r="O95" s="58">
        <f>Área_L23*D_L23*A1_L23</f>
        <v>0</v>
      </c>
      <c r="P95" s="58">
        <f>Área_L23*D_L23*A2_L23</f>
        <v>0</v>
      </c>
      <c r="Q95" s="58">
        <f>Área_L23*D_L23*A3_L23</f>
        <v>0</v>
      </c>
      <c r="R95" s="58">
        <f>Área_L23*D_L23*A4_L23</f>
        <v>0</v>
      </c>
      <c r="S95" s="58">
        <f>Área_L23*D_L23*A5_L23</f>
        <v>0</v>
      </c>
      <c r="T95" s="58">
        <f>Área_L23*D_L23*A6_L23</f>
        <v>0</v>
      </c>
      <c r="U95" s="58">
        <f>Área_L23*D_L23*A7_L23</f>
        <v>0</v>
      </c>
      <c r="V95" s="58">
        <f>Área_L23*D_L23*A8_L23</f>
        <v>0</v>
      </c>
      <c r="W95" s="58">
        <f>Área_L23*D_L23*A9_L23</f>
        <v>0</v>
      </c>
      <c r="X95" s="58">
        <f>Área_L23*D_L23*A10_L23</f>
        <v>0</v>
      </c>
      <c r="Y95" s="58">
        <f>Área_L23*D_L23*A11_L23</f>
        <v>0</v>
      </c>
      <c r="Z95" s="58">
        <f>Área_L23*D_L23*A12_L23</f>
        <v>0</v>
      </c>
      <c r="AB95" s="58">
        <f>IF($B94="Producción",IF($B95&gt;=LI_A,$O95,0),0)</f>
        <v>0</v>
      </c>
      <c r="AC95" s="58">
        <f>IF($B94="Producción",IF($B95&gt;=LI_B,IF($B95&lt;LS_B,$O95,0),0),0)</f>
        <v>0</v>
      </c>
      <c r="AD95" s="58">
        <f>IF($B94="Producción",IF($B95&gt;=LI_C,IF($B95&lt;LS_C,$O95,0),0),0)</f>
        <v>0</v>
      </c>
      <c r="AE95" s="58">
        <f>IF($B94="Producción",IF($B95&lt;=LS_D,$O95,0),0)</f>
        <v>0</v>
      </c>
      <c r="AF95" s="365">
        <f>IF($B94="Crecimiento",$O95,0)</f>
        <v>0</v>
      </c>
      <c r="AG95" s="365">
        <f>IF($B94="Siembra",$O95,0)</f>
        <v>0</v>
      </c>
      <c r="AH95" s="365">
        <f>IF($B94="Abandono",$O95,0)</f>
        <v>0</v>
      </c>
      <c r="AI95" s="365">
        <f>IF($C94="Producción",IF($C95&gt;=LI_A,$P95,0),0)</f>
        <v>0</v>
      </c>
      <c r="AJ95" s="365">
        <f>IF($C94="Producción",IF($C95&gt;=LI_B,IF($C95&lt;LS_B,$P95,0),0),0)</f>
        <v>0</v>
      </c>
      <c r="AK95" s="365">
        <f>IF($C94="Producción",IF($C95&gt;=LI_C,IF($C95&lt;LS_C,$P95,0),0),0)</f>
        <v>0</v>
      </c>
      <c r="AL95" s="365">
        <f>IF($C94="Producción",IF(C95&lt;=LS_D,$P95,0),0)</f>
        <v>0</v>
      </c>
      <c r="AM95" s="365">
        <f>IF($C94="Crecimiento",$P95,0)</f>
        <v>0</v>
      </c>
      <c r="AN95" s="365">
        <f>IF($C94="Siembra",$P95,0)</f>
        <v>0</v>
      </c>
      <c r="AO95" s="365">
        <f>IF($C94="Abandono",$P95,0)</f>
        <v>0</v>
      </c>
      <c r="AP95" s="365">
        <f>IF($D94="Producción",IF($D95&gt;=LI_A,$Q95,0),0)</f>
        <v>0</v>
      </c>
      <c r="AQ95" s="365">
        <f>IF($D94="Producción",IF($D95&gt;=LI_B,IF($D95&lt;LS_B,$Q95,0),0),0)</f>
        <v>0</v>
      </c>
      <c r="AR95" s="365">
        <f>IF($D94="Producción",IF($D95&gt;=LI_C,IF($D95&lt;LS_C,$Q95,0),0),0)</f>
        <v>0</v>
      </c>
      <c r="AS95" s="365">
        <f>IF($D94="Producción",IF($D95&lt;=LS_D,$Q95,0),0)</f>
        <v>0</v>
      </c>
      <c r="AT95" s="365">
        <f>IF($D94="Crecimiento",$Q95,0)</f>
        <v>0</v>
      </c>
      <c r="AU95" s="365">
        <f>IF($D94="Siembra",$Q95,0)</f>
        <v>0</v>
      </c>
      <c r="AV95" s="365">
        <f>IF($D94="Abandono",$Q95,0)</f>
        <v>0</v>
      </c>
      <c r="AW95" s="365">
        <f>IF($E94="Producción",IF($E95&gt;=LI_A,$R95,0),0)</f>
        <v>0</v>
      </c>
      <c r="AX95" s="365">
        <f>IF($E94="Producción",IF($E95&gt;=LI_B,IF($E95&lt;LS_B,$R95,0),0),0)</f>
        <v>0</v>
      </c>
      <c r="AY95" s="365">
        <f>IF($E94="Producción",IF($E95&gt;=LI_C,IF($E95&lt;LS_C,$R95,0),0),0)</f>
        <v>0</v>
      </c>
      <c r="AZ95" s="365">
        <f>IF($E94="Producción",IF($E95&lt;=LS_D,$R95,0),0)</f>
        <v>0</v>
      </c>
      <c r="BA95" s="365">
        <f>IF($E94="Crecimiento",$R95,0)</f>
        <v>0</v>
      </c>
      <c r="BB95" s="365">
        <f>IF($E94="Siembra",$R95,0)</f>
        <v>0</v>
      </c>
      <c r="BC95" s="365">
        <f>IF($E94="Abandono",$R95,0)</f>
        <v>0</v>
      </c>
      <c r="BD95" s="365">
        <f>IF($F94="Producción",IF($F95&gt;=LI_A,$S95,0),0)</f>
        <v>0</v>
      </c>
      <c r="BE95" s="365">
        <f>IF($F94="Producción",IF($F95&gt;=LI_B,IF($F95&lt;LS_B,$S95,0),0),0)</f>
        <v>0</v>
      </c>
      <c r="BF95" s="365">
        <f>IF($F94="Producción",IF($F95&gt;=LI_C,IF($F95&lt;LS_C,$S95,0),0),0)</f>
        <v>0</v>
      </c>
      <c r="BG95" s="365">
        <f>IF($F94="Producción",IF($F95&lt;=LS_D,$S95,0),0)</f>
        <v>0</v>
      </c>
      <c r="BH95" s="365">
        <f>IF($F94="Crecimiento",$S95,0)</f>
        <v>0</v>
      </c>
      <c r="BI95" s="365">
        <f>IF($F94="Siembra",$S95,0)</f>
        <v>0</v>
      </c>
      <c r="BJ95" s="365">
        <f>IF($F94="Abandono",$S95,0)</f>
        <v>0</v>
      </c>
      <c r="BK95" s="365">
        <f>IF($G94="Producción",IF($G95&gt;=LI_A,$T95,0),0)</f>
        <v>0</v>
      </c>
      <c r="BL95" s="365">
        <f>IF($G94="Producción",IF($G95&gt;=LI_B,IF($G95&lt;LS_B,$T95,0),0),0)</f>
        <v>0</v>
      </c>
      <c r="BM95" s="365">
        <f>IF($G94="Producción",IF($G95&gt;=LI_C,IF($G95&lt;LS_C,$T95,0),0),0)</f>
        <v>0</v>
      </c>
      <c r="BN95" s="365">
        <f>IF($G94="Producción",IF($G95&lt;=LS_D,$T95,0),0)</f>
        <v>0</v>
      </c>
      <c r="BO95" s="365">
        <f>IF($G94="Crecimiento",$T95,0)</f>
        <v>0</v>
      </c>
      <c r="BP95" s="365">
        <f>IF($G94="Siembra",$T95,0)</f>
        <v>0</v>
      </c>
      <c r="BQ95" s="365">
        <f>IF($G94="Abandono",$T95,0)</f>
        <v>0</v>
      </c>
      <c r="BR95" s="365">
        <f>IF($H94="Producción",IF($H95&gt;=LI_A,$U95,0),0)</f>
        <v>0</v>
      </c>
      <c r="BS95" s="365">
        <f>IF($H94="Producción",IF($H95&gt;=LI_B,IF($H95&lt;LS_B,$U95,0),0),0)</f>
        <v>0</v>
      </c>
      <c r="BT95" s="365">
        <f>IF($H94="Producción",IF($H95&gt;=LI_C,IF($H95&lt;LS_C,$U95,0),0),0)</f>
        <v>0</v>
      </c>
      <c r="BU95" s="365">
        <f>IF($H94="Producción",IF($H95&lt;=LS_D,$U95,0),0)</f>
        <v>0</v>
      </c>
      <c r="BV95" s="365">
        <f>IF($H94="Crecimiento",$U95,0)</f>
        <v>0</v>
      </c>
      <c r="BW95" s="365">
        <f>IF($H94="Siembra",$U95,0)</f>
        <v>0</v>
      </c>
      <c r="BX95" s="365">
        <f>IF($H94="Abandono",$U95,0)</f>
        <v>0</v>
      </c>
      <c r="BY95" s="365">
        <f>IF($I94="Producción",IF($I95&gt;=LI_A,$V95,0),0)</f>
        <v>0</v>
      </c>
      <c r="BZ95" s="365">
        <f>IF($I94="Producción",IF($I95&gt;=LI_B,IF($I95&lt;LS_B,$V95,0),0),0)</f>
        <v>0</v>
      </c>
      <c r="CA95" s="365">
        <f>IF($I94="Producción",IF($I95&gt;=LI_C,IF($I95&lt;LS_C,$V95,0),0),0)</f>
        <v>0</v>
      </c>
      <c r="CB95" s="365">
        <f>IF($I94="Producción",IF($I95&lt;=LS_D,$V95,0),0)</f>
        <v>0</v>
      </c>
      <c r="CC95" s="365">
        <f>IF($I94="Crecimiento",$V95,0)</f>
        <v>0</v>
      </c>
      <c r="CD95" s="365">
        <f>IF($I94="Siembra",$V95,0)</f>
        <v>0</v>
      </c>
      <c r="CE95" s="365">
        <f>IF($I94="Abandono",$V95,0)</f>
        <v>0</v>
      </c>
      <c r="CF95" s="365">
        <f>IF($J94="Producción",IF($J95&gt;=LI_A,$W95,0),0)</f>
        <v>0</v>
      </c>
      <c r="CG95" s="365">
        <f>IF($J94="Producción",IF($J95&gt;=LI_B,IF($J95&lt;LS_B,$W95,0),0),0)</f>
        <v>0</v>
      </c>
      <c r="CH95" s="365">
        <f>IF($J94="Producción",IF($J95&gt;=LI_C,IF($J95&lt;LS_C,$W95,0),0),0)</f>
        <v>0</v>
      </c>
      <c r="CI95" s="365">
        <f>IF($J94="Producción",IF($J95&lt;=LS_D,$W95,0),0)</f>
        <v>0</v>
      </c>
      <c r="CJ95" s="365">
        <f>IF($J94="Crecimiento",$W95,0)</f>
        <v>0</v>
      </c>
      <c r="CK95" s="365">
        <f>IF($J94="Siembra",$W95,0)</f>
        <v>0</v>
      </c>
      <c r="CL95" s="365">
        <f>IF($J94="Abandono",$W95,0)</f>
        <v>0</v>
      </c>
      <c r="CM95" s="365">
        <f>IF($K94="Producción",IF($K95&gt;=LI_A,$X95,0),0)</f>
        <v>0</v>
      </c>
      <c r="CN95" s="365">
        <f>IF($K94="Producción",IF($K95&gt;=LI_B,IF($K95&lt;LS_B,$X95,0),0),0)</f>
        <v>0</v>
      </c>
      <c r="CO95" s="365">
        <f>IF($K94="Producción",IF($K95&gt;=LI_C,IF($K95&lt;LS_C,$X95,0),0),0)</f>
        <v>0</v>
      </c>
      <c r="CP95" s="365">
        <f>IF($K94="Producción",IF($K95&lt;=LS_D,$X95,0),0)</f>
        <v>0</v>
      </c>
      <c r="CQ95" s="365">
        <f>IF($K94="Crecimiento",IF($K95&gt;0,$X95,0),0)</f>
        <v>0</v>
      </c>
      <c r="CR95" s="365">
        <f>IF($K94="Siembra",IF($K95&gt;0,$X95,0),0)</f>
        <v>0</v>
      </c>
      <c r="CS95" s="365">
        <f>IF($K94="Abandono",IF($K95&gt;0,$X95,0),0)</f>
        <v>0</v>
      </c>
      <c r="CT95" s="365">
        <f>IF($L94="Producción",IF($L95&gt;=LI_A,$Y95,0),0)</f>
        <v>0</v>
      </c>
      <c r="CU95" s="365">
        <f>IF($L94="Producción",IF($L95&gt;=LI_B,IF($L95&lt;LS_B,$Y95,0),0),0)</f>
        <v>0</v>
      </c>
      <c r="CV95" s="365">
        <f>IF($L94="Producción",IF($L95&gt;=LI_C,IF($L95&lt;LS_C,$Y95,0),0),0)</f>
        <v>0</v>
      </c>
      <c r="CW95" s="365">
        <f>IF($L94="Producción",IF($L95&lt;=LS_D,$Y95,0),0)</f>
        <v>0</v>
      </c>
      <c r="CX95" s="365">
        <f>IF($L94="Crecimiento",$Y95,0)</f>
        <v>0</v>
      </c>
      <c r="CY95" s="365">
        <f>IF($L94="Siembra",$Y95,0)</f>
        <v>0</v>
      </c>
      <c r="CZ95" s="365">
        <f>IF($L94="Abandono",$Y95,0)</f>
        <v>0</v>
      </c>
      <c r="DA95" s="365">
        <f>IF($M94="Producción",IF($M95&gt;=LI_A,$Z95,0),0)</f>
        <v>0</v>
      </c>
      <c r="DB95" s="365">
        <f>IF($M94="Producción",IF($M95&gt;=LI_B,IF($M95&lt;LS_B,$Z95,0),0),0)</f>
        <v>0</v>
      </c>
      <c r="DC95" s="365">
        <f>IF($M94="Producción",IF($M95&gt;=LI_C,IF($M95&lt;LS_C,$Z95,0),0),0)</f>
        <v>0</v>
      </c>
      <c r="DD95" s="365">
        <f>IF($M94="Producción",IF($M95&lt;=LS_D,$Z95,0),0)</f>
        <v>0</v>
      </c>
      <c r="DE95" s="365">
        <f>IF($M94="Crecimiento",$Z95,0)</f>
        <v>0</v>
      </c>
      <c r="DF95" s="365">
        <f>IF($M94="Siembra",$Z95,0)</f>
        <v>0</v>
      </c>
      <c r="DG95" s="365">
        <f>IF($M94="Abandono",$Z95,0)</f>
        <v>0</v>
      </c>
      <c r="DI95" s="58">
        <f>AB95*$B95</f>
        <v>0</v>
      </c>
      <c r="DJ95" s="58">
        <f>AC95*$B95</f>
        <v>0</v>
      </c>
      <c r="DK95" s="58">
        <f>AD95*$B95</f>
        <v>0</v>
      </c>
      <c r="DL95" s="58">
        <f>AE95*$B95</f>
        <v>0</v>
      </c>
      <c r="DM95" s="365">
        <f>AF95*$B95</f>
        <v>0</v>
      </c>
      <c r="DN95" s="365">
        <f>AI95*$C95</f>
        <v>0</v>
      </c>
      <c r="DO95" s="365">
        <f>AJ95*$C95</f>
        <v>0</v>
      </c>
      <c r="DP95" s="365">
        <f>AK95*$C95</f>
        <v>0</v>
      </c>
      <c r="DQ95" s="365">
        <f>AL95*$C95</f>
        <v>0</v>
      </c>
      <c r="DR95" s="365">
        <f>AM95*$C95</f>
        <v>0</v>
      </c>
      <c r="DS95" s="365">
        <f>AP95*$D95</f>
        <v>0</v>
      </c>
      <c r="DT95" s="365">
        <f>AQ95*$D95</f>
        <v>0</v>
      </c>
      <c r="DU95" s="365">
        <f>AR95*$D95</f>
        <v>0</v>
      </c>
      <c r="DV95" s="365">
        <f>AS95*$D95</f>
        <v>0</v>
      </c>
      <c r="DW95" s="365">
        <f>AT95*$D95</f>
        <v>0</v>
      </c>
      <c r="DX95" s="365">
        <f>AW95*$E95</f>
        <v>0</v>
      </c>
      <c r="DY95" s="365">
        <f>AX95*$E95</f>
        <v>0</v>
      </c>
      <c r="DZ95" s="365">
        <f>AY95*$E95</f>
        <v>0</v>
      </c>
      <c r="EA95" s="365">
        <f>AZ95*$E95</f>
        <v>0</v>
      </c>
      <c r="EB95" s="365">
        <f>BA95*$E95</f>
        <v>0</v>
      </c>
      <c r="EC95" s="365">
        <f>BD95*$F95</f>
        <v>0</v>
      </c>
      <c r="ED95" s="365">
        <f>BE95*$F95</f>
        <v>0</v>
      </c>
      <c r="EE95" s="365">
        <f>BF95*$F95</f>
        <v>0</v>
      </c>
      <c r="EF95" s="365">
        <f>BG95*$F95</f>
        <v>0</v>
      </c>
      <c r="EG95" s="365">
        <f>BH95*$F95</f>
        <v>0</v>
      </c>
      <c r="EH95" s="365">
        <f>BK95*$G95</f>
        <v>0</v>
      </c>
      <c r="EI95" s="365">
        <f>BL95*$G95</f>
        <v>0</v>
      </c>
      <c r="EJ95" s="365">
        <f>BM95*$G95</f>
        <v>0</v>
      </c>
      <c r="EK95" s="365">
        <f>BN95*$G95</f>
        <v>0</v>
      </c>
      <c r="EL95" s="365">
        <f>BO95*$G95</f>
        <v>0</v>
      </c>
      <c r="EM95" s="365">
        <f>BR95*$H95</f>
        <v>0</v>
      </c>
      <c r="EN95" s="365">
        <f>BS95*$H95</f>
        <v>0</v>
      </c>
      <c r="EO95" s="365">
        <f>BT95*$H95</f>
        <v>0</v>
      </c>
      <c r="EP95" s="365">
        <f>BU95*$H95</f>
        <v>0</v>
      </c>
      <c r="EQ95" s="365">
        <f>BV95*$H95</f>
        <v>0</v>
      </c>
      <c r="ER95" s="365">
        <f>BY95*$I95</f>
        <v>0</v>
      </c>
      <c r="ES95" s="365">
        <f>BZ95*$I95</f>
        <v>0</v>
      </c>
      <c r="ET95" s="365">
        <f>CA95*$I95</f>
        <v>0</v>
      </c>
      <c r="EU95" s="365">
        <f>CB95*$I95</f>
        <v>0</v>
      </c>
      <c r="EV95" s="365">
        <f>CC95*$I95</f>
        <v>0</v>
      </c>
      <c r="EW95" s="365">
        <f>CF95*$J95</f>
        <v>0</v>
      </c>
      <c r="EX95" s="365">
        <f>CG95*$J95</f>
        <v>0</v>
      </c>
      <c r="EY95" s="365">
        <f>CH95*$J95</f>
        <v>0</v>
      </c>
      <c r="EZ95" s="365">
        <f>CI95*$J95</f>
        <v>0</v>
      </c>
      <c r="FA95" s="365">
        <f>CJ95*$J95</f>
        <v>0</v>
      </c>
      <c r="FB95" s="365">
        <f>CM95*$K95</f>
        <v>0</v>
      </c>
      <c r="FC95" s="365">
        <f>CN95*$K95</f>
        <v>0</v>
      </c>
      <c r="FD95" s="365">
        <f>CO95*$K95</f>
        <v>0</v>
      </c>
      <c r="FE95" s="365">
        <f>CP95*$K95</f>
        <v>0</v>
      </c>
      <c r="FF95" s="365">
        <f>CQ95*$K95</f>
        <v>0</v>
      </c>
      <c r="FG95" s="365">
        <f>CT95*$L95</f>
        <v>0</v>
      </c>
      <c r="FH95" s="365">
        <f>CU95*$L95</f>
        <v>0</v>
      </c>
      <c r="FI95" s="365">
        <f>CV95*$L95</f>
        <v>0</v>
      </c>
      <c r="FJ95" s="365">
        <f>CW95*$L95</f>
        <v>0</v>
      </c>
      <c r="FK95" s="365">
        <f>CX95*$L95</f>
        <v>0</v>
      </c>
      <c r="FL95" s="365">
        <f>DA95*$M95</f>
        <v>0</v>
      </c>
      <c r="FM95" s="365">
        <f t="shared" ref="FM95" si="68">DB95*$M95</f>
        <v>0</v>
      </c>
      <c r="FN95" s="365">
        <f>DC95*$M95</f>
        <v>0</v>
      </c>
      <c r="FO95" s="365">
        <f t="shared" ref="FO95" si="69">DD95*$M95</f>
        <v>0</v>
      </c>
      <c r="FP95" s="365">
        <f t="shared" ref="FP95" si="70">DE95*$M95</f>
        <v>0</v>
      </c>
    </row>
    <row r="96" spans="1:172" ht="21" customHeight="1" x14ac:dyDescent="0.3">
      <c r="A96" s="277" t="s">
        <v>238</v>
      </c>
      <c r="B96" s="278">
        <f>SUM(DI95:DM95)/100</f>
        <v>0</v>
      </c>
      <c r="C96" s="278">
        <f>SUM(DN95:DQ95)/100</f>
        <v>0</v>
      </c>
      <c r="D96" s="279">
        <f>SUM(DS95:DW95)/100</f>
        <v>0</v>
      </c>
      <c r="E96" s="279">
        <f>SUM(DX95:EB95)/100</f>
        <v>0</v>
      </c>
      <c r="F96" s="279">
        <f>SUM(EC95:EG95)/100</f>
        <v>0</v>
      </c>
      <c r="G96" s="279">
        <f>SUM(EH95:EL95)/100</f>
        <v>0</v>
      </c>
      <c r="H96" s="279">
        <f>SUM(EM95:EQ95)/100</f>
        <v>0</v>
      </c>
      <c r="I96" s="279">
        <f>SUM(ER95:EV95)/100</f>
        <v>0</v>
      </c>
      <c r="J96" s="279">
        <f>SUM(EW95:FA95)/100</f>
        <v>0</v>
      </c>
      <c r="K96" s="279">
        <f>SUM(FB95:FF95)/100</f>
        <v>0</v>
      </c>
      <c r="L96" s="279">
        <f>SUM(FG95:FK95)/100</f>
        <v>0</v>
      </c>
      <c r="M96" s="279">
        <f>SUM(FL95:FP95)/100</f>
        <v>0</v>
      </c>
      <c r="AG96" s="365"/>
      <c r="AH96" s="365"/>
      <c r="AI96" s="365"/>
      <c r="AJ96" s="365"/>
      <c r="AK96" s="365"/>
      <c r="AL96" s="365"/>
      <c r="AM96" s="365"/>
      <c r="AN96" s="365"/>
      <c r="AO96" s="365"/>
      <c r="AP96" s="365"/>
      <c r="AQ96" s="365"/>
      <c r="AR96" s="365"/>
      <c r="AS96" s="365"/>
      <c r="AT96" s="365"/>
      <c r="AU96" s="365"/>
      <c r="AV96" s="365"/>
      <c r="AW96" s="365"/>
      <c r="AX96" s="365"/>
      <c r="AY96" s="365"/>
      <c r="AZ96" s="365"/>
      <c r="BA96" s="365"/>
      <c r="BB96" s="365"/>
      <c r="BC96" s="365"/>
      <c r="BD96" s="365"/>
      <c r="BE96" s="365"/>
      <c r="BF96" s="365"/>
      <c r="BG96" s="365"/>
      <c r="BH96" s="365"/>
      <c r="BI96" s="365"/>
      <c r="BJ96" s="365"/>
      <c r="BK96" s="365"/>
      <c r="BL96" s="365"/>
      <c r="BM96" s="365"/>
      <c r="BN96" s="365"/>
      <c r="BO96" s="365"/>
      <c r="BP96" s="365"/>
      <c r="BQ96" s="365"/>
      <c r="BR96" s="365"/>
      <c r="BS96" s="365"/>
      <c r="BT96" s="365"/>
      <c r="BU96" s="365"/>
      <c r="BV96" s="365"/>
      <c r="BW96" s="365"/>
      <c r="BX96" s="365"/>
      <c r="BY96" s="365"/>
      <c r="BZ96" s="365"/>
      <c r="CA96" s="365"/>
      <c r="CB96" s="365"/>
      <c r="CC96" s="365"/>
      <c r="CD96" s="365"/>
      <c r="CE96" s="365"/>
      <c r="CF96" s="365"/>
      <c r="CG96" s="365"/>
      <c r="CH96" s="365"/>
      <c r="CI96" s="365"/>
      <c r="CJ96" s="365"/>
      <c r="CK96" s="365"/>
      <c r="CL96" s="365"/>
      <c r="CM96" s="365"/>
      <c r="CN96" s="365"/>
      <c r="CO96" s="365"/>
      <c r="CP96" s="365"/>
      <c r="CQ96" s="365"/>
      <c r="CR96" s="365"/>
      <c r="CS96" s="365"/>
      <c r="CT96" s="365"/>
      <c r="CU96" s="365"/>
      <c r="CV96" s="365"/>
      <c r="CW96" s="365"/>
      <c r="CX96" s="365"/>
      <c r="CY96" s="365"/>
      <c r="CZ96" s="365"/>
      <c r="DA96" s="365"/>
      <c r="DB96" s="365"/>
      <c r="DC96" s="365"/>
      <c r="DD96" s="365"/>
      <c r="DE96" s="365"/>
      <c r="DF96" s="365"/>
      <c r="DG96" s="365"/>
      <c r="DM96" s="365"/>
      <c r="DN96" s="365"/>
      <c r="DO96" s="365"/>
      <c r="DP96" s="365"/>
      <c r="DQ96" s="365"/>
      <c r="DR96" s="365"/>
      <c r="DS96" s="365"/>
      <c r="DT96" s="365"/>
      <c r="DU96" s="365"/>
      <c r="DV96" s="365"/>
      <c r="DW96" s="365"/>
      <c r="DX96" s="365"/>
      <c r="DY96" s="365"/>
      <c r="DZ96" s="365"/>
      <c r="EA96" s="365"/>
      <c r="EB96" s="365"/>
      <c r="EC96" s="365"/>
      <c r="ED96" s="365"/>
      <c r="EE96" s="365"/>
      <c r="EF96" s="365"/>
      <c r="EG96" s="365"/>
      <c r="EH96" s="365"/>
      <c r="EI96" s="365"/>
      <c r="EJ96" s="365"/>
      <c r="EK96" s="365"/>
      <c r="EL96" s="365"/>
      <c r="EM96" s="365"/>
      <c r="EN96" s="365"/>
      <c r="EO96" s="365"/>
      <c r="EP96" s="365"/>
      <c r="EQ96" s="365"/>
      <c r="ER96" s="365"/>
      <c r="ES96" s="365"/>
      <c r="ET96" s="365"/>
      <c r="EU96" s="365"/>
      <c r="EV96" s="365"/>
      <c r="EW96" s="365"/>
      <c r="EX96" s="365"/>
      <c r="EY96" s="365"/>
      <c r="EZ96" s="365"/>
      <c r="FA96" s="365"/>
      <c r="FB96" s="365"/>
      <c r="FC96" s="365"/>
      <c r="FD96" s="365"/>
      <c r="FE96" s="365"/>
      <c r="FF96" s="365"/>
      <c r="FG96" s="365"/>
      <c r="FH96" s="365"/>
      <c r="FI96" s="365"/>
      <c r="FJ96" s="365"/>
      <c r="FK96" s="365"/>
      <c r="FL96" s="365"/>
      <c r="FM96" s="365"/>
      <c r="FN96" s="365"/>
      <c r="FO96" s="365"/>
      <c r="FP96" s="365"/>
    </row>
    <row r="97" spans="1:172" ht="21" customHeight="1" x14ac:dyDescent="0.3">
      <c r="A97" s="150" t="s">
        <v>239</v>
      </c>
      <c r="B97" s="149" t="e">
        <f>SUM(DI95:DM95)/100/Lote_23</f>
        <v>#DIV/0!</v>
      </c>
      <c r="C97" s="149" t="e">
        <f>SUM(DN95:DQ95)/100/Lote_23</f>
        <v>#DIV/0!</v>
      </c>
      <c r="D97" s="149" t="e">
        <f>SUM(DS95:DW95)/100/Lote_23</f>
        <v>#DIV/0!</v>
      </c>
      <c r="E97" s="149" t="e">
        <f>SUM(DX95:EB95)/100/Lote_23</f>
        <v>#DIV/0!</v>
      </c>
      <c r="F97" s="149" t="e">
        <f>SUM(EC95:EG95)/100/Lote_23</f>
        <v>#DIV/0!</v>
      </c>
      <c r="G97" s="149" t="e">
        <f>SUM(EH95:EL95)/100/Lote_23</f>
        <v>#DIV/0!</v>
      </c>
      <c r="H97" s="149" t="e">
        <f>SUM(EM95:EQ95)/100/Lote_23</f>
        <v>#DIV/0!</v>
      </c>
      <c r="I97" s="149" t="e">
        <f>SUM(ER95:EV95)/100/Lote_23</f>
        <v>#DIV/0!</v>
      </c>
      <c r="J97" s="149" t="e">
        <f>SUM(EW95:FA95)/100/Lote_23</f>
        <v>#DIV/0!</v>
      </c>
      <c r="K97" s="149" t="e">
        <f>SUM(FB95:FF95)/100/Lote_23</f>
        <v>#DIV/0!</v>
      </c>
      <c r="L97" s="149" t="e">
        <f>SUM(FG95:FK95)/100/Lote_23</f>
        <v>#DIV/0!</v>
      </c>
      <c r="M97" s="149" t="e">
        <f>SUM(FL95:FP95)/100/Lote_23</f>
        <v>#DIV/0!</v>
      </c>
    </row>
    <row r="98" spans="1:172" ht="21" customHeight="1" x14ac:dyDescent="0.3">
      <c r="A98" s="233">
        <f>N_L24</f>
        <v>0</v>
      </c>
      <c r="B98" s="363" t="s">
        <v>37</v>
      </c>
      <c r="C98" s="363" t="s">
        <v>37</v>
      </c>
      <c r="D98" s="363" t="s">
        <v>37</v>
      </c>
      <c r="E98" s="363" t="s">
        <v>37</v>
      </c>
      <c r="F98" s="363" t="s">
        <v>37</v>
      </c>
      <c r="G98" s="363" t="s">
        <v>37</v>
      </c>
      <c r="H98" s="363" t="s">
        <v>37</v>
      </c>
      <c r="I98" s="363" t="s">
        <v>37</v>
      </c>
      <c r="J98" s="363" t="s">
        <v>37</v>
      </c>
      <c r="K98" s="363" t="s">
        <v>37</v>
      </c>
      <c r="L98" s="363" t="s">
        <v>37</v>
      </c>
      <c r="M98" s="363" t="s">
        <v>37</v>
      </c>
    </row>
    <row r="99" spans="1:172" ht="21" customHeight="1" x14ac:dyDescent="0.3">
      <c r="A99" s="4" t="s">
        <v>237</v>
      </c>
      <c r="B99" s="7"/>
      <c r="C99" s="275"/>
      <c r="D99" s="275"/>
      <c r="E99" s="275"/>
      <c r="F99" s="275"/>
      <c r="G99" s="275"/>
      <c r="H99" s="275"/>
      <c r="I99" s="275"/>
      <c r="J99" s="275"/>
      <c r="K99" s="275"/>
      <c r="L99" s="275"/>
      <c r="M99" s="275"/>
      <c r="O99" s="58">
        <f>Área_L24*D_L24*A1_L24</f>
        <v>0</v>
      </c>
      <c r="P99" s="58">
        <f>Área_L24*D_L24*A2_L24</f>
        <v>0</v>
      </c>
      <c r="Q99" s="58">
        <f>Área_L24*D_L24*A3_L24</f>
        <v>0</v>
      </c>
      <c r="R99" s="58">
        <f>Área_L24*D_L24*A4_L24</f>
        <v>0</v>
      </c>
      <c r="S99" s="58">
        <f>Área_L24*D_L24*A5_L24</f>
        <v>0</v>
      </c>
      <c r="T99" s="58">
        <f>Área_L24*D_L24*A6_L24</f>
        <v>0</v>
      </c>
      <c r="U99" s="58">
        <f>Área_L24*D_L24*A7_L24</f>
        <v>0</v>
      </c>
      <c r="V99" s="58">
        <f>Área_L24*D_L24*A8_L24</f>
        <v>0</v>
      </c>
      <c r="W99" s="58">
        <f>Área_L24*D_L24*A9_L24</f>
        <v>0</v>
      </c>
      <c r="X99" s="58">
        <f>Área_L24*D_L24*A10_L24</f>
        <v>0</v>
      </c>
      <c r="Y99" s="58">
        <f>Área_L24*D_L24*A11_L24</f>
        <v>0</v>
      </c>
      <c r="Z99" s="58">
        <f>Área_L24*D_L24*A12_L24</f>
        <v>0</v>
      </c>
      <c r="AB99" s="58">
        <f>IF($B98="Producción",IF($B99&gt;=LI_A,$O99,0),0)</f>
        <v>0</v>
      </c>
      <c r="AC99" s="58">
        <f>IF($B98="Producción",IF($B99&gt;=LI_B,IF($B99&lt;LS_B,$O99,0),0),0)</f>
        <v>0</v>
      </c>
      <c r="AD99" s="58">
        <f>IF($B98="Producción",IF($B99&gt;=LI_C,IF($B99&lt;LS_C,$O99,0),0),0)</f>
        <v>0</v>
      </c>
      <c r="AE99" s="58">
        <f>IF($B98="Producción",IF($B99&lt;=LS_D,$O99,0),0)</f>
        <v>0</v>
      </c>
      <c r="AF99" s="365">
        <f>IF($B98="Crecimiento",$O99,0)</f>
        <v>0</v>
      </c>
      <c r="AG99" s="365">
        <f>IF($B98="Siembra",$O99,0)</f>
        <v>0</v>
      </c>
      <c r="AH99" s="365">
        <f>IF($B98="Abandono",$O99,0)</f>
        <v>0</v>
      </c>
      <c r="AI99" s="365">
        <f>IF($C98="Producción",IF($C99&gt;=LI_A,$P99,0),0)</f>
        <v>0</v>
      </c>
      <c r="AJ99" s="365">
        <f>IF($C98="Producción",IF($C99&gt;=LI_B,IF($C99&lt;LS_B,$P99,0),0),0)</f>
        <v>0</v>
      </c>
      <c r="AK99" s="365">
        <f>IF($C98="Producción",IF($C99&gt;=LI_C,IF($C99&lt;LS_C,$P99,0),0),0)</f>
        <v>0</v>
      </c>
      <c r="AL99" s="365">
        <f>IF($C98="Producción",IF(C99&lt;=LS_D,$P99,0),0)</f>
        <v>0</v>
      </c>
      <c r="AM99" s="365">
        <f>IF($C98="Crecimiento",$P99,0)</f>
        <v>0</v>
      </c>
      <c r="AN99" s="365">
        <f>IF($C98="Siembra",$P99,0)</f>
        <v>0</v>
      </c>
      <c r="AO99" s="365">
        <f>IF($C98="Abandono",$P99,0)</f>
        <v>0</v>
      </c>
      <c r="AP99" s="365">
        <f>IF($D98="Producción",IF($D99&gt;=LI_A,$Q99,0),0)</f>
        <v>0</v>
      </c>
      <c r="AQ99" s="365">
        <f>IF($D98="Producción",IF($D99&gt;=LI_B,IF($D99&lt;LS_B,$Q99,0),0),0)</f>
        <v>0</v>
      </c>
      <c r="AR99" s="365">
        <f>IF($D98="Producción",IF($D99&gt;=LI_C,IF($D99&lt;LS_C,$Q99,0),0),0)</f>
        <v>0</v>
      </c>
      <c r="AS99" s="365">
        <f>IF($D98="Producción",IF($D99&lt;=LS_D,$Q99,0),0)</f>
        <v>0</v>
      </c>
      <c r="AT99" s="365">
        <f>IF($D98="Crecimiento",$Q99,0)</f>
        <v>0</v>
      </c>
      <c r="AU99" s="365">
        <f>IF($D98="Siembra",$Q99,0)</f>
        <v>0</v>
      </c>
      <c r="AV99" s="365">
        <f>IF($D98="Abandono",$Q99,0)</f>
        <v>0</v>
      </c>
      <c r="AW99" s="365">
        <f>IF($E98="Producción",IF($E99&gt;=LI_A,$R99,0),0)</f>
        <v>0</v>
      </c>
      <c r="AX99" s="365">
        <f>IF($E98="Producción",IF($E99&gt;=LI_B,IF($E99&lt;LS_B,$R99,0),0),0)</f>
        <v>0</v>
      </c>
      <c r="AY99" s="365">
        <f>IF($E98="Producción",IF($E99&gt;=LI_C,IF($E99&lt;LS_C,$R99,0),0),0)</f>
        <v>0</v>
      </c>
      <c r="AZ99" s="365">
        <f>IF($E98="Producción",IF($E99&lt;=LS_D,$R99,0),0)</f>
        <v>0</v>
      </c>
      <c r="BA99" s="365">
        <f>IF($E98="Crecimiento",$R99,0)</f>
        <v>0</v>
      </c>
      <c r="BB99" s="365">
        <f>IF($E98="Siembra",$R99,0)</f>
        <v>0</v>
      </c>
      <c r="BC99" s="365">
        <f>IF($E98="Abandono",$R99,0)</f>
        <v>0</v>
      </c>
      <c r="BD99" s="365">
        <f>IF($F98="Producción",IF($F99&gt;=LI_A,$S99,0),0)</f>
        <v>0</v>
      </c>
      <c r="BE99" s="365">
        <f>IF($F98="Producción",IF($F99&gt;=LI_B,IF($F99&lt;LS_B,$S99,0),0),0)</f>
        <v>0</v>
      </c>
      <c r="BF99" s="365">
        <f>IF($F98="Producción",IF($F99&gt;=LI_C,IF($F99&lt;LS_C,$S99,0),0),0)</f>
        <v>0</v>
      </c>
      <c r="BG99" s="365">
        <f>IF($F98="Producción",IF($F99&lt;=LS_D,$S99,0),0)</f>
        <v>0</v>
      </c>
      <c r="BH99" s="365">
        <f>IF($F98="Crecimiento",$S99,0)</f>
        <v>0</v>
      </c>
      <c r="BI99" s="365">
        <f>IF($F98="Siembra",$S99,0)</f>
        <v>0</v>
      </c>
      <c r="BJ99" s="365">
        <f>IF($F98="Abandono",$S99,0)</f>
        <v>0</v>
      </c>
      <c r="BK99" s="365">
        <f>IF($G98="Producción",IF($G99&gt;=LI_A,$T99,0),0)</f>
        <v>0</v>
      </c>
      <c r="BL99" s="365">
        <f>IF($G98="Producción",IF($G99&gt;=LI_B,IF($G99&lt;LS_B,$T99,0),0),0)</f>
        <v>0</v>
      </c>
      <c r="BM99" s="365">
        <f>IF($G98="Producción",IF($G99&gt;=LI_C,IF($G99&lt;LS_C,$T99,0),0),0)</f>
        <v>0</v>
      </c>
      <c r="BN99" s="365">
        <f>IF($G98="Producción",IF($G99&lt;=LS_D,$T99,0),0)</f>
        <v>0</v>
      </c>
      <c r="BO99" s="365">
        <f>IF($G98="Crecimiento",$T99,0)</f>
        <v>0</v>
      </c>
      <c r="BP99" s="365">
        <f>IF($G98="Siembra",$T99,0)</f>
        <v>0</v>
      </c>
      <c r="BQ99" s="365">
        <f>IF($G98="Abandono",$T99,0)</f>
        <v>0</v>
      </c>
      <c r="BR99" s="365">
        <f>IF($H98="Producción",IF($H99&gt;=LI_A,$U99,0),0)</f>
        <v>0</v>
      </c>
      <c r="BS99" s="365">
        <f>IF($H98="Producción",IF($H99&gt;=LI_B,IF($H99&lt;LS_B,$U99,0),0),0)</f>
        <v>0</v>
      </c>
      <c r="BT99" s="365">
        <f>IF($H98="Producción",IF($H99&gt;=LI_C,IF($H99&lt;LS_C,$U99,0),0),0)</f>
        <v>0</v>
      </c>
      <c r="BU99" s="365">
        <f>IF($H98="Producción",IF($H99&lt;=LS_D,$U99,0),0)</f>
        <v>0</v>
      </c>
      <c r="BV99" s="365">
        <f>IF($H98="Crecimiento",$U99,0)</f>
        <v>0</v>
      </c>
      <c r="BW99" s="365">
        <f>IF($H98="Siembra",$U99,0)</f>
        <v>0</v>
      </c>
      <c r="BX99" s="365">
        <f>IF($H98="Abandono",$U99,0)</f>
        <v>0</v>
      </c>
      <c r="BY99" s="365">
        <f>IF($I98="Producción",IF($I99&gt;=LI_A,$V99,0),0)</f>
        <v>0</v>
      </c>
      <c r="BZ99" s="365">
        <f>IF($I98="Producción",IF($I99&gt;=LI_B,IF($I99&lt;LS_B,$V99,0),0),0)</f>
        <v>0</v>
      </c>
      <c r="CA99" s="365">
        <f>IF($I98="Producción",IF($I99&gt;=LI_C,IF($I99&lt;LS_C,$V99,0),0),0)</f>
        <v>0</v>
      </c>
      <c r="CB99" s="365">
        <f>IF($I98="Producción",IF($I99&lt;=LS_D,$V99,0),0)</f>
        <v>0</v>
      </c>
      <c r="CC99" s="365">
        <f>IF($I98="Crecimiento",$V99,0)</f>
        <v>0</v>
      </c>
      <c r="CD99" s="365">
        <f>IF($I98="Siembra",$V99,0)</f>
        <v>0</v>
      </c>
      <c r="CE99" s="365">
        <f>IF($I98="Abandono",$V99,0)</f>
        <v>0</v>
      </c>
      <c r="CF99" s="365">
        <f>IF($J98="Producción",IF($J99&gt;=LI_A,$W99,0),0)</f>
        <v>0</v>
      </c>
      <c r="CG99" s="365">
        <f>IF($J98="Producción",IF($J99&gt;=LI_B,IF($J99&lt;LS_B,$W99,0),0),0)</f>
        <v>0</v>
      </c>
      <c r="CH99" s="365">
        <f>IF($J98="Producción",IF($J99&gt;=LI_C,IF($J99&lt;LS_C,$W99,0),0),0)</f>
        <v>0</v>
      </c>
      <c r="CI99" s="365">
        <f>IF($J98="Producción",IF($J99&lt;=LS_D,$W99,0),0)</f>
        <v>0</v>
      </c>
      <c r="CJ99" s="365">
        <f>IF($J98="Crecimiento",$W99,0)</f>
        <v>0</v>
      </c>
      <c r="CK99" s="365">
        <f>IF($J98="Siembra",$W99,0)</f>
        <v>0</v>
      </c>
      <c r="CL99" s="365">
        <f>IF($J98="Abandono",$W99,0)</f>
        <v>0</v>
      </c>
      <c r="CM99" s="365">
        <f>IF($K98="Producción",IF($K99&gt;=LI_A,$X99,0),0)</f>
        <v>0</v>
      </c>
      <c r="CN99" s="365">
        <f>IF($K98="Producción",IF($K99&gt;=LI_B,IF($K99&lt;LS_B,$X99,0),0),0)</f>
        <v>0</v>
      </c>
      <c r="CO99" s="365">
        <f>IF($K98="Producción",IF($K99&gt;=LI_C,IF($K99&lt;LS_C,$X99,0),0),0)</f>
        <v>0</v>
      </c>
      <c r="CP99" s="365">
        <f>IF($K98="Producción",IF($K99&lt;=LS_D,$X99,0),0)</f>
        <v>0</v>
      </c>
      <c r="CQ99" s="365">
        <f>IF($K98="Crecimiento",IF($K99&gt;0,$X99,0),0)</f>
        <v>0</v>
      </c>
      <c r="CR99" s="365">
        <f>IF($K98="Siembra",IF($K99&gt;0,$X99,0),0)</f>
        <v>0</v>
      </c>
      <c r="CS99" s="365">
        <f>IF($K98="Abandono",IF($K99&gt;0,$X99,0),0)</f>
        <v>0</v>
      </c>
      <c r="CT99" s="365">
        <f>IF($L98="Producción",IF($L99&gt;=LI_A,$Y99,0),0)</f>
        <v>0</v>
      </c>
      <c r="CU99" s="365">
        <f>IF($L98="Producción",IF($L99&gt;=LI_B,IF($L99&lt;LS_B,$Y99,0),0),0)</f>
        <v>0</v>
      </c>
      <c r="CV99" s="365">
        <f>IF($L98="Producción",IF($L99&gt;=LI_C,IF($L99&lt;LS_C,$Y99,0),0),0)</f>
        <v>0</v>
      </c>
      <c r="CW99" s="365">
        <f>IF($L98="Producción",IF($L99&lt;=LS_D,$Y99,0),0)</f>
        <v>0</v>
      </c>
      <c r="CX99" s="365">
        <f>IF($L98="Crecimiento",$Y99,0)</f>
        <v>0</v>
      </c>
      <c r="CY99" s="365">
        <f>IF($L98="Siembra",$Y99,0)</f>
        <v>0</v>
      </c>
      <c r="CZ99" s="365">
        <f>IF($L98="Abandono",$Y99,0)</f>
        <v>0</v>
      </c>
      <c r="DA99" s="365">
        <f>IF($M98="Producción",IF($M99&gt;=LI_A,$Z99,0),0)</f>
        <v>0</v>
      </c>
      <c r="DB99" s="365">
        <f>IF($M98="Producción",IF($M99&gt;=LI_B,IF($M99&lt;LS_B,$Z99,0),0),0)</f>
        <v>0</v>
      </c>
      <c r="DC99" s="365">
        <f>IF($M98="Producción",IF($M99&gt;=LI_C,IF($M99&lt;LS_C,$Z99,0),0),0)</f>
        <v>0</v>
      </c>
      <c r="DD99" s="365">
        <f>IF($M98="Producción",IF($M99&lt;=LS_D,$Z99,0),0)</f>
        <v>0</v>
      </c>
      <c r="DE99" s="365">
        <f>IF($M98="Crecimiento",$Z99,0)</f>
        <v>0</v>
      </c>
      <c r="DF99" s="365">
        <f>IF($M98="Siembra",$Z99,0)</f>
        <v>0</v>
      </c>
      <c r="DG99" s="365">
        <f>IF($M98="Abandono",$Z99,0)</f>
        <v>0</v>
      </c>
      <c r="DI99" s="58">
        <f>AB99*$B99</f>
        <v>0</v>
      </c>
      <c r="DJ99" s="58">
        <f>AC99*$B99</f>
        <v>0</v>
      </c>
      <c r="DK99" s="58">
        <f>AD99*$B99</f>
        <v>0</v>
      </c>
      <c r="DL99" s="58">
        <f>AE99*$B99</f>
        <v>0</v>
      </c>
      <c r="DM99" s="365">
        <f>AF99*$B99</f>
        <v>0</v>
      </c>
      <c r="DN99" s="365">
        <f>AI99*$C99</f>
        <v>0</v>
      </c>
      <c r="DO99" s="365">
        <f>AJ99*$C99</f>
        <v>0</v>
      </c>
      <c r="DP99" s="365">
        <f>AK99*$C99</f>
        <v>0</v>
      </c>
      <c r="DQ99" s="365">
        <f>AL99*$C99</f>
        <v>0</v>
      </c>
      <c r="DR99" s="365">
        <f>AM99*$C99</f>
        <v>0</v>
      </c>
      <c r="DS99" s="365">
        <f>AP99*$D99</f>
        <v>0</v>
      </c>
      <c r="DT99" s="365">
        <f>AQ99*$D99</f>
        <v>0</v>
      </c>
      <c r="DU99" s="365">
        <f>AR99*$D99</f>
        <v>0</v>
      </c>
      <c r="DV99" s="365">
        <f>AS99*$D99</f>
        <v>0</v>
      </c>
      <c r="DW99" s="365">
        <f>AT99*$D99</f>
        <v>0</v>
      </c>
      <c r="DX99" s="365">
        <f>AW99*$E99</f>
        <v>0</v>
      </c>
      <c r="DY99" s="365">
        <f>AX99*$E99</f>
        <v>0</v>
      </c>
      <c r="DZ99" s="365">
        <f>AY99*$E99</f>
        <v>0</v>
      </c>
      <c r="EA99" s="365">
        <f>AZ99*$E99</f>
        <v>0</v>
      </c>
      <c r="EB99" s="365">
        <f>BA99*$E99</f>
        <v>0</v>
      </c>
      <c r="EC99" s="365">
        <f>BD99*$F99</f>
        <v>0</v>
      </c>
      <c r="ED99" s="365">
        <f>BE99*$F99</f>
        <v>0</v>
      </c>
      <c r="EE99" s="365">
        <f>BF99*$F99</f>
        <v>0</v>
      </c>
      <c r="EF99" s="365">
        <f>BG99*$F99</f>
        <v>0</v>
      </c>
      <c r="EG99" s="365">
        <f>BH99*$F99</f>
        <v>0</v>
      </c>
      <c r="EH99" s="365">
        <f>BK99*$G99</f>
        <v>0</v>
      </c>
      <c r="EI99" s="365">
        <f>BL99*$G99</f>
        <v>0</v>
      </c>
      <c r="EJ99" s="365">
        <f>BM99*$G99</f>
        <v>0</v>
      </c>
      <c r="EK99" s="365">
        <f>BN99*$G99</f>
        <v>0</v>
      </c>
      <c r="EL99" s="365">
        <f>BO99*$G99</f>
        <v>0</v>
      </c>
      <c r="EM99" s="365">
        <f>BR99*$H99</f>
        <v>0</v>
      </c>
      <c r="EN99" s="365">
        <f>BS99*$H99</f>
        <v>0</v>
      </c>
      <c r="EO99" s="365">
        <f>BT99*$H99</f>
        <v>0</v>
      </c>
      <c r="EP99" s="365">
        <f>BU99*$H99</f>
        <v>0</v>
      </c>
      <c r="EQ99" s="365">
        <f>BV99*$H99</f>
        <v>0</v>
      </c>
      <c r="ER99" s="365">
        <f>BY99*$I99</f>
        <v>0</v>
      </c>
      <c r="ES99" s="365">
        <f>BZ99*$I99</f>
        <v>0</v>
      </c>
      <c r="ET99" s="365">
        <f>CA99*$I99</f>
        <v>0</v>
      </c>
      <c r="EU99" s="365">
        <f>CB99*$I99</f>
        <v>0</v>
      </c>
      <c r="EV99" s="365">
        <f>CC99*$I99</f>
        <v>0</v>
      </c>
      <c r="EW99" s="365">
        <f>CF99*$J99</f>
        <v>0</v>
      </c>
      <c r="EX99" s="365">
        <f>CG99*$J99</f>
        <v>0</v>
      </c>
      <c r="EY99" s="365">
        <f>CH99*$J99</f>
        <v>0</v>
      </c>
      <c r="EZ99" s="365">
        <f>CI99*$J99</f>
        <v>0</v>
      </c>
      <c r="FA99" s="365">
        <f>CJ99*$J99</f>
        <v>0</v>
      </c>
      <c r="FB99" s="365">
        <f>CM99*$K99</f>
        <v>0</v>
      </c>
      <c r="FC99" s="365">
        <f>CN99*$K99</f>
        <v>0</v>
      </c>
      <c r="FD99" s="365">
        <f>CO99*$K99</f>
        <v>0</v>
      </c>
      <c r="FE99" s="365">
        <f>CP99*$K99</f>
        <v>0</v>
      </c>
      <c r="FF99" s="365">
        <f>CQ99*$K99</f>
        <v>0</v>
      </c>
      <c r="FG99" s="365">
        <f>CT99*$L99</f>
        <v>0</v>
      </c>
      <c r="FH99" s="365">
        <f>CU99*$L99</f>
        <v>0</v>
      </c>
      <c r="FI99" s="365">
        <f>CV99*$L99</f>
        <v>0</v>
      </c>
      <c r="FJ99" s="365">
        <f>CW99*$L99</f>
        <v>0</v>
      </c>
      <c r="FK99" s="365">
        <f>CX99*$L99</f>
        <v>0</v>
      </c>
      <c r="FL99" s="365">
        <f>DA99*$M99</f>
        <v>0</v>
      </c>
      <c r="FM99" s="365">
        <f t="shared" ref="FM99" si="71">DB99*$M99</f>
        <v>0</v>
      </c>
      <c r="FN99" s="365">
        <f>DC99*$M99</f>
        <v>0</v>
      </c>
      <c r="FO99" s="365">
        <f t="shared" ref="FO99" si="72">DD99*$M99</f>
        <v>0</v>
      </c>
      <c r="FP99" s="365">
        <f t="shared" ref="FP99" si="73">DE99*$M99</f>
        <v>0</v>
      </c>
    </row>
    <row r="100" spans="1:172" ht="21" customHeight="1" x14ac:dyDescent="0.3">
      <c r="A100" s="277" t="s">
        <v>238</v>
      </c>
      <c r="B100" s="278">
        <f>SUM(DI99:DM99)/100</f>
        <v>0</v>
      </c>
      <c r="C100" s="278">
        <f>SUM(DN99:DQ99)/100</f>
        <v>0</v>
      </c>
      <c r="D100" s="279">
        <f>SUM(DS99:DW99)/100</f>
        <v>0</v>
      </c>
      <c r="E100" s="279">
        <f>SUM(DX99:EB99)/100</f>
        <v>0</v>
      </c>
      <c r="F100" s="279">
        <f>SUM(EC99:EG99)/100</f>
        <v>0</v>
      </c>
      <c r="G100" s="279">
        <f>SUM(EH99:EL99)/100</f>
        <v>0</v>
      </c>
      <c r="H100" s="279">
        <f>SUM(EM99:EQ99)/100</f>
        <v>0</v>
      </c>
      <c r="I100" s="279">
        <f>SUM(ER99:EV99)/100</f>
        <v>0</v>
      </c>
      <c r="J100" s="279">
        <f>SUM(EW99:FA99)/100</f>
        <v>0</v>
      </c>
      <c r="K100" s="279">
        <f>SUM(FB99:FF99)/100</f>
        <v>0</v>
      </c>
      <c r="L100" s="279">
        <f>SUM(FG99:FK99)/100</f>
        <v>0</v>
      </c>
      <c r="M100" s="279">
        <f>SUM(FL99:FP99)/100</f>
        <v>0</v>
      </c>
      <c r="AG100" s="365"/>
      <c r="AH100" s="365"/>
      <c r="AI100" s="365"/>
      <c r="AJ100" s="365"/>
      <c r="AK100" s="365"/>
      <c r="AL100" s="365"/>
      <c r="AM100" s="365"/>
      <c r="AN100" s="365"/>
      <c r="AO100" s="365"/>
      <c r="AP100" s="365"/>
      <c r="AQ100" s="365"/>
      <c r="AR100" s="365"/>
      <c r="AS100" s="365"/>
      <c r="AT100" s="365"/>
      <c r="AU100" s="365"/>
      <c r="AV100" s="365"/>
      <c r="AW100" s="365"/>
      <c r="AX100" s="365"/>
      <c r="AY100" s="365"/>
      <c r="AZ100" s="365"/>
      <c r="BA100" s="365"/>
      <c r="BB100" s="365"/>
      <c r="BC100" s="365"/>
      <c r="BD100" s="365"/>
      <c r="BE100" s="365"/>
      <c r="BF100" s="365"/>
      <c r="BG100" s="365"/>
      <c r="BH100" s="365"/>
      <c r="BI100" s="365"/>
      <c r="BJ100" s="365"/>
      <c r="BK100" s="365"/>
      <c r="BL100" s="365"/>
      <c r="BM100" s="365"/>
      <c r="BN100" s="365"/>
      <c r="BO100" s="365"/>
      <c r="BP100" s="365"/>
      <c r="BQ100" s="365"/>
      <c r="BR100" s="365"/>
      <c r="BS100" s="365"/>
      <c r="BT100" s="365"/>
      <c r="BU100" s="365"/>
      <c r="BV100" s="365"/>
      <c r="BW100" s="365"/>
      <c r="BX100" s="365"/>
      <c r="BY100" s="365"/>
      <c r="BZ100" s="365"/>
      <c r="CA100" s="365"/>
      <c r="CB100" s="365"/>
      <c r="CC100" s="365"/>
      <c r="CD100" s="365"/>
      <c r="CE100" s="365"/>
      <c r="CF100" s="365"/>
      <c r="CG100" s="365"/>
      <c r="CH100" s="365"/>
      <c r="CI100" s="365"/>
      <c r="CJ100" s="365"/>
      <c r="CK100" s="365"/>
      <c r="CL100" s="365"/>
      <c r="CM100" s="365"/>
      <c r="CN100" s="365"/>
      <c r="CO100" s="365"/>
      <c r="CP100" s="365"/>
      <c r="CQ100" s="365"/>
      <c r="CR100" s="365"/>
      <c r="CS100" s="365"/>
      <c r="CT100" s="365"/>
      <c r="CU100" s="365"/>
      <c r="CV100" s="365"/>
      <c r="CW100" s="365"/>
      <c r="CX100" s="365"/>
      <c r="CY100" s="365"/>
      <c r="CZ100" s="365"/>
      <c r="DA100" s="365"/>
      <c r="DB100" s="365"/>
      <c r="DC100" s="365"/>
      <c r="DD100" s="365"/>
      <c r="DE100" s="365"/>
      <c r="DF100" s="365"/>
      <c r="DG100" s="365"/>
      <c r="DM100" s="365"/>
      <c r="DN100" s="365"/>
      <c r="DO100" s="365"/>
      <c r="DP100" s="365"/>
      <c r="DQ100" s="365"/>
      <c r="DR100" s="365"/>
      <c r="DS100" s="365"/>
      <c r="DT100" s="365"/>
      <c r="DU100" s="365"/>
      <c r="DV100" s="365"/>
      <c r="DW100" s="365"/>
      <c r="DX100" s="365"/>
      <c r="DY100" s="365"/>
      <c r="DZ100" s="365"/>
      <c r="EA100" s="365"/>
      <c r="EB100" s="365"/>
      <c r="EC100" s="365"/>
      <c r="ED100" s="365"/>
      <c r="EE100" s="365"/>
      <c r="EF100" s="365"/>
      <c r="EG100" s="365"/>
      <c r="EH100" s="365"/>
      <c r="EI100" s="365"/>
      <c r="EJ100" s="365"/>
      <c r="EK100" s="365"/>
      <c r="EL100" s="365"/>
      <c r="EM100" s="365"/>
      <c r="EN100" s="365"/>
      <c r="EO100" s="365"/>
      <c r="EP100" s="365"/>
      <c r="EQ100" s="365"/>
      <c r="ER100" s="365"/>
      <c r="ES100" s="365"/>
      <c r="ET100" s="365"/>
      <c r="EU100" s="365"/>
      <c r="EV100" s="365"/>
      <c r="EW100" s="365"/>
      <c r="EX100" s="365"/>
      <c r="EY100" s="365"/>
      <c r="EZ100" s="365"/>
      <c r="FA100" s="365"/>
      <c r="FB100" s="365"/>
      <c r="FC100" s="365"/>
      <c r="FD100" s="365"/>
      <c r="FE100" s="365"/>
      <c r="FF100" s="365"/>
      <c r="FG100" s="365"/>
      <c r="FH100" s="365"/>
      <c r="FI100" s="365"/>
      <c r="FJ100" s="365"/>
      <c r="FK100" s="365"/>
      <c r="FL100" s="365"/>
      <c r="FM100" s="365"/>
      <c r="FN100" s="365"/>
      <c r="FO100" s="365"/>
      <c r="FP100" s="365"/>
    </row>
    <row r="101" spans="1:172" ht="21" customHeight="1" x14ac:dyDescent="0.3">
      <c r="A101" s="150" t="s">
        <v>239</v>
      </c>
      <c r="B101" s="149" t="e">
        <f>SUM(DI99:DM99)/100/Lote_24</f>
        <v>#DIV/0!</v>
      </c>
      <c r="C101" s="149" t="e">
        <f>SUM(DN99:DQ99)/100/Lote_24</f>
        <v>#DIV/0!</v>
      </c>
      <c r="D101" s="149" t="e">
        <f>SUM(DS99:DW99)/100/Lote_24</f>
        <v>#DIV/0!</v>
      </c>
      <c r="E101" s="149" t="e">
        <f>SUM(DX99:EB99)/100/Lote_24</f>
        <v>#DIV/0!</v>
      </c>
      <c r="F101" s="149" t="e">
        <f>SUM(EC99:EG99)/100/Lote_24</f>
        <v>#DIV/0!</v>
      </c>
      <c r="G101" s="149" t="e">
        <f>SUM(EH99:EL99)/100/Lote_24</f>
        <v>#DIV/0!</v>
      </c>
      <c r="H101" s="149" t="e">
        <f>SUM(EM99:EQ99)/100/Lote_24</f>
        <v>#DIV/0!</v>
      </c>
      <c r="I101" s="149" t="e">
        <f>SUM(ER99:EV99)/100/Lote_24</f>
        <v>#DIV/0!</v>
      </c>
      <c r="J101" s="149" t="e">
        <f>SUM(EW99:FA99)/100/Lote_24</f>
        <v>#DIV/0!</v>
      </c>
      <c r="K101" s="149" t="e">
        <f>SUM(FB99:FF99)/100/Lote_24</f>
        <v>#DIV/0!</v>
      </c>
      <c r="L101" s="149" t="e">
        <f>SUM(FG99:FK99)/100/Lote_24</f>
        <v>#DIV/0!</v>
      </c>
      <c r="M101" s="149" t="e">
        <f>SUM(FL99:FP99)/100/Lote_24</f>
        <v>#DIV/0!</v>
      </c>
    </row>
    <row r="102" spans="1:172" ht="21" customHeight="1" x14ac:dyDescent="0.3">
      <c r="A102" s="233">
        <f>N_L25</f>
        <v>0</v>
      </c>
      <c r="B102" s="363" t="s">
        <v>37</v>
      </c>
      <c r="C102" s="363" t="s">
        <v>37</v>
      </c>
      <c r="D102" s="363" t="s">
        <v>37</v>
      </c>
      <c r="E102" s="363" t="s">
        <v>37</v>
      </c>
      <c r="F102" s="363" t="s">
        <v>37</v>
      </c>
      <c r="G102" s="363" t="s">
        <v>37</v>
      </c>
      <c r="H102" s="363" t="s">
        <v>37</v>
      </c>
      <c r="I102" s="363" t="s">
        <v>37</v>
      </c>
      <c r="J102" s="363" t="s">
        <v>37</v>
      </c>
      <c r="K102" s="363" t="s">
        <v>37</v>
      </c>
      <c r="L102" s="363" t="s">
        <v>37</v>
      </c>
      <c r="M102" s="363" t="s">
        <v>37</v>
      </c>
    </row>
    <row r="103" spans="1:172" ht="21" customHeight="1" x14ac:dyDescent="0.3">
      <c r="A103" s="4" t="s">
        <v>237</v>
      </c>
      <c r="B103" s="7"/>
      <c r="C103" s="275"/>
      <c r="D103" s="275"/>
      <c r="E103" s="275"/>
      <c r="F103" s="275"/>
      <c r="G103" s="275"/>
      <c r="H103" s="275"/>
      <c r="I103" s="275"/>
      <c r="J103" s="275"/>
      <c r="K103" s="275"/>
      <c r="L103" s="275"/>
      <c r="M103" s="275"/>
      <c r="O103" s="58">
        <f>Área_L25*D_L25*A1_L25</f>
        <v>0</v>
      </c>
      <c r="P103" s="58">
        <f>Área_L25*D_L25*A2_L25</f>
        <v>0</v>
      </c>
      <c r="Q103" s="58">
        <f>Área_L25*D_L25*A3_L25</f>
        <v>0</v>
      </c>
      <c r="R103" s="58">
        <f>Área_L25*D_L25*A4_L25</f>
        <v>0</v>
      </c>
      <c r="S103" s="58">
        <f>Área_L25*D_L25*A5_L25</f>
        <v>0</v>
      </c>
      <c r="T103" s="58">
        <f>Área_L25*D_L25*A6_L25</f>
        <v>0</v>
      </c>
      <c r="U103" s="58">
        <f>Área_L25*D_L25*A7_L25</f>
        <v>0</v>
      </c>
      <c r="V103" s="58">
        <f>Área_L25*D_L25*A8_L25</f>
        <v>0</v>
      </c>
      <c r="W103" s="58">
        <f>Área_L25*D_L25*A9_L25</f>
        <v>0</v>
      </c>
      <c r="X103" s="58">
        <f>Área_L25*D_L25*A10_L25</f>
        <v>0</v>
      </c>
      <c r="Y103" s="58">
        <f>Área_L25*D_L25*A11_L25</f>
        <v>0</v>
      </c>
      <c r="Z103" s="58">
        <f>Área_L25*D_L25*A12_L25</f>
        <v>0</v>
      </c>
      <c r="AB103" s="58">
        <f>IF($B102="Producción",IF($B103&gt;=LI_A,$O103,0),0)</f>
        <v>0</v>
      </c>
      <c r="AC103" s="58">
        <f>IF($B102="Producción",IF($B103&gt;=LI_B,IF($B103&lt;LS_B,$O103,0),0),0)</f>
        <v>0</v>
      </c>
      <c r="AD103" s="58">
        <f>IF($B102="Producción",IF($B103&gt;=LI_C,IF($B103&lt;LS_C,$O103,0),0),0)</f>
        <v>0</v>
      </c>
      <c r="AE103" s="58">
        <f>IF($B102="Producción",IF($B103&lt;=LS_D,$O103,0),0)</f>
        <v>0</v>
      </c>
      <c r="AF103" s="365">
        <f>IF($B102="Crecimiento",$O103,0)</f>
        <v>0</v>
      </c>
      <c r="AG103" s="365">
        <f>IF($B102="Siembra",$O103,0)</f>
        <v>0</v>
      </c>
      <c r="AH103" s="365">
        <f>IF($B102="Abandono",$O103,0)</f>
        <v>0</v>
      </c>
      <c r="AI103" s="365">
        <f>IF($C102="Producción",IF($C103&gt;=LI_A,$P103,0),0)</f>
        <v>0</v>
      </c>
      <c r="AJ103" s="365">
        <f>IF($C102="Producción",IF($C103&gt;=LI_B,IF($C103&lt;LS_B,$P103,0),0),0)</f>
        <v>0</v>
      </c>
      <c r="AK103" s="365">
        <f>IF($C102="Producción",IF($C103&gt;=LI_C,IF($C103&lt;LS_C,$P103,0),0),0)</f>
        <v>0</v>
      </c>
      <c r="AL103" s="365">
        <f>IF($C102="Producción",IF(C103&lt;=LS_D,$P103,0),0)</f>
        <v>0</v>
      </c>
      <c r="AM103" s="365">
        <f>IF($C102="Crecimiento",$P103,0)</f>
        <v>0</v>
      </c>
      <c r="AN103" s="365">
        <f>IF($C102="Siembra",$P103,0)</f>
        <v>0</v>
      </c>
      <c r="AO103" s="365">
        <f>IF($C102="Abandono",$P103,0)</f>
        <v>0</v>
      </c>
      <c r="AP103" s="365">
        <f>IF($D102="Producción",IF($D103&gt;=LI_A,$Q103,0),0)</f>
        <v>0</v>
      </c>
      <c r="AQ103" s="365">
        <f>IF($D102="Producción",IF($D103&gt;=LI_B,IF($D103&lt;LS_B,$Q103,0),0),0)</f>
        <v>0</v>
      </c>
      <c r="AR103" s="365">
        <f>IF($D102="Producción",IF($D103&gt;=LI_C,IF($D103&lt;LS_C,$Q103,0),0),0)</f>
        <v>0</v>
      </c>
      <c r="AS103" s="365">
        <f>IF($D102="Producción",IF($D103&lt;=LS_D,$Q103,0),0)</f>
        <v>0</v>
      </c>
      <c r="AT103" s="365">
        <f>IF($D102="Crecimiento",$Q103,0)</f>
        <v>0</v>
      </c>
      <c r="AU103" s="365">
        <f>IF($D102="Siembra",$Q103,0)</f>
        <v>0</v>
      </c>
      <c r="AV103" s="365">
        <f>IF($D102="Abandono",$Q103,0)</f>
        <v>0</v>
      </c>
      <c r="AW103" s="365">
        <f>IF($E102="Producción",IF($E103&gt;=LI_A,$R103,0),0)</f>
        <v>0</v>
      </c>
      <c r="AX103" s="365">
        <f>IF($E102="Producción",IF($E103&gt;=LI_B,IF($E103&lt;LS_B,$R103,0),0),0)</f>
        <v>0</v>
      </c>
      <c r="AY103" s="365">
        <f>IF($E102="Producción",IF($E103&gt;=LI_C,IF($E103&lt;LS_C,$R103,0),0),0)</f>
        <v>0</v>
      </c>
      <c r="AZ103" s="365">
        <f>IF($E102="Producción",IF($E103&lt;=LS_D,$R103,0),0)</f>
        <v>0</v>
      </c>
      <c r="BA103" s="365">
        <f>IF($E102="Crecimiento",$R103,0)</f>
        <v>0</v>
      </c>
      <c r="BB103" s="365">
        <f>IF($E102="Siembra",$R103,0)</f>
        <v>0</v>
      </c>
      <c r="BC103" s="365">
        <f>IF($E102="Abandono",$R103,0)</f>
        <v>0</v>
      </c>
      <c r="BD103" s="365">
        <f>IF($F102="Producción",IF($F103&gt;=LI_A,$S103,0),0)</f>
        <v>0</v>
      </c>
      <c r="BE103" s="365">
        <f>IF($F102="Producción",IF($F103&gt;=LI_B,IF($F103&lt;LS_B,$S103,0),0),0)</f>
        <v>0</v>
      </c>
      <c r="BF103" s="365">
        <f>IF($F102="Producción",IF($F103&gt;=LI_C,IF($F103&lt;LS_C,$S103,0),0),0)</f>
        <v>0</v>
      </c>
      <c r="BG103" s="365">
        <f>IF($F102="Producción",IF($F103&lt;=LS_D,$S103,0),0)</f>
        <v>0</v>
      </c>
      <c r="BH103" s="365">
        <f>IF($F102="Crecimiento",$S103,0)</f>
        <v>0</v>
      </c>
      <c r="BI103" s="365">
        <f>IF($F102="Siembra",$S103,0)</f>
        <v>0</v>
      </c>
      <c r="BJ103" s="365">
        <f>IF($F102="Abandono",$S103,0)</f>
        <v>0</v>
      </c>
      <c r="BK103" s="365">
        <f>IF($G102="Producción",IF($G103&gt;=LI_A,$T103,0),0)</f>
        <v>0</v>
      </c>
      <c r="BL103" s="365">
        <f>IF($G102="Producción",IF($G103&gt;=LI_B,IF($G103&lt;LS_B,$T103,0),0),0)</f>
        <v>0</v>
      </c>
      <c r="BM103" s="365">
        <f>IF($G102="Producción",IF($G103&gt;=LI_C,IF($G103&lt;LS_C,$T103,0),0),0)</f>
        <v>0</v>
      </c>
      <c r="BN103" s="365">
        <f>IF($G102="Producción",IF($G103&lt;=LS_D,$T103,0),0)</f>
        <v>0</v>
      </c>
      <c r="BO103" s="365">
        <f>IF($G102="Crecimiento",$T103,0)</f>
        <v>0</v>
      </c>
      <c r="BP103" s="365">
        <f>IF($G102="Siembra",$T103,0)</f>
        <v>0</v>
      </c>
      <c r="BQ103" s="365">
        <f>IF($G102="Abandono",$T103,0)</f>
        <v>0</v>
      </c>
      <c r="BR103" s="365">
        <f>IF($H102="Producción",IF($H103&gt;=LI_A,$U103,0),0)</f>
        <v>0</v>
      </c>
      <c r="BS103" s="365">
        <f>IF($H102="Producción",IF($H103&gt;=LI_B,IF($H103&lt;LS_B,$U103,0),0),0)</f>
        <v>0</v>
      </c>
      <c r="BT103" s="365">
        <f>IF($H102="Producción",IF($H103&gt;=LI_C,IF($H103&lt;LS_C,$U103,0),0),0)</f>
        <v>0</v>
      </c>
      <c r="BU103" s="365">
        <f>IF($H102="Producción",IF($H103&lt;=LS_D,$U103,0),0)</f>
        <v>0</v>
      </c>
      <c r="BV103" s="365">
        <f>IF($H102="Crecimiento",$U103,0)</f>
        <v>0</v>
      </c>
      <c r="BW103" s="365">
        <f>IF($H102="Siembra",$U103,0)</f>
        <v>0</v>
      </c>
      <c r="BX103" s="365">
        <f>IF($H102="Abandono",$U103,0)</f>
        <v>0</v>
      </c>
      <c r="BY103" s="365">
        <f>IF($I102="Producción",IF($I103&gt;=LI_A,$V103,0),0)</f>
        <v>0</v>
      </c>
      <c r="BZ103" s="365">
        <f>IF($I102="Producción",IF($I103&gt;=LI_B,IF($I103&lt;LS_B,$V103,0),0),0)</f>
        <v>0</v>
      </c>
      <c r="CA103" s="365">
        <f>IF($I102="Producción",IF($I103&gt;=LI_C,IF($I103&lt;LS_C,$V103,0),0),0)</f>
        <v>0</v>
      </c>
      <c r="CB103" s="365">
        <f>IF($I102="Producción",IF($I103&lt;=LS_D,$V103,0),0)</f>
        <v>0</v>
      </c>
      <c r="CC103" s="365">
        <f>IF($I102="Crecimiento",$V103,0)</f>
        <v>0</v>
      </c>
      <c r="CD103" s="365">
        <f>IF($I102="Siembra",$V103,0)</f>
        <v>0</v>
      </c>
      <c r="CE103" s="365">
        <f>IF($I102="Abandono",$V103,0)</f>
        <v>0</v>
      </c>
      <c r="CF103" s="365">
        <f>IF($J102="Producción",IF($J103&gt;=LI_A,$W103,0),0)</f>
        <v>0</v>
      </c>
      <c r="CG103" s="365">
        <f>IF($J102="Producción",IF($J103&gt;=LI_B,IF($J103&lt;LS_B,$W103,0),0),0)</f>
        <v>0</v>
      </c>
      <c r="CH103" s="365">
        <f>IF($J102="Producción",IF($J103&gt;=LI_C,IF($J103&lt;LS_C,$W103,0),0),0)</f>
        <v>0</v>
      </c>
      <c r="CI103" s="365">
        <f>IF($J102="Producción",IF($J103&lt;=LS_D,$W103,0),0)</f>
        <v>0</v>
      </c>
      <c r="CJ103" s="365">
        <f>IF($J102="Crecimiento",$W103,0)</f>
        <v>0</v>
      </c>
      <c r="CK103" s="365">
        <f>IF($J102="Siembra",$W103,0)</f>
        <v>0</v>
      </c>
      <c r="CL103" s="365">
        <f>IF($J102="Abandono",$W103,0)</f>
        <v>0</v>
      </c>
      <c r="CM103" s="365">
        <f>IF($K102="Producción",IF($K103&gt;=LI_A,$X103,0),0)</f>
        <v>0</v>
      </c>
      <c r="CN103" s="365">
        <f>IF($K102="Producción",IF($K103&gt;=LI_B,IF($K103&lt;LS_B,$X103,0),0),0)</f>
        <v>0</v>
      </c>
      <c r="CO103" s="365">
        <f>IF($K102="Producción",IF($K103&gt;=LI_C,IF($K103&lt;LS_C,$X103,0),0),0)</f>
        <v>0</v>
      </c>
      <c r="CP103" s="365">
        <f>IF($K102="Producción",IF($K103&lt;=LS_D,$X103,0),0)</f>
        <v>0</v>
      </c>
      <c r="CQ103" s="365">
        <f>IF($K102="Crecimiento",IF($K103&gt;0,$X103,0),0)</f>
        <v>0</v>
      </c>
      <c r="CR103" s="365">
        <f>IF($K102="Siembra",IF($K103&gt;0,$X103,0),0)</f>
        <v>0</v>
      </c>
      <c r="CS103" s="365">
        <f>IF($K102="Abandono",IF($K103&gt;0,$X103,0),0)</f>
        <v>0</v>
      </c>
      <c r="CT103" s="365">
        <f>IF($L102="Producción",IF($L103&gt;=LI_A,$Y103,0),0)</f>
        <v>0</v>
      </c>
      <c r="CU103" s="365">
        <f>IF($L102="Producción",IF($L103&gt;=LI_B,IF($L103&lt;LS_B,$Y103,0),0),0)</f>
        <v>0</v>
      </c>
      <c r="CV103" s="365">
        <f>IF($L102="Producción",IF($L103&gt;=LI_C,IF($L103&lt;LS_C,$Y103,0),0),0)</f>
        <v>0</v>
      </c>
      <c r="CW103" s="365">
        <f>IF($L102="Producción",IF($L103&lt;=LS_D,$Y103,0),0)</f>
        <v>0</v>
      </c>
      <c r="CX103" s="365">
        <f>IF($L102="Crecimiento",$Y103,0)</f>
        <v>0</v>
      </c>
      <c r="CY103" s="365">
        <f>IF($L102="Siembra",$Y103,0)</f>
        <v>0</v>
      </c>
      <c r="CZ103" s="365">
        <f>IF($L102="Abandono",$Y103,0)</f>
        <v>0</v>
      </c>
      <c r="DA103" s="365">
        <f>IF($M102="Producción",IF($M103&gt;=LI_A,$Z103,0),0)</f>
        <v>0</v>
      </c>
      <c r="DB103" s="365">
        <f>IF($M102="Producción",IF($M103&gt;=LI_B,IF($M103&lt;LS_B,$Z103,0),0),0)</f>
        <v>0</v>
      </c>
      <c r="DC103" s="365">
        <f>IF($M102="Producción",IF($M103&gt;=LI_C,IF($M103&lt;LS_C,$Z103,0),0),0)</f>
        <v>0</v>
      </c>
      <c r="DD103" s="365">
        <f>IF($M102="Producción",IF($M103&lt;=LS_D,$Z103,0),0)</f>
        <v>0</v>
      </c>
      <c r="DE103" s="365">
        <f>IF($M102="Crecimiento",$Z103,0)</f>
        <v>0</v>
      </c>
      <c r="DF103" s="365">
        <f>IF($M102="Siembra",$Z103,0)</f>
        <v>0</v>
      </c>
      <c r="DG103" s="365">
        <f>IF($M102="Abandono",$Z103,0)</f>
        <v>0</v>
      </c>
      <c r="DI103" s="58">
        <f>AB103*$B103</f>
        <v>0</v>
      </c>
      <c r="DJ103" s="58">
        <f>AC103*$B103</f>
        <v>0</v>
      </c>
      <c r="DK103" s="58">
        <f>AD103*$B103</f>
        <v>0</v>
      </c>
      <c r="DL103" s="58">
        <f>AE103*$B103</f>
        <v>0</v>
      </c>
      <c r="DM103" s="365">
        <f>AF103*$B103</f>
        <v>0</v>
      </c>
      <c r="DN103" s="365">
        <f>AI103*$C103</f>
        <v>0</v>
      </c>
      <c r="DO103" s="365">
        <f>AJ103*$C103</f>
        <v>0</v>
      </c>
      <c r="DP103" s="365">
        <f>AK103*$C103</f>
        <v>0</v>
      </c>
      <c r="DQ103" s="365">
        <f>AL103*$C103</f>
        <v>0</v>
      </c>
      <c r="DR103" s="365">
        <f>AM103*$C103</f>
        <v>0</v>
      </c>
      <c r="DS103" s="365">
        <f>AP103*$D103</f>
        <v>0</v>
      </c>
      <c r="DT103" s="365">
        <f>AQ103*$D103</f>
        <v>0</v>
      </c>
      <c r="DU103" s="365">
        <f>AR103*$D103</f>
        <v>0</v>
      </c>
      <c r="DV103" s="365">
        <f>AS103*$D103</f>
        <v>0</v>
      </c>
      <c r="DW103" s="365">
        <f>AT103*$D103</f>
        <v>0</v>
      </c>
      <c r="DX103" s="365">
        <f>AW103*$E103</f>
        <v>0</v>
      </c>
      <c r="DY103" s="365">
        <f>AX103*$E103</f>
        <v>0</v>
      </c>
      <c r="DZ103" s="365">
        <f>AY103*$E103</f>
        <v>0</v>
      </c>
      <c r="EA103" s="365">
        <f>AZ103*$E103</f>
        <v>0</v>
      </c>
      <c r="EB103" s="365">
        <f>BA103*$E103</f>
        <v>0</v>
      </c>
      <c r="EC103" s="365">
        <f>BD103*$F103</f>
        <v>0</v>
      </c>
      <c r="ED103" s="365">
        <f>BE103*$F103</f>
        <v>0</v>
      </c>
      <c r="EE103" s="365">
        <f>BF103*$F103</f>
        <v>0</v>
      </c>
      <c r="EF103" s="365">
        <f>BG103*$F103</f>
        <v>0</v>
      </c>
      <c r="EG103" s="365">
        <f>BH103*$F103</f>
        <v>0</v>
      </c>
      <c r="EH103" s="365">
        <f>BK103*$G103</f>
        <v>0</v>
      </c>
      <c r="EI103" s="365">
        <f>BL103*$G103</f>
        <v>0</v>
      </c>
      <c r="EJ103" s="365">
        <f>BM103*$G103</f>
        <v>0</v>
      </c>
      <c r="EK103" s="365">
        <f>BN103*$G103</f>
        <v>0</v>
      </c>
      <c r="EL103" s="365">
        <f>BO103*$G103</f>
        <v>0</v>
      </c>
      <c r="EM103" s="365">
        <f>BR103*$H103</f>
        <v>0</v>
      </c>
      <c r="EN103" s="365">
        <f>BS103*$H103</f>
        <v>0</v>
      </c>
      <c r="EO103" s="365">
        <f>BT103*$H103</f>
        <v>0</v>
      </c>
      <c r="EP103" s="365">
        <f>BU103*$H103</f>
        <v>0</v>
      </c>
      <c r="EQ103" s="365">
        <f>BV103*$H103</f>
        <v>0</v>
      </c>
      <c r="ER103" s="365">
        <f>BY103*$I103</f>
        <v>0</v>
      </c>
      <c r="ES103" s="365">
        <f>BZ103*$I103</f>
        <v>0</v>
      </c>
      <c r="ET103" s="365">
        <f>CA103*$I103</f>
        <v>0</v>
      </c>
      <c r="EU103" s="365">
        <f>CB103*$I103</f>
        <v>0</v>
      </c>
      <c r="EV103" s="365">
        <f>CC103*$I103</f>
        <v>0</v>
      </c>
      <c r="EW103" s="365">
        <f>CF103*$J103</f>
        <v>0</v>
      </c>
      <c r="EX103" s="365">
        <f>CG103*$J103</f>
        <v>0</v>
      </c>
      <c r="EY103" s="365">
        <f>CH103*$J103</f>
        <v>0</v>
      </c>
      <c r="EZ103" s="365">
        <f>CI103*$J103</f>
        <v>0</v>
      </c>
      <c r="FA103" s="365">
        <f>CJ103*$J103</f>
        <v>0</v>
      </c>
      <c r="FB103" s="365">
        <f>CM103*$K103</f>
        <v>0</v>
      </c>
      <c r="FC103" s="365">
        <f>CN103*$K103</f>
        <v>0</v>
      </c>
      <c r="FD103" s="365">
        <f>CO103*$K103</f>
        <v>0</v>
      </c>
      <c r="FE103" s="365">
        <f>CP103*$K103</f>
        <v>0</v>
      </c>
      <c r="FF103" s="365">
        <f>CQ103*$K103</f>
        <v>0</v>
      </c>
      <c r="FG103" s="365">
        <f>CT103*$L103</f>
        <v>0</v>
      </c>
      <c r="FH103" s="365">
        <f>CU103*$L103</f>
        <v>0</v>
      </c>
      <c r="FI103" s="365">
        <f>CV103*$L103</f>
        <v>0</v>
      </c>
      <c r="FJ103" s="365">
        <f>CW103*$L103</f>
        <v>0</v>
      </c>
      <c r="FK103" s="365">
        <f>CX103*$L103</f>
        <v>0</v>
      </c>
      <c r="FL103" s="365">
        <f>DA103*$M103</f>
        <v>0</v>
      </c>
      <c r="FM103" s="365">
        <f t="shared" ref="FM103" si="74">DB103*$M103</f>
        <v>0</v>
      </c>
      <c r="FN103" s="365">
        <f>DC103*$M103</f>
        <v>0</v>
      </c>
      <c r="FO103" s="365">
        <f t="shared" ref="FO103" si="75">DD103*$M103</f>
        <v>0</v>
      </c>
      <c r="FP103" s="365">
        <f t="shared" ref="FP103" si="76">DE103*$M103</f>
        <v>0</v>
      </c>
    </row>
    <row r="104" spans="1:172" ht="21" customHeight="1" x14ac:dyDescent="0.3">
      <c r="A104" s="277" t="s">
        <v>238</v>
      </c>
      <c r="B104" s="278">
        <f>SUM(DI103:DM103)/100</f>
        <v>0</v>
      </c>
      <c r="C104" s="278">
        <f>SUM(DN103:DQ103)/100</f>
        <v>0</v>
      </c>
      <c r="D104" s="279">
        <f>SUM(DS103:DW103)/100</f>
        <v>0</v>
      </c>
      <c r="E104" s="279">
        <f>SUM(DX103:EB103)/100</f>
        <v>0</v>
      </c>
      <c r="F104" s="279">
        <f>SUM(EC103:EG103)/100</f>
        <v>0</v>
      </c>
      <c r="G104" s="279">
        <f>SUM(EH103:EL103)/100</f>
        <v>0</v>
      </c>
      <c r="H104" s="279">
        <f>SUM(EM103:EQ103)/100</f>
        <v>0</v>
      </c>
      <c r="I104" s="279">
        <f>SUM(ER103:EV103)/100</f>
        <v>0</v>
      </c>
      <c r="J104" s="279">
        <f>SUM(EW103:FA103)/100</f>
        <v>0</v>
      </c>
      <c r="K104" s="279">
        <f>SUM(FB103:FF103)/100</f>
        <v>0</v>
      </c>
      <c r="L104" s="279">
        <f>SUM(FG103:FK103)/100</f>
        <v>0</v>
      </c>
      <c r="M104" s="279">
        <f>SUM(FL103:FP103)/100</f>
        <v>0</v>
      </c>
      <c r="AG104" s="365"/>
      <c r="AH104" s="365"/>
      <c r="AI104" s="365"/>
      <c r="AJ104" s="365"/>
      <c r="AK104" s="365"/>
      <c r="AL104" s="365"/>
      <c r="AM104" s="365"/>
      <c r="AN104" s="365"/>
      <c r="AO104" s="365"/>
      <c r="AP104" s="365"/>
      <c r="AQ104" s="365"/>
      <c r="AR104" s="365"/>
      <c r="AS104" s="365"/>
      <c r="AT104" s="365"/>
      <c r="AU104" s="365"/>
      <c r="AV104" s="365"/>
      <c r="AW104" s="365"/>
      <c r="AX104" s="365"/>
      <c r="AY104" s="365"/>
      <c r="AZ104" s="365"/>
      <c r="BA104" s="365"/>
      <c r="BB104" s="365"/>
      <c r="BC104" s="365"/>
      <c r="BD104" s="365"/>
      <c r="BE104" s="365"/>
      <c r="BF104" s="365"/>
      <c r="BG104" s="365"/>
      <c r="BH104" s="365"/>
      <c r="BI104" s="365"/>
      <c r="BJ104" s="365"/>
      <c r="BK104" s="365"/>
      <c r="BL104" s="365"/>
      <c r="BM104" s="365"/>
      <c r="BN104" s="365"/>
      <c r="BO104" s="365"/>
      <c r="BP104" s="365"/>
      <c r="BQ104" s="365"/>
      <c r="BR104" s="365"/>
      <c r="BS104" s="365"/>
      <c r="BT104" s="365"/>
      <c r="BU104" s="365"/>
      <c r="BV104" s="365"/>
      <c r="BW104" s="365"/>
      <c r="BX104" s="365"/>
      <c r="BY104" s="365"/>
      <c r="BZ104" s="365"/>
      <c r="CA104" s="365"/>
      <c r="CB104" s="365"/>
      <c r="CC104" s="365"/>
      <c r="CD104" s="365"/>
      <c r="CE104" s="365"/>
      <c r="CF104" s="365"/>
      <c r="CG104" s="365"/>
      <c r="CH104" s="365"/>
      <c r="CI104" s="365"/>
      <c r="CJ104" s="365"/>
      <c r="CK104" s="365"/>
      <c r="CL104" s="365"/>
      <c r="CM104" s="365"/>
      <c r="CN104" s="365"/>
      <c r="CO104" s="365"/>
      <c r="CP104" s="365"/>
      <c r="CQ104" s="365"/>
      <c r="CR104" s="365"/>
      <c r="CS104" s="365"/>
      <c r="CT104" s="365"/>
      <c r="CU104" s="365"/>
      <c r="CV104" s="365"/>
      <c r="CW104" s="365"/>
      <c r="CX104" s="365"/>
      <c r="CY104" s="365"/>
      <c r="CZ104" s="365"/>
      <c r="DA104" s="365"/>
      <c r="DB104" s="365"/>
      <c r="DC104" s="365"/>
      <c r="DD104" s="365"/>
      <c r="DE104" s="365"/>
      <c r="DF104" s="365"/>
      <c r="DG104" s="365"/>
      <c r="DM104" s="365"/>
      <c r="DN104" s="365"/>
      <c r="DO104" s="365"/>
      <c r="DP104" s="365"/>
      <c r="DQ104" s="365"/>
      <c r="DR104" s="365"/>
      <c r="DS104" s="365"/>
      <c r="DT104" s="365"/>
      <c r="DU104" s="365"/>
      <c r="DV104" s="365"/>
      <c r="DW104" s="365"/>
      <c r="DX104" s="365"/>
      <c r="DY104" s="365"/>
      <c r="DZ104" s="365"/>
      <c r="EA104" s="365"/>
      <c r="EB104" s="365"/>
      <c r="EC104" s="365"/>
      <c r="ED104" s="365"/>
      <c r="EE104" s="365"/>
      <c r="EF104" s="365"/>
      <c r="EG104" s="365"/>
      <c r="EH104" s="365"/>
      <c r="EI104" s="365"/>
      <c r="EJ104" s="365"/>
      <c r="EK104" s="365"/>
      <c r="EL104" s="365"/>
      <c r="EM104" s="365"/>
      <c r="EN104" s="365"/>
      <c r="EO104" s="365"/>
      <c r="EP104" s="365"/>
      <c r="EQ104" s="365"/>
      <c r="ER104" s="365"/>
      <c r="ES104" s="365"/>
      <c r="ET104" s="365"/>
      <c r="EU104" s="365"/>
      <c r="EV104" s="365"/>
      <c r="EW104" s="365"/>
      <c r="EX104" s="365"/>
      <c r="EY104" s="365"/>
      <c r="EZ104" s="365"/>
      <c r="FA104" s="365"/>
      <c r="FB104" s="365"/>
      <c r="FC104" s="365"/>
      <c r="FD104" s="365"/>
      <c r="FE104" s="365"/>
      <c r="FF104" s="365"/>
      <c r="FG104" s="365"/>
      <c r="FH104" s="365"/>
      <c r="FI104" s="365"/>
      <c r="FJ104" s="365"/>
      <c r="FK104" s="365"/>
      <c r="FL104" s="365"/>
      <c r="FM104" s="365"/>
      <c r="FN104" s="365"/>
      <c r="FO104" s="365"/>
      <c r="FP104" s="365"/>
    </row>
    <row r="105" spans="1:172" ht="21" customHeight="1" x14ac:dyDescent="0.3">
      <c r="A105" s="150" t="s">
        <v>239</v>
      </c>
      <c r="B105" s="149" t="e">
        <f>SUM(DI103:DM103)/100/Lote_25</f>
        <v>#DIV/0!</v>
      </c>
      <c r="C105" s="149" t="e">
        <f>SUM(DN103:DQ103)/100/Lote_25</f>
        <v>#DIV/0!</v>
      </c>
      <c r="D105" s="149" t="e">
        <f>SUM(DS103:DW103)/100/Lote_25</f>
        <v>#DIV/0!</v>
      </c>
      <c r="E105" s="149" t="e">
        <f>SUM(DX103:EB103)/100/Lote_25</f>
        <v>#DIV/0!</v>
      </c>
      <c r="F105" s="149" t="e">
        <f>SUM(EC103:EG103)/100/Lote_25</f>
        <v>#DIV/0!</v>
      </c>
      <c r="G105" s="149" t="e">
        <f>SUM(EH103:EL103)/100/Lote_25</f>
        <v>#DIV/0!</v>
      </c>
      <c r="H105" s="149" t="e">
        <f>SUM(EM103:EQ103)/100/Lote_25</f>
        <v>#DIV/0!</v>
      </c>
      <c r="I105" s="149" t="e">
        <f>SUM(ER103:EV103)/100/Lote_25</f>
        <v>#DIV/0!</v>
      </c>
      <c r="J105" s="149" t="e">
        <f>SUM(EW103:FA103)/100/Lote_25</f>
        <v>#DIV/0!</v>
      </c>
      <c r="K105" s="149" t="e">
        <f>SUM(FB103:FF103)/100/Lote_25</f>
        <v>#DIV/0!</v>
      </c>
      <c r="L105" s="149" t="e">
        <f>SUM(FG103:FK103)/100/Lote_25</f>
        <v>#DIV/0!</v>
      </c>
      <c r="M105" s="149" t="e">
        <f>SUM(FL103:FP103)/100/Lote_25</f>
        <v>#DIV/0!</v>
      </c>
    </row>
    <row r="106" spans="1:172" ht="21" customHeight="1" x14ac:dyDescent="0.3">
      <c r="A106" s="233">
        <f>N_L26</f>
        <v>0</v>
      </c>
      <c r="B106" s="363" t="s">
        <v>37</v>
      </c>
      <c r="C106" s="363" t="s">
        <v>37</v>
      </c>
      <c r="D106" s="363" t="s">
        <v>37</v>
      </c>
      <c r="E106" s="363" t="s">
        <v>37</v>
      </c>
      <c r="F106" s="363" t="s">
        <v>37</v>
      </c>
      <c r="G106" s="363" t="s">
        <v>37</v>
      </c>
      <c r="H106" s="363" t="s">
        <v>37</v>
      </c>
      <c r="I106" s="363" t="s">
        <v>37</v>
      </c>
      <c r="J106" s="363" t="s">
        <v>37</v>
      </c>
      <c r="K106" s="363" t="s">
        <v>37</v>
      </c>
      <c r="L106" s="363" t="s">
        <v>37</v>
      </c>
      <c r="M106" s="363" t="s">
        <v>37</v>
      </c>
    </row>
    <row r="107" spans="1:172" ht="21" customHeight="1" x14ac:dyDescent="0.3">
      <c r="A107" s="4" t="s">
        <v>237</v>
      </c>
      <c r="B107" s="7"/>
      <c r="C107" s="7"/>
      <c r="D107" s="275"/>
      <c r="E107" s="275"/>
      <c r="F107" s="275"/>
      <c r="G107" s="275"/>
      <c r="H107" s="275"/>
      <c r="I107" s="275"/>
      <c r="J107" s="275"/>
      <c r="K107" s="275"/>
      <c r="L107" s="275"/>
      <c r="M107" s="275"/>
      <c r="O107" s="58">
        <f>Área_L26*D_L26*A1_L26</f>
        <v>0</v>
      </c>
      <c r="P107" s="58">
        <f>Área_L26*D_L26*A2_L26</f>
        <v>0</v>
      </c>
      <c r="Q107" s="58">
        <f>Área_L26*D_L26*A3_L26</f>
        <v>0</v>
      </c>
      <c r="R107" s="58">
        <f>Área_L26*D_L26*A4_L26</f>
        <v>0</v>
      </c>
      <c r="S107" s="58">
        <f>Área_L26*D_L26*A5_L26</f>
        <v>0</v>
      </c>
      <c r="T107" s="58">
        <f>Área_L26*D_L26*A6_L26</f>
        <v>0</v>
      </c>
      <c r="U107" s="58">
        <f>Área_L26*D_L26*A7_L26</f>
        <v>0</v>
      </c>
      <c r="V107" s="58">
        <f>Área_L26*D_L26*A8_L26</f>
        <v>0</v>
      </c>
      <c r="W107" s="58">
        <f>Área_L26*D_L26*A9_L26</f>
        <v>0</v>
      </c>
      <c r="X107" s="58">
        <f>Área_L26*D_L26*A10_L26</f>
        <v>0</v>
      </c>
      <c r="Y107" s="58">
        <f>Área_L26*D_L26*A11_L26</f>
        <v>0</v>
      </c>
      <c r="Z107" s="58">
        <f>Área_L26*D_L26*A12_L26</f>
        <v>0</v>
      </c>
      <c r="AB107" s="58">
        <f>IF($B106="Producción",IF($B107&gt;=LI_A,$O107,0),0)</f>
        <v>0</v>
      </c>
      <c r="AC107" s="58">
        <f>IF($B106="Producción",IF($B107&gt;=LI_B,IF($B107&lt;LS_B,$O107,0),0),0)</f>
        <v>0</v>
      </c>
      <c r="AD107" s="58">
        <f>IF($B106="Producción",IF($B107&gt;=LI_C,IF($B107&lt;LS_C,$O107,0),0),0)</f>
        <v>0</v>
      </c>
      <c r="AE107" s="58">
        <f>IF($B106="Producción",IF($B107&lt;=LS_D,$O107,0),0)</f>
        <v>0</v>
      </c>
      <c r="AF107" s="365">
        <f>IF($B106="Crecimiento",$O107,0)</f>
        <v>0</v>
      </c>
      <c r="AG107" s="365">
        <f>IF($B106="Siembra",$O107,0)</f>
        <v>0</v>
      </c>
      <c r="AH107" s="365">
        <f>IF($B106="Abandono",$O107,0)</f>
        <v>0</v>
      </c>
      <c r="AI107" s="365">
        <f>IF($C106="Producción",IF($C107&gt;=LI_A,$P107,0),0)</f>
        <v>0</v>
      </c>
      <c r="AJ107" s="365">
        <f>IF($C106="Producción",IF($C107&gt;=LI_B,IF($C107&lt;LS_B,$P107,0),0),0)</f>
        <v>0</v>
      </c>
      <c r="AK107" s="365">
        <f>IF($C106="Producción",IF($C107&gt;=LI_C,IF($C107&lt;LS_C,$P107,0),0),0)</f>
        <v>0</v>
      </c>
      <c r="AL107" s="365">
        <f>IF($C106="Producción",IF(C107&lt;=LS_D,$P107,0),0)</f>
        <v>0</v>
      </c>
      <c r="AM107" s="365">
        <f>IF($C106="Crecimiento",$P107,0)</f>
        <v>0</v>
      </c>
      <c r="AN107" s="365">
        <f>IF($C106="Siembra",$P107,0)</f>
        <v>0</v>
      </c>
      <c r="AO107" s="365">
        <f>IF($C106="Abandono",$P107,0)</f>
        <v>0</v>
      </c>
      <c r="AP107" s="365">
        <f>IF($D106="Producción",IF($D107&gt;=LI_A,$Q107,0),0)</f>
        <v>0</v>
      </c>
      <c r="AQ107" s="365">
        <f>IF($D106="Producción",IF($D107&gt;=LI_B,IF($D107&lt;LS_B,$Q107,0),0),0)</f>
        <v>0</v>
      </c>
      <c r="AR107" s="365">
        <f>IF($D106="Producción",IF($D107&gt;=LI_C,IF($D107&lt;LS_C,$Q107,0),0),0)</f>
        <v>0</v>
      </c>
      <c r="AS107" s="365">
        <f>IF($D106="Producción",IF($D107&lt;=LS_D,$Q107,0),0)</f>
        <v>0</v>
      </c>
      <c r="AT107" s="365">
        <f>IF($D106="Crecimiento",$Q107,0)</f>
        <v>0</v>
      </c>
      <c r="AU107" s="365">
        <f>IF($D106="Siembra",$Q107,0)</f>
        <v>0</v>
      </c>
      <c r="AV107" s="365">
        <f>IF($D106="Abandono",$Q107,0)</f>
        <v>0</v>
      </c>
      <c r="AW107" s="365">
        <f>IF($E106="Producción",IF($E107&gt;=LI_A,$R107,0),0)</f>
        <v>0</v>
      </c>
      <c r="AX107" s="365">
        <f>IF($E106="Producción",IF($E107&gt;=LI_B,IF($E107&lt;LS_B,$R107,0),0),0)</f>
        <v>0</v>
      </c>
      <c r="AY107" s="365">
        <f>IF($E106="Producción",IF($E107&gt;=LI_C,IF($E107&lt;LS_C,$R107,0),0),0)</f>
        <v>0</v>
      </c>
      <c r="AZ107" s="365">
        <f>IF($E106="Producción",IF($E107&lt;=LS_D,$R107,0),0)</f>
        <v>0</v>
      </c>
      <c r="BA107" s="365">
        <f>IF($E106="Crecimiento",$R107,0)</f>
        <v>0</v>
      </c>
      <c r="BB107" s="365">
        <f>IF($E106="Siembra",$R107,0)</f>
        <v>0</v>
      </c>
      <c r="BC107" s="365">
        <f>IF($E106="Abandono",$R107,0)</f>
        <v>0</v>
      </c>
      <c r="BD107" s="365">
        <f>IF($F106="Producción",IF($F107&gt;=LI_A,$S107,0),0)</f>
        <v>0</v>
      </c>
      <c r="BE107" s="365">
        <f>IF($F106="Producción",IF($F107&gt;=LI_B,IF($F107&lt;LS_B,$S107,0),0),0)</f>
        <v>0</v>
      </c>
      <c r="BF107" s="365">
        <f>IF($F106="Producción",IF($F107&gt;=LI_C,IF($F107&lt;LS_C,$S107,0),0),0)</f>
        <v>0</v>
      </c>
      <c r="BG107" s="365">
        <f>IF($F106="Producción",IF($F107&lt;=LS_D,$S107,0),0)</f>
        <v>0</v>
      </c>
      <c r="BH107" s="365">
        <f>IF($F106="Crecimiento",$S107,0)</f>
        <v>0</v>
      </c>
      <c r="BI107" s="365">
        <f>IF($F106="Siembra",$S107,0)</f>
        <v>0</v>
      </c>
      <c r="BJ107" s="365">
        <f>IF($F106="Abandono",$S107,0)</f>
        <v>0</v>
      </c>
      <c r="BK107" s="365">
        <f>IF($G106="Producción",IF($G107&gt;=LI_A,$T107,0),0)</f>
        <v>0</v>
      </c>
      <c r="BL107" s="365">
        <f>IF($G106="Producción",IF($G107&gt;=LI_B,IF($G107&lt;LS_B,$T107,0),0),0)</f>
        <v>0</v>
      </c>
      <c r="BM107" s="365">
        <f>IF($G106="Producción",IF($G107&gt;=LI_C,IF($G107&lt;LS_C,$T107,0),0),0)</f>
        <v>0</v>
      </c>
      <c r="BN107" s="365">
        <f>IF($G106="Producción",IF($G107&lt;=LS_D,$T107,0),0)</f>
        <v>0</v>
      </c>
      <c r="BO107" s="365">
        <f>IF($G106="Crecimiento",$T107,0)</f>
        <v>0</v>
      </c>
      <c r="BP107" s="365">
        <f>IF($G106="Siembra",$T107,0)</f>
        <v>0</v>
      </c>
      <c r="BQ107" s="365">
        <f>IF($G106="Abandono",$T107,0)</f>
        <v>0</v>
      </c>
      <c r="BR107" s="365">
        <f>IF($H106="Producción",IF($H107&gt;=LI_A,$U107,0),0)</f>
        <v>0</v>
      </c>
      <c r="BS107" s="365">
        <f>IF($H106="Producción",IF($H107&gt;=LI_B,IF($H107&lt;LS_B,$U107,0),0),0)</f>
        <v>0</v>
      </c>
      <c r="BT107" s="365">
        <f>IF($H106="Producción",IF($H107&gt;=LI_C,IF($H107&lt;LS_C,$U107,0),0),0)</f>
        <v>0</v>
      </c>
      <c r="BU107" s="365">
        <f>IF($H106="Producción",IF($H107&lt;=LS_D,$U107,0),0)</f>
        <v>0</v>
      </c>
      <c r="BV107" s="365">
        <f>IF($H106="Crecimiento",$U107,0)</f>
        <v>0</v>
      </c>
      <c r="BW107" s="365">
        <f>IF($H106="Siembra",$U107,0)</f>
        <v>0</v>
      </c>
      <c r="BX107" s="365">
        <f>IF($H106="Abandono",$U107,0)</f>
        <v>0</v>
      </c>
      <c r="BY107" s="365">
        <f>IF($I106="Producción",IF($I107&gt;=LI_A,$V107,0),0)</f>
        <v>0</v>
      </c>
      <c r="BZ107" s="365">
        <f>IF($I106="Producción",IF($I107&gt;=LI_B,IF($I107&lt;LS_B,$V107,0),0),0)</f>
        <v>0</v>
      </c>
      <c r="CA107" s="365">
        <f>IF($I106="Producción",IF($I107&gt;=LI_C,IF($I107&lt;LS_C,$V107,0),0),0)</f>
        <v>0</v>
      </c>
      <c r="CB107" s="365">
        <f>IF($I106="Producción",IF($I107&lt;=LS_D,$V107,0),0)</f>
        <v>0</v>
      </c>
      <c r="CC107" s="365">
        <f>IF($I106="Crecimiento",$V107,0)</f>
        <v>0</v>
      </c>
      <c r="CD107" s="365">
        <f>IF($I106="Siembra",$V107,0)</f>
        <v>0</v>
      </c>
      <c r="CE107" s="365">
        <f>IF($I106="Abandono",$V107,0)</f>
        <v>0</v>
      </c>
      <c r="CF107" s="365">
        <f>IF($J106="Producción",IF($J107&gt;=LI_A,$W107,0),0)</f>
        <v>0</v>
      </c>
      <c r="CG107" s="365">
        <f>IF($J106="Producción",IF($J107&gt;=LI_B,IF($J107&lt;LS_B,$W107,0),0),0)</f>
        <v>0</v>
      </c>
      <c r="CH107" s="365">
        <f>IF($J106="Producción",IF($J107&gt;=LI_C,IF($J107&lt;LS_C,$W107,0),0),0)</f>
        <v>0</v>
      </c>
      <c r="CI107" s="365">
        <f>IF($J106="Producción",IF($J107&lt;=LS_D,$W107,0),0)</f>
        <v>0</v>
      </c>
      <c r="CJ107" s="365">
        <f>IF($J106="Crecimiento",$W107,0)</f>
        <v>0</v>
      </c>
      <c r="CK107" s="365">
        <f>IF($J106="Siembra",$W107,0)</f>
        <v>0</v>
      </c>
      <c r="CL107" s="365">
        <f>IF($J106="Abandono",$W107,0)</f>
        <v>0</v>
      </c>
      <c r="CM107" s="365">
        <f>IF($K106="Producción",IF($K107&gt;=LI_A,$X107,0),0)</f>
        <v>0</v>
      </c>
      <c r="CN107" s="365">
        <f>IF($K106="Producción",IF($K107&gt;=LI_B,IF($K107&lt;LS_B,$X107,0),0),0)</f>
        <v>0</v>
      </c>
      <c r="CO107" s="365">
        <f>IF($K106="Producción",IF($K107&gt;=LI_C,IF($K107&lt;LS_C,$X107,0),0),0)</f>
        <v>0</v>
      </c>
      <c r="CP107" s="365">
        <f>IF($K106="Producción",IF($K107&lt;=LS_D,$X107,0),0)</f>
        <v>0</v>
      </c>
      <c r="CQ107" s="365">
        <f>IF($K106="Crecimiento",IF($K107&gt;0,$X107,0),0)</f>
        <v>0</v>
      </c>
      <c r="CR107" s="365">
        <f>IF($K106="Siembra",IF($K107&gt;0,$X107,0),0)</f>
        <v>0</v>
      </c>
      <c r="CS107" s="365">
        <f>IF($K106="Abandono",IF($K107&gt;0,$X107,0),0)</f>
        <v>0</v>
      </c>
      <c r="CT107" s="365">
        <f>IF($L106="Producción",IF($L107&gt;=LI_A,$Y107,0),0)</f>
        <v>0</v>
      </c>
      <c r="CU107" s="365">
        <f>IF($L106="Producción",IF($L107&gt;=LI_B,IF($L107&lt;LS_B,$Y107,0),0),0)</f>
        <v>0</v>
      </c>
      <c r="CV107" s="365">
        <f>IF($L106="Producción",IF($L107&gt;=LI_C,IF($L107&lt;LS_C,$Y107,0),0),0)</f>
        <v>0</v>
      </c>
      <c r="CW107" s="365">
        <f>IF($L106="Producción",IF($L107&lt;=LS_D,$Y107,0),0)</f>
        <v>0</v>
      </c>
      <c r="CX107" s="365">
        <f>IF($L106="Crecimiento",$Y107,0)</f>
        <v>0</v>
      </c>
      <c r="CY107" s="365">
        <f>IF($L106="Siembra",$Y107,0)</f>
        <v>0</v>
      </c>
      <c r="CZ107" s="365">
        <f>IF($L106="Abandono",$Y107,0)</f>
        <v>0</v>
      </c>
      <c r="DA107" s="365">
        <f>IF($M106="Producción",IF($M107&gt;=LI_A,$Z107,0),0)</f>
        <v>0</v>
      </c>
      <c r="DB107" s="365">
        <f>IF($M106="Producción",IF($M107&gt;=LI_B,IF($M107&lt;LS_B,$Z107,0),0),0)</f>
        <v>0</v>
      </c>
      <c r="DC107" s="365">
        <f>IF($M106="Producción",IF($M107&gt;=LI_C,IF($M107&lt;LS_C,$Z107,0),0),0)</f>
        <v>0</v>
      </c>
      <c r="DD107" s="365">
        <f>IF($M106="Producción",IF($M107&lt;=LS_D,$Z107,0),0)</f>
        <v>0</v>
      </c>
      <c r="DE107" s="365">
        <f>IF($M106="Crecimiento",$Z107,0)</f>
        <v>0</v>
      </c>
      <c r="DF107" s="365">
        <f>IF($M106="Siembra",$Z107,0)</f>
        <v>0</v>
      </c>
      <c r="DG107" s="365">
        <f>IF($M106="Abandono",$Z107,0)</f>
        <v>0</v>
      </c>
      <c r="DI107" s="58">
        <f>AB107*$B107</f>
        <v>0</v>
      </c>
      <c r="DJ107" s="58">
        <f>AC107*$B107</f>
        <v>0</v>
      </c>
      <c r="DK107" s="58">
        <f>AD107*$B107</f>
        <v>0</v>
      </c>
      <c r="DL107" s="58">
        <f>AE107*$B107</f>
        <v>0</v>
      </c>
      <c r="DM107" s="365">
        <f>AF107*$B107</f>
        <v>0</v>
      </c>
      <c r="DN107" s="365">
        <f>AI107*$C107</f>
        <v>0</v>
      </c>
      <c r="DO107" s="365">
        <f>AJ107*$C107</f>
        <v>0</v>
      </c>
      <c r="DP107" s="365">
        <f>AK107*$C107</f>
        <v>0</v>
      </c>
      <c r="DQ107" s="365">
        <f>AL107*$C107</f>
        <v>0</v>
      </c>
      <c r="DR107" s="365">
        <f>AM107*$C107</f>
        <v>0</v>
      </c>
      <c r="DS107" s="365">
        <f>AP107*$D107</f>
        <v>0</v>
      </c>
      <c r="DT107" s="365">
        <f>AQ107*$D107</f>
        <v>0</v>
      </c>
      <c r="DU107" s="365">
        <f>AR107*$D107</f>
        <v>0</v>
      </c>
      <c r="DV107" s="365">
        <f>AS107*$D107</f>
        <v>0</v>
      </c>
      <c r="DW107" s="365">
        <f>AT107*$D107</f>
        <v>0</v>
      </c>
      <c r="DX107" s="365">
        <f>AW107*$E107</f>
        <v>0</v>
      </c>
      <c r="DY107" s="365">
        <f>AX107*$E107</f>
        <v>0</v>
      </c>
      <c r="DZ107" s="365">
        <f>AY107*$E107</f>
        <v>0</v>
      </c>
      <c r="EA107" s="365">
        <f>AZ107*$E107</f>
        <v>0</v>
      </c>
      <c r="EB107" s="365">
        <f>BA107*$E107</f>
        <v>0</v>
      </c>
      <c r="EC107" s="365">
        <f>BD107*$F107</f>
        <v>0</v>
      </c>
      <c r="ED107" s="365">
        <f>BE107*$F107</f>
        <v>0</v>
      </c>
      <c r="EE107" s="365">
        <f>BF107*$F107</f>
        <v>0</v>
      </c>
      <c r="EF107" s="365">
        <f>BG107*$F107</f>
        <v>0</v>
      </c>
      <c r="EG107" s="365">
        <f>BH107*$F107</f>
        <v>0</v>
      </c>
      <c r="EH107" s="365">
        <f>BK107*$G107</f>
        <v>0</v>
      </c>
      <c r="EI107" s="365">
        <f>BL107*$G107</f>
        <v>0</v>
      </c>
      <c r="EJ107" s="365">
        <f>BM107*$G107</f>
        <v>0</v>
      </c>
      <c r="EK107" s="365">
        <f>BN107*$G107</f>
        <v>0</v>
      </c>
      <c r="EL107" s="365">
        <f>BO107*$G107</f>
        <v>0</v>
      </c>
      <c r="EM107" s="365">
        <f>BR107*$H107</f>
        <v>0</v>
      </c>
      <c r="EN107" s="365">
        <f>BS107*$H107</f>
        <v>0</v>
      </c>
      <c r="EO107" s="365">
        <f>BT107*$H107</f>
        <v>0</v>
      </c>
      <c r="EP107" s="365">
        <f>BU107*$H107</f>
        <v>0</v>
      </c>
      <c r="EQ107" s="365">
        <f>BV107*$H107</f>
        <v>0</v>
      </c>
      <c r="ER107" s="365">
        <f>BY107*$I107</f>
        <v>0</v>
      </c>
      <c r="ES107" s="365">
        <f>BZ107*$I107</f>
        <v>0</v>
      </c>
      <c r="ET107" s="365">
        <f>CA107*$I107</f>
        <v>0</v>
      </c>
      <c r="EU107" s="365">
        <f>CB107*$I107</f>
        <v>0</v>
      </c>
      <c r="EV107" s="365">
        <f>CC107*$I107</f>
        <v>0</v>
      </c>
      <c r="EW107" s="365">
        <f>CF107*$J107</f>
        <v>0</v>
      </c>
      <c r="EX107" s="365">
        <f>CG107*$J107</f>
        <v>0</v>
      </c>
      <c r="EY107" s="365">
        <f>CH107*$J107</f>
        <v>0</v>
      </c>
      <c r="EZ107" s="365">
        <f>CI107*$J107</f>
        <v>0</v>
      </c>
      <c r="FA107" s="365">
        <f>CJ107*$J107</f>
        <v>0</v>
      </c>
      <c r="FB107" s="365">
        <f>CM107*$K107</f>
        <v>0</v>
      </c>
      <c r="FC107" s="365">
        <f>CN107*$K107</f>
        <v>0</v>
      </c>
      <c r="FD107" s="365">
        <f>CO107*$K107</f>
        <v>0</v>
      </c>
      <c r="FE107" s="365">
        <f>CP107*$K107</f>
        <v>0</v>
      </c>
      <c r="FF107" s="365">
        <f>CQ107*$K107</f>
        <v>0</v>
      </c>
      <c r="FG107" s="365">
        <f>CT107*$L107</f>
        <v>0</v>
      </c>
      <c r="FH107" s="365">
        <f>CU107*$L107</f>
        <v>0</v>
      </c>
      <c r="FI107" s="365">
        <f>CV107*$L107</f>
        <v>0</v>
      </c>
      <c r="FJ107" s="365">
        <f>CW107*$L107</f>
        <v>0</v>
      </c>
      <c r="FK107" s="365">
        <f>CX107*$L107</f>
        <v>0</v>
      </c>
      <c r="FL107" s="365">
        <f>DA107*$M107</f>
        <v>0</v>
      </c>
      <c r="FM107" s="365">
        <f t="shared" ref="FM107" si="77">DB107*$M107</f>
        <v>0</v>
      </c>
      <c r="FN107" s="365">
        <f>DC107*$M107</f>
        <v>0</v>
      </c>
      <c r="FO107" s="365">
        <f t="shared" ref="FO107" si="78">DD107*$M107</f>
        <v>0</v>
      </c>
      <c r="FP107" s="365">
        <f t="shared" ref="FP107" si="79">DE107*$M107</f>
        <v>0</v>
      </c>
    </row>
    <row r="108" spans="1:172" ht="21" customHeight="1" x14ac:dyDescent="0.3">
      <c r="A108" s="277" t="s">
        <v>238</v>
      </c>
      <c r="B108" s="278">
        <f>SUM(DI107:DM107)/100</f>
        <v>0</v>
      </c>
      <c r="C108" s="278">
        <f>SUM(DN107:DQ107)/100</f>
        <v>0</v>
      </c>
      <c r="D108" s="279">
        <f>SUM(DS107:DW107)/100</f>
        <v>0</v>
      </c>
      <c r="E108" s="279">
        <f>SUM(DX107:EB107)/100</f>
        <v>0</v>
      </c>
      <c r="F108" s="279">
        <f>SUM(EC107:EG107)/100</f>
        <v>0</v>
      </c>
      <c r="G108" s="279">
        <f>SUM(EH107:EL107)/100</f>
        <v>0</v>
      </c>
      <c r="H108" s="279">
        <f>SUM(EM107:EQ107)/100</f>
        <v>0</v>
      </c>
      <c r="I108" s="279">
        <f>SUM(ER107:EV107)/100</f>
        <v>0</v>
      </c>
      <c r="J108" s="279">
        <f>SUM(EW107:FA107)/100</f>
        <v>0</v>
      </c>
      <c r="K108" s="279">
        <f>SUM(FB107:FF107)/100</f>
        <v>0</v>
      </c>
      <c r="L108" s="279">
        <f>SUM(FG107:FK107)/100</f>
        <v>0</v>
      </c>
      <c r="M108" s="279">
        <f>SUM(FL107:FP107)/100</f>
        <v>0</v>
      </c>
      <c r="AG108" s="365"/>
      <c r="AH108" s="365"/>
      <c r="AI108" s="365"/>
      <c r="AJ108" s="365"/>
      <c r="AK108" s="365"/>
      <c r="AL108" s="365"/>
      <c r="AM108" s="365"/>
      <c r="AN108" s="365"/>
      <c r="AO108" s="365"/>
      <c r="AP108" s="365"/>
      <c r="AQ108" s="365"/>
      <c r="AR108" s="365"/>
      <c r="AS108" s="365"/>
      <c r="AT108" s="365"/>
      <c r="AU108" s="365"/>
      <c r="AV108" s="365"/>
      <c r="AW108" s="365"/>
      <c r="AX108" s="365"/>
      <c r="AY108" s="365"/>
      <c r="AZ108" s="365"/>
      <c r="BA108" s="365"/>
      <c r="BB108" s="365"/>
      <c r="BC108" s="365"/>
      <c r="BD108" s="365"/>
      <c r="BE108" s="365"/>
      <c r="BF108" s="365"/>
      <c r="BG108" s="365"/>
      <c r="BH108" s="365"/>
      <c r="BI108" s="365"/>
      <c r="BJ108" s="365"/>
      <c r="BK108" s="365"/>
      <c r="BL108" s="365"/>
      <c r="BM108" s="365"/>
      <c r="BN108" s="365"/>
      <c r="BO108" s="365"/>
      <c r="BP108" s="365"/>
      <c r="BQ108" s="365"/>
      <c r="BR108" s="365"/>
      <c r="BS108" s="365"/>
      <c r="BT108" s="365"/>
      <c r="BU108" s="365"/>
      <c r="BV108" s="365"/>
      <c r="BW108" s="365"/>
      <c r="BX108" s="365"/>
      <c r="BY108" s="365"/>
      <c r="BZ108" s="365"/>
      <c r="CA108" s="365"/>
      <c r="CB108" s="365"/>
      <c r="CC108" s="365"/>
      <c r="CD108" s="365"/>
      <c r="CE108" s="365"/>
      <c r="CF108" s="365"/>
      <c r="CG108" s="365"/>
      <c r="CH108" s="365"/>
      <c r="CI108" s="365"/>
      <c r="CJ108" s="365"/>
      <c r="CK108" s="365"/>
      <c r="CL108" s="365"/>
      <c r="CM108" s="365"/>
      <c r="CN108" s="365"/>
      <c r="CO108" s="365"/>
      <c r="CP108" s="365"/>
      <c r="CQ108" s="365"/>
      <c r="CR108" s="365"/>
      <c r="CS108" s="365"/>
      <c r="CT108" s="365"/>
      <c r="CU108" s="365"/>
      <c r="CV108" s="365"/>
      <c r="CW108" s="365"/>
      <c r="CX108" s="365"/>
      <c r="CY108" s="365"/>
      <c r="CZ108" s="365"/>
      <c r="DA108" s="365"/>
      <c r="DB108" s="365"/>
      <c r="DC108" s="365"/>
      <c r="DD108" s="365"/>
      <c r="DE108" s="365"/>
      <c r="DF108" s="365"/>
      <c r="DG108" s="365"/>
      <c r="DM108" s="365"/>
      <c r="DN108" s="365"/>
      <c r="DO108" s="365"/>
      <c r="DP108" s="365"/>
      <c r="DQ108" s="365"/>
      <c r="DR108" s="365"/>
      <c r="DS108" s="365"/>
      <c r="DT108" s="365"/>
      <c r="DU108" s="365"/>
      <c r="DV108" s="365"/>
      <c r="DW108" s="365"/>
      <c r="DX108" s="365"/>
      <c r="DY108" s="365"/>
      <c r="DZ108" s="365"/>
      <c r="EA108" s="365"/>
      <c r="EB108" s="365"/>
      <c r="EC108" s="365"/>
      <c r="ED108" s="365"/>
      <c r="EE108" s="365"/>
      <c r="EF108" s="365"/>
      <c r="EG108" s="365"/>
      <c r="EH108" s="365"/>
      <c r="EI108" s="365"/>
      <c r="EJ108" s="365"/>
      <c r="EK108" s="365"/>
      <c r="EL108" s="365"/>
      <c r="EM108" s="365"/>
      <c r="EN108" s="365"/>
      <c r="EO108" s="365"/>
      <c r="EP108" s="365"/>
      <c r="EQ108" s="365"/>
      <c r="ER108" s="365"/>
      <c r="ES108" s="365"/>
      <c r="ET108" s="365"/>
      <c r="EU108" s="365"/>
      <c r="EV108" s="365"/>
      <c r="EW108" s="365"/>
      <c r="EX108" s="365"/>
      <c r="EY108" s="365"/>
      <c r="EZ108" s="365"/>
      <c r="FA108" s="365"/>
      <c r="FB108" s="365"/>
      <c r="FC108" s="365"/>
      <c r="FD108" s="365"/>
      <c r="FE108" s="365"/>
      <c r="FF108" s="365"/>
      <c r="FG108" s="365"/>
      <c r="FH108" s="365"/>
      <c r="FI108" s="365"/>
      <c r="FJ108" s="365"/>
      <c r="FK108" s="365"/>
      <c r="FL108" s="365"/>
      <c r="FM108" s="365"/>
      <c r="FN108" s="365"/>
      <c r="FO108" s="365"/>
      <c r="FP108" s="365"/>
    </row>
    <row r="109" spans="1:172" ht="21" customHeight="1" x14ac:dyDescent="0.3">
      <c r="A109" s="150" t="s">
        <v>239</v>
      </c>
      <c r="B109" s="149" t="e">
        <f>SUM(DI107:DM107)/100/Lote_26</f>
        <v>#DIV/0!</v>
      </c>
      <c r="C109" s="149" t="e">
        <f>SUM(DN107:DQ107)/100/Lote_26</f>
        <v>#DIV/0!</v>
      </c>
      <c r="D109" s="149" t="e">
        <f>SUM(DS107:DW107)/100/Lote_26</f>
        <v>#DIV/0!</v>
      </c>
      <c r="E109" s="149" t="e">
        <f>SUM(DX107:EB107)/100/Lote_26</f>
        <v>#DIV/0!</v>
      </c>
      <c r="F109" s="149" t="e">
        <f>SUM(EC107:EG107)/100/Lote_26</f>
        <v>#DIV/0!</v>
      </c>
      <c r="G109" s="149" t="e">
        <f>SUM(EH107:EL107)/100/Lote_26</f>
        <v>#DIV/0!</v>
      </c>
      <c r="H109" s="149" t="e">
        <f>SUM(EM107:EQ107)/100/Lote_26</f>
        <v>#DIV/0!</v>
      </c>
      <c r="I109" s="149" t="e">
        <f>SUM(ER107:EV107)/100/Lote_26</f>
        <v>#DIV/0!</v>
      </c>
      <c r="J109" s="149" t="e">
        <f>SUM(EW107:FA107)/100/Lote_26</f>
        <v>#DIV/0!</v>
      </c>
      <c r="K109" s="149" t="e">
        <f>SUM(FB107:FF107)/100/Lote_26</f>
        <v>#DIV/0!</v>
      </c>
      <c r="L109" s="149" t="e">
        <f>SUM(FG107:FK107)/100/Lote_26</f>
        <v>#DIV/0!</v>
      </c>
      <c r="M109" s="149" t="e">
        <f>SUM(FL107:FP107)/100/Lote_26</f>
        <v>#DIV/0!</v>
      </c>
    </row>
    <row r="110" spans="1:172" ht="21" customHeight="1" x14ac:dyDescent="0.3">
      <c r="A110" s="233">
        <f>N_L27</f>
        <v>0</v>
      </c>
      <c r="B110" s="363" t="s">
        <v>37</v>
      </c>
      <c r="C110" s="363" t="s">
        <v>37</v>
      </c>
      <c r="D110" s="363" t="s">
        <v>37</v>
      </c>
      <c r="E110" s="363" t="s">
        <v>37</v>
      </c>
      <c r="F110" s="363" t="s">
        <v>37</v>
      </c>
      <c r="G110" s="363" t="s">
        <v>37</v>
      </c>
      <c r="H110" s="363" t="s">
        <v>37</v>
      </c>
      <c r="I110" s="363" t="s">
        <v>37</v>
      </c>
      <c r="J110" s="363" t="s">
        <v>37</v>
      </c>
      <c r="K110" s="363" t="s">
        <v>37</v>
      </c>
      <c r="L110" s="363" t="s">
        <v>37</v>
      </c>
      <c r="M110" s="363" t="s">
        <v>37</v>
      </c>
    </row>
    <row r="111" spans="1:172" ht="21" customHeight="1" x14ac:dyDescent="0.3">
      <c r="A111" s="4" t="s">
        <v>237</v>
      </c>
      <c r="B111" s="7"/>
      <c r="C111" s="7"/>
      <c r="D111" s="275"/>
      <c r="E111" s="275"/>
      <c r="F111" s="275"/>
      <c r="G111" s="275"/>
      <c r="H111" s="275"/>
      <c r="I111" s="275"/>
      <c r="J111" s="275"/>
      <c r="K111" s="275"/>
      <c r="L111" s="275"/>
      <c r="M111" s="275"/>
      <c r="O111" s="58">
        <f>Área_L27*D_L27*A1_L27</f>
        <v>0</v>
      </c>
      <c r="P111" s="58">
        <f>Área_L27*D_L27*A2_L27</f>
        <v>0</v>
      </c>
      <c r="Q111" s="58">
        <f>Área_L27*D_L27*A3_L27</f>
        <v>0</v>
      </c>
      <c r="R111" s="58">
        <f>Área_L27*D_L27*A4_L27</f>
        <v>0</v>
      </c>
      <c r="S111" s="58">
        <f>Área_L27*D_L27*A5_L27</f>
        <v>0</v>
      </c>
      <c r="T111" s="58">
        <f>Área_L27*D_L27*A6_L27</f>
        <v>0</v>
      </c>
      <c r="U111" s="58">
        <f>Área_L27*D_L27*A7_L27</f>
        <v>0</v>
      </c>
      <c r="V111" s="58">
        <f>Área_L27*D_L27*A8_L27</f>
        <v>0</v>
      </c>
      <c r="W111" s="58">
        <f>Área_L27*D_L27*A9_L27</f>
        <v>0</v>
      </c>
      <c r="X111" s="58">
        <f>Área_L27*D_L27*A10_L27</f>
        <v>0</v>
      </c>
      <c r="Y111" s="58">
        <f>Área_L27*D_L27*A11_L27</f>
        <v>0</v>
      </c>
      <c r="Z111" s="58">
        <f>Área_L27*D_L27*A12_L27</f>
        <v>0</v>
      </c>
      <c r="AB111" s="58">
        <f>IF($B110="Producción",IF($B111&gt;=LI_A,$O111,0),0)</f>
        <v>0</v>
      </c>
      <c r="AC111" s="58">
        <f>IF($B110="Producción",IF($B111&gt;=LI_B,IF($B111&lt;LS_B,$O111,0),0),0)</f>
        <v>0</v>
      </c>
      <c r="AD111" s="58">
        <f>IF($B110="Producción",IF($B111&gt;=LI_C,IF($B111&lt;LS_C,$O111,0),0),0)</f>
        <v>0</v>
      </c>
      <c r="AE111" s="58">
        <f>IF($B110="Producción",IF($B111&lt;=LS_D,$O111,0),0)</f>
        <v>0</v>
      </c>
      <c r="AF111" s="365">
        <f>IF($B110="Crecimiento",$O111,0)</f>
        <v>0</v>
      </c>
      <c r="AG111" s="365">
        <f>IF($B110="Siembra",$O111,0)</f>
        <v>0</v>
      </c>
      <c r="AH111" s="365">
        <f>IF($B110="Abandono",$O111,0)</f>
        <v>0</v>
      </c>
      <c r="AI111" s="365">
        <f>IF($C110="Producción",IF($C111&gt;=LI_A,$P111,0),0)</f>
        <v>0</v>
      </c>
      <c r="AJ111" s="365">
        <f>IF($C110="Producción",IF($C111&gt;=LI_B,IF($C111&lt;LS_B,$P111,0),0),0)</f>
        <v>0</v>
      </c>
      <c r="AK111" s="365">
        <f>IF($C110="Producción",IF($C111&gt;=LI_C,IF($C111&lt;LS_C,$P111,0),0),0)</f>
        <v>0</v>
      </c>
      <c r="AL111" s="365">
        <f>IF($C110="Producción",IF(C111&lt;=LS_D,$P111,0),0)</f>
        <v>0</v>
      </c>
      <c r="AM111" s="365">
        <f>IF($C110="Crecimiento",$P111,0)</f>
        <v>0</v>
      </c>
      <c r="AN111" s="365">
        <f>IF($C110="Siembra",$P111,0)</f>
        <v>0</v>
      </c>
      <c r="AO111" s="365">
        <f>IF($C110="Abandono",$P111,0)</f>
        <v>0</v>
      </c>
      <c r="AP111" s="365">
        <f>IF($D110="Producción",IF($D111&gt;=LI_A,$Q111,0),0)</f>
        <v>0</v>
      </c>
      <c r="AQ111" s="365">
        <f>IF($D110="Producción",IF($D111&gt;=LI_B,IF($D111&lt;LS_B,$Q111,0),0),0)</f>
        <v>0</v>
      </c>
      <c r="AR111" s="365">
        <f>IF($D110="Producción",IF($D111&gt;=LI_C,IF($D111&lt;LS_C,$Q111,0),0),0)</f>
        <v>0</v>
      </c>
      <c r="AS111" s="365">
        <f>IF($D110="Producción",IF($D111&lt;=LS_D,$Q111,0),0)</f>
        <v>0</v>
      </c>
      <c r="AT111" s="365">
        <f>IF($D110="Crecimiento",$Q111,0)</f>
        <v>0</v>
      </c>
      <c r="AU111" s="365">
        <f>IF($D110="Siembra",$Q111,0)</f>
        <v>0</v>
      </c>
      <c r="AV111" s="365">
        <f>IF($D110="Abandono",$Q111,0)</f>
        <v>0</v>
      </c>
      <c r="AW111" s="365">
        <f>IF($E110="Producción",IF($E111&gt;=LI_A,$R111,0),0)</f>
        <v>0</v>
      </c>
      <c r="AX111" s="365">
        <f>IF($E110="Producción",IF($E111&gt;=LI_B,IF($E111&lt;LS_B,$R111,0),0),0)</f>
        <v>0</v>
      </c>
      <c r="AY111" s="365">
        <f>IF($E110="Producción",IF($E111&gt;=LI_C,IF($E111&lt;LS_C,$R111,0),0),0)</f>
        <v>0</v>
      </c>
      <c r="AZ111" s="365">
        <f>IF($E110="Producción",IF($E111&lt;=LS_D,$R111,0),0)</f>
        <v>0</v>
      </c>
      <c r="BA111" s="365">
        <f>IF($E110="Crecimiento",$R111,0)</f>
        <v>0</v>
      </c>
      <c r="BB111" s="365">
        <f>IF($E110="Siembra",$R111,0)</f>
        <v>0</v>
      </c>
      <c r="BC111" s="365">
        <f>IF($E110="Abandono",$R111,0)</f>
        <v>0</v>
      </c>
      <c r="BD111" s="365">
        <f>IF($F110="Producción",IF($F111&gt;=LI_A,$S111,0),0)</f>
        <v>0</v>
      </c>
      <c r="BE111" s="365">
        <f>IF($F110="Producción",IF($F111&gt;=LI_B,IF($F111&lt;LS_B,$S111,0),0),0)</f>
        <v>0</v>
      </c>
      <c r="BF111" s="365">
        <f>IF($F110="Producción",IF($F111&gt;=LI_C,IF($F111&lt;LS_C,$S111,0),0),0)</f>
        <v>0</v>
      </c>
      <c r="BG111" s="365">
        <f>IF($F110="Producción",IF($F111&lt;=LS_D,$S111,0),0)</f>
        <v>0</v>
      </c>
      <c r="BH111" s="365">
        <f>IF($F110="Crecimiento",$S111,0)</f>
        <v>0</v>
      </c>
      <c r="BI111" s="365">
        <f>IF($F110="Siembra",$S111,0)</f>
        <v>0</v>
      </c>
      <c r="BJ111" s="365">
        <f>IF($F110="Abandono",$S111,0)</f>
        <v>0</v>
      </c>
      <c r="BK111" s="365">
        <f>IF($G110="Producción",IF($G111&gt;=LI_A,$T111,0),0)</f>
        <v>0</v>
      </c>
      <c r="BL111" s="365">
        <f>IF($G110="Producción",IF($G111&gt;=LI_B,IF($G111&lt;LS_B,$T111,0),0),0)</f>
        <v>0</v>
      </c>
      <c r="BM111" s="365">
        <f>IF($G110="Producción",IF($G111&gt;=LI_C,IF($G111&lt;LS_C,$T111,0),0),0)</f>
        <v>0</v>
      </c>
      <c r="BN111" s="365">
        <f>IF($G110="Producción",IF($G111&lt;=LS_D,$T111,0),0)</f>
        <v>0</v>
      </c>
      <c r="BO111" s="365">
        <f>IF($G110="Crecimiento",$T111,0)</f>
        <v>0</v>
      </c>
      <c r="BP111" s="365">
        <f>IF($G110="Siembra",$T111,0)</f>
        <v>0</v>
      </c>
      <c r="BQ111" s="365">
        <f>IF($G110="Abandono",$T111,0)</f>
        <v>0</v>
      </c>
      <c r="BR111" s="365">
        <f>IF($H110="Producción",IF($H111&gt;=LI_A,$U111,0),0)</f>
        <v>0</v>
      </c>
      <c r="BS111" s="365">
        <f>IF($H110="Producción",IF($H111&gt;=LI_B,IF($H111&lt;LS_B,$U111,0),0),0)</f>
        <v>0</v>
      </c>
      <c r="BT111" s="365">
        <f>IF($H110="Producción",IF($H111&gt;=LI_C,IF($H111&lt;LS_C,$U111,0),0),0)</f>
        <v>0</v>
      </c>
      <c r="BU111" s="365">
        <f>IF($H110="Producción",IF($H111&lt;=LS_D,$U111,0),0)</f>
        <v>0</v>
      </c>
      <c r="BV111" s="365">
        <f>IF($H110="Crecimiento",$U111,0)</f>
        <v>0</v>
      </c>
      <c r="BW111" s="365">
        <f>IF($H110="Siembra",$U111,0)</f>
        <v>0</v>
      </c>
      <c r="BX111" s="365">
        <f>IF($H110="Abandono",$U111,0)</f>
        <v>0</v>
      </c>
      <c r="BY111" s="365">
        <f>IF($I110="Producción",IF($I111&gt;=LI_A,$V111,0),0)</f>
        <v>0</v>
      </c>
      <c r="BZ111" s="365">
        <f>IF($I110="Producción",IF($I111&gt;=LI_B,IF($I111&lt;LS_B,$V111,0),0),0)</f>
        <v>0</v>
      </c>
      <c r="CA111" s="365">
        <f>IF($I110="Producción",IF($I111&gt;=LI_C,IF($I111&lt;LS_C,$V111,0),0),0)</f>
        <v>0</v>
      </c>
      <c r="CB111" s="365">
        <f>IF($I110="Producción",IF($I111&lt;=LS_D,$V111,0),0)</f>
        <v>0</v>
      </c>
      <c r="CC111" s="365">
        <f>IF($I110="Crecimiento",$V111,0)</f>
        <v>0</v>
      </c>
      <c r="CD111" s="365">
        <f>IF($I110="Siembra",$V111,0)</f>
        <v>0</v>
      </c>
      <c r="CE111" s="365">
        <f>IF($I110="Abandono",$V111,0)</f>
        <v>0</v>
      </c>
      <c r="CF111" s="365">
        <f>IF($J110="Producción",IF($J111&gt;=LI_A,$W111,0),0)</f>
        <v>0</v>
      </c>
      <c r="CG111" s="365">
        <f>IF($J110="Producción",IF($J111&gt;=LI_B,IF($J111&lt;LS_B,$W111,0),0),0)</f>
        <v>0</v>
      </c>
      <c r="CH111" s="365">
        <f>IF($J110="Producción",IF($J111&gt;=LI_C,IF($J111&lt;LS_C,$W111,0),0),0)</f>
        <v>0</v>
      </c>
      <c r="CI111" s="365">
        <f>IF($J110="Producción",IF($J111&lt;=LS_D,$W111,0),0)</f>
        <v>0</v>
      </c>
      <c r="CJ111" s="365">
        <f>IF($J110="Crecimiento",$W111,0)</f>
        <v>0</v>
      </c>
      <c r="CK111" s="365">
        <f>IF($J110="Siembra",$W111,0)</f>
        <v>0</v>
      </c>
      <c r="CL111" s="365">
        <f>IF($J110="Abandono",$W111,0)</f>
        <v>0</v>
      </c>
      <c r="CM111" s="365">
        <f>IF($K110="Producción",IF($K111&gt;=LI_A,$X111,0),0)</f>
        <v>0</v>
      </c>
      <c r="CN111" s="365">
        <f>IF($K110="Producción",IF($K111&gt;=LI_B,IF($K111&lt;LS_B,$X111,0),0),0)</f>
        <v>0</v>
      </c>
      <c r="CO111" s="365">
        <f>IF($K110="Producción",IF($K111&gt;=LI_C,IF($K111&lt;LS_C,$X111,0),0),0)</f>
        <v>0</v>
      </c>
      <c r="CP111" s="365">
        <f>IF($K110="Producción",IF($K111&lt;=LS_D,$X111,0),0)</f>
        <v>0</v>
      </c>
      <c r="CQ111" s="365">
        <f>IF($K110="Crecimiento",IF($K111&gt;0,$X111,0),0)</f>
        <v>0</v>
      </c>
      <c r="CR111" s="365">
        <f>IF($K110="Siembra",IF($K111&gt;0,$X111,0),0)</f>
        <v>0</v>
      </c>
      <c r="CS111" s="365">
        <f>IF($K110="Abandono",IF($K111&gt;0,$X111,0),0)</f>
        <v>0</v>
      </c>
      <c r="CT111" s="365">
        <f>IF($L110="Producción",IF($L111&gt;=LI_A,$Y111,0),0)</f>
        <v>0</v>
      </c>
      <c r="CU111" s="365">
        <f>IF($L110="Producción",IF($L111&gt;=LI_B,IF($L111&lt;LS_B,$Y111,0),0),0)</f>
        <v>0</v>
      </c>
      <c r="CV111" s="365">
        <f>IF($L110="Producción",IF($L111&gt;=LI_C,IF($L111&lt;LS_C,$Y111,0),0),0)</f>
        <v>0</v>
      </c>
      <c r="CW111" s="365">
        <f>IF($L110="Producción",IF($L111&lt;=LS_D,$Y111,0),0)</f>
        <v>0</v>
      </c>
      <c r="CX111" s="365">
        <f>IF($L110="Crecimiento",$Y111,0)</f>
        <v>0</v>
      </c>
      <c r="CY111" s="365">
        <f>IF($L110="Siembra",$Y111,0)</f>
        <v>0</v>
      </c>
      <c r="CZ111" s="365">
        <f>IF($L110="Abandono",$Y111,0)</f>
        <v>0</v>
      </c>
      <c r="DA111" s="365">
        <f>IF($M110="Producción",IF($M111&gt;=LI_A,$Z111,0),0)</f>
        <v>0</v>
      </c>
      <c r="DB111" s="365">
        <f>IF($M110="Producción",IF($M111&gt;=LI_B,IF($M111&lt;LS_B,$Z111,0),0),0)</f>
        <v>0</v>
      </c>
      <c r="DC111" s="365">
        <f>IF($M110="Producción",IF($M111&gt;=LI_C,IF($M111&lt;LS_C,$Z111,0),0),0)</f>
        <v>0</v>
      </c>
      <c r="DD111" s="365">
        <f>IF($M110="Producción",IF($M111&lt;=LS_D,$Z111,0),0)</f>
        <v>0</v>
      </c>
      <c r="DE111" s="365">
        <f>IF($M110="Crecimiento",$Z111,0)</f>
        <v>0</v>
      </c>
      <c r="DF111" s="365">
        <f>IF($M110="Siembra",$Z111,0)</f>
        <v>0</v>
      </c>
      <c r="DG111" s="365">
        <f>IF($M110="Abandono",$Z111,0)</f>
        <v>0</v>
      </c>
      <c r="DI111" s="58">
        <f>AB111*$B111</f>
        <v>0</v>
      </c>
      <c r="DJ111" s="58">
        <f>AC111*$B111</f>
        <v>0</v>
      </c>
      <c r="DK111" s="58">
        <f>AD111*$B111</f>
        <v>0</v>
      </c>
      <c r="DL111" s="58">
        <f>AE111*$B111</f>
        <v>0</v>
      </c>
      <c r="DM111" s="365">
        <f>AF111*$B111</f>
        <v>0</v>
      </c>
      <c r="DN111" s="365">
        <f>AI111*$C111</f>
        <v>0</v>
      </c>
      <c r="DO111" s="365">
        <f>AJ111*$C111</f>
        <v>0</v>
      </c>
      <c r="DP111" s="365">
        <f>AK111*$C111</f>
        <v>0</v>
      </c>
      <c r="DQ111" s="365">
        <f>AL111*$C111</f>
        <v>0</v>
      </c>
      <c r="DR111" s="365">
        <f>AM111*$C111</f>
        <v>0</v>
      </c>
      <c r="DS111" s="365">
        <f>AP111*$D111</f>
        <v>0</v>
      </c>
      <c r="DT111" s="365">
        <f>AQ111*$D111</f>
        <v>0</v>
      </c>
      <c r="DU111" s="365">
        <f>AR111*$D111</f>
        <v>0</v>
      </c>
      <c r="DV111" s="365">
        <f>AS111*$D111</f>
        <v>0</v>
      </c>
      <c r="DW111" s="365">
        <f>AT111*$D111</f>
        <v>0</v>
      </c>
      <c r="DX111" s="365">
        <f>AW111*$E111</f>
        <v>0</v>
      </c>
      <c r="DY111" s="365">
        <f>AX111*$E111</f>
        <v>0</v>
      </c>
      <c r="DZ111" s="365">
        <f>AY111*$E111</f>
        <v>0</v>
      </c>
      <c r="EA111" s="365">
        <f>AZ111*$E111</f>
        <v>0</v>
      </c>
      <c r="EB111" s="365">
        <f>BA111*$E111</f>
        <v>0</v>
      </c>
      <c r="EC111" s="365">
        <f>BD111*$F111</f>
        <v>0</v>
      </c>
      <c r="ED111" s="365">
        <f>BE111*$F111</f>
        <v>0</v>
      </c>
      <c r="EE111" s="365">
        <f>BF111*$F111</f>
        <v>0</v>
      </c>
      <c r="EF111" s="365">
        <f>BG111*$F111</f>
        <v>0</v>
      </c>
      <c r="EG111" s="365">
        <f>BH111*$F111</f>
        <v>0</v>
      </c>
      <c r="EH111" s="365">
        <f>BK111*$G111</f>
        <v>0</v>
      </c>
      <c r="EI111" s="365">
        <f>BL111*$G111</f>
        <v>0</v>
      </c>
      <c r="EJ111" s="365">
        <f>BM111*$G111</f>
        <v>0</v>
      </c>
      <c r="EK111" s="365">
        <f>BN111*$G111</f>
        <v>0</v>
      </c>
      <c r="EL111" s="365">
        <f>BO111*$G111</f>
        <v>0</v>
      </c>
      <c r="EM111" s="365">
        <f>BR111*$H111</f>
        <v>0</v>
      </c>
      <c r="EN111" s="365">
        <f>BS111*$H111</f>
        <v>0</v>
      </c>
      <c r="EO111" s="365">
        <f>BT111*$H111</f>
        <v>0</v>
      </c>
      <c r="EP111" s="365">
        <f>BU111*$H111</f>
        <v>0</v>
      </c>
      <c r="EQ111" s="365">
        <f>BV111*$H111</f>
        <v>0</v>
      </c>
      <c r="ER111" s="365">
        <f>BY111*$I111</f>
        <v>0</v>
      </c>
      <c r="ES111" s="365">
        <f>BZ111*$I111</f>
        <v>0</v>
      </c>
      <c r="ET111" s="365">
        <f>CA111*$I111</f>
        <v>0</v>
      </c>
      <c r="EU111" s="365">
        <f>CB111*$I111</f>
        <v>0</v>
      </c>
      <c r="EV111" s="365">
        <f>CC111*$I111</f>
        <v>0</v>
      </c>
      <c r="EW111" s="365">
        <f>CF111*$J111</f>
        <v>0</v>
      </c>
      <c r="EX111" s="365">
        <f>CG111*$J111</f>
        <v>0</v>
      </c>
      <c r="EY111" s="365">
        <f>CH111*$J111</f>
        <v>0</v>
      </c>
      <c r="EZ111" s="365">
        <f>CI111*$J111</f>
        <v>0</v>
      </c>
      <c r="FA111" s="365">
        <f>CJ111*$J111</f>
        <v>0</v>
      </c>
      <c r="FB111" s="365">
        <f>CM111*$K111</f>
        <v>0</v>
      </c>
      <c r="FC111" s="365">
        <f>CN111*$K111</f>
        <v>0</v>
      </c>
      <c r="FD111" s="365">
        <f>CO111*$K111</f>
        <v>0</v>
      </c>
      <c r="FE111" s="365">
        <f>CP111*$K111</f>
        <v>0</v>
      </c>
      <c r="FF111" s="365">
        <f>CQ111*$K111</f>
        <v>0</v>
      </c>
      <c r="FG111" s="365">
        <f>CT111*$L111</f>
        <v>0</v>
      </c>
      <c r="FH111" s="365">
        <f>CU111*$L111</f>
        <v>0</v>
      </c>
      <c r="FI111" s="365">
        <f>CV111*$L111</f>
        <v>0</v>
      </c>
      <c r="FJ111" s="365">
        <f>CW111*$L111</f>
        <v>0</v>
      </c>
      <c r="FK111" s="365">
        <f>CX111*$L111</f>
        <v>0</v>
      </c>
      <c r="FL111" s="365">
        <f>DA111*$M111</f>
        <v>0</v>
      </c>
      <c r="FM111" s="365">
        <f t="shared" ref="FM111" si="80">DB111*$M111</f>
        <v>0</v>
      </c>
      <c r="FN111" s="365">
        <f>DC111*$M111</f>
        <v>0</v>
      </c>
      <c r="FO111" s="365">
        <f t="shared" ref="FO111" si="81">DD111*$M111</f>
        <v>0</v>
      </c>
      <c r="FP111" s="365">
        <f t="shared" ref="FP111" si="82">DE111*$M111</f>
        <v>0</v>
      </c>
    </row>
    <row r="112" spans="1:172" ht="21" customHeight="1" x14ac:dyDescent="0.3">
      <c r="A112" s="277" t="s">
        <v>238</v>
      </c>
      <c r="B112" s="278">
        <f>SUM(DI111:DM111)/100</f>
        <v>0</v>
      </c>
      <c r="C112" s="278">
        <f>SUM(DN111:DQ111)/100</f>
        <v>0</v>
      </c>
      <c r="D112" s="279">
        <f>SUM(DS111:DW111)/100</f>
        <v>0</v>
      </c>
      <c r="E112" s="279">
        <f>SUM(DX111:EB111)/100</f>
        <v>0</v>
      </c>
      <c r="F112" s="279">
        <f>SUM(EC111:EG111)/100</f>
        <v>0</v>
      </c>
      <c r="G112" s="279">
        <f>SUM(EH111:EL111)/100</f>
        <v>0</v>
      </c>
      <c r="H112" s="279">
        <f>SUM(EM111:EQ111)/100</f>
        <v>0</v>
      </c>
      <c r="I112" s="279">
        <f>SUM(ER111:EV111)/100</f>
        <v>0</v>
      </c>
      <c r="J112" s="279">
        <f>SUM(EW111:FA111)/100</f>
        <v>0</v>
      </c>
      <c r="K112" s="279">
        <f>SUM(FB111:FF111)/100</f>
        <v>0</v>
      </c>
      <c r="L112" s="279">
        <f>SUM(FG111:FK111)/100</f>
        <v>0</v>
      </c>
      <c r="M112" s="279">
        <f>SUM(FL111:FP111)/100</f>
        <v>0</v>
      </c>
      <c r="AG112" s="365"/>
      <c r="AH112" s="365"/>
      <c r="AI112" s="365"/>
      <c r="AJ112" s="365"/>
      <c r="AK112" s="365"/>
      <c r="AL112" s="365"/>
      <c r="AM112" s="365"/>
      <c r="AN112" s="365"/>
      <c r="AO112" s="365"/>
      <c r="AP112" s="365"/>
      <c r="AQ112" s="365"/>
      <c r="AR112" s="365"/>
      <c r="AS112" s="365"/>
      <c r="AT112" s="365"/>
      <c r="AU112" s="365"/>
      <c r="AV112" s="365"/>
      <c r="AW112" s="365"/>
      <c r="AX112" s="365"/>
      <c r="AY112" s="365"/>
      <c r="AZ112" s="365"/>
      <c r="BA112" s="365"/>
      <c r="BB112" s="365"/>
      <c r="BC112" s="365"/>
      <c r="BD112" s="365"/>
      <c r="BE112" s="365"/>
      <c r="BF112" s="365"/>
      <c r="BG112" s="365"/>
      <c r="BH112" s="365"/>
      <c r="BI112" s="365"/>
      <c r="BJ112" s="365"/>
      <c r="BK112" s="365"/>
      <c r="BL112" s="365"/>
      <c r="BM112" s="365"/>
      <c r="BN112" s="365"/>
      <c r="BO112" s="365"/>
      <c r="BP112" s="365"/>
      <c r="BQ112" s="365"/>
      <c r="BR112" s="365"/>
      <c r="BS112" s="365"/>
      <c r="BT112" s="365"/>
      <c r="BU112" s="365"/>
      <c r="BV112" s="365"/>
      <c r="BW112" s="365"/>
      <c r="BX112" s="365"/>
      <c r="BY112" s="365"/>
      <c r="BZ112" s="365"/>
      <c r="CA112" s="365"/>
      <c r="CB112" s="365"/>
      <c r="CC112" s="365"/>
      <c r="CD112" s="365"/>
      <c r="CE112" s="365"/>
      <c r="CF112" s="365"/>
      <c r="CG112" s="365"/>
      <c r="CH112" s="365"/>
      <c r="CI112" s="365"/>
      <c r="CJ112" s="365"/>
      <c r="CK112" s="365"/>
      <c r="CL112" s="365"/>
      <c r="CM112" s="365"/>
      <c r="CN112" s="365"/>
      <c r="CO112" s="365"/>
      <c r="CP112" s="365"/>
      <c r="CQ112" s="365"/>
      <c r="CR112" s="365"/>
      <c r="CS112" s="365"/>
      <c r="CT112" s="365"/>
      <c r="CU112" s="365"/>
      <c r="CV112" s="365"/>
      <c r="CW112" s="365"/>
      <c r="CX112" s="365"/>
      <c r="CY112" s="365"/>
      <c r="CZ112" s="365"/>
      <c r="DA112" s="365"/>
      <c r="DB112" s="365"/>
      <c r="DC112" s="365"/>
      <c r="DD112" s="365"/>
      <c r="DE112" s="365"/>
      <c r="DF112" s="365"/>
      <c r="DG112" s="365"/>
      <c r="DM112" s="365"/>
      <c r="DN112" s="365"/>
      <c r="DO112" s="365"/>
      <c r="DP112" s="365"/>
      <c r="DQ112" s="365"/>
      <c r="DR112" s="365"/>
      <c r="DS112" s="365"/>
      <c r="DT112" s="365"/>
      <c r="DU112" s="365"/>
      <c r="DV112" s="365"/>
      <c r="DW112" s="365"/>
      <c r="DX112" s="365"/>
      <c r="DY112" s="365"/>
      <c r="DZ112" s="365"/>
      <c r="EA112" s="365"/>
      <c r="EB112" s="365"/>
      <c r="EC112" s="365"/>
      <c r="ED112" s="365"/>
      <c r="EE112" s="365"/>
      <c r="EF112" s="365"/>
      <c r="EG112" s="365"/>
      <c r="EH112" s="365"/>
      <c r="EI112" s="365"/>
      <c r="EJ112" s="365"/>
      <c r="EK112" s="365"/>
      <c r="EL112" s="365"/>
      <c r="EM112" s="365"/>
      <c r="EN112" s="365"/>
      <c r="EO112" s="365"/>
      <c r="EP112" s="365"/>
      <c r="EQ112" s="365"/>
      <c r="ER112" s="365"/>
      <c r="ES112" s="365"/>
      <c r="ET112" s="365"/>
      <c r="EU112" s="365"/>
      <c r="EV112" s="365"/>
      <c r="EW112" s="365"/>
      <c r="EX112" s="365"/>
      <c r="EY112" s="365"/>
      <c r="EZ112" s="365"/>
      <c r="FA112" s="365"/>
      <c r="FB112" s="365"/>
      <c r="FC112" s="365"/>
      <c r="FD112" s="365"/>
      <c r="FE112" s="365"/>
      <c r="FF112" s="365"/>
      <c r="FG112" s="365"/>
      <c r="FH112" s="365"/>
      <c r="FI112" s="365"/>
      <c r="FJ112" s="365"/>
      <c r="FK112" s="365"/>
      <c r="FL112" s="365"/>
      <c r="FM112" s="365"/>
      <c r="FN112" s="365"/>
      <c r="FO112" s="365"/>
      <c r="FP112" s="365"/>
    </row>
    <row r="113" spans="1:172" ht="21" customHeight="1" x14ac:dyDescent="0.3">
      <c r="A113" s="150" t="s">
        <v>239</v>
      </c>
      <c r="B113" s="149" t="e">
        <f>SUM(DI111:DM111)/100/Lote_27</f>
        <v>#DIV/0!</v>
      </c>
      <c r="C113" s="149" t="e">
        <f>SUM(DN111:DQ111)/100/Lote_27</f>
        <v>#DIV/0!</v>
      </c>
      <c r="D113" s="149" t="e">
        <f>SUM(DS111:DW111)/100/Lote_27</f>
        <v>#DIV/0!</v>
      </c>
      <c r="E113" s="149" t="e">
        <f>SUM(DX111:EB111)/100/Lote_27</f>
        <v>#DIV/0!</v>
      </c>
      <c r="F113" s="149" t="e">
        <f>SUM(EC111:EG111)/100/Lote_27</f>
        <v>#DIV/0!</v>
      </c>
      <c r="G113" s="149" t="e">
        <f>SUM(EH111:EL111)/100/Lote_27</f>
        <v>#DIV/0!</v>
      </c>
      <c r="H113" s="149" t="e">
        <f>SUM(EM111:EQ111)/100/Lote_27</f>
        <v>#DIV/0!</v>
      </c>
      <c r="I113" s="149" t="e">
        <f>SUM(ER111:EV111)/100/Lote_27</f>
        <v>#DIV/0!</v>
      </c>
      <c r="J113" s="149" t="e">
        <f>SUM(EW111:FA111)/100/Lote_27</f>
        <v>#DIV/0!</v>
      </c>
      <c r="K113" s="149" t="e">
        <f>SUM(FB111:FF111)/100/Lote_27</f>
        <v>#DIV/0!</v>
      </c>
      <c r="L113" s="149" t="e">
        <f>SUM(FG111:FK111)/100/Lote_27</f>
        <v>#DIV/0!</v>
      </c>
      <c r="M113" s="149" t="e">
        <f>SUM(FL111:FP111)/100/Lote_27</f>
        <v>#DIV/0!</v>
      </c>
    </row>
    <row r="114" spans="1:172" ht="21" customHeight="1" x14ac:dyDescent="0.3">
      <c r="A114" s="233">
        <f>N_L28</f>
        <v>0</v>
      </c>
      <c r="B114" s="363" t="s">
        <v>37</v>
      </c>
      <c r="C114" s="363" t="s">
        <v>37</v>
      </c>
      <c r="D114" s="363" t="s">
        <v>37</v>
      </c>
      <c r="E114" s="363" t="s">
        <v>37</v>
      </c>
      <c r="F114" s="363" t="s">
        <v>37</v>
      </c>
      <c r="G114" s="363" t="s">
        <v>37</v>
      </c>
      <c r="H114" s="363" t="s">
        <v>37</v>
      </c>
      <c r="I114" s="363" t="s">
        <v>37</v>
      </c>
      <c r="J114" s="363" t="s">
        <v>37</v>
      </c>
      <c r="K114" s="363" t="s">
        <v>37</v>
      </c>
      <c r="L114" s="363" t="s">
        <v>37</v>
      </c>
      <c r="M114" s="363" t="s">
        <v>37</v>
      </c>
    </row>
    <row r="115" spans="1:172" ht="21" customHeight="1" x14ac:dyDescent="0.3">
      <c r="A115" s="4" t="s">
        <v>237</v>
      </c>
      <c r="B115" s="7"/>
      <c r="C115" s="7"/>
      <c r="D115" s="275"/>
      <c r="E115" s="275"/>
      <c r="F115" s="275"/>
      <c r="G115" s="275"/>
      <c r="H115" s="275"/>
      <c r="I115" s="275"/>
      <c r="J115" s="275"/>
      <c r="K115" s="275"/>
      <c r="L115" s="275"/>
      <c r="M115" s="275"/>
      <c r="O115" s="58">
        <f>Área_L28*D_L28*A1_L28</f>
        <v>0</v>
      </c>
      <c r="P115" s="58">
        <f>Área_L28*D_L28*A2_L28</f>
        <v>0</v>
      </c>
      <c r="Q115" s="58">
        <f>Área_L28*D_L28*A3_L28</f>
        <v>0</v>
      </c>
      <c r="R115" s="58">
        <f>Área_L28*D_L28*A4_L28</f>
        <v>0</v>
      </c>
      <c r="S115" s="58">
        <f>Área_L28*D_L28*A5_L28</f>
        <v>0</v>
      </c>
      <c r="T115" s="58">
        <f>Área_L28*D_L28*A6_L28</f>
        <v>0</v>
      </c>
      <c r="U115" s="58">
        <f>Área_L28*D_L28*A7_L28</f>
        <v>0</v>
      </c>
      <c r="V115" s="58">
        <f>Área_L28*D_L28*A8_L28</f>
        <v>0</v>
      </c>
      <c r="W115" s="58">
        <f>Área_L28*D_L28*A9_L28</f>
        <v>0</v>
      </c>
      <c r="X115" s="58">
        <f>Área_L28*D_L28*A10_L28</f>
        <v>0</v>
      </c>
      <c r="Y115" s="58">
        <f>Área_L28*D_L28*A11_L28</f>
        <v>0</v>
      </c>
      <c r="Z115" s="58">
        <f>Área_L28*D_L28*A12_L28</f>
        <v>0</v>
      </c>
      <c r="AB115" s="58">
        <f>IF($B114="Producción",IF($B115&gt;=LI_A,$O115,0),0)</f>
        <v>0</v>
      </c>
      <c r="AC115" s="58">
        <f>IF($B114="Producción",IF($B115&gt;=LI_B,IF($B115&lt;LS_B,$O115,0),0),0)</f>
        <v>0</v>
      </c>
      <c r="AD115" s="58">
        <f>IF($B114="Producción",IF($B115&gt;=LI_C,IF($B115&lt;LS_C,$O115,0),0),0)</f>
        <v>0</v>
      </c>
      <c r="AE115" s="58">
        <f>IF($B114="Producción",IF($B115&lt;=LS_D,$O115,0),0)</f>
        <v>0</v>
      </c>
      <c r="AF115" s="365">
        <f>IF($B114="Crecimiento",$O115,0)</f>
        <v>0</v>
      </c>
      <c r="AG115" s="365">
        <f>IF($B114="Siembra",$O115,0)</f>
        <v>0</v>
      </c>
      <c r="AH115" s="365">
        <f>IF($B114="Abandono",$O115,0)</f>
        <v>0</v>
      </c>
      <c r="AI115" s="365">
        <f>IF($C114="Producción",IF($C115&gt;=LI_A,$P115,0),0)</f>
        <v>0</v>
      </c>
      <c r="AJ115" s="365">
        <f>IF($C114="Producción",IF($C115&gt;=LI_B,IF($C115&lt;LS_B,$P115,0),0),0)</f>
        <v>0</v>
      </c>
      <c r="AK115" s="365">
        <f>IF($C114="Producción",IF($C115&gt;=LI_C,IF($C115&lt;LS_C,$P115,0),0),0)</f>
        <v>0</v>
      </c>
      <c r="AL115" s="365">
        <f>IF($C114="Producción",IF(C115&lt;=LS_D,$P115,0),0)</f>
        <v>0</v>
      </c>
      <c r="AM115" s="365">
        <f>IF($C114="Crecimiento",$P115,0)</f>
        <v>0</v>
      </c>
      <c r="AN115" s="365">
        <f>IF($C114="Siembra",$P115,0)</f>
        <v>0</v>
      </c>
      <c r="AO115" s="365">
        <f>IF($C114="Abandono",$P115,0)</f>
        <v>0</v>
      </c>
      <c r="AP115" s="365">
        <f>IF($D114="Producción",IF($D115&gt;=LI_A,$Q115,0),0)</f>
        <v>0</v>
      </c>
      <c r="AQ115" s="365">
        <f>IF($D114="Producción",IF($D115&gt;=LI_B,IF($D115&lt;LS_B,$Q115,0),0),0)</f>
        <v>0</v>
      </c>
      <c r="AR115" s="365">
        <f>IF($D114="Producción",IF($D115&gt;=LI_C,IF($D115&lt;LS_C,$Q115,0),0),0)</f>
        <v>0</v>
      </c>
      <c r="AS115" s="365">
        <f>IF($D114="Producción",IF($D115&lt;=LS_D,$Q115,0),0)</f>
        <v>0</v>
      </c>
      <c r="AT115" s="365">
        <f>IF($D114="Crecimiento",$Q115,0)</f>
        <v>0</v>
      </c>
      <c r="AU115" s="365">
        <f>IF($D114="Siembra",$Q115,0)</f>
        <v>0</v>
      </c>
      <c r="AV115" s="365">
        <f>IF($D114="Abandono",$Q115,0)</f>
        <v>0</v>
      </c>
      <c r="AW115" s="365">
        <f>IF($E114="Producción",IF($E115&gt;=LI_A,$R115,0),0)</f>
        <v>0</v>
      </c>
      <c r="AX115" s="365">
        <f>IF($E114="Producción",IF($E115&gt;=LI_B,IF($E115&lt;LS_B,$R115,0),0),0)</f>
        <v>0</v>
      </c>
      <c r="AY115" s="365">
        <f>IF($E114="Producción",IF($E115&gt;=LI_C,IF($E115&lt;LS_C,$R115,0),0),0)</f>
        <v>0</v>
      </c>
      <c r="AZ115" s="365">
        <f>IF($E114="Producción",IF($E115&lt;=LS_D,$R115,0),0)</f>
        <v>0</v>
      </c>
      <c r="BA115" s="365">
        <f>IF($E114="Crecimiento",$R115,0)</f>
        <v>0</v>
      </c>
      <c r="BB115" s="365">
        <f>IF($E114="Siembra",$R115,0)</f>
        <v>0</v>
      </c>
      <c r="BC115" s="365">
        <f>IF($E114="Abandono",$R115,0)</f>
        <v>0</v>
      </c>
      <c r="BD115" s="365">
        <f>IF($F114="Producción",IF($F115&gt;=LI_A,$S115,0),0)</f>
        <v>0</v>
      </c>
      <c r="BE115" s="365">
        <f>IF($F114="Producción",IF($F115&gt;=LI_B,IF($F115&lt;LS_B,$S115,0),0),0)</f>
        <v>0</v>
      </c>
      <c r="BF115" s="365">
        <f>IF($F114="Producción",IF($F115&gt;=LI_C,IF($F115&lt;LS_C,$S115,0),0),0)</f>
        <v>0</v>
      </c>
      <c r="BG115" s="365">
        <f>IF($F114="Producción",IF($F115&lt;=LS_D,$S115,0),0)</f>
        <v>0</v>
      </c>
      <c r="BH115" s="365">
        <f>IF($F114="Crecimiento",$S115,0)</f>
        <v>0</v>
      </c>
      <c r="BI115" s="365">
        <f>IF($F114="Siembra",$S115,0)</f>
        <v>0</v>
      </c>
      <c r="BJ115" s="365">
        <f>IF($F114="Abandono",$S115,0)</f>
        <v>0</v>
      </c>
      <c r="BK115" s="365">
        <f>IF($G114="Producción",IF($G115&gt;=LI_A,$T115,0),0)</f>
        <v>0</v>
      </c>
      <c r="BL115" s="365">
        <f>IF($G114="Producción",IF($G115&gt;=LI_B,IF($G115&lt;LS_B,$T115,0),0),0)</f>
        <v>0</v>
      </c>
      <c r="BM115" s="365">
        <f>IF($G114="Producción",IF($G115&gt;=LI_C,IF($G115&lt;LS_C,$T115,0),0),0)</f>
        <v>0</v>
      </c>
      <c r="BN115" s="365">
        <f>IF($G114="Producción",IF($G115&lt;=LS_D,$T115,0),0)</f>
        <v>0</v>
      </c>
      <c r="BO115" s="365">
        <f>IF($G114="Crecimiento",$T115,0)</f>
        <v>0</v>
      </c>
      <c r="BP115" s="365">
        <f>IF($G114="Siembra",$T115,0)</f>
        <v>0</v>
      </c>
      <c r="BQ115" s="365">
        <f>IF($G114="Abandono",$T115,0)</f>
        <v>0</v>
      </c>
      <c r="BR115" s="365">
        <f>IF($H114="Producción",IF($H115&gt;=LI_A,$U115,0),0)</f>
        <v>0</v>
      </c>
      <c r="BS115" s="365">
        <f>IF($H114="Producción",IF($H115&gt;=LI_B,IF($H115&lt;LS_B,$U115,0),0),0)</f>
        <v>0</v>
      </c>
      <c r="BT115" s="365">
        <f>IF($H114="Producción",IF($H115&gt;=LI_C,IF($H115&lt;LS_C,$U115,0),0),0)</f>
        <v>0</v>
      </c>
      <c r="BU115" s="365">
        <f>IF($H114="Producción",IF($H115&lt;=LS_D,$U115,0),0)</f>
        <v>0</v>
      </c>
      <c r="BV115" s="365">
        <f>IF($H114="Crecimiento",$U115,0)</f>
        <v>0</v>
      </c>
      <c r="BW115" s="365">
        <f>IF($H114="Siembra",$U115,0)</f>
        <v>0</v>
      </c>
      <c r="BX115" s="365">
        <f>IF($H114="Abandono",$U115,0)</f>
        <v>0</v>
      </c>
      <c r="BY115" s="365">
        <f>IF($I114="Producción",IF($I115&gt;=LI_A,$V115,0),0)</f>
        <v>0</v>
      </c>
      <c r="BZ115" s="365">
        <f>IF($I114="Producción",IF($I115&gt;=LI_B,IF($I115&lt;LS_B,$V115,0),0),0)</f>
        <v>0</v>
      </c>
      <c r="CA115" s="365">
        <f>IF($I114="Producción",IF($I115&gt;=LI_C,IF($I115&lt;LS_C,$V115,0),0),0)</f>
        <v>0</v>
      </c>
      <c r="CB115" s="365">
        <f>IF($I114="Producción",IF($I115&lt;=LS_D,$V115,0),0)</f>
        <v>0</v>
      </c>
      <c r="CC115" s="365">
        <f>IF($I114="Crecimiento",$V115,0)</f>
        <v>0</v>
      </c>
      <c r="CD115" s="365">
        <f>IF($I114="Siembra",$V115,0)</f>
        <v>0</v>
      </c>
      <c r="CE115" s="365">
        <f>IF($I114="Abandono",$V115,0)</f>
        <v>0</v>
      </c>
      <c r="CF115" s="365">
        <f>IF($J114="Producción",IF($J115&gt;=LI_A,$W115,0),0)</f>
        <v>0</v>
      </c>
      <c r="CG115" s="365">
        <f>IF($J114="Producción",IF($J115&gt;=LI_B,IF($J115&lt;LS_B,$W115,0),0),0)</f>
        <v>0</v>
      </c>
      <c r="CH115" s="365">
        <f>IF($J114="Producción",IF($J115&gt;=LI_C,IF($J115&lt;LS_C,$W115,0),0),0)</f>
        <v>0</v>
      </c>
      <c r="CI115" s="365">
        <f>IF($J114="Producción",IF($J115&lt;=LS_D,$W115,0),0)</f>
        <v>0</v>
      </c>
      <c r="CJ115" s="365">
        <f>IF($J114="Crecimiento",$W115,0)</f>
        <v>0</v>
      </c>
      <c r="CK115" s="365">
        <f>IF($J114="Siembra",$W115,0)</f>
        <v>0</v>
      </c>
      <c r="CL115" s="365">
        <f>IF($J114="Abandono",$W115,0)</f>
        <v>0</v>
      </c>
      <c r="CM115" s="365">
        <f>IF($K114="Producción",IF($K115&gt;=LI_A,$X115,0),0)</f>
        <v>0</v>
      </c>
      <c r="CN115" s="365">
        <f>IF($K114="Producción",IF($K115&gt;=LI_B,IF($K115&lt;LS_B,$X115,0),0),0)</f>
        <v>0</v>
      </c>
      <c r="CO115" s="365">
        <f>IF($K114="Producción",IF($K115&gt;=LI_C,IF($K115&lt;LS_C,$X115,0),0),0)</f>
        <v>0</v>
      </c>
      <c r="CP115" s="365">
        <f>IF($K114="Producción",IF($K115&lt;=LS_D,$X115,0),0)</f>
        <v>0</v>
      </c>
      <c r="CQ115" s="365">
        <f>IF($K114="Crecimiento",IF($K115&gt;0,$X115,0),0)</f>
        <v>0</v>
      </c>
      <c r="CR115" s="365">
        <f>IF($K114="Siembra",IF($K115&gt;0,$X115,0),0)</f>
        <v>0</v>
      </c>
      <c r="CS115" s="365">
        <f>IF($K114="Abandono",IF($K115&gt;0,$X115,0),0)</f>
        <v>0</v>
      </c>
      <c r="CT115" s="365">
        <f>IF($L114="Producción",IF($L115&gt;=LI_A,$Y115,0),0)</f>
        <v>0</v>
      </c>
      <c r="CU115" s="365">
        <f>IF($L114="Producción",IF($L115&gt;=LI_B,IF($L115&lt;LS_B,$Y115,0),0),0)</f>
        <v>0</v>
      </c>
      <c r="CV115" s="365">
        <f>IF($L114="Producción",IF($L115&gt;=LI_C,IF($L115&lt;LS_C,$Y115,0),0),0)</f>
        <v>0</v>
      </c>
      <c r="CW115" s="365">
        <f>IF($L114="Producción",IF($L115&lt;=LS_D,$Y115,0),0)</f>
        <v>0</v>
      </c>
      <c r="CX115" s="365">
        <f>IF($L114="Crecimiento",$Y115,0)</f>
        <v>0</v>
      </c>
      <c r="CY115" s="365">
        <f>IF($L114="Siembra",$Y115,0)</f>
        <v>0</v>
      </c>
      <c r="CZ115" s="365">
        <f>IF($L114="Abandono",$Y115,0)</f>
        <v>0</v>
      </c>
      <c r="DA115" s="365">
        <f>IF($M114="Producción",IF($M115&gt;=LI_A,$Z115,0),0)</f>
        <v>0</v>
      </c>
      <c r="DB115" s="365">
        <f>IF($M114="Producción",IF($M115&gt;=LI_B,IF($M115&lt;LS_B,$Z115,0),0),0)</f>
        <v>0</v>
      </c>
      <c r="DC115" s="365">
        <f>IF($M114="Producción",IF($M115&gt;=LI_C,IF($M115&lt;LS_C,$Z115,0),0),0)</f>
        <v>0</v>
      </c>
      <c r="DD115" s="365">
        <f>IF($M114="Producción",IF($M115&lt;=LS_D,$Z115,0),0)</f>
        <v>0</v>
      </c>
      <c r="DE115" s="365">
        <f>IF($M114="Crecimiento",$Z115,0)</f>
        <v>0</v>
      </c>
      <c r="DF115" s="365">
        <f>IF($M114="Siembra",$Z115,0)</f>
        <v>0</v>
      </c>
      <c r="DG115" s="365">
        <f>IF($M114="Abandono",$Z115,0)</f>
        <v>0</v>
      </c>
      <c r="DI115" s="58">
        <f>AB115*$B115</f>
        <v>0</v>
      </c>
      <c r="DJ115" s="58">
        <f>AC115*$B115</f>
        <v>0</v>
      </c>
      <c r="DK115" s="58">
        <f>AD115*$B115</f>
        <v>0</v>
      </c>
      <c r="DL115" s="58">
        <f>AE115*$B115</f>
        <v>0</v>
      </c>
      <c r="DM115" s="365">
        <f>AF115*$B115</f>
        <v>0</v>
      </c>
      <c r="DN115" s="365">
        <f>AI115*$C115</f>
        <v>0</v>
      </c>
      <c r="DO115" s="365">
        <f>AJ115*$C115</f>
        <v>0</v>
      </c>
      <c r="DP115" s="365">
        <f>AK115*$C115</f>
        <v>0</v>
      </c>
      <c r="DQ115" s="365">
        <f>AL115*$C115</f>
        <v>0</v>
      </c>
      <c r="DR115" s="365">
        <f>AM115*$C115</f>
        <v>0</v>
      </c>
      <c r="DS115" s="365">
        <f>AP115*$D115</f>
        <v>0</v>
      </c>
      <c r="DT115" s="365">
        <f>AQ115*$D115</f>
        <v>0</v>
      </c>
      <c r="DU115" s="365">
        <f>AR115*$D115</f>
        <v>0</v>
      </c>
      <c r="DV115" s="365">
        <f>AS115*$D115</f>
        <v>0</v>
      </c>
      <c r="DW115" s="365">
        <f>AT115*$D115</f>
        <v>0</v>
      </c>
      <c r="DX115" s="365">
        <f>AW115*$E115</f>
        <v>0</v>
      </c>
      <c r="DY115" s="365">
        <f>AX115*$E115</f>
        <v>0</v>
      </c>
      <c r="DZ115" s="365">
        <f>AY115*$E115</f>
        <v>0</v>
      </c>
      <c r="EA115" s="365">
        <f>AZ115*$E115</f>
        <v>0</v>
      </c>
      <c r="EB115" s="365">
        <f>BA115*$E115</f>
        <v>0</v>
      </c>
      <c r="EC115" s="365">
        <f>BD115*$F115</f>
        <v>0</v>
      </c>
      <c r="ED115" s="365">
        <f>BE115*$F115</f>
        <v>0</v>
      </c>
      <c r="EE115" s="365">
        <f>BF115*$F115</f>
        <v>0</v>
      </c>
      <c r="EF115" s="365">
        <f>BG115*$F115</f>
        <v>0</v>
      </c>
      <c r="EG115" s="365">
        <f>BH115*$F115</f>
        <v>0</v>
      </c>
      <c r="EH115" s="365">
        <f>BK115*$G115</f>
        <v>0</v>
      </c>
      <c r="EI115" s="365">
        <f>BL115*$G115</f>
        <v>0</v>
      </c>
      <c r="EJ115" s="365">
        <f>BM115*$G115</f>
        <v>0</v>
      </c>
      <c r="EK115" s="365">
        <f>BN115*$G115</f>
        <v>0</v>
      </c>
      <c r="EL115" s="365">
        <f>BO115*$G115</f>
        <v>0</v>
      </c>
      <c r="EM115" s="365">
        <f>BR115*$H115</f>
        <v>0</v>
      </c>
      <c r="EN115" s="365">
        <f>BS115*$H115</f>
        <v>0</v>
      </c>
      <c r="EO115" s="365">
        <f>BT115*$H115</f>
        <v>0</v>
      </c>
      <c r="EP115" s="365">
        <f>BU115*$H115</f>
        <v>0</v>
      </c>
      <c r="EQ115" s="365">
        <f>BV115*$H115</f>
        <v>0</v>
      </c>
      <c r="ER115" s="365">
        <f>BY115*$I115</f>
        <v>0</v>
      </c>
      <c r="ES115" s="365">
        <f>BZ115*$I115</f>
        <v>0</v>
      </c>
      <c r="ET115" s="365">
        <f>CA115*$I115</f>
        <v>0</v>
      </c>
      <c r="EU115" s="365">
        <f>CB115*$I115</f>
        <v>0</v>
      </c>
      <c r="EV115" s="365">
        <f>CC115*$I115</f>
        <v>0</v>
      </c>
      <c r="EW115" s="365">
        <f>CF115*$J115</f>
        <v>0</v>
      </c>
      <c r="EX115" s="365">
        <f>CG115*$J115</f>
        <v>0</v>
      </c>
      <c r="EY115" s="365">
        <f>CH115*$J115</f>
        <v>0</v>
      </c>
      <c r="EZ115" s="365">
        <f>CI115*$J115</f>
        <v>0</v>
      </c>
      <c r="FA115" s="365">
        <f>CJ115*$J115</f>
        <v>0</v>
      </c>
      <c r="FB115" s="365">
        <f>CM115*$K115</f>
        <v>0</v>
      </c>
      <c r="FC115" s="365">
        <f>CN115*$K115</f>
        <v>0</v>
      </c>
      <c r="FD115" s="365">
        <f>CO115*$K115</f>
        <v>0</v>
      </c>
      <c r="FE115" s="365">
        <f>CP115*$K115</f>
        <v>0</v>
      </c>
      <c r="FF115" s="365">
        <f>CQ115*$K115</f>
        <v>0</v>
      </c>
      <c r="FG115" s="365">
        <f>CT115*$L115</f>
        <v>0</v>
      </c>
      <c r="FH115" s="365">
        <f>CU115*$L115</f>
        <v>0</v>
      </c>
      <c r="FI115" s="365">
        <f>CV115*$L115</f>
        <v>0</v>
      </c>
      <c r="FJ115" s="365">
        <f>CW115*$L115</f>
        <v>0</v>
      </c>
      <c r="FK115" s="365">
        <f>CX115*$L115</f>
        <v>0</v>
      </c>
      <c r="FL115" s="365">
        <f>DA115*$M115</f>
        <v>0</v>
      </c>
      <c r="FM115" s="365">
        <f t="shared" ref="FM115" si="83">DB115*$M115</f>
        <v>0</v>
      </c>
      <c r="FN115" s="365">
        <f>DC115*$M115</f>
        <v>0</v>
      </c>
      <c r="FO115" s="365">
        <f t="shared" ref="FO115" si="84">DD115*$M115</f>
        <v>0</v>
      </c>
      <c r="FP115" s="365">
        <f t="shared" ref="FP115" si="85">DE115*$M115</f>
        <v>0</v>
      </c>
    </row>
    <row r="116" spans="1:172" ht="21" customHeight="1" x14ac:dyDescent="0.3">
      <c r="A116" s="277" t="s">
        <v>238</v>
      </c>
      <c r="B116" s="278">
        <f>SUM(DI115:DM115)/100</f>
        <v>0</v>
      </c>
      <c r="C116" s="278">
        <f>SUM(DN115:DQ115)/100</f>
        <v>0</v>
      </c>
      <c r="D116" s="279">
        <f>SUM(DS115:DW115)/100</f>
        <v>0</v>
      </c>
      <c r="E116" s="279">
        <f>SUM(DX115:EB115)/100</f>
        <v>0</v>
      </c>
      <c r="F116" s="279">
        <f>SUM(EC115:EG115)/100</f>
        <v>0</v>
      </c>
      <c r="G116" s="279">
        <f>SUM(EH115:EL115)/100</f>
        <v>0</v>
      </c>
      <c r="H116" s="279">
        <f>SUM(EM115:EQ115)/100</f>
        <v>0</v>
      </c>
      <c r="I116" s="279">
        <f>SUM(ER115:EV115)/100</f>
        <v>0</v>
      </c>
      <c r="J116" s="279">
        <f>SUM(EW115:FA115)/100</f>
        <v>0</v>
      </c>
      <c r="K116" s="279">
        <f>SUM(FB115:FF115)/100</f>
        <v>0</v>
      </c>
      <c r="L116" s="279">
        <f>SUM(FG115:FK115)/100</f>
        <v>0</v>
      </c>
      <c r="M116" s="279">
        <f>SUM(FL115:FP115)/100</f>
        <v>0</v>
      </c>
      <c r="AG116" s="365"/>
      <c r="AH116" s="365"/>
      <c r="AI116" s="365"/>
      <c r="AJ116" s="365"/>
      <c r="AK116" s="365"/>
      <c r="AL116" s="365"/>
      <c r="AM116" s="365"/>
      <c r="AN116" s="365"/>
      <c r="AO116" s="365"/>
      <c r="AP116" s="365"/>
      <c r="AQ116" s="365"/>
      <c r="AR116" s="365"/>
      <c r="AS116" s="365"/>
      <c r="AT116" s="365"/>
      <c r="AU116" s="365"/>
      <c r="AV116" s="365"/>
      <c r="AW116" s="365"/>
      <c r="AX116" s="365"/>
      <c r="AY116" s="365"/>
      <c r="AZ116" s="365"/>
      <c r="BA116" s="365"/>
      <c r="BB116" s="365"/>
      <c r="BC116" s="365"/>
      <c r="BD116" s="365"/>
      <c r="BE116" s="365"/>
      <c r="BF116" s="365"/>
      <c r="BG116" s="365"/>
      <c r="BH116" s="365"/>
      <c r="BI116" s="365"/>
      <c r="BJ116" s="365"/>
      <c r="BK116" s="365"/>
      <c r="BL116" s="365"/>
      <c r="BM116" s="365"/>
      <c r="BN116" s="365"/>
      <c r="BO116" s="365"/>
      <c r="BP116" s="365"/>
      <c r="BQ116" s="365"/>
      <c r="BR116" s="365"/>
      <c r="BS116" s="365"/>
      <c r="BT116" s="365"/>
      <c r="BU116" s="365"/>
      <c r="BV116" s="365"/>
      <c r="BW116" s="365"/>
      <c r="BX116" s="365"/>
      <c r="BY116" s="365"/>
      <c r="BZ116" s="365"/>
      <c r="CA116" s="365"/>
      <c r="CB116" s="365"/>
      <c r="CC116" s="365"/>
      <c r="CD116" s="365"/>
      <c r="CE116" s="365"/>
      <c r="CF116" s="365"/>
      <c r="CG116" s="365"/>
      <c r="CH116" s="365"/>
      <c r="CI116" s="365"/>
      <c r="CJ116" s="365"/>
      <c r="CK116" s="365"/>
      <c r="CL116" s="365"/>
      <c r="CM116" s="365"/>
      <c r="CN116" s="365"/>
      <c r="CO116" s="365"/>
      <c r="CP116" s="365"/>
      <c r="CQ116" s="365"/>
      <c r="CR116" s="365"/>
      <c r="CS116" s="365"/>
      <c r="CT116" s="365"/>
      <c r="CU116" s="365"/>
      <c r="CV116" s="365"/>
      <c r="CW116" s="365"/>
      <c r="CX116" s="365"/>
      <c r="CY116" s="365"/>
      <c r="CZ116" s="365"/>
      <c r="DA116" s="365"/>
      <c r="DB116" s="365"/>
      <c r="DC116" s="365"/>
      <c r="DD116" s="365"/>
      <c r="DE116" s="365"/>
      <c r="DF116" s="365"/>
      <c r="DG116" s="365"/>
      <c r="DM116" s="365"/>
      <c r="DN116" s="365"/>
      <c r="DO116" s="365"/>
      <c r="DP116" s="365"/>
      <c r="DQ116" s="365"/>
      <c r="DR116" s="365"/>
      <c r="DS116" s="365"/>
      <c r="DT116" s="365"/>
      <c r="DU116" s="365"/>
      <c r="DV116" s="365"/>
      <c r="DW116" s="365"/>
      <c r="DX116" s="365"/>
      <c r="DY116" s="365"/>
      <c r="DZ116" s="365"/>
      <c r="EA116" s="365"/>
      <c r="EB116" s="365"/>
      <c r="EC116" s="365"/>
      <c r="ED116" s="365"/>
      <c r="EE116" s="365"/>
      <c r="EF116" s="365"/>
      <c r="EG116" s="365"/>
      <c r="EH116" s="365"/>
      <c r="EI116" s="365"/>
      <c r="EJ116" s="365"/>
      <c r="EK116" s="365"/>
      <c r="EL116" s="365"/>
      <c r="EM116" s="365"/>
      <c r="EN116" s="365"/>
      <c r="EO116" s="365"/>
      <c r="EP116" s="365"/>
      <c r="EQ116" s="365"/>
      <c r="ER116" s="365"/>
      <c r="ES116" s="365"/>
      <c r="ET116" s="365"/>
      <c r="EU116" s="365"/>
      <c r="EV116" s="365"/>
      <c r="EW116" s="365"/>
      <c r="EX116" s="365"/>
      <c r="EY116" s="365"/>
      <c r="EZ116" s="365"/>
      <c r="FA116" s="365"/>
      <c r="FB116" s="365"/>
      <c r="FC116" s="365"/>
      <c r="FD116" s="365"/>
      <c r="FE116" s="365"/>
      <c r="FF116" s="365"/>
      <c r="FG116" s="365"/>
      <c r="FH116" s="365"/>
      <c r="FI116" s="365"/>
      <c r="FJ116" s="365"/>
      <c r="FK116" s="365"/>
      <c r="FL116" s="365"/>
      <c r="FM116" s="365"/>
      <c r="FN116" s="365"/>
      <c r="FO116" s="365"/>
      <c r="FP116" s="365"/>
    </row>
    <row r="117" spans="1:172" ht="21" customHeight="1" x14ac:dyDescent="0.3">
      <c r="A117" s="150" t="s">
        <v>239</v>
      </c>
      <c r="B117" s="149" t="e">
        <f>SUM(DI115:DM115)/100/Lote_28</f>
        <v>#DIV/0!</v>
      </c>
      <c r="C117" s="149" t="e">
        <f>SUM(DN115:DQ115)/100/Lote_28</f>
        <v>#DIV/0!</v>
      </c>
      <c r="D117" s="149" t="e">
        <f>SUM(DS115:DW115)/100/Lote_28</f>
        <v>#DIV/0!</v>
      </c>
      <c r="E117" s="149" t="e">
        <f>SUM(DX115:EB115)/100/Lote_28</f>
        <v>#DIV/0!</v>
      </c>
      <c r="F117" s="149" t="e">
        <f>SUM(EC115:EG115)/100/Lote_28</f>
        <v>#DIV/0!</v>
      </c>
      <c r="G117" s="149" t="e">
        <f>SUM(EH115:EL115)/100/Lote_28</f>
        <v>#DIV/0!</v>
      </c>
      <c r="H117" s="149" t="e">
        <f>SUM(EM115:EQ115)/100/Lote_28</f>
        <v>#DIV/0!</v>
      </c>
      <c r="I117" s="149" t="e">
        <f>SUM(ER115:EV115)/100/Lote_28</f>
        <v>#DIV/0!</v>
      </c>
      <c r="J117" s="149" t="e">
        <f>SUM(EW115:FA115)/100/Lote_28</f>
        <v>#DIV/0!</v>
      </c>
      <c r="K117" s="149" t="e">
        <f>SUM(FB115:FF115)/100/Lote_28</f>
        <v>#DIV/0!</v>
      </c>
      <c r="L117" s="149" t="e">
        <f>SUM(FG115:FK115)/100/Lote_28</f>
        <v>#DIV/0!</v>
      </c>
      <c r="M117" s="149" t="e">
        <f>SUM(FL115:FP115)/100/Lote_28</f>
        <v>#DIV/0!</v>
      </c>
    </row>
    <row r="118" spans="1:172" ht="21" customHeight="1" x14ac:dyDescent="0.3">
      <c r="A118" s="233">
        <f>N_L29</f>
        <v>0</v>
      </c>
      <c r="B118" s="363" t="s">
        <v>37</v>
      </c>
      <c r="C118" s="363" t="s">
        <v>37</v>
      </c>
      <c r="D118" s="363" t="s">
        <v>37</v>
      </c>
      <c r="E118" s="363" t="s">
        <v>37</v>
      </c>
      <c r="F118" s="363" t="s">
        <v>37</v>
      </c>
      <c r="G118" s="363" t="s">
        <v>37</v>
      </c>
      <c r="H118" s="363" t="s">
        <v>37</v>
      </c>
      <c r="I118" s="363" t="s">
        <v>37</v>
      </c>
      <c r="J118" s="363" t="s">
        <v>37</v>
      </c>
      <c r="K118" s="363" t="s">
        <v>37</v>
      </c>
      <c r="L118" s="363" t="s">
        <v>37</v>
      </c>
      <c r="M118" s="363" t="s">
        <v>37</v>
      </c>
    </row>
    <row r="119" spans="1:172" ht="21" customHeight="1" x14ac:dyDescent="0.3">
      <c r="A119" s="4" t="s">
        <v>237</v>
      </c>
      <c r="B119" s="7"/>
      <c r="C119" s="7"/>
      <c r="D119" s="275"/>
      <c r="E119" s="275"/>
      <c r="F119" s="275"/>
      <c r="G119" s="275"/>
      <c r="H119" s="275"/>
      <c r="I119" s="275"/>
      <c r="J119" s="275"/>
      <c r="K119" s="275"/>
      <c r="L119" s="275"/>
      <c r="M119" s="275"/>
      <c r="O119" s="58">
        <f>Área_L29*D_L29*A1_L29</f>
        <v>0</v>
      </c>
      <c r="P119" s="58">
        <f>Área_L29*D_L29*A2_L29</f>
        <v>0</v>
      </c>
      <c r="Q119" s="58">
        <f>Área_L29*D_L29*A3_L29</f>
        <v>0</v>
      </c>
      <c r="R119" s="58">
        <f>Área_L29*D_L29*A4_L29</f>
        <v>0</v>
      </c>
      <c r="S119" s="58">
        <f>Área_L29*D_L29*A5_L29</f>
        <v>0</v>
      </c>
      <c r="T119" s="58">
        <f>Área_L29*D_L29*A6_L29</f>
        <v>0</v>
      </c>
      <c r="U119" s="58">
        <f>Área_L29*D_L29*A7_L29</f>
        <v>0</v>
      </c>
      <c r="V119" s="58">
        <f>Área_L29*D_L29*A8_L29</f>
        <v>0</v>
      </c>
      <c r="W119" s="58">
        <f>Área_L29*D_L29*A9_L29</f>
        <v>0</v>
      </c>
      <c r="X119" s="58">
        <f>Área_L29*D_L29*A10_L29</f>
        <v>0</v>
      </c>
      <c r="Y119" s="58">
        <f>Área_L29*D_L29*A11_L29</f>
        <v>0</v>
      </c>
      <c r="Z119" s="58">
        <f>Área_L29*D_L29*A12_L29</f>
        <v>0</v>
      </c>
      <c r="AB119" s="58">
        <f>IF($B118="Producción",IF($B119&gt;=LI_A,$O119,0),0)</f>
        <v>0</v>
      </c>
      <c r="AC119" s="58">
        <f>IF($B118="Producción",IF($B119&gt;=LI_B,IF($B119&lt;LS_B,$O119,0),0),0)</f>
        <v>0</v>
      </c>
      <c r="AD119" s="58">
        <f>IF($B118="Producción",IF($B119&gt;=LI_C,IF($B119&lt;LS_C,$O119,0),0),0)</f>
        <v>0</v>
      </c>
      <c r="AE119" s="58">
        <f>IF($B118="Producción",IF($B119&lt;=LS_D,$O119,0),0)</f>
        <v>0</v>
      </c>
      <c r="AF119" s="365">
        <f>IF($B118="Crecimiento",$O119,0)</f>
        <v>0</v>
      </c>
      <c r="AG119" s="365">
        <f>IF($B118="Siembra",$O119,0)</f>
        <v>0</v>
      </c>
      <c r="AH119" s="365">
        <f>IF($B118="Abandono",$O119,0)</f>
        <v>0</v>
      </c>
      <c r="AI119" s="365">
        <f>IF($C118="Producción",IF($C119&gt;=LI_A,$P119,0),0)</f>
        <v>0</v>
      </c>
      <c r="AJ119" s="365">
        <f>IF($C118="Producción",IF($C119&gt;=LI_B,IF($C119&lt;LS_B,$P119,0),0),0)</f>
        <v>0</v>
      </c>
      <c r="AK119" s="365">
        <f>IF($C118="Producción",IF($C119&gt;=LI_C,IF($C119&lt;LS_C,$P119,0),0),0)</f>
        <v>0</v>
      </c>
      <c r="AL119" s="365">
        <f>IF($C118="Producción",IF(C119&lt;=LS_D,$P119,0),0)</f>
        <v>0</v>
      </c>
      <c r="AM119" s="365">
        <f>IF($C118="Crecimiento",$P119,0)</f>
        <v>0</v>
      </c>
      <c r="AN119" s="365">
        <f>IF($C118="Siembra",$P119,0)</f>
        <v>0</v>
      </c>
      <c r="AO119" s="365">
        <f>IF($C118="Abandono",$P119,0)</f>
        <v>0</v>
      </c>
      <c r="AP119" s="365">
        <f>IF($D118="Producción",IF($D119&gt;=LI_A,$Q119,0),0)</f>
        <v>0</v>
      </c>
      <c r="AQ119" s="365">
        <f>IF($D118="Producción",IF($D119&gt;=LI_B,IF($D119&lt;LS_B,$Q119,0),0),0)</f>
        <v>0</v>
      </c>
      <c r="AR119" s="365">
        <f>IF($D118="Producción",IF($D119&gt;=LI_C,IF($D119&lt;LS_C,$Q119,0),0),0)</f>
        <v>0</v>
      </c>
      <c r="AS119" s="365">
        <f>IF($D118="Producción",IF($D119&lt;=LS_D,$Q119,0),0)</f>
        <v>0</v>
      </c>
      <c r="AT119" s="365">
        <f>IF($D118="Crecimiento",$Q119,0)</f>
        <v>0</v>
      </c>
      <c r="AU119" s="365">
        <f>IF($D118="Siembra",$Q119,0)</f>
        <v>0</v>
      </c>
      <c r="AV119" s="365">
        <f>IF($D118="Abandono",$Q119,0)</f>
        <v>0</v>
      </c>
      <c r="AW119" s="365">
        <f>IF($E118="Producción",IF($E119&gt;=LI_A,$R119,0),0)</f>
        <v>0</v>
      </c>
      <c r="AX119" s="365">
        <f>IF($E118="Producción",IF($E119&gt;=LI_B,IF($E119&lt;LS_B,$R119,0),0),0)</f>
        <v>0</v>
      </c>
      <c r="AY119" s="365">
        <f>IF($E118="Producción",IF($E119&gt;=LI_C,IF($E119&lt;LS_C,$R119,0),0),0)</f>
        <v>0</v>
      </c>
      <c r="AZ119" s="365">
        <f>IF($E118="Producción",IF($E119&lt;=LS_D,$R119,0),0)</f>
        <v>0</v>
      </c>
      <c r="BA119" s="365">
        <f>IF($E118="Crecimiento",$R119,0)</f>
        <v>0</v>
      </c>
      <c r="BB119" s="365">
        <f>IF($E118="Siembra",$R119,0)</f>
        <v>0</v>
      </c>
      <c r="BC119" s="365">
        <f>IF($E118="Abandono",$R119,0)</f>
        <v>0</v>
      </c>
      <c r="BD119" s="365">
        <f>IF($F118="Producción",IF($F119&gt;=LI_A,$S119,0),0)</f>
        <v>0</v>
      </c>
      <c r="BE119" s="365">
        <f>IF($F118="Producción",IF($F119&gt;=LI_B,IF($F119&lt;LS_B,$S119,0),0),0)</f>
        <v>0</v>
      </c>
      <c r="BF119" s="365">
        <f>IF($F118="Producción",IF($F119&gt;=LI_C,IF($F119&lt;LS_C,$S119,0),0),0)</f>
        <v>0</v>
      </c>
      <c r="BG119" s="365">
        <f>IF($F118="Producción",IF($F119&lt;=LS_D,$S119,0),0)</f>
        <v>0</v>
      </c>
      <c r="BH119" s="365">
        <f>IF($F118="Crecimiento",$S119,0)</f>
        <v>0</v>
      </c>
      <c r="BI119" s="365">
        <f>IF($F118="Siembra",$S119,0)</f>
        <v>0</v>
      </c>
      <c r="BJ119" s="365">
        <f>IF($F118="Abandono",$S119,0)</f>
        <v>0</v>
      </c>
      <c r="BK119" s="365">
        <f>IF($G118="Producción",IF($G119&gt;=LI_A,$T119,0),0)</f>
        <v>0</v>
      </c>
      <c r="BL119" s="365">
        <f>IF($G118="Producción",IF($G119&gt;=LI_B,IF($G119&lt;LS_B,$T119,0),0),0)</f>
        <v>0</v>
      </c>
      <c r="BM119" s="365">
        <f>IF($G118="Producción",IF($G119&gt;=LI_C,IF($G119&lt;LS_C,$T119,0),0),0)</f>
        <v>0</v>
      </c>
      <c r="BN119" s="365">
        <f>IF($G118="Producción",IF($G119&lt;=LS_D,$T119,0),0)</f>
        <v>0</v>
      </c>
      <c r="BO119" s="365">
        <f>IF($G118="Crecimiento",$T119,0)</f>
        <v>0</v>
      </c>
      <c r="BP119" s="365">
        <f>IF($G118="Siembra",$T119,0)</f>
        <v>0</v>
      </c>
      <c r="BQ119" s="365">
        <f>IF($G118="Abandono",$T119,0)</f>
        <v>0</v>
      </c>
      <c r="BR119" s="365">
        <f>IF($H118="Producción",IF($H119&gt;=LI_A,$U119,0),0)</f>
        <v>0</v>
      </c>
      <c r="BS119" s="365">
        <f>IF($H118="Producción",IF($H119&gt;=LI_B,IF($H119&lt;LS_B,$U119,0),0),0)</f>
        <v>0</v>
      </c>
      <c r="BT119" s="365">
        <f>IF($H118="Producción",IF($H119&gt;=LI_C,IF($H119&lt;LS_C,$U119,0),0),0)</f>
        <v>0</v>
      </c>
      <c r="BU119" s="365">
        <f>IF($H118="Producción",IF($H119&lt;=LS_D,$U119,0),0)</f>
        <v>0</v>
      </c>
      <c r="BV119" s="365">
        <f>IF($H118="Crecimiento",$U119,0)</f>
        <v>0</v>
      </c>
      <c r="BW119" s="365">
        <f>IF($H118="Siembra",$U119,0)</f>
        <v>0</v>
      </c>
      <c r="BX119" s="365">
        <f>IF($H118="Abandono",$U119,0)</f>
        <v>0</v>
      </c>
      <c r="BY119" s="365">
        <f>IF($I118="Producción",IF($I119&gt;=LI_A,$V119,0),0)</f>
        <v>0</v>
      </c>
      <c r="BZ119" s="365">
        <f>IF($I118="Producción",IF($I119&gt;=LI_B,IF($I119&lt;LS_B,$V119,0),0),0)</f>
        <v>0</v>
      </c>
      <c r="CA119" s="365">
        <f>IF($I118="Producción",IF($I119&gt;=LI_C,IF($I119&lt;LS_C,$V119,0),0),0)</f>
        <v>0</v>
      </c>
      <c r="CB119" s="365">
        <f>IF($I118="Producción",IF($I119&lt;=LS_D,$V119,0),0)</f>
        <v>0</v>
      </c>
      <c r="CC119" s="365">
        <f>IF($I118="Crecimiento",$V119,0)</f>
        <v>0</v>
      </c>
      <c r="CD119" s="365">
        <f>IF($I118="Siembra",$V119,0)</f>
        <v>0</v>
      </c>
      <c r="CE119" s="365">
        <f>IF($I118="Abandono",$V119,0)</f>
        <v>0</v>
      </c>
      <c r="CF119" s="365">
        <f>IF($J118="Producción",IF($J119&gt;=LI_A,$W119,0),0)</f>
        <v>0</v>
      </c>
      <c r="CG119" s="365">
        <f>IF($J118="Producción",IF($J119&gt;=LI_B,IF($J119&lt;LS_B,$W119,0),0),0)</f>
        <v>0</v>
      </c>
      <c r="CH119" s="365">
        <f>IF($J118="Producción",IF($J119&gt;=LI_C,IF($J119&lt;LS_C,$W119,0),0),0)</f>
        <v>0</v>
      </c>
      <c r="CI119" s="365">
        <f>IF($J118="Producción",IF($J119&lt;=LS_D,$W119,0),0)</f>
        <v>0</v>
      </c>
      <c r="CJ119" s="365">
        <f>IF($J118="Crecimiento",$W119,0)</f>
        <v>0</v>
      </c>
      <c r="CK119" s="365">
        <f>IF($J118="Siembra",$W119,0)</f>
        <v>0</v>
      </c>
      <c r="CL119" s="365">
        <f>IF($J118="Abandono",$W119,0)</f>
        <v>0</v>
      </c>
      <c r="CM119" s="365">
        <f>IF($K118="Producción",IF($K119&gt;=LI_A,$X119,0),0)</f>
        <v>0</v>
      </c>
      <c r="CN119" s="365">
        <f>IF($K118="Producción",IF($K119&gt;=LI_B,IF($K119&lt;LS_B,$X119,0),0),0)</f>
        <v>0</v>
      </c>
      <c r="CO119" s="365">
        <f>IF($K118="Producción",IF($K119&gt;=LI_C,IF($K119&lt;LS_C,$X119,0),0),0)</f>
        <v>0</v>
      </c>
      <c r="CP119" s="365">
        <f>IF($K118="Producción",IF($K119&lt;=LS_D,$X119,0),0)</f>
        <v>0</v>
      </c>
      <c r="CQ119" s="365">
        <f>IF($K118="Crecimiento",IF($K119&gt;0,$X119,0),0)</f>
        <v>0</v>
      </c>
      <c r="CR119" s="365">
        <f>IF($K118="Siembra",IF($K119&gt;0,$X119,0),0)</f>
        <v>0</v>
      </c>
      <c r="CS119" s="365">
        <f>IF($K118="Abandono",IF($K119&gt;0,$X119,0),0)</f>
        <v>0</v>
      </c>
      <c r="CT119" s="365">
        <f>IF($L118="Producción",IF($L119&gt;=LI_A,$Y119,0),0)</f>
        <v>0</v>
      </c>
      <c r="CU119" s="365">
        <f>IF($L118="Producción",IF($L119&gt;=LI_B,IF($L119&lt;LS_B,$Y119,0),0),0)</f>
        <v>0</v>
      </c>
      <c r="CV119" s="365">
        <f>IF($L118="Producción",IF($L119&gt;=LI_C,IF($L119&lt;LS_C,$Y119,0),0),0)</f>
        <v>0</v>
      </c>
      <c r="CW119" s="365">
        <f>IF($L118="Producción",IF($L119&lt;=LS_D,$Y119,0),0)</f>
        <v>0</v>
      </c>
      <c r="CX119" s="365">
        <f>IF($L118="Crecimiento",$Y119,0)</f>
        <v>0</v>
      </c>
      <c r="CY119" s="365">
        <f>IF($L118="Siembra",$Y119,0)</f>
        <v>0</v>
      </c>
      <c r="CZ119" s="365">
        <f>IF($L118="Abandono",$Y119,0)</f>
        <v>0</v>
      </c>
      <c r="DA119" s="365">
        <f>IF($M118="Producción",IF($M119&gt;=LI_A,$Z119,0),0)</f>
        <v>0</v>
      </c>
      <c r="DB119" s="365">
        <f>IF($M118="Producción",IF($M119&gt;=LI_B,IF($M119&lt;LS_B,$Z119,0),0),0)</f>
        <v>0</v>
      </c>
      <c r="DC119" s="365">
        <f>IF($M118="Producción",IF($M119&gt;=LI_C,IF($M119&lt;LS_C,$Z119,0),0),0)</f>
        <v>0</v>
      </c>
      <c r="DD119" s="365">
        <f>IF($M118="Producción",IF($M119&lt;=LS_D,$Z119,0),0)</f>
        <v>0</v>
      </c>
      <c r="DE119" s="365">
        <f>IF($M118="Crecimiento",$Z119,0)</f>
        <v>0</v>
      </c>
      <c r="DF119" s="365">
        <f>IF($M118="Siembra",$Z119,0)</f>
        <v>0</v>
      </c>
      <c r="DG119" s="365">
        <f>IF($M118="Abandono",$Z119,0)</f>
        <v>0</v>
      </c>
      <c r="DI119" s="58">
        <f>AB119*$B119</f>
        <v>0</v>
      </c>
      <c r="DJ119" s="58">
        <f>AC119*$B119</f>
        <v>0</v>
      </c>
      <c r="DK119" s="58">
        <f>AD119*$B119</f>
        <v>0</v>
      </c>
      <c r="DL119" s="58">
        <f>AE119*$B119</f>
        <v>0</v>
      </c>
      <c r="DM119" s="365">
        <f>AF119*$B119</f>
        <v>0</v>
      </c>
      <c r="DN119" s="365">
        <f>AI119*$C119</f>
        <v>0</v>
      </c>
      <c r="DO119" s="365">
        <f>AJ119*$C119</f>
        <v>0</v>
      </c>
      <c r="DP119" s="365">
        <f>AK119*$C119</f>
        <v>0</v>
      </c>
      <c r="DQ119" s="365">
        <f>AL119*$C119</f>
        <v>0</v>
      </c>
      <c r="DR119" s="365">
        <f>AM119*$C119</f>
        <v>0</v>
      </c>
      <c r="DS119" s="365">
        <f>AP119*$D119</f>
        <v>0</v>
      </c>
      <c r="DT119" s="365">
        <f>AQ119*$D119</f>
        <v>0</v>
      </c>
      <c r="DU119" s="365">
        <f>AR119*$D119</f>
        <v>0</v>
      </c>
      <c r="DV119" s="365">
        <f>AS119*$D119</f>
        <v>0</v>
      </c>
      <c r="DW119" s="365">
        <f>AT119*$D119</f>
        <v>0</v>
      </c>
      <c r="DX119" s="365">
        <f>AW119*$E119</f>
        <v>0</v>
      </c>
      <c r="DY119" s="365">
        <f>AX119*$E119</f>
        <v>0</v>
      </c>
      <c r="DZ119" s="365">
        <f>AY119*$E119</f>
        <v>0</v>
      </c>
      <c r="EA119" s="365">
        <f>AZ119*$E119</f>
        <v>0</v>
      </c>
      <c r="EB119" s="365">
        <f>BA119*$E119</f>
        <v>0</v>
      </c>
      <c r="EC119" s="365">
        <f>BD119*$F119</f>
        <v>0</v>
      </c>
      <c r="ED119" s="365">
        <f>BE119*$F119</f>
        <v>0</v>
      </c>
      <c r="EE119" s="365">
        <f>BF119*$F119</f>
        <v>0</v>
      </c>
      <c r="EF119" s="365">
        <f>BG119*$F119</f>
        <v>0</v>
      </c>
      <c r="EG119" s="365">
        <f>BH119*$F119</f>
        <v>0</v>
      </c>
      <c r="EH119" s="365">
        <f>BK119*$G119</f>
        <v>0</v>
      </c>
      <c r="EI119" s="365">
        <f>BL119*$G119</f>
        <v>0</v>
      </c>
      <c r="EJ119" s="365">
        <f>BM119*$G119</f>
        <v>0</v>
      </c>
      <c r="EK119" s="365">
        <f>BN119*$G119</f>
        <v>0</v>
      </c>
      <c r="EL119" s="365">
        <f>BO119*$G119</f>
        <v>0</v>
      </c>
      <c r="EM119" s="365">
        <f>BR119*$H119</f>
        <v>0</v>
      </c>
      <c r="EN119" s="365">
        <f>BS119*$H119</f>
        <v>0</v>
      </c>
      <c r="EO119" s="365">
        <f>BT119*$H119</f>
        <v>0</v>
      </c>
      <c r="EP119" s="365">
        <f>BU119*$H119</f>
        <v>0</v>
      </c>
      <c r="EQ119" s="365">
        <f>BV119*$H119</f>
        <v>0</v>
      </c>
      <c r="ER119" s="365">
        <f>BY119*$I119</f>
        <v>0</v>
      </c>
      <c r="ES119" s="365">
        <f>BZ119*$I119</f>
        <v>0</v>
      </c>
      <c r="ET119" s="365">
        <f>CA119*$I119</f>
        <v>0</v>
      </c>
      <c r="EU119" s="365">
        <f>CB119*$I119</f>
        <v>0</v>
      </c>
      <c r="EV119" s="365">
        <f>CC119*$I119</f>
        <v>0</v>
      </c>
      <c r="EW119" s="365">
        <f>CF119*$J119</f>
        <v>0</v>
      </c>
      <c r="EX119" s="365">
        <f>CG119*$J119</f>
        <v>0</v>
      </c>
      <c r="EY119" s="365">
        <f>CH119*$J119</f>
        <v>0</v>
      </c>
      <c r="EZ119" s="365">
        <f>CI119*$J119</f>
        <v>0</v>
      </c>
      <c r="FA119" s="365">
        <f>CJ119*$J119</f>
        <v>0</v>
      </c>
      <c r="FB119" s="365">
        <f>CM119*$K119</f>
        <v>0</v>
      </c>
      <c r="FC119" s="365">
        <f>CN119*$K119</f>
        <v>0</v>
      </c>
      <c r="FD119" s="365">
        <f>CO119*$K119</f>
        <v>0</v>
      </c>
      <c r="FE119" s="365">
        <f>CP119*$K119</f>
        <v>0</v>
      </c>
      <c r="FF119" s="365">
        <f>CQ119*$K119</f>
        <v>0</v>
      </c>
      <c r="FG119" s="365">
        <f>CT119*$L119</f>
        <v>0</v>
      </c>
      <c r="FH119" s="365">
        <f>CU119*$L119</f>
        <v>0</v>
      </c>
      <c r="FI119" s="365">
        <f>CV119*$L119</f>
        <v>0</v>
      </c>
      <c r="FJ119" s="365">
        <f>CW119*$L119</f>
        <v>0</v>
      </c>
      <c r="FK119" s="365">
        <f>CX119*$L119</f>
        <v>0</v>
      </c>
      <c r="FL119" s="365">
        <f>DA119*$M119</f>
        <v>0</v>
      </c>
      <c r="FM119" s="365">
        <f t="shared" ref="FM119" si="86">DB119*$M119</f>
        <v>0</v>
      </c>
      <c r="FN119" s="365">
        <f>DC119*$M119</f>
        <v>0</v>
      </c>
      <c r="FO119" s="365">
        <f t="shared" ref="FO119" si="87">DD119*$M119</f>
        <v>0</v>
      </c>
      <c r="FP119" s="365">
        <f t="shared" ref="FP119" si="88">DE119*$M119</f>
        <v>0</v>
      </c>
    </row>
    <row r="120" spans="1:172" ht="21" customHeight="1" x14ac:dyDescent="0.3">
      <c r="A120" s="277" t="s">
        <v>238</v>
      </c>
      <c r="B120" s="278">
        <f>SUM(DI119:DM119)/100</f>
        <v>0</v>
      </c>
      <c r="C120" s="278">
        <f>SUM(DN119:DQ119)/100</f>
        <v>0</v>
      </c>
      <c r="D120" s="279">
        <f>SUM(DS119:DW119)/100</f>
        <v>0</v>
      </c>
      <c r="E120" s="279">
        <f>SUM(DX119:EB119)/100</f>
        <v>0</v>
      </c>
      <c r="F120" s="279">
        <f>SUM(EC119:EG119)/100</f>
        <v>0</v>
      </c>
      <c r="G120" s="279">
        <f>SUM(EH119:EL119)/100</f>
        <v>0</v>
      </c>
      <c r="H120" s="279">
        <f>SUM(EM119:EQ119)/100</f>
        <v>0</v>
      </c>
      <c r="I120" s="279">
        <f>SUM(ER119:EV119)/100</f>
        <v>0</v>
      </c>
      <c r="J120" s="279">
        <f>SUM(EW119:FA119)/100</f>
        <v>0</v>
      </c>
      <c r="K120" s="279">
        <f>SUM(FB119:FF119)/100</f>
        <v>0</v>
      </c>
      <c r="L120" s="279">
        <f>SUM(FG119:FK119)/100</f>
        <v>0</v>
      </c>
      <c r="M120" s="279">
        <f>SUM(FL119:FP119)/100</f>
        <v>0</v>
      </c>
      <c r="AG120" s="365"/>
      <c r="AH120" s="365"/>
      <c r="AI120" s="365"/>
      <c r="AJ120" s="365"/>
      <c r="AK120" s="365"/>
      <c r="AL120" s="365"/>
      <c r="AM120" s="365"/>
      <c r="AN120" s="365"/>
      <c r="AO120" s="365"/>
      <c r="AP120" s="365"/>
      <c r="AQ120" s="365"/>
      <c r="AR120" s="365"/>
      <c r="AS120" s="365"/>
      <c r="AT120" s="365"/>
      <c r="AU120" s="365"/>
      <c r="AV120" s="365"/>
      <c r="AW120" s="365"/>
      <c r="AX120" s="365"/>
      <c r="AY120" s="365"/>
      <c r="AZ120" s="365"/>
      <c r="BA120" s="365"/>
      <c r="BB120" s="365"/>
      <c r="BC120" s="365"/>
      <c r="BD120" s="365"/>
      <c r="BE120" s="365"/>
      <c r="BF120" s="365"/>
      <c r="BG120" s="365"/>
      <c r="BH120" s="365"/>
      <c r="BI120" s="365"/>
      <c r="BJ120" s="365"/>
      <c r="BK120" s="365"/>
      <c r="BL120" s="365"/>
      <c r="BM120" s="365"/>
      <c r="BN120" s="365"/>
      <c r="BO120" s="365"/>
      <c r="BP120" s="365"/>
      <c r="BQ120" s="365"/>
      <c r="BR120" s="365"/>
      <c r="BS120" s="365"/>
      <c r="BT120" s="365"/>
      <c r="BU120" s="365"/>
      <c r="BV120" s="365"/>
      <c r="BW120" s="365"/>
      <c r="BX120" s="365"/>
      <c r="BY120" s="365"/>
      <c r="BZ120" s="365"/>
      <c r="CA120" s="365"/>
      <c r="CB120" s="365"/>
      <c r="CC120" s="365"/>
      <c r="CD120" s="365"/>
      <c r="CE120" s="365"/>
      <c r="CF120" s="365"/>
      <c r="CG120" s="365"/>
      <c r="CH120" s="365"/>
      <c r="CI120" s="365"/>
      <c r="CJ120" s="365"/>
      <c r="CK120" s="365"/>
      <c r="CL120" s="365"/>
      <c r="CM120" s="365"/>
      <c r="CN120" s="365"/>
      <c r="CO120" s="365"/>
      <c r="CP120" s="365"/>
      <c r="CQ120" s="365"/>
      <c r="CR120" s="365"/>
      <c r="CS120" s="365"/>
      <c r="CT120" s="365"/>
      <c r="CU120" s="365"/>
      <c r="CV120" s="365"/>
      <c r="CW120" s="365"/>
      <c r="CX120" s="365"/>
      <c r="CY120" s="365"/>
      <c r="CZ120" s="365"/>
      <c r="DA120" s="365"/>
      <c r="DB120" s="365"/>
      <c r="DC120" s="365"/>
      <c r="DD120" s="365"/>
      <c r="DE120" s="365"/>
      <c r="DF120" s="365"/>
      <c r="DG120" s="365"/>
      <c r="DM120" s="365"/>
      <c r="DN120" s="365"/>
      <c r="DO120" s="365"/>
      <c r="DP120" s="365"/>
      <c r="DQ120" s="365"/>
      <c r="DR120" s="365"/>
      <c r="DS120" s="365"/>
      <c r="DT120" s="365"/>
      <c r="DU120" s="365"/>
      <c r="DV120" s="365"/>
      <c r="DW120" s="365"/>
      <c r="DX120" s="365"/>
      <c r="DY120" s="365"/>
      <c r="DZ120" s="365"/>
      <c r="EA120" s="365"/>
      <c r="EB120" s="365"/>
      <c r="EC120" s="365"/>
      <c r="ED120" s="365"/>
      <c r="EE120" s="365"/>
      <c r="EF120" s="365"/>
      <c r="EG120" s="365"/>
      <c r="EH120" s="365"/>
      <c r="EI120" s="365"/>
      <c r="EJ120" s="365"/>
      <c r="EK120" s="365"/>
      <c r="EL120" s="365"/>
      <c r="EM120" s="365"/>
      <c r="EN120" s="365"/>
      <c r="EO120" s="365"/>
      <c r="EP120" s="365"/>
      <c r="EQ120" s="365"/>
      <c r="ER120" s="365"/>
      <c r="ES120" s="365"/>
      <c r="ET120" s="365"/>
      <c r="EU120" s="365"/>
      <c r="EV120" s="365"/>
      <c r="EW120" s="365"/>
      <c r="EX120" s="365"/>
      <c r="EY120" s="365"/>
      <c r="EZ120" s="365"/>
      <c r="FA120" s="365"/>
      <c r="FB120" s="365"/>
      <c r="FC120" s="365"/>
      <c r="FD120" s="365"/>
      <c r="FE120" s="365"/>
      <c r="FF120" s="365"/>
      <c r="FG120" s="365"/>
      <c r="FH120" s="365"/>
      <c r="FI120" s="365"/>
      <c r="FJ120" s="365"/>
      <c r="FK120" s="365"/>
      <c r="FL120" s="365"/>
      <c r="FM120" s="365"/>
      <c r="FN120" s="365"/>
      <c r="FO120" s="365"/>
      <c r="FP120" s="365"/>
    </row>
    <row r="121" spans="1:172" ht="21" customHeight="1" x14ac:dyDescent="0.3">
      <c r="A121" s="150" t="s">
        <v>239</v>
      </c>
      <c r="B121" s="149" t="e">
        <f>SUM(DI119:DM119)/100/Lote_29</f>
        <v>#DIV/0!</v>
      </c>
      <c r="C121" s="149" t="e">
        <f>SUM(DN119:DQ119)/100/Lote_29</f>
        <v>#DIV/0!</v>
      </c>
      <c r="D121" s="149" t="e">
        <f>SUM(DS119:DW119)/100/Lote_29</f>
        <v>#DIV/0!</v>
      </c>
      <c r="E121" s="149" t="e">
        <f>SUM(DX119:EB119)/100/Lote_29</f>
        <v>#DIV/0!</v>
      </c>
      <c r="F121" s="149" t="e">
        <f>SUM(EC119:EG119)/100/Lote_29</f>
        <v>#DIV/0!</v>
      </c>
      <c r="G121" s="149" t="e">
        <f>SUM(EH119:EL119)/100/Lote_29</f>
        <v>#DIV/0!</v>
      </c>
      <c r="H121" s="149" t="e">
        <f>SUM(EM119:EQ119)/100/Lote_29</f>
        <v>#DIV/0!</v>
      </c>
      <c r="I121" s="149" t="e">
        <f>SUM(ER119:EV119)/100/Lote_29</f>
        <v>#DIV/0!</v>
      </c>
      <c r="J121" s="149" t="e">
        <f>SUM(EW119:FA119)/100/Lote_29</f>
        <v>#DIV/0!</v>
      </c>
      <c r="K121" s="149" t="e">
        <f>SUM(FB119:FF119)/100/Lote_29</f>
        <v>#DIV/0!</v>
      </c>
      <c r="L121" s="149" t="e">
        <f>SUM(FG119:FK119)/100/Lote_29</f>
        <v>#DIV/0!</v>
      </c>
      <c r="M121" s="149" t="e">
        <f>SUM(FL119:FP119)/100/Lote_29</f>
        <v>#DIV/0!</v>
      </c>
    </row>
    <row r="122" spans="1:172" ht="21" customHeight="1" x14ac:dyDescent="0.3">
      <c r="A122" s="233">
        <f>N_L30</f>
        <v>0</v>
      </c>
      <c r="B122" s="363" t="s">
        <v>37</v>
      </c>
      <c r="C122" s="363" t="s">
        <v>37</v>
      </c>
      <c r="D122" s="363" t="s">
        <v>37</v>
      </c>
      <c r="E122" s="363" t="s">
        <v>37</v>
      </c>
      <c r="F122" s="363" t="s">
        <v>37</v>
      </c>
      <c r="G122" s="363" t="s">
        <v>37</v>
      </c>
      <c r="H122" s="363" t="s">
        <v>37</v>
      </c>
      <c r="I122" s="363" t="s">
        <v>37</v>
      </c>
      <c r="J122" s="363" t="s">
        <v>37</v>
      </c>
      <c r="K122" s="363" t="s">
        <v>37</v>
      </c>
      <c r="L122" s="363" t="s">
        <v>37</v>
      </c>
      <c r="M122" s="363" t="s">
        <v>37</v>
      </c>
    </row>
    <row r="123" spans="1:172" ht="21" customHeight="1" x14ac:dyDescent="0.3">
      <c r="A123" s="4" t="s">
        <v>237</v>
      </c>
      <c r="B123" s="7"/>
      <c r="C123" s="7"/>
      <c r="D123" s="275"/>
      <c r="E123" s="275"/>
      <c r="F123" s="275"/>
      <c r="G123" s="275"/>
      <c r="H123" s="275"/>
      <c r="I123" s="275"/>
      <c r="J123" s="275"/>
      <c r="K123" s="275"/>
      <c r="L123" s="275"/>
      <c r="M123" s="275"/>
      <c r="O123" s="58">
        <f>Área_L30*D_L30*A1_L30</f>
        <v>0</v>
      </c>
      <c r="P123" s="58">
        <f>Área_L30*D_L30*A2_L30</f>
        <v>0</v>
      </c>
      <c r="Q123" s="58">
        <f>Área_L30*D_L30*A3_L30</f>
        <v>0</v>
      </c>
      <c r="R123" s="58">
        <f>Área_L30*D_L30*A4_L30</f>
        <v>0</v>
      </c>
      <c r="S123" s="58">
        <f>Área_L30*D_L30*A5_L30</f>
        <v>0</v>
      </c>
      <c r="T123" s="58">
        <f>Área_L30*D_L30*A6_L30</f>
        <v>0</v>
      </c>
      <c r="U123" s="58">
        <f>Área_L30*D_L30*A7_L30</f>
        <v>0</v>
      </c>
      <c r="V123" s="58">
        <f>Área_L30*D_L30*A8_L30</f>
        <v>0</v>
      </c>
      <c r="W123" s="58">
        <f>Área_L30*D_L30*A9_L30</f>
        <v>0</v>
      </c>
      <c r="X123" s="58">
        <f>Área_L30*D_L30*A10_L30</f>
        <v>0</v>
      </c>
      <c r="Y123" s="58">
        <f>Área_L30*D_L30*A11_L30</f>
        <v>0</v>
      </c>
      <c r="Z123" s="58">
        <f>Área_L30*D_L30*A12_L30</f>
        <v>0</v>
      </c>
      <c r="AB123" s="58">
        <f>IF($B122="Producción",IF($B123&gt;=LI_A,$O123,0),0)</f>
        <v>0</v>
      </c>
      <c r="AC123" s="58">
        <f>IF($B122="Producción",IF($B123&gt;=LI_B,IF($B123&lt;LS_B,$O123,0),0),0)</f>
        <v>0</v>
      </c>
      <c r="AD123" s="58">
        <f>IF($B122="Producción",IF($B123&gt;=LI_C,IF($B123&lt;LS_C,$O123,0),0),0)</f>
        <v>0</v>
      </c>
      <c r="AE123" s="58">
        <f>IF($B122="Producción",IF($B123&lt;=LS_D,$O123,0),0)</f>
        <v>0</v>
      </c>
      <c r="AF123" s="365">
        <f>IF($B122="Crecimiento",$O123,0)</f>
        <v>0</v>
      </c>
      <c r="AG123" s="365">
        <f>IF($B122="Siembra",$O123,0)</f>
        <v>0</v>
      </c>
      <c r="AH123" s="365">
        <f>IF($B122="Abandono",$O123,0)</f>
        <v>0</v>
      </c>
      <c r="AI123" s="365">
        <f>IF($C122="Producción",IF($C123&gt;=LI_A,$P123,0),0)</f>
        <v>0</v>
      </c>
      <c r="AJ123" s="365">
        <f>IF($C122="Producción",IF($C123&gt;=LI_B,IF($C123&lt;LS_B,$P123,0),0),0)</f>
        <v>0</v>
      </c>
      <c r="AK123" s="365">
        <f>IF($C122="Producción",IF($C123&gt;=LI_C,IF($C123&lt;LS_C,$P123,0),0),0)</f>
        <v>0</v>
      </c>
      <c r="AL123" s="365">
        <f>IF($C122="Producción",IF(C123&lt;=LS_D,$P123,0),0)</f>
        <v>0</v>
      </c>
      <c r="AM123" s="365">
        <f>IF($C122="Crecimiento",$P123,0)</f>
        <v>0</v>
      </c>
      <c r="AN123" s="365">
        <f>IF($C122="Siembra",$P123,0)</f>
        <v>0</v>
      </c>
      <c r="AO123" s="365">
        <f>IF($C122="Abandono",$P123,0)</f>
        <v>0</v>
      </c>
      <c r="AP123" s="365">
        <f>IF($D122="Producción",IF($D123&gt;=LI_A,$Q123,0),0)</f>
        <v>0</v>
      </c>
      <c r="AQ123" s="365">
        <f>IF($D122="Producción",IF($D123&gt;=LI_B,IF($D123&lt;LS_B,$Q123,0),0),0)</f>
        <v>0</v>
      </c>
      <c r="AR123" s="365">
        <f>IF($D122="Producción",IF($D123&gt;=LI_C,IF($D123&lt;LS_C,$Q123,0),0),0)</f>
        <v>0</v>
      </c>
      <c r="AS123" s="365">
        <f>IF($D122="Producción",IF($D123&lt;=LS_D,$Q123,0),0)</f>
        <v>0</v>
      </c>
      <c r="AT123" s="365">
        <f>IF($D122="Crecimiento",$Q123,0)</f>
        <v>0</v>
      </c>
      <c r="AU123" s="365">
        <f>IF($D122="Siembra",$Q123,0)</f>
        <v>0</v>
      </c>
      <c r="AV123" s="365">
        <f>IF($D122="Abandono",$Q123,0)</f>
        <v>0</v>
      </c>
      <c r="AW123" s="365">
        <f>IF($E122="Producción",IF($E123&gt;=LI_A,$R123,0),0)</f>
        <v>0</v>
      </c>
      <c r="AX123" s="365">
        <f>IF($E122="Producción",IF($E123&gt;=LI_B,IF($E123&lt;LS_B,$R123,0),0),0)</f>
        <v>0</v>
      </c>
      <c r="AY123" s="365">
        <f>IF($E122="Producción",IF($E123&gt;=LI_C,IF($E123&lt;LS_C,$R123,0),0),0)</f>
        <v>0</v>
      </c>
      <c r="AZ123" s="365">
        <f>IF($E122="Producción",IF($E123&lt;=LS_D,$R123,0),0)</f>
        <v>0</v>
      </c>
      <c r="BA123" s="365">
        <f>IF($E122="Crecimiento",$R123,0)</f>
        <v>0</v>
      </c>
      <c r="BB123" s="365">
        <f>IF($E122="Siembra",$R123,0)</f>
        <v>0</v>
      </c>
      <c r="BC123" s="365">
        <f>IF($E122="Abandono",$R123,0)</f>
        <v>0</v>
      </c>
      <c r="BD123" s="365">
        <f>IF($F122="Producción",IF($F123&gt;=LI_A,$S123,0),0)</f>
        <v>0</v>
      </c>
      <c r="BE123" s="365">
        <f>IF($F122="Producción",IF($F123&gt;=LI_B,IF($F123&lt;LS_B,$S123,0),0),0)</f>
        <v>0</v>
      </c>
      <c r="BF123" s="365">
        <f>IF($F122="Producción",IF($F123&gt;=LI_C,IF($F123&lt;LS_C,$S123,0),0),0)</f>
        <v>0</v>
      </c>
      <c r="BG123" s="365">
        <f>IF($F122="Producción",IF($F123&lt;=LS_D,$S123,0),0)</f>
        <v>0</v>
      </c>
      <c r="BH123" s="365">
        <f>IF($F122="Crecimiento",$S123,0)</f>
        <v>0</v>
      </c>
      <c r="BI123" s="365">
        <f>IF($F122="Siembra",$S123,0)</f>
        <v>0</v>
      </c>
      <c r="BJ123" s="365">
        <f>IF($F122="Abandono",$S123,0)</f>
        <v>0</v>
      </c>
      <c r="BK123" s="365">
        <f>IF($G122="Producción",IF($G123&gt;=LI_A,$T123,0),0)</f>
        <v>0</v>
      </c>
      <c r="BL123" s="365">
        <f>IF($G122="Producción",IF($G123&gt;=LI_B,IF($G123&lt;LS_B,$T123,0),0),0)</f>
        <v>0</v>
      </c>
      <c r="BM123" s="365">
        <f>IF($G122="Producción",IF($G123&gt;=LI_C,IF($G123&lt;LS_C,$T123,0),0),0)</f>
        <v>0</v>
      </c>
      <c r="BN123" s="365">
        <f>IF($G122="Producción",IF($G123&lt;=LS_D,$T123,0),0)</f>
        <v>0</v>
      </c>
      <c r="BO123" s="365">
        <f>IF($G122="Crecimiento",$T123,0)</f>
        <v>0</v>
      </c>
      <c r="BP123" s="365">
        <f>IF($G122="Siembra",$T123,0)</f>
        <v>0</v>
      </c>
      <c r="BQ123" s="365">
        <f>IF($G122="Abandono",$T123,0)</f>
        <v>0</v>
      </c>
      <c r="BR123" s="365">
        <f>IF($H122="Producción",IF($H123&gt;=LI_A,$U123,0),0)</f>
        <v>0</v>
      </c>
      <c r="BS123" s="365">
        <f>IF($H122="Producción",IF($H123&gt;=LI_B,IF($H123&lt;LS_B,$U123,0),0),0)</f>
        <v>0</v>
      </c>
      <c r="BT123" s="365">
        <f>IF($H122="Producción",IF($H123&gt;=LI_C,IF($H123&lt;LS_C,$U123,0),0),0)</f>
        <v>0</v>
      </c>
      <c r="BU123" s="365">
        <f>IF($H122="Producción",IF($H123&lt;=LS_D,$U123,0),0)</f>
        <v>0</v>
      </c>
      <c r="BV123" s="365">
        <f>IF($H122="Crecimiento",$U123,0)</f>
        <v>0</v>
      </c>
      <c r="BW123" s="365">
        <f>IF($H122="Siembra",$U123,0)</f>
        <v>0</v>
      </c>
      <c r="BX123" s="365">
        <f>IF($H122="Abandono",$U123,0)</f>
        <v>0</v>
      </c>
      <c r="BY123" s="365">
        <f>IF($I122="Producción",IF($I123&gt;=LI_A,$V123,0),0)</f>
        <v>0</v>
      </c>
      <c r="BZ123" s="365">
        <f>IF($I122="Producción",IF($I123&gt;=LI_B,IF($I123&lt;LS_B,$V123,0),0),0)</f>
        <v>0</v>
      </c>
      <c r="CA123" s="365">
        <f>IF($I122="Producción",IF($I123&gt;=LI_C,IF($I123&lt;LS_C,$V123,0),0),0)</f>
        <v>0</v>
      </c>
      <c r="CB123" s="365">
        <f>IF($I122="Producción",IF($I123&lt;=LS_D,$V123,0),0)</f>
        <v>0</v>
      </c>
      <c r="CC123" s="365">
        <f>IF($I122="Crecimiento",$V123,0)</f>
        <v>0</v>
      </c>
      <c r="CD123" s="365">
        <f>IF($I122="Siembra",$V123,0)</f>
        <v>0</v>
      </c>
      <c r="CE123" s="365">
        <f>IF($I122="Abandono",$V123,0)</f>
        <v>0</v>
      </c>
      <c r="CF123" s="365">
        <f>IF($J122="Producción",IF($J123&gt;=LI_A,$W123,0),0)</f>
        <v>0</v>
      </c>
      <c r="CG123" s="365">
        <f>IF($J122="Producción",IF($J123&gt;=LI_B,IF($J123&lt;LS_B,$W123,0),0),0)</f>
        <v>0</v>
      </c>
      <c r="CH123" s="365">
        <f>IF($J122="Producción",IF($J123&gt;=LI_C,IF($J123&lt;LS_C,$W123,0),0),0)</f>
        <v>0</v>
      </c>
      <c r="CI123" s="365">
        <f>IF($J122="Producción",IF($J123&lt;=LS_D,$W123,0),0)</f>
        <v>0</v>
      </c>
      <c r="CJ123" s="365">
        <f>IF($J122="Crecimiento",$W123,0)</f>
        <v>0</v>
      </c>
      <c r="CK123" s="365">
        <f>IF($J122="Siembra",$W123,0)</f>
        <v>0</v>
      </c>
      <c r="CL123" s="365">
        <f>IF($J122="Abandono",$W123,0)</f>
        <v>0</v>
      </c>
      <c r="CM123" s="365">
        <f>IF($K122="Producción",IF($K123&gt;=LI_A,$X123,0),0)</f>
        <v>0</v>
      </c>
      <c r="CN123" s="365">
        <f>IF($K122="Producción",IF($K123&gt;=LI_B,IF($K123&lt;LS_B,$X123,0),0),0)</f>
        <v>0</v>
      </c>
      <c r="CO123" s="365">
        <f>IF($K122="Producción",IF($K123&gt;=LI_C,IF($K123&lt;LS_C,$X123,0),0),0)</f>
        <v>0</v>
      </c>
      <c r="CP123" s="365">
        <f>IF($K122="Producción",IF($K123&lt;=LS_D,$X123,0),0)</f>
        <v>0</v>
      </c>
      <c r="CQ123" s="365">
        <f>IF($K122="Crecimiento",IF($K123&gt;0,$X123,0),0)</f>
        <v>0</v>
      </c>
      <c r="CR123" s="365">
        <f>IF($K122="Siembra",IF($K123&gt;0,$X123,0),0)</f>
        <v>0</v>
      </c>
      <c r="CS123" s="365">
        <f>IF($K122="Abandono",IF($K123&gt;0,$X123,0),0)</f>
        <v>0</v>
      </c>
      <c r="CT123" s="365">
        <f>IF($L122="Producción",IF($L123&gt;=LI_A,$Y123,0),0)</f>
        <v>0</v>
      </c>
      <c r="CU123" s="365">
        <f>IF($L122="Producción",IF($L123&gt;=LI_B,IF($L123&lt;LS_B,$Y123,0),0),0)</f>
        <v>0</v>
      </c>
      <c r="CV123" s="365">
        <f>IF($L122="Producción",IF($L123&gt;=LI_C,IF($L123&lt;LS_C,$Y123,0),0),0)</f>
        <v>0</v>
      </c>
      <c r="CW123" s="365">
        <f>IF($L122="Producción",IF($L123&lt;=LS_D,$Y123,0),0)</f>
        <v>0</v>
      </c>
      <c r="CX123" s="365">
        <f>IF($L122="Crecimiento",$Y123,0)</f>
        <v>0</v>
      </c>
      <c r="CY123" s="365">
        <f>IF($L122="Siembra",$Y123,0)</f>
        <v>0</v>
      </c>
      <c r="CZ123" s="365">
        <f>IF($L122="Abandono",$Y123,0)</f>
        <v>0</v>
      </c>
      <c r="DA123" s="365">
        <f>IF($M122="Producción",IF($M123&gt;=LI_A,$Z123,0),0)</f>
        <v>0</v>
      </c>
      <c r="DB123" s="365">
        <f>IF($M122="Producción",IF($M123&gt;=LI_B,IF($M123&lt;LS_B,$Z123,0),0),0)</f>
        <v>0</v>
      </c>
      <c r="DC123" s="365">
        <f>IF($M122="Producción",IF($M123&gt;=LI_C,IF($M123&lt;LS_C,$Z123,0),0),0)</f>
        <v>0</v>
      </c>
      <c r="DD123" s="365">
        <f>IF($M122="Producción",IF($M123&lt;=LS_D,$Z123,0),0)</f>
        <v>0</v>
      </c>
      <c r="DE123" s="365">
        <f>IF($M122="Crecimiento",$Z123,0)</f>
        <v>0</v>
      </c>
      <c r="DF123" s="365">
        <f>IF($M122="Siembra",$Z123,0)</f>
        <v>0</v>
      </c>
      <c r="DG123" s="365">
        <f>IF($M122="Abandono",$Z123,0)</f>
        <v>0</v>
      </c>
      <c r="DI123" s="58">
        <f>AB123*$B123</f>
        <v>0</v>
      </c>
      <c r="DJ123" s="58">
        <f>AC123*$B123</f>
        <v>0</v>
      </c>
      <c r="DK123" s="58">
        <f>AD123*$B123</f>
        <v>0</v>
      </c>
      <c r="DL123" s="58">
        <f>AE123*$B123</f>
        <v>0</v>
      </c>
      <c r="DM123" s="365">
        <f>AF123*$B123</f>
        <v>0</v>
      </c>
      <c r="DN123" s="365">
        <f>AI123*$C123</f>
        <v>0</v>
      </c>
      <c r="DO123" s="365">
        <f>AJ123*$C123</f>
        <v>0</v>
      </c>
      <c r="DP123" s="365">
        <f>AK123*$C123</f>
        <v>0</v>
      </c>
      <c r="DQ123" s="365">
        <f>AL123*$C123</f>
        <v>0</v>
      </c>
      <c r="DR123" s="365">
        <f>AM123*$C123</f>
        <v>0</v>
      </c>
      <c r="DS123" s="365">
        <f>AP123*$D123</f>
        <v>0</v>
      </c>
      <c r="DT123" s="365">
        <f>AQ123*$D123</f>
        <v>0</v>
      </c>
      <c r="DU123" s="365">
        <f>AR123*$D123</f>
        <v>0</v>
      </c>
      <c r="DV123" s="365">
        <f>AS123*$D123</f>
        <v>0</v>
      </c>
      <c r="DW123" s="365">
        <f>AT123*$D123</f>
        <v>0</v>
      </c>
      <c r="DX123" s="365">
        <f>AW123*$E123</f>
        <v>0</v>
      </c>
      <c r="DY123" s="365">
        <f>AX123*$E123</f>
        <v>0</v>
      </c>
      <c r="DZ123" s="365">
        <f>AY123*$E123</f>
        <v>0</v>
      </c>
      <c r="EA123" s="365">
        <f>AZ123*$E123</f>
        <v>0</v>
      </c>
      <c r="EB123" s="365">
        <f>BA123*$E123</f>
        <v>0</v>
      </c>
      <c r="EC123" s="365">
        <f>BD123*$F123</f>
        <v>0</v>
      </c>
      <c r="ED123" s="365">
        <f>BE123*$F123</f>
        <v>0</v>
      </c>
      <c r="EE123" s="365">
        <f>BF123*$F123</f>
        <v>0</v>
      </c>
      <c r="EF123" s="365">
        <f>BG123*$F123</f>
        <v>0</v>
      </c>
      <c r="EG123" s="365">
        <f>BH123*$F123</f>
        <v>0</v>
      </c>
      <c r="EH123" s="365">
        <f>BK123*$G123</f>
        <v>0</v>
      </c>
      <c r="EI123" s="365">
        <f>BL123*$G123</f>
        <v>0</v>
      </c>
      <c r="EJ123" s="365">
        <f>BM123*$G123</f>
        <v>0</v>
      </c>
      <c r="EK123" s="365">
        <f>BN123*$G123</f>
        <v>0</v>
      </c>
      <c r="EL123" s="365">
        <f>BO123*$G123</f>
        <v>0</v>
      </c>
      <c r="EM123" s="365">
        <f>BR123*$H123</f>
        <v>0</v>
      </c>
      <c r="EN123" s="365">
        <f>BS123*$H123</f>
        <v>0</v>
      </c>
      <c r="EO123" s="365">
        <f>BT123*$H123</f>
        <v>0</v>
      </c>
      <c r="EP123" s="365">
        <f>BU123*$H123</f>
        <v>0</v>
      </c>
      <c r="EQ123" s="365">
        <f>BV123*$H123</f>
        <v>0</v>
      </c>
      <c r="ER123" s="365">
        <f>BY123*$I123</f>
        <v>0</v>
      </c>
      <c r="ES123" s="365">
        <f>BZ123*$I123</f>
        <v>0</v>
      </c>
      <c r="ET123" s="365">
        <f>CA123*$I123</f>
        <v>0</v>
      </c>
      <c r="EU123" s="365">
        <f>CB123*$I123</f>
        <v>0</v>
      </c>
      <c r="EV123" s="365">
        <f>CC123*$I123</f>
        <v>0</v>
      </c>
      <c r="EW123" s="365">
        <f>CF123*$J123</f>
        <v>0</v>
      </c>
      <c r="EX123" s="365">
        <f>CG123*$J123</f>
        <v>0</v>
      </c>
      <c r="EY123" s="365">
        <f>CH123*$J123</f>
        <v>0</v>
      </c>
      <c r="EZ123" s="365">
        <f>CI123*$J123</f>
        <v>0</v>
      </c>
      <c r="FA123" s="365">
        <f>CJ123*$J123</f>
        <v>0</v>
      </c>
      <c r="FB123" s="365">
        <f>CM123*$K123</f>
        <v>0</v>
      </c>
      <c r="FC123" s="365">
        <f>CN123*$K123</f>
        <v>0</v>
      </c>
      <c r="FD123" s="365">
        <f>CO123*$K123</f>
        <v>0</v>
      </c>
      <c r="FE123" s="365">
        <f>CP123*$K123</f>
        <v>0</v>
      </c>
      <c r="FF123" s="365">
        <f>CQ123*$K123</f>
        <v>0</v>
      </c>
      <c r="FG123" s="365">
        <f>CT123*$L123</f>
        <v>0</v>
      </c>
      <c r="FH123" s="365">
        <f>CU123*$L123</f>
        <v>0</v>
      </c>
      <c r="FI123" s="365">
        <f>CV123*$L123</f>
        <v>0</v>
      </c>
      <c r="FJ123" s="365">
        <f>CW123*$L123</f>
        <v>0</v>
      </c>
      <c r="FK123" s="365">
        <f>CX123*$L123</f>
        <v>0</v>
      </c>
      <c r="FL123" s="365">
        <f>DA123*$M123</f>
        <v>0</v>
      </c>
      <c r="FM123" s="365">
        <f t="shared" ref="FM123" si="89">DB123*$M123</f>
        <v>0</v>
      </c>
      <c r="FN123" s="365">
        <f>DC123*$M123</f>
        <v>0</v>
      </c>
      <c r="FO123" s="365">
        <f t="shared" ref="FO123" si="90">DD123*$M123</f>
        <v>0</v>
      </c>
      <c r="FP123" s="365">
        <f t="shared" ref="FP123" si="91">DE123*$M123</f>
        <v>0</v>
      </c>
    </row>
    <row r="124" spans="1:172" ht="21" customHeight="1" x14ac:dyDescent="0.3">
      <c r="A124" s="277" t="s">
        <v>238</v>
      </c>
      <c r="B124" s="278">
        <f>SUM(DI123:DM123)/100</f>
        <v>0</v>
      </c>
      <c r="C124" s="278">
        <f>SUM(DN123:DQ123)/100</f>
        <v>0</v>
      </c>
      <c r="D124" s="279">
        <f>SUM(DS123:DW123)/100</f>
        <v>0</v>
      </c>
      <c r="E124" s="279">
        <f>SUM(DX123:EB123)/100</f>
        <v>0</v>
      </c>
      <c r="F124" s="279">
        <f>SUM(EC123:EG123)/100</f>
        <v>0</v>
      </c>
      <c r="G124" s="279">
        <f>SUM(EH123:EL123)/100</f>
        <v>0</v>
      </c>
      <c r="H124" s="279">
        <f>SUM(EM123:EQ123)/100</f>
        <v>0</v>
      </c>
      <c r="I124" s="279">
        <f>SUM(ER123:EV123)/100</f>
        <v>0</v>
      </c>
      <c r="J124" s="279">
        <f>SUM(EW123:FA123)/100</f>
        <v>0</v>
      </c>
      <c r="K124" s="279">
        <f>SUM(FB123:FF123)/100</f>
        <v>0</v>
      </c>
      <c r="L124" s="279">
        <f>SUM(FG123:FK123)/100</f>
        <v>0</v>
      </c>
      <c r="M124" s="279">
        <f>SUM(FL123:FP123)/100</f>
        <v>0</v>
      </c>
      <c r="AG124" s="365"/>
      <c r="AH124" s="365"/>
      <c r="AI124" s="365"/>
      <c r="AJ124" s="365"/>
      <c r="AK124" s="365"/>
      <c r="AL124" s="365"/>
      <c r="AM124" s="365"/>
      <c r="AN124" s="365"/>
      <c r="AO124" s="365"/>
      <c r="AP124" s="365"/>
      <c r="AQ124" s="365"/>
      <c r="AR124" s="365"/>
      <c r="AS124" s="365"/>
      <c r="AT124" s="365"/>
      <c r="AU124" s="365"/>
      <c r="AV124" s="365"/>
      <c r="AW124" s="365"/>
      <c r="AX124" s="365"/>
      <c r="AY124" s="365"/>
      <c r="AZ124" s="365"/>
      <c r="BA124" s="365"/>
      <c r="BB124" s="365"/>
      <c r="BC124" s="365"/>
      <c r="BD124" s="365"/>
      <c r="BE124" s="365"/>
      <c r="BF124" s="365"/>
      <c r="BG124" s="365"/>
      <c r="BH124" s="365"/>
      <c r="BI124" s="365"/>
      <c r="BJ124" s="365"/>
      <c r="BK124" s="365"/>
      <c r="BL124" s="365"/>
      <c r="BM124" s="365"/>
      <c r="BN124" s="365"/>
      <c r="BO124" s="365"/>
      <c r="BP124" s="365"/>
      <c r="BQ124" s="365"/>
      <c r="BR124" s="365"/>
      <c r="BS124" s="365"/>
      <c r="BT124" s="365"/>
      <c r="BU124" s="365"/>
      <c r="BV124" s="365"/>
      <c r="BW124" s="365"/>
      <c r="BX124" s="365"/>
      <c r="BY124" s="365"/>
      <c r="BZ124" s="365"/>
      <c r="CA124" s="365"/>
      <c r="CB124" s="365"/>
      <c r="CC124" s="365"/>
      <c r="CD124" s="365"/>
      <c r="CE124" s="365"/>
      <c r="CF124" s="365"/>
      <c r="CG124" s="365"/>
      <c r="CH124" s="365"/>
      <c r="CI124" s="365"/>
      <c r="CJ124" s="365"/>
      <c r="CK124" s="365"/>
      <c r="CL124" s="365"/>
      <c r="CM124" s="365"/>
      <c r="CN124" s="365"/>
      <c r="CO124" s="365"/>
      <c r="CP124" s="365"/>
      <c r="CQ124" s="365"/>
      <c r="CR124" s="365"/>
      <c r="CS124" s="365"/>
      <c r="CT124" s="365"/>
      <c r="CU124" s="365"/>
      <c r="CV124" s="365"/>
      <c r="CW124" s="365"/>
      <c r="CX124" s="365"/>
      <c r="CY124" s="365"/>
      <c r="CZ124" s="365"/>
      <c r="DA124" s="365"/>
      <c r="DB124" s="365"/>
      <c r="DC124" s="365"/>
      <c r="DD124" s="365"/>
      <c r="DE124" s="365"/>
      <c r="DF124" s="365"/>
      <c r="DG124" s="365"/>
      <c r="DM124" s="365"/>
      <c r="DN124" s="365"/>
      <c r="DO124" s="365"/>
      <c r="DP124" s="365"/>
      <c r="DQ124" s="365"/>
      <c r="DR124" s="365"/>
      <c r="DS124" s="365"/>
      <c r="DT124" s="365"/>
      <c r="DU124" s="365"/>
      <c r="DV124" s="365"/>
      <c r="DW124" s="365"/>
      <c r="DX124" s="365"/>
      <c r="DY124" s="365"/>
      <c r="DZ124" s="365"/>
      <c r="EA124" s="365"/>
      <c r="EB124" s="365"/>
      <c r="EC124" s="365"/>
      <c r="ED124" s="365"/>
      <c r="EE124" s="365"/>
      <c r="EF124" s="365"/>
      <c r="EG124" s="365"/>
      <c r="EH124" s="365"/>
      <c r="EI124" s="365"/>
      <c r="EJ124" s="365"/>
      <c r="EK124" s="365"/>
      <c r="EL124" s="365"/>
      <c r="EM124" s="365"/>
      <c r="EN124" s="365"/>
      <c r="EO124" s="365"/>
      <c r="EP124" s="365"/>
      <c r="EQ124" s="365"/>
      <c r="ER124" s="365"/>
      <c r="ES124" s="365"/>
      <c r="ET124" s="365"/>
      <c r="EU124" s="365"/>
      <c r="EV124" s="365"/>
      <c r="EW124" s="365"/>
      <c r="EX124" s="365"/>
      <c r="EY124" s="365"/>
      <c r="EZ124" s="365"/>
      <c r="FA124" s="365"/>
      <c r="FB124" s="365"/>
      <c r="FC124" s="365"/>
      <c r="FD124" s="365"/>
      <c r="FE124" s="365"/>
      <c r="FF124" s="365"/>
      <c r="FG124" s="365"/>
      <c r="FH124" s="365"/>
      <c r="FI124" s="365"/>
      <c r="FJ124" s="365"/>
      <c r="FK124" s="365"/>
      <c r="FL124" s="365"/>
      <c r="FM124" s="365"/>
      <c r="FN124" s="365"/>
      <c r="FO124" s="365"/>
      <c r="FP124" s="365"/>
    </row>
    <row r="125" spans="1:172" ht="21" customHeight="1" x14ac:dyDescent="0.3">
      <c r="A125" s="150" t="s">
        <v>239</v>
      </c>
      <c r="B125" s="149" t="e">
        <f>SUM(DI123:DM123)/100/Lote_30</f>
        <v>#DIV/0!</v>
      </c>
      <c r="C125" s="149" t="e">
        <f>SUM(DN123:DQ123)/100/Lote_30</f>
        <v>#DIV/0!</v>
      </c>
      <c r="D125" s="149" t="e">
        <f>SUM(DS123:DW123)/100/Lote_30</f>
        <v>#DIV/0!</v>
      </c>
      <c r="E125" s="149" t="e">
        <f>SUM(DX123:EB123)/100/Lote_30</f>
        <v>#DIV/0!</v>
      </c>
      <c r="F125" s="149" t="e">
        <f>SUM(EC123:EG123)/100/Lote_30</f>
        <v>#DIV/0!</v>
      </c>
      <c r="G125" s="149" t="e">
        <f>SUM(EH123:EL123)/100/Lote_30</f>
        <v>#DIV/0!</v>
      </c>
      <c r="H125" s="149" t="e">
        <f>SUM(EM123:EQ123)/100/Lote_30</f>
        <v>#DIV/0!</v>
      </c>
      <c r="I125" s="149" t="e">
        <f>SUM(ER123:EV123)/100/Lote_30</f>
        <v>#DIV/0!</v>
      </c>
      <c r="J125" s="149" t="e">
        <f>SUM(EW123:FA123)/100/Lote_30</f>
        <v>#DIV/0!</v>
      </c>
      <c r="K125" s="149" t="e">
        <f>SUM(FB123:FF123)/100/Lote_30</f>
        <v>#DIV/0!</v>
      </c>
      <c r="L125" s="149" t="e">
        <f>SUM(FG123:FK123)/100/Lote_30</f>
        <v>#DIV/0!</v>
      </c>
      <c r="M125" s="149" t="e">
        <f>SUM(FL123:FP123)/100/Lote_30</f>
        <v>#DIV/0!</v>
      </c>
    </row>
    <row r="126" spans="1:172" ht="21" customHeight="1" x14ac:dyDescent="0.3">
      <c r="A126" s="233">
        <f>N_L31</f>
        <v>0</v>
      </c>
      <c r="B126" s="363" t="s">
        <v>37</v>
      </c>
      <c r="C126" s="363" t="s">
        <v>37</v>
      </c>
      <c r="D126" s="363" t="s">
        <v>37</v>
      </c>
      <c r="E126" s="363" t="s">
        <v>37</v>
      </c>
      <c r="F126" s="363" t="s">
        <v>37</v>
      </c>
      <c r="G126" s="363" t="s">
        <v>37</v>
      </c>
      <c r="H126" s="363" t="s">
        <v>37</v>
      </c>
      <c r="I126" s="363" t="s">
        <v>37</v>
      </c>
      <c r="J126" s="363" t="s">
        <v>37</v>
      </c>
      <c r="K126" s="363" t="s">
        <v>37</v>
      </c>
      <c r="L126" s="363" t="s">
        <v>37</v>
      </c>
      <c r="M126" s="363" t="s">
        <v>37</v>
      </c>
    </row>
    <row r="127" spans="1:172" ht="21" customHeight="1" x14ac:dyDescent="0.3">
      <c r="A127" s="4" t="s">
        <v>237</v>
      </c>
      <c r="B127" s="7"/>
      <c r="C127" s="7"/>
      <c r="D127" s="275"/>
      <c r="E127" s="275"/>
      <c r="F127" s="275"/>
      <c r="G127" s="275"/>
      <c r="H127" s="275"/>
      <c r="I127" s="275"/>
      <c r="J127" s="275"/>
      <c r="K127" s="275"/>
      <c r="L127" s="275"/>
      <c r="M127" s="275"/>
      <c r="O127" s="58">
        <f>Área_L31*D_L31*A1_L31</f>
        <v>0</v>
      </c>
      <c r="P127" s="58">
        <f>Área_L31*D_L31*A2_L31</f>
        <v>0</v>
      </c>
      <c r="Q127" s="58">
        <f>Área_L31*D_L31*A3_L31</f>
        <v>0</v>
      </c>
      <c r="R127" s="58">
        <f>Área_L31*D_L31*A4_L31</f>
        <v>0</v>
      </c>
      <c r="S127" s="58">
        <f>Área_L31*D_L31*A5_L31</f>
        <v>0</v>
      </c>
      <c r="T127" s="58">
        <f>Área_L31*D_L31*A6_L31</f>
        <v>0</v>
      </c>
      <c r="U127" s="58">
        <f>Área_L31*D_L31*A7_L31</f>
        <v>0</v>
      </c>
      <c r="V127" s="58">
        <f>Área_L31*D_L31*A8_L31</f>
        <v>0</v>
      </c>
      <c r="W127" s="58">
        <f>Área_L31*D_L31*A9_L31</f>
        <v>0</v>
      </c>
      <c r="X127" s="58">
        <f>Área_L31*D_L31*A10_L31</f>
        <v>0</v>
      </c>
      <c r="Y127" s="58">
        <f>Área_L31*D_L31*A11_L31</f>
        <v>0</v>
      </c>
      <c r="Z127" s="58">
        <f>Área_L31*D_L31*A12_L31</f>
        <v>0</v>
      </c>
      <c r="AB127" s="58">
        <f>IF($B126="Producción",IF($B127&gt;=LI_A,$O127,0),0)</f>
        <v>0</v>
      </c>
      <c r="AC127" s="58">
        <f>IF($B126="Producción",IF($B127&gt;=LI_B,IF($B127&lt;LS_B,$O127,0),0),0)</f>
        <v>0</v>
      </c>
      <c r="AD127" s="58">
        <f>IF($B126="Producción",IF($B127&gt;=LI_C,IF($B127&lt;LS_C,$O127,0),0),0)</f>
        <v>0</v>
      </c>
      <c r="AE127" s="58">
        <f>IF($B126="Producción",IF($B127&lt;=LS_D,$O127,0),0)</f>
        <v>0</v>
      </c>
      <c r="AF127" s="365">
        <f>IF($B126="Crecimiento",$O127,0)</f>
        <v>0</v>
      </c>
      <c r="AG127" s="365">
        <f>IF($B126="Siembra",$O127,0)</f>
        <v>0</v>
      </c>
      <c r="AH127" s="365">
        <f>IF($B126="Abandono",$O127,0)</f>
        <v>0</v>
      </c>
      <c r="AI127" s="365">
        <f>IF($C126="Producción",IF($C127&gt;=LI_A,$P127,0),0)</f>
        <v>0</v>
      </c>
      <c r="AJ127" s="365">
        <f>IF($C126="Producción",IF($C127&gt;=LI_B,IF($C127&lt;LS_B,$P127,0),0),0)</f>
        <v>0</v>
      </c>
      <c r="AK127" s="365">
        <f>IF($C126="Producción",IF($C127&gt;=LI_C,IF($C127&lt;LS_C,$P127,0),0),0)</f>
        <v>0</v>
      </c>
      <c r="AL127" s="365">
        <f>IF($C126="Producción",IF(C127&lt;=LS_D,$P127,0),0)</f>
        <v>0</v>
      </c>
      <c r="AM127" s="365">
        <f>IF($C126="Crecimiento",$P127,0)</f>
        <v>0</v>
      </c>
      <c r="AN127" s="365">
        <f>IF($C126="Siembra",$P127,0)</f>
        <v>0</v>
      </c>
      <c r="AO127" s="365">
        <f>IF($C126="Abandono",$P127,0)</f>
        <v>0</v>
      </c>
      <c r="AP127" s="365">
        <f>IF($D126="Producción",IF($D127&gt;=LI_A,$Q127,0),0)</f>
        <v>0</v>
      </c>
      <c r="AQ127" s="365">
        <f>IF($D126="Producción",IF($D127&gt;=LI_B,IF($D127&lt;LS_B,$Q127,0),0),0)</f>
        <v>0</v>
      </c>
      <c r="AR127" s="365">
        <f>IF($D126="Producción",IF($D127&gt;=LI_C,IF($D127&lt;LS_C,$Q127,0),0),0)</f>
        <v>0</v>
      </c>
      <c r="AS127" s="365">
        <f>IF($D126="Producción",IF($D127&lt;=LS_D,$Q127,0),0)</f>
        <v>0</v>
      </c>
      <c r="AT127" s="365">
        <f>IF($D126="Crecimiento",$Q127,0)</f>
        <v>0</v>
      </c>
      <c r="AU127" s="365">
        <f>IF($D126="Siembra",$Q127,0)</f>
        <v>0</v>
      </c>
      <c r="AV127" s="365">
        <f>IF($D126="Abandono",$Q127,0)</f>
        <v>0</v>
      </c>
      <c r="AW127" s="365">
        <f>IF($E126="Producción",IF($E127&gt;=LI_A,$R127,0),0)</f>
        <v>0</v>
      </c>
      <c r="AX127" s="365">
        <f>IF($E126="Producción",IF($E127&gt;=LI_B,IF($E127&lt;LS_B,$R127,0),0),0)</f>
        <v>0</v>
      </c>
      <c r="AY127" s="365">
        <f>IF($E126="Producción",IF($E127&gt;=LI_C,IF($E127&lt;LS_C,$R127,0),0),0)</f>
        <v>0</v>
      </c>
      <c r="AZ127" s="365">
        <f>IF($E126="Producción",IF($E127&lt;=LS_D,$R127,0),0)</f>
        <v>0</v>
      </c>
      <c r="BA127" s="365">
        <f>IF($E126="Crecimiento",$R127,0)</f>
        <v>0</v>
      </c>
      <c r="BB127" s="365">
        <f>IF($E126="Siembra",$R127,0)</f>
        <v>0</v>
      </c>
      <c r="BC127" s="365">
        <f>IF($E126="Abandono",$R127,0)</f>
        <v>0</v>
      </c>
      <c r="BD127" s="365">
        <f>IF($F126="Producción",IF($F127&gt;=LI_A,$S127,0),0)</f>
        <v>0</v>
      </c>
      <c r="BE127" s="365">
        <f>IF($F126="Producción",IF($F127&gt;=LI_B,IF($F127&lt;LS_B,$S127,0),0),0)</f>
        <v>0</v>
      </c>
      <c r="BF127" s="365">
        <f>IF($F126="Producción",IF($F127&gt;=LI_C,IF($F127&lt;LS_C,$S127,0),0),0)</f>
        <v>0</v>
      </c>
      <c r="BG127" s="365">
        <f>IF($F126="Producción",IF($F127&lt;=LS_D,$S127,0),0)</f>
        <v>0</v>
      </c>
      <c r="BH127" s="365">
        <f>IF($F126="Crecimiento",$S127,0)</f>
        <v>0</v>
      </c>
      <c r="BI127" s="365">
        <f>IF($F126="Siembra",$S127,0)</f>
        <v>0</v>
      </c>
      <c r="BJ127" s="365">
        <f>IF($F126="Abandono",$S127,0)</f>
        <v>0</v>
      </c>
      <c r="BK127" s="365">
        <f>IF($G126="Producción",IF($G127&gt;=LI_A,$T127,0),0)</f>
        <v>0</v>
      </c>
      <c r="BL127" s="365">
        <f>IF($G126="Producción",IF($G127&gt;=LI_B,IF($G127&lt;LS_B,$T127,0),0),0)</f>
        <v>0</v>
      </c>
      <c r="BM127" s="365">
        <f>IF($G126="Producción",IF($G127&gt;=LI_C,IF($G127&lt;LS_C,$T127,0),0),0)</f>
        <v>0</v>
      </c>
      <c r="BN127" s="365">
        <f>IF($G126="Producción",IF($G127&lt;=LS_D,$T127,0),0)</f>
        <v>0</v>
      </c>
      <c r="BO127" s="365">
        <f>IF($G126="Crecimiento",$T127,0)</f>
        <v>0</v>
      </c>
      <c r="BP127" s="365">
        <f>IF($G126="Siembra",$T127,0)</f>
        <v>0</v>
      </c>
      <c r="BQ127" s="365">
        <f>IF($G126="Abandono",$T127,0)</f>
        <v>0</v>
      </c>
      <c r="BR127" s="365">
        <f>IF($H126="Producción",IF($H127&gt;=LI_A,$U127,0),0)</f>
        <v>0</v>
      </c>
      <c r="BS127" s="365">
        <f>IF($H126="Producción",IF($H127&gt;=LI_B,IF($H127&lt;LS_B,$U127,0),0),0)</f>
        <v>0</v>
      </c>
      <c r="BT127" s="365">
        <f>IF($H126="Producción",IF($H127&gt;=LI_C,IF($H127&lt;LS_C,$U127,0),0),0)</f>
        <v>0</v>
      </c>
      <c r="BU127" s="365">
        <f>IF($H126="Producción",IF($H127&lt;=LS_D,$U127,0),0)</f>
        <v>0</v>
      </c>
      <c r="BV127" s="365">
        <f>IF($H126="Crecimiento",$U127,0)</f>
        <v>0</v>
      </c>
      <c r="BW127" s="365">
        <f>IF($H126="Siembra",$U127,0)</f>
        <v>0</v>
      </c>
      <c r="BX127" s="365">
        <f>IF($H126="Abandono",$U127,0)</f>
        <v>0</v>
      </c>
      <c r="BY127" s="365">
        <f>IF($I126="Producción",IF($I127&gt;=LI_A,$V127,0),0)</f>
        <v>0</v>
      </c>
      <c r="BZ127" s="365">
        <f>IF($I126="Producción",IF($I127&gt;=LI_B,IF($I127&lt;LS_B,$V127,0),0),0)</f>
        <v>0</v>
      </c>
      <c r="CA127" s="365">
        <f>IF($I126="Producción",IF($I127&gt;=LI_C,IF($I127&lt;LS_C,$V127,0),0),0)</f>
        <v>0</v>
      </c>
      <c r="CB127" s="365">
        <f>IF($I126="Producción",IF($I127&lt;=LS_D,$V127,0),0)</f>
        <v>0</v>
      </c>
      <c r="CC127" s="365">
        <f>IF($I126="Crecimiento",$V127,0)</f>
        <v>0</v>
      </c>
      <c r="CD127" s="365">
        <f>IF($I126="Siembra",$V127,0)</f>
        <v>0</v>
      </c>
      <c r="CE127" s="365">
        <f>IF($I126="Abandono",$V127,0)</f>
        <v>0</v>
      </c>
      <c r="CF127" s="365">
        <f>IF($J126="Producción",IF($J127&gt;=LI_A,$W127,0),0)</f>
        <v>0</v>
      </c>
      <c r="CG127" s="365">
        <f>IF($J126="Producción",IF($J127&gt;=LI_B,IF($J127&lt;LS_B,$W127,0),0),0)</f>
        <v>0</v>
      </c>
      <c r="CH127" s="365">
        <f>IF($J126="Producción",IF($J127&gt;=LI_C,IF($J127&lt;LS_C,$W127,0),0),0)</f>
        <v>0</v>
      </c>
      <c r="CI127" s="365">
        <f>IF($J126="Producción",IF($J127&lt;=LS_D,$W127,0),0)</f>
        <v>0</v>
      </c>
      <c r="CJ127" s="365">
        <f>IF($J126="Crecimiento",$W127,0)</f>
        <v>0</v>
      </c>
      <c r="CK127" s="365">
        <f>IF($J126="Siembra",$W127,0)</f>
        <v>0</v>
      </c>
      <c r="CL127" s="365">
        <f>IF($J126="Abandono",$W127,0)</f>
        <v>0</v>
      </c>
      <c r="CM127" s="365">
        <f>IF($K126="Producción",IF($K127&gt;=LI_A,$X127,0),0)</f>
        <v>0</v>
      </c>
      <c r="CN127" s="365">
        <f>IF($K126="Producción",IF($K127&gt;=LI_B,IF($K127&lt;LS_B,$X127,0),0),0)</f>
        <v>0</v>
      </c>
      <c r="CO127" s="365">
        <f>IF($K126="Producción",IF($K127&gt;=LI_C,IF($K127&lt;LS_C,$X127,0),0),0)</f>
        <v>0</v>
      </c>
      <c r="CP127" s="365">
        <f>IF($K126="Producción",IF($K127&lt;=LS_D,$X127,0),0)</f>
        <v>0</v>
      </c>
      <c r="CQ127" s="365">
        <f>IF($K126="Crecimiento",IF($K127&gt;0,$X127,0),0)</f>
        <v>0</v>
      </c>
      <c r="CR127" s="365">
        <f>IF($K126="Siembra",IF($K127&gt;0,$X127,0),0)</f>
        <v>0</v>
      </c>
      <c r="CS127" s="365">
        <f>IF($K126="Abandono",IF($K127&gt;0,$X127,0),0)</f>
        <v>0</v>
      </c>
      <c r="CT127" s="365">
        <f>IF($L126="Producción",IF($L127&gt;=LI_A,$Y127,0),0)</f>
        <v>0</v>
      </c>
      <c r="CU127" s="365">
        <f>IF($L126="Producción",IF($L127&gt;=LI_B,IF($L127&lt;LS_B,$Y127,0),0),0)</f>
        <v>0</v>
      </c>
      <c r="CV127" s="365">
        <f>IF($L126="Producción",IF($L127&gt;=LI_C,IF($L127&lt;LS_C,$Y127,0),0),0)</f>
        <v>0</v>
      </c>
      <c r="CW127" s="365">
        <f>IF($L126="Producción",IF($L127&lt;=LS_D,$Y127,0),0)</f>
        <v>0</v>
      </c>
      <c r="CX127" s="365">
        <f>IF($L126="Crecimiento",$Y127,0)</f>
        <v>0</v>
      </c>
      <c r="CY127" s="365">
        <f>IF($L126="Siembra",$Y127,0)</f>
        <v>0</v>
      </c>
      <c r="CZ127" s="365">
        <f>IF($L126="Abandono",$Y127,0)</f>
        <v>0</v>
      </c>
      <c r="DA127" s="365">
        <f>IF($M126="Producción",IF($M127&gt;=LI_A,$Z127,0),0)</f>
        <v>0</v>
      </c>
      <c r="DB127" s="365">
        <f>IF($M126="Producción",IF($M127&gt;=LI_B,IF($M127&lt;LS_B,$Z127,0),0),0)</f>
        <v>0</v>
      </c>
      <c r="DC127" s="365">
        <f>IF($M126="Producción",IF($M127&gt;=LI_C,IF($M127&lt;LS_C,$Z127,0),0),0)</f>
        <v>0</v>
      </c>
      <c r="DD127" s="365">
        <f>IF($M126="Producción",IF($M127&lt;=LS_D,$Z127,0),0)</f>
        <v>0</v>
      </c>
      <c r="DE127" s="365">
        <f>IF($M126="Crecimiento",$Z127,0)</f>
        <v>0</v>
      </c>
      <c r="DF127" s="365">
        <f>IF($M126="Siembra",$Z127,0)</f>
        <v>0</v>
      </c>
      <c r="DG127" s="365">
        <f>IF($M126="Abandono",$Z127,0)</f>
        <v>0</v>
      </c>
      <c r="DI127" s="58">
        <f>AB127*$B127</f>
        <v>0</v>
      </c>
      <c r="DJ127" s="58">
        <f>AC127*$B127</f>
        <v>0</v>
      </c>
      <c r="DK127" s="58">
        <f>AD127*$B127</f>
        <v>0</v>
      </c>
      <c r="DL127" s="58">
        <f>AE127*$B127</f>
        <v>0</v>
      </c>
      <c r="DM127" s="365">
        <f>AF127*$B127</f>
        <v>0</v>
      </c>
      <c r="DN127" s="365">
        <f>AI127*$C127</f>
        <v>0</v>
      </c>
      <c r="DO127" s="365">
        <f>AJ127*$C127</f>
        <v>0</v>
      </c>
      <c r="DP127" s="365">
        <f>AK127*$C127</f>
        <v>0</v>
      </c>
      <c r="DQ127" s="365">
        <f>AL127*$C127</f>
        <v>0</v>
      </c>
      <c r="DR127" s="365">
        <f>AM127*$C127</f>
        <v>0</v>
      </c>
      <c r="DS127" s="365">
        <f>AP127*$D127</f>
        <v>0</v>
      </c>
      <c r="DT127" s="365">
        <f>AQ127*$D127</f>
        <v>0</v>
      </c>
      <c r="DU127" s="365">
        <f>AR127*$D127</f>
        <v>0</v>
      </c>
      <c r="DV127" s="365">
        <f>AS127*$D127</f>
        <v>0</v>
      </c>
      <c r="DW127" s="365">
        <f>AT127*$D127</f>
        <v>0</v>
      </c>
      <c r="DX127" s="365">
        <f>AW127*$E127</f>
        <v>0</v>
      </c>
      <c r="DY127" s="365">
        <f>AX127*$E127</f>
        <v>0</v>
      </c>
      <c r="DZ127" s="365">
        <f>AY127*$E127</f>
        <v>0</v>
      </c>
      <c r="EA127" s="365">
        <f>AZ127*$E127</f>
        <v>0</v>
      </c>
      <c r="EB127" s="365">
        <f>BA127*$E127</f>
        <v>0</v>
      </c>
      <c r="EC127" s="365">
        <f>BD127*$F127</f>
        <v>0</v>
      </c>
      <c r="ED127" s="365">
        <f>BE127*$F127</f>
        <v>0</v>
      </c>
      <c r="EE127" s="365">
        <f>BF127*$F127</f>
        <v>0</v>
      </c>
      <c r="EF127" s="365">
        <f>BG127*$F127</f>
        <v>0</v>
      </c>
      <c r="EG127" s="365">
        <f>BH127*$F127</f>
        <v>0</v>
      </c>
      <c r="EH127" s="365">
        <f>BK127*$G127</f>
        <v>0</v>
      </c>
      <c r="EI127" s="365">
        <f>BL127*$G127</f>
        <v>0</v>
      </c>
      <c r="EJ127" s="365">
        <f>BM127*$G127</f>
        <v>0</v>
      </c>
      <c r="EK127" s="365">
        <f>BN127*$G127</f>
        <v>0</v>
      </c>
      <c r="EL127" s="365">
        <f>BO127*$G127</f>
        <v>0</v>
      </c>
      <c r="EM127" s="365">
        <f>BR127*$H127</f>
        <v>0</v>
      </c>
      <c r="EN127" s="365">
        <f>BS127*$H127</f>
        <v>0</v>
      </c>
      <c r="EO127" s="365">
        <f>BT127*$H127</f>
        <v>0</v>
      </c>
      <c r="EP127" s="365">
        <f>BU127*$H127</f>
        <v>0</v>
      </c>
      <c r="EQ127" s="365">
        <f>BV127*$H127</f>
        <v>0</v>
      </c>
      <c r="ER127" s="365">
        <f>BY127*$I127</f>
        <v>0</v>
      </c>
      <c r="ES127" s="365">
        <f>BZ127*$I127</f>
        <v>0</v>
      </c>
      <c r="ET127" s="365">
        <f>CA127*$I127</f>
        <v>0</v>
      </c>
      <c r="EU127" s="365">
        <f>CB127*$I127</f>
        <v>0</v>
      </c>
      <c r="EV127" s="365">
        <f>CC127*$I127</f>
        <v>0</v>
      </c>
      <c r="EW127" s="365">
        <f>CF127*$J127</f>
        <v>0</v>
      </c>
      <c r="EX127" s="365">
        <f>CG127*$J127</f>
        <v>0</v>
      </c>
      <c r="EY127" s="365">
        <f>CH127*$J127</f>
        <v>0</v>
      </c>
      <c r="EZ127" s="365">
        <f>CI127*$J127</f>
        <v>0</v>
      </c>
      <c r="FA127" s="365">
        <f>CJ127*$J127</f>
        <v>0</v>
      </c>
      <c r="FB127" s="365">
        <f>CM127*$K127</f>
        <v>0</v>
      </c>
      <c r="FC127" s="365">
        <f>CN127*$K127</f>
        <v>0</v>
      </c>
      <c r="FD127" s="365">
        <f>CO127*$K127</f>
        <v>0</v>
      </c>
      <c r="FE127" s="365">
        <f>CP127*$K127</f>
        <v>0</v>
      </c>
      <c r="FF127" s="365">
        <f>CQ127*$K127</f>
        <v>0</v>
      </c>
      <c r="FG127" s="365">
        <f>CT127*$L127</f>
        <v>0</v>
      </c>
      <c r="FH127" s="365">
        <f>CU127*$L127</f>
        <v>0</v>
      </c>
      <c r="FI127" s="365">
        <f>CV127*$L127</f>
        <v>0</v>
      </c>
      <c r="FJ127" s="365">
        <f>CW127*$L127</f>
        <v>0</v>
      </c>
      <c r="FK127" s="365">
        <f>CX127*$L127</f>
        <v>0</v>
      </c>
      <c r="FL127" s="365">
        <f>DA127*$M127</f>
        <v>0</v>
      </c>
      <c r="FM127" s="365">
        <f t="shared" ref="FM127" si="92">DB127*$M127</f>
        <v>0</v>
      </c>
      <c r="FN127" s="365">
        <f>DC127*$M127</f>
        <v>0</v>
      </c>
      <c r="FO127" s="365">
        <f t="shared" ref="FO127" si="93">DD127*$M127</f>
        <v>0</v>
      </c>
      <c r="FP127" s="365">
        <f t="shared" ref="FP127" si="94">DE127*$M127</f>
        <v>0</v>
      </c>
    </row>
    <row r="128" spans="1:172" ht="21" customHeight="1" x14ac:dyDescent="0.3">
      <c r="A128" s="277" t="s">
        <v>238</v>
      </c>
      <c r="B128" s="278">
        <f>SUM(DI127:DM127)/100</f>
        <v>0</v>
      </c>
      <c r="C128" s="278">
        <f>SUM(DN127:DQ127)/100</f>
        <v>0</v>
      </c>
      <c r="D128" s="279">
        <f>SUM(DS127:DW127)/100</f>
        <v>0</v>
      </c>
      <c r="E128" s="279">
        <f>SUM(DX127:EB127)/100</f>
        <v>0</v>
      </c>
      <c r="F128" s="279">
        <f>SUM(EC127:EG127)/100</f>
        <v>0</v>
      </c>
      <c r="G128" s="279">
        <f>SUM(EH127:EL127)/100</f>
        <v>0</v>
      </c>
      <c r="H128" s="279">
        <f>SUM(EM127:EQ127)/100</f>
        <v>0</v>
      </c>
      <c r="I128" s="279">
        <f>SUM(ER127:EV127)/100</f>
        <v>0</v>
      </c>
      <c r="J128" s="279">
        <f>SUM(EW127:FA127)/100</f>
        <v>0</v>
      </c>
      <c r="K128" s="279">
        <f>SUM(FB127:FF127)/100</f>
        <v>0</v>
      </c>
      <c r="L128" s="279">
        <f>SUM(FG127:FK127)/100</f>
        <v>0</v>
      </c>
      <c r="M128" s="279">
        <f>SUM(FL127:FP127)/100</f>
        <v>0</v>
      </c>
      <c r="AG128" s="365"/>
      <c r="AH128" s="365"/>
      <c r="AI128" s="365"/>
      <c r="AJ128" s="365"/>
      <c r="AK128" s="365"/>
      <c r="AL128" s="365"/>
      <c r="AM128" s="365"/>
      <c r="AN128" s="365"/>
      <c r="AO128" s="365"/>
      <c r="AP128" s="365"/>
      <c r="AQ128" s="365"/>
      <c r="AR128" s="365"/>
      <c r="AS128" s="365"/>
      <c r="AT128" s="365"/>
      <c r="AU128" s="365"/>
      <c r="AV128" s="365"/>
      <c r="AW128" s="365"/>
      <c r="AX128" s="365"/>
      <c r="AY128" s="365"/>
      <c r="AZ128" s="365"/>
      <c r="BA128" s="365"/>
      <c r="BB128" s="365"/>
      <c r="BC128" s="365"/>
      <c r="BD128" s="365"/>
      <c r="BE128" s="365"/>
      <c r="BF128" s="365"/>
      <c r="BG128" s="365"/>
      <c r="BH128" s="365"/>
      <c r="BI128" s="365"/>
      <c r="BJ128" s="365"/>
      <c r="BK128" s="365"/>
      <c r="BL128" s="365"/>
      <c r="BM128" s="365"/>
      <c r="BN128" s="365"/>
      <c r="BO128" s="365"/>
      <c r="BP128" s="365"/>
      <c r="BQ128" s="365"/>
      <c r="BR128" s="365"/>
      <c r="BS128" s="365"/>
      <c r="BT128" s="365"/>
      <c r="BU128" s="365"/>
      <c r="BV128" s="365"/>
      <c r="BW128" s="365"/>
      <c r="BX128" s="365"/>
      <c r="BY128" s="365"/>
      <c r="BZ128" s="365"/>
      <c r="CA128" s="365"/>
      <c r="CB128" s="365"/>
      <c r="CC128" s="365"/>
      <c r="CD128" s="365"/>
      <c r="CE128" s="365"/>
      <c r="CF128" s="365"/>
      <c r="CG128" s="365"/>
      <c r="CH128" s="365"/>
      <c r="CI128" s="365"/>
      <c r="CJ128" s="365"/>
      <c r="CK128" s="365"/>
      <c r="CL128" s="365"/>
      <c r="CM128" s="365"/>
      <c r="CN128" s="365"/>
      <c r="CO128" s="365"/>
      <c r="CP128" s="365"/>
      <c r="CQ128" s="365"/>
      <c r="CR128" s="365"/>
      <c r="CS128" s="365"/>
      <c r="CT128" s="365"/>
      <c r="CU128" s="365"/>
      <c r="CV128" s="365"/>
      <c r="CW128" s="365"/>
      <c r="CX128" s="365"/>
      <c r="CY128" s="365"/>
      <c r="CZ128" s="365"/>
      <c r="DA128" s="365"/>
      <c r="DB128" s="365"/>
      <c r="DC128" s="365"/>
      <c r="DD128" s="365"/>
      <c r="DE128" s="365"/>
      <c r="DF128" s="365"/>
      <c r="DG128" s="365"/>
      <c r="DM128" s="365"/>
      <c r="DN128" s="365"/>
      <c r="DO128" s="365"/>
      <c r="DP128" s="365"/>
      <c r="DQ128" s="365"/>
      <c r="DR128" s="365"/>
      <c r="DS128" s="365"/>
      <c r="DT128" s="365"/>
      <c r="DU128" s="365"/>
      <c r="DV128" s="365"/>
      <c r="DW128" s="365"/>
      <c r="DX128" s="365"/>
      <c r="DY128" s="365"/>
      <c r="DZ128" s="365"/>
      <c r="EA128" s="365"/>
      <c r="EB128" s="365"/>
      <c r="EC128" s="365"/>
      <c r="ED128" s="365"/>
      <c r="EE128" s="365"/>
      <c r="EF128" s="365"/>
      <c r="EG128" s="365"/>
      <c r="EH128" s="365"/>
      <c r="EI128" s="365"/>
      <c r="EJ128" s="365"/>
      <c r="EK128" s="365"/>
      <c r="EL128" s="365"/>
      <c r="EM128" s="365"/>
      <c r="EN128" s="365"/>
      <c r="EO128" s="365"/>
      <c r="EP128" s="365"/>
      <c r="EQ128" s="365"/>
      <c r="ER128" s="365"/>
      <c r="ES128" s="365"/>
      <c r="ET128" s="365"/>
      <c r="EU128" s="365"/>
      <c r="EV128" s="365"/>
      <c r="EW128" s="365"/>
      <c r="EX128" s="365"/>
      <c r="EY128" s="365"/>
      <c r="EZ128" s="365"/>
      <c r="FA128" s="365"/>
      <c r="FB128" s="365"/>
      <c r="FC128" s="365"/>
      <c r="FD128" s="365"/>
      <c r="FE128" s="365"/>
      <c r="FF128" s="365"/>
      <c r="FG128" s="365"/>
      <c r="FH128" s="365"/>
      <c r="FI128" s="365"/>
      <c r="FJ128" s="365"/>
      <c r="FK128" s="365"/>
      <c r="FL128" s="365"/>
      <c r="FM128" s="365"/>
      <c r="FN128" s="365"/>
      <c r="FO128" s="365"/>
      <c r="FP128" s="365"/>
    </row>
    <row r="129" spans="1:172" ht="21" customHeight="1" x14ac:dyDescent="0.3">
      <c r="A129" s="150" t="s">
        <v>239</v>
      </c>
      <c r="B129" s="149" t="e">
        <f>SUM(DI127:DM127)/100/Lote_31</f>
        <v>#DIV/0!</v>
      </c>
      <c r="C129" s="149" t="e">
        <f>SUM(DN127:DQ127)/100/Lote_31</f>
        <v>#DIV/0!</v>
      </c>
      <c r="D129" s="149" t="e">
        <f>SUM(DS127:DW127)/100/Lote_31</f>
        <v>#DIV/0!</v>
      </c>
      <c r="E129" s="149" t="e">
        <f>SUM(DX127:EB127)/100/Lote_31</f>
        <v>#DIV/0!</v>
      </c>
      <c r="F129" s="149" t="e">
        <f>SUM(EC127:EG127)/100/Lote_31</f>
        <v>#DIV/0!</v>
      </c>
      <c r="G129" s="149" t="e">
        <f>SUM(EH127:EL127)/100/Lote_31</f>
        <v>#DIV/0!</v>
      </c>
      <c r="H129" s="149" t="e">
        <f>SUM(EM127:EQ127)/100/Lote_31</f>
        <v>#DIV/0!</v>
      </c>
      <c r="I129" s="149" t="e">
        <f>SUM(ER127:EV127)/100/Lote_31</f>
        <v>#DIV/0!</v>
      </c>
      <c r="J129" s="149" t="e">
        <f>SUM(EW127:FA127)/100/Lote_31</f>
        <v>#DIV/0!</v>
      </c>
      <c r="K129" s="149" t="e">
        <f>SUM(FB127:FF127)/100/Lote_31</f>
        <v>#DIV/0!</v>
      </c>
      <c r="L129" s="149" t="e">
        <f>SUM(FG127:FK127)/100/Lote_31</f>
        <v>#DIV/0!</v>
      </c>
      <c r="M129" s="149" t="e">
        <f>SUM(FL127:FP127)/100/Lote_31</f>
        <v>#DIV/0!</v>
      </c>
    </row>
    <row r="130" spans="1:172" ht="21" customHeight="1" x14ac:dyDescent="0.3">
      <c r="A130" s="233">
        <f>N_L32</f>
        <v>0</v>
      </c>
      <c r="B130" s="363" t="s">
        <v>37</v>
      </c>
      <c r="C130" s="363" t="s">
        <v>37</v>
      </c>
      <c r="D130" s="363" t="s">
        <v>37</v>
      </c>
      <c r="E130" s="363" t="s">
        <v>37</v>
      </c>
      <c r="F130" s="363" t="s">
        <v>37</v>
      </c>
      <c r="G130" s="363" t="s">
        <v>37</v>
      </c>
      <c r="H130" s="363" t="s">
        <v>37</v>
      </c>
      <c r="I130" s="363" t="s">
        <v>37</v>
      </c>
      <c r="J130" s="363" t="s">
        <v>37</v>
      </c>
      <c r="K130" s="363" t="s">
        <v>37</v>
      </c>
      <c r="L130" s="363" t="s">
        <v>37</v>
      </c>
      <c r="M130" s="363" t="s">
        <v>37</v>
      </c>
    </row>
    <row r="131" spans="1:172" ht="21" customHeight="1" x14ac:dyDescent="0.3">
      <c r="A131" s="4" t="s">
        <v>237</v>
      </c>
      <c r="B131" s="7"/>
      <c r="C131" s="7"/>
      <c r="D131" s="275"/>
      <c r="E131" s="275"/>
      <c r="F131" s="275"/>
      <c r="G131" s="275"/>
      <c r="H131" s="275"/>
      <c r="I131" s="275"/>
      <c r="J131" s="275"/>
      <c r="K131" s="275"/>
      <c r="L131" s="275"/>
      <c r="M131" s="275"/>
      <c r="O131" s="58">
        <f>Área_L32*D_L32*A1_L32</f>
        <v>0</v>
      </c>
      <c r="P131" s="58">
        <f>Área_L32*D_L32*A2_L32</f>
        <v>0</v>
      </c>
      <c r="Q131" s="58">
        <f>Área_L32*D_L32*A3_L32</f>
        <v>0</v>
      </c>
      <c r="R131" s="58">
        <f>Área_L32*D_L32*A4_L32</f>
        <v>0</v>
      </c>
      <c r="S131" s="58">
        <f>Área_L32*D_L32*A5_L32</f>
        <v>0</v>
      </c>
      <c r="T131" s="58">
        <f>Área_L32*D_L32*A6_L32</f>
        <v>0</v>
      </c>
      <c r="U131" s="58">
        <f>Área_L32*D_L32*A7_L32</f>
        <v>0</v>
      </c>
      <c r="V131" s="58">
        <f>Área_L32*D_L32*A8_L32</f>
        <v>0</v>
      </c>
      <c r="W131" s="58">
        <f>Área_L32*D_L32*A9_L32</f>
        <v>0</v>
      </c>
      <c r="X131" s="58">
        <f>Área_L32*D_L32*A10_L32</f>
        <v>0</v>
      </c>
      <c r="Y131" s="58">
        <f>Área_L32*D_L32*A11_L32</f>
        <v>0</v>
      </c>
      <c r="Z131" s="58">
        <f>Área_L32*D_L32*A12_L32</f>
        <v>0</v>
      </c>
      <c r="AB131" s="58">
        <f>IF($B130="Producción",IF($B131&gt;=LI_A,$O131,0),0)</f>
        <v>0</v>
      </c>
      <c r="AC131" s="58">
        <f>IF($B130="Producción",IF($B131&gt;=LI_B,IF($B131&lt;LS_B,$O131,0),0),0)</f>
        <v>0</v>
      </c>
      <c r="AD131" s="58">
        <f>IF($B130="Producción",IF($B131&gt;=LI_C,IF($B131&lt;LS_C,$O131,0),0),0)</f>
        <v>0</v>
      </c>
      <c r="AE131" s="58">
        <f>IF($B130="Producción",IF($B131&lt;=LS_D,$O131,0),0)</f>
        <v>0</v>
      </c>
      <c r="AF131" s="365">
        <f>IF($B130="Crecimiento",$O131,0)</f>
        <v>0</v>
      </c>
      <c r="AG131" s="365">
        <f>IF($B130="Siembra",$O131,0)</f>
        <v>0</v>
      </c>
      <c r="AH131" s="365">
        <f>IF($B130="Abandono",$O131,0)</f>
        <v>0</v>
      </c>
      <c r="AI131" s="365">
        <f>IF($C130="Producción",IF($C131&gt;=LI_A,$P131,0),0)</f>
        <v>0</v>
      </c>
      <c r="AJ131" s="365">
        <f>IF($C130="Producción",IF($C131&gt;=LI_B,IF($C131&lt;LS_B,$P131,0),0),0)</f>
        <v>0</v>
      </c>
      <c r="AK131" s="365">
        <f>IF($C130="Producción",IF($C131&gt;=LI_C,IF($C131&lt;LS_C,$P131,0),0),0)</f>
        <v>0</v>
      </c>
      <c r="AL131" s="365">
        <f>IF($C130="Producción",IF(C131&lt;=LS_D,$P131,0),0)</f>
        <v>0</v>
      </c>
      <c r="AM131" s="365">
        <f>IF($C130="Crecimiento",$P131,0)</f>
        <v>0</v>
      </c>
      <c r="AN131" s="365">
        <f>IF($C130="Siembra",$P131,0)</f>
        <v>0</v>
      </c>
      <c r="AO131" s="365">
        <f>IF($C130="Abandono",$P131,0)</f>
        <v>0</v>
      </c>
      <c r="AP131" s="365">
        <f>IF($D130="Producción",IF($D131&gt;=LI_A,$Q131,0),0)</f>
        <v>0</v>
      </c>
      <c r="AQ131" s="365">
        <f>IF($D130="Producción",IF($D131&gt;=LI_B,IF($D131&lt;LS_B,$Q131,0),0),0)</f>
        <v>0</v>
      </c>
      <c r="AR131" s="365">
        <f>IF($D130="Producción",IF($D131&gt;=LI_C,IF($D131&lt;LS_C,$Q131,0),0),0)</f>
        <v>0</v>
      </c>
      <c r="AS131" s="365">
        <f>IF($D130="Producción",IF($D131&lt;=LS_D,$Q131,0),0)</f>
        <v>0</v>
      </c>
      <c r="AT131" s="365">
        <f>IF($D130="Crecimiento",$Q131,0)</f>
        <v>0</v>
      </c>
      <c r="AU131" s="365">
        <f>IF($D130="Siembra",$Q131,0)</f>
        <v>0</v>
      </c>
      <c r="AV131" s="365">
        <f>IF($D130="Abandono",$Q131,0)</f>
        <v>0</v>
      </c>
      <c r="AW131" s="365">
        <f>IF($E130="Producción",IF($E131&gt;=LI_A,$R131,0),0)</f>
        <v>0</v>
      </c>
      <c r="AX131" s="365">
        <f>IF($E130="Producción",IF($E131&gt;=LI_B,IF($E131&lt;LS_B,$R131,0),0),0)</f>
        <v>0</v>
      </c>
      <c r="AY131" s="365">
        <f>IF($E130="Producción",IF($E131&gt;=LI_C,IF($E131&lt;LS_C,$R131,0),0),0)</f>
        <v>0</v>
      </c>
      <c r="AZ131" s="365">
        <f>IF($E130="Producción",IF($E131&lt;=LS_D,$R131,0),0)</f>
        <v>0</v>
      </c>
      <c r="BA131" s="365">
        <f>IF($E130="Crecimiento",$R131,0)</f>
        <v>0</v>
      </c>
      <c r="BB131" s="365">
        <f>IF($E130="Siembra",$R131,0)</f>
        <v>0</v>
      </c>
      <c r="BC131" s="365">
        <f>IF($E130="Abandono",$R131,0)</f>
        <v>0</v>
      </c>
      <c r="BD131" s="365">
        <f>IF($F130="Producción",IF($F131&gt;=LI_A,$S131,0),0)</f>
        <v>0</v>
      </c>
      <c r="BE131" s="365">
        <f>IF($F130="Producción",IF($F131&gt;=LI_B,IF($F131&lt;LS_B,$S131,0),0),0)</f>
        <v>0</v>
      </c>
      <c r="BF131" s="365">
        <f>IF($F130="Producción",IF($F131&gt;=LI_C,IF($F131&lt;LS_C,$S131,0),0),0)</f>
        <v>0</v>
      </c>
      <c r="BG131" s="365">
        <f>IF($F130="Producción",IF($F131&lt;=LS_D,$S131,0),0)</f>
        <v>0</v>
      </c>
      <c r="BH131" s="365">
        <f>IF($F130="Crecimiento",$S131,0)</f>
        <v>0</v>
      </c>
      <c r="BI131" s="365">
        <f>IF($F130="Siembra",$S131,0)</f>
        <v>0</v>
      </c>
      <c r="BJ131" s="365">
        <f>IF($F130="Abandono",$S131,0)</f>
        <v>0</v>
      </c>
      <c r="BK131" s="365">
        <f>IF($G130="Producción",IF($G131&gt;=LI_A,$T131,0),0)</f>
        <v>0</v>
      </c>
      <c r="BL131" s="365">
        <f>IF($G130="Producción",IF($G131&gt;=LI_B,IF($G131&lt;LS_B,$T131,0),0),0)</f>
        <v>0</v>
      </c>
      <c r="BM131" s="365">
        <f>IF($G130="Producción",IF($G131&gt;=LI_C,IF($G131&lt;LS_C,$T131,0),0),0)</f>
        <v>0</v>
      </c>
      <c r="BN131" s="365">
        <f>IF($G130="Producción",IF($G131&lt;=LS_D,$T131,0),0)</f>
        <v>0</v>
      </c>
      <c r="BO131" s="365">
        <f>IF($G130="Crecimiento",$T131,0)</f>
        <v>0</v>
      </c>
      <c r="BP131" s="365">
        <f>IF($G130="Siembra",$T131,0)</f>
        <v>0</v>
      </c>
      <c r="BQ131" s="365">
        <f>IF($G130="Abandono",$T131,0)</f>
        <v>0</v>
      </c>
      <c r="BR131" s="365">
        <f>IF($H130="Producción",IF($H131&gt;=LI_A,$U131,0),0)</f>
        <v>0</v>
      </c>
      <c r="BS131" s="365">
        <f>IF($H130="Producción",IF($H131&gt;=LI_B,IF($H131&lt;LS_B,$U131,0),0),0)</f>
        <v>0</v>
      </c>
      <c r="BT131" s="365">
        <f>IF($H130="Producción",IF($H131&gt;=LI_C,IF($H131&lt;LS_C,$U131,0),0),0)</f>
        <v>0</v>
      </c>
      <c r="BU131" s="365">
        <f>IF($H130="Producción",IF($H131&lt;=LS_D,$U131,0),0)</f>
        <v>0</v>
      </c>
      <c r="BV131" s="365">
        <f>IF($H130="Crecimiento",$U131,0)</f>
        <v>0</v>
      </c>
      <c r="BW131" s="365">
        <f>IF($H130="Siembra",$U131,0)</f>
        <v>0</v>
      </c>
      <c r="BX131" s="365">
        <f>IF($H130="Abandono",$U131,0)</f>
        <v>0</v>
      </c>
      <c r="BY131" s="365">
        <f>IF($I130="Producción",IF($I131&gt;=LI_A,$V131,0),0)</f>
        <v>0</v>
      </c>
      <c r="BZ131" s="365">
        <f>IF($I130="Producción",IF($I131&gt;=LI_B,IF($I131&lt;LS_B,$V131,0),0),0)</f>
        <v>0</v>
      </c>
      <c r="CA131" s="365">
        <f>IF($I130="Producción",IF($I131&gt;=LI_C,IF($I131&lt;LS_C,$V131,0),0),0)</f>
        <v>0</v>
      </c>
      <c r="CB131" s="365">
        <f>IF($I130="Producción",IF($I131&lt;=LS_D,$V131,0),0)</f>
        <v>0</v>
      </c>
      <c r="CC131" s="365">
        <f>IF($I130="Crecimiento",$V131,0)</f>
        <v>0</v>
      </c>
      <c r="CD131" s="365">
        <f>IF($I130="Siembra",$V131,0)</f>
        <v>0</v>
      </c>
      <c r="CE131" s="365">
        <f>IF($I130="Abandono",$V131,0)</f>
        <v>0</v>
      </c>
      <c r="CF131" s="365">
        <f>IF($J130="Producción",IF($J131&gt;=LI_A,$W131,0),0)</f>
        <v>0</v>
      </c>
      <c r="CG131" s="365">
        <f>IF($J130="Producción",IF($J131&gt;=LI_B,IF($J131&lt;LS_B,$W131,0),0),0)</f>
        <v>0</v>
      </c>
      <c r="CH131" s="365">
        <f>IF($J130="Producción",IF($J131&gt;=LI_C,IF($J131&lt;LS_C,$W131,0),0),0)</f>
        <v>0</v>
      </c>
      <c r="CI131" s="365">
        <f>IF($J130="Producción",IF($J131&lt;=LS_D,$W131,0),0)</f>
        <v>0</v>
      </c>
      <c r="CJ131" s="365">
        <f>IF($J130="Crecimiento",$W131,0)</f>
        <v>0</v>
      </c>
      <c r="CK131" s="365">
        <f>IF($J130="Siembra",$W131,0)</f>
        <v>0</v>
      </c>
      <c r="CL131" s="365">
        <f>IF($J130="Abandono",$W131,0)</f>
        <v>0</v>
      </c>
      <c r="CM131" s="365">
        <f>IF($K130="Producción",IF($K131&gt;=LI_A,$X131,0),0)</f>
        <v>0</v>
      </c>
      <c r="CN131" s="365">
        <f>IF($K130="Producción",IF($K131&gt;=LI_B,IF($K131&lt;LS_B,$X131,0),0),0)</f>
        <v>0</v>
      </c>
      <c r="CO131" s="365">
        <f>IF($K130="Producción",IF($K131&gt;=LI_C,IF($K131&lt;LS_C,$X131,0),0),0)</f>
        <v>0</v>
      </c>
      <c r="CP131" s="365">
        <f>IF($K130="Producción",IF($K131&lt;=LS_D,$X131,0),0)</f>
        <v>0</v>
      </c>
      <c r="CQ131" s="365">
        <f>IF($K130="Crecimiento",IF($K131&gt;0,$X131,0),0)</f>
        <v>0</v>
      </c>
      <c r="CR131" s="365">
        <f>IF($K130="Siembra",IF($K131&gt;0,$X131,0),0)</f>
        <v>0</v>
      </c>
      <c r="CS131" s="365">
        <f>IF($K130="Abandono",IF($K131&gt;0,$X131,0),0)</f>
        <v>0</v>
      </c>
      <c r="CT131" s="365">
        <f>IF($L130="Producción",IF($L131&gt;=LI_A,$Y131,0),0)</f>
        <v>0</v>
      </c>
      <c r="CU131" s="365">
        <f>IF($L130="Producción",IF($L131&gt;=LI_B,IF($L131&lt;LS_B,$Y131,0),0),0)</f>
        <v>0</v>
      </c>
      <c r="CV131" s="365">
        <f>IF($L130="Producción",IF($L131&gt;=LI_C,IF($L131&lt;LS_C,$Y131,0),0),0)</f>
        <v>0</v>
      </c>
      <c r="CW131" s="365">
        <f>IF($L130="Producción",IF($L131&lt;=LS_D,$Y131,0),0)</f>
        <v>0</v>
      </c>
      <c r="CX131" s="365">
        <f>IF($L130="Crecimiento",$Y131,0)</f>
        <v>0</v>
      </c>
      <c r="CY131" s="365">
        <f>IF($L130="Siembra",$Y131,0)</f>
        <v>0</v>
      </c>
      <c r="CZ131" s="365">
        <f>IF($L130="Abandono",$Y131,0)</f>
        <v>0</v>
      </c>
      <c r="DA131" s="365">
        <f>IF($M130="Producción",IF($M131&gt;=LI_A,$Z131,0),0)</f>
        <v>0</v>
      </c>
      <c r="DB131" s="365">
        <f>IF($M130="Producción",IF($M131&gt;=LI_B,IF($M131&lt;LS_B,$Z131,0),0),0)</f>
        <v>0</v>
      </c>
      <c r="DC131" s="365">
        <f>IF($M130="Producción",IF($M131&gt;=LI_C,IF($M131&lt;LS_C,$Z131,0),0),0)</f>
        <v>0</v>
      </c>
      <c r="DD131" s="365">
        <f>IF($M130="Producción",IF($M131&lt;=LS_D,$Z131,0),0)</f>
        <v>0</v>
      </c>
      <c r="DE131" s="365">
        <f>IF($M130="Crecimiento",$Z131,0)</f>
        <v>0</v>
      </c>
      <c r="DF131" s="365">
        <f>IF($M130="Siembra",$Z131,0)</f>
        <v>0</v>
      </c>
      <c r="DG131" s="365">
        <f>IF($M130="Abandono",$Z131,0)</f>
        <v>0</v>
      </c>
      <c r="DI131" s="58">
        <f>AB131*$B131</f>
        <v>0</v>
      </c>
      <c r="DJ131" s="58">
        <f>AC131*$B131</f>
        <v>0</v>
      </c>
      <c r="DK131" s="58">
        <f>AD131*$B131</f>
        <v>0</v>
      </c>
      <c r="DL131" s="58">
        <f>AE131*$B131</f>
        <v>0</v>
      </c>
      <c r="DM131" s="365">
        <f>AF131*$B131</f>
        <v>0</v>
      </c>
      <c r="DN131" s="365">
        <f>AI131*$C131</f>
        <v>0</v>
      </c>
      <c r="DO131" s="365">
        <f>AJ131*$C131</f>
        <v>0</v>
      </c>
      <c r="DP131" s="365">
        <f>AK131*$C131</f>
        <v>0</v>
      </c>
      <c r="DQ131" s="365">
        <f>AL131*$C131</f>
        <v>0</v>
      </c>
      <c r="DR131" s="365">
        <f>AM131*$C131</f>
        <v>0</v>
      </c>
      <c r="DS131" s="365">
        <f>AP131*$D131</f>
        <v>0</v>
      </c>
      <c r="DT131" s="365">
        <f>AQ131*$D131</f>
        <v>0</v>
      </c>
      <c r="DU131" s="365">
        <f>AR131*$D131</f>
        <v>0</v>
      </c>
      <c r="DV131" s="365">
        <f>AS131*$D131</f>
        <v>0</v>
      </c>
      <c r="DW131" s="365">
        <f>AT131*$D131</f>
        <v>0</v>
      </c>
      <c r="DX131" s="365">
        <f>AW131*$E131</f>
        <v>0</v>
      </c>
      <c r="DY131" s="365">
        <f>AX131*$E131</f>
        <v>0</v>
      </c>
      <c r="DZ131" s="365">
        <f>AY131*$E131</f>
        <v>0</v>
      </c>
      <c r="EA131" s="365">
        <f>AZ131*$E131</f>
        <v>0</v>
      </c>
      <c r="EB131" s="365">
        <f>BA131*$E131</f>
        <v>0</v>
      </c>
      <c r="EC131" s="365">
        <f>BD131*$F131</f>
        <v>0</v>
      </c>
      <c r="ED131" s="365">
        <f>BE131*$F131</f>
        <v>0</v>
      </c>
      <c r="EE131" s="365">
        <f>BF131*$F131</f>
        <v>0</v>
      </c>
      <c r="EF131" s="365">
        <f>BG131*$F131</f>
        <v>0</v>
      </c>
      <c r="EG131" s="365">
        <f>BH131*$F131</f>
        <v>0</v>
      </c>
      <c r="EH131" s="365">
        <f>BK131*$G131</f>
        <v>0</v>
      </c>
      <c r="EI131" s="365">
        <f>BL131*$G131</f>
        <v>0</v>
      </c>
      <c r="EJ131" s="365">
        <f>BM131*$G131</f>
        <v>0</v>
      </c>
      <c r="EK131" s="365">
        <f>BN131*$G131</f>
        <v>0</v>
      </c>
      <c r="EL131" s="365">
        <f>BO131*$G131</f>
        <v>0</v>
      </c>
      <c r="EM131" s="365">
        <f>BR131*$H131</f>
        <v>0</v>
      </c>
      <c r="EN131" s="365">
        <f>BS131*$H131</f>
        <v>0</v>
      </c>
      <c r="EO131" s="365">
        <f>BT131*$H131</f>
        <v>0</v>
      </c>
      <c r="EP131" s="365">
        <f>BU131*$H131</f>
        <v>0</v>
      </c>
      <c r="EQ131" s="365">
        <f>BV131*$H131</f>
        <v>0</v>
      </c>
      <c r="ER131" s="365">
        <f>BY131*$I131</f>
        <v>0</v>
      </c>
      <c r="ES131" s="365">
        <f>BZ131*$I131</f>
        <v>0</v>
      </c>
      <c r="ET131" s="365">
        <f>CA131*$I131</f>
        <v>0</v>
      </c>
      <c r="EU131" s="365">
        <f>CB131*$I131</f>
        <v>0</v>
      </c>
      <c r="EV131" s="365">
        <f>CC131*$I131</f>
        <v>0</v>
      </c>
      <c r="EW131" s="365">
        <f>CF131*$J131</f>
        <v>0</v>
      </c>
      <c r="EX131" s="365">
        <f>CG131*$J131</f>
        <v>0</v>
      </c>
      <c r="EY131" s="365">
        <f>CH131*$J131</f>
        <v>0</v>
      </c>
      <c r="EZ131" s="365">
        <f>CI131*$J131</f>
        <v>0</v>
      </c>
      <c r="FA131" s="365">
        <f>CJ131*$J131</f>
        <v>0</v>
      </c>
      <c r="FB131" s="365">
        <f>CM131*$K131</f>
        <v>0</v>
      </c>
      <c r="FC131" s="365">
        <f>CN131*$K131</f>
        <v>0</v>
      </c>
      <c r="FD131" s="365">
        <f>CO131*$K131</f>
        <v>0</v>
      </c>
      <c r="FE131" s="365">
        <f>CP131*$K131</f>
        <v>0</v>
      </c>
      <c r="FF131" s="365">
        <f>CQ131*$K131</f>
        <v>0</v>
      </c>
      <c r="FG131" s="365">
        <f>CT131*$L131</f>
        <v>0</v>
      </c>
      <c r="FH131" s="365">
        <f>CU131*$L131</f>
        <v>0</v>
      </c>
      <c r="FI131" s="365">
        <f>CV131*$L131</f>
        <v>0</v>
      </c>
      <c r="FJ131" s="365">
        <f>CW131*$L131</f>
        <v>0</v>
      </c>
      <c r="FK131" s="365">
        <f>CX131*$L131</f>
        <v>0</v>
      </c>
      <c r="FL131" s="365">
        <f>DA131*$M131</f>
        <v>0</v>
      </c>
      <c r="FM131" s="365">
        <f t="shared" ref="FM131" si="95">DB131*$M131</f>
        <v>0</v>
      </c>
      <c r="FN131" s="365">
        <f>DC131*$M131</f>
        <v>0</v>
      </c>
      <c r="FO131" s="365">
        <f t="shared" ref="FO131" si="96">DD131*$M131</f>
        <v>0</v>
      </c>
      <c r="FP131" s="365">
        <f t="shared" ref="FP131" si="97">DE131*$M131</f>
        <v>0</v>
      </c>
    </row>
    <row r="132" spans="1:172" ht="21" customHeight="1" x14ac:dyDescent="0.3">
      <c r="A132" s="277" t="s">
        <v>238</v>
      </c>
      <c r="B132" s="278">
        <f>SUM(DI131:DM131)/100</f>
        <v>0</v>
      </c>
      <c r="C132" s="278">
        <f>SUM(DN131:DQ131)/100</f>
        <v>0</v>
      </c>
      <c r="D132" s="279">
        <f>SUM(DS131:DW131)/100</f>
        <v>0</v>
      </c>
      <c r="E132" s="279">
        <f>SUM(DX131:EB131)/100</f>
        <v>0</v>
      </c>
      <c r="F132" s="279">
        <f>SUM(EC131:EG131)/100</f>
        <v>0</v>
      </c>
      <c r="G132" s="279">
        <f>SUM(EH131:EL131)/100</f>
        <v>0</v>
      </c>
      <c r="H132" s="279">
        <f>SUM(EM131:EQ131)/100</f>
        <v>0</v>
      </c>
      <c r="I132" s="279">
        <f>SUM(ER131:EV131)/100</f>
        <v>0</v>
      </c>
      <c r="J132" s="279">
        <f>SUM(EW131:FA131)/100</f>
        <v>0</v>
      </c>
      <c r="K132" s="279">
        <f>SUM(FB131:FF131)/100</f>
        <v>0</v>
      </c>
      <c r="L132" s="279">
        <f>SUM(FG131:FK131)/100</f>
        <v>0</v>
      </c>
      <c r="M132" s="279">
        <f>SUM(FL131:FP131)/100</f>
        <v>0</v>
      </c>
      <c r="AG132" s="365"/>
      <c r="AH132" s="365"/>
      <c r="AI132" s="365"/>
      <c r="AJ132" s="365"/>
      <c r="AK132" s="365"/>
      <c r="AL132" s="365"/>
      <c r="AM132" s="365"/>
      <c r="AN132" s="365"/>
      <c r="AO132" s="365"/>
      <c r="AP132" s="365"/>
      <c r="AQ132" s="365"/>
      <c r="AR132" s="365"/>
      <c r="AS132" s="365"/>
      <c r="AT132" s="365"/>
      <c r="AU132" s="365"/>
      <c r="AV132" s="365"/>
      <c r="AW132" s="365"/>
      <c r="AX132" s="365"/>
      <c r="AY132" s="365"/>
      <c r="AZ132" s="365"/>
      <c r="BA132" s="365"/>
      <c r="BB132" s="365"/>
      <c r="BC132" s="365"/>
      <c r="BD132" s="365"/>
      <c r="BE132" s="365"/>
      <c r="BF132" s="365"/>
      <c r="BG132" s="365"/>
      <c r="BH132" s="365"/>
      <c r="BI132" s="365"/>
      <c r="BJ132" s="365"/>
      <c r="BK132" s="365"/>
      <c r="BL132" s="365"/>
      <c r="BM132" s="365"/>
      <c r="BN132" s="365"/>
      <c r="BO132" s="365"/>
      <c r="BP132" s="365"/>
      <c r="BQ132" s="365"/>
      <c r="BR132" s="365"/>
      <c r="BS132" s="365"/>
      <c r="BT132" s="365"/>
      <c r="BU132" s="365"/>
      <c r="BV132" s="365"/>
      <c r="BW132" s="365"/>
      <c r="BX132" s="365"/>
      <c r="BY132" s="365"/>
      <c r="BZ132" s="365"/>
      <c r="CA132" s="365"/>
      <c r="CB132" s="365"/>
      <c r="CC132" s="365"/>
      <c r="CD132" s="365"/>
      <c r="CE132" s="365"/>
      <c r="CF132" s="365"/>
      <c r="CG132" s="365"/>
      <c r="CH132" s="365"/>
      <c r="CI132" s="365"/>
      <c r="CJ132" s="365"/>
      <c r="CK132" s="365"/>
      <c r="CL132" s="365"/>
      <c r="CM132" s="365"/>
      <c r="CN132" s="365"/>
      <c r="CO132" s="365"/>
      <c r="CP132" s="365"/>
      <c r="CQ132" s="365"/>
      <c r="CR132" s="365"/>
      <c r="CS132" s="365"/>
      <c r="CT132" s="365"/>
      <c r="CU132" s="365"/>
      <c r="CV132" s="365"/>
      <c r="CW132" s="365"/>
      <c r="CX132" s="365"/>
      <c r="CY132" s="365"/>
      <c r="CZ132" s="365"/>
      <c r="DA132" s="365"/>
      <c r="DB132" s="365"/>
      <c r="DC132" s="365"/>
      <c r="DD132" s="365"/>
      <c r="DE132" s="365"/>
      <c r="DF132" s="365"/>
      <c r="DG132" s="365"/>
      <c r="DM132" s="365"/>
      <c r="DN132" s="365"/>
      <c r="DO132" s="365"/>
      <c r="DP132" s="365"/>
      <c r="DQ132" s="365"/>
      <c r="DR132" s="365"/>
      <c r="DS132" s="365"/>
      <c r="DT132" s="365"/>
      <c r="DU132" s="365"/>
      <c r="DV132" s="365"/>
      <c r="DW132" s="365"/>
      <c r="DX132" s="365"/>
      <c r="DY132" s="365"/>
      <c r="DZ132" s="365"/>
      <c r="EA132" s="365"/>
      <c r="EB132" s="365"/>
      <c r="EC132" s="365"/>
      <c r="ED132" s="365"/>
      <c r="EE132" s="365"/>
      <c r="EF132" s="365"/>
      <c r="EG132" s="365"/>
      <c r="EH132" s="365"/>
      <c r="EI132" s="365"/>
      <c r="EJ132" s="365"/>
      <c r="EK132" s="365"/>
      <c r="EL132" s="365"/>
      <c r="EM132" s="365"/>
      <c r="EN132" s="365"/>
      <c r="EO132" s="365"/>
      <c r="EP132" s="365"/>
      <c r="EQ132" s="365"/>
      <c r="ER132" s="365"/>
      <c r="ES132" s="365"/>
      <c r="ET132" s="365"/>
      <c r="EU132" s="365"/>
      <c r="EV132" s="365"/>
      <c r="EW132" s="365"/>
      <c r="EX132" s="365"/>
      <c r="EY132" s="365"/>
      <c r="EZ132" s="365"/>
      <c r="FA132" s="365"/>
      <c r="FB132" s="365"/>
      <c r="FC132" s="365"/>
      <c r="FD132" s="365"/>
      <c r="FE132" s="365"/>
      <c r="FF132" s="365"/>
      <c r="FG132" s="365"/>
      <c r="FH132" s="365"/>
      <c r="FI132" s="365"/>
      <c r="FJ132" s="365"/>
      <c r="FK132" s="365"/>
      <c r="FL132" s="365"/>
      <c r="FM132" s="365"/>
      <c r="FN132" s="365"/>
      <c r="FO132" s="365"/>
      <c r="FP132" s="365"/>
    </row>
    <row r="133" spans="1:172" ht="21" customHeight="1" x14ac:dyDescent="0.3">
      <c r="A133" s="150" t="s">
        <v>239</v>
      </c>
      <c r="B133" s="149" t="e">
        <f>SUM(DI131:DM131)/100/Lote_32</f>
        <v>#DIV/0!</v>
      </c>
      <c r="C133" s="149" t="e">
        <f>SUM(DN131:DQ131)/100/Lote_32</f>
        <v>#DIV/0!</v>
      </c>
      <c r="D133" s="149" t="e">
        <f>SUM(DS131:DW131)/100/Lote_32</f>
        <v>#DIV/0!</v>
      </c>
      <c r="E133" s="149" t="e">
        <f>SUM(DX131:EB131)/100/Lote_32</f>
        <v>#DIV/0!</v>
      </c>
      <c r="F133" s="149" t="e">
        <f>SUM(EC131:EG131)/100/Lote_32</f>
        <v>#DIV/0!</v>
      </c>
      <c r="G133" s="149" t="e">
        <f>SUM(EH131:EL131)/100/Lote_32</f>
        <v>#DIV/0!</v>
      </c>
      <c r="H133" s="149" t="e">
        <f>SUM(EM131:EQ131)/100/Lote_32</f>
        <v>#DIV/0!</v>
      </c>
      <c r="I133" s="149" t="e">
        <f>SUM(ER131:EV131)/100/Lote_32</f>
        <v>#DIV/0!</v>
      </c>
      <c r="J133" s="149" t="e">
        <f>SUM(EW131:FA131)/100/Lote_32</f>
        <v>#DIV/0!</v>
      </c>
      <c r="K133" s="149" t="e">
        <f>SUM(FB131:FF131)/100/Lote_32</f>
        <v>#DIV/0!</v>
      </c>
      <c r="L133" s="149" t="e">
        <f>SUM(FG131:FK131)/100/Lote_32</f>
        <v>#DIV/0!</v>
      </c>
      <c r="M133" s="149" t="e">
        <f>SUM(FL131:FP131)/100/Lote_32</f>
        <v>#DIV/0!</v>
      </c>
    </row>
    <row r="134" spans="1:172" ht="21" customHeight="1" x14ac:dyDescent="0.3">
      <c r="A134" s="233">
        <f>N_L33</f>
        <v>0</v>
      </c>
      <c r="B134" s="363" t="s">
        <v>37</v>
      </c>
      <c r="C134" s="363" t="s">
        <v>37</v>
      </c>
      <c r="D134" s="363" t="s">
        <v>37</v>
      </c>
      <c r="E134" s="363" t="s">
        <v>37</v>
      </c>
      <c r="F134" s="363" t="s">
        <v>37</v>
      </c>
      <c r="G134" s="363" t="s">
        <v>37</v>
      </c>
      <c r="H134" s="363" t="s">
        <v>37</v>
      </c>
      <c r="I134" s="363" t="s">
        <v>37</v>
      </c>
      <c r="J134" s="363" t="s">
        <v>37</v>
      </c>
      <c r="K134" s="363" t="s">
        <v>37</v>
      </c>
      <c r="L134" s="363" t="s">
        <v>37</v>
      </c>
      <c r="M134" s="363" t="s">
        <v>37</v>
      </c>
    </row>
    <row r="135" spans="1:172" ht="21" customHeight="1" x14ac:dyDescent="0.3">
      <c r="A135" s="4" t="s">
        <v>237</v>
      </c>
      <c r="B135" s="7"/>
      <c r="C135" s="7"/>
      <c r="D135" s="275"/>
      <c r="E135" s="275"/>
      <c r="F135" s="275"/>
      <c r="G135" s="275"/>
      <c r="H135" s="275"/>
      <c r="I135" s="275"/>
      <c r="J135" s="275"/>
      <c r="K135" s="275"/>
      <c r="L135" s="275"/>
      <c r="M135" s="275"/>
      <c r="O135" s="58">
        <f>Área_L33*D_L33*A1_L33</f>
        <v>0</v>
      </c>
      <c r="P135" s="58">
        <f>Área_L33*D_L33*A2_L33</f>
        <v>0</v>
      </c>
      <c r="Q135" s="58">
        <f>Área_L33*D_L33*A3_L33</f>
        <v>0</v>
      </c>
      <c r="R135" s="58">
        <f>Área_L33*D_L33*A4_L33</f>
        <v>0</v>
      </c>
      <c r="S135" s="58">
        <f>Área_L33*D_L33*A5_L33</f>
        <v>0</v>
      </c>
      <c r="T135" s="58">
        <f>Área_L33*D_L33*A6_L33</f>
        <v>0</v>
      </c>
      <c r="U135" s="58">
        <f>Área_L33*D_L33*A7_L33</f>
        <v>0</v>
      </c>
      <c r="V135" s="58">
        <f>Área_L33*D_L33*A8_L33</f>
        <v>0</v>
      </c>
      <c r="W135" s="58">
        <f>Área_L33*D_L33*A9_L33</f>
        <v>0</v>
      </c>
      <c r="X135" s="58">
        <f>Área_L33*D_L33*A10_L33</f>
        <v>0</v>
      </c>
      <c r="Y135" s="58">
        <f>Área_L33*D_L33*A11_L33</f>
        <v>0</v>
      </c>
      <c r="Z135" s="58">
        <f>Área_L33*D_L33*A12_L33</f>
        <v>0</v>
      </c>
      <c r="AB135" s="58">
        <f>IF($B134="Producción",IF($B135&gt;=LI_A,$O135,0),0)</f>
        <v>0</v>
      </c>
      <c r="AC135" s="58">
        <f>IF($B134="Producción",IF($B135&gt;=LI_B,IF($B135&lt;LS_B,$O135,0),0),0)</f>
        <v>0</v>
      </c>
      <c r="AD135" s="58">
        <f>IF($B134="Producción",IF($B135&gt;=LI_C,IF($B135&lt;LS_C,$O135,0),0),0)</f>
        <v>0</v>
      </c>
      <c r="AE135" s="58">
        <f>IF($B134="Producción",IF($B135&lt;=LS_D,$O135,0),0)</f>
        <v>0</v>
      </c>
      <c r="AF135" s="365">
        <f>IF($B134="Crecimiento",$O135,0)</f>
        <v>0</v>
      </c>
      <c r="AG135" s="365">
        <f>IF($B134="Siembra",$O135,0)</f>
        <v>0</v>
      </c>
      <c r="AH135" s="365">
        <f>IF($B134="Abandono",$O135,0)</f>
        <v>0</v>
      </c>
      <c r="AI135" s="365">
        <f>IF($C134="Producción",IF($C135&gt;=LI_A,$P135,0),0)</f>
        <v>0</v>
      </c>
      <c r="AJ135" s="365">
        <f>IF($C134="Producción",IF($C135&gt;=LI_B,IF($C135&lt;LS_B,$P135,0),0),0)</f>
        <v>0</v>
      </c>
      <c r="AK135" s="365">
        <f>IF($C134="Producción",IF($C135&gt;=LI_C,IF($C135&lt;LS_C,$P135,0),0),0)</f>
        <v>0</v>
      </c>
      <c r="AL135" s="365">
        <f>IF($C134="Producción",IF(C135&lt;=LS_D,$P135,0),0)</f>
        <v>0</v>
      </c>
      <c r="AM135" s="365">
        <f>IF($C134="Crecimiento",$P135,0)</f>
        <v>0</v>
      </c>
      <c r="AN135" s="365">
        <f>IF($C134="Siembra",$P135,0)</f>
        <v>0</v>
      </c>
      <c r="AO135" s="365">
        <f>IF($C134="Abandono",$P135,0)</f>
        <v>0</v>
      </c>
      <c r="AP135" s="365">
        <f>IF($D134="Producción",IF($D135&gt;=LI_A,$Q135,0),0)</f>
        <v>0</v>
      </c>
      <c r="AQ135" s="365">
        <f>IF($D134="Producción",IF($D135&gt;=LI_B,IF($D135&lt;LS_B,$Q135,0),0),0)</f>
        <v>0</v>
      </c>
      <c r="AR135" s="365">
        <f>IF($D134="Producción",IF($D135&gt;=LI_C,IF($D135&lt;LS_C,$Q135,0),0),0)</f>
        <v>0</v>
      </c>
      <c r="AS135" s="365">
        <f>IF($D134="Producción",IF($D135&lt;=LS_D,$Q135,0),0)</f>
        <v>0</v>
      </c>
      <c r="AT135" s="365">
        <f>IF($D134="Crecimiento",$Q135,0)</f>
        <v>0</v>
      </c>
      <c r="AU135" s="365">
        <f>IF($D134="Siembra",$Q135,0)</f>
        <v>0</v>
      </c>
      <c r="AV135" s="365">
        <f>IF($D134="Abandono",$Q135,0)</f>
        <v>0</v>
      </c>
      <c r="AW135" s="365">
        <f>IF($E134="Producción",IF($E135&gt;=LI_A,$R135,0),0)</f>
        <v>0</v>
      </c>
      <c r="AX135" s="365">
        <f>IF($E134="Producción",IF($E135&gt;=LI_B,IF($E135&lt;LS_B,$R135,0),0),0)</f>
        <v>0</v>
      </c>
      <c r="AY135" s="365">
        <f>IF($E134="Producción",IF($E135&gt;=LI_C,IF($E135&lt;LS_C,$R135,0),0),0)</f>
        <v>0</v>
      </c>
      <c r="AZ135" s="365">
        <f>IF($E134="Producción",IF($E135&lt;=LS_D,$R135,0),0)</f>
        <v>0</v>
      </c>
      <c r="BA135" s="365">
        <f>IF($E134="Crecimiento",$R135,0)</f>
        <v>0</v>
      </c>
      <c r="BB135" s="365">
        <f>IF($E134="Siembra",$R135,0)</f>
        <v>0</v>
      </c>
      <c r="BC135" s="365">
        <f>IF($E134="Abandono",$R135,0)</f>
        <v>0</v>
      </c>
      <c r="BD135" s="365">
        <f>IF($F134="Producción",IF($F135&gt;=LI_A,$S135,0),0)</f>
        <v>0</v>
      </c>
      <c r="BE135" s="365">
        <f>IF($F134="Producción",IF($F135&gt;=LI_B,IF($F135&lt;LS_B,$S135,0),0),0)</f>
        <v>0</v>
      </c>
      <c r="BF135" s="365">
        <f>IF($F134="Producción",IF($F135&gt;=LI_C,IF($F135&lt;LS_C,$S135,0),0),0)</f>
        <v>0</v>
      </c>
      <c r="BG135" s="365">
        <f>IF($F134="Producción",IF($F135&lt;=LS_D,$S135,0),0)</f>
        <v>0</v>
      </c>
      <c r="BH135" s="365">
        <f>IF($F134="Crecimiento",$S135,0)</f>
        <v>0</v>
      </c>
      <c r="BI135" s="365">
        <f>IF($F134="Siembra",$S135,0)</f>
        <v>0</v>
      </c>
      <c r="BJ135" s="365">
        <f>IF($F134="Abandono",$S135,0)</f>
        <v>0</v>
      </c>
      <c r="BK135" s="365">
        <f>IF($G134="Producción",IF($G135&gt;=LI_A,$T135,0),0)</f>
        <v>0</v>
      </c>
      <c r="BL135" s="365">
        <f>IF($G134="Producción",IF($G135&gt;=LI_B,IF($G135&lt;LS_B,$T135,0),0),0)</f>
        <v>0</v>
      </c>
      <c r="BM135" s="365">
        <f>IF($G134="Producción",IF($G135&gt;=LI_C,IF($G135&lt;LS_C,$T135,0),0),0)</f>
        <v>0</v>
      </c>
      <c r="BN135" s="365">
        <f>IF($G134="Producción",IF($G135&lt;=LS_D,$T135,0),0)</f>
        <v>0</v>
      </c>
      <c r="BO135" s="365">
        <f>IF($G134="Crecimiento",$T135,0)</f>
        <v>0</v>
      </c>
      <c r="BP135" s="365">
        <f>IF($G134="Siembra",$T135,0)</f>
        <v>0</v>
      </c>
      <c r="BQ135" s="365">
        <f>IF($G134="Abandono",$T135,0)</f>
        <v>0</v>
      </c>
      <c r="BR135" s="365">
        <f>IF($H134="Producción",IF($H135&gt;=LI_A,$U135,0),0)</f>
        <v>0</v>
      </c>
      <c r="BS135" s="365">
        <f>IF($H134="Producción",IF($H135&gt;=LI_B,IF($H135&lt;LS_B,$U135,0),0),0)</f>
        <v>0</v>
      </c>
      <c r="BT135" s="365">
        <f>IF($H134="Producción",IF($H135&gt;=LI_C,IF($H135&lt;LS_C,$U135,0),0),0)</f>
        <v>0</v>
      </c>
      <c r="BU135" s="365">
        <f>IF($H134="Producción",IF($H135&lt;=LS_D,$U135,0),0)</f>
        <v>0</v>
      </c>
      <c r="BV135" s="365">
        <f>IF($H134="Crecimiento",$U135,0)</f>
        <v>0</v>
      </c>
      <c r="BW135" s="365">
        <f>IF($H134="Siembra",$U135,0)</f>
        <v>0</v>
      </c>
      <c r="BX135" s="365">
        <f>IF($H134="Abandono",$U135,0)</f>
        <v>0</v>
      </c>
      <c r="BY135" s="365">
        <f>IF($I134="Producción",IF($I135&gt;=LI_A,$V135,0),0)</f>
        <v>0</v>
      </c>
      <c r="BZ135" s="365">
        <f>IF($I134="Producción",IF($I135&gt;=LI_B,IF($I135&lt;LS_B,$V135,0),0),0)</f>
        <v>0</v>
      </c>
      <c r="CA135" s="365">
        <f>IF($I134="Producción",IF($I135&gt;=LI_C,IF($I135&lt;LS_C,$V135,0),0),0)</f>
        <v>0</v>
      </c>
      <c r="CB135" s="365">
        <f>IF($I134="Producción",IF($I135&lt;=LS_D,$V135,0),0)</f>
        <v>0</v>
      </c>
      <c r="CC135" s="365">
        <f>IF($I134="Crecimiento",$V135,0)</f>
        <v>0</v>
      </c>
      <c r="CD135" s="365">
        <f>IF($I134="Siembra",$V135,0)</f>
        <v>0</v>
      </c>
      <c r="CE135" s="365">
        <f>IF($I134="Abandono",$V135,0)</f>
        <v>0</v>
      </c>
      <c r="CF135" s="365">
        <f>IF($J134="Producción",IF($J135&gt;=LI_A,$W135,0),0)</f>
        <v>0</v>
      </c>
      <c r="CG135" s="365">
        <f>IF($J134="Producción",IF($J135&gt;=LI_B,IF($J135&lt;LS_B,$W135,0),0),0)</f>
        <v>0</v>
      </c>
      <c r="CH135" s="365">
        <f>IF($J134="Producción",IF($J135&gt;=LI_C,IF($J135&lt;LS_C,$W135,0),0),0)</f>
        <v>0</v>
      </c>
      <c r="CI135" s="365">
        <f>IF($J134="Producción",IF($J135&lt;=LS_D,$W135,0),0)</f>
        <v>0</v>
      </c>
      <c r="CJ135" s="365">
        <f>IF($J134="Crecimiento",$W135,0)</f>
        <v>0</v>
      </c>
      <c r="CK135" s="365">
        <f>IF($J134="Siembra",$W135,0)</f>
        <v>0</v>
      </c>
      <c r="CL135" s="365">
        <f>IF($J134="Abandono",$W135,0)</f>
        <v>0</v>
      </c>
      <c r="CM135" s="365">
        <f>IF($K134="Producción",IF($K135&gt;=LI_A,$X135,0),0)</f>
        <v>0</v>
      </c>
      <c r="CN135" s="365">
        <f>IF($K134="Producción",IF($K135&gt;=LI_B,IF($K135&lt;LS_B,$X135,0),0),0)</f>
        <v>0</v>
      </c>
      <c r="CO135" s="365">
        <f>IF($K134="Producción",IF($K135&gt;=LI_C,IF($K135&lt;LS_C,$X135,0),0),0)</f>
        <v>0</v>
      </c>
      <c r="CP135" s="365">
        <f>IF($K134="Producción",IF($K135&lt;=LS_D,$X135,0),0)</f>
        <v>0</v>
      </c>
      <c r="CQ135" s="365">
        <f>IF($K134="Crecimiento",IF($K135&gt;0,$X135,0),0)</f>
        <v>0</v>
      </c>
      <c r="CR135" s="365">
        <f>IF($K134="Siembra",IF($K135&gt;0,$X135,0),0)</f>
        <v>0</v>
      </c>
      <c r="CS135" s="365">
        <f>IF($K134="Abandono",IF($K135&gt;0,$X135,0),0)</f>
        <v>0</v>
      </c>
      <c r="CT135" s="365">
        <f>IF($L134="Producción",IF($L135&gt;=LI_A,$Y135,0),0)</f>
        <v>0</v>
      </c>
      <c r="CU135" s="365">
        <f>IF($L134="Producción",IF($L135&gt;=LI_B,IF($L135&lt;LS_B,$Y135,0),0),0)</f>
        <v>0</v>
      </c>
      <c r="CV135" s="365">
        <f>IF($L134="Producción",IF($L135&gt;=LI_C,IF($L135&lt;LS_C,$Y135,0),0),0)</f>
        <v>0</v>
      </c>
      <c r="CW135" s="365">
        <f>IF($L134="Producción",IF($L135&lt;=LS_D,$Y135,0),0)</f>
        <v>0</v>
      </c>
      <c r="CX135" s="365">
        <f>IF($L134="Crecimiento",$Y135,0)</f>
        <v>0</v>
      </c>
      <c r="CY135" s="365">
        <f>IF($L134="Siembra",$Y135,0)</f>
        <v>0</v>
      </c>
      <c r="CZ135" s="365">
        <f>IF($L134="Abandono",$Y135,0)</f>
        <v>0</v>
      </c>
      <c r="DA135" s="365">
        <f>IF($M134="Producción",IF($M135&gt;=LI_A,$Z135,0),0)</f>
        <v>0</v>
      </c>
      <c r="DB135" s="365">
        <f>IF($M134="Producción",IF($M135&gt;=LI_B,IF($M135&lt;LS_B,$Z135,0),0),0)</f>
        <v>0</v>
      </c>
      <c r="DC135" s="365">
        <f>IF($M134="Producción",IF($M135&gt;=LI_C,IF($M135&lt;LS_C,$Z135,0),0),0)</f>
        <v>0</v>
      </c>
      <c r="DD135" s="365">
        <f>IF($M134="Producción",IF($M135&lt;=LS_D,$Z135,0),0)</f>
        <v>0</v>
      </c>
      <c r="DE135" s="365">
        <f>IF($M134="Crecimiento",$Z135,0)</f>
        <v>0</v>
      </c>
      <c r="DF135" s="365">
        <f>IF($M134="Siembra",$Z135,0)</f>
        <v>0</v>
      </c>
      <c r="DG135" s="365">
        <f>IF($M134="Abandono",$Z135,0)</f>
        <v>0</v>
      </c>
      <c r="DI135" s="58">
        <f>AB135*$B135</f>
        <v>0</v>
      </c>
      <c r="DJ135" s="58">
        <f>AC135*$B135</f>
        <v>0</v>
      </c>
      <c r="DK135" s="58">
        <f>AD135*$B135</f>
        <v>0</v>
      </c>
      <c r="DL135" s="58">
        <f>AE135*$B135</f>
        <v>0</v>
      </c>
      <c r="DM135" s="365">
        <f>AF135*$B135</f>
        <v>0</v>
      </c>
      <c r="DN135" s="365">
        <f>AI135*$C135</f>
        <v>0</v>
      </c>
      <c r="DO135" s="365">
        <f>AJ135*$C135</f>
        <v>0</v>
      </c>
      <c r="DP135" s="365">
        <f>AK135*$C135</f>
        <v>0</v>
      </c>
      <c r="DQ135" s="365">
        <f>AL135*$C135</f>
        <v>0</v>
      </c>
      <c r="DR135" s="365">
        <f>AM135*$C135</f>
        <v>0</v>
      </c>
      <c r="DS135" s="365">
        <f>AP135*$D135</f>
        <v>0</v>
      </c>
      <c r="DT135" s="365">
        <f>AQ135*$D135</f>
        <v>0</v>
      </c>
      <c r="DU135" s="365">
        <f>AR135*$D135</f>
        <v>0</v>
      </c>
      <c r="DV135" s="365">
        <f>AS135*$D135</f>
        <v>0</v>
      </c>
      <c r="DW135" s="365">
        <f>AT135*$D135</f>
        <v>0</v>
      </c>
      <c r="DX135" s="365">
        <f>AW135*$E135</f>
        <v>0</v>
      </c>
      <c r="DY135" s="365">
        <f>AX135*$E135</f>
        <v>0</v>
      </c>
      <c r="DZ135" s="365">
        <f>AY135*$E135</f>
        <v>0</v>
      </c>
      <c r="EA135" s="365">
        <f>AZ135*$E135</f>
        <v>0</v>
      </c>
      <c r="EB135" s="365">
        <f>BA135*$E135</f>
        <v>0</v>
      </c>
      <c r="EC135" s="365">
        <f>BD135*$F135</f>
        <v>0</v>
      </c>
      <c r="ED135" s="365">
        <f>BE135*$F135</f>
        <v>0</v>
      </c>
      <c r="EE135" s="365">
        <f>BF135*$F135</f>
        <v>0</v>
      </c>
      <c r="EF135" s="365">
        <f>BG135*$F135</f>
        <v>0</v>
      </c>
      <c r="EG135" s="365">
        <f>BH135*$F135</f>
        <v>0</v>
      </c>
      <c r="EH135" s="365">
        <f>BK135*$G135</f>
        <v>0</v>
      </c>
      <c r="EI135" s="365">
        <f>BL135*$G135</f>
        <v>0</v>
      </c>
      <c r="EJ135" s="365">
        <f>BM135*$G135</f>
        <v>0</v>
      </c>
      <c r="EK135" s="365">
        <f>BN135*$G135</f>
        <v>0</v>
      </c>
      <c r="EL135" s="365">
        <f>BO135*$G135</f>
        <v>0</v>
      </c>
      <c r="EM135" s="365">
        <f>BR135*$H135</f>
        <v>0</v>
      </c>
      <c r="EN135" s="365">
        <f>BS135*$H135</f>
        <v>0</v>
      </c>
      <c r="EO135" s="365">
        <f>BT135*$H135</f>
        <v>0</v>
      </c>
      <c r="EP135" s="365">
        <f>BU135*$H135</f>
        <v>0</v>
      </c>
      <c r="EQ135" s="365">
        <f>BV135*$H135</f>
        <v>0</v>
      </c>
      <c r="ER135" s="365">
        <f>BY135*$I135</f>
        <v>0</v>
      </c>
      <c r="ES135" s="365">
        <f>BZ135*$I135</f>
        <v>0</v>
      </c>
      <c r="ET135" s="365">
        <f>CA135*$I135</f>
        <v>0</v>
      </c>
      <c r="EU135" s="365">
        <f>CB135*$I135</f>
        <v>0</v>
      </c>
      <c r="EV135" s="365">
        <f>CC135*$I135</f>
        <v>0</v>
      </c>
      <c r="EW135" s="365">
        <f>CF135*$J135</f>
        <v>0</v>
      </c>
      <c r="EX135" s="365">
        <f>CG135*$J135</f>
        <v>0</v>
      </c>
      <c r="EY135" s="365">
        <f>CH135*$J135</f>
        <v>0</v>
      </c>
      <c r="EZ135" s="365">
        <f>CI135*$J135</f>
        <v>0</v>
      </c>
      <c r="FA135" s="365">
        <f>CJ135*$J135</f>
        <v>0</v>
      </c>
      <c r="FB135" s="365">
        <f>CM135*$K135</f>
        <v>0</v>
      </c>
      <c r="FC135" s="365">
        <f>CN135*$K135</f>
        <v>0</v>
      </c>
      <c r="FD135" s="365">
        <f>CO135*$K135</f>
        <v>0</v>
      </c>
      <c r="FE135" s="365">
        <f>CP135*$K135</f>
        <v>0</v>
      </c>
      <c r="FF135" s="365">
        <f>CQ135*$K135</f>
        <v>0</v>
      </c>
      <c r="FG135" s="365">
        <f>CT135*$L135</f>
        <v>0</v>
      </c>
      <c r="FH135" s="365">
        <f>CU135*$L135</f>
        <v>0</v>
      </c>
      <c r="FI135" s="365">
        <f>CV135*$L135</f>
        <v>0</v>
      </c>
      <c r="FJ135" s="365">
        <f>CW135*$L135</f>
        <v>0</v>
      </c>
      <c r="FK135" s="365">
        <f>CX135*$L135</f>
        <v>0</v>
      </c>
      <c r="FL135" s="365">
        <f>DA135*$M135</f>
        <v>0</v>
      </c>
      <c r="FM135" s="365">
        <f t="shared" ref="FM135" si="98">DB135*$M135</f>
        <v>0</v>
      </c>
      <c r="FN135" s="365">
        <f>DC135*$M135</f>
        <v>0</v>
      </c>
      <c r="FO135" s="365">
        <f t="shared" ref="FO135" si="99">DD135*$M135</f>
        <v>0</v>
      </c>
      <c r="FP135" s="365">
        <f t="shared" ref="FP135" si="100">DE135*$M135</f>
        <v>0</v>
      </c>
    </row>
    <row r="136" spans="1:172" ht="21" customHeight="1" x14ac:dyDescent="0.3">
      <c r="A136" s="277" t="s">
        <v>238</v>
      </c>
      <c r="B136" s="278">
        <f>SUM(DI135:DM135)/100</f>
        <v>0</v>
      </c>
      <c r="C136" s="278">
        <f>SUM(DN135:DQ135)/100</f>
        <v>0</v>
      </c>
      <c r="D136" s="279">
        <f>SUM(DS135:DW135)/100</f>
        <v>0</v>
      </c>
      <c r="E136" s="279">
        <f>SUM(DX135:EB135)/100</f>
        <v>0</v>
      </c>
      <c r="F136" s="279">
        <f>SUM(EC135:EG135)/100</f>
        <v>0</v>
      </c>
      <c r="G136" s="279">
        <f>SUM(EH135:EL135)/100</f>
        <v>0</v>
      </c>
      <c r="H136" s="279">
        <f>SUM(EM135:EQ135)/100</f>
        <v>0</v>
      </c>
      <c r="I136" s="279">
        <f>SUM(ER135:EV135)/100</f>
        <v>0</v>
      </c>
      <c r="J136" s="279">
        <f>SUM(EW135:FA135)/100</f>
        <v>0</v>
      </c>
      <c r="K136" s="279">
        <f>SUM(FB135:FF135)/100</f>
        <v>0</v>
      </c>
      <c r="L136" s="279">
        <f>SUM(FG135:FK135)/100</f>
        <v>0</v>
      </c>
      <c r="M136" s="279">
        <f>SUM(FL135:FP135)/100</f>
        <v>0</v>
      </c>
      <c r="AG136" s="365"/>
      <c r="AH136" s="365"/>
      <c r="AI136" s="365"/>
      <c r="AJ136" s="365"/>
      <c r="AK136" s="365"/>
      <c r="AL136" s="365"/>
      <c r="AM136" s="365"/>
      <c r="AN136" s="365"/>
      <c r="AO136" s="365"/>
      <c r="AP136" s="365"/>
      <c r="AQ136" s="365"/>
      <c r="AR136" s="365"/>
      <c r="AS136" s="365"/>
      <c r="AT136" s="365"/>
      <c r="AU136" s="365"/>
      <c r="AV136" s="365"/>
      <c r="AW136" s="365"/>
      <c r="AX136" s="365"/>
      <c r="AY136" s="365"/>
      <c r="AZ136" s="365"/>
      <c r="BA136" s="365"/>
      <c r="BB136" s="365"/>
      <c r="BC136" s="365"/>
      <c r="BD136" s="365"/>
      <c r="BE136" s="365"/>
      <c r="BF136" s="365"/>
      <c r="BG136" s="365"/>
      <c r="BH136" s="365"/>
      <c r="BI136" s="365"/>
      <c r="BJ136" s="365"/>
      <c r="BK136" s="365"/>
      <c r="BL136" s="365"/>
      <c r="BM136" s="365"/>
      <c r="BN136" s="365"/>
      <c r="BO136" s="365"/>
      <c r="BP136" s="365"/>
      <c r="BQ136" s="365"/>
      <c r="BR136" s="365"/>
      <c r="BS136" s="365"/>
      <c r="BT136" s="365"/>
      <c r="BU136" s="365"/>
      <c r="BV136" s="365"/>
      <c r="BW136" s="365"/>
      <c r="BX136" s="365"/>
      <c r="BY136" s="365"/>
      <c r="BZ136" s="365"/>
      <c r="CA136" s="365"/>
      <c r="CB136" s="365"/>
      <c r="CC136" s="365"/>
      <c r="CD136" s="365"/>
      <c r="CE136" s="365"/>
      <c r="CF136" s="365"/>
      <c r="CG136" s="365"/>
      <c r="CH136" s="365"/>
      <c r="CI136" s="365"/>
      <c r="CJ136" s="365"/>
      <c r="CK136" s="365"/>
      <c r="CL136" s="365"/>
      <c r="CM136" s="365"/>
      <c r="CN136" s="365"/>
      <c r="CO136" s="365"/>
      <c r="CP136" s="365"/>
      <c r="CQ136" s="365"/>
      <c r="CR136" s="365"/>
      <c r="CS136" s="365"/>
      <c r="CT136" s="365"/>
      <c r="CU136" s="365"/>
      <c r="CV136" s="365"/>
      <c r="CW136" s="365"/>
      <c r="CX136" s="365"/>
      <c r="CY136" s="365"/>
      <c r="CZ136" s="365"/>
      <c r="DA136" s="365"/>
      <c r="DB136" s="365"/>
      <c r="DC136" s="365"/>
      <c r="DD136" s="365"/>
      <c r="DE136" s="365"/>
      <c r="DF136" s="365"/>
      <c r="DG136" s="365"/>
      <c r="DM136" s="365"/>
      <c r="DN136" s="365"/>
      <c r="DO136" s="365"/>
      <c r="DP136" s="365"/>
      <c r="DQ136" s="365"/>
      <c r="DR136" s="365"/>
      <c r="DS136" s="365"/>
      <c r="DT136" s="365"/>
      <c r="DU136" s="365"/>
      <c r="DV136" s="365"/>
      <c r="DW136" s="365"/>
      <c r="DX136" s="365"/>
      <c r="DY136" s="365"/>
      <c r="DZ136" s="365"/>
      <c r="EA136" s="365"/>
      <c r="EB136" s="365"/>
      <c r="EC136" s="365"/>
      <c r="ED136" s="365"/>
      <c r="EE136" s="365"/>
      <c r="EF136" s="365"/>
      <c r="EG136" s="365"/>
      <c r="EH136" s="365"/>
      <c r="EI136" s="365"/>
      <c r="EJ136" s="365"/>
      <c r="EK136" s="365"/>
      <c r="EL136" s="365"/>
      <c r="EM136" s="365"/>
      <c r="EN136" s="365"/>
      <c r="EO136" s="365"/>
      <c r="EP136" s="365"/>
      <c r="EQ136" s="365"/>
      <c r="ER136" s="365"/>
      <c r="ES136" s="365"/>
      <c r="ET136" s="365"/>
      <c r="EU136" s="365"/>
      <c r="EV136" s="365"/>
      <c r="EW136" s="365"/>
      <c r="EX136" s="365"/>
      <c r="EY136" s="365"/>
      <c r="EZ136" s="365"/>
      <c r="FA136" s="365"/>
      <c r="FB136" s="365"/>
      <c r="FC136" s="365"/>
      <c r="FD136" s="365"/>
      <c r="FE136" s="365"/>
      <c r="FF136" s="365"/>
      <c r="FG136" s="365"/>
      <c r="FH136" s="365"/>
      <c r="FI136" s="365"/>
      <c r="FJ136" s="365"/>
      <c r="FK136" s="365"/>
      <c r="FL136" s="365"/>
      <c r="FM136" s="365"/>
      <c r="FN136" s="365"/>
      <c r="FO136" s="365"/>
      <c r="FP136" s="365"/>
    </row>
    <row r="137" spans="1:172" ht="21" customHeight="1" x14ac:dyDescent="0.3">
      <c r="A137" s="150" t="s">
        <v>239</v>
      </c>
      <c r="B137" s="149" t="e">
        <f>SUM(DI135:DM135)/100/Lote_33</f>
        <v>#DIV/0!</v>
      </c>
      <c r="C137" s="149" t="e">
        <f>SUM(DN135:DQ135)/100/Lote_33</f>
        <v>#DIV/0!</v>
      </c>
      <c r="D137" s="149" t="e">
        <f>SUM(DS135:DW135)/100/Lote_33</f>
        <v>#DIV/0!</v>
      </c>
      <c r="E137" s="149" t="e">
        <f>SUM(DX135:EB135)/100/Lote_33</f>
        <v>#DIV/0!</v>
      </c>
      <c r="F137" s="149" t="e">
        <f>SUM(EC135:EG135)/100/Lote_33</f>
        <v>#DIV/0!</v>
      </c>
      <c r="G137" s="149" t="e">
        <f>SUM(EH135:EL135)/100/Lote_33</f>
        <v>#DIV/0!</v>
      </c>
      <c r="H137" s="149" t="e">
        <f>SUM(EM135:EQ135)/100/Lote_33</f>
        <v>#DIV/0!</v>
      </c>
      <c r="I137" s="149" t="e">
        <f>SUM(ER135:EV135)/100/Lote_33</f>
        <v>#DIV/0!</v>
      </c>
      <c r="J137" s="149" t="e">
        <f>SUM(EW135:FA135)/100/Lote_33</f>
        <v>#DIV/0!</v>
      </c>
      <c r="K137" s="149" t="e">
        <f>SUM(FB135:FF135)/100/Lote_33</f>
        <v>#DIV/0!</v>
      </c>
      <c r="L137" s="149" t="e">
        <f>SUM(FG135:FK135)/100/Lote_33</f>
        <v>#DIV/0!</v>
      </c>
      <c r="M137" s="149" t="e">
        <f>SUM(FL135:FP135)/100/Lote_33</f>
        <v>#DIV/0!</v>
      </c>
    </row>
    <row r="138" spans="1:172" ht="21" customHeight="1" x14ac:dyDescent="0.3">
      <c r="A138" s="233">
        <f>N_L34</f>
        <v>0</v>
      </c>
      <c r="B138" s="363" t="s">
        <v>37</v>
      </c>
      <c r="C138" s="363" t="s">
        <v>37</v>
      </c>
      <c r="D138" s="363" t="s">
        <v>37</v>
      </c>
      <c r="E138" s="363" t="s">
        <v>37</v>
      </c>
      <c r="F138" s="363" t="s">
        <v>37</v>
      </c>
      <c r="G138" s="363" t="s">
        <v>37</v>
      </c>
      <c r="H138" s="363" t="s">
        <v>37</v>
      </c>
      <c r="I138" s="363" t="s">
        <v>37</v>
      </c>
      <c r="J138" s="363" t="s">
        <v>37</v>
      </c>
      <c r="K138" s="363" t="s">
        <v>37</v>
      </c>
      <c r="L138" s="363" t="s">
        <v>37</v>
      </c>
      <c r="M138" s="363" t="s">
        <v>37</v>
      </c>
    </row>
    <row r="139" spans="1:172" ht="21" customHeight="1" x14ac:dyDescent="0.3">
      <c r="A139" s="4" t="s">
        <v>237</v>
      </c>
      <c r="B139" s="7"/>
      <c r="C139" s="7"/>
      <c r="D139" s="275"/>
      <c r="E139" s="275"/>
      <c r="F139" s="275"/>
      <c r="G139" s="275"/>
      <c r="H139" s="275"/>
      <c r="I139" s="275"/>
      <c r="J139" s="275"/>
      <c r="K139" s="275"/>
      <c r="L139" s="275"/>
      <c r="M139" s="275"/>
      <c r="O139" s="58">
        <f>Área_L34*D_L34*A1_L34</f>
        <v>0</v>
      </c>
      <c r="P139" s="58">
        <f>Área_L34*D_L34*A2_L34</f>
        <v>0</v>
      </c>
      <c r="Q139" s="58">
        <f>Área_L34*D_L34*A3_L34</f>
        <v>0</v>
      </c>
      <c r="R139" s="58">
        <f>Área_L34*D_L34*A4_L34</f>
        <v>0</v>
      </c>
      <c r="S139" s="58">
        <f>Área_L34*D_L34*A5_L34</f>
        <v>0</v>
      </c>
      <c r="T139" s="58">
        <f>Área_L34*D_L34*A6_L34</f>
        <v>0</v>
      </c>
      <c r="U139" s="58">
        <f>Área_L34*D_L34*A7_L34</f>
        <v>0</v>
      </c>
      <c r="V139" s="58">
        <f>Área_L34*D_L34*A8_L34</f>
        <v>0</v>
      </c>
      <c r="W139" s="58">
        <f>Área_L34*D_L34*A9_L34</f>
        <v>0</v>
      </c>
      <c r="X139" s="58">
        <f>Área_L34*D_L34*A10_L34</f>
        <v>0</v>
      </c>
      <c r="Y139" s="58">
        <f>Área_L34*D_L34*A11_L34</f>
        <v>0</v>
      </c>
      <c r="Z139" s="58">
        <f>Área_L34*D_L34*A12_L34</f>
        <v>0</v>
      </c>
      <c r="AB139" s="58">
        <f>IF($B138="Producción",IF($B139&gt;=LI_A,$O139,0),0)</f>
        <v>0</v>
      </c>
      <c r="AC139" s="58">
        <f>IF($B138="Producción",IF($B139&gt;=LI_B,IF($B139&lt;LS_B,$O139,0),0),0)</f>
        <v>0</v>
      </c>
      <c r="AD139" s="58">
        <f>IF($B138="Producción",IF($B139&gt;=LI_C,IF($B139&lt;LS_C,$O139,0),0),0)</f>
        <v>0</v>
      </c>
      <c r="AE139" s="58">
        <f>IF($B138="Producción",IF($B139&lt;=LS_D,$O139,0),0)</f>
        <v>0</v>
      </c>
      <c r="AF139" s="365">
        <f>IF($B138="Crecimiento",$O139,0)</f>
        <v>0</v>
      </c>
      <c r="AG139" s="365">
        <f>IF($B138="Siembra",$O139,0)</f>
        <v>0</v>
      </c>
      <c r="AH139" s="365">
        <f>IF($B138="Abandono",$O139,0)</f>
        <v>0</v>
      </c>
      <c r="AI139" s="365">
        <f>IF($C138="Producción",IF($C139&gt;=LI_A,$P139,0),0)</f>
        <v>0</v>
      </c>
      <c r="AJ139" s="365">
        <f>IF($C138="Producción",IF($C139&gt;=LI_B,IF($C139&lt;LS_B,$P139,0),0),0)</f>
        <v>0</v>
      </c>
      <c r="AK139" s="365">
        <f>IF($C138="Producción",IF($C139&gt;=LI_C,IF($C139&lt;LS_C,$P139,0),0),0)</f>
        <v>0</v>
      </c>
      <c r="AL139" s="365">
        <f>IF($C138="Producción",IF(C139&lt;=LS_D,$P139,0),0)</f>
        <v>0</v>
      </c>
      <c r="AM139" s="365">
        <f>IF($C138="Crecimiento",$P139,0)</f>
        <v>0</v>
      </c>
      <c r="AN139" s="365">
        <f>IF($C138="Siembra",$P139,0)</f>
        <v>0</v>
      </c>
      <c r="AO139" s="365">
        <f>IF($C138="Abandono",$P139,0)</f>
        <v>0</v>
      </c>
      <c r="AP139" s="365">
        <f>IF($D138="Producción",IF($D139&gt;=LI_A,$Q139,0),0)</f>
        <v>0</v>
      </c>
      <c r="AQ139" s="365">
        <f>IF($D138="Producción",IF($D139&gt;=LI_B,IF($D139&lt;LS_B,$Q139,0),0),0)</f>
        <v>0</v>
      </c>
      <c r="AR139" s="365">
        <f>IF($D138="Producción",IF($D139&gt;=LI_C,IF($D139&lt;LS_C,$Q139,0),0),0)</f>
        <v>0</v>
      </c>
      <c r="AS139" s="365">
        <f>IF($D138="Producción",IF($D139&lt;=LS_D,$Q139,0),0)</f>
        <v>0</v>
      </c>
      <c r="AT139" s="365">
        <f>IF($D138="Crecimiento",$Q139,0)</f>
        <v>0</v>
      </c>
      <c r="AU139" s="365">
        <f>IF($D138="Siembra",$Q139,0)</f>
        <v>0</v>
      </c>
      <c r="AV139" s="365">
        <f>IF($D138="Abandono",$Q139,0)</f>
        <v>0</v>
      </c>
      <c r="AW139" s="365">
        <f>IF($E138="Producción",IF($E139&gt;=LI_A,$R139,0),0)</f>
        <v>0</v>
      </c>
      <c r="AX139" s="365">
        <f>IF($E138="Producción",IF($E139&gt;=LI_B,IF($E139&lt;LS_B,$R139,0),0),0)</f>
        <v>0</v>
      </c>
      <c r="AY139" s="365">
        <f>IF($E138="Producción",IF($E139&gt;=LI_C,IF($E139&lt;LS_C,$R139,0),0),0)</f>
        <v>0</v>
      </c>
      <c r="AZ139" s="365">
        <f>IF($E138="Producción",IF($E139&lt;=LS_D,$R139,0),0)</f>
        <v>0</v>
      </c>
      <c r="BA139" s="365">
        <f>IF($E138="Crecimiento",$R139,0)</f>
        <v>0</v>
      </c>
      <c r="BB139" s="365">
        <f>IF($E138="Siembra",$R139,0)</f>
        <v>0</v>
      </c>
      <c r="BC139" s="365">
        <f>IF($E138="Abandono",$R139,0)</f>
        <v>0</v>
      </c>
      <c r="BD139" s="365">
        <f>IF($F138="Producción",IF($F139&gt;=LI_A,$S139,0),0)</f>
        <v>0</v>
      </c>
      <c r="BE139" s="365">
        <f>IF($F138="Producción",IF($F139&gt;=LI_B,IF($F139&lt;LS_B,$S139,0),0),0)</f>
        <v>0</v>
      </c>
      <c r="BF139" s="365">
        <f>IF($F138="Producción",IF($F139&gt;=LI_C,IF($F139&lt;LS_C,$S139,0),0),0)</f>
        <v>0</v>
      </c>
      <c r="BG139" s="365">
        <f>IF($F138="Producción",IF($F139&lt;=LS_D,$S139,0),0)</f>
        <v>0</v>
      </c>
      <c r="BH139" s="365">
        <f>IF($F138="Crecimiento",$S139,0)</f>
        <v>0</v>
      </c>
      <c r="BI139" s="365">
        <f>IF($F138="Siembra",$S139,0)</f>
        <v>0</v>
      </c>
      <c r="BJ139" s="365">
        <f>IF($F138="Abandono",$S139,0)</f>
        <v>0</v>
      </c>
      <c r="BK139" s="365">
        <f>IF($G138="Producción",IF($G139&gt;=LI_A,$T139,0),0)</f>
        <v>0</v>
      </c>
      <c r="BL139" s="365">
        <f>IF($G138="Producción",IF($G139&gt;=LI_B,IF($G139&lt;LS_B,$T139,0),0),0)</f>
        <v>0</v>
      </c>
      <c r="BM139" s="365">
        <f>IF($G138="Producción",IF($G139&gt;=LI_C,IF($G139&lt;LS_C,$T139,0),0),0)</f>
        <v>0</v>
      </c>
      <c r="BN139" s="365">
        <f>IF($G138="Producción",IF($G139&lt;=LS_D,$T139,0),0)</f>
        <v>0</v>
      </c>
      <c r="BO139" s="365">
        <f>IF($G138="Crecimiento",$T139,0)</f>
        <v>0</v>
      </c>
      <c r="BP139" s="365">
        <f>IF($G138="Siembra",$T139,0)</f>
        <v>0</v>
      </c>
      <c r="BQ139" s="365">
        <f>IF($G138="Abandono",$T139,0)</f>
        <v>0</v>
      </c>
      <c r="BR139" s="365">
        <f>IF($H138="Producción",IF($H139&gt;=LI_A,$U139,0),0)</f>
        <v>0</v>
      </c>
      <c r="BS139" s="365">
        <f>IF($H138="Producción",IF($H139&gt;=LI_B,IF($H139&lt;LS_B,$U139,0),0),0)</f>
        <v>0</v>
      </c>
      <c r="BT139" s="365">
        <f>IF($H138="Producción",IF($H139&gt;=LI_C,IF($H139&lt;LS_C,$U139,0),0),0)</f>
        <v>0</v>
      </c>
      <c r="BU139" s="365">
        <f>IF($H138="Producción",IF($H139&lt;=LS_D,$U139,0),0)</f>
        <v>0</v>
      </c>
      <c r="BV139" s="365">
        <f>IF($H138="Crecimiento",$U139,0)</f>
        <v>0</v>
      </c>
      <c r="BW139" s="365">
        <f>IF($H138="Siembra",$U139,0)</f>
        <v>0</v>
      </c>
      <c r="BX139" s="365">
        <f>IF($H138="Abandono",$U139,0)</f>
        <v>0</v>
      </c>
      <c r="BY139" s="365">
        <f>IF($I138="Producción",IF($I139&gt;=LI_A,$V139,0),0)</f>
        <v>0</v>
      </c>
      <c r="BZ139" s="365">
        <f>IF($I138="Producción",IF($I139&gt;=LI_B,IF($I139&lt;LS_B,$V139,0),0),0)</f>
        <v>0</v>
      </c>
      <c r="CA139" s="365">
        <f>IF($I138="Producción",IF($I139&gt;=LI_C,IF($I139&lt;LS_C,$V139,0),0),0)</f>
        <v>0</v>
      </c>
      <c r="CB139" s="365">
        <f>IF($I138="Producción",IF($I139&lt;=LS_D,$V139,0),0)</f>
        <v>0</v>
      </c>
      <c r="CC139" s="365">
        <f>IF($I138="Crecimiento",$V139,0)</f>
        <v>0</v>
      </c>
      <c r="CD139" s="365">
        <f>IF($I138="Siembra",$V139,0)</f>
        <v>0</v>
      </c>
      <c r="CE139" s="365">
        <f>IF($I138="Abandono",$V139,0)</f>
        <v>0</v>
      </c>
      <c r="CF139" s="365">
        <f>IF($J138="Producción",IF($J139&gt;=LI_A,$W139,0),0)</f>
        <v>0</v>
      </c>
      <c r="CG139" s="365">
        <f>IF($J138="Producción",IF($J139&gt;=LI_B,IF($J139&lt;LS_B,$W139,0),0),0)</f>
        <v>0</v>
      </c>
      <c r="CH139" s="365">
        <f>IF($J138="Producción",IF($J139&gt;=LI_C,IF($J139&lt;LS_C,$W139,0),0),0)</f>
        <v>0</v>
      </c>
      <c r="CI139" s="365">
        <f>IF($J138="Producción",IF($J139&lt;=LS_D,$W139,0),0)</f>
        <v>0</v>
      </c>
      <c r="CJ139" s="365">
        <f>IF($J138="Crecimiento",$W139,0)</f>
        <v>0</v>
      </c>
      <c r="CK139" s="365">
        <f>IF($J138="Siembra",$W139,0)</f>
        <v>0</v>
      </c>
      <c r="CL139" s="365">
        <f>IF($J138="Abandono",$W139,0)</f>
        <v>0</v>
      </c>
      <c r="CM139" s="365">
        <f>IF($K138="Producción",IF($K139&gt;=LI_A,$X139,0),0)</f>
        <v>0</v>
      </c>
      <c r="CN139" s="365">
        <f>IF($K138="Producción",IF($K139&gt;=LI_B,IF($K139&lt;LS_B,$X139,0),0),0)</f>
        <v>0</v>
      </c>
      <c r="CO139" s="365">
        <f>IF($K138="Producción",IF($K139&gt;=LI_C,IF($K139&lt;LS_C,$X139,0),0),0)</f>
        <v>0</v>
      </c>
      <c r="CP139" s="365">
        <f>IF($K138="Producción",IF($K139&lt;=LS_D,$X139,0),0)</f>
        <v>0</v>
      </c>
      <c r="CQ139" s="365">
        <f>IF($K138="Crecimiento",IF($K139&gt;0,$X139,0),0)</f>
        <v>0</v>
      </c>
      <c r="CR139" s="365">
        <f>IF($K138="Siembra",IF($K139&gt;0,$X139,0),0)</f>
        <v>0</v>
      </c>
      <c r="CS139" s="365">
        <f>IF($K138="Abandono",IF($K139&gt;0,$X139,0),0)</f>
        <v>0</v>
      </c>
      <c r="CT139" s="365">
        <f>IF($L138="Producción",IF($L139&gt;=LI_A,$Y139,0),0)</f>
        <v>0</v>
      </c>
      <c r="CU139" s="365">
        <f>IF($L138="Producción",IF($L139&gt;=LI_B,IF($L139&lt;LS_B,$Y139,0),0),0)</f>
        <v>0</v>
      </c>
      <c r="CV139" s="365">
        <f>IF($L138="Producción",IF($L139&gt;=LI_C,IF($L139&lt;LS_C,$Y139,0),0),0)</f>
        <v>0</v>
      </c>
      <c r="CW139" s="365">
        <f>IF($L138="Producción",IF($L139&lt;=LS_D,$Y139,0),0)</f>
        <v>0</v>
      </c>
      <c r="CX139" s="365">
        <f>IF($L138="Crecimiento",$Y139,0)</f>
        <v>0</v>
      </c>
      <c r="CY139" s="365">
        <f>IF($L138="Siembra",$Y139,0)</f>
        <v>0</v>
      </c>
      <c r="CZ139" s="365">
        <f>IF($L138="Abandono",$Y139,0)</f>
        <v>0</v>
      </c>
      <c r="DA139" s="365">
        <f>IF($M138="Producción",IF($M139&gt;=LI_A,$Z139,0),0)</f>
        <v>0</v>
      </c>
      <c r="DB139" s="365">
        <f>IF($M138="Producción",IF($M139&gt;=LI_B,IF($M139&lt;LS_B,$Z139,0),0),0)</f>
        <v>0</v>
      </c>
      <c r="DC139" s="365">
        <f>IF($M138="Producción",IF($M139&gt;=LI_C,IF($M139&lt;LS_C,$Z139,0),0),0)</f>
        <v>0</v>
      </c>
      <c r="DD139" s="365">
        <f>IF($M138="Producción",IF($M139&lt;=LS_D,$Z139,0),0)</f>
        <v>0</v>
      </c>
      <c r="DE139" s="365">
        <f>IF($M138="Crecimiento",$Z139,0)</f>
        <v>0</v>
      </c>
      <c r="DF139" s="365">
        <f>IF($M138="Siembra",$Z139,0)</f>
        <v>0</v>
      </c>
      <c r="DG139" s="365">
        <f>IF($M138="Abandono",$Z139,0)</f>
        <v>0</v>
      </c>
      <c r="DI139" s="58">
        <f>AB139*$B139</f>
        <v>0</v>
      </c>
      <c r="DJ139" s="58">
        <f>AC139*$B139</f>
        <v>0</v>
      </c>
      <c r="DK139" s="58">
        <f>AD139*$B139</f>
        <v>0</v>
      </c>
      <c r="DL139" s="58">
        <f>AE139*$B139</f>
        <v>0</v>
      </c>
      <c r="DM139" s="365">
        <f>AF139*$B139</f>
        <v>0</v>
      </c>
      <c r="DN139" s="365">
        <f>AI139*$C139</f>
        <v>0</v>
      </c>
      <c r="DO139" s="365">
        <f>AJ139*$C139</f>
        <v>0</v>
      </c>
      <c r="DP139" s="365">
        <f>AK139*$C139</f>
        <v>0</v>
      </c>
      <c r="DQ139" s="365">
        <f>AL139*$C139</f>
        <v>0</v>
      </c>
      <c r="DR139" s="365">
        <f>AM139*$C139</f>
        <v>0</v>
      </c>
      <c r="DS139" s="365">
        <f>AP139*$D139</f>
        <v>0</v>
      </c>
      <c r="DT139" s="365">
        <f>AQ139*$D139</f>
        <v>0</v>
      </c>
      <c r="DU139" s="365">
        <f>AR139*$D139</f>
        <v>0</v>
      </c>
      <c r="DV139" s="365">
        <f>AS139*$D139</f>
        <v>0</v>
      </c>
      <c r="DW139" s="365">
        <f>AT139*$D139</f>
        <v>0</v>
      </c>
      <c r="DX139" s="365">
        <f>AW139*$E139</f>
        <v>0</v>
      </c>
      <c r="DY139" s="365">
        <f>AX139*$E139</f>
        <v>0</v>
      </c>
      <c r="DZ139" s="365">
        <f>AY139*$E139</f>
        <v>0</v>
      </c>
      <c r="EA139" s="365">
        <f>AZ139*$E139</f>
        <v>0</v>
      </c>
      <c r="EB139" s="365">
        <f>BA139*$E139</f>
        <v>0</v>
      </c>
      <c r="EC139" s="365">
        <f>BD139*$F139</f>
        <v>0</v>
      </c>
      <c r="ED139" s="365">
        <f>BE139*$F139</f>
        <v>0</v>
      </c>
      <c r="EE139" s="365">
        <f>BF139*$F139</f>
        <v>0</v>
      </c>
      <c r="EF139" s="365">
        <f>BG139*$F139</f>
        <v>0</v>
      </c>
      <c r="EG139" s="365">
        <f>BH139*$F139</f>
        <v>0</v>
      </c>
      <c r="EH139" s="365">
        <f>BK139*$G139</f>
        <v>0</v>
      </c>
      <c r="EI139" s="365">
        <f>BL139*$G139</f>
        <v>0</v>
      </c>
      <c r="EJ139" s="365">
        <f>BM139*$G139</f>
        <v>0</v>
      </c>
      <c r="EK139" s="365">
        <f>BN139*$G139</f>
        <v>0</v>
      </c>
      <c r="EL139" s="365">
        <f>BO139*$G139</f>
        <v>0</v>
      </c>
      <c r="EM139" s="365">
        <f>BR139*$H139</f>
        <v>0</v>
      </c>
      <c r="EN139" s="365">
        <f>BS139*$H139</f>
        <v>0</v>
      </c>
      <c r="EO139" s="365">
        <f>BT139*$H139</f>
        <v>0</v>
      </c>
      <c r="EP139" s="365">
        <f>BU139*$H139</f>
        <v>0</v>
      </c>
      <c r="EQ139" s="365">
        <f>BV139*$H139</f>
        <v>0</v>
      </c>
      <c r="ER139" s="365">
        <f>BY139*$I139</f>
        <v>0</v>
      </c>
      <c r="ES139" s="365">
        <f>BZ139*$I139</f>
        <v>0</v>
      </c>
      <c r="ET139" s="365">
        <f>CA139*$I139</f>
        <v>0</v>
      </c>
      <c r="EU139" s="365">
        <f>CB139*$I139</f>
        <v>0</v>
      </c>
      <c r="EV139" s="365">
        <f>CC139*$I139</f>
        <v>0</v>
      </c>
      <c r="EW139" s="365">
        <f>CF139*$J139</f>
        <v>0</v>
      </c>
      <c r="EX139" s="365">
        <f>CG139*$J139</f>
        <v>0</v>
      </c>
      <c r="EY139" s="365">
        <f>CH139*$J139</f>
        <v>0</v>
      </c>
      <c r="EZ139" s="365">
        <f>CI139*$J139</f>
        <v>0</v>
      </c>
      <c r="FA139" s="365">
        <f>CJ139*$J139</f>
        <v>0</v>
      </c>
      <c r="FB139" s="365">
        <f>CM139*$K139</f>
        <v>0</v>
      </c>
      <c r="FC139" s="365">
        <f>CN139*$K139</f>
        <v>0</v>
      </c>
      <c r="FD139" s="365">
        <f>CO139*$K139</f>
        <v>0</v>
      </c>
      <c r="FE139" s="365">
        <f>CP139*$K139</f>
        <v>0</v>
      </c>
      <c r="FF139" s="365">
        <f>CQ139*$K139</f>
        <v>0</v>
      </c>
      <c r="FG139" s="365">
        <f>CT139*$L139</f>
        <v>0</v>
      </c>
      <c r="FH139" s="365">
        <f>CU139*$L139</f>
        <v>0</v>
      </c>
      <c r="FI139" s="365">
        <f>CV139*$L139</f>
        <v>0</v>
      </c>
      <c r="FJ139" s="365">
        <f>CW139*$L139</f>
        <v>0</v>
      </c>
      <c r="FK139" s="365">
        <f>CX139*$L139</f>
        <v>0</v>
      </c>
      <c r="FL139" s="365">
        <f>DA139*$M139</f>
        <v>0</v>
      </c>
      <c r="FM139" s="365">
        <f t="shared" ref="FM139" si="101">DB139*$M139</f>
        <v>0</v>
      </c>
      <c r="FN139" s="365">
        <f>DC139*$M139</f>
        <v>0</v>
      </c>
      <c r="FO139" s="365">
        <f t="shared" ref="FO139" si="102">DD139*$M139</f>
        <v>0</v>
      </c>
      <c r="FP139" s="365">
        <f t="shared" ref="FP139" si="103">DE139*$M139</f>
        <v>0</v>
      </c>
    </row>
    <row r="140" spans="1:172" ht="21" customHeight="1" x14ac:dyDescent="0.3">
      <c r="A140" s="277" t="s">
        <v>238</v>
      </c>
      <c r="B140" s="278">
        <f>SUM(DI139:DM139)/100</f>
        <v>0</v>
      </c>
      <c r="C140" s="278">
        <f>SUM(DN139:DQ139)/100</f>
        <v>0</v>
      </c>
      <c r="D140" s="279">
        <f>SUM(DS139:DW139)/100</f>
        <v>0</v>
      </c>
      <c r="E140" s="279">
        <f>SUM(DX139:EB139)/100</f>
        <v>0</v>
      </c>
      <c r="F140" s="279">
        <f>SUM(EC139:EG139)/100</f>
        <v>0</v>
      </c>
      <c r="G140" s="279">
        <f>SUM(EH139:EL139)/100</f>
        <v>0</v>
      </c>
      <c r="H140" s="279">
        <f>SUM(EM139:EQ139)/100</f>
        <v>0</v>
      </c>
      <c r="I140" s="279">
        <f>SUM(ER139:EV139)/100</f>
        <v>0</v>
      </c>
      <c r="J140" s="279">
        <f>SUM(EW139:FA139)/100</f>
        <v>0</v>
      </c>
      <c r="K140" s="279">
        <f>SUM(FB139:FF139)/100</f>
        <v>0</v>
      </c>
      <c r="L140" s="279">
        <f>SUM(FG139:FK139)/100</f>
        <v>0</v>
      </c>
      <c r="M140" s="279">
        <f>SUM(FL139:FP139)/100</f>
        <v>0</v>
      </c>
      <c r="AG140" s="365"/>
      <c r="AH140" s="365"/>
      <c r="AI140" s="365"/>
      <c r="AJ140" s="365"/>
      <c r="AK140" s="365"/>
      <c r="AL140" s="365"/>
      <c r="AM140" s="365"/>
      <c r="AN140" s="365"/>
      <c r="AO140" s="365"/>
      <c r="AP140" s="365"/>
      <c r="AQ140" s="365"/>
      <c r="AR140" s="365"/>
      <c r="AS140" s="365"/>
      <c r="AT140" s="365"/>
      <c r="AU140" s="365"/>
      <c r="AV140" s="365"/>
      <c r="AW140" s="365"/>
      <c r="AX140" s="365"/>
      <c r="AY140" s="365"/>
      <c r="AZ140" s="365"/>
      <c r="BA140" s="365"/>
      <c r="BB140" s="365"/>
      <c r="BC140" s="365"/>
      <c r="BD140" s="365"/>
      <c r="BE140" s="365"/>
      <c r="BF140" s="365"/>
      <c r="BG140" s="365"/>
      <c r="BH140" s="365"/>
      <c r="BI140" s="365"/>
      <c r="BJ140" s="365"/>
      <c r="BK140" s="365"/>
      <c r="BL140" s="365"/>
      <c r="BM140" s="365"/>
      <c r="BN140" s="365"/>
      <c r="BO140" s="365"/>
      <c r="BP140" s="365"/>
      <c r="BQ140" s="365"/>
      <c r="BR140" s="365"/>
      <c r="BS140" s="365"/>
      <c r="BT140" s="365"/>
      <c r="BU140" s="365"/>
      <c r="BV140" s="365"/>
      <c r="BW140" s="365"/>
      <c r="BX140" s="365"/>
      <c r="BY140" s="365"/>
      <c r="BZ140" s="365"/>
      <c r="CA140" s="365"/>
      <c r="CB140" s="365"/>
      <c r="CC140" s="365"/>
      <c r="CD140" s="365"/>
      <c r="CE140" s="365"/>
      <c r="CF140" s="365"/>
      <c r="CG140" s="365"/>
      <c r="CH140" s="365"/>
      <c r="CI140" s="365"/>
      <c r="CJ140" s="365"/>
      <c r="CK140" s="365"/>
      <c r="CL140" s="365"/>
      <c r="CM140" s="365"/>
      <c r="CN140" s="365"/>
      <c r="CO140" s="365"/>
      <c r="CP140" s="365"/>
      <c r="CQ140" s="365"/>
      <c r="CR140" s="365"/>
      <c r="CS140" s="365"/>
      <c r="CT140" s="365"/>
      <c r="CU140" s="365"/>
      <c r="CV140" s="365"/>
      <c r="CW140" s="365"/>
      <c r="CX140" s="365"/>
      <c r="CY140" s="365"/>
      <c r="CZ140" s="365"/>
      <c r="DA140" s="365"/>
      <c r="DB140" s="365"/>
      <c r="DC140" s="365"/>
      <c r="DD140" s="365"/>
      <c r="DE140" s="365"/>
      <c r="DF140" s="365"/>
      <c r="DG140" s="365"/>
      <c r="DM140" s="365"/>
      <c r="DN140" s="365"/>
      <c r="DO140" s="365"/>
      <c r="DP140" s="365"/>
      <c r="DQ140" s="365"/>
      <c r="DR140" s="365"/>
      <c r="DS140" s="365"/>
      <c r="DT140" s="365"/>
      <c r="DU140" s="365"/>
      <c r="DV140" s="365"/>
      <c r="DW140" s="365"/>
      <c r="DX140" s="365"/>
      <c r="DY140" s="365"/>
      <c r="DZ140" s="365"/>
      <c r="EA140" s="365"/>
      <c r="EB140" s="365"/>
      <c r="EC140" s="365"/>
      <c r="ED140" s="365"/>
      <c r="EE140" s="365"/>
      <c r="EF140" s="365"/>
      <c r="EG140" s="365"/>
      <c r="EH140" s="365"/>
      <c r="EI140" s="365"/>
      <c r="EJ140" s="365"/>
      <c r="EK140" s="365"/>
      <c r="EL140" s="365"/>
      <c r="EM140" s="365"/>
      <c r="EN140" s="365"/>
      <c r="EO140" s="365"/>
      <c r="EP140" s="365"/>
      <c r="EQ140" s="365"/>
      <c r="ER140" s="365"/>
      <c r="ES140" s="365"/>
      <c r="ET140" s="365"/>
      <c r="EU140" s="365"/>
      <c r="EV140" s="365"/>
      <c r="EW140" s="365"/>
      <c r="EX140" s="365"/>
      <c r="EY140" s="365"/>
      <c r="EZ140" s="365"/>
      <c r="FA140" s="365"/>
      <c r="FB140" s="365"/>
      <c r="FC140" s="365"/>
      <c r="FD140" s="365"/>
      <c r="FE140" s="365"/>
      <c r="FF140" s="365"/>
      <c r="FG140" s="365"/>
      <c r="FH140" s="365"/>
      <c r="FI140" s="365"/>
      <c r="FJ140" s="365"/>
      <c r="FK140" s="365"/>
      <c r="FL140" s="365"/>
      <c r="FM140" s="365"/>
      <c r="FN140" s="365"/>
      <c r="FO140" s="365"/>
      <c r="FP140" s="365"/>
    </row>
    <row r="141" spans="1:172" ht="21" customHeight="1" x14ac:dyDescent="0.3">
      <c r="A141" s="150" t="s">
        <v>239</v>
      </c>
      <c r="B141" s="149" t="e">
        <f>SUM(DI139:DM139)/100/Lote_34</f>
        <v>#DIV/0!</v>
      </c>
      <c r="C141" s="149" t="e">
        <f>SUM(DN139:DQ139)/100/Lote_34</f>
        <v>#DIV/0!</v>
      </c>
      <c r="D141" s="149" t="e">
        <f>SUM(DS139:DW139)/100/Lote_34</f>
        <v>#DIV/0!</v>
      </c>
      <c r="E141" s="149" t="e">
        <f>SUM(DX139:EB139)/100/Lote_34</f>
        <v>#DIV/0!</v>
      </c>
      <c r="F141" s="149" t="e">
        <f>SUM(EC139:EG139)/100/Lote_34</f>
        <v>#DIV/0!</v>
      </c>
      <c r="G141" s="149" t="e">
        <f>SUM(EH139:EL139)/100/Lote_34</f>
        <v>#DIV/0!</v>
      </c>
      <c r="H141" s="149" t="e">
        <f>SUM(EM139:EQ139)/100/Lote_34</f>
        <v>#DIV/0!</v>
      </c>
      <c r="I141" s="149" t="e">
        <f>SUM(ER139:EV139)/100/Lote_34</f>
        <v>#DIV/0!</v>
      </c>
      <c r="J141" s="149" t="e">
        <f>SUM(EW139:FA139)/100/Lote_34</f>
        <v>#DIV/0!</v>
      </c>
      <c r="K141" s="149" t="e">
        <f>SUM(FB139:FF139)/100/Lote_34</f>
        <v>#DIV/0!</v>
      </c>
      <c r="L141" s="149" t="e">
        <f>SUM(FG139:FK139)/100/Lote_34</f>
        <v>#DIV/0!</v>
      </c>
      <c r="M141" s="149" t="e">
        <f>SUM(FL139:FP139)/100/Lote_34</f>
        <v>#DIV/0!</v>
      </c>
    </row>
    <row r="142" spans="1:172" ht="21" customHeight="1" x14ac:dyDescent="0.3">
      <c r="A142" s="233">
        <f>N_L35</f>
        <v>0</v>
      </c>
      <c r="B142" s="363" t="s">
        <v>37</v>
      </c>
      <c r="C142" s="363" t="s">
        <v>37</v>
      </c>
      <c r="D142" s="363" t="s">
        <v>37</v>
      </c>
      <c r="E142" s="363" t="s">
        <v>37</v>
      </c>
      <c r="F142" s="363" t="s">
        <v>37</v>
      </c>
      <c r="G142" s="363" t="s">
        <v>37</v>
      </c>
      <c r="H142" s="363" t="s">
        <v>37</v>
      </c>
      <c r="I142" s="363" t="s">
        <v>37</v>
      </c>
      <c r="J142" s="363" t="s">
        <v>37</v>
      </c>
      <c r="K142" s="363" t="s">
        <v>37</v>
      </c>
      <c r="L142" s="363" t="s">
        <v>37</v>
      </c>
      <c r="M142" s="363" t="s">
        <v>37</v>
      </c>
    </row>
    <row r="143" spans="1:172" ht="21" customHeight="1" x14ac:dyDescent="0.3">
      <c r="A143" s="4" t="s">
        <v>237</v>
      </c>
      <c r="B143" s="7"/>
      <c r="C143" s="7"/>
      <c r="D143" s="275"/>
      <c r="E143" s="275"/>
      <c r="F143" s="275"/>
      <c r="G143" s="275"/>
      <c r="H143" s="275"/>
      <c r="I143" s="275"/>
      <c r="J143" s="275"/>
      <c r="K143" s="275"/>
      <c r="L143" s="275"/>
      <c r="M143" s="275"/>
      <c r="O143" s="58">
        <f>Área_L35*D_L35*A1_L35</f>
        <v>0</v>
      </c>
      <c r="P143" s="58">
        <f>Área_L35*D_L35*A2_L35</f>
        <v>0</v>
      </c>
      <c r="Q143" s="58">
        <f>Área_L35*D_L35*A3_L35</f>
        <v>0</v>
      </c>
      <c r="R143" s="58">
        <f>Área_L35*D_L35*A4_L35</f>
        <v>0</v>
      </c>
      <c r="S143" s="58">
        <f>Área_L35*D_L35*A5_L35</f>
        <v>0</v>
      </c>
      <c r="T143" s="58">
        <f>Área_L35*D_L35*A6_L35</f>
        <v>0</v>
      </c>
      <c r="U143" s="58">
        <f>Área_L35*D_L35*A7_L35</f>
        <v>0</v>
      </c>
      <c r="V143" s="58">
        <f>Área_L35*D_L35*A8_L35</f>
        <v>0</v>
      </c>
      <c r="W143" s="58">
        <f>Área_L35*D_L35*A9_L35</f>
        <v>0</v>
      </c>
      <c r="X143" s="58">
        <f>Área_L35*D_L35*A10_L35</f>
        <v>0</v>
      </c>
      <c r="Y143" s="58">
        <f>Área_L35*D_L35*A11_L35</f>
        <v>0</v>
      </c>
      <c r="Z143" s="58">
        <f>Área_L35*D_L35*A12_L35</f>
        <v>0</v>
      </c>
      <c r="AB143" s="58">
        <f>IF($B142="Producción",IF($B143&gt;=LI_A,$O143,0),0)</f>
        <v>0</v>
      </c>
      <c r="AC143" s="58">
        <f>IF($B142="Producción",IF($B143&gt;=LI_B,IF($B143&lt;LS_B,$O143,0),0),0)</f>
        <v>0</v>
      </c>
      <c r="AD143" s="58">
        <f>IF($B142="Producción",IF($B143&gt;=LI_C,IF($B143&lt;LS_C,$O143,0),0),0)</f>
        <v>0</v>
      </c>
      <c r="AE143" s="58">
        <f>IF($B142="Producción",IF($B143&lt;=LS_D,$O143,0),0)</f>
        <v>0</v>
      </c>
      <c r="AF143" s="365">
        <f>IF($B142="Crecimiento",$O143,0)</f>
        <v>0</v>
      </c>
      <c r="AG143" s="365">
        <f>IF($B142="Siembra",$O143,0)</f>
        <v>0</v>
      </c>
      <c r="AH143" s="365">
        <f>IF($B142="Abandono",$O143,0)</f>
        <v>0</v>
      </c>
      <c r="AI143" s="365">
        <f>IF($C142="Producción",IF($C143&gt;=LI_A,$P143,0),0)</f>
        <v>0</v>
      </c>
      <c r="AJ143" s="365">
        <f>IF($C142="Producción",IF($C143&gt;=LI_B,IF($C143&lt;LS_B,$P143,0),0),0)</f>
        <v>0</v>
      </c>
      <c r="AK143" s="365">
        <f>IF($C142="Producción",IF($C143&gt;=LI_C,IF($C143&lt;LS_C,$P143,0),0),0)</f>
        <v>0</v>
      </c>
      <c r="AL143" s="365">
        <f>IF($C142="Producción",IF(C143&lt;=LS_D,$P143,0),0)</f>
        <v>0</v>
      </c>
      <c r="AM143" s="365">
        <f>IF($C142="Crecimiento",$P143,0)</f>
        <v>0</v>
      </c>
      <c r="AN143" s="365">
        <f>IF($C142="Siembra",$P143,0)</f>
        <v>0</v>
      </c>
      <c r="AO143" s="365">
        <f>IF($C142="Abandono",$P143,0)</f>
        <v>0</v>
      </c>
      <c r="AP143" s="365">
        <f>IF($D142="Producción",IF($D143&gt;=LI_A,$Q143,0),0)</f>
        <v>0</v>
      </c>
      <c r="AQ143" s="365">
        <f>IF($D142="Producción",IF($D143&gt;=LI_B,IF($D143&lt;LS_B,$Q143,0),0),0)</f>
        <v>0</v>
      </c>
      <c r="AR143" s="365">
        <f>IF($D142="Producción",IF($D143&gt;=LI_C,IF($D143&lt;LS_C,$Q143,0),0),0)</f>
        <v>0</v>
      </c>
      <c r="AS143" s="365">
        <f>IF($D142="Producción",IF($D143&lt;=LS_D,$Q143,0),0)</f>
        <v>0</v>
      </c>
      <c r="AT143" s="365">
        <f>IF($D142="Crecimiento",$Q143,0)</f>
        <v>0</v>
      </c>
      <c r="AU143" s="365">
        <f>IF($D142="Siembra",$Q143,0)</f>
        <v>0</v>
      </c>
      <c r="AV143" s="365">
        <f>IF($D142="Abandono",$Q143,0)</f>
        <v>0</v>
      </c>
      <c r="AW143" s="365">
        <f>IF($E142="Producción",IF($E143&gt;=LI_A,$R143,0),0)</f>
        <v>0</v>
      </c>
      <c r="AX143" s="365">
        <f>IF($E142="Producción",IF($E143&gt;=LI_B,IF($E143&lt;LS_B,$R143,0),0),0)</f>
        <v>0</v>
      </c>
      <c r="AY143" s="365">
        <f>IF($E142="Producción",IF($E143&gt;=LI_C,IF($E143&lt;LS_C,$R143,0),0),0)</f>
        <v>0</v>
      </c>
      <c r="AZ143" s="365">
        <f>IF($E142="Producción",IF($E143&lt;=LS_D,$R143,0),0)</f>
        <v>0</v>
      </c>
      <c r="BA143" s="365">
        <f>IF($E142="Crecimiento",$R143,0)</f>
        <v>0</v>
      </c>
      <c r="BB143" s="365">
        <f>IF($E142="Siembra",$R143,0)</f>
        <v>0</v>
      </c>
      <c r="BC143" s="365">
        <f>IF($E142="Abandono",$R143,0)</f>
        <v>0</v>
      </c>
      <c r="BD143" s="365">
        <f>IF($F142="Producción",IF($F143&gt;=LI_A,$S143,0),0)</f>
        <v>0</v>
      </c>
      <c r="BE143" s="365">
        <f>IF($F142="Producción",IF($F143&gt;=LI_B,IF($F143&lt;LS_B,$S143,0),0),0)</f>
        <v>0</v>
      </c>
      <c r="BF143" s="365">
        <f>IF($F142="Producción",IF($F143&gt;=LI_C,IF($F143&lt;LS_C,$S143,0),0),0)</f>
        <v>0</v>
      </c>
      <c r="BG143" s="365">
        <f>IF($F142="Producción",IF($F143&lt;=LS_D,$S143,0),0)</f>
        <v>0</v>
      </c>
      <c r="BH143" s="365">
        <f>IF($F142="Crecimiento",$S143,0)</f>
        <v>0</v>
      </c>
      <c r="BI143" s="365">
        <f>IF($F142="Siembra",$S143,0)</f>
        <v>0</v>
      </c>
      <c r="BJ143" s="365">
        <f>IF($F142="Abandono",$S143,0)</f>
        <v>0</v>
      </c>
      <c r="BK143" s="365">
        <f>IF($G142="Producción",IF($G143&gt;=LI_A,$T143,0),0)</f>
        <v>0</v>
      </c>
      <c r="BL143" s="365">
        <f>IF($G142="Producción",IF($G143&gt;=LI_B,IF($G143&lt;LS_B,$T143,0),0),0)</f>
        <v>0</v>
      </c>
      <c r="BM143" s="365">
        <f>IF($G142="Producción",IF($G143&gt;=LI_C,IF($G143&lt;LS_C,$T143,0),0),0)</f>
        <v>0</v>
      </c>
      <c r="BN143" s="365">
        <f>IF($G142="Producción",IF($G143&lt;=LS_D,$T143,0),0)</f>
        <v>0</v>
      </c>
      <c r="BO143" s="365">
        <f>IF($G142="Crecimiento",$T143,0)</f>
        <v>0</v>
      </c>
      <c r="BP143" s="365">
        <f>IF($G142="Siembra",$T143,0)</f>
        <v>0</v>
      </c>
      <c r="BQ143" s="365">
        <f>IF($G142="Abandono",$T143,0)</f>
        <v>0</v>
      </c>
      <c r="BR143" s="365">
        <f>IF($H142="Producción",IF($H143&gt;=LI_A,$U143,0),0)</f>
        <v>0</v>
      </c>
      <c r="BS143" s="365">
        <f>IF($H142="Producción",IF($H143&gt;=LI_B,IF($H143&lt;LS_B,$U143,0),0),0)</f>
        <v>0</v>
      </c>
      <c r="BT143" s="365">
        <f>IF($H142="Producción",IF($H143&gt;=LI_C,IF($H143&lt;LS_C,$U143,0),0),0)</f>
        <v>0</v>
      </c>
      <c r="BU143" s="365">
        <f>IF($H142="Producción",IF($H143&lt;=LS_D,$U143,0),0)</f>
        <v>0</v>
      </c>
      <c r="BV143" s="365">
        <f>IF($H142="Crecimiento",$U143,0)</f>
        <v>0</v>
      </c>
      <c r="BW143" s="365">
        <f>IF($H142="Siembra",$U143,0)</f>
        <v>0</v>
      </c>
      <c r="BX143" s="365">
        <f>IF($H142="Abandono",$U143,0)</f>
        <v>0</v>
      </c>
      <c r="BY143" s="365">
        <f>IF($I142="Producción",IF($I143&gt;=LI_A,$V143,0),0)</f>
        <v>0</v>
      </c>
      <c r="BZ143" s="365">
        <f>IF($I142="Producción",IF($I143&gt;=LI_B,IF($I143&lt;LS_B,$V143,0),0),0)</f>
        <v>0</v>
      </c>
      <c r="CA143" s="365">
        <f>IF($I142="Producción",IF($I143&gt;=LI_C,IF($I143&lt;LS_C,$V143,0),0),0)</f>
        <v>0</v>
      </c>
      <c r="CB143" s="365">
        <f>IF($I142="Producción",IF($I143&lt;=LS_D,$V143,0),0)</f>
        <v>0</v>
      </c>
      <c r="CC143" s="365">
        <f>IF($I142="Crecimiento",$V143,0)</f>
        <v>0</v>
      </c>
      <c r="CD143" s="365">
        <f>IF($I142="Siembra",$V143,0)</f>
        <v>0</v>
      </c>
      <c r="CE143" s="365">
        <f>IF($I142="Abandono",$V143,0)</f>
        <v>0</v>
      </c>
      <c r="CF143" s="365">
        <f>IF($J142="Producción",IF($J143&gt;=LI_A,$W143,0),0)</f>
        <v>0</v>
      </c>
      <c r="CG143" s="365">
        <f>IF($J142="Producción",IF($J143&gt;=LI_B,IF($J143&lt;LS_B,$W143,0),0),0)</f>
        <v>0</v>
      </c>
      <c r="CH143" s="365">
        <f>IF($J142="Producción",IF($J143&gt;=LI_C,IF($J143&lt;LS_C,$W143,0),0),0)</f>
        <v>0</v>
      </c>
      <c r="CI143" s="365">
        <f>IF($J142="Producción",IF($J143&lt;=LS_D,$W143,0),0)</f>
        <v>0</v>
      </c>
      <c r="CJ143" s="365">
        <f>IF($J142="Crecimiento",$W143,0)</f>
        <v>0</v>
      </c>
      <c r="CK143" s="365">
        <f>IF($J142="Siembra",$W143,0)</f>
        <v>0</v>
      </c>
      <c r="CL143" s="365">
        <f>IF($J142="Abandono",$W143,0)</f>
        <v>0</v>
      </c>
      <c r="CM143" s="365">
        <f>IF($K142="Producción",IF($K143&gt;=LI_A,$X143,0),0)</f>
        <v>0</v>
      </c>
      <c r="CN143" s="365">
        <f>IF($K142="Producción",IF($K143&gt;=LI_B,IF($K143&lt;LS_B,$X143,0),0),0)</f>
        <v>0</v>
      </c>
      <c r="CO143" s="365">
        <f>IF($K142="Producción",IF($K143&gt;=LI_C,IF($K143&lt;LS_C,$X143,0),0),0)</f>
        <v>0</v>
      </c>
      <c r="CP143" s="365">
        <f>IF($K142="Producción",IF($K143&lt;=LS_D,$X143,0),0)</f>
        <v>0</v>
      </c>
      <c r="CQ143" s="365">
        <f>IF($K142="Crecimiento",IF($K143&gt;0,$X143,0),0)</f>
        <v>0</v>
      </c>
      <c r="CR143" s="365">
        <f>IF($K142="Siembra",IF($K143&gt;0,$X143,0),0)</f>
        <v>0</v>
      </c>
      <c r="CS143" s="365">
        <f>IF($K142="Abandono",IF($K143&gt;0,$X143,0),0)</f>
        <v>0</v>
      </c>
      <c r="CT143" s="365">
        <f>IF($L142="Producción",IF($L143&gt;=LI_A,$Y143,0),0)</f>
        <v>0</v>
      </c>
      <c r="CU143" s="365">
        <f>IF($L142="Producción",IF($L143&gt;=LI_B,IF($L143&lt;LS_B,$Y143,0),0),0)</f>
        <v>0</v>
      </c>
      <c r="CV143" s="365">
        <f>IF($L142="Producción",IF($L143&gt;=LI_C,IF($L143&lt;LS_C,$Y143,0),0),0)</f>
        <v>0</v>
      </c>
      <c r="CW143" s="365">
        <f>IF($L142="Producción",IF($L143&lt;=LS_D,$Y143,0),0)</f>
        <v>0</v>
      </c>
      <c r="CX143" s="365">
        <f>IF($L142="Crecimiento",$Y143,0)</f>
        <v>0</v>
      </c>
      <c r="CY143" s="365">
        <f>IF($L142="Siembra",$Y143,0)</f>
        <v>0</v>
      </c>
      <c r="CZ143" s="365">
        <f>IF($L142="Abandono",$Y143,0)</f>
        <v>0</v>
      </c>
      <c r="DA143" s="365">
        <f>IF($M142="Producción",IF($M143&gt;=LI_A,$Z143,0),0)</f>
        <v>0</v>
      </c>
      <c r="DB143" s="365">
        <f>IF($M142="Producción",IF($M143&gt;=LI_B,IF($M143&lt;LS_B,$Z143,0),0),0)</f>
        <v>0</v>
      </c>
      <c r="DC143" s="365">
        <f>IF($M142="Producción",IF($M143&gt;=LI_C,IF($M143&lt;LS_C,$Z143,0),0),0)</f>
        <v>0</v>
      </c>
      <c r="DD143" s="365">
        <f>IF($M142="Producción",IF($M143&lt;=LS_D,$Z143,0),0)</f>
        <v>0</v>
      </c>
      <c r="DE143" s="365">
        <f>IF($M142="Crecimiento",$Z143,0)</f>
        <v>0</v>
      </c>
      <c r="DF143" s="365">
        <f>IF($M142="Siembra",$Z143,0)</f>
        <v>0</v>
      </c>
      <c r="DG143" s="365">
        <f>IF($M142="Abandono",$Z143,0)</f>
        <v>0</v>
      </c>
      <c r="DI143" s="58">
        <f>AB143*$B143</f>
        <v>0</v>
      </c>
      <c r="DJ143" s="58">
        <f>AC143*$B143</f>
        <v>0</v>
      </c>
      <c r="DK143" s="58">
        <f>AD143*$B143</f>
        <v>0</v>
      </c>
      <c r="DL143" s="58">
        <f>AE143*$B143</f>
        <v>0</v>
      </c>
      <c r="DM143" s="365">
        <f>AF143*$B143</f>
        <v>0</v>
      </c>
      <c r="DN143" s="365">
        <f>AI143*$C143</f>
        <v>0</v>
      </c>
      <c r="DO143" s="365">
        <f>AJ143*$C143</f>
        <v>0</v>
      </c>
      <c r="DP143" s="365">
        <f>AK143*$C143</f>
        <v>0</v>
      </c>
      <c r="DQ143" s="365">
        <f>AL143*$C143</f>
        <v>0</v>
      </c>
      <c r="DR143" s="365">
        <f>AM143*$C143</f>
        <v>0</v>
      </c>
      <c r="DS143" s="365">
        <f>AP143*$D143</f>
        <v>0</v>
      </c>
      <c r="DT143" s="365">
        <f>AQ143*$D143</f>
        <v>0</v>
      </c>
      <c r="DU143" s="365">
        <f>AR143*$D143</f>
        <v>0</v>
      </c>
      <c r="DV143" s="365">
        <f>AS143*$D143</f>
        <v>0</v>
      </c>
      <c r="DW143" s="365">
        <f>AT143*$D143</f>
        <v>0</v>
      </c>
      <c r="DX143" s="365">
        <f>AW143*$E143</f>
        <v>0</v>
      </c>
      <c r="DY143" s="365">
        <f>AX143*$E143</f>
        <v>0</v>
      </c>
      <c r="DZ143" s="365">
        <f>AY143*$E143</f>
        <v>0</v>
      </c>
      <c r="EA143" s="365">
        <f>AZ143*$E143</f>
        <v>0</v>
      </c>
      <c r="EB143" s="365">
        <f>BA143*$E143</f>
        <v>0</v>
      </c>
      <c r="EC143" s="365">
        <f>BD143*$F143</f>
        <v>0</v>
      </c>
      <c r="ED143" s="365">
        <f>BE143*$F143</f>
        <v>0</v>
      </c>
      <c r="EE143" s="365">
        <f>BF143*$F143</f>
        <v>0</v>
      </c>
      <c r="EF143" s="365">
        <f>BG143*$F143</f>
        <v>0</v>
      </c>
      <c r="EG143" s="365">
        <f>BH143*$F143</f>
        <v>0</v>
      </c>
      <c r="EH143" s="365">
        <f>BK143*$G143</f>
        <v>0</v>
      </c>
      <c r="EI143" s="365">
        <f>BL143*$G143</f>
        <v>0</v>
      </c>
      <c r="EJ143" s="365">
        <f>BM143*$G143</f>
        <v>0</v>
      </c>
      <c r="EK143" s="365">
        <f>BN143*$G143</f>
        <v>0</v>
      </c>
      <c r="EL143" s="365">
        <f>BO143*$G143</f>
        <v>0</v>
      </c>
      <c r="EM143" s="365">
        <f>BR143*$H143</f>
        <v>0</v>
      </c>
      <c r="EN143" s="365">
        <f>BS143*$H143</f>
        <v>0</v>
      </c>
      <c r="EO143" s="365">
        <f>BT143*$H143</f>
        <v>0</v>
      </c>
      <c r="EP143" s="365">
        <f>BU143*$H143</f>
        <v>0</v>
      </c>
      <c r="EQ143" s="365">
        <f>BV143*$H143</f>
        <v>0</v>
      </c>
      <c r="ER143" s="365">
        <f>BY143*$I143</f>
        <v>0</v>
      </c>
      <c r="ES143" s="365">
        <f>BZ143*$I143</f>
        <v>0</v>
      </c>
      <c r="ET143" s="365">
        <f>CA143*$I143</f>
        <v>0</v>
      </c>
      <c r="EU143" s="365">
        <f>CB143*$I143</f>
        <v>0</v>
      </c>
      <c r="EV143" s="365">
        <f>CC143*$I143</f>
        <v>0</v>
      </c>
      <c r="EW143" s="365">
        <f>CF143*$J143</f>
        <v>0</v>
      </c>
      <c r="EX143" s="365">
        <f>CG143*$J143</f>
        <v>0</v>
      </c>
      <c r="EY143" s="365">
        <f>CH143*$J143</f>
        <v>0</v>
      </c>
      <c r="EZ143" s="365">
        <f>CI143*$J143</f>
        <v>0</v>
      </c>
      <c r="FA143" s="365">
        <f>CJ143*$J143</f>
        <v>0</v>
      </c>
      <c r="FB143" s="365">
        <f>CM143*$K143</f>
        <v>0</v>
      </c>
      <c r="FC143" s="365">
        <f>CN143*$K143</f>
        <v>0</v>
      </c>
      <c r="FD143" s="365">
        <f>CO143*$K143</f>
        <v>0</v>
      </c>
      <c r="FE143" s="365">
        <f>CP143*$K143</f>
        <v>0</v>
      </c>
      <c r="FF143" s="365">
        <f>CQ143*$K143</f>
        <v>0</v>
      </c>
      <c r="FG143" s="365">
        <f>CT143*$L143</f>
        <v>0</v>
      </c>
      <c r="FH143" s="365">
        <f>CU143*$L143</f>
        <v>0</v>
      </c>
      <c r="FI143" s="365">
        <f>CV143*$L143</f>
        <v>0</v>
      </c>
      <c r="FJ143" s="365">
        <f>CW143*$L143</f>
        <v>0</v>
      </c>
      <c r="FK143" s="365">
        <f>CX143*$L143</f>
        <v>0</v>
      </c>
      <c r="FL143" s="365">
        <f>DA143*$M143</f>
        <v>0</v>
      </c>
      <c r="FM143" s="365">
        <f t="shared" ref="FM143" si="104">DB143*$M143</f>
        <v>0</v>
      </c>
      <c r="FN143" s="365">
        <f>DC143*$M143</f>
        <v>0</v>
      </c>
      <c r="FO143" s="365">
        <f t="shared" ref="FO143" si="105">DD143*$M143</f>
        <v>0</v>
      </c>
      <c r="FP143" s="365">
        <f t="shared" ref="FP143" si="106">DE143*$M143</f>
        <v>0</v>
      </c>
    </row>
    <row r="144" spans="1:172" ht="21" customHeight="1" x14ac:dyDescent="0.3">
      <c r="A144" s="277" t="s">
        <v>238</v>
      </c>
      <c r="B144" s="278">
        <f>SUM(DI143:DM143)/100</f>
        <v>0</v>
      </c>
      <c r="C144" s="278">
        <f>SUM(DN143:DQ143)/100</f>
        <v>0</v>
      </c>
      <c r="D144" s="279">
        <f>SUM(DS143:DW143)/100</f>
        <v>0</v>
      </c>
      <c r="E144" s="279">
        <f>SUM(DX143:EB143)/100</f>
        <v>0</v>
      </c>
      <c r="F144" s="279">
        <f>SUM(EC143:EG143)/100</f>
        <v>0</v>
      </c>
      <c r="G144" s="279">
        <f>SUM(EH143:EL143)/100</f>
        <v>0</v>
      </c>
      <c r="H144" s="279">
        <f>SUM(EM143:EQ143)/100</f>
        <v>0</v>
      </c>
      <c r="I144" s="279">
        <f>SUM(ER143:EV143)/100</f>
        <v>0</v>
      </c>
      <c r="J144" s="279">
        <f>SUM(EW143:FA143)/100</f>
        <v>0</v>
      </c>
      <c r="K144" s="279">
        <f>SUM(FB143:FF143)/100</f>
        <v>0</v>
      </c>
      <c r="L144" s="279">
        <f>SUM(FG143:FK143)/100</f>
        <v>0</v>
      </c>
      <c r="M144" s="279">
        <f>SUM(FL143:FP143)/100</f>
        <v>0</v>
      </c>
      <c r="AG144" s="365"/>
      <c r="AH144" s="365"/>
      <c r="AI144" s="365"/>
      <c r="AJ144" s="365"/>
      <c r="AK144" s="365"/>
      <c r="AL144" s="365"/>
      <c r="AM144" s="365"/>
      <c r="AN144" s="365"/>
      <c r="AO144" s="365"/>
      <c r="AP144" s="365"/>
      <c r="AQ144" s="365"/>
      <c r="AR144" s="365"/>
      <c r="AS144" s="365"/>
      <c r="AT144" s="365"/>
      <c r="AU144" s="365"/>
      <c r="AV144" s="365"/>
      <c r="AW144" s="365"/>
      <c r="AX144" s="365"/>
      <c r="AY144" s="365"/>
      <c r="AZ144" s="365"/>
      <c r="BA144" s="365"/>
      <c r="BB144" s="365"/>
      <c r="BC144" s="365"/>
      <c r="BD144" s="365"/>
      <c r="BE144" s="365"/>
      <c r="BF144" s="365"/>
      <c r="BG144" s="365"/>
      <c r="BH144" s="365"/>
      <c r="BI144" s="365"/>
      <c r="BJ144" s="365"/>
      <c r="BK144" s="365"/>
      <c r="BL144" s="365"/>
      <c r="BM144" s="365"/>
      <c r="BN144" s="365"/>
      <c r="BO144" s="365"/>
      <c r="BP144" s="365"/>
      <c r="BQ144" s="365"/>
      <c r="BR144" s="365"/>
      <c r="BS144" s="365"/>
      <c r="BT144" s="365"/>
      <c r="BU144" s="365"/>
      <c r="BV144" s="365"/>
      <c r="BW144" s="365"/>
      <c r="BX144" s="365"/>
      <c r="BY144" s="365"/>
      <c r="BZ144" s="365"/>
      <c r="CA144" s="365"/>
      <c r="CB144" s="365"/>
      <c r="CC144" s="365"/>
      <c r="CD144" s="365"/>
      <c r="CE144" s="365"/>
      <c r="CF144" s="365"/>
      <c r="CG144" s="365"/>
      <c r="CH144" s="365"/>
      <c r="CI144" s="365"/>
      <c r="CJ144" s="365"/>
      <c r="CK144" s="365"/>
      <c r="CL144" s="365"/>
      <c r="CM144" s="365"/>
      <c r="CN144" s="365"/>
      <c r="CO144" s="365"/>
      <c r="CP144" s="365"/>
      <c r="CQ144" s="365"/>
      <c r="CR144" s="365"/>
      <c r="CS144" s="365"/>
      <c r="CT144" s="365"/>
      <c r="CU144" s="365"/>
      <c r="CV144" s="365"/>
      <c r="CW144" s="365"/>
      <c r="CX144" s="365"/>
      <c r="CY144" s="365"/>
      <c r="CZ144" s="365"/>
      <c r="DA144" s="365"/>
      <c r="DB144" s="365"/>
      <c r="DC144" s="365"/>
      <c r="DD144" s="365"/>
      <c r="DE144" s="365"/>
      <c r="DF144" s="365"/>
      <c r="DG144" s="365"/>
      <c r="DM144" s="365"/>
      <c r="DN144" s="365"/>
      <c r="DO144" s="365"/>
      <c r="DP144" s="365"/>
      <c r="DQ144" s="365"/>
      <c r="DR144" s="365"/>
      <c r="DS144" s="365"/>
      <c r="DT144" s="365"/>
      <c r="DU144" s="365"/>
      <c r="DV144" s="365"/>
      <c r="DW144" s="365"/>
      <c r="DX144" s="365"/>
      <c r="DY144" s="365"/>
      <c r="DZ144" s="365"/>
      <c r="EA144" s="365"/>
      <c r="EB144" s="365"/>
      <c r="EC144" s="365"/>
      <c r="ED144" s="365"/>
      <c r="EE144" s="365"/>
      <c r="EF144" s="365"/>
      <c r="EG144" s="365"/>
      <c r="EH144" s="365"/>
      <c r="EI144" s="365"/>
      <c r="EJ144" s="365"/>
      <c r="EK144" s="365"/>
      <c r="EL144" s="365"/>
      <c r="EM144" s="365"/>
      <c r="EN144" s="365"/>
      <c r="EO144" s="365"/>
      <c r="EP144" s="365"/>
      <c r="EQ144" s="365"/>
      <c r="ER144" s="365"/>
      <c r="ES144" s="365"/>
      <c r="ET144" s="365"/>
      <c r="EU144" s="365"/>
      <c r="EV144" s="365"/>
      <c r="EW144" s="365"/>
      <c r="EX144" s="365"/>
      <c r="EY144" s="365"/>
      <c r="EZ144" s="365"/>
      <c r="FA144" s="365"/>
      <c r="FB144" s="365"/>
      <c r="FC144" s="365"/>
      <c r="FD144" s="365"/>
      <c r="FE144" s="365"/>
      <c r="FF144" s="365"/>
      <c r="FG144" s="365"/>
      <c r="FH144" s="365"/>
      <c r="FI144" s="365"/>
      <c r="FJ144" s="365"/>
      <c r="FK144" s="365"/>
      <c r="FL144" s="365"/>
      <c r="FM144" s="365"/>
      <c r="FN144" s="365"/>
      <c r="FO144" s="365"/>
      <c r="FP144" s="365"/>
    </row>
    <row r="145" spans="1:172" ht="21" customHeight="1" x14ac:dyDescent="0.3">
      <c r="A145" s="150" t="s">
        <v>239</v>
      </c>
      <c r="B145" s="149" t="e">
        <f>SUM(DI143:DM143)/100/Lote_35</f>
        <v>#DIV/0!</v>
      </c>
      <c r="C145" s="149" t="e">
        <f>SUM(DN143:DQ143)/100/Lote_35</f>
        <v>#DIV/0!</v>
      </c>
      <c r="D145" s="149" t="e">
        <f>SUM(DS143:DW143)/100/Lote_35</f>
        <v>#DIV/0!</v>
      </c>
      <c r="E145" s="149" t="e">
        <f>SUM(DX143:EB143)/100/Lote_35</f>
        <v>#DIV/0!</v>
      </c>
      <c r="F145" s="149" t="e">
        <f>SUM(EC143:EG143)/100/Lote_35</f>
        <v>#DIV/0!</v>
      </c>
      <c r="G145" s="149" t="e">
        <f>SUM(EH143:EL143)/100/Lote_35</f>
        <v>#DIV/0!</v>
      </c>
      <c r="H145" s="149" t="e">
        <f>SUM(EM143:EQ143)/100/Lote_35</f>
        <v>#DIV/0!</v>
      </c>
      <c r="I145" s="149" t="e">
        <f>SUM(ER143:EV143)/100/Lote_35</f>
        <v>#DIV/0!</v>
      </c>
      <c r="J145" s="149" t="e">
        <f>SUM(EW143:FA143)/100/Lote_35</f>
        <v>#DIV/0!</v>
      </c>
      <c r="K145" s="149" t="e">
        <f>SUM(FB143:FF143)/100/Lote_35</f>
        <v>#DIV/0!</v>
      </c>
      <c r="L145" s="149" t="e">
        <f>SUM(FG143:FK143)/100/Lote_35</f>
        <v>#DIV/0!</v>
      </c>
      <c r="M145" s="149" t="e">
        <f>SUM(FL143:FP143)/100/Lote_35</f>
        <v>#DIV/0!</v>
      </c>
    </row>
    <row r="146" spans="1:172" ht="21" customHeight="1" x14ac:dyDescent="0.3">
      <c r="A146" s="233">
        <f>N_L36</f>
        <v>0</v>
      </c>
      <c r="B146" s="363" t="s">
        <v>37</v>
      </c>
      <c r="C146" s="363" t="s">
        <v>37</v>
      </c>
      <c r="D146" s="363" t="s">
        <v>37</v>
      </c>
      <c r="E146" s="363" t="s">
        <v>37</v>
      </c>
      <c r="F146" s="363" t="s">
        <v>37</v>
      </c>
      <c r="G146" s="363" t="s">
        <v>37</v>
      </c>
      <c r="H146" s="363" t="s">
        <v>37</v>
      </c>
      <c r="I146" s="363" t="s">
        <v>37</v>
      </c>
      <c r="J146" s="363" t="s">
        <v>37</v>
      </c>
      <c r="K146" s="363" t="s">
        <v>37</v>
      </c>
      <c r="L146" s="363" t="s">
        <v>37</v>
      </c>
      <c r="M146" s="363" t="s">
        <v>37</v>
      </c>
    </row>
    <row r="147" spans="1:172" ht="21" customHeight="1" x14ac:dyDescent="0.3">
      <c r="A147" s="4" t="s">
        <v>237</v>
      </c>
      <c r="B147" s="7"/>
      <c r="C147" s="7"/>
      <c r="D147" s="275"/>
      <c r="E147" s="275"/>
      <c r="F147" s="275"/>
      <c r="G147" s="275"/>
      <c r="H147" s="275"/>
      <c r="I147" s="275"/>
      <c r="J147" s="275"/>
      <c r="K147" s="275"/>
      <c r="L147" s="275"/>
      <c r="M147" s="275"/>
      <c r="O147" s="58">
        <f>Área_L36*D_L36*A1_L36</f>
        <v>0</v>
      </c>
      <c r="P147" s="58">
        <f>Área_L36*D_L36*A2_L36</f>
        <v>0</v>
      </c>
      <c r="Q147" s="58">
        <f>Área_L36*D_L36*A3_L36</f>
        <v>0</v>
      </c>
      <c r="R147" s="58">
        <f>Área_L36*D_L36*A4_L36</f>
        <v>0</v>
      </c>
      <c r="S147" s="58">
        <f>Área_L36*D_L36*A5_L36</f>
        <v>0</v>
      </c>
      <c r="T147" s="58">
        <f>Área_L36*D_L36*A6_L36</f>
        <v>0</v>
      </c>
      <c r="U147" s="58">
        <f>Área_L36*D_L36*A7_L36</f>
        <v>0</v>
      </c>
      <c r="V147" s="58">
        <f>Área_L36*D_L36*A8_L36</f>
        <v>0</v>
      </c>
      <c r="W147" s="58">
        <f>Área_L36*D_L36*A9_L36</f>
        <v>0</v>
      </c>
      <c r="X147" s="58">
        <f>Área_L36*D_L36*A10_L36</f>
        <v>0</v>
      </c>
      <c r="Y147" s="58">
        <f>Área_L36*D_L36*A11_L36</f>
        <v>0</v>
      </c>
      <c r="Z147" s="58">
        <f>Área_L36*D_L36*A12_L36</f>
        <v>0</v>
      </c>
      <c r="AB147" s="58">
        <f>IF($B146="Producción",IF($B147&gt;=LI_A,$O147,0),0)</f>
        <v>0</v>
      </c>
      <c r="AC147" s="58">
        <f>IF($B146="Producción",IF($B147&gt;=LI_B,IF($B147&lt;LS_B,$O147,0),0),0)</f>
        <v>0</v>
      </c>
      <c r="AD147" s="58">
        <f>IF($B146="Producción",IF($B147&gt;=LI_C,IF($B147&lt;LS_C,$O147,0),0),0)</f>
        <v>0</v>
      </c>
      <c r="AE147" s="58">
        <f>IF($B146="Producción",IF($B147&lt;=LS_D,$O147,0),0)</f>
        <v>0</v>
      </c>
      <c r="AF147" s="365">
        <f>IF($B146="Crecimiento",$O147,0)</f>
        <v>0</v>
      </c>
      <c r="AG147" s="365">
        <f>IF($B146="Siembra",$O147,0)</f>
        <v>0</v>
      </c>
      <c r="AH147" s="365">
        <f>IF($B146="Abandono",$O147,0)</f>
        <v>0</v>
      </c>
      <c r="AI147" s="365">
        <f>IF($C146="Producción",IF($C147&gt;=LI_A,$P147,0),0)</f>
        <v>0</v>
      </c>
      <c r="AJ147" s="365">
        <f>IF($C146="Producción",IF($C147&gt;=LI_B,IF($C147&lt;LS_B,$P147,0),0),0)</f>
        <v>0</v>
      </c>
      <c r="AK147" s="365">
        <f>IF($C146="Producción",IF($C147&gt;=LI_C,IF($C147&lt;LS_C,$P147,0),0),0)</f>
        <v>0</v>
      </c>
      <c r="AL147" s="365">
        <f>IF($C146="Producción",IF(C147&lt;=LS_D,$P147,0),0)</f>
        <v>0</v>
      </c>
      <c r="AM147" s="365">
        <f>IF($C146="Crecimiento",$P147,0)</f>
        <v>0</v>
      </c>
      <c r="AN147" s="365">
        <f>IF($C146="Siembra",$P147,0)</f>
        <v>0</v>
      </c>
      <c r="AO147" s="365">
        <f>IF($C146="Abandono",$P147,0)</f>
        <v>0</v>
      </c>
      <c r="AP147" s="365">
        <f>IF($D146="Producción",IF($D147&gt;=LI_A,$Q147,0),0)</f>
        <v>0</v>
      </c>
      <c r="AQ147" s="365">
        <f>IF($D146="Producción",IF($D147&gt;=LI_B,IF($D147&lt;LS_B,$Q147,0),0),0)</f>
        <v>0</v>
      </c>
      <c r="AR147" s="365">
        <f>IF($D146="Producción",IF($D147&gt;=LI_C,IF($D147&lt;LS_C,$Q147,0),0),0)</f>
        <v>0</v>
      </c>
      <c r="AS147" s="365">
        <f>IF($D146="Producción",IF($D147&lt;=LS_D,$Q147,0),0)</f>
        <v>0</v>
      </c>
      <c r="AT147" s="365">
        <f>IF($D146="Crecimiento",$Q147,0)</f>
        <v>0</v>
      </c>
      <c r="AU147" s="365">
        <f>IF($D146="Siembra",$Q147,0)</f>
        <v>0</v>
      </c>
      <c r="AV147" s="365">
        <f>IF($D146="Abandono",$Q147,0)</f>
        <v>0</v>
      </c>
      <c r="AW147" s="365">
        <f>IF($E146="Producción",IF($E147&gt;=LI_A,$R147,0),0)</f>
        <v>0</v>
      </c>
      <c r="AX147" s="365">
        <f>IF($E146="Producción",IF($E147&gt;=LI_B,IF($E147&lt;LS_B,$R147,0),0),0)</f>
        <v>0</v>
      </c>
      <c r="AY147" s="365">
        <f>IF($E146="Producción",IF($E147&gt;=LI_C,IF($E147&lt;LS_C,$R147,0),0),0)</f>
        <v>0</v>
      </c>
      <c r="AZ147" s="365">
        <f>IF($E146="Producción",IF($E147&lt;=LS_D,$R147,0),0)</f>
        <v>0</v>
      </c>
      <c r="BA147" s="365">
        <f>IF($E146="Crecimiento",$R147,0)</f>
        <v>0</v>
      </c>
      <c r="BB147" s="365">
        <f>IF($E146="Siembra",$R147,0)</f>
        <v>0</v>
      </c>
      <c r="BC147" s="365">
        <f>IF($E146="Abandono",$R147,0)</f>
        <v>0</v>
      </c>
      <c r="BD147" s="365">
        <f>IF($F146="Producción",IF($F147&gt;=LI_A,$S147,0),0)</f>
        <v>0</v>
      </c>
      <c r="BE147" s="365">
        <f>IF($F146="Producción",IF($F147&gt;=LI_B,IF($F147&lt;LS_B,$S147,0),0),0)</f>
        <v>0</v>
      </c>
      <c r="BF147" s="365">
        <f>IF($F146="Producción",IF($F147&gt;=LI_C,IF($F147&lt;LS_C,$S147,0),0),0)</f>
        <v>0</v>
      </c>
      <c r="BG147" s="365">
        <f>IF($F146="Producción",IF($F147&lt;=LS_D,$S147,0),0)</f>
        <v>0</v>
      </c>
      <c r="BH147" s="365">
        <f>IF($F146="Crecimiento",$S147,0)</f>
        <v>0</v>
      </c>
      <c r="BI147" s="365">
        <f>IF($F146="Siembra",$S147,0)</f>
        <v>0</v>
      </c>
      <c r="BJ147" s="365">
        <f>IF($F146="Abandono",$S147,0)</f>
        <v>0</v>
      </c>
      <c r="BK147" s="365">
        <f>IF($G146="Producción",IF($G147&gt;=LI_A,$T147,0),0)</f>
        <v>0</v>
      </c>
      <c r="BL147" s="365">
        <f>IF($G146="Producción",IF($G147&gt;=LI_B,IF($G147&lt;LS_B,$T147,0),0),0)</f>
        <v>0</v>
      </c>
      <c r="BM147" s="365">
        <f>IF($G146="Producción",IF($G147&gt;=LI_C,IF($G147&lt;LS_C,$T147,0),0),0)</f>
        <v>0</v>
      </c>
      <c r="BN147" s="365">
        <f>IF($G146="Producción",IF($G147&lt;=LS_D,$T147,0),0)</f>
        <v>0</v>
      </c>
      <c r="BO147" s="365">
        <f>IF($G146="Crecimiento",$T147,0)</f>
        <v>0</v>
      </c>
      <c r="BP147" s="365">
        <f>IF($G146="Siembra",$T147,0)</f>
        <v>0</v>
      </c>
      <c r="BQ147" s="365">
        <f>IF($G146="Abandono",$T147,0)</f>
        <v>0</v>
      </c>
      <c r="BR147" s="365">
        <f>IF($H146="Producción",IF($H147&gt;=LI_A,$U147,0),0)</f>
        <v>0</v>
      </c>
      <c r="BS147" s="365">
        <f>IF($H146="Producción",IF($H147&gt;=LI_B,IF($H147&lt;LS_B,$U147,0),0),0)</f>
        <v>0</v>
      </c>
      <c r="BT147" s="365">
        <f>IF($H146="Producción",IF($H147&gt;=LI_C,IF($H147&lt;LS_C,$U147,0),0),0)</f>
        <v>0</v>
      </c>
      <c r="BU147" s="365">
        <f>IF($H146="Producción",IF($H147&lt;=LS_D,$U147,0),0)</f>
        <v>0</v>
      </c>
      <c r="BV147" s="365">
        <f>IF($H146="Crecimiento",$U147,0)</f>
        <v>0</v>
      </c>
      <c r="BW147" s="365">
        <f>IF($H146="Siembra",$U147,0)</f>
        <v>0</v>
      </c>
      <c r="BX147" s="365">
        <f>IF($H146="Abandono",$U147,0)</f>
        <v>0</v>
      </c>
      <c r="BY147" s="365">
        <f>IF($I146="Producción",IF($I147&gt;=LI_A,$V147,0),0)</f>
        <v>0</v>
      </c>
      <c r="BZ147" s="365">
        <f>IF($I146="Producción",IF($I147&gt;=LI_B,IF($I147&lt;LS_B,$V147,0),0),0)</f>
        <v>0</v>
      </c>
      <c r="CA147" s="365">
        <f>IF($I146="Producción",IF($I147&gt;=LI_C,IF($I147&lt;LS_C,$V147,0),0),0)</f>
        <v>0</v>
      </c>
      <c r="CB147" s="365">
        <f>IF($I146="Producción",IF($I147&lt;=LS_D,$V147,0),0)</f>
        <v>0</v>
      </c>
      <c r="CC147" s="365">
        <f>IF($I146="Crecimiento",$V147,0)</f>
        <v>0</v>
      </c>
      <c r="CD147" s="365">
        <f>IF($I146="Siembra",$V147,0)</f>
        <v>0</v>
      </c>
      <c r="CE147" s="365">
        <f>IF($I146="Abandono",$V147,0)</f>
        <v>0</v>
      </c>
      <c r="CF147" s="365">
        <f>IF($J146="Producción",IF($J147&gt;=LI_A,$W147,0),0)</f>
        <v>0</v>
      </c>
      <c r="CG147" s="365">
        <f>IF($J146="Producción",IF($J147&gt;=LI_B,IF($J147&lt;LS_B,$W147,0),0),0)</f>
        <v>0</v>
      </c>
      <c r="CH147" s="365">
        <f>IF($J146="Producción",IF($J147&gt;=LI_C,IF($J147&lt;LS_C,$W147,0),0),0)</f>
        <v>0</v>
      </c>
      <c r="CI147" s="365">
        <f>IF($J146="Producción",IF($J147&lt;=LS_D,$W147,0),0)</f>
        <v>0</v>
      </c>
      <c r="CJ147" s="365">
        <f>IF($J146="Crecimiento",$W147,0)</f>
        <v>0</v>
      </c>
      <c r="CK147" s="365">
        <f>IF($J146="Siembra",$W147,0)</f>
        <v>0</v>
      </c>
      <c r="CL147" s="365">
        <f>IF($J146="Abandono",$W147,0)</f>
        <v>0</v>
      </c>
      <c r="CM147" s="365">
        <f>IF($K146="Producción",IF($K147&gt;=LI_A,$X147,0),0)</f>
        <v>0</v>
      </c>
      <c r="CN147" s="365">
        <f>IF($K146="Producción",IF($K147&gt;=LI_B,IF($K147&lt;LS_B,$X147,0),0),0)</f>
        <v>0</v>
      </c>
      <c r="CO147" s="365">
        <f>IF($K146="Producción",IF($K147&gt;=LI_C,IF($K147&lt;LS_C,$X147,0),0),0)</f>
        <v>0</v>
      </c>
      <c r="CP147" s="365">
        <f>IF($K146="Producción",IF($K147&lt;=LS_D,$X147,0),0)</f>
        <v>0</v>
      </c>
      <c r="CQ147" s="365">
        <f>IF($K146="Crecimiento",IF($K147&gt;0,$X147,0),0)</f>
        <v>0</v>
      </c>
      <c r="CR147" s="365">
        <f>IF($K146="Siembra",IF($K147&gt;0,$X147,0),0)</f>
        <v>0</v>
      </c>
      <c r="CS147" s="365">
        <f>IF($K146="Abandono",IF($K147&gt;0,$X147,0),0)</f>
        <v>0</v>
      </c>
      <c r="CT147" s="365">
        <f>IF($L146="Producción",IF($L147&gt;=LI_A,$Y147,0),0)</f>
        <v>0</v>
      </c>
      <c r="CU147" s="365">
        <f>IF($L146="Producción",IF($L147&gt;=LI_B,IF($L147&lt;LS_B,$Y147,0),0),0)</f>
        <v>0</v>
      </c>
      <c r="CV147" s="365">
        <f>IF($L146="Producción",IF($L147&gt;=LI_C,IF($L147&lt;LS_C,$Y147,0),0),0)</f>
        <v>0</v>
      </c>
      <c r="CW147" s="365">
        <f>IF($L146="Producción",IF($L147&lt;=LS_D,$Y147,0),0)</f>
        <v>0</v>
      </c>
      <c r="CX147" s="365">
        <f>IF($L146="Crecimiento",$Y147,0)</f>
        <v>0</v>
      </c>
      <c r="CY147" s="365">
        <f>IF($L146="Siembra",$Y147,0)</f>
        <v>0</v>
      </c>
      <c r="CZ147" s="365">
        <f>IF($L146="Abandono",$Y147,0)</f>
        <v>0</v>
      </c>
      <c r="DA147" s="365">
        <f>IF($M146="Producción",IF($M147&gt;=LI_A,$Z147,0),0)</f>
        <v>0</v>
      </c>
      <c r="DB147" s="365">
        <f>IF($M146="Producción",IF($M147&gt;=LI_B,IF($M147&lt;LS_B,$Z147,0),0),0)</f>
        <v>0</v>
      </c>
      <c r="DC147" s="365">
        <f>IF($M146="Producción",IF($M147&gt;=LI_C,IF($M147&lt;LS_C,$Z147,0),0),0)</f>
        <v>0</v>
      </c>
      <c r="DD147" s="365">
        <f>IF($M146="Producción",IF($M147&lt;=LS_D,$Z147,0),0)</f>
        <v>0</v>
      </c>
      <c r="DE147" s="365">
        <f>IF($M146="Crecimiento",$Z147,0)</f>
        <v>0</v>
      </c>
      <c r="DF147" s="365">
        <f>IF($M146="Siembra",$Z147,0)</f>
        <v>0</v>
      </c>
      <c r="DG147" s="365">
        <f>IF($M146="Abandono",$Z147,0)</f>
        <v>0</v>
      </c>
      <c r="DI147" s="58">
        <f>AB147*$B147</f>
        <v>0</v>
      </c>
      <c r="DJ147" s="58">
        <f>AC147*$B147</f>
        <v>0</v>
      </c>
      <c r="DK147" s="58">
        <f>AD147*$B147</f>
        <v>0</v>
      </c>
      <c r="DL147" s="58">
        <f>AE147*$B147</f>
        <v>0</v>
      </c>
      <c r="DM147" s="365">
        <f>AF147*$B147</f>
        <v>0</v>
      </c>
      <c r="DN147" s="365">
        <f>AI147*$C147</f>
        <v>0</v>
      </c>
      <c r="DO147" s="365">
        <f>AJ147*$C147</f>
        <v>0</v>
      </c>
      <c r="DP147" s="365">
        <f>AK147*$C147</f>
        <v>0</v>
      </c>
      <c r="DQ147" s="365">
        <f>AL147*$C147</f>
        <v>0</v>
      </c>
      <c r="DR147" s="365">
        <f>AM147*$C147</f>
        <v>0</v>
      </c>
      <c r="DS147" s="365">
        <f>AP147*$D147</f>
        <v>0</v>
      </c>
      <c r="DT147" s="365">
        <f>AQ147*$D147</f>
        <v>0</v>
      </c>
      <c r="DU147" s="365">
        <f>AR147*$D147</f>
        <v>0</v>
      </c>
      <c r="DV147" s="365">
        <f>AS147*$D147</f>
        <v>0</v>
      </c>
      <c r="DW147" s="365">
        <f>AT147*$D147</f>
        <v>0</v>
      </c>
      <c r="DX147" s="365">
        <f>AW147*$E147</f>
        <v>0</v>
      </c>
      <c r="DY147" s="365">
        <f>AX147*$E147</f>
        <v>0</v>
      </c>
      <c r="DZ147" s="365">
        <f>AY147*$E147</f>
        <v>0</v>
      </c>
      <c r="EA147" s="365">
        <f>AZ147*$E147</f>
        <v>0</v>
      </c>
      <c r="EB147" s="365">
        <f>BA147*$E147</f>
        <v>0</v>
      </c>
      <c r="EC147" s="365">
        <f>BD147*$F147</f>
        <v>0</v>
      </c>
      <c r="ED147" s="365">
        <f>BE147*$F147</f>
        <v>0</v>
      </c>
      <c r="EE147" s="365">
        <f>BF147*$F147</f>
        <v>0</v>
      </c>
      <c r="EF147" s="365">
        <f>BG147*$F147</f>
        <v>0</v>
      </c>
      <c r="EG147" s="365">
        <f>BH147*$F147</f>
        <v>0</v>
      </c>
      <c r="EH147" s="365">
        <f>BK147*$G147</f>
        <v>0</v>
      </c>
      <c r="EI147" s="365">
        <f>BL147*$G147</f>
        <v>0</v>
      </c>
      <c r="EJ147" s="365">
        <f>BM147*$G147</f>
        <v>0</v>
      </c>
      <c r="EK147" s="365">
        <f>BN147*$G147</f>
        <v>0</v>
      </c>
      <c r="EL147" s="365">
        <f>BO147*$G147</f>
        <v>0</v>
      </c>
      <c r="EM147" s="365">
        <f>BR147*$H147</f>
        <v>0</v>
      </c>
      <c r="EN147" s="365">
        <f>BS147*$H147</f>
        <v>0</v>
      </c>
      <c r="EO147" s="365">
        <f>BT147*$H147</f>
        <v>0</v>
      </c>
      <c r="EP147" s="365">
        <f>BU147*$H147</f>
        <v>0</v>
      </c>
      <c r="EQ147" s="365">
        <f>BV147*$H147</f>
        <v>0</v>
      </c>
      <c r="ER147" s="365">
        <f>BY147*$I147</f>
        <v>0</v>
      </c>
      <c r="ES147" s="365">
        <f>BZ147*$I147</f>
        <v>0</v>
      </c>
      <c r="ET147" s="365">
        <f>CA147*$I147</f>
        <v>0</v>
      </c>
      <c r="EU147" s="365">
        <f>CB147*$I147</f>
        <v>0</v>
      </c>
      <c r="EV147" s="365">
        <f>CC147*$I147</f>
        <v>0</v>
      </c>
      <c r="EW147" s="365">
        <f>CF147*$J147</f>
        <v>0</v>
      </c>
      <c r="EX147" s="365">
        <f>CG147*$J147</f>
        <v>0</v>
      </c>
      <c r="EY147" s="365">
        <f>CH147*$J147</f>
        <v>0</v>
      </c>
      <c r="EZ147" s="365">
        <f>CI147*$J147</f>
        <v>0</v>
      </c>
      <c r="FA147" s="365">
        <f>CJ147*$J147</f>
        <v>0</v>
      </c>
      <c r="FB147" s="365">
        <f>CM147*$K147</f>
        <v>0</v>
      </c>
      <c r="FC147" s="365">
        <f>CN147*$K147</f>
        <v>0</v>
      </c>
      <c r="FD147" s="365">
        <f>CO147*$K147</f>
        <v>0</v>
      </c>
      <c r="FE147" s="365">
        <f>CP147*$K147</f>
        <v>0</v>
      </c>
      <c r="FF147" s="365">
        <f>CQ147*$K147</f>
        <v>0</v>
      </c>
      <c r="FG147" s="365">
        <f>CT147*$L147</f>
        <v>0</v>
      </c>
      <c r="FH147" s="365">
        <f>CU147*$L147</f>
        <v>0</v>
      </c>
      <c r="FI147" s="365">
        <f>CV147*$L147</f>
        <v>0</v>
      </c>
      <c r="FJ147" s="365">
        <f>CW147*$L147</f>
        <v>0</v>
      </c>
      <c r="FK147" s="365">
        <f>CX147*$L147</f>
        <v>0</v>
      </c>
      <c r="FL147" s="365">
        <f>DA147*$M147</f>
        <v>0</v>
      </c>
      <c r="FM147" s="365">
        <f t="shared" ref="FM147" si="107">DB147*$M147</f>
        <v>0</v>
      </c>
      <c r="FN147" s="365">
        <f>DC147*$M147</f>
        <v>0</v>
      </c>
      <c r="FO147" s="365">
        <f t="shared" ref="FO147" si="108">DD147*$M147</f>
        <v>0</v>
      </c>
      <c r="FP147" s="365">
        <f t="shared" ref="FP147" si="109">DE147*$M147</f>
        <v>0</v>
      </c>
    </row>
    <row r="148" spans="1:172" ht="21" customHeight="1" x14ac:dyDescent="0.3">
      <c r="A148" s="277" t="s">
        <v>238</v>
      </c>
      <c r="B148" s="278">
        <f>SUM(DI147:DM147)/100</f>
        <v>0</v>
      </c>
      <c r="C148" s="278">
        <f>SUM(DN147:DQ147)/100</f>
        <v>0</v>
      </c>
      <c r="D148" s="279">
        <f>SUM(DS147:DW147)/100</f>
        <v>0</v>
      </c>
      <c r="E148" s="279">
        <f>SUM(DX147:EB147)/100</f>
        <v>0</v>
      </c>
      <c r="F148" s="279">
        <f>SUM(EC147:EG147)/100</f>
        <v>0</v>
      </c>
      <c r="G148" s="279">
        <f>SUM(EH147:EL147)/100</f>
        <v>0</v>
      </c>
      <c r="H148" s="279">
        <f>SUM(EM147:EQ147)/100</f>
        <v>0</v>
      </c>
      <c r="I148" s="279">
        <f>SUM(ER147:EV147)/100</f>
        <v>0</v>
      </c>
      <c r="J148" s="279">
        <f>SUM(EW147:FA147)/100</f>
        <v>0</v>
      </c>
      <c r="K148" s="279">
        <f>SUM(FB147:FF147)/100</f>
        <v>0</v>
      </c>
      <c r="L148" s="279">
        <f>SUM(FG147:FK147)/100</f>
        <v>0</v>
      </c>
      <c r="M148" s="279">
        <f>SUM(FL147:FP147)/100</f>
        <v>0</v>
      </c>
      <c r="AG148" s="365"/>
      <c r="AH148" s="365"/>
      <c r="AI148" s="365"/>
      <c r="AJ148" s="365"/>
      <c r="AK148" s="365"/>
      <c r="AL148" s="365"/>
      <c r="AM148" s="365"/>
      <c r="AN148" s="365"/>
      <c r="AO148" s="365"/>
      <c r="AP148" s="365"/>
      <c r="AQ148" s="365"/>
      <c r="AR148" s="365"/>
      <c r="AS148" s="365"/>
      <c r="AT148" s="365"/>
      <c r="AU148" s="365"/>
      <c r="AV148" s="365"/>
      <c r="AW148" s="365"/>
      <c r="AX148" s="365"/>
      <c r="AY148" s="365"/>
      <c r="AZ148" s="365"/>
      <c r="BA148" s="365"/>
      <c r="BB148" s="365"/>
      <c r="BC148" s="365"/>
      <c r="BD148" s="365"/>
      <c r="BE148" s="365"/>
      <c r="BF148" s="365"/>
      <c r="BG148" s="365"/>
      <c r="BH148" s="365"/>
      <c r="BI148" s="365"/>
      <c r="BJ148" s="365"/>
      <c r="BK148" s="365"/>
      <c r="BL148" s="365"/>
      <c r="BM148" s="365"/>
      <c r="BN148" s="365"/>
      <c r="BO148" s="365"/>
      <c r="BP148" s="365"/>
      <c r="BQ148" s="365"/>
      <c r="BR148" s="365"/>
      <c r="BS148" s="365"/>
      <c r="BT148" s="365"/>
      <c r="BU148" s="365"/>
      <c r="BV148" s="365"/>
      <c r="BW148" s="365"/>
      <c r="BX148" s="365"/>
      <c r="BY148" s="365"/>
      <c r="BZ148" s="365"/>
      <c r="CA148" s="365"/>
      <c r="CB148" s="365"/>
      <c r="CC148" s="365"/>
      <c r="CD148" s="365"/>
      <c r="CE148" s="365"/>
      <c r="CF148" s="365"/>
      <c r="CG148" s="365"/>
      <c r="CH148" s="365"/>
      <c r="CI148" s="365"/>
      <c r="CJ148" s="365"/>
      <c r="CK148" s="365"/>
      <c r="CL148" s="365"/>
      <c r="CM148" s="365"/>
      <c r="CN148" s="365"/>
      <c r="CO148" s="365"/>
      <c r="CP148" s="365"/>
      <c r="CQ148" s="365"/>
      <c r="CR148" s="365"/>
      <c r="CS148" s="365"/>
      <c r="CT148" s="365"/>
      <c r="CU148" s="365"/>
      <c r="CV148" s="365"/>
      <c r="CW148" s="365"/>
      <c r="CX148" s="365"/>
      <c r="CY148" s="365"/>
      <c r="CZ148" s="365"/>
      <c r="DA148" s="365"/>
      <c r="DB148" s="365"/>
      <c r="DC148" s="365"/>
      <c r="DD148" s="365"/>
      <c r="DE148" s="365"/>
      <c r="DF148" s="365"/>
      <c r="DG148" s="365"/>
      <c r="DM148" s="365"/>
      <c r="DN148" s="365"/>
      <c r="DO148" s="365"/>
      <c r="DP148" s="365"/>
      <c r="DQ148" s="365"/>
      <c r="DR148" s="365"/>
      <c r="DS148" s="365"/>
      <c r="DT148" s="365"/>
      <c r="DU148" s="365"/>
      <c r="DV148" s="365"/>
      <c r="DW148" s="365"/>
      <c r="DX148" s="365"/>
      <c r="DY148" s="365"/>
      <c r="DZ148" s="365"/>
      <c r="EA148" s="365"/>
      <c r="EB148" s="365"/>
      <c r="EC148" s="365"/>
      <c r="ED148" s="365"/>
      <c r="EE148" s="365"/>
      <c r="EF148" s="365"/>
      <c r="EG148" s="365"/>
      <c r="EH148" s="365"/>
      <c r="EI148" s="365"/>
      <c r="EJ148" s="365"/>
      <c r="EK148" s="365"/>
      <c r="EL148" s="365"/>
      <c r="EM148" s="365"/>
      <c r="EN148" s="365"/>
      <c r="EO148" s="365"/>
      <c r="EP148" s="365"/>
      <c r="EQ148" s="365"/>
      <c r="ER148" s="365"/>
      <c r="ES148" s="365"/>
      <c r="ET148" s="365"/>
      <c r="EU148" s="365"/>
      <c r="EV148" s="365"/>
      <c r="EW148" s="365"/>
      <c r="EX148" s="365"/>
      <c r="EY148" s="365"/>
      <c r="EZ148" s="365"/>
      <c r="FA148" s="365"/>
      <c r="FB148" s="365"/>
      <c r="FC148" s="365"/>
      <c r="FD148" s="365"/>
      <c r="FE148" s="365"/>
      <c r="FF148" s="365"/>
      <c r="FG148" s="365"/>
      <c r="FH148" s="365"/>
      <c r="FI148" s="365"/>
      <c r="FJ148" s="365"/>
      <c r="FK148" s="365"/>
      <c r="FL148" s="365"/>
      <c r="FM148" s="365"/>
      <c r="FN148" s="365"/>
      <c r="FO148" s="365"/>
      <c r="FP148" s="365"/>
    </row>
    <row r="149" spans="1:172" ht="21" customHeight="1" x14ac:dyDescent="0.3">
      <c r="A149" s="150" t="s">
        <v>239</v>
      </c>
      <c r="B149" s="149" t="e">
        <f>SUM(DI147:DM147)/100/Lote_36</f>
        <v>#DIV/0!</v>
      </c>
      <c r="C149" s="149" t="e">
        <f>SUM(DN147:DQ147)/100/Lote_36</f>
        <v>#DIV/0!</v>
      </c>
      <c r="D149" s="149" t="e">
        <f>SUM(DS147:DW147)/100/Lote_36</f>
        <v>#DIV/0!</v>
      </c>
      <c r="E149" s="149" t="e">
        <f>SUM(DX147:EB147)/100/Lote_36</f>
        <v>#DIV/0!</v>
      </c>
      <c r="F149" s="149" t="e">
        <f>SUM(EC147:EG147)/100/Lote_36</f>
        <v>#DIV/0!</v>
      </c>
      <c r="G149" s="149" t="e">
        <f>SUM(EH147:EL147)/100/Lote_36</f>
        <v>#DIV/0!</v>
      </c>
      <c r="H149" s="149" t="e">
        <f>SUM(EM147:EQ147)/100/Lote_36</f>
        <v>#DIV/0!</v>
      </c>
      <c r="I149" s="149" t="e">
        <f>SUM(ER147:EV147)/100/Lote_36</f>
        <v>#DIV/0!</v>
      </c>
      <c r="J149" s="149" t="e">
        <f>SUM(EW147:FA147)/100/Lote_36</f>
        <v>#DIV/0!</v>
      </c>
      <c r="K149" s="149" t="e">
        <f>SUM(FB147:FF147)/100/Lote_36</f>
        <v>#DIV/0!</v>
      </c>
      <c r="L149" s="149" t="e">
        <f>SUM(FG147:FK147)/100/Lote_36</f>
        <v>#DIV/0!</v>
      </c>
      <c r="M149" s="149" t="e">
        <f>SUM(FL147:FP147)/100/Lote_36</f>
        <v>#DIV/0!</v>
      </c>
    </row>
    <row r="150" spans="1:172" ht="21" customHeight="1" x14ac:dyDescent="0.3">
      <c r="A150" s="233">
        <f>N_L37</f>
        <v>0</v>
      </c>
      <c r="B150" s="363" t="s">
        <v>37</v>
      </c>
      <c r="C150" s="363" t="s">
        <v>37</v>
      </c>
      <c r="D150" s="363" t="s">
        <v>37</v>
      </c>
      <c r="E150" s="363" t="s">
        <v>37</v>
      </c>
      <c r="F150" s="363" t="s">
        <v>37</v>
      </c>
      <c r="G150" s="363" t="s">
        <v>37</v>
      </c>
      <c r="H150" s="363" t="s">
        <v>37</v>
      </c>
      <c r="I150" s="363" t="s">
        <v>37</v>
      </c>
      <c r="J150" s="363" t="s">
        <v>37</v>
      </c>
      <c r="K150" s="363" t="s">
        <v>37</v>
      </c>
      <c r="L150" s="363" t="s">
        <v>37</v>
      </c>
      <c r="M150" s="363" t="s">
        <v>37</v>
      </c>
    </row>
    <row r="151" spans="1:172" ht="21" customHeight="1" x14ac:dyDescent="0.3">
      <c r="A151" s="4" t="s">
        <v>237</v>
      </c>
      <c r="B151" s="7"/>
      <c r="C151" s="7"/>
      <c r="D151" s="275"/>
      <c r="E151" s="275"/>
      <c r="F151" s="275"/>
      <c r="G151" s="275"/>
      <c r="H151" s="275"/>
      <c r="I151" s="275"/>
      <c r="J151" s="275"/>
      <c r="K151" s="275"/>
      <c r="L151" s="275"/>
      <c r="M151" s="275"/>
      <c r="O151" s="58">
        <f>Área_L37*D_L37*A1_L37</f>
        <v>0</v>
      </c>
      <c r="P151" s="58">
        <f>Área_L37*D_L37*A2_L37</f>
        <v>0</v>
      </c>
      <c r="Q151" s="58">
        <f>Área_L37*D_L37*A3_L37</f>
        <v>0</v>
      </c>
      <c r="R151" s="58">
        <f>Área_L37*D_L37*A4_L37</f>
        <v>0</v>
      </c>
      <c r="S151" s="58">
        <f>Área_L37*D_L37*A5_L37</f>
        <v>0</v>
      </c>
      <c r="T151" s="58">
        <f>Área_L37*D_L37*A6_L37</f>
        <v>0</v>
      </c>
      <c r="U151" s="58">
        <f>Área_L37*D_L37*A7_L37</f>
        <v>0</v>
      </c>
      <c r="V151" s="58">
        <f>Área_L37*D_L37*A8_L37</f>
        <v>0</v>
      </c>
      <c r="W151" s="58">
        <f>Área_L37*D_L37*A9_L37</f>
        <v>0</v>
      </c>
      <c r="X151" s="58">
        <f>Área_L37*D_L37*A10_L37</f>
        <v>0</v>
      </c>
      <c r="Y151" s="58">
        <f>Área_L37*D_L37*A11_L37</f>
        <v>0</v>
      </c>
      <c r="Z151" s="58">
        <f>Área_L37*D_L37*A12_L37</f>
        <v>0</v>
      </c>
      <c r="AB151" s="58">
        <f>IF($B150="Producción",IF($B151&gt;=LI_A,$O151,0),0)</f>
        <v>0</v>
      </c>
      <c r="AC151" s="58">
        <f>IF($B150="Producción",IF($B151&gt;=LI_B,IF($B151&lt;LS_B,$O151,0),0),0)</f>
        <v>0</v>
      </c>
      <c r="AD151" s="58">
        <f>IF($B150="Producción",IF($B151&gt;=LI_C,IF($B151&lt;LS_C,$O151,0),0),0)</f>
        <v>0</v>
      </c>
      <c r="AE151" s="58">
        <f>IF($B150="Producción",IF($B151&lt;=LS_D,$O151,0),0)</f>
        <v>0</v>
      </c>
      <c r="AF151" s="365">
        <f>IF($B150="Crecimiento",$O151,0)</f>
        <v>0</v>
      </c>
      <c r="AG151" s="365">
        <f>IF($B150="Siembra",$O151,0)</f>
        <v>0</v>
      </c>
      <c r="AH151" s="365">
        <f>IF($B150="Abandono",$O151,0)</f>
        <v>0</v>
      </c>
      <c r="AI151" s="365">
        <f>IF($C150="Producción",IF($C151&gt;=LI_A,$P151,0),0)</f>
        <v>0</v>
      </c>
      <c r="AJ151" s="365">
        <f>IF($C150="Producción",IF($C151&gt;=LI_B,IF($C151&lt;LS_B,$P151,0),0),0)</f>
        <v>0</v>
      </c>
      <c r="AK151" s="365">
        <f>IF($C150="Producción",IF($C151&gt;=LI_C,IF($C151&lt;LS_C,$P151,0),0),0)</f>
        <v>0</v>
      </c>
      <c r="AL151" s="365">
        <f>IF($C150="Producción",IF(C151&lt;=LS_D,$P151,0),0)</f>
        <v>0</v>
      </c>
      <c r="AM151" s="365">
        <f>IF($C150="Crecimiento",$P151,0)</f>
        <v>0</v>
      </c>
      <c r="AN151" s="365">
        <f>IF($C150="Siembra",$P151,0)</f>
        <v>0</v>
      </c>
      <c r="AO151" s="365">
        <f>IF($C150="Abandono",$P151,0)</f>
        <v>0</v>
      </c>
      <c r="AP151" s="365">
        <f>IF($D150="Producción",IF($D151&gt;=LI_A,$Q151,0),0)</f>
        <v>0</v>
      </c>
      <c r="AQ151" s="365">
        <f>IF($D150="Producción",IF($D151&gt;=LI_B,IF($D151&lt;LS_B,$Q151,0),0),0)</f>
        <v>0</v>
      </c>
      <c r="AR151" s="365">
        <f>IF($D150="Producción",IF($D151&gt;=LI_C,IF($D151&lt;LS_C,$Q151,0),0),0)</f>
        <v>0</v>
      </c>
      <c r="AS151" s="365">
        <f>IF($D150="Producción",IF($D151&lt;=LS_D,$Q151,0),0)</f>
        <v>0</v>
      </c>
      <c r="AT151" s="365">
        <f>IF($D150="Crecimiento",$Q151,0)</f>
        <v>0</v>
      </c>
      <c r="AU151" s="365">
        <f>IF($D150="Siembra",$Q151,0)</f>
        <v>0</v>
      </c>
      <c r="AV151" s="365">
        <f>IF($D150="Abandono",$Q151,0)</f>
        <v>0</v>
      </c>
      <c r="AW151" s="365">
        <f>IF($E150="Producción",IF($E151&gt;=LI_A,$R151,0),0)</f>
        <v>0</v>
      </c>
      <c r="AX151" s="365">
        <f>IF($E150="Producción",IF($E151&gt;=LI_B,IF($E151&lt;LS_B,$R151,0),0),0)</f>
        <v>0</v>
      </c>
      <c r="AY151" s="365">
        <f>IF($E150="Producción",IF($E151&gt;=LI_C,IF($E151&lt;LS_C,$R151,0),0),0)</f>
        <v>0</v>
      </c>
      <c r="AZ151" s="365">
        <f>IF($E150="Producción",IF($E151&lt;=LS_D,$R151,0),0)</f>
        <v>0</v>
      </c>
      <c r="BA151" s="365">
        <f>IF($E150="Crecimiento",$R151,0)</f>
        <v>0</v>
      </c>
      <c r="BB151" s="365">
        <f>IF($E150="Siembra",$R151,0)</f>
        <v>0</v>
      </c>
      <c r="BC151" s="365">
        <f>IF($E150="Abandono",$R151,0)</f>
        <v>0</v>
      </c>
      <c r="BD151" s="365">
        <f>IF($F150="Producción",IF($F151&gt;=LI_A,$S151,0),0)</f>
        <v>0</v>
      </c>
      <c r="BE151" s="365">
        <f>IF($F150="Producción",IF($F151&gt;=LI_B,IF($F151&lt;LS_B,$S151,0),0),0)</f>
        <v>0</v>
      </c>
      <c r="BF151" s="365">
        <f>IF($F150="Producción",IF($F151&gt;=LI_C,IF($F151&lt;LS_C,$S151,0),0),0)</f>
        <v>0</v>
      </c>
      <c r="BG151" s="365">
        <f>IF($F150="Producción",IF($F151&lt;=LS_D,$S151,0),0)</f>
        <v>0</v>
      </c>
      <c r="BH151" s="365">
        <f>IF($F150="Crecimiento",$S151,0)</f>
        <v>0</v>
      </c>
      <c r="BI151" s="365">
        <f>IF($F150="Siembra",$S151,0)</f>
        <v>0</v>
      </c>
      <c r="BJ151" s="365">
        <f>IF($F150="Abandono",$S151,0)</f>
        <v>0</v>
      </c>
      <c r="BK151" s="365">
        <f>IF($G150="Producción",IF($G151&gt;=LI_A,$T151,0),0)</f>
        <v>0</v>
      </c>
      <c r="BL151" s="365">
        <f>IF($G150="Producción",IF($G151&gt;=LI_B,IF($G151&lt;LS_B,$T151,0),0),0)</f>
        <v>0</v>
      </c>
      <c r="BM151" s="365">
        <f>IF($G150="Producción",IF($G151&gt;=LI_C,IF($G151&lt;LS_C,$T151,0),0),0)</f>
        <v>0</v>
      </c>
      <c r="BN151" s="365">
        <f>IF($G150="Producción",IF($G151&lt;=LS_D,$T151,0),0)</f>
        <v>0</v>
      </c>
      <c r="BO151" s="365">
        <f>IF($G150="Crecimiento",$T151,0)</f>
        <v>0</v>
      </c>
      <c r="BP151" s="365">
        <f>IF($G150="Siembra",$T151,0)</f>
        <v>0</v>
      </c>
      <c r="BQ151" s="365">
        <f>IF($G150="Abandono",$T151,0)</f>
        <v>0</v>
      </c>
      <c r="BR151" s="365">
        <f>IF($H150="Producción",IF($H151&gt;=LI_A,$U151,0),0)</f>
        <v>0</v>
      </c>
      <c r="BS151" s="365">
        <f>IF($H150="Producción",IF($H151&gt;=LI_B,IF($H151&lt;LS_B,$U151,0),0),0)</f>
        <v>0</v>
      </c>
      <c r="BT151" s="365">
        <f>IF($H150="Producción",IF($H151&gt;=LI_C,IF($H151&lt;LS_C,$U151,0),0),0)</f>
        <v>0</v>
      </c>
      <c r="BU151" s="365">
        <f>IF($H150="Producción",IF($H151&lt;=LS_D,$U151,0),0)</f>
        <v>0</v>
      </c>
      <c r="BV151" s="365">
        <f>IF($H150="Crecimiento",$U151,0)</f>
        <v>0</v>
      </c>
      <c r="BW151" s="365">
        <f>IF($H150="Siembra",$U151,0)</f>
        <v>0</v>
      </c>
      <c r="BX151" s="365">
        <f>IF($H150="Abandono",$U151,0)</f>
        <v>0</v>
      </c>
      <c r="BY151" s="365">
        <f>IF($I150="Producción",IF($I151&gt;=LI_A,$V151,0),0)</f>
        <v>0</v>
      </c>
      <c r="BZ151" s="365">
        <f>IF($I150="Producción",IF($I151&gt;=LI_B,IF($I151&lt;LS_B,$V151,0),0),0)</f>
        <v>0</v>
      </c>
      <c r="CA151" s="365">
        <f>IF($I150="Producción",IF($I151&gt;=LI_C,IF($I151&lt;LS_C,$V151,0),0),0)</f>
        <v>0</v>
      </c>
      <c r="CB151" s="365">
        <f>IF($I150="Producción",IF($I151&lt;=LS_D,$V151,0),0)</f>
        <v>0</v>
      </c>
      <c r="CC151" s="365">
        <f>IF($I150="Crecimiento",$V151,0)</f>
        <v>0</v>
      </c>
      <c r="CD151" s="365">
        <f>IF($I150="Siembra",$V151,0)</f>
        <v>0</v>
      </c>
      <c r="CE151" s="365">
        <f>IF($I150="Abandono",$V151,0)</f>
        <v>0</v>
      </c>
      <c r="CF151" s="365">
        <f>IF($J150="Producción",IF($J151&gt;=LI_A,$W151,0),0)</f>
        <v>0</v>
      </c>
      <c r="CG151" s="365">
        <f>IF($J150="Producción",IF($J151&gt;=LI_B,IF($J151&lt;LS_B,$W151,0),0),0)</f>
        <v>0</v>
      </c>
      <c r="CH151" s="365">
        <f>IF($J150="Producción",IF($J151&gt;=LI_C,IF($J151&lt;LS_C,$W151,0),0),0)</f>
        <v>0</v>
      </c>
      <c r="CI151" s="365">
        <f>IF($J150="Producción",IF($J151&lt;=LS_D,$W151,0),0)</f>
        <v>0</v>
      </c>
      <c r="CJ151" s="365">
        <f>IF($J150="Crecimiento",$W151,0)</f>
        <v>0</v>
      </c>
      <c r="CK151" s="365">
        <f>IF($J150="Siembra",$W151,0)</f>
        <v>0</v>
      </c>
      <c r="CL151" s="365">
        <f>IF($J150="Abandono",$W151,0)</f>
        <v>0</v>
      </c>
      <c r="CM151" s="365">
        <f>IF($K150="Producción",IF($K151&gt;=LI_A,$X151,0),0)</f>
        <v>0</v>
      </c>
      <c r="CN151" s="365">
        <f>IF($K150="Producción",IF($K151&gt;=LI_B,IF($K151&lt;LS_B,$X151,0),0),0)</f>
        <v>0</v>
      </c>
      <c r="CO151" s="365">
        <f>IF($K150="Producción",IF($K151&gt;=LI_C,IF($K151&lt;LS_C,$X151,0),0),0)</f>
        <v>0</v>
      </c>
      <c r="CP151" s="365">
        <f>IF($K150="Producción",IF($K151&lt;=LS_D,$X151,0),0)</f>
        <v>0</v>
      </c>
      <c r="CQ151" s="365">
        <f>IF($K150="Crecimiento",IF($K151&gt;0,$X151,0),0)</f>
        <v>0</v>
      </c>
      <c r="CR151" s="365">
        <f>IF($K150="Siembra",IF($K151&gt;0,$X151,0),0)</f>
        <v>0</v>
      </c>
      <c r="CS151" s="365">
        <f>IF($K150="Abandono",IF($K151&gt;0,$X151,0),0)</f>
        <v>0</v>
      </c>
      <c r="CT151" s="365">
        <f>IF($L150="Producción",IF($L151&gt;=LI_A,$Y151,0),0)</f>
        <v>0</v>
      </c>
      <c r="CU151" s="365">
        <f>IF($L150="Producción",IF($L151&gt;=LI_B,IF($L151&lt;LS_B,$Y151,0),0),0)</f>
        <v>0</v>
      </c>
      <c r="CV151" s="365">
        <f>IF($L150="Producción",IF($L151&gt;=LI_C,IF($L151&lt;LS_C,$Y151,0),0),0)</f>
        <v>0</v>
      </c>
      <c r="CW151" s="365">
        <f>IF($L150="Producción",IF($L151&lt;=LS_D,$Y151,0),0)</f>
        <v>0</v>
      </c>
      <c r="CX151" s="365">
        <f>IF($L150="Crecimiento",$Y151,0)</f>
        <v>0</v>
      </c>
      <c r="CY151" s="365">
        <f>IF($L150="Siembra",$Y151,0)</f>
        <v>0</v>
      </c>
      <c r="CZ151" s="365">
        <f>IF($L150="Abandono",$Y151,0)</f>
        <v>0</v>
      </c>
      <c r="DA151" s="365">
        <f>IF($M150="Producción",IF($M151&gt;=LI_A,$Z151,0),0)</f>
        <v>0</v>
      </c>
      <c r="DB151" s="365">
        <f>IF($M150="Producción",IF($M151&gt;=LI_B,IF($M151&lt;LS_B,$Z151,0),0),0)</f>
        <v>0</v>
      </c>
      <c r="DC151" s="365">
        <f>IF($M150="Producción",IF($M151&gt;=LI_C,IF($M151&lt;LS_C,$Z151,0),0),0)</f>
        <v>0</v>
      </c>
      <c r="DD151" s="365">
        <f>IF($M150="Producción",IF($M151&lt;=LS_D,$Z151,0),0)</f>
        <v>0</v>
      </c>
      <c r="DE151" s="365">
        <f>IF($M150="Crecimiento",$Z151,0)</f>
        <v>0</v>
      </c>
      <c r="DF151" s="365">
        <f>IF($M150="Siembra",$Z151,0)</f>
        <v>0</v>
      </c>
      <c r="DG151" s="365">
        <f>IF($M150="Abandono",$Z151,0)</f>
        <v>0</v>
      </c>
      <c r="DI151" s="58">
        <f>AB151*$B151</f>
        <v>0</v>
      </c>
      <c r="DJ151" s="58">
        <f>AC151*$B151</f>
        <v>0</v>
      </c>
      <c r="DK151" s="58">
        <f>AD151*$B151</f>
        <v>0</v>
      </c>
      <c r="DL151" s="58">
        <f>AE151*$B151</f>
        <v>0</v>
      </c>
      <c r="DM151" s="365">
        <f>AF151*$B151</f>
        <v>0</v>
      </c>
      <c r="DN151" s="365">
        <f>AI151*$C151</f>
        <v>0</v>
      </c>
      <c r="DO151" s="365">
        <f>AJ151*$C151</f>
        <v>0</v>
      </c>
      <c r="DP151" s="365">
        <f>AK151*$C151</f>
        <v>0</v>
      </c>
      <c r="DQ151" s="365">
        <f>AL151*$C151</f>
        <v>0</v>
      </c>
      <c r="DR151" s="365">
        <f>AM151*$C151</f>
        <v>0</v>
      </c>
      <c r="DS151" s="365">
        <f>AP151*$D151</f>
        <v>0</v>
      </c>
      <c r="DT151" s="365">
        <f>AQ151*$D151</f>
        <v>0</v>
      </c>
      <c r="DU151" s="365">
        <f>AR151*$D151</f>
        <v>0</v>
      </c>
      <c r="DV151" s="365">
        <f>AS151*$D151</f>
        <v>0</v>
      </c>
      <c r="DW151" s="365">
        <f>AT151*$D151</f>
        <v>0</v>
      </c>
      <c r="DX151" s="365">
        <f>AW151*$E151</f>
        <v>0</v>
      </c>
      <c r="DY151" s="365">
        <f>AX151*$E151</f>
        <v>0</v>
      </c>
      <c r="DZ151" s="365">
        <f>AY151*$E151</f>
        <v>0</v>
      </c>
      <c r="EA151" s="365">
        <f>AZ151*$E151</f>
        <v>0</v>
      </c>
      <c r="EB151" s="365">
        <f>BA151*$E151</f>
        <v>0</v>
      </c>
      <c r="EC151" s="365">
        <f>BD151*$F151</f>
        <v>0</v>
      </c>
      <c r="ED151" s="365">
        <f>BE151*$F151</f>
        <v>0</v>
      </c>
      <c r="EE151" s="365">
        <f>BF151*$F151</f>
        <v>0</v>
      </c>
      <c r="EF151" s="365">
        <f>BG151*$F151</f>
        <v>0</v>
      </c>
      <c r="EG151" s="365">
        <f>BH151*$F151</f>
        <v>0</v>
      </c>
      <c r="EH151" s="365">
        <f>BK151*$G151</f>
        <v>0</v>
      </c>
      <c r="EI151" s="365">
        <f>BL151*$G151</f>
        <v>0</v>
      </c>
      <c r="EJ151" s="365">
        <f>BM151*$G151</f>
        <v>0</v>
      </c>
      <c r="EK151" s="365">
        <f>BN151*$G151</f>
        <v>0</v>
      </c>
      <c r="EL151" s="365">
        <f>BO151*$G151</f>
        <v>0</v>
      </c>
      <c r="EM151" s="365">
        <f>BR151*$H151</f>
        <v>0</v>
      </c>
      <c r="EN151" s="365">
        <f>BS151*$H151</f>
        <v>0</v>
      </c>
      <c r="EO151" s="365">
        <f>BT151*$H151</f>
        <v>0</v>
      </c>
      <c r="EP151" s="365">
        <f>BU151*$H151</f>
        <v>0</v>
      </c>
      <c r="EQ151" s="365">
        <f>BV151*$H151</f>
        <v>0</v>
      </c>
      <c r="ER151" s="365">
        <f>BY151*$I151</f>
        <v>0</v>
      </c>
      <c r="ES151" s="365">
        <f>BZ151*$I151</f>
        <v>0</v>
      </c>
      <c r="ET151" s="365">
        <f>CA151*$I151</f>
        <v>0</v>
      </c>
      <c r="EU151" s="365">
        <f>CB151*$I151</f>
        <v>0</v>
      </c>
      <c r="EV151" s="365">
        <f>CC151*$I151</f>
        <v>0</v>
      </c>
      <c r="EW151" s="365">
        <f>CF151*$J151</f>
        <v>0</v>
      </c>
      <c r="EX151" s="365">
        <f>CG151*$J151</f>
        <v>0</v>
      </c>
      <c r="EY151" s="365">
        <f>CH151*$J151</f>
        <v>0</v>
      </c>
      <c r="EZ151" s="365">
        <f>CI151*$J151</f>
        <v>0</v>
      </c>
      <c r="FA151" s="365">
        <f>CJ151*$J151</f>
        <v>0</v>
      </c>
      <c r="FB151" s="365">
        <f>CM151*$K151</f>
        <v>0</v>
      </c>
      <c r="FC151" s="365">
        <f>CN151*$K151</f>
        <v>0</v>
      </c>
      <c r="FD151" s="365">
        <f>CO151*$K151</f>
        <v>0</v>
      </c>
      <c r="FE151" s="365">
        <f>CP151*$K151</f>
        <v>0</v>
      </c>
      <c r="FF151" s="365">
        <f>CQ151*$K151</f>
        <v>0</v>
      </c>
      <c r="FG151" s="365">
        <f>CT151*$L151</f>
        <v>0</v>
      </c>
      <c r="FH151" s="365">
        <f>CU151*$L151</f>
        <v>0</v>
      </c>
      <c r="FI151" s="365">
        <f>CV151*$L151</f>
        <v>0</v>
      </c>
      <c r="FJ151" s="365">
        <f>CW151*$L151</f>
        <v>0</v>
      </c>
      <c r="FK151" s="365">
        <f>CX151*$L151</f>
        <v>0</v>
      </c>
      <c r="FL151" s="365">
        <f>DA151*$M151</f>
        <v>0</v>
      </c>
      <c r="FM151" s="365">
        <f t="shared" ref="FM151" si="110">DB151*$M151</f>
        <v>0</v>
      </c>
      <c r="FN151" s="365">
        <f>DC151*$M151</f>
        <v>0</v>
      </c>
      <c r="FO151" s="365">
        <f t="shared" ref="FO151" si="111">DD151*$M151</f>
        <v>0</v>
      </c>
      <c r="FP151" s="365">
        <f t="shared" ref="FP151" si="112">DE151*$M151</f>
        <v>0</v>
      </c>
    </row>
    <row r="152" spans="1:172" ht="21" customHeight="1" x14ac:dyDescent="0.3">
      <c r="A152" s="277" t="s">
        <v>238</v>
      </c>
      <c r="B152" s="278">
        <f>SUM(DI151:DM151)/100</f>
        <v>0</v>
      </c>
      <c r="C152" s="278">
        <f>SUM(DN151:DQ151)/100</f>
        <v>0</v>
      </c>
      <c r="D152" s="279">
        <f>SUM(DS151:DW151)/100</f>
        <v>0</v>
      </c>
      <c r="E152" s="279">
        <f>SUM(DX151:EB151)/100</f>
        <v>0</v>
      </c>
      <c r="F152" s="279">
        <f>SUM(EC151:EG151)/100</f>
        <v>0</v>
      </c>
      <c r="G152" s="279">
        <f>SUM(EH151:EL151)/100</f>
        <v>0</v>
      </c>
      <c r="H152" s="279">
        <f>SUM(EM151:EQ151)/100</f>
        <v>0</v>
      </c>
      <c r="I152" s="279">
        <f>SUM(ER151:EV151)/100</f>
        <v>0</v>
      </c>
      <c r="J152" s="279">
        <f>SUM(EW151:FA151)/100</f>
        <v>0</v>
      </c>
      <c r="K152" s="279">
        <f>SUM(FB151:FF151)/100</f>
        <v>0</v>
      </c>
      <c r="L152" s="279">
        <f>SUM(FG151:FK151)/100</f>
        <v>0</v>
      </c>
      <c r="M152" s="279">
        <f>SUM(FL151:FP151)/100</f>
        <v>0</v>
      </c>
      <c r="AG152" s="365"/>
      <c r="AH152" s="365"/>
      <c r="AI152" s="365"/>
      <c r="AJ152" s="365"/>
      <c r="AK152" s="365"/>
      <c r="AL152" s="365"/>
      <c r="AM152" s="365"/>
      <c r="AN152" s="365"/>
      <c r="AO152" s="365"/>
      <c r="AP152" s="365"/>
      <c r="AQ152" s="365"/>
      <c r="AR152" s="365"/>
      <c r="AS152" s="365"/>
      <c r="AT152" s="365"/>
      <c r="AU152" s="365"/>
      <c r="AV152" s="365"/>
      <c r="AW152" s="365"/>
      <c r="AX152" s="365"/>
      <c r="AY152" s="365"/>
      <c r="AZ152" s="365"/>
      <c r="BA152" s="365"/>
      <c r="BB152" s="365"/>
      <c r="BC152" s="365"/>
      <c r="BD152" s="365"/>
      <c r="BE152" s="365"/>
      <c r="BF152" s="365"/>
      <c r="BG152" s="365"/>
      <c r="BH152" s="365"/>
      <c r="BI152" s="365"/>
      <c r="BJ152" s="365"/>
      <c r="BK152" s="365"/>
      <c r="BL152" s="365"/>
      <c r="BM152" s="365"/>
      <c r="BN152" s="365"/>
      <c r="BO152" s="365"/>
      <c r="BP152" s="365"/>
      <c r="BQ152" s="365"/>
      <c r="BR152" s="365"/>
      <c r="BS152" s="365"/>
      <c r="BT152" s="365"/>
      <c r="BU152" s="365"/>
      <c r="BV152" s="365"/>
      <c r="BW152" s="365"/>
      <c r="BX152" s="365"/>
      <c r="BY152" s="365"/>
      <c r="BZ152" s="365"/>
      <c r="CA152" s="365"/>
      <c r="CB152" s="365"/>
      <c r="CC152" s="365"/>
      <c r="CD152" s="365"/>
      <c r="CE152" s="365"/>
      <c r="CF152" s="365"/>
      <c r="CG152" s="365"/>
      <c r="CH152" s="365"/>
      <c r="CI152" s="365"/>
      <c r="CJ152" s="365"/>
      <c r="CK152" s="365"/>
      <c r="CL152" s="365"/>
      <c r="CM152" s="365"/>
      <c r="CN152" s="365"/>
      <c r="CO152" s="365"/>
      <c r="CP152" s="365"/>
      <c r="CQ152" s="365"/>
      <c r="CR152" s="365"/>
      <c r="CS152" s="365"/>
      <c r="CT152" s="365"/>
      <c r="CU152" s="365"/>
      <c r="CV152" s="365"/>
      <c r="CW152" s="365"/>
      <c r="CX152" s="365"/>
      <c r="CY152" s="365"/>
      <c r="CZ152" s="365"/>
      <c r="DA152" s="365"/>
      <c r="DB152" s="365"/>
      <c r="DC152" s="365"/>
      <c r="DD152" s="365"/>
      <c r="DE152" s="365"/>
      <c r="DF152" s="365"/>
      <c r="DG152" s="365"/>
      <c r="DM152" s="365"/>
      <c r="DN152" s="365"/>
      <c r="DO152" s="365"/>
      <c r="DP152" s="365"/>
      <c r="DQ152" s="365"/>
      <c r="DR152" s="365"/>
      <c r="DS152" s="365"/>
      <c r="DT152" s="365"/>
      <c r="DU152" s="365"/>
      <c r="DV152" s="365"/>
      <c r="DW152" s="365"/>
      <c r="DX152" s="365"/>
      <c r="DY152" s="365"/>
      <c r="DZ152" s="365"/>
      <c r="EA152" s="365"/>
      <c r="EB152" s="365"/>
      <c r="EC152" s="365"/>
      <c r="ED152" s="365"/>
      <c r="EE152" s="365"/>
      <c r="EF152" s="365"/>
      <c r="EG152" s="365"/>
      <c r="EH152" s="365"/>
      <c r="EI152" s="365"/>
      <c r="EJ152" s="365"/>
      <c r="EK152" s="365"/>
      <c r="EL152" s="365"/>
      <c r="EM152" s="365"/>
      <c r="EN152" s="365"/>
      <c r="EO152" s="365"/>
      <c r="EP152" s="365"/>
      <c r="EQ152" s="365"/>
      <c r="ER152" s="365"/>
      <c r="ES152" s="365"/>
      <c r="ET152" s="365"/>
      <c r="EU152" s="365"/>
      <c r="EV152" s="365"/>
      <c r="EW152" s="365"/>
      <c r="EX152" s="365"/>
      <c r="EY152" s="365"/>
      <c r="EZ152" s="365"/>
      <c r="FA152" s="365"/>
      <c r="FB152" s="365"/>
      <c r="FC152" s="365"/>
      <c r="FD152" s="365"/>
      <c r="FE152" s="365"/>
      <c r="FF152" s="365"/>
      <c r="FG152" s="365"/>
      <c r="FH152" s="365"/>
      <c r="FI152" s="365"/>
      <c r="FJ152" s="365"/>
      <c r="FK152" s="365"/>
      <c r="FL152" s="365"/>
      <c r="FM152" s="365"/>
      <c r="FN152" s="365"/>
      <c r="FO152" s="365"/>
      <c r="FP152" s="365"/>
    </row>
    <row r="153" spans="1:172" ht="21" customHeight="1" x14ac:dyDescent="0.3">
      <c r="A153" s="150" t="s">
        <v>239</v>
      </c>
      <c r="B153" s="149" t="e">
        <f>SUM(DI151:DM151)/100/Lote_37</f>
        <v>#DIV/0!</v>
      </c>
      <c r="C153" s="149" t="e">
        <f>SUM(DN151:DQ151)/100/Lote_37</f>
        <v>#DIV/0!</v>
      </c>
      <c r="D153" s="149" t="e">
        <f>SUM(DS151:DW151)/100/Lote_37</f>
        <v>#DIV/0!</v>
      </c>
      <c r="E153" s="149" t="e">
        <f>SUM(DX151:EB151)/100/Lote_37</f>
        <v>#DIV/0!</v>
      </c>
      <c r="F153" s="149" t="e">
        <f>SUM(EC151:EG151)/100/Lote_37</f>
        <v>#DIV/0!</v>
      </c>
      <c r="G153" s="149" t="e">
        <f>SUM(EH151:EL151)/100/Lote_37</f>
        <v>#DIV/0!</v>
      </c>
      <c r="H153" s="149" t="e">
        <f>SUM(EM151:EQ151)/100/Lote_37</f>
        <v>#DIV/0!</v>
      </c>
      <c r="I153" s="149" t="e">
        <f>SUM(ER151:EV151)/100/Lote_37</f>
        <v>#DIV/0!</v>
      </c>
      <c r="J153" s="149" t="e">
        <f>SUM(EW151:FA151)/100/Lote_37</f>
        <v>#DIV/0!</v>
      </c>
      <c r="K153" s="149" t="e">
        <f>SUM(FB151:FF151)/100/Lote_37</f>
        <v>#DIV/0!</v>
      </c>
      <c r="L153" s="149" t="e">
        <f>SUM(FG151:FK151)/100/Lote_37</f>
        <v>#DIV/0!</v>
      </c>
      <c r="M153" s="149" t="e">
        <f>SUM(FL151:FP151)/100/Lote_37</f>
        <v>#DIV/0!</v>
      </c>
    </row>
    <row r="154" spans="1:172" ht="21" customHeight="1" x14ac:dyDescent="0.3">
      <c r="A154" s="233">
        <f>N_L38</f>
        <v>0</v>
      </c>
      <c r="B154" s="363" t="s">
        <v>37</v>
      </c>
      <c r="C154" s="363" t="s">
        <v>37</v>
      </c>
      <c r="D154" s="363" t="s">
        <v>37</v>
      </c>
      <c r="E154" s="363" t="s">
        <v>37</v>
      </c>
      <c r="F154" s="363" t="s">
        <v>37</v>
      </c>
      <c r="G154" s="363" t="s">
        <v>37</v>
      </c>
      <c r="H154" s="363" t="s">
        <v>37</v>
      </c>
      <c r="I154" s="363" t="s">
        <v>37</v>
      </c>
      <c r="J154" s="363" t="s">
        <v>37</v>
      </c>
      <c r="K154" s="363" t="s">
        <v>37</v>
      </c>
      <c r="L154" s="363" t="s">
        <v>37</v>
      </c>
      <c r="M154" s="363" t="s">
        <v>37</v>
      </c>
    </row>
    <row r="155" spans="1:172" ht="21" customHeight="1" x14ac:dyDescent="0.3">
      <c r="A155" s="4" t="s">
        <v>237</v>
      </c>
      <c r="B155" s="7"/>
      <c r="C155" s="7"/>
      <c r="D155" s="275"/>
      <c r="E155" s="275"/>
      <c r="F155" s="275"/>
      <c r="G155" s="275"/>
      <c r="H155" s="275"/>
      <c r="I155" s="275"/>
      <c r="J155" s="275"/>
      <c r="K155" s="275"/>
      <c r="L155" s="275"/>
      <c r="M155" s="275"/>
      <c r="O155" s="58">
        <f>Área_L38*D_L38*A1_L38</f>
        <v>0</v>
      </c>
      <c r="P155" s="58">
        <f>Área_L38*D_L38*A2_L38</f>
        <v>0</v>
      </c>
      <c r="Q155" s="58">
        <f>Área_L38*D_L38*A3_L38</f>
        <v>0</v>
      </c>
      <c r="R155" s="58">
        <f>Área_L38*D_L38*A4_L38</f>
        <v>0</v>
      </c>
      <c r="S155" s="58">
        <f>Área_L38*D_L38*A5_L38</f>
        <v>0</v>
      </c>
      <c r="T155" s="58">
        <f>Área_L38*D_L38*A6_L38</f>
        <v>0</v>
      </c>
      <c r="U155" s="58">
        <f>Área_L38*D_L38*A7_L38</f>
        <v>0</v>
      </c>
      <c r="V155" s="58">
        <f>Área_L38*D_L38*A8_L38</f>
        <v>0</v>
      </c>
      <c r="W155" s="58">
        <f>Área_L38*D_L38*A9_L38</f>
        <v>0</v>
      </c>
      <c r="X155" s="58">
        <f>Área_L38*D_L38*A10_L38</f>
        <v>0</v>
      </c>
      <c r="Y155" s="58">
        <f>Área_L38*D_L38*A11_L38</f>
        <v>0</v>
      </c>
      <c r="Z155" s="58">
        <f>Área_L38*D_L38*A12_L38</f>
        <v>0</v>
      </c>
      <c r="AB155" s="58">
        <f>IF($B154="Producción",IF($B155&gt;=LI_A,$O155,0),0)</f>
        <v>0</v>
      </c>
      <c r="AC155" s="58">
        <f>IF($B154="Producción",IF($B155&gt;=LI_B,IF($B155&lt;LS_B,$O155,0),0),0)</f>
        <v>0</v>
      </c>
      <c r="AD155" s="58">
        <f>IF($B154="Producción",IF($B155&gt;=LI_C,IF($B155&lt;LS_C,$O155,0),0),0)</f>
        <v>0</v>
      </c>
      <c r="AE155" s="58">
        <f>IF($B154="Producción",IF($B155&lt;=LS_D,$O155,0),0)</f>
        <v>0</v>
      </c>
      <c r="AF155" s="365">
        <f>IF($B154="Crecimiento",$O155,0)</f>
        <v>0</v>
      </c>
      <c r="AG155" s="365">
        <f>IF($B154="Siembra",$O155,0)</f>
        <v>0</v>
      </c>
      <c r="AH155" s="365">
        <f>IF($B154="Abandono",$O155,0)</f>
        <v>0</v>
      </c>
      <c r="AI155" s="365">
        <f>IF($C154="Producción",IF($C155&gt;=LI_A,$P155,0),0)</f>
        <v>0</v>
      </c>
      <c r="AJ155" s="365">
        <f>IF($C154="Producción",IF($C155&gt;=LI_B,IF($C155&lt;LS_B,$P155,0),0),0)</f>
        <v>0</v>
      </c>
      <c r="AK155" s="365">
        <f>IF($C154="Producción",IF($C155&gt;=LI_C,IF($C155&lt;LS_C,$P155,0),0),0)</f>
        <v>0</v>
      </c>
      <c r="AL155" s="365">
        <f>IF($C154="Producción",IF(C155&lt;=LS_D,$P155,0),0)</f>
        <v>0</v>
      </c>
      <c r="AM155" s="365">
        <f>IF($C154="Crecimiento",$P155,0)</f>
        <v>0</v>
      </c>
      <c r="AN155" s="365">
        <f>IF($C154="Siembra",$P155,0)</f>
        <v>0</v>
      </c>
      <c r="AO155" s="365">
        <f>IF($C154="Abandono",$P155,0)</f>
        <v>0</v>
      </c>
      <c r="AP155" s="365">
        <f>IF($D154="Producción",IF($D155&gt;=LI_A,$Q155,0),0)</f>
        <v>0</v>
      </c>
      <c r="AQ155" s="365">
        <f>IF($D154="Producción",IF($D155&gt;=LI_B,IF($D155&lt;LS_B,$Q155,0),0),0)</f>
        <v>0</v>
      </c>
      <c r="AR155" s="365">
        <f>IF($D154="Producción",IF($D155&gt;=LI_C,IF($D155&lt;LS_C,$Q155,0),0),0)</f>
        <v>0</v>
      </c>
      <c r="AS155" s="365">
        <f>IF($D154="Producción",IF($D155&lt;=LS_D,$Q155,0),0)</f>
        <v>0</v>
      </c>
      <c r="AT155" s="365">
        <f>IF($D154="Crecimiento",$Q155,0)</f>
        <v>0</v>
      </c>
      <c r="AU155" s="365">
        <f>IF($D154="Siembra",$Q155,0)</f>
        <v>0</v>
      </c>
      <c r="AV155" s="365">
        <f>IF($D154="Abandono",$Q155,0)</f>
        <v>0</v>
      </c>
      <c r="AW155" s="365">
        <f>IF($E154="Producción",IF($E155&gt;=LI_A,$R155,0),0)</f>
        <v>0</v>
      </c>
      <c r="AX155" s="365">
        <f>IF($E154="Producción",IF($E155&gt;=LI_B,IF($E155&lt;LS_B,$R155,0),0),0)</f>
        <v>0</v>
      </c>
      <c r="AY155" s="365">
        <f>IF($E154="Producción",IF($E155&gt;=LI_C,IF($E155&lt;LS_C,$R155,0),0),0)</f>
        <v>0</v>
      </c>
      <c r="AZ155" s="365">
        <f>IF($E154="Producción",IF($E155&lt;=LS_D,$R155,0),0)</f>
        <v>0</v>
      </c>
      <c r="BA155" s="365">
        <f>IF($E154="Crecimiento",$R155,0)</f>
        <v>0</v>
      </c>
      <c r="BB155" s="365">
        <f>IF($E154="Siembra",$R155,0)</f>
        <v>0</v>
      </c>
      <c r="BC155" s="365">
        <f>IF($E154="Abandono",$R155,0)</f>
        <v>0</v>
      </c>
      <c r="BD155" s="365">
        <f>IF($F154="Producción",IF($F155&gt;=LI_A,$S155,0),0)</f>
        <v>0</v>
      </c>
      <c r="BE155" s="365">
        <f>IF($F154="Producción",IF($F155&gt;=LI_B,IF($F155&lt;LS_B,$S155,0),0),0)</f>
        <v>0</v>
      </c>
      <c r="BF155" s="365">
        <f>IF($F154="Producción",IF($F155&gt;=LI_C,IF($F155&lt;LS_C,$S155,0),0),0)</f>
        <v>0</v>
      </c>
      <c r="BG155" s="365">
        <f>IF($F154="Producción",IF($F155&lt;=LS_D,$S155,0),0)</f>
        <v>0</v>
      </c>
      <c r="BH155" s="365">
        <f>IF($F154="Crecimiento",$S155,0)</f>
        <v>0</v>
      </c>
      <c r="BI155" s="365">
        <f>IF($F154="Siembra",$S155,0)</f>
        <v>0</v>
      </c>
      <c r="BJ155" s="365">
        <f>IF($F154="Abandono",$S155,0)</f>
        <v>0</v>
      </c>
      <c r="BK155" s="365">
        <f>IF($G154="Producción",IF($G155&gt;=LI_A,$T155,0),0)</f>
        <v>0</v>
      </c>
      <c r="BL155" s="365">
        <f>IF($G154="Producción",IF($G155&gt;=LI_B,IF($G155&lt;LS_B,$T155,0),0),0)</f>
        <v>0</v>
      </c>
      <c r="BM155" s="365">
        <f>IF($G154="Producción",IF($G155&gt;=LI_C,IF($G155&lt;LS_C,$T155,0),0),0)</f>
        <v>0</v>
      </c>
      <c r="BN155" s="365">
        <f>IF($G154="Producción",IF($G155&lt;=LS_D,$T155,0),0)</f>
        <v>0</v>
      </c>
      <c r="BO155" s="365">
        <f>IF($G154="Crecimiento",$T155,0)</f>
        <v>0</v>
      </c>
      <c r="BP155" s="365">
        <f>IF($G154="Siembra",$T155,0)</f>
        <v>0</v>
      </c>
      <c r="BQ155" s="365">
        <f>IF($G154="Abandono",$T155,0)</f>
        <v>0</v>
      </c>
      <c r="BR155" s="365">
        <f>IF($H154="Producción",IF($H155&gt;=LI_A,$U155,0),0)</f>
        <v>0</v>
      </c>
      <c r="BS155" s="365">
        <f>IF($H154="Producción",IF($H155&gt;=LI_B,IF($H155&lt;LS_B,$U155,0),0),0)</f>
        <v>0</v>
      </c>
      <c r="BT155" s="365">
        <f>IF($H154="Producción",IF($H155&gt;=LI_C,IF($H155&lt;LS_C,$U155,0),0),0)</f>
        <v>0</v>
      </c>
      <c r="BU155" s="365">
        <f>IF($H154="Producción",IF($H155&lt;=LS_D,$U155,0),0)</f>
        <v>0</v>
      </c>
      <c r="BV155" s="365">
        <f>IF($H154="Crecimiento",$U155,0)</f>
        <v>0</v>
      </c>
      <c r="BW155" s="365">
        <f>IF($H154="Siembra",$U155,0)</f>
        <v>0</v>
      </c>
      <c r="BX155" s="365">
        <f>IF($H154="Abandono",$U155,0)</f>
        <v>0</v>
      </c>
      <c r="BY155" s="365">
        <f>IF($I154="Producción",IF($I155&gt;=LI_A,$V155,0),0)</f>
        <v>0</v>
      </c>
      <c r="BZ155" s="365">
        <f>IF($I154="Producción",IF($I155&gt;=LI_B,IF($I155&lt;LS_B,$V155,0),0),0)</f>
        <v>0</v>
      </c>
      <c r="CA155" s="365">
        <f>IF($I154="Producción",IF($I155&gt;=LI_C,IF($I155&lt;LS_C,$V155,0),0),0)</f>
        <v>0</v>
      </c>
      <c r="CB155" s="365">
        <f>IF($I154="Producción",IF($I155&lt;=LS_D,$V155,0),0)</f>
        <v>0</v>
      </c>
      <c r="CC155" s="365">
        <f>IF($I154="Crecimiento",$V155,0)</f>
        <v>0</v>
      </c>
      <c r="CD155" s="365">
        <f>IF($I154="Siembra",$V155,0)</f>
        <v>0</v>
      </c>
      <c r="CE155" s="365">
        <f>IF($I154="Abandono",$V155,0)</f>
        <v>0</v>
      </c>
      <c r="CF155" s="365">
        <f>IF($J154="Producción",IF($J155&gt;=LI_A,$W155,0),0)</f>
        <v>0</v>
      </c>
      <c r="CG155" s="365">
        <f>IF($J154="Producción",IF($J155&gt;=LI_B,IF($J155&lt;LS_B,$W155,0),0),0)</f>
        <v>0</v>
      </c>
      <c r="CH155" s="365">
        <f>IF($J154="Producción",IF($J155&gt;=LI_C,IF($J155&lt;LS_C,$W155,0),0),0)</f>
        <v>0</v>
      </c>
      <c r="CI155" s="365">
        <f>IF($J154="Producción",IF($J155&lt;=LS_D,$W155,0),0)</f>
        <v>0</v>
      </c>
      <c r="CJ155" s="365">
        <f>IF($J154="Crecimiento",$W155,0)</f>
        <v>0</v>
      </c>
      <c r="CK155" s="365">
        <f>IF($J154="Siembra",$W155,0)</f>
        <v>0</v>
      </c>
      <c r="CL155" s="365">
        <f>IF($J154="Abandono",$W155,0)</f>
        <v>0</v>
      </c>
      <c r="CM155" s="365">
        <f>IF($K154="Producción",IF($K155&gt;=LI_A,$X155,0),0)</f>
        <v>0</v>
      </c>
      <c r="CN155" s="365">
        <f>IF($K154="Producción",IF($K155&gt;=LI_B,IF($K155&lt;LS_B,$X155,0),0),0)</f>
        <v>0</v>
      </c>
      <c r="CO155" s="365">
        <f>IF($K154="Producción",IF($K155&gt;=LI_C,IF($K155&lt;LS_C,$X155,0),0),0)</f>
        <v>0</v>
      </c>
      <c r="CP155" s="365">
        <f>IF($K154="Producción",IF($K155&lt;=LS_D,$X155,0),0)</f>
        <v>0</v>
      </c>
      <c r="CQ155" s="365">
        <f>IF($K154="Crecimiento",IF($K155&gt;0,$X155,0),0)</f>
        <v>0</v>
      </c>
      <c r="CR155" s="365">
        <f>IF($K154="Siembra",IF($K155&gt;0,$X155,0),0)</f>
        <v>0</v>
      </c>
      <c r="CS155" s="365">
        <f>IF($K154="Abandono",IF($K155&gt;0,$X155,0),0)</f>
        <v>0</v>
      </c>
      <c r="CT155" s="365">
        <f>IF($L154="Producción",IF($L155&gt;=LI_A,$Y155,0),0)</f>
        <v>0</v>
      </c>
      <c r="CU155" s="365">
        <f>IF($L154="Producción",IF($L155&gt;=LI_B,IF($L155&lt;LS_B,$Y155,0),0),0)</f>
        <v>0</v>
      </c>
      <c r="CV155" s="365">
        <f>IF($L154="Producción",IF($L155&gt;=LI_C,IF($L155&lt;LS_C,$Y155,0),0),0)</f>
        <v>0</v>
      </c>
      <c r="CW155" s="365">
        <f>IF($L154="Producción",IF($L155&lt;=LS_D,$Y155,0),0)</f>
        <v>0</v>
      </c>
      <c r="CX155" s="365">
        <f>IF($L154="Crecimiento",$Y155,0)</f>
        <v>0</v>
      </c>
      <c r="CY155" s="365">
        <f>IF($L154="Siembra",$Y155,0)</f>
        <v>0</v>
      </c>
      <c r="CZ155" s="365">
        <f>IF($L154="Abandono",$Y155,0)</f>
        <v>0</v>
      </c>
      <c r="DA155" s="365">
        <f>IF($M154="Producción",IF($M155&gt;=LI_A,$Z155,0),0)</f>
        <v>0</v>
      </c>
      <c r="DB155" s="365">
        <f>IF($M154="Producción",IF($M155&gt;=LI_B,IF($M155&lt;LS_B,$Z155,0),0),0)</f>
        <v>0</v>
      </c>
      <c r="DC155" s="365">
        <f>IF($M154="Producción",IF($M155&gt;=LI_C,IF($M155&lt;LS_C,$Z155,0),0),0)</f>
        <v>0</v>
      </c>
      <c r="DD155" s="365">
        <f>IF($M154="Producción",IF($M155&lt;=LS_D,$Z155,0),0)</f>
        <v>0</v>
      </c>
      <c r="DE155" s="365">
        <f>IF($M154="Crecimiento",$Z155,0)</f>
        <v>0</v>
      </c>
      <c r="DF155" s="365">
        <f>IF($M154="Siembra",$Z155,0)</f>
        <v>0</v>
      </c>
      <c r="DG155" s="365">
        <f>IF($M154="Abandono",$Z155,0)</f>
        <v>0</v>
      </c>
      <c r="DI155" s="58">
        <f>AB155*$B155</f>
        <v>0</v>
      </c>
      <c r="DJ155" s="58">
        <f>AC155*$B155</f>
        <v>0</v>
      </c>
      <c r="DK155" s="58">
        <f>AD155*$B155</f>
        <v>0</v>
      </c>
      <c r="DL155" s="58">
        <f>AE155*$B155</f>
        <v>0</v>
      </c>
      <c r="DM155" s="365">
        <f>AF155*$B155</f>
        <v>0</v>
      </c>
      <c r="DN155" s="365">
        <f>AI155*$C155</f>
        <v>0</v>
      </c>
      <c r="DO155" s="365">
        <f>AJ155*$C155</f>
        <v>0</v>
      </c>
      <c r="DP155" s="365">
        <f>AK155*$C155</f>
        <v>0</v>
      </c>
      <c r="DQ155" s="365">
        <f>AL155*$C155</f>
        <v>0</v>
      </c>
      <c r="DR155" s="365">
        <f>AM155*$C155</f>
        <v>0</v>
      </c>
      <c r="DS155" s="365">
        <f>AP155*$D155</f>
        <v>0</v>
      </c>
      <c r="DT155" s="365">
        <f>AQ155*$D155</f>
        <v>0</v>
      </c>
      <c r="DU155" s="365">
        <f>AR155*$D155</f>
        <v>0</v>
      </c>
      <c r="DV155" s="365">
        <f>AS155*$D155</f>
        <v>0</v>
      </c>
      <c r="DW155" s="365">
        <f>AT155*$D155</f>
        <v>0</v>
      </c>
      <c r="DX155" s="365">
        <f>AW155*$E155</f>
        <v>0</v>
      </c>
      <c r="DY155" s="365">
        <f>AX155*$E155</f>
        <v>0</v>
      </c>
      <c r="DZ155" s="365">
        <f>AY155*$E155</f>
        <v>0</v>
      </c>
      <c r="EA155" s="365">
        <f>AZ155*$E155</f>
        <v>0</v>
      </c>
      <c r="EB155" s="365">
        <f>BA155*$E155</f>
        <v>0</v>
      </c>
      <c r="EC155" s="365">
        <f>BD155*$F155</f>
        <v>0</v>
      </c>
      <c r="ED155" s="365">
        <f>BE155*$F155</f>
        <v>0</v>
      </c>
      <c r="EE155" s="365">
        <f>BF155*$F155</f>
        <v>0</v>
      </c>
      <c r="EF155" s="365">
        <f>BG155*$F155</f>
        <v>0</v>
      </c>
      <c r="EG155" s="365">
        <f>BH155*$F155</f>
        <v>0</v>
      </c>
      <c r="EH155" s="365">
        <f>BK155*$G155</f>
        <v>0</v>
      </c>
      <c r="EI155" s="365">
        <f>BL155*$G155</f>
        <v>0</v>
      </c>
      <c r="EJ155" s="365">
        <f>BM155*$G155</f>
        <v>0</v>
      </c>
      <c r="EK155" s="365">
        <f>BN155*$G155</f>
        <v>0</v>
      </c>
      <c r="EL155" s="365">
        <f>BO155*$G155</f>
        <v>0</v>
      </c>
      <c r="EM155" s="365">
        <f>BR155*$H155</f>
        <v>0</v>
      </c>
      <c r="EN155" s="365">
        <f>BS155*$H155</f>
        <v>0</v>
      </c>
      <c r="EO155" s="365">
        <f>BT155*$H155</f>
        <v>0</v>
      </c>
      <c r="EP155" s="365">
        <f>BU155*$H155</f>
        <v>0</v>
      </c>
      <c r="EQ155" s="365">
        <f>BV155*$H155</f>
        <v>0</v>
      </c>
      <c r="ER155" s="365">
        <f>BY155*$I155</f>
        <v>0</v>
      </c>
      <c r="ES155" s="365">
        <f>BZ155*$I155</f>
        <v>0</v>
      </c>
      <c r="ET155" s="365">
        <f>CA155*$I155</f>
        <v>0</v>
      </c>
      <c r="EU155" s="365">
        <f>CB155*$I155</f>
        <v>0</v>
      </c>
      <c r="EV155" s="365">
        <f>CC155*$I155</f>
        <v>0</v>
      </c>
      <c r="EW155" s="365">
        <f>CF155*$J155</f>
        <v>0</v>
      </c>
      <c r="EX155" s="365">
        <f>CG155*$J155</f>
        <v>0</v>
      </c>
      <c r="EY155" s="365">
        <f>CH155*$J155</f>
        <v>0</v>
      </c>
      <c r="EZ155" s="365">
        <f>CI155*$J155</f>
        <v>0</v>
      </c>
      <c r="FA155" s="365">
        <f>CJ155*$J155</f>
        <v>0</v>
      </c>
      <c r="FB155" s="365">
        <f>CM155*$K155</f>
        <v>0</v>
      </c>
      <c r="FC155" s="365">
        <f>CN155*$K155</f>
        <v>0</v>
      </c>
      <c r="FD155" s="365">
        <f>CO155*$K155</f>
        <v>0</v>
      </c>
      <c r="FE155" s="365">
        <f>CP155*$K155</f>
        <v>0</v>
      </c>
      <c r="FF155" s="365">
        <f>CQ155*$K155</f>
        <v>0</v>
      </c>
      <c r="FG155" s="365">
        <f>CT155*$L155</f>
        <v>0</v>
      </c>
      <c r="FH155" s="365">
        <f>CU155*$L155</f>
        <v>0</v>
      </c>
      <c r="FI155" s="365">
        <f>CV155*$L155</f>
        <v>0</v>
      </c>
      <c r="FJ155" s="365">
        <f>CW155*$L155</f>
        <v>0</v>
      </c>
      <c r="FK155" s="365">
        <f>CX155*$L155</f>
        <v>0</v>
      </c>
      <c r="FL155" s="365">
        <f>DA155*$M155</f>
        <v>0</v>
      </c>
      <c r="FM155" s="365">
        <f t="shared" ref="FM155" si="113">DB155*$M155</f>
        <v>0</v>
      </c>
      <c r="FN155" s="365">
        <f>DC155*$M155</f>
        <v>0</v>
      </c>
      <c r="FO155" s="365">
        <f t="shared" ref="FO155" si="114">DD155*$M155</f>
        <v>0</v>
      </c>
      <c r="FP155" s="365">
        <f t="shared" ref="FP155" si="115">DE155*$M155</f>
        <v>0</v>
      </c>
    </row>
    <row r="156" spans="1:172" ht="21" customHeight="1" x14ac:dyDescent="0.3">
      <c r="A156" s="277" t="s">
        <v>238</v>
      </c>
      <c r="B156" s="278">
        <f>SUM(DI155:DM155)/100</f>
        <v>0</v>
      </c>
      <c r="C156" s="278">
        <f>SUM(DN155:DQ155)/100</f>
        <v>0</v>
      </c>
      <c r="D156" s="279">
        <f>SUM(DS155:DW155)/100</f>
        <v>0</v>
      </c>
      <c r="E156" s="279">
        <f>SUM(DX155:EB155)/100</f>
        <v>0</v>
      </c>
      <c r="F156" s="279">
        <f>SUM(EC155:EG155)/100</f>
        <v>0</v>
      </c>
      <c r="G156" s="279">
        <f>SUM(EH155:EL155)/100</f>
        <v>0</v>
      </c>
      <c r="H156" s="279">
        <f>SUM(EM155:EQ155)/100</f>
        <v>0</v>
      </c>
      <c r="I156" s="279">
        <f>SUM(ER155:EV155)/100</f>
        <v>0</v>
      </c>
      <c r="J156" s="279">
        <f>SUM(EW155:FA155)/100</f>
        <v>0</v>
      </c>
      <c r="K156" s="279">
        <f>SUM(FB155:FF155)/100</f>
        <v>0</v>
      </c>
      <c r="L156" s="279">
        <f>SUM(FG155:FK155)/100</f>
        <v>0</v>
      </c>
      <c r="M156" s="279">
        <f>SUM(FL155:FP155)/100</f>
        <v>0</v>
      </c>
      <c r="AG156" s="365"/>
      <c r="AH156" s="365"/>
      <c r="AI156" s="365"/>
      <c r="AJ156" s="365"/>
      <c r="AK156" s="365"/>
      <c r="AL156" s="365"/>
      <c r="AM156" s="365"/>
      <c r="AN156" s="365"/>
      <c r="AO156" s="365"/>
      <c r="AP156" s="365"/>
      <c r="AQ156" s="365"/>
      <c r="AR156" s="365"/>
      <c r="AS156" s="365"/>
      <c r="AT156" s="365"/>
      <c r="AU156" s="365"/>
      <c r="AV156" s="365"/>
      <c r="AW156" s="365"/>
      <c r="AX156" s="365"/>
      <c r="AY156" s="365"/>
      <c r="AZ156" s="365"/>
      <c r="BA156" s="365"/>
      <c r="BB156" s="365"/>
      <c r="BC156" s="365"/>
      <c r="BD156" s="365"/>
      <c r="BE156" s="365"/>
      <c r="BF156" s="365"/>
      <c r="BG156" s="365"/>
      <c r="BH156" s="365"/>
      <c r="BI156" s="365"/>
      <c r="BJ156" s="365"/>
      <c r="BK156" s="365"/>
      <c r="BL156" s="365"/>
      <c r="BM156" s="365"/>
      <c r="BN156" s="365"/>
      <c r="BO156" s="365"/>
      <c r="BP156" s="365"/>
      <c r="BQ156" s="365"/>
      <c r="BR156" s="365"/>
      <c r="BS156" s="365"/>
      <c r="BT156" s="365"/>
      <c r="BU156" s="365"/>
      <c r="BV156" s="365"/>
      <c r="BW156" s="365"/>
      <c r="BX156" s="365"/>
      <c r="BY156" s="365"/>
      <c r="BZ156" s="365"/>
      <c r="CA156" s="365"/>
      <c r="CB156" s="365"/>
      <c r="CC156" s="365"/>
      <c r="CD156" s="365"/>
      <c r="CE156" s="365"/>
      <c r="CF156" s="365"/>
      <c r="CG156" s="365"/>
      <c r="CH156" s="365"/>
      <c r="CI156" s="365"/>
      <c r="CJ156" s="365"/>
      <c r="CK156" s="365"/>
      <c r="CL156" s="365"/>
      <c r="CM156" s="365"/>
      <c r="CN156" s="365"/>
      <c r="CO156" s="365"/>
      <c r="CP156" s="365"/>
      <c r="CQ156" s="365"/>
      <c r="CR156" s="365"/>
      <c r="CS156" s="365"/>
      <c r="CT156" s="365"/>
      <c r="CU156" s="365"/>
      <c r="CV156" s="365"/>
      <c r="CW156" s="365"/>
      <c r="CX156" s="365"/>
      <c r="CY156" s="365"/>
      <c r="CZ156" s="365"/>
      <c r="DA156" s="365"/>
      <c r="DB156" s="365"/>
      <c r="DC156" s="365"/>
      <c r="DD156" s="365"/>
      <c r="DE156" s="365"/>
      <c r="DF156" s="365"/>
      <c r="DG156" s="365"/>
      <c r="DM156" s="365"/>
      <c r="DN156" s="365"/>
      <c r="DO156" s="365"/>
      <c r="DP156" s="365"/>
      <c r="DQ156" s="365"/>
      <c r="DR156" s="365"/>
      <c r="DS156" s="365"/>
      <c r="DT156" s="365"/>
      <c r="DU156" s="365"/>
      <c r="DV156" s="365"/>
      <c r="DW156" s="365"/>
      <c r="DX156" s="365"/>
      <c r="DY156" s="365"/>
      <c r="DZ156" s="365"/>
      <c r="EA156" s="365"/>
      <c r="EB156" s="365"/>
      <c r="EC156" s="365"/>
      <c r="ED156" s="365"/>
      <c r="EE156" s="365"/>
      <c r="EF156" s="365"/>
      <c r="EG156" s="365"/>
      <c r="EH156" s="365"/>
      <c r="EI156" s="365"/>
      <c r="EJ156" s="365"/>
      <c r="EK156" s="365"/>
      <c r="EL156" s="365"/>
      <c r="EM156" s="365"/>
      <c r="EN156" s="365"/>
      <c r="EO156" s="365"/>
      <c r="EP156" s="365"/>
      <c r="EQ156" s="365"/>
      <c r="ER156" s="365"/>
      <c r="ES156" s="365"/>
      <c r="ET156" s="365"/>
      <c r="EU156" s="365"/>
      <c r="EV156" s="365"/>
      <c r="EW156" s="365"/>
      <c r="EX156" s="365"/>
      <c r="EY156" s="365"/>
      <c r="EZ156" s="365"/>
      <c r="FA156" s="365"/>
      <c r="FB156" s="365"/>
      <c r="FC156" s="365"/>
      <c r="FD156" s="365"/>
      <c r="FE156" s="365"/>
      <c r="FF156" s="365"/>
      <c r="FG156" s="365"/>
      <c r="FH156" s="365"/>
      <c r="FI156" s="365"/>
      <c r="FJ156" s="365"/>
      <c r="FK156" s="365"/>
      <c r="FL156" s="365"/>
      <c r="FM156" s="365"/>
      <c r="FN156" s="365"/>
      <c r="FO156" s="365"/>
      <c r="FP156" s="365"/>
    </row>
    <row r="157" spans="1:172" ht="21" customHeight="1" x14ac:dyDescent="0.3">
      <c r="A157" s="150" t="s">
        <v>239</v>
      </c>
      <c r="B157" s="149" t="e">
        <f>SUM(DI155:DM155)/100/Lote_38</f>
        <v>#DIV/0!</v>
      </c>
      <c r="C157" s="149" t="e">
        <f>SUM(DN155:DQ155)/100/Lote_38</f>
        <v>#DIV/0!</v>
      </c>
      <c r="D157" s="149" t="e">
        <f>SUM(DS155:DW155)/100/Lote_38</f>
        <v>#DIV/0!</v>
      </c>
      <c r="E157" s="149" t="e">
        <f>SUM(DX155:EB155)/100/Lote_38</f>
        <v>#DIV/0!</v>
      </c>
      <c r="F157" s="149" t="e">
        <f>SUM(EC155:EG155)/100/Lote_38</f>
        <v>#DIV/0!</v>
      </c>
      <c r="G157" s="149" t="e">
        <f>SUM(EH155:EL155)/100/Lote_38</f>
        <v>#DIV/0!</v>
      </c>
      <c r="H157" s="149" t="e">
        <f>SUM(EM155:EQ155)/100/Lote_38</f>
        <v>#DIV/0!</v>
      </c>
      <c r="I157" s="149" t="e">
        <f>SUM(ER155:EV155)/100/Lote_38</f>
        <v>#DIV/0!</v>
      </c>
      <c r="J157" s="149" t="e">
        <f>SUM(EW155:FA155)/100/Lote_38</f>
        <v>#DIV/0!</v>
      </c>
      <c r="K157" s="149" t="e">
        <f>SUM(FB155:FF155)/100/Lote_38</f>
        <v>#DIV/0!</v>
      </c>
      <c r="L157" s="149" t="e">
        <f>SUM(FG155:FK155)/100/Lote_38</f>
        <v>#DIV/0!</v>
      </c>
      <c r="M157" s="149" t="e">
        <f>SUM(FL155:FP155)/100/Lote_38</f>
        <v>#DIV/0!</v>
      </c>
    </row>
    <row r="158" spans="1:172" ht="21" customHeight="1" x14ac:dyDescent="0.3">
      <c r="A158" s="233">
        <f>N_L39</f>
        <v>0</v>
      </c>
      <c r="B158" s="363" t="s">
        <v>37</v>
      </c>
      <c r="C158" s="363" t="s">
        <v>37</v>
      </c>
      <c r="D158" s="363" t="s">
        <v>37</v>
      </c>
      <c r="E158" s="363" t="s">
        <v>37</v>
      </c>
      <c r="F158" s="363" t="s">
        <v>37</v>
      </c>
      <c r="G158" s="363" t="s">
        <v>37</v>
      </c>
      <c r="H158" s="363" t="s">
        <v>37</v>
      </c>
      <c r="I158" s="363" t="s">
        <v>37</v>
      </c>
      <c r="J158" s="363" t="s">
        <v>37</v>
      </c>
      <c r="K158" s="363" t="s">
        <v>37</v>
      </c>
      <c r="L158" s="363" t="s">
        <v>37</v>
      </c>
      <c r="M158" s="363" t="s">
        <v>37</v>
      </c>
    </row>
    <row r="159" spans="1:172" ht="21" customHeight="1" x14ac:dyDescent="0.3">
      <c r="A159" s="4" t="s">
        <v>237</v>
      </c>
      <c r="B159" s="7"/>
      <c r="C159" s="7"/>
      <c r="D159" s="275"/>
      <c r="E159" s="275"/>
      <c r="F159" s="275"/>
      <c r="G159" s="275"/>
      <c r="H159" s="275"/>
      <c r="I159" s="275"/>
      <c r="J159" s="275"/>
      <c r="K159" s="275"/>
      <c r="L159" s="275"/>
      <c r="M159" s="275"/>
      <c r="O159" s="58">
        <f>Área_L39*D_L39*A1_L39</f>
        <v>0</v>
      </c>
      <c r="P159" s="58">
        <f>Área_L39*D_L39*A2_L39</f>
        <v>0</v>
      </c>
      <c r="Q159" s="58">
        <f>Área_L39*D_L39*A3_L39</f>
        <v>0</v>
      </c>
      <c r="R159" s="58">
        <f>Área_L39*D_L39*A4_L39</f>
        <v>0</v>
      </c>
      <c r="S159" s="58">
        <f>Área_L39*D_L39*A5_L39</f>
        <v>0</v>
      </c>
      <c r="T159" s="58">
        <f>Área_L39*D_L39*A6_L39</f>
        <v>0</v>
      </c>
      <c r="U159" s="58">
        <f>Área_L39*D_L39*A7_L39</f>
        <v>0</v>
      </c>
      <c r="V159" s="58">
        <f>Área_L39*D_L39*A8_L39</f>
        <v>0</v>
      </c>
      <c r="W159" s="58">
        <f>Área_L39*D_L39*A9_L39</f>
        <v>0</v>
      </c>
      <c r="X159" s="58">
        <f>Área_L39*D_L39*A10_L39</f>
        <v>0</v>
      </c>
      <c r="Y159" s="58">
        <f>Área_L39*D_L39*A11_L39</f>
        <v>0</v>
      </c>
      <c r="Z159" s="58">
        <f>Área_L39*D_L39*A12_L39</f>
        <v>0</v>
      </c>
      <c r="AB159" s="58">
        <f>IF($B158="Producción",IF($B159&gt;=LI_A,$O159,0),0)</f>
        <v>0</v>
      </c>
      <c r="AC159" s="58">
        <f>IF($B158="Producción",IF($B159&gt;=LI_B,IF($B159&lt;LS_B,$O159,0),0),0)</f>
        <v>0</v>
      </c>
      <c r="AD159" s="58">
        <f>IF($B158="Producción",IF($B159&gt;=LI_C,IF($B159&lt;LS_C,$O159,0),0),0)</f>
        <v>0</v>
      </c>
      <c r="AE159" s="58">
        <f>IF($B158="Producción",IF($B159&lt;=LS_D,$O159,0),0)</f>
        <v>0</v>
      </c>
      <c r="AF159" s="365">
        <f>IF($B158="Crecimiento",$O159,0)</f>
        <v>0</v>
      </c>
      <c r="AG159" s="365">
        <f>IF($B158="Siembra",$O159,0)</f>
        <v>0</v>
      </c>
      <c r="AH159" s="365">
        <f>IF($B158="Abandono",$O159,0)</f>
        <v>0</v>
      </c>
      <c r="AI159" s="365">
        <f>IF($C158="Producción",IF($C159&gt;=LI_A,$P159,0),0)</f>
        <v>0</v>
      </c>
      <c r="AJ159" s="365">
        <f>IF($C158="Producción",IF($C159&gt;=LI_B,IF($C159&lt;LS_B,$P159,0),0),0)</f>
        <v>0</v>
      </c>
      <c r="AK159" s="365">
        <f>IF($C158="Producción",IF($C159&gt;=LI_C,IF($C159&lt;LS_C,$P159,0),0),0)</f>
        <v>0</v>
      </c>
      <c r="AL159" s="365">
        <f>IF($C158="Producción",IF(C159&lt;=LS_D,$P159,0),0)</f>
        <v>0</v>
      </c>
      <c r="AM159" s="365">
        <f>IF($C158="Crecimiento",$P159,0)</f>
        <v>0</v>
      </c>
      <c r="AN159" s="365">
        <f>IF($C158="Siembra",$P159,0)</f>
        <v>0</v>
      </c>
      <c r="AO159" s="365">
        <f>IF($C158="Abandono",$P159,0)</f>
        <v>0</v>
      </c>
      <c r="AP159" s="365">
        <f>IF($D158="Producción",IF($D159&gt;=LI_A,$Q159,0),0)</f>
        <v>0</v>
      </c>
      <c r="AQ159" s="365">
        <f>IF($D158="Producción",IF($D159&gt;=LI_B,IF($D159&lt;LS_B,$Q159,0),0),0)</f>
        <v>0</v>
      </c>
      <c r="AR159" s="365">
        <f>IF($D158="Producción",IF($D159&gt;=LI_C,IF($D159&lt;LS_C,$Q159,0),0),0)</f>
        <v>0</v>
      </c>
      <c r="AS159" s="365">
        <f>IF($D158="Producción",IF($D159&lt;=LS_D,$Q159,0),0)</f>
        <v>0</v>
      </c>
      <c r="AT159" s="365">
        <f>IF($D158="Crecimiento",$Q159,0)</f>
        <v>0</v>
      </c>
      <c r="AU159" s="365">
        <f>IF($D158="Siembra",$Q159,0)</f>
        <v>0</v>
      </c>
      <c r="AV159" s="365">
        <f>IF($D158="Abandono",$Q159,0)</f>
        <v>0</v>
      </c>
      <c r="AW159" s="365">
        <f>IF($E158="Producción",IF($E159&gt;=LI_A,$R159,0),0)</f>
        <v>0</v>
      </c>
      <c r="AX159" s="365">
        <f>IF($E158="Producción",IF($E159&gt;=LI_B,IF($E159&lt;LS_B,$R159,0),0),0)</f>
        <v>0</v>
      </c>
      <c r="AY159" s="365">
        <f>IF($E158="Producción",IF($E159&gt;=LI_C,IF($E159&lt;LS_C,$R159,0),0),0)</f>
        <v>0</v>
      </c>
      <c r="AZ159" s="365">
        <f>IF($E158="Producción",IF($E159&lt;=LS_D,$R159,0),0)</f>
        <v>0</v>
      </c>
      <c r="BA159" s="365">
        <f>IF($E158="Crecimiento",$R159,0)</f>
        <v>0</v>
      </c>
      <c r="BB159" s="365">
        <f>IF($E158="Siembra",$R159,0)</f>
        <v>0</v>
      </c>
      <c r="BC159" s="365">
        <f>IF($E158="Abandono",$R159,0)</f>
        <v>0</v>
      </c>
      <c r="BD159" s="365">
        <f>IF($F158="Producción",IF($F159&gt;=LI_A,$S159,0),0)</f>
        <v>0</v>
      </c>
      <c r="BE159" s="365">
        <f>IF($F158="Producción",IF($F159&gt;=LI_B,IF($F159&lt;LS_B,$S159,0),0),0)</f>
        <v>0</v>
      </c>
      <c r="BF159" s="365">
        <f>IF($F158="Producción",IF($F159&gt;=LI_C,IF($F159&lt;LS_C,$S159,0),0),0)</f>
        <v>0</v>
      </c>
      <c r="BG159" s="365">
        <f>IF($F158="Producción",IF($F159&lt;=LS_D,$S159,0),0)</f>
        <v>0</v>
      </c>
      <c r="BH159" s="365">
        <f>IF($F158="Crecimiento",$S159,0)</f>
        <v>0</v>
      </c>
      <c r="BI159" s="365">
        <f>IF($F158="Siembra",$S159,0)</f>
        <v>0</v>
      </c>
      <c r="BJ159" s="365">
        <f>IF($F158="Abandono",$S159,0)</f>
        <v>0</v>
      </c>
      <c r="BK159" s="365">
        <f>IF($G158="Producción",IF($G159&gt;=LI_A,$T159,0),0)</f>
        <v>0</v>
      </c>
      <c r="BL159" s="365">
        <f>IF($G158="Producción",IF($G159&gt;=LI_B,IF($G159&lt;LS_B,$T159,0),0),0)</f>
        <v>0</v>
      </c>
      <c r="BM159" s="365">
        <f>IF($G158="Producción",IF($G159&gt;=LI_C,IF($G159&lt;LS_C,$T159,0),0),0)</f>
        <v>0</v>
      </c>
      <c r="BN159" s="365">
        <f>IF($G158="Producción",IF($G159&lt;=LS_D,$T159,0),0)</f>
        <v>0</v>
      </c>
      <c r="BO159" s="365">
        <f>IF($G158="Crecimiento",$T159,0)</f>
        <v>0</v>
      </c>
      <c r="BP159" s="365">
        <f>IF($G158="Siembra",$T159,0)</f>
        <v>0</v>
      </c>
      <c r="BQ159" s="365">
        <f>IF($G158="Abandono",$T159,0)</f>
        <v>0</v>
      </c>
      <c r="BR159" s="365">
        <f>IF($H158="Producción",IF($H159&gt;=LI_A,$U159,0),0)</f>
        <v>0</v>
      </c>
      <c r="BS159" s="365">
        <f>IF($H158="Producción",IF($H159&gt;=LI_B,IF($H159&lt;LS_B,$U159,0),0),0)</f>
        <v>0</v>
      </c>
      <c r="BT159" s="365">
        <f>IF($H158="Producción",IF($H159&gt;=LI_C,IF($H159&lt;LS_C,$U159,0),0),0)</f>
        <v>0</v>
      </c>
      <c r="BU159" s="365">
        <f>IF($H158="Producción",IF($H159&lt;=LS_D,$U159,0),0)</f>
        <v>0</v>
      </c>
      <c r="BV159" s="365">
        <f>IF($H158="Crecimiento",$U159,0)</f>
        <v>0</v>
      </c>
      <c r="BW159" s="365">
        <f>IF($H158="Siembra",$U159,0)</f>
        <v>0</v>
      </c>
      <c r="BX159" s="365">
        <f>IF($H158="Abandono",$U159,0)</f>
        <v>0</v>
      </c>
      <c r="BY159" s="365">
        <f>IF($I158="Producción",IF($I159&gt;=LI_A,$V159,0),0)</f>
        <v>0</v>
      </c>
      <c r="BZ159" s="365">
        <f>IF($I158="Producción",IF($I159&gt;=LI_B,IF($I159&lt;LS_B,$V159,0),0),0)</f>
        <v>0</v>
      </c>
      <c r="CA159" s="365">
        <f>IF($I158="Producción",IF($I159&gt;=LI_C,IF($I159&lt;LS_C,$V159,0),0),0)</f>
        <v>0</v>
      </c>
      <c r="CB159" s="365">
        <f>IF($I158="Producción",IF($I159&lt;=LS_D,$V159,0),0)</f>
        <v>0</v>
      </c>
      <c r="CC159" s="365">
        <f>IF($I158="Crecimiento",$V159,0)</f>
        <v>0</v>
      </c>
      <c r="CD159" s="365">
        <f>IF($I158="Siembra",$V159,0)</f>
        <v>0</v>
      </c>
      <c r="CE159" s="365">
        <f>IF($I158="Abandono",$V159,0)</f>
        <v>0</v>
      </c>
      <c r="CF159" s="365">
        <f>IF($J158="Producción",IF($J159&gt;=LI_A,$W159,0),0)</f>
        <v>0</v>
      </c>
      <c r="CG159" s="365">
        <f>IF($J158="Producción",IF($J159&gt;=LI_B,IF($J159&lt;LS_B,$W159,0),0),0)</f>
        <v>0</v>
      </c>
      <c r="CH159" s="365">
        <f>IF($J158="Producción",IF($J159&gt;=LI_C,IF($J159&lt;LS_C,$W159,0),0),0)</f>
        <v>0</v>
      </c>
      <c r="CI159" s="365">
        <f>IF($J158="Producción",IF($J159&lt;=LS_D,$W159,0),0)</f>
        <v>0</v>
      </c>
      <c r="CJ159" s="365">
        <f>IF($J158="Crecimiento",$W159,0)</f>
        <v>0</v>
      </c>
      <c r="CK159" s="365">
        <f>IF($J158="Siembra",$W159,0)</f>
        <v>0</v>
      </c>
      <c r="CL159" s="365">
        <f>IF($J158="Abandono",$W159,0)</f>
        <v>0</v>
      </c>
      <c r="CM159" s="365">
        <f>IF($K158="Producción",IF($K159&gt;=LI_A,$X159,0),0)</f>
        <v>0</v>
      </c>
      <c r="CN159" s="365">
        <f>IF($K158="Producción",IF($K159&gt;=LI_B,IF($K159&lt;LS_B,$X159,0),0),0)</f>
        <v>0</v>
      </c>
      <c r="CO159" s="365">
        <f>IF($K158="Producción",IF($K159&gt;=LI_C,IF($K159&lt;LS_C,$X159,0),0),0)</f>
        <v>0</v>
      </c>
      <c r="CP159" s="365">
        <f>IF($K158="Producción",IF($K159&lt;=LS_D,$X159,0),0)</f>
        <v>0</v>
      </c>
      <c r="CQ159" s="365">
        <f>IF($K158="Crecimiento",IF($K159&gt;0,$X159,0),0)</f>
        <v>0</v>
      </c>
      <c r="CR159" s="365">
        <f>IF($K158="Siembra",IF($K159&gt;0,$X159,0),0)</f>
        <v>0</v>
      </c>
      <c r="CS159" s="365">
        <f>IF($K158="Abandono",IF($K159&gt;0,$X159,0),0)</f>
        <v>0</v>
      </c>
      <c r="CT159" s="365">
        <f>IF($L158="Producción",IF($L159&gt;=LI_A,$Y159,0),0)</f>
        <v>0</v>
      </c>
      <c r="CU159" s="365">
        <f>IF($L158="Producción",IF($L159&gt;=LI_B,IF($L159&lt;LS_B,$Y159,0),0),0)</f>
        <v>0</v>
      </c>
      <c r="CV159" s="365">
        <f>IF($L158="Producción",IF($L159&gt;=LI_C,IF($L159&lt;LS_C,$Y159,0),0),0)</f>
        <v>0</v>
      </c>
      <c r="CW159" s="365">
        <f>IF($L158="Producción",IF($L159&lt;=LS_D,$Y159,0),0)</f>
        <v>0</v>
      </c>
      <c r="CX159" s="365">
        <f>IF($L158="Crecimiento",$Y159,0)</f>
        <v>0</v>
      </c>
      <c r="CY159" s="365">
        <f>IF($L158="Siembra",$Y159,0)</f>
        <v>0</v>
      </c>
      <c r="CZ159" s="365">
        <f>IF($L158="Abandono",$Y159,0)</f>
        <v>0</v>
      </c>
      <c r="DA159" s="365">
        <f>IF($M158="Producción",IF($M159&gt;=LI_A,$Z159,0),0)</f>
        <v>0</v>
      </c>
      <c r="DB159" s="365">
        <f>IF($M158="Producción",IF($M159&gt;=LI_B,IF($M159&lt;LS_B,$Z159,0),0),0)</f>
        <v>0</v>
      </c>
      <c r="DC159" s="365">
        <f>IF($M158="Producción",IF($M159&gt;=LI_C,IF($M159&lt;LS_C,$Z159,0),0),0)</f>
        <v>0</v>
      </c>
      <c r="DD159" s="365">
        <f>IF($M158="Producción",IF($M159&lt;=LS_D,$Z159,0),0)</f>
        <v>0</v>
      </c>
      <c r="DE159" s="365">
        <f>IF($M158="Crecimiento",$Z159,0)</f>
        <v>0</v>
      </c>
      <c r="DF159" s="365">
        <f>IF($M158="Siembra",$Z159,0)</f>
        <v>0</v>
      </c>
      <c r="DG159" s="365">
        <f>IF($M158="Abandono",$Z159,0)</f>
        <v>0</v>
      </c>
      <c r="DI159" s="58">
        <f>AB159*$B159</f>
        <v>0</v>
      </c>
      <c r="DJ159" s="58">
        <f>AC159*$B159</f>
        <v>0</v>
      </c>
      <c r="DK159" s="58">
        <f>AD159*$B159</f>
        <v>0</v>
      </c>
      <c r="DL159" s="58">
        <f>AE159*$B159</f>
        <v>0</v>
      </c>
      <c r="DM159" s="365">
        <f>AF159*$B159</f>
        <v>0</v>
      </c>
      <c r="DN159" s="365">
        <f>AI159*$C159</f>
        <v>0</v>
      </c>
      <c r="DO159" s="365">
        <f>AJ159*$C159</f>
        <v>0</v>
      </c>
      <c r="DP159" s="365">
        <f>AK159*$C159</f>
        <v>0</v>
      </c>
      <c r="DQ159" s="365">
        <f>AL159*$C159</f>
        <v>0</v>
      </c>
      <c r="DR159" s="365">
        <f>AM159*$C159</f>
        <v>0</v>
      </c>
      <c r="DS159" s="365">
        <f>AP159*$D159</f>
        <v>0</v>
      </c>
      <c r="DT159" s="365">
        <f>AQ159*$D159</f>
        <v>0</v>
      </c>
      <c r="DU159" s="365">
        <f>AR159*$D159</f>
        <v>0</v>
      </c>
      <c r="DV159" s="365">
        <f>AS159*$D159</f>
        <v>0</v>
      </c>
      <c r="DW159" s="365">
        <f>AT159*$D159</f>
        <v>0</v>
      </c>
      <c r="DX159" s="365">
        <f>AW159*$E159</f>
        <v>0</v>
      </c>
      <c r="DY159" s="365">
        <f>AX159*$E159</f>
        <v>0</v>
      </c>
      <c r="DZ159" s="365">
        <f>AY159*$E159</f>
        <v>0</v>
      </c>
      <c r="EA159" s="365">
        <f>AZ159*$E159</f>
        <v>0</v>
      </c>
      <c r="EB159" s="365">
        <f>BA159*$E159</f>
        <v>0</v>
      </c>
      <c r="EC159" s="365">
        <f>BD159*$F159</f>
        <v>0</v>
      </c>
      <c r="ED159" s="365">
        <f>BE159*$F159</f>
        <v>0</v>
      </c>
      <c r="EE159" s="365">
        <f>BF159*$F159</f>
        <v>0</v>
      </c>
      <c r="EF159" s="365">
        <f>BG159*$F159</f>
        <v>0</v>
      </c>
      <c r="EG159" s="365">
        <f>BH159*$F159</f>
        <v>0</v>
      </c>
      <c r="EH159" s="365">
        <f>BK159*$G159</f>
        <v>0</v>
      </c>
      <c r="EI159" s="365">
        <f>BL159*$G159</f>
        <v>0</v>
      </c>
      <c r="EJ159" s="365">
        <f>BM159*$G159</f>
        <v>0</v>
      </c>
      <c r="EK159" s="365">
        <f>BN159*$G159</f>
        <v>0</v>
      </c>
      <c r="EL159" s="365">
        <f>BO159*$G159</f>
        <v>0</v>
      </c>
      <c r="EM159" s="365">
        <f>BR159*$H159</f>
        <v>0</v>
      </c>
      <c r="EN159" s="365">
        <f>BS159*$H159</f>
        <v>0</v>
      </c>
      <c r="EO159" s="365">
        <f>BT159*$H159</f>
        <v>0</v>
      </c>
      <c r="EP159" s="365">
        <f>BU159*$H159</f>
        <v>0</v>
      </c>
      <c r="EQ159" s="365">
        <f>BV159*$H159</f>
        <v>0</v>
      </c>
      <c r="ER159" s="365">
        <f>BY159*$I159</f>
        <v>0</v>
      </c>
      <c r="ES159" s="365">
        <f>BZ159*$I159</f>
        <v>0</v>
      </c>
      <c r="ET159" s="365">
        <f>CA159*$I159</f>
        <v>0</v>
      </c>
      <c r="EU159" s="365">
        <f>CB159*$I159</f>
        <v>0</v>
      </c>
      <c r="EV159" s="365">
        <f>CC159*$I159</f>
        <v>0</v>
      </c>
      <c r="EW159" s="365">
        <f>CF159*$J159</f>
        <v>0</v>
      </c>
      <c r="EX159" s="365">
        <f>CG159*$J159</f>
        <v>0</v>
      </c>
      <c r="EY159" s="365">
        <f>CH159*$J159</f>
        <v>0</v>
      </c>
      <c r="EZ159" s="365">
        <f>CI159*$J159</f>
        <v>0</v>
      </c>
      <c r="FA159" s="365">
        <f>CJ159*$J159</f>
        <v>0</v>
      </c>
      <c r="FB159" s="365">
        <f>CM159*$K159</f>
        <v>0</v>
      </c>
      <c r="FC159" s="365">
        <f>CN159*$K159</f>
        <v>0</v>
      </c>
      <c r="FD159" s="365">
        <f>CO159*$K159</f>
        <v>0</v>
      </c>
      <c r="FE159" s="365">
        <f>CP159*$K159</f>
        <v>0</v>
      </c>
      <c r="FF159" s="365">
        <f>CQ159*$K159</f>
        <v>0</v>
      </c>
      <c r="FG159" s="365">
        <f>CT159*$L159</f>
        <v>0</v>
      </c>
      <c r="FH159" s="365">
        <f>CU159*$L159</f>
        <v>0</v>
      </c>
      <c r="FI159" s="365">
        <f>CV159*$L159</f>
        <v>0</v>
      </c>
      <c r="FJ159" s="365">
        <f>CW159*$L159</f>
        <v>0</v>
      </c>
      <c r="FK159" s="365">
        <f>CX159*$L159</f>
        <v>0</v>
      </c>
      <c r="FL159" s="365">
        <f>DA159*$M159</f>
        <v>0</v>
      </c>
      <c r="FM159" s="365">
        <f t="shared" ref="FM159" si="116">DB159*$M159</f>
        <v>0</v>
      </c>
      <c r="FN159" s="365">
        <f>DC159*$M159</f>
        <v>0</v>
      </c>
      <c r="FO159" s="365">
        <f t="shared" ref="FO159" si="117">DD159*$M159</f>
        <v>0</v>
      </c>
      <c r="FP159" s="365">
        <f t="shared" ref="FP159" si="118">DE159*$M159</f>
        <v>0</v>
      </c>
    </row>
    <row r="160" spans="1:172" ht="21" customHeight="1" x14ac:dyDescent="0.3">
      <c r="A160" s="277" t="s">
        <v>238</v>
      </c>
      <c r="B160" s="278">
        <f>SUM(DI159:DM159)/100</f>
        <v>0</v>
      </c>
      <c r="C160" s="278">
        <f>SUM(DN159:DQ159)/100</f>
        <v>0</v>
      </c>
      <c r="D160" s="279">
        <f>SUM(DS159:DW159)/100</f>
        <v>0</v>
      </c>
      <c r="E160" s="279">
        <f>SUM(DX159:EB159)/100</f>
        <v>0</v>
      </c>
      <c r="F160" s="279">
        <f>SUM(EC159:EG159)/100</f>
        <v>0</v>
      </c>
      <c r="G160" s="279">
        <f>SUM(EH159:EL159)/100</f>
        <v>0</v>
      </c>
      <c r="H160" s="279">
        <f>SUM(EM159:EQ159)/100</f>
        <v>0</v>
      </c>
      <c r="I160" s="279">
        <f>SUM(ER159:EV159)/100</f>
        <v>0</v>
      </c>
      <c r="J160" s="279">
        <f>SUM(EW159:FA159)/100</f>
        <v>0</v>
      </c>
      <c r="K160" s="279">
        <f>SUM(FB159:FF159)/100</f>
        <v>0</v>
      </c>
      <c r="L160" s="279">
        <f>SUM(FG159:FK159)/100</f>
        <v>0</v>
      </c>
      <c r="M160" s="279">
        <f>SUM(FL159:FP159)/100</f>
        <v>0</v>
      </c>
      <c r="AG160" s="365"/>
      <c r="AH160" s="365"/>
      <c r="AI160" s="365"/>
      <c r="AJ160" s="365"/>
      <c r="AK160" s="365"/>
      <c r="AL160" s="365"/>
      <c r="AM160" s="365"/>
      <c r="AN160" s="365"/>
      <c r="AO160" s="365"/>
      <c r="AP160" s="365"/>
      <c r="AQ160" s="365"/>
      <c r="AR160" s="365"/>
      <c r="AS160" s="365"/>
      <c r="AT160" s="365"/>
      <c r="AU160" s="365"/>
      <c r="AV160" s="365"/>
      <c r="AW160" s="365"/>
      <c r="AX160" s="365"/>
      <c r="AY160" s="365"/>
      <c r="AZ160" s="365"/>
      <c r="BA160" s="365"/>
      <c r="BB160" s="365"/>
      <c r="BC160" s="365"/>
      <c r="BD160" s="365"/>
      <c r="BE160" s="365"/>
      <c r="BF160" s="365"/>
      <c r="BG160" s="365"/>
      <c r="BH160" s="365"/>
      <c r="BI160" s="365"/>
      <c r="BJ160" s="365"/>
      <c r="BK160" s="365"/>
      <c r="BL160" s="365"/>
      <c r="BM160" s="365"/>
      <c r="BN160" s="365"/>
      <c r="BO160" s="365"/>
      <c r="BP160" s="365"/>
      <c r="BQ160" s="365"/>
      <c r="BR160" s="365"/>
      <c r="BS160" s="365"/>
      <c r="BT160" s="365"/>
      <c r="BU160" s="365"/>
      <c r="BV160" s="365"/>
      <c r="BW160" s="365"/>
      <c r="BX160" s="365"/>
      <c r="BY160" s="365"/>
      <c r="BZ160" s="365"/>
      <c r="CA160" s="365"/>
      <c r="CB160" s="365"/>
      <c r="CC160" s="365"/>
      <c r="CD160" s="365"/>
      <c r="CE160" s="365"/>
      <c r="CF160" s="365"/>
      <c r="CG160" s="365"/>
      <c r="CH160" s="365"/>
      <c r="CI160" s="365"/>
      <c r="CJ160" s="365"/>
      <c r="CK160" s="365"/>
      <c r="CL160" s="365"/>
      <c r="CM160" s="365"/>
      <c r="CN160" s="365"/>
      <c r="CO160" s="365"/>
      <c r="CP160" s="365"/>
      <c r="CQ160" s="365"/>
      <c r="CR160" s="365"/>
      <c r="CS160" s="365"/>
      <c r="CT160" s="365"/>
      <c r="CU160" s="365"/>
      <c r="CV160" s="365"/>
      <c r="CW160" s="365"/>
      <c r="CX160" s="365"/>
      <c r="CY160" s="365"/>
      <c r="CZ160" s="365"/>
      <c r="DA160" s="365"/>
      <c r="DB160" s="365"/>
      <c r="DC160" s="365"/>
      <c r="DD160" s="365"/>
      <c r="DE160" s="365"/>
      <c r="DF160" s="365"/>
      <c r="DG160" s="365"/>
      <c r="DM160" s="365"/>
      <c r="DN160" s="365"/>
      <c r="DO160" s="365"/>
      <c r="DP160" s="365"/>
      <c r="DQ160" s="365"/>
      <c r="DR160" s="365"/>
      <c r="DS160" s="365"/>
      <c r="DT160" s="365"/>
      <c r="DU160" s="365"/>
      <c r="DV160" s="365"/>
      <c r="DW160" s="365"/>
      <c r="DX160" s="365"/>
      <c r="DY160" s="365"/>
      <c r="DZ160" s="365"/>
      <c r="EA160" s="365"/>
      <c r="EB160" s="365"/>
      <c r="EC160" s="365"/>
      <c r="ED160" s="365"/>
      <c r="EE160" s="365"/>
      <c r="EF160" s="365"/>
      <c r="EG160" s="365"/>
      <c r="EH160" s="365"/>
      <c r="EI160" s="365"/>
      <c r="EJ160" s="365"/>
      <c r="EK160" s="365"/>
      <c r="EL160" s="365"/>
      <c r="EM160" s="365"/>
      <c r="EN160" s="365"/>
      <c r="EO160" s="365"/>
      <c r="EP160" s="365"/>
      <c r="EQ160" s="365"/>
      <c r="ER160" s="365"/>
      <c r="ES160" s="365"/>
      <c r="ET160" s="365"/>
      <c r="EU160" s="365"/>
      <c r="EV160" s="365"/>
      <c r="EW160" s="365"/>
      <c r="EX160" s="365"/>
      <c r="EY160" s="365"/>
      <c r="EZ160" s="365"/>
      <c r="FA160" s="365"/>
      <c r="FB160" s="365"/>
      <c r="FC160" s="365"/>
      <c r="FD160" s="365"/>
      <c r="FE160" s="365"/>
      <c r="FF160" s="365"/>
      <c r="FG160" s="365"/>
      <c r="FH160" s="365"/>
      <c r="FI160" s="365"/>
      <c r="FJ160" s="365"/>
      <c r="FK160" s="365"/>
      <c r="FL160" s="365"/>
      <c r="FM160" s="365"/>
      <c r="FN160" s="365"/>
      <c r="FO160" s="365"/>
      <c r="FP160" s="365"/>
    </row>
    <row r="161" spans="1:172" ht="21" customHeight="1" x14ac:dyDescent="0.3">
      <c r="A161" s="150" t="s">
        <v>239</v>
      </c>
      <c r="B161" s="149" t="e">
        <f>SUM(DI159:DM159)/100/Lote_39</f>
        <v>#DIV/0!</v>
      </c>
      <c r="C161" s="149" t="e">
        <f>SUM(DN159:DQ159)/100/Lote_39</f>
        <v>#DIV/0!</v>
      </c>
      <c r="D161" s="149" t="e">
        <f>SUM(DS159:DW159)/100/Lote_39</f>
        <v>#DIV/0!</v>
      </c>
      <c r="E161" s="149" t="e">
        <f>SUM(DX159:EB159)/100/Lote_39</f>
        <v>#DIV/0!</v>
      </c>
      <c r="F161" s="149" t="e">
        <f>SUM(EC159:EG159)/100/Lote_39</f>
        <v>#DIV/0!</v>
      </c>
      <c r="G161" s="149" t="e">
        <f>SUM(EH159:EL159)/100/Lote_39</f>
        <v>#DIV/0!</v>
      </c>
      <c r="H161" s="149" t="e">
        <f>SUM(EM159:EQ159)/100/Lote_39</f>
        <v>#DIV/0!</v>
      </c>
      <c r="I161" s="149" t="e">
        <f>SUM(ER159:EV159)/100/Lote_39</f>
        <v>#DIV/0!</v>
      </c>
      <c r="J161" s="149" t="e">
        <f>SUM(EW159:FA159)/100/Lote_39</f>
        <v>#DIV/0!</v>
      </c>
      <c r="K161" s="149" t="e">
        <f>SUM(FB159:FF159)/100/Lote_39</f>
        <v>#DIV/0!</v>
      </c>
      <c r="L161" s="149" t="e">
        <f>SUM(FG159:FK159)/100/Lote_39</f>
        <v>#DIV/0!</v>
      </c>
      <c r="M161" s="149" t="e">
        <f>SUM(FL159:FP159)/100/Lote_39</f>
        <v>#DIV/0!</v>
      </c>
    </row>
    <row r="162" spans="1:172" ht="21" customHeight="1" x14ac:dyDescent="0.3">
      <c r="A162" s="233">
        <f>N_L40</f>
        <v>0</v>
      </c>
      <c r="B162" s="363" t="s">
        <v>37</v>
      </c>
      <c r="C162" s="363" t="s">
        <v>37</v>
      </c>
      <c r="D162" s="363" t="s">
        <v>37</v>
      </c>
      <c r="E162" s="363" t="s">
        <v>37</v>
      </c>
      <c r="F162" s="363" t="s">
        <v>37</v>
      </c>
      <c r="G162" s="363" t="s">
        <v>37</v>
      </c>
      <c r="H162" s="363" t="s">
        <v>37</v>
      </c>
      <c r="I162" s="363" t="s">
        <v>37</v>
      </c>
      <c r="J162" s="363" t="s">
        <v>37</v>
      </c>
      <c r="K162" s="363" t="s">
        <v>37</v>
      </c>
      <c r="L162" s="363" t="s">
        <v>37</v>
      </c>
      <c r="M162" s="363" t="s">
        <v>37</v>
      </c>
    </row>
    <row r="163" spans="1:172" ht="21" customHeight="1" x14ac:dyDescent="0.3">
      <c r="A163" s="4" t="s">
        <v>237</v>
      </c>
      <c r="B163" s="7"/>
      <c r="C163" s="7"/>
      <c r="D163" s="275"/>
      <c r="E163" s="275"/>
      <c r="F163" s="275"/>
      <c r="G163" s="275"/>
      <c r="H163" s="275"/>
      <c r="I163" s="275"/>
      <c r="J163" s="275"/>
      <c r="K163" s="275"/>
      <c r="L163" s="275"/>
      <c r="M163" s="275"/>
      <c r="O163" s="58">
        <f>Área_L40*D_L40*A1_L40</f>
        <v>0</v>
      </c>
      <c r="P163" s="58">
        <f>Área_L40*D_L40*A2_L40</f>
        <v>0</v>
      </c>
      <c r="Q163" s="58">
        <f>Área_L40*D_L40*A3_L40</f>
        <v>0</v>
      </c>
      <c r="R163" s="58">
        <f>Área_L40*D_L40*A4_L40</f>
        <v>0</v>
      </c>
      <c r="S163" s="58">
        <f>Área_L40*D_L40*A5_L40</f>
        <v>0</v>
      </c>
      <c r="T163" s="58">
        <f>Área_L40*D_L40*A6_L40</f>
        <v>0</v>
      </c>
      <c r="U163" s="58">
        <f>Área_L40*D_L40*A7_L40</f>
        <v>0</v>
      </c>
      <c r="V163" s="58">
        <f>Área_L40*D_L40*A8_L40</f>
        <v>0</v>
      </c>
      <c r="W163" s="58">
        <f>Área_L40*D_L40*A9_L40</f>
        <v>0</v>
      </c>
      <c r="X163" s="58">
        <f>Área_L40*D_L40*A10_L40</f>
        <v>0</v>
      </c>
      <c r="Y163" s="58">
        <f>Área_L40*D_L40*A11_L40</f>
        <v>0</v>
      </c>
      <c r="Z163" s="58">
        <f>Área_L40*D_L40*A12_L40</f>
        <v>0</v>
      </c>
      <c r="AB163" s="58">
        <f>IF($B162="Producción",IF($B163&gt;=LI_A,$O163,0),0)</f>
        <v>0</v>
      </c>
      <c r="AC163" s="58">
        <f>IF($B162="Producción",IF($B163&gt;=LI_B,IF($B163&lt;LS_B,$O163,0),0),0)</f>
        <v>0</v>
      </c>
      <c r="AD163" s="58">
        <f>IF($B162="Producción",IF($B163&gt;=LI_C,IF($B163&lt;LS_C,$O163,0),0),0)</f>
        <v>0</v>
      </c>
      <c r="AE163" s="58">
        <f>IF($B162="Producción",IF($B163&lt;=LS_D,$O163,0),0)</f>
        <v>0</v>
      </c>
      <c r="AF163" s="365">
        <f>IF($B162="Crecimiento",$O163,0)</f>
        <v>0</v>
      </c>
      <c r="AG163" s="365">
        <f>IF($B162="Siembra",$O163,0)</f>
        <v>0</v>
      </c>
      <c r="AH163" s="365">
        <f>IF($B162="Abandono",$O163,0)</f>
        <v>0</v>
      </c>
      <c r="AI163" s="365">
        <f>IF($C162="Producción",IF($C163&gt;=LI_A,$P163,0),0)</f>
        <v>0</v>
      </c>
      <c r="AJ163" s="365">
        <f>IF($C162="Producción",IF($C163&gt;=LI_B,IF($C163&lt;LS_B,$P163,0),0),0)</f>
        <v>0</v>
      </c>
      <c r="AK163" s="365">
        <f>IF($C162="Producción",IF($C163&gt;=LI_C,IF($C163&lt;LS_C,$P163,0),0),0)</f>
        <v>0</v>
      </c>
      <c r="AL163" s="365">
        <f>IF($C162="Producción",IF(C163&lt;=LS_D,$P163,0),0)</f>
        <v>0</v>
      </c>
      <c r="AM163" s="365">
        <f>IF($C162="Crecimiento",$P163,0)</f>
        <v>0</v>
      </c>
      <c r="AN163" s="365">
        <f>IF($C162="Siembra",$P163,0)</f>
        <v>0</v>
      </c>
      <c r="AO163" s="365">
        <f>IF($C162="Abandono",$P163,0)</f>
        <v>0</v>
      </c>
      <c r="AP163" s="365">
        <f>IF($D162="Producción",IF($D163&gt;=LI_A,$Q163,0),0)</f>
        <v>0</v>
      </c>
      <c r="AQ163" s="365">
        <f>IF($D162="Producción",IF($D163&gt;=LI_B,IF($D163&lt;LS_B,$Q163,0),0),0)</f>
        <v>0</v>
      </c>
      <c r="AR163" s="365">
        <f>IF($D162="Producción",IF($D163&gt;=LI_C,IF($D163&lt;LS_C,$Q163,0),0),0)</f>
        <v>0</v>
      </c>
      <c r="AS163" s="365">
        <f>IF($D162="Producción",IF($D163&lt;=LS_D,$Q163,0),0)</f>
        <v>0</v>
      </c>
      <c r="AT163" s="365">
        <f>IF($D162="Crecimiento",$Q163,0)</f>
        <v>0</v>
      </c>
      <c r="AU163" s="365">
        <f>IF($D162="Siembra",$Q163,0)</f>
        <v>0</v>
      </c>
      <c r="AV163" s="365">
        <f>IF($D162="Abandono",$Q163,0)</f>
        <v>0</v>
      </c>
      <c r="AW163" s="365">
        <f>IF($E162="Producción",IF($E163&gt;=LI_A,$R163,0),0)</f>
        <v>0</v>
      </c>
      <c r="AX163" s="365">
        <f>IF($E162="Producción",IF($E163&gt;=LI_B,IF($E163&lt;LS_B,$R163,0),0),0)</f>
        <v>0</v>
      </c>
      <c r="AY163" s="365">
        <f>IF($E162="Producción",IF($E163&gt;=LI_C,IF($E163&lt;LS_C,$R163,0),0),0)</f>
        <v>0</v>
      </c>
      <c r="AZ163" s="365">
        <f>IF($E162="Producción",IF($E163&lt;=LS_D,$R163,0),0)</f>
        <v>0</v>
      </c>
      <c r="BA163" s="365">
        <f>IF($E162="Crecimiento",$R163,0)</f>
        <v>0</v>
      </c>
      <c r="BB163" s="365">
        <f>IF($E162="Siembra",$R163,0)</f>
        <v>0</v>
      </c>
      <c r="BC163" s="365">
        <f>IF($E162="Abandono",$R163,0)</f>
        <v>0</v>
      </c>
      <c r="BD163" s="365">
        <f>IF($F162="Producción",IF($F163&gt;=LI_A,$S163,0),0)</f>
        <v>0</v>
      </c>
      <c r="BE163" s="365">
        <f>IF($F162="Producción",IF($F163&gt;=LI_B,IF($F163&lt;LS_B,$S163,0),0),0)</f>
        <v>0</v>
      </c>
      <c r="BF163" s="365">
        <f>IF($F162="Producción",IF($F163&gt;=LI_C,IF($F163&lt;LS_C,$S163,0),0),0)</f>
        <v>0</v>
      </c>
      <c r="BG163" s="365">
        <f>IF($F162="Producción",IF($F163&lt;=LS_D,$S163,0),0)</f>
        <v>0</v>
      </c>
      <c r="BH163" s="365">
        <f>IF($F162="Crecimiento",$S163,0)</f>
        <v>0</v>
      </c>
      <c r="BI163" s="365">
        <f>IF($F162="Siembra",$S163,0)</f>
        <v>0</v>
      </c>
      <c r="BJ163" s="365">
        <f>IF($F162="Abandono",$S163,0)</f>
        <v>0</v>
      </c>
      <c r="BK163" s="365">
        <f>IF($G162="Producción",IF($G163&gt;=LI_A,$T163,0),0)</f>
        <v>0</v>
      </c>
      <c r="BL163" s="365">
        <f>IF($G162="Producción",IF($G163&gt;=LI_B,IF($G163&lt;LS_B,$T163,0),0),0)</f>
        <v>0</v>
      </c>
      <c r="BM163" s="365">
        <f>IF($G162="Producción",IF($G163&gt;=LI_C,IF($G163&lt;LS_C,$T163,0),0),0)</f>
        <v>0</v>
      </c>
      <c r="BN163" s="365">
        <f>IF($G162="Producción",IF($G163&lt;=LS_D,$T163,0),0)</f>
        <v>0</v>
      </c>
      <c r="BO163" s="365">
        <f>IF($G162="Crecimiento",$T163,0)</f>
        <v>0</v>
      </c>
      <c r="BP163" s="365">
        <f>IF($G162="Siembra",$T163,0)</f>
        <v>0</v>
      </c>
      <c r="BQ163" s="365">
        <f>IF($G162="Abandono",$T163,0)</f>
        <v>0</v>
      </c>
      <c r="BR163" s="365">
        <f>IF($H162="Producción",IF($H163&gt;=LI_A,$U163,0),0)</f>
        <v>0</v>
      </c>
      <c r="BS163" s="365">
        <f>IF($H162="Producción",IF($H163&gt;=LI_B,IF($H163&lt;LS_B,$U163,0),0),0)</f>
        <v>0</v>
      </c>
      <c r="BT163" s="365">
        <f>IF($H162="Producción",IF($H163&gt;=LI_C,IF($H163&lt;LS_C,$U163,0),0),0)</f>
        <v>0</v>
      </c>
      <c r="BU163" s="365">
        <f>IF($H162="Producción",IF($H163&lt;=LS_D,$U163,0),0)</f>
        <v>0</v>
      </c>
      <c r="BV163" s="365">
        <f>IF($H162="Crecimiento",$U163,0)</f>
        <v>0</v>
      </c>
      <c r="BW163" s="365">
        <f>IF($H162="Siembra",$U163,0)</f>
        <v>0</v>
      </c>
      <c r="BX163" s="365">
        <f>IF($H162="Abandono",$U163,0)</f>
        <v>0</v>
      </c>
      <c r="BY163" s="365">
        <f>IF($I162="Producción",IF($I163&gt;=LI_A,$V163,0),0)</f>
        <v>0</v>
      </c>
      <c r="BZ163" s="365">
        <f>IF($I162="Producción",IF($I163&gt;=LI_B,IF($I163&lt;LS_B,$V163,0),0),0)</f>
        <v>0</v>
      </c>
      <c r="CA163" s="365">
        <f>IF($I162="Producción",IF($I163&gt;=LI_C,IF($I163&lt;LS_C,$V163,0),0),0)</f>
        <v>0</v>
      </c>
      <c r="CB163" s="365">
        <f>IF($I162="Producción",IF($I163&lt;=LS_D,$V163,0),0)</f>
        <v>0</v>
      </c>
      <c r="CC163" s="365">
        <f>IF($I162="Crecimiento",$V163,0)</f>
        <v>0</v>
      </c>
      <c r="CD163" s="365">
        <f>IF($I162="Siembra",$V163,0)</f>
        <v>0</v>
      </c>
      <c r="CE163" s="365">
        <f>IF($I162="Abandono",$V163,0)</f>
        <v>0</v>
      </c>
      <c r="CF163" s="365">
        <f>IF($J162="Producción",IF($J163&gt;=LI_A,$W163,0),0)</f>
        <v>0</v>
      </c>
      <c r="CG163" s="365">
        <f>IF($J162="Producción",IF($J163&gt;=LI_B,IF($J163&lt;LS_B,$W163,0),0),0)</f>
        <v>0</v>
      </c>
      <c r="CH163" s="365">
        <f>IF($J162="Producción",IF($J163&gt;=LI_C,IF($J163&lt;LS_C,$W163,0),0),0)</f>
        <v>0</v>
      </c>
      <c r="CI163" s="365">
        <f>IF($J162="Producción",IF($J163&lt;=LS_D,$W163,0),0)</f>
        <v>0</v>
      </c>
      <c r="CJ163" s="365">
        <f>IF($J162="Crecimiento",$W163,0)</f>
        <v>0</v>
      </c>
      <c r="CK163" s="365">
        <f>IF($J162="Siembra",$W163,0)</f>
        <v>0</v>
      </c>
      <c r="CL163" s="365">
        <f>IF($J162="Abandono",$W163,0)</f>
        <v>0</v>
      </c>
      <c r="CM163" s="365">
        <f>IF($K162="Producción",IF($K163&gt;=LI_A,$X163,0),0)</f>
        <v>0</v>
      </c>
      <c r="CN163" s="365">
        <f>IF($K162="Producción",IF($K163&gt;=LI_B,IF($K163&lt;LS_B,$X163,0),0),0)</f>
        <v>0</v>
      </c>
      <c r="CO163" s="365">
        <f>IF($K162="Producción",IF($K163&gt;=LI_C,IF($K163&lt;LS_C,$X163,0),0),0)</f>
        <v>0</v>
      </c>
      <c r="CP163" s="365">
        <f>IF($K162="Producción",IF($K163&lt;=LS_D,$X163,0),0)</f>
        <v>0</v>
      </c>
      <c r="CQ163" s="365">
        <f>IF($K162="Crecimiento",IF($K163&gt;0,$X163,0),0)</f>
        <v>0</v>
      </c>
      <c r="CR163" s="365">
        <f>IF($K162="Siembra",IF($K163&gt;0,$X163,0),0)</f>
        <v>0</v>
      </c>
      <c r="CS163" s="365">
        <f>IF($K162="Abandono",IF($K163&gt;0,$X163,0),0)</f>
        <v>0</v>
      </c>
      <c r="CT163" s="365">
        <f>IF($L162="Producción",IF($L163&gt;=LI_A,$Y163,0),0)</f>
        <v>0</v>
      </c>
      <c r="CU163" s="365">
        <f>IF($L162="Producción",IF($L163&gt;=LI_B,IF($L163&lt;LS_B,$Y163,0),0),0)</f>
        <v>0</v>
      </c>
      <c r="CV163" s="365">
        <f>IF($L162="Producción",IF($L163&gt;=LI_C,IF($L163&lt;LS_C,$Y163,0),0),0)</f>
        <v>0</v>
      </c>
      <c r="CW163" s="365">
        <f>IF($L162="Producción",IF($L163&lt;=LS_D,$Y163,0),0)</f>
        <v>0</v>
      </c>
      <c r="CX163" s="365">
        <f>IF($L162="Crecimiento",$Y163,0)</f>
        <v>0</v>
      </c>
      <c r="CY163" s="365">
        <f>IF($L162="Siembra",$Y163,0)</f>
        <v>0</v>
      </c>
      <c r="CZ163" s="365">
        <f>IF($L162="Abandono",$Y163,0)</f>
        <v>0</v>
      </c>
      <c r="DA163" s="365">
        <f>IF($M162="Producción",IF($M163&gt;=LI_A,$Z163,0),0)</f>
        <v>0</v>
      </c>
      <c r="DB163" s="365">
        <f>IF($M162="Producción",IF($M163&gt;=LI_B,IF($M163&lt;LS_B,$Z163,0),0),0)</f>
        <v>0</v>
      </c>
      <c r="DC163" s="365">
        <f>IF($M162="Producción",IF($M163&gt;=LI_C,IF($M163&lt;LS_C,$Z163,0),0),0)</f>
        <v>0</v>
      </c>
      <c r="DD163" s="365">
        <f>IF($M162="Producción",IF($M163&lt;=LS_D,$Z163,0),0)</f>
        <v>0</v>
      </c>
      <c r="DE163" s="365">
        <f>IF($M162="Crecimiento",$Z163,0)</f>
        <v>0</v>
      </c>
      <c r="DF163" s="365">
        <f>IF($M162="Siembra",$Z163,0)</f>
        <v>0</v>
      </c>
      <c r="DG163" s="365">
        <f>IF($M162="Abandono",$Z163,0)</f>
        <v>0</v>
      </c>
      <c r="DI163" s="58">
        <f>AB163*$B163</f>
        <v>0</v>
      </c>
      <c r="DJ163" s="58">
        <f>AC163*$B163</f>
        <v>0</v>
      </c>
      <c r="DK163" s="58">
        <f>AD163*$B163</f>
        <v>0</v>
      </c>
      <c r="DL163" s="58">
        <f>AE163*$B163</f>
        <v>0</v>
      </c>
      <c r="DM163" s="365">
        <f>AF163*$B163</f>
        <v>0</v>
      </c>
      <c r="DN163" s="365">
        <f>AI163*$C163</f>
        <v>0</v>
      </c>
      <c r="DO163" s="365">
        <f>AJ163*$C163</f>
        <v>0</v>
      </c>
      <c r="DP163" s="365">
        <f>AK163*$C163</f>
        <v>0</v>
      </c>
      <c r="DQ163" s="365">
        <f>AL163*$C163</f>
        <v>0</v>
      </c>
      <c r="DR163" s="365">
        <f>AM163*$C163</f>
        <v>0</v>
      </c>
      <c r="DS163" s="365">
        <f>AP163*$D163</f>
        <v>0</v>
      </c>
      <c r="DT163" s="365">
        <f>AQ163*$D163</f>
        <v>0</v>
      </c>
      <c r="DU163" s="365">
        <f>AR163*$D163</f>
        <v>0</v>
      </c>
      <c r="DV163" s="365">
        <f>AS163*$D163</f>
        <v>0</v>
      </c>
      <c r="DW163" s="365">
        <f>AT163*$D163</f>
        <v>0</v>
      </c>
      <c r="DX163" s="365">
        <f>AW163*$E163</f>
        <v>0</v>
      </c>
      <c r="DY163" s="365">
        <f>AX163*$E163</f>
        <v>0</v>
      </c>
      <c r="DZ163" s="365">
        <f>AY163*$E163</f>
        <v>0</v>
      </c>
      <c r="EA163" s="365">
        <f>AZ163*$E163</f>
        <v>0</v>
      </c>
      <c r="EB163" s="365">
        <f>BA163*$E163</f>
        <v>0</v>
      </c>
      <c r="EC163" s="365">
        <f>BD163*$F163</f>
        <v>0</v>
      </c>
      <c r="ED163" s="365">
        <f>BE163*$F163</f>
        <v>0</v>
      </c>
      <c r="EE163" s="365">
        <f>BF163*$F163</f>
        <v>0</v>
      </c>
      <c r="EF163" s="365">
        <f>BG163*$F163</f>
        <v>0</v>
      </c>
      <c r="EG163" s="365">
        <f>BH163*$F163</f>
        <v>0</v>
      </c>
      <c r="EH163" s="365">
        <f>BK163*$G163</f>
        <v>0</v>
      </c>
      <c r="EI163" s="365">
        <f>BL163*$G163</f>
        <v>0</v>
      </c>
      <c r="EJ163" s="365">
        <f>BM163*$G163</f>
        <v>0</v>
      </c>
      <c r="EK163" s="365">
        <f>BN163*$G163</f>
        <v>0</v>
      </c>
      <c r="EL163" s="365">
        <f>BO163*$G163</f>
        <v>0</v>
      </c>
      <c r="EM163" s="365">
        <f>BR163*$H163</f>
        <v>0</v>
      </c>
      <c r="EN163" s="365">
        <f>BS163*$H163</f>
        <v>0</v>
      </c>
      <c r="EO163" s="365">
        <f>BT163*$H163</f>
        <v>0</v>
      </c>
      <c r="EP163" s="365">
        <f>BU163*$H163</f>
        <v>0</v>
      </c>
      <c r="EQ163" s="365">
        <f>BV163*$H163</f>
        <v>0</v>
      </c>
      <c r="ER163" s="365">
        <f>BY163*$I163</f>
        <v>0</v>
      </c>
      <c r="ES163" s="365">
        <f>BZ163*$I163</f>
        <v>0</v>
      </c>
      <c r="ET163" s="365">
        <f>CA163*$I163</f>
        <v>0</v>
      </c>
      <c r="EU163" s="365">
        <f>CB163*$I163</f>
        <v>0</v>
      </c>
      <c r="EV163" s="365">
        <f>CC163*$I163</f>
        <v>0</v>
      </c>
      <c r="EW163" s="365">
        <f>CF163*$J163</f>
        <v>0</v>
      </c>
      <c r="EX163" s="365">
        <f>CG163*$J163</f>
        <v>0</v>
      </c>
      <c r="EY163" s="365">
        <f>CH163*$J163</f>
        <v>0</v>
      </c>
      <c r="EZ163" s="365">
        <f>CI163*$J163</f>
        <v>0</v>
      </c>
      <c r="FA163" s="365">
        <f>CJ163*$J163</f>
        <v>0</v>
      </c>
      <c r="FB163" s="365">
        <f>CM163*$K163</f>
        <v>0</v>
      </c>
      <c r="FC163" s="365">
        <f>CN163*$K163</f>
        <v>0</v>
      </c>
      <c r="FD163" s="365">
        <f>CO163*$K163</f>
        <v>0</v>
      </c>
      <c r="FE163" s="365">
        <f>CP163*$K163</f>
        <v>0</v>
      </c>
      <c r="FF163" s="365">
        <f>CQ163*$K163</f>
        <v>0</v>
      </c>
      <c r="FG163" s="365">
        <f>CT163*$L163</f>
        <v>0</v>
      </c>
      <c r="FH163" s="365">
        <f>CU163*$L163</f>
        <v>0</v>
      </c>
      <c r="FI163" s="365">
        <f>CV163*$L163</f>
        <v>0</v>
      </c>
      <c r="FJ163" s="365">
        <f>CW163*$L163</f>
        <v>0</v>
      </c>
      <c r="FK163" s="365">
        <f>CX163*$L163</f>
        <v>0</v>
      </c>
      <c r="FL163" s="365">
        <f>DA163*$M163</f>
        <v>0</v>
      </c>
      <c r="FM163" s="365">
        <f t="shared" ref="FM163" si="119">DB163*$M163</f>
        <v>0</v>
      </c>
      <c r="FN163" s="365">
        <f>DC163*$M163</f>
        <v>0</v>
      </c>
      <c r="FO163" s="365">
        <f t="shared" ref="FO163" si="120">DD163*$M163</f>
        <v>0</v>
      </c>
      <c r="FP163" s="365">
        <f t="shared" ref="FP163" si="121">DE163*$M163</f>
        <v>0</v>
      </c>
    </row>
    <row r="164" spans="1:172" ht="21" customHeight="1" x14ac:dyDescent="0.3">
      <c r="A164" s="277" t="s">
        <v>238</v>
      </c>
      <c r="B164" s="278">
        <f>SUM(DI163:DM163)/100</f>
        <v>0</v>
      </c>
      <c r="C164" s="278">
        <f>SUM(DN163:DQ163)/100</f>
        <v>0</v>
      </c>
      <c r="D164" s="279">
        <f>SUM(DS163:DW163)/100</f>
        <v>0</v>
      </c>
      <c r="E164" s="279">
        <f>SUM(DX163:EB163)/100</f>
        <v>0</v>
      </c>
      <c r="F164" s="279">
        <f>SUM(EC163:EG163)/100</f>
        <v>0</v>
      </c>
      <c r="G164" s="279">
        <f>SUM(EH163:EL163)/100</f>
        <v>0</v>
      </c>
      <c r="H164" s="279">
        <f>SUM(EM163:EQ163)/100</f>
        <v>0</v>
      </c>
      <c r="I164" s="279">
        <f>SUM(ER163:EV163)/100</f>
        <v>0</v>
      </c>
      <c r="J164" s="279">
        <f>SUM(EW163:FA163)/100</f>
        <v>0</v>
      </c>
      <c r="K164" s="279">
        <f>SUM(FB163:FF163)/100</f>
        <v>0</v>
      </c>
      <c r="L164" s="279">
        <f>SUM(FG163:FK163)/100</f>
        <v>0</v>
      </c>
      <c r="M164" s="279">
        <f>SUM(FL163:FP163)/100</f>
        <v>0</v>
      </c>
      <c r="AG164" s="365"/>
      <c r="AH164" s="365"/>
      <c r="AI164" s="365"/>
      <c r="AJ164" s="365"/>
      <c r="AK164" s="365"/>
      <c r="AL164" s="365"/>
      <c r="AM164" s="365"/>
      <c r="AN164" s="365"/>
      <c r="AO164" s="365"/>
      <c r="AP164" s="365"/>
      <c r="AQ164" s="365"/>
      <c r="AR164" s="365"/>
      <c r="AS164" s="365"/>
      <c r="AT164" s="365"/>
      <c r="AU164" s="365"/>
      <c r="AV164" s="365"/>
      <c r="AW164" s="365"/>
      <c r="AX164" s="365"/>
      <c r="AY164" s="365"/>
      <c r="AZ164" s="365"/>
      <c r="BA164" s="365"/>
      <c r="BB164" s="365"/>
      <c r="BC164" s="365"/>
      <c r="BD164" s="365"/>
      <c r="BE164" s="365"/>
      <c r="BF164" s="365"/>
      <c r="BG164" s="365"/>
      <c r="BH164" s="365"/>
      <c r="BI164" s="365"/>
      <c r="BJ164" s="365"/>
      <c r="BK164" s="365"/>
      <c r="BL164" s="365"/>
      <c r="BM164" s="365"/>
      <c r="BN164" s="365"/>
      <c r="BO164" s="365"/>
      <c r="BP164" s="365"/>
      <c r="BQ164" s="365"/>
      <c r="BR164" s="365"/>
      <c r="BS164" s="365"/>
      <c r="BT164" s="365"/>
      <c r="BU164" s="365"/>
      <c r="BV164" s="365"/>
      <c r="BW164" s="365"/>
      <c r="BX164" s="365"/>
      <c r="BY164" s="365"/>
      <c r="BZ164" s="365"/>
      <c r="CA164" s="365"/>
      <c r="CB164" s="365"/>
      <c r="CC164" s="365"/>
      <c r="CD164" s="365"/>
      <c r="CE164" s="365"/>
      <c r="CF164" s="365"/>
      <c r="CG164" s="365"/>
      <c r="CH164" s="365"/>
      <c r="CI164" s="365"/>
      <c r="CJ164" s="365"/>
      <c r="CK164" s="365"/>
      <c r="CL164" s="365"/>
      <c r="CM164" s="365"/>
      <c r="CN164" s="365"/>
      <c r="CO164" s="365"/>
      <c r="CP164" s="365"/>
      <c r="CQ164" s="365"/>
      <c r="CR164" s="365"/>
      <c r="CS164" s="365"/>
      <c r="CT164" s="365"/>
      <c r="CU164" s="365"/>
      <c r="CV164" s="365"/>
      <c r="CW164" s="365"/>
      <c r="CX164" s="365"/>
      <c r="CY164" s="365"/>
      <c r="CZ164" s="365"/>
      <c r="DA164" s="365"/>
      <c r="DB164" s="365"/>
      <c r="DC164" s="365"/>
      <c r="DD164" s="365"/>
      <c r="DE164" s="365"/>
      <c r="DF164" s="365"/>
      <c r="DG164" s="365"/>
      <c r="DM164" s="365"/>
      <c r="DN164" s="365"/>
      <c r="DO164" s="365"/>
      <c r="DP164" s="365"/>
      <c r="DQ164" s="365"/>
      <c r="DR164" s="365"/>
      <c r="DS164" s="365"/>
      <c r="DT164" s="365"/>
      <c r="DU164" s="365"/>
      <c r="DV164" s="365"/>
      <c r="DW164" s="365"/>
      <c r="DX164" s="365"/>
      <c r="DY164" s="365"/>
      <c r="DZ164" s="365"/>
      <c r="EA164" s="365"/>
      <c r="EB164" s="365"/>
      <c r="EC164" s="365"/>
      <c r="ED164" s="365"/>
      <c r="EE164" s="365"/>
      <c r="EF164" s="365"/>
      <c r="EG164" s="365"/>
      <c r="EH164" s="365"/>
      <c r="EI164" s="365"/>
      <c r="EJ164" s="365"/>
      <c r="EK164" s="365"/>
      <c r="EL164" s="365"/>
      <c r="EM164" s="365"/>
      <c r="EN164" s="365"/>
      <c r="EO164" s="365"/>
      <c r="EP164" s="365"/>
      <c r="EQ164" s="365"/>
      <c r="ER164" s="365"/>
      <c r="ES164" s="365"/>
      <c r="ET164" s="365"/>
      <c r="EU164" s="365"/>
      <c r="EV164" s="365"/>
      <c r="EW164" s="365"/>
      <c r="EX164" s="365"/>
      <c r="EY164" s="365"/>
      <c r="EZ164" s="365"/>
      <c r="FA164" s="365"/>
      <c r="FB164" s="365"/>
      <c r="FC164" s="365"/>
      <c r="FD164" s="365"/>
      <c r="FE164" s="365"/>
      <c r="FF164" s="365"/>
      <c r="FG164" s="365"/>
      <c r="FH164" s="365"/>
      <c r="FI164" s="365"/>
      <c r="FJ164" s="365"/>
      <c r="FK164" s="365"/>
      <c r="FL164" s="365"/>
      <c r="FM164" s="365"/>
      <c r="FN164" s="365"/>
      <c r="FO164" s="365"/>
      <c r="FP164" s="365"/>
    </row>
    <row r="165" spans="1:172" ht="21" customHeight="1" x14ac:dyDescent="0.3">
      <c r="A165" s="150" t="s">
        <v>239</v>
      </c>
      <c r="B165" s="149" t="e">
        <f>SUM(DI163:DM163)/100/Lote_40</f>
        <v>#DIV/0!</v>
      </c>
      <c r="C165" s="149" t="e">
        <f>SUM(DN163:DQ163)/100/Lote_40</f>
        <v>#DIV/0!</v>
      </c>
      <c r="D165" s="149" t="e">
        <f>SUM(DS163:DW163)/100/Lote_40</f>
        <v>#DIV/0!</v>
      </c>
      <c r="E165" s="149" t="e">
        <f>SUM(DX163:EB163)/100/Lote_40</f>
        <v>#DIV/0!</v>
      </c>
      <c r="F165" s="149" t="e">
        <f>SUM(EC163:EG163)/100/Lote_40</f>
        <v>#DIV/0!</v>
      </c>
      <c r="G165" s="149" t="e">
        <f>SUM(EH163:EL163)/100/Lote_40</f>
        <v>#DIV/0!</v>
      </c>
      <c r="H165" s="149" t="e">
        <f>SUM(EM163:EQ163)/100/Lote_40</f>
        <v>#DIV/0!</v>
      </c>
      <c r="I165" s="149" t="e">
        <f>SUM(ER163:EV163)/100/Lote_40</f>
        <v>#DIV/0!</v>
      </c>
      <c r="J165" s="149" t="e">
        <f>SUM(EW163:FA163)/100/Lote_40</f>
        <v>#DIV/0!</v>
      </c>
      <c r="K165" s="149" t="e">
        <f>SUM(FB163:FF163)/100/Lote_40</f>
        <v>#DIV/0!</v>
      </c>
      <c r="L165" s="149" t="e">
        <f>SUM(FG163:FK163)/100/Lote_40</f>
        <v>#DIV/0!</v>
      </c>
      <c r="M165" s="149" t="e">
        <f>SUM(FL163:FP163)/100/Lote_40</f>
        <v>#DIV/0!</v>
      </c>
    </row>
    <row r="166" spans="1:172" ht="17.25" customHeight="1" x14ac:dyDescent="0.3">
      <c r="A166" s="457" t="s">
        <v>85</v>
      </c>
      <c r="B166" s="457"/>
      <c r="C166" s="457"/>
      <c r="D166" s="457"/>
      <c r="E166" s="457"/>
      <c r="F166" s="457"/>
      <c r="G166" s="457"/>
      <c r="H166" s="457"/>
    </row>
  </sheetData>
  <sheetProtection algorithmName="SHA-512" hashValue="qBkP3HLkTlSwFcrmWSsK9WddLdR8M4aCqyFV10EBPGPjf0CfrBwNu603ER+nSoZCKiZFqGQRUNvMcsDw3YVhiA==" saltValue="e3GXfLI4c7Xyblnl6VoJNw==" spinCount="100000" sheet="1" autoFilter="0"/>
  <autoFilter ref="A5:M166" xr:uid="{A9B98A89-0211-477E-952F-375CF501DEEF}"/>
  <mergeCells count="15">
    <mergeCell ref="A2:M2"/>
    <mergeCell ref="O4:Z4"/>
    <mergeCell ref="AB4:AF4"/>
    <mergeCell ref="AI4:AM4"/>
    <mergeCell ref="AP4:AT4"/>
    <mergeCell ref="A166:H166"/>
    <mergeCell ref="AW4:BA4"/>
    <mergeCell ref="BD4:BH4"/>
    <mergeCell ref="BK4:BO4"/>
    <mergeCell ref="DA4:DE4"/>
    <mergeCell ref="BR4:BV4"/>
    <mergeCell ref="BY4:CC4"/>
    <mergeCell ref="CF4:CJ4"/>
    <mergeCell ref="CM4:CQ4"/>
    <mergeCell ref="CT4:CX4"/>
  </mergeCells>
  <phoneticPr fontId="4" type="noConversion"/>
  <hyperlinks>
    <hyperlink ref="A1" location="Inicio!A1" display="Regresar" xr:uid="{504EFC40-DD6B-204F-B4D2-38839BE88905}"/>
    <hyperlink ref="A1:M1" location="Inicio!C10" display="Regresar" xr:uid="{3B3F20A2-18DB-7D4F-82C8-01AB3218AE22}"/>
  </hyperlinks>
  <pageMargins left="0.7" right="0.7" top="0.75" bottom="0.75" header="0.3" footer="0.3"/>
  <pageSetup scale="16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419ACB9-56A0-964B-9E82-BA067351FE56}">
          <x14:formula1>
            <xm:f>'1'!$U$5:$U$8</xm:f>
          </x14:formula1>
          <xm:sqref>B38:M38 B6:M6 B10:M10 B14:M14 B18:M18 B22:M22 B26:M26 B30:M30 B34:M34 B42:M42 B46:M46 B50:M50 B54:M54 B58:M58 B62:M62 B66:M66 B70:M70 B74:M74 B78:M78 B82:M82 B86:M86 B90:M90 B94:M94 B98:M98 B102:M102 B106:M106 B110:M110 B114:M114 B118:M118 B122:M122 B126:M126 B130:M130 B134:M134 B138:M138 B142:M142 B146:M146 B150:M150 B154:M154 B158:M158 B162:M162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9B654B-5640-471C-84D4-1C0968B90EDC}">
  <sheetPr codeName="Hoja12">
    <pageSetUpPr fitToPage="1"/>
  </sheetPr>
  <dimension ref="A1:HY326"/>
  <sheetViews>
    <sheetView showGridLines="0" zoomScaleNormal="100" workbookViewId="0">
      <pane xSplit="1" ySplit="5" topLeftCell="B6" activePane="bottomRight" state="frozen"/>
      <selection pane="topRight" activeCell="C5" sqref="C5"/>
      <selection pane="bottomLeft" activeCell="C5" sqref="C5"/>
      <selection pane="bottomRight" activeCell="B11" sqref="B11"/>
    </sheetView>
  </sheetViews>
  <sheetFormatPr baseColWidth="10" defaultColWidth="11" defaultRowHeight="17.25" x14ac:dyDescent="0.3"/>
  <cols>
    <col min="1" max="1" width="25.125" style="4" customWidth="1"/>
    <col min="2" max="2" width="20.875" style="4" customWidth="1"/>
    <col min="3" max="3" width="26.875" style="4" customWidth="1"/>
    <col min="4" max="13" width="20.625" style="4" customWidth="1"/>
    <col min="14" max="14" width="11" style="4"/>
    <col min="15" max="22" width="11.25" style="58" bestFit="1" customWidth="1"/>
    <col min="23" max="26" width="11.25" style="5" bestFit="1" customWidth="1"/>
    <col min="27" max="27" width="11" style="5"/>
    <col min="28" max="92" width="11.25" style="5" bestFit="1" customWidth="1"/>
    <col min="93" max="111" width="11.5" style="5" bestFit="1" customWidth="1"/>
    <col min="112" max="112" width="11" style="5"/>
    <col min="113" max="114" width="15.75" style="5" bestFit="1" customWidth="1"/>
    <col min="115" max="115" width="16.25" style="5" bestFit="1" customWidth="1"/>
    <col min="116" max="118" width="11.5" style="5" bestFit="1" customWidth="1"/>
    <col min="119" max="120" width="16.25" style="5" bestFit="1" customWidth="1"/>
    <col min="121" max="122" width="11.5" style="5" bestFit="1" customWidth="1"/>
    <col min="123" max="124" width="16.25" style="5" bestFit="1" customWidth="1"/>
    <col min="125" max="125" width="11.5" style="5" bestFit="1" customWidth="1"/>
    <col min="126" max="126" width="18" style="5" bestFit="1" customWidth="1"/>
    <col min="127" max="127" width="11.5" style="5" bestFit="1" customWidth="1"/>
    <col min="128" max="129" width="16.25" style="5" bestFit="1" customWidth="1"/>
    <col min="130" max="130" width="11.5" style="5" bestFit="1" customWidth="1"/>
    <col min="131" max="131" width="18.625" style="5" bestFit="1" customWidth="1"/>
    <col min="132" max="132" width="15.75" style="5" bestFit="1" customWidth="1"/>
    <col min="133" max="133" width="16.25" style="5" bestFit="1" customWidth="1"/>
    <col min="134" max="134" width="15.75" style="5" bestFit="1" customWidth="1"/>
    <col min="135" max="135" width="11.25" style="5" bestFit="1" customWidth="1"/>
    <col min="136" max="136" width="18" style="5" bestFit="1" customWidth="1"/>
    <col min="137" max="138" width="11.125" style="5" bestFit="1" customWidth="1"/>
    <col min="139" max="139" width="15.5" style="5" bestFit="1" customWidth="1"/>
    <col min="140" max="153" width="11.125" style="5" bestFit="1" customWidth="1"/>
    <col min="154" max="154" width="15.5" style="5" bestFit="1" customWidth="1"/>
    <col min="155" max="172" width="11.125" style="5" bestFit="1" customWidth="1"/>
    <col min="173" max="173" width="11" style="5"/>
    <col min="174" max="188" width="11" style="4"/>
    <col min="189" max="233" width="11" style="5"/>
    <col min="234" max="16384" width="11" style="4"/>
  </cols>
  <sheetData>
    <row r="1" spans="1:233" s="12" customFormat="1" ht="35.1" customHeight="1" x14ac:dyDescent="0.3">
      <c r="A1" s="132" t="s">
        <v>21</v>
      </c>
      <c r="B1" s="217"/>
      <c r="C1" s="217"/>
      <c r="D1" s="217"/>
      <c r="E1" s="217"/>
      <c r="F1" s="217"/>
      <c r="G1" s="217"/>
      <c r="H1" s="217"/>
      <c r="I1" s="217"/>
      <c r="J1" s="217"/>
      <c r="K1" s="217"/>
      <c r="L1" s="217"/>
      <c r="M1" s="217"/>
      <c r="O1" s="58"/>
      <c r="P1" s="58"/>
      <c r="Q1" s="58"/>
      <c r="R1" s="58"/>
      <c r="S1" s="58"/>
      <c r="T1" s="58"/>
      <c r="U1" s="58"/>
      <c r="V1" s="58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/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/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/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/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/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/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/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/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/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/>
      <c r="FR1" s="4"/>
      <c r="FS1" s="4"/>
      <c r="FT1" s="4"/>
      <c r="FU1" s="4"/>
      <c r="FV1" s="4"/>
      <c r="FW1" s="4"/>
      <c r="FX1" s="4"/>
      <c r="FY1" s="4"/>
      <c r="FZ1" s="4"/>
      <c r="GA1" s="4"/>
      <c r="GB1" s="4"/>
      <c r="GC1" s="4"/>
      <c r="GD1" s="4"/>
      <c r="GE1" s="4"/>
      <c r="GF1" s="4"/>
      <c r="GG1" s="58"/>
      <c r="GH1" s="58"/>
      <c r="GI1" s="58"/>
      <c r="GJ1" s="58"/>
      <c r="GK1" s="58"/>
      <c r="GL1" s="58"/>
      <c r="GM1" s="58"/>
      <c r="GN1" s="58"/>
      <c r="GO1" s="58"/>
      <c r="GP1" s="58"/>
      <c r="GQ1" s="58"/>
      <c r="GR1" s="58"/>
      <c r="GS1" s="58"/>
      <c r="GT1" s="58"/>
      <c r="GU1" s="58"/>
      <c r="GV1" s="58"/>
      <c r="GW1" s="58"/>
      <c r="GX1" s="58"/>
      <c r="GY1" s="58"/>
      <c r="GZ1" s="58"/>
      <c r="HA1" s="58"/>
      <c r="HB1" s="58"/>
      <c r="HC1" s="58"/>
      <c r="HD1" s="58"/>
      <c r="HE1" s="58"/>
      <c r="HF1" s="58"/>
      <c r="HG1" s="58"/>
      <c r="HH1" s="58"/>
      <c r="HI1" s="58"/>
      <c r="HJ1" s="58"/>
      <c r="HK1" s="58"/>
      <c r="HL1" s="58"/>
      <c r="HM1" s="58"/>
      <c r="HN1" s="58"/>
      <c r="HO1" s="58"/>
      <c r="HP1" s="58"/>
      <c r="HQ1" s="58"/>
      <c r="HR1" s="58"/>
      <c r="HS1" s="58"/>
      <c r="HT1" s="58"/>
      <c r="HU1" s="58"/>
      <c r="HV1" s="58"/>
      <c r="HW1" s="58"/>
      <c r="HX1" s="58"/>
      <c r="HY1" s="58"/>
    </row>
    <row r="2" spans="1:233" s="12" customFormat="1" ht="50.1" customHeight="1" x14ac:dyDescent="0.3">
      <c r="A2" s="462" t="str">
        <f>CONCATENATE("Planificación financiera ",Up," | Estimado de producción por planta en libras cereza | ",Ciclo," años |",Diseño)</f>
        <v>Planificación financiera  | Estimado de producción por planta en libras cereza | 3 años |Surco</v>
      </c>
      <c r="B2" s="463"/>
      <c r="C2" s="463"/>
      <c r="D2" s="463"/>
      <c r="E2" s="463"/>
      <c r="F2" s="463"/>
      <c r="G2" s="463"/>
      <c r="H2" s="463"/>
      <c r="I2" s="463"/>
      <c r="J2" s="463"/>
      <c r="K2" s="463"/>
      <c r="L2" s="463"/>
      <c r="M2" s="464"/>
      <c r="O2" s="58"/>
      <c r="P2" s="58"/>
      <c r="Q2" s="58"/>
      <c r="R2" s="58"/>
      <c r="S2" s="58"/>
      <c r="T2" s="58"/>
      <c r="U2" s="58"/>
      <c r="V2" s="58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  <c r="EW2" s="5"/>
      <c r="EX2" s="5"/>
      <c r="EY2" s="5"/>
      <c r="EZ2" s="5"/>
      <c r="FA2" s="5"/>
      <c r="FB2" s="5"/>
      <c r="FC2" s="5"/>
      <c r="FD2" s="5"/>
      <c r="FE2" s="5"/>
      <c r="FF2" s="5"/>
      <c r="FG2" s="5"/>
      <c r="FH2" s="5"/>
      <c r="FI2" s="5"/>
      <c r="FJ2" s="5"/>
      <c r="FK2" s="5"/>
      <c r="FL2" s="5"/>
      <c r="FM2" s="5"/>
      <c r="FN2" s="5"/>
      <c r="FO2" s="5"/>
      <c r="FP2" s="5"/>
      <c r="FQ2" s="5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58"/>
      <c r="GH2" s="58"/>
      <c r="GI2" s="58"/>
      <c r="GJ2" s="58"/>
      <c r="GK2" s="58"/>
      <c r="GL2" s="58"/>
      <c r="GM2" s="58"/>
      <c r="GN2" s="58"/>
      <c r="GO2" s="58"/>
      <c r="GP2" s="58"/>
      <c r="GQ2" s="58"/>
      <c r="GR2" s="58"/>
      <c r="GS2" s="58"/>
      <c r="GT2" s="58"/>
      <c r="GU2" s="58"/>
      <c r="GV2" s="58"/>
      <c r="GW2" s="58"/>
      <c r="GX2" s="58"/>
      <c r="GY2" s="58"/>
      <c r="GZ2" s="58"/>
      <c r="HA2" s="58"/>
      <c r="HB2" s="58"/>
      <c r="HC2" s="58"/>
      <c r="HD2" s="58"/>
      <c r="HE2" s="58"/>
      <c r="HF2" s="58"/>
      <c r="HG2" s="58"/>
      <c r="HH2" s="58"/>
      <c r="HI2" s="58"/>
      <c r="HJ2" s="58"/>
      <c r="HK2" s="58"/>
      <c r="HL2" s="58"/>
      <c r="HM2" s="58"/>
      <c r="HN2" s="58"/>
      <c r="HO2" s="58"/>
      <c r="HP2" s="58"/>
      <c r="HQ2" s="58"/>
      <c r="HR2" s="58"/>
      <c r="HS2" s="58"/>
      <c r="HT2" s="58"/>
      <c r="HU2" s="58"/>
      <c r="HV2" s="58"/>
      <c r="HW2" s="58"/>
      <c r="HX2" s="58"/>
      <c r="HY2" s="58"/>
    </row>
    <row r="3" spans="1:233" ht="15.95" customHeight="1" x14ac:dyDescent="0.3">
      <c r="A3" s="218"/>
      <c r="B3" s="219"/>
      <c r="C3" s="219"/>
      <c r="D3" s="219"/>
      <c r="E3" s="219"/>
      <c r="F3" s="219"/>
      <c r="G3" s="219"/>
      <c r="H3" s="219"/>
      <c r="I3" s="219"/>
      <c r="J3" s="219"/>
      <c r="K3" s="219"/>
      <c r="L3" s="219"/>
      <c r="M3" s="220"/>
      <c r="DI3" s="5" t="s">
        <v>240</v>
      </c>
      <c r="DJ3" s="5" t="s">
        <v>241</v>
      </c>
      <c r="DK3" s="5" t="s">
        <v>242</v>
      </c>
      <c r="DL3" s="5" t="s">
        <v>243</v>
      </c>
      <c r="DM3" s="5" t="s">
        <v>244</v>
      </c>
      <c r="DN3" s="5" t="s">
        <v>245</v>
      </c>
      <c r="DO3" s="5" t="s">
        <v>246</v>
      </c>
      <c r="DP3" s="5" t="s">
        <v>247</v>
      </c>
      <c r="DQ3" s="5" t="s">
        <v>248</v>
      </c>
      <c r="DR3" s="5" t="s">
        <v>249</v>
      </c>
      <c r="DS3" s="5" t="s">
        <v>250</v>
      </c>
      <c r="DT3" s="5" t="s">
        <v>251</v>
      </c>
      <c r="DU3" s="5" t="s">
        <v>252</v>
      </c>
      <c r="DV3" s="5" t="s">
        <v>253</v>
      </c>
      <c r="DW3" s="5" t="s">
        <v>254</v>
      </c>
      <c r="DX3" s="5" t="s">
        <v>255</v>
      </c>
      <c r="DY3" s="5" t="s">
        <v>256</v>
      </c>
      <c r="DZ3" s="5" t="s">
        <v>257</v>
      </c>
      <c r="EA3" s="5" t="s">
        <v>258</v>
      </c>
      <c r="EB3" s="5" t="s">
        <v>259</v>
      </c>
      <c r="EC3" s="5" t="s">
        <v>260</v>
      </c>
      <c r="ED3" s="5" t="s">
        <v>261</v>
      </c>
      <c r="EE3" s="5" t="s">
        <v>262</v>
      </c>
      <c r="EF3" s="5" t="s">
        <v>263</v>
      </c>
      <c r="EG3" s="5" t="s">
        <v>264</v>
      </c>
      <c r="EH3" s="5" t="s">
        <v>265</v>
      </c>
      <c r="EI3" s="5" t="s">
        <v>266</v>
      </c>
      <c r="EJ3" s="5" t="s">
        <v>267</v>
      </c>
      <c r="EK3" s="5" t="s">
        <v>268</v>
      </c>
      <c r="EL3" s="5" t="s">
        <v>269</v>
      </c>
      <c r="EM3" s="5" t="s">
        <v>270</v>
      </c>
      <c r="EN3" s="5" t="s">
        <v>271</v>
      </c>
      <c r="EO3" s="5" t="s">
        <v>272</v>
      </c>
      <c r="EP3" s="5" t="s">
        <v>273</v>
      </c>
      <c r="EQ3" s="5" t="s">
        <v>274</v>
      </c>
      <c r="ER3" s="5" t="s">
        <v>275</v>
      </c>
      <c r="ES3" s="5" t="s">
        <v>276</v>
      </c>
      <c r="ET3" s="5" t="s">
        <v>277</v>
      </c>
      <c r="EU3" s="5" t="s">
        <v>278</v>
      </c>
      <c r="EV3" s="5" t="s">
        <v>279</v>
      </c>
      <c r="EW3" s="5" t="s">
        <v>280</v>
      </c>
      <c r="EX3" s="5" t="s">
        <v>281</v>
      </c>
      <c r="EY3" s="5" t="s">
        <v>282</v>
      </c>
      <c r="EZ3" s="5" t="s">
        <v>283</v>
      </c>
      <c r="FA3" s="5" t="s">
        <v>284</v>
      </c>
      <c r="FB3" s="5" t="s">
        <v>285</v>
      </c>
      <c r="FC3" s="5" t="s">
        <v>286</v>
      </c>
      <c r="FD3" s="5" t="s">
        <v>287</v>
      </c>
      <c r="FE3" s="5" t="s">
        <v>288</v>
      </c>
      <c r="FF3" s="5" t="s">
        <v>289</v>
      </c>
      <c r="FG3" s="5" t="s">
        <v>290</v>
      </c>
      <c r="FH3" s="5" t="s">
        <v>291</v>
      </c>
      <c r="FI3" s="5" t="s">
        <v>292</v>
      </c>
      <c r="FJ3" s="5" t="s">
        <v>293</v>
      </c>
      <c r="FK3" s="5" t="s">
        <v>294</v>
      </c>
      <c r="FL3" s="5" t="s">
        <v>295</v>
      </c>
      <c r="FM3" s="5" t="s">
        <v>296</v>
      </c>
      <c r="FN3" s="5" t="s">
        <v>297</v>
      </c>
      <c r="FO3" s="5" t="s">
        <v>298</v>
      </c>
      <c r="FP3" s="5" t="s">
        <v>299</v>
      </c>
    </row>
    <row r="4" spans="1:233" ht="30" customHeight="1" x14ac:dyDescent="0.3">
      <c r="A4" s="221" t="s">
        <v>231</v>
      </c>
      <c r="B4" s="222">
        <f>Año_Inicial</f>
        <v>2023</v>
      </c>
      <c r="C4" s="222">
        <f>B4+1</f>
        <v>2024</v>
      </c>
      <c r="D4" s="222">
        <f t="shared" ref="D4:M4" si="0">C4+1</f>
        <v>2025</v>
      </c>
      <c r="E4" s="222">
        <f t="shared" si="0"/>
        <v>2026</v>
      </c>
      <c r="F4" s="222">
        <f t="shared" si="0"/>
        <v>2027</v>
      </c>
      <c r="G4" s="222">
        <f t="shared" si="0"/>
        <v>2028</v>
      </c>
      <c r="H4" s="222">
        <f t="shared" si="0"/>
        <v>2029</v>
      </c>
      <c r="I4" s="222">
        <f t="shared" si="0"/>
        <v>2030</v>
      </c>
      <c r="J4" s="222">
        <f t="shared" si="0"/>
        <v>2031</v>
      </c>
      <c r="K4" s="222">
        <f t="shared" si="0"/>
        <v>2032</v>
      </c>
      <c r="L4" s="222">
        <f>K4+1</f>
        <v>2033</v>
      </c>
      <c r="M4" s="222">
        <f t="shared" si="0"/>
        <v>2034</v>
      </c>
      <c r="O4" s="465" t="s">
        <v>300</v>
      </c>
      <c r="P4" s="465"/>
      <c r="Q4" s="465"/>
      <c r="R4" s="465"/>
      <c r="S4" s="465"/>
      <c r="T4" s="465"/>
      <c r="U4" s="465"/>
      <c r="V4" s="465"/>
      <c r="W4" s="465"/>
      <c r="X4" s="465"/>
      <c r="Y4" s="465"/>
      <c r="Z4" s="465"/>
      <c r="AB4" s="406">
        <f>Año_Inicial</f>
        <v>2023</v>
      </c>
      <c r="AC4" s="406"/>
      <c r="AD4" s="406"/>
      <c r="AE4" s="406"/>
      <c r="AF4" s="406"/>
      <c r="AG4" s="406"/>
      <c r="AH4" s="406"/>
      <c r="AI4" s="406">
        <f>Año_Inicial+1</f>
        <v>2024</v>
      </c>
      <c r="AJ4" s="406"/>
      <c r="AK4" s="406"/>
      <c r="AL4" s="406"/>
      <c r="AM4" s="406"/>
      <c r="AN4" s="406"/>
      <c r="AO4" s="406"/>
      <c r="AP4" s="406">
        <f>Año_Inicial+2</f>
        <v>2025</v>
      </c>
      <c r="AQ4" s="406"/>
      <c r="AR4" s="406"/>
      <c r="AS4" s="406"/>
      <c r="AT4" s="406"/>
      <c r="AU4" s="406"/>
      <c r="AV4" s="406"/>
      <c r="AW4" s="406">
        <f>Año_Inicial+3</f>
        <v>2026</v>
      </c>
      <c r="AX4" s="406"/>
      <c r="AY4" s="406"/>
      <c r="AZ4" s="406"/>
      <c r="BA4" s="406"/>
      <c r="BB4" s="406"/>
      <c r="BC4" s="406"/>
      <c r="BD4" s="406">
        <f>Año_Inicial+4</f>
        <v>2027</v>
      </c>
      <c r="BE4" s="406"/>
      <c r="BF4" s="406"/>
      <c r="BG4" s="406"/>
      <c r="BH4" s="406"/>
      <c r="BI4" s="406"/>
      <c r="BJ4" s="406"/>
      <c r="BK4" s="406">
        <f>Año_Inicial+5</f>
        <v>2028</v>
      </c>
      <c r="BL4" s="406"/>
      <c r="BM4" s="406"/>
      <c r="BN4" s="406"/>
      <c r="BO4" s="406"/>
      <c r="BP4" s="406"/>
      <c r="BQ4" s="406"/>
      <c r="BR4" s="406">
        <f>Año_Inicial+6</f>
        <v>2029</v>
      </c>
      <c r="BS4" s="406"/>
      <c r="BT4" s="406"/>
      <c r="BU4" s="406"/>
      <c r="BV4" s="406"/>
      <c r="BW4" s="406"/>
      <c r="BX4" s="406"/>
      <c r="BY4" s="406">
        <f>Año_Inicial+7</f>
        <v>2030</v>
      </c>
      <c r="BZ4" s="406"/>
      <c r="CA4" s="406"/>
      <c r="CB4" s="406"/>
      <c r="CC4" s="406"/>
      <c r="CD4" s="406"/>
      <c r="CE4" s="406"/>
      <c r="CF4" s="406">
        <f>Año_Inicial+8</f>
        <v>2031</v>
      </c>
      <c r="CG4" s="406"/>
      <c r="CH4" s="406"/>
      <c r="CI4" s="406"/>
      <c r="CJ4" s="406"/>
      <c r="CK4" s="406"/>
      <c r="CL4" s="406"/>
      <c r="CM4" s="406">
        <f>Año_Inicial+9</f>
        <v>2032</v>
      </c>
      <c r="CN4" s="406"/>
      <c r="CO4" s="406"/>
      <c r="CP4" s="406"/>
      <c r="CQ4" s="406"/>
      <c r="CR4" s="406"/>
      <c r="CS4" s="406"/>
      <c r="CT4" s="406">
        <f>Año_Inicial+10</f>
        <v>2033</v>
      </c>
      <c r="CU4" s="406"/>
      <c r="CV4" s="406"/>
      <c r="CW4" s="406"/>
      <c r="CX4" s="406"/>
      <c r="CY4" s="406"/>
      <c r="CZ4" s="406"/>
      <c r="DA4" s="406">
        <f>Año_Inicial+11</f>
        <v>2034</v>
      </c>
      <c r="DB4" s="406"/>
      <c r="DC4" s="406"/>
      <c r="DD4" s="406"/>
      <c r="DE4" s="406"/>
      <c r="DF4" s="406"/>
      <c r="DG4" s="406"/>
      <c r="DH4" s="406"/>
      <c r="DI4" s="406">
        <f t="shared" ref="DI4:EN4" si="1">SUM(DI6:DI325)</f>
        <v>0</v>
      </c>
      <c r="DJ4" s="406">
        <f t="shared" si="1"/>
        <v>0</v>
      </c>
      <c r="DK4" s="406">
        <f t="shared" si="1"/>
        <v>0</v>
      </c>
      <c r="DL4" s="406">
        <f t="shared" si="1"/>
        <v>7000</v>
      </c>
      <c r="DM4" s="406">
        <f t="shared" si="1"/>
        <v>0</v>
      </c>
      <c r="DN4" s="406">
        <f t="shared" si="1"/>
        <v>0</v>
      </c>
      <c r="DO4" s="406">
        <f t="shared" si="1"/>
        <v>0</v>
      </c>
      <c r="DP4" s="406">
        <f t="shared" si="1"/>
        <v>0</v>
      </c>
      <c r="DQ4" s="406">
        <f t="shared" si="1"/>
        <v>0</v>
      </c>
      <c r="DR4" s="406">
        <f t="shared" si="1"/>
        <v>0</v>
      </c>
      <c r="DS4" s="406">
        <f t="shared" si="1"/>
        <v>0</v>
      </c>
      <c r="DT4" s="406">
        <f t="shared" si="1"/>
        <v>0</v>
      </c>
      <c r="DU4" s="406">
        <f t="shared" si="1"/>
        <v>0</v>
      </c>
      <c r="DV4" s="406">
        <f t="shared" si="1"/>
        <v>0</v>
      </c>
      <c r="DW4" s="406">
        <f t="shared" si="1"/>
        <v>0</v>
      </c>
      <c r="DX4" s="406">
        <f t="shared" si="1"/>
        <v>0</v>
      </c>
      <c r="DY4" s="406">
        <f t="shared" si="1"/>
        <v>0</v>
      </c>
      <c r="DZ4" s="406">
        <f t="shared" si="1"/>
        <v>0</v>
      </c>
      <c r="EA4" s="406">
        <f t="shared" si="1"/>
        <v>0</v>
      </c>
      <c r="EB4" s="406">
        <f t="shared" si="1"/>
        <v>0</v>
      </c>
      <c r="EC4" s="406">
        <f t="shared" si="1"/>
        <v>0</v>
      </c>
      <c r="ED4" s="406">
        <f t="shared" si="1"/>
        <v>0</v>
      </c>
      <c r="EE4" s="406">
        <f t="shared" si="1"/>
        <v>0</v>
      </c>
      <c r="EF4" s="406">
        <f t="shared" si="1"/>
        <v>0</v>
      </c>
      <c r="EG4" s="406">
        <f t="shared" si="1"/>
        <v>0</v>
      </c>
      <c r="EH4" s="406">
        <f t="shared" si="1"/>
        <v>0</v>
      </c>
      <c r="EI4" s="406">
        <f t="shared" si="1"/>
        <v>0</v>
      </c>
      <c r="EJ4" s="406">
        <f t="shared" si="1"/>
        <v>0</v>
      </c>
      <c r="EK4" s="406">
        <f t="shared" si="1"/>
        <v>0</v>
      </c>
      <c r="EL4" s="406">
        <f t="shared" si="1"/>
        <v>0</v>
      </c>
      <c r="EM4" s="406">
        <f t="shared" si="1"/>
        <v>0</v>
      </c>
      <c r="EN4" s="406">
        <f t="shared" si="1"/>
        <v>0</v>
      </c>
      <c r="EO4" s="406">
        <f t="shared" ref="EO4:FP4" si="2">SUM(EO6:EO325)</f>
        <v>0</v>
      </c>
      <c r="EP4" s="406">
        <f t="shared" si="2"/>
        <v>0</v>
      </c>
      <c r="EQ4" s="406">
        <f t="shared" si="2"/>
        <v>0</v>
      </c>
      <c r="ER4" s="406">
        <f t="shared" si="2"/>
        <v>0</v>
      </c>
      <c r="ES4" s="406">
        <f t="shared" si="2"/>
        <v>0</v>
      </c>
      <c r="ET4" s="406">
        <f t="shared" si="2"/>
        <v>0</v>
      </c>
      <c r="EU4" s="406">
        <f t="shared" si="2"/>
        <v>0</v>
      </c>
      <c r="EV4" s="406">
        <f t="shared" si="2"/>
        <v>0</v>
      </c>
      <c r="EW4" s="406">
        <f t="shared" si="2"/>
        <v>0</v>
      </c>
      <c r="EX4" s="406">
        <f t="shared" si="2"/>
        <v>0</v>
      </c>
      <c r="EY4" s="406">
        <f t="shared" si="2"/>
        <v>0</v>
      </c>
      <c r="EZ4" s="406">
        <f t="shared" si="2"/>
        <v>0</v>
      </c>
      <c r="FA4" s="406">
        <f t="shared" si="2"/>
        <v>0</v>
      </c>
      <c r="FB4" s="406">
        <f t="shared" si="2"/>
        <v>0</v>
      </c>
      <c r="FC4" s="406">
        <f t="shared" si="2"/>
        <v>0</v>
      </c>
      <c r="FD4" s="406">
        <f t="shared" si="2"/>
        <v>0</v>
      </c>
      <c r="FE4" s="406">
        <f t="shared" si="2"/>
        <v>0</v>
      </c>
      <c r="FF4" s="406">
        <f t="shared" si="2"/>
        <v>0</v>
      </c>
      <c r="FG4" s="406">
        <f t="shared" si="2"/>
        <v>0</v>
      </c>
      <c r="FH4" s="406">
        <f t="shared" si="2"/>
        <v>0</v>
      </c>
      <c r="FI4" s="406">
        <f t="shared" si="2"/>
        <v>0</v>
      </c>
      <c r="FJ4" s="406">
        <f t="shared" si="2"/>
        <v>0</v>
      </c>
      <c r="FK4" s="406">
        <f t="shared" si="2"/>
        <v>0</v>
      </c>
      <c r="FL4" s="406">
        <f t="shared" si="2"/>
        <v>0</v>
      </c>
      <c r="FM4" s="406">
        <f t="shared" si="2"/>
        <v>0</v>
      </c>
      <c r="FN4" s="406">
        <f t="shared" si="2"/>
        <v>0</v>
      </c>
      <c r="FO4" s="406">
        <f t="shared" si="2"/>
        <v>0</v>
      </c>
      <c r="FP4" s="406">
        <f t="shared" si="2"/>
        <v>0</v>
      </c>
    </row>
    <row r="5" spans="1:233" ht="23.1" customHeight="1" x14ac:dyDescent="0.3">
      <c r="A5" s="153" t="s">
        <v>301</v>
      </c>
      <c r="B5" s="154">
        <f t="shared" ref="B5:M5" si="3">B7+B15+B23+B31+B39+B47+B55+B63+B71+B79+B87+B95+B103+B111+B119+B127+B135+B143+B151+B159+B167+B175+B183+B191+B199+B207+B215+B223+B231+B239+B247+B255+B263+B271+B279+B287+B295+B303+B311+B319</f>
        <v>70</v>
      </c>
      <c r="C5" s="154">
        <f t="shared" si="3"/>
        <v>0</v>
      </c>
      <c r="D5" s="154">
        <f t="shared" si="3"/>
        <v>0</v>
      </c>
      <c r="E5" s="154">
        <f t="shared" si="3"/>
        <v>0</v>
      </c>
      <c r="F5" s="154">
        <f t="shared" si="3"/>
        <v>0</v>
      </c>
      <c r="G5" s="154">
        <f t="shared" si="3"/>
        <v>0</v>
      </c>
      <c r="H5" s="154">
        <f t="shared" si="3"/>
        <v>0</v>
      </c>
      <c r="I5" s="154">
        <f t="shared" si="3"/>
        <v>0</v>
      </c>
      <c r="J5" s="154">
        <f t="shared" si="3"/>
        <v>0</v>
      </c>
      <c r="K5" s="154">
        <f t="shared" si="3"/>
        <v>0</v>
      </c>
      <c r="L5" s="154">
        <f t="shared" si="3"/>
        <v>0</v>
      </c>
      <c r="M5" s="154">
        <f t="shared" si="3"/>
        <v>0</v>
      </c>
      <c r="O5" s="216">
        <f>Año_Inicial</f>
        <v>2023</v>
      </c>
      <c r="P5" s="216">
        <f>O5+1</f>
        <v>2024</v>
      </c>
      <c r="Q5" s="216">
        <f t="shared" ref="Q5:Z5" si="4">P5+1</f>
        <v>2025</v>
      </c>
      <c r="R5" s="216">
        <f t="shared" si="4"/>
        <v>2026</v>
      </c>
      <c r="S5" s="216">
        <f t="shared" si="4"/>
        <v>2027</v>
      </c>
      <c r="T5" s="216">
        <f t="shared" si="4"/>
        <v>2028</v>
      </c>
      <c r="U5" s="216">
        <f t="shared" si="4"/>
        <v>2029</v>
      </c>
      <c r="V5" s="216">
        <f t="shared" si="4"/>
        <v>2030</v>
      </c>
      <c r="W5" s="407">
        <f t="shared" si="4"/>
        <v>2031</v>
      </c>
      <c r="X5" s="407">
        <f t="shared" si="4"/>
        <v>2032</v>
      </c>
      <c r="Y5" s="407">
        <f t="shared" si="4"/>
        <v>2033</v>
      </c>
      <c r="Z5" s="407">
        <f t="shared" si="4"/>
        <v>2034</v>
      </c>
      <c r="AB5" s="5" t="s">
        <v>96</v>
      </c>
      <c r="AC5" s="5" t="s">
        <v>97</v>
      </c>
      <c r="AD5" s="5" t="s">
        <v>98</v>
      </c>
      <c r="AE5" s="5" t="s">
        <v>99</v>
      </c>
      <c r="AF5" s="5" t="s">
        <v>100</v>
      </c>
      <c r="AG5" s="5" t="s">
        <v>235</v>
      </c>
      <c r="AH5" s="5" t="s">
        <v>236</v>
      </c>
      <c r="AI5" s="5" t="s">
        <v>96</v>
      </c>
      <c r="AJ5" s="5" t="s">
        <v>97</v>
      </c>
      <c r="AK5" s="5" t="s">
        <v>98</v>
      </c>
      <c r="AL5" s="5" t="s">
        <v>99</v>
      </c>
      <c r="AM5" s="5" t="s">
        <v>100</v>
      </c>
      <c r="AN5" s="5" t="s">
        <v>235</v>
      </c>
      <c r="AO5" s="5" t="s">
        <v>236</v>
      </c>
      <c r="AP5" s="5" t="s">
        <v>96</v>
      </c>
      <c r="AQ5" s="5" t="s">
        <v>97</v>
      </c>
      <c r="AR5" s="5" t="s">
        <v>98</v>
      </c>
      <c r="AS5" s="5" t="s">
        <v>99</v>
      </c>
      <c r="AT5" s="5" t="s">
        <v>100</v>
      </c>
      <c r="AU5" s="5" t="s">
        <v>235</v>
      </c>
      <c r="AV5" s="5" t="s">
        <v>236</v>
      </c>
      <c r="AW5" s="5" t="s">
        <v>96</v>
      </c>
      <c r="AX5" s="5" t="s">
        <v>97</v>
      </c>
      <c r="AY5" s="5" t="s">
        <v>98</v>
      </c>
      <c r="AZ5" s="5" t="s">
        <v>99</v>
      </c>
      <c r="BA5" s="5" t="s">
        <v>100</v>
      </c>
      <c r="BB5" s="5" t="s">
        <v>235</v>
      </c>
      <c r="BC5" s="5" t="s">
        <v>236</v>
      </c>
      <c r="BD5" s="5" t="s">
        <v>96</v>
      </c>
      <c r="BE5" s="5" t="s">
        <v>97</v>
      </c>
      <c r="BF5" s="5" t="s">
        <v>98</v>
      </c>
      <c r="BG5" s="5" t="s">
        <v>99</v>
      </c>
      <c r="BH5" s="5" t="s">
        <v>100</v>
      </c>
      <c r="BI5" s="5" t="s">
        <v>235</v>
      </c>
      <c r="BJ5" s="5" t="s">
        <v>236</v>
      </c>
      <c r="BK5" s="5" t="s">
        <v>96</v>
      </c>
      <c r="BL5" s="5" t="s">
        <v>97</v>
      </c>
      <c r="BM5" s="5" t="s">
        <v>98</v>
      </c>
      <c r="BN5" s="5" t="s">
        <v>99</v>
      </c>
      <c r="BO5" s="5" t="s">
        <v>100</v>
      </c>
      <c r="BP5" s="5" t="s">
        <v>235</v>
      </c>
      <c r="BQ5" s="5" t="s">
        <v>236</v>
      </c>
      <c r="BR5" s="5" t="s">
        <v>96</v>
      </c>
      <c r="BS5" s="5" t="s">
        <v>97</v>
      </c>
      <c r="BT5" s="5" t="s">
        <v>98</v>
      </c>
      <c r="BU5" s="5" t="s">
        <v>99</v>
      </c>
      <c r="BV5" s="5" t="s">
        <v>100</v>
      </c>
      <c r="BW5" s="5" t="s">
        <v>235</v>
      </c>
      <c r="BX5" s="5" t="s">
        <v>236</v>
      </c>
      <c r="BY5" s="5" t="s">
        <v>96</v>
      </c>
      <c r="BZ5" s="5" t="s">
        <v>97</v>
      </c>
      <c r="CA5" s="5" t="s">
        <v>98</v>
      </c>
      <c r="CB5" s="5" t="s">
        <v>99</v>
      </c>
      <c r="CC5" s="5" t="s">
        <v>100</v>
      </c>
      <c r="CD5" s="5" t="s">
        <v>235</v>
      </c>
      <c r="CE5" s="5" t="s">
        <v>236</v>
      </c>
      <c r="CF5" s="5" t="s">
        <v>96</v>
      </c>
      <c r="CG5" s="5" t="s">
        <v>97</v>
      </c>
      <c r="CH5" s="5" t="s">
        <v>98</v>
      </c>
      <c r="CI5" s="5" t="s">
        <v>99</v>
      </c>
      <c r="CJ5" s="5" t="s">
        <v>100</v>
      </c>
      <c r="CK5" s="5" t="s">
        <v>235</v>
      </c>
      <c r="CL5" s="5" t="s">
        <v>236</v>
      </c>
      <c r="CM5" s="5" t="s">
        <v>96</v>
      </c>
      <c r="CN5" s="5" t="s">
        <v>97</v>
      </c>
      <c r="CO5" s="5" t="s">
        <v>98</v>
      </c>
      <c r="CP5" s="5" t="s">
        <v>99</v>
      </c>
      <c r="CQ5" s="5" t="s">
        <v>100</v>
      </c>
      <c r="CR5" s="5" t="s">
        <v>235</v>
      </c>
      <c r="CS5" s="5" t="s">
        <v>236</v>
      </c>
      <c r="CT5" s="5" t="s">
        <v>96</v>
      </c>
      <c r="CU5" s="5" t="s">
        <v>97</v>
      </c>
      <c r="CV5" s="5" t="s">
        <v>98</v>
      </c>
      <c r="CW5" s="5" t="s">
        <v>99</v>
      </c>
      <c r="CX5" s="5" t="s">
        <v>100</v>
      </c>
      <c r="CY5" s="5" t="s">
        <v>235</v>
      </c>
      <c r="CZ5" s="5" t="s">
        <v>236</v>
      </c>
      <c r="DA5" s="5" t="s">
        <v>96</v>
      </c>
      <c r="DB5" s="5" t="s">
        <v>97</v>
      </c>
      <c r="DC5" s="5" t="s">
        <v>98</v>
      </c>
      <c r="DD5" s="5" t="s">
        <v>99</v>
      </c>
      <c r="DE5" s="5" t="s">
        <v>99</v>
      </c>
      <c r="DF5" s="5" t="s">
        <v>235</v>
      </c>
      <c r="DG5" s="5" t="s">
        <v>236</v>
      </c>
      <c r="DI5" s="5" t="s">
        <v>96</v>
      </c>
      <c r="DJ5" s="5" t="s">
        <v>97</v>
      </c>
      <c r="DK5" s="5" t="s">
        <v>98</v>
      </c>
      <c r="DL5" s="5" t="s">
        <v>99</v>
      </c>
      <c r="DM5" s="5" t="s">
        <v>100</v>
      </c>
      <c r="DN5" s="5" t="s">
        <v>96</v>
      </c>
      <c r="DO5" s="5" t="s">
        <v>97</v>
      </c>
      <c r="DP5" s="5" t="s">
        <v>98</v>
      </c>
      <c r="DQ5" s="5" t="s">
        <v>99</v>
      </c>
      <c r="DR5" s="5" t="s">
        <v>100</v>
      </c>
      <c r="DS5" s="5" t="s">
        <v>96</v>
      </c>
      <c r="DT5" s="5" t="s">
        <v>97</v>
      </c>
      <c r="DU5" s="5" t="s">
        <v>98</v>
      </c>
      <c r="DV5" s="5" t="s">
        <v>99</v>
      </c>
      <c r="DW5" s="5" t="s">
        <v>100</v>
      </c>
      <c r="DX5" s="5" t="s">
        <v>96</v>
      </c>
      <c r="DY5" s="5" t="s">
        <v>97</v>
      </c>
      <c r="DZ5" s="5" t="s">
        <v>98</v>
      </c>
      <c r="EA5" s="5" t="s">
        <v>99</v>
      </c>
      <c r="EB5" s="5" t="s">
        <v>100</v>
      </c>
      <c r="EC5" s="5" t="s">
        <v>96</v>
      </c>
      <c r="ED5" s="5" t="s">
        <v>97</v>
      </c>
      <c r="EE5" s="5" t="s">
        <v>98</v>
      </c>
      <c r="EF5" s="5" t="s">
        <v>99</v>
      </c>
      <c r="EG5" s="5" t="s">
        <v>100</v>
      </c>
      <c r="EH5" s="5" t="s">
        <v>96</v>
      </c>
      <c r="EI5" s="5" t="s">
        <v>97</v>
      </c>
      <c r="EJ5" s="5" t="s">
        <v>98</v>
      </c>
      <c r="EK5" s="5" t="s">
        <v>99</v>
      </c>
      <c r="EL5" s="5" t="s">
        <v>100</v>
      </c>
      <c r="EM5" s="5" t="s">
        <v>96</v>
      </c>
      <c r="EN5" s="5" t="s">
        <v>97</v>
      </c>
      <c r="EO5" s="5" t="s">
        <v>98</v>
      </c>
      <c r="EP5" s="5" t="s">
        <v>99</v>
      </c>
      <c r="EQ5" s="5" t="s">
        <v>100</v>
      </c>
      <c r="ER5" s="5" t="s">
        <v>96</v>
      </c>
      <c r="ES5" s="5" t="s">
        <v>97</v>
      </c>
      <c r="ET5" s="5" t="s">
        <v>98</v>
      </c>
      <c r="EU5" s="5" t="s">
        <v>99</v>
      </c>
      <c r="EV5" s="5" t="s">
        <v>100</v>
      </c>
      <c r="EW5" s="5" t="s">
        <v>96</v>
      </c>
      <c r="EX5" s="5" t="s">
        <v>97</v>
      </c>
      <c r="EY5" s="5" t="s">
        <v>98</v>
      </c>
      <c r="EZ5" s="5" t="s">
        <v>99</v>
      </c>
      <c r="FA5" s="5" t="s">
        <v>100</v>
      </c>
      <c r="FB5" s="5" t="s">
        <v>96</v>
      </c>
      <c r="FC5" s="5" t="s">
        <v>97</v>
      </c>
      <c r="FD5" s="5" t="s">
        <v>98</v>
      </c>
      <c r="FE5" s="5" t="s">
        <v>99</v>
      </c>
      <c r="FF5" s="5" t="s">
        <v>100</v>
      </c>
      <c r="FG5" s="5" t="s">
        <v>96</v>
      </c>
      <c r="FH5" s="5" t="s">
        <v>97</v>
      </c>
      <c r="FI5" s="5" t="s">
        <v>98</v>
      </c>
      <c r="FJ5" s="5" t="s">
        <v>99</v>
      </c>
      <c r="FK5" s="5" t="s">
        <v>100</v>
      </c>
      <c r="FL5" s="5" t="s">
        <v>96</v>
      </c>
      <c r="FM5" s="5" t="s">
        <v>97</v>
      </c>
      <c r="FN5" s="5" t="s">
        <v>98</v>
      </c>
      <c r="FO5" s="5" t="s">
        <v>99</v>
      </c>
      <c r="FP5" s="5" t="s">
        <v>100</v>
      </c>
    </row>
    <row r="6" spans="1:233" ht="20.100000000000001" customHeight="1" x14ac:dyDescent="0.3">
      <c r="A6" s="172" t="str">
        <f>N_L1</f>
        <v>La Cumbre</v>
      </c>
      <c r="B6" s="363" t="s">
        <v>37</v>
      </c>
      <c r="C6" s="363" t="s">
        <v>37</v>
      </c>
      <c r="D6" s="363" t="s">
        <v>37</v>
      </c>
      <c r="E6" s="363" t="s">
        <v>37</v>
      </c>
      <c r="F6" s="363" t="s">
        <v>37</v>
      </c>
      <c r="G6" s="363" t="s">
        <v>37</v>
      </c>
      <c r="H6" s="363" t="s">
        <v>37</v>
      </c>
      <c r="I6" s="363" t="s">
        <v>37</v>
      </c>
      <c r="J6" s="363" t="s">
        <v>37</v>
      </c>
      <c r="K6" s="363" t="s">
        <v>37</v>
      </c>
      <c r="L6" s="363" t="s">
        <v>37</v>
      </c>
      <c r="M6" s="363" t="s">
        <v>37</v>
      </c>
    </row>
    <row r="7" spans="1:233" ht="20.100000000000001" customHeight="1" x14ac:dyDescent="0.3">
      <c r="A7" s="173" t="s">
        <v>238</v>
      </c>
      <c r="B7" s="174">
        <f>SUM(DI9:DM13)/100</f>
        <v>70</v>
      </c>
      <c r="C7" s="174">
        <f>SUM(DN9:DR13)/100</f>
        <v>0</v>
      </c>
      <c r="D7" s="174">
        <f>SUM(DS9:DW13)/100</f>
        <v>0</v>
      </c>
      <c r="E7" s="174">
        <f>SUM(DX9:EB13)/100</f>
        <v>0</v>
      </c>
      <c r="F7" s="174">
        <f>SUM(EC9:EG13)/100</f>
        <v>0</v>
      </c>
      <c r="G7" s="174">
        <f>SUM(EH9:EL13)/100</f>
        <v>0</v>
      </c>
      <c r="H7" s="174">
        <f>SUM(EM9:EQ13)/100</f>
        <v>0</v>
      </c>
      <c r="I7" s="174">
        <f>SUM(ER9:EV13)/100</f>
        <v>0</v>
      </c>
      <c r="J7" s="174">
        <f>SUM(EW9:FA13)/100</f>
        <v>0</v>
      </c>
      <c r="K7" s="174">
        <f>SUM(FB9:FF13)/100</f>
        <v>0</v>
      </c>
      <c r="L7" s="174">
        <f>SUM(FG9:FK13)/100</f>
        <v>0</v>
      </c>
      <c r="M7" s="174">
        <f>SUM(FL9:FP13)/100</f>
        <v>0</v>
      </c>
    </row>
    <row r="8" spans="1:233" ht="20.100000000000001" customHeight="1" x14ac:dyDescent="0.3">
      <c r="A8" s="151" t="s">
        <v>239</v>
      </c>
      <c r="B8" s="152">
        <f t="shared" ref="B8:M8" si="5">B7/Lote_1</f>
        <v>70</v>
      </c>
      <c r="C8" s="152">
        <f t="shared" si="5"/>
        <v>0</v>
      </c>
      <c r="D8" s="152">
        <f t="shared" si="5"/>
        <v>0</v>
      </c>
      <c r="E8" s="152">
        <f t="shared" si="5"/>
        <v>0</v>
      </c>
      <c r="F8" s="152">
        <f t="shared" si="5"/>
        <v>0</v>
      </c>
      <c r="G8" s="152">
        <f t="shared" si="5"/>
        <v>0</v>
      </c>
      <c r="H8" s="152">
        <f t="shared" si="5"/>
        <v>0</v>
      </c>
      <c r="I8" s="152">
        <f t="shared" si="5"/>
        <v>0</v>
      </c>
      <c r="J8" s="152">
        <f t="shared" si="5"/>
        <v>0</v>
      </c>
      <c r="K8" s="152">
        <f t="shared" si="5"/>
        <v>0</v>
      </c>
      <c r="L8" s="152">
        <f t="shared" si="5"/>
        <v>0</v>
      </c>
      <c r="M8" s="152">
        <f t="shared" si="5"/>
        <v>0</v>
      </c>
    </row>
    <row r="9" spans="1:233" ht="20.100000000000001" customHeight="1" x14ac:dyDescent="0.3">
      <c r="A9" s="8" t="s">
        <v>302</v>
      </c>
      <c r="B9" s="2">
        <v>0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O9" s="58">
        <f>IFERROR('6'!O$7/Ciclo,0)</f>
        <v>2333.3333333333335</v>
      </c>
      <c r="P9" s="58">
        <f>IFERROR('6'!P$7/Ciclo,0)</f>
        <v>2333.3333333333335</v>
      </c>
      <c r="Q9" s="58">
        <f>IFERROR('6'!Q$7/Ciclo,0)</f>
        <v>2333.3333333333335</v>
      </c>
      <c r="R9" s="58">
        <f>IFERROR('6'!R$7/Ciclo,0)</f>
        <v>2333.3333333333335</v>
      </c>
      <c r="S9" s="58">
        <f>IFERROR('6'!S$7/Ciclo,0)</f>
        <v>2333.3333333333335</v>
      </c>
      <c r="T9" s="58">
        <f>IFERROR('6'!T$7/Ciclo,0)</f>
        <v>2333.3333333333335</v>
      </c>
      <c r="U9" s="58">
        <f>IFERROR('6'!U$7/Ciclo,0)</f>
        <v>2333.3333333333335</v>
      </c>
      <c r="V9" s="58">
        <f>IFERROR('6'!V$7/Ciclo,0)</f>
        <v>2333.3333333333335</v>
      </c>
      <c r="W9" s="5">
        <f>IFERROR('6'!W$7/Ciclo,0)</f>
        <v>2333.3333333333335</v>
      </c>
      <c r="X9" s="5">
        <f>IFERROR('6'!X$7/Ciclo,0)</f>
        <v>2333.3333333333335</v>
      </c>
      <c r="Y9" s="5">
        <f>IFERROR('6'!Y$7/Ciclo,0)</f>
        <v>2333.3333333333335</v>
      </c>
      <c r="Z9" s="5">
        <f>IFERROR('6'!Z$7/Ciclo,0)</f>
        <v>2333.3333333333335</v>
      </c>
      <c r="AB9" s="5">
        <f>IF($B$6="Producción",IF($B9&gt;=LI_A,$O9,0),0)</f>
        <v>0</v>
      </c>
      <c r="AC9" s="5">
        <f>IF($B$6="Producción",IF($B9&gt;=LI_B,IF($B9&lt;LS_B,$O9,0),0),0)</f>
        <v>0</v>
      </c>
      <c r="AD9" s="5">
        <f>IF($B$6="Producción",IF($B9&gt;=LI_C,IF($B9&lt;LS_C,$O9,0),0),0)</f>
        <v>0</v>
      </c>
      <c r="AE9" s="5">
        <f>IF($B$6="Producción",IF($B9&lt;LS_D,$O9,0),0)</f>
        <v>2333.3333333333335</v>
      </c>
      <c r="AF9" s="5">
        <f>IF($B$6="Crecimiento",$O9,0)</f>
        <v>0</v>
      </c>
      <c r="AG9" s="5">
        <f>IF($B$6="Siembra",'6'!$O$7,0)</f>
        <v>0</v>
      </c>
      <c r="AH9" s="5">
        <f>IF($B$6="Abandono",'6'!$O$7,0)</f>
        <v>0</v>
      </c>
      <c r="AI9" s="5">
        <f>IF($C$6="Producción",IF($C9&gt;=LI_A,$P9,0),0)</f>
        <v>0</v>
      </c>
      <c r="AJ9" s="5">
        <f>IF($C$6="Producción",IF($C9&gt;=LI_B,IF($C9&lt;LS_B,$P9,0),0),0)</f>
        <v>0</v>
      </c>
      <c r="AK9" s="5">
        <f>IF($C$6="Producción",IF($C9&gt;=LI_C,IF($C9&lt;LS_C,$P9,0),0),0)</f>
        <v>0</v>
      </c>
      <c r="AL9" s="5">
        <f>IF($C$6="Producción",IF($C9&lt;LS_D,$P9,0),0)</f>
        <v>2333.3333333333335</v>
      </c>
      <c r="AM9" s="5">
        <f>IF($C$6="Crecimiento",$P9,0)</f>
        <v>0</v>
      </c>
      <c r="AN9" s="5">
        <f>IF($C$6="Siembra",'6'!$P$7,0)</f>
        <v>0</v>
      </c>
      <c r="AO9" s="5">
        <f>IF($C$6="Abandono",'6'!$P$7,0)</f>
        <v>0</v>
      </c>
      <c r="AP9" s="5">
        <f>IF($D$6="Producción",IF($D9&gt;=LI_A,$Q9,0),0)</f>
        <v>0</v>
      </c>
      <c r="AQ9" s="5">
        <f>IF($D$6="Producción",IF($D9&gt;=LI_B,IF($D9&lt;LS_B,$Q9,0),0),0)</f>
        <v>0</v>
      </c>
      <c r="AR9" s="5">
        <f>IF($D$6="Producción",IF($D9&gt;=LI_C,IF($D9&lt;LS_C,$Q9,0),0),0)</f>
        <v>0</v>
      </c>
      <c r="AS9" s="5">
        <f>IF($D$6="Producción",IF($D9&lt;LS_D,$Q9,0),0)</f>
        <v>2333.3333333333335</v>
      </c>
      <c r="AT9" s="5">
        <f>IF($D$6="Crecimiento",IF($D9&gt;0,$Q9,0),0)</f>
        <v>0</v>
      </c>
      <c r="AU9" s="5">
        <f>IF($D$6="Siembra",'6'!$Q$7,0)</f>
        <v>0</v>
      </c>
      <c r="AV9" s="5">
        <f>IF($D$6="Abandono",'6'!$Q$7,0)</f>
        <v>0</v>
      </c>
      <c r="AW9" s="5">
        <f>IF($E$6="Producción",IF($E9&gt;=LI_A,$R9,0),0)</f>
        <v>0</v>
      </c>
      <c r="AX9" s="5">
        <f>IF($E$6="Producción",IF($E9&gt;=LI_B,IF($E9&lt;LS_B,$R9,0),0),0)</f>
        <v>0</v>
      </c>
      <c r="AY9" s="5">
        <f>IF($E$6="Producción",IF($E9&gt;=LI_C,IF($E9&lt;LS_C,$R9,0),0),0)</f>
        <v>0</v>
      </c>
      <c r="AZ9" s="5">
        <f>IF($E$6="Producción",IF($E9&lt;LS_D,$R9,0),0)</f>
        <v>2333.3333333333335</v>
      </c>
      <c r="BA9" s="5">
        <f>IF($E$6="Crecimiento",$R9,0)</f>
        <v>0</v>
      </c>
      <c r="BB9" s="5">
        <f>IF($E$6="Siembra",'6'!$R$7,0)</f>
        <v>0</v>
      </c>
      <c r="BC9" s="5">
        <f>IF($E$6="Abandono",'6'!$R$7,0)</f>
        <v>0</v>
      </c>
      <c r="BD9" s="5">
        <f>IF($F$6="Producción",IF($F9&gt;=LI_A,$S9,0),0)</f>
        <v>0</v>
      </c>
      <c r="BE9" s="5">
        <f>IF($F$6="Producción",IF($F9&gt;=LI_B,IF($F9&lt;LS_B,$S9,0),0),0)</f>
        <v>0</v>
      </c>
      <c r="BF9" s="5">
        <f>IF($F$6="Producción",IF($F9&gt;=LI_C,IF($F9&lt;LS_C,$S9,0),0),0)</f>
        <v>0</v>
      </c>
      <c r="BG9" s="5">
        <f>IF($F$6="Producción",IF($F9&lt;LS_D,$S9,0),0)</f>
        <v>2333.3333333333335</v>
      </c>
      <c r="BH9" s="5">
        <f>IF($F$6="Crecimiento",$S9,0)</f>
        <v>0</v>
      </c>
      <c r="BI9" s="5">
        <f>IF($F$6="Siembra",'6'!$S$7,0)</f>
        <v>0</v>
      </c>
      <c r="BJ9" s="5">
        <f>IF($F$6="Abandono",'6'!$S$7,0)</f>
        <v>0</v>
      </c>
      <c r="BK9" s="5">
        <f>IF($G$6="Producción",IF($G9&gt;=LI_A,$T9,0),0)</f>
        <v>0</v>
      </c>
      <c r="BL9" s="5">
        <f>IF($G$6="Producción",IF($G9&gt;=LI_B,IF($G9&lt;LS_B,$T9,0),0),0)</f>
        <v>0</v>
      </c>
      <c r="BM9" s="5">
        <f>IF($G$6="Producción",IF($G9&gt;=LI_C,IF($G9&lt;LS_C,$T9,0),0),0)</f>
        <v>0</v>
      </c>
      <c r="BN9" s="5">
        <f>IF($G$6="Producción",IF($G9&lt;LS_D,$T9,0),0)</f>
        <v>2333.3333333333335</v>
      </c>
      <c r="BO9" s="5">
        <f>IF($G$6="Crecimiento",$T9,0)</f>
        <v>0</v>
      </c>
      <c r="BP9" s="5">
        <f>IF($G$6="Siembra",'6'!$T$7,0)</f>
        <v>0</v>
      </c>
      <c r="BQ9" s="5">
        <f>IF($G$6="Abandono",'6'!$T$7,0)</f>
        <v>0</v>
      </c>
      <c r="BR9" s="5">
        <f>IF($H$6="Producción",IF($H9&gt;=LI_A,$U9,0),0)</f>
        <v>0</v>
      </c>
      <c r="BS9" s="5">
        <f>IF($H$6="Producción",IF($H9&gt;=LI_B,IF($H9&lt;LS_B,$U9,0),0),0)</f>
        <v>0</v>
      </c>
      <c r="BT9" s="5">
        <f>IF($H$6="Producción",IF($H9&gt;=LI_C,IF($H9&lt;LS_C,$U9,0),0),0)</f>
        <v>0</v>
      </c>
      <c r="BU9" s="5">
        <f>IF($H$6="Producción",IF($H9&lt;LS_D,$U9,0),0)</f>
        <v>2333.3333333333335</v>
      </c>
      <c r="BV9" s="5">
        <f>IF($H$6="Crecimiento",$T9,0)</f>
        <v>0</v>
      </c>
      <c r="BW9" s="5">
        <f>IF($H$6="Siembra",'6'!$U$7,0)</f>
        <v>0</v>
      </c>
      <c r="BX9" s="5">
        <f>IF($H$6="Abandono",'6'!$U$7,0)</f>
        <v>0</v>
      </c>
      <c r="BY9" s="5">
        <f>IF($I$6="Producción",IF($I9&gt;=LI_A,$V9,0),0)</f>
        <v>0</v>
      </c>
      <c r="BZ9" s="5">
        <f>IF($I$6="Producción",IF($I9&gt;=LI_B,IF($I9&lt;LS_B,$V9,0),0),0)</f>
        <v>0</v>
      </c>
      <c r="CA9" s="5">
        <f>IF($I$6="Producción",IF($I9&gt;=LI_C,IF($I9&lt;LS_C,$V9,0),0),0)</f>
        <v>0</v>
      </c>
      <c r="CB9" s="5">
        <f>IF($I$6="Producción",IF($I9&lt;LS_D,$V9,0),0)</f>
        <v>2333.3333333333335</v>
      </c>
      <c r="CC9" s="5">
        <f>IF($I$6="Crecimiento",$V9,0)</f>
        <v>0</v>
      </c>
      <c r="CD9" s="5">
        <f>IF($I$6="Siembra",'6'!$V$7,0)</f>
        <v>0</v>
      </c>
      <c r="CE9" s="5">
        <f>IF($I$6="Abandono",'6'!$V$7,0)</f>
        <v>0</v>
      </c>
      <c r="CF9" s="5">
        <f>IF($J$6="Producción",IF($J9&gt;=LI_A,$W9,0),0)</f>
        <v>0</v>
      </c>
      <c r="CG9" s="5">
        <f>IF($J$6="Producción",IF($J9&gt;=LI_B,IF($J9&lt;LS_B,$W9,0),0),0)</f>
        <v>0</v>
      </c>
      <c r="CH9" s="5">
        <f>IF($J$6="Producción",IF($J9&gt;=LI_C,IF($J9&lt;LS_C,$W9,0),0),0)</f>
        <v>0</v>
      </c>
      <c r="CI9" s="5">
        <f>IF($J$6="Producción",IF($J9&lt;LS_D,$W9,0),0)</f>
        <v>2333.3333333333335</v>
      </c>
      <c r="CJ9" s="5">
        <f>IF($J$6="Crecimiento",$W9,0)</f>
        <v>0</v>
      </c>
      <c r="CK9" s="5">
        <f>IF($J$6="Siembra",'6'!$W$7,0)</f>
        <v>0</v>
      </c>
      <c r="CL9" s="5">
        <f>IF($J$6="Abandono",'6'!$W$7,0)</f>
        <v>0</v>
      </c>
      <c r="CM9" s="5">
        <f>IF($K$6="Producción",IF($K9&gt;=LI_A,$X9,0),0)</f>
        <v>0</v>
      </c>
      <c r="CN9" s="5">
        <f>IF($K$6="Producción",IF($K9&gt;=LI_B,IF($K9&lt;LS_B,$X9,0),0),0)</f>
        <v>0</v>
      </c>
      <c r="CO9" s="5">
        <f>IF($K$6="Producción",IF($K9&gt;=LI_C,IF($K9&lt;LS_C,$X9,0),0),0)</f>
        <v>0</v>
      </c>
      <c r="CP9" s="5">
        <f>IF($K$6="Producción",IF($K9&lt;LS_D,$X9,0),0)</f>
        <v>2333.3333333333335</v>
      </c>
      <c r="CQ9" s="5">
        <f>IF($K$6="Crecimiento",$X9,0)</f>
        <v>0</v>
      </c>
      <c r="CR9" s="5">
        <f>IF($K$6="Siembra",'6'!$X$7,0)</f>
        <v>0</v>
      </c>
      <c r="CS9" s="5">
        <f>IF($K$6="Abandono",'6'!$X$7,0)</f>
        <v>0</v>
      </c>
      <c r="CT9" s="5">
        <f>IF($L$6="Producción",IF($L9&gt;=LI_A,$Y9,0),0)</f>
        <v>0</v>
      </c>
      <c r="CU9" s="5">
        <f>IF($L$6="Producción",IF($L9&gt;=LI_B,IF($L9&lt;LS_B,$Y9,0),0),0)</f>
        <v>0</v>
      </c>
      <c r="CV9" s="5">
        <f>IF($L$6="Producción",IF($L9&gt;=LI_C,IF($L9&lt;LS_C,$Y9,0),0),0)</f>
        <v>0</v>
      </c>
      <c r="CW9" s="5">
        <f>IF($L$6="Producción",IF($L9&lt;LS_D,$Y9,0),0)</f>
        <v>2333.3333333333335</v>
      </c>
      <c r="CX9" s="5">
        <f>IF($L$6="Crecimiento",$Y9,0)</f>
        <v>0</v>
      </c>
      <c r="CY9" s="5">
        <f>IF($L$6="Siembra",'6'!$Y$7,0)</f>
        <v>0</v>
      </c>
      <c r="CZ9" s="5">
        <f>IF($L$6="Abandono",'6'!$Y$7,0)</f>
        <v>0</v>
      </c>
      <c r="DA9" s="5">
        <f>IF($M$6="Producción",IF($M9&gt;=LI_A,$Z9,0),0)</f>
        <v>0</v>
      </c>
      <c r="DB9" s="5">
        <f>IF($M$6="Producción",IF($M9&gt;=LI_B,IF($M9&lt;LS_B,$Z9,0),0),0)</f>
        <v>0</v>
      </c>
      <c r="DC9" s="5">
        <f>IF($M$6="Producción",IF($M9&gt;=LI_C,IF($M9&lt;LS_C,$Z9,0),0),0)</f>
        <v>0</v>
      </c>
      <c r="DD9" s="5">
        <f>IF($M$6="Producción",IF($M9&lt;LS_D,$Z9,0),0)</f>
        <v>2333.3333333333335</v>
      </c>
      <c r="DE9" s="5">
        <f>IF($M$6="Crecimiento",$Z9,0)</f>
        <v>0</v>
      </c>
      <c r="DF9" s="5">
        <f>IF($M$6="Siembra",'6'!$Z$7,0)</f>
        <v>0</v>
      </c>
      <c r="DG9" s="5">
        <f>IF($M$6="Abandono",'6'!$Z$7,0)</f>
        <v>0</v>
      </c>
      <c r="DI9" s="5">
        <f>AB9*$B9</f>
        <v>0</v>
      </c>
      <c r="DJ9" s="5">
        <f t="shared" ref="DJ9:DJ13" si="6">AC9*$B9</f>
        <v>0</v>
      </c>
      <c r="DK9" s="5">
        <f t="shared" ref="DK9:DK13" si="7">AD9*$B9</f>
        <v>0</v>
      </c>
      <c r="DL9" s="5">
        <f t="shared" ref="DL9:DL13" si="8">AE9*$B9</f>
        <v>0</v>
      </c>
      <c r="DM9" s="5">
        <f t="shared" ref="DM9:DM13" si="9">AF9*$B9</f>
        <v>0</v>
      </c>
      <c r="DN9" s="5">
        <f>AI9*$C9</f>
        <v>0</v>
      </c>
      <c r="DO9" s="5">
        <f t="shared" ref="DO9:DO13" si="10">AJ9*$C9</f>
        <v>0</v>
      </c>
      <c r="DP9" s="5">
        <f t="shared" ref="DP9:DP13" si="11">AK9*$C9</f>
        <v>0</v>
      </c>
      <c r="DQ9" s="5">
        <f t="shared" ref="DQ9:DQ13" si="12">AL9*$C9</f>
        <v>0</v>
      </c>
      <c r="DR9" s="5">
        <f t="shared" ref="DR9:DR13" si="13">AM9*$C9</f>
        <v>0</v>
      </c>
      <c r="DS9" s="5">
        <f>AP9*$D9</f>
        <v>0</v>
      </c>
      <c r="DT9" s="5">
        <f t="shared" ref="DT9:DT13" si="14">AQ9*$D9</f>
        <v>0</v>
      </c>
      <c r="DU9" s="5">
        <f t="shared" ref="DU9:DU13" si="15">AR9*$D9</f>
        <v>0</v>
      </c>
      <c r="DV9" s="5">
        <f t="shared" ref="DV9:DV13" si="16">AS9*$D9</f>
        <v>0</v>
      </c>
      <c r="DW9" s="5">
        <f t="shared" ref="DW9:DW13" si="17">AT9*$D9</f>
        <v>0</v>
      </c>
      <c r="DX9" s="5">
        <f>AW9*$E9</f>
        <v>0</v>
      </c>
      <c r="DY9" s="5">
        <f t="shared" ref="DY9:DY13" si="18">AX9*$E9</f>
        <v>0</v>
      </c>
      <c r="DZ9" s="5">
        <f t="shared" ref="DZ9:DZ13" si="19">AY9*$E9</f>
        <v>0</v>
      </c>
      <c r="EA9" s="5">
        <f t="shared" ref="EA9:EA13" si="20">AZ9*$E9</f>
        <v>0</v>
      </c>
      <c r="EB9" s="5">
        <f t="shared" ref="EB9:EB13" si="21">BA9*$E9</f>
        <v>0</v>
      </c>
      <c r="EC9" s="5">
        <f>BD9*$F9</f>
        <v>0</v>
      </c>
      <c r="ED9" s="5">
        <f t="shared" ref="ED9:ED13" si="22">BE9*$F9</f>
        <v>0</v>
      </c>
      <c r="EE9" s="5">
        <f t="shared" ref="EE9:EE13" si="23">BF9*$F9</f>
        <v>0</v>
      </c>
      <c r="EF9" s="5">
        <f t="shared" ref="EF9:EF13" si="24">BG9*$F9</f>
        <v>0</v>
      </c>
      <c r="EG9" s="5">
        <f t="shared" ref="EG9:EG13" si="25">BH9*$F9</f>
        <v>0</v>
      </c>
      <c r="EH9" s="5">
        <f>BK9*$G9</f>
        <v>0</v>
      </c>
      <c r="EI9" s="5">
        <f>BL9*$G9</f>
        <v>0</v>
      </c>
      <c r="EJ9" s="5">
        <f>BM9*$G9</f>
        <v>0</v>
      </c>
      <c r="EK9" s="5">
        <f>BN9*$G9</f>
        <v>0</v>
      </c>
      <c r="EL9" s="5">
        <f>BO9*$G9</f>
        <v>0</v>
      </c>
      <c r="EM9" s="5">
        <f>BR9*$H9</f>
        <v>0</v>
      </c>
      <c r="EN9" s="5">
        <f t="shared" ref="EN9:EN13" si="26">BS9*$H9</f>
        <v>0</v>
      </c>
      <c r="EO9" s="5">
        <f t="shared" ref="EO9:EO13" si="27">BT9*$H9</f>
        <v>0</v>
      </c>
      <c r="EP9" s="5">
        <f t="shared" ref="EP9:EP13" si="28">BU9*$H9</f>
        <v>0</v>
      </c>
      <c r="EQ9" s="5">
        <f t="shared" ref="EQ9:EQ13" si="29">BV9*$H9</f>
        <v>0</v>
      </c>
      <c r="ER9" s="5">
        <f>BY9*$I9</f>
        <v>0</v>
      </c>
      <c r="ES9" s="5">
        <f t="shared" ref="ES9:ES13" si="30">BZ9*$I9</f>
        <v>0</v>
      </c>
      <c r="ET9" s="5">
        <f t="shared" ref="ET9:ET13" si="31">CA9*$I9</f>
        <v>0</v>
      </c>
      <c r="EU9" s="5">
        <f t="shared" ref="EU9:EU13" si="32">CB9*$I9</f>
        <v>0</v>
      </c>
      <c r="EV9" s="5">
        <f t="shared" ref="EV9:EV13" si="33">CC9*$I9</f>
        <v>0</v>
      </c>
      <c r="EW9" s="5">
        <f>CF9*$J9</f>
        <v>0</v>
      </c>
      <c r="EX9" s="5">
        <f t="shared" ref="EX9:EX13" si="34">CG9*$J9</f>
        <v>0</v>
      </c>
      <c r="EY9" s="5">
        <f t="shared" ref="EY9:EY13" si="35">CH9*$J9</f>
        <v>0</v>
      </c>
      <c r="EZ9" s="5">
        <f t="shared" ref="EZ9:EZ13" si="36">CI9*$J9</f>
        <v>0</v>
      </c>
      <c r="FA9" s="5">
        <f t="shared" ref="FA9:FA13" si="37">CJ9*$J9</f>
        <v>0</v>
      </c>
      <c r="FB9" s="5">
        <f>CM9*$K9</f>
        <v>0</v>
      </c>
      <c r="FC9" s="5">
        <f t="shared" ref="FC9:FC13" si="38">CN9*$K9</f>
        <v>0</v>
      </c>
      <c r="FD9" s="5">
        <f t="shared" ref="FD9:FD13" si="39">CO9*$K9</f>
        <v>0</v>
      </c>
      <c r="FE9" s="5">
        <f t="shared" ref="FE9:FE13" si="40">CP9*$K9</f>
        <v>0</v>
      </c>
      <c r="FF9" s="5">
        <f t="shared" ref="FF9:FF13" si="41">CQ9*$K9</f>
        <v>0</v>
      </c>
      <c r="FG9" s="5">
        <f>CT9*$L9</f>
        <v>0</v>
      </c>
      <c r="FH9" s="5">
        <f t="shared" ref="FH9:FH13" si="42">CU9*$L9</f>
        <v>0</v>
      </c>
      <c r="FI9" s="5">
        <f t="shared" ref="FI9:FI13" si="43">CV9*$L9</f>
        <v>0</v>
      </c>
      <c r="FJ9" s="5">
        <f t="shared" ref="FJ9:FJ13" si="44">CW9*$L9</f>
        <v>0</v>
      </c>
      <c r="FK9" s="5">
        <f t="shared" ref="FK9:FK13" si="45">CX9*$L9</f>
        <v>0</v>
      </c>
      <c r="FL9" s="5">
        <f>DA9*$M9</f>
        <v>0</v>
      </c>
      <c r="FM9" s="5">
        <f t="shared" ref="FM9:FM13" si="46">DB9*$M9</f>
        <v>0</v>
      </c>
      <c r="FN9" s="5">
        <f t="shared" ref="FN9:FN13" si="47">DC9*$M9</f>
        <v>0</v>
      </c>
      <c r="FO9" s="5">
        <f t="shared" ref="FO9:FO13" si="48">DD9*$M9</f>
        <v>0</v>
      </c>
      <c r="FP9" s="5">
        <f t="shared" ref="FP9:FP13" si="49">DE9*$M9</f>
        <v>0</v>
      </c>
    </row>
    <row r="10" spans="1:233" ht="20.100000000000001" customHeight="1" x14ac:dyDescent="0.3">
      <c r="A10" s="8" t="s">
        <v>303</v>
      </c>
      <c r="B10" s="2">
        <v>1.5</v>
      </c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O10" s="58">
        <f>IFERROR('6'!O$7/Ciclo,0)</f>
        <v>2333.3333333333335</v>
      </c>
      <c r="P10" s="58">
        <f>IFERROR('6'!P$7/Ciclo,0)</f>
        <v>2333.3333333333335</v>
      </c>
      <c r="Q10" s="58">
        <f>IFERROR('6'!Q$7/Ciclo,0)</f>
        <v>2333.3333333333335</v>
      </c>
      <c r="R10" s="58">
        <f>IFERROR('6'!R$7/Ciclo,0)</f>
        <v>2333.3333333333335</v>
      </c>
      <c r="S10" s="58">
        <f>IFERROR('6'!S$7/Ciclo,0)</f>
        <v>2333.3333333333335</v>
      </c>
      <c r="T10" s="58">
        <f>IFERROR('6'!T$7/Ciclo,0)</f>
        <v>2333.3333333333335</v>
      </c>
      <c r="U10" s="58">
        <f>IFERROR('6'!U$7/Ciclo,0)</f>
        <v>2333.3333333333335</v>
      </c>
      <c r="V10" s="58">
        <f>IFERROR('6'!V$7/Ciclo,0)</f>
        <v>2333.3333333333335</v>
      </c>
      <c r="W10" s="5">
        <f>IFERROR('6'!W$7/Ciclo,0)</f>
        <v>2333.3333333333335</v>
      </c>
      <c r="X10" s="5">
        <f>IFERROR('6'!X$7/Ciclo,0)</f>
        <v>2333.3333333333335</v>
      </c>
      <c r="Y10" s="5">
        <f>IFERROR('6'!Y$7/Ciclo,0)</f>
        <v>2333.3333333333335</v>
      </c>
      <c r="Z10" s="5">
        <f>IFERROR('6'!Z$7/Ciclo,0)</f>
        <v>2333.3333333333335</v>
      </c>
      <c r="AB10" s="5">
        <f>IF($B$6="Producción",IF($B10&gt;=LI_A,$O10,0),0)</f>
        <v>0</v>
      </c>
      <c r="AC10" s="5">
        <f>IF($B$6="Producción",IF($B10&gt;=LI_B,IF($B10&lt;LS_B,$O10,0),0),0)</f>
        <v>0</v>
      </c>
      <c r="AD10" s="5">
        <f>IF($B$6="Producción",IF($B10&gt;=LI_C,IF($B10&lt;LS_C,$O10,0),0),0)</f>
        <v>0</v>
      </c>
      <c r="AE10" s="5">
        <f>IF($B$6="Producción",IF($B10&lt;LS_D,$O10,0),0)</f>
        <v>2333.3333333333335</v>
      </c>
      <c r="AF10" s="5">
        <f>IF($B$6="Crecimiento",$O10,0)</f>
        <v>0</v>
      </c>
      <c r="AI10" s="5">
        <f>IF($C$6="Producción",IF($C10&gt;=LI_A,$P10,0),0)</f>
        <v>0</v>
      </c>
      <c r="AJ10" s="5">
        <f>IF($C$6="Producción",IF($C10&gt;=LI_B,IF($C10&lt;LS_B,$P10,0),0),0)</f>
        <v>0</v>
      </c>
      <c r="AK10" s="5">
        <f>IF($C$6="Producción",IF($C10&gt;=LI_C,IF($C10&lt;LS_C,$P10,0),0),0)</f>
        <v>0</v>
      </c>
      <c r="AL10" s="5">
        <f>IF($C$6="Producción",IF($C10&lt;LS_D,$P10,0),0)</f>
        <v>2333.3333333333335</v>
      </c>
      <c r="AM10" s="5">
        <f>IF($C$6="Crecimiento",$P10,0)</f>
        <v>0</v>
      </c>
      <c r="AP10" s="5">
        <f>IF($D$6="Producción",IF($D10&gt;=LI_A,$Q10,0),0)</f>
        <v>0</v>
      </c>
      <c r="AQ10" s="5">
        <f>IF($D$6="Producción",IF($D10&gt;=LI_B,IF($D10&lt;LS_B,$Q10,0),0),0)</f>
        <v>0</v>
      </c>
      <c r="AR10" s="5">
        <f>IF($D$6="Producción",IF($D10&gt;=LI_C,IF($D10&lt;LS_C,$Q10,0),0),0)</f>
        <v>0</v>
      </c>
      <c r="AS10" s="5">
        <f>IF($D$6="Producción",IF($D10&lt;LS_D,$Q10,0),0)</f>
        <v>2333.3333333333335</v>
      </c>
      <c r="AT10" s="5">
        <f>IF($D$6="Crecimiento",IF($D10&gt;0,$Q10,0),0)</f>
        <v>0</v>
      </c>
      <c r="AW10" s="5">
        <f>IF($E$6="Producción",IF($E10&gt;=LI_A,$R10,0),0)</f>
        <v>0</v>
      </c>
      <c r="AX10" s="5">
        <f>IF($E$6="Producción",IF($E10&gt;=LI_B,IF($E10&lt;LS_B,$R10,0),0),0)</f>
        <v>0</v>
      </c>
      <c r="AY10" s="5">
        <f>IF($E$6="Producción",IF($E10&gt;=LI_C,IF($E10&lt;LS_C,$R10,0),0),0)</f>
        <v>0</v>
      </c>
      <c r="AZ10" s="5">
        <f>IF($E$6="Producción",IF($E10&lt;LS_D,$R10,0),0)</f>
        <v>2333.3333333333335</v>
      </c>
      <c r="BA10" s="5">
        <f>IF($E$6="Crecimiento",$R10,0)</f>
        <v>0</v>
      </c>
      <c r="BD10" s="5">
        <f>IF($F$6="Producción",IF($F10&gt;=LI_A,$S10,0),0)</f>
        <v>0</v>
      </c>
      <c r="BE10" s="5">
        <f>IF($F$6="Producción",IF($F10&gt;=LI_B,IF($F10&lt;LS_B,$S10,0),0),0)</f>
        <v>0</v>
      </c>
      <c r="BF10" s="5">
        <f>IF($F$6="Producción",IF($F10&gt;=LI_C,IF($F10&lt;LS_C,$S10,0),0),0)</f>
        <v>0</v>
      </c>
      <c r="BG10" s="5">
        <f>IF($F$6="Producción",IF($F10&lt;LS_D,$S10,0),0)</f>
        <v>2333.3333333333335</v>
      </c>
      <c r="BH10" s="5">
        <f>IF($F$6="Crecimiento",$S10,0)</f>
        <v>0</v>
      </c>
      <c r="BK10" s="5">
        <f>IF($G$6="Producción",IF($G10&gt;=LI_A,$T10,0),0)</f>
        <v>0</v>
      </c>
      <c r="BL10" s="5">
        <f>IF($G$6="Producción",IF($G10&gt;=LI_B,IF($G10&lt;LS_B,$T10,0),0),0)</f>
        <v>0</v>
      </c>
      <c r="BM10" s="5">
        <f>IF($G$6="Producción",IF($G10&gt;=LI_C,IF($G10&lt;LS_C,$T10,0),0),0)</f>
        <v>0</v>
      </c>
      <c r="BN10" s="5">
        <f>IF($G$6="Producción",IF($G10&lt;LS_D,$T10,0),0)</f>
        <v>2333.3333333333335</v>
      </c>
      <c r="BO10" s="5">
        <f>IF($G$6="Crecimiento",$T10,0)</f>
        <v>0</v>
      </c>
      <c r="BR10" s="5">
        <f>IF($H$6="Producción",IF($H10&gt;=LI_A,$U10,0),0)</f>
        <v>0</v>
      </c>
      <c r="BS10" s="5">
        <f>IF($H$6="Producción",IF($H10&gt;=LI_B,IF($H10&lt;LS_B,$U10,0),0),0)</f>
        <v>0</v>
      </c>
      <c r="BT10" s="5">
        <f>IF($H$6="Producción",IF($H10&gt;=LI_C,IF($H10&lt;LS_C,$U10,0),0),0)</f>
        <v>0</v>
      </c>
      <c r="BU10" s="5">
        <f>IF($H$6="Producción",IF($H10&lt;LS_D,$U10,0),0)</f>
        <v>2333.3333333333335</v>
      </c>
      <c r="BV10" s="5">
        <f>IF($H$6="Crecimiento",$T10,0)</f>
        <v>0</v>
      </c>
      <c r="BY10" s="5">
        <f>IF($I$6="Producción",IF($I10&gt;=LI_A,$V10,0),0)</f>
        <v>0</v>
      </c>
      <c r="BZ10" s="5">
        <f>IF($I$6="Producción",IF($I10&gt;=LI_B,IF($I10&lt;LS_B,$V10,0),0),0)</f>
        <v>0</v>
      </c>
      <c r="CA10" s="5">
        <f>IF($I$6="Producción",IF($I10&gt;=LI_C,IF($I10&lt;LS_C,$V10,0),0),0)</f>
        <v>0</v>
      </c>
      <c r="CB10" s="5">
        <f>IF($I$6="Producción",IF($I10&lt;LS_D,$V10,0),0)</f>
        <v>2333.3333333333335</v>
      </c>
      <c r="CC10" s="5">
        <f>IF($I$6="Crecimiento",$V10,0)</f>
        <v>0</v>
      </c>
      <c r="CF10" s="5">
        <f>IF($J$6="Producción",IF($J10&gt;=LI_A,$W10,0),0)</f>
        <v>0</v>
      </c>
      <c r="CG10" s="5">
        <f>IF($J$6="Producción",IF($J10&gt;=LI_B,IF($J10&lt;LS_B,$W10,0),0),0)</f>
        <v>0</v>
      </c>
      <c r="CH10" s="5">
        <f>IF($J$6="Producción",IF($J10&gt;=LI_C,IF($J10&lt;LS_C,$W10,0),0),0)</f>
        <v>0</v>
      </c>
      <c r="CI10" s="5">
        <f>IF($J$6="Producción",IF($J10&lt;LS_D,$W10,0),0)</f>
        <v>2333.3333333333335</v>
      </c>
      <c r="CJ10" s="5">
        <f>IF($J$6="Crecimiento",$W10,0)</f>
        <v>0</v>
      </c>
      <c r="CM10" s="5">
        <f>IF($K$6="Producción",IF($K10&gt;=LI_A,$X10,0),0)</f>
        <v>0</v>
      </c>
      <c r="CN10" s="5">
        <f>IF($K$6="Producción",IF($K10&gt;=LI_B,IF($K10&lt;LS_B,$X10,0),0),0)</f>
        <v>0</v>
      </c>
      <c r="CO10" s="5">
        <f>IF($K$6="Producción",IF($K10&gt;=LI_C,IF($K10&lt;LS_C,$X10,0),0),0)</f>
        <v>0</v>
      </c>
      <c r="CP10" s="5">
        <f>IF($K$6="Producción",IF($K10&lt;LS_D,$X10,0),0)</f>
        <v>2333.3333333333335</v>
      </c>
      <c r="CQ10" s="5">
        <f>IF($K$6="Crecimiento",$X10,0)</f>
        <v>0</v>
      </c>
      <c r="CT10" s="5">
        <f>IF($L$6="Producción",IF($L10&gt;=LI_A,$Y10,0),0)</f>
        <v>0</v>
      </c>
      <c r="CU10" s="5">
        <f>IF($L$6="Producción",IF($L10&gt;=LI_B,IF($L10&lt;LS_B,$Y10,0),0),0)</f>
        <v>0</v>
      </c>
      <c r="CV10" s="5">
        <f>IF($L$6="Producción",IF($L10&gt;=LI_C,IF($L10&lt;LS_C,$Y10,0),0),0)</f>
        <v>0</v>
      </c>
      <c r="CW10" s="5">
        <f>IF($L$6="Producción",IF($L10&lt;LS_D,$Y10,0),0)</f>
        <v>2333.3333333333335</v>
      </c>
      <c r="CX10" s="5">
        <f>IF($L$6="Crecimiento",$Y10,0)</f>
        <v>0</v>
      </c>
      <c r="DA10" s="5">
        <f>IF($M$6="Producción",IF($M10&gt;=LI_A,$Z10,0),0)</f>
        <v>0</v>
      </c>
      <c r="DB10" s="5">
        <f>IF($M$6="Producción",IF($M10&gt;=LI_B,IF($M10&lt;LS_B,$Z10,0),0),0)</f>
        <v>0</v>
      </c>
      <c r="DC10" s="5">
        <f>IF($M$6="Producción",IF($M10&gt;=LI_C,IF($M10&lt;LS_C,$Z10,0),0),0)</f>
        <v>0</v>
      </c>
      <c r="DD10" s="5">
        <f>IF($M$6="Producción",IF($M10&lt;LS_D,$Z10,0),0)</f>
        <v>2333.3333333333335</v>
      </c>
      <c r="DE10" s="5">
        <f>IF($M$6="Crecimiento",$Z10,0)</f>
        <v>0</v>
      </c>
      <c r="DI10" s="5">
        <f t="shared" ref="DI10:DI13" si="50">AB10*$B10</f>
        <v>0</v>
      </c>
      <c r="DJ10" s="5">
        <f t="shared" si="6"/>
        <v>0</v>
      </c>
      <c r="DK10" s="5">
        <f t="shared" si="7"/>
        <v>0</v>
      </c>
      <c r="DL10" s="5">
        <f t="shared" si="8"/>
        <v>3500</v>
      </c>
      <c r="DM10" s="5">
        <f t="shared" si="9"/>
        <v>0</v>
      </c>
      <c r="DN10" s="5">
        <f t="shared" ref="DN10:DN13" si="51">AI10*$C10</f>
        <v>0</v>
      </c>
      <c r="DO10" s="5">
        <f t="shared" si="10"/>
        <v>0</v>
      </c>
      <c r="DP10" s="5">
        <f t="shared" si="11"/>
        <v>0</v>
      </c>
      <c r="DQ10" s="5">
        <f t="shared" si="12"/>
        <v>0</v>
      </c>
      <c r="DR10" s="5">
        <f t="shared" si="13"/>
        <v>0</v>
      </c>
      <c r="DS10" s="5">
        <f t="shared" ref="DS10:DS13" si="52">AP10*$D10</f>
        <v>0</v>
      </c>
      <c r="DT10" s="5">
        <f t="shared" si="14"/>
        <v>0</v>
      </c>
      <c r="DU10" s="5">
        <f t="shared" si="15"/>
        <v>0</v>
      </c>
      <c r="DV10" s="5">
        <f t="shared" si="16"/>
        <v>0</v>
      </c>
      <c r="DW10" s="5">
        <f t="shared" si="17"/>
        <v>0</v>
      </c>
      <c r="DX10" s="5">
        <f t="shared" ref="DX10:DX13" si="53">AW10*$E10</f>
        <v>0</v>
      </c>
      <c r="DY10" s="5">
        <f t="shared" si="18"/>
        <v>0</v>
      </c>
      <c r="DZ10" s="5">
        <f t="shared" si="19"/>
        <v>0</v>
      </c>
      <c r="EA10" s="5">
        <f t="shared" si="20"/>
        <v>0</v>
      </c>
      <c r="EB10" s="5">
        <f t="shared" si="21"/>
        <v>0</v>
      </c>
      <c r="EC10" s="5">
        <f t="shared" ref="EC10:EC13" si="54">BD10*$F10</f>
        <v>0</v>
      </c>
      <c r="ED10" s="5">
        <f t="shared" si="22"/>
        <v>0</v>
      </c>
      <c r="EE10" s="5">
        <f t="shared" si="23"/>
        <v>0</v>
      </c>
      <c r="EF10" s="5">
        <f t="shared" si="24"/>
        <v>0</v>
      </c>
      <c r="EG10" s="5">
        <f t="shared" si="25"/>
        <v>0</v>
      </c>
      <c r="EH10" s="5">
        <f t="shared" ref="EH10:EH13" si="55">BK10*$G10</f>
        <v>0</v>
      </c>
      <c r="EI10" s="5">
        <f t="shared" ref="EI10:EI13" si="56">BL10*$G10</f>
        <v>0</v>
      </c>
      <c r="EJ10" s="5">
        <f t="shared" ref="EJ10:EJ13" si="57">BM10*$G10</f>
        <v>0</v>
      </c>
      <c r="EK10" s="5">
        <f t="shared" ref="EK10:EK13" si="58">BN10*$G10</f>
        <v>0</v>
      </c>
      <c r="EL10" s="5">
        <f t="shared" ref="EL10:EL13" si="59">BO10*$G10</f>
        <v>0</v>
      </c>
      <c r="EM10" s="5">
        <f t="shared" ref="EM10:EM13" si="60">BR10*$H10</f>
        <v>0</v>
      </c>
      <c r="EN10" s="5">
        <f t="shared" si="26"/>
        <v>0</v>
      </c>
      <c r="EO10" s="5">
        <f t="shared" si="27"/>
        <v>0</v>
      </c>
      <c r="EP10" s="5">
        <f t="shared" si="28"/>
        <v>0</v>
      </c>
      <c r="EQ10" s="5">
        <f t="shared" si="29"/>
        <v>0</v>
      </c>
      <c r="ER10" s="5">
        <f t="shared" ref="ER10:ER13" si="61">BY10*$I10</f>
        <v>0</v>
      </c>
      <c r="ES10" s="5">
        <f t="shared" si="30"/>
        <v>0</v>
      </c>
      <c r="ET10" s="5">
        <f t="shared" si="31"/>
        <v>0</v>
      </c>
      <c r="EU10" s="5">
        <f t="shared" si="32"/>
        <v>0</v>
      </c>
      <c r="EV10" s="5">
        <f t="shared" si="33"/>
        <v>0</v>
      </c>
      <c r="EW10" s="5">
        <f t="shared" ref="EW10:EW13" si="62">CF10*$J10</f>
        <v>0</v>
      </c>
      <c r="EX10" s="5">
        <f t="shared" si="34"/>
        <v>0</v>
      </c>
      <c r="EY10" s="5">
        <f t="shared" si="35"/>
        <v>0</v>
      </c>
      <c r="EZ10" s="5">
        <f t="shared" si="36"/>
        <v>0</v>
      </c>
      <c r="FA10" s="5">
        <f t="shared" si="37"/>
        <v>0</v>
      </c>
      <c r="FB10" s="5">
        <f t="shared" ref="FB10:FB13" si="63">CM10*$K10</f>
        <v>0</v>
      </c>
      <c r="FC10" s="5">
        <f t="shared" si="38"/>
        <v>0</v>
      </c>
      <c r="FD10" s="5">
        <f t="shared" si="39"/>
        <v>0</v>
      </c>
      <c r="FE10" s="5">
        <f t="shared" si="40"/>
        <v>0</v>
      </c>
      <c r="FF10" s="5">
        <f t="shared" si="41"/>
        <v>0</v>
      </c>
      <c r="FG10" s="5">
        <f t="shared" ref="FG10:FG13" si="64">CT10*$L10</f>
        <v>0</v>
      </c>
      <c r="FH10" s="5">
        <f t="shared" si="42"/>
        <v>0</v>
      </c>
      <c r="FI10" s="5">
        <f t="shared" si="43"/>
        <v>0</v>
      </c>
      <c r="FJ10" s="5">
        <f t="shared" si="44"/>
        <v>0</v>
      </c>
      <c r="FK10" s="5">
        <f t="shared" si="45"/>
        <v>0</v>
      </c>
      <c r="FL10" s="5">
        <f t="shared" ref="FL10:FL13" si="65">DA10*$M10</f>
        <v>0</v>
      </c>
      <c r="FM10" s="5">
        <f t="shared" si="46"/>
        <v>0</v>
      </c>
      <c r="FN10" s="5">
        <f t="shared" si="47"/>
        <v>0</v>
      </c>
      <c r="FO10" s="5">
        <f t="shared" si="48"/>
        <v>0</v>
      </c>
      <c r="FP10" s="5">
        <f t="shared" si="49"/>
        <v>0</v>
      </c>
    </row>
    <row r="11" spans="1:233" ht="20.100000000000001" customHeight="1" x14ac:dyDescent="0.3">
      <c r="A11" s="8" t="str">
        <f>IF(Ciclo&gt;2,"Surco 3","NA")</f>
        <v>Surco 3</v>
      </c>
      <c r="B11" s="2">
        <v>1.5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O11" s="58">
        <f>IF($A11="NA",0,IFERROR('6'!O$7/Ciclo,0))</f>
        <v>2333.3333333333335</v>
      </c>
      <c r="P11" s="58">
        <f>IF($A11="NA",0,IFERROR('6'!P$7/Ciclo,0))</f>
        <v>2333.3333333333335</v>
      </c>
      <c r="Q11" s="58">
        <f>IF($A11="NA",0,IFERROR('6'!Q$7/Ciclo,0))</f>
        <v>2333.3333333333335</v>
      </c>
      <c r="R11" s="58">
        <f>IF($A11="NA",0,IFERROR('6'!R$7/Ciclo,0))</f>
        <v>2333.3333333333335</v>
      </c>
      <c r="S11" s="58">
        <f>IF($A11="NA",0,IFERROR('6'!S$7/Ciclo,0))</f>
        <v>2333.3333333333335</v>
      </c>
      <c r="T11" s="58">
        <f>IF($A11="NA",0,IFERROR('6'!T$7/Ciclo,0))</f>
        <v>2333.3333333333335</v>
      </c>
      <c r="U11" s="58">
        <f>IF($A11="NA",0,IFERROR('6'!U$7/Ciclo,0))</f>
        <v>2333.3333333333335</v>
      </c>
      <c r="V11" s="58">
        <f>IF($A11="NA",0,IFERROR('6'!V$7/Ciclo,0))</f>
        <v>2333.3333333333335</v>
      </c>
      <c r="W11" s="5">
        <f>IF($A11="NA",0,IFERROR('6'!W$7/Ciclo,0))</f>
        <v>2333.3333333333335</v>
      </c>
      <c r="X11" s="5">
        <f>IF($A11="NA",0,IFERROR('6'!X$7/Ciclo,0))</f>
        <v>2333.3333333333335</v>
      </c>
      <c r="Y11" s="5">
        <f>IF($A11="NA",0,IFERROR('6'!Y$7/Ciclo,0))</f>
        <v>2333.3333333333335</v>
      </c>
      <c r="Z11" s="5">
        <f>IF($A11="NA",0,IFERROR('6'!Z$7/Ciclo,0))</f>
        <v>2333.3333333333335</v>
      </c>
      <c r="AB11" s="5">
        <f>IF($B$6="Producción",IF($B11&gt;=LI_A,$O11,0),0)</f>
        <v>0</v>
      </c>
      <c r="AC11" s="5">
        <f>IF($B$6="Producción",IF($B11&gt;=LI_B,IF($B11&lt;LS_B,$O11,0),0),0)</f>
        <v>0</v>
      </c>
      <c r="AD11" s="5">
        <f>IF($B$6="Producción",IF($B11&gt;=LI_C,IF($B11&lt;LS_C,$O11,0),0),0)</f>
        <v>0</v>
      </c>
      <c r="AE11" s="5">
        <f>IF($B$6="Producción",IF($B11&lt;LS_D,$O11,0),0)</f>
        <v>2333.3333333333335</v>
      </c>
      <c r="AF11" s="5">
        <f>IF($B$6="Crecimiento",$O11,0)</f>
        <v>0</v>
      </c>
      <c r="AI11" s="5">
        <f>IF($C$6="Producción",IF($C11&gt;=LI_A,$P11,0),0)</f>
        <v>0</v>
      </c>
      <c r="AJ11" s="5">
        <f>IF($C$6="Producción",IF($C11&gt;=LI_B,IF($C11&lt;LS_B,$P11,0),0),0)</f>
        <v>0</v>
      </c>
      <c r="AK11" s="5">
        <f>IF($C$6="Producción",IF($C11&gt;=LI_C,IF($C11&lt;LS_C,$P11,0),0),0)</f>
        <v>0</v>
      </c>
      <c r="AL11" s="5">
        <f>IF($C$6="Producción",IF($C11&lt;LS_D,$P11,0),0)</f>
        <v>2333.3333333333335</v>
      </c>
      <c r="AM11" s="5">
        <f>IF($C$6="Crecimiento",$P11,0)</f>
        <v>0</v>
      </c>
      <c r="AP11" s="5">
        <f>IF($D$6="Producción",IF($D11&gt;=LI_A,$Q11,0),0)</f>
        <v>0</v>
      </c>
      <c r="AQ11" s="5">
        <f>IF($D$6="Producción",IF($D11&gt;=LI_B,IF($D11&lt;LS_B,$Q11,0),0),0)</f>
        <v>0</v>
      </c>
      <c r="AR11" s="5">
        <f>IF($D$6="Producción",IF($D11&gt;=LI_C,IF($D11&lt;LS_C,$Q11,0),0),0)</f>
        <v>0</v>
      </c>
      <c r="AS11" s="5">
        <f>IF($D$6="Producción",IF($D11&lt;LS_D,$Q11,0),0)</f>
        <v>2333.3333333333335</v>
      </c>
      <c r="AT11" s="5">
        <f>IF($D$6="Crecimiento",IF($D11&gt;0,$Q11,0),0)</f>
        <v>0</v>
      </c>
      <c r="AW11" s="5">
        <f>IF($E$6="Producción",IF($E11&gt;=LI_A,$R11,0),0)</f>
        <v>0</v>
      </c>
      <c r="AX11" s="5">
        <f>IF($E$6="Producción",IF($E11&gt;=LI_B,IF($E11&lt;LS_B,$R11,0),0),0)</f>
        <v>0</v>
      </c>
      <c r="AY11" s="5">
        <f>IF($E$6="Producción",IF($E11&gt;=LI_C,IF($E11&lt;LS_C,$R11,0),0),0)</f>
        <v>0</v>
      </c>
      <c r="AZ11" s="5">
        <f>IF($E$6="Producción",IF($E11&lt;LS_D,$R11,0),0)</f>
        <v>2333.3333333333335</v>
      </c>
      <c r="BA11" s="5">
        <f>IF($E$6="Crecimiento",$R11,0)</f>
        <v>0</v>
      </c>
      <c r="BD11" s="5">
        <f>IF($F$6="Producción",IF($F11&gt;=LI_A,$S11,0),0)</f>
        <v>0</v>
      </c>
      <c r="BE11" s="5">
        <f>IF($F$6="Producción",IF($F11&gt;=LI_B,IF($F11&lt;LS_B,$S11,0),0),0)</f>
        <v>0</v>
      </c>
      <c r="BF11" s="5">
        <f>IF($F$6="Producción",IF($F11&gt;=LI_C,IF($F11&lt;LS_C,$S11,0),0),0)</f>
        <v>0</v>
      </c>
      <c r="BG11" s="5">
        <f>IF($F$6="Producción",IF($F11&lt;LS_D,$S11,0),0)</f>
        <v>2333.3333333333335</v>
      </c>
      <c r="BH11" s="5">
        <f>IF($F$6="Crecimiento",$S11,0)</f>
        <v>0</v>
      </c>
      <c r="BK11" s="5">
        <f>IF($G$6="Producción",IF($G11&gt;=LI_A,$T11,0),0)</f>
        <v>0</v>
      </c>
      <c r="BL11" s="5">
        <f>IF($G$6="Producción",IF($G11&gt;=LI_B,IF($G11&lt;LS_B,$T11,0),0),0)</f>
        <v>0</v>
      </c>
      <c r="BM11" s="5">
        <f>IF($G$6="Producción",IF($G11&gt;=LI_C,IF($G11&lt;LS_C,$T11,0),0),0)</f>
        <v>0</v>
      </c>
      <c r="BN11" s="5">
        <f>IF($G$6="Producción",IF($G11&lt;LS_D,$T11,0),0)</f>
        <v>2333.3333333333335</v>
      </c>
      <c r="BO11" s="5">
        <f>IF($G$6="Crecimiento",$T11,0)</f>
        <v>0</v>
      </c>
      <c r="BR11" s="5">
        <f>IF($H$6="Producción",IF($H11&gt;=LI_A,$U11,0),0)</f>
        <v>0</v>
      </c>
      <c r="BS11" s="5">
        <f>IF($H$6="Producción",IF($H11&gt;=LI_B,IF($H11&lt;LS_B,$U11,0),0),0)</f>
        <v>0</v>
      </c>
      <c r="BT11" s="5">
        <f>IF($H$6="Producción",IF($H11&gt;=LI_C,IF($H11&lt;LS_C,$U11,0),0),0)</f>
        <v>0</v>
      </c>
      <c r="BU11" s="5">
        <f>IF($H$6="Producción",IF($H11&lt;LS_D,$U11,0),0)</f>
        <v>2333.3333333333335</v>
      </c>
      <c r="BV11" s="5">
        <f>IF($H$6="Crecimiento",$T11,0)</f>
        <v>0</v>
      </c>
      <c r="BY11" s="5">
        <f>IF($I$6="Producción",IF($I11&gt;=LI_A,$V11,0),0)</f>
        <v>0</v>
      </c>
      <c r="BZ11" s="5">
        <f>IF($I$6="Producción",IF($I11&gt;=LI_B,IF($I11&lt;LS_B,$V11,0),0),0)</f>
        <v>0</v>
      </c>
      <c r="CA11" s="5">
        <f>IF($I$6="Producción",IF($I11&gt;=LI_C,IF($I11&lt;LS_C,$V11,0),0),0)</f>
        <v>0</v>
      </c>
      <c r="CB11" s="5">
        <f>IF($I$6="Producción",IF($I11&lt;LS_D,$V11,0),0)</f>
        <v>2333.3333333333335</v>
      </c>
      <c r="CC11" s="5">
        <f>IF($I$6="Crecimiento",$V11,0)</f>
        <v>0</v>
      </c>
      <c r="CF11" s="5">
        <f>IF($J$6="Producción",IF($J11&gt;=LI_A,$W11,0),0)</f>
        <v>0</v>
      </c>
      <c r="CG11" s="5">
        <f>IF($J$6="Producción",IF($J11&gt;=LI_B,IF($J11&lt;LS_B,$W11,0),0),0)</f>
        <v>0</v>
      </c>
      <c r="CH11" s="5">
        <f>IF($J$6="Producción",IF($J11&gt;=LI_C,IF($J11&lt;LS_C,$W11,0),0),0)</f>
        <v>0</v>
      </c>
      <c r="CI11" s="5">
        <f>IF($J$6="Producción",IF($J11&lt;LS_D,$W11,0),0)</f>
        <v>2333.3333333333335</v>
      </c>
      <c r="CJ11" s="5">
        <f>IF($J$6="Crecimiento",$W11,0)</f>
        <v>0</v>
      </c>
      <c r="CM11" s="5">
        <f>IF($K$6="Producción",IF($K11&gt;=LI_A,$X11,0),0)</f>
        <v>0</v>
      </c>
      <c r="CN11" s="5">
        <f>IF($K$6="Producción",IF($K11&gt;=LI_B,IF($K11&lt;LS_B,$X11,0),0),0)</f>
        <v>0</v>
      </c>
      <c r="CO11" s="5">
        <f>IF($K$6="Producción",IF($K11&gt;=LI_C,IF($K11&lt;LS_C,$X11,0),0),0)</f>
        <v>0</v>
      </c>
      <c r="CP11" s="5">
        <f>IF($K$6="Producción",IF($K11&lt;LS_D,$X11,0),0)</f>
        <v>2333.3333333333335</v>
      </c>
      <c r="CQ11" s="5">
        <f>IF($K$6="Crecimiento",$X11,0)</f>
        <v>0</v>
      </c>
      <c r="CT11" s="5">
        <f>IF($L$6="Producción",IF($L11&gt;=LI_A,$Y11,0),0)</f>
        <v>0</v>
      </c>
      <c r="CU11" s="5">
        <f>IF($L$6="Producción",IF($L11&gt;=LI_B,IF($L11&lt;LS_B,$Y11,0),0),0)</f>
        <v>0</v>
      </c>
      <c r="CV11" s="5">
        <f>IF($L$6="Producción",IF($L11&gt;=LI_C,IF($L11&lt;LS_C,$Y11,0),0),0)</f>
        <v>0</v>
      </c>
      <c r="CW11" s="5">
        <f>IF($L$6="Producción",IF($L11&lt;LS_D,$Y11,0),0)</f>
        <v>2333.3333333333335</v>
      </c>
      <c r="CX11" s="5">
        <f>IF($L$6="Crecimiento",$Y11,0)</f>
        <v>0</v>
      </c>
      <c r="DA11" s="5">
        <f>IF($M$6="Producción",IF($M11&gt;=LI_A,$Z11,0),0)</f>
        <v>0</v>
      </c>
      <c r="DB11" s="5">
        <f>IF($M$6="Producción",IF($M11&gt;=LI_B,IF($M11&lt;LS_B,$Z11,0),0),0)</f>
        <v>0</v>
      </c>
      <c r="DC11" s="5">
        <f>IF($M$6="Producción",IF($M11&gt;=LI_C,IF($M11&lt;LS_C,$Z11,0),0),0)</f>
        <v>0</v>
      </c>
      <c r="DD11" s="5">
        <f>IF($M$6="Producción",IF($M11&lt;LS_D,$Z11,0),0)</f>
        <v>2333.3333333333335</v>
      </c>
      <c r="DE11" s="5">
        <f>IF($M$6="Crecimiento",$Z11,0)</f>
        <v>0</v>
      </c>
      <c r="DI11" s="5">
        <f t="shared" si="50"/>
        <v>0</v>
      </c>
      <c r="DJ11" s="5">
        <f t="shared" si="6"/>
        <v>0</v>
      </c>
      <c r="DK11" s="5">
        <f t="shared" si="7"/>
        <v>0</v>
      </c>
      <c r="DL11" s="5">
        <f t="shared" si="8"/>
        <v>3500</v>
      </c>
      <c r="DM11" s="5">
        <f t="shared" si="9"/>
        <v>0</v>
      </c>
      <c r="DN11" s="5">
        <f t="shared" si="51"/>
        <v>0</v>
      </c>
      <c r="DO11" s="5">
        <f t="shared" si="10"/>
        <v>0</v>
      </c>
      <c r="DP11" s="5">
        <f t="shared" si="11"/>
        <v>0</v>
      </c>
      <c r="DQ11" s="5">
        <f t="shared" si="12"/>
        <v>0</v>
      </c>
      <c r="DR11" s="5">
        <f t="shared" si="13"/>
        <v>0</v>
      </c>
      <c r="DS11" s="5">
        <f t="shared" si="52"/>
        <v>0</v>
      </c>
      <c r="DT11" s="5">
        <f t="shared" si="14"/>
        <v>0</v>
      </c>
      <c r="DU11" s="5">
        <f t="shared" si="15"/>
        <v>0</v>
      </c>
      <c r="DV11" s="5">
        <f t="shared" si="16"/>
        <v>0</v>
      </c>
      <c r="DW11" s="5">
        <f t="shared" si="17"/>
        <v>0</v>
      </c>
      <c r="DX11" s="5">
        <f t="shared" si="53"/>
        <v>0</v>
      </c>
      <c r="DY11" s="5">
        <f t="shared" si="18"/>
        <v>0</v>
      </c>
      <c r="DZ11" s="5">
        <f t="shared" si="19"/>
        <v>0</v>
      </c>
      <c r="EA11" s="5">
        <f t="shared" si="20"/>
        <v>0</v>
      </c>
      <c r="EB11" s="5">
        <f t="shared" si="21"/>
        <v>0</v>
      </c>
      <c r="EC11" s="5">
        <f t="shared" si="54"/>
        <v>0</v>
      </c>
      <c r="ED11" s="5">
        <f t="shared" si="22"/>
        <v>0</v>
      </c>
      <c r="EE11" s="5">
        <f t="shared" si="23"/>
        <v>0</v>
      </c>
      <c r="EF11" s="5">
        <f t="shared" si="24"/>
        <v>0</v>
      </c>
      <c r="EG11" s="5">
        <f t="shared" si="25"/>
        <v>0</v>
      </c>
      <c r="EH11" s="5">
        <f t="shared" si="55"/>
        <v>0</v>
      </c>
      <c r="EI11" s="5">
        <f t="shared" si="56"/>
        <v>0</v>
      </c>
      <c r="EJ11" s="5">
        <f t="shared" si="57"/>
        <v>0</v>
      </c>
      <c r="EK11" s="5">
        <f t="shared" si="58"/>
        <v>0</v>
      </c>
      <c r="EL11" s="5">
        <f t="shared" si="59"/>
        <v>0</v>
      </c>
      <c r="EM11" s="5">
        <f t="shared" si="60"/>
        <v>0</v>
      </c>
      <c r="EN11" s="5">
        <f t="shared" si="26"/>
        <v>0</v>
      </c>
      <c r="EO11" s="5">
        <f t="shared" si="27"/>
        <v>0</v>
      </c>
      <c r="EP11" s="5">
        <f t="shared" si="28"/>
        <v>0</v>
      </c>
      <c r="EQ11" s="5">
        <f t="shared" si="29"/>
        <v>0</v>
      </c>
      <c r="ER11" s="5">
        <f t="shared" si="61"/>
        <v>0</v>
      </c>
      <c r="ES11" s="5">
        <f t="shared" si="30"/>
        <v>0</v>
      </c>
      <c r="ET11" s="5">
        <f t="shared" si="31"/>
        <v>0</v>
      </c>
      <c r="EU11" s="5">
        <f t="shared" si="32"/>
        <v>0</v>
      </c>
      <c r="EV11" s="5">
        <f t="shared" si="33"/>
        <v>0</v>
      </c>
      <c r="EW11" s="5">
        <f t="shared" si="62"/>
        <v>0</v>
      </c>
      <c r="EX11" s="5">
        <f t="shared" si="34"/>
        <v>0</v>
      </c>
      <c r="EY11" s="5">
        <f t="shared" si="35"/>
        <v>0</v>
      </c>
      <c r="EZ11" s="5">
        <f t="shared" si="36"/>
        <v>0</v>
      </c>
      <c r="FA11" s="5">
        <f t="shared" si="37"/>
        <v>0</v>
      </c>
      <c r="FB11" s="5">
        <f t="shared" si="63"/>
        <v>0</v>
      </c>
      <c r="FC11" s="5">
        <f t="shared" si="38"/>
        <v>0</v>
      </c>
      <c r="FD11" s="5">
        <f t="shared" si="39"/>
        <v>0</v>
      </c>
      <c r="FE11" s="5">
        <f t="shared" si="40"/>
        <v>0</v>
      </c>
      <c r="FF11" s="5">
        <f t="shared" si="41"/>
        <v>0</v>
      </c>
      <c r="FG11" s="5">
        <f t="shared" si="64"/>
        <v>0</v>
      </c>
      <c r="FH11" s="5">
        <f t="shared" si="42"/>
        <v>0</v>
      </c>
      <c r="FI11" s="5">
        <f t="shared" si="43"/>
        <v>0</v>
      </c>
      <c r="FJ11" s="5">
        <f t="shared" si="44"/>
        <v>0</v>
      </c>
      <c r="FK11" s="5">
        <f t="shared" si="45"/>
        <v>0</v>
      </c>
      <c r="FL11" s="5">
        <f t="shared" si="65"/>
        <v>0</v>
      </c>
      <c r="FM11" s="5">
        <f t="shared" si="46"/>
        <v>0</v>
      </c>
      <c r="FN11" s="5">
        <f t="shared" si="47"/>
        <v>0</v>
      </c>
      <c r="FO11" s="5">
        <f t="shared" si="48"/>
        <v>0</v>
      </c>
      <c r="FP11" s="5">
        <f t="shared" si="49"/>
        <v>0</v>
      </c>
    </row>
    <row r="12" spans="1:233" ht="20.100000000000001" customHeight="1" x14ac:dyDescent="0.3">
      <c r="A12" s="8" t="str">
        <f>IF(Ciclo=4,"Surco 4",IF(Ciclo=5,"Surco 4","NA"))</f>
        <v>NA</v>
      </c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O12" s="58">
        <f>IF($A12="NA",0,IFERROR('6'!O$7/Ciclo,0))</f>
        <v>0</v>
      </c>
      <c r="P12" s="58">
        <f>IF($A12="NA",0,IFERROR('6'!P$7/Ciclo,0))</f>
        <v>0</v>
      </c>
      <c r="Q12" s="58">
        <f>IF($A12="NA",0,IFERROR('6'!Q$7/Ciclo,0))</f>
        <v>0</v>
      </c>
      <c r="R12" s="58">
        <f>IF($A12="NA",0,IFERROR('6'!R$7/Ciclo,0))</f>
        <v>0</v>
      </c>
      <c r="S12" s="58">
        <f>IF($A12="NA",0,IFERROR('6'!S$7/Ciclo,0))</f>
        <v>0</v>
      </c>
      <c r="T12" s="58">
        <f>IF($A12="NA",0,IFERROR('6'!T$7/Ciclo,0))</f>
        <v>0</v>
      </c>
      <c r="U12" s="58">
        <f>IF($A12="NA",0,IFERROR('6'!U$7/Ciclo,0))</f>
        <v>0</v>
      </c>
      <c r="V12" s="58">
        <f>IF($A12="NA",0,IFERROR('6'!V$7/Ciclo,0))</f>
        <v>0</v>
      </c>
      <c r="W12" s="5">
        <f>IF($A12="NA",0,IFERROR('6'!W$7/Ciclo,0))</f>
        <v>0</v>
      </c>
      <c r="X12" s="5">
        <f>IF($A12="NA",0,IFERROR('6'!X$7/Ciclo,0))</f>
        <v>0</v>
      </c>
      <c r="Y12" s="5">
        <f>IF($A12="NA",0,IFERROR('6'!Y$7/Ciclo,0))</f>
        <v>0</v>
      </c>
      <c r="Z12" s="5">
        <f>IF($A12="NA",0,IFERROR('6'!Z$7/Ciclo,0))</f>
        <v>0</v>
      </c>
      <c r="AB12" s="5">
        <f>IF($B$6="Producción",IF($B12&gt;=LI_A,$O12,0),0)</f>
        <v>0</v>
      </c>
      <c r="AC12" s="5">
        <f>IF($B$6="Producción",IF($B12&gt;=LI_B,IF($B12&lt;LS_B,$O12,0),0),0)</f>
        <v>0</v>
      </c>
      <c r="AD12" s="5">
        <f>IF($B$6="Producción",IF($B12&gt;=LI_C,IF($B12&lt;LS_C,$O12,0),0),0)</f>
        <v>0</v>
      </c>
      <c r="AE12" s="5">
        <f>IF($B$6="Producción",IF($B12&lt;LS_D,$O12,0),0)</f>
        <v>0</v>
      </c>
      <c r="AF12" s="5">
        <f>IF($B$6="Crecimiento",$O12,0)</f>
        <v>0</v>
      </c>
      <c r="AI12" s="5">
        <f>IF($C$6="Producción",IF($C12&gt;=LI_A,$P12,0),0)</f>
        <v>0</v>
      </c>
      <c r="AJ12" s="5">
        <f>IF($C$6="Producción",IF($C12&gt;=LI_B,IF($C12&lt;LS_B,$P12,0),0),0)</f>
        <v>0</v>
      </c>
      <c r="AK12" s="5">
        <f>IF($C$6="Producción",IF($C12&gt;=LI_C,IF($C12&lt;LS_C,$P12,0),0),0)</f>
        <v>0</v>
      </c>
      <c r="AL12" s="5">
        <f>IF($C$6="Producción",IF($C12&lt;LS_D,$P12,0),0)</f>
        <v>0</v>
      </c>
      <c r="AM12" s="5">
        <f>IF($C$6="Crecimiento",$P12,0)</f>
        <v>0</v>
      </c>
      <c r="AP12" s="5">
        <f>IF($D$6="Producción",IF($D12&gt;=LI_A,$Q12,0),0)</f>
        <v>0</v>
      </c>
      <c r="AQ12" s="5">
        <f>IF($D$6="Producción",IF($D12&gt;=LI_B,IF($D12&lt;LS_B,$Q12,0),0),0)</f>
        <v>0</v>
      </c>
      <c r="AR12" s="5">
        <f>IF($D$6="Producción",IF($D12&gt;=LI_C,IF($D12&lt;LS_C,$Q12,0),0),0)</f>
        <v>0</v>
      </c>
      <c r="AS12" s="5">
        <f>IF($D$6="Producción",IF($D12&lt;LS_D,$Q12,0),0)</f>
        <v>0</v>
      </c>
      <c r="AT12" s="5">
        <f>IF($D$6="Crecimiento",IF($D12&gt;0,$Q12,0),0)</f>
        <v>0</v>
      </c>
      <c r="AW12" s="5">
        <f>IF($E$6="Producción",IF($E12&gt;=LI_A,$R12,0),0)</f>
        <v>0</v>
      </c>
      <c r="AX12" s="5">
        <f>IF($E$6="Producción",IF($E12&gt;=LI_B,IF($E12&lt;LS_B,$R12,0),0),0)</f>
        <v>0</v>
      </c>
      <c r="AY12" s="5">
        <f>IF($E$6="Producción",IF($E12&gt;=LI_C,IF($E12&lt;LS_C,$R12,0),0),0)</f>
        <v>0</v>
      </c>
      <c r="AZ12" s="5">
        <f>IF($E$6="Producción",IF($E12&lt;LS_D,$R12,0),0)</f>
        <v>0</v>
      </c>
      <c r="BA12" s="5">
        <f>IF($E$6="Crecimiento",$R12,0)</f>
        <v>0</v>
      </c>
      <c r="BD12" s="5">
        <f>IF($F$6="Producción",IF($F12&gt;=LI_A,$S12,0),0)</f>
        <v>0</v>
      </c>
      <c r="BE12" s="5">
        <f>IF($F$6="Producción",IF($F12&gt;=LI_B,IF($F12&lt;LS_B,$S12,0),0),0)</f>
        <v>0</v>
      </c>
      <c r="BF12" s="5">
        <f>IF($F$6="Producción",IF($F12&gt;=LI_C,IF($F12&lt;LS_C,$S12,0),0),0)</f>
        <v>0</v>
      </c>
      <c r="BG12" s="5">
        <f>IF($F$6="Producción",IF($F12&lt;LS_D,$S12,0),0)</f>
        <v>0</v>
      </c>
      <c r="BH12" s="5">
        <f>IF($F$6="Crecimiento",$S12,0)</f>
        <v>0</v>
      </c>
      <c r="BK12" s="5">
        <f>IF($G$6="Producción",IF($G12&gt;=LI_A,$T12,0),0)</f>
        <v>0</v>
      </c>
      <c r="BL12" s="5">
        <f>IF($G$6="Producción",IF($G12&gt;=LI_B,IF($G12&lt;LS_B,$T12,0),0),0)</f>
        <v>0</v>
      </c>
      <c r="BM12" s="5">
        <f>IF($G$6="Producción",IF($G12&gt;=LI_C,IF($G12&lt;LS_C,$T12,0),0),0)</f>
        <v>0</v>
      </c>
      <c r="BN12" s="5">
        <f>IF($G$6="Producción",IF($G12&lt;LS_D,$T12,0),0)</f>
        <v>0</v>
      </c>
      <c r="BO12" s="5">
        <f>IF($G$6="Crecimiento",$T12,0)</f>
        <v>0</v>
      </c>
      <c r="BR12" s="5">
        <f>IF($H$6="Producción",IF($H12&gt;=LI_A,$U12,0),0)</f>
        <v>0</v>
      </c>
      <c r="BS12" s="5">
        <f>IF($H$6="Producción",IF($H12&gt;=LI_B,IF($H12&lt;LS_B,$U12,0),0),0)</f>
        <v>0</v>
      </c>
      <c r="BT12" s="5">
        <f>IF($H$6="Producción",IF($H12&gt;=LI_C,IF($H12&lt;LS_C,$U12,0),0),0)</f>
        <v>0</v>
      </c>
      <c r="BU12" s="5">
        <f>IF($H$6="Producción",IF($H12&lt;LS_D,$U12,0),0)</f>
        <v>0</v>
      </c>
      <c r="BV12" s="5">
        <f>IF($H$6="Crecimiento",$T12,0)</f>
        <v>0</v>
      </c>
      <c r="BY12" s="5">
        <f>IF($I$6="Producción",IF($I12&gt;=LI_A,$V12,0),0)</f>
        <v>0</v>
      </c>
      <c r="BZ12" s="5">
        <f>IF($I$6="Producción",IF($I12&gt;=LI_B,IF($I12&lt;LS_B,$V12,0),0),0)</f>
        <v>0</v>
      </c>
      <c r="CA12" s="5">
        <f>IF($I$6="Producción",IF($I12&gt;=LI_C,IF($I12&lt;LS_C,$V12,0),0),0)</f>
        <v>0</v>
      </c>
      <c r="CB12" s="5">
        <f>IF($I$6="Producción",IF($I12&lt;LS_D,$V12,0),0)</f>
        <v>0</v>
      </c>
      <c r="CC12" s="5">
        <f>IF($I$6="Crecimiento",$V12,0)</f>
        <v>0</v>
      </c>
      <c r="CF12" s="5">
        <f>IF($J$6="Producción",IF($J12&gt;=LI_A,$W12,0),0)</f>
        <v>0</v>
      </c>
      <c r="CG12" s="5">
        <f>IF($J$6="Producción",IF($J12&gt;=LI_B,IF($J12&lt;LS_B,$W12,0),0),0)</f>
        <v>0</v>
      </c>
      <c r="CH12" s="5">
        <f>IF($J$6="Producción",IF($J12&gt;=LI_C,IF($J12&lt;LS_C,$W12,0),0),0)</f>
        <v>0</v>
      </c>
      <c r="CI12" s="5">
        <f>IF($J$6="Producción",IF($J12&lt;LS_D,$W12,0),0)</f>
        <v>0</v>
      </c>
      <c r="CJ12" s="5">
        <f>IF($J$6="Crecimiento",$W12,0)</f>
        <v>0</v>
      </c>
      <c r="CM12" s="5">
        <f>IF($K$6="Producción",IF($K12&gt;=LI_A,$X12,0),0)</f>
        <v>0</v>
      </c>
      <c r="CN12" s="5">
        <f>IF($K$6="Producción",IF($K12&gt;=LI_B,IF($K12&lt;LS_B,$X12,0),0),0)</f>
        <v>0</v>
      </c>
      <c r="CO12" s="5">
        <f>IF($K$6="Producción",IF($K12&gt;=LI_C,IF($K12&lt;LS_C,$X12,0),0),0)</f>
        <v>0</v>
      </c>
      <c r="CP12" s="5">
        <f>IF($K$6="Producción",IF($K12&lt;LS_D,$X12,0),0)</f>
        <v>0</v>
      </c>
      <c r="CQ12" s="5">
        <f>IF($K$6="Crecimiento",$X12,0)</f>
        <v>0</v>
      </c>
      <c r="CT12" s="5">
        <f>IF($L$6="Producción",IF($L12&gt;=LI_A,$Y12,0),0)</f>
        <v>0</v>
      </c>
      <c r="CU12" s="5">
        <f>IF($L$6="Producción",IF($L12&gt;=LI_B,IF($L12&lt;LS_B,$Y12,0),0),0)</f>
        <v>0</v>
      </c>
      <c r="CV12" s="5">
        <f>IF($L$6="Producción",IF($L12&gt;=LI_C,IF($L12&lt;LS_C,$Y12,0),0),0)</f>
        <v>0</v>
      </c>
      <c r="CW12" s="5">
        <f>IF($L$6="Producción",IF($L12&lt;LS_D,$Y12,0),0)</f>
        <v>0</v>
      </c>
      <c r="CX12" s="5">
        <f>IF($L$6="Crecimiento",$Y12,0)</f>
        <v>0</v>
      </c>
      <c r="DA12" s="5">
        <f>IF($M$6="Producción",IF($M12&gt;=LI_A,$Z12,0),0)</f>
        <v>0</v>
      </c>
      <c r="DB12" s="5">
        <f>IF($M$6="Producción",IF($M12&gt;=LI_B,IF($M12&lt;LS_B,$Z12,0),0),0)</f>
        <v>0</v>
      </c>
      <c r="DC12" s="5">
        <f>IF($M$6="Producción",IF($M12&gt;=LI_C,IF($M12&lt;LS_C,$Z12,0),0),0)</f>
        <v>0</v>
      </c>
      <c r="DD12" s="5">
        <f>IF($M$6="Producción",IF($M12&lt;LS_D,$Z12,0),0)</f>
        <v>0</v>
      </c>
      <c r="DE12" s="5">
        <f>IF($M$6="Crecimiento",$Z12,0)</f>
        <v>0</v>
      </c>
      <c r="DI12" s="5">
        <f t="shared" si="50"/>
        <v>0</v>
      </c>
      <c r="DJ12" s="5">
        <f t="shared" si="6"/>
        <v>0</v>
      </c>
      <c r="DK12" s="5">
        <f t="shared" si="7"/>
        <v>0</v>
      </c>
      <c r="DL12" s="5">
        <f t="shared" si="8"/>
        <v>0</v>
      </c>
      <c r="DM12" s="5">
        <f t="shared" si="9"/>
        <v>0</v>
      </c>
      <c r="DN12" s="5">
        <f t="shared" si="51"/>
        <v>0</v>
      </c>
      <c r="DO12" s="5">
        <f t="shared" si="10"/>
        <v>0</v>
      </c>
      <c r="DP12" s="5">
        <f t="shared" si="11"/>
        <v>0</v>
      </c>
      <c r="DQ12" s="5">
        <f t="shared" si="12"/>
        <v>0</v>
      </c>
      <c r="DR12" s="5">
        <f t="shared" si="13"/>
        <v>0</v>
      </c>
      <c r="DS12" s="5">
        <f t="shared" si="52"/>
        <v>0</v>
      </c>
      <c r="DT12" s="5">
        <f t="shared" si="14"/>
        <v>0</v>
      </c>
      <c r="DU12" s="5">
        <f t="shared" si="15"/>
        <v>0</v>
      </c>
      <c r="DV12" s="5">
        <f t="shared" si="16"/>
        <v>0</v>
      </c>
      <c r="DW12" s="5">
        <f t="shared" si="17"/>
        <v>0</v>
      </c>
      <c r="DX12" s="5">
        <f t="shared" si="53"/>
        <v>0</v>
      </c>
      <c r="DY12" s="5">
        <f t="shared" si="18"/>
        <v>0</v>
      </c>
      <c r="DZ12" s="5">
        <f t="shared" si="19"/>
        <v>0</v>
      </c>
      <c r="EA12" s="5">
        <f t="shared" si="20"/>
        <v>0</v>
      </c>
      <c r="EB12" s="5">
        <f t="shared" si="21"/>
        <v>0</v>
      </c>
      <c r="EC12" s="5">
        <f t="shared" si="54"/>
        <v>0</v>
      </c>
      <c r="ED12" s="5">
        <f t="shared" si="22"/>
        <v>0</v>
      </c>
      <c r="EE12" s="5">
        <f t="shared" si="23"/>
        <v>0</v>
      </c>
      <c r="EF12" s="5">
        <f t="shared" si="24"/>
        <v>0</v>
      </c>
      <c r="EG12" s="5">
        <f t="shared" si="25"/>
        <v>0</v>
      </c>
      <c r="EH12" s="5">
        <f t="shared" si="55"/>
        <v>0</v>
      </c>
      <c r="EI12" s="5">
        <f t="shared" si="56"/>
        <v>0</v>
      </c>
      <c r="EJ12" s="5">
        <f t="shared" si="57"/>
        <v>0</v>
      </c>
      <c r="EK12" s="5">
        <f t="shared" si="58"/>
        <v>0</v>
      </c>
      <c r="EL12" s="5">
        <f t="shared" si="59"/>
        <v>0</v>
      </c>
      <c r="EM12" s="5">
        <f t="shared" si="60"/>
        <v>0</v>
      </c>
      <c r="EN12" s="5">
        <f t="shared" si="26"/>
        <v>0</v>
      </c>
      <c r="EO12" s="5">
        <f t="shared" si="27"/>
        <v>0</v>
      </c>
      <c r="EP12" s="5">
        <f t="shared" si="28"/>
        <v>0</v>
      </c>
      <c r="EQ12" s="5">
        <f t="shared" si="29"/>
        <v>0</v>
      </c>
      <c r="ER12" s="5">
        <f t="shared" si="61"/>
        <v>0</v>
      </c>
      <c r="ES12" s="5">
        <f t="shared" si="30"/>
        <v>0</v>
      </c>
      <c r="ET12" s="5">
        <f t="shared" si="31"/>
        <v>0</v>
      </c>
      <c r="EU12" s="5">
        <f t="shared" si="32"/>
        <v>0</v>
      </c>
      <c r="EV12" s="5">
        <f t="shared" si="33"/>
        <v>0</v>
      </c>
      <c r="EW12" s="5">
        <f t="shared" si="62"/>
        <v>0</v>
      </c>
      <c r="EX12" s="5">
        <f t="shared" si="34"/>
        <v>0</v>
      </c>
      <c r="EY12" s="5">
        <f t="shared" si="35"/>
        <v>0</v>
      </c>
      <c r="EZ12" s="5">
        <f t="shared" si="36"/>
        <v>0</v>
      </c>
      <c r="FA12" s="5">
        <f t="shared" si="37"/>
        <v>0</v>
      </c>
      <c r="FB12" s="5">
        <f t="shared" si="63"/>
        <v>0</v>
      </c>
      <c r="FC12" s="5">
        <f t="shared" si="38"/>
        <v>0</v>
      </c>
      <c r="FD12" s="5">
        <f t="shared" si="39"/>
        <v>0</v>
      </c>
      <c r="FE12" s="5">
        <f t="shared" si="40"/>
        <v>0</v>
      </c>
      <c r="FF12" s="5">
        <f t="shared" si="41"/>
        <v>0</v>
      </c>
      <c r="FG12" s="5">
        <f t="shared" si="64"/>
        <v>0</v>
      </c>
      <c r="FH12" s="5">
        <f t="shared" si="42"/>
        <v>0</v>
      </c>
      <c r="FI12" s="5">
        <f t="shared" si="43"/>
        <v>0</v>
      </c>
      <c r="FJ12" s="5">
        <f t="shared" si="44"/>
        <v>0</v>
      </c>
      <c r="FK12" s="5">
        <f t="shared" si="45"/>
        <v>0</v>
      </c>
      <c r="FL12" s="5">
        <f t="shared" si="65"/>
        <v>0</v>
      </c>
      <c r="FM12" s="5">
        <f t="shared" si="46"/>
        <v>0</v>
      </c>
      <c r="FN12" s="5">
        <f t="shared" si="47"/>
        <v>0</v>
      </c>
      <c r="FO12" s="5">
        <f t="shared" si="48"/>
        <v>0</v>
      </c>
      <c r="FP12" s="5">
        <f t="shared" si="49"/>
        <v>0</v>
      </c>
    </row>
    <row r="13" spans="1:233" ht="20.100000000000001" customHeight="1" x14ac:dyDescent="0.3">
      <c r="A13" s="9" t="str">
        <f>IF(Ciclo=5,"Surco 5","NA")</f>
        <v>NA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O13" s="58">
        <f>IF($A13="NA",0,IFERROR('6'!O$7/Ciclo,0))</f>
        <v>0</v>
      </c>
      <c r="P13" s="58">
        <f>IF($A13="NA",0,IFERROR('6'!P$7/Ciclo,0))</f>
        <v>0</v>
      </c>
      <c r="Q13" s="58">
        <f>IF($A13="NA",0,IFERROR('6'!Q$7/Ciclo,0))</f>
        <v>0</v>
      </c>
      <c r="R13" s="58">
        <f>IF($A13="NA",0,IFERROR('6'!R$7/Ciclo,0))</f>
        <v>0</v>
      </c>
      <c r="S13" s="58">
        <f>IF($A13="NA",0,IFERROR('6'!S$7/Ciclo,0))</f>
        <v>0</v>
      </c>
      <c r="T13" s="58">
        <f>IF($A13="NA",0,IFERROR('6'!T$7/Ciclo,0))</f>
        <v>0</v>
      </c>
      <c r="U13" s="58">
        <f>IF($A13="NA",0,IFERROR('6'!U$7/Ciclo,0))</f>
        <v>0</v>
      </c>
      <c r="V13" s="58">
        <f>IF($A13="NA",0,IFERROR('6'!V$7/Ciclo,0))</f>
        <v>0</v>
      </c>
      <c r="W13" s="5">
        <f>IF($A13="NA",0,IFERROR('6'!W$7/Ciclo,0))</f>
        <v>0</v>
      </c>
      <c r="X13" s="5">
        <f>IF($A13="NA",0,IFERROR('6'!X$7/Ciclo,0))</f>
        <v>0</v>
      </c>
      <c r="Y13" s="5">
        <f>IF($A13="NA",0,IFERROR('6'!Y$7/Ciclo,0))</f>
        <v>0</v>
      </c>
      <c r="Z13" s="5">
        <f>IF($A13="NA",0,IFERROR('6'!Z$7/Ciclo,0))</f>
        <v>0</v>
      </c>
      <c r="AB13" s="5">
        <f>IF($B$6="Producción",IF($B13&gt;=LI_A,$O13,0),0)</f>
        <v>0</v>
      </c>
      <c r="AC13" s="5">
        <f>IF($B$6="Producción",IF($B13&gt;=LI_B,IF($B13&lt;LS_B,$O13,0),0),0)</f>
        <v>0</v>
      </c>
      <c r="AD13" s="5">
        <f>IF($B$6="Producción",IF($B13&gt;=LI_C,IF($B13&lt;LS_C,$O13,0),0),0)</f>
        <v>0</v>
      </c>
      <c r="AE13" s="5">
        <f>IF($B$6="Producción",IF($B13&lt;LS_D,$O13,0),0)</f>
        <v>0</v>
      </c>
      <c r="AF13" s="5">
        <f>IF($B$6="Crecimiento",$O13,0)</f>
        <v>0</v>
      </c>
      <c r="AI13" s="5">
        <f>IF($C$6="Producción",IF($C13&gt;=LI_A,$P13,0),0)</f>
        <v>0</v>
      </c>
      <c r="AJ13" s="5">
        <f>IF($C$6="Producción",IF($C13&gt;=LI_B,IF($C13&lt;LS_B,$P13,0),0),0)</f>
        <v>0</v>
      </c>
      <c r="AK13" s="5">
        <f>IF($C$6="Producción",IF($C13&gt;=LI_C,IF($C13&lt;LS_C,$P13,0),0),0)</f>
        <v>0</v>
      </c>
      <c r="AL13" s="5">
        <f>IF($C$6="Producción",IF($C13&lt;LS_D,$P13,0),0)</f>
        <v>0</v>
      </c>
      <c r="AM13" s="5">
        <f>IF($C$6="Crecimiento",$P13,0)</f>
        <v>0</v>
      </c>
      <c r="AP13" s="5">
        <f>IF($D$6="Producción",IF($D13&gt;=LI_A,$Q13,0),0)</f>
        <v>0</v>
      </c>
      <c r="AQ13" s="5">
        <f>IF($D$6="Producción",IF($D13&gt;=LI_B,IF($D13&lt;LS_B,$Q13,0),0),0)</f>
        <v>0</v>
      </c>
      <c r="AR13" s="5">
        <f>IF($D$6="Producción",IF($D13&gt;=LI_C,IF($D13&lt;LS_C,$Q13,0),0),0)</f>
        <v>0</v>
      </c>
      <c r="AS13" s="5">
        <f>IF($D$6="Producción",IF($D13&lt;LS_D,$Q13,0),0)</f>
        <v>0</v>
      </c>
      <c r="AT13" s="5">
        <f>IF($D$6="Crecimiento",IF($D13&gt;0,$Q13,0),0)</f>
        <v>0</v>
      </c>
      <c r="AW13" s="5">
        <f>IF($E$6="Producción",IF($E13&gt;=LI_A,$R13,0),0)</f>
        <v>0</v>
      </c>
      <c r="AX13" s="5">
        <f>IF($E$6="Producción",IF($E13&gt;=LI_B,IF($E13&lt;LS_B,$R13,0),0),0)</f>
        <v>0</v>
      </c>
      <c r="AY13" s="5">
        <f>IF($E$6="Producción",IF($E13&gt;=LI_C,IF($E13&lt;LS_C,$R13,0),0),0)</f>
        <v>0</v>
      </c>
      <c r="AZ13" s="5">
        <f>IF($E$6="Producción",IF($E13&lt;LS_D,$R13,0),0)</f>
        <v>0</v>
      </c>
      <c r="BA13" s="5">
        <f>IF($E$6="Crecimiento",$R13,0)</f>
        <v>0</v>
      </c>
      <c r="BD13" s="5">
        <f>IF($F$6="Producción",IF($F13&gt;=LI_A,$S13,0),0)</f>
        <v>0</v>
      </c>
      <c r="BE13" s="5">
        <f>IF($F$6="Producción",IF($F13&gt;=LI_B,IF($F13&lt;LS_B,$S13,0),0),0)</f>
        <v>0</v>
      </c>
      <c r="BF13" s="5">
        <f>IF($F$6="Producción",IF($F13&gt;=LI_C,IF($F13&lt;LS_C,$S13,0),0),0)</f>
        <v>0</v>
      </c>
      <c r="BG13" s="5">
        <f>IF($F$6="Producción",IF($F13&lt;LS_D,$S13,0),0)</f>
        <v>0</v>
      </c>
      <c r="BH13" s="5">
        <f>IF($F$6="Crecimiento",$S13,0)</f>
        <v>0</v>
      </c>
      <c r="BK13" s="5">
        <f>IF($G$6="Producción",IF($G13&gt;=LI_A,$T13,0),0)</f>
        <v>0</v>
      </c>
      <c r="BL13" s="5">
        <f>IF($G$6="Producción",IF($G13&gt;=LI_B,IF($G13&lt;LS_B,$T13,0),0),0)</f>
        <v>0</v>
      </c>
      <c r="BM13" s="5">
        <f>IF($G$6="Producción",IF($G13&gt;=LI_C,IF($G13&lt;LS_C,$T13,0),0),0)</f>
        <v>0</v>
      </c>
      <c r="BN13" s="5">
        <f>IF($G$6="Producción",IF($G13&lt;LS_D,$T13,0),0)</f>
        <v>0</v>
      </c>
      <c r="BO13" s="5">
        <f>IF($G$6="Crecimiento",$T13,0)</f>
        <v>0</v>
      </c>
      <c r="BR13" s="5">
        <f>IF($H$6="Producción",IF($H13&gt;=LI_A,$U13,0),0)</f>
        <v>0</v>
      </c>
      <c r="BS13" s="5">
        <f>IF($H$6="Producción",IF($H13&gt;=LI_B,IF($H13&lt;LS_B,$U13,0),0),0)</f>
        <v>0</v>
      </c>
      <c r="BT13" s="5">
        <f>IF($H$6="Producción",IF($H13&gt;=LI_C,IF($H13&lt;LS_C,$U13,0),0),0)</f>
        <v>0</v>
      </c>
      <c r="BU13" s="5">
        <f>IF($H$6="Producción",IF($H13&lt;LS_D,$U13,0),0)</f>
        <v>0</v>
      </c>
      <c r="BV13" s="5">
        <f>IF($H$6="Crecimiento",$T13,0)</f>
        <v>0</v>
      </c>
      <c r="BY13" s="5">
        <f>IF($I$6="Producción",IF($I13&gt;=LI_A,$V13,0),0)</f>
        <v>0</v>
      </c>
      <c r="BZ13" s="5">
        <f>IF($I$6="Producción",IF($I13&gt;=LI_B,IF($I13&lt;LS_B,$V13,0),0),0)</f>
        <v>0</v>
      </c>
      <c r="CA13" s="5">
        <f>IF($I$6="Producción",IF($I13&gt;=LI_C,IF($I13&lt;LS_C,$V13,0),0),0)</f>
        <v>0</v>
      </c>
      <c r="CB13" s="5">
        <f>IF($I$6="Producción",IF($I13&lt;LS_D,$V13,0),0)</f>
        <v>0</v>
      </c>
      <c r="CC13" s="5">
        <f>IF($I$6="Crecimiento",$V13,0)</f>
        <v>0</v>
      </c>
      <c r="CF13" s="5">
        <f>IF($J$6="Producción",IF($J13&gt;=LI_A,$W13,0),0)</f>
        <v>0</v>
      </c>
      <c r="CG13" s="5">
        <f>IF($J$6="Producción",IF($J13&gt;=LI_B,IF($J13&lt;LS_B,$W13,0),0),0)</f>
        <v>0</v>
      </c>
      <c r="CH13" s="5">
        <f>IF($J$6="Producción",IF($J13&gt;=LI_C,IF($J13&lt;LS_C,$W13,0),0),0)</f>
        <v>0</v>
      </c>
      <c r="CI13" s="5">
        <f>IF($J$6="Producción",IF($J13&lt;LS_D,$W13,0),0)</f>
        <v>0</v>
      </c>
      <c r="CJ13" s="5">
        <f>IF($J$6="Crecimiento",$W13,0)</f>
        <v>0</v>
      </c>
      <c r="CM13" s="5">
        <f>IF($K$6="Producción",IF($K13&gt;=LI_A,$X13,0),0)</f>
        <v>0</v>
      </c>
      <c r="CN13" s="5">
        <f>IF($K$6="Producción",IF($K13&gt;=LI_B,IF($K13&lt;LS_B,$X13,0),0),0)</f>
        <v>0</v>
      </c>
      <c r="CO13" s="5">
        <f>IF($K$6="Producción",IF($K13&gt;=LI_C,IF($K13&lt;LS_C,$X13,0),0),0)</f>
        <v>0</v>
      </c>
      <c r="CP13" s="5">
        <f>IF($K$6="Producción",IF($K13&lt;LS_D,$X13,0),0)</f>
        <v>0</v>
      </c>
      <c r="CQ13" s="5">
        <f>IF($K$6="Crecimiento",$X13,0)</f>
        <v>0</v>
      </c>
      <c r="CT13" s="5">
        <f>IF($L$6="Producción",IF($L13&gt;=LI_A,$Y13,0),0)</f>
        <v>0</v>
      </c>
      <c r="CU13" s="5">
        <f>IF($L$6="Producción",IF($L13&gt;=LI_B,IF($L13&lt;LS_B,$Y13,0),0),0)</f>
        <v>0</v>
      </c>
      <c r="CV13" s="5">
        <f>IF($L$6="Producción",IF($L13&gt;=LI_C,IF($L13&lt;LS_C,$Y13,0),0),0)</f>
        <v>0</v>
      </c>
      <c r="CW13" s="5">
        <f>IF($L$6="Producción",IF($L13&lt;LS_D,$Y13,0),0)</f>
        <v>0</v>
      </c>
      <c r="CX13" s="5">
        <f>IF($L$6="Crecimiento",$Y13,0)</f>
        <v>0</v>
      </c>
      <c r="DA13" s="5">
        <f>IF($M$6="Producción",IF($M13&gt;=LI_A,$Z13,0),0)</f>
        <v>0</v>
      </c>
      <c r="DB13" s="5">
        <f>IF($M$6="Producción",IF($M13&gt;=LI_B,IF($M13&lt;LS_B,$Z13,0),0),0)</f>
        <v>0</v>
      </c>
      <c r="DC13" s="5">
        <f>IF($M$6="Producción",IF($M13&gt;=LI_C,IF($M13&lt;LS_C,$Z13,0),0),0)</f>
        <v>0</v>
      </c>
      <c r="DD13" s="5">
        <f>IF($M$6="Producción",IF($M13&lt;LS_D,$Z13,0),0)</f>
        <v>0</v>
      </c>
      <c r="DE13" s="5">
        <f>IF($M$6="Crecimiento",$Z13,0)</f>
        <v>0</v>
      </c>
      <c r="DI13" s="5">
        <f t="shared" si="50"/>
        <v>0</v>
      </c>
      <c r="DJ13" s="5">
        <f t="shared" si="6"/>
        <v>0</v>
      </c>
      <c r="DK13" s="5">
        <f t="shared" si="7"/>
        <v>0</v>
      </c>
      <c r="DL13" s="5">
        <f t="shared" si="8"/>
        <v>0</v>
      </c>
      <c r="DM13" s="5">
        <f t="shared" si="9"/>
        <v>0</v>
      </c>
      <c r="DN13" s="5">
        <f t="shared" si="51"/>
        <v>0</v>
      </c>
      <c r="DO13" s="5">
        <f t="shared" si="10"/>
        <v>0</v>
      </c>
      <c r="DP13" s="5">
        <f t="shared" si="11"/>
        <v>0</v>
      </c>
      <c r="DQ13" s="5">
        <f t="shared" si="12"/>
        <v>0</v>
      </c>
      <c r="DR13" s="5">
        <f t="shared" si="13"/>
        <v>0</v>
      </c>
      <c r="DS13" s="5">
        <f t="shared" si="52"/>
        <v>0</v>
      </c>
      <c r="DT13" s="5">
        <f t="shared" si="14"/>
        <v>0</v>
      </c>
      <c r="DU13" s="5">
        <f t="shared" si="15"/>
        <v>0</v>
      </c>
      <c r="DV13" s="5">
        <f t="shared" si="16"/>
        <v>0</v>
      </c>
      <c r="DW13" s="5">
        <f t="shared" si="17"/>
        <v>0</v>
      </c>
      <c r="DX13" s="5">
        <f t="shared" si="53"/>
        <v>0</v>
      </c>
      <c r="DY13" s="5">
        <f t="shared" si="18"/>
        <v>0</v>
      </c>
      <c r="DZ13" s="5">
        <f t="shared" si="19"/>
        <v>0</v>
      </c>
      <c r="EA13" s="5">
        <f t="shared" si="20"/>
        <v>0</v>
      </c>
      <c r="EB13" s="5">
        <f t="shared" si="21"/>
        <v>0</v>
      </c>
      <c r="EC13" s="5">
        <f t="shared" si="54"/>
        <v>0</v>
      </c>
      <c r="ED13" s="5">
        <f t="shared" si="22"/>
        <v>0</v>
      </c>
      <c r="EE13" s="5">
        <f t="shared" si="23"/>
        <v>0</v>
      </c>
      <c r="EF13" s="5">
        <f t="shared" si="24"/>
        <v>0</v>
      </c>
      <c r="EG13" s="5">
        <f t="shared" si="25"/>
        <v>0</v>
      </c>
      <c r="EH13" s="5">
        <f t="shared" si="55"/>
        <v>0</v>
      </c>
      <c r="EI13" s="5">
        <f t="shared" si="56"/>
        <v>0</v>
      </c>
      <c r="EJ13" s="5">
        <f t="shared" si="57"/>
        <v>0</v>
      </c>
      <c r="EK13" s="5">
        <f t="shared" si="58"/>
        <v>0</v>
      </c>
      <c r="EL13" s="5">
        <f t="shared" si="59"/>
        <v>0</v>
      </c>
      <c r="EM13" s="5">
        <f t="shared" si="60"/>
        <v>0</v>
      </c>
      <c r="EN13" s="5">
        <f t="shared" si="26"/>
        <v>0</v>
      </c>
      <c r="EO13" s="5">
        <f t="shared" si="27"/>
        <v>0</v>
      </c>
      <c r="EP13" s="5">
        <f t="shared" si="28"/>
        <v>0</v>
      </c>
      <c r="EQ13" s="5">
        <f t="shared" si="29"/>
        <v>0</v>
      </c>
      <c r="ER13" s="5">
        <f t="shared" si="61"/>
        <v>0</v>
      </c>
      <c r="ES13" s="5">
        <f t="shared" si="30"/>
        <v>0</v>
      </c>
      <c r="ET13" s="5">
        <f t="shared" si="31"/>
        <v>0</v>
      </c>
      <c r="EU13" s="5">
        <f t="shared" si="32"/>
        <v>0</v>
      </c>
      <c r="EV13" s="5">
        <f t="shared" si="33"/>
        <v>0</v>
      </c>
      <c r="EW13" s="5">
        <f t="shared" si="62"/>
        <v>0</v>
      </c>
      <c r="EX13" s="5">
        <f t="shared" si="34"/>
        <v>0</v>
      </c>
      <c r="EY13" s="5">
        <f t="shared" si="35"/>
        <v>0</v>
      </c>
      <c r="EZ13" s="5">
        <f t="shared" si="36"/>
        <v>0</v>
      </c>
      <c r="FA13" s="5">
        <f t="shared" si="37"/>
        <v>0</v>
      </c>
      <c r="FB13" s="5">
        <f t="shared" si="63"/>
        <v>0</v>
      </c>
      <c r="FC13" s="5">
        <f t="shared" si="38"/>
        <v>0</v>
      </c>
      <c r="FD13" s="5">
        <f t="shared" si="39"/>
        <v>0</v>
      </c>
      <c r="FE13" s="5">
        <f t="shared" si="40"/>
        <v>0</v>
      </c>
      <c r="FF13" s="5">
        <f t="shared" si="41"/>
        <v>0</v>
      </c>
      <c r="FG13" s="5">
        <f t="shared" si="64"/>
        <v>0</v>
      </c>
      <c r="FH13" s="5">
        <f t="shared" si="42"/>
        <v>0</v>
      </c>
      <c r="FI13" s="5">
        <f t="shared" si="43"/>
        <v>0</v>
      </c>
      <c r="FJ13" s="5">
        <f t="shared" si="44"/>
        <v>0</v>
      </c>
      <c r="FK13" s="5">
        <f t="shared" si="45"/>
        <v>0</v>
      </c>
      <c r="FL13" s="5">
        <f t="shared" si="65"/>
        <v>0</v>
      </c>
      <c r="FM13" s="5">
        <f t="shared" si="46"/>
        <v>0</v>
      </c>
      <c r="FN13" s="5">
        <f t="shared" si="47"/>
        <v>0</v>
      </c>
      <c r="FO13" s="5">
        <f t="shared" si="48"/>
        <v>0</v>
      </c>
      <c r="FP13" s="5">
        <f t="shared" si="49"/>
        <v>0</v>
      </c>
    </row>
    <row r="14" spans="1:233" ht="20.100000000000001" customHeight="1" x14ac:dyDescent="0.3">
      <c r="A14" s="172">
        <f>N_L2</f>
        <v>0</v>
      </c>
      <c r="B14" s="363" t="s">
        <v>37</v>
      </c>
      <c r="C14" s="363" t="s">
        <v>37</v>
      </c>
      <c r="D14" s="363" t="s">
        <v>37</v>
      </c>
      <c r="E14" s="363" t="s">
        <v>37</v>
      </c>
      <c r="F14" s="363" t="s">
        <v>37</v>
      </c>
      <c r="G14" s="363" t="s">
        <v>37</v>
      </c>
      <c r="H14" s="363" t="s">
        <v>37</v>
      </c>
      <c r="I14" s="363" t="s">
        <v>37</v>
      </c>
      <c r="J14" s="363" t="s">
        <v>37</v>
      </c>
      <c r="K14" s="363" t="s">
        <v>37</v>
      </c>
      <c r="L14" s="363" t="s">
        <v>37</v>
      </c>
      <c r="M14" s="363" t="s">
        <v>37</v>
      </c>
    </row>
    <row r="15" spans="1:233" ht="20.100000000000001" customHeight="1" x14ac:dyDescent="0.3">
      <c r="A15" s="175" t="s">
        <v>238</v>
      </c>
      <c r="B15" s="174">
        <f>SUM(DI17:DM21)/100</f>
        <v>0</v>
      </c>
      <c r="C15" s="174">
        <f>SUM(DN17:DR21)/100</f>
        <v>0</v>
      </c>
      <c r="D15" s="174">
        <f>SUM(DS17:DW21)/100</f>
        <v>0</v>
      </c>
      <c r="E15" s="174">
        <f>SUM(DX17:EB21)/100</f>
        <v>0</v>
      </c>
      <c r="F15" s="174">
        <f>SUM(EC17:EG21)/100</f>
        <v>0</v>
      </c>
      <c r="G15" s="174">
        <f>SUM(EH17:EL21)/100</f>
        <v>0</v>
      </c>
      <c r="H15" s="174">
        <f>SUM(EM17:EQ21)/100</f>
        <v>0</v>
      </c>
      <c r="I15" s="174">
        <f>SUM(ER17:EV21)/100</f>
        <v>0</v>
      </c>
      <c r="J15" s="174">
        <f>SUM(EW17:FA21)/100</f>
        <v>0</v>
      </c>
      <c r="K15" s="174">
        <f>SUM(FB17:FF21)/100</f>
        <v>0</v>
      </c>
      <c r="L15" s="174">
        <f>SUM(FG17:FK21)/100</f>
        <v>0</v>
      </c>
      <c r="M15" s="174">
        <f>SUM(FL17:FP21)/100</f>
        <v>0</v>
      </c>
    </row>
    <row r="16" spans="1:233" ht="20.100000000000001" customHeight="1" x14ac:dyDescent="0.3">
      <c r="A16" s="151" t="s">
        <v>239</v>
      </c>
      <c r="B16" s="152" t="e">
        <f t="shared" ref="B16:M16" si="66">B15/Lote_2</f>
        <v>#DIV/0!</v>
      </c>
      <c r="C16" s="152" t="e">
        <f t="shared" si="66"/>
        <v>#DIV/0!</v>
      </c>
      <c r="D16" s="152" t="e">
        <f t="shared" si="66"/>
        <v>#DIV/0!</v>
      </c>
      <c r="E16" s="152" t="e">
        <f t="shared" si="66"/>
        <v>#DIV/0!</v>
      </c>
      <c r="F16" s="152" t="e">
        <f t="shared" si="66"/>
        <v>#DIV/0!</v>
      </c>
      <c r="G16" s="152" t="e">
        <f t="shared" si="66"/>
        <v>#DIV/0!</v>
      </c>
      <c r="H16" s="152" t="e">
        <f t="shared" si="66"/>
        <v>#DIV/0!</v>
      </c>
      <c r="I16" s="152" t="e">
        <f t="shared" si="66"/>
        <v>#DIV/0!</v>
      </c>
      <c r="J16" s="152" t="e">
        <f t="shared" si="66"/>
        <v>#DIV/0!</v>
      </c>
      <c r="K16" s="152" t="e">
        <f t="shared" si="66"/>
        <v>#DIV/0!</v>
      </c>
      <c r="L16" s="152" t="e">
        <f t="shared" si="66"/>
        <v>#DIV/0!</v>
      </c>
      <c r="M16" s="152" t="e">
        <f t="shared" si="66"/>
        <v>#DIV/0!</v>
      </c>
    </row>
    <row r="17" spans="1:172" ht="20.100000000000001" customHeight="1" x14ac:dyDescent="0.3">
      <c r="A17" s="8" t="s">
        <v>302</v>
      </c>
      <c r="B17" s="2"/>
      <c r="C17" s="2"/>
      <c r="D17" s="2"/>
      <c r="E17" s="2"/>
      <c r="F17" s="2"/>
      <c r="G17" s="2"/>
      <c r="H17" s="2"/>
      <c r="I17" s="2"/>
      <c r="J17" s="2"/>
      <c r="K17" s="2"/>
      <c r="L17" s="2"/>
      <c r="M17" s="2"/>
      <c r="O17" s="58">
        <f>IFERROR('6'!O$11/Ciclo,0)</f>
        <v>0</v>
      </c>
      <c r="P17" s="58">
        <f>IFERROR('6'!P$11/Ciclo,0)</f>
        <v>0</v>
      </c>
      <c r="Q17" s="58">
        <f>IFERROR('6'!Q$11/Ciclo,0)</f>
        <v>0</v>
      </c>
      <c r="R17" s="58">
        <f>IFERROR('6'!R$11/Ciclo,0)</f>
        <v>0</v>
      </c>
      <c r="S17" s="58">
        <f>IFERROR('6'!S$11/Ciclo,0)</f>
        <v>0</v>
      </c>
      <c r="T17" s="58">
        <f>IFERROR('6'!T$11/Ciclo,0)</f>
        <v>0</v>
      </c>
      <c r="U17" s="58">
        <f>IFERROR('6'!U$11/Ciclo,0)</f>
        <v>0</v>
      </c>
      <c r="V17" s="58">
        <f>IFERROR('6'!V$11/Ciclo,0)</f>
        <v>0</v>
      </c>
      <c r="W17" s="5">
        <f>IFERROR('6'!W$11/Ciclo,0)</f>
        <v>0</v>
      </c>
      <c r="X17" s="5">
        <f>IFERROR('6'!X$11/Ciclo,0)</f>
        <v>0</v>
      </c>
      <c r="Y17" s="5">
        <f>IFERROR('6'!Y$11/Ciclo,0)</f>
        <v>0</v>
      </c>
      <c r="Z17" s="5">
        <f>IFERROR('6'!Z$11/Ciclo,0)</f>
        <v>0</v>
      </c>
      <c r="AB17" s="5">
        <f>IF($B$14="Producción",IF($B17&gt;=LI_A,$O17,0),0)</f>
        <v>0</v>
      </c>
      <c r="AC17" s="5">
        <f>IF($B$14="Producción",IF($B17&gt;=LI_B,IF($B17&lt;LS_B,$O17,0),0),0)</f>
        <v>0</v>
      </c>
      <c r="AD17" s="5">
        <f>IF($B$14="Producción",IF($B17&gt;=LI_C,IF($B17&lt;LS_C,$O17,0),0),0)</f>
        <v>0</v>
      </c>
      <c r="AE17" s="5">
        <f>IF($B$14="Producción",IF($B17&lt;LS_D,$O17,0),0)</f>
        <v>0</v>
      </c>
      <c r="AF17" s="5">
        <f>IF($B$14="Crecimiento",$O17,0)</f>
        <v>0</v>
      </c>
      <c r="AG17" s="5">
        <f>IF($B14="Siembra",'6'!$O$7,0)</f>
        <v>0</v>
      </c>
      <c r="AH17" s="5">
        <f>IF($B14="Abandono",'6'!$O$7,0)</f>
        <v>0</v>
      </c>
      <c r="AI17" s="5">
        <f>IF($C$14="Producción",IF($C17&gt;=LI_A,$P17,0),0)</f>
        <v>0</v>
      </c>
      <c r="AJ17" s="5">
        <f>IF($C$14="Producción",IF($C17&gt;=LI_B,IF($C17&lt;LS_B,$P17,0),0),0)</f>
        <v>0</v>
      </c>
      <c r="AK17" s="5">
        <f>IF($C$14="Producción",IF($C17&gt;=LI_C,IF($C17&lt;LS_C,$P17,0),0),0)</f>
        <v>0</v>
      </c>
      <c r="AL17" s="5">
        <f>IF($C$14="Producción",IF($C17&lt;LS_D,$P17,0),0)</f>
        <v>0</v>
      </c>
      <c r="AM17" s="5">
        <f>IF($C$14="Crecimiento",$P17,0)</f>
        <v>0</v>
      </c>
      <c r="AN17" s="5">
        <f>IF($C14="Siembra",'6'!$P$7,0)</f>
        <v>0</v>
      </c>
      <c r="AO17" s="5">
        <f>IF($C14="Abandono",'6'!$P$7,0)</f>
        <v>0</v>
      </c>
      <c r="AP17" s="5">
        <f>IF($D$14="Producción",IF($D17&gt;=LI_A,$Q17,0),0)</f>
        <v>0</v>
      </c>
      <c r="AQ17" s="5">
        <f>IF($D$14="Producción",IF($D17&gt;=LI_B,IF($D17&lt;LS_B,$Q17,0),0),0)</f>
        <v>0</v>
      </c>
      <c r="AR17" s="5">
        <f>IF($D$14="Producción",IF($D17&gt;=LI_C,IF($D17&lt;LS_C,$Q17,0),0),0)</f>
        <v>0</v>
      </c>
      <c r="AS17" s="5">
        <f>IF($D$14="Producción",IF($D17&lt;LS_D,$Q17,0),0)</f>
        <v>0</v>
      </c>
      <c r="AT17" s="5">
        <f>IF($D14="Crecimiento",IF($D17&gt;0,$Q17,0),0)</f>
        <v>0</v>
      </c>
      <c r="AU17" s="5">
        <f>IF($D14="Siembra",'6'!$Q$7,0)</f>
        <v>0</v>
      </c>
      <c r="AV17" s="5">
        <f>IF($D14="Abandono",'6'!$Q$7,0)</f>
        <v>0</v>
      </c>
      <c r="AW17" s="5">
        <f>IF($E$14="Producción",IF($E17&gt;=LI_A,$R17,0),0)</f>
        <v>0</v>
      </c>
      <c r="AX17" s="5">
        <f>IF($E$14="Producción",IF($E17&gt;=LI_B,IF($E17&lt;LS_B,$R17,0),0),0)</f>
        <v>0</v>
      </c>
      <c r="AY17" s="5">
        <f>IF($E$14="Producción",IF($E17&gt;=LI_C,IF($E17&lt;LS_C,$R17,0),0),0)</f>
        <v>0</v>
      </c>
      <c r="AZ17" s="5">
        <f>IF($E$14="Producción",IF($E17&lt;LS_D,$R17,0),0)</f>
        <v>0</v>
      </c>
      <c r="BA17" s="5">
        <f>IF($E$14="Crecimiento",$R17,0)</f>
        <v>0</v>
      </c>
      <c r="BB17" s="5">
        <f>IF($E14="Siembra",'6'!$R$7,0)</f>
        <v>0</v>
      </c>
      <c r="BC17" s="5">
        <f>IF($E14="Abandono",'6'!$R$7,0)</f>
        <v>0</v>
      </c>
      <c r="BD17" s="5">
        <f>IF($F$14="Producción",IF($F17&gt;=LI_A,$S17,0),0)</f>
        <v>0</v>
      </c>
      <c r="BE17" s="5">
        <f>IF($F$14="Producción",IF($F17&gt;=LI_B,IF($F17&lt;LS_B,$S17,0),0),0)</f>
        <v>0</v>
      </c>
      <c r="BF17" s="5">
        <f>IF($F$14="Producción",IF($F17&gt;=LI_C,IF($F17&lt;LS_C,$S17,0),0),0)</f>
        <v>0</v>
      </c>
      <c r="BG17" s="5">
        <f>IF($F$14="Producción",IF($F17&lt;LS_D,$S17,0),0)</f>
        <v>0</v>
      </c>
      <c r="BH17" s="5">
        <f>IF($F$14="Crecimiento",$S17,0)</f>
        <v>0</v>
      </c>
      <c r="BI17" s="5">
        <f>IF($F14="Siembra",'6'!$S$7,0)</f>
        <v>0</v>
      </c>
      <c r="BJ17" s="5">
        <f>IF($F14="Abandono",'6'!$S$7,0)</f>
        <v>0</v>
      </c>
      <c r="BK17" s="5">
        <f>IF($G$14="Producción",IF($G17&gt;=LI_A,$T17,0),0)</f>
        <v>0</v>
      </c>
      <c r="BL17" s="5">
        <f>IF($G$14="Producción",IF($G17&gt;=LI_B,IF($G17&lt;LS_B,$T17,0),0),0)</f>
        <v>0</v>
      </c>
      <c r="BM17" s="5">
        <f>IF($G$14="Producción",IF($G17&gt;=LI_C,IF($G17&lt;LS_C,$T17,0),0),0)</f>
        <v>0</v>
      </c>
      <c r="BN17" s="5">
        <f>IF($G$14="Producción",IF($G17&lt;LS_D,$T17,0),0)</f>
        <v>0</v>
      </c>
      <c r="BO17" s="5">
        <f>IF($G$14="Crecimiento",$T17,0)</f>
        <v>0</v>
      </c>
      <c r="BP17" s="5">
        <f>IF($G14="Siembra",'6'!$T$7,0)</f>
        <v>0</v>
      </c>
      <c r="BQ17" s="5">
        <f>IF($G14="Abandono",'6'!$T$7,0)</f>
        <v>0</v>
      </c>
      <c r="BR17" s="5">
        <f>IF($H$14="Producción",IF($H17&gt;=LI_A,$U17,0),0)</f>
        <v>0</v>
      </c>
      <c r="BS17" s="5">
        <f>IF($H$14="Producción",IF($H17&gt;=LI_B,IF($H17&lt;LS_B,$U17,0),0),0)</f>
        <v>0</v>
      </c>
      <c r="BT17" s="5">
        <f>IF($H$14="Producción",IF($H17&gt;=LI_C,IF($H17&lt;LS_C,$U17,0),0),0)</f>
        <v>0</v>
      </c>
      <c r="BU17" s="5">
        <f>IF($H$14="Producción",IF($H17&lt;LS_D,$U17,0),0)</f>
        <v>0</v>
      </c>
      <c r="BV17" s="5">
        <f>IF($H$14="Crecimiento",$T17,0)</f>
        <v>0</v>
      </c>
      <c r="BW17" s="5">
        <f>IF($H14="Siembra",'6'!$U$7,0)</f>
        <v>0</v>
      </c>
      <c r="BX17" s="5">
        <f>IF($H14="Abandono",'6'!$U$7,0)</f>
        <v>0</v>
      </c>
      <c r="BY17" s="5">
        <f>IF($I$14="Producción",IF($I17&gt;=LI_A,$V17,0),0)</f>
        <v>0</v>
      </c>
      <c r="BZ17" s="5">
        <f>IF($I$14="Producción",IF($I17&gt;=LI_B,IF($I17&lt;LS_B,$V17,0),0),0)</f>
        <v>0</v>
      </c>
      <c r="CA17" s="5">
        <f>IF($I$14="Producción",IF($I17&gt;=LI_C,IF($I17&lt;LS_C,$V17,0),0),0)</f>
        <v>0</v>
      </c>
      <c r="CB17" s="5">
        <f>IF($I$14="Producción",IF($I17&lt;LS_D,$V17,0),0)</f>
        <v>0</v>
      </c>
      <c r="CC17" s="5">
        <f>IF($I$14="Crecimiento",$V17,0)</f>
        <v>0</v>
      </c>
      <c r="CD17" s="5">
        <f>IF($I14="Siembra",'6'!$V$7,0)</f>
        <v>0</v>
      </c>
      <c r="CE17" s="5">
        <f>IF($I14="Abandono",'6'!$V$7,0)</f>
        <v>0</v>
      </c>
      <c r="CF17" s="5">
        <f>IF($J$14="Producción",IF($J17&gt;=LI_A,$W17,0),0)</f>
        <v>0</v>
      </c>
      <c r="CG17" s="5">
        <f>IF($J$14="Producción",IF($J17&gt;=LI_B,IF($J17&lt;LS_B,$W17,0),0),0)</f>
        <v>0</v>
      </c>
      <c r="CH17" s="5">
        <f>IF($J$14="Producción",IF($J17&gt;=LI_C,IF($J17&lt;LS_C,$W17,0),0),0)</f>
        <v>0</v>
      </c>
      <c r="CI17" s="5">
        <f>IF($J$14="Producción",IF($J17&lt;LS_D,$W17,0),0)</f>
        <v>0</v>
      </c>
      <c r="CJ17" s="5">
        <f>IF($J$14="Crecimiento",$W17,0)</f>
        <v>0</v>
      </c>
      <c r="CK17" s="5">
        <f>IF($J14="Siembra",'6'!$W$7,0)</f>
        <v>0</v>
      </c>
      <c r="CL17" s="5">
        <f>IF($J14="Abandono",'6'!$W$7,0)</f>
        <v>0</v>
      </c>
      <c r="CM17" s="5">
        <f>IF($K$14="Producción",IF($K17&gt;=LI_A,$X17,0),0)</f>
        <v>0</v>
      </c>
      <c r="CN17" s="5">
        <f>IF($K$14="Producción",IF($K17&gt;=LI_B,IF($K17&lt;LS_B,$X17,0),0),0)</f>
        <v>0</v>
      </c>
      <c r="CO17" s="5">
        <f>IF($K$14="Producción",IF($K17&gt;=LI_C,IF($K17&lt;LS_C,$X17,0),0),0)</f>
        <v>0</v>
      </c>
      <c r="CP17" s="5">
        <f>IF($K$14="Producción",IF($K17&lt;LS_D,$X17,0),0)</f>
        <v>0</v>
      </c>
      <c r="CQ17" s="5">
        <f>IF($K$14="Crecimiento",$X17,0)</f>
        <v>0</v>
      </c>
      <c r="CR17" s="5">
        <f>IF($K14="Siembra",'6'!$X$7,0)</f>
        <v>0</v>
      </c>
      <c r="CS17" s="5">
        <f>IF($K14="Abandono",'6'!$X$7,0)</f>
        <v>0</v>
      </c>
      <c r="CT17" s="5">
        <f>IF($L$14="Producción",IF($L17&gt;=LI_A,$Y17,0),0)</f>
        <v>0</v>
      </c>
      <c r="CU17" s="5">
        <f>IF($L$14="Producción",IF($L17&gt;=LI_B,IF($L17&lt;LS_B,$Y17,0),0),0)</f>
        <v>0</v>
      </c>
      <c r="CV17" s="5">
        <f>IF($L$14="Producción",IF($L17&gt;=LI_C,IF($L17&lt;LS_C,$Y17,0),0),0)</f>
        <v>0</v>
      </c>
      <c r="CW17" s="5">
        <f>IF($L$14="Producción",IF($L17&lt;LS_D,$Y17,0),0)</f>
        <v>0</v>
      </c>
      <c r="CX17" s="5">
        <f>IF($L$14="Crecimiento",$Y17,0)</f>
        <v>0</v>
      </c>
      <c r="CY17" s="5">
        <f>IF($L14="Siembra",'6'!$Y$7,0)</f>
        <v>0</v>
      </c>
      <c r="CZ17" s="5">
        <f>IF($L14="Abandono",'6'!$Y$7,0)</f>
        <v>0</v>
      </c>
      <c r="DA17" s="5">
        <f>IF($M$14="Producción",IF($M17&gt;=LI_A,$Z17,0),0)</f>
        <v>0</v>
      </c>
      <c r="DB17" s="5">
        <f>IF($M$14="Producción",IF($M17&gt;=LI_B,IF($M17&lt;LS_B,$Z17,0),0),0)</f>
        <v>0</v>
      </c>
      <c r="DC17" s="5">
        <f>IF($M$14="Producción",IF($M17&gt;=LI_C,IF($M17&lt;LS_C,$Z17,0),0),0)</f>
        <v>0</v>
      </c>
      <c r="DD17" s="5">
        <f>IF($M$14="Producción",IF($M17&lt;LS_D,$Z17,0),0)</f>
        <v>0</v>
      </c>
      <c r="DE17" s="5">
        <f>IF($M$14="Crecimiento",$Z17,0)</f>
        <v>0</v>
      </c>
      <c r="DF17" s="5">
        <f>IF($M14="Siembra",'6'!$Z$7,0)</f>
        <v>0</v>
      </c>
      <c r="DG17" s="5">
        <f>IF($M14="Abandono",'6'!$Z$7,0)</f>
        <v>0</v>
      </c>
      <c r="DI17" s="5">
        <f t="shared" ref="DI17:DI21" si="67">AB17*$B17</f>
        <v>0</v>
      </c>
      <c r="DJ17" s="5">
        <f t="shared" ref="DJ17:DJ21" si="68">AC17*$B17</f>
        <v>0</v>
      </c>
      <c r="DK17" s="5">
        <f t="shared" ref="DK17:DK21" si="69">AD17*$B17</f>
        <v>0</v>
      </c>
      <c r="DL17" s="5">
        <f t="shared" ref="DL17:DL21" si="70">AE17*$B17</f>
        <v>0</v>
      </c>
      <c r="DM17" s="5">
        <f t="shared" ref="DM17:DM21" si="71">AF17*$B17</f>
        <v>0</v>
      </c>
      <c r="DN17" s="5">
        <f t="shared" ref="DN17:DN21" si="72">AI17*$C17</f>
        <v>0</v>
      </c>
      <c r="DO17" s="5">
        <f t="shared" ref="DO17:DO21" si="73">AJ17*$C17</f>
        <v>0</v>
      </c>
      <c r="DP17" s="5">
        <f t="shared" ref="DP17:DP21" si="74">AK17*$C17</f>
        <v>0</v>
      </c>
      <c r="DQ17" s="5">
        <f t="shared" ref="DQ17:DQ21" si="75">AL17*$C17</f>
        <v>0</v>
      </c>
      <c r="DR17" s="5">
        <f t="shared" ref="DR17:DR21" si="76">AM17*$C17</f>
        <v>0</v>
      </c>
      <c r="DS17" s="5">
        <f t="shared" ref="DS17:DS21" si="77">AP17*$D17</f>
        <v>0</v>
      </c>
      <c r="DT17" s="5">
        <f t="shared" ref="DT17:DT21" si="78">AQ17*$D17</f>
        <v>0</v>
      </c>
      <c r="DU17" s="5">
        <f t="shared" ref="DU17:DU21" si="79">AR17*$D17</f>
        <v>0</v>
      </c>
      <c r="DV17" s="5">
        <f t="shared" ref="DV17:DV21" si="80">AS17*$D17</f>
        <v>0</v>
      </c>
      <c r="DW17" s="5">
        <f t="shared" ref="DW17:DW21" si="81">AT17*$D17</f>
        <v>0</v>
      </c>
      <c r="DX17" s="5">
        <f t="shared" ref="DX17:DX21" si="82">AW17*$E17</f>
        <v>0</v>
      </c>
      <c r="DY17" s="5">
        <f t="shared" ref="DY17:DY21" si="83">AX17*$E17</f>
        <v>0</v>
      </c>
      <c r="DZ17" s="5">
        <f t="shared" ref="DZ17:DZ21" si="84">AY17*$E17</f>
        <v>0</v>
      </c>
      <c r="EA17" s="5">
        <f t="shared" ref="EA17:EA21" si="85">AZ17*$E17</f>
        <v>0</v>
      </c>
      <c r="EB17" s="5">
        <f t="shared" ref="EB17:EB21" si="86">BA17*$E17</f>
        <v>0</v>
      </c>
      <c r="EC17" s="5">
        <f t="shared" ref="EC17:EC21" si="87">BD17*$F17</f>
        <v>0</v>
      </c>
      <c r="ED17" s="5">
        <f t="shared" ref="ED17:ED21" si="88">BE17*$F17</f>
        <v>0</v>
      </c>
      <c r="EE17" s="5">
        <f t="shared" ref="EE17:EE21" si="89">BF17*$F17</f>
        <v>0</v>
      </c>
      <c r="EF17" s="5">
        <f t="shared" ref="EF17:EF21" si="90">BG17*$F17</f>
        <v>0</v>
      </c>
      <c r="EG17" s="5">
        <f t="shared" ref="EG17:EG21" si="91">BH17*$F17</f>
        <v>0</v>
      </c>
      <c r="EH17" s="5">
        <f t="shared" ref="EH17:EH21" si="92">BK17*$G17</f>
        <v>0</v>
      </c>
      <c r="EI17" s="5">
        <f t="shared" ref="EI17:EI21" si="93">BL17*$G17</f>
        <v>0</v>
      </c>
      <c r="EJ17" s="5">
        <f t="shared" ref="EJ17:EJ21" si="94">BM17*$G17</f>
        <v>0</v>
      </c>
      <c r="EK17" s="5">
        <f t="shared" ref="EK17:EK21" si="95">BN17*$G17</f>
        <v>0</v>
      </c>
      <c r="EL17" s="5">
        <f t="shared" ref="EL17:EL21" si="96">BO17*$G17</f>
        <v>0</v>
      </c>
      <c r="EM17" s="5">
        <f t="shared" ref="EM17:EM21" si="97">BR17*$H17</f>
        <v>0</v>
      </c>
      <c r="EN17" s="5">
        <f t="shared" ref="EN17:EN21" si="98">BS17*$H17</f>
        <v>0</v>
      </c>
      <c r="EO17" s="5">
        <f t="shared" ref="EO17:EO21" si="99">BT17*$H17</f>
        <v>0</v>
      </c>
      <c r="EP17" s="5">
        <f t="shared" ref="EP17:EP21" si="100">BU17*$H17</f>
        <v>0</v>
      </c>
      <c r="EQ17" s="5">
        <f t="shared" ref="EQ17:EQ21" si="101">BV17*$H17</f>
        <v>0</v>
      </c>
      <c r="ER17" s="5">
        <f t="shared" ref="ER17:ER21" si="102">BY17*$I17</f>
        <v>0</v>
      </c>
      <c r="ES17" s="5">
        <f t="shared" ref="ES17:ES21" si="103">BZ17*$I17</f>
        <v>0</v>
      </c>
      <c r="ET17" s="5">
        <f t="shared" ref="ET17:ET21" si="104">CA17*$I17</f>
        <v>0</v>
      </c>
      <c r="EU17" s="5">
        <f t="shared" ref="EU17:EU21" si="105">CB17*$I17</f>
        <v>0</v>
      </c>
      <c r="EV17" s="5">
        <f t="shared" ref="EV17:EV21" si="106">CC17*$I17</f>
        <v>0</v>
      </c>
      <c r="EW17" s="5">
        <f t="shared" ref="EW17:EW21" si="107">CF17*$J17</f>
        <v>0</v>
      </c>
      <c r="EX17" s="5">
        <f t="shared" ref="EX17:EX21" si="108">CG17*$J17</f>
        <v>0</v>
      </c>
      <c r="EY17" s="5">
        <f t="shared" ref="EY17:EY21" si="109">CH17*$J17</f>
        <v>0</v>
      </c>
      <c r="EZ17" s="5">
        <f t="shared" ref="EZ17:EZ21" si="110">CI17*$J17</f>
        <v>0</v>
      </c>
      <c r="FA17" s="5">
        <f t="shared" ref="FA17:FA21" si="111">CJ17*$J17</f>
        <v>0</v>
      </c>
      <c r="FB17" s="5">
        <f t="shared" ref="FB17:FB21" si="112">CM17*$K17</f>
        <v>0</v>
      </c>
      <c r="FC17" s="5">
        <f t="shared" ref="FC17:FC21" si="113">CN17*$K17</f>
        <v>0</v>
      </c>
      <c r="FD17" s="5">
        <f t="shared" ref="FD17:FD21" si="114">CO17*$K17</f>
        <v>0</v>
      </c>
      <c r="FE17" s="5">
        <f t="shared" ref="FE17:FE21" si="115">CP17*$K17</f>
        <v>0</v>
      </c>
      <c r="FF17" s="5">
        <f t="shared" ref="FF17:FF21" si="116">CQ17*$K17</f>
        <v>0</v>
      </c>
      <c r="FG17" s="5">
        <f t="shared" ref="FG17:FG21" si="117">CT17*$L17</f>
        <v>0</v>
      </c>
      <c r="FH17" s="5">
        <f t="shared" ref="FH17:FH21" si="118">CU17*$L17</f>
        <v>0</v>
      </c>
      <c r="FI17" s="5">
        <f t="shared" ref="FI17:FI21" si="119">CV17*$L17</f>
        <v>0</v>
      </c>
      <c r="FJ17" s="5">
        <f t="shared" ref="FJ17:FJ21" si="120">CW17*$L17</f>
        <v>0</v>
      </c>
      <c r="FK17" s="5">
        <f t="shared" ref="FK17:FK21" si="121">CX17*$L17</f>
        <v>0</v>
      </c>
      <c r="FL17" s="5">
        <f t="shared" ref="FL17:FL21" si="122">DA17*$M17</f>
        <v>0</v>
      </c>
      <c r="FM17" s="5">
        <f t="shared" ref="FM17:FM21" si="123">DB17*$M17</f>
        <v>0</v>
      </c>
      <c r="FN17" s="5">
        <f t="shared" ref="FN17:FN21" si="124">DC17*$M17</f>
        <v>0</v>
      </c>
      <c r="FO17" s="5">
        <f t="shared" ref="FO17:FO21" si="125">DD17*$M17</f>
        <v>0</v>
      </c>
      <c r="FP17" s="5">
        <f t="shared" ref="FP17:FP21" si="126">DE17*$M17</f>
        <v>0</v>
      </c>
    </row>
    <row r="18" spans="1:172" ht="20.100000000000001" customHeight="1" x14ac:dyDescent="0.3">
      <c r="A18" s="8" t="s">
        <v>303</v>
      </c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O18" s="58">
        <f>IFERROR('6'!O$11/Ciclo,0)</f>
        <v>0</v>
      </c>
      <c r="P18" s="58">
        <f>IFERROR('6'!P$11/Ciclo,0)</f>
        <v>0</v>
      </c>
      <c r="Q18" s="58">
        <f>IFERROR('6'!Q$11/Ciclo,0)</f>
        <v>0</v>
      </c>
      <c r="R18" s="58">
        <f>IFERROR('6'!R$11/Ciclo,0)</f>
        <v>0</v>
      </c>
      <c r="S18" s="58">
        <f>IFERROR('6'!S$11/Ciclo,0)</f>
        <v>0</v>
      </c>
      <c r="T18" s="58">
        <f>IFERROR('6'!T$11/Ciclo,0)</f>
        <v>0</v>
      </c>
      <c r="U18" s="58">
        <f>IFERROR('6'!U$11/Ciclo,0)</f>
        <v>0</v>
      </c>
      <c r="V18" s="58">
        <f>IFERROR('6'!V$11/Ciclo,0)</f>
        <v>0</v>
      </c>
      <c r="W18" s="5">
        <f>IFERROR('6'!W$11/Ciclo,0)</f>
        <v>0</v>
      </c>
      <c r="X18" s="5">
        <f>IFERROR('6'!X$11/Ciclo,0)</f>
        <v>0</v>
      </c>
      <c r="Y18" s="5">
        <f>IFERROR('6'!Y$11/Ciclo,0)</f>
        <v>0</v>
      </c>
      <c r="Z18" s="5">
        <f>IFERROR('6'!Z$11/Ciclo,0)</f>
        <v>0</v>
      </c>
      <c r="AB18" s="5">
        <f>IF($B$14="Producción",IF($B18&gt;=LI_A,$O18,0),0)</f>
        <v>0</v>
      </c>
      <c r="AC18" s="5">
        <f>IF($B$14="Producción",IF($B18&gt;=LI_B,IF($B18&lt;LS_B,$O18,0),0),0)</f>
        <v>0</v>
      </c>
      <c r="AD18" s="5">
        <f>IF($B$14="Producción",IF($B18&gt;=LI_C,IF($B18&lt;LS_C,$O18,0),0),0)</f>
        <v>0</v>
      </c>
      <c r="AE18" s="5">
        <f>IF($B$14="Producción",IF($B18&lt;LS_D,$O18,0),0)</f>
        <v>0</v>
      </c>
      <c r="AF18" s="5">
        <f t="shared" ref="AF18:AF21" si="127">IF($B$14="Crecimiento",$O18,0)</f>
        <v>0</v>
      </c>
      <c r="AI18" s="5">
        <f>IF($C$14="Producción",IF($C18&gt;=LI_A,$P18,0),0)</f>
        <v>0</v>
      </c>
      <c r="AJ18" s="5">
        <f>IF($C$14="Producción",IF($C18&gt;=LI_B,IF($C18&lt;LS_B,$P18,0),0),0)</f>
        <v>0</v>
      </c>
      <c r="AK18" s="5">
        <f>IF($C$14="Producción",IF($C18&gt;=LI_C,IF($C18&lt;LS_C,$P18,0),0),0)</f>
        <v>0</v>
      </c>
      <c r="AL18" s="5">
        <f>IF($C$14="Producción",IF($C18&lt;LS_D,$P18,0),0)</f>
        <v>0</v>
      </c>
      <c r="AM18" s="5">
        <f>IF($C$14="Crecimiento",$P18,0)</f>
        <v>0</v>
      </c>
      <c r="AP18" s="5">
        <f>IF($D$10="Producción",IF($D18&gt;=LI_A,$Q18,0),0)</f>
        <v>0</v>
      </c>
      <c r="AQ18" s="5">
        <f>IF($D$10="Producción",IF($D18&gt;=LI_B,IF($D18&lt;LS_B,$Q18,0),0),0)</f>
        <v>0</v>
      </c>
      <c r="AR18" s="5">
        <f>IF($D$14="Producción",IF($D18&gt;=LI_C,IF($D18&lt;LS_C,$Q18,0),0),0)</f>
        <v>0</v>
      </c>
      <c r="AS18" s="5">
        <f>IF($D$14="Producción",IF($D18&lt;LS_D,$Q18,0),0)</f>
        <v>0</v>
      </c>
      <c r="AT18" s="5">
        <f>IF($D11="Crecimiento",IF($D18&gt;0,$Q18,0),0)</f>
        <v>0</v>
      </c>
      <c r="AW18" s="5">
        <f>IF($E$10="Producción",IF($E18&gt;=LI_A,$R18,0),0)</f>
        <v>0</v>
      </c>
      <c r="AX18" s="5">
        <f>IF($E$10="Producción",IF($E18&gt;=LI_B,IF($E18&lt;LS_B,$R18,0),0),0)</f>
        <v>0</v>
      </c>
      <c r="AY18" s="5">
        <f>IF($E$14="Producción",IF($E18&gt;=LI_C,IF($E18&lt;LS_C,$R18,0),0),0)</f>
        <v>0</v>
      </c>
      <c r="AZ18" s="5">
        <f>IF($E$14="Producción",IF($E18&lt;LS_D,$R18,0),0)</f>
        <v>0</v>
      </c>
      <c r="BA18" s="5">
        <f>IF($E$14="Crecimiento",$R18,0)</f>
        <v>0</v>
      </c>
      <c r="BD18" s="5">
        <f>IF($F$10="Producción",IF($F18&gt;=LI_A,$S18,0),0)</f>
        <v>0</v>
      </c>
      <c r="BE18" s="5">
        <f>IF($F$10="Producción",IF($F18&gt;=LI_B,IF($F18&lt;LS_B,$S18,0),0),0)</f>
        <v>0</v>
      </c>
      <c r="BF18" s="5">
        <f>IF($F$14="Producción",IF($F18&gt;=LI_C,IF($F18&lt;LS_C,$S18,0),0),0)</f>
        <v>0</v>
      </c>
      <c r="BG18" s="5">
        <f>IF($F$14="Producción",IF($F18&lt;LS_D,$S18,0),0)</f>
        <v>0</v>
      </c>
      <c r="BH18" s="5">
        <f>IF($F$14="Crecimiento",$S18,0)</f>
        <v>0</v>
      </c>
      <c r="BK18" s="5">
        <f>IF($G$10="Producción",IF($G18&gt;=LI_A,$T18,0),0)</f>
        <v>0</v>
      </c>
      <c r="BL18" s="5">
        <f>IF($G$10="Producción",IF($G18&gt;=LI_B,IF($G18&lt;LS_B,$T18,0),0),0)</f>
        <v>0</v>
      </c>
      <c r="BM18" s="5">
        <f>IF($G$14="Producción",IF($G18&gt;=LI_C,IF($G18&lt;LS_C,$T18,0),0),0)</f>
        <v>0</v>
      </c>
      <c r="BN18" s="5">
        <f>IF($G$14="Producción",IF($G18&lt;LS_D,$T18,0),0)</f>
        <v>0</v>
      </c>
      <c r="BO18" s="5">
        <f>IF($G$14="Crecimiento",$T18,0)</f>
        <v>0</v>
      </c>
      <c r="BR18" s="5">
        <f>IF($H$10="Producción",IF($H18&gt;=LI_A,$U18,0),0)</f>
        <v>0</v>
      </c>
      <c r="BS18" s="5">
        <f>IF($H$10="Producción",IF($H18&gt;=LI_B,IF($H18&lt;LS_B,$U18,0),0),0)</f>
        <v>0</v>
      </c>
      <c r="BT18" s="5">
        <f>IF($H$14="Producción",IF($H18&gt;=LI_C,IF($H18&lt;LS_C,$U18,0),0),0)</f>
        <v>0</v>
      </c>
      <c r="BU18" s="5">
        <f>IF($H$14="Producción",IF($H18&lt;LS_D,$U18,0),0)</f>
        <v>0</v>
      </c>
      <c r="BV18" s="5">
        <f>IF($H$14="Crecimiento",$T18,0)</f>
        <v>0</v>
      </c>
      <c r="BY18" s="5">
        <f>IF($I$10="Producción",IF($I18&gt;=LI_A,$V18,0),0)</f>
        <v>0</v>
      </c>
      <c r="BZ18" s="5">
        <f>IF($I$10="Producción",IF($I18&gt;=LI_B,IF($I18&lt;LS_B,$V18,0),0),0)</f>
        <v>0</v>
      </c>
      <c r="CA18" s="5">
        <f>IF($I$14="Producción",IF($I18&gt;=LI_C,IF($I18&lt;LS_C,$V18,0),0),0)</f>
        <v>0</v>
      </c>
      <c r="CB18" s="5">
        <f>IF($I$14="Producción",IF($I18&lt;LS_D,$V18,0),0)</f>
        <v>0</v>
      </c>
      <c r="CC18" s="5">
        <f>IF($I$14="Crecimiento",$V18,0)</f>
        <v>0</v>
      </c>
      <c r="CF18" s="5">
        <f>IF($J$10="Producción",IF($J18&gt;=LI_A,$W18,0),0)</f>
        <v>0</v>
      </c>
      <c r="CG18" s="5">
        <f>IF($J$10="Producción",IF($J18&gt;=LI_B,IF($J18&lt;LS_B,$W18,0),0),0)</f>
        <v>0</v>
      </c>
      <c r="CH18" s="5">
        <f>IF($J$14="Producción",IF($J18&gt;=LI_C,IF($J18&lt;LS_C,$W18,0),0),0)</f>
        <v>0</v>
      </c>
      <c r="CI18" s="5">
        <f>IF($J$14="Producción",IF($J18&lt;LS_D,$W18,0),0)</f>
        <v>0</v>
      </c>
      <c r="CJ18" s="5">
        <f>IF($J$14="Crecimiento",$W18,0)</f>
        <v>0</v>
      </c>
      <c r="CM18" s="5">
        <f>IF($K$10="Producción",IF($K18&gt;=LI_A,$X18,0),0)</f>
        <v>0</v>
      </c>
      <c r="CN18" s="5">
        <f>IF($K$10="Producción",IF($K18&gt;=LI_B,IF($K18&lt;LS_B,$X18,0),0),0)</f>
        <v>0</v>
      </c>
      <c r="CO18" s="5">
        <f>IF($K$14="Producción",IF($K18&gt;=LI_C,IF($K18&lt;LS_C,$X18,0),0),0)</f>
        <v>0</v>
      </c>
      <c r="CP18" s="5">
        <f>IF($K$14="Producción",IF($K18&lt;LS_D,$X18,0),0)</f>
        <v>0</v>
      </c>
      <c r="CQ18" s="5">
        <f>IF($K$14="Crecimiento",$X18,0)</f>
        <v>0</v>
      </c>
      <c r="CT18" s="5">
        <f>IF($L$10="Producción",IF($L18&gt;=LI_A,$Y18,0),0)</f>
        <v>0</v>
      </c>
      <c r="CU18" s="5">
        <f>IF($L$10="Producción",IF($L18&gt;=LI_B,IF($L18&lt;LS_B,$Y18,0),0),0)</f>
        <v>0</v>
      </c>
      <c r="CV18" s="5">
        <f>IF($L$14="Producción",IF($L18&gt;=LI_C,IF($L18&lt;LS_C,$Y18,0),0),0)</f>
        <v>0</v>
      </c>
      <c r="CW18" s="5">
        <f>IF($L$14="Producción",IF($L18&lt;LS_D,$Y18,0),0)</f>
        <v>0</v>
      </c>
      <c r="CX18" s="5">
        <f>IF($L$14="Crecimiento",$Y18,0)</f>
        <v>0</v>
      </c>
      <c r="DA18" s="5">
        <f>IF($M$10="Producción",IF($M18&gt;=LI_A,$Z18,0),0)</f>
        <v>0</v>
      </c>
      <c r="DB18" s="5">
        <f>IF($M$10="Producción",IF($M18&gt;=LI_B,IF($M18&lt;LS_B,$Z18,0),0),0)</f>
        <v>0</v>
      </c>
      <c r="DC18" s="5">
        <f>IF($M$14="Producción",IF($M18&gt;=LI_C,IF($M18&lt;LS_C,$Z18,0),0),0)</f>
        <v>0</v>
      </c>
      <c r="DD18" s="5">
        <f>IF($M$14="Producción",IF($M18&lt;LS_D,$Z18,0),0)</f>
        <v>0</v>
      </c>
      <c r="DE18" s="5">
        <f>IF($M$14="Crecimiento",$Z18,0)</f>
        <v>0</v>
      </c>
      <c r="DI18" s="5">
        <f t="shared" si="67"/>
        <v>0</v>
      </c>
      <c r="DJ18" s="5">
        <f t="shared" si="68"/>
        <v>0</v>
      </c>
      <c r="DK18" s="5">
        <f t="shared" si="69"/>
        <v>0</v>
      </c>
      <c r="DL18" s="5">
        <f t="shared" si="70"/>
        <v>0</v>
      </c>
      <c r="DM18" s="5">
        <f t="shared" si="71"/>
        <v>0</v>
      </c>
      <c r="DN18" s="5">
        <f t="shared" si="72"/>
        <v>0</v>
      </c>
      <c r="DO18" s="5">
        <f t="shared" si="73"/>
        <v>0</v>
      </c>
      <c r="DP18" s="5">
        <f t="shared" si="74"/>
        <v>0</v>
      </c>
      <c r="DQ18" s="5">
        <f t="shared" si="75"/>
        <v>0</v>
      </c>
      <c r="DR18" s="5">
        <f t="shared" si="76"/>
        <v>0</v>
      </c>
      <c r="DS18" s="5">
        <f t="shared" si="77"/>
        <v>0</v>
      </c>
      <c r="DT18" s="5">
        <f t="shared" si="78"/>
        <v>0</v>
      </c>
      <c r="DU18" s="5">
        <f t="shared" si="79"/>
        <v>0</v>
      </c>
      <c r="DV18" s="5">
        <f t="shared" si="80"/>
        <v>0</v>
      </c>
      <c r="DW18" s="5">
        <f t="shared" si="81"/>
        <v>0</v>
      </c>
      <c r="DX18" s="5">
        <f t="shared" si="82"/>
        <v>0</v>
      </c>
      <c r="DY18" s="5">
        <f t="shared" si="83"/>
        <v>0</v>
      </c>
      <c r="DZ18" s="5">
        <f t="shared" si="84"/>
        <v>0</v>
      </c>
      <c r="EA18" s="5">
        <f t="shared" si="85"/>
        <v>0</v>
      </c>
      <c r="EB18" s="5">
        <f t="shared" si="86"/>
        <v>0</v>
      </c>
      <c r="EC18" s="5">
        <f t="shared" si="87"/>
        <v>0</v>
      </c>
      <c r="ED18" s="5">
        <f t="shared" si="88"/>
        <v>0</v>
      </c>
      <c r="EE18" s="5">
        <f t="shared" si="89"/>
        <v>0</v>
      </c>
      <c r="EF18" s="5">
        <f t="shared" si="90"/>
        <v>0</v>
      </c>
      <c r="EG18" s="5">
        <f t="shared" si="91"/>
        <v>0</v>
      </c>
      <c r="EH18" s="5">
        <f t="shared" si="92"/>
        <v>0</v>
      </c>
      <c r="EI18" s="5">
        <f t="shared" si="93"/>
        <v>0</v>
      </c>
      <c r="EJ18" s="5">
        <f t="shared" si="94"/>
        <v>0</v>
      </c>
      <c r="EK18" s="5">
        <f t="shared" si="95"/>
        <v>0</v>
      </c>
      <c r="EL18" s="5">
        <f t="shared" si="96"/>
        <v>0</v>
      </c>
      <c r="EM18" s="5">
        <f t="shared" si="97"/>
        <v>0</v>
      </c>
      <c r="EN18" s="5">
        <f t="shared" si="98"/>
        <v>0</v>
      </c>
      <c r="EO18" s="5">
        <f t="shared" si="99"/>
        <v>0</v>
      </c>
      <c r="EP18" s="5">
        <f t="shared" si="100"/>
        <v>0</v>
      </c>
      <c r="EQ18" s="5">
        <f t="shared" si="101"/>
        <v>0</v>
      </c>
      <c r="ER18" s="5">
        <f t="shared" si="102"/>
        <v>0</v>
      </c>
      <c r="ES18" s="5">
        <f t="shared" si="103"/>
        <v>0</v>
      </c>
      <c r="ET18" s="5">
        <f t="shared" si="104"/>
        <v>0</v>
      </c>
      <c r="EU18" s="5">
        <f t="shared" si="105"/>
        <v>0</v>
      </c>
      <c r="EV18" s="5">
        <f t="shared" si="106"/>
        <v>0</v>
      </c>
      <c r="EW18" s="5">
        <f t="shared" si="107"/>
        <v>0</v>
      </c>
      <c r="EX18" s="5">
        <f t="shared" si="108"/>
        <v>0</v>
      </c>
      <c r="EY18" s="5">
        <f t="shared" si="109"/>
        <v>0</v>
      </c>
      <c r="EZ18" s="5">
        <f t="shared" si="110"/>
        <v>0</v>
      </c>
      <c r="FA18" s="5">
        <f t="shared" si="111"/>
        <v>0</v>
      </c>
      <c r="FB18" s="5">
        <f t="shared" si="112"/>
        <v>0</v>
      </c>
      <c r="FC18" s="5">
        <f t="shared" si="113"/>
        <v>0</v>
      </c>
      <c r="FD18" s="5">
        <f t="shared" si="114"/>
        <v>0</v>
      </c>
      <c r="FE18" s="5">
        <f t="shared" si="115"/>
        <v>0</v>
      </c>
      <c r="FF18" s="5">
        <f t="shared" si="116"/>
        <v>0</v>
      </c>
      <c r="FG18" s="5">
        <f t="shared" si="117"/>
        <v>0</v>
      </c>
      <c r="FH18" s="5">
        <f t="shared" si="118"/>
        <v>0</v>
      </c>
      <c r="FI18" s="5">
        <f t="shared" si="119"/>
        <v>0</v>
      </c>
      <c r="FJ18" s="5">
        <f t="shared" si="120"/>
        <v>0</v>
      </c>
      <c r="FK18" s="5">
        <f t="shared" si="121"/>
        <v>0</v>
      </c>
      <c r="FL18" s="5">
        <f t="shared" si="122"/>
        <v>0</v>
      </c>
      <c r="FM18" s="5">
        <f t="shared" si="123"/>
        <v>0</v>
      </c>
      <c r="FN18" s="5">
        <f t="shared" si="124"/>
        <v>0</v>
      </c>
      <c r="FO18" s="5">
        <f t="shared" si="125"/>
        <v>0</v>
      </c>
      <c r="FP18" s="5">
        <f t="shared" si="126"/>
        <v>0</v>
      </c>
    </row>
    <row r="19" spans="1:172" ht="20.100000000000001" customHeight="1" x14ac:dyDescent="0.3">
      <c r="A19" s="8" t="str">
        <f>IF(Ciclo&gt;2,"Surco 3","NA")</f>
        <v>Surco 3</v>
      </c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O19" s="58">
        <f>IF($A19="NA",0,IFERROR('6'!O$11/Ciclo,0))</f>
        <v>0</v>
      </c>
      <c r="P19" s="58">
        <f>IF($A19="NA",0,IFERROR('6'!P$11/Ciclo,0))</f>
        <v>0</v>
      </c>
      <c r="Q19" s="58">
        <f>IF($A19="NA",0,IFERROR('6'!Q$11/Ciclo,0))</f>
        <v>0</v>
      </c>
      <c r="R19" s="58">
        <f>IF($A19="NA",0,IFERROR('6'!R$11/Ciclo,0))</f>
        <v>0</v>
      </c>
      <c r="S19" s="58">
        <f>IF($A19="NA",0,IFERROR('6'!S$11/Ciclo,0))</f>
        <v>0</v>
      </c>
      <c r="T19" s="58">
        <f>IF($A19="NA",0,IFERROR('6'!T$11/Ciclo,0))</f>
        <v>0</v>
      </c>
      <c r="U19" s="58">
        <f>IF($A19="NA",0,IFERROR('6'!U$11/Ciclo,0))</f>
        <v>0</v>
      </c>
      <c r="V19" s="58">
        <f>IF($A19="NA",0,IFERROR('6'!V$11/Ciclo,0))</f>
        <v>0</v>
      </c>
      <c r="W19" s="5">
        <f>IF($A19="NA",0,IFERROR('6'!W$11/Ciclo,0))</f>
        <v>0</v>
      </c>
      <c r="X19" s="5">
        <f>IF($A19="NA",0,IFERROR('6'!X$11/Ciclo,0))</f>
        <v>0</v>
      </c>
      <c r="Y19" s="5">
        <f>IF($A19="NA",0,IFERROR('6'!Y$11/Ciclo,0))</f>
        <v>0</v>
      </c>
      <c r="Z19" s="5">
        <f>IF($A19="NA",0,IFERROR('6'!Z$11/Ciclo,0))</f>
        <v>0</v>
      </c>
      <c r="AB19" s="5">
        <f>IF($B$14="Producción",IF($B19&gt;=LI_A,$O19,0),0)</f>
        <v>0</v>
      </c>
      <c r="AC19" s="5">
        <f>IF($B$14="Producción",IF($B19&gt;=LI_B,IF($B19&lt;LS_B,$O19,0),0),0)</f>
        <v>0</v>
      </c>
      <c r="AD19" s="5">
        <f>IF($B$14="Producción",IF($B19&gt;=LI_C,IF($B19&lt;LS_C,$O19,0),0),0)</f>
        <v>0</v>
      </c>
      <c r="AE19" s="5">
        <f>IF($B$14="Producción",IF($B19&lt;LS_D,$O19,0),0)</f>
        <v>0</v>
      </c>
      <c r="AF19" s="5">
        <f t="shared" si="127"/>
        <v>0</v>
      </c>
      <c r="AI19" s="5">
        <f>IF($C$14="Producción",IF($C19&gt;=LI_A,$P19,0),0)</f>
        <v>0</v>
      </c>
      <c r="AJ19" s="5">
        <f>IF($C$14="Producción",IF($C19&gt;=LI_B,IF($C19&lt;LS_B,$P19,0),0),0)</f>
        <v>0</v>
      </c>
      <c r="AK19" s="5">
        <f>IF($C$14="Producción",IF($C19&gt;=LI_C,IF($C19&lt;LS_C,$P19,0),0),0)</f>
        <v>0</v>
      </c>
      <c r="AL19" s="5">
        <f>IF($C$14="Producción",IF($C19&lt;LS_D,$P19,0),0)</f>
        <v>0</v>
      </c>
      <c r="AM19" s="5">
        <f>IF($C$14="Crecimiento",$P19,0)</f>
        <v>0</v>
      </c>
      <c r="AP19" s="5">
        <f>IF($D$10="Producción",IF($D19&gt;=LI_A,$Q19,0),0)</f>
        <v>0</v>
      </c>
      <c r="AQ19" s="5">
        <f>IF($D$10="Producción",IF($D19&gt;=LI_B,IF($D19&lt;LS_B,$Q19,0),0),0)</f>
        <v>0</v>
      </c>
      <c r="AR19" s="5">
        <f>IF($D$14="Producción",IF($D19&gt;=LI_C,IF($D19&lt;LS_C,$Q19,0),0),0)</f>
        <v>0</v>
      </c>
      <c r="AS19" s="5">
        <f>IF($D$14="Producción",IF($D19&lt;LS_D,$Q19,0),0)</f>
        <v>0</v>
      </c>
      <c r="AT19" s="5">
        <f>IF($D12="Crecimiento",IF($D19&gt;0,$Q19,0),0)</f>
        <v>0</v>
      </c>
      <c r="AW19" s="5">
        <f>IF($E$10="Producción",IF($E19&gt;=LI_A,$R19,0),0)</f>
        <v>0</v>
      </c>
      <c r="AX19" s="5">
        <f>IF($E$10="Producción",IF($E19&gt;=LI_B,IF($E19&lt;LS_B,$R19,0),0),0)</f>
        <v>0</v>
      </c>
      <c r="AY19" s="5">
        <f>IF($E$14="Producción",IF($E19&gt;=LI_C,IF($E19&lt;LS_C,$R19,0),0),0)</f>
        <v>0</v>
      </c>
      <c r="AZ19" s="5">
        <f>IF($E$14="Producción",IF($E19&lt;LS_D,$R19,0),0)</f>
        <v>0</v>
      </c>
      <c r="BA19" s="5">
        <f>IF($E$14="Crecimiento",$R19,0)</f>
        <v>0</v>
      </c>
      <c r="BD19" s="5">
        <f>IF($F$10="Producción",IF($F19&gt;=LI_A,$S19,0),0)</f>
        <v>0</v>
      </c>
      <c r="BE19" s="5">
        <f>IF($F$10="Producción",IF($F19&gt;=LI_B,IF($F19&lt;LS_B,$S19,0),0),0)</f>
        <v>0</v>
      </c>
      <c r="BF19" s="5">
        <f>IF($F$14="Producción",IF($F19&gt;=LI_C,IF($F19&lt;LS_C,$S19,0),0),0)</f>
        <v>0</v>
      </c>
      <c r="BG19" s="5">
        <f>IF($F$14="Producción",IF($F19&lt;LS_D,$S19,0),0)</f>
        <v>0</v>
      </c>
      <c r="BH19" s="5">
        <f>IF($F$14="Crecimiento",$S19,0)</f>
        <v>0</v>
      </c>
      <c r="BK19" s="5">
        <f>IF($G$10="Producción",IF($G19&gt;=LI_A,$T19,0),0)</f>
        <v>0</v>
      </c>
      <c r="BL19" s="5">
        <f>IF($G$10="Producción",IF($G19&gt;=LI_B,IF($G19&lt;LS_B,$T19,0),0),0)</f>
        <v>0</v>
      </c>
      <c r="BM19" s="5">
        <f>IF($G$14="Producción",IF($G19&gt;=LI_C,IF($G19&lt;LS_C,$T19,0),0),0)</f>
        <v>0</v>
      </c>
      <c r="BN19" s="5">
        <f>IF($G$14="Producción",IF($G19&lt;LS_D,$T19,0),0)</f>
        <v>0</v>
      </c>
      <c r="BO19" s="5">
        <f>IF($G$14="Crecimiento",$T19,0)</f>
        <v>0</v>
      </c>
      <c r="BR19" s="5">
        <f>IF($H$10="Producción",IF($H19&gt;=LI_A,$U19,0),0)</f>
        <v>0</v>
      </c>
      <c r="BS19" s="5">
        <f>IF($H$10="Producción",IF($H19&gt;=LI_B,IF($H19&lt;LS_B,$U19,0),0),0)</f>
        <v>0</v>
      </c>
      <c r="BT19" s="5">
        <f>IF($H$14="Producción",IF($H19&gt;=LI_C,IF($H19&lt;LS_C,$U19,0),0),0)</f>
        <v>0</v>
      </c>
      <c r="BU19" s="5">
        <f>IF($H$14="Producción",IF($H19&lt;LS_D,$U19,0),0)</f>
        <v>0</v>
      </c>
      <c r="BV19" s="5">
        <f>IF($H$14="Crecimiento",$T19,0)</f>
        <v>0</v>
      </c>
      <c r="BY19" s="5">
        <f>IF($I$10="Producción",IF($I19&gt;=LI_A,$V19,0),0)</f>
        <v>0</v>
      </c>
      <c r="BZ19" s="5">
        <f>IF($I$10="Producción",IF($I19&gt;=LI_B,IF($I19&lt;LS_B,$V19,0),0),0)</f>
        <v>0</v>
      </c>
      <c r="CA19" s="5">
        <f>IF($I$14="Producción",IF($I19&gt;=LI_C,IF($I19&lt;LS_C,$V19,0),0),0)</f>
        <v>0</v>
      </c>
      <c r="CB19" s="5">
        <f>IF($I$14="Producción",IF($I19&lt;LS_D,$V19,0),0)</f>
        <v>0</v>
      </c>
      <c r="CC19" s="5">
        <f>IF($I$14="Crecimiento",$V19,0)</f>
        <v>0</v>
      </c>
      <c r="CF19" s="5">
        <f>IF($J$10="Producción",IF($J19&gt;=LI_A,$W19,0),0)</f>
        <v>0</v>
      </c>
      <c r="CG19" s="5">
        <f>IF($J$10="Producción",IF($J19&gt;=LI_B,IF($J19&lt;LS_B,$W19,0),0),0)</f>
        <v>0</v>
      </c>
      <c r="CH19" s="5">
        <f>IF($J$14="Producción",IF($J19&gt;=LI_C,IF($J19&lt;LS_C,$W19,0),0),0)</f>
        <v>0</v>
      </c>
      <c r="CI19" s="5">
        <f>IF($J$14="Producción",IF($J19&lt;LS_D,$W19,0),0)</f>
        <v>0</v>
      </c>
      <c r="CJ19" s="5">
        <f>IF($J$14="Crecimiento",$W19,0)</f>
        <v>0</v>
      </c>
      <c r="CM19" s="5">
        <f>IF($K$10="Producción",IF($K19&gt;=LI_A,$X19,0),0)</f>
        <v>0</v>
      </c>
      <c r="CN19" s="5">
        <f>IF($K$10="Producción",IF($K19&gt;=LI_B,IF($K19&lt;LS_B,$X19,0),0),0)</f>
        <v>0</v>
      </c>
      <c r="CO19" s="5">
        <f>IF($K$14="Producción",IF($K19&gt;=LI_C,IF($K19&lt;LS_C,$X19,0),0),0)</f>
        <v>0</v>
      </c>
      <c r="CP19" s="5">
        <f>IF($K$14="Producción",IF($K19&lt;LS_D,$X19,0),0)</f>
        <v>0</v>
      </c>
      <c r="CQ19" s="5">
        <f>IF($K$14="Crecimiento",$X19,0)</f>
        <v>0</v>
      </c>
      <c r="CT19" s="5">
        <f>IF($L$10="Producción",IF($L19&gt;=LI_A,$Y19,0),0)</f>
        <v>0</v>
      </c>
      <c r="CU19" s="5">
        <f>IF($L$10="Producción",IF($L19&gt;=LI_B,IF($L19&lt;LS_B,$Y19,0),0),0)</f>
        <v>0</v>
      </c>
      <c r="CV19" s="5">
        <f>IF($L$14="Producción",IF($L19&gt;=LI_C,IF($L19&lt;LS_C,$Y19,0),0),0)</f>
        <v>0</v>
      </c>
      <c r="CW19" s="5">
        <f>IF($L$14="Producción",IF($L19&lt;LS_D,$Y19,0),0)</f>
        <v>0</v>
      </c>
      <c r="CX19" s="5">
        <f>IF($L$14="Crecimiento",$Y19,0)</f>
        <v>0</v>
      </c>
      <c r="DA19" s="5">
        <f>IF($M$10="Producción",IF($M19&gt;=LI_A,$Z19,0),0)</f>
        <v>0</v>
      </c>
      <c r="DB19" s="5">
        <f>IF($M$10="Producción",IF($M19&gt;=LI_B,IF($M19&lt;LS_B,$Z19,0),0),0)</f>
        <v>0</v>
      </c>
      <c r="DC19" s="5">
        <f>IF($M$14="Producción",IF($M19&gt;=LI_C,IF($M19&lt;LS_C,$Z19,0),0),0)</f>
        <v>0</v>
      </c>
      <c r="DD19" s="5">
        <f>IF($M$14="Producción",IF($M19&lt;LS_D,$Z19,0),0)</f>
        <v>0</v>
      </c>
      <c r="DE19" s="5">
        <f>IF($M$14="Crecimiento",$Z19,0)</f>
        <v>0</v>
      </c>
      <c r="DI19" s="5">
        <f t="shared" si="67"/>
        <v>0</v>
      </c>
      <c r="DJ19" s="5">
        <f t="shared" si="68"/>
        <v>0</v>
      </c>
      <c r="DK19" s="5">
        <f t="shared" si="69"/>
        <v>0</v>
      </c>
      <c r="DL19" s="5">
        <f t="shared" si="70"/>
        <v>0</v>
      </c>
      <c r="DM19" s="5">
        <f t="shared" si="71"/>
        <v>0</v>
      </c>
      <c r="DN19" s="5">
        <f t="shared" si="72"/>
        <v>0</v>
      </c>
      <c r="DO19" s="5">
        <f t="shared" si="73"/>
        <v>0</v>
      </c>
      <c r="DP19" s="5">
        <f t="shared" si="74"/>
        <v>0</v>
      </c>
      <c r="DQ19" s="5">
        <f t="shared" si="75"/>
        <v>0</v>
      </c>
      <c r="DR19" s="5">
        <f t="shared" si="76"/>
        <v>0</v>
      </c>
      <c r="DS19" s="5">
        <f t="shared" si="77"/>
        <v>0</v>
      </c>
      <c r="DT19" s="5">
        <f t="shared" si="78"/>
        <v>0</v>
      </c>
      <c r="DU19" s="5">
        <f t="shared" si="79"/>
        <v>0</v>
      </c>
      <c r="DV19" s="5">
        <f t="shared" si="80"/>
        <v>0</v>
      </c>
      <c r="DW19" s="5">
        <f t="shared" si="81"/>
        <v>0</v>
      </c>
      <c r="DX19" s="5">
        <f t="shared" si="82"/>
        <v>0</v>
      </c>
      <c r="DY19" s="5">
        <f t="shared" si="83"/>
        <v>0</v>
      </c>
      <c r="DZ19" s="5">
        <f t="shared" si="84"/>
        <v>0</v>
      </c>
      <c r="EA19" s="5">
        <f t="shared" si="85"/>
        <v>0</v>
      </c>
      <c r="EB19" s="5">
        <f t="shared" si="86"/>
        <v>0</v>
      </c>
      <c r="EC19" s="5">
        <f t="shared" si="87"/>
        <v>0</v>
      </c>
      <c r="ED19" s="5">
        <f t="shared" si="88"/>
        <v>0</v>
      </c>
      <c r="EE19" s="5">
        <f t="shared" si="89"/>
        <v>0</v>
      </c>
      <c r="EF19" s="5">
        <f t="shared" si="90"/>
        <v>0</v>
      </c>
      <c r="EG19" s="5">
        <f t="shared" si="91"/>
        <v>0</v>
      </c>
      <c r="EH19" s="5">
        <f t="shared" si="92"/>
        <v>0</v>
      </c>
      <c r="EI19" s="5">
        <f t="shared" si="93"/>
        <v>0</v>
      </c>
      <c r="EJ19" s="5">
        <f t="shared" si="94"/>
        <v>0</v>
      </c>
      <c r="EK19" s="5">
        <f t="shared" si="95"/>
        <v>0</v>
      </c>
      <c r="EL19" s="5">
        <f t="shared" si="96"/>
        <v>0</v>
      </c>
      <c r="EM19" s="5">
        <f t="shared" si="97"/>
        <v>0</v>
      </c>
      <c r="EN19" s="5">
        <f t="shared" si="98"/>
        <v>0</v>
      </c>
      <c r="EO19" s="5">
        <f t="shared" si="99"/>
        <v>0</v>
      </c>
      <c r="EP19" s="5">
        <f t="shared" si="100"/>
        <v>0</v>
      </c>
      <c r="EQ19" s="5">
        <f t="shared" si="101"/>
        <v>0</v>
      </c>
      <c r="ER19" s="5">
        <f t="shared" si="102"/>
        <v>0</v>
      </c>
      <c r="ES19" s="5">
        <f t="shared" si="103"/>
        <v>0</v>
      </c>
      <c r="ET19" s="5">
        <f t="shared" si="104"/>
        <v>0</v>
      </c>
      <c r="EU19" s="5">
        <f t="shared" si="105"/>
        <v>0</v>
      </c>
      <c r="EV19" s="5">
        <f t="shared" si="106"/>
        <v>0</v>
      </c>
      <c r="EW19" s="5">
        <f t="shared" si="107"/>
        <v>0</v>
      </c>
      <c r="EX19" s="5">
        <f t="shared" si="108"/>
        <v>0</v>
      </c>
      <c r="EY19" s="5">
        <f t="shared" si="109"/>
        <v>0</v>
      </c>
      <c r="EZ19" s="5">
        <f t="shared" si="110"/>
        <v>0</v>
      </c>
      <c r="FA19" s="5">
        <f t="shared" si="111"/>
        <v>0</v>
      </c>
      <c r="FB19" s="5">
        <f t="shared" si="112"/>
        <v>0</v>
      </c>
      <c r="FC19" s="5">
        <f t="shared" si="113"/>
        <v>0</v>
      </c>
      <c r="FD19" s="5">
        <f t="shared" si="114"/>
        <v>0</v>
      </c>
      <c r="FE19" s="5">
        <f t="shared" si="115"/>
        <v>0</v>
      </c>
      <c r="FF19" s="5">
        <f t="shared" si="116"/>
        <v>0</v>
      </c>
      <c r="FG19" s="5">
        <f t="shared" si="117"/>
        <v>0</v>
      </c>
      <c r="FH19" s="5">
        <f t="shared" si="118"/>
        <v>0</v>
      </c>
      <c r="FI19" s="5">
        <f t="shared" si="119"/>
        <v>0</v>
      </c>
      <c r="FJ19" s="5">
        <f t="shared" si="120"/>
        <v>0</v>
      </c>
      <c r="FK19" s="5">
        <f t="shared" si="121"/>
        <v>0</v>
      </c>
      <c r="FL19" s="5">
        <f t="shared" si="122"/>
        <v>0</v>
      </c>
      <c r="FM19" s="5">
        <f t="shared" si="123"/>
        <v>0</v>
      </c>
      <c r="FN19" s="5">
        <f t="shared" si="124"/>
        <v>0</v>
      </c>
      <c r="FO19" s="5">
        <f t="shared" si="125"/>
        <v>0</v>
      </c>
      <c r="FP19" s="5">
        <f t="shared" si="126"/>
        <v>0</v>
      </c>
    </row>
    <row r="20" spans="1:172" ht="20.100000000000001" customHeight="1" x14ac:dyDescent="0.3">
      <c r="A20" s="8" t="str">
        <f>IF(Ciclo=4,"Surco 4",IF(Ciclo=5,"Surco 4","NA"))</f>
        <v>NA</v>
      </c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O20" s="58">
        <f>IF($A20="NA",0,IFERROR('6'!O$11/Ciclo,0))</f>
        <v>0</v>
      </c>
      <c r="P20" s="58">
        <f>IF($A20="NA",0,IFERROR('6'!P$11/Ciclo,0))</f>
        <v>0</v>
      </c>
      <c r="Q20" s="58">
        <f>IF($A20="NA",0,IFERROR('6'!Q$11/Ciclo,0))</f>
        <v>0</v>
      </c>
      <c r="R20" s="58">
        <f>IF($A20="NA",0,IFERROR('6'!R$11/Ciclo,0))</f>
        <v>0</v>
      </c>
      <c r="S20" s="58">
        <f>IF($A20="NA",0,IFERROR('6'!S$11/Ciclo,0))</f>
        <v>0</v>
      </c>
      <c r="T20" s="58">
        <f>IF($A20="NA",0,IFERROR('6'!T$11/Ciclo,0))</f>
        <v>0</v>
      </c>
      <c r="U20" s="58">
        <f>IF($A20="NA",0,IFERROR('6'!U$11/Ciclo,0))</f>
        <v>0</v>
      </c>
      <c r="V20" s="58">
        <f>IF($A20="NA",0,IFERROR('6'!V$11/Ciclo,0))</f>
        <v>0</v>
      </c>
      <c r="W20" s="5">
        <f>IF($A20="NA",0,IFERROR('6'!W$11/Ciclo,0))</f>
        <v>0</v>
      </c>
      <c r="X20" s="5">
        <f>IF($A20="NA",0,IFERROR('6'!X$11/Ciclo,0))</f>
        <v>0</v>
      </c>
      <c r="Y20" s="5">
        <f>IF($A20="NA",0,IFERROR('6'!Y$11/Ciclo,0))</f>
        <v>0</v>
      </c>
      <c r="Z20" s="5">
        <f>IF($A20="NA",0,IFERROR('6'!Z$11/Ciclo,0))</f>
        <v>0</v>
      </c>
      <c r="AB20" s="5">
        <f>IF($B$14="Producción",IF($B20&gt;=LI_A,$O20,0),0)</f>
        <v>0</v>
      </c>
      <c r="AC20" s="5">
        <f>IF($B$14="Producción",IF($B20&gt;=LI_B,IF($B20&lt;LS_B,$O20,0),0),0)</f>
        <v>0</v>
      </c>
      <c r="AD20" s="5">
        <f>IF($B$14="Producción",IF($B20&gt;=LI_C,IF($B20&lt;LS_C,$O20,0),0),0)</f>
        <v>0</v>
      </c>
      <c r="AE20" s="5">
        <f>IF($B$14="Producción",IF($B20&lt;LS_D,$O20,0),0)</f>
        <v>0</v>
      </c>
      <c r="AF20" s="5">
        <f t="shared" si="127"/>
        <v>0</v>
      </c>
      <c r="AI20" s="5">
        <f>IF($C$14="Producción",IF($C20&gt;=LI_A,$P20,0),0)</f>
        <v>0</v>
      </c>
      <c r="AJ20" s="5">
        <f>IF($C$14="Producción",IF($C20&gt;=LI_B,IF($C20&lt;LS_B,$P20,0),0),0)</f>
        <v>0</v>
      </c>
      <c r="AK20" s="5">
        <f>IF($C$14="Producción",IF($C20&gt;=LI_C,IF($C20&lt;LS_C,$P20,0),0),0)</f>
        <v>0</v>
      </c>
      <c r="AL20" s="5">
        <f>IF($C$14="Producción",IF($C20&lt;LS_D,$P20,0),0)</f>
        <v>0</v>
      </c>
      <c r="AM20" s="5">
        <f>IF($C$14="Crecimiento",$P20,0)</f>
        <v>0</v>
      </c>
      <c r="AP20" s="5">
        <f>IF($D$10="Producción",IF($D20&gt;=LI_A,$Q20,0),0)</f>
        <v>0</v>
      </c>
      <c r="AQ20" s="5">
        <f>IF($D$10="Producción",IF($D20&gt;=LI_B,IF($D20&lt;LS_B,$Q20,0),0),0)</f>
        <v>0</v>
      </c>
      <c r="AR20" s="5">
        <f>IF($D$14="Producción",IF($D20&gt;=LI_C,IF($D20&lt;LS_C,$Q20,0),0),0)</f>
        <v>0</v>
      </c>
      <c r="AS20" s="5">
        <f>IF($D$14="Producción",IF($D20&lt;LS_D,$Q20,0),0)</f>
        <v>0</v>
      </c>
      <c r="AT20" s="5">
        <f>IF($D13="Crecimiento",IF($D20&gt;0,$Q20,0),0)</f>
        <v>0</v>
      </c>
      <c r="AW20" s="5">
        <f>IF($E$10="Producción",IF($E20&gt;=LI_A,$R20,0),0)</f>
        <v>0</v>
      </c>
      <c r="AX20" s="5">
        <f>IF($E$10="Producción",IF($E20&gt;=LI_B,IF($E20&lt;LS_B,$R20,0),0),0)</f>
        <v>0</v>
      </c>
      <c r="AY20" s="5">
        <f>IF($E$14="Producción",IF($E20&gt;=LI_C,IF($E20&lt;LS_C,$R20,0),0),0)</f>
        <v>0</v>
      </c>
      <c r="AZ20" s="5">
        <f>IF($E$14="Producción",IF($E20&lt;LS_D,$R20,0),0)</f>
        <v>0</v>
      </c>
      <c r="BA20" s="5">
        <f>IF($E$14="Crecimiento",$R20,0)</f>
        <v>0</v>
      </c>
      <c r="BD20" s="5">
        <f>IF($F$10="Producción",IF($F20&gt;=LI_A,$S20,0),0)</f>
        <v>0</v>
      </c>
      <c r="BE20" s="5">
        <f>IF($F$10="Producción",IF($F20&gt;=LI_B,IF($F20&lt;LS_B,$S20,0),0),0)</f>
        <v>0</v>
      </c>
      <c r="BF20" s="5">
        <f>IF($F$14="Producción",IF($F20&gt;=LI_C,IF($F20&lt;LS_C,$S20,0),0),0)</f>
        <v>0</v>
      </c>
      <c r="BG20" s="5">
        <f>IF($F$14="Producción",IF($F20&lt;LS_D,$S20,0),0)</f>
        <v>0</v>
      </c>
      <c r="BH20" s="5">
        <f>IF($F$14="Crecimiento",$S20,0)</f>
        <v>0</v>
      </c>
      <c r="BK20" s="5">
        <f>IF($G$10="Producción",IF($G20&gt;=LI_A,$T20,0),0)</f>
        <v>0</v>
      </c>
      <c r="BL20" s="5">
        <f>IF($G$10="Producción",IF($G20&gt;=LI_B,IF($G20&lt;LS_B,$T20,0),0),0)</f>
        <v>0</v>
      </c>
      <c r="BM20" s="5">
        <f>IF($G$14="Producción",IF($G20&gt;=LI_C,IF($G20&lt;LS_C,$T20,0),0),0)</f>
        <v>0</v>
      </c>
      <c r="BN20" s="5">
        <f>IF($G$14="Producción",IF($G20&lt;LS_D,$T20,0),0)</f>
        <v>0</v>
      </c>
      <c r="BO20" s="5">
        <f>IF($G$14="Crecimiento",$T20,0)</f>
        <v>0</v>
      </c>
      <c r="BR20" s="5">
        <f>IF($H$10="Producción",IF($H20&gt;=LI_A,$U20,0),0)</f>
        <v>0</v>
      </c>
      <c r="BS20" s="5">
        <f>IF($H$10="Producción",IF($H20&gt;=LI_B,IF($H20&lt;LS_B,$U20,0),0),0)</f>
        <v>0</v>
      </c>
      <c r="BT20" s="5">
        <f>IF($H$14="Producción",IF($H20&gt;=LI_C,IF($H20&lt;LS_C,$U20,0),0),0)</f>
        <v>0</v>
      </c>
      <c r="BU20" s="5">
        <f>IF($H$14="Producción",IF($H20&lt;LS_D,$U20,0),0)</f>
        <v>0</v>
      </c>
      <c r="BV20" s="5">
        <f>IF($H$14="Crecimiento",$T20,0)</f>
        <v>0</v>
      </c>
      <c r="BY20" s="5">
        <f>IF($I$10="Producción",IF($I20&gt;=LI_A,$V20,0),0)</f>
        <v>0</v>
      </c>
      <c r="BZ20" s="5">
        <f>IF($I$10="Producción",IF($I20&gt;=LI_B,IF($I20&lt;LS_B,$V20,0),0),0)</f>
        <v>0</v>
      </c>
      <c r="CA20" s="5">
        <f>IF($I$14="Producción",IF($I20&gt;=LI_C,IF($I20&lt;LS_C,$V20,0),0),0)</f>
        <v>0</v>
      </c>
      <c r="CB20" s="5">
        <f>IF($I$14="Producción",IF($I20&lt;LS_D,$V20,0),0)</f>
        <v>0</v>
      </c>
      <c r="CC20" s="5">
        <f>IF($I$14="Crecimiento",$V20,0)</f>
        <v>0</v>
      </c>
      <c r="CF20" s="5">
        <f>IF($J$10="Producción",IF($J20&gt;=LI_A,$W20,0),0)</f>
        <v>0</v>
      </c>
      <c r="CG20" s="5">
        <f>IF($J$10="Producción",IF($J20&gt;=LI_B,IF($J20&lt;LS_B,$W20,0),0),0)</f>
        <v>0</v>
      </c>
      <c r="CH20" s="5">
        <f>IF($J$14="Producción",IF($J20&gt;=LI_C,IF($J20&lt;LS_C,$W20,0),0),0)</f>
        <v>0</v>
      </c>
      <c r="CI20" s="5">
        <f>IF($J$14="Producción",IF($J20&lt;LS_D,$W20,0),0)</f>
        <v>0</v>
      </c>
      <c r="CJ20" s="5">
        <f>IF($J$14="Crecimiento",$W20,0)</f>
        <v>0</v>
      </c>
      <c r="CM20" s="5">
        <f>IF($K$10="Producción",IF($K20&gt;=LI_A,$X20,0),0)</f>
        <v>0</v>
      </c>
      <c r="CN20" s="5">
        <f>IF($K$10="Producción",IF($K20&gt;=LI_B,IF($K20&lt;LS_B,$X20,0),0),0)</f>
        <v>0</v>
      </c>
      <c r="CO20" s="5">
        <f>IF($K$14="Producción",IF($K20&gt;=LI_C,IF($K20&lt;LS_C,$X20,0),0),0)</f>
        <v>0</v>
      </c>
      <c r="CP20" s="5">
        <f>IF($K$14="Producción",IF($K20&lt;LS_D,$X20,0),0)</f>
        <v>0</v>
      </c>
      <c r="CQ20" s="5">
        <f>IF($K$14="Crecimiento",$X20,0)</f>
        <v>0</v>
      </c>
      <c r="CT20" s="5">
        <f>IF($L$10="Producción",IF($L20&gt;=LI_A,$Y20,0),0)</f>
        <v>0</v>
      </c>
      <c r="CU20" s="5">
        <f>IF($L$10="Producción",IF($L20&gt;=LI_B,IF($L20&lt;LS_B,$Y20,0),0),0)</f>
        <v>0</v>
      </c>
      <c r="CV20" s="5">
        <f>IF($L$14="Producción",IF($L20&gt;=LI_C,IF($L20&lt;LS_C,$Y20,0),0),0)</f>
        <v>0</v>
      </c>
      <c r="CW20" s="5">
        <f>IF($L$14="Producción",IF($L20&lt;LS_D,$Y20,0),0)</f>
        <v>0</v>
      </c>
      <c r="CX20" s="5">
        <f>IF($L$14="Crecimiento",$Y20,0)</f>
        <v>0</v>
      </c>
      <c r="DA20" s="5">
        <f>IF($M$10="Producción",IF($M20&gt;=LI_A,$Z20,0),0)</f>
        <v>0</v>
      </c>
      <c r="DB20" s="5">
        <f>IF($M$10="Producción",IF($M20&gt;=LI_B,IF($M20&lt;LS_B,$Z20,0),0),0)</f>
        <v>0</v>
      </c>
      <c r="DC20" s="5">
        <f>IF($M$14="Producción",IF($M20&gt;=LI_C,IF($M20&lt;LS_C,$Z20,0),0),0)</f>
        <v>0</v>
      </c>
      <c r="DD20" s="5">
        <f>IF($M$14="Producción",IF($M20&lt;LS_D,$Z20,0),0)</f>
        <v>0</v>
      </c>
      <c r="DE20" s="5">
        <f>IF($M$14="Crecimiento",$Z20,0)</f>
        <v>0</v>
      </c>
      <c r="DI20" s="5">
        <f t="shared" si="67"/>
        <v>0</v>
      </c>
      <c r="DJ20" s="5">
        <f t="shared" si="68"/>
        <v>0</v>
      </c>
      <c r="DK20" s="5">
        <f t="shared" si="69"/>
        <v>0</v>
      </c>
      <c r="DL20" s="5">
        <f t="shared" si="70"/>
        <v>0</v>
      </c>
      <c r="DM20" s="5">
        <f t="shared" si="71"/>
        <v>0</v>
      </c>
      <c r="DN20" s="5">
        <f t="shared" si="72"/>
        <v>0</v>
      </c>
      <c r="DO20" s="5">
        <f t="shared" si="73"/>
        <v>0</v>
      </c>
      <c r="DP20" s="5">
        <f t="shared" si="74"/>
        <v>0</v>
      </c>
      <c r="DQ20" s="5">
        <f t="shared" si="75"/>
        <v>0</v>
      </c>
      <c r="DR20" s="5">
        <f t="shared" si="76"/>
        <v>0</v>
      </c>
      <c r="DS20" s="5">
        <f t="shared" si="77"/>
        <v>0</v>
      </c>
      <c r="DT20" s="5">
        <f t="shared" si="78"/>
        <v>0</v>
      </c>
      <c r="DU20" s="5">
        <f t="shared" si="79"/>
        <v>0</v>
      </c>
      <c r="DV20" s="5">
        <f t="shared" si="80"/>
        <v>0</v>
      </c>
      <c r="DW20" s="5">
        <f t="shared" si="81"/>
        <v>0</v>
      </c>
      <c r="DX20" s="5">
        <f t="shared" si="82"/>
        <v>0</v>
      </c>
      <c r="DY20" s="5">
        <f t="shared" si="83"/>
        <v>0</v>
      </c>
      <c r="DZ20" s="5">
        <f t="shared" si="84"/>
        <v>0</v>
      </c>
      <c r="EA20" s="5">
        <f t="shared" si="85"/>
        <v>0</v>
      </c>
      <c r="EB20" s="5">
        <f t="shared" si="86"/>
        <v>0</v>
      </c>
      <c r="EC20" s="5">
        <f t="shared" si="87"/>
        <v>0</v>
      </c>
      <c r="ED20" s="5">
        <f t="shared" si="88"/>
        <v>0</v>
      </c>
      <c r="EE20" s="5">
        <f t="shared" si="89"/>
        <v>0</v>
      </c>
      <c r="EF20" s="5">
        <f t="shared" si="90"/>
        <v>0</v>
      </c>
      <c r="EG20" s="5">
        <f t="shared" si="91"/>
        <v>0</v>
      </c>
      <c r="EH20" s="5">
        <f t="shared" si="92"/>
        <v>0</v>
      </c>
      <c r="EI20" s="5">
        <f t="shared" si="93"/>
        <v>0</v>
      </c>
      <c r="EJ20" s="5">
        <f t="shared" si="94"/>
        <v>0</v>
      </c>
      <c r="EK20" s="5">
        <f t="shared" si="95"/>
        <v>0</v>
      </c>
      <c r="EL20" s="5">
        <f t="shared" si="96"/>
        <v>0</v>
      </c>
      <c r="EM20" s="5">
        <f t="shared" si="97"/>
        <v>0</v>
      </c>
      <c r="EN20" s="5">
        <f t="shared" si="98"/>
        <v>0</v>
      </c>
      <c r="EO20" s="5">
        <f t="shared" si="99"/>
        <v>0</v>
      </c>
      <c r="EP20" s="5">
        <f t="shared" si="100"/>
        <v>0</v>
      </c>
      <c r="EQ20" s="5">
        <f t="shared" si="101"/>
        <v>0</v>
      </c>
      <c r="ER20" s="5">
        <f t="shared" si="102"/>
        <v>0</v>
      </c>
      <c r="ES20" s="5">
        <f t="shared" si="103"/>
        <v>0</v>
      </c>
      <c r="ET20" s="5">
        <f t="shared" si="104"/>
        <v>0</v>
      </c>
      <c r="EU20" s="5">
        <f t="shared" si="105"/>
        <v>0</v>
      </c>
      <c r="EV20" s="5">
        <f t="shared" si="106"/>
        <v>0</v>
      </c>
      <c r="EW20" s="5">
        <f t="shared" si="107"/>
        <v>0</v>
      </c>
      <c r="EX20" s="5">
        <f t="shared" si="108"/>
        <v>0</v>
      </c>
      <c r="EY20" s="5">
        <f t="shared" si="109"/>
        <v>0</v>
      </c>
      <c r="EZ20" s="5">
        <f t="shared" si="110"/>
        <v>0</v>
      </c>
      <c r="FA20" s="5">
        <f t="shared" si="111"/>
        <v>0</v>
      </c>
      <c r="FB20" s="5">
        <f t="shared" si="112"/>
        <v>0</v>
      </c>
      <c r="FC20" s="5">
        <f t="shared" si="113"/>
        <v>0</v>
      </c>
      <c r="FD20" s="5">
        <f t="shared" si="114"/>
        <v>0</v>
      </c>
      <c r="FE20" s="5">
        <f t="shared" si="115"/>
        <v>0</v>
      </c>
      <c r="FF20" s="5">
        <f t="shared" si="116"/>
        <v>0</v>
      </c>
      <c r="FG20" s="5">
        <f t="shared" si="117"/>
        <v>0</v>
      </c>
      <c r="FH20" s="5">
        <f t="shared" si="118"/>
        <v>0</v>
      </c>
      <c r="FI20" s="5">
        <f t="shared" si="119"/>
        <v>0</v>
      </c>
      <c r="FJ20" s="5">
        <f t="shared" si="120"/>
        <v>0</v>
      </c>
      <c r="FK20" s="5">
        <f t="shared" si="121"/>
        <v>0</v>
      </c>
      <c r="FL20" s="5">
        <f t="shared" si="122"/>
        <v>0</v>
      </c>
      <c r="FM20" s="5">
        <f t="shared" si="123"/>
        <v>0</v>
      </c>
      <c r="FN20" s="5">
        <f t="shared" si="124"/>
        <v>0</v>
      </c>
      <c r="FO20" s="5">
        <f t="shared" si="125"/>
        <v>0</v>
      </c>
      <c r="FP20" s="5">
        <f t="shared" si="126"/>
        <v>0</v>
      </c>
    </row>
    <row r="21" spans="1:172" ht="20.100000000000001" customHeight="1" x14ac:dyDescent="0.3">
      <c r="A21" s="9" t="str">
        <f>IF(Ciclo=5,"Surco 5","NA")</f>
        <v>NA</v>
      </c>
      <c r="B21" s="3"/>
      <c r="C21" s="3"/>
      <c r="D21" s="3"/>
      <c r="E21" s="3"/>
      <c r="F21" s="3"/>
      <c r="G21" s="3"/>
      <c r="H21" s="3"/>
      <c r="I21" s="3"/>
      <c r="J21" s="3"/>
      <c r="K21" s="3"/>
      <c r="L21" s="3"/>
      <c r="M21" s="3"/>
      <c r="O21" s="58">
        <f>IF($A21="NA",0,IFERROR('6'!O$11/Ciclo,0))</f>
        <v>0</v>
      </c>
      <c r="P21" s="58">
        <f>IF($A21="NA",0,IFERROR('6'!P$11/Ciclo,0))</f>
        <v>0</v>
      </c>
      <c r="Q21" s="58">
        <f>IF($A21="NA",0,IFERROR('6'!Q$11/Ciclo,0))</f>
        <v>0</v>
      </c>
      <c r="R21" s="58">
        <f>IF($A21="NA",0,IFERROR('6'!R$11/Ciclo,0))</f>
        <v>0</v>
      </c>
      <c r="S21" s="58">
        <f>IF($A21="NA",0,IFERROR('6'!S$11/Ciclo,0))</f>
        <v>0</v>
      </c>
      <c r="T21" s="58">
        <f>IF($A21="NA",0,IFERROR('6'!T$11/Ciclo,0))</f>
        <v>0</v>
      </c>
      <c r="U21" s="58">
        <f>IF($A21="NA",0,IFERROR('6'!U$11/Ciclo,0))</f>
        <v>0</v>
      </c>
      <c r="V21" s="58">
        <f>IF($A21="NA",0,IFERROR('6'!V$11/Ciclo,0))</f>
        <v>0</v>
      </c>
      <c r="W21" s="5">
        <f>IF($A21="NA",0,IFERROR('6'!W$11/Ciclo,0))</f>
        <v>0</v>
      </c>
      <c r="X21" s="5">
        <f>IF($A21="NA",0,IFERROR('6'!X$11/Ciclo,0))</f>
        <v>0</v>
      </c>
      <c r="Y21" s="5">
        <f>IF($A21="NA",0,IFERROR('6'!Y$11/Ciclo,0))</f>
        <v>0</v>
      </c>
      <c r="Z21" s="5">
        <f>IF($A21="NA",0,IFERROR('6'!Z$11/Ciclo,0))</f>
        <v>0</v>
      </c>
      <c r="AB21" s="5">
        <f>IF($B$14="Producción",IF($B21&gt;=LI_A,$O21,0),0)</f>
        <v>0</v>
      </c>
      <c r="AC21" s="5">
        <f>IF($B$14="Producción",IF($B21&gt;=LI_B,IF($B21&lt;LS_B,$O21,0),0),0)</f>
        <v>0</v>
      </c>
      <c r="AD21" s="5">
        <f>IF($B$14="Producción",IF($B21&gt;=LI_C,IF($B21&lt;LS_C,$O21,0),0),0)</f>
        <v>0</v>
      </c>
      <c r="AE21" s="5">
        <f>IF($B$14="Producción",IF($B21&lt;LS_D,$O21,0),0)</f>
        <v>0</v>
      </c>
      <c r="AF21" s="5">
        <f t="shared" si="127"/>
        <v>0</v>
      </c>
      <c r="AI21" s="5">
        <f>IF($C$14="Producción",IF($C21&gt;=LI_A,$P21,0),0)</f>
        <v>0</v>
      </c>
      <c r="AJ21" s="5">
        <f>IF($C$14="Producción",IF($C21&gt;=LI_B,IF($C21&lt;LS_B,$P21,0),0),0)</f>
        <v>0</v>
      </c>
      <c r="AK21" s="5">
        <f>IF($C$14="Producción",IF($C21&gt;=LI_C,IF($C21&lt;LS_C,$P21,0),0),0)</f>
        <v>0</v>
      </c>
      <c r="AL21" s="5">
        <f>IF($C$14="Producción",IF($C21&lt;LS_D,$P21,0),0)</f>
        <v>0</v>
      </c>
      <c r="AM21" s="5">
        <f>IF($C$14="Crecimiento",$P21,0)</f>
        <v>0</v>
      </c>
      <c r="AP21" s="5">
        <f>IF($D$10="Producción",IF($D21&gt;=LI_A,$Q21,0),0)</f>
        <v>0</v>
      </c>
      <c r="AQ21" s="5">
        <f>IF($D$10="Producción",IF($D21&gt;=LI_B,IF($D21&lt;LS_B,$Q21,0),0),0)</f>
        <v>0</v>
      </c>
      <c r="AR21" s="5">
        <f>IF($D$14="Producción",IF($D21&gt;=LI_C,IF($D21&lt;LS_C,$Q21,0),0),0)</f>
        <v>0</v>
      </c>
      <c r="AS21" s="5">
        <f>IF($D$14="Producción",IF($D21&lt;LS_D,$Q21,0),0)</f>
        <v>0</v>
      </c>
      <c r="AT21" s="5">
        <f>IF($D14="Crecimiento",IF($D21&gt;0,$Q21,0),0)</f>
        <v>0</v>
      </c>
      <c r="AW21" s="5">
        <f>IF($E$10="Producción",IF($E21&gt;=LI_A,$R21,0),0)</f>
        <v>0</v>
      </c>
      <c r="AX21" s="5">
        <f>IF($E$10="Producción",IF($E21&gt;=LI_B,IF($E21&lt;LS_B,$R21,0),0),0)</f>
        <v>0</v>
      </c>
      <c r="AY21" s="5">
        <f>IF($E$14="Producción",IF($E21&gt;=LI_C,IF($E21&lt;LS_C,$R21,0),0),0)</f>
        <v>0</v>
      </c>
      <c r="AZ21" s="5">
        <f>IF($E$14="Producción",IF($E21&lt;LS_D,$R21,0),0)</f>
        <v>0</v>
      </c>
      <c r="BA21" s="5">
        <f>IF($E$14="Crecimiento",$R21,0)</f>
        <v>0</v>
      </c>
      <c r="BD21" s="5">
        <f>IF($F$10="Producción",IF($F21&gt;=LI_A,$S21,0),0)</f>
        <v>0</v>
      </c>
      <c r="BE21" s="5">
        <f>IF($F$10="Producción",IF($F21&gt;=LI_B,IF($F21&lt;LS_B,$S21,0),0),0)</f>
        <v>0</v>
      </c>
      <c r="BF21" s="5">
        <f>IF($F$14="Producción",IF($F21&gt;=LI_C,IF($F21&lt;LS_C,$S21,0),0),0)</f>
        <v>0</v>
      </c>
      <c r="BG21" s="5">
        <f>IF($F$14="Producción",IF($F21&lt;LS_D,$S21,0),0)</f>
        <v>0</v>
      </c>
      <c r="BH21" s="5">
        <f>IF($F$14="Crecimiento",$S21,0)</f>
        <v>0</v>
      </c>
      <c r="BK21" s="5">
        <f>IF($G$10="Producción",IF($G21&gt;=LI_A,$T21,0),0)</f>
        <v>0</v>
      </c>
      <c r="BL21" s="5">
        <f>IF($G$10="Producción",IF($G21&gt;=LI_B,IF($G21&lt;LS_B,$T21,0),0),0)</f>
        <v>0</v>
      </c>
      <c r="BM21" s="5">
        <f>IF($G$14="Producción",IF($G21&gt;=LI_C,IF($G21&lt;LS_C,$T21,0),0),0)</f>
        <v>0</v>
      </c>
      <c r="BN21" s="5">
        <f>IF($G$14="Producción",IF($G21&lt;LS_D,$T21,0),0)</f>
        <v>0</v>
      </c>
      <c r="BO21" s="5">
        <f>IF($G$14="Crecimiento",$T21,0)</f>
        <v>0</v>
      </c>
      <c r="BR21" s="5">
        <f>IF($H$10="Producción",IF($H21&gt;=LI_A,$U21,0),0)</f>
        <v>0</v>
      </c>
      <c r="BS21" s="5">
        <f>IF($H$10="Producción",IF($H21&gt;=LI_B,IF($H21&lt;LS_B,$U21,0),0),0)</f>
        <v>0</v>
      </c>
      <c r="BT21" s="5">
        <f>IF($H$14="Producción",IF($H21&gt;=LI_C,IF($H21&lt;LS_C,$U21,0),0),0)</f>
        <v>0</v>
      </c>
      <c r="BU21" s="5">
        <f>IF($H$14="Producción",IF($H21&lt;LS_D,$U21,0),0)</f>
        <v>0</v>
      </c>
      <c r="BV21" s="5">
        <f>IF($H$14="Crecimiento",$T21,0)</f>
        <v>0</v>
      </c>
      <c r="BY21" s="5">
        <f>IF($I$10="Producción",IF($I21&gt;=LI_A,$V21,0),0)</f>
        <v>0</v>
      </c>
      <c r="BZ21" s="5">
        <f>IF($I$10="Producción",IF($I21&gt;=LI_B,IF($I21&lt;LS_B,$V21,0),0),0)</f>
        <v>0</v>
      </c>
      <c r="CA21" s="5">
        <f>IF($I$14="Producción",IF($I21&gt;=LI_C,IF($I21&lt;LS_C,$V21,0),0),0)</f>
        <v>0</v>
      </c>
      <c r="CB21" s="5">
        <f>IF($I$14="Producción",IF($I21&lt;LS_D,$V21,0),0)</f>
        <v>0</v>
      </c>
      <c r="CC21" s="5">
        <f>IF($I$14="Crecimiento",$V21,0)</f>
        <v>0</v>
      </c>
      <c r="CF21" s="5">
        <f>IF($J$10="Producción",IF($J21&gt;=LI_A,$W21,0),0)</f>
        <v>0</v>
      </c>
      <c r="CG21" s="5">
        <f>IF($J$10="Producción",IF($J21&gt;=LI_B,IF($J21&lt;LS_B,$W21,0),0),0)</f>
        <v>0</v>
      </c>
      <c r="CH21" s="5">
        <f>IF($J$14="Producción",IF($J21&gt;=LI_C,IF($J21&lt;LS_C,$W21,0),0),0)</f>
        <v>0</v>
      </c>
      <c r="CI21" s="5">
        <f>IF($J$14="Producción",IF($J21&lt;LS_D,$W21,0),0)</f>
        <v>0</v>
      </c>
      <c r="CJ21" s="5">
        <f>IF($J$14="Crecimiento",$W21,0)</f>
        <v>0</v>
      </c>
      <c r="CM21" s="5">
        <f>IF($K$10="Producción",IF($K21&gt;=LI_A,$X21,0),0)</f>
        <v>0</v>
      </c>
      <c r="CN21" s="5">
        <f>IF($K$10="Producción",IF($K21&gt;=LI_B,IF($K21&lt;LS_B,$X21,0),0),0)</f>
        <v>0</v>
      </c>
      <c r="CO21" s="5">
        <f>IF($K$14="Producción",IF($K21&gt;=LI_C,IF($K21&lt;LS_C,$X21,0),0),0)</f>
        <v>0</v>
      </c>
      <c r="CP21" s="5">
        <f>IF($K$14="Producción",IF($K21&lt;LS_D,$X21,0),0)</f>
        <v>0</v>
      </c>
      <c r="CQ21" s="5">
        <f>IF($K$14="Crecimiento",$X21,0)</f>
        <v>0</v>
      </c>
      <c r="CT21" s="5">
        <f>IF($L$10="Producción",IF($L21&gt;=LI_A,$Y21,0),0)</f>
        <v>0</v>
      </c>
      <c r="CU21" s="5">
        <f>IF($L$10="Producción",IF($L21&gt;=LI_B,IF($L21&lt;LS_B,$Y21,0),0),0)</f>
        <v>0</v>
      </c>
      <c r="CV21" s="5">
        <f>IF($L$14="Producción",IF($L21&gt;=LI_C,IF($L21&lt;LS_C,$Y21,0),0),0)</f>
        <v>0</v>
      </c>
      <c r="CW21" s="5">
        <f>IF($L$14="Producción",IF($L21&lt;LS_D,$Y21,0),0)</f>
        <v>0</v>
      </c>
      <c r="CX21" s="5">
        <f>IF($L$14="Crecimiento",$Y21,0)</f>
        <v>0</v>
      </c>
      <c r="DA21" s="5">
        <f>IF($M$10="Producción",IF($M21&gt;=LI_A,$Z21,0),0)</f>
        <v>0</v>
      </c>
      <c r="DB21" s="5">
        <f>IF($M$10="Producción",IF($M21&gt;=LI_B,IF($M21&lt;LS_B,$Z21,0),0),0)</f>
        <v>0</v>
      </c>
      <c r="DC21" s="5">
        <f>IF($M$14="Producción",IF($M21&gt;=LI_C,IF($M21&lt;LS_C,$Z21,0),0),0)</f>
        <v>0</v>
      </c>
      <c r="DD21" s="5">
        <f>IF($M$14="Producción",IF($M21&lt;LS_D,$Z21,0),0)</f>
        <v>0</v>
      </c>
      <c r="DE21" s="5">
        <f>IF($M$14="Crecimiento",$Z21,0)</f>
        <v>0</v>
      </c>
      <c r="DI21" s="5">
        <f t="shared" si="67"/>
        <v>0</v>
      </c>
      <c r="DJ21" s="5">
        <f t="shared" si="68"/>
        <v>0</v>
      </c>
      <c r="DK21" s="5">
        <f t="shared" si="69"/>
        <v>0</v>
      </c>
      <c r="DL21" s="5">
        <f t="shared" si="70"/>
        <v>0</v>
      </c>
      <c r="DM21" s="5">
        <f t="shared" si="71"/>
        <v>0</v>
      </c>
      <c r="DN21" s="5">
        <f t="shared" si="72"/>
        <v>0</v>
      </c>
      <c r="DO21" s="5">
        <f t="shared" si="73"/>
        <v>0</v>
      </c>
      <c r="DP21" s="5">
        <f t="shared" si="74"/>
        <v>0</v>
      </c>
      <c r="DQ21" s="5">
        <f t="shared" si="75"/>
        <v>0</v>
      </c>
      <c r="DR21" s="5">
        <f t="shared" si="76"/>
        <v>0</v>
      </c>
      <c r="DS21" s="5">
        <f t="shared" si="77"/>
        <v>0</v>
      </c>
      <c r="DT21" s="5">
        <f t="shared" si="78"/>
        <v>0</v>
      </c>
      <c r="DU21" s="5">
        <f t="shared" si="79"/>
        <v>0</v>
      </c>
      <c r="DV21" s="5">
        <f t="shared" si="80"/>
        <v>0</v>
      </c>
      <c r="DW21" s="5">
        <f t="shared" si="81"/>
        <v>0</v>
      </c>
      <c r="DX21" s="5">
        <f t="shared" si="82"/>
        <v>0</v>
      </c>
      <c r="DY21" s="5">
        <f t="shared" si="83"/>
        <v>0</v>
      </c>
      <c r="DZ21" s="5">
        <f t="shared" si="84"/>
        <v>0</v>
      </c>
      <c r="EA21" s="5">
        <f t="shared" si="85"/>
        <v>0</v>
      </c>
      <c r="EB21" s="5">
        <f t="shared" si="86"/>
        <v>0</v>
      </c>
      <c r="EC21" s="5">
        <f t="shared" si="87"/>
        <v>0</v>
      </c>
      <c r="ED21" s="5">
        <f t="shared" si="88"/>
        <v>0</v>
      </c>
      <c r="EE21" s="5">
        <f t="shared" si="89"/>
        <v>0</v>
      </c>
      <c r="EF21" s="5">
        <f t="shared" si="90"/>
        <v>0</v>
      </c>
      <c r="EG21" s="5">
        <f t="shared" si="91"/>
        <v>0</v>
      </c>
      <c r="EH21" s="5">
        <f t="shared" si="92"/>
        <v>0</v>
      </c>
      <c r="EI21" s="5">
        <f t="shared" si="93"/>
        <v>0</v>
      </c>
      <c r="EJ21" s="5">
        <f t="shared" si="94"/>
        <v>0</v>
      </c>
      <c r="EK21" s="5">
        <f t="shared" si="95"/>
        <v>0</v>
      </c>
      <c r="EL21" s="5">
        <f t="shared" si="96"/>
        <v>0</v>
      </c>
      <c r="EM21" s="5">
        <f t="shared" si="97"/>
        <v>0</v>
      </c>
      <c r="EN21" s="5">
        <f t="shared" si="98"/>
        <v>0</v>
      </c>
      <c r="EO21" s="5">
        <f t="shared" si="99"/>
        <v>0</v>
      </c>
      <c r="EP21" s="5">
        <f t="shared" si="100"/>
        <v>0</v>
      </c>
      <c r="EQ21" s="5">
        <f t="shared" si="101"/>
        <v>0</v>
      </c>
      <c r="ER21" s="5">
        <f t="shared" si="102"/>
        <v>0</v>
      </c>
      <c r="ES21" s="5">
        <f t="shared" si="103"/>
        <v>0</v>
      </c>
      <c r="ET21" s="5">
        <f t="shared" si="104"/>
        <v>0</v>
      </c>
      <c r="EU21" s="5">
        <f t="shared" si="105"/>
        <v>0</v>
      </c>
      <c r="EV21" s="5">
        <f t="shared" si="106"/>
        <v>0</v>
      </c>
      <c r="EW21" s="5">
        <f t="shared" si="107"/>
        <v>0</v>
      </c>
      <c r="EX21" s="5">
        <f t="shared" si="108"/>
        <v>0</v>
      </c>
      <c r="EY21" s="5">
        <f t="shared" si="109"/>
        <v>0</v>
      </c>
      <c r="EZ21" s="5">
        <f t="shared" si="110"/>
        <v>0</v>
      </c>
      <c r="FA21" s="5">
        <f t="shared" si="111"/>
        <v>0</v>
      </c>
      <c r="FB21" s="5">
        <f t="shared" si="112"/>
        <v>0</v>
      </c>
      <c r="FC21" s="5">
        <f t="shared" si="113"/>
        <v>0</v>
      </c>
      <c r="FD21" s="5">
        <f t="shared" si="114"/>
        <v>0</v>
      </c>
      <c r="FE21" s="5">
        <f t="shared" si="115"/>
        <v>0</v>
      </c>
      <c r="FF21" s="5">
        <f t="shared" si="116"/>
        <v>0</v>
      </c>
      <c r="FG21" s="5">
        <f t="shared" si="117"/>
        <v>0</v>
      </c>
      <c r="FH21" s="5">
        <f t="shared" si="118"/>
        <v>0</v>
      </c>
      <c r="FI21" s="5">
        <f t="shared" si="119"/>
        <v>0</v>
      </c>
      <c r="FJ21" s="5">
        <f t="shared" si="120"/>
        <v>0</v>
      </c>
      <c r="FK21" s="5">
        <f t="shared" si="121"/>
        <v>0</v>
      </c>
      <c r="FL21" s="5">
        <f t="shared" si="122"/>
        <v>0</v>
      </c>
      <c r="FM21" s="5">
        <f t="shared" si="123"/>
        <v>0</v>
      </c>
      <c r="FN21" s="5">
        <f t="shared" si="124"/>
        <v>0</v>
      </c>
      <c r="FO21" s="5">
        <f t="shared" si="125"/>
        <v>0</v>
      </c>
      <c r="FP21" s="5">
        <f t="shared" si="126"/>
        <v>0</v>
      </c>
    </row>
    <row r="22" spans="1:172" ht="20.100000000000001" customHeight="1" x14ac:dyDescent="0.3">
      <c r="A22" s="172">
        <f>N_L3</f>
        <v>0</v>
      </c>
      <c r="B22" s="363" t="s">
        <v>37</v>
      </c>
      <c r="C22" s="363" t="s">
        <v>37</v>
      </c>
      <c r="D22" s="363" t="s">
        <v>37</v>
      </c>
      <c r="E22" s="363" t="s">
        <v>37</v>
      </c>
      <c r="F22" s="363" t="s">
        <v>37</v>
      </c>
      <c r="G22" s="363" t="s">
        <v>37</v>
      </c>
      <c r="H22" s="363" t="s">
        <v>37</v>
      </c>
      <c r="I22" s="363" t="s">
        <v>37</v>
      </c>
      <c r="J22" s="363" t="s">
        <v>37</v>
      </c>
      <c r="K22" s="363" t="s">
        <v>37</v>
      </c>
      <c r="L22" s="363" t="s">
        <v>37</v>
      </c>
      <c r="M22" s="363" t="s">
        <v>37</v>
      </c>
    </row>
    <row r="23" spans="1:172" ht="20.100000000000001" customHeight="1" x14ac:dyDescent="0.3">
      <c r="A23" s="175" t="s">
        <v>238</v>
      </c>
      <c r="B23" s="174">
        <f>SUM(DI25:DM29)/100</f>
        <v>0</v>
      </c>
      <c r="C23" s="174">
        <f>SUM(DN25:DR29)/100</f>
        <v>0</v>
      </c>
      <c r="D23" s="174">
        <f>SUM(DS25:DW29)/100</f>
        <v>0</v>
      </c>
      <c r="E23" s="174">
        <f>SUM(DX25:EB29)/100</f>
        <v>0</v>
      </c>
      <c r="F23" s="174">
        <f>SUM(EC25:EG29)/100</f>
        <v>0</v>
      </c>
      <c r="G23" s="174">
        <f>SUM(EH25:EL29)/100</f>
        <v>0</v>
      </c>
      <c r="H23" s="174">
        <f>SUM(EM25:EQ29)/100</f>
        <v>0</v>
      </c>
      <c r="I23" s="174">
        <f>SUM(ER25:EV29)/100</f>
        <v>0</v>
      </c>
      <c r="J23" s="174">
        <f>SUM(EW25:FA29)/100</f>
        <v>0</v>
      </c>
      <c r="K23" s="174">
        <f>SUM(FB25:FF29)/100</f>
        <v>0</v>
      </c>
      <c r="L23" s="174">
        <f>SUM(FG25:FK29)/100</f>
        <v>0</v>
      </c>
      <c r="M23" s="174">
        <f>SUM(FL25:FP29)/100</f>
        <v>0</v>
      </c>
    </row>
    <row r="24" spans="1:172" ht="20.100000000000001" customHeight="1" x14ac:dyDescent="0.3">
      <c r="A24" s="151" t="s">
        <v>239</v>
      </c>
      <c r="B24" s="152" t="e">
        <f t="shared" ref="B24:M24" si="128">B23/Lote_3</f>
        <v>#DIV/0!</v>
      </c>
      <c r="C24" s="152" t="e">
        <f t="shared" si="128"/>
        <v>#DIV/0!</v>
      </c>
      <c r="D24" s="152" t="e">
        <f t="shared" si="128"/>
        <v>#DIV/0!</v>
      </c>
      <c r="E24" s="152" t="e">
        <f t="shared" si="128"/>
        <v>#DIV/0!</v>
      </c>
      <c r="F24" s="152" t="e">
        <f t="shared" si="128"/>
        <v>#DIV/0!</v>
      </c>
      <c r="G24" s="152" t="e">
        <f t="shared" si="128"/>
        <v>#DIV/0!</v>
      </c>
      <c r="H24" s="152" t="e">
        <f t="shared" si="128"/>
        <v>#DIV/0!</v>
      </c>
      <c r="I24" s="152" t="e">
        <f t="shared" si="128"/>
        <v>#DIV/0!</v>
      </c>
      <c r="J24" s="152" t="e">
        <f t="shared" si="128"/>
        <v>#DIV/0!</v>
      </c>
      <c r="K24" s="152" t="e">
        <f t="shared" si="128"/>
        <v>#DIV/0!</v>
      </c>
      <c r="L24" s="152" t="e">
        <f t="shared" si="128"/>
        <v>#DIV/0!</v>
      </c>
      <c r="M24" s="152" t="e">
        <f t="shared" si="128"/>
        <v>#DIV/0!</v>
      </c>
    </row>
    <row r="25" spans="1:172" ht="20.100000000000001" customHeight="1" x14ac:dyDescent="0.3">
      <c r="A25" s="8" t="s">
        <v>302</v>
      </c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O25" s="58">
        <f>IFERROR('6'!O$15/Ciclo,0)</f>
        <v>0</v>
      </c>
      <c r="P25" s="58">
        <f>IFERROR('6'!P$15/Ciclo,0)</f>
        <v>0</v>
      </c>
      <c r="Q25" s="58">
        <f>IFERROR('6'!Q$15/Ciclo,0)</f>
        <v>0</v>
      </c>
      <c r="R25" s="58">
        <f>IFERROR('6'!R$15/Ciclo,0)</f>
        <v>0</v>
      </c>
      <c r="S25" s="58">
        <f>IFERROR('6'!S$15/Ciclo,0)</f>
        <v>0</v>
      </c>
      <c r="T25" s="58">
        <f>IFERROR('6'!T$15/Ciclo,0)</f>
        <v>0</v>
      </c>
      <c r="U25" s="58">
        <f>IFERROR('6'!U$15/Ciclo,0)</f>
        <v>0</v>
      </c>
      <c r="V25" s="58">
        <f>IFERROR('6'!V$15/Ciclo,0)</f>
        <v>0</v>
      </c>
      <c r="W25" s="5">
        <f>IFERROR('6'!W$15/Ciclo,0)</f>
        <v>0</v>
      </c>
      <c r="X25" s="5">
        <f>IFERROR('6'!X$15/Ciclo,0)</f>
        <v>0</v>
      </c>
      <c r="Y25" s="5">
        <f>IFERROR('6'!Y$15/Ciclo,0)</f>
        <v>0</v>
      </c>
      <c r="Z25" s="5">
        <f>IFERROR('6'!Z$15/Ciclo,0)</f>
        <v>0</v>
      </c>
      <c r="AB25" s="5">
        <f>IF($B$22="Producción",IF($B25&gt;=LI_A,$O25,0),0)</f>
        <v>0</v>
      </c>
      <c r="AC25" s="5">
        <f>IF($B$22="Producción",IF($B25&gt;=LI_B,IF($B25&lt;LS_B,$O25,0),0),0)</f>
        <v>0</v>
      </c>
      <c r="AD25" s="5">
        <f>IF($B$22="Producción",IF($B25&gt;=LI_C,IF($B25&lt;LS_C,$O25,0),0),0)</f>
        <v>0</v>
      </c>
      <c r="AE25" s="5">
        <f>IF($B$22="Producción",IF($B25&lt;LS_D,$O25,0),0)</f>
        <v>0</v>
      </c>
      <c r="AF25" s="5">
        <f>IF($B$22="Crecimiento",$O25,0)</f>
        <v>0</v>
      </c>
      <c r="AG25" s="5">
        <f>IF($B22="Siembra",'6'!$O$7,0)</f>
        <v>0</v>
      </c>
      <c r="AH25" s="5">
        <f>IF($B22="Abandono",'6'!$O$7,0)</f>
        <v>0</v>
      </c>
      <c r="AI25" s="5">
        <f>IF($C$22="Producción",IF($C25&gt;=LI_A,$P25,0),0)</f>
        <v>0</v>
      </c>
      <c r="AJ25" s="5">
        <f>IF($C$22="Producción",IF($C25&gt;=LI_B,IF($C25&lt;LS_B,$P25,0),0),0)</f>
        <v>0</v>
      </c>
      <c r="AK25" s="5">
        <f>IF($C$22="Producción",IF($C25&gt;=LI_C,IF($C25&lt;LS_C,$P25,0),0),0)</f>
        <v>0</v>
      </c>
      <c r="AL25" s="5">
        <f>IF($C$22="Producción",IF($C25&lt;LS_D,$P25,0),0)</f>
        <v>0</v>
      </c>
      <c r="AM25" s="5">
        <f>IF($C$22="Crecimiento",$P25,0)</f>
        <v>0</v>
      </c>
      <c r="AN25" s="5">
        <f>IF($C22="Siembra",'6'!$P$7,0)</f>
        <v>0</v>
      </c>
      <c r="AO25" s="5">
        <f>IF($C22="Abandono",'6'!$P$7,0)</f>
        <v>0</v>
      </c>
      <c r="AP25" s="5">
        <f>IF($D$22="Producción",IF($D25&gt;=LI_A,$Q25,0),0)</f>
        <v>0</v>
      </c>
      <c r="AQ25" s="5">
        <f>IF($D$22="Producción",IF($D25&gt;=LI_B,IF($D25&lt;LS_B,$Q25,0),0),0)</f>
        <v>0</v>
      </c>
      <c r="AR25" s="5">
        <f>IF($D$22="Producción",IF($D25&gt;=LI_C,IF($D25&lt;LS_C,$Q25,0),0),0)</f>
        <v>0</v>
      </c>
      <c r="AS25" s="5">
        <f>IF($D$22="Producción",IF($D25&lt;LS_D,$Q25,0),0)</f>
        <v>0</v>
      </c>
      <c r="AT25" s="5">
        <f>IF($D$22="Crecimiento",IF($D25&gt;0,$Q25,0),0)</f>
        <v>0</v>
      </c>
      <c r="AU25" s="5">
        <f>IF($D22="Siembra",'6'!$Q$7,0)</f>
        <v>0</v>
      </c>
      <c r="AV25" s="5">
        <f>IF($D22="Abandono",'6'!$Q$7,0)</f>
        <v>0</v>
      </c>
      <c r="AW25" s="5">
        <f>IF($E$22="Producción",IF($E25&gt;=LI_A,$R25,0),0)</f>
        <v>0</v>
      </c>
      <c r="AX25" s="5">
        <f>IF($E$22="Producción",IF($E25&gt;=LI_B,IF($E25&lt;LS_B,$R25,0),0),0)</f>
        <v>0</v>
      </c>
      <c r="AY25" s="5">
        <f>IF($E$22="Producción",IF($E25&gt;=LI_C,IF($E25&lt;LS_C,$R25,0),0),0)</f>
        <v>0</v>
      </c>
      <c r="AZ25" s="5">
        <f>IF($E$22="Producción",IF($E25&lt;LS_D,$R25,0),0)</f>
        <v>0</v>
      </c>
      <c r="BA25" s="5">
        <f>IF($E$22="Crecimiento",$R25,0)</f>
        <v>0</v>
      </c>
      <c r="BB25" s="5">
        <f>IF($E22="Siembra",'6'!$R$7,0)</f>
        <v>0</v>
      </c>
      <c r="BC25" s="5">
        <f>IF($E22="Abandono",'6'!$R$7,0)</f>
        <v>0</v>
      </c>
      <c r="BD25" s="5">
        <f>IF($F$22="Producción",IF($F25&gt;=LI_A,$S25,0),0)</f>
        <v>0</v>
      </c>
      <c r="BE25" s="5">
        <f>IF($F$22="Producción",IF($F25&gt;=LI_B,IF($F25&lt;LS_B,$S25,0),0),0)</f>
        <v>0</v>
      </c>
      <c r="BF25" s="5">
        <f>IF($F$22="Producción",IF($F25&gt;=LI_C,IF($F25&lt;LS_C,$S25,0),0),0)</f>
        <v>0</v>
      </c>
      <c r="BG25" s="5">
        <f>IF($F$22="Producción",IF($F25&lt;LS_D,$S25,0),0)</f>
        <v>0</v>
      </c>
      <c r="BH25" s="5">
        <f>IF($F$22="Crecimiento",$S25,0)</f>
        <v>0</v>
      </c>
      <c r="BI25" s="5">
        <f>IF($F22="Siembra",'6'!$S$7,0)</f>
        <v>0</v>
      </c>
      <c r="BJ25" s="5">
        <f>IF($F22="Abandono",'6'!$S$7,0)</f>
        <v>0</v>
      </c>
      <c r="BK25" s="5">
        <f>IF($G$22="Producción",IF($G25&gt;=LI_A,$T25,0),0)</f>
        <v>0</v>
      </c>
      <c r="BL25" s="5">
        <f>IF($G$22="Producción",IF($G25&gt;=LI_B,IF($G25&lt;LS_B,$T25,0),0),0)</f>
        <v>0</v>
      </c>
      <c r="BM25" s="5">
        <f>IF($G$22="Producción",IF($G25&gt;=LI_C,IF($G25&lt;LS_C,$T25,0),0),0)</f>
        <v>0</v>
      </c>
      <c r="BN25" s="5">
        <f>IF($G$22="Producción",IF($G25&lt;LS_D,$T25,0),0)</f>
        <v>0</v>
      </c>
      <c r="BO25" s="5">
        <f>IF($G$22="Crecimiento",$T25,0)</f>
        <v>0</v>
      </c>
      <c r="BP25" s="5">
        <f>IF($G22="Siembra",'6'!$T$7,0)</f>
        <v>0</v>
      </c>
      <c r="BQ25" s="5">
        <f>IF($G22="Abandono",'6'!$T$7,0)</f>
        <v>0</v>
      </c>
      <c r="BR25" s="5">
        <f>IF($H$22="Producción",IF($H25&gt;=LI_A,$U25,0),0)</f>
        <v>0</v>
      </c>
      <c r="BS25" s="5">
        <f>IF($H$22="Producción",IF($H25&gt;=LI_B,IF($H25&lt;LS_B,$U25,0),0),0)</f>
        <v>0</v>
      </c>
      <c r="BT25" s="5">
        <f>IF($H$22="Producción",IF($H25&gt;=LI_C,IF($H25&lt;LS_C,$U25,0),0),0)</f>
        <v>0</v>
      </c>
      <c r="BU25" s="5">
        <f>IF($H$22="Producción",IF($H25&lt;LS_D,$U25,0),0)</f>
        <v>0</v>
      </c>
      <c r="BV25" s="5">
        <f>IF($H$22="Crecimiento",$T25,0)</f>
        <v>0</v>
      </c>
      <c r="BW25" s="5">
        <f>IF($H22="Siembra",'6'!$U$7,0)</f>
        <v>0</v>
      </c>
      <c r="BX25" s="5">
        <f>IF($H22="Abandono",'6'!$U$7,0)</f>
        <v>0</v>
      </c>
      <c r="BY25" s="5">
        <f>IF($I$22="Producción",IF($I25&gt;=LI_A,$V25,0),0)</f>
        <v>0</v>
      </c>
      <c r="BZ25" s="5">
        <f>IF($I$22="Producción",IF($I25&gt;=LI_B,IF($I25&lt;LS_B,$V25,0),0),0)</f>
        <v>0</v>
      </c>
      <c r="CA25" s="5">
        <f>IF($I$22="Producción",IF($I25&gt;=LI_C,IF($I25&lt;LS_C,$V25,0),0),0)</f>
        <v>0</v>
      </c>
      <c r="CB25" s="5">
        <f>IF($I$22="Producción",IF($I25&lt;LS_D,$V25,0),0)</f>
        <v>0</v>
      </c>
      <c r="CC25" s="5">
        <f>IF($I$22="Crecimiento",$V25,0)</f>
        <v>0</v>
      </c>
      <c r="CD25" s="5">
        <f>IF($I22="Siembra",'6'!$V$7,0)</f>
        <v>0</v>
      </c>
      <c r="CE25" s="5">
        <f>IF($I22="Abandono",'6'!$V$7,0)</f>
        <v>0</v>
      </c>
      <c r="CF25" s="5">
        <f>IF($J$22="Producción",IF($J25&gt;=LI_A,$W25,0),0)</f>
        <v>0</v>
      </c>
      <c r="CG25" s="5">
        <f>IF($J$22="Producción",IF($J25&gt;=LI_B,IF($J25&lt;LS_B,$W25,0),0),0)</f>
        <v>0</v>
      </c>
      <c r="CH25" s="5">
        <f>IF($J$22="Producción",IF($J25&gt;=LI_C,IF($J25&lt;LS_C,$W25,0),0),0)</f>
        <v>0</v>
      </c>
      <c r="CI25" s="5">
        <f>IF($J$22="Producción",IF($J25&lt;LS_D,$W25,0),0)</f>
        <v>0</v>
      </c>
      <c r="CJ25" s="5">
        <f>IF($J$22="Crecimiento",$W25,0)</f>
        <v>0</v>
      </c>
      <c r="CK25" s="5">
        <f>IF($J22="Siembra",'6'!$W$7,0)</f>
        <v>0</v>
      </c>
      <c r="CL25" s="5">
        <f>IF($J22="Abandono",'6'!$W$7,0)</f>
        <v>0</v>
      </c>
      <c r="CM25" s="5">
        <f>IF($K$22="Producción",IF($K25&gt;=LI_A,$X25,0),0)</f>
        <v>0</v>
      </c>
      <c r="CN25" s="5">
        <f>IF($K$22="Producción",IF($K25&gt;=LI_B,IF($K25&lt;LS_B,$X25,0),0),0)</f>
        <v>0</v>
      </c>
      <c r="CO25" s="5">
        <f>IF($K$22="Producción",IF($K25&gt;=LI_C,IF($K25&lt;LS_C,$X25,0),0),0)</f>
        <v>0</v>
      </c>
      <c r="CP25" s="5">
        <f>IF($K$22="Producción",IF($K25&lt;LS_D,$X25,0),0)</f>
        <v>0</v>
      </c>
      <c r="CQ25" s="5">
        <f>IF($K$22="Crecimiento",$X25,0)</f>
        <v>0</v>
      </c>
      <c r="CR25" s="5">
        <f>IF($K22="Siembra",'6'!$X$7,0)</f>
        <v>0</v>
      </c>
      <c r="CS25" s="5">
        <f>IF($K22="Abandono",'6'!$X$7,0)</f>
        <v>0</v>
      </c>
      <c r="CT25" s="5">
        <f>IF($L$22="Producción",IF($L25&gt;=LI_A,$Y25,0),0)</f>
        <v>0</v>
      </c>
      <c r="CU25" s="5">
        <f>IF($L$22="Producción",IF($L25&gt;=LI_B,IF($L25&lt;LS_B,$Y25,0),0),0)</f>
        <v>0</v>
      </c>
      <c r="CV25" s="5">
        <f>IF($L$22="Producción",IF($L25&gt;=LI_C,IF($L25&lt;LS_C,$Y25,0),0),0)</f>
        <v>0</v>
      </c>
      <c r="CW25" s="5">
        <f>IF($L$22="Producción",IF($L25&lt;LS_D,$Y25,0),0)</f>
        <v>0</v>
      </c>
      <c r="CX25" s="5">
        <f>IF($L$22="Crecimiento",$Y25,0)</f>
        <v>0</v>
      </c>
      <c r="CY25" s="5">
        <f>IF($L22="Siembra",'6'!$Y$7,0)</f>
        <v>0</v>
      </c>
      <c r="CZ25" s="5">
        <f>IF($L22="Abandono",'6'!$Y$7,0)</f>
        <v>0</v>
      </c>
      <c r="DA25" s="5">
        <f>IF($M$22="Producción",IF($M25&gt;=LI_A,$Z25,0),0)</f>
        <v>0</v>
      </c>
      <c r="DB25" s="5">
        <f>IF($M$22="Producción",IF($M25&gt;=LI_B,IF($M25&lt;LS_B,$Z25,0),0),0)</f>
        <v>0</v>
      </c>
      <c r="DC25" s="5">
        <f>IF($M$22="Producción",IF($M25&gt;=LI_C,IF($M25&lt;LS_C,$Z25,0),0),0)</f>
        <v>0</v>
      </c>
      <c r="DD25" s="5">
        <f>IF($M$22="Producción",IF($M25&lt;LS_D,$Z25,0),0)</f>
        <v>0</v>
      </c>
      <c r="DE25" s="5">
        <f>IF($M$22="Crecimiento",$Z25,0)</f>
        <v>0</v>
      </c>
      <c r="DF25" s="5">
        <f>IF($M22="Siembra",'6'!$Z$7,0)</f>
        <v>0</v>
      </c>
      <c r="DG25" s="5">
        <f>IF($M22="Abandono",'6'!$Z$7,0)</f>
        <v>0</v>
      </c>
      <c r="DI25" s="5">
        <f t="shared" ref="DI25:DI29" si="129">AB25*$B25</f>
        <v>0</v>
      </c>
      <c r="DJ25" s="5">
        <f t="shared" ref="DJ25:DJ29" si="130">AC25*$B25</f>
        <v>0</v>
      </c>
      <c r="DK25" s="5">
        <f t="shared" ref="DK25:DK29" si="131">AD25*$B25</f>
        <v>0</v>
      </c>
      <c r="DL25" s="5">
        <f t="shared" ref="DL25:DL29" si="132">AE25*$B25</f>
        <v>0</v>
      </c>
      <c r="DM25" s="5">
        <f t="shared" ref="DM25:DM29" si="133">AF25*$B25</f>
        <v>0</v>
      </c>
      <c r="DN25" s="5">
        <f t="shared" ref="DN25:DN29" si="134">AI25*$C25</f>
        <v>0</v>
      </c>
      <c r="DO25" s="5">
        <f t="shared" ref="DO25:DO29" si="135">AJ25*$C25</f>
        <v>0</v>
      </c>
      <c r="DP25" s="5">
        <f t="shared" ref="DP25:DP29" si="136">AK25*$C25</f>
        <v>0</v>
      </c>
      <c r="DQ25" s="5">
        <f t="shared" ref="DQ25:DQ29" si="137">AL25*$C25</f>
        <v>0</v>
      </c>
      <c r="DR25" s="5">
        <f t="shared" ref="DR25:DR29" si="138">AM25*$C25</f>
        <v>0</v>
      </c>
      <c r="DS25" s="5">
        <f t="shared" ref="DS25:DS29" si="139">AP25*$D25</f>
        <v>0</v>
      </c>
      <c r="DT25" s="5">
        <f t="shared" ref="DT25:DT29" si="140">AQ25*$D25</f>
        <v>0</v>
      </c>
      <c r="DU25" s="5">
        <f t="shared" ref="DU25:DU29" si="141">AR25*$D25</f>
        <v>0</v>
      </c>
      <c r="DV25" s="5">
        <f t="shared" ref="DV25:DV29" si="142">AS25*$D25</f>
        <v>0</v>
      </c>
      <c r="DW25" s="5">
        <f t="shared" ref="DW25:DW29" si="143">AT25*$D25</f>
        <v>0</v>
      </c>
      <c r="DX25" s="5">
        <f t="shared" ref="DX25:DX29" si="144">AW25*$E25</f>
        <v>0</v>
      </c>
      <c r="DY25" s="5">
        <f t="shared" ref="DY25:DY29" si="145">AX25*$E25</f>
        <v>0</v>
      </c>
      <c r="DZ25" s="5">
        <f t="shared" ref="DZ25:DZ29" si="146">AY25*$E25</f>
        <v>0</v>
      </c>
      <c r="EA25" s="5">
        <f t="shared" ref="EA25:EA29" si="147">AZ25*$E25</f>
        <v>0</v>
      </c>
      <c r="EB25" s="5">
        <f t="shared" ref="EB25:EB29" si="148">BA25*$E25</f>
        <v>0</v>
      </c>
      <c r="EC25" s="5">
        <f t="shared" ref="EC25:EC29" si="149">BD25*$F25</f>
        <v>0</v>
      </c>
      <c r="ED25" s="5">
        <f t="shared" ref="ED25:ED29" si="150">BE25*$F25</f>
        <v>0</v>
      </c>
      <c r="EE25" s="5">
        <f t="shared" ref="EE25:EE29" si="151">BF25*$F25</f>
        <v>0</v>
      </c>
      <c r="EF25" s="5">
        <f t="shared" ref="EF25:EF29" si="152">BG25*$F25</f>
        <v>0</v>
      </c>
      <c r="EG25" s="5">
        <f t="shared" ref="EG25:EG29" si="153">BH25*$F25</f>
        <v>0</v>
      </c>
      <c r="EH25" s="5">
        <f t="shared" ref="EH25:EH29" si="154">BK25*$G25</f>
        <v>0</v>
      </c>
      <c r="EI25" s="5">
        <f t="shared" ref="EI25:EI29" si="155">BL25*$G25</f>
        <v>0</v>
      </c>
      <c r="EJ25" s="5">
        <f t="shared" ref="EJ25:EJ29" si="156">BM25*$G25</f>
        <v>0</v>
      </c>
      <c r="EK25" s="5">
        <f t="shared" ref="EK25:EK29" si="157">BN25*$G25</f>
        <v>0</v>
      </c>
      <c r="EL25" s="5">
        <f t="shared" ref="EL25:EL29" si="158">BO25*$G25</f>
        <v>0</v>
      </c>
      <c r="EM25" s="5">
        <f t="shared" ref="EM25:EM29" si="159">BR25*$H25</f>
        <v>0</v>
      </c>
      <c r="EN25" s="5">
        <f t="shared" ref="EN25:EN29" si="160">BS25*$H25</f>
        <v>0</v>
      </c>
      <c r="EO25" s="5">
        <f t="shared" ref="EO25:EO29" si="161">BT25*$H25</f>
        <v>0</v>
      </c>
      <c r="EP25" s="5">
        <f t="shared" ref="EP25:EP29" si="162">BU25*$H25</f>
        <v>0</v>
      </c>
      <c r="EQ25" s="5">
        <f t="shared" ref="EQ25:EQ29" si="163">BV25*$H25</f>
        <v>0</v>
      </c>
      <c r="ER25" s="5">
        <f t="shared" ref="ER25:ER29" si="164">BY25*$I25</f>
        <v>0</v>
      </c>
      <c r="ES25" s="5">
        <f t="shared" ref="ES25:ES29" si="165">BZ25*$I25</f>
        <v>0</v>
      </c>
      <c r="ET25" s="5">
        <f t="shared" ref="ET25:ET29" si="166">CA25*$I25</f>
        <v>0</v>
      </c>
      <c r="EU25" s="5">
        <f t="shared" ref="EU25:EU29" si="167">CB25*$I25</f>
        <v>0</v>
      </c>
      <c r="EV25" s="5">
        <f t="shared" ref="EV25:EV29" si="168">CC25*$I25</f>
        <v>0</v>
      </c>
      <c r="EW25" s="5">
        <f t="shared" ref="EW25:EW29" si="169">CF25*$J25</f>
        <v>0</v>
      </c>
      <c r="EX25" s="5">
        <f t="shared" ref="EX25:EX29" si="170">CG25*$J25</f>
        <v>0</v>
      </c>
      <c r="EY25" s="5">
        <f t="shared" ref="EY25:EY29" si="171">CH25*$J25</f>
        <v>0</v>
      </c>
      <c r="EZ25" s="5">
        <f t="shared" ref="EZ25:EZ29" si="172">CI25*$J25</f>
        <v>0</v>
      </c>
      <c r="FA25" s="5">
        <f t="shared" ref="FA25:FA29" si="173">CJ25*$J25</f>
        <v>0</v>
      </c>
      <c r="FB25" s="5">
        <f t="shared" ref="FB25:FB29" si="174">CM25*$K25</f>
        <v>0</v>
      </c>
      <c r="FC25" s="5">
        <f t="shared" ref="FC25:FC29" si="175">CN25*$K25</f>
        <v>0</v>
      </c>
      <c r="FD25" s="5">
        <f t="shared" ref="FD25:FD29" si="176">CO25*$K25</f>
        <v>0</v>
      </c>
      <c r="FE25" s="5">
        <f t="shared" ref="FE25:FE29" si="177">CP25*$K25</f>
        <v>0</v>
      </c>
      <c r="FF25" s="5">
        <f t="shared" ref="FF25:FF29" si="178">CQ25*$K25</f>
        <v>0</v>
      </c>
      <c r="FG25" s="5">
        <f t="shared" ref="FG25:FG29" si="179">CT25*$L25</f>
        <v>0</v>
      </c>
      <c r="FH25" s="5">
        <f t="shared" ref="FH25:FH29" si="180">CU25*$L25</f>
        <v>0</v>
      </c>
      <c r="FI25" s="5">
        <f t="shared" ref="FI25:FI29" si="181">CV25*$L25</f>
        <v>0</v>
      </c>
      <c r="FJ25" s="5">
        <f t="shared" ref="FJ25:FJ29" si="182">CW25*$L25</f>
        <v>0</v>
      </c>
      <c r="FK25" s="5">
        <f t="shared" ref="FK25:FK29" si="183">CX25*$L25</f>
        <v>0</v>
      </c>
      <c r="FL25" s="5">
        <f t="shared" ref="FL25:FL29" si="184">DA25*$M25</f>
        <v>0</v>
      </c>
      <c r="FM25" s="5">
        <f t="shared" ref="FM25:FM29" si="185">DB25*$M25</f>
        <v>0</v>
      </c>
      <c r="FN25" s="5">
        <f t="shared" ref="FN25:FN29" si="186">DC25*$M25</f>
        <v>0</v>
      </c>
      <c r="FO25" s="5">
        <f t="shared" ref="FO25:FO29" si="187">DD25*$M25</f>
        <v>0</v>
      </c>
      <c r="FP25" s="5">
        <f t="shared" ref="FP25:FP29" si="188">DE25*$M25</f>
        <v>0</v>
      </c>
    </row>
    <row r="26" spans="1:172" ht="20.100000000000001" customHeight="1" x14ac:dyDescent="0.3">
      <c r="A26" s="8" t="s">
        <v>303</v>
      </c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O26" s="58">
        <f>IFERROR('6'!O$15/Ciclo,0)</f>
        <v>0</v>
      </c>
      <c r="P26" s="58">
        <f>IFERROR('6'!P$15/Ciclo,0)</f>
        <v>0</v>
      </c>
      <c r="Q26" s="58">
        <f>IFERROR('6'!Q$15/Ciclo,0)</f>
        <v>0</v>
      </c>
      <c r="R26" s="58">
        <f>IFERROR('6'!R$15/Ciclo,0)</f>
        <v>0</v>
      </c>
      <c r="S26" s="58">
        <f>IFERROR('6'!S$15/Ciclo,0)</f>
        <v>0</v>
      </c>
      <c r="T26" s="58">
        <f>IFERROR('6'!T$15/Ciclo,0)</f>
        <v>0</v>
      </c>
      <c r="U26" s="58">
        <f>IFERROR('6'!U$15/Ciclo,0)</f>
        <v>0</v>
      </c>
      <c r="V26" s="58">
        <f>IFERROR('6'!V$15/Ciclo,0)</f>
        <v>0</v>
      </c>
      <c r="W26" s="5">
        <f>IFERROR('6'!W$15/Ciclo,0)</f>
        <v>0</v>
      </c>
      <c r="X26" s="5">
        <f>IFERROR('6'!X$15/Ciclo,0)</f>
        <v>0</v>
      </c>
      <c r="Y26" s="5">
        <f>IFERROR('6'!Y$15/Ciclo,0)</f>
        <v>0</v>
      </c>
      <c r="Z26" s="5">
        <f>IFERROR('6'!Z$15/Ciclo,0)</f>
        <v>0</v>
      </c>
      <c r="AB26" s="5">
        <f>IF($B$22="Producción",IF($B26&gt;=LI_A,$O26,0),0)</f>
        <v>0</v>
      </c>
      <c r="AC26" s="5">
        <f>IF($B$22="Producción",IF($B26&gt;=LI_B,IF($B26&lt;LS_B,$O26,0),0),0)</f>
        <v>0</v>
      </c>
      <c r="AD26" s="5">
        <f>IF($B$22="Producción",IF($B26&gt;=LI_C,IF($B26&lt;LS_C,$O26,0),0),0)</f>
        <v>0</v>
      </c>
      <c r="AE26" s="5">
        <f>IF($B$22="Producción",IF($B26&lt;LS_D,$O26,0),0)</f>
        <v>0</v>
      </c>
      <c r="AF26" s="5">
        <f t="shared" ref="AF26:AF29" si="189">IF($B$22="Crecimiento",$O26,0)</f>
        <v>0</v>
      </c>
      <c r="AI26" s="5">
        <f>IF($C$22="Producción",IF($C26&gt;=LI_A,$P26,0),0)</f>
        <v>0</v>
      </c>
      <c r="AJ26" s="5">
        <f>IF($C$22="Producción",IF($C26&gt;=LI_B,IF($C26&lt;LS_B,$P26,0),0),0)</f>
        <v>0</v>
      </c>
      <c r="AK26" s="5">
        <f>IF($C$22="Producción",IF($C26&gt;=LI_C,IF($C26&lt;LS_C,$P26,0),0),0)</f>
        <v>0</v>
      </c>
      <c r="AL26" s="5">
        <f>IF($C$22="Producción",IF($C26&lt;LS_D,$P26,0),0)</f>
        <v>0</v>
      </c>
      <c r="AM26" s="5">
        <f>IF($C$22="Crecimiento",$P26,0)</f>
        <v>0</v>
      </c>
      <c r="AP26" s="5">
        <f>IF($D$22="Producción",IF($D26&gt;=LI_A,$Q26,0),0)</f>
        <v>0</v>
      </c>
      <c r="AQ26" s="5">
        <f>IF($D$22="Producción",IF($D26&gt;=LI_B,IF($D26&lt;LS_B,$Q26,0),0),0)</f>
        <v>0</v>
      </c>
      <c r="AR26" s="5">
        <f>IF($D$22="Producción",IF($D26&gt;=LI_C,IF($D26&lt;LS_C,$Q26,0),0),0)</f>
        <v>0</v>
      </c>
      <c r="AS26" s="5">
        <f>IF($D$22="Producción",IF($D26&lt;LS_D,$Q26,0),0)</f>
        <v>0</v>
      </c>
      <c r="AT26" s="5">
        <f>IF($D$22="Crecimiento",IF($D26&gt;0,$Q26,0),0)</f>
        <v>0</v>
      </c>
      <c r="AW26" s="5">
        <f>IF($E$22="Producción",IF($E26&gt;=LI_A,$R26,0),0)</f>
        <v>0</v>
      </c>
      <c r="AX26" s="5">
        <f>IF($E$22="Producción",IF($E26&gt;=LI_B,IF($E26&lt;LS_B,$R26,0),0),0)</f>
        <v>0</v>
      </c>
      <c r="AY26" s="5">
        <f>IF($E$22="Producción",IF($E26&gt;=LI_C,IF($E26&lt;LS_C,$R26,0),0),0)</f>
        <v>0</v>
      </c>
      <c r="AZ26" s="5">
        <f>IF($E$22="Producción",IF($E26&lt;LS_D,$R26,0),0)</f>
        <v>0</v>
      </c>
      <c r="BA26" s="5">
        <f>IF($E$22="Crecimiento",$R26,0)</f>
        <v>0</v>
      </c>
      <c r="BD26" s="5">
        <f>IF($F$22="Producción",IF($F26&gt;=LI_A,$S26,0),0)</f>
        <v>0</v>
      </c>
      <c r="BE26" s="5">
        <f>IF($F$22="Producción",IF($F26&gt;=LI_B,IF($F26&lt;LS_B,$S26,0),0),0)</f>
        <v>0</v>
      </c>
      <c r="BF26" s="5">
        <f>IF($F$22="Producción",IF($F26&gt;=LI_C,IF($F26&lt;LS_C,$S26,0),0),0)</f>
        <v>0</v>
      </c>
      <c r="BG26" s="5">
        <f>IF($F$22="Producción",IF($F26&lt;LS_D,$S26,0),0)</f>
        <v>0</v>
      </c>
      <c r="BH26" s="5">
        <f>IF($F$22="Crecimiento",$S26,0)</f>
        <v>0</v>
      </c>
      <c r="BK26" s="5">
        <f>IF($G$22="Producción",IF($G26&gt;=LI_A,$T26,0),0)</f>
        <v>0</v>
      </c>
      <c r="BL26" s="5">
        <f>IF($G$22="Producción",IF($G26&gt;=LI_B,IF($G26&lt;LS_B,$T26,0),0),0)</f>
        <v>0</v>
      </c>
      <c r="BM26" s="5">
        <f>IF($G$22="Producción",IF($G26&gt;=LI_C,IF($G26&lt;LS_C,$T26,0),0),0)</f>
        <v>0</v>
      </c>
      <c r="BN26" s="5">
        <f>IF($G$22="Producción",IF($G26&lt;LS_D,$T26,0),0)</f>
        <v>0</v>
      </c>
      <c r="BO26" s="5">
        <f>IF($G$22="Crecimiento",$T26,0)</f>
        <v>0</v>
      </c>
      <c r="BR26" s="5">
        <f>IF($H$22="Producción",IF($H26&gt;=LI_A,$U26,0),0)</f>
        <v>0</v>
      </c>
      <c r="BS26" s="5">
        <f>IF($H$22="Producción",IF($H26&gt;=LI_B,IF($H26&lt;LS_B,$U26,0),0),0)</f>
        <v>0</v>
      </c>
      <c r="BT26" s="5">
        <f>IF($H$22="Producción",IF($H26&gt;=LI_C,IF($H26&lt;LS_C,$U26,0),0),0)</f>
        <v>0</v>
      </c>
      <c r="BU26" s="5">
        <f>IF($H$22="Producción",IF($H26&lt;LS_D,$U26,0),0)</f>
        <v>0</v>
      </c>
      <c r="BV26" s="5">
        <f>IF($H$22="Crecimiento",$T26,0)</f>
        <v>0</v>
      </c>
      <c r="BY26" s="5">
        <f>IF($I$22="Producción",IF($I26&gt;=LI_A,$V26,0),0)</f>
        <v>0</v>
      </c>
      <c r="BZ26" s="5">
        <f>IF($I$22="Producción",IF($I26&gt;=LI_B,IF($I26&lt;LS_B,$V26,0),0),0)</f>
        <v>0</v>
      </c>
      <c r="CA26" s="5">
        <f>IF($I$22="Producción",IF($I26&gt;=LI_C,IF($I26&lt;LS_C,$V26,0),0),0)</f>
        <v>0</v>
      </c>
      <c r="CB26" s="5">
        <f>IF($I$22="Producción",IF($I26&lt;LS_D,$V26,0),0)</f>
        <v>0</v>
      </c>
      <c r="CC26" s="5">
        <f>IF($I$22="Crecimiento",$V26,0)</f>
        <v>0</v>
      </c>
      <c r="CF26" s="5">
        <f>IF($J$22="Producción",IF($J26&gt;=LI_A,$W26,0),0)</f>
        <v>0</v>
      </c>
      <c r="CG26" s="5">
        <f>IF($J$22="Producción",IF($J26&gt;=LI_B,IF($J26&lt;LS_B,$W26,0),0),0)</f>
        <v>0</v>
      </c>
      <c r="CH26" s="5">
        <f>IF($J$22="Producción",IF($J26&gt;=LI_C,IF($J26&lt;LS_C,$W26,0),0),0)</f>
        <v>0</v>
      </c>
      <c r="CI26" s="5">
        <f>IF($J$22="Producción",IF($J26&lt;LS_D,$W26,0),0)</f>
        <v>0</v>
      </c>
      <c r="CJ26" s="5">
        <f>IF($J$22="Crecimiento",$W26,0)</f>
        <v>0</v>
      </c>
      <c r="CM26" s="5">
        <f>IF($K$22="Producción",IF($K26&gt;=LI_A,$X26,0),0)</f>
        <v>0</v>
      </c>
      <c r="CN26" s="5">
        <f>IF($K$22="Producción",IF($K26&gt;=LI_B,IF($K26&lt;LS_B,$X26,0),0),0)</f>
        <v>0</v>
      </c>
      <c r="CO26" s="5">
        <f>IF($K$22="Producción",IF($K26&gt;=LI_C,IF($K26&lt;LS_C,$X26,0),0),0)</f>
        <v>0</v>
      </c>
      <c r="CP26" s="5">
        <f>IF($K$22="Producción",IF($K26&lt;LS_D,$X26,0),0)</f>
        <v>0</v>
      </c>
      <c r="CQ26" s="5">
        <f>IF($K$22="Crecimiento",$X26,0)</f>
        <v>0</v>
      </c>
      <c r="CT26" s="5">
        <f>IF($L$22="Producción",IF($L26&gt;=LI_A,$Y26,0),0)</f>
        <v>0</v>
      </c>
      <c r="CU26" s="5">
        <f>IF($L$22="Producción",IF($L26&gt;=LI_B,IF($L26&lt;LS_B,$Y26,0),0),0)</f>
        <v>0</v>
      </c>
      <c r="CV26" s="5">
        <f>IF($L$22="Producción",IF($L26&gt;=LI_C,IF($L26&lt;LS_C,$Y26,0),0),0)</f>
        <v>0</v>
      </c>
      <c r="CW26" s="5">
        <f>IF($L$22="Producción",IF($L26&lt;LS_D,$Y26,0),0)</f>
        <v>0</v>
      </c>
      <c r="CX26" s="5">
        <f>IF($L$22="Crecimiento",$Y26,0)</f>
        <v>0</v>
      </c>
      <c r="DA26" s="5">
        <f>IF($M$22="Producción",IF($M26&gt;=LI_A,$Z26,0),0)</f>
        <v>0</v>
      </c>
      <c r="DB26" s="5">
        <f>IF($M$22="Producción",IF($M26&gt;=LI_B,IF($M26&lt;LS_B,$Z26,0),0),0)</f>
        <v>0</v>
      </c>
      <c r="DC26" s="5">
        <f>IF($M$22="Producción",IF($M26&gt;=LI_C,IF($M26&lt;LS_C,$Z26,0),0),0)</f>
        <v>0</v>
      </c>
      <c r="DD26" s="5">
        <f>IF($M$22="Producción",IF($M26&lt;LS_D,$Z26,0),0)</f>
        <v>0</v>
      </c>
      <c r="DE26" s="5">
        <f>IF($M$22="Crecimiento",$Z26,0)</f>
        <v>0</v>
      </c>
      <c r="DI26" s="5">
        <f t="shared" si="129"/>
        <v>0</v>
      </c>
      <c r="DJ26" s="5">
        <f t="shared" si="130"/>
        <v>0</v>
      </c>
      <c r="DK26" s="5">
        <f t="shared" si="131"/>
        <v>0</v>
      </c>
      <c r="DL26" s="5">
        <f t="shared" si="132"/>
        <v>0</v>
      </c>
      <c r="DM26" s="5">
        <f t="shared" si="133"/>
        <v>0</v>
      </c>
      <c r="DN26" s="5">
        <f t="shared" si="134"/>
        <v>0</v>
      </c>
      <c r="DO26" s="5">
        <f t="shared" si="135"/>
        <v>0</v>
      </c>
      <c r="DP26" s="5">
        <f t="shared" si="136"/>
        <v>0</v>
      </c>
      <c r="DQ26" s="5">
        <f t="shared" si="137"/>
        <v>0</v>
      </c>
      <c r="DR26" s="5">
        <f t="shared" si="138"/>
        <v>0</v>
      </c>
      <c r="DS26" s="5">
        <f t="shared" si="139"/>
        <v>0</v>
      </c>
      <c r="DT26" s="5">
        <f t="shared" si="140"/>
        <v>0</v>
      </c>
      <c r="DU26" s="5">
        <f t="shared" si="141"/>
        <v>0</v>
      </c>
      <c r="DV26" s="5">
        <f t="shared" si="142"/>
        <v>0</v>
      </c>
      <c r="DW26" s="5">
        <f t="shared" si="143"/>
        <v>0</v>
      </c>
      <c r="DX26" s="5">
        <f t="shared" si="144"/>
        <v>0</v>
      </c>
      <c r="DY26" s="5">
        <f t="shared" si="145"/>
        <v>0</v>
      </c>
      <c r="DZ26" s="5">
        <f t="shared" si="146"/>
        <v>0</v>
      </c>
      <c r="EA26" s="5">
        <f t="shared" si="147"/>
        <v>0</v>
      </c>
      <c r="EB26" s="5">
        <f t="shared" si="148"/>
        <v>0</v>
      </c>
      <c r="EC26" s="5">
        <f t="shared" si="149"/>
        <v>0</v>
      </c>
      <c r="ED26" s="5">
        <f t="shared" si="150"/>
        <v>0</v>
      </c>
      <c r="EE26" s="5">
        <f t="shared" si="151"/>
        <v>0</v>
      </c>
      <c r="EF26" s="5">
        <f t="shared" si="152"/>
        <v>0</v>
      </c>
      <c r="EG26" s="5">
        <f t="shared" si="153"/>
        <v>0</v>
      </c>
      <c r="EH26" s="5">
        <f t="shared" si="154"/>
        <v>0</v>
      </c>
      <c r="EI26" s="5">
        <f t="shared" si="155"/>
        <v>0</v>
      </c>
      <c r="EJ26" s="5">
        <f t="shared" si="156"/>
        <v>0</v>
      </c>
      <c r="EK26" s="5">
        <f t="shared" si="157"/>
        <v>0</v>
      </c>
      <c r="EL26" s="5">
        <f t="shared" si="158"/>
        <v>0</v>
      </c>
      <c r="EM26" s="5">
        <f t="shared" si="159"/>
        <v>0</v>
      </c>
      <c r="EN26" s="5">
        <f t="shared" si="160"/>
        <v>0</v>
      </c>
      <c r="EO26" s="5">
        <f t="shared" si="161"/>
        <v>0</v>
      </c>
      <c r="EP26" s="5">
        <f t="shared" si="162"/>
        <v>0</v>
      </c>
      <c r="EQ26" s="5">
        <f t="shared" si="163"/>
        <v>0</v>
      </c>
      <c r="ER26" s="5">
        <f t="shared" si="164"/>
        <v>0</v>
      </c>
      <c r="ES26" s="5">
        <f t="shared" si="165"/>
        <v>0</v>
      </c>
      <c r="ET26" s="5">
        <f t="shared" si="166"/>
        <v>0</v>
      </c>
      <c r="EU26" s="5">
        <f t="shared" si="167"/>
        <v>0</v>
      </c>
      <c r="EV26" s="5">
        <f t="shared" si="168"/>
        <v>0</v>
      </c>
      <c r="EW26" s="5">
        <f t="shared" si="169"/>
        <v>0</v>
      </c>
      <c r="EX26" s="5">
        <f t="shared" si="170"/>
        <v>0</v>
      </c>
      <c r="EY26" s="5">
        <f t="shared" si="171"/>
        <v>0</v>
      </c>
      <c r="EZ26" s="5">
        <f t="shared" si="172"/>
        <v>0</v>
      </c>
      <c r="FA26" s="5">
        <f t="shared" si="173"/>
        <v>0</v>
      </c>
      <c r="FB26" s="5">
        <f t="shared" si="174"/>
        <v>0</v>
      </c>
      <c r="FC26" s="5">
        <f t="shared" si="175"/>
        <v>0</v>
      </c>
      <c r="FD26" s="5">
        <f t="shared" si="176"/>
        <v>0</v>
      </c>
      <c r="FE26" s="5">
        <f t="shared" si="177"/>
        <v>0</v>
      </c>
      <c r="FF26" s="5">
        <f t="shared" si="178"/>
        <v>0</v>
      </c>
      <c r="FG26" s="5">
        <f t="shared" si="179"/>
        <v>0</v>
      </c>
      <c r="FH26" s="5">
        <f t="shared" si="180"/>
        <v>0</v>
      </c>
      <c r="FI26" s="5">
        <f t="shared" si="181"/>
        <v>0</v>
      </c>
      <c r="FJ26" s="5">
        <f t="shared" si="182"/>
        <v>0</v>
      </c>
      <c r="FK26" s="5">
        <f t="shared" si="183"/>
        <v>0</v>
      </c>
      <c r="FL26" s="5">
        <f t="shared" si="184"/>
        <v>0</v>
      </c>
      <c r="FM26" s="5">
        <f t="shared" si="185"/>
        <v>0</v>
      </c>
      <c r="FN26" s="5">
        <f t="shared" si="186"/>
        <v>0</v>
      </c>
      <c r="FO26" s="5">
        <f t="shared" si="187"/>
        <v>0</v>
      </c>
      <c r="FP26" s="5">
        <f t="shared" si="188"/>
        <v>0</v>
      </c>
    </row>
    <row r="27" spans="1:172" ht="20.100000000000001" customHeight="1" x14ac:dyDescent="0.3">
      <c r="A27" s="8" t="str">
        <f>IF(Ciclo&gt;2,"Surco 3","NA")</f>
        <v>Surco 3</v>
      </c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O27" s="58">
        <f>IF($A27="NA",0,IFERROR('6'!O$15/Ciclo,0))</f>
        <v>0</v>
      </c>
      <c r="P27" s="58">
        <f>IF($A27="NA",0,IFERROR('6'!P$15/Ciclo,0))</f>
        <v>0</v>
      </c>
      <c r="Q27" s="58">
        <f>IF($A27="NA",0,IFERROR('6'!Q$15/Ciclo,0))</f>
        <v>0</v>
      </c>
      <c r="R27" s="58">
        <f>IF($A27="NA",0,IFERROR('6'!R$15/Ciclo,0))</f>
        <v>0</v>
      </c>
      <c r="S27" s="58">
        <f>IF($A27="NA",0,IFERROR('6'!S$15/Ciclo,0))</f>
        <v>0</v>
      </c>
      <c r="T27" s="58">
        <f>IF($A27="NA",0,IFERROR('6'!T$15/Ciclo,0))</f>
        <v>0</v>
      </c>
      <c r="U27" s="58">
        <f>IF($A27="NA",0,IFERROR('6'!U$15/Ciclo,0))</f>
        <v>0</v>
      </c>
      <c r="V27" s="58">
        <f>IF($A27="NA",0,IFERROR('6'!V$15/Ciclo,0))</f>
        <v>0</v>
      </c>
      <c r="W27" s="5">
        <f>IF($A27="NA",0,IFERROR('6'!W$15/Ciclo,0))</f>
        <v>0</v>
      </c>
      <c r="X27" s="5">
        <f>IF($A27="NA",0,IFERROR('6'!X$15/Ciclo,0))</f>
        <v>0</v>
      </c>
      <c r="Y27" s="5">
        <f>IF($A27="NA",0,IFERROR('6'!Y$15/Ciclo,0))</f>
        <v>0</v>
      </c>
      <c r="Z27" s="5">
        <f>IF($A27="NA",0,IFERROR('6'!Z$15/Ciclo,0))</f>
        <v>0</v>
      </c>
      <c r="AB27" s="5">
        <f>IF($B$22="Producción",IF($B27&gt;=LI_A,$O27,0),0)</f>
        <v>0</v>
      </c>
      <c r="AC27" s="5">
        <f>IF($B$22="Producción",IF($B27&gt;=LI_B,IF($B27&lt;LS_B,$O27,0),0),0)</f>
        <v>0</v>
      </c>
      <c r="AD27" s="5">
        <f>IF($B$22="Producción",IF($B27&gt;=LI_C,IF($B27&lt;LS_C,$O27,0),0),0)</f>
        <v>0</v>
      </c>
      <c r="AE27" s="5">
        <f>IF($B$22="Producción",IF($B27&lt;LS_D,$O27,0),0)</f>
        <v>0</v>
      </c>
      <c r="AF27" s="5">
        <f t="shared" si="189"/>
        <v>0</v>
      </c>
      <c r="AI27" s="5">
        <f>IF($C$22="Producción",IF($C27&gt;=LI_A,$P27,0),0)</f>
        <v>0</v>
      </c>
      <c r="AJ27" s="5">
        <f>IF($C$22="Producción",IF($C27&gt;=LI_B,IF($C27&lt;LS_B,$P27,0),0),0)</f>
        <v>0</v>
      </c>
      <c r="AK27" s="5">
        <f>IF($C$22="Producción",IF($C27&gt;=LI_C,IF($C27&lt;LS_C,$P27,0),0),0)</f>
        <v>0</v>
      </c>
      <c r="AL27" s="5">
        <f>IF($C$22="Producción",IF($C27&lt;LS_D,$P27,0),0)</f>
        <v>0</v>
      </c>
      <c r="AM27" s="5">
        <f>IF($C$22="Crecimiento",$P27,0)</f>
        <v>0</v>
      </c>
      <c r="AP27" s="5">
        <f>IF($D$22="Producción",IF($D27&gt;=LI_A,$Q27,0),0)</f>
        <v>0</v>
      </c>
      <c r="AQ27" s="5">
        <f>IF($D$22="Producción",IF($D27&gt;=LI_B,IF($D27&lt;LS_B,$Q27,0),0),0)</f>
        <v>0</v>
      </c>
      <c r="AR27" s="5">
        <f>IF($D$22="Producción",IF($D27&gt;=LI_C,IF($D27&lt;LS_C,$Q27,0),0),0)</f>
        <v>0</v>
      </c>
      <c r="AS27" s="5">
        <f>IF($D$22="Producción",IF($D27&lt;LS_D,$Q27,0),0)</f>
        <v>0</v>
      </c>
      <c r="AT27" s="5">
        <f>IF($D$22="Crecimiento",IF($D27&gt;0,$Q27,0),0)</f>
        <v>0</v>
      </c>
      <c r="AW27" s="5">
        <f>IF($E$22="Producción",IF($E27&gt;=LI_A,$R27,0),0)</f>
        <v>0</v>
      </c>
      <c r="AX27" s="5">
        <f>IF($E$22="Producción",IF($E27&gt;=LI_B,IF($E27&lt;LS_B,$R27,0),0),0)</f>
        <v>0</v>
      </c>
      <c r="AY27" s="5">
        <f>IF($E$22="Producción",IF($E27&gt;=LI_C,IF($E27&lt;LS_C,$R27,0),0),0)</f>
        <v>0</v>
      </c>
      <c r="AZ27" s="5">
        <f>IF($E$22="Producción",IF($E27&lt;LS_D,$R27,0),0)</f>
        <v>0</v>
      </c>
      <c r="BA27" s="5">
        <f>IF($E$22="Crecimiento",$R27,0)</f>
        <v>0</v>
      </c>
      <c r="BD27" s="5">
        <f>IF($F$22="Producción",IF($F27&gt;=LI_A,$S27,0),0)</f>
        <v>0</v>
      </c>
      <c r="BE27" s="5">
        <f>IF($F$22="Producción",IF($F27&gt;=LI_B,IF($F27&lt;LS_B,$S27,0),0),0)</f>
        <v>0</v>
      </c>
      <c r="BF27" s="5">
        <f>IF($F$22="Producción",IF($F27&gt;=LI_C,IF($F27&lt;LS_C,$S27,0),0),0)</f>
        <v>0</v>
      </c>
      <c r="BG27" s="5">
        <f>IF($F$22="Producción",IF($F27&lt;LS_D,$S27,0),0)</f>
        <v>0</v>
      </c>
      <c r="BH27" s="5">
        <f>IF($F$22="Crecimiento",$S27,0)</f>
        <v>0</v>
      </c>
      <c r="BK27" s="5">
        <f>IF($G$22="Producción",IF($G27&gt;=LI_A,$T27,0),0)</f>
        <v>0</v>
      </c>
      <c r="BL27" s="5">
        <f>IF($G$22="Producción",IF($G27&gt;=LI_B,IF($G27&lt;LS_B,$T27,0),0),0)</f>
        <v>0</v>
      </c>
      <c r="BM27" s="5">
        <f>IF($G$22="Producción",IF($G27&gt;=LI_C,IF($G27&lt;LS_C,$T27,0),0),0)</f>
        <v>0</v>
      </c>
      <c r="BN27" s="5">
        <f>IF($G$22="Producción",IF($G27&lt;LS_D,$T27,0),0)</f>
        <v>0</v>
      </c>
      <c r="BO27" s="5">
        <f>IF($G$22="Crecimiento",$T27,0)</f>
        <v>0</v>
      </c>
      <c r="BR27" s="5">
        <f>IF($H$22="Producción",IF($H27&gt;=LI_A,$U27,0),0)</f>
        <v>0</v>
      </c>
      <c r="BS27" s="5">
        <f>IF($H$22="Producción",IF($H27&gt;=LI_B,IF($H27&lt;LS_B,$U27,0),0),0)</f>
        <v>0</v>
      </c>
      <c r="BT27" s="5">
        <f>IF($H$22="Producción",IF($H27&gt;=LI_C,IF($H27&lt;LS_C,$U27,0),0),0)</f>
        <v>0</v>
      </c>
      <c r="BU27" s="5">
        <f>IF($H$22="Producción",IF($H27&lt;LS_D,$U27,0),0)</f>
        <v>0</v>
      </c>
      <c r="BV27" s="5">
        <f>IF($H$22="Crecimiento",$T27,0)</f>
        <v>0</v>
      </c>
      <c r="BY27" s="5">
        <f>IF($I$22="Producción",IF($I27&gt;=LI_A,$V27,0),0)</f>
        <v>0</v>
      </c>
      <c r="BZ27" s="5">
        <f>IF($I$22="Producción",IF($I27&gt;=LI_B,IF($I27&lt;LS_B,$V27,0),0),0)</f>
        <v>0</v>
      </c>
      <c r="CA27" s="5">
        <f>IF($I$22="Producción",IF($I27&gt;=LI_C,IF($I27&lt;LS_C,$V27,0),0),0)</f>
        <v>0</v>
      </c>
      <c r="CB27" s="5">
        <f>IF($I$22="Producción",IF($I27&lt;LS_D,$V27,0),0)</f>
        <v>0</v>
      </c>
      <c r="CC27" s="5">
        <f>IF($I$22="Crecimiento",$V27,0)</f>
        <v>0</v>
      </c>
      <c r="CF27" s="5">
        <f>IF($J$22="Producción",IF($J27&gt;=LI_A,$W27,0),0)</f>
        <v>0</v>
      </c>
      <c r="CG27" s="5">
        <f>IF($J$22="Producción",IF($J27&gt;=LI_B,IF($J27&lt;LS_B,$W27,0),0),0)</f>
        <v>0</v>
      </c>
      <c r="CH27" s="5">
        <f>IF($J$22="Producción",IF($J27&gt;=LI_C,IF($J27&lt;LS_C,$W27,0),0),0)</f>
        <v>0</v>
      </c>
      <c r="CI27" s="5">
        <f>IF($J$22="Producción",IF($J27&lt;LS_D,$W27,0),0)</f>
        <v>0</v>
      </c>
      <c r="CJ27" s="5">
        <f>IF($J$22="Crecimiento",$W27,0)</f>
        <v>0</v>
      </c>
      <c r="CM27" s="5">
        <f>IF($K$22="Producción",IF($K27&gt;=LI_A,$X27,0),0)</f>
        <v>0</v>
      </c>
      <c r="CN27" s="5">
        <f>IF($K$22="Producción",IF($K27&gt;=LI_B,IF($K27&lt;LS_B,$X27,0),0),0)</f>
        <v>0</v>
      </c>
      <c r="CO27" s="5">
        <f>IF($K$22="Producción",IF($K27&gt;=LI_C,IF($K27&lt;LS_C,$X27,0),0),0)</f>
        <v>0</v>
      </c>
      <c r="CP27" s="5">
        <f>IF($K$22="Producción",IF($K27&lt;LS_D,$X27,0),0)</f>
        <v>0</v>
      </c>
      <c r="CQ27" s="5">
        <f>IF($K$22="Crecimiento",$X27,0)</f>
        <v>0</v>
      </c>
      <c r="CT27" s="5">
        <f>IF($L$22="Producción",IF($L27&gt;=LI_A,$Y27,0),0)</f>
        <v>0</v>
      </c>
      <c r="CU27" s="5">
        <f>IF($L$22="Producción",IF($L27&gt;=LI_B,IF($L27&lt;LS_B,$Y27,0),0),0)</f>
        <v>0</v>
      </c>
      <c r="CV27" s="5">
        <f>IF($L$22="Producción",IF($L27&gt;=LI_C,IF($L27&lt;LS_C,$Y27,0),0),0)</f>
        <v>0</v>
      </c>
      <c r="CW27" s="5">
        <f>IF($L$22="Producción",IF($L27&lt;LS_D,$Y27,0),0)</f>
        <v>0</v>
      </c>
      <c r="CX27" s="5">
        <f>IF($L$22="Crecimiento",$Y27,0)</f>
        <v>0</v>
      </c>
      <c r="DA27" s="5">
        <f>IF($M$22="Producción",IF($M27&gt;=LI_A,$Z27,0),0)</f>
        <v>0</v>
      </c>
      <c r="DB27" s="5">
        <f>IF($M$22="Producción",IF($M27&gt;=LI_B,IF($M27&lt;LS_B,$Z27,0),0),0)</f>
        <v>0</v>
      </c>
      <c r="DC27" s="5">
        <f>IF($M$22="Producción",IF($M27&gt;=LI_C,IF($M27&lt;LS_C,$Z27,0),0),0)</f>
        <v>0</v>
      </c>
      <c r="DD27" s="5">
        <f>IF($M$22="Producción",IF($M27&lt;LS_D,$Z27,0),0)</f>
        <v>0</v>
      </c>
      <c r="DE27" s="5">
        <f>IF($M$22="Crecimiento",$Z27,0)</f>
        <v>0</v>
      </c>
      <c r="DI27" s="5">
        <f t="shared" si="129"/>
        <v>0</v>
      </c>
      <c r="DJ27" s="5">
        <f t="shared" si="130"/>
        <v>0</v>
      </c>
      <c r="DK27" s="5">
        <f t="shared" si="131"/>
        <v>0</v>
      </c>
      <c r="DL27" s="5">
        <f t="shared" si="132"/>
        <v>0</v>
      </c>
      <c r="DM27" s="5">
        <f t="shared" si="133"/>
        <v>0</v>
      </c>
      <c r="DN27" s="5">
        <f t="shared" si="134"/>
        <v>0</v>
      </c>
      <c r="DO27" s="5">
        <f t="shared" si="135"/>
        <v>0</v>
      </c>
      <c r="DP27" s="5">
        <f t="shared" si="136"/>
        <v>0</v>
      </c>
      <c r="DQ27" s="5">
        <f t="shared" si="137"/>
        <v>0</v>
      </c>
      <c r="DR27" s="5">
        <f t="shared" si="138"/>
        <v>0</v>
      </c>
      <c r="DS27" s="5">
        <f t="shared" si="139"/>
        <v>0</v>
      </c>
      <c r="DT27" s="5">
        <f t="shared" si="140"/>
        <v>0</v>
      </c>
      <c r="DU27" s="5">
        <f t="shared" si="141"/>
        <v>0</v>
      </c>
      <c r="DV27" s="5">
        <f t="shared" si="142"/>
        <v>0</v>
      </c>
      <c r="DW27" s="5">
        <f t="shared" si="143"/>
        <v>0</v>
      </c>
      <c r="DX27" s="5">
        <f t="shared" si="144"/>
        <v>0</v>
      </c>
      <c r="DY27" s="5">
        <f t="shared" si="145"/>
        <v>0</v>
      </c>
      <c r="DZ27" s="5">
        <f t="shared" si="146"/>
        <v>0</v>
      </c>
      <c r="EA27" s="5">
        <f t="shared" si="147"/>
        <v>0</v>
      </c>
      <c r="EB27" s="5">
        <f t="shared" si="148"/>
        <v>0</v>
      </c>
      <c r="EC27" s="5">
        <f t="shared" si="149"/>
        <v>0</v>
      </c>
      <c r="ED27" s="5">
        <f t="shared" si="150"/>
        <v>0</v>
      </c>
      <c r="EE27" s="5">
        <f t="shared" si="151"/>
        <v>0</v>
      </c>
      <c r="EF27" s="5">
        <f t="shared" si="152"/>
        <v>0</v>
      </c>
      <c r="EG27" s="5">
        <f t="shared" si="153"/>
        <v>0</v>
      </c>
      <c r="EH27" s="5">
        <f t="shared" si="154"/>
        <v>0</v>
      </c>
      <c r="EI27" s="5">
        <f t="shared" si="155"/>
        <v>0</v>
      </c>
      <c r="EJ27" s="5">
        <f t="shared" si="156"/>
        <v>0</v>
      </c>
      <c r="EK27" s="5">
        <f t="shared" si="157"/>
        <v>0</v>
      </c>
      <c r="EL27" s="5">
        <f t="shared" si="158"/>
        <v>0</v>
      </c>
      <c r="EM27" s="5">
        <f t="shared" si="159"/>
        <v>0</v>
      </c>
      <c r="EN27" s="5">
        <f t="shared" si="160"/>
        <v>0</v>
      </c>
      <c r="EO27" s="5">
        <f t="shared" si="161"/>
        <v>0</v>
      </c>
      <c r="EP27" s="5">
        <f t="shared" si="162"/>
        <v>0</v>
      </c>
      <c r="EQ27" s="5">
        <f t="shared" si="163"/>
        <v>0</v>
      </c>
      <c r="ER27" s="5">
        <f t="shared" si="164"/>
        <v>0</v>
      </c>
      <c r="ES27" s="5">
        <f t="shared" si="165"/>
        <v>0</v>
      </c>
      <c r="ET27" s="5">
        <f t="shared" si="166"/>
        <v>0</v>
      </c>
      <c r="EU27" s="5">
        <f t="shared" si="167"/>
        <v>0</v>
      </c>
      <c r="EV27" s="5">
        <f t="shared" si="168"/>
        <v>0</v>
      </c>
      <c r="EW27" s="5">
        <f t="shared" si="169"/>
        <v>0</v>
      </c>
      <c r="EX27" s="5">
        <f t="shared" si="170"/>
        <v>0</v>
      </c>
      <c r="EY27" s="5">
        <f t="shared" si="171"/>
        <v>0</v>
      </c>
      <c r="EZ27" s="5">
        <f t="shared" si="172"/>
        <v>0</v>
      </c>
      <c r="FA27" s="5">
        <f t="shared" si="173"/>
        <v>0</v>
      </c>
      <c r="FB27" s="5">
        <f t="shared" si="174"/>
        <v>0</v>
      </c>
      <c r="FC27" s="5">
        <f t="shared" si="175"/>
        <v>0</v>
      </c>
      <c r="FD27" s="5">
        <f t="shared" si="176"/>
        <v>0</v>
      </c>
      <c r="FE27" s="5">
        <f t="shared" si="177"/>
        <v>0</v>
      </c>
      <c r="FF27" s="5">
        <f t="shared" si="178"/>
        <v>0</v>
      </c>
      <c r="FG27" s="5">
        <f t="shared" si="179"/>
        <v>0</v>
      </c>
      <c r="FH27" s="5">
        <f t="shared" si="180"/>
        <v>0</v>
      </c>
      <c r="FI27" s="5">
        <f t="shared" si="181"/>
        <v>0</v>
      </c>
      <c r="FJ27" s="5">
        <f t="shared" si="182"/>
        <v>0</v>
      </c>
      <c r="FK27" s="5">
        <f t="shared" si="183"/>
        <v>0</v>
      </c>
      <c r="FL27" s="5">
        <f t="shared" si="184"/>
        <v>0</v>
      </c>
      <c r="FM27" s="5">
        <f t="shared" si="185"/>
        <v>0</v>
      </c>
      <c r="FN27" s="5">
        <f t="shared" si="186"/>
        <v>0</v>
      </c>
      <c r="FO27" s="5">
        <f t="shared" si="187"/>
        <v>0</v>
      </c>
      <c r="FP27" s="5">
        <f t="shared" si="188"/>
        <v>0</v>
      </c>
    </row>
    <row r="28" spans="1:172" ht="20.100000000000001" customHeight="1" x14ac:dyDescent="0.3">
      <c r="A28" s="8" t="str">
        <f>IF(Ciclo=4,"Surco 4",IF(Ciclo=5,"Surco 4","NA"))</f>
        <v>NA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O28" s="58">
        <f>IF($A28="NA",0,IFERROR('6'!O$15/Ciclo,0))</f>
        <v>0</v>
      </c>
      <c r="P28" s="58">
        <f>IF($A28="NA",0,IFERROR('6'!P$15/Ciclo,0))</f>
        <v>0</v>
      </c>
      <c r="Q28" s="58">
        <f>IF($A28="NA",0,IFERROR('6'!Q$15/Ciclo,0))</f>
        <v>0</v>
      </c>
      <c r="R28" s="58">
        <f>IF($A28="NA",0,IFERROR('6'!R$15/Ciclo,0))</f>
        <v>0</v>
      </c>
      <c r="S28" s="58">
        <f>IF($A28="NA",0,IFERROR('6'!S$15/Ciclo,0))</f>
        <v>0</v>
      </c>
      <c r="T28" s="58">
        <f>IF($A28="NA",0,IFERROR('6'!T$15/Ciclo,0))</f>
        <v>0</v>
      </c>
      <c r="U28" s="58">
        <f>IF($A28="NA",0,IFERROR('6'!U$15/Ciclo,0))</f>
        <v>0</v>
      </c>
      <c r="V28" s="58">
        <f>IF($A28="NA",0,IFERROR('6'!V$15/Ciclo,0))</f>
        <v>0</v>
      </c>
      <c r="W28" s="5">
        <f>IF($A28="NA",0,IFERROR('6'!W$15/Ciclo,0))</f>
        <v>0</v>
      </c>
      <c r="X28" s="5">
        <f>IF($A28="NA",0,IFERROR('6'!X$15/Ciclo,0))</f>
        <v>0</v>
      </c>
      <c r="Y28" s="5">
        <f>IF($A28="NA",0,IFERROR('6'!Y$15/Ciclo,0))</f>
        <v>0</v>
      </c>
      <c r="Z28" s="5">
        <f>IF($A28="NA",0,IFERROR('6'!Z$15/Ciclo,0))</f>
        <v>0</v>
      </c>
      <c r="AB28" s="5">
        <f>IF($B$22="Producción",IF($B28&gt;=LI_A,$O28,0),0)</f>
        <v>0</v>
      </c>
      <c r="AC28" s="5">
        <f>IF($B$22="Producción",IF($B28&gt;=LI_B,IF($B28&lt;LS_B,$O28,0),0),0)</f>
        <v>0</v>
      </c>
      <c r="AD28" s="5">
        <f>IF($B$22="Producción",IF($B28&gt;=LI_C,IF($B28&lt;LS_C,$O28,0),0),0)</f>
        <v>0</v>
      </c>
      <c r="AE28" s="5">
        <f>IF($B$22="Producción",IF($B28&lt;LS_D,$O28,0),0)</f>
        <v>0</v>
      </c>
      <c r="AF28" s="5">
        <f t="shared" si="189"/>
        <v>0</v>
      </c>
      <c r="AI28" s="5">
        <f>IF($C$22="Producción",IF($C28&gt;=LI_A,$P28,0),0)</f>
        <v>0</v>
      </c>
      <c r="AJ28" s="5">
        <f>IF($C$22="Producción",IF($C28&gt;=LI_B,IF($C28&lt;LS_B,$P28,0),0),0)</f>
        <v>0</v>
      </c>
      <c r="AK28" s="5">
        <f>IF($C$22="Producción",IF($C28&gt;=LI_C,IF($C28&lt;LS_C,$P28,0),0),0)</f>
        <v>0</v>
      </c>
      <c r="AL28" s="5">
        <f>IF($C$22="Producción",IF($C28&lt;LS_D,$P28,0),0)</f>
        <v>0</v>
      </c>
      <c r="AM28" s="5">
        <f>IF($C$22="Crecimiento",$P28,0)</f>
        <v>0</v>
      </c>
      <c r="AP28" s="5">
        <f>IF($D$22="Producción",IF($D28&gt;=LI_A,$Q28,0),0)</f>
        <v>0</v>
      </c>
      <c r="AQ28" s="5">
        <f>IF($D$22="Producción",IF($D28&gt;=LI_B,IF($D28&lt;LS_B,$Q28,0),0),0)</f>
        <v>0</v>
      </c>
      <c r="AR28" s="5">
        <f>IF($D$22="Producción",IF($D28&gt;=LI_C,IF($D28&lt;LS_C,$Q28,0),0),0)</f>
        <v>0</v>
      </c>
      <c r="AS28" s="5">
        <f>IF($D$22="Producción",IF($D28&lt;LS_D,$Q28,0),0)</f>
        <v>0</v>
      </c>
      <c r="AT28" s="5">
        <f>IF($D$22="Crecimiento",IF($D28&gt;0,$Q28,0),0)</f>
        <v>0</v>
      </c>
      <c r="AW28" s="5">
        <f>IF($E$22="Producción",IF($E28&gt;=LI_A,$R28,0),0)</f>
        <v>0</v>
      </c>
      <c r="AX28" s="5">
        <f>IF($E$22="Producción",IF($E28&gt;=LI_B,IF($E28&lt;LS_B,$R28,0),0),0)</f>
        <v>0</v>
      </c>
      <c r="AY28" s="5">
        <f>IF($E$22="Producción",IF($E28&gt;=LI_C,IF($E28&lt;LS_C,$R28,0),0),0)</f>
        <v>0</v>
      </c>
      <c r="AZ28" s="5">
        <f>IF($E$22="Producción",IF($E28&lt;LS_D,$R28,0),0)</f>
        <v>0</v>
      </c>
      <c r="BA28" s="5">
        <f>IF($E$22="Crecimiento",$R28,0)</f>
        <v>0</v>
      </c>
      <c r="BD28" s="5">
        <f>IF($F$22="Producción",IF($F28&gt;=LI_A,$S28,0),0)</f>
        <v>0</v>
      </c>
      <c r="BE28" s="5">
        <f>IF($F$22="Producción",IF($F28&gt;=LI_B,IF($F28&lt;LS_B,$S28,0),0),0)</f>
        <v>0</v>
      </c>
      <c r="BF28" s="5">
        <f>IF($F$22="Producción",IF($F28&gt;=LI_C,IF($F28&lt;LS_C,$S28,0),0),0)</f>
        <v>0</v>
      </c>
      <c r="BG28" s="5">
        <f>IF($F$22="Producción",IF($F28&lt;LS_D,$S28,0),0)</f>
        <v>0</v>
      </c>
      <c r="BH28" s="5">
        <f>IF($F$22="Crecimiento",$S28,0)</f>
        <v>0</v>
      </c>
      <c r="BK28" s="5">
        <f>IF($G$22="Producción",IF($G28&gt;=LI_A,$T28,0),0)</f>
        <v>0</v>
      </c>
      <c r="BL28" s="5">
        <f>IF($G$22="Producción",IF($G28&gt;=LI_B,IF($G28&lt;LS_B,$T28,0),0),0)</f>
        <v>0</v>
      </c>
      <c r="BM28" s="5">
        <f>IF($G$22="Producción",IF($G28&gt;=LI_C,IF($G28&lt;LS_C,$T28,0),0),0)</f>
        <v>0</v>
      </c>
      <c r="BN28" s="5">
        <f>IF($G$22="Producción",IF($G28&lt;LS_D,$T28,0),0)</f>
        <v>0</v>
      </c>
      <c r="BO28" s="5">
        <f>IF($G$22="Crecimiento",$T28,0)</f>
        <v>0</v>
      </c>
      <c r="BR28" s="5">
        <f>IF($H$22="Producción",IF($H28&gt;=LI_A,$U28,0),0)</f>
        <v>0</v>
      </c>
      <c r="BS28" s="5">
        <f>IF($H$22="Producción",IF($H28&gt;=LI_B,IF($H28&lt;LS_B,$U28,0),0),0)</f>
        <v>0</v>
      </c>
      <c r="BT28" s="5">
        <f>IF($H$22="Producción",IF($H28&gt;=LI_C,IF($H28&lt;LS_C,$U28,0),0),0)</f>
        <v>0</v>
      </c>
      <c r="BU28" s="5">
        <f>IF($H$22="Producción",IF($H28&lt;LS_D,$U28,0),0)</f>
        <v>0</v>
      </c>
      <c r="BV28" s="5">
        <f>IF($H$22="Crecimiento",$T28,0)</f>
        <v>0</v>
      </c>
      <c r="BY28" s="5">
        <f>IF($I$22="Producción",IF($I28&gt;=LI_A,$V28,0),0)</f>
        <v>0</v>
      </c>
      <c r="BZ28" s="5">
        <f>IF($I$22="Producción",IF($I28&gt;=LI_B,IF($I28&lt;LS_B,$V28,0),0),0)</f>
        <v>0</v>
      </c>
      <c r="CA28" s="5">
        <f>IF($I$22="Producción",IF($I28&gt;=LI_C,IF($I28&lt;LS_C,$V28,0),0),0)</f>
        <v>0</v>
      </c>
      <c r="CB28" s="5">
        <f>IF($I$22="Producción",IF($I28&lt;LS_D,$V28,0),0)</f>
        <v>0</v>
      </c>
      <c r="CC28" s="5">
        <f>IF($I$22="Crecimiento",$V28,0)</f>
        <v>0</v>
      </c>
      <c r="CF28" s="5">
        <f>IF($J$22="Producción",IF($J28&gt;=LI_A,$W28,0),0)</f>
        <v>0</v>
      </c>
      <c r="CG28" s="5">
        <f>IF($J$22="Producción",IF($J28&gt;=LI_B,IF($J28&lt;LS_B,$W28,0),0),0)</f>
        <v>0</v>
      </c>
      <c r="CH28" s="5">
        <f>IF($J$22="Producción",IF($J28&gt;=LI_C,IF($J28&lt;LS_C,$W28,0),0),0)</f>
        <v>0</v>
      </c>
      <c r="CI28" s="5">
        <f>IF($J$22="Producción",IF($J28&lt;LS_D,$W28,0),0)</f>
        <v>0</v>
      </c>
      <c r="CJ28" s="5">
        <f>IF($J$22="Crecimiento",$W28,0)</f>
        <v>0</v>
      </c>
      <c r="CM28" s="5">
        <f>IF($K$22="Producción",IF($K28&gt;=LI_A,$X28,0),0)</f>
        <v>0</v>
      </c>
      <c r="CN28" s="5">
        <f>IF($K$22="Producción",IF($K28&gt;=LI_B,IF($K28&lt;LS_B,$X28,0),0),0)</f>
        <v>0</v>
      </c>
      <c r="CO28" s="5">
        <f>IF($K$22="Producción",IF($K28&gt;=LI_C,IF($K28&lt;LS_C,$X28,0),0),0)</f>
        <v>0</v>
      </c>
      <c r="CP28" s="5">
        <f>IF($K$22="Producción",IF($K28&lt;LS_D,$X28,0),0)</f>
        <v>0</v>
      </c>
      <c r="CQ28" s="5">
        <f>IF($K$22="Crecimiento",$X28,0)</f>
        <v>0</v>
      </c>
      <c r="CT28" s="5">
        <f>IF($L$22="Producción",IF($L28&gt;=LI_A,$Y28,0),0)</f>
        <v>0</v>
      </c>
      <c r="CU28" s="5">
        <f>IF($L$22="Producción",IF($L28&gt;=LI_B,IF($L28&lt;LS_B,$Y28,0),0),0)</f>
        <v>0</v>
      </c>
      <c r="CV28" s="5">
        <f>IF($L$22="Producción",IF($L28&gt;=LI_C,IF($L28&lt;LS_C,$Y28,0),0),0)</f>
        <v>0</v>
      </c>
      <c r="CW28" s="5">
        <f>IF($L$22="Producción",IF($L28&lt;LS_D,$Y28,0),0)</f>
        <v>0</v>
      </c>
      <c r="CX28" s="5">
        <f>IF($L$22="Crecimiento",$Y28,0)</f>
        <v>0</v>
      </c>
      <c r="DA28" s="5">
        <f>IF($M$22="Producción",IF($M28&gt;=LI_A,$Z28,0),0)</f>
        <v>0</v>
      </c>
      <c r="DB28" s="5">
        <f>IF($M$22="Producción",IF($M28&gt;=LI_B,IF($M28&lt;LS_B,$Z28,0),0),0)</f>
        <v>0</v>
      </c>
      <c r="DC28" s="5">
        <f>IF($M$22="Producción",IF($M28&gt;=LI_C,IF($M28&lt;LS_C,$Z28,0),0),0)</f>
        <v>0</v>
      </c>
      <c r="DD28" s="5">
        <f>IF($M$22="Producción",IF($M28&lt;LS_D,$Z28,0),0)</f>
        <v>0</v>
      </c>
      <c r="DE28" s="5">
        <f>IF($M$22="Crecimiento",$Z28,0)</f>
        <v>0</v>
      </c>
      <c r="DI28" s="5">
        <f t="shared" si="129"/>
        <v>0</v>
      </c>
      <c r="DJ28" s="5">
        <f t="shared" si="130"/>
        <v>0</v>
      </c>
      <c r="DK28" s="5">
        <f t="shared" si="131"/>
        <v>0</v>
      </c>
      <c r="DL28" s="5">
        <f t="shared" si="132"/>
        <v>0</v>
      </c>
      <c r="DM28" s="5">
        <f t="shared" si="133"/>
        <v>0</v>
      </c>
      <c r="DN28" s="5">
        <f t="shared" si="134"/>
        <v>0</v>
      </c>
      <c r="DO28" s="5">
        <f t="shared" si="135"/>
        <v>0</v>
      </c>
      <c r="DP28" s="5">
        <f t="shared" si="136"/>
        <v>0</v>
      </c>
      <c r="DQ28" s="5">
        <f t="shared" si="137"/>
        <v>0</v>
      </c>
      <c r="DR28" s="5">
        <f t="shared" si="138"/>
        <v>0</v>
      </c>
      <c r="DS28" s="5">
        <f t="shared" si="139"/>
        <v>0</v>
      </c>
      <c r="DT28" s="5">
        <f t="shared" si="140"/>
        <v>0</v>
      </c>
      <c r="DU28" s="5">
        <f t="shared" si="141"/>
        <v>0</v>
      </c>
      <c r="DV28" s="5">
        <f t="shared" si="142"/>
        <v>0</v>
      </c>
      <c r="DW28" s="5">
        <f t="shared" si="143"/>
        <v>0</v>
      </c>
      <c r="DX28" s="5">
        <f t="shared" si="144"/>
        <v>0</v>
      </c>
      <c r="DY28" s="5">
        <f t="shared" si="145"/>
        <v>0</v>
      </c>
      <c r="DZ28" s="5">
        <f t="shared" si="146"/>
        <v>0</v>
      </c>
      <c r="EA28" s="5">
        <f t="shared" si="147"/>
        <v>0</v>
      </c>
      <c r="EB28" s="5">
        <f t="shared" si="148"/>
        <v>0</v>
      </c>
      <c r="EC28" s="5">
        <f t="shared" si="149"/>
        <v>0</v>
      </c>
      <c r="ED28" s="5">
        <f t="shared" si="150"/>
        <v>0</v>
      </c>
      <c r="EE28" s="5">
        <f t="shared" si="151"/>
        <v>0</v>
      </c>
      <c r="EF28" s="5">
        <f t="shared" si="152"/>
        <v>0</v>
      </c>
      <c r="EG28" s="5">
        <f t="shared" si="153"/>
        <v>0</v>
      </c>
      <c r="EH28" s="5">
        <f t="shared" si="154"/>
        <v>0</v>
      </c>
      <c r="EI28" s="5">
        <f t="shared" si="155"/>
        <v>0</v>
      </c>
      <c r="EJ28" s="5">
        <f t="shared" si="156"/>
        <v>0</v>
      </c>
      <c r="EK28" s="5">
        <f t="shared" si="157"/>
        <v>0</v>
      </c>
      <c r="EL28" s="5">
        <f t="shared" si="158"/>
        <v>0</v>
      </c>
      <c r="EM28" s="5">
        <f t="shared" si="159"/>
        <v>0</v>
      </c>
      <c r="EN28" s="5">
        <f t="shared" si="160"/>
        <v>0</v>
      </c>
      <c r="EO28" s="5">
        <f t="shared" si="161"/>
        <v>0</v>
      </c>
      <c r="EP28" s="5">
        <f t="shared" si="162"/>
        <v>0</v>
      </c>
      <c r="EQ28" s="5">
        <f t="shared" si="163"/>
        <v>0</v>
      </c>
      <c r="ER28" s="5">
        <f t="shared" si="164"/>
        <v>0</v>
      </c>
      <c r="ES28" s="5">
        <f t="shared" si="165"/>
        <v>0</v>
      </c>
      <c r="ET28" s="5">
        <f t="shared" si="166"/>
        <v>0</v>
      </c>
      <c r="EU28" s="5">
        <f t="shared" si="167"/>
        <v>0</v>
      </c>
      <c r="EV28" s="5">
        <f t="shared" si="168"/>
        <v>0</v>
      </c>
      <c r="EW28" s="5">
        <f t="shared" si="169"/>
        <v>0</v>
      </c>
      <c r="EX28" s="5">
        <f t="shared" si="170"/>
        <v>0</v>
      </c>
      <c r="EY28" s="5">
        <f t="shared" si="171"/>
        <v>0</v>
      </c>
      <c r="EZ28" s="5">
        <f t="shared" si="172"/>
        <v>0</v>
      </c>
      <c r="FA28" s="5">
        <f t="shared" si="173"/>
        <v>0</v>
      </c>
      <c r="FB28" s="5">
        <f t="shared" si="174"/>
        <v>0</v>
      </c>
      <c r="FC28" s="5">
        <f t="shared" si="175"/>
        <v>0</v>
      </c>
      <c r="FD28" s="5">
        <f t="shared" si="176"/>
        <v>0</v>
      </c>
      <c r="FE28" s="5">
        <f t="shared" si="177"/>
        <v>0</v>
      </c>
      <c r="FF28" s="5">
        <f t="shared" si="178"/>
        <v>0</v>
      </c>
      <c r="FG28" s="5">
        <f t="shared" si="179"/>
        <v>0</v>
      </c>
      <c r="FH28" s="5">
        <f t="shared" si="180"/>
        <v>0</v>
      </c>
      <c r="FI28" s="5">
        <f t="shared" si="181"/>
        <v>0</v>
      </c>
      <c r="FJ28" s="5">
        <f t="shared" si="182"/>
        <v>0</v>
      </c>
      <c r="FK28" s="5">
        <f t="shared" si="183"/>
        <v>0</v>
      </c>
      <c r="FL28" s="5">
        <f t="shared" si="184"/>
        <v>0</v>
      </c>
      <c r="FM28" s="5">
        <f t="shared" si="185"/>
        <v>0</v>
      </c>
      <c r="FN28" s="5">
        <f t="shared" si="186"/>
        <v>0</v>
      </c>
      <c r="FO28" s="5">
        <f t="shared" si="187"/>
        <v>0</v>
      </c>
      <c r="FP28" s="5">
        <f t="shared" si="188"/>
        <v>0</v>
      </c>
    </row>
    <row r="29" spans="1:172" ht="20.100000000000001" customHeight="1" x14ac:dyDescent="0.3">
      <c r="A29" s="9" t="str">
        <f>IF(Ciclo=5,"Surco 5","NA")</f>
        <v>NA</v>
      </c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O29" s="58">
        <f>IF($A29="NA",0,IFERROR('6'!O$15/Ciclo,0))</f>
        <v>0</v>
      </c>
      <c r="P29" s="58">
        <f>IF($A29="NA",0,IFERROR('6'!P$15/Ciclo,0))</f>
        <v>0</v>
      </c>
      <c r="Q29" s="58">
        <f>IF($A29="NA",0,IFERROR('6'!Q$15/Ciclo,0))</f>
        <v>0</v>
      </c>
      <c r="R29" s="58">
        <f>IF($A29="NA",0,IFERROR('6'!R$15/Ciclo,0))</f>
        <v>0</v>
      </c>
      <c r="S29" s="58">
        <f>IF($A29="NA",0,IFERROR('6'!S$15/Ciclo,0))</f>
        <v>0</v>
      </c>
      <c r="T29" s="58">
        <f>IF($A29="NA",0,IFERROR('6'!T$15/Ciclo,0))</f>
        <v>0</v>
      </c>
      <c r="U29" s="58">
        <f>IF($A29="NA",0,IFERROR('6'!U$15/Ciclo,0))</f>
        <v>0</v>
      </c>
      <c r="V29" s="58">
        <f>IF($A29="NA",0,IFERROR('6'!V$15/Ciclo,0))</f>
        <v>0</v>
      </c>
      <c r="W29" s="5">
        <f>IF($A29="NA",0,IFERROR('6'!W$15/Ciclo,0))</f>
        <v>0</v>
      </c>
      <c r="X29" s="5">
        <f>IF($A29="NA",0,IFERROR('6'!X$15/Ciclo,0))</f>
        <v>0</v>
      </c>
      <c r="Y29" s="5">
        <f>IF($A29="NA",0,IFERROR('6'!Y$15/Ciclo,0))</f>
        <v>0</v>
      </c>
      <c r="Z29" s="5">
        <f>IF($A29="NA",0,IFERROR('6'!Z$15/Ciclo,0))</f>
        <v>0</v>
      </c>
      <c r="AB29" s="5">
        <f>IF($B$22="Producción",IF($B29&gt;=LI_A,$O29,0),0)</f>
        <v>0</v>
      </c>
      <c r="AC29" s="5">
        <f>IF($B$22="Producción",IF($B29&gt;=LI_B,IF($B29&lt;LS_B,$O29,0),0),0)</f>
        <v>0</v>
      </c>
      <c r="AD29" s="5">
        <f>IF($B$22="Producción",IF($B29&gt;=LI_C,IF($B29&lt;LS_C,$O29,0),0),0)</f>
        <v>0</v>
      </c>
      <c r="AE29" s="5">
        <f>IF($B$22="Producción",IF($B29&lt;LS_D,$O29,0),0)</f>
        <v>0</v>
      </c>
      <c r="AF29" s="5">
        <f t="shared" si="189"/>
        <v>0</v>
      </c>
      <c r="AI29" s="5">
        <f>IF($C$22="Producción",IF($C29&gt;=LI_A,$P29,0),0)</f>
        <v>0</v>
      </c>
      <c r="AJ29" s="5">
        <f>IF($C$22="Producción",IF($C29&gt;=LI_B,IF($C29&lt;LS_B,$P29,0),0),0)</f>
        <v>0</v>
      </c>
      <c r="AK29" s="5">
        <f>IF($C$22="Producción",IF($C29&gt;=LI_C,IF($C29&lt;LS_C,$P29,0),0),0)</f>
        <v>0</v>
      </c>
      <c r="AL29" s="5">
        <f>IF($C$22="Producción",IF($C29&lt;LS_D,$P29,0),0)</f>
        <v>0</v>
      </c>
      <c r="AM29" s="5">
        <f>IF($C$22="Crecimiento",$P29,0)</f>
        <v>0</v>
      </c>
      <c r="AP29" s="5">
        <f>IF($D$22="Producción",IF($D29&gt;=LI_A,$Q29,0),0)</f>
        <v>0</v>
      </c>
      <c r="AQ29" s="5">
        <f>IF($D$22="Producción",IF($D29&gt;=LI_B,IF($D29&lt;LS_B,$Q29,0),0),0)</f>
        <v>0</v>
      </c>
      <c r="AR29" s="5">
        <f>IF($D$22="Producción",IF($D29&gt;=LI_C,IF($D29&lt;LS_C,$Q29,0),0),0)</f>
        <v>0</v>
      </c>
      <c r="AS29" s="5">
        <f>IF($D$22="Producción",IF($D29&lt;LS_D,$Q29,0),0)</f>
        <v>0</v>
      </c>
      <c r="AT29" s="5">
        <f>IF($D$22="Crecimiento",IF($D29&gt;0,$Q29,0),0)</f>
        <v>0</v>
      </c>
      <c r="AW29" s="5">
        <f>IF($E$22="Producción",IF($E29&gt;=LI_A,$R29,0),0)</f>
        <v>0</v>
      </c>
      <c r="AX29" s="5">
        <f>IF($E$22="Producción",IF($E29&gt;=LI_B,IF($E29&lt;LS_B,$R29,0),0),0)</f>
        <v>0</v>
      </c>
      <c r="AY29" s="5">
        <f>IF($E$22="Producción",IF($E29&gt;=LI_C,IF($E29&lt;LS_C,$R29,0),0),0)</f>
        <v>0</v>
      </c>
      <c r="AZ29" s="5">
        <f>IF($E$22="Producción",IF($E29&lt;LS_D,$R29,0),0)</f>
        <v>0</v>
      </c>
      <c r="BA29" s="5">
        <f>IF($E$22="Crecimiento",$R29,0)</f>
        <v>0</v>
      </c>
      <c r="BD29" s="5">
        <f>IF($F$22="Producción",IF($F29&gt;=LI_A,$S29,0),0)</f>
        <v>0</v>
      </c>
      <c r="BE29" s="5">
        <f>IF($F$22="Producción",IF($F29&gt;=LI_B,IF($F29&lt;LS_B,$S29,0),0),0)</f>
        <v>0</v>
      </c>
      <c r="BF29" s="5">
        <f>IF($F$22="Producción",IF($F29&gt;=LI_C,IF($F29&lt;LS_C,$S29,0),0),0)</f>
        <v>0</v>
      </c>
      <c r="BG29" s="5">
        <f>IF($F$22="Producción",IF($F29&lt;LS_D,$S29,0),0)</f>
        <v>0</v>
      </c>
      <c r="BH29" s="5">
        <f>IF($F$22="Crecimiento",$S29,0)</f>
        <v>0</v>
      </c>
      <c r="BK29" s="5">
        <f>IF($G$22="Producción",IF($G29&gt;=LI_A,$T29,0),0)</f>
        <v>0</v>
      </c>
      <c r="BL29" s="5">
        <f>IF($G$22="Producción",IF($G29&gt;=LI_B,IF($G29&lt;LS_B,$T29,0),0),0)</f>
        <v>0</v>
      </c>
      <c r="BM29" s="5">
        <f>IF($G$22="Producción",IF($G29&gt;=LI_C,IF($G29&lt;LS_C,$T29,0),0),0)</f>
        <v>0</v>
      </c>
      <c r="BN29" s="5">
        <f>IF($G$22="Producción",IF($G29&lt;LS_D,$T29,0),0)</f>
        <v>0</v>
      </c>
      <c r="BO29" s="5">
        <f>IF($G$22="Crecimiento",$T29,0)</f>
        <v>0</v>
      </c>
      <c r="BR29" s="5">
        <f>IF($H$22="Producción",IF($H29&gt;=LI_A,$U29,0),0)</f>
        <v>0</v>
      </c>
      <c r="BS29" s="5">
        <f>IF($H$22="Producción",IF($H29&gt;=LI_B,IF($H29&lt;LS_B,$U29,0),0),0)</f>
        <v>0</v>
      </c>
      <c r="BT29" s="5">
        <f>IF($H$22="Producción",IF($H29&gt;=LI_C,IF($H29&lt;LS_C,$U29,0),0),0)</f>
        <v>0</v>
      </c>
      <c r="BU29" s="5">
        <f>IF($H$22="Producción",IF($H29&lt;LS_D,$U29,0),0)</f>
        <v>0</v>
      </c>
      <c r="BV29" s="5">
        <f>IF($H$22="Crecimiento",$T29,0)</f>
        <v>0</v>
      </c>
      <c r="BY29" s="5">
        <f>IF($I$22="Producción",IF($I29&gt;=LI_A,$V29,0),0)</f>
        <v>0</v>
      </c>
      <c r="BZ29" s="5">
        <f>IF($I$22="Producción",IF($I29&gt;=LI_B,IF($I29&lt;LS_B,$V29,0),0),0)</f>
        <v>0</v>
      </c>
      <c r="CA29" s="5">
        <f>IF($I$22="Producción",IF($I29&gt;=LI_C,IF($I29&lt;LS_C,$V29,0),0),0)</f>
        <v>0</v>
      </c>
      <c r="CB29" s="5">
        <f>IF($I$22="Producción",IF($I29&lt;LS_D,$V29,0),0)</f>
        <v>0</v>
      </c>
      <c r="CC29" s="5">
        <f>IF($I$22="Crecimiento",$V29,0)</f>
        <v>0</v>
      </c>
      <c r="CF29" s="5">
        <f>IF($J$22="Producción",IF($J29&gt;=LI_A,$W29,0),0)</f>
        <v>0</v>
      </c>
      <c r="CG29" s="5">
        <f>IF($J$22="Producción",IF($J29&gt;=LI_B,IF($J29&lt;LS_B,$W29,0),0),0)</f>
        <v>0</v>
      </c>
      <c r="CH29" s="5">
        <f>IF($J$22="Producción",IF($J29&gt;=LI_C,IF($J29&lt;LS_C,$W29,0),0),0)</f>
        <v>0</v>
      </c>
      <c r="CI29" s="5">
        <f>IF($J$22="Producción",IF($J29&lt;LS_D,$W29,0),0)</f>
        <v>0</v>
      </c>
      <c r="CJ29" s="5">
        <f>IF($J$22="Crecimiento",$W29,0)</f>
        <v>0</v>
      </c>
      <c r="CM29" s="5">
        <f>IF($K$22="Producción",IF($K29&gt;=LI_A,$X29,0),0)</f>
        <v>0</v>
      </c>
      <c r="CN29" s="5">
        <f>IF($K$22="Producción",IF($K29&gt;=LI_B,IF($K29&lt;LS_B,$X29,0),0),0)</f>
        <v>0</v>
      </c>
      <c r="CO29" s="5">
        <f>IF($K$22="Producción",IF($K29&gt;=LI_C,IF($K29&lt;LS_C,$X29,0),0),0)</f>
        <v>0</v>
      </c>
      <c r="CP29" s="5">
        <f>IF($K$22="Producción",IF($K29&lt;LS_D,$X29,0),0)</f>
        <v>0</v>
      </c>
      <c r="CQ29" s="5">
        <f>IF($K$22="Crecimiento",$X29,0)</f>
        <v>0</v>
      </c>
      <c r="CT29" s="5">
        <f>IF($L$22="Producción",IF($L29&gt;=LI_A,$Y29,0),0)</f>
        <v>0</v>
      </c>
      <c r="CU29" s="5">
        <f>IF($L$22="Producción",IF($L29&gt;=LI_B,IF($L29&lt;LS_B,$Y29,0),0),0)</f>
        <v>0</v>
      </c>
      <c r="CV29" s="5">
        <f>IF($L$22="Producción",IF($L29&gt;=LI_C,IF($L29&lt;LS_C,$Y29,0),0),0)</f>
        <v>0</v>
      </c>
      <c r="CW29" s="5">
        <f>IF($L$22="Producción",IF($L29&lt;LS_D,$Y29,0),0)</f>
        <v>0</v>
      </c>
      <c r="CX29" s="5">
        <f>IF($L$22="Crecimiento",$Y29,0)</f>
        <v>0</v>
      </c>
      <c r="DA29" s="5">
        <f>IF($M$22="Producción",IF($M29&gt;=LI_A,$Z29,0),0)</f>
        <v>0</v>
      </c>
      <c r="DB29" s="5">
        <f>IF($M$22="Producción",IF($M29&gt;=LI_B,IF($M29&lt;LS_B,$Z29,0),0),0)</f>
        <v>0</v>
      </c>
      <c r="DC29" s="5">
        <f>IF($M$22="Producción",IF($M29&gt;=LI_C,IF($M29&lt;LS_C,$Z29,0),0),0)</f>
        <v>0</v>
      </c>
      <c r="DD29" s="5">
        <f>IF($M$22="Producción",IF($M29&lt;LS_D,$Z29,0),0)</f>
        <v>0</v>
      </c>
      <c r="DE29" s="5">
        <f>IF($M$22="Crecimiento",$Z29,0)</f>
        <v>0</v>
      </c>
      <c r="DI29" s="5">
        <f t="shared" si="129"/>
        <v>0</v>
      </c>
      <c r="DJ29" s="5">
        <f t="shared" si="130"/>
        <v>0</v>
      </c>
      <c r="DK29" s="5">
        <f t="shared" si="131"/>
        <v>0</v>
      </c>
      <c r="DL29" s="5">
        <f t="shared" si="132"/>
        <v>0</v>
      </c>
      <c r="DM29" s="5">
        <f t="shared" si="133"/>
        <v>0</v>
      </c>
      <c r="DN29" s="5">
        <f t="shared" si="134"/>
        <v>0</v>
      </c>
      <c r="DO29" s="5">
        <f t="shared" si="135"/>
        <v>0</v>
      </c>
      <c r="DP29" s="5">
        <f t="shared" si="136"/>
        <v>0</v>
      </c>
      <c r="DQ29" s="5">
        <f t="shared" si="137"/>
        <v>0</v>
      </c>
      <c r="DR29" s="5">
        <f t="shared" si="138"/>
        <v>0</v>
      </c>
      <c r="DS29" s="5">
        <f t="shared" si="139"/>
        <v>0</v>
      </c>
      <c r="DT29" s="5">
        <f t="shared" si="140"/>
        <v>0</v>
      </c>
      <c r="DU29" s="5">
        <f t="shared" si="141"/>
        <v>0</v>
      </c>
      <c r="DV29" s="5">
        <f t="shared" si="142"/>
        <v>0</v>
      </c>
      <c r="DW29" s="5">
        <f t="shared" si="143"/>
        <v>0</v>
      </c>
      <c r="DX29" s="5">
        <f t="shared" si="144"/>
        <v>0</v>
      </c>
      <c r="DY29" s="5">
        <f t="shared" si="145"/>
        <v>0</v>
      </c>
      <c r="DZ29" s="5">
        <f t="shared" si="146"/>
        <v>0</v>
      </c>
      <c r="EA29" s="5">
        <f t="shared" si="147"/>
        <v>0</v>
      </c>
      <c r="EB29" s="5">
        <f t="shared" si="148"/>
        <v>0</v>
      </c>
      <c r="EC29" s="5">
        <f t="shared" si="149"/>
        <v>0</v>
      </c>
      <c r="ED29" s="5">
        <f t="shared" si="150"/>
        <v>0</v>
      </c>
      <c r="EE29" s="5">
        <f t="shared" si="151"/>
        <v>0</v>
      </c>
      <c r="EF29" s="5">
        <f t="shared" si="152"/>
        <v>0</v>
      </c>
      <c r="EG29" s="5">
        <f t="shared" si="153"/>
        <v>0</v>
      </c>
      <c r="EH29" s="5">
        <f t="shared" si="154"/>
        <v>0</v>
      </c>
      <c r="EI29" s="5">
        <f t="shared" si="155"/>
        <v>0</v>
      </c>
      <c r="EJ29" s="5">
        <f t="shared" si="156"/>
        <v>0</v>
      </c>
      <c r="EK29" s="5">
        <f t="shared" si="157"/>
        <v>0</v>
      </c>
      <c r="EL29" s="5">
        <f t="shared" si="158"/>
        <v>0</v>
      </c>
      <c r="EM29" s="5">
        <f t="shared" si="159"/>
        <v>0</v>
      </c>
      <c r="EN29" s="5">
        <f t="shared" si="160"/>
        <v>0</v>
      </c>
      <c r="EO29" s="5">
        <f t="shared" si="161"/>
        <v>0</v>
      </c>
      <c r="EP29" s="5">
        <f t="shared" si="162"/>
        <v>0</v>
      </c>
      <c r="EQ29" s="5">
        <f t="shared" si="163"/>
        <v>0</v>
      </c>
      <c r="ER29" s="5">
        <f t="shared" si="164"/>
        <v>0</v>
      </c>
      <c r="ES29" s="5">
        <f t="shared" si="165"/>
        <v>0</v>
      </c>
      <c r="ET29" s="5">
        <f t="shared" si="166"/>
        <v>0</v>
      </c>
      <c r="EU29" s="5">
        <f t="shared" si="167"/>
        <v>0</v>
      </c>
      <c r="EV29" s="5">
        <f t="shared" si="168"/>
        <v>0</v>
      </c>
      <c r="EW29" s="5">
        <f t="shared" si="169"/>
        <v>0</v>
      </c>
      <c r="EX29" s="5">
        <f t="shared" si="170"/>
        <v>0</v>
      </c>
      <c r="EY29" s="5">
        <f t="shared" si="171"/>
        <v>0</v>
      </c>
      <c r="EZ29" s="5">
        <f t="shared" si="172"/>
        <v>0</v>
      </c>
      <c r="FA29" s="5">
        <f t="shared" si="173"/>
        <v>0</v>
      </c>
      <c r="FB29" s="5">
        <f t="shared" si="174"/>
        <v>0</v>
      </c>
      <c r="FC29" s="5">
        <f t="shared" si="175"/>
        <v>0</v>
      </c>
      <c r="FD29" s="5">
        <f t="shared" si="176"/>
        <v>0</v>
      </c>
      <c r="FE29" s="5">
        <f t="shared" si="177"/>
        <v>0</v>
      </c>
      <c r="FF29" s="5">
        <f t="shared" si="178"/>
        <v>0</v>
      </c>
      <c r="FG29" s="5">
        <f t="shared" si="179"/>
        <v>0</v>
      </c>
      <c r="FH29" s="5">
        <f t="shared" si="180"/>
        <v>0</v>
      </c>
      <c r="FI29" s="5">
        <f t="shared" si="181"/>
        <v>0</v>
      </c>
      <c r="FJ29" s="5">
        <f t="shared" si="182"/>
        <v>0</v>
      </c>
      <c r="FK29" s="5">
        <f t="shared" si="183"/>
        <v>0</v>
      </c>
      <c r="FL29" s="5">
        <f t="shared" si="184"/>
        <v>0</v>
      </c>
      <c r="FM29" s="5">
        <f t="shared" si="185"/>
        <v>0</v>
      </c>
      <c r="FN29" s="5">
        <f t="shared" si="186"/>
        <v>0</v>
      </c>
      <c r="FO29" s="5">
        <f t="shared" si="187"/>
        <v>0</v>
      </c>
      <c r="FP29" s="5">
        <f t="shared" si="188"/>
        <v>0</v>
      </c>
    </row>
    <row r="30" spans="1:172" ht="20.100000000000001" customHeight="1" x14ac:dyDescent="0.3">
      <c r="A30" s="172">
        <f>N_L4</f>
        <v>0</v>
      </c>
      <c r="B30" s="363" t="s">
        <v>37</v>
      </c>
      <c r="C30" s="363" t="s">
        <v>37</v>
      </c>
      <c r="D30" s="363" t="s">
        <v>37</v>
      </c>
      <c r="E30" s="363" t="s">
        <v>37</v>
      </c>
      <c r="F30" s="363" t="s">
        <v>37</v>
      </c>
      <c r="G30" s="363" t="s">
        <v>37</v>
      </c>
      <c r="H30" s="363" t="s">
        <v>37</v>
      </c>
      <c r="I30" s="363" t="s">
        <v>37</v>
      </c>
      <c r="J30" s="363" t="s">
        <v>37</v>
      </c>
      <c r="K30" s="363" t="s">
        <v>37</v>
      </c>
      <c r="L30" s="363" t="s">
        <v>37</v>
      </c>
      <c r="M30" s="363" t="s">
        <v>37</v>
      </c>
    </row>
    <row r="31" spans="1:172" ht="20.100000000000001" customHeight="1" x14ac:dyDescent="0.3">
      <c r="A31" s="175" t="s">
        <v>238</v>
      </c>
      <c r="B31" s="174">
        <f>SUM(DI33:DM37)/100</f>
        <v>0</v>
      </c>
      <c r="C31" s="174">
        <f>SUM(DN33:DR37)/100</f>
        <v>0</v>
      </c>
      <c r="D31" s="174">
        <f>SUM(DS33:DW37)/100</f>
        <v>0</v>
      </c>
      <c r="E31" s="174">
        <f>SUM(DX33:EB37)/100</f>
        <v>0</v>
      </c>
      <c r="F31" s="174">
        <f>SUM(EC33:EG37)/100</f>
        <v>0</v>
      </c>
      <c r="G31" s="174">
        <f>SUM(EH33:EL37)/100</f>
        <v>0</v>
      </c>
      <c r="H31" s="174">
        <f>SUM(EM33:EQ37)/100</f>
        <v>0</v>
      </c>
      <c r="I31" s="174">
        <f>SUM(ER33:EV37)/100</f>
        <v>0</v>
      </c>
      <c r="J31" s="174">
        <f>SUM(EW33:FA37)/100</f>
        <v>0</v>
      </c>
      <c r="K31" s="174">
        <f>SUM(FB33:FF37)/100</f>
        <v>0</v>
      </c>
      <c r="L31" s="174">
        <f>SUM(FG33:FK37)/100</f>
        <v>0</v>
      </c>
      <c r="M31" s="174">
        <f>SUM(FL33:FP37)/100</f>
        <v>0</v>
      </c>
    </row>
    <row r="32" spans="1:172" ht="20.100000000000001" customHeight="1" x14ac:dyDescent="0.3">
      <c r="A32" s="151" t="s">
        <v>239</v>
      </c>
      <c r="B32" s="152" t="e">
        <f t="shared" ref="B32:M32" si="190">B31/Lote_4</f>
        <v>#DIV/0!</v>
      </c>
      <c r="C32" s="152" t="e">
        <f t="shared" si="190"/>
        <v>#DIV/0!</v>
      </c>
      <c r="D32" s="152" t="e">
        <f t="shared" si="190"/>
        <v>#DIV/0!</v>
      </c>
      <c r="E32" s="152" t="e">
        <f t="shared" si="190"/>
        <v>#DIV/0!</v>
      </c>
      <c r="F32" s="152" t="e">
        <f t="shared" si="190"/>
        <v>#DIV/0!</v>
      </c>
      <c r="G32" s="152" t="e">
        <f t="shared" si="190"/>
        <v>#DIV/0!</v>
      </c>
      <c r="H32" s="152" t="e">
        <f t="shared" si="190"/>
        <v>#DIV/0!</v>
      </c>
      <c r="I32" s="152" t="e">
        <f t="shared" si="190"/>
        <v>#DIV/0!</v>
      </c>
      <c r="J32" s="152" t="e">
        <f t="shared" si="190"/>
        <v>#DIV/0!</v>
      </c>
      <c r="K32" s="152" t="e">
        <f t="shared" si="190"/>
        <v>#DIV/0!</v>
      </c>
      <c r="L32" s="152" t="e">
        <f t="shared" si="190"/>
        <v>#DIV/0!</v>
      </c>
      <c r="M32" s="152" t="e">
        <f t="shared" si="190"/>
        <v>#DIV/0!</v>
      </c>
    </row>
    <row r="33" spans="1:172" ht="20.100000000000001" customHeight="1" x14ac:dyDescent="0.3">
      <c r="A33" s="8" t="s">
        <v>302</v>
      </c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O33" s="58">
        <f>IFERROR('6'!O$19/Ciclo,0)</f>
        <v>0</v>
      </c>
      <c r="P33" s="58">
        <f>IFERROR('6'!P$19/Ciclo,0)</f>
        <v>0</v>
      </c>
      <c r="Q33" s="58">
        <f>IFERROR('6'!Q$19/Ciclo,0)</f>
        <v>0</v>
      </c>
      <c r="R33" s="58">
        <f>IFERROR('6'!R$19/Ciclo,0)</f>
        <v>0</v>
      </c>
      <c r="S33" s="58">
        <f>IFERROR('6'!S$19/Ciclo,0)</f>
        <v>0</v>
      </c>
      <c r="T33" s="58">
        <f>IFERROR('6'!T$19/Ciclo,0)</f>
        <v>0</v>
      </c>
      <c r="U33" s="58">
        <f>IFERROR('6'!U$19/Ciclo,0)</f>
        <v>0</v>
      </c>
      <c r="V33" s="58">
        <f>IFERROR('6'!V$19/Ciclo,0)</f>
        <v>0</v>
      </c>
      <c r="W33" s="5">
        <f>IFERROR('6'!W$19/Ciclo,0)</f>
        <v>0</v>
      </c>
      <c r="X33" s="5">
        <f>IFERROR('6'!X$19/Ciclo,0)</f>
        <v>0</v>
      </c>
      <c r="Y33" s="5">
        <f>IFERROR('6'!Y$19/Ciclo,0)</f>
        <v>0</v>
      </c>
      <c r="Z33" s="5">
        <f>IFERROR('6'!Z$19/Ciclo,0)</f>
        <v>0</v>
      </c>
      <c r="AB33" s="5">
        <f>IF($B$30="Producción",IF($B33&gt;=LI_A,$O33,0),0)</f>
        <v>0</v>
      </c>
      <c r="AC33" s="5">
        <f>IF($B$30="Producción",IF($B33&gt;=LI_B,IF($B33&lt;LS_B,$O33,0),0),0)</f>
        <v>0</v>
      </c>
      <c r="AD33" s="5">
        <f>IF($B$30="Producción",IF($B33&gt;=LI_C,IF($B33&lt;LS_C,$O33,0),0),0)</f>
        <v>0</v>
      </c>
      <c r="AE33" s="5">
        <f>IF($B$30="Producción",IF($B33&lt;LS_D,$O33,0),0)</f>
        <v>0</v>
      </c>
      <c r="AF33" s="5">
        <f>IF($B$30="Crecimiento",$O33,0)</f>
        <v>0</v>
      </c>
      <c r="AG33" s="5">
        <f>IF($B30="Siembra",'6'!$O$7,0)</f>
        <v>0</v>
      </c>
      <c r="AH33" s="5">
        <f>IF($B30="Abandono",'6'!$O$7,0)</f>
        <v>0</v>
      </c>
      <c r="AI33" s="5">
        <f>IF($C$30="Producción",IF($C33&gt;=LI_A,$P33,0),0)</f>
        <v>0</v>
      </c>
      <c r="AJ33" s="5">
        <f>IF($C$30="Producción",IF($C33&gt;=LI_B,IF($C33&lt;LS_B,$P33,0),0),0)</f>
        <v>0</v>
      </c>
      <c r="AK33" s="5">
        <f>IF($C$30="Producción",IF($C33&gt;=LI_C,IF($C33&lt;LS_C,$P33,0),0),0)</f>
        <v>0</v>
      </c>
      <c r="AL33" s="5">
        <f>IF($C$30="Producción",IF($C33&lt;LS_D,$P33,0),0)</f>
        <v>0</v>
      </c>
      <c r="AM33" s="5">
        <f>IF($C$30="Crecimiento",$P33,0)</f>
        <v>0</v>
      </c>
      <c r="AN33" s="5">
        <f>IF($C30="Siembra",'6'!$P$7,0)</f>
        <v>0</v>
      </c>
      <c r="AO33" s="5">
        <f>IF($C30="Abandono",'6'!$P$7,0)</f>
        <v>0</v>
      </c>
      <c r="AP33" s="5">
        <f>IF($D$30="Producción",IF($D33&gt;=LI_A,$Q33,0),0)</f>
        <v>0</v>
      </c>
      <c r="AQ33" s="5">
        <f>IF($D$30="Producción",IF($D33&gt;=LI_B,IF($D33&lt;LS_B,$Q33,0),0),0)</f>
        <v>0</v>
      </c>
      <c r="AR33" s="5">
        <f>IF($D$30="Producción",IF($D33&gt;=LI_C,IF($D33&lt;LS_C,$Q33,0),0),0)</f>
        <v>0</v>
      </c>
      <c r="AS33" s="5">
        <f>IF($D$30="Producción",IF($D33&lt;LS_D,$Q33,0),0)</f>
        <v>0</v>
      </c>
      <c r="AT33" s="5">
        <f>IF($D$30="Crecimiento",IF($D33&gt;0,$Q33,0),0)</f>
        <v>0</v>
      </c>
      <c r="AU33" s="5">
        <f>IF($D30="Siembra",'6'!$Q$7,0)</f>
        <v>0</v>
      </c>
      <c r="AV33" s="5">
        <f>IF($D30="Abandono",'6'!$Q$7,0)</f>
        <v>0</v>
      </c>
      <c r="AW33" s="5">
        <f>IF($E$30="Producción",IF($E33&gt;=LI_A,$R33,0),0)</f>
        <v>0</v>
      </c>
      <c r="AX33" s="5">
        <f>IF($E$30="Producción",IF($E33&gt;=LI_B,IF($E33&lt;LS_B,$R33,0),0),0)</f>
        <v>0</v>
      </c>
      <c r="AY33" s="5">
        <f>IF($E$30="Producción",IF($E33&gt;=LI_C,IF($E33&lt;LS_C,$R33,0),0),0)</f>
        <v>0</v>
      </c>
      <c r="AZ33" s="5">
        <f>IF($E$30="Producción",IF($E33&lt;LS_D,$R33,0),0)</f>
        <v>0</v>
      </c>
      <c r="BA33" s="5">
        <f>IF($E$30="Crecimiento",$R33,0)</f>
        <v>0</v>
      </c>
      <c r="BB33" s="5">
        <f>IF($E30="Siembra",'6'!$R$7,0)</f>
        <v>0</v>
      </c>
      <c r="BC33" s="5">
        <f>IF($E30="Abandono",'6'!$R$7,0)</f>
        <v>0</v>
      </c>
      <c r="BD33" s="5">
        <f>IF($F$30="Producción",IF($F33&gt;=LI_A,$S33,0),0)</f>
        <v>0</v>
      </c>
      <c r="BE33" s="5">
        <f>IF($F$30="Producción",IF($F33&gt;=LI_B,IF($F33&lt;LS_B,$S33,0),0),0)</f>
        <v>0</v>
      </c>
      <c r="BF33" s="5">
        <f>IF($F$30="Producción",IF($F33&gt;=LI_C,IF($F33&lt;LS_C,$S33,0),0),0)</f>
        <v>0</v>
      </c>
      <c r="BG33" s="5">
        <f>IF($F$30="Producción",IF($F33&lt;LS_D,$S33,0),0)</f>
        <v>0</v>
      </c>
      <c r="BH33" s="5">
        <f>IF($F$30="Crecimiento",$S33,0)</f>
        <v>0</v>
      </c>
      <c r="BI33" s="5">
        <f>IF($F30="Siembra",'6'!$S$7,0)</f>
        <v>0</v>
      </c>
      <c r="BJ33" s="5">
        <f>IF($F30="Abandono",'6'!$S$7,0)</f>
        <v>0</v>
      </c>
      <c r="BK33" s="5">
        <f>IF($G$30="Producción",IF($G33&gt;=LI_A,$T33,0),0)</f>
        <v>0</v>
      </c>
      <c r="BL33" s="5">
        <f>IF($G$30="Producción",IF($G33&gt;=LI_B,IF($G33&lt;LS_B,$T33,0),0),0)</f>
        <v>0</v>
      </c>
      <c r="BM33" s="5">
        <f>IF($G$30="Producción",IF($G33&gt;=LI_C,IF($G33&lt;LS_C,$T33,0),0),0)</f>
        <v>0</v>
      </c>
      <c r="BN33" s="5">
        <f>IF($G$30="Producción",IF($G33&lt;LS_D,$T33,0),0)</f>
        <v>0</v>
      </c>
      <c r="BO33" s="5">
        <f>IF($G$30="Crecimiento",$T33,0)</f>
        <v>0</v>
      </c>
      <c r="BP33" s="5">
        <f>IF($G30="Siembra",'6'!$T$7,0)</f>
        <v>0</v>
      </c>
      <c r="BQ33" s="5">
        <f>IF($G30="Abandono",'6'!$T$7,0)</f>
        <v>0</v>
      </c>
      <c r="BR33" s="5">
        <f>IF($H$30="Producción",IF($H33&gt;=LI_A,$U33,0),0)</f>
        <v>0</v>
      </c>
      <c r="BS33" s="5">
        <f>IF($H$30="Producción",IF($H33&gt;=LI_B,IF($H33&lt;LS_B,$U33,0),0),0)</f>
        <v>0</v>
      </c>
      <c r="BT33" s="5">
        <f>IF($H$30="Producción",IF($H33&gt;=LI_C,IF($H33&lt;LS_C,$U33,0),0),0)</f>
        <v>0</v>
      </c>
      <c r="BU33" s="5">
        <f>IF($H$30="Producción",IF($H33&lt;LS_D,$U33,0),0)</f>
        <v>0</v>
      </c>
      <c r="BV33" s="5">
        <f>IF($H$30="Crecimiento",$T33,0)</f>
        <v>0</v>
      </c>
      <c r="BW33" s="5">
        <f>IF($H30="Siembra",'6'!$U$7,0)</f>
        <v>0</v>
      </c>
      <c r="BX33" s="5">
        <f>IF($H30="Abandono",'6'!$U$7,0)</f>
        <v>0</v>
      </c>
      <c r="BY33" s="5">
        <f>IF($I$30="Producción",IF($I33&gt;=LI_A,$V33,0),0)</f>
        <v>0</v>
      </c>
      <c r="BZ33" s="5">
        <f>IF($I$30="Producción",IF($I33&gt;=LI_B,IF($I33&lt;LS_B,$V33,0),0),0)</f>
        <v>0</v>
      </c>
      <c r="CA33" s="5">
        <f>IF($I$30="Producción",IF($I33&gt;=LI_C,IF($I33&lt;LS_C,$V33,0),0),0)</f>
        <v>0</v>
      </c>
      <c r="CB33" s="5">
        <f>IF($I$30="Producción",IF($I33&lt;LS_D,$V33,0),0)</f>
        <v>0</v>
      </c>
      <c r="CC33" s="5">
        <f>IF($I$30="Crecimiento",$V33,0)</f>
        <v>0</v>
      </c>
      <c r="CD33" s="5">
        <f>IF($I30="Siembra",'6'!$V$7,0)</f>
        <v>0</v>
      </c>
      <c r="CE33" s="5">
        <f>IF($I30="Abandono",'6'!$V$7,0)</f>
        <v>0</v>
      </c>
      <c r="CF33" s="5">
        <f>IF($J$30="Producción",IF($J33&gt;=LI_A,$W33,0),0)</f>
        <v>0</v>
      </c>
      <c r="CG33" s="5">
        <f>IF($J$30="Producción",IF($J33&gt;=LI_B,IF($J33&lt;LS_B,$W33,0),0),0)</f>
        <v>0</v>
      </c>
      <c r="CH33" s="5">
        <f>IF($J$30="Producción",IF($J33&gt;=LI_C,IF($J33&lt;LS_C,$W33,0),0),0)</f>
        <v>0</v>
      </c>
      <c r="CI33" s="5">
        <f>IF($J$30="Producción",IF($J33&lt;LS_D,$W33,0),0)</f>
        <v>0</v>
      </c>
      <c r="CJ33" s="5">
        <f>IF($J$30="Crecimiento",$W33,0)</f>
        <v>0</v>
      </c>
      <c r="CK33" s="5">
        <f>IF($J30="Siembra",'6'!$W$7,0)</f>
        <v>0</v>
      </c>
      <c r="CL33" s="5">
        <f>IF($J30="Abandono",'6'!$W$7,0)</f>
        <v>0</v>
      </c>
      <c r="CM33" s="5">
        <f>IF($K$30="Producción",IF($K33&gt;=LI_A,$X33,0),0)</f>
        <v>0</v>
      </c>
      <c r="CN33" s="5">
        <f>IF($K$30="Producción",IF($K33&gt;=LI_B,IF($K33&lt;LS_B,$X33,0),0),0)</f>
        <v>0</v>
      </c>
      <c r="CO33" s="5">
        <f>IF($K$30="Producción",IF($K33&gt;=LI_C,IF($K33&lt;LS_C,$X33,0),0),0)</f>
        <v>0</v>
      </c>
      <c r="CP33" s="5">
        <f>IF($K$30="Producción",IF($K33&lt;LS_D,$X33,0),0)</f>
        <v>0</v>
      </c>
      <c r="CQ33" s="5">
        <f>IF($K$30="Crecimiento",$X33,0)</f>
        <v>0</v>
      </c>
      <c r="CR33" s="5">
        <f>IF($K30="Siembra",'6'!$X$7,0)</f>
        <v>0</v>
      </c>
      <c r="CS33" s="5">
        <f>IF($K30="Abandono",'6'!$X$7,0)</f>
        <v>0</v>
      </c>
      <c r="CT33" s="5">
        <f>IF($L$30="Producción",IF($L33&gt;=LI_A,$Y33,0),0)</f>
        <v>0</v>
      </c>
      <c r="CU33" s="5">
        <f>IF($L$30="Producción",IF($L33&gt;=LI_B,IF($L33&lt;LS_B,$Y33,0),0),0)</f>
        <v>0</v>
      </c>
      <c r="CV33" s="5">
        <f>IF($L$30="Producción",IF($L33&gt;=LI_C,IF($L33&lt;LS_C,$Y33,0),0),0)</f>
        <v>0</v>
      </c>
      <c r="CW33" s="5">
        <f>IF($L$30="Producción",IF($L33&lt;LS_D,$Y33,0),0)</f>
        <v>0</v>
      </c>
      <c r="CX33" s="5">
        <f>IF($L$30="Crecimiento",$Y33,0)</f>
        <v>0</v>
      </c>
      <c r="CY33" s="5">
        <f>IF($L30="Siembra",'6'!$Y$7,0)</f>
        <v>0</v>
      </c>
      <c r="CZ33" s="5">
        <f>IF($L30="Abandono",'6'!$Y$7,0)</f>
        <v>0</v>
      </c>
      <c r="DA33" s="5">
        <f>IF($M$30="Producción",IF($M33&gt;=LI_A,$Z33,0),0)</f>
        <v>0</v>
      </c>
      <c r="DB33" s="5">
        <f>IF($M$30="Producción",IF($M33&gt;=LI_B,IF($M33&lt;LS_B,$Z33,0),0),0)</f>
        <v>0</v>
      </c>
      <c r="DC33" s="5">
        <f>IF($M$30="Producción",IF($M33&gt;=LI_C,IF($M33&lt;LS_C,$Z33,0),0),0)</f>
        <v>0</v>
      </c>
      <c r="DD33" s="5">
        <f>IF($M$30="Producción",IF($M33&lt;LS_D,$Z33,0),0)</f>
        <v>0</v>
      </c>
      <c r="DE33" s="5">
        <f>IF($M$30="Crecimiento",$Z33,0)</f>
        <v>0</v>
      </c>
      <c r="DF33" s="5">
        <f>IF($M30="Siembra",'6'!$Z$7,0)</f>
        <v>0</v>
      </c>
      <c r="DG33" s="5">
        <f>IF($M30="Abandono",'6'!$Z$7,0)</f>
        <v>0</v>
      </c>
      <c r="DI33" s="5">
        <f t="shared" ref="DI33:DI37" si="191">AB33*$B33</f>
        <v>0</v>
      </c>
      <c r="DJ33" s="5">
        <f t="shared" ref="DJ33:DJ37" si="192">AC33*$B33</f>
        <v>0</v>
      </c>
      <c r="DK33" s="5">
        <f t="shared" ref="DK33:DK37" si="193">AD33*$B33</f>
        <v>0</v>
      </c>
      <c r="DL33" s="5">
        <f t="shared" ref="DL33:DL37" si="194">AE33*$B33</f>
        <v>0</v>
      </c>
      <c r="DM33" s="5">
        <f t="shared" ref="DM33:DM37" si="195">AF33*$B33</f>
        <v>0</v>
      </c>
      <c r="DN33" s="5">
        <f t="shared" ref="DN33:DN37" si="196">AI33*$C33</f>
        <v>0</v>
      </c>
      <c r="DO33" s="5">
        <f t="shared" ref="DO33:DO37" si="197">AJ33*$C33</f>
        <v>0</v>
      </c>
      <c r="DP33" s="5">
        <f t="shared" ref="DP33:DP37" si="198">AK33*$C33</f>
        <v>0</v>
      </c>
      <c r="DQ33" s="5">
        <f t="shared" ref="DQ33:DQ37" si="199">AL33*$C33</f>
        <v>0</v>
      </c>
      <c r="DR33" s="5">
        <f t="shared" ref="DR33:DR37" si="200">AM33*$C33</f>
        <v>0</v>
      </c>
      <c r="DS33" s="5">
        <f t="shared" ref="DS33:DS37" si="201">AP33*$D33</f>
        <v>0</v>
      </c>
      <c r="DT33" s="5">
        <f t="shared" ref="DT33:DT37" si="202">AQ33*$D33</f>
        <v>0</v>
      </c>
      <c r="DU33" s="5">
        <f t="shared" ref="DU33:DU37" si="203">AR33*$D33</f>
        <v>0</v>
      </c>
      <c r="DV33" s="5">
        <f t="shared" ref="DV33:DV37" si="204">AS33*$D33</f>
        <v>0</v>
      </c>
      <c r="DW33" s="5">
        <f t="shared" ref="DW33:DW37" si="205">AT33*$D33</f>
        <v>0</v>
      </c>
      <c r="DX33" s="5">
        <f t="shared" ref="DX33:DX37" si="206">AW33*$E33</f>
        <v>0</v>
      </c>
      <c r="DY33" s="5">
        <f t="shared" ref="DY33:DY37" si="207">AX33*$E33</f>
        <v>0</v>
      </c>
      <c r="DZ33" s="5">
        <f t="shared" ref="DZ33:DZ37" si="208">AY33*$E33</f>
        <v>0</v>
      </c>
      <c r="EA33" s="5">
        <f t="shared" ref="EA33:EA37" si="209">AZ33*$E33</f>
        <v>0</v>
      </c>
      <c r="EB33" s="5">
        <f t="shared" ref="EB33:EB37" si="210">BA33*$E33</f>
        <v>0</v>
      </c>
      <c r="EC33" s="5">
        <f t="shared" ref="EC33:EC37" si="211">BD33*$F33</f>
        <v>0</v>
      </c>
      <c r="ED33" s="5">
        <f t="shared" ref="ED33:ED37" si="212">BE33*$F33</f>
        <v>0</v>
      </c>
      <c r="EE33" s="5">
        <f t="shared" ref="EE33:EE37" si="213">BF33*$F33</f>
        <v>0</v>
      </c>
      <c r="EF33" s="5">
        <f t="shared" ref="EF33:EF37" si="214">BG33*$F33</f>
        <v>0</v>
      </c>
      <c r="EG33" s="5">
        <f t="shared" ref="EG33:EG37" si="215">BH33*$F33</f>
        <v>0</v>
      </c>
      <c r="EH33" s="5">
        <f t="shared" ref="EH33:EH37" si="216">BK33*$G33</f>
        <v>0</v>
      </c>
      <c r="EI33" s="5">
        <f t="shared" ref="EI33:EI37" si="217">BL33*$G33</f>
        <v>0</v>
      </c>
      <c r="EJ33" s="5">
        <f t="shared" ref="EJ33:EJ37" si="218">BM33*$G33</f>
        <v>0</v>
      </c>
      <c r="EK33" s="5">
        <f t="shared" ref="EK33:EK37" si="219">BN33*$G33</f>
        <v>0</v>
      </c>
      <c r="EL33" s="5">
        <f t="shared" ref="EL33:EL37" si="220">BO33*$G33</f>
        <v>0</v>
      </c>
      <c r="EM33" s="5">
        <f t="shared" ref="EM33:EM37" si="221">BR33*$H33</f>
        <v>0</v>
      </c>
      <c r="EN33" s="5">
        <f t="shared" ref="EN33:EN37" si="222">BS33*$H33</f>
        <v>0</v>
      </c>
      <c r="EO33" s="5">
        <f t="shared" ref="EO33:EO37" si="223">BT33*$H33</f>
        <v>0</v>
      </c>
      <c r="EP33" s="5">
        <f t="shared" ref="EP33:EP37" si="224">BU33*$H33</f>
        <v>0</v>
      </c>
      <c r="EQ33" s="5">
        <f t="shared" ref="EQ33:EQ37" si="225">BV33*$H33</f>
        <v>0</v>
      </c>
      <c r="ER33" s="5">
        <f t="shared" ref="ER33:ER37" si="226">BY33*$I33</f>
        <v>0</v>
      </c>
      <c r="ES33" s="5">
        <f t="shared" ref="ES33:ES37" si="227">BZ33*$I33</f>
        <v>0</v>
      </c>
      <c r="ET33" s="5">
        <f t="shared" ref="ET33:ET37" si="228">CA33*$I33</f>
        <v>0</v>
      </c>
      <c r="EU33" s="5">
        <f t="shared" ref="EU33:EU37" si="229">CB33*$I33</f>
        <v>0</v>
      </c>
      <c r="EV33" s="5">
        <f t="shared" ref="EV33:EV37" si="230">CC33*$I33</f>
        <v>0</v>
      </c>
      <c r="EW33" s="5">
        <f t="shared" ref="EW33:EW37" si="231">CF33*$J33</f>
        <v>0</v>
      </c>
      <c r="EX33" s="5">
        <f t="shared" ref="EX33:EX37" si="232">CG33*$J33</f>
        <v>0</v>
      </c>
      <c r="EY33" s="5">
        <f t="shared" ref="EY33:EY37" si="233">CH33*$J33</f>
        <v>0</v>
      </c>
      <c r="EZ33" s="5">
        <f t="shared" ref="EZ33:EZ37" si="234">CI33*$J33</f>
        <v>0</v>
      </c>
      <c r="FA33" s="5">
        <f t="shared" ref="FA33:FA37" si="235">CJ33*$J33</f>
        <v>0</v>
      </c>
      <c r="FB33" s="5">
        <f t="shared" ref="FB33:FB37" si="236">CM33*$K33</f>
        <v>0</v>
      </c>
      <c r="FC33" s="5">
        <f t="shared" ref="FC33:FC37" si="237">CN33*$K33</f>
        <v>0</v>
      </c>
      <c r="FD33" s="5">
        <f t="shared" ref="FD33:FD37" si="238">CO33*$K33</f>
        <v>0</v>
      </c>
      <c r="FE33" s="5">
        <f t="shared" ref="FE33:FE37" si="239">CP33*$K33</f>
        <v>0</v>
      </c>
      <c r="FF33" s="5">
        <f t="shared" ref="FF33:FF37" si="240">CQ33*$K33</f>
        <v>0</v>
      </c>
      <c r="FG33" s="5">
        <f t="shared" ref="FG33:FG37" si="241">CT33*$L33</f>
        <v>0</v>
      </c>
      <c r="FH33" s="5">
        <f t="shared" ref="FH33:FH37" si="242">CU33*$L33</f>
        <v>0</v>
      </c>
      <c r="FI33" s="5">
        <f t="shared" ref="FI33:FI37" si="243">CV33*$L33</f>
        <v>0</v>
      </c>
      <c r="FJ33" s="5">
        <f t="shared" ref="FJ33:FJ37" si="244">CW33*$L33</f>
        <v>0</v>
      </c>
      <c r="FK33" s="5">
        <f t="shared" ref="FK33:FK37" si="245">CX33*$L33</f>
        <v>0</v>
      </c>
      <c r="FL33" s="5">
        <f t="shared" ref="FL33:FL37" si="246">DA33*$M33</f>
        <v>0</v>
      </c>
      <c r="FM33" s="5">
        <f t="shared" ref="FM33:FM37" si="247">DB33*$M33</f>
        <v>0</v>
      </c>
      <c r="FN33" s="5">
        <f t="shared" ref="FN33:FN37" si="248">DC33*$M33</f>
        <v>0</v>
      </c>
      <c r="FO33" s="5">
        <f t="shared" ref="FO33:FO37" si="249">DD33*$M33</f>
        <v>0</v>
      </c>
      <c r="FP33" s="5">
        <f t="shared" ref="FP33:FP37" si="250">DE33*$M33</f>
        <v>0</v>
      </c>
    </row>
    <row r="34" spans="1:172" ht="20.100000000000001" customHeight="1" x14ac:dyDescent="0.3">
      <c r="A34" s="8" t="s">
        <v>303</v>
      </c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O34" s="58">
        <f>IFERROR('6'!O$19/Ciclo,0)</f>
        <v>0</v>
      </c>
      <c r="P34" s="58">
        <f>IFERROR('6'!P$19/Ciclo,0)</f>
        <v>0</v>
      </c>
      <c r="Q34" s="58">
        <f>IFERROR('6'!Q$19/Ciclo,0)</f>
        <v>0</v>
      </c>
      <c r="R34" s="58">
        <f>IFERROR('6'!R$19/Ciclo,0)</f>
        <v>0</v>
      </c>
      <c r="S34" s="58">
        <f>IFERROR('6'!S$19/Ciclo,0)</f>
        <v>0</v>
      </c>
      <c r="T34" s="58">
        <f>IFERROR('6'!T$19/Ciclo,0)</f>
        <v>0</v>
      </c>
      <c r="U34" s="58">
        <f>IFERROR('6'!U$19/Ciclo,0)</f>
        <v>0</v>
      </c>
      <c r="V34" s="58">
        <f>IFERROR('6'!V$19/Ciclo,0)</f>
        <v>0</v>
      </c>
      <c r="W34" s="5">
        <f>IFERROR('6'!W$19/Ciclo,0)</f>
        <v>0</v>
      </c>
      <c r="X34" s="5">
        <f>IFERROR('6'!X$19/Ciclo,0)</f>
        <v>0</v>
      </c>
      <c r="Y34" s="5">
        <f>IFERROR('6'!Y$19/Ciclo,0)</f>
        <v>0</v>
      </c>
      <c r="Z34" s="5">
        <f>IFERROR('6'!Z$19/Ciclo,0)</f>
        <v>0</v>
      </c>
      <c r="AB34" s="5">
        <f>IF($B$30="Producción",IF($B34&gt;=LI_A,$O34,0),0)</f>
        <v>0</v>
      </c>
      <c r="AC34" s="5">
        <f>IF($B$30="Producción",IF($B34&gt;=LI_B,IF($B34&lt;LS_B,$O34,0),0),0)</f>
        <v>0</v>
      </c>
      <c r="AD34" s="5">
        <f>IF($B$30="Producción",IF($B34&gt;=LI_C,IF($B34&lt;LS_C,$O34,0),0),0)</f>
        <v>0</v>
      </c>
      <c r="AE34" s="5">
        <f>IF($B$30="Producción",IF($B34&lt;LS_D,$O34,0),0)</f>
        <v>0</v>
      </c>
      <c r="AF34" s="5">
        <f t="shared" ref="AF34:AF36" si="251">IF($B$30="Crecimiento",$O34,0)</f>
        <v>0</v>
      </c>
      <c r="AI34" s="5">
        <f>IF($C$30="Producción",IF($C34&gt;=LI_A,$P34,0),0)</f>
        <v>0</v>
      </c>
      <c r="AJ34" s="5">
        <f>IF($C$30="Producción",IF($C34&gt;=LI_B,IF($C34&lt;LS_B,$P34,0),0),0)</f>
        <v>0</v>
      </c>
      <c r="AK34" s="5">
        <f>IF($C$30="Producción",IF($C34&gt;=LI_C,IF($C34&lt;LS_C,$P34,0),0),0)</f>
        <v>0</v>
      </c>
      <c r="AL34" s="5">
        <f>IF($C$30="Producción",IF($C34&lt;LS_D,$P34,0),0)</f>
        <v>0</v>
      </c>
      <c r="AM34" s="5">
        <f>IF($C$30="Crecimiento",$P34,0)</f>
        <v>0</v>
      </c>
      <c r="AP34" s="5">
        <f>IF($D$30="Producción",IF($D34&gt;=LI_A,$Q34,0),0)</f>
        <v>0</v>
      </c>
      <c r="AQ34" s="5">
        <f>IF($D$30="Producción",IF($D34&gt;=LI_B,IF($D34&lt;LS_B,$Q34,0),0),0)</f>
        <v>0</v>
      </c>
      <c r="AR34" s="5">
        <f>IF($D$30="Producción",IF($D34&gt;=LI_C,IF($D34&lt;LS_C,$Q34,0),0),0)</f>
        <v>0</v>
      </c>
      <c r="AS34" s="5">
        <f>IF($D$30="Producción",IF($D34&lt;LS_D,$Q34,0),0)</f>
        <v>0</v>
      </c>
      <c r="AT34" s="5">
        <f>IF($D$30="Crecimiento",IF($D34&gt;0,$Q34,0),0)</f>
        <v>0</v>
      </c>
      <c r="AW34" s="5">
        <f>IF($E$30="Producción",IF($E34&gt;=LI_A,$R34,0),0)</f>
        <v>0</v>
      </c>
      <c r="AX34" s="5">
        <f>IF($E$30="Producción",IF($E34&gt;=LI_B,IF($E34&lt;LS_B,$R34,0),0),0)</f>
        <v>0</v>
      </c>
      <c r="AY34" s="5">
        <f>IF($E$30="Producción",IF($E34&gt;=LI_C,IF($E34&lt;LS_C,$R34,0),0),0)</f>
        <v>0</v>
      </c>
      <c r="AZ34" s="5">
        <f>IF($E$30="Producción",IF($E34&lt;LS_D,$R34,0),0)</f>
        <v>0</v>
      </c>
      <c r="BA34" s="5">
        <f>IF($E$30="Crecimiento",$R34,0)</f>
        <v>0</v>
      </c>
      <c r="BD34" s="5">
        <f>IF($F$30="Producción",IF($F34&gt;=LI_A,$S34,0),0)</f>
        <v>0</v>
      </c>
      <c r="BE34" s="5">
        <f>IF($F$30="Producción",IF($F34&gt;=LI_B,IF($F34&lt;LS_B,$S34,0),0),0)</f>
        <v>0</v>
      </c>
      <c r="BF34" s="5">
        <f>IF($F$30="Producción",IF($F34&gt;=LI_C,IF($F34&lt;LS_C,$S34,0),0),0)</f>
        <v>0</v>
      </c>
      <c r="BG34" s="5">
        <f>IF($F$30="Producción",IF($F34&lt;LS_D,$S34,0),0)</f>
        <v>0</v>
      </c>
      <c r="BH34" s="5">
        <f>IF($F$30="Crecimiento",$S34,0)</f>
        <v>0</v>
      </c>
      <c r="BK34" s="5">
        <f>IF($G$30="Producción",IF($G34&gt;=LI_A,$T34,0),0)</f>
        <v>0</v>
      </c>
      <c r="BL34" s="5">
        <f>IF($G$30="Producción",IF($G34&gt;=LI_B,IF($G34&lt;LS_B,$T34,0),0),0)</f>
        <v>0</v>
      </c>
      <c r="BM34" s="5">
        <f>IF($G$30="Producción",IF($G34&gt;=LI_C,IF($G34&lt;LS_C,$T34,0),0),0)</f>
        <v>0</v>
      </c>
      <c r="BN34" s="5">
        <f>IF($G$30="Producción",IF($G34&lt;LS_D,$T34,0),0)</f>
        <v>0</v>
      </c>
      <c r="BO34" s="5">
        <f>IF($G$30="Crecimiento",$T34,0)</f>
        <v>0</v>
      </c>
      <c r="BR34" s="5">
        <f>IF($H$30="Producción",IF($H34&gt;=LI_A,$U34,0),0)</f>
        <v>0</v>
      </c>
      <c r="BS34" s="5">
        <f>IF($H$30="Producción",IF($H34&gt;=LI_B,IF($H34&lt;LS_B,$U34,0),0),0)</f>
        <v>0</v>
      </c>
      <c r="BT34" s="5">
        <f>IF($H$30="Producción",IF($H34&gt;=LI_C,IF($H34&lt;LS_C,$U34,0),0),0)</f>
        <v>0</v>
      </c>
      <c r="BU34" s="5">
        <f>IF($H$30="Producción",IF($H34&lt;LS_D,$U34,0),0)</f>
        <v>0</v>
      </c>
      <c r="BV34" s="5">
        <f>IF($H$30="Crecimiento",$T34,0)</f>
        <v>0</v>
      </c>
      <c r="BY34" s="5">
        <f>IF($I$30="Producción",IF($I34&gt;=LI_A,$V34,0),0)</f>
        <v>0</v>
      </c>
      <c r="BZ34" s="5">
        <f>IF($I$30="Producción",IF($I34&gt;=LI_B,IF($I34&lt;LS_B,$V34,0),0),0)</f>
        <v>0</v>
      </c>
      <c r="CA34" s="5">
        <f>IF($I$30="Producción",IF($I34&gt;=LI_C,IF($I34&lt;LS_C,$V34,0),0),0)</f>
        <v>0</v>
      </c>
      <c r="CB34" s="5">
        <f>IF($I$30="Producción",IF($I34&lt;LS_D,$V34,0),0)</f>
        <v>0</v>
      </c>
      <c r="CC34" s="5">
        <f>IF($I$30="Crecimiento",$V34,0)</f>
        <v>0</v>
      </c>
      <c r="CF34" s="5">
        <f>IF($J$30="Producción",IF($J34&gt;=LI_A,$W34,0),0)</f>
        <v>0</v>
      </c>
      <c r="CG34" s="5">
        <f>IF($J$30="Producción",IF($J34&gt;=LI_B,IF($J34&lt;LS_B,$W34,0),0),0)</f>
        <v>0</v>
      </c>
      <c r="CH34" s="5">
        <f>IF($J$30="Producción",IF($J34&gt;=LI_C,IF($J34&lt;LS_C,$W34,0),0),0)</f>
        <v>0</v>
      </c>
      <c r="CI34" s="5">
        <f>IF($J$30="Producción",IF($J34&lt;LS_D,$W34,0),0)</f>
        <v>0</v>
      </c>
      <c r="CJ34" s="5">
        <f>IF($J$30="Crecimiento",$W34,0)</f>
        <v>0</v>
      </c>
      <c r="CM34" s="5">
        <f>IF($K$30="Producción",IF($K34&gt;=LI_A,$X34,0),0)</f>
        <v>0</v>
      </c>
      <c r="CN34" s="5">
        <f>IF($K$30="Producción",IF($K34&gt;=LI_B,IF($K34&lt;LS_B,$X34,0),0),0)</f>
        <v>0</v>
      </c>
      <c r="CO34" s="5">
        <f>IF($K$30="Producción",IF($K34&gt;=LI_C,IF($K34&lt;LS_C,$X34,0),0),0)</f>
        <v>0</v>
      </c>
      <c r="CP34" s="5">
        <f>IF($K$30="Producción",IF($K34&lt;LS_D,$X34,0),0)</f>
        <v>0</v>
      </c>
      <c r="CQ34" s="5">
        <f>IF($K$30="Crecimiento",$X34,0)</f>
        <v>0</v>
      </c>
      <c r="CT34" s="5">
        <f>IF($L$30="Producción",IF($L34&gt;=LI_A,$Y34,0),0)</f>
        <v>0</v>
      </c>
      <c r="CU34" s="5">
        <f>IF($L$30="Producción",IF($L34&gt;=LI_B,IF($L34&lt;LS_B,$Y34,0),0),0)</f>
        <v>0</v>
      </c>
      <c r="CV34" s="5">
        <f>IF($L$30="Producción",IF($L34&gt;=LI_C,IF($L34&lt;LS_C,$Y34,0),0),0)</f>
        <v>0</v>
      </c>
      <c r="CW34" s="5">
        <f>IF($L$30="Producción",IF($L34&lt;LS_D,$Y34,0),0)</f>
        <v>0</v>
      </c>
      <c r="CX34" s="5">
        <f>IF($L$30="Crecimiento",$Y34,0)</f>
        <v>0</v>
      </c>
      <c r="DA34" s="5">
        <f>IF($M$30="Producción",IF($M34&gt;=LI_A,$Z34,0),0)</f>
        <v>0</v>
      </c>
      <c r="DB34" s="5">
        <f>IF($M$30="Producción",IF($M34&gt;=LI_B,IF($M34&lt;LS_B,$Z34,0),0),0)</f>
        <v>0</v>
      </c>
      <c r="DC34" s="5">
        <f>IF($M$30="Producción",IF($M34&gt;=LI_C,IF($M34&lt;LS_C,$Z34,0),0),0)</f>
        <v>0</v>
      </c>
      <c r="DD34" s="5">
        <f>IF($M$30="Producción",IF($M34&lt;LS_D,$Z34,0),0)</f>
        <v>0</v>
      </c>
      <c r="DE34" s="5">
        <f>IF($M$30="Crecimiento",$Z34,0)</f>
        <v>0</v>
      </c>
      <c r="DI34" s="5">
        <f t="shared" si="191"/>
        <v>0</v>
      </c>
      <c r="DJ34" s="5">
        <f t="shared" si="192"/>
        <v>0</v>
      </c>
      <c r="DK34" s="5">
        <f t="shared" si="193"/>
        <v>0</v>
      </c>
      <c r="DL34" s="5">
        <f t="shared" si="194"/>
        <v>0</v>
      </c>
      <c r="DM34" s="5">
        <f t="shared" si="195"/>
        <v>0</v>
      </c>
      <c r="DN34" s="5">
        <f t="shared" si="196"/>
        <v>0</v>
      </c>
      <c r="DO34" s="5">
        <f t="shared" si="197"/>
        <v>0</v>
      </c>
      <c r="DP34" s="5">
        <f t="shared" si="198"/>
        <v>0</v>
      </c>
      <c r="DQ34" s="5">
        <f t="shared" si="199"/>
        <v>0</v>
      </c>
      <c r="DR34" s="5">
        <f t="shared" si="200"/>
        <v>0</v>
      </c>
      <c r="DS34" s="5">
        <f t="shared" si="201"/>
        <v>0</v>
      </c>
      <c r="DT34" s="5">
        <f t="shared" si="202"/>
        <v>0</v>
      </c>
      <c r="DU34" s="5">
        <f t="shared" si="203"/>
        <v>0</v>
      </c>
      <c r="DV34" s="5">
        <f t="shared" si="204"/>
        <v>0</v>
      </c>
      <c r="DW34" s="5">
        <f t="shared" si="205"/>
        <v>0</v>
      </c>
      <c r="DX34" s="5">
        <f t="shared" si="206"/>
        <v>0</v>
      </c>
      <c r="DY34" s="5">
        <f t="shared" si="207"/>
        <v>0</v>
      </c>
      <c r="DZ34" s="5">
        <f t="shared" si="208"/>
        <v>0</v>
      </c>
      <c r="EA34" s="5">
        <f t="shared" si="209"/>
        <v>0</v>
      </c>
      <c r="EB34" s="5">
        <f t="shared" si="210"/>
        <v>0</v>
      </c>
      <c r="EC34" s="5">
        <f t="shared" si="211"/>
        <v>0</v>
      </c>
      <c r="ED34" s="5">
        <f t="shared" si="212"/>
        <v>0</v>
      </c>
      <c r="EE34" s="5">
        <f t="shared" si="213"/>
        <v>0</v>
      </c>
      <c r="EF34" s="5">
        <f t="shared" si="214"/>
        <v>0</v>
      </c>
      <c r="EG34" s="5">
        <f t="shared" si="215"/>
        <v>0</v>
      </c>
      <c r="EH34" s="5">
        <f t="shared" si="216"/>
        <v>0</v>
      </c>
      <c r="EI34" s="5">
        <f t="shared" si="217"/>
        <v>0</v>
      </c>
      <c r="EJ34" s="5">
        <f t="shared" si="218"/>
        <v>0</v>
      </c>
      <c r="EK34" s="5">
        <f t="shared" si="219"/>
        <v>0</v>
      </c>
      <c r="EL34" s="5">
        <f t="shared" si="220"/>
        <v>0</v>
      </c>
      <c r="EM34" s="5">
        <f t="shared" si="221"/>
        <v>0</v>
      </c>
      <c r="EN34" s="5">
        <f t="shared" si="222"/>
        <v>0</v>
      </c>
      <c r="EO34" s="5">
        <f t="shared" si="223"/>
        <v>0</v>
      </c>
      <c r="EP34" s="5">
        <f t="shared" si="224"/>
        <v>0</v>
      </c>
      <c r="EQ34" s="5">
        <f t="shared" si="225"/>
        <v>0</v>
      </c>
      <c r="ER34" s="5">
        <f t="shared" si="226"/>
        <v>0</v>
      </c>
      <c r="ES34" s="5">
        <f t="shared" si="227"/>
        <v>0</v>
      </c>
      <c r="ET34" s="5">
        <f t="shared" si="228"/>
        <v>0</v>
      </c>
      <c r="EU34" s="5">
        <f t="shared" si="229"/>
        <v>0</v>
      </c>
      <c r="EV34" s="5">
        <f t="shared" si="230"/>
        <v>0</v>
      </c>
      <c r="EW34" s="5">
        <f t="shared" si="231"/>
        <v>0</v>
      </c>
      <c r="EX34" s="5">
        <f t="shared" si="232"/>
        <v>0</v>
      </c>
      <c r="EY34" s="5">
        <f t="shared" si="233"/>
        <v>0</v>
      </c>
      <c r="EZ34" s="5">
        <f t="shared" si="234"/>
        <v>0</v>
      </c>
      <c r="FA34" s="5">
        <f t="shared" si="235"/>
        <v>0</v>
      </c>
      <c r="FB34" s="5">
        <f t="shared" si="236"/>
        <v>0</v>
      </c>
      <c r="FC34" s="5">
        <f t="shared" si="237"/>
        <v>0</v>
      </c>
      <c r="FD34" s="5">
        <f t="shared" si="238"/>
        <v>0</v>
      </c>
      <c r="FE34" s="5">
        <f t="shared" si="239"/>
        <v>0</v>
      </c>
      <c r="FF34" s="5">
        <f t="shared" si="240"/>
        <v>0</v>
      </c>
      <c r="FG34" s="5">
        <f t="shared" si="241"/>
        <v>0</v>
      </c>
      <c r="FH34" s="5">
        <f t="shared" si="242"/>
        <v>0</v>
      </c>
      <c r="FI34" s="5">
        <f t="shared" si="243"/>
        <v>0</v>
      </c>
      <c r="FJ34" s="5">
        <f t="shared" si="244"/>
        <v>0</v>
      </c>
      <c r="FK34" s="5">
        <f t="shared" si="245"/>
        <v>0</v>
      </c>
      <c r="FL34" s="5">
        <f t="shared" si="246"/>
        <v>0</v>
      </c>
      <c r="FM34" s="5">
        <f t="shared" si="247"/>
        <v>0</v>
      </c>
      <c r="FN34" s="5">
        <f t="shared" si="248"/>
        <v>0</v>
      </c>
      <c r="FO34" s="5">
        <f t="shared" si="249"/>
        <v>0</v>
      </c>
      <c r="FP34" s="5">
        <f t="shared" si="250"/>
        <v>0</v>
      </c>
    </row>
    <row r="35" spans="1:172" ht="20.100000000000001" customHeight="1" x14ac:dyDescent="0.3">
      <c r="A35" s="8" t="str">
        <f>IF(Ciclo&gt;2,"Surco 3","NA")</f>
        <v>Surco 3</v>
      </c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O35" s="58">
        <f>IF($A35="NA",0,IFERROR('6'!O$19/Ciclo,0))</f>
        <v>0</v>
      </c>
      <c r="P35" s="58">
        <f>IF($A35="NA",0,IFERROR('6'!P$19/Ciclo,0))</f>
        <v>0</v>
      </c>
      <c r="Q35" s="58">
        <f>IF($A35="NA",0,IFERROR('6'!Q$19/Ciclo,0))</f>
        <v>0</v>
      </c>
      <c r="R35" s="58">
        <f>IF($A35="NA",0,IFERROR('6'!R$19/Ciclo,0))</f>
        <v>0</v>
      </c>
      <c r="S35" s="58">
        <f>IF($A35="NA",0,IFERROR('6'!S$19/Ciclo,0))</f>
        <v>0</v>
      </c>
      <c r="T35" s="58">
        <f>IF($A35="NA",0,IFERROR('6'!T$19/Ciclo,0))</f>
        <v>0</v>
      </c>
      <c r="U35" s="58">
        <f>IF($A35="NA",0,IFERROR('6'!U$19/Ciclo,0))</f>
        <v>0</v>
      </c>
      <c r="V35" s="58">
        <f>IF($A35="NA",0,IFERROR('6'!V$19/Ciclo,0))</f>
        <v>0</v>
      </c>
      <c r="W35" s="5">
        <f>IF($A35="NA",0,IFERROR('6'!W$19/Ciclo,0))</f>
        <v>0</v>
      </c>
      <c r="X35" s="5">
        <f>IF($A35="NA",0,IFERROR('6'!X$19/Ciclo,0))</f>
        <v>0</v>
      </c>
      <c r="Y35" s="5">
        <f>IF($A35="NA",0,IFERROR('6'!Y$19/Ciclo,0))</f>
        <v>0</v>
      </c>
      <c r="Z35" s="5">
        <f>IF($A35="NA",0,IFERROR('6'!Z$19/Ciclo,0))</f>
        <v>0</v>
      </c>
      <c r="AB35" s="5">
        <f>IF($B$30="Producción",IF($B35&gt;=LI_A,$O35,0),0)</f>
        <v>0</v>
      </c>
      <c r="AC35" s="5">
        <f>IF($B$30="Producción",IF($B35&gt;=LI_B,IF($B35&lt;LS_B,$O35,0),0),0)</f>
        <v>0</v>
      </c>
      <c r="AD35" s="5">
        <f>IF($B$30="Producción",IF($B35&gt;=LI_C,IF($B35&lt;LS_C,$O35,0),0),0)</f>
        <v>0</v>
      </c>
      <c r="AE35" s="5">
        <f>IF($B$30="Producción",IF($B35&lt;LS_D,$O35,0),0)</f>
        <v>0</v>
      </c>
      <c r="AF35" s="5">
        <f t="shared" si="251"/>
        <v>0</v>
      </c>
      <c r="AI35" s="5">
        <f>IF($C$30="Producción",IF($C35&gt;=LI_A,$P35,0),0)</f>
        <v>0</v>
      </c>
      <c r="AJ35" s="5">
        <f>IF($C$30="Producción",IF($C35&gt;=LI_B,IF($C35&lt;LS_B,$P35,0),0),0)</f>
        <v>0</v>
      </c>
      <c r="AK35" s="5">
        <f>IF($C$30="Producción",IF($C35&gt;=LI_C,IF($C35&lt;LS_C,$P35,0),0),0)</f>
        <v>0</v>
      </c>
      <c r="AL35" s="5">
        <f>IF($C$30="Producción",IF($C35&lt;LS_D,$P35,0),0)</f>
        <v>0</v>
      </c>
      <c r="AM35" s="5">
        <f>IF($C$30="Crecimiento",$P35,0)</f>
        <v>0</v>
      </c>
      <c r="AP35" s="5">
        <f>IF($D$30="Producción",IF($D35&gt;=LI_A,$Q35,0),0)</f>
        <v>0</v>
      </c>
      <c r="AQ35" s="5">
        <f>IF($D$30="Producción",IF($D35&gt;=LI_B,IF($D35&lt;LS_B,$Q35,0),0),0)</f>
        <v>0</v>
      </c>
      <c r="AR35" s="5">
        <f>IF($D$30="Producción",IF($D35&gt;=LI_C,IF($D35&lt;LS_C,$Q35,0),0),0)</f>
        <v>0</v>
      </c>
      <c r="AS35" s="5">
        <f>IF($D$30="Producción",IF($D35&lt;LS_D,$Q35,0),0)</f>
        <v>0</v>
      </c>
      <c r="AT35" s="5">
        <f>IF($D$30="Crecimiento",IF($D35&gt;0,$Q35,0),0)</f>
        <v>0</v>
      </c>
      <c r="AW35" s="5">
        <f>IF($E$30="Producción",IF($E35&gt;=LI_A,$R35,0),0)</f>
        <v>0</v>
      </c>
      <c r="AX35" s="5">
        <f>IF($E$30="Producción",IF($E35&gt;=LI_B,IF($E35&lt;LS_B,$R35,0),0),0)</f>
        <v>0</v>
      </c>
      <c r="AY35" s="5">
        <f>IF($E$30="Producción",IF($E35&gt;=LI_C,IF($E35&lt;LS_C,$R35,0),0),0)</f>
        <v>0</v>
      </c>
      <c r="AZ35" s="5">
        <f>IF($E$30="Producción",IF($E35&lt;LS_D,$R35,0),0)</f>
        <v>0</v>
      </c>
      <c r="BA35" s="5">
        <f>IF($E$30="Crecimiento",$R35,0)</f>
        <v>0</v>
      </c>
      <c r="BD35" s="5">
        <f>IF($F$30="Producción",IF($F35&gt;=LI_A,$S35,0),0)</f>
        <v>0</v>
      </c>
      <c r="BE35" s="5">
        <f>IF($F$30="Producción",IF($F35&gt;=LI_B,IF($F35&lt;LS_B,$S35,0),0),0)</f>
        <v>0</v>
      </c>
      <c r="BF35" s="5">
        <f>IF($F$30="Producción",IF($F35&gt;=LI_C,IF($F35&lt;LS_C,$S35,0),0),0)</f>
        <v>0</v>
      </c>
      <c r="BG35" s="5">
        <f>IF($F$30="Producción",IF($F35&lt;LS_D,$S35,0),0)</f>
        <v>0</v>
      </c>
      <c r="BH35" s="5">
        <f>IF($F$30="Crecimiento",$S35,0)</f>
        <v>0</v>
      </c>
      <c r="BK35" s="5">
        <f>IF($G$30="Producción",IF($G35&gt;=LI_A,$T35,0),0)</f>
        <v>0</v>
      </c>
      <c r="BL35" s="5">
        <f>IF($G$30="Producción",IF($G35&gt;=LI_B,IF($G35&lt;LS_B,$T35,0),0),0)</f>
        <v>0</v>
      </c>
      <c r="BM35" s="5">
        <f>IF($G$30="Producción",IF($G35&gt;=LI_C,IF($G35&lt;LS_C,$T35,0),0),0)</f>
        <v>0</v>
      </c>
      <c r="BN35" s="5">
        <f>IF($G$30="Producción",IF($G35&lt;LS_D,$T35,0),0)</f>
        <v>0</v>
      </c>
      <c r="BO35" s="5">
        <f>IF($G$30="Crecimiento",$T35,0)</f>
        <v>0</v>
      </c>
      <c r="BR35" s="5">
        <f>IF($H$30="Producción",IF($H35&gt;=LI_A,$U35,0),0)</f>
        <v>0</v>
      </c>
      <c r="BS35" s="5">
        <f>IF($H$30="Producción",IF($H35&gt;=LI_B,IF($H35&lt;LS_B,$U35,0),0),0)</f>
        <v>0</v>
      </c>
      <c r="BT35" s="5">
        <f>IF($H$30="Producción",IF($H35&gt;=LI_C,IF($H35&lt;LS_C,$U35,0),0),0)</f>
        <v>0</v>
      </c>
      <c r="BU35" s="5">
        <f>IF($H$30="Producción",IF($H35&lt;LS_D,$U35,0),0)</f>
        <v>0</v>
      </c>
      <c r="BV35" s="5">
        <f>IF($H$30="Crecimiento",$T35,0)</f>
        <v>0</v>
      </c>
      <c r="BY35" s="5">
        <f>IF($I$30="Producción",IF($I35&gt;=LI_A,$V35,0),0)</f>
        <v>0</v>
      </c>
      <c r="BZ35" s="5">
        <f>IF($I$30="Producción",IF($I35&gt;=LI_B,IF($I35&lt;LS_B,$V35,0),0),0)</f>
        <v>0</v>
      </c>
      <c r="CA35" s="5">
        <f>IF($I$30="Producción",IF($I35&gt;=LI_C,IF($I35&lt;LS_C,$V35,0),0),0)</f>
        <v>0</v>
      </c>
      <c r="CB35" s="5">
        <f>IF($I$30="Producción",IF($I35&lt;LS_D,$V35,0),0)</f>
        <v>0</v>
      </c>
      <c r="CC35" s="5">
        <f>IF($I$30="Crecimiento",$V35,0)</f>
        <v>0</v>
      </c>
      <c r="CF35" s="5">
        <f>IF($J$30="Producción",IF($J35&gt;=LI_A,$W35,0),0)</f>
        <v>0</v>
      </c>
      <c r="CG35" s="5">
        <f>IF($J$30="Producción",IF($J35&gt;=LI_B,IF($J35&lt;LS_B,$W35,0),0),0)</f>
        <v>0</v>
      </c>
      <c r="CH35" s="5">
        <f>IF($J$30="Producción",IF($J35&gt;=LI_C,IF($J35&lt;LS_C,$W35,0),0),0)</f>
        <v>0</v>
      </c>
      <c r="CI35" s="5">
        <f>IF($J$30="Producción",IF($J35&lt;LS_D,$W35,0),0)</f>
        <v>0</v>
      </c>
      <c r="CJ35" s="5">
        <f>IF($J$30="Crecimiento",$W35,0)</f>
        <v>0</v>
      </c>
      <c r="CM35" s="5">
        <f>IF($K$30="Producción",IF($K35&gt;=LI_A,$X35,0),0)</f>
        <v>0</v>
      </c>
      <c r="CN35" s="5">
        <f>IF($K$30="Producción",IF($K35&gt;=LI_B,IF($K35&lt;LS_B,$X35,0),0),0)</f>
        <v>0</v>
      </c>
      <c r="CO35" s="5">
        <f>IF($K$30="Producción",IF($K35&gt;=LI_C,IF($K35&lt;LS_C,$X35,0),0),0)</f>
        <v>0</v>
      </c>
      <c r="CP35" s="5">
        <f>IF($K$30="Producción",IF($K35&lt;LS_D,$X35,0),0)</f>
        <v>0</v>
      </c>
      <c r="CQ35" s="5">
        <f>IF($K$30="Crecimiento",$X35,0)</f>
        <v>0</v>
      </c>
      <c r="CT35" s="5">
        <f>IF($L$30="Producción",IF($L35&gt;=LI_A,$Y35,0),0)</f>
        <v>0</v>
      </c>
      <c r="CU35" s="5">
        <f>IF($L$30="Producción",IF($L35&gt;=LI_B,IF($L35&lt;LS_B,$Y35,0),0),0)</f>
        <v>0</v>
      </c>
      <c r="CV35" s="5">
        <f>IF($L$30="Producción",IF($L35&gt;=LI_C,IF($L35&lt;LS_C,$Y35,0),0),0)</f>
        <v>0</v>
      </c>
      <c r="CW35" s="5">
        <f>IF($L$30="Producción",IF($L35&lt;LS_D,$Y35,0),0)</f>
        <v>0</v>
      </c>
      <c r="CX35" s="5">
        <f>IF($L$30="Crecimiento",$Y35,0)</f>
        <v>0</v>
      </c>
      <c r="DA35" s="5">
        <f>IF($M$30="Producción",IF($M35&gt;=LI_A,$Z35,0),0)</f>
        <v>0</v>
      </c>
      <c r="DB35" s="5">
        <f>IF($M$30="Producción",IF($M35&gt;=LI_B,IF($M35&lt;LS_B,$Z35,0),0),0)</f>
        <v>0</v>
      </c>
      <c r="DC35" s="5">
        <f>IF($M$30="Producción",IF($M35&gt;=LI_C,IF($M35&lt;LS_C,$Z35,0),0),0)</f>
        <v>0</v>
      </c>
      <c r="DD35" s="5">
        <f>IF($M$30="Producción",IF($M35&lt;LS_D,$Z35,0),0)</f>
        <v>0</v>
      </c>
      <c r="DE35" s="5">
        <f>IF($M$30="Crecimiento",$Z35,0)</f>
        <v>0</v>
      </c>
      <c r="DI35" s="5">
        <f t="shared" si="191"/>
        <v>0</v>
      </c>
      <c r="DJ35" s="5">
        <f t="shared" si="192"/>
        <v>0</v>
      </c>
      <c r="DK35" s="5">
        <f t="shared" si="193"/>
        <v>0</v>
      </c>
      <c r="DL35" s="5">
        <f t="shared" si="194"/>
        <v>0</v>
      </c>
      <c r="DM35" s="5">
        <f t="shared" si="195"/>
        <v>0</v>
      </c>
      <c r="DN35" s="5">
        <f t="shared" si="196"/>
        <v>0</v>
      </c>
      <c r="DO35" s="5">
        <f t="shared" si="197"/>
        <v>0</v>
      </c>
      <c r="DP35" s="5">
        <f t="shared" si="198"/>
        <v>0</v>
      </c>
      <c r="DQ35" s="5">
        <f t="shared" si="199"/>
        <v>0</v>
      </c>
      <c r="DR35" s="5">
        <f t="shared" si="200"/>
        <v>0</v>
      </c>
      <c r="DS35" s="5">
        <f t="shared" si="201"/>
        <v>0</v>
      </c>
      <c r="DT35" s="5">
        <f t="shared" si="202"/>
        <v>0</v>
      </c>
      <c r="DU35" s="5">
        <f t="shared" si="203"/>
        <v>0</v>
      </c>
      <c r="DV35" s="5">
        <f t="shared" si="204"/>
        <v>0</v>
      </c>
      <c r="DW35" s="5">
        <f t="shared" si="205"/>
        <v>0</v>
      </c>
      <c r="DX35" s="5">
        <f t="shared" si="206"/>
        <v>0</v>
      </c>
      <c r="DY35" s="5">
        <f t="shared" si="207"/>
        <v>0</v>
      </c>
      <c r="DZ35" s="5">
        <f t="shared" si="208"/>
        <v>0</v>
      </c>
      <c r="EA35" s="5">
        <f t="shared" si="209"/>
        <v>0</v>
      </c>
      <c r="EB35" s="5">
        <f t="shared" si="210"/>
        <v>0</v>
      </c>
      <c r="EC35" s="5">
        <f t="shared" si="211"/>
        <v>0</v>
      </c>
      <c r="ED35" s="5">
        <f t="shared" si="212"/>
        <v>0</v>
      </c>
      <c r="EE35" s="5">
        <f t="shared" si="213"/>
        <v>0</v>
      </c>
      <c r="EF35" s="5">
        <f t="shared" si="214"/>
        <v>0</v>
      </c>
      <c r="EG35" s="5">
        <f t="shared" si="215"/>
        <v>0</v>
      </c>
      <c r="EH35" s="5">
        <f t="shared" si="216"/>
        <v>0</v>
      </c>
      <c r="EI35" s="5">
        <f t="shared" si="217"/>
        <v>0</v>
      </c>
      <c r="EJ35" s="5">
        <f t="shared" si="218"/>
        <v>0</v>
      </c>
      <c r="EK35" s="5">
        <f t="shared" si="219"/>
        <v>0</v>
      </c>
      <c r="EL35" s="5">
        <f t="shared" si="220"/>
        <v>0</v>
      </c>
      <c r="EM35" s="5">
        <f t="shared" si="221"/>
        <v>0</v>
      </c>
      <c r="EN35" s="5">
        <f t="shared" si="222"/>
        <v>0</v>
      </c>
      <c r="EO35" s="5">
        <f t="shared" si="223"/>
        <v>0</v>
      </c>
      <c r="EP35" s="5">
        <f t="shared" si="224"/>
        <v>0</v>
      </c>
      <c r="EQ35" s="5">
        <f t="shared" si="225"/>
        <v>0</v>
      </c>
      <c r="ER35" s="5">
        <f t="shared" si="226"/>
        <v>0</v>
      </c>
      <c r="ES35" s="5">
        <f t="shared" si="227"/>
        <v>0</v>
      </c>
      <c r="ET35" s="5">
        <f t="shared" si="228"/>
        <v>0</v>
      </c>
      <c r="EU35" s="5">
        <f t="shared" si="229"/>
        <v>0</v>
      </c>
      <c r="EV35" s="5">
        <f t="shared" si="230"/>
        <v>0</v>
      </c>
      <c r="EW35" s="5">
        <f t="shared" si="231"/>
        <v>0</v>
      </c>
      <c r="EX35" s="5">
        <f t="shared" si="232"/>
        <v>0</v>
      </c>
      <c r="EY35" s="5">
        <f t="shared" si="233"/>
        <v>0</v>
      </c>
      <c r="EZ35" s="5">
        <f t="shared" si="234"/>
        <v>0</v>
      </c>
      <c r="FA35" s="5">
        <f t="shared" si="235"/>
        <v>0</v>
      </c>
      <c r="FB35" s="5">
        <f t="shared" si="236"/>
        <v>0</v>
      </c>
      <c r="FC35" s="5">
        <f t="shared" si="237"/>
        <v>0</v>
      </c>
      <c r="FD35" s="5">
        <f t="shared" si="238"/>
        <v>0</v>
      </c>
      <c r="FE35" s="5">
        <f t="shared" si="239"/>
        <v>0</v>
      </c>
      <c r="FF35" s="5">
        <f t="shared" si="240"/>
        <v>0</v>
      </c>
      <c r="FG35" s="5">
        <f t="shared" si="241"/>
        <v>0</v>
      </c>
      <c r="FH35" s="5">
        <f t="shared" si="242"/>
        <v>0</v>
      </c>
      <c r="FI35" s="5">
        <f t="shared" si="243"/>
        <v>0</v>
      </c>
      <c r="FJ35" s="5">
        <f t="shared" si="244"/>
        <v>0</v>
      </c>
      <c r="FK35" s="5">
        <f t="shared" si="245"/>
        <v>0</v>
      </c>
      <c r="FL35" s="5">
        <f t="shared" si="246"/>
        <v>0</v>
      </c>
      <c r="FM35" s="5">
        <f t="shared" si="247"/>
        <v>0</v>
      </c>
      <c r="FN35" s="5">
        <f t="shared" si="248"/>
        <v>0</v>
      </c>
      <c r="FO35" s="5">
        <f t="shared" si="249"/>
        <v>0</v>
      </c>
      <c r="FP35" s="5">
        <f t="shared" si="250"/>
        <v>0</v>
      </c>
    </row>
    <row r="36" spans="1:172" ht="20.100000000000001" customHeight="1" x14ac:dyDescent="0.3">
      <c r="A36" s="8" t="str">
        <f>IF(Ciclo=4,"Surco 4",IF(Ciclo=5,"Surco 4","NA"))</f>
        <v>NA</v>
      </c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O36" s="58">
        <f>IF($A36="NA",0,IFERROR('6'!O$19/Ciclo,0))</f>
        <v>0</v>
      </c>
      <c r="P36" s="58">
        <f>IF($A36="NA",0,IFERROR('6'!P$19/Ciclo,0))</f>
        <v>0</v>
      </c>
      <c r="Q36" s="58">
        <f>IF($A36="NA",0,IFERROR('6'!Q$19/Ciclo,0))</f>
        <v>0</v>
      </c>
      <c r="R36" s="58">
        <f>IF($A36="NA",0,IFERROR('6'!R$19/Ciclo,0))</f>
        <v>0</v>
      </c>
      <c r="S36" s="58">
        <f>IF($A36="NA",0,IFERROR('6'!S$19/Ciclo,0))</f>
        <v>0</v>
      </c>
      <c r="T36" s="58">
        <f>IF($A36="NA",0,IFERROR('6'!T$19/Ciclo,0))</f>
        <v>0</v>
      </c>
      <c r="U36" s="58">
        <f>IF($A36="NA",0,IFERROR('6'!U$19/Ciclo,0))</f>
        <v>0</v>
      </c>
      <c r="V36" s="58">
        <f>IF($A36="NA",0,IFERROR('6'!V$19/Ciclo,0))</f>
        <v>0</v>
      </c>
      <c r="W36" s="5">
        <f>IF($A36="NA",0,IFERROR('6'!W$19/Ciclo,0))</f>
        <v>0</v>
      </c>
      <c r="X36" s="5">
        <f>IF($A36="NA",0,IFERROR('6'!X$19/Ciclo,0))</f>
        <v>0</v>
      </c>
      <c r="Y36" s="5">
        <f>IF($A36="NA",0,IFERROR('6'!Y$19/Ciclo,0))</f>
        <v>0</v>
      </c>
      <c r="Z36" s="5">
        <f>IF($A36="NA",0,IFERROR('6'!Z$19/Ciclo,0))</f>
        <v>0</v>
      </c>
      <c r="AB36" s="5">
        <f>IF($B$30="Producción",IF($B36&gt;=LI_A,$O36,0),0)</f>
        <v>0</v>
      </c>
      <c r="AC36" s="5">
        <f>IF($B$30="Producción",IF($B36&gt;=LI_B,IF($B36&lt;LS_B,$O36,0),0),0)</f>
        <v>0</v>
      </c>
      <c r="AD36" s="5">
        <f>IF($B$30="Producción",IF($B36&gt;=LI_C,IF($B36&lt;LS_C,$O36,0),0),0)</f>
        <v>0</v>
      </c>
      <c r="AE36" s="5">
        <f>IF($B$30="Producción",IF($B36&lt;LS_D,$O36,0),0)</f>
        <v>0</v>
      </c>
      <c r="AF36" s="5">
        <f t="shared" si="251"/>
        <v>0</v>
      </c>
      <c r="AI36" s="5">
        <f>IF($C$30="Producción",IF($C36&gt;=LI_A,$P36,0),0)</f>
        <v>0</v>
      </c>
      <c r="AJ36" s="5">
        <f>IF($C$30="Producción",IF($C36&gt;=LI_B,IF($C36&lt;LS_B,$P36,0),0),0)</f>
        <v>0</v>
      </c>
      <c r="AK36" s="5">
        <f>IF($C$30="Producción",IF($C36&gt;=LI_C,IF($C36&lt;LS_C,$P36,0),0),0)</f>
        <v>0</v>
      </c>
      <c r="AL36" s="5">
        <f>IF($C$30="Producción",IF($C36&lt;LS_D,$P36,0),0)</f>
        <v>0</v>
      </c>
      <c r="AM36" s="5">
        <f>IF($C$30="Crecimiento",$P36,0)</f>
        <v>0</v>
      </c>
      <c r="AP36" s="5">
        <f>IF($D$30="Producción",IF($D36&gt;=LI_A,$Q36,0),0)</f>
        <v>0</v>
      </c>
      <c r="AQ36" s="5">
        <f>IF($D$30="Producción",IF($D36&gt;=LI_B,IF($D36&lt;LS_B,$Q36,0),0),0)</f>
        <v>0</v>
      </c>
      <c r="AR36" s="5">
        <f>IF($D$30="Producción",IF($D36&gt;=LI_C,IF($D36&lt;LS_C,$Q36,0),0),0)</f>
        <v>0</v>
      </c>
      <c r="AS36" s="5">
        <f>IF($D$30="Producción",IF($D36&lt;LS_D,$Q36,0),0)</f>
        <v>0</v>
      </c>
      <c r="AT36" s="5">
        <f>IF($D$30="Crecimiento",IF($D36&gt;0,$Q36,0),0)</f>
        <v>0</v>
      </c>
      <c r="AW36" s="5">
        <f>IF($E$30="Producción",IF($E36&gt;=LI_A,$R36,0),0)</f>
        <v>0</v>
      </c>
      <c r="AX36" s="5">
        <f>IF($E$30="Producción",IF($E36&gt;=LI_B,IF($E36&lt;LS_B,$R36,0),0),0)</f>
        <v>0</v>
      </c>
      <c r="AY36" s="5">
        <f>IF($E$30="Producción",IF($E36&gt;=LI_C,IF($E36&lt;LS_C,$R36,0),0),0)</f>
        <v>0</v>
      </c>
      <c r="AZ36" s="5">
        <f>IF($E$30="Producción",IF($E36&lt;LS_D,$R36,0),0)</f>
        <v>0</v>
      </c>
      <c r="BA36" s="5">
        <f>IF($E$30="Crecimiento",$R36,0)</f>
        <v>0</v>
      </c>
      <c r="BD36" s="5">
        <f>IF($F$30="Producción",IF($F36&gt;=LI_A,$S36,0),0)</f>
        <v>0</v>
      </c>
      <c r="BE36" s="5">
        <f>IF($F$30="Producción",IF($F36&gt;=LI_B,IF($F36&lt;LS_B,$S36,0),0),0)</f>
        <v>0</v>
      </c>
      <c r="BF36" s="5">
        <f>IF($F$30="Producción",IF($F36&gt;=LI_C,IF($F36&lt;LS_C,$S36,0),0),0)</f>
        <v>0</v>
      </c>
      <c r="BG36" s="5">
        <f>IF($F$30="Producción",IF($F36&lt;LS_D,$S36,0),0)</f>
        <v>0</v>
      </c>
      <c r="BH36" s="5">
        <f>IF($F$30="Crecimiento",$S36,0)</f>
        <v>0</v>
      </c>
      <c r="BK36" s="5">
        <f>IF($G$30="Producción",IF($G36&gt;=LI_A,$T36,0),0)</f>
        <v>0</v>
      </c>
      <c r="BL36" s="5">
        <f>IF($G$30="Producción",IF($G36&gt;=LI_B,IF($G36&lt;LS_B,$T36,0),0),0)</f>
        <v>0</v>
      </c>
      <c r="BM36" s="5">
        <f>IF($G$30="Producción",IF($G36&gt;=LI_C,IF($G36&lt;LS_C,$T36,0),0),0)</f>
        <v>0</v>
      </c>
      <c r="BN36" s="5">
        <f>IF($G$30="Producción",IF($G36&lt;LS_D,$T36,0),0)</f>
        <v>0</v>
      </c>
      <c r="BO36" s="5">
        <f>IF($G$30="Crecimiento",$T36,0)</f>
        <v>0</v>
      </c>
      <c r="BR36" s="5">
        <f>IF($H$30="Producción",IF($H36&gt;=LI_A,$U36,0),0)</f>
        <v>0</v>
      </c>
      <c r="BS36" s="5">
        <f>IF($H$30="Producción",IF($H36&gt;=LI_B,IF($H36&lt;LS_B,$U36,0),0),0)</f>
        <v>0</v>
      </c>
      <c r="BT36" s="5">
        <f>IF($H$30="Producción",IF($H36&gt;=LI_C,IF($H36&lt;LS_C,$U36,0),0),0)</f>
        <v>0</v>
      </c>
      <c r="BU36" s="5">
        <f>IF($H$30="Producción",IF($H36&lt;LS_D,$U36,0),0)</f>
        <v>0</v>
      </c>
      <c r="BV36" s="5">
        <f>IF($H$30="Crecimiento",$T36,0)</f>
        <v>0</v>
      </c>
      <c r="BY36" s="5">
        <f>IF($I$30="Producción",IF($I36&gt;=LI_A,$V36,0),0)</f>
        <v>0</v>
      </c>
      <c r="BZ36" s="5">
        <f>IF($I$30="Producción",IF($I36&gt;=LI_B,IF($I36&lt;LS_B,$V36,0),0),0)</f>
        <v>0</v>
      </c>
      <c r="CA36" s="5">
        <f>IF($I$30="Producción",IF($I36&gt;=LI_C,IF($I36&lt;LS_C,$V36,0),0),0)</f>
        <v>0</v>
      </c>
      <c r="CB36" s="5">
        <f>IF($I$30="Producción",IF($I36&lt;LS_D,$V36,0),0)</f>
        <v>0</v>
      </c>
      <c r="CC36" s="5">
        <f>IF($I$30="Crecimiento",$V36,0)</f>
        <v>0</v>
      </c>
      <c r="CF36" s="5">
        <f>IF($J$30="Producción",IF($J36&gt;=LI_A,$W36,0),0)</f>
        <v>0</v>
      </c>
      <c r="CG36" s="5">
        <f>IF($J$30="Producción",IF($J36&gt;=LI_B,IF($J36&lt;LS_B,$W36,0),0),0)</f>
        <v>0</v>
      </c>
      <c r="CH36" s="5">
        <f>IF($J$30="Producción",IF($J36&gt;=LI_C,IF($J36&lt;LS_C,$W36,0),0),0)</f>
        <v>0</v>
      </c>
      <c r="CI36" s="5">
        <f>IF($J$30="Producción",IF($J36&lt;LS_D,$W36,0),0)</f>
        <v>0</v>
      </c>
      <c r="CJ36" s="5">
        <f>IF($J$30="Crecimiento",$W36,0)</f>
        <v>0</v>
      </c>
      <c r="CM36" s="5">
        <f>IF($K$30="Producción",IF($K36&gt;=LI_A,$X36,0),0)</f>
        <v>0</v>
      </c>
      <c r="CN36" s="5">
        <f>IF($K$30="Producción",IF($K36&gt;=LI_B,IF($K36&lt;LS_B,$X36,0),0),0)</f>
        <v>0</v>
      </c>
      <c r="CO36" s="5">
        <f>IF($K$30="Producción",IF($K36&gt;=LI_C,IF($K36&lt;LS_C,$X36,0),0),0)</f>
        <v>0</v>
      </c>
      <c r="CP36" s="5">
        <f>IF($K$30="Producción",IF($K36&lt;LS_D,$X36,0),0)</f>
        <v>0</v>
      </c>
      <c r="CQ36" s="5">
        <f>IF($K$30="Crecimiento",$X36,0)</f>
        <v>0</v>
      </c>
      <c r="CT36" s="5">
        <f>IF($L$30="Producción",IF($L36&gt;=LI_A,$Y36,0),0)</f>
        <v>0</v>
      </c>
      <c r="CU36" s="5">
        <f>IF($L$30="Producción",IF($L36&gt;=LI_B,IF($L36&lt;LS_B,$Y36,0),0),0)</f>
        <v>0</v>
      </c>
      <c r="CV36" s="5">
        <f>IF($L$30="Producción",IF($L36&gt;=LI_C,IF($L36&lt;LS_C,$Y36,0),0),0)</f>
        <v>0</v>
      </c>
      <c r="CW36" s="5">
        <f>IF($L$30="Producción",IF($L36&lt;LS_D,$Y36,0),0)</f>
        <v>0</v>
      </c>
      <c r="CX36" s="5">
        <f>IF($L$30="Crecimiento",$Y36,0)</f>
        <v>0</v>
      </c>
      <c r="DA36" s="5">
        <f>IF($M$30="Producción",IF($M36&gt;=LI_A,$Z36,0),0)</f>
        <v>0</v>
      </c>
      <c r="DB36" s="5">
        <f>IF($M$30="Producción",IF($M36&gt;=LI_B,IF($M36&lt;LS_B,$Z36,0),0),0)</f>
        <v>0</v>
      </c>
      <c r="DC36" s="5">
        <f>IF($M$30="Producción",IF($M36&gt;=LI_C,IF($M36&lt;LS_C,$Z36,0),0),0)</f>
        <v>0</v>
      </c>
      <c r="DD36" s="5">
        <f>IF($M$30="Producción",IF($M36&lt;LS_D,$Z36,0),0)</f>
        <v>0</v>
      </c>
      <c r="DE36" s="5">
        <f>IF($M$30="Crecimiento",$Z36,0)</f>
        <v>0</v>
      </c>
      <c r="DI36" s="5">
        <f t="shared" si="191"/>
        <v>0</v>
      </c>
      <c r="DJ36" s="5">
        <f t="shared" si="192"/>
        <v>0</v>
      </c>
      <c r="DK36" s="5">
        <f t="shared" si="193"/>
        <v>0</v>
      </c>
      <c r="DL36" s="5">
        <f t="shared" si="194"/>
        <v>0</v>
      </c>
      <c r="DM36" s="5">
        <f t="shared" si="195"/>
        <v>0</v>
      </c>
      <c r="DN36" s="5">
        <f t="shared" si="196"/>
        <v>0</v>
      </c>
      <c r="DO36" s="5">
        <f t="shared" si="197"/>
        <v>0</v>
      </c>
      <c r="DP36" s="5">
        <f t="shared" si="198"/>
        <v>0</v>
      </c>
      <c r="DQ36" s="5">
        <f t="shared" si="199"/>
        <v>0</v>
      </c>
      <c r="DR36" s="5">
        <f t="shared" si="200"/>
        <v>0</v>
      </c>
      <c r="DS36" s="5">
        <f t="shared" si="201"/>
        <v>0</v>
      </c>
      <c r="DT36" s="5">
        <f t="shared" si="202"/>
        <v>0</v>
      </c>
      <c r="DU36" s="5">
        <f t="shared" si="203"/>
        <v>0</v>
      </c>
      <c r="DV36" s="5">
        <f t="shared" si="204"/>
        <v>0</v>
      </c>
      <c r="DW36" s="5">
        <f t="shared" si="205"/>
        <v>0</v>
      </c>
      <c r="DX36" s="5">
        <f t="shared" si="206"/>
        <v>0</v>
      </c>
      <c r="DY36" s="5">
        <f t="shared" si="207"/>
        <v>0</v>
      </c>
      <c r="DZ36" s="5">
        <f t="shared" si="208"/>
        <v>0</v>
      </c>
      <c r="EA36" s="5">
        <f t="shared" si="209"/>
        <v>0</v>
      </c>
      <c r="EB36" s="5">
        <f t="shared" si="210"/>
        <v>0</v>
      </c>
      <c r="EC36" s="5">
        <f t="shared" si="211"/>
        <v>0</v>
      </c>
      <c r="ED36" s="5">
        <f t="shared" si="212"/>
        <v>0</v>
      </c>
      <c r="EE36" s="5">
        <f t="shared" si="213"/>
        <v>0</v>
      </c>
      <c r="EF36" s="5">
        <f t="shared" si="214"/>
        <v>0</v>
      </c>
      <c r="EG36" s="5">
        <f t="shared" si="215"/>
        <v>0</v>
      </c>
      <c r="EH36" s="5">
        <f t="shared" si="216"/>
        <v>0</v>
      </c>
      <c r="EI36" s="5">
        <f t="shared" si="217"/>
        <v>0</v>
      </c>
      <c r="EJ36" s="5">
        <f t="shared" si="218"/>
        <v>0</v>
      </c>
      <c r="EK36" s="5">
        <f t="shared" si="219"/>
        <v>0</v>
      </c>
      <c r="EL36" s="5">
        <f t="shared" si="220"/>
        <v>0</v>
      </c>
      <c r="EM36" s="5">
        <f t="shared" si="221"/>
        <v>0</v>
      </c>
      <c r="EN36" s="5">
        <f t="shared" si="222"/>
        <v>0</v>
      </c>
      <c r="EO36" s="5">
        <f t="shared" si="223"/>
        <v>0</v>
      </c>
      <c r="EP36" s="5">
        <f t="shared" si="224"/>
        <v>0</v>
      </c>
      <c r="EQ36" s="5">
        <f t="shared" si="225"/>
        <v>0</v>
      </c>
      <c r="ER36" s="5">
        <f t="shared" si="226"/>
        <v>0</v>
      </c>
      <c r="ES36" s="5">
        <f t="shared" si="227"/>
        <v>0</v>
      </c>
      <c r="ET36" s="5">
        <f t="shared" si="228"/>
        <v>0</v>
      </c>
      <c r="EU36" s="5">
        <f t="shared" si="229"/>
        <v>0</v>
      </c>
      <c r="EV36" s="5">
        <f t="shared" si="230"/>
        <v>0</v>
      </c>
      <c r="EW36" s="5">
        <f t="shared" si="231"/>
        <v>0</v>
      </c>
      <c r="EX36" s="5">
        <f t="shared" si="232"/>
        <v>0</v>
      </c>
      <c r="EY36" s="5">
        <f t="shared" si="233"/>
        <v>0</v>
      </c>
      <c r="EZ36" s="5">
        <f t="shared" si="234"/>
        <v>0</v>
      </c>
      <c r="FA36" s="5">
        <f t="shared" si="235"/>
        <v>0</v>
      </c>
      <c r="FB36" s="5">
        <f t="shared" si="236"/>
        <v>0</v>
      </c>
      <c r="FC36" s="5">
        <f t="shared" si="237"/>
        <v>0</v>
      </c>
      <c r="FD36" s="5">
        <f t="shared" si="238"/>
        <v>0</v>
      </c>
      <c r="FE36" s="5">
        <f t="shared" si="239"/>
        <v>0</v>
      </c>
      <c r="FF36" s="5">
        <f t="shared" si="240"/>
        <v>0</v>
      </c>
      <c r="FG36" s="5">
        <f t="shared" si="241"/>
        <v>0</v>
      </c>
      <c r="FH36" s="5">
        <f t="shared" si="242"/>
        <v>0</v>
      </c>
      <c r="FI36" s="5">
        <f t="shared" si="243"/>
        <v>0</v>
      </c>
      <c r="FJ36" s="5">
        <f t="shared" si="244"/>
        <v>0</v>
      </c>
      <c r="FK36" s="5">
        <f t="shared" si="245"/>
        <v>0</v>
      </c>
      <c r="FL36" s="5">
        <f t="shared" si="246"/>
        <v>0</v>
      </c>
      <c r="FM36" s="5">
        <f t="shared" si="247"/>
        <v>0</v>
      </c>
      <c r="FN36" s="5">
        <f t="shared" si="248"/>
        <v>0</v>
      </c>
      <c r="FO36" s="5">
        <f t="shared" si="249"/>
        <v>0</v>
      </c>
      <c r="FP36" s="5">
        <f t="shared" si="250"/>
        <v>0</v>
      </c>
    </row>
    <row r="37" spans="1:172" ht="20.100000000000001" customHeight="1" x14ac:dyDescent="0.3">
      <c r="A37" s="9" t="str">
        <f>IF(Ciclo=5,"Surco 5","NA")</f>
        <v>NA</v>
      </c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O37" s="58">
        <f>IF($A37="NA",0,IFERROR('6'!O$19/Ciclo,0))</f>
        <v>0</v>
      </c>
      <c r="P37" s="58">
        <f>IF($A37="NA",0,IFERROR('6'!P$19/Ciclo,0))</f>
        <v>0</v>
      </c>
      <c r="Q37" s="58">
        <f>IF($A37="NA",0,IFERROR('6'!Q$19/Ciclo,0))</f>
        <v>0</v>
      </c>
      <c r="R37" s="58">
        <f>IF($A37="NA",0,IFERROR('6'!R$19/Ciclo,0))</f>
        <v>0</v>
      </c>
      <c r="S37" s="58">
        <f>IF($A37="NA",0,IFERROR('6'!S$19/Ciclo,0))</f>
        <v>0</v>
      </c>
      <c r="T37" s="58">
        <f>IF($A37="NA",0,IFERROR('6'!T$19/Ciclo,0))</f>
        <v>0</v>
      </c>
      <c r="U37" s="58">
        <f>IF($A37="NA",0,IFERROR('6'!U$19/Ciclo,0))</f>
        <v>0</v>
      </c>
      <c r="V37" s="58">
        <f>IF($A37="NA",0,IFERROR('6'!V$19/Ciclo,0))</f>
        <v>0</v>
      </c>
      <c r="W37" s="5">
        <f>IF($A37="NA",0,IFERROR('6'!W$19/Ciclo,0))</f>
        <v>0</v>
      </c>
      <c r="X37" s="5">
        <f>IF($A37="NA",0,IFERROR('6'!X$19/Ciclo,0))</f>
        <v>0</v>
      </c>
      <c r="Y37" s="5">
        <f>IF($A37="NA",0,IFERROR('6'!Y$19/Ciclo,0))</f>
        <v>0</v>
      </c>
      <c r="Z37" s="5">
        <f>IF($A37="NA",0,IFERROR('6'!Z$19/Ciclo,0))</f>
        <v>0</v>
      </c>
      <c r="AB37" s="5">
        <f>IF($B$30="Producción",IF($B37&gt;=LI_A,$O37,0),0)</f>
        <v>0</v>
      </c>
      <c r="AC37" s="5">
        <f>IF($B$30="Producción",IF($B37&gt;=LI_B,IF($B37&lt;LS_B,$O37,0),0),0)</f>
        <v>0</v>
      </c>
      <c r="AD37" s="5">
        <f>IF($B$30="Producción",IF($B37&gt;=LI_C,IF($B37&lt;LS_C,$O37,0),0),0)</f>
        <v>0</v>
      </c>
      <c r="AE37" s="5">
        <f>IF($B$30="Producción",IF($B37&lt;LS_D,$O37,0),0)</f>
        <v>0</v>
      </c>
      <c r="AF37" s="5">
        <f>IF($B$30="Crecimiento",$O37,0)</f>
        <v>0</v>
      </c>
      <c r="AI37" s="5">
        <f>IF($C$30="Producción",IF($C37&gt;=LI_A,$P37,0),0)</f>
        <v>0</v>
      </c>
      <c r="AJ37" s="5">
        <f>IF($C$30="Producción",IF($C37&gt;=LI_B,IF($C37&lt;LS_B,$P37,0),0),0)</f>
        <v>0</v>
      </c>
      <c r="AK37" s="5">
        <f>IF($C$30="Producción",IF($C37&gt;=LI_C,IF($C37&lt;LS_C,$P37,0),0),0)</f>
        <v>0</v>
      </c>
      <c r="AL37" s="5">
        <f>IF($C$30="Producción",IF($C37&lt;LS_D,$P37,0),0)</f>
        <v>0</v>
      </c>
      <c r="AM37" s="5">
        <f>IF($C$30="Crecimiento",$P37,0)</f>
        <v>0</v>
      </c>
      <c r="AP37" s="5">
        <f>IF($D$30="Producción",IF($D37&gt;=LI_A,$Q37,0),0)</f>
        <v>0</v>
      </c>
      <c r="AQ37" s="5">
        <f>IF($D$30="Producción",IF($D37&gt;=LI_B,IF($D37&lt;LS_B,$Q37,0),0),0)</f>
        <v>0</v>
      </c>
      <c r="AR37" s="5">
        <f>IF($D$30="Producción",IF($D37&gt;=LI_C,IF($D37&lt;LS_C,$Q37,0),0),0)</f>
        <v>0</v>
      </c>
      <c r="AS37" s="5">
        <f>IF($D$30="Producción",IF($D37&lt;LS_D,$Q37,0),0)</f>
        <v>0</v>
      </c>
      <c r="AT37" s="5">
        <f>IF($D$30="Crecimiento",IF($D37&gt;0,$Q37,0),0)</f>
        <v>0</v>
      </c>
      <c r="AW37" s="5">
        <f>IF($E$30="Producción",IF($E37&gt;=LI_A,$R37,0),0)</f>
        <v>0</v>
      </c>
      <c r="AX37" s="5">
        <f>IF($E$30="Producción",IF($E37&gt;=LI_B,IF($E37&lt;LS_B,$R37,0),0),0)</f>
        <v>0</v>
      </c>
      <c r="AY37" s="5">
        <f>IF($E$30="Producción",IF($E37&gt;=LI_C,IF($E37&lt;LS_C,$R37,0),0),0)</f>
        <v>0</v>
      </c>
      <c r="AZ37" s="5">
        <f>IF($E$30="Producción",IF($E37&lt;LS_D,$R37,0),0)</f>
        <v>0</v>
      </c>
      <c r="BA37" s="5">
        <f>IF($E$30="Crecimiento",$R37,0)</f>
        <v>0</v>
      </c>
      <c r="BD37" s="5">
        <f>IF($F$30="Producción",IF($F37&gt;=LI_A,$S37,0),0)</f>
        <v>0</v>
      </c>
      <c r="BE37" s="5">
        <f>IF($F$30="Producción",IF($F37&gt;=LI_B,IF($F37&lt;LS_B,$S37,0),0),0)</f>
        <v>0</v>
      </c>
      <c r="BF37" s="5">
        <f>IF($F$30="Producción",IF($F37&gt;=LI_C,IF($F37&lt;LS_C,$S37,0),0),0)</f>
        <v>0</v>
      </c>
      <c r="BG37" s="5">
        <f>IF($F$30="Producción",IF($F37&lt;LS_D,$S37,0),0)</f>
        <v>0</v>
      </c>
      <c r="BH37" s="5">
        <f>IF($F$30="Crecimiento",$S37,0)</f>
        <v>0</v>
      </c>
      <c r="BK37" s="5">
        <f>IF($G$30="Producción",IF($G37&gt;=LI_A,$T37,0),0)</f>
        <v>0</v>
      </c>
      <c r="BL37" s="5">
        <f>IF($G$30="Producción",IF($G37&gt;=LI_B,IF($G37&lt;LS_B,$T37,0),0),0)</f>
        <v>0</v>
      </c>
      <c r="BM37" s="5">
        <f>IF($G$30="Producción",IF($G37&gt;=LI_C,IF($G37&lt;LS_C,$T37,0),0),0)</f>
        <v>0</v>
      </c>
      <c r="BN37" s="5">
        <f>IF($G$30="Producción",IF($G37&lt;LS_D,$T37,0),0)</f>
        <v>0</v>
      </c>
      <c r="BO37" s="5">
        <f>IF($G$30="Crecimiento",$T37,0)</f>
        <v>0</v>
      </c>
      <c r="BR37" s="5">
        <f>IF($H$30="Producción",IF($H37&gt;=LI_A,$U37,0),0)</f>
        <v>0</v>
      </c>
      <c r="BS37" s="5">
        <f>IF($H$30="Producción",IF($H37&gt;=LI_B,IF($H37&lt;LS_B,$U37,0),0),0)</f>
        <v>0</v>
      </c>
      <c r="BT37" s="5">
        <f>IF($H$30="Producción",IF($H37&gt;=LI_C,IF($H37&lt;LS_C,$U37,0),0),0)</f>
        <v>0</v>
      </c>
      <c r="BU37" s="5">
        <f>IF($H$30="Producción",IF($H37&lt;LS_D,$U37,0),0)</f>
        <v>0</v>
      </c>
      <c r="BV37" s="5">
        <f>IF($H$30="Crecimiento",$T37,0)</f>
        <v>0</v>
      </c>
      <c r="BY37" s="5">
        <f>IF($I$30="Producción",IF($I37&gt;=LI_A,$V37,0),0)</f>
        <v>0</v>
      </c>
      <c r="BZ37" s="5">
        <f>IF($I$30="Producción",IF($I37&gt;=LI_B,IF($I37&lt;LS_B,$V37,0),0),0)</f>
        <v>0</v>
      </c>
      <c r="CA37" s="5">
        <f>IF($I$30="Producción",IF($I37&gt;=LI_C,IF($I37&lt;LS_C,$V37,0),0),0)</f>
        <v>0</v>
      </c>
      <c r="CB37" s="5">
        <f>IF($I$30="Producción",IF($I37&lt;LS_D,$V37,0),0)</f>
        <v>0</v>
      </c>
      <c r="CC37" s="5">
        <f>IF($I$30="Crecimiento",$V37,0)</f>
        <v>0</v>
      </c>
      <c r="CF37" s="5">
        <f>IF($J$30="Producción",IF($J37&gt;=LI_A,$W37,0),0)</f>
        <v>0</v>
      </c>
      <c r="CG37" s="5">
        <f>IF($J$30="Producción",IF($J37&gt;=LI_B,IF($J37&lt;LS_B,$W37,0),0),0)</f>
        <v>0</v>
      </c>
      <c r="CH37" s="5">
        <f>IF($J$30="Producción",IF($J37&gt;=LI_C,IF($J37&lt;LS_C,$W37,0),0),0)</f>
        <v>0</v>
      </c>
      <c r="CI37" s="5">
        <f>IF($J$30="Producción",IF($J37&lt;LS_D,$W37,0),0)</f>
        <v>0</v>
      </c>
      <c r="CJ37" s="5">
        <f>IF($J$30="Crecimiento",$W37,0)</f>
        <v>0</v>
      </c>
      <c r="CM37" s="5">
        <f>IF($K$30="Producción",IF($K37&gt;=LI_A,$X37,0),0)</f>
        <v>0</v>
      </c>
      <c r="CN37" s="5">
        <f>IF($K$30="Producción",IF($K37&gt;=LI_B,IF($K37&lt;LS_B,$X37,0),0),0)</f>
        <v>0</v>
      </c>
      <c r="CO37" s="5">
        <f>IF($K$30="Producción",IF($K37&gt;=LI_C,IF($K37&lt;LS_C,$X37,0),0),0)</f>
        <v>0</v>
      </c>
      <c r="CP37" s="5">
        <f>IF($K$30="Producción",IF($K37&lt;LS_D,$X37,0),0)</f>
        <v>0</v>
      </c>
      <c r="CQ37" s="5">
        <f>IF($K$30="Crecimiento",$X37,0)</f>
        <v>0</v>
      </c>
      <c r="CT37" s="5">
        <f>IF($L$30="Producción",IF($L37&gt;=LI_A,$Y37,0),0)</f>
        <v>0</v>
      </c>
      <c r="CU37" s="5">
        <f>IF($L$30="Producción",IF($L37&gt;=LI_B,IF($L37&lt;LS_B,$Y37,0),0),0)</f>
        <v>0</v>
      </c>
      <c r="CV37" s="5">
        <f>IF($L$30="Producción",IF($L37&gt;=LI_C,IF($L37&lt;LS_C,$Y37,0),0),0)</f>
        <v>0</v>
      </c>
      <c r="CW37" s="5">
        <f>IF($L$30="Producción",IF($L37&lt;LS_D,$Y37,0),0)</f>
        <v>0</v>
      </c>
      <c r="CX37" s="5">
        <f>IF($L$30="Crecimiento",$Y37,0)</f>
        <v>0</v>
      </c>
      <c r="DA37" s="5">
        <f>IF($M$30="Producción",IF($M37&gt;=LI_A,$Z37,0),0)</f>
        <v>0</v>
      </c>
      <c r="DB37" s="5">
        <f>IF($M$30="Producción",IF($M37&gt;=LI_B,IF($M37&lt;LS_B,$Z37,0),0),0)</f>
        <v>0</v>
      </c>
      <c r="DC37" s="5">
        <f>IF($M$30="Producción",IF($M37&gt;=LI_C,IF($M37&lt;LS_C,$Z37,0),0),0)</f>
        <v>0</v>
      </c>
      <c r="DD37" s="5">
        <f>IF($M$30="Producción",IF($M37&lt;LS_D,$Z37,0),0)</f>
        <v>0</v>
      </c>
      <c r="DE37" s="5">
        <f>IF($M$30="Crecimiento",$Z37,0)</f>
        <v>0</v>
      </c>
      <c r="DI37" s="5">
        <f t="shared" si="191"/>
        <v>0</v>
      </c>
      <c r="DJ37" s="5">
        <f t="shared" si="192"/>
        <v>0</v>
      </c>
      <c r="DK37" s="5">
        <f t="shared" si="193"/>
        <v>0</v>
      </c>
      <c r="DL37" s="5">
        <f t="shared" si="194"/>
        <v>0</v>
      </c>
      <c r="DM37" s="5">
        <f t="shared" si="195"/>
        <v>0</v>
      </c>
      <c r="DN37" s="5">
        <f t="shared" si="196"/>
        <v>0</v>
      </c>
      <c r="DO37" s="5">
        <f t="shared" si="197"/>
        <v>0</v>
      </c>
      <c r="DP37" s="5">
        <f t="shared" si="198"/>
        <v>0</v>
      </c>
      <c r="DQ37" s="5">
        <f t="shared" si="199"/>
        <v>0</v>
      </c>
      <c r="DR37" s="5">
        <f t="shared" si="200"/>
        <v>0</v>
      </c>
      <c r="DS37" s="5">
        <f t="shared" si="201"/>
        <v>0</v>
      </c>
      <c r="DT37" s="5">
        <f t="shared" si="202"/>
        <v>0</v>
      </c>
      <c r="DU37" s="5">
        <f t="shared" si="203"/>
        <v>0</v>
      </c>
      <c r="DV37" s="5">
        <f t="shared" si="204"/>
        <v>0</v>
      </c>
      <c r="DW37" s="5">
        <f t="shared" si="205"/>
        <v>0</v>
      </c>
      <c r="DX37" s="5">
        <f t="shared" si="206"/>
        <v>0</v>
      </c>
      <c r="DY37" s="5">
        <f t="shared" si="207"/>
        <v>0</v>
      </c>
      <c r="DZ37" s="5">
        <f t="shared" si="208"/>
        <v>0</v>
      </c>
      <c r="EA37" s="5">
        <f t="shared" si="209"/>
        <v>0</v>
      </c>
      <c r="EB37" s="5">
        <f t="shared" si="210"/>
        <v>0</v>
      </c>
      <c r="EC37" s="5">
        <f t="shared" si="211"/>
        <v>0</v>
      </c>
      <c r="ED37" s="5">
        <f t="shared" si="212"/>
        <v>0</v>
      </c>
      <c r="EE37" s="5">
        <f t="shared" si="213"/>
        <v>0</v>
      </c>
      <c r="EF37" s="5">
        <f t="shared" si="214"/>
        <v>0</v>
      </c>
      <c r="EG37" s="5">
        <f t="shared" si="215"/>
        <v>0</v>
      </c>
      <c r="EH37" s="5">
        <f t="shared" si="216"/>
        <v>0</v>
      </c>
      <c r="EI37" s="5">
        <f t="shared" si="217"/>
        <v>0</v>
      </c>
      <c r="EJ37" s="5">
        <f t="shared" si="218"/>
        <v>0</v>
      </c>
      <c r="EK37" s="5">
        <f t="shared" si="219"/>
        <v>0</v>
      </c>
      <c r="EL37" s="5">
        <f t="shared" si="220"/>
        <v>0</v>
      </c>
      <c r="EM37" s="5">
        <f t="shared" si="221"/>
        <v>0</v>
      </c>
      <c r="EN37" s="5">
        <f t="shared" si="222"/>
        <v>0</v>
      </c>
      <c r="EO37" s="5">
        <f t="shared" si="223"/>
        <v>0</v>
      </c>
      <c r="EP37" s="5">
        <f t="shared" si="224"/>
        <v>0</v>
      </c>
      <c r="EQ37" s="5">
        <f t="shared" si="225"/>
        <v>0</v>
      </c>
      <c r="ER37" s="5">
        <f t="shared" si="226"/>
        <v>0</v>
      </c>
      <c r="ES37" s="5">
        <f t="shared" si="227"/>
        <v>0</v>
      </c>
      <c r="ET37" s="5">
        <f t="shared" si="228"/>
        <v>0</v>
      </c>
      <c r="EU37" s="5">
        <f t="shared" si="229"/>
        <v>0</v>
      </c>
      <c r="EV37" s="5">
        <f t="shared" si="230"/>
        <v>0</v>
      </c>
      <c r="EW37" s="5">
        <f t="shared" si="231"/>
        <v>0</v>
      </c>
      <c r="EX37" s="5">
        <f t="shared" si="232"/>
        <v>0</v>
      </c>
      <c r="EY37" s="5">
        <f t="shared" si="233"/>
        <v>0</v>
      </c>
      <c r="EZ37" s="5">
        <f t="shared" si="234"/>
        <v>0</v>
      </c>
      <c r="FA37" s="5">
        <f t="shared" si="235"/>
        <v>0</v>
      </c>
      <c r="FB37" s="5">
        <f t="shared" si="236"/>
        <v>0</v>
      </c>
      <c r="FC37" s="5">
        <f t="shared" si="237"/>
        <v>0</v>
      </c>
      <c r="FD37" s="5">
        <f t="shared" si="238"/>
        <v>0</v>
      </c>
      <c r="FE37" s="5">
        <f t="shared" si="239"/>
        <v>0</v>
      </c>
      <c r="FF37" s="5">
        <f t="shared" si="240"/>
        <v>0</v>
      </c>
      <c r="FG37" s="5">
        <f t="shared" si="241"/>
        <v>0</v>
      </c>
      <c r="FH37" s="5">
        <f t="shared" si="242"/>
        <v>0</v>
      </c>
      <c r="FI37" s="5">
        <f t="shared" si="243"/>
        <v>0</v>
      </c>
      <c r="FJ37" s="5">
        <f t="shared" si="244"/>
        <v>0</v>
      </c>
      <c r="FK37" s="5">
        <f t="shared" si="245"/>
        <v>0</v>
      </c>
      <c r="FL37" s="5">
        <f t="shared" si="246"/>
        <v>0</v>
      </c>
      <c r="FM37" s="5">
        <f t="shared" si="247"/>
        <v>0</v>
      </c>
      <c r="FN37" s="5">
        <f t="shared" si="248"/>
        <v>0</v>
      </c>
      <c r="FO37" s="5">
        <f t="shared" si="249"/>
        <v>0</v>
      </c>
      <c r="FP37" s="5">
        <f t="shared" si="250"/>
        <v>0</v>
      </c>
    </row>
    <row r="38" spans="1:172" ht="20.100000000000001" customHeight="1" x14ac:dyDescent="0.3">
      <c r="A38" s="172">
        <f>N_L5</f>
        <v>0</v>
      </c>
      <c r="B38" s="363" t="s">
        <v>37</v>
      </c>
      <c r="C38" s="363" t="s">
        <v>37</v>
      </c>
      <c r="D38" s="363" t="s">
        <v>37</v>
      </c>
      <c r="E38" s="363" t="s">
        <v>37</v>
      </c>
      <c r="F38" s="363" t="s">
        <v>37</v>
      </c>
      <c r="G38" s="363" t="s">
        <v>37</v>
      </c>
      <c r="H38" s="363" t="s">
        <v>37</v>
      </c>
      <c r="I38" s="363" t="s">
        <v>37</v>
      </c>
      <c r="J38" s="363" t="s">
        <v>37</v>
      </c>
      <c r="K38" s="363" t="s">
        <v>37</v>
      </c>
      <c r="L38" s="363" t="s">
        <v>37</v>
      </c>
      <c r="M38" s="363" t="s">
        <v>37</v>
      </c>
    </row>
    <row r="39" spans="1:172" ht="20.100000000000001" customHeight="1" x14ac:dyDescent="0.3">
      <c r="A39" s="175" t="s">
        <v>238</v>
      </c>
      <c r="B39" s="174">
        <f>SUM(DI41:DM45)/100</f>
        <v>0</v>
      </c>
      <c r="C39" s="174">
        <f>SUM(DN41:DR45)/100</f>
        <v>0</v>
      </c>
      <c r="D39" s="174">
        <f>SUM(DS41:DW45)/100</f>
        <v>0</v>
      </c>
      <c r="E39" s="174">
        <f>SUM(DX41:EB45)/100</f>
        <v>0</v>
      </c>
      <c r="F39" s="174">
        <f>SUM(EC41:EG45)/100</f>
        <v>0</v>
      </c>
      <c r="G39" s="174">
        <f>SUM(EH41:EL45)/100</f>
        <v>0</v>
      </c>
      <c r="H39" s="174">
        <f>SUM(EM41:EQ45)/100</f>
        <v>0</v>
      </c>
      <c r="I39" s="174">
        <f>SUM(ER41:EV45)/100</f>
        <v>0</v>
      </c>
      <c r="J39" s="174">
        <f>SUM(EW41:FA45)/100</f>
        <v>0</v>
      </c>
      <c r="K39" s="174">
        <f>SUM(FB41:FF45)/100</f>
        <v>0</v>
      </c>
      <c r="L39" s="174">
        <f>SUM(FG41:FK45)/100</f>
        <v>0</v>
      </c>
      <c r="M39" s="174">
        <f>SUM(FL41:FP45)/100</f>
        <v>0</v>
      </c>
    </row>
    <row r="40" spans="1:172" ht="20.100000000000001" customHeight="1" x14ac:dyDescent="0.3">
      <c r="A40" s="151" t="s">
        <v>239</v>
      </c>
      <c r="B40" s="152" t="e">
        <f t="shared" ref="B40:M40" si="252">B39/Lote_5</f>
        <v>#DIV/0!</v>
      </c>
      <c r="C40" s="152" t="e">
        <f t="shared" si="252"/>
        <v>#DIV/0!</v>
      </c>
      <c r="D40" s="152" t="e">
        <f t="shared" si="252"/>
        <v>#DIV/0!</v>
      </c>
      <c r="E40" s="152" t="e">
        <f t="shared" si="252"/>
        <v>#DIV/0!</v>
      </c>
      <c r="F40" s="152" t="e">
        <f t="shared" si="252"/>
        <v>#DIV/0!</v>
      </c>
      <c r="G40" s="152" t="e">
        <f t="shared" si="252"/>
        <v>#DIV/0!</v>
      </c>
      <c r="H40" s="152" t="e">
        <f t="shared" si="252"/>
        <v>#DIV/0!</v>
      </c>
      <c r="I40" s="152" t="e">
        <f t="shared" si="252"/>
        <v>#DIV/0!</v>
      </c>
      <c r="J40" s="152" t="e">
        <f t="shared" si="252"/>
        <v>#DIV/0!</v>
      </c>
      <c r="K40" s="152" t="e">
        <f t="shared" si="252"/>
        <v>#DIV/0!</v>
      </c>
      <c r="L40" s="152" t="e">
        <f t="shared" si="252"/>
        <v>#DIV/0!</v>
      </c>
      <c r="M40" s="152" t="e">
        <f t="shared" si="252"/>
        <v>#DIV/0!</v>
      </c>
    </row>
    <row r="41" spans="1:172" ht="20.100000000000001" customHeight="1" x14ac:dyDescent="0.3">
      <c r="A41" s="8" t="s">
        <v>302</v>
      </c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O41" s="58">
        <f>IFERROR('6'!O$23/Ciclo,0)</f>
        <v>0</v>
      </c>
      <c r="P41" s="58">
        <f>IFERROR('6'!P$23/Ciclo,0)</f>
        <v>0</v>
      </c>
      <c r="Q41" s="58">
        <f>IFERROR('6'!Q$23/Ciclo,0)</f>
        <v>0</v>
      </c>
      <c r="R41" s="58">
        <f>IFERROR('6'!R$23/Ciclo,0)</f>
        <v>0</v>
      </c>
      <c r="S41" s="58">
        <f>IFERROR('6'!S$23/Ciclo,0)</f>
        <v>0</v>
      </c>
      <c r="T41" s="58">
        <f>IFERROR('6'!T$23/Ciclo,0)</f>
        <v>0</v>
      </c>
      <c r="U41" s="58">
        <f>IFERROR('6'!U$23/Ciclo,0)</f>
        <v>0</v>
      </c>
      <c r="V41" s="58">
        <f>IFERROR('6'!V$23/Ciclo,0)</f>
        <v>0</v>
      </c>
      <c r="W41" s="5">
        <f>IFERROR('6'!W$23/Ciclo,0)</f>
        <v>0</v>
      </c>
      <c r="X41" s="5">
        <f>IFERROR('6'!X$23/Ciclo,0)</f>
        <v>0</v>
      </c>
      <c r="Y41" s="5">
        <f>IFERROR('6'!Y$23/Ciclo,0)</f>
        <v>0</v>
      </c>
      <c r="Z41" s="5">
        <f>IFERROR('6'!Z$23/Ciclo,0)</f>
        <v>0</v>
      </c>
      <c r="AB41" s="5">
        <f>IF($B$38="Producción",IF($B41&gt;=LI_A,$O41,0),0)</f>
        <v>0</v>
      </c>
      <c r="AC41" s="5">
        <f>IF($B$38="Producción",IF($B41&gt;=LI_B,IF($B41&lt;LS_B,$O41,0),0),0)</f>
        <v>0</v>
      </c>
      <c r="AD41" s="5">
        <f>IF($B$38="Producción",IF($B41&gt;=LI_C,IF($B41&lt;LS_C,$O41,0),0),0)</f>
        <v>0</v>
      </c>
      <c r="AE41" s="5">
        <f>IF($B$38="Producción",IF($B41&lt;LS_D,$O41,0),0)</f>
        <v>0</v>
      </c>
      <c r="AF41" s="5">
        <f>IF($B$38="Crecimiento",$O41,0)</f>
        <v>0</v>
      </c>
      <c r="AG41" s="5">
        <f>IF($B38="Siembra",'6'!$O$7,0)</f>
        <v>0</v>
      </c>
      <c r="AH41" s="5">
        <f>IF($B38="Abandono",'6'!$O$7,0)</f>
        <v>0</v>
      </c>
      <c r="AI41" s="5">
        <f>IF($C$38="Producción",IF($C41&gt;=LI_A,$P41,0),0)</f>
        <v>0</v>
      </c>
      <c r="AJ41" s="5">
        <f>IF($C$38="Producción",IF($C41&gt;=LI_B,IF($C41&lt;LS_B,$P41,0),0),0)</f>
        <v>0</v>
      </c>
      <c r="AK41" s="5">
        <f>IF($C$38="Producción",IF($C41&gt;=LI_C,IF($C41&lt;LS_C,$P41,0),0),0)</f>
        <v>0</v>
      </c>
      <c r="AL41" s="5">
        <f>IF($C$38="Producción",IF($C41&lt;LS_D,$P41,0),0)</f>
        <v>0</v>
      </c>
      <c r="AM41" s="5">
        <f>IF($C$38="Crecimiento",$P41,0)</f>
        <v>0</v>
      </c>
      <c r="AN41" s="5">
        <f>IF($C38="Siembra",'6'!$P$7,0)</f>
        <v>0</v>
      </c>
      <c r="AO41" s="5">
        <f>IF($C38="Abandono",'6'!$P$7,0)</f>
        <v>0</v>
      </c>
      <c r="AP41" s="5">
        <f>IF($D$38="Producción",IF($D41&gt;=LI_A,$Q41,0),0)</f>
        <v>0</v>
      </c>
      <c r="AQ41" s="5">
        <f>IF($D$38="Producción",IF($D41&gt;=LI_B,IF($D41&lt;LS_B,$Q41,0),0),0)</f>
        <v>0</v>
      </c>
      <c r="AR41" s="5">
        <f>IF($D$38="Producción",IF($D41&gt;=LI_C,IF($D41&lt;LS_C,$Q41,0),0),0)</f>
        <v>0</v>
      </c>
      <c r="AS41" s="5">
        <f>IF($D$38="Producción",IF($D41&lt;LS_D,$Q41,0),0)</f>
        <v>0</v>
      </c>
      <c r="AT41" s="5">
        <f>IF($D$38="Crecimiento",IF($D41&gt;0,$Q41,0),0)</f>
        <v>0</v>
      </c>
      <c r="AU41" s="5">
        <f>IF($D38="Siembra",'6'!$Q$7,0)</f>
        <v>0</v>
      </c>
      <c r="AV41" s="5">
        <f>IF($D38="Abandono",'6'!$Q$7,0)</f>
        <v>0</v>
      </c>
      <c r="AW41" s="5">
        <f>IF($E$38="Producción",IF($E41&gt;=LI_A,$R41,0),0)</f>
        <v>0</v>
      </c>
      <c r="AX41" s="5">
        <f>IF($E$38="Producción",IF($E41&gt;=LI_B,IF($E41&lt;LS_B,$R41,0),0),0)</f>
        <v>0</v>
      </c>
      <c r="AY41" s="5">
        <f>IF($E$38="Producción",IF($E41&gt;=LI_C,IF($E41&lt;LS_C,$R41,0),0),0)</f>
        <v>0</v>
      </c>
      <c r="AZ41" s="5">
        <f>IF($E$38="Producción",IF($E41&lt;LS_D,$R41,0),0)</f>
        <v>0</v>
      </c>
      <c r="BA41" s="5">
        <f>IF($E$38="Crecimiento",$R41,0)</f>
        <v>0</v>
      </c>
      <c r="BB41" s="5">
        <f>IF($E38="Siembra",'6'!$R$7,0)</f>
        <v>0</v>
      </c>
      <c r="BC41" s="5">
        <f>IF($E38="Abandono",'6'!$R$7,0)</f>
        <v>0</v>
      </c>
      <c r="BD41" s="5">
        <f>IF($F$38="Producción",IF($F41&gt;=LI_A,$S41,0),0)</f>
        <v>0</v>
      </c>
      <c r="BE41" s="5">
        <f>IF($F$38="Producción",IF($F41&gt;=LI_B,IF($F41&lt;LS_B,$S41,0),0),0)</f>
        <v>0</v>
      </c>
      <c r="BF41" s="5">
        <f>IF($F$38="Producción",IF($F41&gt;=LI_C,IF($F41&lt;LS_C,$S41,0),0),0)</f>
        <v>0</v>
      </c>
      <c r="BG41" s="5">
        <f>IF($F$38="Producción",IF($F41&lt;LS_D,$S41,0),0)</f>
        <v>0</v>
      </c>
      <c r="BH41" s="5">
        <f>IF($F$38="Crecimiento",$S41,0)</f>
        <v>0</v>
      </c>
      <c r="BI41" s="5">
        <f>IF($F38="Siembra",'6'!$S$7,0)</f>
        <v>0</v>
      </c>
      <c r="BJ41" s="5">
        <f>IF($F38="Abandono",'6'!$S$7,0)</f>
        <v>0</v>
      </c>
      <c r="BK41" s="5">
        <f>IF($G$38="Producción",IF($G41&gt;=LI_A,$T41,0),0)</f>
        <v>0</v>
      </c>
      <c r="BL41" s="5">
        <f>IF($G$38="Producción",IF($G41&gt;=LI_B,IF($G41&lt;LS_B,$T41,0),0),0)</f>
        <v>0</v>
      </c>
      <c r="BM41" s="5">
        <f>IF($G$38="Producción",IF($G41&gt;=LI_C,IF($G41&lt;LS_C,$T41,0),0),0)</f>
        <v>0</v>
      </c>
      <c r="BN41" s="5">
        <f>IF($G$38="Producción",IF($G41&lt;LS_D,$T41,0),0)</f>
        <v>0</v>
      </c>
      <c r="BO41" s="5">
        <f>IF($G$38="Crecimiento",$T41,0)</f>
        <v>0</v>
      </c>
      <c r="BP41" s="5">
        <f>IF($G38="Siembra",'6'!$T$7,0)</f>
        <v>0</v>
      </c>
      <c r="BQ41" s="5">
        <f>IF($G38="Abandono",'6'!$T$7,0)</f>
        <v>0</v>
      </c>
      <c r="BR41" s="5">
        <f>IF($H$38="Producción",IF($H41&gt;=LI_A,$U41,0),0)</f>
        <v>0</v>
      </c>
      <c r="BS41" s="5">
        <f>IF($H$38="Producción",IF($H41&gt;=LI_B,IF($H41&lt;LS_B,$U41,0),0),0)</f>
        <v>0</v>
      </c>
      <c r="BT41" s="5">
        <f>IF($H$38="Producción",IF($H41&gt;=LI_C,IF($H41&lt;LS_C,$U41,0),0),0)</f>
        <v>0</v>
      </c>
      <c r="BU41" s="5">
        <f>IF($H$38="Producción",IF($H41&lt;LS_D,$U41,0),0)</f>
        <v>0</v>
      </c>
      <c r="BV41" s="5">
        <f>IF($H$38="Crecimiento",$T41,0)</f>
        <v>0</v>
      </c>
      <c r="BW41" s="5">
        <f>IF($H38="Siembra",'6'!$U$7,0)</f>
        <v>0</v>
      </c>
      <c r="BX41" s="5">
        <f>IF($H38="Abandono",'6'!$U$7,0)</f>
        <v>0</v>
      </c>
      <c r="BY41" s="5">
        <f>IF($I$38="Producción",IF($I41&gt;=LI_A,$V41,0),0)</f>
        <v>0</v>
      </c>
      <c r="BZ41" s="5">
        <f>IF($I$38="Producción",IF($I41&gt;=LI_B,IF($I41&lt;LS_B,$V41,0),0),0)</f>
        <v>0</v>
      </c>
      <c r="CA41" s="5">
        <f>IF($I$38="Producción",IF($I41&gt;=LI_C,IF($I41&lt;LS_C,$V41,0),0),0)</f>
        <v>0</v>
      </c>
      <c r="CB41" s="5">
        <f>IF($I$38="Producción",IF($I41&lt;LS_D,$V41,0),0)</f>
        <v>0</v>
      </c>
      <c r="CC41" s="5">
        <f>IF($I$38="Crecimiento",$V41,0)</f>
        <v>0</v>
      </c>
      <c r="CD41" s="5">
        <f>IF($I38="Siembra",'6'!$V$7,0)</f>
        <v>0</v>
      </c>
      <c r="CE41" s="5">
        <f>IF($I38="Abandono",'6'!$V$7,0)</f>
        <v>0</v>
      </c>
      <c r="CF41" s="5">
        <f>IF($J$38="Producción",IF($J41&gt;=LI_A,$W41,0),0)</f>
        <v>0</v>
      </c>
      <c r="CG41" s="5">
        <f>IF($J$38="Producción",IF($J41&gt;=LI_B,IF($J41&lt;LS_B,$W41,0),0),0)</f>
        <v>0</v>
      </c>
      <c r="CH41" s="5">
        <f>IF($J$38="Producción",IF($J41&gt;=LI_C,IF($J41&lt;LS_C,$W41,0),0),0)</f>
        <v>0</v>
      </c>
      <c r="CI41" s="5">
        <f>IF($J$38="Producción",IF($J41&lt;LS_D,$W41,0),0)</f>
        <v>0</v>
      </c>
      <c r="CJ41" s="5">
        <f>IF($J$38="Crecimiento",$W41,0)</f>
        <v>0</v>
      </c>
      <c r="CK41" s="5">
        <f>IF($J38="Siembra",'6'!$W$7,0)</f>
        <v>0</v>
      </c>
      <c r="CL41" s="5">
        <f>IF($J38="Abandono",'6'!$W$7,0)</f>
        <v>0</v>
      </c>
      <c r="CM41" s="5">
        <f>IF($K$38="Producción",IF($K41&gt;=LI_A,$X41,0),0)</f>
        <v>0</v>
      </c>
      <c r="CN41" s="5">
        <f>IF($K$38="Producción",IF($K41&gt;=LI_B,IF($K41&lt;LS_B,$X41,0),0),0)</f>
        <v>0</v>
      </c>
      <c r="CO41" s="5">
        <f>IF($K$38="Producción",IF($K41&gt;=LI_C,IF($K41&lt;LS_C,$X41,0),0),0)</f>
        <v>0</v>
      </c>
      <c r="CP41" s="5">
        <f>IF($K$38="Producción",IF($K41&lt;LS_D,$X41,0),0)</f>
        <v>0</v>
      </c>
      <c r="CQ41" s="5">
        <f>IF($K$38="Crecimiento",$X41,0)</f>
        <v>0</v>
      </c>
      <c r="CR41" s="5">
        <f>IF($K38="Siembra",'6'!$X$7,0)</f>
        <v>0</v>
      </c>
      <c r="CS41" s="5">
        <f>IF($K38="Abandono",'6'!$X$7,0)</f>
        <v>0</v>
      </c>
      <c r="CT41" s="5">
        <f>IF($L$38="Producción",IF($L41&gt;=LI_A,$Y41,0),0)</f>
        <v>0</v>
      </c>
      <c r="CU41" s="5">
        <f>IF($L$38="Producción",IF($L41&gt;=LI_B,IF($L41&lt;LS_B,$Y41,0),0),0)</f>
        <v>0</v>
      </c>
      <c r="CV41" s="5">
        <f>IF($L$38="Producción",IF($L41&gt;=LI_C,IF($L41&lt;LS_C,$Y41,0),0),0)</f>
        <v>0</v>
      </c>
      <c r="CW41" s="5">
        <f>IF($L$38="Producción",IF($L41&lt;LS_D,$Y41,0),0)</f>
        <v>0</v>
      </c>
      <c r="CX41" s="5">
        <f>IF($L$38="Crecimiento",$Y41,0)</f>
        <v>0</v>
      </c>
      <c r="CY41" s="5">
        <f>IF($L38="Siembra",'6'!$Y$7,0)</f>
        <v>0</v>
      </c>
      <c r="CZ41" s="5">
        <f>IF($L38="Abandono",'6'!$Y$7,0)</f>
        <v>0</v>
      </c>
      <c r="DA41" s="5">
        <f>IF($M$38="Producción",IF($M41&gt;=LI_A,$Z41,0),0)</f>
        <v>0</v>
      </c>
      <c r="DB41" s="5">
        <f>IF($M$38="Producción",IF($M41&gt;=LI_B,IF($M41&lt;LS_B,$Z41,0),0),0)</f>
        <v>0</v>
      </c>
      <c r="DC41" s="5">
        <f>IF($M$38="Producción",IF($M41&gt;=LI_C,IF($M41&lt;LS_C,$Z41,0),0),0)</f>
        <v>0</v>
      </c>
      <c r="DD41" s="5">
        <f>IF($M$38="Producción",IF($M41&lt;LS_D,$Z41,0),0)</f>
        <v>0</v>
      </c>
      <c r="DE41" s="5">
        <f>IF($M$38="Crecimiento",$Z41,0)</f>
        <v>0</v>
      </c>
      <c r="DF41" s="5">
        <f>IF($M38="Siembra",'6'!$Z$7,0)</f>
        <v>0</v>
      </c>
      <c r="DG41" s="5">
        <f>IF($M38="Abandono",'6'!$Z$7,0)</f>
        <v>0</v>
      </c>
      <c r="DI41" s="5">
        <f t="shared" ref="DI41:DI45" si="253">AB41*$B41</f>
        <v>0</v>
      </c>
      <c r="DJ41" s="5">
        <f t="shared" ref="DJ41:DJ45" si="254">AC41*$B41</f>
        <v>0</v>
      </c>
      <c r="DK41" s="5">
        <f t="shared" ref="DK41:DK45" si="255">AD41*$B41</f>
        <v>0</v>
      </c>
      <c r="DL41" s="5">
        <f t="shared" ref="DL41:DL45" si="256">AE41*$B41</f>
        <v>0</v>
      </c>
      <c r="DM41" s="5">
        <f t="shared" ref="DM41:DM45" si="257">AF41*$B41</f>
        <v>0</v>
      </c>
      <c r="DN41" s="5">
        <f t="shared" ref="DN41:DN45" si="258">AI41*$C41</f>
        <v>0</v>
      </c>
      <c r="DO41" s="5">
        <f t="shared" ref="DO41:DO45" si="259">AJ41*$C41</f>
        <v>0</v>
      </c>
      <c r="DP41" s="5">
        <f t="shared" ref="DP41:DP45" si="260">AK41*$C41</f>
        <v>0</v>
      </c>
      <c r="DQ41" s="5">
        <f t="shared" ref="DQ41:DQ45" si="261">AL41*$C41</f>
        <v>0</v>
      </c>
      <c r="DR41" s="5">
        <f t="shared" ref="DR41:DR45" si="262">AM41*$C41</f>
        <v>0</v>
      </c>
      <c r="DS41" s="5">
        <f t="shared" ref="DS41:DS45" si="263">AP41*$D41</f>
        <v>0</v>
      </c>
      <c r="DT41" s="5">
        <f t="shared" ref="DT41:DT45" si="264">AQ41*$D41</f>
        <v>0</v>
      </c>
      <c r="DU41" s="5">
        <f t="shared" ref="DU41:DU45" si="265">AR41*$D41</f>
        <v>0</v>
      </c>
      <c r="DV41" s="5">
        <f t="shared" ref="DV41:DV45" si="266">AS41*$D41</f>
        <v>0</v>
      </c>
      <c r="DW41" s="5">
        <f t="shared" ref="DW41:DW45" si="267">AT41*$D41</f>
        <v>0</v>
      </c>
      <c r="DX41" s="5">
        <f t="shared" ref="DX41:DX45" si="268">AW41*$E41</f>
        <v>0</v>
      </c>
      <c r="DY41" s="5">
        <f t="shared" ref="DY41:DY45" si="269">AX41*$E41</f>
        <v>0</v>
      </c>
      <c r="DZ41" s="5">
        <f t="shared" ref="DZ41:DZ45" si="270">AY41*$E41</f>
        <v>0</v>
      </c>
      <c r="EA41" s="5">
        <f t="shared" ref="EA41:EA45" si="271">AZ41*$E41</f>
        <v>0</v>
      </c>
      <c r="EB41" s="5">
        <f t="shared" ref="EB41:EB45" si="272">BA41*$E41</f>
        <v>0</v>
      </c>
      <c r="EC41" s="5">
        <f t="shared" ref="EC41:EC45" si="273">BD41*$F41</f>
        <v>0</v>
      </c>
      <c r="ED41" s="5">
        <f t="shared" ref="ED41:ED45" si="274">BE41*$F41</f>
        <v>0</v>
      </c>
      <c r="EE41" s="5">
        <f t="shared" ref="EE41:EE45" si="275">BF41*$F41</f>
        <v>0</v>
      </c>
      <c r="EF41" s="5">
        <f t="shared" ref="EF41:EF45" si="276">BG41*$F41</f>
        <v>0</v>
      </c>
      <c r="EG41" s="5">
        <f t="shared" ref="EG41:EG45" si="277">BH41*$F41</f>
        <v>0</v>
      </c>
      <c r="EH41" s="5">
        <f t="shared" ref="EH41:EH45" si="278">BK41*$G41</f>
        <v>0</v>
      </c>
      <c r="EI41" s="5">
        <f t="shared" ref="EI41:EI45" si="279">BL41*$G41</f>
        <v>0</v>
      </c>
      <c r="EJ41" s="5">
        <f t="shared" ref="EJ41:EJ45" si="280">BM41*$G41</f>
        <v>0</v>
      </c>
      <c r="EK41" s="5">
        <f t="shared" ref="EK41:EK45" si="281">BN41*$G41</f>
        <v>0</v>
      </c>
      <c r="EL41" s="5">
        <f t="shared" ref="EL41:EL45" si="282">BO41*$G41</f>
        <v>0</v>
      </c>
      <c r="EM41" s="5">
        <f t="shared" ref="EM41:EM45" si="283">BR41*$H41</f>
        <v>0</v>
      </c>
      <c r="EN41" s="5">
        <f t="shared" ref="EN41:EN45" si="284">BS41*$H41</f>
        <v>0</v>
      </c>
      <c r="EO41" s="5">
        <f t="shared" ref="EO41:EO45" si="285">BT41*$H41</f>
        <v>0</v>
      </c>
      <c r="EP41" s="5">
        <f t="shared" ref="EP41:EP45" si="286">BU41*$H41</f>
        <v>0</v>
      </c>
      <c r="EQ41" s="5">
        <f t="shared" ref="EQ41:EQ45" si="287">BV41*$H41</f>
        <v>0</v>
      </c>
      <c r="ER41" s="5">
        <f t="shared" ref="ER41:ER45" si="288">BY41*$I41</f>
        <v>0</v>
      </c>
      <c r="ES41" s="5">
        <f t="shared" ref="ES41:ES45" si="289">BZ41*$I41</f>
        <v>0</v>
      </c>
      <c r="ET41" s="5">
        <f t="shared" ref="ET41:ET45" si="290">CA41*$I41</f>
        <v>0</v>
      </c>
      <c r="EU41" s="5">
        <f t="shared" ref="EU41:EU45" si="291">CB41*$I41</f>
        <v>0</v>
      </c>
      <c r="EV41" s="5">
        <f t="shared" ref="EV41:EV45" si="292">CC41*$I41</f>
        <v>0</v>
      </c>
      <c r="EW41" s="5">
        <f t="shared" ref="EW41:EW45" si="293">CF41*$J41</f>
        <v>0</v>
      </c>
      <c r="EX41" s="5">
        <f t="shared" ref="EX41:EX45" si="294">CG41*$J41</f>
        <v>0</v>
      </c>
      <c r="EY41" s="5">
        <f t="shared" ref="EY41:EY45" si="295">CH41*$J41</f>
        <v>0</v>
      </c>
      <c r="EZ41" s="5">
        <f t="shared" ref="EZ41:EZ45" si="296">CI41*$J41</f>
        <v>0</v>
      </c>
      <c r="FA41" s="5">
        <f t="shared" ref="FA41:FA45" si="297">CJ41*$J41</f>
        <v>0</v>
      </c>
      <c r="FB41" s="5">
        <f t="shared" ref="FB41:FB45" si="298">CM41*$K41</f>
        <v>0</v>
      </c>
      <c r="FC41" s="5">
        <f t="shared" ref="FC41:FC45" si="299">CN41*$K41</f>
        <v>0</v>
      </c>
      <c r="FD41" s="5">
        <f t="shared" ref="FD41:FD45" si="300">CO41*$K41</f>
        <v>0</v>
      </c>
      <c r="FE41" s="5">
        <f t="shared" ref="FE41:FE45" si="301">CP41*$K41</f>
        <v>0</v>
      </c>
      <c r="FF41" s="5">
        <f t="shared" ref="FF41:FF45" si="302">CQ41*$K41</f>
        <v>0</v>
      </c>
      <c r="FG41" s="5">
        <f t="shared" ref="FG41:FG45" si="303">CT41*$L41</f>
        <v>0</v>
      </c>
      <c r="FH41" s="5">
        <f t="shared" ref="FH41:FH45" si="304">CU41*$L41</f>
        <v>0</v>
      </c>
      <c r="FI41" s="5">
        <f t="shared" ref="FI41:FI45" si="305">CV41*$L41</f>
        <v>0</v>
      </c>
      <c r="FJ41" s="5">
        <f t="shared" ref="FJ41:FJ45" si="306">CW41*$L41</f>
        <v>0</v>
      </c>
      <c r="FK41" s="5">
        <f t="shared" ref="FK41:FK45" si="307">CX41*$L41</f>
        <v>0</v>
      </c>
      <c r="FL41" s="5">
        <f t="shared" ref="FL41:FL45" si="308">DA41*$M41</f>
        <v>0</v>
      </c>
      <c r="FM41" s="5">
        <f t="shared" ref="FM41:FM45" si="309">DB41*$M41</f>
        <v>0</v>
      </c>
      <c r="FN41" s="5">
        <f t="shared" ref="FN41:FN45" si="310">DC41*$M41</f>
        <v>0</v>
      </c>
      <c r="FO41" s="5">
        <f t="shared" ref="FO41:FO45" si="311">DD41*$M41</f>
        <v>0</v>
      </c>
      <c r="FP41" s="5">
        <f t="shared" ref="FP41:FP45" si="312">DE41*$M41</f>
        <v>0</v>
      </c>
    </row>
    <row r="42" spans="1:172" ht="20.100000000000001" customHeight="1" x14ac:dyDescent="0.3">
      <c r="A42" s="8" t="s">
        <v>303</v>
      </c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O42" s="58">
        <f>IFERROR('6'!O$23/Ciclo,0)</f>
        <v>0</v>
      </c>
      <c r="P42" s="58">
        <f>IFERROR('6'!P$23/Ciclo,0)</f>
        <v>0</v>
      </c>
      <c r="Q42" s="58">
        <f>IFERROR('6'!Q$23/Ciclo,0)</f>
        <v>0</v>
      </c>
      <c r="R42" s="58">
        <f>IFERROR('6'!R$23/Ciclo,0)</f>
        <v>0</v>
      </c>
      <c r="S42" s="58">
        <f>IFERROR('6'!S$23/Ciclo,0)</f>
        <v>0</v>
      </c>
      <c r="T42" s="58">
        <f>IFERROR('6'!T$23/Ciclo,0)</f>
        <v>0</v>
      </c>
      <c r="U42" s="58">
        <f>IFERROR('6'!U$23/Ciclo,0)</f>
        <v>0</v>
      </c>
      <c r="V42" s="58">
        <f>IFERROR('6'!V$23/Ciclo,0)</f>
        <v>0</v>
      </c>
      <c r="W42" s="5">
        <f>IFERROR('6'!W$23/Ciclo,0)</f>
        <v>0</v>
      </c>
      <c r="X42" s="5">
        <f>IFERROR('6'!X$23/Ciclo,0)</f>
        <v>0</v>
      </c>
      <c r="Y42" s="5">
        <f>IFERROR('6'!Y$23/Ciclo,0)</f>
        <v>0</v>
      </c>
      <c r="Z42" s="5">
        <f>IFERROR('6'!Z$23/Ciclo,0)</f>
        <v>0</v>
      </c>
      <c r="AB42" s="5">
        <f>IF($B$38="Producción",IF($B42&gt;=LI_A,$O42,0),0)</f>
        <v>0</v>
      </c>
      <c r="AC42" s="5">
        <f>IF($B$38="Producción",IF($B42&gt;=LI_B,IF($B42&lt;LS_B,$O42,0),0),0)</f>
        <v>0</v>
      </c>
      <c r="AD42" s="5">
        <f>IF($B$38="Producción",IF($B42&gt;=LI_C,IF($B42&lt;LS_C,$O42,0),0),0)</f>
        <v>0</v>
      </c>
      <c r="AE42" s="5">
        <f>IF($B$38="Producción",IF($B42&lt;LS_D,$O42,0),0)</f>
        <v>0</v>
      </c>
      <c r="AF42" s="5">
        <f t="shared" ref="AF42:AF45" si="313">IF($B$38="Crecimiento",$O42,0)</f>
        <v>0</v>
      </c>
      <c r="AI42" s="5">
        <f>IF($C$38="Producción",IF($C42&gt;=LI_A,$P42,0),0)</f>
        <v>0</v>
      </c>
      <c r="AJ42" s="5">
        <f>IF($C$38="Producción",IF($C42&gt;=LI_B,IF($C42&lt;LS_B,$P42,0),0),0)</f>
        <v>0</v>
      </c>
      <c r="AK42" s="5">
        <f>IF($C$38="Producción",IF($C42&gt;=LI_C,IF($C42&lt;LS_C,$P42,0),0),0)</f>
        <v>0</v>
      </c>
      <c r="AL42" s="5">
        <f>IF($C$38="Producción",IF($C42&lt;LS_D,$P42,0),0)</f>
        <v>0</v>
      </c>
      <c r="AM42" s="5">
        <f>IF($C$38="Crecimiento",$P42,0)</f>
        <v>0</v>
      </c>
      <c r="AP42" s="5">
        <f>IF($D$38="Producción",IF($D42&gt;=LI_A,$Q42,0),0)</f>
        <v>0</v>
      </c>
      <c r="AQ42" s="5">
        <f>IF($D$38="Producción",IF($D42&gt;=LI_B,IF($D42&lt;LS_B,$Q42,0),0),0)</f>
        <v>0</v>
      </c>
      <c r="AR42" s="5">
        <f>IF($D$38="Producción",IF($D42&gt;=LI_C,IF($D42&lt;LS_C,$Q42,0),0),0)</f>
        <v>0</v>
      </c>
      <c r="AS42" s="5">
        <f>IF($D$38="Producción",IF($D42&lt;LS_D,$Q42,0),0)</f>
        <v>0</v>
      </c>
      <c r="AT42" s="5">
        <f>IF($D$38="Crecimiento",IF($D42&gt;0,$Q42,0),0)</f>
        <v>0</v>
      </c>
      <c r="AW42" s="5">
        <f>IF($E$38="Producción",IF($E42&gt;=LI_A,$R42,0),0)</f>
        <v>0</v>
      </c>
      <c r="AX42" s="5">
        <f>IF($E$38="Producción",IF($E42&gt;=LI_B,IF($E42&lt;LS_B,$R42,0),0),0)</f>
        <v>0</v>
      </c>
      <c r="AY42" s="5">
        <f>IF($E$38="Producción",IF($E42&gt;=LI_C,IF($E42&lt;LS_C,$R42,0),0),0)</f>
        <v>0</v>
      </c>
      <c r="AZ42" s="5">
        <f>IF($E$38="Producción",IF($E42&lt;LS_D,$R42,0),0)</f>
        <v>0</v>
      </c>
      <c r="BA42" s="5">
        <f>IF($E$38="Crecimiento",$R42,0)</f>
        <v>0</v>
      </c>
      <c r="BD42" s="5">
        <f>IF($F$38="Producción",IF($F42&gt;=LI_A,$S42,0),0)</f>
        <v>0</v>
      </c>
      <c r="BE42" s="5">
        <f>IF($F$38="Producción",IF($F42&gt;=LI_B,IF($F42&lt;LS_B,$S42,0),0),0)</f>
        <v>0</v>
      </c>
      <c r="BF42" s="5">
        <f>IF($F$38="Producción",IF($F42&gt;=LI_C,IF($F42&lt;LS_C,$S42,0),0),0)</f>
        <v>0</v>
      </c>
      <c r="BG42" s="5">
        <f>IF($F$38="Producción",IF($F42&lt;LS_D,$S42,0),0)</f>
        <v>0</v>
      </c>
      <c r="BH42" s="5">
        <f>IF($F$38="Crecimiento",$S42,0)</f>
        <v>0</v>
      </c>
      <c r="BK42" s="5">
        <f>IF($G$38="Producción",IF($G42&gt;=LI_A,$T42,0),0)</f>
        <v>0</v>
      </c>
      <c r="BL42" s="5">
        <f>IF($G$38="Producción",IF($G42&gt;=LI_B,IF($G42&lt;LS_B,$T42,0),0),0)</f>
        <v>0</v>
      </c>
      <c r="BM42" s="5">
        <f>IF($G$38="Producción",IF($G42&gt;=LI_C,IF($G42&lt;LS_C,$T42,0),0),0)</f>
        <v>0</v>
      </c>
      <c r="BN42" s="5">
        <f>IF($G$38="Producción",IF($G42&lt;LS_D,$T42,0),0)</f>
        <v>0</v>
      </c>
      <c r="BO42" s="5">
        <f>IF($G$38="Crecimiento",$T42,0)</f>
        <v>0</v>
      </c>
      <c r="BR42" s="5">
        <f>IF($H$38="Producción",IF($H42&gt;=LI_A,$U42,0),0)</f>
        <v>0</v>
      </c>
      <c r="BS42" s="5">
        <f>IF($H$38="Producción",IF($H42&gt;=LI_B,IF($H42&lt;LS_B,$U42,0),0),0)</f>
        <v>0</v>
      </c>
      <c r="BT42" s="5">
        <f>IF($H$38="Producción",IF($H42&gt;=LI_C,IF($H42&lt;LS_C,$U42,0),0),0)</f>
        <v>0</v>
      </c>
      <c r="BU42" s="5">
        <f>IF($H$38="Producción",IF($H42&lt;LS_D,$U42,0),0)</f>
        <v>0</v>
      </c>
      <c r="BV42" s="5">
        <f>IF($H$38="Crecimiento",$T42,0)</f>
        <v>0</v>
      </c>
      <c r="BY42" s="5">
        <f>IF($I$38="Producción",IF($I42&gt;=LI_A,$V42,0),0)</f>
        <v>0</v>
      </c>
      <c r="BZ42" s="5">
        <f>IF($I$38="Producción",IF($I42&gt;=LI_B,IF($I42&lt;LS_B,$V42,0),0),0)</f>
        <v>0</v>
      </c>
      <c r="CA42" s="5">
        <f>IF($I$38="Producción",IF($I42&gt;=LI_C,IF($I42&lt;LS_C,$V42,0),0),0)</f>
        <v>0</v>
      </c>
      <c r="CB42" s="5">
        <f>IF($I$38="Producción",IF($I42&lt;LS_D,$V42,0),0)</f>
        <v>0</v>
      </c>
      <c r="CC42" s="5">
        <f>IF($I$38="Crecimiento",$V42,0)</f>
        <v>0</v>
      </c>
      <c r="CF42" s="5">
        <f>IF($J$38="Producción",IF($J42&gt;=LI_A,$W42,0),0)</f>
        <v>0</v>
      </c>
      <c r="CG42" s="5">
        <f>IF($J$38="Producción",IF($J42&gt;=LI_B,IF($J42&lt;LS_B,$W42,0),0),0)</f>
        <v>0</v>
      </c>
      <c r="CH42" s="5">
        <f>IF($J$38="Producción",IF($J42&gt;=LI_C,IF($J42&lt;LS_C,$W42,0),0),0)</f>
        <v>0</v>
      </c>
      <c r="CI42" s="5">
        <f>IF($J$38="Producción",IF($J42&lt;LS_D,$W42,0),0)</f>
        <v>0</v>
      </c>
      <c r="CJ42" s="5">
        <f>IF($J$38="Crecimiento",$W42,0)</f>
        <v>0</v>
      </c>
      <c r="CM42" s="5">
        <f>IF($K$38="Producción",IF($K42&gt;=LI_A,$X42,0),0)</f>
        <v>0</v>
      </c>
      <c r="CN42" s="5">
        <f>IF($K$38="Producción",IF($K42&gt;=LI_B,IF($K42&lt;LS_B,$X42,0),0),0)</f>
        <v>0</v>
      </c>
      <c r="CO42" s="5">
        <f>IF($K$38="Producción",IF($K42&gt;=LI_C,IF($K42&lt;LS_C,$X42,0),0),0)</f>
        <v>0</v>
      </c>
      <c r="CP42" s="5">
        <f>IF($K$38="Producción",IF($K42&lt;LS_D,$X42,0),0)</f>
        <v>0</v>
      </c>
      <c r="CQ42" s="5">
        <f>IF($K$38="Crecimiento",$X42,0)</f>
        <v>0</v>
      </c>
      <c r="CT42" s="5">
        <f>IF($L$38="Producción",IF($L42&gt;=LI_A,$Y42,0),0)</f>
        <v>0</v>
      </c>
      <c r="CU42" s="5">
        <f>IF($L$38="Producción",IF($L42&gt;=LI_B,IF($L42&lt;LS_B,$Y42,0),0),0)</f>
        <v>0</v>
      </c>
      <c r="CV42" s="5">
        <f>IF($L$38="Producción",IF($L42&gt;=LI_C,IF($L42&lt;LS_C,$Y42,0),0),0)</f>
        <v>0</v>
      </c>
      <c r="CW42" s="5">
        <f>IF($L$38="Producción",IF($L42&lt;LS_D,$Y42,0),0)</f>
        <v>0</v>
      </c>
      <c r="CX42" s="5">
        <f>IF($L$38="Crecimiento",$Y42,0)</f>
        <v>0</v>
      </c>
      <c r="DA42" s="5">
        <f>IF($M$38="Producción",IF($M42&gt;=LI_A,$Z42,0),0)</f>
        <v>0</v>
      </c>
      <c r="DB42" s="5">
        <f>IF($M$38="Producción",IF($M42&gt;=LI_B,IF($M42&lt;LS_B,$Z42,0),0),0)</f>
        <v>0</v>
      </c>
      <c r="DC42" s="5">
        <f>IF($M$38="Producción",IF($M42&gt;=LI_C,IF($M42&lt;LS_C,$Z42,0),0),0)</f>
        <v>0</v>
      </c>
      <c r="DD42" s="5">
        <f>IF($M$38="Producción",IF($M42&lt;LS_D,$Z42,0),0)</f>
        <v>0</v>
      </c>
      <c r="DE42" s="5">
        <f>IF($M$38="Crecimiento",$Z42,0)</f>
        <v>0</v>
      </c>
      <c r="DI42" s="5">
        <f t="shared" si="253"/>
        <v>0</v>
      </c>
      <c r="DJ42" s="5">
        <f t="shared" si="254"/>
        <v>0</v>
      </c>
      <c r="DK42" s="5">
        <f t="shared" si="255"/>
        <v>0</v>
      </c>
      <c r="DL42" s="5">
        <f t="shared" si="256"/>
        <v>0</v>
      </c>
      <c r="DM42" s="5">
        <f t="shared" si="257"/>
        <v>0</v>
      </c>
      <c r="DN42" s="5">
        <f t="shared" si="258"/>
        <v>0</v>
      </c>
      <c r="DO42" s="5">
        <f t="shared" si="259"/>
        <v>0</v>
      </c>
      <c r="DP42" s="5">
        <f t="shared" si="260"/>
        <v>0</v>
      </c>
      <c r="DQ42" s="5">
        <f t="shared" si="261"/>
        <v>0</v>
      </c>
      <c r="DR42" s="5">
        <f t="shared" si="262"/>
        <v>0</v>
      </c>
      <c r="DS42" s="5">
        <f t="shared" si="263"/>
        <v>0</v>
      </c>
      <c r="DT42" s="5">
        <f t="shared" si="264"/>
        <v>0</v>
      </c>
      <c r="DU42" s="5">
        <f t="shared" si="265"/>
        <v>0</v>
      </c>
      <c r="DV42" s="5">
        <f t="shared" si="266"/>
        <v>0</v>
      </c>
      <c r="DW42" s="5">
        <f t="shared" si="267"/>
        <v>0</v>
      </c>
      <c r="DX42" s="5">
        <f t="shared" si="268"/>
        <v>0</v>
      </c>
      <c r="DY42" s="5">
        <f t="shared" si="269"/>
        <v>0</v>
      </c>
      <c r="DZ42" s="5">
        <f t="shared" si="270"/>
        <v>0</v>
      </c>
      <c r="EA42" s="5">
        <f t="shared" si="271"/>
        <v>0</v>
      </c>
      <c r="EB42" s="5">
        <f t="shared" si="272"/>
        <v>0</v>
      </c>
      <c r="EC42" s="5">
        <f t="shared" si="273"/>
        <v>0</v>
      </c>
      <c r="ED42" s="5">
        <f t="shared" si="274"/>
        <v>0</v>
      </c>
      <c r="EE42" s="5">
        <f t="shared" si="275"/>
        <v>0</v>
      </c>
      <c r="EF42" s="5">
        <f t="shared" si="276"/>
        <v>0</v>
      </c>
      <c r="EG42" s="5">
        <f t="shared" si="277"/>
        <v>0</v>
      </c>
      <c r="EH42" s="5">
        <f t="shared" si="278"/>
        <v>0</v>
      </c>
      <c r="EI42" s="5">
        <f t="shared" si="279"/>
        <v>0</v>
      </c>
      <c r="EJ42" s="5">
        <f t="shared" si="280"/>
        <v>0</v>
      </c>
      <c r="EK42" s="5">
        <f t="shared" si="281"/>
        <v>0</v>
      </c>
      <c r="EL42" s="5">
        <f t="shared" si="282"/>
        <v>0</v>
      </c>
      <c r="EM42" s="5">
        <f t="shared" si="283"/>
        <v>0</v>
      </c>
      <c r="EN42" s="5">
        <f t="shared" si="284"/>
        <v>0</v>
      </c>
      <c r="EO42" s="5">
        <f t="shared" si="285"/>
        <v>0</v>
      </c>
      <c r="EP42" s="5">
        <f t="shared" si="286"/>
        <v>0</v>
      </c>
      <c r="EQ42" s="5">
        <f t="shared" si="287"/>
        <v>0</v>
      </c>
      <c r="ER42" s="5">
        <f t="shared" si="288"/>
        <v>0</v>
      </c>
      <c r="ES42" s="5">
        <f t="shared" si="289"/>
        <v>0</v>
      </c>
      <c r="ET42" s="5">
        <f t="shared" si="290"/>
        <v>0</v>
      </c>
      <c r="EU42" s="5">
        <f t="shared" si="291"/>
        <v>0</v>
      </c>
      <c r="EV42" s="5">
        <f t="shared" si="292"/>
        <v>0</v>
      </c>
      <c r="EW42" s="5">
        <f t="shared" si="293"/>
        <v>0</v>
      </c>
      <c r="EX42" s="5">
        <f t="shared" si="294"/>
        <v>0</v>
      </c>
      <c r="EY42" s="5">
        <f t="shared" si="295"/>
        <v>0</v>
      </c>
      <c r="EZ42" s="5">
        <f t="shared" si="296"/>
        <v>0</v>
      </c>
      <c r="FA42" s="5">
        <f t="shared" si="297"/>
        <v>0</v>
      </c>
      <c r="FB42" s="5">
        <f t="shared" si="298"/>
        <v>0</v>
      </c>
      <c r="FC42" s="5">
        <f t="shared" si="299"/>
        <v>0</v>
      </c>
      <c r="FD42" s="5">
        <f t="shared" si="300"/>
        <v>0</v>
      </c>
      <c r="FE42" s="5">
        <f t="shared" si="301"/>
        <v>0</v>
      </c>
      <c r="FF42" s="5">
        <f t="shared" si="302"/>
        <v>0</v>
      </c>
      <c r="FG42" s="5">
        <f t="shared" si="303"/>
        <v>0</v>
      </c>
      <c r="FH42" s="5">
        <f t="shared" si="304"/>
        <v>0</v>
      </c>
      <c r="FI42" s="5">
        <f t="shared" si="305"/>
        <v>0</v>
      </c>
      <c r="FJ42" s="5">
        <f t="shared" si="306"/>
        <v>0</v>
      </c>
      <c r="FK42" s="5">
        <f t="shared" si="307"/>
        <v>0</v>
      </c>
      <c r="FL42" s="5">
        <f t="shared" si="308"/>
        <v>0</v>
      </c>
      <c r="FM42" s="5">
        <f t="shared" si="309"/>
        <v>0</v>
      </c>
      <c r="FN42" s="5">
        <f t="shared" si="310"/>
        <v>0</v>
      </c>
      <c r="FO42" s="5">
        <f t="shared" si="311"/>
        <v>0</v>
      </c>
      <c r="FP42" s="5">
        <f t="shared" si="312"/>
        <v>0</v>
      </c>
    </row>
    <row r="43" spans="1:172" ht="20.100000000000001" customHeight="1" x14ac:dyDescent="0.3">
      <c r="A43" s="8" t="str">
        <f>IF(Ciclo&gt;2,"Surco 3","NA")</f>
        <v>Surco 3</v>
      </c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O43" s="58">
        <f>IF($A43="NA",0,IFERROR('6'!O$23/Ciclo,0))</f>
        <v>0</v>
      </c>
      <c r="P43" s="58">
        <f>IF($A43="NA",0,IFERROR('6'!P$23/Ciclo,0))</f>
        <v>0</v>
      </c>
      <c r="Q43" s="58">
        <f>IF($A43="NA",0,IFERROR('6'!Q$23/Ciclo,0))</f>
        <v>0</v>
      </c>
      <c r="R43" s="58">
        <f>IF($A43="NA",0,IFERROR('6'!R$23/Ciclo,0))</f>
        <v>0</v>
      </c>
      <c r="S43" s="58">
        <f>IF($A43="NA",0,IFERROR('6'!S$23/Ciclo,0))</f>
        <v>0</v>
      </c>
      <c r="T43" s="58">
        <f>IF($A43="NA",0,IFERROR('6'!T$23/Ciclo,0))</f>
        <v>0</v>
      </c>
      <c r="U43" s="58">
        <f>IF($A43="NA",0,IFERROR('6'!U$23/Ciclo,0))</f>
        <v>0</v>
      </c>
      <c r="V43" s="58">
        <f>IF($A43="NA",0,IFERROR('6'!V$23/Ciclo,0))</f>
        <v>0</v>
      </c>
      <c r="W43" s="5">
        <f>IF($A43="NA",0,IFERROR('6'!W$23/Ciclo,0))</f>
        <v>0</v>
      </c>
      <c r="X43" s="5">
        <f>IF($A43="NA",0,IFERROR('6'!X$23/Ciclo,0))</f>
        <v>0</v>
      </c>
      <c r="Y43" s="5">
        <f>IF($A43="NA",0,IFERROR('6'!Y$23/Ciclo,0))</f>
        <v>0</v>
      </c>
      <c r="Z43" s="5">
        <f>IF($A43="NA",0,IFERROR('6'!Z$23/Ciclo,0))</f>
        <v>0</v>
      </c>
      <c r="AB43" s="5">
        <f>IF($B$38="Producción",IF($B43&gt;=LI_A,$O43,0),0)</f>
        <v>0</v>
      </c>
      <c r="AC43" s="5">
        <f>IF($B$38="Producción",IF($B43&gt;=LI_B,IF($B43&lt;LS_B,$O43,0),0),0)</f>
        <v>0</v>
      </c>
      <c r="AD43" s="5">
        <f>IF($B$38="Producción",IF($B43&gt;=LI_C,IF($B43&lt;LS_C,$O43,0),0),0)</f>
        <v>0</v>
      </c>
      <c r="AE43" s="5">
        <f>IF($B$38="Producción",IF($B43&lt;LS_D,$O43,0),0)</f>
        <v>0</v>
      </c>
      <c r="AF43" s="5">
        <f t="shared" si="313"/>
        <v>0</v>
      </c>
      <c r="AI43" s="5">
        <f>IF($C$38="Producción",IF($C43&gt;=LI_A,$P43,0),0)</f>
        <v>0</v>
      </c>
      <c r="AJ43" s="5">
        <f>IF($C$38="Producción",IF($C43&gt;=LI_B,IF($C43&lt;LS_B,$P43,0),0),0)</f>
        <v>0</v>
      </c>
      <c r="AK43" s="5">
        <f>IF($C$38="Producción",IF($C43&gt;=LI_C,IF($C43&lt;LS_C,$P43,0),0),0)</f>
        <v>0</v>
      </c>
      <c r="AL43" s="5">
        <f>IF($C$38="Producción",IF($C43&lt;LS_D,$P43,0),0)</f>
        <v>0</v>
      </c>
      <c r="AM43" s="5">
        <f>IF($C$38="Crecimiento",$P43,0)</f>
        <v>0</v>
      </c>
      <c r="AP43" s="5">
        <f>IF($D$38="Producción",IF($D43&gt;=LI_A,$Q43,0),0)</f>
        <v>0</v>
      </c>
      <c r="AQ43" s="5">
        <f>IF($D$38="Producción",IF($D43&gt;=LI_B,IF($D43&lt;LS_B,$Q43,0),0),0)</f>
        <v>0</v>
      </c>
      <c r="AR43" s="5">
        <f>IF($D$38="Producción",IF($D43&gt;=LI_C,IF($D43&lt;LS_C,$Q43,0),0),0)</f>
        <v>0</v>
      </c>
      <c r="AS43" s="5">
        <f>IF($D$38="Producción",IF($D43&lt;LS_D,$Q43,0),0)</f>
        <v>0</v>
      </c>
      <c r="AT43" s="5">
        <f>IF($D$38="Crecimiento",IF($D43&gt;0,$Q43,0),0)</f>
        <v>0</v>
      </c>
      <c r="AW43" s="5">
        <f>IF($E$38="Producción",IF($E43&gt;=LI_A,$R43,0),0)</f>
        <v>0</v>
      </c>
      <c r="AX43" s="5">
        <f>IF($E$38="Producción",IF($E43&gt;=LI_B,IF($E43&lt;LS_B,$R43,0),0),0)</f>
        <v>0</v>
      </c>
      <c r="AY43" s="5">
        <f>IF($E$38="Producción",IF($E43&gt;=LI_C,IF($E43&lt;LS_C,$R43,0),0),0)</f>
        <v>0</v>
      </c>
      <c r="AZ43" s="5">
        <f>IF($E$38="Producción",IF($E43&lt;LS_D,$R43,0),0)</f>
        <v>0</v>
      </c>
      <c r="BA43" s="5">
        <f>IF($E$38="Crecimiento",$R43,0)</f>
        <v>0</v>
      </c>
      <c r="BD43" s="5">
        <f>IF($F$38="Producción",IF($F43&gt;=LI_A,$S43,0),0)</f>
        <v>0</v>
      </c>
      <c r="BE43" s="5">
        <f>IF($F$38="Producción",IF($F43&gt;=LI_B,IF($F43&lt;LS_B,$S43,0),0),0)</f>
        <v>0</v>
      </c>
      <c r="BF43" s="5">
        <f>IF($F$38="Producción",IF($F43&gt;=LI_C,IF($F43&lt;LS_C,$S43,0),0),0)</f>
        <v>0</v>
      </c>
      <c r="BG43" s="5">
        <f>IF($F$38="Producción",IF($F43&lt;LS_D,$S43,0),0)</f>
        <v>0</v>
      </c>
      <c r="BH43" s="5">
        <f>IF($F$38="Crecimiento",$S43,0)</f>
        <v>0</v>
      </c>
      <c r="BK43" s="5">
        <f>IF($G$38="Producción",IF($G43&gt;=LI_A,$T43,0),0)</f>
        <v>0</v>
      </c>
      <c r="BL43" s="5">
        <f>IF($G$38="Producción",IF($G43&gt;=LI_B,IF($G43&lt;LS_B,$T43,0),0),0)</f>
        <v>0</v>
      </c>
      <c r="BM43" s="5">
        <f>IF($G$38="Producción",IF($G43&gt;=LI_C,IF($G43&lt;LS_C,$T43,0),0),0)</f>
        <v>0</v>
      </c>
      <c r="BN43" s="5">
        <f>IF($G$38="Producción",IF($G43&lt;LS_D,$T43,0),0)</f>
        <v>0</v>
      </c>
      <c r="BO43" s="5">
        <f>IF($G$38="Crecimiento",$T43,0)</f>
        <v>0</v>
      </c>
      <c r="BR43" s="5">
        <f>IF($H$38="Producción",IF($H43&gt;=LI_A,$U43,0),0)</f>
        <v>0</v>
      </c>
      <c r="BS43" s="5">
        <f>IF($H$38="Producción",IF($H43&gt;=LI_B,IF($H43&lt;LS_B,$U43,0),0),0)</f>
        <v>0</v>
      </c>
      <c r="BT43" s="5">
        <f>IF($H$38="Producción",IF($H43&gt;=LI_C,IF($H43&lt;LS_C,$U43,0),0),0)</f>
        <v>0</v>
      </c>
      <c r="BU43" s="5">
        <f>IF($H$38="Producción",IF($H43&lt;LS_D,$U43,0),0)</f>
        <v>0</v>
      </c>
      <c r="BV43" s="5">
        <f>IF($H$38="Crecimiento",$T43,0)</f>
        <v>0</v>
      </c>
      <c r="BY43" s="5">
        <f>IF($I$38="Producción",IF($I43&gt;=LI_A,$V43,0),0)</f>
        <v>0</v>
      </c>
      <c r="BZ43" s="5">
        <f>IF($I$38="Producción",IF($I43&gt;=LI_B,IF($I43&lt;LS_B,$V43,0),0),0)</f>
        <v>0</v>
      </c>
      <c r="CA43" s="5">
        <f>IF($I$38="Producción",IF($I43&gt;=LI_C,IF($I43&lt;LS_C,$V43,0),0),0)</f>
        <v>0</v>
      </c>
      <c r="CB43" s="5">
        <f>IF($I$38="Producción",IF($I43&lt;LS_D,$V43,0),0)</f>
        <v>0</v>
      </c>
      <c r="CC43" s="5">
        <f>IF($I$38="Crecimiento",$V43,0)</f>
        <v>0</v>
      </c>
      <c r="CF43" s="5">
        <f>IF($J$38="Producción",IF($J43&gt;=LI_A,$W43,0),0)</f>
        <v>0</v>
      </c>
      <c r="CG43" s="5">
        <f>IF($J$38="Producción",IF($J43&gt;=LI_B,IF($J43&lt;LS_B,$W43,0),0),0)</f>
        <v>0</v>
      </c>
      <c r="CH43" s="5">
        <f>IF($J$38="Producción",IF($J43&gt;=LI_C,IF($J43&lt;LS_C,$W43,0),0),0)</f>
        <v>0</v>
      </c>
      <c r="CI43" s="5">
        <f>IF($J$38="Producción",IF($J43&lt;LS_D,$W43,0),0)</f>
        <v>0</v>
      </c>
      <c r="CJ43" s="5">
        <f>IF($J$38="Crecimiento",$W43,0)</f>
        <v>0</v>
      </c>
      <c r="CM43" s="5">
        <f>IF($K$38="Producción",IF($K43&gt;=LI_A,$X43,0),0)</f>
        <v>0</v>
      </c>
      <c r="CN43" s="5">
        <f>IF($K$38="Producción",IF($K43&gt;=LI_B,IF($K43&lt;LS_B,$X43,0),0),0)</f>
        <v>0</v>
      </c>
      <c r="CO43" s="5">
        <f>IF($K$38="Producción",IF($K43&gt;=LI_C,IF($K43&lt;LS_C,$X43,0),0),0)</f>
        <v>0</v>
      </c>
      <c r="CP43" s="5">
        <f>IF($K$38="Producción",IF($K43&lt;LS_D,$X43,0),0)</f>
        <v>0</v>
      </c>
      <c r="CQ43" s="5">
        <f>IF($K$38="Crecimiento",$X43,0)</f>
        <v>0</v>
      </c>
      <c r="CT43" s="5">
        <f>IF($L$38="Producción",IF($L43&gt;=LI_A,$Y43,0),0)</f>
        <v>0</v>
      </c>
      <c r="CU43" s="5">
        <f>IF($L$38="Producción",IF($L43&gt;=LI_B,IF($L43&lt;LS_B,$Y43,0),0),0)</f>
        <v>0</v>
      </c>
      <c r="CV43" s="5">
        <f>IF($L$38="Producción",IF($L43&gt;=LI_C,IF($L43&lt;LS_C,$Y43,0),0),0)</f>
        <v>0</v>
      </c>
      <c r="CW43" s="5">
        <f>IF($L$38="Producción",IF($L43&lt;LS_D,$Y43,0),0)</f>
        <v>0</v>
      </c>
      <c r="CX43" s="5">
        <f>IF($L$38="Crecimiento",$Y43,0)</f>
        <v>0</v>
      </c>
      <c r="DA43" s="5">
        <f>IF($M$38="Producción",IF($M43&gt;=LI_A,$Z43,0),0)</f>
        <v>0</v>
      </c>
      <c r="DB43" s="5">
        <f>IF($M$38="Producción",IF($M43&gt;=LI_B,IF($M43&lt;LS_B,$Z43,0),0),0)</f>
        <v>0</v>
      </c>
      <c r="DC43" s="5">
        <f>IF($M$38="Producción",IF($M43&gt;=LI_C,IF($M43&lt;LS_C,$Z43,0),0),0)</f>
        <v>0</v>
      </c>
      <c r="DD43" s="5">
        <f>IF($M$38="Producción",IF($M43&lt;LS_D,$Z43,0),0)</f>
        <v>0</v>
      </c>
      <c r="DE43" s="5">
        <f>IF($M$38="Crecimiento",$Z43,0)</f>
        <v>0</v>
      </c>
      <c r="DI43" s="5">
        <f t="shared" si="253"/>
        <v>0</v>
      </c>
      <c r="DJ43" s="5">
        <f t="shared" si="254"/>
        <v>0</v>
      </c>
      <c r="DK43" s="5">
        <f t="shared" si="255"/>
        <v>0</v>
      </c>
      <c r="DL43" s="5">
        <f t="shared" si="256"/>
        <v>0</v>
      </c>
      <c r="DM43" s="5">
        <f t="shared" si="257"/>
        <v>0</v>
      </c>
      <c r="DN43" s="5">
        <f t="shared" si="258"/>
        <v>0</v>
      </c>
      <c r="DO43" s="5">
        <f t="shared" si="259"/>
        <v>0</v>
      </c>
      <c r="DP43" s="5">
        <f t="shared" si="260"/>
        <v>0</v>
      </c>
      <c r="DQ43" s="5">
        <f t="shared" si="261"/>
        <v>0</v>
      </c>
      <c r="DR43" s="5">
        <f t="shared" si="262"/>
        <v>0</v>
      </c>
      <c r="DS43" s="5">
        <f t="shared" si="263"/>
        <v>0</v>
      </c>
      <c r="DT43" s="5">
        <f t="shared" si="264"/>
        <v>0</v>
      </c>
      <c r="DU43" s="5">
        <f t="shared" si="265"/>
        <v>0</v>
      </c>
      <c r="DV43" s="5">
        <f t="shared" si="266"/>
        <v>0</v>
      </c>
      <c r="DW43" s="5">
        <f t="shared" si="267"/>
        <v>0</v>
      </c>
      <c r="DX43" s="5">
        <f t="shared" si="268"/>
        <v>0</v>
      </c>
      <c r="DY43" s="5">
        <f t="shared" si="269"/>
        <v>0</v>
      </c>
      <c r="DZ43" s="5">
        <f t="shared" si="270"/>
        <v>0</v>
      </c>
      <c r="EA43" s="5">
        <f t="shared" si="271"/>
        <v>0</v>
      </c>
      <c r="EB43" s="5">
        <f t="shared" si="272"/>
        <v>0</v>
      </c>
      <c r="EC43" s="5">
        <f t="shared" si="273"/>
        <v>0</v>
      </c>
      <c r="ED43" s="5">
        <f t="shared" si="274"/>
        <v>0</v>
      </c>
      <c r="EE43" s="5">
        <f t="shared" si="275"/>
        <v>0</v>
      </c>
      <c r="EF43" s="5">
        <f t="shared" si="276"/>
        <v>0</v>
      </c>
      <c r="EG43" s="5">
        <f t="shared" si="277"/>
        <v>0</v>
      </c>
      <c r="EH43" s="5">
        <f t="shared" si="278"/>
        <v>0</v>
      </c>
      <c r="EI43" s="5">
        <f t="shared" si="279"/>
        <v>0</v>
      </c>
      <c r="EJ43" s="5">
        <f t="shared" si="280"/>
        <v>0</v>
      </c>
      <c r="EK43" s="5">
        <f t="shared" si="281"/>
        <v>0</v>
      </c>
      <c r="EL43" s="5">
        <f t="shared" si="282"/>
        <v>0</v>
      </c>
      <c r="EM43" s="5">
        <f t="shared" si="283"/>
        <v>0</v>
      </c>
      <c r="EN43" s="5">
        <f t="shared" si="284"/>
        <v>0</v>
      </c>
      <c r="EO43" s="5">
        <f t="shared" si="285"/>
        <v>0</v>
      </c>
      <c r="EP43" s="5">
        <f t="shared" si="286"/>
        <v>0</v>
      </c>
      <c r="EQ43" s="5">
        <f t="shared" si="287"/>
        <v>0</v>
      </c>
      <c r="ER43" s="5">
        <f t="shared" si="288"/>
        <v>0</v>
      </c>
      <c r="ES43" s="5">
        <f t="shared" si="289"/>
        <v>0</v>
      </c>
      <c r="ET43" s="5">
        <f t="shared" si="290"/>
        <v>0</v>
      </c>
      <c r="EU43" s="5">
        <f t="shared" si="291"/>
        <v>0</v>
      </c>
      <c r="EV43" s="5">
        <f t="shared" si="292"/>
        <v>0</v>
      </c>
      <c r="EW43" s="5">
        <f t="shared" si="293"/>
        <v>0</v>
      </c>
      <c r="EX43" s="5">
        <f t="shared" si="294"/>
        <v>0</v>
      </c>
      <c r="EY43" s="5">
        <f t="shared" si="295"/>
        <v>0</v>
      </c>
      <c r="EZ43" s="5">
        <f t="shared" si="296"/>
        <v>0</v>
      </c>
      <c r="FA43" s="5">
        <f t="shared" si="297"/>
        <v>0</v>
      </c>
      <c r="FB43" s="5">
        <f t="shared" si="298"/>
        <v>0</v>
      </c>
      <c r="FC43" s="5">
        <f t="shared" si="299"/>
        <v>0</v>
      </c>
      <c r="FD43" s="5">
        <f t="shared" si="300"/>
        <v>0</v>
      </c>
      <c r="FE43" s="5">
        <f t="shared" si="301"/>
        <v>0</v>
      </c>
      <c r="FF43" s="5">
        <f t="shared" si="302"/>
        <v>0</v>
      </c>
      <c r="FG43" s="5">
        <f t="shared" si="303"/>
        <v>0</v>
      </c>
      <c r="FH43" s="5">
        <f t="shared" si="304"/>
        <v>0</v>
      </c>
      <c r="FI43" s="5">
        <f t="shared" si="305"/>
        <v>0</v>
      </c>
      <c r="FJ43" s="5">
        <f t="shared" si="306"/>
        <v>0</v>
      </c>
      <c r="FK43" s="5">
        <f t="shared" si="307"/>
        <v>0</v>
      </c>
      <c r="FL43" s="5">
        <f t="shared" si="308"/>
        <v>0</v>
      </c>
      <c r="FM43" s="5">
        <f t="shared" si="309"/>
        <v>0</v>
      </c>
      <c r="FN43" s="5">
        <f t="shared" si="310"/>
        <v>0</v>
      </c>
      <c r="FO43" s="5">
        <f t="shared" si="311"/>
        <v>0</v>
      </c>
      <c r="FP43" s="5">
        <f t="shared" si="312"/>
        <v>0</v>
      </c>
    </row>
    <row r="44" spans="1:172" ht="20.100000000000001" customHeight="1" x14ac:dyDescent="0.3">
      <c r="A44" s="8" t="str">
        <f>IF(Ciclo=4,"Surco 4",IF(Ciclo=5,"Surco 4","NA"))</f>
        <v>NA</v>
      </c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O44" s="58">
        <f>IF($A44="NA",0,IFERROR('6'!O$23/Ciclo,0))</f>
        <v>0</v>
      </c>
      <c r="P44" s="58">
        <f>IF($A44="NA",0,IFERROR('6'!P$23/Ciclo,0))</f>
        <v>0</v>
      </c>
      <c r="Q44" s="58">
        <f>IF($A44="NA",0,IFERROR('6'!Q$23/Ciclo,0))</f>
        <v>0</v>
      </c>
      <c r="R44" s="58">
        <f>IF($A44="NA",0,IFERROR('6'!R$23/Ciclo,0))</f>
        <v>0</v>
      </c>
      <c r="S44" s="58">
        <f>IF($A44="NA",0,IFERROR('6'!S$23/Ciclo,0))</f>
        <v>0</v>
      </c>
      <c r="T44" s="58">
        <f>IF($A44="NA",0,IFERROR('6'!T$23/Ciclo,0))</f>
        <v>0</v>
      </c>
      <c r="U44" s="58">
        <f>IF($A44="NA",0,IFERROR('6'!U$23/Ciclo,0))</f>
        <v>0</v>
      </c>
      <c r="V44" s="58">
        <f>IF($A44="NA",0,IFERROR('6'!V$23/Ciclo,0))</f>
        <v>0</v>
      </c>
      <c r="W44" s="5">
        <f>IF($A44="NA",0,IFERROR('6'!W$23/Ciclo,0))</f>
        <v>0</v>
      </c>
      <c r="X44" s="5">
        <f>IF($A44="NA",0,IFERROR('6'!X$23/Ciclo,0))</f>
        <v>0</v>
      </c>
      <c r="Y44" s="5">
        <f>IF($A44="NA",0,IFERROR('6'!Y$23/Ciclo,0))</f>
        <v>0</v>
      </c>
      <c r="Z44" s="5">
        <f>IF($A44="NA",0,IFERROR('6'!Z$23/Ciclo,0))</f>
        <v>0</v>
      </c>
      <c r="AB44" s="5">
        <f>IF($B$38="Producción",IF($B44&gt;=LI_A,$O44,0),0)</f>
        <v>0</v>
      </c>
      <c r="AC44" s="5">
        <f>IF($B$38="Producción",IF($B44&gt;=LI_B,IF($B44&lt;LS_B,$O44,0),0),0)</f>
        <v>0</v>
      </c>
      <c r="AD44" s="5">
        <f>IF($B$38="Producción",IF($B44&gt;=LI_C,IF($B44&lt;LS_C,$O44,0),0),0)</f>
        <v>0</v>
      </c>
      <c r="AE44" s="5">
        <f>IF($B$38="Producción",IF($B44&lt;LS_D,$O44,0),0)</f>
        <v>0</v>
      </c>
      <c r="AF44" s="5">
        <f t="shared" si="313"/>
        <v>0</v>
      </c>
      <c r="AI44" s="5">
        <f>IF($C$38="Producción",IF($C44&gt;=LI_A,$P44,0),0)</f>
        <v>0</v>
      </c>
      <c r="AJ44" s="5">
        <f>IF($C$38="Producción",IF($C44&gt;=LI_B,IF($C44&lt;LS_B,$P44,0),0),0)</f>
        <v>0</v>
      </c>
      <c r="AK44" s="5">
        <f>IF($C$38="Producción",IF($C44&gt;=LI_C,IF($C44&lt;LS_C,$P44,0),0),0)</f>
        <v>0</v>
      </c>
      <c r="AL44" s="5">
        <f>IF($C$38="Producción",IF($C44&lt;LS_D,$P44,0),0)</f>
        <v>0</v>
      </c>
      <c r="AM44" s="5">
        <f>IF($C$38="Crecimiento",$P44,0)</f>
        <v>0</v>
      </c>
      <c r="AP44" s="5">
        <f>IF($D$38="Producción",IF($D44&gt;=LI_A,$Q44,0),0)</f>
        <v>0</v>
      </c>
      <c r="AQ44" s="5">
        <f>IF($D$38="Producción",IF($D44&gt;=LI_B,IF($D44&lt;LS_B,$Q44,0),0),0)</f>
        <v>0</v>
      </c>
      <c r="AR44" s="5">
        <f>IF($D$38="Producción",IF($D44&gt;=LI_C,IF($D44&lt;LS_C,$Q44,0),0),0)</f>
        <v>0</v>
      </c>
      <c r="AS44" s="5">
        <f>IF($D$38="Producción",IF($D44&lt;LS_D,$Q44,0),0)</f>
        <v>0</v>
      </c>
      <c r="AT44" s="5">
        <f>IF($D$38="Crecimiento",IF($D44&gt;0,$Q44,0),0)</f>
        <v>0</v>
      </c>
      <c r="AW44" s="5">
        <f>IF($E$38="Producción",IF($E44&gt;=LI_A,$R44,0),0)</f>
        <v>0</v>
      </c>
      <c r="AX44" s="5">
        <f>IF($E$38="Producción",IF($E44&gt;=LI_B,IF($E44&lt;LS_B,$R44,0),0),0)</f>
        <v>0</v>
      </c>
      <c r="AY44" s="5">
        <f>IF($E$38="Producción",IF($E44&gt;=LI_C,IF($E44&lt;LS_C,$R44,0),0),0)</f>
        <v>0</v>
      </c>
      <c r="AZ44" s="5">
        <f>IF($E$38="Producción",IF($E44&lt;LS_D,$R44,0),0)</f>
        <v>0</v>
      </c>
      <c r="BA44" s="5">
        <f>IF($E$38="Crecimiento",$R44,0)</f>
        <v>0</v>
      </c>
      <c r="BD44" s="5">
        <f>IF($F$38="Producción",IF($F44&gt;=LI_A,$S44,0),0)</f>
        <v>0</v>
      </c>
      <c r="BE44" s="5">
        <f>IF($F$38="Producción",IF($F44&gt;=LI_B,IF($F44&lt;LS_B,$S44,0),0),0)</f>
        <v>0</v>
      </c>
      <c r="BF44" s="5">
        <f>IF($F$38="Producción",IF($F44&gt;=LI_C,IF($F44&lt;LS_C,$S44,0),0),0)</f>
        <v>0</v>
      </c>
      <c r="BG44" s="5">
        <f>IF($F$38="Producción",IF($F44&lt;LS_D,$S44,0),0)</f>
        <v>0</v>
      </c>
      <c r="BH44" s="5">
        <f>IF($F$38="Crecimiento",$S44,0)</f>
        <v>0</v>
      </c>
      <c r="BK44" s="5">
        <f>IF($G$38="Producción",IF($G44&gt;=LI_A,$T44,0),0)</f>
        <v>0</v>
      </c>
      <c r="BL44" s="5">
        <f>IF($G$38="Producción",IF($G44&gt;=LI_B,IF($G44&lt;LS_B,$T44,0),0),0)</f>
        <v>0</v>
      </c>
      <c r="BM44" s="5">
        <f>IF($G$38="Producción",IF($G44&gt;=LI_C,IF($G44&lt;LS_C,$T44,0),0),0)</f>
        <v>0</v>
      </c>
      <c r="BN44" s="5">
        <f>IF($G$38="Producción",IF($G44&lt;LS_D,$T44,0),0)</f>
        <v>0</v>
      </c>
      <c r="BO44" s="5">
        <f>IF($G$38="Crecimiento",$T44,0)</f>
        <v>0</v>
      </c>
      <c r="BR44" s="5">
        <f>IF($H$38="Producción",IF($H44&gt;=LI_A,$U44,0),0)</f>
        <v>0</v>
      </c>
      <c r="BS44" s="5">
        <f>IF($H$38="Producción",IF($H44&gt;=LI_B,IF($H44&lt;LS_B,$U44,0),0),0)</f>
        <v>0</v>
      </c>
      <c r="BT44" s="5">
        <f>IF($H$38="Producción",IF($H44&gt;=LI_C,IF($H44&lt;LS_C,$U44,0),0),0)</f>
        <v>0</v>
      </c>
      <c r="BU44" s="5">
        <f>IF($H$38="Producción",IF($H44&lt;LS_D,$U44,0),0)</f>
        <v>0</v>
      </c>
      <c r="BV44" s="5">
        <f>IF($H$38="Crecimiento",$T44,0)</f>
        <v>0</v>
      </c>
      <c r="BY44" s="5">
        <f>IF($I$38="Producción",IF($I44&gt;=LI_A,$V44,0),0)</f>
        <v>0</v>
      </c>
      <c r="BZ44" s="5">
        <f>IF($I$38="Producción",IF($I44&gt;=LI_B,IF($I44&lt;LS_B,$V44,0),0),0)</f>
        <v>0</v>
      </c>
      <c r="CA44" s="5">
        <f>IF($I$38="Producción",IF($I44&gt;=LI_C,IF($I44&lt;LS_C,$V44,0),0),0)</f>
        <v>0</v>
      </c>
      <c r="CB44" s="5">
        <f>IF($I$38="Producción",IF($I44&lt;LS_D,$V44,0),0)</f>
        <v>0</v>
      </c>
      <c r="CC44" s="5">
        <f>IF($I$38="Crecimiento",$V44,0)</f>
        <v>0</v>
      </c>
      <c r="CF44" s="5">
        <f>IF($J$38="Producción",IF($J44&gt;=LI_A,$W44,0),0)</f>
        <v>0</v>
      </c>
      <c r="CG44" s="5">
        <f>IF($J$38="Producción",IF($J44&gt;=LI_B,IF($J44&lt;LS_B,$W44,0),0),0)</f>
        <v>0</v>
      </c>
      <c r="CH44" s="5">
        <f>IF($J$38="Producción",IF($J44&gt;=LI_C,IF($J44&lt;LS_C,$W44,0),0),0)</f>
        <v>0</v>
      </c>
      <c r="CI44" s="5">
        <f>IF($J$38="Producción",IF($J44&lt;LS_D,$W44,0),0)</f>
        <v>0</v>
      </c>
      <c r="CJ44" s="5">
        <f>IF($J$38="Crecimiento",$W44,0)</f>
        <v>0</v>
      </c>
      <c r="CM44" s="5">
        <f>IF($K$38="Producción",IF($K44&gt;=LI_A,$X44,0),0)</f>
        <v>0</v>
      </c>
      <c r="CN44" s="5">
        <f>IF($K$38="Producción",IF($K44&gt;=LI_B,IF($K44&lt;LS_B,$X44,0),0),0)</f>
        <v>0</v>
      </c>
      <c r="CO44" s="5">
        <f>IF($K$38="Producción",IF($K44&gt;=LI_C,IF($K44&lt;LS_C,$X44,0),0),0)</f>
        <v>0</v>
      </c>
      <c r="CP44" s="5">
        <f>IF($K$38="Producción",IF($K44&lt;LS_D,$X44,0),0)</f>
        <v>0</v>
      </c>
      <c r="CQ44" s="5">
        <f>IF($K$38="Crecimiento",$X44,0)</f>
        <v>0</v>
      </c>
      <c r="CT44" s="5">
        <f>IF($L$38="Producción",IF($L44&gt;=LI_A,$Y44,0),0)</f>
        <v>0</v>
      </c>
      <c r="CU44" s="5">
        <f>IF($L$38="Producción",IF($L44&gt;=LI_B,IF($L44&lt;LS_B,$Y44,0),0),0)</f>
        <v>0</v>
      </c>
      <c r="CV44" s="5">
        <f>IF($L$38="Producción",IF($L44&gt;=LI_C,IF($L44&lt;LS_C,$Y44,0),0),0)</f>
        <v>0</v>
      </c>
      <c r="CW44" s="5">
        <f>IF($L$38="Producción",IF($L44&lt;LS_D,$Y44,0),0)</f>
        <v>0</v>
      </c>
      <c r="CX44" s="5">
        <f>IF($L$38="Crecimiento",$Y44,0)</f>
        <v>0</v>
      </c>
      <c r="DA44" s="5">
        <f>IF($M$38="Producción",IF($M44&gt;=LI_A,$Z44,0),0)</f>
        <v>0</v>
      </c>
      <c r="DB44" s="5">
        <f>IF($M$38="Producción",IF($M44&gt;=LI_B,IF($M44&lt;LS_B,$Z44,0),0),0)</f>
        <v>0</v>
      </c>
      <c r="DC44" s="5">
        <f>IF($M$38="Producción",IF($M44&gt;=LI_C,IF($M44&lt;LS_C,$Z44,0),0),0)</f>
        <v>0</v>
      </c>
      <c r="DD44" s="5">
        <f>IF($M$38="Producción",IF($M44&lt;LS_D,$Z44,0),0)</f>
        <v>0</v>
      </c>
      <c r="DE44" s="5">
        <f>IF($M$38="Crecimiento",$Z44,0)</f>
        <v>0</v>
      </c>
      <c r="DI44" s="5">
        <f t="shared" si="253"/>
        <v>0</v>
      </c>
      <c r="DJ44" s="5">
        <f t="shared" si="254"/>
        <v>0</v>
      </c>
      <c r="DK44" s="5">
        <f t="shared" si="255"/>
        <v>0</v>
      </c>
      <c r="DL44" s="5">
        <f t="shared" si="256"/>
        <v>0</v>
      </c>
      <c r="DM44" s="5">
        <f t="shared" si="257"/>
        <v>0</v>
      </c>
      <c r="DN44" s="5">
        <f t="shared" si="258"/>
        <v>0</v>
      </c>
      <c r="DO44" s="5">
        <f t="shared" si="259"/>
        <v>0</v>
      </c>
      <c r="DP44" s="5">
        <f t="shared" si="260"/>
        <v>0</v>
      </c>
      <c r="DQ44" s="5">
        <f t="shared" si="261"/>
        <v>0</v>
      </c>
      <c r="DR44" s="5">
        <f t="shared" si="262"/>
        <v>0</v>
      </c>
      <c r="DS44" s="5">
        <f t="shared" si="263"/>
        <v>0</v>
      </c>
      <c r="DT44" s="5">
        <f t="shared" si="264"/>
        <v>0</v>
      </c>
      <c r="DU44" s="5">
        <f t="shared" si="265"/>
        <v>0</v>
      </c>
      <c r="DV44" s="5">
        <f t="shared" si="266"/>
        <v>0</v>
      </c>
      <c r="DW44" s="5">
        <f t="shared" si="267"/>
        <v>0</v>
      </c>
      <c r="DX44" s="5">
        <f t="shared" si="268"/>
        <v>0</v>
      </c>
      <c r="DY44" s="5">
        <f t="shared" si="269"/>
        <v>0</v>
      </c>
      <c r="DZ44" s="5">
        <f t="shared" si="270"/>
        <v>0</v>
      </c>
      <c r="EA44" s="5">
        <f t="shared" si="271"/>
        <v>0</v>
      </c>
      <c r="EB44" s="5">
        <f t="shared" si="272"/>
        <v>0</v>
      </c>
      <c r="EC44" s="5">
        <f t="shared" si="273"/>
        <v>0</v>
      </c>
      <c r="ED44" s="5">
        <f t="shared" si="274"/>
        <v>0</v>
      </c>
      <c r="EE44" s="5">
        <f t="shared" si="275"/>
        <v>0</v>
      </c>
      <c r="EF44" s="5">
        <f t="shared" si="276"/>
        <v>0</v>
      </c>
      <c r="EG44" s="5">
        <f t="shared" si="277"/>
        <v>0</v>
      </c>
      <c r="EH44" s="5">
        <f t="shared" si="278"/>
        <v>0</v>
      </c>
      <c r="EI44" s="5">
        <f t="shared" si="279"/>
        <v>0</v>
      </c>
      <c r="EJ44" s="5">
        <f t="shared" si="280"/>
        <v>0</v>
      </c>
      <c r="EK44" s="5">
        <f t="shared" si="281"/>
        <v>0</v>
      </c>
      <c r="EL44" s="5">
        <f t="shared" si="282"/>
        <v>0</v>
      </c>
      <c r="EM44" s="5">
        <f t="shared" si="283"/>
        <v>0</v>
      </c>
      <c r="EN44" s="5">
        <f t="shared" si="284"/>
        <v>0</v>
      </c>
      <c r="EO44" s="5">
        <f t="shared" si="285"/>
        <v>0</v>
      </c>
      <c r="EP44" s="5">
        <f t="shared" si="286"/>
        <v>0</v>
      </c>
      <c r="EQ44" s="5">
        <f t="shared" si="287"/>
        <v>0</v>
      </c>
      <c r="ER44" s="5">
        <f t="shared" si="288"/>
        <v>0</v>
      </c>
      <c r="ES44" s="5">
        <f t="shared" si="289"/>
        <v>0</v>
      </c>
      <c r="ET44" s="5">
        <f t="shared" si="290"/>
        <v>0</v>
      </c>
      <c r="EU44" s="5">
        <f t="shared" si="291"/>
        <v>0</v>
      </c>
      <c r="EV44" s="5">
        <f t="shared" si="292"/>
        <v>0</v>
      </c>
      <c r="EW44" s="5">
        <f t="shared" si="293"/>
        <v>0</v>
      </c>
      <c r="EX44" s="5">
        <f t="shared" si="294"/>
        <v>0</v>
      </c>
      <c r="EY44" s="5">
        <f t="shared" si="295"/>
        <v>0</v>
      </c>
      <c r="EZ44" s="5">
        <f t="shared" si="296"/>
        <v>0</v>
      </c>
      <c r="FA44" s="5">
        <f t="shared" si="297"/>
        <v>0</v>
      </c>
      <c r="FB44" s="5">
        <f t="shared" si="298"/>
        <v>0</v>
      </c>
      <c r="FC44" s="5">
        <f t="shared" si="299"/>
        <v>0</v>
      </c>
      <c r="FD44" s="5">
        <f t="shared" si="300"/>
        <v>0</v>
      </c>
      <c r="FE44" s="5">
        <f t="shared" si="301"/>
        <v>0</v>
      </c>
      <c r="FF44" s="5">
        <f t="shared" si="302"/>
        <v>0</v>
      </c>
      <c r="FG44" s="5">
        <f t="shared" si="303"/>
        <v>0</v>
      </c>
      <c r="FH44" s="5">
        <f t="shared" si="304"/>
        <v>0</v>
      </c>
      <c r="FI44" s="5">
        <f t="shared" si="305"/>
        <v>0</v>
      </c>
      <c r="FJ44" s="5">
        <f t="shared" si="306"/>
        <v>0</v>
      </c>
      <c r="FK44" s="5">
        <f t="shared" si="307"/>
        <v>0</v>
      </c>
      <c r="FL44" s="5">
        <f t="shared" si="308"/>
        <v>0</v>
      </c>
      <c r="FM44" s="5">
        <f t="shared" si="309"/>
        <v>0</v>
      </c>
      <c r="FN44" s="5">
        <f t="shared" si="310"/>
        <v>0</v>
      </c>
      <c r="FO44" s="5">
        <f t="shared" si="311"/>
        <v>0</v>
      </c>
      <c r="FP44" s="5">
        <f t="shared" si="312"/>
        <v>0</v>
      </c>
    </row>
    <row r="45" spans="1:172" ht="20.100000000000001" customHeight="1" x14ac:dyDescent="0.3">
      <c r="A45" s="9" t="str">
        <f>IF(Ciclo=5,"Surco 5","NA")</f>
        <v>NA</v>
      </c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O45" s="58">
        <f>IF($A45="NA",0,IFERROR('6'!O$23/Ciclo,0))</f>
        <v>0</v>
      </c>
      <c r="P45" s="58">
        <f>IF($A45="NA",0,IFERROR('6'!P$23/Ciclo,0))</f>
        <v>0</v>
      </c>
      <c r="Q45" s="58">
        <f>IF($A45="NA",0,IFERROR('6'!Q$23/Ciclo,0))</f>
        <v>0</v>
      </c>
      <c r="R45" s="58">
        <f>IF($A45="NA",0,IFERROR('6'!R$23/Ciclo,0))</f>
        <v>0</v>
      </c>
      <c r="S45" s="58">
        <f>IF($A45="NA",0,IFERROR('6'!S$23/Ciclo,0))</f>
        <v>0</v>
      </c>
      <c r="T45" s="58">
        <f>IF($A45="NA",0,IFERROR('6'!T$23/Ciclo,0))</f>
        <v>0</v>
      </c>
      <c r="U45" s="58">
        <f>IF($A45="NA",0,IFERROR('6'!U$23/Ciclo,0))</f>
        <v>0</v>
      </c>
      <c r="V45" s="58">
        <f>IF($A45="NA",0,IFERROR('6'!V$23/Ciclo,0))</f>
        <v>0</v>
      </c>
      <c r="W45" s="5">
        <f>IF($A45="NA",0,IFERROR('6'!W$23/Ciclo,0))</f>
        <v>0</v>
      </c>
      <c r="X45" s="5">
        <f>IF($A45="NA",0,IFERROR('6'!X$23/Ciclo,0))</f>
        <v>0</v>
      </c>
      <c r="Y45" s="5">
        <f>IF($A45="NA",0,IFERROR('6'!Y$23/Ciclo,0))</f>
        <v>0</v>
      </c>
      <c r="Z45" s="5">
        <f>IF($A45="NA",0,IFERROR('6'!Z$23/Ciclo,0))</f>
        <v>0</v>
      </c>
      <c r="AB45" s="5">
        <f>IF($B$38="Producción",IF($B45&gt;=LI_A,$O45,0),0)</f>
        <v>0</v>
      </c>
      <c r="AC45" s="5">
        <f>IF($B$38="Producción",IF($B45&gt;=LI_B,IF($B45&lt;LS_B,$O45,0),0),0)</f>
        <v>0</v>
      </c>
      <c r="AD45" s="5">
        <f>IF($B$38="Producción",IF($B45&gt;=LI_C,IF($B45&lt;LS_C,$O45,0),0),0)</f>
        <v>0</v>
      </c>
      <c r="AE45" s="5">
        <f>IF($B$38="Producción",IF($B45&lt;LS_D,$O45,0),0)</f>
        <v>0</v>
      </c>
      <c r="AF45" s="5">
        <f t="shared" si="313"/>
        <v>0</v>
      </c>
      <c r="AI45" s="5">
        <f>IF($C$38="Producción",IF($C45&gt;=LI_A,$P45,0),0)</f>
        <v>0</v>
      </c>
      <c r="AJ45" s="5">
        <f>IF($C$38="Producción",IF($C45&gt;=LI_B,IF($C45&lt;LS_B,$P45,0),0),0)</f>
        <v>0</v>
      </c>
      <c r="AK45" s="5">
        <f>IF($C$38="Producción",IF($C45&gt;=LI_C,IF($C45&lt;LS_C,$P45,0),0),0)</f>
        <v>0</v>
      </c>
      <c r="AL45" s="5">
        <f>IF($C$38="Producción",IF($C45&lt;LS_D,$P45,0),0)</f>
        <v>0</v>
      </c>
      <c r="AM45" s="5">
        <f>IF($C$38="Crecimiento",$P45,0)</f>
        <v>0</v>
      </c>
      <c r="AP45" s="5">
        <f>IF($D$38="Producción",IF($D45&gt;=LI_A,$Q45,0),0)</f>
        <v>0</v>
      </c>
      <c r="AQ45" s="5">
        <f>IF($D$38="Producción",IF($D45&gt;=LI_B,IF($D45&lt;LS_B,$Q45,0),0),0)</f>
        <v>0</v>
      </c>
      <c r="AR45" s="5">
        <f>IF($D$38="Producción",IF($D45&gt;=LI_C,IF($D45&lt;LS_C,$Q45,0),0),0)</f>
        <v>0</v>
      </c>
      <c r="AS45" s="5">
        <f>IF($D$38="Producción",IF($D45&lt;LS_D,$Q45,0),0)</f>
        <v>0</v>
      </c>
      <c r="AT45" s="5">
        <f>IF($D$38="Crecimiento",IF($D45&gt;0,$Q45,0),0)</f>
        <v>0</v>
      </c>
      <c r="AW45" s="5">
        <f>IF($E$38="Producción",IF($E45&gt;=LI_A,$R45,0),0)</f>
        <v>0</v>
      </c>
      <c r="AX45" s="5">
        <f>IF($E$38="Producción",IF($E45&gt;=LI_B,IF($E45&lt;LS_B,$R45,0),0),0)</f>
        <v>0</v>
      </c>
      <c r="AY45" s="5">
        <f>IF($E$38="Producción",IF($E45&gt;=LI_C,IF($E45&lt;LS_C,$R45,0),0),0)</f>
        <v>0</v>
      </c>
      <c r="AZ45" s="5">
        <f>IF($E$38="Producción",IF($E45&lt;LS_D,$R45,0),0)</f>
        <v>0</v>
      </c>
      <c r="BA45" s="5">
        <f>IF($E$38="Crecimiento",$R45,0)</f>
        <v>0</v>
      </c>
      <c r="BD45" s="5">
        <f>IF($F$38="Producción",IF($F45&gt;=LI_A,$S45,0),0)</f>
        <v>0</v>
      </c>
      <c r="BE45" s="5">
        <f>IF($F$38="Producción",IF($F45&gt;=LI_B,IF($F45&lt;LS_B,$S45,0),0),0)</f>
        <v>0</v>
      </c>
      <c r="BF45" s="5">
        <f>IF($F$38="Producción",IF($F45&gt;=LI_C,IF($F45&lt;LS_C,$S45,0),0),0)</f>
        <v>0</v>
      </c>
      <c r="BG45" s="5">
        <f>IF($F$38="Producción",IF($F45&lt;LS_D,$S45,0),0)</f>
        <v>0</v>
      </c>
      <c r="BH45" s="5">
        <f>IF($F$38="Crecimiento",$S45,0)</f>
        <v>0</v>
      </c>
      <c r="BK45" s="5">
        <f>IF($G$38="Producción",IF($G45&gt;=LI_A,$T45,0),0)</f>
        <v>0</v>
      </c>
      <c r="BL45" s="5">
        <f>IF($G$38="Producción",IF($G45&gt;=LI_B,IF($G45&lt;LS_B,$T45,0),0),0)</f>
        <v>0</v>
      </c>
      <c r="BM45" s="5">
        <f>IF($G$38="Producción",IF($G45&gt;=LI_C,IF($G45&lt;LS_C,$T45,0),0),0)</f>
        <v>0</v>
      </c>
      <c r="BN45" s="5">
        <f>IF($G$38="Producción",IF($G45&lt;LS_D,$T45,0),0)</f>
        <v>0</v>
      </c>
      <c r="BO45" s="5">
        <f>IF($G$38="Crecimiento",$T45,0)</f>
        <v>0</v>
      </c>
      <c r="BR45" s="5">
        <f>IF($H$38="Producción",IF($H45&gt;=LI_A,$U45,0),0)</f>
        <v>0</v>
      </c>
      <c r="BS45" s="5">
        <f>IF($H$38="Producción",IF($H45&gt;=LI_B,IF($H45&lt;LS_B,$U45,0),0),0)</f>
        <v>0</v>
      </c>
      <c r="BT45" s="5">
        <f>IF($H$38="Producción",IF($H45&gt;=LI_C,IF($H45&lt;LS_C,$U45,0),0),0)</f>
        <v>0</v>
      </c>
      <c r="BU45" s="5">
        <f>IF($H$38="Producción",IF($H45&lt;LS_D,$U45,0),0)</f>
        <v>0</v>
      </c>
      <c r="BV45" s="5">
        <f>IF($H$38="Crecimiento",$T45,0)</f>
        <v>0</v>
      </c>
      <c r="BY45" s="5">
        <f>IF($I$38="Producción",IF($I45&gt;=LI_A,$V45,0),0)</f>
        <v>0</v>
      </c>
      <c r="BZ45" s="5">
        <f>IF($I$38="Producción",IF($I45&gt;=LI_B,IF($I45&lt;LS_B,$V45,0),0),0)</f>
        <v>0</v>
      </c>
      <c r="CA45" s="5">
        <f>IF($I$38="Producción",IF($I45&gt;=LI_C,IF($I45&lt;LS_C,$V45,0),0),0)</f>
        <v>0</v>
      </c>
      <c r="CB45" s="5">
        <f>IF($I$38="Producción",IF($I45&lt;LS_D,$V45,0),0)</f>
        <v>0</v>
      </c>
      <c r="CC45" s="5">
        <f>IF($I$38="Crecimiento",$V45,0)</f>
        <v>0</v>
      </c>
      <c r="CF45" s="5">
        <f>IF($J$38="Producción",IF($J45&gt;=LI_A,$W45,0),0)</f>
        <v>0</v>
      </c>
      <c r="CG45" s="5">
        <f>IF($J$38="Producción",IF($J45&gt;=LI_B,IF($J45&lt;LS_B,$W45,0),0),0)</f>
        <v>0</v>
      </c>
      <c r="CH45" s="5">
        <f>IF($J$38="Producción",IF($J45&gt;=LI_C,IF($J45&lt;LS_C,$W45,0),0),0)</f>
        <v>0</v>
      </c>
      <c r="CI45" s="5">
        <f>IF($J$38="Producción",IF($J45&lt;LS_D,$W45,0),0)</f>
        <v>0</v>
      </c>
      <c r="CJ45" s="5">
        <f>IF($J$38="Crecimiento",$W45,0)</f>
        <v>0</v>
      </c>
      <c r="CM45" s="5">
        <f>IF($K$38="Producción",IF($K45&gt;=LI_A,$X45,0),0)</f>
        <v>0</v>
      </c>
      <c r="CN45" s="5">
        <f>IF($K$38="Producción",IF($K45&gt;=LI_B,IF($K45&lt;LS_B,$X45,0),0),0)</f>
        <v>0</v>
      </c>
      <c r="CO45" s="5">
        <f>IF($K$38="Producción",IF($K45&gt;=LI_C,IF($K45&lt;LS_C,$X45,0),0),0)</f>
        <v>0</v>
      </c>
      <c r="CP45" s="5">
        <f>IF($K$38="Producción",IF($K45&lt;LS_D,$X45,0),0)</f>
        <v>0</v>
      </c>
      <c r="CQ45" s="5">
        <f>IF($K$38="Crecimiento",$X45,0)</f>
        <v>0</v>
      </c>
      <c r="CT45" s="5">
        <f>IF($L$38="Producción",IF($L45&gt;=LI_A,$Y45,0),0)</f>
        <v>0</v>
      </c>
      <c r="CU45" s="5">
        <f>IF($L$38="Producción",IF($L45&gt;=LI_B,IF($L45&lt;LS_B,$Y45,0),0),0)</f>
        <v>0</v>
      </c>
      <c r="CV45" s="5">
        <f>IF($L$38="Producción",IF($L45&gt;=LI_C,IF($L45&lt;LS_C,$Y45,0),0),0)</f>
        <v>0</v>
      </c>
      <c r="CW45" s="5">
        <f>IF($L$38="Producción",IF($L45&lt;LS_D,$Y45,0),0)</f>
        <v>0</v>
      </c>
      <c r="CX45" s="5">
        <f>IF($L$38="Crecimiento",$Y45,0)</f>
        <v>0</v>
      </c>
      <c r="DA45" s="5">
        <f>IF($M$38="Producción",IF($M45&gt;=LI_A,$Z45,0),0)</f>
        <v>0</v>
      </c>
      <c r="DB45" s="5">
        <f>IF($M$38="Producción",IF($M45&gt;=LI_B,IF($M45&lt;LS_B,$Z45,0),0),0)</f>
        <v>0</v>
      </c>
      <c r="DC45" s="5">
        <f>IF($M$38="Producción",IF($M45&gt;=LI_C,IF($M45&lt;LS_C,$Z45,0),0),0)</f>
        <v>0</v>
      </c>
      <c r="DD45" s="5">
        <f>IF($M$38="Producción",IF($M45&lt;LS_D,$Z45,0),0)</f>
        <v>0</v>
      </c>
      <c r="DE45" s="5">
        <f>IF($M$38="Crecimiento",$Z45,0)</f>
        <v>0</v>
      </c>
      <c r="DI45" s="5">
        <f t="shared" si="253"/>
        <v>0</v>
      </c>
      <c r="DJ45" s="5">
        <f t="shared" si="254"/>
        <v>0</v>
      </c>
      <c r="DK45" s="5">
        <f t="shared" si="255"/>
        <v>0</v>
      </c>
      <c r="DL45" s="5">
        <f t="shared" si="256"/>
        <v>0</v>
      </c>
      <c r="DM45" s="5">
        <f t="shared" si="257"/>
        <v>0</v>
      </c>
      <c r="DN45" s="5">
        <f t="shared" si="258"/>
        <v>0</v>
      </c>
      <c r="DO45" s="5">
        <f t="shared" si="259"/>
        <v>0</v>
      </c>
      <c r="DP45" s="5">
        <f t="shared" si="260"/>
        <v>0</v>
      </c>
      <c r="DQ45" s="5">
        <f t="shared" si="261"/>
        <v>0</v>
      </c>
      <c r="DR45" s="5">
        <f t="shared" si="262"/>
        <v>0</v>
      </c>
      <c r="DS45" s="5">
        <f t="shared" si="263"/>
        <v>0</v>
      </c>
      <c r="DT45" s="5">
        <f t="shared" si="264"/>
        <v>0</v>
      </c>
      <c r="DU45" s="5">
        <f t="shared" si="265"/>
        <v>0</v>
      </c>
      <c r="DV45" s="5">
        <f t="shared" si="266"/>
        <v>0</v>
      </c>
      <c r="DW45" s="5">
        <f t="shared" si="267"/>
        <v>0</v>
      </c>
      <c r="DX45" s="5">
        <f t="shared" si="268"/>
        <v>0</v>
      </c>
      <c r="DY45" s="5">
        <f t="shared" si="269"/>
        <v>0</v>
      </c>
      <c r="DZ45" s="5">
        <f t="shared" si="270"/>
        <v>0</v>
      </c>
      <c r="EA45" s="5">
        <f t="shared" si="271"/>
        <v>0</v>
      </c>
      <c r="EB45" s="5">
        <f t="shared" si="272"/>
        <v>0</v>
      </c>
      <c r="EC45" s="5">
        <f t="shared" si="273"/>
        <v>0</v>
      </c>
      <c r="ED45" s="5">
        <f t="shared" si="274"/>
        <v>0</v>
      </c>
      <c r="EE45" s="5">
        <f t="shared" si="275"/>
        <v>0</v>
      </c>
      <c r="EF45" s="5">
        <f t="shared" si="276"/>
        <v>0</v>
      </c>
      <c r="EG45" s="5">
        <f t="shared" si="277"/>
        <v>0</v>
      </c>
      <c r="EH45" s="5">
        <f t="shared" si="278"/>
        <v>0</v>
      </c>
      <c r="EI45" s="5">
        <f t="shared" si="279"/>
        <v>0</v>
      </c>
      <c r="EJ45" s="5">
        <f t="shared" si="280"/>
        <v>0</v>
      </c>
      <c r="EK45" s="5">
        <f t="shared" si="281"/>
        <v>0</v>
      </c>
      <c r="EL45" s="5">
        <f t="shared" si="282"/>
        <v>0</v>
      </c>
      <c r="EM45" s="5">
        <f t="shared" si="283"/>
        <v>0</v>
      </c>
      <c r="EN45" s="5">
        <f t="shared" si="284"/>
        <v>0</v>
      </c>
      <c r="EO45" s="5">
        <f t="shared" si="285"/>
        <v>0</v>
      </c>
      <c r="EP45" s="5">
        <f t="shared" si="286"/>
        <v>0</v>
      </c>
      <c r="EQ45" s="5">
        <f t="shared" si="287"/>
        <v>0</v>
      </c>
      <c r="ER45" s="5">
        <f t="shared" si="288"/>
        <v>0</v>
      </c>
      <c r="ES45" s="5">
        <f t="shared" si="289"/>
        <v>0</v>
      </c>
      <c r="ET45" s="5">
        <f t="shared" si="290"/>
        <v>0</v>
      </c>
      <c r="EU45" s="5">
        <f t="shared" si="291"/>
        <v>0</v>
      </c>
      <c r="EV45" s="5">
        <f t="shared" si="292"/>
        <v>0</v>
      </c>
      <c r="EW45" s="5">
        <f t="shared" si="293"/>
        <v>0</v>
      </c>
      <c r="EX45" s="5">
        <f t="shared" si="294"/>
        <v>0</v>
      </c>
      <c r="EY45" s="5">
        <f t="shared" si="295"/>
        <v>0</v>
      </c>
      <c r="EZ45" s="5">
        <f t="shared" si="296"/>
        <v>0</v>
      </c>
      <c r="FA45" s="5">
        <f t="shared" si="297"/>
        <v>0</v>
      </c>
      <c r="FB45" s="5">
        <f t="shared" si="298"/>
        <v>0</v>
      </c>
      <c r="FC45" s="5">
        <f t="shared" si="299"/>
        <v>0</v>
      </c>
      <c r="FD45" s="5">
        <f t="shared" si="300"/>
        <v>0</v>
      </c>
      <c r="FE45" s="5">
        <f t="shared" si="301"/>
        <v>0</v>
      </c>
      <c r="FF45" s="5">
        <f t="shared" si="302"/>
        <v>0</v>
      </c>
      <c r="FG45" s="5">
        <f t="shared" si="303"/>
        <v>0</v>
      </c>
      <c r="FH45" s="5">
        <f t="shared" si="304"/>
        <v>0</v>
      </c>
      <c r="FI45" s="5">
        <f t="shared" si="305"/>
        <v>0</v>
      </c>
      <c r="FJ45" s="5">
        <f t="shared" si="306"/>
        <v>0</v>
      </c>
      <c r="FK45" s="5">
        <f t="shared" si="307"/>
        <v>0</v>
      </c>
      <c r="FL45" s="5">
        <f t="shared" si="308"/>
        <v>0</v>
      </c>
      <c r="FM45" s="5">
        <f t="shared" si="309"/>
        <v>0</v>
      </c>
      <c r="FN45" s="5">
        <f t="shared" si="310"/>
        <v>0</v>
      </c>
      <c r="FO45" s="5">
        <f t="shared" si="311"/>
        <v>0</v>
      </c>
      <c r="FP45" s="5">
        <f t="shared" si="312"/>
        <v>0</v>
      </c>
    </row>
    <row r="46" spans="1:172" ht="20.100000000000001" customHeight="1" x14ac:dyDescent="0.3">
      <c r="A46" s="172">
        <f>N_L6</f>
        <v>0</v>
      </c>
      <c r="B46" s="363" t="s">
        <v>37</v>
      </c>
      <c r="C46" s="363" t="s">
        <v>37</v>
      </c>
      <c r="D46" s="363" t="s">
        <v>37</v>
      </c>
      <c r="E46" s="363" t="s">
        <v>37</v>
      </c>
      <c r="F46" s="363" t="s">
        <v>37</v>
      </c>
      <c r="G46" s="363" t="s">
        <v>37</v>
      </c>
      <c r="H46" s="363" t="s">
        <v>37</v>
      </c>
      <c r="I46" s="363" t="s">
        <v>37</v>
      </c>
      <c r="J46" s="363" t="s">
        <v>37</v>
      </c>
      <c r="K46" s="363" t="s">
        <v>37</v>
      </c>
      <c r="L46" s="363" t="s">
        <v>37</v>
      </c>
      <c r="M46" s="363" t="s">
        <v>37</v>
      </c>
    </row>
    <row r="47" spans="1:172" ht="20.100000000000001" customHeight="1" x14ac:dyDescent="0.3">
      <c r="A47" s="175" t="s">
        <v>238</v>
      </c>
      <c r="B47" s="174">
        <f>SUM(DI49:DM53)/100</f>
        <v>0</v>
      </c>
      <c r="C47" s="174">
        <f>SUM(DN49:DR53)/100</f>
        <v>0</v>
      </c>
      <c r="D47" s="174">
        <f>SUM(DS49:DW53)/100</f>
        <v>0</v>
      </c>
      <c r="E47" s="174">
        <f>SUM(DX49:EB53)/100</f>
        <v>0</v>
      </c>
      <c r="F47" s="174">
        <f>SUM(EC49:EG53)/100</f>
        <v>0</v>
      </c>
      <c r="G47" s="174">
        <f>SUM(EH49:EL53)/100</f>
        <v>0</v>
      </c>
      <c r="H47" s="174">
        <f>SUM(EM49:EQ53)/100</f>
        <v>0</v>
      </c>
      <c r="I47" s="174">
        <f>SUM(ER49:EV53)/100</f>
        <v>0</v>
      </c>
      <c r="J47" s="174">
        <f>SUM(EW49:FA53)/100</f>
        <v>0</v>
      </c>
      <c r="K47" s="174">
        <f>SUM(FB49:FF53)/100</f>
        <v>0</v>
      </c>
      <c r="L47" s="174">
        <f>SUM(FG49:FK53)/100</f>
        <v>0</v>
      </c>
      <c r="M47" s="174">
        <f>SUM(FL49:FP53)/100</f>
        <v>0</v>
      </c>
    </row>
    <row r="48" spans="1:172" ht="20.100000000000001" customHeight="1" x14ac:dyDescent="0.3">
      <c r="A48" s="151" t="s">
        <v>239</v>
      </c>
      <c r="B48" s="152" t="e">
        <f t="shared" ref="B48:M48" si="314">B47/Lote_6</f>
        <v>#DIV/0!</v>
      </c>
      <c r="C48" s="152" t="e">
        <f t="shared" si="314"/>
        <v>#DIV/0!</v>
      </c>
      <c r="D48" s="152" t="e">
        <f t="shared" si="314"/>
        <v>#DIV/0!</v>
      </c>
      <c r="E48" s="152" t="e">
        <f t="shared" si="314"/>
        <v>#DIV/0!</v>
      </c>
      <c r="F48" s="152" t="e">
        <f t="shared" si="314"/>
        <v>#DIV/0!</v>
      </c>
      <c r="G48" s="152" t="e">
        <f t="shared" si="314"/>
        <v>#DIV/0!</v>
      </c>
      <c r="H48" s="152" t="e">
        <f t="shared" si="314"/>
        <v>#DIV/0!</v>
      </c>
      <c r="I48" s="152" t="e">
        <f t="shared" si="314"/>
        <v>#DIV/0!</v>
      </c>
      <c r="J48" s="152" t="e">
        <f t="shared" si="314"/>
        <v>#DIV/0!</v>
      </c>
      <c r="K48" s="152" t="e">
        <f t="shared" si="314"/>
        <v>#DIV/0!</v>
      </c>
      <c r="L48" s="152" t="e">
        <f t="shared" si="314"/>
        <v>#DIV/0!</v>
      </c>
      <c r="M48" s="152" t="e">
        <f t="shared" si="314"/>
        <v>#DIV/0!</v>
      </c>
    </row>
    <row r="49" spans="1:172" ht="20.100000000000001" customHeight="1" x14ac:dyDescent="0.3">
      <c r="A49" s="8" t="s">
        <v>302</v>
      </c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O49" s="58">
        <f>IFERROR('6'!O$27/Ciclo,0)</f>
        <v>0</v>
      </c>
      <c r="P49" s="58">
        <f>IFERROR('6'!P$27/Ciclo,0)</f>
        <v>0</v>
      </c>
      <c r="Q49" s="58">
        <f>IFERROR('6'!Q$27/Ciclo,0)</f>
        <v>0</v>
      </c>
      <c r="R49" s="58">
        <f>IFERROR('6'!R$27/Ciclo,0)</f>
        <v>0</v>
      </c>
      <c r="S49" s="58">
        <f>IFERROR('6'!S$27/Ciclo,0)</f>
        <v>0</v>
      </c>
      <c r="T49" s="58">
        <f>IFERROR('6'!T$27/Ciclo,0)</f>
        <v>0</v>
      </c>
      <c r="U49" s="58">
        <f>IFERROR('6'!U$27/Ciclo,0)</f>
        <v>0</v>
      </c>
      <c r="V49" s="58">
        <f>IFERROR('6'!V$27/Ciclo,0)</f>
        <v>0</v>
      </c>
      <c r="W49" s="5">
        <f>IFERROR('6'!W$27/Ciclo,0)</f>
        <v>0</v>
      </c>
      <c r="X49" s="5">
        <f>IFERROR('6'!X$27/Ciclo,0)</f>
        <v>0</v>
      </c>
      <c r="Y49" s="5">
        <f>IFERROR('6'!Y$27/Ciclo,0)</f>
        <v>0</v>
      </c>
      <c r="Z49" s="5">
        <f>IFERROR('6'!Z$27/Ciclo,0)</f>
        <v>0</v>
      </c>
      <c r="AB49" s="5">
        <f>IF($B$46="Producción",IF($B49&gt;=LI_A,$O49,0),0)</f>
        <v>0</v>
      </c>
      <c r="AC49" s="5">
        <f>IF($B$46="Producción",IF($B49&gt;=LI_B,IF($B49&lt;LS_B,$O49,0),0),0)</f>
        <v>0</v>
      </c>
      <c r="AD49" s="5">
        <f>IF($B$46="Producción",IF($B49&gt;=LI_C,IF($B49&lt;LS_C,$O49,0),0),0)</f>
        <v>0</v>
      </c>
      <c r="AE49" s="5">
        <f>IF($B$46="Producción",IF($B49&lt;LS_D,$O49,0),0)</f>
        <v>0</v>
      </c>
      <c r="AF49" s="5">
        <f>IF($B$46="Crecimiento",$O49,0)</f>
        <v>0</v>
      </c>
      <c r="AG49" s="5">
        <f>IF($B46="Siembra",'6'!$O$7,0)</f>
        <v>0</v>
      </c>
      <c r="AH49" s="5">
        <f>IF($B46="Abandono",'6'!$O$7,0)</f>
        <v>0</v>
      </c>
      <c r="AI49" s="5">
        <f>IF($C$46="Producción",IF($C49&gt;=LI_A,$P49,0),0)</f>
        <v>0</v>
      </c>
      <c r="AJ49" s="5">
        <f>IF($C$46="Producción",IF($C49&gt;=LI_B,IF($C49&lt;LS_B,$P49,0),0),0)</f>
        <v>0</v>
      </c>
      <c r="AK49" s="5">
        <f>IF($C$46="Producción",IF($C49&gt;=LI_C,IF($C49&lt;LS_C,$P49,0),0),0)</f>
        <v>0</v>
      </c>
      <c r="AL49" s="5">
        <f>IF($C$46="Producción",IF($C49&lt;LS_D,$P49,0),0)</f>
        <v>0</v>
      </c>
      <c r="AM49" s="5">
        <f>IF($C$46="Crecimiento",$P49,0)</f>
        <v>0</v>
      </c>
      <c r="AN49" s="5">
        <f>IF($C46="Siembra",'6'!$P$7,0)</f>
        <v>0</v>
      </c>
      <c r="AO49" s="5">
        <f>IF($C46="Abandono",'6'!$P$7,0)</f>
        <v>0</v>
      </c>
      <c r="AP49" s="5">
        <f>IF($D$46="Producción",IF($D49&gt;=LI_A,$Q49,0),0)</f>
        <v>0</v>
      </c>
      <c r="AQ49" s="5">
        <f>IF($D$46="Producción",IF($D49&gt;=LI_B,IF($D49&lt;LS_B,$Q49,0),0),0)</f>
        <v>0</v>
      </c>
      <c r="AR49" s="5">
        <f>IF($D$46="Producción",IF($D49&gt;=LI_C,IF($D49&lt;LS_C,$Q49,0),0),0)</f>
        <v>0</v>
      </c>
      <c r="AS49" s="5">
        <f>IF($D$46="Producción",IF($D49&lt;LS_D,$Q49,0),0)</f>
        <v>0</v>
      </c>
      <c r="AT49" s="5">
        <f>IF($D$46="Crecimiento",IF($D49&gt;0,$Q49,0),0)</f>
        <v>0</v>
      </c>
      <c r="AU49" s="5">
        <f>IF($D46="Siembra",'6'!$Q$7,0)</f>
        <v>0</v>
      </c>
      <c r="AV49" s="5">
        <f>IF($D46="Abandono",'6'!$Q$7,0)</f>
        <v>0</v>
      </c>
      <c r="AW49" s="5">
        <f>IF($E$46="Producción",IF($E49&gt;=LI_A,$R49,0),0)</f>
        <v>0</v>
      </c>
      <c r="AX49" s="5">
        <f>IF($E$46="Producción",IF($E49&gt;=LI_B,IF($E49&lt;LS_B,$R49,0),0),0)</f>
        <v>0</v>
      </c>
      <c r="AY49" s="5">
        <f>IF($E$46="Producción",IF($E49&gt;=LI_C,IF($E49&lt;LS_C,$R49,0),0),0)</f>
        <v>0</v>
      </c>
      <c r="AZ49" s="5">
        <f>IF($E$46="Producción",IF($E49&lt;LS_D,$R49,0),0)</f>
        <v>0</v>
      </c>
      <c r="BA49" s="5">
        <f>IF($E$46="Crecimiento",$R49,0)</f>
        <v>0</v>
      </c>
      <c r="BB49" s="5">
        <f>IF($E46="Siembra",'6'!$R$7,0)</f>
        <v>0</v>
      </c>
      <c r="BC49" s="5">
        <f>IF($E46="Abandono",'6'!$R$7,0)</f>
        <v>0</v>
      </c>
      <c r="BD49" s="5">
        <f>IF($F$46="Producción",IF($F49&gt;=LI_A,$S49,0),0)</f>
        <v>0</v>
      </c>
      <c r="BE49" s="5">
        <f>IF($F$46="Producción",IF($F49&gt;=LI_B,IF($F49&lt;LS_B,$S49,0),0),0)</f>
        <v>0</v>
      </c>
      <c r="BF49" s="5">
        <f>IF($F$46="Producción",IF($F49&gt;=LI_C,IF($F49&lt;LS_C,$S49,0),0),0)</f>
        <v>0</v>
      </c>
      <c r="BG49" s="5">
        <f>IF($F$46="Producción",IF($F49&lt;LS_D,$S49,0),0)</f>
        <v>0</v>
      </c>
      <c r="BH49" s="5">
        <f>IF($F$46="Crecimiento",$S49,0)</f>
        <v>0</v>
      </c>
      <c r="BI49" s="5">
        <f>IF($F46="Siembra",'6'!$S$7,0)</f>
        <v>0</v>
      </c>
      <c r="BJ49" s="5">
        <f>IF($F46="Abandono",'6'!$S$7,0)</f>
        <v>0</v>
      </c>
      <c r="BK49" s="5">
        <f>IF($G$46="Producción",IF($G49&gt;=LI_A,$T49,0),0)</f>
        <v>0</v>
      </c>
      <c r="BL49" s="5">
        <f>IF($G$46="Producción",IF($G49&gt;=LI_B,IF($G49&lt;LS_B,$T49,0),0),0)</f>
        <v>0</v>
      </c>
      <c r="BM49" s="5">
        <f>IF($G$46="Producción",IF($G49&gt;=LI_C,IF($G49&lt;LS_C,$T49,0),0),0)</f>
        <v>0</v>
      </c>
      <c r="BN49" s="5">
        <f>IF($G$46="Producción",IF($G49&lt;LS_D,$T49,0),0)</f>
        <v>0</v>
      </c>
      <c r="BO49" s="5">
        <f>IF($G$46="Crecimiento",$T49,0)</f>
        <v>0</v>
      </c>
      <c r="BP49" s="5">
        <f>IF($G46="Siembra",'6'!$T$7,0)</f>
        <v>0</v>
      </c>
      <c r="BQ49" s="5">
        <f>IF($G46="Abandono",'6'!$T$7,0)</f>
        <v>0</v>
      </c>
      <c r="BR49" s="5">
        <f>IF($H$46="Producción",IF($H49&gt;=LI_A,$U49,0),0)</f>
        <v>0</v>
      </c>
      <c r="BS49" s="5">
        <f>IF($H$46="Producción",IF($H49&gt;=LI_B,IF($H49&lt;LS_B,$U49,0),0),0)</f>
        <v>0</v>
      </c>
      <c r="BT49" s="5">
        <f>IF($H$46="Producción",IF($H49&gt;=LI_C,IF($H49&lt;LS_C,$U49,0),0),0)</f>
        <v>0</v>
      </c>
      <c r="BU49" s="5">
        <f>IF($H$46="Producción",IF($H49&lt;LS_D,$U49,0),0)</f>
        <v>0</v>
      </c>
      <c r="BV49" s="5">
        <f>IF($H$46="Crecimiento",$T49,0)</f>
        <v>0</v>
      </c>
      <c r="BW49" s="5">
        <f>IF($H46="Siembra",'6'!$U$7,0)</f>
        <v>0</v>
      </c>
      <c r="BX49" s="5">
        <f>IF($H46="Abandono",'6'!$U$7,0)</f>
        <v>0</v>
      </c>
      <c r="BY49" s="5">
        <f>IF($I$46="Producción",IF($I49&gt;=LI_A,$V49,0),0)</f>
        <v>0</v>
      </c>
      <c r="BZ49" s="5">
        <f>IF($I$46="Producción",IF($I49&gt;=LI_B,IF($I49&lt;LS_B,$V49,0),0),0)</f>
        <v>0</v>
      </c>
      <c r="CA49" s="5">
        <f>IF($I$46="Producción",IF($I49&gt;=LI_C,IF($I49&lt;LS_C,$V49,0),0),0)</f>
        <v>0</v>
      </c>
      <c r="CB49" s="5">
        <f>IF($I$46="Producción",IF($I49&lt;LS_D,$V49,0),0)</f>
        <v>0</v>
      </c>
      <c r="CC49" s="5">
        <f>IF($I$46="Crecimiento",$V49,0)</f>
        <v>0</v>
      </c>
      <c r="CD49" s="5">
        <f>IF($I46="Siembra",'6'!$V$7,0)</f>
        <v>0</v>
      </c>
      <c r="CE49" s="5">
        <f>IF($I46="Abandono",'6'!$V$7,0)</f>
        <v>0</v>
      </c>
      <c r="CF49" s="5">
        <f>IF($J$46="Producción",IF($J49&gt;=LI_A,$W49,0),0)</f>
        <v>0</v>
      </c>
      <c r="CG49" s="5">
        <f>IF($J$46="Producción",IF($J49&gt;=LI_B,IF($J49&lt;LS_B,$W49,0),0),0)</f>
        <v>0</v>
      </c>
      <c r="CH49" s="5">
        <f>IF($J$46="Producción",IF($J49&gt;=LI_C,IF($J49&lt;LS_C,$W49,0),0),0)</f>
        <v>0</v>
      </c>
      <c r="CI49" s="5">
        <f>IF($J$46="Producción",IF($J49&lt;LS_D,$W49,0),0)</f>
        <v>0</v>
      </c>
      <c r="CJ49" s="5">
        <f>IF($J$46="Crecimiento",$W49,0)</f>
        <v>0</v>
      </c>
      <c r="CK49" s="5">
        <f>IF($J46="Siembra",'6'!$W$7,0)</f>
        <v>0</v>
      </c>
      <c r="CL49" s="5">
        <f>IF($J46="Abandono",'6'!$W$7,0)</f>
        <v>0</v>
      </c>
      <c r="CM49" s="5">
        <f>IF($K$46="Producción",IF($K49&gt;=LI_A,$X49,0),0)</f>
        <v>0</v>
      </c>
      <c r="CN49" s="5">
        <f>IF($K$46="Producción",IF($K49&gt;=LI_B,IF($K49&lt;LS_B,$X49,0),0),0)</f>
        <v>0</v>
      </c>
      <c r="CO49" s="5">
        <f>IF($K$46="Producción",IF($K49&gt;=LI_C,IF($K49&lt;LS_C,$X49,0),0),0)</f>
        <v>0</v>
      </c>
      <c r="CP49" s="5">
        <f>IF($K$46="Producción",IF($K49&lt;LS_D,$X49,0),0)</f>
        <v>0</v>
      </c>
      <c r="CQ49" s="5">
        <f>IF($K$46="Crecimiento",$X49,0)</f>
        <v>0</v>
      </c>
      <c r="CR49" s="5">
        <f>IF($K46="Siembra",'6'!$X$7,0)</f>
        <v>0</v>
      </c>
      <c r="CS49" s="5">
        <f>IF($K46="Abandono",'6'!$X$7,0)</f>
        <v>0</v>
      </c>
      <c r="CT49" s="5">
        <f>IF($L$46="Producción",IF($L49&gt;=LI_A,$Y49,0),0)</f>
        <v>0</v>
      </c>
      <c r="CU49" s="5">
        <f>IF($L$46="Producción",IF($L49&gt;=LI_B,IF($L49&lt;LS_B,$Y49,0),0),0)</f>
        <v>0</v>
      </c>
      <c r="CV49" s="5">
        <f>IF($L$46="Producción",IF($L49&gt;=LI_C,IF($L49&lt;LS_C,$Y49,0),0),0)</f>
        <v>0</v>
      </c>
      <c r="CW49" s="5">
        <f>IF($L$46="Producción",IF($L49&lt;LS_D,$Y49,0),0)</f>
        <v>0</v>
      </c>
      <c r="CX49" s="5">
        <f>IF($L$46="Crecimiento",$Y49,0)</f>
        <v>0</v>
      </c>
      <c r="CY49" s="5">
        <f>IF($L46="Siembra",'6'!$Y$7,0)</f>
        <v>0</v>
      </c>
      <c r="CZ49" s="5">
        <f>IF($L46="Abandono",'6'!$Y$7,0)</f>
        <v>0</v>
      </c>
      <c r="DA49" s="5">
        <f>IF($M$46="Producción",IF($M49&gt;=LI_A,$Z49,0),0)</f>
        <v>0</v>
      </c>
      <c r="DB49" s="5">
        <f>IF($M$46="Producción",IF($M49&gt;=LI_B,IF($M49&lt;LS_B,$Z49,0),0),0)</f>
        <v>0</v>
      </c>
      <c r="DC49" s="5">
        <f>IF($M$46="Producción",IF($M49&gt;=LI_C,IF($M49&lt;LS_C,$Z49,0),0),0)</f>
        <v>0</v>
      </c>
      <c r="DD49" s="5">
        <f>IF($M$46="Producción",IF($M49&lt;LS_D,$Z49,0),0)</f>
        <v>0</v>
      </c>
      <c r="DE49" s="5">
        <f>IF($M$46="Crecimiento",$Z49,0)</f>
        <v>0</v>
      </c>
      <c r="DF49" s="5">
        <f>IF($M46="Siembra",'6'!$Z$7,0)</f>
        <v>0</v>
      </c>
      <c r="DG49" s="5">
        <f>IF($M46="Abandono",'6'!$Z$7,0)</f>
        <v>0</v>
      </c>
      <c r="DI49" s="5">
        <f t="shared" ref="DI49:DI53" si="315">AB49*$B49</f>
        <v>0</v>
      </c>
      <c r="DJ49" s="5">
        <f t="shared" ref="DJ49:DJ53" si="316">AC49*$B49</f>
        <v>0</v>
      </c>
      <c r="DK49" s="5">
        <f t="shared" ref="DK49:DK53" si="317">AD49*$B49</f>
        <v>0</v>
      </c>
      <c r="DL49" s="5">
        <f t="shared" ref="DL49:DL53" si="318">AE49*$B49</f>
        <v>0</v>
      </c>
      <c r="DM49" s="5">
        <f t="shared" ref="DM49:DM53" si="319">AF49*$B49</f>
        <v>0</v>
      </c>
      <c r="DN49" s="5">
        <f t="shared" ref="DN49:DN53" si="320">AI49*$C49</f>
        <v>0</v>
      </c>
      <c r="DO49" s="5">
        <f t="shared" ref="DO49:DO53" si="321">AJ49*$C49</f>
        <v>0</v>
      </c>
      <c r="DP49" s="5">
        <f t="shared" ref="DP49:DP53" si="322">AK49*$C49</f>
        <v>0</v>
      </c>
      <c r="DQ49" s="5">
        <f t="shared" ref="DQ49:DQ53" si="323">AL49*$C49</f>
        <v>0</v>
      </c>
      <c r="DR49" s="5">
        <f t="shared" ref="DR49:DR53" si="324">AM49*$C49</f>
        <v>0</v>
      </c>
      <c r="DS49" s="5">
        <f t="shared" ref="DS49:DS53" si="325">AP49*$D49</f>
        <v>0</v>
      </c>
      <c r="DT49" s="5">
        <f t="shared" ref="DT49:DT53" si="326">AQ49*$D49</f>
        <v>0</v>
      </c>
      <c r="DU49" s="5">
        <f t="shared" ref="DU49:DU53" si="327">AR49*$D49</f>
        <v>0</v>
      </c>
      <c r="DV49" s="5">
        <f t="shared" ref="DV49:DV53" si="328">AS49*$D49</f>
        <v>0</v>
      </c>
      <c r="DW49" s="5">
        <f t="shared" ref="DW49:DW53" si="329">AT49*$D49</f>
        <v>0</v>
      </c>
      <c r="DX49" s="5">
        <f t="shared" ref="DX49:DX53" si="330">AW49*$E49</f>
        <v>0</v>
      </c>
      <c r="DY49" s="5">
        <f t="shared" ref="DY49:DY53" si="331">AX49*$E49</f>
        <v>0</v>
      </c>
      <c r="DZ49" s="5">
        <f t="shared" ref="DZ49:DZ53" si="332">AY49*$E49</f>
        <v>0</v>
      </c>
      <c r="EA49" s="5">
        <f t="shared" ref="EA49:EA53" si="333">AZ49*$E49</f>
        <v>0</v>
      </c>
      <c r="EB49" s="5">
        <f t="shared" ref="EB49:EB53" si="334">BA49*$E49</f>
        <v>0</v>
      </c>
      <c r="EC49" s="5">
        <f t="shared" ref="EC49:EC53" si="335">BD49*$F49</f>
        <v>0</v>
      </c>
      <c r="ED49" s="5">
        <f t="shared" ref="ED49:ED53" si="336">BE49*$F49</f>
        <v>0</v>
      </c>
      <c r="EE49" s="5">
        <f t="shared" ref="EE49:EE53" si="337">BF49*$F49</f>
        <v>0</v>
      </c>
      <c r="EF49" s="5">
        <f t="shared" ref="EF49:EF53" si="338">BG49*$F49</f>
        <v>0</v>
      </c>
      <c r="EG49" s="5">
        <f t="shared" ref="EG49:EG53" si="339">BH49*$F49</f>
        <v>0</v>
      </c>
      <c r="EH49" s="5">
        <f t="shared" ref="EH49:EH53" si="340">BK49*$G49</f>
        <v>0</v>
      </c>
      <c r="EI49" s="5">
        <f t="shared" ref="EI49:EI53" si="341">BL49*$G49</f>
        <v>0</v>
      </c>
      <c r="EJ49" s="5">
        <f t="shared" ref="EJ49:EJ53" si="342">BM49*$G49</f>
        <v>0</v>
      </c>
      <c r="EK49" s="5">
        <f t="shared" ref="EK49:EK53" si="343">BN49*$G49</f>
        <v>0</v>
      </c>
      <c r="EL49" s="5">
        <f t="shared" ref="EL49:EL53" si="344">BO49*$G49</f>
        <v>0</v>
      </c>
      <c r="EM49" s="5">
        <f t="shared" ref="EM49:EM53" si="345">BR49*$H49</f>
        <v>0</v>
      </c>
      <c r="EN49" s="5">
        <f t="shared" ref="EN49:EN53" si="346">BS49*$H49</f>
        <v>0</v>
      </c>
      <c r="EO49" s="5">
        <f t="shared" ref="EO49:EO53" si="347">BT49*$H49</f>
        <v>0</v>
      </c>
      <c r="EP49" s="5">
        <f t="shared" ref="EP49:EP53" si="348">BU49*$H49</f>
        <v>0</v>
      </c>
      <c r="EQ49" s="5">
        <f t="shared" ref="EQ49:EQ53" si="349">BV49*$H49</f>
        <v>0</v>
      </c>
      <c r="ER49" s="5">
        <f t="shared" ref="ER49:ER53" si="350">BY49*$I49</f>
        <v>0</v>
      </c>
      <c r="ES49" s="5">
        <f t="shared" ref="ES49:ES53" si="351">BZ49*$I49</f>
        <v>0</v>
      </c>
      <c r="ET49" s="5">
        <f t="shared" ref="ET49:ET53" si="352">CA49*$I49</f>
        <v>0</v>
      </c>
      <c r="EU49" s="5">
        <f t="shared" ref="EU49:EU53" si="353">CB49*$I49</f>
        <v>0</v>
      </c>
      <c r="EV49" s="5">
        <f t="shared" ref="EV49:EV53" si="354">CC49*$I49</f>
        <v>0</v>
      </c>
      <c r="EW49" s="5">
        <f t="shared" ref="EW49:EW53" si="355">CF49*$J49</f>
        <v>0</v>
      </c>
      <c r="EX49" s="5">
        <f t="shared" ref="EX49:EX53" si="356">CG49*$J49</f>
        <v>0</v>
      </c>
      <c r="EY49" s="5">
        <f t="shared" ref="EY49:EY53" si="357">CH49*$J49</f>
        <v>0</v>
      </c>
      <c r="EZ49" s="5">
        <f t="shared" ref="EZ49:EZ53" si="358">CI49*$J49</f>
        <v>0</v>
      </c>
      <c r="FA49" s="5">
        <f t="shared" ref="FA49:FA53" si="359">CJ49*$J49</f>
        <v>0</v>
      </c>
      <c r="FB49" s="5">
        <f t="shared" ref="FB49:FB53" si="360">CM49*$K49</f>
        <v>0</v>
      </c>
      <c r="FC49" s="5">
        <f t="shared" ref="FC49:FC53" si="361">CN49*$K49</f>
        <v>0</v>
      </c>
      <c r="FD49" s="5">
        <f t="shared" ref="FD49:FD53" si="362">CO49*$K49</f>
        <v>0</v>
      </c>
      <c r="FE49" s="5">
        <f t="shared" ref="FE49:FE53" si="363">CP49*$K49</f>
        <v>0</v>
      </c>
      <c r="FF49" s="5">
        <f t="shared" ref="FF49:FF53" si="364">CQ49*$K49</f>
        <v>0</v>
      </c>
      <c r="FG49" s="5">
        <f t="shared" ref="FG49:FG53" si="365">CT49*$L49</f>
        <v>0</v>
      </c>
      <c r="FH49" s="5">
        <f t="shared" ref="FH49:FH53" si="366">CU49*$L49</f>
        <v>0</v>
      </c>
      <c r="FI49" s="5">
        <f t="shared" ref="FI49:FI53" si="367">CV49*$L49</f>
        <v>0</v>
      </c>
      <c r="FJ49" s="5">
        <f t="shared" ref="FJ49:FJ53" si="368">CW49*$L49</f>
        <v>0</v>
      </c>
      <c r="FK49" s="5">
        <f t="shared" ref="FK49:FK53" si="369">CX49*$L49</f>
        <v>0</v>
      </c>
      <c r="FL49" s="5">
        <f t="shared" ref="FL49:FL53" si="370">DA49*$M49</f>
        <v>0</v>
      </c>
      <c r="FM49" s="5">
        <f t="shared" ref="FM49:FM53" si="371">DB49*$M49</f>
        <v>0</v>
      </c>
      <c r="FN49" s="5">
        <f t="shared" ref="FN49:FN53" si="372">DC49*$M49</f>
        <v>0</v>
      </c>
      <c r="FO49" s="5">
        <f t="shared" ref="FO49:FO53" si="373">DD49*$M49</f>
        <v>0</v>
      </c>
      <c r="FP49" s="5">
        <f t="shared" ref="FP49:FP53" si="374">DE49*$M49</f>
        <v>0</v>
      </c>
    </row>
    <row r="50" spans="1:172" ht="20.100000000000001" customHeight="1" x14ac:dyDescent="0.3">
      <c r="A50" s="8" t="s">
        <v>303</v>
      </c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O50" s="58">
        <f>IFERROR('6'!O$27/Ciclo,0)</f>
        <v>0</v>
      </c>
      <c r="P50" s="58">
        <f>IFERROR('6'!P$27/Ciclo,0)</f>
        <v>0</v>
      </c>
      <c r="Q50" s="58">
        <f>IFERROR('6'!Q$27/Ciclo,0)</f>
        <v>0</v>
      </c>
      <c r="R50" s="58">
        <f>IFERROR('6'!R$27/Ciclo,0)</f>
        <v>0</v>
      </c>
      <c r="S50" s="58">
        <f>IFERROR('6'!S$27/Ciclo,0)</f>
        <v>0</v>
      </c>
      <c r="T50" s="58">
        <f>IFERROR('6'!T$27/Ciclo,0)</f>
        <v>0</v>
      </c>
      <c r="U50" s="58">
        <f>IFERROR('6'!U$27/Ciclo,0)</f>
        <v>0</v>
      </c>
      <c r="V50" s="58">
        <f>IFERROR('6'!V$27/Ciclo,0)</f>
        <v>0</v>
      </c>
      <c r="W50" s="5">
        <f>IFERROR('6'!W$27/Ciclo,0)</f>
        <v>0</v>
      </c>
      <c r="X50" s="5">
        <f>IFERROR('6'!X$27/Ciclo,0)</f>
        <v>0</v>
      </c>
      <c r="Y50" s="5">
        <f>IFERROR('6'!Y$27/Ciclo,0)</f>
        <v>0</v>
      </c>
      <c r="Z50" s="5">
        <f>IFERROR('6'!Z$27/Ciclo,0)</f>
        <v>0</v>
      </c>
      <c r="AB50" s="5">
        <f>IF($B$46="Producción",IF($B50&gt;=LI_A,$O50,0),0)</f>
        <v>0</v>
      </c>
      <c r="AC50" s="5">
        <f>IF($B$46="Producción",IF($B50&gt;=LI_B,IF($B50&lt;LS_B,$O50,0),0),0)</f>
        <v>0</v>
      </c>
      <c r="AD50" s="5">
        <f>IF($B$46="Producción",IF($B50&gt;=LI_C,IF($B50&lt;LS_C,$O50,0),0),0)</f>
        <v>0</v>
      </c>
      <c r="AE50" s="5">
        <f>IF($B$46="Producción",IF($B50&lt;LS_D,$O50,0),0)</f>
        <v>0</v>
      </c>
      <c r="AF50" s="5">
        <f t="shared" ref="AF50:AF53" si="375">IF($B$46="Crecimiento",$O50,0)</f>
        <v>0</v>
      </c>
      <c r="AI50" s="5">
        <f>IF($C$46="Producción",IF($C50&gt;=LI_A,$P50,0),0)</f>
        <v>0</v>
      </c>
      <c r="AJ50" s="5">
        <f>IF($C$46="Producción",IF($C50&gt;=LI_B,IF($C50&lt;LS_B,$P50,0),0),0)</f>
        <v>0</v>
      </c>
      <c r="AK50" s="5">
        <f>IF($C$46="Producción",IF($C50&gt;=LI_C,IF($C50&lt;LS_C,$P50,0),0),0)</f>
        <v>0</v>
      </c>
      <c r="AL50" s="5">
        <f>IF($C$46="Producción",IF($C50&lt;LS_D,$P50,0),0)</f>
        <v>0</v>
      </c>
      <c r="AM50" s="5">
        <f>IF($C$46="Crecimiento",$P50,0)</f>
        <v>0</v>
      </c>
      <c r="AP50" s="5">
        <f>IF($D$46="Producción",IF($D50&gt;=LI_A,$Q50,0),0)</f>
        <v>0</v>
      </c>
      <c r="AQ50" s="5">
        <f>IF($D$46="Producción",IF($D50&gt;=LI_B,IF($D50&lt;LS_B,$Q50,0),0),0)</f>
        <v>0</v>
      </c>
      <c r="AR50" s="5">
        <f>IF($D$46="Producción",IF($D50&gt;=LI_C,IF($D50&lt;LS_C,$Q50,0),0),0)</f>
        <v>0</v>
      </c>
      <c r="AS50" s="5">
        <f>IF($D$46="Producción",IF($D50&lt;LS_D,$Q50,0),0)</f>
        <v>0</v>
      </c>
      <c r="AT50" s="5">
        <f>IF($D$46="Crecimiento",IF($D50&gt;0,$Q50,0),0)</f>
        <v>0</v>
      </c>
      <c r="AW50" s="5">
        <f>IF($E$46="Producción",IF($E50&gt;=LI_A,$R50,0),0)</f>
        <v>0</v>
      </c>
      <c r="AX50" s="5">
        <f>IF($E$46="Producción",IF($E50&gt;=LI_B,IF($E50&lt;LS_B,$R50,0),0),0)</f>
        <v>0</v>
      </c>
      <c r="AY50" s="5">
        <f>IF($E$46="Producción",IF($E50&gt;=LI_C,IF($E50&lt;LS_C,$R50,0),0),0)</f>
        <v>0</v>
      </c>
      <c r="AZ50" s="5">
        <f>IF($E$46="Producción",IF($E50&lt;LS_D,$R50,0),0)</f>
        <v>0</v>
      </c>
      <c r="BA50" s="5">
        <f>IF($E$46="Crecimiento",$R50,0)</f>
        <v>0</v>
      </c>
      <c r="BD50" s="5">
        <f>IF($F$46="Producción",IF($F50&gt;=LI_A,$S50,0),0)</f>
        <v>0</v>
      </c>
      <c r="BE50" s="5">
        <f>IF($F$46="Producción",IF($F50&gt;=LI_B,IF($F50&lt;LS_B,$S50,0),0),0)</f>
        <v>0</v>
      </c>
      <c r="BF50" s="5">
        <f>IF($F$46="Producción",IF($F50&gt;=LI_C,IF($F50&lt;LS_C,$S50,0),0),0)</f>
        <v>0</v>
      </c>
      <c r="BG50" s="5">
        <f>IF($F$46="Producción",IF($F50&lt;LS_D,$S50,0),0)</f>
        <v>0</v>
      </c>
      <c r="BH50" s="5">
        <f>IF($F$46="Crecimiento",$S50,0)</f>
        <v>0</v>
      </c>
      <c r="BK50" s="5">
        <f>IF($G$46="Producción",IF($G50&gt;=LI_A,$T50,0),0)</f>
        <v>0</v>
      </c>
      <c r="BL50" s="5">
        <f>IF($G$46="Producción",IF($G50&gt;=LI_B,IF($G50&lt;LS_B,$T50,0),0),0)</f>
        <v>0</v>
      </c>
      <c r="BM50" s="5">
        <f>IF($G$46="Producción",IF($G50&gt;=LI_C,IF($G50&lt;LS_C,$T50,0),0),0)</f>
        <v>0</v>
      </c>
      <c r="BN50" s="5">
        <f>IF($G$46="Producción",IF($G50&lt;LS_D,$T50,0),0)</f>
        <v>0</v>
      </c>
      <c r="BO50" s="5">
        <f>IF($G$46="Crecimiento",$T50,0)</f>
        <v>0</v>
      </c>
      <c r="BR50" s="5">
        <f>IF($H$46="Producción",IF($H50&gt;=LI_A,$U50,0),0)</f>
        <v>0</v>
      </c>
      <c r="BS50" s="5">
        <f>IF($H$46="Producción",IF($H50&gt;=LI_B,IF($H50&lt;LS_B,$U50,0),0),0)</f>
        <v>0</v>
      </c>
      <c r="BT50" s="5">
        <f>IF($H$46="Producción",IF($H50&gt;=LI_C,IF($H50&lt;LS_C,$U50,0),0),0)</f>
        <v>0</v>
      </c>
      <c r="BU50" s="5">
        <f>IF($H$46="Producción",IF($H50&lt;LS_D,$U50,0),0)</f>
        <v>0</v>
      </c>
      <c r="BV50" s="5">
        <f>IF($H$46="Crecimiento",$T50,0)</f>
        <v>0</v>
      </c>
      <c r="BY50" s="5">
        <f>IF($I$46="Producción",IF($I50&gt;=LI_A,$V50,0),0)</f>
        <v>0</v>
      </c>
      <c r="BZ50" s="5">
        <f>IF($I$46="Producción",IF($I50&gt;=LI_B,IF($I50&lt;LS_B,$V50,0),0),0)</f>
        <v>0</v>
      </c>
      <c r="CA50" s="5">
        <f>IF($I$46="Producción",IF($I50&gt;=LI_C,IF($I50&lt;LS_C,$V50,0),0),0)</f>
        <v>0</v>
      </c>
      <c r="CB50" s="5">
        <f>IF($I$46="Producción",IF($I50&lt;LS_D,$V50,0),0)</f>
        <v>0</v>
      </c>
      <c r="CC50" s="5">
        <f>IF($I$46="Crecimiento",$V50,0)</f>
        <v>0</v>
      </c>
      <c r="CF50" s="5">
        <f>IF($J$46="Producción",IF($J50&gt;=LI_A,$W50,0),0)</f>
        <v>0</v>
      </c>
      <c r="CG50" s="5">
        <f>IF($J$46="Producción",IF($J50&gt;=LI_B,IF($J50&lt;LS_B,$W50,0),0),0)</f>
        <v>0</v>
      </c>
      <c r="CH50" s="5">
        <f>IF($J$46="Producción",IF($J50&gt;=LI_C,IF($J50&lt;LS_C,$W50,0),0),0)</f>
        <v>0</v>
      </c>
      <c r="CI50" s="5">
        <f>IF($J$46="Producción",IF($J50&lt;LS_D,$W50,0),0)</f>
        <v>0</v>
      </c>
      <c r="CJ50" s="5">
        <f>IF($J$46="Crecimiento",$W50,0)</f>
        <v>0</v>
      </c>
      <c r="CM50" s="5">
        <f>IF($K$46="Producción",IF($K50&gt;=LI_A,$X50,0),0)</f>
        <v>0</v>
      </c>
      <c r="CN50" s="5">
        <f>IF($K$46="Producción",IF($K50&gt;=LI_B,IF($K50&lt;LS_B,$X50,0),0),0)</f>
        <v>0</v>
      </c>
      <c r="CO50" s="5">
        <f>IF($K$46="Producción",IF($K50&gt;=LI_C,IF($K50&lt;LS_C,$X50,0),0),0)</f>
        <v>0</v>
      </c>
      <c r="CP50" s="5">
        <f>IF($K$46="Producción",IF($K50&lt;LS_D,$X50,0),0)</f>
        <v>0</v>
      </c>
      <c r="CQ50" s="5">
        <f>IF($K$46="Crecimiento",$X50,0)</f>
        <v>0</v>
      </c>
      <c r="CT50" s="5">
        <f>IF($L$46="Producción",IF($L50&gt;=LI_A,$Y50,0),0)</f>
        <v>0</v>
      </c>
      <c r="CU50" s="5">
        <f>IF($L$46="Producción",IF($L50&gt;=LI_B,IF($L50&lt;LS_B,$Y50,0),0),0)</f>
        <v>0</v>
      </c>
      <c r="CV50" s="5">
        <f>IF($L$46="Producción",IF($L50&gt;=LI_C,IF($L50&lt;LS_C,$Y50,0),0),0)</f>
        <v>0</v>
      </c>
      <c r="CW50" s="5">
        <f>IF($L$46="Producción",IF($L50&lt;LS_D,$Y50,0),0)</f>
        <v>0</v>
      </c>
      <c r="CX50" s="5">
        <f>IF($L$46="Crecimiento",$Y50,0)</f>
        <v>0</v>
      </c>
      <c r="DA50" s="5">
        <f>IF($M$46="Producción",IF($M50&gt;=LI_A,$Z50,0),0)</f>
        <v>0</v>
      </c>
      <c r="DB50" s="5">
        <f>IF($M$46="Producción",IF($M50&gt;=LI_B,IF($M50&lt;LS_B,$Z50,0),0),0)</f>
        <v>0</v>
      </c>
      <c r="DC50" s="5">
        <f>IF($M$46="Producción",IF($M50&gt;=LI_C,IF($M50&lt;LS_C,$Z50,0),0),0)</f>
        <v>0</v>
      </c>
      <c r="DD50" s="5">
        <f>IF($M$46="Producción",IF($M50&lt;LS_D,$Z50,0),0)</f>
        <v>0</v>
      </c>
      <c r="DE50" s="5">
        <f>IF($M$46="Crecimiento",$Z50,0)</f>
        <v>0</v>
      </c>
      <c r="DI50" s="5">
        <f t="shared" si="315"/>
        <v>0</v>
      </c>
      <c r="DJ50" s="5">
        <f t="shared" si="316"/>
        <v>0</v>
      </c>
      <c r="DK50" s="5">
        <f t="shared" si="317"/>
        <v>0</v>
      </c>
      <c r="DL50" s="5">
        <f t="shared" si="318"/>
        <v>0</v>
      </c>
      <c r="DM50" s="5">
        <f t="shared" si="319"/>
        <v>0</v>
      </c>
      <c r="DN50" s="5">
        <f t="shared" si="320"/>
        <v>0</v>
      </c>
      <c r="DO50" s="5">
        <f t="shared" si="321"/>
        <v>0</v>
      </c>
      <c r="DP50" s="5">
        <f t="shared" si="322"/>
        <v>0</v>
      </c>
      <c r="DQ50" s="5">
        <f t="shared" si="323"/>
        <v>0</v>
      </c>
      <c r="DR50" s="5">
        <f t="shared" si="324"/>
        <v>0</v>
      </c>
      <c r="DS50" s="5">
        <f t="shared" si="325"/>
        <v>0</v>
      </c>
      <c r="DT50" s="5">
        <f t="shared" si="326"/>
        <v>0</v>
      </c>
      <c r="DU50" s="5">
        <f t="shared" si="327"/>
        <v>0</v>
      </c>
      <c r="DV50" s="5">
        <f t="shared" si="328"/>
        <v>0</v>
      </c>
      <c r="DW50" s="5">
        <f t="shared" si="329"/>
        <v>0</v>
      </c>
      <c r="DX50" s="5">
        <f t="shared" si="330"/>
        <v>0</v>
      </c>
      <c r="DY50" s="5">
        <f t="shared" si="331"/>
        <v>0</v>
      </c>
      <c r="DZ50" s="5">
        <f t="shared" si="332"/>
        <v>0</v>
      </c>
      <c r="EA50" s="5">
        <f t="shared" si="333"/>
        <v>0</v>
      </c>
      <c r="EB50" s="5">
        <f t="shared" si="334"/>
        <v>0</v>
      </c>
      <c r="EC50" s="5">
        <f t="shared" si="335"/>
        <v>0</v>
      </c>
      <c r="ED50" s="5">
        <f t="shared" si="336"/>
        <v>0</v>
      </c>
      <c r="EE50" s="5">
        <f t="shared" si="337"/>
        <v>0</v>
      </c>
      <c r="EF50" s="5">
        <f t="shared" si="338"/>
        <v>0</v>
      </c>
      <c r="EG50" s="5">
        <f t="shared" si="339"/>
        <v>0</v>
      </c>
      <c r="EH50" s="5">
        <f t="shared" si="340"/>
        <v>0</v>
      </c>
      <c r="EI50" s="5">
        <f t="shared" si="341"/>
        <v>0</v>
      </c>
      <c r="EJ50" s="5">
        <f t="shared" si="342"/>
        <v>0</v>
      </c>
      <c r="EK50" s="5">
        <f t="shared" si="343"/>
        <v>0</v>
      </c>
      <c r="EL50" s="5">
        <f t="shared" si="344"/>
        <v>0</v>
      </c>
      <c r="EM50" s="5">
        <f t="shared" si="345"/>
        <v>0</v>
      </c>
      <c r="EN50" s="5">
        <f t="shared" si="346"/>
        <v>0</v>
      </c>
      <c r="EO50" s="5">
        <f t="shared" si="347"/>
        <v>0</v>
      </c>
      <c r="EP50" s="5">
        <f t="shared" si="348"/>
        <v>0</v>
      </c>
      <c r="EQ50" s="5">
        <f t="shared" si="349"/>
        <v>0</v>
      </c>
      <c r="ER50" s="5">
        <f t="shared" si="350"/>
        <v>0</v>
      </c>
      <c r="ES50" s="5">
        <f t="shared" si="351"/>
        <v>0</v>
      </c>
      <c r="ET50" s="5">
        <f t="shared" si="352"/>
        <v>0</v>
      </c>
      <c r="EU50" s="5">
        <f t="shared" si="353"/>
        <v>0</v>
      </c>
      <c r="EV50" s="5">
        <f t="shared" si="354"/>
        <v>0</v>
      </c>
      <c r="EW50" s="5">
        <f t="shared" si="355"/>
        <v>0</v>
      </c>
      <c r="EX50" s="5">
        <f t="shared" si="356"/>
        <v>0</v>
      </c>
      <c r="EY50" s="5">
        <f t="shared" si="357"/>
        <v>0</v>
      </c>
      <c r="EZ50" s="5">
        <f t="shared" si="358"/>
        <v>0</v>
      </c>
      <c r="FA50" s="5">
        <f t="shared" si="359"/>
        <v>0</v>
      </c>
      <c r="FB50" s="5">
        <f t="shared" si="360"/>
        <v>0</v>
      </c>
      <c r="FC50" s="5">
        <f t="shared" si="361"/>
        <v>0</v>
      </c>
      <c r="FD50" s="5">
        <f t="shared" si="362"/>
        <v>0</v>
      </c>
      <c r="FE50" s="5">
        <f t="shared" si="363"/>
        <v>0</v>
      </c>
      <c r="FF50" s="5">
        <f t="shared" si="364"/>
        <v>0</v>
      </c>
      <c r="FG50" s="5">
        <f t="shared" si="365"/>
        <v>0</v>
      </c>
      <c r="FH50" s="5">
        <f t="shared" si="366"/>
        <v>0</v>
      </c>
      <c r="FI50" s="5">
        <f t="shared" si="367"/>
        <v>0</v>
      </c>
      <c r="FJ50" s="5">
        <f t="shared" si="368"/>
        <v>0</v>
      </c>
      <c r="FK50" s="5">
        <f t="shared" si="369"/>
        <v>0</v>
      </c>
      <c r="FL50" s="5">
        <f t="shared" si="370"/>
        <v>0</v>
      </c>
      <c r="FM50" s="5">
        <f t="shared" si="371"/>
        <v>0</v>
      </c>
      <c r="FN50" s="5">
        <f t="shared" si="372"/>
        <v>0</v>
      </c>
      <c r="FO50" s="5">
        <f t="shared" si="373"/>
        <v>0</v>
      </c>
      <c r="FP50" s="5">
        <f t="shared" si="374"/>
        <v>0</v>
      </c>
    </row>
    <row r="51" spans="1:172" ht="20.100000000000001" customHeight="1" x14ac:dyDescent="0.3">
      <c r="A51" s="8" t="str">
        <f>IF(Ciclo&gt;2,"Surco 3","NA")</f>
        <v>Surco 3</v>
      </c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O51" s="58">
        <f>IF($A51="NA",0,IFERROR('6'!O$27/Ciclo,0))</f>
        <v>0</v>
      </c>
      <c r="P51" s="58">
        <f>IF($A51="NA",0,IFERROR('6'!P$27/Ciclo,0))</f>
        <v>0</v>
      </c>
      <c r="Q51" s="58">
        <f>IF($A51="NA",0,IFERROR('6'!Q$27/Ciclo,0))</f>
        <v>0</v>
      </c>
      <c r="R51" s="58">
        <f>IF($A51="NA",0,IFERROR('6'!R$27/Ciclo,0))</f>
        <v>0</v>
      </c>
      <c r="S51" s="58">
        <f>IF($A51="NA",0,IFERROR('6'!S$27/Ciclo,0))</f>
        <v>0</v>
      </c>
      <c r="T51" s="58">
        <f>IF($A51="NA",0,IFERROR('6'!T$27/Ciclo,0))</f>
        <v>0</v>
      </c>
      <c r="U51" s="58">
        <f>IF($A51="NA",0,IFERROR('6'!U$27/Ciclo,0))</f>
        <v>0</v>
      </c>
      <c r="V51" s="58">
        <f>IF($A51="NA",0,IFERROR('6'!V$27/Ciclo,0))</f>
        <v>0</v>
      </c>
      <c r="W51" s="5">
        <f>IF($A51="NA",0,IFERROR('6'!W$27/Ciclo,0))</f>
        <v>0</v>
      </c>
      <c r="X51" s="5">
        <f>IF($A51="NA",0,IFERROR('6'!X$27/Ciclo,0))</f>
        <v>0</v>
      </c>
      <c r="Y51" s="5">
        <f>IF($A51="NA",0,IFERROR('6'!Y$27/Ciclo,0))</f>
        <v>0</v>
      </c>
      <c r="Z51" s="5">
        <f>IF($A51="NA",0,IFERROR('6'!Z$27/Ciclo,0))</f>
        <v>0</v>
      </c>
      <c r="AB51" s="5">
        <f>IF($B$46="Producción",IF($B51&gt;=LI_A,$O51,0),0)</f>
        <v>0</v>
      </c>
      <c r="AC51" s="5">
        <f>IF($B$46="Producción",IF($B51&gt;=LI_B,IF($B51&lt;LS_B,$O51,0),0),0)</f>
        <v>0</v>
      </c>
      <c r="AD51" s="5">
        <f>IF($B$46="Producción",IF($B51&gt;=LI_C,IF($B51&lt;LS_C,$O51,0),0),0)</f>
        <v>0</v>
      </c>
      <c r="AE51" s="5">
        <f>IF($B$46="Producción",IF($B51&lt;LS_D,$O51,0),0)</f>
        <v>0</v>
      </c>
      <c r="AF51" s="5">
        <f t="shared" si="375"/>
        <v>0</v>
      </c>
      <c r="AI51" s="5">
        <f>IF($C$46="Producción",IF($C51&gt;=LI_A,$P51,0),0)</f>
        <v>0</v>
      </c>
      <c r="AJ51" s="5">
        <f>IF($C$46="Producción",IF($C51&gt;=LI_B,IF($C51&lt;LS_B,$P51,0),0),0)</f>
        <v>0</v>
      </c>
      <c r="AK51" s="5">
        <f>IF($C$46="Producción",IF($C51&gt;=LI_C,IF($C51&lt;LS_C,$P51,0),0),0)</f>
        <v>0</v>
      </c>
      <c r="AL51" s="5">
        <f>IF($C$46="Producción",IF($C51&lt;LS_D,$P51,0),0)</f>
        <v>0</v>
      </c>
      <c r="AM51" s="5">
        <f>IF($C$46="Crecimiento",$P51,0)</f>
        <v>0</v>
      </c>
      <c r="AP51" s="5">
        <f>IF($D$46="Producción",IF($D51&gt;=LI_A,$Q51,0),0)</f>
        <v>0</v>
      </c>
      <c r="AQ51" s="5">
        <f>IF($D$46="Producción",IF($D51&gt;=LI_B,IF($D51&lt;LS_B,$Q51,0),0),0)</f>
        <v>0</v>
      </c>
      <c r="AR51" s="5">
        <f>IF($D$46="Producción",IF($D51&gt;=LI_C,IF($D51&lt;LS_C,$Q51,0),0),0)</f>
        <v>0</v>
      </c>
      <c r="AS51" s="5">
        <f>IF($D$46="Producción",IF($D51&lt;LS_D,$Q51,0),0)</f>
        <v>0</v>
      </c>
      <c r="AT51" s="5">
        <f>IF($D$46="Crecimiento",IF($D51&gt;0,$Q51,0),0)</f>
        <v>0</v>
      </c>
      <c r="AW51" s="5">
        <f>IF($E$46="Producción",IF($E51&gt;=LI_A,$R51,0),0)</f>
        <v>0</v>
      </c>
      <c r="AX51" s="5">
        <f>IF($E$46="Producción",IF($E51&gt;=LI_B,IF($E51&lt;LS_B,$R51,0),0),0)</f>
        <v>0</v>
      </c>
      <c r="AY51" s="5">
        <f>IF($E$46="Producción",IF($E51&gt;=LI_C,IF($E51&lt;LS_C,$R51,0),0),0)</f>
        <v>0</v>
      </c>
      <c r="AZ51" s="5">
        <f>IF($E$46="Producción",IF($E51&lt;LS_D,$R51,0),0)</f>
        <v>0</v>
      </c>
      <c r="BA51" s="5">
        <f>IF($E$46="Crecimiento",$R51,0)</f>
        <v>0</v>
      </c>
      <c r="BD51" s="5">
        <f>IF($F$46="Producción",IF($F51&gt;=LI_A,$S51,0),0)</f>
        <v>0</v>
      </c>
      <c r="BE51" s="5">
        <f>IF($F$46="Producción",IF($F51&gt;=LI_B,IF($F51&lt;LS_B,$S51,0),0),0)</f>
        <v>0</v>
      </c>
      <c r="BF51" s="5">
        <f>IF($F$46="Producción",IF($F51&gt;=LI_C,IF($F51&lt;LS_C,$S51,0),0),0)</f>
        <v>0</v>
      </c>
      <c r="BG51" s="5">
        <f>IF($F$46="Producción",IF($F51&lt;LS_D,$S51,0),0)</f>
        <v>0</v>
      </c>
      <c r="BH51" s="5">
        <f>IF($F$46="Crecimiento",$S51,0)</f>
        <v>0</v>
      </c>
      <c r="BK51" s="5">
        <f>IF($G$46="Producción",IF($G51&gt;=LI_A,$T51,0),0)</f>
        <v>0</v>
      </c>
      <c r="BL51" s="5">
        <f>IF($G$46="Producción",IF($G51&gt;=LI_B,IF($G51&lt;LS_B,$T51,0),0),0)</f>
        <v>0</v>
      </c>
      <c r="BM51" s="5">
        <f>IF($G$46="Producción",IF($G51&gt;=LI_C,IF($G51&lt;LS_C,$T51,0),0),0)</f>
        <v>0</v>
      </c>
      <c r="BN51" s="5">
        <f>IF($G$46="Producción",IF($G51&lt;LS_D,$T51,0),0)</f>
        <v>0</v>
      </c>
      <c r="BO51" s="5">
        <f>IF($G$46="Crecimiento",$T51,0)</f>
        <v>0</v>
      </c>
      <c r="BR51" s="5">
        <f>IF($H$46="Producción",IF($H51&gt;=LI_A,$U51,0),0)</f>
        <v>0</v>
      </c>
      <c r="BS51" s="5">
        <f>IF($H$46="Producción",IF($H51&gt;=LI_B,IF($H51&lt;LS_B,$U51,0),0),0)</f>
        <v>0</v>
      </c>
      <c r="BT51" s="5">
        <f>IF($H$46="Producción",IF($H51&gt;=LI_C,IF($H51&lt;LS_C,$U51,0),0),0)</f>
        <v>0</v>
      </c>
      <c r="BU51" s="5">
        <f>IF($H$46="Producción",IF($H51&lt;LS_D,$U51,0),0)</f>
        <v>0</v>
      </c>
      <c r="BV51" s="5">
        <f>IF($H$46="Crecimiento",$T51,0)</f>
        <v>0</v>
      </c>
      <c r="BY51" s="5">
        <f>IF($I$46="Producción",IF($I51&gt;=LI_A,$V51,0),0)</f>
        <v>0</v>
      </c>
      <c r="BZ51" s="5">
        <f>IF($I$46="Producción",IF($I51&gt;=LI_B,IF($I51&lt;LS_B,$V51,0),0),0)</f>
        <v>0</v>
      </c>
      <c r="CA51" s="5">
        <f>IF($I$46="Producción",IF($I51&gt;=LI_C,IF($I51&lt;LS_C,$V51,0),0),0)</f>
        <v>0</v>
      </c>
      <c r="CB51" s="5">
        <f>IF($I$46="Producción",IF($I51&lt;LS_D,$V51,0),0)</f>
        <v>0</v>
      </c>
      <c r="CC51" s="5">
        <f>IF($I$46="Crecimiento",$V51,0)</f>
        <v>0</v>
      </c>
      <c r="CF51" s="5">
        <f>IF($J$46="Producción",IF($J51&gt;=LI_A,$W51,0),0)</f>
        <v>0</v>
      </c>
      <c r="CG51" s="5">
        <f>IF($J$46="Producción",IF($J51&gt;=LI_B,IF($J51&lt;LS_B,$W51,0),0),0)</f>
        <v>0</v>
      </c>
      <c r="CH51" s="5">
        <f>IF($J$46="Producción",IF($J51&gt;=LI_C,IF($J51&lt;LS_C,$W51,0),0),0)</f>
        <v>0</v>
      </c>
      <c r="CI51" s="5">
        <f>IF($J$46="Producción",IF($J51&lt;LS_D,$W51,0),0)</f>
        <v>0</v>
      </c>
      <c r="CJ51" s="5">
        <f>IF($J$46="Crecimiento",$W51,0)</f>
        <v>0</v>
      </c>
      <c r="CM51" s="5">
        <f>IF($K$46="Producción",IF($K51&gt;=LI_A,$X51,0),0)</f>
        <v>0</v>
      </c>
      <c r="CN51" s="5">
        <f>IF($K$46="Producción",IF($K51&gt;=LI_B,IF($K51&lt;LS_B,$X51,0),0),0)</f>
        <v>0</v>
      </c>
      <c r="CO51" s="5">
        <f>IF($K$46="Producción",IF($K51&gt;=LI_C,IF($K51&lt;LS_C,$X51,0),0),0)</f>
        <v>0</v>
      </c>
      <c r="CP51" s="5">
        <f>IF($K$46="Producción",IF($K51&lt;LS_D,$X51,0),0)</f>
        <v>0</v>
      </c>
      <c r="CQ51" s="5">
        <f>IF($K$46="Crecimiento",$X51,0)</f>
        <v>0</v>
      </c>
      <c r="CT51" s="5">
        <f>IF($L$46="Producción",IF($L51&gt;=LI_A,$Y51,0),0)</f>
        <v>0</v>
      </c>
      <c r="CU51" s="5">
        <f>IF($L$46="Producción",IF($L51&gt;=LI_B,IF($L51&lt;LS_B,$Y51,0),0),0)</f>
        <v>0</v>
      </c>
      <c r="CV51" s="5">
        <f>IF($L$46="Producción",IF($L51&gt;=LI_C,IF($L51&lt;LS_C,$Y51,0),0),0)</f>
        <v>0</v>
      </c>
      <c r="CW51" s="5">
        <f>IF($L$46="Producción",IF($L51&lt;LS_D,$Y51,0),0)</f>
        <v>0</v>
      </c>
      <c r="CX51" s="5">
        <f>IF($L$46="Crecimiento",$Y51,0)</f>
        <v>0</v>
      </c>
      <c r="DA51" s="5">
        <f>IF($M$46="Producción",IF($M51&gt;=LI_A,$Z51,0),0)</f>
        <v>0</v>
      </c>
      <c r="DB51" s="5">
        <f>IF($M$46="Producción",IF($M51&gt;=LI_B,IF($M51&lt;LS_B,$Z51,0),0),0)</f>
        <v>0</v>
      </c>
      <c r="DC51" s="5">
        <f>IF($M$46="Producción",IF($M51&gt;=LI_C,IF($M51&lt;LS_C,$Z51,0),0),0)</f>
        <v>0</v>
      </c>
      <c r="DD51" s="5">
        <f>IF($M$46="Producción",IF($M51&lt;LS_D,$Z51,0),0)</f>
        <v>0</v>
      </c>
      <c r="DE51" s="5">
        <f>IF($M$46="Crecimiento",$Z51,0)</f>
        <v>0</v>
      </c>
      <c r="DI51" s="5">
        <f t="shared" si="315"/>
        <v>0</v>
      </c>
      <c r="DJ51" s="5">
        <f t="shared" si="316"/>
        <v>0</v>
      </c>
      <c r="DK51" s="5">
        <f t="shared" si="317"/>
        <v>0</v>
      </c>
      <c r="DL51" s="5">
        <f t="shared" si="318"/>
        <v>0</v>
      </c>
      <c r="DM51" s="5">
        <f t="shared" si="319"/>
        <v>0</v>
      </c>
      <c r="DN51" s="5">
        <f t="shared" si="320"/>
        <v>0</v>
      </c>
      <c r="DO51" s="5">
        <f t="shared" si="321"/>
        <v>0</v>
      </c>
      <c r="DP51" s="5">
        <f t="shared" si="322"/>
        <v>0</v>
      </c>
      <c r="DQ51" s="5">
        <f t="shared" si="323"/>
        <v>0</v>
      </c>
      <c r="DR51" s="5">
        <f t="shared" si="324"/>
        <v>0</v>
      </c>
      <c r="DS51" s="5">
        <f t="shared" si="325"/>
        <v>0</v>
      </c>
      <c r="DT51" s="5">
        <f t="shared" si="326"/>
        <v>0</v>
      </c>
      <c r="DU51" s="5">
        <f t="shared" si="327"/>
        <v>0</v>
      </c>
      <c r="DV51" s="5">
        <f t="shared" si="328"/>
        <v>0</v>
      </c>
      <c r="DW51" s="5">
        <f t="shared" si="329"/>
        <v>0</v>
      </c>
      <c r="DX51" s="5">
        <f t="shared" si="330"/>
        <v>0</v>
      </c>
      <c r="DY51" s="5">
        <f t="shared" si="331"/>
        <v>0</v>
      </c>
      <c r="DZ51" s="5">
        <f t="shared" si="332"/>
        <v>0</v>
      </c>
      <c r="EA51" s="5">
        <f t="shared" si="333"/>
        <v>0</v>
      </c>
      <c r="EB51" s="5">
        <f t="shared" si="334"/>
        <v>0</v>
      </c>
      <c r="EC51" s="5">
        <f t="shared" si="335"/>
        <v>0</v>
      </c>
      <c r="ED51" s="5">
        <f t="shared" si="336"/>
        <v>0</v>
      </c>
      <c r="EE51" s="5">
        <f t="shared" si="337"/>
        <v>0</v>
      </c>
      <c r="EF51" s="5">
        <f t="shared" si="338"/>
        <v>0</v>
      </c>
      <c r="EG51" s="5">
        <f t="shared" si="339"/>
        <v>0</v>
      </c>
      <c r="EH51" s="5">
        <f t="shared" si="340"/>
        <v>0</v>
      </c>
      <c r="EI51" s="5">
        <f t="shared" si="341"/>
        <v>0</v>
      </c>
      <c r="EJ51" s="5">
        <f t="shared" si="342"/>
        <v>0</v>
      </c>
      <c r="EK51" s="5">
        <f t="shared" si="343"/>
        <v>0</v>
      </c>
      <c r="EL51" s="5">
        <f t="shared" si="344"/>
        <v>0</v>
      </c>
      <c r="EM51" s="5">
        <f t="shared" si="345"/>
        <v>0</v>
      </c>
      <c r="EN51" s="5">
        <f t="shared" si="346"/>
        <v>0</v>
      </c>
      <c r="EO51" s="5">
        <f t="shared" si="347"/>
        <v>0</v>
      </c>
      <c r="EP51" s="5">
        <f t="shared" si="348"/>
        <v>0</v>
      </c>
      <c r="EQ51" s="5">
        <f t="shared" si="349"/>
        <v>0</v>
      </c>
      <c r="ER51" s="5">
        <f t="shared" si="350"/>
        <v>0</v>
      </c>
      <c r="ES51" s="5">
        <f t="shared" si="351"/>
        <v>0</v>
      </c>
      <c r="ET51" s="5">
        <f t="shared" si="352"/>
        <v>0</v>
      </c>
      <c r="EU51" s="5">
        <f t="shared" si="353"/>
        <v>0</v>
      </c>
      <c r="EV51" s="5">
        <f t="shared" si="354"/>
        <v>0</v>
      </c>
      <c r="EW51" s="5">
        <f t="shared" si="355"/>
        <v>0</v>
      </c>
      <c r="EX51" s="5">
        <f t="shared" si="356"/>
        <v>0</v>
      </c>
      <c r="EY51" s="5">
        <f t="shared" si="357"/>
        <v>0</v>
      </c>
      <c r="EZ51" s="5">
        <f t="shared" si="358"/>
        <v>0</v>
      </c>
      <c r="FA51" s="5">
        <f t="shared" si="359"/>
        <v>0</v>
      </c>
      <c r="FB51" s="5">
        <f t="shared" si="360"/>
        <v>0</v>
      </c>
      <c r="FC51" s="5">
        <f t="shared" si="361"/>
        <v>0</v>
      </c>
      <c r="FD51" s="5">
        <f t="shared" si="362"/>
        <v>0</v>
      </c>
      <c r="FE51" s="5">
        <f t="shared" si="363"/>
        <v>0</v>
      </c>
      <c r="FF51" s="5">
        <f t="shared" si="364"/>
        <v>0</v>
      </c>
      <c r="FG51" s="5">
        <f t="shared" si="365"/>
        <v>0</v>
      </c>
      <c r="FH51" s="5">
        <f t="shared" si="366"/>
        <v>0</v>
      </c>
      <c r="FI51" s="5">
        <f t="shared" si="367"/>
        <v>0</v>
      </c>
      <c r="FJ51" s="5">
        <f t="shared" si="368"/>
        <v>0</v>
      </c>
      <c r="FK51" s="5">
        <f t="shared" si="369"/>
        <v>0</v>
      </c>
      <c r="FL51" s="5">
        <f t="shared" si="370"/>
        <v>0</v>
      </c>
      <c r="FM51" s="5">
        <f t="shared" si="371"/>
        <v>0</v>
      </c>
      <c r="FN51" s="5">
        <f t="shared" si="372"/>
        <v>0</v>
      </c>
      <c r="FO51" s="5">
        <f t="shared" si="373"/>
        <v>0</v>
      </c>
      <c r="FP51" s="5">
        <f t="shared" si="374"/>
        <v>0</v>
      </c>
    </row>
    <row r="52" spans="1:172" ht="20.100000000000001" customHeight="1" x14ac:dyDescent="0.3">
      <c r="A52" s="8" t="str">
        <f>IF(Ciclo=4,"Surco 4",IF(Ciclo=5,"Surco 4","NA"))</f>
        <v>NA</v>
      </c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O52" s="58">
        <f>IF($A52="NA",0,IFERROR('6'!O$27/Ciclo,0))</f>
        <v>0</v>
      </c>
      <c r="P52" s="58">
        <f>IF($A52="NA",0,IFERROR('6'!P$27/Ciclo,0))</f>
        <v>0</v>
      </c>
      <c r="Q52" s="58">
        <f>IF($A52="NA",0,IFERROR('6'!Q$27/Ciclo,0))</f>
        <v>0</v>
      </c>
      <c r="R52" s="58">
        <f>IF($A52="NA",0,IFERROR('6'!R$27/Ciclo,0))</f>
        <v>0</v>
      </c>
      <c r="S52" s="58">
        <f>IF($A52="NA",0,IFERROR('6'!S$27/Ciclo,0))</f>
        <v>0</v>
      </c>
      <c r="T52" s="58">
        <f>IF($A52="NA",0,IFERROR('6'!T$27/Ciclo,0))</f>
        <v>0</v>
      </c>
      <c r="U52" s="58">
        <f>IF($A52="NA",0,IFERROR('6'!U$27/Ciclo,0))</f>
        <v>0</v>
      </c>
      <c r="V52" s="58">
        <f>IF($A52="NA",0,IFERROR('6'!V$27/Ciclo,0))</f>
        <v>0</v>
      </c>
      <c r="W52" s="5">
        <f>IF($A52="NA",0,IFERROR('6'!W$27/Ciclo,0))</f>
        <v>0</v>
      </c>
      <c r="X52" s="5">
        <f>IF($A52="NA",0,IFERROR('6'!X$27/Ciclo,0))</f>
        <v>0</v>
      </c>
      <c r="Y52" s="5">
        <f>IF($A52="NA",0,IFERROR('6'!Y$27/Ciclo,0))</f>
        <v>0</v>
      </c>
      <c r="Z52" s="5">
        <f>IF($A52="NA",0,IFERROR('6'!Z$27/Ciclo,0))</f>
        <v>0</v>
      </c>
      <c r="AB52" s="5">
        <f>IF($B$46="Producción",IF($B52&gt;=LI_A,$O52,0),0)</f>
        <v>0</v>
      </c>
      <c r="AC52" s="5">
        <f>IF($B$46="Producción",IF($B52&gt;=LI_B,IF($B52&lt;LS_B,$O52,0),0),0)</f>
        <v>0</v>
      </c>
      <c r="AD52" s="5">
        <f>IF($B$46="Producción",IF($B52&gt;=LI_C,IF($B52&lt;LS_C,$O52,0),0),0)</f>
        <v>0</v>
      </c>
      <c r="AE52" s="5">
        <f>IF($B$46="Producción",IF($B52&lt;LS_D,$O52,0),0)</f>
        <v>0</v>
      </c>
      <c r="AF52" s="5">
        <f t="shared" si="375"/>
        <v>0</v>
      </c>
      <c r="AI52" s="5">
        <f>IF($C$46="Producción",IF($C52&gt;=LI_A,$P52,0),0)</f>
        <v>0</v>
      </c>
      <c r="AJ52" s="5">
        <f>IF($C$46="Producción",IF($C52&gt;=LI_B,IF($C52&lt;LS_B,$P52,0),0),0)</f>
        <v>0</v>
      </c>
      <c r="AK52" s="5">
        <f>IF($C$46="Producción",IF($C52&gt;=LI_C,IF($C52&lt;LS_C,$P52,0),0),0)</f>
        <v>0</v>
      </c>
      <c r="AL52" s="5">
        <f>IF($C$46="Producción",IF($C52&lt;LS_D,$P52,0),0)</f>
        <v>0</v>
      </c>
      <c r="AM52" s="5">
        <f>IF($C$46="Crecimiento",$P52,0)</f>
        <v>0</v>
      </c>
      <c r="AP52" s="5">
        <f>IF($D$46="Producción",IF($D52&gt;=LI_A,$Q52,0),0)</f>
        <v>0</v>
      </c>
      <c r="AQ52" s="5">
        <f>IF($D$46="Producción",IF($D52&gt;=LI_B,IF($D52&lt;LS_B,$Q52,0),0),0)</f>
        <v>0</v>
      </c>
      <c r="AR52" s="5">
        <f>IF($D$46="Producción",IF($D52&gt;=LI_C,IF($D52&lt;LS_C,$Q52,0),0),0)</f>
        <v>0</v>
      </c>
      <c r="AS52" s="5">
        <f>IF($D$46="Producción",IF($D52&lt;LS_D,$Q52,0),0)</f>
        <v>0</v>
      </c>
      <c r="AT52" s="5">
        <f>IF($D$46="Crecimiento",IF($D52&gt;0,$Q52,0),0)</f>
        <v>0</v>
      </c>
      <c r="AW52" s="5">
        <f>IF($E$46="Producción",IF($E52&gt;=LI_A,$R52,0),0)</f>
        <v>0</v>
      </c>
      <c r="AX52" s="5">
        <f>IF($E$46="Producción",IF($E52&gt;=LI_B,IF($E52&lt;LS_B,$R52,0),0),0)</f>
        <v>0</v>
      </c>
      <c r="AY52" s="5">
        <f>IF($E$46="Producción",IF($E52&gt;=LI_C,IF($E52&lt;LS_C,$R52,0),0),0)</f>
        <v>0</v>
      </c>
      <c r="AZ52" s="5">
        <f>IF($E$46="Producción",IF($E52&lt;LS_D,$R52,0),0)</f>
        <v>0</v>
      </c>
      <c r="BA52" s="5">
        <f>IF($E$46="Crecimiento",$R52,0)</f>
        <v>0</v>
      </c>
      <c r="BD52" s="5">
        <f>IF($F$46="Producción",IF($F52&gt;=LI_A,$S52,0),0)</f>
        <v>0</v>
      </c>
      <c r="BE52" s="5">
        <f>IF($F$46="Producción",IF($F52&gt;=LI_B,IF($F52&lt;LS_B,$S52,0),0),0)</f>
        <v>0</v>
      </c>
      <c r="BF52" s="5">
        <f>IF($F$46="Producción",IF($F52&gt;=LI_C,IF($F52&lt;LS_C,$S52,0),0),0)</f>
        <v>0</v>
      </c>
      <c r="BG52" s="5">
        <f>IF($F$46="Producción",IF($F52&lt;LS_D,$S52,0),0)</f>
        <v>0</v>
      </c>
      <c r="BH52" s="5">
        <f>IF($F$46="Crecimiento",$S52,0)</f>
        <v>0</v>
      </c>
      <c r="BK52" s="5">
        <f>IF($G$46="Producción",IF($G52&gt;=LI_A,$T52,0),0)</f>
        <v>0</v>
      </c>
      <c r="BL52" s="5">
        <f>IF($G$46="Producción",IF($G52&gt;=LI_B,IF($G52&lt;LS_B,$T52,0),0),0)</f>
        <v>0</v>
      </c>
      <c r="BM52" s="5">
        <f>IF($G$46="Producción",IF($G52&gt;=LI_C,IF($G52&lt;LS_C,$T52,0),0),0)</f>
        <v>0</v>
      </c>
      <c r="BN52" s="5">
        <f>IF($G$46="Producción",IF($G52&lt;LS_D,$T52,0),0)</f>
        <v>0</v>
      </c>
      <c r="BO52" s="5">
        <f>IF($G$46="Crecimiento",$T52,0)</f>
        <v>0</v>
      </c>
      <c r="BR52" s="5">
        <f>IF($H$46="Producción",IF($H52&gt;=LI_A,$U52,0),0)</f>
        <v>0</v>
      </c>
      <c r="BS52" s="5">
        <f>IF($H$46="Producción",IF($H52&gt;=LI_B,IF($H52&lt;LS_B,$U52,0),0),0)</f>
        <v>0</v>
      </c>
      <c r="BT52" s="5">
        <f>IF($H$46="Producción",IF($H52&gt;=LI_C,IF($H52&lt;LS_C,$U52,0),0),0)</f>
        <v>0</v>
      </c>
      <c r="BU52" s="5">
        <f>IF($H$46="Producción",IF($H52&lt;LS_D,$U52,0),0)</f>
        <v>0</v>
      </c>
      <c r="BV52" s="5">
        <f>IF($H$46="Crecimiento",$T52,0)</f>
        <v>0</v>
      </c>
      <c r="BY52" s="5">
        <f>IF($I$46="Producción",IF($I52&gt;=LI_A,$V52,0),0)</f>
        <v>0</v>
      </c>
      <c r="BZ52" s="5">
        <f>IF($I$46="Producción",IF($I52&gt;=LI_B,IF($I52&lt;LS_B,$V52,0),0),0)</f>
        <v>0</v>
      </c>
      <c r="CA52" s="5">
        <f>IF($I$46="Producción",IF($I52&gt;=LI_C,IF($I52&lt;LS_C,$V52,0),0),0)</f>
        <v>0</v>
      </c>
      <c r="CB52" s="5">
        <f>IF($I$46="Producción",IF($I52&lt;LS_D,$V52,0),0)</f>
        <v>0</v>
      </c>
      <c r="CC52" s="5">
        <f>IF($I$46="Crecimiento",$V52,0)</f>
        <v>0</v>
      </c>
      <c r="CF52" s="5">
        <f>IF($J$46="Producción",IF($J52&gt;=LI_A,$W52,0),0)</f>
        <v>0</v>
      </c>
      <c r="CG52" s="5">
        <f>IF($J$46="Producción",IF($J52&gt;=LI_B,IF($J52&lt;LS_B,$W52,0),0),0)</f>
        <v>0</v>
      </c>
      <c r="CH52" s="5">
        <f>IF($J$46="Producción",IF($J52&gt;=LI_C,IF($J52&lt;LS_C,$W52,0),0),0)</f>
        <v>0</v>
      </c>
      <c r="CI52" s="5">
        <f>IF($J$46="Producción",IF($J52&lt;LS_D,$W52,0),0)</f>
        <v>0</v>
      </c>
      <c r="CJ52" s="5">
        <f>IF($J$46="Crecimiento",$W52,0)</f>
        <v>0</v>
      </c>
      <c r="CM52" s="5">
        <f>IF($K$46="Producción",IF($K52&gt;=LI_A,$X52,0),0)</f>
        <v>0</v>
      </c>
      <c r="CN52" s="5">
        <f>IF($K$46="Producción",IF($K52&gt;=LI_B,IF($K52&lt;LS_B,$X52,0),0),0)</f>
        <v>0</v>
      </c>
      <c r="CO52" s="5">
        <f>IF($K$46="Producción",IF($K52&gt;=LI_C,IF($K52&lt;LS_C,$X52,0),0),0)</f>
        <v>0</v>
      </c>
      <c r="CP52" s="5">
        <f>IF($K$46="Producción",IF($K52&lt;LS_D,$X52,0),0)</f>
        <v>0</v>
      </c>
      <c r="CQ52" s="5">
        <f>IF($K$46="Crecimiento",$X52,0)</f>
        <v>0</v>
      </c>
      <c r="CT52" s="5">
        <f>IF($L$46="Producción",IF($L52&gt;=LI_A,$Y52,0),0)</f>
        <v>0</v>
      </c>
      <c r="CU52" s="5">
        <f>IF($L$46="Producción",IF($L52&gt;=LI_B,IF($L52&lt;LS_B,$Y52,0),0),0)</f>
        <v>0</v>
      </c>
      <c r="CV52" s="5">
        <f>IF($L$46="Producción",IF($L52&gt;=LI_C,IF($L52&lt;LS_C,$Y52,0),0),0)</f>
        <v>0</v>
      </c>
      <c r="CW52" s="5">
        <f>IF($L$46="Producción",IF($L52&lt;LS_D,$Y52,0),0)</f>
        <v>0</v>
      </c>
      <c r="CX52" s="5">
        <f>IF($L$46="Crecimiento",$Y52,0)</f>
        <v>0</v>
      </c>
      <c r="DA52" s="5">
        <f>IF($M$46="Producción",IF($M52&gt;=LI_A,$Z52,0),0)</f>
        <v>0</v>
      </c>
      <c r="DB52" s="5">
        <f>IF($M$46="Producción",IF($M52&gt;=LI_B,IF($M52&lt;LS_B,$Z52,0),0),0)</f>
        <v>0</v>
      </c>
      <c r="DC52" s="5">
        <f>IF($M$46="Producción",IF($M52&gt;=LI_C,IF($M52&lt;LS_C,$Z52,0),0),0)</f>
        <v>0</v>
      </c>
      <c r="DD52" s="5">
        <f>IF($M$46="Producción",IF($M52&lt;LS_D,$Z52,0),0)</f>
        <v>0</v>
      </c>
      <c r="DE52" s="5">
        <f>IF($M$46="Crecimiento",$Z52,0)</f>
        <v>0</v>
      </c>
      <c r="DI52" s="5">
        <f t="shared" si="315"/>
        <v>0</v>
      </c>
      <c r="DJ52" s="5">
        <f t="shared" si="316"/>
        <v>0</v>
      </c>
      <c r="DK52" s="5">
        <f t="shared" si="317"/>
        <v>0</v>
      </c>
      <c r="DL52" s="5">
        <f t="shared" si="318"/>
        <v>0</v>
      </c>
      <c r="DM52" s="5">
        <f t="shared" si="319"/>
        <v>0</v>
      </c>
      <c r="DN52" s="5">
        <f t="shared" si="320"/>
        <v>0</v>
      </c>
      <c r="DO52" s="5">
        <f t="shared" si="321"/>
        <v>0</v>
      </c>
      <c r="DP52" s="5">
        <f t="shared" si="322"/>
        <v>0</v>
      </c>
      <c r="DQ52" s="5">
        <f t="shared" si="323"/>
        <v>0</v>
      </c>
      <c r="DR52" s="5">
        <f t="shared" si="324"/>
        <v>0</v>
      </c>
      <c r="DS52" s="5">
        <f t="shared" si="325"/>
        <v>0</v>
      </c>
      <c r="DT52" s="5">
        <f t="shared" si="326"/>
        <v>0</v>
      </c>
      <c r="DU52" s="5">
        <f t="shared" si="327"/>
        <v>0</v>
      </c>
      <c r="DV52" s="5">
        <f t="shared" si="328"/>
        <v>0</v>
      </c>
      <c r="DW52" s="5">
        <f t="shared" si="329"/>
        <v>0</v>
      </c>
      <c r="DX52" s="5">
        <f t="shared" si="330"/>
        <v>0</v>
      </c>
      <c r="DY52" s="5">
        <f t="shared" si="331"/>
        <v>0</v>
      </c>
      <c r="DZ52" s="5">
        <f t="shared" si="332"/>
        <v>0</v>
      </c>
      <c r="EA52" s="5">
        <f t="shared" si="333"/>
        <v>0</v>
      </c>
      <c r="EB52" s="5">
        <f t="shared" si="334"/>
        <v>0</v>
      </c>
      <c r="EC52" s="5">
        <f t="shared" si="335"/>
        <v>0</v>
      </c>
      <c r="ED52" s="5">
        <f t="shared" si="336"/>
        <v>0</v>
      </c>
      <c r="EE52" s="5">
        <f t="shared" si="337"/>
        <v>0</v>
      </c>
      <c r="EF52" s="5">
        <f t="shared" si="338"/>
        <v>0</v>
      </c>
      <c r="EG52" s="5">
        <f t="shared" si="339"/>
        <v>0</v>
      </c>
      <c r="EH52" s="5">
        <f t="shared" si="340"/>
        <v>0</v>
      </c>
      <c r="EI52" s="5">
        <f t="shared" si="341"/>
        <v>0</v>
      </c>
      <c r="EJ52" s="5">
        <f t="shared" si="342"/>
        <v>0</v>
      </c>
      <c r="EK52" s="5">
        <f t="shared" si="343"/>
        <v>0</v>
      </c>
      <c r="EL52" s="5">
        <f t="shared" si="344"/>
        <v>0</v>
      </c>
      <c r="EM52" s="5">
        <f t="shared" si="345"/>
        <v>0</v>
      </c>
      <c r="EN52" s="5">
        <f t="shared" si="346"/>
        <v>0</v>
      </c>
      <c r="EO52" s="5">
        <f t="shared" si="347"/>
        <v>0</v>
      </c>
      <c r="EP52" s="5">
        <f t="shared" si="348"/>
        <v>0</v>
      </c>
      <c r="EQ52" s="5">
        <f t="shared" si="349"/>
        <v>0</v>
      </c>
      <c r="ER52" s="5">
        <f t="shared" si="350"/>
        <v>0</v>
      </c>
      <c r="ES52" s="5">
        <f t="shared" si="351"/>
        <v>0</v>
      </c>
      <c r="ET52" s="5">
        <f t="shared" si="352"/>
        <v>0</v>
      </c>
      <c r="EU52" s="5">
        <f t="shared" si="353"/>
        <v>0</v>
      </c>
      <c r="EV52" s="5">
        <f t="shared" si="354"/>
        <v>0</v>
      </c>
      <c r="EW52" s="5">
        <f t="shared" si="355"/>
        <v>0</v>
      </c>
      <c r="EX52" s="5">
        <f t="shared" si="356"/>
        <v>0</v>
      </c>
      <c r="EY52" s="5">
        <f t="shared" si="357"/>
        <v>0</v>
      </c>
      <c r="EZ52" s="5">
        <f t="shared" si="358"/>
        <v>0</v>
      </c>
      <c r="FA52" s="5">
        <f t="shared" si="359"/>
        <v>0</v>
      </c>
      <c r="FB52" s="5">
        <f t="shared" si="360"/>
        <v>0</v>
      </c>
      <c r="FC52" s="5">
        <f t="shared" si="361"/>
        <v>0</v>
      </c>
      <c r="FD52" s="5">
        <f t="shared" si="362"/>
        <v>0</v>
      </c>
      <c r="FE52" s="5">
        <f t="shared" si="363"/>
        <v>0</v>
      </c>
      <c r="FF52" s="5">
        <f t="shared" si="364"/>
        <v>0</v>
      </c>
      <c r="FG52" s="5">
        <f t="shared" si="365"/>
        <v>0</v>
      </c>
      <c r="FH52" s="5">
        <f t="shared" si="366"/>
        <v>0</v>
      </c>
      <c r="FI52" s="5">
        <f t="shared" si="367"/>
        <v>0</v>
      </c>
      <c r="FJ52" s="5">
        <f t="shared" si="368"/>
        <v>0</v>
      </c>
      <c r="FK52" s="5">
        <f t="shared" si="369"/>
        <v>0</v>
      </c>
      <c r="FL52" s="5">
        <f t="shared" si="370"/>
        <v>0</v>
      </c>
      <c r="FM52" s="5">
        <f t="shared" si="371"/>
        <v>0</v>
      </c>
      <c r="FN52" s="5">
        <f t="shared" si="372"/>
        <v>0</v>
      </c>
      <c r="FO52" s="5">
        <f t="shared" si="373"/>
        <v>0</v>
      </c>
      <c r="FP52" s="5">
        <f t="shared" si="374"/>
        <v>0</v>
      </c>
    </row>
    <row r="53" spans="1:172" ht="20.100000000000001" customHeight="1" x14ac:dyDescent="0.3">
      <c r="A53" s="9" t="str">
        <f>IF(Ciclo=5,"Surco 5","NA")</f>
        <v>NA</v>
      </c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O53" s="58">
        <f>IF($A53="NA",0,IFERROR('6'!O$27/Ciclo,0))</f>
        <v>0</v>
      </c>
      <c r="P53" s="58">
        <f>IF($A53="NA",0,IFERROR('6'!P$27/Ciclo,0))</f>
        <v>0</v>
      </c>
      <c r="Q53" s="58">
        <f>IF($A53="NA",0,IFERROR('6'!Q$27/Ciclo,0))</f>
        <v>0</v>
      </c>
      <c r="R53" s="58">
        <f>IF($A53="NA",0,IFERROR('6'!R$27/Ciclo,0))</f>
        <v>0</v>
      </c>
      <c r="S53" s="58">
        <f>IF($A53="NA",0,IFERROR('6'!S$27/Ciclo,0))</f>
        <v>0</v>
      </c>
      <c r="T53" s="58">
        <f>IF($A53="NA",0,IFERROR('6'!T$27/Ciclo,0))</f>
        <v>0</v>
      </c>
      <c r="U53" s="58">
        <f>IF($A53="NA",0,IFERROR('6'!U$27/Ciclo,0))</f>
        <v>0</v>
      </c>
      <c r="V53" s="58">
        <f>IF($A53="NA",0,IFERROR('6'!V$27/Ciclo,0))</f>
        <v>0</v>
      </c>
      <c r="W53" s="5">
        <f>IF($A53="NA",0,IFERROR('6'!W$27/Ciclo,0))</f>
        <v>0</v>
      </c>
      <c r="X53" s="5">
        <f>IF($A53="NA",0,IFERROR('6'!X$27/Ciclo,0))</f>
        <v>0</v>
      </c>
      <c r="Y53" s="5">
        <f>IF($A53="NA",0,IFERROR('6'!Y$27/Ciclo,0))</f>
        <v>0</v>
      </c>
      <c r="Z53" s="5">
        <f>IF($A53="NA",0,IFERROR('6'!Z$27/Ciclo,0))</f>
        <v>0</v>
      </c>
      <c r="AB53" s="5">
        <f>IF($B$46="Producción",IF($B53&gt;=LI_A,$O53,0),0)</f>
        <v>0</v>
      </c>
      <c r="AC53" s="5">
        <f>IF($B$46="Producción",IF($B53&gt;=LI_B,IF($B53&lt;LS_B,$O53,0),0),0)</f>
        <v>0</v>
      </c>
      <c r="AD53" s="5">
        <f>IF($B$46="Producción",IF($B53&gt;=LI_C,IF($B53&lt;LS_C,$O53,0),0),0)</f>
        <v>0</v>
      </c>
      <c r="AE53" s="5">
        <f>IF($B$46="Producción",IF($B53&lt;LS_D,$O53,0),0)</f>
        <v>0</v>
      </c>
      <c r="AF53" s="5">
        <f t="shared" si="375"/>
        <v>0</v>
      </c>
      <c r="AI53" s="5">
        <f>IF($C$46="Producción",IF($C53&gt;=LI_A,$P53,0),0)</f>
        <v>0</v>
      </c>
      <c r="AJ53" s="5">
        <f>IF($C$46="Producción",IF($C53&gt;=LI_B,IF($C53&lt;LS_B,$P53,0),0),0)</f>
        <v>0</v>
      </c>
      <c r="AK53" s="5">
        <f>IF($C$46="Producción",IF($C53&gt;=LI_C,IF($C53&lt;LS_C,$P53,0),0),0)</f>
        <v>0</v>
      </c>
      <c r="AL53" s="5">
        <f>IF($C$46="Producción",IF($C53&lt;LS_D,$P53,0),0)</f>
        <v>0</v>
      </c>
      <c r="AM53" s="5">
        <f>IF($C$46="Crecimiento",$P53,0)</f>
        <v>0</v>
      </c>
      <c r="AP53" s="5">
        <f>IF($D$46="Producción",IF($D53&gt;=LI_A,$Q53,0),0)</f>
        <v>0</v>
      </c>
      <c r="AQ53" s="5">
        <f>IF($D$46="Producción",IF($D53&gt;=LI_B,IF($D53&lt;LS_B,$Q53,0),0),0)</f>
        <v>0</v>
      </c>
      <c r="AR53" s="5">
        <f>IF($D$46="Producción",IF($D53&gt;=LI_C,IF($D53&lt;LS_C,$Q53,0),0),0)</f>
        <v>0</v>
      </c>
      <c r="AS53" s="5">
        <f>IF($D$46="Producción",IF($D53&lt;LS_D,$Q53,0),0)</f>
        <v>0</v>
      </c>
      <c r="AT53" s="5">
        <f>IF($D$46="Crecimiento",IF($D53&gt;0,$Q53,0),0)</f>
        <v>0</v>
      </c>
      <c r="AW53" s="5">
        <f>IF($E$46="Producción",IF($E53&gt;=LI_A,$R53,0),0)</f>
        <v>0</v>
      </c>
      <c r="AX53" s="5">
        <f>IF($E$46="Producción",IF($E53&gt;=LI_B,IF($E53&lt;LS_B,$R53,0),0),0)</f>
        <v>0</v>
      </c>
      <c r="AY53" s="5">
        <f>IF($E$46="Producción",IF($E53&gt;=LI_C,IF($E53&lt;LS_C,$R53,0),0),0)</f>
        <v>0</v>
      </c>
      <c r="AZ53" s="5">
        <f>IF($E$46="Producción",IF($E53&lt;LS_D,$R53,0),0)</f>
        <v>0</v>
      </c>
      <c r="BA53" s="5">
        <f>IF($E$46="Crecimiento",$R53,0)</f>
        <v>0</v>
      </c>
      <c r="BD53" s="5">
        <f>IF($F$46="Producción",IF($F53&gt;=LI_A,$S53,0),0)</f>
        <v>0</v>
      </c>
      <c r="BE53" s="5">
        <f>IF($F$46="Producción",IF($F53&gt;=LI_B,IF($F53&lt;LS_B,$S53,0),0),0)</f>
        <v>0</v>
      </c>
      <c r="BF53" s="5">
        <f>IF($F$46="Producción",IF($F53&gt;=LI_C,IF($F53&lt;LS_C,$S53,0),0),0)</f>
        <v>0</v>
      </c>
      <c r="BG53" s="5">
        <f>IF($F$46="Producción",IF($F53&lt;LS_D,$S53,0),0)</f>
        <v>0</v>
      </c>
      <c r="BH53" s="5">
        <f>IF($F$46="Crecimiento",$S53,0)</f>
        <v>0</v>
      </c>
      <c r="BK53" s="5">
        <f>IF($G$46="Producción",IF($G53&gt;=LI_A,$T53,0),0)</f>
        <v>0</v>
      </c>
      <c r="BL53" s="5">
        <f>IF($G$46="Producción",IF($G53&gt;=LI_B,IF($G53&lt;LS_B,$T53,0),0),0)</f>
        <v>0</v>
      </c>
      <c r="BM53" s="5">
        <f>IF($G$46="Producción",IF($G53&gt;=LI_C,IF($G53&lt;LS_C,$T53,0),0),0)</f>
        <v>0</v>
      </c>
      <c r="BN53" s="5">
        <f>IF($G$46="Producción",IF($G53&lt;LS_D,$T53,0),0)</f>
        <v>0</v>
      </c>
      <c r="BO53" s="5">
        <f>IF($G$46="Crecimiento",$T53,0)</f>
        <v>0</v>
      </c>
      <c r="BR53" s="5">
        <f>IF($H$46="Producción",IF($H53&gt;=LI_A,$U53,0),0)</f>
        <v>0</v>
      </c>
      <c r="BS53" s="5">
        <f>IF($H$46="Producción",IF($H53&gt;=LI_B,IF($H53&lt;LS_B,$U53,0),0),0)</f>
        <v>0</v>
      </c>
      <c r="BT53" s="5">
        <f>IF($H$46="Producción",IF($H53&gt;=LI_C,IF($H53&lt;LS_C,$U53,0),0),0)</f>
        <v>0</v>
      </c>
      <c r="BU53" s="5">
        <f>IF($H$46="Producción",IF($H53&lt;LS_D,$U53,0),0)</f>
        <v>0</v>
      </c>
      <c r="BV53" s="5">
        <f>IF($H$46="Crecimiento",$T53,0)</f>
        <v>0</v>
      </c>
      <c r="BY53" s="5">
        <f>IF($I$46="Producción",IF($I53&gt;=LI_A,$V53,0),0)</f>
        <v>0</v>
      </c>
      <c r="BZ53" s="5">
        <f>IF($I$46="Producción",IF($I53&gt;=LI_B,IF($I53&lt;LS_B,$V53,0),0),0)</f>
        <v>0</v>
      </c>
      <c r="CA53" s="5">
        <f>IF($I$46="Producción",IF($I53&gt;=LI_C,IF($I53&lt;LS_C,$V53,0),0),0)</f>
        <v>0</v>
      </c>
      <c r="CB53" s="5">
        <f>IF($I$46="Producción",IF($I53&lt;LS_D,$V53,0),0)</f>
        <v>0</v>
      </c>
      <c r="CC53" s="5">
        <f>IF($I$46="Crecimiento",$V53,0)</f>
        <v>0</v>
      </c>
      <c r="CF53" s="5">
        <f>IF($J$46="Producción",IF($J53&gt;=LI_A,$W53,0),0)</f>
        <v>0</v>
      </c>
      <c r="CG53" s="5">
        <f>IF($J$46="Producción",IF($J53&gt;=LI_B,IF($J53&lt;LS_B,$W53,0),0),0)</f>
        <v>0</v>
      </c>
      <c r="CH53" s="5">
        <f>IF($J$46="Producción",IF($J53&gt;=LI_C,IF($J53&lt;LS_C,$W53,0),0),0)</f>
        <v>0</v>
      </c>
      <c r="CI53" s="5">
        <f>IF($J$46="Producción",IF($J53&lt;LS_D,$W53,0),0)</f>
        <v>0</v>
      </c>
      <c r="CJ53" s="5">
        <f>IF($J$46="Crecimiento",$W53,0)</f>
        <v>0</v>
      </c>
      <c r="CM53" s="5">
        <f>IF($K$46="Producción",IF($K53&gt;=LI_A,$X53,0),0)</f>
        <v>0</v>
      </c>
      <c r="CN53" s="5">
        <f>IF($K$46="Producción",IF($K53&gt;=LI_B,IF($K53&lt;LS_B,$X53,0),0),0)</f>
        <v>0</v>
      </c>
      <c r="CO53" s="5">
        <f>IF($K$46="Producción",IF($K53&gt;=LI_C,IF($K53&lt;LS_C,$X53,0),0),0)</f>
        <v>0</v>
      </c>
      <c r="CP53" s="5">
        <f>IF($K$46="Producción",IF($K53&lt;LS_D,$X53,0),0)</f>
        <v>0</v>
      </c>
      <c r="CQ53" s="5">
        <f>IF($K$46="Crecimiento",$X53,0)</f>
        <v>0</v>
      </c>
      <c r="CT53" s="5">
        <f>IF($L$46="Producción",IF($L53&gt;=LI_A,$Y53,0),0)</f>
        <v>0</v>
      </c>
      <c r="CU53" s="5">
        <f>IF($L$46="Producción",IF($L53&gt;=LI_B,IF($L53&lt;LS_B,$Y53,0),0),0)</f>
        <v>0</v>
      </c>
      <c r="CV53" s="5">
        <f>IF($L$46="Producción",IF($L53&gt;=LI_C,IF($L53&lt;LS_C,$Y53,0),0),0)</f>
        <v>0</v>
      </c>
      <c r="CW53" s="5">
        <f>IF($L$46="Producción",IF($L53&lt;LS_D,$Y53,0),0)</f>
        <v>0</v>
      </c>
      <c r="CX53" s="5">
        <f>IF($L$46="Crecimiento",$Y53,0)</f>
        <v>0</v>
      </c>
      <c r="DA53" s="5">
        <f>IF($M$46="Producción",IF($M53&gt;=LI_A,$Z53,0),0)</f>
        <v>0</v>
      </c>
      <c r="DB53" s="5">
        <f>IF($M$46="Producción",IF($M53&gt;=LI_B,IF($M53&lt;LS_B,$Z53,0),0),0)</f>
        <v>0</v>
      </c>
      <c r="DC53" s="5">
        <f>IF($M$46="Producción",IF($M53&gt;=LI_C,IF($M53&lt;LS_C,$Z53,0),0),0)</f>
        <v>0</v>
      </c>
      <c r="DD53" s="5">
        <f>IF($M$46="Producción",IF($M53&lt;LS_D,$Z53,0),0)</f>
        <v>0</v>
      </c>
      <c r="DE53" s="5">
        <f>IF($M$46="Crecimiento",$Z53,0)</f>
        <v>0</v>
      </c>
      <c r="DI53" s="5">
        <f t="shared" si="315"/>
        <v>0</v>
      </c>
      <c r="DJ53" s="5">
        <f t="shared" si="316"/>
        <v>0</v>
      </c>
      <c r="DK53" s="5">
        <f t="shared" si="317"/>
        <v>0</v>
      </c>
      <c r="DL53" s="5">
        <f t="shared" si="318"/>
        <v>0</v>
      </c>
      <c r="DM53" s="5">
        <f t="shared" si="319"/>
        <v>0</v>
      </c>
      <c r="DN53" s="5">
        <f t="shared" si="320"/>
        <v>0</v>
      </c>
      <c r="DO53" s="5">
        <f t="shared" si="321"/>
        <v>0</v>
      </c>
      <c r="DP53" s="5">
        <f t="shared" si="322"/>
        <v>0</v>
      </c>
      <c r="DQ53" s="5">
        <f t="shared" si="323"/>
        <v>0</v>
      </c>
      <c r="DR53" s="5">
        <f t="shared" si="324"/>
        <v>0</v>
      </c>
      <c r="DS53" s="5">
        <f t="shared" si="325"/>
        <v>0</v>
      </c>
      <c r="DT53" s="5">
        <f t="shared" si="326"/>
        <v>0</v>
      </c>
      <c r="DU53" s="5">
        <f t="shared" si="327"/>
        <v>0</v>
      </c>
      <c r="DV53" s="5">
        <f t="shared" si="328"/>
        <v>0</v>
      </c>
      <c r="DW53" s="5">
        <f t="shared" si="329"/>
        <v>0</v>
      </c>
      <c r="DX53" s="5">
        <f t="shared" si="330"/>
        <v>0</v>
      </c>
      <c r="DY53" s="5">
        <f t="shared" si="331"/>
        <v>0</v>
      </c>
      <c r="DZ53" s="5">
        <f t="shared" si="332"/>
        <v>0</v>
      </c>
      <c r="EA53" s="5">
        <f t="shared" si="333"/>
        <v>0</v>
      </c>
      <c r="EB53" s="5">
        <f t="shared" si="334"/>
        <v>0</v>
      </c>
      <c r="EC53" s="5">
        <f t="shared" si="335"/>
        <v>0</v>
      </c>
      <c r="ED53" s="5">
        <f t="shared" si="336"/>
        <v>0</v>
      </c>
      <c r="EE53" s="5">
        <f t="shared" si="337"/>
        <v>0</v>
      </c>
      <c r="EF53" s="5">
        <f t="shared" si="338"/>
        <v>0</v>
      </c>
      <c r="EG53" s="5">
        <f t="shared" si="339"/>
        <v>0</v>
      </c>
      <c r="EH53" s="5">
        <f t="shared" si="340"/>
        <v>0</v>
      </c>
      <c r="EI53" s="5">
        <f t="shared" si="341"/>
        <v>0</v>
      </c>
      <c r="EJ53" s="5">
        <f t="shared" si="342"/>
        <v>0</v>
      </c>
      <c r="EK53" s="5">
        <f t="shared" si="343"/>
        <v>0</v>
      </c>
      <c r="EL53" s="5">
        <f t="shared" si="344"/>
        <v>0</v>
      </c>
      <c r="EM53" s="5">
        <f t="shared" si="345"/>
        <v>0</v>
      </c>
      <c r="EN53" s="5">
        <f t="shared" si="346"/>
        <v>0</v>
      </c>
      <c r="EO53" s="5">
        <f t="shared" si="347"/>
        <v>0</v>
      </c>
      <c r="EP53" s="5">
        <f t="shared" si="348"/>
        <v>0</v>
      </c>
      <c r="EQ53" s="5">
        <f t="shared" si="349"/>
        <v>0</v>
      </c>
      <c r="ER53" s="5">
        <f t="shared" si="350"/>
        <v>0</v>
      </c>
      <c r="ES53" s="5">
        <f t="shared" si="351"/>
        <v>0</v>
      </c>
      <c r="ET53" s="5">
        <f t="shared" si="352"/>
        <v>0</v>
      </c>
      <c r="EU53" s="5">
        <f t="shared" si="353"/>
        <v>0</v>
      </c>
      <c r="EV53" s="5">
        <f t="shared" si="354"/>
        <v>0</v>
      </c>
      <c r="EW53" s="5">
        <f t="shared" si="355"/>
        <v>0</v>
      </c>
      <c r="EX53" s="5">
        <f t="shared" si="356"/>
        <v>0</v>
      </c>
      <c r="EY53" s="5">
        <f t="shared" si="357"/>
        <v>0</v>
      </c>
      <c r="EZ53" s="5">
        <f t="shared" si="358"/>
        <v>0</v>
      </c>
      <c r="FA53" s="5">
        <f t="shared" si="359"/>
        <v>0</v>
      </c>
      <c r="FB53" s="5">
        <f t="shared" si="360"/>
        <v>0</v>
      </c>
      <c r="FC53" s="5">
        <f t="shared" si="361"/>
        <v>0</v>
      </c>
      <c r="FD53" s="5">
        <f t="shared" si="362"/>
        <v>0</v>
      </c>
      <c r="FE53" s="5">
        <f t="shared" si="363"/>
        <v>0</v>
      </c>
      <c r="FF53" s="5">
        <f t="shared" si="364"/>
        <v>0</v>
      </c>
      <c r="FG53" s="5">
        <f t="shared" si="365"/>
        <v>0</v>
      </c>
      <c r="FH53" s="5">
        <f t="shared" si="366"/>
        <v>0</v>
      </c>
      <c r="FI53" s="5">
        <f t="shared" si="367"/>
        <v>0</v>
      </c>
      <c r="FJ53" s="5">
        <f t="shared" si="368"/>
        <v>0</v>
      </c>
      <c r="FK53" s="5">
        <f t="shared" si="369"/>
        <v>0</v>
      </c>
      <c r="FL53" s="5">
        <f t="shared" si="370"/>
        <v>0</v>
      </c>
      <c r="FM53" s="5">
        <f t="shared" si="371"/>
        <v>0</v>
      </c>
      <c r="FN53" s="5">
        <f t="shared" si="372"/>
        <v>0</v>
      </c>
      <c r="FO53" s="5">
        <f t="shared" si="373"/>
        <v>0</v>
      </c>
      <c r="FP53" s="5">
        <f t="shared" si="374"/>
        <v>0</v>
      </c>
    </row>
    <row r="54" spans="1:172" ht="20.100000000000001" customHeight="1" x14ac:dyDescent="0.3">
      <c r="A54" s="172">
        <f>N_L7</f>
        <v>0</v>
      </c>
      <c r="B54" s="363" t="s">
        <v>37</v>
      </c>
      <c r="C54" s="363" t="s">
        <v>37</v>
      </c>
      <c r="D54" s="363" t="s">
        <v>37</v>
      </c>
      <c r="E54" s="363" t="s">
        <v>37</v>
      </c>
      <c r="F54" s="363" t="s">
        <v>37</v>
      </c>
      <c r="G54" s="363" t="s">
        <v>37</v>
      </c>
      <c r="H54" s="363" t="s">
        <v>37</v>
      </c>
      <c r="I54" s="363" t="s">
        <v>37</v>
      </c>
      <c r="J54" s="363" t="s">
        <v>37</v>
      </c>
      <c r="K54" s="363" t="s">
        <v>37</v>
      </c>
      <c r="L54" s="363" t="s">
        <v>37</v>
      </c>
      <c r="M54" s="363" t="s">
        <v>37</v>
      </c>
    </row>
    <row r="55" spans="1:172" ht="20.100000000000001" customHeight="1" x14ac:dyDescent="0.3">
      <c r="A55" s="175" t="s">
        <v>238</v>
      </c>
      <c r="B55" s="174">
        <f>SUM(DI57:DM61)/100</f>
        <v>0</v>
      </c>
      <c r="C55" s="174">
        <f>SUM(DN57:DR61)/100</f>
        <v>0</v>
      </c>
      <c r="D55" s="174">
        <f>SUM(DS57:DW61)/100</f>
        <v>0</v>
      </c>
      <c r="E55" s="174">
        <f>SUM(DX57:EB61)/100</f>
        <v>0</v>
      </c>
      <c r="F55" s="174">
        <f>SUM(EC57:EG61)/100</f>
        <v>0</v>
      </c>
      <c r="G55" s="174">
        <f>SUM(EH57:EL61)/100</f>
        <v>0</v>
      </c>
      <c r="H55" s="174">
        <f>SUM(EM57:EQ61)/100</f>
        <v>0</v>
      </c>
      <c r="I55" s="174">
        <f>SUM(ER57:EV61)/100</f>
        <v>0</v>
      </c>
      <c r="J55" s="174">
        <f>SUM(EW57:FA61)/100</f>
        <v>0</v>
      </c>
      <c r="K55" s="174">
        <f>SUM(FB57:FF61)/100</f>
        <v>0</v>
      </c>
      <c r="L55" s="174">
        <f>SUM(FG57:FK61)/100</f>
        <v>0</v>
      </c>
      <c r="M55" s="174">
        <f>SUM(FL57:FP61)/100</f>
        <v>0</v>
      </c>
    </row>
    <row r="56" spans="1:172" ht="20.100000000000001" customHeight="1" x14ac:dyDescent="0.3">
      <c r="A56" s="151" t="s">
        <v>239</v>
      </c>
      <c r="B56" s="152" t="e">
        <f t="shared" ref="B56:M56" si="376">B55/Lote_7</f>
        <v>#DIV/0!</v>
      </c>
      <c r="C56" s="152" t="e">
        <f t="shared" si="376"/>
        <v>#DIV/0!</v>
      </c>
      <c r="D56" s="152" t="e">
        <f t="shared" si="376"/>
        <v>#DIV/0!</v>
      </c>
      <c r="E56" s="152" t="e">
        <f t="shared" si="376"/>
        <v>#DIV/0!</v>
      </c>
      <c r="F56" s="152" t="e">
        <f t="shared" si="376"/>
        <v>#DIV/0!</v>
      </c>
      <c r="G56" s="152" t="e">
        <f t="shared" si="376"/>
        <v>#DIV/0!</v>
      </c>
      <c r="H56" s="152" t="e">
        <f t="shared" si="376"/>
        <v>#DIV/0!</v>
      </c>
      <c r="I56" s="152" t="e">
        <f t="shared" si="376"/>
        <v>#DIV/0!</v>
      </c>
      <c r="J56" s="152" t="e">
        <f t="shared" si="376"/>
        <v>#DIV/0!</v>
      </c>
      <c r="K56" s="152" t="e">
        <f t="shared" si="376"/>
        <v>#DIV/0!</v>
      </c>
      <c r="L56" s="152" t="e">
        <f t="shared" si="376"/>
        <v>#DIV/0!</v>
      </c>
      <c r="M56" s="152" t="e">
        <f t="shared" si="376"/>
        <v>#DIV/0!</v>
      </c>
    </row>
    <row r="57" spans="1:172" ht="20.100000000000001" customHeight="1" x14ac:dyDescent="0.3">
      <c r="A57" s="8" t="s">
        <v>302</v>
      </c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O57" s="58">
        <f>IFERROR('6'!O$31/Ciclo,0)</f>
        <v>0</v>
      </c>
      <c r="P57" s="58">
        <f>IFERROR('6'!P$31/Ciclo,0)</f>
        <v>0</v>
      </c>
      <c r="Q57" s="58">
        <f>IFERROR('6'!Q$31/Ciclo,0)</f>
        <v>0</v>
      </c>
      <c r="R57" s="58">
        <f>IFERROR('6'!R$31/Ciclo,0)</f>
        <v>0</v>
      </c>
      <c r="S57" s="58">
        <f>IFERROR('6'!S$31/Ciclo,0)</f>
        <v>0</v>
      </c>
      <c r="T57" s="58">
        <f>IFERROR('6'!T$31/Ciclo,0)</f>
        <v>0</v>
      </c>
      <c r="U57" s="58">
        <f>IFERROR('6'!U$31/Ciclo,0)</f>
        <v>0</v>
      </c>
      <c r="V57" s="58">
        <f>IFERROR('6'!V$31/Ciclo,0)</f>
        <v>0</v>
      </c>
      <c r="W57" s="5">
        <f>IFERROR('6'!W$31/Ciclo,0)</f>
        <v>0</v>
      </c>
      <c r="X57" s="5">
        <f>IFERROR('6'!X$31/Ciclo,0)</f>
        <v>0</v>
      </c>
      <c r="Y57" s="5">
        <f>IFERROR('6'!Y$31/Ciclo,0)</f>
        <v>0</v>
      </c>
      <c r="Z57" s="5">
        <f>IFERROR('6'!Z$31/Ciclo,0)</f>
        <v>0</v>
      </c>
      <c r="AB57" s="5">
        <f>IF($B$54="Producción",IF($B57&gt;=LI_A,$O57,0),0)</f>
        <v>0</v>
      </c>
      <c r="AC57" s="5">
        <f>IF($B$54="Producción",IF($B57&gt;=LI_B,IF($B57&lt;LS_B,$O57,0),0),0)</f>
        <v>0</v>
      </c>
      <c r="AD57" s="5">
        <f>IF($B$54="Producción",IF($B57&gt;=LI_C,IF($B57&lt;LS_C,$O57,0),0),0)</f>
        <v>0</v>
      </c>
      <c r="AE57" s="5">
        <f>IF($B$54="Producción",IF($B57&lt;LS_D,$O57,0),0)</f>
        <v>0</v>
      </c>
      <c r="AF57" s="5">
        <f>IF($B$54="Crecimiento",$O57,0)</f>
        <v>0</v>
      </c>
      <c r="AG57" s="5">
        <f>IF($B54="Siembra",'6'!$O$7,0)</f>
        <v>0</v>
      </c>
      <c r="AH57" s="5">
        <f>IF($B54="Abandono",'6'!$O$7,0)</f>
        <v>0</v>
      </c>
      <c r="AI57" s="5">
        <f>IF($C$54="Producción",IF($C57&gt;=LI_A,$P57,0),0)</f>
        <v>0</v>
      </c>
      <c r="AJ57" s="5">
        <f>IF($C$54="Producción",IF($C57&gt;=LI_B,IF($C57&lt;LS_B,$P57,0),0),0)</f>
        <v>0</v>
      </c>
      <c r="AK57" s="5">
        <f>IF($C$54="Producción",IF($C57&gt;=LI_C,IF($C57&lt;LS_C,$P57,0),0),0)</f>
        <v>0</v>
      </c>
      <c r="AL57" s="5">
        <f>IF($C$54="Producción",IF($C57&lt;LS_D,$P57,0),0)</f>
        <v>0</v>
      </c>
      <c r="AM57" s="5">
        <f>IF($C$54="Crecimiento",$P57,0)</f>
        <v>0</v>
      </c>
      <c r="AN57" s="5">
        <f>IF($C54="Siembra",'6'!$P$7,0)</f>
        <v>0</v>
      </c>
      <c r="AO57" s="5">
        <f>IF($C54="Abandono",'6'!$P$7,0)</f>
        <v>0</v>
      </c>
      <c r="AP57" s="5">
        <f>IF($D$54="Producción",IF($D57&gt;=LI_A,$Q57,0),0)</f>
        <v>0</v>
      </c>
      <c r="AQ57" s="5">
        <f>IF($D$54="Producción",IF($D57&gt;=LI_B,IF($D57&lt;LS_B,$Q57,0),0),0)</f>
        <v>0</v>
      </c>
      <c r="AR57" s="5">
        <f>IF($D$54="Producción",IF($D57&gt;=LI_C,IF($D57&lt;LS_C,$Q57,0),0),0)</f>
        <v>0</v>
      </c>
      <c r="AS57" s="5">
        <f>IF($D$54="Producción",IF($D57&lt;LS_D,$Q57,0),0)</f>
        <v>0</v>
      </c>
      <c r="AT57" s="5">
        <f>IF($D$54="Crecimiento",IF($D57&gt;0,$Q57,0),0)</f>
        <v>0</v>
      </c>
      <c r="AU57" s="5">
        <f>IF($D54="Siembra",'6'!$Q$7,0)</f>
        <v>0</v>
      </c>
      <c r="AV57" s="5">
        <f>IF($D54="Abandono",'6'!$Q$7,0)</f>
        <v>0</v>
      </c>
      <c r="AW57" s="5">
        <f>IF($E$54="Producción",IF($E57&gt;=LI_A,$R57,0),0)</f>
        <v>0</v>
      </c>
      <c r="AX57" s="5">
        <f>IF($E$54="Producción",IF($E57&gt;=LI_B,IF($E57&lt;LS_B,$R57,0),0),0)</f>
        <v>0</v>
      </c>
      <c r="AY57" s="5">
        <f>IF($E$54="Producción",IF($E57&gt;=LI_C,IF($E57&lt;LS_C,$R57,0),0),0)</f>
        <v>0</v>
      </c>
      <c r="AZ57" s="5">
        <f>IF($E$54="Producción",IF($E57&lt;LS_D,$R57,0),0)</f>
        <v>0</v>
      </c>
      <c r="BA57" s="5">
        <f>IF($E$54="Crecimiento",$R57,0)</f>
        <v>0</v>
      </c>
      <c r="BB57" s="5">
        <f>IF($E54="Siembra",'6'!$R$7,0)</f>
        <v>0</v>
      </c>
      <c r="BC57" s="5">
        <f>IF($E54="Abandono",'6'!$R$7,0)</f>
        <v>0</v>
      </c>
      <c r="BD57" s="5">
        <f>IF($F$54="Producción",IF($F57&gt;=LI_A,$S57,0),0)</f>
        <v>0</v>
      </c>
      <c r="BE57" s="5">
        <f>IF($F$54="Producción",IF($F57&gt;=LI_B,IF($F57&lt;LS_B,$S57,0),0),0)</f>
        <v>0</v>
      </c>
      <c r="BF57" s="5">
        <f>IF($F$54="Producción",IF($F57&gt;=LI_C,IF($F57&lt;LS_C,$S57,0),0),0)</f>
        <v>0</v>
      </c>
      <c r="BG57" s="5">
        <f>IF($F$54="Producción",IF($F57&lt;LS_D,$S57,0),0)</f>
        <v>0</v>
      </c>
      <c r="BH57" s="5">
        <f>IF($F$54="Crecimiento",$S57,0)</f>
        <v>0</v>
      </c>
      <c r="BI57" s="5">
        <f>IF($F54="Siembra",'6'!$S$7,0)</f>
        <v>0</v>
      </c>
      <c r="BJ57" s="5">
        <f>IF($F54="Abandono",'6'!$S$7,0)</f>
        <v>0</v>
      </c>
      <c r="BK57" s="5">
        <f>IF($G$54="Producción",IF($G57&gt;=LI_A,$T57,0),0)</f>
        <v>0</v>
      </c>
      <c r="BL57" s="5">
        <f>IF($G$54="Producción",IF($G57&gt;=LI_B,IF($G57&lt;LS_B,$T57,0),0),0)</f>
        <v>0</v>
      </c>
      <c r="BM57" s="5">
        <f>IF($G$54="Producción",IF($G57&gt;=LI_C,IF($G57&lt;LS_C,$T57,0),0),0)</f>
        <v>0</v>
      </c>
      <c r="BN57" s="5">
        <f>IF($G$54="Producción",IF($G57&lt;LS_D,$T57,0),0)</f>
        <v>0</v>
      </c>
      <c r="BO57" s="5">
        <f>IF($G$54="Crecimiento",$T57,0)</f>
        <v>0</v>
      </c>
      <c r="BP57" s="5">
        <f>IF($G54="Siembra",'6'!$T$7,0)</f>
        <v>0</v>
      </c>
      <c r="BQ57" s="5">
        <f>IF($G54="Abandono",'6'!$T$7,0)</f>
        <v>0</v>
      </c>
      <c r="BR57" s="5">
        <f>IF($H$54="Producción",IF($H57&gt;=LI_A,$U57,0),0)</f>
        <v>0</v>
      </c>
      <c r="BS57" s="5">
        <f>IF($H$54="Producción",IF($H57&gt;=LI_B,IF($H57&lt;LS_B,$U57,0),0),0)</f>
        <v>0</v>
      </c>
      <c r="BT57" s="5">
        <f>IF($H$54="Producción",IF($H57&gt;=LI_C,IF($H57&lt;LS_C,$U57,0),0),0)</f>
        <v>0</v>
      </c>
      <c r="BU57" s="5">
        <f>IF($H$54="Producción",IF($H57&lt;LS_D,$U57,0),0)</f>
        <v>0</v>
      </c>
      <c r="BV57" s="5">
        <f>IF($H$54="Crecimiento",$T57,0)</f>
        <v>0</v>
      </c>
      <c r="BW57" s="5">
        <f>IF($H54="Siembra",'6'!$U$7,0)</f>
        <v>0</v>
      </c>
      <c r="BX57" s="5">
        <f>IF($H54="Abandono",'6'!$U$7,0)</f>
        <v>0</v>
      </c>
      <c r="BY57" s="5">
        <f>IF($I$54="Producción",IF($I57&gt;=LI_A,$V57,0),0)</f>
        <v>0</v>
      </c>
      <c r="BZ57" s="5">
        <f>IF($I$54="Producción",IF($I57&gt;=LI_B,IF($I57&lt;LS_B,$V57,0),0),0)</f>
        <v>0</v>
      </c>
      <c r="CA57" s="5">
        <f>IF($I$54="Producción",IF($I57&gt;=LI_C,IF($I57&lt;LS_C,$V57,0),0),0)</f>
        <v>0</v>
      </c>
      <c r="CB57" s="5">
        <f>IF($I$54="Producción",IF($I57&lt;LS_D,$V57,0),0)</f>
        <v>0</v>
      </c>
      <c r="CC57" s="5">
        <f>IF($I$54="Crecimiento",$V57,0)</f>
        <v>0</v>
      </c>
      <c r="CD57" s="5">
        <f>IF($I54="Siembra",'6'!$V$7,0)</f>
        <v>0</v>
      </c>
      <c r="CE57" s="5">
        <f>IF($I54="Abandono",'6'!$V$7,0)</f>
        <v>0</v>
      </c>
      <c r="CF57" s="5">
        <f>IF($J$54="Producción",IF($J57&gt;=LI_A,$W57,0),0)</f>
        <v>0</v>
      </c>
      <c r="CG57" s="5">
        <f>IF($J$54="Producción",IF($J57&gt;=LI_B,IF($J57&lt;LS_B,$W57,0),0),0)</f>
        <v>0</v>
      </c>
      <c r="CH57" s="5">
        <f>IF($J$54="Producción",IF($J57&gt;=LI_C,IF($J57&lt;LS_C,$W57,0),0),0)</f>
        <v>0</v>
      </c>
      <c r="CI57" s="5">
        <f>IF($J$54="Producción",IF($J57&lt;LS_D,$W57,0),0)</f>
        <v>0</v>
      </c>
      <c r="CJ57" s="5">
        <f>IF($J$54="Crecimiento",$W57,0)</f>
        <v>0</v>
      </c>
      <c r="CK57" s="5">
        <f>IF($J54="Siembra",'6'!$W$7,0)</f>
        <v>0</v>
      </c>
      <c r="CL57" s="5">
        <f>IF($J54="Abandono",'6'!$W$7,0)</f>
        <v>0</v>
      </c>
      <c r="CM57" s="5">
        <f>IF($K$54="Producción",IF($K57&gt;=LI_A,$X57,0),0)</f>
        <v>0</v>
      </c>
      <c r="CN57" s="5">
        <f>IF($K$54="Producción",IF($K57&gt;=LI_B,IF($K57&lt;LS_B,$X57,0),0),0)</f>
        <v>0</v>
      </c>
      <c r="CO57" s="5">
        <f>IF($K$54="Producción",IF($K57&gt;=LI_C,IF($K57&lt;LS_C,$X57,0),0),0)</f>
        <v>0</v>
      </c>
      <c r="CP57" s="5">
        <f>IF($K$54="Producción",IF($K57&lt;LS_D,$X57,0),0)</f>
        <v>0</v>
      </c>
      <c r="CQ57" s="5">
        <f>IF($K$54="Crecimiento",$X57,0)</f>
        <v>0</v>
      </c>
      <c r="CR57" s="5">
        <f>IF($K54="Siembra",'6'!$X$7,0)</f>
        <v>0</v>
      </c>
      <c r="CS57" s="5">
        <f>IF($K54="Abandono",'6'!$X$7,0)</f>
        <v>0</v>
      </c>
      <c r="CT57" s="5">
        <f>IF($L$54="Producción",IF($L57&gt;=LI_A,$Y57,0),0)</f>
        <v>0</v>
      </c>
      <c r="CU57" s="5">
        <f>IF($L$54="Producción",IF($L57&gt;=LI_B,IF($L57&lt;LS_B,$Y57,0),0),0)</f>
        <v>0</v>
      </c>
      <c r="CV57" s="5">
        <f>IF($L$54="Producción",IF($L57&gt;=LI_C,IF($L57&lt;LS_C,$Y57,0),0),0)</f>
        <v>0</v>
      </c>
      <c r="CW57" s="5">
        <f>IF($L$54="Producción",IF($L57&lt;LS_D,$Y57,0),0)</f>
        <v>0</v>
      </c>
      <c r="CX57" s="5">
        <f>IF($L$54="Crecimiento",$Y57,0)</f>
        <v>0</v>
      </c>
      <c r="CY57" s="5">
        <f>IF($L54="Siembra",'6'!$Y$7,0)</f>
        <v>0</v>
      </c>
      <c r="CZ57" s="5">
        <f>IF($L54="Abandono",'6'!$Y$7,0)</f>
        <v>0</v>
      </c>
      <c r="DA57" s="5">
        <f>IF($M$54="Producción",IF($M57&gt;=LI_A,$Z57,0),0)</f>
        <v>0</v>
      </c>
      <c r="DB57" s="5">
        <f>IF($M$54="Producción",IF($M57&gt;=LI_B,IF($M57&lt;LS_B,$Z57,0),0),0)</f>
        <v>0</v>
      </c>
      <c r="DC57" s="5">
        <f>IF($M$54="Producción",IF($M57&gt;=LI_C,IF($M57&lt;LS_C,$Z57,0),0),0)</f>
        <v>0</v>
      </c>
      <c r="DD57" s="5">
        <f>IF($M$54="Producción",IF($M57&lt;LS_D,$Z57,0),0)</f>
        <v>0</v>
      </c>
      <c r="DE57" s="5">
        <f>IF($M$54="Crecimiento",$Z57,0)</f>
        <v>0</v>
      </c>
      <c r="DF57" s="5">
        <f>IF($M54="Siembra",'6'!$Z$7,0)</f>
        <v>0</v>
      </c>
      <c r="DG57" s="5">
        <f>IF($M54="Abandono",'6'!$Z$7,0)</f>
        <v>0</v>
      </c>
      <c r="DI57" s="5">
        <f t="shared" ref="DI57:DI61" si="377">AB57*$B57</f>
        <v>0</v>
      </c>
      <c r="DJ57" s="5">
        <f t="shared" ref="DJ57:DJ61" si="378">AC57*$B57</f>
        <v>0</v>
      </c>
      <c r="DK57" s="5">
        <f t="shared" ref="DK57:DK61" si="379">AD57*$B57</f>
        <v>0</v>
      </c>
      <c r="DL57" s="5">
        <f t="shared" ref="DL57:DL61" si="380">AE57*$B57</f>
        <v>0</v>
      </c>
      <c r="DM57" s="5">
        <f t="shared" ref="DM57:DM61" si="381">AF57*$B57</f>
        <v>0</v>
      </c>
      <c r="DN57" s="5">
        <f t="shared" ref="DN57:DN61" si="382">AI57*$C57</f>
        <v>0</v>
      </c>
      <c r="DO57" s="5">
        <f t="shared" ref="DO57:DO61" si="383">AJ57*$C57</f>
        <v>0</v>
      </c>
      <c r="DP57" s="5">
        <f t="shared" ref="DP57:DP61" si="384">AK57*$C57</f>
        <v>0</v>
      </c>
      <c r="DQ57" s="5">
        <f t="shared" ref="DQ57:DQ61" si="385">AL57*$C57</f>
        <v>0</v>
      </c>
      <c r="DR57" s="5">
        <f t="shared" ref="DR57:DR61" si="386">AM57*$C57</f>
        <v>0</v>
      </c>
      <c r="DS57" s="5">
        <f t="shared" ref="DS57:DS61" si="387">AP57*$D57</f>
        <v>0</v>
      </c>
      <c r="DT57" s="5">
        <f t="shared" ref="DT57:DT61" si="388">AQ57*$D57</f>
        <v>0</v>
      </c>
      <c r="DU57" s="5">
        <f t="shared" ref="DU57:DU61" si="389">AR57*$D57</f>
        <v>0</v>
      </c>
      <c r="DV57" s="5">
        <f t="shared" ref="DV57:DV61" si="390">AS57*$D57</f>
        <v>0</v>
      </c>
      <c r="DW57" s="5">
        <f t="shared" ref="DW57:DW61" si="391">AT57*$D57</f>
        <v>0</v>
      </c>
      <c r="DX57" s="5">
        <f t="shared" ref="DX57:DX61" si="392">AW57*$E57</f>
        <v>0</v>
      </c>
      <c r="DY57" s="5">
        <f t="shared" ref="DY57:DY61" si="393">AX57*$E57</f>
        <v>0</v>
      </c>
      <c r="DZ57" s="5">
        <f t="shared" ref="DZ57:DZ61" si="394">AY57*$E57</f>
        <v>0</v>
      </c>
      <c r="EA57" s="5">
        <f t="shared" ref="EA57:EA61" si="395">AZ57*$E57</f>
        <v>0</v>
      </c>
      <c r="EB57" s="5">
        <f t="shared" ref="EB57:EB61" si="396">BA57*$E57</f>
        <v>0</v>
      </c>
      <c r="EC57" s="5">
        <f t="shared" ref="EC57:EC61" si="397">BD57*$F57</f>
        <v>0</v>
      </c>
      <c r="ED57" s="5">
        <f t="shared" ref="ED57:ED61" si="398">BE57*$F57</f>
        <v>0</v>
      </c>
      <c r="EE57" s="5">
        <f t="shared" ref="EE57:EE61" si="399">BF57*$F57</f>
        <v>0</v>
      </c>
      <c r="EF57" s="5">
        <f t="shared" ref="EF57:EF61" si="400">BG57*$F57</f>
        <v>0</v>
      </c>
      <c r="EG57" s="5">
        <f t="shared" ref="EG57:EG61" si="401">BH57*$F57</f>
        <v>0</v>
      </c>
      <c r="EH57" s="5">
        <f t="shared" ref="EH57:EH61" si="402">BK57*$G57</f>
        <v>0</v>
      </c>
      <c r="EI57" s="5">
        <f t="shared" ref="EI57:EI61" si="403">BL57*$G57</f>
        <v>0</v>
      </c>
      <c r="EJ57" s="5">
        <f t="shared" ref="EJ57:EJ61" si="404">BM57*$G57</f>
        <v>0</v>
      </c>
      <c r="EK57" s="5">
        <f t="shared" ref="EK57:EK61" si="405">BN57*$G57</f>
        <v>0</v>
      </c>
      <c r="EL57" s="5">
        <f t="shared" ref="EL57:EL61" si="406">BO57*$G57</f>
        <v>0</v>
      </c>
      <c r="EM57" s="5">
        <f t="shared" ref="EM57:EM61" si="407">BR57*$H57</f>
        <v>0</v>
      </c>
      <c r="EN57" s="5">
        <f t="shared" ref="EN57:EN61" si="408">BS57*$H57</f>
        <v>0</v>
      </c>
      <c r="EO57" s="5">
        <f t="shared" ref="EO57:EO61" si="409">BT57*$H57</f>
        <v>0</v>
      </c>
      <c r="EP57" s="5">
        <f t="shared" ref="EP57:EP61" si="410">BU57*$H57</f>
        <v>0</v>
      </c>
      <c r="EQ57" s="5">
        <f t="shared" ref="EQ57:EQ61" si="411">BV57*$H57</f>
        <v>0</v>
      </c>
      <c r="ER57" s="5">
        <f t="shared" ref="ER57:ER61" si="412">BY57*$I57</f>
        <v>0</v>
      </c>
      <c r="ES57" s="5">
        <f t="shared" ref="ES57:ES61" si="413">BZ57*$I57</f>
        <v>0</v>
      </c>
      <c r="ET57" s="5">
        <f t="shared" ref="ET57:ET61" si="414">CA57*$I57</f>
        <v>0</v>
      </c>
      <c r="EU57" s="5">
        <f t="shared" ref="EU57:EU61" si="415">CB57*$I57</f>
        <v>0</v>
      </c>
      <c r="EV57" s="5">
        <f t="shared" ref="EV57:EV61" si="416">CC57*$I57</f>
        <v>0</v>
      </c>
      <c r="EW57" s="5">
        <f t="shared" ref="EW57:EW61" si="417">CF57*$J57</f>
        <v>0</v>
      </c>
      <c r="EX57" s="5">
        <f t="shared" ref="EX57:EX61" si="418">CG57*$J57</f>
        <v>0</v>
      </c>
      <c r="EY57" s="5">
        <f t="shared" ref="EY57:EY61" si="419">CH57*$J57</f>
        <v>0</v>
      </c>
      <c r="EZ57" s="5">
        <f t="shared" ref="EZ57:EZ61" si="420">CI57*$J57</f>
        <v>0</v>
      </c>
      <c r="FA57" s="5">
        <f t="shared" ref="FA57:FA61" si="421">CJ57*$J57</f>
        <v>0</v>
      </c>
      <c r="FB57" s="5">
        <f t="shared" ref="FB57:FB61" si="422">CM57*$K57</f>
        <v>0</v>
      </c>
      <c r="FC57" s="5">
        <f t="shared" ref="FC57:FC61" si="423">CN57*$K57</f>
        <v>0</v>
      </c>
      <c r="FD57" s="5">
        <f t="shared" ref="FD57:FD61" si="424">CO57*$K57</f>
        <v>0</v>
      </c>
      <c r="FE57" s="5">
        <f t="shared" ref="FE57:FE61" si="425">CP57*$K57</f>
        <v>0</v>
      </c>
      <c r="FF57" s="5">
        <f t="shared" ref="FF57:FF61" si="426">CQ57*$K57</f>
        <v>0</v>
      </c>
      <c r="FG57" s="5">
        <f t="shared" ref="FG57:FG61" si="427">CT57*$L57</f>
        <v>0</v>
      </c>
      <c r="FH57" s="5">
        <f t="shared" ref="FH57:FH61" si="428">CU57*$L57</f>
        <v>0</v>
      </c>
      <c r="FI57" s="5">
        <f t="shared" ref="FI57:FI61" si="429">CV57*$L57</f>
        <v>0</v>
      </c>
      <c r="FJ57" s="5">
        <f t="shared" ref="FJ57:FJ61" si="430">CW57*$L57</f>
        <v>0</v>
      </c>
      <c r="FK57" s="5">
        <f t="shared" ref="FK57:FK61" si="431">CX57*$L57</f>
        <v>0</v>
      </c>
      <c r="FL57" s="5">
        <f t="shared" ref="FL57:FL61" si="432">DA57*$M57</f>
        <v>0</v>
      </c>
      <c r="FM57" s="5">
        <f t="shared" ref="FM57:FM61" si="433">DB57*$M57</f>
        <v>0</v>
      </c>
      <c r="FN57" s="5">
        <f t="shared" ref="FN57:FN61" si="434">DC57*$M57</f>
        <v>0</v>
      </c>
      <c r="FO57" s="5">
        <f t="shared" ref="FO57:FO61" si="435">DD57*$M57</f>
        <v>0</v>
      </c>
      <c r="FP57" s="5">
        <f t="shared" ref="FP57:FP61" si="436">DE57*$M57</f>
        <v>0</v>
      </c>
    </row>
    <row r="58" spans="1:172" ht="20.100000000000001" customHeight="1" x14ac:dyDescent="0.3">
      <c r="A58" s="8" t="s">
        <v>303</v>
      </c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O58" s="58">
        <f>IFERROR('6'!O$31/Ciclo,0)</f>
        <v>0</v>
      </c>
      <c r="P58" s="58">
        <f>IFERROR('6'!P$31/Ciclo,0)</f>
        <v>0</v>
      </c>
      <c r="Q58" s="58">
        <f>IFERROR('6'!Q$31/Ciclo,0)</f>
        <v>0</v>
      </c>
      <c r="R58" s="58">
        <f>IFERROR('6'!R$31/Ciclo,0)</f>
        <v>0</v>
      </c>
      <c r="S58" s="58">
        <f>IFERROR('6'!S$31/Ciclo,0)</f>
        <v>0</v>
      </c>
      <c r="T58" s="58">
        <f>IFERROR('6'!T$31/Ciclo,0)</f>
        <v>0</v>
      </c>
      <c r="U58" s="58">
        <f>IFERROR('6'!U$31/Ciclo,0)</f>
        <v>0</v>
      </c>
      <c r="V58" s="58">
        <f>IFERROR('6'!V$31/Ciclo,0)</f>
        <v>0</v>
      </c>
      <c r="W58" s="5">
        <f>IFERROR('6'!W$31/Ciclo,0)</f>
        <v>0</v>
      </c>
      <c r="X58" s="5">
        <f>IFERROR('6'!X$31/Ciclo,0)</f>
        <v>0</v>
      </c>
      <c r="Y58" s="5">
        <f>IFERROR('6'!Y$31/Ciclo,0)</f>
        <v>0</v>
      </c>
      <c r="Z58" s="5">
        <f>IFERROR('6'!Z$31/Ciclo,0)</f>
        <v>0</v>
      </c>
      <c r="AB58" s="5">
        <f>IF($B$54="Producción",IF($B58&gt;=LI_A,$O58,0),0)</f>
        <v>0</v>
      </c>
      <c r="AC58" s="5">
        <f>IF($B$54="Producción",IF($B58&gt;=LI_B,IF($B58&lt;LS_B,$O58,0),0),0)</f>
        <v>0</v>
      </c>
      <c r="AD58" s="5">
        <f>IF($B$54="Producción",IF($B58&gt;=LI_C,IF($B58&lt;LS_C,$O58,0),0),0)</f>
        <v>0</v>
      </c>
      <c r="AE58" s="5">
        <f>IF($B$54="Producción",IF($B58&lt;LS_D,$O58,0),0)</f>
        <v>0</v>
      </c>
      <c r="AF58" s="5">
        <f t="shared" ref="AF58:AF61" si="437">IF($B$54="Crecimiento",$O58,0)</f>
        <v>0</v>
      </c>
      <c r="AI58" s="5">
        <f>IF($C$54="Producción",IF($C58&gt;=LI_A,$P58,0),0)</f>
        <v>0</v>
      </c>
      <c r="AJ58" s="5">
        <f>IF($C$54="Producción",IF($C58&gt;=LI_B,IF($C58&lt;LS_B,$P58,0),0),0)</f>
        <v>0</v>
      </c>
      <c r="AK58" s="5">
        <f>IF($C$54="Producción",IF($C58&gt;=LI_C,IF($C58&lt;LS_C,$P58,0),0),0)</f>
        <v>0</v>
      </c>
      <c r="AL58" s="5">
        <f>IF($C$54="Producción",IF($C58&lt;LS_D,$P58,0),0)</f>
        <v>0</v>
      </c>
      <c r="AM58" s="5">
        <f>IF($C$54="Crecimiento",$P58,0)</f>
        <v>0</v>
      </c>
      <c r="AP58" s="5">
        <f>IF($D$54="Producción",IF($D58&gt;=LI_A,$Q58,0),0)</f>
        <v>0</v>
      </c>
      <c r="AQ58" s="5">
        <f>IF($D$54="Producción",IF($D58&gt;=LI_B,IF($D58&lt;LS_B,$Q58,0),0),0)</f>
        <v>0</v>
      </c>
      <c r="AR58" s="5">
        <f>IF($D$54="Producción",IF($D58&gt;=LI_C,IF($D58&lt;LS_C,$Q58,0),0),0)</f>
        <v>0</v>
      </c>
      <c r="AS58" s="5">
        <f>IF($D$54="Producción",IF($D58&lt;LS_D,$Q58,0),0)</f>
        <v>0</v>
      </c>
      <c r="AT58" s="5">
        <f>IF($D$54="Crecimiento",IF($D58&gt;0,$Q58,0),0)</f>
        <v>0</v>
      </c>
      <c r="AW58" s="5">
        <f>IF($E$54="Producción",IF($E58&gt;=LI_A,$R58,0),0)</f>
        <v>0</v>
      </c>
      <c r="AX58" s="5">
        <f>IF($E$54="Producción",IF($E58&gt;=LI_B,IF($E58&lt;LS_B,$R58,0),0),0)</f>
        <v>0</v>
      </c>
      <c r="AY58" s="5">
        <f>IF($E$54="Producción",IF($E58&gt;=LI_C,IF($E58&lt;LS_C,$R58,0),0),0)</f>
        <v>0</v>
      </c>
      <c r="AZ58" s="5">
        <f>IF($E$54="Producción",IF($E58&lt;LS_D,$R58,0),0)</f>
        <v>0</v>
      </c>
      <c r="BA58" s="5">
        <f>IF($E$54="Crecimiento",$R58,0)</f>
        <v>0</v>
      </c>
      <c r="BD58" s="5">
        <f>IF($F$54="Producción",IF($F58&gt;=LI_A,$S58,0),0)</f>
        <v>0</v>
      </c>
      <c r="BE58" s="5">
        <f>IF($F$54="Producción",IF($F58&gt;=LI_B,IF($F58&lt;LS_B,$S58,0),0),0)</f>
        <v>0</v>
      </c>
      <c r="BF58" s="5">
        <f>IF($F$54="Producción",IF($F58&gt;=LI_C,IF($F58&lt;LS_C,$S58,0),0),0)</f>
        <v>0</v>
      </c>
      <c r="BG58" s="5">
        <f>IF($F$54="Producción",IF($F58&lt;LS_D,$S58,0),0)</f>
        <v>0</v>
      </c>
      <c r="BH58" s="5">
        <f>IF($F$54="Crecimiento",$S58,0)</f>
        <v>0</v>
      </c>
      <c r="BK58" s="5">
        <f>IF($G$54="Producción",IF($G58&gt;=LI_A,$T58,0),0)</f>
        <v>0</v>
      </c>
      <c r="BL58" s="5">
        <f>IF($G$54="Producción",IF($G58&gt;=LI_B,IF($G58&lt;LS_B,$T58,0),0),0)</f>
        <v>0</v>
      </c>
      <c r="BM58" s="5">
        <f>IF($G$54="Producción",IF($G58&gt;=LI_C,IF($G58&lt;LS_C,$T58,0),0),0)</f>
        <v>0</v>
      </c>
      <c r="BN58" s="5">
        <f>IF($G$54="Producción",IF($G58&lt;LS_D,$T58,0),0)</f>
        <v>0</v>
      </c>
      <c r="BO58" s="5">
        <f>IF($G$54="Crecimiento",$T58,0)</f>
        <v>0</v>
      </c>
      <c r="BR58" s="5">
        <f>IF($H$54="Producción",IF($H58&gt;=LI_A,$U58,0),0)</f>
        <v>0</v>
      </c>
      <c r="BS58" s="5">
        <f>IF($H$54="Producción",IF($H58&gt;=LI_B,IF($H58&lt;LS_B,$U58,0),0),0)</f>
        <v>0</v>
      </c>
      <c r="BT58" s="5">
        <f>IF($H$54="Producción",IF($H58&gt;=LI_C,IF($H58&lt;LS_C,$U58,0),0),0)</f>
        <v>0</v>
      </c>
      <c r="BU58" s="5">
        <f>IF($H$54="Producción",IF($H58&lt;LS_D,$U58,0),0)</f>
        <v>0</v>
      </c>
      <c r="BV58" s="5">
        <f>IF($H$54="Crecimiento",$T58,0)</f>
        <v>0</v>
      </c>
      <c r="BY58" s="5">
        <f>IF($I$54="Producción",IF($I58&gt;=LI_A,$V58,0),0)</f>
        <v>0</v>
      </c>
      <c r="BZ58" s="5">
        <f>IF($I$54="Producción",IF($I58&gt;=LI_B,IF($I58&lt;LS_B,$V58,0),0),0)</f>
        <v>0</v>
      </c>
      <c r="CA58" s="5">
        <f>IF($I$54="Producción",IF($I58&gt;=LI_C,IF($I58&lt;LS_C,$V58,0),0),0)</f>
        <v>0</v>
      </c>
      <c r="CB58" s="5">
        <f>IF($I$54="Producción",IF($I58&lt;LS_D,$V58,0),0)</f>
        <v>0</v>
      </c>
      <c r="CC58" s="5">
        <f>IF($I$54="Crecimiento",$V58,0)</f>
        <v>0</v>
      </c>
      <c r="CF58" s="5">
        <f>IF($J$54="Producción",IF($J58&gt;=LI_A,$W58,0),0)</f>
        <v>0</v>
      </c>
      <c r="CG58" s="5">
        <f>IF($J$54="Producción",IF($J58&gt;=LI_B,IF($J58&lt;LS_B,$W58,0),0),0)</f>
        <v>0</v>
      </c>
      <c r="CH58" s="5">
        <f>IF($J$54="Producción",IF($J58&gt;=LI_C,IF($J58&lt;LS_C,$W58,0),0),0)</f>
        <v>0</v>
      </c>
      <c r="CI58" s="5">
        <f>IF($J$54="Producción",IF($J58&lt;LS_D,$W58,0),0)</f>
        <v>0</v>
      </c>
      <c r="CJ58" s="5">
        <f>IF($J$54="Crecimiento",$W58,0)</f>
        <v>0</v>
      </c>
      <c r="CM58" s="5">
        <f>IF($K$54="Producción",IF($K58&gt;=LI_A,$X58,0),0)</f>
        <v>0</v>
      </c>
      <c r="CN58" s="5">
        <f>IF($K$54="Producción",IF($K58&gt;=LI_B,IF($K58&lt;LS_B,$X58,0),0),0)</f>
        <v>0</v>
      </c>
      <c r="CO58" s="5">
        <f>IF($K$54="Producción",IF($K58&gt;=LI_C,IF($K58&lt;LS_C,$X58,0),0),0)</f>
        <v>0</v>
      </c>
      <c r="CP58" s="5">
        <f>IF($K$54="Producción",IF($K58&lt;LS_D,$X58,0),0)</f>
        <v>0</v>
      </c>
      <c r="CQ58" s="5">
        <f>IF($K$54="Crecimiento",$X58,0)</f>
        <v>0</v>
      </c>
      <c r="CT58" s="5">
        <f>IF($L$54="Producción",IF($L58&gt;=LI_A,$Y58,0),0)</f>
        <v>0</v>
      </c>
      <c r="CU58" s="5">
        <f>IF($L$54="Producción",IF($L58&gt;=LI_B,IF($L58&lt;LS_B,$Y58,0),0),0)</f>
        <v>0</v>
      </c>
      <c r="CV58" s="5">
        <f>IF($L$54="Producción",IF($L58&gt;=LI_C,IF($L58&lt;LS_C,$Y58,0),0),0)</f>
        <v>0</v>
      </c>
      <c r="CW58" s="5">
        <f>IF($L$54="Producción",IF($L58&lt;LS_D,$Y58,0),0)</f>
        <v>0</v>
      </c>
      <c r="CX58" s="5">
        <f>IF($L$54="Crecimiento",$Y58,0)</f>
        <v>0</v>
      </c>
      <c r="DA58" s="5">
        <f>IF($M$54="Producción",IF($M58&gt;=LI_A,$Z58,0),0)</f>
        <v>0</v>
      </c>
      <c r="DB58" s="5">
        <f>IF($M$54="Producción",IF($M58&gt;=LI_B,IF($M58&lt;LS_B,$Z58,0),0),0)</f>
        <v>0</v>
      </c>
      <c r="DC58" s="5">
        <f>IF($M$54="Producción",IF($M58&gt;=LI_C,IF($M58&lt;LS_C,$Z58,0),0),0)</f>
        <v>0</v>
      </c>
      <c r="DD58" s="5">
        <f>IF($M$54="Producción",IF($M58&lt;LS_D,$Z58,0),0)</f>
        <v>0</v>
      </c>
      <c r="DE58" s="5">
        <f>IF($M$54="Crecimiento",$Z58,0)</f>
        <v>0</v>
      </c>
      <c r="DI58" s="5">
        <f t="shared" si="377"/>
        <v>0</v>
      </c>
      <c r="DJ58" s="5">
        <f t="shared" si="378"/>
        <v>0</v>
      </c>
      <c r="DK58" s="5">
        <f t="shared" si="379"/>
        <v>0</v>
      </c>
      <c r="DL58" s="5">
        <f t="shared" si="380"/>
        <v>0</v>
      </c>
      <c r="DM58" s="5">
        <f t="shared" si="381"/>
        <v>0</v>
      </c>
      <c r="DN58" s="5">
        <f t="shared" si="382"/>
        <v>0</v>
      </c>
      <c r="DO58" s="5">
        <f t="shared" si="383"/>
        <v>0</v>
      </c>
      <c r="DP58" s="5">
        <f t="shared" si="384"/>
        <v>0</v>
      </c>
      <c r="DQ58" s="5">
        <f t="shared" si="385"/>
        <v>0</v>
      </c>
      <c r="DR58" s="5">
        <f t="shared" si="386"/>
        <v>0</v>
      </c>
      <c r="DS58" s="5">
        <f t="shared" si="387"/>
        <v>0</v>
      </c>
      <c r="DT58" s="5">
        <f t="shared" si="388"/>
        <v>0</v>
      </c>
      <c r="DU58" s="5">
        <f t="shared" si="389"/>
        <v>0</v>
      </c>
      <c r="DV58" s="5">
        <f t="shared" si="390"/>
        <v>0</v>
      </c>
      <c r="DW58" s="5">
        <f t="shared" si="391"/>
        <v>0</v>
      </c>
      <c r="DX58" s="5">
        <f t="shared" si="392"/>
        <v>0</v>
      </c>
      <c r="DY58" s="5">
        <f t="shared" si="393"/>
        <v>0</v>
      </c>
      <c r="DZ58" s="5">
        <f t="shared" si="394"/>
        <v>0</v>
      </c>
      <c r="EA58" s="5">
        <f t="shared" si="395"/>
        <v>0</v>
      </c>
      <c r="EB58" s="5">
        <f t="shared" si="396"/>
        <v>0</v>
      </c>
      <c r="EC58" s="5">
        <f t="shared" si="397"/>
        <v>0</v>
      </c>
      <c r="ED58" s="5">
        <f t="shared" si="398"/>
        <v>0</v>
      </c>
      <c r="EE58" s="5">
        <f t="shared" si="399"/>
        <v>0</v>
      </c>
      <c r="EF58" s="5">
        <f t="shared" si="400"/>
        <v>0</v>
      </c>
      <c r="EG58" s="5">
        <f t="shared" si="401"/>
        <v>0</v>
      </c>
      <c r="EH58" s="5">
        <f t="shared" si="402"/>
        <v>0</v>
      </c>
      <c r="EI58" s="5">
        <f t="shared" si="403"/>
        <v>0</v>
      </c>
      <c r="EJ58" s="5">
        <f t="shared" si="404"/>
        <v>0</v>
      </c>
      <c r="EK58" s="5">
        <f t="shared" si="405"/>
        <v>0</v>
      </c>
      <c r="EL58" s="5">
        <f t="shared" si="406"/>
        <v>0</v>
      </c>
      <c r="EM58" s="5">
        <f t="shared" si="407"/>
        <v>0</v>
      </c>
      <c r="EN58" s="5">
        <f t="shared" si="408"/>
        <v>0</v>
      </c>
      <c r="EO58" s="5">
        <f t="shared" si="409"/>
        <v>0</v>
      </c>
      <c r="EP58" s="5">
        <f t="shared" si="410"/>
        <v>0</v>
      </c>
      <c r="EQ58" s="5">
        <f t="shared" si="411"/>
        <v>0</v>
      </c>
      <c r="ER58" s="5">
        <f t="shared" si="412"/>
        <v>0</v>
      </c>
      <c r="ES58" s="5">
        <f t="shared" si="413"/>
        <v>0</v>
      </c>
      <c r="ET58" s="5">
        <f t="shared" si="414"/>
        <v>0</v>
      </c>
      <c r="EU58" s="5">
        <f t="shared" si="415"/>
        <v>0</v>
      </c>
      <c r="EV58" s="5">
        <f t="shared" si="416"/>
        <v>0</v>
      </c>
      <c r="EW58" s="5">
        <f t="shared" si="417"/>
        <v>0</v>
      </c>
      <c r="EX58" s="5">
        <f t="shared" si="418"/>
        <v>0</v>
      </c>
      <c r="EY58" s="5">
        <f t="shared" si="419"/>
        <v>0</v>
      </c>
      <c r="EZ58" s="5">
        <f t="shared" si="420"/>
        <v>0</v>
      </c>
      <c r="FA58" s="5">
        <f t="shared" si="421"/>
        <v>0</v>
      </c>
      <c r="FB58" s="5">
        <f t="shared" si="422"/>
        <v>0</v>
      </c>
      <c r="FC58" s="5">
        <f t="shared" si="423"/>
        <v>0</v>
      </c>
      <c r="FD58" s="5">
        <f t="shared" si="424"/>
        <v>0</v>
      </c>
      <c r="FE58" s="5">
        <f t="shared" si="425"/>
        <v>0</v>
      </c>
      <c r="FF58" s="5">
        <f t="shared" si="426"/>
        <v>0</v>
      </c>
      <c r="FG58" s="5">
        <f t="shared" si="427"/>
        <v>0</v>
      </c>
      <c r="FH58" s="5">
        <f t="shared" si="428"/>
        <v>0</v>
      </c>
      <c r="FI58" s="5">
        <f t="shared" si="429"/>
        <v>0</v>
      </c>
      <c r="FJ58" s="5">
        <f t="shared" si="430"/>
        <v>0</v>
      </c>
      <c r="FK58" s="5">
        <f t="shared" si="431"/>
        <v>0</v>
      </c>
      <c r="FL58" s="5">
        <f t="shared" si="432"/>
        <v>0</v>
      </c>
      <c r="FM58" s="5">
        <f t="shared" si="433"/>
        <v>0</v>
      </c>
      <c r="FN58" s="5">
        <f t="shared" si="434"/>
        <v>0</v>
      </c>
      <c r="FO58" s="5">
        <f t="shared" si="435"/>
        <v>0</v>
      </c>
      <c r="FP58" s="5">
        <f t="shared" si="436"/>
        <v>0</v>
      </c>
    </row>
    <row r="59" spans="1:172" ht="20.100000000000001" customHeight="1" x14ac:dyDescent="0.3">
      <c r="A59" s="8" t="str">
        <f>IF(Ciclo&gt;2,"Surco 3","NA")</f>
        <v>Surco 3</v>
      </c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O59" s="58">
        <f>IF($A59="NA",0,IFERROR('6'!O$31/Ciclo,0))</f>
        <v>0</v>
      </c>
      <c r="P59" s="58">
        <f>IF($A59="NA",0,IFERROR('6'!P$31/Ciclo,0))</f>
        <v>0</v>
      </c>
      <c r="Q59" s="58">
        <f>IF($A59="NA",0,IFERROR('6'!Q$31/Ciclo,0))</f>
        <v>0</v>
      </c>
      <c r="R59" s="58">
        <f>IF($A59="NA",0,IFERROR('6'!R$31/Ciclo,0))</f>
        <v>0</v>
      </c>
      <c r="S59" s="58">
        <f>IF($A59="NA",0,IFERROR('6'!S$31/Ciclo,0))</f>
        <v>0</v>
      </c>
      <c r="T59" s="58">
        <f>IF($A59="NA",0,IFERROR('6'!T$31/Ciclo,0))</f>
        <v>0</v>
      </c>
      <c r="U59" s="58">
        <f>IF($A59="NA",0,IFERROR('6'!U$31/Ciclo,0))</f>
        <v>0</v>
      </c>
      <c r="V59" s="58">
        <f>IF($A59="NA",0,IFERROR('6'!V$31/Ciclo,0))</f>
        <v>0</v>
      </c>
      <c r="W59" s="5">
        <f>IF($A59="NA",0,IFERROR('6'!W$31/Ciclo,0))</f>
        <v>0</v>
      </c>
      <c r="X59" s="5">
        <f>IF($A59="NA",0,IFERROR('6'!X$31/Ciclo,0))</f>
        <v>0</v>
      </c>
      <c r="Y59" s="5">
        <f>IF($A59="NA",0,IFERROR('6'!Y$31/Ciclo,0))</f>
        <v>0</v>
      </c>
      <c r="Z59" s="5">
        <f>IF($A59="NA",0,IFERROR('6'!Z$31/Ciclo,0))</f>
        <v>0</v>
      </c>
      <c r="AB59" s="5">
        <f>IF($B$54="Producción",IF($B59&gt;=LI_A,$O59,0),0)</f>
        <v>0</v>
      </c>
      <c r="AC59" s="5">
        <f>IF($B$54="Producción",IF($B59&gt;=LI_B,IF($B59&lt;LS_B,$O59,0),0),0)</f>
        <v>0</v>
      </c>
      <c r="AD59" s="5">
        <f>IF($B$54="Producción",IF($B59&gt;=LI_C,IF($B59&lt;LS_C,$O59,0),0),0)</f>
        <v>0</v>
      </c>
      <c r="AE59" s="5">
        <f>IF($B$54="Producción",IF($B59&lt;LS_D,$O59,0),0)</f>
        <v>0</v>
      </c>
      <c r="AF59" s="5">
        <f t="shared" si="437"/>
        <v>0</v>
      </c>
      <c r="AI59" s="5">
        <f>IF($C$54="Producción",IF($C59&gt;=LI_A,$P59,0),0)</f>
        <v>0</v>
      </c>
      <c r="AJ59" s="5">
        <f>IF($C$54="Producción",IF($C59&gt;=LI_B,IF($C59&lt;LS_B,$P59,0),0),0)</f>
        <v>0</v>
      </c>
      <c r="AK59" s="5">
        <f>IF($C$54="Producción",IF($C59&gt;=LI_C,IF($C59&lt;LS_C,$P59,0),0),0)</f>
        <v>0</v>
      </c>
      <c r="AL59" s="5">
        <f>IF($C$54="Producción",IF($C59&lt;LS_D,$P59,0),0)</f>
        <v>0</v>
      </c>
      <c r="AM59" s="5">
        <f>IF($C$54="Crecimiento",$P59,0)</f>
        <v>0</v>
      </c>
      <c r="AP59" s="5">
        <f>IF($D$54="Producción",IF($D59&gt;=LI_A,$Q59,0),0)</f>
        <v>0</v>
      </c>
      <c r="AQ59" s="5">
        <f>IF($D$54="Producción",IF($D59&gt;=LI_B,IF($D59&lt;LS_B,$Q59,0),0),0)</f>
        <v>0</v>
      </c>
      <c r="AR59" s="5">
        <f>IF($D$54="Producción",IF($D59&gt;=LI_C,IF($D59&lt;LS_C,$Q59,0),0),0)</f>
        <v>0</v>
      </c>
      <c r="AS59" s="5">
        <f>IF($D$54="Producción",IF($D59&lt;LS_D,$Q59,0),0)</f>
        <v>0</v>
      </c>
      <c r="AT59" s="5">
        <f>IF($D$54="Crecimiento",IF($D59&gt;0,$Q59,0),0)</f>
        <v>0</v>
      </c>
      <c r="AW59" s="5">
        <f>IF($E$54="Producción",IF($E59&gt;=LI_A,$R59,0),0)</f>
        <v>0</v>
      </c>
      <c r="AX59" s="5">
        <f>IF($E$54="Producción",IF($E59&gt;=LI_B,IF($E59&lt;LS_B,$R59,0),0),0)</f>
        <v>0</v>
      </c>
      <c r="AY59" s="5">
        <f>IF($E$54="Producción",IF($E59&gt;=LI_C,IF($E59&lt;LS_C,$R59,0),0),0)</f>
        <v>0</v>
      </c>
      <c r="AZ59" s="5">
        <f>IF($E$54="Producción",IF($E59&lt;LS_D,$R59,0),0)</f>
        <v>0</v>
      </c>
      <c r="BA59" s="5">
        <f>IF($E$54="Crecimiento",$R59,0)</f>
        <v>0</v>
      </c>
      <c r="BD59" s="5">
        <f>IF($F$54="Producción",IF($F59&gt;=LI_A,$S59,0),0)</f>
        <v>0</v>
      </c>
      <c r="BE59" s="5">
        <f>IF($F$54="Producción",IF($F59&gt;=LI_B,IF($F59&lt;LS_B,$S59,0),0),0)</f>
        <v>0</v>
      </c>
      <c r="BF59" s="5">
        <f>IF($F$54="Producción",IF($F59&gt;=LI_C,IF($F59&lt;LS_C,$S59,0),0),0)</f>
        <v>0</v>
      </c>
      <c r="BG59" s="5">
        <f>IF($F$54="Producción",IF($F59&lt;LS_D,$S59,0),0)</f>
        <v>0</v>
      </c>
      <c r="BH59" s="5">
        <f>IF($F$54="Crecimiento",$S59,0)</f>
        <v>0</v>
      </c>
      <c r="BK59" s="5">
        <f>IF($G$54="Producción",IF($G59&gt;=LI_A,$T59,0),0)</f>
        <v>0</v>
      </c>
      <c r="BL59" s="5">
        <f>IF($G$54="Producción",IF($G59&gt;=LI_B,IF($G59&lt;LS_B,$T59,0),0),0)</f>
        <v>0</v>
      </c>
      <c r="BM59" s="5">
        <f>IF($G$54="Producción",IF($G59&gt;=LI_C,IF($G59&lt;LS_C,$T59,0),0),0)</f>
        <v>0</v>
      </c>
      <c r="BN59" s="5">
        <f>IF($G$54="Producción",IF($G59&lt;LS_D,$T59,0),0)</f>
        <v>0</v>
      </c>
      <c r="BO59" s="5">
        <f>IF($G$54="Crecimiento",$T59,0)</f>
        <v>0</v>
      </c>
      <c r="BR59" s="5">
        <f>IF($H$54="Producción",IF($H59&gt;=LI_A,$U59,0),0)</f>
        <v>0</v>
      </c>
      <c r="BS59" s="5">
        <f>IF($H$54="Producción",IF($H59&gt;=LI_B,IF($H59&lt;LS_B,$U59,0),0),0)</f>
        <v>0</v>
      </c>
      <c r="BT59" s="5">
        <f>IF($H$54="Producción",IF($H59&gt;=LI_C,IF($H59&lt;LS_C,$U59,0),0),0)</f>
        <v>0</v>
      </c>
      <c r="BU59" s="5">
        <f>IF($H$54="Producción",IF($H59&lt;LS_D,$U59,0),0)</f>
        <v>0</v>
      </c>
      <c r="BV59" s="5">
        <f>IF($H$54="Crecimiento",$T59,0)</f>
        <v>0</v>
      </c>
      <c r="BY59" s="5">
        <f>IF($I$54="Producción",IF($I59&gt;=LI_A,$V59,0),0)</f>
        <v>0</v>
      </c>
      <c r="BZ59" s="5">
        <f>IF($I$54="Producción",IF($I59&gt;=LI_B,IF($I59&lt;LS_B,$V59,0),0),0)</f>
        <v>0</v>
      </c>
      <c r="CA59" s="5">
        <f>IF($I$54="Producción",IF($I59&gt;=LI_C,IF($I59&lt;LS_C,$V59,0),0),0)</f>
        <v>0</v>
      </c>
      <c r="CB59" s="5">
        <f>IF($I$54="Producción",IF($I59&lt;LS_D,$V59,0),0)</f>
        <v>0</v>
      </c>
      <c r="CC59" s="5">
        <f>IF($I$54="Crecimiento",$V59,0)</f>
        <v>0</v>
      </c>
      <c r="CF59" s="5">
        <f>IF($J$54="Producción",IF($J59&gt;=LI_A,$W59,0),0)</f>
        <v>0</v>
      </c>
      <c r="CG59" s="5">
        <f>IF($J$54="Producción",IF($J59&gt;=LI_B,IF($J59&lt;LS_B,$W59,0),0),0)</f>
        <v>0</v>
      </c>
      <c r="CH59" s="5">
        <f>IF($J$54="Producción",IF($J59&gt;=LI_C,IF($J59&lt;LS_C,$W59,0),0),0)</f>
        <v>0</v>
      </c>
      <c r="CI59" s="5">
        <f>IF($J$54="Producción",IF($J59&lt;LS_D,$W59,0),0)</f>
        <v>0</v>
      </c>
      <c r="CJ59" s="5">
        <f>IF($J$54="Crecimiento",$W59,0)</f>
        <v>0</v>
      </c>
      <c r="CM59" s="5">
        <f>IF($K$54="Producción",IF($K59&gt;=LI_A,$X59,0),0)</f>
        <v>0</v>
      </c>
      <c r="CN59" s="5">
        <f>IF($K$54="Producción",IF($K59&gt;=LI_B,IF($K59&lt;LS_B,$X59,0),0),0)</f>
        <v>0</v>
      </c>
      <c r="CO59" s="5">
        <f>IF($K$54="Producción",IF($K59&gt;=LI_C,IF($K59&lt;LS_C,$X59,0),0),0)</f>
        <v>0</v>
      </c>
      <c r="CP59" s="5">
        <f>IF($K$54="Producción",IF($K59&lt;LS_D,$X59,0),0)</f>
        <v>0</v>
      </c>
      <c r="CQ59" s="5">
        <f>IF($K$54="Crecimiento",$X59,0)</f>
        <v>0</v>
      </c>
      <c r="CT59" s="5">
        <f>IF($L$54="Producción",IF($L59&gt;=LI_A,$Y59,0),0)</f>
        <v>0</v>
      </c>
      <c r="CU59" s="5">
        <f>IF($L$54="Producción",IF($L59&gt;=LI_B,IF($L59&lt;LS_B,$Y59,0),0),0)</f>
        <v>0</v>
      </c>
      <c r="CV59" s="5">
        <f>IF($L$54="Producción",IF($L59&gt;=LI_C,IF($L59&lt;LS_C,$Y59,0),0),0)</f>
        <v>0</v>
      </c>
      <c r="CW59" s="5">
        <f>IF($L$54="Producción",IF($L59&lt;LS_D,$Y59,0),0)</f>
        <v>0</v>
      </c>
      <c r="CX59" s="5">
        <f>IF($L$54="Crecimiento",$Y59,0)</f>
        <v>0</v>
      </c>
      <c r="DA59" s="5">
        <f>IF($M$54="Producción",IF($M59&gt;=LI_A,$Z59,0),0)</f>
        <v>0</v>
      </c>
      <c r="DB59" s="5">
        <f>IF($M$54="Producción",IF($M59&gt;=LI_B,IF($M59&lt;LS_B,$Z59,0),0),0)</f>
        <v>0</v>
      </c>
      <c r="DC59" s="5">
        <f>IF($M$54="Producción",IF($M59&gt;=LI_C,IF($M59&lt;LS_C,$Z59,0),0),0)</f>
        <v>0</v>
      </c>
      <c r="DD59" s="5">
        <f>IF($M$54="Producción",IF($M59&lt;LS_D,$Z59,0),0)</f>
        <v>0</v>
      </c>
      <c r="DE59" s="5">
        <f>IF($M$54="Crecimiento",$Z59,0)</f>
        <v>0</v>
      </c>
      <c r="DI59" s="5">
        <f t="shared" si="377"/>
        <v>0</v>
      </c>
      <c r="DJ59" s="5">
        <f t="shared" si="378"/>
        <v>0</v>
      </c>
      <c r="DK59" s="5">
        <f t="shared" si="379"/>
        <v>0</v>
      </c>
      <c r="DL59" s="5">
        <f t="shared" si="380"/>
        <v>0</v>
      </c>
      <c r="DM59" s="5">
        <f t="shared" si="381"/>
        <v>0</v>
      </c>
      <c r="DN59" s="5">
        <f t="shared" si="382"/>
        <v>0</v>
      </c>
      <c r="DO59" s="5">
        <f t="shared" si="383"/>
        <v>0</v>
      </c>
      <c r="DP59" s="5">
        <f t="shared" si="384"/>
        <v>0</v>
      </c>
      <c r="DQ59" s="5">
        <f t="shared" si="385"/>
        <v>0</v>
      </c>
      <c r="DR59" s="5">
        <f t="shared" si="386"/>
        <v>0</v>
      </c>
      <c r="DS59" s="5">
        <f t="shared" si="387"/>
        <v>0</v>
      </c>
      <c r="DT59" s="5">
        <f t="shared" si="388"/>
        <v>0</v>
      </c>
      <c r="DU59" s="5">
        <f t="shared" si="389"/>
        <v>0</v>
      </c>
      <c r="DV59" s="5">
        <f t="shared" si="390"/>
        <v>0</v>
      </c>
      <c r="DW59" s="5">
        <f t="shared" si="391"/>
        <v>0</v>
      </c>
      <c r="DX59" s="5">
        <f t="shared" si="392"/>
        <v>0</v>
      </c>
      <c r="DY59" s="5">
        <f t="shared" si="393"/>
        <v>0</v>
      </c>
      <c r="DZ59" s="5">
        <f t="shared" si="394"/>
        <v>0</v>
      </c>
      <c r="EA59" s="5">
        <f t="shared" si="395"/>
        <v>0</v>
      </c>
      <c r="EB59" s="5">
        <f t="shared" si="396"/>
        <v>0</v>
      </c>
      <c r="EC59" s="5">
        <f t="shared" si="397"/>
        <v>0</v>
      </c>
      <c r="ED59" s="5">
        <f t="shared" si="398"/>
        <v>0</v>
      </c>
      <c r="EE59" s="5">
        <f t="shared" si="399"/>
        <v>0</v>
      </c>
      <c r="EF59" s="5">
        <f t="shared" si="400"/>
        <v>0</v>
      </c>
      <c r="EG59" s="5">
        <f t="shared" si="401"/>
        <v>0</v>
      </c>
      <c r="EH59" s="5">
        <f t="shared" si="402"/>
        <v>0</v>
      </c>
      <c r="EI59" s="5">
        <f t="shared" si="403"/>
        <v>0</v>
      </c>
      <c r="EJ59" s="5">
        <f t="shared" si="404"/>
        <v>0</v>
      </c>
      <c r="EK59" s="5">
        <f t="shared" si="405"/>
        <v>0</v>
      </c>
      <c r="EL59" s="5">
        <f t="shared" si="406"/>
        <v>0</v>
      </c>
      <c r="EM59" s="5">
        <f t="shared" si="407"/>
        <v>0</v>
      </c>
      <c r="EN59" s="5">
        <f t="shared" si="408"/>
        <v>0</v>
      </c>
      <c r="EO59" s="5">
        <f t="shared" si="409"/>
        <v>0</v>
      </c>
      <c r="EP59" s="5">
        <f t="shared" si="410"/>
        <v>0</v>
      </c>
      <c r="EQ59" s="5">
        <f t="shared" si="411"/>
        <v>0</v>
      </c>
      <c r="ER59" s="5">
        <f t="shared" si="412"/>
        <v>0</v>
      </c>
      <c r="ES59" s="5">
        <f t="shared" si="413"/>
        <v>0</v>
      </c>
      <c r="ET59" s="5">
        <f t="shared" si="414"/>
        <v>0</v>
      </c>
      <c r="EU59" s="5">
        <f t="shared" si="415"/>
        <v>0</v>
      </c>
      <c r="EV59" s="5">
        <f t="shared" si="416"/>
        <v>0</v>
      </c>
      <c r="EW59" s="5">
        <f t="shared" si="417"/>
        <v>0</v>
      </c>
      <c r="EX59" s="5">
        <f t="shared" si="418"/>
        <v>0</v>
      </c>
      <c r="EY59" s="5">
        <f t="shared" si="419"/>
        <v>0</v>
      </c>
      <c r="EZ59" s="5">
        <f t="shared" si="420"/>
        <v>0</v>
      </c>
      <c r="FA59" s="5">
        <f t="shared" si="421"/>
        <v>0</v>
      </c>
      <c r="FB59" s="5">
        <f t="shared" si="422"/>
        <v>0</v>
      </c>
      <c r="FC59" s="5">
        <f t="shared" si="423"/>
        <v>0</v>
      </c>
      <c r="FD59" s="5">
        <f t="shared" si="424"/>
        <v>0</v>
      </c>
      <c r="FE59" s="5">
        <f t="shared" si="425"/>
        <v>0</v>
      </c>
      <c r="FF59" s="5">
        <f t="shared" si="426"/>
        <v>0</v>
      </c>
      <c r="FG59" s="5">
        <f t="shared" si="427"/>
        <v>0</v>
      </c>
      <c r="FH59" s="5">
        <f t="shared" si="428"/>
        <v>0</v>
      </c>
      <c r="FI59" s="5">
        <f t="shared" si="429"/>
        <v>0</v>
      </c>
      <c r="FJ59" s="5">
        <f t="shared" si="430"/>
        <v>0</v>
      </c>
      <c r="FK59" s="5">
        <f t="shared" si="431"/>
        <v>0</v>
      </c>
      <c r="FL59" s="5">
        <f t="shared" si="432"/>
        <v>0</v>
      </c>
      <c r="FM59" s="5">
        <f t="shared" si="433"/>
        <v>0</v>
      </c>
      <c r="FN59" s="5">
        <f t="shared" si="434"/>
        <v>0</v>
      </c>
      <c r="FO59" s="5">
        <f t="shared" si="435"/>
        <v>0</v>
      </c>
      <c r="FP59" s="5">
        <f t="shared" si="436"/>
        <v>0</v>
      </c>
    </row>
    <row r="60" spans="1:172" ht="20.100000000000001" customHeight="1" x14ac:dyDescent="0.3">
      <c r="A60" s="8" t="str">
        <f>IF(Ciclo=4,"Surco 4",IF(Ciclo=5,"Surco 4","NA"))</f>
        <v>NA</v>
      </c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O60" s="58">
        <f>IF($A60="NA",0,IFERROR('6'!O$31/Ciclo,0))</f>
        <v>0</v>
      </c>
      <c r="P60" s="58">
        <f>IF($A60="NA",0,IFERROR('6'!P$31/Ciclo,0))</f>
        <v>0</v>
      </c>
      <c r="Q60" s="58">
        <f>IF($A60="NA",0,IFERROR('6'!Q$31/Ciclo,0))</f>
        <v>0</v>
      </c>
      <c r="R60" s="58">
        <f>IF($A60="NA",0,IFERROR('6'!R$31/Ciclo,0))</f>
        <v>0</v>
      </c>
      <c r="S60" s="58">
        <f>IF($A60="NA",0,IFERROR('6'!S$31/Ciclo,0))</f>
        <v>0</v>
      </c>
      <c r="T60" s="58">
        <f>IF($A60="NA",0,IFERROR('6'!T$31/Ciclo,0))</f>
        <v>0</v>
      </c>
      <c r="U60" s="58">
        <f>IF($A60="NA",0,IFERROR('6'!U$31/Ciclo,0))</f>
        <v>0</v>
      </c>
      <c r="V60" s="58">
        <f>IF($A60="NA",0,IFERROR('6'!V$31/Ciclo,0))</f>
        <v>0</v>
      </c>
      <c r="W60" s="5">
        <f>IF($A60="NA",0,IFERROR('6'!W$31/Ciclo,0))</f>
        <v>0</v>
      </c>
      <c r="X60" s="5">
        <f>IF($A60="NA",0,IFERROR('6'!X$31/Ciclo,0))</f>
        <v>0</v>
      </c>
      <c r="Y60" s="5">
        <f>IF($A60="NA",0,IFERROR('6'!Y$31/Ciclo,0))</f>
        <v>0</v>
      </c>
      <c r="Z60" s="5">
        <f>IF($A60="NA",0,IFERROR('6'!Z$31/Ciclo,0))</f>
        <v>0</v>
      </c>
      <c r="AB60" s="5">
        <f>IF($B$54="Producción",IF($B60&gt;=LI_A,$O60,0),0)</f>
        <v>0</v>
      </c>
      <c r="AC60" s="5">
        <f>IF($B$54="Producción",IF($B60&gt;=LI_B,IF($B60&lt;LS_B,$O60,0),0),0)</f>
        <v>0</v>
      </c>
      <c r="AD60" s="5">
        <f>IF($B$54="Producción",IF($B60&gt;=LI_C,IF($B60&lt;LS_C,$O60,0),0),0)</f>
        <v>0</v>
      </c>
      <c r="AE60" s="5">
        <f>IF($B$54="Producción",IF($B60&lt;LS_D,$O60,0),0)</f>
        <v>0</v>
      </c>
      <c r="AF60" s="5">
        <f t="shared" si="437"/>
        <v>0</v>
      </c>
      <c r="AI60" s="5">
        <f>IF($C$54="Producción",IF($C60&gt;=LI_A,$P60,0),0)</f>
        <v>0</v>
      </c>
      <c r="AJ60" s="5">
        <f>IF($C$54="Producción",IF($C60&gt;=LI_B,IF($C60&lt;LS_B,$P60,0),0),0)</f>
        <v>0</v>
      </c>
      <c r="AK60" s="5">
        <f>IF($C$54="Producción",IF($C60&gt;=LI_C,IF($C60&lt;LS_C,$P60,0),0),0)</f>
        <v>0</v>
      </c>
      <c r="AL60" s="5">
        <f>IF($C$54="Producción",IF($C60&lt;LS_D,$P60,0),0)</f>
        <v>0</v>
      </c>
      <c r="AM60" s="5">
        <f>IF($C$54="Crecimiento",$P60,0)</f>
        <v>0</v>
      </c>
      <c r="AP60" s="5">
        <f>IF($D$54="Producción",IF($D60&gt;=LI_A,$Q60,0),0)</f>
        <v>0</v>
      </c>
      <c r="AQ60" s="5">
        <f>IF($D$54="Producción",IF($D60&gt;=LI_B,IF($D60&lt;LS_B,$Q60,0),0),0)</f>
        <v>0</v>
      </c>
      <c r="AR60" s="5">
        <f>IF($D$54="Producción",IF($D60&gt;=LI_C,IF($D60&lt;LS_C,$Q60,0),0),0)</f>
        <v>0</v>
      </c>
      <c r="AS60" s="5">
        <f>IF($D$54="Producción",IF($D60&lt;LS_D,$Q60,0),0)</f>
        <v>0</v>
      </c>
      <c r="AT60" s="5">
        <f>IF($D$54="Crecimiento",IF($D60&gt;0,$Q60,0),0)</f>
        <v>0</v>
      </c>
      <c r="AW60" s="5">
        <f>IF($E$54="Producción",IF($E60&gt;=LI_A,$R60,0),0)</f>
        <v>0</v>
      </c>
      <c r="AX60" s="5">
        <f>IF($E$54="Producción",IF($E60&gt;=LI_B,IF($E60&lt;LS_B,$R60,0),0),0)</f>
        <v>0</v>
      </c>
      <c r="AY60" s="5">
        <f>IF($E$54="Producción",IF($E60&gt;=LI_C,IF($E60&lt;LS_C,$R60,0),0),0)</f>
        <v>0</v>
      </c>
      <c r="AZ60" s="5">
        <f>IF($E$54="Producción",IF($E60&lt;LS_D,$R60,0),0)</f>
        <v>0</v>
      </c>
      <c r="BA60" s="5">
        <f>IF($E$54="Crecimiento",$R60,0)</f>
        <v>0</v>
      </c>
      <c r="BD60" s="5">
        <f>IF($F$54="Producción",IF($F60&gt;=LI_A,$S60,0),0)</f>
        <v>0</v>
      </c>
      <c r="BE60" s="5">
        <f>IF($F$54="Producción",IF($F60&gt;=LI_B,IF($F60&lt;LS_B,$S60,0),0),0)</f>
        <v>0</v>
      </c>
      <c r="BF60" s="5">
        <f>IF($F$54="Producción",IF($F60&gt;=LI_C,IF($F60&lt;LS_C,$S60,0),0),0)</f>
        <v>0</v>
      </c>
      <c r="BG60" s="5">
        <f>IF($F$54="Producción",IF($F60&lt;LS_D,$S60,0),0)</f>
        <v>0</v>
      </c>
      <c r="BH60" s="5">
        <f>IF($F$54="Crecimiento",$S60,0)</f>
        <v>0</v>
      </c>
      <c r="BK60" s="5">
        <f>IF($G$54="Producción",IF($G60&gt;=LI_A,$T60,0),0)</f>
        <v>0</v>
      </c>
      <c r="BL60" s="5">
        <f>IF($G$54="Producción",IF($G60&gt;=LI_B,IF($G60&lt;LS_B,$T60,0),0),0)</f>
        <v>0</v>
      </c>
      <c r="BM60" s="5">
        <f>IF($G$54="Producción",IF($G60&gt;=LI_C,IF($G60&lt;LS_C,$T60,0),0),0)</f>
        <v>0</v>
      </c>
      <c r="BN60" s="5">
        <f>IF($G$54="Producción",IF($G60&lt;LS_D,$T60,0),0)</f>
        <v>0</v>
      </c>
      <c r="BO60" s="5">
        <f>IF($G$54="Crecimiento",$T60,0)</f>
        <v>0</v>
      </c>
      <c r="BR60" s="5">
        <f>IF($H$54="Producción",IF($H60&gt;=LI_A,$U60,0),0)</f>
        <v>0</v>
      </c>
      <c r="BS60" s="5">
        <f>IF($H$54="Producción",IF($H60&gt;=LI_B,IF($H60&lt;LS_B,$U60,0),0),0)</f>
        <v>0</v>
      </c>
      <c r="BT60" s="5">
        <f>IF($H$54="Producción",IF($H60&gt;=LI_C,IF($H60&lt;LS_C,$U60,0),0),0)</f>
        <v>0</v>
      </c>
      <c r="BU60" s="5">
        <f>IF($H$54="Producción",IF($H60&lt;LS_D,$U60,0),0)</f>
        <v>0</v>
      </c>
      <c r="BV60" s="5">
        <f>IF($H$54="Crecimiento",$T60,0)</f>
        <v>0</v>
      </c>
      <c r="BY60" s="5">
        <f>IF($I$54="Producción",IF($I60&gt;=LI_A,$V60,0),0)</f>
        <v>0</v>
      </c>
      <c r="BZ60" s="5">
        <f>IF($I$54="Producción",IF($I60&gt;=LI_B,IF($I60&lt;LS_B,$V60,0),0),0)</f>
        <v>0</v>
      </c>
      <c r="CA60" s="5">
        <f>IF($I$54="Producción",IF($I60&gt;=LI_C,IF($I60&lt;LS_C,$V60,0),0),0)</f>
        <v>0</v>
      </c>
      <c r="CB60" s="5">
        <f>IF($I$54="Producción",IF($I60&lt;LS_D,$V60,0),0)</f>
        <v>0</v>
      </c>
      <c r="CC60" s="5">
        <f>IF($I$54="Crecimiento",$V60,0)</f>
        <v>0</v>
      </c>
      <c r="CF60" s="5">
        <f>IF($J$54="Producción",IF($J60&gt;=LI_A,$W60,0),0)</f>
        <v>0</v>
      </c>
      <c r="CG60" s="5">
        <f>IF($J$54="Producción",IF($J60&gt;=LI_B,IF($J60&lt;LS_B,$W60,0),0),0)</f>
        <v>0</v>
      </c>
      <c r="CH60" s="5">
        <f>IF($J$54="Producción",IF($J60&gt;=LI_C,IF($J60&lt;LS_C,$W60,0),0),0)</f>
        <v>0</v>
      </c>
      <c r="CI60" s="5">
        <f>IF($J$54="Producción",IF($J60&lt;LS_D,$W60,0),0)</f>
        <v>0</v>
      </c>
      <c r="CJ60" s="5">
        <f>IF($J$54="Crecimiento",$W60,0)</f>
        <v>0</v>
      </c>
      <c r="CM60" s="5">
        <f>IF($K$54="Producción",IF($K60&gt;=LI_A,$X60,0),0)</f>
        <v>0</v>
      </c>
      <c r="CN60" s="5">
        <f>IF($K$54="Producción",IF($K60&gt;=LI_B,IF($K60&lt;LS_B,$X60,0),0),0)</f>
        <v>0</v>
      </c>
      <c r="CO60" s="5">
        <f>IF($K$54="Producción",IF($K60&gt;=LI_C,IF($K60&lt;LS_C,$X60,0),0),0)</f>
        <v>0</v>
      </c>
      <c r="CP60" s="5">
        <f>IF($K$54="Producción",IF($K60&lt;LS_D,$X60,0),0)</f>
        <v>0</v>
      </c>
      <c r="CQ60" s="5">
        <f>IF($K$54="Crecimiento",$X60,0)</f>
        <v>0</v>
      </c>
      <c r="CT60" s="5">
        <f>IF($L$54="Producción",IF($L60&gt;=LI_A,$Y60,0),0)</f>
        <v>0</v>
      </c>
      <c r="CU60" s="5">
        <f>IF($L$54="Producción",IF($L60&gt;=LI_B,IF($L60&lt;LS_B,$Y60,0),0),0)</f>
        <v>0</v>
      </c>
      <c r="CV60" s="5">
        <f>IF($L$54="Producción",IF($L60&gt;=LI_C,IF($L60&lt;LS_C,$Y60,0),0),0)</f>
        <v>0</v>
      </c>
      <c r="CW60" s="5">
        <f>IF($L$54="Producción",IF($L60&lt;LS_D,$Y60,0),0)</f>
        <v>0</v>
      </c>
      <c r="CX60" s="5">
        <f>IF($L$54="Crecimiento",$Y60,0)</f>
        <v>0</v>
      </c>
      <c r="DA60" s="5">
        <f>IF($M$54="Producción",IF($M60&gt;=LI_A,$Z60,0),0)</f>
        <v>0</v>
      </c>
      <c r="DB60" s="5">
        <f>IF($M$54="Producción",IF($M60&gt;=LI_B,IF($M60&lt;LS_B,$Z60,0),0),0)</f>
        <v>0</v>
      </c>
      <c r="DC60" s="5">
        <f>IF($M$54="Producción",IF($M60&gt;=LI_C,IF($M60&lt;LS_C,$Z60,0),0),0)</f>
        <v>0</v>
      </c>
      <c r="DD60" s="5">
        <f>IF($M$54="Producción",IF($M60&lt;LS_D,$Z60,0),0)</f>
        <v>0</v>
      </c>
      <c r="DE60" s="5">
        <f>IF($M$54="Crecimiento",$Z60,0)</f>
        <v>0</v>
      </c>
      <c r="DI60" s="5">
        <f t="shared" si="377"/>
        <v>0</v>
      </c>
      <c r="DJ60" s="5">
        <f t="shared" si="378"/>
        <v>0</v>
      </c>
      <c r="DK60" s="5">
        <f t="shared" si="379"/>
        <v>0</v>
      </c>
      <c r="DL60" s="5">
        <f t="shared" si="380"/>
        <v>0</v>
      </c>
      <c r="DM60" s="5">
        <f t="shared" si="381"/>
        <v>0</v>
      </c>
      <c r="DN60" s="5">
        <f t="shared" si="382"/>
        <v>0</v>
      </c>
      <c r="DO60" s="5">
        <f t="shared" si="383"/>
        <v>0</v>
      </c>
      <c r="DP60" s="5">
        <f t="shared" si="384"/>
        <v>0</v>
      </c>
      <c r="DQ60" s="5">
        <f t="shared" si="385"/>
        <v>0</v>
      </c>
      <c r="DR60" s="5">
        <f t="shared" si="386"/>
        <v>0</v>
      </c>
      <c r="DS60" s="5">
        <f t="shared" si="387"/>
        <v>0</v>
      </c>
      <c r="DT60" s="5">
        <f t="shared" si="388"/>
        <v>0</v>
      </c>
      <c r="DU60" s="5">
        <f t="shared" si="389"/>
        <v>0</v>
      </c>
      <c r="DV60" s="5">
        <f t="shared" si="390"/>
        <v>0</v>
      </c>
      <c r="DW60" s="5">
        <f t="shared" si="391"/>
        <v>0</v>
      </c>
      <c r="DX60" s="5">
        <f t="shared" si="392"/>
        <v>0</v>
      </c>
      <c r="DY60" s="5">
        <f t="shared" si="393"/>
        <v>0</v>
      </c>
      <c r="DZ60" s="5">
        <f t="shared" si="394"/>
        <v>0</v>
      </c>
      <c r="EA60" s="5">
        <f t="shared" si="395"/>
        <v>0</v>
      </c>
      <c r="EB60" s="5">
        <f t="shared" si="396"/>
        <v>0</v>
      </c>
      <c r="EC60" s="5">
        <f t="shared" si="397"/>
        <v>0</v>
      </c>
      <c r="ED60" s="5">
        <f t="shared" si="398"/>
        <v>0</v>
      </c>
      <c r="EE60" s="5">
        <f t="shared" si="399"/>
        <v>0</v>
      </c>
      <c r="EF60" s="5">
        <f t="shared" si="400"/>
        <v>0</v>
      </c>
      <c r="EG60" s="5">
        <f t="shared" si="401"/>
        <v>0</v>
      </c>
      <c r="EH60" s="5">
        <f t="shared" si="402"/>
        <v>0</v>
      </c>
      <c r="EI60" s="5">
        <f t="shared" si="403"/>
        <v>0</v>
      </c>
      <c r="EJ60" s="5">
        <f t="shared" si="404"/>
        <v>0</v>
      </c>
      <c r="EK60" s="5">
        <f t="shared" si="405"/>
        <v>0</v>
      </c>
      <c r="EL60" s="5">
        <f t="shared" si="406"/>
        <v>0</v>
      </c>
      <c r="EM60" s="5">
        <f t="shared" si="407"/>
        <v>0</v>
      </c>
      <c r="EN60" s="5">
        <f t="shared" si="408"/>
        <v>0</v>
      </c>
      <c r="EO60" s="5">
        <f t="shared" si="409"/>
        <v>0</v>
      </c>
      <c r="EP60" s="5">
        <f t="shared" si="410"/>
        <v>0</v>
      </c>
      <c r="EQ60" s="5">
        <f t="shared" si="411"/>
        <v>0</v>
      </c>
      <c r="ER60" s="5">
        <f t="shared" si="412"/>
        <v>0</v>
      </c>
      <c r="ES60" s="5">
        <f t="shared" si="413"/>
        <v>0</v>
      </c>
      <c r="ET60" s="5">
        <f t="shared" si="414"/>
        <v>0</v>
      </c>
      <c r="EU60" s="5">
        <f t="shared" si="415"/>
        <v>0</v>
      </c>
      <c r="EV60" s="5">
        <f t="shared" si="416"/>
        <v>0</v>
      </c>
      <c r="EW60" s="5">
        <f t="shared" si="417"/>
        <v>0</v>
      </c>
      <c r="EX60" s="5">
        <f t="shared" si="418"/>
        <v>0</v>
      </c>
      <c r="EY60" s="5">
        <f t="shared" si="419"/>
        <v>0</v>
      </c>
      <c r="EZ60" s="5">
        <f t="shared" si="420"/>
        <v>0</v>
      </c>
      <c r="FA60" s="5">
        <f t="shared" si="421"/>
        <v>0</v>
      </c>
      <c r="FB60" s="5">
        <f t="shared" si="422"/>
        <v>0</v>
      </c>
      <c r="FC60" s="5">
        <f t="shared" si="423"/>
        <v>0</v>
      </c>
      <c r="FD60" s="5">
        <f t="shared" si="424"/>
        <v>0</v>
      </c>
      <c r="FE60" s="5">
        <f t="shared" si="425"/>
        <v>0</v>
      </c>
      <c r="FF60" s="5">
        <f t="shared" si="426"/>
        <v>0</v>
      </c>
      <c r="FG60" s="5">
        <f t="shared" si="427"/>
        <v>0</v>
      </c>
      <c r="FH60" s="5">
        <f t="shared" si="428"/>
        <v>0</v>
      </c>
      <c r="FI60" s="5">
        <f t="shared" si="429"/>
        <v>0</v>
      </c>
      <c r="FJ60" s="5">
        <f t="shared" si="430"/>
        <v>0</v>
      </c>
      <c r="FK60" s="5">
        <f t="shared" si="431"/>
        <v>0</v>
      </c>
      <c r="FL60" s="5">
        <f t="shared" si="432"/>
        <v>0</v>
      </c>
      <c r="FM60" s="5">
        <f t="shared" si="433"/>
        <v>0</v>
      </c>
      <c r="FN60" s="5">
        <f t="shared" si="434"/>
        <v>0</v>
      </c>
      <c r="FO60" s="5">
        <f t="shared" si="435"/>
        <v>0</v>
      </c>
      <c r="FP60" s="5">
        <f t="shared" si="436"/>
        <v>0</v>
      </c>
    </row>
    <row r="61" spans="1:172" ht="20.100000000000001" customHeight="1" x14ac:dyDescent="0.3">
      <c r="A61" s="9" t="str">
        <f>IF(Ciclo=5,"Surco 5","NA")</f>
        <v>NA</v>
      </c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O61" s="58">
        <f>IF($A61="NA",0,IFERROR('6'!O$31/Ciclo,0))</f>
        <v>0</v>
      </c>
      <c r="P61" s="58">
        <f>IF($A61="NA",0,IFERROR('6'!P$31/Ciclo,0))</f>
        <v>0</v>
      </c>
      <c r="Q61" s="58">
        <f>IF($A61="NA",0,IFERROR('6'!Q$31/Ciclo,0))</f>
        <v>0</v>
      </c>
      <c r="R61" s="58">
        <f>IF($A61="NA",0,IFERROR('6'!R$31/Ciclo,0))</f>
        <v>0</v>
      </c>
      <c r="S61" s="58">
        <f>IF($A61="NA",0,IFERROR('6'!S$31/Ciclo,0))</f>
        <v>0</v>
      </c>
      <c r="T61" s="58">
        <f>IF($A61="NA",0,IFERROR('6'!T$31/Ciclo,0))</f>
        <v>0</v>
      </c>
      <c r="U61" s="58">
        <f>IF($A61="NA",0,IFERROR('6'!U$31/Ciclo,0))</f>
        <v>0</v>
      </c>
      <c r="V61" s="58">
        <f>IF($A61="NA",0,IFERROR('6'!V$31/Ciclo,0))</f>
        <v>0</v>
      </c>
      <c r="W61" s="5">
        <f>IF($A61="NA",0,IFERROR('6'!W$31/Ciclo,0))</f>
        <v>0</v>
      </c>
      <c r="X61" s="5">
        <f>IF($A61="NA",0,IFERROR('6'!X$31/Ciclo,0))</f>
        <v>0</v>
      </c>
      <c r="Y61" s="5">
        <f>IF($A61="NA",0,IFERROR('6'!Y$31/Ciclo,0))</f>
        <v>0</v>
      </c>
      <c r="Z61" s="5">
        <f>IF($A61="NA",0,IFERROR('6'!Z$31/Ciclo,0))</f>
        <v>0</v>
      </c>
      <c r="AB61" s="5">
        <f>IF($B$54="Producción",IF($B61&gt;=LI_A,$O61,0),0)</f>
        <v>0</v>
      </c>
      <c r="AC61" s="5">
        <f>IF($B$54="Producción",IF($B61&gt;=LI_B,IF($B61&lt;LS_B,$O61,0),0),0)</f>
        <v>0</v>
      </c>
      <c r="AD61" s="5">
        <f>IF($B$54="Producción",IF($B61&gt;=LI_C,IF($B61&lt;LS_C,$O61,0),0),0)</f>
        <v>0</v>
      </c>
      <c r="AE61" s="5">
        <f>IF($B$54="Producción",IF($B61&lt;LS_D,$O61,0),0)</f>
        <v>0</v>
      </c>
      <c r="AF61" s="5">
        <f t="shared" si="437"/>
        <v>0</v>
      </c>
      <c r="AI61" s="5">
        <f>IF($C$54="Producción",IF($C61&gt;=LI_A,$P61,0),0)</f>
        <v>0</v>
      </c>
      <c r="AJ61" s="5">
        <f>IF($C$54="Producción",IF($C61&gt;=LI_B,IF($C61&lt;LS_B,$P61,0),0),0)</f>
        <v>0</v>
      </c>
      <c r="AK61" s="5">
        <f>IF($C$54="Producción",IF($C61&gt;=LI_C,IF($C61&lt;LS_C,$P61,0),0),0)</f>
        <v>0</v>
      </c>
      <c r="AL61" s="5">
        <f>IF($C$54="Producción",IF($C61&lt;LS_D,$P61,0),0)</f>
        <v>0</v>
      </c>
      <c r="AM61" s="5">
        <f>IF($C$54="Crecimiento",$P61,0)</f>
        <v>0</v>
      </c>
      <c r="AP61" s="5">
        <f>IF($D$54="Producción",IF($D61&gt;=LI_A,$Q61,0),0)</f>
        <v>0</v>
      </c>
      <c r="AQ61" s="5">
        <f>IF($D$54="Producción",IF($D61&gt;=LI_B,IF($D61&lt;LS_B,$Q61,0),0),0)</f>
        <v>0</v>
      </c>
      <c r="AR61" s="5">
        <f>IF($D$54="Producción",IF($D61&gt;=LI_C,IF($D61&lt;LS_C,$Q61,0),0),0)</f>
        <v>0</v>
      </c>
      <c r="AS61" s="5">
        <f>IF($D$54="Producción",IF($D61&lt;LS_D,$Q61,0),0)</f>
        <v>0</v>
      </c>
      <c r="AT61" s="5">
        <f>IF($D$54="Crecimiento",IF($D61&gt;0,$Q61,0),0)</f>
        <v>0</v>
      </c>
      <c r="AW61" s="5">
        <f>IF($E$54="Producción",IF($E61&gt;=LI_A,$R61,0),0)</f>
        <v>0</v>
      </c>
      <c r="AX61" s="5">
        <f>IF($E$54="Producción",IF($E61&gt;=LI_B,IF($E61&lt;LS_B,$R61,0),0),0)</f>
        <v>0</v>
      </c>
      <c r="AY61" s="5">
        <f>IF($E$54="Producción",IF($E61&gt;=LI_C,IF($E61&lt;LS_C,$R61,0),0),0)</f>
        <v>0</v>
      </c>
      <c r="AZ61" s="5">
        <f>IF($E$54="Producción",IF($E61&lt;LS_D,$R61,0),0)</f>
        <v>0</v>
      </c>
      <c r="BA61" s="5">
        <f>IF($E$54="Crecimiento",$R61,0)</f>
        <v>0</v>
      </c>
      <c r="BD61" s="5">
        <f>IF($F$54="Producción",IF($F61&gt;=LI_A,$S61,0),0)</f>
        <v>0</v>
      </c>
      <c r="BE61" s="5">
        <f>IF($F$54="Producción",IF($F61&gt;=LI_B,IF($F61&lt;LS_B,$S61,0),0),0)</f>
        <v>0</v>
      </c>
      <c r="BF61" s="5">
        <f>IF($F$54="Producción",IF($F61&gt;=LI_C,IF($F61&lt;LS_C,$S61,0),0),0)</f>
        <v>0</v>
      </c>
      <c r="BG61" s="5">
        <f>IF($F$54="Producción",IF($F61&lt;LS_D,$S61,0),0)</f>
        <v>0</v>
      </c>
      <c r="BH61" s="5">
        <f>IF($F$54="Crecimiento",$S61,0)</f>
        <v>0</v>
      </c>
      <c r="BK61" s="5">
        <f>IF($G$54="Producción",IF($G61&gt;=LI_A,$T61,0),0)</f>
        <v>0</v>
      </c>
      <c r="BL61" s="5">
        <f>IF($G$54="Producción",IF($G61&gt;=LI_B,IF($G61&lt;LS_B,$T61,0),0),0)</f>
        <v>0</v>
      </c>
      <c r="BM61" s="5">
        <f>IF($G$54="Producción",IF($G61&gt;=LI_C,IF($G61&lt;LS_C,$T61,0),0),0)</f>
        <v>0</v>
      </c>
      <c r="BN61" s="5">
        <f>IF($G$54="Producción",IF($G61&lt;LS_D,$T61,0),0)</f>
        <v>0</v>
      </c>
      <c r="BO61" s="5">
        <f>IF($G$54="Crecimiento",$T61,0)</f>
        <v>0</v>
      </c>
      <c r="BR61" s="5">
        <f>IF($H$54="Producción",IF($H61&gt;=LI_A,$U61,0),0)</f>
        <v>0</v>
      </c>
      <c r="BS61" s="5">
        <f>IF($H$54="Producción",IF($H61&gt;=LI_B,IF($H61&lt;LS_B,$U61,0),0),0)</f>
        <v>0</v>
      </c>
      <c r="BT61" s="5">
        <f>IF($H$54="Producción",IF($H61&gt;=LI_C,IF($H61&lt;LS_C,$U61,0),0),0)</f>
        <v>0</v>
      </c>
      <c r="BU61" s="5">
        <f>IF($H$54="Producción",IF($H61&lt;LS_D,$U61,0),0)</f>
        <v>0</v>
      </c>
      <c r="BV61" s="5">
        <f>IF($H$54="Crecimiento",$T61,0)</f>
        <v>0</v>
      </c>
      <c r="BY61" s="5">
        <f>IF($I$54="Producción",IF($I61&gt;=LI_A,$V61,0),0)</f>
        <v>0</v>
      </c>
      <c r="BZ61" s="5">
        <f>IF($I$54="Producción",IF($I61&gt;=LI_B,IF($I61&lt;LS_B,$V61,0),0),0)</f>
        <v>0</v>
      </c>
      <c r="CA61" s="5">
        <f>IF($I$54="Producción",IF($I61&gt;=LI_C,IF($I61&lt;LS_C,$V61,0),0),0)</f>
        <v>0</v>
      </c>
      <c r="CB61" s="5">
        <f>IF($I$54="Producción",IF($I61&lt;LS_D,$V61,0),0)</f>
        <v>0</v>
      </c>
      <c r="CC61" s="5">
        <f>IF($I$54="Crecimiento",$V61,0)</f>
        <v>0</v>
      </c>
      <c r="CF61" s="5">
        <f>IF($J$54="Producción",IF($J61&gt;=LI_A,$W61,0),0)</f>
        <v>0</v>
      </c>
      <c r="CG61" s="5">
        <f>IF($J$54="Producción",IF($J61&gt;=LI_B,IF($J61&lt;LS_B,$W61,0),0),0)</f>
        <v>0</v>
      </c>
      <c r="CH61" s="5">
        <f>IF($J$54="Producción",IF($J61&gt;=LI_C,IF($J61&lt;LS_C,$W61,0),0),0)</f>
        <v>0</v>
      </c>
      <c r="CI61" s="5">
        <f>IF($J$54="Producción",IF($J61&lt;LS_D,$W61,0),0)</f>
        <v>0</v>
      </c>
      <c r="CJ61" s="5">
        <f>IF($J$54="Crecimiento",$W61,0)</f>
        <v>0</v>
      </c>
      <c r="CM61" s="5">
        <f>IF($K$54="Producción",IF($K61&gt;=LI_A,$X61,0),0)</f>
        <v>0</v>
      </c>
      <c r="CN61" s="5">
        <f>IF($K$54="Producción",IF($K61&gt;=LI_B,IF($K61&lt;LS_B,$X61,0),0),0)</f>
        <v>0</v>
      </c>
      <c r="CO61" s="5">
        <f>IF($K$54="Producción",IF($K61&gt;=LI_C,IF($K61&lt;LS_C,$X61,0),0),0)</f>
        <v>0</v>
      </c>
      <c r="CP61" s="5">
        <f>IF($K$54="Producción",IF($K61&lt;LS_D,$X61,0),0)</f>
        <v>0</v>
      </c>
      <c r="CQ61" s="5">
        <f>IF($K$54="Crecimiento",$X61,0)</f>
        <v>0</v>
      </c>
      <c r="CT61" s="5">
        <f>IF($L$54="Producción",IF($L61&gt;=LI_A,$Y61,0),0)</f>
        <v>0</v>
      </c>
      <c r="CU61" s="5">
        <f>IF($L$54="Producción",IF($L61&gt;=LI_B,IF($L61&lt;LS_B,$Y61,0),0),0)</f>
        <v>0</v>
      </c>
      <c r="CV61" s="5">
        <f>IF($L$54="Producción",IF($L61&gt;=LI_C,IF($L61&lt;LS_C,$Y61,0),0),0)</f>
        <v>0</v>
      </c>
      <c r="CW61" s="5">
        <f>IF($L$54="Producción",IF($L61&lt;LS_D,$Y61,0),0)</f>
        <v>0</v>
      </c>
      <c r="CX61" s="5">
        <f>IF($L$54="Crecimiento",$Y61,0)</f>
        <v>0</v>
      </c>
      <c r="DA61" s="5">
        <f>IF($M$54="Producción",IF($M61&gt;=LI_A,$Z61,0),0)</f>
        <v>0</v>
      </c>
      <c r="DB61" s="5">
        <f>IF($M$54="Producción",IF($M61&gt;=LI_B,IF($M61&lt;LS_B,$Z61,0),0),0)</f>
        <v>0</v>
      </c>
      <c r="DC61" s="5">
        <f>IF($M$54="Producción",IF($M61&gt;=LI_C,IF($M61&lt;LS_C,$Z61,0),0),0)</f>
        <v>0</v>
      </c>
      <c r="DD61" s="5">
        <f>IF($M$54="Producción",IF($M61&lt;LS_D,$Z61,0),0)</f>
        <v>0</v>
      </c>
      <c r="DE61" s="5">
        <f>IF($M$54="Crecimiento",$Z61,0)</f>
        <v>0</v>
      </c>
      <c r="DI61" s="5">
        <f t="shared" si="377"/>
        <v>0</v>
      </c>
      <c r="DJ61" s="5">
        <f t="shared" si="378"/>
        <v>0</v>
      </c>
      <c r="DK61" s="5">
        <f t="shared" si="379"/>
        <v>0</v>
      </c>
      <c r="DL61" s="5">
        <f t="shared" si="380"/>
        <v>0</v>
      </c>
      <c r="DM61" s="5">
        <f t="shared" si="381"/>
        <v>0</v>
      </c>
      <c r="DN61" s="5">
        <f t="shared" si="382"/>
        <v>0</v>
      </c>
      <c r="DO61" s="5">
        <f t="shared" si="383"/>
        <v>0</v>
      </c>
      <c r="DP61" s="5">
        <f t="shared" si="384"/>
        <v>0</v>
      </c>
      <c r="DQ61" s="5">
        <f t="shared" si="385"/>
        <v>0</v>
      </c>
      <c r="DR61" s="5">
        <f t="shared" si="386"/>
        <v>0</v>
      </c>
      <c r="DS61" s="5">
        <f t="shared" si="387"/>
        <v>0</v>
      </c>
      <c r="DT61" s="5">
        <f t="shared" si="388"/>
        <v>0</v>
      </c>
      <c r="DU61" s="5">
        <f t="shared" si="389"/>
        <v>0</v>
      </c>
      <c r="DV61" s="5">
        <f t="shared" si="390"/>
        <v>0</v>
      </c>
      <c r="DW61" s="5">
        <f t="shared" si="391"/>
        <v>0</v>
      </c>
      <c r="DX61" s="5">
        <f t="shared" si="392"/>
        <v>0</v>
      </c>
      <c r="DY61" s="5">
        <f t="shared" si="393"/>
        <v>0</v>
      </c>
      <c r="DZ61" s="5">
        <f t="shared" si="394"/>
        <v>0</v>
      </c>
      <c r="EA61" s="5">
        <f t="shared" si="395"/>
        <v>0</v>
      </c>
      <c r="EB61" s="5">
        <f t="shared" si="396"/>
        <v>0</v>
      </c>
      <c r="EC61" s="5">
        <f t="shared" si="397"/>
        <v>0</v>
      </c>
      <c r="ED61" s="5">
        <f t="shared" si="398"/>
        <v>0</v>
      </c>
      <c r="EE61" s="5">
        <f t="shared" si="399"/>
        <v>0</v>
      </c>
      <c r="EF61" s="5">
        <f t="shared" si="400"/>
        <v>0</v>
      </c>
      <c r="EG61" s="5">
        <f t="shared" si="401"/>
        <v>0</v>
      </c>
      <c r="EH61" s="5">
        <f t="shared" si="402"/>
        <v>0</v>
      </c>
      <c r="EI61" s="5">
        <f t="shared" si="403"/>
        <v>0</v>
      </c>
      <c r="EJ61" s="5">
        <f t="shared" si="404"/>
        <v>0</v>
      </c>
      <c r="EK61" s="5">
        <f t="shared" si="405"/>
        <v>0</v>
      </c>
      <c r="EL61" s="5">
        <f t="shared" si="406"/>
        <v>0</v>
      </c>
      <c r="EM61" s="5">
        <f t="shared" si="407"/>
        <v>0</v>
      </c>
      <c r="EN61" s="5">
        <f t="shared" si="408"/>
        <v>0</v>
      </c>
      <c r="EO61" s="5">
        <f t="shared" si="409"/>
        <v>0</v>
      </c>
      <c r="EP61" s="5">
        <f t="shared" si="410"/>
        <v>0</v>
      </c>
      <c r="EQ61" s="5">
        <f t="shared" si="411"/>
        <v>0</v>
      </c>
      <c r="ER61" s="5">
        <f t="shared" si="412"/>
        <v>0</v>
      </c>
      <c r="ES61" s="5">
        <f t="shared" si="413"/>
        <v>0</v>
      </c>
      <c r="ET61" s="5">
        <f t="shared" si="414"/>
        <v>0</v>
      </c>
      <c r="EU61" s="5">
        <f t="shared" si="415"/>
        <v>0</v>
      </c>
      <c r="EV61" s="5">
        <f t="shared" si="416"/>
        <v>0</v>
      </c>
      <c r="EW61" s="5">
        <f t="shared" si="417"/>
        <v>0</v>
      </c>
      <c r="EX61" s="5">
        <f t="shared" si="418"/>
        <v>0</v>
      </c>
      <c r="EY61" s="5">
        <f t="shared" si="419"/>
        <v>0</v>
      </c>
      <c r="EZ61" s="5">
        <f t="shared" si="420"/>
        <v>0</v>
      </c>
      <c r="FA61" s="5">
        <f t="shared" si="421"/>
        <v>0</v>
      </c>
      <c r="FB61" s="5">
        <f t="shared" si="422"/>
        <v>0</v>
      </c>
      <c r="FC61" s="5">
        <f t="shared" si="423"/>
        <v>0</v>
      </c>
      <c r="FD61" s="5">
        <f t="shared" si="424"/>
        <v>0</v>
      </c>
      <c r="FE61" s="5">
        <f t="shared" si="425"/>
        <v>0</v>
      </c>
      <c r="FF61" s="5">
        <f t="shared" si="426"/>
        <v>0</v>
      </c>
      <c r="FG61" s="5">
        <f t="shared" si="427"/>
        <v>0</v>
      </c>
      <c r="FH61" s="5">
        <f t="shared" si="428"/>
        <v>0</v>
      </c>
      <c r="FI61" s="5">
        <f t="shared" si="429"/>
        <v>0</v>
      </c>
      <c r="FJ61" s="5">
        <f t="shared" si="430"/>
        <v>0</v>
      </c>
      <c r="FK61" s="5">
        <f t="shared" si="431"/>
        <v>0</v>
      </c>
      <c r="FL61" s="5">
        <f t="shared" si="432"/>
        <v>0</v>
      </c>
      <c r="FM61" s="5">
        <f t="shared" si="433"/>
        <v>0</v>
      </c>
      <c r="FN61" s="5">
        <f t="shared" si="434"/>
        <v>0</v>
      </c>
      <c r="FO61" s="5">
        <f t="shared" si="435"/>
        <v>0</v>
      </c>
      <c r="FP61" s="5">
        <f t="shared" si="436"/>
        <v>0</v>
      </c>
    </row>
    <row r="62" spans="1:172" ht="20.100000000000001" customHeight="1" x14ac:dyDescent="0.3">
      <c r="A62" s="172">
        <f>N_L8</f>
        <v>0</v>
      </c>
      <c r="B62" s="363" t="s">
        <v>37</v>
      </c>
      <c r="C62" s="363" t="s">
        <v>37</v>
      </c>
      <c r="D62" s="363" t="s">
        <v>37</v>
      </c>
      <c r="E62" s="363" t="s">
        <v>37</v>
      </c>
      <c r="F62" s="363" t="s">
        <v>37</v>
      </c>
      <c r="G62" s="363" t="s">
        <v>37</v>
      </c>
      <c r="H62" s="363" t="s">
        <v>37</v>
      </c>
      <c r="I62" s="363" t="s">
        <v>37</v>
      </c>
      <c r="J62" s="363" t="s">
        <v>37</v>
      </c>
      <c r="K62" s="363" t="s">
        <v>37</v>
      </c>
      <c r="L62" s="363" t="s">
        <v>37</v>
      </c>
      <c r="M62" s="363" t="s">
        <v>37</v>
      </c>
    </row>
    <row r="63" spans="1:172" ht="20.100000000000001" customHeight="1" x14ac:dyDescent="0.3">
      <c r="A63" s="175" t="s">
        <v>238</v>
      </c>
      <c r="B63" s="174">
        <f>SUM(DI65:DM69)/100</f>
        <v>0</v>
      </c>
      <c r="C63" s="174">
        <f>SUM(DN65:DR69)/100</f>
        <v>0</v>
      </c>
      <c r="D63" s="174">
        <f>SUM(DS65:DW69)/100</f>
        <v>0</v>
      </c>
      <c r="E63" s="174">
        <f>SUM(DX65:EB69)/100</f>
        <v>0</v>
      </c>
      <c r="F63" s="174">
        <f>SUM(EC65:EG69)/100</f>
        <v>0</v>
      </c>
      <c r="G63" s="174">
        <f>SUM(EH65:EL69)/100</f>
        <v>0</v>
      </c>
      <c r="H63" s="174">
        <f>SUM(EM65:EQ69)/100</f>
        <v>0</v>
      </c>
      <c r="I63" s="174">
        <f>SUM(ER65:EV69)/100</f>
        <v>0</v>
      </c>
      <c r="J63" s="174">
        <f>SUM(EW65:FA69)/100</f>
        <v>0</v>
      </c>
      <c r="K63" s="174">
        <f>SUM(FB65:FF69)/100</f>
        <v>0</v>
      </c>
      <c r="L63" s="174">
        <f>SUM(FG65:FK69)/100</f>
        <v>0</v>
      </c>
      <c r="M63" s="174">
        <f>SUM(FL65:FP69)/100</f>
        <v>0</v>
      </c>
    </row>
    <row r="64" spans="1:172" ht="20.100000000000001" customHeight="1" x14ac:dyDescent="0.3">
      <c r="A64" s="151" t="s">
        <v>239</v>
      </c>
      <c r="B64" s="152" t="e">
        <f t="shared" ref="B64:M64" si="438">B63/Lote_8</f>
        <v>#DIV/0!</v>
      </c>
      <c r="C64" s="152" t="e">
        <f t="shared" si="438"/>
        <v>#DIV/0!</v>
      </c>
      <c r="D64" s="152" t="e">
        <f t="shared" si="438"/>
        <v>#DIV/0!</v>
      </c>
      <c r="E64" s="152" t="e">
        <f t="shared" si="438"/>
        <v>#DIV/0!</v>
      </c>
      <c r="F64" s="152" t="e">
        <f t="shared" si="438"/>
        <v>#DIV/0!</v>
      </c>
      <c r="G64" s="152" t="e">
        <f t="shared" si="438"/>
        <v>#DIV/0!</v>
      </c>
      <c r="H64" s="152" t="e">
        <f t="shared" si="438"/>
        <v>#DIV/0!</v>
      </c>
      <c r="I64" s="152" t="e">
        <f t="shared" si="438"/>
        <v>#DIV/0!</v>
      </c>
      <c r="J64" s="152" t="e">
        <f t="shared" si="438"/>
        <v>#DIV/0!</v>
      </c>
      <c r="K64" s="152" t="e">
        <f t="shared" si="438"/>
        <v>#DIV/0!</v>
      </c>
      <c r="L64" s="152" t="e">
        <f t="shared" si="438"/>
        <v>#DIV/0!</v>
      </c>
      <c r="M64" s="152" t="e">
        <f t="shared" si="438"/>
        <v>#DIV/0!</v>
      </c>
    </row>
    <row r="65" spans="1:172" ht="20.100000000000001" customHeight="1" x14ac:dyDescent="0.3">
      <c r="A65" s="8" t="s">
        <v>302</v>
      </c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O65" s="58">
        <f>IFERROR('6'!O$35/Ciclo,0)</f>
        <v>0</v>
      </c>
      <c r="P65" s="58">
        <f>IFERROR('6'!P$35/Ciclo,0)</f>
        <v>0</v>
      </c>
      <c r="Q65" s="58">
        <f>IFERROR('6'!Q$35/Ciclo,0)</f>
        <v>0</v>
      </c>
      <c r="R65" s="58">
        <f>IFERROR('6'!R$35/Ciclo,0)</f>
        <v>0</v>
      </c>
      <c r="S65" s="58">
        <f>IFERROR('6'!S$35/Ciclo,0)</f>
        <v>0</v>
      </c>
      <c r="T65" s="58">
        <f>IFERROR('6'!T$35/Ciclo,0)</f>
        <v>0</v>
      </c>
      <c r="U65" s="58">
        <f>IFERROR('6'!U$35/Ciclo,0)</f>
        <v>0</v>
      </c>
      <c r="V65" s="58">
        <f>IFERROR('6'!V$35/Ciclo,0)</f>
        <v>0</v>
      </c>
      <c r="W65" s="5">
        <f>IFERROR('6'!W$35/Ciclo,0)</f>
        <v>0</v>
      </c>
      <c r="X65" s="5">
        <f>IFERROR('6'!X$35/Ciclo,0)</f>
        <v>0</v>
      </c>
      <c r="Y65" s="5">
        <f>IFERROR('6'!Y$35/Ciclo,0)</f>
        <v>0</v>
      </c>
      <c r="Z65" s="5">
        <f>IFERROR('6'!Z$35/Ciclo,0)</f>
        <v>0</v>
      </c>
      <c r="AB65" s="5">
        <f>IF($B$62="Producción",IF($B65&gt;=LI_A,$O65,0),0)</f>
        <v>0</v>
      </c>
      <c r="AC65" s="5">
        <f>IF($B$62="Producción",IF($B65&gt;=LI_B,IF($B65&lt;LS_B,$O65,0),0),0)</f>
        <v>0</v>
      </c>
      <c r="AD65" s="5">
        <f>IF($B$62="Producción",IF($B65&gt;=LI_C,IF($B65&lt;LS_C,$O65,0),0),0)</f>
        <v>0</v>
      </c>
      <c r="AE65" s="5">
        <f>IF($B$62="Producción",IF($B65&lt;LS_D,$O65,0),0)</f>
        <v>0</v>
      </c>
      <c r="AF65" s="5">
        <f>IF($B$62="Crecimiento",$O65,0)</f>
        <v>0</v>
      </c>
      <c r="AG65" s="5">
        <f>IF($B62="Siembra",'6'!$O$7,0)</f>
        <v>0</v>
      </c>
      <c r="AH65" s="5">
        <f>IF($B62="Abandono",'6'!$O$7,0)</f>
        <v>0</v>
      </c>
      <c r="AI65" s="5">
        <f>IF($C$62="Producción",IF($C65&gt;=LI_A,$P65,0),0)</f>
        <v>0</v>
      </c>
      <c r="AJ65" s="5">
        <f>IF($C$62="Producción",IF($C65&gt;=LI_B,IF($C65&lt;LS_B,$P65,0),0),0)</f>
        <v>0</v>
      </c>
      <c r="AK65" s="5">
        <f>IF($C$62="Producción",IF($C65&gt;=LI_C,IF($C65&lt;LS_C,$P65,0),0),0)</f>
        <v>0</v>
      </c>
      <c r="AL65" s="5">
        <f>IF($C$62="Producción",IF($C65&lt;LS_D,$P65,0),0)</f>
        <v>0</v>
      </c>
      <c r="AM65" s="5">
        <f>IF($C$62="Crecimiento",$P65,0)</f>
        <v>0</v>
      </c>
      <c r="AN65" s="5">
        <f>IF($C62="Siembra",'6'!$P$7,0)</f>
        <v>0</v>
      </c>
      <c r="AO65" s="5">
        <f>IF($C62="Abandono",'6'!$P$7,0)</f>
        <v>0</v>
      </c>
      <c r="AP65" s="5">
        <f>IF($D$62="Producción",IF($D65&gt;=LI_A,$Q65,0),0)</f>
        <v>0</v>
      </c>
      <c r="AQ65" s="5">
        <f>IF($D$62="Producción",IF($D65&gt;=LI_B,IF($D65&lt;LS_B,$Q65,0),0),0)</f>
        <v>0</v>
      </c>
      <c r="AR65" s="5">
        <f>IF($D$62="Producción",IF($D65&gt;=LI_C,IF($D65&lt;LS_C,$Q65,0),0),0)</f>
        <v>0</v>
      </c>
      <c r="AS65" s="5">
        <f>IF($D$62="Producción",IF($D65&lt;LS_D,$Q65,0),0)</f>
        <v>0</v>
      </c>
      <c r="AT65" s="5">
        <f>IF($D$62="Crecimiento",IF($D65&gt;0,$Q65,0),0)</f>
        <v>0</v>
      </c>
      <c r="AU65" s="5">
        <f>IF($D62="Siembra",'6'!$Q$7,0)</f>
        <v>0</v>
      </c>
      <c r="AV65" s="5">
        <f>IF($D62="Abandono",'6'!$Q$7,0)</f>
        <v>0</v>
      </c>
      <c r="AW65" s="5">
        <f>IF($E$62="Producción",IF($E65&gt;=LI_A,$R65,0),0)</f>
        <v>0</v>
      </c>
      <c r="AX65" s="5">
        <f>IF($E$62="Producción",IF($E65&gt;=LI_B,IF($E65&lt;LS_B,$R65,0),0),0)</f>
        <v>0</v>
      </c>
      <c r="AY65" s="5">
        <f>IF($E$62="Producción",IF($E65&gt;=LI_C,IF($E65&lt;LS_C,$R65,0),0),0)</f>
        <v>0</v>
      </c>
      <c r="AZ65" s="5">
        <f>IF($E$62="Producción",IF($E65&lt;LS_D,$R65,0),0)</f>
        <v>0</v>
      </c>
      <c r="BA65" s="5">
        <f>IF($E$62="Crecimiento",$R65,0)</f>
        <v>0</v>
      </c>
      <c r="BB65" s="5">
        <f>IF($E62="Siembra",'6'!$R$7,0)</f>
        <v>0</v>
      </c>
      <c r="BC65" s="5">
        <f>IF($E62="Abandono",'6'!$R$7,0)</f>
        <v>0</v>
      </c>
      <c r="BD65" s="5">
        <f>IF($F$62="Producción",IF($F65&gt;=LI_A,$S65,0),0)</f>
        <v>0</v>
      </c>
      <c r="BE65" s="5">
        <f>IF($F$62="Producción",IF($F65&gt;=LI_B,IF($F65&lt;LS_B,$S65,0),0),0)</f>
        <v>0</v>
      </c>
      <c r="BF65" s="5">
        <f>IF($F$62="Producción",IF($F65&gt;=LI_C,IF($F65&lt;LS_C,$S65,0),0),0)</f>
        <v>0</v>
      </c>
      <c r="BG65" s="5">
        <f>IF($F$62="Producción",IF($F65&lt;LS_D,$S65,0),0)</f>
        <v>0</v>
      </c>
      <c r="BH65" s="5">
        <f>IF($F$62="Crecimiento",$S65,0)</f>
        <v>0</v>
      </c>
      <c r="BI65" s="5">
        <f>IF($F62="Siembra",'6'!$S$7,0)</f>
        <v>0</v>
      </c>
      <c r="BJ65" s="5">
        <f>IF($F62="Abandono",'6'!$S$7,0)</f>
        <v>0</v>
      </c>
      <c r="BK65" s="5">
        <f>IF($G$62="Producción",IF($G65&gt;=LI_A,$T65,0),0)</f>
        <v>0</v>
      </c>
      <c r="BL65" s="5">
        <f>IF($G$62="Producción",IF($G65&gt;=LI_B,IF($G65&lt;LS_B,$T65,0),0),0)</f>
        <v>0</v>
      </c>
      <c r="BM65" s="5">
        <f>IF($G$62="Producción",IF($G65&gt;=LI_C,IF($G65&lt;LS_C,$T65,0),0),0)</f>
        <v>0</v>
      </c>
      <c r="BN65" s="5">
        <f>IF($G$62="Producción",IF($G65&lt;LS_D,$T65,0),0)</f>
        <v>0</v>
      </c>
      <c r="BO65" s="5">
        <f>IF($G$62="Crecimiento",$T65,0)</f>
        <v>0</v>
      </c>
      <c r="BP65" s="5">
        <f>IF($G62="Siembra",'6'!$T$7,0)</f>
        <v>0</v>
      </c>
      <c r="BQ65" s="5">
        <f>IF($G62="Abandono",'6'!$T$7,0)</f>
        <v>0</v>
      </c>
      <c r="BR65" s="5">
        <f>IF($H$62="Producción",IF($H65&gt;=LI_A,$U65,0),0)</f>
        <v>0</v>
      </c>
      <c r="BS65" s="5">
        <f>IF($H$62="Producción",IF($H65&gt;=LI_B,IF($H65&lt;LS_B,$U65,0),0),0)</f>
        <v>0</v>
      </c>
      <c r="BT65" s="5">
        <f>IF($H$62="Producción",IF($H65&gt;=LI_C,IF($H65&lt;LS_C,$U65,0),0),0)</f>
        <v>0</v>
      </c>
      <c r="BU65" s="5">
        <f>IF($H$62="Producción",IF($H65&lt;LS_D,$U65,0),0)</f>
        <v>0</v>
      </c>
      <c r="BV65" s="5">
        <f>IF($H$62="Crecimiento",$T65,0)</f>
        <v>0</v>
      </c>
      <c r="BW65" s="5">
        <f>IF($H62="Siembra",'6'!$U$7,0)</f>
        <v>0</v>
      </c>
      <c r="BX65" s="5">
        <f>IF($H62="Abandono",'6'!$U$7,0)</f>
        <v>0</v>
      </c>
      <c r="BY65" s="5">
        <f>IF($I$62="Producción",IF($I65&gt;=LI_A,$V65,0),0)</f>
        <v>0</v>
      </c>
      <c r="BZ65" s="5">
        <f>IF($I$62="Producción",IF($I65&gt;=LI_B,IF($I65&lt;LS_B,$V65,0),0),0)</f>
        <v>0</v>
      </c>
      <c r="CA65" s="5">
        <f>IF($I$62="Producción",IF($I65&gt;=LI_C,IF($I65&lt;LS_C,$V65,0),0),0)</f>
        <v>0</v>
      </c>
      <c r="CB65" s="5">
        <f>IF($I$62="Producción",IF($I65&lt;LS_D,$V65,0),0)</f>
        <v>0</v>
      </c>
      <c r="CC65" s="5">
        <f>IF($I$62="Crecimiento",$V65,0)</f>
        <v>0</v>
      </c>
      <c r="CD65" s="5">
        <f>IF($I62="Siembra",'6'!$V$7,0)</f>
        <v>0</v>
      </c>
      <c r="CE65" s="5">
        <f>IF($I62="Abandono",'6'!$V$7,0)</f>
        <v>0</v>
      </c>
      <c r="CF65" s="5">
        <f>IF($J$62="Producción",IF($J65&gt;=LI_A,$W65,0),0)</f>
        <v>0</v>
      </c>
      <c r="CG65" s="5">
        <f>IF($J$62="Producción",IF($J65&gt;=LI_B,IF($J65&lt;LS_B,$W65,0),0),0)</f>
        <v>0</v>
      </c>
      <c r="CH65" s="5">
        <f>IF($J$62="Producción",IF($J65&gt;=LI_C,IF($J65&lt;LS_C,$W65,0),0),0)</f>
        <v>0</v>
      </c>
      <c r="CI65" s="5">
        <f>IF($J$62="Producción",IF($J65&lt;LS_D,$W65,0),0)</f>
        <v>0</v>
      </c>
      <c r="CJ65" s="5">
        <f>IF($J$62="Crecimiento",$W65,0)</f>
        <v>0</v>
      </c>
      <c r="CK65" s="5">
        <f>IF($J62="Siembra",'6'!$W$7,0)</f>
        <v>0</v>
      </c>
      <c r="CL65" s="5">
        <f>IF($J62="Abandono",'6'!$W$7,0)</f>
        <v>0</v>
      </c>
      <c r="CM65" s="5">
        <f>IF($K$62="Producción",IF($K65&gt;=LI_A,$X65,0),0)</f>
        <v>0</v>
      </c>
      <c r="CN65" s="5">
        <f>IF($K$62="Producción",IF($K65&gt;=LI_B,IF($K65&lt;LS_B,$X65,0),0),0)</f>
        <v>0</v>
      </c>
      <c r="CO65" s="5">
        <f>IF($K$62="Producción",IF($K65&gt;=LI_C,IF($K65&lt;LS_C,$X65,0),0),0)</f>
        <v>0</v>
      </c>
      <c r="CP65" s="5">
        <f>IF($K$62="Producción",IF($K65&lt;LS_D,$X65,0),0)</f>
        <v>0</v>
      </c>
      <c r="CQ65" s="5">
        <f>IF($K$62="Crecimiento",$X65,0)</f>
        <v>0</v>
      </c>
      <c r="CR65" s="5">
        <f>IF($K62="Siembra",'6'!$X$7,0)</f>
        <v>0</v>
      </c>
      <c r="CS65" s="5">
        <f>IF($K62="Abandono",'6'!$X$7,0)</f>
        <v>0</v>
      </c>
      <c r="CT65" s="5">
        <f>IF($L$62="Producción",IF($L65&gt;=LI_A,$Y65,0),0)</f>
        <v>0</v>
      </c>
      <c r="CU65" s="5">
        <f>IF($L$62="Producción",IF($L65&gt;=LI_B,IF($L65&lt;LS_B,$Y65,0),0),0)</f>
        <v>0</v>
      </c>
      <c r="CV65" s="5">
        <f>IF($L$62="Producción",IF($L65&gt;=LI_C,IF($L65&lt;LS_C,$Y65,0),0),0)</f>
        <v>0</v>
      </c>
      <c r="CW65" s="5">
        <f>IF($L$62="Producción",IF($L65&lt;LS_D,$Y65,0),0)</f>
        <v>0</v>
      </c>
      <c r="CX65" s="5">
        <f>IF($L$62="Crecimiento",$Y65,0)</f>
        <v>0</v>
      </c>
      <c r="CY65" s="5">
        <f>IF($L62="Siembra",'6'!$Y$7,0)</f>
        <v>0</v>
      </c>
      <c r="CZ65" s="5">
        <f>IF($L62="Abandono",'6'!$Y$7,0)</f>
        <v>0</v>
      </c>
      <c r="DA65" s="5">
        <f>IF($M$62="Producción",IF($M65&gt;=LI_A,$Z65,0),0)</f>
        <v>0</v>
      </c>
      <c r="DB65" s="5">
        <f>IF($M$62="Producción",IF($M65&gt;=LI_B,IF($M65&lt;LS_B,$Z65,0),0),0)</f>
        <v>0</v>
      </c>
      <c r="DC65" s="5">
        <f>IF($M$62="Producción",IF($M65&gt;=LI_C,IF($M65&lt;LS_C,$Z65,0),0),0)</f>
        <v>0</v>
      </c>
      <c r="DD65" s="5">
        <f>IF($M$62="Producción",IF($M65&lt;LS_D,$Z65,0),0)</f>
        <v>0</v>
      </c>
      <c r="DE65" s="5">
        <f>IF($M$62="Crecimiento",$Z65,0)</f>
        <v>0</v>
      </c>
      <c r="DF65" s="5">
        <f>IF($M62="Siembra",'6'!$Z$7,0)</f>
        <v>0</v>
      </c>
      <c r="DG65" s="5">
        <f>IF($M62="Abandono",'6'!$Z$7,0)</f>
        <v>0</v>
      </c>
      <c r="DI65" s="5">
        <f t="shared" ref="DI65:DI69" si="439">AB65*$B65</f>
        <v>0</v>
      </c>
      <c r="DJ65" s="5">
        <f t="shared" ref="DJ65:DJ69" si="440">AC65*$B65</f>
        <v>0</v>
      </c>
      <c r="DK65" s="5">
        <f t="shared" ref="DK65:DK69" si="441">AD65*$B65</f>
        <v>0</v>
      </c>
      <c r="DL65" s="5">
        <f t="shared" ref="DL65:DL69" si="442">AE65*$B65</f>
        <v>0</v>
      </c>
      <c r="DM65" s="5">
        <f t="shared" ref="DM65:DM69" si="443">AF65*$B65</f>
        <v>0</v>
      </c>
      <c r="DN65" s="5">
        <f t="shared" ref="DN65:DN69" si="444">AI65*$C65</f>
        <v>0</v>
      </c>
      <c r="DO65" s="5">
        <f t="shared" ref="DO65:DO69" si="445">AJ65*$C65</f>
        <v>0</v>
      </c>
      <c r="DP65" s="5">
        <f t="shared" ref="DP65:DP69" si="446">AK65*$C65</f>
        <v>0</v>
      </c>
      <c r="DQ65" s="5">
        <f t="shared" ref="DQ65:DQ69" si="447">AL65*$C65</f>
        <v>0</v>
      </c>
      <c r="DR65" s="5">
        <f t="shared" ref="DR65:DR69" si="448">AM65*$C65</f>
        <v>0</v>
      </c>
      <c r="DS65" s="5">
        <f t="shared" ref="DS65:DS69" si="449">AP65*$D65</f>
        <v>0</v>
      </c>
      <c r="DT65" s="5">
        <f t="shared" ref="DT65:DT69" si="450">AQ65*$D65</f>
        <v>0</v>
      </c>
      <c r="DU65" s="5">
        <f t="shared" ref="DU65:DU69" si="451">AR65*$D65</f>
        <v>0</v>
      </c>
      <c r="DV65" s="5">
        <f t="shared" ref="DV65:DV69" si="452">AS65*$D65</f>
        <v>0</v>
      </c>
      <c r="DW65" s="5">
        <f t="shared" ref="DW65:DW69" si="453">AT65*$D65</f>
        <v>0</v>
      </c>
      <c r="DX65" s="5">
        <f t="shared" ref="DX65:DX69" si="454">AW65*$E65</f>
        <v>0</v>
      </c>
      <c r="DY65" s="5">
        <f t="shared" ref="DY65:DY69" si="455">AX65*$E65</f>
        <v>0</v>
      </c>
      <c r="DZ65" s="5">
        <f t="shared" ref="DZ65:DZ69" si="456">AY65*$E65</f>
        <v>0</v>
      </c>
      <c r="EA65" s="5">
        <f t="shared" ref="EA65:EA69" si="457">AZ65*$E65</f>
        <v>0</v>
      </c>
      <c r="EB65" s="5">
        <f t="shared" ref="EB65:EB69" si="458">BA65*$E65</f>
        <v>0</v>
      </c>
      <c r="EC65" s="5">
        <f t="shared" ref="EC65:EC69" si="459">BD65*$F65</f>
        <v>0</v>
      </c>
      <c r="ED65" s="5">
        <f t="shared" ref="ED65:ED69" si="460">BE65*$F65</f>
        <v>0</v>
      </c>
      <c r="EE65" s="5">
        <f t="shared" ref="EE65:EE69" si="461">BF65*$F65</f>
        <v>0</v>
      </c>
      <c r="EF65" s="5">
        <f t="shared" ref="EF65:EF69" si="462">BG65*$F65</f>
        <v>0</v>
      </c>
      <c r="EG65" s="5">
        <f t="shared" ref="EG65:EG69" si="463">BH65*$F65</f>
        <v>0</v>
      </c>
      <c r="EH65" s="5">
        <f t="shared" ref="EH65:EH69" si="464">BK65*$G65</f>
        <v>0</v>
      </c>
      <c r="EI65" s="5">
        <f t="shared" ref="EI65:EI69" si="465">BL65*$G65</f>
        <v>0</v>
      </c>
      <c r="EJ65" s="5">
        <f t="shared" ref="EJ65:EJ69" si="466">BM65*$G65</f>
        <v>0</v>
      </c>
      <c r="EK65" s="5">
        <f t="shared" ref="EK65:EK69" si="467">BN65*$G65</f>
        <v>0</v>
      </c>
      <c r="EL65" s="5">
        <f t="shared" ref="EL65:EL69" si="468">BO65*$G65</f>
        <v>0</v>
      </c>
      <c r="EM65" s="5">
        <f t="shared" ref="EM65:EM69" si="469">BR65*$H65</f>
        <v>0</v>
      </c>
      <c r="EN65" s="5">
        <f t="shared" ref="EN65:EN69" si="470">BS65*$H65</f>
        <v>0</v>
      </c>
      <c r="EO65" s="5">
        <f t="shared" ref="EO65:EO69" si="471">BT65*$H65</f>
        <v>0</v>
      </c>
      <c r="EP65" s="5">
        <f t="shared" ref="EP65:EP69" si="472">BU65*$H65</f>
        <v>0</v>
      </c>
      <c r="EQ65" s="5">
        <f t="shared" ref="EQ65:EQ69" si="473">BV65*$H65</f>
        <v>0</v>
      </c>
      <c r="ER65" s="5">
        <f t="shared" ref="ER65:ER69" si="474">BY65*$I65</f>
        <v>0</v>
      </c>
      <c r="ES65" s="5">
        <f t="shared" ref="ES65:ES69" si="475">BZ65*$I65</f>
        <v>0</v>
      </c>
      <c r="ET65" s="5">
        <f t="shared" ref="ET65:ET69" si="476">CA65*$I65</f>
        <v>0</v>
      </c>
      <c r="EU65" s="5">
        <f t="shared" ref="EU65:EU69" si="477">CB65*$I65</f>
        <v>0</v>
      </c>
      <c r="EV65" s="5">
        <f t="shared" ref="EV65:EV69" si="478">CC65*$I65</f>
        <v>0</v>
      </c>
      <c r="EW65" s="5">
        <f t="shared" ref="EW65:EW69" si="479">CF65*$J65</f>
        <v>0</v>
      </c>
      <c r="EX65" s="5">
        <f t="shared" ref="EX65:EX69" si="480">CG65*$J65</f>
        <v>0</v>
      </c>
      <c r="EY65" s="5">
        <f t="shared" ref="EY65:EY69" si="481">CH65*$J65</f>
        <v>0</v>
      </c>
      <c r="EZ65" s="5">
        <f t="shared" ref="EZ65:EZ69" si="482">CI65*$J65</f>
        <v>0</v>
      </c>
      <c r="FA65" s="5">
        <f t="shared" ref="FA65:FA69" si="483">CJ65*$J65</f>
        <v>0</v>
      </c>
      <c r="FB65" s="5">
        <f t="shared" ref="FB65:FB69" si="484">CM65*$K65</f>
        <v>0</v>
      </c>
      <c r="FC65" s="5">
        <f t="shared" ref="FC65:FC69" si="485">CN65*$K65</f>
        <v>0</v>
      </c>
      <c r="FD65" s="5">
        <f t="shared" ref="FD65:FD69" si="486">CO65*$K65</f>
        <v>0</v>
      </c>
      <c r="FE65" s="5">
        <f t="shared" ref="FE65:FE69" si="487">CP65*$K65</f>
        <v>0</v>
      </c>
      <c r="FF65" s="5">
        <f t="shared" ref="FF65:FF69" si="488">CQ65*$K65</f>
        <v>0</v>
      </c>
      <c r="FG65" s="5">
        <f t="shared" ref="FG65:FG69" si="489">CT65*$L65</f>
        <v>0</v>
      </c>
      <c r="FH65" s="5">
        <f t="shared" ref="FH65:FH69" si="490">CU65*$L65</f>
        <v>0</v>
      </c>
      <c r="FI65" s="5">
        <f t="shared" ref="FI65:FI69" si="491">CV65*$L65</f>
        <v>0</v>
      </c>
      <c r="FJ65" s="5">
        <f t="shared" ref="FJ65:FJ69" si="492">CW65*$L65</f>
        <v>0</v>
      </c>
      <c r="FK65" s="5">
        <f t="shared" ref="FK65:FK69" si="493">CX65*$L65</f>
        <v>0</v>
      </c>
      <c r="FL65" s="5">
        <f t="shared" ref="FL65:FL69" si="494">DA65*$M65</f>
        <v>0</v>
      </c>
      <c r="FM65" s="5">
        <f t="shared" ref="FM65:FM69" si="495">DB65*$M65</f>
        <v>0</v>
      </c>
      <c r="FN65" s="5">
        <f t="shared" ref="FN65:FN69" si="496">DC65*$M65</f>
        <v>0</v>
      </c>
      <c r="FO65" s="5">
        <f t="shared" ref="FO65:FO69" si="497">DD65*$M65</f>
        <v>0</v>
      </c>
      <c r="FP65" s="5">
        <f t="shared" ref="FP65:FP69" si="498">DE65*$M65</f>
        <v>0</v>
      </c>
    </row>
    <row r="66" spans="1:172" ht="20.100000000000001" customHeight="1" x14ac:dyDescent="0.3">
      <c r="A66" s="8" t="s">
        <v>303</v>
      </c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O66" s="58">
        <f>IFERROR('6'!O$35/Ciclo,0)</f>
        <v>0</v>
      </c>
      <c r="P66" s="58">
        <f>IFERROR('6'!P$35/Ciclo,0)</f>
        <v>0</v>
      </c>
      <c r="Q66" s="58">
        <f>IFERROR('6'!Q$35/Ciclo,0)</f>
        <v>0</v>
      </c>
      <c r="R66" s="58">
        <f>IFERROR('6'!R$35/Ciclo,0)</f>
        <v>0</v>
      </c>
      <c r="S66" s="58">
        <f>IFERROR('6'!S$35/Ciclo,0)</f>
        <v>0</v>
      </c>
      <c r="T66" s="58">
        <f>IFERROR('6'!T$35/Ciclo,0)</f>
        <v>0</v>
      </c>
      <c r="U66" s="58">
        <f>IFERROR('6'!U$35/Ciclo,0)</f>
        <v>0</v>
      </c>
      <c r="V66" s="58">
        <f>IFERROR('6'!V$35/Ciclo,0)</f>
        <v>0</v>
      </c>
      <c r="W66" s="5">
        <f>IFERROR('6'!W$35/Ciclo,0)</f>
        <v>0</v>
      </c>
      <c r="X66" s="5">
        <f>IFERROR('6'!X$35/Ciclo,0)</f>
        <v>0</v>
      </c>
      <c r="Y66" s="5">
        <f>IFERROR('6'!Y$35/Ciclo,0)</f>
        <v>0</v>
      </c>
      <c r="Z66" s="5">
        <f>IFERROR('6'!Z$35/Ciclo,0)</f>
        <v>0</v>
      </c>
      <c r="AB66" s="5">
        <f>IF($B$62="Producción",IF($B66&gt;=LI_A,$O66,0),0)</f>
        <v>0</v>
      </c>
      <c r="AC66" s="5">
        <f>IF($B$62="Producción",IF($B66&gt;=LI_B,IF($B66&lt;LS_B,$O66,0),0),0)</f>
        <v>0</v>
      </c>
      <c r="AD66" s="5">
        <f>IF($B$62="Producción",IF($B66&gt;=LI_C,IF($B66&lt;LS_C,$O66,0),0),0)</f>
        <v>0</v>
      </c>
      <c r="AE66" s="5">
        <f>IF($B$62="Producción",IF($B66&lt;LS_D,$O66,0),0)</f>
        <v>0</v>
      </c>
      <c r="AF66" s="5">
        <f t="shared" ref="AF66:AF69" si="499">IF($B$62="Crecimiento",$O66,0)</f>
        <v>0</v>
      </c>
      <c r="AI66" s="5">
        <f>IF($C$62="Producción",IF($C66&gt;=LI_A,$P66,0),0)</f>
        <v>0</v>
      </c>
      <c r="AJ66" s="5">
        <f>IF($C$62="Producción",IF($C66&gt;=LI_B,IF($C66&lt;LS_B,$P66,0),0),0)</f>
        <v>0</v>
      </c>
      <c r="AK66" s="5">
        <f>IF($C$62="Producción",IF($C66&gt;=LI_C,IF($C66&lt;LS_C,$P66,0),0),0)</f>
        <v>0</v>
      </c>
      <c r="AL66" s="5">
        <f>IF($C$62="Producción",IF($C66&lt;LS_D,$P66,0),0)</f>
        <v>0</v>
      </c>
      <c r="AM66" s="5">
        <f>IF($C$62="Crecimiento",$P66,0)</f>
        <v>0</v>
      </c>
      <c r="AP66" s="5">
        <f>IF($D$62="Producción",IF($D66&gt;=LI_A,$Q66,0),0)</f>
        <v>0</v>
      </c>
      <c r="AQ66" s="5">
        <f>IF($D$62="Producción",IF($D66&gt;=LI_B,IF($D66&lt;LS_B,$Q66,0),0),0)</f>
        <v>0</v>
      </c>
      <c r="AR66" s="5">
        <f>IF($D$62="Producción",IF($D66&gt;=LI_C,IF($D66&lt;LS_C,$Q66,0),0),0)</f>
        <v>0</v>
      </c>
      <c r="AS66" s="5">
        <f>IF($D$62="Producción",IF($D66&lt;LS_D,$Q66,0),0)</f>
        <v>0</v>
      </c>
      <c r="AT66" s="5">
        <f>IF($D$62="Crecimiento",IF($D66&gt;0,$Q66,0),0)</f>
        <v>0</v>
      </c>
      <c r="AW66" s="5">
        <f>IF($E$62="Producción",IF($E66&gt;=LI_A,$R66,0),0)</f>
        <v>0</v>
      </c>
      <c r="AX66" s="5">
        <f>IF($E$62="Producción",IF($E66&gt;=LI_B,IF($E66&lt;LS_B,$R66,0),0),0)</f>
        <v>0</v>
      </c>
      <c r="AY66" s="5">
        <f>IF($E$62="Producción",IF($E66&gt;=LI_C,IF($E66&lt;LS_C,$R66,0),0),0)</f>
        <v>0</v>
      </c>
      <c r="AZ66" s="5">
        <f>IF($E$62="Producción",IF($E66&lt;LS_D,$R66,0),0)</f>
        <v>0</v>
      </c>
      <c r="BA66" s="5">
        <f>IF($E$62="Crecimiento",$R66,0)</f>
        <v>0</v>
      </c>
      <c r="BD66" s="5">
        <f>IF($F$62="Producción",IF($F66&gt;=LI_A,$S66,0),0)</f>
        <v>0</v>
      </c>
      <c r="BE66" s="5">
        <f>IF($F$62="Producción",IF($F66&gt;=LI_B,IF($F66&lt;LS_B,$S66,0),0),0)</f>
        <v>0</v>
      </c>
      <c r="BF66" s="5">
        <f>IF($F$62="Producción",IF($F66&gt;=LI_C,IF($F66&lt;LS_C,$S66,0),0),0)</f>
        <v>0</v>
      </c>
      <c r="BG66" s="5">
        <f>IF($F$62="Producción",IF($F66&lt;LS_D,$S66,0),0)</f>
        <v>0</v>
      </c>
      <c r="BH66" s="5">
        <f>IF($F$62="Crecimiento",$S66,0)</f>
        <v>0</v>
      </c>
      <c r="BK66" s="5">
        <f>IF($G$62="Producción",IF($G66&gt;=LI_A,$T66,0),0)</f>
        <v>0</v>
      </c>
      <c r="BL66" s="5">
        <f>IF($G$62="Producción",IF($G66&gt;=LI_B,IF($G66&lt;LS_B,$T66,0),0),0)</f>
        <v>0</v>
      </c>
      <c r="BM66" s="5">
        <f>IF($G$62="Producción",IF($G66&gt;=LI_C,IF($G66&lt;LS_C,$T66,0),0),0)</f>
        <v>0</v>
      </c>
      <c r="BN66" s="5">
        <f>IF($G$62="Producción",IF($G66&lt;LS_D,$T66,0),0)</f>
        <v>0</v>
      </c>
      <c r="BO66" s="5">
        <f>IF($G$62="Crecimiento",$T66,0)</f>
        <v>0</v>
      </c>
      <c r="BR66" s="5">
        <f>IF($H$62="Producción",IF($H66&gt;=LI_A,$U66,0),0)</f>
        <v>0</v>
      </c>
      <c r="BS66" s="5">
        <f>IF($H$62="Producción",IF($H66&gt;=LI_B,IF($H66&lt;LS_B,$U66,0),0),0)</f>
        <v>0</v>
      </c>
      <c r="BT66" s="5">
        <f>IF($H$62="Producción",IF($H66&gt;=LI_C,IF($H66&lt;LS_C,$U66,0),0),0)</f>
        <v>0</v>
      </c>
      <c r="BU66" s="5">
        <f>IF($H$62="Producción",IF($H66&lt;LS_D,$U66,0),0)</f>
        <v>0</v>
      </c>
      <c r="BV66" s="5">
        <f>IF($H$62="Crecimiento",$T66,0)</f>
        <v>0</v>
      </c>
      <c r="BY66" s="5">
        <f>IF($I$62="Producción",IF($I66&gt;=LI_A,$V66,0),0)</f>
        <v>0</v>
      </c>
      <c r="BZ66" s="5">
        <f>IF($I$62="Producción",IF($I66&gt;=LI_B,IF($I66&lt;LS_B,$V66,0),0),0)</f>
        <v>0</v>
      </c>
      <c r="CA66" s="5">
        <f>IF($I$62="Producción",IF($I66&gt;=LI_C,IF($I66&lt;LS_C,$V66,0),0),0)</f>
        <v>0</v>
      </c>
      <c r="CB66" s="5">
        <f>IF($I$62="Producción",IF($I66&lt;LS_D,$V66,0),0)</f>
        <v>0</v>
      </c>
      <c r="CC66" s="5">
        <f>IF($I$62="Crecimiento",$V66,0)</f>
        <v>0</v>
      </c>
      <c r="CF66" s="5">
        <f>IF($J$62="Producción",IF($J66&gt;=LI_A,$W66,0),0)</f>
        <v>0</v>
      </c>
      <c r="CG66" s="5">
        <f>IF($J$62="Producción",IF($J66&gt;=LI_B,IF($J66&lt;LS_B,$W66,0),0),0)</f>
        <v>0</v>
      </c>
      <c r="CH66" s="5">
        <f>IF($J$62="Producción",IF($J66&gt;=LI_C,IF($J66&lt;LS_C,$W66,0),0),0)</f>
        <v>0</v>
      </c>
      <c r="CI66" s="5">
        <f>IF($J$62="Producción",IF($J66&lt;LS_D,$W66,0),0)</f>
        <v>0</v>
      </c>
      <c r="CJ66" s="5">
        <f>IF($J$62="Crecimiento",$W66,0)</f>
        <v>0</v>
      </c>
      <c r="CM66" s="5">
        <f>IF($K$62="Producción",IF($K66&gt;=LI_A,$X66,0),0)</f>
        <v>0</v>
      </c>
      <c r="CN66" s="5">
        <f>IF($K$62="Producción",IF($K66&gt;=LI_B,IF($K66&lt;LS_B,$X66,0),0),0)</f>
        <v>0</v>
      </c>
      <c r="CO66" s="5">
        <f>IF($K$62="Producción",IF($K66&gt;=LI_C,IF($K66&lt;LS_C,$X66,0),0),0)</f>
        <v>0</v>
      </c>
      <c r="CP66" s="5">
        <f>IF($K$62="Producción",IF($K66&lt;LS_D,$X66,0),0)</f>
        <v>0</v>
      </c>
      <c r="CQ66" s="5">
        <f>IF($K$62="Crecimiento",$X66,0)</f>
        <v>0</v>
      </c>
      <c r="CT66" s="5">
        <f>IF($L$62="Producción",IF($L66&gt;=LI_A,$Y66,0),0)</f>
        <v>0</v>
      </c>
      <c r="CU66" s="5">
        <f>IF($L$62="Producción",IF($L66&gt;=LI_B,IF($L66&lt;LS_B,$Y66,0),0),0)</f>
        <v>0</v>
      </c>
      <c r="CV66" s="5">
        <f>IF($L$62="Producción",IF($L66&gt;=LI_C,IF($L66&lt;LS_C,$Y66,0),0),0)</f>
        <v>0</v>
      </c>
      <c r="CW66" s="5">
        <f>IF($L$62="Producción",IF($L66&lt;LS_D,$Y66,0),0)</f>
        <v>0</v>
      </c>
      <c r="CX66" s="5">
        <f>IF($L$62="Crecimiento",$Y66,0)</f>
        <v>0</v>
      </c>
      <c r="DA66" s="5">
        <f>IF($M$62="Producción",IF($M66&gt;=LI_A,$Z66,0),0)</f>
        <v>0</v>
      </c>
      <c r="DB66" s="5">
        <f>IF($M$62="Producción",IF($M66&gt;=LI_B,IF($M66&lt;LS_B,$Z66,0),0),0)</f>
        <v>0</v>
      </c>
      <c r="DC66" s="5">
        <f>IF($M$62="Producción",IF($M66&gt;=LI_C,IF($M66&lt;LS_C,$Z66,0),0),0)</f>
        <v>0</v>
      </c>
      <c r="DD66" s="5">
        <f>IF($M$62="Producción",IF($M66&lt;LS_D,$Z66,0),0)</f>
        <v>0</v>
      </c>
      <c r="DE66" s="5">
        <f>IF($M$62="Crecimiento",$Z66,0)</f>
        <v>0</v>
      </c>
      <c r="DI66" s="5">
        <f t="shared" si="439"/>
        <v>0</v>
      </c>
      <c r="DJ66" s="5">
        <f t="shared" si="440"/>
        <v>0</v>
      </c>
      <c r="DK66" s="5">
        <f t="shared" si="441"/>
        <v>0</v>
      </c>
      <c r="DL66" s="5">
        <f t="shared" si="442"/>
        <v>0</v>
      </c>
      <c r="DM66" s="5">
        <f t="shared" si="443"/>
        <v>0</v>
      </c>
      <c r="DN66" s="5">
        <f t="shared" si="444"/>
        <v>0</v>
      </c>
      <c r="DO66" s="5">
        <f t="shared" si="445"/>
        <v>0</v>
      </c>
      <c r="DP66" s="5">
        <f t="shared" si="446"/>
        <v>0</v>
      </c>
      <c r="DQ66" s="5">
        <f t="shared" si="447"/>
        <v>0</v>
      </c>
      <c r="DR66" s="5">
        <f t="shared" si="448"/>
        <v>0</v>
      </c>
      <c r="DS66" s="5">
        <f t="shared" si="449"/>
        <v>0</v>
      </c>
      <c r="DT66" s="5">
        <f t="shared" si="450"/>
        <v>0</v>
      </c>
      <c r="DU66" s="5">
        <f t="shared" si="451"/>
        <v>0</v>
      </c>
      <c r="DV66" s="5">
        <f t="shared" si="452"/>
        <v>0</v>
      </c>
      <c r="DW66" s="5">
        <f t="shared" si="453"/>
        <v>0</v>
      </c>
      <c r="DX66" s="5">
        <f t="shared" si="454"/>
        <v>0</v>
      </c>
      <c r="DY66" s="5">
        <f t="shared" si="455"/>
        <v>0</v>
      </c>
      <c r="DZ66" s="5">
        <f t="shared" si="456"/>
        <v>0</v>
      </c>
      <c r="EA66" s="5">
        <f t="shared" si="457"/>
        <v>0</v>
      </c>
      <c r="EB66" s="5">
        <f t="shared" si="458"/>
        <v>0</v>
      </c>
      <c r="EC66" s="5">
        <f t="shared" si="459"/>
        <v>0</v>
      </c>
      <c r="ED66" s="5">
        <f t="shared" si="460"/>
        <v>0</v>
      </c>
      <c r="EE66" s="5">
        <f t="shared" si="461"/>
        <v>0</v>
      </c>
      <c r="EF66" s="5">
        <f t="shared" si="462"/>
        <v>0</v>
      </c>
      <c r="EG66" s="5">
        <f t="shared" si="463"/>
        <v>0</v>
      </c>
      <c r="EH66" s="5">
        <f t="shared" si="464"/>
        <v>0</v>
      </c>
      <c r="EI66" s="5">
        <f t="shared" si="465"/>
        <v>0</v>
      </c>
      <c r="EJ66" s="5">
        <f t="shared" si="466"/>
        <v>0</v>
      </c>
      <c r="EK66" s="5">
        <f t="shared" si="467"/>
        <v>0</v>
      </c>
      <c r="EL66" s="5">
        <f t="shared" si="468"/>
        <v>0</v>
      </c>
      <c r="EM66" s="5">
        <f t="shared" si="469"/>
        <v>0</v>
      </c>
      <c r="EN66" s="5">
        <f t="shared" si="470"/>
        <v>0</v>
      </c>
      <c r="EO66" s="5">
        <f t="shared" si="471"/>
        <v>0</v>
      </c>
      <c r="EP66" s="5">
        <f t="shared" si="472"/>
        <v>0</v>
      </c>
      <c r="EQ66" s="5">
        <f t="shared" si="473"/>
        <v>0</v>
      </c>
      <c r="ER66" s="5">
        <f t="shared" si="474"/>
        <v>0</v>
      </c>
      <c r="ES66" s="5">
        <f t="shared" si="475"/>
        <v>0</v>
      </c>
      <c r="ET66" s="5">
        <f t="shared" si="476"/>
        <v>0</v>
      </c>
      <c r="EU66" s="5">
        <f t="shared" si="477"/>
        <v>0</v>
      </c>
      <c r="EV66" s="5">
        <f t="shared" si="478"/>
        <v>0</v>
      </c>
      <c r="EW66" s="5">
        <f t="shared" si="479"/>
        <v>0</v>
      </c>
      <c r="EX66" s="5">
        <f t="shared" si="480"/>
        <v>0</v>
      </c>
      <c r="EY66" s="5">
        <f t="shared" si="481"/>
        <v>0</v>
      </c>
      <c r="EZ66" s="5">
        <f t="shared" si="482"/>
        <v>0</v>
      </c>
      <c r="FA66" s="5">
        <f t="shared" si="483"/>
        <v>0</v>
      </c>
      <c r="FB66" s="5">
        <f t="shared" si="484"/>
        <v>0</v>
      </c>
      <c r="FC66" s="5">
        <f t="shared" si="485"/>
        <v>0</v>
      </c>
      <c r="FD66" s="5">
        <f t="shared" si="486"/>
        <v>0</v>
      </c>
      <c r="FE66" s="5">
        <f t="shared" si="487"/>
        <v>0</v>
      </c>
      <c r="FF66" s="5">
        <f t="shared" si="488"/>
        <v>0</v>
      </c>
      <c r="FG66" s="5">
        <f t="shared" si="489"/>
        <v>0</v>
      </c>
      <c r="FH66" s="5">
        <f t="shared" si="490"/>
        <v>0</v>
      </c>
      <c r="FI66" s="5">
        <f t="shared" si="491"/>
        <v>0</v>
      </c>
      <c r="FJ66" s="5">
        <f t="shared" si="492"/>
        <v>0</v>
      </c>
      <c r="FK66" s="5">
        <f t="shared" si="493"/>
        <v>0</v>
      </c>
      <c r="FL66" s="5">
        <f t="shared" si="494"/>
        <v>0</v>
      </c>
      <c r="FM66" s="5">
        <f t="shared" si="495"/>
        <v>0</v>
      </c>
      <c r="FN66" s="5">
        <f t="shared" si="496"/>
        <v>0</v>
      </c>
      <c r="FO66" s="5">
        <f t="shared" si="497"/>
        <v>0</v>
      </c>
      <c r="FP66" s="5">
        <f t="shared" si="498"/>
        <v>0</v>
      </c>
    </row>
    <row r="67" spans="1:172" ht="20.100000000000001" customHeight="1" x14ac:dyDescent="0.3">
      <c r="A67" s="8" t="str">
        <f>IF(Ciclo&gt;2,"Surco 3","NA")</f>
        <v>Surco 3</v>
      </c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O67" s="58">
        <f>IF($A67="NA",0,IFERROR('6'!O$35/Ciclo,0))</f>
        <v>0</v>
      </c>
      <c r="P67" s="58">
        <f>IF($A67="NA",0,IFERROR('6'!P$35/Ciclo,0))</f>
        <v>0</v>
      </c>
      <c r="Q67" s="58">
        <f>IF($A67="NA",0,IFERROR('6'!Q$35/Ciclo,0))</f>
        <v>0</v>
      </c>
      <c r="R67" s="58">
        <f>IF($A67="NA",0,IFERROR('6'!R$35/Ciclo,0))</f>
        <v>0</v>
      </c>
      <c r="S67" s="58">
        <f>IF($A67="NA",0,IFERROR('6'!S$35/Ciclo,0))</f>
        <v>0</v>
      </c>
      <c r="T67" s="58">
        <f>IF($A67="NA",0,IFERROR('6'!T$35/Ciclo,0))</f>
        <v>0</v>
      </c>
      <c r="U67" s="58">
        <f>IF($A67="NA",0,IFERROR('6'!U$35/Ciclo,0))</f>
        <v>0</v>
      </c>
      <c r="V67" s="58">
        <f>IF($A67="NA",0,IFERROR('6'!V$35/Ciclo,0))</f>
        <v>0</v>
      </c>
      <c r="W67" s="5">
        <f>IF($A67="NA",0,IFERROR('6'!W$35/Ciclo,0))</f>
        <v>0</v>
      </c>
      <c r="X67" s="5">
        <f>IF($A67="NA",0,IFERROR('6'!X$35/Ciclo,0))</f>
        <v>0</v>
      </c>
      <c r="Y67" s="5">
        <f>IF($A67="NA",0,IFERROR('6'!Y$35/Ciclo,0))</f>
        <v>0</v>
      </c>
      <c r="Z67" s="5">
        <f>IF($A67="NA",0,IFERROR('6'!Z$35/Ciclo,0))</f>
        <v>0</v>
      </c>
      <c r="AB67" s="5">
        <f>IF($B$62="Producción",IF($B67&gt;=LI_A,$O67,0),0)</f>
        <v>0</v>
      </c>
      <c r="AC67" s="5">
        <f>IF($B$62="Producción",IF($B67&gt;=LI_B,IF($B67&lt;LS_B,$O67,0),0),0)</f>
        <v>0</v>
      </c>
      <c r="AD67" s="5">
        <f>IF($B$62="Producción",IF($B67&gt;=LI_C,IF($B67&lt;LS_C,$O67,0),0),0)</f>
        <v>0</v>
      </c>
      <c r="AE67" s="5">
        <f>IF($B$62="Producción",IF($B67&lt;LS_D,$O67,0),0)</f>
        <v>0</v>
      </c>
      <c r="AF67" s="5">
        <f t="shared" si="499"/>
        <v>0</v>
      </c>
      <c r="AI67" s="5">
        <f>IF($C$62="Producción",IF($C67&gt;=LI_A,$P67,0),0)</f>
        <v>0</v>
      </c>
      <c r="AJ67" s="5">
        <f>IF($C$62="Producción",IF($C67&gt;=LI_B,IF($C67&lt;LS_B,$P67,0),0),0)</f>
        <v>0</v>
      </c>
      <c r="AK67" s="5">
        <f>IF($C$62="Producción",IF($C67&gt;=LI_C,IF($C67&lt;LS_C,$P67,0),0),0)</f>
        <v>0</v>
      </c>
      <c r="AL67" s="5">
        <f>IF($C$62="Producción",IF($C67&lt;LS_D,$P67,0),0)</f>
        <v>0</v>
      </c>
      <c r="AM67" s="5">
        <f>IF($C$62="Crecimiento",$P67,0)</f>
        <v>0</v>
      </c>
      <c r="AP67" s="5">
        <f>IF($D$62="Producción",IF($D67&gt;=LI_A,$Q67,0),0)</f>
        <v>0</v>
      </c>
      <c r="AQ67" s="5">
        <f>IF($D$62="Producción",IF($D67&gt;=LI_B,IF($D67&lt;LS_B,$Q67,0),0),0)</f>
        <v>0</v>
      </c>
      <c r="AR67" s="5">
        <f>IF($D$62="Producción",IF($D67&gt;=LI_C,IF($D67&lt;LS_C,$Q67,0),0),0)</f>
        <v>0</v>
      </c>
      <c r="AS67" s="5">
        <f>IF($D$62="Producción",IF($D67&lt;LS_D,$Q67,0),0)</f>
        <v>0</v>
      </c>
      <c r="AT67" s="5">
        <f>IF($D$62="Crecimiento",IF($D67&gt;0,$Q67,0),0)</f>
        <v>0</v>
      </c>
      <c r="AW67" s="5">
        <f>IF($E$62="Producción",IF($E67&gt;=LI_A,$R67,0),0)</f>
        <v>0</v>
      </c>
      <c r="AX67" s="5">
        <f>IF($E$62="Producción",IF($E67&gt;=LI_B,IF($E67&lt;LS_B,$R67,0),0),0)</f>
        <v>0</v>
      </c>
      <c r="AY67" s="5">
        <f>IF($E$62="Producción",IF($E67&gt;=LI_C,IF($E67&lt;LS_C,$R67,0),0),0)</f>
        <v>0</v>
      </c>
      <c r="AZ67" s="5">
        <f>IF($E$62="Producción",IF($E67&lt;LS_D,$R67,0),0)</f>
        <v>0</v>
      </c>
      <c r="BA67" s="5">
        <f>IF($E$62="Crecimiento",$R67,0)</f>
        <v>0</v>
      </c>
      <c r="BD67" s="5">
        <f>IF($F$62="Producción",IF($F67&gt;=LI_A,$S67,0),0)</f>
        <v>0</v>
      </c>
      <c r="BE67" s="5">
        <f>IF($F$62="Producción",IF($F67&gt;=LI_B,IF($F67&lt;LS_B,$S67,0),0),0)</f>
        <v>0</v>
      </c>
      <c r="BF67" s="5">
        <f>IF($F$62="Producción",IF($F67&gt;=LI_C,IF($F67&lt;LS_C,$S67,0),0),0)</f>
        <v>0</v>
      </c>
      <c r="BG67" s="5">
        <f>IF($F$62="Producción",IF($F67&lt;LS_D,$S67,0),0)</f>
        <v>0</v>
      </c>
      <c r="BH67" s="5">
        <f>IF($F$62="Crecimiento",$S67,0)</f>
        <v>0</v>
      </c>
      <c r="BK67" s="5">
        <f>IF($G$62="Producción",IF($G67&gt;=LI_A,$T67,0),0)</f>
        <v>0</v>
      </c>
      <c r="BL67" s="5">
        <f>IF($G$62="Producción",IF($G67&gt;=LI_B,IF($G67&lt;LS_B,$T67,0),0),0)</f>
        <v>0</v>
      </c>
      <c r="BM67" s="5">
        <f>IF($G$62="Producción",IF($G67&gt;=LI_C,IF($G67&lt;LS_C,$T67,0),0),0)</f>
        <v>0</v>
      </c>
      <c r="BN67" s="5">
        <f>IF($G$62="Producción",IF($G67&lt;LS_D,$T67,0),0)</f>
        <v>0</v>
      </c>
      <c r="BO67" s="5">
        <f>IF($G$62="Crecimiento",$T67,0)</f>
        <v>0</v>
      </c>
      <c r="BR67" s="5">
        <f>IF($H$62="Producción",IF($H67&gt;=LI_A,$U67,0),0)</f>
        <v>0</v>
      </c>
      <c r="BS67" s="5">
        <f>IF($H$62="Producción",IF($H67&gt;=LI_B,IF($H67&lt;LS_B,$U67,0),0),0)</f>
        <v>0</v>
      </c>
      <c r="BT67" s="5">
        <f>IF($H$62="Producción",IF($H67&gt;=LI_C,IF($H67&lt;LS_C,$U67,0),0),0)</f>
        <v>0</v>
      </c>
      <c r="BU67" s="5">
        <f>IF($H$62="Producción",IF($H67&lt;LS_D,$U67,0),0)</f>
        <v>0</v>
      </c>
      <c r="BV67" s="5">
        <f>IF($H$62="Crecimiento",$T67,0)</f>
        <v>0</v>
      </c>
      <c r="BY67" s="5">
        <f>IF($I$62="Producción",IF($I67&gt;=LI_A,$V67,0),0)</f>
        <v>0</v>
      </c>
      <c r="BZ67" s="5">
        <f>IF($I$62="Producción",IF($I67&gt;=LI_B,IF($I67&lt;LS_B,$V67,0),0),0)</f>
        <v>0</v>
      </c>
      <c r="CA67" s="5">
        <f>IF($I$62="Producción",IF($I67&gt;=LI_C,IF($I67&lt;LS_C,$V67,0),0),0)</f>
        <v>0</v>
      </c>
      <c r="CB67" s="5">
        <f>IF($I$62="Producción",IF($I67&lt;LS_D,$V67,0),0)</f>
        <v>0</v>
      </c>
      <c r="CC67" s="5">
        <f>IF($I$62="Crecimiento",$V67,0)</f>
        <v>0</v>
      </c>
      <c r="CF67" s="5">
        <f>IF($J$62="Producción",IF($J67&gt;=LI_A,$W67,0),0)</f>
        <v>0</v>
      </c>
      <c r="CG67" s="5">
        <f>IF($J$62="Producción",IF($J67&gt;=LI_B,IF($J67&lt;LS_B,$W67,0),0),0)</f>
        <v>0</v>
      </c>
      <c r="CH67" s="5">
        <f>IF($J$62="Producción",IF($J67&gt;=LI_C,IF($J67&lt;LS_C,$W67,0),0),0)</f>
        <v>0</v>
      </c>
      <c r="CI67" s="5">
        <f>IF($J$62="Producción",IF($J67&lt;LS_D,$W67,0),0)</f>
        <v>0</v>
      </c>
      <c r="CJ67" s="5">
        <f>IF($J$62="Crecimiento",$W67,0)</f>
        <v>0</v>
      </c>
      <c r="CM67" s="5">
        <f>IF($K$62="Producción",IF($K67&gt;=LI_A,$X67,0),0)</f>
        <v>0</v>
      </c>
      <c r="CN67" s="5">
        <f>IF($K$62="Producción",IF($K67&gt;=LI_B,IF($K67&lt;LS_B,$X67,0),0),0)</f>
        <v>0</v>
      </c>
      <c r="CO67" s="5">
        <f>IF($K$62="Producción",IF($K67&gt;=LI_C,IF($K67&lt;LS_C,$X67,0),0),0)</f>
        <v>0</v>
      </c>
      <c r="CP67" s="5">
        <f>IF($K$62="Producción",IF($K67&lt;LS_D,$X67,0),0)</f>
        <v>0</v>
      </c>
      <c r="CQ67" s="5">
        <f>IF($K$62="Crecimiento",$X67,0)</f>
        <v>0</v>
      </c>
      <c r="CT67" s="5">
        <f>IF($L$62="Producción",IF($L67&gt;=LI_A,$Y67,0),0)</f>
        <v>0</v>
      </c>
      <c r="CU67" s="5">
        <f>IF($L$62="Producción",IF($L67&gt;=LI_B,IF($L67&lt;LS_B,$Y67,0),0),0)</f>
        <v>0</v>
      </c>
      <c r="CV67" s="5">
        <f>IF($L$62="Producción",IF($L67&gt;=LI_C,IF($L67&lt;LS_C,$Y67,0),0),0)</f>
        <v>0</v>
      </c>
      <c r="CW67" s="5">
        <f>IF($L$62="Producción",IF($L67&lt;LS_D,$Y67,0),0)</f>
        <v>0</v>
      </c>
      <c r="CX67" s="5">
        <f>IF($L$62="Crecimiento",$Y67,0)</f>
        <v>0</v>
      </c>
      <c r="DA67" s="5">
        <f>IF($M$62="Producción",IF($M67&gt;=LI_A,$Z67,0),0)</f>
        <v>0</v>
      </c>
      <c r="DB67" s="5">
        <f>IF($M$62="Producción",IF($M67&gt;=LI_B,IF($M67&lt;LS_B,$Z67,0),0),0)</f>
        <v>0</v>
      </c>
      <c r="DC67" s="5">
        <f>IF($M$62="Producción",IF($M67&gt;=LI_C,IF($M67&lt;LS_C,$Z67,0),0),0)</f>
        <v>0</v>
      </c>
      <c r="DD67" s="5">
        <f>IF($M$62="Producción",IF($M67&lt;LS_D,$Z67,0),0)</f>
        <v>0</v>
      </c>
      <c r="DE67" s="5">
        <f>IF($M$62="Crecimiento",$Z67,0)</f>
        <v>0</v>
      </c>
      <c r="DI67" s="5">
        <f t="shared" si="439"/>
        <v>0</v>
      </c>
      <c r="DJ67" s="5">
        <f t="shared" si="440"/>
        <v>0</v>
      </c>
      <c r="DK67" s="5">
        <f t="shared" si="441"/>
        <v>0</v>
      </c>
      <c r="DL67" s="5">
        <f t="shared" si="442"/>
        <v>0</v>
      </c>
      <c r="DM67" s="5">
        <f t="shared" si="443"/>
        <v>0</v>
      </c>
      <c r="DN67" s="5">
        <f t="shared" si="444"/>
        <v>0</v>
      </c>
      <c r="DO67" s="5">
        <f t="shared" si="445"/>
        <v>0</v>
      </c>
      <c r="DP67" s="5">
        <f t="shared" si="446"/>
        <v>0</v>
      </c>
      <c r="DQ67" s="5">
        <f t="shared" si="447"/>
        <v>0</v>
      </c>
      <c r="DR67" s="5">
        <f t="shared" si="448"/>
        <v>0</v>
      </c>
      <c r="DS67" s="5">
        <f t="shared" si="449"/>
        <v>0</v>
      </c>
      <c r="DT67" s="5">
        <f t="shared" si="450"/>
        <v>0</v>
      </c>
      <c r="DU67" s="5">
        <f t="shared" si="451"/>
        <v>0</v>
      </c>
      <c r="DV67" s="5">
        <f t="shared" si="452"/>
        <v>0</v>
      </c>
      <c r="DW67" s="5">
        <f t="shared" si="453"/>
        <v>0</v>
      </c>
      <c r="DX67" s="5">
        <f t="shared" si="454"/>
        <v>0</v>
      </c>
      <c r="DY67" s="5">
        <f t="shared" si="455"/>
        <v>0</v>
      </c>
      <c r="DZ67" s="5">
        <f t="shared" si="456"/>
        <v>0</v>
      </c>
      <c r="EA67" s="5">
        <f t="shared" si="457"/>
        <v>0</v>
      </c>
      <c r="EB67" s="5">
        <f t="shared" si="458"/>
        <v>0</v>
      </c>
      <c r="EC67" s="5">
        <f t="shared" si="459"/>
        <v>0</v>
      </c>
      <c r="ED67" s="5">
        <f t="shared" si="460"/>
        <v>0</v>
      </c>
      <c r="EE67" s="5">
        <f t="shared" si="461"/>
        <v>0</v>
      </c>
      <c r="EF67" s="5">
        <f t="shared" si="462"/>
        <v>0</v>
      </c>
      <c r="EG67" s="5">
        <f t="shared" si="463"/>
        <v>0</v>
      </c>
      <c r="EH67" s="5">
        <f t="shared" si="464"/>
        <v>0</v>
      </c>
      <c r="EI67" s="5">
        <f t="shared" si="465"/>
        <v>0</v>
      </c>
      <c r="EJ67" s="5">
        <f t="shared" si="466"/>
        <v>0</v>
      </c>
      <c r="EK67" s="5">
        <f t="shared" si="467"/>
        <v>0</v>
      </c>
      <c r="EL67" s="5">
        <f t="shared" si="468"/>
        <v>0</v>
      </c>
      <c r="EM67" s="5">
        <f t="shared" si="469"/>
        <v>0</v>
      </c>
      <c r="EN67" s="5">
        <f t="shared" si="470"/>
        <v>0</v>
      </c>
      <c r="EO67" s="5">
        <f t="shared" si="471"/>
        <v>0</v>
      </c>
      <c r="EP67" s="5">
        <f t="shared" si="472"/>
        <v>0</v>
      </c>
      <c r="EQ67" s="5">
        <f t="shared" si="473"/>
        <v>0</v>
      </c>
      <c r="ER67" s="5">
        <f t="shared" si="474"/>
        <v>0</v>
      </c>
      <c r="ES67" s="5">
        <f t="shared" si="475"/>
        <v>0</v>
      </c>
      <c r="ET67" s="5">
        <f t="shared" si="476"/>
        <v>0</v>
      </c>
      <c r="EU67" s="5">
        <f t="shared" si="477"/>
        <v>0</v>
      </c>
      <c r="EV67" s="5">
        <f t="shared" si="478"/>
        <v>0</v>
      </c>
      <c r="EW67" s="5">
        <f t="shared" si="479"/>
        <v>0</v>
      </c>
      <c r="EX67" s="5">
        <f t="shared" si="480"/>
        <v>0</v>
      </c>
      <c r="EY67" s="5">
        <f t="shared" si="481"/>
        <v>0</v>
      </c>
      <c r="EZ67" s="5">
        <f t="shared" si="482"/>
        <v>0</v>
      </c>
      <c r="FA67" s="5">
        <f t="shared" si="483"/>
        <v>0</v>
      </c>
      <c r="FB67" s="5">
        <f t="shared" si="484"/>
        <v>0</v>
      </c>
      <c r="FC67" s="5">
        <f t="shared" si="485"/>
        <v>0</v>
      </c>
      <c r="FD67" s="5">
        <f t="shared" si="486"/>
        <v>0</v>
      </c>
      <c r="FE67" s="5">
        <f t="shared" si="487"/>
        <v>0</v>
      </c>
      <c r="FF67" s="5">
        <f t="shared" si="488"/>
        <v>0</v>
      </c>
      <c r="FG67" s="5">
        <f t="shared" si="489"/>
        <v>0</v>
      </c>
      <c r="FH67" s="5">
        <f t="shared" si="490"/>
        <v>0</v>
      </c>
      <c r="FI67" s="5">
        <f t="shared" si="491"/>
        <v>0</v>
      </c>
      <c r="FJ67" s="5">
        <f t="shared" si="492"/>
        <v>0</v>
      </c>
      <c r="FK67" s="5">
        <f t="shared" si="493"/>
        <v>0</v>
      </c>
      <c r="FL67" s="5">
        <f t="shared" si="494"/>
        <v>0</v>
      </c>
      <c r="FM67" s="5">
        <f t="shared" si="495"/>
        <v>0</v>
      </c>
      <c r="FN67" s="5">
        <f t="shared" si="496"/>
        <v>0</v>
      </c>
      <c r="FO67" s="5">
        <f t="shared" si="497"/>
        <v>0</v>
      </c>
      <c r="FP67" s="5">
        <f t="shared" si="498"/>
        <v>0</v>
      </c>
    </row>
    <row r="68" spans="1:172" ht="20.100000000000001" customHeight="1" x14ac:dyDescent="0.3">
      <c r="A68" s="8" t="str">
        <f>IF(Ciclo=4,"Surco 4",IF(Ciclo=5,"Surco 4","NA"))</f>
        <v>NA</v>
      </c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O68" s="58">
        <f>IF($A68="NA",0,IFERROR('6'!O$35/Ciclo,0))</f>
        <v>0</v>
      </c>
      <c r="P68" s="58">
        <f>IF($A68="NA",0,IFERROR('6'!P$35/Ciclo,0))</f>
        <v>0</v>
      </c>
      <c r="Q68" s="58">
        <f>IF($A68="NA",0,IFERROR('6'!Q$35/Ciclo,0))</f>
        <v>0</v>
      </c>
      <c r="R68" s="58">
        <f>IF($A68="NA",0,IFERROR('6'!R$35/Ciclo,0))</f>
        <v>0</v>
      </c>
      <c r="S68" s="58">
        <f>IF($A68="NA",0,IFERROR('6'!S$35/Ciclo,0))</f>
        <v>0</v>
      </c>
      <c r="T68" s="58">
        <f>IF($A68="NA",0,IFERROR('6'!T$35/Ciclo,0))</f>
        <v>0</v>
      </c>
      <c r="U68" s="58">
        <f>IF($A68="NA",0,IFERROR('6'!U$35/Ciclo,0))</f>
        <v>0</v>
      </c>
      <c r="V68" s="58">
        <f>IF($A68="NA",0,IFERROR('6'!V$35/Ciclo,0))</f>
        <v>0</v>
      </c>
      <c r="W68" s="5">
        <f>IF($A68="NA",0,IFERROR('6'!W$35/Ciclo,0))</f>
        <v>0</v>
      </c>
      <c r="X68" s="5">
        <f>IF($A68="NA",0,IFERROR('6'!X$35/Ciclo,0))</f>
        <v>0</v>
      </c>
      <c r="Y68" s="5">
        <f>IF($A68="NA",0,IFERROR('6'!Y$35/Ciclo,0))</f>
        <v>0</v>
      </c>
      <c r="Z68" s="5">
        <f>IF($A68="NA",0,IFERROR('6'!Z$35/Ciclo,0))</f>
        <v>0</v>
      </c>
      <c r="AB68" s="5">
        <f>IF($B$62="Producción",IF($B68&gt;=LI_A,$O68,0),0)</f>
        <v>0</v>
      </c>
      <c r="AC68" s="5">
        <f>IF($B$62="Producción",IF($B68&gt;=LI_B,IF($B68&lt;LS_B,$O68,0),0),0)</f>
        <v>0</v>
      </c>
      <c r="AD68" s="5">
        <f>IF($B$62="Producción",IF($B68&gt;=LI_C,IF($B68&lt;LS_C,$O68,0),0),0)</f>
        <v>0</v>
      </c>
      <c r="AE68" s="5">
        <f>IF($B$62="Producción",IF($B68&lt;LS_D,$O68,0),0)</f>
        <v>0</v>
      </c>
      <c r="AF68" s="5">
        <f t="shared" si="499"/>
        <v>0</v>
      </c>
      <c r="AI68" s="5">
        <f>IF($C$62="Producción",IF($C68&gt;=LI_A,$P68,0),0)</f>
        <v>0</v>
      </c>
      <c r="AJ68" s="5">
        <f>IF($C$62="Producción",IF($C68&gt;=LI_B,IF($C68&lt;LS_B,$P68,0),0),0)</f>
        <v>0</v>
      </c>
      <c r="AK68" s="5">
        <f>IF($C$62="Producción",IF($C68&gt;=LI_C,IF($C68&lt;LS_C,$P68,0),0),0)</f>
        <v>0</v>
      </c>
      <c r="AL68" s="5">
        <f>IF($C$62="Producción",IF($C68&lt;LS_D,$P68,0),0)</f>
        <v>0</v>
      </c>
      <c r="AM68" s="5">
        <f>IF($C$62="Crecimiento",$P68,0)</f>
        <v>0</v>
      </c>
      <c r="AP68" s="5">
        <f>IF($D$62="Producción",IF($D68&gt;=LI_A,$Q68,0),0)</f>
        <v>0</v>
      </c>
      <c r="AQ68" s="5">
        <f>IF($D$62="Producción",IF($D68&gt;=LI_B,IF($D68&lt;LS_B,$Q68,0),0),0)</f>
        <v>0</v>
      </c>
      <c r="AR68" s="5">
        <f>IF($D$62="Producción",IF($D68&gt;=LI_C,IF($D68&lt;LS_C,$Q68,0),0),0)</f>
        <v>0</v>
      </c>
      <c r="AS68" s="5">
        <f>IF($D$62="Producción",IF($D68&lt;LS_D,$Q68,0),0)</f>
        <v>0</v>
      </c>
      <c r="AT68" s="5">
        <f>IF($D$62="Crecimiento",IF($D68&gt;0,$Q68,0),0)</f>
        <v>0</v>
      </c>
      <c r="AW68" s="5">
        <f>IF($E$62="Producción",IF($E68&gt;=LI_A,$R68,0),0)</f>
        <v>0</v>
      </c>
      <c r="AX68" s="5">
        <f>IF($E$62="Producción",IF($E68&gt;=LI_B,IF($E68&lt;LS_B,$R68,0),0),0)</f>
        <v>0</v>
      </c>
      <c r="AY68" s="5">
        <f>IF($E$62="Producción",IF($E68&gt;=LI_C,IF($E68&lt;LS_C,$R68,0),0),0)</f>
        <v>0</v>
      </c>
      <c r="AZ68" s="5">
        <f>IF($E$62="Producción",IF($E68&lt;LS_D,$R68,0),0)</f>
        <v>0</v>
      </c>
      <c r="BA68" s="5">
        <f>IF($E$62="Crecimiento",$R68,0)</f>
        <v>0</v>
      </c>
      <c r="BD68" s="5">
        <f>IF($F$62="Producción",IF($F68&gt;=LI_A,$S68,0),0)</f>
        <v>0</v>
      </c>
      <c r="BE68" s="5">
        <f>IF($F$62="Producción",IF($F68&gt;=LI_B,IF($F68&lt;LS_B,$S68,0),0),0)</f>
        <v>0</v>
      </c>
      <c r="BF68" s="5">
        <f>IF($F$62="Producción",IF($F68&gt;=LI_C,IF($F68&lt;LS_C,$S68,0),0),0)</f>
        <v>0</v>
      </c>
      <c r="BG68" s="5">
        <f>IF($F$62="Producción",IF($F68&lt;LS_D,$S68,0),0)</f>
        <v>0</v>
      </c>
      <c r="BH68" s="5">
        <f>IF($F$62="Crecimiento",$S68,0)</f>
        <v>0</v>
      </c>
      <c r="BK68" s="5">
        <f>IF($G$62="Producción",IF($G68&gt;=LI_A,$T68,0),0)</f>
        <v>0</v>
      </c>
      <c r="BL68" s="5">
        <f>IF($G$62="Producción",IF($G68&gt;=LI_B,IF($G68&lt;LS_B,$T68,0),0),0)</f>
        <v>0</v>
      </c>
      <c r="BM68" s="5">
        <f>IF($G$62="Producción",IF($G68&gt;=LI_C,IF($G68&lt;LS_C,$T68,0),0),0)</f>
        <v>0</v>
      </c>
      <c r="BN68" s="5">
        <f>IF($G$62="Producción",IF($G68&lt;LS_D,$T68,0),0)</f>
        <v>0</v>
      </c>
      <c r="BO68" s="5">
        <f>IF($G$62="Crecimiento",$T68,0)</f>
        <v>0</v>
      </c>
      <c r="BR68" s="5">
        <f>IF($H$62="Producción",IF($H68&gt;=LI_A,$U68,0),0)</f>
        <v>0</v>
      </c>
      <c r="BS68" s="5">
        <f>IF($H$62="Producción",IF($H68&gt;=LI_B,IF($H68&lt;LS_B,$U68,0),0),0)</f>
        <v>0</v>
      </c>
      <c r="BT68" s="5">
        <f>IF($H$62="Producción",IF($H68&gt;=LI_C,IF($H68&lt;LS_C,$U68,0),0),0)</f>
        <v>0</v>
      </c>
      <c r="BU68" s="5">
        <f>IF($H$62="Producción",IF($H68&lt;LS_D,$U68,0),0)</f>
        <v>0</v>
      </c>
      <c r="BV68" s="5">
        <f>IF($H$62="Crecimiento",$T68,0)</f>
        <v>0</v>
      </c>
      <c r="BY68" s="5">
        <f>IF($I$62="Producción",IF($I68&gt;=LI_A,$V68,0),0)</f>
        <v>0</v>
      </c>
      <c r="BZ68" s="5">
        <f>IF($I$62="Producción",IF($I68&gt;=LI_B,IF($I68&lt;LS_B,$V68,0),0),0)</f>
        <v>0</v>
      </c>
      <c r="CA68" s="5">
        <f>IF($I$62="Producción",IF($I68&gt;=LI_C,IF($I68&lt;LS_C,$V68,0),0),0)</f>
        <v>0</v>
      </c>
      <c r="CB68" s="5">
        <f>IF($I$62="Producción",IF($I68&lt;LS_D,$V68,0),0)</f>
        <v>0</v>
      </c>
      <c r="CC68" s="5">
        <f>IF($I$62="Crecimiento",$V68,0)</f>
        <v>0</v>
      </c>
      <c r="CF68" s="5">
        <f>IF($J$62="Producción",IF($J68&gt;=LI_A,$W68,0),0)</f>
        <v>0</v>
      </c>
      <c r="CG68" s="5">
        <f>IF($J$62="Producción",IF($J68&gt;=LI_B,IF($J68&lt;LS_B,$W68,0),0),0)</f>
        <v>0</v>
      </c>
      <c r="CH68" s="5">
        <f>IF($J$62="Producción",IF($J68&gt;=LI_C,IF($J68&lt;LS_C,$W68,0),0),0)</f>
        <v>0</v>
      </c>
      <c r="CI68" s="5">
        <f>IF($J$62="Producción",IF($J68&lt;LS_D,$W68,0),0)</f>
        <v>0</v>
      </c>
      <c r="CJ68" s="5">
        <f>IF($J$62="Crecimiento",$W68,0)</f>
        <v>0</v>
      </c>
      <c r="CM68" s="5">
        <f>IF($K$62="Producción",IF($K68&gt;=LI_A,$X68,0),0)</f>
        <v>0</v>
      </c>
      <c r="CN68" s="5">
        <f>IF($K$62="Producción",IF($K68&gt;=LI_B,IF($K68&lt;LS_B,$X68,0),0),0)</f>
        <v>0</v>
      </c>
      <c r="CO68" s="5">
        <f>IF($K$62="Producción",IF($K68&gt;=LI_C,IF($K68&lt;LS_C,$X68,0),0),0)</f>
        <v>0</v>
      </c>
      <c r="CP68" s="5">
        <f>IF($K$62="Producción",IF($K68&lt;LS_D,$X68,0),0)</f>
        <v>0</v>
      </c>
      <c r="CQ68" s="5">
        <f>IF($K$62="Crecimiento",$X68,0)</f>
        <v>0</v>
      </c>
      <c r="CT68" s="5">
        <f>IF($L$62="Producción",IF($L68&gt;=LI_A,$Y68,0),0)</f>
        <v>0</v>
      </c>
      <c r="CU68" s="5">
        <f>IF($L$62="Producción",IF($L68&gt;=LI_B,IF($L68&lt;LS_B,$Y68,0),0),0)</f>
        <v>0</v>
      </c>
      <c r="CV68" s="5">
        <f>IF($L$62="Producción",IF($L68&gt;=LI_C,IF($L68&lt;LS_C,$Y68,0),0),0)</f>
        <v>0</v>
      </c>
      <c r="CW68" s="5">
        <f>IF($L$62="Producción",IF($L68&lt;LS_D,$Y68,0),0)</f>
        <v>0</v>
      </c>
      <c r="CX68" s="5">
        <f>IF($L$62="Crecimiento",$Y68,0)</f>
        <v>0</v>
      </c>
      <c r="DA68" s="5">
        <f>IF($M$62="Producción",IF($M68&gt;=LI_A,$Z68,0),0)</f>
        <v>0</v>
      </c>
      <c r="DB68" s="5">
        <f>IF($M$62="Producción",IF($M68&gt;=LI_B,IF($M68&lt;LS_B,$Z68,0),0),0)</f>
        <v>0</v>
      </c>
      <c r="DC68" s="5">
        <f>IF($M$62="Producción",IF($M68&gt;=LI_C,IF($M68&lt;LS_C,$Z68,0),0),0)</f>
        <v>0</v>
      </c>
      <c r="DD68" s="5">
        <f>IF($M$62="Producción",IF($M68&lt;LS_D,$Z68,0),0)</f>
        <v>0</v>
      </c>
      <c r="DE68" s="5">
        <f>IF($M$62="Crecimiento",$Z68,0)</f>
        <v>0</v>
      </c>
      <c r="DI68" s="5">
        <f t="shared" si="439"/>
        <v>0</v>
      </c>
      <c r="DJ68" s="5">
        <f t="shared" si="440"/>
        <v>0</v>
      </c>
      <c r="DK68" s="5">
        <f t="shared" si="441"/>
        <v>0</v>
      </c>
      <c r="DL68" s="5">
        <f t="shared" si="442"/>
        <v>0</v>
      </c>
      <c r="DM68" s="5">
        <f t="shared" si="443"/>
        <v>0</v>
      </c>
      <c r="DN68" s="5">
        <f t="shared" si="444"/>
        <v>0</v>
      </c>
      <c r="DO68" s="5">
        <f t="shared" si="445"/>
        <v>0</v>
      </c>
      <c r="DP68" s="5">
        <f t="shared" si="446"/>
        <v>0</v>
      </c>
      <c r="DQ68" s="5">
        <f t="shared" si="447"/>
        <v>0</v>
      </c>
      <c r="DR68" s="5">
        <f t="shared" si="448"/>
        <v>0</v>
      </c>
      <c r="DS68" s="5">
        <f t="shared" si="449"/>
        <v>0</v>
      </c>
      <c r="DT68" s="5">
        <f t="shared" si="450"/>
        <v>0</v>
      </c>
      <c r="DU68" s="5">
        <f t="shared" si="451"/>
        <v>0</v>
      </c>
      <c r="DV68" s="5">
        <f t="shared" si="452"/>
        <v>0</v>
      </c>
      <c r="DW68" s="5">
        <f t="shared" si="453"/>
        <v>0</v>
      </c>
      <c r="DX68" s="5">
        <f t="shared" si="454"/>
        <v>0</v>
      </c>
      <c r="DY68" s="5">
        <f t="shared" si="455"/>
        <v>0</v>
      </c>
      <c r="DZ68" s="5">
        <f t="shared" si="456"/>
        <v>0</v>
      </c>
      <c r="EA68" s="5">
        <f t="shared" si="457"/>
        <v>0</v>
      </c>
      <c r="EB68" s="5">
        <f t="shared" si="458"/>
        <v>0</v>
      </c>
      <c r="EC68" s="5">
        <f t="shared" si="459"/>
        <v>0</v>
      </c>
      <c r="ED68" s="5">
        <f t="shared" si="460"/>
        <v>0</v>
      </c>
      <c r="EE68" s="5">
        <f t="shared" si="461"/>
        <v>0</v>
      </c>
      <c r="EF68" s="5">
        <f t="shared" si="462"/>
        <v>0</v>
      </c>
      <c r="EG68" s="5">
        <f t="shared" si="463"/>
        <v>0</v>
      </c>
      <c r="EH68" s="5">
        <f t="shared" si="464"/>
        <v>0</v>
      </c>
      <c r="EI68" s="5">
        <f t="shared" si="465"/>
        <v>0</v>
      </c>
      <c r="EJ68" s="5">
        <f t="shared" si="466"/>
        <v>0</v>
      </c>
      <c r="EK68" s="5">
        <f t="shared" si="467"/>
        <v>0</v>
      </c>
      <c r="EL68" s="5">
        <f t="shared" si="468"/>
        <v>0</v>
      </c>
      <c r="EM68" s="5">
        <f t="shared" si="469"/>
        <v>0</v>
      </c>
      <c r="EN68" s="5">
        <f t="shared" si="470"/>
        <v>0</v>
      </c>
      <c r="EO68" s="5">
        <f t="shared" si="471"/>
        <v>0</v>
      </c>
      <c r="EP68" s="5">
        <f t="shared" si="472"/>
        <v>0</v>
      </c>
      <c r="EQ68" s="5">
        <f t="shared" si="473"/>
        <v>0</v>
      </c>
      <c r="ER68" s="5">
        <f t="shared" si="474"/>
        <v>0</v>
      </c>
      <c r="ES68" s="5">
        <f t="shared" si="475"/>
        <v>0</v>
      </c>
      <c r="ET68" s="5">
        <f t="shared" si="476"/>
        <v>0</v>
      </c>
      <c r="EU68" s="5">
        <f t="shared" si="477"/>
        <v>0</v>
      </c>
      <c r="EV68" s="5">
        <f t="shared" si="478"/>
        <v>0</v>
      </c>
      <c r="EW68" s="5">
        <f t="shared" si="479"/>
        <v>0</v>
      </c>
      <c r="EX68" s="5">
        <f t="shared" si="480"/>
        <v>0</v>
      </c>
      <c r="EY68" s="5">
        <f t="shared" si="481"/>
        <v>0</v>
      </c>
      <c r="EZ68" s="5">
        <f t="shared" si="482"/>
        <v>0</v>
      </c>
      <c r="FA68" s="5">
        <f t="shared" si="483"/>
        <v>0</v>
      </c>
      <c r="FB68" s="5">
        <f t="shared" si="484"/>
        <v>0</v>
      </c>
      <c r="FC68" s="5">
        <f t="shared" si="485"/>
        <v>0</v>
      </c>
      <c r="FD68" s="5">
        <f t="shared" si="486"/>
        <v>0</v>
      </c>
      <c r="FE68" s="5">
        <f t="shared" si="487"/>
        <v>0</v>
      </c>
      <c r="FF68" s="5">
        <f t="shared" si="488"/>
        <v>0</v>
      </c>
      <c r="FG68" s="5">
        <f t="shared" si="489"/>
        <v>0</v>
      </c>
      <c r="FH68" s="5">
        <f t="shared" si="490"/>
        <v>0</v>
      </c>
      <c r="FI68" s="5">
        <f t="shared" si="491"/>
        <v>0</v>
      </c>
      <c r="FJ68" s="5">
        <f t="shared" si="492"/>
        <v>0</v>
      </c>
      <c r="FK68" s="5">
        <f t="shared" si="493"/>
        <v>0</v>
      </c>
      <c r="FL68" s="5">
        <f t="shared" si="494"/>
        <v>0</v>
      </c>
      <c r="FM68" s="5">
        <f t="shared" si="495"/>
        <v>0</v>
      </c>
      <c r="FN68" s="5">
        <f t="shared" si="496"/>
        <v>0</v>
      </c>
      <c r="FO68" s="5">
        <f t="shared" si="497"/>
        <v>0</v>
      </c>
      <c r="FP68" s="5">
        <f t="shared" si="498"/>
        <v>0</v>
      </c>
    </row>
    <row r="69" spans="1:172" ht="20.100000000000001" customHeight="1" x14ac:dyDescent="0.3">
      <c r="A69" s="9" t="str">
        <f>IF(Ciclo=5,"Surco 5","NA")</f>
        <v>NA</v>
      </c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O69" s="58">
        <f>IF($A69="NA",0,IFERROR('6'!O$35/Ciclo,0))</f>
        <v>0</v>
      </c>
      <c r="P69" s="58">
        <f>IF($A69="NA",0,IFERROR('6'!P$35/Ciclo,0))</f>
        <v>0</v>
      </c>
      <c r="Q69" s="58">
        <f>IF($A69="NA",0,IFERROR('6'!Q$35/Ciclo,0))</f>
        <v>0</v>
      </c>
      <c r="R69" s="58">
        <f>IF($A69="NA",0,IFERROR('6'!R$35/Ciclo,0))</f>
        <v>0</v>
      </c>
      <c r="S69" s="58">
        <f>IF($A69="NA",0,IFERROR('6'!S$35/Ciclo,0))</f>
        <v>0</v>
      </c>
      <c r="T69" s="58">
        <f>IF($A69="NA",0,IFERROR('6'!T$35/Ciclo,0))</f>
        <v>0</v>
      </c>
      <c r="U69" s="58">
        <f>IF($A69="NA",0,IFERROR('6'!U$35/Ciclo,0))</f>
        <v>0</v>
      </c>
      <c r="V69" s="58">
        <f>IF($A69="NA",0,IFERROR('6'!V$35/Ciclo,0))</f>
        <v>0</v>
      </c>
      <c r="W69" s="5">
        <f>IF($A69="NA",0,IFERROR('6'!W$35/Ciclo,0))</f>
        <v>0</v>
      </c>
      <c r="X69" s="5">
        <f>IF($A69="NA",0,IFERROR('6'!X$35/Ciclo,0))</f>
        <v>0</v>
      </c>
      <c r="Y69" s="5">
        <f>IF($A69="NA",0,IFERROR('6'!Y$35/Ciclo,0))</f>
        <v>0</v>
      </c>
      <c r="Z69" s="5">
        <f>IF($A69="NA",0,IFERROR('6'!Z$35/Ciclo,0))</f>
        <v>0</v>
      </c>
      <c r="AB69" s="5">
        <f>IF($B$62="Producción",IF($B69&gt;=LI_A,$O69,0),0)</f>
        <v>0</v>
      </c>
      <c r="AC69" s="5">
        <f>IF($B$62="Producción",IF($B69&gt;=LI_B,IF($B69&lt;LS_B,$O69,0),0),0)</f>
        <v>0</v>
      </c>
      <c r="AD69" s="5">
        <f>IF($B$62="Producción",IF($B69&gt;=LI_C,IF($B69&lt;LS_C,$O69,0),0),0)</f>
        <v>0</v>
      </c>
      <c r="AE69" s="5">
        <f>IF($B$62="Producción",IF($B69&lt;LS_D,$O69,0),0)</f>
        <v>0</v>
      </c>
      <c r="AF69" s="5">
        <f t="shared" si="499"/>
        <v>0</v>
      </c>
      <c r="AI69" s="5">
        <f>IF($C$62="Producción",IF($C69&gt;=LI_A,$P69,0),0)</f>
        <v>0</v>
      </c>
      <c r="AJ69" s="5">
        <f>IF($C$62="Producción",IF($C69&gt;=LI_B,IF($C69&lt;LS_B,$P69,0),0),0)</f>
        <v>0</v>
      </c>
      <c r="AK69" s="5">
        <f>IF($C$62="Producción",IF($C69&gt;=LI_C,IF($C69&lt;LS_C,$P69,0),0),0)</f>
        <v>0</v>
      </c>
      <c r="AL69" s="5">
        <f>IF($C$62="Producción",IF($C69&lt;LS_D,$P69,0),0)</f>
        <v>0</v>
      </c>
      <c r="AM69" s="5">
        <f>IF($C$62="Crecimiento",$P69,0)</f>
        <v>0</v>
      </c>
      <c r="AP69" s="5">
        <f>IF($D$62="Producción",IF($D69&gt;=LI_A,$Q69,0),0)</f>
        <v>0</v>
      </c>
      <c r="AQ69" s="5">
        <f>IF($D$62="Producción",IF($D69&gt;=LI_B,IF($D69&lt;LS_B,$Q69,0),0),0)</f>
        <v>0</v>
      </c>
      <c r="AR69" s="5">
        <f>IF($D$62="Producción",IF($D69&gt;=LI_C,IF($D69&lt;LS_C,$Q69,0),0),0)</f>
        <v>0</v>
      </c>
      <c r="AS69" s="5">
        <f>IF($D$62="Producción",IF($D69&lt;LS_D,$Q69,0),0)</f>
        <v>0</v>
      </c>
      <c r="AT69" s="5">
        <f>IF($D$62="Crecimiento",IF($D69&gt;0,$Q69,0),0)</f>
        <v>0</v>
      </c>
      <c r="AW69" s="5">
        <f>IF($E$62="Producción",IF($E69&gt;=LI_A,$R69,0),0)</f>
        <v>0</v>
      </c>
      <c r="AX69" s="5">
        <f>IF($E$62="Producción",IF($E69&gt;=LI_B,IF($E69&lt;LS_B,$R69,0),0),0)</f>
        <v>0</v>
      </c>
      <c r="AY69" s="5">
        <f>IF($E$62="Producción",IF($E69&gt;=LI_C,IF($E69&lt;LS_C,$R69,0),0),0)</f>
        <v>0</v>
      </c>
      <c r="AZ69" s="5">
        <f>IF($E$62="Producción",IF($E69&lt;LS_D,$R69,0),0)</f>
        <v>0</v>
      </c>
      <c r="BA69" s="5">
        <f>IF($E$62="Crecimiento",$R69,0)</f>
        <v>0</v>
      </c>
      <c r="BD69" s="5">
        <f>IF($F$62="Producción",IF($F69&gt;=LI_A,$S69,0),0)</f>
        <v>0</v>
      </c>
      <c r="BE69" s="5">
        <f>IF($F$62="Producción",IF($F69&gt;=LI_B,IF($F69&lt;LS_B,$S69,0),0),0)</f>
        <v>0</v>
      </c>
      <c r="BF69" s="5">
        <f>IF($F$62="Producción",IF($F69&gt;=LI_C,IF($F69&lt;LS_C,$S69,0),0),0)</f>
        <v>0</v>
      </c>
      <c r="BG69" s="5">
        <f>IF($F$62="Producción",IF($F69&lt;LS_D,$S69,0),0)</f>
        <v>0</v>
      </c>
      <c r="BH69" s="5">
        <f>IF($F$62="Crecimiento",$S69,0)</f>
        <v>0</v>
      </c>
      <c r="BK69" s="5">
        <f>IF($G$62="Producción",IF($G69&gt;=LI_A,$T69,0),0)</f>
        <v>0</v>
      </c>
      <c r="BL69" s="5">
        <f>IF($G$62="Producción",IF($G69&gt;=LI_B,IF($G69&lt;LS_B,$T69,0),0),0)</f>
        <v>0</v>
      </c>
      <c r="BM69" s="5">
        <f>IF($G$62="Producción",IF($G69&gt;=LI_C,IF($G69&lt;LS_C,$T69,0),0),0)</f>
        <v>0</v>
      </c>
      <c r="BN69" s="5">
        <f>IF($G$62="Producción",IF($G69&lt;LS_D,$T69,0),0)</f>
        <v>0</v>
      </c>
      <c r="BO69" s="5">
        <f>IF($G$62="Crecimiento",$T69,0)</f>
        <v>0</v>
      </c>
      <c r="BR69" s="5">
        <f>IF($H$62="Producción",IF($H69&gt;=LI_A,$U69,0),0)</f>
        <v>0</v>
      </c>
      <c r="BS69" s="5">
        <f>IF($H$62="Producción",IF($H69&gt;=LI_B,IF($H69&lt;LS_B,$U69,0),0),0)</f>
        <v>0</v>
      </c>
      <c r="BT69" s="5">
        <f>IF($H$62="Producción",IF($H69&gt;=LI_C,IF($H69&lt;LS_C,$U69,0),0),0)</f>
        <v>0</v>
      </c>
      <c r="BU69" s="5">
        <f>IF($H$62="Producción",IF($H69&lt;LS_D,$U69,0),0)</f>
        <v>0</v>
      </c>
      <c r="BV69" s="5">
        <f>IF($H$62="Crecimiento",$T69,0)</f>
        <v>0</v>
      </c>
      <c r="BY69" s="5">
        <f>IF($I$62="Producción",IF($I69&gt;=LI_A,$V69,0),0)</f>
        <v>0</v>
      </c>
      <c r="BZ69" s="5">
        <f>IF($I$62="Producción",IF($I69&gt;=LI_B,IF($I69&lt;LS_B,$V69,0),0),0)</f>
        <v>0</v>
      </c>
      <c r="CA69" s="5">
        <f>IF($I$62="Producción",IF($I69&gt;=LI_C,IF($I69&lt;LS_C,$V69,0),0),0)</f>
        <v>0</v>
      </c>
      <c r="CB69" s="5">
        <f>IF($I$62="Producción",IF($I69&lt;LS_D,$V69,0),0)</f>
        <v>0</v>
      </c>
      <c r="CC69" s="5">
        <f>IF($I$62="Crecimiento",$V69,0)</f>
        <v>0</v>
      </c>
      <c r="CF69" s="5">
        <f>IF($J$62="Producción",IF($J69&gt;=LI_A,$W69,0),0)</f>
        <v>0</v>
      </c>
      <c r="CG69" s="5">
        <f>IF($J$62="Producción",IF($J69&gt;=LI_B,IF($J69&lt;LS_B,$W69,0),0),0)</f>
        <v>0</v>
      </c>
      <c r="CH69" s="5">
        <f>IF($J$62="Producción",IF($J69&gt;=LI_C,IF($J69&lt;LS_C,$W69,0),0),0)</f>
        <v>0</v>
      </c>
      <c r="CI69" s="5">
        <f>IF($J$62="Producción",IF($J69&lt;LS_D,$W69,0),0)</f>
        <v>0</v>
      </c>
      <c r="CJ69" s="5">
        <f>IF($J$62="Crecimiento",$W69,0)</f>
        <v>0</v>
      </c>
      <c r="CM69" s="5">
        <f>IF($K$62="Producción",IF($K69&gt;=LI_A,$X69,0),0)</f>
        <v>0</v>
      </c>
      <c r="CN69" s="5">
        <f>IF($K$62="Producción",IF($K69&gt;=LI_B,IF($K69&lt;LS_B,$X69,0),0),0)</f>
        <v>0</v>
      </c>
      <c r="CO69" s="5">
        <f>IF($K$62="Producción",IF($K69&gt;=LI_C,IF($K69&lt;LS_C,$X69,0),0),0)</f>
        <v>0</v>
      </c>
      <c r="CP69" s="5">
        <f>IF($K$62="Producción",IF($K69&lt;LS_D,$X69,0),0)</f>
        <v>0</v>
      </c>
      <c r="CQ69" s="5">
        <f>IF($K$62="Crecimiento",$X69,0)</f>
        <v>0</v>
      </c>
      <c r="CT69" s="5">
        <f>IF($L$62="Producción",IF($L69&gt;=LI_A,$Y69,0),0)</f>
        <v>0</v>
      </c>
      <c r="CU69" s="5">
        <f>IF($L$62="Producción",IF($L69&gt;=LI_B,IF($L69&lt;LS_B,$Y69,0),0),0)</f>
        <v>0</v>
      </c>
      <c r="CV69" s="5">
        <f>IF($L$62="Producción",IF($L69&gt;=LI_C,IF($L69&lt;LS_C,$Y69,0),0),0)</f>
        <v>0</v>
      </c>
      <c r="CW69" s="5">
        <f>IF($L$62="Producción",IF($L69&lt;LS_D,$Y69,0),0)</f>
        <v>0</v>
      </c>
      <c r="CX69" s="5">
        <f>IF($L$62="Crecimiento",$Y69,0)</f>
        <v>0</v>
      </c>
      <c r="DA69" s="5">
        <f>IF($M$62="Producción",IF($M69&gt;=LI_A,$Z69,0),0)</f>
        <v>0</v>
      </c>
      <c r="DB69" s="5">
        <f>IF($M$62="Producción",IF($M69&gt;=LI_B,IF($M69&lt;LS_B,$Z69,0),0),0)</f>
        <v>0</v>
      </c>
      <c r="DC69" s="5">
        <f>IF($M$62="Producción",IF($M69&gt;=LI_C,IF($M69&lt;LS_C,$Z69,0),0),0)</f>
        <v>0</v>
      </c>
      <c r="DD69" s="5">
        <f>IF($M$62="Producción",IF($M69&lt;LS_D,$Z69,0),0)</f>
        <v>0</v>
      </c>
      <c r="DE69" s="5">
        <f>IF($M$62="Crecimiento",$Z69,0)</f>
        <v>0</v>
      </c>
      <c r="DI69" s="5">
        <f t="shared" si="439"/>
        <v>0</v>
      </c>
      <c r="DJ69" s="5">
        <f t="shared" si="440"/>
        <v>0</v>
      </c>
      <c r="DK69" s="5">
        <f t="shared" si="441"/>
        <v>0</v>
      </c>
      <c r="DL69" s="5">
        <f t="shared" si="442"/>
        <v>0</v>
      </c>
      <c r="DM69" s="5">
        <f t="shared" si="443"/>
        <v>0</v>
      </c>
      <c r="DN69" s="5">
        <f t="shared" si="444"/>
        <v>0</v>
      </c>
      <c r="DO69" s="5">
        <f t="shared" si="445"/>
        <v>0</v>
      </c>
      <c r="DP69" s="5">
        <f t="shared" si="446"/>
        <v>0</v>
      </c>
      <c r="DQ69" s="5">
        <f t="shared" si="447"/>
        <v>0</v>
      </c>
      <c r="DR69" s="5">
        <f t="shared" si="448"/>
        <v>0</v>
      </c>
      <c r="DS69" s="5">
        <f t="shared" si="449"/>
        <v>0</v>
      </c>
      <c r="DT69" s="5">
        <f t="shared" si="450"/>
        <v>0</v>
      </c>
      <c r="DU69" s="5">
        <f t="shared" si="451"/>
        <v>0</v>
      </c>
      <c r="DV69" s="5">
        <f t="shared" si="452"/>
        <v>0</v>
      </c>
      <c r="DW69" s="5">
        <f t="shared" si="453"/>
        <v>0</v>
      </c>
      <c r="DX69" s="5">
        <f t="shared" si="454"/>
        <v>0</v>
      </c>
      <c r="DY69" s="5">
        <f t="shared" si="455"/>
        <v>0</v>
      </c>
      <c r="DZ69" s="5">
        <f t="shared" si="456"/>
        <v>0</v>
      </c>
      <c r="EA69" s="5">
        <f t="shared" si="457"/>
        <v>0</v>
      </c>
      <c r="EB69" s="5">
        <f t="shared" si="458"/>
        <v>0</v>
      </c>
      <c r="EC69" s="5">
        <f t="shared" si="459"/>
        <v>0</v>
      </c>
      <c r="ED69" s="5">
        <f t="shared" si="460"/>
        <v>0</v>
      </c>
      <c r="EE69" s="5">
        <f t="shared" si="461"/>
        <v>0</v>
      </c>
      <c r="EF69" s="5">
        <f t="shared" si="462"/>
        <v>0</v>
      </c>
      <c r="EG69" s="5">
        <f t="shared" si="463"/>
        <v>0</v>
      </c>
      <c r="EH69" s="5">
        <f t="shared" si="464"/>
        <v>0</v>
      </c>
      <c r="EI69" s="5">
        <f t="shared" si="465"/>
        <v>0</v>
      </c>
      <c r="EJ69" s="5">
        <f t="shared" si="466"/>
        <v>0</v>
      </c>
      <c r="EK69" s="5">
        <f t="shared" si="467"/>
        <v>0</v>
      </c>
      <c r="EL69" s="5">
        <f t="shared" si="468"/>
        <v>0</v>
      </c>
      <c r="EM69" s="5">
        <f t="shared" si="469"/>
        <v>0</v>
      </c>
      <c r="EN69" s="5">
        <f t="shared" si="470"/>
        <v>0</v>
      </c>
      <c r="EO69" s="5">
        <f t="shared" si="471"/>
        <v>0</v>
      </c>
      <c r="EP69" s="5">
        <f t="shared" si="472"/>
        <v>0</v>
      </c>
      <c r="EQ69" s="5">
        <f t="shared" si="473"/>
        <v>0</v>
      </c>
      <c r="ER69" s="5">
        <f t="shared" si="474"/>
        <v>0</v>
      </c>
      <c r="ES69" s="5">
        <f t="shared" si="475"/>
        <v>0</v>
      </c>
      <c r="ET69" s="5">
        <f t="shared" si="476"/>
        <v>0</v>
      </c>
      <c r="EU69" s="5">
        <f t="shared" si="477"/>
        <v>0</v>
      </c>
      <c r="EV69" s="5">
        <f t="shared" si="478"/>
        <v>0</v>
      </c>
      <c r="EW69" s="5">
        <f t="shared" si="479"/>
        <v>0</v>
      </c>
      <c r="EX69" s="5">
        <f t="shared" si="480"/>
        <v>0</v>
      </c>
      <c r="EY69" s="5">
        <f t="shared" si="481"/>
        <v>0</v>
      </c>
      <c r="EZ69" s="5">
        <f t="shared" si="482"/>
        <v>0</v>
      </c>
      <c r="FA69" s="5">
        <f t="shared" si="483"/>
        <v>0</v>
      </c>
      <c r="FB69" s="5">
        <f t="shared" si="484"/>
        <v>0</v>
      </c>
      <c r="FC69" s="5">
        <f t="shared" si="485"/>
        <v>0</v>
      </c>
      <c r="FD69" s="5">
        <f t="shared" si="486"/>
        <v>0</v>
      </c>
      <c r="FE69" s="5">
        <f t="shared" si="487"/>
        <v>0</v>
      </c>
      <c r="FF69" s="5">
        <f t="shared" si="488"/>
        <v>0</v>
      </c>
      <c r="FG69" s="5">
        <f t="shared" si="489"/>
        <v>0</v>
      </c>
      <c r="FH69" s="5">
        <f t="shared" si="490"/>
        <v>0</v>
      </c>
      <c r="FI69" s="5">
        <f t="shared" si="491"/>
        <v>0</v>
      </c>
      <c r="FJ69" s="5">
        <f t="shared" si="492"/>
        <v>0</v>
      </c>
      <c r="FK69" s="5">
        <f t="shared" si="493"/>
        <v>0</v>
      </c>
      <c r="FL69" s="5">
        <f t="shared" si="494"/>
        <v>0</v>
      </c>
      <c r="FM69" s="5">
        <f t="shared" si="495"/>
        <v>0</v>
      </c>
      <c r="FN69" s="5">
        <f t="shared" si="496"/>
        <v>0</v>
      </c>
      <c r="FO69" s="5">
        <f t="shared" si="497"/>
        <v>0</v>
      </c>
      <c r="FP69" s="5">
        <f t="shared" si="498"/>
        <v>0</v>
      </c>
    </row>
    <row r="70" spans="1:172" ht="20.100000000000001" customHeight="1" x14ac:dyDescent="0.3">
      <c r="A70" s="172">
        <f>N_L9</f>
        <v>0</v>
      </c>
      <c r="B70" s="363" t="s">
        <v>37</v>
      </c>
      <c r="C70" s="363" t="s">
        <v>37</v>
      </c>
      <c r="D70" s="363" t="s">
        <v>37</v>
      </c>
      <c r="E70" s="363" t="s">
        <v>37</v>
      </c>
      <c r="F70" s="363" t="s">
        <v>37</v>
      </c>
      <c r="G70" s="363" t="s">
        <v>37</v>
      </c>
      <c r="H70" s="363" t="s">
        <v>37</v>
      </c>
      <c r="I70" s="363" t="s">
        <v>37</v>
      </c>
      <c r="J70" s="363" t="s">
        <v>37</v>
      </c>
      <c r="K70" s="363" t="s">
        <v>37</v>
      </c>
      <c r="L70" s="363" t="s">
        <v>37</v>
      </c>
      <c r="M70" s="363" t="s">
        <v>37</v>
      </c>
    </row>
    <row r="71" spans="1:172" ht="20.100000000000001" customHeight="1" x14ac:dyDescent="0.3">
      <c r="A71" s="175" t="s">
        <v>238</v>
      </c>
      <c r="B71" s="174">
        <f>SUM(DI73:DM77)/100</f>
        <v>0</v>
      </c>
      <c r="C71" s="174">
        <f>SUM(DN73:DR77)/100</f>
        <v>0</v>
      </c>
      <c r="D71" s="174">
        <f>SUM(DS73:DW77)/100</f>
        <v>0</v>
      </c>
      <c r="E71" s="174">
        <f>SUM(DX73:EB77)/100</f>
        <v>0</v>
      </c>
      <c r="F71" s="174">
        <f>SUM(EC73:EG77)/100</f>
        <v>0</v>
      </c>
      <c r="G71" s="174">
        <f>SUM(EH73:EL77)/100</f>
        <v>0</v>
      </c>
      <c r="H71" s="174">
        <f>SUM(EM73:EQ77)/100</f>
        <v>0</v>
      </c>
      <c r="I71" s="174">
        <f>SUM(ER73:EV77)/100</f>
        <v>0</v>
      </c>
      <c r="J71" s="174">
        <f>SUM(EW73:FA77)/100</f>
        <v>0</v>
      </c>
      <c r="K71" s="174">
        <f>SUM(FB73:FF77)/100</f>
        <v>0</v>
      </c>
      <c r="L71" s="174">
        <f>SUM(FG73:FK77)/100</f>
        <v>0</v>
      </c>
      <c r="M71" s="174">
        <f>SUM(FL73:FP77)/100</f>
        <v>0</v>
      </c>
    </row>
    <row r="72" spans="1:172" ht="20.100000000000001" customHeight="1" x14ac:dyDescent="0.3">
      <c r="A72" s="151" t="s">
        <v>239</v>
      </c>
      <c r="B72" s="152" t="e">
        <f t="shared" ref="B72:M72" si="500">B71/Lote_9</f>
        <v>#DIV/0!</v>
      </c>
      <c r="C72" s="152" t="e">
        <f t="shared" si="500"/>
        <v>#DIV/0!</v>
      </c>
      <c r="D72" s="152" t="e">
        <f t="shared" si="500"/>
        <v>#DIV/0!</v>
      </c>
      <c r="E72" s="152" t="e">
        <f t="shared" si="500"/>
        <v>#DIV/0!</v>
      </c>
      <c r="F72" s="152" t="e">
        <f t="shared" si="500"/>
        <v>#DIV/0!</v>
      </c>
      <c r="G72" s="152" t="e">
        <f t="shared" si="500"/>
        <v>#DIV/0!</v>
      </c>
      <c r="H72" s="152" t="e">
        <f t="shared" si="500"/>
        <v>#DIV/0!</v>
      </c>
      <c r="I72" s="152" t="e">
        <f t="shared" si="500"/>
        <v>#DIV/0!</v>
      </c>
      <c r="J72" s="152" t="e">
        <f t="shared" si="500"/>
        <v>#DIV/0!</v>
      </c>
      <c r="K72" s="152" t="e">
        <f t="shared" si="500"/>
        <v>#DIV/0!</v>
      </c>
      <c r="L72" s="152" t="e">
        <f t="shared" si="500"/>
        <v>#DIV/0!</v>
      </c>
      <c r="M72" s="152" t="e">
        <f t="shared" si="500"/>
        <v>#DIV/0!</v>
      </c>
    </row>
    <row r="73" spans="1:172" ht="20.100000000000001" customHeight="1" x14ac:dyDescent="0.3">
      <c r="A73" s="8" t="s">
        <v>302</v>
      </c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O73" s="58">
        <f>IFERROR('6'!O$39/Ciclo,0)</f>
        <v>0</v>
      </c>
      <c r="P73" s="58">
        <f>IFERROR('6'!P$39/Ciclo,0)</f>
        <v>0</v>
      </c>
      <c r="Q73" s="58">
        <f>IFERROR('6'!Q$39/Ciclo,0)</f>
        <v>0</v>
      </c>
      <c r="R73" s="58">
        <f>IFERROR('6'!R$39/Ciclo,0)</f>
        <v>0</v>
      </c>
      <c r="S73" s="58">
        <f>IFERROR('6'!S$39/Ciclo,0)</f>
        <v>0</v>
      </c>
      <c r="T73" s="58">
        <f>IFERROR('6'!T$39/Ciclo,0)</f>
        <v>0</v>
      </c>
      <c r="U73" s="58">
        <f>IFERROR('6'!U$39/Ciclo,0)</f>
        <v>0</v>
      </c>
      <c r="V73" s="58">
        <f>IFERROR('6'!V$39/Ciclo,0)</f>
        <v>0</v>
      </c>
      <c r="W73" s="5">
        <f>IFERROR('6'!W$39/Ciclo,0)</f>
        <v>0</v>
      </c>
      <c r="X73" s="5">
        <f>IFERROR('6'!X$39/Ciclo,0)</f>
        <v>0</v>
      </c>
      <c r="Y73" s="5">
        <f>IFERROR('6'!Y$39/Ciclo,0)</f>
        <v>0</v>
      </c>
      <c r="Z73" s="5">
        <f>IFERROR('6'!Z$39/Ciclo,0)</f>
        <v>0</v>
      </c>
      <c r="AB73" s="5">
        <f>IF($B$70="Producción",IF($B73&gt;=LI_A,$O73,0),0)</f>
        <v>0</v>
      </c>
      <c r="AC73" s="5">
        <f>IF($B$70="Producción",IF($B73&gt;=LI_B,IF($B73&lt;LS_B,$O73,0),0),0)</f>
        <v>0</v>
      </c>
      <c r="AD73" s="5">
        <f>IF($B$70="Producción",IF($B73&gt;=LI_C,IF($B73&lt;LS_C,$O73,0),0),0)</f>
        <v>0</v>
      </c>
      <c r="AE73" s="5">
        <f>IF($B$70="Producción",IF($B73&lt;LS_D,$O73,0),0)</f>
        <v>0</v>
      </c>
      <c r="AF73" s="5">
        <f>IF($B$70="Crecimiento",$O73,0)</f>
        <v>0</v>
      </c>
      <c r="AG73" s="5">
        <f>IF($B70="Siembra",'6'!$O$7,0)</f>
        <v>0</v>
      </c>
      <c r="AH73" s="5">
        <f>IF($B70="Abandono",'6'!$O$7,0)</f>
        <v>0</v>
      </c>
      <c r="AI73" s="5">
        <f>IF($C$70="Producción",IF($C73&gt;=LI_A,$P73,0),0)</f>
        <v>0</v>
      </c>
      <c r="AJ73" s="5">
        <f>IF($C$70="Producción",IF($C73&gt;=LI_B,IF($C73&lt;LS_B,$P73,0),0),0)</f>
        <v>0</v>
      </c>
      <c r="AK73" s="5">
        <f>IF($C$70="Producción",IF($C73&gt;=LI_C,IF($C73&lt;LS_C,$P73,0),0),0)</f>
        <v>0</v>
      </c>
      <c r="AL73" s="5">
        <f>IF($C$70="Producción",IF($C73&lt;LS_D,$P73,0),0)</f>
        <v>0</v>
      </c>
      <c r="AM73" s="5">
        <f>IF($C$70="Crecimiento",$P73,0)</f>
        <v>0</v>
      </c>
      <c r="AN73" s="5">
        <f>IF($C70="Siembra",'6'!$P$7,0)</f>
        <v>0</v>
      </c>
      <c r="AO73" s="5">
        <f>IF($C70="Abandono",'6'!$P$7,0)</f>
        <v>0</v>
      </c>
      <c r="AP73" s="5">
        <f>IF($D$70="Producción",IF($D73&gt;=LI_A,$Q73,0),0)</f>
        <v>0</v>
      </c>
      <c r="AQ73" s="5">
        <f>IF($D$70="Producción",IF($D73&gt;=LI_B,IF($D73&lt;LS_B,$Q73,0),0),0)</f>
        <v>0</v>
      </c>
      <c r="AR73" s="5">
        <f>IF($D$70="Producción",IF($D73&gt;=LI_C,IF($D73&lt;LS_C,$Q73,0),0),0)</f>
        <v>0</v>
      </c>
      <c r="AS73" s="5">
        <f>IF($D$70="Producción",IF($D73&lt;LS_D,$Q73,0),0)</f>
        <v>0</v>
      </c>
      <c r="AT73" s="5">
        <f>IF($D$70="Crecimiento",IF($D73&gt;0,$Q73,0),0)</f>
        <v>0</v>
      </c>
      <c r="AU73" s="5">
        <f>IF($D70="Siembra",'6'!$Q$7,0)</f>
        <v>0</v>
      </c>
      <c r="AV73" s="5">
        <f>IF($D70="Abandono",'6'!$Q$7,0)</f>
        <v>0</v>
      </c>
      <c r="AW73" s="5">
        <f>IF($E$70="Producción",IF($E73&gt;=LI_A,$R73,0),0)</f>
        <v>0</v>
      </c>
      <c r="AX73" s="5">
        <f>IF($E$70="Producción",IF($E73&gt;=LI_B,IF($E73&lt;LS_B,$R73,0),0),0)</f>
        <v>0</v>
      </c>
      <c r="AY73" s="5">
        <f>IF($E$70="Producción",IF($E73&gt;=LI_C,IF($E73&lt;LS_C,$R73,0),0),0)</f>
        <v>0</v>
      </c>
      <c r="AZ73" s="5">
        <f>IF($E$70="Producción",IF($E73&lt;LS_D,$R73,0),0)</f>
        <v>0</v>
      </c>
      <c r="BA73" s="5">
        <f>IF($E$70="Crecimiento",$R73,0)</f>
        <v>0</v>
      </c>
      <c r="BB73" s="5">
        <f>IF($E70="Siembra",'6'!$R$7,0)</f>
        <v>0</v>
      </c>
      <c r="BC73" s="5">
        <f>IF($E70="Abandono",'6'!$R$7,0)</f>
        <v>0</v>
      </c>
      <c r="BD73" s="5">
        <f>IF($F$70="Producción",IF($F73&gt;=LI_A,$S73,0),0)</f>
        <v>0</v>
      </c>
      <c r="BE73" s="5">
        <f>IF($F$70="Producción",IF($F73&gt;=LI_B,IF($F73&lt;LS_B,$S73,0),0),0)</f>
        <v>0</v>
      </c>
      <c r="BF73" s="5">
        <f>IF($F$70="Producción",IF($F73&gt;=LI_C,IF($F73&lt;LS_C,$S73,0),0),0)</f>
        <v>0</v>
      </c>
      <c r="BG73" s="5">
        <f>IF($F$70="Producción",IF($F73&lt;LS_D,$S73,0),0)</f>
        <v>0</v>
      </c>
      <c r="BH73" s="5">
        <f>IF($F$70="Crecimiento",$S73,0)</f>
        <v>0</v>
      </c>
      <c r="BI73" s="5">
        <f>IF($F70="Siembra",'6'!$S$7,0)</f>
        <v>0</v>
      </c>
      <c r="BJ73" s="5">
        <f>IF($F70="Abandono",'6'!$S$7,0)</f>
        <v>0</v>
      </c>
      <c r="BK73" s="5">
        <f>IF($G$70="Producción",IF($G73&gt;=LI_A,$T73,0),0)</f>
        <v>0</v>
      </c>
      <c r="BL73" s="5">
        <f>IF($G$70="Producción",IF($G73&gt;=LI_B,IF($G73&lt;LS_B,$T73,0),0),0)</f>
        <v>0</v>
      </c>
      <c r="BM73" s="5">
        <f>IF($G$70="Producción",IF($G73&gt;=LI_C,IF($G73&lt;LS_C,$T73,0),0),0)</f>
        <v>0</v>
      </c>
      <c r="BN73" s="5">
        <f>IF($G$70="Producción",IF($G73&lt;LS_D,$T73,0),0)</f>
        <v>0</v>
      </c>
      <c r="BO73" s="5">
        <f>IF($G$70="Crecimiento",$T73,0)</f>
        <v>0</v>
      </c>
      <c r="BP73" s="5">
        <f>IF($G70="Siembra",'6'!$T$7,0)</f>
        <v>0</v>
      </c>
      <c r="BQ73" s="5">
        <f>IF($G70="Abandono",'6'!$T$7,0)</f>
        <v>0</v>
      </c>
      <c r="BR73" s="5">
        <f>IF($H$70="Producción",IF($H73&gt;=LI_A,$U73,0),0)</f>
        <v>0</v>
      </c>
      <c r="BS73" s="5">
        <f>IF($H$70="Producción",IF($H73&gt;=LI_B,IF($H73&lt;LS_B,$U73,0),0),0)</f>
        <v>0</v>
      </c>
      <c r="BT73" s="5">
        <f>IF($H$70="Producción",IF($H73&gt;=LI_C,IF($H73&lt;LS_C,$U73,0),0),0)</f>
        <v>0</v>
      </c>
      <c r="BU73" s="5">
        <f>IF($H$70="Producción",IF($H73&lt;LS_D,$U73,0),0)</f>
        <v>0</v>
      </c>
      <c r="BV73" s="5">
        <f>IF($H$70="Crecimiento",$T73,0)</f>
        <v>0</v>
      </c>
      <c r="BW73" s="5">
        <f>IF($H70="Siembra",'6'!$U$7,0)</f>
        <v>0</v>
      </c>
      <c r="BX73" s="5">
        <f>IF($H70="Abandono",'6'!$U$7,0)</f>
        <v>0</v>
      </c>
      <c r="BY73" s="5">
        <f>IF($I$70="Producción",IF($I73&gt;=LI_A,$V73,0),0)</f>
        <v>0</v>
      </c>
      <c r="BZ73" s="5">
        <f>IF($I$70="Producción",IF($I73&gt;=LI_B,IF($I73&lt;LS_B,$V73,0),0),0)</f>
        <v>0</v>
      </c>
      <c r="CA73" s="5">
        <f>IF($I$70="Producción",IF($I73&gt;=LI_C,IF($I73&lt;LS_C,$V73,0),0),0)</f>
        <v>0</v>
      </c>
      <c r="CB73" s="5">
        <f>IF($I$70="Producción",IF($I73&lt;LS_D,$V73,0),0)</f>
        <v>0</v>
      </c>
      <c r="CC73" s="5">
        <f>IF($I$70="Crecimiento",$V73,0)</f>
        <v>0</v>
      </c>
      <c r="CD73" s="5">
        <f>IF($I70="Siembra",'6'!$V$7,0)</f>
        <v>0</v>
      </c>
      <c r="CE73" s="5">
        <f>IF($I70="Abandono",'6'!$V$7,0)</f>
        <v>0</v>
      </c>
      <c r="CF73" s="5">
        <f>IF($J$70="Producción",IF($J73&gt;=LI_A,$W73,0),0)</f>
        <v>0</v>
      </c>
      <c r="CG73" s="5">
        <f>IF($J$70="Producción",IF($J73&gt;=LI_B,IF($J73&lt;LS_B,$W73,0),0),0)</f>
        <v>0</v>
      </c>
      <c r="CH73" s="5">
        <f>IF($J$70="Producción",IF($J73&gt;=LI_C,IF($J73&lt;LS_C,$W73,0),0),0)</f>
        <v>0</v>
      </c>
      <c r="CI73" s="5">
        <f>IF($J$70="Producción",IF($J73&lt;LS_D,$W73,0),0)</f>
        <v>0</v>
      </c>
      <c r="CJ73" s="5">
        <f>IF($J$70="Crecimiento",$W73,0)</f>
        <v>0</v>
      </c>
      <c r="CK73" s="5">
        <f>IF($J70="Siembra",'6'!$W$7,0)</f>
        <v>0</v>
      </c>
      <c r="CL73" s="5">
        <f>IF($J70="Abandono",'6'!$W$7,0)</f>
        <v>0</v>
      </c>
      <c r="CM73" s="5">
        <f>IF($K$70="Producción",IF($K73&gt;=LI_A,$X73,0),0)</f>
        <v>0</v>
      </c>
      <c r="CN73" s="5">
        <f>IF($K$70="Producción",IF($K73&gt;=LI_B,IF($K73&lt;LS_B,$X73,0),0),0)</f>
        <v>0</v>
      </c>
      <c r="CO73" s="5">
        <f>IF($K$70="Producción",IF($K73&gt;=LI_C,IF($K73&lt;LS_C,$X73,0),0),0)</f>
        <v>0</v>
      </c>
      <c r="CP73" s="5">
        <f>IF($K$70="Producción",IF($K73&lt;LS_D,$X73,0),0)</f>
        <v>0</v>
      </c>
      <c r="CQ73" s="5">
        <f>IF($K$70="Crecimiento",$X73,0)</f>
        <v>0</v>
      </c>
      <c r="CR73" s="5">
        <f>IF($K70="Siembra",'6'!$X$7,0)</f>
        <v>0</v>
      </c>
      <c r="CS73" s="5">
        <f>IF($K70="Abandono",'6'!$X$7,0)</f>
        <v>0</v>
      </c>
      <c r="CT73" s="5">
        <f>IF($L$70="Producción",IF($L73&gt;=LI_A,$Y73,0),0)</f>
        <v>0</v>
      </c>
      <c r="CU73" s="5">
        <f>IF($L$70="Producción",IF($L73&gt;=LI_B,IF($L73&lt;LS_B,$Y73,0),0),0)</f>
        <v>0</v>
      </c>
      <c r="CV73" s="5">
        <f>IF($L$70="Producción",IF($L73&gt;=LI_C,IF($L73&lt;LS_C,$Y73,0),0),0)</f>
        <v>0</v>
      </c>
      <c r="CW73" s="5">
        <f>IF($L$70="Producción",IF($L73&lt;LS_D,$Y73,0),0)</f>
        <v>0</v>
      </c>
      <c r="CX73" s="5">
        <f>IF($L$70="Crecimiento",$Y73,0)</f>
        <v>0</v>
      </c>
      <c r="CY73" s="5">
        <f>IF($L70="Siembra",'6'!$Y$7,0)</f>
        <v>0</v>
      </c>
      <c r="CZ73" s="5">
        <f>IF($L70="Abandono",'6'!$Y$7,0)</f>
        <v>0</v>
      </c>
      <c r="DA73" s="5">
        <f>IF($M$70="Producción",IF($M73&gt;=LI_A,$Z73,0),0)</f>
        <v>0</v>
      </c>
      <c r="DB73" s="5">
        <f>IF($M$70="Producción",IF($M73&gt;=LI_B,IF($M73&lt;LS_B,$Z73,0),0),0)</f>
        <v>0</v>
      </c>
      <c r="DC73" s="5">
        <f>IF($M$70="Producción",IF($M73&gt;=LI_C,IF($M73&lt;LS_C,$Z73,0),0),0)</f>
        <v>0</v>
      </c>
      <c r="DD73" s="5">
        <f>IF($M$70="Producción",IF($M73&lt;LS_D,$Z73,0),0)</f>
        <v>0</v>
      </c>
      <c r="DE73" s="5">
        <f>IF($M$70="Crecimiento",$Z73,0)</f>
        <v>0</v>
      </c>
      <c r="DF73" s="5">
        <f>IF($M70="Siembra",'6'!$Z$7,0)</f>
        <v>0</v>
      </c>
      <c r="DG73" s="5">
        <f>IF($M70="Abandono",'6'!$Z$7,0)</f>
        <v>0</v>
      </c>
      <c r="DI73" s="5">
        <f t="shared" ref="DI73:DI77" si="501">AB73*$B73</f>
        <v>0</v>
      </c>
      <c r="DJ73" s="5">
        <f t="shared" ref="DJ73:DJ77" si="502">AC73*$B73</f>
        <v>0</v>
      </c>
      <c r="DK73" s="5">
        <f t="shared" ref="DK73:DK77" si="503">AD73*$B73</f>
        <v>0</v>
      </c>
      <c r="DL73" s="5">
        <f t="shared" ref="DL73:DL77" si="504">AE73*$B73</f>
        <v>0</v>
      </c>
      <c r="DM73" s="5">
        <f t="shared" ref="DM73:DM77" si="505">AF73*$B73</f>
        <v>0</v>
      </c>
      <c r="DN73" s="5">
        <f t="shared" ref="DN73:DN77" si="506">AI73*$C73</f>
        <v>0</v>
      </c>
      <c r="DO73" s="5">
        <f t="shared" ref="DO73:DO77" si="507">AJ73*$C73</f>
        <v>0</v>
      </c>
      <c r="DP73" s="5">
        <f t="shared" ref="DP73:DP77" si="508">AK73*$C73</f>
        <v>0</v>
      </c>
      <c r="DQ73" s="5">
        <f t="shared" ref="DQ73:DQ77" si="509">AL73*$C73</f>
        <v>0</v>
      </c>
      <c r="DR73" s="5">
        <f t="shared" ref="DR73:DR77" si="510">AM73*$C73</f>
        <v>0</v>
      </c>
      <c r="DS73" s="5">
        <f t="shared" ref="DS73:DS77" si="511">AP73*$D73</f>
        <v>0</v>
      </c>
      <c r="DT73" s="5">
        <f t="shared" ref="DT73:DT77" si="512">AQ73*$D73</f>
        <v>0</v>
      </c>
      <c r="DU73" s="5">
        <f t="shared" ref="DU73:DU77" si="513">AR73*$D73</f>
        <v>0</v>
      </c>
      <c r="DV73" s="5">
        <f t="shared" ref="DV73:DV77" si="514">AS73*$D73</f>
        <v>0</v>
      </c>
      <c r="DW73" s="5">
        <f t="shared" ref="DW73:DW77" si="515">AT73*$D73</f>
        <v>0</v>
      </c>
      <c r="DX73" s="5">
        <f t="shared" ref="DX73:DX77" si="516">AW73*$E73</f>
        <v>0</v>
      </c>
      <c r="DY73" s="5">
        <f t="shared" ref="DY73:DY77" si="517">AX73*$E73</f>
        <v>0</v>
      </c>
      <c r="DZ73" s="5">
        <f t="shared" ref="DZ73:DZ77" si="518">AY73*$E73</f>
        <v>0</v>
      </c>
      <c r="EA73" s="5">
        <f t="shared" ref="EA73:EA77" si="519">AZ73*$E73</f>
        <v>0</v>
      </c>
      <c r="EB73" s="5">
        <f t="shared" ref="EB73:EB77" si="520">BA73*$E73</f>
        <v>0</v>
      </c>
      <c r="EC73" s="5">
        <f t="shared" ref="EC73:EC77" si="521">BD73*$F73</f>
        <v>0</v>
      </c>
      <c r="ED73" s="5">
        <f t="shared" ref="ED73:ED77" si="522">BE73*$F73</f>
        <v>0</v>
      </c>
      <c r="EE73" s="5">
        <f t="shared" ref="EE73:EE77" si="523">BF73*$F73</f>
        <v>0</v>
      </c>
      <c r="EF73" s="5">
        <f t="shared" ref="EF73:EF77" si="524">BG73*$F73</f>
        <v>0</v>
      </c>
      <c r="EG73" s="5">
        <f t="shared" ref="EG73:EG77" si="525">BH73*$F73</f>
        <v>0</v>
      </c>
      <c r="EH73" s="5">
        <f t="shared" ref="EH73:EH77" si="526">BK73*$G73</f>
        <v>0</v>
      </c>
      <c r="EI73" s="5">
        <f t="shared" ref="EI73:EI77" si="527">BL73*$G73</f>
        <v>0</v>
      </c>
      <c r="EJ73" s="5">
        <f t="shared" ref="EJ73:EJ77" si="528">BM73*$G73</f>
        <v>0</v>
      </c>
      <c r="EK73" s="5">
        <f t="shared" ref="EK73:EK77" si="529">BN73*$G73</f>
        <v>0</v>
      </c>
      <c r="EL73" s="5">
        <f t="shared" ref="EL73:EL77" si="530">BO73*$G73</f>
        <v>0</v>
      </c>
      <c r="EM73" s="5">
        <f t="shared" ref="EM73:EM77" si="531">BR73*$H73</f>
        <v>0</v>
      </c>
      <c r="EN73" s="5">
        <f t="shared" ref="EN73:EN77" si="532">BS73*$H73</f>
        <v>0</v>
      </c>
      <c r="EO73" s="5">
        <f t="shared" ref="EO73:EO77" si="533">BT73*$H73</f>
        <v>0</v>
      </c>
      <c r="EP73" s="5">
        <f t="shared" ref="EP73:EP77" si="534">BU73*$H73</f>
        <v>0</v>
      </c>
      <c r="EQ73" s="5">
        <f t="shared" ref="EQ73:EQ77" si="535">BV73*$H73</f>
        <v>0</v>
      </c>
      <c r="ER73" s="5">
        <f t="shared" ref="ER73:ER77" si="536">BY73*$I73</f>
        <v>0</v>
      </c>
      <c r="ES73" s="5">
        <f t="shared" ref="ES73:ES77" si="537">BZ73*$I73</f>
        <v>0</v>
      </c>
      <c r="ET73" s="5">
        <f t="shared" ref="ET73:ET77" si="538">CA73*$I73</f>
        <v>0</v>
      </c>
      <c r="EU73" s="5">
        <f t="shared" ref="EU73:EU77" si="539">CB73*$I73</f>
        <v>0</v>
      </c>
      <c r="EV73" s="5">
        <f t="shared" ref="EV73:EV77" si="540">CC73*$I73</f>
        <v>0</v>
      </c>
      <c r="EW73" s="5">
        <f t="shared" ref="EW73:EW77" si="541">CF73*$J73</f>
        <v>0</v>
      </c>
      <c r="EX73" s="5">
        <f t="shared" ref="EX73:EX77" si="542">CG73*$J73</f>
        <v>0</v>
      </c>
      <c r="EY73" s="5">
        <f t="shared" ref="EY73:EY77" si="543">CH73*$J73</f>
        <v>0</v>
      </c>
      <c r="EZ73" s="5">
        <f t="shared" ref="EZ73:EZ77" si="544">CI73*$J73</f>
        <v>0</v>
      </c>
      <c r="FA73" s="5">
        <f t="shared" ref="FA73:FA77" si="545">CJ73*$J73</f>
        <v>0</v>
      </c>
      <c r="FB73" s="5">
        <f t="shared" ref="FB73:FB77" si="546">CM73*$K73</f>
        <v>0</v>
      </c>
      <c r="FC73" s="5">
        <f t="shared" ref="FC73:FC77" si="547">CN73*$K73</f>
        <v>0</v>
      </c>
      <c r="FD73" s="5">
        <f t="shared" ref="FD73:FD77" si="548">CO73*$K73</f>
        <v>0</v>
      </c>
      <c r="FE73" s="5">
        <f t="shared" ref="FE73:FE77" si="549">CP73*$K73</f>
        <v>0</v>
      </c>
      <c r="FF73" s="5">
        <f t="shared" ref="FF73:FF77" si="550">CQ73*$K73</f>
        <v>0</v>
      </c>
      <c r="FG73" s="5">
        <f t="shared" ref="FG73:FG77" si="551">CT73*$L73</f>
        <v>0</v>
      </c>
      <c r="FH73" s="5">
        <f t="shared" ref="FH73:FH77" si="552">CU73*$L73</f>
        <v>0</v>
      </c>
      <c r="FI73" s="5">
        <f t="shared" ref="FI73:FI77" si="553">CV73*$L73</f>
        <v>0</v>
      </c>
      <c r="FJ73" s="5">
        <f t="shared" ref="FJ73:FJ77" si="554">CW73*$L73</f>
        <v>0</v>
      </c>
      <c r="FK73" s="5">
        <f t="shared" ref="FK73:FK77" si="555">CX73*$L73</f>
        <v>0</v>
      </c>
      <c r="FL73" s="5">
        <f t="shared" ref="FL73:FL77" si="556">DA73*$M73</f>
        <v>0</v>
      </c>
      <c r="FM73" s="5">
        <f t="shared" ref="FM73:FM77" si="557">DB73*$M73</f>
        <v>0</v>
      </c>
      <c r="FN73" s="5">
        <f t="shared" ref="FN73:FN77" si="558">DC73*$M73</f>
        <v>0</v>
      </c>
      <c r="FO73" s="5">
        <f t="shared" ref="FO73:FO77" si="559">DD73*$M73</f>
        <v>0</v>
      </c>
      <c r="FP73" s="5">
        <f t="shared" ref="FP73:FP77" si="560">DE73*$M73</f>
        <v>0</v>
      </c>
    </row>
    <row r="74" spans="1:172" ht="20.100000000000001" customHeight="1" x14ac:dyDescent="0.3">
      <c r="A74" s="8" t="s">
        <v>303</v>
      </c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O74" s="58">
        <f>IFERROR('6'!O$39/Ciclo,0)</f>
        <v>0</v>
      </c>
      <c r="P74" s="58">
        <f>IFERROR('6'!P$39/Ciclo,0)</f>
        <v>0</v>
      </c>
      <c r="Q74" s="58">
        <f>IFERROR('6'!Q$39/Ciclo,0)</f>
        <v>0</v>
      </c>
      <c r="R74" s="58">
        <f>IFERROR('6'!R$39/Ciclo,0)</f>
        <v>0</v>
      </c>
      <c r="S74" s="58">
        <f>IFERROR('6'!S$39/Ciclo,0)</f>
        <v>0</v>
      </c>
      <c r="T74" s="58">
        <f>IFERROR('6'!T$39/Ciclo,0)</f>
        <v>0</v>
      </c>
      <c r="U74" s="58">
        <f>IFERROR('6'!U$39/Ciclo,0)</f>
        <v>0</v>
      </c>
      <c r="V74" s="58">
        <f>IFERROR('6'!V$39/Ciclo,0)</f>
        <v>0</v>
      </c>
      <c r="W74" s="5">
        <f>IFERROR('6'!W$39/Ciclo,0)</f>
        <v>0</v>
      </c>
      <c r="X74" s="5">
        <f>IFERROR('6'!X$39/Ciclo,0)</f>
        <v>0</v>
      </c>
      <c r="Y74" s="5">
        <f>IFERROR('6'!Y$39/Ciclo,0)</f>
        <v>0</v>
      </c>
      <c r="Z74" s="5">
        <f>IFERROR('6'!Z$39/Ciclo,0)</f>
        <v>0</v>
      </c>
      <c r="AB74" s="5">
        <f>IF($B$70="Producción",IF($B74&gt;=LI_A,$O74,0),0)</f>
        <v>0</v>
      </c>
      <c r="AC74" s="5">
        <f>IF($B$70="Producción",IF($B74&gt;=LI_B,IF($B74&lt;LS_B,$O74,0),0),0)</f>
        <v>0</v>
      </c>
      <c r="AD74" s="5">
        <f>IF($B$70="Producción",IF($B74&gt;=LI_C,IF($B74&lt;LS_C,$O74,0),0),0)</f>
        <v>0</v>
      </c>
      <c r="AE74" s="5">
        <f>IF($B$70="Producción",IF($B74&lt;LS_D,$O74,0),0)</f>
        <v>0</v>
      </c>
      <c r="AF74" s="5">
        <f t="shared" ref="AF74:AF77" si="561">IF($B$70="Crecimiento",$O74,0)</f>
        <v>0</v>
      </c>
      <c r="AI74" s="5">
        <f>IF($C$70="Producción",IF($C74&gt;=LI_A,$P74,0),0)</f>
        <v>0</v>
      </c>
      <c r="AJ74" s="5">
        <f>IF($C$70="Producción",IF($C74&gt;=LI_B,IF($C74&lt;LS_B,$P74,0),0),0)</f>
        <v>0</v>
      </c>
      <c r="AK74" s="5">
        <f>IF($C$70="Producción",IF($C74&gt;=LI_C,IF($C74&lt;LS_C,$P74,0),0),0)</f>
        <v>0</v>
      </c>
      <c r="AL74" s="5">
        <f>IF($C$70="Producción",IF($C74&lt;LS_D,$P74,0),0)</f>
        <v>0</v>
      </c>
      <c r="AM74" s="5">
        <f>IF($C$70="Crecimiento",$P74,0)</f>
        <v>0</v>
      </c>
      <c r="AP74" s="5">
        <f>IF($D$70="Producción",IF($D74&gt;=LI_A,$Q74,0),0)</f>
        <v>0</v>
      </c>
      <c r="AQ74" s="5">
        <f>IF($D$70="Producción",IF($D74&gt;=LI_B,IF($D74&lt;LS_B,$Q74,0),0),0)</f>
        <v>0</v>
      </c>
      <c r="AR74" s="5">
        <f>IF($D$70="Producción",IF($D74&gt;=LI_C,IF($D74&lt;LS_C,$Q74,0),0),0)</f>
        <v>0</v>
      </c>
      <c r="AS74" s="5">
        <f>IF($D$70="Producción",IF($D74&lt;LS_D,$Q74,0),0)</f>
        <v>0</v>
      </c>
      <c r="AT74" s="5">
        <f>IF($D$70="Crecimiento",IF($D74&gt;0,$Q74,0),0)</f>
        <v>0</v>
      </c>
      <c r="AW74" s="5">
        <f>IF($E$70="Producción",IF($E74&gt;=LI_A,$R74,0),0)</f>
        <v>0</v>
      </c>
      <c r="AX74" s="5">
        <f>IF($E$70="Producción",IF($E74&gt;=LI_B,IF($E74&lt;LS_B,$R74,0),0),0)</f>
        <v>0</v>
      </c>
      <c r="AY74" s="5">
        <f>IF($E$70="Producción",IF($E74&gt;=LI_C,IF($E74&lt;LS_C,$R74,0),0),0)</f>
        <v>0</v>
      </c>
      <c r="AZ74" s="5">
        <f>IF($E$70="Producción",IF($E74&lt;LS_D,$R74,0),0)</f>
        <v>0</v>
      </c>
      <c r="BA74" s="5">
        <f>IF($E$70="Crecimiento",$R74,0)</f>
        <v>0</v>
      </c>
      <c r="BD74" s="5">
        <f>IF($F$70="Producción",IF($F74&gt;=LI_A,$S74,0),0)</f>
        <v>0</v>
      </c>
      <c r="BE74" s="5">
        <f>IF($F$70="Producción",IF($F74&gt;=LI_B,IF($F74&lt;LS_B,$S74,0),0),0)</f>
        <v>0</v>
      </c>
      <c r="BF74" s="5">
        <f>IF($F$70="Producción",IF($F74&gt;=LI_C,IF($F74&lt;LS_C,$S74,0),0),0)</f>
        <v>0</v>
      </c>
      <c r="BG74" s="5">
        <f>IF($F$70="Producción",IF($F74&lt;LS_D,$S74,0),0)</f>
        <v>0</v>
      </c>
      <c r="BH74" s="5">
        <f>IF($F$70="Crecimiento",$S74,0)</f>
        <v>0</v>
      </c>
      <c r="BK74" s="5">
        <f>IF($G$70="Producción",IF($G74&gt;=LI_A,$T74,0),0)</f>
        <v>0</v>
      </c>
      <c r="BL74" s="5">
        <f>IF($G$70="Producción",IF($G74&gt;=LI_B,IF($G74&lt;LS_B,$T74,0),0),0)</f>
        <v>0</v>
      </c>
      <c r="BM74" s="5">
        <f>IF($G$70="Producción",IF($G74&gt;=LI_C,IF($G74&lt;LS_C,$T74,0),0),0)</f>
        <v>0</v>
      </c>
      <c r="BN74" s="5">
        <f>IF($G$70="Producción",IF($G74&lt;LS_D,$T74,0),0)</f>
        <v>0</v>
      </c>
      <c r="BO74" s="5">
        <f>IF($G$70="Crecimiento",$T74,0)</f>
        <v>0</v>
      </c>
      <c r="BR74" s="5">
        <f>IF($H$70="Producción",IF($H74&gt;=LI_A,$U74,0),0)</f>
        <v>0</v>
      </c>
      <c r="BS74" s="5">
        <f>IF($H$70="Producción",IF($H74&gt;=LI_B,IF($H74&lt;LS_B,$U74,0),0),0)</f>
        <v>0</v>
      </c>
      <c r="BT74" s="5">
        <f>IF($H$70="Producción",IF($H74&gt;=LI_C,IF($H74&lt;LS_C,$U74,0),0),0)</f>
        <v>0</v>
      </c>
      <c r="BU74" s="5">
        <f>IF($H$70="Producción",IF($H74&lt;LS_D,$U74,0),0)</f>
        <v>0</v>
      </c>
      <c r="BV74" s="5">
        <f>IF($H$70="Crecimiento",$T74,0)</f>
        <v>0</v>
      </c>
      <c r="BY74" s="5">
        <f>IF($I$70="Producción",IF($I74&gt;=LI_A,$V74,0),0)</f>
        <v>0</v>
      </c>
      <c r="BZ74" s="5">
        <f>IF($I$70="Producción",IF($I74&gt;=LI_B,IF($I74&lt;LS_B,$V74,0),0),0)</f>
        <v>0</v>
      </c>
      <c r="CA74" s="5">
        <f>IF($I$70="Producción",IF($I74&gt;=LI_C,IF($I74&lt;LS_C,$V74,0),0),0)</f>
        <v>0</v>
      </c>
      <c r="CB74" s="5">
        <f>IF($I$70="Producción",IF($I74&lt;LS_D,$V74,0),0)</f>
        <v>0</v>
      </c>
      <c r="CC74" s="5">
        <f>IF($I$70="Crecimiento",$V74,0)</f>
        <v>0</v>
      </c>
      <c r="CF74" s="5">
        <f>IF($J$70="Producción",IF($J74&gt;=LI_A,$W74,0),0)</f>
        <v>0</v>
      </c>
      <c r="CG74" s="5">
        <f>IF($J$70="Producción",IF($J74&gt;=LI_B,IF($J74&lt;LS_B,$W74,0),0),0)</f>
        <v>0</v>
      </c>
      <c r="CH74" s="5">
        <f>IF($J$70="Producción",IF($J74&gt;=LI_C,IF($J74&lt;LS_C,$W74,0),0),0)</f>
        <v>0</v>
      </c>
      <c r="CI74" s="5">
        <f>IF($J$70="Producción",IF($J74&lt;LS_D,$W74,0),0)</f>
        <v>0</v>
      </c>
      <c r="CJ74" s="5">
        <f>IF($J$70="Crecimiento",$W74,0)</f>
        <v>0</v>
      </c>
      <c r="CM74" s="5">
        <f>IF($K$70="Producción",IF($K74&gt;=LI_A,$X74,0),0)</f>
        <v>0</v>
      </c>
      <c r="CN74" s="5">
        <f>IF($K$70="Producción",IF($K74&gt;=LI_B,IF($K74&lt;LS_B,$X74,0),0),0)</f>
        <v>0</v>
      </c>
      <c r="CO74" s="5">
        <f>IF($K$70="Producción",IF($K74&gt;=LI_C,IF($K74&lt;LS_C,$X74,0),0),0)</f>
        <v>0</v>
      </c>
      <c r="CP74" s="5">
        <f>IF($K$70="Producción",IF($K74&lt;LS_D,$X74,0),0)</f>
        <v>0</v>
      </c>
      <c r="CQ74" s="5">
        <f>IF($K$70="Crecimiento",$X74,0)</f>
        <v>0</v>
      </c>
      <c r="CT74" s="5">
        <f>IF($L$70="Producción",IF($L74&gt;=LI_A,$Y74,0),0)</f>
        <v>0</v>
      </c>
      <c r="CU74" s="5">
        <f>IF($L$70="Producción",IF($L74&gt;=LI_B,IF($L74&lt;LS_B,$Y74,0),0),0)</f>
        <v>0</v>
      </c>
      <c r="CV74" s="5">
        <f>IF($L$70="Producción",IF($L74&gt;=LI_C,IF($L74&lt;LS_C,$Y74,0),0),0)</f>
        <v>0</v>
      </c>
      <c r="CW74" s="5">
        <f>IF($L$70="Producción",IF($L74&lt;LS_D,$Y74,0),0)</f>
        <v>0</v>
      </c>
      <c r="CX74" s="5">
        <f>IF($L$70="Crecimiento",$Y74,0)</f>
        <v>0</v>
      </c>
      <c r="DA74" s="5">
        <f>IF($M$70="Producción",IF($M74&gt;=LI_A,$Z74,0),0)</f>
        <v>0</v>
      </c>
      <c r="DB74" s="5">
        <f>IF($M$70="Producción",IF($M74&gt;=LI_B,IF($M74&lt;LS_B,$Z74,0),0),0)</f>
        <v>0</v>
      </c>
      <c r="DC74" s="5">
        <f>IF($M$70="Producción",IF($M74&gt;=LI_C,IF($M74&lt;LS_C,$Z74,0),0),0)</f>
        <v>0</v>
      </c>
      <c r="DD74" s="5">
        <f>IF($M$70="Producción",IF($M74&lt;LS_D,$Z74,0),0)</f>
        <v>0</v>
      </c>
      <c r="DE74" s="5">
        <f>IF($M$70="Crecimiento",$Z74,0)</f>
        <v>0</v>
      </c>
      <c r="DI74" s="5">
        <f t="shared" si="501"/>
        <v>0</v>
      </c>
      <c r="DJ74" s="5">
        <f t="shared" si="502"/>
        <v>0</v>
      </c>
      <c r="DK74" s="5">
        <f t="shared" si="503"/>
        <v>0</v>
      </c>
      <c r="DL74" s="5">
        <f t="shared" si="504"/>
        <v>0</v>
      </c>
      <c r="DM74" s="5">
        <f t="shared" si="505"/>
        <v>0</v>
      </c>
      <c r="DN74" s="5">
        <f t="shared" si="506"/>
        <v>0</v>
      </c>
      <c r="DO74" s="5">
        <f t="shared" si="507"/>
        <v>0</v>
      </c>
      <c r="DP74" s="5">
        <f t="shared" si="508"/>
        <v>0</v>
      </c>
      <c r="DQ74" s="5">
        <f t="shared" si="509"/>
        <v>0</v>
      </c>
      <c r="DR74" s="5">
        <f t="shared" si="510"/>
        <v>0</v>
      </c>
      <c r="DS74" s="5">
        <f t="shared" si="511"/>
        <v>0</v>
      </c>
      <c r="DT74" s="5">
        <f t="shared" si="512"/>
        <v>0</v>
      </c>
      <c r="DU74" s="5">
        <f t="shared" si="513"/>
        <v>0</v>
      </c>
      <c r="DV74" s="5">
        <f t="shared" si="514"/>
        <v>0</v>
      </c>
      <c r="DW74" s="5">
        <f t="shared" si="515"/>
        <v>0</v>
      </c>
      <c r="DX74" s="5">
        <f t="shared" si="516"/>
        <v>0</v>
      </c>
      <c r="DY74" s="5">
        <f t="shared" si="517"/>
        <v>0</v>
      </c>
      <c r="DZ74" s="5">
        <f t="shared" si="518"/>
        <v>0</v>
      </c>
      <c r="EA74" s="5">
        <f t="shared" si="519"/>
        <v>0</v>
      </c>
      <c r="EB74" s="5">
        <f t="shared" si="520"/>
        <v>0</v>
      </c>
      <c r="EC74" s="5">
        <f t="shared" si="521"/>
        <v>0</v>
      </c>
      <c r="ED74" s="5">
        <f t="shared" si="522"/>
        <v>0</v>
      </c>
      <c r="EE74" s="5">
        <f t="shared" si="523"/>
        <v>0</v>
      </c>
      <c r="EF74" s="5">
        <f t="shared" si="524"/>
        <v>0</v>
      </c>
      <c r="EG74" s="5">
        <f t="shared" si="525"/>
        <v>0</v>
      </c>
      <c r="EH74" s="5">
        <f t="shared" si="526"/>
        <v>0</v>
      </c>
      <c r="EI74" s="5">
        <f t="shared" si="527"/>
        <v>0</v>
      </c>
      <c r="EJ74" s="5">
        <f t="shared" si="528"/>
        <v>0</v>
      </c>
      <c r="EK74" s="5">
        <f t="shared" si="529"/>
        <v>0</v>
      </c>
      <c r="EL74" s="5">
        <f t="shared" si="530"/>
        <v>0</v>
      </c>
      <c r="EM74" s="5">
        <f t="shared" si="531"/>
        <v>0</v>
      </c>
      <c r="EN74" s="5">
        <f t="shared" si="532"/>
        <v>0</v>
      </c>
      <c r="EO74" s="5">
        <f t="shared" si="533"/>
        <v>0</v>
      </c>
      <c r="EP74" s="5">
        <f t="shared" si="534"/>
        <v>0</v>
      </c>
      <c r="EQ74" s="5">
        <f t="shared" si="535"/>
        <v>0</v>
      </c>
      <c r="ER74" s="5">
        <f t="shared" si="536"/>
        <v>0</v>
      </c>
      <c r="ES74" s="5">
        <f t="shared" si="537"/>
        <v>0</v>
      </c>
      <c r="ET74" s="5">
        <f t="shared" si="538"/>
        <v>0</v>
      </c>
      <c r="EU74" s="5">
        <f t="shared" si="539"/>
        <v>0</v>
      </c>
      <c r="EV74" s="5">
        <f t="shared" si="540"/>
        <v>0</v>
      </c>
      <c r="EW74" s="5">
        <f t="shared" si="541"/>
        <v>0</v>
      </c>
      <c r="EX74" s="5">
        <f t="shared" si="542"/>
        <v>0</v>
      </c>
      <c r="EY74" s="5">
        <f t="shared" si="543"/>
        <v>0</v>
      </c>
      <c r="EZ74" s="5">
        <f t="shared" si="544"/>
        <v>0</v>
      </c>
      <c r="FA74" s="5">
        <f t="shared" si="545"/>
        <v>0</v>
      </c>
      <c r="FB74" s="5">
        <f t="shared" si="546"/>
        <v>0</v>
      </c>
      <c r="FC74" s="5">
        <f t="shared" si="547"/>
        <v>0</v>
      </c>
      <c r="FD74" s="5">
        <f t="shared" si="548"/>
        <v>0</v>
      </c>
      <c r="FE74" s="5">
        <f t="shared" si="549"/>
        <v>0</v>
      </c>
      <c r="FF74" s="5">
        <f t="shared" si="550"/>
        <v>0</v>
      </c>
      <c r="FG74" s="5">
        <f t="shared" si="551"/>
        <v>0</v>
      </c>
      <c r="FH74" s="5">
        <f t="shared" si="552"/>
        <v>0</v>
      </c>
      <c r="FI74" s="5">
        <f t="shared" si="553"/>
        <v>0</v>
      </c>
      <c r="FJ74" s="5">
        <f t="shared" si="554"/>
        <v>0</v>
      </c>
      <c r="FK74" s="5">
        <f t="shared" si="555"/>
        <v>0</v>
      </c>
      <c r="FL74" s="5">
        <f t="shared" si="556"/>
        <v>0</v>
      </c>
      <c r="FM74" s="5">
        <f t="shared" si="557"/>
        <v>0</v>
      </c>
      <c r="FN74" s="5">
        <f t="shared" si="558"/>
        <v>0</v>
      </c>
      <c r="FO74" s="5">
        <f t="shared" si="559"/>
        <v>0</v>
      </c>
      <c r="FP74" s="5">
        <f t="shared" si="560"/>
        <v>0</v>
      </c>
    </row>
    <row r="75" spans="1:172" ht="20.100000000000001" customHeight="1" x14ac:dyDescent="0.3">
      <c r="A75" s="8" t="str">
        <f>IF(Ciclo&gt;2,"Surco 3","NA")</f>
        <v>Surco 3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O75" s="58">
        <f>IF($A75="NA",0,IFERROR('6'!O$39/Ciclo,0))</f>
        <v>0</v>
      </c>
      <c r="P75" s="58">
        <f>IF($A75="NA",0,IFERROR('6'!P$39/Ciclo,0))</f>
        <v>0</v>
      </c>
      <c r="Q75" s="58">
        <f>IF($A75="NA",0,IFERROR('6'!Q$39/Ciclo,0))</f>
        <v>0</v>
      </c>
      <c r="R75" s="58">
        <f>IF($A75="NA",0,IFERROR('6'!R$39/Ciclo,0))</f>
        <v>0</v>
      </c>
      <c r="S75" s="58">
        <f>IF($A75="NA",0,IFERROR('6'!S$39/Ciclo,0))</f>
        <v>0</v>
      </c>
      <c r="T75" s="58">
        <f>IF($A75="NA",0,IFERROR('6'!T$39/Ciclo,0))</f>
        <v>0</v>
      </c>
      <c r="U75" s="58">
        <f>IF($A75="NA",0,IFERROR('6'!U$39/Ciclo,0))</f>
        <v>0</v>
      </c>
      <c r="V75" s="58">
        <f>IF($A75="NA",0,IFERROR('6'!V$39/Ciclo,0))</f>
        <v>0</v>
      </c>
      <c r="W75" s="5">
        <f>IF($A75="NA",0,IFERROR('6'!W$39/Ciclo,0))</f>
        <v>0</v>
      </c>
      <c r="X75" s="5">
        <f>IF($A75="NA",0,IFERROR('6'!X$39/Ciclo,0))</f>
        <v>0</v>
      </c>
      <c r="Y75" s="5">
        <f>IF($A75="NA",0,IFERROR('6'!Y$39/Ciclo,0))</f>
        <v>0</v>
      </c>
      <c r="Z75" s="5">
        <f>IF($A75="NA",0,IFERROR('6'!Z$39/Ciclo,0))</f>
        <v>0</v>
      </c>
      <c r="AB75" s="5">
        <f>IF($B$70="Producción",IF($B75&gt;=LI_A,$O75,0),0)</f>
        <v>0</v>
      </c>
      <c r="AC75" s="5">
        <f>IF($B$70="Producción",IF($B75&gt;=LI_B,IF($B75&lt;LS_B,$O75,0),0),0)</f>
        <v>0</v>
      </c>
      <c r="AD75" s="5">
        <f>IF($B$70="Producción",IF($B75&gt;=LI_C,IF($B75&lt;LS_C,$O75,0),0),0)</f>
        <v>0</v>
      </c>
      <c r="AE75" s="5">
        <f>IF($B$70="Producción",IF($B75&lt;LS_D,$O75,0),0)</f>
        <v>0</v>
      </c>
      <c r="AF75" s="5">
        <f t="shared" si="561"/>
        <v>0</v>
      </c>
      <c r="AI75" s="5">
        <f>IF($C$70="Producción",IF($C75&gt;=LI_A,$P75,0),0)</f>
        <v>0</v>
      </c>
      <c r="AJ75" s="5">
        <f>IF($C$70="Producción",IF($C75&gt;=LI_B,IF($C75&lt;LS_B,$P75,0),0),0)</f>
        <v>0</v>
      </c>
      <c r="AK75" s="5">
        <f>IF($C$70="Producción",IF($C75&gt;=LI_C,IF($C75&lt;LS_C,$P75,0),0),0)</f>
        <v>0</v>
      </c>
      <c r="AL75" s="5">
        <f>IF($C$70="Producción",IF($C75&lt;LS_D,$P75,0),0)</f>
        <v>0</v>
      </c>
      <c r="AM75" s="5">
        <f>IF($C$70="Crecimiento",$P75,0)</f>
        <v>0</v>
      </c>
      <c r="AP75" s="5">
        <f>IF($D$70="Producción",IF($D75&gt;=LI_A,$Q75,0),0)</f>
        <v>0</v>
      </c>
      <c r="AQ75" s="5">
        <f>IF($D$70="Producción",IF($D75&gt;=LI_B,IF($D75&lt;LS_B,$Q75,0),0),0)</f>
        <v>0</v>
      </c>
      <c r="AR75" s="5">
        <f>IF($D$70="Producción",IF($D75&gt;=LI_C,IF($D75&lt;LS_C,$Q75,0),0),0)</f>
        <v>0</v>
      </c>
      <c r="AS75" s="5">
        <f>IF($D$70="Producción",IF($D75&lt;LS_D,$Q75,0),0)</f>
        <v>0</v>
      </c>
      <c r="AT75" s="5">
        <f>IF($D$70="Crecimiento",IF($D75&gt;0,$Q75,0),0)</f>
        <v>0</v>
      </c>
      <c r="AW75" s="5">
        <f>IF($E$70="Producción",IF($E75&gt;=LI_A,$R75,0),0)</f>
        <v>0</v>
      </c>
      <c r="AX75" s="5">
        <f>IF($E$70="Producción",IF($E75&gt;=LI_B,IF($E75&lt;LS_B,$R75,0),0),0)</f>
        <v>0</v>
      </c>
      <c r="AY75" s="5">
        <f>IF($E$70="Producción",IF($E75&gt;=LI_C,IF($E75&lt;LS_C,$R75,0),0),0)</f>
        <v>0</v>
      </c>
      <c r="AZ75" s="5">
        <f>IF($E$70="Producción",IF($E75&lt;LS_D,$R75,0),0)</f>
        <v>0</v>
      </c>
      <c r="BA75" s="5">
        <f>IF($E$70="Crecimiento",$R75,0)</f>
        <v>0</v>
      </c>
      <c r="BD75" s="5">
        <f>IF($F$70="Producción",IF($F75&gt;=LI_A,$S75,0),0)</f>
        <v>0</v>
      </c>
      <c r="BE75" s="5">
        <f>IF($F$70="Producción",IF($F75&gt;=LI_B,IF($F75&lt;LS_B,$S75,0),0),0)</f>
        <v>0</v>
      </c>
      <c r="BF75" s="5">
        <f>IF($F$70="Producción",IF($F75&gt;=LI_C,IF($F75&lt;LS_C,$S75,0),0),0)</f>
        <v>0</v>
      </c>
      <c r="BG75" s="5">
        <f>IF($F$70="Producción",IF($F75&lt;LS_D,$S75,0),0)</f>
        <v>0</v>
      </c>
      <c r="BH75" s="5">
        <f>IF($F$70="Crecimiento",$S75,0)</f>
        <v>0</v>
      </c>
      <c r="BK75" s="5">
        <f>IF($G$70="Producción",IF($G75&gt;=LI_A,$T75,0),0)</f>
        <v>0</v>
      </c>
      <c r="BL75" s="5">
        <f>IF($G$70="Producción",IF($G75&gt;=LI_B,IF($G75&lt;LS_B,$T75,0),0),0)</f>
        <v>0</v>
      </c>
      <c r="BM75" s="5">
        <f>IF($G$70="Producción",IF($G75&gt;=LI_C,IF($G75&lt;LS_C,$T75,0),0),0)</f>
        <v>0</v>
      </c>
      <c r="BN75" s="5">
        <f>IF($G$70="Producción",IF($G75&lt;LS_D,$T75,0),0)</f>
        <v>0</v>
      </c>
      <c r="BO75" s="5">
        <f>IF($G$70="Crecimiento",$T75,0)</f>
        <v>0</v>
      </c>
      <c r="BR75" s="5">
        <f>IF($H$70="Producción",IF($H75&gt;=LI_A,$U75,0),0)</f>
        <v>0</v>
      </c>
      <c r="BS75" s="5">
        <f>IF($H$70="Producción",IF($H75&gt;=LI_B,IF($H75&lt;LS_B,$U75,0),0),0)</f>
        <v>0</v>
      </c>
      <c r="BT75" s="5">
        <f>IF($H$70="Producción",IF($H75&gt;=LI_C,IF($H75&lt;LS_C,$U75,0),0),0)</f>
        <v>0</v>
      </c>
      <c r="BU75" s="5">
        <f>IF($H$70="Producción",IF($H75&lt;LS_D,$U75,0),0)</f>
        <v>0</v>
      </c>
      <c r="BV75" s="5">
        <f>IF($H$70="Crecimiento",$T75,0)</f>
        <v>0</v>
      </c>
      <c r="BY75" s="5">
        <f>IF($I$70="Producción",IF($I75&gt;=LI_A,$V75,0),0)</f>
        <v>0</v>
      </c>
      <c r="BZ75" s="5">
        <f>IF($I$70="Producción",IF($I75&gt;=LI_B,IF($I75&lt;LS_B,$V75,0),0),0)</f>
        <v>0</v>
      </c>
      <c r="CA75" s="5">
        <f>IF($I$70="Producción",IF($I75&gt;=LI_C,IF($I75&lt;LS_C,$V75,0),0),0)</f>
        <v>0</v>
      </c>
      <c r="CB75" s="5">
        <f>IF($I$70="Producción",IF($I75&lt;LS_D,$V75,0),0)</f>
        <v>0</v>
      </c>
      <c r="CC75" s="5">
        <f>IF($I$70="Crecimiento",$V75,0)</f>
        <v>0</v>
      </c>
      <c r="CF75" s="5">
        <f>IF($J$70="Producción",IF($J75&gt;=LI_A,$W75,0),0)</f>
        <v>0</v>
      </c>
      <c r="CG75" s="5">
        <f>IF($J$70="Producción",IF($J75&gt;=LI_B,IF($J75&lt;LS_B,$W75,0),0),0)</f>
        <v>0</v>
      </c>
      <c r="CH75" s="5">
        <f>IF($J$70="Producción",IF($J75&gt;=LI_C,IF($J75&lt;LS_C,$W75,0),0),0)</f>
        <v>0</v>
      </c>
      <c r="CI75" s="5">
        <f>IF($J$70="Producción",IF($J75&lt;LS_D,$W75,0),0)</f>
        <v>0</v>
      </c>
      <c r="CJ75" s="5">
        <f>IF($J$70="Crecimiento",$W75,0)</f>
        <v>0</v>
      </c>
      <c r="CM75" s="5">
        <f>IF($K$70="Producción",IF($K75&gt;=LI_A,$X75,0),0)</f>
        <v>0</v>
      </c>
      <c r="CN75" s="5">
        <f>IF($K$70="Producción",IF($K75&gt;=LI_B,IF($K75&lt;LS_B,$X75,0),0),0)</f>
        <v>0</v>
      </c>
      <c r="CO75" s="5">
        <f>IF($K$70="Producción",IF($K75&gt;=LI_C,IF($K75&lt;LS_C,$X75,0),0),0)</f>
        <v>0</v>
      </c>
      <c r="CP75" s="5">
        <f>IF($K$70="Producción",IF($K75&lt;LS_D,$X75,0),0)</f>
        <v>0</v>
      </c>
      <c r="CQ75" s="5">
        <f>IF($K$70="Crecimiento",$X75,0)</f>
        <v>0</v>
      </c>
      <c r="CT75" s="5">
        <f>IF($L$70="Producción",IF($L75&gt;=LI_A,$Y75,0),0)</f>
        <v>0</v>
      </c>
      <c r="CU75" s="5">
        <f>IF($L$70="Producción",IF($L75&gt;=LI_B,IF($L75&lt;LS_B,$Y75,0),0),0)</f>
        <v>0</v>
      </c>
      <c r="CV75" s="5">
        <f>IF($L$70="Producción",IF($L75&gt;=LI_C,IF($L75&lt;LS_C,$Y75,0),0),0)</f>
        <v>0</v>
      </c>
      <c r="CW75" s="5">
        <f>IF($L$70="Producción",IF($L75&lt;LS_D,$Y75,0),0)</f>
        <v>0</v>
      </c>
      <c r="CX75" s="5">
        <f>IF($L$70="Crecimiento",$Y75,0)</f>
        <v>0</v>
      </c>
      <c r="DA75" s="5">
        <f>IF($M$70="Producción",IF($M75&gt;=LI_A,$Z75,0),0)</f>
        <v>0</v>
      </c>
      <c r="DB75" s="5">
        <f>IF($M$70="Producción",IF($M75&gt;=LI_B,IF($M75&lt;LS_B,$Z75,0),0),0)</f>
        <v>0</v>
      </c>
      <c r="DC75" s="5">
        <f>IF($M$70="Producción",IF($M75&gt;=LI_C,IF($M75&lt;LS_C,$Z75,0),0),0)</f>
        <v>0</v>
      </c>
      <c r="DD75" s="5">
        <f>IF($M$70="Producción",IF($M75&lt;LS_D,$Z75,0),0)</f>
        <v>0</v>
      </c>
      <c r="DE75" s="5">
        <f>IF($M$70="Crecimiento",$Z75,0)</f>
        <v>0</v>
      </c>
      <c r="DI75" s="5">
        <f t="shared" si="501"/>
        <v>0</v>
      </c>
      <c r="DJ75" s="5">
        <f t="shared" si="502"/>
        <v>0</v>
      </c>
      <c r="DK75" s="5">
        <f t="shared" si="503"/>
        <v>0</v>
      </c>
      <c r="DL75" s="5">
        <f t="shared" si="504"/>
        <v>0</v>
      </c>
      <c r="DM75" s="5">
        <f t="shared" si="505"/>
        <v>0</v>
      </c>
      <c r="DN75" s="5">
        <f t="shared" si="506"/>
        <v>0</v>
      </c>
      <c r="DO75" s="5">
        <f t="shared" si="507"/>
        <v>0</v>
      </c>
      <c r="DP75" s="5">
        <f t="shared" si="508"/>
        <v>0</v>
      </c>
      <c r="DQ75" s="5">
        <f t="shared" si="509"/>
        <v>0</v>
      </c>
      <c r="DR75" s="5">
        <f t="shared" si="510"/>
        <v>0</v>
      </c>
      <c r="DS75" s="5">
        <f t="shared" si="511"/>
        <v>0</v>
      </c>
      <c r="DT75" s="5">
        <f t="shared" si="512"/>
        <v>0</v>
      </c>
      <c r="DU75" s="5">
        <f t="shared" si="513"/>
        <v>0</v>
      </c>
      <c r="DV75" s="5">
        <f t="shared" si="514"/>
        <v>0</v>
      </c>
      <c r="DW75" s="5">
        <f t="shared" si="515"/>
        <v>0</v>
      </c>
      <c r="DX75" s="5">
        <f t="shared" si="516"/>
        <v>0</v>
      </c>
      <c r="DY75" s="5">
        <f t="shared" si="517"/>
        <v>0</v>
      </c>
      <c r="DZ75" s="5">
        <f t="shared" si="518"/>
        <v>0</v>
      </c>
      <c r="EA75" s="5">
        <f t="shared" si="519"/>
        <v>0</v>
      </c>
      <c r="EB75" s="5">
        <f t="shared" si="520"/>
        <v>0</v>
      </c>
      <c r="EC75" s="5">
        <f t="shared" si="521"/>
        <v>0</v>
      </c>
      <c r="ED75" s="5">
        <f t="shared" si="522"/>
        <v>0</v>
      </c>
      <c r="EE75" s="5">
        <f t="shared" si="523"/>
        <v>0</v>
      </c>
      <c r="EF75" s="5">
        <f t="shared" si="524"/>
        <v>0</v>
      </c>
      <c r="EG75" s="5">
        <f t="shared" si="525"/>
        <v>0</v>
      </c>
      <c r="EH75" s="5">
        <f t="shared" si="526"/>
        <v>0</v>
      </c>
      <c r="EI75" s="5">
        <f t="shared" si="527"/>
        <v>0</v>
      </c>
      <c r="EJ75" s="5">
        <f t="shared" si="528"/>
        <v>0</v>
      </c>
      <c r="EK75" s="5">
        <f t="shared" si="529"/>
        <v>0</v>
      </c>
      <c r="EL75" s="5">
        <f t="shared" si="530"/>
        <v>0</v>
      </c>
      <c r="EM75" s="5">
        <f t="shared" si="531"/>
        <v>0</v>
      </c>
      <c r="EN75" s="5">
        <f t="shared" si="532"/>
        <v>0</v>
      </c>
      <c r="EO75" s="5">
        <f t="shared" si="533"/>
        <v>0</v>
      </c>
      <c r="EP75" s="5">
        <f t="shared" si="534"/>
        <v>0</v>
      </c>
      <c r="EQ75" s="5">
        <f t="shared" si="535"/>
        <v>0</v>
      </c>
      <c r="ER75" s="5">
        <f t="shared" si="536"/>
        <v>0</v>
      </c>
      <c r="ES75" s="5">
        <f t="shared" si="537"/>
        <v>0</v>
      </c>
      <c r="ET75" s="5">
        <f t="shared" si="538"/>
        <v>0</v>
      </c>
      <c r="EU75" s="5">
        <f t="shared" si="539"/>
        <v>0</v>
      </c>
      <c r="EV75" s="5">
        <f t="shared" si="540"/>
        <v>0</v>
      </c>
      <c r="EW75" s="5">
        <f t="shared" si="541"/>
        <v>0</v>
      </c>
      <c r="EX75" s="5">
        <f t="shared" si="542"/>
        <v>0</v>
      </c>
      <c r="EY75" s="5">
        <f t="shared" si="543"/>
        <v>0</v>
      </c>
      <c r="EZ75" s="5">
        <f t="shared" si="544"/>
        <v>0</v>
      </c>
      <c r="FA75" s="5">
        <f t="shared" si="545"/>
        <v>0</v>
      </c>
      <c r="FB75" s="5">
        <f t="shared" si="546"/>
        <v>0</v>
      </c>
      <c r="FC75" s="5">
        <f t="shared" si="547"/>
        <v>0</v>
      </c>
      <c r="FD75" s="5">
        <f t="shared" si="548"/>
        <v>0</v>
      </c>
      <c r="FE75" s="5">
        <f t="shared" si="549"/>
        <v>0</v>
      </c>
      <c r="FF75" s="5">
        <f t="shared" si="550"/>
        <v>0</v>
      </c>
      <c r="FG75" s="5">
        <f t="shared" si="551"/>
        <v>0</v>
      </c>
      <c r="FH75" s="5">
        <f t="shared" si="552"/>
        <v>0</v>
      </c>
      <c r="FI75" s="5">
        <f t="shared" si="553"/>
        <v>0</v>
      </c>
      <c r="FJ75" s="5">
        <f t="shared" si="554"/>
        <v>0</v>
      </c>
      <c r="FK75" s="5">
        <f t="shared" si="555"/>
        <v>0</v>
      </c>
      <c r="FL75" s="5">
        <f t="shared" si="556"/>
        <v>0</v>
      </c>
      <c r="FM75" s="5">
        <f t="shared" si="557"/>
        <v>0</v>
      </c>
      <c r="FN75" s="5">
        <f t="shared" si="558"/>
        <v>0</v>
      </c>
      <c r="FO75" s="5">
        <f t="shared" si="559"/>
        <v>0</v>
      </c>
      <c r="FP75" s="5">
        <f t="shared" si="560"/>
        <v>0</v>
      </c>
    </row>
    <row r="76" spans="1:172" ht="20.100000000000001" customHeight="1" x14ac:dyDescent="0.3">
      <c r="A76" s="8" t="str">
        <f>IF(Ciclo=4,"Surco 4",IF(Ciclo=5,"Surco 4","NA"))</f>
        <v>NA</v>
      </c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O76" s="58">
        <f>IF($A76="NA",0,IFERROR('6'!O$39/Ciclo,0))</f>
        <v>0</v>
      </c>
      <c r="P76" s="58">
        <f>IF($A76="NA",0,IFERROR('6'!P$39/Ciclo,0))</f>
        <v>0</v>
      </c>
      <c r="Q76" s="58">
        <f>IF($A76="NA",0,IFERROR('6'!Q$39/Ciclo,0))</f>
        <v>0</v>
      </c>
      <c r="R76" s="58">
        <f>IF($A76="NA",0,IFERROR('6'!R$39/Ciclo,0))</f>
        <v>0</v>
      </c>
      <c r="S76" s="58">
        <f>IF($A76="NA",0,IFERROR('6'!S$39/Ciclo,0))</f>
        <v>0</v>
      </c>
      <c r="T76" s="58">
        <f>IF($A76="NA",0,IFERROR('6'!T$39/Ciclo,0))</f>
        <v>0</v>
      </c>
      <c r="U76" s="58">
        <f>IF($A76="NA",0,IFERROR('6'!U$39/Ciclo,0))</f>
        <v>0</v>
      </c>
      <c r="V76" s="58">
        <f>IF($A76="NA",0,IFERROR('6'!V$39/Ciclo,0))</f>
        <v>0</v>
      </c>
      <c r="W76" s="5">
        <f>IF($A76="NA",0,IFERROR('6'!W$39/Ciclo,0))</f>
        <v>0</v>
      </c>
      <c r="X76" s="5">
        <f>IF($A76="NA",0,IFERROR('6'!X$39/Ciclo,0))</f>
        <v>0</v>
      </c>
      <c r="Y76" s="5">
        <f>IF($A76="NA",0,IFERROR('6'!Y$39/Ciclo,0))</f>
        <v>0</v>
      </c>
      <c r="Z76" s="5">
        <f>IF($A76="NA",0,IFERROR('6'!Z$39/Ciclo,0))</f>
        <v>0</v>
      </c>
      <c r="AB76" s="5">
        <f>IF($B$70="Producción",IF($B76&gt;=LI_A,$O76,0),0)</f>
        <v>0</v>
      </c>
      <c r="AC76" s="5">
        <f>IF($B$70="Producción",IF($B76&gt;=LI_B,IF($B76&lt;LS_B,$O76,0),0),0)</f>
        <v>0</v>
      </c>
      <c r="AD76" s="5">
        <f>IF($B$70="Producción",IF($B76&gt;=LI_C,IF($B76&lt;LS_C,$O76,0),0),0)</f>
        <v>0</v>
      </c>
      <c r="AE76" s="5">
        <f>IF($B$70="Producción",IF($B76&lt;LS_D,$O76,0),0)</f>
        <v>0</v>
      </c>
      <c r="AF76" s="5">
        <f t="shared" si="561"/>
        <v>0</v>
      </c>
      <c r="AI76" s="5">
        <f>IF($C$70="Producción",IF($C76&gt;=LI_A,$P76,0),0)</f>
        <v>0</v>
      </c>
      <c r="AJ76" s="5">
        <f>IF($C$70="Producción",IF($C76&gt;=LI_B,IF($C76&lt;LS_B,$P76,0),0),0)</f>
        <v>0</v>
      </c>
      <c r="AK76" s="5">
        <f>IF($C$70="Producción",IF($C76&gt;=LI_C,IF($C76&lt;LS_C,$P76,0),0),0)</f>
        <v>0</v>
      </c>
      <c r="AL76" s="5">
        <f>IF($C$70="Producción",IF($C76&lt;LS_D,$P76,0),0)</f>
        <v>0</v>
      </c>
      <c r="AM76" s="5">
        <f>IF($C$70="Crecimiento",$P76,0)</f>
        <v>0</v>
      </c>
      <c r="AP76" s="5">
        <f>IF($D$70="Producción",IF($D76&gt;=LI_A,$Q76,0),0)</f>
        <v>0</v>
      </c>
      <c r="AQ76" s="5">
        <f>IF($D$70="Producción",IF($D76&gt;=LI_B,IF($D76&lt;LS_B,$Q76,0),0),0)</f>
        <v>0</v>
      </c>
      <c r="AR76" s="5">
        <f>IF($D$70="Producción",IF($D76&gt;=LI_C,IF($D76&lt;LS_C,$Q76,0),0),0)</f>
        <v>0</v>
      </c>
      <c r="AS76" s="5">
        <f>IF($D$70="Producción",IF($D76&lt;LS_D,$Q76,0),0)</f>
        <v>0</v>
      </c>
      <c r="AT76" s="5">
        <f>IF($D$70="Crecimiento",IF($D76&gt;0,$Q76,0),0)</f>
        <v>0</v>
      </c>
      <c r="AW76" s="5">
        <f>IF($E$70="Producción",IF($E76&gt;=LI_A,$R76,0),0)</f>
        <v>0</v>
      </c>
      <c r="AX76" s="5">
        <f>IF($E$70="Producción",IF($E76&gt;=LI_B,IF($E76&lt;LS_B,$R76,0),0),0)</f>
        <v>0</v>
      </c>
      <c r="AY76" s="5">
        <f>IF($E$70="Producción",IF($E76&gt;=LI_C,IF($E76&lt;LS_C,$R76,0),0),0)</f>
        <v>0</v>
      </c>
      <c r="AZ76" s="5">
        <f>IF($E$70="Producción",IF($E76&lt;LS_D,$R76,0),0)</f>
        <v>0</v>
      </c>
      <c r="BA76" s="5">
        <f>IF($E$70="Crecimiento",$R76,0)</f>
        <v>0</v>
      </c>
      <c r="BD76" s="5">
        <f>IF($F$70="Producción",IF($F76&gt;=LI_A,$S76,0),0)</f>
        <v>0</v>
      </c>
      <c r="BE76" s="5">
        <f>IF($F$70="Producción",IF($F76&gt;=LI_B,IF($F76&lt;LS_B,$S76,0),0),0)</f>
        <v>0</v>
      </c>
      <c r="BF76" s="5">
        <f>IF($F$70="Producción",IF($F76&gt;=LI_C,IF($F76&lt;LS_C,$S76,0),0),0)</f>
        <v>0</v>
      </c>
      <c r="BG76" s="5">
        <f>IF($F$70="Producción",IF($F76&lt;LS_D,$S76,0),0)</f>
        <v>0</v>
      </c>
      <c r="BH76" s="5">
        <f>IF($F$70="Crecimiento",$S76,0)</f>
        <v>0</v>
      </c>
      <c r="BK76" s="5">
        <f>IF($G$70="Producción",IF($G76&gt;=LI_A,$T76,0),0)</f>
        <v>0</v>
      </c>
      <c r="BL76" s="5">
        <f>IF($G$70="Producción",IF($G76&gt;=LI_B,IF($G76&lt;LS_B,$T76,0),0),0)</f>
        <v>0</v>
      </c>
      <c r="BM76" s="5">
        <f>IF($G$70="Producción",IF($G76&gt;=LI_C,IF($G76&lt;LS_C,$T76,0),0),0)</f>
        <v>0</v>
      </c>
      <c r="BN76" s="5">
        <f>IF($G$70="Producción",IF($G76&lt;LS_D,$T76,0),0)</f>
        <v>0</v>
      </c>
      <c r="BO76" s="5">
        <f>IF($G$70="Crecimiento",$T76,0)</f>
        <v>0</v>
      </c>
      <c r="BR76" s="5">
        <f>IF($H$70="Producción",IF($H76&gt;=LI_A,$U76,0),0)</f>
        <v>0</v>
      </c>
      <c r="BS76" s="5">
        <f>IF($H$70="Producción",IF($H76&gt;=LI_B,IF($H76&lt;LS_B,$U76,0),0),0)</f>
        <v>0</v>
      </c>
      <c r="BT76" s="5">
        <f>IF($H$70="Producción",IF($H76&gt;=LI_C,IF($H76&lt;LS_C,$U76,0),0),0)</f>
        <v>0</v>
      </c>
      <c r="BU76" s="5">
        <f>IF($H$70="Producción",IF($H76&lt;LS_D,$U76,0),0)</f>
        <v>0</v>
      </c>
      <c r="BV76" s="5">
        <f>IF($H$70="Crecimiento",$T76,0)</f>
        <v>0</v>
      </c>
      <c r="BY76" s="5">
        <f>IF($I$70="Producción",IF($I76&gt;=LI_A,$V76,0),0)</f>
        <v>0</v>
      </c>
      <c r="BZ76" s="5">
        <f>IF($I$70="Producción",IF($I76&gt;=LI_B,IF($I76&lt;LS_B,$V76,0),0),0)</f>
        <v>0</v>
      </c>
      <c r="CA76" s="5">
        <f>IF($I$70="Producción",IF($I76&gt;=LI_C,IF($I76&lt;LS_C,$V76,0),0),0)</f>
        <v>0</v>
      </c>
      <c r="CB76" s="5">
        <f>IF($I$70="Producción",IF($I76&lt;LS_D,$V76,0),0)</f>
        <v>0</v>
      </c>
      <c r="CC76" s="5">
        <f>IF($I$70="Crecimiento",$V76,0)</f>
        <v>0</v>
      </c>
      <c r="CF76" s="5">
        <f>IF($J$70="Producción",IF($J76&gt;=LI_A,$W76,0),0)</f>
        <v>0</v>
      </c>
      <c r="CG76" s="5">
        <f>IF($J$70="Producción",IF($J76&gt;=LI_B,IF($J76&lt;LS_B,$W76,0),0),0)</f>
        <v>0</v>
      </c>
      <c r="CH76" s="5">
        <f>IF($J$70="Producción",IF($J76&gt;=LI_C,IF($J76&lt;LS_C,$W76,0),0),0)</f>
        <v>0</v>
      </c>
      <c r="CI76" s="5">
        <f>IF($J$70="Producción",IF($J76&lt;LS_D,$W76,0),0)</f>
        <v>0</v>
      </c>
      <c r="CJ76" s="5">
        <f>IF($J$70="Crecimiento",$W76,0)</f>
        <v>0</v>
      </c>
      <c r="CM76" s="5">
        <f>IF($K$70="Producción",IF($K76&gt;=LI_A,$X76,0),0)</f>
        <v>0</v>
      </c>
      <c r="CN76" s="5">
        <f>IF($K$70="Producción",IF($K76&gt;=LI_B,IF($K76&lt;LS_B,$X76,0),0),0)</f>
        <v>0</v>
      </c>
      <c r="CO76" s="5">
        <f>IF($K$70="Producción",IF($K76&gt;=LI_C,IF($K76&lt;LS_C,$X76,0),0),0)</f>
        <v>0</v>
      </c>
      <c r="CP76" s="5">
        <f>IF($K$70="Producción",IF($K76&lt;LS_D,$X76,0),0)</f>
        <v>0</v>
      </c>
      <c r="CQ76" s="5">
        <f>IF($K$70="Crecimiento",$X76,0)</f>
        <v>0</v>
      </c>
      <c r="CT76" s="5">
        <f>IF($L$70="Producción",IF($L76&gt;=LI_A,$Y76,0),0)</f>
        <v>0</v>
      </c>
      <c r="CU76" s="5">
        <f>IF($L$70="Producción",IF($L76&gt;=LI_B,IF($L76&lt;LS_B,$Y76,0),0),0)</f>
        <v>0</v>
      </c>
      <c r="CV76" s="5">
        <f>IF($L$70="Producción",IF($L76&gt;=LI_C,IF($L76&lt;LS_C,$Y76,0),0),0)</f>
        <v>0</v>
      </c>
      <c r="CW76" s="5">
        <f>IF($L$70="Producción",IF($L76&lt;LS_D,$Y76,0),0)</f>
        <v>0</v>
      </c>
      <c r="CX76" s="5">
        <f>IF($L$70="Crecimiento",$Y76,0)</f>
        <v>0</v>
      </c>
      <c r="DA76" s="5">
        <f>IF($M$70="Producción",IF($M76&gt;=LI_A,$Z76,0),0)</f>
        <v>0</v>
      </c>
      <c r="DB76" s="5">
        <f>IF($M$70="Producción",IF($M76&gt;=LI_B,IF($M76&lt;LS_B,$Z76,0),0),0)</f>
        <v>0</v>
      </c>
      <c r="DC76" s="5">
        <f>IF($M$70="Producción",IF($M76&gt;=LI_C,IF($M76&lt;LS_C,$Z76,0),0),0)</f>
        <v>0</v>
      </c>
      <c r="DD76" s="5">
        <f>IF($M$70="Producción",IF($M76&lt;LS_D,$Z76,0),0)</f>
        <v>0</v>
      </c>
      <c r="DE76" s="5">
        <f>IF($M$70="Crecimiento",$Z76,0)</f>
        <v>0</v>
      </c>
      <c r="DI76" s="5">
        <f t="shared" si="501"/>
        <v>0</v>
      </c>
      <c r="DJ76" s="5">
        <f t="shared" si="502"/>
        <v>0</v>
      </c>
      <c r="DK76" s="5">
        <f t="shared" si="503"/>
        <v>0</v>
      </c>
      <c r="DL76" s="5">
        <f t="shared" si="504"/>
        <v>0</v>
      </c>
      <c r="DM76" s="5">
        <f t="shared" si="505"/>
        <v>0</v>
      </c>
      <c r="DN76" s="5">
        <f t="shared" si="506"/>
        <v>0</v>
      </c>
      <c r="DO76" s="5">
        <f t="shared" si="507"/>
        <v>0</v>
      </c>
      <c r="DP76" s="5">
        <f t="shared" si="508"/>
        <v>0</v>
      </c>
      <c r="DQ76" s="5">
        <f t="shared" si="509"/>
        <v>0</v>
      </c>
      <c r="DR76" s="5">
        <f t="shared" si="510"/>
        <v>0</v>
      </c>
      <c r="DS76" s="5">
        <f t="shared" si="511"/>
        <v>0</v>
      </c>
      <c r="DT76" s="5">
        <f t="shared" si="512"/>
        <v>0</v>
      </c>
      <c r="DU76" s="5">
        <f t="shared" si="513"/>
        <v>0</v>
      </c>
      <c r="DV76" s="5">
        <f t="shared" si="514"/>
        <v>0</v>
      </c>
      <c r="DW76" s="5">
        <f t="shared" si="515"/>
        <v>0</v>
      </c>
      <c r="DX76" s="5">
        <f t="shared" si="516"/>
        <v>0</v>
      </c>
      <c r="DY76" s="5">
        <f t="shared" si="517"/>
        <v>0</v>
      </c>
      <c r="DZ76" s="5">
        <f t="shared" si="518"/>
        <v>0</v>
      </c>
      <c r="EA76" s="5">
        <f t="shared" si="519"/>
        <v>0</v>
      </c>
      <c r="EB76" s="5">
        <f t="shared" si="520"/>
        <v>0</v>
      </c>
      <c r="EC76" s="5">
        <f t="shared" si="521"/>
        <v>0</v>
      </c>
      <c r="ED76" s="5">
        <f t="shared" si="522"/>
        <v>0</v>
      </c>
      <c r="EE76" s="5">
        <f t="shared" si="523"/>
        <v>0</v>
      </c>
      <c r="EF76" s="5">
        <f t="shared" si="524"/>
        <v>0</v>
      </c>
      <c r="EG76" s="5">
        <f t="shared" si="525"/>
        <v>0</v>
      </c>
      <c r="EH76" s="5">
        <f t="shared" si="526"/>
        <v>0</v>
      </c>
      <c r="EI76" s="5">
        <f t="shared" si="527"/>
        <v>0</v>
      </c>
      <c r="EJ76" s="5">
        <f t="shared" si="528"/>
        <v>0</v>
      </c>
      <c r="EK76" s="5">
        <f t="shared" si="529"/>
        <v>0</v>
      </c>
      <c r="EL76" s="5">
        <f t="shared" si="530"/>
        <v>0</v>
      </c>
      <c r="EM76" s="5">
        <f t="shared" si="531"/>
        <v>0</v>
      </c>
      <c r="EN76" s="5">
        <f t="shared" si="532"/>
        <v>0</v>
      </c>
      <c r="EO76" s="5">
        <f t="shared" si="533"/>
        <v>0</v>
      </c>
      <c r="EP76" s="5">
        <f t="shared" si="534"/>
        <v>0</v>
      </c>
      <c r="EQ76" s="5">
        <f t="shared" si="535"/>
        <v>0</v>
      </c>
      <c r="ER76" s="5">
        <f t="shared" si="536"/>
        <v>0</v>
      </c>
      <c r="ES76" s="5">
        <f t="shared" si="537"/>
        <v>0</v>
      </c>
      <c r="ET76" s="5">
        <f t="shared" si="538"/>
        <v>0</v>
      </c>
      <c r="EU76" s="5">
        <f t="shared" si="539"/>
        <v>0</v>
      </c>
      <c r="EV76" s="5">
        <f t="shared" si="540"/>
        <v>0</v>
      </c>
      <c r="EW76" s="5">
        <f t="shared" si="541"/>
        <v>0</v>
      </c>
      <c r="EX76" s="5">
        <f t="shared" si="542"/>
        <v>0</v>
      </c>
      <c r="EY76" s="5">
        <f t="shared" si="543"/>
        <v>0</v>
      </c>
      <c r="EZ76" s="5">
        <f t="shared" si="544"/>
        <v>0</v>
      </c>
      <c r="FA76" s="5">
        <f t="shared" si="545"/>
        <v>0</v>
      </c>
      <c r="FB76" s="5">
        <f t="shared" si="546"/>
        <v>0</v>
      </c>
      <c r="FC76" s="5">
        <f t="shared" si="547"/>
        <v>0</v>
      </c>
      <c r="FD76" s="5">
        <f t="shared" si="548"/>
        <v>0</v>
      </c>
      <c r="FE76" s="5">
        <f t="shared" si="549"/>
        <v>0</v>
      </c>
      <c r="FF76" s="5">
        <f t="shared" si="550"/>
        <v>0</v>
      </c>
      <c r="FG76" s="5">
        <f t="shared" si="551"/>
        <v>0</v>
      </c>
      <c r="FH76" s="5">
        <f t="shared" si="552"/>
        <v>0</v>
      </c>
      <c r="FI76" s="5">
        <f t="shared" si="553"/>
        <v>0</v>
      </c>
      <c r="FJ76" s="5">
        <f t="shared" si="554"/>
        <v>0</v>
      </c>
      <c r="FK76" s="5">
        <f t="shared" si="555"/>
        <v>0</v>
      </c>
      <c r="FL76" s="5">
        <f t="shared" si="556"/>
        <v>0</v>
      </c>
      <c r="FM76" s="5">
        <f t="shared" si="557"/>
        <v>0</v>
      </c>
      <c r="FN76" s="5">
        <f t="shared" si="558"/>
        <v>0</v>
      </c>
      <c r="FO76" s="5">
        <f t="shared" si="559"/>
        <v>0</v>
      </c>
      <c r="FP76" s="5">
        <f t="shared" si="560"/>
        <v>0</v>
      </c>
    </row>
    <row r="77" spans="1:172" ht="20.100000000000001" customHeight="1" x14ac:dyDescent="0.3">
      <c r="A77" s="9" t="str">
        <f>IF(Ciclo=5,"Surco 5","NA")</f>
        <v>NA</v>
      </c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O77" s="58">
        <f>IF($A77="NA",0,IFERROR('6'!O$39/Ciclo,0))</f>
        <v>0</v>
      </c>
      <c r="P77" s="58">
        <f>IF($A77="NA",0,IFERROR('6'!P$39/Ciclo,0))</f>
        <v>0</v>
      </c>
      <c r="Q77" s="58">
        <f>IF($A77="NA",0,IFERROR('6'!Q$39/Ciclo,0))</f>
        <v>0</v>
      </c>
      <c r="R77" s="58">
        <f>IF($A77="NA",0,IFERROR('6'!R$39/Ciclo,0))</f>
        <v>0</v>
      </c>
      <c r="S77" s="58">
        <f>IF($A77="NA",0,IFERROR('6'!S$39/Ciclo,0))</f>
        <v>0</v>
      </c>
      <c r="T77" s="58">
        <f>IF($A77="NA",0,IFERROR('6'!T$39/Ciclo,0))</f>
        <v>0</v>
      </c>
      <c r="U77" s="58">
        <f>IF($A77="NA",0,IFERROR('6'!U$39/Ciclo,0))</f>
        <v>0</v>
      </c>
      <c r="V77" s="58">
        <f>IF($A77="NA",0,IFERROR('6'!V$39/Ciclo,0))</f>
        <v>0</v>
      </c>
      <c r="W77" s="5">
        <f>IF($A77="NA",0,IFERROR('6'!W$39/Ciclo,0))</f>
        <v>0</v>
      </c>
      <c r="X77" s="5">
        <f>IF($A77="NA",0,IFERROR('6'!X$39/Ciclo,0))</f>
        <v>0</v>
      </c>
      <c r="Y77" s="5">
        <f>IF($A77="NA",0,IFERROR('6'!Y$39/Ciclo,0))</f>
        <v>0</v>
      </c>
      <c r="Z77" s="5">
        <f>IF($A77="NA",0,IFERROR('6'!Z$39/Ciclo,0))</f>
        <v>0</v>
      </c>
      <c r="AB77" s="5">
        <f>IF($B$70="Producción",IF($B77&gt;=LI_A,$O77,0),0)</f>
        <v>0</v>
      </c>
      <c r="AC77" s="5">
        <f>IF($B$70="Producción",IF($B77&gt;=LI_B,IF($B77&lt;LS_B,$O77,0),0),0)</f>
        <v>0</v>
      </c>
      <c r="AD77" s="5">
        <f>IF($B$70="Producción",IF($B77&gt;=LI_C,IF($B77&lt;LS_C,$O77,0),0),0)</f>
        <v>0</v>
      </c>
      <c r="AE77" s="5">
        <f>IF($B$70="Producción",IF($B77&lt;LS_D,$O77,0),0)</f>
        <v>0</v>
      </c>
      <c r="AF77" s="5">
        <f t="shared" si="561"/>
        <v>0</v>
      </c>
      <c r="AI77" s="5">
        <f>IF($C$70="Producción",IF($C77&gt;=LI_A,$P77,0),0)</f>
        <v>0</v>
      </c>
      <c r="AJ77" s="5">
        <f>IF($C$70="Producción",IF($C77&gt;=LI_B,IF($C77&lt;LS_B,$P77,0),0),0)</f>
        <v>0</v>
      </c>
      <c r="AK77" s="5">
        <f>IF($C$70="Producción",IF($C77&gt;=LI_C,IF($C77&lt;LS_C,$P77,0),0),0)</f>
        <v>0</v>
      </c>
      <c r="AL77" s="5">
        <f>IF($C$70="Producción",IF($C77&lt;LS_D,$P77,0),0)</f>
        <v>0</v>
      </c>
      <c r="AM77" s="5">
        <f>IF($C$70="Crecimiento",$P77,0)</f>
        <v>0</v>
      </c>
      <c r="AP77" s="5">
        <f>IF($D$70="Producción",IF($D77&gt;=LI_A,$Q77,0),0)</f>
        <v>0</v>
      </c>
      <c r="AQ77" s="5">
        <f>IF($D$70="Producción",IF($D77&gt;=LI_B,IF($D77&lt;LS_B,$Q77,0),0),0)</f>
        <v>0</v>
      </c>
      <c r="AR77" s="5">
        <f>IF($D$70="Producción",IF($D77&gt;=LI_C,IF($D77&lt;LS_C,$Q77,0),0),0)</f>
        <v>0</v>
      </c>
      <c r="AS77" s="5">
        <f>IF($D$70="Producción",IF($D77&lt;LS_D,$Q77,0),0)</f>
        <v>0</v>
      </c>
      <c r="AT77" s="5">
        <f>IF($D$70="Crecimiento",IF($D77&gt;0,$Q77,0),0)</f>
        <v>0</v>
      </c>
      <c r="AW77" s="5">
        <f>IF($E$70="Producción",IF($E77&gt;=LI_A,$R77,0),0)</f>
        <v>0</v>
      </c>
      <c r="AX77" s="5">
        <f>IF($E$70="Producción",IF($E77&gt;=LI_B,IF($E77&lt;LS_B,$R77,0),0),0)</f>
        <v>0</v>
      </c>
      <c r="AY77" s="5">
        <f>IF($E$70="Producción",IF($E77&gt;=LI_C,IF($E77&lt;LS_C,$R77,0),0),0)</f>
        <v>0</v>
      </c>
      <c r="AZ77" s="5">
        <f>IF($E$70="Producción",IF($E77&lt;LS_D,$R77,0),0)</f>
        <v>0</v>
      </c>
      <c r="BA77" s="5">
        <f>IF($E$70="Crecimiento",$R77,0)</f>
        <v>0</v>
      </c>
      <c r="BD77" s="5">
        <f>IF($F$70="Producción",IF($F77&gt;=LI_A,$S77,0),0)</f>
        <v>0</v>
      </c>
      <c r="BE77" s="5">
        <f>IF($F$70="Producción",IF($F77&gt;=LI_B,IF($F77&lt;LS_B,$S77,0),0),0)</f>
        <v>0</v>
      </c>
      <c r="BF77" s="5">
        <f>IF($F$70="Producción",IF($F77&gt;=LI_C,IF($F77&lt;LS_C,$S77,0),0),0)</f>
        <v>0</v>
      </c>
      <c r="BG77" s="5">
        <f>IF($F$70="Producción",IF($F77&lt;LS_D,$S77,0),0)</f>
        <v>0</v>
      </c>
      <c r="BH77" s="5">
        <f>IF($F$70="Crecimiento",$S77,0)</f>
        <v>0</v>
      </c>
      <c r="BK77" s="5">
        <f>IF($G$70="Producción",IF($G77&gt;=LI_A,$T77,0),0)</f>
        <v>0</v>
      </c>
      <c r="BL77" s="5">
        <f>IF($G$70="Producción",IF($G77&gt;=LI_B,IF($G77&lt;LS_B,$T77,0),0),0)</f>
        <v>0</v>
      </c>
      <c r="BM77" s="5">
        <f>IF($G$70="Producción",IF($G77&gt;=LI_C,IF($G77&lt;LS_C,$T77,0),0),0)</f>
        <v>0</v>
      </c>
      <c r="BN77" s="5">
        <f>IF($G$70="Producción",IF($G77&lt;LS_D,$T77,0),0)</f>
        <v>0</v>
      </c>
      <c r="BO77" s="5">
        <f>IF($G$70="Crecimiento",$T77,0)</f>
        <v>0</v>
      </c>
      <c r="BR77" s="5">
        <f>IF($H$70="Producción",IF($H77&gt;=LI_A,$U77,0),0)</f>
        <v>0</v>
      </c>
      <c r="BS77" s="5">
        <f>IF($H$70="Producción",IF($H77&gt;=LI_B,IF($H77&lt;LS_B,$U77,0),0),0)</f>
        <v>0</v>
      </c>
      <c r="BT77" s="5">
        <f>IF($H$70="Producción",IF($H77&gt;=LI_C,IF($H77&lt;LS_C,$U77,0),0),0)</f>
        <v>0</v>
      </c>
      <c r="BU77" s="5">
        <f>IF($H$70="Producción",IF($H77&lt;LS_D,$U77,0),0)</f>
        <v>0</v>
      </c>
      <c r="BV77" s="5">
        <f>IF($H$70="Crecimiento",$T77,0)</f>
        <v>0</v>
      </c>
      <c r="BY77" s="5">
        <f>IF($I$70="Producción",IF($I77&gt;=LI_A,$V77,0),0)</f>
        <v>0</v>
      </c>
      <c r="BZ77" s="5">
        <f>IF($I$70="Producción",IF($I77&gt;=LI_B,IF($I77&lt;LS_B,$V77,0),0),0)</f>
        <v>0</v>
      </c>
      <c r="CA77" s="5">
        <f>IF($I$70="Producción",IF($I77&gt;=LI_C,IF($I77&lt;LS_C,$V77,0),0),0)</f>
        <v>0</v>
      </c>
      <c r="CB77" s="5">
        <f>IF($I$70="Producción",IF($I77&lt;LS_D,$V77,0),0)</f>
        <v>0</v>
      </c>
      <c r="CC77" s="5">
        <f>IF($I$70="Crecimiento",$V77,0)</f>
        <v>0</v>
      </c>
      <c r="CF77" s="5">
        <f>IF($J$70="Producción",IF($J77&gt;=LI_A,$W77,0),0)</f>
        <v>0</v>
      </c>
      <c r="CG77" s="5">
        <f>IF($J$70="Producción",IF($J77&gt;=LI_B,IF($J77&lt;LS_B,$W77,0),0),0)</f>
        <v>0</v>
      </c>
      <c r="CH77" s="5">
        <f>IF($J$70="Producción",IF($J77&gt;=LI_C,IF($J77&lt;LS_C,$W77,0),0),0)</f>
        <v>0</v>
      </c>
      <c r="CI77" s="5">
        <f>IF($J$70="Producción",IF($J77&lt;LS_D,$W77,0),0)</f>
        <v>0</v>
      </c>
      <c r="CJ77" s="5">
        <f>IF($J$70="Crecimiento",$W77,0)</f>
        <v>0</v>
      </c>
      <c r="CM77" s="5">
        <f>IF($K$70="Producción",IF($K77&gt;=LI_A,$X77,0),0)</f>
        <v>0</v>
      </c>
      <c r="CN77" s="5">
        <f>IF($K$70="Producción",IF($K77&gt;=LI_B,IF($K77&lt;LS_B,$X77,0),0),0)</f>
        <v>0</v>
      </c>
      <c r="CO77" s="5">
        <f>IF($K$70="Producción",IF($K77&gt;=LI_C,IF($K77&lt;LS_C,$X77,0),0),0)</f>
        <v>0</v>
      </c>
      <c r="CP77" s="5">
        <f>IF($K$70="Producción",IF($K77&lt;LS_D,$X77,0),0)</f>
        <v>0</v>
      </c>
      <c r="CQ77" s="5">
        <f>IF($K$70="Crecimiento",$X77,0)</f>
        <v>0</v>
      </c>
      <c r="CT77" s="5">
        <f>IF($L$70="Producción",IF($L77&gt;=LI_A,$Y77,0),0)</f>
        <v>0</v>
      </c>
      <c r="CU77" s="5">
        <f>IF($L$70="Producción",IF($L77&gt;=LI_B,IF($L77&lt;LS_B,$Y77,0),0),0)</f>
        <v>0</v>
      </c>
      <c r="CV77" s="5">
        <f>IF($L$70="Producción",IF($L77&gt;=LI_C,IF($L77&lt;LS_C,$Y77,0),0),0)</f>
        <v>0</v>
      </c>
      <c r="CW77" s="5">
        <f>IF($L$70="Producción",IF($L77&lt;LS_D,$Y77,0),0)</f>
        <v>0</v>
      </c>
      <c r="CX77" s="5">
        <f>IF($L$70="Crecimiento",$Y77,0)</f>
        <v>0</v>
      </c>
      <c r="DA77" s="5">
        <f>IF($M$70="Producción",IF($M77&gt;=LI_A,$Z77,0),0)</f>
        <v>0</v>
      </c>
      <c r="DB77" s="5">
        <f>IF($M$70="Producción",IF($M77&gt;=LI_B,IF($M77&lt;LS_B,$Z77,0),0),0)</f>
        <v>0</v>
      </c>
      <c r="DC77" s="5">
        <f>IF($M$70="Producción",IF($M77&gt;=LI_C,IF($M77&lt;LS_C,$Z77,0),0),0)</f>
        <v>0</v>
      </c>
      <c r="DD77" s="5">
        <f>IF($M$70="Producción",IF($M77&lt;LS_D,$Z77,0),0)</f>
        <v>0</v>
      </c>
      <c r="DE77" s="5">
        <f>IF($M$70="Crecimiento",$Z77,0)</f>
        <v>0</v>
      </c>
      <c r="DI77" s="5">
        <f t="shared" si="501"/>
        <v>0</v>
      </c>
      <c r="DJ77" s="5">
        <f t="shared" si="502"/>
        <v>0</v>
      </c>
      <c r="DK77" s="5">
        <f t="shared" si="503"/>
        <v>0</v>
      </c>
      <c r="DL77" s="5">
        <f t="shared" si="504"/>
        <v>0</v>
      </c>
      <c r="DM77" s="5">
        <f t="shared" si="505"/>
        <v>0</v>
      </c>
      <c r="DN77" s="5">
        <f t="shared" si="506"/>
        <v>0</v>
      </c>
      <c r="DO77" s="5">
        <f t="shared" si="507"/>
        <v>0</v>
      </c>
      <c r="DP77" s="5">
        <f t="shared" si="508"/>
        <v>0</v>
      </c>
      <c r="DQ77" s="5">
        <f t="shared" si="509"/>
        <v>0</v>
      </c>
      <c r="DR77" s="5">
        <f t="shared" si="510"/>
        <v>0</v>
      </c>
      <c r="DS77" s="5">
        <f t="shared" si="511"/>
        <v>0</v>
      </c>
      <c r="DT77" s="5">
        <f t="shared" si="512"/>
        <v>0</v>
      </c>
      <c r="DU77" s="5">
        <f t="shared" si="513"/>
        <v>0</v>
      </c>
      <c r="DV77" s="5">
        <f t="shared" si="514"/>
        <v>0</v>
      </c>
      <c r="DW77" s="5">
        <f t="shared" si="515"/>
        <v>0</v>
      </c>
      <c r="DX77" s="5">
        <f t="shared" si="516"/>
        <v>0</v>
      </c>
      <c r="DY77" s="5">
        <f t="shared" si="517"/>
        <v>0</v>
      </c>
      <c r="DZ77" s="5">
        <f t="shared" si="518"/>
        <v>0</v>
      </c>
      <c r="EA77" s="5">
        <f t="shared" si="519"/>
        <v>0</v>
      </c>
      <c r="EB77" s="5">
        <f t="shared" si="520"/>
        <v>0</v>
      </c>
      <c r="EC77" s="5">
        <f t="shared" si="521"/>
        <v>0</v>
      </c>
      <c r="ED77" s="5">
        <f t="shared" si="522"/>
        <v>0</v>
      </c>
      <c r="EE77" s="5">
        <f t="shared" si="523"/>
        <v>0</v>
      </c>
      <c r="EF77" s="5">
        <f t="shared" si="524"/>
        <v>0</v>
      </c>
      <c r="EG77" s="5">
        <f t="shared" si="525"/>
        <v>0</v>
      </c>
      <c r="EH77" s="5">
        <f t="shared" si="526"/>
        <v>0</v>
      </c>
      <c r="EI77" s="5">
        <f t="shared" si="527"/>
        <v>0</v>
      </c>
      <c r="EJ77" s="5">
        <f t="shared" si="528"/>
        <v>0</v>
      </c>
      <c r="EK77" s="5">
        <f t="shared" si="529"/>
        <v>0</v>
      </c>
      <c r="EL77" s="5">
        <f t="shared" si="530"/>
        <v>0</v>
      </c>
      <c r="EM77" s="5">
        <f t="shared" si="531"/>
        <v>0</v>
      </c>
      <c r="EN77" s="5">
        <f t="shared" si="532"/>
        <v>0</v>
      </c>
      <c r="EO77" s="5">
        <f t="shared" si="533"/>
        <v>0</v>
      </c>
      <c r="EP77" s="5">
        <f t="shared" si="534"/>
        <v>0</v>
      </c>
      <c r="EQ77" s="5">
        <f t="shared" si="535"/>
        <v>0</v>
      </c>
      <c r="ER77" s="5">
        <f t="shared" si="536"/>
        <v>0</v>
      </c>
      <c r="ES77" s="5">
        <f t="shared" si="537"/>
        <v>0</v>
      </c>
      <c r="ET77" s="5">
        <f t="shared" si="538"/>
        <v>0</v>
      </c>
      <c r="EU77" s="5">
        <f t="shared" si="539"/>
        <v>0</v>
      </c>
      <c r="EV77" s="5">
        <f t="shared" si="540"/>
        <v>0</v>
      </c>
      <c r="EW77" s="5">
        <f t="shared" si="541"/>
        <v>0</v>
      </c>
      <c r="EX77" s="5">
        <f t="shared" si="542"/>
        <v>0</v>
      </c>
      <c r="EY77" s="5">
        <f t="shared" si="543"/>
        <v>0</v>
      </c>
      <c r="EZ77" s="5">
        <f t="shared" si="544"/>
        <v>0</v>
      </c>
      <c r="FA77" s="5">
        <f t="shared" si="545"/>
        <v>0</v>
      </c>
      <c r="FB77" s="5">
        <f t="shared" si="546"/>
        <v>0</v>
      </c>
      <c r="FC77" s="5">
        <f t="shared" si="547"/>
        <v>0</v>
      </c>
      <c r="FD77" s="5">
        <f t="shared" si="548"/>
        <v>0</v>
      </c>
      <c r="FE77" s="5">
        <f t="shared" si="549"/>
        <v>0</v>
      </c>
      <c r="FF77" s="5">
        <f t="shared" si="550"/>
        <v>0</v>
      </c>
      <c r="FG77" s="5">
        <f t="shared" si="551"/>
        <v>0</v>
      </c>
      <c r="FH77" s="5">
        <f t="shared" si="552"/>
        <v>0</v>
      </c>
      <c r="FI77" s="5">
        <f t="shared" si="553"/>
        <v>0</v>
      </c>
      <c r="FJ77" s="5">
        <f t="shared" si="554"/>
        <v>0</v>
      </c>
      <c r="FK77" s="5">
        <f t="shared" si="555"/>
        <v>0</v>
      </c>
      <c r="FL77" s="5">
        <f t="shared" si="556"/>
        <v>0</v>
      </c>
      <c r="FM77" s="5">
        <f t="shared" si="557"/>
        <v>0</v>
      </c>
      <c r="FN77" s="5">
        <f t="shared" si="558"/>
        <v>0</v>
      </c>
      <c r="FO77" s="5">
        <f t="shared" si="559"/>
        <v>0</v>
      </c>
      <c r="FP77" s="5">
        <f t="shared" si="560"/>
        <v>0</v>
      </c>
    </row>
    <row r="78" spans="1:172" ht="20.100000000000001" customHeight="1" x14ac:dyDescent="0.3">
      <c r="A78" s="172">
        <f>N_L10</f>
        <v>0</v>
      </c>
      <c r="B78" s="363" t="s">
        <v>37</v>
      </c>
      <c r="C78" s="363" t="s">
        <v>37</v>
      </c>
      <c r="D78" s="363" t="s">
        <v>37</v>
      </c>
      <c r="E78" s="363" t="s">
        <v>37</v>
      </c>
      <c r="F78" s="363" t="s">
        <v>37</v>
      </c>
      <c r="G78" s="363" t="s">
        <v>37</v>
      </c>
      <c r="H78" s="363" t="s">
        <v>37</v>
      </c>
      <c r="I78" s="363" t="s">
        <v>37</v>
      </c>
      <c r="J78" s="363" t="s">
        <v>37</v>
      </c>
      <c r="K78" s="363" t="s">
        <v>37</v>
      </c>
      <c r="L78" s="363" t="s">
        <v>37</v>
      </c>
      <c r="M78" s="363" t="s">
        <v>37</v>
      </c>
    </row>
    <row r="79" spans="1:172" ht="20.100000000000001" customHeight="1" x14ac:dyDescent="0.3">
      <c r="A79" s="175" t="s">
        <v>238</v>
      </c>
      <c r="B79" s="174">
        <f>SUM(DI81:DM85)/100</f>
        <v>0</v>
      </c>
      <c r="C79" s="174">
        <f>SUM(DN81:DR85)/100</f>
        <v>0</v>
      </c>
      <c r="D79" s="174">
        <f>SUM(DS81:DW85)/100</f>
        <v>0</v>
      </c>
      <c r="E79" s="174">
        <f>SUM(DX81:EB85)/100</f>
        <v>0</v>
      </c>
      <c r="F79" s="174">
        <f>SUM(EC81:EG85)/100</f>
        <v>0</v>
      </c>
      <c r="G79" s="174">
        <f>SUM(EH81:EL85)/100</f>
        <v>0</v>
      </c>
      <c r="H79" s="174">
        <f>SUM(EM81:EQ85)/100</f>
        <v>0</v>
      </c>
      <c r="I79" s="174">
        <f>SUM(ER81:EV85)/100</f>
        <v>0</v>
      </c>
      <c r="J79" s="174">
        <f>SUM(EW81:FA85)/100</f>
        <v>0</v>
      </c>
      <c r="K79" s="174">
        <f>SUM(FB81:FF85)/100</f>
        <v>0</v>
      </c>
      <c r="L79" s="174">
        <f>SUM(FG81:FK85)/100</f>
        <v>0</v>
      </c>
      <c r="M79" s="174">
        <f>SUM(FL81:FP85)/100</f>
        <v>0</v>
      </c>
    </row>
    <row r="80" spans="1:172" ht="20.100000000000001" customHeight="1" x14ac:dyDescent="0.3">
      <c r="A80" s="151" t="s">
        <v>239</v>
      </c>
      <c r="B80" s="152" t="e">
        <f t="shared" ref="B80:M80" si="562">B79/Lote_10</f>
        <v>#DIV/0!</v>
      </c>
      <c r="C80" s="152" t="e">
        <f t="shared" si="562"/>
        <v>#DIV/0!</v>
      </c>
      <c r="D80" s="152" t="e">
        <f t="shared" si="562"/>
        <v>#DIV/0!</v>
      </c>
      <c r="E80" s="152" t="e">
        <f t="shared" si="562"/>
        <v>#DIV/0!</v>
      </c>
      <c r="F80" s="152" t="e">
        <f t="shared" si="562"/>
        <v>#DIV/0!</v>
      </c>
      <c r="G80" s="152" t="e">
        <f t="shared" si="562"/>
        <v>#DIV/0!</v>
      </c>
      <c r="H80" s="152" t="e">
        <f t="shared" si="562"/>
        <v>#DIV/0!</v>
      </c>
      <c r="I80" s="152" t="e">
        <f t="shared" si="562"/>
        <v>#DIV/0!</v>
      </c>
      <c r="J80" s="152" t="e">
        <f t="shared" si="562"/>
        <v>#DIV/0!</v>
      </c>
      <c r="K80" s="152" t="e">
        <f t="shared" si="562"/>
        <v>#DIV/0!</v>
      </c>
      <c r="L80" s="152" t="e">
        <f t="shared" si="562"/>
        <v>#DIV/0!</v>
      </c>
      <c r="M80" s="152" t="e">
        <f t="shared" si="562"/>
        <v>#DIV/0!</v>
      </c>
    </row>
    <row r="81" spans="1:172" ht="20.100000000000001" customHeight="1" x14ac:dyDescent="0.3">
      <c r="A81" s="8" t="s">
        <v>302</v>
      </c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O81" s="58">
        <f>IFERROR('6'!O$43/Ciclo,0)</f>
        <v>0</v>
      </c>
      <c r="P81" s="58">
        <f>IFERROR('6'!P$43/Ciclo,0)</f>
        <v>0</v>
      </c>
      <c r="Q81" s="58">
        <f>IFERROR('6'!Q$43/Ciclo,0)</f>
        <v>0</v>
      </c>
      <c r="R81" s="58">
        <f>IFERROR('6'!R$43/Ciclo,0)</f>
        <v>0</v>
      </c>
      <c r="S81" s="58">
        <f>IFERROR('6'!S$43/Ciclo,0)</f>
        <v>0</v>
      </c>
      <c r="T81" s="58">
        <f>IFERROR('6'!T$43/Ciclo,0)</f>
        <v>0</v>
      </c>
      <c r="U81" s="58">
        <f>IFERROR('6'!U$43/Ciclo,0)</f>
        <v>0</v>
      </c>
      <c r="V81" s="58">
        <f>IFERROR('6'!V$43/Ciclo,0)</f>
        <v>0</v>
      </c>
      <c r="W81" s="5">
        <f>IFERROR('6'!W$43/Ciclo,0)</f>
        <v>0</v>
      </c>
      <c r="X81" s="5">
        <f>IFERROR('6'!X$43/Ciclo,0)</f>
        <v>0</v>
      </c>
      <c r="Y81" s="5">
        <f>IFERROR('6'!Y$43/Ciclo,0)</f>
        <v>0</v>
      </c>
      <c r="Z81" s="5">
        <f>IFERROR('6'!Z$43/Ciclo,0)</f>
        <v>0</v>
      </c>
      <c r="AB81" s="5">
        <f>IF($B$78="Producción",IF($B81&gt;=LI_A,$O81,0),0)</f>
        <v>0</v>
      </c>
      <c r="AC81" s="5">
        <f>IF($B$78="Producción",IF($B81&gt;=LI_B,IF($B81&lt;LS_B,$O81,0),0),0)</f>
        <v>0</v>
      </c>
      <c r="AD81" s="5">
        <f>IF($B$78="Producción",IF($B81&gt;=LI_C,IF($B81&lt;LS_C,$O81,0),0),0)</f>
        <v>0</v>
      </c>
      <c r="AE81" s="5">
        <f>IF($B$78="Producción",IF($B81&lt;LS_D,$O81,0),0)</f>
        <v>0</v>
      </c>
      <c r="AF81" s="5">
        <f>IF($B$78="Crecimiento",$O81,0)</f>
        <v>0</v>
      </c>
      <c r="AG81" s="5">
        <f>IF($B78="Siembra",'6'!$O$7,0)</f>
        <v>0</v>
      </c>
      <c r="AH81" s="5">
        <f>IF($B78="Abandono",'6'!$O$7,0)</f>
        <v>0</v>
      </c>
      <c r="AI81" s="5">
        <f>IF($C$78="Producción",IF($C81&gt;=LI_A,$P81,0),0)</f>
        <v>0</v>
      </c>
      <c r="AJ81" s="5">
        <f>IF($C$78="Producción",IF($C81&gt;=LI_B,IF($C81&lt;LS_B,$P81,0),0),0)</f>
        <v>0</v>
      </c>
      <c r="AK81" s="5">
        <f>IF($C$78="Producción",IF($C81&gt;=LI_C,IF($C81&lt;LS_C,$P81,0),0),0)</f>
        <v>0</v>
      </c>
      <c r="AL81" s="5">
        <f>IF($C$78="Producción",IF($C81&lt;LS_D,$P81,0),0)</f>
        <v>0</v>
      </c>
      <c r="AM81" s="5">
        <f>IF($C$78="Crecimiento",$P81,0)</f>
        <v>0</v>
      </c>
      <c r="AN81" s="5">
        <f>IF($C78="Siembra",'6'!$P$7,0)</f>
        <v>0</v>
      </c>
      <c r="AO81" s="5">
        <f>IF($C78="Abandono",'6'!$P$7,0)</f>
        <v>0</v>
      </c>
      <c r="AP81" s="5">
        <f>IF($D$78="Producción",IF($D81&gt;=LI_A,$Q81,0),0)</f>
        <v>0</v>
      </c>
      <c r="AQ81" s="5">
        <f>IF($D$78="Producción",IF($D81&gt;=LI_B,IF($D81&lt;LS_B,$Q81,0),0),0)</f>
        <v>0</v>
      </c>
      <c r="AR81" s="5">
        <f>IF($D$78="Producción",IF($D81&gt;=LI_C,IF($D81&lt;LS_C,$Q81,0),0),0)</f>
        <v>0</v>
      </c>
      <c r="AS81" s="5">
        <f>IF($D$78="Producción",IF($D81&lt;LS_D,$Q81,0),0)</f>
        <v>0</v>
      </c>
      <c r="AT81" s="5">
        <f>IF($D$78="Crecimiento",IF($D81&gt;0,$Q81,0),0)</f>
        <v>0</v>
      </c>
      <c r="AU81" s="5">
        <f>IF($D78="Siembra",'6'!$Q$7,0)</f>
        <v>0</v>
      </c>
      <c r="AV81" s="5">
        <f>IF($D78="Abandono",'6'!$Q$7,0)</f>
        <v>0</v>
      </c>
      <c r="AW81" s="5">
        <f>IF($E$78="Producción",IF($E81&gt;=LI_A,$R81,0),0)</f>
        <v>0</v>
      </c>
      <c r="AX81" s="5">
        <f>IF($E$78="Producción",IF($E81&gt;=LI_B,IF($E81&lt;LS_B,$R81,0),0),0)</f>
        <v>0</v>
      </c>
      <c r="AY81" s="5">
        <f>IF($E$78="Producción",IF($E81&gt;=LI_C,IF($E81&lt;LS_C,$R81,0),0),0)</f>
        <v>0</v>
      </c>
      <c r="AZ81" s="5">
        <f>IF($E$78="Producción",IF($E81&lt;LS_D,$R81,0),0)</f>
        <v>0</v>
      </c>
      <c r="BA81" s="5">
        <f>IF($E$78="Crecimiento",$R81,0)</f>
        <v>0</v>
      </c>
      <c r="BB81" s="5">
        <f>IF($E78="Siembra",'6'!$R$7,0)</f>
        <v>0</v>
      </c>
      <c r="BC81" s="5">
        <f>IF($E78="Abandono",'6'!$R$7,0)</f>
        <v>0</v>
      </c>
      <c r="BD81" s="5">
        <f>IF($F$78="Producción",IF($F81&gt;=LI_A,$S81,0),0)</f>
        <v>0</v>
      </c>
      <c r="BE81" s="5">
        <f>IF($F$78="Producción",IF($F81&gt;=LI_B,IF($F81&lt;LS_B,$S81,0),0),0)</f>
        <v>0</v>
      </c>
      <c r="BF81" s="5">
        <f>IF($F$78="Producción",IF($F81&gt;=LI_C,IF($F81&lt;LS_C,$S81,0),0),0)</f>
        <v>0</v>
      </c>
      <c r="BG81" s="5">
        <f>IF($F$78="Producción",IF($F81&lt;LS_D,$S81,0),0)</f>
        <v>0</v>
      </c>
      <c r="BH81" s="5">
        <f>IF($F$78="Crecimiento",$S81,0)</f>
        <v>0</v>
      </c>
      <c r="BI81" s="5">
        <f>IF($F78="Siembra",'6'!$S$7,0)</f>
        <v>0</v>
      </c>
      <c r="BJ81" s="5">
        <f>IF($F78="Abandono",'6'!$S$7,0)</f>
        <v>0</v>
      </c>
      <c r="BK81" s="5">
        <f>IF($G$78="Producción",IF($G81&gt;=LI_A,$T81,0),0)</f>
        <v>0</v>
      </c>
      <c r="BL81" s="5">
        <f>IF($G$78="Producción",IF($G81&gt;=LI_B,IF($G81&lt;LS_B,$T81,0),0),0)</f>
        <v>0</v>
      </c>
      <c r="BM81" s="5">
        <f>IF($G$78="Producción",IF($G81&gt;=LI_C,IF($G81&lt;LS_C,$T81,0),0),0)</f>
        <v>0</v>
      </c>
      <c r="BN81" s="5">
        <f>IF($G$78="Producción",IF($G81&lt;LS_D,$T81,0),0)</f>
        <v>0</v>
      </c>
      <c r="BO81" s="5">
        <f>IF($G$78="Crecimiento",$T81,0)</f>
        <v>0</v>
      </c>
      <c r="BP81" s="5">
        <f>IF($G78="Siembra",'6'!$T$7,0)</f>
        <v>0</v>
      </c>
      <c r="BQ81" s="5">
        <f>IF($G78="Abandono",'6'!$T$7,0)</f>
        <v>0</v>
      </c>
      <c r="BR81" s="5">
        <f>IF($H$78="Producción",IF($H81&gt;=LI_A,$U81,0),0)</f>
        <v>0</v>
      </c>
      <c r="BS81" s="5">
        <f>IF($H$78="Producción",IF($H81&gt;=LI_B,IF($H81&lt;LS_B,$U81,0),0),0)</f>
        <v>0</v>
      </c>
      <c r="BT81" s="5">
        <f>IF($H$78="Producción",IF($H81&gt;=LI_C,IF($H81&lt;LS_C,$U81,0),0),0)</f>
        <v>0</v>
      </c>
      <c r="BU81" s="5">
        <f>IF($H$78="Producción",IF($H81&lt;LS_D,$U81,0),0)</f>
        <v>0</v>
      </c>
      <c r="BV81" s="5">
        <f>IF($H$78="Crecimiento",$T81,0)</f>
        <v>0</v>
      </c>
      <c r="BW81" s="5">
        <f>IF($H78="Siembra",'6'!$U$7,0)</f>
        <v>0</v>
      </c>
      <c r="BX81" s="5">
        <f>IF($H78="Abandono",'6'!$U$7,0)</f>
        <v>0</v>
      </c>
      <c r="BY81" s="5">
        <f>IF($I$78="Producción",IF($I81&gt;=LI_A,$V81,0),0)</f>
        <v>0</v>
      </c>
      <c r="BZ81" s="5">
        <f>IF($I$78="Producción",IF($I81&gt;=LI_B,IF($I81&lt;LS_B,$V81,0),0),0)</f>
        <v>0</v>
      </c>
      <c r="CA81" s="5">
        <f>IF($I$78="Producción",IF($I81&gt;=LI_C,IF($I81&lt;LS_C,$V81,0),0),0)</f>
        <v>0</v>
      </c>
      <c r="CB81" s="5">
        <f>IF($I$78="Producción",IF($I81&lt;LS_D,$V81,0),0)</f>
        <v>0</v>
      </c>
      <c r="CC81" s="5">
        <f>IF($I$78="Crecimiento",$V81,0)</f>
        <v>0</v>
      </c>
      <c r="CD81" s="5">
        <f>IF($I78="Siembra",'6'!$V$7,0)</f>
        <v>0</v>
      </c>
      <c r="CE81" s="5">
        <f>IF($I78="Abandono",'6'!$V$7,0)</f>
        <v>0</v>
      </c>
      <c r="CF81" s="5">
        <f>IF($J$78="Producción",IF($J81&gt;=LI_A,$W81,0),0)</f>
        <v>0</v>
      </c>
      <c r="CG81" s="5">
        <f>IF($J$78="Producción",IF($J81&gt;=LI_B,IF($J81&lt;LS_B,$W81,0),0),0)</f>
        <v>0</v>
      </c>
      <c r="CH81" s="5">
        <f>IF($J$78="Producción",IF($J81&gt;=LI_C,IF($J81&lt;LS_C,$W81,0),0),0)</f>
        <v>0</v>
      </c>
      <c r="CI81" s="5">
        <f>IF($J$78="Producción",IF($J81&lt;LS_D,$W81,0),0)</f>
        <v>0</v>
      </c>
      <c r="CJ81" s="5">
        <f>IF($J$78="Crecimiento",$W81,0)</f>
        <v>0</v>
      </c>
      <c r="CK81" s="5">
        <f>IF($J78="Siembra",'6'!$W$7,0)</f>
        <v>0</v>
      </c>
      <c r="CL81" s="5">
        <f>IF($J78="Abandono",'6'!$W$7,0)</f>
        <v>0</v>
      </c>
      <c r="CM81" s="5">
        <f>IF($K$78="Producción",IF($K81&gt;=LI_A,$X81,0),0)</f>
        <v>0</v>
      </c>
      <c r="CN81" s="5">
        <f>IF($K$78="Producción",IF($K81&gt;=LI_B,IF($K81&lt;LS_B,$X81,0),0),0)</f>
        <v>0</v>
      </c>
      <c r="CO81" s="5">
        <f>IF($K$78="Producción",IF($K81&gt;=LI_C,IF($K81&lt;LS_C,$X81,0),0),0)</f>
        <v>0</v>
      </c>
      <c r="CP81" s="5">
        <f>IF($K$78="Producción",IF($K81&lt;LS_D,$X81,0),0)</f>
        <v>0</v>
      </c>
      <c r="CQ81" s="5">
        <f>IF($K$78="Crecimiento",$X81,0)</f>
        <v>0</v>
      </c>
      <c r="CR81" s="5">
        <f>IF($K78="Siembra",'6'!$X$7,0)</f>
        <v>0</v>
      </c>
      <c r="CS81" s="5">
        <f>IF($K78="Abandono",'6'!$X$7,0)</f>
        <v>0</v>
      </c>
      <c r="CT81" s="5">
        <f>IF($L$78="Producción",IF($L81&gt;=LI_A,$Y81,0),0)</f>
        <v>0</v>
      </c>
      <c r="CU81" s="5">
        <f>IF($L$78="Producción",IF($L81&gt;=LI_B,IF($L81&lt;LS_B,$Y81,0),0),0)</f>
        <v>0</v>
      </c>
      <c r="CV81" s="5">
        <f>IF($L$78="Producción",IF($L81&gt;=LI_C,IF($L81&lt;LS_C,$Y81,0),0),0)</f>
        <v>0</v>
      </c>
      <c r="CW81" s="5">
        <f>IF($L$78="Producción",IF($L81&lt;LS_D,$Y81,0),0)</f>
        <v>0</v>
      </c>
      <c r="CX81" s="5">
        <f>IF($L$78="Crecimiento",$Y81,0)</f>
        <v>0</v>
      </c>
      <c r="CY81" s="5">
        <f>IF($L78="Siembra",'6'!$Y$7,0)</f>
        <v>0</v>
      </c>
      <c r="CZ81" s="5">
        <f>IF($L78="Abandono",'6'!$Y$7,0)</f>
        <v>0</v>
      </c>
      <c r="DA81" s="5">
        <f>IF($M$78="Producción",IF($M81&gt;=LI_A,$Z81,0),0)</f>
        <v>0</v>
      </c>
      <c r="DB81" s="5">
        <f>IF($M$78="Producción",IF($M81&gt;=LI_B,IF($M81&lt;LS_B,$Z81,0),0),0)</f>
        <v>0</v>
      </c>
      <c r="DC81" s="5">
        <f>IF($M$78="Producción",IF($M81&gt;=LI_C,IF($M81&lt;LS_C,$Z81,0),0),0)</f>
        <v>0</v>
      </c>
      <c r="DD81" s="5">
        <f>IF($M$78="Producción",IF($M81&lt;LS_D,$Z81,0),0)</f>
        <v>0</v>
      </c>
      <c r="DE81" s="5">
        <f>IF($M$78="Crecimiento",$Z81,0)</f>
        <v>0</v>
      </c>
      <c r="DF81" s="5">
        <f>IF($M78="Siembra",'6'!$Z$7,0)</f>
        <v>0</v>
      </c>
      <c r="DG81" s="5">
        <f>IF($M78="Abandono",'6'!$Z$7,0)</f>
        <v>0</v>
      </c>
      <c r="DI81" s="5">
        <f t="shared" ref="DI81:DI85" si="563">AB81*$B81</f>
        <v>0</v>
      </c>
      <c r="DJ81" s="5">
        <f t="shared" ref="DJ81:DJ85" si="564">AC81*$B81</f>
        <v>0</v>
      </c>
      <c r="DK81" s="5">
        <f t="shared" ref="DK81:DK85" si="565">AD81*$B81</f>
        <v>0</v>
      </c>
      <c r="DL81" s="5">
        <f t="shared" ref="DL81:DL85" si="566">AE81*$B81</f>
        <v>0</v>
      </c>
      <c r="DM81" s="5">
        <f t="shared" ref="DM81:DM85" si="567">AF81*$B81</f>
        <v>0</v>
      </c>
      <c r="DN81" s="5">
        <f t="shared" ref="DN81:DN85" si="568">AI81*$C81</f>
        <v>0</v>
      </c>
      <c r="DO81" s="5">
        <f t="shared" ref="DO81:DO85" si="569">AJ81*$C81</f>
        <v>0</v>
      </c>
      <c r="DP81" s="5">
        <f t="shared" ref="DP81:DP85" si="570">AK81*$C81</f>
        <v>0</v>
      </c>
      <c r="DQ81" s="5">
        <f t="shared" ref="DQ81:DQ85" si="571">AL81*$C81</f>
        <v>0</v>
      </c>
      <c r="DR81" s="5">
        <f t="shared" ref="DR81:DR85" si="572">AM81*$C81</f>
        <v>0</v>
      </c>
      <c r="DS81" s="5">
        <f t="shared" ref="DS81:DS85" si="573">AP81*$D81</f>
        <v>0</v>
      </c>
      <c r="DT81" s="5">
        <f t="shared" ref="DT81:DT85" si="574">AQ81*$D81</f>
        <v>0</v>
      </c>
      <c r="DU81" s="5">
        <f t="shared" ref="DU81:DU85" si="575">AR81*$D81</f>
        <v>0</v>
      </c>
      <c r="DV81" s="5">
        <f t="shared" ref="DV81:DV85" si="576">AS81*$D81</f>
        <v>0</v>
      </c>
      <c r="DW81" s="5">
        <f t="shared" ref="DW81:DW85" si="577">AT81*$D81</f>
        <v>0</v>
      </c>
      <c r="DX81" s="5">
        <f t="shared" ref="DX81:DX85" si="578">AW81*$E81</f>
        <v>0</v>
      </c>
      <c r="DY81" s="5">
        <f t="shared" ref="DY81:DY85" si="579">AX81*$E81</f>
        <v>0</v>
      </c>
      <c r="DZ81" s="5">
        <f t="shared" ref="DZ81:DZ85" si="580">AY81*$E81</f>
        <v>0</v>
      </c>
      <c r="EA81" s="5">
        <f t="shared" ref="EA81:EA85" si="581">AZ81*$E81</f>
        <v>0</v>
      </c>
      <c r="EB81" s="5">
        <f t="shared" ref="EB81:EB85" si="582">BA81*$E81</f>
        <v>0</v>
      </c>
      <c r="EC81" s="5">
        <f t="shared" ref="EC81:EC85" si="583">BD81*$F81</f>
        <v>0</v>
      </c>
      <c r="ED81" s="5">
        <f t="shared" ref="ED81:ED85" si="584">BE81*$F81</f>
        <v>0</v>
      </c>
      <c r="EE81" s="5">
        <f t="shared" ref="EE81:EE85" si="585">BF81*$F81</f>
        <v>0</v>
      </c>
      <c r="EF81" s="5">
        <f t="shared" ref="EF81:EF85" si="586">BG81*$F81</f>
        <v>0</v>
      </c>
      <c r="EG81" s="5">
        <f t="shared" ref="EG81:EG85" si="587">BH81*$F81</f>
        <v>0</v>
      </c>
      <c r="EH81" s="5">
        <f t="shared" ref="EH81:EH85" si="588">BK81*$G81</f>
        <v>0</v>
      </c>
      <c r="EI81" s="5">
        <f t="shared" ref="EI81:EI85" si="589">BL81*$G81</f>
        <v>0</v>
      </c>
      <c r="EJ81" s="5">
        <f t="shared" ref="EJ81:EJ85" si="590">BM81*$G81</f>
        <v>0</v>
      </c>
      <c r="EK81" s="5">
        <f t="shared" ref="EK81:EK85" si="591">BN81*$G81</f>
        <v>0</v>
      </c>
      <c r="EL81" s="5">
        <f t="shared" ref="EL81:EL85" si="592">BO81*$G81</f>
        <v>0</v>
      </c>
      <c r="EM81" s="5">
        <f t="shared" ref="EM81:EM85" si="593">BR81*$H81</f>
        <v>0</v>
      </c>
      <c r="EN81" s="5">
        <f t="shared" ref="EN81:EN85" si="594">BS81*$H81</f>
        <v>0</v>
      </c>
      <c r="EO81" s="5">
        <f t="shared" ref="EO81:EO85" si="595">BT81*$H81</f>
        <v>0</v>
      </c>
      <c r="EP81" s="5">
        <f t="shared" ref="EP81:EP85" si="596">BU81*$H81</f>
        <v>0</v>
      </c>
      <c r="EQ81" s="5">
        <f t="shared" ref="EQ81:EQ85" si="597">BV81*$H81</f>
        <v>0</v>
      </c>
      <c r="ER81" s="5">
        <f t="shared" ref="ER81:ER85" si="598">BY81*$I81</f>
        <v>0</v>
      </c>
      <c r="ES81" s="5">
        <f t="shared" ref="ES81:ES85" si="599">BZ81*$I81</f>
        <v>0</v>
      </c>
      <c r="ET81" s="5">
        <f t="shared" ref="ET81:ET85" si="600">CA81*$I81</f>
        <v>0</v>
      </c>
      <c r="EU81" s="5">
        <f t="shared" ref="EU81:EU85" si="601">CB81*$I81</f>
        <v>0</v>
      </c>
      <c r="EV81" s="5">
        <f t="shared" ref="EV81:EV85" si="602">CC81*$I81</f>
        <v>0</v>
      </c>
      <c r="EW81" s="5">
        <f t="shared" ref="EW81:EW85" si="603">CF81*$J81</f>
        <v>0</v>
      </c>
      <c r="EX81" s="5">
        <f t="shared" ref="EX81:EX85" si="604">CG81*$J81</f>
        <v>0</v>
      </c>
      <c r="EY81" s="5">
        <f t="shared" ref="EY81:EY85" si="605">CH81*$J81</f>
        <v>0</v>
      </c>
      <c r="EZ81" s="5">
        <f t="shared" ref="EZ81:EZ85" si="606">CI81*$J81</f>
        <v>0</v>
      </c>
      <c r="FA81" s="5">
        <f t="shared" ref="FA81:FA85" si="607">CJ81*$J81</f>
        <v>0</v>
      </c>
      <c r="FB81" s="5">
        <f t="shared" ref="FB81:FB85" si="608">CM81*$K81</f>
        <v>0</v>
      </c>
      <c r="FC81" s="5">
        <f t="shared" ref="FC81:FC85" si="609">CN81*$K81</f>
        <v>0</v>
      </c>
      <c r="FD81" s="5">
        <f t="shared" ref="FD81:FD85" si="610">CO81*$K81</f>
        <v>0</v>
      </c>
      <c r="FE81" s="5">
        <f t="shared" ref="FE81:FE85" si="611">CP81*$K81</f>
        <v>0</v>
      </c>
      <c r="FF81" s="5">
        <f t="shared" ref="FF81:FF85" si="612">CQ81*$K81</f>
        <v>0</v>
      </c>
      <c r="FG81" s="5">
        <f t="shared" ref="FG81:FG85" si="613">CT81*$L81</f>
        <v>0</v>
      </c>
      <c r="FH81" s="5">
        <f t="shared" ref="FH81:FH85" si="614">CU81*$L81</f>
        <v>0</v>
      </c>
      <c r="FI81" s="5">
        <f t="shared" ref="FI81:FI85" si="615">CV81*$L81</f>
        <v>0</v>
      </c>
      <c r="FJ81" s="5">
        <f t="shared" ref="FJ81:FJ85" si="616">CW81*$L81</f>
        <v>0</v>
      </c>
      <c r="FK81" s="5">
        <f t="shared" ref="FK81:FK85" si="617">CX81*$L81</f>
        <v>0</v>
      </c>
      <c r="FL81" s="5">
        <f t="shared" ref="FL81:FL85" si="618">DA81*$M81</f>
        <v>0</v>
      </c>
      <c r="FM81" s="5">
        <f t="shared" ref="FM81:FM85" si="619">DB81*$M81</f>
        <v>0</v>
      </c>
      <c r="FN81" s="5">
        <f t="shared" ref="FN81:FN85" si="620">DC81*$M81</f>
        <v>0</v>
      </c>
      <c r="FO81" s="5">
        <f t="shared" ref="FO81:FO85" si="621">DD81*$M81</f>
        <v>0</v>
      </c>
      <c r="FP81" s="5">
        <f t="shared" ref="FP81:FP85" si="622">DE81*$M81</f>
        <v>0</v>
      </c>
    </row>
    <row r="82" spans="1:172" ht="20.100000000000001" customHeight="1" x14ac:dyDescent="0.3">
      <c r="A82" s="8" t="s">
        <v>303</v>
      </c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O82" s="58">
        <f>IFERROR('6'!O$43/Ciclo,0)</f>
        <v>0</v>
      </c>
      <c r="P82" s="58">
        <f>IFERROR('6'!P$43/Ciclo,0)</f>
        <v>0</v>
      </c>
      <c r="Q82" s="58">
        <f>IFERROR('6'!Q$43/Ciclo,0)</f>
        <v>0</v>
      </c>
      <c r="R82" s="58">
        <f>IFERROR('6'!R$43/Ciclo,0)</f>
        <v>0</v>
      </c>
      <c r="S82" s="58">
        <f>IFERROR('6'!S$43/Ciclo,0)</f>
        <v>0</v>
      </c>
      <c r="T82" s="58">
        <f>IFERROR('6'!T$43/Ciclo,0)</f>
        <v>0</v>
      </c>
      <c r="U82" s="58">
        <f>IFERROR('6'!U$43/Ciclo,0)</f>
        <v>0</v>
      </c>
      <c r="V82" s="58">
        <f>IFERROR('6'!V$43/Ciclo,0)</f>
        <v>0</v>
      </c>
      <c r="W82" s="5">
        <f>IFERROR('6'!W$43/Ciclo,0)</f>
        <v>0</v>
      </c>
      <c r="X82" s="5">
        <f>IFERROR('6'!X$43/Ciclo,0)</f>
        <v>0</v>
      </c>
      <c r="Y82" s="5">
        <f>IFERROR('6'!Y$43/Ciclo,0)</f>
        <v>0</v>
      </c>
      <c r="Z82" s="5">
        <f>IFERROR('6'!Z$43/Ciclo,0)</f>
        <v>0</v>
      </c>
      <c r="AB82" s="5">
        <f>IF($B$78="Producción",IF($B82&gt;=LI_A,$O82,0),0)</f>
        <v>0</v>
      </c>
      <c r="AC82" s="5">
        <f>IF($B$78="Producción",IF($B82&gt;=LI_B,IF($B82&lt;LS_B,$O82,0),0),0)</f>
        <v>0</v>
      </c>
      <c r="AD82" s="5">
        <f>IF($B$78="Producción",IF($B82&gt;=LI_C,IF($B82&lt;LS_C,$O82,0),0),0)</f>
        <v>0</v>
      </c>
      <c r="AE82" s="5">
        <f>IF($B$78="Producción",IF($B82&lt;LS_D,$O82,0),0)</f>
        <v>0</v>
      </c>
      <c r="AF82" s="5">
        <f t="shared" ref="AF82:AF85" si="623">IF($B$78="Crecimiento",$O82,0)</f>
        <v>0</v>
      </c>
      <c r="AI82" s="5">
        <f>IF($C$78="Producción",IF($C82&gt;=LI_A,$P82,0),0)</f>
        <v>0</v>
      </c>
      <c r="AJ82" s="5">
        <f>IF($C$78="Producción",IF($C82&gt;=LI_B,IF($C82&lt;LS_B,$P82,0),0),0)</f>
        <v>0</v>
      </c>
      <c r="AK82" s="5">
        <f>IF($C$78="Producción",IF($C82&gt;=LI_C,IF($C82&lt;LS_C,$P82,0),0),0)</f>
        <v>0</v>
      </c>
      <c r="AL82" s="5">
        <f>IF($C$78="Producción",IF($C82&lt;LS_D,$P82,0),0)</f>
        <v>0</v>
      </c>
      <c r="AM82" s="5">
        <f>IF($C$78="Crecimiento",$P82,0)</f>
        <v>0</v>
      </c>
      <c r="AP82" s="5">
        <f>IF($D$78="Producción",IF($D82&gt;=LI_A,$Q82,0),0)</f>
        <v>0</v>
      </c>
      <c r="AQ82" s="5">
        <f>IF($D$78="Producción",IF($D82&gt;=LI_B,IF($D82&lt;LS_B,$Q82,0),0),0)</f>
        <v>0</v>
      </c>
      <c r="AR82" s="5">
        <f>IF($D$78="Producción",IF($D82&gt;=LI_C,IF($D82&lt;LS_C,$Q82,0),0),0)</f>
        <v>0</v>
      </c>
      <c r="AS82" s="5">
        <f>IF($D$78="Producción",IF($D82&lt;LS_D,$Q82,0),0)</f>
        <v>0</v>
      </c>
      <c r="AT82" s="5">
        <f>IF($D$78="Crecimiento",IF($D82&gt;0,$Q82,0),0)</f>
        <v>0</v>
      </c>
      <c r="AW82" s="5">
        <f>IF($E$78="Producción",IF($E82&gt;=LI_A,$R82,0),0)</f>
        <v>0</v>
      </c>
      <c r="AX82" s="5">
        <f>IF($E$78="Producción",IF($E82&gt;=LI_B,IF($E82&lt;LS_B,$R82,0),0),0)</f>
        <v>0</v>
      </c>
      <c r="AY82" s="5">
        <f>IF($E$78="Producción",IF($E82&gt;=LI_C,IF($E82&lt;LS_C,$R82,0),0),0)</f>
        <v>0</v>
      </c>
      <c r="AZ82" s="5">
        <f>IF($E$78="Producción",IF($E82&lt;LS_D,$R82,0),0)</f>
        <v>0</v>
      </c>
      <c r="BA82" s="5">
        <f>IF($E$78="Crecimiento",$R82,0)</f>
        <v>0</v>
      </c>
      <c r="BD82" s="5">
        <f>IF($F$78="Producción",IF($F82&gt;=LI_A,$S82,0),0)</f>
        <v>0</v>
      </c>
      <c r="BE82" s="5">
        <f>IF($F$78="Producción",IF($F82&gt;=LI_B,IF($F82&lt;LS_B,$S82,0),0),0)</f>
        <v>0</v>
      </c>
      <c r="BF82" s="5">
        <f>IF($F$78="Producción",IF($F82&gt;=LI_C,IF($F82&lt;LS_C,$S82,0),0),0)</f>
        <v>0</v>
      </c>
      <c r="BG82" s="5">
        <f>IF($F$78="Producción",IF($F82&lt;LS_D,$S82,0),0)</f>
        <v>0</v>
      </c>
      <c r="BH82" s="5">
        <f>IF($F$78="Crecimiento",$S82,0)</f>
        <v>0</v>
      </c>
      <c r="BK82" s="5">
        <f>IF($G$78="Producción",IF($G82&gt;=LI_A,$T82,0),0)</f>
        <v>0</v>
      </c>
      <c r="BL82" s="5">
        <f>IF($G$78="Producción",IF($G82&gt;=LI_B,IF($G82&lt;LS_B,$T82,0),0),0)</f>
        <v>0</v>
      </c>
      <c r="BM82" s="5">
        <f>IF($G$78="Producción",IF($G82&gt;=LI_C,IF($G82&lt;LS_C,$T82,0),0),0)</f>
        <v>0</v>
      </c>
      <c r="BN82" s="5">
        <f>IF($G$78="Producción",IF($G82&lt;LS_D,$T82,0),0)</f>
        <v>0</v>
      </c>
      <c r="BO82" s="5">
        <f>IF($G$78="Crecimiento",$T82,0)</f>
        <v>0</v>
      </c>
      <c r="BR82" s="5">
        <f>IF($H$78="Producción",IF($H82&gt;=LI_A,$U82,0),0)</f>
        <v>0</v>
      </c>
      <c r="BS82" s="5">
        <f>IF($H$78="Producción",IF($H82&gt;=LI_B,IF($H82&lt;LS_B,$U82,0),0),0)</f>
        <v>0</v>
      </c>
      <c r="BT82" s="5">
        <f>IF($H$78="Producción",IF($H82&gt;=LI_C,IF($H82&lt;LS_C,$U82,0),0),0)</f>
        <v>0</v>
      </c>
      <c r="BU82" s="5">
        <f>IF($H$78="Producción",IF($H82&lt;LS_D,$U82,0),0)</f>
        <v>0</v>
      </c>
      <c r="BV82" s="5">
        <f>IF($H$78="Crecimiento",$T82,0)</f>
        <v>0</v>
      </c>
      <c r="BY82" s="5">
        <f>IF($I$78="Producción",IF($I82&gt;=LI_A,$V82,0),0)</f>
        <v>0</v>
      </c>
      <c r="BZ82" s="5">
        <f>IF($I$78="Producción",IF($I82&gt;=LI_B,IF($I82&lt;LS_B,$V82,0),0),0)</f>
        <v>0</v>
      </c>
      <c r="CA82" s="5">
        <f>IF($I$78="Producción",IF($I82&gt;=LI_C,IF($I82&lt;LS_C,$V82,0),0),0)</f>
        <v>0</v>
      </c>
      <c r="CB82" s="5">
        <f>IF($I$78="Producción",IF($I82&lt;LS_D,$V82,0),0)</f>
        <v>0</v>
      </c>
      <c r="CC82" s="5">
        <f>IF($I$78="Crecimiento",$V82,0)</f>
        <v>0</v>
      </c>
      <c r="CF82" s="5">
        <f>IF($J$78="Producción",IF($J82&gt;=LI_A,$W82,0),0)</f>
        <v>0</v>
      </c>
      <c r="CG82" s="5">
        <f>IF($J$78="Producción",IF($J82&gt;=LI_B,IF($J82&lt;LS_B,$W82,0),0),0)</f>
        <v>0</v>
      </c>
      <c r="CH82" s="5">
        <f>IF($J$78="Producción",IF($J82&gt;=LI_C,IF($J82&lt;LS_C,$W82,0),0),0)</f>
        <v>0</v>
      </c>
      <c r="CI82" s="5">
        <f>IF($J$78="Producción",IF($J82&lt;LS_D,$W82,0),0)</f>
        <v>0</v>
      </c>
      <c r="CJ82" s="5">
        <f>IF($J$78="Crecimiento",$W82,0)</f>
        <v>0</v>
      </c>
      <c r="CM82" s="5">
        <f>IF($K$78="Producción",IF($K82&gt;=LI_A,$X82,0),0)</f>
        <v>0</v>
      </c>
      <c r="CN82" s="5">
        <f>IF($K$78="Producción",IF($K82&gt;=LI_B,IF($K82&lt;LS_B,$X82,0),0),0)</f>
        <v>0</v>
      </c>
      <c r="CO82" s="5">
        <f>IF($K$78="Producción",IF($K82&gt;=LI_C,IF($K82&lt;LS_C,$X82,0),0),0)</f>
        <v>0</v>
      </c>
      <c r="CP82" s="5">
        <f>IF($K$78="Producción",IF($K82&lt;LS_D,$X82,0),0)</f>
        <v>0</v>
      </c>
      <c r="CQ82" s="5">
        <f>IF($K$78="Crecimiento",$X82,0)</f>
        <v>0</v>
      </c>
      <c r="CT82" s="5">
        <f>IF($L$78="Producción",IF($L82&gt;=LI_A,$Y82,0),0)</f>
        <v>0</v>
      </c>
      <c r="CU82" s="5">
        <f>IF($L$78="Producción",IF($L82&gt;=LI_B,IF($L82&lt;LS_B,$Y82,0),0),0)</f>
        <v>0</v>
      </c>
      <c r="CV82" s="5">
        <f>IF($L$78="Producción",IF($L82&gt;=LI_C,IF($L82&lt;LS_C,$Y82,0),0),0)</f>
        <v>0</v>
      </c>
      <c r="CW82" s="5">
        <f>IF($L$78="Producción",IF($L82&lt;LS_D,$Y82,0),0)</f>
        <v>0</v>
      </c>
      <c r="CX82" s="5">
        <f>IF($L$78="Crecimiento",$Y82,0)</f>
        <v>0</v>
      </c>
      <c r="DA82" s="5">
        <f>IF($M$78="Producción",IF($M82&gt;=LI_A,$Z82,0),0)</f>
        <v>0</v>
      </c>
      <c r="DB82" s="5">
        <f>IF($M$78="Producción",IF($M82&gt;=LI_B,IF($M82&lt;LS_B,$Z82,0),0),0)</f>
        <v>0</v>
      </c>
      <c r="DC82" s="5">
        <f>IF($M$78="Producción",IF($M82&gt;=LI_C,IF($M82&lt;LS_C,$Z82,0),0),0)</f>
        <v>0</v>
      </c>
      <c r="DD82" s="5">
        <f>IF($M$78="Producción",IF($M82&lt;LS_D,$Z82,0),0)</f>
        <v>0</v>
      </c>
      <c r="DE82" s="5">
        <f>IF($M$78="Crecimiento",$Z82,0)</f>
        <v>0</v>
      </c>
      <c r="DI82" s="5">
        <f t="shared" si="563"/>
        <v>0</v>
      </c>
      <c r="DJ82" s="5">
        <f t="shared" si="564"/>
        <v>0</v>
      </c>
      <c r="DK82" s="5">
        <f t="shared" si="565"/>
        <v>0</v>
      </c>
      <c r="DL82" s="5">
        <f t="shared" si="566"/>
        <v>0</v>
      </c>
      <c r="DM82" s="5">
        <f t="shared" si="567"/>
        <v>0</v>
      </c>
      <c r="DN82" s="5">
        <f t="shared" si="568"/>
        <v>0</v>
      </c>
      <c r="DO82" s="5">
        <f t="shared" si="569"/>
        <v>0</v>
      </c>
      <c r="DP82" s="5">
        <f t="shared" si="570"/>
        <v>0</v>
      </c>
      <c r="DQ82" s="5">
        <f t="shared" si="571"/>
        <v>0</v>
      </c>
      <c r="DR82" s="5">
        <f t="shared" si="572"/>
        <v>0</v>
      </c>
      <c r="DS82" s="5">
        <f t="shared" si="573"/>
        <v>0</v>
      </c>
      <c r="DT82" s="5">
        <f t="shared" si="574"/>
        <v>0</v>
      </c>
      <c r="DU82" s="5">
        <f t="shared" si="575"/>
        <v>0</v>
      </c>
      <c r="DV82" s="5">
        <f t="shared" si="576"/>
        <v>0</v>
      </c>
      <c r="DW82" s="5">
        <f t="shared" si="577"/>
        <v>0</v>
      </c>
      <c r="DX82" s="5">
        <f t="shared" si="578"/>
        <v>0</v>
      </c>
      <c r="DY82" s="5">
        <f t="shared" si="579"/>
        <v>0</v>
      </c>
      <c r="DZ82" s="5">
        <f t="shared" si="580"/>
        <v>0</v>
      </c>
      <c r="EA82" s="5">
        <f t="shared" si="581"/>
        <v>0</v>
      </c>
      <c r="EB82" s="5">
        <f t="shared" si="582"/>
        <v>0</v>
      </c>
      <c r="EC82" s="5">
        <f t="shared" si="583"/>
        <v>0</v>
      </c>
      <c r="ED82" s="5">
        <f t="shared" si="584"/>
        <v>0</v>
      </c>
      <c r="EE82" s="5">
        <f t="shared" si="585"/>
        <v>0</v>
      </c>
      <c r="EF82" s="5">
        <f t="shared" si="586"/>
        <v>0</v>
      </c>
      <c r="EG82" s="5">
        <f t="shared" si="587"/>
        <v>0</v>
      </c>
      <c r="EH82" s="5">
        <f t="shared" si="588"/>
        <v>0</v>
      </c>
      <c r="EI82" s="5">
        <f t="shared" si="589"/>
        <v>0</v>
      </c>
      <c r="EJ82" s="5">
        <f t="shared" si="590"/>
        <v>0</v>
      </c>
      <c r="EK82" s="5">
        <f t="shared" si="591"/>
        <v>0</v>
      </c>
      <c r="EL82" s="5">
        <f t="shared" si="592"/>
        <v>0</v>
      </c>
      <c r="EM82" s="5">
        <f t="shared" si="593"/>
        <v>0</v>
      </c>
      <c r="EN82" s="5">
        <f t="shared" si="594"/>
        <v>0</v>
      </c>
      <c r="EO82" s="5">
        <f t="shared" si="595"/>
        <v>0</v>
      </c>
      <c r="EP82" s="5">
        <f t="shared" si="596"/>
        <v>0</v>
      </c>
      <c r="EQ82" s="5">
        <f t="shared" si="597"/>
        <v>0</v>
      </c>
      <c r="ER82" s="5">
        <f t="shared" si="598"/>
        <v>0</v>
      </c>
      <c r="ES82" s="5">
        <f t="shared" si="599"/>
        <v>0</v>
      </c>
      <c r="ET82" s="5">
        <f t="shared" si="600"/>
        <v>0</v>
      </c>
      <c r="EU82" s="5">
        <f t="shared" si="601"/>
        <v>0</v>
      </c>
      <c r="EV82" s="5">
        <f t="shared" si="602"/>
        <v>0</v>
      </c>
      <c r="EW82" s="5">
        <f t="shared" si="603"/>
        <v>0</v>
      </c>
      <c r="EX82" s="5">
        <f t="shared" si="604"/>
        <v>0</v>
      </c>
      <c r="EY82" s="5">
        <f t="shared" si="605"/>
        <v>0</v>
      </c>
      <c r="EZ82" s="5">
        <f t="shared" si="606"/>
        <v>0</v>
      </c>
      <c r="FA82" s="5">
        <f t="shared" si="607"/>
        <v>0</v>
      </c>
      <c r="FB82" s="5">
        <f t="shared" si="608"/>
        <v>0</v>
      </c>
      <c r="FC82" s="5">
        <f t="shared" si="609"/>
        <v>0</v>
      </c>
      <c r="FD82" s="5">
        <f t="shared" si="610"/>
        <v>0</v>
      </c>
      <c r="FE82" s="5">
        <f t="shared" si="611"/>
        <v>0</v>
      </c>
      <c r="FF82" s="5">
        <f t="shared" si="612"/>
        <v>0</v>
      </c>
      <c r="FG82" s="5">
        <f t="shared" si="613"/>
        <v>0</v>
      </c>
      <c r="FH82" s="5">
        <f t="shared" si="614"/>
        <v>0</v>
      </c>
      <c r="FI82" s="5">
        <f t="shared" si="615"/>
        <v>0</v>
      </c>
      <c r="FJ82" s="5">
        <f t="shared" si="616"/>
        <v>0</v>
      </c>
      <c r="FK82" s="5">
        <f t="shared" si="617"/>
        <v>0</v>
      </c>
      <c r="FL82" s="5">
        <f t="shared" si="618"/>
        <v>0</v>
      </c>
      <c r="FM82" s="5">
        <f t="shared" si="619"/>
        <v>0</v>
      </c>
      <c r="FN82" s="5">
        <f t="shared" si="620"/>
        <v>0</v>
      </c>
      <c r="FO82" s="5">
        <f t="shared" si="621"/>
        <v>0</v>
      </c>
      <c r="FP82" s="5">
        <f t="shared" si="622"/>
        <v>0</v>
      </c>
    </row>
    <row r="83" spans="1:172" ht="20.100000000000001" customHeight="1" x14ac:dyDescent="0.3">
      <c r="A83" s="8" t="str">
        <f>IF(Ciclo&gt;2,"Surco 3","NA")</f>
        <v>Surco 3</v>
      </c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O83" s="58">
        <f>IF($A83="NA",0,IFERROR('6'!O$43/Ciclo,0))</f>
        <v>0</v>
      </c>
      <c r="P83" s="58">
        <f>IF($A83="NA",0,IFERROR('6'!P$43/Ciclo,0))</f>
        <v>0</v>
      </c>
      <c r="Q83" s="58">
        <f>IF($A83="NA",0,IFERROR('6'!Q$43/Ciclo,0))</f>
        <v>0</v>
      </c>
      <c r="R83" s="58">
        <f>IF($A83="NA",0,IFERROR('6'!R$43/Ciclo,0))</f>
        <v>0</v>
      </c>
      <c r="S83" s="58">
        <f>IF($A83="NA",0,IFERROR('6'!S$43/Ciclo,0))</f>
        <v>0</v>
      </c>
      <c r="T83" s="58">
        <f>IF($A83="NA",0,IFERROR('6'!T$43/Ciclo,0))</f>
        <v>0</v>
      </c>
      <c r="U83" s="58">
        <f>IF($A83="NA",0,IFERROR('6'!U$43/Ciclo,0))</f>
        <v>0</v>
      </c>
      <c r="V83" s="58">
        <f>IF($A83="NA",0,IFERROR('6'!V$43/Ciclo,0))</f>
        <v>0</v>
      </c>
      <c r="W83" s="5">
        <f>IF($A83="NA",0,IFERROR('6'!W$43/Ciclo,0))</f>
        <v>0</v>
      </c>
      <c r="X83" s="5">
        <f>IF($A83="NA",0,IFERROR('6'!X$43/Ciclo,0))</f>
        <v>0</v>
      </c>
      <c r="Y83" s="5">
        <f>IF($A83="NA",0,IFERROR('6'!Y$43/Ciclo,0))</f>
        <v>0</v>
      </c>
      <c r="Z83" s="5">
        <f>IF($A83="NA",0,IFERROR('6'!Z$43/Ciclo,0))</f>
        <v>0</v>
      </c>
      <c r="AB83" s="5">
        <f>IF($B$78="Producción",IF($B83&gt;=LI_A,$O83,0),0)</f>
        <v>0</v>
      </c>
      <c r="AC83" s="5">
        <f>IF($B$78="Producción",IF($B83&gt;=LI_B,IF($B83&lt;LS_B,$O83,0),0),0)</f>
        <v>0</v>
      </c>
      <c r="AD83" s="5">
        <f>IF($B$78="Producción",IF($B83&gt;=LI_C,IF($B83&lt;LS_C,$O83,0),0),0)</f>
        <v>0</v>
      </c>
      <c r="AE83" s="5">
        <f>IF($B$78="Producción",IF($B83&lt;LS_D,$O83,0),0)</f>
        <v>0</v>
      </c>
      <c r="AF83" s="5">
        <f t="shared" si="623"/>
        <v>0</v>
      </c>
      <c r="AI83" s="5">
        <f>IF($C$78="Producción",IF($C83&gt;=LI_A,$P83,0),0)</f>
        <v>0</v>
      </c>
      <c r="AJ83" s="5">
        <f>IF($C$78="Producción",IF($C83&gt;=LI_B,IF($C83&lt;LS_B,$P83,0),0),0)</f>
        <v>0</v>
      </c>
      <c r="AK83" s="5">
        <f>IF($C$78="Producción",IF($C83&gt;=LI_C,IF($C83&lt;LS_C,$P83,0),0),0)</f>
        <v>0</v>
      </c>
      <c r="AL83" s="5">
        <f>IF($C$78="Producción",IF($C83&lt;LS_D,$P83,0),0)</f>
        <v>0</v>
      </c>
      <c r="AM83" s="5">
        <f>IF($C$78="Crecimiento",$P83,0)</f>
        <v>0</v>
      </c>
      <c r="AP83" s="5">
        <f>IF($D$78="Producción",IF($D83&gt;=LI_A,$Q83,0),0)</f>
        <v>0</v>
      </c>
      <c r="AQ83" s="5">
        <f>IF($D$78="Producción",IF($D83&gt;=LI_B,IF($D83&lt;LS_B,$Q83,0),0),0)</f>
        <v>0</v>
      </c>
      <c r="AR83" s="5">
        <f>IF($D$78="Producción",IF($D83&gt;=LI_C,IF($D83&lt;LS_C,$Q83,0),0),0)</f>
        <v>0</v>
      </c>
      <c r="AS83" s="5">
        <f>IF($D$78="Producción",IF($D83&lt;LS_D,$Q83,0),0)</f>
        <v>0</v>
      </c>
      <c r="AT83" s="5">
        <f>IF($D$78="Crecimiento",IF($D83&gt;0,$Q83,0),0)</f>
        <v>0</v>
      </c>
      <c r="AW83" s="5">
        <f>IF($E$78="Producción",IF($E83&gt;=LI_A,$R83,0),0)</f>
        <v>0</v>
      </c>
      <c r="AX83" s="5">
        <f>IF($E$78="Producción",IF($E83&gt;=LI_B,IF($E83&lt;LS_B,$R83,0),0),0)</f>
        <v>0</v>
      </c>
      <c r="AY83" s="5">
        <f>IF($E$78="Producción",IF($E83&gt;=LI_C,IF($E83&lt;LS_C,$R83,0),0),0)</f>
        <v>0</v>
      </c>
      <c r="AZ83" s="5">
        <f>IF($E$78="Producción",IF($E83&lt;LS_D,$R83,0),0)</f>
        <v>0</v>
      </c>
      <c r="BA83" s="5">
        <f>IF($E$78="Crecimiento",$R83,0)</f>
        <v>0</v>
      </c>
      <c r="BD83" s="5">
        <f>IF($F$78="Producción",IF($F83&gt;=LI_A,$S83,0),0)</f>
        <v>0</v>
      </c>
      <c r="BE83" s="5">
        <f>IF($F$78="Producción",IF($F83&gt;=LI_B,IF($F83&lt;LS_B,$S83,0),0),0)</f>
        <v>0</v>
      </c>
      <c r="BF83" s="5">
        <f>IF($F$78="Producción",IF($F83&gt;=LI_C,IF($F83&lt;LS_C,$S83,0),0),0)</f>
        <v>0</v>
      </c>
      <c r="BG83" s="5">
        <f>IF($F$78="Producción",IF($F83&lt;LS_D,$S83,0),0)</f>
        <v>0</v>
      </c>
      <c r="BH83" s="5">
        <f>IF($F$78="Crecimiento",$S83,0)</f>
        <v>0</v>
      </c>
      <c r="BK83" s="5">
        <f>IF($G$78="Producción",IF($G83&gt;=LI_A,$T83,0),0)</f>
        <v>0</v>
      </c>
      <c r="BL83" s="5">
        <f>IF($G$78="Producción",IF($G83&gt;=LI_B,IF($G83&lt;LS_B,$T83,0),0),0)</f>
        <v>0</v>
      </c>
      <c r="BM83" s="5">
        <f>IF($G$78="Producción",IF($G83&gt;=LI_C,IF($G83&lt;LS_C,$T83,0),0),0)</f>
        <v>0</v>
      </c>
      <c r="BN83" s="5">
        <f>IF($G$78="Producción",IF($G83&lt;LS_D,$T83,0),0)</f>
        <v>0</v>
      </c>
      <c r="BO83" s="5">
        <f>IF($G$78="Crecimiento",$T83,0)</f>
        <v>0</v>
      </c>
      <c r="BR83" s="5">
        <f>IF($H$78="Producción",IF($H83&gt;=LI_A,$U83,0),0)</f>
        <v>0</v>
      </c>
      <c r="BS83" s="5">
        <f>IF($H$78="Producción",IF($H83&gt;=LI_B,IF($H83&lt;LS_B,$U83,0),0),0)</f>
        <v>0</v>
      </c>
      <c r="BT83" s="5">
        <f>IF($H$78="Producción",IF($H83&gt;=LI_C,IF($H83&lt;LS_C,$U83,0),0),0)</f>
        <v>0</v>
      </c>
      <c r="BU83" s="5">
        <f>IF($H$78="Producción",IF($H83&lt;LS_D,$U83,0),0)</f>
        <v>0</v>
      </c>
      <c r="BV83" s="5">
        <f>IF($H$78="Crecimiento",$T83,0)</f>
        <v>0</v>
      </c>
      <c r="BY83" s="5">
        <f>IF($I$78="Producción",IF($I83&gt;=LI_A,$V83,0),0)</f>
        <v>0</v>
      </c>
      <c r="BZ83" s="5">
        <f>IF($I$78="Producción",IF($I83&gt;=LI_B,IF($I83&lt;LS_B,$V83,0),0),0)</f>
        <v>0</v>
      </c>
      <c r="CA83" s="5">
        <f>IF($I$78="Producción",IF($I83&gt;=LI_C,IF($I83&lt;LS_C,$V83,0),0),0)</f>
        <v>0</v>
      </c>
      <c r="CB83" s="5">
        <f>IF($I$78="Producción",IF($I83&lt;LS_D,$V83,0),0)</f>
        <v>0</v>
      </c>
      <c r="CC83" s="5">
        <f>IF($I$78="Crecimiento",$V83,0)</f>
        <v>0</v>
      </c>
      <c r="CF83" s="5">
        <f>IF($J$78="Producción",IF($J83&gt;=LI_A,$W83,0),0)</f>
        <v>0</v>
      </c>
      <c r="CG83" s="5">
        <f>IF($J$78="Producción",IF($J83&gt;=LI_B,IF($J83&lt;LS_B,$W83,0),0),0)</f>
        <v>0</v>
      </c>
      <c r="CH83" s="5">
        <f>IF($J$78="Producción",IF($J83&gt;=LI_C,IF($J83&lt;LS_C,$W83,0),0),0)</f>
        <v>0</v>
      </c>
      <c r="CI83" s="5">
        <f>IF($J$78="Producción",IF($J83&lt;LS_D,$W83,0),0)</f>
        <v>0</v>
      </c>
      <c r="CJ83" s="5">
        <f>IF($J$78="Crecimiento",$W83,0)</f>
        <v>0</v>
      </c>
      <c r="CM83" s="5">
        <f>IF($K$78="Producción",IF($K83&gt;=LI_A,$X83,0),0)</f>
        <v>0</v>
      </c>
      <c r="CN83" s="5">
        <f>IF($K$78="Producción",IF($K83&gt;=LI_B,IF($K83&lt;LS_B,$X83,0),0),0)</f>
        <v>0</v>
      </c>
      <c r="CO83" s="5">
        <f>IF($K$78="Producción",IF($K83&gt;=LI_C,IF($K83&lt;LS_C,$X83,0),0),0)</f>
        <v>0</v>
      </c>
      <c r="CP83" s="5">
        <f>IF($K$78="Producción",IF($K83&lt;LS_D,$X83,0),0)</f>
        <v>0</v>
      </c>
      <c r="CQ83" s="5">
        <f>IF($K$78="Crecimiento",$X83,0)</f>
        <v>0</v>
      </c>
      <c r="CT83" s="5">
        <f>IF($L$78="Producción",IF($L83&gt;=LI_A,$Y83,0),0)</f>
        <v>0</v>
      </c>
      <c r="CU83" s="5">
        <f>IF($L$78="Producción",IF($L83&gt;=LI_B,IF($L83&lt;LS_B,$Y83,0),0),0)</f>
        <v>0</v>
      </c>
      <c r="CV83" s="5">
        <f>IF($L$78="Producción",IF($L83&gt;=LI_C,IF($L83&lt;LS_C,$Y83,0),0),0)</f>
        <v>0</v>
      </c>
      <c r="CW83" s="5">
        <f>IF($L$78="Producción",IF($L83&lt;LS_D,$Y83,0),0)</f>
        <v>0</v>
      </c>
      <c r="CX83" s="5">
        <f>IF($L$78="Crecimiento",$Y83,0)</f>
        <v>0</v>
      </c>
      <c r="DA83" s="5">
        <f>IF($M$78="Producción",IF($M83&gt;=LI_A,$Z83,0),0)</f>
        <v>0</v>
      </c>
      <c r="DB83" s="5">
        <f>IF($M$78="Producción",IF($M83&gt;=LI_B,IF($M83&lt;LS_B,$Z83,0),0),0)</f>
        <v>0</v>
      </c>
      <c r="DC83" s="5">
        <f>IF($M$78="Producción",IF($M83&gt;=LI_C,IF($M83&lt;LS_C,$Z83,0),0),0)</f>
        <v>0</v>
      </c>
      <c r="DD83" s="5">
        <f>IF($M$78="Producción",IF($M83&lt;LS_D,$Z83,0),0)</f>
        <v>0</v>
      </c>
      <c r="DE83" s="5">
        <f>IF($M$78="Crecimiento",$Z83,0)</f>
        <v>0</v>
      </c>
      <c r="DI83" s="5">
        <f t="shared" si="563"/>
        <v>0</v>
      </c>
      <c r="DJ83" s="5">
        <f t="shared" si="564"/>
        <v>0</v>
      </c>
      <c r="DK83" s="5">
        <f t="shared" si="565"/>
        <v>0</v>
      </c>
      <c r="DL83" s="5">
        <f t="shared" si="566"/>
        <v>0</v>
      </c>
      <c r="DM83" s="5">
        <f t="shared" si="567"/>
        <v>0</v>
      </c>
      <c r="DN83" s="5">
        <f t="shared" si="568"/>
        <v>0</v>
      </c>
      <c r="DO83" s="5">
        <f t="shared" si="569"/>
        <v>0</v>
      </c>
      <c r="DP83" s="5">
        <f t="shared" si="570"/>
        <v>0</v>
      </c>
      <c r="DQ83" s="5">
        <f t="shared" si="571"/>
        <v>0</v>
      </c>
      <c r="DR83" s="5">
        <f t="shared" si="572"/>
        <v>0</v>
      </c>
      <c r="DS83" s="5">
        <f t="shared" si="573"/>
        <v>0</v>
      </c>
      <c r="DT83" s="5">
        <f t="shared" si="574"/>
        <v>0</v>
      </c>
      <c r="DU83" s="5">
        <f t="shared" si="575"/>
        <v>0</v>
      </c>
      <c r="DV83" s="5">
        <f t="shared" si="576"/>
        <v>0</v>
      </c>
      <c r="DW83" s="5">
        <f t="shared" si="577"/>
        <v>0</v>
      </c>
      <c r="DX83" s="5">
        <f t="shared" si="578"/>
        <v>0</v>
      </c>
      <c r="DY83" s="5">
        <f t="shared" si="579"/>
        <v>0</v>
      </c>
      <c r="DZ83" s="5">
        <f t="shared" si="580"/>
        <v>0</v>
      </c>
      <c r="EA83" s="5">
        <f t="shared" si="581"/>
        <v>0</v>
      </c>
      <c r="EB83" s="5">
        <f t="shared" si="582"/>
        <v>0</v>
      </c>
      <c r="EC83" s="5">
        <f t="shared" si="583"/>
        <v>0</v>
      </c>
      <c r="ED83" s="5">
        <f t="shared" si="584"/>
        <v>0</v>
      </c>
      <c r="EE83" s="5">
        <f t="shared" si="585"/>
        <v>0</v>
      </c>
      <c r="EF83" s="5">
        <f t="shared" si="586"/>
        <v>0</v>
      </c>
      <c r="EG83" s="5">
        <f t="shared" si="587"/>
        <v>0</v>
      </c>
      <c r="EH83" s="5">
        <f t="shared" si="588"/>
        <v>0</v>
      </c>
      <c r="EI83" s="5">
        <f t="shared" si="589"/>
        <v>0</v>
      </c>
      <c r="EJ83" s="5">
        <f t="shared" si="590"/>
        <v>0</v>
      </c>
      <c r="EK83" s="5">
        <f t="shared" si="591"/>
        <v>0</v>
      </c>
      <c r="EL83" s="5">
        <f t="shared" si="592"/>
        <v>0</v>
      </c>
      <c r="EM83" s="5">
        <f t="shared" si="593"/>
        <v>0</v>
      </c>
      <c r="EN83" s="5">
        <f t="shared" si="594"/>
        <v>0</v>
      </c>
      <c r="EO83" s="5">
        <f t="shared" si="595"/>
        <v>0</v>
      </c>
      <c r="EP83" s="5">
        <f t="shared" si="596"/>
        <v>0</v>
      </c>
      <c r="EQ83" s="5">
        <f t="shared" si="597"/>
        <v>0</v>
      </c>
      <c r="ER83" s="5">
        <f t="shared" si="598"/>
        <v>0</v>
      </c>
      <c r="ES83" s="5">
        <f t="shared" si="599"/>
        <v>0</v>
      </c>
      <c r="ET83" s="5">
        <f t="shared" si="600"/>
        <v>0</v>
      </c>
      <c r="EU83" s="5">
        <f t="shared" si="601"/>
        <v>0</v>
      </c>
      <c r="EV83" s="5">
        <f t="shared" si="602"/>
        <v>0</v>
      </c>
      <c r="EW83" s="5">
        <f t="shared" si="603"/>
        <v>0</v>
      </c>
      <c r="EX83" s="5">
        <f t="shared" si="604"/>
        <v>0</v>
      </c>
      <c r="EY83" s="5">
        <f t="shared" si="605"/>
        <v>0</v>
      </c>
      <c r="EZ83" s="5">
        <f t="shared" si="606"/>
        <v>0</v>
      </c>
      <c r="FA83" s="5">
        <f t="shared" si="607"/>
        <v>0</v>
      </c>
      <c r="FB83" s="5">
        <f t="shared" si="608"/>
        <v>0</v>
      </c>
      <c r="FC83" s="5">
        <f t="shared" si="609"/>
        <v>0</v>
      </c>
      <c r="FD83" s="5">
        <f t="shared" si="610"/>
        <v>0</v>
      </c>
      <c r="FE83" s="5">
        <f t="shared" si="611"/>
        <v>0</v>
      </c>
      <c r="FF83" s="5">
        <f t="shared" si="612"/>
        <v>0</v>
      </c>
      <c r="FG83" s="5">
        <f t="shared" si="613"/>
        <v>0</v>
      </c>
      <c r="FH83" s="5">
        <f t="shared" si="614"/>
        <v>0</v>
      </c>
      <c r="FI83" s="5">
        <f t="shared" si="615"/>
        <v>0</v>
      </c>
      <c r="FJ83" s="5">
        <f t="shared" si="616"/>
        <v>0</v>
      </c>
      <c r="FK83" s="5">
        <f t="shared" si="617"/>
        <v>0</v>
      </c>
      <c r="FL83" s="5">
        <f t="shared" si="618"/>
        <v>0</v>
      </c>
      <c r="FM83" s="5">
        <f t="shared" si="619"/>
        <v>0</v>
      </c>
      <c r="FN83" s="5">
        <f t="shared" si="620"/>
        <v>0</v>
      </c>
      <c r="FO83" s="5">
        <f t="shared" si="621"/>
        <v>0</v>
      </c>
      <c r="FP83" s="5">
        <f t="shared" si="622"/>
        <v>0</v>
      </c>
    </row>
    <row r="84" spans="1:172" ht="20.100000000000001" customHeight="1" x14ac:dyDescent="0.3">
      <c r="A84" s="8" t="str">
        <f>IF(Ciclo=4,"Surco 4",IF(Ciclo=5,"Surco 4","NA"))</f>
        <v>NA</v>
      </c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O84" s="58">
        <f>IF($A84="NA",0,IFERROR('6'!O$43/Ciclo,0))</f>
        <v>0</v>
      </c>
      <c r="P84" s="58">
        <f>IF($A84="NA",0,IFERROR('6'!P$43/Ciclo,0))</f>
        <v>0</v>
      </c>
      <c r="Q84" s="58">
        <f>IF($A84="NA",0,IFERROR('6'!Q$43/Ciclo,0))</f>
        <v>0</v>
      </c>
      <c r="R84" s="58">
        <f>IF($A84="NA",0,IFERROR('6'!R$43/Ciclo,0))</f>
        <v>0</v>
      </c>
      <c r="S84" s="58">
        <f>IF($A84="NA",0,IFERROR('6'!S$43/Ciclo,0))</f>
        <v>0</v>
      </c>
      <c r="T84" s="58">
        <f>IF($A84="NA",0,IFERROR('6'!T$43/Ciclo,0))</f>
        <v>0</v>
      </c>
      <c r="U84" s="58">
        <f>IF($A84="NA",0,IFERROR('6'!U$43/Ciclo,0))</f>
        <v>0</v>
      </c>
      <c r="V84" s="58">
        <f>IF($A84="NA",0,IFERROR('6'!V$43/Ciclo,0))</f>
        <v>0</v>
      </c>
      <c r="W84" s="5">
        <f>IF($A84="NA",0,IFERROR('6'!W$43/Ciclo,0))</f>
        <v>0</v>
      </c>
      <c r="X84" s="5">
        <f>IF($A84="NA",0,IFERROR('6'!X$43/Ciclo,0))</f>
        <v>0</v>
      </c>
      <c r="Y84" s="5">
        <f>IF($A84="NA",0,IFERROR('6'!Y$43/Ciclo,0))</f>
        <v>0</v>
      </c>
      <c r="Z84" s="5">
        <f>IF($A84="NA",0,IFERROR('6'!Z$43/Ciclo,0))</f>
        <v>0</v>
      </c>
      <c r="AB84" s="5">
        <f>IF($B$78="Producción",IF($B84&gt;=LI_A,$O84,0),0)</f>
        <v>0</v>
      </c>
      <c r="AC84" s="5">
        <f>IF($B$78="Producción",IF($B84&gt;=LI_B,IF($B84&lt;LS_B,$O84,0),0),0)</f>
        <v>0</v>
      </c>
      <c r="AD84" s="5">
        <f>IF($B$78="Producción",IF($B84&gt;=LI_C,IF($B84&lt;LS_C,$O84,0),0),0)</f>
        <v>0</v>
      </c>
      <c r="AE84" s="5">
        <f>IF($B$78="Producción",IF($B84&lt;LS_D,$O84,0),0)</f>
        <v>0</v>
      </c>
      <c r="AF84" s="5">
        <f t="shared" si="623"/>
        <v>0</v>
      </c>
      <c r="AI84" s="5">
        <f>IF($C$78="Producción",IF($C84&gt;=LI_A,$P84,0),0)</f>
        <v>0</v>
      </c>
      <c r="AJ84" s="5">
        <f>IF($C$78="Producción",IF($C84&gt;=LI_B,IF($C84&lt;LS_B,$P84,0),0),0)</f>
        <v>0</v>
      </c>
      <c r="AK84" s="5">
        <f>IF($C$78="Producción",IF($C84&gt;=LI_C,IF($C84&lt;LS_C,$P84,0),0),0)</f>
        <v>0</v>
      </c>
      <c r="AL84" s="5">
        <f>IF($C$78="Producción",IF($C84&lt;LS_D,$P84,0),0)</f>
        <v>0</v>
      </c>
      <c r="AM84" s="5">
        <f>IF($C$78="Crecimiento",$P84,0)</f>
        <v>0</v>
      </c>
      <c r="AP84" s="5">
        <f>IF($D$78="Producción",IF($D84&gt;=LI_A,$Q84,0),0)</f>
        <v>0</v>
      </c>
      <c r="AQ84" s="5">
        <f>IF($D$78="Producción",IF($D84&gt;=LI_B,IF($D84&lt;LS_B,$Q84,0),0),0)</f>
        <v>0</v>
      </c>
      <c r="AR84" s="5">
        <f>IF($D$78="Producción",IF($D84&gt;=LI_C,IF($D84&lt;LS_C,$Q84,0),0),0)</f>
        <v>0</v>
      </c>
      <c r="AS84" s="5">
        <f>IF($D$78="Producción",IF($D84&lt;LS_D,$Q84,0),0)</f>
        <v>0</v>
      </c>
      <c r="AT84" s="5">
        <f>IF($D$78="Crecimiento",IF($D84&gt;0,$Q84,0),0)</f>
        <v>0</v>
      </c>
      <c r="AW84" s="5">
        <f>IF($E$78="Producción",IF($E84&gt;=LI_A,$R84,0),0)</f>
        <v>0</v>
      </c>
      <c r="AX84" s="5">
        <f>IF($E$78="Producción",IF($E84&gt;=LI_B,IF($E84&lt;LS_B,$R84,0),0),0)</f>
        <v>0</v>
      </c>
      <c r="AY84" s="5">
        <f>IF($E$78="Producción",IF($E84&gt;=LI_C,IF($E84&lt;LS_C,$R84,0),0),0)</f>
        <v>0</v>
      </c>
      <c r="AZ84" s="5">
        <f>IF($E$78="Producción",IF($E84&lt;LS_D,$R84,0),0)</f>
        <v>0</v>
      </c>
      <c r="BA84" s="5">
        <f>IF($E$78="Crecimiento",$R84,0)</f>
        <v>0</v>
      </c>
      <c r="BD84" s="5">
        <f>IF($F$78="Producción",IF($F84&gt;=LI_A,$S84,0),0)</f>
        <v>0</v>
      </c>
      <c r="BE84" s="5">
        <f>IF($F$78="Producción",IF($F84&gt;=LI_B,IF($F84&lt;LS_B,$S84,0),0),0)</f>
        <v>0</v>
      </c>
      <c r="BF84" s="5">
        <f>IF($F$78="Producción",IF($F84&gt;=LI_C,IF($F84&lt;LS_C,$S84,0),0),0)</f>
        <v>0</v>
      </c>
      <c r="BG84" s="5">
        <f>IF($F$78="Producción",IF($F84&lt;LS_D,$S84,0),0)</f>
        <v>0</v>
      </c>
      <c r="BH84" s="5">
        <f>IF($F$78="Crecimiento",$S84,0)</f>
        <v>0</v>
      </c>
      <c r="BK84" s="5">
        <f>IF($G$78="Producción",IF($G84&gt;=LI_A,$T84,0),0)</f>
        <v>0</v>
      </c>
      <c r="BL84" s="5">
        <f>IF($G$78="Producción",IF($G84&gt;=LI_B,IF($G84&lt;LS_B,$T84,0),0),0)</f>
        <v>0</v>
      </c>
      <c r="BM84" s="5">
        <f>IF($G$78="Producción",IF($G84&gt;=LI_C,IF($G84&lt;LS_C,$T84,0),0),0)</f>
        <v>0</v>
      </c>
      <c r="BN84" s="5">
        <f>IF($G$78="Producción",IF($G84&lt;LS_D,$T84,0),0)</f>
        <v>0</v>
      </c>
      <c r="BO84" s="5">
        <f>IF($G$78="Crecimiento",$T84,0)</f>
        <v>0</v>
      </c>
      <c r="BR84" s="5">
        <f>IF($H$78="Producción",IF($H84&gt;=LI_A,$U84,0),0)</f>
        <v>0</v>
      </c>
      <c r="BS84" s="5">
        <f>IF($H$78="Producción",IF($H84&gt;=LI_B,IF($H84&lt;LS_B,$U84,0),0),0)</f>
        <v>0</v>
      </c>
      <c r="BT84" s="5">
        <f>IF($H$78="Producción",IF($H84&gt;=LI_C,IF($H84&lt;LS_C,$U84,0),0),0)</f>
        <v>0</v>
      </c>
      <c r="BU84" s="5">
        <f>IF($H$78="Producción",IF($H84&lt;LS_D,$U84,0),0)</f>
        <v>0</v>
      </c>
      <c r="BV84" s="5">
        <f>IF($H$78="Crecimiento",$T84,0)</f>
        <v>0</v>
      </c>
      <c r="BY84" s="5">
        <f>IF($I$78="Producción",IF($I84&gt;=LI_A,$V84,0),0)</f>
        <v>0</v>
      </c>
      <c r="BZ84" s="5">
        <f>IF($I$78="Producción",IF($I84&gt;=LI_B,IF($I84&lt;LS_B,$V84,0),0),0)</f>
        <v>0</v>
      </c>
      <c r="CA84" s="5">
        <f>IF($I$78="Producción",IF($I84&gt;=LI_C,IF($I84&lt;LS_C,$V84,0),0),0)</f>
        <v>0</v>
      </c>
      <c r="CB84" s="5">
        <f>IF($I$78="Producción",IF($I84&lt;LS_D,$V84,0),0)</f>
        <v>0</v>
      </c>
      <c r="CC84" s="5">
        <f>IF($I$78="Crecimiento",$V84,0)</f>
        <v>0</v>
      </c>
      <c r="CF84" s="5">
        <f>IF($J$78="Producción",IF($J84&gt;=LI_A,$W84,0),0)</f>
        <v>0</v>
      </c>
      <c r="CG84" s="5">
        <f>IF($J$78="Producción",IF($J84&gt;=LI_B,IF($J84&lt;LS_B,$W84,0),0),0)</f>
        <v>0</v>
      </c>
      <c r="CH84" s="5">
        <f>IF($J$78="Producción",IF($J84&gt;=LI_C,IF($J84&lt;LS_C,$W84,0),0),0)</f>
        <v>0</v>
      </c>
      <c r="CI84" s="5">
        <f>IF($J$78="Producción",IF($J84&lt;LS_D,$W84,0),0)</f>
        <v>0</v>
      </c>
      <c r="CJ84" s="5">
        <f>IF($J$78="Crecimiento",$W84,0)</f>
        <v>0</v>
      </c>
      <c r="CM84" s="5">
        <f>IF($K$78="Producción",IF($K84&gt;=LI_A,$X84,0),0)</f>
        <v>0</v>
      </c>
      <c r="CN84" s="5">
        <f>IF($K$78="Producción",IF($K84&gt;=LI_B,IF($K84&lt;LS_B,$X84,0),0),0)</f>
        <v>0</v>
      </c>
      <c r="CO84" s="5">
        <f>IF($K$78="Producción",IF($K84&gt;=LI_C,IF($K84&lt;LS_C,$X84,0),0),0)</f>
        <v>0</v>
      </c>
      <c r="CP84" s="5">
        <f>IF($K$78="Producción",IF($K84&lt;LS_D,$X84,0),0)</f>
        <v>0</v>
      </c>
      <c r="CQ84" s="5">
        <f>IF($K$78="Crecimiento",$X84,0)</f>
        <v>0</v>
      </c>
      <c r="CT84" s="5">
        <f>IF($L$78="Producción",IF($L84&gt;=LI_A,$Y84,0),0)</f>
        <v>0</v>
      </c>
      <c r="CU84" s="5">
        <f>IF($L$78="Producción",IF($L84&gt;=LI_B,IF($L84&lt;LS_B,$Y84,0),0),0)</f>
        <v>0</v>
      </c>
      <c r="CV84" s="5">
        <f>IF($L$78="Producción",IF($L84&gt;=LI_C,IF($L84&lt;LS_C,$Y84,0),0),0)</f>
        <v>0</v>
      </c>
      <c r="CW84" s="5">
        <f>IF($L$78="Producción",IF($L84&lt;LS_D,$Y84,0),0)</f>
        <v>0</v>
      </c>
      <c r="CX84" s="5">
        <f>IF($L$78="Crecimiento",$Y84,0)</f>
        <v>0</v>
      </c>
      <c r="DA84" s="5">
        <f>IF($M$78="Producción",IF($M84&gt;=LI_A,$Z84,0),0)</f>
        <v>0</v>
      </c>
      <c r="DB84" s="5">
        <f>IF($M$78="Producción",IF($M84&gt;=LI_B,IF($M84&lt;LS_B,$Z84,0),0),0)</f>
        <v>0</v>
      </c>
      <c r="DC84" s="5">
        <f>IF($M$78="Producción",IF($M84&gt;=LI_C,IF($M84&lt;LS_C,$Z84,0),0),0)</f>
        <v>0</v>
      </c>
      <c r="DD84" s="5">
        <f>IF($M$78="Producción",IF($M84&lt;LS_D,$Z84,0),0)</f>
        <v>0</v>
      </c>
      <c r="DE84" s="5">
        <f>IF($M$78="Crecimiento",$Z84,0)</f>
        <v>0</v>
      </c>
      <c r="DI84" s="5">
        <f t="shared" si="563"/>
        <v>0</v>
      </c>
      <c r="DJ84" s="5">
        <f t="shared" si="564"/>
        <v>0</v>
      </c>
      <c r="DK84" s="5">
        <f t="shared" si="565"/>
        <v>0</v>
      </c>
      <c r="DL84" s="5">
        <f t="shared" si="566"/>
        <v>0</v>
      </c>
      <c r="DM84" s="5">
        <f t="shared" si="567"/>
        <v>0</v>
      </c>
      <c r="DN84" s="5">
        <f t="shared" si="568"/>
        <v>0</v>
      </c>
      <c r="DO84" s="5">
        <f t="shared" si="569"/>
        <v>0</v>
      </c>
      <c r="DP84" s="5">
        <f t="shared" si="570"/>
        <v>0</v>
      </c>
      <c r="DQ84" s="5">
        <f t="shared" si="571"/>
        <v>0</v>
      </c>
      <c r="DR84" s="5">
        <f t="shared" si="572"/>
        <v>0</v>
      </c>
      <c r="DS84" s="5">
        <f t="shared" si="573"/>
        <v>0</v>
      </c>
      <c r="DT84" s="5">
        <f t="shared" si="574"/>
        <v>0</v>
      </c>
      <c r="DU84" s="5">
        <f t="shared" si="575"/>
        <v>0</v>
      </c>
      <c r="DV84" s="5">
        <f t="shared" si="576"/>
        <v>0</v>
      </c>
      <c r="DW84" s="5">
        <f t="shared" si="577"/>
        <v>0</v>
      </c>
      <c r="DX84" s="5">
        <f t="shared" si="578"/>
        <v>0</v>
      </c>
      <c r="DY84" s="5">
        <f t="shared" si="579"/>
        <v>0</v>
      </c>
      <c r="DZ84" s="5">
        <f t="shared" si="580"/>
        <v>0</v>
      </c>
      <c r="EA84" s="5">
        <f t="shared" si="581"/>
        <v>0</v>
      </c>
      <c r="EB84" s="5">
        <f t="shared" si="582"/>
        <v>0</v>
      </c>
      <c r="EC84" s="5">
        <f t="shared" si="583"/>
        <v>0</v>
      </c>
      <c r="ED84" s="5">
        <f t="shared" si="584"/>
        <v>0</v>
      </c>
      <c r="EE84" s="5">
        <f t="shared" si="585"/>
        <v>0</v>
      </c>
      <c r="EF84" s="5">
        <f t="shared" si="586"/>
        <v>0</v>
      </c>
      <c r="EG84" s="5">
        <f t="shared" si="587"/>
        <v>0</v>
      </c>
      <c r="EH84" s="5">
        <f t="shared" si="588"/>
        <v>0</v>
      </c>
      <c r="EI84" s="5">
        <f t="shared" si="589"/>
        <v>0</v>
      </c>
      <c r="EJ84" s="5">
        <f t="shared" si="590"/>
        <v>0</v>
      </c>
      <c r="EK84" s="5">
        <f t="shared" si="591"/>
        <v>0</v>
      </c>
      <c r="EL84" s="5">
        <f t="shared" si="592"/>
        <v>0</v>
      </c>
      <c r="EM84" s="5">
        <f t="shared" si="593"/>
        <v>0</v>
      </c>
      <c r="EN84" s="5">
        <f t="shared" si="594"/>
        <v>0</v>
      </c>
      <c r="EO84" s="5">
        <f t="shared" si="595"/>
        <v>0</v>
      </c>
      <c r="EP84" s="5">
        <f t="shared" si="596"/>
        <v>0</v>
      </c>
      <c r="EQ84" s="5">
        <f t="shared" si="597"/>
        <v>0</v>
      </c>
      <c r="ER84" s="5">
        <f t="shared" si="598"/>
        <v>0</v>
      </c>
      <c r="ES84" s="5">
        <f t="shared" si="599"/>
        <v>0</v>
      </c>
      <c r="ET84" s="5">
        <f t="shared" si="600"/>
        <v>0</v>
      </c>
      <c r="EU84" s="5">
        <f t="shared" si="601"/>
        <v>0</v>
      </c>
      <c r="EV84" s="5">
        <f t="shared" si="602"/>
        <v>0</v>
      </c>
      <c r="EW84" s="5">
        <f t="shared" si="603"/>
        <v>0</v>
      </c>
      <c r="EX84" s="5">
        <f t="shared" si="604"/>
        <v>0</v>
      </c>
      <c r="EY84" s="5">
        <f t="shared" si="605"/>
        <v>0</v>
      </c>
      <c r="EZ84" s="5">
        <f t="shared" si="606"/>
        <v>0</v>
      </c>
      <c r="FA84" s="5">
        <f t="shared" si="607"/>
        <v>0</v>
      </c>
      <c r="FB84" s="5">
        <f t="shared" si="608"/>
        <v>0</v>
      </c>
      <c r="FC84" s="5">
        <f t="shared" si="609"/>
        <v>0</v>
      </c>
      <c r="FD84" s="5">
        <f t="shared" si="610"/>
        <v>0</v>
      </c>
      <c r="FE84" s="5">
        <f t="shared" si="611"/>
        <v>0</v>
      </c>
      <c r="FF84" s="5">
        <f t="shared" si="612"/>
        <v>0</v>
      </c>
      <c r="FG84" s="5">
        <f t="shared" si="613"/>
        <v>0</v>
      </c>
      <c r="FH84" s="5">
        <f t="shared" si="614"/>
        <v>0</v>
      </c>
      <c r="FI84" s="5">
        <f t="shared" si="615"/>
        <v>0</v>
      </c>
      <c r="FJ84" s="5">
        <f t="shared" si="616"/>
        <v>0</v>
      </c>
      <c r="FK84" s="5">
        <f t="shared" si="617"/>
        <v>0</v>
      </c>
      <c r="FL84" s="5">
        <f t="shared" si="618"/>
        <v>0</v>
      </c>
      <c r="FM84" s="5">
        <f t="shared" si="619"/>
        <v>0</v>
      </c>
      <c r="FN84" s="5">
        <f t="shared" si="620"/>
        <v>0</v>
      </c>
      <c r="FO84" s="5">
        <f t="shared" si="621"/>
        <v>0</v>
      </c>
      <c r="FP84" s="5">
        <f t="shared" si="622"/>
        <v>0</v>
      </c>
    </row>
    <row r="85" spans="1:172" ht="20.100000000000001" customHeight="1" x14ac:dyDescent="0.3">
      <c r="A85" s="9" t="str">
        <f>IF(Ciclo=5,"Surco 5","NA")</f>
        <v>NA</v>
      </c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O85" s="58">
        <f>IF($A85="NA",0,IFERROR('6'!O$43/Ciclo,0))</f>
        <v>0</v>
      </c>
      <c r="P85" s="58">
        <f>IF($A85="NA",0,IFERROR('6'!P$43/Ciclo,0))</f>
        <v>0</v>
      </c>
      <c r="Q85" s="58">
        <f>IF($A85="NA",0,IFERROR('6'!Q$43/Ciclo,0))</f>
        <v>0</v>
      </c>
      <c r="R85" s="58">
        <f>IF($A85="NA",0,IFERROR('6'!R$43/Ciclo,0))</f>
        <v>0</v>
      </c>
      <c r="S85" s="58">
        <f>IF($A85="NA",0,IFERROR('6'!S$43/Ciclo,0))</f>
        <v>0</v>
      </c>
      <c r="T85" s="58">
        <f>IF($A85="NA",0,IFERROR('6'!T$43/Ciclo,0))</f>
        <v>0</v>
      </c>
      <c r="U85" s="58">
        <f>IF($A85="NA",0,IFERROR('6'!U$43/Ciclo,0))</f>
        <v>0</v>
      </c>
      <c r="V85" s="58">
        <f>IF($A85="NA",0,IFERROR('6'!V$43/Ciclo,0))</f>
        <v>0</v>
      </c>
      <c r="W85" s="5">
        <f>IF($A85="NA",0,IFERROR('6'!W$43/Ciclo,0))</f>
        <v>0</v>
      </c>
      <c r="X85" s="5">
        <f>IF($A85="NA",0,IFERROR('6'!X$43/Ciclo,0))</f>
        <v>0</v>
      </c>
      <c r="Y85" s="5">
        <f>IF($A85="NA",0,IFERROR('6'!Y$43/Ciclo,0))</f>
        <v>0</v>
      </c>
      <c r="Z85" s="5">
        <f>IF($A85="NA",0,IFERROR('6'!Z$43/Ciclo,0))</f>
        <v>0</v>
      </c>
      <c r="AB85" s="5">
        <f>IF($B$78="Producción",IF($B85&gt;=LI_A,$O85,0),0)</f>
        <v>0</v>
      </c>
      <c r="AC85" s="5">
        <f>IF($B$78="Producción",IF($B85&gt;=LI_B,IF($B85&lt;LS_B,$O85,0),0),0)</f>
        <v>0</v>
      </c>
      <c r="AD85" s="5">
        <f>IF($B$78="Producción",IF($B85&gt;=LI_C,IF($B85&lt;LS_C,$O85,0),0),0)</f>
        <v>0</v>
      </c>
      <c r="AE85" s="5">
        <f>IF($B$78="Producción",IF($B85&lt;LS_D,$O85,0),0)</f>
        <v>0</v>
      </c>
      <c r="AF85" s="5">
        <f t="shared" si="623"/>
        <v>0</v>
      </c>
      <c r="AI85" s="5">
        <f>IF($C$78="Producción",IF($C85&gt;=LI_A,$P85,0),0)</f>
        <v>0</v>
      </c>
      <c r="AJ85" s="5">
        <f>IF($C$78="Producción",IF($C85&gt;=LI_B,IF($C85&lt;LS_B,$P85,0),0),0)</f>
        <v>0</v>
      </c>
      <c r="AK85" s="5">
        <f>IF($C$78="Producción",IF($C85&gt;=LI_C,IF($C85&lt;LS_C,$P85,0),0),0)</f>
        <v>0</v>
      </c>
      <c r="AL85" s="5">
        <f>IF($C$78="Producción",IF($C85&lt;LS_D,$P85,0),0)</f>
        <v>0</v>
      </c>
      <c r="AM85" s="5">
        <f>IF($C$78="Crecimiento",$P85,0)</f>
        <v>0</v>
      </c>
      <c r="AP85" s="5">
        <f>IF($D$78="Producción",IF($D85&gt;=LI_A,$Q85,0),0)</f>
        <v>0</v>
      </c>
      <c r="AQ85" s="5">
        <f>IF($D$78="Producción",IF($D85&gt;=LI_B,IF($D85&lt;LS_B,$Q85,0),0),0)</f>
        <v>0</v>
      </c>
      <c r="AR85" s="5">
        <f>IF($D$78="Producción",IF($D85&gt;=LI_C,IF($D85&lt;LS_C,$Q85,0),0),0)</f>
        <v>0</v>
      </c>
      <c r="AS85" s="5">
        <f>IF($D$78="Producción",IF($D85&lt;LS_D,$Q85,0),0)</f>
        <v>0</v>
      </c>
      <c r="AT85" s="5">
        <f>IF($D$78="Crecimiento",IF($D85&gt;0,$Q85,0),0)</f>
        <v>0</v>
      </c>
      <c r="AW85" s="5">
        <f>IF($E$78="Producción",IF($E85&gt;=LI_A,$R85,0),0)</f>
        <v>0</v>
      </c>
      <c r="AX85" s="5">
        <f>IF($E$78="Producción",IF($E85&gt;=LI_B,IF($E85&lt;LS_B,$R85,0),0),0)</f>
        <v>0</v>
      </c>
      <c r="AY85" s="5">
        <f>IF($E$78="Producción",IF($E85&gt;=LI_C,IF($E85&lt;LS_C,$R85,0),0),0)</f>
        <v>0</v>
      </c>
      <c r="AZ85" s="5">
        <f>IF($E$78="Producción",IF($E85&lt;LS_D,$R85,0),0)</f>
        <v>0</v>
      </c>
      <c r="BA85" s="5">
        <f>IF($E$78="Crecimiento",$R85,0)</f>
        <v>0</v>
      </c>
      <c r="BD85" s="5">
        <f>IF($F$78="Producción",IF($F85&gt;=LI_A,$S85,0),0)</f>
        <v>0</v>
      </c>
      <c r="BE85" s="5">
        <f>IF($F$78="Producción",IF($F85&gt;=LI_B,IF($F85&lt;LS_B,$S85,0),0),0)</f>
        <v>0</v>
      </c>
      <c r="BF85" s="5">
        <f>IF($F$78="Producción",IF($F85&gt;=LI_C,IF($F85&lt;LS_C,$S85,0),0),0)</f>
        <v>0</v>
      </c>
      <c r="BG85" s="5">
        <f>IF($F$78="Producción",IF($F85&lt;LS_D,$S85,0),0)</f>
        <v>0</v>
      </c>
      <c r="BH85" s="5">
        <f>IF($F$78="Crecimiento",$S85,0)</f>
        <v>0</v>
      </c>
      <c r="BK85" s="5">
        <f>IF($G$78="Producción",IF($G85&gt;=LI_A,$T85,0),0)</f>
        <v>0</v>
      </c>
      <c r="BL85" s="5">
        <f>IF($G$78="Producción",IF($G85&gt;=LI_B,IF($G85&lt;LS_B,$T85,0),0),0)</f>
        <v>0</v>
      </c>
      <c r="BM85" s="5">
        <f>IF($G$78="Producción",IF($G85&gt;=LI_C,IF($G85&lt;LS_C,$T85,0),0),0)</f>
        <v>0</v>
      </c>
      <c r="BN85" s="5">
        <f>IF($G$78="Producción",IF($G85&lt;LS_D,$T85,0),0)</f>
        <v>0</v>
      </c>
      <c r="BO85" s="5">
        <f>IF($G$78="Crecimiento",$T85,0)</f>
        <v>0</v>
      </c>
      <c r="BR85" s="5">
        <f>IF($H$78="Producción",IF($H85&gt;=LI_A,$U85,0),0)</f>
        <v>0</v>
      </c>
      <c r="BS85" s="5">
        <f>IF($H$78="Producción",IF($H85&gt;=LI_B,IF($H85&lt;LS_B,$U85,0),0),0)</f>
        <v>0</v>
      </c>
      <c r="BT85" s="5">
        <f>IF($H$78="Producción",IF($H85&gt;=LI_C,IF($H85&lt;LS_C,$U85,0),0),0)</f>
        <v>0</v>
      </c>
      <c r="BU85" s="5">
        <f>IF($H$78="Producción",IF($H85&lt;LS_D,$U85,0),0)</f>
        <v>0</v>
      </c>
      <c r="BV85" s="5">
        <f>IF($H$78="Crecimiento",$T85,0)</f>
        <v>0</v>
      </c>
      <c r="BY85" s="5">
        <f>IF($I$78="Producción",IF($I85&gt;=LI_A,$V85,0),0)</f>
        <v>0</v>
      </c>
      <c r="BZ85" s="5">
        <f>IF($I$78="Producción",IF($I85&gt;=LI_B,IF($I85&lt;LS_B,$V85,0),0),0)</f>
        <v>0</v>
      </c>
      <c r="CA85" s="5">
        <f>IF($I$78="Producción",IF($I85&gt;=LI_C,IF($I85&lt;LS_C,$V85,0),0),0)</f>
        <v>0</v>
      </c>
      <c r="CB85" s="5">
        <f>IF($I$78="Producción",IF($I85&lt;LS_D,$V85,0),0)</f>
        <v>0</v>
      </c>
      <c r="CC85" s="5">
        <f>IF($I$78="Crecimiento",$V85,0)</f>
        <v>0</v>
      </c>
      <c r="CF85" s="5">
        <f>IF($J$78="Producción",IF($J85&gt;=LI_A,$W85,0),0)</f>
        <v>0</v>
      </c>
      <c r="CG85" s="5">
        <f>IF($J$78="Producción",IF($J85&gt;=LI_B,IF($J85&lt;LS_B,$W85,0),0),0)</f>
        <v>0</v>
      </c>
      <c r="CH85" s="5">
        <f>IF($J$78="Producción",IF($J85&gt;=LI_C,IF($J85&lt;LS_C,$W85,0),0),0)</f>
        <v>0</v>
      </c>
      <c r="CI85" s="5">
        <f>IF($J$78="Producción",IF($J85&lt;LS_D,$W85,0),0)</f>
        <v>0</v>
      </c>
      <c r="CJ85" s="5">
        <f>IF($J$78="Crecimiento",$W85,0)</f>
        <v>0</v>
      </c>
      <c r="CM85" s="5">
        <f>IF($K$78="Producción",IF($K85&gt;=LI_A,$X85,0),0)</f>
        <v>0</v>
      </c>
      <c r="CN85" s="5">
        <f>IF($K$78="Producción",IF($K85&gt;=LI_B,IF($K85&lt;LS_B,$X85,0),0),0)</f>
        <v>0</v>
      </c>
      <c r="CO85" s="5">
        <f>IF($K$78="Producción",IF($K85&gt;=LI_C,IF($K85&lt;LS_C,$X85,0),0),0)</f>
        <v>0</v>
      </c>
      <c r="CP85" s="5">
        <f>IF($K$78="Producción",IF($K85&lt;LS_D,$X85,0),0)</f>
        <v>0</v>
      </c>
      <c r="CQ85" s="5">
        <f>IF($K$78="Crecimiento",$X85,0)</f>
        <v>0</v>
      </c>
      <c r="CT85" s="5">
        <f>IF($L$78="Producción",IF($L85&gt;=LI_A,$Y85,0),0)</f>
        <v>0</v>
      </c>
      <c r="CU85" s="5">
        <f>IF($L$78="Producción",IF($L85&gt;=LI_B,IF($L85&lt;LS_B,$Y85,0),0),0)</f>
        <v>0</v>
      </c>
      <c r="CV85" s="5">
        <f>IF($L$78="Producción",IF($L85&gt;=LI_C,IF($L85&lt;LS_C,$Y85,0),0),0)</f>
        <v>0</v>
      </c>
      <c r="CW85" s="5">
        <f>IF($L$78="Producción",IF($L85&lt;LS_D,$Y85,0),0)</f>
        <v>0</v>
      </c>
      <c r="CX85" s="5">
        <f>IF($L$78="Crecimiento",$Y85,0)</f>
        <v>0</v>
      </c>
      <c r="DA85" s="5">
        <f>IF($M$78="Producción",IF($M85&gt;=LI_A,$Z85,0),0)</f>
        <v>0</v>
      </c>
      <c r="DB85" s="5">
        <f>IF($M$78="Producción",IF($M85&gt;=LI_B,IF($M85&lt;LS_B,$Z85,0),0),0)</f>
        <v>0</v>
      </c>
      <c r="DC85" s="5">
        <f>IF($M$78="Producción",IF($M85&gt;=LI_C,IF($M85&lt;LS_C,$Z85,0),0),0)</f>
        <v>0</v>
      </c>
      <c r="DD85" s="5">
        <f>IF($M$78="Producción",IF($M85&lt;LS_D,$Z85,0),0)</f>
        <v>0</v>
      </c>
      <c r="DE85" s="5">
        <f>IF($M$78="Crecimiento",$Z85,0)</f>
        <v>0</v>
      </c>
      <c r="DI85" s="5">
        <f t="shared" si="563"/>
        <v>0</v>
      </c>
      <c r="DJ85" s="5">
        <f t="shared" si="564"/>
        <v>0</v>
      </c>
      <c r="DK85" s="5">
        <f t="shared" si="565"/>
        <v>0</v>
      </c>
      <c r="DL85" s="5">
        <f t="shared" si="566"/>
        <v>0</v>
      </c>
      <c r="DM85" s="5">
        <f t="shared" si="567"/>
        <v>0</v>
      </c>
      <c r="DN85" s="5">
        <f t="shared" si="568"/>
        <v>0</v>
      </c>
      <c r="DO85" s="5">
        <f t="shared" si="569"/>
        <v>0</v>
      </c>
      <c r="DP85" s="5">
        <f t="shared" si="570"/>
        <v>0</v>
      </c>
      <c r="DQ85" s="5">
        <f t="shared" si="571"/>
        <v>0</v>
      </c>
      <c r="DR85" s="5">
        <f t="shared" si="572"/>
        <v>0</v>
      </c>
      <c r="DS85" s="5">
        <f t="shared" si="573"/>
        <v>0</v>
      </c>
      <c r="DT85" s="5">
        <f t="shared" si="574"/>
        <v>0</v>
      </c>
      <c r="DU85" s="5">
        <f t="shared" si="575"/>
        <v>0</v>
      </c>
      <c r="DV85" s="5">
        <f t="shared" si="576"/>
        <v>0</v>
      </c>
      <c r="DW85" s="5">
        <f t="shared" si="577"/>
        <v>0</v>
      </c>
      <c r="DX85" s="5">
        <f t="shared" si="578"/>
        <v>0</v>
      </c>
      <c r="DY85" s="5">
        <f t="shared" si="579"/>
        <v>0</v>
      </c>
      <c r="DZ85" s="5">
        <f t="shared" si="580"/>
        <v>0</v>
      </c>
      <c r="EA85" s="5">
        <f t="shared" si="581"/>
        <v>0</v>
      </c>
      <c r="EB85" s="5">
        <f t="shared" si="582"/>
        <v>0</v>
      </c>
      <c r="EC85" s="5">
        <f t="shared" si="583"/>
        <v>0</v>
      </c>
      <c r="ED85" s="5">
        <f t="shared" si="584"/>
        <v>0</v>
      </c>
      <c r="EE85" s="5">
        <f t="shared" si="585"/>
        <v>0</v>
      </c>
      <c r="EF85" s="5">
        <f t="shared" si="586"/>
        <v>0</v>
      </c>
      <c r="EG85" s="5">
        <f t="shared" si="587"/>
        <v>0</v>
      </c>
      <c r="EH85" s="5">
        <f t="shared" si="588"/>
        <v>0</v>
      </c>
      <c r="EI85" s="5">
        <f t="shared" si="589"/>
        <v>0</v>
      </c>
      <c r="EJ85" s="5">
        <f t="shared" si="590"/>
        <v>0</v>
      </c>
      <c r="EK85" s="5">
        <f t="shared" si="591"/>
        <v>0</v>
      </c>
      <c r="EL85" s="5">
        <f t="shared" si="592"/>
        <v>0</v>
      </c>
      <c r="EM85" s="5">
        <f t="shared" si="593"/>
        <v>0</v>
      </c>
      <c r="EN85" s="5">
        <f t="shared" si="594"/>
        <v>0</v>
      </c>
      <c r="EO85" s="5">
        <f t="shared" si="595"/>
        <v>0</v>
      </c>
      <c r="EP85" s="5">
        <f t="shared" si="596"/>
        <v>0</v>
      </c>
      <c r="EQ85" s="5">
        <f t="shared" si="597"/>
        <v>0</v>
      </c>
      <c r="ER85" s="5">
        <f t="shared" si="598"/>
        <v>0</v>
      </c>
      <c r="ES85" s="5">
        <f t="shared" si="599"/>
        <v>0</v>
      </c>
      <c r="ET85" s="5">
        <f t="shared" si="600"/>
        <v>0</v>
      </c>
      <c r="EU85" s="5">
        <f t="shared" si="601"/>
        <v>0</v>
      </c>
      <c r="EV85" s="5">
        <f t="shared" si="602"/>
        <v>0</v>
      </c>
      <c r="EW85" s="5">
        <f t="shared" si="603"/>
        <v>0</v>
      </c>
      <c r="EX85" s="5">
        <f t="shared" si="604"/>
        <v>0</v>
      </c>
      <c r="EY85" s="5">
        <f t="shared" si="605"/>
        <v>0</v>
      </c>
      <c r="EZ85" s="5">
        <f t="shared" si="606"/>
        <v>0</v>
      </c>
      <c r="FA85" s="5">
        <f t="shared" si="607"/>
        <v>0</v>
      </c>
      <c r="FB85" s="5">
        <f t="shared" si="608"/>
        <v>0</v>
      </c>
      <c r="FC85" s="5">
        <f t="shared" si="609"/>
        <v>0</v>
      </c>
      <c r="FD85" s="5">
        <f t="shared" si="610"/>
        <v>0</v>
      </c>
      <c r="FE85" s="5">
        <f t="shared" si="611"/>
        <v>0</v>
      </c>
      <c r="FF85" s="5">
        <f t="shared" si="612"/>
        <v>0</v>
      </c>
      <c r="FG85" s="5">
        <f t="shared" si="613"/>
        <v>0</v>
      </c>
      <c r="FH85" s="5">
        <f t="shared" si="614"/>
        <v>0</v>
      </c>
      <c r="FI85" s="5">
        <f t="shared" si="615"/>
        <v>0</v>
      </c>
      <c r="FJ85" s="5">
        <f t="shared" si="616"/>
        <v>0</v>
      </c>
      <c r="FK85" s="5">
        <f t="shared" si="617"/>
        <v>0</v>
      </c>
      <c r="FL85" s="5">
        <f t="shared" si="618"/>
        <v>0</v>
      </c>
      <c r="FM85" s="5">
        <f t="shared" si="619"/>
        <v>0</v>
      </c>
      <c r="FN85" s="5">
        <f t="shared" si="620"/>
        <v>0</v>
      </c>
      <c r="FO85" s="5">
        <f t="shared" si="621"/>
        <v>0</v>
      </c>
      <c r="FP85" s="5">
        <f t="shared" si="622"/>
        <v>0</v>
      </c>
    </row>
    <row r="86" spans="1:172" ht="20.100000000000001" customHeight="1" x14ac:dyDescent="0.3">
      <c r="A86" s="172">
        <f>N_L11</f>
        <v>0</v>
      </c>
      <c r="B86" s="363" t="s">
        <v>37</v>
      </c>
      <c r="C86" s="363" t="s">
        <v>37</v>
      </c>
      <c r="D86" s="363" t="s">
        <v>37</v>
      </c>
      <c r="E86" s="363" t="s">
        <v>37</v>
      </c>
      <c r="F86" s="363" t="s">
        <v>37</v>
      </c>
      <c r="G86" s="363" t="s">
        <v>37</v>
      </c>
      <c r="H86" s="363" t="s">
        <v>37</v>
      </c>
      <c r="I86" s="363" t="s">
        <v>37</v>
      </c>
      <c r="J86" s="363" t="s">
        <v>37</v>
      </c>
      <c r="K86" s="363" t="s">
        <v>37</v>
      </c>
      <c r="L86" s="363" t="s">
        <v>37</v>
      </c>
      <c r="M86" s="363" t="s">
        <v>37</v>
      </c>
    </row>
    <row r="87" spans="1:172" ht="20.100000000000001" customHeight="1" x14ac:dyDescent="0.3">
      <c r="A87" s="175" t="s">
        <v>238</v>
      </c>
      <c r="B87" s="174">
        <f>SUM(DI89:DM93)/100</f>
        <v>0</v>
      </c>
      <c r="C87" s="174">
        <f>SUM(DN89:DR93)/100</f>
        <v>0</v>
      </c>
      <c r="D87" s="174">
        <f>SUM(DS89:DW93)/100</f>
        <v>0</v>
      </c>
      <c r="E87" s="174">
        <f>SUM(DX89:EB93)/100</f>
        <v>0</v>
      </c>
      <c r="F87" s="174">
        <f>SUM(EC89:EG93)/100</f>
        <v>0</v>
      </c>
      <c r="G87" s="174">
        <f>SUM(EH89:EL93)/100</f>
        <v>0</v>
      </c>
      <c r="H87" s="174">
        <f>SUM(EM89:EQ93)/100</f>
        <v>0</v>
      </c>
      <c r="I87" s="174">
        <f>SUM(ER89:EV93)/100</f>
        <v>0</v>
      </c>
      <c r="J87" s="174">
        <f>SUM(EW89:FA93)/100</f>
        <v>0</v>
      </c>
      <c r="K87" s="174">
        <f>SUM(FB89:FF93)/100</f>
        <v>0</v>
      </c>
      <c r="L87" s="174">
        <f>SUM(FG89:FK93)/100</f>
        <v>0</v>
      </c>
      <c r="M87" s="174">
        <f>SUM(FL89:FP93)/100</f>
        <v>0</v>
      </c>
    </row>
    <row r="88" spans="1:172" ht="20.100000000000001" customHeight="1" x14ac:dyDescent="0.3">
      <c r="A88" s="151" t="s">
        <v>239</v>
      </c>
      <c r="B88" s="152" t="e">
        <f t="shared" ref="B88:M88" si="624">B87/Lote_11</f>
        <v>#DIV/0!</v>
      </c>
      <c r="C88" s="152" t="e">
        <f t="shared" si="624"/>
        <v>#DIV/0!</v>
      </c>
      <c r="D88" s="152" t="e">
        <f t="shared" si="624"/>
        <v>#DIV/0!</v>
      </c>
      <c r="E88" s="152" t="e">
        <f t="shared" si="624"/>
        <v>#DIV/0!</v>
      </c>
      <c r="F88" s="152" t="e">
        <f t="shared" si="624"/>
        <v>#DIV/0!</v>
      </c>
      <c r="G88" s="152" t="e">
        <f t="shared" si="624"/>
        <v>#DIV/0!</v>
      </c>
      <c r="H88" s="152" t="e">
        <f t="shared" si="624"/>
        <v>#DIV/0!</v>
      </c>
      <c r="I88" s="152" t="e">
        <f t="shared" si="624"/>
        <v>#DIV/0!</v>
      </c>
      <c r="J88" s="152" t="e">
        <f t="shared" si="624"/>
        <v>#DIV/0!</v>
      </c>
      <c r="K88" s="152" t="e">
        <f t="shared" si="624"/>
        <v>#DIV/0!</v>
      </c>
      <c r="L88" s="152" t="e">
        <f t="shared" si="624"/>
        <v>#DIV/0!</v>
      </c>
      <c r="M88" s="152" t="e">
        <f t="shared" si="624"/>
        <v>#DIV/0!</v>
      </c>
    </row>
    <row r="89" spans="1:172" ht="20.100000000000001" customHeight="1" x14ac:dyDescent="0.3">
      <c r="A89" s="8" t="s">
        <v>302</v>
      </c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O89" s="58">
        <f>IFERROR('6'!O$47/Ciclo,0)</f>
        <v>0</v>
      </c>
      <c r="P89" s="58">
        <f>IFERROR('6'!P$47/Ciclo,0)</f>
        <v>0</v>
      </c>
      <c r="Q89" s="58">
        <f>IFERROR('6'!Q$47/Ciclo,0)</f>
        <v>0</v>
      </c>
      <c r="R89" s="58">
        <f>IFERROR('6'!R$47/Ciclo,0)</f>
        <v>0</v>
      </c>
      <c r="S89" s="58">
        <f>IFERROR('6'!S$47/Ciclo,0)</f>
        <v>0</v>
      </c>
      <c r="T89" s="58">
        <f>IFERROR('6'!T$47/Ciclo,0)</f>
        <v>0</v>
      </c>
      <c r="U89" s="58">
        <f>IFERROR('6'!U$47/Ciclo,0)</f>
        <v>0</v>
      </c>
      <c r="V89" s="58">
        <f>IFERROR('6'!V$47/Ciclo,0)</f>
        <v>0</v>
      </c>
      <c r="W89" s="5">
        <f>IFERROR('6'!W$47/Ciclo,0)</f>
        <v>0</v>
      </c>
      <c r="X89" s="5">
        <f>IFERROR('6'!X$47/Ciclo,0)</f>
        <v>0</v>
      </c>
      <c r="Y89" s="5">
        <f>IFERROR('6'!Y$47/Ciclo,0)</f>
        <v>0</v>
      </c>
      <c r="Z89" s="5">
        <f>IFERROR('6'!Z$47/Ciclo,0)</f>
        <v>0</v>
      </c>
      <c r="AB89" s="5">
        <f>IF($B$86="Producción",IF($B89&gt;=LI_A,$O89,0),0)</f>
        <v>0</v>
      </c>
      <c r="AC89" s="5">
        <f>IF($B$86="Producción",IF($B89&gt;=LI_B,IF($B89&lt;LS_B,$O89,0),0),0)</f>
        <v>0</v>
      </c>
      <c r="AD89" s="5">
        <f>IF($B$86="Producción",IF($B89&gt;=LI_C,IF($B89&lt;LS_C,$O89,0),0),0)</f>
        <v>0</v>
      </c>
      <c r="AE89" s="5">
        <f>IF($B$86="Producción",IF($B89&lt;LS_D,$O89,0),0)</f>
        <v>0</v>
      </c>
      <c r="AF89" s="5">
        <f>IF($B$86="Crecimiento",$O89,0)</f>
        <v>0</v>
      </c>
      <c r="AG89" s="5">
        <f>IF($B86="Siembra",'6'!$O$7,0)</f>
        <v>0</v>
      </c>
      <c r="AH89" s="5">
        <f>IF($B86="Abandono",'6'!$O$7,0)</f>
        <v>0</v>
      </c>
      <c r="AI89" s="5">
        <f>IF($C$86="Producción",IF($C89&gt;=LI_A,$P89,0),0)</f>
        <v>0</v>
      </c>
      <c r="AJ89" s="5">
        <f>IF($C$86="Producción",IF($C89&gt;=LI_B,IF($C89&lt;LS_B,$P89,0),0),0)</f>
        <v>0</v>
      </c>
      <c r="AK89" s="5">
        <f>IF($C$86="Producción",IF($C89&gt;=LI_C,IF($C89&lt;LS_C,$P89,0),0),0)</f>
        <v>0</v>
      </c>
      <c r="AL89" s="5">
        <f>IF($C$86="Producción",IF($C89&lt;LS_D,$P89,0),0)</f>
        <v>0</v>
      </c>
      <c r="AM89" s="5">
        <f>IF($C$86="Crecimiento",$P89,0)</f>
        <v>0</v>
      </c>
      <c r="AN89" s="5">
        <f>IF($C86="Siembra",'6'!$P$7,0)</f>
        <v>0</v>
      </c>
      <c r="AO89" s="5">
        <f>IF($C86="Abandono",'6'!$P$7,0)</f>
        <v>0</v>
      </c>
      <c r="AP89" s="5">
        <f>IF($D$86="Producción",IF($D89&gt;=LI_A,$Q89,0),0)</f>
        <v>0</v>
      </c>
      <c r="AQ89" s="5">
        <f>IF($D$86="Producción",IF($D89&gt;=LI_B,IF($D89&lt;LS_B,$Q89,0),0),0)</f>
        <v>0</v>
      </c>
      <c r="AR89" s="5">
        <f>IF($D$86="Producción",IF($D89&gt;=LI_C,IF($D89&lt;LS_C,$Q89,0),0),0)</f>
        <v>0</v>
      </c>
      <c r="AS89" s="5">
        <f>IF($D$86="Producción",IF($D89&lt;LS_D,$Q89,0),0)</f>
        <v>0</v>
      </c>
      <c r="AT89" s="5">
        <f>IF($D$86="Crecimiento",IF($D89&gt;0,$Q89,0),0)</f>
        <v>0</v>
      </c>
      <c r="AU89" s="5">
        <f>IF($D86="Siembra",'6'!$Q$7,0)</f>
        <v>0</v>
      </c>
      <c r="AV89" s="5">
        <f>IF($D86="Abandono",'6'!$Q$7,0)</f>
        <v>0</v>
      </c>
      <c r="AW89" s="5">
        <f>IF($E$86="Producción",IF($E89&gt;=LI_A,$R89,0),0)</f>
        <v>0</v>
      </c>
      <c r="AX89" s="5">
        <f>IF($E$86="Producción",IF($E89&gt;=LI_B,IF($E89&lt;LS_B,$R89,0),0),0)</f>
        <v>0</v>
      </c>
      <c r="AY89" s="5">
        <f>IF($E$86="Producción",IF($E89&gt;=LI_C,IF($E89&lt;LS_C,$R89,0),0),0)</f>
        <v>0</v>
      </c>
      <c r="AZ89" s="5">
        <f>IF($E$86="Producción",IF($E89&lt;LS_D,$R89,0),0)</f>
        <v>0</v>
      </c>
      <c r="BA89" s="5">
        <f>IF($E$86="Crecimiento",$R89,0)</f>
        <v>0</v>
      </c>
      <c r="BB89" s="5">
        <f>IF($E86="Siembra",'6'!$R$7,0)</f>
        <v>0</v>
      </c>
      <c r="BC89" s="5">
        <f>IF($E86="Abandono",'6'!$R$7,0)</f>
        <v>0</v>
      </c>
      <c r="BD89" s="5">
        <f>IF($F$86="Producción",IF($F89&gt;=LI_A,$S89,0),0)</f>
        <v>0</v>
      </c>
      <c r="BE89" s="5">
        <f>IF($F$86="Producción",IF($F89&gt;=LI_B,IF($F89&lt;LS_B,$S89,0),0),0)</f>
        <v>0</v>
      </c>
      <c r="BF89" s="5">
        <f>IF($F$86="Producción",IF($F89&gt;=LI_C,IF($F89&lt;LS_C,$S89,0),0),0)</f>
        <v>0</v>
      </c>
      <c r="BG89" s="5">
        <f>IF($F$86="Producción",IF($F89&lt;LS_D,$S89,0),0)</f>
        <v>0</v>
      </c>
      <c r="BH89" s="5">
        <f>IF($F$86="Crecimiento",$S89,0)</f>
        <v>0</v>
      </c>
      <c r="BI89" s="5">
        <f>IF($F86="Siembra",'6'!$S$7,0)</f>
        <v>0</v>
      </c>
      <c r="BJ89" s="5">
        <f>IF($F86="Abandono",'6'!$S$7,0)</f>
        <v>0</v>
      </c>
      <c r="BK89" s="5">
        <f>IF($G$86="Producción",IF($G89&gt;=LI_A,$T89,0),0)</f>
        <v>0</v>
      </c>
      <c r="BL89" s="5">
        <f>IF($G$86="Producción",IF($G89&gt;=LI_B,IF($G89&lt;LS_B,$T89,0),0),0)</f>
        <v>0</v>
      </c>
      <c r="BM89" s="5">
        <f>IF($G$86="Producción",IF($G89&gt;=LI_C,IF($G89&lt;LS_C,$T89,0),0),0)</f>
        <v>0</v>
      </c>
      <c r="BN89" s="5">
        <f>IF($G$86="Producción",IF($G89&lt;LS_D,$T89,0),0)</f>
        <v>0</v>
      </c>
      <c r="BO89" s="5">
        <f>IF($G$86="Crecimiento",$T89,0)</f>
        <v>0</v>
      </c>
      <c r="BP89" s="5">
        <f>IF($G86="Siembra",'6'!$T$7,0)</f>
        <v>0</v>
      </c>
      <c r="BQ89" s="5">
        <f>IF($G86="Abandono",'6'!$T$7,0)</f>
        <v>0</v>
      </c>
      <c r="BR89" s="5">
        <f>IF($H$86="Producción",IF($H89&gt;=LI_A,$U89,0),0)</f>
        <v>0</v>
      </c>
      <c r="BS89" s="5">
        <f>IF($H$86="Producción",IF($H89&gt;=LI_B,IF($H89&lt;LS_B,$U89,0),0),0)</f>
        <v>0</v>
      </c>
      <c r="BT89" s="5">
        <f>IF($H$86="Producción",IF($H89&gt;=LI_C,IF($H89&lt;LS_C,$U89,0),0),0)</f>
        <v>0</v>
      </c>
      <c r="BU89" s="5">
        <f>IF($H$86="Producción",IF($H89&lt;LS_D,$U89,0),0)</f>
        <v>0</v>
      </c>
      <c r="BV89" s="5">
        <f>IF($H$86="Crecimiento",$T89,0)</f>
        <v>0</v>
      </c>
      <c r="BW89" s="5">
        <f>IF($H86="Siembra",'6'!$U$7,0)</f>
        <v>0</v>
      </c>
      <c r="BX89" s="5">
        <f>IF($H86="Abandono",'6'!$U$7,0)</f>
        <v>0</v>
      </c>
      <c r="BY89" s="5">
        <f>IF($I$86="Producción",IF($I89&gt;=LI_A,$V89,0),0)</f>
        <v>0</v>
      </c>
      <c r="BZ89" s="5">
        <f>IF($I$86="Producción",IF($I89&gt;=LI_B,IF($I89&lt;LS_B,$V89,0),0),0)</f>
        <v>0</v>
      </c>
      <c r="CA89" s="5">
        <f>IF($I$86="Producción",IF($I89&gt;=LI_C,IF($I89&lt;LS_C,$V89,0),0),0)</f>
        <v>0</v>
      </c>
      <c r="CB89" s="5">
        <f>IF($I$86="Producción",IF($I89&lt;LS_D,$V89,0),0)</f>
        <v>0</v>
      </c>
      <c r="CC89" s="5">
        <f>IF($I$86="Crecimiento",$V89,0)</f>
        <v>0</v>
      </c>
      <c r="CD89" s="5">
        <f>IF($I86="Siembra",'6'!$V$7,0)</f>
        <v>0</v>
      </c>
      <c r="CE89" s="5">
        <f>IF($I86="Abandono",'6'!$V$7,0)</f>
        <v>0</v>
      </c>
      <c r="CF89" s="5">
        <f>IF($J$86="Producción",IF($J89&gt;=LI_A,$W89,0),0)</f>
        <v>0</v>
      </c>
      <c r="CG89" s="5">
        <f>IF($J$86="Producción",IF($J89&gt;=LI_B,IF($J89&lt;LS_B,$W89,0),0),0)</f>
        <v>0</v>
      </c>
      <c r="CH89" s="5">
        <f>IF($J$86="Producción",IF($J89&gt;=LI_C,IF($J89&lt;LS_C,$W89,0),0),0)</f>
        <v>0</v>
      </c>
      <c r="CI89" s="5">
        <f>IF($J$86="Producción",IF($J89&lt;LS_D,$W89,0),0)</f>
        <v>0</v>
      </c>
      <c r="CJ89" s="5">
        <f>IF($J$86="Crecimiento",$W89,0)</f>
        <v>0</v>
      </c>
      <c r="CK89" s="5">
        <f>IF($J86="Siembra",'6'!$W$7,0)</f>
        <v>0</v>
      </c>
      <c r="CL89" s="5">
        <f>IF($J86="Abandono",'6'!$W$7,0)</f>
        <v>0</v>
      </c>
      <c r="CM89" s="5">
        <f>IF($K$86="Producción",IF($K89&gt;=LI_A,$X89,0),0)</f>
        <v>0</v>
      </c>
      <c r="CN89" s="5">
        <f>IF($K$86="Producción",IF($K89&gt;=LI_B,IF($K89&lt;LS_B,$X89,0),0),0)</f>
        <v>0</v>
      </c>
      <c r="CO89" s="5">
        <f>IF($K$86="Producción",IF($K89&gt;=LI_C,IF($K89&lt;LS_C,$X89,0),0),0)</f>
        <v>0</v>
      </c>
      <c r="CP89" s="5">
        <f>IF($K$86="Producción",IF($K89&lt;LS_D,$X89,0),0)</f>
        <v>0</v>
      </c>
      <c r="CQ89" s="5">
        <f>IF($K$86="Crecimiento",$X89,0)</f>
        <v>0</v>
      </c>
      <c r="CR89" s="5">
        <f>IF($K86="Siembra",'6'!$X$7,0)</f>
        <v>0</v>
      </c>
      <c r="CS89" s="5">
        <f>IF($K86="Abandono",'6'!$X$7,0)</f>
        <v>0</v>
      </c>
      <c r="CT89" s="5">
        <f>IF($L$86="Producción",IF($L89&gt;=LI_A,$Y89,0),0)</f>
        <v>0</v>
      </c>
      <c r="CU89" s="5">
        <f>IF($L$86="Producción",IF($L89&gt;=LI_B,IF($L89&lt;LS_B,$Y89,0),0),0)</f>
        <v>0</v>
      </c>
      <c r="CV89" s="5">
        <f>IF($L$86="Producción",IF($L89&gt;=LI_C,IF($L89&lt;LS_C,$Y89,0),0),0)</f>
        <v>0</v>
      </c>
      <c r="CW89" s="5">
        <f>IF($L$86="Producción",IF($L89&lt;LS_D,$Y89,0),0)</f>
        <v>0</v>
      </c>
      <c r="CX89" s="5">
        <f>IF($L$86="Crecimiento",$Y89,0)</f>
        <v>0</v>
      </c>
      <c r="CY89" s="5">
        <f>IF($L86="Siembra",'6'!$Y$7,0)</f>
        <v>0</v>
      </c>
      <c r="CZ89" s="5">
        <f>IF($L86="Abandono",'6'!$Y$7,0)</f>
        <v>0</v>
      </c>
      <c r="DA89" s="5">
        <f>IF($M$86="Producción",IF($M89&gt;=LI_A,$Z89,0),0)</f>
        <v>0</v>
      </c>
      <c r="DB89" s="5">
        <f>IF($M$86="Producción",IF($M89&gt;=LI_B,IF($M89&lt;LS_B,$Z89,0),0),0)</f>
        <v>0</v>
      </c>
      <c r="DC89" s="5">
        <f>IF($M$86="Producción",IF($M89&gt;=LI_C,IF($M89&lt;LS_C,$Z89,0),0),0)</f>
        <v>0</v>
      </c>
      <c r="DD89" s="5">
        <f>IF($M$86="Producción",IF($M89&lt;LS_D,$Z89,0),0)</f>
        <v>0</v>
      </c>
      <c r="DE89" s="5">
        <f>IF($M$86="Crecimiento",$Z89,0)</f>
        <v>0</v>
      </c>
      <c r="DF89" s="5">
        <f>IF($M86="Siembra",'6'!$Z$7,0)</f>
        <v>0</v>
      </c>
      <c r="DG89" s="5">
        <f>IF($M86="Abandono",'6'!$Z$7,0)</f>
        <v>0</v>
      </c>
      <c r="DI89" s="5">
        <f t="shared" ref="DI89:DI93" si="625">AB89*$B89</f>
        <v>0</v>
      </c>
      <c r="DJ89" s="5">
        <f t="shared" ref="DJ89:DJ93" si="626">AC89*$B89</f>
        <v>0</v>
      </c>
      <c r="DK89" s="5">
        <f t="shared" ref="DK89:DK93" si="627">AD89*$B89</f>
        <v>0</v>
      </c>
      <c r="DL89" s="5">
        <f t="shared" ref="DL89:DL93" si="628">AE89*$B89</f>
        <v>0</v>
      </c>
      <c r="DM89" s="5">
        <f t="shared" ref="DM89:DM93" si="629">AF89*$B89</f>
        <v>0</v>
      </c>
      <c r="DN89" s="5">
        <f t="shared" ref="DN89:DN93" si="630">AI89*$C89</f>
        <v>0</v>
      </c>
      <c r="DO89" s="5">
        <f t="shared" ref="DO89:DO93" si="631">AJ89*$C89</f>
        <v>0</v>
      </c>
      <c r="DP89" s="5">
        <f t="shared" ref="DP89:DP93" si="632">AK89*$C89</f>
        <v>0</v>
      </c>
      <c r="DQ89" s="5">
        <f t="shared" ref="DQ89:DQ93" si="633">AL89*$C89</f>
        <v>0</v>
      </c>
      <c r="DR89" s="5">
        <f t="shared" ref="DR89:DR93" si="634">AM89*$C89</f>
        <v>0</v>
      </c>
      <c r="DS89" s="5">
        <f t="shared" ref="DS89:DS93" si="635">AP89*$D89</f>
        <v>0</v>
      </c>
      <c r="DT89" s="5">
        <f t="shared" ref="DT89:DT93" si="636">AQ89*$D89</f>
        <v>0</v>
      </c>
      <c r="DU89" s="5">
        <f t="shared" ref="DU89:DU93" si="637">AR89*$D89</f>
        <v>0</v>
      </c>
      <c r="DV89" s="5">
        <f t="shared" ref="DV89:DV93" si="638">AS89*$D89</f>
        <v>0</v>
      </c>
      <c r="DW89" s="5">
        <f t="shared" ref="DW89:DW93" si="639">AT89*$D89</f>
        <v>0</v>
      </c>
      <c r="DX89" s="5">
        <f t="shared" ref="DX89:DX93" si="640">AW89*$E89</f>
        <v>0</v>
      </c>
      <c r="DY89" s="5">
        <f t="shared" ref="DY89:DY93" si="641">AX89*$E89</f>
        <v>0</v>
      </c>
      <c r="DZ89" s="5">
        <f t="shared" ref="DZ89:DZ93" si="642">AY89*$E89</f>
        <v>0</v>
      </c>
      <c r="EA89" s="5">
        <f t="shared" ref="EA89:EA93" si="643">AZ89*$E89</f>
        <v>0</v>
      </c>
      <c r="EB89" s="5">
        <f t="shared" ref="EB89:EB93" si="644">BA89*$E89</f>
        <v>0</v>
      </c>
      <c r="EC89" s="5">
        <f t="shared" ref="EC89:EC93" si="645">BD89*$F89</f>
        <v>0</v>
      </c>
      <c r="ED89" s="5">
        <f t="shared" ref="ED89:ED93" si="646">BE89*$F89</f>
        <v>0</v>
      </c>
      <c r="EE89" s="5">
        <f t="shared" ref="EE89:EE93" si="647">BF89*$F89</f>
        <v>0</v>
      </c>
      <c r="EF89" s="5">
        <f t="shared" ref="EF89:EF93" si="648">BG89*$F89</f>
        <v>0</v>
      </c>
      <c r="EG89" s="5">
        <f t="shared" ref="EG89:EG93" si="649">BH89*$F89</f>
        <v>0</v>
      </c>
      <c r="EH89" s="5">
        <f t="shared" ref="EH89:EH93" si="650">BK89*$G89</f>
        <v>0</v>
      </c>
      <c r="EI89" s="5">
        <f t="shared" ref="EI89:EI93" si="651">BL89*$G89</f>
        <v>0</v>
      </c>
      <c r="EJ89" s="5">
        <f t="shared" ref="EJ89:EJ93" si="652">BM89*$G89</f>
        <v>0</v>
      </c>
      <c r="EK89" s="5">
        <f t="shared" ref="EK89:EK93" si="653">BN89*$G89</f>
        <v>0</v>
      </c>
      <c r="EL89" s="5">
        <f t="shared" ref="EL89:EL93" si="654">BO89*$G89</f>
        <v>0</v>
      </c>
      <c r="EM89" s="5">
        <f t="shared" ref="EM89:EM93" si="655">BR89*$H89</f>
        <v>0</v>
      </c>
      <c r="EN89" s="5">
        <f t="shared" ref="EN89:EN93" si="656">BS89*$H89</f>
        <v>0</v>
      </c>
      <c r="EO89" s="5">
        <f t="shared" ref="EO89:EO93" si="657">BT89*$H89</f>
        <v>0</v>
      </c>
      <c r="EP89" s="5">
        <f t="shared" ref="EP89:EP93" si="658">BU89*$H89</f>
        <v>0</v>
      </c>
      <c r="EQ89" s="5">
        <f t="shared" ref="EQ89:EQ93" si="659">BV89*$H89</f>
        <v>0</v>
      </c>
      <c r="ER89" s="5">
        <f t="shared" ref="ER89:ER93" si="660">BY89*$I89</f>
        <v>0</v>
      </c>
      <c r="ES89" s="5">
        <f t="shared" ref="ES89:ES93" si="661">BZ89*$I89</f>
        <v>0</v>
      </c>
      <c r="ET89" s="5">
        <f t="shared" ref="ET89:ET93" si="662">CA89*$I89</f>
        <v>0</v>
      </c>
      <c r="EU89" s="5">
        <f t="shared" ref="EU89:EU93" si="663">CB89*$I89</f>
        <v>0</v>
      </c>
      <c r="EV89" s="5">
        <f t="shared" ref="EV89:EV93" si="664">CC89*$I89</f>
        <v>0</v>
      </c>
      <c r="EW89" s="5">
        <f t="shared" ref="EW89:EW93" si="665">CF89*$J89</f>
        <v>0</v>
      </c>
      <c r="EX89" s="5">
        <f t="shared" ref="EX89:EX93" si="666">CG89*$J89</f>
        <v>0</v>
      </c>
      <c r="EY89" s="5">
        <f t="shared" ref="EY89:EY93" si="667">CH89*$J89</f>
        <v>0</v>
      </c>
      <c r="EZ89" s="5">
        <f t="shared" ref="EZ89:EZ93" si="668">CI89*$J89</f>
        <v>0</v>
      </c>
      <c r="FA89" s="5">
        <f t="shared" ref="FA89:FA93" si="669">CJ89*$J89</f>
        <v>0</v>
      </c>
      <c r="FB89" s="5">
        <f t="shared" ref="FB89:FB93" si="670">CM89*$K89</f>
        <v>0</v>
      </c>
      <c r="FC89" s="5">
        <f t="shared" ref="FC89:FC93" si="671">CN89*$K89</f>
        <v>0</v>
      </c>
      <c r="FD89" s="5">
        <f t="shared" ref="FD89:FD93" si="672">CO89*$K89</f>
        <v>0</v>
      </c>
      <c r="FE89" s="5">
        <f t="shared" ref="FE89:FE93" si="673">CP89*$K89</f>
        <v>0</v>
      </c>
      <c r="FF89" s="5">
        <f t="shared" ref="FF89:FF93" si="674">CQ89*$K89</f>
        <v>0</v>
      </c>
      <c r="FG89" s="5">
        <f t="shared" ref="FG89:FG93" si="675">CT89*$L89</f>
        <v>0</v>
      </c>
      <c r="FH89" s="5">
        <f t="shared" ref="FH89:FH93" si="676">CU89*$L89</f>
        <v>0</v>
      </c>
      <c r="FI89" s="5">
        <f t="shared" ref="FI89:FI93" si="677">CV89*$L89</f>
        <v>0</v>
      </c>
      <c r="FJ89" s="5">
        <f t="shared" ref="FJ89:FJ93" si="678">CW89*$L89</f>
        <v>0</v>
      </c>
      <c r="FK89" s="5">
        <f t="shared" ref="FK89:FK93" si="679">CX89*$L89</f>
        <v>0</v>
      </c>
      <c r="FL89" s="5">
        <f t="shared" ref="FL89:FL93" si="680">DA89*$M89</f>
        <v>0</v>
      </c>
      <c r="FM89" s="5">
        <f t="shared" ref="FM89:FM93" si="681">DB89*$M89</f>
        <v>0</v>
      </c>
      <c r="FN89" s="5">
        <f t="shared" ref="FN89:FN93" si="682">DC89*$M89</f>
        <v>0</v>
      </c>
      <c r="FO89" s="5">
        <f t="shared" ref="FO89:FO93" si="683">DD89*$M89</f>
        <v>0</v>
      </c>
      <c r="FP89" s="5">
        <f t="shared" ref="FP89:FP93" si="684">DE89*$M89</f>
        <v>0</v>
      </c>
    </row>
    <row r="90" spans="1:172" ht="20.100000000000001" customHeight="1" x14ac:dyDescent="0.3">
      <c r="A90" s="8" t="s">
        <v>303</v>
      </c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O90" s="58">
        <f>IFERROR('6'!O$47/Ciclo,0)</f>
        <v>0</v>
      </c>
      <c r="P90" s="58">
        <f>IFERROR('6'!P$47/Ciclo,0)</f>
        <v>0</v>
      </c>
      <c r="Q90" s="58">
        <f>IFERROR('6'!Q$47/Ciclo,0)</f>
        <v>0</v>
      </c>
      <c r="R90" s="58">
        <f>IFERROR('6'!R$47/Ciclo,0)</f>
        <v>0</v>
      </c>
      <c r="S90" s="58">
        <f>IFERROR('6'!S$47/Ciclo,0)</f>
        <v>0</v>
      </c>
      <c r="T90" s="58">
        <f>IFERROR('6'!T$47/Ciclo,0)</f>
        <v>0</v>
      </c>
      <c r="U90" s="58">
        <f>IFERROR('6'!U$47/Ciclo,0)</f>
        <v>0</v>
      </c>
      <c r="V90" s="58">
        <f>IFERROR('6'!V$47/Ciclo,0)</f>
        <v>0</v>
      </c>
      <c r="W90" s="5">
        <f>IFERROR('6'!W$47/Ciclo,0)</f>
        <v>0</v>
      </c>
      <c r="X90" s="5">
        <f>IFERROR('6'!X$47/Ciclo,0)</f>
        <v>0</v>
      </c>
      <c r="Y90" s="5">
        <f>IFERROR('6'!Y$47/Ciclo,0)</f>
        <v>0</v>
      </c>
      <c r="Z90" s="5">
        <f>IFERROR('6'!Z$47/Ciclo,0)</f>
        <v>0</v>
      </c>
      <c r="AB90" s="5">
        <f>IF($B$86="Producción",IF($B90&gt;=LI_A,$O90,0),0)</f>
        <v>0</v>
      </c>
      <c r="AC90" s="5">
        <f>IF($B$86="Producción",IF($B90&gt;=LI_B,IF($B90&lt;LS_B,$O90,0),0),0)</f>
        <v>0</v>
      </c>
      <c r="AD90" s="5">
        <f>IF($B$86="Producción",IF($B90&gt;=LI_C,IF($B90&lt;LS_C,$O90,0),0),0)</f>
        <v>0</v>
      </c>
      <c r="AE90" s="5">
        <f>IF($B$86="Producción",IF($B90&lt;LS_D,$O90,0),0)</f>
        <v>0</v>
      </c>
      <c r="AF90" s="5">
        <f t="shared" ref="AF90:AF93" si="685">IF($B$86="Crecimiento",$O90,0)</f>
        <v>0</v>
      </c>
      <c r="AI90" s="5">
        <f>IF($C$86="Producción",IF($C90&gt;=LI_A,$P90,0),0)</f>
        <v>0</v>
      </c>
      <c r="AJ90" s="5">
        <f>IF($C$86="Producción",IF($C90&gt;=LI_B,IF($C90&lt;LS_B,$P90,0),0),0)</f>
        <v>0</v>
      </c>
      <c r="AK90" s="5">
        <f>IF($C$86="Producción",IF($C90&gt;=LI_C,IF($C90&lt;LS_C,$P90,0),0),0)</f>
        <v>0</v>
      </c>
      <c r="AL90" s="5">
        <f>IF($C$86="Producción",IF($C90&lt;LS_D,$P90,0),0)</f>
        <v>0</v>
      </c>
      <c r="AM90" s="5">
        <f>IF($C$86="Crecimiento",$P90,0)</f>
        <v>0</v>
      </c>
      <c r="AP90" s="5">
        <f>IF($D$86="Producción",IF($D90&gt;=LI_A,$Q90,0),0)</f>
        <v>0</v>
      </c>
      <c r="AQ90" s="5">
        <f>IF($D$86="Producción",IF($D90&gt;=LI_B,IF($D90&lt;LS_B,$Q90,0),0),0)</f>
        <v>0</v>
      </c>
      <c r="AR90" s="5">
        <f>IF($D$86="Producción",IF($D90&gt;=LI_C,IF($D90&lt;LS_C,$Q90,0),0),0)</f>
        <v>0</v>
      </c>
      <c r="AS90" s="5">
        <f>IF($D$86="Producción",IF($D90&lt;LS_D,$Q90,0),0)</f>
        <v>0</v>
      </c>
      <c r="AT90" s="5">
        <f>IF($D$86="Crecimiento",IF($D90&gt;0,$Q90,0),0)</f>
        <v>0</v>
      </c>
      <c r="AW90" s="5">
        <f>IF($E$86="Producción",IF($E90&gt;=LI_A,$R90,0),0)</f>
        <v>0</v>
      </c>
      <c r="AX90" s="5">
        <f>IF($E$86="Producción",IF($E90&gt;=LI_B,IF($E90&lt;LS_B,$R90,0),0),0)</f>
        <v>0</v>
      </c>
      <c r="AY90" s="5">
        <f>IF($E$86="Producción",IF($E90&gt;=LI_C,IF($E90&lt;LS_C,$R90,0),0),0)</f>
        <v>0</v>
      </c>
      <c r="AZ90" s="5">
        <f>IF($E$86="Producción",IF($E90&lt;LS_D,$R90,0),0)</f>
        <v>0</v>
      </c>
      <c r="BA90" s="5">
        <f>IF($E$86="Crecimiento",$R90,0)</f>
        <v>0</v>
      </c>
      <c r="BD90" s="5">
        <f>IF($F$86="Producción",IF($F90&gt;=LI_A,$S90,0),0)</f>
        <v>0</v>
      </c>
      <c r="BE90" s="5">
        <f>IF($F$86="Producción",IF($F90&gt;=LI_B,IF($F90&lt;LS_B,$S90,0),0),0)</f>
        <v>0</v>
      </c>
      <c r="BF90" s="5">
        <f>IF($F$86="Producción",IF($F90&gt;=LI_C,IF($F90&lt;LS_C,$S90,0),0),0)</f>
        <v>0</v>
      </c>
      <c r="BG90" s="5">
        <f>IF($F$86="Producción",IF($F90&lt;LS_D,$S90,0),0)</f>
        <v>0</v>
      </c>
      <c r="BH90" s="5">
        <f>IF($F$86="Crecimiento",$S90,0)</f>
        <v>0</v>
      </c>
      <c r="BK90" s="5">
        <f>IF($G$86="Producción",IF($G90&gt;=LI_A,$T90,0),0)</f>
        <v>0</v>
      </c>
      <c r="BL90" s="5">
        <f>IF($G$86="Producción",IF($G90&gt;=LI_B,IF($G90&lt;LS_B,$T90,0),0),0)</f>
        <v>0</v>
      </c>
      <c r="BM90" s="5">
        <f>IF($G$86="Producción",IF($G90&gt;=LI_C,IF($G90&lt;LS_C,$T90,0),0),0)</f>
        <v>0</v>
      </c>
      <c r="BN90" s="5">
        <f>IF($G$86="Producción",IF($G90&lt;LS_D,$T90,0),0)</f>
        <v>0</v>
      </c>
      <c r="BO90" s="5">
        <f>IF($G$86="Crecimiento",$T90,0)</f>
        <v>0</v>
      </c>
      <c r="BR90" s="5">
        <f>IF($H$86="Producción",IF($H90&gt;=LI_A,$U90,0),0)</f>
        <v>0</v>
      </c>
      <c r="BS90" s="5">
        <f>IF($H$86="Producción",IF($H90&gt;=LI_B,IF($H90&lt;LS_B,$U90,0),0),0)</f>
        <v>0</v>
      </c>
      <c r="BT90" s="5">
        <f>IF($H$86="Producción",IF($H90&gt;=LI_C,IF($H90&lt;LS_C,$U90,0),0),0)</f>
        <v>0</v>
      </c>
      <c r="BU90" s="5">
        <f>IF($H$86="Producción",IF($H90&lt;LS_D,$U90,0),0)</f>
        <v>0</v>
      </c>
      <c r="BV90" s="5">
        <f>IF($H$86="Crecimiento",$T90,0)</f>
        <v>0</v>
      </c>
      <c r="BY90" s="5">
        <f>IF($I$86="Producción",IF($I90&gt;=LI_A,$V90,0),0)</f>
        <v>0</v>
      </c>
      <c r="BZ90" s="5">
        <f>IF($I$86="Producción",IF($I90&gt;=LI_B,IF($I90&lt;LS_B,$V90,0),0),0)</f>
        <v>0</v>
      </c>
      <c r="CA90" s="5">
        <f>IF($I$86="Producción",IF($I90&gt;=LI_C,IF($I90&lt;LS_C,$V90,0),0),0)</f>
        <v>0</v>
      </c>
      <c r="CB90" s="5">
        <f>IF($I$86="Producción",IF($I90&lt;LS_D,$V90,0),0)</f>
        <v>0</v>
      </c>
      <c r="CC90" s="5">
        <f>IF($I$86="Crecimiento",$V90,0)</f>
        <v>0</v>
      </c>
      <c r="CF90" s="5">
        <f>IF($J$86="Producción",IF($J90&gt;=LI_A,$W90,0),0)</f>
        <v>0</v>
      </c>
      <c r="CG90" s="5">
        <f>IF($J$86="Producción",IF($J90&gt;=LI_B,IF($J90&lt;LS_B,$W90,0),0),0)</f>
        <v>0</v>
      </c>
      <c r="CH90" s="5">
        <f>IF($J$86="Producción",IF($J90&gt;=LI_C,IF($J90&lt;LS_C,$W90,0),0),0)</f>
        <v>0</v>
      </c>
      <c r="CI90" s="5">
        <f>IF($J$86="Producción",IF($J90&lt;LS_D,$W90,0),0)</f>
        <v>0</v>
      </c>
      <c r="CJ90" s="5">
        <f>IF($J$86="Crecimiento",$W90,0)</f>
        <v>0</v>
      </c>
      <c r="CM90" s="5">
        <f>IF($K$86="Producción",IF($K90&gt;=LI_A,$X90,0),0)</f>
        <v>0</v>
      </c>
      <c r="CN90" s="5">
        <f>IF($K$86="Producción",IF($K90&gt;=LI_B,IF($K90&lt;LS_B,$X90,0),0),0)</f>
        <v>0</v>
      </c>
      <c r="CO90" s="5">
        <f>IF($K$86="Producción",IF($K90&gt;=LI_C,IF($K90&lt;LS_C,$X90,0),0),0)</f>
        <v>0</v>
      </c>
      <c r="CP90" s="5">
        <f>IF($K$86="Producción",IF($K90&lt;LS_D,$X90,0),0)</f>
        <v>0</v>
      </c>
      <c r="CQ90" s="5">
        <f>IF($K$86="Crecimiento",$X90,0)</f>
        <v>0</v>
      </c>
      <c r="CT90" s="5">
        <f>IF($L$86="Producción",IF($L90&gt;=LI_A,$Y90,0),0)</f>
        <v>0</v>
      </c>
      <c r="CU90" s="5">
        <f>IF($L$86="Producción",IF($L90&gt;=LI_B,IF($L90&lt;LS_B,$Y90,0),0),0)</f>
        <v>0</v>
      </c>
      <c r="CV90" s="5">
        <f>IF($L$86="Producción",IF($L90&gt;=LI_C,IF($L90&lt;LS_C,$Y90,0),0),0)</f>
        <v>0</v>
      </c>
      <c r="CW90" s="5">
        <f>IF($L$86="Producción",IF($L90&lt;LS_D,$Y90,0),0)</f>
        <v>0</v>
      </c>
      <c r="CX90" s="5">
        <f>IF($L$86="Crecimiento",$Y90,0)</f>
        <v>0</v>
      </c>
      <c r="DA90" s="5">
        <f>IF($M$86="Producción",IF($M90&gt;=LI_A,$Z90,0),0)</f>
        <v>0</v>
      </c>
      <c r="DB90" s="5">
        <f>IF($M$86="Producción",IF($M90&gt;=LI_B,IF($M90&lt;LS_B,$Z90,0),0),0)</f>
        <v>0</v>
      </c>
      <c r="DC90" s="5">
        <f>IF($M$86="Producción",IF($M90&gt;=LI_C,IF($M90&lt;LS_C,$Z90,0),0),0)</f>
        <v>0</v>
      </c>
      <c r="DD90" s="5">
        <f>IF($M$86="Producción",IF($M90&lt;LS_D,$Z90,0),0)</f>
        <v>0</v>
      </c>
      <c r="DE90" s="5">
        <f>IF($M$86="Crecimiento",$Z90,0)</f>
        <v>0</v>
      </c>
      <c r="DI90" s="5">
        <f t="shared" si="625"/>
        <v>0</v>
      </c>
      <c r="DJ90" s="5">
        <f t="shared" si="626"/>
        <v>0</v>
      </c>
      <c r="DK90" s="5">
        <f t="shared" si="627"/>
        <v>0</v>
      </c>
      <c r="DL90" s="5">
        <f t="shared" si="628"/>
        <v>0</v>
      </c>
      <c r="DM90" s="5">
        <f t="shared" si="629"/>
        <v>0</v>
      </c>
      <c r="DN90" s="5">
        <f t="shared" si="630"/>
        <v>0</v>
      </c>
      <c r="DO90" s="5">
        <f t="shared" si="631"/>
        <v>0</v>
      </c>
      <c r="DP90" s="5">
        <f t="shared" si="632"/>
        <v>0</v>
      </c>
      <c r="DQ90" s="5">
        <f t="shared" si="633"/>
        <v>0</v>
      </c>
      <c r="DR90" s="5">
        <f t="shared" si="634"/>
        <v>0</v>
      </c>
      <c r="DS90" s="5">
        <f t="shared" si="635"/>
        <v>0</v>
      </c>
      <c r="DT90" s="5">
        <f t="shared" si="636"/>
        <v>0</v>
      </c>
      <c r="DU90" s="5">
        <f t="shared" si="637"/>
        <v>0</v>
      </c>
      <c r="DV90" s="5">
        <f t="shared" si="638"/>
        <v>0</v>
      </c>
      <c r="DW90" s="5">
        <f t="shared" si="639"/>
        <v>0</v>
      </c>
      <c r="DX90" s="5">
        <f t="shared" si="640"/>
        <v>0</v>
      </c>
      <c r="DY90" s="5">
        <f t="shared" si="641"/>
        <v>0</v>
      </c>
      <c r="DZ90" s="5">
        <f t="shared" si="642"/>
        <v>0</v>
      </c>
      <c r="EA90" s="5">
        <f t="shared" si="643"/>
        <v>0</v>
      </c>
      <c r="EB90" s="5">
        <f t="shared" si="644"/>
        <v>0</v>
      </c>
      <c r="EC90" s="5">
        <f t="shared" si="645"/>
        <v>0</v>
      </c>
      <c r="ED90" s="5">
        <f t="shared" si="646"/>
        <v>0</v>
      </c>
      <c r="EE90" s="5">
        <f t="shared" si="647"/>
        <v>0</v>
      </c>
      <c r="EF90" s="5">
        <f t="shared" si="648"/>
        <v>0</v>
      </c>
      <c r="EG90" s="5">
        <f t="shared" si="649"/>
        <v>0</v>
      </c>
      <c r="EH90" s="5">
        <f t="shared" si="650"/>
        <v>0</v>
      </c>
      <c r="EI90" s="5">
        <f t="shared" si="651"/>
        <v>0</v>
      </c>
      <c r="EJ90" s="5">
        <f t="shared" si="652"/>
        <v>0</v>
      </c>
      <c r="EK90" s="5">
        <f t="shared" si="653"/>
        <v>0</v>
      </c>
      <c r="EL90" s="5">
        <f t="shared" si="654"/>
        <v>0</v>
      </c>
      <c r="EM90" s="5">
        <f t="shared" si="655"/>
        <v>0</v>
      </c>
      <c r="EN90" s="5">
        <f t="shared" si="656"/>
        <v>0</v>
      </c>
      <c r="EO90" s="5">
        <f t="shared" si="657"/>
        <v>0</v>
      </c>
      <c r="EP90" s="5">
        <f t="shared" si="658"/>
        <v>0</v>
      </c>
      <c r="EQ90" s="5">
        <f t="shared" si="659"/>
        <v>0</v>
      </c>
      <c r="ER90" s="5">
        <f t="shared" si="660"/>
        <v>0</v>
      </c>
      <c r="ES90" s="5">
        <f t="shared" si="661"/>
        <v>0</v>
      </c>
      <c r="ET90" s="5">
        <f t="shared" si="662"/>
        <v>0</v>
      </c>
      <c r="EU90" s="5">
        <f t="shared" si="663"/>
        <v>0</v>
      </c>
      <c r="EV90" s="5">
        <f t="shared" si="664"/>
        <v>0</v>
      </c>
      <c r="EW90" s="5">
        <f t="shared" si="665"/>
        <v>0</v>
      </c>
      <c r="EX90" s="5">
        <f t="shared" si="666"/>
        <v>0</v>
      </c>
      <c r="EY90" s="5">
        <f t="shared" si="667"/>
        <v>0</v>
      </c>
      <c r="EZ90" s="5">
        <f t="shared" si="668"/>
        <v>0</v>
      </c>
      <c r="FA90" s="5">
        <f t="shared" si="669"/>
        <v>0</v>
      </c>
      <c r="FB90" s="5">
        <f t="shared" si="670"/>
        <v>0</v>
      </c>
      <c r="FC90" s="5">
        <f t="shared" si="671"/>
        <v>0</v>
      </c>
      <c r="FD90" s="5">
        <f t="shared" si="672"/>
        <v>0</v>
      </c>
      <c r="FE90" s="5">
        <f t="shared" si="673"/>
        <v>0</v>
      </c>
      <c r="FF90" s="5">
        <f t="shared" si="674"/>
        <v>0</v>
      </c>
      <c r="FG90" s="5">
        <f t="shared" si="675"/>
        <v>0</v>
      </c>
      <c r="FH90" s="5">
        <f t="shared" si="676"/>
        <v>0</v>
      </c>
      <c r="FI90" s="5">
        <f t="shared" si="677"/>
        <v>0</v>
      </c>
      <c r="FJ90" s="5">
        <f t="shared" si="678"/>
        <v>0</v>
      </c>
      <c r="FK90" s="5">
        <f t="shared" si="679"/>
        <v>0</v>
      </c>
      <c r="FL90" s="5">
        <f t="shared" si="680"/>
        <v>0</v>
      </c>
      <c r="FM90" s="5">
        <f t="shared" si="681"/>
        <v>0</v>
      </c>
      <c r="FN90" s="5">
        <f t="shared" si="682"/>
        <v>0</v>
      </c>
      <c r="FO90" s="5">
        <f t="shared" si="683"/>
        <v>0</v>
      </c>
      <c r="FP90" s="5">
        <f t="shared" si="684"/>
        <v>0</v>
      </c>
    </row>
    <row r="91" spans="1:172" ht="20.100000000000001" customHeight="1" x14ac:dyDescent="0.3">
      <c r="A91" s="8" t="str">
        <f>IF(Ciclo&gt;2,"Surco 3","NA")</f>
        <v>Surco 3</v>
      </c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O91" s="58">
        <f>IF($A91="NA",0,IFERROR('6'!O$47/Ciclo,0))</f>
        <v>0</v>
      </c>
      <c r="P91" s="58">
        <f>IF($A91="NA",0,IFERROR('6'!P$47/Ciclo,0))</f>
        <v>0</v>
      </c>
      <c r="Q91" s="58">
        <f>IF($A91="NA",0,IFERROR('6'!Q$47/Ciclo,0))</f>
        <v>0</v>
      </c>
      <c r="R91" s="58">
        <f>IF($A91="NA",0,IFERROR('6'!R$47/Ciclo,0))</f>
        <v>0</v>
      </c>
      <c r="S91" s="58">
        <f>IF($A91="NA",0,IFERROR('6'!S$47/Ciclo,0))</f>
        <v>0</v>
      </c>
      <c r="T91" s="58">
        <f>IF($A91="NA",0,IFERROR('6'!T$47/Ciclo,0))</f>
        <v>0</v>
      </c>
      <c r="U91" s="58">
        <f>IF($A91="NA",0,IFERROR('6'!U$47/Ciclo,0))</f>
        <v>0</v>
      </c>
      <c r="V91" s="58">
        <f>IF($A91="NA",0,IFERROR('6'!V$47/Ciclo,0))</f>
        <v>0</v>
      </c>
      <c r="W91" s="5">
        <f>IF($A91="NA",0,IFERROR('6'!W$47/Ciclo,0))</f>
        <v>0</v>
      </c>
      <c r="X91" s="5">
        <f>IF($A91="NA",0,IFERROR('6'!X$47/Ciclo,0))</f>
        <v>0</v>
      </c>
      <c r="Y91" s="5">
        <f>IF($A91="NA",0,IFERROR('6'!Y$47/Ciclo,0))</f>
        <v>0</v>
      </c>
      <c r="Z91" s="5">
        <f>IF($A91="NA",0,IFERROR('6'!Z$47/Ciclo,0))</f>
        <v>0</v>
      </c>
      <c r="AB91" s="5">
        <f>IF($B$86="Producción",IF($B91&gt;=LI_A,$O91,0),0)</f>
        <v>0</v>
      </c>
      <c r="AC91" s="5">
        <f>IF($B$86="Producción",IF($B91&gt;=LI_B,IF($B91&lt;LS_B,$O91,0),0),0)</f>
        <v>0</v>
      </c>
      <c r="AD91" s="5">
        <f>IF($B$86="Producción",IF($B91&gt;=LI_C,IF($B91&lt;LS_C,$O91,0),0),0)</f>
        <v>0</v>
      </c>
      <c r="AE91" s="5">
        <f>IF($B$86="Producción",IF($B91&lt;LS_D,$O91,0),0)</f>
        <v>0</v>
      </c>
      <c r="AF91" s="5">
        <f t="shared" si="685"/>
        <v>0</v>
      </c>
      <c r="AI91" s="5">
        <f>IF($C$86="Producción",IF($C91&gt;=LI_A,$P91,0),0)</f>
        <v>0</v>
      </c>
      <c r="AJ91" s="5">
        <f>IF($C$86="Producción",IF($C91&gt;=LI_B,IF($C91&lt;LS_B,$P91,0),0),0)</f>
        <v>0</v>
      </c>
      <c r="AK91" s="5">
        <f>IF($C$86="Producción",IF($C91&gt;=LI_C,IF($C91&lt;LS_C,$P91,0),0),0)</f>
        <v>0</v>
      </c>
      <c r="AL91" s="5">
        <f>IF($C$86="Producción",IF($C91&lt;LS_D,$P91,0),0)</f>
        <v>0</v>
      </c>
      <c r="AM91" s="5">
        <f>IF($C$86="Crecimiento",$P91,0)</f>
        <v>0</v>
      </c>
      <c r="AP91" s="5">
        <f>IF($D$86="Producción",IF($D91&gt;=LI_A,$Q91,0),0)</f>
        <v>0</v>
      </c>
      <c r="AQ91" s="5">
        <f>IF($D$86="Producción",IF($D91&gt;=LI_B,IF($D91&lt;LS_B,$Q91,0),0),0)</f>
        <v>0</v>
      </c>
      <c r="AR91" s="5">
        <f>IF($D$86="Producción",IF($D91&gt;=LI_C,IF($D91&lt;LS_C,$Q91,0),0),0)</f>
        <v>0</v>
      </c>
      <c r="AS91" s="5">
        <f>IF($D$86="Producción",IF($D91&lt;LS_D,$Q91,0),0)</f>
        <v>0</v>
      </c>
      <c r="AT91" s="5">
        <f>IF($D$86="Crecimiento",IF($D91&gt;0,$Q91,0),0)</f>
        <v>0</v>
      </c>
      <c r="AW91" s="5">
        <f>IF($E$86="Producción",IF($E91&gt;=LI_A,$R91,0),0)</f>
        <v>0</v>
      </c>
      <c r="AX91" s="5">
        <f>IF($E$86="Producción",IF($E91&gt;=LI_B,IF($E91&lt;LS_B,$R91,0),0),0)</f>
        <v>0</v>
      </c>
      <c r="AY91" s="5">
        <f>IF($E$86="Producción",IF($E91&gt;=LI_C,IF($E91&lt;LS_C,$R91,0),0),0)</f>
        <v>0</v>
      </c>
      <c r="AZ91" s="5">
        <f>IF($E$86="Producción",IF($E91&lt;LS_D,$R91,0),0)</f>
        <v>0</v>
      </c>
      <c r="BA91" s="5">
        <f>IF($E$86="Crecimiento",$R91,0)</f>
        <v>0</v>
      </c>
      <c r="BD91" s="5">
        <f>IF($F$86="Producción",IF($F91&gt;=LI_A,$S91,0),0)</f>
        <v>0</v>
      </c>
      <c r="BE91" s="5">
        <f>IF($F$86="Producción",IF($F91&gt;=LI_B,IF($F91&lt;LS_B,$S91,0),0),0)</f>
        <v>0</v>
      </c>
      <c r="BF91" s="5">
        <f>IF($F$86="Producción",IF($F91&gt;=LI_C,IF($F91&lt;LS_C,$S91,0),0),0)</f>
        <v>0</v>
      </c>
      <c r="BG91" s="5">
        <f>IF($F$86="Producción",IF($F91&lt;LS_D,$S91,0),0)</f>
        <v>0</v>
      </c>
      <c r="BH91" s="5">
        <f>IF($F$86="Crecimiento",$S91,0)</f>
        <v>0</v>
      </c>
      <c r="BK91" s="5">
        <f>IF($G$86="Producción",IF($G91&gt;=LI_A,$T91,0),0)</f>
        <v>0</v>
      </c>
      <c r="BL91" s="5">
        <f>IF($G$86="Producción",IF($G91&gt;=LI_B,IF($G91&lt;LS_B,$T91,0),0),0)</f>
        <v>0</v>
      </c>
      <c r="BM91" s="5">
        <f>IF($G$86="Producción",IF($G91&gt;=LI_C,IF($G91&lt;LS_C,$T91,0),0),0)</f>
        <v>0</v>
      </c>
      <c r="BN91" s="5">
        <f>IF($G$86="Producción",IF($G91&lt;LS_D,$T91,0),0)</f>
        <v>0</v>
      </c>
      <c r="BO91" s="5">
        <f>IF($G$86="Crecimiento",$T91,0)</f>
        <v>0</v>
      </c>
      <c r="BR91" s="5">
        <f>IF($H$86="Producción",IF($H91&gt;=LI_A,$U91,0),0)</f>
        <v>0</v>
      </c>
      <c r="BS91" s="5">
        <f>IF($H$86="Producción",IF($H91&gt;=LI_B,IF($H91&lt;LS_B,$U91,0),0),0)</f>
        <v>0</v>
      </c>
      <c r="BT91" s="5">
        <f>IF($H$86="Producción",IF($H91&gt;=LI_C,IF($H91&lt;LS_C,$U91,0),0),0)</f>
        <v>0</v>
      </c>
      <c r="BU91" s="5">
        <f>IF($H$86="Producción",IF($H91&lt;LS_D,$U91,0),0)</f>
        <v>0</v>
      </c>
      <c r="BV91" s="5">
        <f>IF($H$86="Crecimiento",$T91,0)</f>
        <v>0</v>
      </c>
      <c r="BY91" s="5">
        <f>IF($I$86="Producción",IF($I91&gt;=LI_A,$V91,0),0)</f>
        <v>0</v>
      </c>
      <c r="BZ91" s="5">
        <f>IF($I$86="Producción",IF($I91&gt;=LI_B,IF($I91&lt;LS_B,$V91,0),0),0)</f>
        <v>0</v>
      </c>
      <c r="CA91" s="5">
        <f>IF($I$86="Producción",IF($I91&gt;=LI_C,IF($I91&lt;LS_C,$V91,0),0),0)</f>
        <v>0</v>
      </c>
      <c r="CB91" s="5">
        <f>IF($I$86="Producción",IF($I91&lt;LS_D,$V91,0),0)</f>
        <v>0</v>
      </c>
      <c r="CC91" s="5">
        <f>IF($I$86="Crecimiento",$V91,0)</f>
        <v>0</v>
      </c>
      <c r="CF91" s="5">
        <f>IF($J$86="Producción",IF($J91&gt;=LI_A,$W91,0),0)</f>
        <v>0</v>
      </c>
      <c r="CG91" s="5">
        <f>IF($J$86="Producción",IF($J91&gt;=LI_B,IF($J91&lt;LS_B,$W91,0),0),0)</f>
        <v>0</v>
      </c>
      <c r="CH91" s="5">
        <f>IF($J$86="Producción",IF($J91&gt;=LI_C,IF($J91&lt;LS_C,$W91,0),0),0)</f>
        <v>0</v>
      </c>
      <c r="CI91" s="5">
        <f>IF($J$86="Producción",IF($J91&lt;LS_D,$W91,0),0)</f>
        <v>0</v>
      </c>
      <c r="CJ91" s="5">
        <f>IF($J$86="Crecimiento",$W91,0)</f>
        <v>0</v>
      </c>
      <c r="CM91" s="5">
        <f>IF($K$86="Producción",IF($K91&gt;=LI_A,$X91,0),0)</f>
        <v>0</v>
      </c>
      <c r="CN91" s="5">
        <f>IF($K$86="Producción",IF($K91&gt;=LI_B,IF($K91&lt;LS_B,$X91,0),0),0)</f>
        <v>0</v>
      </c>
      <c r="CO91" s="5">
        <f>IF($K$86="Producción",IF($K91&gt;=LI_C,IF($K91&lt;LS_C,$X91,0),0),0)</f>
        <v>0</v>
      </c>
      <c r="CP91" s="5">
        <f>IF($K$86="Producción",IF($K91&lt;LS_D,$X91,0),0)</f>
        <v>0</v>
      </c>
      <c r="CQ91" s="5">
        <f>IF($K$86="Crecimiento",$X91,0)</f>
        <v>0</v>
      </c>
      <c r="CT91" s="5">
        <f>IF($L$86="Producción",IF($L91&gt;=LI_A,$Y91,0),0)</f>
        <v>0</v>
      </c>
      <c r="CU91" s="5">
        <f>IF($L$86="Producción",IF($L91&gt;=LI_B,IF($L91&lt;LS_B,$Y91,0),0),0)</f>
        <v>0</v>
      </c>
      <c r="CV91" s="5">
        <f>IF($L$86="Producción",IF($L91&gt;=LI_C,IF($L91&lt;LS_C,$Y91,0),0),0)</f>
        <v>0</v>
      </c>
      <c r="CW91" s="5">
        <f>IF($L$86="Producción",IF($L91&lt;LS_D,$Y91,0),0)</f>
        <v>0</v>
      </c>
      <c r="CX91" s="5">
        <f>IF($L$86="Crecimiento",$Y91,0)</f>
        <v>0</v>
      </c>
      <c r="DA91" s="5">
        <f>IF($M$86="Producción",IF($M91&gt;=LI_A,$Z91,0),0)</f>
        <v>0</v>
      </c>
      <c r="DB91" s="5">
        <f>IF($M$86="Producción",IF($M91&gt;=LI_B,IF($M91&lt;LS_B,$Z91,0),0),0)</f>
        <v>0</v>
      </c>
      <c r="DC91" s="5">
        <f>IF($M$86="Producción",IF($M91&gt;=LI_C,IF($M91&lt;LS_C,$Z91,0),0),0)</f>
        <v>0</v>
      </c>
      <c r="DD91" s="5">
        <f>IF($M$86="Producción",IF($M91&lt;LS_D,$Z91,0),0)</f>
        <v>0</v>
      </c>
      <c r="DE91" s="5">
        <f>IF($M$86="Crecimiento",$Z91,0)</f>
        <v>0</v>
      </c>
      <c r="DI91" s="5">
        <f t="shared" si="625"/>
        <v>0</v>
      </c>
      <c r="DJ91" s="5">
        <f t="shared" si="626"/>
        <v>0</v>
      </c>
      <c r="DK91" s="5">
        <f t="shared" si="627"/>
        <v>0</v>
      </c>
      <c r="DL91" s="5">
        <f t="shared" si="628"/>
        <v>0</v>
      </c>
      <c r="DM91" s="5">
        <f t="shared" si="629"/>
        <v>0</v>
      </c>
      <c r="DN91" s="5">
        <f t="shared" si="630"/>
        <v>0</v>
      </c>
      <c r="DO91" s="5">
        <f t="shared" si="631"/>
        <v>0</v>
      </c>
      <c r="DP91" s="5">
        <f t="shared" si="632"/>
        <v>0</v>
      </c>
      <c r="DQ91" s="5">
        <f t="shared" si="633"/>
        <v>0</v>
      </c>
      <c r="DR91" s="5">
        <f t="shared" si="634"/>
        <v>0</v>
      </c>
      <c r="DS91" s="5">
        <f t="shared" si="635"/>
        <v>0</v>
      </c>
      <c r="DT91" s="5">
        <f t="shared" si="636"/>
        <v>0</v>
      </c>
      <c r="DU91" s="5">
        <f t="shared" si="637"/>
        <v>0</v>
      </c>
      <c r="DV91" s="5">
        <f t="shared" si="638"/>
        <v>0</v>
      </c>
      <c r="DW91" s="5">
        <f t="shared" si="639"/>
        <v>0</v>
      </c>
      <c r="DX91" s="5">
        <f t="shared" si="640"/>
        <v>0</v>
      </c>
      <c r="DY91" s="5">
        <f t="shared" si="641"/>
        <v>0</v>
      </c>
      <c r="DZ91" s="5">
        <f t="shared" si="642"/>
        <v>0</v>
      </c>
      <c r="EA91" s="5">
        <f t="shared" si="643"/>
        <v>0</v>
      </c>
      <c r="EB91" s="5">
        <f t="shared" si="644"/>
        <v>0</v>
      </c>
      <c r="EC91" s="5">
        <f t="shared" si="645"/>
        <v>0</v>
      </c>
      <c r="ED91" s="5">
        <f t="shared" si="646"/>
        <v>0</v>
      </c>
      <c r="EE91" s="5">
        <f t="shared" si="647"/>
        <v>0</v>
      </c>
      <c r="EF91" s="5">
        <f t="shared" si="648"/>
        <v>0</v>
      </c>
      <c r="EG91" s="5">
        <f t="shared" si="649"/>
        <v>0</v>
      </c>
      <c r="EH91" s="5">
        <f t="shared" si="650"/>
        <v>0</v>
      </c>
      <c r="EI91" s="5">
        <f t="shared" si="651"/>
        <v>0</v>
      </c>
      <c r="EJ91" s="5">
        <f t="shared" si="652"/>
        <v>0</v>
      </c>
      <c r="EK91" s="5">
        <f t="shared" si="653"/>
        <v>0</v>
      </c>
      <c r="EL91" s="5">
        <f t="shared" si="654"/>
        <v>0</v>
      </c>
      <c r="EM91" s="5">
        <f t="shared" si="655"/>
        <v>0</v>
      </c>
      <c r="EN91" s="5">
        <f t="shared" si="656"/>
        <v>0</v>
      </c>
      <c r="EO91" s="5">
        <f t="shared" si="657"/>
        <v>0</v>
      </c>
      <c r="EP91" s="5">
        <f t="shared" si="658"/>
        <v>0</v>
      </c>
      <c r="EQ91" s="5">
        <f t="shared" si="659"/>
        <v>0</v>
      </c>
      <c r="ER91" s="5">
        <f t="shared" si="660"/>
        <v>0</v>
      </c>
      <c r="ES91" s="5">
        <f t="shared" si="661"/>
        <v>0</v>
      </c>
      <c r="ET91" s="5">
        <f t="shared" si="662"/>
        <v>0</v>
      </c>
      <c r="EU91" s="5">
        <f t="shared" si="663"/>
        <v>0</v>
      </c>
      <c r="EV91" s="5">
        <f t="shared" si="664"/>
        <v>0</v>
      </c>
      <c r="EW91" s="5">
        <f t="shared" si="665"/>
        <v>0</v>
      </c>
      <c r="EX91" s="5">
        <f t="shared" si="666"/>
        <v>0</v>
      </c>
      <c r="EY91" s="5">
        <f t="shared" si="667"/>
        <v>0</v>
      </c>
      <c r="EZ91" s="5">
        <f t="shared" si="668"/>
        <v>0</v>
      </c>
      <c r="FA91" s="5">
        <f t="shared" si="669"/>
        <v>0</v>
      </c>
      <c r="FB91" s="5">
        <f t="shared" si="670"/>
        <v>0</v>
      </c>
      <c r="FC91" s="5">
        <f t="shared" si="671"/>
        <v>0</v>
      </c>
      <c r="FD91" s="5">
        <f t="shared" si="672"/>
        <v>0</v>
      </c>
      <c r="FE91" s="5">
        <f t="shared" si="673"/>
        <v>0</v>
      </c>
      <c r="FF91" s="5">
        <f t="shared" si="674"/>
        <v>0</v>
      </c>
      <c r="FG91" s="5">
        <f t="shared" si="675"/>
        <v>0</v>
      </c>
      <c r="FH91" s="5">
        <f t="shared" si="676"/>
        <v>0</v>
      </c>
      <c r="FI91" s="5">
        <f t="shared" si="677"/>
        <v>0</v>
      </c>
      <c r="FJ91" s="5">
        <f t="shared" si="678"/>
        <v>0</v>
      </c>
      <c r="FK91" s="5">
        <f t="shared" si="679"/>
        <v>0</v>
      </c>
      <c r="FL91" s="5">
        <f t="shared" si="680"/>
        <v>0</v>
      </c>
      <c r="FM91" s="5">
        <f t="shared" si="681"/>
        <v>0</v>
      </c>
      <c r="FN91" s="5">
        <f t="shared" si="682"/>
        <v>0</v>
      </c>
      <c r="FO91" s="5">
        <f t="shared" si="683"/>
        <v>0</v>
      </c>
      <c r="FP91" s="5">
        <f t="shared" si="684"/>
        <v>0</v>
      </c>
    </row>
    <row r="92" spans="1:172" ht="20.100000000000001" customHeight="1" x14ac:dyDescent="0.3">
      <c r="A92" s="8" t="str">
        <f>IF(Ciclo=4,"Surco 4",IF(Ciclo=5,"Surco 4","NA"))</f>
        <v>NA</v>
      </c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O92" s="58">
        <f>IF($A92="NA",0,IFERROR('6'!O$47/Ciclo,0))</f>
        <v>0</v>
      </c>
      <c r="P92" s="58">
        <f>IF($A92="NA",0,IFERROR('6'!P$47/Ciclo,0))</f>
        <v>0</v>
      </c>
      <c r="Q92" s="58">
        <f>IF($A92="NA",0,IFERROR('6'!Q$47/Ciclo,0))</f>
        <v>0</v>
      </c>
      <c r="R92" s="58">
        <f>IF($A92="NA",0,IFERROR('6'!R$47/Ciclo,0))</f>
        <v>0</v>
      </c>
      <c r="S92" s="58">
        <f>IF($A92="NA",0,IFERROR('6'!S$47/Ciclo,0))</f>
        <v>0</v>
      </c>
      <c r="T92" s="58">
        <f>IF($A92="NA",0,IFERROR('6'!T$47/Ciclo,0))</f>
        <v>0</v>
      </c>
      <c r="U92" s="58">
        <f>IF($A92="NA",0,IFERROR('6'!U$47/Ciclo,0))</f>
        <v>0</v>
      </c>
      <c r="V92" s="58">
        <f>IF($A92="NA",0,IFERROR('6'!V$47/Ciclo,0))</f>
        <v>0</v>
      </c>
      <c r="W92" s="5">
        <f>IF($A92="NA",0,IFERROR('6'!W$47/Ciclo,0))</f>
        <v>0</v>
      </c>
      <c r="X92" s="5">
        <f>IF($A92="NA",0,IFERROR('6'!X$47/Ciclo,0))</f>
        <v>0</v>
      </c>
      <c r="Y92" s="5">
        <f>IF($A92="NA",0,IFERROR('6'!Y$47/Ciclo,0))</f>
        <v>0</v>
      </c>
      <c r="Z92" s="5">
        <f>IF($A92="NA",0,IFERROR('6'!Z$47/Ciclo,0))</f>
        <v>0</v>
      </c>
      <c r="AB92" s="5">
        <f>IF($B$86="Producción",IF($B92&gt;=LI_A,$O92,0),0)</f>
        <v>0</v>
      </c>
      <c r="AC92" s="5">
        <f>IF($B$86="Producción",IF($B92&gt;=LI_B,IF($B92&lt;LS_B,$O92,0),0),0)</f>
        <v>0</v>
      </c>
      <c r="AD92" s="5">
        <f>IF($B$86="Producción",IF($B92&gt;=LI_C,IF($B92&lt;LS_C,$O92,0),0),0)</f>
        <v>0</v>
      </c>
      <c r="AE92" s="5">
        <f>IF($B$86="Producción",IF($B92&lt;LS_D,$O92,0),0)</f>
        <v>0</v>
      </c>
      <c r="AF92" s="5">
        <f t="shared" si="685"/>
        <v>0</v>
      </c>
      <c r="AI92" s="5">
        <f>IF($C$86="Producción",IF($C92&gt;=LI_A,$P92,0),0)</f>
        <v>0</v>
      </c>
      <c r="AJ92" s="5">
        <f>IF($C$86="Producción",IF($C92&gt;=LI_B,IF($C92&lt;LS_B,$P92,0),0),0)</f>
        <v>0</v>
      </c>
      <c r="AK92" s="5">
        <f>IF($C$86="Producción",IF($C92&gt;=LI_C,IF($C92&lt;LS_C,$P92,0),0),0)</f>
        <v>0</v>
      </c>
      <c r="AL92" s="5">
        <f>IF($C$86="Producción",IF($C92&lt;LS_D,$P92,0),0)</f>
        <v>0</v>
      </c>
      <c r="AM92" s="5">
        <f>IF($C$86="Crecimiento",$P92,0)</f>
        <v>0</v>
      </c>
      <c r="AP92" s="5">
        <f>IF($D$86="Producción",IF($D92&gt;=LI_A,$Q92,0),0)</f>
        <v>0</v>
      </c>
      <c r="AQ92" s="5">
        <f>IF($D$86="Producción",IF($D92&gt;=LI_B,IF($D92&lt;LS_B,$Q92,0),0),0)</f>
        <v>0</v>
      </c>
      <c r="AR92" s="5">
        <f>IF($D$86="Producción",IF($D92&gt;=LI_C,IF($D92&lt;LS_C,$Q92,0),0),0)</f>
        <v>0</v>
      </c>
      <c r="AS92" s="5">
        <f>IF($D$86="Producción",IF($D92&lt;LS_D,$Q92,0),0)</f>
        <v>0</v>
      </c>
      <c r="AT92" s="5">
        <f>IF($D$86="Crecimiento",IF($D92&gt;0,$Q92,0),0)</f>
        <v>0</v>
      </c>
      <c r="AW92" s="5">
        <f>IF($E$86="Producción",IF($E92&gt;=LI_A,$R92,0),0)</f>
        <v>0</v>
      </c>
      <c r="AX92" s="5">
        <f>IF($E$86="Producción",IF($E92&gt;=LI_B,IF($E92&lt;LS_B,$R92,0),0),0)</f>
        <v>0</v>
      </c>
      <c r="AY92" s="5">
        <f>IF($E$86="Producción",IF($E92&gt;=LI_C,IF($E92&lt;LS_C,$R92,0),0),0)</f>
        <v>0</v>
      </c>
      <c r="AZ92" s="5">
        <f>IF($E$86="Producción",IF($E92&lt;LS_D,$R92,0),0)</f>
        <v>0</v>
      </c>
      <c r="BA92" s="5">
        <f>IF($E$86="Crecimiento",$R92,0)</f>
        <v>0</v>
      </c>
      <c r="BD92" s="5">
        <f>IF($F$86="Producción",IF($F92&gt;=LI_A,$S92,0),0)</f>
        <v>0</v>
      </c>
      <c r="BE92" s="5">
        <f>IF($F$86="Producción",IF($F92&gt;=LI_B,IF($F92&lt;LS_B,$S92,0),0),0)</f>
        <v>0</v>
      </c>
      <c r="BF92" s="5">
        <f>IF($F$86="Producción",IF($F92&gt;=LI_C,IF($F92&lt;LS_C,$S92,0),0),0)</f>
        <v>0</v>
      </c>
      <c r="BG92" s="5">
        <f>IF($F$86="Producción",IF($F92&lt;LS_D,$S92,0),0)</f>
        <v>0</v>
      </c>
      <c r="BH92" s="5">
        <f>IF($F$86="Crecimiento",$S92,0)</f>
        <v>0</v>
      </c>
      <c r="BK92" s="5">
        <f>IF($G$86="Producción",IF($G92&gt;=LI_A,$T92,0),0)</f>
        <v>0</v>
      </c>
      <c r="BL92" s="5">
        <f>IF($G$86="Producción",IF($G92&gt;=LI_B,IF($G92&lt;LS_B,$T92,0),0),0)</f>
        <v>0</v>
      </c>
      <c r="BM92" s="5">
        <f>IF($G$86="Producción",IF($G92&gt;=LI_C,IF($G92&lt;LS_C,$T92,0),0),0)</f>
        <v>0</v>
      </c>
      <c r="BN92" s="5">
        <f>IF($G$86="Producción",IF($G92&lt;LS_D,$T92,0),0)</f>
        <v>0</v>
      </c>
      <c r="BO92" s="5">
        <f>IF($G$86="Crecimiento",$T92,0)</f>
        <v>0</v>
      </c>
      <c r="BR92" s="5">
        <f>IF($H$86="Producción",IF($H92&gt;=LI_A,$U92,0),0)</f>
        <v>0</v>
      </c>
      <c r="BS92" s="5">
        <f>IF($H$86="Producción",IF($H92&gt;=LI_B,IF($H92&lt;LS_B,$U92,0),0),0)</f>
        <v>0</v>
      </c>
      <c r="BT92" s="5">
        <f>IF($H$86="Producción",IF($H92&gt;=LI_C,IF($H92&lt;LS_C,$U92,0),0),0)</f>
        <v>0</v>
      </c>
      <c r="BU92" s="5">
        <f>IF($H$86="Producción",IF($H92&lt;LS_D,$U92,0),0)</f>
        <v>0</v>
      </c>
      <c r="BV92" s="5">
        <f>IF($H$86="Crecimiento",$T92,0)</f>
        <v>0</v>
      </c>
      <c r="BY92" s="5">
        <f>IF($I$86="Producción",IF($I92&gt;=LI_A,$V92,0),0)</f>
        <v>0</v>
      </c>
      <c r="BZ92" s="5">
        <f>IF($I$86="Producción",IF($I92&gt;=LI_B,IF($I92&lt;LS_B,$V92,0),0),0)</f>
        <v>0</v>
      </c>
      <c r="CA92" s="5">
        <f>IF($I$86="Producción",IF($I92&gt;=LI_C,IF($I92&lt;LS_C,$V92,0),0),0)</f>
        <v>0</v>
      </c>
      <c r="CB92" s="5">
        <f>IF($I$86="Producción",IF($I92&lt;LS_D,$V92,0),0)</f>
        <v>0</v>
      </c>
      <c r="CC92" s="5">
        <f>IF($I$86="Crecimiento",$V92,0)</f>
        <v>0</v>
      </c>
      <c r="CF92" s="5">
        <f>IF($J$86="Producción",IF($J92&gt;=LI_A,$W92,0),0)</f>
        <v>0</v>
      </c>
      <c r="CG92" s="5">
        <f>IF($J$86="Producción",IF($J92&gt;=LI_B,IF($J92&lt;LS_B,$W92,0),0),0)</f>
        <v>0</v>
      </c>
      <c r="CH92" s="5">
        <f>IF($J$86="Producción",IF($J92&gt;=LI_C,IF($J92&lt;LS_C,$W92,0),0),0)</f>
        <v>0</v>
      </c>
      <c r="CI92" s="5">
        <f>IF($J$86="Producción",IF($J92&lt;LS_D,$W92,0),0)</f>
        <v>0</v>
      </c>
      <c r="CJ92" s="5">
        <f>IF($J$86="Crecimiento",$W92,0)</f>
        <v>0</v>
      </c>
      <c r="CM92" s="5">
        <f>IF($K$86="Producción",IF($K92&gt;=LI_A,$X92,0),0)</f>
        <v>0</v>
      </c>
      <c r="CN92" s="5">
        <f>IF($K$86="Producción",IF($K92&gt;=LI_B,IF($K92&lt;LS_B,$X92,0),0),0)</f>
        <v>0</v>
      </c>
      <c r="CO92" s="5">
        <f>IF($K$86="Producción",IF($K92&gt;=LI_C,IF($K92&lt;LS_C,$X92,0),0),0)</f>
        <v>0</v>
      </c>
      <c r="CP92" s="5">
        <f>IF($K$86="Producción",IF($K92&lt;LS_D,$X92,0),0)</f>
        <v>0</v>
      </c>
      <c r="CQ92" s="5">
        <f>IF($K$86="Crecimiento",$X92,0)</f>
        <v>0</v>
      </c>
      <c r="CT92" s="5">
        <f>IF($L$86="Producción",IF($L92&gt;=LI_A,$Y92,0),0)</f>
        <v>0</v>
      </c>
      <c r="CU92" s="5">
        <f>IF($L$86="Producción",IF($L92&gt;=LI_B,IF($L92&lt;LS_B,$Y92,0),0),0)</f>
        <v>0</v>
      </c>
      <c r="CV92" s="5">
        <f>IF($L$86="Producción",IF($L92&gt;=LI_C,IF($L92&lt;LS_C,$Y92,0),0),0)</f>
        <v>0</v>
      </c>
      <c r="CW92" s="5">
        <f>IF($L$86="Producción",IF($L92&lt;LS_D,$Y92,0),0)</f>
        <v>0</v>
      </c>
      <c r="CX92" s="5">
        <f>IF($L$86="Crecimiento",$Y92,0)</f>
        <v>0</v>
      </c>
      <c r="DA92" s="5">
        <f>IF($M$86="Producción",IF($M92&gt;=LI_A,$Z92,0),0)</f>
        <v>0</v>
      </c>
      <c r="DB92" s="5">
        <f>IF($M$86="Producción",IF($M92&gt;=LI_B,IF($M92&lt;LS_B,$Z92,0),0),0)</f>
        <v>0</v>
      </c>
      <c r="DC92" s="5">
        <f>IF($M$86="Producción",IF($M92&gt;=LI_C,IF($M92&lt;LS_C,$Z92,0),0),0)</f>
        <v>0</v>
      </c>
      <c r="DD92" s="5">
        <f>IF($M$86="Producción",IF($M92&lt;LS_D,$Z92,0),0)</f>
        <v>0</v>
      </c>
      <c r="DE92" s="5">
        <f>IF($M$86="Crecimiento",$Z92,0)</f>
        <v>0</v>
      </c>
      <c r="DI92" s="5">
        <f t="shared" si="625"/>
        <v>0</v>
      </c>
      <c r="DJ92" s="5">
        <f t="shared" si="626"/>
        <v>0</v>
      </c>
      <c r="DK92" s="5">
        <f t="shared" si="627"/>
        <v>0</v>
      </c>
      <c r="DL92" s="5">
        <f t="shared" si="628"/>
        <v>0</v>
      </c>
      <c r="DM92" s="5">
        <f t="shared" si="629"/>
        <v>0</v>
      </c>
      <c r="DN92" s="5">
        <f t="shared" si="630"/>
        <v>0</v>
      </c>
      <c r="DO92" s="5">
        <f t="shared" si="631"/>
        <v>0</v>
      </c>
      <c r="DP92" s="5">
        <f t="shared" si="632"/>
        <v>0</v>
      </c>
      <c r="DQ92" s="5">
        <f t="shared" si="633"/>
        <v>0</v>
      </c>
      <c r="DR92" s="5">
        <f t="shared" si="634"/>
        <v>0</v>
      </c>
      <c r="DS92" s="5">
        <f t="shared" si="635"/>
        <v>0</v>
      </c>
      <c r="DT92" s="5">
        <f t="shared" si="636"/>
        <v>0</v>
      </c>
      <c r="DU92" s="5">
        <f t="shared" si="637"/>
        <v>0</v>
      </c>
      <c r="DV92" s="5">
        <f t="shared" si="638"/>
        <v>0</v>
      </c>
      <c r="DW92" s="5">
        <f t="shared" si="639"/>
        <v>0</v>
      </c>
      <c r="DX92" s="5">
        <f t="shared" si="640"/>
        <v>0</v>
      </c>
      <c r="DY92" s="5">
        <f t="shared" si="641"/>
        <v>0</v>
      </c>
      <c r="DZ92" s="5">
        <f t="shared" si="642"/>
        <v>0</v>
      </c>
      <c r="EA92" s="5">
        <f t="shared" si="643"/>
        <v>0</v>
      </c>
      <c r="EB92" s="5">
        <f t="shared" si="644"/>
        <v>0</v>
      </c>
      <c r="EC92" s="5">
        <f t="shared" si="645"/>
        <v>0</v>
      </c>
      <c r="ED92" s="5">
        <f t="shared" si="646"/>
        <v>0</v>
      </c>
      <c r="EE92" s="5">
        <f t="shared" si="647"/>
        <v>0</v>
      </c>
      <c r="EF92" s="5">
        <f t="shared" si="648"/>
        <v>0</v>
      </c>
      <c r="EG92" s="5">
        <f t="shared" si="649"/>
        <v>0</v>
      </c>
      <c r="EH92" s="5">
        <f t="shared" si="650"/>
        <v>0</v>
      </c>
      <c r="EI92" s="5">
        <f t="shared" si="651"/>
        <v>0</v>
      </c>
      <c r="EJ92" s="5">
        <f t="shared" si="652"/>
        <v>0</v>
      </c>
      <c r="EK92" s="5">
        <f t="shared" si="653"/>
        <v>0</v>
      </c>
      <c r="EL92" s="5">
        <f t="shared" si="654"/>
        <v>0</v>
      </c>
      <c r="EM92" s="5">
        <f t="shared" si="655"/>
        <v>0</v>
      </c>
      <c r="EN92" s="5">
        <f t="shared" si="656"/>
        <v>0</v>
      </c>
      <c r="EO92" s="5">
        <f t="shared" si="657"/>
        <v>0</v>
      </c>
      <c r="EP92" s="5">
        <f t="shared" si="658"/>
        <v>0</v>
      </c>
      <c r="EQ92" s="5">
        <f t="shared" si="659"/>
        <v>0</v>
      </c>
      <c r="ER92" s="5">
        <f t="shared" si="660"/>
        <v>0</v>
      </c>
      <c r="ES92" s="5">
        <f t="shared" si="661"/>
        <v>0</v>
      </c>
      <c r="ET92" s="5">
        <f t="shared" si="662"/>
        <v>0</v>
      </c>
      <c r="EU92" s="5">
        <f t="shared" si="663"/>
        <v>0</v>
      </c>
      <c r="EV92" s="5">
        <f t="shared" si="664"/>
        <v>0</v>
      </c>
      <c r="EW92" s="5">
        <f t="shared" si="665"/>
        <v>0</v>
      </c>
      <c r="EX92" s="5">
        <f t="shared" si="666"/>
        <v>0</v>
      </c>
      <c r="EY92" s="5">
        <f t="shared" si="667"/>
        <v>0</v>
      </c>
      <c r="EZ92" s="5">
        <f t="shared" si="668"/>
        <v>0</v>
      </c>
      <c r="FA92" s="5">
        <f t="shared" si="669"/>
        <v>0</v>
      </c>
      <c r="FB92" s="5">
        <f t="shared" si="670"/>
        <v>0</v>
      </c>
      <c r="FC92" s="5">
        <f t="shared" si="671"/>
        <v>0</v>
      </c>
      <c r="FD92" s="5">
        <f t="shared" si="672"/>
        <v>0</v>
      </c>
      <c r="FE92" s="5">
        <f t="shared" si="673"/>
        <v>0</v>
      </c>
      <c r="FF92" s="5">
        <f t="shared" si="674"/>
        <v>0</v>
      </c>
      <c r="FG92" s="5">
        <f t="shared" si="675"/>
        <v>0</v>
      </c>
      <c r="FH92" s="5">
        <f t="shared" si="676"/>
        <v>0</v>
      </c>
      <c r="FI92" s="5">
        <f t="shared" si="677"/>
        <v>0</v>
      </c>
      <c r="FJ92" s="5">
        <f t="shared" si="678"/>
        <v>0</v>
      </c>
      <c r="FK92" s="5">
        <f t="shared" si="679"/>
        <v>0</v>
      </c>
      <c r="FL92" s="5">
        <f t="shared" si="680"/>
        <v>0</v>
      </c>
      <c r="FM92" s="5">
        <f t="shared" si="681"/>
        <v>0</v>
      </c>
      <c r="FN92" s="5">
        <f t="shared" si="682"/>
        <v>0</v>
      </c>
      <c r="FO92" s="5">
        <f t="shared" si="683"/>
        <v>0</v>
      </c>
      <c r="FP92" s="5">
        <f t="shared" si="684"/>
        <v>0</v>
      </c>
    </row>
    <row r="93" spans="1:172" ht="20.100000000000001" customHeight="1" x14ac:dyDescent="0.3">
      <c r="A93" s="9" t="str">
        <f>IF(Ciclo=5,"Surco 5","NA")</f>
        <v>NA</v>
      </c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O93" s="58">
        <f>IF($A93="NA",0,IFERROR('6'!O$47/Ciclo,0))</f>
        <v>0</v>
      </c>
      <c r="P93" s="58">
        <f>IF($A93="NA",0,IFERROR('6'!P$47/Ciclo,0))</f>
        <v>0</v>
      </c>
      <c r="Q93" s="58">
        <f>IF($A93="NA",0,IFERROR('6'!Q$47/Ciclo,0))</f>
        <v>0</v>
      </c>
      <c r="R93" s="58">
        <f>IF($A93="NA",0,IFERROR('6'!R$47/Ciclo,0))</f>
        <v>0</v>
      </c>
      <c r="S93" s="58">
        <f>IF($A93="NA",0,IFERROR('6'!S$47/Ciclo,0))</f>
        <v>0</v>
      </c>
      <c r="T93" s="58">
        <f>IF($A93="NA",0,IFERROR('6'!T$47/Ciclo,0))</f>
        <v>0</v>
      </c>
      <c r="U93" s="58">
        <f>IF($A93="NA",0,IFERROR('6'!U$47/Ciclo,0))</f>
        <v>0</v>
      </c>
      <c r="V93" s="58">
        <f>IF($A93="NA",0,IFERROR('6'!V$47/Ciclo,0))</f>
        <v>0</v>
      </c>
      <c r="W93" s="5">
        <f>IF($A93="NA",0,IFERROR('6'!W$47/Ciclo,0))</f>
        <v>0</v>
      </c>
      <c r="X93" s="5">
        <f>IF($A93="NA",0,IFERROR('6'!X$47/Ciclo,0))</f>
        <v>0</v>
      </c>
      <c r="Y93" s="5">
        <f>IF($A93="NA",0,IFERROR('6'!Y$47/Ciclo,0))</f>
        <v>0</v>
      </c>
      <c r="Z93" s="5">
        <f>IF($A93="NA",0,IFERROR('6'!Z$47/Ciclo,0))</f>
        <v>0</v>
      </c>
      <c r="AB93" s="5">
        <f>IF($B$86="Producción",IF($B93&gt;=LI_A,$O93,0),0)</f>
        <v>0</v>
      </c>
      <c r="AC93" s="5">
        <f>IF($B$86="Producción",IF($B93&gt;=LI_B,IF($B93&lt;LS_B,$O93,0),0),0)</f>
        <v>0</v>
      </c>
      <c r="AD93" s="5">
        <f>IF($B$86="Producción",IF($B93&gt;=LI_C,IF($B93&lt;LS_C,$O93,0),0),0)</f>
        <v>0</v>
      </c>
      <c r="AE93" s="5">
        <f>IF($B$86="Producción",IF($B93&lt;LS_D,$O93,0),0)</f>
        <v>0</v>
      </c>
      <c r="AF93" s="5">
        <f t="shared" si="685"/>
        <v>0</v>
      </c>
      <c r="AI93" s="5">
        <f>IF($C$86="Producción",IF($C93&gt;=LI_A,$P93,0),0)</f>
        <v>0</v>
      </c>
      <c r="AJ93" s="5">
        <f>IF($C$86="Producción",IF($C93&gt;=LI_B,IF($C93&lt;LS_B,$P93,0),0),0)</f>
        <v>0</v>
      </c>
      <c r="AK93" s="5">
        <f>IF($C$86="Producción",IF($C93&gt;=LI_C,IF($C93&lt;LS_C,$P93,0),0),0)</f>
        <v>0</v>
      </c>
      <c r="AL93" s="5">
        <f>IF($C$86="Producción",IF($C93&lt;LS_D,$P93,0),0)</f>
        <v>0</v>
      </c>
      <c r="AM93" s="5">
        <f>IF($C$86="Crecimiento",$P93,0)</f>
        <v>0</v>
      </c>
      <c r="AP93" s="5">
        <f>IF($D$86="Producción",IF($D93&gt;=LI_A,$Q93,0),0)</f>
        <v>0</v>
      </c>
      <c r="AQ93" s="5">
        <f>IF($D$86="Producción",IF($D93&gt;=LI_B,IF($D93&lt;LS_B,$Q93,0),0),0)</f>
        <v>0</v>
      </c>
      <c r="AR93" s="5">
        <f>IF($D$86="Producción",IF($D93&gt;=LI_C,IF($D93&lt;LS_C,$Q93,0),0),0)</f>
        <v>0</v>
      </c>
      <c r="AS93" s="5">
        <f>IF($D$86="Producción",IF($D93&lt;LS_D,$Q93,0),0)</f>
        <v>0</v>
      </c>
      <c r="AT93" s="5">
        <f>IF($D$86="Crecimiento",IF($D93&gt;0,$Q93,0),0)</f>
        <v>0</v>
      </c>
      <c r="AW93" s="5">
        <f>IF($E$86="Producción",IF($E93&gt;=LI_A,$R93,0),0)</f>
        <v>0</v>
      </c>
      <c r="AX93" s="5">
        <f>IF($E$86="Producción",IF($E93&gt;=LI_B,IF($E93&lt;LS_B,$R93,0),0),0)</f>
        <v>0</v>
      </c>
      <c r="AY93" s="5">
        <f>IF($E$86="Producción",IF($E93&gt;=LI_C,IF($E93&lt;LS_C,$R93,0),0),0)</f>
        <v>0</v>
      </c>
      <c r="AZ93" s="5">
        <f>IF($E$86="Producción",IF($E93&lt;LS_D,$R93,0),0)</f>
        <v>0</v>
      </c>
      <c r="BA93" s="5">
        <f>IF($E$86="Crecimiento",$R93,0)</f>
        <v>0</v>
      </c>
      <c r="BD93" s="5">
        <f>IF($F$86="Producción",IF($F93&gt;=LI_A,$S93,0),0)</f>
        <v>0</v>
      </c>
      <c r="BE93" s="5">
        <f>IF($F$86="Producción",IF($F93&gt;=LI_B,IF($F93&lt;LS_B,$S93,0),0),0)</f>
        <v>0</v>
      </c>
      <c r="BF93" s="5">
        <f>IF($F$86="Producción",IF($F93&gt;=LI_C,IF($F93&lt;LS_C,$S93,0),0),0)</f>
        <v>0</v>
      </c>
      <c r="BG93" s="5">
        <f>IF($F$86="Producción",IF($F93&lt;LS_D,$S93,0),0)</f>
        <v>0</v>
      </c>
      <c r="BH93" s="5">
        <f>IF($F$86="Crecimiento",$S93,0)</f>
        <v>0</v>
      </c>
      <c r="BK93" s="5">
        <f>IF($G$86="Producción",IF($G93&gt;=LI_A,$T93,0),0)</f>
        <v>0</v>
      </c>
      <c r="BL93" s="5">
        <f>IF($G$86="Producción",IF($G93&gt;=LI_B,IF($G93&lt;LS_B,$T93,0),0),0)</f>
        <v>0</v>
      </c>
      <c r="BM93" s="5">
        <f>IF($G$86="Producción",IF($G93&gt;=LI_C,IF($G93&lt;LS_C,$T93,0),0),0)</f>
        <v>0</v>
      </c>
      <c r="BN93" s="5">
        <f>IF($G$86="Producción",IF($G93&lt;LS_D,$T93,0),0)</f>
        <v>0</v>
      </c>
      <c r="BO93" s="5">
        <f>IF($G$86="Crecimiento",$T93,0)</f>
        <v>0</v>
      </c>
      <c r="BR93" s="5">
        <f>IF($H$86="Producción",IF($H93&gt;=LI_A,$U93,0),0)</f>
        <v>0</v>
      </c>
      <c r="BS93" s="5">
        <f>IF($H$86="Producción",IF($H93&gt;=LI_B,IF($H93&lt;LS_B,$U93,0),0),0)</f>
        <v>0</v>
      </c>
      <c r="BT93" s="5">
        <f>IF($H$86="Producción",IF($H93&gt;=LI_C,IF($H93&lt;LS_C,$U93,0),0),0)</f>
        <v>0</v>
      </c>
      <c r="BU93" s="5">
        <f>IF($H$86="Producción",IF($H93&lt;LS_D,$U93,0),0)</f>
        <v>0</v>
      </c>
      <c r="BV93" s="5">
        <f>IF($H$86="Crecimiento",$T93,0)</f>
        <v>0</v>
      </c>
      <c r="BY93" s="5">
        <f>IF($I$86="Producción",IF($I93&gt;=LI_A,$V93,0),0)</f>
        <v>0</v>
      </c>
      <c r="BZ93" s="5">
        <f>IF($I$86="Producción",IF($I93&gt;=LI_B,IF($I93&lt;LS_B,$V93,0),0),0)</f>
        <v>0</v>
      </c>
      <c r="CA93" s="5">
        <f>IF($I$86="Producción",IF($I93&gt;=LI_C,IF($I93&lt;LS_C,$V93,0),0),0)</f>
        <v>0</v>
      </c>
      <c r="CB93" s="5">
        <f>IF($I$86="Producción",IF($I93&lt;LS_D,$V93,0),0)</f>
        <v>0</v>
      </c>
      <c r="CC93" s="5">
        <f>IF($I$86="Crecimiento",$V93,0)</f>
        <v>0</v>
      </c>
      <c r="CF93" s="5">
        <f>IF($J$86="Producción",IF($J93&gt;=LI_A,$W93,0),0)</f>
        <v>0</v>
      </c>
      <c r="CG93" s="5">
        <f>IF($J$86="Producción",IF($J93&gt;=LI_B,IF($J93&lt;LS_B,$W93,0),0),0)</f>
        <v>0</v>
      </c>
      <c r="CH93" s="5">
        <f>IF($J$86="Producción",IF($J93&gt;=LI_C,IF($J93&lt;LS_C,$W93,0),0),0)</f>
        <v>0</v>
      </c>
      <c r="CI93" s="5">
        <f>IF($J$86="Producción",IF($J93&lt;LS_D,$W93,0),0)</f>
        <v>0</v>
      </c>
      <c r="CJ93" s="5">
        <f>IF($J$86="Crecimiento",$W93,0)</f>
        <v>0</v>
      </c>
      <c r="CM93" s="5">
        <f>IF($K$86="Producción",IF($K93&gt;=LI_A,$X93,0),0)</f>
        <v>0</v>
      </c>
      <c r="CN93" s="5">
        <f>IF($K$86="Producción",IF($K93&gt;=LI_B,IF($K93&lt;LS_B,$X93,0),0),0)</f>
        <v>0</v>
      </c>
      <c r="CO93" s="5">
        <f>IF($K$86="Producción",IF($K93&gt;=LI_C,IF($K93&lt;LS_C,$X93,0),0),0)</f>
        <v>0</v>
      </c>
      <c r="CP93" s="5">
        <f>IF($K$86="Producción",IF($K93&lt;LS_D,$X93,0),0)</f>
        <v>0</v>
      </c>
      <c r="CQ93" s="5">
        <f>IF($K$86="Crecimiento",$X93,0)</f>
        <v>0</v>
      </c>
      <c r="CT93" s="5">
        <f>IF($L$86="Producción",IF($L93&gt;=LI_A,$Y93,0),0)</f>
        <v>0</v>
      </c>
      <c r="CU93" s="5">
        <f>IF($L$86="Producción",IF($L93&gt;=LI_B,IF($L93&lt;LS_B,$Y93,0),0),0)</f>
        <v>0</v>
      </c>
      <c r="CV93" s="5">
        <f>IF($L$86="Producción",IF($L93&gt;=LI_C,IF($L93&lt;LS_C,$Y93,0),0),0)</f>
        <v>0</v>
      </c>
      <c r="CW93" s="5">
        <f>IF($L$86="Producción",IF($L93&lt;LS_D,$Y93,0),0)</f>
        <v>0</v>
      </c>
      <c r="CX93" s="5">
        <f>IF($L$86="Crecimiento",$Y93,0)</f>
        <v>0</v>
      </c>
      <c r="DA93" s="5">
        <f>IF($M$86="Producción",IF($M93&gt;=LI_A,$Z93,0),0)</f>
        <v>0</v>
      </c>
      <c r="DB93" s="5">
        <f>IF($M$86="Producción",IF($M93&gt;=LI_B,IF($M93&lt;LS_B,$Z93,0),0),0)</f>
        <v>0</v>
      </c>
      <c r="DC93" s="5">
        <f>IF($M$86="Producción",IF($M93&gt;=LI_C,IF($M93&lt;LS_C,$Z93,0),0),0)</f>
        <v>0</v>
      </c>
      <c r="DD93" s="5">
        <f>IF($M$86="Producción",IF($M93&lt;LS_D,$Z93,0),0)</f>
        <v>0</v>
      </c>
      <c r="DE93" s="5">
        <f>IF($M$86="Crecimiento",$Z93,0)</f>
        <v>0</v>
      </c>
      <c r="DI93" s="5">
        <f t="shared" si="625"/>
        <v>0</v>
      </c>
      <c r="DJ93" s="5">
        <f t="shared" si="626"/>
        <v>0</v>
      </c>
      <c r="DK93" s="5">
        <f t="shared" si="627"/>
        <v>0</v>
      </c>
      <c r="DL93" s="5">
        <f t="shared" si="628"/>
        <v>0</v>
      </c>
      <c r="DM93" s="5">
        <f t="shared" si="629"/>
        <v>0</v>
      </c>
      <c r="DN93" s="5">
        <f t="shared" si="630"/>
        <v>0</v>
      </c>
      <c r="DO93" s="5">
        <f t="shared" si="631"/>
        <v>0</v>
      </c>
      <c r="DP93" s="5">
        <f t="shared" si="632"/>
        <v>0</v>
      </c>
      <c r="DQ93" s="5">
        <f t="shared" si="633"/>
        <v>0</v>
      </c>
      <c r="DR93" s="5">
        <f t="shared" si="634"/>
        <v>0</v>
      </c>
      <c r="DS93" s="5">
        <f t="shared" si="635"/>
        <v>0</v>
      </c>
      <c r="DT93" s="5">
        <f t="shared" si="636"/>
        <v>0</v>
      </c>
      <c r="DU93" s="5">
        <f t="shared" si="637"/>
        <v>0</v>
      </c>
      <c r="DV93" s="5">
        <f t="shared" si="638"/>
        <v>0</v>
      </c>
      <c r="DW93" s="5">
        <f t="shared" si="639"/>
        <v>0</v>
      </c>
      <c r="DX93" s="5">
        <f t="shared" si="640"/>
        <v>0</v>
      </c>
      <c r="DY93" s="5">
        <f t="shared" si="641"/>
        <v>0</v>
      </c>
      <c r="DZ93" s="5">
        <f t="shared" si="642"/>
        <v>0</v>
      </c>
      <c r="EA93" s="5">
        <f t="shared" si="643"/>
        <v>0</v>
      </c>
      <c r="EB93" s="5">
        <f t="shared" si="644"/>
        <v>0</v>
      </c>
      <c r="EC93" s="5">
        <f t="shared" si="645"/>
        <v>0</v>
      </c>
      <c r="ED93" s="5">
        <f t="shared" si="646"/>
        <v>0</v>
      </c>
      <c r="EE93" s="5">
        <f t="shared" si="647"/>
        <v>0</v>
      </c>
      <c r="EF93" s="5">
        <f t="shared" si="648"/>
        <v>0</v>
      </c>
      <c r="EG93" s="5">
        <f t="shared" si="649"/>
        <v>0</v>
      </c>
      <c r="EH93" s="5">
        <f t="shared" si="650"/>
        <v>0</v>
      </c>
      <c r="EI93" s="5">
        <f t="shared" si="651"/>
        <v>0</v>
      </c>
      <c r="EJ93" s="5">
        <f t="shared" si="652"/>
        <v>0</v>
      </c>
      <c r="EK93" s="5">
        <f t="shared" si="653"/>
        <v>0</v>
      </c>
      <c r="EL93" s="5">
        <f t="shared" si="654"/>
        <v>0</v>
      </c>
      <c r="EM93" s="5">
        <f t="shared" si="655"/>
        <v>0</v>
      </c>
      <c r="EN93" s="5">
        <f t="shared" si="656"/>
        <v>0</v>
      </c>
      <c r="EO93" s="5">
        <f t="shared" si="657"/>
        <v>0</v>
      </c>
      <c r="EP93" s="5">
        <f t="shared" si="658"/>
        <v>0</v>
      </c>
      <c r="EQ93" s="5">
        <f t="shared" si="659"/>
        <v>0</v>
      </c>
      <c r="ER93" s="5">
        <f t="shared" si="660"/>
        <v>0</v>
      </c>
      <c r="ES93" s="5">
        <f t="shared" si="661"/>
        <v>0</v>
      </c>
      <c r="ET93" s="5">
        <f t="shared" si="662"/>
        <v>0</v>
      </c>
      <c r="EU93" s="5">
        <f t="shared" si="663"/>
        <v>0</v>
      </c>
      <c r="EV93" s="5">
        <f t="shared" si="664"/>
        <v>0</v>
      </c>
      <c r="EW93" s="5">
        <f t="shared" si="665"/>
        <v>0</v>
      </c>
      <c r="EX93" s="5">
        <f t="shared" si="666"/>
        <v>0</v>
      </c>
      <c r="EY93" s="5">
        <f t="shared" si="667"/>
        <v>0</v>
      </c>
      <c r="EZ93" s="5">
        <f t="shared" si="668"/>
        <v>0</v>
      </c>
      <c r="FA93" s="5">
        <f t="shared" si="669"/>
        <v>0</v>
      </c>
      <c r="FB93" s="5">
        <f t="shared" si="670"/>
        <v>0</v>
      </c>
      <c r="FC93" s="5">
        <f t="shared" si="671"/>
        <v>0</v>
      </c>
      <c r="FD93" s="5">
        <f t="shared" si="672"/>
        <v>0</v>
      </c>
      <c r="FE93" s="5">
        <f t="shared" si="673"/>
        <v>0</v>
      </c>
      <c r="FF93" s="5">
        <f t="shared" si="674"/>
        <v>0</v>
      </c>
      <c r="FG93" s="5">
        <f t="shared" si="675"/>
        <v>0</v>
      </c>
      <c r="FH93" s="5">
        <f t="shared" si="676"/>
        <v>0</v>
      </c>
      <c r="FI93" s="5">
        <f t="shared" si="677"/>
        <v>0</v>
      </c>
      <c r="FJ93" s="5">
        <f t="shared" si="678"/>
        <v>0</v>
      </c>
      <c r="FK93" s="5">
        <f t="shared" si="679"/>
        <v>0</v>
      </c>
      <c r="FL93" s="5">
        <f t="shared" si="680"/>
        <v>0</v>
      </c>
      <c r="FM93" s="5">
        <f t="shared" si="681"/>
        <v>0</v>
      </c>
      <c r="FN93" s="5">
        <f t="shared" si="682"/>
        <v>0</v>
      </c>
      <c r="FO93" s="5">
        <f t="shared" si="683"/>
        <v>0</v>
      </c>
      <c r="FP93" s="5">
        <f t="shared" si="684"/>
        <v>0</v>
      </c>
    </row>
    <row r="94" spans="1:172" ht="20.100000000000001" customHeight="1" x14ac:dyDescent="0.3">
      <c r="A94" s="172">
        <f>N_L12</f>
        <v>0</v>
      </c>
      <c r="B94" s="363" t="s">
        <v>37</v>
      </c>
      <c r="C94" s="363" t="s">
        <v>37</v>
      </c>
      <c r="D94" s="363" t="s">
        <v>37</v>
      </c>
      <c r="E94" s="363" t="s">
        <v>37</v>
      </c>
      <c r="F94" s="363" t="s">
        <v>37</v>
      </c>
      <c r="G94" s="363" t="s">
        <v>37</v>
      </c>
      <c r="H94" s="363" t="s">
        <v>37</v>
      </c>
      <c r="I94" s="363" t="s">
        <v>37</v>
      </c>
      <c r="J94" s="363" t="s">
        <v>37</v>
      </c>
      <c r="K94" s="363" t="s">
        <v>37</v>
      </c>
      <c r="L94" s="363" t="s">
        <v>37</v>
      </c>
      <c r="M94" s="363" t="s">
        <v>37</v>
      </c>
    </row>
    <row r="95" spans="1:172" ht="20.100000000000001" customHeight="1" x14ac:dyDescent="0.3">
      <c r="A95" s="175" t="s">
        <v>238</v>
      </c>
      <c r="B95" s="174">
        <f>SUM(DI97:DM101)/100</f>
        <v>0</v>
      </c>
      <c r="C95" s="174">
        <f>SUM(DN97:DR101)/100</f>
        <v>0</v>
      </c>
      <c r="D95" s="174">
        <f>SUM(DS97:DW101)/100</f>
        <v>0</v>
      </c>
      <c r="E95" s="174">
        <f>SUM(DX97:EB101)/100</f>
        <v>0</v>
      </c>
      <c r="F95" s="174">
        <f>SUM(EC97:EG101)/100</f>
        <v>0</v>
      </c>
      <c r="G95" s="174">
        <f>SUM(EH97:EL101)/100</f>
        <v>0</v>
      </c>
      <c r="H95" s="174">
        <f>SUM(EM97:EQ101)/100</f>
        <v>0</v>
      </c>
      <c r="I95" s="174">
        <f>SUM(ER97:EV101)/100</f>
        <v>0</v>
      </c>
      <c r="J95" s="174">
        <f>SUM(EW97:FA101)/100</f>
        <v>0</v>
      </c>
      <c r="K95" s="174">
        <f>SUM(FB97:FF101)/100</f>
        <v>0</v>
      </c>
      <c r="L95" s="174">
        <f>SUM(FG97:FK101)/100</f>
        <v>0</v>
      </c>
      <c r="M95" s="174">
        <f>SUM(FL97:FP101)/100</f>
        <v>0</v>
      </c>
    </row>
    <row r="96" spans="1:172" ht="20.100000000000001" customHeight="1" x14ac:dyDescent="0.3">
      <c r="A96" s="151" t="s">
        <v>239</v>
      </c>
      <c r="B96" s="152" t="e">
        <f t="shared" ref="B96:M96" si="686">B95/Lote_12</f>
        <v>#DIV/0!</v>
      </c>
      <c r="C96" s="152" t="e">
        <f t="shared" si="686"/>
        <v>#DIV/0!</v>
      </c>
      <c r="D96" s="152" t="e">
        <f t="shared" si="686"/>
        <v>#DIV/0!</v>
      </c>
      <c r="E96" s="152" t="e">
        <f t="shared" si="686"/>
        <v>#DIV/0!</v>
      </c>
      <c r="F96" s="152" t="e">
        <f t="shared" si="686"/>
        <v>#DIV/0!</v>
      </c>
      <c r="G96" s="152" t="e">
        <f t="shared" si="686"/>
        <v>#DIV/0!</v>
      </c>
      <c r="H96" s="152" t="e">
        <f t="shared" si="686"/>
        <v>#DIV/0!</v>
      </c>
      <c r="I96" s="152" t="e">
        <f t="shared" si="686"/>
        <v>#DIV/0!</v>
      </c>
      <c r="J96" s="152" t="e">
        <f t="shared" si="686"/>
        <v>#DIV/0!</v>
      </c>
      <c r="K96" s="152" t="e">
        <f t="shared" si="686"/>
        <v>#DIV/0!</v>
      </c>
      <c r="L96" s="152" t="e">
        <f t="shared" si="686"/>
        <v>#DIV/0!</v>
      </c>
      <c r="M96" s="152" t="e">
        <f t="shared" si="686"/>
        <v>#DIV/0!</v>
      </c>
    </row>
    <row r="97" spans="1:172" ht="20.100000000000001" customHeight="1" x14ac:dyDescent="0.3">
      <c r="A97" s="8" t="s">
        <v>302</v>
      </c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O97" s="58">
        <f>IFERROR('6'!O$51/Ciclo,0)</f>
        <v>0</v>
      </c>
      <c r="P97" s="58">
        <f>IFERROR('6'!P$51/Ciclo,0)</f>
        <v>0</v>
      </c>
      <c r="Q97" s="58">
        <f>IFERROR('6'!Q$51/Ciclo,0)</f>
        <v>0</v>
      </c>
      <c r="R97" s="58">
        <f>IFERROR('6'!R$51/Ciclo,0)</f>
        <v>0</v>
      </c>
      <c r="S97" s="58">
        <f>IFERROR('6'!S$51/Ciclo,0)</f>
        <v>0</v>
      </c>
      <c r="T97" s="58">
        <f>IFERROR('6'!T$51/Ciclo,0)</f>
        <v>0</v>
      </c>
      <c r="U97" s="58">
        <f>IFERROR('6'!U$51/Ciclo,0)</f>
        <v>0</v>
      </c>
      <c r="V97" s="58">
        <f>IFERROR('6'!V$51/Ciclo,0)</f>
        <v>0</v>
      </c>
      <c r="W97" s="5">
        <f>IFERROR('6'!W$51/Ciclo,0)</f>
        <v>0</v>
      </c>
      <c r="X97" s="5">
        <f>IFERROR('6'!X$51/Ciclo,0)</f>
        <v>0</v>
      </c>
      <c r="Y97" s="5">
        <f>IFERROR('6'!Y$51/Ciclo,0)</f>
        <v>0</v>
      </c>
      <c r="Z97" s="5">
        <f>IFERROR('6'!Z$51/Ciclo,0)</f>
        <v>0</v>
      </c>
      <c r="AB97" s="5">
        <f>IF($B$94="Producción",IF($B97&gt;=LI_A,$O97,0),0)</f>
        <v>0</v>
      </c>
      <c r="AC97" s="5">
        <f>IF($B$94="Producción",IF($B97&gt;=LI_B,IF($B97&lt;LS_B,$O97,0),0),0)</f>
        <v>0</v>
      </c>
      <c r="AD97" s="5">
        <f>IF($B$94="Producción",IF($B97&gt;=LI_C,IF($B97&lt;LS_C,$O97,0),0),0)</f>
        <v>0</v>
      </c>
      <c r="AE97" s="5">
        <f>IF($B$94="Producción",IF($B97&lt;LS_D,$O97,0),0)</f>
        <v>0</v>
      </c>
      <c r="AF97" s="5">
        <f>IF($B$94="Crecimiento",$O97,0)</f>
        <v>0</v>
      </c>
      <c r="AG97" s="5">
        <f>IF($B94="Siembra",'6'!$O$7,0)</f>
        <v>0</v>
      </c>
      <c r="AH97" s="5">
        <f>IF($B94="Abandono",'6'!$O$7,0)</f>
        <v>0</v>
      </c>
      <c r="AI97" s="5">
        <f>IF($C$94="Producción",IF($C97&gt;=LI_A,$P97,0),0)</f>
        <v>0</v>
      </c>
      <c r="AJ97" s="5">
        <f>IF($C$94="Producción",IF($C97&gt;=LI_B,IF($C97&lt;LS_B,$P97,0),0),0)</f>
        <v>0</v>
      </c>
      <c r="AK97" s="5">
        <f>IF($C$94="Producción",IF($C97&gt;=LI_C,IF($C97&lt;LS_C,$P97,0),0),0)</f>
        <v>0</v>
      </c>
      <c r="AL97" s="5">
        <f>IF($C$94="Producción",IF($C97&lt;LS_D,$P97,0),0)</f>
        <v>0</v>
      </c>
      <c r="AM97" s="5">
        <f>IF($C$94="Crecimiento",$P97,0)</f>
        <v>0</v>
      </c>
      <c r="AN97" s="5">
        <f>IF($C94="Siembra",'6'!$P$7,0)</f>
        <v>0</v>
      </c>
      <c r="AO97" s="5">
        <f>IF($C94="Abandono",'6'!$P$7,0)</f>
        <v>0</v>
      </c>
      <c r="AP97" s="5">
        <f>IF($D$94="Producción",IF($D97&gt;=LI_A,$Q97,0),0)</f>
        <v>0</v>
      </c>
      <c r="AQ97" s="5">
        <f>IF($D$94="Producción",IF($D97&gt;=LI_B,IF($D97&lt;LS_B,$Q97,0),0),0)</f>
        <v>0</v>
      </c>
      <c r="AR97" s="5">
        <f>IF($D$94="Producción",IF($D97&gt;=LI_C,IF($D97&lt;LS_C,$Q97,0),0),0)</f>
        <v>0</v>
      </c>
      <c r="AS97" s="5">
        <f>IF($D$94="Producción",IF($D97&lt;LS_D,$Q97,0),0)</f>
        <v>0</v>
      </c>
      <c r="AT97" s="5">
        <f>IF($D$94="Crecimiento",IF($D97&gt;0,$Q97,0),0)</f>
        <v>0</v>
      </c>
      <c r="AU97" s="5">
        <f>IF($D94="Siembra",'6'!$Q$7,0)</f>
        <v>0</v>
      </c>
      <c r="AV97" s="5">
        <f>IF($D94="Abandono",'6'!$Q$7,0)</f>
        <v>0</v>
      </c>
      <c r="AW97" s="5">
        <f>IF($E$94="Producción",IF($E97&gt;=LI_A,$R97,0),0)</f>
        <v>0</v>
      </c>
      <c r="AX97" s="5">
        <f>IF($E$94="Producción",IF($E97&gt;=LI_B,IF($E97&lt;LS_B,$R97,0),0),0)</f>
        <v>0</v>
      </c>
      <c r="AY97" s="5">
        <f>IF($E$94="Producción",IF($E97&gt;=LI_C,IF($E97&lt;LS_C,$R97,0),0),0)</f>
        <v>0</v>
      </c>
      <c r="AZ97" s="5">
        <f>IF($E$94="Producción",IF($E97&lt;LS_D,$R97,0),0)</f>
        <v>0</v>
      </c>
      <c r="BA97" s="5">
        <f>IF($E$94="Crecimiento",$R97,0)</f>
        <v>0</v>
      </c>
      <c r="BB97" s="5">
        <f>IF($E94="Siembra",'6'!$R$7,0)</f>
        <v>0</v>
      </c>
      <c r="BC97" s="5">
        <f>IF($E94="Abandono",'6'!$R$7,0)</f>
        <v>0</v>
      </c>
      <c r="BD97" s="5">
        <f>IF($F$94="Producción",IF($F97&gt;=LI_A,$S97,0),0)</f>
        <v>0</v>
      </c>
      <c r="BE97" s="5">
        <f>IF($F$94="Producción",IF($F97&gt;=LI_B,IF($F97&lt;LS_B,$S97,0),0),0)</f>
        <v>0</v>
      </c>
      <c r="BF97" s="5">
        <f>IF($F$94="Producción",IF($F97&gt;=LI_C,IF($F97&lt;LS_C,$S97,0),0),0)</f>
        <v>0</v>
      </c>
      <c r="BG97" s="5">
        <f>IF($F$94="Producción",IF($F97&lt;LS_D,$S97,0),0)</f>
        <v>0</v>
      </c>
      <c r="BH97" s="5">
        <f>IF($F$94="Crecimiento",$S97,0)</f>
        <v>0</v>
      </c>
      <c r="BI97" s="5">
        <f>IF($F94="Siembra",'6'!$S$7,0)</f>
        <v>0</v>
      </c>
      <c r="BJ97" s="5">
        <f>IF($F94="Abandono",'6'!$S$7,0)</f>
        <v>0</v>
      </c>
      <c r="BK97" s="5">
        <f>IF($G$94="Producción",IF($G97&gt;=LI_A,$T97,0),0)</f>
        <v>0</v>
      </c>
      <c r="BL97" s="5">
        <f>IF($G$94="Producción",IF($G97&gt;=LI_B,IF($G97&lt;LS_B,$T97,0),0),0)</f>
        <v>0</v>
      </c>
      <c r="BM97" s="5">
        <f>IF($G$94="Producción",IF($G97&gt;=LI_C,IF($G97&lt;LS_C,$T97,0),0),0)</f>
        <v>0</v>
      </c>
      <c r="BN97" s="5">
        <f>IF($G$94="Producción",IF($G97&lt;LS_D,$T97,0),0)</f>
        <v>0</v>
      </c>
      <c r="BO97" s="5">
        <f>IF($G$94="Crecimiento",$T97,0)</f>
        <v>0</v>
      </c>
      <c r="BP97" s="5">
        <f>IF($G94="Siembra",'6'!$T$7,0)</f>
        <v>0</v>
      </c>
      <c r="BQ97" s="5">
        <f>IF($G94="Abandono",'6'!$T$7,0)</f>
        <v>0</v>
      </c>
      <c r="BR97" s="5">
        <f>IF($H$94="Producción",IF($H97&gt;=LI_A,$U97,0),0)</f>
        <v>0</v>
      </c>
      <c r="BS97" s="5">
        <f>IF($H$94="Producción",IF($H97&gt;=LI_B,IF($H97&lt;LS_B,$U97,0),0),0)</f>
        <v>0</v>
      </c>
      <c r="BT97" s="5">
        <f>IF($H$94="Producción",IF($H97&gt;=LI_C,IF($H97&lt;LS_C,$U97,0),0),0)</f>
        <v>0</v>
      </c>
      <c r="BU97" s="5">
        <f>IF($H$94="Producción",IF($H97&lt;LS_D,$U97,0),0)</f>
        <v>0</v>
      </c>
      <c r="BV97" s="5">
        <f>IF($H$94="Crecimiento",$T97,0)</f>
        <v>0</v>
      </c>
      <c r="BW97" s="5">
        <f>IF($H94="Siembra",'6'!$U$7,0)</f>
        <v>0</v>
      </c>
      <c r="BX97" s="5">
        <f>IF($H94="Abandono",'6'!$U$7,0)</f>
        <v>0</v>
      </c>
      <c r="BY97" s="5">
        <f>IF($I$94="Producción",IF($I97&gt;=LI_A,$V97,0),0)</f>
        <v>0</v>
      </c>
      <c r="BZ97" s="5">
        <f>IF($I$94="Producción",IF($I97&gt;=LI_B,IF($I97&lt;LS_B,$V97,0),0),0)</f>
        <v>0</v>
      </c>
      <c r="CA97" s="5">
        <f>IF($I$94="Producción",IF($I97&gt;=LI_C,IF($I97&lt;LS_C,$V97,0),0),0)</f>
        <v>0</v>
      </c>
      <c r="CB97" s="5">
        <f>IF($I$94="Producción",IF($I97&lt;LS_D,$V97,0),0)</f>
        <v>0</v>
      </c>
      <c r="CC97" s="5">
        <f>IF($I$94="Crecimiento",$V97,0)</f>
        <v>0</v>
      </c>
      <c r="CD97" s="5">
        <f>IF($I94="Siembra",'6'!$V$7,0)</f>
        <v>0</v>
      </c>
      <c r="CE97" s="5">
        <f>IF($I94="Abandono",'6'!$V$7,0)</f>
        <v>0</v>
      </c>
      <c r="CF97" s="5">
        <f>IF($J$94="Producción",IF($J97&gt;=LI_A,$W97,0),0)</f>
        <v>0</v>
      </c>
      <c r="CG97" s="5">
        <f>IF($J$94="Producción",IF($J97&gt;=LI_B,IF($J97&lt;LS_B,$W97,0),0),0)</f>
        <v>0</v>
      </c>
      <c r="CH97" s="5">
        <f>IF($J$94="Producción",IF($J97&gt;=LI_C,IF($J97&lt;LS_C,$W97,0),0),0)</f>
        <v>0</v>
      </c>
      <c r="CI97" s="5">
        <f>IF($J$94="Producción",IF($J97&lt;LS_D,$W97,0),0)</f>
        <v>0</v>
      </c>
      <c r="CJ97" s="5">
        <f>IF($J$94="Crecimiento",$W97,0)</f>
        <v>0</v>
      </c>
      <c r="CK97" s="5">
        <f>IF($J94="Siembra",'6'!$W$7,0)</f>
        <v>0</v>
      </c>
      <c r="CL97" s="5">
        <f>IF($J94="Abandono",'6'!$W$7,0)</f>
        <v>0</v>
      </c>
      <c r="CM97" s="5">
        <f>IF($K$94="Producción",IF($K97&gt;=LI_A,$X97,0),0)</f>
        <v>0</v>
      </c>
      <c r="CN97" s="5">
        <f>IF($K$94="Producción",IF($K97&gt;=LI_B,IF($K97&lt;LS_B,$X97,0),0),0)</f>
        <v>0</v>
      </c>
      <c r="CO97" s="5">
        <f>IF($K$94="Producción",IF($K97&gt;=LI_C,IF($K97&lt;LS_C,$X97,0),0),0)</f>
        <v>0</v>
      </c>
      <c r="CP97" s="5">
        <f>IF($K$94="Producción",IF($K97&lt;LS_D,$X97,0),0)</f>
        <v>0</v>
      </c>
      <c r="CQ97" s="5">
        <f>IF($K$94="Crecimiento",$X97,0)</f>
        <v>0</v>
      </c>
      <c r="CR97" s="5">
        <f>IF($K94="Siembra",'6'!$X$7,0)</f>
        <v>0</v>
      </c>
      <c r="CS97" s="5">
        <f>IF($K94="Abandono",'6'!$X$7,0)</f>
        <v>0</v>
      </c>
      <c r="CT97" s="5">
        <f>IF($L$94="Producción",IF($L97&gt;=LI_A,$Y97,0),0)</f>
        <v>0</v>
      </c>
      <c r="CU97" s="5">
        <f>IF($L$94="Producción",IF($L97&gt;=LI_B,IF($L97&lt;LS_B,$Y97,0),0),0)</f>
        <v>0</v>
      </c>
      <c r="CV97" s="5">
        <f>IF($L$94="Producción",IF($L97&gt;=LI_C,IF($L97&lt;LS_C,$Y97,0),0),0)</f>
        <v>0</v>
      </c>
      <c r="CW97" s="5">
        <f>IF($L$94="Producción",IF($L97&lt;LS_D,$Y97,0),0)</f>
        <v>0</v>
      </c>
      <c r="CX97" s="5">
        <f>IF($L$94="Crecimiento",$Y97,0)</f>
        <v>0</v>
      </c>
      <c r="CY97" s="5">
        <f>IF($L94="Siembra",'6'!$Y$7,0)</f>
        <v>0</v>
      </c>
      <c r="CZ97" s="5">
        <f>IF($L94="Abandono",'6'!$Y$7,0)</f>
        <v>0</v>
      </c>
      <c r="DA97" s="5">
        <f>IF($M$94="Producción",IF($M97&gt;=LI_A,$Z97,0),0)</f>
        <v>0</v>
      </c>
      <c r="DB97" s="5">
        <f>IF($M$94="Producción",IF($M97&gt;=LI_B,IF($M97&lt;LS_B,$Z97,0),0),0)</f>
        <v>0</v>
      </c>
      <c r="DC97" s="5">
        <f>IF($M$94="Producción",IF($M97&gt;=LI_C,IF($M97&lt;LS_C,$Z97,0),0),0)</f>
        <v>0</v>
      </c>
      <c r="DD97" s="5">
        <f>IF($M$94="Producción",IF($M97&lt;LS_D,$Z97,0),0)</f>
        <v>0</v>
      </c>
      <c r="DE97" s="5">
        <f>IF($M$94="Crecimiento",$Z97,0)</f>
        <v>0</v>
      </c>
      <c r="DF97" s="5">
        <f>IF($M94="Siembra",'6'!$Z$7,0)</f>
        <v>0</v>
      </c>
      <c r="DG97" s="5">
        <f>IF($M94="Abandono",'6'!$Z$7,0)</f>
        <v>0</v>
      </c>
      <c r="DI97" s="5">
        <f t="shared" ref="DI97:DI101" si="687">AB97*$B97</f>
        <v>0</v>
      </c>
      <c r="DJ97" s="5">
        <f t="shared" ref="DJ97:DJ101" si="688">AC97*$B97</f>
        <v>0</v>
      </c>
      <c r="DK97" s="5">
        <f t="shared" ref="DK97:DK101" si="689">AD97*$B97</f>
        <v>0</v>
      </c>
      <c r="DL97" s="5">
        <f t="shared" ref="DL97:DL101" si="690">AE97*$B97</f>
        <v>0</v>
      </c>
      <c r="DM97" s="5">
        <f t="shared" ref="DM97:DM101" si="691">AF97*$B97</f>
        <v>0</v>
      </c>
      <c r="DN97" s="5">
        <f t="shared" ref="DN97:DN101" si="692">AI97*$C97</f>
        <v>0</v>
      </c>
      <c r="DO97" s="5">
        <f t="shared" ref="DO97:DO101" si="693">AJ97*$C97</f>
        <v>0</v>
      </c>
      <c r="DP97" s="5">
        <f t="shared" ref="DP97:DP101" si="694">AK97*$C97</f>
        <v>0</v>
      </c>
      <c r="DQ97" s="5">
        <f t="shared" ref="DQ97:DQ101" si="695">AL97*$C97</f>
        <v>0</v>
      </c>
      <c r="DR97" s="5">
        <f t="shared" ref="DR97:DR101" si="696">AM97*$C97</f>
        <v>0</v>
      </c>
      <c r="DS97" s="5">
        <f t="shared" ref="DS97:DS101" si="697">AP97*$D97</f>
        <v>0</v>
      </c>
      <c r="DT97" s="5">
        <f t="shared" ref="DT97:DT101" si="698">AQ97*$D97</f>
        <v>0</v>
      </c>
      <c r="DU97" s="5">
        <f t="shared" ref="DU97:DU101" si="699">AR97*$D97</f>
        <v>0</v>
      </c>
      <c r="DV97" s="5">
        <f t="shared" ref="DV97:DV101" si="700">AS97*$D97</f>
        <v>0</v>
      </c>
      <c r="DW97" s="5">
        <f t="shared" ref="DW97:DW101" si="701">AT97*$D97</f>
        <v>0</v>
      </c>
      <c r="DX97" s="5">
        <f t="shared" ref="DX97:DX101" si="702">AW97*$E97</f>
        <v>0</v>
      </c>
      <c r="DY97" s="5">
        <f t="shared" ref="DY97:DY101" si="703">AX97*$E97</f>
        <v>0</v>
      </c>
      <c r="DZ97" s="5">
        <f t="shared" ref="DZ97:DZ101" si="704">AY97*$E97</f>
        <v>0</v>
      </c>
      <c r="EA97" s="5">
        <f t="shared" ref="EA97:EA101" si="705">AZ97*$E97</f>
        <v>0</v>
      </c>
      <c r="EB97" s="5">
        <f t="shared" ref="EB97:EB101" si="706">BA97*$E97</f>
        <v>0</v>
      </c>
      <c r="EC97" s="5">
        <f t="shared" ref="EC97:EC101" si="707">BD97*$F97</f>
        <v>0</v>
      </c>
      <c r="ED97" s="5">
        <f t="shared" ref="ED97:ED101" si="708">BE97*$F97</f>
        <v>0</v>
      </c>
      <c r="EE97" s="5">
        <f t="shared" ref="EE97:EE101" si="709">BF97*$F97</f>
        <v>0</v>
      </c>
      <c r="EF97" s="5">
        <f t="shared" ref="EF97:EF101" si="710">BG97*$F97</f>
        <v>0</v>
      </c>
      <c r="EG97" s="5">
        <f t="shared" ref="EG97:EG101" si="711">BH97*$F97</f>
        <v>0</v>
      </c>
      <c r="EH97" s="5">
        <f t="shared" ref="EH97:EH101" si="712">BK97*$G97</f>
        <v>0</v>
      </c>
      <c r="EI97" s="5">
        <f t="shared" ref="EI97:EI101" si="713">BL97*$G97</f>
        <v>0</v>
      </c>
      <c r="EJ97" s="5">
        <f t="shared" ref="EJ97:EJ101" si="714">BM97*$G97</f>
        <v>0</v>
      </c>
      <c r="EK97" s="5">
        <f t="shared" ref="EK97:EK101" si="715">BN97*$G97</f>
        <v>0</v>
      </c>
      <c r="EL97" s="5">
        <f t="shared" ref="EL97:EL101" si="716">BO97*$G97</f>
        <v>0</v>
      </c>
      <c r="EM97" s="5">
        <f t="shared" ref="EM97:EM101" si="717">BR97*$H97</f>
        <v>0</v>
      </c>
      <c r="EN97" s="5">
        <f t="shared" ref="EN97:EN101" si="718">BS97*$H97</f>
        <v>0</v>
      </c>
      <c r="EO97" s="5">
        <f t="shared" ref="EO97:EO101" si="719">BT97*$H97</f>
        <v>0</v>
      </c>
      <c r="EP97" s="5">
        <f t="shared" ref="EP97:EP101" si="720">BU97*$H97</f>
        <v>0</v>
      </c>
      <c r="EQ97" s="5">
        <f t="shared" ref="EQ97:EQ101" si="721">BV97*$H97</f>
        <v>0</v>
      </c>
      <c r="ER97" s="5">
        <f t="shared" ref="ER97:ER101" si="722">BY97*$I97</f>
        <v>0</v>
      </c>
      <c r="ES97" s="5">
        <f t="shared" ref="ES97:ES101" si="723">BZ97*$I97</f>
        <v>0</v>
      </c>
      <c r="ET97" s="5">
        <f t="shared" ref="ET97:ET101" si="724">CA97*$I97</f>
        <v>0</v>
      </c>
      <c r="EU97" s="5">
        <f t="shared" ref="EU97:EU101" si="725">CB97*$I97</f>
        <v>0</v>
      </c>
      <c r="EV97" s="5">
        <f t="shared" ref="EV97:EV101" si="726">CC97*$I97</f>
        <v>0</v>
      </c>
      <c r="EW97" s="5">
        <f t="shared" ref="EW97:EW101" si="727">CF97*$J97</f>
        <v>0</v>
      </c>
      <c r="EX97" s="5">
        <f t="shared" ref="EX97:EX101" si="728">CG97*$J97</f>
        <v>0</v>
      </c>
      <c r="EY97" s="5">
        <f t="shared" ref="EY97:EY101" si="729">CH97*$J97</f>
        <v>0</v>
      </c>
      <c r="EZ97" s="5">
        <f t="shared" ref="EZ97:EZ101" si="730">CI97*$J97</f>
        <v>0</v>
      </c>
      <c r="FA97" s="5">
        <f t="shared" ref="FA97:FA101" si="731">CJ97*$J97</f>
        <v>0</v>
      </c>
      <c r="FB97" s="5">
        <f t="shared" ref="FB97:FB101" si="732">CM97*$K97</f>
        <v>0</v>
      </c>
      <c r="FC97" s="5">
        <f t="shared" ref="FC97:FC101" si="733">CN97*$K97</f>
        <v>0</v>
      </c>
      <c r="FD97" s="5">
        <f t="shared" ref="FD97:FD101" si="734">CO97*$K97</f>
        <v>0</v>
      </c>
      <c r="FE97" s="5">
        <f t="shared" ref="FE97:FE101" si="735">CP97*$K97</f>
        <v>0</v>
      </c>
      <c r="FF97" s="5">
        <f t="shared" ref="FF97:FF101" si="736">CQ97*$K97</f>
        <v>0</v>
      </c>
      <c r="FG97" s="5">
        <f t="shared" ref="FG97:FG101" si="737">CT97*$L97</f>
        <v>0</v>
      </c>
      <c r="FH97" s="5">
        <f t="shared" ref="FH97:FH101" si="738">CU97*$L97</f>
        <v>0</v>
      </c>
      <c r="FI97" s="5">
        <f t="shared" ref="FI97:FI101" si="739">CV97*$L97</f>
        <v>0</v>
      </c>
      <c r="FJ97" s="5">
        <f t="shared" ref="FJ97:FJ101" si="740">CW97*$L97</f>
        <v>0</v>
      </c>
      <c r="FK97" s="5">
        <f t="shared" ref="FK97:FK101" si="741">CX97*$L97</f>
        <v>0</v>
      </c>
      <c r="FL97" s="5">
        <f t="shared" ref="FL97:FL101" si="742">DA97*$M97</f>
        <v>0</v>
      </c>
      <c r="FM97" s="5">
        <f t="shared" ref="FM97:FM101" si="743">DB97*$M97</f>
        <v>0</v>
      </c>
      <c r="FN97" s="5">
        <f t="shared" ref="FN97:FN101" si="744">DC97*$M97</f>
        <v>0</v>
      </c>
      <c r="FO97" s="5">
        <f t="shared" ref="FO97:FO101" si="745">DD97*$M97</f>
        <v>0</v>
      </c>
      <c r="FP97" s="5">
        <f t="shared" ref="FP97:FP101" si="746">DE97*$M97</f>
        <v>0</v>
      </c>
    </row>
    <row r="98" spans="1:172" ht="20.100000000000001" customHeight="1" x14ac:dyDescent="0.3">
      <c r="A98" s="8" t="s">
        <v>303</v>
      </c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O98" s="58">
        <f>IFERROR('6'!O$51/Ciclo,0)</f>
        <v>0</v>
      </c>
      <c r="P98" s="58">
        <f>IFERROR('6'!P$51/Ciclo,0)</f>
        <v>0</v>
      </c>
      <c r="Q98" s="58">
        <f>IFERROR('6'!Q$51/Ciclo,0)</f>
        <v>0</v>
      </c>
      <c r="R98" s="58">
        <f>IFERROR('6'!R$51/Ciclo,0)</f>
        <v>0</v>
      </c>
      <c r="S98" s="58">
        <f>IFERROR('6'!S$51/Ciclo,0)</f>
        <v>0</v>
      </c>
      <c r="T98" s="58">
        <f>IFERROR('6'!T$51/Ciclo,0)</f>
        <v>0</v>
      </c>
      <c r="U98" s="58">
        <f>IFERROR('6'!U$51/Ciclo,0)</f>
        <v>0</v>
      </c>
      <c r="V98" s="58">
        <f>IFERROR('6'!V$51/Ciclo,0)</f>
        <v>0</v>
      </c>
      <c r="W98" s="5">
        <f>IFERROR('6'!W$51/Ciclo,0)</f>
        <v>0</v>
      </c>
      <c r="X98" s="5">
        <f>IFERROR('6'!X$51/Ciclo,0)</f>
        <v>0</v>
      </c>
      <c r="Y98" s="5">
        <f>IFERROR('6'!Y$51/Ciclo,0)</f>
        <v>0</v>
      </c>
      <c r="Z98" s="5">
        <f>IFERROR('6'!Z$51/Ciclo,0)</f>
        <v>0</v>
      </c>
      <c r="AB98" s="5">
        <f>IF($B$94="Producción",IF($B98&gt;=LI_A,$O98,0),0)</f>
        <v>0</v>
      </c>
      <c r="AC98" s="5">
        <f>IF($B$94="Producción",IF($B98&gt;=LI_B,IF($B98&lt;LS_B,$O98,0),0),0)</f>
        <v>0</v>
      </c>
      <c r="AD98" s="5">
        <f>IF($B$94="Producción",IF($B98&gt;=LI_C,IF($B98&lt;LS_C,$O98,0),0),0)</f>
        <v>0</v>
      </c>
      <c r="AE98" s="5">
        <f>IF($B$94="Producción",IF($B98&lt;LS_D,$O98,0),0)</f>
        <v>0</v>
      </c>
      <c r="AF98" s="5">
        <f t="shared" ref="AF98:AF101" si="747">IF($B$94="Crecimiento",$O98,0)</f>
        <v>0</v>
      </c>
      <c r="AI98" s="5">
        <f>IF($C$94="Producción",IF($C98&gt;=LI_A,$P98,0),0)</f>
        <v>0</v>
      </c>
      <c r="AJ98" s="5">
        <f>IF($C$94="Producción",IF($C98&gt;=LI_B,IF($C98&lt;LS_B,$P98,0),0),0)</f>
        <v>0</v>
      </c>
      <c r="AK98" s="5">
        <f>IF($C$94="Producción",IF($C98&gt;=LI_C,IF($C98&lt;LS_C,$P98,0),0),0)</f>
        <v>0</v>
      </c>
      <c r="AL98" s="5">
        <f>IF($C$94="Producción",IF($C98&lt;LS_D,$P98,0),0)</f>
        <v>0</v>
      </c>
      <c r="AM98" s="5">
        <f>IF($C$94="Crecimiento",$P98,0)</f>
        <v>0</v>
      </c>
      <c r="AP98" s="5">
        <f>IF($D$94="Producción",IF($D98&gt;=LI_A,$Q98,0),0)</f>
        <v>0</v>
      </c>
      <c r="AQ98" s="5">
        <f>IF($D$94="Producción",IF($D98&gt;=LI_B,IF($D98&lt;LS_B,$Q98,0),0),0)</f>
        <v>0</v>
      </c>
      <c r="AR98" s="5">
        <f>IF($D$94="Producción",IF($D98&gt;=LI_C,IF($D98&lt;LS_C,$Q98,0),0),0)</f>
        <v>0</v>
      </c>
      <c r="AS98" s="5">
        <f>IF($D$94="Producción",IF($D98&lt;LS_D,$Q98,0),0)</f>
        <v>0</v>
      </c>
      <c r="AT98" s="5">
        <f>IF($D$94="Crecimiento",IF($D98&gt;0,$Q98,0),0)</f>
        <v>0</v>
      </c>
      <c r="AW98" s="5">
        <f>IF($E$94="Producción",IF($E98&gt;=LI_A,$R98,0),0)</f>
        <v>0</v>
      </c>
      <c r="AX98" s="5">
        <f>IF($E$94="Producción",IF($E98&gt;=LI_B,IF($E98&lt;LS_B,$R98,0),0),0)</f>
        <v>0</v>
      </c>
      <c r="AY98" s="5">
        <f>IF($E$94="Producción",IF($E98&gt;=LI_C,IF($E98&lt;LS_C,$R98,0),0),0)</f>
        <v>0</v>
      </c>
      <c r="AZ98" s="5">
        <f>IF($E$94="Producción",IF($E98&lt;LS_D,$R98,0),0)</f>
        <v>0</v>
      </c>
      <c r="BA98" s="5">
        <f>IF($E$94="Crecimiento",$R98,0)</f>
        <v>0</v>
      </c>
      <c r="BD98" s="5">
        <f>IF($F$94="Producción",IF($F98&gt;=LI_A,$S98,0),0)</f>
        <v>0</v>
      </c>
      <c r="BE98" s="5">
        <f>IF($F$94="Producción",IF($F98&gt;=LI_B,IF($F98&lt;LS_B,$S98,0),0),0)</f>
        <v>0</v>
      </c>
      <c r="BF98" s="5">
        <f>IF($F$94="Producción",IF($F98&gt;=LI_C,IF($F98&lt;LS_C,$S98,0),0),0)</f>
        <v>0</v>
      </c>
      <c r="BG98" s="5">
        <f>IF($F$94="Producción",IF($F98&lt;LS_D,$S98,0),0)</f>
        <v>0</v>
      </c>
      <c r="BH98" s="5">
        <f>IF($F$94="Crecimiento",$S98,0)</f>
        <v>0</v>
      </c>
      <c r="BK98" s="5">
        <f>IF($G$94="Producción",IF($G98&gt;=LI_A,$T98,0),0)</f>
        <v>0</v>
      </c>
      <c r="BL98" s="5">
        <f>IF($G$94="Producción",IF($G98&gt;=LI_B,IF($G98&lt;LS_B,$T98,0),0),0)</f>
        <v>0</v>
      </c>
      <c r="BM98" s="5">
        <f>IF($G$94="Producción",IF($G98&gt;=LI_C,IF($G98&lt;LS_C,$T98,0),0),0)</f>
        <v>0</v>
      </c>
      <c r="BN98" s="5">
        <f>IF($G$94="Producción",IF($G98&lt;LS_D,$T98,0),0)</f>
        <v>0</v>
      </c>
      <c r="BO98" s="5">
        <f>IF($G$94="Crecimiento",$T98,0)</f>
        <v>0</v>
      </c>
      <c r="BR98" s="5">
        <f>IF($H$94="Producción",IF($H98&gt;=LI_A,$U98,0),0)</f>
        <v>0</v>
      </c>
      <c r="BS98" s="5">
        <f>IF($H$94="Producción",IF($H98&gt;=LI_B,IF($H98&lt;LS_B,$U98,0),0),0)</f>
        <v>0</v>
      </c>
      <c r="BT98" s="5">
        <f>IF($H$94="Producción",IF($H98&gt;=LI_C,IF($H98&lt;LS_C,$U98,0),0),0)</f>
        <v>0</v>
      </c>
      <c r="BU98" s="5">
        <f>IF($H$94="Producción",IF($H98&lt;LS_D,$U98,0),0)</f>
        <v>0</v>
      </c>
      <c r="BV98" s="5">
        <f>IF($H$94="Crecimiento",$T98,0)</f>
        <v>0</v>
      </c>
      <c r="BY98" s="5">
        <f>IF($I$94="Producción",IF($I98&gt;=LI_A,$V98,0),0)</f>
        <v>0</v>
      </c>
      <c r="BZ98" s="5">
        <f>IF($I$94="Producción",IF($I98&gt;=LI_B,IF($I98&lt;LS_B,$V98,0),0),0)</f>
        <v>0</v>
      </c>
      <c r="CA98" s="5">
        <f>IF($I$94="Producción",IF($I98&gt;=LI_C,IF($I98&lt;LS_C,$V98,0),0),0)</f>
        <v>0</v>
      </c>
      <c r="CB98" s="5">
        <f>IF($I$94="Producción",IF($I98&lt;LS_D,$V98,0),0)</f>
        <v>0</v>
      </c>
      <c r="CC98" s="5">
        <f>IF($I$94="Crecimiento",$V98,0)</f>
        <v>0</v>
      </c>
      <c r="CF98" s="5">
        <f>IF($J$94="Producción",IF($J98&gt;=LI_A,$W98,0),0)</f>
        <v>0</v>
      </c>
      <c r="CG98" s="5">
        <f>IF($J$94="Producción",IF($J98&gt;=LI_B,IF($J98&lt;LS_B,$W98,0),0),0)</f>
        <v>0</v>
      </c>
      <c r="CH98" s="5">
        <f>IF($J$94="Producción",IF($J98&gt;=LI_C,IF($J98&lt;LS_C,$W98,0),0),0)</f>
        <v>0</v>
      </c>
      <c r="CI98" s="5">
        <f>IF($J$94="Producción",IF($J98&lt;LS_D,$W98,0),0)</f>
        <v>0</v>
      </c>
      <c r="CJ98" s="5">
        <f>IF($J$94="Crecimiento",$W98,0)</f>
        <v>0</v>
      </c>
      <c r="CM98" s="5">
        <f>IF($K$94="Producción",IF($K98&gt;=LI_A,$X98,0),0)</f>
        <v>0</v>
      </c>
      <c r="CN98" s="5">
        <f>IF($K$94="Producción",IF($K98&gt;=LI_B,IF($K98&lt;LS_B,$X98,0),0),0)</f>
        <v>0</v>
      </c>
      <c r="CO98" s="5">
        <f>IF($K$94="Producción",IF($K98&gt;=LI_C,IF($K98&lt;LS_C,$X98,0),0),0)</f>
        <v>0</v>
      </c>
      <c r="CP98" s="5">
        <f>IF($K$94="Producción",IF($K98&lt;LS_D,$X98,0),0)</f>
        <v>0</v>
      </c>
      <c r="CQ98" s="5">
        <f>IF($K$94="Crecimiento",$X98,0)</f>
        <v>0</v>
      </c>
      <c r="CT98" s="5">
        <f>IF($L$94="Producción",IF($L98&gt;=LI_A,$Y98,0),0)</f>
        <v>0</v>
      </c>
      <c r="CU98" s="5">
        <f>IF($L$94="Producción",IF($L98&gt;=LI_B,IF($L98&lt;LS_B,$Y98,0),0),0)</f>
        <v>0</v>
      </c>
      <c r="CV98" s="5">
        <f>IF($L$94="Producción",IF($L98&gt;=LI_C,IF($L98&lt;LS_C,$Y98,0),0),0)</f>
        <v>0</v>
      </c>
      <c r="CW98" s="5">
        <f>IF($L$94="Producción",IF($L98&lt;LS_D,$Y98,0),0)</f>
        <v>0</v>
      </c>
      <c r="CX98" s="5">
        <f>IF($L$94="Crecimiento",$Y98,0)</f>
        <v>0</v>
      </c>
      <c r="DA98" s="5">
        <f>IF($M$94="Producción",IF($M98&gt;=LI_A,$Z98,0),0)</f>
        <v>0</v>
      </c>
      <c r="DB98" s="5">
        <f>IF($M$94="Producción",IF($M98&gt;=LI_B,IF($M98&lt;LS_B,$Z98,0),0),0)</f>
        <v>0</v>
      </c>
      <c r="DC98" s="5">
        <f>IF($M$94="Producción",IF($M98&gt;=LI_C,IF($M98&lt;LS_C,$Z98,0),0),0)</f>
        <v>0</v>
      </c>
      <c r="DD98" s="5">
        <f>IF($M$94="Producción",IF($M98&lt;LS_D,$Z98,0),0)</f>
        <v>0</v>
      </c>
      <c r="DE98" s="5">
        <f>IF($M$94="Crecimiento",$Z98,0)</f>
        <v>0</v>
      </c>
      <c r="DI98" s="5">
        <f t="shared" si="687"/>
        <v>0</v>
      </c>
      <c r="DJ98" s="5">
        <f t="shared" si="688"/>
        <v>0</v>
      </c>
      <c r="DK98" s="5">
        <f t="shared" si="689"/>
        <v>0</v>
      </c>
      <c r="DL98" s="5">
        <f t="shared" si="690"/>
        <v>0</v>
      </c>
      <c r="DM98" s="5">
        <f t="shared" si="691"/>
        <v>0</v>
      </c>
      <c r="DN98" s="5">
        <f t="shared" si="692"/>
        <v>0</v>
      </c>
      <c r="DO98" s="5">
        <f t="shared" si="693"/>
        <v>0</v>
      </c>
      <c r="DP98" s="5">
        <f t="shared" si="694"/>
        <v>0</v>
      </c>
      <c r="DQ98" s="5">
        <f t="shared" si="695"/>
        <v>0</v>
      </c>
      <c r="DR98" s="5">
        <f t="shared" si="696"/>
        <v>0</v>
      </c>
      <c r="DS98" s="5">
        <f t="shared" si="697"/>
        <v>0</v>
      </c>
      <c r="DT98" s="5">
        <f t="shared" si="698"/>
        <v>0</v>
      </c>
      <c r="DU98" s="5">
        <f t="shared" si="699"/>
        <v>0</v>
      </c>
      <c r="DV98" s="5">
        <f t="shared" si="700"/>
        <v>0</v>
      </c>
      <c r="DW98" s="5">
        <f t="shared" si="701"/>
        <v>0</v>
      </c>
      <c r="DX98" s="5">
        <f t="shared" si="702"/>
        <v>0</v>
      </c>
      <c r="DY98" s="5">
        <f t="shared" si="703"/>
        <v>0</v>
      </c>
      <c r="DZ98" s="5">
        <f t="shared" si="704"/>
        <v>0</v>
      </c>
      <c r="EA98" s="5">
        <f t="shared" si="705"/>
        <v>0</v>
      </c>
      <c r="EB98" s="5">
        <f t="shared" si="706"/>
        <v>0</v>
      </c>
      <c r="EC98" s="5">
        <f t="shared" si="707"/>
        <v>0</v>
      </c>
      <c r="ED98" s="5">
        <f t="shared" si="708"/>
        <v>0</v>
      </c>
      <c r="EE98" s="5">
        <f t="shared" si="709"/>
        <v>0</v>
      </c>
      <c r="EF98" s="5">
        <f t="shared" si="710"/>
        <v>0</v>
      </c>
      <c r="EG98" s="5">
        <f t="shared" si="711"/>
        <v>0</v>
      </c>
      <c r="EH98" s="5">
        <f t="shared" si="712"/>
        <v>0</v>
      </c>
      <c r="EI98" s="5">
        <f t="shared" si="713"/>
        <v>0</v>
      </c>
      <c r="EJ98" s="5">
        <f t="shared" si="714"/>
        <v>0</v>
      </c>
      <c r="EK98" s="5">
        <f t="shared" si="715"/>
        <v>0</v>
      </c>
      <c r="EL98" s="5">
        <f t="shared" si="716"/>
        <v>0</v>
      </c>
      <c r="EM98" s="5">
        <f t="shared" si="717"/>
        <v>0</v>
      </c>
      <c r="EN98" s="5">
        <f t="shared" si="718"/>
        <v>0</v>
      </c>
      <c r="EO98" s="5">
        <f t="shared" si="719"/>
        <v>0</v>
      </c>
      <c r="EP98" s="5">
        <f t="shared" si="720"/>
        <v>0</v>
      </c>
      <c r="EQ98" s="5">
        <f t="shared" si="721"/>
        <v>0</v>
      </c>
      <c r="ER98" s="5">
        <f t="shared" si="722"/>
        <v>0</v>
      </c>
      <c r="ES98" s="5">
        <f t="shared" si="723"/>
        <v>0</v>
      </c>
      <c r="ET98" s="5">
        <f t="shared" si="724"/>
        <v>0</v>
      </c>
      <c r="EU98" s="5">
        <f t="shared" si="725"/>
        <v>0</v>
      </c>
      <c r="EV98" s="5">
        <f t="shared" si="726"/>
        <v>0</v>
      </c>
      <c r="EW98" s="5">
        <f t="shared" si="727"/>
        <v>0</v>
      </c>
      <c r="EX98" s="5">
        <f t="shared" si="728"/>
        <v>0</v>
      </c>
      <c r="EY98" s="5">
        <f t="shared" si="729"/>
        <v>0</v>
      </c>
      <c r="EZ98" s="5">
        <f t="shared" si="730"/>
        <v>0</v>
      </c>
      <c r="FA98" s="5">
        <f t="shared" si="731"/>
        <v>0</v>
      </c>
      <c r="FB98" s="5">
        <f t="shared" si="732"/>
        <v>0</v>
      </c>
      <c r="FC98" s="5">
        <f t="shared" si="733"/>
        <v>0</v>
      </c>
      <c r="FD98" s="5">
        <f t="shared" si="734"/>
        <v>0</v>
      </c>
      <c r="FE98" s="5">
        <f t="shared" si="735"/>
        <v>0</v>
      </c>
      <c r="FF98" s="5">
        <f t="shared" si="736"/>
        <v>0</v>
      </c>
      <c r="FG98" s="5">
        <f t="shared" si="737"/>
        <v>0</v>
      </c>
      <c r="FH98" s="5">
        <f t="shared" si="738"/>
        <v>0</v>
      </c>
      <c r="FI98" s="5">
        <f t="shared" si="739"/>
        <v>0</v>
      </c>
      <c r="FJ98" s="5">
        <f t="shared" si="740"/>
        <v>0</v>
      </c>
      <c r="FK98" s="5">
        <f t="shared" si="741"/>
        <v>0</v>
      </c>
      <c r="FL98" s="5">
        <f t="shared" si="742"/>
        <v>0</v>
      </c>
      <c r="FM98" s="5">
        <f t="shared" si="743"/>
        <v>0</v>
      </c>
      <c r="FN98" s="5">
        <f t="shared" si="744"/>
        <v>0</v>
      </c>
      <c r="FO98" s="5">
        <f t="shared" si="745"/>
        <v>0</v>
      </c>
      <c r="FP98" s="5">
        <f t="shared" si="746"/>
        <v>0</v>
      </c>
    </row>
    <row r="99" spans="1:172" ht="20.100000000000001" customHeight="1" x14ac:dyDescent="0.3">
      <c r="A99" s="8" t="str">
        <f>IF(Ciclo&gt;2,"Surco 3","NA")</f>
        <v>Surco 3</v>
      </c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O99" s="58">
        <f>IF($A99="NA",0,IFERROR('6'!O$51/Ciclo,0))</f>
        <v>0</v>
      </c>
      <c r="P99" s="58">
        <f>IF($A99="NA",0,IFERROR('6'!P$51/Ciclo,0))</f>
        <v>0</v>
      </c>
      <c r="Q99" s="58">
        <f>IF($A99="NA",0,IFERROR('6'!Q$51/Ciclo,0))</f>
        <v>0</v>
      </c>
      <c r="R99" s="58">
        <f>IF($A99="NA",0,IFERROR('6'!R$51/Ciclo,0))</f>
        <v>0</v>
      </c>
      <c r="S99" s="58">
        <f>IF($A99="NA",0,IFERROR('6'!S$51/Ciclo,0))</f>
        <v>0</v>
      </c>
      <c r="T99" s="58">
        <f>IF($A99="NA",0,IFERROR('6'!T$51/Ciclo,0))</f>
        <v>0</v>
      </c>
      <c r="U99" s="58">
        <f>IF($A99="NA",0,IFERROR('6'!U$51/Ciclo,0))</f>
        <v>0</v>
      </c>
      <c r="V99" s="58">
        <f>IF($A99="NA",0,IFERROR('6'!V$51/Ciclo,0))</f>
        <v>0</v>
      </c>
      <c r="W99" s="5">
        <f>IF($A99="NA",0,IFERROR('6'!W$51/Ciclo,0))</f>
        <v>0</v>
      </c>
      <c r="X99" s="5">
        <f>IF($A99="NA",0,IFERROR('6'!X$51/Ciclo,0))</f>
        <v>0</v>
      </c>
      <c r="Y99" s="5">
        <f>IF($A99="NA",0,IFERROR('6'!Y$51/Ciclo,0))</f>
        <v>0</v>
      </c>
      <c r="Z99" s="5">
        <f>IF($A99="NA",0,IFERROR('6'!Z$51/Ciclo,0))</f>
        <v>0</v>
      </c>
      <c r="AB99" s="5">
        <f>IF($B$94="Producción",IF($B99&gt;=LI_A,$O99,0),0)</f>
        <v>0</v>
      </c>
      <c r="AC99" s="5">
        <f>IF($B$94="Producción",IF($B99&gt;=LI_B,IF($B99&lt;LS_B,$O99,0),0),0)</f>
        <v>0</v>
      </c>
      <c r="AD99" s="5">
        <f>IF($B$94="Producción",IF($B99&gt;=LI_C,IF($B99&lt;LS_C,$O99,0),0),0)</f>
        <v>0</v>
      </c>
      <c r="AE99" s="5">
        <f>IF($B$94="Producción",IF($B99&lt;LS_D,$O99,0),0)</f>
        <v>0</v>
      </c>
      <c r="AF99" s="5">
        <f t="shared" si="747"/>
        <v>0</v>
      </c>
      <c r="AI99" s="5">
        <f>IF($C$94="Producción",IF($C99&gt;=LI_A,$P99,0),0)</f>
        <v>0</v>
      </c>
      <c r="AJ99" s="5">
        <f>IF($C$94="Producción",IF($C99&gt;=LI_B,IF($C99&lt;LS_B,$P99,0),0),0)</f>
        <v>0</v>
      </c>
      <c r="AK99" s="5">
        <f>IF($C$94="Producción",IF($C99&gt;=LI_C,IF($C99&lt;LS_C,$P99,0),0),0)</f>
        <v>0</v>
      </c>
      <c r="AL99" s="5">
        <f>IF($C$94="Producción",IF($C99&lt;LS_D,$P99,0),0)</f>
        <v>0</v>
      </c>
      <c r="AM99" s="5">
        <f>IF($C$94="Crecimiento",$P99,0)</f>
        <v>0</v>
      </c>
      <c r="AP99" s="5">
        <f>IF($D$94="Producción",IF($D99&gt;=LI_A,$Q99,0),0)</f>
        <v>0</v>
      </c>
      <c r="AQ99" s="5">
        <f>IF($D$94="Producción",IF($D99&gt;=LI_B,IF($D99&lt;LS_B,$Q99,0),0),0)</f>
        <v>0</v>
      </c>
      <c r="AR99" s="5">
        <f>IF($D$94="Producción",IF($D99&gt;=LI_C,IF($D99&lt;LS_C,$Q99,0),0),0)</f>
        <v>0</v>
      </c>
      <c r="AS99" s="5">
        <f>IF($D$94="Producción",IF($D99&lt;LS_D,$Q99,0),0)</f>
        <v>0</v>
      </c>
      <c r="AT99" s="5">
        <f>IF($D$94="Crecimiento",IF($D99&gt;0,$Q99,0),0)</f>
        <v>0</v>
      </c>
      <c r="AW99" s="5">
        <f>IF($E$94="Producción",IF($E99&gt;=LI_A,$R99,0),0)</f>
        <v>0</v>
      </c>
      <c r="AX99" s="5">
        <f>IF($E$94="Producción",IF($E99&gt;=LI_B,IF($E99&lt;LS_B,$R99,0),0),0)</f>
        <v>0</v>
      </c>
      <c r="AY99" s="5">
        <f>IF($E$94="Producción",IF($E99&gt;=LI_C,IF($E99&lt;LS_C,$R99,0),0),0)</f>
        <v>0</v>
      </c>
      <c r="AZ99" s="5">
        <f>IF($E$94="Producción",IF($E99&lt;LS_D,$R99,0),0)</f>
        <v>0</v>
      </c>
      <c r="BA99" s="5">
        <f>IF($E$94="Crecimiento",$R99,0)</f>
        <v>0</v>
      </c>
      <c r="BD99" s="5">
        <f>IF($F$94="Producción",IF($F99&gt;=LI_A,$S99,0),0)</f>
        <v>0</v>
      </c>
      <c r="BE99" s="5">
        <f>IF($F$94="Producción",IF($F99&gt;=LI_B,IF($F99&lt;LS_B,$S99,0),0),0)</f>
        <v>0</v>
      </c>
      <c r="BF99" s="5">
        <f>IF($F$94="Producción",IF($F99&gt;=LI_C,IF($F99&lt;LS_C,$S99,0),0),0)</f>
        <v>0</v>
      </c>
      <c r="BG99" s="5">
        <f>IF($F$94="Producción",IF($F99&lt;LS_D,$S99,0),0)</f>
        <v>0</v>
      </c>
      <c r="BH99" s="5">
        <f>IF($F$94="Crecimiento",$S99,0)</f>
        <v>0</v>
      </c>
      <c r="BK99" s="5">
        <f>IF($G$94="Producción",IF($G99&gt;=LI_A,$T99,0),0)</f>
        <v>0</v>
      </c>
      <c r="BL99" s="5">
        <f>IF($G$94="Producción",IF($G99&gt;=LI_B,IF($G99&lt;LS_B,$T99,0),0),0)</f>
        <v>0</v>
      </c>
      <c r="BM99" s="5">
        <f>IF($G$94="Producción",IF($G99&gt;=LI_C,IF($G99&lt;LS_C,$T99,0),0),0)</f>
        <v>0</v>
      </c>
      <c r="BN99" s="5">
        <f>IF($G$94="Producción",IF($G99&lt;LS_D,$T99,0),0)</f>
        <v>0</v>
      </c>
      <c r="BO99" s="5">
        <f>IF($G$94="Crecimiento",$T99,0)</f>
        <v>0</v>
      </c>
      <c r="BR99" s="5">
        <f>IF($H$94="Producción",IF($H99&gt;=LI_A,$U99,0),0)</f>
        <v>0</v>
      </c>
      <c r="BS99" s="5">
        <f>IF($H$94="Producción",IF($H99&gt;=LI_B,IF($H99&lt;LS_B,$U99,0),0),0)</f>
        <v>0</v>
      </c>
      <c r="BT99" s="5">
        <f>IF($H$94="Producción",IF($H99&gt;=LI_C,IF($H99&lt;LS_C,$U99,0),0),0)</f>
        <v>0</v>
      </c>
      <c r="BU99" s="5">
        <f>IF($H$94="Producción",IF($H99&lt;LS_D,$U99,0),0)</f>
        <v>0</v>
      </c>
      <c r="BV99" s="5">
        <f>IF($H$94="Crecimiento",$T99,0)</f>
        <v>0</v>
      </c>
      <c r="BY99" s="5">
        <f>IF($I$94="Producción",IF($I99&gt;=LI_A,$V99,0),0)</f>
        <v>0</v>
      </c>
      <c r="BZ99" s="5">
        <f>IF($I$94="Producción",IF($I99&gt;=LI_B,IF($I99&lt;LS_B,$V99,0),0),0)</f>
        <v>0</v>
      </c>
      <c r="CA99" s="5">
        <f>IF($I$94="Producción",IF($I99&gt;=LI_C,IF($I99&lt;LS_C,$V99,0),0),0)</f>
        <v>0</v>
      </c>
      <c r="CB99" s="5">
        <f>IF($I$94="Producción",IF($I99&lt;LS_D,$V99,0),0)</f>
        <v>0</v>
      </c>
      <c r="CC99" s="5">
        <f>IF($I$94="Crecimiento",$V99,0)</f>
        <v>0</v>
      </c>
      <c r="CF99" s="5">
        <f>IF($J$94="Producción",IF($J99&gt;=LI_A,$W99,0),0)</f>
        <v>0</v>
      </c>
      <c r="CG99" s="5">
        <f>IF($J$94="Producción",IF($J99&gt;=LI_B,IF($J99&lt;LS_B,$W99,0),0),0)</f>
        <v>0</v>
      </c>
      <c r="CH99" s="5">
        <f>IF($J$94="Producción",IF($J99&gt;=LI_C,IF($J99&lt;LS_C,$W99,0),0),0)</f>
        <v>0</v>
      </c>
      <c r="CI99" s="5">
        <f>IF($J$94="Producción",IF($J99&lt;LS_D,$W99,0),0)</f>
        <v>0</v>
      </c>
      <c r="CJ99" s="5">
        <f>IF($J$94="Crecimiento",$W99,0)</f>
        <v>0</v>
      </c>
      <c r="CM99" s="5">
        <f>IF($K$94="Producción",IF($K99&gt;=LI_A,$X99,0),0)</f>
        <v>0</v>
      </c>
      <c r="CN99" s="5">
        <f>IF($K$94="Producción",IF($K99&gt;=LI_B,IF($K99&lt;LS_B,$X99,0),0),0)</f>
        <v>0</v>
      </c>
      <c r="CO99" s="5">
        <f>IF($K$94="Producción",IF($K99&gt;=LI_C,IF($K99&lt;LS_C,$X99,0),0),0)</f>
        <v>0</v>
      </c>
      <c r="CP99" s="5">
        <f>IF($K$94="Producción",IF($K99&lt;LS_D,$X99,0),0)</f>
        <v>0</v>
      </c>
      <c r="CQ99" s="5">
        <f>IF($K$94="Crecimiento",$X99,0)</f>
        <v>0</v>
      </c>
      <c r="CT99" s="5">
        <f>IF($L$94="Producción",IF($L99&gt;=LI_A,$Y99,0),0)</f>
        <v>0</v>
      </c>
      <c r="CU99" s="5">
        <f>IF($L$94="Producción",IF($L99&gt;=LI_B,IF($L99&lt;LS_B,$Y99,0),0),0)</f>
        <v>0</v>
      </c>
      <c r="CV99" s="5">
        <f>IF($L$94="Producción",IF($L99&gt;=LI_C,IF($L99&lt;LS_C,$Y99,0),0),0)</f>
        <v>0</v>
      </c>
      <c r="CW99" s="5">
        <f>IF($L$94="Producción",IF($L99&lt;LS_D,$Y99,0),0)</f>
        <v>0</v>
      </c>
      <c r="CX99" s="5">
        <f>IF($L$94="Crecimiento",$Y99,0)</f>
        <v>0</v>
      </c>
      <c r="DA99" s="5">
        <f>IF($M$94="Producción",IF($M99&gt;=LI_A,$Z99,0),0)</f>
        <v>0</v>
      </c>
      <c r="DB99" s="5">
        <f>IF($M$94="Producción",IF($M99&gt;=LI_B,IF($M99&lt;LS_B,$Z99,0),0),0)</f>
        <v>0</v>
      </c>
      <c r="DC99" s="5">
        <f>IF($M$94="Producción",IF($M99&gt;=LI_C,IF($M99&lt;LS_C,$Z99,0),0),0)</f>
        <v>0</v>
      </c>
      <c r="DD99" s="5">
        <f>IF($M$94="Producción",IF($M99&lt;LS_D,$Z99,0),0)</f>
        <v>0</v>
      </c>
      <c r="DE99" s="5">
        <f>IF($M$94="Crecimiento",$Z99,0)</f>
        <v>0</v>
      </c>
      <c r="DI99" s="5">
        <f t="shared" si="687"/>
        <v>0</v>
      </c>
      <c r="DJ99" s="5">
        <f t="shared" si="688"/>
        <v>0</v>
      </c>
      <c r="DK99" s="5">
        <f t="shared" si="689"/>
        <v>0</v>
      </c>
      <c r="DL99" s="5">
        <f t="shared" si="690"/>
        <v>0</v>
      </c>
      <c r="DM99" s="5">
        <f t="shared" si="691"/>
        <v>0</v>
      </c>
      <c r="DN99" s="5">
        <f t="shared" si="692"/>
        <v>0</v>
      </c>
      <c r="DO99" s="5">
        <f t="shared" si="693"/>
        <v>0</v>
      </c>
      <c r="DP99" s="5">
        <f t="shared" si="694"/>
        <v>0</v>
      </c>
      <c r="DQ99" s="5">
        <f t="shared" si="695"/>
        <v>0</v>
      </c>
      <c r="DR99" s="5">
        <f t="shared" si="696"/>
        <v>0</v>
      </c>
      <c r="DS99" s="5">
        <f t="shared" si="697"/>
        <v>0</v>
      </c>
      <c r="DT99" s="5">
        <f t="shared" si="698"/>
        <v>0</v>
      </c>
      <c r="DU99" s="5">
        <f t="shared" si="699"/>
        <v>0</v>
      </c>
      <c r="DV99" s="5">
        <f t="shared" si="700"/>
        <v>0</v>
      </c>
      <c r="DW99" s="5">
        <f t="shared" si="701"/>
        <v>0</v>
      </c>
      <c r="DX99" s="5">
        <f t="shared" si="702"/>
        <v>0</v>
      </c>
      <c r="DY99" s="5">
        <f t="shared" si="703"/>
        <v>0</v>
      </c>
      <c r="DZ99" s="5">
        <f t="shared" si="704"/>
        <v>0</v>
      </c>
      <c r="EA99" s="5">
        <f t="shared" si="705"/>
        <v>0</v>
      </c>
      <c r="EB99" s="5">
        <f t="shared" si="706"/>
        <v>0</v>
      </c>
      <c r="EC99" s="5">
        <f t="shared" si="707"/>
        <v>0</v>
      </c>
      <c r="ED99" s="5">
        <f t="shared" si="708"/>
        <v>0</v>
      </c>
      <c r="EE99" s="5">
        <f t="shared" si="709"/>
        <v>0</v>
      </c>
      <c r="EF99" s="5">
        <f t="shared" si="710"/>
        <v>0</v>
      </c>
      <c r="EG99" s="5">
        <f t="shared" si="711"/>
        <v>0</v>
      </c>
      <c r="EH99" s="5">
        <f t="shared" si="712"/>
        <v>0</v>
      </c>
      <c r="EI99" s="5">
        <f t="shared" si="713"/>
        <v>0</v>
      </c>
      <c r="EJ99" s="5">
        <f t="shared" si="714"/>
        <v>0</v>
      </c>
      <c r="EK99" s="5">
        <f t="shared" si="715"/>
        <v>0</v>
      </c>
      <c r="EL99" s="5">
        <f t="shared" si="716"/>
        <v>0</v>
      </c>
      <c r="EM99" s="5">
        <f t="shared" si="717"/>
        <v>0</v>
      </c>
      <c r="EN99" s="5">
        <f t="shared" si="718"/>
        <v>0</v>
      </c>
      <c r="EO99" s="5">
        <f t="shared" si="719"/>
        <v>0</v>
      </c>
      <c r="EP99" s="5">
        <f t="shared" si="720"/>
        <v>0</v>
      </c>
      <c r="EQ99" s="5">
        <f t="shared" si="721"/>
        <v>0</v>
      </c>
      <c r="ER99" s="5">
        <f t="shared" si="722"/>
        <v>0</v>
      </c>
      <c r="ES99" s="5">
        <f t="shared" si="723"/>
        <v>0</v>
      </c>
      <c r="ET99" s="5">
        <f t="shared" si="724"/>
        <v>0</v>
      </c>
      <c r="EU99" s="5">
        <f t="shared" si="725"/>
        <v>0</v>
      </c>
      <c r="EV99" s="5">
        <f t="shared" si="726"/>
        <v>0</v>
      </c>
      <c r="EW99" s="5">
        <f t="shared" si="727"/>
        <v>0</v>
      </c>
      <c r="EX99" s="5">
        <f t="shared" si="728"/>
        <v>0</v>
      </c>
      <c r="EY99" s="5">
        <f t="shared" si="729"/>
        <v>0</v>
      </c>
      <c r="EZ99" s="5">
        <f t="shared" si="730"/>
        <v>0</v>
      </c>
      <c r="FA99" s="5">
        <f t="shared" si="731"/>
        <v>0</v>
      </c>
      <c r="FB99" s="5">
        <f t="shared" si="732"/>
        <v>0</v>
      </c>
      <c r="FC99" s="5">
        <f t="shared" si="733"/>
        <v>0</v>
      </c>
      <c r="FD99" s="5">
        <f t="shared" si="734"/>
        <v>0</v>
      </c>
      <c r="FE99" s="5">
        <f t="shared" si="735"/>
        <v>0</v>
      </c>
      <c r="FF99" s="5">
        <f t="shared" si="736"/>
        <v>0</v>
      </c>
      <c r="FG99" s="5">
        <f t="shared" si="737"/>
        <v>0</v>
      </c>
      <c r="FH99" s="5">
        <f t="shared" si="738"/>
        <v>0</v>
      </c>
      <c r="FI99" s="5">
        <f t="shared" si="739"/>
        <v>0</v>
      </c>
      <c r="FJ99" s="5">
        <f t="shared" si="740"/>
        <v>0</v>
      </c>
      <c r="FK99" s="5">
        <f t="shared" si="741"/>
        <v>0</v>
      </c>
      <c r="FL99" s="5">
        <f t="shared" si="742"/>
        <v>0</v>
      </c>
      <c r="FM99" s="5">
        <f t="shared" si="743"/>
        <v>0</v>
      </c>
      <c r="FN99" s="5">
        <f t="shared" si="744"/>
        <v>0</v>
      </c>
      <c r="FO99" s="5">
        <f t="shared" si="745"/>
        <v>0</v>
      </c>
      <c r="FP99" s="5">
        <f t="shared" si="746"/>
        <v>0</v>
      </c>
    </row>
    <row r="100" spans="1:172" ht="20.100000000000001" customHeight="1" x14ac:dyDescent="0.3">
      <c r="A100" s="8" t="str">
        <f>IF(Ciclo=4,"Surco 4",IF(Ciclo=5,"Surco 4","NA"))</f>
        <v>NA</v>
      </c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O100" s="58">
        <f>IF($A100="NA",0,IFERROR('6'!O$51/Ciclo,0))</f>
        <v>0</v>
      </c>
      <c r="P100" s="58">
        <f>IF($A100="NA",0,IFERROR('6'!P$51/Ciclo,0))</f>
        <v>0</v>
      </c>
      <c r="Q100" s="58">
        <f>IF($A100="NA",0,IFERROR('6'!Q$51/Ciclo,0))</f>
        <v>0</v>
      </c>
      <c r="R100" s="58">
        <f>IF($A100="NA",0,IFERROR('6'!R$51/Ciclo,0))</f>
        <v>0</v>
      </c>
      <c r="S100" s="58">
        <f>IF($A100="NA",0,IFERROR('6'!S$51/Ciclo,0))</f>
        <v>0</v>
      </c>
      <c r="T100" s="58">
        <f>IF($A100="NA",0,IFERROR('6'!T$51/Ciclo,0))</f>
        <v>0</v>
      </c>
      <c r="U100" s="58">
        <f>IF($A100="NA",0,IFERROR('6'!U$51/Ciclo,0))</f>
        <v>0</v>
      </c>
      <c r="V100" s="58">
        <f>IF($A100="NA",0,IFERROR('6'!V$51/Ciclo,0))</f>
        <v>0</v>
      </c>
      <c r="W100" s="5">
        <f>IF($A100="NA",0,IFERROR('6'!W$51/Ciclo,0))</f>
        <v>0</v>
      </c>
      <c r="X100" s="5">
        <f>IF($A100="NA",0,IFERROR('6'!X$51/Ciclo,0))</f>
        <v>0</v>
      </c>
      <c r="Y100" s="5">
        <f>IF($A100="NA",0,IFERROR('6'!Y$51/Ciclo,0))</f>
        <v>0</v>
      </c>
      <c r="Z100" s="5">
        <f>IF($A100="NA",0,IFERROR('6'!Z$51/Ciclo,0))</f>
        <v>0</v>
      </c>
      <c r="AB100" s="5">
        <f>IF($B$94="Producción",IF($B100&gt;=LI_A,$O100,0),0)</f>
        <v>0</v>
      </c>
      <c r="AC100" s="5">
        <f>IF($B$94="Producción",IF($B100&gt;=LI_B,IF($B100&lt;LS_B,$O100,0),0),0)</f>
        <v>0</v>
      </c>
      <c r="AD100" s="5">
        <f>IF($B$94="Producción",IF($B100&gt;=LI_C,IF($B100&lt;LS_C,$O100,0),0),0)</f>
        <v>0</v>
      </c>
      <c r="AE100" s="5">
        <f>IF($B$94="Producción",IF($B100&lt;LS_D,$O100,0),0)</f>
        <v>0</v>
      </c>
      <c r="AF100" s="5">
        <f t="shared" si="747"/>
        <v>0</v>
      </c>
      <c r="AI100" s="5">
        <f>IF($C$94="Producción",IF($C100&gt;=LI_A,$P100,0),0)</f>
        <v>0</v>
      </c>
      <c r="AJ100" s="5">
        <f>IF($C$94="Producción",IF($C100&gt;=LI_B,IF($C100&lt;LS_B,$P100,0),0),0)</f>
        <v>0</v>
      </c>
      <c r="AK100" s="5">
        <f>IF($C$94="Producción",IF($C100&gt;=LI_C,IF($C100&lt;LS_C,$P100,0),0),0)</f>
        <v>0</v>
      </c>
      <c r="AL100" s="5">
        <f>IF($C$94="Producción",IF($C100&lt;LS_D,$P100,0),0)</f>
        <v>0</v>
      </c>
      <c r="AM100" s="5">
        <f>IF($C$94="Crecimiento",$P100,0)</f>
        <v>0</v>
      </c>
      <c r="AP100" s="5">
        <f>IF($D$94="Producción",IF($D100&gt;=LI_A,$Q100,0),0)</f>
        <v>0</v>
      </c>
      <c r="AQ100" s="5">
        <f>IF($D$94="Producción",IF($D100&gt;=LI_B,IF($D100&lt;LS_B,$Q100,0),0),0)</f>
        <v>0</v>
      </c>
      <c r="AR100" s="5">
        <f>IF($D$94="Producción",IF($D100&gt;=LI_C,IF($D100&lt;LS_C,$Q100,0),0),0)</f>
        <v>0</v>
      </c>
      <c r="AS100" s="5">
        <f>IF($D$94="Producción",IF($D100&lt;LS_D,$Q100,0),0)</f>
        <v>0</v>
      </c>
      <c r="AT100" s="5">
        <f>IF($D$94="Crecimiento",IF($D100&gt;0,$Q100,0),0)</f>
        <v>0</v>
      </c>
      <c r="AW100" s="5">
        <f>IF($E$94="Producción",IF($E100&gt;=LI_A,$R100,0),0)</f>
        <v>0</v>
      </c>
      <c r="AX100" s="5">
        <f>IF($E$94="Producción",IF($E100&gt;=LI_B,IF($E100&lt;LS_B,$R100,0),0),0)</f>
        <v>0</v>
      </c>
      <c r="AY100" s="5">
        <f>IF($E$94="Producción",IF($E100&gt;=LI_C,IF($E100&lt;LS_C,$R100,0),0),0)</f>
        <v>0</v>
      </c>
      <c r="AZ100" s="5">
        <f>IF($E$94="Producción",IF($E100&lt;LS_D,$R100,0),0)</f>
        <v>0</v>
      </c>
      <c r="BA100" s="5">
        <f>IF($E$94="Crecimiento",$R100,0)</f>
        <v>0</v>
      </c>
      <c r="BD100" s="5">
        <f>IF($F$94="Producción",IF($F100&gt;=LI_A,$S100,0),0)</f>
        <v>0</v>
      </c>
      <c r="BE100" s="5">
        <f>IF($F$94="Producción",IF($F100&gt;=LI_B,IF($F100&lt;LS_B,$S100,0),0),0)</f>
        <v>0</v>
      </c>
      <c r="BF100" s="5">
        <f>IF($F$94="Producción",IF($F100&gt;=LI_C,IF($F100&lt;LS_C,$S100,0),0),0)</f>
        <v>0</v>
      </c>
      <c r="BG100" s="5">
        <f>IF($F$94="Producción",IF($F100&lt;LS_D,$S100,0),0)</f>
        <v>0</v>
      </c>
      <c r="BH100" s="5">
        <f>IF($F$94="Crecimiento",$S100,0)</f>
        <v>0</v>
      </c>
      <c r="BK100" s="5">
        <f>IF($G$94="Producción",IF($G100&gt;=LI_A,$T100,0),0)</f>
        <v>0</v>
      </c>
      <c r="BL100" s="5">
        <f>IF($G$94="Producción",IF($G100&gt;=LI_B,IF($G100&lt;LS_B,$T100,0),0),0)</f>
        <v>0</v>
      </c>
      <c r="BM100" s="5">
        <f>IF($G$94="Producción",IF($G100&gt;=LI_C,IF($G100&lt;LS_C,$T100,0),0),0)</f>
        <v>0</v>
      </c>
      <c r="BN100" s="5">
        <f>IF($G$94="Producción",IF($G100&lt;LS_D,$T100,0),0)</f>
        <v>0</v>
      </c>
      <c r="BO100" s="5">
        <f>IF($G$94="Crecimiento",$T100,0)</f>
        <v>0</v>
      </c>
      <c r="BR100" s="5">
        <f>IF($H$94="Producción",IF($H100&gt;=LI_A,$U100,0),0)</f>
        <v>0</v>
      </c>
      <c r="BS100" s="5">
        <f>IF($H$94="Producción",IF($H100&gt;=LI_B,IF($H100&lt;LS_B,$U100,0),0),0)</f>
        <v>0</v>
      </c>
      <c r="BT100" s="5">
        <f>IF($H$94="Producción",IF($H100&gt;=LI_C,IF($H100&lt;LS_C,$U100,0),0),0)</f>
        <v>0</v>
      </c>
      <c r="BU100" s="5">
        <f>IF($H$94="Producción",IF($H100&lt;LS_D,$U100,0),0)</f>
        <v>0</v>
      </c>
      <c r="BV100" s="5">
        <f>IF($H$94="Crecimiento",$T100,0)</f>
        <v>0</v>
      </c>
      <c r="BY100" s="5">
        <f>IF($I$94="Producción",IF($I100&gt;=LI_A,$V100,0),0)</f>
        <v>0</v>
      </c>
      <c r="BZ100" s="5">
        <f>IF($I$94="Producción",IF($I100&gt;=LI_B,IF($I100&lt;LS_B,$V100,0),0),0)</f>
        <v>0</v>
      </c>
      <c r="CA100" s="5">
        <f>IF($I$94="Producción",IF($I100&gt;=LI_C,IF($I100&lt;LS_C,$V100,0),0),0)</f>
        <v>0</v>
      </c>
      <c r="CB100" s="5">
        <f>IF($I$94="Producción",IF($I100&lt;LS_D,$V100,0),0)</f>
        <v>0</v>
      </c>
      <c r="CC100" s="5">
        <f>IF($I$94="Crecimiento",$V100,0)</f>
        <v>0</v>
      </c>
      <c r="CF100" s="5">
        <f>IF($J$94="Producción",IF($J100&gt;=LI_A,$W100,0),0)</f>
        <v>0</v>
      </c>
      <c r="CG100" s="5">
        <f>IF($J$94="Producción",IF($J100&gt;=LI_B,IF($J100&lt;LS_B,$W100,0),0),0)</f>
        <v>0</v>
      </c>
      <c r="CH100" s="5">
        <f>IF($J$94="Producción",IF($J100&gt;=LI_C,IF($J100&lt;LS_C,$W100,0),0),0)</f>
        <v>0</v>
      </c>
      <c r="CI100" s="5">
        <f>IF($J$94="Producción",IF($J100&lt;LS_D,$W100,0),0)</f>
        <v>0</v>
      </c>
      <c r="CJ100" s="5">
        <f>IF($J$94="Crecimiento",$W100,0)</f>
        <v>0</v>
      </c>
      <c r="CM100" s="5">
        <f>IF($K$94="Producción",IF($K100&gt;=LI_A,$X100,0),0)</f>
        <v>0</v>
      </c>
      <c r="CN100" s="5">
        <f>IF($K$94="Producción",IF($K100&gt;=LI_B,IF($K100&lt;LS_B,$X100,0),0),0)</f>
        <v>0</v>
      </c>
      <c r="CO100" s="5">
        <f>IF($K$94="Producción",IF($K100&gt;=LI_C,IF($K100&lt;LS_C,$X100,0),0),0)</f>
        <v>0</v>
      </c>
      <c r="CP100" s="5">
        <f>IF($K$94="Producción",IF($K100&lt;LS_D,$X100,0),0)</f>
        <v>0</v>
      </c>
      <c r="CQ100" s="5">
        <f>IF($K$94="Crecimiento",$X100,0)</f>
        <v>0</v>
      </c>
      <c r="CT100" s="5">
        <f>IF($L$94="Producción",IF($L100&gt;=LI_A,$Y100,0),0)</f>
        <v>0</v>
      </c>
      <c r="CU100" s="5">
        <f>IF($L$94="Producción",IF($L100&gt;=LI_B,IF($L100&lt;LS_B,$Y100,0),0),0)</f>
        <v>0</v>
      </c>
      <c r="CV100" s="5">
        <f>IF($L$94="Producción",IF($L100&gt;=LI_C,IF($L100&lt;LS_C,$Y100,0),0),0)</f>
        <v>0</v>
      </c>
      <c r="CW100" s="5">
        <f>IF($L$94="Producción",IF($L100&lt;LS_D,$Y100,0),0)</f>
        <v>0</v>
      </c>
      <c r="CX100" s="5">
        <f>IF($L$94="Crecimiento",$Y100,0)</f>
        <v>0</v>
      </c>
      <c r="DA100" s="5">
        <f>IF($M$94="Producción",IF($M100&gt;=LI_A,$Z100,0),0)</f>
        <v>0</v>
      </c>
      <c r="DB100" s="5">
        <f>IF($M$94="Producción",IF($M100&gt;=LI_B,IF($M100&lt;LS_B,$Z100,0),0),0)</f>
        <v>0</v>
      </c>
      <c r="DC100" s="5">
        <f>IF($M$94="Producción",IF($M100&gt;=LI_C,IF($M100&lt;LS_C,$Z100,0),0),0)</f>
        <v>0</v>
      </c>
      <c r="DD100" s="5">
        <f>IF($M$94="Producción",IF($M100&lt;LS_D,$Z100,0),0)</f>
        <v>0</v>
      </c>
      <c r="DE100" s="5">
        <f>IF($M$94="Crecimiento",$Z100,0)</f>
        <v>0</v>
      </c>
      <c r="DI100" s="5">
        <f t="shared" si="687"/>
        <v>0</v>
      </c>
      <c r="DJ100" s="5">
        <f t="shared" si="688"/>
        <v>0</v>
      </c>
      <c r="DK100" s="5">
        <f t="shared" si="689"/>
        <v>0</v>
      </c>
      <c r="DL100" s="5">
        <f t="shared" si="690"/>
        <v>0</v>
      </c>
      <c r="DM100" s="5">
        <f t="shared" si="691"/>
        <v>0</v>
      </c>
      <c r="DN100" s="5">
        <f t="shared" si="692"/>
        <v>0</v>
      </c>
      <c r="DO100" s="5">
        <f t="shared" si="693"/>
        <v>0</v>
      </c>
      <c r="DP100" s="5">
        <f t="shared" si="694"/>
        <v>0</v>
      </c>
      <c r="DQ100" s="5">
        <f t="shared" si="695"/>
        <v>0</v>
      </c>
      <c r="DR100" s="5">
        <f t="shared" si="696"/>
        <v>0</v>
      </c>
      <c r="DS100" s="5">
        <f t="shared" si="697"/>
        <v>0</v>
      </c>
      <c r="DT100" s="5">
        <f t="shared" si="698"/>
        <v>0</v>
      </c>
      <c r="DU100" s="5">
        <f t="shared" si="699"/>
        <v>0</v>
      </c>
      <c r="DV100" s="5">
        <f t="shared" si="700"/>
        <v>0</v>
      </c>
      <c r="DW100" s="5">
        <f t="shared" si="701"/>
        <v>0</v>
      </c>
      <c r="DX100" s="5">
        <f t="shared" si="702"/>
        <v>0</v>
      </c>
      <c r="DY100" s="5">
        <f t="shared" si="703"/>
        <v>0</v>
      </c>
      <c r="DZ100" s="5">
        <f t="shared" si="704"/>
        <v>0</v>
      </c>
      <c r="EA100" s="5">
        <f t="shared" si="705"/>
        <v>0</v>
      </c>
      <c r="EB100" s="5">
        <f t="shared" si="706"/>
        <v>0</v>
      </c>
      <c r="EC100" s="5">
        <f t="shared" si="707"/>
        <v>0</v>
      </c>
      <c r="ED100" s="5">
        <f t="shared" si="708"/>
        <v>0</v>
      </c>
      <c r="EE100" s="5">
        <f t="shared" si="709"/>
        <v>0</v>
      </c>
      <c r="EF100" s="5">
        <f t="shared" si="710"/>
        <v>0</v>
      </c>
      <c r="EG100" s="5">
        <f t="shared" si="711"/>
        <v>0</v>
      </c>
      <c r="EH100" s="5">
        <f t="shared" si="712"/>
        <v>0</v>
      </c>
      <c r="EI100" s="5">
        <f t="shared" si="713"/>
        <v>0</v>
      </c>
      <c r="EJ100" s="5">
        <f t="shared" si="714"/>
        <v>0</v>
      </c>
      <c r="EK100" s="5">
        <f t="shared" si="715"/>
        <v>0</v>
      </c>
      <c r="EL100" s="5">
        <f t="shared" si="716"/>
        <v>0</v>
      </c>
      <c r="EM100" s="5">
        <f t="shared" si="717"/>
        <v>0</v>
      </c>
      <c r="EN100" s="5">
        <f t="shared" si="718"/>
        <v>0</v>
      </c>
      <c r="EO100" s="5">
        <f t="shared" si="719"/>
        <v>0</v>
      </c>
      <c r="EP100" s="5">
        <f t="shared" si="720"/>
        <v>0</v>
      </c>
      <c r="EQ100" s="5">
        <f t="shared" si="721"/>
        <v>0</v>
      </c>
      <c r="ER100" s="5">
        <f t="shared" si="722"/>
        <v>0</v>
      </c>
      <c r="ES100" s="5">
        <f t="shared" si="723"/>
        <v>0</v>
      </c>
      <c r="ET100" s="5">
        <f t="shared" si="724"/>
        <v>0</v>
      </c>
      <c r="EU100" s="5">
        <f t="shared" si="725"/>
        <v>0</v>
      </c>
      <c r="EV100" s="5">
        <f t="shared" si="726"/>
        <v>0</v>
      </c>
      <c r="EW100" s="5">
        <f t="shared" si="727"/>
        <v>0</v>
      </c>
      <c r="EX100" s="5">
        <f t="shared" si="728"/>
        <v>0</v>
      </c>
      <c r="EY100" s="5">
        <f t="shared" si="729"/>
        <v>0</v>
      </c>
      <c r="EZ100" s="5">
        <f t="shared" si="730"/>
        <v>0</v>
      </c>
      <c r="FA100" s="5">
        <f t="shared" si="731"/>
        <v>0</v>
      </c>
      <c r="FB100" s="5">
        <f t="shared" si="732"/>
        <v>0</v>
      </c>
      <c r="FC100" s="5">
        <f t="shared" si="733"/>
        <v>0</v>
      </c>
      <c r="FD100" s="5">
        <f t="shared" si="734"/>
        <v>0</v>
      </c>
      <c r="FE100" s="5">
        <f t="shared" si="735"/>
        <v>0</v>
      </c>
      <c r="FF100" s="5">
        <f t="shared" si="736"/>
        <v>0</v>
      </c>
      <c r="FG100" s="5">
        <f t="shared" si="737"/>
        <v>0</v>
      </c>
      <c r="FH100" s="5">
        <f t="shared" si="738"/>
        <v>0</v>
      </c>
      <c r="FI100" s="5">
        <f t="shared" si="739"/>
        <v>0</v>
      </c>
      <c r="FJ100" s="5">
        <f t="shared" si="740"/>
        <v>0</v>
      </c>
      <c r="FK100" s="5">
        <f t="shared" si="741"/>
        <v>0</v>
      </c>
      <c r="FL100" s="5">
        <f t="shared" si="742"/>
        <v>0</v>
      </c>
      <c r="FM100" s="5">
        <f t="shared" si="743"/>
        <v>0</v>
      </c>
      <c r="FN100" s="5">
        <f t="shared" si="744"/>
        <v>0</v>
      </c>
      <c r="FO100" s="5">
        <f t="shared" si="745"/>
        <v>0</v>
      </c>
      <c r="FP100" s="5">
        <f t="shared" si="746"/>
        <v>0</v>
      </c>
    </row>
    <row r="101" spans="1:172" ht="20.100000000000001" customHeight="1" x14ac:dyDescent="0.3">
      <c r="A101" s="9" t="str">
        <f>IF(Ciclo=5,"Surco 5","NA")</f>
        <v>NA</v>
      </c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O101" s="58">
        <f>IF($A101="NA",0,IFERROR('6'!O$51/Ciclo,0))</f>
        <v>0</v>
      </c>
      <c r="P101" s="58">
        <f>IF($A101="NA",0,IFERROR('6'!P$51/Ciclo,0))</f>
        <v>0</v>
      </c>
      <c r="Q101" s="58">
        <f>IF($A101="NA",0,IFERROR('6'!Q$51/Ciclo,0))</f>
        <v>0</v>
      </c>
      <c r="R101" s="58">
        <f>IF($A101="NA",0,IFERROR('6'!R$51/Ciclo,0))</f>
        <v>0</v>
      </c>
      <c r="S101" s="58">
        <f>IF($A101="NA",0,IFERROR('6'!S$51/Ciclo,0))</f>
        <v>0</v>
      </c>
      <c r="T101" s="58">
        <f>IF($A101="NA",0,IFERROR('6'!T$51/Ciclo,0))</f>
        <v>0</v>
      </c>
      <c r="U101" s="58">
        <f>IF($A101="NA",0,IFERROR('6'!U$51/Ciclo,0))</f>
        <v>0</v>
      </c>
      <c r="V101" s="58">
        <f>IF($A101="NA",0,IFERROR('6'!V$51/Ciclo,0))</f>
        <v>0</v>
      </c>
      <c r="W101" s="5">
        <f>IF($A101="NA",0,IFERROR('6'!W$51/Ciclo,0))</f>
        <v>0</v>
      </c>
      <c r="X101" s="5">
        <f>IF($A101="NA",0,IFERROR('6'!X$51/Ciclo,0))</f>
        <v>0</v>
      </c>
      <c r="Y101" s="5">
        <f>IF($A101="NA",0,IFERROR('6'!Y$51/Ciclo,0))</f>
        <v>0</v>
      </c>
      <c r="Z101" s="5">
        <f>IF($A101="NA",0,IFERROR('6'!Z$51/Ciclo,0))</f>
        <v>0</v>
      </c>
      <c r="AB101" s="5">
        <f>IF($B$94="Producción",IF($B101&gt;=LI_A,$O101,0),0)</f>
        <v>0</v>
      </c>
      <c r="AC101" s="5">
        <f>IF($B$94="Producción",IF($B101&gt;=LI_B,IF($B101&lt;LS_B,$O101,0),0),0)</f>
        <v>0</v>
      </c>
      <c r="AD101" s="5">
        <f>IF($B$94="Producción",IF($B101&gt;=LI_C,IF($B101&lt;LS_C,$O101,0),0),0)</f>
        <v>0</v>
      </c>
      <c r="AE101" s="5">
        <f>IF($B$94="Producción",IF($B101&lt;LS_D,$O101,0),0)</f>
        <v>0</v>
      </c>
      <c r="AF101" s="5">
        <f t="shared" si="747"/>
        <v>0</v>
      </c>
      <c r="AI101" s="5">
        <f>IF($C$94="Producción",IF($C101&gt;=LI_A,$P101,0),0)</f>
        <v>0</v>
      </c>
      <c r="AJ101" s="5">
        <f>IF($C$94="Producción",IF($C101&gt;=LI_B,IF($C101&lt;LS_B,$P101,0),0),0)</f>
        <v>0</v>
      </c>
      <c r="AK101" s="5">
        <f>IF($C$94="Producción",IF($C101&gt;=LI_C,IF($C101&lt;LS_C,$P101,0),0),0)</f>
        <v>0</v>
      </c>
      <c r="AL101" s="5">
        <f>IF($C$94="Producción",IF($C101&lt;LS_D,$P101,0),0)</f>
        <v>0</v>
      </c>
      <c r="AM101" s="5">
        <f>IF($C$94="Crecimiento",$P101,0)</f>
        <v>0</v>
      </c>
      <c r="AP101" s="5">
        <f>IF($D$94="Producción",IF($D101&gt;=LI_A,$Q101,0),0)</f>
        <v>0</v>
      </c>
      <c r="AQ101" s="5">
        <f>IF($D$94="Producción",IF($D101&gt;=LI_B,IF($D101&lt;LS_B,$Q101,0),0),0)</f>
        <v>0</v>
      </c>
      <c r="AR101" s="5">
        <f>IF($D$94="Producción",IF($D101&gt;=LI_C,IF($D101&lt;LS_C,$Q101,0),0),0)</f>
        <v>0</v>
      </c>
      <c r="AS101" s="5">
        <f>IF($D$94="Producción",IF($D101&lt;LS_D,$Q101,0),0)</f>
        <v>0</v>
      </c>
      <c r="AT101" s="5">
        <f>IF($D$94="Crecimiento",IF($D101&gt;0,$Q101,0),0)</f>
        <v>0</v>
      </c>
      <c r="AW101" s="5">
        <f>IF($E$94="Producción",IF($E101&gt;=LI_A,$R101,0),0)</f>
        <v>0</v>
      </c>
      <c r="AX101" s="5">
        <f>IF($E$94="Producción",IF($E101&gt;=LI_B,IF($E101&lt;LS_B,$R101,0),0),0)</f>
        <v>0</v>
      </c>
      <c r="AY101" s="5">
        <f>IF($E$94="Producción",IF($E101&gt;=LI_C,IF($E101&lt;LS_C,$R101,0),0),0)</f>
        <v>0</v>
      </c>
      <c r="AZ101" s="5">
        <f>IF($E$94="Producción",IF($E101&lt;LS_D,$R101,0),0)</f>
        <v>0</v>
      </c>
      <c r="BA101" s="5">
        <f>IF($E$94="Crecimiento",$R101,0)</f>
        <v>0</v>
      </c>
      <c r="BD101" s="5">
        <f>IF($F$94="Producción",IF($F101&gt;=LI_A,$S101,0),0)</f>
        <v>0</v>
      </c>
      <c r="BE101" s="5">
        <f>IF($F$94="Producción",IF($F101&gt;=LI_B,IF($F101&lt;LS_B,$S101,0),0),0)</f>
        <v>0</v>
      </c>
      <c r="BF101" s="5">
        <f>IF($F$94="Producción",IF($F101&gt;=LI_C,IF($F101&lt;LS_C,$S101,0),0),0)</f>
        <v>0</v>
      </c>
      <c r="BG101" s="5">
        <f>IF($F$94="Producción",IF($F101&lt;LS_D,$S101,0),0)</f>
        <v>0</v>
      </c>
      <c r="BH101" s="5">
        <f>IF($F$94="Crecimiento",$S101,0)</f>
        <v>0</v>
      </c>
      <c r="BK101" s="5">
        <f>IF($G$94="Producción",IF($G101&gt;=LI_A,$T101,0),0)</f>
        <v>0</v>
      </c>
      <c r="BL101" s="5">
        <f>IF($G$94="Producción",IF($G101&gt;=LI_B,IF($G101&lt;LS_B,$T101,0),0),0)</f>
        <v>0</v>
      </c>
      <c r="BM101" s="5">
        <f>IF($G$94="Producción",IF($G101&gt;=LI_C,IF($G101&lt;LS_C,$T101,0),0),0)</f>
        <v>0</v>
      </c>
      <c r="BN101" s="5">
        <f>IF($G$94="Producción",IF($G101&lt;LS_D,$T101,0),0)</f>
        <v>0</v>
      </c>
      <c r="BO101" s="5">
        <f>IF($G$94="Crecimiento",$T101,0)</f>
        <v>0</v>
      </c>
      <c r="BR101" s="5">
        <f>IF($H$94="Producción",IF($H101&gt;=LI_A,$U101,0),0)</f>
        <v>0</v>
      </c>
      <c r="BS101" s="5">
        <f>IF($H$94="Producción",IF($H101&gt;=LI_B,IF($H101&lt;LS_B,$U101,0),0),0)</f>
        <v>0</v>
      </c>
      <c r="BT101" s="5">
        <f>IF($H$94="Producción",IF($H101&gt;=LI_C,IF($H101&lt;LS_C,$U101,0),0),0)</f>
        <v>0</v>
      </c>
      <c r="BU101" s="5">
        <f>IF($H$94="Producción",IF($H101&lt;LS_D,$U101,0),0)</f>
        <v>0</v>
      </c>
      <c r="BV101" s="5">
        <f>IF($H$94="Crecimiento",$T101,0)</f>
        <v>0</v>
      </c>
      <c r="BY101" s="5">
        <f>IF($I$94="Producción",IF($I101&gt;=LI_A,$V101,0),0)</f>
        <v>0</v>
      </c>
      <c r="BZ101" s="5">
        <f>IF($I$94="Producción",IF($I101&gt;=LI_B,IF($I101&lt;LS_B,$V101,0),0),0)</f>
        <v>0</v>
      </c>
      <c r="CA101" s="5">
        <f>IF($I$94="Producción",IF($I101&gt;=LI_C,IF($I101&lt;LS_C,$V101,0),0),0)</f>
        <v>0</v>
      </c>
      <c r="CB101" s="5">
        <f>IF($I$94="Producción",IF($I101&lt;LS_D,$V101,0),0)</f>
        <v>0</v>
      </c>
      <c r="CC101" s="5">
        <f>IF($I$94="Crecimiento",$V101,0)</f>
        <v>0</v>
      </c>
      <c r="CF101" s="5">
        <f>IF($J$94="Producción",IF($J101&gt;=LI_A,$W101,0),0)</f>
        <v>0</v>
      </c>
      <c r="CG101" s="5">
        <f>IF($J$94="Producción",IF($J101&gt;=LI_B,IF($J101&lt;LS_B,$W101,0),0),0)</f>
        <v>0</v>
      </c>
      <c r="CH101" s="5">
        <f>IF($J$94="Producción",IF($J101&gt;=LI_C,IF($J101&lt;LS_C,$W101,0),0),0)</f>
        <v>0</v>
      </c>
      <c r="CI101" s="5">
        <f>IF($J$94="Producción",IF($J101&lt;LS_D,$W101,0),0)</f>
        <v>0</v>
      </c>
      <c r="CJ101" s="5">
        <f>IF($J$94="Crecimiento",$W101,0)</f>
        <v>0</v>
      </c>
      <c r="CM101" s="5">
        <f>IF($K$94="Producción",IF($K101&gt;=LI_A,$X101,0),0)</f>
        <v>0</v>
      </c>
      <c r="CN101" s="5">
        <f>IF($K$94="Producción",IF($K101&gt;=LI_B,IF($K101&lt;LS_B,$X101,0),0),0)</f>
        <v>0</v>
      </c>
      <c r="CO101" s="5">
        <f>IF($K$94="Producción",IF($K101&gt;=LI_C,IF($K101&lt;LS_C,$X101,0),0),0)</f>
        <v>0</v>
      </c>
      <c r="CP101" s="5">
        <f>IF($K$94="Producción",IF($K101&lt;LS_D,$X101,0),0)</f>
        <v>0</v>
      </c>
      <c r="CQ101" s="5">
        <f>IF($K$94="Crecimiento",$X101,0)</f>
        <v>0</v>
      </c>
      <c r="CT101" s="5">
        <f>IF($L$94="Producción",IF($L101&gt;=LI_A,$Y101,0),0)</f>
        <v>0</v>
      </c>
      <c r="CU101" s="5">
        <f>IF($L$94="Producción",IF($L101&gt;=LI_B,IF($L101&lt;LS_B,$Y101,0),0),0)</f>
        <v>0</v>
      </c>
      <c r="CV101" s="5">
        <f>IF($L$94="Producción",IF($L101&gt;=LI_C,IF($L101&lt;LS_C,$Y101,0),0),0)</f>
        <v>0</v>
      </c>
      <c r="CW101" s="5">
        <f>IF($L$94="Producción",IF($L101&lt;LS_D,$Y101,0),0)</f>
        <v>0</v>
      </c>
      <c r="CX101" s="5">
        <f>IF($L$94="Crecimiento",$Y101,0)</f>
        <v>0</v>
      </c>
      <c r="DA101" s="5">
        <f>IF($M$94="Producción",IF($M101&gt;=LI_A,$Z101,0),0)</f>
        <v>0</v>
      </c>
      <c r="DB101" s="5">
        <f>IF($M$94="Producción",IF($M101&gt;=LI_B,IF($M101&lt;LS_B,$Z101,0),0),0)</f>
        <v>0</v>
      </c>
      <c r="DC101" s="5">
        <f>IF($M$94="Producción",IF($M101&gt;=LI_C,IF($M101&lt;LS_C,$Z101,0),0),0)</f>
        <v>0</v>
      </c>
      <c r="DD101" s="5">
        <f>IF($M$94="Producción",IF($M101&lt;LS_D,$Z101,0),0)</f>
        <v>0</v>
      </c>
      <c r="DE101" s="5">
        <f>IF($M$94="Crecimiento",$Z101,0)</f>
        <v>0</v>
      </c>
      <c r="DI101" s="5">
        <f t="shared" si="687"/>
        <v>0</v>
      </c>
      <c r="DJ101" s="5">
        <f t="shared" si="688"/>
        <v>0</v>
      </c>
      <c r="DK101" s="5">
        <f t="shared" si="689"/>
        <v>0</v>
      </c>
      <c r="DL101" s="5">
        <f t="shared" si="690"/>
        <v>0</v>
      </c>
      <c r="DM101" s="5">
        <f t="shared" si="691"/>
        <v>0</v>
      </c>
      <c r="DN101" s="5">
        <f t="shared" si="692"/>
        <v>0</v>
      </c>
      <c r="DO101" s="5">
        <f t="shared" si="693"/>
        <v>0</v>
      </c>
      <c r="DP101" s="5">
        <f t="shared" si="694"/>
        <v>0</v>
      </c>
      <c r="DQ101" s="5">
        <f t="shared" si="695"/>
        <v>0</v>
      </c>
      <c r="DR101" s="5">
        <f t="shared" si="696"/>
        <v>0</v>
      </c>
      <c r="DS101" s="5">
        <f t="shared" si="697"/>
        <v>0</v>
      </c>
      <c r="DT101" s="5">
        <f t="shared" si="698"/>
        <v>0</v>
      </c>
      <c r="DU101" s="5">
        <f t="shared" si="699"/>
        <v>0</v>
      </c>
      <c r="DV101" s="5">
        <f t="shared" si="700"/>
        <v>0</v>
      </c>
      <c r="DW101" s="5">
        <f t="shared" si="701"/>
        <v>0</v>
      </c>
      <c r="DX101" s="5">
        <f t="shared" si="702"/>
        <v>0</v>
      </c>
      <c r="DY101" s="5">
        <f t="shared" si="703"/>
        <v>0</v>
      </c>
      <c r="DZ101" s="5">
        <f t="shared" si="704"/>
        <v>0</v>
      </c>
      <c r="EA101" s="5">
        <f t="shared" si="705"/>
        <v>0</v>
      </c>
      <c r="EB101" s="5">
        <f t="shared" si="706"/>
        <v>0</v>
      </c>
      <c r="EC101" s="5">
        <f t="shared" si="707"/>
        <v>0</v>
      </c>
      <c r="ED101" s="5">
        <f t="shared" si="708"/>
        <v>0</v>
      </c>
      <c r="EE101" s="5">
        <f t="shared" si="709"/>
        <v>0</v>
      </c>
      <c r="EF101" s="5">
        <f t="shared" si="710"/>
        <v>0</v>
      </c>
      <c r="EG101" s="5">
        <f t="shared" si="711"/>
        <v>0</v>
      </c>
      <c r="EH101" s="5">
        <f t="shared" si="712"/>
        <v>0</v>
      </c>
      <c r="EI101" s="5">
        <f t="shared" si="713"/>
        <v>0</v>
      </c>
      <c r="EJ101" s="5">
        <f t="shared" si="714"/>
        <v>0</v>
      </c>
      <c r="EK101" s="5">
        <f t="shared" si="715"/>
        <v>0</v>
      </c>
      <c r="EL101" s="5">
        <f t="shared" si="716"/>
        <v>0</v>
      </c>
      <c r="EM101" s="5">
        <f t="shared" si="717"/>
        <v>0</v>
      </c>
      <c r="EN101" s="5">
        <f t="shared" si="718"/>
        <v>0</v>
      </c>
      <c r="EO101" s="5">
        <f t="shared" si="719"/>
        <v>0</v>
      </c>
      <c r="EP101" s="5">
        <f t="shared" si="720"/>
        <v>0</v>
      </c>
      <c r="EQ101" s="5">
        <f t="shared" si="721"/>
        <v>0</v>
      </c>
      <c r="ER101" s="5">
        <f t="shared" si="722"/>
        <v>0</v>
      </c>
      <c r="ES101" s="5">
        <f t="shared" si="723"/>
        <v>0</v>
      </c>
      <c r="ET101" s="5">
        <f t="shared" si="724"/>
        <v>0</v>
      </c>
      <c r="EU101" s="5">
        <f t="shared" si="725"/>
        <v>0</v>
      </c>
      <c r="EV101" s="5">
        <f t="shared" si="726"/>
        <v>0</v>
      </c>
      <c r="EW101" s="5">
        <f t="shared" si="727"/>
        <v>0</v>
      </c>
      <c r="EX101" s="5">
        <f t="shared" si="728"/>
        <v>0</v>
      </c>
      <c r="EY101" s="5">
        <f t="shared" si="729"/>
        <v>0</v>
      </c>
      <c r="EZ101" s="5">
        <f t="shared" si="730"/>
        <v>0</v>
      </c>
      <c r="FA101" s="5">
        <f t="shared" si="731"/>
        <v>0</v>
      </c>
      <c r="FB101" s="5">
        <f t="shared" si="732"/>
        <v>0</v>
      </c>
      <c r="FC101" s="5">
        <f t="shared" si="733"/>
        <v>0</v>
      </c>
      <c r="FD101" s="5">
        <f t="shared" si="734"/>
        <v>0</v>
      </c>
      <c r="FE101" s="5">
        <f t="shared" si="735"/>
        <v>0</v>
      </c>
      <c r="FF101" s="5">
        <f t="shared" si="736"/>
        <v>0</v>
      </c>
      <c r="FG101" s="5">
        <f t="shared" si="737"/>
        <v>0</v>
      </c>
      <c r="FH101" s="5">
        <f t="shared" si="738"/>
        <v>0</v>
      </c>
      <c r="FI101" s="5">
        <f t="shared" si="739"/>
        <v>0</v>
      </c>
      <c r="FJ101" s="5">
        <f t="shared" si="740"/>
        <v>0</v>
      </c>
      <c r="FK101" s="5">
        <f t="shared" si="741"/>
        <v>0</v>
      </c>
      <c r="FL101" s="5">
        <f t="shared" si="742"/>
        <v>0</v>
      </c>
      <c r="FM101" s="5">
        <f t="shared" si="743"/>
        <v>0</v>
      </c>
      <c r="FN101" s="5">
        <f t="shared" si="744"/>
        <v>0</v>
      </c>
      <c r="FO101" s="5">
        <f t="shared" si="745"/>
        <v>0</v>
      </c>
      <c r="FP101" s="5">
        <f t="shared" si="746"/>
        <v>0</v>
      </c>
    </row>
    <row r="102" spans="1:172" ht="20.100000000000001" customHeight="1" x14ac:dyDescent="0.3">
      <c r="A102" s="172">
        <f>N_L13</f>
        <v>0</v>
      </c>
      <c r="B102" s="363" t="s">
        <v>37</v>
      </c>
      <c r="C102" s="363" t="s">
        <v>37</v>
      </c>
      <c r="D102" s="363" t="s">
        <v>37</v>
      </c>
      <c r="E102" s="363" t="s">
        <v>37</v>
      </c>
      <c r="F102" s="363" t="s">
        <v>37</v>
      </c>
      <c r="G102" s="363" t="s">
        <v>37</v>
      </c>
      <c r="H102" s="363" t="s">
        <v>37</v>
      </c>
      <c r="I102" s="363" t="s">
        <v>37</v>
      </c>
      <c r="J102" s="363" t="s">
        <v>37</v>
      </c>
      <c r="K102" s="363" t="s">
        <v>37</v>
      </c>
      <c r="L102" s="363" t="s">
        <v>37</v>
      </c>
      <c r="M102" s="363" t="s">
        <v>37</v>
      </c>
    </row>
    <row r="103" spans="1:172" ht="20.100000000000001" customHeight="1" x14ac:dyDescent="0.3">
      <c r="A103" s="175" t="s">
        <v>238</v>
      </c>
      <c r="B103" s="174">
        <f>SUM(DI105:DM109)/100</f>
        <v>0</v>
      </c>
      <c r="C103" s="174">
        <f>SUM(DN105:DR109)/100</f>
        <v>0</v>
      </c>
      <c r="D103" s="174">
        <f>SUM(DS105:DW109)/100</f>
        <v>0</v>
      </c>
      <c r="E103" s="174">
        <f>SUM(DX105:EB109)/100</f>
        <v>0</v>
      </c>
      <c r="F103" s="174">
        <f>SUM(EC105:EG109)/100</f>
        <v>0</v>
      </c>
      <c r="G103" s="174">
        <f>SUM(EH105:EL109)/100</f>
        <v>0</v>
      </c>
      <c r="H103" s="174">
        <f>SUM(EM105:EQ109)/100</f>
        <v>0</v>
      </c>
      <c r="I103" s="174">
        <f>SUM(ER105:EV109)/100</f>
        <v>0</v>
      </c>
      <c r="J103" s="174">
        <f>SUM(EW105:FA109)/100</f>
        <v>0</v>
      </c>
      <c r="K103" s="174">
        <f>SUM(FB105:FF109)/100</f>
        <v>0</v>
      </c>
      <c r="L103" s="174">
        <f>SUM(FG105:FK109)/100</f>
        <v>0</v>
      </c>
      <c r="M103" s="174">
        <f>SUM(FL105:FP109)/100</f>
        <v>0</v>
      </c>
    </row>
    <row r="104" spans="1:172" ht="20.100000000000001" customHeight="1" x14ac:dyDescent="0.3">
      <c r="A104" s="151" t="s">
        <v>239</v>
      </c>
      <c r="B104" s="152" t="e">
        <f t="shared" ref="B104:M104" si="748">B103/Lote_13</f>
        <v>#DIV/0!</v>
      </c>
      <c r="C104" s="152" t="e">
        <f t="shared" si="748"/>
        <v>#DIV/0!</v>
      </c>
      <c r="D104" s="152" t="e">
        <f t="shared" si="748"/>
        <v>#DIV/0!</v>
      </c>
      <c r="E104" s="152" t="e">
        <f t="shared" si="748"/>
        <v>#DIV/0!</v>
      </c>
      <c r="F104" s="152" t="e">
        <f t="shared" si="748"/>
        <v>#DIV/0!</v>
      </c>
      <c r="G104" s="152" t="e">
        <f t="shared" si="748"/>
        <v>#DIV/0!</v>
      </c>
      <c r="H104" s="152" t="e">
        <f t="shared" si="748"/>
        <v>#DIV/0!</v>
      </c>
      <c r="I104" s="152" t="e">
        <f t="shared" si="748"/>
        <v>#DIV/0!</v>
      </c>
      <c r="J104" s="152" t="e">
        <f t="shared" si="748"/>
        <v>#DIV/0!</v>
      </c>
      <c r="K104" s="152" t="e">
        <f t="shared" si="748"/>
        <v>#DIV/0!</v>
      </c>
      <c r="L104" s="152" t="e">
        <f t="shared" si="748"/>
        <v>#DIV/0!</v>
      </c>
      <c r="M104" s="152" t="e">
        <f t="shared" si="748"/>
        <v>#DIV/0!</v>
      </c>
    </row>
    <row r="105" spans="1:172" ht="20.100000000000001" customHeight="1" x14ac:dyDescent="0.3">
      <c r="A105" s="8" t="s">
        <v>302</v>
      </c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O105" s="58">
        <f>IFERROR('6'!O$55/Ciclo,0)</f>
        <v>0</v>
      </c>
      <c r="P105" s="58">
        <f>IFERROR('6'!P$55/Ciclo,0)</f>
        <v>0</v>
      </c>
      <c r="Q105" s="58">
        <f>IFERROR('6'!Q$55/Ciclo,0)</f>
        <v>0</v>
      </c>
      <c r="R105" s="58">
        <f>IFERROR('6'!R$55/Ciclo,0)</f>
        <v>0</v>
      </c>
      <c r="S105" s="58">
        <f>IFERROR('6'!S$55/Ciclo,0)</f>
        <v>0</v>
      </c>
      <c r="T105" s="58">
        <f>IFERROR('6'!T$55/Ciclo,0)</f>
        <v>0</v>
      </c>
      <c r="U105" s="58">
        <f>IFERROR('6'!U$55/Ciclo,0)</f>
        <v>0</v>
      </c>
      <c r="V105" s="58">
        <f>IFERROR('6'!V$55/Ciclo,0)</f>
        <v>0</v>
      </c>
      <c r="W105" s="5">
        <f>IFERROR('6'!W$55/Ciclo,0)</f>
        <v>0</v>
      </c>
      <c r="X105" s="5">
        <f>IFERROR('6'!X$55/Ciclo,0)</f>
        <v>0</v>
      </c>
      <c r="Y105" s="5">
        <f>IFERROR('6'!Y$55/Ciclo,0)</f>
        <v>0</v>
      </c>
      <c r="Z105" s="5">
        <f>IFERROR('6'!Z$55/Ciclo,0)</f>
        <v>0</v>
      </c>
      <c r="AB105" s="5">
        <f>IF($B$102="Producción",IF($B105&gt;=LI_A,$O105,0),0)</f>
        <v>0</v>
      </c>
      <c r="AC105" s="5">
        <f>IF($B$102="Producción",IF($B105&gt;=LI_B,IF($B105&lt;LS_B,$O105,0),0),0)</f>
        <v>0</v>
      </c>
      <c r="AD105" s="5">
        <f>IF($B$102="Producción",IF($B105&gt;=LI_C,IF($B105&lt;LS_C,$O105,0),0),0)</f>
        <v>0</v>
      </c>
      <c r="AE105" s="5">
        <f>IF($B$102="Producción",IF($B105&lt;LS_D,$O105,0),0)</f>
        <v>0</v>
      </c>
      <c r="AF105" s="5">
        <f>IF($B$102="Crecimiento",$O105,0)</f>
        <v>0</v>
      </c>
      <c r="AG105" s="5">
        <f>IF($B102="Siembra",'6'!$O$7,0)</f>
        <v>0</v>
      </c>
      <c r="AH105" s="5">
        <f>IF($B102="Abandono",'6'!$O$7,0)</f>
        <v>0</v>
      </c>
      <c r="AI105" s="5">
        <f>IF($C$102="Producción",IF($C105&gt;=LI_A,$P105,0),0)</f>
        <v>0</v>
      </c>
      <c r="AJ105" s="5">
        <f>IF($C$102="Producción",IF($C105&gt;=LI_B,IF($C105&lt;LS_B,$P105,0),0),0)</f>
        <v>0</v>
      </c>
      <c r="AK105" s="5">
        <f>IF($C$102="Producción",IF($C105&gt;=LI_C,IF($C105&lt;LS_C,$P105,0),0),0)</f>
        <v>0</v>
      </c>
      <c r="AL105" s="5">
        <f>IF($C$102="Producción",IF($C105&lt;LS_D,$P105,0),0)</f>
        <v>0</v>
      </c>
      <c r="AM105" s="5">
        <f>IF($C$102="Crecimiento",$P105,0)</f>
        <v>0</v>
      </c>
      <c r="AN105" s="5">
        <f>IF($C102="Siembra",'6'!$P$7,0)</f>
        <v>0</v>
      </c>
      <c r="AO105" s="5">
        <f>IF($C102="Abandono",'6'!$P$7,0)</f>
        <v>0</v>
      </c>
      <c r="AP105" s="5">
        <f>IF($D$102="Producción",IF($D105&gt;=LI_A,$Q105,0),0)</f>
        <v>0</v>
      </c>
      <c r="AQ105" s="5">
        <f>IF($D$102="Producción",IF($D105&gt;=LI_B,IF($D105&lt;LS_B,$Q105,0),0),0)</f>
        <v>0</v>
      </c>
      <c r="AR105" s="5">
        <f>IF($D$102="Producción",IF($D105&gt;=LI_C,IF($D105&lt;LS_C,$Q105,0),0),0)</f>
        <v>0</v>
      </c>
      <c r="AS105" s="5">
        <f>IF($D$102="Producción",IF($D105&lt;LS_D,$Q105,0),0)</f>
        <v>0</v>
      </c>
      <c r="AT105" s="5">
        <f>IF($D$102="Crecimiento",IF($D105&gt;0,$Q105,0),0)</f>
        <v>0</v>
      </c>
      <c r="AU105" s="5">
        <f>IF($D102="Siembra",'6'!$Q$7,0)</f>
        <v>0</v>
      </c>
      <c r="AV105" s="5">
        <f>IF($D102="Abandono",'6'!$Q$7,0)</f>
        <v>0</v>
      </c>
      <c r="AW105" s="5">
        <f>IF($E$102="Producción",IF($E105&gt;=LI_A,$R105,0),0)</f>
        <v>0</v>
      </c>
      <c r="AX105" s="5">
        <f>IF($E$102="Producción",IF($E105&gt;=LI_B,IF($E105&lt;LS_B,$R105,0),0),0)</f>
        <v>0</v>
      </c>
      <c r="AY105" s="5">
        <f>IF($E$102="Producción",IF($E105&gt;=LI_C,IF($E105&lt;LS_C,$R105,0),0),0)</f>
        <v>0</v>
      </c>
      <c r="AZ105" s="5">
        <f>IF($E$102="Producción",IF($E105&lt;LS_D,$R105,0),0)</f>
        <v>0</v>
      </c>
      <c r="BA105" s="5">
        <f>IF($E$102="Crecimiento",$R105,0)</f>
        <v>0</v>
      </c>
      <c r="BB105" s="5">
        <f>IF($E102="Siembra",'6'!$R$7,0)</f>
        <v>0</v>
      </c>
      <c r="BC105" s="5">
        <f>IF($E102="Abandono",'6'!$R$7,0)</f>
        <v>0</v>
      </c>
      <c r="BD105" s="5">
        <f>IF($F$102="Producción",IF($F105&gt;=LI_A,$S105,0),0)</f>
        <v>0</v>
      </c>
      <c r="BE105" s="5">
        <f>IF($F$102="Producción",IF($F105&gt;=LI_B,IF($F105&lt;LS_B,$S105,0),0),0)</f>
        <v>0</v>
      </c>
      <c r="BF105" s="5">
        <f>IF($F$102="Producción",IF($F105&gt;=LI_C,IF($F105&lt;LS_C,$S105,0),0),0)</f>
        <v>0</v>
      </c>
      <c r="BG105" s="5">
        <f>IF($F$102="Producción",IF($F105&lt;LS_D,$S105,0),0)</f>
        <v>0</v>
      </c>
      <c r="BH105" s="5">
        <f>IF($F$102="Crecimiento",$S105,0)</f>
        <v>0</v>
      </c>
      <c r="BI105" s="5">
        <f>IF($F102="Siembra",'6'!$S$7,0)</f>
        <v>0</v>
      </c>
      <c r="BJ105" s="5">
        <f>IF($F102="Abandono",'6'!$S$7,0)</f>
        <v>0</v>
      </c>
      <c r="BK105" s="5">
        <f>IF($G$102="Producción",IF($G105&gt;=LI_A,$T105,0),0)</f>
        <v>0</v>
      </c>
      <c r="BL105" s="5">
        <f>IF($G$102="Producción",IF($G105&gt;=LI_B,IF($G105&lt;LS_B,$T105,0),0),0)</f>
        <v>0</v>
      </c>
      <c r="BM105" s="5">
        <f>IF($G$102="Producción",IF($G105&gt;=LI_C,IF($G105&lt;LS_C,$T105,0),0),0)</f>
        <v>0</v>
      </c>
      <c r="BN105" s="5">
        <f>IF($G$102="Producción",IF($G105&lt;LS_D,$T105,0),0)</f>
        <v>0</v>
      </c>
      <c r="BO105" s="5">
        <f>IF($G$102="Crecimiento",$T105,0)</f>
        <v>0</v>
      </c>
      <c r="BP105" s="5">
        <f>IF($G102="Siembra",'6'!$T$7,0)</f>
        <v>0</v>
      </c>
      <c r="BQ105" s="5">
        <f>IF($G102="Abandono",'6'!$T$7,0)</f>
        <v>0</v>
      </c>
      <c r="BR105" s="5">
        <f>IF($H$102="Producción",IF($H105&gt;=LI_A,$U105,0),0)</f>
        <v>0</v>
      </c>
      <c r="BS105" s="5">
        <f>IF($H$102="Producción",IF($H105&gt;=LI_B,IF($H105&lt;LS_B,$U105,0),0),0)</f>
        <v>0</v>
      </c>
      <c r="BT105" s="5">
        <f>IF($H$102="Producción",IF($H105&gt;=LI_C,IF($H105&lt;LS_C,$U105,0),0),0)</f>
        <v>0</v>
      </c>
      <c r="BU105" s="5">
        <f>IF($H$102="Producción",IF($H105&lt;LS_D,$U105,0),0)</f>
        <v>0</v>
      </c>
      <c r="BV105" s="5">
        <f>IF($H$102="Crecimiento",$T105,0)</f>
        <v>0</v>
      </c>
      <c r="BW105" s="5">
        <f>IF($H102="Siembra",'6'!$U$7,0)</f>
        <v>0</v>
      </c>
      <c r="BX105" s="5">
        <f>IF($H102="Abandono",'6'!$U$7,0)</f>
        <v>0</v>
      </c>
      <c r="BY105" s="5">
        <f>IF($I$102="Producción",IF($I105&gt;=LI_A,$V105,0),0)</f>
        <v>0</v>
      </c>
      <c r="BZ105" s="5">
        <f>IF($I$102="Producción",IF($I105&gt;=LI_B,IF($I105&lt;LS_B,$V105,0),0),0)</f>
        <v>0</v>
      </c>
      <c r="CA105" s="5">
        <f>IF($I$102="Producción",IF($I105&gt;=LI_C,IF($I105&lt;LS_C,$V105,0),0),0)</f>
        <v>0</v>
      </c>
      <c r="CB105" s="5">
        <f>IF($I$102="Producción",IF($I105&lt;LS_D,$V105,0),0)</f>
        <v>0</v>
      </c>
      <c r="CC105" s="5">
        <f>IF($I$102="Crecimiento",$V105,0)</f>
        <v>0</v>
      </c>
      <c r="CD105" s="5">
        <f>IF($I102="Siembra",'6'!$V$7,0)</f>
        <v>0</v>
      </c>
      <c r="CE105" s="5">
        <f>IF($I102="Abandono",'6'!$V$7,0)</f>
        <v>0</v>
      </c>
      <c r="CF105" s="5">
        <f>IF($J$102="Producción",IF($J105&gt;=LI_A,$W105,0),0)</f>
        <v>0</v>
      </c>
      <c r="CG105" s="5">
        <f>IF($J$102="Producción",IF($J105&gt;=LI_B,IF($J105&lt;LS_B,$W105,0),0),0)</f>
        <v>0</v>
      </c>
      <c r="CH105" s="5">
        <f>IF($J$102="Producción",IF($J105&gt;=LI_C,IF($J105&lt;LS_C,$W105,0),0),0)</f>
        <v>0</v>
      </c>
      <c r="CI105" s="5">
        <f>IF($J$102="Producción",IF($J105&lt;LS_D,$W105,0),0)</f>
        <v>0</v>
      </c>
      <c r="CJ105" s="5">
        <f>IF($J$102="Crecimiento",$W105,0)</f>
        <v>0</v>
      </c>
      <c r="CK105" s="5">
        <f>IF($J102="Siembra",'6'!$W$7,0)</f>
        <v>0</v>
      </c>
      <c r="CL105" s="5">
        <f>IF($J102="Abandono",'6'!$W$7,0)</f>
        <v>0</v>
      </c>
      <c r="CM105" s="5">
        <f>IF($K$102="Producción",IF($K105&gt;=LI_A,$X105,0),0)</f>
        <v>0</v>
      </c>
      <c r="CN105" s="5">
        <f>IF($K$102="Producción",IF($K105&gt;=LI_B,IF($K105&lt;LS_B,$X105,0),0),0)</f>
        <v>0</v>
      </c>
      <c r="CO105" s="5">
        <f>IF($K$102="Producción",IF($K105&gt;=LI_C,IF($K105&lt;LS_C,$X105,0),0),0)</f>
        <v>0</v>
      </c>
      <c r="CP105" s="5">
        <f>IF($K$102="Producción",IF($K105&lt;LS_D,$X105,0),0)</f>
        <v>0</v>
      </c>
      <c r="CQ105" s="5">
        <f>IF($K$102="Crecimiento",$X105,0)</f>
        <v>0</v>
      </c>
      <c r="CR105" s="5">
        <f>IF($K102="Siembra",'6'!$X$7,0)</f>
        <v>0</v>
      </c>
      <c r="CS105" s="5">
        <f>IF($K102="Abandono",'6'!$X$7,0)</f>
        <v>0</v>
      </c>
      <c r="CT105" s="5">
        <f>IF($L$102="Producción",IF($L105&gt;=LI_A,$Y105,0),0)</f>
        <v>0</v>
      </c>
      <c r="CU105" s="5">
        <f>IF($L$102="Producción",IF($L105&gt;=LI_B,IF($L105&lt;LS_B,$Y105,0),0),0)</f>
        <v>0</v>
      </c>
      <c r="CV105" s="5">
        <f>IF($L$102="Producción",IF($L105&gt;=LI_C,IF($L105&lt;LS_C,$Y105,0),0),0)</f>
        <v>0</v>
      </c>
      <c r="CW105" s="5">
        <f>IF($L$102="Producción",IF($L105&lt;LS_D,$Y105,0),0)</f>
        <v>0</v>
      </c>
      <c r="CX105" s="5">
        <f>IF($L$102="Crecimiento",$Y105,0)</f>
        <v>0</v>
      </c>
      <c r="CY105" s="5">
        <f>IF($L102="Siembra",'6'!$Y$7,0)</f>
        <v>0</v>
      </c>
      <c r="CZ105" s="5">
        <f>IF($L102="Abandono",'6'!$Y$7,0)</f>
        <v>0</v>
      </c>
      <c r="DA105" s="5">
        <f>IF($M$102="Producción",IF($M105&gt;=LI_A,$Z105,0),0)</f>
        <v>0</v>
      </c>
      <c r="DB105" s="5">
        <f>IF($M$102="Producción",IF($M105&gt;=LI_B,IF($M105&lt;LS_B,$Z105,0),0),0)</f>
        <v>0</v>
      </c>
      <c r="DC105" s="5">
        <f>IF($M$102="Producción",IF($M105&gt;=LI_C,IF($M105&lt;LS_C,$Z105,0),0),0)</f>
        <v>0</v>
      </c>
      <c r="DD105" s="5">
        <f>IF($M$102="Producción",IF($M105&lt;LS_D,$Z105,0),0)</f>
        <v>0</v>
      </c>
      <c r="DE105" s="5">
        <f>IF($M$102="Crecimiento",$Z105,0)</f>
        <v>0</v>
      </c>
      <c r="DF105" s="5">
        <f>IF($M102="Siembra",'6'!$Z$7,0)</f>
        <v>0</v>
      </c>
      <c r="DG105" s="5">
        <f>IF($M102="Abandono",'6'!$Z$7,0)</f>
        <v>0</v>
      </c>
      <c r="DI105" s="5">
        <f t="shared" ref="DI105:DI109" si="749">AB105*$B105</f>
        <v>0</v>
      </c>
      <c r="DJ105" s="5">
        <f t="shared" ref="DJ105:DJ109" si="750">AC105*$B105</f>
        <v>0</v>
      </c>
      <c r="DK105" s="5">
        <f t="shared" ref="DK105:DK109" si="751">AD105*$B105</f>
        <v>0</v>
      </c>
      <c r="DL105" s="5">
        <f t="shared" ref="DL105:DL109" si="752">AE105*$B105</f>
        <v>0</v>
      </c>
      <c r="DM105" s="5">
        <f t="shared" ref="DM105:DM109" si="753">AF105*$B105</f>
        <v>0</v>
      </c>
      <c r="DN105" s="5">
        <f t="shared" ref="DN105:DN109" si="754">AI105*$C105</f>
        <v>0</v>
      </c>
      <c r="DO105" s="5">
        <f t="shared" ref="DO105:DO109" si="755">AJ105*$C105</f>
        <v>0</v>
      </c>
      <c r="DP105" s="5">
        <f t="shared" ref="DP105:DP109" si="756">AK105*$C105</f>
        <v>0</v>
      </c>
      <c r="DQ105" s="5">
        <f t="shared" ref="DQ105:DQ109" si="757">AL105*$C105</f>
        <v>0</v>
      </c>
      <c r="DR105" s="5">
        <f t="shared" ref="DR105:DR109" si="758">AM105*$C105</f>
        <v>0</v>
      </c>
      <c r="DS105" s="5">
        <f t="shared" ref="DS105:DS109" si="759">AP105*$D105</f>
        <v>0</v>
      </c>
      <c r="DT105" s="5">
        <f t="shared" ref="DT105:DT109" si="760">AQ105*$D105</f>
        <v>0</v>
      </c>
      <c r="DU105" s="5">
        <f t="shared" ref="DU105:DU109" si="761">AR105*$D105</f>
        <v>0</v>
      </c>
      <c r="DV105" s="5">
        <f t="shared" ref="DV105:DV109" si="762">AS105*$D105</f>
        <v>0</v>
      </c>
      <c r="DW105" s="5">
        <f t="shared" ref="DW105:DW109" si="763">AT105*$D105</f>
        <v>0</v>
      </c>
      <c r="DX105" s="5">
        <f t="shared" ref="DX105:DX109" si="764">AW105*$E105</f>
        <v>0</v>
      </c>
      <c r="DY105" s="5">
        <f t="shared" ref="DY105:DY109" si="765">AX105*$E105</f>
        <v>0</v>
      </c>
      <c r="DZ105" s="5">
        <f t="shared" ref="DZ105:DZ109" si="766">AY105*$E105</f>
        <v>0</v>
      </c>
      <c r="EA105" s="5">
        <f t="shared" ref="EA105:EA109" si="767">AZ105*$E105</f>
        <v>0</v>
      </c>
      <c r="EB105" s="5">
        <f t="shared" ref="EB105:EB109" si="768">BA105*$E105</f>
        <v>0</v>
      </c>
      <c r="EC105" s="5">
        <f t="shared" ref="EC105:EC109" si="769">BD105*$F105</f>
        <v>0</v>
      </c>
      <c r="ED105" s="5">
        <f t="shared" ref="ED105:ED109" si="770">BE105*$F105</f>
        <v>0</v>
      </c>
      <c r="EE105" s="5">
        <f t="shared" ref="EE105:EE109" si="771">BF105*$F105</f>
        <v>0</v>
      </c>
      <c r="EF105" s="5">
        <f t="shared" ref="EF105:EF109" si="772">BG105*$F105</f>
        <v>0</v>
      </c>
      <c r="EG105" s="5">
        <f t="shared" ref="EG105:EG109" si="773">BH105*$F105</f>
        <v>0</v>
      </c>
      <c r="EH105" s="5">
        <f t="shared" ref="EH105:EH109" si="774">BK105*$G105</f>
        <v>0</v>
      </c>
      <c r="EI105" s="5">
        <f t="shared" ref="EI105:EI109" si="775">BL105*$G105</f>
        <v>0</v>
      </c>
      <c r="EJ105" s="5">
        <f t="shared" ref="EJ105:EJ109" si="776">BM105*$G105</f>
        <v>0</v>
      </c>
      <c r="EK105" s="5">
        <f t="shared" ref="EK105:EK109" si="777">BN105*$G105</f>
        <v>0</v>
      </c>
      <c r="EL105" s="5">
        <f t="shared" ref="EL105:EL109" si="778">BO105*$G105</f>
        <v>0</v>
      </c>
      <c r="EM105" s="5">
        <f t="shared" ref="EM105:EM109" si="779">BR105*$H105</f>
        <v>0</v>
      </c>
      <c r="EN105" s="5">
        <f t="shared" ref="EN105:EN109" si="780">BS105*$H105</f>
        <v>0</v>
      </c>
      <c r="EO105" s="5">
        <f t="shared" ref="EO105:EO109" si="781">BT105*$H105</f>
        <v>0</v>
      </c>
      <c r="EP105" s="5">
        <f t="shared" ref="EP105:EP109" si="782">BU105*$H105</f>
        <v>0</v>
      </c>
      <c r="EQ105" s="5">
        <f t="shared" ref="EQ105:EQ109" si="783">BV105*$H105</f>
        <v>0</v>
      </c>
      <c r="ER105" s="5">
        <f t="shared" ref="ER105:ER109" si="784">BY105*$I105</f>
        <v>0</v>
      </c>
      <c r="ES105" s="5">
        <f t="shared" ref="ES105:ES109" si="785">BZ105*$I105</f>
        <v>0</v>
      </c>
      <c r="ET105" s="5">
        <f t="shared" ref="ET105:ET109" si="786">CA105*$I105</f>
        <v>0</v>
      </c>
      <c r="EU105" s="5">
        <f t="shared" ref="EU105:EU109" si="787">CB105*$I105</f>
        <v>0</v>
      </c>
      <c r="EV105" s="5">
        <f t="shared" ref="EV105:EV109" si="788">CC105*$I105</f>
        <v>0</v>
      </c>
      <c r="EW105" s="5">
        <f t="shared" ref="EW105:EW109" si="789">CF105*$J105</f>
        <v>0</v>
      </c>
      <c r="EX105" s="5">
        <f t="shared" ref="EX105:EX109" si="790">CG105*$J105</f>
        <v>0</v>
      </c>
      <c r="EY105" s="5">
        <f t="shared" ref="EY105:EY109" si="791">CH105*$J105</f>
        <v>0</v>
      </c>
      <c r="EZ105" s="5">
        <f t="shared" ref="EZ105:EZ109" si="792">CI105*$J105</f>
        <v>0</v>
      </c>
      <c r="FA105" s="5">
        <f t="shared" ref="FA105:FA109" si="793">CJ105*$J105</f>
        <v>0</v>
      </c>
      <c r="FB105" s="5">
        <f t="shared" ref="FB105:FB109" si="794">CM105*$K105</f>
        <v>0</v>
      </c>
      <c r="FC105" s="5">
        <f t="shared" ref="FC105:FC109" si="795">CN105*$K105</f>
        <v>0</v>
      </c>
      <c r="FD105" s="5">
        <f t="shared" ref="FD105:FD109" si="796">CO105*$K105</f>
        <v>0</v>
      </c>
      <c r="FE105" s="5">
        <f t="shared" ref="FE105:FE109" si="797">CP105*$K105</f>
        <v>0</v>
      </c>
      <c r="FF105" s="5">
        <f t="shared" ref="FF105:FF109" si="798">CQ105*$K105</f>
        <v>0</v>
      </c>
      <c r="FG105" s="5">
        <f t="shared" ref="FG105:FG109" si="799">CT105*$L105</f>
        <v>0</v>
      </c>
      <c r="FH105" s="5">
        <f t="shared" ref="FH105:FH109" si="800">CU105*$L105</f>
        <v>0</v>
      </c>
      <c r="FI105" s="5">
        <f t="shared" ref="FI105:FI109" si="801">CV105*$L105</f>
        <v>0</v>
      </c>
      <c r="FJ105" s="5">
        <f t="shared" ref="FJ105:FJ109" si="802">CW105*$L105</f>
        <v>0</v>
      </c>
      <c r="FK105" s="5">
        <f t="shared" ref="FK105:FK109" si="803">CX105*$L105</f>
        <v>0</v>
      </c>
      <c r="FL105" s="5">
        <f t="shared" ref="FL105:FL109" si="804">DA105*$M105</f>
        <v>0</v>
      </c>
      <c r="FM105" s="5">
        <f t="shared" ref="FM105:FM109" si="805">DB105*$M105</f>
        <v>0</v>
      </c>
      <c r="FN105" s="5">
        <f t="shared" ref="FN105:FN109" si="806">DC105*$M105</f>
        <v>0</v>
      </c>
      <c r="FO105" s="5">
        <f t="shared" ref="FO105:FO109" si="807">DD105*$M105</f>
        <v>0</v>
      </c>
      <c r="FP105" s="5">
        <f t="shared" ref="FP105:FP109" si="808">DE105*$M105</f>
        <v>0</v>
      </c>
    </row>
    <row r="106" spans="1:172" ht="20.100000000000001" customHeight="1" x14ac:dyDescent="0.3">
      <c r="A106" s="8" t="s">
        <v>303</v>
      </c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O106" s="58">
        <f>IFERROR('6'!O$55/Ciclo,0)</f>
        <v>0</v>
      </c>
      <c r="P106" s="58">
        <f>IFERROR('6'!P$55/Ciclo,0)</f>
        <v>0</v>
      </c>
      <c r="Q106" s="58">
        <f>IFERROR('6'!Q$55/Ciclo,0)</f>
        <v>0</v>
      </c>
      <c r="R106" s="58">
        <f>IFERROR('6'!R$55/Ciclo,0)</f>
        <v>0</v>
      </c>
      <c r="S106" s="58">
        <f>IFERROR('6'!S$55/Ciclo,0)</f>
        <v>0</v>
      </c>
      <c r="T106" s="58">
        <f>IFERROR('6'!T$55/Ciclo,0)</f>
        <v>0</v>
      </c>
      <c r="U106" s="58">
        <f>IFERROR('6'!U$55/Ciclo,0)</f>
        <v>0</v>
      </c>
      <c r="V106" s="58">
        <f>IFERROR('6'!V$55/Ciclo,0)</f>
        <v>0</v>
      </c>
      <c r="W106" s="5">
        <f>IFERROR('6'!W$55/Ciclo,0)</f>
        <v>0</v>
      </c>
      <c r="X106" s="5">
        <f>IFERROR('6'!X$55/Ciclo,0)</f>
        <v>0</v>
      </c>
      <c r="Y106" s="5">
        <f>IFERROR('6'!Y$55/Ciclo,0)</f>
        <v>0</v>
      </c>
      <c r="Z106" s="5">
        <f>IFERROR('6'!Z$55/Ciclo,0)</f>
        <v>0</v>
      </c>
      <c r="AB106" s="5">
        <f>IF($B$102="Producción",IF($B106&gt;=LI_A,$O106,0),0)</f>
        <v>0</v>
      </c>
      <c r="AC106" s="5">
        <f>IF($B$102="Producción",IF($B106&gt;=LI_B,IF($B106&lt;LS_B,$O106,0),0),0)</f>
        <v>0</v>
      </c>
      <c r="AD106" s="5">
        <f>IF($B$102="Producción",IF($B106&gt;=LI_C,IF($B106&lt;LS_C,$O106,0),0),0)</f>
        <v>0</v>
      </c>
      <c r="AE106" s="5">
        <f>IF($B$102="Producción",IF($B106&lt;LS_D,$O106,0),0)</f>
        <v>0</v>
      </c>
      <c r="AF106" s="5">
        <f t="shared" ref="AF106:AF109" si="809">IF($B$102="Crecimiento",$O106,0)</f>
        <v>0</v>
      </c>
      <c r="AI106" s="5">
        <f>IF($C$102="Producción",IF($C106&gt;=LI_A,$P106,0),0)</f>
        <v>0</v>
      </c>
      <c r="AJ106" s="5">
        <f>IF($C$102="Producción",IF($C106&gt;=LI_B,IF($C106&lt;LS_B,$P106,0),0),0)</f>
        <v>0</v>
      </c>
      <c r="AK106" s="5">
        <f>IF($C$102="Producción",IF($C106&gt;=LI_C,IF($C106&lt;LS_C,$P106,0),0),0)</f>
        <v>0</v>
      </c>
      <c r="AL106" s="5">
        <f>IF($C$102="Producción",IF($C106&lt;LS_D,$P106,0),0)</f>
        <v>0</v>
      </c>
      <c r="AM106" s="5">
        <f>IF($C$102="Crecimiento",$P106,0)</f>
        <v>0</v>
      </c>
      <c r="AP106" s="5">
        <f>IF($D$102="Producción",IF($D106&gt;=LI_A,$Q106,0),0)</f>
        <v>0</v>
      </c>
      <c r="AQ106" s="5">
        <f>IF($D$102="Producción",IF($D106&gt;=LI_B,IF($D106&lt;LS_B,$Q106,0),0),0)</f>
        <v>0</v>
      </c>
      <c r="AR106" s="5">
        <f>IF($D$102="Producción",IF($D106&gt;=LI_C,IF($D106&lt;LS_C,$Q106,0),0),0)</f>
        <v>0</v>
      </c>
      <c r="AS106" s="5">
        <f>IF($D$102="Producción",IF($D106&lt;LS_D,$Q106,0),0)</f>
        <v>0</v>
      </c>
      <c r="AT106" s="5">
        <f>IF($D$102="Crecimiento",IF($D106&gt;0,$Q106,0),0)</f>
        <v>0</v>
      </c>
      <c r="AW106" s="5">
        <f>IF($E$102="Producción",IF($E106&gt;=LI_A,$R106,0),0)</f>
        <v>0</v>
      </c>
      <c r="AX106" s="5">
        <f>IF($E$102="Producción",IF($E106&gt;=LI_B,IF($E106&lt;LS_B,$R106,0),0),0)</f>
        <v>0</v>
      </c>
      <c r="AY106" s="5">
        <f>IF($E$102="Producción",IF($E106&gt;=LI_C,IF($E106&lt;LS_C,$R106,0),0),0)</f>
        <v>0</v>
      </c>
      <c r="AZ106" s="5">
        <f>IF($E$102="Producción",IF($E106&lt;LS_D,$R106,0),0)</f>
        <v>0</v>
      </c>
      <c r="BA106" s="5">
        <f>IF($E$102="Crecimiento",$R106,0)</f>
        <v>0</v>
      </c>
      <c r="BD106" s="5">
        <f>IF($F$102="Producción",IF($F106&gt;=LI_A,$S106,0),0)</f>
        <v>0</v>
      </c>
      <c r="BE106" s="5">
        <f>IF($F$102="Producción",IF($F106&gt;=LI_B,IF($F106&lt;LS_B,$S106,0),0),0)</f>
        <v>0</v>
      </c>
      <c r="BF106" s="5">
        <f>IF($F$102="Producción",IF($F106&gt;=LI_C,IF($F106&lt;LS_C,$S106,0),0),0)</f>
        <v>0</v>
      </c>
      <c r="BG106" s="5">
        <f>IF($F$102="Producción",IF($F106&lt;LS_D,$S106,0),0)</f>
        <v>0</v>
      </c>
      <c r="BH106" s="5">
        <f>IF($F$102="Crecimiento",$S106,0)</f>
        <v>0</v>
      </c>
      <c r="BK106" s="5">
        <f>IF($G$102="Producción",IF($G106&gt;=LI_A,$T106,0),0)</f>
        <v>0</v>
      </c>
      <c r="BL106" s="5">
        <f>IF($G$102="Producción",IF($G106&gt;=LI_B,IF($G106&lt;LS_B,$T106,0),0),0)</f>
        <v>0</v>
      </c>
      <c r="BM106" s="5">
        <f>IF($G$102="Producción",IF($G106&gt;=LI_C,IF($G106&lt;LS_C,$T106,0),0),0)</f>
        <v>0</v>
      </c>
      <c r="BN106" s="5">
        <f>IF($G$102="Producción",IF($G106&lt;LS_D,$T106,0),0)</f>
        <v>0</v>
      </c>
      <c r="BO106" s="5">
        <f>IF($G$102="Crecimiento",$T106,0)</f>
        <v>0</v>
      </c>
      <c r="BR106" s="5">
        <f>IF($H$102="Producción",IF($H106&gt;=LI_A,$U106,0),0)</f>
        <v>0</v>
      </c>
      <c r="BS106" s="5">
        <f>IF($H$102="Producción",IF($H106&gt;=LI_B,IF($H106&lt;LS_B,$U106,0),0),0)</f>
        <v>0</v>
      </c>
      <c r="BT106" s="5">
        <f>IF($H$102="Producción",IF($H106&gt;=LI_C,IF($H106&lt;LS_C,$U106,0),0),0)</f>
        <v>0</v>
      </c>
      <c r="BU106" s="5">
        <f>IF($H$102="Producción",IF($H106&lt;LS_D,$U106,0),0)</f>
        <v>0</v>
      </c>
      <c r="BV106" s="5">
        <f>IF($H$102="Crecimiento",$T106,0)</f>
        <v>0</v>
      </c>
      <c r="BY106" s="5">
        <f>IF($I$102="Producción",IF($I106&gt;=LI_A,$V106,0),0)</f>
        <v>0</v>
      </c>
      <c r="BZ106" s="5">
        <f>IF($I$102="Producción",IF($I106&gt;=LI_B,IF($I106&lt;LS_B,$V106,0),0),0)</f>
        <v>0</v>
      </c>
      <c r="CA106" s="5">
        <f>IF($I$102="Producción",IF($I106&gt;=LI_C,IF($I106&lt;LS_C,$V106,0),0),0)</f>
        <v>0</v>
      </c>
      <c r="CB106" s="5">
        <f>IF($I$102="Producción",IF($I106&lt;LS_D,$V106,0),0)</f>
        <v>0</v>
      </c>
      <c r="CC106" s="5">
        <f>IF($I$102="Crecimiento",$V106,0)</f>
        <v>0</v>
      </c>
      <c r="CF106" s="5">
        <f>IF($J$102="Producción",IF($J106&gt;=LI_A,$W106,0),0)</f>
        <v>0</v>
      </c>
      <c r="CG106" s="5">
        <f>IF($J$102="Producción",IF($J106&gt;=LI_B,IF($J106&lt;LS_B,$W106,0),0),0)</f>
        <v>0</v>
      </c>
      <c r="CH106" s="5">
        <f>IF($J$102="Producción",IF($J106&gt;=LI_C,IF($J106&lt;LS_C,$W106,0),0),0)</f>
        <v>0</v>
      </c>
      <c r="CI106" s="5">
        <f>IF($J$102="Producción",IF($J106&lt;LS_D,$W106,0),0)</f>
        <v>0</v>
      </c>
      <c r="CJ106" s="5">
        <f>IF($J$102="Crecimiento",$W106,0)</f>
        <v>0</v>
      </c>
      <c r="CM106" s="5">
        <f>IF($K$102="Producción",IF($K106&gt;=LI_A,$X106,0),0)</f>
        <v>0</v>
      </c>
      <c r="CN106" s="5">
        <f>IF($K$102="Producción",IF($K106&gt;=LI_B,IF($K106&lt;LS_B,$X106,0),0),0)</f>
        <v>0</v>
      </c>
      <c r="CO106" s="5">
        <f>IF($K$102="Producción",IF($K106&gt;=LI_C,IF($K106&lt;LS_C,$X106,0),0),0)</f>
        <v>0</v>
      </c>
      <c r="CP106" s="5">
        <f>IF($K$102="Producción",IF($K106&lt;LS_D,$X106,0),0)</f>
        <v>0</v>
      </c>
      <c r="CQ106" s="5">
        <f>IF($K$102="Crecimiento",$X106,0)</f>
        <v>0</v>
      </c>
      <c r="CT106" s="5">
        <f>IF($L$102="Producción",IF($L106&gt;=LI_A,$Y106,0),0)</f>
        <v>0</v>
      </c>
      <c r="CU106" s="5">
        <f>IF($L$102="Producción",IF($L106&gt;=LI_B,IF($L106&lt;LS_B,$Y106,0),0),0)</f>
        <v>0</v>
      </c>
      <c r="CV106" s="5">
        <f>IF($L$102="Producción",IF($L106&gt;=LI_C,IF($L106&lt;LS_C,$Y106,0),0),0)</f>
        <v>0</v>
      </c>
      <c r="CW106" s="5">
        <f>IF($L$102="Producción",IF($L106&lt;LS_D,$Y106,0),0)</f>
        <v>0</v>
      </c>
      <c r="CX106" s="5">
        <f>IF($L$102="Crecimiento",$Y106,0)</f>
        <v>0</v>
      </c>
      <c r="DA106" s="5">
        <f>IF($M$102="Producción",IF($M106&gt;=LI_A,$Z106,0),0)</f>
        <v>0</v>
      </c>
      <c r="DB106" s="5">
        <f>IF($M$102="Producción",IF($M106&gt;=LI_B,IF($M106&lt;LS_B,$Z106,0),0),0)</f>
        <v>0</v>
      </c>
      <c r="DC106" s="5">
        <f>IF($M$102="Producción",IF($M106&gt;=LI_C,IF($M106&lt;LS_C,$Z106,0),0),0)</f>
        <v>0</v>
      </c>
      <c r="DD106" s="5">
        <f>IF($M$102="Producción",IF($M106&lt;LS_D,$Z106,0),0)</f>
        <v>0</v>
      </c>
      <c r="DE106" s="5">
        <f>IF($M$102="Crecimiento",$Z106,0)</f>
        <v>0</v>
      </c>
      <c r="DI106" s="5">
        <f t="shared" si="749"/>
        <v>0</v>
      </c>
      <c r="DJ106" s="5">
        <f t="shared" si="750"/>
        <v>0</v>
      </c>
      <c r="DK106" s="5">
        <f t="shared" si="751"/>
        <v>0</v>
      </c>
      <c r="DL106" s="5">
        <f t="shared" si="752"/>
        <v>0</v>
      </c>
      <c r="DM106" s="5">
        <f t="shared" si="753"/>
        <v>0</v>
      </c>
      <c r="DN106" s="5">
        <f t="shared" si="754"/>
        <v>0</v>
      </c>
      <c r="DO106" s="5">
        <f t="shared" si="755"/>
        <v>0</v>
      </c>
      <c r="DP106" s="5">
        <f t="shared" si="756"/>
        <v>0</v>
      </c>
      <c r="DQ106" s="5">
        <f t="shared" si="757"/>
        <v>0</v>
      </c>
      <c r="DR106" s="5">
        <f t="shared" si="758"/>
        <v>0</v>
      </c>
      <c r="DS106" s="5">
        <f t="shared" si="759"/>
        <v>0</v>
      </c>
      <c r="DT106" s="5">
        <f t="shared" si="760"/>
        <v>0</v>
      </c>
      <c r="DU106" s="5">
        <f t="shared" si="761"/>
        <v>0</v>
      </c>
      <c r="DV106" s="5">
        <f t="shared" si="762"/>
        <v>0</v>
      </c>
      <c r="DW106" s="5">
        <f t="shared" si="763"/>
        <v>0</v>
      </c>
      <c r="DX106" s="5">
        <f t="shared" si="764"/>
        <v>0</v>
      </c>
      <c r="DY106" s="5">
        <f t="shared" si="765"/>
        <v>0</v>
      </c>
      <c r="DZ106" s="5">
        <f t="shared" si="766"/>
        <v>0</v>
      </c>
      <c r="EA106" s="5">
        <f t="shared" si="767"/>
        <v>0</v>
      </c>
      <c r="EB106" s="5">
        <f t="shared" si="768"/>
        <v>0</v>
      </c>
      <c r="EC106" s="5">
        <f t="shared" si="769"/>
        <v>0</v>
      </c>
      <c r="ED106" s="5">
        <f t="shared" si="770"/>
        <v>0</v>
      </c>
      <c r="EE106" s="5">
        <f t="shared" si="771"/>
        <v>0</v>
      </c>
      <c r="EF106" s="5">
        <f t="shared" si="772"/>
        <v>0</v>
      </c>
      <c r="EG106" s="5">
        <f t="shared" si="773"/>
        <v>0</v>
      </c>
      <c r="EH106" s="5">
        <f t="shared" si="774"/>
        <v>0</v>
      </c>
      <c r="EI106" s="5">
        <f t="shared" si="775"/>
        <v>0</v>
      </c>
      <c r="EJ106" s="5">
        <f t="shared" si="776"/>
        <v>0</v>
      </c>
      <c r="EK106" s="5">
        <f t="shared" si="777"/>
        <v>0</v>
      </c>
      <c r="EL106" s="5">
        <f t="shared" si="778"/>
        <v>0</v>
      </c>
      <c r="EM106" s="5">
        <f t="shared" si="779"/>
        <v>0</v>
      </c>
      <c r="EN106" s="5">
        <f t="shared" si="780"/>
        <v>0</v>
      </c>
      <c r="EO106" s="5">
        <f t="shared" si="781"/>
        <v>0</v>
      </c>
      <c r="EP106" s="5">
        <f t="shared" si="782"/>
        <v>0</v>
      </c>
      <c r="EQ106" s="5">
        <f t="shared" si="783"/>
        <v>0</v>
      </c>
      <c r="ER106" s="5">
        <f t="shared" si="784"/>
        <v>0</v>
      </c>
      <c r="ES106" s="5">
        <f t="shared" si="785"/>
        <v>0</v>
      </c>
      <c r="ET106" s="5">
        <f t="shared" si="786"/>
        <v>0</v>
      </c>
      <c r="EU106" s="5">
        <f t="shared" si="787"/>
        <v>0</v>
      </c>
      <c r="EV106" s="5">
        <f t="shared" si="788"/>
        <v>0</v>
      </c>
      <c r="EW106" s="5">
        <f t="shared" si="789"/>
        <v>0</v>
      </c>
      <c r="EX106" s="5">
        <f t="shared" si="790"/>
        <v>0</v>
      </c>
      <c r="EY106" s="5">
        <f t="shared" si="791"/>
        <v>0</v>
      </c>
      <c r="EZ106" s="5">
        <f t="shared" si="792"/>
        <v>0</v>
      </c>
      <c r="FA106" s="5">
        <f t="shared" si="793"/>
        <v>0</v>
      </c>
      <c r="FB106" s="5">
        <f t="shared" si="794"/>
        <v>0</v>
      </c>
      <c r="FC106" s="5">
        <f t="shared" si="795"/>
        <v>0</v>
      </c>
      <c r="FD106" s="5">
        <f t="shared" si="796"/>
        <v>0</v>
      </c>
      <c r="FE106" s="5">
        <f t="shared" si="797"/>
        <v>0</v>
      </c>
      <c r="FF106" s="5">
        <f t="shared" si="798"/>
        <v>0</v>
      </c>
      <c r="FG106" s="5">
        <f t="shared" si="799"/>
        <v>0</v>
      </c>
      <c r="FH106" s="5">
        <f t="shared" si="800"/>
        <v>0</v>
      </c>
      <c r="FI106" s="5">
        <f t="shared" si="801"/>
        <v>0</v>
      </c>
      <c r="FJ106" s="5">
        <f t="shared" si="802"/>
        <v>0</v>
      </c>
      <c r="FK106" s="5">
        <f t="shared" si="803"/>
        <v>0</v>
      </c>
      <c r="FL106" s="5">
        <f t="shared" si="804"/>
        <v>0</v>
      </c>
      <c r="FM106" s="5">
        <f t="shared" si="805"/>
        <v>0</v>
      </c>
      <c r="FN106" s="5">
        <f t="shared" si="806"/>
        <v>0</v>
      </c>
      <c r="FO106" s="5">
        <f t="shared" si="807"/>
        <v>0</v>
      </c>
      <c r="FP106" s="5">
        <f t="shared" si="808"/>
        <v>0</v>
      </c>
    </row>
    <row r="107" spans="1:172" ht="20.100000000000001" customHeight="1" x14ac:dyDescent="0.3">
      <c r="A107" s="8" t="str">
        <f>IF(Ciclo&gt;2,"Surco 3","NA")</f>
        <v>Surco 3</v>
      </c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O107" s="58">
        <f>IF($A107="NA",0,IFERROR('6'!O$55/Ciclo,0))</f>
        <v>0</v>
      </c>
      <c r="P107" s="58">
        <f>IF($A107="NA",0,IFERROR('6'!P$55/Ciclo,0))</f>
        <v>0</v>
      </c>
      <c r="Q107" s="58">
        <f>IF($A107="NA",0,IFERROR('6'!Q$55/Ciclo,0))</f>
        <v>0</v>
      </c>
      <c r="R107" s="58">
        <f>IF($A107="NA",0,IFERROR('6'!R$55/Ciclo,0))</f>
        <v>0</v>
      </c>
      <c r="S107" s="58">
        <f>IF($A107="NA",0,IFERROR('6'!S$55/Ciclo,0))</f>
        <v>0</v>
      </c>
      <c r="T107" s="58">
        <f>IF($A107="NA",0,IFERROR('6'!T$55/Ciclo,0))</f>
        <v>0</v>
      </c>
      <c r="U107" s="58">
        <f>IF($A107="NA",0,IFERROR('6'!U$55/Ciclo,0))</f>
        <v>0</v>
      </c>
      <c r="V107" s="58">
        <f>IF($A107="NA",0,IFERROR('6'!V$55/Ciclo,0))</f>
        <v>0</v>
      </c>
      <c r="W107" s="5">
        <f>IF($A107="NA",0,IFERROR('6'!W$55/Ciclo,0))</f>
        <v>0</v>
      </c>
      <c r="X107" s="5">
        <f>IF($A107="NA",0,IFERROR('6'!X$55/Ciclo,0))</f>
        <v>0</v>
      </c>
      <c r="Y107" s="5">
        <f>IF($A107="NA",0,IFERROR('6'!Y$55/Ciclo,0))</f>
        <v>0</v>
      </c>
      <c r="Z107" s="5">
        <f>IF($A107="NA",0,IFERROR('6'!Z$55/Ciclo,0))</f>
        <v>0</v>
      </c>
      <c r="AB107" s="5">
        <f>IF($B$102="Producción",IF($B107&gt;=LI_A,$O107,0),0)</f>
        <v>0</v>
      </c>
      <c r="AC107" s="5">
        <f>IF($B$102="Producción",IF($B107&gt;=LI_B,IF($B107&lt;LS_B,$O107,0),0),0)</f>
        <v>0</v>
      </c>
      <c r="AD107" s="5">
        <f>IF($B$102="Producción",IF($B107&gt;=LI_C,IF($B107&lt;LS_C,$O107,0),0),0)</f>
        <v>0</v>
      </c>
      <c r="AE107" s="5">
        <f>IF($B$102="Producción",IF($B107&lt;LS_D,$O107,0),0)</f>
        <v>0</v>
      </c>
      <c r="AF107" s="5">
        <f t="shared" si="809"/>
        <v>0</v>
      </c>
      <c r="AI107" s="5">
        <f>IF($C$102="Producción",IF($C107&gt;=LI_A,$P107,0),0)</f>
        <v>0</v>
      </c>
      <c r="AJ107" s="5">
        <f>IF($C$102="Producción",IF($C107&gt;=LI_B,IF($C107&lt;LS_B,$P107,0),0),0)</f>
        <v>0</v>
      </c>
      <c r="AK107" s="5">
        <f>IF($C$102="Producción",IF($C107&gt;=LI_C,IF($C107&lt;LS_C,$P107,0),0),0)</f>
        <v>0</v>
      </c>
      <c r="AL107" s="5">
        <f>IF($C$102="Producción",IF($C107&lt;LS_D,$P107,0),0)</f>
        <v>0</v>
      </c>
      <c r="AM107" s="5">
        <f>IF($C$102="Crecimiento",$P107,0)</f>
        <v>0</v>
      </c>
      <c r="AP107" s="5">
        <f>IF($D$102="Producción",IF($D107&gt;=LI_A,$Q107,0),0)</f>
        <v>0</v>
      </c>
      <c r="AQ107" s="5">
        <f>IF($D$102="Producción",IF($D107&gt;=LI_B,IF($D107&lt;LS_B,$Q107,0),0),0)</f>
        <v>0</v>
      </c>
      <c r="AR107" s="5">
        <f>IF($D$102="Producción",IF($D107&gt;=LI_C,IF($D107&lt;LS_C,$Q107,0),0),0)</f>
        <v>0</v>
      </c>
      <c r="AS107" s="5">
        <f>IF($D$102="Producción",IF($D107&lt;LS_D,$Q107,0),0)</f>
        <v>0</v>
      </c>
      <c r="AT107" s="5">
        <f>IF($D$102="Crecimiento",IF($D107&gt;0,$Q107,0),0)</f>
        <v>0</v>
      </c>
      <c r="AW107" s="5">
        <f>IF($E$102="Producción",IF($E107&gt;=LI_A,$R107,0),0)</f>
        <v>0</v>
      </c>
      <c r="AX107" s="5">
        <f>IF($E$102="Producción",IF($E107&gt;=LI_B,IF($E107&lt;LS_B,$R107,0),0),0)</f>
        <v>0</v>
      </c>
      <c r="AY107" s="5">
        <f>IF($E$102="Producción",IF($E107&gt;=LI_C,IF($E107&lt;LS_C,$R107,0),0),0)</f>
        <v>0</v>
      </c>
      <c r="AZ107" s="5">
        <f>IF($E$102="Producción",IF($E107&lt;LS_D,$R107,0),0)</f>
        <v>0</v>
      </c>
      <c r="BA107" s="5">
        <f>IF($E$102="Crecimiento",$R107,0)</f>
        <v>0</v>
      </c>
      <c r="BD107" s="5">
        <f>IF($F$102="Producción",IF($F107&gt;=LI_A,$S107,0),0)</f>
        <v>0</v>
      </c>
      <c r="BE107" s="5">
        <f>IF($F$102="Producción",IF($F107&gt;=LI_B,IF($F107&lt;LS_B,$S107,0),0),0)</f>
        <v>0</v>
      </c>
      <c r="BF107" s="5">
        <f>IF($F$102="Producción",IF($F107&gt;=LI_C,IF($F107&lt;LS_C,$S107,0),0),0)</f>
        <v>0</v>
      </c>
      <c r="BG107" s="5">
        <f>IF($F$102="Producción",IF($F107&lt;LS_D,$S107,0),0)</f>
        <v>0</v>
      </c>
      <c r="BH107" s="5">
        <f>IF($F$102="Crecimiento",$S107,0)</f>
        <v>0</v>
      </c>
      <c r="BK107" s="5">
        <f>IF($G$102="Producción",IF($G107&gt;=LI_A,$T107,0),0)</f>
        <v>0</v>
      </c>
      <c r="BL107" s="5">
        <f>IF($G$102="Producción",IF($G107&gt;=LI_B,IF($G107&lt;LS_B,$T107,0),0),0)</f>
        <v>0</v>
      </c>
      <c r="BM107" s="5">
        <f>IF($G$102="Producción",IF($G107&gt;=LI_C,IF($G107&lt;LS_C,$T107,0),0),0)</f>
        <v>0</v>
      </c>
      <c r="BN107" s="5">
        <f>IF($G$102="Producción",IF($G107&lt;LS_D,$T107,0),0)</f>
        <v>0</v>
      </c>
      <c r="BO107" s="5">
        <f>IF($G$102="Crecimiento",$T107,0)</f>
        <v>0</v>
      </c>
      <c r="BR107" s="5">
        <f>IF($H$102="Producción",IF($H107&gt;=LI_A,$U107,0),0)</f>
        <v>0</v>
      </c>
      <c r="BS107" s="5">
        <f>IF($H$102="Producción",IF($H107&gt;=LI_B,IF($H107&lt;LS_B,$U107,0),0),0)</f>
        <v>0</v>
      </c>
      <c r="BT107" s="5">
        <f>IF($H$102="Producción",IF($H107&gt;=LI_C,IF($H107&lt;LS_C,$U107,0),0),0)</f>
        <v>0</v>
      </c>
      <c r="BU107" s="5">
        <f>IF($H$102="Producción",IF($H107&lt;LS_D,$U107,0),0)</f>
        <v>0</v>
      </c>
      <c r="BV107" s="5">
        <f>IF($H$102="Crecimiento",$T107,0)</f>
        <v>0</v>
      </c>
      <c r="BY107" s="5">
        <f>IF($I$102="Producción",IF($I107&gt;=LI_A,$V107,0),0)</f>
        <v>0</v>
      </c>
      <c r="BZ107" s="5">
        <f>IF($I$102="Producción",IF($I107&gt;=LI_B,IF($I107&lt;LS_B,$V107,0),0),0)</f>
        <v>0</v>
      </c>
      <c r="CA107" s="5">
        <f>IF($I$102="Producción",IF($I107&gt;=LI_C,IF($I107&lt;LS_C,$V107,0),0),0)</f>
        <v>0</v>
      </c>
      <c r="CB107" s="5">
        <f>IF($I$102="Producción",IF($I107&lt;LS_D,$V107,0),0)</f>
        <v>0</v>
      </c>
      <c r="CC107" s="5">
        <f>IF($I$102="Crecimiento",$V107,0)</f>
        <v>0</v>
      </c>
      <c r="CF107" s="5">
        <f>IF($J$102="Producción",IF($J107&gt;=LI_A,$W107,0),0)</f>
        <v>0</v>
      </c>
      <c r="CG107" s="5">
        <f>IF($J$102="Producción",IF($J107&gt;=LI_B,IF($J107&lt;LS_B,$W107,0),0),0)</f>
        <v>0</v>
      </c>
      <c r="CH107" s="5">
        <f>IF($J$102="Producción",IF($J107&gt;=LI_C,IF($J107&lt;LS_C,$W107,0),0),0)</f>
        <v>0</v>
      </c>
      <c r="CI107" s="5">
        <f>IF($J$102="Producción",IF($J107&lt;LS_D,$W107,0),0)</f>
        <v>0</v>
      </c>
      <c r="CJ107" s="5">
        <f>IF($J$102="Crecimiento",$W107,0)</f>
        <v>0</v>
      </c>
      <c r="CM107" s="5">
        <f>IF($K$102="Producción",IF($K107&gt;=LI_A,$X107,0),0)</f>
        <v>0</v>
      </c>
      <c r="CN107" s="5">
        <f>IF($K$102="Producción",IF($K107&gt;=LI_B,IF($K107&lt;LS_B,$X107,0),0),0)</f>
        <v>0</v>
      </c>
      <c r="CO107" s="5">
        <f>IF($K$102="Producción",IF($K107&gt;=LI_C,IF($K107&lt;LS_C,$X107,0),0),0)</f>
        <v>0</v>
      </c>
      <c r="CP107" s="5">
        <f>IF($K$102="Producción",IF($K107&lt;LS_D,$X107,0),0)</f>
        <v>0</v>
      </c>
      <c r="CQ107" s="5">
        <f>IF($K$102="Crecimiento",$X107,0)</f>
        <v>0</v>
      </c>
      <c r="CT107" s="5">
        <f>IF($L$102="Producción",IF($L107&gt;=LI_A,$Y107,0),0)</f>
        <v>0</v>
      </c>
      <c r="CU107" s="5">
        <f>IF($L$102="Producción",IF($L107&gt;=LI_B,IF($L107&lt;LS_B,$Y107,0),0),0)</f>
        <v>0</v>
      </c>
      <c r="CV107" s="5">
        <f>IF($L$102="Producción",IF($L107&gt;=LI_C,IF($L107&lt;LS_C,$Y107,0),0),0)</f>
        <v>0</v>
      </c>
      <c r="CW107" s="5">
        <f>IF($L$102="Producción",IF($L107&lt;LS_D,$Y107,0),0)</f>
        <v>0</v>
      </c>
      <c r="CX107" s="5">
        <f>IF($L$102="Crecimiento",$Y107,0)</f>
        <v>0</v>
      </c>
      <c r="DA107" s="5">
        <f>IF($M$102="Producción",IF($M107&gt;=LI_A,$Z107,0),0)</f>
        <v>0</v>
      </c>
      <c r="DB107" s="5">
        <f>IF($M$102="Producción",IF($M107&gt;=LI_B,IF($M107&lt;LS_B,$Z107,0),0),0)</f>
        <v>0</v>
      </c>
      <c r="DC107" s="5">
        <f>IF($M$102="Producción",IF($M107&gt;=LI_C,IF($M107&lt;LS_C,$Z107,0),0),0)</f>
        <v>0</v>
      </c>
      <c r="DD107" s="5">
        <f>IF($M$102="Producción",IF($M107&lt;LS_D,$Z107,0),0)</f>
        <v>0</v>
      </c>
      <c r="DE107" s="5">
        <f>IF($M$102="Crecimiento",$Z107,0)</f>
        <v>0</v>
      </c>
      <c r="DI107" s="5">
        <f t="shared" si="749"/>
        <v>0</v>
      </c>
      <c r="DJ107" s="5">
        <f t="shared" si="750"/>
        <v>0</v>
      </c>
      <c r="DK107" s="5">
        <f t="shared" si="751"/>
        <v>0</v>
      </c>
      <c r="DL107" s="5">
        <f t="shared" si="752"/>
        <v>0</v>
      </c>
      <c r="DM107" s="5">
        <f t="shared" si="753"/>
        <v>0</v>
      </c>
      <c r="DN107" s="5">
        <f t="shared" si="754"/>
        <v>0</v>
      </c>
      <c r="DO107" s="5">
        <f t="shared" si="755"/>
        <v>0</v>
      </c>
      <c r="DP107" s="5">
        <f t="shared" si="756"/>
        <v>0</v>
      </c>
      <c r="DQ107" s="5">
        <f t="shared" si="757"/>
        <v>0</v>
      </c>
      <c r="DR107" s="5">
        <f t="shared" si="758"/>
        <v>0</v>
      </c>
      <c r="DS107" s="5">
        <f t="shared" si="759"/>
        <v>0</v>
      </c>
      <c r="DT107" s="5">
        <f t="shared" si="760"/>
        <v>0</v>
      </c>
      <c r="DU107" s="5">
        <f t="shared" si="761"/>
        <v>0</v>
      </c>
      <c r="DV107" s="5">
        <f t="shared" si="762"/>
        <v>0</v>
      </c>
      <c r="DW107" s="5">
        <f t="shared" si="763"/>
        <v>0</v>
      </c>
      <c r="DX107" s="5">
        <f t="shared" si="764"/>
        <v>0</v>
      </c>
      <c r="DY107" s="5">
        <f t="shared" si="765"/>
        <v>0</v>
      </c>
      <c r="DZ107" s="5">
        <f t="shared" si="766"/>
        <v>0</v>
      </c>
      <c r="EA107" s="5">
        <f t="shared" si="767"/>
        <v>0</v>
      </c>
      <c r="EB107" s="5">
        <f t="shared" si="768"/>
        <v>0</v>
      </c>
      <c r="EC107" s="5">
        <f t="shared" si="769"/>
        <v>0</v>
      </c>
      <c r="ED107" s="5">
        <f t="shared" si="770"/>
        <v>0</v>
      </c>
      <c r="EE107" s="5">
        <f t="shared" si="771"/>
        <v>0</v>
      </c>
      <c r="EF107" s="5">
        <f t="shared" si="772"/>
        <v>0</v>
      </c>
      <c r="EG107" s="5">
        <f t="shared" si="773"/>
        <v>0</v>
      </c>
      <c r="EH107" s="5">
        <f t="shared" si="774"/>
        <v>0</v>
      </c>
      <c r="EI107" s="5">
        <f t="shared" si="775"/>
        <v>0</v>
      </c>
      <c r="EJ107" s="5">
        <f t="shared" si="776"/>
        <v>0</v>
      </c>
      <c r="EK107" s="5">
        <f t="shared" si="777"/>
        <v>0</v>
      </c>
      <c r="EL107" s="5">
        <f t="shared" si="778"/>
        <v>0</v>
      </c>
      <c r="EM107" s="5">
        <f t="shared" si="779"/>
        <v>0</v>
      </c>
      <c r="EN107" s="5">
        <f t="shared" si="780"/>
        <v>0</v>
      </c>
      <c r="EO107" s="5">
        <f t="shared" si="781"/>
        <v>0</v>
      </c>
      <c r="EP107" s="5">
        <f t="shared" si="782"/>
        <v>0</v>
      </c>
      <c r="EQ107" s="5">
        <f t="shared" si="783"/>
        <v>0</v>
      </c>
      <c r="ER107" s="5">
        <f t="shared" si="784"/>
        <v>0</v>
      </c>
      <c r="ES107" s="5">
        <f t="shared" si="785"/>
        <v>0</v>
      </c>
      <c r="ET107" s="5">
        <f t="shared" si="786"/>
        <v>0</v>
      </c>
      <c r="EU107" s="5">
        <f t="shared" si="787"/>
        <v>0</v>
      </c>
      <c r="EV107" s="5">
        <f t="shared" si="788"/>
        <v>0</v>
      </c>
      <c r="EW107" s="5">
        <f t="shared" si="789"/>
        <v>0</v>
      </c>
      <c r="EX107" s="5">
        <f t="shared" si="790"/>
        <v>0</v>
      </c>
      <c r="EY107" s="5">
        <f t="shared" si="791"/>
        <v>0</v>
      </c>
      <c r="EZ107" s="5">
        <f t="shared" si="792"/>
        <v>0</v>
      </c>
      <c r="FA107" s="5">
        <f t="shared" si="793"/>
        <v>0</v>
      </c>
      <c r="FB107" s="5">
        <f t="shared" si="794"/>
        <v>0</v>
      </c>
      <c r="FC107" s="5">
        <f t="shared" si="795"/>
        <v>0</v>
      </c>
      <c r="FD107" s="5">
        <f t="shared" si="796"/>
        <v>0</v>
      </c>
      <c r="FE107" s="5">
        <f t="shared" si="797"/>
        <v>0</v>
      </c>
      <c r="FF107" s="5">
        <f t="shared" si="798"/>
        <v>0</v>
      </c>
      <c r="FG107" s="5">
        <f t="shared" si="799"/>
        <v>0</v>
      </c>
      <c r="FH107" s="5">
        <f t="shared" si="800"/>
        <v>0</v>
      </c>
      <c r="FI107" s="5">
        <f t="shared" si="801"/>
        <v>0</v>
      </c>
      <c r="FJ107" s="5">
        <f t="shared" si="802"/>
        <v>0</v>
      </c>
      <c r="FK107" s="5">
        <f t="shared" si="803"/>
        <v>0</v>
      </c>
      <c r="FL107" s="5">
        <f t="shared" si="804"/>
        <v>0</v>
      </c>
      <c r="FM107" s="5">
        <f t="shared" si="805"/>
        <v>0</v>
      </c>
      <c r="FN107" s="5">
        <f t="shared" si="806"/>
        <v>0</v>
      </c>
      <c r="FO107" s="5">
        <f t="shared" si="807"/>
        <v>0</v>
      </c>
      <c r="FP107" s="5">
        <f t="shared" si="808"/>
        <v>0</v>
      </c>
    </row>
    <row r="108" spans="1:172" ht="20.100000000000001" customHeight="1" x14ac:dyDescent="0.3">
      <c r="A108" s="8" t="str">
        <f>IF(Ciclo=4,"Surco 4",IF(Ciclo=5,"Surco 4","NA"))</f>
        <v>NA</v>
      </c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O108" s="58">
        <f>IF($A108="NA",0,IFERROR('6'!O$55/Ciclo,0))</f>
        <v>0</v>
      </c>
      <c r="P108" s="58">
        <f>IF($A108="NA",0,IFERROR('6'!P$55/Ciclo,0))</f>
        <v>0</v>
      </c>
      <c r="Q108" s="58">
        <f>IF($A108="NA",0,IFERROR('6'!Q$55/Ciclo,0))</f>
        <v>0</v>
      </c>
      <c r="R108" s="58">
        <f>IF($A108="NA",0,IFERROR('6'!R$55/Ciclo,0))</f>
        <v>0</v>
      </c>
      <c r="S108" s="58">
        <f>IF($A108="NA",0,IFERROR('6'!S$55/Ciclo,0))</f>
        <v>0</v>
      </c>
      <c r="T108" s="58">
        <f>IF($A108="NA",0,IFERROR('6'!T$55/Ciclo,0))</f>
        <v>0</v>
      </c>
      <c r="U108" s="58">
        <f>IF($A108="NA",0,IFERROR('6'!U$55/Ciclo,0))</f>
        <v>0</v>
      </c>
      <c r="V108" s="58">
        <f>IF($A108="NA",0,IFERROR('6'!V$55/Ciclo,0))</f>
        <v>0</v>
      </c>
      <c r="W108" s="5">
        <f>IF($A108="NA",0,IFERROR('6'!W$55/Ciclo,0))</f>
        <v>0</v>
      </c>
      <c r="X108" s="5">
        <f>IF($A108="NA",0,IFERROR('6'!X$55/Ciclo,0))</f>
        <v>0</v>
      </c>
      <c r="Y108" s="5">
        <f>IF($A108="NA",0,IFERROR('6'!Y$55/Ciclo,0))</f>
        <v>0</v>
      </c>
      <c r="Z108" s="5">
        <f>IF($A108="NA",0,IFERROR('6'!Z$55/Ciclo,0))</f>
        <v>0</v>
      </c>
      <c r="AB108" s="5">
        <f>IF($B$102="Producción",IF($B108&gt;=LI_A,$O108,0),0)</f>
        <v>0</v>
      </c>
      <c r="AC108" s="5">
        <f>IF($B$102="Producción",IF($B108&gt;=LI_B,IF($B108&lt;LS_B,$O108,0),0),0)</f>
        <v>0</v>
      </c>
      <c r="AD108" s="5">
        <f>IF($B$102="Producción",IF($B108&gt;=LI_C,IF($B108&lt;LS_C,$O108,0),0),0)</f>
        <v>0</v>
      </c>
      <c r="AE108" s="5">
        <f>IF($B$102="Producción",IF($B108&lt;LS_D,$O108,0),0)</f>
        <v>0</v>
      </c>
      <c r="AF108" s="5">
        <f t="shared" si="809"/>
        <v>0</v>
      </c>
      <c r="AI108" s="5">
        <f>IF($C$102="Producción",IF($C108&gt;=LI_A,$P108,0),0)</f>
        <v>0</v>
      </c>
      <c r="AJ108" s="5">
        <f>IF($C$102="Producción",IF($C108&gt;=LI_B,IF($C108&lt;LS_B,$P108,0),0),0)</f>
        <v>0</v>
      </c>
      <c r="AK108" s="5">
        <f>IF($C$102="Producción",IF($C108&gt;=LI_C,IF($C108&lt;LS_C,$P108,0),0),0)</f>
        <v>0</v>
      </c>
      <c r="AL108" s="5">
        <f>IF($C$102="Producción",IF($C108&lt;LS_D,$P108,0),0)</f>
        <v>0</v>
      </c>
      <c r="AM108" s="5">
        <f>IF($C$102="Crecimiento",$P108,0)</f>
        <v>0</v>
      </c>
      <c r="AP108" s="5">
        <f>IF($D$102="Producción",IF($D108&gt;=LI_A,$Q108,0),0)</f>
        <v>0</v>
      </c>
      <c r="AQ108" s="5">
        <f>IF($D$102="Producción",IF($D108&gt;=LI_B,IF($D108&lt;LS_B,$Q108,0),0),0)</f>
        <v>0</v>
      </c>
      <c r="AR108" s="5">
        <f>IF($D$102="Producción",IF($D108&gt;=LI_C,IF($D108&lt;LS_C,$Q108,0),0),0)</f>
        <v>0</v>
      </c>
      <c r="AS108" s="5">
        <f>IF($D$102="Producción",IF($D108&lt;LS_D,$Q108,0),0)</f>
        <v>0</v>
      </c>
      <c r="AT108" s="5">
        <f>IF($D$102="Crecimiento",IF($D108&gt;0,$Q108,0),0)</f>
        <v>0</v>
      </c>
      <c r="AW108" s="5">
        <f>IF($E$102="Producción",IF($E108&gt;=LI_A,$R108,0),0)</f>
        <v>0</v>
      </c>
      <c r="AX108" s="5">
        <f>IF($E$102="Producción",IF($E108&gt;=LI_B,IF($E108&lt;LS_B,$R108,0),0),0)</f>
        <v>0</v>
      </c>
      <c r="AY108" s="5">
        <f>IF($E$102="Producción",IF($E108&gt;=LI_C,IF($E108&lt;LS_C,$R108,0),0),0)</f>
        <v>0</v>
      </c>
      <c r="AZ108" s="5">
        <f>IF($E$102="Producción",IF($E108&lt;LS_D,$R108,0),0)</f>
        <v>0</v>
      </c>
      <c r="BA108" s="5">
        <f>IF($E$102="Crecimiento",$R108,0)</f>
        <v>0</v>
      </c>
      <c r="BD108" s="5">
        <f>IF($F$102="Producción",IF($F108&gt;=LI_A,$S108,0),0)</f>
        <v>0</v>
      </c>
      <c r="BE108" s="5">
        <f>IF($F$102="Producción",IF($F108&gt;=LI_B,IF($F108&lt;LS_B,$S108,0),0),0)</f>
        <v>0</v>
      </c>
      <c r="BF108" s="5">
        <f>IF($F$102="Producción",IF($F108&gt;=LI_C,IF($F108&lt;LS_C,$S108,0),0),0)</f>
        <v>0</v>
      </c>
      <c r="BG108" s="5">
        <f>IF($F$102="Producción",IF($F108&lt;LS_D,$S108,0),0)</f>
        <v>0</v>
      </c>
      <c r="BH108" s="5">
        <f>IF($F$102="Crecimiento",$S108,0)</f>
        <v>0</v>
      </c>
      <c r="BK108" s="5">
        <f>IF($G$102="Producción",IF($G108&gt;=LI_A,$T108,0),0)</f>
        <v>0</v>
      </c>
      <c r="BL108" s="5">
        <f>IF($G$102="Producción",IF($G108&gt;=LI_B,IF($G108&lt;LS_B,$T108,0),0),0)</f>
        <v>0</v>
      </c>
      <c r="BM108" s="5">
        <f>IF($G$102="Producción",IF($G108&gt;=LI_C,IF($G108&lt;LS_C,$T108,0),0),0)</f>
        <v>0</v>
      </c>
      <c r="BN108" s="5">
        <f>IF($G$102="Producción",IF($G108&lt;LS_D,$T108,0),0)</f>
        <v>0</v>
      </c>
      <c r="BO108" s="5">
        <f>IF($G$102="Crecimiento",$T108,0)</f>
        <v>0</v>
      </c>
      <c r="BR108" s="5">
        <f>IF($H$102="Producción",IF($H108&gt;=LI_A,$U108,0),0)</f>
        <v>0</v>
      </c>
      <c r="BS108" s="5">
        <f>IF($H$102="Producción",IF($H108&gt;=LI_B,IF($H108&lt;LS_B,$U108,0),0),0)</f>
        <v>0</v>
      </c>
      <c r="BT108" s="5">
        <f>IF($H$102="Producción",IF($H108&gt;=LI_C,IF($H108&lt;LS_C,$U108,0),0),0)</f>
        <v>0</v>
      </c>
      <c r="BU108" s="5">
        <f>IF($H$102="Producción",IF($H108&lt;LS_D,$U108,0),0)</f>
        <v>0</v>
      </c>
      <c r="BV108" s="5">
        <f>IF($H$102="Crecimiento",$T108,0)</f>
        <v>0</v>
      </c>
      <c r="BY108" s="5">
        <f>IF($I$102="Producción",IF($I108&gt;=LI_A,$V108,0),0)</f>
        <v>0</v>
      </c>
      <c r="BZ108" s="5">
        <f>IF($I$102="Producción",IF($I108&gt;=LI_B,IF($I108&lt;LS_B,$V108,0),0),0)</f>
        <v>0</v>
      </c>
      <c r="CA108" s="5">
        <f>IF($I$102="Producción",IF($I108&gt;=LI_C,IF($I108&lt;LS_C,$V108,0),0),0)</f>
        <v>0</v>
      </c>
      <c r="CB108" s="5">
        <f>IF($I$102="Producción",IF($I108&lt;LS_D,$V108,0),0)</f>
        <v>0</v>
      </c>
      <c r="CC108" s="5">
        <f>IF($I$102="Crecimiento",$V108,0)</f>
        <v>0</v>
      </c>
      <c r="CF108" s="5">
        <f>IF($J$102="Producción",IF($J108&gt;=LI_A,$W108,0),0)</f>
        <v>0</v>
      </c>
      <c r="CG108" s="5">
        <f>IF($J$102="Producción",IF($J108&gt;=LI_B,IF($J108&lt;LS_B,$W108,0),0),0)</f>
        <v>0</v>
      </c>
      <c r="CH108" s="5">
        <f>IF($J$102="Producción",IF($J108&gt;=LI_C,IF($J108&lt;LS_C,$W108,0),0),0)</f>
        <v>0</v>
      </c>
      <c r="CI108" s="5">
        <f>IF($J$102="Producción",IF($J108&lt;LS_D,$W108,0),0)</f>
        <v>0</v>
      </c>
      <c r="CJ108" s="5">
        <f>IF($J$102="Crecimiento",$W108,0)</f>
        <v>0</v>
      </c>
      <c r="CM108" s="5">
        <f>IF($K$102="Producción",IF($K108&gt;=LI_A,$X108,0),0)</f>
        <v>0</v>
      </c>
      <c r="CN108" s="5">
        <f>IF($K$102="Producción",IF($K108&gt;=LI_B,IF($K108&lt;LS_B,$X108,0),0),0)</f>
        <v>0</v>
      </c>
      <c r="CO108" s="5">
        <f>IF($K$102="Producción",IF($K108&gt;=LI_C,IF($K108&lt;LS_C,$X108,0),0),0)</f>
        <v>0</v>
      </c>
      <c r="CP108" s="5">
        <f>IF($K$102="Producción",IF($K108&lt;LS_D,$X108,0),0)</f>
        <v>0</v>
      </c>
      <c r="CQ108" s="5">
        <f>IF($K$102="Crecimiento",$X108,0)</f>
        <v>0</v>
      </c>
      <c r="CT108" s="5">
        <f>IF($L$102="Producción",IF($L108&gt;=LI_A,$Y108,0),0)</f>
        <v>0</v>
      </c>
      <c r="CU108" s="5">
        <f>IF($L$102="Producción",IF($L108&gt;=LI_B,IF($L108&lt;LS_B,$Y108,0),0),0)</f>
        <v>0</v>
      </c>
      <c r="CV108" s="5">
        <f>IF($L$102="Producción",IF($L108&gt;=LI_C,IF($L108&lt;LS_C,$Y108,0),0),0)</f>
        <v>0</v>
      </c>
      <c r="CW108" s="5">
        <f>IF($L$102="Producción",IF($L108&lt;LS_D,$Y108,0),0)</f>
        <v>0</v>
      </c>
      <c r="CX108" s="5">
        <f>IF($L$102="Crecimiento",$Y108,0)</f>
        <v>0</v>
      </c>
      <c r="DA108" s="5">
        <f>IF($M$102="Producción",IF($M108&gt;=LI_A,$Z108,0),0)</f>
        <v>0</v>
      </c>
      <c r="DB108" s="5">
        <f>IF($M$102="Producción",IF($M108&gt;=LI_B,IF($M108&lt;LS_B,$Z108,0),0),0)</f>
        <v>0</v>
      </c>
      <c r="DC108" s="5">
        <f>IF($M$102="Producción",IF($M108&gt;=LI_C,IF($M108&lt;LS_C,$Z108,0),0),0)</f>
        <v>0</v>
      </c>
      <c r="DD108" s="5">
        <f>IF($M$102="Producción",IF($M108&lt;LS_D,$Z108,0),0)</f>
        <v>0</v>
      </c>
      <c r="DE108" s="5">
        <f>IF($M$102="Crecimiento",$Z108,0)</f>
        <v>0</v>
      </c>
      <c r="DI108" s="5">
        <f t="shared" si="749"/>
        <v>0</v>
      </c>
      <c r="DJ108" s="5">
        <f t="shared" si="750"/>
        <v>0</v>
      </c>
      <c r="DK108" s="5">
        <f t="shared" si="751"/>
        <v>0</v>
      </c>
      <c r="DL108" s="5">
        <f t="shared" si="752"/>
        <v>0</v>
      </c>
      <c r="DM108" s="5">
        <f t="shared" si="753"/>
        <v>0</v>
      </c>
      <c r="DN108" s="5">
        <f t="shared" si="754"/>
        <v>0</v>
      </c>
      <c r="DO108" s="5">
        <f t="shared" si="755"/>
        <v>0</v>
      </c>
      <c r="DP108" s="5">
        <f t="shared" si="756"/>
        <v>0</v>
      </c>
      <c r="DQ108" s="5">
        <f t="shared" si="757"/>
        <v>0</v>
      </c>
      <c r="DR108" s="5">
        <f t="shared" si="758"/>
        <v>0</v>
      </c>
      <c r="DS108" s="5">
        <f t="shared" si="759"/>
        <v>0</v>
      </c>
      <c r="DT108" s="5">
        <f t="shared" si="760"/>
        <v>0</v>
      </c>
      <c r="DU108" s="5">
        <f t="shared" si="761"/>
        <v>0</v>
      </c>
      <c r="DV108" s="5">
        <f t="shared" si="762"/>
        <v>0</v>
      </c>
      <c r="DW108" s="5">
        <f t="shared" si="763"/>
        <v>0</v>
      </c>
      <c r="DX108" s="5">
        <f t="shared" si="764"/>
        <v>0</v>
      </c>
      <c r="DY108" s="5">
        <f t="shared" si="765"/>
        <v>0</v>
      </c>
      <c r="DZ108" s="5">
        <f t="shared" si="766"/>
        <v>0</v>
      </c>
      <c r="EA108" s="5">
        <f t="shared" si="767"/>
        <v>0</v>
      </c>
      <c r="EB108" s="5">
        <f t="shared" si="768"/>
        <v>0</v>
      </c>
      <c r="EC108" s="5">
        <f t="shared" si="769"/>
        <v>0</v>
      </c>
      <c r="ED108" s="5">
        <f t="shared" si="770"/>
        <v>0</v>
      </c>
      <c r="EE108" s="5">
        <f t="shared" si="771"/>
        <v>0</v>
      </c>
      <c r="EF108" s="5">
        <f t="shared" si="772"/>
        <v>0</v>
      </c>
      <c r="EG108" s="5">
        <f t="shared" si="773"/>
        <v>0</v>
      </c>
      <c r="EH108" s="5">
        <f t="shared" si="774"/>
        <v>0</v>
      </c>
      <c r="EI108" s="5">
        <f t="shared" si="775"/>
        <v>0</v>
      </c>
      <c r="EJ108" s="5">
        <f t="shared" si="776"/>
        <v>0</v>
      </c>
      <c r="EK108" s="5">
        <f t="shared" si="777"/>
        <v>0</v>
      </c>
      <c r="EL108" s="5">
        <f t="shared" si="778"/>
        <v>0</v>
      </c>
      <c r="EM108" s="5">
        <f t="shared" si="779"/>
        <v>0</v>
      </c>
      <c r="EN108" s="5">
        <f t="shared" si="780"/>
        <v>0</v>
      </c>
      <c r="EO108" s="5">
        <f t="shared" si="781"/>
        <v>0</v>
      </c>
      <c r="EP108" s="5">
        <f t="shared" si="782"/>
        <v>0</v>
      </c>
      <c r="EQ108" s="5">
        <f t="shared" si="783"/>
        <v>0</v>
      </c>
      <c r="ER108" s="5">
        <f t="shared" si="784"/>
        <v>0</v>
      </c>
      <c r="ES108" s="5">
        <f t="shared" si="785"/>
        <v>0</v>
      </c>
      <c r="ET108" s="5">
        <f t="shared" si="786"/>
        <v>0</v>
      </c>
      <c r="EU108" s="5">
        <f t="shared" si="787"/>
        <v>0</v>
      </c>
      <c r="EV108" s="5">
        <f t="shared" si="788"/>
        <v>0</v>
      </c>
      <c r="EW108" s="5">
        <f t="shared" si="789"/>
        <v>0</v>
      </c>
      <c r="EX108" s="5">
        <f t="shared" si="790"/>
        <v>0</v>
      </c>
      <c r="EY108" s="5">
        <f t="shared" si="791"/>
        <v>0</v>
      </c>
      <c r="EZ108" s="5">
        <f t="shared" si="792"/>
        <v>0</v>
      </c>
      <c r="FA108" s="5">
        <f t="shared" si="793"/>
        <v>0</v>
      </c>
      <c r="FB108" s="5">
        <f t="shared" si="794"/>
        <v>0</v>
      </c>
      <c r="FC108" s="5">
        <f t="shared" si="795"/>
        <v>0</v>
      </c>
      <c r="FD108" s="5">
        <f t="shared" si="796"/>
        <v>0</v>
      </c>
      <c r="FE108" s="5">
        <f t="shared" si="797"/>
        <v>0</v>
      </c>
      <c r="FF108" s="5">
        <f t="shared" si="798"/>
        <v>0</v>
      </c>
      <c r="FG108" s="5">
        <f t="shared" si="799"/>
        <v>0</v>
      </c>
      <c r="FH108" s="5">
        <f t="shared" si="800"/>
        <v>0</v>
      </c>
      <c r="FI108" s="5">
        <f t="shared" si="801"/>
        <v>0</v>
      </c>
      <c r="FJ108" s="5">
        <f t="shared" si="802"/>
        <v>0</v>
      </c>
      <c r="FK108" s="5">
        <f t="shared" si="803"/>
        <v>0</v>
      </c>
      <c r="FL108" s="5">
        <f t="shared" si="804"/>
        <v>0</v>
      </c>
      <c r="FM108" s="5">
        <f t="shared" si="805"/>
        <v>0</v>
      </c>
      <c r="FN108" s="5">
        <f t="shared" si="806"/>
        <v>0</v>
      </c>
      <c r="FO108" s="5">
        <f t="shared" si="807"/>
        <v>0</v>
      </c>
      <c r="FP108" s="5">
        <f t="shared" si="808"/>
        <v>0</v>
      </c>
    </row>
    <row r="109" spans="1:172" ht="20.100000000000001" customHeight="1" x14ac:dyDescent="0.3">
      <c r="A109" s="9" t="str">
        <f>IF(Ciclo=5,"Surco 5","NA")</f>
        <v>NA</v>
      </c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O109" s="58">
        <f>IF($A109="NA",0,IFERROR('6'!O$55/Ciclo,0))</f>
        <v>0</v>
      </c>
      <c r="P109" s="58">
        <f>IF($A109="NA",0,IFERROR('6'!P$55/Ciclo,0))</f>
        <v>0</v>
      </c>
      <c r="Q109" s="58">
        <f>IF($A109="NA",0,IFERROR('6'!Q$55/Ciclo,0))</f>
        <v>0</v>
      </c>
      <c r="R109" s="58">
        <f>IF($A109="NA",0,IFERROR('6'!R$55/Ciclo,0))</f>
        <v>0</v>
      </c>
      <c r="S109" s="58">
        <f>IF($A109="NA",0,IFERROR('6'!S$55/Ciclo,0))</f>
        <v>0</v>
      </c>
      <c r="T109" s="58">
        <f>IF($A109="NA",0,IFERROR('6'!T$55/Ciclo,0))</f>
        <v>0</v>
      </c>
      <c r="U109" s="58">
        <f>IF($A109="NA",0,IFERROR('6'!U$55/Ciclo,0))</f>
        <v>0</v>
      </c>
      <c r="V109" s="58">
        <f>IF($A109="NA",0,IFERROR('6'!V$55/Ciclo,0))</f>
        <v>0</v>
      </c>
      <c r="W109" s="5">
        <f>IF($A109="NA",0,IFERROR('6'!W$55/Ciclo,0))</f>
        <v>0</v>
      </c>
      <c r="X109" s="5">
        <f>IF($A109="NA",0,IFERROR('6'!X$55/Ciclo,0))</f>
        <v>0</v>
      </c>
      <c r="Y109" s="5">
        <f>IF($A109="NA",0,IFERROR('6'!Y$55/Ciclo,0))</f>
        <v>0</v>
      </c>
      <c r="Z109" s="5">
        <f>IF($A109="NA",0,IFERROR('6'!Z$55/Ciclo,0))</f>
        <v>0</v>
      </c>
      <c r="AB109" s="5">
        <f>IF($B$102="Producción",IF($B109&gt;=LI_A,$O109,0),0)</f>
        <v>0</v>
      </c>
      <c r="AC109" s="5">
        <f>IF($B$102="Producción",IF($B109&gt;=LI_B,IF($B109&lt;LS_B,$O109,0),0),0)</f>
        <v>0</v>
      </c>
      <c r="AD109" s="5">
        <f>IF($B$102="Producción",IF($B109&gt;=LI_C,IF($B109&lt;LS_C,$O109,0),0),0)</f>
        <v>0</v>
      </c>
      <c r="AE109" s="5">
        <f>IF($B$102="Producción",IF($B109&lt;LS_D,$O109,0),0)</f>
        <v>0</v>
      </c>
      <c r="AF109" s="5">
        <f t="shared" si="809"/>
        <v>0</v>
      </c>
      <c r="AI109" s="5">
        <f>IF($C$102="Producción",IF($C109&gt;=LI_A,$P109,0),0)</f>
        <v>0</v>
      </c>
      <c r="AJ109" s="5">
        <f>IF($C$102="Producción",IF($C109&gt;=LI_B,IF($C109&lt;LS_B,$P109,0),0),0)</f>
        <v>0</v>
      </c>
      <c r="AK109" s="5">
        <f>IF($C$102="Producción",IF($C109&gt;=LI_C,IF($C109&lt;LS_C,$P109,0),0),0)</f>
        <v>0</v>
      </c>
      <c r="AL109" s="5">
        <f>IF($C$102="Producción",IF($C109&lt;LS_D,$P109,0),0)</f>
        <v>0</v>
      </c>
      <c r="AM109" s="5">
        <f>IF($C$102="Crecimiento",$P109,0)</f>
        <v>0</v>
      </c>
      <c r="AP109" s="5">
        <f>IF($D$102="Producción",IF($D109&gt;=LI_A,$Q109,0),0)</f>
        <v>0</v>
      </c>
      <c r="AQ109" s="5">
        <f>IF($D$102="Producción",IF($D109&gt;=LI_B,IF($D109&lt;LS_B,$Q109,0),0),0)</f>
        <v>0</v>
      </c>
      <c r="AR109" s="5">
        <f>IF($D$102="Producción",IF($D109&gt;=LI_C,IF($D109&lt;LS_C,$Q109,0),0),0)</f>
        <v>0</v>
      </c>
      <c r="AS109" s="5">
        <f>IF($D$102="Producción",IF($D109&lt;LS_D,$Q109,0),0)</f>
        <v>0</v>
      </c>
      <c r="AT109" s="5">
        <f>IF($D$102="Crecimiento",IF($D109&gt;0,$Q109,0),0)</f>
        <v>0</v>
      </c>
      <c r="AW109" s="5">
        <f>IF($E$102="Producción",IF($E109&gt;=LI_A,$R109,0),0)</f>
        <v>0</v>
      </c>
      <c r="AX109" s="5">
        <f>IF($E$102="Producción",IF($E109&gt;=LI_B,IF($E109&lt;LS_B,$R109,0),0),0)</f>
        <v>0</v>
      </c>
      <c r="AY109" s="5">
        <f>IF($E$102="Producción",IF($E109&gt;=LI_C,IF($E109&lt;LS_C,$R109,0),0),0)</f>
        <v>0</v>
      </c>
      <c r="AZ109" s="5">
        <f>IF($E$102="Producción",IF($E109&lt;LS_D,$R109,0),0)</f>
        <v>0</v>
      </c>
      <c r="BA109" s="5">
        <f>IF($E$102="Crecimiento",$R109,0)</f>
        <v>0</v>
      </c>
      <c r="BD109" s="5">
        <f>IF($F$102="Producción",IF($F109&gt;=LI_A,$S109,0),0)</f>
        <v>0</v>
      </c>
      <c r="BE109" s="5">
        <f>IF($F$102="Producción",IF($F109&gt;=LI_B,IF($F109&lt;LS_B,$S109,0),0),0)</f>
        <v>0</v>
      </c>
      <c r="BF109" s="5">
        <f>IF($F$102="Producción",IF($F109&gt;=LI_C,IF($F109&lt;LS_C,$S109,0),0),0)</f>
        <v>0</v>
      </c>
      <c r="BG109" s="5">
        <f>IF($F$102="Producción",IF($F109&lt;LS_D,$S109,0),0)</f>
        <v>0</v>
      </c>
      <c r="BH109" s="5">
        <f>IF($F$102="Crecimiento",$S109,0)</f>
        <v>0</v>
      </c>
      <c r="BK109" s="5">
        <f>IF($G$102="Producción",IF($G109&gt;=LI_A,$T109,0),0)</f>
        <v>0</v>
      </c>
      <c r="BL109" s="5">
        <f>IF($G$102="Producción",IF($G109&gt;=LI_B,IF($G109&lt;LS_B,$T109,0),0),0)</f>
        <v>0</v>
      </c>
      <c r="BM109" s="5">
        <f>IF($G$102="Producción",IF($G109&gt;=LI_C,IF($G109&lt;LS_C,$T109,0),0),0)</f>
        <v>0</v>
      </c>
      <c r="BN109" s="5">
        <f>IF($G$102="Producción",IF($G109&lt;LS_D,$T109,0),0)</f>
        <v>0</v>
      </c>
      <c r="BO109" s="5">
        <f>IF($G$102="Crecimiento",$T109,0)</f>
        <v>0</v>
      </c>
      <c r="BR109" s="5">
        <f>IF($H$102="Producción",IF($H109&gt;=LI_A,$U109,0),0)</f>
        <v>0</v>
      </c>
      <c r="BS109" s="5">
        <f>IF($H$102="Producción",IF($H109&gt;=LI_B,IF($H109&lt;LS_B,$U109,0),0),0)</f>
        <v>0</v>
      </c>
      <c r="BT109" s="5">
        <f>IF($H$102="Producción",IF($H109&gt;=LI_C,IF($H109&lt;LS_C,$U109,0),0),0)</f>
        <v>0</v>
      </c>
      <c r="BU109" s="5">
        <f>IF($H$102="Producción",IF($H109&lt;LS_D,$U109,0),0)</f>
        <v>0</v>
      </c>
      <c r="BV109" s="5">
        <f>IF($H$102="Crecimiento",$T109,0)</f>
        <v>0</v>
      </c>
      <c r="BY109" s="5">
        <f>IF($I$102="Producción",IF($I109&gt;=LI_A,$V109,0),0)</f>
        <v>0</v>
      </c>
      <c r="BZ109" s="5">
        <f>IF($I$102="Producción",IF($I109&gt;=LI_B,IF($I109&lt;LS_B,$V109,0),0),0)</f>
        <v>0</v>
      </c>
      <c r="CA109" s="5">
        <f>IF($I$102="Producción",IF($I109&gt;=LI_C,IF($I109&lt;LS_C,$V109,0),0),0)</f>
        <v>0</v>
      </c>
      <c r="CB109" s="5">
        <f>IF($I$102="Producción",IF($I109&lt;LS_D,$V109,0),0)</f>
        <v>0</v>
      </c>
      <c r="CC109" s="5">
        <f>IF($I$102="Crecimiento",$V109,0)</f>
        <v>0</v>
      </c>
      <c r="CF109" s="5">
        <f>IF($J$102="Producción",IF($J109&gt;=LI_A,$W109,0),0)</f>
        <v>0</v>
      </c>
      <c r="CG109" s="5">
        <f>IF($J$102="Producción",IF($J109&gt;=LI_B,IF($J109&lt;LS_B,$W109,0),0),0)</f>
        <v>0</v>
      </c>
      <c r="CH109" s="5">
        <f>IF($J$102="Producción",IF($J109&gt;=LI_C,IF($J109&lt;LS_C,$W109,0),0),0)</f>
        <v>0</v>
      </c>
      <c r="CI109" s="5">
        <f>IF($J$102="Producción",IF($J109&lt;LS_D,$W109,0),0)</f>
        <v>0</v>
      </c>
      <c r="CJ109" s="5">
        <f>IF($J$102="Crecimiento",$W109,0)</f>
        <v>0</v>
      </c>
      <c r="CM109" s="5">
        <f>IF($K$102="Producción",IF($K109&gt;=LI_A,$X109,0),0)</f>
        <v>0</v>
      </c>
      <c r="CN109" s="5">
        <f>IF($K$102="Producción",IF($K109&gt;=LI_B,IF($K109&lt;LS_B,$X109,0),0),0)</f>
        <v>0</v>
      </c>
      <c r="CO109" s="5">
        <f>IF($K$102="Producción",IF($K109&gt;=LI_C,IF($K109&lt;LS_C,$X109,0),0),0)</f>
        <v>0</v>
      </c>
      <c r="CP109" s="5">
        <f>IF($K$102="Producción",IF($K109&lt;LS_D,$X109,0),0)</f>
        <v>0</v>
      </c>
      <c r="CQ109" s="5">
        <f>IF($K$102="Crecimiento",$X109,0)</f>
        <v>0</v>
      </c>
      <c r="CT109" s="5">
        <f>IF($L$102="Producción",IF($L109&gt;=LI_A,$Y109,0),0)</f>
        <v>0</v>
      </c>
      <c r="CU109" s="5">
        <f>IF($L$102="Producción",IF($L109&gt;=LI_B,IF($L109&lt;LS_B,$Y109,0),0),0)</f>
        <v>0</v>
      </c>
      <c r="CV109" s="5">
        <f>IF($L$102="Producción",IF($L109&gt;=LI_C,IF($L109&lt;LS_C,$Y109,0),0),0)</f>
        <v>0</v>
      </c>
      <c r="CW109" s="5">
        <f>IF($L$102="Producción",IF($L109&lt;LS_D,$Y109,0),0)</f>
        <v>0</v>
      </c>
      <c r="CX109" s="5">
        <f>IF($L$102="Crecimiento",$Y109,0)</f>
        <v>0</v>
      </c>
      <c r="DA109" s="5">
        <f>IF($M$102="Producción",IF($M109&gt;=LI_A,$Z109,0),0)</f>
        <v>0</v>
      </c>
      <c r="DB109" s="5">
        <f>IF($M$102="Producción",IF($M109&gt;=LI_B,IF($M109&lt;LS_B,$Z109,0),0),0)</f>
        <v>0</v>
      </c>
      <c r="DC109" s="5">
        <f>IF($M$102="Producción",IF($M109&gt;=LI_C,IF($M109&lt;LS_C,$Z109,0),0),0)</f>
        <v>0</v>
      </c>
      <c r="DD109" s="5">
        <f>IF($M$102="Producción",IF($M109&lt;LS_D,$Z109,0),0)</f>
        <v>0</v>
      </c>
      <c r="DE109" s="5">
        <f>IF($M$102="Crecimiento",$Z109,0)</f>
        <v>0</v>
      </c>
      <c r="DI109" s="5">
        <f t="shared" si="749"/>
        <v>0</v>
      </c>
      <c r="DJ109" s="5">
        <f t="shared" si="750"/>
        <v>0</v>
      </c>
      <c r="DK109" s="5">
        <f t="shared" si="751"/>
        <v>0</v>
      </c>
      <c r="DL109" s="5">
        <f t="shared" si="752"/>
        <v>0</v>
      </c>
      <c r="DM109" s="5">
        <f t="shared" si="753"/>
        <v>0</v>
      </c>
      <c r="DN109" s="5">
        <f t="shared" si="754"/>
        <v>0</v>
      </c>
      <c r="DO109" s="5">
        <f t="shared" si="755"/>
        <v>0</v>
      </c>
      <c r="DP109" s="5">
        <f t="shared" si="756"/>
        <v>0</v>
      </c>
      <c r="DQ109" s="5">
        <f t="shared" si="757"/>
        <v>0</v>
      </c>
      <c r="DR109" s="5">
        <f t="shared" si="758"/>
        <v>0</v>
      </c>
      <c r="DS109" s="5">
        <f t="shared" si="759"/>
        <v>0</v>
      </c>
      <c r="DT109" s="5">
        <f t="shared" si="760"/>
        <v>0</v>
      </c>
      <c r="DU109" s="5">
        <f t="shared" si="761"/>
        <v>0</v>
      </c>
      <c r="DV109" s="5">
        <f t="shared" si="762"/>
        <v>0</v>
      </c>
      <c r="DW109" s="5">
        <f t="shared" si="763"/>
        <v>0</v>
      </c>
      <c r="DX109" s="5">
        <f t="shared" si="764"/>
        <v>0</v>
      </c>
      <c r="DY109" s="5">
        <f t="shared" si="765"/>
        <v>0</v>
      </c>
      <c r="DZ109" s="5">
        <f t="shared" si="766"/>
        <v>0</v>
      </c>
      <c r="EA109" s="5">
        <f t="shared" si="767"/>
        <v>0</v>
      </c>
      <c r="EB109" s="5">
        <f t="shared" si="768"/>
        <v>0</v>
      </c>
      <c r="EC109" s="5">
        <f t="shared" si="769"/>
        <v>0</v>
      </c>
      <c r="ED109" s="5">
        <f t="shared" si="770"/>
        <v>0</v>
      </c>
      <c r="EE109" s="5">
        <f t="shared" si="771"/>
        <v>0</v>
      </c>
      <c r="EF109" s="5">
        <f t="shared" si="772"/>
        <v>0</v>
      </c>
      <c r="EG109" s="5">
        <f t="shared" si="773"/>
        <v>0</v>
      </c>
      <c r="EH109" s="5">
        <f t="shared" si="774"/>
        <v>0</v>
      </c>
      <c r="EI109" s="5">
        <f t="shared" si="775"/>
        <v>0</v>
      </c>
      <c r="EJ109" s="5">
        <f t="shared" si="776"/>
        <v>0</v>
      </c>
      <c r="EK109" s="5">
        <f t="shared" si="777"/>
        <v>0</v>
      </c>
      <c r="EL109" s="5">
        <f t="shared" si="778"/>
        <v>0</v>
      </c>
      <c r="EM109" s="5">
        <f t="shared" si="779"/>
        <v>0</v>
      </c>
      <c r="EN109" s="5">
        <f t="shared" si="780"/>
        <v>0</v>
      </c>
      <c r="EO109" s="5">
        <f t="shared" si="781"/>
        <v>0</v>
      </c>
      <c r="EP109" s="5">
        <f t="shared" si="782"/>
        <v>0</v>
      </c>
      <c r="EQ109" s="5">
        <f t="shared" si="783"/>
        <v>0</v>
      </c>
      <c r="ER109" s="5">
        <f t="shared" si="784"/>
        <v>0</v>
      </c>
      <c r="ES109" s="5">
        <f t="shared" si="785"/>
        <v>0</v>
      </c>
      <c r="ET109" s="5">
        <f t="shared" si="786"/>
        <v>0</v>
      </c>
      <c r="EU109" s="5">
        <f t="shared" si="787"/>
        <v>0</v>
      </c>
      <c r="EV109" s="5">
        <f t="shared" si="788"/>
        <v>0</v>
      </c>
      <c r="EW109" s="5">
        <f t="shared" si="789"/>
        <v>0</v>
      </c>
      <c r="EX109" s="5">
        <f t="shared" si="790"/>
        <v>0</v>
      </c>
      <c r="EY109" s="5">
        <f t="shared" si="791"/>
        <v>0</v>
      </c>
      <c r="EZ109" s="5">
        <f t="shared" si="792"/>
        <v>0</v>
      </c>
      <c r="FA109" s="5">
        <f t="shared" si="793"/>
        <v>0</v>
      </c>
      <c r="FB109" s="5">
        <f t="shared" si="794"/>
        <v>0</v>
      </c>
      <c r="FC109" s="5">
        <f t="shared" si="795"/>
        <v>0</v>
      </c>
      <c r="FD109" s="5">
        <f t="shared" si="796"/>
        <v>0</v>
      </c>
      <c r="FE109" s="5">
        <f t="shared" si="797"/>
        <v>0</v>
      </c>
      <c r="FF109" s="5">
        <f t="shared" si="798"/>
        <v>0</v>
      </c>
      <c r="FG109" s="5">
        <f t="shared" si="799"/>
        <v>0</v>
      </c>
      <c r="FH109" s="5">
        <f t="shared" si="800"/>
        <v>0</v>
      </c>
      <c r="FI109" s="5">
        <f t="shared" si="801"/>
        <v>0</v>
      </c>
      <c r="FJ109" s="5">
        <f t="shared" si="802"/>
        <v>0</v>
      </c>
      <c r="FK109" s="5">
        <f t="shared" si="803"/>
        <v>0</v>
      </c>
      <c r="FL109" s="5">
        <f t="shared" si="804"/>
        <v>0</v>
      </c>
      <c r="FM109" s="5">
        <f t="shared" si="805"/>
        <v>0</v>
      </c>
      <c r="FN109" s="5">
        <f t="shared" si="806"/>
        <v>0</v>
      </c>
      <c r="FO109" s="5">
        <f t="shared" si="807"/>
        <v>0</v>
      </c>
      <c r="FP109" s="5">
        <f t="shared" si="808"/>
        <v>0</v>
      </c>
    </row>
    <row r="110" spans="1:172" ht="20.100000000000001" customHeight="1" x14ac:dyDescent="0.3">
      <c r="A110" s="172">
        <f>N_L14</f>
        <v>0</v>
      </c>
      <c r="B110" s="363" t="s">
        <v>37</v>
      </c>
      <c r="C110" s="363" t="s">
        <v>37</v>
      </c>
      <c r="D110" s="363" t="s">
        <v>37</v>
      </c>
      <c r="E110" s="363" t="s">
        <v>37</v>
      </c>
      <c r="F110" s="363" t="s">
        <v>37</v>
      </c>
      <c r="G110" s="363" t="s">
        <v>37</v>
      </c>
      <c r="H110" s="363" t="s">
        <v>37</v>
      </c>
      <c r="I110" s="363" t="s">
        <v>37</v>
      </c>
      <c r="J110" s="363" t="s">
        <v>37</v>
      </c>
      <c r="K110" s="363" t="s">
        <v>37</v>
      </c>
      <c r="L110" s="363" t="s">
        <v>37</v>
      </c>
      <c r="M110" s="363" t="s">
        <v>37</v>
      </c>
    </row>
    <row r="111" spans="1:172" ht="20.100000000000001" customHeight="1" x14ac:dyDescent="0.3">
      <c r="A111" s="175" t="s">
        <v>238</v>
      </c>
      <c r="B111" s="174">
        <f>SUM(DI113:DM117)/100</f>
        <v>0</v>
      </c>
      <c r="C111" s="174">
        <f>SUM(DN113:DR117)/100</f>
        <v>0</v>
      </c>
      <c r="D111" s="174">
        <f>SUM(DS113:DW117)/100</f>
        <v>0</v>
      </c>
      <c r="E111" s="174">
        <f>SUM(DX113:EB117)/100</f>
        <v>0</v>
      </c>
      <c r="F111" s="174">
        <f>SUM(EC113:EG117)/100</f>
        <v>0</v>
      </c>
      <c r="G111" s="174">
        <f>SUM(EH113:EL117)/100</f>
        <v>0</v>
      </c>
      <c r="H111" s="174">
        <f>SUM(EM113:EQ117)/100</f>
        <v>0</v>
      </c>
      <c r="I111" s="174">
        <f>SUM(ER113:EV117)/100</f>
        <v>0</v>
      </c>
      <c r="J111" s="174">
        <f>SUM(EW113:FA117)/100</f>
        <v>0</v>
      </c>
      <c r="K111" s="174">
        <f>SUM(FB113:FF117)/100</f>
        <v>0</v>
      </c>
      <c r="L111" s="174">
        <f>SUM(FG113:FK117)/100</f>
        <v>0</v>
      </c>
      <c r="M111" s="174">
        <f>SUM(FL113:FP117)/100</f>
        <v>0</v>
      </c>
    </row>
    <row r="112" spans="1:172" ht="20.100000000000001" customHeight="1" x14ac:dyDescent="0.3">
      <c r="A112" s="151" t="s">
        <v>239</v>
      </c>
      <c r="B112" s="152" t="e">
        <f t="shared" ref="B112:M112" si="810">B111/Lote_14</f>
        <v>#DIV/0!</v>
      </c>
      <c r="C112" s="152" t="e">
        <f t="shared" si="810"/>
        <v>#DIV/0!</v>
      </c>
      <c r="D112" s="152" t="e">
        <f t="shared" si="810"/>
        <v>#DIV/0!</v>
      </c>
      <c r="E112" s="152" t="e">
        <f t="shared" si="810"/>
        <v>#DIV/0!</v>
      </c>
      <c r="F112" s="152" t="e">
        <f t="shared" si="810"/>
        <v>#DIV/0!</v>
      </c>
      <c r="G112" s="152" t="e">
        <f t="shared" si="810"/>
        <v>#DIV/0!</v>
      </c>
      <c r="H112" s="152" t="e">
        <f t="shared" si="810"/>
        <v>#DIV/0!</v>
      </c>
      <c r="I112" s="152" t="e">
        <f t="shared" si="810"/>
        <v>#DIV/0!</v>
      </c>
      <c r="J112" s="152" t="e">
        <f t="shared" si="810"/>
        <v>#DIV/0!</v>
      </c>
      <c r="K112" s="152" t="e">
        <f t="shared" si="810"/>
        <v>#DIV/0!</v>
      </c>
      <c r="L112" s="152" t="e">
        <f t="shared" si="810"/>
        <v>#DIV/0!</v>
      </c>
      <c r="M112" s="152" t="e">
        <f t="shared" si="810"/>
        <v>#DIV/0!</v>
      </c>
    </row>
    <row r="113" spans="1:172" ht="20.100000000000001" customHeight="1" x14ac:dyDescent="0.3">
      <c r="A113" s="8" t="s">
        <v>302</v>
      </c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O113" s="58">
        <f>IFERROR('6'!O$59/Ciclo,0)</f>
        <v>0</v>
      </c>
      <c r="P113" s="58">
        <f>IFERROR('6'!P$59/Ciclo,0)</f>
        <v>0</v>
      </c>
      <c r="Q113" s="58">
        <f>IFERROR('6'!Q$59/Ciclo,0)</f>
        <v>0</v>
      </c>
      <c r="R113" s="58">
        <f>IFERROR('6'!R$59/Ciclo,0)</f>
        <v>0</v>
      </c>
      <c r="S113" s="58">
        <f>IFERROR('6'!S$59/Ciclo,0)</f>
        <v>0</v>
      </c>
      <c r="T113" s="58">
        <f>IFERROR('6'!T$59/Ciclo,0)</f>
        <v>0</v>
      </c>
      <c r="U113" s="58">
        <f>IFERROR('6'!U$59/Ciclo,0)</f>
        <v>0</v>
      </c>
      <c r="V113" s="58">
        <f>IFERROR('6'!V$59/Ciclo,0)</f>
        <v>0</v>
      </c>
      <c r="W113" s="5">
        <f>IFERROR('6'!W$59/Ciclo,0)</f>
        <v>0</v>
      </c>
      <c r="X113" s="5">
        <f>IFERROR('6'!X$59/Ciclo,0)</f>
        <v>0</v>
      </c>
      <c r="Y113" s="5">
        <f>IFERROR('6'!Y$59/Ciclo,0)</f>
        <v>0</v>
      </c>
      <c r="Z113" s="5">
        <f>IFERROR('6'!Z$59/Ciclo,0)</f>
        <v>0</v>
      </c>
      <c r="AB113" s="5">
        <f>IF($B$110="Producción",IF($B113&gt;=LI_A,$O113,0),0)</f>
        <v>0</v>
      </c>
      <c r="AC113" s="5">
        <f>IF($B$110="Producción",IF($B113&gt;=LI_B,IF($B113&lt;LS_B,$O113,0),0),0)</f>
        <v>0</v>
      </c>
      <c r="AD113" s="5">
        <f>IF($B$110="Producción",IF($B113&gt;=LI_C,IF($B113&lt;LS_C,$O113,0),0),0)</f>
        <v>0</v>
      </c>
      <c r="AE113" s="5">
        <f>IF($B$110="Producción",IF($B113&lt;LS_D,$O113,0),0)</f>
        <v>0</v>
      </c>
      <c r="AF113" s="5">
        <f>IF($B$110="Crecimiento",$O113,0)</f>
        <v>0</v>
      </c>
      <c r="AG113" s="5">
        <f>IF($B110="Siembra",'6'!$O$7,0)</f>
        <v>0</v>
      </c>
      <c r="AH113" s="5">
        <f>IF($B110="Abandono",'6'!$O$7,0)</f>
        <v>0</v>
      </c>
      <c r="AI113" s="5">
        <f>IF($C$110="Producción",IF($C113&gt;=LI_A,$P113,0),0)</f>
        <v>0</v>
      </c>
      <c r="AJ113" s="5">
        <f>IF($C$110="Producción",IF($C113&gt;=LI_B,IF($C113&lt;LS_B,$P113,0),0),0)</f>
        <v>0</v>
      </c>
      <c r="AK113" s="5">
        <f>IF($C$110="Producción",IF($C113&gt;=LI_C,IF($C113&lt;LS_C,$P113,0),0),0)</f>
        <v>0</v>
      </c>
      <c r="AL113" s="5">
        <f>IF($C$110="Producción",IF($C113&lt;LS_D,$P113,0),0)</f>
        <v>0</v>
      </c>
      <c r="AM113" s="5">
        <f>IF($C$110="Crecimiento",$P113,0)</f>
        <v>0</v>
      </c>
      <c r="AN113" s="5">
        <f>IF($C110="Siembra",'6'!$P$7,0)</f>
        <v>0</v>
      </c>
      <c r="AO113" s="5">
        <f>IF($C110="Abandono",'6'!$P$7,0)</f>
        <v>0</v>
      </c>
      <c r="AP113" s="5">
        <f>IF($D$110="Producción",IF($D113&gt;=LI_A,$Q113,0),0)</f>
        <v>0</v>
      </c>
      <c r="AQ113" s="5">
        <f>IF($D$110="Producción",IF($D113&gt;=LI_B,IF($D113&lt;LS_B,$Q113,0),0),0)</f>
        <v>0</v>
      </c>
      <c r="AR113" s="5">
        <f>IF($D$110="Producción",IF($D113&gt;=LI_C,IF($D113&lt;LS_C,$Q113,0),0),0)</f>
        <v>0</v>
      </c>
      <c r="AS113" s="5">
        <f>IF($D$110="Producción",IF($D113&lt;LS_D,$Q113,0),0)</f>
        <v>0</v>
      </c>
      <c r="AT113" s="5">
        <f>IF($D$110="Crecimiento",IF($D113&gt;0,$Q113,0),0)</f>
        <v>0</v>
      </c>
      <c r="AU113" s="5">
        <f>IF($D110="Siembra",'6'!$Q$7,0)</f>
        <v>0</v>
      </c>
      <c r="AV113" s="5">
        <f>IF($D110="Abandono",'6'!$Q$7,0)</f>
        <v>0</v>
      </c>
      <c r="AW113" s="5">
        <f>IF($E$110="Producción",IF($E113&gt;=LI_A,$R113,0),0)</f>
        <v>0</v>
      </c>
      <c r="AX113" s="5">
        <f>IF($E$110="Producción",IF($E113&gt;=LI_B,IF($E113&lt;LS_B,$R113,0),0),0)</f>
        <v>0</v>
      </c>
      <c r="AY113" s="5">
        <f>IF($E$110="Producción",IF($E113&gt;=LI_C,IF($E113&lt;LS_C,$R113,0),0),0)</f>
        <v>0</v>
      </c>
      <c r="AZ113" s="5">
        <f>IF($E$110="Producción",IF($E113&lt;LS_D,$R113,0),0)</f>
        <v>0</v>
      </c>
      <c r="BA113" s="5">
        <f>IF($E$110="Crecimiento",$R113,0)</f>
        <v>0</v>
      </c>
      <c r="BB113" s="5">
        <f>IF($E110="Siembra",'6'!$R$7,0)</f>
        <v>0</v>
      </c>
      <c r="BC113" s="5">
        <f>IF($E110="Abandono",'6'!$R$7,0)</f>
        <v>0</v>
      </c>
      <c r="BD113" s="5">
        <f>IF($F$110="Producción",IF($F113&gt;=LI_A,$S113,0),0)</f>
        <v>0</v>
      </c>
      <c r="BE113" s="5">
        <f>IF($F$110="Producción",IF($F113&gt;=LI_B,IF($F113&lt;LS_B,$S113,0),0),0)</f>
        <v>0</v>
      </c>
      <c r="BF113" s="5">
        <f>IF($F$110="Producción",IF($F113&gt;=LI_C,IF($F113&lt;LS_C,$S113,0),0),0)</f>
        <v>0</v>
      </c>
      <c r="BG113" s="5">
        <f>IF($F$110="Producción",IF($F113&lt;LS_D,$S113,0),0)</f>
        <v>0</v>
      </c>
      <c r="BH113" s="5">
        <f>IF($F$110="Crecimiento",$S113,0)</f>
        <v>0</v>
      </c>
      <c r="BI113" s="5">
        <f>IF($F110="Siembra",'6'!$S$7,0)</f>
        <v>0</v>
      </c>
      <c r="BJ113" s="5">
        <f>IF($F110="Abandono",'6'!$S$7,0)</f>
        <v>0</v>
      </c>
      <c r="BK113" s="5">
        <f>IF($G$110="Producción",IF($G113&gt;=LI_A,$T113,0),0)</f>
        <v>0</v>
      </c>
      <c r="BL113" s="5">
        <f>IF($G$110="Producción",IF($G113&gt;=LI_B,IF($G113&lt;LS_B,$T113,0),0),0)</f>
        <v>0</v>
      </c>
      <c r="BM113" s="5">
        <f>IF($G$110="Producción",IF($G113&gt;=LI_C,IF($G113&lt;LS_C,$T113,0),0),0)</f>
        <v>0</v>
      </c>
      <c r="BN113" s="5">
        <f>IF($G$110="Producción",IF($G113&lt;LS_D,$T113,0),0)</f>
        <v>0</v>
      </c>
      <c r="BO113" s="5">
        <f>IF($G$110="Crecimiento",$T113,0)</f>
        <v>0</v>
      </c>
      <c r="BP113" s="5">
        <f>IF($G110="Siembra",'6'!$T$7,0)</f>
        <v>0</v>
      </c>
      <c r="BQ113" s="5">
        <f>IF($G110="Abandono",'6'!$T$7,0)</f>
        <v>0</v>
      </c>
      <c r="BR113" s="5">
        <f>IF($H$110="Producción",IF($H113&gt;=LI_A,$U113,0),0)</f>
        <v>0</v>
      </c>
      <c r="BS113" s="5">
        <f>IF($H$110="Producción",IF($H113&gt;=LI_B,IF($H113&lt;LS_B,$U113,0),0),0)</f>
        <v>0</v>
      </c>
      <c r="BT113" s="5">
        <f>IF($H$110="Producción",IF($H113&gt;=LI_C,IF($H113&lt;LS_C,$U113,0),0),0)</f>
        <v>0</v>
      </c>
      <c r="BU113" s="5">
        <f>IF($H$110="Producción",IF($H113&lt;LS_D,$U113,0),0)</f>
        <v>0</v>
      </c>
      <c r="BV113" s="5">
        <f>IF($H$110="Crecimiento",$T113,0)</f>
        <v>0</v>
      </c>
      <c r="BW113" s="5">
        <f>IF($H110="Siembra",'6'!$U$7,0)</f>
        <v>0</v>
      </c>
      <c r="BX113" s="5">
        <f>IF($H110="Abandono",'6'!$U$7,0)</f>
        <v>0</v>
      </c>
      <c r="BY113" s="5">
        <f>IF($I$110="Producción",IF($I113&gt;=LI_A,$V113,0),0)</f>
        <v>0</v>
      </c>
      <c r="BZ113" s="5">
        <f>IF($I$110="Producción",IF($I113&gt;=LI_B,IF($I113&lt;LS_B,$V113,0),0),0)</f>
        <v>0</v>
      </c>
      <c r="CA113" s="5">
        <f>IF($I$110="Producción",IF($I113&gt;=LI_C,IF($I113&lt;LS_C,$V113,0),0),0)</f>
        <v>0</v>
      </c>
      <c r="CB113" s="5">
        <f>IF($I$110="Producción",IF($I113&lt;LS_D,$V113,0),0)</f>
        <v>0</v>
      </c>
      <c r="CC113" s="5">
        <f>IF($I$110="Crecimiento",$V113,0)</f>
        <v>0</v>
      </c>
      <c r="CD113" s="5">
        <f>IF($I110="Siembra",'6'!$V$7,0)</f>
        <v>0</v>
      </c>
      <c r="CE113" s="5">
        <f>IF($I110="Abandono",'6'!$V$7,0)</f>
        <v>0</v>
      </c>
      <c r="CF113" s="5">
        <f>IF($J$110="Producción",IF($J113&gt;=LI_A,$W113,0),0)</f>
        <v>0</v>
      </c>
      <c r="CG113" s="5">
        <f>IF($J$110="Producción",IF($J113&gt;=LI_B,IF($J113&lt;LS_B,$W113,0),0),0)</f>
        <v>0</v>
      </c>
      <c r="CH113" s="5">
        <f>IF($J$110="Producción",IF($J113&gt;=LI_C,IF($J113&lt;LS_C,$W113,0),0),0)</f>
        <v>0</v>
      </c>
      <c r="CI113" s="5">
        <f>IF($J$110="Producción",IF($J113&lt;LS_D,$W113,0),0)</f>
        <v>0</v>
      </c>
      <c r="CJ113" s="5">
        <f>IF($J$110="Crecimiento",$W113,0)</f>
        <v>0</v>
      </c>
      <c r="CK113" s="5">
        <f>IF($J110="Siembra",'6'!$W$7,0)</f>
        <v>0</v>
      </c>
      <c r="CL113" s="5">
        <f>IF($J110="Abandono",'6'!$W$7,0)</f>
        <v>0</v>
      </c>
      <c r="CM113" s="5">
        <f>IF($K$110="Producción",IF($K113&gt;=LI_A,$X113,0),0)</f>
        <v>0</v>
      </c>
      <c r="CN113" s="5">
        <f>IF($K$110="Producción",IF($K113&gt;=LI_B,IF($K113&lt;LS_B,$X113,0),0),0)</f>
        <v>0</v>
      </c>
      <c r="CO113" s="5">
        <f>IF($K$110="Producción",IF($K113&gt;=LI_C,IF($K113&lt;LS_C,$X113,0),0),0)</f>
        <v>0</v>
      </c>
      <c r="CP113" s="5">
        <f>IF($K$110="Producción",IF($K113&lt;LS_D,$X113,0),0)</f>
        <v>0</v>
      </c>
      <c r="CQ113" s="5">
        <f>IF($K$110="Crecimiento",$X113,0)</f>
        <v>0</v>
      </c>
      <c r="CR113" s="5">
        <f>IF($K110="Siembra",'6'!$X$7,0)</f>
        <v>0</v>
      </c>
      <c r="CS113" s="5">
        <f>IF($K110="Abandono",'6'!$X$7,0)</f>
        <v>0</v>
      </c>
      <c r="CT113" s="5">
        <f>IF($L$110="Producción",IF($L113&gt;=LI_A,$Y113,0),0)</f>
        <v>0</v>
      </c>
      <c r="CU113" s="5">
        <f>IF($L$110="Producción",IF($L113&gt;=LI_B,IF($L113&lt;LS_B,$Y113,0),0),0)</f>
        <v>0</v>
      </c>
      <c r="CV113" s="5">
        <f>IF($L$110="Producción",IF($L113&gt;=LI_C,IF($L113&lt;LS_C,$Y113,0),0),0)</f>
        <v>0</v>
      </c>
      <c r="CW113" s="5">
        <f>IF($L$110="Producción",IF($L113&lt;LS_D,$Y113,0),0)</f>
        <v>0</v>
      </c>
      <c r="CX113" s="5">
        <f>IF($L$110="Crecimiento",$Y113,0)</f>
        <v>0</v>
      </c>
      <c r="CY113" s="5">
        <f>IF($L110="Siembra",'6'!$Y$7,0)</f>
        <v>0</v>
      </c>
      <c r="CZ113" s="5">
        <f>IF($L110="Abandono",'6'!$Y$7,0)</f>
        <v>0</v>
      </c>
      <c r="DA113" s="5">
        <f>IF($M$110="Producción",IF($M113&gt;=LI_A,$Z113,0),0)</f>
        <v>0</v>
      </c>
      <c r="DB113" s="5">
        <f>IF($M$110="Producción",IF($M113&gt;=LI_B,IF($M113&lt;LS_B,$Z113,0),0),0)</f>
        <v>0</v>
      </c>
      <c r="DC113" s="5">
        <f>IF($M$110="Producción",IF($M113&gt;=LI_C,IF($M113&lt;LS_C,$Z113,0),0),0)</f>
        <v>0</v>
      </c>
      <c r="DD113" s="5">
        <f>IF($M$110="Producción",IF($M113&lt;LS_D,$Z113,0),0)</f>
        <v>0</v>
      </c>
      <c r="DE113" s="5">
        <f>IF($M$110="Crecimiento",$Z113,0)</f>
        <v>0</v>
      </c>
      <c r="DF113" s="5">
        <f>IF($M110="Siembra",'6'!$Z$7,0)</f>
        <v>0</v>
      </c>
      <c r="DG113" s="5">
        <f>IF($M110="Abandono",'6'!$Z$7,0)</f>
        <v>0</v>
      </c>
      <c r="DI113" s="5">
        <f t="shared" ref="DI113:DI117" si="811">AB113*$B113</f>
        <v>0</v>
      </c>
      <c r="DJ113" s="5">
        <f t="shared" ref="DJ113:DJ117" si="812">AC113*$B113</f>
        <v>0</v>
      </c>
      <c r="DK113" s="5">
        <f t="shared" ref="DK113:DK117" si="813">AD113*$B113</f>
        <v>0</v>
      </c>
      <c r="DL113" s="5">
        <f t="shared" ref="DL113:DL117" si="814">AE113*$B113</f>
        <v>0</v>
      </c>
      <c r="DM113" s="5">
        <f t="shared" ref="DM113:DM117" si="815">AF113*$B113</f>
        <v>0</v>
      </c>
      <c r="DN113" s="5">
        <f t="shared" ref="DN113:DN117" si="816">AI113*$C113</f>
        <v>0</v>
      </c>
      <c r="DO113" s="5">
        <f t="shared" ref="DO113:DO117" si="817">AJ113*$C113</f>
        <v>0</v>
      </c>
      <c r="DP113" s="5">
        <f t="shared" ref="DP113:DP117" si="818">AK113*$C113</f>
        <v>0</v>
      </c>
      <c r="DQ113" s="5">
        <f t="shared" ref="DQ113:DQ117" si="819">AL113*$C113</f>
        <v>0</v>
      </c>
      <c r="DR113" s="5">
        <f t="shared" ref="DR113:DR117" si="820">AM113*$C113</f>
        <v>0</v>
      </c>
      <c r="DS113" s="5">
        <f t="shared" ref="DS113:DS117" si="821">AP113*$D113</f>
        <v>0</v>
      </c>
      <c r="DT113" s="5">
        <f t="shared" ref="DT113:DT117" si="822">AQ113*$D113</f>
        <v>0</v>
      </c>
      <c r="DU113" s="5">
        <f t="shared" ref="DU113:DU117" si="823">AR113*$D113</f>
        <v>0</v>
      </c>
      <c r="DV113" s="5">
        <f t="shared" ref="DV113:DV117" si="824">AS113*$D113</f>
        <v>0</v>
      </c>
      <c r="DW113" s="5">
        <f t="shared" ref="DW113:DW117" si="825">AT113*$D113</f>
        <v>0</v>
      </c>
      <c r="DX113" s="5">
        <f t="shared" ref="DX113:DX117" si="826">AW113*$E113</f>
        <v>0</v>
      </c>
      <c r="DY113" s="5">
        <f t="shared" ref="DY113:DY117" si="827">AX113*$E113</f>
        <v>0</v>
      </c>
      <c r="DZ113" s="5">
        <f t="shared" ref="DZ113:DZ117" si="828">AY113*$E113</f>
        <v>0</v>
      </c>
      <c r="EA113" s="5">
        <f t="shared" ref="EA113:EA117" si="829">AZ113*$E113</f>
        <v>0</v>
      </c>
      <c r="EB113" s="5">
        <f t="shared" ref="EB113:EB117" si="830">BA113*$E113</f>
        <v>0</v>
      </c>
      <c r="EC113" s="5">
        <f t="shared" ref="EC113:EC117" si="831">BD113*$F113</f>
        <v>0</v>
      </c>
      <c r="ED113" s="5">
        <f t="shared" ref="ED113:ED117" si="832">BE113*$F113</f>
        <v>0</v>
      </c>
      <c r="EE113" s="5">
        <f t="shared" ref="EE113:EE117" si="833">BF113*$F113</f>
        <v>0</v>
      </c>
      <c r="EF113" s="5">
        <f t="shared" ref="EF113:EF117" si="834">BG113*$F113</f>
        <v>0</v>
      </c>
      <c r="EG113" s="5">
        <f t="shared" ref="EG113:EG117" si="835">BH113*$F113</f>
        <v>0</v>
      </c>
      <c r="EH113" s="5">
        <f t="shared" ref="EH113:EH117" si="836">BK113*$G113</f>
        <v>0</v>
      </c>
      <c r="EI113" s="5">
        <f t="shared" ref="EI113:EI117" si="837">BL113*$G113</f>
        <v>0</v>
      </c>
      <c r="EJ113" s="5">
        <f t="shared" ref="EJ113:EJ117" si="838">BM113*$G113</f>
        <v>0</v>
      </c>
      <c r="EK113" s="5">
        <f t="shared" ref="EK113:EK117" si="839">BN113*$G113</f>
        <v>0</v>
      </c>
      <c r="EL113" s="5">
        <f t="shared" ref="EL113:EL117" si="840">BO113*$G113</f>
        <v>0</v>
      </c>
      <c r="EM113" s="5">
        <f t="shared" ref="EM113:EM117" si="841">BR113*$H113</f>
        <v>0</v>
      </c>
      <c r="EN113" s="5">
        <f t="shared" ref="EN113:EN117" si="842">BS113*$H113</f>
        <v>0</v>
      </c>
      <c r="EO113" s="5">
        <f t="shared" ref="EO113:EO117" si="843">BT113*$H113</f>
        <v>0</v>
      </c>
      <c r="EP113" s="5">
        <f t="shared" ref="EP113:EP117" si="844">BU113*$H113</f>
        <v>0</v>
      </c>
      <c r="EQ113" s="5">
        <f t="shared" ref="EQ113:EQ117" si="845">BV113*$H113</f>
        <v>0</v>
      </c>
      <c r="ER113" s="5">
        <f t="shared" ref="ER113:ER117" si="846">BY113*$I113</f>
        <v>0</v>
      </c>
      <c r="ES113" s="5">
        <f t="shared" ref="ES113:ES117" si="847">BZ113*$I113</f>
        <v>0</v>
      </c>
      <c r="ET113" s="5">
        <f t="shared" ref="ET113:ET117" si="848">CA113*$I113</f>
        <v>0</v>
      </c>
      <c r="EU113" s="5">
        <f t="shared" ref="EU113:EU117" si="849">CB113*$I113</f>
        <v>0</v>
      </c>
      <c r="EV113" s="5">
        <f t="shared" ref="EV113:EV117" si="850">CC113*$I113</f>
        <v>0</v>
      </c>
      <c r="EW113" s="5">
        <f t="shared" ref="EW113:EW117" si="851">CF113*$J113</f>
        <v>0</v>
      </c>
      <c r="EX113" s="5">
        <f t="shared" ref="EX113:EX117" si="852">CG113*$J113</f>
        <v>0</v>
      </c>
      <c r="EY113" s="5">
        <f t="shared" ref="EY113:EY117" si="853">CH113*$J113</f>
        <v>0</v>
      </c>
      <c r="EZ113" s="5">
        <f t="shared" ref="EZ113:EZ117" si="854">CI113*$J113</f>
        <v>0</v>
      </c>
      <c r="FA113" s="5">
        <f t="shared" ref="FA113:FA117" si="855">CJ113*$J113</f>
        <v>0</v>
      </c>
      <c r="FB113" s="5">
        <f t="shared" ref="FB113:FB117" si="856">CM113*$K113</f>
        <v>0</v>
      </c>
      <c r="FC113" s="5">
        <f t="shared" ref="FC113:FC117" si="857">CN113*$K113</f>
        <v>0</v>
      </c>
      <c r="FD113" s="5">
        <f t="shared" ref="FD113:FD117" si="858">CO113*$K113</f>
        <v>0</v>
      </c>
      <c r="FE113" s="5">
        <f t="shared" ref="FE113:FE117" si="859">CP113*$K113</f>
        <v>0</v>
      </c>
      <c r="FF113" s="5">
        <f t="shared" ref="FF113:FF117" si="860">CQ113*$K113</f>
        <v>0</v>
      </c>
      <c r="FG113" s="5">
        <f t="shared" ref="FG113:FG117" si="861">CT113*$L113</f>
        <v>0</v>
      </c>
      <c r="FH113" s="5">
        <f t="shared" ref="FH113:FH117" si="862">CU113*$L113</f>
        <v>0</v>
      </c>
      <c r="FI113" s="5">
        <f t="shared" ref="FI113:FI117" si="863">CV113*$L113</f>
        <v>0</v>
      </c>
      <c r="FJ113" s="5">
        <f t="shared" ref="FJ113:FJ117" si="864">CW113*$L113</f>
        <v>0</v>
      </c>
      <c r="FK113" s="5">
        <f t="shared" ref="FK113:FK117" si="865">CX113*$L113</f>
        <v>0</v>
      </c>
      <c r="FL113" s="5">
        <f t="shared" ref="FL113:FL117" si="866">DA113*$M113</f>
        <v>0</v>
      </c>
      <c r="FM113" s="5">
        <f t="shared" ref="FM113:FM117" si="867">DB113*$M113</f>
        <v>0</v>
      </c>
      <c r="FN113" s="5">
        <f t="shared" ref="FN113:FN117" si="868">DC113*$M113</f>
        <v>0</v>
      </c>
      <c r="FO113" s="5">
        <f t="shared" ref="FO113:FO117" si="869">DD113*$M113</f>
        <v>0</v>
      </c>
      <c r="FP113" s="5">
        <f t="shared" ref="FP113:FP117" si="870">DE113*$M113</f>
        <v>0</v>
      </c>
    </row>
    <row r="114" spans="1:172" ht="20.100000000000001" customHeight="1" x14ac:dyDescent="0.3">
      <c r="A114" s="8" t="s">
        <v>303</v>
      </c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O114" s="58">
        <f>IFERROR('6'!O$59/Ciclo,0)</f>
        <v>0</v>
      </c>
      <c r="P114" s="58">
        <f>IFERROR('6'!P$59/Ciclo,0)</f>
        <v>0</v>
      </c>
      <c r="Q114" s="58">
        <f>IFERROR('6'!Q$59/Ciclo,0)</f>
        <v>0</v>
      </c>
      <c r="R114" s="58">
        <f>IFERROR('6'!R$59/Ciclo,0)</f>
        <v>0</v>
      </c>
      <c r="S114" s="58">
        <f>IFERROR('6'!S$59/Ciclo,0)</f>
        <v>0</v>
      </c>
      <c r="T114" s="58">
        <f>IFERROR('6'!T$59/Ciclo,0)</f>
        <v>0</v>
      </c>
      <c r="U114" s="58">
        <f>IFERROR('6'!U$59/Ciclo,0)</f>
        <v>0</v>
      </c>
      <c r="V114" s="58">
        <f>IFERROR('6'!V$59/Ciclo,0)</f>
        <v>0</v>
      </c>
      <c r="W114" s="5">
        <f>IFERROR('6'!W$59/Ciclo,0)</f>
        <v>0</v>
      </c>
      <c r="X114" s="5">
        <f>IFERROR('6'!X$59/Ciclo,0)</f>
        <v>0</v>
      </c>
      <c r="Y114" s="5">
        <f>IFERROR('6'!Y$59/Ciclo,0)</f>
        <v>0</v>
      </c>
      <c r="Z114" s="5">
        <f>IFERROR('6'!Z$59/Ciclo,0)</f>
        <v>0</v>
      </c>
      <c r="AB114" s="5">
        <f>IF($B$110="Producción",IF($B114&gt;=LI_A,$O114,0),0)</f>
        <v>0</v>
      </c>
      <c r="AC114" s="5">
        <f>IF($B$110="Producción",IF($B114&gt;=LI_B,IF($B114&lt;LS_B,$O114,0),0),0)</f>
        <v>0</v>
      </c>
      <c r="AD114" s="5">
        <f>IF($B$110="Producción",IF($B114&gt;=LI_C,IF($B114&lt;LS_C,$O114,0),0),0)</f>
        <v>0</v>
      </c>
      <c r="AE114" s="5">
        <f>IF($B$110="Producción",IF($B114&lt;LS_D,$O114,0),0)</f>
        <v>0</v>
      </c>
      <c r="AF114" s="5">
        <f t="shared" ref="AF114:AF117" si="871">IF($B$110="Crecimiento",$O114,0)</f>
        <v>0</v>
      </c>
      <c r="AI114" s="5">
        <f>IF($C$110="Producción",IF($C114&gt;=LI_A,$P114,0),0)</f>
        <v>0</v>
      </c>
      <c r="AJ114" s="5">
        <f>IF($C$110="Producción",IF($C114&gt;=LI_B,IF($C114&lt;LS_B,$P114,0),0),0)</f>
        <v>0</v>
      </c>
      <c r="AK114" s="5">
        <f>IF($C$110="Producción",IF($C114&gt;=LI_C,IF($C114&lt;LS_C,$P114,0),0),0)</f>
        <v>0</v>
      </c>
      <c r="AL114" s="5">
        <f>IF($C$110="Producción",IF($C114&lt;LS_D,$P114,0),0)</f>
        <v>0</v>
      </c>
      <c r="AM114" s="5">
        <f>IF($C$110="Crecimiento",$P114,0)</f>
        <v>0</v>
      </c>
      <c r="AP114" s="5">
        <f>IF($D$110="Producción",IF($D114&gt;=LI_A,$Q114,0),0)</f>
        <v>0</v>
      </c>
      <c r="AQ114" s="5">
        <f>IF($D$110="Producción",IF($D114&gt;=LI_B,IF($D114&lt;LS_B,$Q114,0),0),0)</f>
        <v>0</v>
      </c>
      <c r="AR114" s="5">
        <f>IF($D$110="Producción",IF($D114&gt;=LI_C,IF($D114&lt;LS_C,$Q114,0),0),0)</f>
        <v>0</v>
      </c>
      <c r="AS114" s="5">
        <f>IF($D$110="Producción",IF($D114&lt;LS_D,$Q114,0),0)</f>
        <v>0</v>
      </c>
      <c r="AT114" s="5">
        <f>IF($D$110="Crecimiento",IF($D114&gt;0,$Q114,0),0)</f>
        <v>0</v>
      </c>
      <c r="AW114" s="5">
        <f>IF($E$110="Producción",IF($E114&gt;=LI_A,$R114,0),0)</f>
        <v>0</v>
      </c>
      <c r="AX114" s="5">
        <f>IF($E$110="Producción",IF($E114&gt;=LI_B,IF($E114&lt;LS_B,$R114,0),0),0)</f>
        <v>0</v>
      </c>
      <c r="AY114" s="5">
        <f>IF($E$110="Producción",IF($E114&gt;=LI_C,IF($E114&lt;LS_C,$R114,0),0),0)</f>
        <v>0</v>
      </c>
      <c r="AZ114" s="5">
        <f>IF($E$110="Producción",IF($E114&lt;LS_D,$R114,0),0)</f>
        <v>0</v>
      </c>
      <c r="BA114" s="5">
        <f>IF($E$110="Crecimiento",$R114,0)</f>
        <v>0</v>
      </c>
      <c r="BD114" s="5">
        <f>IF($F$110="Producción",IF($F114&gt;=LI_A,$S114,0),0)</f>
        <v>0</v>
      </c>
      <c r="BE114" s="5">
        <f>IF($F$110="Producción",IF($F114&gt;=LI_B,IF($F114&lt;LS_B,$S114,0),0),0)</f>
        <v>0</v>
      </c>
      <c r="BF114" s="5">
        <f>IF($F$110="Producción",IF($F114&gt;=LI_C,IF($F114&lt;LS_C,$S114,0),0),0)</f>
        <v>0</v>
      </c>
      <c r="BG114" s="5">
        <f>IF($F$110="Producción",IF($F114&lt;LS_D,$S114,0),0)</f>
        <v>0</v>
      </c>
      <c r="BH114" s="5">
        <f>IF($F$110="Crecimiento",$S114,0)</f>
        <v>0</v>
      </c>
      <c r="BK114" s="5">
        <f>IF($G$110="Producción",IF($G114&gt;=LI_A,$T114,0),0)</f>
        <v>0</v>
      </c>
      <c r="BL114" s="5">
        <f>IF($G$110="Producción",IF($G114&gt;=LI_B,IF($G114&lt;LS_B,$T114,0),0),0)</f>
        <v>0</v>
      </c>
      <c r="BM114" s="5">
        <f>IF($G$110="Producción",IF($G114&gt;=LI_C,IF($G114&lt;LS_C,$T114,0),0),0)</f>
        <v>0</v>
      </c>
      <c r="BN114" s="5">
        <f>IF($G$110="Producción",IF($G114&lt;LS_D,$T114,0),0)</f>
        <v>0</v>
      </c>
      <c r="BO114" s="5">
        <f>IF($G$110="Crecimiento",$T114,0)</f>
        <v>0</v>
      </c>
      <c r="BR114" s="5">
        <f>IF($H$110="Producción",IF($H114&gt;=LI_A,$U114,0),0)</f>
        <v>0</v>
      </c>
      <c r="BS114" s="5">
        <f>IF($H$110="Producción",IF($H114&gt;=LI_B,IF($H114&lt;LS_B,$U114,0),0),0)</f>
        <v>0</v>
      </c>
      <c r="BT114" s="5">
        <f>IF($H$110="Producción",IF($H114&gt;=LI_C,IF($H114&lt;LS_C,$U114,0),0),0)</f>
        <v>0</v>
      </c>
      <c r="BU114" s="5">
        <f>IF($H$110="Producción",IF($H114&lt;LS_D,$U114,0),0)</f>
        <v>0</v>
      </c>
      <c r="BV114" s="5">
        <f>IF($H$110="Crecimiento",$T114,0)</f>
        <v>0</v>
      </c>
      <c r="BY114" s="5">
        <f>IF($I$110="Producción",IF($I114&gt;=LI_A,$V114,0),0)</f>
        <v>0</v>
      </c>
      <c r="BZ114" s="5">
        <f>IF($I$110="Producción",IF($I114&gt;=LI_B,IF($I114&lt;LS_B,$V114,0),0),0)</f>
        <v>0</v>
      </c>
      <c r="CA114" s="5">
        <f>IF($I$110="Producción",IF($I114&gt;=LI_C,IF($I114&lt;LS_C,$V114,0),0),0)</f>
        <v>0</v>
      </c>
      <c r="CB114" s="5">
        <f>IF($I$110="Producción",IF($I114&lt;LS_D,$V114,0),0)</f>
        <v>0</v>
      </c>
      <c r="CC114" s="5">
        <f>IF($I$110="Crecimiento",$V114,0)</f>
        <v>0</v>
      </c>
      <c r="CF114" s="5">
        <f>IF($J$110="Producción",IF($J114&gt;=LI_A,$W114,0),0)</f>
        <v>0</v>
      </c>
      <c r="CG114" s="5">
        <f>IF($J$110="Producción",IF($J114&gt;=LI_B,IF($J114&lt;LS_B,$W114,0),0),0)</f>
        <v>0</v>
      </c>
      <c r="CH114" s="5">
        <f>IF($J$110="Producción",IF($J114&gt;=LI_C,IF($J114&lt;LS_C,$W114,0),0),0)</f>
        <v>0</v>
      </c>
      <c r="CI114" s="5">
        <f>IF($J$110="Producción",IF($J114&lt;LS_D,$W114,0),0)</f>
        <v>0</v>
      </c>
      <c r="CJ114" s="5">
        <f>IF($J$110="Crecimiento",$W114,0)</f>
        <v>0</v>
      </c>
      <c r="CM114" s="5">
        <f>IF($K$110="Producción",IF($K114&gt;=LI_A,$X114,0),0)</f>
        <v>0</v>
      </c>
      <c r="CN114" s="5">
        <f>IF($K$110="Producción",IF($K114&gt;=LI_B,IF($K114&lt;LS_B,$X114,0),0),0)</f>
        <v>0</v>
      </c>
      <c r="CO114" s="5">
        <f>IF($K$110="Producción",IF($K114&gt;=LI_C,IF($K114&lt;LS_C,$X114,0),0),0)</f>
        <v>0</v>
      </c>
      <c r="CP114" s="5">
        <f>IF($K$110="Producción",IF($K114&lt;LS_D,$X114,0),0)</f>
        <v>0</v>
      </c>
      <c r="CQ114" s="5">
        <f>IF($K$110="Crecimiento",$X114,0)</f>
        <v>0</v>
      </c>
      <c r="CT114" s="5">
        <f>IF($L$110="Producción",IF($L114&gt;=LI_A,$Y114,0),0)</f>
        <v>0</v>
      </c>
      <c r="CU114" s="5">
        <f>IF($L$110="Producción",IF($L114&gt;=LI_B,IF($L114&lt;LS_B,$Y114,0),0),0)</f>
        <v>0</v>
      </c>
      <c r="CV114" s="5">
        <f>IF($L$110="Producción",IF($L114&gt;=LI_C,IF($L114&lt;LS_C,$Y114,0),0),0)</f>
        <v>0</v>
      </c>
      <c r="CW114" s="5">
        <f>IF($L$110="Producción",IF($L114&lt;LS_D,$Y114,0),0)</f>
        <v>0</v>
      </c>
      <c r="CX114" s="5">
        <f>IF($L$110="Crecimiento",$Y114,0)</f>
        <v>0</v>
      </c>
      <c r="DA114" s="5">
        <f>IF($M$110="Producción",IF($M114&gt;=LI_A,$Z114,0),0)</f>
        <v>0</v>
      </c>
      <c r="DB114" s="5">
        <f>IF($M$110="Producción",IF($M114&gt;=LI_B,IF($M114&lt;LS_B,$Z114,0),0),0)</f>
        <v>0</v>
      </c>
      <c r="DC114" s="5">
        <f>IF($M$110="Producción",IF($M114&gt;=LI_C,IF($M114&lt;LS_C,$Z114,0),0),0)</f>
        <v>0</v>
      </c>
      <c r="DD114" s="5">
        <f>IF($M$110="Producción",IF($M114&lt;LS_D,$Z114,0),0)</f>
        <v>0</v>
      </c>
      <c r="DE114" s="5">
        <f>IF($M$110="Crecimiento",$Z114,0)</f>
        <v>0</v>
      </c>
      <c r="DI114" s="5">
        <f t="shared" si="811"/>
        <v>0</v>
      </c>
      <c r="DJ114" s="5">
        <f t="shared" si="812"/>
        <v>0</v>
      </c>
      <c r="DK114" s="5">
        <f t="shared" si="813"/>
        <v>0</v>
      </c>
      <c r="DL114" s="5">
        <f t="shared" si="814"/>
        <v>0</v>
      </c>
      <c r="DM114" s="5">
        <f t="shared" si="815"/>
        <v>0</v>
      </c>
      <c r="DN114" s="5">
        <f t="shared" si="816"/>
        <v>0</v>
      </c>
      <c r="DO114" s="5">
        <f t="shared" si="817"/>
        <v>0</v>
      </c>
      <c r="DP114" s="5">
        <f t="shared" si="818"/>
        <v>0</v>
      </c>
      <c r="DQ114" s="5">
        <f t="shared" si="819"/>
        <v>0</v>
      </c>
      <c r="DR114" s="5">
        <f t="shared" si="820"/>
        <v>0</v>
      </c>
      <c r="DS114" s="5">
        <f t="shared" si="821"/>
        <v>0</v>
      </c>
      <c r="DT114" s="5">
        <f t="shared" si="822"/>
        <v>0</v>
      </c>
      <c r="DU114" s="5">
        <f t="shared" si="823"/>
        <v>0</v>
      </c>
      <c r="DV114" s="5">
        <f t="shared" si="824"/>
        <v>0</v>
      </c>
      <c r="DW114" s="5">
        <f t="shared" si="825"/>
        <v>0</v>
      </c>
      <c r="DX114" s="5">
        <f t="shared" si="826"/>
        <v>0</v>
      </c>
      <c r="DY114" s="5">
        <f t="shared" si="827"/>
        <v>0</v>
      </c>
      <c r="DZ114" s="5">
        <f t="shared" si="828"/>
        <v>0</v>
      </c>
      <c r="EA114" s="5">
        <f t="shared" si="829"/>
        <v>0</v>
      </c>
      <c r="EB114" s="5">
        <f t="shared" si="830"/>
        <v>0</v>
      </c>
      <c r="EC114" s="5">
        <f t="shared" si="831"/>
        <v>0</v>
      </c>
      <c r="ED114" s="5">
        <f t="shared" si="832"/>
        <v>0</v>
      </c>
      <c r="EE114" s="5">
        <f t="shared" si="833"/>
        <v>0</v>
      </c>
      <c r="EF114" s="5">
        <f t="shared" si="834"/>
        <v>0</v>
      </c>
      <c r="EG114" s="5">
        <f t="shared" si="835"/>
        <v>0</v>
      </c>
      <c r="EH114" s="5">
        <f t="shared" si="836"/>
        <v>0</v>
      </c>
      <c r="EI114" s="5">
        <f t="shared" si="837"/>
        <v>0</v>
      </c>
      <c r="EJ114" s="5">
        <f t="shared" si="838"/>
        <v>0</v>
      </c>
      <c r="EK114" s="5">
        <f t="shared" si="839"/>
        <v>0</v>
      </c>
      <c r="EL114" s="5">
        <f t="shared" si="840"/>
        <v>0</v>
      </c>
      <c r="EM114" s="5">
        <f t="shared" si="841"/>
        <v>0</v>
      </c>
      <c r="EN114" s="5">
        <f t="shared" si="842"/>
        <v>0</v>
      </c>
      <c r="EO114" s="5">
        <f t="shared" si="843"/>
        <v>0</v>
      </c>
      <c r="EP114" s="5">
        <f t="shared" si="844"/>
        <v>0</v>
      </c>
      <c r="EQ114" s="5">
        <f t="shared" si="845"/>
        <v>0</v>
      </c>
      <c r="ER114" s="5">
        <f t="shared" si="846"/>
        <v>0</v>
      </c>
      <c r="ES114" s="5">
        <f t="shared" si="847"/>
        <v>0</v>
      </c>
      <c r="ET114" s="5">
        <f t="shared" si="848"/>
        <v>0</v>
      </c>
      <c r="EU114" s="5">
        <f t="shared" si="849"/>
        <v>0</v>
      </c>
      <c r="EV114" s="5">
        <f t="shared" si="850"/>
        <v>0</v>
      </c>
      <c r="EW114" s="5">
        <f t="shared" si="851"/>
        <v>0</v>
      </c>
      <c r="EX114" s="5">
        <f t="shared" si="852"/>
        <v>0</v>
      </c>
      <c r="EY114" s="5">
        <f t="shared" si="853"/>
        <v>0</v>
      </c>
      <c r="EZ114" s="5">
        <f t="shared" si="854"/>
        <v>0</v>
      </c>
      <c r="FA114" s="5">
        <f t="shared" si="855"/>
        <v>0</v>
      </c>
      <c r="FB114" s="5">
        <f t="shared" si="856"/>
        <v>0</v>
      </c>
      <c r="FC114" s="5">
        <f t="shared" si="857"/>
        <v>0</v>
      </c>
      <c r="FD114" s="5">
        <f t="shared" si="858"/>
        <v>0</v>
      </c>
      <c r="FE114" s="5">
        <f t="shared" si="859"/>
        <v>0</v>
      </c>
      <c r="FF114" s="5">
        <f t="shared" si="860"/>
        <v>0</v>
      </c>
      <c r="FG114" s="5">
        <f t="shared" si="861"/>
        <v>0</v>
      </c>
      <c r="FH114" s="5">
        <f t="shared" si="862"/>
        <v>0</v>
      </c>
      <c r="FI114" s="5">
        <f t="shared" si="863"/>
        <v>0</v>
      </c>
      <c r="FJ114" s="5">
        <f t="shared" si="864"/>
        <v>0</v>
      </c>
      <c r="FK114" s="5">
        <f t="shared" si="865"/>
        <v>0</v>
      </c>
      <c r="FL114" s="5">
        <f t="shared" si="866"/>
        <v>0</v>
      </c>
      <c r="FM114" s="5">
        <f t="shared" si="867"/>
        <v>0</v>
      </c>
      <c r="FN114" s="5">
        <f t="shared" si="868"/>
        <v>0</v>
      </c>
      <c r="FO114" s="5">
        <f t="shared" si="869"/>
        <v>0</v>
      </c>
      <c r="FP114" s="5">
        <f t="shared" si="870"/>
        <v>0</v>
      </c>
    </row>
    <row r="115" spans="1:172" ht="20.100000000000001" customHeight="1" x14ac:dyDescent="0.3">
      <c r="A115" s="8" t="str">
        <f>IF(Ciclo&gt;2,"Surco 3","NA")</f>
        <v>Surco 3</v>
      </c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O115" s="58">
        <f>IF($A115="NA",0,IFERROR('6'!O$59/Ciclo,0))</f>
        <v>0</v>
      </c>
      <c r="P115" s="58">
        <f>IF($A115="NA",0,IFERROR('6'!P$59/Ciclo,0))</f>
        <v>0</v>
      </c>
      <c r="Q115" s="58">
        <f>IF($A115="NA",0,IFERROR('6'!Q$59/Ciclo,0))</f>
        <v>0</v>
      </c>
      <c r="R115" s="58">
        <f>IF($A115="NA",0,IFERROR('6'!R$59/Ciclo,0))</f>
        <v>0</v>
      </c>
      <c r="S115" s="58">
        <f>IF($A115="NA",0,IFERROR('6'!S$59/Ciclo,0))</f>
        <v>0</v>
      </c>
      <c r="T115" s="58">
        <f>IF($A115="NA",0,IFERROR('6'!T$59/Ciclo,0))</f>
        <v>0</v>
      </c>
      <c r="U115" s="58">
        <f>IF($A115="NA",0,IFERROR('6'!U$59/Ciclo,0))</f>
        <v>0</v>
      </c>
      <c r="V115" s="58">
        <f>IF($A115="NA",0,IFERROR('6'!V$59/Ciclo,0))</f>
        <v>0</v>
      </c>
      <c r="W115" s="5">
        <f>IF($A115="NA",0,IFERROR('6'!W$59/Ciclo,0))</f>
        <v>0</v>
      </c>
      <c r="X115" s="5">
        <f>IF($A115="NA",0,IFERROR('6'!X$59/Ciclo,0))</f>
        <v>0</v>
      </c>
      <c r="Y115" s="5">
        <f>IF($A115="NA",0,IFERROR('6'!Y$59/Ciclo,0))</f>
        <v>0</v>
      </c>
      <c r="Z115" s="5">
        <f>IF($A115="NA",0,IFERROR('6'!Z$59/Ciclo,0))</f>
        <v>0</v>
      </c>
      <c r="AB115" s="5">
        <f>IF($B$110="Producción",IF($B115&gt;=LI_A,$O115,0),0)</f>
        <v>0</v>
      </c>
      <c r="AC115" s="5">
        <f>IF($B$110="Producción",IF($B115&gt;=LI_B,IF($B115&lt;LS_B,$O115,0),0),0)</f>
        <v>0</v>
      </c>
      <c r="AD115" s="5">
        <f>IF($B$110="Producción",IF($B115&gt;=LI_C,IF($B115&lt;LS_C,$O115,0),0),0)</f>
        <v>0</v>
      </c>
      <c r="AE115" s="5">
        <f>IF($B$110="Producción",IF($B115&lt;LS_D,$O115,0),0)</f>
        <v>0</v>
      </c>
      <c r="AF115" s="5">
        <f t="shared" si="871"/>
        <v>0</v>
      </c>
      <c r="AI115" s="5">
        <f>IF($C$110="Producción",IF($C115&gt;=LI_A,$P115,0),0)</f>
        <v>0</v>
      </c>
      <c r="AJ115" s="5">
        <f>IF($C$110="Producción",IF($C115&gt;=LI_B,IF($C115&lt;LS_B,$P115,0),0),0)</f>
        <v>0</v>
      </c>
      <c r="AK115" s="5">
        <f>IF($C$110="Producción",IF($C115&gt;=LI_C,IF($C115&lt;LS_C,$P115,0),0),0)</f>
        <v>0</v>
      </c>
      <c r="AL115" s="5">
        <f>IF($C$110="Producción",IF($C115&lt;LS_D,$P115,0),0)</f>
        <v>0</v>
      </c>
      <c r="AM115" s="5">
        <f>IF($C$110="Crecimiento",$P115,0)</f>
        <v>0</v>
      </c>
      <c r="AP115" s="5">
        <f>IF($D$110="Producción",IF($D115&gt;=LI_A,$Q115,0),0)</f>
        <v>0</v>
      </c>
      <c r="AQ115" s="5">
        <f>IF($D$110="Producción",IF($D115&gt;=LI_B,IF($D115&lt;LS_B,$Q115,0),0),0)</f>
        <v>0</v>
      </c>
      <c r="AR115" s="5">
        <f>IF($D$110="Producción",IF($D115&gt;=LI_C,IF($D115&lt;LS_C,$Q115,0),0),0)</f>
        <v>0</v>
      </c>
      <c r="AS115" s="5">
        <f>IF($D$110="Producción",IF($D115&lt;LS_D,$Q115,0),0)</f>
        <v>0</v>
      </c>
      <c r="AT115" s="5">
        <f>IF($D$110="Crecimiento",IF($D115&gt;0,$Q115,0),0)</f>
        <v>0</v>
      </c>
      <c r="AW115" s="5">
        <f>IF($E$110="Producción",IF($E115&gt;=LI_A,$R115,0),0)</f>
        <v>0</v>
      </c>
      <c r="AX115" s="5">
        <f>IF($E$110="Producción",IF($E115&gt;=LI_B,IF($E115&lt;LS_B,$R115,0),0),0)</f>
        <v>0</v>
      </c>
      <c r="AY115" s="5">
        <f>IF($E$110="Producción",IF($E115&gt;=LI_C,IF($E115&lt;LS_C,$R115,0),0),0)</f>
        <v>0</v>
      </c>
      <c r="AZ115" s="5">
        <f>IF($E$110="Producción",IF($E115&lt;LS_D,$R115,0),0)</f>
        <v>0</v>
      </c>
      <c r="BA115" s="5">
        <f>IF($E$110="Crecimiento",$R115,0)</f>
        <v>0</v>
      </c>
      <c r="BD115" s="5">
        <f>IF($F$110="Producción",IF($F115&gt;=LI_A,$S115,0),0)</f>
        <v>0</v>
      </c>
      <c r="BE115" s="5">
        <f>IF($F$110="Producción",IF($F115&gt;=LI_B,IF($F115&lt;LS_B,$S115,0),0),0)</f>
        <v>0</v>
      </c>
      <c r="BF115" s="5">
        <f>IF($F$110="Producción",IF($F115&gt;=LI_C,IF($F115&lt;LS_C,$S115,0),0),0)</f>
        <v>0</v>
      </c>
      <c r="BG115" s="5">
        <f>IF($F$110="Producción",IF($F115&lt;LS_D,$S115,0),0)</f>
        <v>0</v>
      </c>
      <c r="BH115" s="5">
        <f>IF($F$110="Crecimiento",$S115,0)</f>
        <v>0</v>
      </c>
      <c r="BK115" s="5">
        <f>IF($G$110="Producción",IF($G115&gt;=LI_A,$T115,0),0)</f>
        <v>0</v>
      </c>
      <c r="BL115" s="5">
        <f>IF($G$110="Producción",IF($G115&gt;=LI_B,IF($G115&lt;LS_B,$T115,0),0),0)</f>
        <v>0</v>
      </c>
      <c r="BM115" s="5">
        <f>IF($G$110="Producción",IF($G115&gt;=LI_C,IF($G115&lt;LS_C,$T115,0),0),0)</f>
        <v>0</v>
      </c>
      <c r="BN115" s="5">
        <f>IF($G$110="Producción",IF($G115&lt;LS_D,$T115,0),0)</f>
        <v>0</v>
      </c>
      <c r="BO115" s="5">
        <f>IF($G$110="Crecimiento",$T115,0)</f>
        <v>0</v>
      </c>
      <c r="BR115" s="5">
        <f>IF($H$110="Producción",IF($H115&gt;=LI_A,$U115,0),0)</f>
        <v>0</v>
      </c>
      <c r="BS115" s="5">
        <f>IF($H$110="Producción",IF($H115&gt;=LI_B,IF($H115&lt;LS_B,$U115,0),0),0)</f>
        <v>0</v>
      </c>
      <c r="BT115" s="5">
        <f>IF($H$110="Producción",IF($H115&gt;=LI_C,IF($H115&lt;LS_C,$U115,0),0),0)</f>
        <v>0</v>
      </c>
      <c r="BU115" s="5">
        <f>IF($H$110="Producción",IF($H115&lt;LS_D,$U115,0),0)</f>
        <v>0</v>
      </c>
      <c r="BV115" s="5">
        <f>IF($H$110="Crecimiento",$T115,0)</f>
        <v>0</v>
      </c>
      <c r="BY115" s="5">
        <f>IF($I$110="Producción",IF($I115&gt;=LI_A,$V115,0),0)</f>
        <v>0</v>
      </c>
      <c r="BZ115" s="5">
        <f>IF($I$110="Producción",IF($I115&gt;=LI_B,IF($I115&lt;LS_B,$V115,0),0),0)</f>
        <v>0</v>
      </c>
      <c r="CA115" s="5">
        <f>IF($I$110="Producción",IF($I115&gt;=LI_C,IF($I115&lt;LS_C,$V115,0),0),0)</f>
        <v>0</v>
      </c>
      <c r="CB115" s="5">
        <f>IF($I$110="Producción",IF($I115&lt;LS_D,$V115,0),0)</f>
        <v>0</v>
      </c>
      <c r="CC115" s="5">
        <f>IF($I$110="Crecimiento",$V115,0)</f>
        <v>0</v>
      </c>
      <c r="CF115" s="5">
        <f>IF($J$110="Producción",IF($J115&gt;=LI_A,$W115,0),0)</f>
        <v>0</v>
      </c>
      <c r="CG115" s="5">
        <f>IF($J$110="Producción",IF($J115&gt;=LI_B,IF($J115&lt;LS_B,$W115,0),0),0)</f>
        <v>0</v>
      </c>
      <c r="CH115" s="5">
        <f>IF($J$110="Producción",IF($J115&gt;=LI_C,IF($J115&lt;LS_C,$W115,0),0),0)</f>
        <v>0</v>
      </c>
      <c r="CI115" s="5">
        <f>IF($J$110="Producción",IF($J115&lt;LS_D,$W115,0),0)</f>
        <v>0</v>
      </c>
      <c r="CJ115" s="5">
        <f>IF($J$110="Crecimiento",$W115,0)</f>
        <v>0</v>
      </c>
      <c r="CM115" s="5">
        <f>IF($K$110="Producción",IF($K115&gt;=LI_A,$X115,0),0)</f>
        <v>0</v>
      </c>
      <c r="CN115" s="5">
        <f>IF($K$110="Producción",IF($K115&gt;=LI_B,IF($K115&lt;LS_B,$X115,0),0),0)</f>
        <v>0</v>
      </c>
      <c r="CO115" s="5">
        <f>IF($K$110="Producción",IF($K115&gt;=LI_C,IF($K115&lt;LS_C,$X115,0),0),0)</f>
        <v>0</v>
      </c>
      <c r="CP115" s="5">
        <f>IF($K$110="Producción",IF($K115&lt;LS_D,$X115,0),0)</f>
        <v>0</v>
      </c>
      <c r="CQ115" s="5">
        <f>IF($K$110="Crecimiento",$X115,0)</f>
        <v>0</v>
      </c>
      <c r="CT115" s="5">
        <f>IF($L$110="Producción",IF($L115&gt;=LI_A,$Y115,0),0)</f>
        <v>0</v>
      </c>
      <c r="CU115" s="5">
        <f>IF($L$110="Producción",IF($L115&gt;=LI_B,IF($L115&lt;LS_B,$Y115,0),0),0)</f>
        <v>0</v>
      </c>
      <c r="CV115" s="5">
        <f>IF($L$110="Producción",IF($L115&gt;=LI_C,IF($L115&lt;LS_C,$Y115,0),0),0)</f>
        <v>0</v>
      </c>
      <c r="CW115" s="5">
        <f>IF($L$110="Producción",IF($L115&lt;LS_D,$Y115,0),0)</f>
        <v>0</v>
      </c>
      <c r="CX115" s="5">
        <f>IF($L$110="Crecimiento",$Y115,0)</f>
        <v>0</v>
      </c>
      <c r="DA115" s="5">
        <f>IF($M$110="Producción",IF($M115&gt;=LI_A,$Z115,0),0)</f>
        <v>0</v>
      </c>
      <c r="DB115" s="5">
        <f>IF($M$110="Producción",IF($M115&gt;=LI_B,IF($M115&lt;LS_B,$Z115,0),0),0)</f>
        <v>0</v>
      </c>
      <c r="DC115" s="5">
        <f>IF($M$110="Producción",IF($M115&gt;=LI_C,IF($M115&lt;LS_C,$Z115,0),0),0)</f>
        <v>0</v>
      </c>
      <c r="DD115" s="5">
        <f>IF($M$110="Producción",IF($M115&lt;LS_D,$Z115,0),0)</f>
        <v>0</v>
      </c>
      <c r="DE115" s="5">
        <f>IF($M$110="Crecimiento",$Z115,0)</f>
        <v>0</v>
      </c>
      <c r="DI115" s="5">
        <f t="shared" si="811"/>
        <v>0</v>
      </c>
      <c r="DJ115" s="5">
        <f t="shared" si="812"/>
        <v>0</v>
      </c>
      <c r="DK115" s="5">
        <f t="shared" si="813"/>
        <v>0</v>
      </c>
      <c r="DL115" s="5">
        <f t="shared" si="814"/>
        <v>0</v>
      </c>
      <c r="DM115" s="5">
        <f t="shared" si="815"/>
        <v>0</v>
      </c>
      <c r="DN115" s="5">
        <f t="shared" si="816"/>
        <v>0</v>
      </c>
      <c r="DO115" s="5">
        <f t="shared" si="817"/>
        <v>0</v>
      </c>
      <c r="DP115" s="5">
        <f t="shared" si="818"/>
        <v>0</v>
      </c>
      <c r="DQ115" s="5">
        <f t="shared" si="819"/>
        <v>0</v>
      </c>
      <c r="DR115" s="5">
        <f t="shared" si="820"/>
        <v>0</v>
      </c>
      <c r="DS115" s="5">
        <f t="shared" si="821"/>
        <v>0</v>
      </c>
      <c r="DT115" s="5">
        <f t="shared" si="822"/>
        <v>0</v>
      </c>
      <c r="DU115" s="5">
        <f t="shared" si="823"/>
        <v>0</v>
      </c>
      <c r="DV115" s="5">
        <f t="shared" si="824"/>
        <v>0</v>
      </c>
      <c r="DW115" s="5">
        <f t="shared" si="825"/>
        <v>0</v>
      </c>
      <c r="DX115" s="5">
        <f t="shared" si="826"/>
        <v>0</v>
      </c>
      <c r="DY115" s="5">
        <f t="shared" si="827"/>
        <v>0</v>
      </c>
      <c r="DZ115" s="5">
        <f t="shared" si="828"/>
        <v>0</v>
      </c>
      <c r="EA115" s="5">
        <f t="shared" si="829"/>
        <v>0</v>
      </c>
      <c r="EB115" s="5">
        <f t="shared" si="830"/>
        <v>0</v>
      </c>
      <c r="EC115" s="5">
        <f t="shared" si="831"/>
        <v>0</v>
      </c>
      <c r="ED115" s="5">
        <f t="shared" si="832"/>
        <v>0</v>
      </c>
      <c r="EE115" s="5">
        <f t="shared" si="833"/>
        <v>0</v>
      </c>
      <c r="EF115" s="5">
        <f t="shared" si="834"/>
        <v>0</v>
      </c>
      <c r="EG115" s="5">
        <f t="shared" si="835"/>
        <v>0</v>
      </c>
      <c r="EH115" s="5">
        <f t="shared" si="836"/>
        <v>0</v>
      </c>
      <c r="EI115" s="5">
        <f t="shared" si="837"/>
        <v>0</v>
      </c>
      <c r="EJ115" s="5">
        <f t="shared" si="838"/>
        <v>0</v>
      </c>
      <c r="EK115" s="5">
        <f t="shared" si="839"/>
        <v>0</v>
      </c>
      <c r="EL115" s="5">
        <f t="shared" si="840"/>
        <v>0</v>
      </c>
      <c r="EM115" s="5">
        <f t="shared" si="841"/>
        <v>0</v>
      </c>
      <c r="EN115" s="5">
        <f t="shared" si="842"/>
        <v>0</v>
      </c>
      <c r="EO115" s="5">
        <f t="shared" si="843"/>
        <v>0</v>
      </c>
      <c r="EP115" s="5">
        <f t="shared" si="844"/>
        <v>0</v>
      </c>
      <c r="EQ115" s="5">
        <f t="shared" si="845"/>
        <v>0</v>
      </c>
      <c r="ER115" s="5">
        <f t="shared" si="846"/>
        <v>0</v>
      </c>
      <c r="ES115" s="5">
        <f t="shared" si="847"/>
        <v>0</v>
      </c>
      <c r="ET115" s="5">
        <f t="shared" si="848"/>
        <v>0</v>
      </c>
      <c r="EU115" s="5">
        <f t="shared" si="849"/>
        <v>0</v>
      </c>
      <c r="EV115" s="5">
        <f t="shared" si="850"/>
        <v>0</v>
      </c>
      <c r="EW115" s="5">
        <f t="shared" si="851"/>
        <v>0</v>
      </c>
      <c r="EX115" s="5">
        <f t="shared" si="852"/>
        <v>0</v>
      </c>
      <c r="EY115" s="5">
        <f t="shared" si="853"/>
        <v>0</v>
      </c>
      <c r="EZ115" s="5">
        <f t="shared" si="854"/>
        <v>0</v>
      </c>
      <c r="FA115" s="5">
        <f t="shared" si="855"/>
        <v>0</v>
      </c>
      <c r="FB115" s="5">
        <f t="shared" si="856"/>
        <v>0</v>
      </c>
      <c r="FC115" s="5">
        <f t="shared" si="857"/>
        <v>0</v>
      </c>
      <c r="FD115" s="5">
        <f t="shared" si="858"/>
        <v>0</v>
      </c>
      <c r="FE115" s="5">
        <f t="shared" si="859"/>
        <v>0</v>
      </c>
      <c r="FF115" s="5">
        <f t="shared" si="860"/>
        <v>0</v>
      </c>
      <c r="FG115" s="5">
        <f t="shared" si="861"/>
        <v>0</v>
      </c>
      <c r="FH115" s="5">
        <f t="shared" si="862"/>
        <v>0</v>
      </c>
      <c r="FI115" s="5">
        <f t="shared" si="863"/>
        <v>0</v>
      </c>
      <c r="FJ115" s="5">
        <f t="shared" si="864"/>
        <v>0</v>
      </c>
      <c r="FK115" s="5">
        <f t="shared" si="865"/>
        <v>0</v>
      </c>
      <c r="FL115" s="5">
        <f t="shared" si="866"/>
        <v>0</v>
      </c>
      <c r="FM115" s="5">
        <f t="shared" si="867"/>
        <v>0</v>
      </c>
      <c r="FN115" s="5">
        <f t="shared" si="868"/>
        <v>0</v>
      </c>
      <c r="FO115" s="5">
        <f t="shared" si="869"/>
        <v>0</v>
      </c>
      <c r="FP115" s="5">
        <f t="shared" si="870"/>
        <v>0</v>
      </c>
    </row>
    <row r="116" spans="1:172" ht="20.100000000000001" customHeight="1" x14ac:dyDescent="0.3">
      <c r="A116" s="8" t="str">
        <f>IF(Ciclo=4,"Surco 4",IF(Ciclo=5,"Surco 4","NA"))</f>
        <v>NA</v>
      </c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O116" s="58">
        <f>IF($A116="NA",0,IFERROR('6'!O$59/Ciclo,0))</f>
        <v>0</v>
      </c>
      <c r="P116" s="58">
        <f>IF($A116="NA",0,IFERROR('6'!P$59/Ciclo,0))</f>
        <v>0</v>
      </c>
      <c r="Q116" s="58">
        <f>IF($A116="NA",0,IFERROR('6'!Q$59/Ciclo,0))</f>
        <v>0</v>
      </c>
      <c r="R116" s="58">
        <f>IF($A116="NA",0,IFERROR('6'!R$59/Ciclo,0))</f>
        <v>0</v>
      </c>
      <c r="S116" s="58">
        <f>IF($A116="NA",0,IFERROR('6'!S$59/Ciclo,0))</f>
        <v>0</v>
      </c>
      <c r="T116" s="58">
        <f>IF($A116="NA",0,IFERROR('6'!T$59/Ciclo,0))</f>
        <v>0</v>
      </c>
      <c r="U116" s="58">
        <f>IF($A116="NA",0,IFERROR('6'!U$59/Ciclo,0))</f>
        <v>0</v>
      </c>
      <c r="V116" s="58">
        <f>IF($A116="NA",0,IFERROR('6'!V$59/Ciclo,0))</f>
        <v>0</v>
      </c>
      <c r="W116" s="5">
        <f>IF($A116="NA",0,IFERROR('6'!W$59/Ciclo,0))</f>
        <v>0</v>
      </c>
      <c r="X116" s="5">
        <f>IF($A116="NA",0,IFERROR('6'!X$59/Ciclo,0))</f>
        <v>0</v>
      </c>
      <c r="Y116" s="5">
        <f>IF($A116="NA",0,IFERROR('6'!Y$59/Ciclo,0))</f>
        <v>0</v>
      </c>
      <c r="Z116" s="5">
        <f>IF($A116="NA",0,IFERROR('6'!Z$59/Ciclo,0))</f>
        <v>0</v>
      </c>
      <c r="AB116" s="5">
        <f>IF($B$110="Producción",IF($B116&gt;=LI_A,$O116,0),0)</f>
        <v>0</v>
      </c>
      <c r="AC116" s="5">
        <f>IF($B$110="Producción",IF($B116&gt;=LI_B,IF($B116&lt;LS_B,$O116,0),0),0)</f>
        <v>0</v>
      </c>
      <c r="AD116" s="5">
        <f>IF($B$110="Producción",IF($B116&gt;=LI_C,IF($B116&lt;LS_C,$O116,0),0),0)</f>
        <v>0</v>
      </c>
      <c r="AE116" s="5">
        <f>IF($B$110="Producción",IF($B116&lt;LS_D,$O116,0),0)</f>
        <v>0</v>
      </c>
      <c r="AF116" s="5">
        <f t="shared" si="871"/>
        <v>0</v>
      </c>
      <c r="AI116" s="5">
        <f>IF($C$110="Producción",IF($C116&gt;=LI_A,$P116,0),0)</f>
        <v>0</v>
      </c>
      <c r="AJ116" s="5">
        <f>IF($C$110="Producción",IF($C116&gt;=LI_B,IF($C116&lt;LS_B,$P116,0),0),0)</f>
        <v>0</v>
      </c>
      <c r="AK116" s="5">
        <f>IF($C$110="Producción",IF($C116&gt;=LI_C,IF($C116&lt;LS_C,$P116,0),0),0)</f>
        <v>0</v>
      </c>
      <c r="AL116" s="5">
        <f>IF($C$110="Producción",IF($C116&lt;LS_D,$P116,0),0)</f>
        <v>0</v>
      </c>
      <c r="AM116" s="5">
        <f>IF($C$110="Crecimiento",$P116,0)</f>
        <v>0</v>
      </c>
      <c r="AP116" s="5">
        <f>IF($D$110="Producción",IF($D116&gt;=LI_A,$Q116,0),0)</f>
        <v>0</v>
      </c>
      <c r="AQ116" s="5">
        <f>IF($D$110="Producción",IF($D116&gt;=LI_B,IF($D116&lt;LS_B,$Q116,0),0),0)</f>
        <v>0</v>
      </c>
      <c r="AR116" s="5">
        <f>IF($D$110="Producción",IF($D116&gt;=LI_C,IF($D116&lt;LS_C,$Q116,0),0),0)</f>
        <v>0</v>
      </c>
      <c r="AS116" s="5">
        <f>IF($D$110="Producción",IF($D116&lt;LS_D,$Q116,0),0)</f>
        <v>0</v>
      </c>
      <c r="AT116" s="5">
        <f>IF($D$110="Crecimiento",IF($D116&gt;0,$Q116,0),0)</f>
        <v>0</v>
      </c>
      <c r="AW116" s="5">
        <f>IF($E$110="Producción",IF($E116&gt;=LI_A,$R116,0),0)</f>
        <v>0</v>
      </c>
      <c r="AX116" s="5">
        <f>IF($E$110="Producción",IF($E116&gt;=LI_B,IF($E116&lt;LS_B,$R116,0),0),0)</f>
        <v>0</v>
      </c>
      <c r="AY116" s="5">
        <f>IF($E$110="Producción",IF($E116&gt;=LI_C,IF($E116&lt;LS_C,$R116,0),0),0)</f>
        <v>0</v>
      </c>
      <c r="AZ116" s="5">
        <f>IF($E$110="Producción",IF($E116&lt;LS_D,$R116,0),0)</f>
        <v>0</v>
      </c>
      <c r="BA116" s="5">
        <f>IF($E$110="Crecimiento",$R116,0)</f>
        <v>0</v>
      </c>
      <c r="BD116" s="5">
        <f>IF($F$110="Producción",IF($F116&gt;=LI_A,$S116,0),0)</f>
        <v>0</v>
      </c>
      <c r="BE116" s="5">
        <f>IF($F$110="Producción",IF($F116&gt;=LI_B,IF($F116&lt;LS_B,$S116,0),0),0)</f>
        <v>0</v>
      </c>
      <c r="BF116" s="5">
        <f>IF($F$110="Producción",IF($F116&gt;=LI_C,IF($F116&lt;LS_C,$S116,0),0),0)</f>
        <v>0</v>
      </c>
      <c r="BG116" s="5">
        <f>IF($F$110="Producción",IF($F116&lt;LS_D,$S116,0),0)</f>
        <v>0</v>
      </c>
      <c r="BH116" s="5">
        <f>IF($F$110="Crecimiento",$S116,0)</f>
        <v>0</v>
      </c>
      <c r="BK116" s="5">
        <f>IF($G$110="Producción",IF($G116&gt;=LI_A,$T116,0),0)</f>
        <v>0</v>
      </c>
      <c r="BL116" s="5">
        <f>IF($G$110="Producción",IF($G116&gt;=LI_B,IF($G116&lt;LS_B,$T116,0),0),0)</f>
        <v>0</v>
      </c>
      <c r="BM116" s="5">
        <f>IF($G$110="Producción",IF($G116&gt;=LI_C,IF($G116&lt;LS_C,$T116,0),0),0)</f>
        <v>0</v>
      </c>
      <c r="BN116" s="5">
        <f>IF($G$110="Producción",IF($G116&lt;LS_D,$T116,0),0)</f>
        <v>0</v>
      </c>
      <c r="BO116" s="5">
        <f>IF($G$110="Crecimiento",$T116,0)</f>
        <v>0</v>
      </c>
      <c r="BR116" s="5">
        <f>IF($H$110="Producción",IF($H116&gt;=LI_A,$U116,0),0)</f>
        <v>0</v>
      </c>
      <c r="BS116" s="5">
        <f>IF($H$110="Producción",IF($H116&gt;=LI_B,IF($H116&lt;LS_B,$U116,0),0),0)</f>
        <v>0</v>
      </c>
      <c r="BT116" s="5">
        <f>IF($H$110="Producción",IF($H116&gt;=LI_C,IF($H116&lt;LS_C,$U116,0),0),0)</f>
        <v>0</v>
      </c>
      <c r="BU116" s="5">
        <f>IF($H$110="Producción",IF($H116&lt;LS_D,$U116,0),0)</f>
        <v>0</v>
      </c>
      <c r="BV116" s="5">
        <f>IF($H$110="Crecimiento",$T116,0)</f>
        <v>0</v>
      </c>
      <c r="BY116" s="5">
        <f>IF($I$110="Producción",IF($I116&gt;=LI_A,$V116,0),0)</f>
        <v>0</v>
      </c>
      <c r="BZ116" s="5">
        <f>IF($I$110="Producción",IF($I116&gt;=LI_B,IF($I116&lt;LS_B,$V116,0),0),0)</f>
        <v>0</v>
      </c>
      <c r="CA116" s="5">
        <f>IF($I$110="Producción",IF($I116&gt;=LI_C,IF($I116&lt;LS_C,$V116,0),0),0)</f>
        <v>0</v>
      </c>
      <c r="CB116" s="5">
        <f>IF($I$110="Producción",IF($I116&lt;LS_D,$V116,0),0)</f>
        <v>0</v>
      </c>
      <c r="CC116" s="5">
        <f>IF($I$110="Crecimiento",$V116,0)</f>
        <v>0</v>
      </c>
      <c r="CF116" s="5">
        <f>IF($J$110="Producción",IF($J116&gt;=LI_A,$W116,0),0)</f>
        <v>0</v>
      </c>
      <c r="CG116" s="5">
        <f>IF($J$110="Producción",IF($J116&gt;=LI_B,IF($J116&lt;LS_B,$W116,0),0),0)</f>
        <v>0</v>
      </c>
      <c r="CH116" s="5">
        <f>IF($J$110="Producción",IF($J116&gt;=LI_C,IF($J116&lt;LS_C,$W116,0),0),0)</f>
        <v>0</v>
      </c>
      <c r="CI116" s="5">
        <f>IF($J$110="Producción",IF($J116&lt;LS_D,$W116,0),0)</f>
        <v>0</v>
      </c>
      <c r="CJ116" s="5">
        <f>IF($J$110="Crecimiento",$W116,0)</f>
        <v>0</v>
      </c>
      <c r="CM116" s="5">
        <f>IF($K$110="Producción",IF($K116&gt;=LI_A,$X116,0),0)</f>
        <v>0</v>
      </c>
      <c r="CN116" s="5">
        <f>IF($K$110="Producción",IF($K116&gt;=LI_B,IF($K116&lt;LS_B,$X116,0),0),0)</f>
        <v>0</v>
      </c>
      <c r="CO116" s="5">
        <f>IF($K$110="Producción",IF($K116&gt;=LI_C,IF($K116&lt;LS_C,$X116,0),0),0)</f>
        <v>0</v>
      </c>
      <c r="CP116" s="5">
        <f>IF($K$110="Producción",IF($K116&lt;LS_D,$X116,0),0)</f>
        <v>0</v>
      </c>
      <c r="CQ116" s="5">
        <f>IF($K$110="Crecimiento",$X116,0)</f>
        <v>0</v>
      </c>
      <c r="CT116" s="5">
        <f>IF($L$110="Producción",IF($L116&gt;=LI_A,$Y116,0),0)</f>
        <v>0</v>
      </c>
      <c r="CU116" s="5">
        <f>IF($L$110="Producción",IF($L116&gt;=LI_B,IF($L116&lt;LS_B,$Y116,0),0),0)</f>
        <v>0</v>
      </c>
      <c r="CV116" s="5">
        <f>IF($L$110="Producción",IF($L116&gt;=LI_C,IF($L116&lt;LS_C,$Y116,0),0),0)</f>
        <v>0</v>
      </c>
      <c r="CW116" s="5">
        <f>IF($L$110="Producción",IF($L116&lt;LS_D,$Y116,0),0)</f>
        <v>0</v>
      </c>
      <c r="CX116" s="5">
        <f>IF($L$110="Crecimiento",$Y116,0)</f>
        <v>0</v>
      </c>
      <c r="DA116" s="5">
        <f>IF($M$110="Producción",IF($M116&gt;=LI_A,$Z116,0),0)</f>
        <v>0</v>
      </c>
      <c r="DB116" s="5">
        <f>IF($M$110="Producción",IF($M116&gt;=LI_B,IF($M116&lt;LS_B,$Z116,0),0),0)</f>
        <v>0</v>
      </c>
      <c r="DC116" s="5">
        <f>IF($M$110="Producción",IF($M116&gt;=LI_C,IF($M116&lt;LS_C,$Z116,0),0),0)</f>
        <v>0</v>
      </c>
      <c r="DD116" s="5">
        <f>IF($M$110="Producción",IF($M116&lt;LS_D,$Z116,0),0)</f>
        <v>0</v>
      </c>
      <c r="DE116" s="5">
        <f>IF($M$110="Crecimiento",$Z116,0)</f>
        <v>0</v>
      </c>
      <c r="DI116" s="5">
        <f t="shared" si="811"/>
        <v>0</v>
      </c>
      <c r="DJ116" s="5">
        <f t="shared" si="812"/>
        <v>0</v>
      </c>
      <c r="DK116" s="5">
        <f t="shared" si="813"/>
        <v>0</v>
      </c>
      <c r="DL116" s="5">
        <f t="shared" si="814"/>
        <v>0</v>
      </c>
      <c r="DM116" s="5">
        <f t="shared" si="815"/>
        <v>0</v>
      </c>
      <c r="DN116" s="5">
        <f t="shared" si="816"/>
        <v>0</v>
      </c>
      <c r="DO116" s="5">
        <f t="shared" si="817"/>
        <v>0</v>
      </c>
      <c r="DP116" s="5">
        <f t="shared" si="818"/>
        <v>0</v>
      </c>
      <c r="DQ116" s="5">
        <f t="shared" si="819"/>
        <v>0</v>
      </c>
      <c r="DR116" s="5">
        <f t="shared" si="820"/>
        <v>0</v>
      </c>
      <c r="DS116" s="5">
        <f t="shared" si="821"/>
        <v>0</v>
      </c>
      <c r="DT116" s="5">
        <f t="shared" si="822"/>
        <v>0</v>
      </c>
      <c r="DU116" s="5">
        <f t="shared" si="823"/>
        <v>0</v>
      </c>
      <c r="DV116" s="5">
        <f t="shared" si="824"/>
        <v>0</v>
      </c>
      <c r="DW116" s="5">
        <f t="shared" si="825"/>
        <v>0</v>
      </c>
      <c r="DX116" s="5">
        <f t="shared" si="826"/>
        <v>0</v>
      </c>
      <c r="DY116" s="5">
        <f t="shared" si="827"/>
        <v>0</v>
      </c>
      <c r="DZ116" s="5">
        <f t="shared" si="828"/>
        <v>0</v>
      </c>
      <c r="EA116" s="5">
        <f t="shared" si="829"/>
        <v>0</v>
      </c>
      <c r="EB116" s="5">
        <f t="shared" si="830"/>
        <v>0</v>
      </c>
      <c r="EC116" s="5">
        <f t="shared" si="831"/>
        <v>0</v>
      </c>
      <c r="ED116" s="5">
        <f t="shared" si="832"/>
        <v>0</v>
      </c>
      <c r="EE116" s="5">
        <f t="shared" si="833"/>
        <v>0</v>
      </c>
      <c r="EF116" s="5">
        <f t="shared" si="834"/>
        <v>0</v>
      </c>
      <c r="EG116" s="5">
        <f t="shared" si="835"/>
        <v>0</v>
      </c>
      <c r="EH116" s="5">
        <f t="shared" si="836"/>
        <v>0</v>
      </c>
      <c r="EI116" s="5">
        <f t="shared" si="837"/>
        <v>0</v>
      </c>
      <c r="EJ116" s="5">
        <f t="shared" si="838"/>
        <v>0</v>
      </c>
      <c r="EK116" s="5">
        <f t="shared" si="839"/>
        <v>0</v>
      </c>
      <c r="EL116" s="5">
        <f t="shared" si="840"/>
        <v>0</v>
      </c>
      <c r="EM116" s="5">
        <f t="shared" si="841"/>
        <v>0</v>
      </c>
      <c r="EN116" s="5">
        <f t="shared" si="842"/>
        <v>0</v>
      </c>
      <c r="EO116" s="5">
        <f t="shared" si="843"/>
        <v>0</v>
      </c>
      <c r="EP116" s="5">
        <f t="shared" si="844"/>
        <v>0</v>
      </c>
      <c r="EQ116" s="5">
        <f t="shared" si="845"/>
        <v>0</v>
      </c>
      <c r="ER116" s="5">
        <f t="shared" si="846"/>
        <v>0</v>
      </c>
      <c r="ES116" s="5">
        <f t="shared" si="847"/>
        <v>0</v>
      </c>
      <c r="ET116" s="5">
        <f t="shared" si="848"/>
        <v>0</v>
      </c>
      <c r="EU116" s="5">
        <f t="shared" si="849"/>
        <v>0</v>
      </c>
      <c r="EV116" s="5">
        <f t="shared" si="850"/>
        <v>0</v>
      </c>
      <c r="EW116" s="5">
        <f t="shared" si="851"/>
        <v>0</v>
      </c>
      <c r="EX116" s="5">
        <f t="shared" si="852"/>
        <v>0</v>
      </c>
      <c r="EY116" s="5">
        <f t="shared" si="853"/>
        <v>0</v>
      </c>
      <c r="EZ116" s="5">
        <f t="shared" si="854"/>
        <v>0</v>
      </c>
      <c r="FA116" s="5">
        <f t="shared" si="855"/>
        <v>0</v>
      </c>
      <c r="FB116" s="5">
        <f t="shared" si="856"/>
        <v>0</v>
      </c>
      <c r="FC116" s="5">
        <f t="shared" si="857"/>
        <v>0</v>
      </c>
      <c r="FD116" s="5">
        <f t="shared" si="858"/>
        <v>0</v>
      </c>
      <c r="FE116" s="5">
        <f t="shared" si="859"/>
        <v>0</v>
      </c>
      <c r="FF116" s="5">
        <f t="shared" si="860"/>
        <v>0</v>
      </c>
      <c r="FG116" s="5">
        <f t="shared" si="861"/>
        <v>0</v>
      </c>
      <c r="FH116" s="5">
        <f t="shared" si="862"/>
        <v>0</v>
      </c>
      <c r="FI116" s="5">
        <f t="shared" si="863"/>
        <v>0</v>
      </c>
      <c r="FJ116" s="5">
        <f t="shared" si="864"/>
        <v>0</v>
      </c>
      <c r="FK116" s="5">
        <f t="shared" si="865"/>
        <v>0</v>
      </c>
      <c r="FL116" s="5">
        <f t="shared" si="866"/>
        <v>0</v>
      </c>
      <c r="FM116" s="5">
        <f t="shared" si="867"/>
        <v>0</v>
      </c>
      <c r="FN116" s="5">
        <f t="shared" si="868"/>
        <v>0</v>
      </c>
      <c r="FO116" s="5">
        <f t="shared" si="869"/>
        <v>0</v>
      </c>
      <c r="FP116" s="5">
        <f t="shared" si="870"/>
        <v>0</v>
      </c>
    </row>
    <row r="117" spans="1:172" ht="20.100000000000001" customHeight="1" x14ac:dyDescent="0.3">
      <c r="A117" s="9" t="str">
        <f>IF(Ciclo=5,"Surco 5","NA")</f>
        <v>NA</v>
      </c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O117" s="58">
        <f>IF($A117="NA",0,IFERROR('6'!O$59/Ciclo,0))</f>
        <v>0</v>
      </c>
      <c r="P117" s="58">
        <f>IF($A117="NA",0,IFERROR('6'!P$59/Ciclo,0))</f>
        <v>0</v>
      </c>
      <c r="Q117" s="58">
        <f>IF($A117="NA",0,IFERROR('6'!Q$59/Ciclo,0))</f>
        <v>0</v>
      </c>
      <c r="R117" s="58">
        <f>IF($A117="NA",0,IFERROR('6'!R$59/Ciclo,0))</f>
        <v>0</v>
      </c>
      <c r="S117" s="58">
        <f>IF($A117="NA",0,IFERROR('6'!S$59/Ciclo,0))</f>
        <v>0</v>
      </c>
      <c r="T117" s="58">
        <f>IF($A117="NA",0,IFERROR('6'!T$59/Ciclo,0))</f>
        <v>0</v>
      </c>
      <c r="U117" s="58">
        <f>IF($A117="NA",0,IFERROR('6'!U$59/Ciclo,0))</f>
        <v>0</v>
      </c>
      <c r="V117" s="58">
        <f>IF($A117="NA",0,IFERROR('6'!V$59/Ciclo,0))</f>
        <v>0</v>
      </c>
      <c r="W117" s="5">
        <f>IF($A117="NA",0,IFERROR('6'!W$59/Ciclo,0))</f>
        <v>0</v>
      </c>
      <c r="X117" s="5">
        <f>IF($A117="NA",0,IFERROR('6'!X$59/Ciclo,0))</f>
        <v>0</v>
      </c>
      <c r="Y117" s="5">
        <f>IF($A117="NA",0,IFERROR('6'!Y$59/Ciclo,0))</f>
        <v>0</v>
      </c>
      <c r="Z117" s="5">
        <f>IF($A117="NA",0,IFERROR('6'!Z$59/Ciclo,0))</f>
        <v>0</v>
      </c>
      <c r="AB117" s="5">
        <f>IF($B$110="Producción",IF($B117&gt;=LI_A,$O117,0),0)</f>
        <v>0</v>
      </c>
      <c r="AC117" s="5">
        <f>IF($B$110="Producción",IF($B117&gt;=LI_B,IF($B117&lt;LS_B,$O117,0),0),0)</f>
        <v>0</v>
      </c>
      <c r="AD117" s="5">
        <f>IF($B$110="Producción",IF($B117&gt;=LI_C,IF($B117&lt;LS_C,$O117,0),0),0)</f>
        <v>0</v>
      </c>
      <c r="AE117" s="5">
        <f>IF($B$110="Producción",IF($B117&lt;LS_D,$O117,0),0)</f>
        <v>0</v>
      </c>
      <c r="AF117" s="5">
        <f t="shared" si="871"/>
        <v>0</v>
      </c>
      <c r="AI117" s="5">
        <f>IF($C$110="Producción",IF($C117&gt;=LI_A,$P117,0),0)</f>
        <v>0</v>
      </c>
      <c r="AJ117" s="5">
        <f>IF($C$110="Producción",IF($C117&gt;=LI_B,IF($C117&lt;LS_B,$P117,0),0),0)</f>
        <v>0</v>
      </c>
      <c r="AK117" s="5">
        <f>IF($C$110="Producción",IF($C117&gt;=LI_C,IF($C117&lt;LS_C,$P117,0),0),0)</f>
        <v>0</v>
      </c>
      <c r="AL117" s="5">
        <f>IF($C$110="Producción",IF($C117&lt;LS_D,$P117,0),0)</f>
        <v>0</v>
      </c>
      <c r="AM117" s="5">
        <f>IF($C$110="Crecimiento",$P117,0)</f>
        <v>0</v>
      </c>
      <c r="AP117" s="5">
        <f>IF($D$110="Producción",IF($D117&gt;=LI_A,$Q117,0),0)</f>
        <v>0</v>
      </c>
      <c r="AQ117" s="5">
        <f>IF($D$110="Producción",IF($D117&gt;=LI_B,IF($D117&lt;LS_B,$Q117,0),0),0)</f>
        <v>0</v>
      </c>
      <c r="AR117" s="5">
        <f>IF($D$110="Producción",IF($D117&gt;=LI_C,IF($D117&lt;LS_C,$Q117,0),0),0)</f>
        <v>0</v>
      </c>
      <c r="AS117" s="5">
        <f>IF($D$110="Producción",IF($D117&lt;LS_D,$Q117,0),0)</f>
        <v>0</v>
      </c>
      <c r="AT117" s="5">
        <f>IF($D$110="Crecimiento",IF($D117&gt;0,$Q117,0),0)</f>
        <v>0</v>
      </c>
      <c r="AW117" s="5">
        <f>IF($E$110="Producción",IF($E117&gt;=LI_A,$R117,0),0)</f>
        <v>0</v>
      </c>
      <c r="AX117" s="5">
        <f>IF($E$110="Producción",IF($E117&gt;=LI_B,IF($E117&lt;LS_B,$R117,0),0),0)</f>
        <v>0</v>
      </c>
      <c r="AY117" s="5">
        <f>IF($E$110="Producción",IF($E117&gt;=LI_C,IF($E117&lt;LS_C,$R117,0),0),0)</f>
        <v>0</v>
      </c>
      <c r="AZ117" s="5">
        <f>IF($E$110="Producción",IF($E117&lt;LS_D,$R117,0),0)</f>
        <v>0</v>
      </c>
      <c r="BA117" s="5">
        <f>IF($E$110="Crecimiento",$R117,0)</f>
        <v>0</v>
      </c>
      <c r="BD117" s="5">
        <f>IF($F$110="Producción",IF($F117&gt;=LI_A,$S117,0),0)</f>
        <v>0</v>
      </c>
      <c r="BE117" s="5">
        <f>IF($F$110="Producción",IF($F117&gt;=LI_B,IF($F117&lt;LS_B,$S117,0),0),0)</f>
        <v>0</v>
      </c>
      <c r="BF117" s="5">
        <f>IF($F$110="Producción",IF($F117&gt;=LI_C,IF($F117&lt;LS_C,$S117,0),0),0)</f>
        <v>0</v>
      </c>
      <c r="BG117" s="5">
        <f>IF($F$110="Producción",IF($F117&lt;LS_D,$S117,0),0)</f>
        <v>0</v>
      </c>
      <c r="BH117" s="5">
        <f>IF($F$110="Crecimiento",$S117,0)</f>
        <v>0</v>
      </c>
      <c r="BK117" s="5">
        <f>IF($G$110="Producción",IF($G117&gt;=LI_A,$T117,0),0)</f>
        <v>0</v>
      </c>
      <c r="BL117" s="5">
        <f>IF($G$110="Producción",IF($G117&gt;=LI_B,IF($G117&lt;LS_B,$T117,0),0),0)</f>
        <v>0</v>
      </c>
      <c r="BM117" s="5">
        <f>IF($G$110="Producción",IF($G117&gt;=LI_C,IF($G117&lt;LS_C,$T117,0),0),0)</f>
        <v>0</v>
      </c>
      <c r="BN117" s="5">
        <f>IF($G$110="Producción",IF($G117&lt;LS_D,$T117,0),0)</f>
        <v>0</v>
      </c>
      <c r="BO117" s="5">
        <f>IF($G$110="Crecimiento",$T117,0)</f>
        <v>0</v>
      </c>
      <c r="BR117" s="5">
        <f>IF($H$110="Producción",IF($H117&gt;=LI_A,$U117,0),0)</f>
        <v>0</v>
      </c>
      <c r="BS117" s="5">
        <f>IF($H$110="Producción",IF($H117&gt;=LI_B,IF($H117&lt;LS_B,$U117,0),0),0)</f>
        <v>0</v>
      </c>
      <c r="BT117" s="5">
        <f>IF($H$110="Producción",IF($H117&gt;=LI_C,IF($H117&lt;LS_C,$U117,0),0),0)</f>
        <v>0</v>
      </c>
      <c r="BU117" s="5">
        <f>IF($H$110="Producción",IF($H117&lt;LS_D,$U117,0),0)</f>
        <v>0</v>
      </c>
      <c r="BV117" s="5">
        <f>IF($H$110="Crecimiento",$T117,0)</f>
        <v>0</v>
      </c>
      <c r="BY117" s="5">
        <f>IF($I$110="Producción",IF($I117&gt;=LI_A,$V117,0),0)</f>
        <v>0</v>
      </c>
      <c r="BZ117" s="5">
        <f>IF($I$110="Producción",IF($I117&gt;=LI_B,IF($I117&lt;LS_B,$V117,0),0),0)</f>
        <v>0</v>
      </c>
      <c r="CA117" s="5">
        <f>IF($I$110="Producción",IF($I117&gt;=LI_C,IF($I117&lt;LS_C,$V117,0),0),0)</f>
        <v>0</v>
      </c>
      <c r="CB117" s="5">
        <f>IF($I$110="Producción",IF($I117&lt;LS_D,$V117,0),0)</f>
        <v>0</v>
      </c>
      <c r="CC117" s="5">
        <f>IF($I$110="Crecimiento",$V117,0)</f>
        <v>0</v>
      </c>
      <c r="CF117" s="5">
        <f>IF($J$110="Producción",IF($J117&gt;=LI_A,$W117,0),0)</f>
        <v>0</v>
      </c>
      <c r="CG117" s="5">
        <f>IF($J$110="Producción",IF($J117&gt;=LI_B,IF($J117&lt;LS_B,$W117,0),0),0)</f>
        <v>0</v>
      </c>
      <c r="CH117" s="5">
        <f>IF($J$110="Producción",IF($J117&gt;=LI_C,IF($J117&lt;LS_C,$W117,0),0),0)</f>
        <v>0</v>
      </c>
      <c r="CI117" s="5">
        <f>IF($J$110="Producción",IF($J117&lt;LS_D,$W117,0),0)</f>
        <v>0</v>
      </c>
      <c r="CJ117" s="5">
        <f>IF($J$110="Crecimiento",$W117,0)</f>
        <v>0</v>
      </c>
      <c r="CM117" s="5">
        <f>IF($K$110="Producción",IF($K117&gt;=LI_A,$X117,0),0)</f>
        <v>0</v>
      </c>
      <c r="CN117" s="5">
        <f>IF($K$110="Producción",IF($K117&gt;=LI_B,IF($K117&lt;LS_B,$X117,0),0),0)</f>
        <v>0</v>
      </c>
      <c r="CO117" s="5">
        <f>IF($K$110="Producción",IF($K117&gt;=LI_C,IF($K117&lt;LS_C,$X117,0),0),0)</f>
        <v>0</v>
      </c>
      <c r="CP117" s="5">
        <f>IF($K$110="Producción",IF($K117&lt;LS_D,$X117,0),0)</f>
        <v>0</v>
      </c>
      <c r="CQ117" s="5">
        <f>IF($K$110="Crecimiento",$X117,0)</f>
        <v>0</v>
      </c>
      <c r="CT117" s="5">
        <f>IF($L$110="Producción",IF($L117&gt;=LI_A,$Y117,0),0)</f>
        <v>0</v>
      </c>
      <c r="CU117" s="5">
        <f>IF($L$110="Producción",IF($L117&gt;=LI_B,IF($L117&lt;LS_B,$Y117,0),0),0)</f>
        <v>0</v>
      </c>
      <c r="CV117" s="5">
        <f>IF($L$110="Producción",IF($L117&gt;=LI_C,IF($L117&lt;LS_C,$Y117,0),0),0)</f>
        <v>0</v>
      </c>
      <c r="CW117" s="5">
        <f>IF($L$110="Producción",IF($L117&lt;LS_D,$Y117,0),0)</f>
        <v>0</v>
      </c>
      <c r="CX117" s="5">
        <f>IF($L$110="Crecimiento",$Y117,0)</f>
        <v>0</v>
      </c>
      <c r="DA117" s="5">
        <f>IF($M$110="Producción",IF($M117&gt;=LI_A,$Z117,0),0)</f>
        <v>0</v>
      </c>
      <c r="DB117" s="5">
        <f>IF($M$110="Producción",IF($M117&gt;=LI_B,IF($M117&lt;LS_B,$Z117,0),0),0)</f>
        <v>0</v>
      </c>
      <c r="DC117" s="5">
        <f>IF($M$110="Producción",IF($M117&gt;=LI_C,IF($M117&lt;LS_C,$Z117,0),0),0)</f>
        <v>0</v>
      </c>
      <c r="DD117" s="5">
        <f>IF($M$110="Producción",IF($M117&lt;LS_D,$Z117,0),0)</f>
        <v>0</v>
      </c>
      <c r="DE117" s="5">
        <f>IF($M$110="Crecimiento",$Z117,0)</f>
        <v>0</v>
      </c>
      <c r="DI117" s="5">
        <f t="shared" si="811"/>
        <v>0</v>
      </c>
      <c r="DJ117" s="5">
        <f t="shared" si="812"/>
        <v>0</v>
      </c>
      <c r="DK117" s="5">
        <f t="shared" si="813"/>
        <v>0</v>
      </c>
      <c r="DL117" s="5">
        <f t="shared" si="814"/>
        <v>0</v>
      </c>
      <c r="DM117" s="5">
        <f t="shared" si="815"/>
        <v>0</v>
      </c>
      <c r="DN117" s="5">
        <f t="shared" si="816"/>
        <v>0</v>
      </c>
      <c r="DO117" s="5">
        <f t="shared" si="817"/>
        <v>0</v>
      </c>
      <c r="DP117" s="5">
        <f t="shared" si="818"/>
        <v>0</v>
      </c>
      <c r="DQ117" s="5">
        <f t="shared" si="819"/>
        <v>0</v>
      </c>
      <c r="DR117" s="5">
        <f t="shared" si="820"/>
        <v>0</v>
      </c>
      <c r="DS117" s="5">
        <f t="shared" si="821"/>
        <v>0</v>
      </c>
      <c r="DT117" s="5">
        <f t="shared" si="822"/>
        <v>0</v>
      </c>
      <c r="DU117" s="5">
        <f t="shared" si="823"/>
        <v>0</v>
      </c>
      <c r="DV117" s="5">
        <f t="shared" si="824"/>
        <v>0</v>
      </c>
      <c r="DW117" s="5">
        <f t="shared" si="825"/>
        <v>0</v>
      </c>
      <c r="DX117" s="5">
        <f t="shared" si="826"/>
        <v>0</v>
      </c>
      <c r="DY117" s="5">
        <f t="shared" si="827"/>
        <v>0</v>
      </c>
      <c r="DZ117" s="5">
        <f t="shared" si="828"/>
        <v>0</v>
      </c>
      <c r="EA117" s="5">
        <f t="shared" si="829"/>
        <v>0</v>
      </c>
      <c r="EB117" s="5">
        <f t="shared" si="830"/>
        <v>0</v>
      </c>
      <c r="EC117" s="5">
        <f t="shared" si="831"/>
        <v>0</v>
      </c>
      <c r="ED117" s="5">
        <f t="shared" si="832"/>
        <v>0</v>
      </c>
      <c r="EE117" s="5">
        <f t="shared" si="833"/>
        <v>0</v>
      </c>
      <c r="EF117" s="5">
        <f t="shared" si="834"/>
        <v>0</v>
      </c>
      <c r="EG117" s="5">
        <f t="shared" si="835"/>
        <v>0</v>
      </c>
      <c r="EH117" s="5">
        <f t="shared" si="836"/>
        <v>0</v>
      </c>
      <c r="EI117" s="5">
        <f t="shared" si="837"/>
        <v>0</v>
      </c>
      <c r="EJ117" s="5">
        <f t="shared" si="838"/>
        <v>0</v>
      </c>
      <c r="EK117" s="5">
        <f t="shared" si="839"/>
        <v>0</v>
      </c>
      <c r="EL117" s="5">
        <f t="shared" si="840"/>
        <v>0</v>
      </c>
      <c r="EM117" s="5">
        <f t="shared" si="841"/>
        <v>0</v>
      </c>
      <c r="EN117" s="5">
        <f t="shared" si="842"/>
        <v>0</v>
      </c>
      <c r="EO117" s="5">
        <f t="shared" si="843"/>
        <v>0</v>
      </c>
      <c r="EP117" s="5">
        <f t="shared" si="844"/>
        <v>0</v>
      </c>
      <c r="EQ117" s="5">
        <f t="shared" si="845"/>
        <v>0</v>
      </c>
      <c r="ER117" s="5">
        <f t="shared" si="846"/>
        <v>0</v>
      </c>
      <c r="ES117" s="5">
        <f t="shared" si="847"/>
        <v>0</v>
      </c>
      <c r="ET117" s="5">
        <f t="shared" si="848"/>
        <v>0</v>
      </c>
      <c r="EU117" s="5">
        <f t="shared" si="849"/>
        <v>0</v>
      </c>
      <c r="EV117" s="5">
        <f t="shared" si="850"/>
        <v>0</v>
      </c>
      <c r="EW117" s="5">
        <f t="shared" si="851"/>
        <v>0</v>
      </c>
      <c r="EX117" s="5">
        <f t="shared" si="852"/>
        <v>0</v>
      </c>
      <c r="EY117" s="5">
        <f t="shared" si="853"/>
        <v>0</v>
      </c>
      <c r="EZ117" s="5">
        <f t="shared" si="854"/>
        <v>0</v>
      </c>
      <c r="FA117" s="5">
        <f t="shared" si="855"/>
        <v>0</v>
      </c>
      <c r="FB117" s="5">
        <f t="shared" si="856"/>
        <v>0</v>
      </c>
      <c r="FC117" s="5">
        <f t="shared" si="857"/>
        <v>0</v>
      </c>
      <c r="FD117" s="5">
        <f t="shared" si="858"/>
        <v>0</v>
      </c>
      <c r="FE117" s="5">
        <f t="shared" si="859"/>
        <v>0</v>
      </c>
      <c r="FF117" s="5">
        <f t="shared" si="860"/>
        <v>0</v>
      </c>
      <c r="FG117" s="5">
        <f t="shared" si="861"/>
        <v>0</v>
      </c>
      <c r="FH117" s="5">
        <f t="shared" si="862"/>
        <v>0</v>
      </c>
      <c r="FI117" s="5">
        <f t="shared" si="863"/>
        <v>0</v>
      </c>
      <c r="FJ117" s="5">
        <f t="shared" si="864"/>
        <v>0</v>
      </c>
      <c r="FK117" s="5">
        <f t="shared" si="865"/>
        <v>0</v>
      </c>
      <c r="FL117" s="5">
        <f t="shared" si="866"/>
        <v>0</v>
      </c>
      <c r="FM117" s="5">
        <f t="shared" si="867"/>
        <v>0</v>
      </c>
      <c r="FN117" s="5">
        <f t="shared" si="868"/>
        <v>0</v>
      </c>
      <c r="FO117" s="5">
        <f t="shared" si="869"/>
        <v>0</v>
      </c>
      <c r="FP117" s="5">
        <f t="shared" si="870"/>
        <v>0</v>
      </c>
    </row>
    <row r="118" spans="1:172" ht="20.100000000000001" customHeight="1" x14ac:dyDescent="0.3">
      <c r="A118" s="172">
        <f>N_L15</f>
        <v>0</v>
      </c>
      <c r="B118" s="363" t="s">
        <v>37</v>
      </c>
      <c r="C118" s="363" t="s">
        <v>37</v>
      </c>
      <c r="D118" s="363" t="s">
        <v>37</v>
      </c>
      <c r="E118" s="363" t="s">
        <v>37</v>
      </c>
      <c r="F118" s="363" t="s">
        <v>37</v>
      </c>
      <c r="G118" s="363" t="s">
        <v>37</v>
      </c>
      <c r="H118" s="363" t="s">
        <v>37</v>
      </c>
      <c r="I118" s="363" t="s">
        <v>37</v>
      </c>
      <c r="J118" s="363" t="s">
        <v>37</v>
      </c>
      <c r="K118" s="363" t="s">
        <v>37</v>
      </c>
      <c r="L118" s="363" t="s">
        <v>37</v>
      </c>
      <c r="M118" s="363" t="s">
        <v>37</v>
      </c>
    </row>
    <row r="119" spans="1:172" ht="20.100000000000001" customHeight="1" x14ac:dyDescent="0.3">
      <c r="A119" s="175" t="s">
        <v>238</v>
      </c>
      <c r="B119" s="174">
        <f>SUM(DI121:DM125)/100</f>
        <v>0</v>
      </c>
      <c r="C119" s="174">
        <f>SUM(DN121:DR125)/100</f>
        <v>0</v>
      </c>
      <c r="D119" s="174">
        <f>SUM(DS121:DW125)/100</f>
        <v>0</v>
      </c>
      <c r="E119" s="174">
        <f>SUM(DX121:EB125)/100</f>
        <v>0</v>
      </c>
      <c r="F119" s="174">
        <f>SUM(EC121:EG125)/100</f>
        <v>0</v>
      </c>
      <c r="G119" s="174">
        <f>SUM(EH121:EL125)/100</f>
        <v>0</v>
      </c>
      <c r="H119" s="174">
        <f>SUM(EM121:EQ125)/100</f>
        <v>0</v>
      </c>
      <c r="I119" s="174">
        <f>SUM(ER121:EV125)/100</f>
        <v>0</v>
      </c>
      <c r="J119" s="174">
        <f>SUM(EW121:FA125)/100</f>
        <v>0</v>
      </c>
      <c r="K119" s="174">
        <f>SUM(FB121:FF125)/100</f>
        <v>0</v>
      </c>
      <c r="L119" s="174">
        <f>SUM(FG121:FK125)/100</f>
        <v>0</v>
      </c>
      <c r="M119" s="174">
        <f>SUM(FL121:FP125)/100</f>
        <v>0</v>
      </c>
    </row>
    <row r="120" spans="1:172" ht="20.100000000000001" customHeight="1" x14ac:dyDescent="0.3">
      <c r="A120" s="151" t="s">
        <v>239</v>
      </c>
      <c r="B120" s="152" t="e">
        <f t="shared" ref="B120:M120" si="872">B119/Lote_15</f>
        <v>#DIV/0!</v>
      </c>
      <c r="C120" s="152" t="e">
        <f t="shared" si="872"/>
        <v>#DIV/0!</v>
      </c>
      <c r="D120" s="152" t="e">
        <f t="shared" si="872"/>
        <v>#DIV/0!</v>
      </c>
      <c r="E120" s="152" t="e">
        <f t="shared" si="872"/>
        <v>#DIV/0!</v>
      </c>
      <c r="F120" s="152" t="e">
        <f t="shared" si="872"/>
        <v>#DIV/0!</v>
      </c>
      <c r="G120" s="152" t="e">
        <f t="shared" si="872"/>
        <v>#DIV/0!</v>
      </c>
      <c r="H120" s="152" t="e">
        <f t="shared" si="872"/>
        <v>#DIV/0!</v>
      </c>
      <c r="I120" s="152" t="e">
        <f t="shared" si="872"/>
        <v>#DIV/0!</v>
      </c>
      <c r="J120" s="152" t="e">
        <f t="shared" si="872"/>
        <v>#DIV/0!</v>
      </c>
      <c r="K120" s="152" t="e">
        <f t="shared" si="872"/>
        <v>#DIV/0!</v>
      </c>
      <c r="L120" s="152" t="e">
        <f t="shared" si="872"/>
        <v>#DIV/0!</v>
      </c>
      <c r="M120" s="152" t="e">
        <f t="shared" si="872"/>
        <v>#DIV/0!</v>
      </c>
    </row>
    <row r="121" spans="1:172" ht="20.100000000000001" customHeight="1" x14ac:dyDescent="0.3">
      <c r="A121" s="8" t="s">
        <v>302</v>
      </c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O121" s="58">
        <f>IFERROR('6'!O$63/Ciclo,0)</f>
        <v>0</v>
      </c>
      <c r="P121" s="58">
        <f>IFERROR('6'!P$63/Ciclo,0)</f>
        <v>0</v>
      </c>
      <c r="Q121" s="58">
        <f>IFERROR('6'!Q$63/Ciclo,0)</f>
        <v>0</v>
      </c>
      <c r="R121" s="58">
        <f>IFERROR('6'!R$63/Ciclo,0)</f>
        <v>0</v>
      </c>
      <c r="S121" s="58">
        <f>IFERROR('6'!S$63/Ciclo,0)</f>
        <v>0</v>
      </c>
      <c r="T121" s="58">
        <f>IFERROR('6'!T$63/Ciclo,0)</f>
        <v>0</v>
      </c>
      <c r="U121" s="58">
        <f>IFERROR('6'!U$63/Ciclo,0)</f>
        <v>0</v>
      </c>
      <c r="V121" s="58">
        <f>IFERROR('6'!V$63/Ciclo,0)</f>
        <v>0</v>
      </c>
      <c r="W121" s="5">
        <f>IFERROR('6'!W$63/Ciclo,0)</f>
        <v>0</v>
      </c>
      <c r="X121" s="5">
        <f>IFERROR('6'!X$63/Ciclo,0)</f>
        <v>0</v>
      </c>
      <c r="Y121" s="5">
        <f>IFERROR('6'!Y$63/Ciclo,0)</f>
        <v>0</v>
      </c>
      <c r="Z121" s="5">
        <f>IFERROR('6'!Z$63/Ciclo,0)</f>
        <v>0</v>
      </c>
      <c r="AB121" s="5">
        <f>IF($B$118="Producción",IF($B121&gt;=LI_A,$O121,0),0)</f>
        <v>0</v>
      </c>
      <c r="AC121" s="5">
        <f>IF($B$118="Producción",IF($B121&gt;=LI_B,IF($B121&lt;LS_B,$O121,0),0),0)</f>
        <v>0</v>
      </c>
      <c r="AD121" s="5">
        <f>IF($B$118="Producción",IF($B121&gt;=LI_C,IF($B121&lt;LS_C,$O121,0),0),0)</f>
        <v>0</v>
      </c>
      <c r="AE121" s="5">
        <f>IF($B$118="Producción",IF($B121&lt;LS_D,$O121,0),0)</f>
        <v>0</v>
      </c>
      <c r="AF121" s="5">
        <f>IF($B$118="Crecimiento",$O121,0)</f>
        <v>0</v>
      </c>
      <c r="AG121" s="5">
        <f>IF($B118="Siembra",'6'!$O$7,0)</f>
        <v>0</v>
      </c>
      <c r="AH121" s="5">
        <f>IF($B118="Abandono",'6'!$O$7,0)</f>
        <v>0</v>
      </c>
      <c r="AI121" s="5">
        <f>IF($C$118="Producción",IF($C121&gt;=LI_A,$P121,0),0)</f>
        <v>0</v>
      </c>
      <c r="AJ121" s="5">
        <f>IF($C$118="Producción",IF($C121&gt;=LI_B,IF($C121&lt;LS_B,$P121,0),0),0)</f>
        <v>0</v>
      </c>
      <c r="AK121" s="5">
        <f>IF($C$118="Producción",IF($C121&gt;=LI_C,IF($C121&lt;LS_C,$P121,0),0),0)</f>
        <v>0</v>
      </c>
      <c r="AL121" s="5">
        <f>IF($C$118="Producción",IF($C121&lt;LS_D,$P121,0),0)</f>
        <v>0</v>
      </c>
      <c r="AM121" s="5">
        <f>IF($C$118="Crecimiento",$P121,0)</f>
        <v>0</v>
      </c>
      <c r="AN121" s="5">
        <f>IF($C118="Siembra",'6'!$P$7,0)</f>
        <v>0</v>
      </c>
      <c r="AO121" s="5">
        <f>IF($C118="Abandono",'6'!$P$7,0)</f>
        <v>0</v>
      </c>
      <c r="AP121" s="5">
        <f>IF($D$118="Producción",IF($D121&gt;=LI_A,$Q121,0),0)</f>
        <v>0</v>
      </c>
      <c r="AQ121" s="5">
        <f>IF($D$118="Producción",IF($D121&gt;=LI_B,IF($D121&lt;LS_B,$Q121,0),0),0)</f>
        <v>0</v>
      </c>
      <c r="AR121" s="5">
        <f>IF($D$118="Producción",IF($D121&gt;=LI_C,IF($D121&lt;LS_C,$Q121,0),0),0)</f>
        <v>0</v>
      </c>
      <c r="AS121" s="5">
        <f>IF($D$118="Producción",IF($D121&lt;LS_D,$Q121,0),0)</f>
        <v>0</v>
      </c>
      <c r="AT121" s="5">
        <f>IF($D$118="Crecimiento",IF($D121&gt;0,$Q121,0),0)</f>
        <v>0</v>
      </c>
      <c r="AU121" s="5">
        <f>IF($D118="Siembra",'6'!$Q$7,0)</f>
        <v>0</v>
      </c>
      <c r="AV121" s="5">
        <f>IF($D118="Abandono",'6'!$Q$7,0)</f>
        <v>0</v>
      </c>
      <c r="AW121" s="5">
        <f>IF($E$118="Producción",IF($E121&gt;=LI_A,$R121,0),0)</f>
        <v>0</v>
      </c>
      <c r="AX121" s="5">
        <f>IF($E$118="Producción",IF($E121&gt;=LI_B,IF($E121&lt;LS_B,$R121,0),0),0)</f>
        <v>0</v>
      </c>
      <c r="AY121" s="5">
        <f>IF($E$118="Producción",IF($E121&gt;=LI_C,IF($E121&lt;LS_C,$R121,0),0),0)</f>
        <v>0</v>
      </c>
      <c r="AZ121" s="5">
        <f>IF($E$118="Producción",IF($E121&lt;LS_D,$R121,0),0)</f>
        <v>0</v>
      </c>
      <c r="BA121" s="5">
        <f>IF($E$118="Crecimiento",$R121,0)</f>
        <v>0</v>
      </c>
      <c r="BB121" s="5">
        <f>IF($E118="Siembra",'6'!$R$7,0)</f>
        <v>0</v>
      </c>
      <c r="BC121" s="5">
        <f>IF($E118="Abandono",'6'!$R$7,0)</f>
        <v>0</v>
      </c>
      <c r="BD121" s="5">
        <f>IF($F$118="Producción",IF($F121&gt;=LI_A,$S121,0),0)</f>
        <v>0</v>
      </c>
      <c r="BE121" s="5">
        <f>IF($F$118="Producción",IF($F121&gt;=LI_B,IF($F121&lt;LS_B,$S121,0),0),0)</f>
        <v>0</v>
      </c>
      <c r="BF121" s="5">
        <f>IF($F$118="Producción",IF($F121&gt;=LI_C,IF($F121&lt;LS_C,$S121,0),0),0)</f>
        <v>0</v>
      </c>
      <c r="BG121" s="5">
        <f>IF($F$118="Producción",IF($F121&lt;LS_D,$S121,0),0)</f>
        <v>0</v>
      </c>
      <c r="BH121" s="5">
        <f>IF($F$118="Crecimiento",$S121,0)</f>
        <v>0</v>
      </c>
      <c r="BI121" s="5">
        <f>IF($F118="Siembra",'6'!$S$7,0)</f>
        <v>0</v>
      </c>
      <c r="BJ121" s="5">
        <f>IF($F118="Abandono",'6'!$S$7,0)</f>
        <v>0</v>
      </c>
      <c r="BK121" s="5">
        <f>IF($G$118="Producción",IF($G121&gt;=LI_A,$T121,0),0)</f>
        <v>0</v>
      </c>
      <c r="BL121" s="5">
        <f>IF($G$118="Producción",IF($G121&gt;=LI_B,IF($G121&lt;LS_B,$T121,0),0),0)</f>
        <v>0</v>
      </c>
      <c r="BM121" s="5">
        <f>IF($G$118="Producción",IF($G121&gt;=LI_C,IF($G121&lt;LS_C,$T121,0),0),0)</f>
        <v>0</v>
      </c>
      <c r="BN121" s="5">
        <f>IF($G$118="Producción",IF($G121&lt;LS_D,$T121,0),0)</f>
        <v>0</v>
      </c>
      <c r="BO121" s="5">
        <f>IF($G$118="Crecimiento",$T121,0)</f>
        <v>0</v>
      </c>
      <c r="BP121" s="5">
        <f>IF($G118="Siembra",'6'!$T$7,0)</f>
        <v>0</v>
      </c>
      <c r="BQ121" s="5">
        <f>IF($G118="Abandono",'6'!$T$7,0)</f>
        <v>0</v>
      </c>
      <c r="BR121" s="5">
        <f>IF($H$118="Producción",IF($H121&gt;=LI_A,$U121,0),0)</f>
        <v>0</v>
      </c>
      <c r="BS121" s="5">
        <f>IF($H$118="Producción",IF($H121&gt;=LI_B,IF($H121&lt;LS_B,$U121,0),0),0)</f>
        <v>0</v>
      </c>
      <c r="BT121" s="5">
        <f>IF($H$118="Producción",IF($H121&gt;=LI_C,IF($H121&lt;LS_C,$U121,0),0),0)</f>
        <v>0</v>
      </c>
      <c r="BU121" s="5">
        <f>IF($H$118="Producción",IF($H121&lt;LS_D,$U121,0),0)</f>
        <v>0</v>
      </c>
      <c r="BV121" s="5">
        <f>IF($H$118="Crecimiento",$T121,0)</f>
        <v>0</v>
      </c>
      <c r="BW121" s="5">
        <f>IF($H118="Siembra",'6'!$U$7,0)</f>
        <v>0</v>
      </c>
      <c r="BX121" s="5">
        <f>IF($H118="Abandono",'6'!$U$7,0)</f>
        <v>0</v>
      </c>
      <c r="BY121" s="5">
        <f>IF($I$118="Producción",IF($I121&gt;=LI_A,$V121,0),0)</f>
        <v>0</v>
      </c>
      <c r="BZ121" s="5">
        <f>IF($I$118="Producción",IF($I121&gt;=LI_B,IF($I121&lt;LS_B,$V121,0),0),0)</f>
        <v>0</v>
      </c>
      <c r="CA121" s="5">
        <f>IF($I$118="Producción",IF($I121&gt;=LI_C,IF($I121&lt;LS_C,$V121,0),0),0)</f>
        <v>0</v>
      </c>
      <c r="CB121" s="5">
        <f>IF($I$118="Producción",IF($I121&lt;LS_D,$V121,0),0)</f>
        <v>0</v>
      </c>
      <c r="CC121" s="5">
        <f>IF($I$118="Crecimiento",$V121,0)</f>
        <v>0</v>
      </c>
      <c r="CD121" s="5">
        <f>IF($I118="Siembra",'6'!$V$7,0)</f>
        <v>0</v>
      </c>
      <c r="CE121" s="5">
        <f>IF($I118="Abandono",'6'!$V$7,0)</f>
        <v>0</v>
      </c>
      <c r="CF121" s="5">
        <f>IF($J$118="Producción",IF($J121&gt;=LI_A,$W121,0),0)</f>
        <v>0</v>
      </c>
      <c r="CG121" s="5">
        <f>IF($J$118="Producción",IF($J121&gt;=LI_B,IF($J121&lt;LS_B,$W121,0),0),0)</f>
        <v>0</v>
      </c>
      <c r="CH121" s="5">
        <f>IF($J$118="Producción",IF($J121&gt;=LI_C,IF($J121&lt;LS_C,$W121,0),0),0)</f>
        <v>0</v>
      </c>
      <c r="CI121" s="5">
        <f>IF($J$118="Producción",IF($J121&lt;LS_D,$W121,0),0)</f>
        <v>0</v>
      </c>
      <c r="CJ121" s="5">
        <f>IF($J$118="Crecimiento",$W121,0)</f>
        <v>0</v>
      </c>
      <c r="CK121" s="5">
        <f>IF($J118="Siembra",'6'!$W$7,0)</f>
        <v>0</v>
      </c>
      <c r="CL121" s="5">
        <f>IF($J118="Abandono",'6'!$W$7,0)</f>
        <v>0</v>
      </c>
      <c r="CM121" s="5">
        <f>IF($K$118="Producción",IF($K121&gt;=LI_A,$X121,0),0)</f>
        <v>0</v>
      </c>
      <c r="CN121" s="5">
        <f>IF($K$118="Producción",IF($K121&gt;=LI_B,IF($K121&lt;LS_B,$X121,0),0),0)</f>
        <v>0</v>
      </c>
      <c r="CO121" s="5">
        <f>IF($K$118="Producción",IF($K121&gt;=LI_C,IF($K121&lt;LS_C,$X121,0),0),0)</f>
        <v>0</v>
      </c>
      <c r="CP121" s="5">
        <f>IF($K$118="Producción",IF($K121&lt;LS_D,$X121,0),0)</f>
        <v>0</v>
      </c>
      <c r="CQ121" s="5">
        <f>IF($K$118="Crecimiento",$X121,0)</f>
        <v>0</v>
      </c>
      <c r="CR121" s="5">
        <f>IF($K118="Siembra",'6'!$X$7,0)</f>
        <v>0</v>
      </c>
      <c r="CS121" s="5">
        <f>IF($K118="Abandono",'6'!$X$7,0)</f>
        <v>0</v>
      </c>
      <c r="CT121" s="5">
        <f>IF($L$118="Producción",IF($L121&gt;=LI_A,$Y121,0),0)</f>
        <v>0</v>
      </c>
      <c r="CU121" s="5">
        <f>IF($L$118="Producción",IF($L121&gt;=LI_B,IF($L121&lt;LS_B,$Y121,0),0),0)</f>
        <v>0</v>
      </c>
      <c r="CV121" s="5">
        <f>IF($L$118="Producción",IF($L121&gt;=LI_C,IF($L121&lt;LS_C,$Y121,0),0),0)</f>
        <v>0</v>
      </c>
      <c r="CW121" s="5">
        <f>IF($L$118="Producción",IF($L121&lt;LS_D,$Y121,0),0)</f>
        <v>0</v>
      </c>
      <c r="CX121" s="5">
        <f>IF($L$118="Crecimiento",$Y121,0)</f>
        <v>0</v>
      </c>
      <c r="CY121" s="5">
        <f>IF($L118="Siembra",'6'!$Y$7,0)</f>
        <v>0</v>
      </c>
      <c r="CZ121" s="5">
        <f>IF($L118="Abandono",'6'!$Y$7,0)</f>
        <v>0</v>
      </c>
      <c r="DA121" s="5">
        <f>IF($M$118="Producción",IF($M121&gt;=LI_A,$Z121,0),0)</f>
        <v>0</v>
      </c>
      <c r="DB121" s="5">
        <f>IF($M$118="Producción",IF($M121&gt;=LI_B,IF($M121&lt;LS_B,$Z121,0),0),0)</f>
        <v>0</v>
      </c>
      <c r="DC121" s="5">
        <f>IF($M$118="Producción",IF($M121&gt;=LI_C,IF($M121&lt;LS_C,$Z121,0),0),0)</f>
        <v>0</v>
      </c>
      <c r="DD121" s="5">
        <f>IF($M$118="Producción",IF($M121&lt;LS_D,$Z121,0),0)</f>
        <v>0</v>
      </c>
      <c r="DE121" s="5">
        <f>IF($M$118="Crecimiento",$Z121,0)</f>
        <v>0</v>
      </c>
      <c r="DF121" s="5">
        <f>IF($M118="Siembra",'6'!$Z$7,0)</f>
        <v>0</v>
      </c>
      <c r="DG121" s="5">
        <f>IF($M118="Abandono",'6'!$Z$7,0)</f>
        <v>0</v>
      </c>
      <c r="DI121" s="5">
        <f t="shared" ref="DI121:DI125" si="873">AB121*$B121</f>
        <v>0</v>
      </c>
      <c r="DJ121" s="5">
        <f t="shared" ref="DJ121:DJ125" si="874">AC121*$B121</f>
        <v>0</v>
      </c>
      <c r="DK121" s="5">
        <f t="shared" ref="DK121:DK125" si="875">AD121*$B121</f>
        <v>0</v>
      </c>
      <c r="DL121" s="5">
        <f t="shared" ref="DL121:DL125" si="876">AE121*$B121</f>
        <v>0</v>
      </c>
      <c r="DM121" s="5">
        <f t="shared" ref="DM121:DM125" si="877">AF121*$B121</f>
        <v>0</v>
      </c>
      <c r="DN121" s="5">
        <f t="shared" ref="DN121:DN125" si="878">AI121*$C121</f>
        <v>0</v>
      </c>
      <c r="DO121" s="5">
        <f t="shared" ref="DO121:DO125" si="879">AJ121*$C121</f>
        <v>0</v>
      </c>
      <c r="DP121" s="5">
        <f t="shared" ref="DP121:DP125" si="880">AK121*$C121</f>
        <v>0</v>
      </c>
      <c r="DQ121" s="5">
        <f t="shared" ref="DQ121:DQ125" si="881">AL121*$C121</f>
        <v>0</v>
      </c>
      <c r="DR121" s="5">
        <f t="shared" ref="DR121:DR125" si="882">AM121*$C121</f>
        <v>0</v>
      </c>
      <c r="DS121" s="5">
        <f t="shared" ref="DS121:DS125" si="883">AP121*$D121</f>
        <v>0</v>
      </c>
      <c r="DT121" s="5">
        <f t="shared" ref="DT121:DT125" si="884">AQ121*$D121</f>
        <v>0</v>
      </c>
      <c r="DU121" s="5">
        <f t="shared" ref="DU121:DU125" si="885">AR121*$D121</f>
        <v>0</v>
      </c>
      <c r="DV121" s="5">
        <f t="shared" ref="DV121:DV125" si="886">AS121*$D121</f>
        <v>0</v>
      </c>
      <c r="DW121" s="5">
        <f t="shared" ref="DW121:DW125" si="887">AT121*$D121</f>
        <v>0</v>
      </c>
      <c r="DX121" s="5">
        <f t="shared" ref="DX121:DX125" si="888">AW121*$E121</f>
        <v>0</v>
      </c>
      <c r="DY121" s="5">
        <f t="shared" ref="DY121:DY125" si="889">AX121*$E121</f>
        <v>0</v>
      </c>
      <c r="DZ121" s="5">
        <f t="shared" ref="DZ121:DZ125" si="890">AY121*$E121</f>
        <v>0</v>
      </c>
      <c r="EA121" s="5">
        <f t="shared" ref="EA121:EA125" si="891">AZ121*$E121</f>
        <v>0</v>
      </c>
      <c r="EB121" s="5">
        <f t="shared" ref="EB121:EB125" si="892">BA121*$E121</f>
        <v>0</v>
      </c>
      <c r="EC121" s="5">
        <f t="shared" ref="EC121:EC125" si="893">BD121*$F121</f>
        <v>0</v>
      </c>
      <c r="ED121" s="5">
        <f t="shared" ref="ED121:ED125" si="894">BE121*$F121</f>
        <v>0</v>
      </c>
      <c r="EE121" s="5">
        <f t="shared" ref="EE121:EE125" si="895">BF121*$F121</f>
        <v>0</v>
      </c>
      <c r="EF121" s="5">
        <f t="shared" ref="EF121:EF125" si="896">BG121*$F121</f>
        <v>0</v>
      </c>
      <c r="EG121" s="5">
        <f t="shared" ref="EG121:EG125" si="897">BH121*$F121</f>
        <v>0</v>
      </c>
      <c r="EH121" s="5">
        <f t="shared" ref="EH121:EH125" si="898">BK121*$G121</f>
        <v>0</v>
      </c>
      <c r="EI121" s="5">
        <f t="shared" ref="EI121:EI125" si="899">BL121*$G121</f>
        <v>0</v>
      </c>
      <c r="EJ121" s="5">
        <f t="shared" ref="EJ121:EJ125" si="900">BM121*$G121</f>
        <v>0</v>
      </c>
      <c r="EK121" s="5">
        <f t="shared" ref="EK121:EK125" si="901">BN121*$G121</f>
        <v>0</v>
      </c>
      <c r="EL121" s="5">
        <f t="shared" ref="EL121:EL125" si="902">BO121*$G121</f>
        <v>0</v>
      </c>
      <c r="EM121" s="5">
        <f t="shared" ref="EM121:EM125" si="903">BR121*$H121</f>
        <v>0</v>
      </c>
      <c r="EN121" s="5">
        <f t="shared" ref="EN121:EN125" si="904">BS121*$H121</f>
        <v>0</v>
      </c>
      <c r="EO121" s="5">
        <f t="shared" ref="EO121:EO125" si="905">BT121*$H121</f>
        <v>0</v>
      </c>
      <c r="EP121" s="5">
        <f t="shared" ref="EP121:EP125" si="906">BU121*$H121</f>
        <v>0</v>
      </c>
      <c r="EQ121" s="5">
        <f t="shared" ref="EQ121:EQ125" si="907">BV121*$H121</f>
        <v>0</v>
      </c>
      <c r="ER121" s="5">
        <f t="shared" ref="ER121:ER125" si="908">BY121*$I121</f>
        <v>0</v>
      </c>
      <c r="ES121" s="5">
        <f t="shared" ref="ES121:ES125" si="909">BZ121*$I121</f>
        <v>0</v>
      </c>
      <c r="ET121" s="5">
        <f t="shared" ref="ET121:ET125" si="910">CA121*$I121</f>
        <v>0</v>
      </c>
      <c r="EU121" s="5">
        <f t="shared" ref="EU121:EU125" si="911">CB121*$I121</f>
        <v>0</v>
      </c>
      <c r="EV121" s="5">
        <f t="shared" ref="EV121:EV125" si="912">CC121*$I121</f>
        <v>0</v>
      </c>
      <c r="EW121" s="5">
        <f t="shared" ref="EW121:EW125" si="913">CF121*$J121</f>
        <v>0</v>
      </c>
      <c r="EX121" s="5">
        <f t="shared" ref="EX121:EX125" si="914">CG121*$J121</f>
        <v>0</v>
      </c>
      <c r="EY121" s="5">
        <f t="shared" ref="EY121:EY125" si="915">CH121*$J121</f>
        <v>0</v>
      </c>
      <c r="EZ121" s="5">
        <f t="shared" ref="EZ121:EZ125" si="916">CI121*$J121</f>
        <v>0</v>
      </c>
      <c r="FA121" s="5">
        <f t="shared" ref="FA121:FA125" si="917">CJ121*$J121</f>
        <v>0</v>
      </c>
      <c r="FB121" s="5">
        <f t="shared" ref="FB121:FB125" si="918">CM121*$K121</f>
        <v>0</v>
      </c>
      <c r="FC121" s="5">
        <f t="shared" ref="FC121:FC125" si="919">CN121*$K121</f>
        <v>0</v>
      </c>
      <c r="FD121" s="5">
        <f t="shared" ref="FD121:FD125" si="920">CO121*$K121</f>
        <v>0</v>
      </c>
      <c r="FE121" s="5">
        <f t="shared" ref="FE121:FE125" si="921">CP121*$K121</f>
        <v>0</v>
      </c>
      <c r="FF121" s="5">
        <f t="shared" ref="FF121:FF125" si="922">CQ121*$K121</f>
        <v>0</v>
      </c>
      <c r="FG121" s="5">
        <f t="shared" ref="FG121:FG125" si="923">CT121*$L121</f>
        <v>0</v>
      </c>
      <c r="FH121" s="5">
        <f t="shared" ref="FH121:FH125" si="924">CU121*$L121</f>
        <v>0</v>
      </c>
      <c r="FI121" s="5">
        <f t="shared" ref="FI121:FI125" si="925">CV121*$L121</f>
        <v>0</v>
      </c>
      <c r="FJ121" s="5">
        <f t="shared" ref="FJ121:FJ125" si="926">CW121*$L121</f>
        <v>0</v>
      </c>
      <c r="FK121" s="5">
        <f t="shared" ref="FK121:FK125" si="927">CX121*$L121</f>
        <v>0</v>
      </c>
      <c r="FL121" s="5">
        <f t="shared" ref="FL121:FL125" si="928">DA121*$M121</f>
        <v>0</v>
      </c>
      <c r="FM121" s="5">
        <f t="shared" ref="FM121:FM125" si="929">DB121*$M121</f>
        <v>0</v>
      </c>
      <c r="FN121" s="5">
        <f t="shared" ref="FN121:FN125" si="930">DC121*$M121</f>
        <v>0</v>
      </c>
      <c r="FO121" s="5">
        <f t="shared" ref="FO121:FO125" si="931">DD121*$M121</f>
        <v>0</v>
      </c>
      <c r="FP121" s="5">
        <f t="shared" ref="FP121:FP125" si="932">DE121*$M121</f>
        <v>0</v>
      </c>
    </row>
    <row r="122" spans="1:172" ht="20.100000000000001" customHeight="1" x14ac:dyDescent="0.3">
      <c r="A122" s="8" t="s">
        <v>303</v>
      </c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O122" s="58">
        <f>IFERROR('6'!O$63/Ciclo,0)</f>
        <v>0</v>
      </c>
      <c r="P122" s="58">
        <f>IFERROR('6'!P$63/Ciclo,0)</f>
        <v>0</v>
      </c>
      <c r="Q122" s="58">
        <f>IFERROR('6'!Q$63/Ciclo,0)</f>
        <v>0</v>
      </c>
      <c r="R122" s="58">
        <f>IFERROR('6'!R$63/Ciclo,0)</f>
        <v>0</v>
      </c>
      <c r="S122" s="58">
        <f>IFERROR('6'!S$63/Ciclo,0)</f>
        <v>0</v>
      </c>
      <c r="T122" s="58">
        <f>IFERROR('6'!T$63/Ciclo,0)</f>
        <v>0</v>
      </c>
      <c r="U122" s="58">
        <f>IFERROR('6'!U$63/Ciclo,0)</f>
        <v>0</v>
      </c>
      <c r="V122" s="58">
        <f>IFERROR('6'!V$63/Ciclo,0)</f>
        <v>0</v>
      </c>
      <c r="W122" s="5">
        <f>IFERROR('6'!W$63/Ciclo,0)</f>
        <v>0</v>
      </c>
      <c r="X122" s="5">
        <f>IFERROR('6'!X$63/Ciclo,0)</f>
        <v>0</v>
      </c>
      <c r="Y122" s="5">
        <f>IFERROR('6'!Y$63/Ciclo,0)</f>
        <v>0</v>
      </c>
      <c r="Z122" s="5">
        <f>IFERROR('6'!Z$63/Ciclo,0)</f>
        <v>0</v>
      </c>
      <c r="AB122" s="5">
        <f>IF($B$118="Producción",IF($B122&gt;=LI_A,$O122,0),0)</f>
        <v>0</v>
      </c>
      <c r="AC122" s="5">
        <f>IF($B$118="Producción",IF($B122&gt;=LI_B,IF($B122&lt;LS_B,$O122,0),0),0)</f>
        <v>0</v>
      </c>
      <c r="AD122" s="5">
        <f>IF($B$118="Producción",IF($B122&gt;=LI_C,IF($B122&lt;LS_C,$O122,0),0),0)</f>
        <v>0</v>
      </c>
      <c r="AE122" s="5">
        <f>IF($B$118="Producción",IF($B122&lt;LS_D,$O122,0),0)</f>
        <v>0</v>
      </c>
      <c r="AF122" s="5">
        <f t="shared" ref="AF122:AF125" si="933">IF($B$118="Crecimiento",$O122,0)</f>
        <v>0</v>
      </c>
      <c r="AI122" s="5">
        <f>IF($C$118="Producción",IF($C122&gt;=LI_A,$P122,0),0)</f>
        <v>0</v>
      </c>
      <c r="AJ122" s="5">
        <f>IF($C$118="Producción",IF($C122&gt;=LI_B,IF($C122&lt;LS_B,$P122,0),0),0)</f>
        <v>0</v>
      </c>
      <c r="AK122" s="5">
        <f>IF($C$118="Producción",IF($C122&gt;=LI_C,IF($C122&lt;LS_C,$P122,0),0),0)</f>
        <v>0</v>
      </c>
      <c r="AL122" s="5">
        <f>IF($C$118="Producción",IF($C122&lt;LS_D,$P122,0),0)</f>
        <v>0</v>
      </c>
      <c r="AM122" s="5">
        <f>IF($C$118="Crecimiento",$P122,0)</f>
        <v>0</v>
      </c>
      <c r="AP122" s="5">
        <f>IF($D$118="Producción",IF($D122&gt;=LI_A,$Q122,0),0)</f>
        <v>0</v>
      </c>
      <c r="AQ122" s="5">
        <f>IF($D$118="Producción",IF($D122&gt;=LI_B,IF($D122&lt;LS_B,$Q122,0),0),0)</f>
        <v>0</v>
      </c>
      <c r="AR122" s="5">
        <f>IF($D$118="Producción",IF($D122&gt;=LI_C,IF($D122&lt;LS_C,$Q122,0),0),0)</f>
        <v>0</v>
      </c>
      <c r="AS122" s="5">
        <f>IF($D$118="Producción",IF($D122&lt;LS_D,$Q122,0),0)</f>
        <v>0</v>
      </c>
      <c r="AT122" s="5">
        <f>IF($D$118="Crecimiento",IF($D122&gt;0,$Q122,0),0)</f>
        <v>0</v>
      </c>
      <c r="AW122" s="5">
        <f>IF($E$118="Producción",IF($E122&gt;=LI_A,$R122,0),0)</f>
        <v>0</v>
      </c>
      <c r="AX122" s="5">
        <f>IF($E$118="Producción",IF($E122&gt;=LI_B,IF($E122&lt;LS_B,$R122,0),0),0)</f>
        <v>0</v>
      </c>
      <c r="AY122" s="5">
        <f>IF($E$118="Producción",IF($E122&gt;=LI_C,IF($E122&lt;LS_C,$R122,0),0),0)</f>
        <v>0</v>
      </c>
      <c r="AZ122" s="5">
        <f>IF($E$118="Producción",IF($E122&lt;LS_D,$R122,0),0)</f>
        <v>0</v>
      </c>
      <c r="BA122" s="5">
        <f>IF($E$118="Crecimiento",$R122,0)</f>
        <v>0</v>
      </c>
      <c r="BD122" s="5">
        <f>IF($F$118="Producción",IF($F122&gt;=LI_A,$S122,0),0)</f>
        <v>0</v>
      </c>
      <c r="BE122" s="5">
        <f>IF($F$118="Producción",IF($F122&gt;=LI_B,IF($F122&lt;LS_B,$S122,0),0),0)</f>
        <v>0</v>
      </c>
      <c r="BF122" s="5">
        <f>IF($F$118="Producción",IF($F122&gt;=LI_C,IF($F122&lt;LS_C,$S122,0),0),0)</f>
        <v>0</v>
      </c>
      <c r="BG122" s="5">
        <f>IF($F$118="Producción",IF($F122&lt;LS_D,$S122,0),0)</f>
        <v>0</v>
      </c>
      <c r="BH122" s="5">
        <f>IF($F$118="Crecimiento",$S122,0)</f>
        <v>0</v>
      </c>
      <c r="BK122" s="5">
        <f>IF($G$118="Producción",IF($G122&gt;=LI_A,$T122,0),0)</f>
        <v>0</v>
      </c>
      <c r="BL122" s="5">
        <f>IF($G$118="Producción",IF($G122&gt;=LI_B,IF($G122&lt;LS_B,$T122,0),0),0)</f>
        <v>0</v>
      </c>
      <c r="BM122" s="5">
        <f>IF($G$118="Producción",IF($G122&gt;=LI_C,IF($G122&lt;LS_C,$T122,0),0),0)</f>
        <v>0</v>
      </c>
      <c r="BN122" s="5">
        <f>IF($G$118="Producción",IF($G122&lt;LS_D,$T122,0),0)</f>
        <v>0</v>
      </c>
      <c r="BO122" s="5">
        <f>IF($G$118="Crecimiento",$T122,0)</f>
        <v>0</v>
      </c>
      <c r="BR122" s="5">
        <f>IF($H$118="Producción",IF($H122&gt;=LI_A,$U122,0),0)</f>
        <v>0</v>
      </c>
      <c r="BS122" s="5">
        <f>IF($H$118="Producción",IF($H122&gt;=LI_B,IF($H122&lt;LS_B,$U122,0),0),0)</f>
        <v>0</v>
      </c>
      <c r="BT122" s="5">
        <f>IF($H$118="Producción",IF($H122&gt;=LI_C,IF($H122&lt;LS_C,$U122,0),0),0)</f>
        <v>0</v>
      </c>
      <c r="BU122" s="5">
        <f>IF($H$118="Producción",IF($H122&lt;LS_D,$U122,0),0)</f>
        <v>0</v>
      </c>
      <c r="BV122" s="5">
        <f>IF($H$118="Crecimiento",$T122,0)</f>
        <v>0</v>
      </c>
      <c r="BY122" s="5">
        <f>IF($I$118="Producción",IF($I122&gt;=LI_A,$V122,0),0)</f>
        <v>0</v>
      </c>
      <c r="BZ122" s="5">
        <f>IF($I$118="Producción",IF($I122&gt;=LI_B,IF($I122&lt;LS_B,$V122,0),0),0)</f>
        <v>0</v>
      </c>
      <c r="CA122" s="5">
        <f>IF($I$118="Producción",IF($I122&gt;=LI_C,IF($I122&lt;LS_C,$V122,0),0),0)</f>
        <v>0</v>
      </c>
      <c r="CB122" s="5">
        <f>IF($I$118="Producción",IF($I122&lt;LS_D,$V122,0),0)</f>
        <v>0</v>
      </c>
      <c r="CC122" s="5">
        <f>IF($I$118="Crecimiento",$V122,0)</f>
        <v>0</v>
      </c>
      <c r="CF122" s="5">
        <f>IF($J$118="Producción",IF($J122&gt;=LI_A,$W122,0),0)</f>
        <v>0</v>
      </c>
      <c r="CG122" s="5">
        <f>IF($J$118="Producción",IF($J122&gt;=LI_B,IF($J122&lt;LS_B,$W122,0),0),0)</f>
        <v>0</v>
      </c>
      <c r="CH122" s="5">
        <f>IF($J$118="Producción",IF($J122&gt;=LI_C,IF($J122&lt;LS_C,$W122,0),0),0)</f>
        <v>0</v>
      </c>
      <c r="CI122" s="5">
        <f>IF($J$118="Producción",IF($J122&lt;LS_D,$W122,0),0)</f>
        <v>0</v>
      </c>
      <c r="CJ122" s="5">
        <f>IF($J$118="Crecimiento",$W122,0)</f>
        <v>0</v>
      </c>
      <c r="CM122" s="5">
        <f>IF($K$118="Producción",IF($K122&gt;=LI_A,$X122,0),0)</f>
        <v>0</v>
      </c>
      <c r="CN122" s="5">
        <f>IF($K$118="Producción",IF($K122&gt;=LI_B,IF($K122&lt;LS_B,$X122,0),0),0)</f>
        <v>0</v>
      </c>
      <c r="CO122" s="5">
        <f>IF($K$118="Producción",IF($K122&gt;=LI_C,IF($K122&lt;LS_C,$X122,0),0),0)</f>
        <v>0</v>
      </c>
      <c r="CP122" s="5">
        <f>IF($K$118="Producción",IF($K122&lt;LS_D,$X122,0),0)</f>
        <v>0</v>
      </c>
      <c r="CQ122" s="5">
        <f>IF($K$118="Crecimiento",$X122,0)</f>
        <v>0</v>
      </c>
      <c r="CT122" s="5">
        <f>IF($L$118="Producción",IF($L122&gt;=LI_A,$Y122,0),0)</f>
        <v>0</v>
      </c>
      <c r="CU122" s="5">
        <f>IF($L$118="Producción",IF($L122&gt;=LI_B,IF($L122&lt;LS_B,$Y122,0),0),0)</f>
        <v>0</v>
      </c>
      <c r="CV122" s="5">
        <f>IF($L$118="Producción",IF($L122&gt;=LI_C,IF($L122&lt;LS_C,$Y122,0),0),0)</f>
        <v>0</v>
      </c>
      <c r="CW122" s="5">
        <f>IF($L$118="Producción",IF($L122&lt;LS_D,$Y122,0),0)</f>
        <v>0</v>
      </c>
      <c r="CX122" s="5">
        <f>IF($L$118="Crecimiento",$Y122,0)</f>
        <v>0</v>
      </c>
      <c r="DA122" s="5">
        <f>IF($M$118="Producción",IF($M122&gt;=LI_A,$Z122,0),0)</f>
        <v>0</v>
      </c>
      <c r="DB122" s="5">
        <f>IF($M$118="Producción",IF($M122&gt;=LI_B,IF($M122&lt;LS_B,$Z122,0),0),0)</f>
        <v>0</v>
      </c>
      <c r="DC122" s="5">
        <f>IF($M$118="Producción",IF($M122&gt;=LI_C,IF($M122&lt;LS_C,$Z122,0),0),0)</f>
        <v>0</v>
      </c>
      <c r="DD122" s="5">
        <f>IF($M$118="Producción",IF($M122&lt;LS_D,$Z122,0),0)</f>
        <v>0</v>
      </c>
      <c r="DE122" s="5">
        <f>IF($M$118="Crecimiento",$Z122,0)</f>
        <v>0</v>
      </c>
      <c r="DI122" s="5">
        <f t="shared" si="873"/>
        <v>0</v>
      </c>
      <c r="DJ122" s="5">
        <f t="shared" si="874"/>
        <v>0</v>
      </c>
      <c r="DK122" s="5">
        <f t="shared" si="875"/>
        <v>0</v>
      </c>
      <c r="DL122" s="5">
        <f t="shared" si="876"/>
        <v>0</v>
      </c>
      <c r="DM122" s="5">
        <f t="shared" si="877"/>
        <v>0</v>
      </c>
      <c r="DN122" s="5">
        <f t="shared" si="878"/>
        <v>0</v>
      </c>
      <c r="DO122" s="5">
        <f t="shared" si="879"/>
        <v>0</v>
      </c>
      <c r="DP122" s="5">
        <f t="shared" si="880"/>
        <v>0</v>
      </c>
      <c r="DQ122" s="5">
        <f t="shared" si="881"/>
        <v>0</v>
      </c>
      <c r="DR122" s="5">
        <f t="shared" si="882"/>
        <v>0</v>
      </c>
      <c r="DS122" s="5">
        <f t="shared" si="883"/>
        <v>0</v>
      </c>
      <c r="DT122" s="5">
        <f t="shared" si="884"/>
        <v>0</v>
      </c>
      <c r="DU122" s="5">
        <f t="shared" si="885"/>
        <v>0</v>
      </c>
      <c r="DV122" s="5">
        <f t="shared" si="886"/>
        <v>0</v>
      </c>
      <c r="DW122" s="5">
        <f t="shared" si="887"/>
        <v>0</v>
      </c>
      <c r="DX122" s="5">
        <f t="shared" si="888"/>
        <v>0</v>
      </c>
      <c r="DY122" s="5">
        <f t="shared" si="889"/>
        <v>0</v>
      </c>
      <c r="DZ122" s="5">
        <f t="shared" si="890"/>
        <v>0</v>
      </c>
      <c r="EA122" s="5">
        <f t="shared" si="891"/>
        <v>0</v>
      </c>
      <c r="EB122" s="5">
        <f t="shared" si="892"/>
        <v>0</v>
      </c>
      <c r="EC122" s="5">
        <f t="shared" si="893"/>
        <v>0</v>
      </c>
      <c r="ED122" s="5">
        <f t="shared" si="894"/>
        <v>0</v>
      </c>
      <c r="EE122" s="5">
        <f t="shared" si="895"/>
        <v>0</v>
      </c>
      <c r="EF122" s="5">
        <f t="shared" si="896"/>
        <v>0</v>
      </c>
      <c r="EG122" s="5">
        <f t="shared" si="897"/>
        <v>0</v>
      </c>
      <c r="EH122" s="5">
        <f t="shared" si="898"/>
        <v>0</v>
      </c>
      <c r="EI122" s="5">
        <f t="shared" si="899"/>
        <v>0</v>
      </c>
      <c r="EJ122" s="5">
        <f t="shared" si="900"/>
        <v>0</v>
      </c>
      <c r="EK122" s="5">
        <f t="shared" si="901"/>
        <v>0</v>
      </c>
      <c r="EL122" s="5">
        <f t="shared" si="902"/>
        <v>0</v>
      </c>
      <c r="EM122" s="5">
        <f t="shared" si="903"/>
        <v>0</v>
      </c>
      <c r="EN122" s="5">
        <f t="shared" si="904"/>
        <v>0</v>
      </c>
      <c r="EO122" s="5">
        <f t="shared" si="905"/>
        <v>0</v>
      </c>
      <c r="EP122" s="5">
        <f t="shared" si="906"/>
        <v>0</v>
      </c>
      <c r="EQ122" s="5">
        <f t="shared" si="907"/>
        <v>0</v>
      </c>
      <c r="ER122" s="5">
        <f t="shared" si="908"/>
        <v>0</v>
      </c>
      <c r="ES122" s="5">
        <f t="shared" si="909"/>
        <v>0</v>
      </c>
      <c r="ET122" s="5">
        <f t="shared" si="910"/>
        <v>0</v>
      </c>
      <c r="EU122" s="5">
        <f t="shared" si="911"/>
        <v>0</v>
      </c>
      <c r="EV122" s="5">
        <f t="shared" si="912"/>
        <v>0</v>
      </c>
      <c r="EW122" s="5">
        <f t="shared" si="913"/>
        <v>0</v>
      </c>
      <c r="EX122" s="5">
        <f t="shared" si="914"/>
        <v>0</v>
      </c>
      <c r="EY122" s="5">
        <f t="shared" si="915"/>
        <v>0</v>
      </c>
      <c r="EZ122" s="5">
        <f t="shared" si="916"/>
        <v>0</v>
      </c>
      <c r="FA122" s="5">
        <f t="shared" si="917"/>
        <v>0</v>
      </c>
      <c r="FB122" s="5">
        <f t="shared" si="918"/>
        <v>0</v>
      </c>
      <c r="FC122" s="5">
        <f t="shared" si="919"/>
        <v>0</v>
      </c>
      <c r="FD122" s="5">
        <f t="shared" si="920"/>
        <v>0</v>
      </c>
      <c r="FE122" s="5">
        <f t="shared" si="921"/>
        <v>0</v>
      </c>
      <c r="FF122" s="5">
        <f t="shared" si="922"/>
        <v>0</v>
      </c>
      <c r="FG122" s="5">
        <f t="shared" si="923"/>
        <v>0</v>
      </c>
      <c r="FH122" s="5">
        <f t="shared" si="924"/>
        <v>0</v>
      </c>
      <c r="FI122" s="5">
        <f t="shared" si="925"/>
        <v>0</v>
      </c>
      <c r="FJ122" s="5">
        <f t="shared" si="926"/>
        <v>0</v>
      </c>
      <c r="FK122" s="5">
        <f t="shared" si="927"/>
        <v>0</v>
      </c>
      <c r="FL122" s="5">
        <f t="shared" si="928"/>
        <v>0</v>
      </c>
      <c r="FM122" s="5">
        <f t="shared" si="929"/>
        <v>0</v>
      </c>
      <c r="FN122" s="5">
        <f t="shared" si="930"/>
        <v>0</v>
      </c>
      <c r="FO122" s="5">
        <f t="shared" si="931"/>
        <v>0</v>
      </c>
      <c r="FP122" s="5">
        <f t="shared" si="932"/>
        <v>0</v>
      </c>
    </row>
    <row r="123" spans="1:172" ht="20.100000000000001" customHeight="1" x14ac:dyDescent="0.3">
      <c r="A123" s="8" t="str">
        <f>IF(Ciclo&gt;2,"Surco 3","NA")</f>
        <v>Surco 3</v>
      </c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O123" s="58">
        <f>IF($A123="NA",0,IFERROR('6'!O$63/Ciclo,0))</f>
        <v>0</v>
      </c>
      <c r="P123" s="58">
        <f>IF($A123="NA",0,IFERROR('6'!P$63/Ciclo,0))</f>
        <v>0</v>
      </c>
      <c r="Q123" s="58">
        <f>IF($A123="NA",0,IFERROR('6'!Q$63/Ciclo,0))</f>
        <v>0</v>
      </c>
      <c r="R123" s="58">
        <f>IF($A123="NA",0,IFERROR('6'!R$63/Ciclo,0))</f>
        <v>0</v>
      </c>
      <c r="S123" s="58">
        <f>IF($A123="NA",0,IFERROR('6'!S$63/Ciclo,0))</f>
        <v>0</v>
      </c>
      <c r="T123" s="58">
        <f>IF($A123="NA",0,IFERROR('6'!T$63/Ciclo,0))</f>
        <v>0</v>
      </c>
      <c r="U123" s="58">
        <f>IF($A123="NA",0,IFERROR('6'!U$63/Ciclo,0))</f>
        <v>0</v>
      </c>
      <c r="V123" s="58">
        <f>IF($A123="NA",0,IFERROR('6'!V$63/Ciclo,0))</f>
        <v>0</v>
      </c>
      <c r="W123" s="5">
        <f>IF($A123="NA",0,IFERROR('6'!W$63/Ciclo,0))</f>
        <v>0</v>
      </c>
      <c r="X123" s="5">
        <f>IF($A123="NA",0,IFERROR('6'!X$63/Ciclo,0))</f>
        <v>0</v>
      </c>
      <c r="Y123" s="5">
        <f>IF($A123="NA",0,IFERROR('6'!Y$63/Ciclo,0))</f>
        <v>0</v>
      </c>
      <c r="Z123" s="5">
        <f>IF($A123="NA",0,IFERROR('6'!Z$63/Ciclo,0))</f>
        <v>0</v>
      </c>
      <c r="AB123" s="5">
        <f>IF($B$118="Producción",IF($B123&gt;=LI_A,$O123,0),0)</f>
        <v>0</v>
      </c>
      <c r="AC123" s="5">
        <f>IF($B$118="Producción",IF($B123&gt;=LI_B,IF($B123&lt;LS_B,$O123,0),0),0)</f>
        <v>0</v>
      </c>
      <c r="AD123" s="5">
        <f>IF($B$118="Producción",IF($B123&gt;=LI_C,IF($B123&lt;LS_C,$O123,0),0),0)</f>
        <v>0</v>
      </c>
      <c r="AE123" s="5">
        <f>IF($B$118="Producción",IF($B123&lt;LS_D,$O123,0),0)</f>
        <v>0</v>
      </c>
      <c r="AF123" s="5">
        <f t="shared" si="933"/>
        <v>0</v>
      </c>
      <c r="AI123" s="5">
        <f>IF($C$118="Producción",IF($C123&gt;=LI_A,$P123,0),0)</f>
        <v>0</v>
      </c>
      <c r="AJ123" s="5">
        <f>IF($C$118="Producción",IF($C123&gt;=LI_B,IF($C123&lt;LS_B,$P123,0),0),0)</f>
        <v>0</v>
      </c>
      <c r="AK123" s="5">
        <f>IF($C$118="Producción",IF($C123&gt;=LI_C,IF($C123&lt;LS_C,$P123,0),0),0)</f>
        <v>0</v>
      </c>
      <c r="AL123" s="5">
        <f>IF($C$118="Producción",IF($C123&lt;LS_D,$P123,0),0)</f>
        <v>0</v>
      </c>
      <c r="AM123" s="5">
        <f>IF($C$118="Crecimiento",$P123,0)</f>
        <v>0</v>
      </c>
      <c r="AP123" s="5">
        <f>IF($D$118="Producción",IF($D123&gt;=LI_A,$Q123,0),0)</f>
        <v>0</v>
      </c>
      <c r="AQ123" s="5">
        <f>IF($D$118="Producción",IF($D123&gt;=LI_B,IF($D123&lt;LS_B,$Q123,0),0),0)</f>
        <v>0</v>
      </c>
      <c r="AR123" s="5">
        <f>IF($D$118="Producción",IF($D123&gt;=LI_C,IF($D123&lt;LS_C,$Q123,0),0),0)</f>
        <v>0</v>
      </c>
      <c r="AS123" s="5">
        <f>IF($D$118="Producción",IF($D123&lt;LS_D,$Q123,0),0)</f>
        <v>0</v>
      </c>
      <c r="AT123" s="5">
        <f>IF($D$118="Crecimiento",IF($D123&gt;0,$Q123,0),0)</f>
        <v>0</v>
      </c>
      <c r="AW123" s="5">
        <f>IF($E$118="Producción",IF($E123&gt;=LI_A,$R123,0),0)</f>
        <v>0</v>
      </c>
      <c r="AX123" s="5">
        <f>IF($E$118="Producción",IF($E123&gt;=LI_B,IF($E123&lt;LS_B,$R123,0),0),0)</f>
        <v>0</v>
      </c>
      <c r="AY123" s="5">
        <f>IF($E$118="Producción",IF($E123&gt;=LI_C,IF($E123&lt;LS_C,$R123,0),0),0)</f>
        <v>0</v>
      </c>
      <c r="AZ123" s="5">
        <f>IF($E$118="Producción",IF($E123&lt;LS_D,$R123,0),0)</f>
        <v>0</v>
      </c>
      <c r="BA123" s="5">
        <f>IF($E$118="Crecimiento",$R123,0)</f>
        <v>0</v>
      </c>
      <c r="BD123" s="5">
        <f>IF($F$118="Producción",IF($F123&gt;=LI_A,$S123,0),0)</f>
        <v>0</v>
      </c>
      <c r="BE123" s="5">
        <f>IF($F$118="Producción",IF($F123&gt;=LI_B,IF($F123&lt;LS_B,$S123,0),0),0)</f>
        <v>0</v>
      </c>
      <c r="BF123" s="5">
        <f>IF($F$118="Producción",IF($F123&gt;=LI_C,IF($F123&lt;LS_C,$S123,0),0),0)</f>
        <v>0</v>
      </c>
      <c r="BG123" s="5">
        <f>IF($F$118="Producción",IF($F123&lt;LS_D,$S123,0),0)</f>
        <v>0</v>
      </c>
      <c r="BH123" s="5">
        <f>IF($F$118="Crecimiento",$S123,0)</f>
        <v>0</v>
      </c>
      <c r="BK123" s="5">
        <f>IF($G$118="Producción",IF($G123&gt;=LI_A,$T123,0),0)</f>
        <v>0</v>
      </c>
      <c r="BL123" s="5">
        <f>IF($G$118="Producción",IF($G123&gt;=LI_B,IF($G123&lt;LS_B,$T123,0),0),0)</f>
        <v>0</v>
      </c>
      <c r="BM123" s="5">
        <f>IF($G$118="Producción",IF($G123&gt;=LI_C,IF($G123&lt;LS_C,$T123,0),0),0)</f>
        <v>0</v>
      </c>
      <c r="BN123" s="5">
        <f>IF($G$118="Producción",IF($G123&lt;LS_D,$T123,0),0)</f>
        <v>0</v>
      </c>
      <c r="BO123" s="5">
        <f>IF($G$118="Crecimiento",$T123,0)</f>
        <v>0</v>
      </c>
      <c r="BR123" s="5">
        <f>IF($H$118="Producción",IF($H123&gt;=LI_A,$U123,0),0)</f>
        <v>0</v>
      </c>
      <c r="BS123" s="5">
        <f>IF($H$118="Producción",IF($H123&gt;=LI_B,IF($H123&lt;LS_B,$U123,0),0),0)</f>
        <v>0</v>
      </c>
      <c r="BT123" s="5">
        <f>IF($H$118="Producción",IF($H123&gt;=LI_C,IF($H123&lt;LS_C,$U123,0),0),0)</f>
        <v>0</v>
      </c>
      <c r="BU123" s="5">
        <f>IF($H$118="Producción",IF($H123&lt;LS_D,$U123,0),0)</f>
        <v>0</v>
      </c>
      <c r="BV123" s="5">
        <f>IF($H$118="Crecimiento",$T123,0)</f>
        <v>0</v>
      </c>
      <c r="BY123" s="5">
        <f>IF($I$118="Producción",IF($I123&gt;=LI_A,$V123,0),0)</f>
        <v>0</v>
      </c>
      <c r="BZ123" s="5">
        <f>IF($I$118="Producción",IF($I123&gt;=LI_B,IF($I123&lt;LS_B,$V123,0),0),0)</f>
        <v>0</v>
      </c>
      <c r="CA123" s="5">
        <f>IF($I$118="Producción",IF($I123&gt;=LI_C,IF($I123&lt;LS_C,$V123,0),0),0)</f>
        <v>0</v>
      </c>
      <c r="CB123" s="5">
        <f>IF($I$118="Producción",IF($I123&lt;LS_D,$V123,0),0)</f>
        <v>0</v>
      </c>
      <c r="CC123" s="5">
        <f>IF($I$118="Crecimiento",$V123,0)</f>
        <v>0</v>
      </c>
      <c r="CF123" s="5">
        <f>IF($J$118="Producción",IF($J123&gt;=LI_A,$W123,0),0)</f>
        <v>0</v>
      </c>
      <c r="CG123" s="5">
        <f>IF($J$118="Producción",IF($J123&gt;=LI_B,IF($J123&lt;LS_B,$W123,0),0),0)</f>
        <v>0</v>
      </c>
      <c r="CH123" s="5">
        <f>IF($J$118="Producción",IF($J123&gt;=LI_C,IF($J123&lt;LS_C,$W123,0),0),0)</f>
        <v>0</v>
      </c>
      <c r="CI123" s="5">
        <f>IF($J$118="Producción",IF($J123&lt;LS_D,$W123,0),0)</f>
        <v>0</v>
      </c>
      <c r="CJ123" s="5">
        <f>IF($J$118="Crecimiento",$W123,0)</f>
        <v>0</v>
      </c>
      <c r="CM123" s="5">
        <f>IF($K$118="Producción",IF($K123&gt;=LI_A,$X123,0),0)</f>
        <v>0</v>
      </c>
      <c r="CN123" s="5">
        <f>IF($K$118="Producción",IF($K123&gt;=LI_B,IF($K123&lt;LS_B,$X123,0),0),0)</f>
        <v>0</v>
      </c>
      <c r="CO123" s="5">
        <f>IF($K$118="Producción",IF($K123&gt;=LI_C,IF($K123&lt;LS_C,$X123,0),0),0)</f>
        <v>0</v>
      </c>
      <c r="CP123" s="5">
        <f>IF($K$118="Producción",IF($K123&lt;LS_D,$X123,0),0)</f>
        <v>0</v>
      </c>
      <c r="CQ123" s="5">
        <f>IF($K$118="Crecimiento",$X123,0)</f>
        <v>0</v>
      </c>
      <c r="CT123" s="5">
        <f>IF($L$118="Producción",IF($L123&gt;=LI_A,$Y123,0),0)</f>
        <v>0</v>
      </c>
      <c r="CU123" s="5">
        <f>IF($L$118="Producción",IF($L123&gt;=LI_B,IF($L123&lt;LS_B,$Y123,0),0),0)</f>
        <v>0</v>
      </c>
      <c r="CV123" s="5">
        <f>IF($L$118="Producción",IF($L123&gt;=LI_C,IF($L123&lt;LS_C,$Y123,0),0),0)</f>
        <v>0</v>
      </c>
      <c r="CW123" s="5">
        <f>IF($L$118="Producción",IF($L123&lt;LS_D,$Y123,0),0)</f>
        <v>0</v>
      </c>
      <c r="CX123" s="5">
        <f>IF($L$118="Crecimiento",$Y123,0)</f>
        <v>0</v>
      </c>
      <c r="DA123" s="5">
        <f>IF($M$118="Producción",IF($M123&gt;=LI_A,$Z123,0),0)</f>
        <v>0</v>
      </c>
      <c r="DB123" s="5">
        <f>IF($M$118="Producción",IF($M123&gt;=LI_B,IF($M123&lt;LS_B,$Z123,0),0),0)</f>
        <v>0</v>
      </c>
      <c r="DC123" s="5">
        <f>IF($M$118="Producción",IF($M123&gt;=LI_C,IF($M123&lt;LS_C,$Z123,0),0),0)</f>
        <v>0</v>
      </c>
      <c r="DD123" s="5">
        <f>IF($M$118="Producción",IF($M123&lt;LS_D,$Z123,0),0)</f>
        <v>0</v>
      </c>
      <c r="DE123" s="5">
        <f>IF($M$118="Crecimiento",$Z123,0)</f>
        <v>0</v>
      </c>
      <c r="DI123" s="5">
        <f t="shared" si="873"/>
        <v>0</v>
      </c>
      <c r="DJ123" s="5">
        <f t="shared" si="874"/>
        <v>0</v>
      </c>
      <c r="DK123" s="5">
        <f t="shared" si="875"/>
        <v>0</v>
      </c>
      <c r="DL123" s="5">
        <f t="shared" si="876"/>
        <v>0</v>
      </c>
      <c r="DM123" s="5">
        <f t="shared" si="877"/>
        <v>0</v>
      </c>
      <c r="DN123" s="5">
        <f t="shared" si="878"/>
        <v>0</v>
      </c>
      <c r="DO123" s="5">
        <f t="shared" si="879"/>
        <v>0</v>
      </c>
      <c r="DP123" s="5">
        <f t="shared" si="880"/>
        <v>0</v>
      </c>
      <c r="DQ123" s="5">
        <f t="shared" si="881"/>
        <v>0</v>
      </c>
      <c r="DR123" s="5">
        <f t="shared" si="882"/>
        <v>0</v>
      </c>
      <c r="DS123" s="5">
        <f t="shared" si="883"/>
        <v>0</v>
      </c>
      <c r="DT123" s="5">
        <f t="shared" si="884"/>
        <v>0</v>
      </c>
      <c r="DU123" s="5">
        <f t="shared" si="885"/>
        <v>0</v>
      </c>
      <c r="DV123" s="5">
        <f t="shared" si="886"/>
        <v>0</v>
      </c>
      <c r="DW123" s="5">
        <f t="shared" si="887"/>
        <v>0</v>
      </c>
      <c r="DX123" s="5">
        <f t="shared" si="888"/>
        <v>0</v>
      </c>
      <c r="DY123" s="5">
        <f t="shared" si="889"/>
        <v>0</v>
      </c>
      <c r="DZ123" s="5">
        <f t="shared" si="890"/>
        <v>0</v>
      </c>
      <c r="EA123" s="5">
        <f t="shared" si="891"/>
        <v>0</v>
      </c>
      <c r="EB123" s="5">
        <f t="shared" si="892"/>
        <v>0</v>
      </c>
      <c r="EC123" s="5">
        <f t="shared" si="893"/>
        <v>0</v>
      </c>
      <c r="ED123" s="5">
        <f t="shared" si="894"/>
        <v>0</v>
      </c>
      <c r="EE123" s="5">
        <f t="shared" si="895"/>
        <v>0</v>
      </c>
      <c r="EF123" s="5">
        <f t="shared" si="896"/>
        <v>0</v>
      </c>
      <c r="EG123" s="5">
        <f t="shared" si="897"/>
        <v>0</v>
      </c>
      <c r="EH123" s="5">
        <f t="shared" si="898"/>
        <v>0</v>
      </c>
      <c r="EI123" s="5">
        <f t="shared" si="899"/>
        <v>0</v>
      </c>
      <c r="EJ123" s="5">
        <f t="shared" si="900"/>
        <v>0</v>
      </c>
      <c r="EK123" s="5">
        <f t="shared" si="901"/>
        <v>0</v>
      </c>
      <c r="EL123" s="5">
        <f t="shared" si="902"/>
        <v>0</v>
      </c>
      <c r="EM123" s="5">
        <f t="shared" si="903"/>
        <v>0</v>
      </c>
      <c r="EN123" s="5">
        <f t="shared" si="904"/>
        <v>0</v>
      </c>
      <c r="EO123" s="5">
        <f t="shared" si="905"/>
        <v>0</v>
      </c>
      <c r="EP123" s="5">
        <f t="shared" si="906"/>
        <v>0</v>
      </c>
      <c r="EQ123" s="5">
        <f t="shared" si="907"/>
        <v>0</v>
      </c>
      <c r="ER123" s="5">
        <f t="shared" si="908"/>
        <v>0</v>
      </c>
      <c r="ES123" s="5">
        <f t="shared" si="909"/>
        <v>0</v>
      </c>
      <c r="ET123" s="5">
        <f t="shared" si="910"/>
        <v>0</v>
      </c>
      <c r="EU123" s="5">
        <f t="shared" si="911"/>
        <v>0</v>
      </c>
      <c r="EV123" s="5">
        <f t="shared" si="912"/>
        <v>0</v>
      </c>
      <c r="EW123" s="5">
        <f t="shared" si="913"/>
        <v>0</v>
      </c>
      <c r="EX123" s="5">
        <f t="shared" si="914"/>
        <v>0</v>
      </c>
      <c r="EY123" s="5">
        <f t="shared" si="915"/>
        <v>0</v>
      </c>
      <c r="EZ123" s="5">
        <f t="shared" si="916"/>
        <v>0</v>
      </c>
      <c r="FA123" s="5">
        <f t="shared" si="917"/>
        <v>0</v>
      </c>
      <c r="FB123" s="5">
        <f t="shared" si="918"/>
        <v>0</v>
      </c>
      <c r="FC123" s="5">
        <f t="shared" si="919"/>
        <v>0</v>
      </c>
      <c r="FD123" s="5">
        <f t="shared" si="920"/>
        <v>0</v>
      </c>
      <c r="FE123" s="5">
        <f t="shared" si="921"/>
        <v>0</v>
      </c>
      <c r="FF123" s="5">
        <f t="shared" si="922"/>
        <v>0</v>
      </c>
      <c r="FG123" s="5">
        <f t="shared" si="923"/>
        <v>0</v>
      </c>
      <c r="FH123" s="5">
        <f t="shared" si="924"/>
        <v>0</v>
      </c>
      <c r="FI123" s="5">
        <f t="shared" si="925"/>
        <v>0</v>
      </c>
      <c r="FJ123" s="5">
        <f t="shared" si="926"/>
        <v>0</v>
      </c>
      <c r="FK123" s="5">
        <f t="shared" si="927"/>
        <v>0</v>
      </c>
      <c r="FL123" s="5">
        <f t="shared" si="928"/>
        <v>0</v>
      </c>
      <c r="FM123" s="5">
        <f t="shared" si="929"/>
        <v>0</v>
      </c>
      <c r="FN123" s="5">
        <f t="shared" si="930"/>
        <v>0</v>
      </c>
      <c r="FO123" s="5">
        <f t="shared" si="931"/>
        <v>0</v>
      </c>
      <c r="FP123" s="5">
        <f t="shared" si="932"/>
        <v>0</v>
      </c>
    </row>
    <row r="124" spans="1:172" ht="20.100000000000001" customHeight="1" x14ac:dyDescent="0.3">
      <c r="A124" s="8" t="str">
        <f>IF(Ciclo=4,"Surco 4",IF(Ciclo=5,"Surco 4","NA"))</f>
        <v>NA</v>
      </c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O124" s="58">
        <f>IF($A124="NA",0,IFERROR('6'!O$63/Ciclo,0))</f>
        <v>0</v>
      </c>
      <c r="P124" s="58">
        <f>IF($A124="NA",0,IFERROR('6'!P$63/Ciclo,0))</f>
        <v>0</v>
      </c>
      <c r="Q124" s="58">
        <f>IF($A124="NA",0,IFERROR('6'!Q$63/Ciclo,0))</f>
        <v>0</v>
      </c>
      <c r="R124" s="58">
        <f>IF($A124="NA",0,IFERROR('6'!R$63/Ciclo,0))</f>
        <v>0</v>
      </c>
      <c r="S124" s="58">
        <f>IF($A124="NA",0,IFERROR('6'!S$63/Ciclo,0))</f>
        <v>0</v>
      </c>
      <c r="T124" s="58">
        <f>IF($A124="NA",0,IFERROR('6'!T$63/Ciclo,0))</f>
        <v>0</v>
      </c>
      <c r="U124" s="58">
        <f>IF($A124="NA",0,IFERROR('6'!U$63/Ciclo,0))</f>
        <v>0</v>
      </c>
      <c r="V124" s="58">
        <f>IF($A124="NA",0,IFERROR('6'!V$63/Ciclo,0))</f>
        <v>0</v>
      </c>
      <c r="W124" s="5">
        <f>IF($A124="NA",0,IFERROR('6'!W$63/Ciclo,0))</f>
        <v>0</v>
      </c>
      <c r="X124" s="5">
        <f>IF($A124="NA",0,IFERROR('6'!X$63/Ciclo,0))</f>
        <v>0</v>
      </c>
      <c r="Y124" s="5">
        <f>IF($A124="NA",0,IFERROR('6'!Y$63/Ciclo,0))</f>
        <v>0</v>
      </c>
      <c r="Z124" s="5">
        <f>IF($A124="NA",0,IFERROR('6'!Z$63/Ciclo,0))</f>
        <v>0</v>
      </c>
      <c r="AB124" s="5">
        <f>IF($B$118="Producción",IF($B124&gt;=LI_A,$O124,0),0)</f>
        <v>0</v>
      </c>
      <c r="AC124" s="5">
        <f>IF($B$118="Producción",IF($B124&gt;=LI_B,IF($B124&lt;LS_B,$O124,0),0),0)</f>
        <v>0</v>
      </c>
      <c r="AD124" s="5">
        <f>IF($B$118="Producción",IF($B124&gt;=LI_C,IF($B124&lt;LS_C,$O124,0),0),0)</f>
        <v>0</v>
      </c>
      <c r="AE124" s="5">
        <f>IF($B$118="Producción",IF($B124&lt;LS_D,$O124,0),0)</f>
        <v>0</v>
      </c>
      <c r="AF124" s="5">
        <f t="shared" si="933"/>
        <v>0</v>
      </c>
      <c r="AI124" s="5">
        <f>IF($C$118="Producción",IF($C124&gt;=LI_A,$P124,0),0)</f>
        <v>0</v>
      </c>
      <c r="AJ124" s="5">
        <f>IF($C$118="Producción",IF($C124&gt;=LI_B,IF($C124&lt;LS_B,$P124,0),0),0)</f>
        <v>0</v>
      </c>
      <c r="AK124" s="5">
        <f>IF($C$118="Producción",IF($C124&gt;=LI_C,IF($C124&lt;LS_C,$P124,0),0),0)</f>
        <v>0</v>
      </c>
      <c r="AL124" s="5">
        <f>IF($C$118="Producción",IF($C124&lt;LS_D,$P124,0),0)</f>
        <v>0</v>
      </c>
      <c r="AM124" s="5">
        <f>IF($C$118="Crecimiento",$P124,0)</f>
        <v>0</v>
      </c>
      <c r="AP124" s="5">
        <f>IF($D$118="Producción",IF($D124&gt;=LI_A,$Q124,0),0)</f>
        <v>0</v>
      </c>
      <c r="AQ124" s="5">
        <f>IF($D$118="Producción",IF($D124&gt;=LI_B,IF($D124&lt;LS_B,$Q124,0),0),0)</f>
        <v>0</v>
      </c>
      <c r="AR124" s="5">
        <f>IF($D$118="Producción",IF($D124&gt;=LI_C,IF($D124&lt;LS_C,$Q124,0),0),0)</f>
        <v>0</v>
      </c>
      <c r="AS124" s="5">
        <f>IF($D$118="Producción",IF($D124&lt;LS_D,$Q124,0),0)</f>
        <v>0</v>
      </c>
      <c r="AT124" s="5">
        <f>IF($D$118="Crecimiento",IF($D124&gt;0,$Q124,0),0)</f>
        <v>0</v>
      </c>
      <c r="AW124" s="5">
        <f>IF($E$118="Producción",IF($E124&gt;=LI_A,$R124,0),0)</f>
        <v>0</v>
      </c>
      <c r="AX124" s="5">
        <f>IF($E$118="Producción",IF($E124&gt;=LI_B,IF($E124&lt;LS_B,$R124,0),0),0)</f>
        <v>0</v>
      </c>
      <c r="AY124" s="5">
        <f>IF($E$118="Producción",IF($E124&gt;=LI_C,IF($E124&lt;LS_C,$R124,0),0),0)</f>
        <v>0</v>
      </c>
      <c r="AZ124" s="5">
        <f>IF($E$118="Producción",IF($E124&lt;LS_D,$R124,0),0)</f>
        <v>0</v>
      </c>
      <c r="BA124" s="5">
        <f>IF($E$118="Crecimiento",$R124,0)</f>
        <v>0</v>
      </c>
      <c r="BD124" s="5">
        <f>IF($F$118="Producción",IF($F124&gt;=LI_A,$S124,0),0)</f>
        <v>0</v>
      </c>
      <c r="BE124" s="5">
        <f>IF($F$118="Producción",IF($F124&gt;=LI_B,IF($F124&lt;LS_B,$S124,0),0),0)</f>
        <v>0</v>
      </c>
      <c r="BF124" s="5">
        <f>IF($F$118="Producción",IF($F124&gt;=LI_C,IF($F124&lt;LS_C,$S124,0),0),0)</f>
        <v>0</v>
      </c>
      <c r="BG124" s="5">
        <f>IF($F$118="Producción",IF($F124&lt;LS_D,$S124,0),0)</f>
        <v>0</v>
      </c>
      <c r="BH124" s="5">
        <f>IF($F$118="Crecimiento",$S124,0)</f>
        <v>0</v>
      </c>
      <c r="BK124" s="5">
        <f>IF($G$118="Producción",IF($G124&gt;=LI_A,$T124,0),0)</f>
        <v>0</v>
      </c>
      <c r="BL124" s="5">
        <f>IF($G$118="Producción",IF($G124&gt;=LI_B,IF($G124&lt;LS_B,$T124,0),0),0)</f>
        <v>0</v>
      </c>
      <c r="BM124" s="5">
        <f>IF($G$118="Producción",IF($G124&gt;=LI_C,IF($G124&lt;LS_C,$T124,0),0),0)</f>
        <v>0</v>
      </c>
      <c r="BN124" s="5">
        <f>IF($G$118="Producción",IF($G124&lt;LS_D,$T124,0),0)</f>
        <v>0</v>
      </c>
      <c r="BO124" s="5">
        <f>IF($G$118="Crecimiento",$T124,0)</f>
        <v>0</v>
      </c>
      <c r="BR124" s="5">
        <f>IF($H$118="Producción",IF($H124&gt;=LI_A,$U124,0),0)</f>
        <v>0</v>
      </c>
      <c r="BS124" s="5">
        <f>IF($H$118="Producción",IF($H124&gt;=LI_B,IF($H124&lt;LS_B,$U124,0),0),0)</f>
        <v>0</v>
      </c>
      <c r="BT124" s="5">
        <f>IF($H$118="Producción",IF($H124&gt;=LI_C,IF($H124&lt;LS_C,$U124,0),0),0)</f>
        <v>0</v>
      </c>
      <c r="BU124" s="5">
        <f>IF($H$118="Producción",IF($H124&lt;LS_D,$U124,0),0)</f>
        <v>0</v>
      </c>
      <c r="BV124" s="5">
        <f>IF($H$118="Crecimiento",$T124,0)</f>
        <v>0</v>
      </c>
      <c r="BY124" s="5">
        <f>IF($I$118="Producción",IF($I124&gt;=LI_A,$V124,0),0)</f>
        <v>0</v>
      </c>
      <c r="BZ124" s="5">
        <f>IF($I$118="Producción",IF($I124&gt;=LI_B,IF($I124&lt;LS_B,$V124,0),0),0)</f>
        <v>0</v>
      </c>
      <c r="CA124" s="5">
        <f>IF($I$118="Producción",IF($I124&gt;=LI_C,IF($I124&lt;LS_C,$V124,0),0),0)</f>
        <v>0</v>
      </c>
      <c r="CB124" s="5">
        <f>IF($I$118="Producción",IF($I124&lt;LS_D,$V124,0),0)</f>
        <v>0</v>
      </c>
      <c r="CC124" s="5">
        <f>IF($I$118="Crecimiento",$V124,0)</f>
        <v>0</v>
      </c>
      <c r="CF124" s="5">
        <f>IF($J$118="Producción",IF($J124&gt;=LI_A,$W124,0),0)</f>
        <v>0</v>
      </c>
      <c r="CG124" s="5">
        <f>IF($J$118="Producción",IF($J124&gt;=LI_B,IF($J124&lt;LS_B,$W124,0),0),0)</f>
        <v>0</v>
      </c>
      <c r="CH124" s="5">
        <f>IF($J$118="Producción",IF($J124&gt;=LI_C,IF($J124&lt;LS_C,$W124,0),0),0)</f>
        <v>0</v>
      </c>
      <c r="CI124" s="5">
        <f>IF($J$118="Producción",IF($J124&lt;LS_D,$W124,0),0)</f>
        <v>0</v>
      </c>
      <c r="CJ124" s="5">
        <f>IF($J$118="Crecimiento",$W124,0)</f>
        <v>0</v>
      </c>
      <c r="CM124" s="5">
        <f>IF($K$118="Producción",IF($K124&gt;=LI_A,$X124,0),0)</f>
        <v>0</v>
      </c>
      <c r="CN124" s="5">
        <f>IF($K$118="Producción",IF($K124&gt;=LI_B,IF($K124&lt;LS_B,$X124,0),0),0)</f>
        <v>0</v>
      </c>
      <c r="CO124" s="5">
        <f>IF($K$118="Producción",IF($K124&gt;=LI_C,IF($K124&lt;LS_C,$X124,0),0),0)</f>
        <v>0</v>
      </c>
      <c r="CP124" s="5">
        <f>IF($K$118="Producción",IF($K124&lt;LS_D,$X124,0),0)</f>
        <v>0</v>
      </c>
      <c r="CQ124" s="5">
        <f>IF($K$118="Crecimiento",$X124,0)</f>
        <v>0</v>
      </c>
      <c r="CT124" s="5">
        <f>IF($L$118="Producción",IF($L124&gt;=LI_A,$Y124,0),0)</f>
        <v>0</v>
      </c>
      <c r="CU124" s="5">
        <f>IF($L$118="Producción",IF($L124&gt;=LI_B,IF($L124&lt;LS_B,$Y124,0),0),0)</f>
        <v>0</v>
      </c>
      <c r="CV124" s="5">
        <f>IF($L$118="Producción",IF($L124&gt;=LI_C,IF($L124&lt;LS_C,$Y124,0),0),0)</f>
        <v>0</v>
      </c>
      <c r="CW124" s="5">
        <f>IF($L$118="Producción",IF($L124&lt;LS_D,$Y124,0),0)</f>
        <v>0</v>
      </c>
      <c r="CX124" s="5">
        <f>IF($L$118="Crecimiento",$Y124,0)</f>
        <v>0</v>
      </c>
      <c r="DA124" s="5">
        <f>IF($M$118="Producción",IF($M124&gt;=LI_A,$Z124,0),0)</f>
        <v>0</v>
      </c>
      <c r="DB124" s="5">
        <f>IF($M$118="Producción",IF($M124&gt;=LI_B,IF($M124&lt;LS_B,$Z124,0),0),0)</f>
        <v>0</v>
      </c>
      <c r="DC124" s="5">
        <f>IF($M$118="Producción",IF($M124&gt;=LI_C,IF($M124&lt;LS_C,$Z124,0),0),0)</f>
        <v>0</v>
      </c>
      <c r="DD124" s="5">
        <f>IF($M$118="Producción",IF($M124&lt;LS_D,$Z124,0),0)</f>
        <v>0</v>
      </c>
      <c r="DE124" s="5">
        <f>IF($M$118="Crecimiento",$Z124,0)</f>
        <v>0</v>
      </c>
      <c r="DI124" s="5">
        <f t="shared" si="873"/>
        <v>0</v>
      </c>
      <c r="DJ124" s="5">
        <f t="shared" si="874"/>
        <v>0</v>
      </c>
      <c r="DK124" s="5">
        <f t="shared" si="875"/>
        <v>0</v>
      </c>
      <c r="DL124" s="5">
        <f t="shared" si="876"/>
        <v>0</v>
      </c>
      <c r="DM124" s="5">
        <f t="shared" si="877"/>
        <v>0</v>
      </c>
      <c r="DN124" s="5">
        <f t="shared" si="878"/>
        <v>0</v>
      </c>
      <c r="DO124" s="5">
        <f t="shared" si="879"/>
        <v>0</v>
      </c>
      <c r="DP124" s="5">
        <f t="shared" si="880"/>
        <v>0</v>
      </c>
      <c r="DQ124" s="5">
        <f t="shared" si="881"/>
        <v>0</v>
      </c>
      <c r="DR124" s="5">
        <f t="shared" si="882"/>
        <v>0</v>
      </c>
      <c r="DS124" s="5">
        <f t="shared" si="883"/>
        <v>0</v>
      </c>
      <c r="DT124" s="5">
        <f t="shared" si="884"/>
        <v>0</v>
      </c>
      <c r="DU124" s="5">
        <f t="shared" si="885"/>
        <v>0</v>
      </c>
      <c r="DV124" s="5">
        <f t="shared" si="886"/>
        <v>0</v>
      </c>
      <c r="DW124" s="5">
        <f t="shared" si="887"/>
        <v>0</v>
      </c>
      <c r="DX124" s="5">
        <f t="shared" si="888"/>
        <v>0</v>
      </c>
      <c r="DY124" s="5">
        <f t="shared" si="889"/>
        <v>0</v>
      </c>
      <c r="DZ124" s="5">
        <f t="shared" si="890"/>
        <v>0</v>
      </c>
      <c r="EA124" s="5">
        <f t="shared" si="891"/>
        <v>0</v>
      </c>
      <c r="EB124" s="5">
        <f t="shared" si="892"/>
        <v>0</v>
      </c>
      <c r="EC124" s="5">
        <f t="shared" si="893"/>
        <v>0</v>
      </c>
      <c r="ED124" s="5">
        <f t="shared" si="894"/>
        <v>0</v>
      </c>
      <c r="EE124" s="5">
        <f t="shared" si="895"/>
        <v>0</v>
      </c>
      <c r="EF124" s="5">
        <f t="shared" si="896"/>
        <v>0</v>
      </c>
      <c r="EG124" s="5">
        <f t="shared" si="897"/>
        <v>0</v>
      </c>
      <c r="EH124" s="5">
        <f t="shared" si="898"/>
        <v>0</v>
      </c>
      <c r="EI124" s="5">
        <f t="shared" si="899"/>
        <v>0</v>
      </c>
      <c r="EJ124" s="5">
        <f t="shared" si="900"/>
        <v>0</v>
      </c>
      <c r="EK124" s="5">
        <f t="shared" si="901"/>
        <v>0</v>
      </c>
      <c r="EL124" s="5">
        <f t="shared" si="902"/>
        <v>0</v>
      </c>
      <c r="EM124" s="5">
        <f t="shared" si="903"/>
        <v>0</v>
      </c>
      <c r="EN124" s="5">
        <f t="shared" si="904"/>
        <v>0</v>
      </c>
      <c r="EO124" s="5">
        <f t="shared" si="905"/>
        <v>0</v>
      </c>
      <c r="EP124" s="5">
        <f t="shared" si="906"/>
        <v>0</v>
      </c>
      <c r="EQ124" s="5">
        <f t="shared" si="907"/>
        <v>0</v>
      </c>
      <c r="ER124" s="5">
        <f t="shared" si="908"/>
        <v>0</v>
      </c>
      <c r="ES124" s="5">
        <f t="shared" si="909"/>
        <v>0</v>
      </c>
      <c r="ET124" s="5">
        <f t="shared" si="910"/>
        <v>0</v>
      </c>
      <c r="EU124" s="5">
        <f t="shared" si="911"/>
        <v>0</v>
      </c>
      <c r="EV124" s="5">
        <f t="shared" si="912"/>
        <v>0</v>
      </c>
      <c r="EW124" s="5">
        <f t="shared" si="913"/>
        <v>0</v>
      </c>
      <c r="EX124" s="5">
        <f t="shared" si="914"/>
        <v>0</v>
      </c>
      <c r="EY124" s="5">
        <f t="shared" si="915"/>
        <v>0</v>
      </c>
      <c r="EZ124" s="5">
        <f t="shared" si="916"/>
        <v>0</v>
      </c>
      <c r="FA124" s="5">
        <f t="shared" si="917"/>
        <v>0</v>
      </c>
      <c r="FB124" s="5">
        <f t="shared" si="918"/>
        <v>0</v>
      </c>
      <c r="FC124" s="5">
        <f t="shared" si="919"/>
        <v>0</v>
      </c>
      <c r="FD124" s="5">
        <f t="shared" si="920"/>
        <v>0</v>
      </c>
      <c r="FE124" s="5">
        <f t="shared" si="921"/>
        <v>0</v>
      </c>
      <c r="FF124" s="5">
        <f t="shared" si="922"/>
        <v>0</v>
      </c>
      <c r="FG124" s="5">
        <f t="shared" si="923"/>
        <v>0</v>
      </c>
      <c r="FH124" s="5">
        <f t="shared" si="924"/>
        <v>0</v>
      </c>
      <c r="FI124" s="5">
        <f t="shared" si="925"/>
        <v>0</v>
      </c>
      <c r="FJ124" s="5">
        <f t="shared" si="926"/>
        <v>0</v>
      </c>
      <c r="FK124" s="5">
        <f t="shared" si="927"/>
        <v>0</v>
      </c>
      <c r="FL124" s="5">
        <f t="shared" si="928"/>
        <v>0</v>
      </c>
      <c r="FM124" s="5">
        <f t="shared" si="929"/>
        <v>0</v>
      </c>
      <c r="FN124" s="5">
        <f t="shared" si="930"/>
        <v>0</v>
      </c>
      <c r="FO124" s="5">
        <f t="shared" si="931"/>
        <v>0</v>
      </c>
      <c r="FP124" s="5">
        <f t="shared" si="932"/>
        <v>0</v>
      </c>
    </row>
    <row r="125" spans="1:172" ht="20.100000000000001" customHeight="1" x14ac:dyDescent="0.3">
      <c r="A125" s="9" t="str">
        <f>IF(Ciclo=5,"Surco 5","NA")</f>
        <v>NA</v>
      </c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O125" s="58">
        <f>IF($A125="NA",0,IFERROR('6'!O$63/Ciclo,0))</f>
        <v>0</v>
      </c>
      <c r="P125" s="58">
        <f>IF($A125="NA",0,IFERROR('6'!P$63/Ciclo,0))</f>
        <v>0</v>
      </c>
      <c r="Q125" s="58">
        <f>IF($A125="NA",0,IFERROR('6'!Q$63/Ciclo,0))</f>
        <v>0</v>
      </c>
      <c r="R125" s="58">
        <f>IF($A125="NA",0,IFERROR('6'!R$63/Ciclo,0))</f>
        <v>0</v>
      </c>
      <c r="S125" s="58">
        <f>IF($A125="NA",0,IFERROR('6'!S$63/Ciclo,0))</f>
        <v>0</v>
      </c>
      <c r="T125" s="58">
        <f>IF($A125="NA",0,IFERROR('6'!T$63/Ciclo,0))</f>
        <v>0</v>
      </c>
      <c r="U125" s="58">
        <f>IF($A125="NA",0,IFERROR('6'!U$63/Ciclo,0))</f>
        <v>0</v>
      </c>
      <c r="V125" s="58">
        <f>IF($A125="NA",0,IFERROR('6'!V$63/Ciclo,0))</f>
        <v>0</v>
      </c>
      <c r="W125" s="5">
        <f>IF($A125="NA",0,IFERROR('6'!W$63/Ciclo,0))</f>
        <v>0</v>
      </c>
      <c r="X125" s="5">
        <f>IF($A125="NA",0,IFERROR('6'!X$63/Ciclo,0))</f>
        <v>0</v>
      </c>
      <c r="Y125" s="5">
        <f>IF($A125="NA",0,IFERROR('6'!Y$63/Ciclo,0))</f>
        <v>0</v>
      </c>
      <c r="Z125" s="5">
        <f>IF($A125="NA",0,IFERROR('6'!Z$63/Ciclo,0))</f>
        <v>0</v>
      </c>
      <c r="AB125" s="5">
        <f>IF($B$118="Producción",IF($B125&gt;=LI_A,$O125,0),0)</f>
        <v>0</v>
      </c>
      <c r="AC125" s="5">
        <f>IF($B$118="Producción",IF($B125&gt;=LI_B,IF($B125&lt;LS_B,$O125,0),0),0)</f>
        <v>0</v>
      </c>
      <c r="AD125" s="5">
        <f>IF($B$118="Producción",IF($B125&gt;=LI_C,IF($B125&lt;LS_C,$O125,0),0),0)</f>
        <v>0</v>
      </c>
      <c r="AE125" s="5">
        <f>IF($B$118="Producción",IF($B125&lt;LS_D,$O125,0),0)</f>
        <v>0</v>
      </c>
      <c r="AF125" s="5">
        <f t="shared" si="933"/>
        <v>0</v>
      </c>
      <c r="AI125" s="5">
        <f>IF($C$118="Producción",IF($C125&gt;=LI_A,$P125,0),0)</f>
        <v>0</v>
      </c>
      <c r="AJ125" s="5">
        <f>IF($C$118="Producción",IF($C125&gt;=LI_B,IF($C125&lt;LS_B,$P125,0),0),0)</f>
        <v>0</v>
      </c>
      <c r="AK125" s="5">
        <f>IF($C$118="Producción",IF($C125&gt;=LI_C,IF($C125&lt;LS_C,$P125,0),0),0)</f>
        <v>0</v>
      </c>
      <c r="AL125" s="5">
        <f>IF($C$118="Producción",IF($C125&lt;LS_D,$P125,0),0)</f>
        <v>0</v>
      </c>
      <c r="AM125" s="5">
        <f>IF($C$118="Crecimiento",$P125,0)</f>
        <v>0</v>
      </c>
      <c r="AP125" s="5">
        <f>IF($D$118="Producción",IF($D125&gt;=LI_A,$Q125,0),0)</f>
        <v>0</v>
      </c>
      <c r="AQ125" s="5">
        <f>IF($D$118="Producción",IF($D125&gt;=LI_B,IF($D125&lt;LS_B,$Q125,0),0),0)</f>
        <v>0</v>
      </c>
      <c r="AR125" s="5">
        <f>IF($D$118="Producción",IF($D125&gt;=LI_C,IF($D125&lt;LS_C,$Q125,0),0),0)</f>
        <v>0</v>
      </c>
      <c r="AS125" s="5">
        <f>IF($D$118="Producción",IF($D125&lt;LS_D,$Q125,0),0)</f>
        <v>0</v>
      </c>
      <c r="AT125" s="5">
        <f>IF($D$118="Crecimiento",IF($D125&gt;0,$Q125,0),0)</f>
        <v>0</v>
      </c>
      <c r="AW125" s="5">
        <f>IF($E$118="Producción",IF($E125&gt;=LI_A,$R125,0),0)</f>
        <v>0</v>
      </c>
      <c r="AX125" s="5">
        <f>IF($E$118="Producción",IF($E125&gt;=LI_B,IF($E125&lt;LS_B,$R125,0),0),0)</f>
        <v>0</v>
      </c>
      <c r="AY125" s="5">
        <f>IF($E$118="Producción",IF($E125&gt;=LI_C,IF($E125&lt;LS_C,$R125,0),0),0)</f>
        <v>0</v>
      </c>
      <c r="AZ125" s="5">
        <f>IF($E$118="Producción",IF($E125&lt;LS_D,$R125,0),0)</f>
        <v>0</v>
      </c>
      <c r="BA125" s="5">
        <f>IF($E$118="Crecimiento",$R125,0)</f>
        <v>0</v>
      </c>
      <c r="BD125" s="5">
        <f>IF($F$118="Producción",IF($F125&gt;=LI_A,$S125,0),0)</f>
        <v>0</v>
      </c>
      <c r="BE125" s="5">
        <f>IF($F$118="Producción",IF($F125&gt;=LI_B,IF($F125&lt;LS_B,$S125,0),0),0)</f>
        <v>0</v>
      </c>
      <c r="BF125" s="5">
        <f>IF($F$118="Producción",IF($F125&gt;=LI_C,IF($F125&lt;LS_C,$S125,0),0),0)</f>
        <v>0</v>
      </c>
      <c r="BG125" s="5">
        <f>IF($F$118="Producción",IF($F125&lt;LS_D,$S125,0),0)</f>
        <v>0</v>
      </c>
      <c r="BH125" s="5">
        <f>IF($F$118="Crecimiento",$S125,0)</f>
        <v>0</v>
      </c>
      <c r="BK125" s="5">
        <f>IF($G$118="Producción",IF($G125&gt;=LI_A,$T125,0),0)</f>
        <v>0</v>
      </c>
      <c r="BL125" s="5">
        <f>IF($G$118="Producción",IF($G125&gt;=LI_B,IF($G125&lt;LS_B,$T125,0),0),0)</f>
        <v>0</v>
      </c>
      <c r="BM125" s="5">
        <f>IF($G$118="Producción",IF($G125&gt;=LI_C,IF($G125&lt;LS_C,$T125,0),0),0)</f>
        <v>0</v>
      </c>
      <c r="BN125" s="5">
        <f>IF($G$118="Producción",IF($G125&lt;LS_D,$T125,0),0)</f>
        <v>0</v>
      </c>
      <c r="BO125" s="5">
        <f>IF($G$118="Crecimiento",$T125,0)</f>
        <v>0</v>
      </c>
      <c r="BR125" s="5">
        <f>IF($H$118="Producción",IF($H125&gt;=LI_A,$U125,0),0)</f>
        <v>0</v>
      </c>
      <c r="BS125" s="5">
        <f>IF($H$118="Producción",IF($H125&gt;=LI_B,IF($H125&lt;LS_B,$U125,0),0),0)</f>
        <v>0</v>
      </c>
      <c r="BT125" s="5">
        <f>IF($H$118="Producción",IF($H125&gt;=LI_C,IF($H125&lt;LS_C,$U125,0),0),0)</f>
        <v>0</v>
      </c>
      <c r="BU125" s="5">
        <f>IF($H$118="Producción",IF($H125&lt;LS_D,$U125,0),0)</f>
        <v>0</v>
      </c>
      <c r="BV125" s="5">
        <f>IF($H$118="Crecimiento",$T125,0)</f>
        <v>0</v>
      </c>
      <c r="BY125" s="5">
        <f>IF($I$118="Producción",IF($I125&gt;=LI_A,$V125,0),0)</f>
        <v>0</v>
      </c>
      <c r="BZ125" s="5">
        <f>IF($I$118="Producción",IF($I125&gt;=LI_B,IF($I125&lt;LS_B,$V125,0),0),0)</f>
        <v>0</v>
      </c>
      <c r="CA125" s="5">
        <f>IF($I$118="Producción",IF($I125&gt;=LI_C,IF($I125&lt;LS_C,$V125,0),0),0)</f>
        <v>0</v>
      </c>
      <c r="CB125" s="5">
        <f>IF($I$118="Producción",IF($I125&lt;LS_D,$V125,0),0)</f>
        <v>0</v>
      </c>
      <c r="CC125" s="5">
        <f>IF($I$118="Crecimiento",$V125,0)</f>
        <v>0</v>
      </c>
      <c r="CF125" s="5">
        <f>IF($J$118="Producción",IF($J125&gt;=LI_A,$W125,0),0)</f>
        <v>0</v>
      </c>
      <c r="CG125" s="5">
        <f>IF($J$118="Producción",IF($J125&gt;=LI_B,IF($J125&lt;LS_B,$W125,0),0),0)</f>
        <v>0</v>
      </c>
      <c r="CH125" s="5">
        <f>IF($J$118="Producción",IF($J125&gt;=LI_C,IF($J125&lt;LS_C,$W125,0),0),0)</f>
        <v>0</v>
      </c>
      <c r="CI125" s="5">
        <f>IF($J$118="Producción",IF($J125&lt;LS_D,$W125,0),0)</f>
        <v>0</v>
      </c>
      <c r="CJ125" s="5">
        <f>IF($J$118="Crecimiento",$W125,0)</f>
        <v>0</v>
      </c>
      <c r="CM125" s="5">
        <f>IF($K$118="Producción",IF($K125&gt;=LI_A,$X125,0),0)</f>
        <v>0</v>
      </c>
      <c r="CN125" s="5">
        <f>IF($K$118="Producción",IF($K125&gt;=LI_B,IF($K125&lt;LS_B,$X125,0),0),0)</f>
        <v>0</v>
      </c>
      <c r="CO125" s="5">
        <f>IF($K$118="Producción",IF($K125&gt;=LI_C,IF($K125&lt;LS_C,$X125,0),0),0)</f>
        <v>0</v>
      </c>
      <c r="CP125" s="5">
        <f>IF($K$118="Producción",IF($K125&lt;LS_D,$X125,0),0)</f>
        <v>0</v>
      </c>
      <c r="CQ125" s="5">
        <f>IF($K$118="Crecimiento",$X125,0)</f>
        <v>0</v>
      </c>
      <c r="CT125" s="5">
        <f>IF($L$118="Producción",IF($L125&gt;=LI_A,$Y125,0),0)</f>
        <v>0</v>
      </c>
      <c r="CU125" s="5">
        <f>IF($L$118="Producción",IF($L125&gt;=LI_B,IF($L125&lt;LS_B,$Y125,0),0),0)</f>
        <v>0</v>
      </c>
      <c r="CV125" s="5">
        <f>IF($L$118="Producción",IF($L125&gt;=LI_C,IF($L125&lt;LS_C,$Y125,0),0),0)</f>
        <v>0</v>
      </c>
      <c r="CW125" s="5">
        <f>IF($L$118="Producción",IF($L125&lt;LS_D,$Y125,0),0)</f>
        <v>0</v>
      </c>
      <c r="CX125" s="5">
        <f>IF($L$118="Crecimiento",$Y125,0)</f>
        <v>0</v>
      </c>
      <c r="DA125" s="5">
        <f>IF($M$118="Producción",IF($M125&gt;=LI_A,$Z125,0),0)</f>
        <v>0</v>
      </c>
      <c r="DB125" s="5">
        <f>IF($M$118="Producción",IF($M125&gt;=LI_B,IF($M125&lt;LS_B,$Z125,0),0),0)</f>
        <v>0</v>
      </c>
      <c r="DC125" s="5">
        <f>IF($M$118="Producción",IF($M125&gt;=LI_C,IF($M125&lt;LS_C,$Z125,0),0),0)</f>
        <v>0</v>
      </c>
      <c r="DD125" s="5">
        <f>IF($M$118="Producción",IF($M125&lt;LS_D,$Z125,0),0)</f>
        <v>0</v>
      </c>
      <c r="DE125" s="5">
        <f>IF($M$118="Crecimiento",$Z125,0)</f>
        <v>0</v>
      </c>
      <c r="DI125" s="5">
        <f t="shared" si="873"/>
        <v>0</v>
      </c>
      <c r="DJ125" s="5">
        <f t="shared" si="874"/>
        <v>0</v>
      </c>
      <c r="DK125" s="5">
        <f t="shared" si="875"/>
        <v>0</v>
      </c>
      <c r="DL125" s="5">
        <f t="shared" si="876"/>
        <v>0</v>
      </c>
      <c r="DM125" s="5">
        <f t="shared" si="877"/>
        <v>0</v>
      </c>
      <c r="DN125" s="5">
        <f t="shared" si="878"/>
        <v>0</v>
      </c>
      <c r="DO125" s="5">
        <f t="shared" si="879"/>
        <v>0</v>
      </c>
      <c r="DP125" s="5">
        <f t="shared" si="880"/>
        <v>0</v>
      </c>
      <c r="DQ125" s="5">
        <f t="shared" si="881"/>
        <v>0</v>
      </c>
      <c r="DR125" s="5">
        <f t="shared" si="882"/>
        <v>0</v>
      </c>
      <c r="DS125" s="5">
        <f t="shared" si="883"/>
        <v>0</v>
      </c>
      <c r="DT125" s="5">
        <f t="shared" si="884"/>
        <v>0</v>
      </c>
      <c r="DU125" s="5">
        <f t="shared" si="885"/>
        <v>0</v>
      </c>
      <c r="DV125" s="5">
        <f t="shared" si="886"/>
        <v>0</v>
      </c>
      <c r="DW125" s="5">
        <f t="shared" si="887"/>
        <v>0</v>
      </c>
      <c r="DX125" s="5">
        <f t="shared" si="888"/>
        <v>0</v>
      </c>
      <c r="DY125" s="5">
        <f t="shared" si="889"/>
        <v>0</v>
      </c>
      <c r="DZ125" s="5">
        <f t="shared" si="890"/>
        <v>0</v>
      </c>
      <c r="EA125" s="5">
        <f t="shared" si="891"/>
        <v>0</v>
      </c>
      <c r="EB125" s="5">
        <f t="shared" si="892"/>
        <v>0</v>
      </c>
      <c r="EC125" s="5">
        <f t="shared" si="893"/>
        <v>0</v>
      </c>
      <c r="ED125" s="5">
        <f t="shared" si="894"/>
        <v>0</v>
      </c>
      <c r="EE125" s="5">
        <f t="shared" si="895"/>
        <v>0</v>
      </c>
      <c r="EF125" s="5">
        <f t="shared" si="896"/>
        <v>0</v>
      </c>
      <c r="EG125" s="5">
        <f t="shared" si="897"/>
        <v>0</v>
      </c>
      <c r="EH125" s="5">
        <f t="shared" si="898"/>
        <v>0</v>
      </c>
      <c r="EI125" s="5">
        <f t="shared" si="899"/>
        <v>0</v>
      </c>
      <c r="EJ125" s="5">
        <f t="shared" si="900"/>
        <v>0</v>
      </c>
      <c r="EK125" s="5">
        <f t="shared" si="901"/>
        <v>0</v>
      </c>
      <c r="EL125" s="5">
        <f t="shared" si="902"/>
        <v>0</v>
      </c>
      <c r="EM125" s="5">
        <f t="shared" si="903"/>
        <v>0</v>
      </c>
      <c r="EN125" s="5">
        <f t="shared" si="904"/>
        <v>0</v>
      </c>
      <c r="EO125" s="5">
        <f t="shared" si="905"/>
        <v>0</v>
      </c>
      <c r="EP125" s="5">
        <f t="shared" si="906"/>
        <v>0</v>
      </c>
      <c r="EQ125" s="5">
        <f t="shared" si="907"/>
        <v>0</v>
      </c>
      <c r="ER125" s="5">
        <f t="shared" si="908"/>
        <v>0</v>
      </c>
      <c r="ES125" s="5">
        <f t="shared" si="909"/>
        <v>0</v>
      </c>
      <c r="ET125" s="5">
        <f t="shared" si="910"/>
        <v>0</v>
      </c>
      <c r="EU125" s="5">
        <f t="shared" si="911"/>
        <v>0</v>
      </c>
      <c r="EV125" s="5">
        <f t="shared" si="912"/>
        <v>0</v>
      </c>
      <c r="EW125" s="5">
        <f t="shared" si="913"/>
        <v>0</v>
      </c>
      <c r="EX125" s="5">
        <f t="shared" si="914"/>
        <v>0</v>
      </c>
      <c r="EY125" s="5">
        <f t="shared" si="915"/>
        <v>0</v>
      </c>
      <c r="EZ125" s="5">
        <f t="shared" si="916"/>
        <v>0</v>
      </c>
      <c r="FA125" s="5">
        <f t="shared" si="917"/>
        <v>0</v>
      </c>
      <c r="FB125" s="5">
        <f t="shared" si="918"/>
        <v>0</v>
      </c>
      <c r="FC125" s="5">
        <f t="shared" si="919"/>
        <v>0</v>
      </c>
      <c r="FD125" s="5">
        <f t="shared" si="920"/>
        <v>0</v>
      </c>
      <c r="FE125" s="5">
        <f t="shared" si="921"/>
        <v>0</v>
      </c>
      <c r="FF125" s="5">
        <f t="shared" si="922"/>
        <v>0</v>
      </c>
      <c r="FG125" s="5">
        <f t="shared" si="923"/>
        <v>0</v>
      </c>
      <c r="FH125" s="5">
        <f t="shared" si="924"/>
        <v>0</v>
      </c>
      <c r="FI125" s="5">
        <f t="shared" si="925"/>
        <v>0</v>
      </c>
      <c r="FJ125" s="5">
        <f t="shared" si="926"/>
        <v>0</v>
      </c>
      <c r="FK125" s="5">
        <f t="shared" si="927"/>
        <v>0</v>
      </c>
      <c r="FL125" s="5">
        <f t="shared" si="928"/>
        <v>0</v>
      </c>
      <c r="FM125" s="5">
        <f t="shared" si="929"/>
        <v>0</v>
      </c>
      <c r="FN125" s="5">
        <f t="shared" si="930"/>
        <v>0</v>
      </c>
      <c r="FO125" s="5">
        <f t="shared" si="931"/>
        <v>0</v>
      </c>
      <c r="FP125" s="5">
        <f t="shared" si="932"/>
        <v>0</v>
      </c>
    </row>
    <row r="126" spans="1:172" ht="20.100000000000001" customHeight="1" x14ac:dyDescent="0.3">
      <c r="A126" s="172">
        <f>N_L16</f>
        <v>0</v>
      </c>
      <c r="B126" s="363" t="s">
        <v>37</v>
      </c>
      <c r="C126" s="363" t="s">
        <v>37</v>
      </c>
      <c r="D126" s="363" t="s">
        <v>37</v>
      </c>
      <c r="E126" s="363" t="s">
        <v>37</v>
      </c>
      <c r="F126" s="363" t="s">
        <v>37</v>
      </c>
      <c r="G126" s="363" t="s">
        <v>37</v>
      </c>
      <c r="H126" s="363" t="s">
        <v>37</v>
      </c>
      <c r="I126" s="363" t="s">
        <v>37</v>
      </c>
      <c r="J126" s="363" t="s">
        <v>37</v>
      </c>
      <c r="K126" s="363" t="s">
        <v>37</v>
      </c>
      <c r="L126" s="363" t="s">
        <v>37</v>
      </c>
      <c r="M126" s="363" t="s">
        <v>37</v>
      </c>
    </row>
    <row r="127" spans="1:172" ht="20.100000000000001" customHeight="1" x14ac:dyDescent="0.3">
      <c r="A127" s="175" t="s">
        <v>238</v>
      </c>
      <c r="B127" s="174">
        <f>SUM(DI129:DM133)/100</f>
        <v>0</v>
      </c>
      <c r="C127" s="174">
        <f>SUM(DN129:DR133)/100</f>
        <v>0</v>
      </c>
      <c r="D127" s="174">
        <f>SUM(DS129:DW133)/100</f>
        <v>0</v>
      </c>
      <c r="E127" s="174">
        <f>SUM(DX129:EB133)/100</f>
        <v>0</v>
      </c>
      <c r="F127" s="174">
        <f>SUM(EC129:EG133)/100</f>
        <v>0</v>
      </c>
      <c r="G127" s="174">
        <f>SUM(EH129:EL133)/100</f>
        <v>0</v>
      </c>
      <c r="H127" s="174">
        <f>SUM(EM129:EQ133)/100</f>
        <v>0</v>
      </c>
      <c r="I127" s="174">
        <f>SUM(ER129:EV133)/100</f>
        <v>0</v>
      </c>
      <c r="J127" s="174">
        <f>SUM(EW129:FA133)/100</f>
        <v>0</v>
      </c>
      <c r="K127" s="174">
        <f>SUM(FB129:FF133)/100</f>
        <v>0</v>
      </c>
      <c r="L127" s="174">
        <f>SUM(FG129:FK133)/100</f>
        <v>0</v>
      </c>
      <c r="M127" s="174">
        <f>SUM(FL129:FP133)/100</f>
        <v>0</v>
      </c>
    </row>
    <row r="128" spans="1:172" ht="20.100000000000001" customHeight="1" x14ac:dyDescent="0.3">
      <c r="A128" s="151" t="s">
        <v>239</v>
      </c>
      <c r="B128" s="152" t="e">
        <f t="shared" ref="B128:M128" si="934">B127/Lote_16</f>
        <v>#DIV/0!</v>
      </c>
      <c r="C128" s="152" t="e">
        <f t="shared" si="934"/>
        <v>#DIV/0!</v>
      </c>
      <c r="D128" s="152" t="e">
        <f t="shared" si="934"/>
        <v>#DIV/0!</v>
      </c>
      <c r="E128" s="152" t="e">
        <f t="shared" si="934"/>
        <v>#DIV/0!</v>
      </c>
      <c r="F128" s="152" t="e">
        <f t="shared" si="934"/>
        <v>#DIV/0!</v>
      </c>
      <c r="G128" s="152" t="e">
        <f t="shared" si="934"/>
        <v>#DIV/0!</v>
      </c>
      <c r="H128" s="152" t="e">
        <f t="shared" si="934"/>
        <v>#DIV/0!</v>
      </c>
      <c r="I128" s="152" t="e">
        <f t="shared" si="934"/>
        <v>#DIV/0!</v>
      </c>
      <c r="J128" s="152" t="e">
        <f t="shared" si="934"/>
        <v>#DIV/0!</v>
      </c>
      <c r="K128" s="152" t="e">
        <f t="shared" si="934"/>
        <v>#DIV/0!</v>
      </c>
      <c r="L128" s="152" t="e">
        <f t="shared" si="934"/>
        <v>#DIV/0!</v>
      </c>
      <c r="M128" s="152" t="e">
        <f t="shared" si="934"/>
        <v>#DIV/0!</v>
      </c>
    </row>
    <row r="129" spans="1:172" ht="20.100000000000001" customHeight="1" x14ac:dyDescent="0.3">
      <c r="A129" s="8" t="s">
        <v>302</v>
      </c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O129" s="58">
        <f>IFERROR('6'!O$67/Ciclo,0)</f>
        <v>0</v>
      </c>
      <c r="P129" s="58">
        <f>IFERROR('6'!P$67/Ciclo,0)</f>
        <v>0</v>
      </c>
      <c r="Q129" s="58">
        <f>IFERROR('6'!Q$67/Ciclo,0)</f>
        <v>0</v>
      </c>
      <c r="R129" s="58">
        <f>IFERROR('6'!R$67/Ciclo,0)</f>
        <v>0</v>
      </c>
      <c r="S129" s="58">
        <f>IFERROR('6'!S$67/Ciclo,0)</f>
        <v>0</v>
      </c>
      <c r="T129" s="58">
        <f>IFERROR('6'!T$67/Ciclo,0)</f>
        <v>0</v>
      </c>
      <c r="U129" s="58">
        <f>IFERROR('6'!U$67/Ciclo,0)</f>
        <v>0</v>
      </c>
      <c r="V129" s="58">
        <f>IFERROR('6'!V$67/Ciclo,0)</f>
        <v>0</v>
      </c>
      <c r="W129" s="5">
        <f>IFERROR('6'!W$67/Ciclo,0)</f>
        <v>0</v>
      </c>
      <c r="X129" s="5">
        <f>IFERROR('6'!X$67/Ciclo,0)</f>
        <v>0</v>
      </c>
      <c r="Y129" s="5">
        <f>IFERROR('6'!Y$67/Ciclo,0)</f>
        <v>0</v>
      </c>
      <c r="Z129" s="5">
        <f>IFERROR('6'!Z$67/Ciclo,0)</f>
        <v>0</v>
      </c>
      <c r="AB129" s="5">
        <f>IF($B$126="Producción",IF($B129&gt;=LI_A,$O129,0),0)</f>
        <v>0</v>
      </c>
      <c r="AC129" s="5">
        <f>IF($B$126="Producción",IF($B129&gt;=LI_B,IF($B129&lt;LS_B,$O129,0),0),0)</f>
        <v>0</v>
      </c>
      <c r="AD129" s="5">
        <f>IF($B$126="Producción",IF($B129&gt;=LI_C,IF($B129&lt;LS_C,$O129,0),0),0)</f>
        <v>0</v>
      </c>
      <c r="AE129" s="5">
        <f>IF($B$126="Producción",IF($B129&lt;LS_D,$O129,0),0)</f>
        <v>0</v>
      </c>
      <c r="AF129" s="5">
        <f>IF($B$126="Crecimiento",$O129,0)</f>
        <v>0</v>
      </c>
      <c r="AG129" s="5">
        <f>IF($B126="Siembra",'6'!$O$7,0)</f>
        <v>0</v>
      </c>
      <c r="AH129" s="5">
        <f>IF($B126="Abandono",'6'!$O$7,0)</f>
        <v>0</v>
      </c>
      <c r="AI129" s="5">
        <f>IF($C$126="Producción",IF($C129&gt;=LI_A,$P129,0),0)</f>
        <v>0</v>
      </c>
      <c r="AJ129" s="5">
        <f>IF($C$126="Producción",IF($C129&gt;=LI_B,IF($C129&lt;LS_B,$P129,0),0),0)</f>
        <v>0</v>
      </c>
      <c r="AK129" s="5">
        <f>IF($C$126="Producción",IF($C129&gt;=LI_C,IF($C129&lt;LS_C,$P129,0),0),0)</f>
        <v>0</v>
      </c>
      <c r="AL129" s="5">
        <f>IF($C$126="Producción",IF($C129&lt;LS_D,$P129,0),0)</f>
        <v>0</v>
      </c>
      <c r="AM129" s="5">
        <f>IF($C$126="Crecimiento",$P129,0)</f>
        <v>0</v>
      </c>
      <c r="AN129" s="5">
        <f>IF($C126="Siembra",'6'!$P$7,0)</f>
        <v>0</v>
      </c>
      <c r="AO129" s="5">
        <f>IF($C126="Abandono",'6'!$P$7,0)</f>
        <v>0</v>
      </c>
      <c r="AP129" s="5">
        <f>IF($D$126="Producción",IF($D129&gt;=LI_A,$Q129,0),0)</f>
        <v>0</v>
      </c>
      <c r="AQ129" s="5">
        <f>IF($D$126="Producción",IF($D129&gt;=LI_B,IF($D129&lt;LS_B,$Q129,0),0),0)</f>
        <v>0</v>
      </c>
      <c r="AR129" s="5">
        <f>IF($D$126="Producción",IF($D129&gt;=LI_C,IF($D129&lt;LS_C,$Q129,0),0),0)</f>
        <v>0</v>
      </c>
      <c r="AS129" s="5">
        <f>IF($D$126="Producción",IF($D129&lt;LS_D,$Q129,0),0)</f>
        <v>0</v>
      </c>
      <c r="AT129" s="5">
        <f>IF($D$126="Crecimiento",IF($D129&gt;0,$Q129,0),0)</f>
        <v>0</v>
      </c>
      <c r="AU129" s="5">
        <f>IF($D126="Siembra",'6'!$Q$7,0)</f>
        <v>0</v>
      </c>
      <c r="AV129" s="5">
        <f>IF($D126="Abandono",'6'!$Q$7,0)</f>
        <v>0</v>
      </c>
      <c r="AW129" s="5">
        <f>IF($E$126="Producción",IF($E129&gt;=LI_A,$R129,0),0)</f>
        <v>0</v>
      </c>
      <c r="AX129" s="5">
        <f>IF($E$126="Producción",IF($E129&gt;=LI_B,IF($E129&lt;LS_B,$R129,0),0),0)</f>
        <v>0</v>
      </c>
      <c r="AY129" s="5">
        <f>IF($E$126="Producción",IF($E129&gt;=LI_C,IF($E129&lt;LS_C,$R129,0),0),0)</f>
        <v>0</v>
      </c>
      <c r="AZ129" s="5">
        <f>IF($E$126="Producción",IF($E129&lt;LS_D,$R129,0),0)</f>
        <v>0</v>
      </c>
      <c r="BA129" s="5">
        <f>IF($E$126="Crecimiento",$R129,0)</f>
        <v>0</v>
      </c>
      <c r="BB129" s="5">
        <f>IF($E126="Siembra",'6'!$R$7,0)</f>
        <v>0</v>
      </c>
      <c r="BC129" s="5">
        <f>IF($E126="Abandono",'6'!$R$7,0)</f>
        <v>0</v>
      </c>
      <c r="BD129" s="5">
        <f>IF($F$126="Producción",IF($F129&gt;=LI_A,$S129,0),0)</f>
        <v>0</v>
      </c>
      <c r="BE129" s="5">
        <f>IF($F$126="Producción",IF($F129&gt;=LI_B,IF($F129&lt;LS_B,$S129,0),0),0)</f>
        <v>0</v>
      </c>
      <c r="BF129" s="5">
        <f>IF($F$126="Producción",IF($F129&gt;=LI_C,IF($F129&lt;LS_C,$S129,0),0),0)</f>
        <v>0</v>
      </c>
      <c r="BG129" s="5">
        <f>IF($F$126="Producción",IF($F129&lt;LS_D,$S129,0),0)</f>
        <v>0</v>
      </c>
      <c r="BH129" s="5">
        <f>IF($F$126="Crecimiento",$S129,0)</f>
        <v>0</v>
      </c>
      <c r="BI129" s="5">
        <f>IF($F126="Siembra",'6'!$S$7,0)</f>
        <v>0</v>
      </c>
      <c r="BJ129" s="5">
        <f>IF($F126="Abandono",'6'!$S$7,0)</f>
        <v>0</v>
      </c>
      <c r="BK129" s="5">
        <f>IF($G$126="Producción",IF($G129&gt;=LI_A,$T129,0),0)</f>
        <v>0</v>
      </c>
      <c r="BL129" s="5">
        <f>IF($G$126="Producción",IF($G129&gt;=LI_B,IF($G129&lt;LS_B,$T129,0),0),0)</f>
        <v>0</v>
      </c>
      <c r="BM129" s="5">
        <f>IF($G$126="Producción",IF($G129&gt;=LI_C,IF($G129&lt;LS_C,$T129,0),0),0)</f>
        <v>0</v>
      </c>
      <c r="BN129" s="5">
        <f>IF($G$126="Producción",IF($G129&lt;LS_D,$T129,0),0)</f>
        <v>0</v>
      </c>
      <c r="BO129" s="5">
        <f>IF($G$126="Crecimiento",$T129,0)</f>
        <v>0</v>
      </c>
      <c r="BP129" s="5">
        <f>IF($G126="Siembra",'6'!$T$7,0)</f>
        <v>0</v>
      </c>
      <c r="BQ129" s="5">
        <f>IF($G126="Abandono",'6'!$T$7,0)</f>
        <v>0</v>
      </c>
      <c r="BR129" s="5">
        <f>IF($H$126="Producción",IF($H129&gt;=LI_A,$U129,0),0)</f>
        <v>0</v>
      </c>
      <c r="BS129" s="5">
        <f>IF($H$126="Producción",IF($H129&gt;=LI_B,IF($H129&lt;LS_B,$U129,0),0),0)</f>
        <v>0</v>
      </c>
      <c r="BT129" s="5">
        <f>IF($H$126="Producción",IF($H129&gt;=LI_C,IF($H129&lt;LS_C,$U129,0),0),0)</f>
        <v>0</v>
      </c>
      <c r="BU129" s="5">
        <f>IF($H$126="Producción",IF($H129&lt;LS_D,$U129,0),0)</f>
        <v>0</v>
      </c>
      <c r="BV129" s="5">
        <f>IF($H$126="Crecimiento",$T129,0)</f>
        <v>0</v>
      </c>
      <c r="BW129" s="5">
        <f>IF($H126="Siembra",'6'!$U$7,0)</f>
        <v>0</v>
      </c>
      <c r="BX129" s="5">
        <f>IF($H126="Abandono",'6'!$U$7,0)</f>
        <v>0</v>
      </c>
      <c r="BY129" s="5">
        <f>IF($I$126="Producción",IF($I129&gt;=LI_A,$V129,0),0)</f>
        <v>0</v>
      </c>
      <c r="BZ129" s="5">
        <f>IF($I$126="Producción",IF($I129&gt;=LI_B,IF($I129&lt;LS_B,$V129,0),0),0)</f>
        <v>0</v>
      </c>
      <c r="CA129" s="5">
        <f>IF($I$126="Producción",IF($I129&gt;=LI_C,IF($I129&lt;LS_C,$V129,0),0),0)</f>
        <v>0</v>
      </c>
      <c r="CB129" s="5">
        <f>IF($I$126="Producción",IF($I129&lt;LS_D,$V129,0),0)</f>
        <v>0</v>
      </c>
      <c r="CC129" s="5">
        <f>IF($I$126="Crecimiento",$V129,0)</f>
        <v>0</v>
      </c>
      <c r="CD129" s="5">
        <f>IF($I126="Siembra",'6'!$V$7,0)</f>
        <v>0</v>
      </c>
      <c r="CE129" s="5">
        <f>IF($I126="Abandono",'6'!$V$7,0)</f>
        <v>0</v>
      </c>
      <c r="CF129" s="5">
        <f>IF($J$126="Producción",IF($J129&gt;=LI_A,$W129,0),0)</f>
        <v>0</v>
      </c>
      <c r="CG129" s="5">
        <f>IF($J$126="Producción",IF($J129&gt;=LI_B,IF($J129&lt;LS_B,$W129,0),0),0)</f>
        <v>0</v>
      </c>
      <c r="CH129" s="5">
        <f>IF($J$126="Producción",IF($J129&gt;=LI_C,IF($J129&lt;LS_C,$W129,0),0),0)</f>
        <v>0</v>
      </c>
      <c r="CI129" s="5">
        <f>IF($J$126="Producción",IF($J129&lt;LS_D,$W129,0),0)</f>
        <v>0</v>
      </c>
      <c r="CJ129" s="5">
        <f>IF($J$126="Crecimiento",$W129,0)</f>
        <v>0</v>
      </c>
      <c r="CK129" s="5">
        <f>IF($J126="Siembra",'6'!$W$7,0)</f>
        <v>0</v>
      </c>
      <c r="CL129" s="5">
        <f>IF($J126="Abandono",'6'!$W$7,0)</f>
        <v>0</v>
      </c>
      <c r="CM129" s="5">
        <f>IF($K$126="Producción",IF($K129&gt;=LI_A,$X129,0),0)</f>
        <v>0</v>
      </c>
      <c r="CN129" s="5">
        <f>IF($K$126="Producción",IF($K129&gt;=LI_B,IF($K129&lt;LS_B,$X129,0),0),0)</f>
        <v>0</v>
      </c>
      <c r="CO129" s="5">
        <f>IF($K$126="Producción",IF($K129&gt;=LI_C,IF($K129&lt;LS_C,$X129,0),0),0)</f>
        <v>0</v>
      </c>
      <c r="CP129" s="5">
        <f>IF($K$126="Producción",IF($K129&lt;LS_D,$X129,0),0)</f>
        <v>0</v>
      </c>
      <c r="CQ129" s="5">
        <f>IF($K$126="Crecimiento",$X129,0)</f>
        <v>0</v>
      </c>
      <c r="CR129" s="5">
        <f>IF($K126="Siembra",'6'!$X$7,0)</f>
        <v>0</v>
      </c>
      <c r="CS129" s="5">
        <f>IF($K126="Abandono",'6'!$X$7,0)</f>
        <v>0</v>
      </c>
      <c r="CT129" s="5">
        <f>IF($L$126="Producción",IF($L129&gt;=LI_A,$Y129,0),0)</f>
        <v>0</v>
      </c>
      <c r="CU129" s="5">
        <f>IF($L$126="Producción",IF($L129&gt;=LI_B,IF($L129&lt;LS_B,$Y129,0),0),0)</f>
        <v>0</v>
      </c>
      <c r="CV129" s="5">
        <f>IF($L$126="Producción",IF($L129&gt;=LI_C,IF($L129&lt;LS_C,$Y129,0),0),0)</f>
        <v>0</v>
      </c>
      <c r="CW129" s="5">
        <f>IF($L$126="Producción",IF($L129&lt;LS_D,$Y129,0),0)</f>
        <v>0</v>
      </c>
      <c r="CX129" s="5">
        <f>IF($L$126="Crecimiento",$Y129,0)</f>
        <v>0</v>
      </c>
      <c r="CY129" s="5">
        <f>IF($L126="Siembra",'6'!$Y$7,0)</f>
        <v>0</v>
      </c>
      <c r="CZ129" s="5">
        <f>IF($L126="Abandono",'6'!$Y$7,0)</f>
        <v>0</v>
      </c>
      <c r="DA129" s="5">
        <f>IF($M$126="Producción",IF($M129&gt;=LI_A,$Z129,0),0)</f>
        <v>0</v>
      </c>
      <c r="DB129" s="5">
        <f>IF($M$126="Producción",IF($M129&gt;=LI_B,IF($M129&lt;LS_B,$Z129,0),0),0)</f>
        <v>0</v>
      </c>
      <c r="DC129" s="5">
        <f>IF($M$126="Producción",IF($M129&gt;=LI_C,IF($M129&lt;LS_C,$Z129,0),0),0)</f>
        <v>0</v>
      </c>
      <c r="DD129" s="5">
        <f>IF($M$126="Producción",IF($M129&lt;LS_D,$Z129,0),0)</f>
        <v>0</v>
      </c>
      <c r="DE129" s="5">
        <f>IF($M$126="Crecimiento",$Z129,0)</f>
        <v>0</v>
      </c>
      <c r="DF129" s="5">
        <f>IF($M126="Siembra",'6'!$Z$7,0)</f>
        <v>0</v>
      </c>
      <c r="DG129" s="5">
        <f>IF($M126="Abandono",'6'!$Z$7,0)</f>
        <v>0</v>
      </c>
      <c r="DI129" s="5">
        <f t="shared" ref="DI129:DI133" si="935">AB129*$B129</f>
        <v>0</v>
      </c>
      <c r="DJ129" s="5">
        <f t="shared" ref="DJ129:DJ133" si="936">AC129*$B129</f>
        <v>0</v>
      </c>
      <c r="DK129" s="5">
        <f t="shared" ref="DK129:DK133" si="937">AD129*$B129</f>
        <v>0</v>
      </c>
      <c r="DL129" s="5">
        <f t="shared" ref="DL129:DL133" si="938">AE129*$B129</f>
        <v>0</v>
      </c>
      <c r="DM129" s="5">
        <f t="shared" ref="DM129:DM133" si="939">AF129*$B129</f>
        <v>0</v>
      </c>
      <c r="DN129" s="5">
        <f t="shared" ref="DN129:DN133" si="940">AI129*$C129</f>
        <v>0</v>
      </c>
      <c r="DO129" s="5">
        <f t="shared" ref="DO129:DO133" si="941">AJ129*$C129</f>
        <v>0</v>
      </c>
      <c r="DP129" s="5">
        <f t="shared" ref="DP129:DP133" si="942">AK129*$C129</f>
        <v>0</v>
      </c>
      <c r="DQ129" s="5">
        <f t="shared" ref="DQ129:DQ133" si="943">AL129*$C129</f>
        <v>0</v>
      </c>
      <c r="DR129" s="5">
        <f t="shared" ref="DR129:DR133" si="944">AM129*$C129</f>
        <v>0</v>
      </c>
      <c r="DS129" s="5">
        <f t="shared" ref="DS129:DS133" si="945">AP129*$D129</f>
        <v>0</v>
      </c>
      <c r="DT129" s="5">
        <f t="shared" ref="DT129:DT133" si="946">AQ129*$D129</f>
        <v>0</v>
      </c>
      <c r="DU129" s="5">
        <f t="shared" ref="DU129:DU133" si="947">AR129*$D129</f>
        <v>0</v>
      </c>
      <c r="DV129" s="5">
        <f t="shared" ref="DV129:DV133" si="948">AS129*$D129</f>
        <v>0</v>
      </c>
      <c r="DW129" s="5">
        <f t="shared" ref="DW129:DW133" si="949">AT129*$D129</f>
        <v>0</v>
      </c>
      <c r="DX129" s="5">
        <f t="shared" ref="DX129:DX133" si="950">AW129*$E129</f>
        <v>0</v>
      </c>
      <c r="DY129" s="5">
        <f t="shared" ref="DY129:DY133" si="951">AX129*$E129</f>
        <v>0</v>
      </c>
      <c r="DZ129" s="5">
        <f t="shared" ref="DZ129:DZ133" si="952">AY129*$E129</f>
        <v>0</v>
      </c>
      <c r="EA129" s="5">
        <f t="shared" ref="EA129:EA133" si="953">AZ129*$E129</f>
        <v>0</v>
      </c>
      <c r="EB129" s="5">
        <f t="shared" ref="EB129:EB133" si="954">BA129*$E129</f>
        <v>0</v>
      </c>
      <c r="EC129" s="5">
        <f t="shared" ref="EC129:EC133" si="955">BD129*$F129</f>
        <v>0</v>
      </c>
      <c r="ED129" s="5">
        <f t="shared" ref="ED129:ED133" si="956">BE129*$F129</f>
        <v>0</v>
      </c>
      <c r="EE129" s="5">
        <f t="shared" ref="EE129:EE133" si="957">BF129*$F129</f>
        <v>0</v>
      </c>
      <c r="EF129" s="5">
        <f t="shared" ref="EF129:EF133" si="958">BG129*$F129</f>
        <v>0</v>
      </c>
      <c r="EG129" s="5">
        <f t="shared" ref="EG129:EG133" si="959">BH129*$F129</f>
        <v>0</v>
      </c>
      <c r="EH129" s="5">
        <f t="shared" ref="EH129:EH133" si="960">BK129*$G129</f>
        <v>0</v>
      </c>
      <c r="EI129" s="5">
        <f t="shared" ref="EI129:EI133" si="961">BL129*$G129</f>
        <v>0</v>
      </c>
      <c r="EJ129" s="5">
        <f t="shared" ref="EJ129:EJ133" si="962">BM129*$G129</f>
        <v>0</v>
      </c>
      <c r="EK129" s="5">
        <f t="shared" ref="EK129:EK133" si="963">BN129*$G129</f>
        <v>0</v>
      </c>
      <c r="EL129" s="5">
        <f t="shared" ref="EL129:EL133" si="964">BO129*$G129</f>
        <v>0</v>
      </c>
      <c r="EM129" s="5">
        <f t="shared" ref="EM129:EM133" si="965">BR129*$H129</f>
        <v>0</v>
      </c>
      <c r="EN129" s="5">
        <f t="shared" ref="EN129:EN133" si="966">BS129*$H129</f>
        <v>0</v>
      </c>
      <c r="EO129" s="5">
        <f t="shared" ref="EO129:EO133" si="967">BT129*$H129</f>
        <v>0</v>
      </c>
      <c r="EP129" s="5">
        <f t="shared" ref="EP129:EP133" si="968">BU129*$H129</f>
        <v>0</v>
      </c>
      <c r="EQ129" s="5">
        <f t="shared" ref="EQ129:EQ133" si="969">BV129*$H129</f>
        <v>0</v>
      </c>
      <c r="ER129" s="5">
        <f t="shared" ref="ER129:ER133" si="970">BY129*$I129</f>
        <v>0</v>
      </c>
      <c r="ES129" s="5">
        <f t="shared" ref="ES129:ES133" si="971">BZ129*$I129</f>
        <v>0</v>
      </c>
      <c r="ET129" s="5">
        <f t="shared" ref="ET129:ET133" si="972">CA129*$I129</f>
        <v>0</v>
      </c>
      <c r="EU129" s="5">
        <f t="shared" ref="EU129:EU133" si="973">CB129*$I129</f>
        <v>0</v>
      </c>
      <c r="EV129" s="5">
        <f t="shared" ref="EV129:EV133" si="974">CC129*$I129</f>
        <v>0</v>
      </c>
      <c r="EW129" s="5">
        <f t="shared" ref="EW129:EW133" si="975">CF129*$J129</f>
        <v>0</v>
      </c>
      <c r="EX129" s="5">
        <f t="shared" ref="EX129:EX133" si="976">CG129*$J129</f>
        <v>0</v>
      </c>
      <c r="EY129" s="5">
        <f t="shared" ref="EY129:EY133" si="977">CH129*$J129</f>
        <v>0</v>
      </c>
      <c r="EZ129" s="5">
        <f t="shared" ref="EZ129:EZ133" si="978">CI129*$J129</f>
        <v>0</v>
      </c>
      <c r="FA129" s="5">
        <f t="shared" ref="FA129:FA133" si="979">CJ129*$J129</f>
        <v>0</v>
      </c>
      <c r="FB129" s="5">
        <f t="shared" ref="FB129:FB133" si="980">CM129*$K129</f>
        <v>0</v>
      </c>
      <c r="FC129" s="5">
        <f t="shared" ref="FC129:FC133" si="981">CN129*$K129</f>
        <v>0</v>
      </c>
      <c r="FD129" s="5">
        <f t="shared" ref="FD129:FD133" si="982">CO129*$K129</f>
        <v>0</v>
      </c>
      <c r="FE129" s="5">
        <f t="shared" ref="FE129:FE133" si="983">CP129*$K129</f>
        <v>0</v>
      </c>
      <c r="FF129" s="5">
        <f t="shared" ref="FF129:FF133" si="984">CQ129*$K129</f>
        <v>0</v>
      </c>
      <c r="FG129" s="5">
        <f t="shared" ref="FG129:FG133" si="985">CT129*$L129</f>
        <v>0</v>
      </c>
      <c r="FH129" s="5">
        <f t="shared" ref="FH129:FH133" si="986">CU129*$L129</f>
        <v>0</v>
      </c>
      <c r="FI129" s="5">
        <f t="shared" ref="FI129:FI133" si="987">CV129*$L129</f>
        <v>0</v>
      </c>
      <c r="FJ129" s="5">
        <f t="shared" ref="FJ129:FJ133" si="988">CW129*$L129</f>
        <v>0</v>
      </c>
      <c r="FK129" s="5">
        <f t="shared" ref="FK129:FK133" si="989">CX129*$L129</f>
        <v>0</v>
      </c>
      <c r="FL129" s="5">
        <f t="shared" ref="FL129:FL133" si="990">DA129*$M129</f>
        <v>0</v>
      </c>
      <c r="FM129" s="5">
        <f t="shared" ref="FM129:FM133" si="991">DB129*$M129</f>
        <v>0</v>
      </c>
      <c r="FN129" s="5">
        <f t="shared" ref="FN129:FN133" si="992">DC129*$M129</f>
        <v>0</v>
      </c>
      <c r="FO129" s="5">
        <f t="shared" ref="FO129:FO133" si="993">DD129*$M129</f>
        <v>0</v>
      </c>
      <c r="FP129" s="5">
        <f t="shared" ref="FP129:FP133" si="994">DE129*$M129</f>
        <v>0</v>
      </c>
    </row>
    <row r="130" spans="1:172" ht="20.100000000000001" customHeight="1" x14ac:dyDescent="0.3">
      <c r="A130" s="8" t="s">
        <v>303</v>
      </c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O130" s="58">
        <f>IFERROR('6'!O$67/Ciclo,0)</f>
        <v>0</v>
      </c>
      <c r="P130" s="58">
        <f>IFERROR('6'!P$67/Ciclo,0)</f>
        <v>0</v>
      </c>
      <c r="Q130" s="58">
        <f>IFERROR('6'!Q$67/Ciclo,0)</f>
        <v>0</v>
      </c>
      <c r="R130" s="58">
        <f>IFERROR('6'!R$67/Ciclo,0)</f>
        <v>0</v>
      </c>
      <c r="S130" s="58">
        <f>IFERROR('6'!S$67/Ciclo,0)</f>
        <v>0</v>
      </c>
      <c r="T130" s="58">
        <f>IFERROR('6'!T$67/Ciclo,0)</f>
        <v>0</v>
      </c>
      <c r="U130" s="58">
        <f>IFERROR('6'!U$67/Ciclo,0)</f>
        <v>0</v>
      </c>
      <c r="V130" s="58">
        <f>IFERROR('6'!V$67/Ciclo,0)</f>
        <v>0</v>
      </c>
      <c r="W130" s="5">
        <f>IFERROR('6'!W$67/Ciclo,0)</f>
        <v>0</v>
      </c>
      <c r="X130" s="5">
        <f>IFERROR('6'!X$67/Ciclo,0)</f>
        <v>0</v>
      </c>
      <c r="Y130" s="5">
        <f>IFERROR('6'!Y$67/Ciclo,0)</f>
        <v>0</v>
      </c>
      <c r="Z130" s="5">
        <f>IFERROR('6'!Z$67/Ciclo,0)</f>
        <v>0</v>
      </c>
      <c r="AB130" s="5">
        <f>IF($B$126="Producción",IF($B130&gt;=LI_A,$O130,0),0)</f>
        <v>0</v>
      </c>
      <c r="AC130" s="5">
        <f>IF($B$126="Producción",IF($B130&gt;=LI_B,IF($B130&lt;LS_B,$O130,0),0),0)</f>
        <v>0</v>
      </c>
      <c r="AD130" s="5">
        <f>IF($B$126="Producción",IF($B130&gt;=LI_C,IF($B130&lt;LS_C,$O130,0),0),0)</f>
        <v>0</v>
      </c>
      <c r="AE130" s="5">
        <f>IF($B$126="Producción",IF($B130&lt;LS_D,$O130,0),0)</f>
        <v>0</v>
      </c>
      <c r="AF130" s="5">
        <f t="shared" ref="AF130:AF133" si="995">IF($B$126="Crecimiento",$O130,0)</f>
        <v>0</v>
      </c>
      <c r="AI130" s="5">
        <f>IF($C$126="Producción",IF($C130&gt;=LI_A,$P130,0),0)</f>
        <v>0</v>
      </c>
      <c r="AJ130" s="5">
        <f>IF($C$126="Producción",IF($C130&gt;=LI_B,IF($C130&lt;LS_B,$P130,0),0),0)</f>
        <v>0</v>
      </c>
      <c r="AK130" s="5">
        <f>IF($C$126="Producción",IF($C130&gt;=LI_C,IF($C130&lt;LS_C,$P130,0),0),0)</f>
        <v>0</v>
      </c>
      <c r="AL130" s="5">
        <f>IF($C$126="Producción",IF($C130&lt;LS_D,$P130,0),0)</f>
        <v>0</v>
      </c>
      <c r="AM130" s="5">
        <f>IF($C$126="Crecimiento",$P130,0)</f>
        <v>0</v>
      </c>
      <c r="AP130" s="5">
        <f>IF($D$126="Producción",IF($D130&gt;=LI_A,$Q130,0),0)</f>
        <v>0</v>
      </c>
      <c r="AQ130" s="5">
        <f>IF($D$126="Producción",IF($D130&gt;=LI_B,IF($D130&lt;LS_B,$Q130,0),0),0)</f>
        <v>0</v>
      </c>
      <c r="AR130" s="5">
        <f>IF($D$126="Producción",IF($D130&gt;=LI_C,IF($D130&lt;LS_C,$Q130,0),0),0)</f>
        <v>0</v>
      </c>
      <c r="AS130" s="5">
        <f>IF($D$126="Producción",IF($D130&lt;LS_D,$Q130,0),0)</f>
        <v>0</v>
      </c>
      <c r="AT130" s="5">
        <f>IF($D$126="Crecimiento",IF($D130&gt;0,$Q130,0),0)</f>
        <v>0</v>
      </c>
      <c r="AW130" s="5">
        <f>IF($E$126="Producción",IF($E130&gt;=LI_A,$R130,0),0)</f>
        <v>0</v>
      </c>
      <c r="AX130" s="5">
        <f>IF($E$126="Producción",IF($E130&gt;=LI_B,IF($E130&lt;LS_B,$R130,0),0),0)</f>
        <v>0</v>
      </c>
      <c r="AY130" s="5">
        <f>IF($E$126="Producción",IF($E130&gt;=LI_C,IF($E130&lt;LS_C,$R130,0),0),0)</f>
        <v>0</v>
      </c>
      <c r="AZ130" s="5">
        <f>IF($E$126="Producción",IF($E130&lt;LS_D,$R130,0),0)</f>
        <v>0</v>
      </c>
      <c r="BA130" s="5">
        <f>IF($E$126="Crecimiento",$R130,0)</f>
        <v>0</v>
      </c>
      <c r="BD130" s="5">
        <f>IF($F$126="Producción",IF($F130&gt;=LI_A,$S130,0),0)</f>
        <v>0</v>
      </c>
      <c r="BE130" s="5">
        <f>IF($F$126="Producción",IF($F130&gt;=LI_B,IF($F130&lt;LS_B,$S130,0),0),0)</f>
        <v>0</v>
      </c>
      <c r="BF130" s="5">
        <f>IF($F$126="Producción",IF($F130&gt;=LI_C,IF($F130&lt;LS_C,$S130,0),0),0)</f>
        <v>0</v>
      </c>
      <c r="BG130" s="5">
        <f>IF($F$126="Producción",IF($F130&lt;LS_D,$S130,0),0)</f>
        <v>0</v>
      </c>
      <c r="BH130" s="5">
        <f>IF($F$126="Crecimiento",$S130,0)</f>
        <v>0</v>
      </c>
      <c r="BK130" s="5">
        <f>IF($G$126="Producción",IF($G130&gt;=LI_A,$T130,0),0)</f>
        <v>0</v>
      </c>
      <c r="BL130" s="5">
        <f>IF($G$126="Producción",IF($G130&gt;=LI_B,IF($G130&lt;LS_B,$T130,0),0),0)</f>
        <v>0</v>
      </c>
      <c r="BM130" s="5">
        <f>IF($G$126="Producción",IF($G130&gt;=LI_C,IF($G130&lt;LS_C,$T130,0),0),0)</f>
        <v>0</v>
      </c>
      <c r="BN130" s="5">
        <f>IF($G$126="Producción",IF($G130&lt;LS_D,$T130,0),0)</f>
        <v>0</v>
      </c>
      <c r="BO130" s="5">
        <f>IF($G$126="Crecimiento",$T130,0)</f>
        <v>0</v>
      </c>
      <c r="BR130" s="5">
        <f>IF($H$126="Producción",IF($H130&gt;=LI_A,$U130,0),0)</f>
        <v>0</v>
      </c>
      <c r="BS130" s="5">
        <f>IF($H$126="Producción",IF($H130&gt;=LI_B,IF($H130&lt;LS_B,$U130,0),0),0)</f>
        <v>0</v>
      </c>
      <c r="BT130" s="5">
        <f>IF($H$126="Producción",IF($H130&gt;=LI_C,IF($H130&lt;LS_C,$U130,0),0),0)</f>
        <v>0</v>
      </c>
      <c r="BU130" s="5">
        <f>IF($H$126="Producción",IF($H130&lt;LS_D,$U130,0),0)</f>
        <v>0</v>
      </c>
      <c r="BV130" s="5">
        <f>IF($H$126="Crecimiento",$T130,0)</f>
        <v>0</v>
      </c>
      <c r="BY130" s="5">
        <f>IF($I$126="Producción",IF($I130&gt;=LI_A,$V130,0),0)</f>
        <v>0</v>
      </c>
      <c r="BZ130" s="5">
        <f>IF($I$126="Producción",IF($I130&gt;=LI_B,IF($I130&lt;LS_B,$V130,0),0),0)</f>
        <v>0</v>
      </c>
      <c r="CA130" s="5">
        <f>IF($I$126="Producción",IF($I130&gt;=LI_C,IF($I130&lt;LS_C,$V130,0),0),0)</f>
        <v>0</v>
      </c>
      <c r="CB130" s="5">
        <f>IF($I$126="Producción",IF($I130&lt;LS_D,$V130,0),0)</f>
        <v>0</v>
      </c>
      <c r="CC130" s="5">
        <f>IF($I$126="Crecimiento",$V130,0)</f>
        <v>0</v>
      </c>
      <c r="CF130" s="5">
        <f>IF($J$126="Producción",IF($J130&gt;=LI_A,$W130,0),0)</f>
        <v>0</v>
      </c>
      <c r="CG130" s="5">
        <f>IF($J$126="Producción",IF($J130&gt;=LI_B,IF($J130&lt;LS_B,$W130,0),0),0)</f>
        <v>0</v>
      </c>
      <c r="CH130" s="5">
        <f>IF($J$126="Producción",IF($J130&gt;=LI_C,IF($J130&lt;LS_C,$W130,0),0),0)</f>
        <v>0</v>
      </c>
      <c r="CI130" s="5">
        <f>IF($J$126="Producción",IF($J130&lt;LS_D,$W130,0),0)</f>
        <v>0</v>
      </c>
      <c r="CJ130" s="5">
        <f>IF($J$126="Crecimiento",$W130,0)</f>
        <v>0</v>
      </c>
      <c r="CM130" s="5">
        <f>IF($K$126="Producción",IF($K130&gt;=LI_A,$X130,0),0)</f>
        <v>0</v>
      </c>
      <c r="CN130" s="5">
        <f>IF($K$126="Producción",IF($K130&gt;=LI_B,IF($K130&lt;LS_B,$X130,0),0),0)</f>
        <v>0</v>
      </c>
      <c r="CO130" s="5">
        <f>IF($K$126="Producción",IF($K130&gt;=LI_C,IF($K130&lt;LS_C,$X130,0),0),0)</f>
        <v>0</v>
      </c>
      <c r="CP130" s="5">
        <f>IF($K$126="Producción",IF($K130&lt;LS_D,$X130,0),0)</f>
        <v>0</v>
      </c>
      <c r="CQ130" s="5">
        <f>IF($K$126="Crecimiento",$X130,0)</f>
        <v>0</v>
      </c>
      <c r="CT130" s="5">
        <f>IF($L$126="Producción",IF($L130&gt;=LI_A,$Y130,0),0)</f>
        <v>0</v>
      </c>
      <c r="CU130" s="5">
        <f>IF($L$126="Producción",IF($L130&gt;=LI_B,IF($L130&lt;LS_B,$Y130,0),0),0)</f>
        <v>0</v>
      </c>
      <c r="CV130" s="5">
        <f>IF($L$126="Producción",IF($L130&gt;=LI_C,IF($L130&lt;LS_C,$Y130,0),0),0)</f>
        <v>0</v>
      </c>
      <c r="CW130" s="5">
        <f>IF($L$126="Producción",IF($L130&lt;LS_D,$Y130,0),0)</f>
        <v>0</v>
      </c>
      <c r="CX130" s="5">
        <f>IF($L$126="Crecimiento",$Y130,0)</f>
        <v>0</v>
      </c>
      <c r="DA130" s="5">
        <f>IF($M$126="Producción",IF($M130&gt;=LI_A,$Z130,0),0)</f>
        <v>0</v>
      </c>
      <c r="DB130" s="5">
        <f>IF($M$126="Producción",IF($M130&gt;=LI_B,IF($M130&lt;LS_B,$Z130,0),0),0)</f>
        <v>0</v>
      </c>
      <c r="DC130" s="5">
        <f>IF($M$126="Producción",IF($M130&gt;=LI_C,IF($M130&lt;LS_C,$Z130,0),0),0)</f>
        <v>0</v>
      </c>
      <c r="DD130" s="5">
        <f>IF($M$126="Producción",IF($M130&lt;LS_D,$Z130,0),0)</f>
        <v>0</v>
      </c>
      <c r="DE130" s="5">
        <f>IF($M$126="Crecimiento",$Z130,0)</f>
        <v>0</v>
      </c>
      <c r="DI130" s="5">
        <f t="shared" si="935"/>
        <v>0</v>
      </c>
      <c r="DJ130" s="5">
        <f t="shared" si="936"/>
        <v>0</v>
      </c>
      <c r="DK130" s="5">
        <f t="shared" si="937"/>
        <v>0</v>
      </c>
      <c r="DL130" s="5">
        <f t="shared" si="938"/>
        <v>0</v>
      </c>
      <c r="DM130" s="5">
        <f t="shared" si="939"/>
        <v>0</v>
      </c>
      <c r="DN130" s="5">
        <f t="shared" si="940"/>
        <v>0</v>
      </c>
      <c r="DO130" s="5">
        <f t="shared" si="941"/>
        <v>0</v>
      </c>
      <c r="DP130" s="5">
        <f t="shared" si="942"/>
        <v>0</v>
      </c>
      <c r="DQ130" s="5">
        <f t="shared" si="943"/>
        <v>0</v>
      </c>
      <c r="DR130" s="5">
        <f t="shared" si="944"/>
        <v>0</v>
      </c>
      <c r="DS130" s="5">
        <f t="shared" si="945"/>
        <v>0</v>
      </c>
      <c r="DT130" s="5">
        <f t="shared" si="946"/>
        <v>0</v>
      </c>
      <c r="DU130" s="5">
        <f t="shared" si="947"/>
        <v>0</v>
      </c>
      <c r="DV130" s="5">
        <f t="shared" si="948"/>
        <v>0</v>
      </c>
      <c r="DW130" s="5">
        <f t="shared" si="949"/>
        <v>0</v>
      </c>
      <c r="DX130" s="5">
        <f t="shared" si="950"/>
        <v>0</v>
      </c>
      <c r="DY130" s="5">
        <f t="shared" si="951"/>
        <v>0</v>
      </c>
      <c r="DZ130" s="5">
        <f t="shared" si="952"/>
        <v>0</v>
      </c>
      <c r="EA130" s="5">
        <f t="shared" si="953"/>
        <v>0</v>
      </c>
      <c r="EB130" s="5">
        <f t="shared" si="954"/>
        <v>0</v>
      </c>
      <c r="EC130" s="5">
        <f t="shared" si="955"/>
        <v>0</v>
      </c>
      <c r="ED130" s="5">
        <f t="shared" si="956"/>
        <v>0</v>
      </c>
      <c r="EE130" s="5">
        <f t="shared" si="957"/>
        <v>0</v>
      </c>
      <c r="EF130" s="5">
        <f t="shared" si="958"/>
        <v>0</v>
      </c>
      <c r="EG130" s="5">
        <f t="shared" si="959"/>
        <v>0</v>
      </c>
      <c r="EH130" s="5">
        <f t="shared" si="960"/>
        <v>0</v>
      </c>
      <c r="EI130" s="5">
        <f t="shared" si="961"/>
        <v>0</v>
      </c>
      <c r="EJ130" s="5">
        <f t="shared" si="962"/>
        <v>0</v>
      </c>
      <c r="EK130" s="5">
        <f t="shared" si="963"/>
        <v>0</v>
      </c>
      <c r="EL130" s="5">
        <f t="shared" si="964"/>
        <v>0</v>
      </c>
      <c r="EM130" s="5">
        <f t="shared" si="965"/>
        <v>0</v>
      </c>
      <c r="EN130" s="5">
        <f t="shared" si="966"/>
        <v>0</v>
      </c>
      <c r="EO130" s="5">
        <f t="shared" si="967"/>
        <v>0</v>
      </c>
      <c r="EP130" s="5">
        <f t="shared" si="968"/>
        <v>0</v>
      </c>
      <c r="EQ130" s="5">
        <f t="shared" si="969"/>
        <v>0</v>
      </c>
      <c r="ER130" s="5">
        <f t="shared" si="970"/>
        <v>0</v>
      </c>
      <c r="ES130" s="5">
        <f t="shared" si="971"/>
        <v>0</v>
      </c>
      <c r="ET130" s="5">
        <f t="shared" si="972"/>
        <v>0</v>
      </c>
      <c r="EU130" s="5">
        <f t="shared" si="973"/>
        <v>0</v>
      </c>
      <c r="EV130" s="5">
        <f t="shared" si="974"/>
        <v>0</v>
      </c>
      <c r="EW130" s="5">
        <f t="shared" si="975"/>
        <v>0</v>
      </c>
      <c r="EX130" s="5">
        <f t="shared" si="976"/>
        <v>0</v>
      </c>
      <c r="EY130" s="5">
        <f t="shared" si="977"/>
        <v>0</v>
      </c>
      <c r="EZ130" s="5">
        <f t="shared" si="978"/>
        <v>0</v>
      </c>
      <c r="FA130" s="5">
        <f t="shared" si="979"/>
        <v>0</v>
      </c>
      <c r="FB130" s="5">
        <f t="shared" si="980"/>
        <v>0</v>
      </c>
      <c r="FC130" s="5">
        <f t="shared" si="981"/>
        <v>0</v>
      </c>
      <c r="FD130" s="5">
        <f t="shared" si="982"/>
        <v>0</v>
      </c>
      <c r="FE130" s="5">
        <f t="shared" si="983"/>
        <v>0</v>
      </c>
      <c r="FF130" s="5">
        <f t="shared" si="984"/>
        <v>0</v>
      </c>
      <c r="FG130" s="5">
        <f t="shared" si="985"/>
        <v>0</v>
      </c>
      <c r="FH130" s="5">
        <f t="shared" si="986"/>
        <v>0</v>
      </c>
      <c r="FI130" s="5">
        <f t="shared" si="987"/>
        <v>0</v>
      </c>
      <c r="FJ130" s="5">
        <f t="shared" si="988"/>
        <v>0</v>
      </c>
      <c r="FK130" s="5">
        <f t="shared" si="989"/>
        <v>0</v>
      </c>
      <c r="FL130" s="5">
        <f t="shared" si="990"/>
        <v>0</v>
      </c>
      <c r="FM130" s="5">
        <f t="shared" si="991"/>
        <v>0</v>
      </c>
      <c r="FN130" s="5">
        <f t="shared" si="992"/>
        <v>0</v>
      </c>
      <c r="FO130" s="5">
        <f t="shared" si="993"/>
        <v>0</v>
      </c>
      <c r="FP130" s="5">
        <f t="shared" si="994"/>
        <v>0</v>
      </c>
    </row>
    <row r="131" spans="1:172" ht="20.100000000000001" customHeight="1" x14ac:dyDescent="0.3">
      <c r="A131" s="8" t="str">
        <f>IF(Ciclo&gt;2,"Surco 3","NA")</f>
        <v>Surco 3</v>
      </c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O131" s="58">
        <f>IF($A131="NA",0,IFERROR('6'!O$67/Ciclo,0))</f>
        <v>0</v>
      </c>
      <c r="P131" s="58">
        <f>IF($A131="NA",0,IFERROR('6'!P$67/Ciclo,0))</f>
        <v>0</v>
      </c>
      <c r="Q131" s="58">
        <f>IF($A131="NA",0,IFERROR('6'!Q$67/Ciclo,0))</f>
        <v>0</v>
      </c>
      <c r="R131" s="58">
        <f>IF($A131="NA",0,IFERROR('6'!R$67/Ciclo,0))</f>
        <v>0</v>
      </c>
      <c r="S131" s="58">
        <f>IF($A131="NA",0,IFERROR('6'!S$67/Ciclo,0))</f>
        <v>0</v>
      </c>
      <c r="T131" s="58">
        <f>IF($A131="NA",0,IFERROR('6'!T$67/Ciclo,0))</f>
        <v>0</v>
      </c>
      <c r="U131" s="58">
        <f>IF($A131="NA",0,IFERROR('6'!U$67/Ciclo,0))</f>
        <v>0</v>
      </c>
      <c r="V131" s="58">
        <f>IF($A131="NA",0,IFERROR('6'!V$67/Ciclo,0))</f>
        <v>0</v>
      </c>
      <c r="W131" s="5">
        <f>IF($A131="NA",0,IFERROR('6'!W$67/Ciclo,0))</f>
        <v>0</v>
      </c>
      <c r="X131" s="5">
        <f>IF($A131="NA",0,IFERROR('6'!X$67/Ciclo,0))</f>
        <v>0</v>
      </c>
      <c r="Y131" s="5">
        <f>IF($A131="NA",0,IFERROR('6'!Y$67/Ciclo,0))</f>
        <v>0</v>
      </c>
      <c r="Z131" s="5">
        <f>IF($A131="NA",0,IFERROR('6'!Z$67/Ciclo,0))</f>
        <v>0</v>
      </c>
      <c r="AB131" s="5">
        <f>IF($B$126="Producción",IF($B131&gt;=LI_A,$O131,0),0)</f>
        <v>0</v>
      </c>
      <c r="AC131" s="5">
        <f>IF($B$126="Producción",IF($B131&gt;=LI_B,IF($B131&lt;LS_B,$O131,0),0),0)</f>
        <v>0</v>
      </c>
      <c r="AD131" s="5">
        <f>IF($B$126="Producción",IF($B131&gt;=LI_C,IF($B131&lt;LS_C,$O131,0),0),0)</f>
        <v>0</v>
      </c>
      <c r="AE131" s="5">
        <f>IF($B$126="Producción",IF($B131&lt;LS_D,$O131,0),0)</f>
        <v>0</v>
      </c>
      <c r="AF131" s="5">
        <f t="shared" si="995"/>
        <v>0</v>
      </c>
      <c r="AI131" s="5">
        <f>IF($C$126="Producción",IF($C131&gt;=LI_A,$P131,0),0)</f>
        <v>0</v>
      </c>
      <c r="AJ131" s="5">
        <f>IF($C$126="Producción",IF($C131&gt;=LI_B,IF($C131&lt;LS_B,$P131,0),0),0)</f>
        <v>0</v>
      </c>
      <c r="AK131" s="5">
        <f>IF($C$126="Producción",IF($C131&gt;=LI_C,IF($C131&lt;LS_C,$P131,0),0),0)</f>
        <v>0</v>
      </c>
      <c r="AL131" s="5">
        <f>IF($C$126="Producción",IF($C131&lt;LS_D,$P131,0),0)</f>
        <v>0</v>
      </c>
      <c r="AM131" s="5">
        <f>IF($C$126="Crecimiento",$P131,0)</f>
        <v>0</v>
      </c>
      <c r="AP131" s="5">
        <f>IF($D$126="Producción",IF($D131&gt;=LI_A,$Q131,0),0)</f>
        <v>0</v>
      </c>
      <c r="AQ131" s="5">
        <f>IF($D$126="Producción",IF($D131&gt;=LI_B,IF($D131&lt;LS_B,$Q131,0),0),0)</f>
        <v>0</v>
      </c>
      <c r="AR131" s="5">
        <f>IF($D$126="Producción",IF($D131&gt;=LI_C,IF($D131&lt;LS_C,$Q131,0),0),0)</f>
        <v>0</v>
      </c>
      <c r="AS131" s="5">
        <f>IF($D$126="Producción",IF($D131&lt;LS_D,$Q131,0),0)</f>
        <v>0</v>
      </c>
      <c r="AT131" s="5">
        <f>IF($D$126="Crecimiento",IF($D131&gt;0,$Q131,0),0)</f>
        <v>0</v>
      </c>
      <c r="AW131" s="5">
        <f>IF($E$126="Producción",IF($E131&gt;=LI_A,$R131,0),0)</f>
        <v>0</v>
      </c>
      <c r="AX131" s="5">
        <f>IF($E$126="Producción",IF($E131&gt;=LI_B,IF($E131&lt;LS_B,$R131,0),0),0)</f>
        <v>0</v>
      </c>
      <c r="AY131" s="5">
        <f>IF($E$126="Producción",IF($E131&gt;=LI_C,IF($E131&lt;LS_C,$R131,0),0),0)</f>
        <v>0</v>
      </c>
      <c r="AZ131" s="5">
        <f>IF($E$126="Producción",IF($E131&lt;LS_D,$R131,0),0)</f>
        <v>0</v>
      </c>
      <c r="BA131" s="5">
        <f>IF($E$126="Crecimiento",$R131,0)</f>
        <v>0</v>
      </c>
      <c r="BD131" s="5">
        <f>IF($F$126="Producción",IF($F131&gt;=LI_A,$S131,0),0)</f>
        <v>0</v>
      </c>
      <c r="BE131" s="5">
        <f>IF($F$126="Producción",IF($F131&gt;=LI_B,IF($F131&lt;LS_B,$S131,0),0),0)</f>
        <v>0</v>
      </c>
      <c r="BF131" s="5">
        <f>IF($F$126="Producción",IF($F131&gt;=LI_C,IF($F131&lt;LS_C,$S131,0),0),0)</f>
        <v>0</v>
      </c>
      <c r="BG131" s="5">
        <f>IF($F$126="Producción",IF($F131&lt;LS_D,$S131,0),0)</f>
        <v>0</v>
      </c>
      <c r="BH131" s="5">
        <f>IF($F$126="Crecimiento",$S131,0)</f>
        <v>0</v>
      </c>
      <c r="BK131" s="5">
        <f>IF($G$126="Producción",IF($G131&gt;=LI_A,$T131,0),0)</f>
        <v>0</v>
      </c>
      <c r="BL131" s="5">
        <f>IF($G$126="Producción",IF($G131&gt;=LI_B,IF($G131&lt;LS_B,$T131,0),0),0)</f>
        <v>0</v>
      </c>
      <c r="BM131" s="5">
        <f>IF($G$126="Producción",IF($G131&gt;=LI_C,IF($G131&lt;LS_C,$T131,0),0),0)</f>
        <v>0</v>
      </c>
      <c r="BN131" s="5">
        <f>IF($G$126="Producción",IF($G131&lt;LS_D,$T131,0),0)</f>
        <v>0</v>
      </c>
      <c r="BO131" s="5">
        <f>IF($G$126="Crecimiento",$T131,0)</f>
        <v>0</v>
      </c>
      <c r="BR131" s="5">
        <f>IF($H$126="Producción",IF($H131&gt;=LI_A,$U131,0),0)</f>
        <v>0</v>
      </c>
      <c r="BS131" s="5">
        <f>IF($H$126="Producción",IF($H131&gt;=LI_B,IF($H131&lt;LS_B,$U131,0),0),0)</f>
        <v>0</v>
      </c>
      <c r="BT131" s="5">
        <f>IF($H$126="Producción",IF($H131&gt;=LI_C,IF($H131&lt;LS_C,$U131,0),0),0)</f>
        <v>0</v>
      </c>
      <c r="BU131" s="5">
        <f>IF($H$126="Producción",IF($H131&lt;LS_D,$U131,0),0)</f>
        <v>0</v>
      </c>
      <c r="BV131" s="5">
        <f>IF($H$126="Crecimiento",$T131,0)</f>
        <v>0</v>
      </c>
      <c r="BY131" s="5">
        <f>IF($I$126="Producción",IF($I131&gt;=LI_A,$V131,0),0)</f>
        <v>0</v>
      </c>
      <c r="BZ131" s="5">
        <f>IF($I$126="Producción",IF($I131&gt;=LI_B,IF($I131&lt;LS_B,$V131,0),0),0)</f>
        <v>0</v>
      </c>
      <c r="CA131" s="5">
        <f>IF($I$126="Producción",IF($I131&gt;=LI_C,IF($I131&lt;LS_C,$V131,0),0),0)</f>
        <v>0</v>
      </c>
      <c r="CB131" s="5">
        <f>IF($I$126="Producción",IF($I131&lt;LS_D,$V131,0),0)</f>
        <v>0</v>
      </c>
      <c r="CC131" s="5">
        <f>IF($I$126="Crecimiento",$V131,0)</f>
        <v>0</v>
      </c>
      <c r="CF131" s="5">
        <f>IF($J$126="Producción",IF($J131&gt;=LI_A,$W131,0),0)</f>
        <v>0</v>
      </c>
      <c r="CG131" s="5">
        <f>IF($J$126="Producción",IF($J131&gt;=LI_B,IF($J131&lt;LS_B,$W131,0),0),0)</f>
        <v>0</v>
      </c>
      <c r="CH131" s="5">
        <f>IF($J$126="Producción",IF($J131&gt;=LI_C,IF($J131&lt;LS_C,$W131,0),0),0)</f>
        <v>0</v>
      </c>
      <c r="CI131" s="5">
        <f>IF($J$126="Producción",IF($J131&lt;LS_D,$W131,0),0)</f>
        <v>0</v>
      </c>
      <c r="CJ131" s="5">
        <f>IF($J$126="Crecimiento",$W131,0)</f>
        <v>0</v>
      </c>
      <c r="CM131" s="5">
        <f>IF($K$126="Producción",IF($K131&gt;=LI_A,$X131,0),0)</f>
        <v>0</v>
      </c>
      <c r="CN131" s="5">
        <f>IF($K$126="Producción",IF($K131&gt;=LI_B,IF($K131&lt;LS_B,$X131,0),0),0)</f>
        <v>0</v>
      </c>
      <c r="CO131" s="5">
        <f>IF($K$126="Producción",IF($K131&gt;=LI_C,IF($K131&lt;LS_C,$X131,0),0),0)</f>
        <v>0</v>
      </c>
      <c r="CP131" s="5">
        <f>IF($K$126="Producción",IF($K131&lt;LS_D,$X131,0),0)</f>
        <v>0</v>
      </c>
      <c r="CQ131" s="5">
        <f>IF($K$126="Crecimiento",$X131,0)</f>
        <v>0</v>
      </c>
      <c r="CT131" s="5">
        <f>IF($L$126="Producción",IF($L131&gt;=LI_A,$Y131,0),0)</f>
        <v>0</v>
      </c>
      <c r="CU131" s="5">
        <f>IF($L$126="Producción",IF($L131&gt;=LI_B,IF($L131&lt;LS_B,$Y131,0),0),0)</f>
        <v>0</v>
      </c>
      <c r="CV131" s="5">
        <f>IF($L$126="Producción",IF($L131&gt;=LI_C,IF($L131&lt;LS_C,$Y131,0),0),0)</f>
        <v>0</v>
      </c>
      <c r="CW131" s="5">
        <f>IF($L$126="Producción",IF($L131&lt;LS_D,$Y131,0),0)</f>
        <v>0</v>
      </c>
      <c r="CX131" s="5">
        <f>IF($L$126="Crecimiento",$Y131,0)</f>
        <v>0</v>
      </c>
      <c r="DA131" s="5">
        <f>IF($M$126="Producción",IF($M131&gt;=LI_A,$Z131,0),0)</f>
        <v>0</v>
      </c>
      <c r="DB131" s="5">
        <f>IF($M$126="Producción",IF($M131&gt;=LI_B,IF($M131&lt;LS_B,$Z131,0),0),0)</f>
        <v>0</v>
      </c>
      <c r="DC131" s="5">
        <f>IF($M$126="Producción",IF($M131&gt;=LI_C,IF($M131&lt;LS_C,$Z131,0),0),0)</f>
        <v>0</v>
      </c>
      <c r="DD131" s="5">
        <f>IF($M$126="Producción",IF($M131&lt;LS_D,$Z131,0),0)</f>
        <v>0</v>
      </c>
      <c r="DE131" s="5">
        <f>IF($M$126="Crecimiento",$Z131,0)</f>
        <v>0</v>
      </c>
      <c r="DI131" s="5">
        <f t="shared" si="935"/>
        <v>0</v>
      </c>
      <c r="DJ131" s="5">
        <f t="shared" si="936"/>
        <v>0</v>
      </c>
      <c r="DK131" s="5">
        <f t="shared" si="937"/>
        <v>0</v>
      </c>
      <c r="DL131" s="5">
        <f t="shared" si="938"/>
        <v>0</v>
      </c>
      <c r="DM131" s="5">
        <f t="shared" si="939"/>
        <v>0</v>
      </c>
      <c r="DN131" s="5">
        <f t="shared" si="940"/>
        <v>0</v>
      </c>
      <c r="DO131" s="5">
        <f t="shared" si="941"/>
        <v>0</v>
      </c>
      <c r="DP131" s="5">
        <f t="shared" si="942"/>
        <v>0</v>
      </c>
      <c r="DQ131" s="5">
        <f t="shared" si="943"/>
        <v>0</v>
      </c>
      <c r="DR131" s="5">
        <f t="shared" si="944"/>
        <v>0</v>
      </c>
      <c r="DS131" s="5">
        <f t="shared" si="945"/>
        <v>0</v>
      </c>
      <c r="DT131" s="5">
        <f t="shared" si="946"/>
        <v>0</v>
      </c>
      <c r="DU131" s="5">
        <f t="shared" si="947"/>
        <v>0</v>
      </c>
      <c r="DV131" s="5">
        <f t="shared" si="948"/>
        <v>0</v>
      </c>
      <c r="DW131" s="5">
        <f t="shared" si="949"/>
        <v>0</v>
      </c>
      <c r="DX131" s="5">
        <f t="shared" si="950"/>
        <v>0</v>
      </c>
      <c r="DY131" s="5">
        <f t="shared" si="951"/>
        <v>0</v>
      </c>
      <c r="DZ131" s="5">
        <f t="shared" si="952"/>
        <v>0</v>
      </c>
      <c r="EA131" s="5">
        <f t="shared" si="953"/>
        <v>0</v>
      </c>
      <c r="EB131" s="5">
        <f t="shared" si="954"/>
        <v>0</v>
      </c>
      <c r="EC131" s="5">
        <f t="shared" si="955"/>
        <v>0</v>
      </c>
      <c r="ED131" s="5">
        <f t="shared" si="956"/>
        <v>0</v>
      </c>
      <c r="EE131" s="5">
        <f t="shared" si="957"/>
        <v>0</v>
      </c>
      <c r="EF131" s="5">
        <f t="shared" si="958"/>
        <v>0</v>
      </c>
      <c r="EG131" s="5">
        <f t="shared" si="959"/>
        <v>0</v>
      </c>
      <c r="EH131" s="5">
        <f t="shared" si="960"/>
        <v>0</v>
      </c>
      <c r="EI131" s="5">
        <f t="shared" si="961"/>
        <v>0</v>
      </c>
      <c r="EJ131" s="5">
        <f t="shared" si="962"/>
        <v>0</v>
      </c>
      <c r="EK131" s="5">
        <f t="shared" si="963"/>
        <v>0</v>
      </c>
      <c r="EL131" s="5">
        <f t="shared" si="964"/>
        <v>0</v>
      </c>
      <c r="EM131" s="5">
        <f t="shared" si="965"/>
        <v>0</v>
      </c>
      <c r="EN131" s="5">
        <f t="shared" si="966"/>
        <v>0</v>
      </c>
      <c r="EO131" s="5">
        <f t="shared" si="967"/>
        <v>0</v>
      </c>
      <c r="EP131" s="5">
        <f t="shared" si="968"/>
        <v>0</v>
      </c>
      <c r="EQ131" s="5">
        <f t="shared" si="969"/>
        <v>0</v>
      </c>
      <c r="ER131" s="5">
        <f t="shared" si="970"/>
        <v>0</v>
      </c>
      <c r="ES131" s="5">
        <f t="shared" si="971"/>
        <v>0</v>
      </c>
      <c r="ET131" s="5">
        <f t="shared" si="972"/>
        <v>0</v>
      </c>
      <c r="EU131" s="5">
        <f t="shared" si="973"/>
        <v>0</v>
      </c>
      <c r="EV131" s="5">
        <f t="shared" si="974"/>
        <v>0</v>
      </c>
      <c r="EW131" s="5">
        <f t="shared" si="975"/>
        <v>0</v>
      </c>
      <c r="EX131" s="5">
        <f t="shared" si="976"/>
        <v>0</v>
      </c>
      <c r="EY131" s="5">
        <f t="shared" si="977"/>
        <v>0</v>
      </c>
      <c r="EZ131" s="5">
        <f t="shared" si="978"/>
        <v>0</v>
      </c>
      <c r="FA131" s="5">
        <f t="shared" si="979"/>
        <v>0</v>
      </c>
      <c r="FB131" s="5">
        <f t="shared" si="980"/>
        <v>0</v>
      </c>
      <c r="FC131" s="5">
        <f t="shared" si="981"/>
        <v>0</v>
      </c>
      <c r="FD131" s="5">
        <f t="shared" si="982"/>
        <v>0</v>
      </c>
      <c r="FE131" s="5">
        <f t="shared" si="983"/>
        <v>0</v>
      </c>
      <c r="FF131" s="5">
        <f t="shared" si="984"/>
        <v>0</v>
      </c>
      <c r="FG131" s="5">
        <f t="shared" si="985"/>
        <v>0</v>
      </c>
      <c r="FH131" s="5">
        <f t="shared" si="986"/>
        <v>0</v>
      </c>
      <c r="FI131" s="5">
        <f t="shared" si="987"/>
        <v>0</v>
      </c>
      <c r="FJ131" s="5">
        <f t="shared" si="988"/>
        <v>0</v>
      </c>
      <c r="FK131" s="5">
        <f t="shared" si="989"/>
        <v>0</v>
      </c>
      <c r="FL131" s="5">
        <f t="shared" si="990"/>
        <v>0</v>
      </c>
      <c r="FM131" s="5">
        <f t="shared" si="991"/>
        <v>0</v>
      </c>
      <c r="FN131" s="5">
        <f t="shared" si="992"/>
        <v>0</v>
      </c>
      <c r="FO131" s="5">
        <f t="shared" si="993"/>
        <v>0</v>
      </c>
      <c r="FP131" s="5">
        <f t="shared" si="994"/>
        <v>0</v>
      </c>
    </row>
    <row r="132" spans="1:172" ht="20.100000000000001" customHeight="1" x14ac:dyDescent="0.3">
      <c r="A132" s="8" t="str">
        <f>IF(Ciclo=4,"Surco 4",IF(Ciclo=5,"Surco 4","NA"))</f>
        <v>NA</v>
      </c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O132" s="58">
        <f>IF($A132="NA",0,IFERROR('6'!O$67/Ciclo,0))</f>
        <v>0</v>
      </c>
      <c r="P132" s="58">
        <f>IF($A132="NA",0,IFERROR('6'!P$67/Ciclo,0))</f>
        <v>0</v>
      </c>
      <c r="Q132" s="58">
        <f>IF($A132="NA",0,IFERROR('6'!Q$67/Ciclo,0))</f>
        <v>0</v>
      </c>
      <c r="R132" s="58">
        <f>IF($A132="NA",0,IFERROR('6'!R$67/Ciclo,0))</f>
        <v>0</v>
      </c>
      <c r="S132" s="58">
        <f>IF($A132="NA",0,IFERROR('6'!S$67/Ciclo,0))</f>
        <v>0</v>
      </c>
      <c r="T132" s="58">
        <f>IF($A132="NA",0,IFERROR('6'!T$67/Ciclo,0))</f>
        <v>0</v>
      </c>
      <c r="U132" s="58">
        <f>IF($A132="NA",0,IFERROR('6'!U$67/Ciclo,0))</f>
        <v>0</v>
      </c>
      <c r="V132" s="58">
        <f>IF($A132="NA",0,IFERROR('6'!V$67/Ciclo,0))</f>
        <v>0</v>
      </c>
      <c r="W132" s="5">
        <f>IF($A132="NA",0,IFERROR('6'!W$67/Ciclo,0))</f>
        <v>0</v>
      </c>
      <c r="X132" s="5">
        <f>IF($A132="NA",0,IFERROR('6'!X$67/Ciclo,0))</f>
        <v>0</v>
      </c>
      <c r="Y132" s="5">
        <f>IF($A132="NA",0,IFERROR('6'!Y$67/Ciclo,0))</f>
        <v>0</v>
      </c>
      <c r="Z132" s="5">
        <f>IF($A132="NA",0,IFERROR('6'!Z$67/Ciclo,0))</f>
        <v>0</v>
      </c>
      <c r="AB132" s="5">
        <f>IF($B$126="Producción",IF($B132&gt;=LI_A,$O132,0),0)</f>
        <v>0</v>
      </c>
      <c r="AC132" s="5">
        <f>IF($B$126="Producción",IF($B132&gt;=LI_B,IF($B132&lt;LS_B,$O132,0),0),0)</f>
        <v>0</v>
      </c>
      <c r="AD132" s="5">
        <f>IF($B$126="Producción",IF($B132&gt;=LI_C,IF($B132&lt;LS_C,$O132,0),0),0)</f>
        <v>0</v>
      </c>
      <c r="AE132" s="5">
        <f>IF($B$126="Producción",IF($B132&lt;LS_D,$O132,0),0)</f>
        <v>0</v>
      </c>
      <c r="AF132" s="5">
        <f t="shared" si="995"/>
        <v>0</v>
      </c>
      <c r="AI132" s="5">
        <f>IF($C$126="Producción",IF($C132&gt;=LI_A,$P132,0),0)</f>
        <v>0</v>
      </c>
      <c r="AJ132" s="5">
        <f>IF($C$126="Producción",IF($C132&gt;=LI_B,IF($C132&lt;LS_B,$P132,0),0),0)</f>
        <v>0</v>
      </c>
      <c r="AK132" s="5">
        <f>IF($C$126="Producción",IF($C132&gt;=LI_C,IF($C132&lt;LS_C,$P132,0),0),0)</f>
        <v>0</v>
      </c>
      <c r="AL132" s="5">
        <f>IF($C$126="Producción",IF($C132&lt;LS_D,$P132,0),0)</f>
        <v>0</v>
      </c>
      <c r="AM132" s="5">
        <f>IF($C$126="Crecimiento",$P132,0)</f>
        <v>0</v>
      </c>
      <c r="AP132" s="5">
        <f>IF($D$126="Producción",IF($D132&gt;=LI_A,$Q132,0),0)</f>
        <v>0</v>
      </c>
      <c r="AQ132" s="5">
        <f>IF($D$126="Producción",IF($D132&gt;=LI_B,IF($D132&lt;LS_B,$Q132,0),0),0)</f>
        <v>0</v>
      </c>
      <c r="AR132" s="5">
        <f>IF($D$126="Producción",IF($D132&gt;=LI_C,IF($D132&lt;LS_C,$Q132,0),0),0)</f>
        <v>0</v>
      </c>
      <c r="AS132" s="5">
        <f>IF($D$126="Producción",IF($D132&lt;LS_D,$Q132,0),0)</f>
        <v>0</v>
      </c>
      <c r="AT132" s="5">
        <f>IF($D$126="Crecimiento",IF($D132&gt;0,$Q132,0),0)</f>
        <v>0</v>
      </c>
      <c r="AW132" s="5">
        <f>IF($E$126="Producción",IF($E132&gt;=LI_A,$R132,0),0)</f>
        <v>0</v>
      </c>
      <c r="AX132" s="5">
        <f>IF($E$126="Producción",IF($E132&gt;=LI_B,IF($E132&lt;LS_B,$R132,0),0),0)</f>
        <v>0</v>
      </c>
      <c r="AY132" s="5">
        <f>IF($E$126="Producción",IF($E132&gt;=LI_C,IF($E132&lt;LS_C,$R132,0),0),0)</f>
        <v>0</v>
      </c>
      <c r="AZ132" s="5">
        <f>IF($E$126="Producción",IF($E132&lt;LS_D,$R132,0),0)</f>
        <v>0</v>
      </c>
      <c r="BA132" s="5">
        <f>IF($E$126="Crecimiento",$R132,0)</f>
        <v>0</v>
      </c>
      <c r="BD132" s="5">
        <f>IF($F$126="Producción",IF($F132&gt;=LI_A,$S132,0),0)</f>
        <v>0</v>
      </c>
      <c r="BE132" s="5">
        <f>IF($F$126="Producción",IF($F132&gt;=LI_B,IF($F132&lt;LS_B,$S132,0),0),0)</f>
        <v>0</v>
      </c>
      <c r="BF132" s="5">
        <f>IF($F$126="Producción",IF($F132&gt;=LI_C,IF($F132&lt;LS_C,$S132,0),0),0)</f>
        <v>0</v>
      </c>
      <c r="BG132" s="5">
        <f>IF($F$126="Producción",IF($F132&lt;LS_D,$S132,0),0)</f>
        <v>0</v>
      </c>
      <c r="BH132" s="5">
        <f>IF($F$126="Crecimiento",$S132,0)</f>
        <v>0</v>
      </c>
      <c r="BK132" s="5">
        <f>IF($G$126="Producción",IF($G132&gt;=LI_A,$T132,0),0)</f>
        <v>0</v>
      </c>
      <c r="BL132" s="5">
        <f>IF($G$126="Producción",IF($G132&gt;=LI_B,IF($G132&lt;LS_B,$T132,0),0),0)</f>
        <v>0</v>
      </c>
      <c r="BM132" s="5">
        <f>IF($G$126="Producción",IF($G132&gt;=LI_C,IF($G132&lt;LS_C,$T132,0),0),0)</f>
        <v>0</v>
      </c>
      <c r="BN132" s="5">
        <f>IF($G$126="Producción",IF($G132&lt;LS_D,$T132,0),0)</f>
        <v>0</v>
      </c>
      <c r="BO132" s="5">
        <f>IF($G$126="Crecimiento",$T132,0)</f>
        <v>0</v>
      </c>
      <c r="BR132" s="5">
        <f>IF($H$126="Producción",IF($H132&gt;=LI_A,$U132,0),0)</f>
        <v>0</v>
      </c>
      <c r="BS132" s="5">
        <f>IF($H$126="Producción",IF($H132&gt;=LI_B,IF($H132&lt;LS_B,$U132,0),0),0)</f>
        <v>0</v>
      </c>
      <c r="BT132" s="5">
        <f>IF($H$126="Producción",IF($H132&gt;=LI_C,IF($H132&lt;LS_C,$U132,0),0),0)</f>
        <v>0</v>
      </c>
      <c r="BU132" s="5">
        <f>IF($H$126="Producción",IF($H132&lt;LS_D,$U132,0),0)</f>
        <v>0</v>
      </c>
      <c r="BV132" s="5">
        <f>IF($H$126="Crecimiento",$T132,0)</f>
        <v>0</v>
      </c>
      <c r="BY132" s="5">
        <f>IF($I$126="Producción",IF($I132&gt;=LI_A,$V132,0),0)</f>
        <v>0</v>
      </c>
      <c r="BZ132" s="5">
        <f>IF($I$126="Producción",IF($I132&gt;=LI_B,IF($I132&lt;LS_B,$V132,0),0),0)</f>
        <v>0</v>
      </c>
      <c r="CA132" s="5">
        <f>IF($I$126="Producción",IF($I132&gt;=LI_C,IF($I132&lt;LS_C,$V132,0),0),0)</f>
        <v>0</v>
      </c>
      <c r="CB132" s="5">
        <f>IF($I$126="Producción",IF($I132&lt;LS_D,$V132,0),0)</f>
        <v>0</v>
      </c>
      <c r="CC132" s="5">
        <f>IF($I$126="Crecimiento",$V132,0)</f>
        <v>0</v>
      </c>
      <c r="CF132" s="5">
        <f>IF($J$126="Producción",IF($J132&gt;=LI_A,$W132,0),0)</f>
        <v>0</v>
      </c>
      <c r="CG132" s="5">
        <f>IF($J$126="Producción",IF($J132&gt;=LI_B,IF($J132&lt;LS_B,$W132,0),0),0)</f>
        <v>0</v>
      </c>
      <c r="CH132" s="5">
        <f>IF($J$126="Producción",IF($J132&gt;=LI_C,IF($J132&lt;LS_C,$W132,0),0),0)</f>
        <v>0</v>
      </c>
      <c r="CI132" s="5">
        <f>IF($J$126="Producción",IF($J132&lt;LS_D,$W132,0),0)</f>
        <v>0</v>
      </c>
      <c r="CJ132" s="5">
        <f>IF($J$126="Crecimiento",$W132,0)</f>
        <v>0</v>
      </c>
      <c r="CM132" s="5">
        <f>IF($K$126="Producción",IF($K132&gt;=LI_A,$X132,0),0)</f>
        <v>0</v>
      </c>
      <c r="CN132" s="5">
        <f>IF($K$126="Producción",IF($K132&gt;=LI_B,IF($K132&lt;LS_B,$X132,0),0),0)</f>
        <v>0</v>
      </c>
      <c r="CO132" s="5">
        <f>IF($K$126="Producción",IF($K132&gt;=LI_C,IF($K132&lt;LS_C,$X132,0),0),0)</f>
        <v>0</v>
      </c>
      <c r="CP132" s="5">
        <f>IF($K$126="Producción",IF($K132&lt;LS_D,$X132,0),0)</f>
        <v>0</v>
      </c>
      <c r="CQ132" s="5">
        <f>IF($K$126="Crecimiento",$X132,0)</f>
        <v>0</v>
      </c>
      <c r="CT132" s="5">
        <f>IF($L$126="Producción",IF($L132&gt;=LI_A,$Y132,0),0)</f>
        <v>0</v>
      </c>
      <c r="CU132" s="5">
        <f>IF($L$126="Producción",IF($L132&gt;=LI_B,IF($L132&lt;LS_B,$Y132,0),0),0)</f>
        <v>0</v>
      </c>
      <c r="CV132" s="5">
        <f>IF($L$126="Producción",IF($L132&gt;=LI_C,IF($L132&lt;LS_C,$Y132,0),0),0)</f>
        <v>0</v>
      </c>
      <c r="CW132" s="5">
        <f>IF($L$126="Producción",IF($L132&lt;LS_D,$Y132,0),0)</f>
        <v>0</v>
      </c>
      <c r="CX132" s="5">
        <f>IF($L$126="Crecimiento",$Y132,0)</f>
        <v>0</v>
      </c>
      <c r="DA132" s="5">
        <f>IF($M$126="Producción",IF($M132&gt;=LI_A,$Z132,0),0)</f>
        <v>0</v>
      </c>
      <c r="DB132" s="5">
        <f>IF($M$126="Producción",IF($M132&gt;=LI_B,IF($M132&lt;LS_B,$Z132,0),0),0)</f>
        <v>0</v>
      </c>
      <c r="DC132" s="5">
        <f>IF($M$126="Producción",IF($M132&gt;=LI_C,IF($M132&lt;LS_C,$Z132,0),0),0)</f>
        <v>0</v>
      </c>
      <c r="DD132" s="5">
        <f>IF($M$126="Producción",IF($M132&lt;LS_D,$Z132,0),0)</f>
        <v>0</v>
      </c>
      <c r="DE132" s="5">
        <f>IF($M$126="Crecimiento",$Z132,0)</f>
        <v>0</v>
      </c>
      <c r="DI132" s="5">
        <f t="shared" si="935"/>
        <v>0</v>
      </c>
      <c r="DJ132" s="5">
        <f t="shared" si="936"/>
        <v>0</v>
      </c>
      <c r="DK132" s="5">
        <f t="shared" si="937"/>
        <v>0</v>
      </c>
      <c r="DL132" s="5">
        <f t="shared" si="938"/>
        <v>0</v>
      </c>
      <c r="DM132" s="5">
        <f t="shared" si="939"/>
        <v>0</v>
      </c>
      <c r="DN132" s="5">
        <f t="shared" si="940"/>
        <v>0</v>
      </c>
      <c r="DO132" s="5">
        <f t="shared" si="941"/>
        <v>0</v>
      </c>
      <c r="DP132" s="5">
        <f t="shared" si="942"/>
        <v>0</v>
      </c>
      <c r="DQ132" s="5">
        <f t="shared" si="943"/>
        <v>0</v>
      </c>
      <c r="DR132" s="5">
        <f t="shared" si="944"/>
        <v>0</v>
      </c>
      <c r="DS132" s="5">
        <f t="shared" si="945"/>
        <v>0</v>
      </c>
      <c r="DT132" s="5">
        <f t="shared" si="946"/>
        <v>0</v>
      </c>
      <c r="DU132" s="5">
        <f t="shared" si="947"/>
        <v>0</v>
      </c>
      <c r="DV132" s="5">
        <f t="shared" si="948"/>
        <v>0</v>
      </c>
      <c r="DW132" s="5">
        <f t="shared" si="949"/>
        <v>0</v>
      </c>
      <c r="DX132" s="5">
        <f t="shared" si="950"/>
        <v>0</v>
      </c>
      <c r="DY132" s="5">
        <f t="shared" si="951"/>
        <v>0</v>
      </c>
      <c r="DZ132" s="5">
        <f t="shared" si="952"/>
        <v>0</v>
      </c>
      <c r="EA132" s="5">
        <f t="shared" si="953"/>
        <v>0</v>
      </c>
      <c r="EB132" s="5">
        <f t="shared" si="954"/>
        <v>0</v>
      </c>
      <c r="EC132" s="5">
        <f t="shared" si="955"/>
        <v>0</v>
      </c>
      <c r="ED132" s="5">
        <f t="shared" si="956"/>
        <v>0</v>
      </c>
      <c r="EE132" s="5">
        <f t="shared" si="957"/>
        <v>0</v>
      </c>
      <c r="EF132" s="5">
        <f t="shared" si="958"/>
        <v>0</v>
      </c>
      <c r="EG132" s="5">
        <f t="shared" si="959"/>
        <v>0</v>
      </c>
      <c r="EH132" s="5">
        <f t="shared" si="960"/>
        <v>0</v>
      </c>
      <c r="EI132" s="5">
        <f t="shared" si="961"/>
        <v>0</v>
      </c>
      <c r="EJ132" s="5">
        <f t="shared" si="962"/>
        <v>0</v>
      </c>
      <c r="EK132" s="5">
        <f t="shared" si="963"/>
        <v>0</v>
      </c>
      <c r="EL132" s="5">
        <f t="shared" si="964"/>
        <v>0</v>
      </c>
      <c r="EM132" s="5">
        <f t="shared" si="965"/>
        <v>0</v>
      </c>
      <c r="EN132" s="5">
        <f t="shared" si="966"/>
        <v>0</v>
      </c>
      <c r="EO132" s="5">
        <f t="shared" si="967"/>
        <v>0</v>
      </c>
      <c r="EP132" s="5">
        <f t="shared" si="968"/>
        <v>0</v>
      </c>
      <c r="EQ132" s="5">
        <f t="shared" si="969"/>
        <v>0</v>
      </c>
      <c r="ER132" s="5">
        <f t="shared" si="970"/>
        <v>0</v>
      </c>
      <c r="ES132" s="5">
        <f t="shared" si="971"/>
        <v>0</v>
      </c>
      <c r="ET132" s="5">
        <f t="shared" si="972"/>
        <v>0</v>
      </c>
      <c r="EU132" s="5">
        <f t="shared" si="973"/>
        <v>0</v>
      </c>
      <c r="EV132" s="5">
        <f t="shared" si="974"/>
        <v>0</v>
      </c>
      <c r="EW132" s="5">
        <f t="shared" si="975"/>
        <v>0</v>
      </c>
      <c r="EX132" s="5">
        <f t="shared" si="976"/>
        <v>0</v>
      </c>
      <c r="EY132" s="5">
        <f t="shared" si="977"/>
        <v>0</v>
      </c>
      <c r="EZ132" s="5">
        <f t="shared" si="978"/>
        <v>0</v>
      </c>
      <c r="FA132" s="5">
        <f t="shared" si="979"/>
        <v>0</v>
      </c>
      <c r="FB132" s="5">
        <f t="shared" si="980"/>
        <v>0</v>
      </c>
      <c r="FC132" s="5">
        <f t="shared" si="981"/>
        <v>0</v>
      </c>
      <c r="FD132" s="5">
        <f t="shared" si="982"/>
        <v>0</v>
      </c>
      <c r="FE132" s="5">
        <f t="shared" si="983"/>
        <v>0</v>
      </c>
      <c r="FF132" s="5">
        <f t="shared" si="984"/>
        <v>0</v>
      </c>
      <c r="FG132" s="5">
        <f t="shared" si="985"/>
        <v>0</v>
      </c>
      <c r="FH132" s="5">
        <f t="shared" si="986"/>
        <v>0</v>
      </c>
      <c r="FI132" s="5">
        <f t="shared" si="987"/>
        <v>0</v>
      </c>
      <c r="FJ132" s="5">
        <f t="shared" si="988"/>
        <v>0</v>
      </c>
      <c r="FK132" s="5">
        <f t="shared" si="989"/>
        <v>0</v>
      </c>
      <c r="FL132" s="5">
        <f t="shared" si="990"/>
        <v>0</v>
      </c>
      <c r="FM132" s="5">
        <f t="shared" si="991"/>
        <v>0</v>
      </c>
      <c r="FN132" s="5">
        <f t="shared" si="992"/>
        <v>0</v>
      </c>
      <c r="FO132" s="5">
        <f t="shared" si="993"/>
        <v>0</v>
      </c>
      <c r="FP132" s="5">
        <f t="shared" si="994"/>
        <v>0</v>
      </c>
    </row>
    <row r="133" spans="1:172" ht="20.100000000000001" customHeight="1" x14ac:dyDescent="0.3">
      <c r="A133" s="9" t="str">
        <f>IF(Ciclo=5,"Surco 5","NA")</f>
        <v>NA</v>
      </c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O133" s="58">
        <f>IF($A133="NA",0,IFERROR('6'!O$67/Ciclo,0))</f>
        <v>0</v>
      </c>
      <c r="P133" s="58">
        <f>IF($A133="NA",0,IFERROR('6'!P$67/Ciclo,0))</f>
        <v>0</v>
      </c>
      <c r="Q133" s="58">
        <f>IF($A133="NA",0,IFERROR('6'!Q$67/Ciclo,0))</f>
        <v>0</v>
      </c>
      <c r="R133" s="58">
        <f>IF($A133="NA",0,IFERROR('6'!R$67/Ciclo,0))</f>
        <v>0</v>
      </c>
      <c r="S133" s="58">
        <f>IF($A133="NA",0,IFERROR('6'!S$67/Ciclo,0))</f>
        <v>0</v>
      </c>
      <c r="T133" s="58">
        <f>IF($A133="NA",0,IFERROR('6'!T$67/Ciclo,0))</f>
        <v>0</v>
      </c>
      <c r="U133" s="58">
        <f>IF($A133="NA",0,IFERROR('6'!U$67/Ciclo,0))</f>
        <v>0</v>
      </c>
      <c r="V133" s="58">
        <f>IF($A133="NA",0,IFERROR('6'!V$67/Ciclo,0))</f>
        <v>0</v>
      </c>
      <c r="W133" s="5">
        <f>IF($A133="NA",0,IFERROR('6'!W$67/Ciclo,0))</f>
        <v>0</v>
      </c>
      <c r="X133" s="5">
        <f>IF($A133="NA",0,IFERROR('6'!X$67/Ciclo,0))</f>
        <v>0</v>
      </c>
      <c r="Y133" s="5">
        <f>IF($A133="NA",0,IFERROR('6'!Y$67/Ciclo,0))</f>
        <v>0</v>
      </c>
      <c r="Z133" s="5">
        <f>IF($A133="NA",0,IFERROR('6'!Z$67/Ciclo,0))</f>
        <v>0</v>
      </c>
      <c r="AB133" s="5">
        <f>IF($B$126="Producción",IF($B133&gt;=LI_A,$O133,0),0)</f>
        <v>0</v>
      </c>
      <c r="AC133" s="5">
        <f>IF($B$126="Producción",IF($B133&gt;=LI_B,IF($B133&lt;LS_B,$O133,0),0),0)</f>
        <v>0</v>
      </c>
      <c r="AD133" s="5">
        <f>IF($B$126="Producción",IF($B133&gt;=LI_C,IF($B133&lt;LS_C,$O133,0),0),0)</f>
        <v>0</v>
      </c>
      <c r="AE133" s="5">
        <f>IF($B$126="Producción",IF($B133&lt;LS_D,$O133,0),0)</f>
        <v>0</v>
      </c>
      <c r="AF133" s="5">
        <f t="shared" si="995"/>
        <v>0</v>
      </c>
      <c r="AI133" s="5">
        <f>IF($C$126="Producción",IF($C133&gt;=LI_A,$P133,0),0)</f>
        <v>0</v>
      </c>
      <c r="AJ133" s="5">
        <f>IF($C$126="Producción",IF($C133&gt;=LI_B,IF($C133&lt;LS_B,$P133,0),0),0)</f>
        <v>0</v>
      </c>
      <c r="AK133" s="5">
        <f>IF($C$126="Producción",IF($C133&gt;=LI_C,IF($C133&lt;LS_C,$P133,0),0),0)</f>
        <v>0</v>
      </c>
      <c r="AL133" s="5">
        <f>IF($C$126="Producción",IF($C133&lt;LS_D,$P133,0),0)</f>
        <v>0</v>
      </c>
      <c r="AM133" s="5">
        <f>IF($C$126="Crecimiento",$P133,0)</f>
        <v>0</v>
      </c>
      <c r="AP133" s="5">
        <f>IF($D$126="Producción",IF($D133&gt;=LI_A,$Q133,0),0)</f>
        <v>0</v>
      </c>
      <c r="AQ133" s="5">
        <f>IF($D$126="Producción",IF($D133&gt;=LI_B,IF($D133&lt;LS_B,$Q133,0),0),0)</f>
        <v>0</v>
      </c>
      <c r="AR133" s="5">
        <f>IF($D$126="Producción",IF($D133&gt;=LI_C,IF($D133&lt;LS_C,$Q133,0),0),0)</f>
        <v>0</v>
      </c>
      <c r="AS133" s="5">
        <f>IF($D$126="Producción",IF($D133&lt;LS_D,$Q133,0),0)</f>
        <v>0</v>
      </c>
      <c r="AT133" s="5">
        <f>IF($D$126="Crecimiento",IF($D133&gt;0,$Q133,0),0)</f>
        <v>0</v>
      </c>
      <c r="AW133" s="5">
        <f>IF($E$126="Producción",IF($E133&gt;=LI_A,$R133,0),0)</f>
        <v>0</v>
      </c>
      <c r="AX133" s="5">
        <f>IF($E$126="Producción",IF($E133&gt;=LI_B,IF($E133&lt;LS_B,$R133,0),0),0)</f>
        <v>0</v>
      </c>
      <c r="AY133" s="5">
        <f>IF($E$126="Producción",IF($E133&gt;=LI_C,IF($E133&lt;LS_C,$R133,0),0),0)</f>
        <v>0</v>
      </c>
      <c r="AZ133" s="5">
        <f>IF($E$126="Producción",IF($E133&lt;LS_D,$R133,0),0)</f>
        <v>0</v>
      </c>
      <c r="BA133" s="5">
        <f>IF($E$126="Crecimiento",$R133,0)</f>
        <v>0</v>
      </c>
      <c r="BD133" s="5">
        <f>IF($F$126="Producción",IF($F133&gt;=LI_A,$S133,0),0)</f>
        <v>0</v>
      </c>
      <c r="BE133" s="5">
        <f>IF($F$126="Producción",IF($F133&gt;=LI_B,IF($F133&lt;LS_B,$S133,0),0),0)</f>
        <v>0</v>
      </c>
      <c r="BF133" s="5">
        <f>IF($F$126="Producción",IF($F133&gt;=LI_C,IF($F133&lt;LS_C,$S133,0),0),0)</f>
        <v>0</v>
      </c>
      <c r="BG133" s="5">
        <f>IF($F$126="Producción",IF($F133&lt;LS_D,$S133,0),0)</f>
        <v>0</v>
      </c>
      <c r="BH133" s="5">
        <f>IF($F$126="Crecimiento",$S133,0)</f>
        <v>0</v>
      </c>
      <c r="BK133" s="5">
        <f>IF($G$126="Producción",IF($G133&gt;=LI_A,$T133,0),0)</f>
        <v>0</v>
      </c>
      <c r="BL133" s="5">
        <f>IF($G$126="Producción",IF($G133&gt;=LI_B,IF($G133&lt;LS_B,$T133,0),0),0)</f>
        <v>0</v>
      </c>
      <c r="BM133" s="5">
        <f>IF($G$126="Producción",IF($G133&gt;=LI_C,IF($G133&lt;LS_C,$T133,0),0),0)</f>
        <v>0</v>
      </c>
      <c r="BN133" s="5">
        <f>IF($G$126="Producción",IF($G133&lt;LS_D,$T133,0),0)</f>
        <v>0</v>
      </c>
      <c r="BO133" s="5">
        <f>IF($G$126="Crecimiento",$T133,0)</f>
        <v>0</v>
      </c>
      <c r="BR133" s="5">
        <f>IF($H$126="Producción",IF($H133&gt;=LI_A,$U133,0),0)</f>
        <v>0</v>
      </c>
      <c r="BS133" s="5">
        <f>IF($H$126="Producción",IF($H133&gt;=LI_B,IF($H133&lt;LS_B,$U133,0),0),0)</f>
        <v>0</v>
      </c>
      <c r="BT133" s="5">
        <f>IF($H$126="Producción",IF($H133&gt;=LI_C,IF($H133&lt;LS_C,$U133,0),0),0)</f>
        <v>0</v>
      </c>
      <c r="BU133" s="5">
        <f>IF($H$126="Producción",IF($H133&lt;LS_D,$U133,0),0)</f>
        <v>0</v>
      </c>
      <c r="BV133" s="5">
        <f>IF($H$126="Crecimiento",$T133,0)</f>
        <v>0</v>
      </c>
      <c r="BY133" s="5">
        <f>IF($I$126="Producción",IF($I133&gt;=LI_A,$V133,0),0)</f>
        <v>0</v>
      </c>
      <c r="BZ133" s="5">
        <f>IF($I$126="Producción",IF($I133&gt;=LI_B,IF($I133&lt;LS_B,$V133,0),0),0)</f>
        <v>0</v>
      </c>
      <c r="CA133" s="5">
        <f>IF($I$126="Producción",IF($I133&gt;=LI_C,IF($I133&lt;LS_C,$V133,0),0),0)</f>
        <v>0</v>
      </c>
      <c r="CB133" s="5">
        <f>IF($I$126="Producción",IF($I133&lt;LS_D,$V133,0),0)</f>
        <v>0</v>
      </c>
      <c r="CC133" s="5">
        <f>IF($I$126="Crecimiento",$V133,0)</f>
        <v>0</v>
      </c>
      <c r="CF133" s="5">
        <f>IF($J$126="Producción",IF($J133&gt;=LI_A,$W133,0),0)</f>
        <v>0</v>
      </c>
      <c r="CG133" s="5">
        <f>IF($J$126="Producción",IF($J133&gt;=LI_B,IF($J133&lt;LS_B,$W133,0),0),0)</f>
        <v>0</v>
      </c>
      <c r="CH133" s="5">
        <f>IF($J$126="Producción",IF($J133&gt;=LI_C,IF($J133&lt;LS_C,$W133,0),0),0)</f>
        <v>0</v>
      </c>
      <c r="CI133" s="5">
        <f>IF($J$126="Producción",IF($J133&lt;LS_D,$W133,0),0)</f>
        <v>0</v>
      </c>
      <c r="CJ133" s="5">
        <f>IF($J$126="Crecimiento",$W133,0)</f>
        <v>0</v>
      </c>
      <c r="CM133" s="5">
        <f>IF($K$126="Producción",IF($K133&gt;=LI_A,$X133,0),0)</f>
        <v>0</v>
      </c>
      <c r="CN133" s="5">
        <f>IF($K$126="Producción",IF($K133&gt;=LI_B,IF($K133&lt;LS_B,$X133,0),0),0)</f>
        <v>0</v>
      </c>
      <c r="CO133" s="5">
        <f>IF($K$126="Producción",IF($K133&gt;=LI_C,IF($K133&lt;LS_C,$X133,0),0),0)</f>
        <v>0</v>
      </c>
      <c r="CP133" s="5">
        <f>IF($K$126="Producción",IF($K133&lt;LS_D,$X133,0),0)</f>
        <v>0</v>
      </c>
      <c r="CQ133" s="5">
        <f>IF($K$126="Crecimiento",$X133,0)</f>
        <v>0</v>
      </c>
      <c r="CT133" s="5">
        <f>IF($L$126="Producción",IF($L133&gt;=LI_A,$Y133,0),0)</f>
        <v>0</v>
      </c>
      <c r="CU133" s="5">
        <f>IF($L$126="Producción",IF($L133&gt;=LI_B,IF($L133&lt;LS_B,$Y133,0),0),0)</f>
        <v>0</v>
      </c>
      <c r="CV133" s="5">
        <f>IF($L$126="Producción",IF($L133&gt;=LI_C,IF($L133&lt;LS_C,$Y133,0),0),0)</f>
        <v>0</v>
      </c>
      <c r="CW133" s="5">
        <f>IF($L$126="Producción",IF($L133&lt;LS_D,$Y133,0),0)</f>
        <v>0</v>
      </c>
      <c r="CX133" s="5">
        <f>IF($L$126="Crecimiento",$Y133,0)</f>
        <v>0</v>
      </c>
      <c r="DA133" s="5">
        <f>IF($M$126="Producción",IF($M133&gt;=LI_A,$Z133,0),0)</f>
        <v>0</v>
      </c>
      <c r="DB133" s="5">
        <f>IF($M$126="Producción",IF($M133&gt;=LI_B,IF($M133&lt;LS_B,$Z133,0),0),0)</f>
        <v>0</v>
      </c>
      <c r="DC133" s="5">
        <f>IF($M$126="Producción",IF($M133&gt;=LI_C,IF($M133&lt;LS_C,$Z133,0),0),0)</f>
        <v>0</v>
      </c>
      <c r="DD133" s="5">
        <f>IF($M$126="Producción",IF($M133&lt;LS_D,$Z133,0),0)</f>
        <v>0</v>
      </c>
      <c r="DE133" s="5">
        <f>IF($M$126="Crecimiento",$Z133,0)</f>
        <v>0</v>
      </c>
      <c r="DI133" s="5">
        <f t="shared" si="935"/>
        <v>0</v>
      </c>
      <c r="DJ133" s="5">
        <f t="shared" si="936"/>
        <v>0</v>
      </c>
      <c r="DK133" s="5">
        <f t="shared" si="937"/>
        <v>0</v>
      </c>
      <c r="DL133" s="5">
        <f t="shared" si="938"/>
        <v>0</v>
      </c>
      <c r="DM133" s="5">
        <f t="shared" si="939"/>
        <v>0</v>
      </c>
      <c r="DN133" s="5">
        <f t="shared" si="940"/>
        <v>0</v>
      </c>
      <c r="DO133" s="5">
        <f t="shared" si="941"/>
        <v>0</v>
      </c>
      <c r="DP133" s="5">
        <f t="shared" si="942"/>
        <v>0</v>
      </c>
      <c r="DQ133" s="5">
        <f t="shared" si="943"/>
        <v>0</v>
      </c>
      <c r="DR133" s="5">
        <f t="shared" si="944"/>
        <v>0</v>
      </c>
      <c r="DS133" s="5">
        <f t="shared" si="945"/>
        <v>0</v>
      </c>
      <c r="DT133" s="5">
        <f t="shared" si="946"/>
        <v>0</v>
      </c>
      <c r="DU133" s="5">
        <f t="shared" si="947"/>
        <v>0</v>
      </c>
      <c r="DV133" s="5">
        <f t="shared" si="948"/>
        <v>0</v>
      </c>
      <c r="DW133" s="5">
        <f t="shared" si="949"/>
        <v>0</v>
      </c>
      <c r="DX133" s="5">
        <f t="shared" si="950"/>
        <v>0</v>
      </c>
      <c r="DY133" s="5">
        <f t="shared" si="951"/>
        <v>0</v>
      </c>
      <c r="DZ133" s="5">
        <f t="shared" si="952"/>
        <v>0</v>
      </c>
      <c r="EA133" s="5">
        <f t="shared" si="953"/>
        <v>0</v>
      </c>
      <c r="EB133" s="5">
        <f t="shared" si="954"/>
        <v>0</v>
      </c>
      <c r="EC133" s="5">
        <f t="shared" si="955"/>
        <v>0</v>
      </c>
      <c r="ED133" s="5">
        <f t="shared" si="956"/>
        <v>0</v>
      </c>
      <c r="EE133" s="5">
        <f t="shared" si="957"/>
        <v>0</v>
      </c>
      <c r="EF133" s="5">
        <f t="shared" si="958"/>
        <v>0</v>
      </c>
      <c r="EG133" s="5">
        <f t="shared" si="959"/>
        <v>0</v>
      </c>
      <c r="EH133" s="5">
        <f t="shared" si="960"/>
        <v>0</v>
      </c>
      <c r="EI133" s="5">
        <f t="shared" si="961"/>
        <v>0</v>
      </c>
      <c r="EJ133" s="5">
        <f t="shared" si="962"/>
        <v>0</v>
      </c>
      <c r="EK133" s="5">
        <f t="shared" si="963"/>
        <v>0</v>
      </c>
      <c r="EL133" s="5">
        <f t="shared" si="964"/>
        <v>0</v>
      </c>
      <c r="EM133" s="5">
        <f t="shared" si="965"/>
        <v>0</v>
      </c>
      <c r="EN133" s="5">
        <f t="shared" si="966"/>
        <v>0</v>
      </c>
      <c r="EO133" s="5">
        <f t="shared" si="967"/>
        <v>0</v>
      </c>
      <c r="EP133" s="5">
        <f t="shared" si="968"/>
        <v>0</v>
      </c>
      <c r="EQ133" s="5">
        <f t="shared" si="969"/>
        <v>0</v>
      </c>
      <c r="ER133" s="5">
        <f t="shared" si="970"/>
        <v>0</v>
      </c>
      <c r="ES133" s="5">
        <f t="shared" si="971"/>
        <v>0</v>
      </c>
      <c r="ET133" s="5">
        <f t="shared" si="972"/>
        <v>0</v>
      </c>
      <c r="EU133" s="5">
        <f t="shared" si="973"/>
        <v>0</v>
      </c>
      <c r="EV133" s="5">
        <f t="shared" si="974"/>
        <v>0</v>
      </c>
      <c r="EW133" s="5">
        <f t="shared" si="975"/>
        <v>0</v>
      </c>
      <c r="EX133" s="5">
        <f t="shared" si="976"/>
        <v>0</v>
      </c>
      <c r="EY133" s="5">
        <f t="shared" si="977"/>
        <v>0</v>
      </c>
      <c r="EZ133" s="5">
        <f t="shared" si="978"/>
        <v>0</v>
      </c>
      <c r="FA133" s="5">
        <f t="shared" si="979"/>
        <v>0</v>
      </c>
      <c r="FB133" s="5">
        <f t="shared" si="980"/>
        <v>0</v>
      </c>
      <c r="FC133" s="5">
        <f t="shared" si="981"/>
        <v>0</v>
      </c>
      <c r="FD133" s="5">
        <f t="shared" si="982"/>
        <v>0</v>
      </c>
      <c r="FE133" s="5">
        <f t="shared" si="983"/>
        <v>0</v>
      </c>
      <c r="FF133" s="5">
        <f t="shared" si="984"/>
        <v>0</v>
      </c>
      <c r="FG133" s="5">
        <f t="shared" si="985"/>
        <v>0</v>
      </c>
      <c r="FH133" s="5">
        <f t="shared" si="986"/>
        <v>0</v>
      </c>
      <c r="FI133" s="5">
        <f t="shared" si="987"/>
        <v>0</v>
      </c>
      <c r="FJ133" s="5">
        <f t="shared" si="988"/>
        <v>0</v>
      </c>
      <c r="FK133" s="5">
        <f t="shared" si="989"/>
        <v>0</v>
      </c>
      <c r="FL133" s="5">
        <f t="shared" si="990"/>
        <v>0</v>
      </c>
      <c r="FM133" s="5">
        <f t="shared" si="991"/>
        <v>0</v>
      </c>
      <c r="FN133" s="5">
        <f t="shared" si="992"/>
        <v>0</v>
      </c>
      <c r="FO133" s="5">
        <f t="shared" si="993"/>
        <v>0</v>
      </c>
      <c r="FP133" s="5">
        <f t="shared" si="994"/>
        <v>0</v>
      </c>
    </row>
    <row r="134" spans="1:172" ht="20.100000000000001" customHeight="1" x14ac:dyDescent="0.3">
      <c r="A134" s="172">
        <f>N_L17</f>
        <v>0</v>
      </c>
      <c r="B134" s="363" t="s">
        <v>37</v>
      </c>
      <c r="C134" s="363" t="s">
        <v>37</v>
      </c>
      <c r="D134" s="363" t="s">
        <v>37</v>
      </c>
      <c r="E134" s="363" t="s">
        <v>37</v>
      </c>
      <c r="F134" s="363" t="s">
        <v>37</v>
      </c>
      <c r="G134" s="363" t="s">
        <v>37</v>
      </c>
      <c r="H134" s="363" t="s">
        <v>37</v>
      </c>
      <c r="I134" s="363" t="s">
        <v>37</v>
      </c>
      <c r="J134" s="363" t="s">
        <v>37</v>
      </c>
      <c r="K134" s="363" t="s">
        <v>37</v>
      </c>
      <c r="L134" s="363" t="s">
        <v>37</v>
      </c>
      <c r="M134" s="363" t="s">
        <v>37</v>
      </c>
    </row>
    <row r="135" spans="1:172" ht="20.100000000000001" customHeight="1" x14ac:dyDescent="0.3">
      <c r="A135" s="175" t="s">
        <v>238</v>
      </c>
      <c r="B135" s="174">
        <f>SUM(DI137:DM141)/100</f>
        <v>0</v>
      </c>
      <c r="C135" s="174">
        <f>SUM(DN137:DR141)/100</f>
        <v>0</v>
      </c>
      <c r="D135" s="174">
        <f>SUM(DS137:DW141)/100</f>
        <v>0</v>
      </c>
      <c r="E135" s="174">
        <f>SUM(DX137:EB141)/100</f>
        <v>0</v>
      </c>
      <c r="F135" s="174">
        <f>SUM(EC137:EG141)/100</f>
        <v>0</v>
      </c>
      <c r="G135" s="174">
        <f>SUM(EH137:EL141)/100</f>
        <v>0</v>
      </c>
      <c r="H135" s="174">
        <f>SUM(EM137:EQ141)/100</f>
        <v>0</v>
      </c>
      <c r="I135" s="174">
        <f>SUM(ER137:EV141)/100</f>
        <v>0</v>
      </c>
      <c r="J135" s="174">
        <f>SUM(EW137:FA141)/100</f>
        <v>0</v>
      </c>
      <c r="K135" s="174">
        <f>SUM(FB137:FF141)/100</f>
        <v>0</v>
      </c>
      <c r="L135" s="174">
        <f>SUM(FG137:FK141)/100</f>
        <v>0</v>
      </c>
      <c r="M135" s="174">
        <f>SUM(FL137:FP141)/100</f>
        <v>0</v>
      </c>
    </row>
    <row r="136" spans="1:172" ht="20.100000000000001" customHeight="1" x14ac:dyDescent="0.3">
      <c r="A136" s="151" t="s">
        <v>239</v>
      </c>
      <c r="B136" s="152" t="e">
        <f t="shared" ref="B136:M136" si="996">B135/Lote_17</f>
        <v>#DIV/0!</v>
      </c>
      <c r="C136" s="152" t="e">
        <f t="shared" si="996"/>
        <v>#DIV/0!</v>
      </c>
      <c r="D136" s="152" t="e">
        <f t="shared" si="996"/>
        <v>#DIV/0!</v>
      </c>
      <c r="E136" s="152" t="e">
        <f t="shared" si="996"/>
        <v>#DIV/0!</v>
      </c>
      <c r="F136" s="152" t="e">
        <f t="shared" si="996"/>
        <v>#DIV/0!</v>
      </c>
      <c r="G136" s="152" t="e">
        <f t="shared" si="996"/>
        <v>#DIV/0!</v>
      </c>
      <c r="H136" s="152" t="e">
        <f t="shared" si="996"/>
        <v>#DIV/0!</v>
      </c>
      <c r="I136" s="152" t="e">
        <f t="shared" si="996"/>
        <v>#DIV/0!</v>
      </c>
      <c r="J136" s="152" t="e">
        <f t="shared" si="996"/>
        <v>#DIV/0!</v>
      </c>
      <c r="K136" s="152" t="e">
        <f t="shared" si="996"/>
        <v>#DIV/0!</v>
      </c>
      <c r="L136" s="152" t="e">
        <f t="shared" si="996"/>
        <v>#DIV/0!</v>
      </c>
      <c r="M136" s="152" t="e">
        <f t="shared" si="996"/>
        <v>#DIV/0!</v>
      </c>
    </row>
    <row r="137" spans="1:172" ht="20.100000000000001" customHeight="1" x14ac:dyDescent="0.3">
      <c r="A137" s="8" t="s">
        <v>302</v>
      </c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O137" s="58">
        <f>IFERROR('6'!O$71/Ciclo,0)</f>
        <v>0</v>
      </c>
      <c r="P137" s="58">
        <f>IFERROR('6'!P$71/Ciclo,0)</f>
        <v>0</v>
      </c>
      <c r="Q137" s="58">
        <f>IFERROR('6'!Q$71/Ciclo,0)</f>
        <v>0</v>
      </c>
      <c r="R137" s="58">
        <f>IFERROR('6'!R$71/Ciclo,0)</f>
        <v>0</v>
      </c>
      <c r="S137" s="58">
        <f>IFERROR('6'!S$71/Ciclo,0)</f>
        <v>0</v>
      </c>
      <c r="T137" s="58">
        <f>IFERROR('6'!T$71/Ciclo,0)</f>
        <v>0</v>
      </c>
      <c r="U137" s="58">
        <f>IFERROR('6'!U$71/Ciclo,0)</f>
        <v>0</v>
      </c>
      <c r="V137" s="58">
        <f>IFERROR('6'!V$71/Ciclo,0)</f>
        <v>0</v>
      </c>
      <c r="W137" s="5">
        <f>IFERROR('6'!W$71/Ciclo,0)</f>
        <v>0</v>
      </c>
      <c r="X137" s="5">
        <f>IFERROR('6'!X$71/Ciclo,0)</f>
        <v>0</v>
      </c>
      <c r="Y137" s="5">
        <f>IFERROR('6'!Y$71/Ciclo,0)</f>
        <v>0</v>
      </c>
      <c r="Z137" s="5">
        <f>IFERROR('6'!Z$71/Ciclo,0)</f>
        <v>0</v>
      </c>
      <c r="AB137" s="5">
        <f>IF($B$134="Producción",IF($B137&gt;=LI_A,$O137,0),0)</f>
        <v>0</v>
      </c>
      <c r="AC137" s="5">
        <f>IF($B$134="Producción",IF($B137&gt;=LI_B,IF($B137&lt;LS_B,$O137,0),0),0)</f>
        <v>0</v>
      </c>
      <c r="AD137" s="5">
        <f>IF($B$134="Producción",IF($B137&gt;=LI_C,IF($B137&lt;LS_C,$O137,0),0),0)</f>
        <v>0</v>
      </c>
      <c r="AE137" s="5">
        <f>IF($B$134="Producción",IF($B137&lt;LS_D,$O137,0),0)</f>
        <v>0</v>
      </c>
      <c r="AF137" s="5">
        <f>IF($B$134="Crecimiento",$O137,0)</f>
        <v>0</v>
      </c>
      <c r="AG137" s="5">
        <f>IF($B134="Siembra",'6'!$O$7,0)</f>
        <v>0</v>
      </c>
      <c r="AH137" s="5">
        <f>IF($B134="Abandono",'6'!$O$7,0)</f>
        <v>0</v>
      </c>
      <c r="AI137" s="5">
        <f>IF($C$134="Producción",IF($C137&gt;=LI_A,$P137,0),0)</f>
        <v>0</v>
      </c>
      <c r="AJ137" s="5">
        <f>IF($C$134="Producción",IF($C137&gt;=LI_B,IF($C137&lt;LS_B,$P137,0),0),0)</f>
        <v>0</v>
      </c>
      <c r="AK137" s="5">
        <f>IF($C$134="Producción",IF($C137&gt;=LI_C,IF($C137&lt;LS_C,$P137,0),0),0)</f>
        <v>0</v>
      </c>
      <c r="AL137" s="5">
        <f>IF($C$134="Producción",IF($C137&lt;LS_D,$P137,0),0)</f>
        <v>0</v>
      </c>
      <c r="AM137" s="5">
        <f>IF($C$134="Crecimiento",$P137,0)</f>
        <v>0</v>
      </c>
      <c r="AN137" s="5">
        <f>IF($C134="Siembra",'6'!$P$7,0)</f>
        <v>0</v>
      </c>
      <c r="AO137" s="5">
        <f>IF($C134="Abandono",'6'!$P$7,0)</f>
        <v>0</v>
      </c>
      <c r="AP137" s="5">
        <f>IF($D$134="Producción",IF($D137&gt;=LI_A,$Q137,0),0)</f>
        <v>0</v>
      </c>
      <c r="AQ137" s="5">
        <f>IF($D$134="Producción",IF($D137&gt;=LI_B,IF($D137&lt;LS_B,$Q137,0),0),0)</f>
        <v>0</v>
      </c>
      <c r="AR137" s="5">
        <f>IF($D$134="Producción",IF($D137&gt;=LI_C,IF($D137&lt;LS_C,$Q137,0),0),0)</f>
        <v>0</v>
      </c>
      <c r="AS137" s="5">
        <f>IF($D$134="Producción",IF($D137&lt;LS_D,$Q137,0),0)</f>
        <v>0</v>
      </c>
      <c r="AT137" s="5">
        <f>IF($D$134="Crecimiento",IF($D137&gt;0,$Q137,0),0)</f>
        <v>0</v>
      </c>
      <c r="AU137" s="5">
        <f>IF($D134="Siembra",'6'!$Q$7,0)</f>
        <v>0</v>
      </c>
      <c r="AV137" s="5">
        <f>IF($D134="Abandono",'6'!$Q$7,0)</f>
        <v>0</v>
      </c>
      <c r="AW137" s="5">
        <f>IF($E$134="Producción",IF($E137&gt;=LI_A,$R137,0),0)</f>
        <v>0</v>
      </c>
      <c r="AX137" s="5">
        <f>IF($E$134="Producción",IF($E137&gt;=LI_B,IF($E137&lt;LS_B,$R137,0),0),0)</f>
        <v>0</v>
      </c>
      <c r="AY137" s="5">
        <f>IF($E$134="Producción",IF($E137&gt;=LI_C,IF($E137&lt;LS_C,$R137,0),0),0)</f>
        <v>0</v>
      </c>
      <c r="AZ137" s="5">
        <f>IF($E$134="Producción",IF($E137&lt;LS_D,$R137,0),0)</f>
        <v>0</v>
      </c>
      <c r="BA137" s="5">
        <f>IF($E$134="Crecimiento",$R137,0)</f>
        <v>0</v>
      </c>
      <c r="BB137" s="5">
        <f>IF($E134="Siembra",'6'!$R$7,0)</f>
        <v>0</v>
      </c>
      <c r="BC137" s="5">
        <f>IF($E134="Abandono",'6'!$R$7,0)</f>
        <v>0</v>
      </c>
      <c r="BD137" s="5">
        <f>IF($F$134="Producción",IF($F137&gt;=LI_A,$S137,0),0)</f>
        <v>0</v>
      </c>
      <c r="BE137" s="5">
        <f>IF($F$134="Producción",IF($F137&gt;=LI_B,IF($F137&lt;LS_B,$S137,0),0),0)</f>
        <v>0</v>
      </c>
      <c r="BF137" s="5">
        <f>IF($F$134="Producción",IF($F137&gt;=LI_C,IF($F137&lt;LS_C,$S137,0),0),0)</f>
        <v>0</v>
      </c>
      <c r="BG137" s="5">
        <f>IF($F$134="Producción",IF($F137&lt;LS_D,$S137,0),0)</f>
        <v>0</v>
      </c>
      <c r="BH137" s="5">
        <f>IF($F$134="Crecimiento",$S137,0)</f>
        <v>0</v>
      </c>
      <c r="BI137" s="5">
        <f>IF($F134="Siembra",'6'!$S$7,0)</f>
        <v>0</v>
      </c>
      <c r="BJ137" s="5">
        <f>IF($F134="Abandono",'6'!$S$7,0)</f>
        <v>0</v>
      </c>
      <c r="BK137" s="5">
        <f>IF($G$134="Producción",IF($G137&gt;=LI_A,$T137,0),0)</f>
        <v>0</v>
      </c>
      <c r="BL137" s="5">
        <f>IF($G$134="Producción",IF($G137&gt;=LI_B,IF($G137&lt;LS_B,$T137,0),0),0)</f>
        <v>0</v>
      </c>
      <c r="BM137" s="5">
        <f>IF($G$134="Producción",IF($G137&gt;=LI_C,IF($G137&lt;LS_C,$T137,0),0),0)</f>
        <v>0</v>
      </c>
      <c r="BN137" s="5">
        <f>IF($G$134="Producción",IF($G137&lt;LS_D,$T137,0),0)</f>
        <v>0</v>
      </c>
      <c r="BO137" s="5">
        <f>IF($G$134="Crecimiento",$T137,0)</f>
        <v>0</v>
      </c>
      <c r="BP137" s="5">
        <f>IF($G134="Siembra",'6'!$T$7,0)</f>
        <v>0</v>
      </c>
      <c r="BQ137" s="5">
        <f>IF($G134="Abandono",'6'!$T$7,0)</f>
        <v>0</v>
      </c>
      <c r="BR137" s="5">
        <f>IF($H$134="Producción",IF($H137&gt;=LI_A,$U137,0),0)</f>
        <v>0</v>
      </c>
      <c r="BS137" s="5">
        <f>IF($H$134="Producción",IF($H137&gt;=LI_B,IF($H137&lt;LS_B,$U137,0),0),0)</f>
        <v>0</v>
      </c>
      <c r="BT137" s="5">
        <f>IF($H$134="Producción",IF($H137&gt;=LI_C,IF($H137&lt;LS_C,$U137,0),0),0)</f>
        <v>0</v>
      </c>
      <c r="BU137" s="5">
        <f>IF($H$134="Producción",IF($H137&lt;LS_D,$U137,0),0)</f>
        <v>0</v>
      </c>
      <c r="BV137" s="5">
        <f>IF($H$134="Crecimiento",$T137,0)</f>
        <v>0</v>
      </c>
      <c r="BW137" s="5">
        <f>IF($H134="Siembra",'6'!$U$7,0)</f>
        <v>0</v>
      </c>
      <c r="BX137" s="5">
        <f>IF($H134="Abandono",'6'!$U$7,0)</f>
        <v>0</v>
      </c>
      <c r="BY137" s="5">
        <f>IF($I$134="Producción",IF($I137&gt;=LI_A,$V137,0),0)</f>
        <v>0</v>
      </c>
      <c r="BZ137" s="5">
        <f>IF($I$134="Producción",IF($I137&gt;=LI_B,IF($I137&lt;LS_B,$V137,0),0),0)</f>
        <v>0</v>
      </c>
      <c r="CA137" s="5">
        <f>IF($I$134="Producción",IF($I137&gt;=LI_C,IF($I137&lt;LS_C,$V137,0),0),0)</f>
        <v>0</v>
      </c>
      <c r="CB137" s="5">
        <f>IF($I$134="Producción",IF($I137&lt;LS_D,$V137,0),0)</f>
        <v>0</v>
      </c>
      <c r="CC137" s="5">
        <f>IF($I$134="Crecimiento",$V137,0)</f>
        <v>0</v>
      </c>
      <c r="CD137" s="5">
        <f>IF($I134="Siembra",'6'!$V$7,0)</f>
        <v>0</v>
      </c>
      <c r="CE137" s="5">
        <f>IF($I134="Abandono",'6'!$V$7,0)</f>
        <v>0</v>
      </c>
      <c r="CF137" s="5">
        <f>IF($J$134="Producción",IF($J137&gt;=LI_A,$W137,0),0)</f>
        <v>0</v>
      </c>
      <c r="CG137" s="5">
        <f>IF($J$134="Producción",IF($J137&gt;=LI_B,IF($J137&lt;LS_B,$W137,0),0),0)</f>
        <v>0</v>
      </c>
      <c r="CH137" s="5">
        <f>IF($J$134="Producción",IF($J137&gt;=LI_C,IF($J137&lt;LS_C,$W137,0),0),0)</f>
        <v>0</v>
      </c>
      <c r="CI137" s="5">
        <f>IF($J$134="Producción",IF($J137&lt;LS_D,$W137,0),0)</f>
        <v>0</v>
      </c>
      <c r="CJ137" s="5">
        <f>IF($J$134="Crecimiento",$W137,0)</f>
        <v>0</v>
      </c>
      <c r="CK137" s="5">
        <f>IF($J134="Siembra",'6'!$W$7,0)</f>
        <v>0</v>
      </c>
      <c r="CL137" s="5">
        <f>IF($J134="Abandono",'6'!$W$7,0)</f>
        <v>0</v>
      </c>
      <c r="CM137" s="5">
        <f>IF($K$134="Producción",IF($K137&gt;=LI_A,$X137,0),0)</f>
        <v>0</v>
      </c>
      <c r="CN137" s="5">
        <f>IF($K$134="Producción",IF($K137&gt;=LI_B,IF($K137&lt;LS_B,$X137,0),0),0)</f>
        <v>0</v>
      </c>
      <c r="CO137" s="5">
        <f>IF($K$134="Producción",IF($K137&gt;=LI_C,IF($K137&lt;LS_C,$X137,0),0),0)</f>
        <v>0</v>
      </c>
      <c r="CP137" s="5">
        <f>IF($K$134="Producción",IF($K137&lt;LS_D,$X137,0),0)</f>
        <v>0</v>
      </c>
      <c r="CQ137" s="5">
        <f>IF($K$134="Crecimiento",$X137,0)</f>
        <v>0</v>
      </c>
      <c r="CR137" s="5">
        <f>IF($K134="Siembra",'6'!$X$7,0)</f>
        <v>0</v>
      </c>
      <c r="CS137" s="5">
        <f>IF($K134="Abandono",'6'!$X$7,0)</f>
        <v>0</v>
      </c>
      <c r="CT137" s="5">
        <f>IF($L$134="Producción",IF($L137&gt;=LI_A,$Y137,0),0)</f>
        <v>0</v>
      </c>
      <c r="CU137" s="5">
        <f>IF($L$134="Producción",IF($L137&gt;=LI_B,IF($L137&lt;LS_B,$Y137,0),0),0)</f>
        <v>0</v>
      </c>
      <c r="CV137" s="5">
        <f>IF($L$134="Producción",IF($L137&gt;=LI_C,IF($L137&lt;LS_C,$Y137,0),0),0)</f>
        <v>0</v>
      </c>
      <c r="CW137" s="5">
        <f>IF($L$134="Producción",IF($L137&lt;LS_D,$Y137,0),0)</f>
        <v>0</v>
      </c>
      <c r="CX137" s="5">
        <f>IF($L$134="Crecimiento",$Y137,0)</f>
        <v>0</v>
      </c>
      <c r="CY137" s="5">
        <f>IF($L134="Siembra",'6'!$Y$7,0)</f>
        <v>0</v>
      </c>
      <c r="CZ137" s="5">
        <f>IF($L134="Abandono",'6'!$Y$7,0)</f>
        <v>0</v>
      </c>
      <c r="DA137" s="5">
        <f>IF($M$134="Producción",IF($M137&gt;=LI_A,$Z137,0),0)</f>
        <v>0</v>
      </c>
      <c r="DB137" s="5">
        <f>IF($M$134="Producción",IF($M137&gt;=LI_B,IF($M137&lt;LS_B,$Z137,0),0),0)</f>
        <v>0</v>
      </c>
      <c r="DC137" s="5">
        <f>IF($M$134="Producción",IF($M137&gt;=LI_C,IF($M137&lt;LS_C,$Z137,0),0),0)</f>
        <v>0</v>
      </c>
      <c r="DD137" s="5">
        <f>IF($M$134="Producción",IF($M137&lt;LS_D,$Z137,0),0)</f>
        <v>0</v>
      </c>
      <c r="DE137" s="5">
        <f>IF($M$134="Crecimiento",$Z137,0)</f>
        <v>0</v>
      </c>
      <c r="DF137" s="5">
        <f>IF($M134="Siembra",'6'!$Z$7,0)</f>
        <v>0</v>
      </c>
      <c r="DG137" s="5">
        <f>IF($M134="Abandono",'6'!$Z$7,0)</f>
        <v>0</v>
      </c>
      <c r="DI137" s="5">
        <f t="shared" ref="DI137:DI141" si="997">AB137*$B137</f>
        <v>0</v>
      </c>
      <c r="DJ137" s="5">
        <f t="shared" ref="DJ137:DJ141" si="998">AC137*$B137</f>
        <v>0</v>
      </c>
      <c r="DK137" s="5">
        <f t="shared" ref="DK137:DK141" si="999">AD137*$B137</f>
        <v>0</v>
      </c>
      <c r="DL137" s="5">
        <f t="shared" ref="DL137:DL141" si="1000">AE137*$B137</f>
        <v>0</v>
      </c>
      <c r="DM137" s="5">
        <f t="shared" ref="DM137:DM141" si="1001">AF137*$B137</f>
        <v>0</v>
      </c>
      <c r="DN137" s="5">
        <f t="shared" ref="DN137:DN141" si="1002">AI137*$C137</f>
        <v>0</v>
      </c>
      <c r="DO137" s="5">
        <f t="shared" ref="DO137:DO141" si="1003">AJ137*$C137</f>
        <v>0</v>
      </c>
      <c r="DP137" s="5">
        <f t="shared" ref="DP137:DP141" si="1004">AK137*$C137</f>
        <v>0</v>
      </c>
      <c r="DQ137" s="5">
        <f t="shared" ref="DQ137:DQ141" si="1005">AL137*$C137</f>
        <v>0</v>
      </c>
      <c r="DR137" s="5">
        <f t="shared" ref="DR137:DR141" si="1006">AM137*$C137</f>
        <v>0</v>
      </c>
      <c r="DS137" s="5">
        <f t="shared" ref="DS137:DS141" si="1007">AP137*$D137</f>
        <v>0</v>
      </c>
      <c r="DT137" s="5">
        <f t="shared" ref="DT137:DT141" si="1008">AQ137*$D137</f>
        <v>0</v>
      </c>
      <c r="DU137" s="5">
        <f t="shared" ref="DU137:DU141" si="1009">AR137*$D137</f>
        <v>0</v>
      </c>
      <c r="DV137" s="5">
        <f t="shared" ref="DV137:DV141" si="1010">AS137*$D137</f>
        <v>0</v>
      </c>
      <c r="DW137" s="5">
        <f t="shared" ref="DW137:DW141" si="1011">AT137*$D137</f>
        <v>0</v>
      </c>
      <c r="DX137" s="5">
        <f t="shared" ref="DX137:DX141" si="1012">AW137*$E137</f>
        <v>0</v>
      </c>
      <c r="DY137" s="5">
        <f t="shared" ref="DY137:DY141" si="1013">AX137*$E137</f>
        <v>0</v>
      </c>
      <c r="DZ137" s="5">
        <f t="shared" ref="DZ137:DZ141" si="1014">AY137*$E137</f>
        <v>0</v>
      </c>
      <c r="EA137" s="5">
        <f t="shared" ref="EA137:EA141" si="1015">AZ137*$E137</f>
        <v>0</v>
      </c>
      <c r="EB137" s="5">
        <f t="shared" ref="EB137:EB141" si="1016">BA137*$E137</f>
        <v>0</v>
      </c>
      <c r="EC137" s="5">
        <f t="shared" ref="EC137:EC141" si="1017">BD137*$F137</f>
        <v>0</v>
      </c>
      <c r="ED137" s="5">
        <f t="shared" ref="ED137:ED141" si="1018">BE137*$F137</f>
        <v>0</v>
      </c>
      <c r="EE137" s="5">
        <f t="shared" ref="EE137:EE141" si="1019">BF137*$F137</f>
        <v>0</v>
      </c>
      <c r="EF137" s="5">
        <f t="shared" ref="EF137:EF141" si="1020">BG137*$F137</f>
        <v>0</v>
      </c>
      <c r="EG137" s="5">
        <f t="shared" ref="EG137:EG141" si="1021">BH137*$F137</f>
        <v>0</v>
      </c>
      <c r="EH137" s="5">
        <f t="shared" ref="EH137:EH141" si="1022">BK137*$G137</f>
        <v>0</v>
      </c>
      <c r="EI137" s="5">
        <f t="shared" ref="EI137:EI141" si="1023">BL137*$G137</f>
        <v>0</v>
      </c>
      <c r="EJ137" s="5">
        <f t="shared" ref="EJ137:EJ141" si="1024">BM137*$G137</f>
        <v>0</v>
      </c>
      <c r="EK137" s="5">
        <f t="shared" ref="EK137:EK141" si="1025">BN137*$G137</f>
        <v>0</v>
      </c>
      <c r="EL137" s="5">
        <f t="shared" ref="EL137:EL141" si="1026">BO137*$G137</f>
        <v>0</v>
      </c>
      <c r="EM137" s="5">
        <f t="shared" ref="EM137:EM141" si="1027">BR137*$H137</f>
        <v>0</v>
      </c>
      <c r="EN137" s="5">
        <f t="shared" ref="EN137:EN141" si="1028">BS137*$H137</f>
        <v>0</v>
      </c>
      <c r="EO137" s="5">
        <f t="shared" ref="EO137:EO141" si="1029">BT137*$H137</f>
        <v>0</v>
      </c>
      <c r="EP137" s="5">
        <f t="shared" ref="EP137:EP141" si="1030">BU137*$H137</f>
        <v>0</v>
      </c>
      <c r="EQ137" s="5">
        <f t="shared" ref="EQ137:EQ141" si="1031">BV137*$H137</f>
        <v>0</v>
      </c>
      <c r="ER137" s="5">
        <f t="shared" ref="ER137:ER141" si="1032">BY137*$I137</f>
        <v>0</v>
      </c>
      <c r="ES137" s="5">
        <f t="shared" ref="ES137:ES141" si="1033">BZ137*$I137</f>
        <v>0</v>
      </c>
      <c r="ET137" s="5">
        <f t="shared" ref="ET137:ET141" si="1034">CA137*$I137</f>
        <v>0</v>
      </c>
      <c r="EU137" s="5">
        <f t="shared" ref="EU137:EU141" si="1035">CB137*$I137</f>
        <v>0</v>
      </c>
      <c r="EV137" s="5">
        <f t="shared" ref="EV137:EV141" si="1036">CC137*$I137</f>
        <v>0</v>
      </c>
      <c r="EW137" s="5">
        <f t="shared" ref="EW137:EW141" si="1037">CF137*$J137</f>
        <v>0</v>
      </c>
      <c r="EX137" s="5">
        <f t="shared" ref="EX137:EX141" si="1038">CG137*$J137</f>
        <v>0</v>
      </c>
      <c r="EY137" s="5">
        <f t="shared" ref="EY137:EY141" si="1039">CH137*$J137</f>
        <v>0</v>
      </c>
      <c r="EZ137" s="5">
        <f t="shared" ref="EZ137:EZ141" si="1040">CI137*$J137</f>
        <v>0</v>
      </c>
      <c r="FA137" s="5">
        <f t="shared" ref="FA137:FA141" si="1041">CJ137*$J137</f>
        <v>0</v>
      </c>
      <c r="FB137" s="5">
        <f t="shared" ref="FB137:FB141" si="1042">CM137*$K137</f>
        <v>0</v>
      </c>
      <c r="FC137" s="5">
        <f t="shared" ref="FC137:FC141" si="1043">CN137*$K137</f>
        <v>0</v>
      </c>
      <c r="FD137" s="5">
        <f t="shared" ref="FD137:FD141" si="1044">CO137*$K137</f>
        <v>0</v>
      </c>
      <c r="FE137" s="5">
        <f t="shared" ref="FE137:FE141" si="1045">CP137*$K137</f>
        <v>0</v>
      </c>
      <c r="FF137" s="5">
        <f t="shared" ref="FF137:FF141" si="1046">CQ137*$K137</f>
        <v>0</v>
      </c>
      <c r="FG137" s="5">
        <f t="shared" ref="FG137:FG141" si="1047">CT137*$L137</f>
        <v>0</v>
      </c>
      <c r="FH137" s="5">
        <f t="shared" ref="FH137:FH141" si="1048">CU137*$L137</f>
        <v>0</v>
      </c>
      <c r="FI137" s="5">
        <f t="shared" ref="FI137:FI141" si="1049">CV137*$L137</f>
        <v>0</v>
      </c>
      <c r="FJ137" s="5">
        <f t="shared" ref="FJ137:FJ141" si="1050">CW137*$L137</f>
        <v>0</v>
      </c>
      <c r="FK137" s="5">
        <f t="shared" ref="FK137:FK141" si="1051">CX137*$L137</f>
        <v>0</v>
      </c>
      <c r="FL137" s="5">
        <f t="shared" ref="FL137:FL141" si="1052">DA137*$M137</f>
        <v>0</v>
      </c>
      <c r="FM137" s="5">
        <f t="shared" ref="FM137:FM141" si="1053">DB137*$M137</f>
        <v>0</v>
      </c>
      <c r="FN137" s="5">
        <f t="shared" ref="FN137:FN141" si="1054">DC137*$M137</f>
        <v>0</v>
      </c>
      <c r="FO137" s="5">
        <f t="shared" ref="FO137:FO141" si="1055">DD137*$M137</f>
        <v>0</v>
      </c>
      <c r="FP137" s="5">
        <f t="shared" ref="FP137:FP141" si="1056">DE137*$M137</f>
        <v>0</v>
      </c>
    </row>
    <row r="138" spans="1:172" ht="20.100000000000001" customHeight="1" x14ac:dyDescent="0.3">
      <c r="A138" s="8" t="s">
        <v>303</v>
      </c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O138" s="58">
        <f>IFERROR('6'!O$71/Ciclo,0)</f>
        <v>0</v>
      </c>
      <c r="P138" s="58">
        <f>IFERROR('6'!P$71/Ciclo,0)</f>
        <v>0</v>
      </c>
      <c r="Q138" s="58">
        <f>IFERROR('6'!Q$71/Ciclo,0)</f>
        <v>0</v>
      </c>
      <c r="R138" s="58">
        <f>IFERROR('6'!R$71/Ciclo,0)</f>
        <v>0</v>
      </c>
      <c r="S138" s="58">
        <f>IFERROR('6'!S$71/Ciclo,0)</f>
        <v>0</v>
      </c>
      <c r="T138" s="58">
        <f>IFERROR('6'!T$71/Ciclo,0)</f>
        <v>0</v>
      </c>
      <c r="U138" s="58">
        <f>IFERROR('6'!U$71/Ciclo,0)</f>
        <v>0</v>
      </c>
      <c r="V138" s="58">
        <f>IFERROR('6'!V$71/Ciclo,0)</f>
        <v>0</v>
      </c>
      <c r="W138" s="5">
        <f>IFERROR('6'!W$71/Ciclo,0)</f>
        <v>0</v>
      </c>
      <c r="X138" s="5">
        <f>IFERROR('6'!X$71/Ciclo,0)</f>
        <v>0</v>
      </c>
      <c r="Y138" s="5">
        <f>IFERROR('6'!Y$71/Ciclo,0)</f>
        <v>0</v>
      </c>
      <c r="Z138" s="5">
        <f>IFERROR('6'!Z$71/Ciclo,0)</f>
        <v>0</v>
      </c>
      <c r="AB138" s="5">
        <f>IF($B$134="Producción",IF($B138&gt;=LI_A,$O138,0),0)</f>
        <v>0</v>
      </c>
      <c r="AC138" s="5">
        <f>IF($B$134="Producción",IF($B138&gt;=LI_B,IF($B138&lt;LS_B,$O138,0),0),0)</f>
        <v>0</v>
      </c>
      <c r="AD138" s="5">
        <f>IF($B$134="Producción",IF($B138&gt;=LI_C,IF($B138&lt;LS_C,$O138,0),0),0)</f>
        <v>0</v>
      </c>
      <c r="AE138" s="5">
        <f>IF($B$134="Producción",IF($B138&lt;LS_D,$O138,0),0)</f>
        <v>0</v>
      </c>
      <c r="AF138" s="5">
        <f t="shared" ref="AF138:AF141" si="1057">IF($B$134="Crecimiento",$O138,0)</f>
        <v>0</v>
      </c>
      <c r="AI138" s="5">
        <f>IF($C$134="Producción",IF($C138&gt;=LI_A,$P138,0),0)</f>
        <v>0</v>
      </c>
      <c r="AJ138" s="5">
        <f>IF($C$134="Producción",IF($C138&gt;=LI_B,IF($C138&lt;LS_B,$P138,0),0),0)</f>
        <v>0</v>
      </c>
      <c r="AK138" s="5">
        <f>IF($C$134="Producción",IF($C138&gt;=LI_C,IF($C138&lt;LS_C,$P138,0),0),0)</f>
        <v>0</v>
      </c>
      <c r="AL138" s="5">
        <f>IF($C$134="Producción",IF($C138&lt;LS_D,$P138,0),0)</f>
        <v>0</v>
      </c>
      <c r="AM138" s="5">
        <f>IF($C$134="Crecimiento",$P138,0)</f>
        <v>0</v>
      </c>
      <c r="AP138" s="5">
        <f>IF($D$134="Producción",IF($D138&gt;=LI_A,$Q138,0),0)</f>
        <v>0</v>
      </c>
      <c r="AQ138" s="5">
        <f>IF($D$134="Producción",IF($D138&gt;=LI_B,IF($D138&lt;LS_B,$Q138,0),0),0)</f>
        <v>0</v>
      </c>
      <c r="AR138" s="5">
        <f>IF($D$134="Producción",IF($D138&gt;=LI_C,IF($D138&lt;LS_C,$Q138,0),0),0)</f>
        <v>0</v>
      </c>
      <c r="AS138" s="5">
        <f>IF($D$134="Producción",IF($D138&lt;LS_D,$Q138,0),0)</f>
        <v>0</v>
      </c>
      <c r="AT138" s="5">
        <f>IF($D$134="Crecimiento",IF($D138&gt;0,$Q138,0),0)</f>
        <v>0</v>
      </c>
      <c r="AW138" s="5">
        <f>IF($E$134="Producción",IF($E138&gt;=LI_A,$R138,0),0)</f>
        <v>0</v>
      </c>
      <c r="AX138" s="5">
        <f>IF($E$134="Producción",IF($E138&gt;=LI_B,IF($E138&lt;LS_B,$R138,0),0),0)</f>
        <v>0</v>
      </c>
      <c r="AY138" s="5">
        <f>IF($E$134="Producción",IF($E138&gt;=LI_C,IF($E138&lt;LS_C,$R138,0),0),0)</f>
        <v>0</v>
      </c>
      <c r="AZ138" s="5">
        <f>IF($E$134="Producción",IF($E138&lt;LS_D,$R138,0),0)</f>
        <v>0</v>
      </c>
      <c r="BA138" s="5">
        <f>IF($E$134="Crecimiento",$R138,0)</f>
        <v>0</v>
      </c>
      <c r="BD138" s="5">
        <f>IF($F$134="Producción",IF($F138&gt;=LI_A,$S138,0),0)</f>
        <v>0</v>
      </c>
      <c r="BE138" s="5">
        <f>IF($F$134="Producción",IF($F138&gt;=LI_B,IF($F138&lt;LS_B,$S138,0),0),0)</f>
        <v>0</v>
      </c>
      <c r="BF138" s="5">
        <f>IF($F$134="Producción",IF($F138&gt;=LI_C,IF($F138&lt;LS_C,$S138,0),0),0)</f>
        <v>0</v>
      </c>
      <c r="BG138" s="5">
        <f>IF($F$134="Producción",IF($F138&lt;LS_D,$S138,0),0)</f>
        <v>0</v>
      </c>
      <c r="BH138" s="5">
        <f>IF($F$134="Crecimiento",$S138,0)</f>
        <v>0</v>
      </c>
      <c r="BK138" s="5">
        <f>IF($G$134="Producción",IF($G138&gt;=LI_A,$T138,0),0)</f>
        <v>0</v>
      </c>
      <c r="BL138" s="5">
        <f>IF($G$134="Producción",IF($G138&gt;=LI_B,IF($G138&lt;LS_B,$T138,0),0),0)</f>
        <v>0</v>
      </c>
      <c r="BM138" s="5">
        <f>IF($G$134="Producción",IF($G138&gt;=LI_C,IF($G138&lt;LS_C,$T138,0),0),0)</f>
        <v>0</v>
      </c>
      <c r="BN138" s="5">
        <f>IF($G$134="Producción",IF($G138&lt;LS_D,$T138,0),0)</f>
        <v>0</v>
      </c>
      <c r="BO138" s="5">
        <f>IF($G$134="Crecimiento",$T138,0)</f>
        <v>0</v>
      </c>
      <c r="BR138" s="5">
        <f>IF($H$134="Producción",IF($H138&gt;=LI_A,$U138,0),0)</f>
        <v>0</v>
      </c>
      <c r="BS138" s="5">
        <f>IF($H$134="Producción",IF($H138&gt;=LI_B,IF($H138&lt;LS_B,$U138,0),0),0)</f>
        <v>0</v>
      </c>
      <c r="BT138" s="5">
        <f>IF($H$134="Producción",IF($H138&gt;=LI_C,IF($H138&lt;LS_C,$U138,0),0),0)</f>
        <v>0</v>
      </c>
      <c r="BU138" s="5">
        <f>IF($H$134="Producción",IF($H138&lt;LS_D,$U138,0),0)</f>
        <v>0</v>
      </c>
      <c r="BV138" s="5">
        <f>IF($H$134="Crecimiento",$T138,0)</f>
        <v>0</v>
      </c>
      <c r="BY138" s="5">
        <f>IF($I$134="Producción",IF($I138&gt;=LI_A,$V138,0),0)</f>
        <v>0</v>
      </c>
      <c r="BZ138" s="5">
        <f>IF($I$134="Producción",IF($I138&gt;=LI_B,IF($I138&lt;LS_B,$V138,0),0),0)</f>
        <v>0</v>
      </c>
      <c r="CA138" s="5">
        <f>IF($I$134="Producción",IF($I138&gt;=LI_C,IF($I138&lt;LS_C,$V138,0),0),0)</f>
        <v>0</v>
      </c>
      <c r="CB138" s="5">
        <f>IF($I$134="Producción",IF($I138&lt;LS_D,$V138,0),0)</f>
        <v>0</v>
      </c>
      <c r="CC138" s="5">
        <f>IF($I$134="Crecimiento",$V138,0)</f>
        <v>0</v>
      </c>
      <c r="CF138" s="5">
        <f>IF($J$134="Producción",IF($J138&gt;=LI_A,$W138,0),0)</f>
        <v>0</v>
      </c>
      <c r="CG138" s="5">
        <f>IF($J$134="Producción",IF($J138&gt;=LI_B,IF($J138&lt;LS_B,$W138,0),0),0)</f>
        <v>0</v>
      </c>
      <c r="CH138" s="5">
        <f>IF($J$134="Producción",IF($J138&gt;=LI_C,IF($J138&lt;LS_C,$W138,0),0),0)</f>
        <v>0</v>
      </c>
      <c r="CI138" s="5">
        <f>IF($J$134="Producción",IF($J138&lt;LS_D,$W138,0),0)</f>
        <v>0</v>
      </c>
      <c r="CJ138" s="5">
        <f>IF($J$134="Crecimiento",$W138,0)</f>
        <v>0</v>
      </c>
      <c r="CM138" s="5">
        <f>IF($K$134="Producción",IF($K138&gt;=LI_A,$X138,0),0)</f>
        <v>0</v>
      </c>
      <c r="CN138" s="5">
        <f>IF($K$134="Producción",IF($K138&gt;=LI_B,IF($K138&lt;LS_B,$X138,0),0),0)</f>
        <v>0</v>
      </c>
      <c r="CO138" s="5">
        <f>IF($K$134="Producción",IF($K138&gt;=LI_C,IF($K138&lt;LS_C,$X138,0),0),0)</f>
        <v>0</v>
      </c>
      <c r="CP138" s="5">
        <f>IF($K$134="Producción",IF($K138&lt;LS_D,$X138,0),0)</f>
        <v>0</v>
      </c>
      <c r="CQ138" s="5">
        <f>IF($K$134="Crecimiento",$X138,0)</f>
        <v>0</v>
      </c>
      <c r="CT138" s="5">
        <f>IF($L$134="Producción",IF($L138&gt;=LI_A,$Y138,0),0)</f>
        <v>0</v>
      </c>
      <c r="CU138" s="5">
        <f>IF($L$134="Producción",IF($L138&gt;=LI_B,IF($L138&lt;LS_B,$Y138,0),0),0)</f>
        <v>0</v>
      </c>
      <c r="CV138" s="5">
        <f>IF($L$134="Producción",IF($L138&gt;=LI_C,IF($L138&lt;LS_C,$Y138,0),0),0)</f>
        <v>0</v>
      </c>
      <c r="CW138" s="5">
        <f>IF($L$134="Producción",IF($L138&lt;LS_D,$Y138,0),0)</f>
        <v>0</v>
      </c>
      <c r="CX138" s="5">
        <f>IF($L$134="Crecimiento",$Y138,0)</f>
        <v>0</v>
      </c>
      <c r="DA138" s="5">
        <f>IF($M$134="Producción",IF($M138&gt;=LI_A,$Z138,0),0)</f>
        <v>0</v>
      </c>
      <c r="DB138" s="5">
        <f>IF($M$134="Producción",IF($M138&gt;=LI_B,IF($M138&lt;LS_B,$Z138,0),0),0)</f>
        <v>0</v>
      </c>
      <c r="DC138" s="5">
        <f>IF($M$134="Producción",IF($M138&gt;=LI_C,IF($M138&lt;LS_C,$Z138,0),0),0)</f>
        <v>0</v>
      </c>
      <c r="DD138" s="5">
        <f>IF($M$134="Producción",IF($M138&lt;LS_D,$Z138,0),0)</f>
        <v>0</v>
      </c>
      <c r="DE138" s="5">
        <f>IF($M$134="Crecimiento",$Z138,0)</f>
        <v>0</v>
      </c>
      <c r="DI138" s="5">
        <f t="shared" si="997"/>
        <v>0</v>
      </c>
      <c r="DJ138" s="5">
        <f t="shared" si="998"/>
        <v>0</v>
      </c>
      <c r="DK138" s="5">
        <f t="shared" si="999"/>
        <v>0</v>
      </c>
      <c r="DL138" s="5">
        <f t="shared" si="1000"/>
        <v>0</v>
      </c>
      <c r="DM138" s="5">
        <f t="shared" si="1001"/>
        <v>0</v>
      </c>
      <c r="DN138" s="5">
        <f t="shared" si="1002"/>
        <v>0</v>
      </c>
      <c r="DO138" s="5">
        <f t="shared" si="1003"/>
        <v>0</v>
      </c>
      <c r="DP138" s="5">
        <f t="shared" si="1004"/>
        <v>0</v>
      </c>
      <c r="DQ138" s="5">
        <f t="shared" si="1005"/>
        <v>0</v>
      </c>
      <c r="DR138" s="5">
        <f t="shared" si="1006"/>
        <v>0</v>
      </c>
      <c r="DS138" s="5">
        <f t="shared" si="1007"/>
        <v>0</v>
      </c>
      <c r="DT138" s="5">
        <f t="shared" si="1008"/>
        <v>0</v>
      </c>
      <c r="DU138" s="5">
        <f t="shared" si="1009"/>
        <v>0</v>
      </c>
      <c r="DV138" s="5">
        <f t="shared" si="1010"/>
        <v>0</v>
      </c>
      <c r="DW138" s="5">
        <f t="shared" si="1011"/>
        <v>0</v>
      </c>
      <c r="DX138" s="5">
        <f t="shared" si="1012"/>
        <v>0</v>
      </c>
      <c r="DY138" s="5">
        <f t="shared" si="1013"/>
        <v>0</v>
      </c>
      <c r="DZ138" s="5">
        <f t="shared" si="1014"/>
        <v>0</v>
      </c>
      <c r="EA138" s="5">
        <f t="shared" si="1015"/>
        <v>0</v>
      </c>
      <c r="EB138" s="5">
        <f t="shared" si="1016"/>
        <v>0</v>
      </c>
      <c r="EC138" s="5">
        <f t="shared" si="1017"/>
        <v>0</v>
      </c>
      <c r="ED138" s="5">
        <f t="shared" si="1018"/>
        <v>0</v>
      </c>
      <c r="EE138" s="5">
        <f t="shared" si="1019"/>
        <v>0</v>
      </c>
      <c r="EF138" s="5">
        <f t="shared" si="1020"/>
        <v>0</v>
      </c>
      <c r="EG138" s="5">
        <f t="shared" si="1021"/>
        <v>0</v>
      </c>
      <c r="EH138" s="5">
        <f t="shared" si="1022"/>
        <v>0</v>
      </c>
      <c r="EI138" s="5">
        <f t="shared" si="1023"/>
        <v>0</v>
      </c>
      <c r="EJ138" s="5">
        <f t="shared" si="1024"/>
        <v>0</v>
      </c>
      <c r="EK138" s="5">
        <f t="shared" si="1025"/>
        <v>0</v>
      </c>
      <c r="EL138" s="5">
        <f t="shared" si="1026"/>
        <v>0</v>
      </c>
      <c r="EM138" s="5">
        <f t="shared" si="1027"/>
        <v>0</v>
      </c>
      <c r="EN138" s="5">
        <f t="shared" si="1028"/>
        <v>0</v>
      </c>
      <c r="EO138" s="5">
        <f t="shared" si="1029"/>
        <v>0</v>
      </c>
      <c r="EP138" s="5">
        <f t="shared" si="1030"/>
        <v>0</v>
      </c>
      <c r="EQ138" s="5">
        <f t="shared" si="1031"/>
        <v>0</v>
      </c>
      <c r="ER138" s="5">
        <f t="shared" si="1032"/>
        <v>0</v>
      </c>
      <c r="ES138" s="5">
        <f t="shared" si="1033"/>
        <v>0</v>
      </c>
      <c r="ET138" s="5">
        <f t="shared" si="1034"/>
        <v>0</v>
      </c>
      <c r="EU138" s="5">
        <f t="shared" si="1035"/>
        <v>0</v>
      </c>
      <c r="EV138" s="5">
        <f t="shared" si="1036"/>
        <v>0</v>
      </c>
      <c r="EW138" s="5">
        <f t="shared" si="1037"/>
        <v>0</v>
      </c>
      <c r="EX138" s="5">
        <f t="shared" si="1038"/>
        <v>0</v>
      </c>
      <c r="EY138" s="5">
        <f t="shared" si="1039"/>
        <v>0</v>
      </c>
      <c r="EZ138" s="5">
        <f t="shared" si="1040"/>
        <v>0</v>
      </c>
      <c r="FA138" s="5">
        <f t="shared" si="1041"/>
        <v>0</v>
      </c>
      <c r="FB138" s="5">
        <f t="shared" si="1042"/>
        <v>0</v>
      </c>
      <c r="FC138" s="5">
        <f t="shared" si="1043"/>
        <v>0</v>
      </c>
      <c r="FD138" s="5">
        <f t="shared" si="1044"/>
        <v>0</v>
      </c>
      <c r="FE138" s="5">
        <f t="shared" si="1045"/>
        <v>0</v>
      </c>
      <c r="FF138" s="5">
        <f t="shared" si="1046"/>
        <v>0</v>
      </c>
      <c r="FG138" s="5">
        <f t="shared" si="1047"/>
        <v>0</v>
      </c>
      <c r="FH138" s="5">
        <f t="shared" si="1048"/>
        <v>0</v>
      </c>
      <c r="FI138" s="5">
        <f t="shared" si="1049"/>
        <v>0</v>
      </c>
      <c r="FJ138" s="5">
        <f t="shared" si="1050"/>
        <v>0</v>
      </c>
      <c r="FK138" s="5">
        <f t="shared" si="1051"/>
        <v>0</v>
      </c>
      <c r="FL138" s="5">
        <f t="shared" si="1052"/>
        <v>0</v>
      </c>
      <c r="FM138" s="5">
        <f t="shared" si="1053"/>
        <v>0</v>
      </c>
      <c r="FN138" s="5">
        <f t="shared" si="1054"/>
        <v>0</v>
      </c>
      <c r="FO138" s="5">
        <f t="shared" si="1055"/>
        <v>0</v>
      </c>
      <c r="FP138" s="5">
        <f t="shared" si="1056"/>
        <v>0</v>
      </c>
    </row>
    <row r="139" spans="1:172" ht="20.100000000000001" customHeight="1" x14ac:dyDescent="0.3">
      <c r="A139" s="8" t="str">
        <f>IF(Ciclo&gt;2,"Surco 3","NA")</f>
        <v>Surco 3</v>
      </c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O139" s="58">
        <f>IF($A139="NA",0,IFERROR('6'!O$71/Ciclo,0))</f>
        <v>0</v>
      </c>
      <c r="P139" s="58">
        <f>IF($A139="NA",0,IFERROR('6'!P$71/Ciclo,0))</f>
        <v>0</v>
      </c>
      <c r="Q139" s="58">
        <f>IF($A139="NA",0,IFERROR('6'!Q$71/Ciclo,0))</f>
        <v>0</v>
      </c>
      <c r="R139" s="58">
        <f>IF($A139="NA",0,IFERROR('6'!R$71/Ciclo,0))</f>
        <v>0</v>
      </c>
      <c r="S139" s="58">
        <f>IF($A139="NA",0,IFERROR('6'!S$71/Ciclo,0))</f>
        <v>0</v>
      </c>
      <c r="T139" s="58">
        <f>IF($A139="NA",0,IFERROR('6'!T$71/Ciclo,0))</f>
        <v>0</v>
      </c>
      <c r="U139" s="58">
        <f>IF($A139="NA",0,IFERROR('6'!U$71/Ciclo,0))</f>
        <v>0</v>
      </c>
      <c r="V139" s="58">
        <f>IF($A139="NA",0,IFERROR('6'!V$71/Ciclo,0))</f>
        <v>0</v>
      </c>
      <c r="W139" s="5">
        <f>IF($A139="NA",0,IFERROR('6'!W$71/Ciclo,0))</f>
        <v>0</v>
      </c>
      <c r="X139" s="5">
        <f>IF($A139="NA",0,IFERROR('6'!X$71/Ciclo,0))</f>
        <v>0</v>
      </c>
      <c r="Y139" s="5">
        <f>IF($A139="NA",0,IFERROR('6'!Y$71/Ciclo,0))</f>
        <v>0</v>
      </c>
      <c r="Z139" s="5">
        <f>IF($A139="NA",0,IFERROR('6'!Z$71/Ciclo,0))</f>
        <v>0</v>
      </c>
      <c r="AB139" s="5">
        <f>IF($B$134="Producción",IF($B139&gt;=LI_A,$O139,0),0)</f>
        <v>0</v>
      </c>
      <c r="AC139" s="5">
        <f>IF($B$134="Producción",IF($B139&gt;=LI_B,IF($B139&lt;LS_B,$O139,0),0),0)</f>
        <v>0</v>
      </c>
      <c r="AD139" s="5">
        <f>IF($B$134="Producción",IF($B139&gt;=LI_C,IF($B139&lt;LS_C,$O139,0),0),0)</f>
        <v>0</v>
      </c>
      <c r="AE139" s="5">
        <f>IF($B$134="Producción",IF($B139&lt;LS_D,$O139,0),0)</f>
        <v>0</v>
      </c>
      <c r="AF139" s="5">
        <f t="shared" si="1057"/>
        <v>0</v>
      </c>
      <c r="AI139" s="5">
        <f>IF($C$134="Producción",IF($C139&gt;=LI_A,$P139,0),0)</f>
        <v>0</v>
      </c>
      <c r="AJ139" s="5">
        <f>IF($C$134="Producción",IF($C139&gt;=LI_B,IF($C139&lt;LS_B,$P139,0),0),0)</f>
        <v>0</v>
      </c>
      <c r="AK139" s="5">
        <f>IF($C$134="Producción",IF($C139&gt;=LI_C,IF($C139&lt;LS_C,$P139,0),0),0)</f>
        <v>0</v>
      </c>
      <c r="AL139" s="5">
        <f>IF($C$134="Producción",IF($C139&lt;LS_D,$P139,0),0)</f>
        <v>0</v>
      </c>
      <c r="AM139" s="5">
        <f>IF($C$134="Crecimiento",$P139,0)</f>
        <v>0</v>
      </c>
      <c r="AP139" s="5">
        <f>IF($D$134="Producción",IF($D139&gt;=LI_A,$Q139,0),0)</f>
        <v>0</v>
      </c>
      <c r="AQ139" s="5">
        <f>IF($D$134="Producción",IF($D139&gt;=LI_B,IF($D139&lt;LS_B,$Q139,0),0),0)</f>
        <v>0</v>
      </c>
      <c r="AR139" s="5">
        <f>IF($D$134="Producción",IF($D139&gt;=LI_C,IF($D139&lt;LS_C,$Q139,0),0),0)</f>
        <v>0</v>
      </c>
      <c r="AS139" s="5">
        <f>IF($D$134="Producción",IF($D139&lt;LS_D,$Q139,0),0)</f>
        <v>0</v>
      </c>
      <c r="AT139" s="5">
        <f>IF($D$134="Crecimiento",IF($D139&gt;0,$Q139,0),0)</f>
        <v>0</v>
      </c>
      <c r="AW139" s="5">
        <f>IF($E$134="Producción",IF($E139&gt;=LI_A,$R139,0),0)</f>
        <v>0</v>
      </c>
      <c r="AX139" s="5">
        <f>IF($E$134="Producción",IF($E139&gt;=LI_B,IF($E139&lt;LS_B,$R139,0),0),0)</f>
        <v>0</v>
      </c>
      <c r="AY139" s="5">
        <f>IF($E$134="Producción",IF($E139&gt;=LI_C,IF($E139&lt;LS_C,$R139,0),0),0)</f>
        <v>0</v>
      </c>
      <c r="AZ139" s="5">
        <f>IF($E$134="Producción",IF($E139&lt;LS_D,$R139,0),0)</f>
        <v>0</v>
      </c>
      <c r="BA139" s="5">
        <f>IF($E$134="Crecimiento",$R139,0)</f>
        <v>0</v>
      </c>
      <c r="BD139" s="5">
        <f>IF($F$134="Producción",IF($F139&gt;=LI_A,$S139,0),0)</f>
        <v>0</v>
      </c>
      <c r="BE139" s="5">
        <f>IF($F$134="Producción",IF($F139&gt;=LI_B,IF($F139&lt;LS_B,$S139,0),0),0)</f>
        <v>0</v>
      </c>
      <c r="BF139" s="5">
        <f>IF($F$134="Producción",IF($F139&gt;=LI_C,IF($F139&lt;LS_C,$S139,0),0),0)</f>
        <v>0</v>
      </c>
      <c r="BG139" s="5">
        <f>IF($F$134="Producción",IF($F139&lt;LS_D,$S139,0),0)</f>
        <v>0</v>
      </c>
      <c r="BH139" s="5">
        <f>IF($F$134="Crecimiento",$S139,0)</f>
        <v>0</v>
      </c>
      <c r="BK139" s="5">
        <f>IF($G$134="Producción",IF($G139&gt;=LI_A,$T139,0),0)</f>
        <v>0</v>
      </c>
      <c r="BL139" s="5">
        <f>IF($G$134="Producción",IF($G139&gt;=LI_B,IF($G139&lt;LS_B,$T139,0),0),0)</f>
        <v>0</v>
      </c>
      <c r="BM139" s="5">
        <f>IF($G$134="Producción",IF($G139&gt;=LI_C,IF($G139&lt;LS_C,$T139,0),0),0)</f>
        <v>0</v>
      </c>
      <c r="BN139" s="5">
        <f>IF($G$134="Producción",IF($G139&lt;LS_D,$T139,0),0)</f>
        <v>0</v>
      </c>
      <c r="BO139" s="5">
        <f>IF($G$134="Crecimiento",$T139,0)</f>
        <v>0</v>
      </c>
      <c r="BR139" s="5">
        <f>IF($H$134="Producción",IF($H139&gt;=LI_A,$U139,0),0)</f>
        <v>0</v>
      </c>
      <c r="BS139" s="5">
        <f>IF($H$134="Producción",IF($H139&gt;=LI_B,IF($H139&lt;LS_B,$U139,0),0),0)</f>
        <v>0</v>
      </c>
      <c r="BT139" s="5">
        <f>IF($H$134="Producción",IF($H139&gt;=LI_C,IF($H139&lt;LS_C,$U139,0),0),0)</f>
        <v>0</v>
      </c>
      <c r="BU139" s="5">
        <f>IF($H$134="Producción",IF($H139&lt;LS_D,$U139,0),0)</f>
        <v>0</v>
      </c>
      <c r="BV139" s="5">
        <f>IF($H$134="Crecimiento",$T139,0)</f>
        <v>0</v>
      </c>
      <c r="BY139" s="5">
        <f>IF($I$134="Producción",IF($I139&gt;=LI_A,$V139,0),0)</f>
        <v>0</v>
      </c>
      <c r="BZ139" s="5">
        <f>IF($I$134="Producción",IF($I139&gt;=LI_B,IF($I139&lt;LS_B,$V139,0),0),0)</f>
        <v>0</v>
      </c>
      <c r="CA139" s="5">
        <f>IF($I$134="Producción",IF($I139&gt;=LI_C,IF($I139&lt;LS_C,$V139,0),0),0)</f>
        <v>0</v>
      </c>
      <c r="CB139" s="5">
        <f>IF($I$134="Producción",IF($I139&lt;LS_D,$V139,0),0)</f>
        <v>0</v>
      </c>
      <c r="CC139" s="5">
        <f>IF($I$134="Crecimiento",$V139,0)</f>
        <v>0</v>
      </c>
      <c r="CF139" s="5">
        <f>IF($J$134="Producción",IF($J139&gt;=LI_A,$W139,0),0)</f>
        <v>0</v>
      </c>
      <c r="CG139" s="5">
        <f>IF($J$134="Producción",IF($J139&gt;=LI_B,IF($J139&lt;LS_B,$W139,0),0),0)</f>
        <v>0</v>
      </c>
      <c r="CH139" s="5">
        <f>IF($J$134="Producción",IF($J139&gt;=LI_C,IF($J139&lt;LS_C,$W139,0),0),0)</f>
        <v>0</v>
      </c>
      <c r="CI139" s="5">
        <f>IF($J$134="Producción",IF($J139&lt;LS_D,$W139,0),0)</f>
        <v>0</v>
      </c>
      <c r="CJ139" s="5">
        <f>IF($J$134="Crecimiento",$W139,0)</f>
        <v>0</v>
      </c>
      <c r="CM139" s="5">
        <f>IF($K$134="Producción",IF($K139&gt;=LI_A,$X139,0),0)</f>
        <v>0</v>
      </c>
      <c r="CN139" s="5">
        <f>IF($K$134="Producción",IF($K139&gt;=LI_B,IF($K139&lt;LS_B,$X139,0),0),0)</f>
        <v>0</v>
      </c>
      <c r="CO139" s="5">
        <f>IF($K$134="Producción",IF($K139&gt;=LI_C,IF($K139&lt;LS_C,$X139,0),0),0)</f>
        <v>0</v>
      </c>
      <c r="CP139" s="5">
        <f>IF($K$134="Producción",IF($K139&lt;LS_D,$X139,0),0)</f>
        <v>0</v>
      </c>
      <c r="CQ139" s="5">
        <f>IF($K$134="Crecimiento",$X139,0)</f>
        <v>0</v>
      </c>
      <c r="CT139" s="5">
        <f>IF($L$134="Producción",IF($L139&gt;=LI_A,$Y139,0),0)</f>
        <v>0</v>
      </c>
      <c r="CU139" s="5">
        <f>IF($L$134="Producción",IF($L139&gt;=LI_B,IF($L139&lt;LS_B,$Y139,0),0),0)</f>
        <v>0</v>
      </c>
      <c r="CV139" s="5">
        <f>IF($L$134="Producción",IF($L139&gt;=LI_C,IF($L139&lt;LS_C,$Y139,0),0),0)</f>
        <v>0</v>
      </c>
      <c r="CW139" s="5">
        <f>IF($L$134="Producción",IF($L139&lt;LS_D,$Y139,0),0)</f>
        <v>0</v>
      </c>
      <c r="CX139" s="5">
        <f>IF($L$134="Crecimiento",$Y139,0)</f>
        <v>0</v>
      </c>
      <c r="DA139" s="5">
        <f>IF($M$134="Producción",IF($M139&gt;=LI_A,$Z139,0),0)</f>
        <v>0</v>
      </c>
      <c r="DB139" s="5">
        <f>IF($M$134="Producción",IF($M139&gt;=LI_B,IF($M139&lt;LS_B,$Z139,0),0),0)</f>
        <v>0</v>
      </c>
      <c r="DC139" s="5">
        <f>IF($M$134="Producción",IF($M139&gt;=LI_C,IF($M139&lt;LS_C,$Z139,0),0),0)</f>
        <v>0</v>
      </c>
      <c r="DD139" s="5">
        <f>IF($M$134="Producción",IF($M139&lt;LS_D,$Z139,0),0)</f>
        <v>0</v>
      </c>
      <c r="DE139" s="5">
        <f>IF($M$134="Crecimiento",$Z139,0)</f>
        <v>0</v>
      </c>
      <c r="DI139" s="5">
        <f t="shared" si="997"/>
        <v>0</v>
      </c>
      <c r="DJ139" s="5">
        <f t="shared" si="998"/>
        <v>0</v>
      </c>
      <c r="DK139" s="5">
        <f t="shared" si="999"/>
        <v>0</v>
      </c>
      <c r="DL139" s="5">
        <f t="shared" si="1000"/>
        <v>0</v>
      </c>
      <c r="DM139" s="5">
        <f t="shared" si="1001"/>
        <v>0</v>
      </c>
      <c r="DN139" s="5">
        <f t="shared" si="1002"/>
        <v>0</v>
      </c>
      <c r="DO139" s="5">
        <f t="shared" si="1003"/>
        <v>0</v>
      </c>
      <c r="DP139" s="5">
        <f t="shared" si="1004"/>
        <v>0</v>
      </c>
      <c r="DQ139" s="5">
        <f t="shared" si="1005"/>
        <v>0</v>
      </c>
      <c r="DR139" s="5">
        <f t="shared" si="1006"/>
        <v>0</v>
      </c>
      <c r="DS139" s="5">
        <f t="shared" si="1007"/>
        <v>0</v>
      </c>
      <c r="DT139" s="5">
        <f t="shared" si="1008"/>
        <v>0</v>
      </c>
      <c r="DU139" s="5">
        <f t="shared" si="1009"/>
        <v>0</v>
      </c>
      <c r="DV139" s="5">
        <f t="shared" si="1010"/>
        <v>0</v>
      </c>
      <c r="DW139" s="5">
        <f t="shared" si="1011"/>
        <v>0</v>
      </c>
      <c r="DX139" s="5">
        <f t="shared" si="1012"/>
        <v>0</v>
      </c>
      <c r="DY139" s="5">
        <f t="shared" si="1013"/>
        <v>0</v>
      </c>
      <c r="DZ139" s="5">
        <f t="shared" si="1014"/>
        <v>0</v>
      </c>
      <c r="EA139" s="5">
        <f t="shared" si="1015"/>
        <v>0</v>
      </c>
      <c r="EB139" s="5">
        <f t="shared" si="1016"/>
        <v>0</v>
      </c>
      <c r="EC139" s="5">
        <f t="shared" si="1017"/>
        <v>0</v>
      </c>
      <c r="ED139" s="5">
        <f t="shared" si="1018"/>
        <v>0</v>
      </c>
      <c r="EE139" s="5">
        <f t="shared" si="1019"/>
        <v>0</v>
      </c>
      <c r="EF139" s="5">
        <f t="shared" si="1020"/>
        <v>0</v>
      </c>
      <c r="EG139" s="5">
        <f t="shared" si="1021"/>
        <v>0</v>
      </c>
      <c r="EH139" s="5">
        <f t="shared" si="1022"/>
        <v>0</v>
      </c>
      <c r="EI139" s="5">
        <f t="shared" si="1023"/>
        <v>0</v>
      </c>
      <c r="EJ139" s="5">
        <f t="shared" si="1024"/>
        <v>0</v>
      </c>
      <c r="EK139" s="5">
        <f t="shared" si="1025"/>
        <v>0</v>
      </c>
      <c r="EL139" s="5">
        <f t="shared" si="1026"/>
        <v>0</v>
      </c>
      <c r="EM139" s="5">
        <f t="shared" si="1027"/>
        <v>0</v>
      </c>
      <c r="EN139" s="5">
        <f t="shared" si="1028"/>
        <v>0</v>
      </c>
      <c r="EO139" s="5">
        <f t="shared" si="1029"/>
        <v>0</v>
      </c>
      <c r="EP139" s="5">
        <f t="shared" si="1030"/>
        <v>0</v>
      </c>
      <c r="EQ139" s="5">
        <f t="shared" si="1031"/>
        <v>0</v>
      </c>
      <c r="ER139" s="5">
        <f t="shared" si="1032"/>
        <v>0</v>
      </c>
      <c r="ES139" s="5">
        <f t="shared" si="1033"/>
        <v>0</v>
      </c>
      <c r="ET139" s="5">
        <f t="shared" si="1034"/>
        <v>0</v>
      </c>
      <c r="EU139" s="5">
        <f t="shared" si="1035"/>
        <v>0</v>
      </c>
      <c r="EV139" s="5">
        <f t="shared" si="1036"/>
        <v>0</v>
      </c>
      <c r="EW139" s="5">
        <f t="shared" si="1037"/>
        <v>0</v>
      </c>
      <c r="EX139" s="5">
        <f t="shared" si="1038"/>
        <v>0</v>
      </c>
      <c r="EY139" s="5">
        <f t="shared" si="1039"/>
        <v>0</v>
      </c>
      <c r="EZ139" s="5">
        <f t="shared" si="1040"/>
        <v>0</v>
      </c>
      <c r="FA139" s="5">
        <f t="shared" si="1041"/>
        <v>0</v>
      </c>
      <c r="FB139" s="5">
        <f t="shared" si="1042"/>
        <v>0</v>
      </c>
      <c r="FC139" s="5">
        <f t="shared" si="1043"/>
        <v>0</v>
      </c>
      <c r="FD139" s="5">
        <f t="shared" si="1044"/>
        <v>0</v>
      </c>
      <c r="FE139" s="5">
        <f t="shared" si="1045"/>
        <v>0</v>
      </c>
      <c r="FF139" s="5">
        <f t="shared" si="1046"/>
        <v>0</v>
      </c>
      <c r="FG139" s="5">
        <f t="shared" si="1047"/>
        <v>0</v>
      </c>
      <c r="FH139" s="5">
        <f t="shared" si="1048"/>
        <v>0</v>
      </c>
      <c r="FI139" s="5">
        <f t="shared" si="1049"/>
        <v>0</v>
      </c>
      <c r="FJ139" s="5">
        <f t="shared" si="1050"/>
        <v>0</v>
      </c>
      <c r="FK139" s="5">
        <f t="shared" si="1051"/>
        <v>0</v>
      </c>
      <c r="FL139" s="5">
        <f t="shared" si="1052"/>
        <v>0</v>
      </c>
      <c r="FM139" s="5">
        <f t="shared" si="1053"/>
        <v>0</v>
      </c>
      <c r="FN139" s="5">
        <f t="shared" si="1054"/>
        <v>0</v>
      </c>
      <c r="FO139" s="5">
        <f t="shared" si="1055"/>
        <v>0</v>
      </c>
      <c r="FP139" s="5">
        <f t="shared" si="1056"/>
        <v>0</v>
      </c>
    </row>
    <row r="140" spans="1:172" ht="20.100000000000001" customHeight="1" x14ac:dyDescent="0.3">
      <c r="A140" s="8" t="str">
        <f>IF(Ciclo=4,"Surco 4",IF(Ciclo=5,"Surco 4","NA"))</f>
        <v>NA</v>
      </c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O140" s="58">
        <f>IF($A140="NA",0,IFERROR('6'!O$71/Ciclo,0))</f>
        <v>0</v>
      </c>
      <c r="P140" s="58">
        <f>IF($A140="NA",0,IFERROR('6'!P$71/Ciclo,0))</f>
        <v>0</v>
      </c>
      <c r="Q140" s="58">
        <f>IF($A140="NA",0,IFERROR('6'!Q$71/Ciclo,0))</f>
        <v>0</v>
      </c>
      <c r="R140" s="58">
        <f>IF($A140="NA",0,IFERROR('6'!R$71/Ciclo,0))</f>
        <v>0</v>
      </c>
      <c r="S140" s="58">
        <f>IF($A140="NA",0,IFERROR('6'!S$71/Ciclo,0))</f>
        <v>0</v>
      </c>
      <c r="T140" s="58">
        <f>IF($A140="NA",0,IFERROR('6'!T$71/Ciclo,0))</f>
        <v>0</v>
      </c>
      <c r="U140" s="58">
        <f>IF($A140="NA",0,IFERROR('6'!U$71/Ciclo,0))</f>
        <v>0</v>
      </c>
      <c r="V140" s="58">
        <f>IF($A140="NA",0,IFERROR('6'!V$71/Ciclo,0))</f>
        <v>0</v>
      </c>
      <c r="W140" s="5">
        <f>IF($A140="NA",0,IFERROR('6'!W$71/Ciclo,0))</f>
        <v>0</v>
      </c>
      <c r="X140" s="5">
        <f>IF($A140="NA",0,IFERROR('6'!X$71/Ciclo,0))</f>
        <v>0</v>
      </c>
      <c r="Y140" s="5">
        <f>IF($A140="NA",0,IFERROR('6'!Y$71/Ciclo,0))</f>
        <v>0</v>
      </c>
      <c r="Z140" s="5">
        <f>IF($A140="NA",0,IFERROR('6'!Z$71/Ciclo,0))</f>
        <v>0</v>
      </c>
      <c r="AB140" s="5">
        <f>IF($B$134="Producción",IF($B140&gt;=LI_A,$O140,0),0)</f>
        <v>0</v>
      </c>
      <c r="AC140" s="5">
        <f>IF($B$134="Producción",IF($B140&gt;=LI_B,IF($B140&lt;LS_B,$O140,0),0),0)</f>
        <v>0</v>
      </c>
      <c r="AD140" s="5">
        <f>IF($B$134="Producción",IF($B140&gt;=LI_C,IF($B140&lt;LS_C,$O140,0),0),0)</f>
        <v>0</v>
      </c>
      <c r="AE140" s="5">
        <f>IF($B$134="Producción",IF($B140&lt;LS_D,$O140,0),0)</f>
        <v>0</v>
      </c>
      <c r="AF140" s="5">
        <f t="shared" si="1057"/>
        <v>0</v>
      </c>
      <c r="AI140" s="5">
        <f>IF($C$134="Producción",IF($C140&gt;=LI_A,$P140,0),0)</f>
        <v>0</v>
      </c>
      <c r="AJ140" s="5">
        <f>IF($C$134="Producción",IF($C140&gt;=LI_B,IF($C140&lt;LS_B,$P140,0),0),0)</f>
        <v>0</v>
      </c>
      <c r="AK140" s="5">
        <f>IF($C$134="Producción",IF($C140&gt;=LI_C,IF($C140&lt;LS_C,$P140,0),0),0)</f>
        <v>0</v>
      </c>
      <c r="AL140" s="5">
        <f>IF($C$134="Producción",IF($C140&lt;LS_D,$P140,0),0)</f>
        <v>0</v>
      </c>
      <c r="AM140" s="5">
        <f>IF($C$134="Crecimiento",$P140,0)</f>
        <v>0</v>
      </c>
      <c r="AP140" s="5">
        <f>IF($D$134="Producción",IF($D140&gt;=LI_A,$Q140,0),0)</f>
        <v>0</v>
      </c>
      <c r="AQ140" s="5">
        <f>IF($D$134="Producción",IF($D140&gt;=LI_B,IF($D140&lt;LS_B,$Q140,0),0),0)</f>
        <v>0</v>
      </c>
      <c r="AR140" s="5">
        <f>IF($D$134="Producción",IF($D140&gt;=LI_C,IF($D140&lt;LS_C,$Q140,0),0),0)</f>
        <v>0</v>
      </c>
      <c r="AS140" s="5">
        <f>IF($D$134="Producción",IF($D140&lt;LS_D,$Q140,0),0)</f>
        <v>0</v>
      </c>
      <c r="AT140" s="5">
        <f>IF($D$134="Crecimiento",IF($D140&gt;0,$Q140,0),0)</f>
        <v>0</v>
      </c>
      <c r="AW140" s="5">
        <f>IF($E$134="Producción",IF($E140&gt;=LI_A,$R140,0),0)</f>
        <v>0</v>
      </c>
      <c r="AX140" s="5">
        <f>IF($E$134="Producción",IF($E140&gt;=LI_B,IF($E140&lt;LS_B,$R140,0),0),0)</f>
        <v>0</v>
      </c>
      <c r="AY140" s="5">
        <f>IF($E$134="Producción",IF($E140&gt;=LI_C,IF($E140&lt;LS_C,$R140,0),0),0)</f>
        <v>0</v>
      </c>
      <c r="AZ140" s="5">
        <f>IF($E$134="Producción",IF($E140&lt;LS_D,$R140,0),0)</f>
        <v>0</v>
      </c>
      <c r="BA140" s="5">
        <f>IF($E$134="Crecimiento",$R140,0)</f>
        <v>0</v>
      </c>
      <c r="BD140" s="5">
        <f>IF($F$134="Producción",IF($F140&gt;=LI_A,$S140,0),0)</f>
        <v>0</v>
      </c>
      <c r="BE140" s="5">
        <f>IF($F$134="Producción",IF($F140&gt;=LI_B,IF($F140&lt;LS_B,$S140,0),0),0)</f>
        <v>0</v>
      </c>
      <c r="BF140" s="5">
        <f>IF($F$134="Producción",IF($F140&gt;=LI_C,IF($F140&lt;LS_C,$S140,0),0),0)</f>
        <v>0</v>
      </c>
      <c r="BG140" s="5">
        <f>IF($F$134="Producción",IF($F140&lt;LS_D,$S140,0),0)</f>
        <v>0</v>
      </c>
      <c r="BH140" s="5">
        <f>IF($F$134="Crecimiento",$S140,0)</f>
        <v>0</v>
      </c>
      <c r="BK140" s="5">
        <f>IF($G$134="Producción",IF($G140&gt;=LI_A,$T140,0),0)</f>
        <v>0</v>
      </c>
      <c r="BL140" s="5">
        <f>IF($G$134="Producción",IF($G140&gt;=LI_B,IF($G140&lt;LS_B,$T140,0),0),0)</f>
        <v>0</v>
      </c>
      <c r="BM140" s="5">
        <f>IF($G$134="Producción",IF($G140&gt;=LI_C,IF($G140&lt;LS_C,$T140,0),0),0)</f>
        <v>0</v>
      </c>
      <c r="BN140" s="5">
        <f>IF($G$134="Producción",IF($G140&lt;LS_D,$T140,0),0)</f>
        <v>0</v>
      </c>
      <c r="BO140" s="5">
        <f>IF($G$134="Crecimiento",$T140,0)</f>
        <v>0</v>
      </c>
      <c r="BR140" s="5">
        <f>IF($H$134="Producción",IF($H140&gt;=LI_A,$U140,0),0)</f>
        <v>0</v>
      </c>
      <c r="BS140" s="5">
        <f>IF($H$134="Producción",IF($H140&gt;=LI_B,IF($H140&lt;LS_B,$U140,0),0),0)</f>
        <v>0</v>
      </c>
      <c r="BT140" s="5">
        <f>IF($H$134="Producción",IF($H140&gt;=LI_C,IF($H140&lt;LS_C,$U140,0),0),0)</f>
        <v>0</v>
      </c>
      <c r="BU140" s="5">
        <f>IF($H$134="Producción",IF($H140&lt;LS_D,$U140,0),0)</f>
        <v>0</v>
      </c>
      <c r="BV140" s="5">
        <f>IF($H$134="Crecimiento",$T140,0)</f>
        <v>0</v>
      </c>
      <c r="BY140" s="5">
        <f>IF($I$134="Producción",IF($I140&gt;=LI_A,$V140,0),0)</f>
        <v>0</v>
      </c>
      <c r="BZ140" s="5">
        <f>IF($I$134="Producción",IF($I140&gt;=LI_B,IF($I140&lt;LS_B,$V140,0),0),0)</f>
        <v>0</v>
      </c>
      <c r="CA140" s="5">
        <f>IF($I$134="Producción",IF($I140&gt;=LI_C,IF($I140&lt;LS_C,$V140,0),0),0)</f>
        <v>0</v>
      </c>
      <c r="CB140" s="5">
        <f>IF($I$134="Producción",IF($I140&lt;LS_D,$V140,0),0)</f>
        <v>0</v>
      </c>
      <c r="CC140" s="5">
        <f>IF($I$134="Crecimiento",$V140,0)</f>
        <v>0</v>
      </c>
      <c r="CF140" s="5">
        <f>IF($J$134="Producción",IF($J140&gt;=LI_A,$W140,0),0)</f>
        <v>0</v>
      </c>
      <c r="CG140" s="5">
        <f>IF($J$134="Producción",IF($J140&gt;=LI_B,IF($J140&lt;LS_B,$W140,0),0),0)</f>
        <v>0</v>
      </c>
      <c r="CH140" s="5">
        <f>IF($J$134="Producción",IF($J140&gt;=LI_C,IF($J140&lt;LS_C,$W140,0),0),0)</f>
        <v>0</v>
      </c>
      <c r="CI140" s="5">
        <f>IF($J$134="Producción",IF($J140&lt;LS_D,$W140,0),0)</f>
        <v>0</v>
      </c>
      <c r="CJ140" s="5">
        <f>IF($J$134="Crecimiento",$W140,0)</f>
        <v>0</v>
      </c>
      <c r="CM140" s="5">
        <f>IF($K$134="Producción",IF($K140&gt;=LI_A,$X140,0),0)</f>
        <v>0</v>
      </c>
      <c r="CN140" s="5">
        <f>IF($K$134="Producción",IF($K140&gt;=LI_B,IF($K140&lt;LS_B,$X140,0),0),0)</f>
        <v>0</v>
      </c>
      <c r="CO140" s="5">
        <f>IF($K$134="Producción",IF($K140&gt;=LI_C,IF($K140&lt;LS_C,$X140,0),0),0)</f>
        <v>0</v>
      </c>
      <c r="CP140" s="5">
        <f>IF($K$134="Producción",IF($K140&lt;LS_D,$X140,0),0)</f>
        <v>0</v>
      </c>
      <c r="CQ140" s="5">
        <f>IF($K$134="Crecimiento",$X140,0)</f>
        <v>0</v>
      </c>
      <c r="CT140" s="5">
        <f>IF($L$134="Producción",IF($L140&gt;=LI_A,$Y140,0),0)</f>
        <v>0</v>
      </c>
      <c r="CU140" s="5">
        <f>IF($L$134="Producción",IF($L140&gt;=LI_B,IF($L140&lt;LS_B,$Y140,0),0),0)</f>
        <v>0</v>
      </c>
      <c r="CV140" s="5">
        <f>IF($L$134="Producción",IF($L140&gt;=LI_C,IF($L140&lt;LS_C,$Y140,0),0),0)</f>
        <v>0</v>
      </c>
      <c r="CW140" s="5">
        <f>IF($L$134="Producción",IF($L140&lt;LS_D,$Y140,0),0)</f>
        <v>0</v>
      </c>
      <c r="CX140" s="5">
        <f>IF($L$134="Crecimiento",$Y140,0)</f>
        <v>0</v>
      </c>
      <c r="DA140" s="5">
        <f>IF($M$134="Producción",IF($M140&gt;=LI_A,$Z140,0),0)</f>
        <v>0</v>
      </c>
      <c r="DB140" s="5">
        <f>IF($M$134="Producción",IF($M140&gt;=LI_B,IF($M140&lt;LS_B,$Z140,0),0),0)</f>
        <v>0</v>
      </c>
      <c r="DC140" s="5">
        <f>IF($M$134="Producción",IF($M140&gt;=LI_C,IF($M140&lt;LS_C,$Z140,0),0),0)</f>
        <v>0</v>
      </c>
      <c r="DD140" s="5">
        <f>IF($M$134="Producción",IF($M140&lt;LS_D,$Z140,0),0)</f>
        <v>0</v>
      </c>
      <c r="DE140" s="5">
        <f>IF($M$134="Crecimiento",$Z140,0)</f>
        <v>0</v>
      </c>
      <c r="DI140" s="5">
        <f t="shared" si="997"/>
        <v>0</v>
      </c>
      <c r="DJ140" s="5">
        <f t="shared" si="998"/>
        <v>0</v>
      </c>
      <c r="DK140" s="5">
        <f t="shared" si="999"/>
        <v>0</v>
      </c>
      <c r="DL140" s="5">
        <f t="shared" si="1000"/>
        <v>0</v>
      </c>
      <c r="DM140" s="5">
        <f t="shared" si="1001"/>
        <v>0</v>
      </c>
      <c r="DN140" s="5">
        <f t="shared" si="1002"/>
        <v>0</v>
      </c>
      <c r="DO140" s="5">
        <f t="shared" si="1003"/>
        <v>0</v>
      </c>
      <c r="DP140" s="5">
        <f t="shared" si="1004"/>
        <v>0</v>
      </c>
      <c r="DQ140" s="5">
        <f t="shared" si="1005"/>
        <v>0</v>
      </c>
      <c r="DR140" s="5">
        <f t="shared" si="1006"/>
        <v>0</v>
      </c>
      <c r="DS140" s="5">
        <f t="shared" si="1007"/>
        <v>0</v>
      </c>
      <c r="DT140" s="5">
        <f t="shared" si="1008"/>
        <v>0</v>
      </c>
      <c r="DU140" s="5">
        <f t="shared" si="1009"/>
        <v>0</v>
      </c>
      <c r="DV140" s="5">
        <f t="shared" si="1010"/>
        <v>0</v>
      </c>
      <c r="DW140" s="5">
        <f t="shared" si="1011"/>
        <v>0</v>
      </c>
      <c r="DX140" s="5">
        <f t="shared" si="1012"/>
        <v>0</v>
      </c>
      <c r="DY140" s="5">
        <f t="shared" si="1013"/>
        <v>0</v>
      </c>
      <c r="DZ140" s="5">
        <f t="shared" si="1014"/>
        <v>0</v>
      </c>
      <c r="EA140" s="5">
        <f t="shared" si="1015"/>
        <v>0</v>
      </c>
      <c r="EB140" s="5">
        <f t="shared" si="1016"/>
        <v>0</v>
      </c>
      <c r="EC140" s="5">
        <f t="shared" si="1017"/>
        <v>0</v>
      </c>
      <c r="ED140" s="5">
        <f t="shared" si="1018"/>
        <v>0</v>
      </c>
      <c r="EE140" s="5">
        <f t="shared" si="1019"/>
        <v>0</v>
      </c>
      <c r="EF140" s="5">
        <f t="shared" si="1020"/>
        <v>0</v>
      </c>
      <c r="EG140" s="5">
        <f t="shared" si="1021"/>
        <v>0</v>
      </c>
      <c r="EH140" s="5">
        <f t="shared" si="1022"/>
        <v>0</v>
      </c>
      <c r="EI140" s="5">
        <f t="shared" si="1023"/>
        <v>0</v>
      </c>
      <c r="EJ140" s="5">
        <f t="shared" si="1024"/>
        <v>0</v>
      </c>
      <c r="EK140" s="5">
        <f t="shared" si="1025"/>
        <v>0</v>
      </c>
      <c r="EL140" s="5">
        <f t="shared" si="1026"/>
        <v>0</v>
      </c>
      <c r="EM140" s="5">
        <f t="shared" si="1027"/>
        <v>0</v>
      </c>
      <c r="EN140" s="5">
        <f t="shared" si="1028"/>
        <v>0</v>
      </c>
      <c r="EO140" s="5">
        <f t="shared" si="1029"/>
        <v>0</v>
      </c>
      <c r="EP140" s="5">
        <f t="shared" si="1030"/>
        <v>0</v>
      </c>
      <c r="EQ140" s="5">
        <f t="shared" si="1031"/>
        <v>0</v>
      </c>
      <c r="ER140" s="5">
        <f t="shared" si="1032"/>
        <v>0</v>
      </c>
      <c r="ES140" s="5">
        <f t="shared" si="1033"/>
        <v>0</v>
      </c>
      <c r="ET140" s="5">
        <f t="shared" si="1034"/>
        <v>0</v>
      </c>
      <c r="EU140" s="5">
        <f t="shared" si="1035"/>
        <v>0</v>
      </c>
      <c r="EV140" s="5">
        <f t="shared" si="1036"/>
        <v>0</v>
      </c>
      <c r="EW140" s="5">
        <f t="shared" si="1037"/>
        <v>0</v>
      </c>
      <c r="EX140" s="5">
        <f t="shared" si="1038"/>
        <v>0</v>
      </c>
      <c r="EY140" s="5">
        <f t="shared" si="1039"/>
        <v>0</v>
      </c>
      <c r="EZ140" s="5">
        <f t="shared" si="1040"/>
        <v>0</v>
      </c>
      <c r="FA140" s="5">
        <f t="shared" si="1041"/>
        <v>0</v>
      </c>
      <c r="FB140" s="5">
        <f t="shared" si="1042"/>
        <v>0</v>
      </c>
      <c r="FC140" s="5">
        <f t="shared" si="1043"/>
        <v>0</v>
      </c>
      <c r="FD140" s="5">
        <f t="shared" si="1044"/>
        <v>0</v>
      </c>
      <c r="FE140" s="5">
        <f t="shared" si="1045"/>
        <v>0</v>
      </c>
      <c r="FF140" s="5">
        <f t="shared" si="1046"/>
        <v>0</v>
      </c>
      <c r="FG140" s="5">
        <f t="shared" si="1047"/>
        <v>0</v>
      </c>
      <c r="FH140" s="5">
        <f t="shared" si="1048"/>
        <v>0</v>
      </c>
      <c r="FI140" s="5">
        <f t="shared" si="1049"/>
        <v>0</v>
      </c>
      <c r="FJ140" s="5">
        <f t="shared" si="1050"/>
        <v>0</v>
      </c>
      <c r="FK140" s="5">
        <f t="shared" si="1051"/>
        <v>0</v>
      </c>
      <c r="FL140" s="5">
        <f t="shared" si="1052"/>
        <v>0</v>
      </c>
      <c r="FM140" s="5">
        <f t="shared" si="1053"/>
        <v>0</v>
      </c>
      <c r="FN140" s="5">
        <f t="shared" si="1054"/>
        <v>0</v>
      </c>
      <c r="FO140" s="5">
        <f t="shared" si="1055"/>
        <v>0</v>
      </c>
      <c r="FP140" s="5">
        <f t="shared" si="1056"/>
        <v>0</v>
      </c>
    </row>
    <row r="141" spans="1:172" ht="20.100000000000001" customHeight="1" x14ac:dyDescent="0.3">
      <c r="A141" s="9" t="str">
        <f>IF(Ciclo=5,"Surco 5","NA")</f>
        <v>NA</v>
      </c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O141" s="58">
        <f>IF($A141="NA",0,IFERROR('6'!O$71/Ciclo,0))</f>
        <v>0</v>
      </c>
      <c r="P141" s="58">
        <f>IF($A141="NA",0,IFERROR('6'!P$71/Ciclo,0))</f>
        <v>0</v>
      </c>
      <c r="Q141" s="58">
        <f>IF($A141="NA",0,IFERROR('6'!Q$71/Ciclo,0))</f>
        <v>0</v>
      </c>
      <c r="R141" s="58">
        <f>IF($A141="NA",0,IFERROR('6'!R$71/Ciclo,0))</f>
        <v>0</v>
      </c>
      <c r="S141" s="58">
        <f>IF($A141="NA",0,IFERROR('6'!S$71/Ciclo,0))</f>
        <v>0</v>
      </c>
      <c r="T141" s="58">
        <f>IF($A141="NA",0,IFERROR('6'!T$71/Ciclo,0))</f>
        <v>0</v>
      </c>
      <c r="U141" s="58">
        <f>IF($A141="NA",0,IFERROR('6'!U$71/Ciclo,0))</f>
        <v>0</v>
      </c>
      <c r="V141" s="58">
        <f>IF($A141="NA",0,IFERROR('6'!V$71/Ciclo,0))</f>
        <v>0</v>
      </c>
      <c r="W141" s="5">
        <f>IF($A141="NA",0,IFERROR('6'!W$71/Ciclo,0))</f>
        <v>0</v>
      </c>
      <c r="X141" s="5">
        <f>IF($A141="NA",0,IFERROR('6'!X$71/Ciclo,0))</f>
        <v>0</v>
      </c>
      <c r="Y141" s="5">
        <f>IF($A141="NA",0,IFERROR('6'!Y$71/Ciclo,0))</f>
        <v>0</v>
      </c>
      <c r="Z141" s="5">
        <f>IF($A141="NA",0,IFERROR('6'!Z$71/Ciclo,0))</f>
        <v>0</v>
      </c>
      <c r="AB141" s="5">
        <f>IF($B$134="Producción",IF($B141&gt;=LI_A,$O141,0),0)</f>
        <v>0</v>
      </c>
      <c r="AC141" s="5">
        <f>IF($B$134="Producción",IF($B141&gt;=LI_B,IF($B141&lt;LS_B,$O141,0),0),0)</f>
        <v>0</v>
      </c>
      <c r="AD141" s="5">
        <f>IF($B$134="Producción",IF($B141&gt;=LI_C,IF($B141&lt;LS_C,$O141,0),0),0)</f>
        <v>0</v>
      </c>
      <c r="AE141" s="5">
        <f>IF($B$134="Producción",IF($B141&lt;LS_D,$O141,0),0)</f>
        <v>0</v>
      </c>
      <c r="AF141" s="5">
        <f t="shared" si="1057"/>
        <v>0</v>
      </c>
      <c r="AI141" s="5">
        <f>IF($C$134="Producción",IF($C141&gt;=LI_A,$P141,0),0)</f>
        <v>0</v>
      </c>
      <c r="AJ141" s="5">
        <f>IF($C$134="Producción",IF($C141&gt;=LI_B,IF($C141&lt;LS_B,$P141,0),0),0)</f>
        <v>0</v>
      </c>
      <c r="AK141" s="5">
        <f>IF($C$134="Producción",IF($C141&gt;=LI_C,IF($C141&lt;LS_C,$P141,0),0),0)</f>
        <v>0</v>
      </c>
      <c r="AL141" s="5">
        <f>IF($C$134="Producción",IF($C141&lt;LS_D,$P141,0),0)</f>
        <v>0</v>
      </c>
      <c r="AM141" s="5">
        <f>IF($C$134="Crecimiento",$P141,0)</f>
        <v>0</v>
      </c>
      <c r="AP141" s="5">
        <f>IF($D$134="Producción",IF($D141&gt;=LI_A,$Q141,0),0)</f>
        <v>0</v>
      </c>
      <c r="AQ141" s="5">
        <f>IF($D$134="Producción",IF($D141&gt;=LI_B,IF($D141&lt;LS_B,$Q141,0),0),0)</f>
        <v>0</v>
      </c>
      <c r="AR141" s="5">
        <f>IF($D$134="Producción",IF($D141&gt;=LI_C,IF($D141&lt;LS_C,$Q141,0),0),0)</f>
        <v>0</v>
      </c>
      <c r="AS141" s="5">
        <f>IF($D$134="Producción",IF($D141&lt;LS_D,$Q141,0),0)</f>
        <v>0</v>
      </c>
      <c r="AT141" s="5">
        <f>IF($D$134="Crecimiento",IF($D141&gt;0,$Q141,0),0)</f>
        <v>0</v>
      </c>
      <c r="AW141" s="5">
        <f>IF($E$134="Producción",IF($E141&gt;=LI_A,$R141,0),0)</f>
        <v>0</v>
      </c>
      <c r="AX141" s="5">
        <f>IF($E$134="Producción",IF($E141&gt;=LI_B,IF($E141&lt;LS_B,$R141,0),0),0)</f>
        <v>0</v>
      </c>
      <c r="AY141" s="5">
        <f>IF($E$134="Producción",IF($E141&gt;=LI_C,IF($E141&lt;LS_C,$R141,0),0),0)</f>
        <v>0</v>
      </c>
      <c r="AZ141" s="5">
        <f>IF($E$134="Producción",IF($E141&lt;LS_D,$R141,0),0)</f>
        <v>0</v>
      </c>
      <c r="BA141" s="5">
        <f>IF($E$134="Crecimiento",$R141,0)</f>
        <v>0</v>
      </c>
      <c r="BD141" s="5">
        <f>IF($F$134="Producción",IF($F141&gt;=LI_A,$S141,0),0)</f>
        <v>0</v>
      </c>
      <c r="BE141" s="5">
        <f>IF($F$134="Producción",IF($F141&gt;=LI_B,IF($F141&lt;LS_B,$S141,0),0),0)</f>
        <v>0</v>
      </c>
      <c r="BF141" s="5">
        <f>IF($F$134="Producción",IF($F141&gt;=LI_C,IF($F141&lt;LS_C,$S141,0),0),0)</f>
        <v>0</v>
      </c>
      <c r="BG141" s="5">
        <f>IF($F$134="Producción",IF($F141&lt;LS_D,$S141,0),0)</f>
        <v>0</v>
      </c>
      <c r="BH141" s="5">
        <f>IF($F$134="Crecimiento",$S141,0)</f>
        <v>0</v>
      </c>
      <c r="BK141" s="5">
        <f>IF($G$134="Producción",IF($G141&gt;=LI_A,$T141,0),0)</f>
        <v>0</v>
      </c>
      <c r="BL141" s="5">
        <f>IF($G$134="Producción",IF($G141&gt;=LI_B,IF($G141&lt;LS_B,$T141,0),0),0)</f>
        <v>0</v>
      </c>
      <c r="BM141" s="5">
        <f>IF($G$134="Producción",IF($G141&gt;=LI_C,IF($G141&lt;LS_C,$T141,0),0),0)</f>
        <v>0</v>
      </c>
      <c r="BN141" s="5">
        <f>IF($G$134="Producción",IF($G141&lt;LS_D,$T141,0),0)</f>
        <v>0</v>
      </c>
      <c r="BO141" s="5">
        <f>IF($G$134="Crecimiento",$T141,0)</f>
        <v>0</v>
      </c>
      <c r="BR141" s="5">
        <f>IF($H$134="Producción",IF($H141&gt;=LI_A,$U141,0),0)</f>
        <v>0</v>
      </c>
      <c r="BS141" s="5">
        <f>IF($H$134="Producción",IF($H141&gt;=LI_B,IF($H141&lt;LS_B,$U141,0),0),0)</f>
        <v>0</v>
      </c>
      <c r="BT141" s="5">
        <f>IF($H$134="Producción",IF($H141&gt;=LI_C,IF($H141&lt;LS_C,$U141,0),0),0)</f>
        <v>0</v>
      </c>
      <c r="BU141" s="5">
        <f>IF($H$134="Producción",IF($H141&lt;LS_D,$U141,0),0)</f>
        <v>0</v>
      </c>
      <c r="BV141" s="5">
        <f>IF($H$134="Crecimiento",$T141,0)</f>
        <v>0</v>
      </c>
      <c r="BY141" s="5">
        <f>IF($I$134="Producción",IF($I141&gt;=LI_A,$V141,0),0)</f>
        <v>0</v>
      </c>
      <c r="BZ141" s="5">
        <f>IF($I$134="Producción",IF($I141&gt;=LI_B,IF($I141&lt;LS_B,$V141,0),0),0)</f>
        <v>0</v>
      </c>
      <c r="CA141" s="5">
        <f>IF($I$134="Producción",IF($I141&gt;=LI_C,IF($I141&lt;LS_C,$V141,0),0),0)</f>
        <v>0</v>
      </c>
      <c r="CB141" s="5">
        <f>IF($I$134="Producción",IF($I141&lt;LS_D,$V141,0),0)</f>
        <v>0</v>
      </c>
      <c r="CC141" s="5">
        <f>IF($I$134="Crecimiento",$V141,0)</f>
        <v>0</v>
      </c>
      <c r="CF141" s="5">
        <f>IF($J$134="Producción",IF($J141&gt;=LI_A,$W141,0),0)</f>
        <v>0</v>
      </c>
      <c r="CG141" s="5">
        <f>IF($J$134="Producción",IF($J141&gt;=LI_B,IF($J141&lt;LS_B,$W141,0),0),0)</f>
        <v>0</v>
      </c>
      <c r="CH141" s="5">
        <f>IF($J$134="Producción",IF($J141&gt;=LI_C,IF($J141&lt;LS_C,$W141,0),0),0)</f>
        <v>0</v>
      </c>
      <c r="CI141" s="5">
        <f>IF($J$134="Producción",IF($J141&lt;LS_D,$W141,0),0)</f>
        <v>0</v>
      </c>
      <c r="CJ141" s="5">
        <f>IF($J$134="Crecimiento",$W141,0)</f>
        <v>0</v>
      </c>
      <c r="CM141" s="5">
        <f>IF($K$134="Producción",IF($K141&gt;=LI_A,$X141,0),0)</f>
        <v>0</v>
      </c>
      <c r="CN141" s="5">
        <f>IF($K$134="Producción",IF($K141&gt;=LI_B,IF($K141&lt;LS_B,$X141,0),0),0)</f>
        <v>0</v>
      </c>
      <c r="CO141" s="5">
        <f>IF($K$134="Producción",IF($K141&gt;=LI_C,IF($K141&lt;LS_C,$X141,0),0),0)</f>
        <v>0</v>
      </c>
      <c r="CP141" s="5">
        <f>IF($K$134="Producción",IF($K141&lt;LS_D,$X141,0),0)</f>
        <v>0</v>
      </c>
      <c r="CQ141" s="5">
        <f>IF($K$134="Crecimiento",$X141,0)</f>
        <v>0</v>
      </c>
      <c r="CT141" s="5">
        <f>IF($L$134="Producción",IF($L141&gt;=LI_A,$Y141,0),0)</f>
        <v>0</v>
      </c>
      <c r="CU141" s="5">
        <f>IF($L$134="Producción",IF($L141&gt;=LI_B,IF($L141&lt;LS_B,$Y141,0),0),0)</f>
        <v>0</v>
      </c>
      <c r="CV141" s="5">
        <f>IF($L$134="Producción",IF($L141&gt;=LI_C,IF($L141&lt;LS_C,$Y141,0),0),0)</f>
        <v>0</v>
      </c>
      <c r="CW141" s="5">
        <f>IF($L$134="Producción",IF($L141&lt;LS_D,$Y141,0),0)</f>
        <v>0</v>
      </c>
      <c r="CX141" s="5">
        <f>IF($L$134="Crecimiento",$Y141,0)</f>
        <v>0</v>
      </c>
      <c r="DA141" s="5">
        <f>IF($M$134="Producción",IF($M141&gt;=LI_A,$Z141,0),0)</f>
        <v>0</v>
      </c>
      <c r="DB141" s="5">
        <f>IF($M$134="Producción",IF($M141&gt;=LI_B,IF($M141&lt;LS_B,$Z141,0),0),0)</f>
        <v>0</v>
      </c>
      <c r="DC141" s="5">
        <f>IF($M$134="Producción",IF($M141&gt;=LI_C,IF($M141&lt;LS_C,$Z141,0),0),0)</f>
        <v>0</v>
      </c>
      <c r="DD141" s="5">
        <f>IF($M$134="Producción",IF($M141&lt;LS_D,$Z141,0),0)</f>
        <v>0</v>
      </c>
      <c r="DE141" s="5">
        <f>IF($M$134="Crecimiento",$Z141,0)</f>
        <v>0</v>
      </c>
      <c r="DI141" s="5">
        <f t="shared" si="997"/>
        <v>0</v>
      </c>
      <c r="DJ141" s="5">
        <f t="shared" si="998"/>
        <v>0</v>
      </c>
      <c r="DK141" s="5">
        <f t="shared" si="999"/>
        <v>0</v>
      </c>
      <c r="DL141" s="5">
        <f t="shared" si="1000"/>
        <v>0</v>
      </c>
      <c r="DM141" s="5">
        <f t="shared" si="1001"/>
        <v>0</v>
      </c>
      <c r="DN141" s="5">
        <f t="shared" si="1002"/>
        <v>0</v>
      </c>
      <c r="DO141" s="5">
        <f t="shared" si="1003"/>
        <v>0</v>
      </c>
      <c r="DP141" s="5">
        <f t="shared" si="1004"/>
        <v>0</v>
      </c>
      <c r="DQ141" s="5">
        <f t="shared" si="1005"/>
        <v>0</v>
      </c>
      <c r="DR141" s="5">
        <f t="shared" si="1006"/>
        <v>0</v>
      </c>
      <c r="DS141" s="5">
        <f t="shared" si="1007"/>
        <v>0</v>
      </c>
      <c r="DT141" s="5">
        <f t="shared" si="1008"/>
        <v>0</v>
      </c>
      <c r="DU141" s="5">
        <f t="shared" si="1009"/>
        <v>0</v>
      </c>
      <c r="DV141" s="5">
        <f t="shared" si="1010"/>
        <v>0</v>
      </c>
      <c r="DW141" s="5">
        <f t="shared" si="1011"/>
        <v>0</v>
      </c>
      <c r="DX141" s="5">
        <f t="shared" si="1012"/>
        <v>0</v>
      </c>
      <c r="DY141" s="5">
        <f t="shared" si="1013"/>
        <v>0</v>
      </c>
      <c r="DZ141" s="5">
        <f t="shared" si="1014"/>
        <v>0</v>
      </c>
      <c r="EA141" s="5">
        <f t="shared" si="1015"/>
        <v>0</v>
      </c>
      <c r="EB141" s="5">
        <f t="shared" si="1016"/>
        <v>0</v>
      </c>
      <c r="EC141" s="5">
        <f t="shared" si="1017"/>
        <v>0</v>
      </c>
      <c r="ED141" s="5">
        <f t="shared" si="1018"/>
        <v>0</v>
      </c>
      <c r="EE141" s="5">
        <f t="shared" si="1019"/>
        <v>0</v>
      </c>
      <c r="EF141" s="5">
        <f t="shared" si="1020"/>
        <v>0</v>
      </c>
      <c r="EG141" s="5">
        <f t="shared" si="1021"/>
        <v>0</v>
      </c>
      <c r="EH141" s="5">
        <f t="shared" si="1022"/>
        <v>0</v>
      </c>
      <c r="EI141" s="5">
        <f t="shared" si="1023"/>
        <v>0</v>
      </c>
      <c r="EJ141" s="5">
        <f t="shared" si="1024"/>
        <v>0</v>
      </c>
      <c r="EK141" s="5">
        <f t="shared" si="1025"/>
        <v>0</v>
      </c>
      <c r="EL141" s="5">
        <f t="shared" si="1026"/>
        <v>0</v>
      </c>
      <c r="EM141" s="5">
        <f t="shared" si="1027"/>
        <v>0</v>
      </c>
      <c r="EN141" s="5">
        <f t="shared" si="1028"/>
        <v>0</v>
      </c>
      <c r="EO141" s="5">
        <f t="shared" si="1029"/>
        <v>0</v>
      </c>
      <c r="EP141" s="5">
        <f t="shared" si="1030"/>
        <v>0</v>
      </c>
      <c r="EQ141" s="5">
        <f t="shared" si="1031"/>
        <v>0</v>
      </c>
      <c r="ER141" s="5">
        <f t="shared" si="1032"/>
        <v>0</v>
      </c>
      <c r="ES141" s="5">
        <f t="shared" si="1033"/>
        <v>0</v>
      </c>
      <c r="ET141" s="5">
        <f t="shared" si="1034"/>
        <v>0</v>
      </c>
      <c r="EU141" s="5">
        <f t="shared" si="1035"/>
        <v>0</v>
      </c>
      <c r="EV141" s="5">
        <f t="shared" si="1036"/>
        <v>0</v>
      </c>
      <c r="EW141" s="5">
        <f t="shared" si="1037"/>
        <v>0</v>
      </c>
      <c r="EX141" s="5">
        <f t="shared" si="1038"/>
        <v>0</v>
      </c>
      <c r="EY141" s="5">
        <f t="shared" si="1039"/>
        <v>0</v>
      </c>
      <c r="EZ141" s="5">
        <f t="shared" si="1040"/>
        <v>0</v>
      </c>
      <c r="FA141" s="5">
        <f t="shared" si="1041"/>
        <v>0</v>
      </c>
      <c r="FB141" s="5">
        <f t="shared" si="1042"/>
        <v>0</v>
      </c>
      <c r="FC141" s="5">
        <f t="shared" si="1043"/>
        <v>0</v>
      </c>
      <c r="FD141" s="5">
        <f t="shared" si="1044"/>
        <v>0</v>
      </c>
      <c r="FE141" s="5">
        <f t="shared" si="1045"/>
        <v>0</v>
      </c>
      <c r="FF141" s="5">
        <f t="shared" si="1046"/>
        <v>0</v>
      </c>
      <c r="FG141" s="5">
        <f t="shared" si="1047"/>
        <v>0</v>
      </c>
      <c r="FH141" s="5">
        <f t="shared" si="1048"/>
        <v>0</v>
      </c>
      <c r="FI141" s="5">
        <f t="shared" si="1049"/>
        <v>0</v>
      </c>
      <c r="FJ141" s="5">
        <f t="shared" si="1050"/>
        <v>0</v>
      </c>
      <c r="FK141" s="5">
        <f t="shared" si="1051"/>
        <v>0</v>
      </c>
      <c r="FL141" s="5">
        <f t="shared" si="1052"/>
        <v>0</v>
      </c>
      <c r="FM141" s="5">
        <f t="shared" si="1053"/>
        <v>0</v>
      </c>
      <c r="FN141" s="5">
        <f t="shared" si="1054"/>
        <v>0</v>
      </c>
      <c r="FO141" s="5">
        <f t="shared" si="1055"/>
        <v>0</v>
      </c>
      <c r="FP141" s="5">
        <f t="shared" si="1056"/>
        <v>0</v>
      </c>
    </row>
    <row r="142" spans="1:172" ht="20.100000000000001" customHeight="1" x14ac:dyDescent="0.3">
      <c r="A142" s="172">
        <f>N_L18</f>
        <v>0</v>
      </c>
      <c r="B142" s="363" t="s">
        <v>37</v>
      </c>
      <c r="C142" s="363" t="s">
        <v>37</v>
      </c>
      <c r="D142" s="363" t="s">
        <v>37</v>
      </c>
      <c r="E142" s="363" t="s">
        <v>37</v>
      </c>
      <c r="F142" s="363" t="s">
        <v>37</v>
      </c>
      <c r="G142" s="363" t="s">
        <v>37</v>
      </c>
      <c r="H142" s="363" t="s">
        <v>37</v>
      </c>
      <c r="I142" s="363" t="s">
        <v>37</v>
      </c>
      <c r="J142" s="363" t="s">
        <v>37</v>
      </c>
      <c r="K142" s="363" t="s">
        <v>37</v>
      </c>
      <c r="L142" s="363" t="s">
        <v>37</v>
      </c>
      <c r="M142" s="363" t="s">
        <v>37</v>
      </c>
    </row>
    <row r="143" spans="1:172" ht="20.100000000000001" customHeight="1" x14ac:dyDescent="0.3">
      <c r="A143" s="175" t="s">
        <v>238</v>
      </c>
      <c r="B143" s="174">
        <f>SUM(DI145:DM149)/100</f>
        <v>0</v>
      </c>
      <c r="C143" s="174">
        <f>SUM(DN145:DR149)/100</f>
        <v>0</v>
      </c>
      <c r="D143" s="174">
        <f>SUM(DS145:DW149)/100</f>
        <v>0</v>
      </c>
      <c r="E143" s="174">
        <f>SUM(DX145:EB149)/100</f>
        <v>0</v>
      </c>
      <c r="F143" s="174">
        <f>SUM(EC145:EG149)/100</f>
        <v>0</v>
      </c>
      <c r="G143" s="174">
        <f>SUM(EH145:EL149)/100</f>
        <v>0</v>
      </c>
      <c r="H143" s="174">
        <f>SUM(EM145:EQ149)/100</f>
        <v>0</v>
      </c>
      <c r="I143" s="174">
        <f>SUM(ER145:EV149)/100</f>
        <v>0</v>
      </c>
      <c r="J143" s="174">
        <f>SUM(EW145:FA149)/100</f>
        <v>0</v>
      </c>
      <c r="K143" s="174">
        <f>SUM(FB145:FF149)/100</f>
        <v>0</v>
      </c>
      <c r="L143" s="174">
        <f>SUM(FG145:FK149)/100</f>
        <v>0</v>
      </c>
      <c r="M143" s="174">
        <f>SUM(FL145:FP149)/100</f>
        <v>0</v>
      </c>
    </row>
    <row r="144" spans="1:172" ht="20.100000000000001" customHeight="1" x14ac:dyDescent="0.3">
      <c r="A144" s="151" t="s">
        <v>239</v>
      </c>
      <c r="B144" s="152" t="e">
        <f t="shared" ref="B144:M144" si="1058">B143/Lote_18</f>
        <v>#DIV/0!</v>
      </c>
      <c r="C144" s="152" t="e">
        <f t="shared" si="1058"/>
        <v>#DIV/0!</v>
      </c>
      <c r="D144" s="152" t="e">
        <f t="shared" si="1058"/>
        <v>#DIV/0!</v>
      </c>
      <c r="E144" s="152" t="e">
        <f t="shared" si="1058"/>
        <v>#DIV/0!</v>
      </c>
      <c r="F144" s="152" t="e">
        <f t="shared" si="1058"/>
        <v>#DIV/0!</v>
      </c>
      <c r="G144" s="152" t="e">
        <f t="shared" si="1058"/>
        <v>#DIV/0!</v>
      </c>
      <c r="H144" s="152" t="e">
        <f t="shared" si="1058"/>
        <v>#DIV/0!</v>
      </c>
      <c r="I144" s="152" t="e">
        <f t="shared" si="1058"/>
        <v>#DIV/0!</v>
      </c>
      <c r="J144" s="152" t="e">
        <f t="shared" si="1058"/>
        <v>#DIV/0!</v>
      </c>
      <c r="K144" s="152" t="e">
        <f t="shared" si="1058"/>
        <v>#DIV/0!</v>
      </c>
      <c r="L144" s="152" t="e">
        <f t="shared" si="1058"/>
        <v>#DIV/0!</v>
      </c>
      <c r="M144" s="152" t="e">
        <f t="shared" si="1058"/>
        <v>#DIV/0!</v>
      </c>
    </row>
    <row r="145" spans="1:172" ht="20.100000000000001" customHeight="1" x14ac:dyDescent="0.3">
      <c r="A145" s="8" t="s">
        <v>302</v>
      </c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O145" s="58">
        <f>IFERROR('6'!O$75/Ciclo,0)</f>
        <v>0</v>
      </c>
      <c r="P145" s="58">
        <f>IFERROR('6'!P$75/Ciclo,0)</f>
        <v>0</v>
      </c>
      <c r="Q145" s="58">
        <f>IFERROR('6'!Q$75/Ciclo,0)</f>
        <v>0</v>
      </c>
      <c r="R145" s="58">
        <f>IFERROR('6'!R$75/Ciclo,0)</f>
        <v>0</v>
      </c>
      <c r="S145" s="58">
        <f>IFERROR('6'!S$75/Ciclo,0)</f>
        <v>0</v>
      </c>
      <c r="T145" s="58">
        <f>IFERROR('6'!T$75/Ciclo,0)</f>
        <v>0</v>
      </c>
      <c r="U145" s="58">
        <f>IFERROR('6'!U$75/Ciclo,0)</f>
        <v>0</v>
      </c>
      <c r="V145" s="58">
        <f>IFERROR('6'!V$75/Ciclo,0)</f>
        <v>0</v>
      </c>
      <c r="W145" s="5">
        <f>IFERROR('6'!W$75/Ciclo,0)</f>
        <v>0</v>
      </c>
      <c r="X145" s="5">
        <f>IFERROR('6'!X$75/Ciclo,0)</f>
        <v>0</v>
      </c>
      <c r="Y145" s="5">
        <f>IFERROR('6'!Y$75/Ciclo,0)</f>
        <v>0</v>
      </c>
      <c r="Z145" s="5">
        <f>IFERROR('6'!Z$75/Ciclo,0)</f>
        <v>0</v>
      </c>
      <c r="AB145" s="5">
        <f>IF($B$142="Producción",IF($B145&gt;=LI_A,$O145,0),0)</f>
        <v>0</v>
      </c>
      <c r="AC145" s="5">
        <f>IF($B$142="Producción",IF($B145&gt;=LI_B,IF($B145&lt;LS_B,$O145,0),0),0)</f>
        <v>0</v>
      </c>
      <c r="AD145" s="5">
        <f>IF($B$142="Producción",IF($B145&gt;=LI_C,IF($B145&lt;LS_C,$O145,0),0),0)</f>
        <v>0</v>
      </c>
      <c r="AE145" s="5">
        <f>IF($B$142="Producción",IF($B145&lt;LS_D,$O145,0),0)</f>
        <v>0</v>
      </c>
      <c r="AF145" s="5">
        <f>IF($B$142="Crecimiento",$O145,0)</f>
        <v>0</v>
      </c>
      <c r="AG145" s="5">
        <f>IF($B142="Siembra",'6'!$O$7,0)</f>
        <v>0</v>
      </c>
      <c r="AH145" s="5">
        <f>IF($B142="Abandono",'6'!$O$7,0)</f>
        <v>0</v>
      </c>
      <c r="AI145" s="5">
        <f>IF($C$142="Producción",IF($C145&gt;=LI_A,$P145,0),0)</f>
        <v>0</v>
      </c>
      <c r="AJ145" s="5">
        <f>IF($C$142="Producción",IF($C145&gt;=LI_B,IF($C145&lt;LS_B,$P145,0),0),0)</f>
        <v>0</v>
      </c>
      <c r="AK145" s="5">
        <f>IF($C$142="Producción",IF($C145&gt;=LI_C,IF($C145&lt;LS_C,$P145,0),0),0)</f>
        <v>0</v>
      </c>
      <c r="AL145" s="5">
        <f>IF($C$142="Producción",IF($C145&lt;LS_D,$P145,0),0)</f>
        <v>0</v>
      </c>
      <c r="AM145" s="5">
        <f>IF($C$142="Crecimiento",$P145,0)</f>
        <v>0</v>
      </c>
      <c r="AN145" s="5">
        <f>IF($C142="Siembra",'6'!$P$7,0)</f>
        <v>0</v>
      </c>
      <c r="AO145" s="5">
        <f>IF($C142="Abandono",'6'!$P$7,0)</f>
        <v>0</v>
      </c>
      <c r="AP145" s="5">
        <f>IF($D$142="Producción",IF($D145&gt;=LI_A,$Q145,0),0)</f>
        <v>0</v>
      </c>
      <c r="AQ145" s="5">
        <f>IF($D$142="Producción",IF($D145&gt;=LI_B,IF($D145&lt;LS_B,$Q145,0),0),0)</f>
        <v>0</v>
      </c>
      <c r="AR145" s="5">
        <f>IF($D$142="Producción",IF($D145&gt;=LI_C,IF($D145&lt;LS_C,$Q145,0),0),0)</f>
        <v>0</v>
      </c>
      <c r="AS145" s="5">
        <f>IF($D$142="Producción",IF($D145&lt;LS_D,$Q145,0),0)</f>
        <v>0</v>
      </c>
      <c r="AT145" s="5">
        <f>IF($D$142="Crecimiento",IF($D145&gt;0,$Q145,0),0)</f>
        <v>0</v>
      </c>
      <c r="AU145" s="5">
        <f>IF($D142="Siembra",'6'!$Q$7,0)</f>
        <v>0</v>
      </c>
      <c r="AV145" s="5">
        <f>IF($D142="Abandono",'6'!$Q$7,0)</f>
        <v>0</v>
      </c>
      <c r="AW145" s="5">
        <f>IF($E$142="Producción",IF($E145&gt;=LI_A,$R145,0),0)</f>
        <v>0</v>
      </c>
      <c r="AX145" s="5">
        <f>IF($E$142="Producción",IF($E145&gt;=LI_B,IF($E145&lt;LS_B,$R145,0),0),0)</f>
        <v>0</v>
      </c>
      <c r="AY145" s="5">
        <f>IF($E$142="Producción",IF($E145&gt;=LI_C,IF($E145&lt;LS_C,$R145,0),0),0)</f>
        <v>0</v>
      </c>
      <c r="AZ145" s="5">
        <f>IF($E$142="Producción",IF($E145&lt;LS_D,$R145,0),0)</f>
        <v>0</v>
      </c>
      <c r="BA145" s="5">
        <f>IF($E$142="Crecimiento",$R145,0)</f>
        <v>0</v>
      </c>
      <c r="BB145" s="5">
        <f>IF($E142="Siembra",'6'!$R$7,0)</f>
        <v>0</v>
      </c>
      <c r="BC145" s="5">
        <f>IF($E142="Abandono",'6'!$R$7,0)</f>
        <v>0</v>
      </c>
      <c r="BD145" s="5">
        <f>IF($F$142="Producción",IF($F145&gt;=LI_A,$S145,0),0)</f>
        <v>0</v>
      </c>
      <c r="BE145" s="5">
        <f>IF($F$142="Producción",IF($F145&gt;=LI_B,IF($F145&lt;LS_B,$S145,0),0),0)</f>
        <v>0</v>
      </c>
      <c r="BF145" s="5">
        <f>IF($F$142="Producción",IF($F145&gt;=LI_C,IF($F145&lt;LS_C,$S145,0),0),0)</f>
        <v>0</v>
      </c>
      <c r="BG145" s="5">
        <f>IF($F$142="Producción",IF($F145&lt;LS_D,$S145,0),0)</f>
        <v>0</v>
      </c>
      <c r="BH145" s="5">
        <f>IF($F$142="Crecimiento",$S145,0)</f>
        <v>0</v>
      </c>
      <c r="BI145" s="5">
        <f>IF($F142="Siembra",'6'!$S$7,0)</f>
        <v>0</v>
      </c>
      <c r="BJ145" s="5">
        <f>IF($F142="Abandono",'6'!$S$7,0)</f>
        <v>0</v>
      </c>
      <c r="BK145" s="5">
        <f>IF($G$142="Producción",IF($G145&gt;=LI_A,$T145,0),0)</f>
        <v>0</v>
      </c>
      <c r="BL145" s="5">
        <f>IF($G$142="Producción",IF($G145&gt;=LI_B,IF($G145&lt;LS_B,$T145,0),0),0)</f>
        <v>0</v>
      </c>
      <c r="BM145" s="5">
        <f>IF($G$142="Producción",IF($G145&gt;=LI_C,IF($G145&lt;LS_C,$T145,0),0),0)</f>
        <v>0</v>
      </c>
      <c r="BN145" s="5">
        <f>IF($G$142="Producción",IF($G145&lt;LS_D,$T145,0),0)</f>
        <v>0</v>
      </c>
      <c r="BO145" s="5">
        <f>IF($G$142="Crecimiento",$T145,0)</f>
        <v>0</v>
      </c>
      <c r="BP145" s="5">
        <f>IF($G142="Siembra",'6'!$T$7,0)</f>
        <v>0</v>
      </c>
      <c r="BQ145" s="5">
        <f>IF($G142="Abandono",'6'!$T$7,0)</f>
        <v>0</v>
      </c>
      <c r="BR145" s="5">
        <f>IF($H$142="Producción",IF($H145&gt;=LI_A,$U145,0),0)</f>
        <v>0</v>
      </c>
      <c r="BS145" s="5">
        <f>IF($H$142="Producción",IF($H145&gt;=LI_B,IF($H145&lt;LS_B,$U145,0),0),0)</f>
        <v>0</v>
      </c>
      <c r="BT145" s="5">
        <f>IF($H$142="Producción",IF($H145&gt;=LI_C,IF($H145&lt;LS_C,$U145,0),0),0)</f>
        <v>0</v>
      </c>
      <c r="BU145" s="5">
        <f>IF($H$142="Producción",IF($H145&lt;LS_D,$U145,0),0)</f>
        <v>0</v>
      </c>
      <c r="BV145" s="5">
        <f>IF($H$142="Crecimiento",$T145,0)</f>
        <v>0</v>
      </c>
      <c r="BW145" s="5">
        <f>IF($H142="Siembra",'6'!$U$7,0)</f>
        <v>0</v>
      </c>
      <c r="BX145" s="5">
        <f>IF($H142="Abandono",'6'!$U$7,0)</f>
        <v>0</v>
      </c>
      <c r="BY145" s="5">
        <f>IF($I$142="Producción",IF($I145&gt;=LI_A,$V145,0),0)</f>
        <v>0</v>
      </c>
      <c r="BZ145" s="5">
        <f>IF($I$142="Producción",IF($I145&gt;=LI_B,IF($I145&lt;LS_B,$V145,0),0),0)</f>
        <v>0</v>
      </c>
      <c r="CA145" s="5">
        <f>IF($I$142="Producción",IF($I145&gt;=LI_C,IF($I145&lt;LS_C,$V145,0),0),0)</f>
        <v>0</v>
      </c>
      <c r="CB145" s="5">
        <f>IF($I$142="Producción",IF($I145&lt;LS_D,$V145,0),0)</f>
        <v>0</v>
      </c>
      <c r="CC145" s="5">
        <f>IF($I$142="Crecimiento",$V145,0)</f>
        <v>0</v>
      </c>
      <c r="CD145" s="5">
        <f>IF($I142="Siembra",'6'!$V$7,0)</f>
        <v>0</v>
      </c>
      <c r="CE145" s="5">
        <f>IF($I142="Abandono",'6'!$V$7,0)</f>
        <v>0</v>
      </c>
      <c r="CF145" s="5">
        <f>IF($J$142="Producción",IF($J145&gt;=LI_A,$W145,0),0)</f>
        <v>0</v>
      </c>
      <c r="CG145" s="5">
        <f>IF($J$142="Producción",IF($J145&gt;=LI_B,IF($J145&lt;LS_B,$W145,0),0),0)</f>
        <v>0</v>
      </c>
      <c r="CH145" s="5">
        <f>IF($J$142="Producción",IF($J145&gt;=LI_C,IF($J145&lt;LS_C,$W145,0),0),0)</f>
        <v>0</v>
      </c>
      <c r="CI145" s="5">
        <f>IF($J$142="Producción",IF($J145&lt;LS_D,$W145,0),0)</f>
        <v>0</v>
      </c>
      <c r="CJ145" s="5">
        <f>IF($J$142="Crecimiento",$W145,0)</f>
        <v>0</v>
      </c>
      <c r="CK145" s="5">
        <f>IF($J142="Siembra",'6'!$W$7,0)</f>
        <v>0</v>
      </c>
      <c r="CL145" s="5">
        <f>IF($J142="Abandono",'6'!$W$7,0)</f>
        <v>0</v>
      </c>
      <c r="CM145" s="5">
        <f>IF($K$142="Producción",IF($K145&gt;=LI_A,$X145,0),0)</f>
        <v>0</v>
      </c>
      <c r="CN145" s="5">
        <f>IF($K$142="Producción",IF($K145&gt;=LI_B,IF($K145&lt;LS_B,$X145,0),0),0)</f>
        <v>0</v>
      </c>
      <c r="CO145" s="5">
        <f>IF($K$142="Producción",IF($K145&gt;=LI_C,IF($K145&lt;LS_C,$X145,0),0),0)</f>
        <v>0</v>
      </c>
      <c r="CP145" s="5">
        <f>IF($K$142="Producción",IF($K145&lt;LS_D,$X145,0),0)</f>
        <v>0</v>
      </c>
      <c r="CQ145" s="5">
        <f>IF($K$142="Crecimiento",$X145,0)</f>
        <v>0</v>
      </c>
      <c r="CR145" s="5">
        <f>IF($K142="Siembra",'6'!$X$7,0)</f>
        <v>0</v>
      </c>
      <c r="CS145" s="5">
        <f>IF($K142="Abandono",'6'!$X$7,0)</f>
        <v>0</v>
      </c>
      <c r="CT145" s="5">
        <f>IF($L$142="Producción",IF($L145&gt;=LI_A,$Y145,0),0)</f>
        <v>0</v>
      </c>
      <c r="CU145" s="5">
        <f>IF($L$142="Producción",IF($L145&gt;=LI_B,IF($L145&lt;LS_B,$Y145,0),0),0)</f>
        <v>0</v>
      </c>
      <c r="CV145" s="5">
        <f>IF($L$142="Producción",IF($L145&gt;=LI_C,IF($L145&lt;LS_C,$Y145,0),0),0)</f>
        <v>0</v>
      </c>
      <c r="CW145" s="5">
        <f>IF($L$142="Producción",IF($L145&lt;LS_D,$Y145,0),0)</f>
        <v>0</v>
      </c>
      <c r="CX145" s="5">
        <f>IF($L$142="Crecimiento",$Y145,0)</f>
        <v>0</v>
      </c>
      <c r="CY145" s="5">
        <f>IF($L142="Siembra",'6'!$Y$7,0)</f>
        <v>0</v>
      </c>
      <c r="CZ145" s="5">
        <f>IF($L142="Abandono",'6'!$Y$7,0)</f>
        <v>0</v>
      </c>
      <c r="DA145" s="5">
        <f>IF($M$142="Producción",IF($M145&gt;=LI_A,$Z145,0),0)</f>
        <v>0</v>
      </c>
      <c r="DB145" s="5">
        <f>IF($M$142="Producción",IF($M145&gt;=LI_B,IF($M145&lt;LS_B,$Z145,0),0),0)</f>
        <v>0</v>
      </c>
      <c r="DC145" s="5">
        <f>IF($M$142="Producción",IF($M145&gt;=LI_C,IF($M145&lt;LS_C,$Z145,0),0),0)</f>
        <v>0</v>
      </c>
      <c r="DD145" s="5">
        <f>IF($M$142="Producción",IF($M145&lt;LS_D,$Z145,0),0)</f>
        <v>0</v>
      </c>
      <c r="DE145" s="5">
        <f>IF($M$142="Crecimiento",$Z145,0)</f>
        <v>0</v>
      </c>
      <c r="DF145" s="5">
        <f>IF($M142="Siembra",'6'!$Z$7,0)</f>
        <v>0</v>
      </c>
      <c r="DG145" s="5">
        <f>IF($M142="Abandono",'6'!$Z$7,0)</f>
        <v>0</v>
      </c>
      <c r="DI145" s="5">
        <f t="shared" ref="DI145:DI149" si="1059">AB145*$B145</f>
        <v>0</v>
      </c>
      <c r="DJ145" s="5">
        <f t="shared" ref="DJ145:DJ149" si="1060">AC145*$B145</f>
        <v>0</v>
      </c>
      <c r="DK145" s="5">
        <f t="shared" ref="DK145:DK149" si="1061">AD145*$B145</f>
        <v>0</v>
      </c>
      <c r="DL145" s="5">
        <f t="shared" ref="DL145:DL149" si="1062">AE145*$B145</f>
        <v>0</v>
      </c>
      <c r="DM145" s="5">
        <f t="shared" ref="DM145:DM149" si="1063">AF145*$B145</f>
        <v>0</v>
      </c>
      <c r="DN145" s="5">
        <f t="shared" ref="DN145:DN149" si="1064">AI145*$C145</f>
        <v>0</v>
      </c>
      <c r="DO145" s="5">
        <f t="shared" ref="DO145:DO149" si="1065">AJ145*$C145</f>
        <v>0</v>
      </c>
      <c r="DP145" s="5">
        <f t="shared" ref="DP145:DP149" si="1066">AK145*$C145</f>
        <v>0</v>
      </c>
      <c r="DQ145" s="5">
        <f t="shared" ref="DQ145:DQ149" si="1067">AL145*$C145</f>
        <v>0</v>
      </c>
      <c r="DR145" s="5">
        <f t="shared" ref="DR145:DR149" si="1068">AM145*$C145</f>
        <v>0</v>
      </c>
      <c r="DS145" s="5">
        <f t="shared" ref="DS145:DS149" si="1069">AP145*$D145</f>
        <v>0</v>
      </c>
      <c r="DT145" s="5">
        <f t="shared" ref="DT145:DT149" si="1070">AQ145*$D145</f>
        <v>0</v>
      </c>
      <c r="DU145" s="5">
        <f t="shared" ref="DU145:DU149" si="1071">AR145*$D145</f>
        <v>0</v>
      </c>
      <c r="DV145" s="5">
        <f t="shared" ref="DV145:DV149" si="1072">AS145*$D145</f>
        <v>0</v>
      </c>
      <c r="DW145" s="5">
        <f t="shared" ref="DW145:DW149" si="1073">AT145*$D145</f>
        <v>0</v>
      </c>
      <c r="DX145" s="5">
        <f t="shared" ref="DX145:DX149" si="1074">AW145*$E145</f>
        <v>0</v>
      </c>
      <c r="DY145" s="5">
        <f t="shared" ref="DY145:DY149" si="1075">AX145*$E145</f>
        <v>0</v>
      </c>
      <c r="DZ145" s="5">
        <f t="shared" ref="DZ145:DZ149" si="1076">AY145*$E145</f>
        <v>0</v>
      </c>
      <c r="EA145" s="5">
        <f t="shared" ref="EA145:EA149" si="1077">AZ145*$E145</f>
        <v>0</v>
      </c>
      <c r="EB145" s="5">
        <f t="shared" ref="EB145:EB149" si="1078">BA145*$E145</f>
        <v>0</v>
      </c>
      <c r="EC145" s="5">
        <f t="shared" ref="EC145:EC149" si="1079">BD145*$F145</f>
        <v>0</v>
      </c>
      <c r="ED145" s="5">
        <f t="shared" ref="ED145:ED149" si="1080">BE145*$F145</f>
        <v>0</v>
      </c>
      <c r="EE145" s="5">
        <f t="shared" ref="EE145:EE149" si="1081">BF145*$F145</f>
        <v>0</v>
      </c>
      <c r="EF145" s="5">
        <f t="shared" ref="EF145:EF149" si="1082">BG145*$F145</f>
        <v>0</v>
      </c>
      <c r="EG145" s="5">
        <f t="shared" ref="EG145:EG149" si="1083">BH145*$F145</f>
        <v>0</v>
      </c>
      <c r="EH145" s="5">
        <f t="shared" ref="EH145:EH149" si="1084">BK145*$G145</f>
        <v>0</v>
      </c>
      <c r="EI145" s="5">
        <f t="shared" ref="EI145:EI149" si="1085">BL145*$G145</f>
        <v>0</v>
      </c>
      <c r="EJ145" s="5">
        <f t="shared" ref="EJ145:EJ149" si="1086">BM145*$G145</f>
        <v>0</v>
      </c>
      <c r="EK145" s="5">
        <f t="shared" ref="EK145:EK149" si="1087">BN145*$G145</f>
        <v>0</v>
      </c>
      <c r="EL145" s="5">
        <f t="shared" ref="EL145:EL149" si="1088">BO145*$G145</f>
        <v>0</v>
      </c>
      <c r="EM145" s="5">
        <f t="shared" ref="EM145:EM149" si="1089">BR145*$H145</f>
        <v>0</v>
      </c>
      <c r="EN145" s="5">
        <f t="shared" ref="EN145:EN149" si="1090">BS145*$H145</f>
        <v>0</v>
      </c>
      <c r="EO145" s="5">
        <f t="shared" ref="EO145:EO149" si="1091">BT145*$H145</f>
        <v>0</v>
      </c>
      <c r="EP145" s="5">
        <f t="shared" ref="EP145:EP149" si="1092">BU145*$H145</f>
        <v>0</v>
      </c>
      <c r="EQ145" s="5">
        <f t="shared" ref="EQ145:EQ149" si="1093">BV145*$H145</f>
        <v>0</v>
      </c>
      <c r="ER145" s="5">
        <f t="shared" ref="ER145:ER149" si="1094">BY145*$I145</f>
        <v>0</v>
      </c>
      <c r="ES145" s="5">
        <f t="shared" ref="ES145:ES149" si="1095">BZ145*$I145</f>
        <v>0</v>
      </c>
      <c r="ET145" s="5">
        <f t="shared" ref="ET145:ET149" si="1096">CA145*$I145</f>
        <v>0</v>
      </c>
      <c r="EU145" s="5">
        <f t="shared" ref="EU145:EU149" si="1097">CB145*$I145</f>
        <v>0</v>
      </c>
      <c r="EV145" s="5">
        <f t="shared" ref="EV145:EV149" si="1098">CC145*$I145</f>
        <v>0</v>
      </c>
      <c r="EW145" s="5">
        <f t="shared" ref="EW145:EW149" si="1099">CF145*$J145</f>
        <v>0</v>
      </c>
      <c r="EX145" s="5">
        <f t="shared" ref="EX145:EX149" si="1100">CG145*$J145</f>
        <v>0</v>
      </c>
      <c r="EY145" s="5">
        <f t="shared" ref="EY145:EY149" si="1101">CH145*$J145</f>
        <v>0</v>
      </c>
      <c r="EZ145" s="5">
        <f t="shared" ref="EZ145:EZ149" si="1102">CI145*$J145</f>
        <v>0</v>
      </c>
      <c r="FA145" s="5">
        <f t="shared" ref="FA145:FA149" si="1103">CJ145*$J145</f>
        <v>0</v>
      </c>
      <c r="FB145" s="5">
        <f t="shared" ref="FB145:FB149" si="1104">CM145*$K145</f>
        <v>0</v>
      </c>
      <c r="FC145" s="5">
        <f t="shared" ref="FC145:FC149" si="1105">CN145*$K145</f>
        <v>0</v>
      </c>
      <c r="FD145" s="5">
        <f t="shared" ref="FD145:FD149" si="1106">CO145*$K145</f>
        <v>0</v>
      </c>
      <c r="FE145" s="5">
        <f t="shared" ref="FE145:FE149" si="1107">CP145*$K145</f>
        <v>0</v>
      </c>
      <c r="FF145" s="5">
        <f t="shared" ref="FF145:FF149" si="1108">CQ145*$K145</f>
        <v>0</v>
      </c>
      <c r="FG145" s="5">
        <f t="shared" ref="FG145:FG149" si="1109">CT145*$L145</f>
        <v>0</v>
      </c>
      <c r="FH145" s="5">
        <f t="shared" ref="FH145:FH149" si="1110">CU145*$L145</f>
        <v>0</v>
      </c>
      <c r="FI145" s="5">
        <f t="shared" ref="FI145:FI149" si="1111">CV145*$L145</f>
        <v>0</v>
      </c>
      <c r="FJ145" s="5">
        <f t="shared" ref="FJ145:FJ149" si="1112">CW145*$L145</f>
        <v>0</v>
      </c>
      <c r="FK145" s="5">
        <f t="shared" ref="FK145:FK149" si="1113">CX145*$L145</f>
        <v>0</v>
      </c>
      <c r="FL145" s="5">
        <f t="shared" ref="FL145:FL149" si="1114">DA145*$M145</f>
        <v>0</v>
      </c>
      <c r="FM145" s="5">
        <f t="shared" ref="FM145:FM149" si="1115">DB145*$M145</f>
        <v>0</v>
      </c>
      <c r="FN145" s="5">
        <f t="shared" ref="FN145:FN149" si="1116">DC145*$M145</f>
        <v>0</v>
      </c>
      <c r="FO145" s="5">
        <f t="shared" ref="FO145:FO149" si="1117">DD145*$M145</f>
        <v>0</v>
      </c>
      <c r="FP145" s="5">
        <f t="shared" ref="FP145:FP149" si="1118">DE145*$M145</f>
        <v>0</v>
      </c>
    </row>
    <row r="146" spans="1:172" ht="20.100000000000001" customHeight="1" x14ac:dyDescent="0.3">
      <c r="A146" s="8" t="s">
        <v>303</v>
      </c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O146" s="58">
        <f>IFERROR('6'!O$75/Ciclo,0)</f>
        <v>0</v>
      </c>
      <c r="P146" s="58">
        <f>IFERROR('6'!P$75/Ciclo,0)</f>
        <v>0</v>
      </c>
      <c r="Q146" s="58">
        <f>IFERROR('6'!Q$75/Ciclo,0)</f>
        <v>0</v>
      </c>
      <c r="R146" s="58">
        <f>IFERROR('6'!R$75/Ciclo,0)</f>
        <v>0</v>
      </c>
      <c r="S146" s="58">
        <f>IFERROR('6'!S$75/Ciclo,0)</f>
        <v>0</v>
      </c>
      <c r="T146" s="58">
        <f>IFERROR('6'!T$75/Ciclo,0)</f>
        <v>0</v>
      </c>
      <c r="U146" s="58">
        <f>IFERROR('6'!U$75/Ciclo,0)</f>
        <v>0</v>
      </c>
      <c r="V146" s="58">
        <f>IFERROR('6'!V$75/Ciclo,0)</f>
        <v>0</v>
      </c>
      <c r="W146" s="5">
        <f>IFERROR('6'!W$75/Ciclo,0)</f>
        <v>0</v>
      </c>
      <c r="X146" s="5">
        <f>IFERROR('6'!X$75/Ciclo,0)</f>
        <v>0</v>
      </c>
      <c r="Y146" s="5">
        <f>IFERROR('6'!Y$75/Ciclo,0)</f>
        <v>0</v>
      </c>
      <c r="Z146" s="5">
        <f>IFERROR('6'!Z$75/Ciclo,0)</f>
        <v>0</v>
      </c>
      <c r="AB146" s="5">
        <f>IF($B$142="Producción",IF($B146&gt;=LI_A,$O146,0),0)</f>
        <v>0</v>
      </c>
      <c r="AC146" s="5">
        <f>IF($B$142="Producción",IF($B146&gt;=LI_B,IF($B146&lt;LS_B,$O146,0),0),0)</f>
        <v>0</v>
      </c>
      <c r="AD146" s="5">
        <f>IF($B$142="Producción",IF($B146&gt;=LI_C,IF($B146&lt;LS_C,$O146,0),0),0)</f>
        <v>0</v>
      </c>
      <c r="AE146" s="5">
        <f>IF($B$142="Producción",IF($B146&lt;LS_D,$O146,0),0)</f>
        <v>0</v>
      </c>
      <c r="AF146" s="5">
        <f t="shared" ref="AF146:AF149" si="1119">IF($B$142="Crecimiento",$O146,0)</f>
        <v>0</v>
      </c>
      <c r="AI146" s="5">
        <f>IF($C$142="Producción",IF($C146&gt;=LI_A,$P146,0),0)</f>
        <v>0</v>
      </c>
      <c r="AJ146" s="5">
        <f>IF($C$142="Producción",IF($C146&gt;=LI_B,IF($C146&lt;LS_B,$P146,0),0),0)</f>
        <v>0</v>
      </c>
      <c r="AK146" s="5">
        <f>IF($C$142="Producción",IF($C146&gt;=LI_C,IF($C146&lt;LS_C,$P146,0),0),0)</f>
        <v>0</v>
      </c>
      <c r="AL146" s="5">
        <f>IF($C$142="Producción",IF($C146&lt;LS_D,$P146,0),0)</f>
        <v>0</v>
      </c>
      <c r="AM146" s="5">
        <f>IF($C$142="Crecimiento",$P146,0)</f>
        <v>0</v>
      </c>
      <c r="AP146" s="5">
        <f>IF($D$142="Producción",IF($D146&gt;=LI_A,$Q146,0),0)</f>
        <v>0</v>
      </c>
      <c r="AQ146" s="5">
        <f>IF($D$142="Producción",IF($D146&gt;=LI_B,IF($D146&lt;LS_B,$Q146,0),0),0)</f>
        <v>0</v>
      </c>
      <c r="AR146" s="5">
        <f>IF($D$142="Producción",IF($D146&gt;=LI_C,IF($D146&lt;LS_C,$Q146,0),0),0)</f>
        <v>0</v>
      </c>
      <c r="AS146" s="5">
        <f>IF($D$142="Producción",IF($D146&lt;LS_D,$Q146,0),0)</f>
        <v>0</v>
      </c>
      <c r="AT146" s="5">
        <f>IF($D$142="Crecimiento",IF($D146&gt;0,$Q146,0),0)</f>
        <v>0</v>
      </c>
      <c r="AW146" s="5">
        <f>IF($E$142="Producción",IF($E146&gt;=LI_A,$R146,0),0)</f>
        <v>0</v>
      </c>
      <c r="AX146" s="5">
        <f>IF($E$142="Producción",IF($E146&gt;=LI_B,IF($E146&lt;LS_B,$R146,0),0),0)</f>
        <v>0</v>
      </c>
      <c r="AY146" s="5">
        <f>IF($E$142="Producción",IF($E146&gt;=LI_C,IF($E146&lt;LS_C,$R146,0),0),0)</f>
        <v>0</v>
      </c>
      <c r="AZ146" s="5">
        <f>IF($E$142="Producción",IF($E146&lt;LS_D,$R146,0),0)</f>
        <v>0</v>
      </c>
      <c r="BA146" s="5">
        <f>IF($E$142="Crecimiento",$R146,0)</f>
        <v>0</v>
      </c>
      <c r="BD146" s="5">
        <f>IF($F$142="Producción",IF($F146&gt;=LI_A,$S146,0),0)</f>
        <v>0</v>
      </c>
      <c r="BE146" s="5">
        <f>IF($F$142="Producción",IF($F146&gt;=LI_B,IF($F146&lt;LS_B,$S146,0),0),0)</f>
        <v>0</v>
      </c>
      <c r="BF146" s="5">
        <f>IF($F$142="Producción",IF($F146&gt;=LI_C,IF($F146&lt;LS_C,$S146,0),0),0)</f>
        <v>0</v>
      </c>
      <c r="BG146" s="5">
        <f>IF($F$142="Producción",IF($F146&lt;LS_D,$S146,0),0)</f>
        <v>0</v>
      </c>
      <c r="BH146" s="5">
        <f>IF($F$142="Crecimiento",$S146,0)</f>
        <v>0</v>
      </c>
      <c r="BK146" s="5">
        <f>IF($G$142="Producción",IF($G146&gt;=LI_A,$T146,0),0)</f>
        <v>0</v>
      </c>
      <c r="BL146" s="5">
        <f>IF($G$142="Producción",IF($G146&gt;=LI_B,IF($G146&lt;LS_B,$T146,0),0),0)</f>
        <v>0</v>
      </c>
      <c r="BM146" s="5">
        <f>IF($G$142="Producción",IF($G146&gt;=LI_C,IF($G146&lt;LS_C,$T146,0),0),0)</f>
        <v>0</v>
      </c>
      <c r="BN146" s="5">
        <f>IF($G$142="Producción",IF($G146&lt;LS_D,$T146,0),0)</f>
        <v>0</v>
      </c>
      <c r="BO146" s="5">
        <f>IF($G$142="Crecimiento",$T146,0)</f>
        <v>0</v>
      </c>
      <c r="BR146" s="5">
        <f>IF($H$142="Producción",IF($H146&gt;=LI_A,$U146,0),0)</f>
        <v>0</v>
      </c>
      <c r="BS146" s="5">
        <f>IF($H$142="Producción",IF($H146&gt;=LI_B,IF($H146&lt;LS_B,$U146,0),0),0)</f>
        <v>0</v>
      </c>
      <c r="BT146" s="5">
        <f>IF($H$142="Producción",IF($H146&gt;=LI_C,IF($H146&lt;LS_C,$U146,0),0),0)</f>
        <v>0</v>
      </c>
      <c r="BU146" s="5">
        <f>IF($H$142="Producción",IF($H146&lt;LS_D,$U146,0),0)</f>
        <v>0</v>
      </c>
      <c r="BV146" s="5">
        <f>IF($H$142="Crecimiento",$T146,0)</f>
        <v>0</v>
      </c>
      <c r="BY146" s="5">
        <f>IF($I$142="Producción",IF($I146&gt;=LI_A,$V146,0),0)</f>
        <v>0</v>
      </c>
      <c r="BZ146" s="5">
        <f>IF($I$142="Producción",IF($I146&gt;=LI_B,IF($I146&lt;LS_B,$V146,0),0),0)</f>
        <v>0</v>
      </c>
      <c r="CA146" s="5">
        <f>IF($I$142="Producción",IF($I146&gt;=LI_C,IF($I146&lt;LS_C,$V146,0),0),0)</f>
        <v>0</v>
      </c>
      <c r="CB146" s="5">
        <f>IF($I$142="Producción",IF($I146&lt;LS_D,$V146,0),0)</f>
        <v>0</v>
      </c>
      <c r="CC146" s="5">
        <f>IF($I$142="Crecimiento",$V146,0)</f>
        <v>0</v>
      </c>
      <c r="CF146" s="5">
        <f>IF($J$142="Producción",IF($J146&gt;=LI_A,$W146,0),0)</f>
        <v>0</v>
      </c>
      <c r="CG146" s="5">
        <f>IF($J$142="Producción",IF($J146&gt;=LI_B,IF($J146&lt;LS_B,$W146,0),0),0)</f>
        <v>0</v>
      </c>
      <c r="CH146" s="5">
        <f>IF($J$142="Producción",IF($J146&gt;=LI_C,IF($J146&lt;LS_C,$W146,0),0),0)</f>
        <v>0</v>
      </c>
      <c r="CI146" s="5">
        <f>IF($J$142="Producción",IF($J146&lt;LS_D,$W146,0),0)</f>
        <v>0</v>
      </c>
      <c r="CJ146" s="5">
        <f>IF($J$142="Crecimiento",$W146,0)</f>
        <v>0</v>
      </c>
      <c r="CM146" s="5">
        <f>IF($K$142="Producción",IF($K146&gt;=LI_A,$X146,0),0)</f>
        <v>0</v>
      </c>
      <c r="CN146" s="5">
        <f>IF($K$142="Producción",IF($K146&gt;=LI_B,IF($K146&lt;LS_B,$X146,0),0),0)</f>
        <v>0</v>
      </c>
      <c r="CO146" s="5">
        <f>IF($K$142="Producción",IF($K146&gt;=LI_C,IF($K146&lt;LS_C,$X146,0),0),0)</f>
        <v>0</v>
      </c>
      <c r="CP146" s="5">
        <f>IF($K$142="Producción",IF($K146&lt;LS_D,$X146,0),0)</f>
        <v>0</v>
      </c>
      <c r="CQ146" s="5">
        <f>IF($K$142="Crecimiento",$X146,0)</f>
        <v>0</v>
      </c>
      <c r="CT146" s="5">
        <f>IF($L$142="Producción",IF($L146&gt;=LI_A,$Y146,0),0)</f>
        <v>0</v>
      </c>
      <c r="CU146" s="5">
        <f>IF($L$142="Producción",IF($L146&gt;=LI_B,IF($L146&lt;LS_B,$Y146,0),0),0)</f>
        <v>0</v>
      </c>
      <c r="CV146" s="5">
        <f>IF($L$142="Producción",IF($L146&gt;=LI_C,IF($L146&lt;LS_C,$Y146,0),0),0)</f>
        <v>0</v>
      </c>
      <c r="CW146" s="5">
        <f>IF($L$142="Producción",IF($L146&lt;LS_D,$Y146,0),0)</f>
        <v>0</v>
      </c>
      <c r="CX146" s="5">
        <f>IF($L$142="Crecimiento",$Y146,0)</f>
        <v>0</v>
      </c>
      <c r="DA146" s="5">
        <f>IF($M$142="Producción",IF($M146&gt;=LI_A,$Z146,0),0)</f>
        <v>0</v>
      </c>
      <c r="DB146" s="5">
        <f>IF($M$142="Producción",IF($M146&gt;=LI_B,IF($M146&lt;LS_B,$Z146,0),0),0)</f>
        <v>0</v>
      </c>
      <c r="DC146" s="5">
        <f>IF($M$142="Producción",IF($M146&gt;=LI_C,IF($M146&lt;LS_C,$Z146,0),0),0)</f>
        <v>0</v>
      </c>
      <c r="DD146" s="5">
        <f>IF($M$142="Producción",IF($M146&lt;LS_D,$Z146,0),0)</f>
        <v>0</v>
      </c>
      <c r="DE146" s="5">
        <f>IF($M$142="Crecimiento",$Z146,0)</f>
        <v>0</v>
      </c>
      <c r="DI146" s="5">
        <f t="shared" si="1059"/>
        <v>0</v>
      </c>
      <c r="DJ146" s="5">
        <f t="shared" si="1060"/>
        <v>0</v>
      </c>
      <c r="DK146" s="5">
        <f t="shared" si="1061"/>
        <v>0</v>
      </c>
      <c r="DL146" s="5">
        <f t="shared" si="1062"/>
        <v>0</v>
      </c>
      <c r="DM146" s="5">
        <f t="shared" si="1063"/>
        <v>0</v>
      </c>
      <c r="DN146" s="5">
        <f t="shared" si="1064"/>
        <v>0</v>
      </c>
      <c r="DO146" s="5">
        <f t="shared" si="1065"/>
        <v>0</v>
      </c>
      <c r="DP146" s="5">
        <f t="shared" si="1066"/>
        <v>0</v>
      </c>
      <c r="DQ146" s="5">
        <f t="shared" si="1067"/>
        <v>0</v>
      </c>
      <c r="DR146" s="5">
        <f t="shared" si="1068"/>
        <v>0</v>
      </c>
      <c r="DS146" s="5">
        <f t="shared" si="1069"/>
        <v>0</v>
      </c>
      <c r="DT146" s="5">
        <f t="shared" si="1070"/>
        <v>0</v>
      </c>
      <c r="DU146" s="5">
        <f t="shared" si="1071"/>
        <v>0</v>
      </c>
      <c r="DV146" s="5">
        <f t="shared" si="1072"/>
        <v>0</v>
      </c>
      <c r="DW146" s="5">
        <f t="shared" si="1073"/>
        <v>0</v>
      </c>
      <c r="DX146" s="5">
        <f t="shared" si="1074"/>
        <v>0</v>
      </c>
      <c r="DY146" s="5">
        <f t="shared" si="1075"/>
        <v>0</v>
      </c>
      <c r="DZ146" s="5">
        <f t="shared" si="1076"/>
        <v>0</v>
      </c>
      <c r="EA146" s="5">
        <f t="shared" si="1077"/>
        <v>0</v>
      </c>
      <c r="EB146" s="5">
        <f t="shared" si="1078"/>
        <v>0</v>
      </c>
      <c r="EC146" s="5">
        <f t="shared" si="1079"/>
        <v>0</v>
      </c>
      <c r="ED146" s="5">
        <f t="shared" si="1080"/>
        <v>0</v>
      </c>
      <c r="EE146" s="5">
        <f t="shared" si="1081"/>
        <v>0</v>
      </c>
      <c r="EF146" s="5">
        <f t="shared" si="1082"/>
        <v>0</v>
      </c>
      <c r="EG146" s="5">
        <f t="shared" si="1083"/>
        <v>0</v>
      </c>
      <c r="EH146" s="5">
        <f t="shared" si="1084"/>
        <v>0</v>
      </c>
      <c r="EI146" s="5">
        <f t="shared" si="1085"/>
        <v>0</v>
      </c>
      <c r="EJ146" s="5">
        <f t="shared" si="1086"/>
        <v>0</v>
      </c>
      <c r="EK146" s="5">
        <f t="shared" si="1087"/>
        <v>0</v>
      </c>
      <c r="EL146" s="5">
        <f t="shared" si="1088"/>
        <v>0</v>
      </c>
      <c r="EM146" s="5">
        <f t="shared" si="1089"/>
        <v>0</v>
      </c>
      <c r="EN146" s="5">
        <f t="shared" si="1090"/>
        <v>0</v>
      </c>
      <c r="EO146" s="5">
        <f t="shared" si="1091"/>
        <v>0</v>
      </c>
      <c r="EP146" s="5">
        <f t="shared" si="1092"/>
        <v>0</v>
      </c>
      <c r="EQ146" s="5">
        <f t="shared" si="1093"/>
        <v>0</v>
      </c>
      <c r="ER146" s="5">
        <f t="shared" si="1094"/>
        <v>0</v>
      </c>
      <c r="ES146" s="5">
        <f t="shared" si="1095"/>
        <v>0</v>
      </c>
      <c r="ET146" s="5">
        <f t="shared" si="1096"/>
        <v>0</v>
      </c>
      <c r="EU146" s="5">
        <f t="shared" si="1097"/>
        <v>0</v>
      </c>
      <c r="EV146" s="5">
        <f t="shared" si="1098"/>
        <v>0</v>
      </c>
      <c r="EW146" s="5">
        <f t="shared" si="1099"/>
        <v>0</v>
      </c>
      <c r="EX146" s="5">
        <f t="shared" si="1100"/>
        <v>0</v>
      </c>
      <c r="EY146" s="5">
        <f t="shared" si="1101"/>
        <v>0</v>
      </c>
      <c r="EZ146" s="5">
        <f t="shared" si="1102"/>
        <v>0</v>
      </c>
      <c r="FA146" s="5">
        <f t="shared" si="1103"/>
        <v>0</v>
      </c>
      <c r="FB146" s="5">
        <f t="shared" si="1104"/>
        <v>0</v>
      </c>
      <c r="FC146" s="5">
        <f t="shared" si="1105"/>
        <v>0</v>
      </c>
      <c r="FD146" s="5">
        <f t="shared" si="1106"/>
        <v>0</v>
      </c>
      <c r="FE146" s="5">
        <f t="shared" si="1107"/>
        <v>0</v>
      </c>
      <c r="FF146" s="5">
        <f t="shared" si="1108"/>
        <v>0</v>
      </c>
      <c r="FG146" s="5">
        <f t="shared" si="1109"/>
        <v>0</v>
      </c>
      <c r="FH146" s="5">
        <f t="shared" si="1110"/>
        <v>0</v>
      </c>
      <c r="FI146" s="5">
        <f t="shared" si="1111"/>
        <v>0</v>
      </c>
      <c r="FJ146" s="5">
        <f t="shared" si="1112"/>
        <v>0</v>
      </c>
      <c r="FK146" s="5">
        <f t="shared" si="1113"/>
        <v>0</v>
      </c>
      <c r="FL146" s="5">
        <f t="shared" si="1114"/>
        <v>0</v>
      </c>
      <c r="FM146" s="5">
        <f t="shared" si="1115"/>
        <v>0</v>
      </c>
      <c r="FN146" s="5">
        <f t="shared" si="1116"/>
        <v>0</v>
      </c>
      <c r="FO146" s="5">
        <f t="shared" si="1117"/>
        <v>0</v>
      </c>
      <c r="FP146" s="5">
        <f t="shared" si="1118"/>
        <v>0</v>
      </c>
    </row>
    <row r="147" spans="1:172" ht="20.100000000000001" customHeight="1" x14ac:dyDescent="0.3">
      <c r="A147" s="8" t="str">
        <f>IF(Ciclo&gt;2,"Surco 3","NA")</f>
        <v>Surco 3</v>
      </c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O147" s="58">
        <f>IF($A147="NA",0,IFERROR('6'!O$75/Ciclo,0))</f>
        <v>0</v>
      </c>
      <c r="P147" s="58">
        <f>IF($A147="NA",0,IFERROR('6'!P$75/Ciclo,0))</f>
        <v>0</v>
      </c>
      <c r="Q147" s="58">
        <f>IF($A147="NA",0,IFERROR('6'!Q$75/Ciclo,0))</f>
        <v>0</v>
      </c>
      <c r="R147" s="58">
        <f>IF($A147="NA",0,IFERROR('6'!R$75/Ciclo,0))</f>
        <v>0</v>
      </c>
      <c r="S147" s="58">
        <f>IF($A147="NA",0,IFERROR('6'!S$75/Ciclo,0))</f>
        <v>0</v>
      </c>
      <c r="T147" s="58">
        <f>IF($A147="NA",0,IFERROR('6'!T$75/Ciclo,0))</f>
        <v>0</v>
      </c>
      <c r="U147" s="58">
        <f>IF($A147="NA",0,IFERROR('6'!U$75/Ciclo,0))</f>
        <v>0</v>
      </c>
      <c r="V147" s="58">
        <f>IF($A147="NA",0,IFERROR('6'!V$75/Ciclo,0))</f>
        <v>0</v>
      </c>
      <c r="W147" s="5">
        <f>IF($A147="NA",0,IFERROR('6'!W$75/Ciclo,0))</f>
        <v>0</v>
      </c>
      <c r="X147" s="5">
        <f>IF($A147="NA",0,IFERROR('6'!X$75/Ciclo,0))</f>
        <v>0</v>
      </c>
      <c r="Y147" s="5">
        <f>IF($A147="NA",0,IFERROR('6'!Y$75/Ciclo,0))</f>
        <v>0</v>
      </c>
      <c r="Z147" s="5">
        <f>IF($A147="NA",0,IFERROR('6'!Z$75/Ciclo,0))</f>
        <v>0</v>
      </c>
      <c r="AB147" s="5">
        <f>IF($B$142="Producción",IF($B147&gt;=LI_A,$O147,0),0)</f>
        <v>0</v>
      </c>
      <c r="AC147" s="5">
        <f>IF($B$142="Producción",IF($B147&gt;=LI_B,IF($B147&lt;LS_B,$O147,0),0),0)</f>
        <v>0</v>
      </c>
      <c r="AD147" s="5">
        <f>IF($B$142="Producción",IF($B147&gt;=LI_C,IF($B147&lt;LS_C,$O147,0),0),0)</f>
        <v>0</v>
      </c>
      <c r="AE147" s="5">
        <f>IF($B$142="Producción",IF($B147&lt;LS_D,$O147,0),0)</f>
        <v>0</v>
      </c>
      <c r="AF147" s="5">
        <f t="shared" si="1119"/>
        <v>0</v>
      </c>
      <c r="AI147" s="5">
        <f>IF($C$142="Producción",IF($C147&gt;=LI_A,$P147,0),0)</f>
        <v>0</v>
      </c>
      <c r="AJ147" s="5">
        <f>IF($C$142="Producción",IF($C147&gt;=LI_B,IF($C147&lt;LS_B,$P147,0),0),0)</f>
        <v>0</v>
      </c>
      <c r="AK147" s="5">
        <f>IF($C$142="Producción",IF($C147&gt;=LI_C,IF($C147&lt;LS_C,$P147,0),0),0)</f>
        <v>0</v>
      </c>
      <c r="AL147" s="5">
        <f>IF($C$142="Producción",IF($C147&lt;LS_D,$P147,0),0)</f>
        <v>0</v>
      </c>
      <c r="AM147" s="5">
        <f>IF($C$142="Crecimiento",$P147,0)</f>
        <v>0</v>
      </c>
      <c r="AP147" s="5">
        <f>IF($D$142="Producción",IF($D147&gt;=LI_A,$Q147,0),0)</f>
        <v>0</v>
      </c>
      <c r="AQ147" s="5">
        <f>IF($D$142="Producción",IF($D147&gt;=LI_B,IF($D147&lt;LS_B,$Q147,0),0),0)</f>
        <v>0</v>
      </c>
      <c r="AR147" s="5">
        <f>IF($D$142="Producción",IF($D147&gt;=LI_C,IF($D147&lt;LS_C,$Q147,0),0),0)</f>
        <v>0</v>
      </c>
      <c r="AS147" s="5">
        <f>IF($D$142="Producción",IF($D147&lt;LS_D,$Q147,0),0)</f>
        <v>0</v>
      </c>
      <c r="AT147" s="5">
        <f>IF($D$142="Crecimiento",IF($D147&gt;0,$Q147,0),0)</f>
        <v>0</v>
      </c>
      <c r="AW147" s="5">
        <f>IF($E$142="Producción",IF($E147&gt;=LI_A,$R147,0),0)</f>
        <v>0</v>
      </c>
      <c r="AX147" s="5">
        <f>IF($E$142="Producción",IF($E147&gt;=LI_B,IF($E147&lt;LS_B,$R147,0),0),0)</f>
        <v>0</v>
      </c>
      <c r="AY147" s="5">
        <f>IF($E$142="Producción",IF($E147&gt;=LI_C,IF($E147&lt;LS_C,$R147,0),0),0)</f>
        <v>0</v>
      </c>
      <c r="AZ147" s="5">
        <f>IF($E$142="Producción",IF($E147&lt;LS_D,$R147,0),0)</f>
        <v>0</v>
      </c>
      <c r="BA147" s="5">
        <f>IF($E$142="Crecimiento",$R147,0)</f>
        <v>0</v>
      </c>
      <c r="BD147" s="5">
        <f>IF($F$142="Producción",IF($F147&gt;=LI_A,$S147,0),0)</f>
        <v>0</v>
      </c>
      <c r="BE147" s="5">
        <f>IF($F$142="Producción",IF($F147&gt;=LI_B,IF($F147&lt;LS_B,$S147,0),0),0)</f>
        <v>0</v>
      </c>
      <c r="BF147" s="5">
        <f>IF($F$142="Producción",IF($F147&gt;=LI_C,IF($F147&lt;LS_C,$S147,0),0),0)</f>
        <v>0</v>
      </c>
      <c r="BG147" s="5">
        <f>IF($F$142="Producción",IF($F147&lt;LS_D,$S147,0),0)</f>
        <v>0</v>
      </c>
      <c r="BH147" s="5">
        <f>IF($F$142="Crecimiento",$S147,0)</f>
        <v>0</v>
      </c>
      <c r="BK147" s="5">
        <f>IF($G$142="Producción",IF($G147&gt;=LI_A,$T147,0),0)</f>
        <v>0</v>
      </c>
      <c r="BL147" s="5">
        <f>IF($G$142="Producción",IF($G147&gt;=LI_B,IF($G147&lt;LS_B,$T147,0),0),0)</f>
        <v>0</v>
      </c>
      <c r="BM147" s="5">
        <f>IF($G$142="Producción",IF($G147&gt;=LI_C,IF($G147&lt;LS_C,$T147,0),0),0)</f>
        <v>0</v>
      </c>
      <c r="BN147" s="5">
        <f>IF($G$142="Producción",IF($G147&lt;LS_D,$T147,0),0)</f>
        <v>0</v>
      </c>
      <c r="BO147" s="5">
        <f>IF($G$142="Crecimiento",$T147,0)</f>
        <v>0</v>
      </c>
      <c r="BR147" s="5">
        <f>IF($H$142="Producción",IF($H147&gt;=LI_A,$U147,0),0)</f>
        <v>0</v>
      </c>
      <c r="BS147" s="5">
        <f>IF($H$142="Producción",IF($H147&gt;=LI_B,IF($H147&lt;LS_B,$U147,0),0),0)</f>
        <v>0</v>
      </c>
      <c r="BT147" s="5">
        <f>IF($H$142="Producción",IF($H147&gt;=LI_C,IF($H147&lt;LS_C,$U147,0),0),0)</f>
        <v>0</v>
      </c>
      <c r="BU147" s="5">
        <f>IF($H$142="Producción",IF($H147&lt;LS_D,$U147,0),0)</f>
        <v>0</v>
      </c>
      <c r="BV147" s="5">
        <f>IF($H$142="Crecimiento",$T147,0)</f>
        <v>0</v>
      </c>
      <c r="BY147" s="5">
        <f>IF($I$142="Producción",IF($I147&gt;=LI_A,$V147,0),0)</f>
        <v>0</v>
      </c>
      <c r="BZ147" s="5">
        <f>IF($I$142="Producción",IF($I147&gt;=LI_B,IF($I147&lt;LS_B,$V147,0),0),0)</f>
        <v>0</v>
      </c>
      <c r="CA147" s="5">
        <f>IF($I$142="Producción",IF($I147&gt;=LI_C,IF($I147&lt;LS_C,$V147,0),0),0)</f>
        <v>0</v>
      </c>
      <c r="CB147" s="5">
        <f>IF($I$142="Producción",IF($I147&lt;LS_D,$V147,0),0)</f>
        <v>0</v>
      </c>
      <c r="CC147" s="5">
        <f>IF($I$142="Crecimiento",$V147,0)</f>
        <v>0</v>
      </c>
      <c r="CF147" s="5">
        <f>IF($J$142="Producción",IF($J147&gt;=LI_A,$W147,0),0)</f>
        <v>0</v>
      </c>
      <c r="CG147" s="5">
        <f>IF($J$142="Producción",IF($J147&gt;=LI_B,IF($J147&lt;LS_B,$W147,0),0),0)</f>
        <v>0</v>
      </c>
      <c r="CH147" s="5">
        <f>IF($J$142="Producción",IF($J147&gt;=LI_C,IF($J147&lt;LS_C,$W147,0),0),0)</f>
        <v>0</v>
      </c>
      <c r="CI147" s="5">
        <f>IF($J$142="Producción",IF($J147&lt;LS_D,$W147,0),0)</f>
        <v>0</v>
      </c>
      <c r="CJ147" s="5">
        <f>IF($J$142="Crecimiento",$W147,0)</f>
        <v>0</v>
      </c>
      <c r="CM147" s="5">
        <f>IF($K$142="Producción",IF($K147&gt;=LI_A,$X147,0),0)</f>
        <v>0</v>
      </c>
      <c r="CN147" s="5">
        <f>IF($K$142="Producción",IF($K147&gt;=LI_B,IF($K147&lt;LS_B,$X147,0),0),0)</f>
        <v>0</v>
      </c>
      <c r="CO147" s="5">
        <f>IF($K$142="Producción",IF($K147&gt;=LI_C,IF($K147&lt;LS_C,$X147,0),0),0)</f>
        <v>0</v>
      </c>
      <c r="CP147" s="5">
        <f>IF($K$142="Producción",IF($K147&lt;LS_D,$X147,0),0)</f>
        <v>0</v>
      </c>
      <c r="CQ147" s="5">
        <f>IF($K$142="Crecimiento",$X147,0)</f>
        <v>0</v>
      </c>
      <c r="CT147" s="5">
        <f>IF($L$142="Producción",IF($L147&gt;=LI_A,$Y147,0),0)</f>
        <v>0</v>
      </c>
      <c r="CU147" s="5">
        <f>IF($L$142="Producción",IF($L147&gt;=LI_B,IF($L147&lt;LS_B,$Y147,0),0),0)</f>
        <v>0</v>
      </c>
      <c r="CV147" s="5">
        <f>IF($L$142="Producción",IF($L147&gt;=LI_C,IF($L147&lt;LS_C,$Y147,0),0),0)</f>
        <v>0</v>
      </c>
      <c r="CW147" s="5">
        <f>IF($L$142="Producción",IF($L147&lt;LS_D,$Y147,0),0)</f>
        <v>0</v>
      </c>
      <c r="CX147" s="5">
        <f>IF($L$142="Crecimiento",$Y147,0)</f>
        <v>0</v>
      </c>
      <c r="DA147" s="5">
        <f>IF($M$142="Producción",IF($M147&gt;=LI_A,$Z147,0),0)</f>
        <v>0</v>
      </c>
      <c r="DB147" s="5">
        <f>IF($M$142="Producción",IF($M147&gt;=LI_B,IF($M147&lt;LS_B,$Z147,0),0),0)</f>
        <v>0</v>
      </c>
      <c r="DC147" s="5">
        <f>IF($M$142="Producción",IF($M147&gt;=LI_C,IF($M147&lt;LS_C,$Z147,0),0),0)</f>
        <v>0</v>
      </c>
      <c r="DD147" s="5">
        <f>IF($M$142="Producción",IF($M147&lt;LS_D,$Z147,0),0)</f>
        <v>0</v>
      </c>
      <c r="DE147" s="5">
        <f>IF($M$142="Crecimiento",$Z147,0)</f>
        <v>0</v>
      </c>
      <c r="DI147" s="5">
        <f t="shared" si="1059"/>
        <v>0</v>
      </c>
      <c r="DJ147" s="5">
        <f t="shared" si="1060"/>
        <v>0</v>
      </c>
      <c r="DK147" s="5">
        <f t="shared" si="1061"/>
        <v>0</v>
      </c>
      <c r="DL147" s="5">
        <f t="shared" si="1062"/>
        <v>0</v>
      </c>
      <c r="DM147" s="5">
        <f t="shared" si="1063"/>
        <v>0</v>
      </c>
      <c r="DN147" s="5">
        <f t="shared" si="1064"/>
        <v>0</v>
      </c>
      <c r="DO147" s="5">
        <f t="shared" si="1065"/>
        <v>0</v>
      </c>
      <c r="DP147" s="5">
        <f t="shared" si="1066"/>
        <v>0</v>
      </c>
      <c r="DQ147" s="5">
        <f t="shared" si="1067"/>
        <v>0</v>
      </c>
      <c r="DR147" s="5">
        <f t="shared" si="1068"/>
        <v>0</v>
      </c>
      <c r="DS147" s="5">
        <f t="shared" si="1069"/>
        <v>0</v>
      </c>
      <c r="DT147" s="5">
        <f t="shared" si="1070"/>
        <v>0</v>
      </c>
      <c r="DU147" s="5">
        <f t="shared" si="1071"/>
        <v>0</v>
      </c>
      <c r="DV147" s="5">
        <f t="shared" si="1072"/>
        <v>0</v>
      </c>
      <c r="DW147" s="5">
        <f t="shared" si="1073"/>
        <v>0</v>
      </c>
      <c r="DX147" s="5">
        <f t="shared" si="1074"/>
        <v>0</v>
      </c>
      <c r="DY147" s="5">
        <f t="shared" si="1075"/>
        <v>0</v>
      </c>
      <c r="DZ147" s="5">
        <f t="shared" si="1076"/>
        <v>0</v>
      </c>
      <c r="EA147" s="5">
        <f t="shared" si="1077"/>
        <v>0</v>
      </c>
      <c r="EB147" s="5">
        <f t="shared" si="1078"/>
        <v>0</v>
      </c>
      <c r="EC147" s="5">
        <f t="shared" si="1079"/>
        <v>0</v>
      </c>
      <c r="ED147" s="5">
        <f t="shared" si="1080"/>
        <v>0</v>
      </c>
      <c r="EE147" s="5">
        <f t="shared" si="1081"/>
        <v>0</v>
      </c>
      <c r="EF147" s="5">
        <f t="shared" si="1082"/>
        <v>0</v>
      </c>
      <c r="EG147" s="5">
        <f t="shared" si="1083"/>
        <v>0</v>
      </c>
      <c r="EH147" s="5">
        <f t="shared" si="1084"/>
        <v>0</v>
      </c>
      <c r="EI147" s="5">
        <f t="shared" si="1085"/>
        <v>0</v>
      </c>
      <c r="EJ147" s="5">
        <f t="shared" si="1086"/>
        <v>0</v>
      </c>
      <c r="EK147" s="5">
        <f t="shared" si="1087"/>
        <v>0</v>
      </c>
      <c r="EL147" s="5">
        <f t="shared" si="1088"/>
        <v>0</v>
      </c>
      <c r="EM147" s="5">
        <f t="shared" si="1089"/>
        <v>0</v>
      </c>
      <c r="EN147" s="5">
        <f t="shared" si="1090"/>
        <v>0</v>
      </c>
      <c r="EO147" s="5">
        <f t="shared" si="1091"/>
        <v>0</v>
      </c>
      <c r="EP147" s="5">
        <f t="shared" si="1092"/>
        <v>0</v>
      </c>
      <c r="EQ147" s="5">
        <f t="shared" si="1093"/>
        <v>0</v>
      </c>
      <c r="ER147" s="5">
        <f t="shared" si="1094"/>
        <v>0</v>
      </c>
      <c r="ES147" s="5">
        <f t="shared" si="1095"/>
        <v>0</v>
      </c>
      <c r="ET147" s="5">
        <f t="shared" si="1096"/>
        <v>0</v>
      </c>
      <c r="EU147" s="5">
        <f t="shared" si="1097"/>
        <v>0</v>
      </c>
      <c r="EV147" s="5">
        <f t="shared" si="1098"/>
        <v>0</v>
      </c>
      <c r="EW147" s="5">
        <f t="shared" si="1099"/>
        <v>0</v>
      </c>
      <c r="EX147" s="5">
        <f t="shared" si="1100"/>
        <v>0</v>
      </c>
      <c r="EY147" s="5">
        <f t="shared" si="1101"/>
        <v>0</v>
      </c>
      <c r="EZ147" s="5">
        <f t="shared" si="1102"/>
        <v>0</v>
      </c>
      <c r="FA147" s="5">
        <f t="shared" si="1103"/>
        <v>0</v>
      </c>
      <c r="FB147" s="5">
        <f t="shared" si="1104"/>
        <v>0</v>
      </c>
      <c r="FC147" s="5">
        <f t="shared" si="1105"/>
        <v>0</v>
      </c>
      <c r="FD147" s="5">
        <f t="shared" si="1106"/>
        <v>0</v>
      </c>
      <c r="FE147" s="5">
        <f t="shared" si="1107"/>
        <v>0</v>
      </c>
      <c r="FF147" s="5">
        <f t="shared" si="1108"/>
        <v>0</v>
      </c>
      <c r="FG147" s="5">
        <f t="shared" si="1109"/>
        <v>0</v>
      </c>
      <c r="FH147" s="5">
        <f t="shared" si="1110"/>
        <v>0</v>
      </c>
      <c r="FI147" s="5">
        <f t="shared" si="1111"/>
        <v>0</v>
      </c>
      <c r="FJ147" s="5">
        <f t="shared" si="1112"/>
        <v>0</v>
      </c>
      <c r="FK147" s="5">
        <f t="shared" si="1113"/>
        <v>0</v>
      </c>
      <c r="FL147" s="5">
        <f t="shared" si="1114"/>
        <v>0</v>
      </c>
      <c r="FM147" s="5">
        <f t="shared" si="1115"/>
        <v>0</v>
      </c>
      <c r="FN147" s="5">
        <f t="shared" si="1116"/>
        <v>0</v>
      </c>
      <c r="FO147" s="5">
        <f t="shared" si="1117"/>
        <v>0</v>
      </c>
      <c r="FP147" s="5">
        <f t="shared" si="1118"/>
        <v>0</v>
      </c>
    </row>
    <row r="148" spans="1:172" ht="20.100000000000001" customHeight="1" x14ac:dyDescent="0.3">
      <c r="A148" s="8" t="str">
        <f>IF(Ciclo=4,"Surco 4",IF(Ciclo=5,"Surco 4","NA"))</f>
        <v>NA</v>
      </c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O148" s="58">
        <f>IF($A148="NA",0,IFERROR('6'!O$75/Ciclo,0))</f>
        <v>0</v>
      </c>
      <c r="P148" s="58">
        <f>IF($A148="NA",0,IFERROR('6'!P$75/Ciclo,0))</f>
        <v>0</v>
      </c>
      <c r="Q148" s="58">
        <f>IF($A148="NA",0,IFERROR('6'!Q$75/Ciclo,0))</f>
        <v>0</v>
      </c>
      <c r="R148" s="58">
        <f>IF($A148="NA",0,IFERROR('6'!R$75/Ciclo,0))</f>
        <v>0</v>
      </c>
      <c r="S148" s="58">
        <f>IF($A148="NA",0,IFERROR('6'!S$75/Ciclo,0))</f>
        <v>0</v>
      </c>
      <c r="T148" s="58">
        <f>IF($A148="NA",0,IFERROR('6'!T$75/Ciclo,0))</f>
        <v>0</v>
      </c>
      <c r="U148" s="58">
        <f>IF($A148="NA",0,IFERROR('6'!U$75/Ciclo,0))</f>
        <v>0</v>
      </c>
      <c r="V148" s="58">
        <f>IF($A148="NA",0,IFERROR('6'!V$75/Ciclo,0))</f>
        <v>0</v>
      </c>
      <c r="W148" s="5">
        <f>IF($A148="NA",0,IFERROR('6'!W$75/Ciclo,0))</f>
        <v>0</v>
      </c>
      <c r="X148" s="5">
        <f>IF($A148="NA",0,IFERROR('6'!X$75/Ciclo,0))</f>
        <v>0</v>
      </c>
      <c r="Y148" s="5">
        <f>IF($A148="NA",0,IFERROR('6'!Y$75/Ciclo,0))</f>
        <v>0</v>
      </c>
      <c r="Z148" s="5">
        <f>IF($A148="NA",0,IFERROR('6'!Z$75/Ciclo,0))</f>
        <v>0</v>
      </c>
      <c r="AB148" s="5">
        <f>IF($B$142="Producción",IF($B148&gt;=LI_A,$O148,0),0)</f>
        <v>0</v>
      </c>
      <c r="AC148" s="5">
        <f>IF($B$142="Producción",IF($B148&gt;=LI_B,IF($B148&lt;LS_B,$O148,0),0),0)</f>
        <v>0</v>
      </c>
      <c r="AD148" s="5">
        <f>IF($B$142="Producción",IF($B148&gt;=LI_C,IF($B148&lt;LS_C,$O148,0),0),0)</f>
        <v>0</v>
      </c>
      <c r="AE148" s="5">
        <f>IF($B$142="Producción",IF($B148&lt;LS_D,$O148,0),0)</f>
        <v>0</v>
      </c>
      <c r="AF148" s="5">
        <f t="shared" si="1119"/>
        <v>0</v>
      </c>
      <c r="AI148" s="5">
        <f>IF($C$142="Producción",IF($C148&gt;=LI_A,$P148,0),0)</f>
        <v>0</v>
      </c>
      <c r="AJ148" s="5">
        <f>IF($C$142="Producción",IF($C148&gt;=LI_B,IF($C148&lt;LS_B,$P148,0),0),0)</f>
        <v>0</v>
      </c>
      <c r="AK148" s="5">
        <f>IF($C$142="Producción",IF($C148&gt;=LI_C,IF($C148&lt;LS_C,$P148,0),0),0)</f>
        <v>0</v>
      </c>
      <c r="AL148" s="5">
        <f>IF($C$142="Producción",IF($C148&lt;LS_D,$P148,0),0)</f>
        <v>0</v>
      </c>
      <c r="AM148" s="5">
        <f>IF($C$142="Crecimiento",$P148,0)</f>
        <v>0</v>
      </c>
      <c r="AP148" s="5">
        <f>IF($D$142="Producción",IF($D148&gt;=LI_A,$Q148,0),0)</f>
        <v>0</v>
      </c>
      <c r="AQ148" s="5">
        <f>IF($D$142="Producción",IF($D148&gt;=LI_B,IF($D148&lt;LS_B,$Q148,0),0),0)</f>
        <v>0</v>
      </c>
      <c r="AR148" s="5">
        <f>IF($D$142="Producción",IF($D148&gt;=LI_C,IF($D148&lt;LS_C,$Q148,0),0),0)</f>
        <v>0</v>
      </c>
      <c r="AS148" s="5">
        <f>IF($D$142="Producción",IF($D148&lt;LS_D,$Q148,0),0)</f>
        <v>0</v>
      </c>
      <c r="AT148" s="5">
        <f>IF($D$142="Crecimiento",IF($D148&gt;0,$Q148,0),0)</f>
        <v>0</v>
      </c>
      <c r="AW148" s="5">
        <f>IF($E$142="Producción",IF($E148&gt;=LI_A,$R148,0),0)</f>
        <v>0</v>
      </c>
      <c r="AX148" s="5">
        <f>IF($E$142="Producción",IF($E148&gt;=LI_B,IF($E148&lt;LS_B,$R148,0),0),0)</f>
        <v>0</v>
      </c>
      <c r="AY148" s="5">
        <f>IF($E$142="Producción",IF($E148&gt;=LI_C,IF($E148&lt;LS_C,$R148,0),0),0)</f>
        <v>0</v>
      </c>
      <c r="AZ148" s="5">
        <f>IF($E$142="Producción",IF($E148&lt;LS_D,$R148,0),0)</f>
        <v>0</v>
      </c>
      <c r="BA148" s="5">
        <f>IF($E$142="Crecimiento",$R148,0)</f>
        <v>0</v>
      </c>
      <c r="BD148" s="5">
        <f>IF($F$142="Producción",IF($F148&gt;=LI_A,$S148,0),0)</f>
        <v>0</v>
      </c>
      <c r="BE148" s="5">
        <f>IF($F$142="Producción",IF($F148&gt;=LI_B,IF($F148&lt;LS_B,$S148,0),0),0)</f>
        <v>0</v>
      </c>
      <c r="BF148" s="5">
        <f>IF($F$142="Producción",IF($F148&gt;=LI_C,IF($F148&lt;LS_C,$S148,0),0),0)</f>
        <v>0</v>
      </c>
      <c r="BG148" s="5">
        <f>IF($F$142="Producción",IF($F148&lt;LS_D,$S148,0),0)</f>
        <v>0</v>
      </c>
      <c r="BH148" s="5">
        <f>IF($F$142="Crecimiento",$S148,0)</f>
        <v>0</v>
      </c>
      <c r="BK148" s="5">
        <f>IF($G$142="Producción",IF($G148&gt;=LI_A,$T148,0),0)</f>
        <v>0</v>
      </c>
      <c r="BL148" s="5">
        <f>IF($G$142="Producción",IF($G148&gt;=LI_B,IF($G148&lt;LS_B,$T148,0),0),0)</f>
        <v>0</v>
      </c>
      <c r="BM148" s="5">
        <f>IF($G$142="Producción",IF($G148&gt;=LI_C,IF($G148&lt;LS_C,$T148,0),0),0)</f>
        <v>0</v>
      </c>
      <c r="BN148" s="5">
        <f>IF($G$142="Producción",IF($G148&lt;LS_D,$T148,0),0)</f>
        <v>0</v>
      </c>
      <c r="BO148" s="5">
        <f>IF($G$142="Crecimiento",$T148,0)</f>
        <v>0</v>
      </c>
      <c r="BR148" s="5">
        <f>IF($H$142="Producción",IF($H148&gt;=LI_A,$U148,0),0)</f>
        <v>0</v>
      </c>
      <c r="BS148" s="5">
        <f>IF($H$142="Producción",IF($H148&gt;=LI_B,IF($H148&lt;LS_B,$U148,0),0),0)</f>
        <v>0</v>
      </c>
      <c r="BT148" s="5">
        <f>IF($H$142="Producción",IF($H148&gt;=LI_C,IF($H148&lt;LS_C,$U148,0),0),0)</f>
        <v>0</v>
      </c>
      <c r="BU148" s="5">
        <f>IF($H$142="Producción",IF($H148&lt;LS_D,$U148,0),0)</f>
        <v>0</v>
      </c>
      <c r="BV148" s="5">
        <f>IF($H$142="Crecimiento",$T148,0)</f>
        <v>0</v>
      </c>
      <c r="BY148" s="5">
        <f>IF($I$142="Producción",IF($I148&gt;=LI_A,$V148,0),0)</f>
        <v>0</v>
      </c>
      <c r="BZ148" s="5">
        <f>IF($I$142="Producción",IF($I148&gt;=LI_B,IF($I148&lt;LS_B,$V148,0),0),0)</f>
        <v>0</v>
      </c>
      <c r="CA148" s="5">
        <f>IF($I$142="Producción",IF($I148&gt;=LI_C,IF($I148&lt;LS_C,$V148,0),0),0)</f>
        <v>0</v>
      </c>
      <c r="CB148" s="5">
        <f>IF($I$142="Producción",IF($I148&lt;LS_D,$V148,0),0)</f>
        <v>0</v>
      </c>
      <c r="CC148" s="5">
        <f>IF($I$142="Crecimiento",$V148,0)</f>
        <v>0</v>
      </c>
      <c r="CF148" s="5">
        <f>IF($J$142="Producción",IF($J148&gt;=LI_A,$W148,0),0)</f>
        <v>0</v>
      </c>
      <c r="CG148" s="5">
        <f>IF($J$142="Producción",IF($J148&gt;=LI_B,IF($J148&lt;LS_B,$W148,0),0),0)</f>
        <v>0</v>
      </c>
      <c r="CH148" s="5">
        <f>IF($J$142="Producción",IF($J148&gt;=LI_C,IF($J148&lt;LS_C,$W148,0),0),0)</f>
        <v>0</v>
      </c>
      <c r="CI148" s="5">
        <f>IF($J$142="Producción",IF($J148&lt;LS_D,$W148,0),0)</f>
        <v>0</v>
      </c>
      <c r="CJ148" s="5">
        <f>IF($J$142="Crecimiento",$W148,0)</f>
        <v>0</v>
      </c>
      <c r="CM148" s="5">
        <f>IF($K$142="Producción",IF($K148&gt;=LI_A,$X148,0),0)</f>
        <v>0</v>
      </c>
      <c r="CN148" s="5">
        <f>IF($K$142="Producción",IF($K148&gt;=LI_B,IF($K148&lt;LS_B,$X148,0),0),0)</f>
        <v>0</v>
      </c>
      <c r="CO148" s="5">
        <f>IF($K$142="Producción",IF($K148&gt;=LI_C,IF($K148&lt;LS_C,$X148,0),0),0)</f>
        <v>0</v>
      </c>
      <c r="CP148" s="5">
        <f>IF($K$142="Producción",IF($K148&lt;LS_D,$X148,0),0)</f>
        <v>0</v>
      </c>
      <c r="CQ148" s="5">
        <f>IF($K$142="Crecimiento",$X148,0)</f>
        <v>0</v>
      </c>
      <c r="CT148" s="5">
        <f>IF($L$142="Producción",IF($L148&gt;=LI_A,$Y148,0),0)</f>
        <v>0</v>
      </c>
      <c r="CU148" s="5">
        <f>IF($L$142="Producción",IF($L148&gt;=LI_B,IF($L148&lt;LS_B,$Y148,0),0),0)</f>
        <v>0</v>
      </c>
      <c r="CV148" s="5">
        <f>IF($L$142="Producción",IF($L148&gt;=LI_C,IF($L148&lt;LS_C,$Y148,0),0),0)</f>
        <v>0</v>
      </c>
      <c r="CW148" s="5">
        <f>IF($L$142="Producción",IF($L148&lt;LS_D,$Y148,0),0)</f>
        <v>0</v>
      </c>
      <c r="CX148" s="5">
        <f>IF($L$142="Crecimiento",$Y148,0)</f>
        <v>0</v>
      </c>
      <c r="DA148" s="5">
        <f>IF($M$142="Producción",IF($M148&gt;=LI_A,$Z148,0),0)</f>
        <v>0</v>
      </c>
      <c r="DB148" s="5">
        <f>IF($M$142="Producción",IF($M148&gt;=LI_B,IF($M148&lt;LS_B,$Z148,0),0),0)</f>
        <v>0</v>
      </c>
      <c r="DC148" s="5">
        <f>IF($M$142="Producción",IF($M148&gt;=LI_C,IF($M148&lt;LS_C,$Z148,0),0),0)</f>
        <v>0</v>
      </c>
      <c r="DD148" s="5">
        <f>IF($M$142="Producción",IF($M148&lt;LS_D,$Z148,0),0)</f>
        <v>0</v>
      </c>
      <c r="DE148" s="5">
        <f>IF($M$142="Crecimiento",$Z148,0)</f>
        <v>0</v>
      </c>
      <c r="DI148" s="5">
        <f t="shared" si="1059"/>
        <v>0</v>
      </c>
      <c r="DJ148" s="5">
        <f t="shared" si="1060"/>
        <v>0</v>
      </c>
      <c r="DK148" s="5">
        <f t="shared" si="1061"/>
        <v>0</v>
      </c>
      <c r="DL148" s="5">
        <f t="shared" si="1062"/>
        <v>0</v>
      </c>
      <c r="DM148" s="5">
        <f t="shared" si="1063"/>
        <v>0</v>
      </c>
      <c r="DN148" s="5">
        <f t="shared" si="1064"/>
        <v>0</v>
      </c>
      <c r="DO148" s="5">
        <f t="shared" si="1065"/>
        <v>0</v>
      </c>
      <c r="DP148" s="5">
        <f t="shared" si="1066"/>
        <v>0</v>
      </c>
      <c r="DQ148" s="5">
        <f t="shared" si="1067"/>
        <v>0</v>
      </c>
      <c r="DR148" s="5">
        <f t="shared" si="1068"/>
        <v>0</v>
      </c>
      <c r="DS148" s="5">
        <f t="shared" si="1069"/>
        <v>0</v>
      </c>
      <c r="DT148" s="5">
        <f t="shared" si="1070"/>
        <v>0</v>
      </c>
      <c r="DU148" s="5">
        <f t="shared" si="1071"/>
        <v>0</v>
      </c>
      <c r="DV148" s="5">
        <f t="shared" si="1072"/>
        <v>0</v>
      </c>
      <c r="DW148" s="5">
        <f t="shared" si="1073"/>
        <v>0</v>
      </c>
      <c r="DX148" s="5">
        <f t="shared" si="1074"/>
        <v>0</v>
      </c>
      <c r="DY148" s="5">
        <f t="shared" si="1075"/>
        <v>0</v>
      </c>
      <c r="DZ148" s="5">
        <f t="shared" si="1076"/>
        <v>0</v>
      </c>
      <c r="EA148" s="5">
        <f t="shared" si="1077"/>
        <v>0</v>
      </c>
      <c r="EB148" s="5">
        <f t="shared" si="1078"/>
        <v>0</v>
      </c>
      <c r="EC148" s="5">
        <f t="shared" si="1079"/>
        <v>0</v>
      </c>
      <c r="ED148" s="5">
        <f t="shared" si="1080"/>
        <v>0</v>
      </c>
      <c r="EE148" s="5">
        <f t="shared" si="1081"/>
        <v>0</v>
      </c>
      <c r="EF148" s="5">
        <f t="shared" si="1082"/>
        <v>0</v>
      </c>
      <c r="EG148" s="5">
        <f t="shared" si="1083"/>
        <v>0</v>
      </c>
      <c r="EH148" s="5">
        <f t="shared" si="1084"/>
        <v>0</v>
      </c>
      <c r="EI148" s="5">
        <f t="shared" si="1085"/>
        <v>0</v>
      </c>
      <c r="EJ148" s="5">
        <f t="shared" si="1086"/>
        <v>0</v>
      </c>
      <c r="EK148" s="5">
        <f t="shared" si="1087"/>
        <v>0</v>
      </c>
      <c r="EL148" s="5">
        <f t="shared" si="1088"/>
        <v>0</v>
      </c>
      <c r="EM148" s="5">
        <f t="shared" si="1089"/>
        <v>0</v>
      </c>
      <c r="EN148" s="5">
        <f t="shared" si="1090"/>
        <v>0</v>
      </c>
      <c r="EO148" s="5">
        <f t="shared" si="1091"/>
        <v>0</v>
      </c>
      <c r="EP148" s="5">
        <f t="shared" si="1092"/>
        <v>0</v>
      </c>
      <c r="EQ148" s="5">
        <f t="shared" si="1093"/>
        <v>0</v>
      </c>
      <c r="ER148" s="5">
        <f t="shared" si="1094"/>
        <v>0</v>
      </c>
      <c r="ES148" s="5">
        <f t="shared" si="1095"/>
        <v>0</v>
      </c>
      <c r="ET148" s="5">
        <f t="shared" si="1096"/>
        <v>0</v>
      </c>
      <c r="EU148" s="5">
        <f t="shared" si="1097"/>
        <v>0</v>
      </c>
      <c r="EV148" s="5">
        <f t="shared" si="1098"/>
        <v>0</v>
      </c>
      <c r="EW148" s="5">
        <f t="shared" si="1099"/>
        <v>0</v>
      </c>
      <c r="EX148" s="5">
        <f t="shared" si="1100"/>
        <v>0</v>
      </c>
      <c r="EY148" s="5">
        <f t="shared" si="1101"/>
        <v>0</v>
      </c>
      <c r="EZ148" s="5">
        <f t="shared" si="1102"/>
        <v>0</v>
      </c>
      <c r="FA148" s="5">
        <f t="shared" si="1103"/>
        <v>0</v>
      </c>
      <c r="FB148" s="5">
        <f t="shared" si="1104"/>
        <v>0</v>
      </c>
      <c r="FC148" s="5">
        <f t="shared" si="1105"/>
        <v>0</v>
      </c>
      <c r="FD148" s="5">
        <f t="shared" si="1106"/>
        <v>0</v>
      </c>
      <c r="FE148" s="5">
        <f t="shared" si="1107"/>
        <v>0</v>
      </c>
      <c r="FF148" s="5">
        <f t="shared" si="1108"/>
        <v>0</v>
      </c>
      <c r="FG148" s="5">
        <f t="shared" si="1109"/>
        <v>0</v>
      </c>
      <c r="FH148" s="5">
        <f t="shared" si="1110"/>
        <v>0</v>
      </c>
      <c r="FI148" s="5">
        <f t="shared" si="1111"/>
        <v>0</v>
      </c>
      <c r="FJ148" s="5">
        <f t="shared" si="1112"/>
        <v>0</v>
      </c>
      <c r="FK148" s="5">
        <f t="shared" si="1113"/>
        <v>0</v>
      </c>
      <c r="FL148" s="5">
        <f t="shared" si="1114"/>
        <v>0</v>
      </c>
      <c r="FM148" s="5">
        <f t="shared" si="1115"/>
        <v>0</v>
      </c>
      <c r="FN148" s="5">
        <f t="shared" si="1116"/>
        <v>0</v>
      </c>
      <c r="FO148" s="5">
        <f t="shared" si="1117"/>
        <v>0</v>
      </c>
      <c r="FP148" s="5">
        <f t="shared" si="1118"/>
        <v>0</v>
      </c>
    </row>
    <row r="149" spans="1:172" ht="20.100000000000001" customHeight="1" x14ac:dyDescent="0.3">
      <c r="A149" s="9" t="str">
        <f>IF(Ciclo=5,"Surco 5","NA")</f>
        <v>NA</v>
      </c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O149" s="58">
        <f>IF($A149="NA",0,IFERROR('6'!O$75/Ciclo,0))</f>
        <v>0</v>
      </c>
      <c r="P149" s="58">
        <f>IF($A149="NA",0,IFERROR('6'!P$75/Ciclo,0))</f>
        <v>0</v>
      </c>
      <c r="Q149" s="58">
        <f>IF($A149="NA",0,IFERROR('6'!Q$75/Ciclo,0))</f>
        <v>0</v>
      </c>
      <c r="R149" s="58">
        <f>IF($A149="NA",0,IFERROR('6'!R$75/Ciclo,0))</f>
        <v>0</v>
      </c>
      <c r="S149" s="58">
        <f>IF($A149="NA",0,IFERROR('6'!S$75/Ciclo,0))</f>
        <v>0</v>
      </c>
      <c r="T149" s="58">
        <f>IF($A149="NA",0,IFERROR('6'!T$75/Ciclo,0))</f>
        <v>0</v>
      </c>
      <c r="U149" s="58">
        <f>IF($A149="NA",0,IFERROR('6'!U$75/Ciclo,0))</f>
        <v>0</v>
      </c>
      <c r="V149" s="58">
        <f>IF($A149="NA",0,IFERROR('6'!V$75/Ciclo,0))</f>
        <v>0</v>
      </c>
      <c r="W149" s="5">
        <f>IF($A149="NA",0,IFERROR('6'!W$75/Ciclo,0))</f>
        <v>0</v>
      </c>
      <c r="X149" s="5">
        <f>IF($A149="NA",0,IFERROR('6'!X$75/Ciclo,0))</f>
        <v>0</v>
      </c>
      <c r="Y149" s="5">
        <f>IF($A149="NA",0,IFERROR('6'!Y$75/Ciclo,0))</f>
        <v>0</v>
      </c>
      <c r="Z149" s="5">
        <f>IF($A149="NA",0,IFERROR('6'!Z$75/Ciclo,0))</f>
        <v>0</v>
      </c>
      <c r="AB149" s="5">
        <f>IF($B$142="Producción",IF($B149&gt;=LI_A,$O149,0),0)</f>
        <v>0</v>
      </c>
      <c r="AC149" s="5">
        <f>IF($B$142="Producción",IF($B149&gt;=LI_B,IF($B149&lt;LS_B,$O149,0),0),0)</f>
        <v>0</v>
      </c>
      <c r="AD149" s="5">
        <f>IF($B$142="Producción",IF($B149&gt;=LI_C,IF($B149&lt;LS_C,$O149,0),0),0)</f>
        <v>0</v>
      </c>
      <c r="AE149" s="5">
        <f>IF($B$142="Producción",IF($B149&lt;LS_D,$O149,0),0)</f>
        <v>0</v>
      </c>
      <c r="AF149" s="5">
        <f t="shared" si="1119"/>
        <v>0</v>
      </c>
      <c r="AI149" s="5">
        <f>IF($C$142="Producción",IF($C149&gt;=LI_A,$P149,0),0)</f>
        <v>0</v>
      </c>
      <c r="AJ149" s="5">
        <f>IF($C$142="Producción",IF($C149&gt;=LI_B,IF($C149&lt;LS_B,$P149,0),0),0)</f>
        <v>0</v>
      </c>
      <c r="AK149" s="5">
        <f>IF($C$142="Producción",IF($C149&gt;=LI_C,IF($C149&lt;LS_C,$P149,0),0),0)</f>
        <v>0</v>
      </c>
      <c r="AL149" s="5">
        <f>IF($C$142="Producción",IF($C149&lt;LS_D,$P149,0),0)</f>
        <v>0</v>
      </c>
      <c r="AM149" s="5">
        <f>IF($C$142="Crecimiento",$P149,0)</f>
        <v>0</v>
      </c>
      <c r="AP149" s="5">
        <f>IF($D$142="Producción",IF($D149&gt;=LI_A,$Q149,0),0)</f>
        <v>0</v>
      </c>
      <c r="AQ149" s="5">
        <f>IF($D$142="Producción",IF($D149&gt;=LI_B,IF($D149&lt;LS_B,$Q149,0),0),0)</f>
        <v>0</v>
      </c>
      <c r="AR149" s="5">
        <f>IF($D$142="Producción",IF($D149&gt;=LI_C,IF($D149&lt;LS_C,$Q149,0),0),0)</f>
        <v>0</v>
      </c>
      <c r="AS149" s="5">
        <f>IF($D$142="Producción",IF($D149&lt;LS_D,$Q149,0),0)</f>
        <v>0</v>
      </c>
      <c r="AT149" s="5">
        <f>IF($D$142="Crecimiento",IF($D149&gt;0,$Q149,0),0)</f>
        <v>0</v>
      </c>
      <c r="AW149" s="5">
        <f>IF($E$142="Producción",IF($E149&gt;=LI_A,$R149,0),0)</f>
        <v>0</v>
      </c>
      <c r="AX149" s="5">
        <f>IF($E$142="Producción",IF($E149&gt;=LI_B,IF($E149&lt;LS_B,$R149,0),0),0)</f>
        <v>0</v>
      </c>
      <c r="AY149" s="5">
        <f>IF($E$142="Producción",IF($E149&gt;=LI_C,IF($E149&lt;LS_C,$R149,0),0),0)</f>
        <v>0</v>
      </c>
      <c r="AZ149" s="5">
        <f>IF($E$142="Producción",IF($E149&lt;LS_D,$R149,0),0)</f>
        <v>0</v>
      </c>
      <c r="BA149" s="5">
        <f>IF($E$142="Crecimiento",$R149,0)</f>
        <v>0</v>
      </c>
      <c r="BD149" s="5">
        <f>IF($F$142="Producción",IF($F149&gt;=LI_A,$S149,0),0)</f>
        <v>0</v>
      </c>
      <c r="BE149" s="5">
        <f>IF($F$142="Producción",IF($F149&gt;=LI_B,IF($F149&lt;LS_B,$S149,0),0),0)</f>
        <v>0</v>
      </c>
      <c r="BF149" s="5">
        <f>IF($F$142="Producción",IF($F149&gt;=LI_C,IF($F149&lt;LS_C,$S149,0),0),0)</f>
        <v>0</v>
      </c>
      <c r="BG149" s="5">
        <f>IF($F$142="Producción",IF($F149&lt;LS_D,$S149,0),0)</f>
        <v>0</v>
      </c>
      <c r="BH149" s="5">
        <f>IF($F$142="Crecimiento",$S149,0)</f>
        <v>0</v>
      </c>
      <c r="BK149" s="5">
        <f>IF($G$142="Producción",IF($G149&gt;=LI_A,$T149,0),0)</f>
        <v>0</v>
      </c>
      <c r="BL149" s="5">
        <f>IF($G$142="Producción",IF($G149&gt;=LI_B,IF($G149&lt;LS_B,$T149,0),0),0)</f>
        <v>0</v>
      </c>
      <c r="BM149" s="5">
        <f>IF($G$142="Producción",IF($G149&gt;=LI_C,IF($G149&lt;LS_C,$T149,0),0),0)</f>
        <v>0</v>
      </c>
      <c r="BN149" s="5">
        <f>IF($G$142="Producción",IF($G149&lt;LS_D,$T149,0),0)</f>
        <v>0</v>
      </c>
      <c r="BO149" s="5">
        <f>IF($G$142="Crecimiento",$T149,0)</f>
        <v>0</v>
      </c>
      <c r="BR149" s="5">
        <f>IF($H$142="Producción",IF($H149&gt;=LI_A,$U149,0),0)</f>
        <v>0</v>
      </c>
      <c r="BS149" s="5">
        <f>IF($H$142="Producción",IF($H149&gt;=LI_B,IF($H149&lt;LS_B,$U149,0),0),0)</f>
        <v>0</v>
      </c>
      <c r="BT149" s="5">
        <f>IF($H$142="Producción",IF($H149&gt;=LI_C,IF($H149&lt;LS_C,$U149,0),0),0)</f>
        <v>0</v>
      </c>
      <c r="BU149" s="5">
        <f>IF($H$142="Producción",IF($H149&lt;LS_D,$U149,0),0)</f>
        <v>0</v>
      </c>
      <c r="BV149" s="5">
        <f>IF($H$142="Crecimiento",$T149,0)</f>
        <v>0</v>
      </c>
      <c r="BY149" s="5">
        <f>IF($I$142="Producción",IF($I149&gt;=LI_A,$V149,0),0)</f>
        <v>0</v>
      </c>
      <c r="BZ149" s="5">
        <f>IF($I$142="Producción",IF($I149&gt;=LI_B,IF($I149&lt;LS_B,$V149,0),0),0)</f>
        <v>0</v>
      </c>
      <c r="CA149" s="5">
        <f>IF($I$142="Producción",IF($I149&gt;=LI_C,IF($I149&lt;LS_C,$V149,0),0),0)</f>
        <v>0</v>
      </c>
      <c r="CB149" s="5">
        <f>IF($I$142="Producción",IF($I149&lt;LS_D,$V149,0),0)</f>
        <v>0</v>
      </c>
      <c r="CC149" s="5">
        <f>IF($I$142="Crecimiento",$V149,0)</f>
        <v>0</v>
      </c>
      <c r="CF149" s="5">
        <f>IF($J$142="Producción",IF($J149&gt;=LI_A,$W149,0),0)</f>
        <v>0</v>
      </c>
      <c r="CG149" s="5">
        <f>IF($J$142="Producción",IF($J149&gt;=LI_B,IF($J149&lt;LS_B,$W149,0),0),0)</f>
        <v>0</v>
      </c>
      <c r="CH149" s="5">
        <f>IF($J$142="Producción",IF($J149&gt;=LI_C,IF($J149&lt;LS_C,$W149,0),0),0)</f>
        <v>0</v>
      </c>
      <c r="CI149" s="5">
        <f>IF($J$142="Producción",IF($J149&lt;LS_D,$W149,0),0)</f>
        <v>0</v>
      </c>
      <c r="CJ149" s="5">
        <f>IF($J$142="Crecimiento",$W149,0)</f>
        <v>0</v>
      </c>
      <c r="CM149" s="5">
        <f>IF($K$142="Producción",IF($K149&gt;=LI_A,$X149,0),0)</f>
        <v>0</v>
      </c>
      <c r="CN149" s="5">
        <f>IF($K$142="Producción",IF($K149&gt;=LI_B,IF($K149&lt;LS_B,$X149,0),0),0)</f>
        <v>0</v>
      </c>
      <c r="CO149" s="5">
        <f>IF($K$142="Producción",IF($K149&gt;=LI_C,IF($K149&lt;LS_C,$X149,0),0),0)</f>
        <v>0</v>
      </c>
      <c r="CP149" s="5">
        <f>IF($K$142="Producción",IF($K149&lt;LS_D,$X149,0),0)</f>
        <v>0</v>
      </c>
      <c r="CQ149" s="5">
        <f>IF($K$142="Crecimiento",$X149,0)</f>
        <v>0</v>
      </c>
      <c r="CT149" s="5">
        <f>IF($L$142="Producción",IF($L149&gt;=LI_A,$Y149,0),0)</f>
        <v>0</v>
      </c>
      <c r="CU149" s="5">
        <f>IF($L$142="Producción",IF($L149&gt;=LI_B,IF($L149&lt;LS_B,$Y149,0),0),0)</f>
        <v>0</v>
      </c>
      <c r="CV149" s="5">
        <f>IF($L$142="Producción",IF($L149&gt;=LI_C,IF($L149&lt;LS_C,$Y149,0),0),0)</f>
        <v>0</v>
      </c>
      <c r="CW149" s="5">
        <f>IF($L$142="Producción",IF($L149&lt;LS_D,$Y149,0),0)</f>
        <v>0</v>
      </c>
      <c r="CX149" s="5">
        <f>IF($L$142="Crecimiento",$Y149,0)</f>
        <v>0</v>
      </c>
      <c r="DA149" s="5">
        <f>IF($M$142="Producción",IF($M149&gt;=LI_A,$Z149,0),0)</f>
        <v>0</v>
      </c>
      <c r="DB149" s="5">
        <f>IF($M$142="Producción",IF($M149&gt;=LI_B,IF($M149&lt;LS_B,$Z149,0),0),0)</f>
        <v>0</v>
      </c>
      <c r="DC149" s="5">
        <f>IF($M$142="Producción",IF($M149&gt;=LI_C,IF($M149&lt;LS_C,$Z149,0),0),0)</f>
        <v>0</v>
      </c>
      <c r="DD149" s="5">
        <f>IF($M$142="Producción",IF($M149&lt;LS_D,$Z149,0),0)</f>
        <v>0</v>
      </c>
      <c r="DE149" s="5">
        <f>IF($M$142="Crecimiento",$Z149,0)</f>
        <v>0</v>
      </c>
      <c r="DI149" s="5">
        <f t="shared" si="1059"/>
        <v>0</v>
      </c>
      <c r="DJ149" s="5">
        <f t="shared" si="1060"/>
        <v>0</v>
      </c>
      <c r="DK149" s="5">
        <f t="shared" si="1061"/>
        <v>0</v>
      </c>
      <c r="DL149" s="5">
        <f t="shared" si="1062"/>
        <v>0</v>
      </c>
      <c r="DM149" s="5">
        <f t="shared" si="1063"/>
        <v>0</v>
      </c>
      <c r="DN149" s="5">
        <f t="shared" si="1064"/>
        <v>0</v>
      </c>
      <c r="DO149" s="5">
        <f t="shared" si="1065"/>
        <v>0</v>
      </c>
      <c r="DP149" s="5">
        <f t="shared" si="1066"/>
        <v>0</v>
      </c>
      <c r="DQ149" s="5">
        <f t="shared" si="1067"/>
        <v>0</v>
      </c>
      <c r="DR149" s="5">
        <f t="shared" si="1068"/>
        <v>0</v>
      </c>
      <c r="DS149" s="5">
        <f t="shared" si="1069"/>
        <v>0</v>
      </c>
      <c r="DT149" s="5">
        <f t="shared" si="1070"/>
        <v>0</v>
      </c>
      <c r="DU149" s="5">
        <f t="shared" si="1071"/>
        <v>0</v>
      </c>
      <c r="DV149" s="5">
        <f t="shared" si="1072"/>
        <v>0</v>
      </c>
      <c r="DW149" s="5">
        <f t="shared" si="1073"/>
        <v>0</v>
      </c>
      <c r="DX149" s="5">
        <f t="shared" si="1074"/>
        <v>0</v>
      </c>
      <c r="DY149" s="5">
        <f t="shared" si="1075"/>
        <v>0</v>
      </c>
      <c r="DZ149" s="5">
        <f t="shared" si="1076"/>
        <v>0</v>
      </c>
      <c r="EA149" s="5">
        <f t="shared" si="1077"/>
        <v>0</v>
      </c>
      <c r="EB149" s="5">
        <f t="shared" si="1078"/>
        <v>0</v>
      </c>
      <c r="EC149" s="5">
        <f t="shared" si="1079"/>
        <v>0</v>
      </c>
      <c r="ED149" s="5">
        <f t="shared" si="1080"/>
        <v>0</v>
      </c>
      <c r="EE149" s="5">
        <f t="shared" si="1081"/>
        <v>0</v>
      </c>
      <c r="EF149" s="5">
        <f t="shared" si="1082"/>
        <v>0</v>
      </c>
      <c r="EG149" s="5">
        <f t="shared" si="1083"/>
        <v>0</v>
      </c>
      <c r="EH149" s="5">
        <f t="shared" si="1084"/>
        <v>0</v>
      </c>
      <c r="EI149" s="5">
        <f t="shared" si="1085"/>
        <v>0</v>
      </c>
      <c r="EJ149" s="5">
        <f t="shared" si="1086"/>
        <v>0</v>
      </c>
      <c r="EK149" s="5">
        <f t="shared" si="1087"/>
        <v>0</v>
      </c>
      <c r="EL149" s="5">
        <f t="shared" si="1088"/>
        <v>0</v>
      </c>
      <c r="EM149" s="5">
        <f t="shared" si="1089"/>
        <v>0</v>
      </c>
      <c r="EN149" s="5">
        <f t="shared" si="1090"/>
        <v>0</v>
      </c>
      <c r="EO149" s="5">
        <f t="shared" si="1091"/>
        <v>0</v>
      </c>
      <c r="EP149" s="5">
        <f t="shared" si="1092"/>
        <v>0</v>
      </c>
      <c r="EQ149" s="5">
        <f t="shared" si="1093"/>
        <v>0</v>
      </c>
      <c r="ER149" s="5">
        <f t="shared" si="1094"/>
        <v>0</v>
      </c>
      <c r="ES149" s="5">
        <f t="shared" si="1095"/>
        <v>0</v>
      </c>
      <c r="ET149" s="5">
        <f t="shared" si="1096"/>
        <v>0</v>
      </c>
      <c r="EU149" s="5">
        <f t="shared" si="1097"/>
        <v>0</v>
      </c>
      <c r="EV149" s="5">
        <f t="shared" si="1098"/>
        <v>0</v>
      </c>
      <c r="EW149" s="5">
        <f t="shared" si="1099"/>
        <v>0</v>
      </c>
      <c r="EX149" s="5">
        <f t="shared" si="1100"/>
        <v>0</v>
      </c>
      <c r="EY149" s="5">
        <f t="shared" si="1101"/>
        <v>0</v>
      </c>
      <c r="EZ149" s="5">
        <f t="shared" si="1102"/>
        <v>0</v>
      </c>
      <c r="FA149" s="5">
        <f t="shared" si="1103"/>
        <v>0</v>
      </c>
      <c r="FB149" s="5">
        <f t="shared" si="1104"/>
        <v>0</v>
      </c>
      <c r="FC149" s="5">
        <f t="shared" si="1105"/>
        <v>0</v>
      </c>
      <c r="FD149" s="5">
        <f t="shared" si="1106"/>
        <v>0</v>
      </c>
      <c r="FE149" s="5">
        <f t="shared" si="1107"/>
        <v>0</v>
      </c>
      <c r="FF149" s="5">
        <f t="shared" si="1108"/>
        <v>0</v>
      </c>
      <c r="FG149" s="5">
        <f t="shared" si="1109"/>
        <v>0</v>
      </c>
      <c r="FH149" s="5">
        <f t="shared" si="1110"/>
        <v>0</v>
      </c>
      <c r="FI149" s="5">
        <f t="shared" si="1111"/>
        <v>0</v>
      </c>
      <c r="FJ149" s="5">
        <f t="shared" si="1112"/>
        <v>0</v>
      </c>
      <c r="FK149" s="5">
        <f t="shared" si="1113"/>
        <v>0</v>
      </c>
      <c r="FL149" s="5">
        <f t="shared" si="1114"/>
        <v>0</v>
      </c>
      <c r="FM149" s="5">
        <f t="shared" si="1115"/>
        <v>0</v>
      </c>
      <c r="FN149" s="5">
        <f t="shared" si="1116"/>
        <v>0</v>
      </c>
      <c r="FO149" s="5">
        <f t="shared" si="1117"/>
        <v>0</v>
      </c>
      <c r="FP149" s="5">
        <f t="shared" si="1118"/>
        <v>0</v>
      </c>
    </row>
    <row r="150" spans="1:172" ht="20.100000000000001" customHeight="1" x14ac:dyDescent="0.3">
      <c r="A150" s="172">
        <f>N_L19</f>
        <v>0</v>
      </c>
      <c r="B150" s="363" t="s">
        <v>37</v>
      </c>
      <c r="C150" s="363" t="s">
        <v>37</v>
      </c>
      <c r="D150" s="363" t="s">
        <v>37</v>
      </c>
      <c r="E150" s="363" t="s">
        <v>37</v>
      </c>
      <c r="F150" s="363" t="s">
        <v>37</v>
      </c>
      <c r="G150" s="363" t="s">
        <v>37</v>
      </c>
      <c r="H150" s="363" t="s">
        <v>37</v>
      </c>
      <c r="I150" s="363" t="s">
        <v>37</v>
      </c>
      <c r="J150" s="363" t="s">
        <v>37</v>
      </c>
      <c r="K150" s="363" t="s">
        <v>37</v>
      </c>
      <c r="L150" s="363" t="s">
        <v>37</v>
      </c>
      <c r="M150" s="363" t="s">
        <v>37</v>
      </c>
    </row>
    <row r="151" spans="1:172" ht="20.100000000000001" customHeight="1" x14ac:dyDescent="0.3">
      <c r="A151" s="175" t="s">
        <v>238</v>
      </c>
      <c r="B151" s="174">
        <f>SUM(DI153:DM157)/100</f>
        <v>0</v>
      </c>
      <c r="C151" s="174">
        <f>SUM(DN153:DR157)/100</f>
        <v>0</v>
      </c>
      <c r="D151" s="174">
        <f>SUM(DS153:DW157)/100</f>
        <v>0</v>
      </c>
      <c r="E151" s="174">
        <f>SUM(DX153:EB157)/100</f>
        <v>0</v>
      </c>
      <c r="F151" s="174">
        <f>SUM(EC153:EG157)/100</f>
        <v>0</v>
      </c>
      <c r="G151" s="174">
        <f>SUM(EH153:EL157)/100</f>
        <v>0</v>
      </c>
      <c r="H151" s="174">
        <f>SUM(EM153:EQ157)/100</f>
        <v>0</v>
      </c>
      <c r="I151" s="174">
        <f>SUM(ER153:EV157)/100</f>
        <v>0</v>
      </c>
      <c r="J151" s="174">
        <f>SUM(EW153:FA157)/100</f>
        <v>0</v>
      </c>
      <c r="K151" s="174">
        <f>SUM(FB153:FF157)/100</f>
        <v>0</v>
      </c>
      <c r="L151" s="174">
        <f>SUM(FG153:FK157)/100</f>
        <v>0</v>
      </c>
      <c r="M151" s="174">
        <f>SUM(FL153:FP157)/100</f>
        <v>0</v>
      </c>
    </row>
    <row r="152" spans="1:172" ht="20.100000000000001" customHeight="1" x14ac:dyDescent="0.3">
      <c r="A152" s="151" t="s">
        <v>239</v>
      </c>
      <c r="B152" s="152" t="e">
        <f t="shared" ref="B152:M152" si="1120">B151/Lote_19</f>
        <v>#DIV/0!</v>
      </c>
      <c r="C152" s="152" t="e">
        <f t="shared" si="1120"/>
        <v>#DIV/0!</v>
      </c>
      <c r="D152" s="152" t="e">
        <f t="shared" si="1120"/>
        <v>#DIV/0!</v>
      </c>
      <c r="E152" s="152" t="e">
        <f t="shared" si="1120"/>
        <v>#DIV/0!</v>
      </c>
      <c r="F152" s="152" t="e">
        <f t="shared" si="1120"/>
        <v>#DIV/0!</v>
      </c>
      <c r="G152" s="152" t="e">
        <f t="shared" si="1120"/>
        <v>#DIV/0!</v>
      </c>
      <c r="H152" s="152" t="e">
        <f t="shared" si="1120"/>
        <v>#DIV/0!</v>
      </c>
      <c r="I152" s="152" t="e">
        <f t="shared" si="1120"/>
        <v>#DIV/0!</v>
      </c>
      <c r="J152" s="152" t="e">
        <f t="shared" si="1120"/>
        <v>#DIV/0!</v>
      </c>
      <c r="K152" s="152" t="e">
        <f t="shared" si="1120"/>
        <v>#DIV/0!</v>
      </c>
      <c r="L152" s="152" t="e">
        <f t="shared" si="1120"/>
        <v>#DIV/0!</v>
      </c>
      <c r="M152" s="152" t="e">
        <f t="shared" si="1120"/>
        <v>#DIV/0!</v>
      </c>
    </row>
    <row r="153" spans="1:172" ht="20.100000000000001" customHeight="1" x14ac:dyDescent="0.3">
      <c r="A153" s="8" t="s">
        <v>302</v>
      </c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O153" s="58">
        <f>IFERROR('6'!O$79/Ciclo,0)</f>
        <v>0</v>
      </c>
      <c r="P153" s="58">
        <f>IFERROR('6'!P$79/Ciclo,0)</f>
        <v>0</v>
      </c>
      <c r="Q153" s="58">
        <f>IFERROR('6'!Q$79/Ciclo,0)</f>
        <v>0</v>
      </c>
      <c r="R153" s="58">
        <f>IFERROR('6'!R$79/Ciclo,0)</f>
        <v>0</v>
      </c>
      <c r="S153" s="58">
        <f>IFERROR('6'!S$79/Ciclo,0)</f>
        <v>0</v>
      </c>
      <c r="T153" s="58">
        <f>IFERROR('6'!T$79/Ciclo,0)</f>
        <v>0</v>
      </c>
      <c r="U153" s="58">
        <f>IFERROR('6'!U$79/Ciclo,0)</f>
        <v>0</v>
      </c>
      <c r="V153" s="58">
        <f>IFERROR('6'!V$79/Ciclo,0)</f>
        <v>0</v>
      </c>
      <c r="W153" s="5">
        <f>IFERROR('6'!W$79/Ciclo,0)</f>
        <v>0</v>
      </c>
      <c r="X153" s="5">
        <f>IFERROR('6'!X$79/Ciclo,0)</f>
        <v>0</v>
      </c>
      <c r="Y153" s="5">
        <f>IFERROR('6'!Y$79/Ciclo,0)</f>
        <v>0</v>
      </c>
      <c r="Z153" s="5">
        <f>IFERROR('6'!Z$79/Ciclo,0)</f>
        <v>0</v>
      </c>
      <c r="AB153" s="5">
        <f>IF($B$150="Producción",IF($B153&gt;=LI_A,$O153,0),0)</f>
        <v>0</v>
      </c>
      <c r="AC153" s="5">
        <f>IF($B$150="Producción",IF($B153&gt;=LI_B,IF($B153&lt;LS_B,$O153,0),0),0)</f>
        <v>0</v>
      </c>
      <c r="AD153" s="5">
        <f>IF($B$150="Producción",IF($B153&gt;=LI_C,IF($B153&lt;LS_C,$O153,0),0),0)</f>
        <v>0</v>
      </c>
      <c r="AE153" s="5">
        <f>IF($B$150="Producción",IF($B153&lt;LS_D,$O153,0),0)</f>
        <v>0</v>
      </c>
      <c r="AF153" s="5">
        <f>IF($B$150="Crecimiento",$O153,0)</f>
        <v>0</v>
      </c>
      <c r="AG153" s="5">
        <f>IF($B150="Siembra",'6'!$O$7,0)</f>
        <v>0</v>
      </c>
      <c r="AH153" s="5">
        <f>IF($B150="Abandono",'6'!$O$7,0)</f>
        <v>0</v>
      </c>
      <c r="AI153" s="5">
        <f>IF($C$150="Producción",IF($C153&gt;=LI_A,$P153,0),0)</f>
        <v>0</v>
      </c>
      <c r="AJ153" s="5">
        <f>IF($C$150="Producción",IF($C153&gt;=LI_B,IF($C153&lt;LS_B,$P153,0),0),0)</f>
        <v>0</v>
      </c>
      <c r="AK153" s="5">
        <f>IF($C$150="Producción",IF($C153&gt;=LI_C,IF($C153&lt;LS_C,$P153,0),0),0)</f>
        <v>0</v>
      </c>
      <c r="AL153" s="5">
        <f>IF($C$150="Producción",IF($C153&lt;LS_D,$P153,0),0)</f>
        <v>0</v>
      </c>
      <c r="AM153" s="5">
        <f>IF($C$150="Crecimiento",$P153,0)</f>
        <v>0</v>
      </c>
      <c r="AN153" s="5">
        <f>IF($C150="Siembra",'6'!$P$7,0)</f>
        <v>0</v>
      </c>
      <c r="AO153" s="5">
        <f>IF($C150="Abandono",'6'!$P$7,0)</f>
        <v>0</v>
      </c>
      <c r="AP153" s="5">
        <f>IF($D$150="Producción",IF($D153&gt;=LI_A,$Q153,0),0)</f>
        <v>0</v>
      </c>
      <c r="AQ153" s="5">
        <f>IF($D$150="Producción",IF($D153&gt;=LI_B,IF($D153&lt;LS_B,$Q153,0),0),0)</f>
        <v>0</v>
      </c>
      <c r="AR153" s="5">
        <f>IF($D$150="Producción",IF($D153&gt;=LI_C,IF($D153&lt;LS_C,$Q153,0),0),0)</f>
        <v>0</v>
      </c>
      <c r="AS153" s="5">
        <f>IF($D$150="Producción",IF($D153&lt;LS_D,$Q153,0),0)</f>
        <v>0</v>
      </c>
      <c r="AT153" s="5">
        <f>IF($D$150="Crecimiento",IF($D153&gt;0,$Q153,0),0)</f>
        <v>0</v>
      </c>
      <c r="AU153" s="5">
        <f>IF($D150="Siembra",'6'!$Q$7,0)</f>
        <v>0</v>
      </c>
      <c r="AV153" s="5">
        <f>IF($D150="Abandono",'6'!$Q$7,0)</f>
        <v>0</v>
      </c>
      <c r="AW153" s="5">
        <f>IF($E$150="Producción",IF($E153&gt;=LI_A,$R153,0),0)</f>
        <v>0</v>
      </c>
      <c r="AX153" s="5">
        <f>IF($E$150="Producción",IF($E153&gt;=LI_B,IF($E153&lt;LS_B,$R153,0),0),0)</f>
        <v>0</v>
      </c>
      <c r="AY153" s="5">
        <f>IF($E$150="Producción",IF($E153&gt;=LI_C,IF($E153&lt;LS_C,$R153,0),0),0)</f>
        <v>0</v>
      </c>
      <c r="AZ153" s="5">
        <f>IF($E$150="Producción",IF($E153&lt;LS_D,$R153,0),0)</f>
        <v>0</v>
      </c>
      <c r="BA153" s="5">
        <f>IF($E$150="Crecimiento",$R153,0)</f>
        <v>0</v>
      </c>
      <c r="BB153" s="5">
        <f>IF($E150="Siembra",'6'!$R$7,0)</f>
        <v>0</v>
      </c>
      <c r="BC153" s="5">
        <f>IF($E150="Abandono",'6'!$R$7,0)</f>
        <v>0</v>
      </c>
      <c r="BD153" s="5">
        <f>IF($F$150="Producción",IF($F153&gt;=LI_A,$S153,0),0)</f>
        <v>0</v>
      </c>
      <c r="BE153" s="5">
        <f>IF($F$150="Producción",IF($F153&gt;=LI_B,IF($F153&lt;LS_B,$S153,0),0),0)</f>
        <v>0</v>
      </c>
      <c r="BF153" s="5">
        <f>IF($F$150="Producción",IF($F153&gt;=LI_C,IF($F153&lt;LS_C,$S153,0),0),0)</f>
        <v>0</v>
      </c>
      <c r="BG153" s="5">
        <f>IF($F$150="Producción",IF($F153&lt;LS_D,$S153,0),0)</f>
        <v>0</v>
      </c>
      <c r="BH153" s="5">
        <f>IF($F$150="Crecimiento",$S153,0)</f>
        <v>0</v>
      </c>
      <c r="BI153" s="5">
        <f>IF($F150="Siembra",'6'!$S$7,0)</f>
        <v>0</v>
      </c>
      <c r="BJ153" s="5">
        <f>IF($F150="Abandono",'6'!$S$7,0)</f>
        <v>0</v>
      </c>
      <c r="BK153" s="5">
        <f>IF($G$150="Producción",IF($G153&gt;=LI_A,$T153,0),0)</f>
        <v>0</v>
      </c>
      <c r="BL153" s="5">
        <f>IF($G$150="Producción",IF($G153&gt;=LI_B,IF($G153&lt;LS_B,$T153,0),0),0)</f>
        <v>0</v>
      </c>
      <c r="BM153" s="5">
        <f>IF($G$150="Producción",IF($G153&gt;=LI_C,IF($G153&lt;LS_C,$T153,0),0),0)</f>
        <v>0</v>
      </c>
      <c r="BN153" s="5">
        <f>IF($G$150="Producción",IF($G153&lt;LS_D,$T153,0),0)</f>
        <v>0</v>
      </c>
      <c r="BO153" s="5">
        <f>IF($G$150="Crecimiento",$T153,0)</f>
        <v>0</v>
      </c>
      <c r="BP153" s="5">
        <f>IF($G150="Siembra",'6'!$T$7,0)</f>
        <v>0</v>
      </c>
      <c r="BQ153" s="5">
        <f>IF($G150="Abandono",'6'!$T$7,0)</f>
        <v>0</v>
      </c>
      <c r="BR153" s="5">
        <f>IF($H$150="Producción",IF($H153&gt;=LI_A,$U153,0),0)</f>
        <v>0</v>
      </c>
      <c r="BS153" s="5">
        <f>IF($H$150="Producción",IF($H153&gt;=LI_B,IF($H153&lt;LS_B,$U153,0),0),0)</f>
        <v>0</v>
      </c>
      <c r="BT153" s="5">
        <f>IF($H$150="Producción",IF($H153&gt;=LI_C,IF($H153&lt;LS_C,$U153,0),0),0)</f>
        <v>0</v>
      </c>
      <c r="BU153" s="5">
        <f>IF($H$150="Producción",IF($H153&lt;LS_D,$U153,0),0)</f>
        <v>0</v>
      </c>
      <c r="BV153" s="5">
        <f>IF($H$150="Crecimiento",$T153,0)</f>
        <v>0</v>
      </c>
      <c r="BW153" s="5">
        <f>IF($H150="Siembra",'6'!$U$7,0)</f>
        <v>0</v>
      </c>
      <c r="BX153" s="5">
        <f>IF($H150="Abandono",'6'!$U$7,0)</f>
        <v>0</v>
      </c>
      <c r="BY153" s="5">
        <f>IF($I$150="Producción",IF($I153&gt;=LI_A,$V153,0),0)</f>
        <v>0</v>
      </c>
      <c r="BZ153" s="5">
        <f>IF($I$150="Producción",IF($I153&gt;=LI_B,IF($I153&lt;LS_B,$V153,0),0),0)</f>
        <v>0</v>
      </c>
      <c r="CA153" s="5">
        <f>IF($I$150="Producción",IF($I153&gt;=LI_C,IF($I153&lt;LS_C,$V153,0),0),0)</f>
        <v>0</v>
      </c>
      <c r="CB153" s="5">
        <f>IF($I$150="Producción",IF($I153&lt;LS_D,$V153,0),0)</f>
        <v>0</v>
      </c>
      <c r="CC153" s="5">
        <f>IF($I$150="Crecimiento",$V153,0)</f>
        <v>0</v>
      </c>
      <c r="CD153" s="5">
        <f>IF($I150="Siembra",'6'!$V$7,0)</f>
        <v>0</v>
      </c>
      <c r="CE153" s="5">
        <f>IF($I150="Abandono",'6'!$V$7,0)</f>
        <v>0</v>
      </c>
      <c r="CF153" s="5">
        <f>IF($J$150="Producción",IF($J153&gt;=LI_A,$W153,0),0)</f>
        <v>0</v>
      </c>
      <c r="CG153" s="5">
        <f>IF($J$150="Producción",IF($J153&gt;=LI_B,IF($J153&lt;LS_B,$W153,0),0),0)</f>
        <v>0</v>
      </c>
      <c r="CH153" s="5">
        <f>IF($J$150="Producción",IF($J153&gt;=LI_C,IF($J153&lt;LS_C,$W153,0),0),0)</f>
        <v>0</v>
      </c>
      <c r="CI153" s="5">
        <f>IF($J$150="Producción",IF($J153&lt;LS_D,$W153,0),0)</f>
        <v>0</v>
      </c>
      <c r="CJ153" s="5">
        <f>IF($J$150="Crecimiento",$W153,0)</f>
        <v>0</v>
      </c>
      <c r="CK153" s="5">
        <f>IF($J150="Siembra",'6'!$W$7,0)</f>
        <v>0</v>
      </c>
      <c r="CL153" s="5">
        <f>IF($J150="Abandono",'6'!$W$7,0)</f>
        <v>0</v>
      </c>
      <c r="CM153" s="5">
        <f>IF($K$150="Producción",IF($K153&gt;=LI_A,$X153,0),0)</f>
        <v>0</v>
      </c>
      <c r="CN153" s="5">
        <f>IF($K$150="Producción",IF($K153&gt;=LI_B,IF($K153&lt;LS_B,$X153,0),0),0)</f>
        <v>0</v>
      </c>
      <c r="CO153" s="5">
        <f>IF($K$150="Producción",IF($K153&gt;=LI_C,IF($K153&lt;LS_C,$X153,0),0),0)</f>
        <v>0</v>
      </c>
      <c r="CP153" s="5">
        <f>IF($K$150="Producción",IF($K153&lt;LS_D,$X153,0),0)</f>
        <v>0</v>
      </c>
      <c r="CQ153" s="5">
        <f>IF($K$150="Crecimiento",$X153,0)</f>
        <v>0</v>
      </c>
      <c r="CR153" s="5">
        <f>IF($K150="Siembra",'6'!$X$7,0)</f>
        <v>0</v>
      </c>
      <c r="CS153" s="5">
        <f>IF($K150="Abandono",'6'!$X$7,0)</f>
        <v>0</v>
      </c>
      <c r="CT153" s="5">
        <f>IF($L$150="Producción",IF($L153&gt;=LI_A,$Y153,0),0)</f>
        <v>0</v>
      </c>
      <c r="CU153" s="5">
        <f>IF($L$150="Producción",IF($L153&gt;=LI_B,IF($L153&lt;LS_B,$Y153,0),0),0)</f>
        <v>0</v>
      </c>
      <c r="CV153" s="5">
        <f>IF($L$150="Producción",IF($L153&gt;=LI_C,IF($L153&lt;LS_C,$Y153,0),0),0)</f>
        <v>0</v>
      </c>
      <c r="CW153" s="5">
        <f>IF($L$150="Producción",IF($L153&lt;LS_D,$Y153,0),0)</f>
        <v>0</v>
      </c>
      <c r="CX153" s="5">
        <f>IF($L$150="Crecimiento",$Y153,0)</f>
        <v>0</v>
      </c>
      <c r="CY153" s="5">
        <f>IF($L150="Siembra",'6'!$Y$7,0)</f>
        <v>0</v>
      </c>
      <c r="CZ153" s="5">
        <f>IF($L150="Abandono",'6'!$Y$7,0)</f>
        <v>0</v>
      </c>
      <c r="DA153" s="5">
        <f>IF($M$150="Producción",IF($M153&gt;=LI_A,$Z153,0),0)</f>
        <v>0</v>
      </c>
      <c r="DB153" s="5">
        <f>IF($M$150="Producción",IF($M153&gt;=LI_B,IF($M153&lt;LS_B,$Z153,0),0),0)</f>
        <v>0</v>
      </c>
      <c r="DC153" s="5">
        <f>IF($M$150="Producción",IF($M153&gt;=LI_C,IF($M153&lt;LS_C,$Z153,0),0),0)</f>
        <v>0</v>
      </c>
      <c r="DD153" s="5">
        <f>IF($M$150="Producción",IF($M153&lt;LS_D,$Z153,0),0)</f>
        <v>0</v>
      </c>
      <c r="DE153" s="5">
        <f>IF($M$150="Crecimiento",$Z153,0)</f>
        <v>0</v>
      </c>
      <c r="DF153" s="5">
        <f>IF($M150="Siembra",'6'!$Z$7,0)</f>
        <v>0</v>
      </c>
      <c r="DG153" s="5">
        <f>IF($M150="Abandono",'6'!$Z$7,0)</f>
        <v>0</v>
      </c>
      <c r="DI153" s="5">
        <f t="shared" ref="DI153:DI157" si="1121">AB153*$B153</f>
        <v>0</v>
      </c>
      <c r="DJ153" s="5">
        <f t="shared" ref="DJ153:DJ157" si="1122">AC153*$B153</f>
        <v>0</v>
      </c>
      <c r="DK153" s="5">
        <f t="shared" ref="DK153:DK157" si="1123">AD153*$B153</f>
        <v>0</v>
      </c>
      <c r="DL153" s="5">
        <f t="shared" ref="DL153:DL157" si="1124">AE153*$B153</f>
        <v>0</v>
      </c>
      <c r="DM153" s="5">
        <f t="shared" ref="DM153:DM157" si="1125">AF153*$B153</f>
        <v>0</v>
      </c>
      <c r="DN153" s="5">
        <f t="shared" ref="DN153:DN157" si="1126">AI153*$C153</f>
        <v>0</v>
      </c>
      <c r="DO153" s="5">
        <f t="shared" ref="DO153:DO157" si="1127">AJ153*$C153</f>
        <v>0</v>
      </c>
      <c r="DP153" s="5">
        <f t="shared" ref="DP153:DP157" si="1128">AK153*$C153</f>
        <v>0</v>
      </c>
      <c r="DQ153" s="5">
        <f t="shared" ref="DQ153:DQ157" si="1129">AL153*$C153</f>
        <v>0</v>
      </c>
      <c r="DR153" s="5">
        <f t="shared" ref="DR153:DR157" si="1130">AM153*$C153</f>
        <v>0</v>
      </c>
      <c r="DS153" s="5">
        <f t="shared" ref="DS153:DS157" si="1131">AP153*$D153</f>
        <v>0</v>
      </c>
      <c r="DT153" s="5">
        <f t="shared" ref="DT153:DT157" si="1132">AQ153*$D153</f>
        <v>0</v>
      </c>
      <c r="DU153" s="5">
        <f t="shared" ref="DU153:DU157" si="1133">AR153*$D153</f>
        <v>0</v>
      </c>
      <c r="DV153" s="5">
        <f t="shared" ref="DV153:DV157" si="1134">AS153*$D153</f>
        <v>0</v>
      </c>
      <c r="DW153" s="5">
        <f t="shared" ref="DW153:DW157" si="1135">AT153*$D153</f>
        <v>0</v>
      </c>
      <c r="DX153" s="5">
        <f t="shared" ref="DX153:DX157" si="1136">AW153*$E153</f>
        <v>0</v>
      </c>
      <c r="DY153" s="5">
        <f t="shared" ref="DY153:DY157" si="1137">AX153*$E153</f>
        <v>0</v>
      </c>
      <c r="DZ153" s="5">
        <f t="shared" ref="DZ153:DZ157" si="1138">AY153*$E153</f>
        <v>0</v>
      </c>
      <c r="EA153" s="5">
        <f t="shared" ref="EA153:EA157" si="1139">AZ153*$E153</f>
        <v>0</v>
      </c>
      <c r="EB153" s="5">
        <f t="shared" ref="EB153:EB157" si="1140">BA153*$E153</f>
        <v>0</v>
      </c>
      <c r="EC153" s="5">
        <f t="shared" ref="EC153:EC157" si="1141">BD153*$F153</f>
        <v>0</v>
      </c>
      <c r="ED153" s="5">
        <f t="shared" ref="ED153:ED157" si="1142">BE153*$F153</f>
        <v>0</v>
      </c>
      <c r="EE153" s="5">
        <f t="shared" ref="EE153:EE157" si="1143">BF153*$F153</f>
        <v>0</v>
      </c>
      <c r="EF153" s="5">
        <f t="shared" ref="EF153:EF157" si="1144">BG153*$F153</f>
        <v>0</v>
      </c>
      <c r="EG153" s="5">
        <f t="shared" ref="EG153:EG157" si="1145">BH153*$F153</f>
        <v>0</v>
      </c>
      <c r="EH153" s="5">
        <f t="shared" ref="EH153:EH157" si="1146">BK153*$G153</f>
        <v>0</v>
      </c>
      <c r="EI153" s="5">
        <f t="shared" ref="EI153:EI157" si="1147">BL153*$G153</f>
        <v>0</v>
      </c>
      <c r="EJ153" s="5">
        <f t="shared" ref="EJ153:EJ157" si="1148">BM153*$G153</f>
        <v>0</v>
      </c>
      <c r="EK153" s="5">
        <f t="shared" ref="EK153:EK157" si="1149">BN153*$G153</f>
        <v>0</v>
      </c>
      <c r="EL153" s="5">
        <f t="shared" ref="EL153:EL157" si="1150">BO153*$G153</f>
        <v>0</v>
      </c>
      <c r="EM153" s="5">
        <f t="shared" ref="EM153:EM157" si="1151">BR153*$H153</f>
        <v>0</v>
      </c>
      <c r="EN153" s="5">
        <f t="shared" ref="EN153:EN157" si="1152">BS153*$H153</f>
        <v>0</v>
      </c>
      <c r="EO153" s="5">
        <f t="shared" ref="EO153:EO157" si="1153">BT153*$H153</f>
        <v>0</v>
      </c>
      <c r="EP153" s="5">
        <f t="shared" ref="EP153:EP157" si="1154">BU153*$H153</f>
        <v>0</v>
      </c>
      <c r="EQ153" s="5">
        <f t="shared" ref="EQ153:EQ157" si="1155">BV153*$H153</f>
        <v>0</v>
      </c>
      <c r="ER153" s="5">
        <f t="shared" ref="ER153:ER157" si="1156">BY153*$I153</f>
        <v>0</v>
      </c>
      <c r="ES153" s="5">
        <f t="shared" ref="ES153:ES157" si="1157">BZ153*$I153</f>
        <v>0</v>
      </c>
      <c r="ET153" s="5">
        <f t="shared" ref="ET153:ET157" si="1158">CA153*$I153</f>
        <v>0</v>
      </c>
      <c r="EU153" s="5">
        <f t="shared" ref="EU153:EU157" si="1159">CB153*$I153</f>
        <v>0</v>
      </c>
      <c r="EV153" s="5">
        <f t="shared" ref="EV153:EV157" si="1160">CC153*$I153</f>
        <v>0</v>
      </c>
      <c r="EW153" s="5">
        <f t="shared" ref="EW153:EW157" si="1161">CF153*$J153</f>
        <v>0</v>
      </c>
      <c r="EX153" s="5">
        <f t="shared" ref="EX153:EX157" si="1162">CG153*$J153</f>
        <v>0</v>
      </c>
      <c r="EY153" s="5">
        <f t="shared" ref="EY153:EY157" si="1163">CH153*$J153</f>
        <v>0</v>
      </c>
      <c r="EZ153" s="5">
        <f t="shared" ref="EZ153:EZ157" si="1164">CI153*$J153</f>
        <v>0</v>
      </c>
      <c r="FA153" s="5">
        <f t="shared" ref="FA153:FA157" si="1165">CJ153*$J153</f>
        <v>0</v>
      </c>
      <c r="FB153" s="5">
        <f t="shared" ref="FB153:FB157" si="1166">CM153*$K153</f>
        <v>0</v>
      </c>
      <c r="FC153" s="5">
        <f t="shared" ref="FC153:FC157" si="1167">CN153*$K153</f>
        <v>0</v>
      </c>
      <c r="FD153" s="5">
        <f t="shared" ref="FD153:FD157" si="1168">CO153*$K153</f>
        <v>0</v>
      </c>
      <c r="FE153" s="5">
        <f t="shared" ref="FE153:FE157" si="1169">CP153*$K153</f>
        <v>0</v>
      </c>
      <c r="FF153" s="5">
        <f t="shared" ref="FF153:FF157" si="1170">CQ153*$K153</f>
        <v>0</v>
      </c>
      <c r="FG153" s="5">
        <f t="shared" ref="FG153:FG157" si="1171">CT153*$L153</f>
        <v>0</v>
      </c>
      <c r="FH153" s="5">
        <f t="shared" ref="FH153:FH157" si="1172">CU153*$L153</f>
        <v>0</v>
      </c>
      <c r="FI153" s="5">
        <f t="shared" ref="FI153:FI157" si="1173">CV153*$L153</f>
        <v>0</v>
      </c>
      <c r="FJ153" s="5">
        <f t="shared" ref="FJ153:FJ157" si="1174">CW153*$L153</f>
        <v>0</v>
      </c>
      <c r="FK153" s="5">
        <f t="shared" ref="FK153:FK157" si="1175">CX153*$L153</f>
        <v>0</v>
      </c>
      <c r="FL153" s="5">
        <f t="shared" ref="FL153:FL157" si="1176">DA153*$M153</f>
        <v>0</v>
      </c>
      <c r="FM153" s="5">
        <f t="shared" ref="FM153:FM157" si="1177">DB153*$M153</f>
        <v>0</v>
      </c>
      <c r="FN153" s="5">
        <f t="shared" ref="FN153:FN157" si="1178">DC153*$M153</f>
        <v>0</v>
      </c>
      <c r="FO153" s="5">
        <f t="shared" ref="FO153:FO157" si="1179">DD153*$M153</f>
        <v>0</v>
      </c>
      <c r="FP153" s="5">
        <f t="shared" ref="FP153:FP157" si="1180">DE153*$M153</f>
        <v>0</v>
      </c>
    </row>
    <row r="154" spans="1:172" ht="20.100000000000001" customHeight="1" x14ac:dyDescent="0.3">
      <c r="A154" s="8" t="s">
        <v>303</v>
      </c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O154" s="58">
        <f>IFERROR('6'!O$79/Ciclo,0)</f>
        <v>0</v>
      </c>
      <c r="P154" s="58">
        <f>IFERROR('6'!P$79/Ciclo,0)</f>
        <v>0</v>
      </c>
      <c r="Q154" s="58">
        <f>IFERROR('6'!Q$79/Ciclo,0)</f>
        <v>0</v>
      </c>
      <c r="R154" s="58">
        <f>IFERROR('6'!R$79/Ciclo,0)</f>
        <v>0</v>
      </c>
      <c r="S154" s="58">
        <f>IFERROR('6'!S$79/Ciclo,0)</f>
        <v>0</v>
      </c>
      <c r="T154" s="58">
        <f>IFERROR('6'!T$79/Ciclo,0)</f>
        <v>0</v>
      </c>
      <c r="U154" s="58">
        <f>IFERROR('6'!U$79/Ciclo,0)</f>
        <v>0</v>
      </c>
      <c r="V154" s="58">
        <f>IFERROR('6'!V$79/Ciclo,0)</f>
        <v>0</v>
      </c>
      <c r="W154" s="5">
        <f>IFERROR('6'!W$79/Ciclo,0)</f>
        <v>0</v>
      </c>
      <c r="X154" s="5">
        <f>IFERROR('6'!X$79/Ciclo,0)</f>
        <v>0</v>
      </c>
      <c r="Y154" s="5">
        <f>IFERROR('6'!Y$79/Ciclo,0)</f>
        <v>0</v>
      </c>
      <c r="Z154" s="5">
        <f>IFERROR('6'!Z$79/Ciclo,0)</f>
        <v>0</v>
      </c>
      <c r="AB154" s="5">
        <f>IF($B$150="Producción",IF($B154&gt;=LI_A,$O154,0),0)</f>
        <v>0</v>
      </c>
      <c r="AC154" s="5">
        <f>IF($B$150="Producción",IF($B154&gt;=LI_B,IF($B154&lt;LS_B,$O154,0),0),0)</f>
        <v>0</v>
      </c>
      <c r="AD154" s="5">
        <f>IF($B$150="Producción",IF($B154&gt;=LI_C,IF($B154&lt;LS_C,$O154,0),0),0)</f>
        <v>0</v>
      </c>
      <c r="AE154" s="5">
        <f>IF($B$150="Producción",IF($B154&lt;LS_D,$O154,0),0)</f>
        <v>0</v>
      </c>
      <c r="AF154" s="5">
        <f t="shared" ref="AF154:AF157" si="1181">IF($B$150="Crecimiento",$O154,0)</f>
        <v>0</v>
      </c>
      <c r="AI154" s="5">
        <f>IF($C$150="Producción",IF($C154&gt;=LI_A,$P154,0),0)</f>
        <v>0</v>
      </c>
      <c r="AJ154" s="5">
        <f>IF($C$150="Producción",IF($C154&gt;=LI_B,IF($C154&lt;LS_B,$P154,0),0),0)</f>
        <v>0</v>
      </c>
      <c r="AK154" s="5">
        <f>IF($C$150="Producción",IF($C154&gt;=LI_C,IF($C154&lt;LS_C,$P154,0),0),0)</f>
        <v>0</v>
      </c>
      <c r="AL154" s="5">
        <f>IF($C$150="Producción",IF($C154&lt;LS_D,$P154,0),0)</f>
        <v>0</v>
      </c>
      <c r="AM154" s="5">
        <f>IF($C$150="Crecimiento",$P154,0)</f>
        <v>0</v>
      </c>
      <c r="AP154" s="5">
        <f>IF($D$150="Producción",IF($D154&gt;=LI_A,$Q154,0),0)</f>
        <v>0</v>
      </c>
      <c r="AQ154" s="5">
        <f>IF($D$150="Producción",IF($D154&gt;=LI_B,IF($D154&lt;LS_B,$Q154,0),0),0)</f>
        <v>0</v>
      </c>
      <c r="AR154" s="5">
        <f>IF($D$150="Producción",IF($D154&gt;=LI_C,IF($D154&lt;LS_C,$Q154,0),0),0)</f>
        <v>0</v>
      </c>
      <c r="AS154" s="5">
        <f>IF($D$150="Producción",IF($D154&lt;LS_D,$Q154,0),0)</f>
        <v>0</v>
      </c>
      <c r="AT154" s="5">
        <f>IF($D$150="Crecimiento",IF($D154&gt;0,$Q154,0),0)</f>
        <v>0</v>
      </c>
      <c r="AW154" s="5">
        <f>IF($E$150="Producción",IF($E154&gt;=LI_A,$R154,0),0)</f>
        <v>0</v>
      </c>
      <c r="AX154" s="5">
        <f>IF($E$150="Producción",IF($E154&gt;=LI_B,IF($E154&lt;LS_B,$R154,0),0),0)</f>
        <v>0</v>
      </c>
      <c r="AY154" s="5">
        <f>IF($E$150="Producción",IF($E154&gt;=LI_C,IF($E154&lt;LS_C,$R154,0),0),0)</f>
        <v>0</v>
      </c>
      <c r="AZ154" s="5">
        <f>IF($E$150="Producción",IF($E154&lt;LS_D,$R154,0),0)</f>
        <v>0</v>
      </c>
      <c r="BA154" s="5">
        <f>IF($E$150="Crecimiento",$R154,0)</f>
        <v>0</v>
      </c>
      <c r="BD154" s="5">
        <f>IF($F$150="Producción",IF($F154&gt;=LI_A,$S154,0),0)</f>
        <v>0</v>
      </c>
      <c r="BE154" s="5">
        <f>IF($F$150="Producción",IF($F154&gt;=LI_B,IF($F154&lt;LS_B,$S154,0),0),0)</f>
        <v>0</v>
      </c>
      <c r="BF154" s="5">
        <f>IF($F$150="Producción",IF($F154&gt;=LI_C,IF($F154&lt;LS_C,$S154,0),0),0)</f>
        <v>0</v>
      </c>
      <c r="BG154" s="5">
        <f>IF($F$150="Producción",IF($F154&lt;LS_D,$S154,0),0)</f>
        <v>0</v>
      </c>
      <c r="BH154" s="5">
        <f>IF($F$150="Crecimiento",$S154,0)</f>
        <v>0</v>
      </c>
      <c r="BK154" s="5">
        <f>IF($G$150="Producción",IF($G154&gt;=LI_A,$T154,0),0)</f>
        <v>0</v>
      </c>
      <c r="BL154" s="5">
        <f>IF($G$150="Producción",IF($G154&gt;=LI_B,IF($G154&lt;LS_B,$T154,0),0),0)</f>
        <v>0</v>
      </c>
      <c r="BM154" s="5">
        <f>IF($G$150="Producción",IF($G154&gt;=LI_C,IF($G154&lt;LS_C,$T154,0),0),0)</f>
        <v>0</v>
      </c>
      <c r="BN154" s="5">
        <f>IF($G$150="Producción",IF($G154&lt;LS_D,$T154,0),0)</f>
        <v>0</v>
      </c>
      <c r="BO154" s="5">
        <f>IF($G$150="Crecimiento",$T154,0)</f>
        <v>0</v>
      </c>
      <c r="BR154" s="5">
        <f>IF($H$150="Producción",IF($H154&gt;=LI_A,$U154,0),0)</f>
        <v>0</v>
      </c>
      <c r="BS154" s="5">
        <f>IF($H$150="Producción",IF($H154&gt;=LI_B,IF($H154&lt;LS_B,$U154,0),0),0)</f>
        <v>0</v>
      </c>
      <c r="BT154" s="5">
        <f>IF($H$150="Producción",IF($H154&gt;=LI_C,IF($H154&lt;LS_C,$U154,0),0),0)</f>
        <v>0</v>
      </c>
      <c r="BU154" s="5">
        <f>IF($H$150="Producción",IF($H154&lt;LS_D,$U154,0),0)</f>
        <v>0</v>
      </c>
      <c r="BV154" s="5">
        <f>IF($H$150="Crecimiento",$T154,0)</f>
        <v>0</v>
      </c>
      <c r="BY154" s="5">
        <f>IF($I$150="Producción",IF($I154&gt;=LI_A,$V154,0),0)</f>
        <v>0</v>
      </c>
      <c r="BZ154" s="5">
        <f>IF($I$150="Producción",IF($I154&gt;=LI_B,IF($I154&lt;LS_B,$V154,0),0),0)</f>
        <v>0</v>
      </c>
      <c r="CA154" s="5">
        <f>IF($I$150="Producción",IF($I154&gt;=LI_C,IF($I154&lt;LS_C,$V154,0),0),0)</f>
        <v>0</v>
      </c>
      <c r="CB154" s="5">
        <f>IF($I$150="Producción",IF($I154&lt;LS_D,$V154,0),0)</f>
        <v>0</v>
      </c>
      <c r="CC154" s="5">
        <f>IF($I$150="Crecimiento",$V154,0)</f>
        <v>0</v>
      </c>
      <c r="CF154" s="5">
        <f>IF($J$150="Producción",IF($J154&gt;=LI_A,$W154,0),0)</f>
        <v>0</v>
      </c>
      <c r="CG154" s="5">
        <f>IF($J$150="Producción",IF($J154&gt;=LI_B,IF($J154&lt;LS_B,$W154,0),0),0)</f>
        <v>0</v>
      </c>
      <c r="CH154" s="5">
        <f>IF($J$150="Producción",IF($J154&gt;=LI_C,IF($J154&lt;LS_C,$W154,0),0),0)</f>
        <v>0</v>
      </c>
      <c r="CI154" s="5">
        <f>IF($J$150="Producción",IF($J154&lt;LS_D,$W154,0),0)</f>
        <v>0</v>
      </c>
      <c r="CJ154" s="5">
        <f>IF($J$150="Crecimiento",$W154,0)</f>
        <v>0</v>
      </c>
      <c r="CM154" s="5">
        <f>IF($K$150="Producción",IF($K154&gt;=LI_A,$X154,0),0)</f>
        <v>0</v>
      </c>
      <c r="CN154" s="5">
        <f>IF($K$150="Producción",IF($K154&gt;=LI_B,IF($K154&lt;LS_B,$X154,0),0),0)</f>
        <v>0</v>
      </c>
      <c r="CO154" s="5">
        <f>IF($K$150="Producción",IF($K154&gt;=LI_C,IF($K154&lt;LS_C,$X154,0),0),0)</f>
        <v>0</v>
      </c>
      <c r="CP154" s="5">
        <f>IF($K$150="Producción",IF($K154&lt;LS_D,$X154,0),0)</f>
        <v>0</v>
      </c>
      <c r="CQ154" s="5">
        <f>IF($K$150="Crecimiento",$X154,0)</f>
        <v>0</v>
      </c>
      <c r="CT154" s="5">
        <f>IF($L$150="Producción",IF($L154&gt;=LI_A,$Y154,0),0)</f>
        <v>0</v>
      </c>
      <c r="CU154" s="5">
        <f>IF($L$150="Producción",IF($L154&gt;=LI_B,IF($L154&lt;LS_B,$Y154,0),0),0)</f>
        <v>0</v>
      </c>
      <c r="CV154" s="5">
        <f>IF($L$150="Producción",IF($L154&gt;=LI_C,IF($L154&lt;LS_C,$Y154,0),0),0)</f>
        <v>0</v>
      </c>
      <c r="CW154" s="5">
        <f>IF($L$150="Producción",IF($L154&lt;LS_D,$Y154,0),0)</f>
        <v>0</v>
      </c>
      <c r="CX154" s="5">
        <f>IF($L$150="Crecimiento",$Y154,0)</f>
        <v>0</v>
      </c>
      <c r="DA154" s="5">
        <f>IF($M$150="Producción",IF($M154&gt;=LI_A,$Z154,0),0)</f>
        <v>0</v>
      </c>
      <c r="DB154" s="5">
        <f>IF($M$150="Producción",IF($M154&gt;=LI_B,IF($M154&lt;LS_B,$Z154,0),0),0)</f>
        <v>0</v>
      </c>
      <c r="DC154" s="5">
        <f>IF($M$150="Producción",IF($M154&gt;=LI_C,IF($M154&lt;LS_C,$Z154,0),0),0)</f>
        <v>0</v>
      </c>
      <c r="DD154" s="5">
        <f>IF($M$150="Producción",IF($M154&lt;LS_D,$Z154,0),0)</f>
        <v>0</v>
      </c>
      <c r="DE154" s="5">
        <f>IF($M$150="Crecimiento",$Z154,0)</f>
        <v>0</v>
      </c>
      <c r="DI154" s="5">
        <f t="shared" si="1121"/>
        <v>0</v>
      </c>
      <c r="DJ154" s="5">
        <f t="shared" si="1122"/>
        <v>0</v>
      </c>
      <c r="DK154" s="5">
        <f t="shared" si="1123"/>
        <v>0</v>
      </c>
      <c r="DL154" s="5">
        <f t="shared" si="1124"/>
        <v>0</v>
      </c>
      <c r="DM154" s="5">
        <f t="shared" si="1125"/>
        <v>0</v>
      </c>
      <c r="DN154" s="5">
        <f t="shared" si="1126"/>
        <v>0</v>
      </c>
      <c r="DO154" s="5">
        <f t="shared" si="1127"/>
        <v>0</v>
      </c>
      <c r="DP154" s="5">
        <f t="shared" si="1128"/>
        <v>0</v>
      </c>
      <c r="DQ154" s="5">
        <f t="shared" si="1129"/>
        <v>0</v>
      </c>
      <c r="DR154" s="5">
        <f t="shared" si="1130"/>
        <v>0</v>
      </c>
      <c r="DS154" s="5">
        <f t="shared" si="1131"/>
        <v>0</v>
      </c>
      <c r="DT154" s="5">
        <f t="shared" si="1132"/>
        <v>0</v>
      </c>
      <c r="DU154" s="5">
        <f t="shared" si="1133"/>
        <v>0</v>
      </c>
      <c r="DV154" s="5">
        <f t="shared" si="1134"/>
        <v>0</v>
      </c>
      <c r="DW154" s="5">
        <f t="shared" si="1135"/>
        <v>0</v>
      </c>
      <c r="DX154" s="5">
        <f t="shared" si="1136"/>
        <v>0</v>
      </c>
      <c r="DY154" s="5">
        <f t="shared" si="1137"/>
        <v>0</v>
      </c>
      <c r="DZ154" s="5">
        <f t="shared" si="1138"/>
        <v>0</v>
      </c>
      <c r="EA154" s="5">
        <f t="shared" si="1139"/>
        <v>0</v>
      </c>
      <c r="EB154" s="5">
        <f t="shared" si="1140"/>
        <v>0</v>
      </c>
      <c r="EC154" s="5">
        <f t="shared" si="1141"/>
        <v>0</v>
      </c>
      <c r="ED154" s="5">
        <f t="shared" si="1142"/>
        <v>0</v>
      </c>
      <c r="EE154" s="5">
        <f t="shared" si="1143"/>
        <v>0</v>
      </c>
      <c r="EF154" s="5">
        <f t="shared" si="1144"/>
        <v>0</v>
      </c>
      <c r="EG154" s="5">
        <f t="shared" si="1145"/>
        <v>0</v>
      </c>
      <c r="EH154" s="5">
        <f t="shared" si="1146"/>
        <v>0</v>
      </c>
      <c r="EI154" s="5">
        <f t="shared" si="1147"/>
        <v>0</v>
      </c>
      <c r="EJ154" s="5">
        <f t="shared" si="1148"/>
        <v>0</v>
      </c>
      <c r="EK154" s="5">
        <f t="shared" si="1149"/>
        <v>0</v>
      </c>
      <c r="EL154" s="5">
        <f t="shared" si="1150"/>
        <v>0</v>
      </c>
      <c r="EM154" s="5">
        <f t="shared" si="1151"/>
        <v>0</v>
      </c>
      <c r="EN154" s="5">
        <f t="shared" si="1152"/>
        <v>0</v>
      </c>
      <c r="EO154" s="5">
        <f t="shared" si="1153"/>
        <v>0</v>
      </c>
      <c r="EP154" s="5">
        <f t="shared" si="1154"/>
        <v>0</v>
      </c>
      <c r="EQ154" s="5">
        <f t="shared" si="1155"/>
        <v>0</v>
      </c>
      <c r="ER154" s="5">
        <f t="shared" si="1156"/>
        <v>0</v>
      </c>
      <c r="ES154" s="5">
        <f t="shared" si="1157"/>
        <v>0</v>
      </c>
      <c r="ET154" s="5">
        <f t="shared" si="1158"/>
        <v>0</v>
      </c>
      <c r="EU154" s="5">
        <f t="shared" si="1159"/>
        <v>0</v>
      </c>
      <c r="EV154" s="5">
        <f t="shared" si="1160"/>
        <v>0</v>
      </c>
      <c r="EW154" s="5">
        <f t="shared" si="1161"/>
        <v>0</v>
      </c>
      <c r="EX154" s="5">
        <f t="shared" si="1162"/>
        <v>0</v>
      </c>
      <c r="EY154" s="5">
        <f t="shared" si="1163"/>
        <v>0</v>
      </c>
      <c r="EZ154" s="5">
        <f t="shared" si="1164"/>
        <v>0</v>
      </c>
      <c r="FA154" s="5">
        <f t="shared" si="1165"/>
        <v>0</v>
      </c>
      <c r="FB154" s="5">
        <f t="shared" si="1166"/>
        <v>0</v>
      </c>
      <c r="FC154" s="5">
        <f t="shared" si="1167"/>
        <v>0</v>
      </c>
      <c r="FD154" s="5">
        <f t="shared" si="1168"/>
        <v>0</v>
      </c>
      <c r="FE154" s="5">
        <f t="shared" si="1169"/>
        <v>0</v>
      </c>
      <c r="FF154" s="5">
        <f t="shared" si="1170"/>
        <v>0</v>
      </c>
      <c r="FG154" s="5">
        <f t="shared" si="1171"/>
        <v>0</v>
      </c>
      <c r="FH154" s="5">
        <f t="shared" si="1172"/>
        <v>0</v>
      </c>
      <c r="FI154" s="5">
        <f t="shared" si="1173"/>
        <v>0</v>
      </c>
      <c r="FJ154" s="5">
        <f t="shared" si="1174"/>
        <v>0</v>
      </c>
      <c r="FK154" s="5">
        <f t="shared" si="1175"/>
        <v>0</v>
      </c>
      <c r="FL154" s="5">
        <f t="shared" si="1176"/>
        <v>0</v>
      </c>
      <c r="FM154" s="5">
        <f t="shared" si="1177"/>
        <v>0</v>
      </c>
      <c r="FN154" s="5">
        <f t="shared" si="1178"/>
        <v>0</v>
      </c>
      <c r="FO154" s="5">
        <f t="shared" si="1179"/>
        <v>0</v>
      </c>
      <c r="FP154" s="5">
        <f t="shared" si="1180"/>
        <v>0</v>
      </c>
    </row>
    <row r="155" spans="1:172" ht="20.100000000000001" customHeight="1" x14ac:dyDescent="0.3">
      <c r="A155" s="8" t="str">
        <f>IF(Ciclo&gt;2,"Surco 3","NA")</f>
        <v>Surco 3</v>
      </c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O155" s="58">
        <f>IF($A155="NA",0,IFERROR('6'!O$79/Ciclo,0))</f>
        <v>0</v>
      </c>
      <c r="P155" s="58">
        <f>IF($A155="NA",0,IFERROR('6'!P$79/Ciclo,0))</f>
        <v>0</v>
      </c>
      <c r="Q155" s="58">
        <f>IF($A155="NA",0,IFERROR('6'!Q$79/Ciclo,0))</f>
        <v>0</v>
      </c>
      <c r="R155" s="58">
        <f>IF($A155="NA",0,IFERROR('6'!R$79/Ciclo,0))</f>
        <v>0</v>
      </c>
      <c r="S155" s="58">
        <f>IF($A155="NA",0,IFERROR('6'!S$79/Ciclo,0))</f>
        <v>0</v>
      </c>
      <c r="T155" s="58">
        <f>IF($A155="NA",0,IFERROR('6'!T$79/Ciclo,0))</f>
        <v>0</v>
      </c>
      <c r="U155" s="58">
        <f>IF($A155="NA",0,IFERROR('6'!U$79/Ciclo,0))</f>
        <v>0</v>
      </c>
      <c r="V155" s="58">
        <f>IF($A155="NA",0,IFERROR('6'!V$79/Ciclo,0))</f>
        <v>0</v>
      </c>
      <c r="W155" s="5">
        <f>IF($A155="NA",0,IFERROR('6'!W$79/Ciclo,0))</f>
        <v>0</v>
      </c>
      <c r="X155" s="5">
        <f>IF($A155="NA",0,IFERROR('6'!X$79/Ciclo,0))</f>
        <v>0</v>
      </c>
      <c r="Y155" s="5">
        <f>IF($A155="NA",0,IFERROR('6'!Y$79/Ciclo,0))</f>
        <v>0</v>
      </c>
      <c r="Z155" s="5">
        <f>IF($A155="NA",0,IFERROR('6'!Z$79/Ciclo,0))</f>
        <v>0</v>
      </c>
      <c r="AB155" s="5">
        <f>IF($B$150="Producción",IF($B155&gt;=LI_A,$O155,0),0)</f>
        <v>0</v>
      </c>
      <c r="AC155" s="5">
        <f>IF($B$150="Producción",IF($B155&gt;=LI_B,IF($B155&lt;LS_B,$O155,0),0),0)</f>
        <v>0</v>
      </c>
      <c r="AD155" s="5">
        <f>IF($B$150="Producción",IF($B155&gt;=LI_C,IF($B155&lt;LS_C,$O155,0),0),0)</f>
        <v>0</v>
      </c>
      <c r="AE155" s="5">
        <f>IF($B$150="Producción",IF($B155&lt;LS_D,$O155,0),0)</f>
        <v>0</v>
      </c>
      <c r="AF155" s="5">
        <f t="shared" si="1181"/>
        <v>0</v>
      </c>
      <c r="AI155" s="5">
        <f>IF($C$150="Producción",IF($C155&gt;=LI_A,$P155,0),0)</f>
        <v>0</v>
      </c>
      <c r="AJ155" s="5">
        <f>IF($C$150="Producción",IF($C155&gt;=LI_B,IF($C155&lt;LS_B,$P155,0),0),0)</f>
        <v>0</v>
      </c>
      <c r="AK155" s="5">
        <f>IF($C$150="Producción",IF($C155&gt;=LI_C,IF($C155&lt;LS_C,$P155,0),0),0)</f>
        <v>0</v>
      </c>
      <c r="AL155" s="5">
        <f>IF($C$150="Producción",IF($C155&lt;LS_D,$P155,0),0)</f>
        <v>0</v>
      </c>
      <c r="AM155" s="5">
        <f>IF($C$150="Crecimiento",$P155,0)</f>
        <v>0</v>
      </c>
      <c r="AP155" s="5">
        <f>IF($D$150="Producción",IF($D155&gt;=LI_A,$Q155,0),0)</f>
        <v>0</v>
      </c>
      <c r="AQ155" s="5">
        <f>IF($D$150="Producción",IF($D155&gt;=LI_B,IF($D155&lt;LS_B,$Q155,0),0),0)</f>
        <v>0</v>
      </c>
      <c r="AR155" s="5">
        <f>IF($D$150="Producción",IF($D155&gt;=LI_C,IF($D155&lt;LS_C,$Q155,0),0),0)</f>
        <v>0</v>
      </c>
      <c r="AS155" s="5">
        <f>IF($D$150="Producción",IF($D155&lt;LS_D,$Q155,0),0)</f>
        <v>0</v>
      </c>
      <c r="AT155" s="5">
        <f>IF($D$150="Crecimiento",IF($D155&gt;0,$Q155,0),0)</f>
        <v>0</v>
      </c>
      <c r="AW155" s="5">
        <f>IF($E$150="Producción",IF($E155&gt;=LI_A,$R155,0),0)</f>
        <v>0</v>
      </c>
      <c r="AX155" s="5">
        <f>IF($E$150="Producción",IF($E155&gt;=LI_B,IF($E155&lt;LS_B,$R155,0),0),0)</f>
        <v>0</v>
      </c>
      <c r="AY155" s="5">
        <f>IF($E$150="Producción",IF($E155&gt;=LI_C,IF($E155&lt;LS_C,$R155,0),0),0)</f>
        <v>0</v>
      </c>
      <c r="AZ155" s="5">
        <f>IF($E$150="Producción",IF($E155&lt;LS_D,$R155,0),0)</f>
        <v>0</v>
      </c>
      <c r="BA155" s="5">
        <f>IF($E$150="Crecimiento",$R155,0)</f>
        <v>0</v>
      </c>
      <c r="BD155" s="5">
        <f>IF($F$150="Producción",IF($F155&gt;=LI_A,$S155,0),0)</f>
        <v>0</v>
      </c>
      <c r="BE155" s="5">
        <f>IF($F$150="Producción",IF($F155&gt;=LI_B,IF($F155&lt;LS_B,$S155,0),0),0)</f>
        <v>0</v>
      </c>
      <c r="BF155" s="5">
        <f>IF($F$150="Producción",IF($F155&gt;=LI_C,IF($F155&lt;LS_C,$S155,0),0),0)</f>
        <v>0</v>
      </c>
      <c r="BG155" s="5">
        <f>IF($F$150="Producción",IF($F155&lt;LS_D,$S155,0),0)</f>
        <v>0</v>
      </c>
      <c r="BH155" s="5">
        <f>IF($F$150="Crecimiento",$S155,0)</f>
        <v>0</v>
      </c>
      <c r="BK155" s="5">
        <f>IF($G$150="Producción",IF($G155&gt;=LI_A,$T155,0),0)</f>
        <v>0</v>
      </c>
      <c r="BL155" s="5">
        <f>IF($G$150="Producción",IF($G155&gt;=LI_B,IF($G155&lt;LS_B,$T155,0),0),0)</f>
        <v>0</v>
      </c>
      <c r="BM155" s="5">
        <f>IF($G$150="Producción",IF($G155&gt;=LI_C,IF($G155&lt;LS_C,$T155,0),0),0)</f>
        <v>0</v>
      </c>
      <c r="BN155" s="5">
        <f>IF($G$150="Producción",IF($G155&lt;LS_D,$T155,0),0)</f>
        <v>0</v>
      </c>
      <c r="BO155" s="5">
        <f>IF($G$150="Crecimiento",$T155,0)</f>
        <v>0</v>
      </c>
      <c r="BR155" s="5">
        <f>IF($H$150="Producción",IF($H155&gt;=LI_A,$U155,0),0)</f>
        <v>0</v>
      </c>
      <c r="BS155" s="5">
        <f>IF($H$150="Producción",IF($H155&gt;=LI_B,IF($H155&lt;LS_B,$U155,0),0),0)</f>
        <v>0</v>
      </c>
      <c r="BT155" s="5">
        <f>IF($H$150="Producción",IF($H155&gt;=LI_C,IF($H155&lt;LS_C,$U155,0),0),0)</f>
        <v>0</v>
      </c>
      <c r="BU155" s="5">
        <f>IF($H$150="Producción",IF($H155&lt;LS_D,$U155,0),0)</f>
        <v>0</v>
      </c>
      <c r="BV155" s="5">
        <f>IF($H$150="Crecimiento",$T155,0)</f>
        <v>0</v>
      </c>
      <c r="BY155" s="5">
        <f>IF($I$150="Producción",IF($I155&gt;=LI_A,$V155,0),0)</f>
        <v>0</v>
      </c>
      <c r="BZ155" s="5">
        <f>IF($I$150="Producción",IF($I155&gt;=LI_B,IF($I155&lt;LS_B,$V155,0),0),0)</f>
        <v>0</v>
      </c>
      <c r="CA155" s="5">
        <f>IF($I$150="Producción",IF($I155&gt;=LI_C,IF($I155&lt;LS_C,$V155,0),0),0)</f>
        <v>0</v>
      </c>
      <c r="CB155" s="5">
        <f>IF($I$150="Producción",IF($I155&lt;LS_D,$V155,0),0)</f>
        <v>0</v>
      </c>
      <c r="CC155" s="5">
        <f>IF($I$150="Crecimiento",$V155,0)</f>
        <v>0</v>
      </c>
      <c r="CF155" s="5">
        <f>IF($J$150="Producción",IF($J155&gt;=LI_A,$W155,0),0)</f>
        <v>0</v>
      </c>
      <c r="CG155" s="5">
        <f>IF($J$150="Producción",IF($J155&gt;=LI_B,IF($J155&lt;LS_B,$W155,0),0),0)</f>
        <v>0</v>
      </c>
      <c r="CH155" s="5">
        <f>IF($J$150="Producción",IF($J155&gt;=LI_C,IF($J155&lt;LS_C,$W155,0),0),0)</f>
        <v>0</v>
      </c>
      <c r="CI155" s="5">
        <f>IF($J$150="Producción",IF($J155&lt;LS_D,$W155,0),0)</f>
        <v>0</v>
      </c>
      <c r="CJ155" s="5">
        <f>IF($J$150="Crecimiento",$W155,0)</f>
        <v>0</v>
      </c>
      <c r="CM155" s="5">
        <f>IF($K$150="Producción",IF($K155&gt;=LI_A,$X155,0),0)</f>
        <v>0</v>
      </c>
      <c r="CN155" s="5">
        <f>IF($K$150="Producción",IF($K155&gt;=LI_B,IF($K155&lt;LS_B,$X155,0),0),0)</f>
        <v>0</v>
      </c>
      <c r="CO155" s="5">
        <f>IF($K$150="Producción",IF($K155&gt;=LI_C,IF($K155&lt;LS_C,$X155,0),0),0)</f>
        <v>0</v>
      </c>
      <c r="CP155" s="5">
        <f>IF($K$150="Producción",IF($K155&lt;LS_D,$X155,0),0)</f>
        <v>0</v>
      </c>
      <c r="CQ155" s="5">
        <f>IF($K$150="Crecimiento",$X155,0)</f>
        <v>0</v>
      </c>
      <c r="CT155" s="5">
        <f>IF($L$150="Producción",IF($L155&gt;=LI_A,$Y155,0),0)</f>
        <v>0</v>
      </c>
      <c r="CU155" s="5">
        <f>IF($L$150="Producción",IF($L155&gt;=LI_B,IF($L155&lt;LS_B,$Y155,0),0),0)</f>
        <v>0</v>
      </c>
      <c r="CV155" s="5">
        <f>IF($L$150="Producción",IF($L155&gt;=LI_C,IF($L155&lt;LS_C,$Y155,0),0),0)</f>
        <v>0</v>
      </c>
      <c r="CW155" s="5">
        <f>IF($L$150="Producción",IF($L155&lt;LS_D,$Y155,0),0)</f>
        <v>0</v>
      </c>
      <c r="CX155" s="5">
        <f>IF($L$150="Crecimiento",$Y155,0)</f>
        <v>0</v>
      </c>
      <c r="DA155" s="5">
        <f>IF($M$150="Producción",IF($M155&gt;=LI_A,$Z155,0),0)</f>
        <v>0</v>
      </c>
      <c r="DB155" s="5">
        <f>IF($M$150="Producción",IF($M155&gt;=LI_B,IF($M155&lt;LS_B,$Z155,0),0),0)</f>
        <v>0</v>
      </c>
      <c r="DC155" s="5">
        <f>IF($M$150="Producción",IF($M155&gt;=LI_C,IF($M155&lt;LS_C,$Z155,0),0),0)</f>
        <v>0</v>
      </c>
      <c r="DD155" s="5">
        <f>IF($M$150="Producción",IF($M155&lt;LS_D,$Z155,0),0)</f>
        <v>0</v>
      </c>
      <c r="DE155" s="5">
        <f>IF($M$150="Crecimiento",$Z155,0)</f>
        <v>0</v>
      </c>
      <c r="DI155" s="5">
        <f t="shared" si="1121"/>
        <v>0</v>
      </c>
      <c r="DJ155" s="5">
        <f t="shared" si="1122"/>
        <v>0</v>
      </c>
      <c r="DK155" s="5">
        <f t="shared" si="1123"/>
        <v>0</v>
      </c>
      <c r="DL155" s="5">
        <f t="shared" si="1124"/>
        <v>0</v>
      </c>
      <c r="DM155" s="5">
        <f t="shared" si="1125"/>
        <v>0</v>
      </c>
      <c r="DN155" s="5">
        <f t="shared" si="1126"/>
        <v>0</v>
      </c>
      <c r="DO155" s="5">
        <f t="shared" si="1127"/>
        <v>0</v>
      </c>
      <c r="DP155" s="5">
        <f t="shared" si="1128"/>
        <v>0</v>
      </c>
      <c r="DQ155" s="5">
        <f t="shared" si="1129"/>
        <v>0</v>
      </c>
      <c r="DR155" s="5">
        <f t="shared" si="1130"/>
        <v>0</v>
      </c>
      <c r="DS155" s="5">
        <f t="shared" si="1131"/>
        <v>0</v>
      </c>
      <c r="DT155" s="5">
        <f t="shared" si="1132"/>
        <v>0</v>
      </c>
      <c r="DU155" s="5">
        <f t="shared" si="1133"/>
        <v>0</v>
      </c>
      <c r="DV155" s="5">
        <f t="shared" si="1134"/>
        <v>0</v>
      </c>
      <c r="DW155" s="5">
        <f t="shared" si="1135"/>
        <v>0</v>
      </c>
      <c r="DX155" s="5">
        <f t="shared" si="1136"/>
        <v>0</v>
      </c>
      <c r="DY155" s="5">
        <f t="shared" si="1137"/>
        <v>0</v>
      </c>
      <c r="DZ155" s="5">
        <f t="shared" si="1138"/>
        <v>0</v>
      </c>
      <c r="EA155" s="5">
        <f t="shared" si="1139"/>
        <v>0</v>
      </c>
      <c r="EB155" s="5">
        <f t="shared" si="1140"/>
        <v>0</v>
      </c>
      <c r="EC155" s="5">
        <f t="shared" si="1141"/>
        <v>0</v>
      </c>
      <c r="ED155" s="5">
        <f t="shared" si="1142"/>
        <v>0</v>
      </c>
      <c r="EE155" s="5">
        <f t="shared" si="1143"/>
        <v>0</v>
      </c>
      <c r="EF155" s="5">
        <f t="shared" si="1144"/>
        <v>0</v>
      </c>
      <c r="EG155" s="5">
        <f t="shared" si="1145"/>
        <v>0</v>
      </c>
      <c r="EH155" s="5">
        <f t="shared" si="1146"/>
        <v>0</v>
      </c>
      <c r="EI155" s="5">
        <f t="shared" si="1147"/>
        <v>0</v>
      </c>
      <c r="EJ155" s="5">
        <f t="shared" si="1148"/>
        <v>0</v>
      </c>
      <c r="EK155" s="5">
        <f t="shared" si="1149"/>
        <v>0</v>
      </c>
      <c r="EL155" s="5">
        <f t="shared" si="1150"/>
        <v>0</v>
      </c>
      <c r="EM155" s="5">
        <f t="shared" si="1151"/>
        <v>0</v>
      </c>
      <c r="EN155" s="5">
        <f t="shared" si="1152"/>
        <v>0</v>
      </c>
      <c r="EO155" s="5">
        <f t="shared" si="1153"/>
        <v>0</v>
      </c>
      <c r="EP155" s="5">
        <f t="shared" si="1154"/>
        <v>0</v>
      </c>
      <c r="EQ155" s="5">
        <f t="shared" si="1155"/>
        <v>0</v>
      </c>
      <c r="ER155" s="5">
        <f t="shared" si="1156"/>
        <v>0</v>
      </c>
      <c r="ES155" s="5">
        <f t="shared" si="1157"/>
        <v>0</v>
      </c>
      <c r="ET155" s="5">
        <f t="shared" si="1158"/>
        <v>0</v>
      </c>
      <c r="EU155" s="5">
        <f t="shared" si="1159"/>
        <v>0</v>
      </c>
      <c r="EV155" s="5">
        <f t="shared" si="1160"/>
        <v>0</v>
      </c>
      <c r="EW155" s="5">
        <f t="shared" si="1161"/>
        <v>0</v>
      </c>
      <c r="EX155" s="5">
        <f t="shared" si="1162"/>
        <v>0</v>
      </c>
      <c r="EY155" s="5">
        <f t="shared" si="1163"/>
        <v>0</v>
      </c>
      <c r="EZ155" s="5">
        <f t="shared" si="1164"/>
        <v>0</v>
      </c>
      <c r="FA155" s="5">
        <f t="shared" si="1165"/>
        <v>0</v>
      </c>
      <c r="FB155" s="5">
        <f t="shared" si="1166"/>
        <v>0</v>
      </c>
      <c r="FC155" s="5">
        <f t="shared" si="1167"/>
        <v>0</v>
      </c>
      <c r="FD155" s="5">
        <f t="shared" si="1168"/>
        <v>0</v>
      </c>
      <c r="FE155" s="5">
        <f t="shared" si="1169"/>
        <v>0</v>
      </c>
      <c r="FF155" s="5">
        <f t="shared" si="1170"/>
        <v>0</v>
      </c>
      <c r="FG155" s="5">
        <f t="shared" si="1171"/>
        <v>0</v>
      </c>
      <c r="FH155" s="5">
        <f t="shared" si="1172"/>
        <v>0</v>
      </c>
      <c r="FI155" s="5">
        <f t="shared" si="1173"/>
        <v>0</v>
      </c>
      <c r="FJ155" s="5">
        <f t="shared" si="1174"/>
        <v>0</v>
      </c>
      <c r="FK155" s="5">
        <f t="shared" si="1175"/>
        <v>0</v>
      </c>
      <c r="FL155" s="5">
        <f t="shared" si="1176"/>
        <v>0</v>
      </c>
      <c r="FM155" s="5">
        <f t="shared" si="1177"/>
        <v>0</v>
      </c>
      <c r="FN155" s="5">
        <f t="shared" si="1178"/>
        <v>0</v>
      </c>
      <c r="FO155" s="5">
        <f t="shared" si="1179"/>
        <v>0</v>
      </c>
      <c r="FP155" s="5">
        <f t="shared" si="1180"/>
        <v>0</v>
      </c>
    </row>
    <row r="156" spans="1:172" ht="20.100000000000001" customHeight="1" x14ac:dyDescent="0.3">
      <c r="A156" s="8" t="str">
        <f>IF(Ciclo=4,"Surco 4",IF(Ciclo=5,"Surco 4","NA"))</f>
        <v>NA</v>
      </c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O156" s="58">
        <f>IF($A156="NA",0,IFERROR('6'!O$79/Ciclo,0))</f>
        <v>0</v>
      </c>
      <c r="P156" s="58">
        <f>IF($A156="NA",0,IFERROR('6'!P$79/Ciclo,0))</f>
        <v>0</v>
      </c>
      <c r="Q156" s="58">
        <f>IF($A156="NA",0,IFERROR('6'!Q$79/Ciclo,0))</f>
        <v>0</v>
      </c>
      <c r="R156" s="58">
        <f>IF($A156="NA",0,IFERROR('6'!R$79/Ciclo,0))</f>
        <v>0</v>
      </c>
      <c r="S156" s="58">
        <f>IF($A156="NA",0,IFERROR('6'!S$79/Ciclo,0))</f>
        <v>0</v>
      </c>
      <c r="T156" s="58">
        <f>IF($A156="NA",0,IFERROR('6'!T$79/Ciclo,0))</f>
        <v>0</v>
      </c>
      <c r="U156" s="58">
        <f>IF($A156="NA",0,IFERROR('6'!U$79/Ciclo,0))</f>
        <v>0</v>
      </c>
      <c r="V156" s="58">
        <f>IF($A156="NA",0,IFERROR('6'!V$79/Ciclo,0))</f>
        <v>0</v>
      </c>
      <c r="W156" s="5">
        <f>IF($A156="NA",0,IFERROR('6'!W$79/Ciclo,0))</f>
        <v>0</v>
      </c>
      <c r="X156" s="5">
        <f>IF($A156="NA",0,IFERROR('6'!X$79/Ciclo,0))</f>
        <v>0</v>
      </c>
      <c r="Y156" s="5">
        <f>IF($A156="NA",0,IFERROR('6'!Y$79/Ciclo,0))</f>
        <v>0</v>
      </c>
      <c r="Z156" s="5">
        <f>IF($A156="NA",0,IFERROR('6'!Z$79/Ciclo,0))</f>
        <v>0</v>
      </c>
      <c r="AB156" s="5">
        <f>IF($B$150="Producción",IF($B156&gt;=LI_A,$O156,0),0)</f>
        <v>0</v>
      </c>
      <c r="AC156" s="5">
        <f>IF($B$150="Producción",IF($B156&gt;=LI_B,IF($B156&lt;LS_B,$O156,0),0),0)</f>
        <v>0</v>
      </c>
      <c r="AD156" s="5">
        <f>IF($B$150="Producción",IF($B156&gt;=LI_C,IF($B156&lt;LS_C,$O156,0),0),0)</f>
        <v>0</v>
      </c>
      <c r="AE156" s="5">
        <f>IF($B$150="Producción",IF($B156&lt;LS_D,$O156,0),0)</f>
        <v>0</v>
      </c>
      <c r="AF156" s="5">
        <f t="shared" si="1181"/>
        <v>0</v>
      </c>
      <c r="AI156" s="5">
        <f>IF($C$150="Producción",IF($C156&gt;=LI_A,$P156,0),0)</f>
        <v>0</v>
      </c>
      <c r="AJ156" s="5">
        <f>IF($C$150="Producción",IF($C156&gt;=LI_B,IF($C156&lt;LS_B,$P156,0),0),0)</f>
        <v>0</v>
      </c>
      <c r="AK156" s="5">
        <f>IF($C$150="Producción",IF($C156&gt;=LI_C,IF($C156&lt;LS_C,$P156,0),0),0)</f>
        <v>0</v>
      </c>
      <c r="AL156" s="5">
        <f>IF($C$150="Producción",IF($C156&lt;LS_D,$P156,0),0)</f>
        <v>0</v>
      </c>
      <c r="AM156" s="5">
        <f>IF($C$150="Crecimiento",$P156,0)</f>
        <v>0</v>
      </c>
      <c r="AP156" s="5">
        <f>IF($D$150="Producción",IF($D156&gt;=LI_A,$Q156,0),0)</f>
        <v>0</v>
      </c>
      <c r="AQ156" s="5">
        <f>IF($D$150="Producción",IF($D156&gt;=LI_B,IF($D156&lt;LS_B,$Q156,0),0),0)</f>
        <v>0</v>
      </c>
      <c r="AR156" s="5">
        <f>IF($D$150="Producción",IF($D156&gt;=LI_C,IF($D156&lt;LS_C,$Q156,0),0),0)</f>
        <v>0</v>
      </c>
      <c r="AS156" s="5">
        <f>IF($D$150="Producción",IF($D156&lt;LS_D,$Q156,0),0)</f>
        <v>0</v>
      </c>
      <c r="AT156" s="5">
        <f>IF($D$150="Crecimiento",IF($D156&gt;0,$Q156,0),0)</f>
        <v>0</v>
      </c>
      <c r="AW156" s="5">
        <f>IF($E$150="Producción",IF($E156&gt;=LI_A,$R156,0),0)</f>
        <v>0</v>
      </c>
      <c r="AX156" s="5">
        <f>IF($E$150="Producción",IF($E156&gt;=LI_B,IF($E156&lt;LS_B,$R156,0),0),0)</f>
        <v>0</v>
      </c>
      <c r="AY156" s="5">
        <f>IF($E$150="Producción",IF($E156&gt;=LI_C,IF($E156&lt;LS_C,$R156,0),0),0)</f>
        <v>0</v>
      </c>
      <c r="AZ156" s="5">
        <f>IF($E$150="Producción",IF($E156&lt;LS_D,$R156,0),0)</f>
        <v>0</v>
      </c>
      <c r="BA156" s="5">
        <f>IF($E$150="Crecimiento",$R156,0)</f>
        <v>0</v>
      </c>
      <c r="BD156" s="5">
        <f>IF($F$150="Producción",IF($F156&gt;=LI_A,$S156,0),0)</f>
        <v>0</v>
      </c>
      <c r="BE156" s="5">
        <f>IF($F$150="Producción",IF($F156&gt;=LI_B,IF($F156&lt;LS_B,$S156,0),0),0)</f>
        <v>0</v>
      </c>
      <c r="BF156" s="5">
        <f>IF($F$150="Producción",IF($F156&gt;=LI_C,IF($F156&lt;LS_C,$S156,0),0),0)</f>
        <v>0</v>
      </c>
      <c r="BG156" s="5">
        <f>IF($F$150="Producción",IF($F156&lt;LS_D,$S156,0),0)</f>
        <v>0</v>
      </c>
      <c r="BH156" s="5">
        <f>IF($F$150="Crecimiento",$S156,0)</f>
        <v>0</v>
      </c>
      <c r="BK156" s="5">
        <f>IF($G$150="Producción",IF($G156&gt;=LI_A,$T156,0),0)</f>
        <v>0</v>
      </c>
      <c r="BL156" s="5">
        <f>IF($G$150="Producción",IF($G156&gt;=LI_B,IF($G156&lt;LS_B,$T156,0),0),0)</f>
        <v>0</v>
      </c>
      <c r="BM156" s="5">
        <f>IF($G$150="Producción",IF($G156&gt;=LI_C,IF($G156&lt;LS_C,$T156,0),0),0)</f>
        <v>0</v>
      </c>
      <c r="BN156" s="5">
        <f>IF($G$150="Producción",IF($G156&lt;LS_D,$T156,0),0)</f>
        <v>0</v>
      </c>
      <c r="BO156" s="5">
        <f>IF($G$150="Crecimiento",$T156,0)</f>
        <v>0</v>
      </c>
      <c r="BR156" s="5">
        <f>IF($H$150="Producción",IF($H156&gt;=LI_A,$U156,0),0)</f>
        <v>0</v>
      </c>
      <c r="BS156" s="5">
        <f>IF($H$150="Producción",IF($H156&gt;=LI_B,IF($H156&lt;LS_B,$U156,0),0),0)</f>
        <v>0</v>
      </c>
      <c r="BT156" s="5">
        <f>IF($H$150="Producción",IF($H156&gt;=LI_C,IF($H156&lt;LS_C,$U156,0),0),0)</f>
        <v>0</v>
      </c>
      <c r="BU156" s="5">
        <f>IF($H$150="Producción",IF($H156&lt;LS_D,$U156,0),0)</f>
        <v>0</v>
      </c>
      <c r="BV156" s="5">
        <f>IF($H$150="Crecimiento",$T156,0)</f>
        <v>0</v>
      </c>
      <c r="BY156" s="5">
        <f>IF($I$150="Producción",IF($I156&gt;=LI_A,$V156,0),0)</f>
        <v>0</v>
      </c>
      <c r="BZ156" s="5">
        <f>IF($I$150="Producción",IF($I156&gt;=LI_B,IF($I156&lt;LS_B,$V156,0),0),0)</f>
        <v>0</v>
      </c>
      <c r="CA156" s="5">
        <f>IF($I$150="Producción",IF($I156&gt;=LI_C,IF($I156&lt;LS_C,$V156,0),0),0)</f>
        <v>0</v>
      </c>
      <c r="CB156" s="5">
        <f>IF($I$150="Producción",IF($I156&lt;LS_D,$V156,0),0)</f>
        <v>0</v>
      </c>
      <c r="CC156" s="5">
        <f>IF($I$150="Crecimiento",$V156,0)</f>
        <v>0</v>
      </c>
      <c r="CF156" s="5">
        <f>IF($J$150="Producción",IF($J156&gt;=LI_A,$W156,0),0)</f>
        <v>0</v>
      </c>
      <c r="CG156" s="5">
        <f>IF($J$150="Producción",IF($J156&gt;=LI_B,IF($J156&lt;LS_B,$W156,0),0),0)</f>
        <v>0</v>
      </c>
      <c r="CH156" s="5">
        <f>IF($J$150="Producción",IF($J156&gt;=LI_C,IF($J156&lt;LS_C,$W156,0),0),0)</f>
        <v>0</v>
      </c>
      <c r="CI156" s="5">
        <f>IF($J$150="Producción",IF($J156&lt;LS_D,$W156,0),0)</f>
        <v>0</v>
      </c>
      <c r="CJ156" s="5">
        <f>IF($J$150="Crecimiento",$W156,0)</f>
        <v>0</v>
      </c>
      <c r="CM156" s="5">
        <f>IF($K$150="Producción",IF($K156&gt;=LI_A,$X156,0),0)</f>
        <v>0</v>
      </c>
      <c r="CN156" s="5">
        <f>IF($K$150="Producción",IF($K156&gt;=LI_B,IF($K156&lt;LS_B,$X156,0),0),0)</f>
        <v>0</v>
      </c>
      <c r="CO156" s="5">
        <f>IF($K$150="Producción",IF($K156&gt;=LI_C,IF($K156&lt;LS_C,$X156,0),0),0)</f>
        <v>0</v>
      </c>
      <c r="CP156" s="5">
        <f>IF($K$150="Producción",IF($K156&lt;LS_D,$X156,0),0)</f>
        <v>0</v>
      </c>
      <c r="CQ156" s="5">
        <f>IF($K$150="Crecimiento",$X156,0)</f>
        <v>0</v>
      </c>
      <c r="CT156" s="5">
        <f>IF($L$150="Producción",IF($L156&gt;=LI_A,$Y156,0),0)</f>
        <v>0</v>
      </c>
      <c r="CU156" s="5">
        <f>IF($L$150="Producción",IF($L156&gt;=LI_B,IF($L156&lt;LS_B,$Y156,0),0),0)</f>
        <v>0</v>
      </c>
      <c r="CV156" s="5">
        <f>IF($L$150="Producción",IF($L156&gt;=LI_C,IF($L156&lt;LS_C,$Y156,0),0),0)</f>
        <v>0</v>
      </c>
      <c r="CW156" s="5">
        <f>IF($L$150="Producción",IF($L156&lt;LS_D,$Y156,0),0)</f>
        <v>0</v>
      </c>
      <c r="CX156" s="5">
        <f>IF($L$150="Crecimiento",$Y156,0)</f>
        <v>0</v>
      </c>
      <c r="DA156" s="5">
        <f>IF($M$150="Producción",IF($M156&gt;=LI_A,$Z156,0),0)</f>
        <v>0</v>
      </c>
      <c r="DB156" s="5">
        <f>IF($M$150="Producción",IF($M156&gt;=LI_B,IF($M156&lt;LS_B,$Z156,0),0),0)</f>
        <v>0</v>
      </c>
      <c r="DC156" s="5">
        <f>IF($M$150="Producción",IF($M156&gt;=LI_C,IF($M156&lt;LS_C,$Z156,0),0),0)</f>
        <v>0</v>
      </c>
      <c r="DD156" s="5">
        <f>IF($M$150="Producción",IF($M156&lt;LS_D,$Z156,0),0)</f>
        <v>0</v>
      </c>
      <c r="DE156" s="5">
        <f>IF($M$150="Crecimiento",$Z156,0)</f>
        <v>0</v>
      </c>
      <c r="DI156" s="5">
        <f t="shared" si="1121"/>
        <v>0</v>
      </c>
      <c r="DJ156" s="5">
        <f t="shared" si="1122"/>
        <v>0</v>
      </c>
      <c r="DK156" s="5">
        <f t="shared" si="1123"/>
        <v>0</v>
      </c>
      <c r="DL156" s="5">
        <f t="shared" si="1124"/>
        <v>0</v>
      </c>
      <c r="DM156" s="5">
        <f t="shared" si="1125"/>
        <v>0</v>
      </c>
      <c r="DN156" s="5">
        <f t="shared" si="1126"/>
        <v>0</v>
      </c>
      <c r="DO156" s="5">
        <f t="shared" si="1127"/>
        <v>0</v>
      </c>
      <c r="DP156" s="5">
        <f t="shared" si="1128"/>
        <v>0</v>
      </c>
      <c r="DQ156" s="5">
        <f t="shared" si="1129"/>
        <v>0</v>
      </c>
      <c r="DR156" s="5">
        <f t="shared" si="1130"/>
        <v>0</v>
      </c>
      <c r="DS156" s="5">
        <f t="shared" si="1131"/>
        <v>0</v>
      </c>
      <c r="DT156" s="5">
        <f t="shared" si="1132"/>
        <v>0</v>
      </c>
      <c r="DU156" s="5">
        <f t="shared" si="1133"/>
        <v>0</v>
      </c>
      <c r="DV156" s="5">
        <f t="shared" si="1134"/>
        <v>0</v>
      </c>
      <c r="DW156" s="5">
        <f t="shared" si="1135"/>
        <v>0</v>
      </c>
      <c r="DX156" s="5">
        <f t="shared" si="1136"/>
        <v>0</v>
      </c>
      <c r="DY156" s="5">
        <f t="shared" si="1137"/>
        <v>0</v>
      </c>
      <c r="DZ156" s="5">
        <f t="shared" si="1138"/>
        <v>0</v>
      </c>
      <c r="EA156" s="5">
        <f t="shared" si="1139"/>
        <v>0</v>
      </c>
      <c r="EB156" s="5">
        <f t="shared" si="1140"/>
        <v>0</v>
      </c>
      <c r="EC156" s="5">
        <f t="shared" si="1141"/>
        <v>0</v>
      </c>
      <c r="ED156" s="5">
        <f t="shared" si="1142"/>
        <v>0</v>
      </c>
      <c r="EE156" s="5">
        <f t="shared" si="1143"/>
        <v>0</v>
      </c>
      <c r="EF156" s="5">
        <f t="shared" si="1144"/>
        <v>0</v>
      </c>
      <c r="EG156" s="5">
        <f t="shared" si="1145"/>
        <v>0</v>
      </c>
      <c r="EH156" s="5">
        <f t="shared" si="1146"/>
        <v>0</v>
      </c>
      <c r="EI156" s="5">
        <f t="shared" si="1147"/>
        <v>0</v>
      </c>
      <c r="EJ156" s="5">
        <f t="shared" si="1148"/>
        <v>0</v>
      </c>
      <c r="EK156" s="5">
        <f t="shared" si="1149"/>
        <v>0</v>
      </c>
      <c r="EL156" s="5">
        <f t="shared" si="1150"/>
        <v>0</v>
      </c>
      <c r="EM156" s="5">
        <f t="shared" si="1151"/>
        <v>0</v>
      </c>
      <c r="EN156" s="5">
        <f t="shared" si="1152"/>
        <v>0</v>
      </c>
      <c r="EO156" s="5">
        <f t="shared" si="1153"/>
        <v>0</v>
      </c>
      <c r="EP156" s="5">
        <f t="shared" si="1154"/>
        <v>0</v>
      </c>
      <c r="EQ156" s="5">
        <f t="shared" si="1155"/>
        <v>0</v>
      </c>
      <c r="ER156" s="5">
        <f t="shared" si="1156"/>
        <v>0</v>
      </c>
      <c r="ES156" s="5">
        <f t="shared" si="1157"/>
        <v>0</v>
      </c>
      <c r="ET156" s="5">
        <f t="shared" si="1158"/>
        <v>0</v>
      </c>
      <c r="EU156" s="5">
        <f t="shared" si="1159"/>
        <v>0</v>
      </c>
      <c r="EV156" s="5">
        <f t="shared" si="1160"/>
        <v>0</v>
      </c>
      <c r="EW156" s="5">
        <f t="shared" si="1161"/>
        <v>0</v>
      </c>
      <c r="EX156" s="5">
        <f t="shared" si="1162"/>
        <v>0</v>
      </c>
      <c r="EY156" s="5">
        <f t="shared" si="1163"/>
        <v>0</v>
      </c>
      <c r="EZ156" s="5">
        <f t="shared" si="1164"/>
        <v>0</v>
      </c>
      <c r="FA156" s="5">
        <f t="shared" si="1165"/>
        <v>0</v>
      </c>
      <c r="FB156" s="5">
        <f t="shared" si="1166"/>
        <v>0</v>
      </c>
      <c r="FC156" s="5">
        <f t="shared" si="1167"/>
        <v>0</v>
      </c>
      <c r="FD156" s="5">
        <f t="shared" si="1168"/>
        <v>0</v>
      </c>
      <c r="FE156" s="5">
        <f t="shared" si="1169"/>
        <v>0</v>
      </c>
      <c r="FF156" s="5">
        <f t="shared" si="1170"/>
        <v>0</v>
      </c>
      <c r="FG156" s="5">
        <f t="shared" si="1171"/>
        <v>0</v>
      </c>
      <c r="FH156" s="5">
        <f t="shared" si="1172"/>
        <v>0</v>
      </c>
      <c r="FI156" s="5">
        <f t="shared" si="1173"/>
        <v>0</v>
      </c>
      <c r="FJ156" s="5">
        <f t="shared" si="1174"/>
        <v>0</v>
      </c>
      <c r="FK156" s="5">
        <f t="shared" si="1175"/>
        <v>0</v>
      </c>
      <c r="FL156" s="5">
        <f t="shared" si="1176"/>
        <v>0</v>
      </c>
      <c r="FM156" s="5">
        <f t="shared" si="1177"/>
        <v>0</v>
      </c>
      <c r="FN156" s="5">
        <f t="shared" si="1178"/>
        <v>0</v>
      </c>
      <c r="FO156" s="5">
        <f t="shared" si="1179"/>
        <v>0</v>
      </c>
      <c r="FP156" s="5">
        <f t="shared" si="1180"/>
        <v>0</v>
      </c>
    </row>
    <row r="157" spans="1:172" ht="20.100000000000001" customHeight="1" x14ac:dyDescent="0.3">
      <c r="A157" s="9" t="str">
        <f>IF(Ciclo=5,"Surco 5","NA")</f>
        <v>NA</v>
      </c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O157" s="58">
        <f>IF($A157="NA",0,IFERROR('6'!O$79/Ciclo,0))</f>
        <v>0</v>
      </c>
      <c r="P157" s="58">
        <f>IF($A157="NA",0,IFERROR('6'!P$79/Ciclo,0))</f>
        <v>0</v>
      </c>
      <c r="Q157" s="58">
        <f>IF($A157="NA",0,IFERROR('6'!Q$79/Ciclo,0))</f>
        <v>0</v>
      </c>
      <c r="R157" s="58">
        <f>IF($A157="NA",0,IFERROR('6'!R$79/Ciclo,0))</f>
        <v>0</v>
      </c>
      <c r="S157" s="58">
        <f>IF($A157="NA",0,IFERROR('6'!S$79/Ciclo,0))</f>
        <v>0</v>
      </c>
      <c r="T157" s="58">
        <f>IF($A157="NA",0,IFERROR('6'!T$79/Ciclo,0))</f>
        <v>0</v>
      </c>
      <c r="U157" s="58">
        <f>IF($A157="NA",0,IFERROR('6'!U$79/Ciclo,0))</f>
        <v>0</v>
      </c>
      <c r="V157" s="58">
        <f>IF($A157="NA",0,IFERROR('6'!V$79/Ciclo,0))</f>
        <v>0</v>
      </c>
      <c r="W157" s="5">
        <f>IF($A157="NA",0,IFERROR('6'!W$79/Ciclo,0))</f>
        <v>0</v>
      </c>
      <c r="X157" s="5">
        <f>IF($A157="NA",0,IFERROR('6'!X$79/Ciclo,0))</f>
        <v>0</v>
      </c>
      <c r="Y157" s="5">
        <f>IF($A157="NA",0,IFERROR('6'!Y$79/Ciclo,0))</f>
        <v>0</v>
      </c>
      <c r="Z157" s="5">
        <f>IF($A157="NA",0,IFERROR('6'!Z$79/Ciclo,0))</f>
        <v>0</v>
      </c>
      <c r="AB157" s="5">
        <f>IF($B$150="Producción",IF($B157&gt;=LI_A,$O157,0),0)</f>
        <v>0</v>
      </c>
      <c r="AC157" s="5">
        <f>IF($B$150="Producción",IF($B157&gt;=LI_B,IF($B157&lt;LS_B,$O157,0),0),0)</f>
        <v>0</v>
      </c>
      <c r="AD157" s="5">
        <f>IF($B$150="Producción",IF($B157&gt;=LI_C,IF($B157&lt;LS_C,$O157,0),0),0)</f>
        <v>0</v>
      </c>
      <c r="AE157" s="5">
        <f>IF($B$150="Producción",IF($B157&lt;LS_D,$O157,0),0)</f>
        <v>0</v>
      </c>
      <c r="AF157" s="5">
        <f t="shared" si="1181"/>
        <v>0</v>
      </c>
      <c r="AI157" s="5">
        <f>IF($C$150="Producción",IF($C157&gt;=LI_A,$P157,0),0)</f>
        <v>0</v>
      </c>
      <c r="AJ157" s="5">
        <f>IF($C$150="Producción",IF($C157&gt;=LI_B,IF($C157&lt;LS_B,$P157,0),0),0)</f>
        <v>0</v>
      </c>
      <c r="AK157" s="5">
        <f>IF($C$150="Producción",IF($C157&gt;=LI_C,IF($C157&lt;LS_C,$P157,0),0),0)</f>
        <v>0</v>
      </c>
      <c r="AL157" s="5">
        <f>IF($C$150="Producción",IF($C157&lt;LS_D,$P157,0),0)</f>
        <v>0</v>
      </c>
      <c r="AM157" s="5">
        <f>IF($C$150="Crecimiento",$P157,0)</f>
        <v>0</v>
      </c>
      <c r="AP157" s="5">
        <f>IF($D$150="Producción",IF($D157&gt;=LI_A,$Q157,0),0)</f>
        <v>0</v>
      </c>
      <c r="AQ157" s="5">
        <f>IF($D$150="Producción",IF($D157&gt;=LI_B,IF($D157&lt;LS_B,$Q157,0),0),0)</f>
        <v>0</v>
      </c>
      <c r="AR157" s="5">
        <f>IF($D$150="Producción",IF($D157&gt;=LI_C,IF($D157&lt;LS_C,$Q157,0),0),0)</f>
        <v>0</v>
      </c>
      <c r="AS157" s="5">
        <f>IF($D$150="Producción",IF($D157&lt;LS_D,$Q157,0),0)</f>
        <v>0</v>
      </c>
      <c r="AT157" s="5">
        <f>IF($D$150="Crecimiento",IF($D157&gt;0,$Q157,0),0)</f>
        <v>0</v>
      </c>
      <c r="AW157" s="5">
        <f>IF($E$150="Producción",IF($E157&gt;=LI_A,$R157,0),0)</f>
        <v>0</v>
      </c>
      <c r="AX157" s="5">
        <f>IF($E$150="Producción",IF($E157&gt;=LI_B,IF($E157&lt;LS_B,$R157,0),0),0)</f>
        <v>0</v>
      </c>
      <c r="AY157" s="5">
        <f>IF($E$150="Producción",IF($E157&gt;=LI_C,IF($E157&lt;LS_C,$R157,0),0),0)</f>
        <v>0</v>
      </c>
      <c r="AZ157" s="5">
        <f>IF($E$150="Producción",IF($E157&lt;LS_D,$R157,0),0)</f>
        <v>0</v>
      </c>
      <c r="BA157" s="5">
        <f>IF($E$150="Crecimiento",$R157,0)</f>
        <v>0</v>
      </c>
      <c r="BD157" s="5">
        <f>IF($F$150="Producción",IF($F157&gt;=LI_A,$S157,0),0)</f>
        <v>0</v>
      </c>
      <c r="BE157" s="5">
        <f>IF($F$150="Producción",IF($F157&gt;=LI_B,IF($F157&lt;LS_B,$S157,0),0),0)</f>
        <v>0</v>
      </c>
      <c r="BF157" s="5">
        <f>IF($F$150="Producción",IF($F157&gt;=LI_C,IF($F157&lt;LS_C,$S157,0),0),0)</f>
        <v>0</v>
      </c>
      <c r="BG157" s="5">
        <f>IF($F$150="Producción",IF($F157&lt;LS_D,$S157,0),0)</f>
        <v>0</v>
      </c>
      <c r="BH157" s="5">
        <f>IF($F$150="Crecimiento",$S157,0)</f>
        <v>0</v>
      </c>
      <c r="BK157" s="5">
        <f>IF($G$150="Producción",IF($G157&gt;=LI_A,$T157,0),0)</f>
        <v>0</v>
      </c>
      <c r="BL157" s="5">
        <f>IF($G$150="Producción",IF($G157&gt;=LI_B,IF($G157&lt;LS_B,$T157,0),0),0)</f>
        <v>0</v>
      </c>
      <c r="BM157" s="5">
        <f>IF($G$150="Producción",IF($G157&gt;=LI_C,IF($G157&lt;LS_C,$T157,0),0),0)</f>
        <v>0</v>
      </c>
      <c r="BN157" s="5">
        <f>IF($G$150="Producción",IF($G157&lt;LS_D,$T157,0),0)</f>
        <v>0</v>
      </c>
      <c r="BO157" s="5">
        <f>IF($G$150="Crecimiento",$T157,0)</f>
        <v>0</v>
      </c>
      <c r="BR157" s="5">
        <f>IF($H$150="Producción",IF($H157&gt;=LI_A,$U157,0),0)</f>
        <v>0</v>
      </c>
      <c r="BS157" s="5">
        <f>IF($H$150="Producción",IF($H157&gt;=LI_B,IF($H157&lt;LS_B,$U157,0),0),0)</f>
        <v>0</v>
      </c>
      <c r="BT157" s="5">
        <f>IF($H$150="Producción",IF($H157&gt;=LI_C,IF($H157&lt;LS_C,$U157,0),0),0)</f>
        <v>0</v>
      </c>
      <c r="BU157" s="5">
        <f>IF($H$150="Producción",IF($H157&lt;LS_D,$U157,0),0)</f>
        <v>0</v>
      </c>
      <c r="BV157" s="5">
        <f>IF($H$150="Crecimiento",$T157,0)</f>
        <v>0</v>
      </c>
      <c r="BY157" s="5">
        <f>IF($I$150="Producción",IF($I157&gt;=LI_A,$V157,0),0)</f>
        <v>0</v>
      </c>
      <c r="BZ157" s="5">
        <f>IF($I$150="Producción",IF($I157&gt;=LI_B,IF($I157&lt;LS_B,$V157,0),0),0)</f>
        <v>0</v>
      </c>
      <c r="CA157" s="5">
        <f>IF($I$150="Producción",IF($I157&gt;=LI_C,IF($I157&lt;LS_C,$V157,0),0),0)</f>
        <v>0</v>
      </c>
      <c r="CB157" s="5">
        <f>IF($I$150="Producción",IF($I157&lt;LS_D,$V157,0),0)</f>
        <v>0</v>
      </c>
      <c r="CC157" s="5">
        <f>IF($I$150="Crecimiento",$V157,0)</f>
        <v>0</v>
      </c>
      <c r="CF157" s="5">
        <f>IF($J$150="Producción",IF($J157&gt;=LI_A,$W157,0),0)</f>
        <v>0</v>
      </c>
      <c r="CG157" s="5">
        <f>IF($J$150="Producción",IF($J157&gt;=LI_B,IF($J157&lt;LS_B,$W157,0),0),0)</f>
        <v>0</v>
      </c>
      <c r="CH157" s="5">
        <f>IF($J$150="Producción",IF($J157&gt;=LI_C,IF($J157&lt;LS_C,$W157,0),0),0)</f>
        <v>0</v>
      </c>
      <c r="CI157" s="5">
        <f>IF($J$150="Producción",IF($J157&lt;LS_D,$W157,0),0)</f>
        <v>0</v>
      </c>
      <c r="CJ157" s="5">
        <f>IF($J$150="Crecimiento",$W157,0)</f>
        <v>0</v>
      </c>
      <c r="CM157" s="5">
        <f>IF($K$150="Producción",IF($K157&gt;=LI_A,$X157,0),0)</f>
        <v>0</v>
      </c>
      <c r="CN157" s="5">
        <f>IF($K$150="Producción",IF($K157&gt;=LI_B,IF($K157&lt;LS_B,$X157,0),0),0)</f>
        <v>0</v>
      </c>
      <c r="CO157" s="5">
        <f>IF($K$150="Producción",IF($K157&gt;=LI_C,IF($K157&lt;LS_C,$X157,0),0),0)</f>
        <v>0</v>
      </c>
      <c r="CP157" s="5">
        <f>IF($K$150="Producción",IF($K157&lt;LS_D,$X157,0),0)</f>
        <v>0</v>
      </c>
      <c r="CQ157" s="5">
        <f>IF($K$150="Crecimiento",$X157,0)</f>
        <v>0</v>
      </c>
      <c r="CT157" s="5">
        <f>IF($L$150="Producción",IF($L157&gt;=LI_A,$Y157,0),0)</f>
        <v>0</v>
      </c>
      <c r="CU157" s="5">
        <f>IF($L$150="Producción",IF($L157&gt;=LI_B,IF($L157&lt;LS_B,$Y157,0),0),0)</f>
        <v>0</v>
      </c>
      <c r="CV157" s="5">
        <f>IF($L$150="Producción",IF($L157&gt;=LI_C,IF($L157&lt;LS_C,$Y157,0),0),0)</f>
        <v>0</v>
      </c>
      <c r="CW157" s="5">
        <f>IF($L$150="Producción",IF($L157&lt;LS_D,$Y157,0),0)</f>
        <v>0</v>
      </c>
      <c r="CX157" s="5">
        <f>IF($L$150="Crecimiento",$Y157,0)</f>
        <v>0</v>
      </c>
      <c r="DA157" s="5">
        <f>IF($M$150="Producción",IF($M157&gt;=LI_A,$Z157,0),0)</f>
        <v>0</v>
      </c>
      <c r="DB157" s="5">
        <f>IF($M$150="Producción",IF($M157&gt;=LI_B,IF($M157&lt;LS_B,$Z157,0),0),0)</f>
        <v>0</v>
      </c>
      <c r="DC157" s="5">
        <f>IF($M$150="Producción",IF($M157&gt;=LI_C,IF($M157&lt;LS_C,$Z157,0),0),0)</f>
        <v>0</v>
      </c>
      <c r="DD157" s="5">
        <f>IF($M$150="Producción",IF($M157&lt;LS_D,$Z157,0),0)</f>
        <v>0</v>
      </c>
      <c r="DE157" s="5">
        <f>IF($M$150="Crecimiento",$Z157,0)</f>
        <v>0</v>
      </c>
      <c r="DI157" s="5">
        <f t="shared" si="1121"/>
        <v>0</v>
      </c>
      <c r="DJ157" s="5">
        <f t="shared" si="1122"/>
        <v>0</v>
      </c>
      <c r="DK157" s="5">
        <f t="shared" si="1123"/>
        <v>0</v>
      </c>
      <c r="DL157" s="5">
        <f t="shared" si="1124"/>
        <v>0</v>
      </c>
      <c r="DM157" s="5">
        <f t="shared" si="1125"/>
        <v>0</v>
      </c>
      <c r="DN157" s="5">
        <f t="shared" si="1126"/>
        <v>0</v>
      </c>
      <c r="DO157" s="5">
        <f t="shared" si="1127"/>
        <v>0</v>
      </c>
      <c r="DP157" s="5">
        <f t="shared" si="1128"/>
        <v>0</v>
      </c>
      <c r="DQ157" s="5">
        <f t="shared" si="1129"/>
        <v>0</v>
      </c>
      <c r="DR157" s="5">
        <f t="shared" si="1130"/>
        <v>0</v>
      </c>
      <c r="DS157" s="5">
        <f t="shared" si="1131"/>
        <v>0</v>
      </c>
      <c r="DT157" s="5">
        <f t="shared" si="1132"/>
        <v>0</v>
      </c>
      <c r="DU157" s="5">
        <f t="shared" si="1133"/>
        <v>0</v>
      </c>
      <c r="DV157" s="5">
        <f t="shared" si="1134"/>
        <v>0</v>
      </c>
      <c r="DW157" s="5">
        <f t="shared" si="1135"/>
        <v>0</v>
      </c>
      <c r="DX157" s="5">
        <f t="shared" si="1136"/>
        <v>0</v>
      </c>
      <c r="DY157" s="5">
        <f t="shared" si="1137"/>
        <v>0</v>
      </c>
      <c r="DZ157" s="5">
        <f t="shared" si="1138"/>
        <v>0</v>
      </c>
      <c r="EA157" s="5">
        <f t="shared" si="1139"/>
        <v>0</v>
      </c>
      <c r="EB157" s="5">
        <f t="shared" si="1140"/>
        <v>0</v>
      </c>
      <c r="EC157" s="5">
        <f t="shared" si="1141"/>
        <v>0</v>
      </c>
      <c r="ED157" s="5">
        <f t="shared" si="1142"/>
        <v>0</v>
      </c>
      <c r="EE157" s="5">
        <f t="shared" si="1143"/>
        <v>0</v>
      </c>
      <c r="EF157" s="5">
        <f t="shared" si="1144"/>
        <v>0</v>
      </c>
      <c r="EG157" s="5">
        <f t="shared" si="1145"/>
        <v>0</v>
      </c>
      <c r="EH157" s="5">
        <f t="shared" si="1146"/>
        <v>0</v>
      </c>
      <c r="EI157" s="5">
        <f t="shared" si="1147"/>
        <v>0</v>
      </c>
      <c r="EJ157" s="5">
        <f t="shared" si="1148"/>
        <v>0</v>
      </c>
      <c r="EK157" s="5">
        <f t="shared" si="1149"/>
        <v>0</v>
      </c>
      <c r="EL157" s="5">
        <f t="shared" si="1150"/>
        <v>0</v>
      </c>
      <c r="EM157" s="5">
        <f t="shared" si="1151"/>
        <v>0</v>
      </c>
      <c r="EN157" s="5">
        <f t="shared" si="1152"/>
        <v>0</v>
      </c>
      <c r="EO157" s="5">
        <f t="shared" si="1153"/>
        <v>0</v>
      </c>
      <c r="EP157" s="5">
        <f t="shared" si="1154"/>
        <v>0</v>
      </c>
      <c r="EQ157" s="5">
        <f t="shared" si="1155"/>
        <v>0</v>
      </c>
      <c r="ER157" s="5">
        <f t="shared" si="1156"/>
        <v>0</v>
      </c>
      <c r="ES157" s="5">
        <f t="shared" si="1157"/>
        <v>0</v>
      </c>
      <c r="ET157" s="5">
        <f t="shared" si="1158"/>
        <v>0</v>
      </c>
      <c r="EU157" s="5">
        <f t="shared" si="1159"/>
        <v>0</v>
      </c>
      <c r="EV157" s="5">
        <f t="shared" si="1160"/>
        <v>0</v>
      </c>
      <c r="EW157" s="5">
        <f t="shared" si="1161"/>
        <v>0</v>
      </c>
      <c r="EX157" s="5">
        <f t="shared" si="1162"/>
        <v>0</v>
      </c>
      <c r="EY157" s="5">
        <f t="shared" si="1163"/>
        <v>0</v>
      </c>
      <c r="EZ157" s="5">
        <f t="shared" si="1164"/>
        <v>0</v>
      </c>
      <c r="FA157" s="5">
        <f t="shared" si="1165"/>
        <v>0</v>
      </c>
      <c r="FB157" s="5">
        <f t="shared" si="1166"/>
        <v>0</v>
      </c>
      <c r="FC157" s="5">
        <f t="shared" si="1167"/>
        <v>0</v>
      </c>
      <c r="FD157" s="5">
        <f t="shared" si="1168"/>
        <v>0</v>
      </c>
      <c r="FE157" s="5">
        <f t="shared" si="1169"/>
        <v>0</v>
      </c>
      <c r="FF157" s="5">
        <f t="shared" si="1170"/>
        <v>0</v>
      </c>
      <c r="FG157" s="5">
        <f t="shared" si="1171"/>
        <v>0</v>
      </c>
      <c r="FH157" s="5">
        <f t="shared" si="1172"/>
        <v>0</v>
      </c>
      <c r="FI157" s="5">
        <f t="shared" si="1173"/>
        <v>0</v>
      </c>
      <c r="FJ157" s="5">
        <f t="shared" si="1174"/>
        <v>0</v>
      </c>
      <c r="FK157" s="5">
        <f t="shared" si="1175"/>
        <v>0</v>
      </c>
      <c r="FL157" s="5">
        <f t="shared" si="1176"/>
        <v>0</v>
      </c>
      <c r="FM157" s="5">
        <f t="shared" si="1177"/>
        <v>0</v>
      </c>
      <c r="FN157" s="5">
        <f t="shared" si="1178"/>
        <v>0</v>
      </c>
      <c r="FO157" s="5">
        <f t="shared" si="1179"/>
        <v>0</v>
      </c>
      <c r="FP157" s="5">
        <f t="shared" si="1180"/>
        <v>0</v>
      </c>
    </row>
    <row r="158" spans="1:172" ht="20.100000000000001" customHeight="1" x14ac:dyDescent="0.3">
      <c r="A158" s="172">
        <f>N_L20</f>
        <v>0</v>
      </c>
      <c r="B158" s="363" t="s">
        <v>37</v>
      </c>
      <c r="C158" s="363" t="s">
        <v>37</v>
      </c>
      <c r="D158" s="363" t="s">
        <v>37</v>
      </c>
      <c r="E158" s="363" t="s">
        <v>37</v>
      </c>
      <c r="F158" s="363" t="s">
        <v>37</v>
      </c>
      <c r="G158" s="363" t="s">
        <v>37</v>
      </c>
      <c r="H158" s="363" t="s">
        <v>37</v>
      </c>
      <c r="I158" s="363" t="s">
        <v>37</v>
      </c>
      <c r="J158" s="363" t="s">
        <v>37</v>
      </c>
      <c r="K158" s="363" t="s">
        <v>37</v>
      </c>
      <c r="L158" s="363" t="s">
        <v>37</v>
      </c>
      <c r="M158" s="363" t="s">
        <v>37</v>
      </c>
    </row>
    <row r="159" spans="1:172" ht="20.100000000000001" customHeight="1" x14ac:dyDescent="0.3">
      <c r="A159" s="175" t="s">
        <v>238</v>
      </c>
      <c r="B159" s="174">
        <f>SUM(DI161:DM165)/100</f>
        <v>0</v>
      </c>
      <c r="C159" s="174">
        <f>SUM(DN161:DR165)/100</f>
        <v>0</v>
      </c>
      <c r="D159" s="174">
        <f>SUM(DS161:DW165)/100</f>
        <v>0</v>
      </c>
      <c r="E159" s="174">
        <f>SUM(DX161:EB165)/100</f>
        <v>0</v>
      </c>
      <c r="F159" s="174">
        <f>SUM(EC161:EG165)/100</f>
        <v>0</v>
      </c>
      <c r="G159" s="174">
        <f>SUM(EH161:EL165)/100</f>
        <v>0</v>
      </c>
      <c r="H159" s="174">
        <f>SUM(EM161:EQ165)/100</f>
        <v>0</v>
      </c>
      <c r="I159" s="174">
        <f>SUM(ER161:EV165)/100</f>
        <v>0</v>
      </c>
      <c r="J159" s="174">
        <f>SUM(EW161:FA165)/100</f>
        <v>0</v>
      </c>
      <c r="K159" s="174">
        <f>SUM(FB161:FF165)/100</f>
        <v>0</v>
      </c>
      <c r="L159" s="174">
        <f>SUM(FG161:FK165)/100</f>
        <v>0</v>
      </c>
      <c r="M159" s="174">
        <f>SUM(FL161:FP165)/100</f>
        <v>0</v>
      </c>
    </row>
    <row r="160" spans="1:172" ht="20.100000000000001" customHeight="1" x14ac:dyDescent="0.3">
      <c r="A160" s="151" t="s">
        <v>239</v>
      </c>
      <c r="B160" s="152" t="e">
        <f t="shared" ref="B160:M160" si="1182">B159/Lote_20</f>
        <v>#DIV/0!</v>
      </c>
      <c r="C160" s="152" t="e">
        <f t="shared" si="1182"/>
        <v>#DIV/0!</v>
      </c>
      <c r="D160" s="152" t="e">
        <f t="shared" si="1182"/>
        <v>#DIV/0!</v>
      </c>
      <c r="E160" s="152" t="e">
        <f t="shared" si="1182"/>
        <v>#DIV/0!</v>
      </c>
      <c r="F160" s="152" t="e">
        <f t="shared" si="1182"/>
        <v>#DIV/0!</v>
      </c>
      <c r="G160" s="152" t="e">
        <f t="shared" si="1182"/>
        <v>#DIV/0!</v>
      </c>
      <c r="H160" s="152" t="e">
        <f t="shared" si="1182"/>
        <v>#DIV/0!</v>
      </c>
      <c r="I160" s="152" t="e">
        <f t="shared" si="1182"/>
        <v>#DIV/0!</v>
      </c>
      <c r="J160" s="152" t="e">
        <f t="shared" si="1182"/>
        <v>#DIV/0!</v>
      </c>
      <c r="K160" s="152" t="e">
        <f t="shared" si="1182"/>
        <v>#DIV/0!</v>
      </c>
      <c r="L160" s="152" t="e">
        <f t="shared" si="1182"/>
        <v>#DIV/0!</v>
      </c>
      <c r="M160" s="152" t="e">
        <f t="shared" si="1182"/>
        <v>#DIV/0!</v>
      </c>
    </row>
    <row r="161" spans="1:172" ht="20.100000000000001" customHeight="1" x14ac:dyDescent="0.3">
      <c r="A161" s="8" t="s">
        <v>302</v>
      </c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O161" s="58">
        <f>IFERROR('6'!O$83/Ciclo,0)</f>
        <v>0</v>
      </c>
      <c r="P161" s="58">
        <f>IFERROR('6'!P$83/Ciclo,0)</f>
        <v>0</v>
      </c>
      <c r="Q161" s="58">
        <f>IFERROR('6'!Q$83/Ciclo,0)</f>
        <v>0</v>
      </c>
      <c r="R161" s="58">
        <f>IFERROR('6'!R$83/Ciclo,0)</f>
        <v>0</v>
      </c>
      <c r="S161" s="58">
        <f>IFERROR('6'!S$83/Ciclo,0)</f>
        <v>0</v>
      </c>
      <c r="T161" s="58">
        <f>IFERROR('6'!T$83/Ciclo,0)</f>
        <v>0</v>
      </c>
      <c r="U161" s="58">
        <f>IFERROR('6'!U$83/Ciclo,0)</f>
        <v>0</v>
      </c>
      <c r="V161" s="58">
        <f>IFERROR('6'!V$83/Ciclo,0)</f>
        <v>0</v>
      </c>
      <c r="W161" s="5">
        <f>IFERROR('6'!W$83/Ciclo,0)</f>
        <v>0</v>
      </c>
      <c r="X161" s="5">
        <f>IFERROR('6'!X$83/Ciclo,0)</f>
        <v>0</v>
      </c>
      <c r="Y161" s="5">
        <f>IFERROR('6'!Y$83/Ciclo,0)</f>
        <v>0</v>
      </c>
      <c r="Z161" s="5">
        <f>IFERROR('6'!Z$83/Ciclo,0)</f>
        <v>0</v>
      </c>
      <c r="AB161" s="5">
        <f>IF($B$158="Producción",IF($B161&gt;=LI_A,$O161,0),0)</f>
        <v>0</v>
      </c>
      <c r="AC161" s="5">
        <f>IF($B$158="Producción",IF($B161&gt;=LI_B,IF($B161&lt;LS_B,$O161,0),0),0)</f>
        <v>0</v>
      </c>
      <c r="AD161" s="5">
        <f>IF($B$158="Producción",IF($B161&gt;=LI_C,IF($B161&lt;LS_C,$O161,0),0),0)</f>
        <v>0</v>
      </c>
      <c r="AE161" s="5">
        <f>IF($B$158="Producción",IF($B161&lt;LS_D,$O161,0),0)</f>
        <v>0</v>
      </c>
      <c r="AF161" s="5">
        <f>IF($B$158="Crecimiento",$O161,0)</f>
        <v>0</v>
      </c>
      <c r="AG161" s="5">
        <f>IF($B158="Siembra",'6'!$O$7,0)</f>
        <v>0</v>
      </c>
      <c r="AH161" s="5">
        <f>IF($B158="Abandono",'6'!$O$7,0)</f>
        <v>0</v>
      </c>
      <c r="AI161" s="5">
        <f>IF($C$158="Producción",IF($C161&gt;=LI_A,$P161,0),0)</f>
        <v>0</v>
      </c>
      <c r="AJ161" s="5">
        <f>IF($C$158="Producción",IF($C161&gt;=LI_B,IF($C161&lt;LS_B,$P161,0),0),0)</f>
        <v>0</v>
      </c>
      <c r="AK161" s="5">
        <f>IF($C$158="Producción",IF($C161&gt;=LI_C,IF($C161&lt;LS_C,$P161,0),0),0)</f>
        <v>0</v>
      </c>
      <c r="AL161" s="5">
        <f>IF($C$158="Producción",IF($C161&lt;LS_D,$P161,0),0)</f>
        <v>0</v>
      </c>
      <c r="AM161" s="5">
        <f>IF($C$158="Crecimiento",$P161,0)</f>
        <v>0</v>
      </c>
      <c r="AN161" s="5">
        <f>IF($C158="Siembra",'6'!$P$7,0)</f>
        <v>0</v>
      </c>
      <c r="AO161" s="5">
        <f>IF($C158="Abandono",'6'!$P$7,0)</f>
        <v>0</v>
      </c>
      <c r="AP161" s="5">
        <f>IF($D$158="Producción",IF($D161&gt;=LI_A,$Q161,0),0)</f>
        <v>0</v>
      </c>
      <c r="AQ161" s="5">
        <f>IF($D$158="Producción",IF($D161&gt;=LI_B,IF($D161&lt;LS_B,$Q161,0),0),0)</f>
        <v>0</v>
      </c>
      <c r="AR161" s="5">
        <f>IF($D$158="Producción",IF($D161&gt;=LI_C,IF($D161&lt;LS_C,$Q161,0),0),0)</f>
        <v>0</v>
      </c>
      <c r="AS161" s="5">
        <f>IF($D$158="Producción",IF($D161&lt;LS_D,$Q161,0),0)</f>
        <v>0</v>
      </c>
      <c r="AT161" s="5">
        <f>IF($D$158="Crecimiento",IF($D161&gt;0,$Q161,0),0)</f>
        <v>0</v>
      </c>
      <c r="AU161" s="5">
        <f>IF($D158="Siembra",'6'!$Q$7,0)</f>
        <v>0</v>
      </c>
      <c r="AV161" s="5">
        <f>IF($D158="Abandono",'6'!$Q$7,0)</f>
        <v>0</v>
      </c>
      <c r="AW161" s="5">
        <f>IF($E$158="Producción",IF($E161&gt;=LI_A,$R161,0),0)</f>
        <v>0</v>
      </c>
      <c r="AX161" s="5">
        <f>IF($E$158="Producción",IF($E161&gt;=LI_B,IF($E161&lt;LS_B,$R161,0),0),0)</f>
        <v>0</v>
      </c>
      <c r="AY161" s="5">
        <f>IF($E$158="Producción",IF($E161&gt;=LI_C,IF($E161&lt;LS_C,$R161,0),0),0)</f>
        <v>0</v>
      </c>
      <c r="AZ161" s="5">
        <f>IF($E$158="Producción",IF($E161&lt;LS_D,$R161,0),0)</f>
        <v>0</v>
      </c>
      <c r="BA161" s="5">
        <f>IF($E$158="Crecimiento",$R161,0)</f>
        <v>0</v>
      </c>
      <c r="BB161" s="5">
        <f>IF($E158="Siembra",'6'!$R$7,0)</f>
        <v>0</v>
      </c>
      <c r="BC161" s="5">
        <f>IF($E158="Abandono",'6'!$R$7,0)</f>
        <v>0</v>
      </c>
      <c r="BD161" s="5">
        <f>IF($F$158="Producción",IF($F161&gt;=LI_A,$S161,0),0)</f>
        <v>0</v>
      </c>
      <c r="BE161" s="5">
        <f>IF($F$158="Producción",IF($F161&gt;=LI_B,IF($F161&lt;LS_B,$S161,0),0),0)</f>
        <v>0</v>
      </c>
      <c r="BF161" s="5">
        <f>IF($F$158="Producción",IF($F161&gt;=LI_C,IF($F161&lt;LS_C,$S161,0),0),0)</f>
        <v>0</v>
      </c>
      <c r="BG161" s="5">
        <f>IF($F$158="Producción",IF($F161&lt;LS_D,$S161,0),0)</f>
        <v>0</v>
      </c>
      <c r="BH161" s="5">
        <f>IF($F$158="Crecimiento",$S161,0)</f>
        <v>0</v>
      </c>
      <c r="BI161" s="5">
        <f>IF($F158="Siembra",'6'!$S$7,0)</f>
        <v>0</v>
      </c>
      <c r="BJ161" s="5">
        <f>IF($F158="Abandono",'6'!$S$7,0)</f>
        <v>0</v>
      </c>
      <c r="BK161" s="5">
        <f>IF($G$158="Producción",IF($G161&gt;=LI_A,$T161,0),0)</f>
        <v>0</v>
      </c>
      <c r="BL161" s="5">
        <f>IF($G$158="Producción",IF($G161&gt;=LI_B,IF($G161&lt;LS_B,$T161,0),0),0)</f>
        <v>0</v>
      </c>
      <c r="BM161" s="5">
        <f>IF($G$158="Producción",IF($G161&gt;=LI_C,IF($G161&lt;LS_C,$T161,0),0),0)</f>
        <v>0</v>
      </c>
      <c r="BN161" s="5">
        <f>IF($G$158="Producción",IF($G161&lt;LS_D,$T161,0),0)</f>
        <v>0</v>
      </c>
      <c r="BO161" s="5">
        <f>IF($G$158="Crecimiento",$T161,0)</f>
        <v>0</v>
      </c>
      <c r="BP161" s="5">
        <f>IF($G158="Siembra",'6'!$T$7,0)</f>
        <v>0</v>
      </c>
      <c r="BQ161" s="5">
        <f>IF($G158="Abandono",'6'!$T$7,0)</f>
        <v>0</v>
      </c>
      <c r="BR161" s="5">
        <f>IF($H$158="Producción",IF($H161&gt;=LI_A,$U161,0),0)</f>
        <v>0</v>
      </c>
      <c r="BS161" s="5">
        <f>IF($H$158="Producción",IF($H161&gt;=LI_B,IF($H161&lt;LS_B,$U161,0),0),0)</f>
        <v>0</v>
      </c>
      <c r="BT161" s="5">
        <f>IF($H$158="Producción",IF($H161&gt;=LI_C,IF($H161&lt;LS_C,$U161,0),0),0)</f>
        <v>0</v>
      </c>
      <c r="BU161" s="5">
        <f>IF($H$158="Producción",IF($H161&lt;LS_D,$U161,0),0)</f>
        <v>0</v>
      </c>
      <c r="BV161" s="5">
        <f>IF($H$158="Crecimiento",$T161,0)</f>
        <v>0</v>
      </c>
      <c r="BW161" s="5">
        <f>IF($H158="Siembra",'6'!$U$7,0)</f>
        <v>0</v>
      </c>
      <c r="BX161" s="5">
        <f>IF($H158="Abandono",'6'!$U$7,0)</f>
        <v>0</v>
      </c>
      <c r="BY161" s="5">
        <f>IF($I$158="Producción",IF($I161&gt;=LI_A,$V161,0),0)</f>
        <v>0</v>
      </c>
      <c r="BZ161" s="5">
        <f>IF($I$158="Producción",IF($I161&gt;=LI_B,IF($I161&lt;LS_B,$V161,0),0),0)</f>
        <v>0</v>
      </c>
      <c r="CA161" s="5">
        <f>IF($I$158="Producción",IF($I161&gt;=LI_C,IF($I161&lt;LS_C,$V161,0),0),0)</f>
        <v>0</v>
      </c>
      <c r="CB161" s="5">
        <f>IF($I$158="Producción",IF($I161&lt;LS_D,$V161,0),0)</f>
        <v>0</v>
      </c>
      <c r="CC161" s="5">
        <f>IF($I$158="Crecimiento",$V161,0)</f>
        <v>0</v>
      </c>
      <c r="CD161" s="5">
        <f>IF($I158="Siembra",'6'!$V$7,0)</f>
        <v>0</v>
      </c>
      <c r="CE161" s="5">
        <f>IF($I158="Abandono",'6'!$V$7,0)</f>
        <v>0</v>
      </c>
      <c r="CF161" s="5">
        <f>IF($J$158="Producción",IF($J161&gt;=LI_A,$W161,0),0)</f>
        <v>0</v>
      </c>
      <c r="CG161" s="5">
        <f>IF($J$158="Producción",IF($J161&gt;=LI_B,IF($J161&lt;LS_B,$W161,0),0),0)</f>
        <v>0</v>
      </c>
      <c r="CH161" s="5">
        <f>IF($J$158="Producción",IF($J161&gt;=LI_C,IF($J161&lt;LS_C,$W161,0),0),0)</f>
        <v>0</v>
      </c>
      <c r="CI161" s="5">
        <f>IF($J$158="Producción",IF($J161&lt;LS_D,$W161,0),0)</f>
        <v>0</v>
      </c>
      <c r="CJ161" s="5">
        <f>IF($J$158="Crecimiento",$W161,0)</f>
        <v>0</v>
      </c>
      <c r="CK161" s="5">
        <f>IF($J158="Siembra",'6'!$W$7,0)</f>
        <v>0</v>
      </c>
      <c r="CL161" s="5">
        <f>IF($J158="Abandono",'6'!$W$7,0)</f>
        <v>0</v>
      </c>
      <c r="CM161" s="5">
        <f>IF($K$158="Producción",IF($K161&gt;=LI_A,$X161,0),0)</f>
        <v>0</v>
      </c>
      <c r="CN161" s="5">
        <f>IF($K$158="Producción",IF($K161&gt;=LI_B,IF($K161&lt;LS_B,$X161,0),0),0)</f>
        <v>0</v>
      </c>
      <c r="CO161" s="5">
        <f>IF($K$158="Producción",IF($K161&gt;=LI_C,IF($K161&lt;LS_C,$X161,0),0),0)</f>
        <v>0</v>
      </c>
      <c r="CP161" s="5">
        <f>IF($K$158="Producción",IF($K161&lt;LS_D,$X161,0),0)</f>
        <v>0</v>
      </c>
      <c r="CQ161" s="5">
        <f>IF($K$158="Crecimiento",$X161,0)</f>
        <v>0</v>
      </c>
      <c r="CR161" s="5">
        <f>IF($K158="Siembra",'6'!$X$7,0)</f>
        <v>0</v>
      </c>
      <c r="CS161" s="5">
        <f>IF($K158="Abandono",'6'!$X$7,0)</f>
        <v>0</v>
      </c>
      <c r="CT161" s="5">
        <f>IF($L$158="Producción",IF($L161&gt;=LI_A,$Y161,0),0)</f>
        <v>0</v>
      </c>
      <c r="CU161" s="5">
        <f>IF($L$158="Producción",IF($L161&gt;=LI_B,IF($L161&lt;LS_B,$Y161,0),0),0)</f>
        <v>0</v>
      </c>
      <c r="CV161" s="5">
        <f>IF($L$158="Producción",IF($L161&gt;=LI_C,IF($L161&lt;LS_C,$Y161,0),0),0)</f>
        <v>0</v>
      </c>
      <c r="CW161" s="5">
        <f>IF($L$158="Producción",IF($L161&lt;LS_D,$Y161,0),0)</f>
        <v>0</v>
      </c>
      <c r="CX161" s="5">
        <f>IF($L$158="Crecimiento",$Y161,0)</f>
        <v>0</v>
      </c>
      <c r="CY161" s="5">
        <f>IF($L158="Siembra",'6'!$Y$7,0)</f>
        <v>0</v>
      </c>
      <c r="CZ161" s="5">
        <f>IF($L158="Abandono",'6'!$Y$7,0)</f>
        <v>0</v>
      </c>
      <c r="DA161" s="5">
        <f>IF($M$158="Producción",IF($M161&gt;=LI_A,$Z161,0),0)</f>
        <v>0</v>
      </c>
      <c r="DB161" s="5">
        <f>IF($M$158="Producción",IF($M161&gt;=LI_B,IF($M161&lt;LS_B,$Z161,0),0),0)</f>
        <v>0</v>
      </c>
      <c r="DC161" s="5">
        <f>IF($M$158="Producción",IF($M161&gt;=LI_C,IF($M161&lt;LS_C,$Z161,0),0),0)</f>
        <v>0</v>
      </c>
      <c r="DD161" s="5">
        <f>IF($M$158="Producción",IF($M161&lt;LS_D,$Z161,0),0)</f>
        <v>0</v>
      </c>
      <c r="DE161" s="5">
        <f>IF($M$158="Crecimiento",$Z161,0)</f>
        <v>0</v>
      </c>
      <c r="DF161" s="5">
        <f>IF($M158="Siembra",'6'!$Z$7,0)</f>
        <v>0</v>
      </c>
      <c r="DG161" s="5">
        <f>IF($M158="Abandono",'6'!$Z$7,0)</f>
        <v>0</v>
      </c>
      <c r="DI161" s="5">
        <f t="shared" ref="DI161:DI165" si="1183">AB161*$B161</f>
        <v>0</v>
      </c>
      <c r="DJ161" s="5">
        <f t="shared" ref="DJ161:DJ165" si="1184">AC161*$B161</f>
        <v>0</v>
      </c>
      <c r="DK161" s="5">
        <f t="shared" ref="DK161:DK165" si="1185">AD161*$B161</f>
        <v>0</v>
      </c>
      <c r="DL161" s="5">
        <f t="shared" ref="DL161:DL165" si="1186">AE161*$B161</f>
        <v>0</v>
      </c>
      <c r="DM161" s="5">
        <f t="shared" ref="DM161:DM165" si="1187">AF161*$B161</f>
        <v>0</v>
      </c>
      <c r="DN161" s="5">
        <f t="shared" ref="DN161:DN165" si="1188">AI161*$C161</f>
        <v>0</v>
      </c>
      <c r="DO161" s="5">
        <f t="shared" ref="DO161:DO165" si="1189">AJ161*$C161</f>
        <v>0</v>
      </c>
      <c r="DP161" s="5">
        <f t="shared" ref="DP161:DP165" si="1190">AK161*$C161</f>
        <v>0</v>
      </c>
      <c r="DQ161" s="5">
        <f t="shared" ref="DQ161:DQ165" si="1191">AL161*$C161</f>
        <v>0</v>
      </c>
      <c r="DR161" s="5">
        <f t="shared" ref="DR161:DR165" si="1192">AM161*$C161</f>
        <v>0</v>
      </c>
      <c r="DS161" s="5">
        <f t="shared" ref="DS161:DS165" si="1193">AP161*$D161</f>
        <v>0</v>
      </c>
      <c r="DT161" s="5">
        <f t="shared" ref="DT161:DT165" si="1194">AQ161*$D161</f>
        <v>0</v>
      </c>
      <c r="DU161" s="5">
        <f t="shared" ref="DU161:DU165" si="1195">AR161*$D161</f>
        <v>0</v>
      </c>
      <c r="DV161" s="5">
        <f t="shared" ref="DV161:DV165" si="1196">AS161*$D161</f>
        <v>0</v>
      </c>
      <c r="DW161" s="5">
        <f t="shared" ref="DW161:DW165" si="1197">AT161*$D161</f>
        <v>0</v>
      </c>
      <c r="DX161" s="5">
        <f t="shared" ref="DX161:DX165" si="1198">AW161*$E161</f>
        <v>0</v>
      </c>
      <c r="DY161" s="5">
        <f t="shared" ref="DY161:DY165" si="1199">AX161*$E161</f>
        <v>0</v>
      </c>
      <c r="DZ161" s="5">
        <f t="shared" ref="DZ161:DZ165" si="1200">AY161*$E161</f>
        <v>0</v>
      </c>
      <c r="EA161" s="5">
        <f t="shared" ref="EA161:EA165" si="1201">AZ161*$E161</f>
        <v>0</v>
      </c>
      <c r="EB161" s="5">
        <f t="shared" ref="EB161:EB165" si="1202">BA161*$E161</f>
        <v>0</v>
      </c>
      <c r="EC161" s="5">
        <f t="shared" ref="EC161:EC165" si="1203">BD161*$F161</f>
        <v>0</v>
      </c>
      <c r="ED161" s="5">
        <f t="shared" ref="ED161:ED165" si="1204">BE161*$F161</f>
        <v>0</v>
      </c>
      <c r="EE161" s="5">
        <f t="shared" ref="EE161:EE165" si="1205">BF161*$F161</f>
        <v>0</v>
      </c>
      <c r="EF161" s="5">
        <f t="shared" ref="EF161:EF165" si="1206">BG161*$F161</f>
        <v>0</v>
      </c>
      <c r="EG161" s="5">
        <f t="shared" ref="EG161:EG165" si="1207">BH161*$F161</f>
        <v>0</v>
      </c>
      <c r="EH161" s="5">
        <f t="shared" ref="EH161:EH165" si="1208">BK161*$G161</f>
        <v>0</v>
      </c>
      <c r="EI161" s="5">
        <f t="shared" ref="EI161:EI165" si="1209">BL161*$G161</f>
        <v>0</v>
      </c>
      <c r="EJ161" s="5">
        <f t="shared" ref="EJ161:EJ165" si="1210">BM161*$G161</f>
        <v>0</v>
      </c>
      <c r="EK161" s="5">
        <f t="shared" ref="EK161:EK165" si="1211">BN161*$G161</f>
        <v>0</v>
      </c>
      <c r="EL161" s="5">
        <f t="shared" ref="EL161:EL165" si="1212">BO161*$G161</f>
        <v>0</v>
      </c>
      <c r="EM161" s="5">
        <f t="shared" ref="EM161:EM165" si="1213">BR161*$H161</f>
        <v>0</v>
      </c>
      <c r="EN161" s="5">
        <f t="shared" ref="EN161:EN165" si="1214">BS161*$H161</f>
        <v>0</v>
      </c>
      <c r="EO161" s="5">
        <f t="shared" ref="EO161:EO165" si="1215">BT161*$H161</f>
        <v>0</v>
      </c>
      <c r="EP161" s="5">
        <f t="shared" ref="EP161:EP165" si="1216">BU161*$H161</f>
        <v>0</v>
      </c>
      <c r="EQ161" s="5">
        <f t="shared" ref="EQ161:EQ165" si="1217">BV161*$H161</f>
        <v>0</v>
      </c>
      <c r="ER161" s="5">
        <f t="shared" ref="ER161:ER165" si="1218">BY161*$I161</f>
        <v>0</v>
      </c>
      <c r="ES161" s="5">
        <f t="shared" ref="ES161:ES165" si="1219">BZ161*$I161</f>
        <v>0</v>
      </c>
      <c r="ET161" s="5">
        <f t="shared" ref="ET161:ET165" si="1220">CA161*$I161</f>
        <v>0</v>
      </c>
      <c r="EU161" s="5">
        <f t="shared" ref="EU161:EU165" si="1221">CB161*$I161</f>
        <v>0</v>
      </c>
      <c r="EV161" s="5">
        <f t="shared" ref="EV161:EV165" si="1222">CC161*$I161</f>
        <v>0</v>
      </c>
      <c r="EW161" s="5">
        <f t="shared" ref="EW161:EW165" si="1223">CF161*$J161</f>
        <v>0</v>
      </c>
      <c r="EX161" s="5">
        <f t="shared" ref="EX161:EX165" si="1224">CG161*$J161</f>
        <v>0</v>
      </c>
      <c r="EY161" s="5">
        <f t="shared" ref="EY161:EY165" si="1225">CH161*$J161</f>
        <v>0</v>
      </c>
      <c r="EZ161" s="5">
        <f t="shared" ref="EZ161:EZ165" si="1226">CI161*$J161</f>
        <v>0</v>
      </c>
      <c r="FA161" s="5">
        <f t="shared" ref="FA161:FA165" si="1227">CJ161*$J161</f>
        <v>0</v>
      </c>
      <c r="FB161" s="5">
        <f t="shared" ref="FB161:FB165" si="1228">CM161*$K161</f>
        <v>0</v>
      </c>
      <c r="FC161" s="5">
        <f t="shared" ref="FC161:FC165" si="1229">CN161*$K161</f>
        <v>0</v>
      </c>
      <c r="FD161" s="5">
        <f t="shared" ref="FD161:FD165" si="1230">CO161*$K161</f>
        <v>0</v>
      </c>
      <c r="FE161" s="5">
        <f t="shared" ref="FE161:FE165" si="1231">CP161*$K161</f>
        <v>0</v>
      </c>
      <c r="FF161" s="5">
        <f t="shared" ref="FF161:FF165" si="1232">CQ161*$K161</f>
        <v>0</v>
      </c>
      <c r="FG161" s="5">
        <f t="shared" ref="FG161:FG165" si="1233">CT161*$L161</f>
        <v>0</v>
      </c>
      <c r="FH161" s="5">
        <f t="shared" ref="FH161:FH165" si="1234">CU161*$L161</f>
        <v>0</v>
      </c>
      <c r="FI161" s="5">
        <f t="shared" ref="FI161:FI165" si="1235">CV161*$L161</f>
        <v>0</v>
      </c>
      <c r="FJ161" s="5">
        <f t="shared" ref="FJ161:FJ165" si="1236">CW161*$L161</f>
        <v>0</v>
      </c>
      <c r="FK161" s="5">
        <f t="shared" ref="FK161:FK165" si="1237">CX161*$L161</f>
        <v>0</v>
      </c>
      <c r="FL161" s="5">
        <f t="shared" ref="FL161:FL165" si="1238">DA161*$M161</f>
        <v>0</v>
      </c>
      <c r="FM161" s="5">
        <f t="shared" ref="FM161:FM165" si="1239">DB161*$M161</f>
        <v>0</v>
      </c>
      <c r="FN161" s="5">
        <f t="shared" ref="FN161:FN165" si="1240">DC161*$M161</f>
        <v>0</v>
      </c>
      <c r="FO161" s="5">
        <f t="shared" ref="FO161:FO165" si="1241">DD161*$M161</f>
        <v>0</v>
      </c>
      <c r="FP161" s="5">
        <f t="shared" ref="FP161:FP165" si="1242">DE161*$M161</f>
        <v>0</v>
      </c>
    </row>
    <row r="162" spans="1:172" ht="20.100000000000001" customHeight="1" x14ac:dyDescent="0.3">
      <c r="A162" s="8" t="s">
        <v>303</v>
      </c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O162" s="58">
        <f>IFERROR('6'!O$83/Ciclo,0)</f>
        <v>0</v>
      </c>
      <c r="P162" s="58">
        <f>IFERROR('6'!P$83/Ciclo,0)</f>
        <v>0</v>
      </c>
      <c r="Q162" s="58">
        <f>IFERROR('6'!Q$83/Ciclo,0)</f>
        <v>0</v>
      </c>
      <c r="R162" s="58">
        <f>IFERROR('6'!R$83/Ciclo,0)</f>
        <v>0</v>
      </c>
      <c r="S162" s="58">
        <f>IFERROR('6'!S$83/Ciclo,0)</f>
        <v>0</v>
      </c>
      <c r="T162" s="58">
        <f>IFERROR('6'!T$83/Ciclo,0)</f>
        <v>0</v>
      </c>
      <c r="U162" s="58">
        <f>IFERROR('6'!U$83/Ciclo,0)</f>
        <v>0</v>
      </c>
      <c r="V162" s="58">
        <f>IFERROR('6'!V$83/Ciclo,0)</f>
        <v>0</v>
      </c>
      <c r="W162" s="5">
        <f>IFERROR('6'!W$83/Ciclo,0)</f>
        <v>0</v>
      </c>
      <c r="X162" s="5">
        <f>IFERROR('6'!X$83/Ciclo,0)</f>
        <v>0</v>
      </c>
      <c r="Y162" s="5">
        <f>IFERROR('6'!Y$83/Ciclo,0)</f>
        <v>0</v>
      </c>
      <c r="Z162" s="5">
        <f>IFERROR('6'!Z$83/Ciclo,0)</f>
        <v>0</v>
      </c>
      <c r="AB162" s="5">
        <f>IF($B$158="Producción",IF($B162&gt;=LI_A,$O162,0),0)</f>
        <v>0</v>
      </c>
      <c r="AC162" s="5">
        <f>IF($B$158="Producción",IF($B162&gt;=LI_B,IF($B162&lt;LS_B,$O162,0),0),0)</f>
        <v>0</v>
      </c>
      <c r="AD162" s="5">
        <f>IF($B$158="Producción",IF($B162&gt;=LI_C,IF($B162&lt;LS_C,$O162,0),0),0)</f>
        <v>0</v>
      </c>
      <c r="AE162" s="5">
        <f>IF($B$158="Producción",IF($B162&lt;LS_D,$O162,0),0)</f>
        <v>0</v>
      </c>
      <c r="AF162" s="5">
        <f t="shared" ref="AF162:AF165" si="1243">IF($B$158="Crecimiento",$O162,0)</f>
        <v>0</v>
      </c>
      <c r="AI162" s="5">
        <f>IF($C$158="Producción",IF($C162&gt;=LI_A,$P162,0),0)</f>
        <v>0</v>
      </c>
      <c r="AJ162" s="5">
        <f>IF($C$158="Producción",IF($C162&gt;=LI_B,IF($C162&lt;LS_B,$P162,0),0),0)</f>
        <v>0</v>
      </c>
      <c r="AK162" s="5">
        <f>IF($C$158="Producción",IF($C162&gt;=LI_C,IF($C162&lt;LS_C,$P162,0),0),0)</f>
        <v>0</v>
      </c>
      <c r="AL162" s="5">
        <f>IF($C$158="Producción",IF($C162&lt;LS_D,$P162,0),0)</f>
        <v>0</v>
      </c>
      <c r="AM162" s="5">
        <f>IF($C$158="Crecimiento",$P162,0)</f>
        <v>0</v>
      </c>
      <c r="AP162" s="5">
        <f>IF($D$158="Producción",IF($D162&gt;=LI_A,$Q162,0),0)</f>
        <v>0</v>
      </c>
      <c r="AQ162" s="5">
        <f>IF($D$158="Producción",IF($D162&gt;=LI_B,IF($D162&lt;LS_B,$Q162,0),0),0)</f>
        <v>0</v>
      </c>
      <c r="AR162" s="5">
        <f>IF($D$158="Producción",IF($D162&gt;=LI_C,IF($D162&lt;LS_C,$Q162,0),0),0)</f>
        <v>0</v>
      </c>
      <c r="AS162" s="5">
        <f>IF($D$158="Producción",IF($D162&lt;LS_D,$Q162,0),0)</f>
        <v>0</v>
      </c>
      <c r="AT162" s="5">
        <f>IF($D$158="Crecimiento",IF($D162&gt;0,$Q162,0),0)</f>
        <v>0</v>
      </c>
      <c r="AW162" s="5">
        <f>IF($E$158="Producción",IF($E162&gt;=LI_A,$R162,0),0)</f>
        <v>0</v>
      </c>
      <c r="AX162" s="5">
        <f>IF($E$158="Producción",IF($E162&gt;=LI_B,IF($E162&lt;LS_B,$R162,0),0),0)</f>
        <v>0</v>
      </c>
      <c r="AY162" s="5">
        <f>IF($E$158="Producción",IF($E162&gt;=LI_C,IF($E162&lt;LS_C,$R162,0),0),0)</f>
        <v>0</v>
      </c>
      <c r="AZ162" s="5">
        <f>IF($E$158="Producción",IF($E162&lt;LS_D,$R162,0),0)</f>
        <v>0</v>
      </c>
      <c r="BA162" s="5">
        <f>IF($E$158="Crecimiento",$R162,0)</f>
        <v>0</v>
      </c>
      <c r="BD162" s="5">
        <f>IF($F$158="Producción",IF($F162&gt;=LI_A,$S162,0),0)</f>
        <v>0</v>
      </c>
      <c r="BE162" s="5">
        <f>IF($F$158="Producción",IF($F162&gt;=LI_B,IF($F162&lt;LS_B,$S162,0),0),0)</f>
        <v>0</v>
      </c>
      <c r="BF162" s="5">
        <f>IF($F$158="Producción",IF($F162&gt;=LI_C,IF($F162&lt;LS_C,$S162,0),0),0)</f>
        <v>0</v>
      </c>
      <c r="BG162" s="5">
        <f>IF($F$158="Producción",IF($F162&lt;LS_D,$S162,0),0)</f>
        <v>0</v>
      </c>
      <c r="BH162" s="5">
        <f>IF($F$158="Crecimiento",$S162,0)</f>
        <v>0</v>
      </c>
      <c r="BK162" s="5">
        <f>IF($G$158="Producción",IF($G162&gt;=LI_A,$T162,0),0)</f>
        <v>0</v>
      </c>
      <c r="BL162" s="5">
        <f>IF($G$158="Producción",IF($G162&gt;=LI_B,IF($G162&lt;LS_B,$T162,0),0),0)</f>
        <v>0</v>
      </c>
      <c r="BM162" s="5">
        <f>IF($G$158="Producción",IF($G162&gt;=LI_C,IF($G162&lt;LS_C,$T162,0),0),0)</f>
        <v>0</v>
      </c>
      <c r="BN162" s="5">
        <f>IF($G$158="Producción",IF($G162&lt;LS_D,$T162,0),0)</f>
        <v>0</v>
      </c>
      <c r="BO162" s="5">
        <f>IF($G$158="Crecimiento",$T162,0)</f>
        <v>0</v>
      </c>
      <c r="BR162" s="5">
        <f>IF($H$158="Producción",IF($H162&gt;=LI_A,$U162,0),0)</f>
        <v>0</v>
      </c>
      <c r="BS162" s="5">
        <f>IF($H$158="Producción",IF($H162&gt;=LI_B,IF($H162&lt;LS_B,$U162,0),0),0)</f>
        <v>0</v>
      </c>
      <c r="BT162" s="5">
        <f>IF($H$158="Producción",IF($H162&gt;=LI_C,IF($H162&lt;LS_C,$U162,0),0),0)</f>
        <v>0</v>
      </c>
      <c r="BU162" s="5">
        <f>IF($H$158="Producción",IF($H162&lt;LS_D,$U162,0),0)</f>
        <v>0</v>
      </c>
      <c r="BV162" s="5">
        <f>IF($H$158="Crecimiento",$T162,0)</f>
        <v>0</v>
      </c>
      <c r="BY162" s="5">
        <f>IF($I$158="Producción",IF($I162&gt;=LI_A,$V162,0),0)</f>
        <v>0</v>
      </c>
      <c r="BZ162" s="5">
        <f>IF($I$158="Producción",IF($I162&gt;=LI_B,IF($I162&lt;LS_B,$V162,0),0),0)</f>
        <v>0</v>
      </c>
      <c r="CA162" s="5">
        <f>IF($I$158="Producción",IF($I162&gt;=LI_C,IF($I162&lt;LS_C,$V162,0),0),0)</f>
        <v>0</v>
      </c>
      <c r="CB162" s="5">
        <f>IF($I$158="Producción",IF($I162&lt;LS_D,$V162,0),0)</f>
        <v>0</v>
      </c>
      <c r="CC162" s="5">
        <f>IF($I$158="Crecimiento",$V162,0)</f>
        <v>0</v>
      </c>
      <c r="CF162" s="5">
        <f>IF($J$158="Producción",IF($J162&gt;=LI_A,$W162,0),0)</f>
        <v>0</v>
      </c>
      <c r="CG162" s="5">
        <f>IF($J$158="Producción",IF($J162&gt;=LI_B,IF($J162&lt;LS_B,$W162,0),0),0)</f>
        <v>0</v>
      </c>
      <c r="CH162" s="5">
        <f>IF($J$158="Producción",IF($J162&gt;=LI_C,IF($J162&lt;LS_C,$W162,0),0),0)</f>
        <v>0</v>
      </c>
      <c r="CI162" s="5">
        <f>IF($J$158="Producción",IF($J162&lt;LS_D,$W162,0),0)</f>
        <v>0</v>
      </c>
      <c r="CJ162" s="5">
        <f>IF($J$158="Crecimiento",$W162,0)</f>
        <v>0</v>
      </c>
      <c r="CM162" s="5">
        <f>IF($K$158="Producción",IF($K162&gt;=LI_A,$X162,0),0)</f>
        <v>0</v>
      </c>
      <c r="CN162" s="5">
        <f>IF($K$158="Producción",IF($K162&gt;=LI_B,IF($K162&lt;LS_B,$X162,0),0),0)</f>
        <v>0</v>
      </c>
      <c r="CO162" s="5">
        <f>IF($K$158="Producción",IF($K162&gt;=LI_C,IF($K162&lt;LS_C,$X162,0),0),0)</f>
        <v>0</v>
      </c>
      <c r="CP162" s="5">
        <f>IF($K$158="Producción",IF($K162&lt;LS_D,$X162,0),0)</f>
        <v>0</v>
      </c>
      <c r="CQ162" s="5">
        <f>IF($K$158="Crecimiento",$X162,0)</f>
        <v>0</v>
      </c>
      <c r="CT162" s="5">
        <f>IF($L$158="Producción",IF($L162&gt;=LI_A,$Y162,0),0)</f>
        <v>0</v>
      </c>
      <c r="CU162" s="5">
        <f>IF($L$158="Producción",IF($L162&gt;=LI_B,IF($L162&lt;LS_B,$Y162,0),0),0)</f>
        <v>0</v>
      </c>
      <c r="CV162" s="5">
        <f>IF($L$158="Producción",IF($L162&gt;=LI_C,IF($L162&lt;LS_C,$Y162,0),0),0)</f>
        <v>0</v>
      </c>
      <c r="CW162" s="5">
        <f>IF($L$158="Producción",IF($L162&lt;LS_D,$Y162,0),0)</f>
        <v>0</v>
      </c>
      <c r="CX162" s="5">
        <f>IF($L$158="Crecimiento",$Y162,0)</f>
        <v>0</v>
      </c>
      <c r="DA162" s="5">
        <f>IF($M$158="Producción",IF($M162&gt;=LI_A,$Z162,0),0)</f>
        <v>0</v>
      </c>
      <c r="DB162" s="5">
        <f>IF($M$158="Producción",IF($M162&gt;=LI_B,IF($M162&lt;LS_B,$Z162,0),0),0)</f>
        <v>0</v>
      </c>
      <c r="DC162" s="5">
        <f>IF($M$158="Producción",IF($M162&gt;=LI_C,IF($M162&lt;LS_C,$Z162,0),0),0)</f>
        <v>0</v>
      </c>
      <c r="DD162" s="5">
        <f>IF($M$158="Producción",IF($M162&lt;LS_D,$Z162,0),0)</f>
        <v>0</v>
      </c>
      <c r="DE162" s="5">
        <f>IF($M$158="Crecimiento",$Z162,0)</f>
        <v>0</v>
      </c>
      <c r="DI162" s="5">
        <f t="shared" si="1183"/>
        <v>0</v>
      </c>
      <c r="DJ162" s="5">
        <f t="shared" si="1184"/>
        <v>0</v>
      </c>
      <c r="DK162" s="5">
        <f t="shared" si="1185"/>
        <v>0</v>
      </c>
      <c r="DL162" s="5">
        <f t="shared" si="1186"/>
        <v>0</v>
      </c>
      <c r="DM162" s="5">
        <f t="shared" si="1187"/>
        <v>0</v>
      </c>
      <c r="DN162" s="5">
        <f t="shared" si="1188"/>
        <v>0</v>
      </c>
      <c r="DO162" s="5">
        <f t="shared" si="1189"/>
        <v>0</v>
      </c>
      <c r="DP162" s="5">
        <f t="shared" si="1190"/>
        <v>0</v>
      </c>
      <c r="DQ162" s="5">
        <f t="shared" si="1191"/>
        <v>0</v>
      </c>
      <c r="DR162" s="5">
        <f t="shared" si="1192"/>
        <v>0</v>
      </c>
      <c r="DS162" s="5">
        <f t="shared" si="1193"/>
        <v>0</v>
      </c>
      <c r="DT162" s="5">
        <f t="shared" si="1194"/>
        <v>0</v>
      </c>
      <c r="DU162" s="5">
        <f t="shared" si="1195"/>
        <v>0</v>
      </c>
      <c r="DV162" s="5">
        <f t="shared" si="1196"/>
        <v>0</v>
      </c>
      <c r="DW162" s="5">
        <f t="shared" si="1197"/>
        <v>0</v>
      </c>
      <c r="DX162" s="5">
        <f t="shared" si="1198"/>
        <v>0</v>
      </c>
      <c r="DY162" s="5">
        <f t="shared" si="1199"/>
        <v>0</v>
      </c>
      <c r="DZ162" s="5">
        <f t="shared" si="1200"/>
        <v>0</v>
      </c>
      <c r="EA162" s="5">
        <f t="shared" si="1201"/>
        <v>0</v>
      </c>
      <c r="EB162" s="5">
        <f t="shared" si="1202"/>
        <v>0</v>
      </c>
      <c r="EC162" s="5">
        <f t="shared" si="1203"/>
        <v>0</v>
      </c>
      <c r="ED162" s="5">
        <f t="shared" si="1204"/>
        <v>0</v>
      </c>
      <c r="EE162" s="5">
        <f t="shared" si="1205"/>
        <v>0</v>
      </c>
      <c r="EF162" s="5">
        <f t="shared" si="1206"/>
        <v>0</v>
      </c>
      <c r="EG162" s="5">
        <f t="shared" si="1207"/>
        <v>0</v>
      </c>
      <c r="EH162" s="5">
        <f t="shared" si="1208"/>
        <v>0</v>
      </c>
      <c r="EI162" s="5">
        <f t="shared" si="1209"/>
        <v>0</v>
      </c>
      <c r="EJ162" s="5">
        <f t="shared" si="1210"/>
        <v>0</v>
      </c>
      <c r="EK162" s="5">
        <f t="shared" si="1211"/>
        <v>0</v>
      </c>
      <c r="EL162" s="5">
        <f t="shared" si="1212"/>
        <v>0</v>
      </c>
      <c r="EM162" s="5">
        <f t="shared" si="1213"/>
        <v>0</v>
      </c>
      <c r="EN162" s="5">
        <f t="shared" si="1214"/>
        <v>0</v>
      </c>
      <c r="EO162" s="5">
        <f t="shared" si="1215"/>
        <v>0</v>
      </c>
      <c r="EP162" s="5">
        <f t="shared" si="1216"/>
        <v>0</v>
      </c>
      <c r="EQ162" s="5">
        <f t="shared" si="1217"/>
        <v>0</v>
      </c>
      <c r="ER162" s="5">
        <f t="shared" si="1218"/>
        <v>0</v>
      </c>
      <c r="ES162" s="5">
        <f t="shared" si="1219"/>
        <v>0</v>
      </c>
      <c r="ET162" s="5">
        <f t="shared" si="1220"/>
        <v>0</v>
      </c>
      <c r="EU162" s="5">
        <f t="shared" si="1221"/>
        <v>0</v>
      </c>
      <c r="EV162" s="5">
        <f t="shared" si="1222"/>
        <v>0</v>
      </c>
      <c r="EW162" s="5">
        <f t="shared" si="1223"/>
        <v>0</v>
      </c>
      <c r="EX162" s="5">
        <f t="shared" si="1224"/>
        <v>0</v>
      </c>
      <c r="EY162" s="5">
        <f t="shared" si="1225"/>
        <v>0</v>
      </c>
      <c r="EZ162" s="5">
        <f t="shared" si="1226"/>
        <v>0</v>
      </c>
      <c r="FA162" s="5">
        <f t="shared" si="1227"/>
        <v>0</v>
      </c>
      <c r="FB162" s="5">
        <f t="shared" si="1228"/>
        <v>0</v>
      </c>
      <c r="FC162" s="5">
        <f t="shared" si="1229"/>
        <v>0</v>
      </c>
      <c r="FD162" s="5">
        <f t="shared" si="1230"/>
        <v>0</v>
      </c>
      <c r="FE162" s="5">
        <f t="shared" si="1231"/>
        <v>0</v>
      </c>
      <c r="FF162" s="5">
        <f t="shared" si="1232"/>
        <v>0</v>
      </c>
      <c r="FG162" s="5">
        <f t="shared" si="1233"/>
        <v>0</v>
      </c>
      <c r="FH162" s="5">
        <f t="shared" si="1234"/>
        <v>0</v>
      </c>
      <c r="FI162" s="5">
        <f t="shared" si="1235"/>
        <v>0</v>
      </c>
      <c r="FJ162" s="5">
        <f t="shared" si="1236"/>
        <v>0</v>
      </c>
      <c r="FK162" s="5">
        <f t="shared" si="1237"/>
        <v>0</v>
      </c>
      <c r="FL162" s="5">
        <f t="shared" si="1238"/>
        <v>0</v>
      </c>
      <c r="FM162" s="5">
        <f t="shared" si="1239"/>
        <v>0</v>
      </c>
      <c r="FN162" s="5">
        <f t="shared" si="1240"/>
        <v>0</v>
      </c>
      <c r="FO162" s="5">
        <f t="shared" si="1241"/>
        <v>0</v>
      </c>
      <c r="FP162" s="5">
        <f t="shared" si="1242"/>
        <v>0</v>
      </c>
    </row>
    <row r="163" spans="1:172" ht="20.100000000000001" customHeight="1" x14ac:dyDescent="0.3">
      <c r="A163" s="8" t="str">
        <f>IF(Ciclo&gt;2,"Surco 3","NA")</f>
        <v>Surco 3</v>
      </c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O163" s="58">
        <f>IF($A163="NA",0,IFERROR('6'!O$83/Ciclo,0))</f>
        <v>0</v>
      </c>
      <c r="P163" s="58">
        <f>IF($A163="NA",0,IFERROR('6'!P$83/Ciclo,0))</f>
        <v>0</v>
      </c>
      <c r="Q163" s="58">
        <f>IF($A163="NA",0,IFERROR('6'!Q$83/Ciclo,0))</f>
        <v>0</v>
      </c>
      <c r="R163" s="58">
        <f>IF($A163="NA",0,IFERROR('6'!R$83/Ciclo,0))</f>
        <v>0</v>
      </c>
      <c r="S163" s="58">
        <f>IF($A163="NA",0,IFERROR('6'!S$83/Ciclo,0))</f>
        <v>0</v>
      </c>
      <c r="T163" s="58">
        <f>IF($A163="NA",0,IFERROR('6'!T$83/Ciclo,0))</f>
        <v>0</v>
      </c>
      <c r="U163" s="58">
        <f>IF($A163="NA",0,IFERROR('6'!U$83/Ciclo,0))</f>
        <v>0</v>
      </c>
      <c r="V163" s="58">
        <f>IF($A163="NA",0,IFERROR('6'!V$83/Ciclo,0))</f>
        <v>0</v>
      </c>
      <c r="W163" s="5">
        <f>IF($A163="NA",0,IFERROR('6'!W$83/Ciclo,0))</f>
        <v>0</v>
      </c>
      <c r="X163" s="5">
        <f>IF($A163="NA",0,IFERROR('6'!X$83/Ciclo,0))</f>
        <v>0</v>
      </c>
      <c r="Y163" s="5">
        <f>IF($A163="NA",0,IFERROR('6'!Y$83/Ciclo,0))</f>
        <v>0</v>
      </c>
      <c r="Z163" s="5">
        <f>IF($A163="NA",0,IFERROR('6'!Z$83/Ciclo,0))</f>
        <v>0</v>
      </c>
      <c r="AB163" s="5">
        <f>IF($B$158="Producción",IF($B163&gt;=LI_A,$O163,0),0)</f>
        <v>0</v>
      </c>
      <c r="AC163" s="5">
        <f>IF($B$158="Producción",IF($B163&gt;=LI_B,IF($B163&lt;LS_B,$O163,0),0),0)</f>
        <v>0</v>
      </c>
      <c r="AD163" s="5">
        <f>IF($B$158="Producción",IF($B163&gt;=LI_C,IF($B163&lt;LS_C,$O163,0),0),0)</f>
        <v>0</v>
      </c>
      <c r="AE163" s="5">
        <f>IF($B$158="Producción",IF($B163&lt;LS_D,$O163,0),0)</f>
        <v>0</v>
      </c>
      <c r="AF163" s="5">
        <f t="shared" si="1243"/>
        <v>0</v>
      </c>
      <c r="AI163" s="5">
        <f>IF($C$158="Producción",IF($C163&gt;=LI_A,$P163,0),0)</f>
        <v>0</v>
      </c>
      <c r="AJ163" s="5">
        <f>IF($C$158="Producción",IF($C163&gt;=LI_B,IF($C163&lt;LS_B,$P163,0),0),0)</f>
        <v>0</v>
      </c>
      <c r="AK163" s="5">
        <f>IF($C$158="Producción",IF($C163&gt;=LI_C,IF($C163&lt;LS_C,$P163,0),0),0)</f>
        <v>0</v>
      </c>
      <c r="AL163" s="5">
        <f>IF($C$158="Producción",IF($C163&lt;LS_D,$P163,0),0)</f>
        <v>0</v>
      </c>
      <c r="AM163" s="5">
        <f>IF($C$158="Crecimiento",$P163,0)</f>
        <v>0</v>
      </c>
      <c r="AP163" s="5">
        <f>IF($D$158="Producción",IF($D163&gt;=LI_A,$Q163,0),0)</f>
        <v>0</v>
      </c>
      <c r="AQ163" s="5">
        <f>IF($D$158="Producción",IF($D163&gt;=LI_B,IF($D163&lt;LS_B,$Q163,0),0),0)</f>
        <v>0</v>
      </c>
      <c r="AR163" s="5">
        <f>IF($D$158="Producción",IF($D163&gt;=LI_C,IF($D163&lt;LS_C,$Q163,0),0),0)</f>
        <v>0</v>
      </c>
      <c r="AS163" s="5">
        <f>IF($D$158="Producción",IF($D163&lt;LS_D,$Q163,0),0)</f>
        <v>0</v>
      </c>
      <c r="AT163" s="5">
        <f>IF($D$158="Crecimiento",IF($D163&gt;0,$Q163,0),0)</f>
        <v>0</v>
      </c>
      <c r="AW163" s="5">
        <f>IF($E$158="Producción",IF($E163&gt;=LI_A,$R163,0),0)</f>
        <v>0</v>
      </c>
      <c r="AX163" s="5">
        <f>IF($E$158="Producción",IF($E163&gt;=LI_B,IF($E163&lt;LS_B,$R163,0),0),0)</f>
        <v>0</v>
      </c>
      <c r="AY163" s="5">
        <f>IF($E$158="Producción",IF($E163&gt;=LI_C,IF($E163&lt;LS_C,$R163,0),0),0)</f>
        <v>0</v>
      </c>
      <c r="AZ163" s="5">
        <f>IF($E$158="Producción",IF($E163&lt;LS_D,$R163,0),0)</f>
        <v>0</v>
      </c>
      <c r="BA163" s="5">
        <f>IF($E$158="Crecimiento",$R163,0)</f>
        <v>0</v>
      </c>
      <c r="BD163" s="5">
        <f>IF($F$158="Producción",IF($F163&gt;=LI_A,$S163,0),0)</f>
        <v>0</v>
      </c>
      <c r="BE163" s="5">
        <f>IF($F$158="Producción",IF($F163&gt;=LI_B,IF($F163&lt;LS_B,$S163,0),0),0)</f>
        <v>0</v>
      </c>
      <c r="BF163" s="5">
        <f>IF($F$158="Producción",IF($F163&gt;=LI_C,IF($F163&lt;LS_C,$S163,0),0),0)</f>
        <v>0</v>
      </c>
      <c r="BG163" s="5">
        <f>IF($F$158="Producción",IF($F163&lt;LS_D,$S163,0),0)</f>
        <v>0</v>
      </c>
      <c r="BH163" s="5">
        <f>IF($F$158="Crecimiento",$S163,0)</f>
        <v>0</v>
      </c>
      <c r="BK163" s="5">
        <f>IF($G$158="Producción",IF($G163&gt;=LI_A,$T163,0),0)</f>
        <v>0</v>
      </c>
      <c r="BL163" s="5">
        <f>IF($G$158="Producción",IF($G163&gt;=LI_B,IF($G163&lt;LS_B,$T163,0),0),0)</f>
        <v>0</v>
      </c>
      <c r="BM163" s="5">
        <f>IF($G$158="Producción",IF($G163&gt;=LI_C,IF($G163&lt;LS_C,$T163,0),0),0)</f>
        <v>0</v>
      </c>
      <c r="BN163" s="5">
        <f>IF($G$158="Producción",IF($G163&lt;LS_D,$T163,0),0)</f>
        <v>0</v>
      </c>
      <c r="BO163" s="5">
        <f>IF($G$158="Crecimiento",$T163,0)</f>
        <v>0</v>
      </c>
      <c r="BR163" s="5">
        <f>IF($H$158="Producción",IF($H163&gt;=LI_A,$U163,0),0)</f>
        <v>0</v>
      </c>
      <c r="BS163" s="5">
        <f>IF($H$158="Producción",IF($H163&gt;=LI_B,IF($H163&lt;LS_B,$U163,0),0),0)</f>
        <v>0</v>
      </c>
      <c r="BT163" s="5">
        <f>IF($H$158="Producción",IF($H163&gt;=LI_C,IF($H163&lt;LS_C,$U163,0),0),0)</f>
        <v>0</v>
      </c>
      <c r="BU163" s="5">
        <f>IF($H$158="Producción",IF($H163&lt;LS_D,$U163,0),0)</f>
        <v>0</v>
      </c>
      <c r="BV163" s="5">
        <f>IF($H$158="Crecimiento",$T163,0)</f>
        <v>0</v>
      </c>
      <c r="BY163" s="5">
        <f>IF($I$158="Producción",IF($I163&gt;=LI_A,$V163,0),0)</f>
        <v>0</v>
      </c>
      <c r="BZ163" s="5">
        <f>IF($I$158="Producción",IF($I163&gt;=LI_B,IF($I163&lt;LS_B,$V163,0),0),0)</f>
        <v>0</v>
      </c>
      <c r="CA163" s="5">
        <f>IF($I$158="Producción",IF($I163&gt;=LI_C,IF($I163&lt;LS_C,$V163,0),0),0)</f>
        <v>0</v>
      </c>
      <c r="CB163" s="5">
        <f>IF($I$158="Producción",IF($I163&lt;LS_D,$V163,0),0)</f>
        <v>0</v>
      </c>
      <c r="CC163" s="5">
        <f>IF($I$158="Crecimiento",$V163,0)</f>
        <v>0</v>
      </c>
      <c r="CF163" s="5">
        <f>IF($J$158="Producción",IF($J163&gt;=LI_A,$W163,0),0)</f>
        <v>0</v>
      </c>
      <c r="CG163" s="5">
        <f>IF($J$158="Producción",IF($J163&gt;=LI_B,IF($J163&lt;LS_B,$W163,0),0),0)</f>
        <v>0</v>
      </c>
      <c r="CH163" s="5">
        <f>IF($J$158="Producción",IF($J163&gt;=LI_C,IF($J163&lt;LS_C,$W163,0),0),0)</f>
        <v>0</v>
      </c>
      <c r="CI163" s="5">
        <f>IF($J$158="Producción",IF($J163&lt;LS_D,$W163,0),0)</f>
        <v>0</v>
      </c>
      <c r="CJ163" s="5">
        <f>IF($J$158="Crecimiento",$W163,0)</f>
        <v>0</v>
      </c>
      <c r="CM163" s="5">
        <f>IF($K$158="Producción",IF($K163&gt;=LI_A,$X163,0),0)</f>
        <v>0</v>
      </c>
      <c r="CN163" s="5">
        <f>IF($K$158="Producción",IF($K163&gt;=LI_B,IF($K163&lt;LS_B,$X163,0),0),0)</f>
        <v>0</v>
      </c>
      <c r="CO163" s="5">
        <f>IF($K$158="Producción",IF($K163&gt;=LI_C,IF($K163&lt;LS_C,$X163,0),0),0)</f>
        <v>0</v>
      </c>
      <c r="CP163" s="5">
        <f>IF($K$158="Producción",IF($K163&lt;LS_D,$X163,0),0)</f>
        <v>0</v>
      </c>
      <c r="CQ163" s="5">
        <f>IF($K$158="Crecimiento",$X163,0)</f>
        <v>0</v>
      </c>
      <c r="CT163" s="5">
        <f>IF($L$158="Producción",IF($L163&gt;=LI_A,$Y163,0),0)</f>
        <v>0</v>
      </c>
      <c r="CU163" s="5">
        <f>IF($L$158="Producción",IF($L163&gt;=LI_B,IF($L163&lt;LS_B,$Y163,0),0),0)</f>
        <v>0</v>
      </c>
      <c r="CV163" s="5">
        <f>IF($L$158="Producción",IF($L163&gt;=LI_C,IF($L163&lt;LS_C,$Y163,0),0),0)</f>
        <v>0</v>
      </c>
      <c r="CW163" s="5">
        <f>IF($L$158="Producción",IF($L163&lt;LS_D,$Y163,0),0)</f>
        <v>0</v>
      </c>
      <c r="CX163" s="5">
        <f>IF($L$158="Crecimiento",$Y163,0)</f>
        <v>0</v>
      </c>
      <c r="DA163" s="5">
        <f>IF($M$158="Producción",IF($M163&gt;=LI_A,$Z163,0),0)</f>
        <v>0</v>
      </c>
      <c r="DB163" s="5">
        <f>IF($M$158="Producción",IF($M163&gt;=LI_B,IF($M163&lt;LS_B,$Z163,0),0),0)</f>
        <v>0</v>
      </c>
      <c r="DC163" s="5">
        <f>IF($M$158="Producción",IF($M163&gt;=LI_C,IF($M163&lt;LS_C,$Z163,0),0),0)</f>
        <v>0</v>
      </c>
      <c r="DD163" s="5">
        <f>IF($M$158="Producción",IF($M163&lt;LS_D,$Z163,0),0)</f>
        <v>0</v>
      </c>
      <c r="DE163" s="5">
        <f>IF($M$158="Crecimiento",$Z163,0)</f>
        <v>0</v>
      </c>
      <c r="DI163" s="5">
        <f t="shared" si="1183"/>
        <v>0</v>
      </c>
      <c r="DJ163" s="5">
        <f t="shared" si="1184"/>
        <v>0</v>
      </c>
      <c r="DK163" s="5">
        <f t="shared" si="1185"/>
        <v>0</v>
      </c>
      <c r="DL163" s="5">
        <f t="shared" si="1186"/>
        <v>0</v>
      </c>
      <c r="DM163" s="5">
        <f t="shared" si="1187"/>
        <v>0</v>
      </c>
      <c r="DN163" s="5">
        <f t="shared" si="1188"/>
        <v>0</v>
      </c>
      <c r="DO163" s="5">
        <f t="shared" si="1189"/>
        <v>0</v>
      </c>
      <c r="DP163" s="5">
        <f t="shared" si="1190"/>
        <v>0</v>
      </c>
      <c r="DQ163" s="5">
        <f t="shared" si="1191"/>
        <v>0</v>
      </c>
      <c r="DR163" s="5">
        <f t="shared" si="1192"/>
        <v>0</v>
      </c>
      <c r="DS163" s="5">
        <f t="shared" si="1193"/>
        <v>0</v>
      </c>
      <c r="DT163" s="5">
        <f t="shared" si="1194"/>
        <v>0</v>
      </c>
      <c r="DU163" s="5">
        <f t="shared" si="1195"/>
        <v>0</v>
      </c>
      <c r="DV163" s="5">
        <f t="shared" si="1196"/>
        <v>0</v>
      </c>
      <c r="DW163" s="5">
        <f t="shared" si="1197"/>
        <v>0</v>
      </c>
      <c r="DX163" s="5">
        <f t="shared" si="1198"/>
        <v>0</v>
      </c>
      <c r="DY163" s="5">
        <f t="shared" si="1199"/>
        <v>0</v>
      </c>
      <c r="DZ163" s="5">
        <f t="shared" si="1200"/>
        <v>0</v>
      </c>
      <c r="EA163" s="5">
        <f t="shared" si="1201"/>
        <v>0</v>
      </c>
      <c r="EB163" s="5">
        <f t="shared" si="1202"/>
        <v>0</v>
      </c>
      <c r="EC163" s="5">
        <f t="shared" si="1203"/>
        <v>0</v>
      </c>
      <c r="ED163" s="5">
        <f t="shared" si="1204"/>
        <v>0</v>
      </c>
      <c r="EE163" s="5">
        <f t="shared" si="1205"/>
        <v>0</v>
      </c>
      <c r="EF163" s="5">
        <f t="shared" si="1206"/>
        <v>0</v>
      </c>
      <c r="EG163" s="5">
        <f t="shared" si="1207"/>
        <v>0</v>
      </c>
      <c r="EH163" s="5">
        <f t="shared" si="1208"/>
        <v>0</v>
      </c>
      <c r="EI163" s="5">
        <f t="shared" si="1209"/>
        <v>0</v>
      </c>
      <c r="EJ163" s="5">
        <f t="shared" si="1210"/>
        <v>0</v>
      </c>
      <c r="EK163" s="5">
        <f t="shared" si="1211"/>
        <v>0</v>
      </c>
      <c r="EL163" s="5">
        <f t="shared" si="1212"/>
        <v>0</v>
      </c>
      <c r="EM163" s="5">
        <f t="shared" si="1213"/>
        <v>0</v>
      </c>
      <c r="EN163" s="5">
        <f t="shared" si="1214"/>
        <v>0</v>
      </c>
      <c r="EO163" s="5">
        <f t="shared" si="1215"/>
        <v>0</v>
      </c>
      <c r="EP163" s="5">
        <f t="shared" si="1216"/>
        <v>0</v>
      </c>
      <c r="EQ163" s="5">
        <f t="shared" si="1217"/>
        <v>0</v>
      </c>
      <c r="ER163" s="5">
        <f t="shared" si="1218"/>
        <v>0</v>
      </c>
      <c r="ES163" s="5">
        <f t="shared" si="1219"/>
        <v>0</v>
      </c>
      <c r="ET163" s="5">
        <f t="shared" si="1220"/>
        <v>0</v>
      </c>
      <c r="EU163" s="5">
        <f t="shared" si="1221"/>
        <v>0</v>
      </c>
      <c r="EV163" s="5">
        <f t="shared" si="1222"/>
        <v>0</v>
      </c>
      <c r="EW163" s="5">
        <f t="shared" si="1223"/>
        <v>0</v>
      </c>
      <c r="EX163" s="5">
        <f t="shared" si="1224"/>
        <v>0</v>
      </c>
      <c r="EY163" s="5">
        <f t="shared" si="1225"/>
        <v>0</v>
      </c>
      <c r="EZ163" s="5">
        <f t="shared" si="1226"/>
        <v>0</v>
      </c>
      <c r="FA163" s="5">
        <f t="shared" si="1227"/>
        <v>0</v>
      </c>
      <c r="FB163" s="5">
        <f t="shared" si="1228"/>
        <v>0</v>
      </c>
      <c r="FC163" s="5">
        <f t="shared" si="1229"/>
        <v>0</v>
      </c>
      <c r="FD163" s="5">
        <f t="shared" si="1230"/>
        <v>0</v>
      </c>
      <c r="FE163" s="5">
        <f t="shared" si="1231"/>
        <v>0</v>
      </c>
      <c r="FF163" s="5">
        <f t="shared" si="1232"/>
        <v>0</v>
      </c>
      <c r="FG163" s="5">
        <f t="shared" si="1233"/>
        <v>0</v>
      </c>
      <c r="FH163" s="5">
        <f t="shared" si="1234"/>
        <v>0</v>
      </c>
      <c r="FI163" s="5">
        <f t="shared" si="1235"/>
        <v>0</v>
      </c>
      <c r="FJ163" s="5">
        <f t="shared" si="1236"/>
        <v>0</v>
      </c>
      <c r="FK163" s="5">
        <f t="shared" si="1237"/>
        <v>0</v>
      </c>
      <c r="FL163" s="5">
        <f t="shared" si="1238"/>
        <v>0</v>
      </c>
      <c r="FM163" s="5">
        <f t="shared" si="1239"/>
        <v>0</v>
      </c>
      <c r="FN163" s="5">
        <f t="shared" si="1240"/>
        <v>0</v>
      </c>
      <c r="FO163" s="5">
        <f t="shared" si="1241"/>
        <v>0</v>
      </c>
      <c r="FP163" s="5">
        <f t="shared" si="1242"/>
        <v>0</v>
      </c>
    </row>
    <row r="164" spans="1:172" ht="20.100000000000001" customHeight="1" x14ac:dyDescent="0.3">
      <c r="A164" s="8" t="str">
        <f>IF(Ciclo=4,"Surco 4",IF(Ciclo=5,"Surco 4","NA"))</f>
        <v>NA</v>
      </c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O164" s="58">
        <f>IF($A164="NA",0,IFERROR('6'!O$83/Ciclo,0))</f>
        <v>0</v>
      </c>
      <c r="P164" s="58">
        <f>IF($A164="NA",0,IFERROR('6'!P$83/Ciclo,0))</f>
        <v>0</v>
      </c>
      <c r="Q164" s="58">
        <f>IF($A164="NA",0,IFERROR('6'!Q$83/Ciclo,0))</f>
        <v>0</v>
      </c>
      <c r="R164" s="58">
        <f>IF($A164="NA",0,IFERROR('6'!R$83/Ciclo,0))</f>
        <v>0</v>
      </c>
      <c r="S164" s="58">
        <f>IF($A164="NA",0,IFERROR('6'!S$83/Ciclo,0))</f>
        <v>0</v>
      </c>
      <c r="T164" s="58">
        <f>IF($A164="NA",0,IFERROR('6'!T$83/Ciclo,0))</f>
        <v>0</v>
      </c>
      <c r="U164" s="58">
        <f>IF($A164="NA",0,IFERROR('6'!U$83/Ciclo,0))</f>
        <v>0</v>
      </c>
      <c r="V164" s="58">
        <f>IF($A164="NA",0,IFERROR('6'!V$83/Ciclo,0))</f>
        <v>0</v>
      </c>
      <c r="W164" s="5">
        <f>IF($A164="NA",0,IFERROR('6'!W$83/Ciclo,0))</f>
        <v>0</v>
      </c>
      <c r="X164" s="5">
        <f>IF($A164="NA",0,IFERROR('6'!X$83/Ciclo,0))</f>
        <v>0</v>
      </c>
      <c r="Y164" s="5">
        <f>IF($A164="NA",0,IFERROR('6'!Y$83/Ciclo,0))</f>
        <v>0</v>
      </c>
      <c r="Z164" s="5">
        <f>IF($A164="NA",0,IFERROR('6'!Z$83/Ciclo,0))</f>
        <v>0</v>
      </c>
      <c r="AB164" s="5">
        <f>IF($B$158="Producción",IF($B164&gt;=LI_A,$O164,0),0)</f>
        <v>0</v>
      </c>
      <c r="AC164" s="5">
        <f>IF($B$158="Producción",IF($B164&gt;=LI_B,IF($B164&lt;LS_B,$O164,0),0),0)</f>
        <v>0</v>
      </c>
      <c r="AD164" s="5">
        <f>IF($B$158="Producción",IF($B164&gt;=LI_C,IF($B164&lt;LS_C,$O164,0),0),0)</f>
        <v>0</v>
      </c>
      <c r="AE164" s="5">
        <f>IF($B$158="Producción",IF($B164&lt;LS_D,$O164,0),0)</f>
        <v>0</v>
      </c>
      <c r="AF164" s="5">
        <f t="shared" si="1243"/>
        <v>0</v>
      </c>
      <c r="AI164" s="5">
        <f>IF($C$158="Producción",IF($C164&gt;=LI_A,$P164,0),0)</f>
        <v>0</v>
      </c>
      <c r="AJ164" s="5">
        <f>IF($C$158="Producción",IF($C164&gt;=LI_B,IF($C164&lt;LS_B,$P164,0),0),0)</f>
        <v>0</v>
      </c>
      <c r="AK164" s="5">
        <f>IF($C$158="Producción",IF($C164&gt;=LI_C,IF($C164&lt;LS_C,$P164,0),0),0)</f>
        <v>0</v>
      </c>
      <c r="AL164" s="5">
        <f>IF($C$158="Producción",IF($C164&lt;LS_D,$P164,0),0)</f>
        <v>0</v>
      </c>
      <c r="AM164" s="5">
        <f>IF($C$158="Crecimiento",$P164,0)</f>
        <v>0</v>
      </c>
      <c r="AP164" s="5">
        <f>IF($D$158="Producción",IF($D164&gt;=LI_A,$Q164,0),0)</f>
        <v>0</v>
      </c>
      <c r="AQ164" s="5">
        <f>IF($D$158="Producción",IF($D164&gt;=LI_B,IF($D164&lt;LS_B,$Q164,0),0),0)</f>
        <v>0</v>
      </c>
      <c r="AR164" s="5">
        <f>IF($D$158="Producción",IF($D164&gt;=LI_C,IF($D164&lt;LS_C,$Q164,0),0),0)</f>
        <v>0</v>
      </c>
      <c r="AS164" s="5">
        <f>IF($D$158="Producción",IF($D164&lt;LS_D,$Q164,0),0)</f>
        <v>0</v>
      </c>
      <c r="AT164" s="5">
        <f>IF($D$158="Crecimiento",IF($D164&gt;0,$Q164,0),0)</f>
        <v>0</v>
      </c>
      <c r="AW164" s="5">
        <f>IF($E$158="Producción",IF($E164&gt;=LI_A,$R164,0),0)</f>
        <v>0</v>
      </c>
      <c r="AX164" s="5">
        <f>IF($E$158="Producción",IF($E164&gt;=LI_B,IF($E164&lt;LS_B,$R164,0),0),0)</f>
        <v>0</v>
      </c>
      <c r="AY164" s="5">
        <f>IF($E$158="Producción",IF($E164&gt;=LI_C,IF($E164&lt;LS_C,$R164,0),0),0)</f>
        <v>0</v>
      </c>
      <c r="AZ164" s="5">
        <f>IF($E$158="Producción",IF($E164&lt;LS_D,$R164,0),0)</f>
        <v>0</v>
      </c>
      <c r="BA164" s="5">
        <f>IF($E$158="Crecimiento",$R164,0)</f>
        <v>0</v>
      </c>
      <c r="BD164" s="5">
        <f>IF($F$158="Producción",IF($F164&gt;=LI_A,$S164,0),0)</f>
        <v>0</v>
      </c>
      <c r="BE164" s="5">
        <f>IF($F$158="Producción",IF($F164&gt;=LI_B,IF($F164&lt;LS_B,$S164,0),0),0)</f>
        <v>0</v>
      </c>
      <c r="BF164" s="5">
        <f>IF($F$158="Producción",IF($F164&gt;=LI_C,IF($F164&lt;LS_C,$S164,0),0),0)</f>
        <v>0</v>
      </c>
      <c r="BG164" s="5">
        <f>IF($F$158="Producción",IF($F164&lt;LS_D,$S164,0),0)</f>
        <v>0</v>
      </c>
      <c r="BH164" s="5">
        <f>IF($F$158="Crecimiento",$S164,0)</f>
        <v>0</v>
      </c>
      <c r="BK164" s="5">
        <f>IF($G$158="Producción",IF($G164&gt;=LI_A,$T164,0),0)</f>
        <v>0</v>
      </c>
      <c r="BL164" s="5">
        <f>IF($G$158="Producción",IF($G164&gt;=LI_B,IF($G164&lt;LS_B,$T164,0),0),0)</f>
        <v>0</v>
      </c>
      <c r="BM164" s="5">
        <f>IF($G$158="Producción",IF($G164&gt;=LI_C,IF($G164&lt;LS_C,$T164,0),0),0)</f>
        <v>0</v>
      </c>
      <c r="BN164" s="5">
        <f>IF($G$158="Producción",IF($G164&lt;LS_D,$T164,0),0)</f>
        <v>0</v>
      </c>
      <c r="BO164" s="5">
        <f>IF($G$158="Crecimiento",$T164,0)</f>
        <v>0</v>
      </c>
      <c r="BR164" s="5">
        <f>IF($H$158="Producción",IF($H164&gt;=LI_A,$U164,0),0)</f>
        <v>0</v>
      </c>
      <c r="BS164" s="5">
        <f>IF($H$158="Producción",IF($H164&gt;=LI_B,IF($H164&lt;LS_B,$U164,0),0),0)</f>
        <v>0</v>
      </c>
      <c r="BT164" s="5">
        <f>IF($H$158="Producción",IF($H164&gt;=LI_C,IF($H164&lt;LS_C,$U164,0),0),0)</f>
        <v>0</v>
      </c>
      <c r="BU164" s="5">
        <f>IF($H$158="Producción",IF($H164&lt;LS_D,$U164,0),0)</f>
        <v>0</v>
      </c>
      <c r="BV164" s="5">
        <f>IF($H$158="Crecimiento",$T164,0)</f>
        <v>0</v>
      </c>
      <c r="BY164" s="5">
        <f>IF($I$158="Producción",IF($I164&gt;=LI_A,$V164,0),0)</f>
        <v>0</v>
      </c>
      <c r="BZ164" s="5">
        <f>IF($I$158="Producción",IF($I164&gt;=LI_B,IF($I164&lt;LS_B,$V164,0),0),0)</f>
        <v>0</v>
      </c>
      <c r="CA164" s="5">
        <f>IF($I$158="Producción",IF($I164&gt;=LI_C,IF($I164&lt;LS_C,$V164,0),0),0)</f>
        <v>0</v>
      </c>
      <c r="CB164" s="5">
        <f>IF($I$158="Producción",IF($I164&lt;LS_D,$V164,0),0)</f>
        <v>0</v>
      </c>
      <c r="CC164" s="5">
        <f>IF($I$158="Crecimiento",$V164,0)</f>
        <v>0</v>
      </c>
      <c r="CF164" s="5">
        <f>IF($J$158="Producción",IF($J164&gt;=LI_A,$W164,0),0)</f>
        <v>0</v>
      </c>
      <c r="CG164" s="5">
        <f>IF($J$158="Producción",IF($J164&gt;=LI_B,IF($J164&lt;LS_B,$W164,0),0),0)</f>
        <v>0</v>
      </c>
      <c r="CH164" s="5">
        <f>IF($J$158="Producción",IF($J164&gt;=LI_C,IF($J164&lt;LS_C,$W164,0),0),0)</f>
        <v>0</v>
      </c>
      <c r="CI164" s="5">
        <f>IF($J$158="Producción",IF($J164&lt;LS_D,$W164,0),0)</f>
        <v>0</v>
      </c>
      <c r="CJ164" s="5">
        <f>IF($J$158="Crecimiento",$W164,0)</f>
        <v>0</v>
      </c>
      <c r="CM164" s="5">
        <f>IF($K$158="Producción",IF($K164&gt;=LI_A,$X164,0),0)</f>
        <v>0</v>
      </c>
      <c r="CN164" s="5">
        <f>IF($K$158="Producción",IF($K164&gt;=LI_B,IF($K164&lt;LS_B,$X164,0),0),0)</f>
        <v>0</v>
      </c>
      <c r="CO164" s="5">
        <f>IF($K$158="Producción",IF($K164&gt;=LI_C,IF($K164&lt;LS_C,$X164,0),0),0)</f>
        <v>0</v>
      </c>
      <c r="CP164" s="5">
        <f>IF($K$158="Producción",IF($K164&lt;LS_D,$X164,0),0)</f>
        <v>0</v>
      </c>
      <c r="CQ164" s="5">
        <f>IF($K$158="Crecimiento",$X164,0)</f>
        <v>0</v>
      </c>
      <c r="CT164" s="5">
        <f>IF($L$158="Producción",IF($L164&gt;=LI_A,$Y164,0),0)</f>
        <v>0</v>
      </c>
      <c r="CU164" s="5">
        <f>IF($L$158="Producción",IF($L164&gt;=LI_B,IF($L164&lt;LS_B,$Y164,0),0),0)</f>
        <v>0</v>
      </c>
      <c r="CV164" s="5">
        <f>IF($L$158="Producción",IF($L164&gt;=LI_C,IF($L164&lt;LS_C,$Y164,0),0),0)</f>
        <v>0</v>
      </c>
      <c r="CW164" s="5">
        <f>IF($L$158="Producción",IF($L164&lt;LS_D,$Y164,0),0)</f>
        <v>0</v>
      </c>
      <c r="CX164" s="5">
        <f>IF($L$158="Crecimiento",$Y164,0)</f>
        <v>0</v>
      </c>
      <c r="DA164" s="5">
        <f>IF($M$158="Producción",IF($M164&gt;=LI_A,$Z164,0),0)</f>
        <v>0</v>
      </c>
      <c r="DB164" s="5">
        <f>IF($M$158="Producción",IF($M164&gt;=LI_B,IF($M164&lt;LS_B,$Z164,0),0),0)</f>
        <v>0</v>
      </c>
      <c r="DC164" s="5">
        <f>IF($M$158="Producción",IF($M164&gt;=LI_C,IF($M164&lt;LS_C,$Z164,0),0),0)</f>
        <v>0</v>
      </c>
      <c r="DD164" s="5">
        <f>IF($M$158="Producción",IF($M164&lt;LS_D,$Z164,0),0)</f>
        <v>0</v>
      </c>
      <c r="DE164" s="5">
        <f>IF($M$158="Crecimiento",$Z164,0)</f>
        <v>0</v>
      </c>
      <c r="DI164" s="5">
        <f t="shared" si="1183"/>
        <v>0</v>
      </c>
      <c r="DJ164" s="5">
        <f t="shared" si="1184"/>
        <v>0</v>
      </c>
      <c r="DK164" s="5">
        <f t="shared" si="1185"/>
        <v>0</v>
      </c>
      <c r="DL164" s="5">
        <f t="shared" si="1186"/>
        <v>0</v>
      </c>
      <c r="DM164" s="5">
        <f t="shared" si="1187"/>
        <v>0</v>
      </c>
      <c r="DN164" s="5">
        <f t="shared" si="1188"/>
        <v>0</v>
      </c>
      <c r="DO164" s="5">
        <f t="shared" si="1189"/>
        <v>0</v>
      </c>
      <c r="DP164" s="5">
        <f t="shared" si="1190"/>
        <v>0</v>
      </c>
      <c r="DQ164" s="5">
        <f t="shared" si="1191"/>
        <v>0</v>
      </c>
      <c r="DR164" s="5">
        <f t="shared" si="1192"/>
        <v>0</v>
      </c>
      <c r="DS164" s="5">
        <f t="shared" si="1193"/>
        <v>0</v>
      </c>
      <c r="DT164" s="5">
        <f t="shared" si="1194"/>
        <v>0</v>
      </c>
      <c r="DU164" s="5">
        <f t="shared" si="1195"/>
        <v>0</v>
      </c>
      <c r="DV164" s="5">
        <f t="shared" si="1196"/>
        <v>0</v>
      </c>
      <c r="DW164" s="5">
        <f t="shared" si="1197"/>
        <v>0</v>
      </c>
      <c r="DX164" s="5">
        <f t="shared" si="1198"/>
        <v>0</v>
      </c>
      <c r="DY164" s="5">
        <f t="shared" si="1199"/>
        <v>0</v>
      </c>
      <c r="DZ164" s="5">
        <f t="shared" si="1200"/>
        <v>0</v>
      </c>
      <c r="EA164" s="5">
        <f t="shared" si="1201"/>
        <v>0</v>
      </c>
      <c r="EB164" s="5">
        <f t="shared" si="1202"/>
        <v>0</v>
      </c>
      <c r="EC164" s="5">
        <f t="shared" si="1203"/>
        <v>0</v>
      </c>
      <c r="ED164" s="5">
        <f t="shared" si="1204"/>
        <v>0</v>
      </c>
      <c r="EE164" s="5">
        <f t="shared" si="1205"/>
        <v>0</v>
      </c>
      <c r="EF164" s="5">
        <f t="shared" si="1206"/>
        <v>0</v>
      </c>
      <c r="EG164" s="5">
        <f t="shared" si="1207"/>
        <v>0</v>
      </c>
      <c r="EH164" s="5">
        <f t="shared" si="1208"/>
        <v>0</v>
      </c>
      <c r="EI164" s="5">
        <f t="shared" si="1209"/>
        <v>0</v>
      </c>
      <c r="EJ164" s="5">
        <f t="shared" si="1210"/>
        <v>0</v>
      </c>
      <c r="EK164" s="5">
        <f t="shared" si="1211"/>
        <v>0</v>
      </c>
      <c r="EL164" s="5">
        <f t="shared" si="1212"/>
        <v>0</v>
      </c>
      <c r="EM164" s="5">
        <f t="shared" si="1213"/>
        <v>0</v>
      </c>
      <c r="EN164" s="5">
        <f t="shared" si="1214"/>
        <v>0</v>
      </c>
      <c r="EO164" s="5">
        <f t="shared" si="1215"/>
        <v>0</v>
      </c>
      <c r="EP164" s="5">
        <f t="shared" si="1216"/>
        <v>0</v>
      </c>
      <c r="EQ164" s="5">
        <f t="shared" si="1217"/>
        <v>0</v>
      </c>
      <c r="ER164" s="5">
        <f t="shared" si="1218"/>
        <v>0</v>
      </c>
      <c r="ES164" s="5">
        <f t="shared" si="1219"/>
        <v>0</v>
      </c>
      <c r="ET164" s="5">
        <f t="shared" si="1220"/>
        <v>0</v>
      </c>
      <c r="EU164" s="5">
        <f t="shared" si="1221"/>
        <v>0</v>
      </c>
      <c r="EV164" s="5">
        <f t="shared" si="1222"/>
        <v>0</v>
      </c>
      <c r="EW164" s="5">
        <f t="shared" si="1223"/>
        <v>0</v>
      </c>
      <c r="EX164" s="5">
        <f t="shared" si="1224"/>
        <v>0</v>
      </c>
      <c r="EY164" s="5">
        <f t="shared" si="1225"/>
        <v>0</v>
      </c>
      <c r="EZ164" s="5">
        <f t="shared" si="1226"/>
        <v>0</v>
      </c>
      <c r="FA164" s="5">
        <f t="shared" si="1227"/>
        <v>0</v>
      </c>
      <c r="FB164" s="5">
        <f t="shared" si="1228"/>
        <v>0</v>
      </c>
      <c r="FC164" s="5">
        <f t="shared" si="1229"/>
        <v>0</v>
      </c>
      <c r="FD164" s="5">
        <f t="shared" si="1230"/>
        <v>0</v>
      </c>
      <c r="FE164" s="5">
        <f t="shared" si="1231"/>
        <v>0</v>
      </c>
      <c r="FF164" s="5">
        <f t="shared" si="1232"/>
        <v>0</v>
      </c>
      <c r="FG164" s="5">
        <f t="shared" si="1233"/>
        <v>0</v>
      </c>
      <c r="FH164" s="5">
        <f t="shared" si="1234"/>
        <v>0</v>
      </c>
      <c r="FI164" s="5">
        <f t="shared" si="1235"/>
        <v>0</v>
      </c>
      <c r="FJ164" s="5">
        <f t="shared" si="1236"/>
        <v>0</v>
      </c>
      <c r="FK164" s="5">
        <f t="shared" si="1237"/>
        <v>0</v>
      </c>
      <c r="FL164" s="5">
        <f t="shared" si="1238"/>
        <v>0</v>
      </c>
      <c r="FM164" s="5">
        <f t="shared" si="1239"/>
        <v>0</v>
      </c>
      <c r="FN164" s="5">
        <f t="shared" si="1240"/>
        <v>0</v>
      </c>
      <c r="FO164" s="5">
        <f t="shared" si="1241"/>
        <v>0</v>
      </c>
      <c r="FP164" s="5">
        <f t="shared" si="1242"/>
        <v>0</v>
      </c>
    </row>
    <row r="165" spans="1:172" ht="20.100000000000001" customHeight="1" x14ac:dyDescent="0.3">
      <c r="A165" s="9" t="str">
        <f>IF(Ciclo=5,"Surco 5","NA")</f>
        <v>NA</v>
      </c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O165" s="58">
        <f>IF($A165="NA",0,IFERROR('6'!O$83/Ciclo,0))</f>
        <v>0</v>
      </c>
      <c r="P165" s="58">
        <f>IF($A165="NA",0,IFERROR('6'!P$83/Ciclo,0))</f>
        <v>0</v>
      </c>
      <c r="Q165" s="58">
        <f>IF($A165="NA",0,IFERROR('6'!Q$83/Ciclo,0))</f>
        <v>0</v>
      </c>
      <c r="R165" s="58">
        <f>IF($A165="NA",0,IFERROR('6'!R$83/Ciclo,0))</f>
        <v>0</v>
      </c>
      <c r="S165" s="58">
        <f>IF($A165="NA",0,IFERROR('6'!S$83/Ciclo,0))</f>
        <v>0</v>
      </c>
      <c r="T165" s="58">
        <f>IF($A165="NA",0,IFERROR('6'!T$83/Ciclo,0))</f>
        <v>0</v>
      </c>
      <c r="U165" s="58">
        <f>IF($A165="NA",0,IFERROR('6'!U$83/Ciclo,0))</f>
        <v>0</v>
      </c>
      <c r="V165" s="58">
        <f>IF($A165="NA",0,IFERROR('6'!V$83/Ciclo,0))</f>
        <v>0</v>
      </c>
      <c r="W165" s="5">
        <f>IF($A165="NA",0,IFERROR('6'!W$83/Ciclo,0))</f>
        <v>0</v>
      </c>
      <c r="X165" s="5">
        <f>IF($A165="NA",0,IFERROR('6'!X$83/Ciclo,0))</f>
        <v>0</v>
      </c>
      <c r="Y165" s="5">
        <f>IF($A165="NA",0,IFERROR('6'!Y$83/Ciclo,0))</f>
        <v>0</v>
      </c>
      <c r="Z165" s="5">
        <f>IF($A165="NA",0,IFERROR('6'!Z$83/Ciclo,0))</f>
        <v>0</v>
      </c>
      <c r="AB165" s="5">
        <f>IF($B$158="Producción",IF($B165&gt;=LI_A,$O165,0),0)</f>
        <v>0</v>
      </c>
      <c r="AC165" s="5">
        <f>IF($B$158="Producción",IF($B165&gt;=LI_B,IF($B165&lt;LS_B,$O165,0),0),0)</f>
        <v>0</v>
      </c>
      <c r="AD165" s="5">
        <f>IF($B$158="Producción",IF($B165&gt;=LI_C,IF($B165&lt;LS_C,$O165,0),0),0)</f>
        <v>0</v>
      </c>
      <c r="AE165" s="5">
        <f>IF($B$158="Producción",IF($B165&lt;LS_D,$O165,0),0)</f>
        <v>0</v>
      </c>
      <c r="AF165" s="5">
        <f t="shared" si="1243"/>
        <v>0</v>
      </c>
      <c r="AI165" s="5">
        <f>IF($C$158="Producción",IF($C165&gt;=LI_A,$P165,0),0)</f>
        <v>0</v>
      </c>
      <c r="AJ165" s="5">
        <f>IF($C$158="Producción",IF($C165&gt;=LI_B,IF($C165&lt;LS_B,$P165,0),0),0)</f>
        <v>0</v>
      </c>
      <c r="AK165" s="5">
        <f>IF($C$158="Producción",IF($C165&gt;=LI_C,IF($C165&lt;LS_C,$P165,0),0),0)</f>
        <v>0</v>
      </c>
      <c r="AL165" s="5">
        <f>IF($C$158="Producción",IF($C165&lt;LS_D,$P165,0),0)</f>
        <v>0</v>
      </c>
      <c r="AM165" s="5">
        <f>IF($C$158="Crecimiento",$P165,0)</f>
        <v>0</v>
      </c>
      <c r="AP165" s="5">
        <f>IF($D$158="Producción",IF($D165&gt;=LI_A,$Q165,0),0)</f>
        <v>0</v>
      </c>
      <c r="AQ165" s="5">
        <f>IF($D$158="Producción",IF($D165&gt;=LI_B,IF($D165&lt;LS_B,$Q165,0),0),0)</f>
        <v>0</v>
      </c>
      <c r="AR165" s="5">
        <f>IF($D$158="Producción",IF($D165&gt;=LI_C,IF($D165&lt;LS_C,$Q165,0),0),0)</f>
        <v>0</v>
      </c>
      <c r="AS165" s="5">
        <f>IF($D$158="Producción",IF($D165&lt;LS_D,$Q165,0),0)</f>
        <v>0</v>
      </c>
      <c r="AT165" s="5">
        <f>IF($D$158="Crecimiento",IF($D165&gt;0,$Q165,0),0)</f>
        <v>0</v>
      </c>
      <c r="AW165" s="5">
        <f>IF($E$158="Producción",IF($E165&gt;=LI_A,$R165,0),0)</f>
        <v>0</v>
      </c>
      <c r="AX165" s="5">
        <f>IF($E$158="Producción",IF($E165&gt;=LI_B,IF($E165&lt;LS_B,$R165,0),0),0)</f>
        <v>0</v>
      </c>
      <c r="AY165" s="5">
        <f>IF($E$158="Producción",IF($E165&gt;=LI_C,IF($E165&lt;LS_C,$R165,0),0),0)</f>
        <v>0</v>
      </c>
      <c r="AZ165" s="5">
        <f>IF($E$158="Producción",IF($E165&lt;LS_D,$R165,0),0)</f>
        <v>0</v>
      </c>
      <c r="BA165" s="5">
        <f>IF($E$158="Crecimiento",$R165,0)</f>
        <v>0</v>
      </c>
      <c r="BD165" s="5">
        <f>IF($F$158="Producción",IF($F165&gt;=LI_A,$S165,0),0)</f>
        <v>0</v>
      </c>
      <c r="BE165" s="5">
        <f>IF($F$158="Producción",IF($F165&gt;=LI_B,IF($F165&lt;LS_B,$S165,0),0),0)</f>
        <v>0</v>
      </c>
      <c r="BF165" s="5">
        <f>IF($F$158="Producción",IF($F165&gt;=LI_C,IF($F165&lt;LS_C,$S165,0),0),0)</f>
        <v>0</v>
      </c>
      <c r="BG165" s="5">
        <f>IF($F$158="Producción",IF($F165&lt;LS_D,$S165,0),0)</f>
        <v>0</v>
      </c>
      <c r="BH165" s="5">
        <f>IF($F$158="Crecimiento",$S165,0)</f>
        <v>0</v>
      </c>
      <c r="BK165" s="5">
        <f>IF($G$158="Producción",IF($G165&gt;=LI_A,$T165,0),0)</f>
        <v>0</v>
      </c>
      <c r="BL165" s="5">
        <f>IF($G$158="Producción",IF($G165&gt;=LI_B,IF($G165&lt;LS_B,$T165,0),0),0)</f>
        <v>0</v>
      </c>
      <c r="BM165" s="5">
        <f>IF($G$158="Producción",IF($G165&gt;=LI_C,IF($G165&lt;LS_C,$T165,0),0),0)</f>
        <v>0</v>
      </c>
      <c r="BN165" s="5">
        <f>IF($G$158="Producción",IF($G165&lt;LS_D,$T165,0),0)</f>
        <v>0</v>
      </c>
      <c r="BO165" s="5">
        <f>IF($G$158="Crecimiento",$T165,0)</f>
        <v>0</v>
      </c>
      <c r="BR165" s="5">
        <f>IF($H$158="Producción",IF($H165&gt;=LI_A,$U165,0),0)</f>
        <v>0</v>
      </c>
      <c r="BS165" s="5">
        <f>IF($H$158="Producción",IF($H165&gt;=LI_B,IF($H165&lt;LS_B,$U165,0),0),0)</f>
        <v>0</v>
      </c>
      <c r="BT165" s="5">
        <f>IF($H$158="Producción",IF($H165&gt;=LI_C,IF($H165&lt;LS_C,$U165,0),0),0)</f>
        <v>0</v>
      </c>
      <c r="BU165" s="5">
        <f>IF($H$158="Producción",IF($H165&lt;LS_D,$U165,0),0)</f>
        <v>0</v>
      </c>
      <c r="BV165" s="5">
        <f>IF($H$158="Crecimiento",$T165,0)</f>
        <v>0</v>
      </c>
      <c r="BY165" s="5">
        <f>IF($I$158="Producción",IF($I165&gt;=LI_A,$V165,0),0)</f>
        <v>0</v>
      </c>
      <c r="BZ165" s="5">
        <f>IF($I$158="Producción",IF($I165&gt;=LI_B,IF($I165&lt;LS_B,$V165,0),0),0)</f>
        <v>0</v>
      </c>
      <c r="CA165" s="5">
        <f>IF($I$158="Producción",IF($I165&gt;=LI_C,IF($I165&lt;LS_C,$V165,0),0),0)</f>
        <v>0</v>
      </c>
      <c r="CB165" s="5">
        <f>IF($I$158="Producción",IF($I165&lt;LS_D,$V165,0),0)</f>
        <v>0</v>
      </c>
      <c r="CC165" s="5">
        <f>IF($I$158="Crecimiento",$V165,0)</f>
        <v>0</v>
      </c>
      <c r="CF165" s="5">
        <f>IF($J$158="Producción",IF($J165&gt;=LI_A,$W165,0),0)</f>
        <v>0</v>
      </c>
      <c r="CG165" s="5">
        <f>IF($J$158="Producción",IF($J165&gt;=LI_B,IF($J165&lt;LS_B,$W165,0),0),0)</f>
        <v>0</v>
      </c>
      <c r="CH165" s="5">
        <f>IF($J$158="Producción",IF($J165&gt;=LI_C,IF($J165&lt;LS_C,$W165,0),0),0)</f>
        <v>0</v>
      </c>
      <c r="CI165" s="5">
        <f>IF($J$158="Producción",IF($J165&lt;LS_D,$W165,0),0)</f>
        <v>0</v>
      </c>
      <c r="CJ165" s="5">
        <f>IF($J$158="Crecimiento",$W165,0)</f>
        <v>0</v>
      </c>
      <c r="CM165" s="5">
        <f>IF($K$158="Producción",IF($K165&gt;=LI_A,$X165,0),0)</f>
        <v>0</v>
      </c>
      <c r="CN165" s="5">
        <f>IF($K$158="Producción",IF($K165&gt;=LI_B,IF($K165&lt;LS_B,$X165,0),0),0)</f>
        <v>0</v>
      </c>
      <c r="CO165" s="5">
        <f>IF($K$158="Producción",IF($K165&gt;=LI_C,IF($K165&lt;LS_C,$X165,0),0),0)</f>
        <v>0</v>
      </c>
      <c r="CP165" s="5">
        <f>IF($K$158="Producción",IF($K165&lt;LS_D,$X165,0),0)</f>
        <v>0</v>
      </c>
      <c r="CQ165" s="5">
        <f>IF($K$158="Crecimiento",$X165,0)</f>
        <v>0</v>
      </c>
      <c r="CT165" s="5">
        <f>IF($L$158="Producción",IF($L165&gt;=LI_A,$Y165,0),0)</f>
        <v>0</v>
      </c>
      <c r="CU165" s="5">
        <f>IF($L$158="Producción",IF($L165&gt;=LI_B,IF($L165&lt;LS_B,$Y165,0),0),0)</f>
        <v>0</v>
      </c>
      <c r="CV165" s="5">
        <f>IF($L$158="Producción",IF($L165&gt;=LI_C,IF($L165&lt;LS_C,$Y165,0),0),0)</f>
        <v>0</v>
      </c>
      <c r="CW165" s="5">
        <f>IF($L$158="Producción",IF($L165&lt;LS_D,$Y165,0),0)</f>
        <v>0</v>
      </c>
      <c r="CX165" s="5">
        <f>IF($L$158="Crecimiento",$Y165,0)</f>
        <v>0</v>
      </c>
      <c r="DA165" s="5">
        <f>IF($M$158="Producción",IF($M165&gt;=LI_A,$Z165,0),0)</f>
        <v>0</v>
      </c>
      <c r="DB165" s="5">
        <f>IF($M$158="Producción",IF($M165&gt;=LI_B,IF($M165&lt;LS_B,$Z165,0),0),0)</f>
        <v>0</v>
      </c>
      <c r="DC165" s="5">
        <f>IF($M$158="Producción",IF($M165&gt;=LI_C,IF($M165&lt;LS_C,$Z165,0),0),0)</f>
        <v>0</v>
      </c>
      <c r="DD165" s="5">
        <f>IF($M$158="Producción",IF($M165&lt;LS_D,$Z165,0),0)</f>
        <v>0</v>
      </c>
      <c r="DE165" s="5">
        <f>IF($M$158="Crecimiento",$Z165,0)</f>
        <v>0</v>
      </c>
      <c r="DI165" s="5">
        <f t="shared" si="1183"/>
        <v>0</v>
      </c>
      <c r="DJ165" s="5">
        <f t="shared" si="1184"/>
        <v>0</v>
      </c>
      <c r="DK165" s="5">
        <f t="shared" si="1185"/>
        <v>0</v>
      </c>
      <c r="DL165" s="5">
        <f t="shared" si="1186"/>
        <v>0</v>
      </c>
      <c r="DM165" s="5">
        <f t="shared" si="1187"/>
        <v>0</v>
      </c>
      <c r="DN165" s="5">
        <f t="shared" si="1188"/>
        <v>0</v>
      </c>
      <c r="DO165" s="5">
        <f t="shared" si="1189"/>
        <v>0</v>
      </c>
      <c r="DP165" s="5">
        <f t="shared" si="1190"/>
        <v>0</v>
      </c>
      <c r="DQ165" s="5">
        <f t="shared" si="1191"/>
        <v>0</v>
      </c>
      <c r="DR165" s="5">
        <f t="shared" si="1192"/>
        <v>0</v>
      </c>
      <c r="DS165" s="5">
        <f t="shared" si="1193"/>
        <v>0</v>
      </c>
      <c r="DT165" s="5">
        <f t="shared" si="1194"/>
        <v>0</v>
      </c>
      <c r="DU165" s="5">
        <f t="shared" si="1195"/>
        <v>0</v>
      </c>
      <c r="DV165" s="5">
        <f t="shared" si="1196"/>
        <v>0</v>
      </c>
      <c r="DW165" s="5">
        <f t="shared" si="1197"/>
        <v>0</v>
      </c>
      <c r="DX165" s="5">
        <f t="shared" si="1198"/>
        <v>0</v>
      </c>
      <c r="DY165" s="5">
        <f t="shared" si="1199"/>
        <v>0</v>
      </c>
      <c r="DZ165" s="5">
        <f t="shared" si="1200"/>
        <v>0</v>
      </c>
      <c r="EA165" s="5">
        <f t="shared" si="1201"/>
        <v>0</v>
      </c>
      <c r="EB165" s="5">
        <f t="shared" si="1202"/>
        <v>0</v>
      </c>
      <c r="EC165" s="5">
        <f t="shared" si="1203"/>
        <v>0</v>
      </c>
      <c r="ED165" s="5">
        <f t="shared" si="1204"/>
        <v>0</v>
      </c>
      <c r="EE165" s="5">
        <f t="shared" si="1205"/>
        <v>0</v>
      </c>
      <c r="EF165" s="5">
        <f t="shared" si="1206"/>
        <v>0</v>
      </c>
      <c r="EG165" s="5">
        <f t="shared" si="1207"/>
        <v>0</v>
      </c>
      <c r="EH165" s="5">
        <f t="shared" si="1208"/>
        <v>0</v>
      </c>
      <c r="EI165" s="5">
        <f t="shared" si="1209"/>
        <v>0</v>
      </c>
      <c r="EJ165" s="5">
        <f t="shared" si="1210"/>
        <v>0</v>
      </c>
      <c r="EK165" s="5">
        <f t="shared" si="1211"/>
        <v>0</v>
      </c>
      <c r="EL165" s="5">
        <f t="shared" si="1212"/>
        <v>0</v>
      </c>
      <c r="EM165" s="5">
        <f t="shared" si="1213"/>
        <v>0</v>
      </c>
      <c r="EN165" s="5">
        <f t="shared" si="1214"/>
        <v>0</v>
      </c>
      <c r="EO165" s="5">
        <f t="shared" si="1215"/>
        <v>0</v>
      </c>
      <c r="EP165" s="5">
        <f t="shared" si="1216"/>
        <v>0</v>
      </c>
      <c r="EQ165" s="5">
        <f t="shared" si="1217"/>
        <v>0</v>
      </c>
      <c r="ER165" s="5">
        <f t="shared" si="1218"/>
        <v>0</v>
      </c>
      <c r="ES165" s="5">
        <f t="shared" si="1219"/>
        <v>0</v>
      </c>
      <c r="ET165" s="5">
        <f t="shared" si="1220"/>
        <v>0</v>
      </c>
      <c r="EU165" s="5">
        <f t="shared" si="1221"/>
        <v>0</v>
      </c>
      <c r="EV165" s="5">
        <f t="shared" si="1222"/>
        <v>0</v>
      </c>
      <c r="EW165" s="5">
        <f t="shared" si="1223"/>
        <v>0</v>
      </c>
      <c r="EX165" s="5">
        <f t="shared" si="1224"/>
        <v>0</v>
      </c>
      <c r="EY165" s="5">
        <f t="shared" si="1225"/>
        <v>0</v>
      </c>
      <c r="EZ165" s="5">
        <f t="shared" si="1226"/>
        <v>0</v>
      </c>
      <c r="FA165" s="5">
        <f t="shared" si="1227"/>
        <v>0</v>
      </c>
      <c r="FB165" s="5">
        <f t="shared" si="1228"/>
        <v>0</v>
      </c>
      <c r="FC165" s="5">
        <f t="shared" si="1229"/>
        <v>0</v>
      </c>
      <c r="FD165" s="5">
        <f t="shared" si="1230"/>
        <v>0</v>
      </c>
      <c r="FE165" s="5">
        <f t="shared" si="1231"/>
        <v>0</v>
      </c>
      <c r="FF165" s="5">
        <f t="shared" si="1232"/>
        <v>0</v>
      </c>
      <c r="FG165" s="5">
        <f t="shared" si="1233"/>
        <v>0</v>
      </c>
      <c r="FH165" s="5">
        <f t="shared" si="1234"/>
        <v>0</v>
      </c>
      <c r="FI165" s="5">
        <f t="shared" si="1235"/>
        <v>0</v>
      </c>
      <c r="FJ165" s="5">
        <f t="shared" si="1236"/>
        <v>0</v>
      </c>
      <c r="FK165" s="5">
        <f t="shared" si="1237"/>
        <v>0</v>
      </c>
      <c r="FL165" s="5">
        <f t="shared" si="1238"/>
        <v>0</v>
      </c>
      <c r="FM165" s="5">
        <f t="shared" si="1239"/>
        <v>0</v>
      </c>
      <c r="FN165" s="5">
        <f t="shared" si="1240"/>
        <v>0</v>
      </c>
      <c r="FO165" s="5">
        <f t="shared" si="1241"/>
        <v>0</v>
      </c>
      <c r="FP165" s="5">
        <f t="shared" si="1242"/>
        <v>0</v>
      </c>
    </row>
    <row r="166" spans="1:172" ht="20.100000000000001" customHeight="1" x14ac:dyDescent="0.3">
      <c r="A166" s="172">
        <f>N_L21</f>
        <v>0</v>
      </c>
      <c r="B166" s="363" t="s">
        <v>37</v>
      </c>
      <c r="C166" s="363" t="s">
        <v>37</v>
      </c>
      <c r="D166" s="363" t="s">
        <v>37</v>
      </c>
      <c r="E166" s="363" t="s">
        <v>37</v>
      </c>
      <c r="F166" s="363" t="s">
        <v>37</v>
      </c>
      <c r="G166" s="363" t="s">
        <v>37</v>
      </c>
      <c r="H166" s="363" t="s">
        <v>37</v>
      </c>
      <c r="I166" s="363" t="s">
        <v>37</v>
      </c>
      <c r="J166" s="363" t="s">
        <v>37</v>
      </c>
      <c r="K166" s="363" t="s">
        <v>37</v>
      </c>
      <c r="L166" s="363" t="s">
        <v>37</v>
      </c>
      <c r="M166" s="363" t="s">
        <v>37</v>
      </c>
    </row>
    <row r="167" spans="1:172" ht="20.100000000000001" customHeight="1" x14ac:dyDescent="0.3">
      <c r="A167" s="175" t="s">
        <v>238</v>
      </c>
      <c r="B167" s="174">
        <f>SUM(DI169:DM173)/100</f>
        <v>0</v>
      </c>
      <c r="C167" s="174">
        <f>SUM(DN169:DR173)/100</f>
        <v>0</v>
      </c>
      <c r="D167" s="174">
        <f>SUM(DS169:DW173)/100</f>
        <v>0</v>
      </c>
      <c r="E167" s="174">
        <f>SUM(DX169:EB173)/100</f>
        <v>0</v>
      </c>
      <c r="F167" s="174">
        <f>SUM(EC169:EG173)/100</f>
        <v>0</v>
      </c>
      <c r="G167" s="174">
        <f>SUM(EH169:EL173)/100</f>
        <v>0</v>
      </c>
      <c r="H167" s="174">
        <f>SUM(EM169:EQ173)/100</f>
        <v>0</v>
      </c>
      <c r="I167" s="174">
        <f>SUM(ER169:EV173)/100</f>
        <v>0</v>
      </c>
      <c r="J167" s="174">
        <f>SUM(EW169:FA173)/100</f>
        <v>0</v>
      </c>
      <c r="K167" s="174">
        <f>SUM(FB169:FF173)/100</f>
        <v>0</v>
      </c>
      <c r="L167" s="174">
        <f>SUM(FG169:FK173)/100</f>
        <v>0</v>
      </c>
      <c r="M167" s="174">
        <f>SUM(FL169:FP173)/100</f>
        <v>0</v>
      </c>
    </row>
    <row r="168" spans="1:172" ht="20.100000000000001" customHeight="1" x14ac:dyDescent="0.3">
      <c r="A168" s="151" t="s">
        <v>239</v>
      </c>
      <c r="B168" s="152" t="e">
        <f t="shared" ref="B168:M168" si="1244">B167/Lote_21</f>
        <v>#DIV/0!</v>
      </c>
      <c r="C168" s="152" t="e">
        <f t="shared" si="1244"/>
        <v>#DIV/0!</v>
      </c>
      <c r="D168" s="152" t="e">
        <f t="shared" si="1244"/>
        <v>#DIV/0!</v>
      </c>
      <c r="E168" s="152" t="e">
        <f t="shared" si="1244"/>
        <v>#DIV/0!</v>
      </c>
      <c r="F168" s="152" t="e">
        <f t="shared" si="1244"/>
        <v>#DIV/0!</v>
      </c>
      <c r="G168" s="152" t="e">
        <f t="shared" si="1244"/>
        <v>#DIV/0!</v>
      </c>
      <c r="H168" s="152" t="e">
        <f t="shared" si="1244"/>
        <v>#DIV/0!</v>
      </c>
      <c r="I168" s="152" t="e">
        <f t="shared" si="1244"/>
        <v>#DIV/0!</v>
      </c>
      <c r="J168" s="152" t="e">
        <f t="shared" si="1244"/>
        <v>#DIV/0!</v>
      </c>
      <c r="K168" s="152" t="e">
        <f t="shared" si="1244"/>
        <v>#DIV/0!</v>
      </c>
      <c r="L168" s="152" t="e">
        <f t="shared" si="1244"/>
        <v>#DIV/0!</v>
      </c>
      <c r="M168" s="152" t="e">
        <f t="shared" si="1244"/>
        <v>#DIV/0!</v>
      </c>
    </row>
    <row r="169" spans="1:172" ht="20.100000000000001" customHeight="1" x14ac:dyDescent="0.3">
      <c r="A169" s="8" t="s">
        <v>302</v>
      </c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O169" s="58">
        <f>IFERROR('6'!O$87/Ciclo,0)</f>
        <v>0</v>
      </c>
      <c r="P169" s="58">
        <f>IFERROR('6'!P$87/Ciclo,0)</f>
        <v>0</v>
      </c>
      <c r="Q169" s="58">
        <f>IFERROR('6'!Q$87/Ciclo,0)</f>
        <v>0</v>
      </c>
      <c r="R169" s="58">
        <f>IFERROR('6'!R$87/Ciclo,0)</f>
        <v>0</v>
      </c>
      <c r="S169" s="58">
        <f>IFERROR('6'!S$87/Ciclo,0)</f>
        <v>0</v>
      </c>
      <c r="T169" s="58">
        <f>IFERROR('6'!T$87/Ciclo,0)</f>
        <v>0</v>
      </c>
      <c r="U169" s="58">
        <f>IFERROR('6'!U$87/Ciclo,0)</f>
        <v>0</v>
      </c>
      <c r="V169" s="58">
        <f>IFERROR('6'!V$87/Ciclo,0)</f>
        <v>0</v>
      </c>
      <c r="W169" s="5">
        <f>IFERROR('6'!W$87/Ciclo,0)</f>
        <v>0</v>
      </c>
      <c r="X169" s="5">
        <f>IFERROR('6'!X$87/Ciclo,0)</f>
        <v>0</v>
      </c>
      <c r="Y169" s="5">
        <f>IFERROR('6'!Y$87/Ciclo,0)</f>
        <v>0</v>
      </c>
      <c r="Z169" s="5">
        <f>IFERROR('6'!Z$87/Ciclo,0)</f>
        <v>0</v>
      </c>
      <c r="AB169" s="5">
        <f>IF($B$166="Producción",IF($B169&gt;=LI_A,$O169,0),0)</f>
        <v>0</v>
      </c>
      <c r="AC169" s="5">
        <f>IF($B$166="Producción",IF($B169&gt;=LI_B,IF($B169&lt;LS_B,$O169,0),0),0)</f>
        <v>0</v>
      </c>
      <c r="AD169" s="5">
        <f>IF($B$166="Producción",IF($B169&gt;=LI_C,IF($B169&lt;LS_C,$O169,0),0),0)</f>
        <v>0</v>
      </c>
      <c r="AE169" s="5">
        <f>IF($B$166="Producción",IF($B169&lt;LS_D,$O169,0),0)</f>
        <v>0</v>
      </c>
      <c r="AF169" s="5">
        <f>IF($B$166="Crecimiento",$O169,0)</f>
        <v>0</v>
      </c>
      <c r="AG169" s="5">
        <f>IF($B166="Siembra",'6'!$O$7,0)</f>
        <v>0</v>
      </c>
      <c r="AH169" s="5">
        <f>IF($B166="Abandono",'6'!$O$7,0)</f>
        <v>0</v>
      </c>
      <c r="AI169" s="5">
        <f>IF($C$166="Producción",IF($C169&gt;=LI_A,$P169,0),0)</f>
        <v>0</v>
      </c>
      <c r="AJ169" s="5">
        <f>IF($C$166="Producción",IF($C169&gt;=LI_B,IF($C169&lt;LS_B,$P169,0),0),0)</f>
        <v>0</v>
      </c>
      <c r="AK169" s="5">
        <f>IF($C$166="Producción",IF($C169&gt;=LI_C,IF($C169&lt;LS_C,$P169,0),0),0)</f>
        <v>0</v>
      </c>
      <c r="AL169" s="5">
        <f>IF($C$166="Producción",IF($C169&lt;LS_D,$P169,0),0)</f>
        <v>0</v>
      </c>
      <c r="AM169" s="5">
        <f>IF($C$166="Crecimiento",$P169,0)</f>
        <v>0</v>
      </c>
      <c r="AN169" s="5">
        <f>IF($C166="Siembra",'6'!$P$7,0)</f>
        <v>0</v>
      </c>
      <c r="AO169" s="5">
        <f>IF($C166="Abandono",'6'!$P$7,0)</f>
        <v>0</v>
      </c>
      <c r="AP169" s="5">
        <f>IF($D$166="Producción",IF($D169&gt;=LI_A,$Q169,0),0)</f>
        <v>0</v>
      </c>
      <c r="AQ169" s="5">
        <f>IF($D$166="Producción",IF($D169&gt;=LI_B,IF($D169&lt;LS_B,$Q169,0),0),0)</f>
        <v>0</v>
      </c>
      <c r="AR169" s="5">
        <f>IF($D$166="Producción",IF($D169&gt;=LI_C,IF($D169&lt;LS_C,$Q169,0),0),0)</f>
        <v>0</v>
      </c>
      <c r="AS169" s="5">
        <f>IF($D$166="Producción",IF($D169&lt;LS_D,$Q169,0),0)</f>
        <v>0</v>
      </c>
      <c r="AT169" s="5">
        <f>IF($D$166="Crecimiento",IF($D169&gt;0,$Q169,0),0)</f>
        <v>0</v>
      </c>
      <c r="AU169" s="5">
        <f>IF($D166="Siembra",'6'!$Q$7,0)</f>
        <v>0</v>
      </c>
      <c r="AV169" s="5">
        <f>IF($D166="Abandono",'6'!$Q$7,0)</f>
        <v>0</v>
      </c>
      <c r="AW169" s="5">
        <f>IF($E$166="Producción",IF($E169&gt;=LI_A,$R169,0),0)</f>
        <v>0</v>
      </c>
      <c r="AX169" s="5">
        <f>IF($E$166="Producción",IF($E169&gt;=LI_B,IF($E169&lt;LS_B,$R169,0),0),0)</f>
        <v>0</v>
      </c>
      <c r="AY169" s="5">
        <f>IF($E$166="Producción",IF($E169&gt;=LI_C,IF($E169&lt;LS_C,$R169,0),0),0)</f>
        <v>0</v>
      </c>
      <c r="AZ169" s="5">
        <f>IF($E$166="Producción",IF($E169&lt;LS_D,$R169,0),0)</f>
        <v>0</v>
      </c>
      <c r="BA169" s="5">
        <f>IF($E$166="Crecimiento",$R169,0)</f>
        <v>0</v>
      </c>
      <c r="BB169" s="5">
        <f>IF($E166="Siembra",'6'!$R$7,0)</f>
        <v>0</v>
      </c>
      <c r="BC169" s="5">
        <f>IF($E166="Abandono",'6'!$R$7,0)</f>
        <v>0</v>
      </c>
      <c r="BD169" s="5">
        <f>IF($F$166="Producción",IF($F169&gt;=LI_A,$S169,0),0)</f>
        <v>0</v>
      </c>
      <c r="BE169" s="5">
        <f>IF($F$166="Producción",IF($F169&gt;=LI_B,IF($F169&lt;LS_B,$S169,0),0),0)</f>
        <v>0</v>
      </c>
      <c r="BF169" s="5">
        <f>IF($F$166="Producción",IF($F169&gt;=LI_C,IF($F169&lt;LS_C,$S169,0),0),0)</f>
        <v>0</v>
      </c>
      <c r="BG169" s="5">
        <f>IF($F$166="Producción",IF($F169&lt;LS_D,$S169,0),0)</f>
        <v>0</v>
      </c>
      <c r="BH169" s="5">
        <f>IF($F$166="Crecimiento",$S169,0)</f>
        <v>0</v>
      </c>
      <c r="BI169" s="5">
        <f>IF($F166="Siembra",'6'!$S$7,0)</f>
        <v>0</v>
      </c>
      <c r="BJ169" s="5">
        <f>IF($F166="Abandono",'6'!$S$7,0)</f>
        <v>0</v>
      </c>
      <c r="BK169" s="5">
        <f>IF($G$166="Producción",IF($G169&gt;=LI_A,$T169,0),0)</f>
        <v>0</v>
      </c>
      <c r="BL169" s="5">
        <f>IF($G$166="Producción",IF($G169&gt;=LI_B,IF($G169&lt;LS_B,$T169,0),0),0)</f>
        <v>0</v>
      </c>
      <c r="BM169" s="5">
        <f>IF($G$166="Producción",IF($G169&gt;=LI_C,IF($G169&lt;LS_C,$T169,0),0),0)</f>
        <v>0</v>
      </c>
      <c r="BN169" s="5">
        <f>IF($G$166="Producción",IF($G169&lt;LS_D,$T169,0),0)</f>
        <v>0</v>
      </c>
      <c r="BO169" s="5">
        <f>IF($G$166="Crecimiento",$T169,0)</f>
        <v>0</v>
      </c>
      <c r="BP169" s="5">
        <f>IF($G166="Siembra",'6'!$T$7,0)</f>
        <v>0</v>
      </c>
      <c r="BQ169" s="5">
        <f>IF($G166="Abandono",'6'!$T$7,0)</f>
        <v>0</v>
      </c>
      <c r="BR169" s="5">
        <f>IF($H$166="Producción",IF($H169&gt;=LI_A,$U169,0),0)</f>
        <v>0</v>
      </c>
      <c r="BS169" s="5">
        <f>IF($H$166="Producción",IF($H169&gt;=LI_B,IF($H169&lt;LS_B,$U169,0),0),0)</f>
        <v>0</v>
      </c>
      <c r="BT169" s="5">
        <f>IF($H$166="Producción",IF($H169&gt;=LI_C,IF($H169&lt;LS_C,$U169,0),0),0)</f>
        <v>0</v>
      </c>
      <c r="BU169" s="5">
        <f>IF($H$166="Producción",IF($H169&lt;LS_D,$U169,0),0)</f>
        <v>0</v>
      </c>
      <c r="BV169" s="5">
        <f>IF($H$166="Crecimiento",$T169,0)</f>
        <v>0</v>
      </c>
      <c r="BW169" s="5">
        <f>IF($H166="Siembra",'6'!$U$7,0)</f>
        <v>0</v>
      </c>
      <c r="BX169" s="5">
        <f>IF($H166="Abandono",'6'!$U$7,0)</f>
        <v>0</v>
      </c>
      <c r="BY169" s="5">
        <f>IF($I$166="Producción",IF($I169&gt;=LI_A,$V169,0),0)</f>
        <v>0</v>
      </c>
      <c r="BZ169" s="5">
        <f>IF($I$166="Producción",IF($I169&gt;=LI_B,IF($I169&lt;LS_B,$V169,0),0),0)</f>
        <v>0</v>
      </c>
      <c r="CA169" s="5">
        <f>IF($I$166="Producción",IF($I169&gt;=LI_C,IF($I169&lt;LS_C,$V169,0),0),0)</f>
        <v>0</v>
      </c>
      <c r="CB169" s="5">
        <f>IF($I$166="Producción",IF($I169&lt;LS_D,$V169,0),0)</f>
        <v>0</v>
      </c>
      <c r="CC169" s="5">
        <f>IF($I$166="Crecimiento",$V169,0)</f>
        <v>0</v>
      </c>
      <c r="CD169" s="5">
        <f>IF($I166="Siembra",'6'!$V$7,0)</f>
        <v>0</v>
      </c>
      <c r="CE169" s="5">
        <f>IF($I166="Abandono",'6'!$V$7,0)</f>
        <v>0</v>
      </c>
      <c r="CF169" s="5">
        <f>IF($J$166="Producción",IF($J169&gt;=LI_A,$W169,0),0)</f>
        <v>0</v>
      </c>
      <c r="CG169" s="5">
        <f>IF($J$166="Producción",IF($J169&gt;=LI_B,IF($J169&lt;LS_B,$W169,0),0),0)</f>
        <v>0</v>
      </c>
      <c r="CH169" s="5">
        <f>IF($J$166="Producción",IF($J169&gt;=LI_C,IF($J169&lt;LS_C,$W169,0),0),0)</f>
        <v>0</v>
      </c>
      <c r="CI169" s="5">
        <f>IF($J$166="Producción",IF($J169&lt;LS_D,$W169,0),0)</f>
        <v>0</v>
      </c>
      <c r="CJ169" s="5">
        <f>IF($J$166="Crecimiento",$W169,0)</f>
        <v>0</v>
      </c>
      <c r="CK169" s="5">
        <f>IF($J166="Siembra",'6'!$W$7,0)</f>
        <v>0</v>
      </c>
      <c r="CL169" s="5">
        <f>IF($J166="Abandono",'6'!$W$7,0)</f>
        <v>0</v>
      </c>
      <c r="CM169" s="5">
        <f>IF($K$166="Producción",IF($K169&gt;=LI_A,$X169,0),0)</f>
        <v>0</v>
      </c>
      <c r="CN169" s="5">
        <f>IF($K$166="Producción",IF($K169&gt;=LI_B,IF($K169&lt;LS_B,$X169,0),0),0)</f>
        <v>0</v>
      </c>
      <c r="CO169" s="5">
        <f>IF($K$166="Producción",IF($K169&gt;=LI_C,IF($K169&lt;LS_C,$X169,0),0),0)</f>
        <v>0</v>
      </c>
      <c r="CP169" s="5">
        <f>IF($K$166="Producción",IF($K169&lt;LS_D,$X169,0),0)</f>
        <v>0</v>
      </c>
      <c r="CQ169" s="5">
        <f>IF($K$166="Crecimiento",$X169,0)</f>
        <v>0</v>
      </c>
      <c r="CR169" s="5">
        <f>IF($K166="Siembra",'6'!$X$7,0)</f>
        <v>0</v>
      </c>
      <c r="CS169" s="5">
        <f>IF($K166="Abandono",'6'!$X$7,0)</f>
        <v>0</v>
      </c>
      <c r="CT169" s="5">
        <f>IF($L$166="Producción",IF($L169&gt;=LI_A,$Y169,0),0)</f>
        <v>0</v>
      </c>
      <c r="CU169" s="5">
        <f>IF($L$166="Producción",IF($L169&gt;=LI_B,IF($L169&lt;LS_B,$Y169,0),0),0)</f>
        <v>0</v>
      </c>
      <c r="CV169" s="5">
        <f>IF($L$166="Producción",IF($L169&gt;=LI_C,IF($L169&lt;LS_C,$Y169,0),0),0)</f>
        <v>0</v>
      </c>
      <c r="CW169" s="5">
        <f>IF($L$166="Producción",IF($L169&lt;LS_D,$Y169,0),0)</f>
        <v>0</v>
      </c>
      <c r="CX169" s="5">
        <f>IF($L$166="Crecimiento",$Y169,0)</f>
        <v>0</v>
      </c>
      <c r="CY169" s="5">
        <f>IF($L166="Siembra",'6'!$Y$7,0)</f>
        <v>0</v>
      </c>
      <c r="CZ169" s="5">
        <f>IF($L166="Abandono",'6'!$Y$7,0)</f>
        <v>0</v>
      </c>
      <c r="DA169" s="5">
        <f>IF($M$166="Producción",IF($M169&gt;=LI_A,$Z169,0),0)</f>
        <v>0</v>
      </c>
      <c r="DB169" s="5">
        <f>IF($M$166="Producción",IF($M169&gt;=LI_B,IF($M169&lt;LS_B,$Z169,0),0),0)</f>
        <v>0</v>
      </c>
      <c r="DC169" s="5">
        <f>IF($M$166="Producción",IF($M169&gt;=LI_C,IF($M169&lt;LS_C,$Z169,0),0),0)</f>
        <v>0</v>
      </c>
      <c r="DD169" s="5">
        <f>IF($M$166="Producción",IF($M169&lt;LS_D,$Z169,0),0)</f>
        <v>0</v>
      </c>
      <c r="DE169" s="5">
        <f>IF($M$166="Crecimiento",$Z169,0)</f>
        <v>0</v>
      </c>
      <c r="DF169" s="5">
        <f>IF($M166="Siembra",'6'!$Z$7,0)</f>
        <v>0</v>
      </c>
      <c r="DG169" s="5">
        <f>IF($M166="Abandono",'6'!$Z$7,0)</f>
        <v>0</v>
      </c>
      <c r="DI169" s="5">
        <f t="shared" ref="DI169:DI173" si="1245">AB169*$B169</f>
        <v>0</v>
      </c>
      <c r="DJ169" s="5">
        <f t="shared" ref="DJ169:DJ173" si="1246">AC169*$B169</f>
        <v>0</v>
      </c>
      <c r="DK169" s="5">
        <f t="shared" ref="DK169:DK173" si="1247">AD169*$B169</f>
        <v>0</v>
      </c>
      <c r="DL169" s="5">
        <f t="shared" ref="DL169:DL173" si="1248">AE169*$B169</f>
        <v>0</v>
      </c>
      <c r="DM169" s="5">
        <f t="shared" ref="DM169:DM173" si="1249">AF169*$B169</f>
        <v>0</v>
      </c>
      <c r="DN169" s="5">
        <f t="shared" ref="DN169:DN173" si="1250">AI169*$C169</f>
        <v>0</v>
      </c>
      <c r="DO169" s="5">
        <f t="shared" ref="DO169:DO173" si="1251">AJ169*$C169</f>
        <v>0</v>
      </c>
      <c r="DP169" s="5">
        <f t="shared" ref="DP169:DP173" si="1252">AK169*$C169</f>
        <v>0</v>
      </c>
      <c r="DQ169" s="5">
        <f t="shared" ref="DQ169:DQ173" si="1253">AL169*$C169</f>
        <v>0</v>
      </c>
      <c r="DR169" s="5">
        <f t="shared" ref="DR169:DR173" si="1254">AM169*$C169</f>
        <v>0</v>
      </c>
      <c r="DS169" s="5">
        <f t="shared" ref="DS169:DS173" si="1255">AP169*$D169</f>
        <v>0</v>
      </c>
      <c r="DT169" s="5">
        <f t="shared" ref="DT169:DT173" si="1256">AQ169*$D169</f>
        <v>0</v>
      </c>
      <c r="DU169" s="5">
        <f t="shared" ref="DU169:DU173" si="1257">AR169*$D169</f>
        <v>0</v>
      </c>
      <c r="DV169" s="5">
        <f t="shared" ref="DV169:DV173" si="1258">AS169*$D169</f>
        <v>0</v>
      </c>
      <c r="DW169" s="5">
        <f t="shared" ref="DW169:DW173" si="1259">AT169*$D169</f>
        <v>0</v>
      </c>
      <c r="DX169" s="5">
        <f t="shared" ref="DX169:DX173" si="1260">AW169*$E169</f>
        <v>0</v>
      </c>
      <c r="DY169" s="5">
        <f t="shared" ref="DY169:DY173" si="1261">AX169*$E169</f>
        <v>0</v>
      </c>
      <c r="DZ169" s="5">
        <f t="shared" ref="DZ169:DZ173" si="1262">AY169*$E169</f>
        <v>0</v>
      </c>
      <c r="EA169" s="5">
        <f t="shared" ref="EA169:EA173" si="1263">AZ169*$E169</f>
        <v>0</v>
      </c>
      <c r="EB169" s="5">
        <f t="shared" ref="EB169:EB173" si="1264">BA169*$E169</f>
        <v>0</v>
      </c>
      <c r="EC169" s="5">
        <f t="shared" ref="EC169:EC173" si="1265">BD169*$F169</f>
        <v>0</v>
      </c>
      <c r="ED169" s="5">
        <f t="shared" ref="ED169:ED173" si="1266">BE169*$F169</f>
        <v>0</v>
      </c>
      <c r="EE169" s="5">
        <f t="shared" ref="EE169:EE173" si="1267">BF169*$F169</f>
        <v>0</v>
      </c>
      <c r="EF169" s="5">
        <f t="shared" ref="EF169:EF173" si="1268">BG169*$F169</f>
        <v>0</v>
      </c>
      <c r="EG169" s="5">
        <f t="shared" ref="EG169:EG173" si="1269">BH169*$F169</f>
        <v>0</v>
      </c>
      <c r="EH169" s="5">
        <f t="shared" ref="EH169:EH173" si="1270">BK169*$G169</f>
        <v>0</v>
      </c>
      <c r="EI169" s="5">
        <f t="shared" ref="EI169:EI173" si="1271">BL169*$G169</f>
        <v>0</v>
      </c>
      <c r="EJ169" s="5">
        <f t="shared" ref="EJ169:EJ173" si="1272">BM169*$G169</f>
        <v>0</v>
      </c>
      <c r="EK169" s="5">
        <f t="shared" ref="EK169:EK173" si="1273">BN169*$G169</f>
        <v>0</v>
      </c>
      <c r="EL169" s="5">
        <f t="shared" ref="EL169:EL173" si="1274">BO169*$G169</f>
        <v>0</v>
      </c>
      <c r="EM169" s="5">
        <f t="shared" ref="EM169:EM173" si="1275">BR169*$H169</f>
        <v>0</v>
      </c>
      <c r="EN169" s="5">
        <f t="shared" ref="EN169:EN173" si="1276">BS169*$H169</f>
        <v>0</v>
      </c>
      <c r="EO169" s="5">
        <f t="shared" ref="EO169:EO173" si="1277">BT169*$H169</f>
        <v>0</v>
      </c>
      <c r="EP169" s="5">
        <f t="shared" ref="EP169:EP173" si="1278">BU169*$H169</f>
        <v>0</v>
      </c>
      <c r="EQ169" s="5">
        <f t="shared" ref="EQ169:EQ173" si="1279">BV169*$H169</f>
        <v>0</v>
      </c>
      <c r="ER169" s="5">
        <f t="shared" ref="ER169:ER173" si="1280">BY169*$I169</f>
        <v>0</v>
      </c>
      <c r="ES169" s="5">
        <f t="shared" ref="ES169:ES173" si="1281">BZ169*$I169</f>
        <v>0</v>
      </c>
      <c r="ET169" s="5">
        <f t="shared" ref="ET169:ET173" si="1282">CA169*$I169</f>
        <v>0</v>
      </c>
      <c r="EU169" s="5">
        <f t="shared" ref="EU169:EU173" si="1283">CB169*$I169</f>
        <v>0</v>
      </c>
      <c r="EV169" s="5">
        <f t="shared" ref="EV169:EV173" si="1284">CC169*$I169</f>
        <v>0</v>
      </c>
      <c r="EW169" s="5">
        <f t="shared" ref="EW169:EW173" si="1285">CF169*$J169</f>
        <v>0</v>
      </c>
      <c r="EX169" s="5">
        <f t="shared" ref="EX169:EX173" si="1286">CG169*$J169</f>
        <v>0</v>
      </c>
      <c r="EY169" s="5">
        <f t="shared" ref="EY169:EY173" si="1287">CH169*$J169</f>
        <v>0</v>
      </c>
      <c r="EZ169" s="5">
        <f t="shared" ref="EZ169:EZ173" si="1288">CI169*$J169</f>
        <v>0</v>
      </c>
      <c r="FA169" s="5">
        <f t="shared" ref="FA169:FA173" si="1289">CJ169*$J169</f>
        <v>0</v>
      </c>
      <c r="FB169" s="5">
        <f t="shared" ref="FB169:FB173" si="1290">CM169*$K169</f>
        <v>0</v>
      </c>
      <c r="FC169" s="5">
        <f t="shared" ref="FC169:FC173" si="1291">CN169*$K169</f>
        <v>0</v>
      </c>
      <c r="FD169" s="5">
        <f t="shared" ref="FD169:FD173" si="1292">CO169*$K169</f>
        <v>0</v>
      </c>
      <c r="FE169" s="5">
        <f t="shared" ref="FE169:FE173" si="1293">CP169*$K169</f>
        <v>0</v>
      </c>
      <c r="FF169" s="5">
        <f t="shared" ref="FF169:FF173" si="1294">CQ169*$K169</f>
        <v>0</v>
      </c>
      <c r="FG169" s="5">
        <f t="shared" ref="FG169:FG173" si="1295">CT169*$L169</f>
        <v>0</v>
      </c>
      <c r="FH169" s="5">
        <f t="shared" ref="FH169:FH173" si="1296">CU169*$L169</f>
        <v>0</v>
      </c>
      <c r="FI169" s="5">
        <f t="shared" ref="FI169:FI173" si="1297">CV169*$L169</f>
        <v>0</v>
      </c>
      <c r="FJ169" s="5">
        <f t="shared" ref="FJ169:FJ173" si="1298">CW169*$L169</f>
        <v>0</v>
      </c>
      <c r="FK169" s="5">
        <f t="shared" ref="FK169:FK173" si="1299">CX169*$L169</f>
        <v>0</v>
      </c>
      <c r="FL169" s="5">
        <f t="shared" ref="FL169:FL173" si="1300">DA169*$M169</f>
        <v>0</v>
      </c>
      <c r="FM169" s="5">
        <f t="shared" ref="FM169:FM173" si="1301">DB169*$M169</f>
        <v>0</v>
      </c>
      <c r="FN169" s="5">
        <f t="shared" ref="FN169:FN173" si="1302">DC169*$M169</f>
        <v>0</v>
      </c>
      <c r="FO169" s="5">
        <f t="shared" ref="FO169:FO173" si="1303">DD169*$M169</f>
        <v>0</v>
      </c>
      <c r="FP169" s="5">
        <f t="shared" ref="FP169:FP173" si="1304">DE169*$M169</f>
        <v>0</v>
      </c>
    </row>
    <row r="170" spans="1:172" ht="20.100000000000001" customHeight="1" x14ac:dyDescent="0.3">
      <c r="A170" s="8" t="s">
        <v>303</v>
      </c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O170" s="58">
        <f>IFERROR('6'!O$87/Ciclo,0)</f>
        <v>0</v>
      </c>
      <c r="P170" s="58">
        <f>IFERROR('6'!P$87/Ciclo,0)</f>
        <v>0</v>
      </c>
      <c r="Q170" s="58">
        <f>IFERROR('6'!Q$87/Ciclo,0)</f>
        <v>0</v>
      </c>
      <c r="R170" s="58">
        <f>IFERROR('6'!R$87/Ciclo,0)</f>
        <v>0</v>
      </c>
      <c r="S170" s="58">
        <f>IFERROR('6'!S$87/Ciclo,0)</f>
        <v>0</v>
      </c>
      <c r="T170" s="58">
        <f>IFERROR('6'!T$87/Ciclo,0)</f>
        <v>0</v>
      </c>
      <c r="U170" s="58">
        <f>IFERROR('6'!U$87/Ciclo,0)</f>
        <v>0</v>
      </c>
      <c r="V170" s="58">
        <f>IFERROR('6'!V$87/Ciclo,0)</f>
        <v>0</v>
      </c>
      <c r="W170" s="5">
        <f>IFERROR('6'!W$87/Ciclo,0)</f>
        <v>0</v>
      </c>
      <c r="X170" s="5">
        <f>IFERROR('6'!X$87/Ciclo,0)</f>
        <v>0</v>
      </c>
      <c r="Y170" s="5">
        <f>IFERROR('6'!Y$87/Ciclo,0)</f>
        <v>0</v>
      </c>
      <c r="Z170" s="5">
        <f>IFERROR('6'!Z$87/Ciclo,0)</f>
        <v>0</v>
      </c>
      <c r="AB170" s="5">
        <f>IF($B$166="Producción",IF($B170&gt;=LI_A,$O170,0),0)</f>
        <v>0</v>
      </c>
      <c r="AC170" s="5">
        <f>IF($B$166="Producción",IF($B170&gt;=LI_B,IF($B170&lt;LS_B,$O170,0),0),0)</f>
        <v>0</v>
      </c>
      <c r="AD170" s="5">
        <f>IF($B$166="Producción",IF($B170&gt;=LI_C,IF($B170&lt;LS_C,$O170,0),0),0)</f>
        <v>0</v>
      </c>
      <c r="AE170" s="5">
        <f>IF($B$166="Producción",IF($B170&lt;LS_D,$O170,0),0)</f>
        <v>0</v>
      </c>
      <c r="AF170" s="5">
        <f t="shared" ref="AF170:AF173" si="1305">IF($B$166="Crecimiento",$O170,0)</f>
        <v>0</v>
      </c>
      <c r="AI170" s="5">
        <f>IF($C$166="Producción",IF($C170&gt;=LI_A,$P170,0),0)</f>
        <v>0</v>
      </c>
      <c r="AJ170" s="5">
        <f>IF($C$166="Producción",IF($C170&gt;=LI_B,IF($C170&lt;LS_B,$P170,0),0),0)</f>
        <v>0</v>
      </c>
      <c r="AK170" s="5">
        <f>IF($C$166="Producción",IF($C170&gt;=LI_C,IF($C170&lt;LS_C,$P170,0),0),0)</f>
        <v>0</v>
      </c>
      <c r="AL170" s="5">
        <f>IF($C$166="Producción",IF($C170&lt;LS_D,$P170,0),0)</f>
        <v>0</v>
      </c>
      <c r="AM170" s="5">
        <f>IF($C$166="Crecimiento",$P170,0)</f>
        <v>0</v>
      </c>
      <c r="AP170" s="5">
        <f>IF($D$166="Producción",IF($D170&gt;=LI_A,$Q170,0),0)</f>
        <v>0</v>
      </c>
      <c r="AQ170" s="5">
        <f>IF($D$166="Producción",IF($D170&gt;=LI_B,IF($D170&lt;LS_B,$Q170,0),0),0)</f>
        <v>0</v>
      </c>
      <c r="AR170" s="5">
        <f>IF($D$166="Producción",IF($D170&gt;=LI_C,IF($D170&lt;LS_C,$Q170,0),0),0)</f>
        <v>0</v>
      </c>
      <c r="AS170" s="5">
        <f>IF($D$166="Producción",IF($D170&lt;LS_D,$Q170,0),0)</f>
        <v>0</v>
      </c>
      <c r="AT170" s="5">
        <f>IF($D$166="Crecimiento",IF($D170&gt;0,$Q170,0),0)</f>
        <v>0</v>
      </c>
      <c r="AW170" s="5">
        <f>IF($E$166="Producción",IF($E170&gt;=LI_A,$R170,0),0)</f>
        <v>0</v>
      </c>
      <c r="AX170" s="5">
        <f>IF($E$166="Producción",IF($E170&gt;=LI_B,IF($E170&lt;LS_B,$R170,0),0),0)</f>
        <v>0</v>
      </c>
      <c r="AY170" s="5">
        <f>IF($E$166="Producción",IF($E170&gt;=LI_C,IF($E170&lt;LS_C,$R170,0),0),0)</f>
        <v>0</v>
      </c>
      <c r="AZ170" s="5">
        <f>IF($E$166="Producción",IF($E170&lt;LS_D,$R170,0),0)</f>
        <v>0</v>
      </c>
      <c r="BA170" s="5">
        <f>IF($E$166="Crecimiento",$R170,0)</f>
        <v>0</v>
      </c>
      <c r="BD170" s="5">
        <f>IF($F$166="Producción",IF($F170&gt;=LI_A,$S170,0),0)</f>
        <v>0</v>
      </c>
      <c r="BE170" s="5">
        <f>IF($F$166="Producción",IF($F170&gt;=LI_B,IF($F170&lt;LS_B,$S170,0),0),0)</f>
        <v>0</v>
      </c>
      <c r="BF170" s="5">
        <f>IF($F$166="Producción",IF($F170&gt;=LI_C,IF($F170&lt;LS_C,$S170,0),0),0)</f>
        <v>0</v>
      </c>
      <c r="BG170" s="5">
        <f>IF($F$166="Producción",IF($F170&lt;LS_D,$S170,0),0)</f>
        <v>0</v>
      </c>
      <c r="BH170" s="5">
        <f>IF($F$166="Crecimiento",$S170,0)</f>
        <v>0</v>
      </c>
      <c r="BK170" s="5">
        <f>IF($G$166="Producción",IF($G170&gt;=LI_A,$T170,0),0)</f>
        <v>0</v>
      </c>
      <c r="BL170" s="5">
        <f>IF($G$166="Producción",IF($G170&gt;=LI_B,IF($G170&lt;LS_B,$T170,0),0),0)</f>
        <v>0</v>
      </c>
      <c r="BM170" s="5">
        <f>IF($G$166="Producción",IF($G170&gt;=LI_C,IF($G170&lt;LS_C,$T170,0),0),0)</f>
        <v>0</v>
      </c>
      <c r="BN170" s="5">
        <f>IF($G$166="Producción",IF($G170&lt;LS_D,$T170,0),0)</f>
        <v>0</v>
      </c>
      <c r="BO170" s="5">
        <f>IF($G$166="Crecimiento",$T170,0)</f>
        <v>0</v>
      </c>
      <c r="BR170" s="5">
        <f>IF($H$166="Producción",IF($H170&gt;=LI_A,$U170,0),0)</f>
        <v>0</v>
      </c>
      <c r="BS170" s="5">
        <f>IF($H$166="Producción",IF($H170&gt;=LI_B,IF($H170&lt;LS_B,$U170,0),0),0)</f>
        <v>0</v>
      </c>
      <c r="BT170" s="5">
        <f>IF($H$166="Producción",IF($H170&gt;=LI_C,IF($H170&lt;LS_C,$U170,0),0),0)</f>
        <v>0</v>
      </c>
      <c r="BU170" s="5">
        <f>IF($H$166="Producción",IF($H170&lt;LS_D,$U170,0),0)</f>
        <v>0</v>
      </c>
      <c r="BV170" s="5">
        <f>IF($H$166="Crecimiento",$T170,0)</f>
        <v>0</v>
      </c>
      <c r="BY170" s="5">
        <f>IF($I$166="Producción",IF($I170&gt;=LI_A,$V170,0),0)</f>
        <v>0</v>
      </c>
      <c r="BZ170" s="5">
        <f>IF($I$166="Producción",IF($I170&gt;=LI_B,IF($I170&lt;LS_B,$V170,0),0),0)</f>
        <v>0</v>
      </c>
      <c r="CA170" s="5">
        <f>IF($I$166="Producción",IF($I170&gt;=LI_C,IF($I170&lt;LS_C,$V170,0),0),0)</f>
        <v>0</v>
      </c>
      <c r="CB170" s="5">
        <f>IF($I$166="Producción",IF($I170&lt;LS_D,$V170,0),0)</f>
        <v>0</v>
      </c>
      <c r="CC170" s="5">
        <f>IF($I$166="Crecimiento",$V170,0)</f>
        <v>0</v>
      </c>
      <c r="CF170" s="5">
        <f>IF($J$166="Producción",IF($J170&gt;=LI_A,$W170,0),0)</f>
        <v>0</v>
      </c>
      <c r="CG170" s="5">
        <f>IF($J$166="Producción",IF($J170&gt;=LI_B,IF($J170&lt;LS_B,$W170,0),0),0)</f>
        <v>0</v>
      </c>
      <c r="CH170" s="5">
        <f>IF($J$166="Producción",IF($J170&gt;=LI_C,IF($J170&lt;LS_C,$W170,0),0),0)</f>
        <v>0</v>
      </c>
      <c r="CI170" s="5">
        <f>IF($J$166="Producción",IF($J170&lt;LS_D,$W170,0),0)</f>
        <v>0</v>
      </c>
      <c r="CJ170" s="5">
        <f>IF($J$166="Crecimiento",$W170,0)</f>
        <v>0</v>
      </c>
      <c r="CM170" s="5">
        <f>IF($K$166="Producción",IF($K170&gt;=LI_A,$X170,0),0)</f>
        <v>0</v>
      </c>
      <c r="CN170" s="5">
        <f>IF($K$166="Producción",IF($K170&gt;=LI_B,IF($K170&lt;LS_B,$X170,0),0),0)</f>
        <v>0</v>
      </c>
      <c r="CO170" s="5">
        <f>IF($K$166="Producción",IF($K170&gt;=LI_C,IF($K170&lt;LS_C,$X170,0),0),0)</f>
        <v>0</v>
      </c>
      <c r="CP170" s="5">
        <f>IF($K$166="Producción",IF($K170&lt;LS_D,$X170,0),0)</f>
        <v>0</v>
      </c>
      <c r="CQ170" s="5">
        <f>IF($K$166="Crecimiento",$X170,0)</f>
        <v>0</v>
      </c>
      <c r="CT170" s="5">
        <f>IF($L$166="Producción",IF($L170&gt;=LI_A,$Y170,0),0)</f>
        <v>0</v>
      </c>
      <c r="CU170" s="5">
        <f>IF($L$166="Producción",IF($L170&gt;=LI_B,IF($L170&lt;LS_B,$Y170,0),0),0)</f>
        <v>0</v>
      </c>
      <c r="CV170" s="5">
        <f>IF($L$166="Producción",IF($L170&gt;=LI_C,IF($L170&lt;LS_C,$Y170,0),0),0)</f>
        <v>0</v>
      </c>
      <c r="CW170" s="5">
        <f>IF($L$166="Producción",IF($L170&lt;LS_D,$Y170,0),0)</f>
        <v>0</v>
      </c>
      <c r="CX170" s="5">
        <f>IF($L$166="Crecimiento",$Y170,0)</f>
        <v>0</v>
      </c>
      <c r="DA170" s="5">
        <f>IF($M$166="Producción",IF($M170&gt;=LI_A,$Z170,0),0)</f>
        <v>0</v>
      </c>
      <c r="DB170" s="5">
        <f>IF($M$166="Producción",IF($M170&gt;=LI_B,IF($M170&lt;LS_B,$Z170,0),0),0)</f>
        <v>0</v>
      </c>
      <c r="DC170" s="5">
        <f>IF($M$166="Producción",IF($M170&gt;=LI_C,IF($M170&lt;LS_C,$Z170,0),0),0)</f>
        <v>0</v>
      </c>
      <c r="DD170" s="5">
        <f>IF($M$166="Producción",IF($M170&lt;LS_D,$Z170,0),0)</f>
        <v>0</v>
      </c>
      <c r="DE170" s="5">
        <f>IF($M$166="Crecimiento",$Z170,0)</f>
        <v>0</v>
      </c>
      <c r="DI170" s="5">
        <f t="shared" si="1245"/>
        <v>0</v>
      </c>
      <c r="DJ170" s="5">
        <f t="shared" si="1246"/>
        <v>0</v>
      </c>
      <c r="DK170" s="5">
        <f t="shared" si="1247"/>
        <v>0</v>
      </c>
      <c r="DL170" s="5">
        <f t="shared" si="1248"/>
        <v>0</v>
      </c>
      <c r="DM170" s="5">
        <f t="shared" si="1249"/>
        <v>0</v>
      </c>
      <c r="DN170" s="5">
        <f t="shared" si="1250"/>
        <v>0</v>
      </c>
      <c r="DO170" s="5">
        <f t="shared" si="1251"/>
        <v>0</v>
      </c>
      <c r="DP170" s="5">
        <f t="shared" si="1252"/>
        <v>0</v>
      </c>
      <c r="DQ170" s="5">
        <f t="shared" si="1253"/>
        <v>0</v>
      </c>
      <c r="DR170" s="5">
        <f t="shared" si="1254"/>
        <v>0</v>
      </c>
      <c r="DS170" s="5">
        <f t="shared" si="1255"/>
        <v>0</v>
      </c>
      <c r="DT170" s="5">
        <f t="shared" si="1256"/>
        <v>0</v>
      </c>
      <c r="DU170" s="5">
        <f t="shared" si="1257"/>
        <v>0</v>
      </c>
      <c r="DV170" s="5">
        <f t="shared" si="1258"/>
        <v>0</v>
      </c>
      <c r="DW170" s="5">
        <f t="shared" si="1259"/>
        <v>0</v>
      </c>
      <c r="DX170" s="5">
        <f t="shared" si="1260"/>
        <v>0</v>
      </c>
      <c r="DY170" s="5">
        <f t="shared" si="1261"/>
        <v>0</v>
      </c>
      <c r="DZ170" s="5">
        <f t="shared" si="1262"/>
        <v>0</v>
      </c>
      <c r="EA170" s="5">
        <f t="shared" si="1263"/>
        <v>0</v>
      </c>
      <c r="EB170" s="5">
        <f t="shared" si="1264"/>
        <v>0</v>
      </c>
      <c r="EC170" s="5">
        <f t="shared" si="1265"/>
        <v>0</v>
      </c>
      <c r="ED170" s="5">
        <f t="shared" si="1266"/>
        <v>0</v>
      </c>
      <c r="EE170" s="5">
        <f t="shared" si="1267"/>
        <v>0</v>
      </c>
      <c r="EF170" s="5">
        <f t="shared" si="1268"/>
        <v>0</v>
      </c>
      <c r="EG170" s="5">
        <f t="shared" si="1269"/>
        <v>0</v>
      </c>
      <c r="EH170" s="5">
        <f t="shared" si="1270"/>
        <v>0</v>
      </c>
      <c r="EI170" s="5">
        <f t="shared" si="1271"/>
        <v>0</v>
      </c>
      <c r="EJ170" s="5">
        <f t="shared" si="1272"/>
        <v>0</v>
      </c>
      <c r="EK170" s="5">
        <f t="shared" si="1273"/>
        <v>0</v>
      </c>
      <c r="EL170" s="5">
        <f t="shared" si="1274"/>
        <v>0</v>
      </c>
      <c r="EM170" s="5">
        <f t="shared" si="1275"/>
        <v>0</v>
      </c>
      <c r="EN170" s="5">
        <f t="shared" si="1276"/>
        <v>0</v>
      </c>
      <c r="EO170" s="5">
        <f t="shared" si="1277"/>
        <v>0</v>
      </c>
      <c r="EP170" s="5">
        <f t="shared" si="1278"/>
        <v>0</v>
      </c>
      <c r="EQ170" s="5">
        <f t="shared" si="1279"/>
        <v>0</v>
      </c>
      <c r="ER170" s="5">
        <f t="shared" si="1280"/>
        <v>0</v>
      </c>
      <c r="ES170" s="5">
        <f t="shared" si="1281"/>
        <v>0</v>
      </c>
      <c r="ET170" s="5">
        <f t="shared" si="1282"/>
        <v>0</v>
      </c>
      <c r="EU170" s="5">
        <f t="shared" si="1283"/>
        <v>0</v>
      </c>
      <c r="EV170" s="5">
        <f t="shared" si="1284"/>
        <v>0</v>
      </c>
      <c r="EW170" s="5">
        <f t="shared" si="1285"/>
        <v>0</v>
      </c>
      <c r="EX170" s="5">
        <f t="shared" si="1286"/>
        <v>0</v>
      </c>
      <c r="EY170" s="5">
        <f t="shared" si="1287"/>
        <v>0</v>
      </c>
      <c r="EZ170" s="5">
        <f t="shared" si="1288"/>
        <v>0</v>
      </c>
      <c r="FA170" s="5">
        <f t="shared" si="1289"/>
        <v>0</v>
      </c>
      <c r="FB170" s="5">
        <f t="shared" si="1290"/>
        <v>0</v>
      </c>
      <c r="FC170" s="5">
        <f t="shared" si="1291"/>
        <v>0</v>
      </c>
      <c r="FD170" s="5">
        <f t="shared" si="1292"/>
        <v>0</v>
      </c>
      <c r="FE170" s="5">
        <f t="shared" si="1293"/>
        <v>0</v>
      </c>
      <c r="FF170" s="5">
        <f t="shared" si="1294"/>
        <v>0</v>
      </c>
      <c r="FG170" s="5">
        <f t="shared" si="1295"/>
        <v>0</v>
      </c>
      <c r="FH170" s="5">
        <f t="shared" si="1296"/>
        <v>0</v>
      </c>
      <c r="FI170" s="5">
        <f t="shared" si="1297"/>
        <v>0</v>
      </c>
      <c r="FJ170" s="5">
        <f t="shared" si="1298"/>
        <v>0</v>
      </c>
      <c r="FK170" s="5">
        <f t="shared" si="1299"/>
        <v>0</v>
      </c>
      <c r="FL170" s="5">
        <f t="shared" si="1300"/>
        <v>0</v>
      </c>
      <c r="FM170" s="5">
        <f t="shared" si="1301"/>
        <v>0</v>
      </c>
      <c r="FN170" s="5">
        <f t="shared" si="1302"/>
        <v>0</v>
      </c>
      <c r="FO170" s="5">
        <f t="shared" si="1303"/>
        <v>0</v>
      </c>
      <c r="FP170" s="5">
        <f t="shared" si="1304"/>
        <v>0</v>
      </c>
    </row>
    <row r="171" spans="1:172" ht="20.100000000000001" customHeight="1" x14ac:dyDescent="0.3">
      <c r="A171" s="8" t="str">
        <f>IF(Ciclo&gt;2,"Surco 3","NA")</f>
        <v>Surco 3</v>
      </c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O171" s="58">
        <f>IF($A171="NA",0,IFERROR('6'!O$87/Ciclo,0))</f>
        <v>0</v>
      </c>
      <c r="P171" s="58">
        <f>IF($A171="NA",0,IFERROR('6'!P$87/Ciclo,0))</f>
        <v>0</v>
      </c>
      <c r="Q171" s="58">
        <f>IF($A171="NA",0,IFERROR('6'!Q$87/Ciclo,0))</f>
        <v>0</v>
      </c>
      <c r="R171" s="58">
        <f>IF($A171="NA",0,IFERROR('6'!R$87/Ciclo,0))</f>
        <v>0</v>
      </c>
      <c r="S171" s="58">
        <f>IF($A171="NA",0,IFERROR('6'!S$87/Ciclo,0))</f>
        <v>0</v>
      </c>
      <c r="T171" s="58">
        <f>IF($A171="NA",0,IFERROR('6'!T$87/Ciclo,0))</f>
        <v>0</v>
      </c>
      <c r="U171" s="58">
        <f>IF($A171="NA",0,IFERROR('6'!U$87/Ciclo,0))</f>
        <v>0</v>
      </c>
      <c r="V171" s="58">
        <f>IF($A171="NA",0,IFERROR('6'!V$87/Ciclo,0))</f>
        <v>0</v>
      </c>
      <c r="W171" s="5">
        <f>IF($A171="NA",0,IFERROR('6'!W$87/Ciclo,0))</f>
        <v>0</v>
      </c>
      <c r="X171" s="5">
        <f>IF($A171="NA",0,IFERROR('6'!X$87/Ciclo,0))</f>
        <v>0</v>
      </c>
      <c r="Y171" s="5">
        <f>IF($A171="NA",0,IFERROR('6'!Y$87/Ciclo,0))</f>
        <v>0</v>
      </c>
      <c r="Z171" s="5">
        <f>IF($A171="NA",0,IFERROR('6'!Z$87/Ciclo,0))</f>
        <v>0</v>
      </c>
      <c r="AB171" s="5">
        <f>IF($B$166="Producción",IF($B171&gt;=LI_A,$O171,0),0)</f>
        <v>0</v>
      </c>
      <c r="AC171" s="5">
        <f>IF($B$166="Producción",IF($B171&gt;=LI_B,IF($B171&lt;LS_B,$O171,0),0),0)</f>
        <v>0</v>
      </c>
      <c r="AD171" s="5">
        <f>IF($B$166="Producción",IF($B171&gt;=LI_C,IF($B171&lt;LS_C,$O171,0),0),0)</f>
        <v>0</v>
      </c>
      <c r="AE171" s="5">
        <f>IF($B$166="Producción",IF($B171&lt;LS_D,$O171,0),0)</f>
        <v>0</v>
      </c>
      <c r="AF171" s="5">
        <f t="shared" si="1305"/>
        <v>0</v>
      </c>
      <c r="AI171" s="5">
        <f>IF($C$166="Producción",IF($C171&gt;=LI_A,$P171,0),0)</f>
        <v>0</v>
      </c>
      <c r="AJ171" s="5">
        <f>IF($C$166="Producción",IF($C171&gt;=LI_B,IF($C171&lt;LS_B,$P171,0),0),0)</f>
        <v>0</v>
      </c>
      <c r="AK171" s="5">
        <f>IF($C$166="Producción",IF($C171&gt;=LI_C,IF($C171&lt;LS_C,$P171,0),0),0)</f>
        <v>0</v>
      </c>
      <c r="AL171" s="5">
        <f>IF($C$166="Producción",IF($C171&lt;LS_D,$P171,0),0)</f>
        <v>0</v>
      </c>
      <c r="AM171" s="5">
        <f>IF($C$166="Crecimiento",$P171,0)</f>
        <v>0</v>
      </c>
      <c r="AP171" s="5">
        <f>IF($D$166="Producción",IF($D171&gt;=LI_A,$Q171,0),0)</f>
        <v>0</v>
      </c>
      <c r="AQ171" s="5">
        <f>IF($D$166="Producción",IF($D171&gt;=LI_B,IF($D171&lt;LS_B,$Q171,0),0),0)</f>
        <v>0</v>
      </c>
      <c r="AR171" s="5">
        <f>IF($D$166="Producción",IF($D171&gt;=LI_C,IF($D171&lt;LS_C,$Q171,0),0),0)</f>
        <v>0</v>
      </c>
      <c r="AS171" s="5">
        <f>IF($D$166="Producción",IF($D171&lt;LS_D,$Q171,0),0)</f>
        <v>0</v>
      </c>
      <c r="AT171" s="5">
        <f>IF($D$166="Crecimiento",IF($D171&gt;0,$Q171,0),0)</f>
        <v>0</v>
      </c>
      <c r="AW171" s="5">
        <f>IF($E$166="Producción",IF($E171&gt;=LI_A,$R171,0),0)</f>
        <v>0</v>
      </c>
      <c r="AX171" s="5">
        <f>IF($E$166="Producción",IF($E171&gt;=LI_B,IF($E171&lt;LS_B,$R171,0),0),0)</f>
        <v>0</v>
      </c>
      <c r="AY171" s="5">
        <f>IF($E$166="Producción",IF($E171&gt;=LI_C,IF($E171&lt;LS_C,$R171,0),0),0)</f>
        <v>0</v>
      </c>
      <c r="AZ171" s="5">
        <f>IF($E$166="Producción",IF($E171&lt;LS_D,$R171,0),0)</f>
        <v>0</v>
      </c>
      <c r="BA171" s="5">
        <f>IF($E$166="Crecimiento",$R171,0)</f>
        <v>0</v>
      </c>
      <c r="BD171" s="5">
        <f>IF($F$166="Producción",IF($F171&gt;=LI_A,$S171,0),0)</f>
        <v>0</v>
      </c>
      <c r="BE171" s="5">
        <f>IF($F$166="Producción",IF($F171&gt;=LI_B,IF($F171&lt;LS_B,$S171,0),0),0)</f>
        <v>0</v>
      </c>
      <c r="BF171" s="5">
        <f>IF($F$166="Producción",IF($F171&gt;=LI_C,IF($F171&lt;LS_C,$S171,0),0),0)</f>
        <v>0</v>
      </c>
      <c r="BG171" s="5">
        <f>IF($F$166="Producción",IF($F171&lt;LS_D,$S171,0),0)</f>
        <v>0</v>
      </c>
      <c r="BH171" s="5">
        <f>IF($F$166="Crecimiento",$S171,0)</f>
        <v>0</v>
      </c>
      <c r="BK171" s="5">
        <f>IF($G$166="Producción",IF($G171&gt;=LI_A,$T171,0),0)</f>
        <v>0</v>
      </c>
      <c r="BL171" s="5">
        <f>IF($G$166="Producción",IF($G171&gt;=LI_B,IF($G171&lt;LS_B,$T171,0),0),0)</f>
        <v>0</v>
      </c>
      <c r="BM171" s="5">
        <f>IF($G$166="Producción",IF($G171&gt;=LI_C,IF($G171&lt;LS_C,$T171,0),0),0)</f>
        <v>0</v>
      </c>
      <c r="BN171" s="5">
        <f>IF($G$166="Producción",IF($G171&lt;LS_D,$T171,0),0)</f>
        <v>0</v>
      </c>
      <c r="BO171" s="5">
        <f>IF($G$166="Crecimiento",$T171,0)</f>
        <v>0</v>
      </c>
      <c r="BR171" s="5">
        <f>IF($H$166="Producción",IF($H171&gt;=LI_A,$U171,0),0)</f>
        <v>0</v>
      </c>
      <c r="BS171" s="5">
        <f>IF($H$166="Producción",IF($H171&gt;=LI_B,IF($H171&lt;LS_B,$U171,0),0),0)</f>
        <v>0</v>
      </c>
      <c r="BT171" s="5">
        <f>IF($H$166="Producción",IF($H171&gt;=LI_C,IF($H171&lt;LS_C,$U171,0),0),0)</f>
        <v>0</v>
      </c>
      <c r="BU171" s="5">
        <f>IF($H$166="Producción",IF($H171&lt;LS_D,$U171,0),0)</f>
        <v>0</v>
      </c>
      <c r="BV171" s="5">
        <f>IF($H$166="Crecimiento",$T171,0)</f>
        <v>0</v>
      </c>
      <c r="BY171" s="5">
        <f>IF($I$166="Producción",IF($I171&gt;=LI_A,$V171,0),0)</f>
        <v>0</v>
      </c>
      <c r="BZ171" s="5">
        <f>IF($I$166="Producción",IF($I171&gt;=LI_B,IF($I171&lt;LS_B,$V171,0),0),0)</f>
        <v>0</v>
      </c>
      <c r="CA171" s="5">
        <f>IF($I$166="Producción",IF($I171&gt;=LI_C,IF($I171&lt;LS_C,$V171,0),0),0)</f>
        <v>0</v>
      </c>
      <c r="CB171" s="5">
        <f>IF($I$166="Producción",IF($I171&lt;LS_D,$V171,0),0)</f>
        <v>0</v>
      </c>
      <c r="CC171" s="5">
        <f>IF($I$166="Crecimiento",$V171,0)</f>
        <v>0</v>
      </c>
      <c r="CF171" s="5">
        <f>IF($J$166="Producción",IF($J171&gt;=LI_A,$W171,0),0)</f>
        <v>0</v>
      </c>
      <c r="CG171" s="5">
        <f>IF($J$166="Producción",IF($J171&gt;=LI_B,IF($J171&lt;LS_B,$W171,0),0),0)</f>
        <v>0</v>
      </c>
      <c r="CH171" s="5">
        <f>IF($J$166="Producción",IF($J171&gt;=LI_C,IF($J171&lt;LS_C,$W171,0),0),0)</f>
        <v>0</v>
      </c>
      <c r="CI171" s="5">
        <f>IF($J$166="Producción",IF($J171&lt;LS_D,$W171,0),0)</f>
        <v>0</v>
      </c>
      <c r="CJ171" s="5">
        <f>IF($J$166="Crecimiento",$W171,0)</f>
        <v>0</v>
      </c>
      <c r="CM171" s="5">
        <f>IF($K$166="Producción",IF($K171&gt;=LI_A,$X171,0),0)</f>
        <v>0</v>
      </c>
      <c r="CN171" s="5">
        <f>IF($K$166="Producción",IF($K171&gt;=LI_B,IF($K171&lt;LS_B,$X171,0),0),0)</f>
        <v>0</v>
      </c>
      <c r="CO171" s="5">
        <f>IF($K$166="Producción",IF($K171&gt;=LI_C,IF($K171&lt;LS_C,$X171,0),0),0)</f>
        <v>0</v>
      </c>
      <c r="CP171" s="5">
        <f>IF($K$166="Producción",IF($K171&lt;LS_D,$X171,0),0)</f>
        <v>0</v>
      </c>
      <c r="CQ171" s="5">
        <f>IF($K$166="Crecimiento",$X171,0)</f>
        <v>0</v>
      </c>
      <c r="CT171" s="5">
        <f>IF($L$166="Producción",IF($L171&gt;=LI_A,$Y171,0),0)</f>
        <v>0</v>
      </c>
      <c r="CU171" s="5">
        <f>IF($L$166="Producción",IF($L171&gt;=LI_B,IF($L171&lt;LS_B,$Y171,0),0),0)</f>
        <v>0</v>
      </c>
      <c r="CV171" s="5">
        <f>IF($L$166="Producción",IF($L171&gt;=LI_C,IF($L171&lt;LS_C,$Y171,0),0),0)</f>
        <v>0</v>
      </c>
      <c r="CW171" s="5">
        <f>IF($L$166="Producción",IF($L171&lt;LS_D,$Y171,0),0)</f>
        <v>0</v>
      </c>
      <c r="CX171" s="5">
        <f>IF($L$166="Crecimiento",$Y171,0)</f>
        <v>0</v>
      </c>
      <c r="DA171" s="5">
        <f>IF($M$166="Producción",IF($M171&gt;=LI_A,$Z171,0),0)</f>
        <v>0</v>
      </c>
      <c r="DB171" s="5">
        <f>IF($M$166="Producción",IF($M171&gt;=LI_B,IF($M171&lt;LS_B,$Z171,0),0),0)</f>
        <v>0</v>
      </c>
      <c r="DC171" s="5">
        <f>IF($M$166="Producción",IF($M171&gt;=LI_C,IF($M171&lt;LS_C,$Z171,0),0),0)</f>
        <v>0</v>
      </c>
      <c r="DD171" s="5">
        <f>IF($M$166="Producción",IF($M171&lt;LS_D,$Z171,0),0)</f>
        <v>0</v>
      </c>
      <c r="DE171" s="5">
        <f>IF($M$166="Crecimiento",$Z171,0)</f>
        <v>0</v>
      </c>
      <c r="DI171" s="5">
        <f t="shared" si="1245"/>
        <v>0</v>
      </c>
      <c r="DJ171" s="5">
        <f t="shared" si="1246"/>
        <v>0</v>
      </c>
      <c r="DK171" s="5">
        <f t="shared" si="1247"/>
        <v>0</v>
      </c>
      <c r="DL171" s="5">
        <f t="shared" si="1248"/>
        <v>0</v>
      </c>
      <c r="DM171" s="5">
        <f t="shared" si="1249"/>
        <v>0</v>
      </c>
      <c r="DN171" s="5">
        <f t="shared" si="1250"/>
        <v>0</v>
      </c>
      <c r="DO171" s="5">
        <f t="shared" si="1251"/>
        <v>0</v>
      </c>
      <c r="DP171" s="5">
        <f t="shared" si="1252"/>
        <v>0</v>
      </c>
      <c r="DQ171" s="5">
        <f t="shared" si="1253"/>
        <v>0</v>
      </c>
      <c r="DR171" s="5">
        <f t="shared" si="1254"/>
        <v>0</v>
      </c>
      <c r="DS171" s="5">
        <f t="shared" si="1255"/>
        <v>0</v>
      </c>
      <c r="DT171" s="5">
        <f t="shared" si="1256"/>
        <v>0</v>
      </c>
      <c r="DU171" s="5">
        <f t="shared" si="1257"/>
        <v>0</v>
      </c>
      <c r="DV171" s="5">
        <f t="shared" si="1258"/>
        <v>0</v>
      </c>
      <c r="DW171" s="5">
        <f t="shared" si="1259"/>
        <v>0</v>
      </c>
      <c r="DX171" s="5">
        <f t="shared" si="1260"/>
        <v>0</v>
      </c>
      <c r="DY171" s="5">
        <f t="shared" si="1261"/>
        <v>0</v>
      </c>
      <c r="DZ171" s="5">
        <f t="shared" si="1262"/>
        <v>0</v>
      </c>
      <c r="EA171" s="5">
        <f t="shared" si="1263"/>
        <v>0</v>
      </c>
      <c r="EB171" s="5">
        <f t="shared" si="1264"/>
        <v>0</v>
      </c>
      <c r="EC171" s="5">
        <f t="shared" si="1265"/>
        <v>0</v>
      </c>
      <c r="ED171" s="5">
        <f t="shared" si="1266"/>
        <v>0</v>
      </c>
      <c r="EE171" s="5">
        <f t="shared" si="1267"/>
        <v>0</v>
      </c>
      <c r="EF171" s="5">
        <f t="shared" si="1268"/>
        <v>0</v>
      </c>
      <c r="EG171" s="5">
        <f t="shared" si="1269"/>
        <v>0</v>
      </c>
      <c r="EH171" s="5">
        <f t="shared" si="1270"/>
        <v>0</v>
      </c>
      <c r="EI171" s="5">
        <f t="shared" si="1271"/>
        <v>0</v>
      </c>
      <c r="EJ171" s="5">
        <f t="shared" si="1272"/>
        <v>0</v>
      </c>
      <c r="EK171" s="5">
        <f t="shared" si="1273"/>
        <v>0</v>
      </c>
      <c r="EL171" s="5">
        <f t="shared" si="1274"/>
        <v>0</v>
      </c>
      <c r="EM171" s="5">
        <f t="shared" si="1275"/>
        <v>0</v>
      </c>
      <c r="EN171" s="5">
        <f t="shared" si="1276"/>
        <v>0</v>
      </c>
      <c r="EO171" s="5">
        <f t="shared" si="1277"/>
        <v>0</v>
      </c>
      <c r="EP171" s="5">
        <f t="shared" si="1278"/>
        <v>0</v>
      </c>
      <c r="EQ171" s="5">
        <f t="shared" si="1279"/>
        <v>0</v>
      </c>
      <c r="ER171" s="5">
        <f t="shared" si="1280"/>
        <v>0</v>
      </c>
      <c r="ES171" s="5">
        <f t="shared" si="1281"/>
        <v>0</v>
      </c>
      <c r="ET171" s="5">
        <f t="shared" si="1282"/>
        <v>0</v>
      </c>
      <c r="EU171" s="5">
        <f t="shared" si="1283"/>
        <v>0</v>
      </c>
      <c r="EV171" s="5">
        <f t="shared" si="1284"/>
        <v>0</v>
      </c>
      <c r="EW171" s="5">
        <f t="shared" si="1285"/>
        <v>0</v>
      </c>
      <c r="EX171" s="5">
        <f t="shared" si="1286"/>
        <v>0</v>
      </c>
      <c r="EY171" s="5">
        <f t="shared" si="1287"/>
        <v>0</v>
      </c>
      <c r="EZ171" s="5">
        <f t="shared" si="1288"/>
        <v>0</v>
      </c>
      <c r="FA171" s="5">
        <f t="shared" si="1289"/>
        <v>0</v>
      </c>
      <c r="FB171" s="5">
        <f t="shared" si="1290"/>
        <v>0</v>
      </c>
      <c r="FC171" s="5">
        <f t="shared" si="1291"/>
        <v>0</v>
      </c>
      <c r="FD171" s="5">
        <f t="shared" si="1292"/>
        <v>0</v>
      </c>
      <c r="FE171" s="5">
        <f t="shared" si="1293"/>
        <v>0</v>
      </c>
      <c r="FF171" s="5">
        <f t="shared" si="1294"/>
        <v>0</v>
      </c>
      <c r="FG171" s="5">
        <f t="shared" si="1295"/>
        <v>0</v>
      </c>
      <c r="FH171" s="5">
        <f t="shared" si="1296"/>
        <v>0</v>
      </c>
      <c r="FI171" s="5">
        <f t="shared" si="1297"/>
        <v>0</v>
      </c>
      <c r="FJ171" s="5">
        <f t="shared" si="1298"/>
        <v>0</v>
      </c>
      <c r="FK171" s="5">
        <f t="shared" si="1299"/>
        <v>0</v>
      </c>
      <c r="FL171" s="5">
        <f t="shared" si="1300"/>
        <v>0</v>
      </c>
      <c r="FM171" s="5">
        <f t="shared" si="1301"/>
        <v>0</v>
      </c>
      <c r="FN171" s="5">
        <f t="shared" si="1302"/>
        <v>0</v>
      </c>
      <c r="FO171" s="5">
        <f t="shared" si="1303"/>
        <v>0</v>
      </c>
      <c r="FP171" s="5">
        <f t="shared" si="1304"/>
        <v>0</v>
      </c>
    </row>
    <row r="172" spans="1:172" ht="20.100000000000001" customHeight="1" x14ac:dyDescent="0.3">
      <c r="A172" s="8" t="str">
        <f>IF(Ciclo=4,"Surco 4",IF(Ciclo=5,"Surco 4","NA"))</f>
        <v>NA</v>
      </c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O172" s="58">
        <f>IF($A172="NA",0,IFERROR('6'!O$87/Ciclo,0))</f>
        <v>0</v>
      </c>
      <c r="P172" s="58">
        <f>IF($A172="NA",0,IFERROR('6'!P$87/Ciclo,0))</f>
        <v>0</v>
      </c>
      <c r="Q172" s="58">
        <f>IF($A172="NA",0,IFERROR('6'!Q$87/Ciclo,0))</f>
        <v>0</v>
      </c>
      <c r="R172" s="58">
        <f>IF($A172="NA",0,IFERROR('6'!R$87/Ciclo,0))</f>
        <v>0</v>
      </c>
      <c r="S172" s="58">
        <f>IF($A172="NA",0,IFERROR('6'!S$87/Ciclo,0))</f>
        <v>0</v>
      </c>
      <c r="T172" s="58">
        <f>IF($A172="NA",0,IFERROR('6'!T$87/Ciclo,0))</f>
        <v>0</v>
      </c>
      <c r="U172" s="58">
        <f>IF($A172="NA",0,IFERROR('6'!U$87/Ciclo,0))</f>
        <v>0</v>
      </c>
      <c r="V172" s="58">
        <f>IF($A172="NA",0,IFERROR('6'!V$87/Ciclo,0))</f>
        <v>0</v>
      </c>
      <c r="W172" s="5">
        <f>IF($A172="NA",0,IFERROR('6'!W$87/Ciclo,0))</f>
        <v>0</v>
      </c>
      <c r="X172" s="5">
        <f>IF($A172="NA",0,IFERROR('6'!X$87/Ciclo,0))</f>
        <v>0</v>
      </c>
      <c r="Y172" s="5">
        <f>IF($A172="NA",0,IFERROR('6'!Y$87/Ciclo,0))</f>
        <v>0</v>
      </c>
      <c r="Z172" s="5">
        <f>IF($A172="NA",0,IFERROR('6'!Z$87/Ciclo,0))</f>
        <v>0</v>
      </c>
      <c r="AB172" s="5">
        <f>IF($B$166="Producción",IF($B172&gt;=LI_A,$O172,0),0)</f>
        <v>0</v>
      </c>
      <c r="AC172" s="5">
        <f>IF($B$166="Producción",IF($B172&gt;=LI_B,IF($B172&lt;LS_B,$O172,0),0),0)</f>
        <v>0</v>
      </c>
      <c r="AD172" s="5">
        <f>IF($B$166="Producción",IF($B172&gt;=LI_C,IF($B172&lt;LS_C,$O172,0),0),0)</f>
        <v>0</v>
      </c>
      <c r="AE172" s="5">
        <f>IF($B$166="Producción",IF($B172&lt;LS_D,$O172,0),0)</f>
        <v>0</v>
      </c>
      <c r="AF172" s="5">
        <f t="shared" si="1305"/>
        <v>0</v>
      </c>
      <c r="AI172" s="5">
        <f>IF($C$166="Producción",IF($C172&gt;=LI_A,$P172,0),0)</f>
        <v>0</v>
      </c>
      <c r="AJ172" s="5">
        <f>IF($C$166="Producción",IF($C172&gt;=LI_B,IF($C172&lt;LS_B,$P172,0),0),0)</f>
        <v>0</v>
      </c>
      <c r="AK172" s="5">
        <f>IF($C$166="Producción",IF($C172&gt;=LI_C,IF($C172&lt;LS_C,$P172,0),0),0)</f>
        <v>0</v>
      </c>
      <c r="AL172" s="5">
        <f>IF($C$166="Producción",IF($C172&lt;LS_D,$P172,0),0)</f>
        <v>0</v>
      </c>
      <c r="AM172" s="5">
        <f>IF($C$166="Crecimiento",$P172,0)</f>
        <v>0</v>
      </c>
      <c r="AP172" s="5">
        <f>IF($D$166="Producción",IF($D172&gt;=LI_A,$Q172,0),0)</f>
        <v>0</v>
      </c>
      <c r="AQ172" s="5">
        <f>IF($D$166="Producción",IF($D172&gt;=LI_B,IF($D172&lt;LS_B,$Q172,0),0),0)</f>
        <v>0</v>
      </c>
      <c r="AR172" s="5">
        <f>IF($D$166="Producción",IF($D172&gt;=LI_C,IF($D172&lt;LS_C,$Q172,0),0),0)</f>
        <v>0</v>
      </c>
      <c r="AS172" s="5">
        <f>IF($D$166="Producción",IF($D172&lt;LS_D,$Q172,0),0)</f>
        <v>0</v>
      </c>
      <c r="AT172" s="5">
        <f>IF($D$166="Crecimiento",IF($D172&gt;0,$Q172,0),0)</f>
        <v>0</v>
      </c>
      <c r="AW172" s="5">
        <f>IF($E$166="Producción",IF($E172&gt;=LI_A,$R172,0),0)</f>
        <v>0</v>
      </c>
      <c r="AX172" s="5">
        <f>IF($E$166="Producción",IF($E172&gt;=LI_B,IF($E172&lt;LS_B,$R172,0),0),0)</f>
        <v>0</v>
      </c>
      <c r="AY172" s="5">
        <f>IF($E$166="Producción",IF($E172&gt;=LI_C,IF($E172&lt;LS_C,$R172,0),0),0)</f>
        <v>0</v>
      </c>
      <c r="AZ172" s="5">
        <f>IF($E$166="Producción",IF($E172&lt;LS_D,$R172,0),0)</f>
        <v>0</v>
      </c>
      <c r="BA172" s="5">
        <f>IF($E$166="Crecimiento",$R172,0)</f>
        <v>0</v>
      </c>
      <c r="BD172" s="5">
        <f>IF($F$166="Producción",IF($F172&gt;=LI_A,$S172,0),0)</f>
        <v>0</v>
      </c>
      <c r="BE172" s="5">
        <f>IF($F$166="Producción",IF($F172&gt;=LI_B,IF($F172&lt;LS_B,$S172,0),0),0)</f>
        <v>0</v>
      </c>
      <c r="BF172" s="5">
        <f>IF($F$166="Producción",IF($F172&gt;=LI_C,IF($F172&lt;LS_C,$S172,0),0),0)</f>
        <v>0</v>
      </c>
      <c r="BG172" s="5">
        <f>IF($F$166="Producción",IF($F172&lt;LS_D,$S172,0),0)</f>
        <v>0</v>
      </c>
      <c r="BH172" s="5">
        <f>IF($F$166="Crecimiento",$S172,0)</f>
        <v>0</v>
      </c>
      <c r="BK172" s="5">
        <f>IF($G$166="Producción",IF($G172&gt;=LI_A,$T172,0),0)</f>
        <v>0</v>
      </c>
      <c r="BL172" s="5">
        <f>IF($G$166="Producción",IF($G172&gt;=LI_B,IF($G172&lt;LS_B,$T172,0),0),0)</f>
        <v>0</v>
      </c>
      <c r="BM172" s="5">
        <f>IF($G$166="Producción",IF($G172&gt;=LI_C,IF($G172&lt;LS_C,$T172,0),0),0)</f>
        <v>0</v>
      </c>
      <c r="BN172" s="5">
        <f>IF($G$166="Producción",IF($G172&lt;LS_D,$T172,0),0)</f>
        <v>0</v>
      </c>
      <c r="BO172" s="5">
        <f>IF($G$166="Crecimiento",$T172,0)</f>
        <v>0</v>
      </c>
      <c r="BR172" s="5">
        <f>IF($H$166="Producción",IF($H172&gt;=LI_A,$U172,0),0)</f>
        <v>0</v>
      </c>
      <c r="BS172" s="5">
        <f>IF($H$166="Producción",IF($H172&gt;=LI_B,IF($H172&lt;LS_B,$U172,0),0),0)</f>
        <v>0</v>
      </c>
      <c r="BT172" s="5">
        <f>IF($H$166="Producción",IF($H172&gt;=LI_C,IF($H172&lt;LS_C,$U172,0),0),0)</f>
        <v>0</v>
      </c>
      <c r="BU172" s="5">
        <f>IF($H$166="Producción",IF($H172&lt;LS_D,$U172,0),0)</f>
        <v>0</v>
      </c>
      <c r="BV172" s="5">
        <f>IF($H$166="Crecimiento",$T172,0)</f>
        <v>0</v>
      </c>
      <c r="BY172" s="5">
        <f>IF($I$166="Producción",IF($I172&gt;=LI_A,$V172,0),0)</f>
        <v>0</v>
      </c>
      <c r="BZ172" s="5">
        <f>IF($I$166="Producción",IF($I172&gt;=LI_B,IF($I172&lt;LS_B,$V172,0),0),0)</f>
        <v>0</v>
      </c>
      <c r="CA172" s="5">
        <f>IF($I$166="Producción",IF($I172&gt;=LI_C,IF($I172&lt;LS_C,$V172,0),0),0)</f>
        <v>0</v>
      </c>
      <c r="CB172" s="5">
        <f>IF($I$166="Producción",IF($I172&lt;LS_D,$V172,0),0)</f>
        <v>0</v>
      </c>
      <c r="CC172" s="5">
        <f>IF($I$166="Crecimiento",$V172,0)</f>
        <v>0</v>
      </c>
      <c r="CF172" s="5">
        <f>IF($J$166="Producción",IF($J172&gt;=LI_A,$W172,0),0)</f>
        <v>0</v>
      </c>
      <c r="CG172" s="5">
        <f>IF($J$166="Producción",IF($J172&gt;=LI_B,IF($J172&lt;LS_B,$W172,0),0),0)</f>
        <v>0</v>
      </c>
      <c r="CH172" s="5">
        <f>IF($J$166="Producción",IF($J172&gt;=LI_C,IF($J172&lt;LS_C,$W172,0),0),0)</f>
        <v>0</v>
      </c>
      <c r="CI172" s="5">
        <f>IF($J$166="Producción",IF($J172&lt;LS_D,$W172,0),0)</f>
        <v>0</v>
      </c>
      <c r="CJ172" s="5">
        <f>IF($J$166="Crecimiento",$W172,0)</f>
        <v>0</v>
      </c>
      <c r="CM172" s="5">
        <f>IF($K$166="Producción",IF($K172&gt;=LI_A,$X172,0),0)</f>
        <v>0</v>
      </c>
      <c r="CN172" s="5">
        <f>IF($K$166="Producción",IF($K172&gt;=LI_B,IF($K172&lt;LS_B,$X172,0),0),0)</f>
        <v>0</v>
      </c>
      <c r="CO172" s="5">
        <f>IF($K$166="Producción",IF($K172&gt;=LI_C,IF($K172&lt;LS_C,$X172,0),0),0)</f>
        <v>0</v>
      </c>
      <c r="CP172" s="5">
        <f>IF($K$166="Producción",IF($K172&lt;LS_D,$X172,0),0)</f>
        <v>0</v>
      </c>
      <c r="CQ172" s="5">
        <f>IF($K$166="Crecimiento",$X172,0)</f>
        <v>0</v>
      </c>
      <c r="CT172" s="5">
        <f>IF($L$166="Producción",IF($L172&gt;=LI_A,$Y172,0),0)</f>
        <v>0</v>
      </c>
      <c r="CU172" s="5">
        <f>IF($L$166="Producción",IF($L172&gt;=LI_B,IF($L172&lt;LS_B,$Y172,0),0),0)</f>
        <v>0</v>
      </c>
      <c r="CV172" s="5">
        <f>IF($L$166="Producción",IF($L172&gt;=LI_C,IF($L172&lt;LS_C,$Y172,0),0),0)</f>
        <v>0</v>
      </c>
      <c r="CW172" s="5">
        <f>IF($L$166="Producción",IF($L172&lt;LS_D,$Y172,0),0)</f>
        <v>0</v>
      </c>
      <c r="CX172" s="5">
        <f>IF($L$166="Crecimiento",$Y172,0)</f>
        <v>0</v>
      </c>
      <c r="DA172" s="5">
        <f>IF($M$166="Producción",IF($M172&gt;=LI_A,$Z172,0),0)</f>
        <v>0</v>
      </c>
      <c r="DB172" s="5">
        <f>IF($M$166="Producción",IF($M172&gt;=LI_B,IF($M172&lt;LS_B,$Z172,0),0),0)</f>
        <v>0</v>
      </c>
      <c r="DC172" s="5">
        <f>IF($M$166="Producción",IF($M172&gt;=LI_C,IF($M172&lt;LS_C,$Z172,0),0),0)</f>
        <v>0</v>
      </c>
      <c r="DD172" s="5">
        <f>IF($M$166="Producción",IF($M172&lt;LS_D,$Z172,0),0)</f>
        <v>0</v>
      </c>
      <c r="DE172" s="5">
        <f>IF($M$166="Crecimiento",$Z172,0)</f>
        <v>0</v>
      </c>
      <c r="DI172" s="5">
        <f t="shared" si="1245"/>
        <v>0</v>
      </c>
      <c r="DJ172" s="5">
        <f t="shared" si="1246"/>
        <v>0</v>
      </c>
      <c r="DK172" s="5">
        <f t="shared" si="1247"/>
        <v>0</v>
      </c>
      <c r="DL172" s="5">
        <f t="shared" si="1248"/>
        <v>0</v>
      </c>
      <c r="DM172" s="5">
        <f t="shared" si="1249"/>
        <v>0</v>
      </c>
      <c r="DN172" s="5">
        <f t="shared" si="1250"/>
        <v>0</v>
      </c>
      <c r="DO172" s="5">
        <f t="shared" si="1251"/>
        <v>0</v>
      </c>
      <c r="DP172" s="5">
        <f t="shared" si="1252"/>
        <v>0</v>
      </c>
      <c r="DQ172" s="5">
        <f t="shared" si="1253"/>
        <v>0</v>
      </c>
      <c r="DR172" s="5">
        <f t="shared" si="1254"/>
        <v>0</v>
      </c>
      <c r="DS172" s="5">
        <f t="shared" si="1255"/>
        <v>0</v>
      </c>
      <c r="DT172" s="5">
        <f t="shared" si="1256"/>
        <v>0</v>
      </c>
      <c r="DU172" s="5">
        <f t="shared" si="1257"/>
        <v>0</v>
      </c>
      <c r="DV172" s="5">
        <f t="shared" si="1258"/>
        <v>0</v>
      </c>
      <c r="DW172" s="5">
        <f t="shared" si="1259"/>
        <v>0</v>
      </c>
      <c r="DX172" s="5">
        <f t="shared" si="1260"/>
        <v>0</v>
      </c>
      <c r="DY172" s="5">
        <f t="shared" si="1261"/>
        <v>0</v>
      </c>
      <c r="DZ172" s="5">
        <f t="shared" si="1262"/>
        <v>0</v>
      </c>
      <c r="EA172" s="5">
        <f t="shared" si="1263"/>
        <v>0</v>
      </c>
      <c r="EB172" s="5">
        <f t="shared" si="1264"/>
        <v>0</v>
      </c>
      <c r="EC172" s="5">
        <f t="shared" si="1265"/>
        <v>0</v>
      </c>
      <c r="ED172" s="5">
        <f t="shared" si="1266"/>
        <v>0</v>
      </c>
      <c r="EE172" s="5">
        <f t="shared" si="1267"/>
        <v>0</v>
      </c>
      <c r="EF172" s="5">
        <f t="shared" si="1268"/>
        <v>0</v>
      </c>
      <c r="EG172" s="5">
        <f t="shared" si="1269"/>
        <v>0</v>
      </c>
      <c r="EH172" s="5">
        <f t="shared" si="1270"/>
        <v>0</v>
      </c>
      <c r="EI172" s="5">
        <f t="shared" si="1271"/>
        <v>0</v>
      </c>
      <c r="EJ172" s="5">
        <f t="shared" si="1272"/>
        <v>0</v>
      </c>
      <c r="EK172" s="5">
        <f t="shared" si="1273"/>
        <v>0</v>
      </c>
      <c r="EL172" s="5">
        <f t="shared" si="1274"/>
        <v>0</v>
      </c>
      <c r="EM172" s="5">
        <f t="shared" si="1275"/>
        <v>0</v>
      </c>
      <c r="EN172" s="5">
        <f t="shared" si="1276"/>
        <v>0</v>
      </c>
      <c r="EO172" s="5">
        <f t="shared" si="1277"/>
        <v>0</v>
      </c>
      <c r="EP172" s="5">
        <f t="shared" si="1278"/>
        <v>0</v>
      </c>
      <c r="EQ172" s="5">
        <f t="shared" si="1279"/>
        <v>0</v>
      </c>
      <c r="ER172" s="5">
        <f t="shared" si="1280"/>
        <v>0</v>
      </c>
      <c r="ES172" s="5">
        <f t="shared" si="1281"/>
        <v>0</v>
      </c>
      <c r="ET172" s="5">
        <f t="shared" si="1282"/>
        <v>0</v>
      </c>
      <c r="EU172" s="5">
        <f t="shared" si="1283"/>
        <v>0</v>
      </c>
      <c r="EV172" s="5">
        <f t="shared" si="1284"/>
        <v>0</v>
      </c>
      <c r="EW172" s="5">
        <f t="shared" si="1285"/>
        <v>0</v>
      </c>
      <c r="EX172" s="5">
        <f t="shared" si="1286"/>
        <v>0</v>
      </c>
      <c r="EY172" s="5">
        <f t="shared" si="1287"/>
        <v>0</v>
      </c>
      <c r="EZ172" s="5">
        <f t="shared" si="1288"/>
        <v>0</v>
      </c>
      <c r="FA172" s="5">
        <f t="shared" si="1289"/>
        <v>0</v>
      </c>
      <c r="FB172" s="5">
        <f t="shared" si="1290"/>
        <v>0</v>
      </c>
      <c r="FC172" s="5">
        <f t="shared" si="1291"/>
        <v>0</v>
      </c>
      <c r="FD172" s="5">
        <f t="shared" si="1292"/>
        <v>0</v>
      </c>
      <c r="FE172" s="5">
        <f t="shared" si="1293"/>
        <v>0</v>
      </c>
      <c r="FF172" s="5">
        <f t="shared" si="1294"/>
        <v>0</v>
      </c>
      <c r="FG172" s="5">
        <f t="shared" si="1295"/>
        <v>0</v>
      </c>
      <c r="FH172" s="5">
        <f t="shared" si="1296"/>
        <v>0</v>
      </c>
      <c r="FI172" s="5">
        <f t="shared" si="1297"/>
        <v>0</v>
      </c>
      <c r="FJ172" s="5">
        <f t="shared" si="1298"/>
        <v>0</v>
      </c>
      <c r="FK172" s="5">
        <f t="shared" si="1299"/>
        <v>0</v>
      </c>
      <c r="FL172" s="5">
        <f t="shared" si="1300"/>
        <v>0</v>
      </c>
      <c r="FM172" s="5">
        <f t="shared" si="1301"/>
        <v>0</v>
      </c>
      <c r="FN172" s="5">
        <f t="shared" si="1302"/>
        <v>0</v>
      </c>
      <c r="FO172" s="5">
        <f t="shared" si="1303"/>
        <v>0</v>
      </c>
      <c r="FP172" s="5">
        <f t="shared" si="1304"/>
        <v>0</v>
      </c>
    </row>
    <row r="173" spans="1:172" ht="20.100000000000001" customHeight="1" x14ac:dyDescent="0.3">
      <c r="A173" s="9" t="str">
        <f>IF(Ciclo=5,"Surco 5","NA")</f>
        <v>NA</v>
      </c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O173" s="58">
        <f>IF($A173="NA",0,IFERROR('6'!O$87/Ciclo,0))</f>
        <v>0</v>
      </c>
      <c r="P173" s="58">
        <f>IF($A173="NA",0,IFERROR('6'!P$87/Ciclo,0))</f>
        <v>0</v>
      </c>
      <c r="Q173" s="58">
        <f>IF($A173="NA",0,IFERROR('6'!Q$87/Ciclo,0))</f>
        <v>0</v>
      </c>
      <c r="R173" s="58">
        <f>IF($A173="NA",0,IFERROR('6'!R$87/Ciclo,0))</f>
        <v>0</v>
      </c>
      <c r="S173" s="58">
        <f>IF($A173="NA",0,IFERROR('6'!S$87/Ciclo,0))</f>
        <v>0</v>
      </c>
      <c r="T173" s="58">
        <f>IF($A173="NA",0,IFERROR('6'!T$87/Ciclo,0))</f>
        <v>0</v>
      </c>
      <c r="U173" s="58">
        <f>IF($A173="NA",0,IFERROR('6'!U$87/Ciclo,0))</f>
        <v>0</v>
      </c>
      <c r="V173" s="58">
        <f>IF($A173="NA",0,IFERROR('6'!V$87/Ciclo,0))</f>
        <v>0</v>
      </c>
      <c r="W173" s="5">
        <f>IF($A173="NA",0,IFERROR('6'!W$87/Ciclo,0))</f>
        <v>0</v>
      </c>
      <c r="X173" s="5">
        <f>IF($A173="NA",0,IFERROR('6'!X$87/Ciclo,0))</f>
        <v>0</v>
      </c>
      <c r="Y173" s="5">
        <f>IF($A173="NA",0,IFERROR('6'!Y$87/Ciclo,0))</f>
        <v>0</v>
      </c>
      <c r="Z173" s="5">
        <f>IF($A173="NA",0,IFERROR('6'!Z$87/Ciclo,0))</f>
        <v>0</v>
      </c>
      <c r="AB173" s="5">
        <f>IF($B$166="Producción",IF($B173&gt;=LI_A,$O173,0),0)</f>
        <v>0</v>
      </c>
      <c r="AC173" s="5">
        <f>IF($B$166="Producción",IF($B173&gt;=LI_B,IF($B173&lt;LS_B,$O173,0),0),0)</f>
        <v>0</v>
      </c>
      <c r="AD173" s="5">
        <f>IF($B$166="Producción",IF($B173&gt;=LI_C,IF($B173&lt;LS_C,$O173,0),0),0)</f>
        <v>0</v>
      </c>
      <c r="AE173" s="5">
        <f>IF($B$166="Producción",IF($B173&lt;LS_D,$O173,0),0)</f>
        <v>0</v>
      </c>
      <c r="AF173" s="5">
        <f t="shared" si="1305"/>
        <v>0</v>
      </c>
      <c r="AI173" s="5">
        <f>IF($C$166="Producción",IF($C173&gt;=LI_A,$P173,0),0)</f>
        <v>0</v>
      </c>
      <c r="AJ173" s="5">
        <f>IF($C$166="Producción",IF($C173&gt;=LI_B,IF($C173&lt;LS_B,$P173,0),0),0)</f>
        <v>0</v>
      </c>
      <c r="AK173" s="5">
        <f>IF($C$166="Producción",IF($C173&gt;=LI_C,IF($C173&lt;LS_C,$P173,0),0),0)</f>
        <v>0</v>
      </c>
      <c r="AL173" s="5">
        <f>IF($C$166="Producción",IF($C173&lt;LS_D,$P173,0),0)</f>
        <v>0</v>
      </c>
      <c r="AM173" s="5">
        <f>IF($C$166="Crecimiento",$P173,0)</f>
        <v>0</v>
      </c>
      <c r="AP173" s="5">
        <f>IF($D$166="Producción",IF($D173&gt;=LI_A,$Q173,0),0)</f>
        <v>0</v>
      </c>
      <c r="AQ173" s="5">
        <f>IF($D$166="Producción",IF($D173&gt;=LI_B,IF($D173&lt;LS_B,$Q173,0),0),0)</f>
        <v>0</v>
      </c>
      <c r="AR173" s="5">
        <f>IF($D$166="Producción",IF($D173&gt;=LI_C,IF($D173&lt;LS_C,$Q173,0),0),0)</f>
        <v>0</v>
      </c>
      <c r="AS173" s="5">
        <f>IF($D$166="Producción",IF($D173&lt;LS_D,$Q173,0),0)</f>
        <v>0</v>
      </c>
      <c r="AT173" s="5">
        <f>IF($D$166="Crecimiento",IF($D173&gt;0,$Q173,0),0)</f>
        <v>0</v>
      </c>
      <c r="AW173" s="5">
        <f>IF($E$166="Producción",IF($E173&gt;=LI_A,$R173,0),0)</f>
        <v>0</v>
      </c>
      <c r="AX173" s="5">
        <f>IF($E$166="Producción",IF($E173&gt;=LI_B,IF($E173&lt;LS_B,$R173,0),0),0)</f>
        <v>0</v>
      </c>
      <c r="AY173" s="5">
        <f>IF($E$166="Producción",IF($E173&gt;=LI_C,IF($E173&lt;LS_C,$R173,0),0),0)</f>
        <v>0</v>
      </c>
      <c r="AZ173" s="5">
        <f>IF($E$166="Producción",IF($E173&lt;LS_D,$R173,0),0)</f>
        <v>0</v>
      </c>
      <c r="BA173" s="5">
        <f>IF($E$166="Crecimiento",$R173,0)</f>
        <v>0</v>
      </c>
      <c r="BD173" s="5">
        <f>IF($F$166="Producción",IF($F173&gt;=LI_A,$S173,0),0)</f>
        <v>0</v>
      </c>
      <c r="BE173" s="5">
        <f>IF($F$166="Producción",IF($F173&gt;=LI_B,IF($F173&lt;LS_B,$S173,0),0),0)</f>
        <v>0</v>
      </c>
      <c r="BF173" s="5">
        <f>IF($F$166="Producción",IF($F173&gt;=LI_C,IF($F173&lt;LS_C,$S173,0),0),0)</f>
        <v>0</v>
      </c>
      <c r="BG173" s="5">
        <f>IF($F$166="Producción",IF($F173&lt;LS_D,$S173,0),0)</f>
        <v>0</v>
      </c>
      <c r="BH173" s="5">
        <f>IF($F$166="Crecimiento",$S173,0)</f>
        <v>0</v>
      </c>
      <c r="BK173" s="5">
        <f>IF($G$166="Producción",IF($G173&gt;=LI_A,$T173,0),0)</f>
        <v>0</v>
      </c>
      <c r="BL173" s="5">
        <f>IF($G$166="Producción",IF($G173&gt;=LI_B,IF($G173&lt;LS_B,$T173,0),0),0)</f>
        <v>0</v>
      </c>
      <c r="BM173" s="5">
        <f>IF($G$166="Producción",IF($G173&gt;=LI_C,IF($G173&lt;LS_C,$T173,0),0),0)</f>
        <v>0</v>
      </c>
      <c r="BN173" s="5">
        <f>IF($G$166="Producción",IF($G173&lt;LS_D,$T173,0),0)</f>
        <v>0</v>
      </c>
      <c r="BO173" s="5">
        <f>IF($G$166="Crecimiento",$T173,0)</f>
        <v>0</v>
      </c>
      <c r="BR173" s="5">
        <f>IF($H$166="Producción",IF($H173&gt;=LI_A,$U173,0),0)</f>
        <v>0</v>
      </c>
      <c r="BS173" s="5">
        <f>IF($H$166="Producción",IF($H173&gt;=LI_B,IF($H173&lt;LS_B,$U173,0),0),0)</f>
        <v>0</v>
      </c>
      <c r="BT173" s="5">
        <f>IF($H$166="Producción",IF($H173&gt;=LI_C,IF($H173&lt;LS_C,$U173,0),0),0)</f>
        <v>0</v>
      </c>
      <c r="BU173" s="5">
        <f>IF($H$166="Producción",IF($H173&lt;LS_D,$U173,0),0)</f>
        <v>0</v>
      </c>
      <c r="BV173" s="5">
        <f>IF($H$166="Crecimiento",$T173,0)</f>
        <v>0</v>
      </c>
      <c r="BY173" s="5">
        <f>IF($I$166="Producción",IF($I173&gt;=LI_A,$V173,0),0)</f>
        <v>0</v>
      </c>
      <c r="BZ173" s="5">
        <f>IF($I$166="Producción",IF($I173&gt;=LI_B,IF($I173&lt;LS_B,$V173,0),0),0)</f>
        <v>0</v>
      </c>
      <c r="CA173" s="5">
        <f>IF($I$166="Producción",IF($I173&gt;=LI_C,IF($I173&lt;LS_C,$V173,0),0),0)</f>
        <v>0</v>
      </c>
      <c r="CB173" s="5">
        <f>IF($I$166="Producción",IF($I173&lt;LS_D,$V173,0),0)</f>
        <v>0</v>
      </c>
      <c r="CC173" s="5">
        <f>IF($I$166="Crecimiento",$V173,0)</f>
        <v>0</v>
      </c>
      <c r="CF173" s="5">
        <f>IF($J$166="Producción",IF($J173&gt;=LI_A,$W173,0),0)</f>
        <v>0</v>
      </c>
      <c r="CG173" s="5">
        <f>IF($J$166="Producción",IF($J173&gt;=LI_B,IF($J173&lt;LS_B,$W173,0),0),0)</f>
        <v>0</v>
      </c>
      <c r="CH173" s="5">
        <f>IF($J$166="Producción",IF($J173&gt;=LI_C,IF($J173&lt;LS_C,$W173,0),0),0)</f>
        <v>0</v>
      </c>
      <c r="CI173" s="5">
        <f>IF($J$166="Producción",IF($J173&lt;LS_D,$W173,0),0)</f>
        <v>0</v>
      </c>
      <c r="CJ173" s="5">
        <f>IF($J$166="Crecimiento",$W173,0)</f>
        <v>0</v>
      </c>
      <c r="CM173" s="5">
        <f>IF($K$166="Producción",IF($K173&gt;=LI_A,$X173,0),0)</f>
        <v>0</v>
      </c>
      <c r="CN173" s="5">
        <f>IF($K$166="Producción",IF($K173&gt;=LI_B,IF($K173&lt;LS_B,$X173,0),0),0)</f>
        <v>0</v>
      </c>
      <c r="CO173" s="5">
        <f>IF($K$166="Producción",IF($K173&gt;=LI_C,IF($K173&lt;LS_C,$X173,0),0),0)</f>
        <v>0</v>
      </c>
      <c r="CP173" s="5">
        <f>IF($K$166="Producción",IF($K173&lt;LS_D,$X173,0),0)</f>
        <v>0</v>
      </c>
      <c r="CQ173" s="5">
        <f>IF($K$166="Crecimiento",$X173,0)</f>
        <v>0</v>
      </c>
      <c r="CT173" s="5">
        <f>IF($L$166="Producción",IF($L173&gt;=LI_A,$Y173,0),0)</f>
        <v>0</v>
      </c>
      <c r="CU173" s="5">
        <f>IF($L$166="Producción",IF($L173&gt;=LI_B,IF($L173&lt;LS_B,$Y173,0),0),0)</f>
        <v>0</v>
      </c>
      <c r="CV173" s="5">
        <f>IF($L$166="Producción",IF($L173&gt;=LI_C,IF($L173&lt;LS_C,$Y173,0),0),0)</f>
        <v>0</v>
      </c>
      <c r="CW173" s="5">
        <f>IF($L$166="Producción",IF($L173&lt;LS_D,$Y173,0),0)</f>
        <v>0</v>
      </c>
      <c r="CX173" s="5">
        <f>IF($L$166="Crecimiento",$Y173,0)</f>
        <v>0</v>
      </c>
      <c r="DA173" s="5">
        <f>IF($M$166="Producción",IF($M173&gt;=LI_A,$Z173,0),0)</f>
        <v>0</v>
      </c>
      <c r="DB173" s="5">
        <f>IF($M$166="Producción",IF($M173&gt;=LI_B,IF($M173&lt;LS_B,$Z173,0),0),0)</f>
        <v>0</v>
      </c>
      <c r="DC173" s="5">
        <f>IF($M$166="Producción",IF($M173&gt;=LI_C,IF($M173&lt;LS_C,$Z173,0),0),0)</f>
        <v>0</v>
      </c>
      <c r="DD173" s="5">
        <f>IF($M$166="Producción",IF($M173&lt;LS_D,$Z173,0),0)</f>
        <v>0</v>
      </c>
      <c r="DE173" s="5">
        <f>IF($M$166="Crecimiento",$Z173,0)</f>
        <v>0</v>
      </c>
      <c r="DI173" s="5">
        <f t="shared" si="1245"/>
        <v>0</v>
      </c>
      <c r="DJ173" s="5">
        <f t="shared" si="1246"/>
        <v>0</v>
      </c>
      <c r="DK173" s="5">
        <f t="shared" si="1247"/>
        <v>0</v>
      </c>
      <c r="DL173" s="5">
        <f t="shared" si="1248"/>
        <v>0</v>
      </c>
      <c r="DM173" s="5">
        <f t="shared" si="1249"/>
        <v>0</v>
      </c>
      <c r="DN173" s="5">
        <f t="shared" si="1250"/>
        <v>0</v>
      </c>
      <c r="DO173" s="5">
        <f t="shared" si="1251"/>
        <v>0</v>
      </c>
      <c r="DP173" s="5">
        <f t="shared" si="1252"/>
        <v>0</v>
      </c>
      <c r="DQ173" s="5">
        <f t="shared" si="1253"/>
        <v>0</v>
      </c>
      <c r="DR173" s="5">
        <f t="shared" si="1254"/>
        <v>0</v>
      </c>
      <c r="DS173" s="5">
        <f t="shared" si="1255"/>
        <v>0</v>
      </c>
      <c r="DT173" s="5">
        <f t="shared" si="1256"/>
        <v>0</v>
      </c>
      <c r="DU173" s="5">
        <f t="shared" si="1257"/>
        <v>0</v>
      </c>
      <c r="DV173" s="5">
        <f t="shared" si="1258"/>
        <v>0</v>
      </c>
      <c r="DW173" s="5">
        <f t="shared" si="1259"/>
        <v>0</v>
      </c>
      <c r="DX173" s="5">
        <f t="shared" si="1260"/>
        <v>0</v>
      </c>
      <c r="DY173" s="5">
        <f t="shared" si="1261"/>
        <v>0</v>
      </c>
      <c r="DZ173" s="5">
        <f t="shared" si="1262"/>
        <v>0</v>
      </c>
      <c r="EA173" s="5">
        <f t="shared" si="1263"/>
        <v>0</v>
      </c>
      <c r="EB173" s="5">
        <f t="shared" si="1264"/>
        <v>0</v>
      </c>
      <c r="EC173" s="5">
        <f t="shared" si="1265"/>
        <v>0</v>
      </c>
      <c r="ED173" s="5">
        <f t="shared" si="1266"/>
        <v>0</v>
      </c>
      <c r="EE173" s="5">
        <f t="shared" si="1267"/>
        <v>0</v>
      </c>
      <c r="EF173" s="5">
        <f t="shared" si="1268"/>
        <v>0</v>
      </c>
      <c r="EG173" s="5">
        <f t="shared" si="1269"/>
        <v>0</v>
      </c>
      <c r="EH173" s="5">
        <f t="shared" si="1270"/>
        <v>0</v>
      </c>
      <c r="EI173" s="5">
        <f t="shared" si="1271"/>
        <v>0</v>
      </c>
      <c r="EJ173" s="5">
        <f t="shared" si="1272"/>
        <v>0</v>
      </c>
      <c r="EK173" s="5">
        <f t="shared" si="1273"/>
        <v>0</v>
      </c>
      <c r="EL173" s="5">
        <f t="shared" si="1274"/>
        <v>0</v>
      </c>
      <c r="EM173" s="5">
        <f t="shared" si="1275"/>
        <v>0</v>
      </c>
      <c r="EN173" s="5">
        <f t="shared" si="1276"/>
        <v>0</v>
      </c>
      <c r="EO173" s="5">
        <f t="shared" si="1277"/>
        <v>0</v>
      </c>
      <c r="EP173" s="5">
        <f t="shared" si="1278"/>
        <v>0</v>
      </c>
      <c r="EQ173" s="5">
        <f t="shared" si="1279"/>
        <v>0</v>
      </c>
      <c r="ER173" s="5">
        <f t="shared" si="1280"/>
        <v>0</v>
      </c>
      <c r="ES173" s="5">
        <f t="shared" si="1281"/>
        <v>0</v>
      </c>
      <c r="ET173" s="5">
        <f t="shared" si="1282"/>
        <v>0</v>
      </c>
      <c r="EU173" s="5">
        <f t="shared" si="1283"/>
        <v>0</v>
      </c>
      <c r="EV173" s="5">
        <f t="shared" si="1284"/>
        <v>0</v>
      </c>
      <c r="EW173" s="5">
        <f t="shared" si="1285"/>
        <v>0</v>
      </c>
      <c r="EX173" s="5">
        <f t="shared" si="1286"/>
        <v>0</v>
      </c>
      <c r="EY173" s="5">
        <f t="shared" si="1287"/>
        <v>0</v>
      </c>
      <c r="EZ173" s="5">
        <f t="shared" si="1288"/>
        <v>0</v>
      </c>
      <c r="FA173" s="5">
        <f t="shared" si="1289"/>
        <v>0</v>
      </c>
      <c r="FB173" s="5">
        <f t="shared" si="1290"/>
        <v>0</v>
      </c>
      <c r="FC173" s="5">
        <f t="shared" si="1291"/>
        <v>0</v>
      </c>
      <c r="FD173" s="5">
        <f t="shared" si="1292"/>
        <v>0</v>
      </c>
      <c r="FE173" s="5">
        <f t="shared" si="1293"/>
        <v>0</v>
      </c>
      <c r="FF173" s="5">
        <f t="shared" si="1294"/>
        <v>0</v>
      </c>
      <c r="FG173" s="5">
        <f t="shared" si="1295"/>
        <v>0</v>
      </c>
      <c r="FH173" s="5">
        <f t="shared" si="1296"/>
        <v>0</v>
      </c>
      <c r="FI173" s="5">
        <f t="shared" si="1297"/>
        <v>0</v>
      </c>
      <c r="FJ173" s="5">
        <f t="shared" si="1298"/>
        <v>0</v>
      </c>
      <c r="FK173" s="5">
        <f t="shared" si="1299"/>
        <v>0</v>
      </c>
      <c r="FL173" s="5">
        <f t="shared" si="1300"/>
        <v>0</v>
      </c>
      <c r="FM173" s="5">
        <f t="shared" si="1301"/>
        <v>0</v>
      </c>
      <c r="FN173" s="5">
        <f t="shared" si="1302"/>
        <v>0</v>
      </c>
      <c r="FO173" s="5">
        <f t="shared" si="1303"/>
        <v>0</v>
      </c>
      <c r="FP173" s="5">
        <f t="shared" si="1304"/>
        <v>0</v>
      </c>
    </row>
    <row r="174" spans="1:172" ht="20.100000000000001" customHeight="1" x14ac:dyDescent="0.3">
      <c r="A174" s="172">
        <f>N_L22</f>
        <v>0</v>
      </c>
      <c r="B174" s="363" t="s">
        <v>37</v>
      </c>
      <c r="C174" s="363" t="s">
        <v>37</v>
      </c>
      <c r="D174" s="363" t="s">
        <v>37</v>
      </c>
      <c r="E174" s="363" t="s">
        <v>37</v>
      </c>
      <c r="F174" s="363" t="s">
        <v>37</v>
      </c>
      <c r="G174" s="363" t="s">
        <v>37</v>
      </c>
      <c r="H174" s="363" t="s">
        <v>37</v>
      </c>
      <c r="I174" s="363" t="s">
        <v>37</v>
      </c>
      <c r="J174" s="363" t="s">
        <v>37</v>
      </c>
      <c r="K174" s="363" t="s">
        <v>37</v>
      </c>
      <c r="L174" s="363" t="s">
        <v>37</v>
      </c>
      <c r="M174" s="363" t="s">
        <v>37</v>
      </c>
    </row>
    <row r="175" spans="1:172" ht="20.100000000000001" customHeight="1" x14ac:dyDescent="0.3">
      <c r="A175" s="175" t="s">
        <v>238</v>
      </c>
      <c r="B175" s="174">
        <f>SUM(DI177:DM181)/100</f>
        <v>0</v>
      </c>
      <c r="C175" s="174">
        <f>SUM(DN177:DR181)/100</f>
        <v>0</v>
      </c>
      <c r="D175" s="174">
        <f>SUM(DS177:DW181)/100</f>
        <v>0</v>
      </c>
      <c r="E175" s="174">
        <f>SUM(DX177:EB181)/100</f>
        <v>0</v>
      </c>
      <c r="F175" s="174">
        <f>SUM(EC177:EG181)/100</f>
        <v>0</v>
      </c>
      <c r="G175" s="174">
        <f>SUM(EH177:EL181)/100</f>
        <v>0</v>
      </c>
      <c r="H175" s="174">
        <f>SUM(EM177:EQ181)/100</f>
        <v>0</v>
      </c>
      <c r="I175" s="174">
        <f>SUM(ER177:EV181)/100</f>
        <v>0</v>
      </c>
      <c r="J175" s="174">
        <f>SUM(EW177:FA181)/100</f>
        <v>0</v>
      </c>
      <c r="K175" s="174">
        <f>SUM(FB177:FF181)/100</f>
        <v>0</v>
      </c>
      <c r="L175" s="174">
        <f>SUM(FG177:FK181)/100</f>
        <v>0</v>
      </c>
      <c r="M175" s="174">
        <f>SUM(FL177:FP181)/100</f>
        <v>0</v>
      </c>
    </row>
    <row r="176" spans="1:172" ht="20.100000000000001" customHeight="1" x14ac:dyDescent="0.3">
      <c r="A176" s="151" t="s">
        <v>239</v>
      </c>
      <c r="B176" s="152" t="e">
        <f t="shared" ref="B176:M176" si="1306">B175/Lote_22</f>
        <v>#DIV/0!</v>
      </c>
      <c r="C176" s="152" t="e">
        <f t="shared" si="1306"/>
        <v>#DIV/0!</v>
      </c>
      <c r="D176" s="152" t="e">
        <f t="shared" si="1306"/>
        <v>#DIV/0!</v>
      </c>
      <c r="E176" s="152" t="e">
        <f t="shared" si="1306"/>
        <v>#DIV/0!</v>
      </c>
      <c r="F176" s="152" t="e">
        <f t="shared" si="1306"/>
        <v>#DIV/0!</v>
      </c>
      <c r="G176" s="152" t="e">
        <f t="shared" si="1306"/>
        <v>#DIV/0!</v>
      </c>
      <c r="H176" s="152" t="e">
        <f t="shared" si="1306"/>
        <v>#DIV/0!</v>
      </c>
      <c r="I176" s="152" t="e">
        <f t="shared" si="1306"/>
        <v>#DIV/0!</v>
      </c>
      <c r="J176" s="152" t="e">
        <f t="shared" si="1306"/>
        <v>#DIV/0!</v>
      </c>
      <c r="K176" s="152" t="e">
        <f t="shared" si="1306"/>
        <v>#DIV/0!</v>
      </c>
      <c r="L176" s="152" t="e">
        <f t="shared" si="1306"/>
        <v>#DIV/0!</v>
      </c>
      <c r="M176" s="152" t="e">
        <f t="shared" si="1306"/>
        <v>#DIV/0!</v>
      </c>
    </row>
    <row r="177" spans="1:172" ht="20.100000000000001" customHeight="1" x14ac:dyDescent="0.3">
      <c r="A177" s="8" t="s">
        <v>302</v>
      </c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O177" s="58">
        <f>IFERROR('6'!O$91/Ciclo,0)</f>
        <v>0</v>
      </c>
      <c r="P177" s="58">
        <f>IFERROR('6'!P$91/Ciclo,0)</f>
        <v>0</v>
      </c>
      <c r="Q177" s="58">
        <f>IFERROR('6'!Q$91/Ciclo,0)</f>
        <v>0</v>
      </c>
      <c r="R177" s="58">
        <f>IFERROR('6'!R$91/Ciclo,0)</f>
        <v>0</v>
      </c>
      <c r="S177" s="58">
        <f>IFERROR('6'!S$91/Ciclo,0)</f>
        <v>0</v>
      </c>
      <c r="T177" s="58">
        <f>IFERROR('6'!T$91/Ciclo,0)</f>
        <v>0</v>
      </c>
      <c r="U177" s="58">
        <f>IFERROR('6'!U$91/Ciclo,0)</f>
        <v>0</v>
      </c>
      <c r="V177" s="58">
        <f>IFERROR('6'!V$91/Ciclo,0)</f>
        <v>0</v>
      </c>
      <c r="W177" s="5">
        <f>IFERROR('6'!W$91/Ciclo,0)</f>
        <v>0</v>
      </c>
      <c r="X177" s="5">
        <f>IFERROR('6'!X$91/Ciclo,0)</f>
        <v>0</v>
      </c>
      <c r="Y177" s="5">
        <f>IFERROR('6'!Y$91/Ciclo,0)</f>
        <v>0</v>
      </c>
      <c r="Z177" s="5">
        <f>IFERROR('6'!Z$91/Ciclo,0)</f>
        <v>0</v>
      </c>
      <c r="AB177" s="5">
        <f>IF($B$174="Producción",IF($B177&gt;=LI_A,$O177,0),0)</f>
        <v>0</v>
      </c>
      <c r="AC177" s="5">
        <f>IF($B$174="Producción",IF($B177&gt;=LI_B,IF($B177&lt;LS_B,$O177,0),0),0)</f>
        <v>0</v>
      </c>
      <c r="AD177" s="5">
        <f>IF($B$174="Producción",IF($B177&gt;=LI_C,IF($B177&lt;LS_C,$O177,0),0),0)</f>
        <v>0</v>
      </c>
      <c r="AE177" s="5">
        <f>IF($B$174="Producción",IF($B177&lt;LS_D,$O177,0),0)</f>
        <v>0</v>
      </c>
      <c r="AF177" s="5">
        <f>IF($B$174="Crecimiento",$O177,0)</f>
        <v>0</v>
      </c>
      <c r="AG177" s="5">
        <f>IF($B174="Siembra",'6'!$O$7,0)</f>
        <v>0</v>
      </c>
      <c r="AH177" s="5">
        <f>IF($B174="Abandono",'6'!$O$7,0)</f>
        <v>0</v>
      </c>
      <c r="AI177" s="5">
        <f>IF($C$174="Producción",IF($C177&gt;=LI_A,$P177,0),0)</f>
        <v>0</v>
      </c>
      <c r="AJ177" s="5">
        <f>IF($C$174="Producción",IF($C177&gt;=LI_B,IF($C177&lt;LS_B,$P177,0),0),0)</f>
        <v>0</v>
      </c>
      <c r="AK177" s="5">
        <f>IF($C$174="Producción",IF($C177&gt;=LI_C,IF($C177&lt;LS_C,$P177,0),0),0)</f>
        <v>0</v>
      </c>
      <c r="AL177" s="5">
        <f>IF($C$174="Producción",IF($C177&lt;LS_D,$P177,0),0)</f>
        <v>0</v>
      </c>
      <c r="AM177" s="5">
        <f>IF($C$174="Crecimiento",$P177,0)</f>
        <v>0</v>
      </c>
      <c r="AN177" s="5">
        <f>IF($C174="Siembra",'6'!$P$7,0)</f>
        <v>0</v>
      </c>
      <c r="AO177" s="5">
        <f>IF($C174="Abandono",'6'!$P$7,0)</f>
        <v>0</v>
      </c>
      <c r="AP177" s="5">
        <f>IF($D$174="Producción",IF($D177&gt;=LI_A,$Q177,0),0)</f>
        <v>0</v>
      </c>
      <c r="AQ177" s="5">
        <f>IF($D$174="Producción",IF($D177&gt;=LI_B,IF($D177&lt;LS_B,$Q177,0),0),0)</f>
        <v>0</v>
      </c>
      <c r="AR177" s="5">
        <f>IF($D$174="Producción",IF($D177&gt;=LI_C,IF($D177&lt;LS_C,$Q177,0),0),0)</f>
        <v>0</v>
      </c>
      <c r="AS177" s="5">
        <f>IF($D$174="Producción",IF($D177&lt;LS_D,$Q177,0),0)</f>
        <v>0</v>
      </c>
      <c r="AT177" s="5">
        <f>IF($D$174="Crecimiento",IF($D177&gt;0,$Q177,0),0)</f>
        <v>0</v>
      </c>
      <c r="AU177" s="5">
        <f>IF($D174="Siembra",'6'!$Q$7,0)</f>
        <v>0</v>
      </c>
      <c r="AV177" s="5">
        <f>IF($D174="Abandono",'6'!$Q$7,0)</f>
        <v>0</v>
      </c>
      <c r="AW177" s="5">
        <f>IF($E$174="Producción",IF($E177&gt;=LI_A,$R177,0),0)</f>
        <v>0</v>
      </c>
      <c r="AX177" s="5">
        <f>IF($E$174="Producción",IF($E177&gt;=LI_B,IF($E177&lt;LS_B,$R177,0),0),0)</f>
        <v>0</v>
      </c>
      <c r="AY177" s="5">
        <f>IF($E$174="Producción",IF($E177&gt;=LI_C,IF($E177&lt;LS_C,$R177,0),0),0)</f>
        <v>0</v>
      </c>
      <c r="AZ177" s="5">
        <f>IF($E$174="Producción",IF($E177&lt;LS_D,$R177,0),0)</f>
        <v>0</v>
      </c>
      <c r="BA177" s="5">
        <f>IF($E$174="Crecimiento",$R177,0)</f>
        <v>0</v>
      </c>
      <c r="BB177" s="5">
        <f>IF($E174="Siembra",'6'!$R$7,0)</f>
        <v>0</v>
      </c>
      <c r="BC177" s="5">
        <f>IF($E174="Abandono",'6'!$R$7,0)</f>
        <v>0</v>
      </c>
      <c r="BD177" s="5">
        <f>IF($F$174="Producción",IF($F177&gt;=LI_A,$S177,0),0)</f>
        <v>0</v>
      </c>
      <c r="BE177" s="5">
        <f>IF($F$174="Producción",IF($F177&gt;=LI_B,IF($F177&lt;LS_B,$S177,0),0),0)</f>
        <v>0</v>
      </c>
      <c r="BF177" s="5">
        <f>IF($F$174="Producción",IF($F177&gt;=LI_C,IF($F177&lt;LS_C,$S177,0),0),0)</f>
        <v>0</v>
      </c>
      <c r="BG177" s="5">
        <f>IF($F$174="Producción",IF($F177&lt;LS_D,$S177,0),0)</f>
        <v>0</v>
      </c>
      <c r="BH177" s="5">
        <f>IF($F$174="Crecimiento",$S177,0)</f>
        <v>0</v>
      </c>
      <c r="BI177" s="5">
        <f>IF($F174="Siembra",'6'!$S$7,0)</f>
        <v>0</v>
      </c>
      <c r="BJ177" s="5">
        <f>IF($F174="Abandono",'6'!$S$7,0)</f>
        <v>0</v>
      </c>
      <c r="BK177" s="5">
        <f>IF($G$174="Producción",IF($G177&gt;=LI_A,$T177,0),0)</f>
        <v>0</v>
      </c>
      <c r="BL177" s="5">
        <f>IF($G$174="Producción",IF($G177&gt;=LI_B,IF($G177&lt;LS_B,$T177,0),0),0)</f>
        <v>0</v>
      </c>
      <c r="BM177" s="5">
        <f>IF($G$174="Producción",IF($G177&gt;=LI_C,IF($G177&lt;LS_C,$T177,0),0),0)</f>
        <v>0</v>
      </c>
      <c r="BN177" s="5">
        <f>IF($G$174="Producción",IF($G177&lt;LS_D,$T177,0),0)</f>
        <v>0</v>
      </c>
      <c r="BO177" s="5">
        <f>IF($G$174="Crecimiento",$T177,0)</f>
        <v>0</v>
      </c>
      <c r="BP177" s="5">
        <f>IF($G174="Siembra",'6'!$T$7,0)</f>
        <v>0</v>
      </c>
      <c r="BQ177" s="5">
        <f>IF($G174="Abandono",'6'!$T$7,0)</f>
        <v>0</v>
      </c>
      <c r="BR177" s="5">
        <f>IF($H$174="Producción",IF($H177&gt;=LI_A,$U177,0),0)</f>
        <v>0</v>
      </c>
      <c r="BS177" s="5">
        <f>IF($H$174="Producción",IF($H177&gt;=LI_B,IF($H177&lt;LS_B,$U177,0),0),0)</f>
        <v>0</v>
      </c>
      <c r="BT177" s="5">
        <f>IF($H$174="Producción",IF($H177&gt;=LI_C,IF($H177&lt;LS_C,$U177,0),0),0)</f>
        <v>0</v>
      </c>
      <c r="BU177" s="5">
        <f>IF($H$174="Producción",IF($H177&lt;LS_D,$U177,0),0)</f>
        <v>0</v>
      </c>
      <c r="BV177" s="5">
        <f>IF($H$174="Crecimiento",$T177,0)</f>
        <v>0</v>
      </c>
      <c r="BW177" s="5">
        <f>IF($H174="Siembra",'6'!$U$7,0)</f>
        <v>0</v>
      </c>
      <c r="BX177" s="5">
        <f>IF($H174="Abandono",'6'!$U$7,0)</f>
        <v>0</v>
      </c>
      <c r="BY177" s="5">
        <f>IF($I$174="Producción",IF($I177&gt;=LI_A,$V177,0),0)</f>
        <v>0</v>
      </c>
      <c r="BZ177" s="5">
        <f>IF($I$174="Producción",IF($I177&gt;=LI_B,IF($I177&lt;LS_B,$V177,0),0),0)</f>
        <v>0</v>
      </c>
      <c r="CA177" s="5">
        <f>IF($I$174="Producción",IF($I177&gt;=LI_C,IF($I177&lt;LS_C,$V177,0),0),0)</f>
        <v>0</v>
      </c>
      <c r="CB177" s="5">
        <f>IF($I$174="Producción",IF($I177&lt;LS_D,$V177,0),0)</f>
        <v>0</v>
      </c>
      <c r="CC177" s="5">
        <f>IF($I$174="Crecimiento",$V177,0)</f>
        <v>0</v>
      </c>
      <c r="CD177" s="5">
        <f>IF($I174="Siembra",'6'!$V$7,0)</f>
        <v>0</v>
      </c>
      <c r="CE177" s="5">
        <f>IF($I174="Abandono",'6'!$V$7,0)</f>
        <v>0</v>
      </c>
      <c r="CF177" s="5">
        <f>IF($J$174="Producción",IF($J177&gt;=LI_A,$W177,0),0)</f>
        <v>0</v>
      </c>
      <c r="CG177" s="5">
        <f>IF($J$174="Producción",IF($J177&gt;=LI_B,IF($J177&lt;LS_B,$W177,0),0),0)</f>
        <v>0</v>
      </c>
      <c r="CH177" s="5">
        <f>IF($J$174="Producción",IF($J177&gt;=LI_C,IF($J177&lt;LS_C,$W177,0),0),0)</f>
        <v>0</v>
      </c>
      <c r="CI177" s="5">
        <f>IF($J$174="Producción",IF($J177&lt;LS_D,$W177,0),0)</f>
        <v>0</v>
      </c>
      <c r="CJ177" s="5">
        <f>IF($J$174="Crecimiento",$W177,0)</f>
        <v>0</v>
      </c>
      <c r="CK177" s="5">
        <f>IF($J174="Siembra",'6'!$W$7,0)</f>
        <v>0</v>
      </c>
      <c r="CL177" s="5">
        <f>IF($J174="Abandono",'6'!$W$7,0)</f>
        <v>0</v>
      </c>
      <c r="CM177" s="5">
        <f>IF($K$174="Producción",IF($K177&gt;=LI_A,$X177,0),0)</f>
        <v>0</v>
      </c>
      <c r="CN177" s="5">
        <f>IF($K$174="Producción",IF($K177&gt;=LI_B,IF($K177&lt;LS_B,$X177,0),0),0)</f>
        <v>0</v>
      </c>
      <c r="CO177" s="5">
        <f>IF($K$174="Producción",IF($K177&gt;=LI_C,IF($K177&lt;LS_C,$X177,0),0),0)</f>
        <v>0</v>
      </c>
      <c r="CP177" s="5">
        <f>IF($K$174="Producción",IF($K177&lt;LS_D,$X177,0),0)</f>
        <v>0</v>
      </c>
      <c r="CQ177" s="5">
        <f>IF($K$174="Crecimiento",$X177,0)</f>
        <v>0</v>
      </c>
      <c r="CR177" s="5">
        <f>IF($K174="Siembra",'6'!$X$7,0)</f>
        <v>0</v>
      </c>
      <c r="CS177" s="5">
        <f>IF($K174="Abandono",'6'!$X$7,0)</f>
        <v>0</v>
      </c>
      <c r="CT177" s="5">
        <f>IF($L$174="Producción",IF($L177&gt;=LI_A,$Y177,0),0)</f>
        <v>0</v>
      </c>
      <c r="CU177" s="5">
        <f>IF($L$174="Producción",IF($L177&gt;=LI_B,IF($L177&lt;LS_B,$Y177,0),0),0)</f>
        <v>0</v>
      </c>
      <c r="CV177" s="5">
        <f>IF($L$174="Producción",IF($L177&gt;=LI_C,IF($L177&lt;LS_C,$Y177,0),0),0)</f>
        <v>0</v>
      </c>
      <c r="CW177" s="5">
        <f>IF($L$174="Producción",IF($L177&lt;LS_D,$Y177,0),0)</f>
        <v>0</v>
      </c>
      <c r="CX177" s="5">
        <f>IF($L$174="Crecimiento",$Y177,0)</f>
        <v>0</v>
      </c>
      <c r="CY177" s="5">
        <f>IF($L174="Siembra",'6'!$Y$7,0)</f>
        <v>0</v>
      </c>
      <c r="CZ177" s="5">
        <f>IF($L174="Abandono",'6'!$Y$7,0)</f>
        <v>0</v>
      </c>
      <c r="DA177" s="5">
        <f>IF($M$174="Producción",IF($M177&gt;=LI_A,$Z177,0),0)</f>
        <v>0</v>
      </c>
      <c r="DB177" s="5">
        <f>IF($M$174="Producción",IF($M177&gt;=LI_B,IF($M177&lt;LS_B,$Z177,0),0),0)</f>
        <v>0</v>
      </c>
      <c r="DC177" s="5">
        <f>IF($M$174="Producción",IF($M177&gt;=LI_C,IF($M177&lt;LS_C,$Z177,0),0),0)</f>
        <v>0</v>
      </c>
      <c r="DD177" s="5">
        <f>IF($M$174="Producción",IF($M177&lt;LS_D,$Z177,0),0)</f>
        <v>0</v>
      </c>
      <c r="DE177" s="5">
        <f>IF($M$174="Crecimiento",$Z177,0)</f>
        <v>0</v>
      </c>
      <c r="DF177" s="5">
        <f>IF($M174="Siembra",'6'!$Z$7,0)</f>
        <v>0</v>
      </c>
      <c r="DG177" s="5">
        <f>IF($M174="Abandono",'6'!$Z$7,0)</f>
        <v>0</v>
      </c>
      <c r="DI177" s="5">
        <f t="shared" ref="DI177:DI181" si="1307">AB177*$B177</f>
        <v>0</v>
      </c>
      <c r="DJ177" s="5">
        <f t="shared" ref="DJ177:DJ181" si="1308">AC177*$B177</f>
        <v>0</v>
      </c>
      <c r="DK177" s="5">
        <f t="shared" ref="DK177:DK181" si="1309">AD177*$B177</f>
        <v>0</v>
      </c>
      <c r="DL177" s="5">
        <f t="shared" ref="DL177:DL181" si="1310">AE177*$B177</f>
        <v>0</v>
      </c>
      <c r="DM177" s="5">
        <f t="shared" ref="DM177:DM181" si="1311">AF177*$B177</f>
        <v>0</v>
      </c>
      <c r="DN177" s="5">
        <f t="shared" ref="DN177:DN181" si="1312">AI177*$C177</f>
        <v>0</v>
      </c>
      <c r="DO177" s="5">
        <f t="shared" ref="DO177:DO181" si="1313">AJ177*$C177</f>
        <v>0</v>
      </c>
      <c r="DP177" s="5">
        <f t="shared" ref="DP177:DP181" si="1314">AK177*$C177</f>
        <v>0</v>
      </c>
      <c r="DQ177" s="5">
        <f t="shared" ref="DQ177:DQ181" si="1315">AL177*$C177</f>
        <v>0</v>
      </c>
      <c r="DR177" s="5">
        <f t="shared" ref="DR177:DR181" si="1316">AM177*$C177</f>
        <v>0</v>
      </c>
      <c r="DS177" s="5">
        <f t="shared" ref="DS177:DS181" si="1317">AP177*$D177</f>
        <v>0</v>
      </c>
      <c r="DT177" s="5">
        <f t="shared" ref="DT177:DT181" si="1318">AQ177*$D177</f>
        <v>0</v>
      </c>
      <c r="DU177" s="5">
        <f t="shared" ref="DU177:DU181" si="1319">AR177*$D177</f>
        <v>0</v>
      </c>
      <c r="DV177" s="5">
        <f t="shared" ref="DV177:DV181" si="1320">AS177*$D177</f>
        <v>0</v>
      </c>
      <c r="DW177" s="5">
        <f t="shared" ref="DW177:DW181" si="1321">AT177*$D177</f>
        <v>0</v>
      </c>
      <c r="DX177" s="5">
        <f t="shared" ref="DX177:DX181" si="1322">AW177*$E177</f>
        <v>0</v>
      </c>
      <c r="DY177" s="5">
        <f t="shared" ref="DY177:DY181" si="1323">AX177*$E177</f>
        <v>0</v>
      </c>
      <c r="DZ177" s="5">
        <f t="shared" ref="DZ177:DZ181" si="1324">AY177*$E177</f>
        <v>0</v>
      </c>
      <c r="EA177" s="5">
        <f t="shared" ref="EA177:EA181" si="1325">AZ177*$E177</f>
        <v>0</v>
      </c>
      <c r="EB177" s="5">
        <f t="shared" ref="EB177:EB181" si="1326">BA177*$E177</f>
        <v>0</v>
      </c>
      <c r="EC177" s="5">
        <f t="shared" ref="EC177:EC181" si="1327">BD177*$F177</f>
        <v>0</v>
      </c>
      <c r="ED177" s="5">
        <f t="shared" ref="ED177:ED181" si="1328">BE177*$F177</f>
        <v>0</v>
      </c>
      <c r="EE177" s="5">
        <f t="shared" ref="EE177:EE181" si="1329">BF177*$F177</f>
        <v>0</v>
      </c>
      <c r="EF177" s="5">
        <f t="shared" ref="EF177:EF181" si="1330">BG177*$F177</f>
        <v>0</v>
      </c>
      <c r="EG177" s="5">
        <f t="shared" ref="EG177:EG181" si="1331">BH177*$F177</f>
        <v>0</v>
      </c>
      <c r="EH177" s="5">
        <f t="shared" ref="EH177:EH181" si="1332">BK177*$G177</f>
        <v>0</v>
      </c>
      <c r="EI177" s="5">
        <f t="shared" ref="EI177:EI181" si="1333">BL177*$G177</f>
        <v>0</v>
      </c>
      <c r="EJ177" s="5">
        <f t="shared" ref="EJ177:EJ181" si="1334">BM177*$G177</f>
        <v>0</v>
      </c>
      <c r="EK177" s="5">
        <f t="shared" ref="EK177:EK181" si="1335">BN177*$G177</f>
        <v>0</v>
      </c>
      <c r="EL177" s="5">
        <f t="shared" ref="EL177:EL181" si="1336">BO177*$G177</f>
        <v>0</v>
      </c>
      <c r="EM177" s="5">
        <f t="shared" ref="EM177:EM181" si="1337">BR177*$H177</f>
        <v>0</v>
      </c>
      <c r="EN177" s="5">
        <f t="shared" ref="EN177:EN181" si="1338">BS177*$H177</f>
        <v>0</v>
      </c>
      <c r="EO177" s="5">
        <f t="shared" ref="EO177:EO181" si="1339">BT177*$H177</f>
        <v>0</v>
      </c>
      <c r="EP177" s="5">
        <f t="shared" ref="EP177:EP181" si="1340">BU177*$H177</f>
        <v>0</v>
      </c>
      <c r="EQ177" s="5">
        <f t="shared" ref="EQ177:EQ181" si="1341">BV177*$H177</f>
        <v>0</v>
      </c>
      <c r="ER177" s="5">
        <f t="shared" ref="ER177:ER181" si="1342">BY177*$I177</f>
        <v>0</v>
      </c>
      <c r="ES177" s="5">
        <f t="shared" ref="ES177:ES181" si="1343">BZ177*$I177</f>
        <v>0</v>
      </c>
      <c r="ET177" s="5">
        <f t="shared" ref="ET177:ET181" si="1344">CA177*$I177</f>
        <v>0</v>
      </c>
      <c r="EU177" s="5">
        <f t="shared" ref="EU177:EU181" si="1345">CB177*$I177</f>
        <v>0</v>
      </c>
      <c r="EV177" s="5">
        <f t="shared" ref="EV177:EV181" si="1346">CC177*$I177</f>
        <v>0</v>
      </c>
      <c r="EW177" s="5">
        <f t="shared" ref="EW177:EW181" si="1347">CF177*$J177</f>
        <v>0</v>
      </c>
      <c r="EX177" s="5">
        <f t="shared" ref="EX177:EX181" si="1348">CG177*$J177</f>
        <v>0</v>
      </c>
      <c r="EY177" s="5">
        <f t="shared" ref="EY177:EY181" si="1349">CH177*$J177</f>
        <v>0</v>
      </c>
      <c r="EZ177" s="5">
        <f t="shared" ref="EZ177:EZ181" si="1350">CI177*$J177</f>
        <v>0</v>
      </c>
      <c r="FA177" s="5">
        <f t="shared" ref="FA177:FA181" si="1351">CJ177*$J177</f>
        <v>0</v>
      </c>
      <c r="FB177" s="5">
        <f t="shared" ref="FB177:FB181" si="1352">CM177*$K177</f>
        <v>0</v>
      </c>
      <c r="FC177" s="5">
        <f t="shared" ref="FC177:FC181" si="1353">CN177*$K177</f>
        <v>0</v>
      </c>
      <c r="FD177" s="5">
        <f t="shared" ref="FD177:FD181" si="1354">CO177*$K177</f>
        <v>0</v>
      </c>
      <c r="FE177" s="5">
        <f t="shared" ref="FE177:FE181" si="1355">CP177*$K177</f>
        <v>0</v>
      </c>
      <c r="FF177" s="5">
        <f t="shared" ref="FF177:FF181" si="1356">CQ177*$K177</f>
        <v>0</v>
      </c>
      <c r="FG177" s="5">
        <f t="shared" ref="FG177:FG181" si="1357">CT177*$L177</f>
        <v>0</v>
      </c>
      <c r="FH177" s="5">
        <f t="shared" ref="FH177:FH181" si="1358">CU177*$L177</f>
        <v>0</v>
      </c>
      <c r="FI177" s="5">
        <f t="shared" ref="FI177:FI181" si="1359">CV177*$L177</f>
        <v>0</v>
      </c>
      <c r="FJ177" s="5">
        <f t="shared" ref="FJ177:FJ181" si="1360">CW177*$L177</f>
        <v>0</v>
      </c>
      <c r="FK177" s="5">
        <f t="shared" ref="FK177:FK181" si="1361">CX177*$L177</f>
        <v>0</v>
      </c>
      <c r="FL177" s="5">
        <f t="shared" ref="FL177:FL181" si="1362">DA177*$M177</f>
        <v>0</v>
      </c>
      <c r="FM177" s="5">
        <f t="shared" ref="FM177:FM181" si="1363">DB177*$M177</f>
        <v>0</v>
      </c>
      <c r="FN177" s="5">
        <f t="shared" ref="FN177:FN181" si="1364">DC177*$M177</f>
        <v>0</v>
      </c>
      <c r="FO177" s="5">
        <f t="shared" ref="FO177:FO181" si="1365">DD177*$M177</f>
        <v>0</v>
      </c>
      <c r="FP177" s="5">
        <f t="shared" ref="FP177:FP181" si="1366">DE177*$M177</f>
        <v>0</v>
      </c>
    </row>
    <row r="178" spans="1:172" ht="20.100000000000001" customHeight="1" x14ac:dyDescent="0.3">
      <c r="A178" s="8" t="s">
        <v>303</v>
      </c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O178" s="58">
        <f>IFERROR('6'!O$91/Ciclo,0)</f>
        <v>0</v>
      </c>
      <c r="P178" s="58">
        <f>IFERROR('6'!P$91/Ciclo,0)</f>
        <v>0</v>
      </c>
      <c r="Q178" s="58">
        <f>IFERROR('6'!Q$91/Ciclo,0)</f>
        <v>0</v>
      </c>
      <c r="R178" s="58">
        <f>IFERROR('6'!R$91/Ciclo,0)</f>
        <v>0</v>
      </c>
      <c r="S178" s="58">
        <f>IFERROR('6'!S$91/Ciclo,0)</f>
        <v>0</v>
      </c>
      <c r="T178" s="58">
        <f>IFERROR('6'!T$91/Ciclo,0)</f>
        <v>0</v>
      </c>
      <c r="U178" s="58">
        <f>IFERROR('6'!U$91/Ciclo,0)</f>
        <v>0</v>
      </c>
      <c r="V178" s="58">
        <f>IFERROR('6'!V$91/Ciclo,0)</f>
        <v>0</v>
      </c>
      <c r="W178" s="5">
        <f>IFERROR('6'!W$91/Ciclo,0)</f>
        <v>0</v>
      </c>
      <c r="X178" s="5">
        <f>IFERROR('6'!X$91/Ciclo,0)</f>
        <v>0</v>
      </c>
      <c r="Y178" s="5">
        <f>IFERROR('6'!Y$91/Ciclo,0)</f>
        <v>0</v>
      </c>
      <c r="Z178" s="5">
        <f>IFERROR('6'!Z$91/Ciclo,0)</f>
        <v>0</v>
      </c>
      <c r="AB178" s="5">
        <f>IF($B$174="Producción",IF($B178&gt;=LI_A,$O178,0),0)</f>
        <v>0</v>
      </c>
      <c r="AC178" s="5">
        <f>IF($B$174="Producción",IF($B178&gt;=LI_B,IF($B178&lt;LS_B,$O178,0),0),0)</f>
        <v>0</v>
      </c>
      <c r="AD178" s="5">
        <f>IF($B$174="Producción",IF($B178&gt;=LI_C,IF($B178&lt;LS_C,$O178,0),0),0)</f>
        <v>0</v>
      </c>
      <c r="AE178" s="5">
        <f>IF($B$174="Producción",IF($B178&lt;LS_D,$O178,0),0)</f>
        <v>0</v>
      </c>
      <c r="AF178" s="5">
        <f t="shared" ref="AF178:AF181" si="1367">IF($B$174="Crecimiento",$O178,0)</f>
        <v>0</v>
      </c>
      <c r="AI178" s="5">
        <f>IF($C$174="Producción",IF($C178&gt;=LI_A,$P178,0),0)</f>
        <v>0</v>
      </c>
      <c r="AJ178" s="5">
        <f>IF($C$174="Producción",IF($C178&gt;=LI_B,IF($C178&lt;LS_B,$P178,0),0),0)</f>
        <v>0</v>
      </c>
      <c r="AK178" s="5">
        <f>IF($C$174="Producción",IF($C178&gt;=LI_C,IF($C178&lt;LS_C,$P178,0),0),0)</f>
        <v>0</v>
      </c>
      <c r="AL178" s="5">
        <f>IF($C$174="Producción",IF($C178&lt;LS_D,$P178,0),0)</f>
        <v>0</v>
      </c>
      <c r="AM178" s="5">
        <f>IF($C$174="Crecimiento",$P178,0)</f>
        <v>0</v>
      </c>
      <c r="AP178" s="5">
        <f>IF($D$174="Producción",IF($D178&gt;=LI_A,$Q178,0),0)</f>
        <v>0</v>
      </c>
      <c r="AQ178" s="5">
        <f>IF($D$174="Producción",IF($D178&gt;=LI_B,IF($D178&lt;LS_B,$Q178,0),0),0)</f>
        <v>0</v>
      </c>
      <c r="AR178" s="5">
        <f>IF($D$174="Producción",IF($D178&gt;=LI_C,IF($D178&lt;LS_C,$Q178,0),0),0)</f>
        <v>0</v>
      </c>
      <c r="AS178" s="5">
        <f>IF($D$174="Producción",IF($D178&lt;LS_D,$Q178,0),0)</f>
        <v>0</v>
      </c>
      <c r="AT178" s="5">
        <f>IF($D$174="Crecimiento",IF($D178&gt;0,$Q178,0),0)</f>
        <v>0</v>
      </c>
      <c r="AW178" s="5">
        <f>IF($E$174="Producción",IF($E178&gt;=LI_A,$R178,0),0)</f>
        <v>0</v>
      </c>
      <c r="AX178" s="5">
        <f>IF($E$174="Producción",IF($E178&gt;=LI_B,IF($E178&lt;LS_B,$R178,0),0),0)</f>
        <v>0</v>
      </c>
      <c r="AY178" s="5">
        <f>IF($E$174="Producción",IF($E178&gt;=LI_C,IF($E178&lt;LS_C,$R178,0),0),0)</f>
        <v>0</v>
      </c>
      <c r="AZ178" s="5">
        <f>IF($E$174="Producción",IF($E178&lt;LS_D,$R178,0),0)</f>
        <v>0</v>
      </c>
      <c r="BA178" s="5">
        <f>IF($E$174="Crecimiento",$R178,0)</f>
        <v>0</v>
      </c>
      <c r="BD178" s="5">
        <f>IF($F$174="Producción",IF($F178&gt;=LI_A,$S178,0),0)</f>
        <v>0</v>
      </c>
      <c r="BE178" s="5">
        <f>IF($F$174="Producción",IF($F178&gt;=LI_B,IF($F178&lt;LS_B,$S178,0),0),0)</f>
        <v>0</v>
      </c>
      <c r="BF178" s="5">
        <f>IF($F$174="Producción",IF($F178&gt;=LI_C,IF($F178&lt;LS_C,$S178,0),0),0)</f>
        <v>0</v>
      </c>
      <c r="BG178" s="5">
        <f>IF($F$174="Producción",IF($F178&lt;LS_D,$S178,0),0)</f>
        <v>0</v>
      </c>
      <c r="BH178" s="5">
        <f>IF($F$174="Crecimiento",$S178,0)</f>
        <v>0</v>
      </c>
      <c r="BK178" s="5">
        <f>IF($G$174="Producción",IF($G178&gt;=LI_A,$T178,0),0)</f>
        <v>0</v>
      </c>
      <c r="BL178" s="5">
        <f>IF($G$174="Producción",IF($G178&gt;=LI_B,IF($G178&lt;LS_B,$T178,0),0),0)</f>
        <v>0</v>
      </c>
      <c r="BM178" s="5">
        <f>IF($G$174="Producción",IF($G178&gt;=LI_C,IF($G178&lt;LS_C,$T178,0),0),0)</f>
        <v>0</v>
      </c>
      <c r="BN178" s="5">
        <f>IF($G$174="Producción",IF($G178&lt;LS_D,$T178,0),0)</f>
        <v>0</v>
      </c>
      <c r="BO178" s="5">
        <f>IF($G$174="Crecimiento",$T178,0)</f>
        <v>0</v>
      </c>
      <c r="BR178" s="5">
        <f>IF($H$174="Producción",IF($H178&gt;=LI_A,$U178,0),0)</f>
        <v>0</v>
      </c>
      <c r="BS178" s="5">
        <f>IF($H$174="Producción",IF($H178&gt;=LI_B,IF($H178&lt;LS_B,$U178,0),0),0)</f>
        <v>0</v>
      </c>
      <c r="BT178" s="5">
        <f>IF($H$174="Producción",IF($H178&gt;=LI_C,IF($H178&lt;LS_C,$U178,0),0),0)</f>
        <v>0</v>
      </c>
      <c r="BU178" s="5">
        <f>IF($H$174="Producción",IF($H178&lt;LS_D,$U178,0),0)</f>
        <v>0</v>
      </c>
      <c r="BV178" s="5">
        <f>IF($H$174="Crecimiento",$T178,0)</f>
        <v>0</v>
      </c>
      <c r="BY178" s="5">
        <f>IF($I$174="Producción",IF($I178&gt;=LI_A,$V178,0),0)</f>
        <v>0</v>
      </c>
      <c r="BZ178" s="5">
        <f>IF($I$174="Producción",IF($I178&gt;=LI_B,IF($I178&lt;LS_B,$V178,0),0),0)</f>
        <v>0</v>
      </c>
      <c r="CA178" s="5">
        <f>IF($I$174="Producción",IF($I178&gt;=LI_C,IF($I178&lt;LS_C,$V178,0),0),0)</f>
        <v>0</v>
      </c>
      <c r="CB178" s="5">
        <f>IF($I$174="Producción",IF($I178&lt;LS_D,$V178,0),0)</f>
        <v>0</v>
      </c>
      <c r="CC178" s="5">
        <f>IF($I$174="Crecimiento",$V178,0)</f>
        <v>0</v>
      </c>
      <c r="CF178" s="5">
        <f>IF($J$174="Producción",IF($J178&gt;=LI_A,$W178,0),0)</f>
        <v>0</v>
      </c>
      <c r="CG178" s="5">
        <f>IF($J$174="Producción",IF($J178&gt;=LI_B,IF($J178&lt;LS_B,$W178,0),0),0)</f>
        <v>0</v>
      </c>
      <c r="CH178" s="5">
        <f>IF($J$174="Producción",IF($J178&gt;=LI_C,IF($J178&lt;LS_C,$W178,0),0),0)</f>
        <v>0</v>
      </c>
      <c r="CI178" s="5">
        <f>IF($J$174="Producción",IF($J178&lt;LS_D,$W178,0),0)</f>
        <v>0</v>
      </c>
      <c r="CJ178" s="5">
        <f>IF($J$174="Crecimiento",$W178,0)</f>
        <v>0</v>
      </c>
      <c r="CM178" s="5">
        <f>IF($K$174="Producción",IF($K178&gt;=LI_A,$X178,0),0)</f>
        <v>0</v>
      </c>
      <c r="CN178" s="5">
        <f>IF($K$174="Producción",IF($K178&gt;=LI_B,IF($K178&lt;LS_B,$X178,0),0),0)</f>
        <v>0</v>
      </c>
      <c r="CO178" s="5">
        <f>IF($K$174="Producción",IF($K178&gt;=LI_C,IF($K178&lt;LS_C,$X178,0),0),0)</f>
        <v>0</v>
      </c>
      <c r="CP178" s="5">
        <f>IF($K$174="Producción",IF($K178&lt;LS_D,$X178,0),0)</f>
        <v>0</v>
      </c>
      <c r="CQ178" s="5">
        <f>IF($K$174="Crecimiento",$X178,0)</f>
        <v>0</v>
      </c>
      <c r="CT178" s="5">
        <f>IF($L$174="Producción",IF($L178&gt;=LI_A,$Y178,0),0)</f>
        <v>0</v>
      </c>
      <c r="CU178" s="5">
        <f>IF($L$174="Producción",IF($L178&gt;=LI_B,IF($L178&lt;LS_B,$Y178,0),0),0)</f>
        <v>0</v>
      </c>
      <c r="CV178" s="5">
        <f>IF($L$174="Producción",IF($L178&gt;=LI_C,IF($L178&lt;LS_C,$Y178,0),0),0)</f>
        <v>0</v>
      </c>
      <c r="CW178" s="5">
        <f>IF($L$174="Producción",IF($L178&lt;LS_D,$Y178,0),0)</f>
        <v>0</v>
      </c>
      <c r="CX178" s="5">
        <f>IF($L$174="Crecimiento",$Y178,0)</f>
        <v>0</v>
      </c>
      <c r="DA178" s="5">
        <f>IF($M$174="Producción",IF($M178&gt;=LI_A,$Z178,0),0)</f>
        <v>0</v>
      </c>
      <c r="DB178" s="5">
        <f>IF($M$174="Producción",IF($M178&gt;=LI_B,IF($M178&lt;LS_B,$Z178,0),0),0)</f>
        <v>0</v>
      </c>
      <c r="DC178" s="5">
        <f>IF($M$174="Producción",IF($M178&gt;=LI_C,IF($M178&lt;LS_C,$Z178,0),0),0)</f>
        <v>0</v>
      </c>
      <c r="DD178" s="5">
        <f>IF($M$174="Producción",IF($M178&lt;LS_D,$Z178,0),0)</f>
        <v>0</v>
      </c>
      <c r="DE178" s="5">
        <f>IF($M$174="Crecimiento",$Z178,0)</f>
        <v>0</v>
      </c>
      <c r="DI178" s="5">
        <f t="shared" si="1307"/>
        <v>0</v>
      </c>
      <c r="DJ178" s="5">
        <f t="shared" si="1308"/>
        <v>0</v>
      </c>
      <c r="DK178" s="5">
        <f t="shared" si="1309"/>
        <v>0</v>
      </c>
      <c r="DL178" s="5">
        <f t="shared" si="1310"/>
        <v>0</v>
      </c>
      <c r="DM178" s="5">
        <f t="shared" si="1311"/>
        <v>0</v>
      </c>
      <c r="DN178" s="5">
        <f t="shared" si="1312"/>
        <v>0</v>
      </c>
      <c r="DO178" s="5">
        <f t="shared" si="1313"/>
        <v>0</v>
      </c>
      <c r="DP178" s="5">
        <f t="shared" si="1314"/>
        <v>0</v>
      </c>
      <c r="DQ178" s="5">
        <f t="shared" si="1315"/>
        <v>0</v>
      </c>
      <c r="DR178" s="5">
        <f t="shared" si="1316"/>
        <v>0</v>
      </c>
      <c r="DS178" s="5">
        <f t="shared" si="1317"/>
        <v>0</v>
      </c>
      <c r="DT178" s="5">
        <f t="shared" si="1318"/>
        <v>0</v>
      </c>
      <c r="DU178" s="5">
        <f t="shared" si="1319"/>
        <v>0</v>
      </c>
      <c r="DV178" s="5">
        <f t="shared" si="1320"/>
        <v>0</v>
      </c>
      <c r="DW178" s="5">
        <f t="shared" si="1321"/>
        <v>0</v>
      </c>
      <c r="DX178" s="5">
        <f t="shared" si="1322"/>
        <v>0</v>
      </c>
      <c r="DY178" s="5">
        <f t="shared" si="1323"/>
        <v>0</v>
      </c>
      <c r="DZ178" s="5">
        <f t="shared" si="1324"/>
        <v>0</v>
      </c>
      <c r="EA178" s="5">
        <f t="shared" si="1325"/>
        <v>0</v>
      </c>
      <c r="EB178" s="5">
        <f t="shared" si="1326"/>
        <v>0</v>
      </c>
      <c r="EC178" s="5">
        <f t="shared" si="1327"/>
        <v>0</v>
      </c>
      <c r="ED178" s="5">
        <f t="shared" si="1328"/>
        <v>0</v>
      </c>
      <c r="EE178" s="5">
        <f t="shared" si="1329"/>
        <v>0</v>
      </c>
      <c r="EF178" s="5">
        <f t="shared" si="1330"/>
        <v>0</v>
      </c>
      <c r="EG178" s="5">
        <f t="shared" si="1331"/>
        <v>0</v>
      </c>
      <c r="EH178" s="5">
        <f t="shared" si="1332"/>
        <v>0</v>
      </c>
      <c r="EI178" s="5">
        <f t="shared" si="1333"/>
        <v>0</v>
      </c>
      <c r="EJ178" s="5">
        <f t="shared" si="1334"/>
        <v>0</v>
      </c>
      <c r="EK178" s="5">
        <f t="shared" si="1335"/>
        <v>0</v>
      </c>
      <c r="EL178" s="5">
        <f t="shared" si="1336"/>
        <v>0</v>
      </c>
      <c r="EM178" s="5">
        <f t="shared" si="1337"/>
        <v>0</v>
      </c>
      <c r="EN178" s="5">
        <f t="shared" si="1338"/>
        <v>0</v>
      </c>
      <c r="EO178" s="5">
        <f t="shared" si="1339"/>
        <v>0</v>
      </c>
      <c r="EP178" s="5">
        <f t="shared" si="1340"/>
        <v>0</v>
      </c>
      <c r="EQ178" s="5">
        <f t="shared" si="1341"/>
        <v>0</v>
      </c>
      <c r="ER178" s="5">
        <f t="shared" si="1342"/>
        <v>0</v>
      </c>
      <c r="ES178" s="5">
        <f t="shared" si="1343"/>
        <v>0</v>
      </c>
      <c r="ET178" s="5">
        <f t="shared" si="1344"/>
        <v>0</v>
      </c>
      <c r="EU178" s="5">
        <f t="shared" si="1345"/>
        <v>0</v>
      </c>
      <c r="EV178" s="5">
        <f t="shared" si="1346"/>
        <v>0</v>
      </c>
      <c r="EW178" s="5">
        <f t="shared" si="1347"/>
        <v>0</v>
      </c>
      <c r="EX178" s="5">
        <f t="shared" si="1348"/>
        <v>0</v>
      </c>
      <c r="EY178" s="5">
        <f t="shared" si="1349"/>
        <v>0</v>
      </c>
      <c r="EZ178" s="5">
        <f t="shared" si="1350"/>
        <v>0</v>
      </c>
      <c r="FA178" s="5">
        <f t="shared" si="1351"/>
        <v>0</v>
      </c>
      <c r="FB178" s="5">
        <f t="shared" si="1352"/>
        <v>0</v>
      </c>
      <c r="FC178" s="5">
        <f t="shared" si="1353"/>
        <v>0</v>
      </c>
      <c r="FD178" s="5">
        <f t="shared" si="1354"/>
        <v>0</v>
      </c>
      <c r="FE178" s="5">
        <f t="shared" si="1355"/>
        <v>0</v>
      </c>
      <c r="FF178" s="5">
        <f t="shared" si="1356"/>
        <v>0</v>
      </c>
      <c r="FG178" s="5">
        <f t="shared" si="1357"/>
        <v>0</v>
      </c>
      <c r="FH178" s="5">
        <f t="shared" si="1358"/>
        <v>0</v>
      </c>
      <c r="FI178" s="5">
        <f t="shared" si="1359"/>
        <v>0</v>
      </c>
      <c r="FJ178" s="5">
        <f t="shared" si="1360"/>
        <v>0</v>
      </c>
      <c r="FK178" s="5">
        <f t="shared" si="1361"/>
        <v>0</v>
      </c>
      <c r="FL178" s="5">
        <f t="shared" si="1362"/>
        <v>0</v>
      </c>
      <c r="FM178" s="5">
        <f t="shared" si="1363"/>
        <v>0</v>
      </c>
      <c r="FN178" s="5">
        <f t="shared" si="1364"/>
        <v>0</v>
      </c>
      <c r="FO178" s="5">
        <f t="shared" si="1365"/>
        <v>0</v>
      </c>
      <c r="FP178" s="5">
        <f t="shared" si="1366"/>
        <v>0</v>
      </c>
    </row>
    <row r="179" spans="1:172" ht="20.100000000000001" customHeight="1" x14ac:dyDescent="0.3">
      <c r="A179" s="8" t="str">
        <f>IF(Ciclo&gt;2,"Surco 3","NA")</f>
        <v>Surco 3</v>
      </c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O179" s="58">
        <f>IF($A179="NA",0,IFERROR('6'!O$91/Ciclo,0))</f>
        <v>0</v>
      </c>
      <c r="P179" s="58">
        <f>IF($A179="NA",0,IFERROR('6'!P$91/Ciclo,0))</f>
        <v>0</v>
      </c>
      <c r="Q179" s="58">
        <f>IF($A179="NA",0,IFERROR('6'!Q$91/Ciclo,0))</f>
        <v>0</v>
      </c>
      <c r="R179" s="58">
        <f>IF($A179="NA",0,IFERROR('6'!R$91/Ciclo,0))</f>
        <v>0</v>
      </c>
      <c r="S179" s="58">
        <f>IF($A179="NA",0,IFERROR('6'!S$91/Ciclo,0))</f>
        <v>0</v>
      </c>
      <c r="T179" s="58">
        <f>IF($A179="NA",0,IFERROR('6'!T$91/Ciclo,0))</f>
        <v>0</v>
      </c>
      <c r="U179" s="58">
        <f>IF($A179="NA",0,IFERROR('6'!U$91/Ciclo,0))</f>
        <v>0</v>
      </c>
      <c r="V179" s="58">
        <f>IF($A179="NA",0,IFERROR('6'!V$91/Ciclo,0))</f>
        <v>0</v>
      </c>
      <c r="W179" s="5">
        <f>IF($A179="NA",0,IFERROR('6'!W$91/Ciclo,0))</f>
        <v>0</v>
      </c>
      <c r="X179" s="5">
        <f>IF($A179="NA",0,IFERROR('6'!X$91/Ciclo,0))</f>
        <v>0</v>
      </c>
      <c r="Y179" s="5">
        <f>IF($A179="NA",0,IFERROR('6'!Y$91/Ciclo,0))</f>
        <v>0</v>
      </c>
      <c r="Z179" s="5">
        <f>IF($A179="NA",0,IFERROR('6'!Z$91/Ciclo,0))</f>
        <v>0</v>
      </c>
      <c r="AB179" s="5">
        <f>IF($B$174="Producción",IF($B179&gt;=LI_A,$O179,0),0)</f>
        <v>0</v>
      </c>
      <c r="AC179" s="5">
        <f>IF($B$174="Producción",IF($B179&gt;=LI_B,IF($B179&lt;LS_B,$O179,0),0),0)</f>
        <v>0</v>
      </c>
      <c r="AD179" s="5">
        <f>IF($B$174="Producción",IF($B179&gt;=LI_C,IF($B179&lt;LS_C,$O179,0),0),0)</f>
        <v>0</v>
      </c>
      <c r="AE179" s="5">
        <f>IF($B$174="Producción",IF($B179&lt;LS_D,$O179,0),0)</f>
        <v>0</v>
      </c>
      <c r="AF179" s="5">
        <f t="shared" si="1367"/>
        <v>0</v>
      </c>
      <c r="AI179" s="5">
        <f>IF($C$174="Producción",IF($C179&gt;=LI_A,$P179,0),0)</f>
        <v>0</v>
      </c>
      <c r="AJ179" s="5">
        <f>IF($C$174="Producción",IF($C179&gt;=LI_B,IF($C179&lt;LS_B,$P179,0),0),0)</f>
        <v>0</v>
      </c>
      <c r="AK179" s="5">
        <f>IF($C$174="Producción",IF($C179&gt;=LI_C,IF($C179&lt;LS_C,$P179,0),0),0)</f>
        <v>0</v>
      </c>
      <c r="AL179" s="5">
        <f>IF($C$174="Producción",IF($C179&lt;LS_D,$P179,0),0)</f>
        <v>0</v>
      </c>
      <c r="AM179" s="5">
        <f>IF($C$174="Crecimiento",$P179,0)</f>
        <v>0</v>
      </c>
      <c r="AP179" s="5">
        <f>IF($D$174="Producción",IF($D179&gt;=LI_A,$Q179,0),0)</f>
        <v>0</v>
      </c>
      <c r="AQ179" s="5">
        <f>IF($D$174="Producción",IF($D179&gt;=LI_B,IF($D179&lt;LS_B,$Q179,0),0),0)</f>
        <v>0</v>
      </c>
      <c r="AR179" s="5">
        <f>IF($D$174="Producción",IF($D179&gt;=LI_C,IF($D179&lt;LS_C,$Q179,0),0),0)</f>
        <v>0</v>
      </c>
      <c r="AS179" s="5">
        <f>IF($D$174="Producción",IF($D179&lt;LS_D,$Q179,0),0)</f>
        <v>0</v>
      </c>
      <c r="AT179" s="5">
        <f>IF($D$174="Crecimiento",IF($D179&gt;0,$Q179,0),0)</f>
        <v>0</v>
      </c>
      <c r="AW179" s="5">
        <f>IF($E$174="Producción",IF($E179&gt;=LI_A,$R179,0),0)</f>
        <v>0</v>
      </c>
      <c r="AX179" s="5">
        <f>IF($E$174="Producción",IF($E179&gt;=LI_B,IF($E179&lt;LS_B,$R179,0),0),0)</f>
        <v>0</v>
      </c>
      <c r="AY179" s="5">
        <f>IF($E$174="Producción",IF($E179&gt;=LI_C,IF($E179&lt;LS_C,$R179,0),0),0)</f>
        <v>0</v>
      </c>
      <c r="AZ179" s="5">
        <f>IF($E$174="Producción",IF($E179&lt;LS_D,$R179,0),0)</f>
        <v>0</v>
      </c>
      <c r="BA179" s="5">
        <f>IF($E$174="Crecimiento",$R179,0)</f>
        <v>0</v>
      </c>
      <c r="BD179" s="5">
        <f>IF($F$174="Producción",IF($F179&gt;=LI_A,$S179,0),0)</f>
        <v>0</v>
      </c>
      <c r="BE179" s="5">
        <f>IF($F$174="Producción",IF($F179&gt;=LI_B,IF($F179&lt;LS_B,$S179,0),0),0)</f>
        <v>0</v>
      </c>
      <c r="BF179" s="5">
        <f>IF($F$174="Producción",IF($F179&gt;=LI_C,IF($F179&lt;LS_C,$S179,0),0),0)</f>
        <v>0</v>
      </c>
      <c r="BG179" s="5">
        <f>IF($F$174="Producción",IF($F179&lt;LS_D,$S179,0),0)</f>
        <v>0</v>
      </c>
      <c r="BH179" s="5">
        <f>IF($F$174="Crecimiento",$S179,0)</f>
        <v>0</v>
      </c>
      <c r="BK179" s="5">
        <f>IF($G$174="Producción",IF($G179&gt;=LI_A,$T179,0),0)</f>
        <v>0</v>
      </c>
      <c r="BL179" s="5">
        <f>IF($G$174="Producción",IF($G179&gt;=LI_B,IF($G179&lt;LS_B,$T179,0),0),0)</f>
        <v>0</v>
      </c>
      <c r="BM179" s="5">
        <f>IF($G$174="Producción",IF($G179&gt;=LI_C,IF($G179&lt;LS_C,$T179,0),0),0)</f>
        <v>0</v>
      </c>
      <c r="BN179" s="5">
        <f>IF($G$174="Producción",IF($G179&lt;LS_D,$T179,0),0)</f>
        <v>0</v>
      </c>
      <c r="BO179" s="5">
        <f>IF($G$174="Crecimiento",$T179,0)</f>
        <v>0</v>
      </c>
      <c r="BR179" s="5">
        <f>IF($H$174="Producción",IF($H179&gt;=LI_A,$U179,0),0)</f>
        <v>0</v>
      </c>
      <c r="BS179" s="5">
        <f>IF($H$174="Producción",IF($H179&gt;=LI_B,IF($H179&lt;LS_B,$U179,0),0),0)</f>
        <v>0</v>
      </c>
      <c r="BT179" s="5">
        <f>IF($H$174="Producción",IF($H179&gt;=LI_C,IF($H179&lt;LS_C,$U179,0),0),0)</f>
        <v>0</v>
      </c>
      <c r="BU179" s="5">
        <f>IF($H$174="Producción",IF($H179&lt;LS_D,$U179,0),0)</f>
        <v>0</v>
      </c>
      <c r="BV179" s="5">
        <f>IF($H$174="Crecimiento",$T179,0)</f>
        <v>0</v>
      </c>
      <c r="BY179" s="5">
        <f>IF($I$174="Producción",IF($I179&gt;=LI_A,$V179,0),0)</f>
        <v>0</v>
      </c>
      <c r="BZ179" s="5">
        <f>IF($I$174="Producción",IF($I179&gt;=LI_B,IF($I179&lt;LS_B,$V179,0),0),0)</f>
        <v>0</v>
      </c>
      <c r="CA179" s="5">
        <f>IF($I$174="Producción",IF($I179&gt;=LI_C,IF($I179&lt;LS_C,$V179,0),0),0)</f>
        <v>0</v>
      </c>
      <c r="CB179" s="5">
        <f>IF($I$174="Producción",IF($I179&lt;LS_D,$V179,0),0)</f>
        <v>0</v>
      </c>
      <c r="CC179" s="5">
        <f>IF($I$174="Crecimiento",$V179,0)</f>
        <v>0</v>
      </c>
      <c r="CF179" s="5">
        <f>IF($J$174="Producción",IF($J179&gt;=LI_A,$W179,0),0)</f>
        <v>0</v>
      </c>
      <c r="CG179" s="5">
        <f>IF($J$174="Producción",IF($J179&gt;=LI_B,IF($J179&lt;LS_B,$W179,0),0),0)</f>
        <v>0</v>
      </c>
      <c r="CH179" s="5">
        <f>IF($J$174="Producción",IF($J179&gt;=LI_C,IF($J179&lt;LS_C,$W179,0),0),0)</f>
        <v>0</v>
      </c>
      <c r="CI179" s="5">
        <f>IF($J$174="Producción",IF($J179&lt;LS_D,$W179,0),0)</f>
        <v>0</v>
      </c>
      <c r="CJ179" s="5">
        <f>IF($J$174="Crecimiento",$W179,0)</f>
        <v>0</v>
      </c>
      <c r="CM179" s="5">
        <f>IF($K$174="Producción",IF($K179&gt;=LI_A,$X179,0),0)</f>
        <v>0</v>
      </c>
      <c r="CN179" s="5">
        <f>IF($K$174="Producción",IF($K179&gt;=LI_B,IF($K179&lt;LS_B,$X179,0),0),0)</f>
        <v>0</v>
      </c>
      <c r="CO179" s="5">
        <f>IF($K$174="Producción",IF($K179&gt;=LI_C,IF($K179&lt;LS_C,$X179,0),0),0)</f>
        <v>0</v>
      </c>
      <c r="CP179" s="5">
        <f>IF($K$174="Producción",IF($K179&lt;LS_D,$X179,0),0)</f>
        <v>0</v>
      </c>
      <c r="CQ179" s="5">
        <f>IF($K$174="Crecimiento",$X179,0)</f>
        <v>0</v>
      </c>
      <c r="CT179" s="5">
        <f>IF($L$174="Producción",IF($L179&gt;=LI_A,$Y179,0),0)</f>
        <v>0</v>
      </c>
      <c r="CU179" s="5">
        <f>IF($L$174="Producción",IF($L179&gt;=LI_B,IF($L179&lt;LS_B,$Y179,0),0),0)</f>
        <v>0</v>
      </c>
      <c r="CV179" s="5">
        <f>IF($L$174="Producción",IF($L179&gt;=LI_C,IF($L179&lt;LS_C,$Y179,0),0),0)</f>
        <v>0</v>
      </c>
      <c r="CW179" s="5">
        <f>IF($L$174="Producción",IF($L179&lt;LS_D,$Y179,0),0)</f>
        <v>0</v>
      </c>
      <c r="CX179" s="5">
        <f>IF($L$174="Crecimiento",$Y179,0)</f>
        <v>0</v>
      </c>
      <c r="DA179" s="5">
        <f>IF($M$174="Producción",IF($M179&gt;=LI_A,$Z179,0),0)</f>
        <v>0</v>
      </c>
      <c r="DB179" s="5">
        <f>IF($M$174="Producción",IF($M179&gt;=LI_B,IF($M179&lt;LS_B,$Z179,0),0),0)</f>
        <v>0</v>
      </c>
      <c r="DC179" s="5">
        <f>IF($M$174="Producción",IF($M179&gt;=LI_C,IF($M179&lt;LS_C,$Z179,0),0),0)</f>
        <v>0</v>
      </c>
      <c r="DD179" s="5">
        <f>IF($M$174="Producción",IF($M179&lt;LS_D,$Z179,0),0)</f>
        <v>0</v>
      </c>
      <c r="DE179" s="5">
        <f>IF($M$174="Crecimiento",$Z179,0)</f>
        <v>0</v>
      </c>
      <c r="DI179" s="5">
        <f t="shared" si="1307"/>
        <v>0</v>
      </c>
      <c r="DJ179" s="5">
        <f t="shared" si="1308"/>
        <v>0</v>
      </c>
      <c r="DK179" s="5">
        <f t="shared" si="1309"/>
        <v>0</v>
      </c>
      <c r="DL179" s="5">
        <f t="shared" si="1310"/>
        <v>0</v>
      </c>
      <c r="DM179" s="5">
        <f t="shared" si="1311"/>
        <v>0</v>
      </c>
      <c r="DN179" s="5">
        <f t="shared" si="1312"/>
        <v>0</v>
      </c>
      <c r="DO179" s="5">
        <f t="shared" si="1313"/>
        <v>0</v>
      </c>
      <c r="DP179" s="5">
        <f t="shared" si="1314"/>
        <v>0</v>
      </c>
      <c r="DQ179" s="5">
        <f t="shared" si="1315"/>
        <v>0</v>
      </c>
      <c r="DR179" s="5">
        <f t="shared" si="1316"/>
        <v>0</v>
      </c>
      <c r="DS179" s="5">
        <f t="shared" si="1317"/>
        <v>0</v>
      </c>
      <c r="DT179" s="5">
        <f t="shared" si="1318"/>
        <v>0</v>
      </c>
      <c r="DU179" s="5">
        <f t="shared" si="1319"/>
        <v>0</v>
      </c>
      <c r="DV179" s="5">
        <f t="shared" si="1320"/>
        <v>0</v>
      </c>
      <c r="DW179" s="5">
        <f t="shared" si="1321"/>
        <v>0</v>
      </c>
      <c r="DX179" s="5">
        <f t="shared" si="1322"/>
        <v>0</v>
      </c>
      <c r="DY179" s="5">
        <f t="shared" si="1323"/>
        <v>0</v>
      </c>
      <c r="DZ179" s="5">
        <f t="shared" si="1324"/>
        <v>0</v>
      </c>
      <c r="EA179" s="5">
        <f t="shared" si="1325"/>
        <v>0</v>
      </c>
      <c r="EB179" s="5">
        <f t="shared" si="1326"/>
        <v>0</v>
      </c>
      <c r="EC179" s="5">
        <f t="shared" si="1327"/>
        <v>0</v>
      </c>
      <c r="ED179" s="5">
        <f t="shared" si="1328"/>
        <v>0</v>
      </c>
      <c r="EE179" s="5">
        <f t="shared" si="1329"/>
        <v>0</v>
      </c>
      <c r="EF179" s="5">
        <f t="shared" si="1330"/>
        <v>0</v>
      </c>
      <c r="EG179" s="5">
        <f t="shared" si="1331"/>
        <v>0</v>
      </c>
      <c r="EH179" s="5">
        <f t="shared" si="1332"/>
        <v>0</v>
      </c>
      <c r="EI179" s="5">
        <f t="shared" si="1333"/>
        <v>0</v>
      </c>
      <c r="EJ179" s="5">
        <f t="shared" si="1334"/>
        <v>0</v>
      </c>
      <c r="EK179" s="5">
        <f t="shared" si="1335"/>
        <v>0</v>
      </c>
      <c r="EL179" s="5">
        <f t="shared" si="1336"/>
        <v>0</v>
      </c>
      <c r="EM179" s="5">
        <f t="shared" si="1337"/>
        <v>0</v>
      </c>
      <c r="EN179" s="5">
        <f t="shared" si="1338"/>
        <v>0</v>
      </c>
      <c r="EO179" s="5">
        <f t="shared" si="1339"/>
        <v>0</v>
      </c>
      <c r="EP179" s="5">
        <f t="shared" si="1340"/>
        <v>0</v>
      </c>
      <c r="EQ179" s="5">
        <f t="shared" si="1341"/>
        <v>0</v>
      </c>
      <c r="ER179" s="5">
        <f t="shared" si="1342"/>
        <v>0</v>
      </c>
      <c r="ES179" s="5">
        <f t="shared" si="1343"/>
        <v>0</v>
      </c>
      <c r="ET179" s="5">
        <f t="shared" si="1344"/>
        <v>0</v>
      </c>
      <c r="EU179" s="5">
        <f t="shared" si="1345"/>
        <v>0</v>
      </c>
      <c r="EV179" s="5">
        <f t="shared" si="1346"/>
        <v>0</v>
      </c>
      <c r="EW179" s="5">
        <f t="shared" si="1347"/>
        <v>0</v>
      </c>
      <c r="EX179" s="5">
        <f t="shared" si="1348"/>
        <v>0</v>
      </c>
      <c r="EY179" s="5">
        <f t="shared" si="1349"/>
        <v>0</v>
      </c>
      <c r="EZ179" s="5">
        <f t="shared" si="1350"/>
        <v>0</v>
      </c>
      <c r="FA179" s="5">
        <f t="shared" si="1351"/>
        <v>0</v>
      </c>
      <c r="FB179" s="5">
        <f t="shared" si="1352"/>
        <v>0</v>
      </c>
      <c r="FC179" s="5">
        <f t="shared" si="1353"/>
        <v>0</v>
      </c>
      <c r="FD179" s="5">
        <f t="shared" si="1354"/>
        <v>0</v>
      </c>
      <c r="FE179" s="5">
        <f t="shared" si="1355"/>
        <v>0</v>
      </c>
      <c r="FF179" s="5">
        <f t="shared" si="1356"/>
        <v>0</v>
      </c>
      <c r="FG179" s="5">
        <f t="shared" si="1357"/>
        <v>0</v>
      </c>
      <c r="FH179" s="5">
        <f t="shared" si="1358"/>
        <v>0</v>
      </c>
      <c r="FI179" s="5">
        <f t="shared" si="1359"/>
        <v>0</v>
      </c>
      <c r="FJ179" s="5">
        <f t="shared" si="1360"/>
        <v>0</v>
      </c>
      <c r="FK179" s="5">
        <f t="shared" si="1361"/>
        <v>0</v>
      </c>
      <c r="FL179" s="5">
        <f t="shared" si="1362"/>
        <v>0</v>
      </c>
      <c r="FM179" s="5">
        <f t="shared" si="1363"/>
        <v>0</v>
      </c>
      <c r="FN179" s="5">
        <f t="shared" si="1364"/>
        <v>0</v>
      </c>
      <c r="FO179" s="5">
        <f t="shared" si="1365"/>
        <v>0</v>
      </c>
      <c r="FP179" s="5">
        <f t="shared" si="1366"/>
        <v>0</v>
      </c>
    </row>
    <row r="180" spans="1:172" ht="20.100000000000001" customHeight="1" x14ac:dyDescent="0.3">
      <c r="A180" s="8" t="str">
        <f>IF(Ciclo=4,"Surco 4",IF(Ciclo=5,"Surco 4","NA"))</f>
        <v>NA</v>
      </c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O180" s="58">
        <f>IF($A180="NA",0,IFERROR('6'!O$91/Ciclo,0))</f>
        <v>0</v>
      </c>
      <c r="P180" s="58">
        <f>IF($A180="NA",0,IFERROR('6'!P$91/Ciclo,0))</f>
        <v>0</v>
      </c>
      <c r="Q180" s="58">
        <f>IF($A180="NA",0,IFERROR('6'!Q$91/Ciclo,0))</f>
        <v>0</v>
      </c>
      <c r="R180" s="58">
        <f>IF($A180="NA",0,IFERROR('6'!R$91/Ciclo,0))</f>
        <v>0</v>
      </c>
      <c r="S180" s="58">
        <f>IF($A180="NA",0,IFERROR('6'!S$91/Ciclo,0))</f>
        <v>0</v>
      </c>
      <c r="T180" s="58">
        <f>IF($A180="NA",0,IFERROR('6'!T$91/Ciclo,0))</f>
        <v>0</v>
      </c>
      <c r="U180" s="58">
        <f>IF($A180="NA",0,IFERROR('6'!U$91/Ciclo,0))</f>
        <v>0</v>
      </c>
      <c r="V180" s="58">
        <f>IF($A180="NA",0,IFERROR('6'!V$91/Ciclo,0))</f>
        <v>0</v>
      </c>
      <c r="W180" s="5">
        <f>IF($A180="NA",0,IFERROR('6'!W$91/Ciclo,0))</f>
        <v>0</v>
      </c>
      <c r="X180" s="5">
        <f>IF($A180="NA",0,IFERROR('6'!X$91/Ciclo,0))</f>
        <v>0</v>
      </c>
      <c r="Y180" s="5">
        <f>IF($A180="NA",0,IFERROR('6'!Y$91/Ciclo,0))</f>
        <v>0</v>
      </c>
      <c r="Z180" s="5">
        <f>IF($A180="NA",0,IFERROR('6'!Z$91/Ciclo,0))</f>
        <v>0</v>
      </c>
      <c r="AB180" s="5">
        <f>IF($B$174="Producción",IF($B180&gt;=LI_A,$O180,0),0)</f>
        <v>0</v>
      </c>
      <c r="AC180" s="5">
        <f>IF($B$174="Producción",IF($B180&gt;=LI_B,IF($B180&lt;LS_B,$O180,0),0),0)</f>
        <v>0</v>
      </c>
      <c r="AD180" s="5">
        <f>IF($B$174="Producción",IF($B180&gt;=LI_C,IF($B180&lt;LS_C,$O180,0),0),0)</f>
        <v>0</v>
      </c>
      <c r="AE180" s="5">
        <f>IF($B$174="Producción",IF($B180&lt;LS_D,$O180,0),0)</f>
        <v>0</v>
      </c>
      <c r="AF180" s="5">
        <f t="shared" si="1367"/>
        <v>0</v>
      </c>
      <c r="AI180" s="5">
        <f>IF($C$174="Producción",IF($C180&gt;=LI_A,$P180,0),0)</f>
        <v>0</v>
      </c>
      <c r="AJ180" s="5">
        <f>IF($C$174="Producción",IF($C180&gt;=LI_B,IF($C180&lt;LS_B,$P180,0),0),0)</f>
        <v>0</v>
      </c>
      <c r="AK180" s="5">
        <f>IF($C$174="Producción",IF($C180&gt;=LI_C,IF($C180&lt;LS_C,$P180,0),0),0)</f>
        <v>0</v>
      </c>
      <c r="AL180" s="5">
        <f>IF($C$174="Producción",IF($C180&lt;LS_D,$P180,0),0)</f>
        <v>0</v>
      </c>
      <c r="AM180" s="5">
        <f>IF($C$174="Crecimiento",$P180,0)</f>
        <v>0</v>
      </c>
      <c r="AP180" s="5">
        <f>IF($D$174="Producción",IF($D180&gt;=LI_A,$Q180,0),0)</f>
        <v>0</v>
      </c>
      <c r="AQ180" s="5">
        <f>IF($D$174="Producción",IF($D180&gt;=LI_B,IF($D180&lt;LS_B,$Q180,0),0),0)</f>
        <v>0</v>
      </c>
      <c r="AR180" s="5">
        <f>IF($D$174="Producción",IF($D180&gt;=LI_C,IF($D180&lt;LS_C,$Q180,0),0),0)</f>
        <v>0</v>
      </c>
      <c r="AS180" s="5">
        <f>IF($D$174="Producción",IF($D180&lt;LS_D,$Q180,0),0)</f>
        <v>0</v>
      </c>
      <c r="AT180" s="5">
        <f>IF($D$174="Crecimiento",IF($D180&gt;0,$Q180,0),0)</f>
        <v>0</v>
      </c>
      <c r="AW180" s="5">
        <f>IF($E$174="Producción",IF($E180&gt;=LI_A,$R180,0),0)</f>
        <v>0</v>
      </c>
      <c r="AX180" s="5">
        <f>IF($E$174="Producción",IF($E180&gt;=LI_B,IF($E180&lt;LS_B,$R180,0),0),0)</f>
        <v>0</v>
      </c>
      <c r="AY180" s="5">
        <f>IF($E$174="Producción",IF($E180&gt;=LI_C,IF($E180&lt;LS_C,$R180,0),0),0)</f>
        <v>0</v>
      </c>
      <c r="AZ180" s="5">
        <f>IF($E$174="Producción",IF($E180&lt;LS_D,$R180,0),0)</f>
        <v>0</v>
      </c>
      <c r="BA180" s="5">
        <f>IF($E$174="Crecimiento",$R180,0)</f>
        <v>0</v>
      </c>
      <c r="BD180" s="5">
        <f>IF($F$174="Producción",IF($F180&gt;=LI_A,$S180,0),0)</f>
        <v>0</v>
      </c>
      <c r="BE180" s="5">
        <f>IF($F$174="Producción",IF($F180&gt;=LI_B,IF($F180&lt;LS_B,$S180,0),0),0)</f>
        <v>0</v>
      </c>
      <c r="BF180" s="5">
        <f>IF($F$174="Producción",IF($F180&gt;=LI_C,IF($F180&lt;LS_C,$S180,0),0),0)</f>
        <v>0</v>
      </c>
      <c r="BG180" s="5">
        <f>IF($F$174="Producción",IF($F180&lt;LS_D,$S180,0),0)</f>
        <v>0</v>
      </c>
      <c r="BH180" s="5">
        <f>IF($F$174="Crecimiento",$S180,0)</f>
        <v>0</v>
      </c>
      <c r="BK180" s="5">
        <f>IF($G$174="Producción",IF($G180&gt;=LI_A,$T180,0),0)</f>
        <v>0</v>
      </c>
      <c r="BL180" s="5">
        <f>IF($G$174="Producción",IF($G180&gt;=LI_B,IF($G180&lt;LS_B,$T180,0),0),0)</f>
        <v>0</v>
      </c>
      <c r="BM180" s="5">
        <f>IF($G$174="Producción",IF($G180&gt;=LI_C,IF($G180&lt;LS_C,$T180,0),0),0)</f>
        <v>0</v>
      </c>
      <c r="BN180" s="5">
        <f>IF($G$174="Producción",IF($G180&lt;LS_D,$T180,0),0)</f>
        <v>0</v>
      </c>
      <c r="BO180" s="5">
        <f>IF($G$174="Crecimiento",$T180,0)</f>
        <v>0</v>
      </c>
      <c r="BR180" s="5">
        <f>IF($H$174="Producción",IF($H180&gt;=LI_A,$U180,0),0)</f>
        <v>0</v>
      </c>
      <c r="BS180" s="5">
        <f>IF($H$174="Producción",IF($H180&gt;=LI_B,IF($H180&lt;LS_B,$U180,0),0),0)</f>
        <v>0</v>
      </c>
      <c r="BT180" s="5">
        <f>IF($H$174="Producción",IF($H180&gt;=LI_C,IF($H180&lt;LS_C,$U180,0),0),0)</f>
        <v>0</v>
      </c>
      <c r="BU180" s="5">
        <f>IF($H$174="Producción",IF($H180&lt;LS_D,$U180,0),0)</f>
        <v>0</v>
      </c>
      <c r="BV180" s="5">
        <f>IF($H$174="Crecimiento",$T180,0)</f>
        <v>0</v>
      </c>
      <c r="BY180" s="5">
        <f>IF($I$174="Producción",IF($I180&gt;=LI_A,$V180,0),0)</f>
        <v>0</v>
      </c>
      <c r="BZ180" s="5">
        <f>IF($I$174="Producción",IF($I180&gt;=LI_B,IF($I180&lt;LS_B,$V180,0),0),0)</f>
        <v>0</v>
      </c>
      <c r="CA180" s="5">
        <f>IF($I$174="Producción",IF($I180&gt;=LI_C,IF($I180&lt;LS_C,$V180,0),0),0)</f>
        <v>0</v>
      </c>
      <c r="CB180" s="5">
        <f>IF($I$174="Producción",IF($I180&lt;LS_D,$V180,0),0)</f>
        <v>0</v>
      </c>
      <c r="CC180" s="5">
        <f>IF($I$174="Crecimiento",$V180,0)</f>
        <v>0</v>
      </c>
      <c r="CF180" s="5">
        <f>IF($J$174="Producción",IF($J180&gt;=LI_A,$W180,0),0)</f>
        <v>0</v>
      </c>
      <c r="CG180" s="5">
        <f>IF($J$174="Producción",IF($J180&gt;=LI_B,IF($J180&lt;LS_B,$W180,0),0),0)</f>
        <v>0</v>
      </c>
      <c r="CH180" s="5">
        <f>IF($J$174="Producción",IF($J180&gt;=LI_C,IF($J180&lt;LS_C,$W180,0),0),0)</f>
        <v>0</v>
      </c>
      <c r="CI180" s="5">
        <f>IF($J$174="Producción",IF($J180&lt;LS_D,$W180,0),0)</f>
        <v>0</v>
      </c>
      <c r="CJ180" s="5">
        <f>IF($J$174="Crecimiento",$W180,0)</f>
        <v>0</v>
      </c>
      <c r="CM180" s="5">
        <f>IF($K$174="Producción",IF($K180&gt;=LI_A,$X180,0),0)</f>
        <v>0</v>
      </c>
      <c r="CN180" s="5">
        <f>IF($K$174="Producción",IF($K180&gt;=LI_B,IF($K180&lt;LS_B,$X180,0),0),0)</f>
        <v>0</v>
      </c>
      <c r="CO180" s="5">
        <f>IF($K$174="Producción",IF($K180&gt;=LI_C,IF($K180&lt;LS_C,$X180,0),0),0)</f>
        <v>0</v>
      </c>
      <c r="CP180" s="5">
        <f>IF($K$174="Producción",IF($K180&lt;LS_D,$X180,0),0)</f>
        <v>0</v>
      </c>
      <c r="CQ180" s="5">
        <f>IF($K$174="Crecimiento",$X180,0)</f>
        <v>0</v>
      </c>
      <c r="CT180" s="5">
        <f>IF($L$174="Producción",IF($L180&gt;=LI_A,$Y180,0),0)</f>
        <v>0</v>
      </c>
      <c r="CU180" s="5">
        <f>IF($L$174="Producción",IF($L180&gt;=LI_B,IF($L180&lt;LS_B,$Y180,0),0),0)</f>
        <v>0</v>
      </c>
      <c r="CV180" s="5">
        <f>IF($L$174="Producción",IF($L180&gt;=LI_C,IF($L180&lt;LS_C,$Y180,0),0),0)</f>
        <v>0</v>
      </c>
      <c r="CW180" s="5">
        <f>IF($L$174="Producción",IF($L180&lt;LS_D,$Y180,0),0)</f>
        <v>0</v>
      </c>
      <c r="CX180" s="5">
        <f>IF($L$174="Crecimiento",$Y180,0)</f>
        <v>0</v>
      </c>
      <c r="DA180" s="5">
        <f>IF($M$174="Producción",IF($M180&gt;=LI_A,$Z180,0),0)</f>
        <v>0</v>
      </c>
      <c r="DB180" s="5">
        <f>IF($M$174="Producción",IF($M180&gt;=LI_B,IF($M180&lt;LS_B,$Z180,0),0),0)</f>
        <v>0</v>
      </c>
      <c r="DC180" s="5">
        <f>IF($M$174="Producción",IF($M180&gt;=LI_C,IF($M180&lt;LS_C,$Z180,0),0),0)</f>
        <v>0</v>
      </c>
      <c r="DD180" s="5">
        <f>IF($M$174="Producción",IF($M180&lt;LS_D,$Z180,0),0)</f>
        <v>0</v>
      </c>
      <c r="DE180" s="5">
        <f>IF($M$174="Crecimiento",$Z180,0)</f>
        <v>0</v>
      </c>
      <c r="DI180" s="5">
        <f t="shared" si="1307"/>
        <v>0</v>
      </c>
      <c r="DJ180" s="5">
        <f t="shared" si="1308"/>
        <v>0</v>
      </c>
      <c r="DK180" s="5">
        <f t="shared" si="1309"/>
        <v>0</v>
      </c>
      <c r="DL180" s="5">
        <f t="shared" si="1310"/>
        <v>0</v>
      </c>
      <c r="DM180" s="5">
        <f t="shared" si="1311"/>
        <v>0</v>
      </c>
      <c r="DN180" s="5">
        <f t="shared" si="1312"/>
        <v>0</v>
      </c>
      <c r="DO180" s="5">
        <f t="shared" si="1313"/>
        <v>0</v>
      </c>
      <c r="DP180" s="5">
        <f t="shared" si="1314"/>
        <v>0</v>
      </c>
      <c r="DQ180" s="5">
        <f t="shared" si="1315"/>
        <v>0</v>
      </c>
      <c r="DR180" s="5">
        <f t="shared" si="1316"/>
        <v>0</v>
      </c>
      <c r="DS180" s="5">
        <f t="shared" si="1317"/>
        <v>0</v>
      </c>
      <c r="DT180" s="5">
        <f t="shared" si="1318"/>
        <v>0</v>
      </c>
      <c r="DU180" s="5">
        <f t="shared" si="1319"/>
        <v>0</v>
      </c>
      <c r="DV180" s="5">
        <f t="shared" si="1320"/>
        <v>0</v>
      </c>
      <c r="DW180" s="5">
        <f t="shared" si="1321"/>
        <v>0</v>
      </c>
      <c r="DX180" s="5">
        <f t="shared" si="1322"/>
        <v>0</v>
      </c>
      <c r="DY180" s="5">
        <f t="shared" si="1323"/>
        <v>0</v>
      </c>
      <c r="DZ180" s="5">
        <f t="shared" si="1324"/>
        <v>0</v>
      </c>
      <c r="EA180" s="5">
        <f t="shared" si="1325"/>
        <v>0</v>
      </c>
      <c r="EB180" s="5">
        <f t="shared" si="1326"/>
        <v>0</v>
      </c>
      <c r="EC180" s="5">
        <f t="shared" si="1327"/>
        <v>0</v>
      </c>
      <c r="ED180" s="5">
        <f t="shared" si="1328"/>
        <v>0</v>
      </c>
      <c r="EE180" s="5">
        <f t="shared" si="1329"/>
        <v>0</v>
      </c>
      <c r="EF180" s="5">
        <f t="shared" si="1330"/>
        <v>0</v>
      </c>
      <c r="EG180" s="5">
        <f t="shared" si="1331"/>
        <v>0</v>
      </c>
      <c r="EH180" s="5">
        <f t="shared" si="1332"/>
        <v>0</v>
      </c>
      <c r="EI180" s="5">
        <f t="shared" si="1333"/>
        <v>0</v>
      </c>
      <c r="EJ180" s="5">
        <f t="shared" si="1334"/>
        <v>0</v>
      </c>
      <c r="EK180" s="5">
        <f t="shared" si="1335"/>
        <v>0</v>
      </c>
      <c r="EL180" s="5">
        <f t="shared" si="1336"/>
        <v>0</v>
      </c>
      <c r="EM180" s="5">
        <f t="shared" si="1337"/>
        <v>0</v>
      </c>
      <c r="EN180" s="5">
        <f t="shared" si="1338"/>
        <v>0</v>
      </c>
      <c r="EO180" s="5">
        <f t="shared" si="1339"/>
        <v>0</v>
      </c>
      <c r="EP180" s="5">
        <f t="shared" si="1340"/>
        <v>0</v>
      </c>
      <c r="EQ180" s="5">
        <f t="shared" si="1341"/>
        <v>0</v>
      </c>
      <c r="ER180" s="5">
        <f t="shared" si="1342"/>
        <v>0</v>
      </c>
      <c r="ES180" s="5">
        <f t="shared" si="1343"/>
        <v>0</v>
      </c>
      <c r="ET180" s="5">
        <f t="shared" si="1344"/>
        <v>0</v>
      </c>
      <c r="EU180" s="5">
        <f t="shared" si="1345"/>
        <v>0</v>
      </c>
      <c r="EV180" s="5">
        <f t="shared" si="1346"/>
        <v>0</v>
      </c>
      <c r="EW180" s="5">
        <f t="shared" si="1347"/>
        <v>0</v>
      </c>
      <c r="EX180" s="5">
        <f t="shared" si="1348"/>
        <v>0</v>
      </c>
      <c r="EY180" s="5">
        <f t="shared" si="1349"/>
        <v>0</v>
      </c>
      <c r="EZ180" s="5">
        <f t="shared" si="1350"/>
        <v>0</v>
      </c>
      <c r="FA180" s="5">
        <f t="shared" si="1351"/>
        <v>0</v>
      </c>
      <c r="FB180" s="5">
        <f t="shared" si="1352"/>
        <v>0</v>
      </c>
      <c r="FC180" s="5">
        <f t="shared" si="1353"/>
        <v>0</v>
      </c>
      <c r="FD180" s="5">
        <f t="shared" si="1354"/>
        <v>0</v>
      </c>
      <c r="FE180" s="5">
        <f t="shared" si="1355"/>
        <v>0</v>
      </c>
      <c r="FF180" s="5">
        <f t="shared" si="1356"/>
        <v>0</v>
      </c>
      <c r="FG180" s="5">
        <f t="shared" si="1357"/>
        <v>0</v>
      </c>
      <c r="FH180" s="5">
        <f t="shared" si="1358"/>
        <v>0</v>
      </c>
      <c r="FI180" s="5">
        <f t="shared" si="1359"/>
        <v>0</v>
      </c>
      <c r="FJ180" s="5">
        <f t="shared" si="1360"/>
        <v>0</v>
      </c>
      <c r="FK180" s="5">
        <f t="shared" si="1361"/>
        <v>0</v>
      </c>
      <c r="FL180" s="5">
        <f t="shared" si="1362"/>
        <v>0</v>
      </c>
      <c r="FM180" s="5">
        <f t="shared" si="1363"/>
        <v>0</v>
      </c>
      <c r="FN180" s="5">
        <f t="shared" si="1364"/>
        <v>0</v>
      </c>
      <c r="FO180" s="5">
        <f t="shared" si="1365"/>
        <v>0</v>
      </c>
      <c r="FP180" s="5">
        <f t="shared" si="1366"/>
        <v>0</v>
      </c>
    </row>
    <row r="181" spans="1:172" ht="20.100000000000001" customHeight="1" x14ac:dyDescent="0.3">
      <c r="A181" s="9" t="str">
        <f>IF(Ciclo=5,"Surco 5","NA")</f>
        <v>NA</v>
      </c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O181" s="58">
        <f>IF($A181="NA",0,IFERROR('6'!O$91/Ciclo,0))</f>
        <v>0</v>
      </c>
      <c r="P181" s="58">
        <f>IF($A181="NA",0,IFERROR('6'!P$91/Ciclo,0))</f>
        <v>0</v>
      </c>
      <c r="Q181" s="58">
        <f>IF($A181="NA",0,IFERROR('6'!Q$91/Ciclo,0))</f>
        <v>0</v>
      </c>
      <c r="R181" s="58">
        <f>IF($A181="NA",0,IFERROR('6'!R$91/Ciclo,0))</f>
        <v>0</v>
      </c>
      <c r="S181" s="58">
        <f>IF($A181="NA",0,IFERROR('6'!S$91/Ciclo,0))</f>
        <v>0</v>
      </c>
      <c r="T181" s="58">
        <f>IF($A181="NA",0,IFERROR('6'!T$91/Ciclo,0))</f>
        <v>0</v>
      </c>
      <c r="U181" s="58">
        <f>IF($A181="NA",0,IFERROR('6'!U$91/Ciclo,0))</f>
        <v>0</v>
      </c>
      <c r="V181" s="58">
        <f>IF($A181="NA",0,IFERROR('6'!V$91/Ciclo,0))</f>
        <v>0</v>
      </c>
      <c r="W181" s="5">
        <f>IF($A181="NA",0,IFERROR('6'!W$91/Ciclo,0))</f>
        <v>0</v>
      </c>
      <c r="X181" s="5">
        <f>IF($A181="NA",0,IFERROR('6'!X$91/Ciclo,0))</f>
        <v>0</v>
      </c>
      <c r="Y181" s="5">
        <f>IF($A181="NA",0,IFERROR('6'!Y$91/Ciclo,0))</f>
        <v>0</v>
      </c>
      <c r="Z181" s="5">
        <f>IF($A181="NA",0,IFERROR('6'!Z$91/Ciclo,0))</f>
        <v>0</v>
      </c>
      <c r="AB181" s="5">
        <f>IF($B$174="Producción",IF($B181&gt;=LI_A,$O181,0),0)</f>
        <v>0</v>
      </c>
      <c r="AC181" s="5">
        <f>IF($B$174="Producción",IF($B181&gt;=LI_B,IF($B181&lt;LS_B,$O181,0),0),0)</f>
        <v>0</v>
      </c>
      <c r="AD181" s="5">
        <f>IF($B$174="Producción",IF($B181&gt;=LI_C,IF($B181&lt;LS_C,$O181,0),0),0)</f>
        <v>0</v>
      </c>
      <c r="AE181" s="5">
        <f>IF($B$174="Producción",IF($B181&lt;LS_D,$O181,0),0)</f>
        <v>0</v>
      </c>
      <c r="AF181" s="5">
        <f t="shared" si="1367"/>
        <v>0</v>
      </c>
      <c r="AI181" s="5">
        <f>IF($C$174="Producción",IF($C181&gt;=LI_A,$P181,0),0)</f>
        <v>0</v>
      </c>
      <c r="AJ181" s="5">
        <f>IF($C$174="Producción",IF($C181&gt;=LI_B,IF($C181&lt;LS_B,$P181,0),0),0)</f>
        <v>0</v>
      </c>
      <c r="AK181" s="5">
        <f>IF($C$174="Producción",IF($C181&gt;=LI_C,IF($C181&lt;LS_C,$P181,0),0),0)</f>
        <v>0</v>
      </c>
      <c r="AL181" s="5">
        <f>IF($C$174="Producción",IF($C181&lt;LS_D,$P181,0),0)</f>
        <v>0</v>
      </c>
      <c r="AM181" s="5">
        <f>IF($C$174="Crecimiento",$P181,0)</f>
        <v>0</v>
      </c>
      <c r="AP181" s="5">
        <f>IF($D$174="Producción",IF($D181&gt;=LI_A,$Q181,0),0)</f>
        <v>0</v>
      </c>
      <c r="AQ181" s="5">
        <f>IF($D$174="Producción",IF($D181&gt;=LI_B,IF($D181&lt;LS_B,$Q181,0),0),0)</f>
        <v>0</v>
      </c>
      <c r="AR181" s="5">
        <f>IF($D$174="Producción",IF($D181&gt;=LI_C,IF($D181&lt;LS_C,$Q181,0),0),0)</f>
        <v>0</v>
      </c>
      <c r="AS181" s="5">
        <f>IF($D$174="Producción",IF($D181&lt;LS_D,$Q181,0),0)</f>
        <v>0</v>
      </c>
      <c r="AT181" s="5">
        <f>IF($D$174="Crecimiento",IF($D181&gt;0,$Q181,0),0)</f>
        <v>0</v>
      </c>
      <c r="AW181" s="5">
        <f>IF($E$174="Producción",IF($E181&gt;=LI_A,$R181,0),0)</f>
        <v>0</v>
      </c>
      <c r="AX181" s="5">
        <f>IF($E$174="Producción",IF($E181&gt;=LI_B,IF($E181&lt;LS_B,$R181,0),0),0)</f>
        <v>0</v>
      </c>
      <c r="AY181" s="5">
        <f>IF($E$174="Producción",IF($E181&gt;=LI_C,IF($E181&lt;LS_C,$R181,0),0),0)</f>
        <v>0</v>
      </c>
      <c r="AZ181" s="5">
        <f>IF($E$174="Producción",IF($E181&lt;LS_D,$R181,0),0)</f>
        <v>0</v>
      </c>
      <c r="BA181" s="5">
        <f>IF($E$174="Crecimiento",$R181,0)</f>
        <v>0</v>
      </c>
      <c r="BD181" s="5">
        <f>IF($F$174="Producción",IF($F181&gt;=LI_A,$S181,0),0)</f>
        <v>0</v>
      </c>
      <c r="BE181" s="5">
        <f>IF($F$174="Producción",IF($F181&gt;=LI_B,IF($F181&lt;LS_B,$S181,0),0),0)</f>
        <v>0</v>
      </c>
      <c r="BF181" s="5">
        <f>IF($F$174="Producción",IF($F181&gt;=LI_C,IF($F181&lt;LS_C,$S181,0),0),0)</f>
        <v>0</v>
      </c>
      <c r="BG181" s="5">
        <f>IF($F$174="Producción",IF($F181&lt;LS_D,$S181,0),0)</f>
        <v>0</v>
      </c>
      <c r="BH181" s="5">
        <f>IF($F$174="Crecimiento",$S181,0)</f>
        <v>0</v>
      </c>
      <c r="BK181" s="5">
        <f>IF($G$174="Producción",IF($G181&gt;=LI_A,$T181,0),0)</f>
        <v>0</v>
      </c>
      <c r="BL181" s="5">
        <f>IF($G$174="Producción",IF($G181&gt;=LI_B,IF($G181&lt;LS_B,$T181,0),0),0)</f>
        <v>0</v>
      </c>
      <c r="BM181" s="5">
        <f>IF($G$174="Producción",IF($G181&gt;=LI_C,IF($G181&lt;LS_C,$T181,0),0),0)</f>
        <v>0</v>
      </c>
      <c r="BN181" s="5">
        <f>IF($G$174="Producción",IF($G181&lt;LS_D,$T181,0),0)</f>
        <v>0</v>
      </c>
      <c r="BO181" s="5">
        <f>IF($G$174="Crecimiento",$T181,0)</f>
        <v>0</v>
      </c>
      <c r="BR181" s="5">
        <f>IF($H$174="Producción",IF($H181&gt;=LI_A,$U181,0),0)</f>
        <v>0</v>
      </c>
      <c r="BS181" s="5">
        <f>IF($H$174="Producción",IF($H181&gt;=LI_B,IF($H181&lt;LS_B,$U181,0),0),0)</f>
        <v>0</v>
      </c>
      <c r="BT181" s="5">
        <f>IF($H$174="Producción",IF($H181&gt;=LI_C,IF($H181&lt;LS_C,$U181,0),0),0)</f>
        <v>0</v>
      </c>
      <c r="BU181" s="5">
        <f>IF($H$174="Producción",IF($H181&lt;LS_D,$U181,0),0)</f>
        <v>0</v>
      </c>
      <c r="BV181" s="5">
        <f>IF($H$174="Crecimiento",$T181,0)</f>
        <v>0</v>
      </c>
      <c r="BY181" s="5">
        <f>IF($I$174="Producción",IF($I181&gt;=LI_A,$V181,0),0)</f>
        <v>0</v>
      </c>
      <c r="BZ181" s="5">
        <f>IF($I$174="Producción",IF($I181&gt;=LI_B,IF($I181&lt;LS_B,$V181,0),0),0)</f>
        <v>0</v>
      </c>
      <c r="CA181" s="5">
        <f>IF($I$174="Producción",IF($I181&gt;=LI_C,IF($I181&lt;LS_C,$V181,0),0),0)</f>
        <v>0</v>
      </c>
      <c r="CB181" s="5">
        <f>IF($I$174="Producción",IF($I181&lt;LS_D,$V181,0),0)</f>
        <v>0</v>
      </c>
      <c r="CC181" s="5">
        <f>IF($I$174="Crecimiento",$V181,0)</f>
        <v>0</v>
      </c>
      <c r="CF181" s="5">
        <f>IF($J$174="Producción",IF($J181&gt;=LI_A,$W181,0),0)</f>
        <v>0</v>
      </c>
      <c r="CG181" s="5">
        <f>IF($J$174="Producción",IF($J181&gt;=LI_B,IF($J181&lt;LS_B,$W181,0),0),0)</f>
        <v>0</v>
      </c>
      <c r="CH181" s="5">
        <f>IF($J$174="Producción",IF($J181&gt;=LI_C,IF($J181&lt;LS_C,$W181,0),0),0)</f>
        <v>0</v>
      </c>
      <c r="CI181" s="5">
        <f>IF($J$174="Producción",IF($J181&lt;LS_D,$W181,0),0)</f>
        <v>0</v>
      </c>
      <c r="CJ181" s="5">
        <f>IF($J$174="Crecimiento",$W181,0)</f>
        <v>0</v>
      </c>
      <c r="CM181" s="5">
        <f>IF($K$174="Producción",IF($K181&gt;=LI_A,$X181,0),0)</f>
        <v>0</v>
      </c>
      <c r="CN181" s="5">
        <f>IF($K$174="Producción",IF($K181&gt;=LI_B,IF($K181&lt;LS_B,$X181,0),0),0)</f>
        <v>0</v>
      </c>
      <c r="CO181" s="5">
        <f>IF($K$174="Producción",IF($K181&gt;=LI_C,IF($K181&lt;LS_C,$X181,0),0),0)</f>
        <v>0</v>
      </c>
      <c r="CP181" s="5">
        <f>IF($K$174="Producción",IF($K181&lt;LS_D,$X181,0),0)</f>
        <v>0</v>
      </c>
      <c r="CQ181" s="5">
        <f>IF($K$174="Crecimiento",$X181,0)</f>
        <v>0</v>
      </c>
      <c r="CT181" s="5">
        <f>IF($L$174="Producción",IF($L181&gt;=LI_A,$Y181,0),0)</f>
        <v>0</v>
      </c>
      <c r="CU181" s="5">
        <f>IF($L$174="Producción",IF($L181&gt;=LI_B,IF($L181&lt;LS_B,$Y181,0),0),0)</f>
        <v>0</v>
      </c>
      <c r="CV181" s="5">
        <f>IF($L$174="Producción",IF($L181&gt;=LI_C,IF($L181&lt;LS_C,$Y181,0),0),0)</f>
        <v>0</v>
      </c>
      <c r="CW181" s="5">
        <f>IF($L$174="Producción",IF($L181&lt;LS_D,$Y181,0),0)</f>
        <v>0</v>
      </c>
      <c r="CX181" s="5">
        <f>IF($L$174="Crecimiento",$Y181,0)</f>
        <v>0</v>
      </c>
      <c r="DA181" s="5">
        <f>IF($M$174="Producción",IF($M181&gt;=LI_A,$Z181,0),0)</f>
        <v>0</v>
      </c>
      <c r="DB181" s="5">
        <f>IF($M$174="Producción",IF($M181&gt;=LI_B,IF($M181&lt;LS_B,$Z181,0),0),0)</f>
        <v>0</v>
      </c>
      <c r="DC181" s="5">
        <f>IF($M$174="Producción",IF($M181&gt;=LI_C,IF($M181&lt;LS_C,$Z181,0),0),0)</f>
        <v>0</v>
      </c>
      <c r="DD181" s="5">
        <f>IF($M$174="Producción",IF($M181&lt;LS_D,$Z181,0),0)</f>
        <v>0</v>
      </c>
      <c r="DE181" s="5">
        <f>IF($M$174="Crecimiento",$Z181,0)</f>
        <v>0</v>
      </c>
      <c r="DI181" s="5">
        <f t="shared" si="1307"/>
        <v>0</v>
      </c>
      <c r="DJ181" s="5">
        <f t="shared" si="1308"/>
        <v>0</v>
      </c>
      <c r="DK181" s="5">
        <f t="shared" si="1309"/>
        <v>0</v>
      </c>
      <c r="DL181" s="5">
        <f t="shared" si="1310"/>
        <v>0</v>
      </c>
      <c r="DM181" s="5">
        <f t="shared" si="1311"/>
        <v>0</v>
      </c>
      <c r="DN181" s="5">
        <f t="shared" si="1312"/>
        <v>0</v>
      </c>
      <c r="DO181" s="5">
        <f t="shared" si="1313"/>
        <v>0</v>
      </c>
      <c r="DP181" s="5">
        <f t="shared" si="1314"/>
        <v>0</v>
      </c>
      <c r="DQ181" s="5">
        <f t="shared" si="1315"/>
        <v>0</v>
      </c>
      <c r="DR181" s="5">
        <f t="shared" si="1316"/>
        <v>0</v>
      </c>
      <c r="DS181" s="5">
        <f t="shared" si="1317"/>
        <v>0</v>
      </c>
      <c r="DT181" s="5">
        <f t="shared" si="1318"/>
        <v>0</v>
      </c>
      <c r="DU181" s="5">
        <f t="shared" si="1319"/>
        <v>0</v>
      </c>
      <c r="DV181" s="5">
        <f t="shared" si="1320"/>
        <v>0</v>
      </c>
      <c r="DW181" s="5">
        <f t="shared" si="1321"/>
        <v>0</v>
      </c>
      <c r="DX181" s="5">
        <f t="shared" si="1322"/>
        <v>0</v>
      </c>
      <c r="DY181" s="5">
        <f t="shared" si="1323"/>
        <v>0</v>
      </c>
      <c r="DZ181" s="5">
        <f t="shared" si="1324"/>
        <v>0</v>
      </c>
      <c r="EA181" s="5">
        <f t="shared" si="1325"/>
        <v>0</v>
      </c>
      <c r="EB181" s="5">
        <f t="shared" si="1326"/>
        <v>0</v>
      </c>
      <c r="EC181" s="5">
        <f t="shared" si="1327"/>
        <v>0</v>
      </c>
      <c r="ED181" s="5">
        <f t="shared" si="1328"/>
        <v>0</v>
      </c>
      <c r="EE181" s="5">
        <f t="shared" si="1329"/>
        <v>0</v>
      </c>
      <c r="EF181" s="5">
        <f t="shared" si="1330"/>
        <v>0</v>
      </c>
      <c r="EG181" s="5">
        <f t="shared" si="1331"/>
        <v>0</v>
      </c>
      <c r="EH181" s="5">
        <f t="shared" si="1332"/>
        <v>0</v>
      </c>
      <c r="EI181" s="5">
        <f t="shared" si="1333"/>
        <v>0</v>
      </c>
      <c r="EJ181" s="5">
        <f t="shared" si="1334"/>
        <v>0</v>
      </c>
      <c r="EK181" s="5">
        <f t="shared" si="1335"/>
        <v>0</v>
      </c>
      <c r="EL181" s="5">
        <f t="shared" si="1336"/>
        <v>0</v>
      </c>
      <c r="EM181" s="5">
        <f t="shared" si="1337"/>
        <v>0</v>
      </c>
      <c r="EN181" s="5">
        <f t="shared" si="1338"/>
        <v>0</v>
      </c>
      <c r="EO181" s="5">
        <f t="shared" si="1339"/>
        <v>0</v>
      </c>
      <c r="EP181" s="5">
        <f t="shared" si="1340"/>
        <v>0</v>
      </c>
      <c r="EQ181" s="5">
        <f t="shared" si="1341"/>
        <v>0</v>
      </c>
      <c r="ER181" s="5">
        <f t="shared" si="1342"/>
        <v>0</v>
      </c>
      <c r="ES181" s="5">
        <f t="shared" si="1343"/>
        <v>0</v>
      </c>
      <c r="ET181" s="5">
        <f t="shared" si="1344"/>
        <v>0</v>
      </c>
      <c r="EU181" s="5">
        <f t="shared" si="1345"/>
        <v>0</v>
      </c>
      <c r="EV181" s="5">
        <f t="shared" si="1346"/>
        <v>0</v>
      </c>
      <c r="EW181" s="5">
        <f t="shared" si="1347"/>
        <v>0</v>
      </c>
      <c r="EX181" s="5">
        <f t="shared" si="1348"/>
        <v>0</v>
      </c>
      <c r="EY181" s="5">
        <f t="shared" si="1349"/>
        <v>0</v>
      </c>
      <c r="EZ181" s="5">
        <f t="shared" si="1350"/>
        <v>0</v>
      </c>
      <c r="FA181" s="5">
        <f t="shared" si="1351"/>
        <v>0</v>
      </c>
      <c r="FB181" s="5">
        <f t="shared" si="1352"/>
        <v>0</v>
      </c>
      <c r="FC181" s="5">
        <f t="shared" si="1353"/>
        <v>0</v>
      </c>
      <c r="FD181" s="5">
        <f t="shared" si="1354"/>
        <v>0</v>
      </c>
      <c r="FE181" s="5">
        <f t="shared" si="1355"/>
        <v>0</v>
      </c>
      <c r="FF181" s="5">
        <f t="shared" si="1356"/>
        <v>0</v>
      </c>
      <c r="FG181" s="5">
        <f t="shared" si="1357"/>
        <v>0</v>
      </c>
      <c r="FH181" s="5">
        <f t="shared" si="1358"/>
        <v>0</v>
      </c>
      <c r="FI181" s="5">
        <f t="shared" si="1359"/>
        <v>0</v>
      </c>
      <c r="FJ181" s="5">
        <f t="shared" si="1360"/>
        <v>0</v>
      </c>
      <c r="FK181" s="5">
        <f t="shared" si="1361"/>
        <v>0</v>
      </c>
      <c r="FL181" s="5">
        <f t="shared" si="1362"/>
        <v>0</v>
      </c>
      <c r="FM181" s="5">
        <f t="shared" si="1363"/>
        <v>0</v>
      </c>
      <c r="FN181" s="5">
        <f t="shared" si="1364"/>
        <v>0</v>
      </c>
      <c r="FO181" s="5">
        <f t="shared" si="1365"/>
        <v>0</v>
      </c>
      <c r="FP181" s="5">
        <f t="shared" si="1366"/>
        <v>0</v>
      </c>
    </row>
    <row r="182" spans="1:172" ht="20.100000000000001" customHeight="1" x14ac:dyDescent="0.3">
      <c r="A182" s="172">
        <f>N_L23</f>
        <v>0</v>
      </c>
      <c r="B182" s="363" t="s">
        <v>37</v>
      </c>
      <c r="C182" s="363" t="s">
        <v>37</v>
      </c>
      <c r="D182" s="363" t="s">
        <v>37</v>
      </c>
      <c r="E182" s="363" t="s">
        <v>37</v>
      </c>
      <c r="F182" s="363" t="s">
        <v>37</v>
      </c>
      <c r="G182" s="363" t="s">
        <v>37</v>
      </c>
      <c r="H182" s="363" t="s">
        <v>37</v>
      </c>
      <c r="I182" s="363" t="s">
        <v>37</v>
      </c>
      <c r="J182" s="363" t="s">
        <v>37</v>
      </c>
      <c r="K182" s="363" t="s">
        <v>37</v>
      </c>
      <c r="L182" s="363" t="s">
        <v>37</v>
      </c>
      <c r="M182" s="363" t="s">
        <v>37</v>
      </c>
    </row>
    <row r="183" spans="1:172" ht="20.100000000000001" customHeight="1" x14ac:dyDescent="0.3">
      <c r="A183" s="175" t="s">
        <v>238</v>
      </c>
      <c r="B183" s="174">
        <f>SUM(DI185:DM189)/100</f>
        <v>0</v>
      </c>
      <c r="C183" s="174">
        <f>SUM(DN185:DR189)/100</f>
        <v>0</v>
      </c>
      <c r="D183" s="174">
        <f>SUM(DS185:DW189)/100</f>
        <v>0</v>
      </c>
      <c r="E183" s="174">
        <f>SUM(DX185:EB189)/100</f>
        <v>0</v>
      </c>
      <c r="F183" s="174">
        <f>SUM(EC185:EG189)/100</f>
        <v>0</v>
      </c>
      <c r="G183" s="174">
        <f>SUM(EH185:EL189)/100</f>
        <v>0</v>
      </c>
      <c r="H183" s="174">
        <f>SUM(EM185:EQ189)/100</f>
        <v>0</v>
      </c>
      <c r="I183" s="174">
        <f>SUM(ER185:EV189)/100</f>
        <v>0</v>
      </c>
      <c r="J183" s="174">
        <f>SUM(EW185:FA189)/100</f>
        <v>0</v>
      </c>
      <c r="K183" s="174">
        <f>SUM(FB185:FF189)/100</f>
        <v>0</v>
      </c>
      <c r="L183" s="174">
        <f>SUM(FG185:FK189)/100</f>
        <v>0</v>
      </c>
      <c r="M183" s="174">
        <f>SUM(FL185:FP189)/100</f>
        <v>0</v>
      </c>
    </row>
    <row r="184" spans="1:172" ht="20.100000000000001" customHeight="1" x14ac:dyDescent="0.3">
      <c r="A184" s="151" t="s">
        <v>239</v>
      </c>
      <c r="B184" s="152" t="e">
        <f t="shared" ref="B184:M184" si="1368">B183/Lote_23</f>
        <v>#DIV/0!</v>
      </c>
      <c r="C184" s="152" t="e">
        <f t="shared" si="1368"/>
        <v>#DIV/0!</v>
      </c>
      <c r="D184" s="152" t="e">
        <f t="shared" si="1368"/>
        <v>#DIV/0!</v>
      </c>
      <c r="E184" s="152" t="e">
        <f t="shared" si="1368"/>
        <v>#DIV/0!</v>
      </c>
      <c r="F184" s="152" t="e">
        <f t="shared" si="1368"/>
        <v>#DIV/0!</v>
      </c>
      <c r="G184" s="152" t="e">
        <f t="shared" si="1368"/>
        <v>#DIV/0!</v>
      </c>
      <c r="H184" s="152" t="e">
        <f t="shared" si="1368"/>
        <v>#DIV/0!</v>
      </c>
      <c r="I184" s="152" t="e">
        <f t="shared" si="1368"/>
        <v>#DIV/0!</v>
      </c>
      <c r="J184" s="152" t="e">
        <f t="shared" si="1368"/>
        <v>#DIV/0!</v>
      </c>
      <c r="K184" s="152" t="e">
        <f t="shared" si="1368"/>
        <v>#DIV/0!</v>
      </c>
      <c r="L184" s="152" t="e">
        <f t="shared" si="1368"/>
        <v>#DIV/0!</v>
      </c>
      <c r="M184" s="152" t="e">
        <f t="shared" si="1368"/>
        <v>#DIV/0!</v>
      </c>
    </row>
    <row r="185" spans="1:172" ht="20.100000000000001" customHeight="1" x14ac:dyDescent="0.3">
      <c r="A185" s="8" t="s">
        <v>302</v>
      </c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O185" s="58">
        <f>IFERROR('6'!O$95/Ciclo,0)</f>
        <v>0</v>
      </c>
      <c r="P185" s="58">
        <f>IFERROR('6'!P$95/Ciclo,0)</f>
        <v>0</v>
      </c>
      <c r="Q185" s="58">
        <f>IFERROR('6'!Q$95/Ciclo,0)</f>
        <v>0</v>
      </c>
      <c r="R185" s="58">
        <f>IFERROR('6'!R$95/Ciclo,0)</f>
        <v>0</v>
      </c>
      <c r="S185" s="58">
        <f>IFERROR('6'!S$95/Ciclo,0)</f>
        <v>0</v>
      </c>
      <c r="T185" s="58">
        <f>IFERROR('6'!T$95/Ciclo,0)</f>
        <v>0</v>
      </c>
      <c r="U185" s="58">
        <f>IFERROR('6'!U$95/Ciclo,0)</f>
        <v>0</v>
      </c>
      <c r="V185" s="58">
        <f>IFERROR('6'!V$95/Ciclo,0)</f>
        <v>0</v>
      </c>
      <c r="W185" s="5">
        <f>IFERROR('6'!W$95/Ciclo,0)</f>
        <v>0</v>
      </c>
      <c r="X185" s="5">
        <f>IFERROR('6'!X$95/Ciclo,0)</f>
        <v>0</v>
      </c>
      <c r="Y185" s="5">
        <f>IFERROR('6'!Y$95/Ciclo,0)</f>
        <v>0</v>
      </c>
      <c r="Z185" s="5">
        <f>IFERROR('6'!Z$95/Ciclo,0)</f>
        <v>0</v>
      </c>
      <c r="AB185" s="5">
        <f>IF($B$182="Producción",IF($B185&gt;=LI_A,$O185,0),0)</f>
        <v>0</v>
      </c>
      <c r="AC185" s="5">
        <f>IF($B$182="Producción",IF($B185&gt;=LI_B,IF($B185&lt;LS_B,$O185,0),0),0)</f>
        <v>0</v>
      </c>
      <c r="AD185" s="5">
        <f>IF($B$182="Producción",IF($B185&gt;=LI_C,IF($B185&lt;LS_C,$O185,0),0),0)</f>
        <v>0</v>
      </c>
      <c r="AE185" s="5">
        <f>IF($B$182="Producción",IF($B185&lt;LS_D,$O185,0),0)</f>
        <v>0</v>
      </c>
      <c r="AF185" s="5">
        <f>IF($B$182="Crecimiento",$O185,0)</f>
        <v>0</v>
      </c>
      <c r="AG185" s="5">
        <f>IF($B182="Siembra",'6'!$O$7,0)</f>
        <v>0</v>
      </c>
      <c r="AH185" s="5">
        <f>IF($B182="Abandono",'6'!$O$7,0)</f>
        <v>0</v>
      </c>
      <c r="AI185" s="5">
        <f>IF($C$182="Producción",IF($C185&gt;=LI_A,$P185,0),0)</f>
        <v>0</v>
      </c>
      <c r="AJ185" s="5">
        <f>IF($C$182="Producción",IF($C185&gt;=LI_B,IF($C185&lt;LS_B,$P185,0),0),0)</f>
        <v>0</v>
      </c>
      <c r="AK185" s="5">
        <f>IF($C$182="Producción",IF($C185&gt;=LI_C,IF($C185&lt;LS_C,$P185,0),0),0)</f>
        <v>0</v>
      </c>
      <c r="AL185" s="5">
        <f>IF($C$182="Producción",IF($C185&lt;LS_D,$P185,0),0)</f>
        <v>0</v>
      </c>
      <c r="AM185" s="5">
        <f>IF($C$182="Crecimiento",$P185,0)</f>
        <v>0</v>
      </c>
      <c r="AN185" s="5">
        <f>IF($C182="Siembra",'6'!$P$7,0)</f>
        <v>0</v>
      </c>
      <c r="AO185" s="5">
        <f>IF($C182="Abandono",'6'!$P$7,0)</f>
        <v>0</v>
      </c>
      <c r="AP185" s="5">
        <f>IF($D$182="Producción",IF($D185&gt;=LI_A,$Q185,0),0)</f>
        <v>0</v>
      </c>
      <c r="AQ185" s="5">
        <f>IF($D$182="Producción",IF($D185&gt;=LI_B,IF($D185&lt;LS_B,$Q185,0),0),0)</f>
        <v>0</v>
      </c>
      <c r="AR185" s="5">
        <f>IF($D$182="Producción",IF($D185&gt;=LI_C,IF($D185&lt;LS_C,$Q185,0),0),0)</f>
        <v>0</v>
      </c>
      <c r="AS185" s="5">
        <f>IF($D$182="Producción",IF($D185&lt;LS_D,$Q185,0),0)</f>
        <v>0</v>
      </c>
      <c r="AT185" s="5">
        <f>IF($D$182="Crecimiento",IF($D185&gt;0,$Q185,0),0)</f>
        <v>0</v>
      </c>
      <c r="AU185" s="5">
        <f>IF($D182="Siembra",'6'!$Q$7,0)</f>
        <v>0</v>
      </c>
      <c r="AV185" s="5">
        <f>IF($D182="Abandono",'6'!$Q$7,0)</f>
        <v>0</v>
      </c>
      <c r="AW185" s="5">
        <f>IF($E$182="Producción",IF($E185&gt;=LI_A,$R185,0),0)</f>
        <v>0</v>
      </c>
      <c r="AX185" s="5">
        <f>IF($E$182="Producción",IF($E185&gt;=LI_B,IF($E185&lt;LS_B,$R185,0),0),0)</f>
        <v>0</v>
      </c>
      <c r="AY185" s="5">
        <f>IF($E$182="Producción",IF($E185&gt;=LI_C,IF($E185&lt;LS_C,$R185,0),0),0)</f>
        <v>0</v>
      </c>
      <c r="AZ185" s="5">
        <f>IF($E$182="Producción",IF($E185&lt;LS_D,$R185,0),0)</f>
        <v>0</v>
      </c>
      <c r="BA185" s="5">
        <f>IF($E$182="Crecimiento",$R185,0)</f>
        <v>0</v>
      </c>
      <c r="BB185" s="5">
        <f>IF($E182="Siembra",'6'!$R$7,0)</f>
        <v>0</v>
      </c>
      <c r="BC185" s="5">
        <f>IF($E182="Abandono",'6'!$R$7,0)</f>
        <v>0</v>
      </c>
      <c r="BD185" s="5">
        <f>IF($F$182="Producción",IF($F185&gt;=LI_A,$S185,0),0)</f>
        <v>0</v>
      </c>
      <c r="BE185" s="5">
        <f>IF($F$182="Producción",IF($F185&gt;=LI_B,IF($F185&lt;LS_B,$S185,0),0),0)</f>
        <v>0</v>
      </c>
      <c r="BF185" s="5">
        <f>IF($F$182="Producción",IF($F185&gt;=LI_C,IF($F185&lt;LS_C,$S185,0),0),0)</f>
        <v>0</v>
      </c>
      <c r="BG185" s="5">
        <f>IF($F$182="Producción",IF($F185&lt;LS_D,$S185,0),0)</f>
        <v>0</v>
      </c>
      <c r="BH185" s="5">
        <f>IF($F$182="Crecimiento",$S185,0)</f>
        <v>0</v>
      </c>
      <c r="BI185" s="5">
        <f>IF($F182="Siembra",'6'!$S$7,0)</f>
        <v>0</v>
      </c>
      <c r="BJ185" s="5">
        <f>IF($F182="Abandono",'6'!$S$7,0)</f>
        <v>0</v>
      </c>
      <c r="BK185" s="5">
        <f>IF($G$182="Producción",IF($G185&gt;=LI_A,$T185,0),0)</f>
        <v>0</v>
      </c>
      <c r="BL185" s="5">
        <f>IF($G$182="Producción",IF($G185&gt;=LI_B,IF($G185&lt;LS_B,$T185,0),0),0)</f>
        <v>0</v>
      </c>
      <c r="BM185" s="5">
        <f>IF($G$182="Producción",IF($G185&gt;=LI_C,IF($G185&lt;LS_C,$T185,0),0),0)</f>
        <v>0</v>
      </c>
      <c r="BN185" s="5">
        <f>IF($G$182="Producción",IF($G185&lt;LS_D,$T185,0),0)</f>
        <v>0</v>
      </c>
      <c r="BO185" s="5">
        <f>IF($G$182="Crecimiento",$T185,0)</f>
        <v>0</v>
      </c>
      <c r="BP185" s="5">
        <f>IF($G182="Siembra",'6'!$T$7,0)</f>
        <v>0</v>
      </c>
      <c r="BQ185" s="5">
        <f>IF($G182="Abandono",'6'!$T$7,0)</f>
        <v>0</v>
      </c>
      <c r="BR185" s="5">
        <f>IF($H$182="Producción",IF($H185&gt;=LI_A,$U185,0),0)</f>
        <v>0</v>
      </c>
      <c r="BS185" s="5">
        <f>IF($H$182="Producción",IF($H185&gt;=LI_B,IF($H185&lt;LS_B,$U185,0),0),0)</f>
        <v>0</v>
      </c>
      <c r="BT185" s="5">
        <f>IF($H$182="Producción",IF($H185&gt;=LI_C,IF($H185&lt;LS_C,$U185,0),0),0)</f>
        <v>0</v>
      </c>
      <c r="BU185" s="5">
        <f>IF($H$182="Producción",IF($H185&lt;LS_D,$U185,0),0)</f>
        <v>0</v>
      </c>
      <c r="BV185" s="5">
        <f>IF($H$182="Crecimiento",$T185,0)</f>
        <v>0</v>
      </c>
      <c r="BW185" s="5">
        <f>IF($H182="Siembra",'6'!$U$7,0)</f>
        <v>0</v>
      </c>
      <c r="BX185" s="5">
        <f>IF($H182="Abandono",'6'!$U$7,0)</f>
        <v>0</v>
      </c>
      <c r="BY185" s="5">
        <f>IF($I$182="Producción",IF($I185&gt;=LI_A,$V185,0),0)</f>
        <v>0</v>
      </c>
      <c r="BZ185" s="5">
        <f>IF($I$182="Producción",IF($I185&gt;=LI_B,IF($I185&lt;LS_B,$V185,0),0),0)</f>
        <v>0</v>
      </c>
      <c r="CA185" s="5">
        <f>IF($I$182="Producción",IF($I185&gt;=LI_C,IF($I185&lt;LS_C,$V185,0),0),0)</f>
        <v>0</v>
      </c>
      <c r="CB185" s="5">
        <f>IF($I$182="Producción",IF($I185&lt;LS_D,$V185,0),0)</f>
        <v>0</v>
      </c>
      <c r="CC185" s="5">
        <f>IF($I$182="Crecimiento",$V185,0)</f>
        <v>0</v>
      </c>
      <c r="CD185" s="5">
        <f>IF($I182="Siembra",'6'!$V$7,0)</f>
        <v>0</v>
      </c>
      <c r="CE185" s="5">
        <f>IF($I182="Abandono",'6'!$V$7,0)</f>
        <v>0</v>
      </c>
      <c r="CF185" s="5">
        <f>IF($J$182="Producción",IF($J185&gt;=LI_A,$W185,0),0)</f>
        <v>0</v>
      </c>
      <c r="CG185" s="5">
        <f>IF($J$182="Producción",IF($J185&gt;=LI_B,IF($J185&lt;LS_B,$W185,0),0),0)</f>
        <v>0</v>
      </c>
      <c r="CH185" s="5">
        <f>IF($J$182="Producción",IF($J185&gt;=LI_C,IF($J185&lt;LS_C,$W185,0),0),0)</f>
        <v>0</v>
      </c>
      <c r="CI185" s="5">
        <f>IF($J$182="Producción",IF($J185&lt;LS_D,$W185,0),0)</f>
        <v>0</v>
      </c>
      <c r="CJ185" s="5">
        <f>IF($J$182="Crecimiento",$W185,0)</f>
        <v>0</v>
      </c>
      <c r="CK185" s="5">
        <f>IF($J182="Siembra",'6'!$W$7,0)</f>
        <v>0</v>
      </c>
      <c r="CL185" s="5">
        <f>IF($J182="Abandono",'6'!$W$7,0)</f>
        <v>0</v>
      </c>
      <c r="CM185" s="5">
        <f>IF($K$182="Producción",IF($K185&gt;=LI_A,$X185,0),0)</f>
        <v>0</v>
      </c>
      <c r="CN185" s="5">
        <f>IF($K$182="Producción",IF($K185&gt;=LI_B,IF($K185&lt;LS_B,$X185,0),0),0)</f>
        <v>0</v>
      </c>
      <c r="CO185" s="5">
        <f>IF($K$182="Producción",IF($K185&gt;=LI_C,IF($K185&lt;LS_C,$X185,0),0),0)</f>
        <v>0</v>
      </c>
      <c r="CP185" s="5">
        <f>IF($K$182="Producción",IF($K185&lt;LS_D,$X185,0),0)</f>
        <v>0</v>
      </c>
      <c r="CQ185" s="5">
        <f>IF($K$182="Crecimiento",$X185,0)</f>
        <v>0</v>
      </c>
      <c r="CR185" s="5">
        <f>IF($K182="Siembra",'6'!$X$7,0)</f>
        <v>0</v>
      </c>
      <c r="CS185" s="5">
        <f>IF($K182="Abandono",'6'!$X$7,0)</f>
        <v>0</v>
      </c>
      <c r="CT185" s="5">
        <f>IF($L$182="Producción",IF($L185&gt;=LI_A,$Y185,0),0)</f>
        <v>0</v>
      </c>
      <c r="CU185" s="5">
        <f>IF($L$182="Producción",IF($L185&gt;=LI_B,IF($L185&lt;LS_B,$Y185,0),0),0)</f>
        <v>0</v>
      </c>
      <c r="CV185" s="5">
        <f>IF($L$182="Producción",IF($L185&gt;=LI_C,IF($L185&lt;LS_C,$Y185,0),0),0)</f>
        <v>0</v>
      </c>
      <c r="CW185" s="5">
        <f>IF($L$182="Producción",IF($L185&lt;LS_D,$Y185,0),0)</f>
        <v>0</v>
      </c>
      <c r="CX185" s="5">
        <f>IF($L$182="Crecimiento",$Y185,0)</f>
        <v>0</v>
      </c>
      <c r="CY185" s="5">
        <f>IF($L182="Siembra",'6'!$Y$7,0)</f>
        <v>0</v>
      </c>
      <c r="CZ185" s="5">
        <f>IF($L182="Abandono",'6'!$Y$7,0)</f>
        <v>0</v>
      </c>
      <c r="DA185" s="5">
        <f>IF($M$182="Producción",IF($M185&gt;=LI_A,$Z185,0),0)</f>
        <v>0</v>
      </c>
      <c r="DB185" s="5">
        <f>IF($M$182="Producción",IF($M185&gt;=LI_B,IF($M185&lt;LS_B,$Z185,0),0),0)</f>
        <v>0</v>
      </c>
      <c r="DC185" s="5">
        <f>IF($M$182="Producción",IF($M185&gt;=LI_C,IF($M185&lt;LS_C,$Z185,0),0),0)</f>
        <v>0</v>
      </c>
      <c r="DD185" s="5">
        <f>IF($M$182="Producción",IF($M185&lt;LS_D,$Z185,0),0)</f>
        <v>0</v>
      </c>
      <c r="DE185" s="5">
        <f>IF($M$182="Crecimiento",$Z185,0)</f>
        <v>0</v>
      </c>
      <c r="DF185" s="5">
        <f>IF($M182="Siembra",'6'!$Z$7,0)</f>
        <v>0</v>
      </c>
      <c r="DG185" s="5">
        <f>IF($M182="Abandono",'6'!$Z$7,0)</f>
        <v>0</v>
      </c>
      <c r="DI185" s="5">
        <f t="shared" ref="DI185:DI189" si="1369">AB185*$B185</f>
        <v>0</v>
      </c>
      <c r="DJ185" s="5">
        <f t="shared" ref="DJ185:DJ189" si="1370">AC185*$B185</f>
        <v>0</v>
      </c>
      <c r="DK185" s="5">
        <f t="shared" ref="DK185:DK189" si="1371">AD185*$B185</f>
        <v>0</v>
      </c>
      <c r="DL185" s="5">
        <f t="shared" ref="DL185:DL189" si="1372">AE185*$B185</f>
        <v>0</v>
      </c>
      <c r="DM185" s="5">
        <f t="shared" ref="DM185:DM189" si="1373">AF185*$B185</f>
        <v>0</v>
      </c>
      <c r="DN185" s="5">
        <f t="shared" ref="DN185:DN189" si="1374">AI185*$C185</f>
        <v>0</v>
      </c>
      <c r="DO185" s="5">
        <f t="shared" ref="DO185:DO189" si="1375">AJ185*$C185</f>
        <v>0</v>
      </c>
      <c r="DP185" s="5">
        <f t="shared" ref="DP185:DP189" si="1376">AK185*$C185</f>
        <v>0</v>
      </c>
      <c r="DQ185" s="5">
        <f t="shared" ref="DQ185:DQ189" si="1377">AL185*$C185</f>
        <v>0</v>
      </c>
      <c r="DR185" s="5">
        <f t="shared" ref="DR185:DR189" si="1378">AM185*$C185</f>
        <v>0</v>
      </c>
      <c r="DS185" s="5">
        <f t="shared" ref="DS185:DS189" si="1379">AP185*$D185</f>
        <v>0</v>
      </c>
      <c r="DT185" s="5">
        <f t="shared" ref="DT185:DT189" si="1380">AQ185*$D185</f>
        <v>0</v>
      </c>
      <c r="DU185" s="5">
        <f t="shared" ref="DU185:DU189" si="1381">AR185*$D185</f>
        <v>0</v>
      </c>
      <c r="DV185" s="5">
        <f t="shared" ref="DV185:DV189" si="1382">AS185*$D185</f>
        <v>0</v>
      </c>
      <c r="DW185" s="5">
        <f t="shared" ref="DW185:DW189" si="1383">AT185*$D185</f>
        <v>0</v>
      </c>
      <c r="DX185" s="5">
        <f t="shared" ref="DX185:DX189" si="1384">AW185*$E185</f>
        <v>0</v>
      </c>
      <c r="DY185" s="5">
        <f t="shared" ref="DY185:DY189" si="1385">AX185*$E185</f>
        <v>0</v>
      </c>
      <c r="DZ185" s="5">
        <f t="shared" ref="DZ185:DZ189" si="1386">AY185*$E185</f>
        <v>0</v>
      </c>
      <c r="EA185" s="5">
        <f t="shared" ref="EA185:EA189" si="1387">AZ185*$E185</f>
        <v>0</v>
      </c>
      <c r="EB185" s="5">
        <f t="shared" ref="EB185:EB189" si="1388">BA185*$E185</f>
        <v>0</v>
      </c>
      <c r="EC185" s="5">
        <f t="shared" ref="EC185:EC189" si="1389">BD185*$F185</f>
        <v>0</v>
      </c>
      <c r="ED185" s="5">
        <f t="shared" ref="ED185:ED189" si="1390">BE185*$F185</f>
        <v>0</v>
      </c>
      <c r="EE185" s="5">
        <f t="shared" ref="EE185:EE189" si="1391">BF185*$F185</f>
        <v>0</v>
      </c>
      <c r="EF185" s="5">
        <f t="shared" ref="EF185:EF189" si="1392">BG185*$F185</f>
        <v>0</v>
      </c>
      <c r="EG185" s="5">
        <f t="shared" ref="EG185:EG189" si="1393">BH185*$F185</f>
        <v>0</v>
      </c>
      <c r="EH185" s="5">
        <f t="shared" ref="EH185:EH189" si="1394">BK185*$G185</f>
        <v>0</v>
      </c>
      <c r="EI185" s="5">
        <f t="shared" ref="EI185:EI189" si="1395">BL185*$G185</f>
        <v>0</v>
      </c>
      <c r="EJ185" s="5">
        <f t="shared" ref="EJ185:EJ189" si="1396">BM185*$G185</f>
        <v>0</v>
      </c>
      <c r="EK185" s="5">
        <f t="shared" ref="EK185:EK189" si="1397">BN185*$G185</f>
        <v>0</v>
      </c>
      <c r="EL185" s="5">
        <f t="shared" ref="EL185:EL189" si="1398">BO185*$G185</f>
        <v>0</v>
      </c>
      <c r="EM185" s="5">
        <f t="shared" ref="EM185:EM189" si="1399">BR185*$H185</f>
        <v>0</v>
      </c>
      <c r="EN185" s="5">
        <f t="shared" ref="EN185:EN189" si="1400">BS185*$H185</f>
        <v>0</v>
      </c>
      <c r="EO185" s="5">
        <f t="shared" ref="EO185:EO189" si="1401">BT185*$H185</f>
        <v>0</v>
      </c>
      <c r="EP185" s="5">
        <f t="shared" ref="EP185:EP189" si="1402">BU185*$H185</f>
        <v>0</v>
      </c>
      <c r="EQ185" s="5">
        <f t="shared" ref="EQ185:EQ189" si="1403">BV185*$H185</f>
        <v>0</v>
      </c>
      <c r="ER185" s="5">
        <f t="shared" ref="ER185:ER189" si="1404">BY185*$I185</f>
        <v>0</v>
      </c>
      <c r="ES185" s="5">
        <f t="shared" ref="ES185:ES189" si="1405">BZ185*$I185</f>
        <v>0</v>
      </c>
      <c r="ET185" s="5">
        <f t="shared" ref="ET185:ET189" si="1406">CA185*$I185</f>
        <v>0</v>
      </c>
      <c r="EU185" s="5">
        <f t="shared" ref="EU185:EU189" si="1407">CB185*$I185</f>
        <v>0</v>
      </c>
      <c r="EV185" s="5">
        <f t="shared" ref="EV185:EV189" si="1408">CC185*$I185</f>
        <v>0</v>
      </c>
      <c r="EW185" s="5">
        <f t="shared" ref="EW185:EW189" si="1409">CF185*$J185</f>
        <v>0</v>
      </c>
      <c r="EX185" s="5">
        <f t="shared" ref="EX185:EX189" si="1410">CG185*$J185</f>
        <v>0</v>
      </c>
      <c r="EY185" s="5">
        <f t="shared" ref="EY185:EY189" si="1411">CH185*$J185</f>
        <v>0</v>
      </c>
      <c r="EZ185" s="5">
        <f t="shared" ref="EZ185:EZ189" si="1412">CI185*$J185</f>
        <v>0</v>
      </c>
      <c r="FA185" s="5">
        <f t="shared" ref="FA185:FA189" si="1413">CJ185*$J185</f>
        <v>0</v>
      </c>
      <c r="FB185" s="5">
        <f t="shared" ref="FB185:FB189" si="1414">CM185*$K185</f>
        <v>0</v>
      </c>
      <c r="FC185" s="5">
        <f t="shared" ref="FC185:FC189" si="1415">CN185*$K185</f>
        <v>0</v>
      </c>
      <c r="FD185" s="5">
        <f t="shared" ref="FD185:FD189" si="1416">CO185*$K185</f>
        <v>0</v>
      </c>
      <c r="FE185" s="5">
        <f t="shared" ref="FE185:FE189" si="1417">CP185*$K185</f>
        <v>0</v>
      </c>
      <c r="FF185" s="5">
        <f t="shared" ref="FF185:FF189" si="1418">CQ185*$K185</f>
        <v>0</v>
      </c>
      <c r="FG185" s="5">
        <f t="shared" ref="FG185:FG189" si="1419">CT185*$L185</f>
        <v>0</v>
      </c>
      <c r="FH185" s="5">
        <f t="shared" ref="FH185:FH189" si="1420">CU185*$L185</f>
        <v>0</v>
      </c>
      <c r="FI185" s="5">
        <f t="shared" ref="FI185:FI189" si="1421">CV185*$L185</f>
        <v>0</v>
      </c>
      <c r="FJ185" s="5">
        <f t="shared" ref="FJ185:FJ189" si="1422">CW185*$L185</f>
        <v>0</v>
      </c>
      <c r="FK185" s="5">
        <f t="shared" ref="FK185:FK189" si="1423">CX185*$L185</f>
        <v>0</v>
      </c>
      <c r="FL185" s="5">
        <f t="shared" ref="FL185:FL189" si="1424">DA185*$M185</f>
        <v>0</v>
      </c>
      <c r="FM185" s="5">
        <f t="shared" ref="FM185:FM189" si="1425">DB185*$M185</f>
        <v>0</v>
      </c>
      <c r="FN185" s="5">
        <f t="shared" ref="FN185:FN189" si="1426">DC185*$M185</f>
        <v>0</v>
      </c>
      <c r="FO185" s="5">
        <f t="shared" ref="FO185:FO189" si="1427">DD185*$M185</f>
        <v>0</v>
      </c>
      <c r="FP185" s="5">
        <f t="shared" ref="FP185:FP189" si="1428">DE185*$M185</f>
        <v>0</v>
      </c>
    </row>
    <row r="186" spans="1:172" ht="20.100000000000001" customHeight="1" x14ac:dyDescent="0.3">
      <c r="A186" s="8" t="s">
        <v>303</v>
      </c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O186" s="58">
        <f>IFERROR('6'!O$95/Ciclo,0)</f>
        <v>0</v>
      </c>
      <c r="P186" s="58">
        <f>IFERROR('6'!P$95/Ciclo,0)</f>
        <v>0</v>
      </c>
      <c r="Q186" s="58">
        <f>IFERROR('6'!Q$95/Ciclo,0)</f>
        <v>0</v>
      </c>
      <c r="R186" s="58">
        <f>IFERROR('6'!R$95/Ciclo,0)</f>
        <v>0</v>
      </c>
      <c r="S186" s="58">
        <f>IFERROR('6'!S$95/Ciclo,0)</f>
        <v>0</v>
      </c>
      <c r="T186" s="58">
        <f>IFERROR('6'!T$95/Ciclo,0)</f>
        <v>0</v>
      </c>
      <c r="U186" s="58">
        <f>IFERROR('6'!U$95/Ciclo,0)</f>
        <v>0</v>
      </c>
      <c r="V186" s="58">
        <f>IFERROR('6'!V$95/Ciclo,0)</f>
        <v>0</v>
      </c>
      <c r="W186" s="5">
        <f>IFERROR('6'!W$95/Ciclo,0)</f>
        <v>0</v>
      </c>
      <c r="X186" s="5">
        <f>IFERROR('6'!X$95/Ciclo,0)</f>
        <v>0</v>
      </c>
      <c r="Y186" s="5">
        <f>IFERROR('6'!Y$95/Ciclo,0)</f>
        <v>0</v>
      </c>
      <c r="Z186" s="5">
        <f>IFERROR('6'!Z$95/Ciclo,0)</f>
        <v>0</v>
      </c>
      <c r="AB186" s="5">
        <f>IF($B$182="Producción",IF($B186&gt;=LI_A,$O186,0),0)</f>
        <v>0</v>
      </c>
      <c r="AC186" s="5">
        <f>IF($B$182="Producción",IF($B186&gt;=LI_B,IF($B186&lt;LS_B,$O186,0),0),0)</f>
        <v>0</v>
      </c>
      <c r="AD186" s="5">
        <f>IF($B$182="Producción",IF($B186&gt;=LI_C,IF($B186&lt;LS_C,$O186,0),0),0)</f>
        <v>0</v>
      </c>
      <c r="AE186" s="5">
        <f>IF($B$182="Producción",IF($B186&lt;LS_D,$O186,0),0)</f>
        <v>0</v>
      </c>
      <c r="AF186" s="5">
        <f t="shared" ref="AF186:AF189" si="1429">IF($B$182="Crecimiento",$O186,0)</f>
        <v>0</v>
      </c>
      <c r="AI186" s="5">
        <f>IF($C$182="Producción",IF($C186&gt;=LI_A,$P186,0),0)</f>
        <v>0</v>
      </c>
      <c r="AJ186" s="5">
        <f>IF($C$182="Producción",IF($C186&gt;=LI_B,IF($C186&lt;LS_B,$P186,0),0),0)</f>
        <v>0</v>
      </c>
      <c r="AK186" s="5">
        <f>IF($C$182="Producción",IF($C186&gt;=LI_C,IF($C186&lt;LS_C,$P186,0),0),0)</f>
        <v>0</v>
      </c>
      <c r="AL186" s="5">
        <f>IF($C$182="Producción",IF($C186&lt;LS_D,$P186,0),0)</f>
        <v>0</v>
      </c>
      <c r="AM186" s="5">
        <f>IF($C$182="Crecimiento",$P186,0)</f>
        <v>0</v>
      </c>
      <c r="AP186" s="5">
        <f>IF($D$182="Producción",IF($D186&gt;=LI_A,$Q186,0),0)</f>
        <v>0</v>
      </c>
      <c r="AQ186" s="5">
        <f>IF($D$182="Producción",IF($D186&gt;=LI_B,IF($D186&lt;LS_B,$Q186,0),0),0)</f>
        <v>0</v>
      </c>
      <c r="AR186" s="5">
        <f>IF($D$182="Producción",IF($D186&gt;=LI_C,IF($D186&lt;LS_C,$Q186,0),0),0)</f>
        <v>0</v>
      </c>
      <c r="AS186" s="5">
        <f>IF($D$182="Producción",IF($D186&lt;LS_D,$Q186,0),0)</f>
        <v>0</v>
      </c>
      <c r="AT186" s="5">
        <f>IF($D$182="Crecimiento",IF($D186&gt;0,$Q186,0),0)</f>
        <v>0</v>
      </c>
      <c r="AW186" s="5">
        <f>IF($E$182="Producción",IF($E186&gt;=LI_A,$R186,0),0)</f>
        <v>0</v>
      </c>
      <c r="AX186" s="5">
        <f>IF($E$182="Producción",IF($E186&gt;=LI_B,IF($E186&lt;LS_B,$R186,0),0),0)</f>
        <v>0</v>
      </c>
      <c r="AY186" s="5">
        <f>IF($E$182="Producción",IF($E186&gt;=LI_C,IF($E186&lt;LS_C,$R186,0),0),0)</f>
        <v>0</v>
      </c>
      <c r="AZ186" s="5">
        <f>IF($E$182="Producción",IF($E186&lt;LS_D,$R186,0),0)</f>
        <v>0</v>
      </c>
      <c r="BA186" s="5">
        <f>IF($E$182="Crecimiento",$R186,0)</f>
        <v>0</v>
      </c>
      <c r="BD186" s="5">
        <f>IF($F$182="Producción",IF($F186&gt;=LI_A,$S186,0),0)</f>
        <v>0</v>
      </c>
      <c r="BE186" s="5">
        <f>IF($F$182="Producción",IF($F186&gt;=LI_B,IF($F186&lt;LS_B,$S186,0),0),0)</f>
        <v>0</v>
      </c>
      <c r="BF186" s="5">
        <f>IF($F$182="Producción",IF($F186&gt;=LI_C,IF($F186&lt;LS_C,$S186,0),0),0)</f>
        <v>0</v>
      </c>
      <c r="BG186" s="5">
        <f>IF($F$182="Producción",IF($F186&lt;LS_D,$S186,0),0)</f>
        <v>0</v>
      </c>
      <c r="BH186" s="5">
        <f>IF($F$182="Crecimiento",$S186,0)</f>
        <v>0</v>
      </c>
      <c r="BK186" s="5">
        <f>IF($G$182="Producción",IF($G186&gt;=LI_A,$T186,0),0)</f>
        <v>0</v>
      </c>
      <c r="BL186" s="5">
        <f>IF($G$182="Producción",IF($G186&gt;=LI_B,IF($G186&lt;LS_B,$T186,0),0),0)</f>
        <v>0</v>
      </c>
      <c r="BM186" s="5">
        <f>IF($G$182="Producción",IF($G186&gt;=LI_C,IF($G186&lt;LS_C,$T186,0),0),0)</f>
        <v>0</v>
      </c>
      <c r="BN186" s="5">
        <f>IF($G$182="Producción",IF($G186&lt;LS_D,$T186,0),0)</f>
        <v>0</v>
      </c>
      <c r="BO186" s="5">
        <f>IF($G$182="Crecimiento",$T186,0)</f>
        <v>0</v>
      </c>
      <c r="BR186" s="5">
        <f>IF($H$182="Producción",IF($H186&gt;=LI_A,$U186,0),0)</f>
        <v>0</v>
      </c>
      <c r="BS186" s="5">
        <f>IF($H$182="Producción",IF($H186&gt;=LI_B,IF($H186&lt;LS_B,$U186,0),0),0)</f>
        <v>0</v>
      </c>
      <c r="BT186" s="5">
        <f>IF($H$182="Producción",IF($H186&gt;=LI_C,IF($H186&lt;LS_C,$U186,0),0),0)</f>
        <v>0</v>
      </c>
      <c r="BU186" s="5">
        <f>IF($H$182="Producción",IF($H186&lt;LS_D,$U186,0),0)</f>
        <v>0</v>
      </c>
      <c r="BV186" s="5">
        <f>IF($H$182="Crecimiento",$T186,0)</f>
        <v>0</v>
      </c>
      <c r="BY186" s="5">
        <f>IF($I$182="Producción",IF($I186&gt;=LI_A,$V186,0),0)</f>
        <v>0</v>
      </c>
      <c r="BZ186" s="5">
        <f>IF($I$182="Producción",IF($I186&gt;=LI_B,IF($I186&lt;LS_B,$V186,0),0),0)</f>
        <v>0</v>
      </c>
      <c r="CA186" s="5">
        <f>IF($I$182="Producción",IF($I186&gt;=LI_C,IF($I186&lt;LS_C,$V186,0),0),0)</f>
        <v>0</v>
      </c>
      <c r="CB186" s="5">
        <f>IF($I$182="Producción",IF($I186&lt;LS_D,$V186,0),0)</f>
        <v>0</v>
      </c>
      <c r="CC186" s="5">
        <f>IF($I$182="Crecimiento",$V186,0)</f>
        <v>0</v>
      </c>
      <c r="CF186" s="5">
        <f>IF($J$182="Producción",IF($J186&gt;=LI_A,$W186,0),0)</f>
        <v>0</v>
      </c>
      <c r="CG186" s="5">
        <f>IF($J$182="Producción",IF($J186&gt;=LI_B,IF($J186&lt;LS_B,$W186,0),0),0)</f>
        <v>0</v>
      </c>
      <c r="CH186" s="5">
        <f>IF($J$182="Producción",IF($J186&gt;=LI_C,IF($J186&lt;LS_C,$W186,0),0),0)</f>
        <v>0</v>
      </c>
      <c r="CI186" s="5">
        <f>IF($J$182="Producción",IF($J186&lt;LS_D,$W186,0),0)</f>
        <v>0</v>
      </c>
      <c r="CJ186" s="5">
        <f>IF($J$182="Crecimiento",$W186,0)</f>
        <v>0</v>
      </c>
      <c r="CM186" s="5">
        <f>IF($K$182="Producción",IF($K186&gt;=LI_A,$X186,0),0)</f>
        <v>0</v>
      </c>
      <c r="CN186" s="5">
        <f>IF($K$182="Producción",IF($K186&gt;=LI_B,IF($K186&lt;LS_B,$X186,0),0),0)</f>
        <v>0</v>
      </c>
      <c r="CO186" s="5">
        <f>IF($K$182="Producción",IF($K186&gt;=LI_C,IF($K186&lt;LS_C,$X186,0),0),0)</f>
        <v>0</v>
      </c>
      <c r="CP186" s="5">
        <f>IF($K$182="Producción",IF($K186&lt;LS_D,$X186,0),0)</f>
        <v>0</v>
      </c>
      <c r="CQ186" s="5">
        <f>IF($K$182="Crecimiento",$X186,0)</f>
        <v>0</v>
      </c>
      <c r="CT186" s="5">
        <f>IF($L$182="Producción",IF($L186&gt;=LI_A,$Y186,0),0)</f>
        <v>0</v>
      </c>
      <c r="CU186" s="5">
        <f>IF($L$182="Producción",IF($L186&gt;=LI_B,IF($L186&lt;LS_B,$Y186,0),0),0)</f>
        <v>0</v>
      </c>
      <c r="CV186" s="5">
        <f>IF($L$182="Producción",IF($L186&gt;=LI_C,IF($L186&lt;LS_C,$Y186,0),0),0)</f>
        <v>0</v>
      </c>
      <c r="CW186" s="5">
        <f>IF($L$182="Producción",IF($L186&lt;LS_D,$Y186,0),0)</f>
        <v>0</v>
      </c>
      <c r="CX186" s="5">
        <f>IF($L$182="Crecimiento",$Y186,0)</f>
        <v>0</v>
      </c>
      <c r="DA186" s="5">
        <f>IF($M$182="Producción",IF($M186&gt;=LI_A,$Z186,0),0)</f>
        <v>0</v>
      </c>
      <c r="DB186" s="5">
        <f>IF($M$182="Producción",IF($M186&gt;=LI_B,IF($M186&lt;LS_B,$Z186,0),0),0)</f>
        <v>0</v>
      </c>
      <c r="DC186" s="5">
        <f>IF($M$182="Producción",IF($M186&gt;=LI_C,IF($M186&lt;LS_C,$Z186,0),0),0)</f>
        <v>0</v>
      </c>
      <c r="DD186" s="5">
        <f>IF($M$182="Producción",IF($M186&lt;LS_D,$Z186,0),0)</f>
        <v>0</v>
      </c>
      <c r="DE186" s="5">
        <f>IF($M$182="Crecimiento",$Z186,0)</f>
        <v>0</v>
      </c>
      <c r="DI186" s="5">
        <f t="shared" si="1369"/>
        <v>0</v>
      </c>
      <c r="DJ186" s="5">
        <f t="shared" si="1370"/>
        <v>0</v>
      </c>
      <c r="DK186" s="5">
        <f t="shared" si="1371"/>
        <v>0</v>
      </c>
      <c r="DL186" s="5">
        <f t="shared" si="1372"/>
        <v>0</v>
      </c>
      <c r="DM186" s="5">
        <f t="shared" si="1373"/>
        <v>0</v>
      </c>
      <c r="DN186" s="5">
        <f t="shared" si="1374"/>
        <v>0</v>
      </c>
      <c r="DO186" s="5">
        <f t="shared" si="1375"/>
        <v>0</v>
      </c>
      <c r="DP186" s="5">
        <f t="shared" si="1376"/>
        <v>0</v>
      </c>
      <c r="DQ186" s="5">
        <f t="shared" si="1377"/>
        <v>0</v>
      </c>
      <c r="DR186" s="5">
        <f t="shared" si="1378"/>
        <v>0</v>
      </c>
      <c r="DS186" s="5">
        <f t="shared" si="1379"/>
        <v>0</v>
      </c>
      <c r="DT186" s="5">
        <f t="shared" si="1380"/>
        <v>0</v>
      </c>
      <c r="DU186" s="5">
        <f t="shared" si="1381"/>
        <v>0</v>
      </c>
      <c r="DV186" s="5">
        <f t="shared" si="1382"/>
        <v>0</v>
      </c>
      <c r="DW186" s="5">
        <f t="shared" si="1383"/>
        <v>0</v>
      </c>
      <c r="DX186" s="5">
        <f t="shared" si="1384"/>
        <v>0</v>
      </c>
      <c r="DY186" s="5">
        <f t="shared" si="1385"/>
        <v>0</v>
      </c>
      <c r="DZ186" s="5">
        <f t="shared" si="1386"/>
        <v>0</v>
      </c>
      <c r="EA186" s="5">
        <f t="shared" si="1387"/>
        <v>0</v>
      </c>
      <c r="EB186" s="5">
        <f t="shared" si="1388"/>
        <v>0</v>
      </c>
      <c r="EC186" s="5">
        <f t="shared" si="1389"/>
        <v>0</v>
      </c>
      <c r="ED186" s="5">
        <f t="shared" si="1390"/>
        <v>0</v>
      </c>
      <c r="EE186" s="5">
        <f t="shared" si="1391"/>
        <v>0</v>
      </c>
      <c r="EF186" s="5">
        <f t="shared" si="1392"/>
        <v>0</v>
      </c>
      <c r="EG186" s="5">
        <f t="shared" si="1393"/>
        <v>0</v>
      </c>
      <c r="EH186" s="5">
        <f t="shared" si="1394"/>
        <v>0</v>
      </c>
      <c r="EI186" s="5">
        <f t="shared" si="1395"/>
        <v>0</v>
      </c>
      <c r="EJ186" s="5">
        <f t="shared" si="1396"/>
        <v>0</v>
      </c>
      <c r="EK186" s="5">
        <f t="shared" si="1397"/>
        <v>0</v>
      </c>
      <c r="EL186" s="5">
        <f t="shared" si="1398"/>
        <v>0</v>
      </c>
      <c r="EM186" s="5">
        <f t="shared" si="1399"/>
        <v>0</v>
      </c>
      <c r="EN186" s="5">
        <f t="shared" si="1400"/>
        <v>0</v>
      </c>
      <c r="EO186" s="5">
        <f t="shared" si="1401"/>
        <v>0</v>
      </c>
      <c r="EP186" s="5">
        <f t="shared" si="1402"/>
        <v>0</v>
      </c>
      <c r="EQ186" s="5">
        <f t="shared" si="1403"/>
        <v>0</v>
      </c>
      <c r="ER186" s="5">
        <f t="shared" si="1404"/>
        <v>0</v>
      </c>
      <c r="ES186" s="5">
        <f t="shared" si="1405"/>
        <v>0</v>
      </c>
      <c r="ET186" s="5">
        <f t="shared" si="1406"/>
        <v>0</v>
      </c>
      <c r="EU186" s="5">
        <f t="shared" si="1407"/>
        <v>0</v>
      </c>
      <c r="EV186" s="5">
        <f t="shared" si="1408"/>
        <v>0</v>
      </c>
      <c r="EW186" s="5">
        <f t="shared" si="1409"/>
        <v>0</v>
      </c>
      <c r="EX186" s="5">
        <f t="shared" si="1410"/>
        <v>0</v>
      </c>
      <c r="EY186" s="5">
        <f t="shared" si="1411"/>
        <v>0</v>
      </c>
      <c r="EZ186" s="5">
        <f t="shared" si="1412"/>
        <v>0</v>
      </c>
      <c r="FA186" s="5">
        <f t="shared" si="1413"/>
        <v>0</v>
      </c>
      <c r="FB186" s="5">
        <f t="shared" si="1414"/>
        <v>0</v>
      </c>
      <c r="FC186" s="5">
        <f t="shared" si="1415"/>
        <v>0</v>
      </c>
      <c r="FD186" s="5">
        <f t="shared" si="1416"/>
        <v>0</v>
      </c>
      <c r="FE186" s="5">
        <f t="shared" si="1417"/>
        <v>0</v>
      </c>
      <c r="FF186" s="5">
        <f t="shared" si="1418"/>
        <v>0</v>
      </c>
      <c r="FG186" s="5">
        <f t="shared" si="1419"/>
        <v>0</v>
      </c>
      <c r="FH186" s="5">
        <f t="shared" si="1420"/>
        <v>0</v>
      </c>
      <c r="FI186" s="5">
        <f t="shared" si="1421"/>
        <v>0</v>
      </c>
      <c r="FJ186" s="5">
        <f t="shared" si="1422"/>
        <v>0</v>
      </c>
      <c r="FK186" s="5">
        <f t="shared" si="1423"/>
        <v>0</v>
      </c>
      <c r="FL186" s="5">
        <f t="shared" si="1424"/>
        <v>0</v>
      </c>
      <c r="FM186" s="5">
        <f t="shared" si="1425"/>
        <v>0</v>
      </c>
      <c r="FN186" s="5">
        <f t="shared" si="1426"/>
        <v>0</v>
      </c>
      <c r="FO186" s="5">
        <f t="shared" si="1427"/>
        <v>0</v>
      </c>
      <c r="FP186" s="5">
        <f t="shared" si="1428"/>
        <v>0</v>
      </c>
    </row>
    <row r="187" spans="1:172" ht="20.100000000000001" customHeight="1" x14ac:dyDescent="0.3">
      <c r="A187" s="8" t="str">
        <f>IF(Ciclo&gt;2,"Surco 3","NA")</f>
        <v>Surco 3</v>
      </c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O187" s="58">
        <f>IF($A187="NA",0,IFERROR('6'!O$95/Ciclo,0))</f>
        <v>0</v>
      </c>
      <c r="P187" s="58">
        <f>IF($A187="NA",0,IFERROR('6'!P$95/Ciclo,0))</f>
        <v>0</v>
      </c>
      <c r="Q187" s="58">
        <f>IF($A187="NA",0,IFERROR('6'!Q$95/Ciclo,0))</f>
        <v>0</v>
      </c>
      <c r="R187" s="58">
        <f>IF($A187="NA",0,IFERROR('6'!R$95/Ciclo,0))</f>
        <v>0</v>
      </c>
      <c r="S187" s="58">
        <f>IF($A187="NA",0,IFERROR('6'!S$95/Ciclo,0))</f>
        <v>0</v>
      </c>
      <c r="T187" s="58">
        <f>IF($A187="NA",0,IFERROR('6'!T$95/Ciclo,0))</f>
        <v>0</v>
      </c>
      <c r="U187" s="58">
        <f>IF($A187="NA",0,IFERROR('6'!U$95/Ciclo,0))</f>
        <v>0</v>
      </c>
      <c r="V187" s="58">
        <f>IF($A187="NA",0,IFERROR('6'!V$95/Ciclo,0))</f>
        <v>0</v>
      </c>
      <c r="W187" s="5">
        <f>IF($A187="NA",0,IFERROR('6'!W$95/Ciclo,0))</f>
        <v>0</v>
      </c>
      <c r="X187" s="5">
        <f>IF($A187="NA",0,IFERROR('6'!X$95/Ciclo,0))</f>
        <v>0</v>
      </c>
      <c r="Y187" s="5">
        <f>IF($A187="NA",0,IFERROR('6'!Y$95/Ciclo,0))</f>
        <v>0</v>
      </c>
      <c r="Z187" s="5">
        <f>IF($A187="NA",0,IFERROR('6'!Z$95/Ciclo,0))</f>
        <v>0</v>
      </c>
      <c r="AB187" s="5">
        <f>IF($B$182="Producción",IF($B187&gt;=LI_A,$O187,0),0)</f>
        <v>0</v>
      </c>
      <c r="AC187" s="5">
        <f>IF($B$182="Producción",IF($B187&gt;=LI_B,IF($B187&lt;LS_B,$O187,0),0),0)</f>
        <v>0</v>
      </c>
      <c r="AD187" s="5">
        <f>IF($B$182="Producción",IF($B187&gt;=LI_C,IF($B187&lt;LS_C,$O187,0),0),0)</f>
        <v>0</v>
      </c>
      <c r="AE187" s="5">
        <f>IF($B$182="Producción",IF($B187&lt;LS_D,$O187,0),0)</f>
        <v>0</v>
      </c>
      <c r="AF187" s="5">
        <f t="shared" si="1429"/>
        <v>0</v>
      </c>
      <c r="AI187" s="5">
        <f>IF($C$182="Producción",IF($C187&gt;=LI_A,$P187,0),0)</f>
        <v>0</v>
      </c>
      <c r="AJ187" s="5">
        <f>IF($C$182="Producción",IF($C187&gt;=LI_B,IF($C187&lt;LS_B,$P187,0),0),0)</f>
        <v>0</v>
      </c>
      <c r="AK187" s="5">
        <f>IF($C$182="Producción",IF($C187&gt;=LI_C,IF($C187&lt;LS_C,$P187,0),0),0)</f>
        <v>0</v>
      </c>
      <c r="AL187" s="5">
        <f>IF($C$182="Producción",IF($C187&lt;LS_D,$P187,0),0)</f>
        <v>0</v>
      </c>
      <c r="AM187" s="5">
        <f>IF($C$182="Crecimiento",$P187,0)</f>
        <v>0</v>
      </c>
      <c r="AP187" s="5">
        <f>IF($D$182="Producción",IF($D187&gt;=LI_A,$Q187,0),0)</f>
        <v>0</v>
      </c>
      <c r="AQ187" s="5">
        <f>IF($D$182="Producción",IF($D187&gt;=LI_B,IF($D187&lt;LS_B,$Q187,0),0),0)</f>
        <v>0</v>
      </c>
      <c r="AR187" s="5">
        <f>IF($D$182="Producción",IF($D187&gt;=LI_C,IF($D187&lt;LS_C,$Q187,0),0),0)</f>
        <v>0</v>
      </c>
      <c r="AS187" s="5">
        <f>IF($D$182="Producción",IF($D187&lt;LS_D,$Q187,0),0)</f>
        <v>0</v>
      </c>
      <c r="AT187" s="5">
        <f>IF($D$182="Crecimiento",IF($D187&gt;0,$Q187,0),0)</f>
        <v>0</v>
      </c>
      <c r="AW187" s="5">
        <f>IF($E$182="Producción",IF($E187&gt;=LI_A,$R187,0),0)</f>
        <v>0</v>
      </c>
      <c r="AX187" s="5">
        <f>IF($E$182="Producción",IF($E187&gt;=LI_B,IF($E187&lt;LS_B,$R187,0),0),0)</f>
        <v>0</v>
      </c>
      <c r="AY187" s="5">
        <f>IF($E$182="Producción",IF($E187&gt;=LI_C,IF($E187&lt;LS_C,$R187,0),0),0)</f>
        <v>0</v>
      </c>
      <c r="AZ187" s="5">
        <f>IF($E$182="Producción",IF($E187&lt;LS_D,$R187,0),0)</f>
        <v>0</v>
      </c>
      <c r="BA187" s="5">
        <f>IF($E$182="Crecimiento",$R187,0)</f>
        <v>0</v>
      </c>
      <c r="BD187" s="5">
        <f>IF($F$182="Producción",IF($F187&gt;=LI_A,$S187,0),0)</f>
        <v>0</v>
      </c>
      <c r="BE187" s="5">
        <f>IF($F$182="Producción",IF($F187&gt;=LI_B,IF($F187&lt;LS_B,$S187,0),0),0)</f>
        <v>0</v>
      </c>
      <c r="BF187" s="5">
        <f>IF($F$182="Producción",IF($F187&gt;=LI_C,IF($F187&lt;LS_C,$S187,0),0),0)</f>
        <v>0</v>
      </c>
      <c r="BG187" s="5">
        <f>IF($F$182="Producción",IF($F187&lt;LS_D,$S187,0),0)</f>
        <v>0</v>
      </c>
      <c r="BH187" s="5">
        <f>IF($F$182="Crecimiento",$S187,0)</f>
        <v>0</v>
      </c>
      <c r="BK187" s="5">
        <f>IF($G$182="Producción",IF($G187&gt;=LI_A,$T187,0),0)</f>
        <v>0</v>
      </c>
      <c r="BL187" s="5">
        <f>IF($G$182="Producción",IF($G187&gt;=LI_B,IF($G187&lt;LS_B,$T187,0),0),0)</f>
        <v>0</v>
      </c>
      <c r="BM187" s="5">
        <f>IF($G$182="Producción",IF($G187&gt;=LI_C,IF($G187&lt;LS_C,$T187,0),0),0)</f>
        <v>0</v>
      </c>
      <c r="BN187" s="5">
        <f>IF($G$182="Producción",IF($G187&lt;LS_D,$T187,0),0)</f>
        <v>0</v>
      </c>
      <c r="BO187" s="5">
        <f>IF($G$182="Crecimiento",$T187,0)</f>
        <v>0</v>
      </c>
      <c r="BR187" s="5">
        <f>IF($H$182="Producción",IF($H187&gt;=LI_A,$U187,0),0)</f>
        <v>0</v>
      </c>
      <c r="BS187" s="5">
        <f>IF($H$182="Producción",IF($H187&gt;=LI_B,IF($H187&lt;LS_B,$U187,0),0),0)</f>
        <v>0</v>
      </c>
      <c r="BT187" s="5">
        <f>IF($H$182="Producción",IF($H187&gt;=LI_C,IF($H187&lt;LS_C,$U187,0),0),0)</f>
        <v>0</v>
      </c>
      <c r="BU187" s="5">
        <f>IF($H$182="Producción",IF($H187&lt;LS_D,$U187,0),0)</f>
        <v>0</v>
      </c>
      <c r="BV187" s="5">
        <f>IF($H$182="Crecimiento",$T187,0)</f>
        <v>0</v>
      </c>
      <c r="BY187" s="5">
        <f>IF($I$182="Producción",IF($I187&gt;=LI_A,$V187,0),0)</f>
        <v>0</v>
      </c>
      <c r="BZ187" s="5">
        <f>IF($I$182="Producción",IF($I187&gt;=LI_B,IF($I187&lt;LS_B,$V187,0),0),0)</f>
        <v>0</v>
      </c>
      <c r="CA187" s="5">
        <f>IF($I$182="Producción",IF($I187&gt;=LI_C,IF($I187&lt;LS_C,$V187,0),0),0)</f>
        <v>0</v>
      </c>
      <c r="CB187" s="5">
        <f>IF($I$182="Producción",IF($I187&lt;LS_D,$V187,0),0)</f>
        <v>0</v>
      </c>
      <c r="CC187" s="5">
        <f>IF($I$182="Crecimiento",$V187,0)</f>
        <v>0</v>
      </c>
      <c r="CF187" s="5">
        <f>IF($J$182="Producción",IF($J187&gt;=LI_A,$W187,0),0)</f>
        <v>0</v>
      </c>
      <c r="CG187" s="5">
        <f>IF($J$182="Producción",IF($J187&gt;=LI_B,IF($J187&lt;LS_B,$W187,0),0),0)</f>
        <v>0</v>
      </c>
      <c r="CH187" s="5">
        <f>IF($J$182="Producción",IF($J187&gt;=LI_C,IF($J187&lt;LS_C,$W187,0),0),0)</f>
        <v>0</v>
      </c>
      <c r="CI187" s="5">
        <f>IF($J$182="Producción",IF($J187&lt;LS_D,$W187,0),0)</f>
        <v>0</v>
      </c>
      <c r="CJ187" s="5">
        <f>IF($J$182="Crecimiento",$W187,0)</f>
        <v>0</v>
      </c>
      <c r="CM187" s="5">
        <f>IF($K$182="Producción",IF($K187&gt;=LI_A,$X187,0),0)</f>
        <v>0</v>
      </c>
      <c r="CN187" s="5">
        <f>IF($K$182="Producción",IF($K187&gt;=LI_B,IF($K187&lt;LS_B,$X187,0),0),0)</f>
        <v>0</v>
      </c>
      <c r="CO187" s="5">
        <f>IF($K$182="Producción",IF($K187&gt;=LI_C,IF($K187&lt;LS_C,$X187,0),0),0)</f>
        <v>0</v>
      </c>
      <c r="CP187" s="5">
        <f>IF($K$182="Producción",IF($K187&lt;LS_D,$X187,0),0)</f>
        <v>0</v>
      </c>
      <c r="CQ187" s="5">
        <f>IF($K$182="Crecimiento",$X187,0)</f>
        <v>0</v>
      </c>
      <c r="CT187" s="5">
        <f>IF($L$182="Producción",IF($L187&gt;=LI_A,$Y187,0),0)</f>
        <v>0</v>
      </c>
      <c r="CU187" s="5">
        <f>IF($L$182="Producción",IF($L187&gt;=LI_B,IF($L187&lt;LS_B,$Y187,0),0),0)</f>
        <v>0</v>
      </c>
      <c r="CV187" s="5">
        <f>IF($L$182="Producción",IF($L187&gt;=LI_C,IF($L187&lt;LS_C,$Y187,0),0),0)</f>
        <v>0</v>
      </c>
      <c r="CW187" s="5">
        <f>IF($L$182="Producción",IF($L187&lt;LS_D,$Y187,0),0)</f>
        <v>0</v>
      </c>
      <c r="CX187" s="5">
        <f>IF($L$182="Crecimiento",$Y187,0)</f>
        <v>0</v>
      </c>
      <c r="DA187" s="5">
        <f>IF($M$182="Producción",IF($M187&gt;=LI_A,$Z187,0),0)</f>
        <v>0</v>
      </c>
      <c r="DB187" s="5">
        <f>IF($M$182="Producción",IF($M187&gt;=LI_B,IF($M187&lt;LS_B,$Z187,0),0),0)</f>
        <v>0</v>
      </c>
      <c r="DC187" s="5">
        <f>IF($M$182="Producción",IF($M187&gt;=LI_C,IF($M187&lt;LS_C,$Z187,0),0),0)</f>
        <v>0</v>
      </c>
      <c r="DD187" s="5">
        <f>IF($M$182="Producción",IF($M187&lt;LS_D,$Z187,0),0)</f>
        <v>0</v>
      </c>
      <c r="DE187" s="5">
        <f>IF($M$182="Crecimiento",$Z187,0)</f>
        <v>0</v>
      </c>
      <c r="DI187" s="5">
        <f t="shared" si="1369"/>
        <v>0</v>
      </c>
      <c r="DJ187" s="5">
        <f t="shared" si="1370"/>
        <v>0</v>
      </c>
      <c r="DK187" s="5">
        <f t="shared" si="1371"/>
        <v>0</v>
      </c>
      <c r="DL187" s="5">
        <f t="shared" si="1372"/>
        <v>0</v>
      </c>
      <c r="DM187" s="5">
        <f t="shared" si="1373"/>
        <v>0</v>
      </c>
      <c r="DN187" s="5">
        <f t="shared" si="1374"/>
        <v>0</v>
      </c>
      <c r="DO187" s="5">
        <f t="shared" si="1375"/>
        <v>0</v>
      </c>
      <c r="DP187" s="5">
        <f t="shared" si="1376"/>
        <v>0</v>
      </c>
      <c r="DQ187" s="5">
        <f t="shared" si="1377"/>
        <v>0</v>
      </c>
      <c r="DR187" s="5">
        <f t="shared" si="1378"/>
        <v>0</v>
      </c>
      <c r="DS187" s="5">
        <f t="shared" si="1379"/>
        <v>0</v>
      </c>
      <c r="DT187" s="5">
        <f t="shared" si="1380"/>
        <v>0</v>
      </c>
      <c r="DU187" s="5">
        <f t="shared" si="1381"/>
        <v>0</v>
      </c>
      <c r="DV187" s="5">
        <f t="shared" si="1382"/>
        <v>0</v>
      </c>
      <c r="DW187" s="5">
        <f t="shared" si="1383"/>
        <v>0</v>
      </c>
      <c r="DX187" s="5">
        <f t="shared" si="1384"/>
        <v>0</v>
      </c>
      <c r="DY187" s="5">
        <f t="shared" si="1385"/>
        <v>0</v>
      </c>
      <c r="DZ187" s="5">
        <f t="shared" si="1386"/>
        <v>0</v>
      </c>
      <c r="EA187" s="5">
        <f t="shared" si="1387"/>
        <v>0</v>
      </c>
      <c r="EB187" s="5">
        <f t="shared" si="1388"/>
        <v>0</v>
      </c>
      <c r="EC187" s="5">
        <f t="shared" si="1389"/>
        <v>0</v>
      </c>
      <c r="ED187" s="5">
        <f t="shared" si="1390"/>
        <v>0</v>
      </c>
      <c r="EE187" s="5">
        <f t="shared" si="1391"/>
        <v>0</v>
      </c>
      <c r="EF187" s="5">
        <f t="shared" si="1392"/>
        <v>0</v>
      </c>
      <c r="EG187" s="5">
        <f t="shared" si="1393"/>
        <v>0</v>
      </c>
      <c r="EH187" s="5">
        <f t="shared" si="1394"/>
        <v>0</v>
      </c>
      <c r="EI187" s="5">
        <f t="shared" si="1395"/>
        <v>0</v>
      </c>
      <c r="EJ187" s="5">
        <f t="shared" si="1396"/>
        <v>0</v>
      </c>
      <c r="EK187" s="5">
        <f t="shared" si="1397"/>
        <v>0</v>
      </c>
      <c r="EL187" s="5">
        <f t="shared" si="1398"/>
        <v>0</v>
      </c>
      <c r="EM187" s="5">
        <f t="shared" si="1399"/>
        <v>0</v>
      </c>
      <c r="EN187" s="5">
        <f t="shared" si="1400"/>
        <v>0</v>
      </c>
      <c r="EO187" s="5">
        <f t="shared" si="1401"/>
        <v>0</v>
      </c>
      <c r="EP187" s="5">
        <f t="shared" si="1402"/>
        <v>0</v>
      </c>
      <c r="EQ187" s="5">
        <f t="shared" si="1403"/>
        <v>0</v>
      </c>
      <c r="ER187" s="5">
        <f t="shared" si="1404"/>
        <v>0</v>
      </c>
      <c r="ES187" s="5">
        <f t="shared" si="1405"/>
        <v>0</v>
      </c>
      <c r="ET187" s="5">
        <f t="shared" si="1406"/>
        <v>0</v>
      </c>
      <c r="EU187" s="5">
        <f t="shared" si="1407"/>
        <v>0</v>
      </c>
      <c r="EV187" s="5">
        <f t="shared" si="1408"/>
        <v>0</v>
      </c>
      <c r="EW187" s="5">
        <f t="shared" si="1409"/>
        <v>0</v>
      </c>
      <c r="EX187" s="5">
        <f t="shared" si="1410"/>
        <v>0</v>
      </c>
      <c r="EY187" s="5">
        <f t="shared" si="1411"/>
        <v>0</v>
      </c>
      <c r="EZ187" s="5">
        <f t="shared" si="1412"/>
        <v>0</v>
      </c>
      <c r="FA187" s="5">
        <f t="shared" si="1413"/>
        <v>0</v>
      </c>
      <c r="FB187" s="5">
        <f t="shared" si="1414"/>
        <v>0</v>
      </c>
      <c r="FC187" s="5">
        <f t="shared" si="1415"/>
        <v>0</v>
      </c>
      <c r="FD187" s="5">
        <f t="shared" si="1416"/>
        <v>0</v>
      </c>
      <c r="FE187" s="5">
        <f t="shared" si="1417"/>
        <v>0</v>
      </c>
      <c r="FF187" s="5">
        <f t="shared" si="1418"/>
        <v>0</v>
      </c>
      <c r="FG187" s="5">
        <f t="shared" si="1419"/>
        <v>0</v>
      </c>
      <c r="FH187" s="5">
        <f t="shared" si="1420"/>
        <v>0</v>
      </c>
      <c r="FI187" s="5">
        <f t="shared" si="1421"/>
        <v>0</v>
      </c>
      <c r="FJ187" s="5">
        <f t="shared" si="1422"/>
        <v>0</v>
      </c>
      <c r="FK187" s="5">
        <f t="shared" si="1423"/>
        <v>0</v>
      </c>
      <c r="FL187" s="5">
        <f t="shared" si="1424"/>
        <v>0</v>
      </c>
      <c r="FM187" s="5">
        <f t="shared" si="1425"/>
        <v>0</v>
      </c>
      <c r="FN187" s="5">
        <f t="shared" si="1426"/>
        <v>0</v>
      </c>
      <c r="FO187" s="5">
        <f t="shared" si="1427"/>
        <v>0</v>
      </c>
      <c r="FP187" s="5">
        <f t="shared" si="1428"/>
        <v>0</v>
      </c>
    </row>
    <row r="188" spans="1:172" ht="20.100000000000001" customHeight="1" x14ac:dyDescent="0.3">
      <c r="A188" s="8" t="str">
        <f>IF(Ciclo=4,"Surco 4",IF(Ciclo=5,"Surco 4","NA"))</f>
        <v>NA</v>
      </c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O188" s="58">
        <f>IF($A188="NA",0,IFERROR('6'!O$95/Ciclo,0))</f>
        <v>0</v>
      </c>
      <c r="P188" s="58">
        <f>IF($A188="NA",0,IFERROR('6'!P$95/Ciclo,0))</f>
        <v>0</v>
      </c>
      <c r="Q188" s="58">
        <f>IF($A188="NA",0,IFERROR('6'!Q$95/Ciclo,0))</f>
        <v>0</v>
      </c>
      <c r="R188" s="58">
        <f>IF($A188="NA",0,IFERROR('6'!R$95/Ciclo,0))</f>
        <v>0</v>
      </c>
      <c r="S188" s="58">
        <f>IF($A188="NA",0,IFERROR('6'!S$95/Ciclo,0))</f>
        <v>0</v>
      </c>
      <c r="T188" s="58">
        <f>IF($A188="NA",0,IFERROR('6'!T$95/Ciclo,0))</f>
        <v>0</v>
      </c>
      <c r="U188" s="58">
        <f>IF($A188="NA",0,IFERROR('6'!U$95/Ciclo,0))</f>
        <v>0</v>
      </c>
      <c r="V188" s="58">
        <f>IF($A188="NA",0,IFERROR('6'!V$95/Ciclo,0))</f>
        <v>0</v>
      </c>
      <c r="W188" s="5">
        <f>IF($A188="NA",0,IFERROR('6'!W$95/Ciclo,0))</f>
        <v>0</v>
      </c>
      <c r="X188" s="5">
        <f>IF($A188="NA",0,IFERROR('6'!X$95/Ciclo,0))</f>
        <v>0</v>
      </c>
      <c r="Y188" s="5">
        <f>IF($A188="NA",0,IFERROR('6'!Y$95/Ciclo,0))</f>
        <v>0</v>
      </c>
      <c r="Z188" s="5">
        <f>IF($A188="NA",0,IFERROR('6'!Z$95/Ciclo,0))</f>
        <v>0</v>
      </c>
      <c r="AB188" s="5">
        <f>IF($B$182="Producción",IF($B188&gt;=LI_A,$O188,0),0)</f>
        <v>0</v>
      </c>
      <c r="AC188" s="5">
        <f>IF($B$182="Producción",IF($B188&gt;=LI_B,IF($B188&lt;LS_B,$O188,0),0),0)</f>
        <v>0</v>
      </c>
      <c r="AD188" s="5">
        <f>IF($B$182="Producción",IF($B188&gt;=LI_C,IF($B188&lt;LS_C,$O188,0),0),0)</f>
        <v>0</v>
      </c>
      <c r="AE188" s="5">
        <f>IF($B$182="Producción",IF($B188&lt;LS_D,$O188,0),0)</f>
        <v>0</v>
      </c>
      <c r="AF188" s="5">
        <f t="shared" si="1429"/>
        <v>0</v>
      </c>
      <c r="AI188" s="5">
        <f>IF($C$182="Producción",IF($C188&gt;=LI_A,$P188,0),0)</f>
        <v>0</v>
      </c>
      <c r="AJ188" s="5">
        <f>IF($C$182="Producción",IF($C188&gt;=LI_B,IF($C188&lt;LS_B,$P188,0),0),0)</f>
        <v>0</v>
      </c>
      <c r="AK188" s="5">
        <f>IF($C$182="Producción",IF($C188&gt;=LI_C,IF($C188&lt;LS_C,$P188,0),0),0)</f>
        <v>0</v>
      </c>
      <c r="AL188" s="5">
        <f>IF($C$182="Producción",IF($C188&lt;LS_D,$P188,0),0)</f>
        <v>0</v>
      </c>
      <c r="AM188" s="5">
        <f>IF($C$182="Crecimiento",$P188,0)</f>
        <v>0</v>
      </c>
      <c r="AP188" s="5">
        <f>IF($D$182="Producción",IF($D188&gt;=LI_A,$Q188,0),0)</f>
        <v>0</v>
      </c>
      <c r="AQ188" s="5">
        <f>IF($D$182="Producción",IF($D188&gt;=LI_B,IF($D188&lt;LS_B,$Q188,0),0),0)</f>
        <v>0</v>
      </c>
      <c r="AR188" s="5">
        <f>IF($D$182="Producción",IF($D188&gt;=LI_C,IF($D188&lt;LS_C,$Q188,0),0),0)</f>
        <v>0</v>
      </c>
      <c r="AS188" s="5">
        <f>IF($D$182="Producción",IF($D188&lt;LS_D,$Q188,0),0)</f>
        <v>0</v>
      </c>
      <c r="AT188" s="5">
        <f>IF($D$182="Crecimiento",IF($D188&gt;0,$Q188,0),0)</f>
        <v>0</v>
      </c>
      <c r="AW188" s="5">
        <f>IF($E$182="Producción",IF($E188&gt;=LI_A,$R188,0),0)</f>
        <v>0</v>
      </c>
      <c r="AX188" s="5">
        <f>IF($E$182="Producción",IF($E188&gt;=LI_B,IF($E188&lt;LS_B,$R188,0),0),0)</f>
        <v>0</v>
      </c>
      <c r="AY188" s="5">
        <f>IF($E$182="Producción",IF($E188&gt;=LI_C,IF($E188&lt;LS_C,$R188,0),0),0)</f>
        <v>0</v>
      </c>
      <c r="AZ188" s="5">
        <f>IF($E$182="Producción",IF($E188&lt;LS_D,$R188,0),0)</f>
        <v>0</v>
      </c>
      <c r="BA188" s="5">
        <f>IF($E$182="Crecimiento",$R188,0)</f>
        <v>0</v>
      </c>
      <c r="BD188" s="5">
        <f>IF($F$182="Producción",IF($F188&gt;=LI_A,$S188,0),0)</f>
        <v>0</v>
      </c>
      <c r="BE188" s="5">
        <f>IF($F$182="Producción",IF($F188&gt;=LI_B,IF($F188&lt;LS_B,$S188,0),0),0)</f>
        <v>0</v>
      </c>
      <c r="BF188" s="5">
        <f>IF($F$182="Producción",IF($F188&gt;=LI_C,IF($F188&lt;LS_C,$S188,0),0),0)</f>
        <v>0</v>
      </c>
      <c r="BG188" s="5">
        <f>IF($F$182="Producción",IF($F188&lt;LS_D,$S188,0),0)</f>
        <v>0</v>
      </c>
      <c r="BH188" s="5">
        <f>IF($F$182="Crecimiento",$S188,0)</f>
        <v>0</v>
      </c>
      <c r="BK188" s="5">
        <f>IF($G$182="Producción",IF($G188&gt;=LI_A,$T188,0),0)</f>
        <v>0</v>
      </c>
      <c r="BL188" s="5">
        <f>IF($G$182="Producción",IF($G188&gt;=LI_B,IF($G188&lt;LS_B,$T188,0),0),0)</f>
        <v>0</v>
      </c>
      <c r="BM188" s="5">
        <f>IF($G$182="Producción",IF($G188&gt;=LI_C,IF($G188&lt;LS_C,$T188,0),0),0)</f>
        <v>0</v>
      </c>
      <c r="BN188" s="5">
        <f>IF($G$182="Producción",IF($G188&lt;LS_D,$T188,0),0)</f>
        <v>0</v>
      </c>
      <c r="BO188" s="5">
        <f>IF($G$182="Crecimiento",$T188,0)</f>
        <v>0</v>
      </c>
      <c r="BR188" s="5">
        <f>IF($H$182="Producción",IF($H188&gt;=LI_A,$U188,0),0)</f>
        <v>0</v>
      </c>
      <c r="BS188" s="5">
        <f>IF($H$182="Producción",IF($H188&gt;=LI_B,IF($H188&lt;LS_B,$U188,0),0),0)</f>
        <v>0</v>
      </c>
      <c r="BT188" s="5">
        <f>IF($H$182="Producción",IF($H188&gt;=LI_C,IF($H188&lt;LS_C,$U188,0),0),0)</f>
        <v>0</v>
      </c>
      <c r="BU188" s="5">
        <f>IF($H$182="Producción",IF($H188&lt;LS_D,$U188,0),0)</f>
        <v>0</v>
      </c>
      <c r="BV188" s="5">
        <f>IF($H$182="Crecimiento",$T188,0)</f>
        <v>0</v>
      </c>
      <c r="BY188" s="5">
        <f>IF($I$182="Producción",IF($I188&gt;=LI_A,$V188,0),0)</f>
        <v>0</v>
      </c>
      <c r="BZ188" s="5">
        <f>IF($I$182="Producción",IF($I188&gt;=LI_B,IF($I188&lt;LS_B,$V188,0),0),0)</f>
        <v>0</v>
      </c>
      <c r="CA188" s="5">
        <f>IF($I$182="Producción",IF($I188&gt;=LI_C,IF($I188&lt;LS_C,$V188,0),0),0)</f>
        <v>0</v>
      </c>
      <c r="CB188" s="5">
        <f>IF($I$182="Producción",IF($I188&lt;LS_D,$V188,0),0)</f>
        <v>0</v>
      </c>
      <c r="CC188" s="5">
        <f>IF($I$182="Crecimiento",$V188,0)</f>
        <v>0</v>
      </c>
      <c r="CF188" s="5">
        <f>IF($J$182="Producción",IF($J188&gt;=LI_A,$W188,0),0)</f>
        <v>0</v>
      </c>
      <c r="CG188" s="5">
        <f>IF($J$182="Producción",IF($J188&gt;=LI_B,IF($J188&lt;LS_B,$W188,0),0),0)</f>
        <v>0</v>
      </c>
      <c r="CH188" s="5">
        <f>IF($J$182="Producción",IF($J188&gt;=LI_C,IF($J188&lt;LS_C,$W188,0),0),0)</f>
        <v>0</v>
      </c>
      <c r="CI188" s="5">
        <f>IF($J$182="Producción",IF($J188&lt;LS_D,$W188,0),0)</f>
        <v>0</v>
      </c>
      <c r="CJ188" s="5">
        <f>IF($J$182="Crecimiento",$W188,0)</f>
        <v>0</v>
      </c>
      <c r="CM188" s="5">
        <f>IF($K$182="Producción",IF($K188&gt;=LI_A,$X188,0),0)</f>
        <v>0</v>
      </c>
      <c r="CN188" s="5">
        <f>IF($K$182="Producción",IF($K188&gt;=LI_B,IF($K188&lt;LS_B,$X188,0),0),0)</f>
        <v>0</v>
      </c>
      <c r="CO188" s="5">
        <f>IF($K$182="Producción",IF($K188&gt;=LI_C,IF($K188&lt;LS_C,$X188,0),0),0)</f>
        <v>0</v>
      </c>
      <c r="CP188" s="5">
        <f>IF($K$182="Producción",IF($K188&lt;LS_D,$X188,0),0)</f>
        <v>0</v>
      </c>
      <c r="CQ188" s="5">
        <f>IF($K$182="Crecimiento",$X188,0)</f>
        <v>0</v>
      </c>
      <c r="CT188" s="5">
        <f>IF($L$182="Producción",IF($L188&gt;=LI_A,$Y188,0),0)</f>
        <v>0</v>
      </c>
      <c r="CU188" s="5">
        <f>IF($L$182="Producción",IF($L188&gt;=LI_B,IF($L188&lt;LS_B,$Y188,0),0),0)</f>
        <v>0</v>
      </c>
      <c r="CV188" s="5">
        <f>IF($L$182="Producción",IF($L188&gt;=LI_C,IF($L188&lt;LS_C,$Y188,0),0),0)</f>
        <v>0</v>
      </c>
      <c r="CW188" s="5">
        <f>IF($L$182="Producción",IF($L188&lt;LS_D,$Y188,0),0)</f>
        <v>0</v>
      </c>
      <c r="CX188" s="5">
        <f>IF($L$182="Crecimiento",$Y188,0)</f>
        <v>0</v>
      </c>
      <c r="DA188" s="5">
        <f>IF($M$182="Producción",IF($M188&gt;=LI_A,$Z188,0),0)</f>
        <v>0</v>
      </c>
      <c r="DB188" s="5">
        <f>IF($M$182="Producción",IF($M188&gt;=LI_B,IF($M188&lt;LS_B,$Z188,0),0),0)</f>
        <v>0</v>
      </c>
      <c r="DC188" s="5">
        <f>IF($M$182="Producción",IF($M188&gt;=LI_C,IF($M188&lt;LS_C,$Z188,0),0),0)</f>
        <v>0</v>
      </c>
      <c r="DD188" s="5">
        <f>IF($M$182="Producción",IF($M188&lt;LS_D,$Z188,0),0)</f>
        <v>0</v>
      </c>
      <c r="DE188" s="5">
        <f>IF($M$182="Crecimiento",$Z188,0)</f>
        <v>0</v>
      </c>
      <c r="DI188" s="5">
        <f t="shared" si="1369"/>
        <v>0</v>
      </c>
      <c r="DJ188" s="5">
        <f t="shared" si="1370"/>
        <v>0</v>
      </c>
      <c r="DK188" s="5">
        <f t="shared" si="1371"/>
        <v>0</v>
      </c>
      <c r="DL188" s="5">
        <f t="shared" si="1372"/>
        <v>0</v>
      </c>
      <c r="DM188" s="5">
        <f t="shared" si="1373"/>
        <v>0</v>
      </c>
      <c r="DN188" s="5">
        <f t="shared" si="1374"/>
        <v>0</v>
      </c>
      <c r="DO188" s="5">
        <f t="shared" si="1375"/>
        <v>0</v>
      </c>
      <c r="DP188" s="5">
        <f t="shared" si="1376"/>
        <v>0</v>
      </c>
      <c r="DQ188" s="5">
        <f t="shared" si="1377"/>
        <v>0</v>
      </c>
      <c r="DR188" s="5">
        <f t="shared" si="1378"/>
        <v>0</v>
      </c>
      <c r="DS188" s="5">
        <f t="shared" si="1379"/>
        <v>0</v>
      </c>
      <c r="DT188" s="5">
        <f t="shared" si="1380"/>
        <v>0</v>
      </c>
      <c r="DU188" s="5">
        <f t="shared" si="1381"/>
        <v>0</v>
      </c>
      <c r="DV188" s="5">
        <f t="shared" si="1382"/>
        <v>0</v>
      </c>
      <c r="DW188" s="5">
        <f t="shared" si="1383"/>
        <v>0</v>
      </c>
      <c r="DX188" s="5">
        <f t="shared" si="1384"/>
        <v>0</v>
      </c>
      <c r="DY188" s="5">
        <f t="shared" si="1385"/>
        <v>0</v>
      </c>
      <c r="DZ188" s="5">
        <f t="shared" si="1386"/>
        <v>0</v>
      </c>
      <c r="EA188" s="5">
        <f t="shared" si="1387"/>
        <v>0</v>
      </c>
      <c r="EB188" s="5">
        <f t="shared" si="1388"/>
        <v>0</v>
      </c>
      <c r="EC188" s="5">
        <f t="shared" si="1389"/>
        <v>0</v>
      </c>
      <c r="ED188" s="5">
        <f t="shared" si="1390"/>
        <v>0</v>
      </c>
      <c r="EE188" s="5">
        <f t="shared" si="1391"/>
        <v>0</v>
      </c>
      <c r="EF188" s="5">
        <f t="shared" si="1392"/>
        <v>0</v>
      </c>
      <c r="EG188" s="5">
        <f t="shared" si="1393"/>
        <v>0</v>
      </c>
      <c r="EH188" s="5">
        <f t="shared" si="1394"/>
        <v>0</v>
      </c>
      <c r="EI188" s="5">
        <f t="shared" si="1395"/>
        <v>0</v>
      </c>
      <c r="EJ188" s="5">
        <f t="shared" si="1396"/>
        <v>0</v>
      </c>
      <c r="EK188" s="5">
        <f t="shared" si="1397"/>
        <v>0</v>
      </c>
      <c r="EL188" s="5">
        <f t="shared" si="1398"/>
        <v>0</v>
      </c>
      <c r="EM188" s="5">
        <f t="shared" si="1399"/>
        <v>0</v>
      </c>
      <c r="EN188" s="5">
        <f t="shared" si="1400"/>
        <v>0</v>
      </c>
      <c r="EO188" s="5">
        <f t="shared" si="1401"/>
        <v>0</v>
      </c>
      <c r="EP188" s="5">
        <f t="shared" si="1402"/>
        <v>0</v>
      </c>
      <c r="EQ188" s="5">
        <f t="shared" si="1403"/>
        <v>0</v>
      </c>
      <c r="ER188" s="5">
        <f t="shared" si="1404"/>
        <v>0</v>
      </c>
      <c r="ES188" s="5">
        <f t="shared" si="1405"/>
        <v>0</v>
      </c>
      <c r="ET188" s="5">
        <f t="shared" si="1406"/>
        <v>0</v>
      </c>
      <c r="EU188" s="5">
        <f t="shared" si="1407"/>
        <v>0</v>
      </c>
      <c r="EV188" s="5">
        <f t="shared" si="1408"/>
        <v>0</v>
      </c>
      <c r="EW188" s="5">
        <f t="shared" si="1409"/>
        <v>0</v>
      </c>
      <c r="EX188" s="5">
        <f t="shared" si="1410"/>
        <v>0</v>
      </c>
      <c r="EY188" s="5">
        <f t="shared" si="1411"/>
        <v>0</v>
      </c>
      <c r="EZ188" s="5">
        <f t="shared" si="1412"/>
        <v>0</v>
      </c>
      <c r="FA188" s="5">
        <f t="shared" si="1413"/>
        <v>0</v>
      </c>
      <c r="FB188" s="5">
        <f t="shared" si="1414"/>
        <v>0</v>
      </c>
      <c r="FC188" s="5">
        <f t="shared" si="1415"/>
        <v>0</v>
      </c>
      <c r="FD188" s="5">
        <f t="shared" si="1416"/>
        <v>0</v>
      </c>
      <c r="FE188" s="5">
        <f t="shared" si="1417"/>
        <v>0</v>
      </c>
      <c r="FF188" s="5">
        <f t="shared" si="1418"/>
        <v>0</v>
      </c>
      <c r="FG188" s="5">
        <f t="shared" si="1419"/>
        <v>0</v>
      </c>
      <c r="FH188" s="5">
        <f t="shared" si="1420"/>
        <v>0</v>
      </c>
      <c r="FI188" s="5">
        <f t="shared" si="1421"/>
        <v>0</v>
      </c>
      <c r="FJ188" s="5">
        <f t="shared" si="1422"/>
        <v>0</v>
      </c>
      <c r="FK188" s="5">
        <f t="shared" si="1423"/>
        <v>0</v>
      </c>
      <c r="FL188" s="5">
        <f t="shared" si="1424"/>
        <v>0</v>
      </c>
      <c r="FM188" s="5">
        <f t="shared" si="1425"/>
        <v>0</v>
      </c>
      <c r="FN188" s="5">
        <f t="shared" si="1426"/>
        <v>0</v>
      </c>
      <c r="FO188" s="5">
        <f t="shared" si="1427"/>
        <v>0</v>
      </c>
      <c r="FP188" s="5">
        <f t="shared" si="1428"/>
        <v>0</v>
      </c>
    </row>
    <row r="189" spans="1:172" ht="20.100000000000001" customHeight="1" x14ac:dyDescent="0.3">
      <c r="A189" s="9" t="str">
        <f>IF(Ciclo=5,"Surco 5","NA")</f>
        <v>NA</v>
      </c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O189" s="58">
        <f>IF($A189="NA",0,IFERROR('6'!O$95/Ciclo,0))</f>
        <v>0</v>
      </c>
      <c r="P189" s="58">
        <f>IF($A189="NA",0,IFERROR('6'!P$95/Ciclo,0))</f>
        <v>0</v>
      </c>
      <c r="Q189" s="58">
        <f>IF($A189="NA",0,IFERROR('6'!Q$95/Ciclo,0))</f>
        <v>0</v>
      </c>
      <c r="R189" s="58">
        <f>IF($A189="NA",0,IFERROR('6'!R$95/Ciclo,0))</f>
        <v>0</v>
      </c>
      <c r="S189" s="58">
        <f>IF($A189="NA",0,IFERROR('6'!S$95/Ciclo,0))</f>
        <v>0</v>
      </c>
      <c r="T189" s="58">
        <f>IF($A189="NA",0,IFERROR('6'!T$95/Ciclo,0))</f>
        <v>0</v>
      </c>
      <c r="U189" s="58">
        <f>IF($A189="NA",0,IFERROR('6'!U$95/Ciclo,0))</f>
        <v>0</v>
      </c>
      <c r="V189" s="58">
        <f>IF($A189="NA",0,IFERROR('6'!V$95/Ciclo,0))</f>
        <v>0</v>
      </c>
      <c r="W189" s="5">
        <f>IF($A189="NA",0,IFERROR('6'!W$95/Ciclo,0))</f>
        <v>0</v>
      </c>
      <c r="X189" s="5">
        <f>IF($A189="NA",0,IFERROR('6'!X$95/Ciclo,0))</f>
        <v>0</v>
      </c>
      <c r="Y189" s="5">
        <f>IF($A189="NA",0,IFERROR('6'!Y$95/Ciclo,0))</f>
        <v>0</v>
      </c>
      <c r="Z189" s="5">
        <f>IF($A189="NA",0,IFERROR('6'!Z$95/Ciclo,0))</f>
        <v>0</v>
      </c>
      <c r="AB189" s="5">
        <f>IF($B$182="Producción",IF($B189&gt;=LI_A,$O189,0),0)</f>
        <v>0</v>
      </c>
      <c r="AC189" s="5">
        <f>IF($B$182="Producción",IF($B189&gt;=LI_B,IF($B189&lt;LS_B,$O189,0),0),0)</f>
        <v>0</v>
      </c>
      <c r="AD189" s="5">
        <f>IF($B$182="Producción",IF($B189&gt;=LI_C,IF($B189&lt;LS_C,$O189,0),0),0)</f>
        <v>0</v>
      </c>
      <c r="AE189" s="5">
        <f>IF($B$182="Producción",IF($B189&lt;LS_D,$O189,0),0)</f>
        <v>0</v>
      </c>
      <c r="AF189" s="5">
        <f t="shared" si="1429"/>
        <v>0</v>
      </c>
      <c r="AI189" s="5">
        <f>IF($C$182="Producción",IF($C189&gt;=LI_A,$P189,0),0)</f>
        <v>0</v>
      </c>
      <c r="AJ189" s="5">
        <f>IF($C$182="Producción",IF($C189&gt;=LI_B,IF($C189&lt;LS_B,$P189,0),0),0)</f>
        <v>0</v>
      </c>
      <c r="AK189" s="5">
        <f>IF($C$182="Producción",IF($C189&gt;=LI_C,IF($C189&lt;LS_C,$P189,0),0),0)</f>
        <v>0</v>
      </c>
      <c r="AL189" s="5">
        <f>IF($C$182="Producción",IF($C189&lt;LS_D,$P189,0),0)</f>
        <v>0</v>
      </c>
      <c r="AM189" s="5">
        <f>IF($C$182="Crecimiento",$P189,0)</f>
        <v>0</v>
      </c>
      <c r="AP189" s="5">
        <f>IF($D$182="Producción",IF($D189&gt;=LI_A,$Q189,0),0)</f>
        <v>0</v>
      </c>
      <c r="AQ189" s="5">
        <f>IF($D$182="Producción",IF($D189&gt;=LI_B,IF($D189&lt;LS_B,$Q189,0),0),0)</f>
        <v>0</v>
      </c>
      <c r="AR189" s="5">
        <f>IF($D$182="Producción",IF($D189&gt;=LI_C,IF($D189&lt;LS_C,$Q189,0),0),0)</f>
        <v>0</v>
      </c>
      <c r="AS189" s="5">
        <f>IF($D$182="Producción",IF($D189&lt;LS_D,$Q189,0),0)</f>
        <v>0</v>
      </c>
      <c r="AT189" s="5">
        <f>IF($D$182="Crecimiento",IF($D189&gt;0,$Q189,0),0)</f>
        <v>0</v>
      </c>
      <c r="AW189" s="5">
        <f>IF($E$182="Producción",IF($E189&gt;=LI_A,$R189,0),0)</f>
        <v>0</v>
      </c>
      <c r="AX189" s="5">
        <f>IF($E$182="Producción",IF($E189&gt;=LI_B,IF($E189&lt;LS_B,$R189,0),0),0)</f>
        <v>0</v>
      </c>
      <c r="AY189" s="5">
        <f>IF($E$182="Producción",IF($E189&gt;=LI_C,IF($E189&lt;LS_C,$R189,0),0),0)</f>
        <v>0</v>
      </c>
      <c r="AZ189" s="5">
        <f>IF($E$182="Producción",IF($E189&lt;LS_D,$R189,0),0)</f>
        <v>0</v>
      </c>
      <c r="BA189" s="5">
        <f>IF($E$182="Crecimiento",$R189,0)</f>
        <v>0</v>
      </c>
      <c r="BD189" s="5">
        <f>IF($F$182="Producción",IF($F189&gt;=LI_A,$S189,0),0)</f>
        <v>0</v>
      </c>
      <c r="BE189" s="5">
        <f>IF($F$182="Producción",IF($F189&gt;=LI_B,IF($F189&lt;LS_B,$S189,0),0),0)</f>
        <v>0</v>
      </c>
      <c r="BF189" s="5">
        <f>IF($F$182="Producción",IF($F189&gt;=LI_C,IF($F189&lt;LS_C,$S189,0),0),0)</f>
        <v>0</v>
      </c>
      <c r="BG189" s="5">
        <f>IF($F$182="Producción",IF($F189&lt;LS_D,$S189,0),0)</f>
        <v>0</v>
      </c>
      <c r="BH189" s="5">
        <f>IF($F$182="Crecimiento",$S189,0)</f>
        <v>0</v>
      </c>
      <c r="BK189" s="5">
        <f>IF($G$182="Producción",IF($G189&gt;=LI_A,$T189,0),0)</f>
        <v>0</v>
      </c>
      <c r="BL189" s="5">
        <f>IF($G$182="Producción",IF($G189&gt;=LI_B,IF($G189&lt;LS_B,$T189,0),0),0)</f>
        <v>0</v>
      </c>
      <c r="BM189" s="5">
        <f>IF($G$182="Producción",IF($G189&gt;=LI_C,IF($G189&lt;LS_C,$T189,0),0),0)</f>
        <v>0</v>
      </c>
      <c r="BN189" s="5">
        <f>IF($G$182="Producción",IF($G189&lt;LS_D,$T189,0),0)</f>
        <v>0</v>
      </c>
      <c r="BO189" s="5">
        <f>IF($G$182="Crecimiento",$T189,0)</f>
        <v>0</v>
      </c>
      <c r="BR189" s="5">
        <f>IF($H$182="Producción",IF($H189&gt;=LI_A,$U189,0),0)</f>
        <v>0</v>
      </c>
      <c r="BS189" s="5">
        <f>IF($H$182="Producción",IF($H189&gt;=LI_B,IF($H189&lt;LS_B,$U189,0),0),0)</f>
        <v>0</v>
      </c>
      <c r="BT189" s="5">
        <f>IF($H$182="Producción",IF($H189&gt;=LI_C,IF($H189&lt;LS_C,$U189,0),0),0)</f>
        <v>0</v>
      </c>
      <c r="BU189" s="5">
        <f>IF($H$182="Producción",IF($H189&lt;LS_D,$U189,0),0)</f>
        <v>0</v>
      </c>
      <c r="BV189" s="5">
        <f>IF($H$182="Crecimiento",$T189,0)</f>
        <v>0</v>
      </c>
      <c r="BY189" s="5">
        <f>IF($I$182="Producción",IF($I189&gt;=LI_A,$V189,0),0)</f>
        <v>0</v>
      </c>
      <c r="BZ189" s="5">
        <f>IF($I$182="Producción",IF($I189&gt;=LI_B,IF($I189&lt;LS_B,$V189,0),0),0)</f>
        <v>0</v>
      </c>
      <c r="CA189" s="5">
        <f>IF($I$182="Producción",IF($I189&gt;=LI_C,IF($I189&lt;LS_C,$V189,0),0),0)</f>
        <v>0</v>
      </c>
      <c r="CB189" s="5">
        <f>IF($I$182="Producción",IF($I189&lt;LS_D,$V189,0),0)</f>
        <v>0</v>
      </c>
      <c r="CC189" s="5">
        <f>IF($I$182="Crecimiento",$V189,0)</f>
        <v>0</v>
      </c>
      <c r="CF189" s="5">
        <f>IF($J$182="Producción",IF($J189&gt;=LI_A,$W189,0),0)</f>
        <v>0</v>
      </c>
      <c r="CG189" s="5">
        <f>IF($J$182="Producción",IF($J189&gt;=LI_B,IF($J189&lt;LS_B,$W189,0),0),0)</f>
        <v>0</v>
      </c>
      <c r="CH189" s="5">
        <f>IF($J$182="Producción",IF($J189&gt;=LI_C,IF($J189&lt;LS_C,$W189,0),0),0)</f>
        <v>0</v>
      </c>
      <c r="CI189" s="5">
        <f>IF($J$182="Producción",IF($J189&lt;LS_D,$W189,0),0)</f>
        <v>0</v>
      </c>
      <c r="CJ189" s="5">
        <f>IF($J$182="Crecimiento",$W189,0)</f>
        <v>0</v>
      </c>
      <c r="CM189" s="5">
        <f>IF($K$182="Producción",IF($K189&gt;=LI_A,$X189,0),0)</f>
        <v>0</v>
      </c>
      <c r="CN189" s="5">
        <f>IF($K$182="Producción",IF($K189&gt;=LI_B,IF($K189&lt;LS_B,$X189,0),0),0)</f>
        <v>0</v>
      </c>
      <c r="CO189" s="5">
        <f>IF($K$182="Producción",IF($K189&gt;=LI_C,IF($K189&lt;LS_C,$X189,0),0),0)</f>
        <v>0</v>
      </c>
      <c r="CP189" s="5">
        <f>IF($K$182="Producción",IF($K189&lt;LS_D,$X189,0),0)</f>
        <v>0</v>
      </c>
      <c r="CQ189" s="5">
        <f>IF($K$182="Crecimiento",$X189,0)</f>
        <v>0</v>
      </c>
      <c r="CT189" s="5">
        <f>IF($L$182="Producción",IF($L189&gt;=LI_A,$Y189,0),0)</f>
        <v>0</v>
      </c>
      <c r="CU189" s="5">
        <f>IF($L$182="Producción",IF($L189&gt;=LI_B,IF($L189&lt;LS_B,$Y189,0),0),0)</f>
        <v>0</v>
      </c>
      <c r="CV189" s="5">
        <f>IF($L$182="Producción",IF($L189&gt;=LI_C,IF($L189&lt;LS_C,$Y189,0),0),0)</f>
        <v>0</v>
      </c>
      <c r="CW189" s="5">
        <f>IF($L$182="Producción",IF($L189&lt;LS_D,$Y189,0),0)</f>
        <v>0</v>
      </c>
      <c r="CX189" s="5">
        <f>IF($L$182="Crecimiento",$Y189,0)</f>
        <v>0</v>
      </c>
      <c r="DA189" s="5">
        <f>IF($M$182="Producción",IF($M189&gt;=LI_A,$Z189,0),0)</f>
        <v>0</v>
      </c>
      <c r="DB189" s="5">
        <f>IF($M$182="Producción",IF($M189&gt;=LI_B,IF($M189&lt;LS_B,$Z189,0),0),0)</f>
        <v>0</v>
      </c>
      <c r="DC189" s="5">
        <f>IF($M$182="Producción",IF($M189&gt;=LI_C,IF($M189&lt;LS_C,$Z189,0),0),0)</f>
        <v>0</v>
      </c>
      <c r="DD189" s="5">
        <f>IF($M$182="Producción",IF($M189&lt;LS_D,$Z189,0),0)</f>
        <v>0</v>
      </c>
      <c r="DE189" s="5">
        <f>IF($M$182="Crecimiento",$Z189,0)</f>
        <v>0</v>
      </c>
      <c r="DI189" s="5">
        <f t="shared" si="1369"/>
        <v>0</v>
      </c>
      <c r="DJ189" s="5">
        <f t="shared" si="1370"/>
        <v>0</v>
      </c>
      <c r="DK189" s="5">
        <f t="shared" si="1371"/>
        <v>0</v>
      </c>
      <c r="DL189" s="5">
        <f t="shared" si="1372"/>
        <v>0</v>
      </c>
      <c r="DM189" s="5">
        <f t="shared" si="1373"/>
        <v>0</v>
      </c>
      <c r="DN189" s="5">
        <f t="shared" si="1374"/>
        <v>0</v>
      </c>
      <c r="DO189" s="5">
        <f t="shared" si="1375"/>
        <v>0</v>
      </c>
      <c r="DP189" s="5">
        <f t="shared" si="1376"/>
        <v>0</v>
      </c>
      <c r="DQ189" s="5">
        <f t="shared" si="1377"/>
        <v>0</v>
      </c>
      <c r="DR189" s="5">
        <f t="shared" si="1378"/>
        <v>0</v>
      </c>
      <c r="DS189" s="5">
        <f t="shared" si="1379"/>
        <v>0</v>
      </c>
      <c r="DT189" s="5">
        <f t="shared" si="1380"/>
        <v>0</v>
      </c>
      <c r="DU189" s="5">
        <f t="shared" si="1381"/>
        <v>0</v>
      </c>
      <c r="DV189" s="5">
        <f t="shared" si="1382"/>
        <v>0</v>
      </c>
      <c r="DW189" s="5">
        <f t="shared" si="1383"/>
        <v>0</v>
      </c>
      <c r="DX189" s="5">
        <f t="shared" si="1384"/>
        <v>0</v>
      </c>
      <c r="DY189" s="5">
        <f t="shared" si="1385"/>
        <v>0</v>
      </c>
      <c r="DZ189" s="5">
        <f t="shared" si="1386"/>
        <v>0</v>
      </c>
      <c r="EA189" s="5">
        <f t="shared" si="1387"/>
        <v>0</v>
      </c>
      <c r="EB189" s="5">
        <f t="shared" si="1388"/>
        <v>0</v>
      </c>
      <c r="EC189" s="5">
        <f t="shared" si="1389"/>
        <v>0</v>
      </c>
      <c r="ED189" s="5">
        <f t="shared" si="1390"/>
        <v>0</v>
      </c>
      <c r="EE189" s="5">
        <f t="shared" si="1391"/>
        <v>0</v>
      </c>
      <c r="EF189" s="5">
        <f t="shared" si="1392"/>
        <v>0</v>
      </c>
      <c r="EG189" s="5">
        <f t="shared" si="1393"/>
        <v>0</v>
      </c>
      <c r="EH189" s="5">
        <f t="shared" si="1394"/>
        <v>0</v>
      </c>
      <c r="EI189" s="5">
        <f t="shared" si="1395"/>
        <v>0</v>
      </c>
      <c r="EJ189" s="5">
        <f t="shared" si="1396"/>
        <v>0</v>
      </c>
      <c r="EK189" s="5">
        <f t="shared" si="1397"/>
        <v>0</v>
      </c>
      <c r="EL189" s="5">
        <f t="shared" si="1398"/>
        <v>0</v>
      </c>
      <c r="EM189" s="5">
        <f t="shared" si="1399"/>
        <v>0</v>
      </c>
      <c r="EN189" s="5">
        <f t="shared" si="1400"/>
        <v>0</v>
      </c>
      <c r="EO189" s="5">
        <f t="shared" si="1401"/>
        <v>0</v>
      </c>
      <c r="EP189" s="5">
        <f t="shared" si="1402"/>
        <v>0</v>
      </c>
      <c r="EQ189" s="5">
        <f t="shared" si="1403"/>
        <v>0</v>
      </c>
      <c r="ER189" s="5">
        <f t="shared" si="1404"/>
        <v>0</v>
      </c>
      <c r="ES189" s="5">
        <f t="shared" si="1405"/>
        <v>0</v>
      </c>
      <c r="ET189" s="5">
        <f t="shared" si="1406"/>
        <v>0</v>
      </c>
      <c r="EU189" s="5">
        <f t="shared" si="1407"/>
        <v>0</v>
      </c>
      <c r="EV189" s="5">
        <f t="shared" si="1408"/>
        <v>0</v>
      </c>
      <c r="EW189" s="5">
        <f t="shared" si="1409"/>
        <v>0</v>
      </c>
      <c r="EX189" s="5">
        <f t="shared" si="1410"/>
        <v>0</v>
      </c>
      <c r="EY189" s="5">
        <f t="shared" si="1411"/>
        <v>0</v>
      </c>
      <c r="EZ189" s="5">
        <f t="shared" si="1412"/>
        <v>0</v>
      </c>
      <c r="FA189" s="5">
        <f t="shared" si="1413"/>
        <v>0</v>
      </c>
      <c r="FB189" s="5">
        <f t="shared" si="1414"/>
        <v>0</v>
      </c>
      <c r="FC189" s="5">
        <f t="shared" si="1415"/>
        <v>0</v>
      </c>
      <c r="FD189" s="5">
        <f t="shared" si="1416"/>
        <v>0</v>
      </c>
      <c r="FE189" s="5">
        <f t="shared" si="1417"/>
        <v>0</v>
      </c>
      <c r="FF189" s="5">
        <f t="shared" si="1418"/>
        <v>0</v>
      </c>
      <c r="FG189" s="5">
        <f t="shared" si="1419"/>
        <v>0</v>
      </c>
      <c r="FH189" s="5">
        <f t="shared" si="1420"/>
        <v>0</v>
      </c>
      <c r="FI189" s="5">
        <f t="shared" si="1421"/>
        <v>0</v>
      </c>
      <c r="FJ189" s="5">
        <f t="shared" si="1422"/>
        <v>0</v>
      </c>
      <c r="FK189" s="5">
        <f t="shared" si="1423"/>
        <v>0</v>
      </c>
      <c r="FL189" s="5">
        <f t="shared" si="1424"/>
        <v>0</v>
      </c>
      <c r="FM189" s="5">
        <f t="shared" si="1425"/>
        <v>0</v>
      </c>
      <c r="FN189" s="5">
        <f t="shared" si="1426"/>
        <v>0</v>
      </c>
      <c r="FO189" s="5">
        <f t="shared" si="1427"/>
        <v>0</v>
      </c>
      <c r="FP189" s="5">
        <f t="shared" si="1428"/>
        <v>0</v>
      </c>
    </row>
    <row r="190" spans="1:172" ht="20.100000000000001" customHeight="1" x14ac:dyDescent="0.3">
      <c r="A190" s="172">
        <f>N_L24</f>
        <v>0</v>
      </c>
      <c r="B190" s="363" t="s">
        <v>37</v>
      </c>
      <c r="C190" s="363" t="s">
        <v>37</v>
      </c>
      <c r="D190" s="363" t="s">
        <v>37</v>
      </c>
      <c r="E190" s="363" t="s">
        <v>37</v>
      </c>
      <c r="F190" s="363" t="s">
        <v>37</v>
      </c>
      <c r="G190" s="363" t="s">
        <v>37</v>
      </c>
      <c r="H190" s="363" t="s">
        <v>37</v>
      </c>
      <c r="I190" s="363" t="s">
        <v>37</v>
      </c>
      <c r="J190" s="363" t="s">
        <v>37</v>
      </c>
      <c r="K190" s="363" t="s">
        <v>37</v>
      </c>
      <c r="L190" s="363" t="s">
        <v>37</v>
      </c>
      <c r="M190" s="363" t="s">
        <v>37</v>
      </c>
    </row>
    <row r="191" spans="1:172" ht="20.100000000000001" customHeight="1" x14ac:dyDescent="0.3">
      <c r="A191" s="175" t="s">
        <v>238</v>
      </c>
      <c r="B191" s="174">
        <f>SUM(DI193:DM197)/100</f>
        <v>0</v>
      </c>
      <c r="C191" s="174">
        <f>SUM(DN193:DR197)/100</f>
        <v>0</v>
      </c>
      <c r="D191" s="174">
        <f>SUM(DS193:DW197)/100</f>
        <v>0</v>
      </c>
      <c r="E191" s="174">
        <f>SUM(DX193:EB197)/100</f>
        <v>0</v>
      </c>
      <c r="F191" s="174">
        <f>SUM(EC193:EG197)/100</f>
        <v>0</v>
      </c>
      <c r="G191" s="174">
        <f>SUM(EH193:EL197)/100</f>
        <v>0</v>
      </c>
      <c r="H191" s="174">
        <f>SUM(EM193:EQ197)/100</f>
        <v>0</v>
      </c>
      <c r="I191" s="174">
        <f>SUM(ER193:EV197)/100</f>
        <v>0</v>
      </c>
      <c r="J191" s="174">
        <f>SUM(EW193:FA197)/100</f>
        <v>0</v>
      </c>
      <c r="K191" s="174">
        <f>SUM(FB193:FF197)/100</f>
        <v>0</v>
      </c>
      <c r="L191" s="174">
        <f>SUM(FG193:FK197)/100</f>
        <v>0</v>
      </c>
      <c r="M191" s="174">
        <f>SUM(FL193:FP197)/100</f>
        <v>0</v>
      </c>
    </row>
    <row r="192" spans="1:172" ht="20.100000000000001" customHeight="1" x14ac:dyDescent="0.3">
      <c r="A192" s="151" t="s">
        <v>239</v>
      </c>
      <c r="B192" s="152" t="e">
        <f t="shared" ref="B192:M192" si="1430">B191/Lote_24</f>
        <v>#DIV/0!</v>
      </c>
      <c r="C192" s="152" t="e">
        <f t="shared" si="1430"/>
        <v>#DIV/0!</v>
      </c>
      <c r="D192" s="152" t="e">
        <f t="shared" si="1430"/>
        <v>#DIV/0!</v>
      </c>
      <c r="E192" s="152" t="e">
        <f t="shared" si="1430"/>
        <v>#DIV/0!</v>
      </c>
      <c r="F192" s="152" t="e">
        <f t="shared" si="1430"/>
        <v>#DIV/0!</v>
      </c>
      <c r="G192" s="152" t="e">
        <f t="shared" si="1430"/>
        <v>#DIV/0!</v>
      </c>
      <c r="H192" s="152" t="e">
        <f t="shared" si="1430"/>
        <v>#DIV/0!</v>
      </c>
      <c r="I192" s="152" t="e">
        <f t="shared" si="1430"/>
        <v>#DIV/0!</v>
      </c>
      <c r="J192" s="152" t="e">
        <f t="shared" si="1430"/>
        <v>#DIV/0!</v>
      </c>
      <c r="K192" s="152" t="e">
        <f t="shared" si="1430"/>
        <v>#DIV/0!</v>
      </c>
      <c r="L192" s="152" t="e">
        <f t="shared" si="1430"/>
        <v>#DIV/0!</v>
      </c>
      <c r="M192" s="152" t="e">
        <f t="shared" si="1430"/>
        <v>#DIV/0!</v>
      </c>
    </row>
    <row r="193" spans="1:172" ht="20.100000000000001" customHeight="1" x14ac:dyDescent="0.3">
      <c r="A193" s="8" t="s">
        <v>302</v>
      </c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O193" s="58">
        <f>IFERROR('6'!O$99/Ciclo,0)</f>
        <v>0</v>
      </c>
      <c r="P193" s="58">
        <f>IFERROR('6'!P$99/Ciclo,0)</f>
        <v>0</v>
      </c>
      <c r="Q193" s="58">
        <f>IFERROR('6'!Q$99/Ciclo,0)</f>
        <v>0</v>
      </c>
      <c r="R193" s="58">
        <f>IFERROR('6'!R$99/Ciclo,0)</f>
        <v>0</v>
      </c>
      <c r="S193" s="58">
        <f>IFERROR('6'!S$99/Ciclo,0)</f>
        <v>0</v>
      </c>
      <c r="T193" s="58">
        <f>IFERROR('6'!T$99/Ciclo,0)</f>
        <v>0</v>
      </c>
      <c r="U193" s="58">
        <f>IFERROR('6'!U$99/Ciclo,0)</f>
        <v>0</v>
      </c>
      <c r="V193" s="58">
        <f>IFERROR('6'!V$99/Ciclo,0)</f>
        <v>0</v>
      </c>
      <c r="W193" s="5">
        <f>IFERROR('6'!W$99/Ciclo,0)</f>
        <v>0</v>
      </c>
      <c r="X193" s="5">
        <f>IFERROR('6'!X$99/Ciclo,0)</f>
        <v>0</v>
      </c>
      <c r="Y193" s="5">
        <f>IFERROR('6'!Y$99/Ciclo,0)</f>
        <v>0</v>
      </c>
      <c r="Z193" s="5">
        <f>IFERROR('6'!Z$99/Ciclo,0)</f>
        <v>0</v>
      </c>
      <c r="AB193" s="5">
        <f>IF($B$190="Producción",IF($B193&gt;=LI_A,$O193,0),0)</f>
        <v>0</v>
      </c>
      <c r="AC193" s="5">
        <f>IF($B$190="Producción",IF($B193&gt;=LI_B,IF($B193&lt;LS_B,$O193,0),0),0)</f>
        <v>0</v>
      </c>
      <c r="AD193" s="5">
        <f>IF($B$190="Producción",IF($B193&gt;=LI_C,IF($B193&lt;LS_C,$O193,0),0),0)</f>
        <v>0</v>
      </c>
      <c r="AE193" s="5">
        <f>IF($B$190="Producción",IF($B193&lt;LS_D,$O193,0),0)</f>
        <v>0</v>
      </c>
      <c r="AF193" s="5">
        <f>IF($B$190="Crecimiento",$O193,0)</f>
        <v>0</v>
      </c>
      <c r="AG193" s="5">
        <f>IF($B190="Siembra",'6'!$O$7,0)</f>
        <v>0</v>
      </c>
      <c r="AH193" s="5">
        <f>IF($B190="Abandono",'6'!$O$7,0)</f>
        <v>0</v>
      </c>
      <c r="AI193" s="5">
        <f>IF($C$190="Producción",IF($C193&gt;=LI_A,$P193,0),0)</f>
        <v>0</v>
      </c>
      <c r="AJ193" s="5">
        <f>IF($C$190="Producción",IF($C193&gt;=LI_B,IF($C193&lt;LS_B,$P193,0),0),0)</f>
        <v>0</v>
      </c>
      <c r="AK193" s="5">
        <f>IF($C$190="Producción",IF($C193&gt;=LI_C,IF($C193&lt;LS_C,$P193,0),0),0)</f>
        <v>0</v>
      </c>
      <c r="AL193" s="5">
        <f>IF($C$190="Producción",IF($C193&lt;LS_D,$P193,0),0)</f>
        <v>0</v>
      </c>
      <c r="AM193" s="5">
        <f>IF($C$190="Crecimiento",$P193,0)</f>
        <v>0</v>
      </c>
      <c r="AN193" s="5">
        <f>IF($C190="Siembra",'6'!$P$7,0)</f>
        <v>0</v>
      </c>
      <c r="AO193" s="5">
        <f>IF($C190="Abandono",'6'!$P$7,0)</f>
        <v>0</v>
      </c>
      <c r="AP193" s="5">
        <f>IF($D$190="Producción",IF($D193&gt;=LI_A,$Q193,0),0)</f>
        <v>0</v>
      </c>
      <c r="AQ193" s="5">
        <f>IF($D$190="Producción",IF($D193&gt;=LI_B,IF($D193&lt;LS_B,$Q193,0),0),0)</f>
        <v>0</v>
      </c>
      <c r="AR193" s="5">
        <f>IF($D$190="Producción",IF($D193&gt;=LI_C,IF($D193&lt;LS_C,$Q193,0),0),0)</f>
        <v>0</v>
      </c>
      <c r="AS193" s="5">
        <f>IF($D$190="Producción",IF($D193&lt;LS_D,$Q193,0),0)</f>
        <v>0</v>
      </c>
      <c r="AT193" s="5">
        <f>IF($D$190="Crecimiento",IF($D193&gt;0,$Q193,0),0)</f>
        <v>0</v>
      </c>
      <c r="AU193" s="5">
        <f>IF($D190="Siembra",'6'!$Q$7,0)</f>
        <v>0</v>
      </c>
      <c r="AV193" s="5">
        <f>IF($D190="Abandono",'6'!$Q$7,0)</f>
        <v>0</v>
      </c>
      <c r="AW193" s="5">
        <f>IF($E$190="Producción",IF($E193&gt;=LI_A,$R193,0),0)</f>
        <v>0</v>
      </c>
      <c r="AX193" s="5">
        <f>IF($E$190="Producción",IF($E193&gt;=LI_B,IF($E193&lt;LS_B,$R193,0),0),0)</f>
        <v>0</v>
      </c>
      <c r="AY193" s="5">
        <f>IF($E$190="Producción",IF($E193&gt;=LI_C,IF($E193&lt;LS_C,$R193,0),0),0)</f>
        <v>0</v>
      </c>
      <c r="AZ193" s="5">
        <f>IF($E$190="Producción",IF($E193&lt;LS_D,$R193,0),0)</f>
        <v>0</v>
      </c>
      <c r="BA193" s="5">
        <f>IF($E$190="Crecimiento",$R193,0)</f>
        <v>0</v>
      </c>
      <c r="BB193" s="5">
        <f>IF($E190="Siembra",'6'!$R$7,0)</f>
        <v>0</v>
      </c>
      <c r="BC193" s="5">
        <f>IF($E190="Abandono",'6'!$R$7,0)</f>
        <v>0</v>
      </c>
      <c r="BD193" s="5">
        <f>IF($F$190="Producción",IF($F193&gt;=LI_A,$S193,0),0)</f>
        <v>0</v>
      </c>
      <c r="BE193" s="5">
        <f>IF($F$190="Producción",IF($F193&gt;=LI_B,IF($F193&lt;LS_B,$S193,0),0),0)</f>
        <v>0</v>
      </c>
      <c r="BF193" s="5">
        <f>IF($F$190="Producción",IF($F193&gt;=LI_C,IF($F193&lt;LS_C,$S193,0),0),0)</f>
        <v>0</v>
      </c>
      <c r="BG193" s="5">
        <f>IF($F$190="Producción",IF($F193&lt;LS_D,$S193,0),0)</f>
        <v>0</v>
      </c>
      <c r="BH193" s="5">
        <f>IF($F$190="Crecimiento",$S193,0)</f>
        <v>0</v>
      </c>
      <c r="BI193" s="5">
        <f>IF($F190="Siembra",'6'!$S$7,0)</f>
        <v>0</v>
      </c>
      <c r="BJ193" s="5">
        <f>IF($F190="Abandono",'6'!$S$7,0)</f>
        <v>0</v>
      </c>
      <c r="BK193" s="5">
        <f>IF($G$190="Producción",IF($G193&gt;=LI_A,$T193,0),0)</f>
        <v>0</v>
      </c>
      <c r="BL193" s="5">
        <f>IF($G$190="Producción",IF($G193&gt;=LI_B,IF($G193&lt;LS_B,$T193,0),0),0)</f>
        <v>0</v>
      </c>
      <c r="BM193" s="5">
        <f>IF($G$190="Producción",IF($G193&gt;=LI_C,IF($G193&lt;LS_C,$T193,0),0),0)</f>
        <v>0</v>
      </c>
      <c r="BN193" s="5">
        <f>IF($G$190="Producción",IF($G193&lt;LS_D,$T193,0),0)</f>
        <v>0</v>
      </c>
      <c r="BO193" s="5">
        <f>IF($G$190="Crecimiento",$T193,0)</f>
        <v>0</v>
      </c>
      <c r="BP193" s="5">
        <f>IF($G190="Siembra",'6'!$T$7,0)</f>
        <v>0</v>
      </c>
      <c r="BQ193" s="5">
        <f>IF($G190="Abandono",'6'!$T$7,0)</f>
        <v>0</v>
      </c>
      <c r="BR193" s="5">
        <f>IF($H$190="Producción",IF($H193&gt;=LI_A,$U193,0),0)</f>
        <v>0</v>
      </c>
      <c r="BS193" s="5">
        <f>IF($H$190="Producción",IF($H193&gt;=LI_B,IF($H193&lt;LS_B,$U193,0),0),0)</f>
        <v>0</v>
      </c>
      <c r="BT193" s="5">
        <f>IF($H$190="Producción",IF($H193&gt;=LI_C,IF($H193&lt;LS_C,$U193,0),0),0)</f>
        <v>0</v>
      </c>
      <c r="BU193" s="5">
        <f>IF($H$190="Producción",IF($H193&lt;LS_D,$U193,0),0)</f>
        <v>0</v>
      </c>
      <c r="BV193" s="5">
        <f>IF($H$190="Crecimiento",$T193,0)</f>
        <v>0</v>
      </c>
      <c r="BW193" s="5">
        <f>IF($H190="Siembra",'6'!$U$7,0)</f>
        <v>0</v>
      </c>
      <c r="BX193" s="5">
        <f>IF($H190="Abandono",'6'!$U$7,0)</f>
        <v>0</v>
      </c>
      <c r="BY193" s="5">
        <f>IF($I$190="Producción",IF($I193&gt;=LI_A,$V193,0),0)</f>
        <v>0</v>
      </c>
      <c r="BZ193" s="5">
        <f>IF($I$190="Producción",IF($I193&gt;=LI_B,IF($I193&lt;LS_B,$V193,0),0),0)</f>
        <v>0</v>
      </c>
      <c r="CA193" s="5">
        <f>IF($I$190="Producción",IF($I193&gt;=LI_C,IF($I193&lt;LS_C,$V193,0),0),0)</f>
        <v>0</v>
      </c>
      <c r="CB193" s="5">
        <f>IF($I$190="Producción",IF($I193&lt;LS_D,$V193,0),0)</f>
        <v>0</v>
      </c>
      <c r="CC193" s="5">
        <f>IF($I$190="Crecimiento",$V193,0)</f>
        <v>0</v>
      </c>
      <c r="CD193" s="5">
        <f>IF($I190="Siembra",'6'!$V$7,0)</f>
        <v>0</v>
      </c>
      <c r="CE193" s="5">
        <f>IF($I190="Abandono",'6'!$V$7,0)</f>
        <v>0</v>
      </c>
      <c r="CF193" s="5">
        <f>IF($J$190="Producción",IF($J193&gt;=LI_A,$W193,0),0)</f>
        <v>0</v>
      </c>
      <c r="CG193" s="5">
        <f>IF($J$190="Producción",IF($J193&gt;=LI_B,IF($J193&lt;LS_B,$W193,0),0),0)</f>
        <v>0</v>
      </c>
      <c r="CH193" s="5">
        <f>IF($J$190="Producción",IF($J193&gt;=LI_C,IF($J193&lt;LS_C,$W193,0),0),0)</f>
        <v>0</v>
      </c>
      <c r="CI193" s="5">
        <f>IF($J$190="Producción",IF($J193&lt;LS_D,$W193,0),0)</f>
        <v>0</v>
      </c>
      <c r="CJ193" s="5">
        <f>IF($J$190="Crecimiento",$W193,0)</f>
        <v>0</v>
      </c>
      <c r="CK193" s="5">
        <f>IF($J190="Siembra",'6'!$W$7,0)</f>
        <v>0</v>
      </c>
      <c r="CL193" s="5">
        <f>IF($J190="Abandono",'6'!$W$7,0)</f>
        <v>0</v>
      </c>
      <c r="CM193" s="5">
        <f>IF($K$190="Producción",IF($K193&gt;=LI_A,$X193,0),0)</f>
        <v>0</v>
      </c>
      <c r="CN193" s="5">
        <f>IF($K$190="Producción",IF($K193&gt;=LI_B,IF($K193&lt;LS_B,$X193,0),0),0)</f>
        <v>0</v>
      </c>
      <c r="CO193" s="5">
        <f>IF($K$190="Producción",IF($K193&gt;=LI_C,IF($K193&lt;LS_C,$X193,0),0),0)</f>
        <v>0</v>
      </c>
      <c r="CP193" s="5">
        <f>IF($K$190="Producción",IF($K193&lt;LS_D,$X193,0),0)</f>
        <v>0</v>
      </c>
      <c r="CQ193" s="5">
        <f>IF($K$190="Crecimiento",$X193,0)</f>
        <v>0</v>
      </c>
      <c r="CR193" s="5">
        <f>IF($K190="Siembra",'6'!$X$7,0)</f>
        <v>0</v>
      </c>
      <c r="CS193" s="5">
        <f>IF($K190="Abandono",'6'!$X$7,0)</f>
        <v>0</v>
      </c>
      <c r="CT193" s="5">
        <f>IF($L$190="Producción",IF($L193&gt;=LI_A,$Y193,0),0)</f>
        <v>0</v>
      </c>
      <c r="CU193" s="5">
        <f>IF($L$190="Producción",IF($L193&gt;=LI_B,IF($L193&lt;LS_B,$Y193,0),0),0)</f>
        <v>0</v>
      </c>
      <c r="CV193" s="5">
        <f>IF($L$190="Producción",IF($L193&gt;=LI_C,IF($L193&lt;LS_C,$Y193,0),0),0)</f>
        <v>0</v>
      </c>
      <c r="CW193" s="5">
        <f>IF($L$190="Producción",IF($L193&lt;LS_D,$Y193,0),0)</f>
        <v>0</v>
      </c>
      <c r="CX193" s="5">
        <f>IF($L$190="Crecimiento",$Y193,0)</f>
        <v>0</v>
      </c>
      <c r="CY193" s="5">
        <f>IF($L190="Siembra",'6'!$Y$7,0)</f>
        <v>0</v>
      </c>
      <c r="CZ193" s="5">
        <f>IF($L190="Abandono",'6'!$Y$7,0)</f>
        <v>0</v>
      </c>
      <c r="DA193" s="5">
        <f>IF($M$190="Producción",IF($M193&gt;=LI_A,$Z193,0),0)</f>
        <v>0</v>
      </c>
      <c r="DB193" s="5">
        <f>IF($M$190="Producción",IF($M193&gt;=LI_B,IF($M193&lt;LS_B,$Z193,0),0),0)</f>
        <v>0</v>
      </c>
      <c r="DC193" s="5">
        <f>IF($M$190="Producción",IF($M193&gt;=LI_C,IF($M193&lt;LS_C,$Z193,0),0),0)</f>
        <v>0</v>
      </c>
      <c r="DD193" s="5">
        <f>IF($M$190="Producción",IF($M193&lt;LS_D,$Z193,0),0)</f>
        <v>0</v>
      </c>
      <c r="DE193" s="5">
        <f>IF($M$190="Crecimiento",$Z193,0)</f>
        <v>0</v>
      </c>
      <c r="DF193" s="5">
        <f>IF($M190="Siembra",'6'!$Z$7,0)</f>
        <v>0</v>
      </c>
      <c r="DG193" s="5">
        <f>IF($M190="Abandono",'6'!$Z$7,0)</f>
        <v>0</v>
      </c>
      <c r="DI193" s="5">
        <f t="shared" ref="DI193:DI197" si="1431">AB193*$B193</f>
        <v>0</v>
      </c>
      <c r="DJ193" s="5">
        <f t="shared" ref="DJ193:DJ197" si="1432">AC193*$B193</f>
        <v>0</v>
      </c>
      <c r="DK193" s="5">
        <f t="shared" ref="DK193:DK197" si="1433">AD193*$B193</f>
        <v>0</v>
      </c>
      <c r="DL193" s="5">
        <f t="shared" ref="DL193:DL197" si="1434">AE193*$B193</f>
        <v>0</v>
      </c>
      <c r="DM193" s="5">
        <f t="shared" ref="DM193:DM197" si="1435">AF193*$B193</f>
        <v>0</v>
      </c>
      <c r="DN193" s="5">
        <f t="shared" ref="DN193:DN197" si="1436">AI193*$C193</f>
        <v>0</v>
      </c>
      <c r="DO193" s="5">
        <f t="shared" ref="DO193:DO197" si="1437">AJ193*$C193</f>
        <v>0</v>
      </c>
      <c r="DP193" s="5">
        <f t="shared" ref="DP193:DP197" si="1438">AK193*$C193</f>
        <v>0</v>
      </c>
      <c r="DQ193" s="5">
        <f t="shared" ref="DQ193:DQ197" si="1439">AL193*$C193</f>
        <v>0</v>
      </c>
      <c r="DR193" s="5">
        <f t="shared" ref="DR193:DR197" si="1440">AM193*$C193</f>
        <v>0</v>
      </c>
      <c r="DS193" s="5">
        <f t="shared" ref="DS193:DS197" si="1441">AP193*$D193</f>
        <v>0</v>
      </c>
      <c r="DT193" s="5">
        <f t="shared" ref="DT193:DT197" si="1442">AQ193*$D193</f>
        <v>0</v>
      </c>
      <c r="DU193" s="5">
        <f t="shared" ref="DU193:DU197" si="1443">AR193*$D193</f>
        <v>0</v>
      </c>
      <c r="DV193" s="5">
        <f t="shared" ref="DV193:DV197" si="1444">AS193*$D193</f>
        <v>0</v>
      </c>
      <c r="DW193" s="5">
        <f t="shared" ref="DW193:DW197" si="1445">AT193*$D193</f>
        <v>0</v>
      </c>
      <c r="DX193" s="5">
        <f t="shared" ref="DX193:DX197" si="1446">AW193*$E193</f>
        <v>0</v>
      </c>
      <c r="DY193" s="5">
        <f t="shared" ref="DY193:DY197" si="1447">AX193*$E193</f>
        <v>0</v>
      </c>
      <c r="DZ193" s="5">
        <f t="shared" ref="DZ193:DZ197" si="1448">AY193*$E193</f>
        <v>0</v>
      </c>
      <c r="EA193" s="5">
        <f t="shared" ref="EA193:EA197" si="1449">AZ193*$E193</f>
        <v>0</v>
      </c>
      <c r="EB193" s="5">
        <f t="shared" ref="EB193:EB197" si="1450">BA193*$E193</f>
        <v>0</v>
      </c>
      <c r="EC193" s="5">
        <f t="shared" ref="EC193:EC197" si="1451">BD193*$F193</f>
        <v>0</v>
      </c>
      <c r="ED193" s="5">
        <f t="shared" ref="ED193:ED197" si="1452">BE193*$F193</f>
        <v>0</v>
      </c>
      <c r="EE193" s="5">
        <f t="shared" ref="EE193:EE197" si="1453">BF193*$F193</f>
        <v>0</v>
      </c>
      <c r="EF193" s="5">
        <f t="shared" ref="EF193:EF197" si="1454">BG193*$F193</f>
        <v>0</v>
      </c>
      <c r="EG193" s="5">
        <f t="shared" ref="EG193:EG197" si="1455">BH193*$F193</f>
        <v>0</v>
      </c>
      <c r="EH193" s="5">
        <f t="shared" ref="EH193:EH197" si="1456">BK193*$G193</f>
        <v>0</v>
      </c>
      <c r="EI193" s="5">
        <f t="shared" ref="EI193:EI197" si="1457">BL193*$G193</f>
        <v>0</v>
      </c>
      <c r="EJ193" s="5">
        <f t="shared" ref="EJ193:EJ197" si="1458">BM193*$G193</f>
        <v>0</v>
      </c>
      <c r="EK193" s="5">
        <f t="shared" ref="EK193:EK197" si="1459">BN193*$G193</f>
        <v>0</v>
      </c>
      <c r="EL193" s="5">
        <f t="shared" ref="EL193:EL197" si="1460">BO193*$G193</f>
        <v>0</v>
      </c>
      <c r="EM193" s="5">
        <f t="shared" ref="EM193:EM197" si="1461">BR193*$H193</f>
        <v>0</v>
      </c>
      <c r="EN193" s="5">
        <f t="shared" ref="EN193:EN197" si="1462">BS193*$H193</f>
        <v>0</v>
      </c>
      <c r="EO193" s="5">
        <f t="shared" ref="EO193:EO197" si="1463">BT193*$H193</f>
        <v>0</v>
      </c>
      <c r="EP193" s="5">
        <f t="shared" ref="EP193:EP197" si="1464">BU193*$H193</f>
        <v>0</v>
      </c>
      <c r="EQ193" s="5">
        <f t="shared" ref="EQ193:EQ197" si="1465">BV193*$H193</f>
        <v>0</v>
      </c>
      <c r="ER193" s="5">
        <f t="shared" ref="ER193:ER197" si="1466">BY193*$I193</f>
        <v>0</v>
      </c>
      <c r="ES193" s="5">
        <f t="shared" ref="ES193:ES197" si="1467">BZ193*$I193</f>
        <v>0</v>
      </c>
      <c r="ET193" s="5">
        <f t="shared" ref="ET193:ET197" si="1468">CA193*$I193</f>
        <v>0</v>
      </c>
      <c r="EU193" s="5">
        <f t="shared" ref="EU193:EU197" si="1469">CB193*$I193</f>
        <v>0</v>
      </c>
      <c r="EV193" s="5">
        <f t="shared" ref="EV193:EV197" si="1470">CC193*$I193</f>
        <v>0</v>
      </c>
      <c r="EW193" s="5">
        <f t="shared" ref="EW193:EW197" si="1471">CF193*$J193</f>
        <v>0</v>
      </c>
      <c r="EX193" s="5">
        <f t="shared" ref="EX193:EX197" si="1472">CG193*$J193</f>
        <v>0</v>
      </c>
      <c r="EY193" s="5">
        <f t="shared" ref="EY193:EY197" si="1473">CH193*$J193</f>
        <v>0</v>
      </c>
      <c r="EZ193" s="5">
        <f t="shared" ref="EZ193:EZ197" si="1474">CI193*$J193</f>
        <v>0</v>
      </c>
      <c r="FA193" s="5">
        <f t="shared" ref="FA193:FA197" si="1475">CJ193*$J193</f>
        <v>0</v>
      </c>
      <c r="FB193" s="5">
        <f t="shared" ref="FB193:FB197" si="1476">CM193*$K193</f>
        <v>0</v>
      </c>
      <c r="FC193" s="5">
        <f t="shared" ref="FC193:FC197" si="1477">CN193*$K193</f>
        <v>0</v>
      </c>
      <c r="FD193" s="5">
        <f t="shared" ref="FD193:FD197" si="1478">CO193*$K193</f>
        <v>0</v>
      </c>
      <c r="FE193" s="5">
        <f t="shared" ref="FE193:FE197" si="1479">CP193*$K193</f>
        <v>0</v>
      </c>
      <c r="FF193" s="5">
        <f t="shared" ref="FF193:FF197" si="1480">CQ193*$K193</f>
        <v>0</v>
      </c>
      <c r="FG193" s="5">
        <f t="shared" ref="FG193:FG197" si="1481">CT193*$L193</f>
        <v>0</v>
      </c>
      <c r="FH193" s="5">
        <f t="shared" ref="FH193:FH197" si="1482">CU193*$L193</f>
        <v>0</v>
      </c>
      <c r="FI193" s="5">
        <f t="shared" ref="FI193:FI197" si="1483">CV193*$L193</f>
        <v>0</v>
      </c>
      <c r="FJ193" s="5">
        <f t="shared" ref="FJ193:FJ197" si="1484">CW193*$L193</f>
        <v>0</v>
      </c>
      <c r="FK193" s="5">
        <f t="shared" ref="FK193:FK197" si="1485">CX193*$L193</f>
        <v>0</v>
      </c>
      <c r="FL193" s="5">
        <f t="shared" ref="FL193:FL197" si="1486">DA193*$M193</f>
        <v>0</v>
      </c>
      <c r="FM193" s="5">
        <f t="shared" ref="FM193:FM197" si="1487">DB193*$M193</f>
        <v>0</v>
      </c>
      <c r="FN193" s="5">
        <f t="shared" ref="FN193:FN197" si="1488">DC193*$M193</f>
        <v>0</v>
      </c>
      <c r="FO193" s="5">
        <f t="shared" ref="FO193:FO197" si="1489">DD193*$M193</f>
        <v>0</v>
      </c>
      <c r="FP193" s="5">
        <f t="shared" ref="FP193:FP197" si="1490">DE193*$M193</f>
        <v>0</v>
      </c>
    </row>
    <row r="194" spans="1:172" ht="20.100000000000001" customHeight="1" x14ac:dyDescent="0.3">
      <c r="A194" s="8" t="s">
        <v>303</v>
      </c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O194" s="58">
        <f>IFERROR('6'!O$99/Ciclo,0)</f>
        <v>0</v>
      </c>
      <c r="P194" s="58">
        <f>IFERROR('6'!P$99/Ciclo,0)</f>
        <v>0</v>
      </c>
      <c r="Q194" s="58">
        <f>IFERROR('6'!Q$99/Ciclo,0)</f>
        <v>0</v>
      </c>
      <c r="R194" s="58">
        <f>IFERROR('6'!R$99/Ciclo,0)</f>
        <v>0</v>
      </c>
      <c r="S194" s="58">
        <f>IFERROR('6'!S$99/Ciclo,0)</f>
        <v>0</v>
      </c>
      <c r="T194" s="58">
        <f>IFERROR('6'!T$99/Ciclo,0)</f>
        <v>0</v>
      </c>
      <c r="U194" s="58">
        <f>IFERROR('6'!U$99/Ciclo,0)</f>
        <v>0</v>
      </c>
      <c r="V194" s="58">
        <f>IFERROR('6'!V$99/Ciclo,0)</f>
        <v>0</v>
      </c>
      <c r="W194" s="5">
        <f>IFERROR('6'!W$99/Ciclo,0)</f>
        <v>0</v>
      </c>
      <c r="X194" s="5">
        <f>IFERROR('6'!X$99/Ciclo,0)</f>
        <v>0</v>
      </c>
      <c r="Y194" s="5">
        <f>IFERROR('6'!Y$99/Ciclo,0)</f>
        <v>0</v>
      </c>
      <c r="Z194" s="5">
        <f>IFERROR('6'!Z$99/Ciclo,0)</f>
        <v>0</v>
      </c>
      <c r="AB194" s="5">
        <f>IF($B$190="Producción",IF($B194&gt;=LI_A,$O194,0),0)</f>
        <v>0</v>
      </c>
      <c r="AC194" s="5">
        <f>IF($B$190="Producción",IF($B194&gt;=LI_B,IF($B194&lt;LS_B,$O194,0),0),0)</f>
        <v>0</v>
      </c>
      <c r="AD194" s="5">
        <f>IF($B$190="Producción",IF($B194&gt;=LI_C,IF($B194&lt;LS_C,$O194,0),0),0)</f>
        <v>0</v>
      </c>
      <c r="AE194" s="5">
        <f>IF($B$190="Producción",IF($B194&lt;LS_D,$O194,0),0)</f>
        <v>0</v>
      </c>
      <c r="AF194" s="5">
        <f t="shared" ref="AF194:AF197" si="1491">IF($B$190="Crecimiento",$O194,0)</f>
        <v>0</v>
      </c>
      <c r="AI194" s="5">
        <f>IF($C$190="Producción",IF($C194&gt;=LI_A,$P194,0),0)</f>
        <v>0</v>
      </c>
      <c r="AJ194" s="5">
        <f>IF($C$190="Producción",IF($C194&gt;=LI_B,IF($C194&lt;LS_B,$P194,0),0),0)</f>
        <v>0</v>
      </c>
      <c r="AK194" s="5">
        <f>IF($C$190="Producción",IF($C194&gt;=LI_C,IF($C194&lt;LS_C,$P194,0),0),0)</f>
        <v>0</v>
      </c>
      <c r="AL194" s="5">
        <f>IF($C$190="Producción",IF($C194&lt;LS_D,$P194,0),0)</f>
        <v>0</v>
      </c>
      <c r="AM194" s="5">
        <f>IF($C$190="Crecimiento",$P194,0)</f>
        <v>0</v>
      </c>
      <c r="AP194" s="5">
        <f>IF($D$190="Producción",IF($D194&gt;=LI_A,$Q194,0),0)</f>
        <v>0</v>
      </c>
      <c r="AQ194" s="5">
        <f>IF($D$190="Producción",IF($D194&gt;=LI_B,IF($D194&lt;LS_B,$Q194,0),0),0)</f>
        <v>0</v>
      </c>
      <c r="AR194" s="5">
        <f>IF($D$190="Producción",IF($D194&gt;=LI_C,IF($D194&lt;LS_C,$Q194,0),0),0)</f>
        <v>0</v>
      </c>
      <c r="AS194" s="5">
        <f>IF($D$190="Producción",IF($D194&lt;LS_D,$Q194,0),0)</f>
        <v>0</v>
      </c>
      <c r="AT194" s="5">
        <f>IF($D$190="Crecimiento",IF($D194&gt;0,$Q194,0),0)</f>
        <v>0</v>
      </c>
      <c r="AW194" s="5">
        <f>IF($E$190="Producción",IF($E194&gt;=LI_A,$R194,0),0)</f>
        <v>0</v>
      </c>
      <c r="AX194" s="5">
        <f>IF($E$190="Producción",IF($E194&gt;=LI_B,IF($E194&lt;LS_B,$R194,0),0),0)</f>
        <v>0</v>
      </c>
      <c r="AY194" s="5">
        <f>IF($E$190="Producción",IF($E194&gt;=LI_C,IF($E194&lt;LS_C,$R194,0),0),0)</f>
        <v>0</v>
      </c>
      <c r="AZ194" s="5">
        <f>IF($E$190="Producción",IF($E194&lt;LS_D,$R194,0),0)</f>
        <v>0</v>
      </c>
      <c r="BA194" s="5">
        <f>IF($E$190="Crecimiento",$R194,0)</f>
        <v>0</v>
      </c>
      <c r="BD194" s="5">
        <f>IF($F$190="Producción",IF($F194&gt;=LI_A,$S194,0),0)</f>
        <v>0</v>
      </c>
      <c r="BE194" s="5">
        <f>IF($F$190="Producción",IF($F194&gt;=LI_B,IF($F194&lt;LS_B,$S194,0),0),0)</f>
        <v>0</v>
      </c>
      <c r="BF194" s="5">
        <f>IF($F$190="Producción",IF($F194&gt;=LI_C,IF($F194&lt;LS_C,$S194,0),0),0)</f>
        <v>0</v>
      </c>
      <c r="BG194" s="5">
        <f>IF($F$190="Producción",IF($F194&lt;LS_D,$S194,0),0)</f>
        <v>0</v>
      </c>
      <c r="BH194" s="5">
        <f>IF($F$190="Crecimiento",$S194,0)</f>
        <v>0</v>
      </c>
      <c r="BK194" s="5">
        <f>IF($G$190="Producción",IF($G194&gt;=LI_A,$T194,0),0)</f>
        <v>0</v>
      </c>
      <c r="BL194" s="5">
        <f>IF($G$190="Producción",IF($G194&gt;=LI_B,IF($G194&lt;LS_B,$T194,0),0),0)</f>
        <v>0</v>
      </c>
      <c r="BM194" s="5">
        <f>IF($G$190="Producción",IF($G194&gt;=LI_C,IF($G194&lt;LS_C,$T194,0),0),0)</f>
        <v>0</v>
      </c>
      <c r="BN194" s="5">
        <f>IF($G$190="Producción",IF($G194&lt;LS_D,$T194,0),0)</f>
        <v>0</v>
      </c>
      <c r="BO194" s="5">
        <f>IF($G$190="Crecimiento",$T194,0)</f>
        <v>0</v>
      </c>
      <c r="BR194" s="5">
        <f>IF($H$190="Producción",IF($H194&gt;=LI_A,$U194,0),0)</f>
        <v>0</v>
      </c>
      <c r="BS194" s="5">
        <f>IF($H$190="Producción",IF($H194&gt;=LI_B,IF($H194&lt;LS_B,$U194,0),0),0)</f>
        <v>0</v>
      </c>
      <c r="BT194" s="5">
        <f>IF($H$190="Producción",IF($H194&gt;=LI_C,IF($H194&lt;LS_C,$U194,0),0),0)</f>
        <v>0</v>
      </c>
      <c r="BU194" s="5">
        <f>IF($H$190="Producción",IF($H194&lt;LS_D,$U194,0),0)</f>
        <v>0</v>
      </c>
      <c r="BV194" s="5">
        <f>IF($H$190="Crecimiento",$T194,0)</f>
        <v>0</v>
      </c>
      <c r="BY194" s="5">
        <f>IF($I$190="Producción",IF($I194&gt;=LI_A,$V194,0),0)</f>
        <v>0</v>
      </c>
      <c r="BZ194" s="5">
        <f>IF($I$190="Producción",IF($I194&gt;=LI_B,IF($I194&lt;LS_B,$V194,0),0),0)</f>
        <v>0</v>
      </c>
      <c r="CA194" s="5">
        <f>IF($I$190="Producción",IF($I194&gt;=LI_C,IF($I194&lt;LS_C,$V194,0),0),0)</f>
        <v>0</v>
      </c>
      <c r="CB194" s="5">
        <f>IF($I$190="Producción",IF($I194&lt;LS_D,$V194,0),0)</f>
        <v>0</v>
      </c>
      <c r="CC194" s="5">
        <f>IF($I$190="Crecimiento",$V194,0)</f>
        <v>0</v>
      </c>
      <c r="CF194" s="5">
        <f>IF($J$190="Producción",IF($J194&gt;=LI_A,$W194,0),0)</f>
        <v>0</v>
      </c>
      <c r="CG194" s="5">
        <f>IF($J$190="Producción",IF($J194&gt;=LI_B,IF($J194&lt;LS_B,$W194,0),0),0)</f>
        <v>0</v>
      </c>
      <c r="CH194" s="5">
        <f>IF($J$190="Producción",IF($J194&gt;=LI_C,IF($J194&lt;LS_C,$W194,0),0),0)</f>
        <v>0</v>
      </c>
      <c r="CI194" s="5">
        <f>IF($J$190="Producción",IF($J194&lt;LS_D,$W194,0),0)</f>
        <v>0</v>
      </c>
      <c r="CJ194" s="5">
        <f>IF($J$190="Crecimiento",$W194,0)</f>
        <v>0</v>
      </c>
      <c r="CM194" s="5">
        <f>IF($K$190="Producción",IF($K194&gt;=LI_A,$X194,0),0)</f>
        <v>0</v>
      </c>
      <c r="CN194" s="5">
        <f>IF($K$190="Producción",IF($K194&gt;=LI_B,IF($K194&lt;LS_B,$X194,0),0),0)</f>
        <v>0</v>
      </c>
      <c r="CO194" s="5">
        <f>IF($K$190="Producción",IF($K194&gt;=LI_C,IF($K194&lt;LS_C,$X194,0),0),0)</f>
        <v>0</v>
      </c>
      <c r="CP194" s="5">
        <f>IF($K$190="Producción",IF($K194&lt;LS_D,$X194,0),0)</f>
        <v>0</v>
      </c>
      <c r="CQ194" s="5">
        <f>IF($K$190="Crecimiento",$X194,0)</f>
        <v>0</v>
      </c>
      <c r="CT194" s="5">
        <f>IF($L$190="Producción",IF($L194&gt;=LI_A,$Y194,0),0)</f>
        <v>0</v>
      </c>
      <c r="CU194" s="5">
        <f>IF($L$190="Producción",IF($L194&gt;=LI_B,IF($L194&lt;LS_B,$Y194,0),0),0)</f>
        <v>0</v>
      </c>
      <c r="CV194" s="5">
        <f>IF($L$190="Producción",IF($L194&gt;=LI_C,IF($L194&lt;LS_C,$Y194,0),0),0)</f>
        <v>0</v>
      </c>
      <c r="CW194" s="5">
        <f>IF($L$190="Producción",IF($L194&lt;LS_D,$Y194,0),0)</f>
        <v>0</v>
      </c>
      <c r="CX194" s="5">
        <f>IF($L$190="Crecimiento",$Y194,0)</f>
        <v>0</v>
      </c>
      <c r="DA194" s="5">
        <f>IF($M$190="Producción",IF($M194&gt;=LI_A,$Z194,0),0)</f>
        <v>0</v>
      </c>
      <c r="DB194" s="5">
        <f>IF($M$190="Producción",IF($M194&gt;=LI_B,IF($M194&lt;LS_B,$Z194,0),0),0)</f>
        <v>0</v>
      </c>
      <c r="DC194" s="5">
        <f>IF($M$190="Producción",IF($M194&gt;=LI_C,IF($M194&lt;LS_C,$Z194,0),0),0)</f>
        <v>0</v>
      </c>
      <c r="DD194" s="5">
        <f>IF($M$190="Producción",IF($M194&lt;LS_D,$Z194,0),0)</f>
        <v>0</v>
      </c>
      <c r="DE194" s="5">
        <f>IF($M$190="Crecimiento",$Z194,0)</f>
        <v>0</v>
      </c>
      <c r="DI194" s="5">
        <f t="shared" si="1431"/>
        <v>0</v>
      </c>
      <c r="DJ194" s="5">
        <f t="shared" si="1432"/>
        <v>0</v>
      </c>
      <c r="DK194" s="5">
        <f t="shared" si="1433"/>
        <v>0</v>
      </c>
      <c r="DL194" s="5">
        <f t="shared" si="1434"/>
        <v>0</v>
      </c>
      <c r="DM194" s="5">
        <f t="shared" si="1435"/>
        <v>0</v>
      </c>
      <c r="DN194" s="5">
        <f t="shared" si="1436"/>
        <v>0</v>
      </c>
      <c r="DO194" s="5">
        <f t="shared" si="1437"/>
        <v>0</v>
      </c>
      <c r="DP194" s="5">
        <f t="shared" si="1438"/>
        <v>0</v>
      </c>
      <c r="DQ194" s="5">
        <f t="shared" si="1439"/>
        <v>0</v>
      </c>
      <c r="DR194" s="5">
        <f t="shared" si="1440"/>
        <v>0</v>
      </c>
      <c r="DS194" s="5">
        <f t="shared" si="1441"/>
        <v>0</v>
      </c>
      <c r="DT194" s="5">
        <f t="shared" si="1442"/>
        <v>0</v>
      </c>
      <c r="DU194" s="5">
        <f t="shared" si="1443"/>
        <v>0</v>
      </c>
      <c r="DV194" s="5">
        <f t="shared" si="1444"/>
        <v>0</v>
      </c>
      <c r="DW194" s="5">
        <f t="shared" si="1445"/>
        <v>0</v>
      </c>
      <c r="DX194" s="5">
        <f t="shared" si="1446"/>
        <v>0</v>
      </c>
      <c r="DY194" s="5">
        <f t="shared" si="1447"/>
        <v>0</v>
      </c>
      <c r="DZ194" s="5">
        <f t="shared" si="1448"/>
        <v>0</v>
      </c>
      <c r="EA194" s="5">
        <f t="shared" si="1449"/>
        <v>0</v>
      </c>
      <c r="EB194" s="5">
        <f t="shared" si="1450"/>
        <v>0</v>
      </c>
      <c r="EC194" s="5">
        <f t="shared" si="1451"/>
        <v>0</v>
      </c>
      <c r="ED194" s="5">
        <f t="shared" si="1452"/>
        <v>0</v>
      </c>
      <c r="EE194" s="5">
        <f t="shared" si="1453"/>
        <v>0</v>
      </c>
      <c r="EF194" s="5">
        <f t="shared" si="1454"/>
        <v>0</v>
      </c>
      <c r="EG194" s="5">
        <f t="shared" si="1455"/>
        <v>0</v>
      </c>
      <c r="EH194" s="5">
        <f t="shared" si="1456"/>
        <v>0</v>
      </c>
      <c r="EI194" s="5">
        <f t="shared" si="1457"/>
        <v>0</v>
      </c>
      <c r="EJ194" s="5">
        <f t="shared" si="1458"/>
        <v>0</v>
      </c>
      <c r="EK194" s="5">
        <f t="shared" si="1459"/>
        <v>0</v>
      </c>
      <c r="EL194" s="5">
        <f t="shared" si="1460"/>
        <v>0</v>
      </c>
      <c r="EM194" s="5">
        <f t="shared" si="1461"/>
        <v>0</v>
      </c>
      <c r="EN194" s="5">
        <f t="shared" si="1462"/>
        <v>0</v>
      </c>
      <c r="EO194" s="5">
        <f t="shared" si="1463"/>
        <v>0</v>
      </c>
      <c r="EP194" s="5">
        <f t="shared" si="1464"/>
        <v>0</v>
      </c>
      <c r="EQ194" s="5">
        <f t="shared" si="1465"/>
        <v>0</v>
      </c>
      <c r="ER194" s="5">
        <f t="shared" si="1466"/>
        <v>0</v>
      </c>
      <c r="ES194" s="5">
        <f t="shared" si="1467"/>
        <v>0</v>
      </c>
      <c r="ET194" s="5">
        <f t="shared" si="1468"/>
        <v>0</v>
      </c>
      <c r="EU194" s="5">
        <f t="shared" si="1469"/>
        <v>0</v>
      </c>
      <c r="EV194" s="5">
        <f t="shared" si="1470"/>
        <v>0</v>
      </c>
      <c r="EW194" s="5">
        <f t="shared" si="1471"/>
        <v>0</v>
      </c>
      <c r="EX194" s="5">
        <f t="shared" si="1472"/>
        <v>0</v>
      </c>
      <c r="EY194" s="5">
        <f t="shared" si="1473"/>
        <v>0</v>
      </c>
      <c r="EZ194" s="5">
        <f t="shared" si="1474"/>
        <v>0</v>
      </c>
      <c r="FA194" s="5">
        <f t="shared" si="1475"/>
        <v>0</v>
      </c>
      <c r="FB194" s="5">
        <f t="shared" si="1476"/>
        <v>0</v>
      </c>
      <c r="FC194" s="5">
        <f t="shared" si="1477"/>
        <v>0</v>
      </c>
      <c r="FD194" s="5">
        <f t="shared" si="1478"/>
        <v>0</v>
      </c>
      <c r="FE194" s="5">
        <f t="shared" si="1479"/>
        <v>0</v>
      </c>
      <c r="FF194" s="5">
        <f t="shared" si="1480"/>
        <v>0</v>
      </c>
      <c r="FG194" s="5">
        <f t="shared" si="1481"/>
        <v>0</v>
      </c>
      <c r="FH194" s="5">
        <f t="shared" si="1482"/>
        <v>0</v>
      </c>
      <c r="FI194" s="5">
        <f t="shared" si="1483"/>
        <v>0</v>
      </c>
      <c r="FJ194" s="5">
        <f t="shared" si="1484"/>
        <v>0</v>
      </c>
      <c r="FK194" s="5">
        <f t="shared" si="1485"/>
        <v>0</v>
      </c>
      <c r="FL194" s="5">
        <f t="shared" si="1486"/>
        <v>0</v>
      </c>
      <c r="FM194" s="5">
        <f t="shared" si="1487"/>
        <v>0</v>
      </c>
      <c r="FN194" s="5">
        <f t="shared" si="1488"/>
        <v>0</v>
      </c>
      <c r="FO194" s="5">
        <f t="shared" si="1489"/>
        <v>0</v>
      </c>
      <c r="FP194" s="5">
        <f t="shared" si="1490"/>
        <v>0</v>
      </c>
    </row>
    <row r="195" spans="1:172" ht="20.100000000000001" customHeight="1" x14ac:dyDescent="0.3">
      <c r="A195" s="8" t="str">
        <f>IF(Ciclo&gt;2,"Surco 3","NA")</f>
        <v>Surco 3</v>
      </c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O195" s="58">
        <f>IF($A195="NA",0,IFERROR('6'!O$99/Ciclo,0))</f>
        <v>0</v>
      </c>
      <c r="P195" s="58">
        <f>IF($A195="NA",0,IFERROR('6'!P$99/Ciclo,0))</f>
        <v>0</v>
      </c>
      <c r="Q195" s="58">
        <f>IF($A195="NA",0,IFERROR('6'!Q$99/Ciclo,0))</f>
        <v>0</v>
      </c>
      <c r="R195" s="58">
        <f>IF($A195="NA",0,IFERROR('6'!R$99/Ciclo,0))</f>
        <v>0</v>
      </c>
      <c r="S195" s="58">
        <f>IF($A195="NA",0,IFERROR('6'!S$99/Ciclo,0))</f>
        <v>0</v>
      </c>
      <c r="T195" s="58">
        <f>IF($A195="NA",0,IFERROR('6'!T$99/Ciclo,0))</f>
        <v>0</v>
      </c>
      <c r="U195" s="58">
        <f>IF($A195="NA",0,IFERROR('6'!U$99/Ciclo,0))</f>
        <v>0</v>
      </c>
      <c r="V195" s="58">
        <f>IF($A195="NA",0,IFERROR('6'!V$99/Ciclo,0))</f>
        <v>0</v>
      </c>
      <c r="W195" s="5">
        <f>IF($A195="NA",0,IFERROR('6'!W$99/Ciclo,0))</f>
        <v>0</v>
      </c>
      <c r="X195" s="5">
        <f>IF($A195="NA",0,IFERROR('6'!X$99/Ciclo,0))</f>
        <v>0</v>
      </c>
      <c r="Y195" s="5">
        <f>IF($A195="NA",0,IFERROR('6'!Y$99/Ciclo,0))</f>
        <v>0</v>
      </c>
      <c r="Z195" s="5">
        <f>IF($A195="NA",0,IFERROR('6'!Z$99/Ciclo,0))</f>
        <v>0</v>
      </c>
      <c r="AB195" s="5">
        <f>IF($B$190="Producción",IF($B195&gt;=LI_A,$O195,0),0)</f>
        <v>0</v>
      </c>
      <c r="AC195" s="5">
        <f>IF($B$190="Producción",IF($B195&gt;=LI_B,IF($B195&lt;LS_B,$O195,0),0),0)</f>
        <v>0</v>
      </c>
      <c r="AD195" s="5">
        <f>IF($B$190="Producción",IF($B195&gt;=LI_C,IF($B195&lt;LS_C,$O195,0),0),0)</f>
        <v>0</v>
      </c>
      <c r="AE195" s="5">
        <f>IF($B$190="Producción",IF($B195&lt;LS_D,$O195,0),0)</f>
        <v>0</v>
      </c>
      <c r="AF195" s="5">
        <f t="shared" si="1491"/>
        <v>0</v>
      </c>
      <c r="AI195" s="5">
        <f>IF($C$190="Producción",IF($C195&gt;=LI_A,$P195,0),0)</f>
        <v>0</v>
      </c>
      <c r="AJ195" s="5">
        <f>IF($C$190="Producción",IF($C195&gt;=LI_B,IF($C195&lt;LS_B,$P195,0),0),0)</f>
        <v>0</v>
      </c>
      <c r="AK195" s="5">
        <f>IF($C$190="Producción",IF($C195&gt;=LI_C,IF($C195&lt;LS_C,$P195,0),0),0)</f>
        <v>0</v>
      </c>
      <c r="AL195" s="5">
        <f>IF($C$190="Producción",IF($C195&lt;LS_D,$P195,0),0)</f>
        <v>0</v>
      </c>
      <c r="AM195" s="5">
        <f>IF($C$190="Crecimiento",$P195,0)</f>
        <v>0</v>
      </c>
      <c r="AP195" s="5">
        <f>IF($D$190="Producción",IF($D195&gt;=LI_A,$Q195,0),0)</f>
        <v>0</v>
      </c>
      <c r="AQ195" s="5">
        <f>IF($D$190="Producción",IF($D195&gt;=LI_B,IF($D195&lt;LS_B,$Q195,0),0),0)</f>
        <v>0</v>
      </c>
      <c r="AR195" s="5">
        <f>IF($D$190="Producción",IF($D195&gt;=LI_C,IF($D195&lt;LS_C,$Q195,0),0),0)</f>
        <v>0</v>
      </c>
      <c r="AS195" s="5">
        <f>IF($D$190="Producción",IF($D195&lt;LS_D,$Q195,0),0)</f>
        <v>0</v>
      </c>
      <c r="AT195" s="5">
        <f>IF($D$190="Crecimiento",IF($D195&gt;0,$Q195,0),0)</f>
        <v>0</v>
      </c>
      <c r="AW195" s="5">
        <f>IF($E$190="Producción",IF($E195&gt;=LI_A,$R195,0),0)</f>
        <v>0</v>
      </c>
      <c r="AX195" s="5">
        <f>IF($E$190="Producción",IF($E195&gt;=LI_B,IF($E195&lt;LS_B,$R195,0),0),0)</f>
        <v>0</v>
      </c>
      <c r="AY195" s="5">
        <f>IF($E$190="Producción",IF($E195&gt;=LI_C,IF($E195&lt;LS_C,$R195,0),0),0)</f>
        <v>0</v>
      </c>
      <c r="AZ195" s="5">
        <f>IF($E$190="Producción",IF($E195&lt;LS_D,$R195,0),0)</f>
        <v>0</v>
      </c>
      <c r="BA195" s="5">
        <f>IF($E$190="Crecimiento",$R195,0)</f>
        <v>0</v>
      </c>
      <c r="BD195" s="5">
        <f>IF($F$190="Producción",IF($F195&gt;=LI_A,$S195,0),0)</f>
        <v>0</v>
      </c>
      <c r="BE195" s="5">
        <f>IF($F$190="Producción",IF($F195&gt;=LI_B,IF($F195&lt;LS_B,$S195,0),0),0)</f>
        <v>0</v>
      </c>
      <c r="BF195" s="5">
        <f>IF($F$190="Producción",IF($F195&gt;=LI_C,IF($F195&lt;LS_C,$S195,0),0),0)</f>
        <v>0</v>
      </c>
      <c r="BG195" s="5">
        <f>IF($F$190="Producción",IF($F195&lt;LS_D,$S195,0),0)</f>
        <v>0</v>
      </c>
      <c r="BH195" s="5">
        <f>IF($F$190="Crecimiento",$S195,0)</f>
        <v>0</v>
      </c>
      <c r="BK195" s="5">
        <f>IF($G$190="Producción",IF($G195&gt;=LI_A,$T195,0),0)</f>
        <v>0</v>
      </c>
      <c r="BL195" s="5">
        <f>IF($G$190="Producción",IF($G195&gt;=LI_B,IF($G195&lt;LS_B,$T195,0),0),0)</f>
        <v>0</v>
      </c>
      <c r="BM195" s="5">
        <f>IF($G$190="Producción",IF($G195&gt;=LI_C,IF($G195&lt;LS_C,$T195,0),0),0)</f>
        <v>0</v>
      </c>
      <c r="BN195" s="5">
        <f>IF($G$190="Producción",IF($G195&lt;LS_D,$T195,0),0)</f>
        <v>0</v>
      </c>
      <c r="BO195" s="5">
        <f>IF($G$190="Crecimiento",$T195,0)</f>
        <v>0</v>
      </c>
      <c r="BR195" s="5">
        <f>IF($H$190="Producción",IF($H195&gt;=LI_A,$U195,0),0)</f>
        <v>0</v>
      </c>
      <c r="BS195" s="5">
        <f>IF($H$190="Producción",IF($H195&gt;=LI_B,IF($H195&lt;LS_B,$U195,0),0),0)</f>
        <v>0</v>
      </c>
      <c r="BT195" s="5">
        <f>IF($H$190="Producción",IF($H195&gt;=LI_C,IF($H195&lt;LS_C,$U195,0),0),0)</f>
        <v>0</v>
      </c>
      <c r="BU195" s="5">
        <f>IF($H$190="Producción",IF($H195&lt;LS_D,$U195,0),0)</f>
        <v>0</v>
      </c>
      <c r="BV195" s="5">
        <f>IF($H$190="Crecimiento",$T195,0)</f>
        <v>0</v>
      </c>
      <c r="BY195" s="5">
        <f>IF($I$190="Producción",IF($I195&gt;=LI_A,$V195,0),0)</f>
        <v>0</v>
      </c>
      <c r="BZ195" s="5">
        <f>IF($I$190="Producción",IF($I195&gt;=LI_B,IF($I195&lt;LS_B,$V195,0),0),0)</f>
        <v>0</v>
      </c>
      <c r="CA195" s="5">
        <f>IF($I$190="Producción",IF($I195&gt;=LI_C,IF($I195&lt;LS_C,$V195,0),0),0)</f>
        <v>0</v>
      </c>
      <c r="CB195" s="5">
        <f>IF($I$190="Producción",IF($I195&lt;LS_D,$V195,0),0)</f>
        <v>0</v>
      </c>
      <c r="CC195" s="5">
        <f>IF($I$190="Crecimiento",$V195,0)</f>
        <v>0</v>
      </c>
      <c r="CF195" s="5">
        <f>IF($J$190="Producción",IF($J195&gt;=LI_A,$W195,0),0)</f>
        <v>0</v>
      </c>
      <c r="CG195" s="5">
        <f>IF($J$190="Producción",IF($J195&gt;=LI_B,IF($J195&lt;LS_B,$W195,0),0),0)</f>
        <v>0</v>
      </c>
      <c r="CH195" s="5">
        <f>IF($J$190="Producción",IF($J195&gt;=LI_C,IF($J195&lt;LS_C,$W195,0),0),0)</f>
        <v>0</v>
      </c>
      <c r="CI195" s="5">
        <f>IF($J$190="Producción",IF($J195&lt;LS_D,$W195,0),0)</f>
        <v>0</v>
      </c>
      <c r="CJ195" s="5">
        <f>IF($J$190="Crecimiento",$W195,0)</f>
        <v>0</v>
      </c>
      <c r="CM195" s="5">
        <f>IF($K$190="Producción",IF($K195&gt;=LI_A,$X195,0),0)</f>
        <v>0</v>
      </c>
      <c r="CN195" s="5">
        <f>IF($K$190="Producción",IF($K195&gt;=LI_B,IF($K195&lt;LS_B,$X195,0),0),0)</f>
        <v>0</v>
      </c>
      <c r="CO195" s="5">
        <f>IF($K$190="Producción",IF($K195&gt;=LI_C,IF($K195&lt;LS_C,$X195,0),0),0)</f>
        <v>0</v>
      </c>
      <c r="CP195" s="5">
        <f>IF($K$190="Producción",IF($K195&lt;LS_D,$X195,0),0)</f>
        <v>0</v>
      </c>
      <c r="CQ195" s="5">
        <f>IF($K$190="Crecimiento",$X195,0)</f>
        <v>0</v>
      </c>
      <c r="CT195" s="5">
        <f>IF($L$190="Producción",IF($L195&gt;=LI_A,$Y195,0),0)</f>
        <v>0</v>
      </c>
      <c r="CU195" s="5">
        <f>IF($L$190="Producción",IF($L195&gt;=LI_B,IF($L195&lt;LS_B,$Y195,0),0),0)</f>
        <v>0</v>
      </c>
      <c r="CV195" s="5">
        <f>IF($L$190="Producción",IF($L195&gt;=LI_C,IF($L195&lt;LS_C,$Y195,0),0),0)</f>
        <v>0</v>
      </c>
      <c r="CW195" s="5">
        <f>IF($L$190="Producción",IF($L195&lt;LS_D,$Y195,0),0)</f>
        <v>0</v>
      </c>
      <c r="CX195" s="5">
        <f>IF($L$190="Crecimiento",$Y195,0)</f>
        <v>0</v>
      </c>
      <c r="DA195" s="5">
        <f>IF($M$190="Producción",IF($M195&gt;=LI_A,$Z195,0),0)</f>
        <v>0</v>
      </c>
      <c r="DB195" s="5">
        <f>IF($M$190="Producción",IF($M195&gt;=LI_B,IF($M195&lt;LS_B,$Z195,0),0),0)</f>
        <v>0</v>
      </c>
      <c r="DC195" s="5">
        <f>IF($M$190="Producción",IF($M195&gt;=LI_C,IF($M195&lt;LS_C,$Z195,0),0),0)</f>
        <v>0</v>
      </c>
      <c r="DD195" s="5">
        <f>IF($M$190="Producción",IF($M195&lt;LS_D,$Z195,0),0)</f>
        <v>0</v>
      </c>
      <c r="DE195" s="5">
        <f>IF($M$190="Crecimiento",$Z195,0)</f>
        <v>0</v>
      </c>
      <c r="DI195" s="5">
        <f t="shared" si="1431"/>
        <v>0</v>
      </c>
      <c r="DJ195" s="5">
        <f t="shared" si="1432"/>
        <v>0</v>
      </c>
      <c r="DK195" s="5">
        <f t="shared" si="1433"/>
        <v>0</v>
      </c>
      <c r="DL195" s="5">
        <f t="shared" si="1434"/>
        <v>0</v>
      </c>
      <c r="DM195" s="5">
        <f t="shared" si="1435"/>
        <v>0</v>
      </c>
      <c r="DN195" s="5">
        <f t="shared" si="1436"/>
        <v>0</v>
      </c>
      <c r="DO195" s="5">
        <f t="shared" si="1437"/>
        <v>0</v>
      </c>
      <c r="DP195" s="5">
        <f t="shared" si="1438"/>
        <v>0</v>
      </c>
      <c r="DQ195" s="5">
        <f t="shared" si="1439"/>
        <v>0</v>
      </c>
      <c r="DR195" s="5">
        <f t="shared" si="1440"/>
        <v>0</v>
      </c>
      <c r="DS195" s="5">
        <f t="shared" si="1441"/>
        <v>0</v>
      </c>
      <c r="DT195" s="5">
        <f t="shared" si="1442"/>
        <v>0</v>
      </c>
      <c r="DU195" s="5">
        <f t="shared" si="1443"/>
        <v>0</v>
      </c>
      <c r="DV195" s="5">
        <f t="shared" si="1444"/>
        <v>0</v>
      </c>
      <c r="DW195" s="5">
        <f t="shared" si="1445"/>
        <v>0</v>
      </c>
      <c r="DX195" s="5">
        <f t="shared" si="1446"/>
        <v>0</v>
      </c>
      <c r="DY195" s="5">
        <f t="shared" si="1447"/>
        <v>0</v>
      </c>
      <c r="DZ195" s="5">
        <f t="shared" si="1448"/>
        <v>0</v>
      </c>
      <c r="EA195" s="5">
        <f t="shared" si="1449"/>
        <v>0</v>
      </c>
      <c r="EB195" s="5">
        <f t="shared" si="1450"/>
        <v>0</v>
      </c>
      <c r="EC195" s="5">
        <f t="shared" si="1451"/>
        <v>0</v>
      </c>
      <c r="ED195" s="5">
        <f t="shared" si="1452"/>
        <v>0</v>
      </c>
      <c r="EE195" s="5">
        <f t="shared" si="1453"/>
        <v>0</v>
      </c>
      <c r="EF195" s="5">
        <f t="shared" si="1454"/>
        <v>0</v>
      </c>
      <c r="EG195" s="5">
        <f t="shared" si="1455"/>
        <v>0</v>
      </c>
      <c r="EH195" s="5">
        <f t="shared" si="1456"/>
        <v>0</v>
      </c>
      <c r="EI195" s="5">
        <f t="shared" si="1457"/>
        <v>0</v>
      </c>
      <c r="EJ195" s="5">
        <f t="shared" si="1458"/>
        <v>0</v>
      </c>
      <c r="EK195" s="5">
        <f t="shared" si="1459"/>
        <v>0</v>
      </c>
      <c r="EL195" s="5">
        <f t="shared" si="1460"/>
        <v>0</v>
      </c>
      <c r="EM195" s="5">
        <f t="shared" si="1461"/>
        <v>0</v>
      </c>
      <c r="EN195" s="5">
        <f t="shared" si="1462"/>
        <v>0</v>
      </c>
      <c r="EO195" s="5">
        <f t="shared" si="1463"/>
        <v>0</v>
      </c>
      <c r="EP195" s="5">
        <f t="shared" si="1464"/>
        <v>0</v>
      </c>
      <c r="EQ195" s="5">
        <f t="shared" si="1465"/>
        <v>0</v>
      </c>
      <c r="ER195" s="5">
        <f t="shared" si="1466"/>
        <v>0</v>
      </c>
      <c r="ES195" s="5">
        <f t="shared" si="1467"/>
        <v>0</v>
      </c>
      <c r="ET195" s="5">
        <f t="shared" si="1468"/>
        <v>0</v>
      </c>
      <c r="EU195" s="5">
        <f t="shared" si="1469"/>
        <v>0</v>
      </c>
      <c r="EV195" s="5">
        <f t="shared" si="1470"/>
        <v>0</v>
      </c>
      <c r="EW195" s="5">
        <f t="shared" si="1471"/>
        <v>0</v>
      </c>
      <c r="EX195" s="5">
        <f t="shared" si="1472"/>
        <v>0</v>
      </c>
      <c r="EY195" s="5">
        <f t="shared" si="1473"/>
        <v>0</v>
      </c>
      <c r="EZ195" s="5">
        <f t="shared" si="1474"/>
        <v>0</v>
      </c>
      <c r="FA195" s="5">
        <f t="shared" si="1475"/>
        <v>0</v>
      </c>
      <c r="FB195" s="5">
        <f t="shared" si="1476"/>
        <v>0</v>
      </c>
      <c r="FC195" s="5">
        <f t="shared" si="1477"/>
        <v>0</v>
      </c>
      <c r="FD195" s="5">
        <f t="shared" si="1478"/>
        <v>0</v>
      </c>
      <c r="FE195" s="5">
        <f t="shared" si="1479"/>
        <v>0</v>
      </c>
      <c r="FF195" s="5">
        <f t="shared" si="1480"/>
        <v>0</v>
      </c>
      <c r="FG195" s="5">
        <f t="shared" si="1481"/>
        <v>0</v>
      </c>
      <c r="FH195" s="5">
        <f t="shared" si="1482"/>
        <v>0</v>
      </c>
      <c r="FI195" s="5">
        <f t="shared" si="1483"/>
        <v>0</v>
      </c>
      <c r="FJ195" s="5">
        <f t="shared" si="1484"/>
        <v>0</v>
      </c>
      <c r="FK195" s="5">
        <f t="shared" si="1485"/>
        <v>0</v>
      </c>
      <c r="FL195" s="5">
        <f t="shared" si="1486"/>
        <v>0</v>
      </c>
      <c r="FM195" s="5">
        <f t="shared" si="1487"/>
        <v>0</v>
      </c>
      <c r="FN195" s="5">
        <f t="shared" si="1488"/>
        <v>0</v>
      </c>
      <c r="FO195" s="5">
        <f t="shared" si="1489"/>
        <v>0</v>
      </c>
      <c r="FP195" s="5">
        <f t="shared" si="1490"/>
        <v>0</v>
      </c>
    </row>
    <row r="196" spans="1:172" ht="20.100000000000001" customHeight="1" x14ac:dyDescent="0.3">
      <c r="A196" s="8" t="str">
        <f>IF(Ciclo=4,"Surco 4",IF(Ciclo=5,"Surco 4","NA"))</f>
        <v>NA</v>
      </c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O196" s="58">
        <f>IF($A196="NA",0,IFERROR('6'!O$99/Ciclo,0))</f>
        <v>0</v>
      </c>
      <c r="P196" s="58">
        <f>IF($A196="NA",0,IFERROR('6'!P$99/Ciclo,0))</f>
        <v>0</v>
      </c>
      <c r="Q196" s="58">
        <f>IF($A196="NA",0,IFERROR('6'!Q$99/Ciclo,0))</f>
        <v>0</v>
      </c>
      <c r="R196" s="58">
        <f>IF($A196="NA",0,IFERROR('6'!R$99/Ciclo,0))</f>
        <v>0</v>
      </c>
      <c r="S196" s="58">
        <f>IF($A196="NA",0,IFERROR('6'!S$99/Ciclo,0))</f>
        <v>0</v>
      </c>
      <c r="T196" s="58">
        <f>IF($A196="NA",0,IFERROR('6'!T$99/Ciclo,0))</f>
        <v>0</v>
      </c>
      <c r="U196" s="58">
        <f>IF($A196="NA",0,IFERROR('6'!U$99/Ciclo,0))</f>
        <v>0</v>
      </c>
      <c r="V196" s="58">
        <f>IF($A196="NA",0,IFERROR('6'!V$99/Ciclo,0))</f>
        <v>0</v>
      </c>
      <c r="W196" s="5">
        <f>IF($A196="NA",0,IFERROR('6'!W$99/Ciclo,0))</f>
        <v>0</v>
      </c>
      <c r="X196" s="5">
        <f>IF($A196="NA",0,IFERROR('6'!X$99/Ciclo,0))</f>
        <v>0</v>
      </c>
      <c r="Y196" s="5">
        <f>IF($A196="NA",0,IFERROR('6'!Y$99/Ciclo,0))</f>
        <v>0</v>
      </c>
      <c r="Z196" s="5">
        <f>IF($A196="NA",0,IFERROR('6'!Z$99/Ciclo,0))</f>
        <v>0</v>
      </c>
      <c r="AB196" s="5">
        <f>IF($B$190="Producción",IF($B196&gt;=LI_A,$O196,0),0)</f>
        <v>0</v>
      </c>
      <c r="AC196" s="5">
        <f>IF($B$190="Producción",IF($B196&gt;=LI_B,IF($B196&lt;LS_B,$O196,0),0),0)</f>
        <v>0</v>
      </c>
      <c r="AD196" s="5">
        <f>IF($B$190="Producción",IF($B196&gt;=LI_C,IF($B196&lt;LS_C,$O196,0),0),0)</f>
        <v>0</v>
      </c>
      <c r="AE196" s="5">
        <f>IF($B$190="Producción",IF($B196&lt;LS_D,$O196,0),0)</f>
        <v>0</v>
      </c>
      <c r="AF196" s="5">
        <f t="shared" si="1491"/>
        <v>0</v>
      </c>
      <c r="AI196" s="5">
        <f>IF($C$190="Producción",IF($C196&gt;=LI_A,$P196,0),0)</f>
        <v>0</v>
      </c>
      <c r="AJ196" s="5">
        <f>IF($C$190="Producción",IF($C196&gt;=LI_B,IF($C196&lt;LS_B,$P196,0),0),0)</f>
        <v>0</v>
      </c>
      <c r="AK196" s="5">
        <f>IF($C$190="Producción",IF($C196&gt;=LI_C,IF($C196&lt;LS_C,$P196,0),0),0)</f>
        <v>0</v>
      </c>
      <c r="AL196" s="5">
        <f>IF($C$190="Producción",IF($C196&lt;LS_D,$P196,0),0)</f>
        <v>0</v>
      </c>
      <c r="AM196" s="5">
        <f>IF($C$190="Crecimiento",$P196,0)</f>
        <v>0</v>
      </c>
      <c r="AP196" s="5">
        <f>IF($D$190="Producción",IF($D196&gt;=LI_A,$Q196,0),0)</f>
        <v>0</v>
      </c>
      <c r="AQ196" s="5">
        <f>IF($D$190="Producción",IF($D196&gt;=LI_B,IF($D196&lt;LS_B,$Q196,0),0),0)</f>
        <v>0</v>
      </c>
      <c r="AR196" s="5">
        <f>IF($D$190="Producción",IF($D196&gt;=LI_C,IF($D196&lt;LS_C,$Q196,0),0),0)</f>
        <v>0</v>
      </c>
      <c r="AS196" s="5">
        <f>IF($D$190="Producción",IF($D196&lt;LS_D,$Q196,0),0)</f>
        <v>0</v>
      </c>
      <c r="AT196" s="5">
        <f>IF($D$190="Crecimiento",IF($D196&gt;0,$Q196,0),0)</f>
        <v>0</v>
      </c>
      <c r="AW196" s="5">
        <f>IF($E$190="Producción",IF($E196&gt;=LI_A,$R196,0),0)</f>
        <v>0</v>
      </c>
      <c r="AX196" s="5">
        <f>IF($E$190="Producción",IF($E196&gt;=LI_B,IF($E196&lt;LS_B,$R196,0),0),0)</f>
        <v>0</v>
      </c>
      <c r="AY196" s="5">
        <f>IF($E$190="Producción",IF($E196&gt;=LI_C,IF($E196&lt;LS_C,$R196,0),0),0)</f>
        <v>0</v>
      </c>
      <c r="AZ196" s="5">
        <f>IF($E$190="Producción",IF($E196&lt;LS_D,$R196,0),0)</f>
        <v>0</v>
      </c>
      <c r="BA196" s="5">
        <f>IF($E$190="Crecimiento",$R196,0)</f>
        <v>0</v>
      </c>
      <c r="BD196" s="5">
        <f>IF($F$190="Producción",IF($F196&gt;=LI_A,$S196,0),0)</f>
        <v>0</v>
      </c>
      <c r="BE196" s="5">
        <f>IF($F$190="Producción",IF($F196&gt;=LI_B,IF($F196&lt;LS_B,$S196,0),0),0)</f>
        <v>0</v>
      </c>
      <c r="BF196" s="5">
        <f>IF($F$190="Producción",IF($F196&gt;=LI_C,IF($F196&lt;LS_C,$S196,0),0),0)</f>
        <v>0</v>
      </c>
      <c r="BG196" s="5">
        <f>IF($F$190="Producción",IF($F196&lt;LS_D,$S196,0),0)</f>
        <v>0</v>
      </c>
      <c r="BH196" s="5">
        <f>IF($F$190="Crecimiento",$S196,0)</f>
        <v>0</v>
      </c>
      <c r="BK196" s="5">
        <f>IF($G$190="Producción",IF($G196&gt;=LI_A,$T196,0),0)</f>
        <v>0</v>
      </c>
      <c r="BL196" s="5">
        <f>IF($G$190="Producción",IF($G196&gt;=LI_B,IF($G196&lt;LS_B,$T196,0),0),0)</f>
        <v>0</v>
      </c>
      <c r="BM196" s="5">
        <f>IF($G$190="Producción",IF($G196&gt;=LI_C,IF($G196&lt;LS_C,$T196,0),0),0)</f>
        <v>0</v>
      </c>
      <c r="BN196" s="5">
        <f>IF($G$190="Producción",IF($G196&lt;LS_D,$T196,0),0)</f>
        <v>0</v>
      </c>
      <c r="BO196" s="5">
        <f>IF($G$190="Crecimiento",$T196,0)</f>
        <v>0</v>
      </c>
      <c r="BR196" s="5">
        <f>IF($H$190="Producción",IF($H196&gt;=LI_A,$U196,0),0)</f>
        <v>0</v>
      </c>
      <c r="BS196" s="5">
        <f>IF($H$190="Producción",IF($H196&gt;=LI_B,IF($H196&lt;LS_B,$U196,0),0),0)</f>
        <v>0</v>
      </c>
      <c r="BT196" s="5">
        <f>IF($H$190="Producción",IF($H196&gt;=LI_C,IF($H196&lt;LS_C,$U196,0),0),0)</f>
        <v>0</v>
      </c>
      <c r="BU196" s="5">
        <f>IF($H$190="Producción",IF($H196&lt;LS_D,$U196,0),0)</f>
        <v>0</v>
      </c>
      <c r="BV196" s="5">
        <f>IF($H$190="Crecimiento",$T196,0)</f>
        <v>0</v>
      </c>
      <c r="BY196" s="5">
        <f>IF($I$190="Producción",IF($I196&gt;=LI_A,$V196,0),0)</f>
        <v>0</v>
      </c>
      <c r="BZ196" s="5">
        <f>IF($I$190="Producción",IF($I196&gt;=LI_B,IF($I196&lt;LS_B,$V196,0),0),0)</f>
        <v>0</v>
      </c>
      <c r="CA196" s="5">
        <f>IF($I$190="Producción",IF($I196&gt;=LI_C,IF($I196&lt;LS_C,$V196,0),0),0)</f>
        <v>0</v>
      </c>
      <c r="CB196" s="5">
        <f>IF($I$190="Producción",IF($I196&lt;LS_D,$V196,0),0)</f>
        <v>0</v>
      </c>
      <c r="CC196" s="5">
        <f>IF($I$190="Crecimiento",$V196,0)</f>
        <v>0</v>
      </c>
      <c r="CF196" s="5">
        <f>IF($J$190="Producción",IF($J196&gt;=LI_A,$W196,0),0)</f>
        <v>0</v>
      </c>
      <c r="CG196" s="5">
        <f>IF($J$190="Producción",IF($J196&gt;=LI_B,IF($J196&lt;LS_B,$W196,0),0),0)</f>
        <v>0</v>
      </c>
      <c r="CH196" s="5">
        <f>IF($J$190="Producción",IF($J196&gt;=LI_C,IF($J196&lt;LS_C,$W196,0),0),0)</f>
        <v>0</v>
      </c>
      <c r="CI196" s="5">
        <f>IF($J$190="Producción",IF($J196&lt;LS_D,$W196,0),0)</f>
        <v>0</v>
      </c>
      <c r="CJ196" s="5">
        <f>IF($J$190="Crecimiento",$W196,0)</f>
        <v>0</v>
      </c>
      <c r="CM196" s="5">
        <f>IF($K$190="Producción",IF($K196&gt;=LI_A,$X196,0),0)</f>
        <v>0</v>
      </c>
      <c r="CN196" s="5">
        <f>IF($K$190="Producción",IF($K196&gt;=LI_B,IF($K196&lt;LS_B,$X196,0),0),0)</f>
        <v>0</v>
      </c>
      <c r="CO196" s="5">
        <f>IF($K$190="Producción",IF($K196&gt;=LI_C,IF($K196&lt;LS_C,$X196,0),0),0)</f>
        <v>0</v>
      </c>
      <c r="CP196" s="5">
        <f>IF($K$190="Producción",IF($K196&lt;LS_D,$X196,0),0)</f>
        <v>0</v>
      </c>
      <c r="CQ196" s="5">
        <f>IF($K$190="Crecimiento",$X196,0)</f>
        <v>0</v>
      </c>
      <c r="CT196" s="5">
        <f>IF($L$190="Producción",IF($L196&gt;=LI_A,$Y196,0),0)</f>
        <v>0</v>
      </c>
      <c r="CU196" s="5">
        <f>IF($L$190="Producción",IF($L196&gt;=LI_B,IF($L196&lt;LS_B,$Y196,0),0),0)</f>
        <v>0</v>
      </c>
      <c r="CV196" s="5">
        <f>IF($L$190="Producción",IF($L196&gt;=LI_C,IF($L196&lt;LS_C,$Y196,0),0),0)</f>
        <v>0</v>
      </c>
      <c r="CW196" s="5">
        <f>IF($L$190="Producción",IF($L196&lt;LS_D,$Y196,0),0)</f>
        <v>0</v>
      </c>
      <c r="CX196" s="5">
        <f>IF($L$190="Crecimiento",$Y196,0)</f>
        <v>0</v>
      </c>
      <c r="DA196" s="5">
        <f>IF($M$190="Producción",IF($M196&gt;=LI_A,$Z196,0),0)</f>
        <v>0</v>
      </c>
      <c r="DB196" s="5">
        <f>IF($M$190="Producción",IF($M196&gt;=LI_B,IF($M196&lt;LS_B,$Z196,0),0),0)</f>
        <v>0</v>
      </c>
      <c r="DC196" s="5">
        <f>IF($M$190="Producción",IF($M196&gt;=LI_C,IF($M196&lt;LS_C,$Z196,0),0),0)</f>
        <v>0</v>
      </c>
      <c r="DD196" s="5">
        <f>IF($M$190="Producción",IF($M196&lt;LS_D,$Z196,0),0)</f>
        <v>0</v>
      </c>
      <c r="DE196" s="5">
        <f>IF($M$190="Crecimiento",$Z196,0)</f>
        <v>0</v>
      </c>
      <c r="DI196" s="5">
        <f t="shared" si="1431"/>
        <v>0</v>
      </c>
      <c r="DJ196" s="5">
        <f t="shared" si="1432"/>
        <v>0</v>
      </c>
      <c r="DK196" s="5">
        <f t="shared" si="1433"/>
        <v>0</v>
      </c>
      <c r="DL196" s="5">
        <f t="shared" si="1434"/>
        <v>0</v>
      </c>
      <c r="DM196" s="5">
        <f t="shared" si="1435"/>
        <v>0</v>
      </c>
      <c r="DN196" s="5">
        <f t="shared" si="1436"/>
        <v>0</v>
      </c>
      <c r="DO196" s="5">
        <f t="shared" si="1437"/>
        <v>0</v>
      </c>
      <c r="DP196" s="5">
        <f t="shared" si="1438"/>
        <v>0</v>
      </c>
      <c r="DQ196" s="5">
        <f t="shared" si="1439"/>
        <v>0</v>
      </c>
      <c r="DR196" s="5">
        <f t="shared" si="1440"/>
        <v>0</v>
      </c>
      <c r="DS196" s="5">
        <f t="shared" si="1441"/>
        <v>0</v>
      </c>
      <c r="DT196" s="5">
        <f t="shared" si="1442"/>
        <v>0</v>
      </c>
      <c r="DU196" s="5">
        <f t="shared" si="1443"/>
        <v>0</v>
      </c>
      <c r="DV196" s="5">
        <f t="shared" si="1444"/>
        <v>0</v>
      </c>
      <c r="DW196" s="5">
        <f t="shared" si="1445"/>
        <v>0</v>
      </c>
      <c r="DX196" s="5">
        <f t="shared" si="1446"/>
        <v>0</v>
      </c>
      <c r="DY196" s="5">
        <f t="shared" si="1447"/>
        <v>0</v>
      </c>
      <c r="DZ196" s="5">
        <f t="shared" si="1448"/>
        <v>0</v>
      </c>
      <c r="EA196" s="5">
        <f t="shared" si="1449"/>
        <v>0</v>
      </c>
      <c r="EB196" s="5">
        <f t="shared" si="1450"/>
        <v>0</v>
      </c>
      <c r="EC196" s="5">
        <f t="shared" si="1451"/>
        <v>0</v>
      </c>
      <c r="ED196" s="5">
        <f t="shared" si="1452"/>
        <v>0</v>
      </c>
      <c r="EE196" s="5">
        <f t="shared" si="1453"/>
        <v>0</v>
      </c>
      <c r="EF196" s="5">
        <f t="shared" si="1454"/>
        <v>0</v>
      </c>
      <c r="EG196" s="5">
        <f t="shared" si="1455"/>
        <v>0</v>
      </c>
      <c r="EH196" s="5">
        <f t="shared" si="1456"/>
        <v>0</v>
      </c>
      <c r="EI196" s="5">
        <f t="shared" si="1457"/>
        <v>0</v>
      </c>
      <c r="EJ196" s="5">
        <f t="shared" si="1458"/>
        <v>0</v>
      </c>
      <c r="EK196" s="5">
        <f t="shared" si="1459"/>
        <v>0</v>
      </c>
      <c r="EL196" s="5">
        <f t="shared" si="1460"/>
        <v>0</v>
      </c>
      <c r="EM196" s="5">
        <f t="shared" si="1461"/>
        <v>0</v>
      </c>
      <c r="EN196" s="5">
        <f t="shared" si="1462"/>
        <v>0</v>
      </c>
      <c r="EO196" s="5">
        <f t="shared" si="1463"/>
        <v>0</v>
      </c>
      <c r="EP196" s="5">
        <f t="shared" si="1464"/>
        <v>0</v>
      </c>
      <c r="EQ196" s="5">
        <f t="shared" si="1465"/>
        <v>0</v>
      </c>
      <c r="ER196" s="5">
        <f t="shared" si="1466"/>
        <v>0</v>
      </c>
      <c r="ES196" s="5">
        <f t="shared" si="1467"/>
        <v>0</v>
      </c>
      <c r="ET196" s="5">
        <f t="shared" si="1468"/>
        <v>0</v>
      </c>
      <c r="EU196" s="5">
        <f t="shared" si="1469"/>
        <v>0</v>
      </c>
      <c r="EV196" s="5">
        <f t="shared" si="1470"/>
        <v>0</v>
      </c>
      <c r="EW196" s="5">
        <f t="shared" si="1471"/>
        <v>0</v>
      </c>
      <c r="EX196" s="5">
        <f t="shared" si="1472"/>
        <v>0</v>
      </c>
      <c r="EY196" s="5">
        <f t="shared" si="1473"/>
        <v>0</v>
      </c>
      <c r="EZ196" s="5">
        <f t="shared" si="1474"/>
        <v>0</v>
      </c>
      <c r="FA196" s="5">
        <f t="shared" si="1475"/>
        <v>0</v>
      </c>
      <c r="FB196" s="5">
        <f t="shared" si="1476"/>
        <v>0</v>
      </c>
      <c r="FC196" s="5">
        <f t="shared" si="1477"/>
        <v>0</v>
      </c>
      <c r="FD196" s="5">
        <f t="shared" si="1478"/>
        <v>0</v>
      </c>
      <c r="FE196" s="5">
        <f t="shared" si="1479"/>
        <v>0</v>
      </c>
      <c r="FF196" s="5">
        <f t="shared" si="1480"/>
        <v>0</v>
      </c>
      <c r="FG196" s="5">
        <f t="shared" si="1481"/>
        <v>0</v>
      </c>
      <c r="FH196" s="5">
        <f t="shared" si="1482"/>
        <v>0</v>
      </c>
      <c r="FI196" s="5">
        <f t="shared" si="1483"/>
        <v>0</v>
      </c>
      <c r="FJ196" s="5">
        <f t="shared" si="1484"/>
        <v>0</v>
      </c>
      <c r="FK196" s="5">
        <f t="shared" si="1485"/>
        <v>0</v>
      </c>
      <c r="FL196" s="5">
        <f t="shared" si="1486"/>
        <v>0</v>
      </c>
      <c r="FM196" s="5">
        <f t="shared" si="1487"/>
        <v>0</v>
      </c>
      <c r="FN196" s="5">
        <f t="shared" si="1488"/>
        <v>0</v>
      </c>
      <c r="FO196" s="5">
        <f t="shared" si="1489"/>
        <v>0</v>
      </c>
      <c r="FP196" s="5">
        <f t="shared" si="1490"/>
        <v>0</v>
      </c>
    </row>
    <row r="197" spans="1:172" ht="20.100000000000001" customHeight="1" x14ac:dyDescent="0.3">
      <c r="A197" s="9" t="str">
        <f>IF(Ciclo=5,"Surco 5","NA")</f>
        <v>NA</v>
      </c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O197" s="58">
        <f>IF($A197="NA",0,IFERROR('6'!O$99/Ciclo,0))</f>
        <v>0</v>
      </c>
      <c r="P197" s="58">
        <f>IF($A197="NA",0,IFERROR('6'!P$99/Ciclo,0))</f>
        <v>0</v>
      </c>
      <c r="Q197" s="58">
        <f>IF($A197="NA",0,IFERROR('6'!Q$99/Ciclo,0))</f>
        <v>0</v>
      </c>
      <c r="R197" s="58">
        <f>IF($A197="NA",0,IFERROR('6'!R$99/Ciclo,0))</f>
        <v>0</v>
      </c>
      <c r="S197" s="58">
        <f>IF($A197="NA",0,IFERROR('6'!S$99/Ciclo,0))</f>
        <v>0</v>
      </c>
      <c r="T197" s="58">
        <f>IF($A197="NA",0,IFERROR('6'!T$99/Ciclo,0))</f>
        <v>0</v>
      </c>
      <c r="U197" s="58">
        <f>IF($A197="NA",0,IFERROR('6'!U$99/Ciclo,0))</f>
        <v>0</v>
      </c>
      <c r="V197" s="58">
        <f>IF($A197="NA",0,IFERROR('6'!V$99/Ciclo,0))</f>
        <v>0</v>
      </c>
      <c r="W197" s="5">
        <f>IF($A197="NA",0,IFERROR('6'!W$99/Ciclo,0))</f>
        <v>0</v>
      </c>
      <c r="X197" s="5">
        <f>IF($A197="NA",0,IFERROR('6'!X$99/Ciclo,0))</f>
        <v>0</v>
      </c>
      <c r="Y197" s="5">
        <f>IF($A197="NA",0,IFERROR('6'!Y$99/Ciclo,0))</f>
        <v>0</v>
      </c>
      <c r="Z197" s="5">
        <f>IF($A197="NA",0,IFERROR('6'!Z$99/Ciclo,0))</f>
        <v>0</v>
      </c>
      <c r="AB197" s="5">
        <f>IF($B$190="Producción",IF($B197&gt;=LI_A,$O197,0),0)</f>
        <v>0</v>
      </c>
      <c r="AC197" s="5">
        <f>IF($B$190="Producción",IF($B197&gt;=LI_B,IF($B197&lt;LS_B,$O197,0),0),0)</f>
        <v>0</v>
      </c>
      <c r="AD197" s="5">
        <f>IF($B$190="Producción",IF($B197&gt;=LI_C,IF($B197&lt;LS_C,$O197,0),0),0)</f>
        <v>0</v>
      </c>
      <c r="AE197" s="5">
        <f>IF($B$190="Producción",IF($B197&lt;LS_D,$O197,0),0)</f>
        <v>0</v>
      </c>
      <c r="AF197" s="5">
        <f t="shared" si="1491"/>
        <v>0</v>
      </c>
      <c r="AI197" s="5">
        <f>IF($C$190="Producción",IF($C197&gt;=LI_A,$P197,0),0)</f>
        <v>0</v>
      </c>
      <c r="AJ197" s="5">
        <f>IF($C$190="Producción",IF($C197&gt;=LI_B,IF($C197&lt;LS_B,$P197,0),0),0)</f>
        <v>0</v>
      </c>
      <c r="AK197" s="5">
        <f>IF($C$190="Producción",IF($C197&gt;=LI_C,IF($C197&lt;LS_C,$P197,0),0),0)</f>
        <v>0</v>
      </c>
      <c r="AL197" s="5">
        <f>IF($C$190="Producción",IF($C197&lt;LS_D,$P197,0),0)</f>
        <v>0</v>
      </c>
      <c r="AM197" s="5">
        <f>IF($C$190="Crecimiento",$P197,0)</f>
        <v>0</v>
      </c>
      <c r="AP197" s="5">
        <f>IF($D$190="Producción",IF($D197&gt;=LI_A,$Q197,0),0)</f>
        <v>0</v>
      </c>
      <c r="AQ197" s="5">
        <f>IF($D$190="Producción",IF($D197&gt;=LI_B,IF($D197&lt;LS_B,$Q197,0),0),0)</f>
        <v>0</v>
      </c>
      <c r="AR197" s="5">
        <f>IF($D$190="Producción",IF($D197&gt;=LI_C,IF($D197&lt;LS_C,$Q197,0),0),0)</f>
        <v>0</v>
      </c>
      <c r="AS197" s="5">
        <f>IF($D$190="Producción",IF($D197&lt;LS_D,$Q197,0),0)</f>
        <v>0</v>
      </c>
      <c r="AT197" s="5">
        <f>IF($D$190="Crecimiento",IF($D197&gt;0,$Q197,0),0)</f>
        <v>0</v>
      </c>
      <c r="AW197" s="5">
        <f>IF($E$190="Producción",IF($E197&gt;=LI_A,$R197,0),0)</f>
        <v>0</v>
      </c>
      <c r="AX197" s="5">
        <f>IF($E$190="Producción",IF($E197&gt;=LI_B,IF($E197&lt;LS_B,$R197,0),0),0)</f>
        <v>0</v>
      </c>
      <c r="AY197" s="5">
        <f>IF($E$190="Producción",IF($E197&gt;=LI_C,IF($E197&lt;LS_C,$R197,0),0),0)</f>
        <v>0</v>
      </c>
      <c r="AZ197" s="5">
        <f>IF($E$190="Producción",IF($E197&lt;LS_D,$R197,0),0)</f>
        <v>0</v>
      </c>
      <c r="BA197" s="5">
        <f>IF($E$190="Crecimiento",$R197,0)</f>
        <v>0</v>
      </c>
      <c r="BD197" s="5">
        <f>IF($F$190="Producción",IF($F197&gt;=LI_A,$S197,0),0)</f>
        <v>0</v>
      </c>
      <c r="BE197" s="5">
        <f>IF($F$190="Producción",IF($F197&gt;=LI_B,IF($F197&lt;LS_B,$S197,0),0),0)</f>
        <v>0</v>
      </c>
      <c r="BF197" s="5">
        <f>IF($F$190="Producción",IF($F197&gt;=LI_C,IF($F197&lt;LS_C,$S197,0),0),0)</f>
        <v>0</v>
      </c>
      <c r="BG197" s="5">
        <f>IF($F$190="Producción",IF($F197&lt;LS_D,$S197,0),0)</f>
        <v>0</v>
      </c>
      <c r="BH197" s="5">
        <f>IF($F$190="Crecimiento",$S197,0)</f>
        <v>0</v>
      </c>
      <c r="BK197" s="5">
        <f>IF($G$190="Producción",IF($G197&gt;=LI_A,$T197,0),0)</f>
        <v>0</v>
      </c>
      <c r="BL197" s="5">
        <f>IF($G$190="Producción",IF($G197&gt;=LI_B,IF($G197&lt;LS_B,$T197,0),0),0)</f>
        <v>0</v>
      </c>
      <c r="BM197" s="5">
        <f>IF($G$190="Producción",IF($G197&gt;=LI_C,IF($G197&lt;LS_C,$T197,0),0),0)</f>
        <v>0</v>
      </c>
      <c r="BN197" s="5">
        <f>IF($G$190="Producción",IF($G197&lt;LS_D,$T197,0),0)</f>
        <v>0</v>
      </c>
      <c r="BO197" s="5">
        <f>IF($G$190="Crecimiento",$T197,0)</f>
        <v>0</v>
      </c>
      <c r="BR197" s="5">
        <f>IF($H$190="Producción",IF($H197&gt;=LI_A,$U197,0),0)</f>
        <v>0</v>
      </c>
      <c r="BS197" s="5">
        <f>IF($H$190="Producción",IF($H197&gt;=LI_B,IF($H197&lt;LS_B,$U197,0),0),0)</f>
        <v>0</v>
      </c>
      <c r="BT197" s="5">
        <f>IF($H$190="Producción",IF($H197&gt;=LI_C,IF($H197&lt;LS_C,$U197,0),0),0)</f>
        <v>0</v>
      </c>
      <c r="BU197" s="5">
        <f>IF($H$190="Producción",IF($H197&lt;LS_D,$U197,0),0)</f>
        <v>0</v>
      </c>
      <c r="BV197" s="5">
        <f>IF($H$190="Crecimiento",$T197,0)</f>
        <v>0</v>
      </c>
      <c r="BY197" s="5">
        <f>IF($I$190="Producción",IF($I197&gt;=LI_A,$V197,0),0)</f>
        <v>0</v>
      </c>
      <c r="BZ197" s="5">
        <f>IF($I$190="Producción",IF($I197&gt;=LI_B,IF($I197&lt;LS_B,$V197,0),0),0)</f>
        <v>0</v>
      </c>
      <c r="CA197" s="5">
        <f>IF($I$190="Producción",IF($I197&gt;=LI_C,IF($I197&lt;LS_C,$V197,0),0),0)</f>
        <v>0</v>
      </c>
      <c r="CB197" s="5">
        <f>IF($I$190="Producción",IF($I197&lt;LS_D,$V197,0),0)</f>
        <v>0</v>
      </c>
      <c r="CC197" s="5">
        <f>IF($I$190="Crecimiento",$V197,0)</f>
        <v>0</v>
      </c>
      <c r="CF197" s="5">
        <f>IF($J$190="Producción",IF($J197&gt;=LI_A,$W197,0),0)</f>
        <v>0</v>
      </c>
      <c r="CG197" s="5">
        <f>IF($J$190="Producción",IF($J197&gt;=LI_B,IF($J197&lt;LS_B,$W197,0),0),0)</f>
        <v>0</v>
      </c>
      <c r="CH197" s="5">
        <f>IF($J$190="Producción",IF($J197&gt;=LI_C,IF($J197&lt;LS_C,$W197,0),0),0)</f>
        <v>0</v>
      </c>
      <c r="CI197" s="5">
        <f>IF($J$190="Producción",IF($J197&lt;LS_D,$W197,0),0)</f>
        <v>0</v>
      </c>
      <c r="CJ197" s="5">
        <f>IF($J$190="Crecimiento",$W197,0)</f>
        <v>0</v>
      </c>
      <c r="CM197" s="5">
        <f>IF($K$190="Producción",IF($K197&gt;=LI_A,$X197,0),0)</f>
        <v>0</v>
      </c>
      <c r="CN197" s="5">
        <f>IF($K$190="Producción",IF($K197&gt;=LI_B,IF($K197&lt;LS_B,$X197,0),0),0)</f>
        <v>0</v>
      </c>
      <c r="CO197" s="5">
        <f>IF($K$190="Producción",IF($K197&gt;=LI_C,IF($K197&lt;LS_C,$X197,0),0),0)</f>
        <v>0</v>
      </c>
      <c r="CP197" s="5">
        <f>IF($K$190="Producción",IF($K197&lt;LS_D,$X197,0),0)</f>
        <v>0</v>
      </c>
      <c r="CQ197" s="5">
        <f>IF($K$190="Crecimiento",$X197,0)</f>
        <v>0</v>
      </c>
      <c r="CT197" s="5">
        <f>IF($L$190="Producción",IF($L197&gt;=LI_A,$Y197,0),0)</f>
        <v>0</v>
      </c>
      <c r="CU197" s="5">
        <f>IF($L$190="Producción",IF($L197&gt;=LI_B,IF($L197&lt;LS_B,$Y197,0),0),0)</f>
        <v>0</v>
      </c>
      <c r="CV197" s="5">
        <f>IF($L$190="Producción",IF($L197&gt;=LI_C,IF($L197&lt;LS_C,$Y197,0),0),0)</f>
        <v>0</v>
      </c>
      <c r="CW197" s="5">
        <f>IF($L$190="Producción",IF($L197&lt;LS_D,$Y197,0),0)</f>
        <v>0</v>
      </c>
      <c r="CX197" s="5">
        <f>IF($L$190="Crecimiento",$Y197,0)</f>
        <v>0</v>
      </c>
      <c r="DA197" s="5">
        <f>IF($M$190="Producción",IF($M197&gt;=LI_A,$Z197,0),0)</f>
        <v>0</v>
      </c>
      <c r="DB197" s="5">
        <f>IF($M$190="Producción",IF($M197&gt;=LI_B,IF($M197&lt;LS_B,$Z197,0),0),0)</f>
        <v>0</v>
      </c>
      <c r="DC197" s="5">
        <f>IF($M$190="Producción",IF($M197&gt;=LI_C,IF($M197&lt;LS_C,$Z197,0),0),0)</f>
        <v>0</v>
      </c>
      <c r="DD197" s="5">
        <f>IF($M$190="Producción",IF($M197&lt;LS_D,$Z197,0),0)</f>
        <v>0</v>
      </c>
      <c r="DE197" s="5">
        <f>IF($M$190="Crecimiento",$Z197,0)</f>
        <v>0</v>
      </c>
      <c r="DI197" s="5">
        <f t="shared" si="1431"/>
        <v>0</v>
      </c>
      <c r="DJ197" s="5">
        <f t="shared" si="1432"/>
        <v>0</v>
      </c>
      <c r="DK197" s="5">
        <f t="shared" si="1433"/>
        <v>0</v>
      </c>
      <c r="DL197" s="5">
        <f t="shared" si="1434"/>
        <v>0</v>
      </c>
      <c r="DM197" s="5">
        <f t="shared" si="1435"/>
        <v>0</v>
      </c>
      <c r="DN197" s="5">
        <f t="shared" si="1436"/>
        <v>0</v>
      </c>
      <c r="DO197" s="5">
        <f t="shared" si="1437"/>
        <v>0</v>
      </c>
      <c r="DP197" s="5">
        <f t="shared" si="1438"/>
        <v>0</v>
      </c>
      <c r="DQ197" s="5">
        <f t="shared" si="1439"/>
        <v>0</v>
      </c>
      <c r="DR197" s="5">
        <f t="shared" si="1440"/>
        <v>0</v>
      </c>
      <c r="DS197" s="5">
        <f t="shared" si="1441"/>
        <v>0</v>
      </c>
      <c r="DT197" s="5">
        <f t="shared" si="1442"/>
        <v>0</v>
      </c>
      <c r="DU197" s="5">
        <f t="shared" si="1443"/>
        <v>0</v>
      </c>
      <c r="DV197" s="5">
        <f t="shared" si="1444"/>
        <v>0</v>
      </c>
      <c r="DW197" s="5">
        <f t="shared" si="1445"/>
        <v>0</v>
      </c>
      <c r="DX197" s="5">
        <f t="shared" si="1446"/>
        <v>0</v>
      </c>
      <c r="DY197" s="5">
        <f t="shared" si="1447"/>
        <v>0</v>
      </c>
      <c r="DZ197" s="5">
        <f t="shared" si="1448"/>
        <v>0</v>
      </c>
      <c r="EA197" s="5">
        <f t="shared" si="1449"/>
        <v>0</v>
      </c>
      <c r="EB197" s="5">
        <f t="shared" si="1450"/>
        <v>0</v>
      </c>
      <c r="EC197" s="5">
        <f t="shared" si="1451"/>
        <v>0</v>
      </c>
      <c r="ED197" s="5">
        <f t="shared" si="1452"/>
        <v>0</v>
      </c>
      <c r="EE197" s="5">
        <f t="shared" si="1453"/>
        <v>0</v>
      </c>
      <c r="EF197" s="5">
        <f t="shared" si="1454"/>
        <v>0</v>
      </c>
      <c r="EG197" s="5">
        <f t="shared" si="1455"/>
        <v>0</v>
      </c>
      <c r="EH197" s="5">
        <f t="shared" si="1456"/>
        <v>0</v>
      </c>
      <c r="EI197" s="5">
        <f t="shared" si="1457"/>
        <v>0</v>
      </c>
      <c r="EJ197" s="5">
        <f t="shared" si="1458"/>
        <v>0</v>
      </c>
      <c r="EK197" s="5">
        <f t="shared" si="1459"/>
        <v>0</v>
      </c>
      <c r="EL197" s="5">
        <f t="shared" si="1460"/>
        <v>0</v>
      </c>
      <c r="EM197" s="5">
        <f t="shared" si="1461"/>
        <v>0</v>
      </c>
      <c r="EN197" s="5">
        <f t="shared" si="1462"/>
        <v>0</v>
      </c>
      <c r="EO197" s="5">
        <f t="shared" si="1463"/>
        <v>0</v>
      </c>
      <c r="EP197" s="5">
        <f t="shared" si="1464"/>
        <v>0</v>
      </c>
      <c r="EQ197" s="5">
        <f t="shared" si="1465"/>
        <v>0</v>
      </c>
      <c r="ER197" s="5">
        <f t="shared" si="1466"/>
        <v>0</v>
      </c>
      <c r="ES197" s="5">
        <f t="shared" si="1467"/>
        <v>0</v>
      </c>
      <c r="ET197" s="5">
        <f t="shared" si="1468"/>
        <v>0</v>
      </c>
      <c r="EU197" s="5">
        <f t="shared" si="1469"/>
        <v>0</v>
      </c>
      <c r="EV197" s="5">
        <f t="shared" si="1470"/>
        <v>0</v>
      </c>
      <c r="EW197" s="5">
        <f t="shared" si="1471"/>
        <v>0</v>
      </c>
      <c r="EX197" s="5">
        <f t="shared" si="1472"/>
        <v>0</v>
      </c>
      <c r="EY197" s="5">
        <f t="shared" si="1473"/>
        <v>0</v>
      </c>
      <c r="EZ197" s="5">
        <f t="shared" si="1474"/>
        <v>0</v>
      </c>
      <c r="FA197" s="5">
        <f t="shared" si="1475"/>
        <v>0</v>
      </c>
      <c r="FB197" s="5">
        <f t="shared" si="1476"/>
        <v>0</v>
      </c>
      <c r="FC197" s="5">
        <f t="shared" si="1477"/>
        <v>0</v>
      </c>
      <c r="FD197" s="5">
        <f t="shared" si="1478"/>
        <v>0</v>
      </c>
      <c r="FE197" s="5">
        <f t="shared" si="1479"/>
        <v>0</v>
      </c>
      <c r="FF197" s="5">
        <f t="shared" si="1480"/>
        <v>0</v>
      </c>
      <c r="FG197" s="5">
        <f t="shared" si="1481"/>
        <v>0</v>
      </c>
      <c r="FH197" s="5">
        <f t="shared" si="1482"/>
        <v>0</v>
      </c>
      <c r="FI197" s="5">
        <f t="shared" si="1483"/>
        <v>0</v>
      </c>
      <c r="FJ197" s="5">
        <f t="shared" si="1484"/>
        <v>0</v>
      </c>
      <c r="FK197" s="5">
        <f t="shared" si="1485"/>
        <v>0</v>
      </c>
      <c r="FL197" s="5">
        <f t="shared" si="1486"/>
        <v>0</v>
      </c>
      <c r="FM197" s="5">
        <f t="shared" si="1487"/>
        <v>0</v>
      </c>
      <c r="FN197" s="5">
        <f t="shared" si="1488"/>
        <v>0</v>
      </c>
      <c r="FO197" s="5">
        <f t="shared" si="1489"/>
        <v>0</v>
      </c>
      <c r="FP197" s="5">
        <f t="shared" si="1490"/>
        <v>0</v>
      </c>
    </row>
    <row r="198" spans="1:172" ht="20.100000000000001" customHeight="1" x14ac:dyDescent="0.3">
      <c r="A198" s="172">
        <f>N_L25</f>
        <v>0</v>
      </c>
      <c r="B198" s="363" t="s">
        <v>37</v>
      </c>
      <c r="C198" s="363" t="s">
        <v>37</v>
      </c>
      <c r="D198" s="363" t="s">
        <v>37</v>
      </c>
      <c r="E198" s="363" t="s">
        <v>37</v>
      </c>
      <c r="F198" s="363" t="s">
        <v>37</v>
      </c>
      <c r="G198" s="363" t="s">
        <v>37</v>
      </c>
      <c r="H198" s="363" t="s">
        <v>37</v>
      </c>
      <c r="I198" s="363" t="s">
        <v>37</v>
      </c>
      <c r="J198" s="363" t="s">
        <v>37</v>
      </c>
      <c r="K198" s="363" t="s">
        <v>37</v>
      </c>
      <c r="L198" s="363" t="s">
        <v>37</v>
      </c>
      <c r="M198" s="363" t="s">
        <v>37</v>
      </c>
    </row>
    <row r="199" spans="1:172" ht="20.100000000000001" customHeight="1" x14ac:dyDescent="0.3">
      <c r="A199" s="175" t="s">
        <v>238</v>
      </c>
      <c r="B199" s="174">
        <f>SUM(DI201:DM205)/100</f>
        <v>0</v>
      </c>
      <c r="C199" s="174">
        <f>SUM(DN201:DR205)/100</f>
        <v>0</v>
      </c>
      <c r="D199" s="174">
        <f>SUM(DS201:DW205)/100</f>
        <v>0</v>
      </c>
      <c r="E199" s="174">
        <f>SUM(DX201:EB205)/100</f>
        <v>0</v>
      </c>
      <c r="F199" s="174">
        <f>SUM(EC201:EG205)/100</f>
        <v>0</v>
      </c>
      <c r="G199" s="174">
        <f>SUM(EH201:EL205)/100</f>
        <v>0</v>
      </c>
      <c r="H199" s="174">
        <f>SUM(EM201:EQ205)/100</f>
        <v>0</v>
      </c>
      <c r="I199" s="174">
        <f>SUM(ER201:EV205)/100</f>
        <v>0</v>
      </c>
      <c r="J199" s="174">
        <f>SUM(EW201:FA205)/100</f>
        <v>0</v>
      </c>
      <c r="K199" s="174">
        <f>SUM(FB201:FF205)/100</f>
        <v>0</v>
      </c>
      <c r="L199" s="174">
        <f>SUM(FG201:FK205)/100</f>
        <v>0</v>
      </c>
      <c r="M199" s="174">
        <f>SUM(FL201:FP205)/100</f>
        <v>0</v>
      </c>
    </row>
    <row r="200" spans="1:172" ht="20.100000000000001" customHeight="1" x14ac:dyDescent="0.3">
      <c r="A200" s="151" t="s">
        <v>239</v>
      </c>
      <c r="B200" s="152" t="e">
        <f t="shared" ref="B200:M200" si="1492">B199/Lote_25</f>
        <v>#DIV/0!</v>
      </c>
      <c r="C200" s="152" t="e">
        <f t="shared" si="1492"/>
        <v>#DIV/0!</v>
      </c>
      <c r="D200" s="152" t="e">
        <f t="shared" si="1492"/>
        <v>#DIV/0!</v>
      </c>
      <c r="E200" s="152" t="e">
        <f t="shared" si="1492"/>
        <v>#DIV/0!</v>
      </c>
      <c r="F200" s="152" t="e">
        <f t="shared" si="1492"/>
        <v>#DIV/0!</v>
      </c>
      <c r="G200" s="152" t="e">
        <f t="shared" si="1492"/>
        <v>#DIV/0!</v>
      </c>
      <c r="H200" s="152" t="e">
        <f t="shared" si="1492"/>
        <v>#DIV/0!</v>
      </c>
      <c r="I200" s="152" t="e">
        <f t="shared" si="1492"/>
        <v>#DIV/0!</v>
      </c>
      <c r="J200" s="152" t="e">
        <f t="shared" si="1492"/>
        <v>#DIV/0!</v>
      </c>
      <c r="K200" s="152" t="e">
        <f t="shared" si="1492"/>
        <v>#DIV/0!</v>
      </c>
      <c r="L200" s="152" t="e">
        <f t="shared" si="1492"/>
        <v>#DIV/0!</v>
      </c>
      <c r="M200" s="152" t="e">
        <f t="shared" si="1492"/>
        <v>#DIV/0!</v>
      </c>
    </row>
    <row r="201" spans="1:172" ht="20.100000000000001" customHeight="1" x14ac:dyDescent="0.3">
      <c r="A201" s="8" t="s">
        <v>302</v>
      </c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O201" s="58">
        <f>IFERROR('6'!O$103/Ciclo,0)</f>
        <v>0</v>
      </c>
      <c r="P201" s="58">
        <f>IFERROR('6'!P$103/Ciclo,0)</f>
        <v>0</v>
      </c>
      <c r="Q201" s="58">
        <f>IFERROR('6'!Q$103/Ciclo,0)</f>
        <v>0</v>
      </c>
      <c r="R201" s="58">
        <f>IFERROR('6'!R$103/Ciclo,0)</f>
        <v>0</v>
      </c>
      <c r="S201" s="58">
        <f>IFERROR('6'!S$103/Ciclo,0)</f>
        <v>0</v>
      </c>
      <c r="T201" s="58">
        <f>IFERROR('6'!T$103/Ciclo,0)</f>
        <v>0</v>
      </c>
      <c r="U201" s="58">
        <f>IFERROR('6'!U$103/Ciclo,0)</f>
        <v>0</v>
      </c>
      <c r="V201" s="58">
        <f>IFERROR('6'!V$103/Ciclo,0)</f>
        <v>0</v>
      </c>
      <c r="W201" s="5">
        <f>IFERROR('6'!W$103/Ciclo,0)</f>
        <v>0</v>
      </c>
      <c r="X201" s="5">
        <f>IFERROR('6'!X$103/Ciclo,0)</f>
        <v>0</v>
      </c>
      <c r="Y201" s="5">
        <f>IFERROR('6'!Y$103/Ciclo,0)</f>
        <v>0</v>
      </c>
      <c r="Z201" s="5">
        <f>IFERROR('6'!Z$103/Ciclo,0)</f>
        <v>0</v>
      </c>
      <c r="AB201" s="5">
        <f>IF($B$198="Producción",IF($B201&gt;=LI_A,$O201,0),0)</f>
        <v>0</v>
      </c>
      <c r="AC201" s="5">
        <f>IF($B$198="Producción",IF($B201&gt;=LI_B,IF($B201&lt;LS_B,$O201,0),0),0)</f>
        <v>0</v>
      </c>
      <c r="AD201" s="5">
        <f>IF($B$198="Producción",IF($B201&gt;=LI_C,IF($B201&lt;LS_C,$O201,0),0),0)</f>
        <v>0</v>
      </c>
      <c r="AE201" s="5">
        <f>IF($B$198="Producción",IF($B201&lt;LS_D,$O201,0),0)</f>
        <v>0</v>
      </c>
      <c r="AF201" s="5">
        <f>IF($B$198="Crecimiento",$O201,0)</f>
        <v>0</v>
      </c>
      <c r="AG201" s="5">
        <f>IF($B198="Siembra",'6'!$O$7,0)</f>
        <v>0</v>
      </c>
      <c r="AH201" s="5">
        <f>IF($B198="Abandono",'6'!$O$7,0)</f>
        <v>0</v>
      </c>
      <c r="AI201" s="5">
        <f>IF($C$198="Producción",IF($C201&gt;=LI_A,$P201,0),0)</f>
        <v>0</v>
      </c>
      <c r="AJ201" s="5">
        <f>IF($C$198="Producción",IF($C201&gt;=LI_B,IF($C201&lt;LS_B,$P201,0),0),0)</f>
        <v>0</v>
      </c>
      <c r="AK201" s="5">
        <f>IF($C$198="Producción",IF($C201&gt;=LI_C,IF($C201&lt;LS_C,$P201,0),0),0)</f>
        <v>0</v>
      </c>
      <c r="AL201" s="5">
        <f>IF($C$198="Producción",IF($C201&lt;LS_D,$P201,0),0)</f>
        <v>0</v>
      </c>
      <c r="AM201" s="5">
        <f>IF($C$198="Crecimiento",$P201,0)</f>
        <v>0</v>
      </c>
      <c r="AN201" s="5">
        <f>IF($C198="Siembra",'6'!$P$7,0)</f>
        <v>0</v>
      </c>
      <c r="AO201" s="5">
        <f>IF($C198="Abandono",'6'!$P$7,0)</f>
        <v>0</v>
      </c>
      <c r="AP201" s="5">
        <f>IF($D$198="Producción",IF($D201&gt;=LI_A,$Q201,0),0)</f>
        <v>0</v>
      </c>
      <c r="AQ201" s="5">
        <f>IF($D$198="Producción",IF($D201&gt;=LI_B,IF($D201&lt;LS_B,$Q201,0),0),0)</f>
        <v>0</v>
      </c>
      <c r="AR201" s="5">
        <f>IF($D$198="Producción",IF($D201&gt;=LI_C,IF($D201&lt;LS_C,$Q201,0),0),0)</f>
        <v>0</v>
      </c>
      <c r="AS201" s="5">
        <f>IF($D$198="Producción",IF($D201&lt;LS_D,$Q201,0),0)</f>
        <v>0</v>
      </c>
      <c r="AT201" s="5">
        <f>IF($D$198="Crecimiento",IF($D201&gt;0,$Q201,0),0)</f>
        <v>0</v>
      </c>
      <c r="AU201" s="5">
        <f>IF($D198="Siembra",'6'!$Q$7,0)</f>
        <v>0</v>
      </c>
      <c r="AV201" s="5">
        <f>IF($D198="Abandono",'6'!$Q$7,0)</f>
        <v>0</v>
      </c>
      <c r="AW201" s="5">
        <f>IF($E$198="Producción",IF($E201&gt;=LI_A,$R201,0),0)</f>
        <v>0</v>
      </c>
      <c r="AX201" s="5">
        <f>IF($E$198="Producción",IF($E201&gt;=LI_B,IF($E201&lt;LS_B,$R201,0),0),0)</f>
        <v>0</v>
      </c>
      <c r="AY201" s="5">
        <f>IF($E$198="Producción",IF($E201&gt;=LI_C,IF($E201&lt;LS_C,$R201,0),0),0)</f>
        <v>0</v>
      </c>
      <c r="AZ201" s="5">
        <f>IF($E$198="Producción",IF($E201&lt;LS_D,$R201,0),0)</f>
        <v>0</v>
      </c>
      <c r="BA201" s="5">
        <f>IF($E$198="Crecimiento",$R201,0)</f>
        <v>0</v>
      </c>
      <c r="BB201" s="5">
        <f>IF($E198="Siembra",'6'!$R$7,0)</f>
        <v>0</v>
      </c>
      <c r="BC201" s="5">
        <f>IF($E198="Abandono",'6'!$R$7,0)</f>
        <v>0</v>
      </c>
      <c r="BD201" s="5">
        <f>IF($F$198="Producción",IF($F201&gt;=LI_A,$S201,0),0)</f>
        <v>0</v>
      </c>
      <c r="BE201" s="5">
        <f>IF($F$198="Producción",IF($F201&gt;=LI_B,IF($F201&lt;LS_B,$S201,0),0),0)</f>
        <v>0</v>
      </c>
      <c r="BF201" s="5">
        <f>IF($F$198="Producción",IF($F201&gt;=LI_C,IF($F201&lt;LS_C,$S201,0),0),0)</f>
        <v>0</v>
      </c>
      <c r="BG201" s="5">
        <f>IF($F$198="Producción",IF($F201&lt;LS_D,$S201,0),0)</f>
        <v>0</v>
      </c>
      <c r="BH201" s="5">
        <f>IF($F$198="Crecimiento",$S201,0)</f>
        <v>0</v>
      </c>
      <c r="BI201" s="5">
        <f>IF($F198="Siembra",'6'!$S$7,0)</f>
        <v>0</v>
      </c>
      <c r="BJ201" s="5">
        <f>IF($F198="Abandono",'6'!$S$7,0)</f>
        <v>0</v>
      </c>
      <c r="BK201" s="5">
        <f>IF($G$198="Producción",IF($G201&gt;=LI_A,$T201,0),0)</f>
        <v>0</v>
      </c>
      <c r="BL201" s="5">
        <f>IF($G$198="Producción",IF($G201&gt;=LI_B,IF($G201&lt;LS_B,$T201,0),0),0)</f>
        <v>0</v>
      </c>
      <c r="BM201" s="5">
        <f>IF($G$198="Producción",IF($G201&gt;=LI_C,IF($G201&lt;LS_C,$T201,0),0),0)</f>
        <v>0</v>
      </c>
      <c r="BN201" s="5">
        <f>IF($G$198="Producción",IF($G201&lt;LS_D,$T201,0),0)</f>
        <v>0</v>
      </c>
      <c r="BO201" s="5">
        <f>IF($G$198="Crecimiento",$T201,0)</f>
        <v>0</v>
      </c>
      <c r="BP201" s="5">
        <f>IF($G198="Siembra",'6'!$T$7,0)</f>
        <v>0</v>
      </c>
      <c r="BQ201" s="5">
        <f>IF($G198="Abandono",'6'!$T$7,0)</f>
        <v>0</v>
      </c>
      <c r="BR201" s="5">
        <f>IF($H$198="Producción",IF($H201&gt;=LI_A,$U201,0),0)</f>
        <v>0</v>
      </c>
      <c r="BS201" s="5">
        <f>IF($H$198="Producción",IF($H201&gt;=LI_B,IF($H201&lt;LS_B,$U201,0),0),0)</f>
        <v>0</v>
      </c>
      <c r="BT201" s="5">
        <f>IF($H$198="Producción",IF($H201&gt;=LI_C,IF($H201&lt;LS_C,$U201,0),0),0)</f>
        <v>0</v>
      </c>
      <c r="BU201" s="5">
        <f>IF($H$198="Producción",IF($H201&lt;LS_D,$U201,0),0)</f>
        <v>0</v>
      </c>
      <c r="BV201" s="5">
        <f>IF($H$198="Crecimiento",$T201,0)</f>
        <v>0</v>
      </c>
      <c r="BW201" s="5">
        <f>IF($H198="Siembra",'6'!$U$7,0)</f>
        <v>0</v>
      </c>
      <c r="BX201" s="5">
        <f>IF($H198="Abandono",'6'!$U$7,0)</f>
        <v>0</v>
      </c>
      <c r="BY201" s="5">
        <f>IF($I$198="Producción",IF($I201&gt;=LI_A,$V201,0),0)</f>
        <v>0</v>
      </c>
      <c r="BZ201" s="5">
        <f>IF($I$198="Producción",IF($I201&gt;=LI_B,IF($I201&lt;LS_B,$V201,0),0),0)</f>
        <v>0</v>
      </c>
      <c r="CA201" s="5">
        <f>IF($I$198="Producción",IF($I201&gt;=LI_C,IF($I201&lt;LS_C,$V201,0),0),0)</f>
        <v>0</v>
      </c>
      <c r="CB201" s="5">
        <f>IF($I$198="Producción",IF($I201&lt;LS_D,$V201,0),0)</f>
        <v>0</v>
      </c>
      <c r="CC201" s="5">
        <f>IF($I$198="Crecimiento",$V201,0)</f>
        <v>0</v>
      </c>
      <c r="CD201" s="5">
        <f>IF($I198="Siembra",'6'!$V$7,0)</f>
        <v>0</v>
      </c>
      <c r="CE201" s="5">
        <f>IF($I198="Abandono",'6'!$V$7,0)</f>
        <v>0</v>
      </c>
      <c r="CF201" s="5">
        <f>IF($J$198="Producción",IF($J201&gt;=LI_A,$W201,0),0)</f>
        <v>0</v>
      </c>
      <c r="CG201" s="5">
        <f>IF($J$198="Producción",IF($J201&gt;=LI_B,IF($J201&lt;LS_B,$W201,0),0),0)</f>
        <v>0</v>
      </c>
      <c r="CH201" s="5">
        <f>IF($J$198="Producción",IF($J201&gt;=LI_C,IF($J201&lt;LS_C,$W201,0),0),0)</f>
        <v>0</v>
      </c>
      <c r="CI201" s="5">
        <f>IF($J$198="Producción",IF($J201&lt;LS_D,$W201,0),0)</f>
        <v>0</v>
      </c>
      <c r="CJ201" s="5">
        <f>IF($J$198="Crecimiento",$W201,0)</f>
        <v>0</v>
      </c>
      <c r="CK201" s="5">
        <f>IF($J198="Siembra",'6'!$W$7,0)</f>
        <v>0</v>
      </c>
      <c r="CL201" s="5">
        <f>IF($J198="Abandono",'6'!$W$7,0)</f>
        <v>0</v>
      </c>
      <c r="CM201" s="5">
        <f>IF($K$198="Producción",IF($K201&gt;=LI_A,$X201,0),0)</f>
        <v>0</v>
      </c>
      <c r="CN201" s="5">
        <f>IF($K$198="Producción",IF($K201&gt;=LI_B,IF($K201&lt;LS_B,$X201,0),0),0)</f>
        <v>0</v>
      </c>
      <c r="CO201" s="5">
        <f>IF($K$198="Producción",IF($K201&gt;=LI_C,IF($K201&lt;LS_C,$X201,0),0),0)</f>
        <v>0</v>
      </c>
      <c r="CP201" s="5">
        <f>IF($K$198="Producción",IF($K201&lt;LS_D,$X201,0),0)</f>
        <v>0</v>
      </c>
      <c r="CQ201" s="5">
        <f>IF($K$198="Crecimiento",$X201,0)</f>
        <v>0</v>
      </c>
      <c r="CR201" s="5">
        <f>IF($K198="Siembra",'6'!$X$7,0)</f>
        <v>0</v>
      </c>
      <c r="CS201" s="5">
        <f>IF($K198="Abandono",'6'!$X$7,0)</f>
        <v>0</v>
      </c>
      <c r="CT201" s="5">
        <f>IF($L$198="Producción",IF($L201&gt;=LI_A,$Y201,0),0)</f>
        <v>0</v>
      </c>
      <c r="CU201" s="5">
        <f>IF($L$198="Producción",IF($L201&gt;=LI_B,IF($L201&lt;LS_B,$Y201,0),0),0)</f>
        <v>0</v>
      </c>
      <c r="CV201" s="5">
        <f>IF($L$198="Producción",IF($L201&gt;=LI_C,IF($L201&lt;LS_C,$Y201,0),0),0)</f>
        <v>0</v>
      </c>
      <c r="CW201" s="5">
        <f>IF($L$198="Producción",IF($L201&lt;LS_D,$Y201,0),0)</f>
        <v>0</v>
      </c>
      <c r="CX201" s="5">
        <f>IF($L$198="Crecimiento",$Y201,0)</f>
        <v>0</v>
      </c>
      <c r="CY201" s="5">
        <f>IF($L198="Siembra",'6'!$Y$7,0)</f>
        <v>0</v>
      </c>
      <c r="CZ201" s="5">
        <f>IF($L198="Abandono",'6'!$Y$7,0)</f>
        <v>0</v>
      </c>
      <c r="DA201" s="5">
        <f>IF($M$198="Producción",IF($M201&gt;=LI_A,$Z201,0),0)</f>
        <v>0</v>
      </c>
      <c r="DB201" s="5">
        <f>IF($M$198="Producción",IF($M201&gt;=LI_B,IF($M201&lt;LS_B,$Z201,0),0),0)</f>
        <v>0</v>
      </c>
      <c r="DC201" s="5">
        <f>IF($M$198="Producción",IF($M201&gt;=LI_C,IF($M201&lt;LS_C,$Z201,0),0),0)</f>
        <v>0</v>
      </c>
      <c r="DD201" s="5">
        <f>IF($M$198="Producción",IF($M201&lt;LS_D,$Z201,0),0)</f>
        <v>0</v>
      </c>
      <c r="DE201" s="5">
        <f>IF($M$198="Crecimiento",$Z201,0)</f>
        <v>0</v>
      </c>
      <c r="DF201" s="5">
        <f>IF($M198="Siembra",'6'!$Z$7,0)</f>
        <v>0</v>
      </c>
      <c r="DG201" s="5">
        <f>IF($M198="Abandono",'6'!$Z$7,0)</f>
        <v>0</v>
      </c>
      <c r="DI201" s="5">
        <f t="shared" ref="DI201:DI205" si="1493">AB201*$B201</f>
        <v>0</v>
      </c>
      <c r="DJ201" s="5">
        <f t="shared" ref="DJ201:DJ205" si="1494">AC201*$B201</f>
        <v>0</v>
      </c>
      <c r="DK201" s="5">
        <f t="shared" ref="DK201:DK205" si="1495">AD201*$B201</f>
        <v>0</v>
      </c>
      <c r="DL201" s="5">
        <f t="shared" ref="DL201:DL205" si="1496">AE201*$B201</f>
        <v>0</v>
      </c>
      <c r="DM201" s="5">
        <f t="shared" ref="DM201:DM205" si="1497">AF201*$B201</f>
        <v>0</v>
      </c>
      <c r="DN201" s="5">
        <f t="shared" ref="DN201:DN205" si="1498">AI201*$C201</f>
        <v>0</v>
      </c>
      <c r="DO201" s="5">
        <f t="shared" ref="DO201:DO205" si="1499">AJ201*$C201</f>
        <v>0</v>
      </c>
      <c r="DP201" s="5">
        <f t="shared" ref="DP201:DP205" si="1500">AK201*$C201</f>
        <v>0</v>
      </c>
      <c r="DQ201" s="5">
        <f t="shared" ref="DQ201:DQ205" si="1501">AL201*$C201</f>
        <v>0</v>
      </c>
      <c r="DR201" s="5">
        <f t="shared" ref="DR201:DR205" si="1502">AM201*$C201</f>
        <v>0</v>
      </c>
      <c r="DS201" s="5">
        <f t="shared" ref="DS201:DS205" si="1503">AP201*$D201</f>
        <v>0</v>
      </c>
      <c r="DT201" s="5">
        <f t="shared" ref="DT201:DT205" si="1504">AQ201*$D201</f>
        <v>0</v>
      </c>
      <c r="DU201" s="5">
        <f t="shared" ref="DU201:DU205" si="1505">AR201*$D201</f>
        <v>0</v>
      </c>
      <c r="DV201" s="5">
        <f t="shared" ref="DV201:DV205" si="1506">AS201*$D201</f>
        <v>0</v>
      </c>
      <c r="DW201" s="5">
        <f t="shared" ref="DW201:DW205" si="1507">AT201*$D201</f>
        <v>0</v>
      </c>
      <c r="DX201" s="5">
        <f t="shared" ref="DX201:DX205" si="1508">AW201*$E201</f>
        <v>0</v>
      </c>
      <c r="DY201" s="5">
        <f t="shared" ref="DY201:DY205" si="1509">AX201*$E201</f>
        <v>0</v>
      </c>
      <c r="DZ201" s="5">
        <f t="shared" ref="DZ201:DZ205" si="1510">AY201*$E201</f>
        <v>0</v>
      </c>
      <c r="EA201" s="5">
        <f t="shared" ref="EA201:EA205" si="1511">AZ201*$E201</f>
        <v>0</v>
      </c>
      <c r="EB201" s="5">
        <f t="shared" ref="EB201:EB205" si="1512">BA201*$E201</f>
        <v>0</v>
      </c>
      <c r="EC201" s="5">
        <f t="shared" ref="EC201:EC205" si="1513">BD201*$F201</f>
        <v>0</v>
      </c>
      <c r="ED201" s="5">
        <f t="shared" ref="ED201:ED205" si="1514">BE201*$F201</f>
        <v>0</v>
      </c>
      <c r="EE201" s="5">
        <f t="shared" ref="EE201:EE205" si="1515">BF201*$F201</f>
        <v>0</v>
      </c>
      <c r="EF201" s="5">
        <f t="shared" ref="EF201:EF205" si="1516">BG201*$F201</f>
        <v>0</v>
      </c>
      <c r="EG201" s="5">
        <f t="shared" ref="EG201:EG205" si="1517">BH201*$F201</f>
        <v>0</v>
      </c>
      <c r="EH201" s="5">
        <f t="shared" ref="EH201:EH205" si="1518">BK201*$G201</f>
        <v>0</v>
      </c>
      <c r="EI201" s="5">
        <f t="shared" ref="EI201:EI205" si="1519">BL201*$G201</f>
        <v>0</v>
      </c>
      <c r="EJ201" s="5">
        <f t="shared" ref="EJ201:EJ205" si="1520">BM201*$G201</f>
        <v>0</v>
      </c>
      <c r="EK201" s="5">
        <f t="shared" ref="EK201:EK205" si="1521">BN201*$G201</f>
        <v>0</v>
      </c>
      <c r="EL201" s="5">
        <f t="shared" ref="EL201:EL205" si="1522">BO201*$G201</f>
        <v>0</v>
      </c>
      <c r="EM201" s="5">
        <f t="shared" ref="EM201:EM205" si="1523">BR201*$H201</f>
        <v>0</v>
      </c>
      <c r="EN201" s="5">
        <f t="shared" ref="EN201:EN205" si="1524">BS201*$H201</f>
        <v>0</v>
      </c>
      <c r="EO201" s="5">
        <f t="shared" ref="EO201:EO205" si="1525">BT201*$H201</f>
        <v>0</v>
      </c>
      <c r="EP201" s="5">
        <f t="shared" ref="EP201:EP205" si="1526">BU201*$H201</f>
        <v>0</v>
      </c>
      <c r="EQ201" s="5">
        <f t="shared" ref="EQ201:EQ205" si="1527">BV201*$H201</f>
        <v>0</v>
      </c>
      <c r="ER201" s="5">
        <f t="shared" ref="ER201:ER205" si="1528">BY201*$I201</f>
        <v>0</v>
      </c>
      <c r="ES201" s="5">
        <f t="shared" ref="ES201:ES205" si="1529">BZ201*$I201</f>
        <v>0</v>
      </c>
      <c r="ET201" s="5">
        <f t="shared" ref="ET201:ET205" si="1530">CA201*$I201</f>
        <v>0</v>
      </c>
      <c r="EU201" s="5">
        <f t="shared" ref="EU201:EU205" si="1531">CB201*$I201</f>
        <v>0</v>
      </c>
      <c r="EV201" s="5">
        <f t="shared" ref="EV201:EV205" si="1532">CC201*$I201</f>
        <v>0</v>
      </c>
      <c r="EW201" s="5">
        <f t="shared" ref="EW201:EW205" si="1533">CF201*$J201</f>
        <v>0</v>
      </c>
      <c r="EX201" s="5">
        <f t="shared" ref="EX201:EX205" si="1534">CG201*$J201</f>
        <v>0</v>
      </c>
      <c r="EY201" s="5">
        <f t="shared" ref="EY201:EY205" si="1535">CH201*$J201</f>
        <v>0</v>
      </c>
      <c r="EZ201" s="5">
        <f t="shared" ref="EZ201:EZ205" si="1536">CI201*$J201</f>
        <v>0</v>
      </c>
      <c r="FA201" s="5">
        <f t="shared" ref="FA201:FA205" si="1537">CJ201*$J201</f>
        <v>0</v>
      </c>
      <c r="FB201" s="5">
        <f t="shared" ref="FB201:FB205" si="1538">CM201*$K201</f>
        <v>0</v>
      </c>
      <c r="FC201" s="5">
        <f t="shared" ref="FC201:FC205" si="1539">CN201*$K201</f>
        <v>0</v>
      </c>
      <c r="FD201" s="5">
        <f t="shared" ref="FD201:FD205" si="1540">CO201*$K201</f>
        <v>0</v>
      </c>
      <c r="FE201" s="5">
        <f t="shared" ref="FE201:FE205" si="1541">CP201*$K201</f>
        <v>0</v>
      </c>
      <c r="FF201" s="5">
        <f t="shared" ref="FF201:FF205" si="1542">CQ201*$K201</f>
        <v>0</v>
      </c>
      <c r="FG201" s="5">
        <f t="shared" ref="FG201:FG205" si="1543">CT201*$L201</f>
        <v>0</v>
      </c>
      <c r="FH201" s="5">
        <f t="shared" ref="FH201:FH205" si="1544">CU201*$L201</f>
        <v>0</v>
      </c>
      <c r="FI201" s="5">
        <f t="shared" ref="FI201:FI205" si="1545">CV201*$L201</f>
        <v>0</v>
      </c>
      <c r="FJ201" s="5">
        <f t="shared" ref="FJ201:FJ205" si="1546">CW201*$L201</f>
        <v>0</v>
      </c>
      <c r="FK201" s="5">
        <f t="shared" ref="FK201:FK205" si="1547">CX201*$L201</f>
        <v>0</v>
      </c>
      <c r="FL201" s="5">
        <f t="shared" ref="FL201:FL205" si="1548">DA201*$M201</f>
        <v>0</v>
      </c>
      <c r="FM201" s="5">
        <f t="shared" ref="FM201:FM205" si="1549">DB201*$M201</f>
        <v>0</v>
      </c>
      <c r="FN201" s="5">
        <f t="shared" ref="FN201:FN205" si="1550">DC201*$M201</f>
        <v>0</v>
      </c>
      <c r="FO201" s="5">
        <f t="shared" ref="FO201:FO205" si="1551">DD201*$M201</f>
        <v>0</v>
      </c>
      <c r="FP201" s="5">
        <f t="shared" ref="FP201:FP205" si="1552">DE201*$M201</f>
        <v>0</v>
      </c>
    </row>
    <row r="202" spans="1:172" ht="20.100000000000001" customHeight="1" x14ac:dyDescent="0.3">
      <c r="A202" s="8" t="s">
        <v>303</v>
      </c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O202" s="58">
        <f>IFERROR('6'!O$103/Ciclo,0)</f>
        <v>0</v>
      </c>
      <c r="P202" s="58">
        <f>IFERROR('6'!P$103/Ciclo,0)</f>
        <v>0</v>
      </c>
      <c r="Q202" s="58">
        <f>IFERROR('6'!Q$103/Ciclo,0)</f>
        <v>0</v>
      </c>
      <c r="R202" s="58">
        <f>IFERROR('6'!R$103/Ciclo,0)</f>
        <v>0</v>
      </c>
      <c r="S202" s="58">
        <f>IFERROR('6'!S$103/Ciclo,0)</f>
        <v>0</v>
      </c>
      <c r="T202" s="58">
        <f>IFERROR('6'!T$103/Ciclo,0)</f>
        <v>0</v>
      </c>
      <c r="U202" s="58">
        <f>IFERROR('6'!U$103/Ciclo,0)</f>
        <v>0</v>
      </c>
      <c r="V202" s="58">
        <f>IFERROR('6'!V$103/Ciclo,0)</f>
        <v>0</v>
      </c>
      <c r="W202" s="5">
        <f>IFERROR('6'!W$103/Ciclo,0)</f>
        <v>0</v>
      </c>
      <c r="X202" s="5">
        <f>IFERROR('6'!X$103/Ciclo,0)</f>
        <v>0</v>
      </c>
      <c r="Y202" s="5">
        <f>IFERROR('6'!Y$103/Ciclo,0)</f>
        <v>0</v>
      </c>
      <c r="Z202" s="5">
        <f>IFERROR('6'!Z$103/Ciclo,0)</f>
        <v>0</v>
      </c>
      <c r="AB202" s="5">
        <f>IF($B$198="Producción",IF($B202&gt;=LI_A,$O202,0),0)</f>
        <v>0</v>
      </c>
      <c r="AC202" s="5">
        <f>IF($B$198="Producción",IF($B202&gt;=LI_B,IF($B202&lt;LS_B,$O202,0),0),0)</f>
        <v>0</v>
      </c>
      <c r="AD202" s="5">
        <f>IF($B$198="Producción",IF($B202&gt;=LI_C,IF($B202&lt;LS_C,$O202,0),0),0)</f>
        <v>0</v>
      </c>
      <c r="AE202" s="5">
        <f>IF($B$198="Producción",IF($B202&lt;LS_D,$O202,0),0)</f>
        <v>0</v>
      </c>
      <c r="AF202" s="5">
        <f t="shared" ref="AF202:AF205" si="1553">IF($B$198="Crecimiento",$O202,0)</f>
        <v>0</v>
      </c>
      <c r="AI202" s="5">
        <f>IF($C$198="Producción",IF($C202&gt;=LI_A,$P202,0),0)</f>
        <v>0</v>
      </c>
      <c r="AJ202" s="5">
        <f>IF($C$198="Producción",IF($C202&gt;=LI_B,IF($C202&lt;LS_B,$P202,0),0),0)</f>
        <v>0</v>
      </c>
      <c r="AK202" s="5">
        <f>IF($C$198="Producción",IF($C202&gt;=LI_C,IF($C202&lt;LS_C,$P202,0),0),0)</f>
        <v>0</v>
      </c>
      <c r="AL202" s="5">
        <f>IF($C$198="Producción",IF($C202&lt;LS_D,$P202,0),0)</f>
        <v>0</v>
      </c>
      <c r="AM202" s="5">
        <f>IF($C$198="Crecimiento",$P202,0)</f>
        <v>0</v>
      </c>
      <c r="AP202" s="5">
        <f>IF($D$198="Producción",IF($D202&gt;=LI_A,$Q202,0),0)</f>
        <v>0</v>
      </c>
      <c r="AQ202" s="5">
        <f>IF($D$198="Producción",IF($D202&gt;=LI_B,IF($D202&lt;LS_B,$Q202,0),0),0)</f>
        <v>0</v>
      </c>
      <c r="AR202" s="5">
        <f>IF($D$198="Producción",IF($D202&gt;=LI_C,IF($D202&lt;LS_C,$Q202,0),0),0)</f>
        <v>0</v>
      </c>
      <c r="AS202" s="5">
        <f>IF($D$198="Producción",IF($D202&lt;LS_D,$Q202,0),0)</f>
        <v>0</v>
      </c>
      <c r="AT202" s="5">
        <f>IF($D$198="Crecimiento",IF($D202&gt;0,$Q202,0),0)</f>
        <v>0</v>
      </c>
      <c r="AW202" s="5">
        <f>IF($E$198="Producción",IF($E202&gt;=LI_A,$R202,0),0)</f>
        <v>0</v>
      </c>
      <c r="AX202" s="5">
        <f>IF($E$198="Producción",IF($E202&gt;=LI_B,IF($E202&lt;LS_B,$R202,0),0),0)</f>
        <v>0</v>
      </c>
      <c r="AY202" s="5">
        <f>IF($E$198="Producción",IF($E202&gt;=LI_C,IF($E202&lt;LS_C,$R202,0),0),0)</f>
        <v>0</v>
      </c>
      <c r="AZ202" s="5">
        <f>IF($E$198="Producción",IF($E202&lt;LS_D,$R202,0),0)</f>
        <v>0</v>
      </c>
      <c r="BA202" s="5">
        <f>IF($E$198="Crecimiento",$R202,0)</f>
        <v>0</v>
      </c>
      <c r="BD202" s="5">
        <f>IF($F$198="Producción",IF($F202&gt;=LI_A,$S202,0),0)</f>
        <v>0</v>
      </c>
      <c r="BE202" s="5">
        <f>IF($F$198="Producción",IF($F202&gt;=LI_B,IF($F202&lt;LS_B,$S202,0),0),0)</f>
        <v>0</v>
      </c>
      <c r="BF202" s="5">
        <f>IF($F$198="Producción",IF($F202&gt;=LI_C,IF($F202&lt;LS_C,$S202,0),0),0)</f>
        <v>0</v>
      </c>
      <c r="BG202" s="5">
        <f>IF($F$198="Producción",IF($F202&lt;LS_D,$S202,0),0)</f>
        <v>0</v>
      </c>
      <c r="BH202" s="5">
        <f>IF($F$198="Crecimiento",$S202,0)</f>
        <v>0</v>
      </c>
      <c r="BK202" s="5">
        <f>IF($G$198="Producción",IF($G202&gt;=LI_A,$T202,0),0)</f>
        <v>0</v>
      </c>
      <c r="BL202" s="5">
        <f>IF($G$198="Producción",IF($G202&gt;=LI_B,IF($G202&lt;LS_B,$T202,0),0),0)</f>
        <v>0</v>
      </c>
      <c r="BM202" s="5">
        <f>IF($G$198="Producción",IF($G202&gt;=LI_C,IF($G202&lt;LS_C,$T202,0),0),0)</f>
        <v>0</v>
      </c>
      <c r="BN202" s="5">
        <f>IF($G$198="Producción",IF($G202&lt;LS_D,$T202,0),0)</f>
        <v>0</v>
      </c>
      <c r="BO202" s="5">
        <f>IF($G$198="Crecimiento",$T202,0)</f>
        <v>0</v>
      </c>
      <c r="BR202" s="5">
        <f>IF($H$198="Producción",IF($H202&gt;=LI_A,$U202,0),0)</f>
        <v>0</v>
      </c>
      <c r="BS202" s="5">
        <f>IF($H$198="Producción",IF($H202&gt;=LI_B,IF($H202&lt;LS_B,$U202,0),0),0)</f>
        <v>0</v>
      </c>
      <c r="BT202" s="5">
        <f>IF($H$198="Producción",IF($H202&gt;=LI_C,IF($H202&lt;LS_C,$U202,0),0),0)</f>
        <v>0</v>
      </c>
      <c r="BU202" s="5">
        <f>IF($H$198="Producción",IF($H202&lt;LS_D,$U202,0),0)</f>
        <v>0</v>
      </c>
      <c r="BV202" s="5">
        <f>IF($H$198="Crecimiento",$T202,0)</f>
        <v>0</v>
      </c>
      <c r="BY202" s="5">
        <f>IF($I$198="Producción",IF($I202&gt;=LI_A,$V202,0),0)</f>
        <v>0</v>
      </c>
      <c r="BZ202" s="5">
        <f>IF($I$198="Producción",IF($I202&gt;=LI_B,IF($I202&lt;LS_B,$V202,0),0),0)</f>
        <v>0</v>
      </c>
      <c r="CA202" s="5">
        <f>IF($I$198="Producción",IF($I202&gt;=LI_C,IF($I202&lt;LS_C,$V202,0),0),0)</f>
        <v>0</v>
      </c>
      <c r="CB202" s="5">
        <f>IF($I$198="Producción",IF($I202&lt;LS_D,$V202,0),0)</f>
        <v>0</v>
      </c>
      <c r="CC202" s="5">
        <f>IF($I$198="Crecimiento",$V202,0)</f>
        <v>0</v>
      </c>
      <c r="CF202" s="5">
        <f>IF($J$198="Producción",IF($J202&gt;=LI_A,$W202,0),0)</f>
        <v>0</v>
      </c>
      <c r="CG202" s="5">
        <f>IF($J$198="Producción",IF($J202&gt;=LI_B,IF($J202&lt;LS_B,$W202,0),0),0)</f>
        <v>0</v>
      </c>
      <c r="CH202" s="5">
        <f>IF($J$198="Producción",IF($J202&gt;=LI_C,IF($J202&lt;LS_C,$W202,0),0),0)</f>
        <v>0</v>
      </c>
      <c r="CI202" s="5">
        <f>IF($J$198="Producción",IF($J202&lt;LS_D,$W202,0),0)</f>
        <v>0</v>
      </c>
      <c r="CJ202" s="5">
        <f>IF($J$198="Crecimiento",$W202,0)</f>
        <v>0</v>
      </c>
      <c r="CM202" s="5">
        <f>IF($K$198="Producción",IF($K202&gt;=LI_A,$X202,0),0)</f>
        <v>0</v>
      </c>
      <c r="CN202" s="5">
        <f>IF($K$198="Producción",IF($K202&gt;=LI_B,IF($K202&lt;LS_B,$X202,0),0),0)</f>
        <v>0</v>
      </c>
      <c r="CO202" s="5">
        <f>IF($K$198="Producción",IF($K202&gt;=LI_C,IF($K202&lt;LS_C,$X202,0),0),0)</f>
        <v>0</v>
      </c>
      <c r="CP202" s="5">
        <f>IF($K$198="Producción",IF($K202&lt;LS_D,$X202,0),0)</f>
        <v>0</v>
      </c>
      <c r="CQ202" s="5">
        <f>IF($K$198="Crecimiento",$X202,0)</f>
        <v>0</v>
      </c>
      <c r="CT202" s="5">
        <f>IF($L$198="Producción",IF($L202&gt;=LI_A,$Y202,0),0)</f>
        <v>0</v>
      </c>
      <c r="CU202" s="5">
        <f>IF($L$198="Producción",IF($L202&gt;=LI_B,IF($L202&lt;LS_B,$Y202,0),0),0)</f>
        <v>0</v>
      </c>
      <c r="CV202" s="5">
        <f>IF($L$198="Producción",IF($L202&gt;=LI_C,IF($L202&lt;LS_C,$Y202,0),0),0)</f>
        <v>0</v>
      </c>
      <c r="CW202" s="5">
        <f>IF($L$198="Producción",IF($L202&lt;LS_D,$Y202,0),0)</f>
        <v>0</v>
      </c>
      <c r="CX202" s="5">
        <f>IF($L$198="Crecimiento",$Y202,0)</f>
        <v>0</v>
      </c>
      <c r="DA202" s="5">
        <f>IF($M$198="Producción",IF($M202&gt;=LI_A,$Z202,0),0)</f>
        <v>0</v>
      </c>
      <c r="DB202" s="5">
        <f>IF($M$198="Producción",IF($M202&gt;=LI_B,IF($M202&lt;LS_B,$Z202,0),0),0)</f>
        <v>0</v>
      </c>
      <c r="DC202" s="5">
        <f>IF($M$198="Producción",IF($M202&gt;=LI_C,IF($M202&lt;LS_C,$Z202,0),0),0)</f>
        <v>0</v>
      </c>
      <c r="DD202" s="5">
        <f>IF($M$198="Producción",IF($M202&lt;LS_D,$Z202,0),0)</f>
        <v>0</v>
      </c>
      <c r="DE202" s="5">
        <f>IF($M$198="Crecimiento",$Z202,0)</f>
        <v>0</v>
      </c>
      <c r="DI202" s="5">
        <f t="shared" si="1493"/>
        <v>0</v>
      </c>
      <c r="DJ202" s="5">
        <f t="shared" si="1494"/>
        <v>0</v>
      </c>
      <c r="DK202" s="5">
        <f t="shared" si="1495"/>
        <v>0</v>
      </c>
      <c r="DL202" s="5">
        <f t="shared" si="1496"/>
        <v>0</v>
      </c>
      <c r="DM202" s="5">
        <f t="shared" si="1497"/>
        <v>0</v>
      </c>
      <c r="DN202" s="5">
        <f t="shared" si="1498"/>
        <v>0</v>
      </c>
      <c r="DO202" s="5">
        <f t="shared" si="1499"/>
        <v>0</v>
      </c>
      <c r="DP202" s="5">
        <f t="shared" si="1500"/>
        <v>0</v>
      </c>
      <c r="DQ202" s="5">
        <f t="shared" si="1501"/>
        <v>0</v>
      </c>
      <c r="DR202" s="5">
        <f t="shared" si="1502"/>
        <v>0</v>
      </c>
      <c r="DS202" s="5">
        <f t="shared" si="1503"/>
        <v>0</v>
      </c>
      <c r="DT202" s="5">
        <f t="shared" si="1504"/>
        <v>0</v>
      </c>
      <c r="DU202" s="5">
        <f t="shared" si="1505"/>
        <v>0</v>
      </c>
      <c r="DV202" s="5">
        <f t="shared" si="1506"/>
        <v>0</v>
      </c>
      <c r="DW202" s="5">
        <f t="shared" si="1507"/>
        <v>0</v>
      </c>
      <c r="DX202" s="5">
        <f t="shared" si="1508"/>
        <v>0</v>
      </c>
      <c r="DY202" s="5">
        <f t="shared" si="1509"/>
        <v>0</v>
      </c>
      <c r="DZ202" s="5">
        <f t="shared" si="1510"/>
        <v>0</v>
      </c>
      <c r="EA202" s="5">
        <f t="shared" si="1511"/>
        <v>0</v>
      </c>
      <c r="EB202" s="5">
        <f t="shared" si="1512"/>
        <v>0</v>
      </c>
      <c r="EC202" s="5">
        <f t="shared" si="1513"/>
        <v>0</v>
      </c>
      <c r="ED202" s="5">
        <f t="shared" si="1514"/>
        <v>0</v>
      </c>
      <c r="EE202" s="5">
        <f t="shared" si="1515"/>
        <v>0</v>
      </c>
      <c r="EF202" s="5">
        <f t="shared" si="1516"/>
        <v>0</v>
      </c>
      <c r="EG202" s="5">
        <f t="shared" si="1517"/>
        <v>0</v>
      </c>
      <c r="EH202" s="5">
        <f t="shared" si="1518"/>
        <v>0</v>
      </c>
      <c r="EI202" s="5">
        <f t="shared" si="1519"/>
        <v>0</v>
      </c>
      <c r="EJ202" s="5">
        <f t="shared" si="1520"/>
        <v>0</v>
      </c>
      <c r="EK202" s="5">
        <f t="shared" si="1521"/>
        <v>0</v>
      </c>
      <c r="EL202" s="5">
        <f t="shared" si="1522"/>
        <v>0</v>
      </c>
      <c r="EM202" s="5">
        <f t="shared" si="1523"/>
        <v>0</v>
      </c>
      <c r="EN202" s="5">
        <f t="shared" si="1524"/>
        <v>0</v>
      </c>
      <c r="EO202" s="5">
        <f t="shared" si="1525"/>
        <v>0</v>
      </c>
      <c r="EP202" s="5">
        <f t="shared" si="1526"/>
        <v>0</v>
      </c>
      <c r="EQ202" s="5">
        <f t="shared" si="1527"/>
        <v>0</v>
      </c>
      <c r="ER202" s="5">
        <f t="shared" si="1528"/>
        <v>0</v>
      </c>
      <c r="ES202" s="5">
        <f t="shared" si="1529"/>
        <v>0</v>
      </c>
      <c r="ET202" s="5">
        <f t="shared" si="1530"/>
        <v>0</v>
      </c>
      <c r="EU202" s="5">
        <f t="shared" si="1531"/>
        <v>0</v>
      </c>
      <c r="EV202" s="5">
        <f t="shared" si="1532"/>
        <v>0</v>
      </c>
      <c r="EW202" s="5">
        <f t="shared" si="1533"/>
        <v>0</v>
      </c>
      <c r="EX202" s="5">
        <f t="shared" si="1534"/>
        <v>0</v>
      </c>
      <c r="EY202" s="5">
        <f t="shared" si="1535"/>
        <v>0</v>
      </c>
      <c r="EZ202" s="5">
        <f t="shared" si="1536"/>
        <v>0</v>
      </c>
      <c r="FA202" s="5">
        <f t="shared" si="1537"/>
        <v>0</v>
      </c>
      <c r="FB202" s="5">
        <f t="shared" si="1538"/>
        <v>0</v>
      </c>
      <c r="FC202" s="5">
        <f t="shared" si="1539"/>
        <v>0</v>
      </c>
      <c r="FD202" s="5">
        <f t="shared" si="1540"/>
        <v>0</v>
      </c>
      <c r="FE202" s="5">
        <f t="shared" si="1541"/>
        <v>0</v>
      </c>
      <c r="FF202" s="5">
        <f t="shared" si="1542"/>
        <v>0</v>
      </c>
      <c r="FG202" s="5">
        <f t="shared" si="1543"/>
        <v>0</v>
      </c>
      <c r="FH202" s="5">
        <f t="shared" si="1544"/>
        <v>0</v>
      </c>
      <c r="FI202" s="5">
        <f t="shared" si="1545"/>
        <v>0</v>
      </c>
      <c r="FJ202" s="5">
        <f t="shared" si="1546"/>
        <v>0</v>
      </c>
      <c r="FK202" s="5">
        <f t="shared" si="1547"/>
        <v>0</v>
      </c>
      <c r="FL202" s="5">
        <f t="shared" si="1548"/>
        <v>0</v>
      </c>
      <c r="FM202" s="5">
        <f t="shared" si="1549"/>
        <v>0</v>
      </c>
      <c r="FN202" s="5">
        <f t="shared" si="1550"/>
        <v>0</v>
      </c>
      <c r="FO202" s="5">
        <f t="shared" si="1551"/>
        <v>0</v>
      </c>
      <c r="FP202" s="5">
        <f t="shared" si="1552"/>
        <v>0</v>
      </c>
    </row>
    <row r="203" spans="1:172" ht="20.100000000000001" customHeight="1" x14ac:dyDescent="0.3">
      <c r="A203" s="8" t="str">
        <f>IF(Ciclo&gt;2,"Surco 3","NA")</f>
        <v>Surco 3</v>
      </c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O203" s="58">
        <f>IF($A203="NA",0,IFERROR('6'!O$103/Ciclo,0))</f>
        <v>0</v>
      </c>
      <c r="P203" s="58">
        <f>IF($A203="NA",0,IFERROR('6'!P$103/Ciclo,0))</f>
        <v>0</v>
      </c>
      <c r="Q203" s="58">
        <f>IF($A203="NA",0,IFERROR('6'!Q$103/Ciclo,0))</f>
        <v>0</v>
      </c>
      <c r="R203" s="58">
        <f>IF($A203="NA",0,IFERROR('6'!R$103/Ciclo,0))</f>
        <v>0</v>
      </c>
      <c r="S203" s="58">
        <f>IF($A203="NA",0,IFERROR('6'!S$103/Ciclo,0))</f>
        <v>0</v>
      </c>
      <c r="T203" s="58">
        <f>IF($A203="NA",0,IFERROR('6'!T$103/Ciclo,0))</f>
        <v>0</v>
      </c>
      <c r="U203" s="58">
        <f>IF($A203="NA",0,IFERROR('6'!U$103/Ciclo,0))</f>
        <v>0</v>
      </c>
      <c r="V203" s="58">
        <f>IF($A203="NA",0,IFERROR('6'!V$103/Ciclo,0))</f>
        <v>0</v>
      </c>
      <c r="W203" s="5">
        <f>IF($A203="NA",0,IFERROR('6'!W$103/Ciclo,0))</f>
        <v>0</v>
      </c>
      <c r="X203" s="5">
        <f>IF($A203="NA",0,IFERROR('6'!X$103/Ciclo,0))</f>
        <v>0</v>
      </c>
      <c r="Y203" s="5">
        <f>IF($A203="NA",0,IFERROR('6'!Y$103/Ciclo,0))</f>
        <v>0</v>
      </c>
      <c r="Z203" s="5">
        <f>IF($A203="NA",0,IFERROR('6'!Z$103/Ciclo,0))</f>
        <v>0</v>
      </c>
      <c r="AB203" s="5">
        <f>IF($B$198="Producción",IF($B203&gt;=LI_A,$O203,0),0)</f>
        <v>0</v>
      </c>
      <c r="AC203" s="5">
        <f>IF($B$198="Producción",IF($B203&gt;=LI_B,IF($B203&lt;LS_B,$O203,0),0),0)</f>
        <v>0</v>
      </c>
      <c r="AD203" s="5">
        <f>IF($B$198="Producción",IF($B203&gt;=LI_C,IF($B203&lt;LS_C,$O203,0),0),0)</f>
        <v>0</v>
      </c>
      <c r="AE203" s="5">
        <f>IF($B$198="Producción",IF($B203&lt;LS_D,$O203,0),0)</f>
        <v>0</v>
      </c>
      <c r="AF203" s="5">
        <f t="shared" si="1553"/>
        <v>0</v>
      </c>
      <c r="AI203" s="5">
        <f>IF($C$198="Producción",IF($C203&gt;=LI_A,$P203,0),0)</f>
        <v>0</v>
      </c>
      <c r="AJ203" s="5">
        <f>IF($C$198="Producción",IF($C203&gt;=LI_B,IF($C203&lt;LS_B,$P203,0),0),0)</f>
        <v>0</v>
      </c>
      <c r="AK203" s="5">
        <f>IF($C$198="Producción",IF($C203&gt;=LI_C,IF($C203&lt;LS_C,$P203,0),0),0)</f>
        <v>0</v>
      </c>
      <c r="AL203" s="5">
        <f>IF($C$198="Producción",IF($C203&lt;LS_D,$P203,0),0)</f>
        <v>0</v>
      </c>
      <c r="AM203" s="5">
        <f>IF($C$198="Crecimiento",$P203,0)</f>
        <v>0</v>
      </c>
      <c r="AP203" s="5">
        <f>IF($D$198="Producción",IF($D203&gt;=LI_A,$Q203,0),0)</f>
        <v>0</v>
      </c>
      <c r="AQ203" s="5">
        <f>IF($D$198="Producción",IF($D203&gt;=LI_B,IF($D203&lt;LS_B,$Q203,0),0),0)</f>
        <v>0</v>
      </c>
      <c r="AR203" s="5">
        <f>IF($D$198="Producción",IF($D203&gt;=LI_C,IF($D203&lt;LS_C,$Q203,0),0),0)</f>
        <v>0</v>
      </c>
      <c r="AS203" s="5">
        <f>IF($D$198="Producción",IF($D203&lt;LS_D,$Q203,0),0)</f>
        <v>0</v>
      </c>
      <c r="AT203" s="5">
        <f>IF($D$198="Crecimiento",IF($D203&gt;0,$Q203,0),0)</f>
        <v>0</v>
      </c>
      <c r="AW203" s="5">
        <f>IF($E$198="Producción",IF($E203&gt;=LI_A,$R203,0),0)</f>
        <v>0</v>
      </c>
      <c r="AX203" s="5">
        <f>IF($E$198="Producción",IF($E203&gt;=LI_B,IF($E203&lt;LS_B,$R203,0),0),0)</f>
        <v>0</v>
      </c>
      <c r="AY203" s="5">
        <f>IF($E$198="Producción",IF($E203&gt;=LI_C,IF($E203&lt;LS_C,$R203,0),0),0)</f>
        <v>0</v>
      </c>
      <c r="AZ203" s="5">
        <f>IF($E$198="Producción",IF($E203&lt;LS_D,$R203,0),0)</f>
        <v>0</v>
      </c>
      <c r="BA203" s="5">
        <f>IF($E$198="Crecimiento",$R203,0)</f>
        <v>0</v>
      </c>
      <c r="BD203" s="5">
        <f>IF($F$198="Producción",IF($F203&gt;=LI_A,$S203,0),0)</f>
        <v>0</v>
      </c>
      <c r="BE203" s="5">
        <f>IF($F$198="Producción",IF($F203&gt;=LI_B,IF($F203&lt;LS_B,$S203,0),0),0)</f>
        <v>0</v>
      </c>
      <c r="BF203" s="5">
        <f>IF($F$198="Producción",IF($F203&gt;=LI_C,IF($F203&lt;LS_C,$S203,0),0),0)</f>
        <v>0</v>
      </c>
      <c r="BG203" s="5">
        <f>IF($F$198="Producción",IF($F203&lt;LS_D,$S203,0),0)</f>
        <v>0</v>
      </c>
      <c r="BH203" s="5">
        <f>IF($F$198="Crecimiento",$S203,0)</f>
        <v>0</v>
      </c>
      <c r="BK203" s="5">
        <f>IF($G$198="Producción",IF($G203&gt;=LI_A,$T203,0),0)</f>
        <v>0</v>
      </c>
      <c r="BL203" s="5">
        <f>IF($G$198="Producción",IF($G203&gt;=LI_B,IF($G203&lt;LS_B,$T203,0),0),0)</f>
        <v>0</v>
      </c>
      <c r="BM203" s="5">
        <f>IF($G$198="Producción",IF($G203&gt;=LI_C,IF($G203&lt;LS_C,$T203,0),0),0)</f>
        <v>0</v>
      </c>
      <c r="BN203" s="5">
        <f>IF($G$198="Producción",IF($G203&lt;LS_D,$T203,0),0)</f>
        <v>0</v>
      </c>
      <c r="BO203" s="5">
        <f>IF($G$198="Crecimiento",$T203,0)</f>
        <v>0</v>
      </c>
      <c r="BR203" s="5">
        <f>IF($H$198="Producción",IF($H203&gt;=LI_A,$U203,0),0)</f>
        <v>0</v>
      </c>
      <c r="BS203" s="5">
        <f>IF($H$198="Producción",IF($H203&gt;=LI_B,IF($H203&lt;LS_B,$U203,0),0),0)</f>
        <v>0</v>
      </c>
      <c r="BT203" s="5">
        <f>IF($H$198="Producción",IF($H203&gt;=LI_C,IF($H203&lt;LS_C,$U203,0),0),0)</f>
        <v>0</v>
      </c>
      <c r="BU203" s="5">
        <f>IF($H$198="Producción",IF($H203&lt;LS_D,$U203,0),0)</f>
        <v>0</v>
      </c>
      <c r="BV203" s="5">
        <f>IF($H$198="Crecimiento",$T203,0)</f>
        <v>0</v>
      </c>
      <c r="BY203" s="5">
        <f>IF($I$198="Producción",IF($I203&gt;=LI_A,$V203,0),0)</f>
        <v>0</v>
      </c>
      <c r="BZ203" s="5">
        <f>IF($I$198="Producción",IF($I203&gt;=LI_B,IF($I203&lt;LS_B,$V203,0),0),0)</f>
        <v>0</v>
      </c>
      <c r="CA203" s="5">
        <f>IF($I$198="Producción",IF($I203&gt;=LI_C,IF($I203&lt;LS_C,$V203,0),0),0)</f>
        <v>0</v>
      </c>
      <c r="CB203" s="5">
        <f>IF($I$198="Producción",IF($I203&lt;LS_D,$V203,0),0)</f>
        <v>0</v>
      </c>
      <c r="CC203" s="5">
        <f>IF($I$198="Crecimiento",$V203,0)</f>
        <v>0</v>
      </c>
      <c r="CF203" s="5">
        <f>IF($J$198="Producción",IF($J203&gt;=LI_A,$W203,0),0)</f>
        <v>0</v>
      </c>
      <c r="CG203" s="5">
        <f>IF($J$198="Producción",IF($J203&gt;=LI_B,IF($J203&lt;LS_B,$W203,0),0),0)</f>
        <v>0</v>
      </c>
      <c r="CH203" s="5">
        <f>IF($J$198="Producción",IF($J203&gt;=LI_C,IF($J203&lt;LS_C,$W203,0),0),0)</f>
        <v>0</v>
      </c>
      <c r="CI203" s="5">
        <f>IF($J$198="Producción",IF($J203&lt;LS_D,$W203,0),0)</f>
        <v>0</v>
      </c>
      <c r="CJ203" s="5">
        <f>IF($J$198="Crecimiento",$W203,0)</f>
        <v>0</v>
      </c>
      <c r="CM203" s="5">
        <f>IF($K$198="Producción",IF($K203&gt;=LI_A,$X203,0),0)</f>
        <v>0</v>
      </c>
      <c r="CN203" s="5">
        <f>IF($K$198="Producción",IF($K203&gt;=LI_B,IF($K203&lt;LS_B,$X203,0),0),0)</f>
        <v>0</v>
      </c>
      <c r="CO203" s="5">
        <f>IF($K$198="Producción",IF($K203&gt;=LI_C,IF($K203&lt;LS_C,$X203,0),0),0)</f>
        <v>0</v>
      </c>
      <c r="CP203" s="5">
        <f>IF($K$198="Producción",IF($K203&lt;LS_D,$X203,0),0)</f>
        <v>0</v>
      </c>
      <c r="CQ203" s="5">
        <f>IF($K$198="Crecimiento",$X203,0)</f>
        <v>0</v>
      </c>
      <c r="CT203" s="5">
        <f>IF($L$198="Producción",IF($L203&gt;=LI_A,$Y203,0),0)</f>
        <v>0</v>
      </c>
      <c r="CU203" s="5">
        <f>IF($L$198="Producción",IF($L203&gt;=LI_B,IF($L203&lt;LS_B,$Y203,0),0),0)</f>
        <v>0</v>
      </c>
      <c r="CV203" s="5">
        <f>IF($L$198="Producción",IF($L203&gt;=LI_C,IF($L203&lt;LS_C,$Y203,0),0),0)</f>
        <v>0</v>
      </c>
      <c r="CW203" s="5">
        <f>IF($L$198="Producción",IF($L203&lt;LS_D,$Y203,0),0)</f>
        <v>0</v>
      </c>
      <c r="CX203" s="5">
        <f>IF($L$198="Crecimiento",$Y203,0)</f>
        <v>0</v>
      </c>
      <c r="DA203" s="5">
        <f>IF($M$198="Producción",IF($M203&gt;=LI_A,$Z203,0),0)</f>
        <v>0</v>
      </c>
      <c r="DB203" s="5">
        <f>IF($M$198="Producción",IF($M203&gt;=LI_B,IF($M203&lt;LS_B,$Z203,0),0),0)</f>
        <v>0</v>
      </c>
      <c r="DC203" s="5">
        <f>IF($M$198="Producción",IF($M203&gt;=LI_C,IF($M203&lt;LS_C,$Z203,0),0),0)</f>
        <v>0</v>
      </c>
      <c r="DD203" s="5">
        <f>IF($M$198="Producción",IF($M203&lt;LS_D,$Z203,0),0)</f>
        <v>0</v>
      </c>
      <c r="DE203" s="5">
        <f>IF($M$198="Crecimiento",$Z203,0)</f>
        <v>0</v>
      </c>
      <c r="DI203" s="5">
        <f t="shared" si="1493"/>
        <v>0</v>
      </c>
      <c r="DJ203" s="5">
        <f t="shared" si="1494"/>
        <v>0</v>
      </c>
      <c r="DK203" s="5">
        <f t="shared" si="1495"/>
        <v>0</v>
      </c>
      <c r="DL203" s="5">
        <f t="shared" si="1496"/>
        <v>0</v>
      </c>
      <c r="DM203" s="5">
        <f t="shared" si="1497"/>
        <v>0</v>
      </c>
      <c r="DN203" s="5">
        <f t="shared" si="1498"/>
        <v>0</v>
      </c>
      <c r="DO203" s="5">
        <f t="shared" si="1499"/>
        <v>0</v>
      </c>
      <c r="DP203" s="5">
        <f t="shared" si="1500"/>
        <v>0</v>
      </c>
      <c r="DQ203" s="5">
        <f t="shared" si="1501"/>
        <v>0</v>
      </c>
      <c r="DR203" s="5">
        <f t="shared" si="1502"/>
        <v>0</v>
      </c>
      <c r="DS203" s="5">
        <f t="shared" si="1503"/>
        <v>0</v>
      </c>
      <c r="DT203" s="5">
        <f t="shared" si="1504"/>
        <v>0</v>
      </c>
      <c r="DU203" s="5">
        <f t="shared" si="1505"/>
        <v>0</v>
      </c>
      <c r="DV203" s="5">
        <f t="shared" si="1506"/>
        <v>0</v>
      </c>
      <c r="DW203" s="5">
        <f t="shared" si="1507"/>
        <v>0</v>
      </c>
      <c r="DX203" s="5">
        <f t="shared" si="1508"/>
        <v>0</v>
      </c>
      <c r="DY203" s="5">
        <f t="shared" si="1509"/>
        <v>0</v>
      </c>
      <c r="DZ203" s="5">
        <f t="shared" si="1510"/>
        <v>0</v>
      </c>
      <c r="EA203" s="5">
        <f t="shared" si="1511"/>
        <v>0</v>
      </c>
      <c r="EB203" s="5">
        <f t="shared" si="1512"/>
        <v>0</v>
      </c>
      <c r="EC203" s="5">
        <f t="shared" si="1513"/>
        <v>0</v>
      </c>
      <c r="ED203" s="5">
        <f t="shared" si="1514"/>
        <v>0</v>
      </c>
      <c r="EE203" s="5">
        <f t="shared" si="1515"/>
        <v>0</v>
      </c>
      <c r="EF203" s="5">
        <f t="shared" si="1516"/>
        <v>0</v>
      </c>
      <c r="EG203" s="5">
        <f t="shared" si="1517"/>
        <v>0</v>
      </c>
      <c r="EH203" s="5">
        <f t="shared" si="1518"/>
        <v>0</v>
      </c>
      <c r="EI203" s="5">
        <f t="shared" si="1519"/>
        <v>0</v>
      </c>
      <c r="EJ203" s="5">
        <f t="shared" si="1520"/>
        <v>0</v>
      </c>
      <c r="EK203" s="5">
        <f t="shared" si="1521"/>
        <v>0</v>
      </c>
      <c r="EL203" s="5">
        <f t="shared" si="1522"/>
        <v>0</v>
      </c>
      <c r="EM203" s="5">
        <f t="shared" si="1523"/>
        <v>0</v>
      </c>
      <c r="EN203" s="5">
        <f t="shared" si="1524"/>
        <v>0</v>
      </c>
      <c r="EO203" s="5">
        <f t="shared" si="1525"/>
        <v>0</v>
      </c>
      <c r="EP203" s="5">
        <f t="shared" si="1526"/>
        <v>0</v>
      </c>
      <c r="EQ203" s="5">
        <f t="shared" si="1527"/>
        <v>0</v>
      </c>
      <c r="ER203" s="5">
        <f t="shared" si="1528"/>
        <v>0</v>
      </c>
      <c r="ES203" s="5">
        <f t="shared" si="1529"/>
        <v>0</v>
      </c>
      <c r="ET203" s="5">
        <f t="shared" si="1530"/>
        <v>0</v>
      </c>
      <c r="EU203" s="5">
        <f t="shared" si="1531"/>
        <v>0</v>
      </c>
      <c r="EV203" s="5">
        <f t="shared" si="1532"/>
        <v>0</v>
      </c>
      <c r="EW203" s="5">
        <f t="shared" si="1533"/>
        <v>0</v>
      </c>
      <c r="EX203" s="5">
        <f t="shared" si="1534"/>
        <v>0</v>
      </c>
      <c r="EY203" s="5">
        <f t="shared" si="1535"/>
        <v>0</v>
      </c>
      <c r="EZ203" s="5">
        <f t="shared" si="1536"/>
        <v>0</v>
      </c>
      <c r="FA203" s="5">
        <f t="shared" si="1537"/>
        <v>0</v>
      </c>
      <c r="FB203" s="5">
        <f t="shared" si="1538"/>
        <v>0</v>
      </c>
      <c r="FC203" s="5">
        <f t="shared" si="1539"/>
        <v>0</v>
      </c>
      <c r="FD203" s="5">
        <f t="shared" si="1540"/>
        <v>0</v>
      </c>
      <c r="FE203" s="5">
        <f t="shared" si="1541"/>
        <v>0</v>
      </c>
      <c r="FF203" s="5">
        <f t="shared" si="1542"/>
        <v>0</v>
      </c>
      <c r="FG203" s="5">
        <f t="shared" si="1543"/>
        <v>0</v>
      </c>
      <c r="FH203" s="5">
        <f t="shared" si="1544"/>
        <v>0</v>
      </c>
      <c r="FI203" s="5">
        <f t="shared" si="1545"/>
        <v>0</v>
      </c>
      <c r="FJ203" s="5">
        <f t="shared" si="1546"/>
        <v>0</v>
      </c>
      <c r="FK203" s="5">
        <f t="shared" si="1547"/>
        <v>0</v>
      </c>
      <c r="FL203" s="5">
        <f t="shared" si="1548"/>
        <v>0</v>
      </c>
      <c r="FM203" s="5">
        <f t="shared" si="1549"/>
        <v>0</v>
      </c>
      <c r="FN203" s="5">
        <f t="shared" si="1550"/>
        <v>0</v>
      </c>
      <c r="FO203" s="5">
        <f t="shared" si="1551"/>
        <v>0</v>
      </c>
      <c r="FP203" s="5">
        <f t="shared" si="1552"/>
        <v>0</v>
      </c>
    </row>
    <row r="204" spans="1:172" ht="20.100000000000001" customHeight="1" x14ac:dyDescent="0.3">
      <c r="A204" s="8" t="str">
        <f>IF(Ciclo=4,"Surco 4",IF(Ciclo=5,"Surco 4","NA"))</f>
        <v>NA</v>
      </c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O204" s="58">
        <f>IF($A204="NA",0,IFERROR('6'!O$103/Ciclo,0))</f>
        <v>0</v>
      </c>
      <c r="P204" s="58">
        <f>IF($A204="NA",0,IFERROR('6'!P$103/Ciclo,0))</f>
        <v>0</v>
      </c>
      <c r="Q204" s="58">
        <f>IF($A204="NA",0,IFERROR('6'!Q$103/Ciclo,0))</f>
        <v>0</v>
      </c>
      <c r="R204" s="58">
        <f>IF($A204="NA",0,IFERROR('6'!R$103/Ciclo,0))</f>
        <v>0</v>
      </c>
      <c r="S204" s="58">
        <f>IF($A204="NA",0,IFERROR('6'!S$103/Ciclo,0))</f>
        <v>0</v>
      </c>
      <c r="T204" s="58">
        <f>IF($A204="NA",0,IFERROR('6'!T$103/Ciclo,0))</f>
        <v>0</v>
      </c>
      <c r="U204" s="58">
        <f>IF($A204="NA",0,IFERROR('6'!U$103/Ciclo,0))</f>
        <v>0</v>
      </c>
      <c r="V204" s="58">
        <f>IF($A204="NA",0,IFERROR('6'!V$103/Ciclo,0))</f>
        <v>0</v>
      </c>
      <c r="W204" s="5">
        <f>IF($A204="NA",0,IFERROR('6'!W$103/Ciclo,0))</f>
        <v>0</v>
      </c>
      <c r="X204" s="5">
        <f>IF($A204="NA",0,IFERROR('6'!X$103/Ciclo,0))</f>
        <v>0</v>
      </c>
      <c r="Y204" s="5">
        <f>IF($A204="NA",0,IFERROR('6'!Y$103/Ciclo,0))</f>
        <v>0</v>
      </c>
      <c r="Z204" s="5">
        <f>IF($A204="NA",0,IFERROR('6'!Z$103/Ciclo,0))</f>
        <v>0</v>
      </c>
      <c r="AB204" s="5">
        <f>IF($B$198="Producción",IF($B204&gt;=LI_A,$O204,0),0)</f>
        <v>0</v>
      </c>
      <c r="AC204" s="5">
        <f>IF($B$198="Producción",IF($B204&gt;=LI_B,IF($B204&lt;LS_B,$O204,0),0),0)</f>
        <v>0</v>
      </c>
      <c r="AD204" s="5">
        <f>IF($B$198="Producción",IF($B204&gt;=LI_C,IF($B204&lt;LS_C,$O204,0),0),0)</f>
        <v>0</v>
      </c>
      <c r="AE204" s="5">
        <f>IF($B$198="Producción",IF($B204&lt;LS_D,$O204,0),0)</f>
        <v>0</v>
      </c>
      <c r="AF204" s="5">
        <f t="shared" si="1553"/>
        <v>0</v>
      </c>
      <c r="AI204" s="5">
        <f>IF($C$198="Producción",IF($C204&gt;=LI_A,$P204,0),0)</f>
        <v>0</v>
      </c>
      <c r="AJ204" s="5">
        <f>IF($C$198="Producción",IF($C204&gt;=LI_B,IF($C204&lt;LS_B,$P204,0),0),0)</f>
        <v>0</v>
      </c>
      <c r="AK204" s="5">
        <f>IF($C$198="Producción",IF($C204&gt;=LI_C,IF($C204&lt;LS_C,$P204,0),0),0)</f>
        <v>0</v>
      </c>
      <c r="AL204" s="5">
        <f>IF($C$198="Producción",IF($C204&lt;LS_D,$P204,0),0)</f>
        <v>0</v>
      </c>
      <c r="AM204" s="5">
        <f>IF($C$198="Crecimiento",$P204,0)</f>
        <v>0</v>
      </c>
      <c r="AP204" s="5">
        <f>IF($D$198="Producción",IF($D204&gt;=LI_A,$Q204,0),0)</f>
        <v>0</v>
      </c>
      <c r="AQ204" s="5">
        <f>IF($D$198="Producción",IF($D204&gt;=LI_B,IF($D204&lt;LS_B,$Q204,0),0),0)</f>
        <v>0</v>
      </c>
      <c r="AR204" s="5">
        <f>IF($D$198="Producción",IF($D204&gt;=LI_C,IF($D204&lt;LS_C,$Q204,0),0),0)</f>
        <v>0</v>
      </c>
      <c r="AS204" s="5">
        <f>IF($D$198="Producción",IF($D204&lt;LS_D,$Q204,0),0)</f>
        <v>0</v>
      </c>
      <c r="AT204" s="5">
        <f>IF($D$198="Crecimiento",IF($D204&gt;0,$Q204,0),0)</f>
        <v>0</v>
      </c>
      <c r="AW204" s="5">
        <f>IF($E$198="Producción",IF($E204&gt;=LI_A,$R204,0),0)</f>
        <v>0</v>
      </c>
      <c r="AX204" s="5">
        <f>IF($E$198="Producción",IF($E204&gt;=LI_B,IF($E204&lt;LS_B,$R204,0),0),0)</f>
        <v>0</v>
      </c>
      <c r="AY204" s="5">
        <f>IF($E$198="Producción",IF($E204&gt;=LI_C,IF($E204&lt;LS_C,$R204,0),0),0)</f>
        <v>0</v>
      </c>
      <c r="AZ204" s="5">
        <f>IF($E$198="Producción",IF($E204&lt;LS_D,$R204,0),0)</f>
        <v>0</v>
      </c>
      <c r="BA204" s="5">
        <f>IF($E$198="Crecimiento",$R204,0)</f>
        <v>0</v>
      </c>
      <c r="BD204" s="5">
        <f>IF($F$198="Producción",IF($F204&gt;=LI_A,$S204,0),0)</f>
        <v>0</v>
      </c>
      <c r="BE204" s="5">
        <f>IF($F$198="Producción",IF($F204&gt;=LI_B,IF($F204&lt;LS_B,$S204,0),0),0)</f>
        <v>0</v>
      </c>
      <c r="BF204" s="5">
        <f>IF($F$198="Producción",IF($F204&gt;=LI_C,IF($F204&lt;LS_C,$S204,0),0),0)</f>
        <v>0</v>
      </c>
      <c r="BG204" s="5">
        <f>IF($F$198="Producción",IF($F204&lt;LS_D,$S204,0),0)</f>
        <v>0</v>
      </c>
      <c r="BH204" s="5">
        <f>IF($F$198="Crecimiento",$S204,0)</f>
        <v>0</v>
      </c>
      <c r="BK204" s="5">
        <f>IF($G$198="Producción",IF($G204&gt;=LI_A,$T204,0),0)</f>
        <v>0</v>
      </c>
      <c r="BL204" s="5">
        <f>IF($G$198="Producción",IF($G204&gt;=LI_B,IF($G204&lt;LS_B,$T204,0),0),0)</f>
        <v>0</v>
      </c>
      <c r="BM204" s="5">
        <f>IF($G$198="Producción",IF($G204&gt;=LI_C,IF($G204&lt;LS_C,$T204,0),0),0)</f>
        <v>0</v>
      </c>
      <c r="BN204" s="5">
        <f>IF($G$198="Producción",IF($G204&lt;LS_D,$T204,0),0)</f>
        <v>0</v>
      </c>
      <c r="BO204" s="5">
        <f>IF($G$198="Crecimiento",$T204,0)</f>
        <v>0</v>
      </c>
      <c r="BR204" s="5">
        <f>IF($H$198="Producción",IF($H204&gt;=LI_A,$U204,0),0)</f>
        <v>0</v>
      </c>
      <c r="BS204" s="5">
        <f>IF($H$198="Producción",IF($H204&gt;=LI_B,IF($H204&lt;LS_B,$U204,0),0),0)</f>
        <v>0</v>
      </c>
      <c r="BT204" s="5">
        <f>IF($H$198="Producción",IF($H204&gt;=LI_C,IF($H204&lt;LS_C,$U204,0),0),0)</f>
        <v>0</v>
      </c>
      <c r="BU204" s="5">
        <f>IF($H$198="Producción",IF($H204&lt;LS_D,$U204,0),0)</f>
        <v>0</v>
      </c>
      <c r="BV204" s="5">
        <f>IF($H$198="Crecimiento",$T204,0)</f>
        <v>0</v>
      </c>
      <c r="BY204" s="5">
        <f>IF($I$198="Producción",IF($I204&gt;=LI_A,$V204,0),0)</f>
        <v>0</v>
      </c>
      <c r="BZ204" s="5">
        <f>IF($I$198="Producción",IF($I204&gt;=LI_B,IF($I204&lt;LS_B,$V204,0),0),0)</f>
        <v>0</v>
      </c>
      <c r="CA204" s="5">
        <f>IF($I$198="Producción",IF($I204&gt;=LI_C,IF($I204&lt;LS_C,$V204,0),0),0)</f>
        <v>0</v>
      </c>
      <c r="CB204" s="5">
        <f>IF($I$198="Producción",IF($I204&lt;LS_D,$V204,0),0)</f>
        <v>0</v>
      </c>
      <c r="CC204" s="5">
        <f>IF($I$198="Crecimiento",$V204,0)</f>
        <v>0</v>
      </c>
      <c r="CF204" s="5">
        <f>IF($J$198="Producción",IF($J204&gt;=LI_A,$W204,0),0)</f>
        <v>0</v>
      </c>
      <c r="CG204" s="5">
        <f>IF($J$198="Producción",IF($J204&gt;=LI_B,IF($J204&lt;LS_B,$W204,0),0),0)</f>
        <v>0</v>
      </c>
      <c r="CH204" s="5">
        <f>IF($J$198="Producción",IF($J204&gt;=LI_C,IF($J204&lt;LS_C,$W204,0),0),0)</f>
        <v>0</v>
      </c>
      <c r="CI204" s="5">
        <f>IF($J$198="Producción",IF($J204&lt;LS_D,$W204,0),0)</f>
        <v>0</v>
      </c>
      <c r="CJ204" s="5">
        <f>IF($J$198="Crecimiento",$W204,0)</f>
        <v>0</v>
      </c>
      <c r="CM204" s="5">
        <f>IF($K$198="Producción",IF($K204&gt;=LI_A,$X204,0),0)</f>
        <v>0</v>
      </c>
      <c r="CN204" s="5">
        <f>IF($K$198="Producción",IF($K204&gt;=LI_B,IF($K204&lt;LS_B,$X204,0),0),0)</f>
        <v>0</v>
      </c>
      <c r="CO204" s="5">
        <f>IF($K$198="Producción",IF($K204&gt;=LI_C,IF($K204&lt;LS_C,$X204,0),0),0)</f>
        <v>0</v>
      </c>
      <c r="CP204" s="5">
        <f>IF($K$198="Producción",IF($K204&lt;LS_D,$X204,0),0)</f>
        <v>0</v>
      </c>
      <c r="CQ204" s="5">
        <f>IF($K$198="Crecimiento",$X204,0)</f>
        <v>0</v>
      </c>
      <c r="CT204" s="5">
        <f>IF($L$198="Producción",IF($L204&gt;=LI_A,$Y204,0),0)</f>
        <v>0</v>
      </c>
      <c r="CU204" s="5">
        <f>IF($L$198="Producción",IF($L204&gt;=LI_B,IF($L204&lt;LS_B,$Y204,0),0),0)</f>
        <v>0</v>
      </c>
      <c r="CV204" s="5">
        <f>IF($L$198="Producción",IF($L204&gt;=LI_C,IF($L204&lt;LS_C,$Y204,0),0),0)</f>
        <v>0</v>
      </c>
      <c r="CW204" s="5">
        <f>IF($L$198="Producción",IF($L204&lt;LS_D,$Y204,0),0)</f>
        <v>0</v>
      </c>
      <c r="CX204" s="5">
        <f>IF($L$198="Crecimiento",$Y204,0)</f>
        <v>0</v>
      </c>
      <c r="DA204" s="5">
        <f>IF($M$198="Producción",IF($M204&gt;=LI_A,$Z204,0),0)</f>
        <v>0</v>
      </c>
      <c r="DB204" s="5">
        <f>IF($M$198="Producción",IF($M204&gt;=LI_B,IF($M204&lt;LS_B,$Z204,0),0),0)</f>
        <v>0</v>
      </c>
      <c r="DC204" s="5">
        <f>IF($M$198="Producción",IF($M204&gt;=LI_C,IF($M204&lt;LS_C,$Z204,0),0),0)</f>
        <v>0</v>
      </c>
      <c r="DD204" s="5">
        <f>IF($M$198="Producción",IF($M204&lt;LS_D,$Z204,0),0)</f>
        <v>0</v>
      </c>
      <c r="DE204" s="5">
        <f>IF($M$198="Crecimiento",$Z204,0)</f>
        <v>0</v>
      </c>
      <c r="DI204" s="5">
        <f t="shared" si="1493"/>
        <v>0</v>
      </c>
      <c r="DJ204" s="5">
        <f t="shared" si="1494"/>
        <v>0</v>
      </c>
      <c r="DK204" s="5">
        <f t="shared" si="1495"/>
        <v>0</v>
      </c>
      <c r="DL204" s="5">
        <f t="shared" si="1496"/>
        <v>0</v>
      </c>
      <c r="DM204" s="5">
        <f t="shared" si="1497"/>
        <v>0</v>
      </c>
      <c r="DN204" s="5">
        <f t="shared" si="1498"/>
        <v>0</v>
      </c>
      <c r="DO204" s="5">
        <f t="shared" si="1499"/>
        <v>0</v>
      </c>
      <c r="DP204" s="5">
        <f t="shared" si="1500"/>
        <v>0</v>
      </c>
      <c r="DQ204" s="5">
        <f t="shared" si="1501"/>
        <v>0</v>
      </c>
      <c r="DR204" s="5">
        <f t="shared" si="1502"/>
        <v>0</v>
      </c>
      <c r="DS204" s="5">
        <f t="shared" si="1503"/>
        <v>0</v>
      </c>
      <c r="DT204" s="5">
        <f t="shared" si="1504"/>
        <v>0</v>
      </c>
      <c r="DU204" s="5">
        <f t="shared" si="1505"/>
        <v>0</v>
      </c>
      <c r="DV204" s="5">
        <f t="shared" si="1506"/>
        <v>0</v>
      </c>
      <c r="DW204" s="5">
        <f t="shared" si="1507"/>
        <v>0</v>
      </c>
      <c r="DX204" s="5">
        <f t="shared" si="1508"/>
        <v>0</v>
      </c>
      <c r="DY204" s="5">
        <f t="shared" si="1509"/>
        <v>0</v>
      </c>
      <c r="DZ204" s="5">
        <f t="shared" si="1510"/>
        <v>0</v>
      </c>
      <c r="EA204" s="5">
        <f t="shared" si="1511"/>
        <v>0</v>
      </c>
      <c r="EB204" s="5">
        <f t="shared" si="1512"/>
        <v>0</v>
      </c>
      <c r="EC204" s="5">
        <f t="shared" si="1513"/>
        <v>0</v>
      </c>
      <c r="ED204" s="5">
        <f t="shared" si="1514"/>
        <v>0</v>
      </c>
      <c r="EE204" s="5">
        <f t="shared" si="1515"/>
        <v>0</v>
      </c>
      <c r="EF204" s="5">
        <f t="shared" si="1516"/>
        <v>0</v>
      </c>
      <c r="EG204" s="5">
        <f t="shared" si="1517"/>
        <v>0</v>
      </c>
      <c r="EH204" s="5">
        <f t="shared" si="1518"/>
        <v>0</v>
      </c>
      <c r="EI204" s="5">
        <f t="shared" si="1519"/>
        <v>0</v>
      </c>
      <c r="EJ204" s="5">
        <f t="shared" si="1520"/>
        <v>0</v>
      </c>
      <c r="EK204" s="5">
        <f t="shared" si="1521"/>
        <v>0</v>
      </c>
      <c r="EL204" s="5">
        <f t="shared" si="1522"/>
        <v>0</v>
      </c>
      <c r="EM204" s="5">
        <f t="shared" si="1523"/>
        <v>0</v>
      </c>
      <c r="EN204" s="5">
        <f t="shared" si="1524"/>
        <v>0</v>
      </c>
      <c r="EO204" s="5">
        <f t="shared" si="1525"/>
        <v>0</v>
      </c>
      <c r="EP204" s="5">
        <f t="shared" si="1526"/>
        <v>0</v>
      </c>
      <c r="EQ204" s="5">
        <f t="shared" si="1527"/>
        <v>0</v>
      </c>
      <c r="ER204" s="5">
        <f t="shared" si="1528"/>
        <v>0</v>
      </c>
      <c r="ES204" s="5">
        <f t="shared" si="1529"/>
        <v>0</v>
      </c>
      <c r="ET204" s="5">
        <f t="shared" si="1530"/>
        <v>0</v>
      </c>
      <c r="EU204" s="5">
        <f t="shared" si="1531"/>
        <v>0</v>
      </c>
      <c r="EV204" s="5">
        <f t="shared" si="1532"/>
        <v>0</v>
      </c>
      <c r="EW204" s="5">
        <f t="shared" si="1533"/>
        <v>0</v>
      </c>
      <c r="EX204" s="5">
        <f t="shared" si="1534"/>
        <v>0</v>
      </c>
      <c r="EY204" s="5">
        <f t="shared" si="1535"/>
        <v>0</v>
      </c>
      <c r="EZ204" s="5">
        <f t="shared" si="1536"/>
        <v>0</v>
      </c>
      <c r="FA204" s="5">
        <f t="shared" si="1537"/>
        <v>0</v>
      </c>
      <c r="FB204" s="5">
        <f t="shared" si="1538"/>
        <v>0</v>
      </c>
      <c r="FC204" s="5">
        <f t="shared" si="1539"/>
        <v>0</v>
      </c>
      <c r="FD204" s="5">
        <f t="shared" si="1540"/>
        <v>0</v>
      </c>
      <c r="FE204" s="5">
        <f t="shared" si="1541"/>
        <v>0</v>
      </c>
      <c r="FF204" s="5">
        <f t="shared" si="1542"/>
        <v>0</v>
      </c>
      <c r="FG204" s="5">
        <f t="shared" si="1543"/>
        <v>0</v>
      </c>
      <c r="FH204" s="5">
        <f t="shared" si="1544"/>
        <v>0</v>
      </c>
      <c r="FI204" s="5">
        <f t="shared" si="1545"/>
        <v>0</v>
      </c>
      <c r="FJ204" s="5">
        <f t="shared" si="1546"/>
        <v>0</v>
      </c>
      <c r="FK204" s="5">
        <f t="shared" si="1547"/>
        <v>0</v>
      </c>
      <c r="FL204" s="5">
        <f t="shared" si="1548"/>
        <v>0</v>
      </c>
      <c r="FM204" s="5">
        <f t="shared" si="1549"/>
        <v>0</v>
      </c>
      <c r="FN204" s="5">
        <f t="shared" si="1550"/>
        <v>0</v>
      </c>
      <c r="FO204" s="5">
        <f t="shared" si="1551"/>
        <v>0</v>
      </c>
      <c r="FP204" s="5">
        <f t="shared" si="1552"/>
        <v>0</v>
      </c>
    </row>
    <row r="205" spans="1:172" ht="20.100000000000001" customHeight="1" x14ac:dyDescent="0.3">
      <c r="A205" s="9" t="str">
        <f>IF(Ciclo=5,"Surco 5","NA")</f>
        <v>NA</v>
      </c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O205" s="58">
        <f>IF($A205="NA",0,IFERROR('6'!O$103/Ciclo,0))</f>
        <v>0</v>
      </c>
      <c r="P205" s="58">
        <f>IF($A205="NA",0,IFERROR('6'!P$103/Ciclo,0))</f>
        <v>0</v>
      </c>
      <c r="Q205" s="58">
        <f>IF($A205="NA",0,IFERROR('6'!Q$103/Ciclo,0))</f>
        <v>0</v>
      </c>
      <c r="R205" s="58">
        <f>IF($A205="NA",0,IFERROR('6'!R$103/Ciclo,0))</f>
        <v>0</v>
      </c>
      <c r="S205" s="58">
        <f>IF($A205="NA",0,IFERROR('6'!S$103/Ciclo,0))</f>
        <v>0</v>
      </c>
      <c r="T205" s="58">
        <f>IF($A205="NA",0,IFERROR('6'!T$103/Ciclo,0))</f>
        <v>0</v>
      </c>
      <c r="U205" s="58">
        <f>IF($A205="NA",0,IFERROR('6'!U$103/Ciclo,0))</f>
        <v>0</v>
      </c>
      <c r="V205" s="58">
        <f>IF($A205="NA",0,IFERROR('6'!V$103/Ciclo,0))</f>
        <v>0</v>
      </c>
      <c r="W205" s="5">
        <f>IF($A205="NA",0,IFERROR('6'!W$103/Ciclo,0))</f>
        <v>0</v>
      </c>
      <c r="X205" s="5">
        <f>IF($A205="NA",0,IFERROR('6'!X$103/Ciclo,0))</f>
        <v>0</v>
      </c>
      <c r="Y205" s="5">
        <f>IF($A205="NA",0,IFERROR('6'!Y$103/Ciclo,0))</f>
        <v>0</v>
      </c>
      <c r="Z205" s="5">
        <f>IF($A205="NA",0,IFERROR('6'!Z$103/Ciclo,0))</f>
        <v>0</v>
      </c>
      <c r="AB205" s="5">
        <f>IF($B$198="Producción",IF($B205&gt;=LI_A,$O205,0),0)</f>
        <v>0</v>
      </c>
      <c r="AC205" s="5">
        <f>IF($B$198="Producción",IF($B205&gt;=LI_B,IF($B205&lt;LS_B,$O205,0),0),0)</f>
        <v>0</v>
      </c>
      <c r="AD205" s="5">
        <f>IF($B$198="Producción",IF($B205&gt;=LI_C,IF($B205&lt;LS_C,$O205,0),0),0)</f>
        <v>0</v>
      </c>
      <c r="AE205" s="5">
        <f>IF($B$198="Producción",IF($B205&lt;LS_D,$O205,0),0)</f>
        <v>0</v>
      </c>
      <c r="AF205" s="5">
        <f t="shared" si="1553"/>
        <v>0</v>
      </c>
      <c r="AI205" s="5">
        <f>IF($C$198="Producción",IF($C205&gt;=LI_A,$P205,0),0)</f>
        <v>0</v>
      </c>
      <c r="AJ205" s="5">
        <f>IF($C$198="Producción",IF($C205&gt;=LI_B,IF($C205&lt;LS_B,$P205,0),0),0)</f>
        <v>0</v>
      </c>
      <c r="AK205" s="5">
        <f>IF($C$198="Producción",IF($C205&gt;=LI_C,IF($C205&lt;LS_C,$P205,0),0),0)</f>
        <v>0</v>
      </c>
      <c r="AL205" s="5">
        <f>IF($C$198="Producción",IF($C205&lt;LS_D,$P205,0),0)</f>
        <v>0</v>
      </c>
      <c r="AM205" s="5">
        <f>IF($C$198="Crecimiento",$P205,0)</f>
        <v>0</v>
      </c>
      <c r="AP205" s="5">
        <f>IF($D$198="Producción",IF($D205&gt;=LI_A,$Q205,0),0)</f>
        <v>0</v>
      </c>
      <c r="AQ205" s="5">
        <f>IF($D$198="Producción",IF($D205&gt;=LI_B,IF($D205&lt;LS_B,$Q205,0),0),0)</f>
        <v>0</v>
      </c>
      <c r="AR205" s="5">
        <f>IF($D$198="Producción",IF($D205&gt;=LI_C,IF($D205&lt;LS_C,$Q205,0),0),0)</f>
        <v>0</v>
      </c>
      <c r="AS205" s="5">
        <f>IF($D$198="Producción",IF($D205&lt;LS_D,$Q205,0),0)</f>
        <v>0</v>
      </c>
      <c r="AT205" s="5">
        <f>IF($D$198="Crecimiento",IF($D205&gt;0,$Q205,0),0)</f>
        <v>0</v>
      </c>
      <c r="AW205" s="5">
        <f>IF($E$198="Producción",IF($E205&gt;=LI_A,$R205,0),0)</f>
        <v>0</v>
      </c>
      <c r="AX205" s="5">
        <f>IF($E$198="Producción",IF($E205&gt;=LI_B,IF($E205&lt;LS_B,$R205,0),0),0)</f>
        <v>0</v>
      </c>
      <c r="AY205" s="5">
        <f>IF($E$198="Producción",IF($E205&gt;=LI_C,IF($E205&lt;LS_C,$R205,0),0),0)</f>
        <v>0</v>
      </c>
      <c r="AZ205" s="5">
        <f>IF($E$198="Producción",IF($E205&lt;LS_D,$R205,0),0)</f>
        <v>0</v>
      </c>
      <c r="BA205" s="5">
        <f>IF($E$198="Crecimiento",$R205,0)</f>
        <v>0</v>
      </c>
      <c r="BD205" s="5">
        <f>IF($F$198="Producción",IF($F205&gt;=LI_A,$S205,0),0)</f>
        <v>0</v>
      </c>
      <c r="BE205" s="5">
        <f>IF($F$198="Producción",IF($F205&gt;=LI_B,IF($F205&lt;LS_B,$S205,0),0),0)</f>
        <v>0</v>
      </c>
      <c r="BF205" s="5">
        <f>IF($F$198="Producción",IF($F205&gt;=LI_C,IF($F205&lt;LS_C,$S205,0),0),0)</f>
        <v>0</v>
      </c>
      <c r="BG205" s="5">
        <f>IF($F$198="Producción",IF($F205&lt;LS_D,$S205,0),0)</f>
        <v>0</v>
      </c>
      <c r="BH205" s="5">
        <f>IF($F$198="Crecimiento",$S205,0)</f>
        <v>0</v>
      </c>
      <c r="BK205" s="5">
        <f>IF($G$198="Producción",IF($G205&gt;=LI_A,$T205,0),0)</f>
        <v>0</v>
      </c>
      <c r="BL205" s="5">
        <f>IF($G$198="Producción",IF($G205&gt;=LI_B,IF($G205&lt;LS_B,$T205,0),0),0)</f>
        <v>0</v>
      </c>
      <c r="BM205" s="5">
        <f>IF($G$198="Producción",IF($G205&gt;=LI_C,IF($G205&lt;LS_C,$T205,0),0),0)</f>
        <v>0</v>
      </c>
      <c r="BN205" s="5">
        <f>IF($G$198="Producción",IF($G205&lt;LS_D,$T205,0),0)</f>
        <v>0</v>
      </c>
      <c r="BO205" s="5">
        <f>IF($G$198="Crecimiento",$T205,0)</f>
        <v>0</v>
      </c>
      <c r="BR205" s="5">
        <f>IF($H$198="Producción",IF($H205&gt;=LI_A,$U205,0),0)</f>
        <v>0</v>
      </c>
      <c r="BS205" s="5">
        <f>IF($H$198="Producción",IF($H205&gt;=LI_B,IF($H205&lt;LS_B,$U205,0),0),0)</f>
        <v>0</v>
      </c>
      <c r="BT205" s="5">
        <f>IF($H$198="Producción",IF($H205&gt;=LI_C,IF($H205&lt;LS_C,$U205,0),0),0)</f>
        <v>0</v>
      </c>
      <c r="BU205" s="5">
        <f>IF($H$198="Producción",IF($H205&lt;LS_D,$U205,0),0)</f>
        <v>0</v>
      </c>
      <c r="BV205" s="5">
        <f>IF($H$198="Crecimiento",$T205,0)</f>
        <v>0</v>
      </c>
      <c r="BY205" s="5">
        <f>IF($I$198="Producción",IF($I205&gt;=LI_A,$V205,0),0)</f>
        <v>0</v>
      </c>
      <c r="BZ205" s="5">
        <f>IF($I$198="Producción",IF($I205&gt;=LI_B,IF($I205&lt;LS_B,$V205,0),0),0)</f>
        <v>0</v>
      </c>
      <c r="CA205" s="5">
        <f>IF($I$198="Producción",IF($I205&gt;=LI_C,IF($I205&lt;LS_C,$V205,0),0),0)</f>
        <v>0</v>
      </c>
      <c r="CB205" s="5">
        <f>IF($I$198="Producción",IF($I205&lt;LS_D,$V205,0),0)</f>
        <v>0</v>
      </c>
      <c r="CC205" s="5">
        <f>IF($I$198="Crecimiento",$V205,0)</f>
        <v>0</v>
      </c>
      <c r="CF205" s="5">
        <f>IF($J$198="Producción",IF($J205&gt;=LI_A,$W205,0),0)</f>
        <v>0</v>
      </c>
      <c r="CG205" s="5">
        <f>IF($J$198="Producción",IF($J205&gt;=LI_B,IF($J205&lt;LS_B,$W205,0),0),0)</f>
        <v>0</v>
      </c>
      <c r="CH205" s="5">
        <f>IF($J$198="Producción",IF($J205&gt;=LI_C,IF($J205&lt;LS_C,$W205,0),0),0)</f>
        <v>0</v>
      </c>
      <c r="CI205" s="5">
        <f>IF($J$198="Producción",IF($J205&lt;LS_D,$W205,0),0)</f>
        <v>0</v>
      </c>
      <c r="CJ205" s="5">
        <f>IF($J$198="Crecimiento",$W205,0)</f>
        <v>0</v>
      </c>
      <c r="CM205" s="5">
        <f>IF($K$198="Producción",IF($K205&gt;=LI_A,$X205,0),0)</f>
        <v>0</v>
      </c>
      <c r="CN205" s="5">
        <f>IF($K$198="Producción",IF($K205&gt;=LI_B,IF($K205&lt;LS_B,$X205,0),0),0)</f>
        <v>0</v>
      </c>
      <c r="CO205" s="5">
        <f>IF($K$198="Producción",IF($K205&gt;=LI_C,IF($K205&lt;LS_C,$X205,0),0),0)</f>
        <v>0</v>
      </c>
      <c r="CP205" s="5">
        <f>IF($K$198="Producción",IF($K205&lt;LS_D,$X205,0),0)</f>
        <v>0</v>
      </c>
      <c r="CQ205" s="5">
        <f>IF($K$198="Crecimiento",$X205,0)</f>
        <v>0</v>
      </c>
      <c r="CT205" s="5">
        <f>IF($L$198="Producción",IF($L205&gt;=LI_A,$Y205,0),0)</f>
        <v>0</v>
      </c>
      <c r="CU205" s="5">
        <f>IF($L$198="Producción",IF($L205&gt;=LI_B,IF($L205&lt;LS_B,$Y205,0),0),0)</f>
        <v>0</v>
      </c>
      <c r="CV205" s="5">
        <f>IF($L$198="Producción",IF($L205&gt;=LI_C,IF($L205&lt;LS_C,$Y205,0),0),0)</f>
        <v>0</v>
      </c>
      <c r="CW205" s="5">
        <f>IF($L$198="Producción",IF($L205&lt;LS_D,$Y205,0),0)</f>
        <v>0</v>
      </c>
      <c r="CX205" s="5">
        <f>IF($L$198="Crecimiento",$Y205,0)</f>
        <v>0</v>
      </c>
      <c r="DA205" s="5">
        <f>IF($M$198="Producción",IF($M205&gt;=LI_A,$Z205,0),0)</f>
        <v>0</v>
      </c>
      <c r="DB205" s="5">
        <f>IF($M$198="Producción",IF($M205&gt;=LI_B,IF($M205&lt;LS_B,$Z205,0),0),0)</f>
        <v>0</v>
      </c>
      <c r="DC205" s="5">
        <f>IF($M$198="Producción",IF($M205&gt;=LI_C,IF($M205&lt;LS_C,$Z205,0),0),0)</f>
        <v>0</v>
      </c>
      <c r="DD205" s="5">
        <f>IF($M$198="Producción",IF($M205&lt;LS_D,$Z205,0),0)</f>
        <v>0</v>
      </c>
      <c r="DE205" s="5">
        <f>IF($M$198="Crecimiento",$Z205,0)</f>
        <v>0</v>
      </c>
      <c r="DI205" s="5">
        <f t="shared" si="1493"/>
        <v>0</v>
      </c>
      <c r="DJ205" s="5">
        <f t="shared" si="1494"/>
        <v>0</v>
      </c>
      <c r="DK205" s="5">
        <f t="shared" si="1495"/>
        <v>0</v>
      </c>
      <c r="DL205" s="5">
        <f t="shared" si="1496"/>
        <v>0</v>
      </c>
      <c r="DM205" s="5">
        <f t="shared" si="1497"/>
        <v>0</v>
      </c>
      <c r="DN205" s="5">
        <f t="shared" si="1498"/>
        <v>0</v>
      </c>
      <c r="DO205" s="5">
        <f t="shared" si="1499"/>
        <v>0</v>
      </c>
      <c r="DP205" s="5">
        <f t="shared" si="1500"/>
        <v>0</v>
      </c>
      <c r="DQ205" s="5">
        <f t="shared" si="1501"/>
        <v>0</v>
      </c>
      <c r="DR205" s="5">
        <f t="shared" si="1502"/>
        <v>0</v>
      </c>
      <c r="DS205" s="5">
        <f t="shared" si="1503"/>
        <v>0</v>
      </c>
      <c r="DT205" s="5">
        <f t="shared" si="1504"/>
        <v>0</v>
      </c>
      <c r="DU205" s="5">
        <f t="shared" si="1505"/>
        <v>0</v>
      </c>
      <c r="DV205" s="5">
        <f t="shared" si="1506"/>
        <v>0</v>
      </c>
      <c r="DW205" s="5">
        <f t="shared" si="1507"/>
        <v>0</v>
      </c>
      <c r="DX205" s="5">
        <f t="shared" si="1508"/>
        <v>0</v>
      </c>
      <c r="DY205" s="5">
        <f t="shared" si="1509"/>
        <v>0</v>
      </c>
      <c r="DZ205" s="5">
        <f t="shared" si="1510"/>
        <v>0</v>
      </c>
      <c r="EA205" s="5">
        <f t="shared" si="1511"/>
        <v>0</v>
      </c>
      <c r="EB205" s="5">
        <f t="shared" si="1512"/>
        <v>0</v>
      </c>
      <c r="EC205" s="5">
        <f t="shared" si="1513"/>
        <v>0</v>
      </c>
      <c r="ED205" s="5">
        <f t="shared" si="1514"/>
        <v>0</v>
      </c>
      <c r="EE205" s="5">
        <f t="shared" si="1515"/>
        <v>0</v>
      </c>
      <c r="EF205" s="5">
        <f t="shared" si="1516"/>
        <v>0</v>
      </c>
      <c r="EG205" s="5">
        <f t="shared" si="1517"/>
        <v>0</v>
      </c>
      <c r="EH205" s="5">
        <f t="shared" si="1518"/>
        <v>0</v>
      </c>
      <c r="EI205" s="5">
        <f t="shared" si="1519"/>
        <v>0</v>
      </c>
      <c r="EJ205" s="5">
        <f t="shared" si="1520"/>
        <v>0</v>
      </c>
      <c r="EK205" s="5">
        <f t="shared" si="1521"/>
        <v>0</v>
      </c>
      <c r="EL205" s="5">
        <f t="shared" si="1522"/>
        <v>0</v>
      </c>
      <c r="EM205" s="5">
        <f t="shared" si="1523"/>
        <v>0</v>
      </c>
      <c r="EN205" s="5">
        <f t="shared" si="1524"/>
        <v>0</v>
      </c>
      <c r="EO205" s="5">
        <f t="shared" si="1525"/>
        <v>0</v>
      </c>
      <c r="EP205" s="5">
        <f t="shared" si="1526"/>
        <v>0</v>
      </c>
      <c r="EQ205" s="5">
        <f t="shared" si="1527"/>
        <v>0</v>
      </c>
      <c r="ER205" s="5">
        <f t="shared" si="1528"/>
        <v>0</v>
      </c>
      <c r="ES205" s="5">
        <f t="shared" si="1529"/>
        <v>0</v>
      </c>
      <c r="ET205" s="5">
        <f t="shared" si="1530"/>
        <v>0</v>
      </c>
      <c r="EU205" s="5">
        <f t="shared" si="1531"/>
        <v>0</v>
      </c>
      <c r="EV205" s="5">
        <f t="shared" si="1532"/>
        <v>0</v>
      </c>
      <c r="EW205" s="5">
        <f t="shared" si="1533"/>
        <v>0</v>
      </c>
      <c r="EX205" s="5">
        <f t="shared" si="1534"/>
        <v>0</v>
      </c>
      <c r="EY205" s="5">
        <f t="shared" si="1535"/>
        <v>0</v>
      </c>
      <c r="EZ205" s="5">
        <f t="shared" si="1536"/>
        <v>0</v>
      </c>
      <c r="FA205" s="5">
        <f t="shared" si="1537"/>
        <v>0</v>
      </c>
      <c r="FB205" s="5">
        <f t="shared" si="1538"/>
        <v>0</v>
      </c>
      <c r="FC205" s="5">
        <f t="shared" si="1539"/>
        <v>0</v>
      </c>
      <c r="FD205" s="5">
        <f t="shared" si="1540"/>
        <v>0</v>
      </c>
      <c r="FE205" s="5">
        <f t="shared" si="1541"/>
        <v>0</v>
      </c>
      <c r="FF205" s="5">
        <f t="shared" si="1542"/>
        <v>0</v>
      </c>
      <c r="FG205" s="5">
        <f t="shared" si="1543"/>
        <v>0</v>
      </c>
      <c r="FH205" s="5">
        <f t="shared" si="1544"/>
        <v>0</v>
      </c>
      <c r="FI205" s="5">
        <f t="shared" si="1545"/>
        <v>0</v>
      </c>
      <c r="FJ205" s="5">
        <f t="shared" si="1546"/>
        <v>0</v>
      </c>
      <c r="FK205" s="5">
        <f t="shared" si="1547"/>
        <v>0</v>
      </c>
      <c r="FL205" s="5">
        <f t="shared" si="1548"/>
        <v>0</v>
      </c>
      <c r="FM205" s="5">
        <f t="shared" si="1549"/>
        <v>0</v>
      </c>
      <c r="FN205" s="5">
        <f t="shared" si="1550"/>
        <v>0</v>
      </c>
      <c r="FO205" s="5">
        <f t="shared" si="1551"/>
        <v>0</v>
      </c>
      <c r="FP205" s="5">
        <f t="shared" si="1552"/>
        <v>0</v>
      </c>
    </row>
    <row r="206" spans="1:172" ht="20.100000000000001" customHeight="1" x14ac:dyDescent="0.3">
      <c r="A206" s="172">
        <f>N_L26</f>
        <v>0</v>
      </c>
      <c r="B206" s="363" t="s">
        <v>37</v>
      </c>
      <c r="C206" s="363" t="s">
        <v>37</v>
      </c>
      <c r="D206" s="363" t="s">
        <v>37</v>
      </c>
      <c r="E206" s="363" t="s">
        <v>37</v>
      </c>
      <c r="F206" s="363" t="s">
        <v>37</v>
      </c>
      <c r="G206" s="363" t="s">
        <v>37</v>
      </c>
      <c r="H206" s="363" t="s">
        <v>37</v>
      </c>
      <c r="I206" s="363" t="s">
        <v>37</v>
      </c>
      <c r="J206" s="363" t="s">
        <v>37</v>
      </c>
      <c r="K206" s="363" t="s">
        <v>37</v>
      </c>
      <c r="L206" s="363" t="s">
        <v>37</v>
      </c>
      <c r="M206" s="363" t="s">
        <v>37</v>
      </c>
    </row>
    <row r="207" spans="1:172" ht="20.100000000000001" customHeight="1" x14ac:dyDescent="0.3">
      <c r="A207" s="175" t="s">
        <v>238</v>
      </c>
      <c r="B207" s="174">
        <f>SUM(DI209:DM213)/100</f>
        <v>0</v>
      </c>
      <c r="C207" s="174">
        <f>SUM(DN209:DR213)/100</f>
        <v>0</v>
      </c>
      <c r="D207" s="174">
        <f>SUM(DS209:DW213)/100</f>
        <v>0</v>
      </c>
      <c r="E207" s="174">
        <f>SUM(DX209:EB213)/100</f>
        <v>0</v>
      </c>
      <c r="F207" s="174">
        <f>SUM(EC209:EG213)/100</f>
        <v>0</v>
      </c>
      <c r="G207" s="174">
        <f>SUM(EH209:EL213)/100</f>
        <v>0</v>
      </c>
      <c r="H207" s="174">
        <f>SUM(EM209:EQ213)/100</f>
        <v>0</v>
      </c>
      <c r="I207" s="174">
        <f>SUM(ER209:EV213)/100</f>
        <v>0</v>
      </c>
      <c r="J207" s="174">
        <f>SUM(EW209:FA213)/100</f>
        <v>0</v>
      </c>
      <c r="K207" s="174">
        <f>SUM(FB209:FF213)/100</f>
        <v>0</v>
      </c>
      <c r="L207" s="174">
        <f>SUM(FG209:FK213)/100</f>
        <v>0</v>
      </c>
      <c r="M207" s="174">
        <f>SUM(FL209:FP213)/100</f>
        <v>0</v>
      </c>
    </row>
    <row r="208" spans="1:172" ht="20.100000000000001" customHeight="1" x14ac:dyDescent="0.3">
      <c r="A208" s="151" t="s">
        <v>239</v>
      </c>
      <c r="B208" s="152" t="e">
        <f t="shared" ref="B208:M208" si="1554">B207/Lote_26</f>
        <v>#DIV/0!</v>
      </c>
      <c r="C208" s="152" t="e">
        <f t="shared" si="1554"/>
        <v>#DIV/0!</v>
      </c>
      <c r="D208" s="152" t="e">
        <f t="shared" si="1554"/>
        <v>#DIV/0!</v>
      </c>
      <c r="E208" s="152" t="e">
        <f t="shared" si="1554"/>
        <v>#DIV/0!</v>
      </c>
      <c r="F208" s="152" t="e">
        <f t="shared" si="1554"/>
        <v>#DIV/0!</v>
      </c>
      <c r="G208" s="152" t="e">
        <f t="shared" si="1554"/>
        <v>#DIV/0!</v>
      </c>
      <c r="H208" s="152" t="e">
        <f t="shared" si="1554"/>
        <v>#DIV/0!</v>
      </c>
      <c r="I208" s="152" t="e">
        <f t="shared" si="1554"/>
        <v>#DIV/0!</v>
      </c>
      <c r="J208" s="152" t="e">
        <f t="shared" si="1554"/>
        <v>#DIV/0!</v>
      </c>
      <c r="K208" s="152" t="e">
        <f t="shared" si="1554"/>
        <v>#DIV/0!</v>
      </c>
      <c r="L208" s="152" t="e">
        <f t="shared" si="1554"/>
        <v>#DIV/0!</v>
      </c>
      <c r="M208" s="152" t="e">
        <f t="shared" si="1554"/>
        <v>#DIV/0!</v>
      </c>
    </row>
    <row r="209" spans="1:172" ht="20.100000000000001" customHeight="1" x14ac:dyDescent="0.3">
      <c r="A209" s="8" t="s">
        <v>302</v>
      </c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O209" s="58">
        <f>IFERROR('6'!O$107/Ciclo,0)</f>
        <v>0</v>
      </c>
      <c r="P209" s="58">
        <f>IFERROR('6'!P$107/Ciclo,0)</f>
        <v>0</v>
      </c>
      <c r="Q209" s="58">
        <f>IFERROR('6'!Q$107/Ciclo,0)</f>
        <v>0</v>
      </c>
      <c r="R209" s="58">
        <f>IFERROR('6'!R$107/Ciclo,0)</f>
        <v>0</v>
      </c>
      <c r="S209" s="58">
        <f>IFERROR('6'!S$107/Ciclo,0)</f>
        <v>0</v>
      </c>
      <c r="T209" s="58">
        <f>IFERROR('6'!T$107/Ciclo,0)</f>
        <v>0</v>
      </c>
      <c r="U209" s="58">
        <f>IFERROR('6'!U$107/Ciclo,0)</f>
        <v>0</v>
      </c>
      <c r="V209" s="58">
        <f>IFERROR('6'!V$107/Ciclo,0)</f>
        <v>0</v>
      </c>
      <c r="W209" s="5">
        <f>IFERROR('6'!W$107/Ciclo,0)</f>
        <v>0</v>
      </c>
      <c r="X209" s="5">
        <f>IFERROR('6'!X$107/Ciclo,0)</f>
        <v>0</v>
      </c>
      <c r="Y209" s="5">
        <f>IFERROR('6'!Y$107/Ciclo,0)</f>
        <v>0</v>
      </c>
      <c r="Z209" s="5">
        <f>IFERROR('6'!Z$107/Ciclo,0)</f>
        <v>0</v>
      </c>
      <c r="AB209" s="5">
        <f>IF($B$206="Producción",IF($B209&gt;=LI_A,$O209,0),0)</f>
        <v>0</v>
      </c>
      <c r="AC209" s="5">
        <f>IF($B$206="Producción",IF($B209&gt;=LI_B,IF($B209&lt;LS_B,$O209,0),0),0)</f>
        <v>0</v>
      </c>
      <c r="AD209" s="5">
        <f>IF($B$206="Producción",IF($B209&gt;=LI_C,IF($B209&lt;LS_C,$O209,0),0),0)</f>
        <v>0</v>
      </c>
      <c r="AE209" s="5">
        <f>IF($B$206="Producción",IF($B209&lt;LS_D,$O209,0),0)</f>
        <v>0</v>
      </c>
      <c r="AF209" s="5">
        <f>IF($B$206="Crecimiento",$O209,0)</f>
        <v>0</v>
      </c>
      <c r="AG209" s="5">
        <f>IF($B206="Siembra",'6'!$O$7,0)</f>
        <v>0</v>
      </c>
      <c r="AH209" s="5">
        <f>IF($B206="Abandono",'6'!$O$7,0)</f>
        <v>0</v>
      </c>
      <c r="AI209" s="5">
        <f>IF($C$206="Producción",IF($C209&gt;=LI_A,$P209,0),0)</f>
        <v>0</v>
      </c>
      <c r="AJ209" s="5">
        <f>IF($C$206="Producción",IF($C209&gt;=LI_B,IF($C209&lt;LS_B,$P209,0),0),0)</f>
        <v>0</v>
      </c>
      <c r="AK209" s="5">
        <f>IF($C$206="Producción",IF($C209&gt;=LI_C,IF($C209&lt;LS_C,$P209,0),0),0)</f>
        <v>0</v>
      </c>
      <c r="AL209" s="5">
        <f>IF($C$206="Producción",IF($C209&lt;LS_D,$P209,0),0)</f>
        <v>0</v>
      </c>
      <c r="AM209" s="5">
        <f>IF($C$206="Crecimiento",$P209,0)</f>
        <v>0</v>
      </c>
      <c r="AN209" s="5">
        <f>IF($C206="Siembra",'6'!$P$7,0)</f>
        <v>0</v>
      </c>
      <c r="AO209" s="5">
        <f>IF($C206="Abandono",'6'!$P$7,0)</f>
        <v>0</v>
      </c>
      <c r="AP209" s="5">
        <f>IF($D$206="Producción",IF($D209&gt;=LI_A,$Q209,0),0)</f>
        <v>0</v>
      </c>
      <c r="AQ209" s="5">
        <f>IF($D$206="Producción",IF($D209&gt;=LI_B,IF($D209&lt;LS_B,$Q209,0),0),0)</f>
        <v>0</v>
      </c>
      <c r="AR209" s="5">
        <f>IF($D$206="Producción",IF($D209&gt;=LI_C,IF($D209&lt;LS_C,$Q209,0),0),0)</f>
        <v>0</v>
      </c>
      <c r="AS209" s="5">
        <f>IF($D$206="Producción",IF($D209&lt;LS_D,$Q209,0),0)</f>
        <v>0</v>
      </c>
      <c r="AT209" s="5">
        <f>IF($D$206="Crecimiento",IF($D209&gt;0,$Q209,0),0)</f>
        <v>0</v>
      </c>
      <c r="AU209" s="5">
        <f>IF($D206="Siembra",'6'!$Q$7,0)</f>
        <v>0</v>
      </c>
      <c r="AV209" s="5">
        <f>IF($D206="Abandono",'6'!$Q$7,0)</f>
        <v>0</v>
      </c>
      <c r="AW209" s="5">
        <f>IF($E$206="Producción",IF($E209&gt;=LI_A,$R209,0),0)</f>
        <v>0</v>
      </c>
      <c r="AX209" s="5">
        <f>IF($E$206="Producción",IF($E209&gt;=LI_B,IF($E209&lt;LS_B,$R209,0),0),0)</f>
        <v>0</v>
      </c>
      <c r="AY209" s="5">
        <f>IF($E$206="Producción",IF($E209&gt;=LI_C,IF($E209&lt;LS_C,$R209,0),0),0)</f>
        <v>0</v>
      </c>
      <c r="AZ209" s="5">
        <f>IF($E$206="Producción",IF($E209&lt;LS_D,$R209,0),0)</f>
        <v>0</v>
      </c>
      <c r="BA209" s="5">
        <f>IF($E$206="Crecimiento",$R209,0)</f>
        <v>0</v>
      </c>
      <c r="BB209" s="5">
        <f>IF($E206="Siembra",'6'!$R$7,0)</f>
        <v>0</v>
      </c>
      <c r="BC209" s="5">
        <f>IF($E206="Abandono",'6'!$R$7,0)</f>
        <v>0</v>
      </c>
      <c r="BD209" s="5">
        <f>IF($F$206="Producción",IF($F209&gt;=LI_A,$S209,0),0)</f>
        <v>0</v>
      </c>
      <c r="BE209" s="5">
        <f>IF($F$206="Producción",IF($F209&gt;=LI_B,IF($F209&lt;LS_B,$S209,0),0),0)</f>
        <v>0</v>
      </c>
      <c r="BF209" s="5">
        <f>IF($F$206="Producción",IF($F209&gt;=LI_C,IF($F209&lt;LS_C,$S209,0),0),0)</f>
        <v>0</v>
      </c>
      <c r="BG209" s="5">
        <f>IF($F$206="Producción",IF($F209&lt;LS_D,$S209,0),0)</f>
        <v>0</v>
      </c>
      <c r="BH209" s="5">
        <f>IF($F$206="Crecimiento",$S209,0)</f>
        <v>0</v>
      </c>
      <c r="BI209" s="5">
        <f>IF($F206="Siembra",'6'!$S$7,0)</f>
        <v>0</v>
      </c>
      <c r="BJ209" s="5">
        <f>IF($F206="Abandono",'6'!$S$7,0)</f>
        <v>0</v>
      </c>
      <c r="BK209" s="5">
        <f>IF($G$206="Producción",IF($G209&gt;=LI_A,$T209,0),0)</f>
        <v>0</v>
      </c>
      <c r="BL209" s="5">
        <f>IF($G$206="Producción",IF($G209&gt;=LI_B,IF($G209&lt;LS_B,$T209,0),0),0)</f>
        <v>0</v>
      </c>
      <c r="BM209" s="5">
        <f>IF($G$206="Producción",IF($G209&gt;=LI_C,IF($G209&lt;LS_C,$T209,0),0),0)</f>
        <v>0</v>
      </c>
      <c r="BN209" s="5">
        <f>IF($G$206="Producción",IF($G209&lt;LS_D,$T209,0),0)</f>
        <v>0</v>
      </c>
      <c r="BO209" s="5">
        <f>IF($G$206="Crecimiento",$T209,0)</f>
        <v>0</v>
      </c>
      <c r="BP209" s="5">
        <f>IF($G206="Siembra",'6'!$T$7,0)</f>
        <v>0</v>
      </c>
      <c r="BQ209" s="5">
        <f>IF($G206="Abandono",'6'!$T$7,0)</f>
        <v>0</v>
      </c>
      <c r="BR209" s="5">
        <f>IF($H$206="Producción",IF($H209&gt;=LI_A,$U209,0),0)</f>
        <v>0</v>
      </c>
      <c r="BS209" s="5">
        <f>IF($H$206="Producción",IF($H209&gt;=LI_B,IF($H209&lt;LS_B,$U209,0),0),0)</f>
        <v>0</v>
      </c>
      <c r="BT209" s="5">
        <f>IF($H$206="Producción",IF($H209&gt;=LI_C,IF($H209&lt;LS_C,$U209,0),0),0)</f>
        <v>0</v>
      </c>
      <c r="BU209" s="5">
        <f>IF($H$206="Producción",IF($H209&lt;LS_D,$U209,0),0)</f>
        <v>0</v>
      </c>
      <c r="BV209" s="5">
        <f>IF($H$206="Crecimiento",$T209,0)</f>
        <v>0</v>
      </c>
      <c r="BW209" s="5">
        <f>IF($H206="Siembra",'6'!$U$7,0)</f>
        <v>0</v>
      </c>
      <c r="BX209" s="5">
        <f>IF($H206="Abandono",'6'!$U$7,0)</f>
        <v>0</v>
      </c>
      <c r="BY209" s="5">
        <f>IF($I$206="Producción",IF($I209&gt;=LI_A,$V209,0),0)</f>
        <v>0</v>
      </c>
      <c r="BZ209" s="5">
        <f>IF($I$206="Producción",IF($I209&gt;=LI_B,IF($I209&lt;LS_B,$V209,0),0),0)</f>
        <v>0</v>
      </c>
      <c r="CA209" s="5">
        <f>IF($I$206="Producción",IF($I209&gt;=LI_C,IF($I209&lt;LS_C,$V209,0),0),0)</f>
        <v>0</v>
      </c>
      <c r="CB209" s="5">
        <f>IF($I$206="Producción",IF($I209&lt;LS_D,$V209,0),0)</f>
        <v>0</v>
      </c>
      <c r="CC209" s="5">
        <f>IF($I$206="Crecimiento",$V209,0)</f>
        <v>0</v>
      </c>
      <c r="CD209" s="5">
        <f>IF($I206="Siembra",'6'!$V$7,0)</f>
        <v>0</v>
      </c>
      <c r="CE209" s="5">
        <f>IF($I206="Abandono",'6'!$V$7,0)</f>
        <v>0</v>
      </c>
      <c r="CF209" s="5">
        <f>IF($J$206="Producción",IF($J209&gt;=LI_A,$W209,0),0)</f>
        <v>0</v>
      </c>
      <c r="CG209" s="5">
        <f>IF($J$206="Producción",IF($J209&gt;=LI_B,IF($J209&lt;LS_B,$W209,0),0),0)</f>
        <v>0</v>
      </c>
      <c r="CH209" s="5">
        <f>IF($J$206="Producción",IF($J209&gt;=LI_C,IF($J209&lt;LS_C,$W209,0),0),0)</f>
        <v>0</v>
      </c>
      <c r="CI209" s="5">
        <f>IF($J$206="Producción",IF($J209&lt;LS_D,$W209,0),0)</f>
        <v>0</v>
      </c>
      <c r="CJ209" s="5">
        <f>IF($J$206="Crecimiento",$W209,0)</f>
        <v>0</v>
      </c>
      <c r="CK209" s="5">
        <f>IF($J206="Siembra",'6'!$W$7,0)</f>
        <v>0</v>
      </c>
      <c r="CL209" s="5">
        <f>IF($J206="Abandono",'6'!$W$7,0)</f>
        <v>0</v>
      </c>
      <c r="CM209" s="5">
        <f>IF($K$206="Producción",IF($K209&gt;=LI_A,$X209,0),0)</f>
        <v>0</v>
      </c>
      <c r="CN209" s="5">
        <f>IF($K$206="Producción",IF($K209&gt;=LI_B,IF($K209&lt;LS_B,$X209,0),0),0)</f>
        <v>0</v>
      </c>
      <c r="CO209" s="5">
        <f>IF($K$206="Producción",IF($K209&gt;=LI_C,IF($K209&lt;LS_C,$X209,0),0),0)</f>
        <v>0</v>
      </c>
      <c r="CP209" s="5">
        <f>IF($K$206="Producción",IF($K209&lt;LS_D,$X209,0),0)</f>
        <v>0</v>
      </c>
      <c r="CQ209" s="5">
        <f>IF($K$206="Crecimiento",$X209,0)</f>
        <v>0</v>
      </c>
      <c r="CR209" s="5">
        <f>IF($K206="Siembra",'6'!$X$7,0)</f>
        <v>0</v>
      </c>
      <c r="CS209" s="5">
        <f>IF($K206="Abandono",'6'!$X$7,0)</f>
        <v>0</v>
      </c>
      <c r="CT209" s="5">
        <f>IF($L$206="Producción",IF($L209&gt;=LI_A,$Y209,0),0)</f>
        <v>0</v>
      </c>
      <c r="CU209" s="5">
        <f>IF($L$206="Producción",IF($L209&gt;=LI_B,IF($L209&lt;LS_B,$Y209,0),0),0)</f>
        <v>0</v>
      </c>
      <c r="CV209" s="5">
        <f>IF($L$206="Producción",IF($L209&gt;=LI_C,IF($L209&lt;LS_C,$Y209,0),0),0)</f>
        <v>0</v>
      </c>
      <c r="CW209" s="5">
        <f>IF($L$206="Producción",IF($L209&lt;LS_D,$Y209,0),0)</f>
        <v>0</v>
      </c>
      <c r="CX209" s="5">
        <f>IF($L$206="Crecimiento",$Y209,0)</f>
        <v>0</v>
      </c>
      <c r="CY209" s="5">
        <f>IF($L206="Siembra",'6'!$Y$7,0)</f>
        <v>0</v>
      </c>
      <c r="CZ209" s="5">
        <f>IF($L206="Abandono",'6'!$Y$7,0)</f>
        <v>0</v>
      </c>
      <c r="DA209" s="5">
        <f>IF($M$206="Producción",IF($M209&gt;=LI_A,$Z209,0),0)</f>
        <v>0</v>
      </c>
      <c r="DB209" s="5">
        <f>IF($M$206="Producción",IF($M209&gt;=LI_B,IF($M209&lt;LS_B,$Z209,0),0),0)</f>
        <v>0</v>
      </c>
      <c r="DC209" s="5">
        <f>IF($M$206="Producción",IF($M209&gt;=LI_C,IF($M209&lt;LS_C,$Z209,0),0),0)</f>
        <v>0</v>
      </c>
      <c r="DD209" s="5">
        <f>IF($M$206="Producción",IF($M209&lt;LS_D,$Z209,0),0)</f>
        <v>0</v>
      </c>
      <c r="DE209" s="5">
        <f>IF($M$206="Crecimiento",$Z209,0)</f>
        <v>0</v>
      </c>
      <c r="DF209" s="5">
        <f>IF($M206="Siembra",'6'!$Z$7,0)</f>
        <v>0</v>
      </c>
      <c r="DG209" s="5">
        <f>IF($M206="Abandono",'6'!$Z$7,0)</f>
        <v>0</v>
      </c>
      <c r="DI209" s="5">
        <f t="shared" ref="DI209:DI213" si="1555">AB209*$B209</f>
        <v>0</v>
      </c>
      <c r="DJ209" s="5">
        <f t="shared" ref="DJ209:DJ213" si="1556">AC209*$B209</f>
        <v>0</v>
      </c>
      <c r="DK209" s="5">
        <f t="shared" ref="DK209:DK213" si="1557">AD209*$B209</f>
        <v>0</v>
      </c>
      <c r="DL209" s="5">
        <f t="shared" ref="DL209:DL213" si="1558">AE209*$B209</f>
        <v>0</v>
      </c>
      <c r="DM209" s="5">
        <f t="shared" ref="DM209:DM213" si="1559">AF209*$B209</f>
        <v>0</v>
      </c>
      <c r="DN209" s="5">
        <f t="shared" ref="DN209:DN213" si="1560">AI209*$C209</f>
        <v>0</v>
      </c>
      <c r="DO209" s="5">
        <f t="shared" ref="DO209:DO213" si="1561">AJ209*$C209</f>
        <v>0</v>
      </c>
      <c r="DP209" s="5">
        <f t="shared" ref="DP209:DP213" si="1562">AK209*$C209</f>
        <v>0</v>
      </c>
      <c r="DQ209" s="5">
        <f t="shared" ref="DQ209:DQ213" si="1563">AL209*$C209</f>
        <v>0</v>
      </c>
      <c r="DR209" s="5">
        <f t="shared" ref="DR209:DR213" si="1564">AM209*$C209</f>
        <v>0</v>
      </c>
      <c r="DS209" s="5">
        <f t="shared" ref="DS209:DS213" si="1565">AP209*$D209</f>
        <v>0</v>
      </c>
      <c r="DT209" s="5">
        <f t="shared" ref="DT209:DT213" si="1566">AQ209*$D209</f>
        <v>0</v>
      </c>
      <c r="DU209" s="5">
        <f t="shared" ref="DU209:DU213" si="1567">AR209*$D209</f>
        <v>0</v>
      </c>
      <c r="DV209" s="5">
        <f t="shared" ref="DV209:DV213" si="1568">AS209*$D209</f>
        <v>0</v>
      </c>
      <c r="DW209" s="5">
        <f t="shared" ref="DW209:DW213" si="1569">AT209*$D209</f>
        <v>0</v>
      </c>
      <c r="DX209" s="5">
        <f t="shared" ref="DX209:DX213" si="1570">AW209*$E209</f>
        <v>0</v>
      </c>
      <c r="DY209" s="5">
        <f t="shared" ref="DY209:DY213" si="1571">AX209*$E209</f>
        <v>0</v>
      </c>
      <c r="DZ209" s="5">
        <f t="shared" ref="DZ209:DZ213" si="1572">AY209*$E209</f>
        <v>0</v>
      </c>
      <c r="EA209" s="5">
        <f t="shared" ref="EA209:EA213" si="1573">AZ209*$E209</f>
        <v>0</v>
      </c>
      <c r="EB209" s="5">
        <f t="shared" ref="EB209:EB213" si="1574">BA209*$E209</f>
        <v>0</v>
      </c>
      <c r="EC209" s="5">
        <f t="shared" ref="EC209:EC213" si="1575">BD209*$F209</f>
        <v>0</v>
      </c>
      <c r="ED209" s="5">
        <f t="shared" ref="ED209:ED213" si="1576">BE209*$F209</f>
        <v>0</v>
      </c>
      <c r="EE209" s="5">
        <f t="shared" ref="EE209:EE213" si="1577">BF209*$F209</f>
        <v>0</v>
      </c>
      <c r="EF209" s="5">
        <f t="shared" ref="EF209:EF213" si="1578">BG209*$F209</f>
        <v>0</v>
      </c>
      <c r="EG209" s="5">
        <f t="shared" ref="EG209:EG213" si="1579">BH209*$F209</f>
        <v>0</v>
      </c>
      <c r="EH209" s="5">
        <f t="shared" ref="EH209:EH213" si="1580">BK209*$G209</f>
        <v>0</v>
      </c>
      <c r="EI209" s="5">
        <f t="shared" ref="EI209:EI213" si="1581">BL209*$G209</f>
        <v>0</v>
      </c>
      <c r="EJ209" s="5">
        <f t="shared" ref="EJ209:EJ213" si="1582">BM209*$G209</f>
        <v>0</v>
      </c>
      <c r="EK209" s="5">
        <f t="shared" ref="EK209:EK213" si="1583">BN209*$G209</f>
        <v>0</v>
      </c>
      <c r="EL209" s="5">
        <f t="shared" ref="EL209:EL213" si="1584">BO209*$G209</f>
        <v>0</v>
      </c>
      <c r="EM209" s="5">
        <f t="shared" ref="EM209:EM213" si="1585">BR209*$H209</f>
        <v>0</v>
      </c>
      <c r="EN209" s="5">
        <f t="shared" ref="EN209:EN213" si="1586">BS209*$H209</f>
        <v>0</v>
      </c>
      <c r="EO209" s="5">
        <f t="shared" ref="EO209:EO213" si="1587">BT209*$H209</f>
        <v>0</v>
      </c>
      <c r="EP209" s="5">
        <f t="shared" ref="EP209:EP213" si="1588">BU209*$H209</f>
        <v>0</v>
      </c>
      <c r="EQ209" s="5">
        <f t="shared" ref="EQ209:EQ213" si="1589">BV209*$H209</f>
        <v>0</v>
      </c>
      <c r="ER209" s="5">
        <f t="shared" ref="ER209:ER213" si="1590">BY209*$I209</f>
        <v>0</v>
      </c>
      <c r="ES209" s="5">
        <f t="shared" ref="ES209:ES213" si="1591">BZ209*$I209</f>
        <v>0</v>
      </c>
      <c r="ET209" s="5">
        <f t="shared" ref="ET209:ET213" si="1592">CA209*$I209</f>
        <v>0</v>
      </c>
      <c r="EU209" s="5">
        <f t="shared" ref="EU209:EU213" si="1593">CB209*$I209</f>
        <v>0</v>
      </c>
      <c r="EV209" s="5">
        <f t="shared" ref="EV209:EV213" si="1594">CC209*$I209</f>
        <v>0</v>
      </c>
      <c r="EW209" s="5">
        <f t="shared" ref="EW209:EW213" si="1595">CF209*$J209</f>
        <v>0</v>
      </c>
      <c r="EX209" s="5">
        <f t="shared" ref="EX209:EX213" si="1596">CG209*$J209</f>
        <v>0</v>
      </c>
      <c r="EY209" s="5">
        <f t="shared" ref="EY209:EY213" si="1597">CH209*$J209</f>
        <v>0</v>
      </c>
      <c r="EZ209" s="5">
        <f t="shared" ref="EZ209:EZ213" si="1598">CI209*$J209</f>
        <v>0</v>
      </c>
      <c r="FA209" s="5">
        <f t="shared" ref="FA209:FA213" si="1599">CJ209*$J209</f>
        <v>0</v>
      </c>
      <c r="FB209" s="5">
        <f t="shared" ref="FB209:FB213" si="1600">CM209*$K209</f>
        <v>0</v>
      </c>
      <c r="FC209" s="5">
        <f t="shared" ref="FC209:FC213" si="1601">CN209*$K209</f>
        <v>0</v>
      </c>
      <c r="FD209" s="5">
        <f t="shared" ref="FD209:FD213" si="1602">CO209*$K209</f>
        <v>0</v>
      </c>
      <c r="FE209" s="5">
        <f t="shared" ref="FE209:FE213" si="1603">CP209*$K209</f>
        <v>0</v>
      </c>
      <c r="FF209" s="5">
        <f t="shared" ref="FF209:FF213" si="1604">CQ209*$K209</f>
        <v>0</v>
      </c>
      <c r="FG209" s="5">
        <f t="shared" ref="FG209:FG213" si="1605">CT209*$L209</f>
        <v>0</v>
      </c>
      <c r="FH209" s="5">
        <f t="shared" ref="FH209:FH213" si="1606">CU209*$L209</f>
        <v>0</v>
      </c>
      <c r="FI209" s="5">
        <f t="shared" ref="FI209:FI213" si="1607">CV209*$L209</f>
        <v>0</v>
      </c>
      <c r="FJ209" s="5">
        <f t="shared" ref="FJ209:FJ213" si="1608">CW209*$L209</f>
        <v>0</v>
      </c>
      <c r="FK209" s="5">
        <f t="shared" ref="FK209:FK213" si="1609">CX209*$L209</f>
        <v>0</v>
      </c>
      <c r="FL209" s="5">
        <f t="shared" ref="FL209:FL213" si="1610">DA209*$M209</f>
        <v>0</v>
      </c>
      <c r="FM209" s="5">
        <f t="shared" ref="FM209:FM213" si="1611">DB209*$M209</f>
        <v>0</v>
      </c>
      <c r="FN209" s="5">
        <f t="shared" ref="FN209:FN213" si="1612">DC209*$M209</f>
        <v>0</v>
      </c>
      <c r="FO209" s="5">
        <f t="shared" ref="FO209:FO213" si="1613">DD209*$M209</f>
        <v>0</v>
      </c>
      <c r="FP209" s="5">
        <f t="shared" ref="FP209:FP213" si="1614">DE209*$M209</f>
        <v>0</v>
      </c>
    </row>
    <row r="210" spans="1:172" ht="20.100000000000001" customHeight="1" x14ac:dyDescent="0.3">
      <c r="A210" s="8" t="s">
        <v>303</v>
      </c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O210" s="58">
        <f>IFERROR('6'!O$107/Ciclo,0)</f>
        <v>0</v>
      </c>
      <c r="P210" s="58">
        <f>IFERROR('6'!P$107/Ciclo,0)</f>
        <v>0</v>
      </c>
      <c r="Q210" s="58">
        <f>IFERROR('6'!Q$107/Ciclo,0)</f>
        <v>0</v>
      </c>
      <c r="R210" s="58">
        <f>IFERROR('6'!R$107/Ciclo,0)</f>
        <v>0</v>
      </c>
      <c r="S210" s="58">
        <f>IFERROR('6'!S$107/Ciclo,0)</f>
        <v>0</v>
      </c>
      <c r="T210" s="58">
        <f>IFERROR('6'!T$107/Ciclo,0)</f>
        <v>0</v>
      </c>
      <c r="U210" s="58">
        <f>IFERROR('6'!U$107/Ciclo,0)</f>
        <v>0</v>
      </c>
      <c r="V210" s="58">
        <f>IFERROR('6'!V$107/Ciclo,0)</f>
        <v>0</v>
      </c>
      <c r="W210" s="5">
        <f>IFERROR('6'!W$107/Ciclo,0)</f>
        <v>0</v>
      </c>
      <c r="X210" s="5">
        <f>IFERROR('6'!X$107/Ciclo,0)</f>
        <v>0</v>
      </c>
      <c r="Y210" s="5">
        <f>IFERROR('6'!Y$107/Ciclo,0)</f>
        <v>0</v>
      </c>
      <c r="Z210" s="5">
        <f>IFERROR('6'!Z$107/Ciclo,0)</f>
        <v>0</v>
      </c>
      <c r="AB210" s="5">
        <f>IF($B$206="Producción",IF($B210&gt;=LI_A,$O210,0),0)</f>
        <v>0</v>
      </c>
      <c r="AC210" s="5">
        <f>IF($B$206="Producción",IF($B210&gt;=LI_B,IF($B210&lt;LS_B,$O210,0),0),0)</f>
        <v>0</v>
      </c>
      <c r="AD210" s="5">
        <f>IF($B$206="Producción",IF($B210&gt;=LI_C,IF($B210&lt;LS_C,$O210,0),0),0)</f>
        <v>0</v>
      </c>
      <c r="AE210" s="5">
        <f>IF($B$206="Producción",IF($B210&lt;LS_D,$O210,0),0)</f>
        <v>0</v>
      </c>
      <c r="AF210" s="5">
        <f t="shared" ref="AF210:AF213" si="1615">IF($B$206="Crecimiento",$O210,0)</f>
        <v>0</v>
      </c>
      <c r="AI210" s="5">
        <f>IF($C$206="Producción",IF($C210&gt;=LI_A,$P210,0),0)</f>
        <v>0</v>
      </c>
      <c r="AJ210" s="5">
        <f>IF($C$206="Producción",IF($C210&gt;=LI_B,IF($C210&lt;LS_B,$P210,0),0),0)</f>
        <v>0</v>
      </c>
      <c r="AK210" s="5">
        <f>IF($C$206="Producción",IF($C210&gt;=LI_C,IF($C210&lt;LS_C,$P210,0),0),0)</f>
        <v>0</v>
      </c>
      <c r="AL210" s="5">
        <f>IF($C$206="Producción",IF($C210&lt;LS_D,$P210,0),0)</f>
        <v>0</v>
      </c>
      <c r="AM210" s="5">
        <f>IF($C$206="Crecimiento",$P210,0)</f>
        <v>0</v>
      </c>
      <c r="AP210" s="5">
        <f>IF($D$206="Producción",IF($D210&gt;=LI_A,$Q210,0),0)</f>
        <v>0</v>
      </c>
      <c r="AQ210" s="5">
        <f>IF($D$206="Producción",IF($D210&gt;=LI_B,IF($D210&lt;LS_B,$Q210,0),0),0)</f>
        <v>0</v>
      </c>
      <c r="AR210" s="5">
        <f>IF($D$206="Producción",IF($D210&gt;=LI_C,IF($D210&lt;LS_C,$Q210,0),0),0)</f>
        <v>0</v>
      </c>
      <c r="AS210" s="5">
        <f>IF($D$206="Producción",IF($D210&lt;LS_D,$Q210,0),0)</f>
        <v>0</v>
      </c>
      <c r="AT210" s="5">
        <f>IF($D$206="Crecimiento",IF($D210&gt;0,$Q210,0),0)</f>
        <v>0</v>
      </c>
      <c r="AW210" s="5">
        <f>IF($E$206="Producción",IF($E210&gt;=LI_A,$R210,0),0)</f>
        <v>0</v>
      </c>
      <c r="AX210" s="5">
        <f>IF($E$206="Producción",IF($E210&gt;=LI_B,IF($E210&lt;LS_B,$R210,0),0),0)</f>
        <v>0</v>
      </c>
      <c r="AY210" s="5">
        <f>IF($E$206="Producción",IF($E210&gt;=LI_C,IF($E210&lt;LS_C,$R210,0),0),0)</f>
        <v>0</v>
      </c>
      <c r="AZ210" s="5">
        <f>IF($E$206="Producción",IF($E210&lt;LS_D,$R210,0),0)</f>
        <v>0</v>
      </c>
      <c r="BA210" s="5">
        <f>IF($E$206="Crecimiento",$R210,0)</f>
        <v>0</v>
      </c>
      <c r="BD210" s="5">
        <f>IF($F$206="Producción",IF($F210&gt;=LI_A,$S210,0),0)</f>
        <v>0</v>
      </c>
      <c r="BE210" s="5">
        <f>IF($F$206="Producción",IF($F210&gt;=LI_B,IF($F210&lt;LS_B,$S210,0),0),0)</f>
        <v>0</v>
      </c>
      <c r="BF210" s="5">
        <f>IF($F$206="Producción",IF($F210&gt;=LI_C,IF($F210&lt;LS_C,$S210,0),0),0)</f>
        <v>0</v>
      </c>
      <c r="BG210" s="5">
        <f>IF($F$206="Producción",IF($F210&lt;LS_D,$S210,0),0)</f>
        <v>0</v>
      </c>
      <c r="BH210" s="5">
        <f>IF($F$206="Crecimiento",$S210,0)</f>
        <v>0</v>
      </c>
      <c r="BK210" s="5">
        <f>IF($G$206="Producción",IF($G210&gt;=LI_A,$T210,0),0)</f>
        <v>0</v>
      </c>
      <c r="BL210" s="5">
        <f>IF($G$206="Producción",IF($G210&gt;=LI_B,IF($G210&lt;LS_B,$T210,0),0),0)</f>
        <v>0</v>
      </c>
      <c r="BM210" s="5">
        <f>IF($G$206="Producción",IF($G210&gt;=LI_C,IF($G210&lt;LS_C,$T210,0),0),0)</f>
        <v>0</v>
      </c>
      <c r="BN210" s="5">
        <f>IF($G$206="Producción",IF($G210&lt;LS_D,$T210,0),0)</f>
        <v>0</v>
      </c>
      <c r="BO210" s="5">
        <f>IF($G$206="Crecimiento",$T210,0)</f>
        <v>0</v>
      </c>
      <c r="BR210" s="5">
        <f>IF($H$206="Producción",IF($H210&gt;=LI_A,$U210,0),0)</f>
        <v>0</v>
      </c>
      <c r="BS210" s="5">
        <f>IF($H$206="Producción",IF($H210&gt;=LI_B,IF($H210&lt;LS_B,$U210,0),0),0)</f>
        <v>0</v>
      </c>
      <c r="BT210" s="5">
        <f>IF($H$206="Producción",IF($H210&gt;=LI_C,IF($H210&lt;LS_C,$U210,0),0),0)</f>
        <v>0</v>
      </c>
      <c r="BU210" s="5">
        <f>IF($H$206="Producción",IF($H210&lt;LS_D,$U210,0),0)</f>
        <v>0</v>
      </c>
      <c r="BV210" s="5">
        <f>IF($H$206="Crecimiento",$T210,0)</f>
        <v>0</v>
      </c>
      <c r="BY210" s="5">
        <f>IF($I$206="Producción",IF($I210&gt;=LI_A,$V210,0),0)</f>
        <v>0</v>
      </c>
      <c r="BZ210" s="5">
        <f>IF($I$206="Producción",IF($I210&gt;=LI_B,IF($I210&lt;LS_B,$V210,0),0),0)</f>
        <v>0</v>
      </c>
      <c r="CA210" s="5">
        <f>IF($I$206="Producción",IF($I210&gt;=LI_C,IF($I210&lt;LS_C,$V210,0),0),0)</f>
        <v>0</v>
      </c>
      <c r="CB210" s="5">
        <f>IF($I$206="Producción",IF($I210&lt;LS_D,$V210,0),0)</f>
        <v>0</v>
      </c>
      <c r="CC210" s="5">
        <f>IF($I$206="Crecimiento",$V210,0)</f>
        <v>0</v>
      </c>
      <c r="CF210" s="5">
        <f>IF($J$206="Producción",IF($J210&gt;=LI_A,$W210,0),0)</f>
        <v>0</v>
      </c>
      <c r="CG210" s="5">
        <f>IF($J$206="Producción",IF($J210&gt;=LI_B,IF($J210&lt;LS_B,$W210,0),0),0)</f>
        <v>0</v>
      </c>
      <c r="CH210" s="5">
        <f>IF($J$206="Producción",IF($J210&gt;=LI_C,IF($J210&lt;LS_C,$W210,0),0),0)</f>
        <v>0</v>
      </c>
      <c r="CI210" s="5">
        <f>IF($J$206="Producción",IF($J210&lt;LS_D,$W210,0),0)</f>
        <v>0</v>
      </c>
      <c r="CJ210" s="5">
        <f>IF($J$206="Crecimiento",$W210,0)</f>
        <v>0</v>
      </c>
      <c r="CM210" s="5">
        <f>IF($K$206="Producción",IF($K210&gt;=LI_A,$X210,0),0)</f>
        <v>0</v>
      </c>
      <c r="CN210" s="5">
        <f>IF($K$206="Producción",IF($K210&gt;=LI_B,IF($K210&lt;LS_B,$X210,0),0),0)</f>
        <v>0</v>
      </c>
      <c r="CO210" s="5">
        <f>IF($K$206="Producción",IF($K210&gt;=LI_C,IF($K210&lt;LS_C,$X210,0),0),0)</f>
        <v>0</v>
      </c>
      <c r="CP210" s="5">
        <f>IF($K$206="Producción",IF($K210&lt;LS_D,$X210,0),0)</f>
        <v>0</v>
      </c>
      <c r="CQ210" s="5">
        <f>IF($K$206="Crecimiento",$X210,0)</f>
        <v>0</v>
      </c>
      <c r="CT210" s="5">
        <f>IF($L$206="Producción",IF($L210&gt;=LI_A,$Y210,0),0)</f>
        <v>0</v>
      </c>
      <c r="CU210" s="5">
        <f>IF($L$206="Producción",IF($L210&gt;=LI_B,IF($L210&lt;LS_B,$Y210,0),0),0)</f>
        <v>0</v>
      </c>
      <c r="CV210" s="5">
        <f>IF($L$206="Producción",IF($L210&gt;=LI_C,IF($L210&lt;LS_C,$Y210,0),0),0)</f>
        <v>0</v>
      </c>
      <c r="CW210" s="5">
        <f>IF($L$206="Producción",IF($L210&lt;LS_D,$Y210,0),0)</f>
        <v>0</v>
      </c>
      <c r="CX210" s="5">
        <f>IF($L$206="Crecimiento",$Y210,0)</f>
        <v>0</v>
      </c>
      <c r="DA210" s="5">
        <f>IF($M$206="Producción",IF($M210&gt;=LI_A,$Z210,0),0)</f>
        <v>0</v>
      </c>
      <c r="DB210" s="5">
        <f>IF($M$206="Producción",IF($M210&gt;=LI_B,IF($M210&lt;LS_B,$Z210,0),0),0)</f>
        <v>0</v>
      </c>
      <c r="DC210" s="5">
        <f>IF($M$206="Producción",IF($M210&gt;=LI_C,IF($M210&lt;LS_C,$Z210,0),0),0)</f>
        <v>0</v>
      </c>
      <c r="DD210" s="5">
        <f>IF($M$206="Producción",IF($M210&lt;LS_D,$Z210,0),0)</f>
        <v>0</v>
      </c>
      <c r="DE210" s="5">
        <f>IF($M$206="Crecimiento",$Z210,0)</f>
        <v>0</v>
      </c>
      <c r="DI210" s="5">
        <f t="shared" si="1555"/>
        <v>0</v>
      </c>
      <c r="DJ210" s="5">
        <f t="shared" si="1556"/>
        <v>0</v>
      </c>
      <c r="DK210" s="5">
        <f t="shared" si="1557"/>
        <v>0</v>
      </c>
      <c r="DL210" s="5">
        <f t="shared" si="1558"/>
        <v>0</v>
      </c>
      <c r="DM210" s="5">
        <f t="shared" si="1559"/>
        <v>0</v>
      </c>
      <c r="DN210" s="5">
        <f t="shared" si="1560"/>
        <v>0</v>
      </c>
      <c r="DO210" s="5">
        <f t="shared" si="1561"/>
        <v>0</v>
      </c>
      <c r="DP210" s="5">
        <f t="shared" si="1562"/>
        <v>0</v>
      </c>
      <c r="DQ210" s="5">
        <f t="shared" si="1563"/>
        <v>0</v>
      </c>
      <c r="DR210" s="5">
        <f t="shared" si="1564"/>
        <v>0</v>
      </c>
      <c r="DS210" s="5">
        <f t="shared" si="1565"/>
        <v>0</v>
      </c>
      <c r="DT210" s="5">
        <f t="shared" si="1566"/>
        <v>0</v>
      </c>
      <c r="DU210" s="5">
        <f t="shared" si="1567"/>
        <v>0</v>
      </c>
      <c r="DV210" s="5">
        <f t="shared" si="1568"/>
        <v>0</v>
      </c>
      <c r="DW210" s="5">
        <f t="shared" si="1569"/>
        <v>0</v>
      </c>
      <c r="DX210" s="5">
        <f t="shared" si="1570"/>
        <v>0</v>
      </c>
      <c r="DY210" s="5">
        <f t="shared" si="1571"/>
        <v>0</v>
      </c>
      <c r="DZ210" s="5">
        <f t="shared" si="1572"/>
        <v>0</v>
      </c>
      <c r="EA210" s="5">
        <f t="shared" si="1573"/>
        <v>0</v>
      </c>
      <c r="EB210" s="5">
        <f t="shared" si="1574"/>
        <v>0</v>
      </c>
      <c r="EC210" s="5">
        <f t="shared" si="1575"/>
        <v>0</v>
      </c>
      <c r="ED210" s="5">
        <f t="shared" si="1576"/>
        <v>0</v>
      </c>
      <c r="EE210" s="5">
        <f t="shared" si="1577"/>
        <v>0</v>
      </c>
      <c r="EF210" s="5">
        <f t="shared" si="1578"/>
        <v>0</v>
      </c>
      <c r="EG210" s="5">
        <f t="shared" si="1579"/>
        <v>0</v>
      </c>
      <c r="EH210" s="5">
        <f t="shared" si="1580"/>
        <v>0</v>
      </c>
      <c r="EI210" s="5">
        <f t="shared" si="1581"/>
        <v>0</v>
      </c>
      <c r="EJ210" s="5">
        <f t="shared" si="1582"/>
        <v>0</v>
      </c>
      <c r="EK210" s="5">
        <f t="shared" si="1583"/>
        <v>0</v>
      </c>
      <c r="EL210" s="5">
        <f t="shared" si="1584"/>
        <v>0</v>
      </c>
      <c r="EM210" s="5">
        <f t="shared" si="1585"/>
        <v>0</v>
      </c>
      <c r="EN210" s="5">
        <f t="shared" si="1586"/>
        <v>0</v>
      </c>
      <c r="EO210" s="5">
        <f t="shared" si="1587"/>
        <v>0</v>
      </c>
      <c r="EP210" s="5">
        <f t="shared" si="1588"/>
        <v>0</v>
      </c>
      <c r="EQ210" s="5">
        <f t="shared" si="1589"/>
        <v>0</v>
      </c>
      <c r="ER210" s="5">
        <f t="shared" si="1590"/>
        <v>0</v>
      </c>
      <c r="ES210" s="5">
        <f t="shared" si="1591"/>
        <v>0</v>
      </c>
      <c r="ET210" s="5">
        <f t="shared" si="1592"/>
        <v>0</v>
      </c>
      <c r="EU210" s="5">
        <f t="shared" si="1593"/>
        <v>0</v>
      </c>
      <c r="EV210" s="5">
        <f t="shared" si="1594"/>
        <v>0</v>
      </c>
      <c r="EW210" s="5">
        <f t="shared" si="1595"/>
        <v>0</v>
      </c>
      <c r="EX210" s="5">
        <f t="shared" si="1596"/>
        <v>0</v>
      </c>
      <c r="EY210" s="5">
        <f t="shared" si="1597"/>
        <v>0</v>
      </c>
      <c r="EZ210" s="5">
        <f t="shared" si="1598"/>
        <v>0</v>
      </c>
      <c r="FA210" s="5">
        <f t="shared" si="1599"/>
        <v>0</v>
      </c>
      <c r="FB210" s="5">
        <f t="shared" si="1600"/>
        <v>0</v>
      </c>
      <c r="FC210" s="5">
        <f t="shared" si="1601"/>
        <v>0</v>
      </c>
      <c r="FD210" s="5">
        <f t="shared" si="1602"/>
        <v>0</v>
      </c>
      <c r="FE210" s="5">
        <f t="shared" si="1603"/>
        <v>0</v>
      </c>
      <c r="FF210" s="5">
        <f t="shared" si="1604"/>
        <v>0</v>
      </c>
      <c r="FG210" s="5">
        <f t="shared" si="1605"/>
        <v>0</v>
      </c>
      <c r="FH210" s="5">
        <f t="shared" si="1606"/>
        <v>0</v>
      </c>
      <c r="FI210" s="5">
        <f t="shared" si="1607"/>
        <v>0</v>
      </c>
      <c r="FJ210" s="5">
        <f t="shared" si="1608"/>
        <v>0</v>
      </c>
      <c r="FK210" s="5">
        <f t="shared" si="1609"/>
        <v>0</v>
      </c>
      <c r="FL210" s="5">
        <f t="shared" si="1610"/>
        <v>0</v>
      </c>
      <c r="FM210" s="5">
        <f t="shared" si="1611"/>
        <v>0</v>
      </c>
      <c r="FN210" s="5">
        <f t="shared" si="1612"/>
        <v>0</v>
      </c>
      <c r="FO210" s="5">
        <f t="shared" si="1613"/>
        <v>0</v>
      </c>
      <c r="FP210" s="5">
        <f t="shared" si="1614"/>
        <v>0</v>
      </c>
    </row>
    <row r="211" spans="1:172" ht="20.100000000000001" customHeight="1" x14ac:dyDescent="0.3">
      <c r="A211" s="8" t="str">
        <f>IF(Ciclo&gt;2,"Surco 3","NA")</f>
        <v>Surco 3</v>
      </c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O211" s="58">
        <f>IF($A211="NA",0,IFERROR('6'!O$107/Ciclo,0))</f>
        <v>0</v>
      </c>
      <c r="P211" s="58">
        <f>IF($A211="NA",0,IFERROR('6'!P$107/Ciclo,0))</f>
        <v>0</v>
      </c>
      <c r="Q211" s="58">
        <f>IF($A211="NA",0,IFERROR('6'!Q$107/Ciclo,0))</f>
        <v>0</v>
      </c>
      <c r="R211" s="58">
        <f>IF($A211="NA",0,IFERROR('6'!R$107/Ciclo,0))</f>
        <v>0</v>
      </c>
      <c r="S211" s="58">
        <f>IF($A211="NA",0,IFERROR('6'!S$107/Ciclo,0))</f>
        <v>0</v>
      </c>
      <c r="T211" s="58">
        <f>IF($A211="NA",0,IFERROR('6'!T$107/Ciclo,0))</f>
        <v>0</v>
      </c>
      <c r="U211" s="58">
        <f>IF($A211="NA",0,IFERROR('6'!U$107/Ciclo,0))</f>
        <v>0</v>
      </c>
      <c r="V211" s="58">
        <f>IF($A211="NA",0,IFERROR('6'!V$107/Ciclo,0))</f>
        <v>0</v>
      </c>
      <c r="W211" s="5">
        <f>IF($A211="NA",0,IFERROR('6'!W$107/Ciclo,0))</f>
        <v>0</v>
      </c>
      <c r="X211" s="5">
        <f>IF($A211="NA",0,IFERROR('6'!X$107/Ciclo,0))</f>
        <v>0</v>
      </c>
      <c r="Y211" s="5">
        <f>IF($A211="NA",0,IFERROR('6'!Y$107/Ciclo,0))</f>
        <v>0</v>
      </c>
      <c r="Z211" s="5">
        <f>IF($A211="NA",0,IFERROR('6'!Z$107/Ciclo,0))</f>
        <v>0</v>
      </c>
      <c r="AB211" s="5">
        <f>IF($B$206="Producción",IF($B211&gt;=LI_A,$O211,0),0)</f>
        <v>0</v>
      </c>
      <c r="AC211" s="5">
        <f>IF($B$206="Producción",IF($B211&gt;=LI_B,IF($B211&lt;LS_B,$O211,0),0),0)</f>
        <v>0</v>
      </c>
      <c r="AD211" s="5">
        <f>IF($B$206="Producción",IF($B211&gt;=LI_C,IF($B211&lt;LS_C,$O211,0),0),0)</f>
        <v>0</v>
      </c>
      <c r="AE211" s="5">
        <f>IF($B$206="Producción",IF($B211&lt;LS_D,$O211,0),0)</f>
        <v>0</v>
      </c>
      <c r="AF211" s="5">
        <f t="shared" si="1615"/>
        <v>0</v>
      </c>
      <c r="AI211" s="5">
        <f>IF($C$206="Producción",IF($C211&gt;=LI_A,$P211,0),0)</f>
        <v>0</v>
      </c>
      <c r="AJ211" s="5">
        <f>IF($C$206="Producción",IF($C211&gt;=LI_B,IF($C211&lt;LS_B,$P211,0),0),0)</f>
        <v>0</v>
      </c>
      <c r="AK211" s="5">
        <f>IF($C$206="Producción",IF($C211&gt;=LI_C,IF($C211&lt;LS_C,$P211,0),0),0)</f>
        <v>0</v>
      </c>
      <c r="AL211" s="5">
        <f>IF($C$206="Producción",IF($C211&lt;LS_D,$P211,0),0)</f>
        <v>0</v>
      </c>
      <c r="AM211" s="5">
        <f>IF($C$206="Crecimiento",$P211,0)</f>
        <v>0</v>
      </c>
      <c r="AP211" s="5">
        <f>IF($D$206="Producción",IF($D211&gt;=LI_A,$Q211,0),0)</f>
        <v>0</v>
      </c>
      <c r="AQ211" s="5">
        <f>IF($D$206="Producción",IF($D211&gt;=LI_B,IF($D211&lt;LS_B,$Q211,0),0),0)</f>
        <v>0</v>
      </c>
      <c r="AR211" s="5">
        <f>IF($D$206="Producción",IF($D211&gt;=LI_C,IF($D211&lt;LS_C,$Q211,0),0),0)</f>
        <v>0</v>
      </c>
      <c r="AS211" s="5">
        <f>IF($D$206="Producción",IF($D211&lt;LS_D,$Q211,0),0)</f>
        <v>0</v>
      </c>
      <c r="AT211" s="5">
        <f>IF($D$206="Crecimiento",IF($D211&gt;0,$Q211,0),0)</f>
        <v>0</v>
      </c>
      <c r="AW211" s="5">
        <f>IF($E$206="Producción",IF($E211&gt;=LI_A,$R211,0),0)</f>
        <v>0</v>
      </c>
      <c r="AX211" s="5">
        <f>IF($E$206="Producción",IF($E211&gt;=LI_B,IF($E211&lt;LS_B,$R211,0),0),0)</f>
        <v>0</v>
      </c>
      <c r="AY211" s="5">
        <f>IF($E$206="Producción",IF($E211&gt;=LI_C,IF($E211&lt;LS_C,$R211,0),0),0)</f>
        <v>0</v>
      </c>
      <c r="AZ211" s="5">
        <f>IF($E$206="Producción",IF($E211&lt;LS_D,$R211,0),0)</f>
        <v>0</v>
      </c>
      <c r="BA211" s="5">
        <f>IF($E$206="Crecimiento",$R211,0)</f>
        <v>0</v>
      </c>
      <c r="BD211" s="5">
        <f>IF($F$206="Producción",IF($F211&gt;=LI_A,$S211,0),0)</f>
        <v>0</v>
      </c>
      <c r="BE211" s="5">
        <f>IF($F$206="Producción",IF($F211&gt;=LI_B,IF($F211&lt;LS_B,$S211,0),0),0)</f>
        <v>0</v>
      </c>
      <c r="BF211" s="5">
        <f>IF($F$206="Producción",IF($F211&gt;=LI_C,IF($F211&lt;LS_C,$S211,0),0),0)</f>
        <v>0</v>
      </c>
      <c r="BG211" s="5">
        <f>IF($F$206="Producción",IF($F211&lt;LS_D,$S211,0),0)</f>
        <v>0</v>
      </c>
      <c r="BH211" s="5">
        <f>IF($F$206="Crecimiento",$S211,0)</f>
        <v>0</v>
      </c>
      <c r="BK211" s="5">
        <f>IF($G$206="Producción",IF($G211&gt;=LI_A,$T211,0),0)</f>
        <v>0</v>
      </c>
      <c r="BL211" s="5">
        <f>IF($G$206="Producción",IF($G211&gt;=LI_B,IF($G211&lt;LS_B,$T211,0),0),0)</f>
        <v>0</v>
      </c>
      <c r="BM211" s="5">
        <f>IF($G$206="Producción",IF($G211&gt;=LI_C,IF($G211&lt;LS_C,$T211,0),0),0)</f>
        <v>0</v>
      </c>
      <c r="BN211" s="5">
        <f>IF($G$206="Producción",IF($G211&lt;LS_D,$T211,0),0)</f>
        <v>0</v>
      </c>
      <c r="BO211" s="5">
        <f>IF($G$206="Crecimiento",$T211,0)</f>
        <v>0</v>
      </c>
      <c r="BR211" s="5">
        <f>IF($H$206="Producción",IF($H211&gt;=LI_A,$U211,0),0)</f>
        <v>0</v>
      </c>
      <c r="BS211" s="5">
        <f>IF($H$206="Producción",IF($H211&gt;=LI_B,IF($H211&lt;LS_B,$U211,0),0),0)</f>
        <v>0</v>
      </c>
      <c r="BT211" s="5">
        <f>IF($H$206="Producción",IF($H211&gt;=LI_C,IF($H211&lt;LS_C,$U211,0),0),0)</f>
        <v>0</v>
      </c>
      <c r="BU211" s="5">
        <f>IF($H$206="Producción",IF($H211&lt;LS_D,$U211,0),0)</f>
        <v>0</v>
      </c>
      <c r="BV211" s="5">
        <f>IF($H$206="Crecimiento",$T211,0)</f>
        <v>0</v>
      </c>
      <c r="BY211" s="5">
        <f>IF($I$206="Producción",IF($I211&gt;=LI_A,$V211,0),0)</f>
        <v>0</v>
      </c>
      <c r="BZ211" s="5">
        <f>IF($I$206="Producción",IF($I211&gt;=LI_B,IF($I211&lt;LS_B,$V211,0),0),0)</f>
        <v>0</v>
      </c>
      <c r="CA211" s="5">
        <f>IF($I$206="Producción",IF($I211&gt;=LI_C,IF($I211&lt;LS_C,$V211,0),0),0)</f>
        <v>0</v>
      </c>
      <c r="CB211" s="5">
        <f>IF($I$206="Producción",IF($I211&lt;LS_D,$V211,0),0)</f>
        <v>0</v>
      </c>
      <c r="CC211" s="5">
        <f>IF($I$206="Crecimiento",$V211,0)</f>
        <v>0</v>
      </c>
      <c r="CF211" s="5">
        <f>IF($J$206="Producción",IF($J211&gt;=LI_A,$W211,0),0)</f>
        <v>0</v>
      </c>
      <c r="CG211" s="5">
        <f>IF($J$206="Producción",IF($J211&gt;=LI_B,IF($J211&lt;LS_B,$W211,0),0),0)</f>
        <v>0</v>
      </c>
      <c r="CH211" s="5">
        <f>IF($J$206="Producción",IF($J211&gt;=LI_C,IF($J211&lt;LS_C,$W211,0),0),0)</f>
        <v>0</v>
      </c>
      <c r="CI211" s="5">
        <f>IF($J$206="Producción",IF($J211&lt;LS_D,$W211,0),0)</f>
        <v>0</v>
      </c>
      <c r="CJ211" s="5">
        <f>IF($J$206="Crecimiento",$W211,0)</f>
        <v>0</v>
      </c>
      <c r="CM211" s="5">
        <f>IF($K$206="Producción",IF($K211&gt;=LI_A,$X211,0),0)</f>
        <v>0</v>
      </c>
      <c r="CN211" s="5">
        <f>IF($K$206="Producción",IF($K211&gt;=LI_B,IF($K211&lt;LS_B,$X211,0),0),0)</f>
        <v>0</v>
      </c>
      <c r="CO211" s="5">
        <f>IF($K$206="Producción",IF($K211&gt;=LI_C,IF($K211&lt;LS_C,$X211,0),0),0)</f>
        <v>0</v>
      </c>
      <c r="CP211" s="5">
        <f>IF($K$206="Producción",IF($K211&lt;LS_D,$X211,0),0)</f>
        <v>0</v>
      </c>
      <c r="CQ211" s="5">
        <f>IF($K$206="Crecimiento",$X211,0)</f>
        <v>0</v>
      </c>
      <c r="CT211" s="5">
        <f>IF($L$206="Producción",IF($L211&gt;=LI_A,$Y211,0),0)</f>
        <v>0</v>
      </c>
      <c r="CU211" s="5">
        <f>IF($L$206="Producción",IF($L211&gt;=LI_B,IF($L211&lt;LS_B,$Y211,0),0),0)</f>
        <v>0</v>
      </c>
      <c r="CV211" s="5">
        <f>IF($L$206="Producción",IF($L211&gt;=LI_C,IF($L211&lt;LS_C,$Y211,0),0),0)</f>
        <v>0</v>
      </c>
      <c r="CW211" s="5">
        <f>IF($L$206="Producción",IF($L211&lt;LS_D,$Y211,0),0)</f>
        <v>0</v>
      </c>
      <c r="CX211" s="5">
        <f>IF($L$206="Crecimiento",$Y211,0)</f>
        <v>0</v>
      </c>
      <c r="DA211" s="5">
        <f>IF($M$206="Producción",IF($M211&gt;=LI_A,$Z211,0),0)</f>
        <v>0</v>
      </c>
      <c r="DB211" s="5">
        <f>IF($M$206="Producción",IF($M211&gt;=LI_B,IF($M211&lt;LS_B,$Z211,0),0),0)</f>
        <v>0</v>
      </c>
      <c r="DC211" s="5">
        <f>IF($M$206="Producción",IF($M211&gt;=LI_C,IF($M211&lt;LS_C,$Z211,0),0),0)</f>
        <v>0</v>
      </c>
      <c r="DD211" s="5">
        <f>IF($M$206="Producción",IF($M211&lt;LS_D,$Z211,0),0)</f>
        <v>0</v>
      </c>
      <c r="DE211" s="5">
        <f>IF($M$206="Crecimiento",$Z211,0)</f>
        <v>0</v>
      </c>
      <c r="DI211" s="5">
        <f t="shared" si="1555"/>
        <v>0</v>
      </c>
      <c r="DJ211" s="5">
        <f t="shared" si="1556"/>
        <v>0</v>
      </c>
      <c r="DK211" s="5">
        <f t="shared" si="1557"/>
        <v>0</v>
      </c>
      <c r="DL211" s="5">
        <f t="shared" si="1558"/>
        <v>0</v>
      </c>
      <c r="DM211" s="5">
        <f t="shared" si="1559"/>
        <v>0</v>
      </c>
      <c r="DN211" s="5">
        <f t="shared" si="1560"/>
        <v>0</v>
      </c>
      <c r="DO211" s="5">
        <f t="shared" si="1561"/>
        <v>0</v>
      </c>
      <c r="DP211" s="5">
        <f t="shared" si="1562"/>
        <v>0</v>
      </c>
      <c r="DQ211" s="5">
        <f t="shared" si="1563"/>
        <v>0</v>
      </c>
      <c r="DR211" s="5">
        <f t="shared" si="1564"/>
        <v>0</v>
      </c>
      <c r="DS211" s="5">
        <f t="shared" si="1565"/>
        <v>0</v>
      </c>
      <c r="DT211" s="5">
        <f t="shared" si="1566"/>
        <v>0</v>
      </c>
      <c r="DU211" s="5">
        <f t="shared" si="1567"/>
        <v>0</v>
      </c>
      <c r="DV211" s="5">
        <f t="shared" si="1568"/>
        <v>0</v>
      </c>
      <c r="DW211" s="5">
        <f t="shared" si="1569"/>
        <v>0</v>
      </c>
      <c r="DX211" s="5">
        <f t="shared" si="1570"/>
        <v>0</v>
      </c>
      <c r="DY211" s="5">
        <f t="shared" si="1571"/>
        <v>0</v>
      </c>
      <c r="DZ211" s="5">
        <f t="shared" si="1572"/>
        <v>0</v>
      </c>
      <c r="EA211" s="5">
        <f t="shared" si="1573"/>
        <v>0</v>
      </c>
      <c r="EB211" s="5">
        <f t="shared" si="1574"/>
        <v>0</v>
      </c>
      <c r="EC211" s="5">
        <f t="shared" si="1575"/>
        <v>0</v>
      </c>
      <c r="ED211" s="5">
        <f t="shared" si="1576"/>
        <v>0</v>
      </c>
      <c r="EE211" s="5">
        <f t="shared" si="1577"/>
        <v>0</v>
      </c>
      <c r="EF211" s="5">
        <f t="shared" si="1578"/>
        <v>0</v>
      </c>
      <c r="EG211" s="5">
        <f t="shared" si="1579"/>
        <v>0</v>
      </c>
      <c r="EH211" s="5">
        <f t="shared" si="1580"/>
        <v>0</v>
      </c>
      <c r="EI211" s="5">
        <f t="shared" si="1581"/>
        <v>0</v>
      </c>
      <c r="EJ211" s="5">
        <f t="shared" si="1582"/>
        <v>0</v>
      </c>
      <c r="EK211" s="5">
        <f t="shared" si="1583"/>
        <v>0</v>
      </c>
      <c r="EL211" s="5">
        <f t="shared" si="1584"/>
        <v>0</v>
      </c>
      <c r="EM211" s="5">
        <f t="shared" si="1585"/>
        <v>0</v>
      </c>
      <c r="EN211" s="5">
        <f t="shared" si="1586"/>
        <v>0</v>
      </c>
      <c r="EO211" s="5">
        <f t="shared" si="1587"/>
        <v>0</v>
      </c>
      <c r="EP211" s="5">
        <f t="shared" si="1588"/>
        <v>0</v>
      </c>
      <c r="EQ211" s="5">
        <f t="shared" si="1589"/>
        <v>0</v>
      </c>
      <c r="ER211" s="5">
        <f t="shared" si="1590"/>
        <v>0</v>
      </c>
      <c r="ES211" s="5">
        <f t="shared" si="1591"/>
        <v>0</v>
      </c>
      <c r="ET211" s="5">
        <f t="shared" si="1592"/>
        <v>0</v>
      </c>
      <c r="EU211" s="5">
        <f t="shared" si="1593"/>
        <v>0</v>
      </c>
      <c r="EV211" s="5">
        <f t="shared" si="1594"/>
        <v>0</v>
      </c>
      <c r="EW211" s="5">
        <f t="shared" si="1595"/>
        <v>0</v>
      </c>
      <c r="EX211" s="5">
        <f t="shared" si="1596"/>
        <v>0</v>
      </c>
      <c r="EY211" s="5">
        <f t="shared" si="1597"/>
        <v>0</v>
      </c>
      <c r="EZ211" s="5">
        <f t="shared" si="1598"/>
        <v>0</v>
      </c>
      <c r="FA211" s="5">
        <f t="shared" si="1599"/>
        <v>0</v>
      </c>
      <c r="FB211" s="5">
        <f t="shared" si="1600"/>
        <v>0</v>
      </c>
      <c r="FC211" s="5">
        <f t="shared" si="1601"/>
        <v>0</v>
      </c>
      <c r="FD211" s="5">
        <f t="shared" si="1602"/>
        <v>0</v>
      </c>
      <c r="FE211" s="5">
        <f t="shared" si="1603"/>
        <v>0</v>
      </c>
      <c r="FF211" s="5">
        <f t="shared" si="1604"/>
        <v>0</v>
      </c>
      <c r="FG211" s="5">
        <f t="shared" si="1605"/>
        <v>0</v>
      </c>
      <c r="FH211" s="5">
        <f t="shared" si="1606"/>
        <v>0</v>
      </c>
      <c r="FI211" s="5">
        <f t="shared" si="1607"/>
        <v>0</v>
      </c>
      <c r="FJ211" s="5">
        <f t="shared" si="1608"/>
        <v>0</v>
      </c>
      <c r="FK211" s="5">
        <f t="shared" si="1609"/>
        <v>0</v>
      </c>
      <c r="FL211" s="5">
        <f t="shared" si="1610"/>
        <v>0</v>
      </c>
      <c r="FM211" s="5">
        <f t="shared" si="1611"/>
        <v>0</v>
      </c>
      <c r="FN211" s="5">
        <f t="shared" si="1612"/>
        <v>0</v>
      </c>
      <c r="FO211" s="5">
        <f t="shared" si="1613"/>
        <v>0</v>
      </c>
      <c r="FP211" s="5">
        <f t="shared" si="1614"/>
        <v>0</v>
      </c>
    </row>
    <row r="212" spans="1:172" ht="20.100000000000001" customHeight="1" x14ac:dyDescent="0.3">
      <c r="A212" s="8" t="str">
        <f>IF(Ciclo=4,"Surco 4",IF(Ciclo=5,"Surco 4","NA"))</f>
        <v>NA</v>
      </c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O212" s="58">
        <f>IF($A212="NA",0,IFERROR('6'!O$107/Ciclo,0))</f>
        <v>0</v>
      </c>
      <c r="P212" s="58">
        <f>IF($A212="NA",0,IFERROR('6'!P$107/Ciclo,0))</f>
        <v>0</v>
      </c>
      <c r="Q212" s="58">
        <f>IF($A212="NA",0,IFERROR('6'!Q$107/Ciclo,0))</f>
        <v>0</v>
      </c>
      <c r="R212" s="58">
        <f>IF($A212="NA",0,IFERROR('6'!R$107/Ciclo,0))</f>
        <v>0</v>
      </c>
      <c r="S212" s="58">
        <f>IF($A212="NA",0,IFERROR('6'!S$107/Ciclo,0))</f>
        <v>0</v>
      </c>
      <c r="T212" s="58">
        <f>IF($A212="NA",0,IFERROR('6'!T$107/Ciclo,0))</f>
        <v>0</v>
      </c>
      <c r="U212" s="58">
        <f>IF($A212="NA",0,IFERROR('6'!U$107/Ciclo,0))</f>
        <v>0</v>
      </c>
      <c r="V212" s="58">
        <f>IF($A212="NA",0,IFERROR('6'!V$107/Ciclo,0))</f>
        <v>0</v>
      </c>
      <c r="W212" s="5">
        <f>IF($A212="NA",0,IFERROR('6'!W$107/Ciclo,0))</f>
        <v>0</v>
      </c>
      <c r="X212" s="5">
        <f>IF($A212="NA",0,IFERROR('6'!X$107/Ciclo,0))</f>
        <v>0</v>
      </c>
      <c r="Y212" s="5">
        <f>IF($A212="NA",0,IFERROR('6'!Y$107/Ciclo,0))</f>
        <v>0</v>
      </c>
      <c r="Z212" s="5">
        <f>IF($A212="NA",0,IFERROR('6'!Z$107/Ciclo,0))</f>
        <v>0</v>
      </c>
      <c r="AB212" s="5">
        <f>IF($B$206="Producción",IF($B212&gt;=LI_A,$O212,0),0)</f>
        <v>0</v>
      </c>
      <c r="AC212" s="5">
        <f>IF($B$206="Producción",IF($B212&gt;=LI_B,IF($B212&lt;LS_B,$O212,0),0),0)</f>
        <v>0</v>
      </c>
      <c r="AD212" s="5">
        <f>IF($B$206="Producción",IF($B212&gt;=LI_C,IF($B212&lt;LS_C,$O212,0),0),0)</f>
        <v>0</v>
      </c>
      <c r="AE212" s="5">
        <f>IF($B$206="Producción",IF($B212&lt;LS_D,$O212,0),0)</f>
        <v>0</v>
      </c>
      <c r="AF212" s="5">
        <f t="shared" si="1615"/>
        <v>0</v>
      </c>
      <c r="AI212" s="5">
        <f>IF($C$206="Producción",IF($C212&gt;=LI_A,$P212,0),0)</f>
        <v>0</v>
      </c>
      <c r="AJ212" s="5">
        <f>IF($C$206="Producción",IF($C212&gt;=LI_B,IF($C212&lt;LS_B,$P212,0),0),0)</f>
        <v>0</v>
      </c>
      <c r="AK212" s="5">
        <f>IF($C$206="Producción",IF($C212&gt;=LI_C,IF($C212&lt;LS_C,$P212,0),0),0)</f>
        <v>0</v>
      </c>
      <c r="AL212" s="5">
        <f>IF($C$206="Producción",IF($C212&lt;LS_D,$P212,0),0)</f>
        <v>0</v>
      </c>
      <c r="AM212" s="5">
        <f>IF($C$206="Crecimiento",$P212,0)</f>
        <v>0</v>
      </c>
      <c r="AP212" s="5">
        <f>IF($D$206="Producción",IF($D212&gt;=LI_A,$Q212,0),0)</f>
        <v>0</v>
      </c>
      <c r="AQ212" s="5">
        <f>IF($D$206="Producción",IF($D212&gt;=LI_B,IF($D212&lt;LS_B,$Q212,0),0),0)</f>
        <v>0</v>
      </c>
      <c r="AR212" s="5">
        <f>IF($D$206="Producción",IF($D212&gt;=LI_C,IF($D212&lt;LS_C,$Q212,0),0),0)</f>
        <v>0</v>
      </c>
      <c r="AS212" s="5">
        <f>IF($D$206="Producción",IF($D212&lt;LS_D,$Q212,0),0)</f>
        <v>0</v>
      </c>
      <c r="AT212" s="5">
        <f>IF($D$206="Crecimiento",IF($D212&gt;0,$Q212,0),0)</f>
        <v>0</v>
      </c>
      <c r="AW212" s="5">
        <f>IF($E$206="Producción",IF($E212&gt;=LI_A,$R212,0),0)</f>
        <v>0</v>
      </c>
      <c r="AX212" s="5">
        <f>IF($E$206="Producción",IF($E212&gt;=LI_B,IF($E212&lt;LS_B,$R212,0),0),0)</f>
        <v>0</v>
      </c>
      <c r="AY212" s="5">
        <f>IF($E$206="Producción",IF($E212&gt;=LI_C,IF($E212&lt;LS_C,$R212,0),0),0)</f>
        <v>0</v>
      </c>
      <c r="AZ212" s="5">
        <f>IF($E$206="Producción",IF($E212&lt;LS_D,$R212,0),0)</f>
        <v>0</v>
      </c>
      <c r="BA212" s="5">
        <f>IF($E$206="Crecimiento",$R212,0)</f>
        <v>0</v>
      </c>
      <c r="BD212" s="5">
        <f>IF($F$206="Producción",IF($F212&gt;=LI_A,$S212,0),0)</f>
        <v>0</v>
      </c>
      <c r="BE212" s="5">
        <f>IF($F$206="Producción",IF($F212&gt;=LI_B,IF($F212&lt;LS_B,$S212,0),0),0)</f>
        <v>0</v>
      </c>
      <c r="BF212" s="5">
        <f>IF($F$206="Producción",IF($F212&gt;=LI_C,IF($F212&lt;LS_C,$S212,0),0),0)</f>
        <v>0</v>
      </c>
      <c r="BG212" s="5">
        <f>IF($F$206="Producción",IF($F212&lt;LS_D,$S212,0),0)</f>
        <v>0</v>
      </c>
      <c r="BH212" s="5">
        <f>IF($F$206="Crecimiento",$S212,0)</f>
        <v>0</v>
      </c>
      <c r="BK212" s="5">
        <f>IF($G$206="Producción",IF($G212&gt;=LI_A,$T212,0),0)</f>
        <v>0</v>
      </c>
      <c r="BL212" s="5">
        <f>IF($G$206="Producción",IF($G212&gt;=LI_B,IF($G212&lt;LS_B,$T212,0),0),0)</f>
        <v>0</v>
      </c>
      <c r="BM212" s="5">
        <f>IF($G$206="Producción",IF($G212&gt;=LI_C,IF($G212&lt;LS_C,$T212,0),0),0)</f>
        <v>0</v>
      </c>
      <c r="BN212" s="5">
        <f>IF($G$206="Producción",IF($G212&lt;LS_D,$T212,0),0)</f>
        <v>0</v>
      </c>
      <c r="BO212" s="5">
        <f>IF($G$206="Crecimiento",$T212,0)</f>
        <v>0</v>
      </c>
      <c r="BR212" s="5">
        <f>IF($H$206="Producción",IF($H212&gt;=LI_A,$U212,0),0)</f>
        <v>0</v>
      </c>
      <c r="BS212" s="5">
        <f>IF($H$206="Producción",IF($H212&gt;=LI_B,IF($H212&lt;LS_B,$U212,0),0),0)</f>
        <v>0</v>
      </c>
      <c r="BT212" s="5">
        <f>IF($H$206="Producción",IF($H212&gt;=LI_C,IF($H212&lt;LS_C,$U212,0),0),0)</f>
        <v>0</v>
      </c>
      <c r="BU212" s="5">
        <f>IF($H$206="Producción",IF($H212&lt;LS_D,$U212,0),0)</f>
        <v>0</v>
      </c>
      <c r="BV212" s="5">
        <f>IF($H$206="Crecimiento",$T212,0)</f>
        <v>0</v>
      </c>
      <c r="BY212" s="5">
        <f>IF($I$206="Producción",IF($I212&gt;=LI_A,$V212,0),0)</f>
        <v>0</v>
      </c>
      <c r="BZ212" s="5">
        <f>IF($I$206="Producción",IF($I212&gt;=LI_B,IF($I212&lt;LS_B,$V212,0),0),0)</f>
        <v>0</v>
      </c>
      <c r="CA212" s="5">
        <f>IF($I$206="Producción",IF($I212&gt;=LI_C,IF($I212&lt;LS_C,$V212,0),0),0)</f>
        <v>0</v>
      </c>
      <c r="CB212" s="5">
        <f>IF($I$206="Producción",IF($I212&lt;LS_D,$V212,0),0)</f>
        <v>0</v>
      </c>
      <c r="CC212" s="5">
        <f>IF($I$206="Crecimiento",$V212,0)</f>
        <v>0</v>
      </c>
      <c r="CF212" s="5">
        <f>IF($J$206="Producción",IF($J212&gt;=LI_A,$W212,0),0)</f>
        <v>0</v>
      </c>
      <c r="CG212" s="5">
        <f>IF($J$206="Producción",IF($J212&gt;=LI_B,IF($J212&lt;LS_B,$W212,0),0),0)</f>
        <v>0</v>
      </c>
      <c r="CH212" s="5">
        <f>IF($J$206="Producción",IF($J212&gt;=LI_C,IF($J212&lt;LS_C,$W212,0),0),0)</f>
        <v>0</v>
      </c>
      <c r="CI212" s="5">
        <f>IF($J$206="Producción",IF($J212&lt;LS_D,$W212,0),0)</f>
        <v>0</v>
      </c>
      <c r="CJ212" s="5">
        <f>IF($J$206="Crecimiento",$W212,0)</f>
        <v>0</v>
      </c>
      <c r="CM212" s="5">
        <f>IF($K$206="Producción",IF($K212&gt;=LI_A,$X212,0),0)</f>
        <v>0</v>
      </c>
      <c r="CN212" s="5">
        <f>IF($K$206="Producción",IF($K212&gt;=LI_B,IF($K212&lt;LS_B,$X212,0),0),0)</f>
        <v>0</v>
      </c>
      <c r="CO212" s="5">
        <f>IF($K$206="Producción",IF($K212&gt;=LI_C,IF($K212&lt;LS_C,$X212,0),0),0)</f>
        <v>0</v>
      </c>
      <c r="CP212" s="5">
        <f>IF($K$206="Producción",IF($K212&lt;LS_D,$X212,0),0)</f>
        <v>0</v>
      </c>
      <c r="CQ212" s="5">
        <f>IF($K$206="Crecimiento",$X212,0)</f>
        <v>0</v>
      </c>
      <c r="CT212" s="5">
        <f>IF($L$206="Producción",IF($L212&gt;=LI_A,$Y212,0),0)</f>
        <v>0</v>
      </c>
      <c r="CU212" s="5">
        <f>IF($L$206="Producción",IF($L212&gt;=LI_B,IF($L212&lt;LS_B,$Y212,0),0),0)</f>
        <v>0</v>
      </c>
      <c r="CV212" s="5">
        <f>IF($L$206="Producción",IF($L212&gt;=LI_C,IF($L212&lt;LS_C,$Y212,0),0),0)</f>
        <v>0</v>
      </c>
      <c r="CW212" s="5">
        <f>IF($L$206="Producción",IF($L212&lt;LS_D,$Y212,0),0)</f>
        <v>0</v>
      </c>
      <c r="CX212" s="5">
        <f>IF($L$206="Crecimiento",$Y212,0)</f>
        <v>0</v>
      </c>
      <c r="DA212" s="5">
        <f>IF($M$206="Producción",IF($M212&gt;=LI_A,$Z212,0),0)</f>
        <v>0</v>
      </c>
      <c r="DB212" s="5">
        <f>IF($M$206="Producción",IF($M212&gt;=LI_B,IF($M212&lt;LS_B,$Z212,0),0),0)</f>
        <v>0</v>
      </c>
      <c r="DC212" s="5">
        <f>IF($M$206="Producción",IF($M212&gt;=LI_C,IF($M212&lt;LS_C,$Z212,0),0),0)</f>
        <v>0</v>
      </c>
      <c r="DD212" s="5">
        <f>IF($M$206="Producción",IF($M212&lt;LS_D,$Z212,0),0)</f>
        <v>0</v>
      </c>
      <c r="DE212" s="5">
        <f>IF($M$206="Crecimiento",$Z212,0)</f>
        <v>0</v>
      </c>
      <c r="DI212" s="5">
        <f t="shared" si="1555"/>
        <v>0</v>
      </c>
      <c r="DJ212" s="5">
        <f t="shared" si="1556"/>
        <v>0</v>
      </c>
      <c r="DK212" s="5">
        <f t="shared" si="1557"/>
        <v>0</v>
      </c>
      <c r="DL212" s="5">
        <f t="shared" si="1558"/>
        <v>0</v>
      </c>
      <c r="DM212" s="5">
        <f t="shared" si="1559"/>
        <v>0</v>
      </c>
      <c r="DN212" s="5">
        <f t="shared" si="1560"/>
        <v>0</v>
      </c>
      <c r="DO212" s="5">
        <f t="shared" si="1561"/>
        <v>0</v>
      </c>
      <c r="DP212" s="5">
        <f t="shared" si="1562"/>
        <v>0</v>
      </c>
      <c r="DQ212" s="5">
        <f t="shared" si="1563"/>
        <v>0</v>
      </c>
      <c r="DR212" s="5">
        <f t="shared" si="1564"/>
        <v>0</v>
      </c>
      <c r="DS212" s="5">
        <f t="shared" si="1565"/>
        <v>0</v>
      </c>
      <c r="DT212" s="5">
        <f t="shared" si="1566"/>
        <v>0</v>
      </c>
      <c r="DU212" s="5">
        <f t="shared" si="1567"/>
        <v>0</v>
      </c>
      <c r="DV212" s="5">
        <f t="shared" si="1568"/>
        <v>0</v>
      </c>
      <c r="DW212" s="5">
        <f t="shared" si="1569"/>
        <v>0</v>
      </c>
      <c r="DX212" s="5">
        <f t="shared" si="1570"/>
        <v>0</v>
      </c>
      <c r="DY212" s="5">
        <f t="shared" si="1571"/>
        <v>0</v>
      </c>
      <c r="DZ212" s="5">
        <f t="shared" si="1572"/>
        <v>0</v>
      </c>
      <c r="EA212" s="5">
        <f t="shared" si="1573"/>
        <v>0</v>
      </c>
      <c r="EB212" s="5">
        <f t="shared" si="1574"/>
        <v>0</v>
      </c>
      <c r="EC212" s="5">
        <f t="shared" si="1575"/>
        <v>0</v>
      </c>
      <c r="ED212" s="5">
        <f t="shared" si="1576"/>
        <v>0</v>
      </c>
      <c r="EE212" s="5">
        <f t="shared" si="1577"/>
        <v>0</v>
      </c>
      <c r="EF212" s="5">
        <f t="shared" si="1578"/>
        <v>0</v>
      </c>
      <c r="EG212" s="5">
        <f t="shared" si="1579"/>
        <v>0</v>
      </c>
      <c r="EH212" s="5">
        <f t="shared" si="1580"/>
        <v>0</v>
      </c>
      <c r="EI212" s="5">
        <f t="shared" si="1581"/>
        <v>0</v>
      </c>
      <c r="EJ212" s="5">
        <f t="shared" si="1582"/>
        <v>0</v>
      </c>
      <c r="EK212" s="5">
        <f t="shared" si="1583"/>
        <v>0</v>
      </c>
      <c r="EL212" s="5">
        <f t="shared" si="1584"/>
        <v>0</v>
      </c>
      <c r="EM212" s="5">
        <f t="shared" si="1585"/>
        <v>0</v>
      </c>
      <c r="EN212" s="5">
        <f t="shared" si="1586"/>
        <v>0</v>
      </c>
      <c r="EO212" s="5">
        <f t="shared" si="1587"/>
        <v>0</v>
      </c>
      <c r="EP212" s="5">
        <f t="shared" si="1588"/>
        <v>0</v>
      </c>
      <c r="EQ212" s="5">
        <f t="shared" si="1589"/>
        <v>0</v>
      </c>
      <c r="ER212" s="5">
        <f t="shared" si="1590"/>
        <v>0</v>
      </c>
      <c r="ES212" s="5">
        <f t="shared" si="1591"/>
        <v>0</v>
      </c>
      <c r="ET212" s="5">
        <f t="shared" si="1592"/>
        <v>0</v>
      </c>
      <c r="EU212" s="5">
        <f t="shared" si="1593"/>
        <v>0</v>
      </c>
      <c r="EV212" s="5">
        <f t="shared" si="1594"/>
        <v>0</v>
      </c>
      <c r="EW212" s="5">
        <f t="shared" si="1595"/>
        <v>0</v>
      </c>
      <c r="EX212" s="5">
        <f t="shared" si="1596"/>
        <v>0</v>
      </c>
      <c r="EY212" s="5">
        <f t="shared" si="1597"/>
        <v>0</v>
      </c>
      <c r="EZ212" s="5">
        <f t="shared" si="1598"/>
        <v>0</v>
      </c>
      <c r="FA212" s="5">
        <f t="shared" si="1599"/>
        <v>0</v>
      </c>
      <c r="FB212" s="5">
        <f t="shared" si="1600"/>
        <v>0</v>
      </c>
      <c r="FC212" s="5">
        <f t="shared" si="1601"/>
        <v>0</v>
      </c>
      <c r="FD212" s="5">
        <f t="shared" si="1602"/>
        <v>0</v>
      </c>
      <c r="FE212" s="5">
        <f t="shared" si="1603"/>
        <v>0</v>
      </c>
      <c r="FF212" s="5">
        <f t="shared" si="1604"/>
        <v>0</v>
      </c>
      <c r="FG212" s="5">
        <f t="shared" si="1605"/>
        <v>0</v>
      </c>
      <c r="FH212" s="5">
        <f t="shared" si="1606"/>
        <v>0</v>
      </c>
      <c r="FI212" s="5">
        <f t="shared" si="1607"/>
        <v>0</v>
      </c>
      <c r="FJ212" s="5">
        <f t="shared" si="1608"/>
        <v>0</v>
      </c>
      <c r="FK212" s="5">
        <f t="shared" si="1609"/>
        <v>0</v>
      </c>
      <c r="FL212" s="5">
        <f t="shared" si="1610"/>
        <v>0</v>
      </c>
      <c r="FM212" s="5">
        <f t="shared" si="1611"/>
        <v>0</v>
      </c>
      <c r="FN212" s="5">
        <f t="shared" si="1612"/>
        <v>0</v>
      </c>
      <c r="FO212" s="5">
        <f t="shared" si="1613"/>
        <v>0</v>
      </c>
      <c r="FP212" s="5">
        <f t="shared" si="1614"/>
        <v>0</v>
      </c>
    </row>
    <row r="213" spans="1:172" ht="20.100000000000001" customHeight="1" x14ac:dyDescent="0.3">
      <c r="A213" s="9" t="str">
        <f>IF(Ciclo=5,"Surco 5","NA")</f>
        <v>NA</v>
      </c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O213" s="58">
        <f>IF($A213="NA",0,IFERROR('6'!O$107/Ciclo,0))</f>
        <v>0</v>
      </c>
      <c r="P213" s="58">
        <f>IF($A213="NA",0,IFERROR('6'!P$107/Ciclo,0))</f>
        <v>0</v>
      </c>
      <c r="Q213" s="58">
        <f>IF($A213="NA",0,IFERROR('6'!Q$107/Ciclo,0))</f>
        <v>0</v>
      </c>
      <c r="R213" s="58">
        <f>IF($A213="NA",0,IFERROR('6'!R$107/Ciclo,0))</f>
        <v>0</v>
      </c>
      <c r="S213" s="58">
        <f>IF($A213="NA",0,IFERROR('6'!S$107/Ciclo,0))</f>
        <v>0</v>
      </c>
      <c r="T213" s="58">
        <f>IF($A213="NA",0,IFERROR('6'!T$107/Ciclo,0))</f>
        <v>0</v>
      </c>
      <c r="U213" s="58">
        <f>IF($A213="NA",0,IFERROR('6'!U$107/Ciclo,0))</f>
        <v>0</v>
      </c>
      <c r="V213" s="58">
        <f>IF($A213="NA",0,IFERROR('6'!V$107/Ciclo,0))</f>
        <v>0</v>
      </c>
      <c r="W213" s="5">
        <f>IF($A213="NA",0,IFERROR('6'!W$107/Ciclo,0))</f>
        <v>0</v>
      </c>
      <c r="X213" s="5">
        <f>IF($A213="NA",0,IFERROR('6'!X$107/Ciclo,0))</f>
        <v>0</v>
      </c>
      <c r="Y213" s="5">
        <f>IF($A213="NA",0,IFERROR('6'!Y$107/Ciclo,0))</f>
        <v>0</v>
      </c>
      <c r="Z213" s="5">
        <f>IF($A213="NA",0,IFERROR('6'!Z$107/Ciclo,0))</f>
        <v>0</v>
      </c>
      <c r="AB213" s="5">
        <f>IF($B$206="Producción",IF($B213&gt;=LI_A,$O213,0),0)</f>
        <v>0</v>
      </c>
      <c r="AC213" s="5">
        <f>IF($B$206="Producción",IF($B213&gt;=LI_B,IF($B213&lt;LS_B,$O213,0),0),0)</f>
        <v>0</v>
      </c>
      <c r="AD213" s="5">
        <f>IF($B$206="Producción",IF($B213&gt;=LI_C,IF($B213&lt;LS_C,$O213,0),0),0)</f>
        <v>0</v>
      </c>
      <c r="AE213" s="5">
        <f>IF($B$206="Producción",IF($B213&lt;LS_D,$O213,0),0)</f>
        <v>0</v>
      </c>
      <c r="AF213" s="5">
        <f t="shared" si="1615"/>
        <v>0</v>
      </c>
      <c r="AI213" s="5">
        <f>IF($C$206="Producción",IF($C213&gt;=LI_A,$P213,0),0)</f>
        <v>0</v>
      </c>
      <c r="AJ213" s="5">
        <f>IF($C$206="Producción",IF($C213&gt;=LI_B,IF($C213&lt;LS_B,$P213,0),0),0)</f>
        <v>0</v>
      </c>
      <c r="AK213" s="5">
        <f>IF($C$206="Producción",IF($C213&gt;=LI_C,IF($C213&lt;LS_C,$P213,0),0),0)</f>
        <v>0</v>
      </c>
      <c r="AL213" s="5">
        <f>IF($C$206="Producción",IF($C213&lt;LS_D,$P213,0),0)</f>
        <v>0</v>
      </c>
      <c r="AM213" s="5">
        <f>IF($C$206="Crecimiento",$P213,0)</f>
        <v>0</v>
      </c>
      <c r="AP213" s="5">
        <f>IF($D$206="Producción",IF($D213&gt;=LI_A,$Q213,0),0)</f>
        <v>0</v>
      </c>
      <c r="AQ213" s="5">
        <f>IF($D$206="Producción",IF($D213&gt;=LI_B,IF($D213&lt;LS_B,$Q213,0),0),0)</f>
        <v>0</v>
      </c>
      <c r="AR213" s="5">
        <f>IF($D$206="Producción",IF($D213&gt;=LI_C,IF($D213&lt;LS_C,$Q213,0),0),0)</f>
        <v>0</v>
      </c>
      <c r="AS213" s="5">
        <f>IF($D$206="Producción",IF($D213&lt;LS_D,$Q213,0),0)</f>
        <v>0</v>
      </c>
      <c r="AT213" s="5">
        <f>IF($D$206="Crecimiento",IF($D213&gt;0,$Q213,0),0)</f>
        <v>0</v>
      </c>
      <c r="AW213" s="5">
        <f>IF($E$206="Producción",IF($E213&gt;=LI_A,$R213,0),0)</f>
        <v>0</v>
      </c>
      <c r="AX213" s="5">
        <f>IF($E$206="Producción",IF($E213&gt;=LI_B,IF($E213&lt;LS_B,$R213,0),0),0)</f>
        <v>0</v>
      </c>
      <c r="AY213" s="5">
        <f>IF($E$206="Producción",IF($E213&gt;=LI_C,IF($E213&lt;LS_C,$R213,0),0),0)</f>
        <v>0</v>
      </c>
      <c r="AZ213" s="5">
        <f>IF($E$206="Producción",IF($E213&lt;LS_D,$R213,0),0)</f>
        <v>0</v>
      </c>
      <c r="BA213" s="5">
        <f>IF($E$206="Crecimiento",$R213,0)</f>
        <v>0</v>
      </c>
      <c r="BD213" s="5">
        <f>IF($F$206="Producción",IF($F213&gt;=LI_A,$S213,0),0)</f>
        <v>0</v>
      </c>
      <c r="BE213" s="5">
        <f>IF($F$206="Producción",IF($F213&gt;=LI_B,IF($F213&lt;LS_B,$S213,0),0),0)</f>
        <v>0</v>
      </c>
      <c r="BF213" s="5">
        <f>IF($F$206="Producción",IF($F213&gt;=LI_C,IF($F213&lt;LS_C,$S213,0),0),0)</f>
        <v>0</v>
      </c>
      <c r="BG213" s="5">
        <f>IF($F$206="Producción",IF($F213&lt;LS_D,$S213,0),0)</f>
        <v>0</v>
      </c>
      <c r="BH213" s="5">
        <f>IF($F$206="Crecimiento",$S213,0)</f>
        <v>0</v>
      </c>
      <c r="BK213" s="5">
        <f>IF($G$206="Producción",IF($G213&gt;=LI_A,$T213,0),0)</f>
        <v>0</v>
      </c>
      <c r="BL213" s="5">
        <f>IF($G$206="Producción",IF($G213&gt;=LI_B,IF($G213&lt;LS_B,$T213,0),0),0)</f>
        <v>0</v>
      </c>
      <c r="BM213" s="5">
        <f>IF($G$206="Producción",IF($G213&gt;=LI_C,IF($G213&lt;LS_C,$T213,0),0),0)</f>
        <v>0</v>
      </c>
      <c r="BN213" s="5">
        <f>IF($G$206="Producción",IF($G213&lt;LS_D,$T213,0),0)</f>
        <v>0</v>
      </c>
      <c r="BO213" s="5">
        <f>IF($G$206="Crecimiento",$T213,0)</f>
        <v>0</v>
      </c>
      <c r="BR213" s="5">
        <f>IF($H$206="Producción",IF($H213&gt;=LI_A,$U213,0),0)</f>
        <v>0</v>
      </c>
      <c r="BS213" s="5">
        <f>IF($H$206="Producción",IF($H213&gt;=LI_B,IF($H213&lt;LS_B,$U213,0),0),0)</f>
        <v>0</v>
      </c>
      <c r="BT213" s="5">
        <f>IF($H$206="Producción",IF($H213&gt;=LI_C,IF($H213&lt;LS_C,$U213,0),0),0)</f>
        <v>0</v>
      </c>
      <c r="BU213" s="5">
        <f>IF($H$206="Producción",IF($H213&lt;LS_D,$U213,0),0)</f>
        <v>0</v>
      </c>
      <c r="BV213" s="5">
        <f>IF($H$206="Crecimiento",$T213,0)</f>
        <v>0</v>
      </c>
      <c r="BY213" s="5">
        <f>IF($I$206="Producción",IF($I213&gt;=LI_A,$V213,0),0)</f>
        <v>0</v>
      </c>
      <c r="BZ213" s="5">
        <f>IF($I$206="Producción",IF($I213&gt;=LI_B,IF($I213&lt;LS_B,$V213,0),0),0)</f>
        <v>0</v>
      </c>
      <c r="CA213" s="5">
        <f>IF($I$206="Producción",IF($I213&gt;=LI_C,IF($I213&lt;LS_C,$V213,0),0),0)</f>
        <v>0</v>
      </c>
      <c r="CB213" s="5">
        <f>IF($I$206="Producción",IF($I213&lt;LS_D,$V213,0),0)</f>
        <v>0</v>
      </c>
      <c r="CC213" s="5">
        <f>IF($I$206="Crecimiento",$V213,0)</f>
        <v>0</v>
      </c>
      <c r="CF213" s="5">
        <f>IF($J$206="Producción",IF($J213&gt;=LI_A,$W213,0),0)</f>
        <v>0</v>
      </c>
      <c r="CG213" s="5">
        <f>IF($J$206="Producción",IF($J213&gt;=LI_B,IF($J213&lt;LS_B,$W213,0),0),0)</f>
        <v>0</v>
      </c>
      <c r="CH213" s="5">
        <f>IF($J$206="Producción",IF($J213&gt;=LI_C,IF($J213&lt;LS_C,$W213,0),0),0)</f>
        <v>0</v>
      </c>
      <c r="CI213" s="5">
        <f>IF($J$206="Producción",IF($J213&lt;LS_D,$W213,0),0)</f>
        <v>0</v>
      </c>
      <c r="CJ213" s="5">
        <f>IF($J$206="Crecimiento",$W213,0)</f>
        <v>0</v>
      </c>
      <c r="CM213" s="5">
        <f>IF($K$206="Producción",IF($K213&gt;=LI_A,$X213,0),0)</f>
        <v>0</v>
      </c>
      <c r="CN213" s="5">
        <f>IF($K$206="Producción",IF($K213&gt;=LI_B,IF($K213&lt;LS_B,$X213,0),0),0)</f>
        <v>0</v>
      </c>
      <c r="CO213" s="5">
        <f>IF($K$206="Producción",IF($K213&gt;=LI_C,IF($K213&lt;LS_C,$X213,0),0),0)</f>
        <v>0</v>
      </c>
      <c r="CP213" s="5">
        <f>IF($K$206="Producción",IF($K213&lt;LS_D,$X213,0),0)</f>
        <v>0</v>
      </c>
      <c r="CQ213" s="5">
        <f>IF($K$206="Crecimiento",$X213,0)</f>
        <v>0</v>
      </c>
      <c r="CT213" s="5">
        <f>IF($L$206="Producción",IF($L213&gt;=LI_A,$Y213,0),0)</f>
        <v>0</v>
      </c>
      <c r="CU213" s="5">
        <f>IF($L$206="Producción",IF($L213&gt;=LI_B,IF($L213&lt;LS_B,$Y213,0),0),0)</f>
        <v>0</v>
      </c>
      <c r="CV213" s="5">
        <f>IF($L$206="Producción",IF($L213&gt;=LI_C,IF($L213&lt;LS_C,$Y213,0),0),0)</f>
        <v>0</v>
      </c>
      <c r="CW213" s="5">
        <f>IF($L$206="Producción",IF($L213&lt;LS_D,$Y213,0),0)</f>
        <v>0</v>
      </c>
      <c r="CX213" s="5">
        <f>IF($L$206="Crecimiento",$Y213,0)</f>
        <v>0</v>
      </c>
      <c r="DA213" s="5">
        <f>IF($M$206="Producción",IF($M213&gt;=LI_A,$Z213,0),0)</f>
        <v>0</v>
      </c>
      <c r="DB213" s="5">
        <f>IF($M$206="Producción",IF($M213&gt;=LI_B,IF($M213&lt;LS_B,$Z213,0),0),0)</f>
        <v>0</v>
      </c>
      <c r="DC213" s="5">
        <f>IF($M$206="Producción",IF($M213&gt;=LI_C,IF($M213&lt;LS_C,$Z213,0),0),0)</f>
        <v>0</v>
      </c>
      <c r="DD213" s="5">
        <f>IF($M$206="Producción",IF($M213&lt;LS_D,$Z213,0),0)</f>
        <v>0</v>
      </c>
      <c r="DE213" s="5">
        <f>IF($M$206="Crecimiento",$Z213,0)</f>
        <v>0</v>
      </c>
      <c r="DI213" s="5">
        <f t="shared" si="1555"/>
        <v>0</v>
      </c>
      <c r="DJ213" s="5">
        <f t="shared" si="1556"/>
        <v>0</v>
      </c>
      <c r="DK213" s="5">
        <f t="shared" si="1557"/>
        <v>0</v>
      </c>
      <c r="DL213" s="5">
        <f t="shared" si="1558"/>
        <v>0</v>
      </c>
      <c r="DM213" s="5">
        <f t="shared" si="1559"/>
        <v>0</v>
      </c>
      <c r="DN213" s="5">
        <f t="shared" si="1560"/>
        <v>0</v>
      </c>
      <c r="DO213" s="5">
        <f t="shared" si="1561"/>
        <v>0</v>
      </c>
      <c r="DP213" s="5">
        <f t="shared" si="1562"/>
        <v>0</v>
      </c>
      <c r="DQ213" s="5">
        <f t="shared" si="1563"/>
        <v>0</v>
      </c>
      <c r="DR213" s="5">
        <f t="shared" si="1564"/>
        <v>0</v>
      </c>
      <c r="DS213" s="5">
        <f t="shared" si="1565"/>
        <v>0</v>
      </c>
      <c r="DT213" s="5">
        <f t="shared" si="1566"/>
        <v>0</v>
      </c>
      <c r="DU213" s="5">
        <f t="shared" si="1567"/>
        <v>0</v>
      </c>
      <c r="DV213" s="5">
        <f t="shared" si="1568"/>
        <v>0</v>
      </c>
      <c r="DW213" s="5">
        <f t="shared" si="1569"/>
        <v>0</v>
      </c>
      <c r="DX213" s="5">
        <f t="shared" si="1570"/>
        <v>0</v>
      </c>
      <c r="DY213" s="5">
        <f t="shared" si="1571"/>
        <v>0</v>
      </c>
      <c r="DZ213" s="5">
        <f t="shared" si="1572"/>
        <v>0</v>
      </c>
      <c r="EA213" s="5">
        <f t="shared" si="1573"/>
        <v>0</v>
      </c>
      <c r="EB213" s="5">
        <f t="shared" si="1574"/>
        <v>0</v>
      </c>
      <c r="EC213" s="5">
        <f t="shared" si="1575"/>
        <v>0</v>
      </c>
      <c r="ED213" s="5">
        <f t="shared" si="1576"/>
        <v>0</v>
      </c>
      <c r="EE213" s="5">
        <f t="shared" si="1577"/>
        <v>0</v>
      </c>
      <c r="EF213" s="5">
        <f t="shared" si="1578"/>
        <v>0</v>
      </c>
      <c r="EG213" s="5">
        <f t="shared" si="1579"/>
        <v>0</v>
      </c>
      <c r="EH213" s="5">
        <f t="shared" si="1580"/>
        <v>0</v>
      </c>
      <c r="EI213" s="5">
        <f t="shared" si="1581"/>
        <v>0</v>
      </c>
      <c r="EJ213" s="5">
        <f t="shared" si="1582"/>
        <v>0</v>
      </c>
      <c r="EK213" s="5">
        <f t="shared" si="1583"/>
        <v>0</v>
      </c>
      <c r="EL213" s="5">
        <f t="shared" si="1584"/>
        <v>0</v>
      </c>
      <c r="EM213" s="5">
        <f t="shared" si="1585"/>
        <v>0</v>
      </c>
      <c r="EN213" s="5">
        <f t="shared" si="1586"/>
        <v>0</v>
      </c>
      <c r="EO213" s="5">
        <f t="shared" si="1587"/>
        <v>0</v>
      </c>
      <c r="EP213" s="5">
        <f t="shared" si="1588"/>
        <v>0</v>
      </c>
      <c r="EQ213" s="5">
        <f t="shared" si="1589"/>
        <v>0</v>
      </c>
      <c r="ER213" s="5">
        <f t="shared" si="1590"/>
        <v>0</v>
      </c>
      <c r="ES213" s="5">
        <f t="shared" si="1591"/>
        <v>0</v>
      </c>
      <c r="ET213" s="5">
        <f t="shared" si="1592"/>
        <v>0</v>
      </c>
      <c r="EU213" s="5">
        <f t="shared" si="1593"/>
        <v>0</v>
      </c>
      <c r="EV213" s="5">
        <f t="shared" si="1594"/>
        <v>0</v>
      </c>
      <c r="EW213" s="5">
        <f t="shared" si="1595"/>
        <v>0</v>
      </c>
      <c r="EX213" s="5">
        <f t="shared" si="1596"/>
        <v>0</v>
      </c>
      <c r="EY213" s="5">
        <f t="shared" si="1597"/>
        <v>0</v>
      </c>
      <c r="EZ213" s="5">
        <f t="shared" si="1598"/>
        <v>0</v>
      </c>
      <c r="FA213" s="5">
        <f t="shared" si="1599"/>
        <v>0</v>
      </c>
      <c r="FB213" s="5">
        <f t="shared" si="1600"/>
        <v>0</v>
      </c>
      <c r="FC213" s="5">
        <f t="shared" si="1601"/>
        <v>0</v>
      </c>
      <c r="FD213" s="5">
        <f t="shared" si="1602"/>
        <v>0</v>
      </c>
      <c r="FE213" s="5">
        <f t="shared" si="1603"/>
        <v>0</v>
      </c>
      <c r="FF213" s="5">
        <f t="shared" si="1604"/>
        <v>0</v>
      </c>
      <c r="FG213" s="5">
        <f t="shared" si="1605"/>
        <v>0</v>
      </c>
      <c r="FH213" s="5">
        <f t="shared" si="1606"/>
        <v>0</v>
      </c>
      <c r="FI213" s="5">
        <f t="shared" si="1607"/>
        <v>0</v>
      </c>
      <c r="FJ213" s="5">
        <f t="shared" si="1608"/>
        <v>0</v>
      </c>
      <c r="FK213" s="5">
        <f t="shared" si="1609"/>
        <v>0</v>
      </c>
      <c r="FL213" s="5">
        <f t="shared" si="1610"/>
        <v>0</v>
      </c>
      <c r="FM213" s="5">
        <f t="shared" si="1611"/>
        <v>0</v>
      </c>
      <c r="FN213" s="5">
        <f t="shared" si="1612"/>
        <v>0</v>
      </c>
      <c r="FO213" s="5">
        <f t="shared" si="1613"/>
        <v>0</v>
      </c>
      <c r="FP213" s="5">
        <f t="shared" si="1614"/>
        <v>0</v>
      </c>
    </row>
    <row r="214" spans="1:172" ht="20.100000000000001" customHeight="1" x14ac:dyDescent="0.3">
      <c r="A214" s="172">
        <f>N_L27</f>
        <v>0</v>
      </c>
      <c r="B214" s="363" t="s">
        <v>37</v>
      </c>
      <c r="C214" s="363" t="s">
        <v>37</v>
      </c>
      <c r="D214" s="363" t="s">
        <v>37</v>
      </c>
      <c r="E214" s="363" t="s">
        <v>37</v>
      </c>
      <c r="F214" s="363" t="s">
        <v>37</v>
      </c>
      <c r="G214" s="363" t="s">
        <v>37</v>
      </c>
      <c r="H214" s="363" t="s">
        <v>37</v>
      </c>
      <c r="I214" s="363" t="s">
        <v>37</v>
      </c>
      <c r="J214" s="363" t="s">
        <v>37</v>
      </c>
      <c r="K214" s="363" t="s">
        <v>37</v>
      </c>
      <c r="L214" s="363" t="s">
        <v>37</v>
      </c>
      <c r="M214" s="363" t="s">
        <v>37</v>
      </c>
    </row>
    <row r="215" spans="1:172" ht="20.100000000000001" customHeight="1" x14ac:dyDescent="0.3">
      <c r="A215" s="175" t="s">
        <v>238</v>
      </c>
      <c r="B215" s="174">
        <f>SUM(DI217:DM221)/100</f>
        <v>0</v>
      </c>
      <c r="C215" s="174">
        <f>SUM(DN217:DR221)/100</f>
        <v>0</v>
      </c>
      <c r="D215" s="174">
        <f>SUM(DS217:DW221)/100</f>
        <v>0</v>
      </c>
      <c r="E215" s="174">
        <f>SUM(DX217:EB221)/100</f>
        <v>0</v>
      </c>
      <c r="F215" s="174">
        <f>SUM(EC217:EG221)/100</f>
        <v>0</v>
      </c>
      <c r="G215" s="174">
        <f>SUM(EH217:EL221)/100</f>
        <v>0</v>
      </c>
      <c r="H215" s="174">
        <f>SUM(EM217:EQ221)/100</f>
        <v>0</v>
      </c>
      <c r="I215" s="174">
        <f>SUM(ER217:EV221)/100</f>
        <v>0</v>
      </c>
      <c r="J215" s="174">
        <f>SUM(EW217:FA221)/100</f>
        <v>0</v>
      </c>
      <c r="K215" s="174">
        <f>SUM(FB217:FF221)/100</f>
        <v>0</v>
      </c>
      <c r="L215" s="174">
        <f>SUM(FG217:FK221)/100</f>
        <v>0</v>
      </c>
      <c r="M215" s="174">
        <f>SUM(FL217:FP221)/100</f>
        <v>0</v>
      </c>
    </row>
    <row r="216" spans="1:172" ht="20.100000000000001" customHeight="1" x14ac:dyDescent="0.3">
      <c r="A216" s="151" t="s">
        <v>239</v>
      </c>
      <c r="B216" s="152" t="e">
        <f t="shared" ref="B216:M216" si="1616">B215/Lote_27</f>
        <v>#DIV/0!</v>
      </c>
      <c r="C216" s="152" t="e">
        <f t="shared" si="1616"/>
        <v>#DIV/0!</v>
      </c>
      <c r="D216" s="152" t="e">
        <f t="shared" si="1616"/>
        <v>#DIV/0!</v>
      </c>
      <c r="E216" s="152" t="e">
        <f t="shared" si="1616"/>
        <v>#DIV/0!</v>
      </c>
      <c r="F216" s="152" t="e">
        <f t="shared" si="1616"/>
        <v>#DIV/0!</v>
      </c>
      <c r="G216" s="152" t="e">
        <f t="shared" si="1616"/>
        <v>#DIV/0!</v>
      </c>
      <c r="H216" s="152" t="e">
        <f t="shared" si="1616"/>
        <v>#DIV/0!</v>
      </c>
      <c r="I216" s="152" t="e">
        <f t="shared" si="1616"/>
        <v>#DIV/0!</v>
      </c>
      <c r="J216" s="152" t="e">
        <f t="shared" si="1616"/>
        <v>#DIV/0!</v>
      </c>
      <c r="K216" s="152" t="e">
        <f t="shared" si="1616"/>
        <v>#DIV/0!</v>
      </c>
      <c r="L216" s="152" t="e">
        <f t="shared" si="1616"/>
        <v>#DIV/0!</v>
      </c>
      <c r="M216" s="152" t="e">
        <f t="shared" si="1616"/>
        <v>#DIV/0!</v>
      </c>
    </row>
    <row r="217" spans="1:172" ht="20.100000000000001" customHeight="1" x14ac:dyDescent="0.3">
      <c r="A217" s="8" t="s">
        <v>302</v>
      </c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O217" s="58">
        <f>IFERROR('6'!O$111/Ciclo,0)</f>
        <v>0</v>
      </c>
      <c r="P217" s="58">
        <f>IFERROR('6'!P$111/Ciclo,0)</f>
        <v>0</v>
      </c>
      <c r="Q217" s="58">
        <f>IFERROR('6'!Q$111/Ciclo,0)</f>
        <v>0</v>
      </c>
      <c r="R217" s="58">
        <f>IFERROR('6'!R$111/Ciclo,0)</f>
        <v>0</v>
      </c>
      <c r="S217" s="58">
        <f>IFERROR('6'!S$111/Ciclo,0)</f>
        <v>0</v>
      </c>
      <c r="T217" s="58">
        <f>IFERROR('6'!T$111/Ciclo,0)</f>
        <v>0</v>
      </c>
      <c r="U217" s="58">
        <f>IFERROR('6'!U$111/Ciclo,0)</f>
        <v>0</v>
      </c>
      <c r="V217" s="58">
        <f>IFERROR('6'!V$111/Ciclo,0)</f>
        <v>0</v>
      </c>
      <c r="W217" s="5">
        <f>IFERROR('6'!W$111/Ciclo,0)</f>
        <v>0</v>
      </c>
      <c r="X217" s="5">
        <f>IFERROR('6'!X$111/Ciclo,0)</f>
        <v>0</v>
      </c>
      <c r="Y217" s="5">
        <f>IFERROR('6'!Y$111/Ciclo,0)</f>
        <v>0</v>
      </c>
      <c r="Z217" s="5">
        <f>IFERROR('6'!Z$111/Ciclo,0)</f>
        <v>0</v>
      </c>
      <c r="AB217" s="5">
        <f>IF($B$214="Producción",IF($B217&gt;=LI_A,$O217,0),0)</f>
        <v>0</v>
      </c>
      <c r="AC217" s="5">
        <f>IF($B$214="Producción",IF($B217&gt;=LI_B,IF($B217&lt;LS_B,$O217,0),0),0)</f>
        <v>0</v>
      </c>
      <c r="AD217" s="5">
        <f>IF($B$214="Producción",IF($B217&gt;=LI_C,IF($B217&lt;LS_C,$O217,0),0),0)</f>
        <v>0</v>
      </c>
      <c r="AE217" s="5">
        <f>IF($B$214="Producción",IF($B217&lt;LS_D,$O217,0),0)</f>
        <v>0</v>
      </c>
      <c r="AF217" s="5">
        <f>IF($B$214="Crecimiento",$O217,0)</f>
        <v>0</v>
      </c>
      <c r="AG217" s="5">
        <f>IF($B214="Siembra",'6'!$O$7,0)</f>
        <v>0</v>
      </c>
      <c r="AH217" s="5">
        <f>IF($B214="Abandono",'6'!$O$7,0)</f>
        <v>0</v>
      </c>
      <c r="AI217" s="5">
        <f>IF($C$214="Producción",IF($C217&gt;=LI_A,$P217,0),0)</f>
        <v>0</v>
      </c>
      <c r="AJ217" s="5">
        <f>IF($C$214="Producción",IF($C217&gt;=LI_B,IF($C217&lt;LS_B,$P217,0),0),0)</f>
        <v>0</v>
      </c>
      <c r="AK217" s="5">
        <f>IF($C$214="Producción",IF($C217&gt;=LI_C,IF($C217&lt;LS_C,$P217,0),0),0)</f>
        <v>0</v>
      </c>
      <c r="AL217" s="5">
        <f>IF($C$214="Producción",IF($C217&lt;LS_D,$P217,0),0)</f>
        <v>0</v>
      </c>
      <c r="AM217" s="5">
        <f>IF($C$214="Crecimiento",$P217,0)</f>
        <v>0</v>
      </c>
      <c r="AN217" s="5">
        <f>IF($C214="Siembra",'6'!$P$7,0)</f>
        <v>0</v>
      </c>
      <c r="AO217" s="5">
        <f>IF($C214="Abandono",'6'!$P$7,0)</f>
        <v>0</v>
      </c>
      <c r="AP217" s="5">
        <f>IF($D$214="Producción",IF($D217&gt;=LI_A,$Q217,0),0)</f>
        <v>0</v>
      </c>
      <c r="AQ217" s="5">
        <f>IF($D$214="Producción",IF($D217&gt;=LI_B,IF($D217&lt;LS_B,$Q217,0),0),0)</f>
        <v>0</v>
      </c>
      <c r="AR217" s="5">
        <f>IF($D$214="Producción",IF($D217&gt;=LI_C,IF($D217&lt;LS_C,$Q217,0),0),0)</f>
        <v>0</v>
      </c>
      <c r="AS217" s="5">
        <f>IF($D$214="Producción",IF($D217&lt;LS_D,$Q217,0),0)</f>
        <v>0</v>
      </c>
      <c r="AT217" s="5">
        <f>IF($D$214="Crecimiento",IF($D217&gt;0,$Q217,0),0)</f>
        <v>0</v>
      </c>
      <c r="AU217" s="5">
        <f>IF($D214="Siembra",'6'!$Q$7,0)</f>
        <v>0</v>
      </c>
      <c r="AV217" s="5">
        <f>IF($D214="Abandono",'6'!$Q$7,0)</f>
        <v>0</v>
      </c>
      <c r="AW217" s="5">
        <f>IF($E$214="Producción",IF($E217&gt;=LI_A,$R217,0),0)</f>
        <v>0</v>
      </c>
      <c r="AX217" s="5">
        <f>IF($E$214="Producción",IF($E217&gt;=LI_B,IF($E217&lt;LS_B,$R217,0),0),0)</f>
        <v>0</v>
      </c>
      <c r="AY217" s="5">
        <f>IF($E$214="Producción",IF($E217&gt;=LI_C,IF($E217&lt;LS_C,$R217,0),0),0)</f>
        <v>0</v>
      </c>
      <c r="AZ217" s="5">
        <f>IF($E$214="Producción",IF($E217&lt;LS_D,$R217,0),0)</f>
        <v>0</v>
      </c>
      <c r="BA217" s="5">
        <f>IF($E$214="Crecimiento",$R217,0)</f>
        <v>0</v>
      </c>
      <c r="BB217" s="5">
        <f>IF($E214="Siembra",'6'!$R$7,0)</f>
        <v>0</v>
      </c>
      <c r="BC217" s="5">
        <f>IF($E214="Abandono",'6'!$R$7,0)</f>
        <v>0</v>
      </c>
      <c r="BD217" s="5">
        <f>IF($F$214="Producción",IF($F217&gt;=LI_A,$S217,0),0)</f>
        <v>0</v>
      </c>
      <c r="BE217" s="5">
        <f>IF($F$214="Producción",IF($F217&gt;=LI_B,IF($F217&lt;LS_B,$S217,0),0),0)</f>
        <v>0</v>
      </c>
      <c r="BF217" s="5">
        <f>IF($F$214="Producción",IF($F217&gt;=LI_C,IF($F217&lt;LS_C,$S217,0),0),0)</f>
        <v>0</v>
      </c>
      <c r="BG217" s="5">
        <f>IF($F$214="Producción",IF($F217&lt;LS_D,$S217,0),0)</f>
        <v>0</v>
      </c>
      <c r="BH217" s="5">
        <f>IF($F$214="Crecimiento",$S217,0)</f>
        <v>0</v>
      </c>
      <c r="BI217" s="5">
        <f>IF($F214="Siembra",'6'!$S$7,0)</f>
        <v>0</v>
      </c>
      <c r="BJ217" s="5">
        <f>IF($F214="Abandono",'6'!$S$7,0)</f>
        <v>0</v>
      </c>
      <c r="BK217" s="5">
        <f>IF($G$214="Producción",IF($G217&gt;=LI_A,$T217,0),0)</f>
        <v>0</v>
      </c>
      <c r="BL217" s="5">
        <f>IF($G$214="Producción",IF($G217&gt;=LI_B,IF($G217&lt;LS_B,$T217,0),0),0)</f>
        <v>0</v>
      </c>
      <c r="BM217" s="5">
        <f>IF($G$214="Producción",IF($G217&gt;=LI_C,IF($G217&lt;LS_C,$T217,0),0),0)</f>
        <v>0</v>
      </c>
      <c r="BN217" s="5">
        <f>IF($G$214="Producción",IF($G217&lt;LS_D,$T217,0),0)</f>
        <v>0</v>
      </c>
      <c r="BO217" s="5">
        <f>IF($G$214="Crecimiento",$T217,0)</f>
        <v>0</v>
      </c>
      <c r="BP217" s="5">
        <f>IF($G214="Siembra",'6'!$T$7,0)</f>
        <v>0</v>
      </c>
      <c r="BQ217" s="5">
        <f>IF($G214="Abandono",'6'!$T$7,0)</f>
        <v>0</v>
      </c>
      <c r="BR217" s="5">
        <f>IF($H$214="Producción",IF($H217&gt;=LI_A,$U217,0),0)</f>
        <v>0</v>
      </c>
      <c r="BS217" s="5">
        <f>IF($H$214="Producción",IF($H217&gt;=LI_B,IF($H217&lt;LS_B,$U217,0),0),0)</f>
        <v>0</v>
      </c>
      <c r="BT217" s="5">
        <f>IF($H$214="Producción",IF($H217&gt;=LI_C,IF($H217&lt;LS_C,$U217,0),0),0)</f>
        <v>0</v>
      </c>
      <c r="BU217" s="5">
        <f>IF($H$214="Producción",IF($H217&lt;LS_D,$U217,0),0)</f>
        <v>0</v>
      </c>
      <c r="BV217" s="5">
        <f>IF($H$214="Crecimiento",$T217,0)</f>
        <v>0</v>
      </c>
      <c r="BW217" s="5">
        <f>IF($H214="Siembra",'6'!$U$7,0)</f>
        <v>0</v>
      </c>
      <c r="BX217" s="5">
        <f>IF($H214="Abandono",'6'!$U$7,0)</f>
        <v>0</v>
      </c>
      <c r="BY217" s="5">
        <f>IF($I$214="Producción",IF($I217&gt;=LI_A,$V217,0),0)</f>
        <v>0</v>
      </c>
      <c r="BZ217" s="5">
        <f>IF($I$214="Producción",IF($I217&gt;=LI_B,IF($I217&lt;LS_B,$V217,0),0),0)</f>
        <v>0</v>
      </c>
      <c r="CA217" s="5">
        <f>IF($I$214="Producción",IF($I217&gt;=LI_C,IF($I217&lt;LS_C,$V217,0),0),0)</f>
        <v>0</v>
      </c>
      <c r="CB217" s="5">
        <f>IF($I$214="Producción",IF($I217&lt;LS_D,$V217,0),0)</f>
        <v>0</v>
      </c>
      <c r="CC217" s="5">
        <f>IF($I$214="Crecimiento",$V217,0)</f>
        <v>0</v>
      </c>
      <c r="CD217" s="5">
        <f>IF($I214="Siembra",'6'!$V$7,0)</f>
        <v>0</v>
      </c>
      <c r="CE217" s="5">
        <f>IF($I214="Abandono",'6'!$V$7,0)</f>
        <v>0</v>
      </c>
      <c r="CF217" s="5">
        <f>IF($J$214="Producción",IF($J217&gt;=LI_A,$W217,0),0)</f>
        <v>0</v>
      </c>
      <c r="CG217" s="5">
        <f>IF($J$214="Producción",IF($J217&gt;=LI_B,IF($J217&lt;LS_B,$W217,0),0),0)</f>
        <v>0</v>
      </c>
      <c r="CH217" s="5">
        <f>IF($J$214="Producción",IF($J217&gt;=LI_C,IF($J217&lt;LS_C,$W217,0),0),0)</f>
        <v>0</v>
      </c>
      <c r="CI217" s="5">
        <f>IF($J$214="Producción",IF($J217&lt;LS_D,$W217,0),0)</f>
        <v>0</v>
      </c>
      <c r="CJ217" s="5">
        <f>IF($J$214="Crecimiento",$W217,0)</f>
        <v>0</v>
      </c>
      <c r="CK217" s="5">
        <f>IF($J214="Siembra",'6'!$W$7,0)</f>
        <v>0</v>
      </c>
      <c r="CL217" s="5">
        <f>IF($J214="Abandono",'6'!$W$7,0)</f>
        <v>0</v>
      </c>
      <c r="CM217" s="5">
        <f>IF($K$214="Producción",IF($K217&gt;=LI_A,$X217,0),0)</f>
        <v>0</v>
      </c>
      <c r="CN217" s="5">
        <f>IF($K$214="Producción",IF($K217&gt;=LI_B,IF($K217&lt;LS_B,$X217,0),0),0)</f>
        <v>0</v>
      </c>
      <c r="CO217" s="5">
        <f>IF($K$214="Producción",IF($K217&gt;=LI_C,IF($K217&lt;LS_C,$X217,0),0),0)</f>
        <v>0</v>
      </c>
      <c r="CP217" s="5">
        <f>IF($K$214="Producción",IF($K217&lt;LS_D,$X217,0),0)</f>
        <v>0</v>
      </c>
      <c r="CQ217" s="5">
        <f>IF($K$214="Crecimiento",$X217,0)</f>
        <v>0</v>
      </c>
      <c r="CR217" s="5">
        <f>IF($K214="Siembra",'6'!$X$7,0)</f>
        <v>0</v>
      </c>
      <c r="CS217" s="5">
        <f>IF($K214="Abandono",'6'!$X$7,0)</f>
        <v>0</v>
      </c>
      <c r="CT217" s="5">
        <f>IF($L$214="Producción",IF($L217&gt;=LI_A,$Y217,0),0)</f>
        <v>0</v>
      </c>
      <c r="CU217" s="5">
        <f>IF($L$214="Producción",IF($L217&gt;=LI_B,IF($L217&lt;LS_B,$Y217,0),0),0)</f>
        <v>0</v>
      </c>
      <c r="CV217" s="5">
        <f>IF($L$214="Producción",IF($L217&gt;=LI_C,IF($L217&lt;LS_C,$Y217,0),0),0)</f>
        <v>0</v>
      </c>
      <c r="CW217" s="5">
        <f>IF($L$214="Producción",IF($L217&lt;LS_D,$Y217,0),0)</f>
        <v>0</v>
      </c>
      <c r="CX217" s="5">
        <f>IF($L$214="Crecimiento",$Y217,0)</f>
        <v>0</v>
      </c>
      <c r="CY217" s="5">
        <f>IF($L214="Siembra",'6'!$Y$7,0)</f>
        <v>0</v>
      </c>
      <c r="CZ217" s="5">
        <f>IF($L214="Abandono",'6'!$Y$7,0)</f>
        <v>0</v>
      </c>
      <c r="DA217" s="5">
        <f>IF($M$214="Producción",IF($M217&gt;=LI_A,$Z217,0),0)</f>
        <v>0</v>
      </c>
      <c r="DB217" s="5">
        <f>IF($M$214="Producción",IF($M217&gt;=LI_B,IF($M217&lt;LS_B,$Z217,0),0),0)</f>
        <v>0</v>
      </c>
      <c r="DC217" s="5">
        <f>IF($M$214="Producción",IF($M217&gt;=LI_C,IF($M217&lt;LS_C,$Z217,0),0),0)</f>
        <v>0</v>
      </c>
      <c r="DD217" s="5">
        <f>IF($M$214="Producción",IF($M217&lt;LS_D,$Z217,0),0)</f>
        <v>0</v>
      </c>
      <c r="DE217" s="5">
        <f>IF($M$214="Crecimiento",$Z217,0)</f>
        <v>0</v>
      </c>
      <c r="DF217" s="5">
        <f>IF($M214="Siembra",'6'!$Z$7,0)</f>
        <v>0</v>
      </c>
      <c r="DG217" s="5">
        <f>IF($M214="Abandono",'6'!$Z$7,0)</f>
        <v>0</v>
      </c>
      <c r="DI217" s="5">
        <f t="shared" ref="DI217:DI221" si="1617">AB217*$B217</f>
        <v>0</v>
      </c>
      <c r="DJ217" s="5">
        <f t="shared" ref="DJ217:DJ221" si="1618">AC217*$B217</f>
        <v>0</v>
      </c>
      <c r="DK217" s="5">
        <f t="shared" ref="DK217:DK221" si="1619">AD217*$B217</f>
        <v>0</v>
      </c>
      <c r="DL217" s="5">
        <f t="shared" ref="DL217:DL221" si="1620">AE217*$B217</f>
        <v>0</v>
      </c>
      <c r="DM217" s="5">
        <f t="shared" ref="DM217:DM221" si="1621">AF217*$B217</f>
        <v>0</v>
      </c>
      <c r="DN217" s="5">
        <f t="shared" ref="DN217:DN221" si="1622">AI217*$C217</f>
        <v>0</v>
      </c>
      <c r="DO217" s="5">
        <f t="shared" ref="DO217:DO221" si="1623">AJ217*$C217</f>
        <v>0</v>
      </c>
      <c r="DP217" s="5">
        <f t="shared" ref="DP217:DP221" si="1624">AK217*$C217</f>
        <v>0</v>
      </c>
      <c r="DQ217" s="5">
        <f t="shared" ref="DQ217:DQ221" si="1625">AL217*$C217</f>
        <v>0</v>
      </c>
      <c r="DR217" s="5">
        <f t="shared" ref="DR217:DR221" si="1626">AM217*$C217</f>
        <v>0</v>
      </c>
      <c r="DS217" s="5">
        <f t="shared" ref="DS217:DS221" si="1627">AP217*$D217</f>
        <v>0</v>
      </c>
      <c r="DT217" s="5">
        <f t="shared" ref="DT217:DT221" si="1628">AQ217*$D217</f>
        <v>0</v>
      </c>
      <c r="DU217" s="5">
        <f t="shared" ref="DU217:DU221" si="1629">AR217*$D217</f>
        <v>0</v>
      </c>
      <c r="DV217" s="5">
        <f t="shared" ref="DV217:DV221" si="1630">AS217*$D217</f>
        <v>0</v>
      </c>
      <c r="DW217" s="5">
        <f t="shared" ref="DW217:DW221" si="1631">AT217*$D217</f>
        <v>0</v>
      </c>
      <c r="DX217" s="5">
        <f t="shared" ref="DX217:DX221" si="1632">AW217*$E217</f>
        <v>0</v>
      </c>
      <c r="DY217" s="5">
        <f t="shared" ref="DY217:DY221" si="1633">AX217*$E217</f>
        <v>0</v>
      </c>
      <c r="DZ217" s="5">
        <f t="shared" ref="DZ217:DZ221" si="1634">AY217*$E217</f>
        <v>0</v>
      </c>
      <c r="EA217" s="5">
        <f t="shared" ref="EA217:EA221" si="1635">AZ217*$E217</f>
        <v>0</v>
      </c>
      <c r="EB217" s="5">
        <f t="shared" ref="EB217:EB221" si="1636">BA217*$E217</f>
        <v>0</v>
      </c>
      <c r="EC217" s="5">
        <f t="shared" ref="EC217:EC221" si="1637">BD217*$F217</f>
        <v>0</v>
      </c>
      <c r="ED217" s="5">
        <f t="shared" ref="ED217:ED221" si="1638">BE217*$F217</f>
        <v>0</v>
      </c>
      <c r="EE217" s="5">
        <f t="shared" ref="EE217:EE221" si="1639">BF217*$F217</f>
        <v>0</v>
      </c>
      <c r="EF217" s="5">
        <f t="shared" ref="EF217:EF221" si="1640">BG217*$F217</f>
        <v>0</v>
      </c>
      <c r="EG217" s="5">
        <f t="shared" ref="EG217:EG221" si="1641">BH217*$F217</f>
        <v>0</v>
      </c>
      <c r="EH217" s="5">
        <f t="shared" ref="EH217:EH221" si="1642">BK217*$G217</f>
        <v>0</v>
      </c>
      <c r="EI217" s="5">
        <f t="shared" ref="EI217:EI221" si="1643">BL217*$G217</f>
        <v>0</v>
      </c>
      <c r="EJ217" s="5">
        <f t="shared" ref="EJ217:EJ221" si="1644">BM217*$G217</f>
        <v>0</v>
      </c>
      <c r="EK217" s="5">
        <f t="shared" ref="EK217:EK221" si="1645">BN217*$G217</f>
        <v>0</v>
      </c>
      <c r="EL217" s="5">
        <f t="shared" ref="EL217:EL221" si="1646">BO217*$G217</f>
        <v>0</v>
      </c>
      <c r="EM217" s="5">
        <f t="shared" ref="EM217:EM221" si="1647">BR217*$H217</f>
        <v>0</v>
      </c>
      <c r="EN217" s="5">
        <f t="shared" ref="EN217:EN221" si="1648">BS217*$H217</f>
        <v>0</v>
      </c>
      <c r="EO217" s="5">
        <f t="shared" ref="EO217:EO221" si="1649">BT217*$H217</f>
        <v>0</v>
      </c>
      <c r="EP217" s="5">
        <f t="shared" ref="EP217:EP221" si="1650">BU217*$H217</f>
        <v>0</v>
      </c>
      <c r="EQ217" s="5">
        <f t="shared" ref="EQ217:EQ221" si="1651">BV217*$H217</f>
        <v>0</v>
      </c>
      <c r="ER217" s="5">
        <f t="shared" ref="ER217:ER221" si="1652">BY217*$I217</f>
        <v>0</v>
      </c>
      <c r="ES217" s="5">
        <f t="shared" ref="ES217:ES221" si="1653">BZ217*$I217</f>
        <v>0</v>
      </c>
      <c r="ET217" s="5">
        <f t="shared" ref="ET217:ET221" si="1654">CA217*$I217</f>
        <v>0</v>
      </c>
      <c r="EU217" s="5">
        <f t="shared" ref="EU217:EU221" si="1655">CB217*$I217</f>
        <v>0</v>
      </c>
      <c r="EV217" s="5">
        <f t="shared" ref="EV217:EV221" si="1656">CC217*$I217</f>
        <v>0</v>
      </c>
      <c r="EW217" s="5">
        <f t="shared" ref="EW217:EW221" si="1657">CF217*$J217</f>
        <v>0</v>
      </c>
      <c r="EX217" s="5">
        <f t="shared" ref="EX217:EX221" si="1658">CG217*$J217</f>
        <v>0</v>
      </c>
      <c r="EY217" s="5">
        <f t="shared" ref="EY217:EY221" si="1659">CH217*$J217</f>
        <v>0</v>
      </c>
      <c r="EZ217" s="5">
        <f t="shared" ref="EZ217:EZ221" si="1660">CI217*$J217</f>
        <v>0</v>
      </c>
      <c r="FA217" s="5">
        <f t="shared" ref="FA217:FA221" si="1661">CJ217*$J217</f>
        <v>0</v>
      </c>
      <c r="FB217" s="5">
        <f t="shared" ref="FB217:FB221" si="1662">CM217*$K217</f>
        <v>0</v>
      </c>
      <c r="FC217" s="5">
        <f t="shared" ref="FC217:FC221" si="1663">CN217*$K217</f>
        <v>0</v>
      </c>
      <c r="FD217" s="5">
        <f t="shared" ref="FD217:FD221" si="1664">CO217*$K217</f>
        <v>0</v>
      </c>
      <c r="FE217" s="5">
        <f t="shared" ref="FE217:FE221" si="1665">CP217*$K217</f>
        <v>0</v>
      </c>
      <c r="FF217" s="5">
        <f t="shared" ref="FF217:FF221" si="1666">CQ217*$K217</f>
        <v>0</v>
      </c>
      <c r="FG217" s="5">
        <f t="shared" ref="FG217:FG221" si="1667">CT217*$L217</f>
        <v>0</v>
      </c>
      <c r="FH217" s="5">
        <f t="shared" ref="FH217:FH221" si="1668">CU217*$L217</f>
        <v>0</v>
      </c>
      <c r="FI217" s="5">
        <f t="shared" ref="FI217:FI221" si="1669">CV217*$L217</f>
        <v>0</v>
      </c>
      <c r="FJ217" s="5">
        <f t="shared" ref="FJ217:FJ221" si="1670">CW217*$L217</f>
        <v>0</v>
      </c>
      <c r="FK217" s="5">
        <f t="shared" ref="FK217:FK221" si="1671">CX217*$L217</f>
        <v>0</v>
      </c>
      <c r="FL217" s="5">
        <f t="shared" ref="FL217:FL221" si="1672">DA217*$M217</f>
        <v>0</v>
      </c>
      <c r="FM217" s="5">
        <f t="shared" ref="FM217:FM221" si="1673">DB217*$M217</f>
        <v>0</v>
      </c>
      <c r="FN217" s="5">
        <f t="shared" ref="FN217:FN221" si="1674">DC217*$M217</f>
        <v>0</v>
      </c>
      <c r="FO217" s="5">
        <f t="shared" ref="FO217:FO221" si="1675">DD217*$M217</f>
        <v>0</v>
      </c>
      <c r="FP217" s="5">
        <f t="shared" ref="FP217:FP221" si="1676">DE217*$M217</f>
        <v>0</v>
      </c>
    </row>
    <row r="218" spans="1:172" ht="20.100000000000001" customHeight="1" x14ac:dyDescent="0.3">
      <c r="A218" s="8" t="s">
        <v>303</v>
      </c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O218" s="58">
        <f>IFERROR('6'!O$111/Ciclo,0)</f>
        <v>0</v>
      </c>
      <c r="P218" s="58">
        <f>IFERROR('6'!P$111/Ciclo,0)</f>
        <v>0</v>
      </c>
      <c r="Q218" s="58">
        <f>IFERROR('6'!Q$111/Ciclo,0)</f>
        <v>0</v>
      </c>
      <c r="R218" s="58">
        <f>IFERROR('6'!R$111/Ciclo,0)</f>
        <v>0</v>
      </c>
      <c r="S218" s="58">
        <f>IFERROR('6'!S$111/Ciclo,0)</f>
        <v>0</v>
      </c>
      <c r="T218" s="58">
        <f>IFERROR('6'!T$111/Ciclo,0)</f>
        <v>0</v>
      </c>
      <c r="U218" s="58">
        <f>IFERROR('6'!U$111/Ciclo,0)</f>
        <v>0</v>
      </c>
      <c r="V218" s="58">
        <f>IFERROR('6'!V$111/Ciclo,0)</f>
        <v>0</v>
      </c>
      <c r="W218" s="5">
        <f>IFERROR('6'!W$111/Ciclo,0)</f>
        <v>0</v>
      </c>
      <c r="X218" s="5">
        <f>IFERROR('6'!X$111/Ciclo,0)</f>
        <v>0</v>
      </c>
      <c r="Y218" s="5">
        <f>IFERROR('6'!Y$111/Ciclo,0)</f>
        <v>0</v>
      </c>
      <c r="Z218" s="5">
        <f>IFERROR('6'!Z$111/Ciclo,0)</f>
        <v>0</v>
      </c>
      <c r="AB218" s="5">
        <f>IF($B$214="Producción",IF($B218&gt;=LI_A,$O218,0),0)</f>
        <v>0</v>
      </c>
      <c r="AC218" s="5">
        <f>IF($B$214="Producción",IF($B218&gt;=LI_B,IF($B218&lt;LS_B,$O218,0),0),0)</f>
        <v>0</v>
      </c>
      <c r="AD218" s="5">
        <f>IF($B$214="Producción",IF($B218&gt;=LI_C,IF($B218&lt;LS_C,$O218,0),0),0)</f>
        <v>0</v>
      </c>
      <c r="AE218" s="5">
        <f>IF($B$214="Producción",IF($B218&lt;LS_D,$O218,0),0)</f>
        <v>0</v>
      </c>
      <c r="AF218" s="5">
        <f t="shared" ref="AF218:AF221" si="1677">IF($B$214="Crecimiento",$O218,0)</f>
        <v>0</v>
      </c>
      <c r="AI218" s="5">
        <f>IF($C$214="Producción",IF($C218&gt;=LI_A,$P218,0),0)</f>
        <v>0</v>
      </c>
      <c r="AJ218" s="5">
        <f>IF($C$214="Producción",IF($C218&gt;=LI_B,IF($C218&lt;LS_B,$P218,0),0),0)</f>
        <v>0</v>
      </c>
      <c r="AK218" s="5">
        <f>IF($C$214="Producción",IF($C218&gt;=LI_C,IF($C218&lt;LS_C,$P218,0),0),0)</f>
        <v>0</v>
      </c>
      <c r="AL218" s="5">
        <f>IF($C$214="Producción",IF($C218&lt;LS_D,$P218,0),0)</f>
        <v>0</v>
      </c>
      <c r="AM218" s="5">
        <f>IF($C$214="Crecimiento",$P218,0)</f>
        <v>0</v>
      </c>
      <c r="AP218" s="5">
        <f>IF($D$214="Producción",IF($D218&gt;=LI_A,$Q218,0),0)</f>
        <v>0</v>
      </c>
      <c r="AQ218" s="5">
        <f>IF($D$214="Producción",IF($D218&gt;=LI_B,IF($D218&lt;LS_B,$Q218,0),0),0)</f>
        <v>0</v>
      </c>
      <c r="AR218" s="5">
        <f>IF($D$214="Producción",IF($D218&gt;=LI_C,IF($D218&lt;LS_C,$Q218,0),0),0)</f>
        <v>0</v>
      </c>
      <c r="AS218" s="5">
        <f>IF($D$214="Producción",IF($D218&lt;LS_D,$Q218,0),0)</f>
        <v>0</v>
      </c>
      <c r="AT218" s="5">
        <f>IF($D$214="Crecimiento",IF($D218&gt;0,$Q218,0),0)</f>
        <v>0</v>
      </c>
      <c r="AW218" s="5">
        <f>IF($E$214="Producción",IF($E218&gt;=LI_A,$R218,0),0)</f>
        <v>0</v>
      </c>
      <c r="AX218" s="5">
        <f>IF($E$214="Producción",IF($E218&gt;=LI_B,IF($E218&lt;LS_B,$R218,0),0),0)</f>
        <v>0</v>
      </c>
      <c r="AY218" s="5">
        <f>IF($E$214="Producción",IF($E218&gt;=LI_C,IF($E218&lt;LS_C,$R218,0),0),0)</f>
        <v>0</v>
      </c>
      <c r="AZ218" s="5">
        <f>IF($E$214="Producción",IF($E218&lt;LS_D,$R218,0),0)</f>
        <v>0</v>
      </c>
      <c r="BA218" s="5">
        <f>IF($E$214="Crecimiento",$R218,0)</f>
        <v>0</v>
      </c>
      <c r="BD218" s="5">
        <f>IF($F$214="Producción",IF($F218&gt;=LI_A,$S218,0),0)</f>
        <v>0</v>
      </c>
      <c r="BE218" s="5">
        <f>IF($F$214="Producción",IF($F218&gt;=LI_B,IF($F218&lt;LS_B,$S218,0),0),0)</f>
        <v>0</v>
      </c>
      <c r="BF218" s="5">
        <f>IF($F$214="Producción",IF($F218&gt;=LI_C,IF($F218&lt;LS_C,$S218,0),0),0)</f>
        <v>0</v>
      </c>
      <c r="BG218" s="5">
        <f>IF($F$214="Producción",IF($F218&lt;LS_D,$S218,0),0)</f>
        <v>0</v>
      </c>
      <c r="BH218" s="5">
        <f>IF($F$214="Crecimiento",$S218,0)</f>
        <v>0</v>
      </c>
      <c r="BK218" s="5">
        <f>IF($G$214="Producción",IF($G218&gt;=LI_A,$T218,0),0)</f>
        <v>0</v>
      </c>
      <c r="BL218" s="5">
        <f>IF($G$214="Producción",IF($G218&gt;=LI_B,IF($G218&lt;LS_B,$T218,0),0),0)</f>
        <v>0</v>
      </c>
      <c r="BM218" s="5">
        <f>IF($G$214="Producción",IF($G218&gt;=LI_C,IF($G218&lt;LS_C,$T218,0),0),0)</f>
        <v>0</v>
      </c>
      <c r="BN218" s="5">
        <f>IF($G$214="Producción",IF($G218&lt;LS_D,$T218,0),0)</f>
        <v>0</v>
      </c>
      <c r="BO218" s="5">
        <f>IF($G$214="Crecimiento",$T218,0)</f>
        <v>0</v>
      </c>
      <c r="BR218" s="5">
        <f>IF($H$214="Producción",IF($H218&gt;=LI_A,$U218,0),0)</f>
        <v>0</v>
      </c>
      <c r="BS218" s="5">
        <f>IF($H$214="Producción",IF($H218&gt;=LI_B,IF($H218&lt;LS_B,$U218,0),0),0)</f>
        <v>0</v>
      </c>
      <c r="BT218" s="5">
        <f>IF($H$214="Producción",IF($H218&gt;=LI_C,IF($H218&lt;LS_C,$U218,0),0),0)</f>
        <v>0</v>
      </c>
      <c r="BU218" s="5">
        <f>IF($H$214="Producción",IF($H218&lt;LS_D,$U218,0),0)</f>
        <v>0</v>
      </c>
      <c r="BV218" s="5">
        <f>IF($H$214="Crecimiento",$T218,0)</f>
        <v>0</v>
      </c>
      <c r="BY218" s="5">
        <f>IF($I$214="Producción",IF($I218&gt;=LI_A,$V218,0),0)</f>
        <v>0</v>
      </c>
      <c r="BZ218" s="5">
        <f>IF($I$214="Producción",IF($I218&gt;=LI_B,IF($I218&lt;LS_B,$V218,0),0),0)</f>
        <v>0</v>
      </c>
      <c r="CA218" s="5">
        <f>IF($I$214="Producción",IF($I218&gt;=LI_C,IF($I218&lt;LS_C,$V218,0),0),0)</f>
        <v>0</v>
      </c>
      <c r="CB218" s="5">
        <f>IF($I$214="Producción",IF($I218&lt;LS_D,$V218,0),0)</f>
        <v>0</v>
      </c>
      <c r="CC218" s="5">
        <f>IF($I$214="Crecimiento",$V218,0)</f>
        <v>0</v>
      </c>
      <c r="CF218" s="5">
        <f>IF($J$214="Producción",IF($J218&gt;=LI_A,$W218,0),0)</f>
        <v>0</v>
      </c>
      <c r="CG218" s="5">
        <f>IF($J$214="Producción",IF($J218&gt;=LI_B,IF($J218&lt;LS_B,$W218,0),0),0)</f>
        <v>0</v>
      </c>
      <c r="CH218" s="5">
        <f>IF($J$214="Producción",IF($J218&gt;=LI_C,IF($J218&lt;LS_C,$W218,0),0),0)</f>
        <v>0</v>
      </c>
      <c r="CI218" s="5">
        <f>IF($J$214="Producción",IF($J218&lt;LS_D,$W218,0),0)</f>
        <v>0</v>
      </c>
      <c r="CJ218" s="5">
        <f>IF($J$214="Crecimiento",$W218,0)</f>
        <v>0</v>
      </c>
      <c r="CM218" s="5">
        <f>IF($K$214="Producción",IF($K218&gt;=LI_A,$X218,0),0)</f>
        <v>0</v>
      </c>
      <c r="CN218" s="5">
        <f>IF($K$214="Producción",IF($K218&gt;=LI_B,IF($K218&lt;LS_B,$X218,0),0),0)</f>
        <v>0</v>
      </c>
      <c r="CO218" s="5">
        <f>IF($K$214="Producción",IF($K218&gt;=LI_C,IF($K218&lt;LS_C,$X218,0),0),0)</f>
        <v>0</v>
      </c>
      <c r="CP218" s="5">
        <f>IF($K$214="Producción",IF($K218&lt;LS_D,$X218,0),0)</f>
        <v>0</v>
      </c>
      <c r="CQ218" s="5">
        <f>IF($K$214="Crecimiento",$X218,0)</f>
        <v>0</v>
      </c>
      <c r="CT218" s="5">
        <f>IF($L$214="Producción",IF($L218&gt;=LI_A,$Y218,0),0)</f>
        <v>0</v>
      </c>
      <c r="CU218" s="5">
        <f>IF($L$214="Producción",IF($L218&gt;=LI_B,IF($L218&lt;LS_B,$Y218,0),0),0)</f>
        <v>0</v>
      </c>
      <c r="CV218" s="5">
        <f>IF($L$214="Producción",IF($L218&gt;=LI_C,IF($L218&lt;LS_C,$Y218,0),0),0)</f>
        <v>0</v>
      </c>
      <c r="CW218" s="5">
        <f>IF($L$214="Producción",IF($L218&lt;LS_D,$Y218,0),0)</f>
        <v>0</v>
      </c>
      <c r="CX218" s="5">
        <f>IF($L$214="Crecimiento",$Y218,0)</f>
        <v>0</v>
      </c>
      <c r="DA218" s="5">
        <f>IF($M$214="Producción",IF($M218&gt;=LI_A,$Z218,0),0)</f>
        <v>0</v>
      </c>
      <c r="DB218" s="5">
        <f>IF($M$214="Producción",IF($M218&gt;=LI_B,IF($M218&lt;LS_B,$Z218,0),0),0)</f>
        <v>0</v>
      </c>
      <c r="DC218" s="5">
        <f>IF($M$214="Producción",IF($M218&gt;=LI_C,IF($M218&lt;LS_C,$Z218,0),0),0)</f>
        <v>0</v>
      </c>
      <c r="DD218" s="5">
        <f>IF($M$214="Producción",IF($M218&lt;LS_D,$Z218,0),0)</f>
        <v>0</v>
      </c>
      <c r="DE218" s="5">
        <f>IF($M$214="Crecimiento",$Z218,0)</f>
        <v>0</v>
      </c>
      <c r="DI218" s="5">
        <f t="shared" si="1617"/>
        <v>0</v>
      </c>
      <c r="DJ218" s="5">
        <f t="shared" si="1618"/>
        <v>0</v>
      </c>
      <c r="DK218" s="5">
        <f t="shared" si="1619"/>
        <v>0</v>
      </c>
      <c r="DL218" s="5">
        <f t="shared" si="1620"/>
        <v>0</v>
      </c>
      <c r="DM218" s="5">
        <f t="shared" si="1621"/>
        <v>0</v>
      </c>
      <c r="DN218" s="5">
        <f t="shared" si="1622"/>
        <v>0</v>
      </c>
      <c r="DO218" s="5">
        <f t="shared" si="1623"/>
        <v>0</v>
      </c>
      <c r="DP218" s="5">
        <f t="shared" si="1624"/>
        <v>0</v>
      </c>
      <c r="DQ218" s="5">
        <f t="shared" si="1625"/>
        <v>0</v>
      </c>
      <c r="DR218" s="5">
        <f t="shared" si="1626"/>
        <v>0</v>
      </c>
      <c r="DS218" s="5">
        <f t="shared" si="1627"/>
        <v>0</v>
      </c>
      <c r="DT218" s="5">
        <f t="shared" si="1628"/>
        <v>0</v>
      </c>
      <c r="DU218" s="5">
        <f t="shared" si="1629"/>
        <v>0</v>
      </c>
      <c r="DV218" s="5">
        <f t="shared" si="1630"/>
        <v>0</v>
      </c>
      <c r="DW218" s="5">
        <f t="shared" si="1631"/>
        <v>0</v>
      </c>
      <c r="DX218" s="5">
        <f t="shared" si="1632"/>
        <v>0</v>
      </c>
      <c r="DY218" s="5">
        <f t="shared" si="1633"/>
        <v>0</v>
      </c>
      <c r="DZ218" s="5">
        <f t="shared" si="1634"/>
        <v>0</v>
      </c>
      <c r="EA218" s="5">
        <f t="shared" si="1635"/>
        <v>0</v>
      </c>
      <c r="EB218" s="5">
        <f t="shared" si="1636"/>
        <v>0</v>
      </c>
      <c r="EC218" s="5">
        <f t="shared" si="1637"/>
        <v>0</v>
      </c>
      <c r="ED218" s="5">
        <f t="shared" si="1638"/>
        <v>0</v>
      </c>
      <c r="EE218" s="5">
        <f t="shared" si="1639"/>
        <v>0</v>
      </c>
      <c r="EF218" s="5">
        <f t="shared" si="1640"/>
        <v>0</v>
      </c>
      <c r="EG218" s="5">
        <f t="shared" si="1641"/>
        <v>0</v>
      </c>
      <c r="EH218" s="5">
        <f t="shared" si="1642"/>
        <v>0</v>
      </c>
      <c r="EI218" s="5">
        <f t="shared" si="1643"/>
        <v>0</v>
      </c>
      <c r="EJ218" s="5">
        <f t="shared" si="1644"/>
        <v>0</v>
      </c>
      <c r="EK218" s="5">
        <f t="shared" si="1645"/>
        <v>0</v>
      </c>
      <c r="EL218" s="5">
        <f t="shared" si="1646"/>
        <v>0</v>
      </c>
      <c r="EM218" s="5">
        <f t="shared" si="1647"/>
        <v>0</v>
      </c>
      <c r="EN218" s="5">
        <f t="shared" si="1648"/>
        <v>0</v>
      </c>
      <c r="EO218" s="5">
        <f t="shared" si="1649"/>
        <v>0</v>
      </c>
      <c r="EP218" s="5">
        <f t="shared" si="1650"/>
        <v>0</v>
      </c>
      <c r="EQ218" s="5">
        <f t="shared" si="1651"/>
        <v>0</v>
      </c>
      <c r="ER218" s="5">
        <f t="shared" si="1652"/>
        <v>0</v>
      </c>
      <c r="ES218" s="5">
        <f t="shared" si="1653"/>
        <v>0</v>
      </c>
      <c r="ET218" s="5">
        <f t="shared" si="1654"/>
        <v>0</v>
      </c>
      <c r="EU218" s="5">
        <f t="shared" si="1655"/>
        <v>0</v>
      </c>
      <c r="EV218" s="5">
        <f t="shared" si="1656"/>
        <v>0</v>
      </c>
      <c r="EW218" s="5">
        <f t="shared" si="1657"/>
        <v>0</v>
      </c>
      <c r="EX218" s="5">
        <f t="shared" si="1658"/>
        <v>0</v>
      </c>
      <c r="EY218" s="5">
        <f t="shared" si="1659"/>
        <v>0</v>
      </c>
      <c r="EZ218" s="5">
        <f t="shared" si="1660"/>
        <v>0</v>
      </c>
      <c r="FA218" s="5">
        <f t="shared" si="1661"/>
        <v>0</v>
      </c>
      <c r="FB218" s="5">
        <f t="shared" si="1662"/>
        <v>0</v>
      </c>
      <c r="FC218" s="5">
        <f t="shared" si="1663"/>
        <v>0</v>
      </c>
      <c r="FD218" s="5">
        <f t="shared" si="1664"/>
        <v>0</v>
      </c>
      <c r="FE218" s="5">
        <f t="shared" si="1665"/>
        <v>0</v>
      </c>
      <c r="FF218" s="5">
        <f t="shared" si="1666"/>
        <v>0</v>
      </c>
      <c r="FG218" s="5">
        <f t="shared" si="1667"/>
        <v>0</v>
      </c>
      <c r="FH218" s="5">
        <f t="shared" si="1668"/>
        <v>0</v>
      </c>
      <c r="FI218" s="5">
        <f t="shared" si="1669"/>
        <v>0</v>
      </c>
      <c r="FJ218" s="5">
        <f t="shared" si="1670"/>
        <v>0</v>
      </c>
      <c r="FK218" s="5">
        <f t="shared" si="1671"/>
        <v>0</v>
      </c>
      <c r="FL218" s="5">
        <f t="shared" si="1672"/>
        <v>0</v>
      </c>
      <c r="FM218" s="5">
        <f t="shared" si="1673"/>
        <v>0</v>
      </c>
      <c r="FN218" s="5">
        <f t="shared" si="1674"/>
        <v>0</v>
      </c>
      <c r="FO218" s="5">
        <f t="shared" si="1675"/>
        <v>0</v>
      </c>
      <c r="FP218" s="5">
        <f t="shared" si="1676"/>
        <v>0</v>
      </c>
    </row>
    <row r="219" spans="1:172" ht="20.100000000000001" customHeight="1" x14ac:dyDescent="0.3">
      <c r="A219" s="8" t="str">
        <f>IF(Ciclo&gt;2,"Surco 3","NA")</f>
        <v>Surco 3</v>
      </c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O219" s="58">
        <f>IF($A219="NA",0,IFERROR('6'!O$111/Ciclo,0))</f>
        <v>0</v>
      </c>
      <c r="P219" s="58">
        <f>IF($A219="NA",0,IFERROR('6'!P$111/Ciclo,0))</f>
        <v>0</v>
      </c>
      <c r="Q219" s="58">
        <f>IF($A219="NA",0,IFERROR('6'!Q$111/Ciclo,0))</f>
        <v>0</v>
      </c>
      <c r="R219" s="58">
        <f>IF($A219="NA",0,IFERROR('6'!R$111/Ciclo,0))</f>
        <v>0</v>
      </c>
      <c r="S219" s="58">
        <f>IF($A219="NA",0,IFERROR('6'!S$111/Ciclo,0))</f>
        <v>0</v>
      </c>
      <c r="T219" s="58">
        <f>IF($A219="NA",0,IFERROR('6'!T$111/Ciclo,0))</f>
        <v>0</v>
      </c>
      <c r="U219" s="58">
        <f>IF($A219="NA",0,IFERROR('6'!U$111/Ciclo,0))</f>
        <v>0</v>
      </c>
      <c r="V219" s="58">
        <f>IF($A219="NA",0,IFERROR('6'!V$111/Ciclo,0))</f>
        <v>0</v>
      </c>
      <c r="W219" s="5">
        <f>IF($A219="NA",0,IFERROR('6'!W$111/Ciclo,0))</f>
        <v>0</v>
      </c>
      <c r="X219" s="5">
        <f>IF($A219="NA",0,IFERROR('6'!X$111/Ciclo,0))</f>
        <v>0</v>
      </c>
      <c r="Y219" s="5">
        <f>IF($A219="NA",0,IFERROR('6'!Y$111/Ciclo,0))</f>
        <v>0</v>
      </c>
      <c r="Z219" s="5">
        <f>IF($A219="NA",0,IFERROR('6'!Z$111/Ciclo,0))</f>
        <v>0</v>
      </c>
      <c r="AB219" s="5">
        <f>IF($B$214="Producción",IF($B219&gt;=LI_A,$O219,0),0)</f>
        <v>0</v>
      </c>
      <c r="AC219" s="5">
        <f>IF($B$214="Producción",IF($B219&gt;=LI_B,IF($B219&lt;LS_B,$O219,0),0),0)</f>
        <v>0</v>
      </c>
      <c r="AD219" s="5">
        <f>IF($B$214="Producción",IF($B219&gt;=LI_C,IF($B219&lt;LS_C,$O219,0),0),0)</f>
        <v>0</v>
      </c>
      <c r="AE219" s="5">
        <f>IF($B$214="Producción",IF($B219&lt;LS_D,$O219,0),0)</f>
        <v>0</v>
      </c>
      <c r="AF219" s="5">
        <f t="shared" si="1677"/>
        <v>0</v>
      </c>
      <c r="AI219" s="5">
        <f>IF($C$214="Producción",IF($C219&gt;=LI_A,$P219,0),0)</f>
        <v>0</v>
      </c>
      <c r="AJ219" s="5">
        <f>IF($C$214="Producción",IF($C219&gt;=LI_B,IF($C219&lt;LS_B,$P219,0),0),0)</f>
        <v>0</v>
      </c>
      <c r="AK219" s="5">
        <f>IF($C$214="Producción",IF($C219&gt;=LI_C,IF($C219&lt;LS_C,$P219,0),0),0)</f>
        <v>0</v>
      </c>
      <c r="AL219" s="5">
        <f>IF($C$214="Producción",IF($C219&lt;LS_D,$P219,0),0)</f>
        <v>0</v>
      </c>
      <c r="AM219" s="5">
        <f>IF($C$214="Crecimiento",$P219,0)</f>
        <v>0</v>
      </c>
      <c r="AP219" s="5">
        <f>IF($D$214="Producción",IF($D219&gt;=LI_A,$Q219,0),0)</f>
        <v>0</v>
      </c>
      <c r="AQ219" s="5">
        <f>IF($D$214="Producción",IF($D219&gt;=LI_B,IF($D219&lt;LS_B,$Q219,0),0),0)</f>
        <v>0</v>
      </c>
      <c r="AR219" s="5">
        <f>IF($D$214="Producción",IF($D219&gt;=LI_C,IF($D219&lt;LS_C,$Q219,0),0),0)</f>
        <v>0</v>
      </c>
      <c r="AS219" s="5">
        <f>IF($D$214="Producción",IF($D219&lt;LS_D,$Q219,0),0)</f>
        <v>0</v>
      </c>
      <c r="AT219" s="5">
        <f>IF($D$214="Crecimiento",IF($D219&gt;0,$Q219,0),0)</f>
        <v>0</v>
      </c>
      <c r="AW219" s="5">
        <f>IF($E$214="Producción",IF($E219&gt;=LI_A,$R219,0),0)</f>
        <v>0</v>
      </c>
      <c r="AX219" s="5">
        <f>IF($E$214="Producción",IF($E219&gt;=LI_B,IF($E219&lt;LS_B,$R219,0),0),0)</f>
        <v>0</v>
      </c>
      <c r="AY219" s="5">
        <f>IF($E$214="Producción",IF($E219&gt;=LI_C,IF($E219&lt;LS_C,$R219,0),0),0)</f>
        <v>0</v>
      </c>
      <c r="AZ219" s="5">
        <f>IF($E$214="Producción",IF($E219&lt;LS_D,$R219,0),0)</f>
        <v>0</v>
      </c>
      <c r="BA219" s="5">
        <f>IF($E$214="Crecimiento",$R219,0)</f>
        <v>0</v>
      </c>
      <c r="BD219" s="5">
        <f>IF($F$214="Producción",IF($F219&gt;=LI_A,$S219,0),0)</f>
        <v>0</v>
      </c>
      <c r="BE219" s="5">
        <f>IF($F$214="Producción",IF($F219&gt;=LI_B,IF($F219&lt;LS_B,$S219,0),0),0)</f>
        <v>0</v>
      </c>
      <c r="BF219" s="5">
        <f>IF($F$214="Producción",IF($F219&gt;=LI_C,IF($F219&lt;LS_C,$S219,0),0),0)</f>
        <v>0</v>
      </c>
      <c r="BG219" s="5">
        <f>IF($F$214="Producción",IF($F219&lt;LS_D,$S219,0),0)</f>
        <v>0</v>
      </c>
      <c r="BH219" s="5">
        <f>IF($F$214="Crecimiento",$S219,0)</f>
        <v>0</v>
      </c>
      <c r="BK219" s="5">
        <f>IF($G$214="Producción",IF($G219&gt;=LI_A,$T219,0),0)</f>
        <v>0</v>
      </c>
      <c r="BL219" s="5">
        <f>IF($G$214="Producción",IF($G219&gt;=LI_B,IF($G219&lt;LS_B,$T219,0),0),0)</f>
        <v>0</v>
      </c>
      <c r="BM219" s="5">
        <f>IF($G$214="Producción",IF($G219&gt;=LI_C,IF($G219&lt;LS_C,$T219,0),0),0)</f>
        <v>0</v>
      </c>
      <c r="BN219" s="5">
        <f>IF($G$214="Producción",IF($G219&lt;LS_D,$T219,0),0)</f>
        <v>0</v>
      </c>
      <c r="BO219" s="5">
        <f>IF($G$214="Crecimiento",$T219,0)</f>
        <v>0</v>
      </c>
      <c r="BR219" s="5">
        <f>IF($H$214="Producción",IF($H219&gt;=LI_A,$U219,0),0)</f>
        <v>0</v>
      </c>
      <c r="BS219" s="5">
        <f>IF($H$214="Producción",IF($H219&gt;=LI_B,IF($H219&lt;LS_B,$U219,0),0),0)</f>
        <v>0</v>
      </c>
      <c r="BT219" s="5">
        <f>IF($H$214="Producción",IF($H219&gt;=LI_C,IF($H219&lt;LS_C,$U219,0),0),0)</f>
        <v>0</v>
      </c>
      <c r="BU219" s="5">
        <f>IF($H$214="Producción",IF($H219&lt;LS_D,$U219,0),0)</f>
        <v>0</v>
      </c>
      <c r="BV219" s="5">
        <f>IF($H$214="Crecimiento",$T219,0)</f>
        <v>0</v>
      </c>
      <c r="BY219" s="5">
        <f>IF($I$214="Producción",IF($I219&gt;=LI_A,$V219,0),0)</f>
        <v>0</v>
      </c>
      <c r="BZ219" s="5">
        <f>IF($I$214="Producción",IF($I219&gt;=LI_B,IF($I219&lt;LS_B,$V219,0),0),0)</f>
        <v>0</v>
      </c>
      <c r="CA219" s="5">
        <f>IF($I$214="Producción",IF($I219&gt;=LI_C,IF($I219&lt;LS_C,$V219,0),0),0)</f>
        <v>0</v>
      </c>
      <c r="CB219" s="5">
        <f>IF($I$214="Producción",IF($I219&lt;LS_D,$V219,0),0)</f>
        <v>0</v>
      </c>
      <c r="CC219" s="5">
        <f>IF($I$214="Crecimiento",$V219,0)</f>
        <v>0</v>
      </c>
      <c r="CF219" s="5">
        <f>IF($J$214="Producción",IF($J219&gt;=LI_A,$W219,0),0)</f>
        <v>0</v>
      </c>
      <c r="CG219" s="5">
        <f>IF($J$214="Producción",IF($J219&gt;=LI_B,IF($J219&lt;LS_B,$W219,0),0),0)</f>
        <v>0</v>
      </c>
      <c r="CH219" s="5">
        <f>IF($J$214="Producción",IF($J219&gt;=LI_C,IF($J219&lt;LS_C,$W219,0),0),0)</f>
        <v>0</v>
      </c>
      <c r="CI219" s="5">
        <f>IF($J$214="Producción",IF($J219&lt;LS_D,$W219,0),0)</f>
        <v>0</v>
      </c>
      <c r="CJ219" s="5">
        <f>IF($J$214="Crecimiento",$W219,0)</f>
        <v>0</v>
      </c>
      <c r="CM219" s="5">
        <f>IF($K$214="Producción",IF($K219&gt;=LI_A,$X219,0),0)</f>
        <v>0</v>
      </c>
      <c r="CN219" s="5">
        <f>IF($K$214="Producción",IF($K219&gt;=LI_B,IF($K219&lt;LS_B,$X219,0),0),0)</f>
        <v>0</v>
      </c>
      <c r="CO219" s="5">
        <f>IF($K$214="Producción",IF($K219&gt;=LI_C,IF($K219&lt;LS_C,$X219,0),0),0)</f>
        <v>0</v>
      </c>
      <c r="CP219" s="5">
        <f>IF($K$214="Producción",IF($K219&lt;LS_D,$X219,0),0)</f>
        <v>0</v>
      </c>
      <c r="CQ219" s="5">
        <f>IF($K$214="Crecimiento",$X219,0)</f>
        <v>0</v>
      </c>
      <c r="CT219" s="5">
        <f>IF($L$214="Producción",IF($L219&gt;=LI_A,$Y219,0),0)</f>
        <v>0</v>
      </c>
      <c r="CU219" s="5">
        <f>IF($L$214="Producción",IF($L219&gt;=LI_B,IF($L219&lt;LS_B,$Y219,0),0),0)</f>
        <v>0</v>
      </c>
      <c r="CV219" s="5">
        <f>IF($L$214="Producción",IF($L219&gt;=LI_C,IF($L219&lt;LS_C,$Y219,0),0),0)</f>
        <v>0</v>
      </c>
      <c r="CW219" s="5">
        <f>IF($L$214="Producción",IF($L219&lt;LS_D,$Y219,0),0)</f>
        <v>0</v>
      </c>
      <c r="CX219" s="5">
        <f>IF($L$214="Crecimiento",$Y219,0)</f>
        <v>0</v>
      </c>
      <c r="DA219" s="5">
        <f>IF($M$214="Producción",IF($M219&gt;=LI_A,$Z219,0),0)</f>
        <v>0</v>
      </c>
      <c r="DB219" s="5">
        <f>IF($M$214="Producción",IF($M219&gt;=LI_B,IF($M219&lt;LS_B,$Z219,0),0),0)</f>
        <v>0</v>
      </c>
      <c r="DC219" s="5">
        <f>IF($M$214="Producción",IF($M219&gt;=LI_C,IF($M219&lt;LS_C,$Z219,0),0),0)</f>
        <v>0</v>
      </c>
      <c r="DD219" s="5">
        <f>IF($M$214="Producción",IF($M219&lt;LS_D,$Z219,0),0)</f>
        <v>0</v>
      </c>
      <c r="DE219" s="5">
        <f>IF($M$214="Crecimiento",$Z219,0)</f>
        <v>0</v>
      </c>
      <c r="DI219" s="5">
        <f t="shared" si="1617"/>
        <v>0</v>
      </c>
      <c r="DJ219" s="5">
        <f t="shared" si="1618"/>
        <v>0</v>
      </c>
      <c r="DK219" s="5">
        <f t="shared" si="1619"/>
        <v>0</v>
      </c>
      <c r="DL219" s="5">
        <f t="shared" si="1620"/>
        <v>0</v>
      </c>
      <c r="DM219" s="5">
        <f t="shared" si="1621"/>
        <v>0</v>
      </c>
      <c r="DN219" s="5">
        <f t="shared" si="1622"/>
        <v>0</v>
      </c>
      <c r="DO219" s="5">
        <f t="shared" si="1623"/>
        <v>0</v>
      </c>
      <c r="DP219" s="5">
        <f t="shared" si="1624"/>
        <v>0</v>
      </c>
      <c r="DQ219" s="5">
        <f t="shared" si="1625"/>
        <v>0</v>
      </c>
      <c r="DR219" s="5">
        <f t="shared" si="1626"/>
        <v>0</v>
      </c>
      <c r="DS219" s="5">
        <f t="shared" si="1627"/>
        <v>0</v>
      </c>
      <c r="DT219" s="5">
        <f t="shared" si="1628"/>
        <v>0</v>
      </c>
      <c r="DU219" s="5">
        <f t="shared" si="1629"/>
        <v>0</v>
      </c>
      <c r="DV219" s="5">
        <f t="shared" si="1630"/>
        <v>0</v>
      </c>
      <c r="DW219" s="5">
        <f t="shared" si="1631"/>
        <v>0</v>
      </c>
      <c r="DX219" s="5">
        <f t="shared" si="1632"/>
        <v>0</v>
      </c>
      <c r="DY219" s="5">
        <f t="shared" si="1633"/>
        <v>0</v>
      </c>
      <c r="DZ219" s="5">
        <f t="shared" si="1634"/>
        <v>0</v>
      </c>
      <c r="EA219" s="5">
        <f t="shared" si="1635"/>
        <v>0</v>
      </c>
      <c r="EB219" s="5">
        <f t="shared" si="1636"/>
        <v>0</v>
      </c>
      <c r="EC219" s="5">
        <f t="shared" si="1637"/>
        <v>0</v>
      </c>
      <c r="ED219" s="5">
        <f t="shared" si="1638"/>
        <v>0</v>
      </c>
      <c r="EE219" s="5">
        <f t="shared" si="1639"/>
        <v>0</v>
      </c>
      <c r="EF219" s="5">
        <f t="shared" si="1640"/>
        <v>0</v>
      </c>
      <c r="EG219" s="5">
        <f t="shared" si="1641"/>
        <v>0</v>
      </c>
      <c r="EH219" s="5">
        <f t="shared" si="1642"/>
        <v>0</v>
      </c>
      <c r="EI219" s="5">
        <f t="shared" si="1643"/>
        <v>0</v>
      </c>
      <c r="EJ219" s="5">
        <f t="shared" si="1644"/>
        <v>0</v>
      </c>
      <c r="EK219" s="5">
        <f t="shared" si="1645"/>
        <v>0</v>
      </c>
      <c r="EL219" s="5">
        <f t="shared" si="1646"/>
        <v>0</v>
      </c>
      <c r="EM219" s="5">
        <f t="shared" si="1647"/>
        <v>0</v>
      </c>
      <c r="EN219" s="5">
        <f t="shared" si="1648"/>
        <v>0</v>
      </c>
      <c r="EO219" s="5">
        <f t="shared" si="1649"/>
        <v>0</v>
      </c>
      <c r="EP219" s="5">
        <f t="shared" si="1650"/>
        <v>0</v>
      </c>
      <c r="EQ219" s="5">
        <f t="shared" si="1651"/>
        <v>0</v>
      </c>
      <c r="ER219" s="5">
        <f t="shared" si="1652"/>
        <v>0</v>
      </c>
      <c r="ES219" s="5">
        <f t="shared" si="1653"/>
        <v>0</v>
      </c>
      <c r="ET219" s="5">
        <f t="shared" si="1654"/>
        <v>0</v>
      </c>
      <c r="EU219" s="5">
        <f t="shared" si="1655"/>
        <v>0</v>
      </c>
      <c r="EV219" s="5">
        <f t="shared" si="1656"/>
        <v>0</v>
      </c>
      <c r="EW219" s="5">
        <f t="shared" si="1657"/>
        <v>0</v>
      </c>
      <c r="EX219" s="5">
        <f t="shared" si="1658"/>
        <v>0</v>
      </c>
      <c r="EY219" s="5">
        <f t="shared" si="1659"/>
        <v>0</v>
      </c>
      <c r="EZ219" s="5">
        <f t="shared" si="1660"/>
        <v>0</v>
      </c>
      <c r="FA219" s="5">
        <f t="shared" si="1661"/>
        <v>0</v>
      </c>
      <c r="FB219" s="5">
        <f t="shared" si="1662"/>
        <v>0</v>
      </c>
      <c r="FC219" s="5">
        <f t="shared" si="1663"/>
        <v>0</v>
      </c>
      <c r="FD219" s="5">
        <f t="shared" si="1664"/>
        <v>0</v>
      </c>
      <c r="FE219" s="5">
        <f t="shared" si="1665"/>
        <v>0</v>
      </c>
      <c r="FF219" s="5">
        <f t="shared" si="1666"/>
        <v>0</v>
      </c>
      <c r="FG219" s="5">
        <f t="shared" si="1667"/>
        <v>0</v>
      </c>
      <c r="FH219" s="5">
        <f t="shared" si="1668"/>
        <v>0</v>
      </c>
      <c r="FI219" s="5">
        <f t="shared" si="1669"/>
        <v>0</v>
      </c>
      <c r="FJ219" s="5">
        <f t="shared" si="1670"/>
        <v>0</v>
      </c>
      <c r="FK219" s="5">
        <f t="shared" si="1671"/>
        <v>0</v>
      </c>
      <c r="FL219" s="5">
        <f t="shared" si="1672"/>
        <v>0</v>
      </c>
      <c r="FM219" s="5">
        <f t="shared" si="1673"/>
        <v>0</v>
      </c>
      <c r="FN219" s="5">
        <f t="shared" si="1674"/>
        <v>0</v>
      </c>
      <c r="FO219" s="5">
        <f t="shared" si="1675"/>
        <v>0</v>
      </c>
      <c r="FP219" s="5">
        <f t="shared" si="1676"/>
        <v>0</v>
      </c>
    </row>
    <row r="220" spans="1:172" ht="20.100000000000001" customHeight="1" x14ac:dyDescent="0.3">
      <c r="A220" s="8" t="str">
        <f>IF(Ciclo=4,"Surco 4",IF(Ciclo=5,"Surco 4","NA"))</f>
        <v>NA</v>
      </c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O220" s="58">
        <f>IF($A220="NA",0,IFERROR('6'!O$111/Ciclo,0))</f>
        <v>0</v>
      </c>
      <c r="P220" s="58">
        <f>IF($A220="NA",0,IFERROR('6'!P$111/Ciclo,0))</f>
        <v>0</v>
      </c>
      <c r="Q220" s="58">
        <f>IF($A220="NA",0,IFERROR('6'!Q$111/Ciclo,0))</f>
        <v>0</v>
      </c>
      <c r="R220" s="58">
        <f>IF($A220="NA",0,IFERROR('6'!R$111/Ciclo,0))</f>
        <v>0</v>
      </c>
      <c r="S220" s="58">
        <f>IF($A220="NA",0,IFERROR('6'!S$111/Ciclo,0))</f>
        <v>0</v>
      </c>
      <c r="T220" s="58">
        <f>IF($A220="NA",0,IFERROR('6'!T$111/Ciclo,0))</f>
        <v>0</v>
      </c>
      <c r="U220" s="58">
        <f>IF($A220="NA",0,IFERROR('6'!U$111/Ciclo,0))</f>
        <v>0</v>
      </c>
      <c r="V220" s="58">
        <f>IF($A220="NA",0,IFERROR('6'!V$111/Ciclo,0))</f>
        <v>0</v>
      </c>
      <c r="W220" s="5">
        <f>IF($A220="NA",0,IFERROR('6'!W$111/Ciclo,0))</f>
        <v>0</v>
      </c>
      <c r="X220" s="5">
        <f>IF($A220="NA",0,IFERROR('6'!X$111/Ciclo,0))</f>
        <v>0</v>
      </c>
      <c r="Y220" s="5">
        <f>IF($A220="NA",0,IFERROR('6'!Y$111/Ciclo,0))</f>
        <v>0</v>
      </c>
      <c r="Z220" s="5">
        <f>IF($A220="NA",0,IFERROR('6'!Z$111/Ciclo,0))</f>
        <v>0</v>
      </c>
      <c r="AB220" s="5">
        <f>IF($B$214="Producción",IF($B220&gt;=LI_A,$O220,0),0)</f>
        <v>0</v>
      </c>
      <c r="AC220" s="5">
        <f>IF($B$214="Producción",IF($B220&gt;=LI_B,IF($B220&lt;LS_B,$O220,0),0),0)</f>
        <v>0</v>
      </c>
      <c r="AD220" s="5">
        <f>IF($B$214="Producción",IF($B220&gt;=LI_C,IF($B220&lt;LS_C,$O220,0),0),0)</f>
        <v>0</v>
      </c>
      <c r="AE220" s="5">
        <f>IF($B$214="Producción",IF($B220&lt;LS_D,$O220,0),0)</f>
        <v>0</v>
      </c>
      <c r="AF220" s="5">
        <f t="shared" si="1677"/>
        <v>0</v>
      </c>
      <c r="AI220" s="5">
        <f>IF($C$214="Producción",IF($C220&gt;=LI_A,$P220,0),0)</f>
        <v>0</v>
      </c>
      <c r="AJ220" s="5">
        <f>IF($C$214="Producción",IF($C220&gt;=LI_B,IF($C220&lt;LS_B,$P220,0),0),0)</f>
        <v>0</v>
      </c>
      <c r="AK220" s="5">
        <f>IF($C$214="Producción",IF($C220&gt;=LI_C,IF($C220&lt;LS_C,$P220,0),0),0)</f>
        <v>0</v>
      </c>
      <c r="AL220" s="5">
        <f>IF($C$214="Producción",IF($C220&lt;LS_D,$P220,0),0)</f>
        <v>0</v>
      </c>
      <c r="AM220" s="5">
        <f>IF($C$214="Crecimiento",$P220,0)</f>
        <v>0</v>
      </c>
      <c r="AP220" s="5">
        <f>IF($D$214="Producción",IF($D220&gt;=LI_A,$Q220,0),0)</f>
        <v>0</v>
      </c>
      <c r="AQ220" s="5">
        <f>IF($D$214="Producción",IF($D220&gt;=LI_B,IF($D220&lt;LS_B,$Q220,0),0),0)</f>
        <v>0</v>
      </c>
      <c r="AR220" s="5">
        <f>IF($D$214="Producción",IF($D220&gt;=LI_C,IF($D220&lt;LS_C,$Q220,0),0),0)</f>
        <v>0</v>
      </c>
      <c r="AS220" s="5">
        <f>IF($D$214="Producción",IF($D220&lt;LS_D,$Q220,0),0)</f>
        <v>0</v>
      </c>
      <c r="AT220" s="5">
        <f>IF($D$214="Crecimiento",IF($D220&gt;0,$Q220,0),0)</f>
        <v>0</v>
      </c>
      <c r="AW220" s="5">
        <f>IF($E$214="Producción",IF($E220&gt;=LI_A,$R220,0),0)</f>
        <v>0</v>
      </c>
      <c r="AX220" s="5">
        <f>IF($E$214="Producción",IF($E220&gt;=LI_B,IF($E220&lt;LS_B,$R220,0),0),0)</f>
        <v>0</v>
      </c>
      <c r="AY220" s="5">
        <f>IF($E$214="Producción",IF($E220&gt;=LI_C,IF($E220&lt;LS_C,$R220,0),0),0)</f>
        <v>0</v>
      </c>
      <c r="AZ220" s="5">
        <f>IF($E$214="Producción",IF($E220&lt;LS_D,$R220,0),0)</f>
        <v>0</v>
      </c>
      <c r="BA220" s="5">
        <f>IF($E$214="Crecimiento",$R220,0)</f>
        <v>0</v>
      </c>
      <c r="BD220" s="5">
        <f>IF($F$214="Producción",IF($F220&gt;=LI_A,$S220,0),0)</f>
        <v>0</v>
      </c>
      <c r="BE220" s="5">
        <f>IF($F$214="Producción",IF($F220&gt;=LI_B,IF($F220&lt;LS_B,$S220,0),0),0)</f>
        <v>0</v>
      </c>
      <c r="BF220" s="5">
        <f>IF($F$214="Producción",IF($F220&gt;=LI_C,IF($F220&lt;LS_C,$S220,0),0),0)</f>
        <v>0</v>
      </c>
      <c r="BG220" s="5">
        <f>IF($F$214="Producción",IF($F220&lt;LS_D,$S220,0),0)</f>
        <v>0</v>
      </c>
      <c r="BH220" s="5">
        <f>IF($F$214="Crecimiento",$S220,0)</f>
        <v>0</v>
      </c>
      <c r="BK220" s="5">
        <f>IF($G$214="Producción",IF($G220&gt;=LI_A,$T220,0),0)</f>
        <v>0</v>
      </c>
      <c r="BL220" s="5">
        <f>IF($G$214="Producción",IF($G220&gt;=LI_B,IF($G220&lt;LS_B,$T220,0),0),0)</f>
        <v>0</v>
      </c>
      <c r="BM220" s="5">
        <f>IF($G$214="Producción",IF($G220&gt;=LI_C,IF($G220&lt;LS_C,$T220,0),0),0)</f>
        <v>0</v>
      </c>
      <c r="BN220" s="5">
        <f>IF($G$214="Producción",IF($G220&lt;LS_D,$T220,0),0)</f>
        <v>0</v>
      </c>
      <c r="BO220" s="5">
        <f>IF($G$214="Crecimiento",$T220,0)</f>
        <v>0</v>
      </c>
      <c r="BR220" s="5">
        <f>IF($H$214="Producción",IF($H220&gt;=LI_A,$U220,0),0)</f>
        <v>0</v>
      </c>
      <c r="BS220" s="5">
        <f>IF($H$214="Producción",IF($H220&gt;=LI_B,IF($H220&lt;LS_B,$U220,0),0),0)</f>
        <v>0</v>
      </c>
      <c r="BT220" s="5">
        <f>IF($H$214="Producción",IF($H220&gt;=LI_C,IF($H220&lt;LS_C,$U220,0),0),0)</f>
        <v>0</v>
      </c>
      <c r="BU220" s="5">
        <f>IF($H$214="Producción",IF($H220&lt;LS_D,$U220,0),0)</f>
        <v>0</v>
      </c>
      <c r="BV220" s="5">
        <f>IF($H$214="Crecimiento",$T220,0)</f>
        <v>0</v>
      </c>
      <c r="BY220" s="5">
        <f>IF($I$214="Producción",IF($I220&gt;=LI_A,$V220,0),0)</f>
        <v>0</v>
      </c>
      <c r="BZ220" s="5">
        <f>IF($I$214="Producción",IF($I220&gt;=LI_B,IF($I220&lt;LS_B,$V220,0),0),0)</f>
        <v>0</v>
      </c>
      <c r="CA220" s="5">
        <f>IF($I$214="Producción",IF($I220&gt;=LI_C,IF($I220&lt;LS_C,$V220,0),0),0)</f>
        <v>0</v>
      </c>
      <c r="CB220" s="5">
        <f>IF($I$214="Producción",IF($I220&lt;LS_D,$V220,0),0)</f>
        <v>0</v>
      </c>
      <c r="CC220" s="5">
        <f>IF($I$214="Crecimiento",$V220,0)</f>
        <v>0</v>
      </c>
      <c r="CF220" s="5">
        <f>IF($J$214="Producción",IF($J220&gt;=LI_A,$W220,0),0)</f>
        <v>0</v>
      </c>
      <c r="CG220" s="5">
        <f>IF($J$214="Producción",IF($J220&gt;=LI_B,IF($J220&lt;LS_B,$W220,0),0),0)</f>
        <v>0</v>
      </c>
      <c r="CH220" s="5">
        <f>IF($J$214="Producción",IF($J220&gt;=LI_C,IF($J220&lt;LS_C,$W220,0),0),0)</f>
        <v>0</v>
      </c>
      <c r="CI220" s="5">
        <f>IF($J$214="Producción",IF($J220&lt;LS_D,$W220,0),0)</f>
        <v>0</v>
      </c>
      <c r="CJ220" s="5">
        <f>IF($J$214="Crecimiento",$W220,0)</f>
        <v>0</v>
      </c>
      <c r="CM220" s="5">
        <f>IF($K$214="Producción",IF($K220&gt;=LI_A,$X220,0),0)</f>
        <v>0</v>
      </c>
      <c r="CN220" s="5">
        <f>IF($K$214="Producción",IF($K220&gt;=LI_B,IF($K220&lt;LS_B,$X220,0),0),0)</f>
        <v>0</v>
      </c>
      <c r="CO220" s="5">
        <f>IF($K$214="Producción",IF($K220&gt;=LI_C,IF($K220&lt;LS_C,$X220,0),0),0)</f>
        <v>0</v>
      </c>
      <c r="CP220" s="5">
        <f>IF($K$214="Producción",IF($K220&lt;LS_D,$X220,0),0)</f>
        <v>0</v>
      </c>
      <c r="CQ220" s="5">
        <f>IF($K$214="Crecimiento",$X220,0)</f>
        <v>0</v>
      </c>
      <c r="CT220" s="5">
        <f>IF($L$214="Producción",IF($L220&gt;=LI_A,$Y220,0),0)</f>
        <v>0</v>
      </c>
      <c r="CU220" s="5">
        <f>IF($L$214="Producción",IF($L220&gt;=LI_B,IF($L220&lt;LS_B,$Y220,0),0),0)</f>
        <v>0</v>
      </c>
      <c r="CV220" s="5">
        <f>IF($L$214="Producción",IF($L220&gt;=LI_C,IF($L220&lt;LS_C,$Y220,0),0),0)</f>
        <v>0</v>
      </c>
      <c r="CW220" s="5">
        <f>IF($L$214="Producción",IF($L220&lt;LS_D,$Y220,0),0)</f>
        <v>0</v>
      </c>
      <c r="CX220" s="5">
        <f>IF($L$214="Crecimiento",$Y220,0)</f>
        <v>0</v>
      </c>
      <c r="DA220" s="5">
        <f>IF($M$214="Producción",IF($M220&gt;=LI_A,$Z220,0),0)</f>
        <v>0</v>
      </c>
      <c r="DB220" s="5">
        <f>IF($M$214="Producción",IF($M220&gt;=LI_B,IF($M220&lt;LS_B,$Z220,0),0),0)</f>
        <v>0</v>
      </c>
      <c r="DC220" s="5">
        <f>IF($M$214="Producción",IF($M220&gt;=LI_C,IF($M220&lt;LS_C,$Z220,0),0),0)</f>
        <v>0</v>
      </c>
      <c r="DD220" s="5">
        <f>IF($M$214="Producción",IF($M220&lt;LS_D,$Z220,0),0)</f>
        <v>0</v>
      </c>
      <c r="DE220" s="5">
        <f>IF($M$214="Crecimiento",$Z220,0)</f>
        <v>0</v>
      </c>
      <c r="DI220" s="5">
        <f t="shared" si="1617"/>
        <v>0</v>
      </c>
      <c r="DJ220" s="5">
        <f t="shared" si="1618"/>
        <v>0</v>
      </c>
      <c r="DK220" s="5">
        <f t="shared" si="1619"/>
        <v>0</v>
      </c>
      <c r="DL220" s="5">
        <f t="shared" si="1620"/>
        <v>0</v>
      </c>
      <c r="DM220" s="5">
        <f t="shared" si="1621"/>
        <v>0</v>
      </c>
      <c r="DN220" s="5">
        <f t="shared" si="1622"/>
        <v>0</v>
      </c>
      <c r="DO220" s="5">
        <f t="shared" si="1623"/>
        <v>0</v>
      </c>
      <c r="DP220" s="5">
        <f t="shared" si="1624"/>
        <v>0</v>
      </c>
      <c r="DQ220" s="5">
        <f t="shared" si="1625"/>
        <v>0</v>
      </c>
      <c r="DR220" s="5">
        <f t="shared" si="1626"/>
        <v>0</v>
      </c>
      <c r="DS220" s="5">
        <f t="shared" si="1627"/>
        <v>0</v>
      </c>
      <c r="DT220" s="5">
        <f t="shared" si="1628"/>
        <v>0</v>
      </c>
      <c r="DU220" s="5">
        <f t="shared" si="1629"/>
        <v>0</v>
      </c>
      <c r="DV220" s="5">
        <f t="shared" si="1630"/>
        <v>0</v>
      </c>
      <c r="DW220" s="5">
        <f t="shared" si="1631"/>
        <v>0</v>
      </c>
      <c r="DX220" s="5">
        <f t="shared" si="1632"/>
        <v>0</v>
      </c>
      <c r="DY220" s="5">
        <f t="shared" si="1633"/>
        <v>0</v>
      </c>
      <c r="DZ220" s="5">
        <f t="shared" si="1634"/>
        <v>0</v>
      </c>
      <c r="EA220" s="5">
        <f t="shared" si="1635"/>
        <v>0</v>
      </c>
      <c r="EB220" s="5">
        <f t="shared" si="1636"/>
        <v>0</v>
      </c>
      <c r="EC220" s="5">
        <f t="shared" si="1637"/>
        <v>0</v>
      </c>
      <c r="ED220" s="5">
        <f t="shared" si="1638"/>
        <v>0</v>
      </c>
      <c r="EE220" s="5">
        <f t="shared" si="1639"/>
        <v>0</v>
      </c>
      <c r="EF220" s="5">
        <f t="shared" si="1640"/>
        <v>0</v>
      </c>
      <c r="EG220" s="5">
        <f t="shared" si="1641"/>
        <v>0</v>
      </c>
      <c r="EH220" s="5">
        <f t="shared" si="1642"/>
        <v>0</v>
      </c>
      <c r="EI220" s="5">
        <f t="shared" si="1643"/>
        <v>0</v>
      </c>
      <c r="EJ220" s="5">
        <f t="shared" si="1644"/>
        <v>0</v>
      </c>
      <c r="EK220" s="5">
        <f t="shared" si="1645"/>
        <v>0</v>
      </c>
      <c r="EL220" s="5">
        <f t="shared" si="1646"/>
        <v>0</v>
      </c>
      <c r="EM220" s="5">
        <f t="shared" si="1647"/>
        <v>0</v>
      </c>
      <c r="EN220" s="5">
        <f t="shared" si="1648"/>
        <v>0</v>
      </c>
      <c r="EO220" s="5">
        <f t="shared" si="1649"/>
        <v>0</v>
      </c>
      <c r="EP220" s="5">
        <f t="shared" si="1650"/>
        <v>0</v>
      </c>
      <c r="EQ220" s="5">
        <f t="shared" si="1651"/>
        <v>0</v>
      </c>
      <c r="ER220" s="5">
        <f t="shared" si="1652"/>
        <v>0</v>
      </c>
      <c r="ES220" s="5">
        <f t="shared" si="1653"/>
        <v>0</v>
      </c>
      <c r="ET220" s="5">
        <f t="shared" si="1654"/>
        <v>0</v>
      </c>
      <c r="EU220" s="5">
        <f t="shared" si="1655"/>
        <v>0</v>
      </c>
      <c r="EV220" s="5">
        <f t="shared" si="1656"/>
        <v>0</v>
      </c>
      <c r="EW220" s="5">
        <f t="shared" si="1657"/>
        <v>0</v>
      </c>
      <c r="EX220" s="5">
        <f t="shared" si="1658"/>
        <v>0</v>
      </c>
      <c r="EY220" s="5">
        <f t="shared" si="1659"/>
        <v>0</v>
      </c>
      <c r="EZ220" s="5">
        <f t="shared" si="1660"/>
        <v>0</v>
      </c>
      <c r="FA220" s="5">
        <f t="shared" si="1661"/>
        <v>0</v>
      </c>
      <c r="FB220" s="5">
        <f t="shared" si="1662"/>
        <v>0</v>
      </c>
      <c r="FC220" s="5">
        <f t="shared" si="1663"/>
        <v>0</v>
      </c>
      <c r="FD220" s="5">
        <f t="shared" si="1664"/>
        <v>0</v>
      </c>
      <c r="FE220" s="5">
        <f t="shared" si="1665"/>
        <v>0</v>
      </c>
      <c r="FF220" s="5">
        <f t="shared" si="1666"/>
        <v>0</v>
      </c>
      <c r="FG220" s="5">
        <f t="shared" si="1667"/>
        <v>0</v>
      </c>
      <c r="FH220" s="5">
        <f t="shared" si="1668"/>
        <v>0</v>
      </c>
      <c r="FI220" s="5">
        <f t="shared" si="1669"/>
        <v>0</v>
      </c>
      <c r="FJ220" s="5">
        <f t="shared" si="1670"/>
        <v>0</v>
      </c>
      <c r="FK220" s="5">
        <f t="shared" si="1671"/>
        <v>0</v>
      </c>
      <c r="FL220" s="5">
        <f t="shared" si="1672"/>
        <v>0</v>
      </c>
      <c r="FM220" s="5">
        <f t="shared" si="1673"/>
        <v>0</v>
      </c>
      <c r="FN220" s="5">
        <f t="shared" si="1674"/>
        <v>0</v>
      </c>
      <c r="FO220" s="5">
        <f t="shared" si="1675"/>
        <v>0</v>
      </c>
      <c r="FP220" s="5">
        <f t="shared" si="1676"/>
        <v>0</v>
      </c>
    </row>
    <row r="221" spans="1:172" ht="20.100000000000001" customHeight="1" x14ac:dyDescent="0.3">
      <c r="A221" s="9" t="str">
        <f>IF(Ciclo=5,"Surco 5","NA")</f>
        <v>NA</v>
      </c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O221" s="58">
        <f>IF($A221="NA",0,IFERROR('6'!O$111/Ciclo,0))</f>
        <v>0</v>
      </c>
      <c r="P221" s="58">
        <f>IF($A221="NA",0,IFERROR('6'!P$111/Ciclo,0))</f>
        <v>0</v>
      </c>
      <c r="Q221" s="58">
        <f>IF($A221="NA",0,IFERROR('6'!Q$111/Ciclo,0))</f>
        <v>0</v>
      </c>
      <c r="R221" s="58">
        <f>IF($A221="NA",0,IFERROR('6'!R$111/Ciclo,0))</f>
        <v>0</v>
      </c>
      <c r="S221" s="58">
        <f>IF($A221="NA",0,IFERROR('6'!S$111/Ciclo,0))</f>
        <v>0</v>
      </c>
      <c r="T221" s="58">
        <f>IF($A221="NA",0,IFERROR('6'!T$111/Ciclo,0))</f>
        <v>0</v>
      </c>
      <c r="U221" s="58">
        <f>IF($A221="NA",0,IFERROR('6'!U$111/Ciclo,0))</f>
        <v>0</v>
      </c>
      <c r="V221" s="58">
        <f>IF($A221="NA",0,IFERROR('6'!V$111/Ciclo,0))</f>
        <v>0</v>
      </c>
      <c r="W221" s="5">
        <f>IF($A221="NA",0,IFERROR('6'!W$111/Ciclo,0))</f>
        <v>0</v>
      </c>
      <c r="X221" s="5">
        <f>IF($A221="NA",0,IFERROR('6'!X$111/Ciclo,0))</f>
        <v>0</v>
      </c>
      <c r="Y221" s="5">
        <f>IF($A221="NA",0,IFERROR('6'!Y$111/Ciclo,0))</f>
        <v>0</v>
      </c>
      <c r="Z221" s="5">
        <f>IF($A221="NA",0,IFERROR('6'!Z$111/Ciclo,0))</f>
        <v>0</v>
      </c>
      <c r="AB221" s="5">
        <f>IF($B$214="Producción",IF($B221&gt;=LI_A,$O221,0),0)</f>
        <v>0</v>
      </c>
      <c r="AC221" s="5">
        <f>IF($B$214="Producción",IF($B221&gt;=LI_B,IF($B221&lt;LS_B,$O221,0),0),0)</f>
        <v>0</v>
      </c>
      <c r="AD221" s="5">
        <f>IF($B$214="Producción",IF($B221&gt;=LI_C,IF($B221&lt;LS_C,$O221,0),0),0)</f>
        <v>0</v>
      </c>
      <c r="AE221" s="5">
        <f>IF($B$214="Producción",IF($B221&lt;LS_D,$O221,0),0)</f>
        <v>0</v>
      </c>
      <c r="AF221" s="5">
        <f t="shared" si="1677"/>
        <v>0</v>
      </c>
      <c r="AI221" s="5">
        <f>IF($C$214="Producción",IF($C221&gt;=LI_A,$P221,0),0)</f>
        <v>0</v>
      </c>
      <c r="AJ221" s="5">
        <f>IF($C$214="Producción",IF($C221&gt;=LI_B,IF($C221&lt;LS_B,$P221,0),0),0)</f>
        <v>0</v>
      </c>
      <c r="AK221" s="5">
        <f>IF($C$214="Producción",IF($C221&gt;=LI_C,IF($C221&lt;LS_C,$P221,0),0),0)</f>
        <v>0</v>
      </c>
      <c r="AL221" s="5">
        <f>IF($C$214="Producción",IF($C221&lt;LS_D,$P221,0),0)</f>
        <v>0</v>
      </c>
      <c r="AM221" s="5">
        <f>IF($C$214="Crecimiento",$P221,0)</f>
        <v>0</v>
      </c>
      <c r="AP221" s="5">
        <f>IF($D$214="Producción",IF($D221&gt;=LI_A,$Q221,0),0)</f>
        <v>0</v>
      </c>
      <c r="AQ221" s="5">
        <f>IF($D$214="Producción",IF($D221&gt;=LI_B,IF($D221&lt;LS_B,$Q221,0),0),0)</f>
        <v>0</v>
      </c>
      <c r="AR221" s="5">
        <f>IF($D$214="Producción",IF($D221&gt;=LI_C,IF($D221&lt;LS_C,$Q221,0),0),0)</f>
        <v>0</v>
      </c>
      <c r="AS221" s="5">
        <f>IF($D$214="Producción",IF($D221&lt;LS_D,$Q221,0),0)</f>
        <v>0</v>
      </c>
      <c r="AT221" s="5">
        <f>IF($D$214="Crecimiento",IF($D221&gt;0,$Q221,0),0)</f>
        <v>0</v>
      </c>
      <c r="AW221" s="5">
        <f>IF($E$214="Producción",IF($E221&gt;=LI_A,$R221,0),0)</f>
        <v>0</v>
      </c>
      <c r="AX221" s="5">
        <f>IF($E$214="Producción",IF($E221&gt;=LI_B,IF($E221&lt;LS_B,$R221,0),0),0)</f>
        <v>0</v>
      </c>
      <c r="AY221" s="5">
        <f>IF($E$214="Producción",IF($E221&gt;=LI_C,IF($E221&lt;LS_C,$R221,0),0),0)</f>
        <v>0</v>
      </c>
      <c r="AZ221" s="5">
        <f>IF($E$214="Producción",IF($E221&lt;LS_D,$R221,0),0)</f>
        <v>0</v>
      </c>
      <c r="BA221" s="5">
        <f>IF($E$214="Crecimiento",$R221,0)</f>
        <v>0</v>
      </c>
      <c r="BD221" s="5">
        <f>IF($F$214="Producción",IF($F221&gt;=LI_A,$S221,0),0)</f>
        <v>0</v>
      </c>
      <c r="BE221" s="5">
        <f>IF($F$214="Producción",IF($F221&gt;=LI_B,IF($F221&lt;LS_B,$S221,0),0),0)</f>
        <v>0</v>
      </c>
      <c r="BF221" s="5">
        <f>IF($F$214="Producción",IF($F221&gt;=LI_C,IF($F221&lt;LS_C,$S221,0),0),0)</f>
        <v>0</v>
      </c>
      <c r="BG221" s="5">
        <f>IF($F$214="Producción",IF($F221&lt;LS_D,$S221,0),0)</f>
        <v>0</v>
      </c>
      <c r="BH221" s="5">
        <f>IF($F$214="Crecimiento",$S221,0)</f>
        <v>0</v>
      </c>
      <c r="BK221" s="5">
        <f>IF($G$214="Producción",IF($G221&gt;=LI_A,$T221,0),0)</f>
        <v>0</v>
      </c>
      <c r="BL221" s="5">
        <f>IF($G$214="Producción",IF($G221&gt;=LI_B,IF($G221&lt;LS_B,$T221,0),0),0)</f>
        <v>0</v>
      </c>
      <c r="BM221" s="5">
        <f>IF($G$214="Producción",IF($G221&gt;=LI_C,IF($G221&lt;LS_C,$T221,0),0),0)</f>
        <v>0</v>
      </c>
      <c r="BN221" s="5">
        <f>IF($G$214="Producción",IF($G221&lt;LS_D,$T221,0),0)</f>
        <v>0</v>
      </c>
      <c r="BO221" s="5">
        <f>IF($G$214="Crecimiento",$T221,0)</f>
        <v>0</v>
      </c>
      <c r="BR221" s="5">
        <f>IF($H$214="Producción",IF($H221&gt;=LI_A,$U221,0),0)</f>
        <v>0</v>
      </c>
      <c r="BS221" s="5">
        <f>IF($H$214="Producción",IF($H221&gt;=LI_B,IF($H221&lt;LS_B,$U221,0),0),0)</f>
        <v>0</v>
      </c>
      <c r="BT221" s="5">
        <f>IF($H$214="Producción",IF($H221&gt;=LI_C,IF($H221&lt;LS_C,$U221,0),0),0)</f>
        <v>0</v>
      </c>
      <c r="BU221" s="5">
        <f>IF($H$214="Producción",IF($H221&lt;LS_D,$U221,0),0)</f>
        <v>0</v>
      </c>
      <c r="BV221" s="5">
        <f>IF($H$214="Crecimiento",$T221,0)</f>
        <v>0</v>
      </c>
      <c r="BY221" s="5">
        <f>IF($I$214="Producción",IF($I221&gt;=LI_A,$V221,0),0)</f>
        <v>0</v>
      </c>
      <c r="BZ221" s="5">
        <f>IF($I$214="Producción",IF($I221&gt;=LI_B,IF($I221&lt;LS_B,$V221,0),0),0)</f>
        <v>0</v>
      </c>
      <c r="CA221" s="5">
        <f>IF($I$214="Producción",IF($I221&gt;=LI_C,IF($I221&lt;LS_C,$V221,0),0),0)</f>
        <v>0</v>
      </c>
      <c r="CB221" s="5">
        <f>IF($I$214="Producción",IF($I221&lt;LS_D,$V221,0),0)</f>
        <v>0</v>
      </c>
      <c r="CC221" s="5">
        <f>IF($I$214="Crecimiento",$V221,0)</f>
        <v>0</v>
      </c>
      <c r="CF221" s="5">
        <f>IF($J$214="Producción",IF($J221&gt;=LI_A,$W221,0),0)</f>
        <v>0</v>
      </c>
      <c r="CG221" s="5">
        <f>IF($J$214="Producción",IF($J221&gt;=LI_B,IF($J221&lt;LS_B,$W221,0),0),0)</f>
        <v>0</v>
      </c>
      <c r="CH221" s="5">
        <f>IF($J$214="Producción",IF($J221&gt;=LI_C,IF($J221&lt;LS_C,$W221,0),0),0)</f>
        <v>0</v>
      </c>
      <c r="CI221" s="5">
        <f>IF($J$214="Producción",IF($J221&lt;LS_D,$W221,0),0)</f>
        <v>0</v>
      </c>
      <c r="CJ221" s="5">
        <f>IF($J$214="Crecimiento",$W221,0)</f>
        <v>0</v>
      </c>
      <c r="CM221" s="5">
        <f>IF($K$214="Producción",IF($K221&gt;=LI_A,$X221,0),0)</f>
        <v>0</v>
      </c>
      <c r="CN221" s="5">
        <f>IF($K$214="Producción",IF($K221&gt;=LI_B,IF($K221&lt;LS_B,$X221,0),0),0)</f>
        <v>0</v>
      </c>
      <c r="CO221" s="5">
        <f>IF($K$214="Producción",IF($K221&gt;=LI_C,IF($K221&lt;LS_C,$X221,0),0),0)</f>
        <v>0</v>
      </c>
      <c r="CP221" s="5">
        <f>IF($K$214="Producción",IF($K221&lt;LS_D,$X221,0),0)</f>
        <v>0</v>
      </c>
      <c r="CQ221" s="5">
        <f>IF($K$214="Crecimiento",$X221,0)</f>
        <v>0</v>
      </c>
      <c r="CT221" s="5">
        <f>IF($L$214="Producción",IF($L221&gt;=LI_A,$Y221,0),0)</f>
        <v>0</v>
      </c>
      <c r="CU221" s="5">
        <f>IF($L$214="Producción",IF($L221&gt;=LI_B,IF($L221&lt;LS_B,$Y221,0),0),0)</f>
        <v>0</v>
      </c>
      <c r="CV221" s="5">
        <f>IF($L$214="Producción",IF($L221&gt;=LI_C,IF($L221&lt;LS_C,$Y221,0),0),0)</f>
        <v>0</v>
      </c>
      <c r="CW221" s="5">
        <f>IF($L$214="Producción",IF($L221&lt;LS_D,$Y221,0),0)</f>
        <v>0</v>
      </c>
      <c r="CX221" s="5">
        <f>IF($L$214="Crecimiento",$Y221,0)</f>
        <v>0</v>
      </c>
      <c r="DA221" s="5">
        <f>IF($M$214="Producción",IF($M221&gt;=LI_A,$Z221,0),0)</f>
        <v>0</v>
      </c>
      <c r="DB221" s="5">
        <f>IF($M$214="Producción",IF($M221&gt;=LI_B,IF($M221&lt;LS_B,$Z221,0),0),0)</f>
        <v>0</v>
      </c>
      <c r="DC221" s="5">
        <f>IF($M$214="Producción",IF($M221&gt;=LI_C,IF($M221&lt;LS_C,$Z221,0),0),0)</f>
        <v>0</v>
      </c>
      <c r="DD221" s="5">
        <f>IF($M$214="Producción",IF($M221&lt;LS_D,$Z221,0),0)</f>
        <v>0</v>
      </c>
      <c r="DE221" s="5">
        <f>IF($M$214="Crecimiento",$Z221,0)</f>
        <v>0</v>
      </c>
      <c r="DI221" s="5">
        <f t="shared" si="1617"/>
        <v>0</v>
      </c>
      <c r="DJ221" s="5">
        <f t="shared" si="1618"/>
        <v>0</v>
      </c>
      <c r="DK221" s="5">
        <f t="shared" si="1619"/>
        <v>0</v>
      </c>
      <c r="DL221" s="5">
        <f t="shared" si="1620"/>
        <v>0</v>
      </c>
      <c r="DM221" s="5">
        <f t="shared" si="1621"/>
        <v>0</v>
      </c>
      <c r="DN221" s="5">
        <f t="shared" si="1622"/>
        <v>0</v>
      </c>
      <c r="DO221" s="5">
        <f t="shared" si="1623"/>
        <v>0</v>
      </c>
      <c r="DP221" s="5">
        <f t="shared" si="1624"/>
        <v>0</v>
      </c>
      <c r="DQ221" s="5">
        <f t="shared" si="1625"/>
        <v>0</v>
      </c>
      <c r="DR221" s="5">
        <f t="shared" si="1626"/>
        <v>0</v>
      </c>
      <c r="DS221" s="5">
        <f t="shared" si="1627"/>
        <v>0</v>
      </c>
      <c r="DT221" s="5">
        <f t="shared" si="1628"/>
        <v>0</v>
      </c>
      <c r="DU221" s="5">
        <f t="shared" si="1629"/>
        <v>0</v>
      </c>
      <c r="DV221" s="5">
        <f t="shared" si="1630"/>
        <v>0</v>
      </c>
      <c r="DW221" s="5">
        <f t="shared" si="1631"/>
        <v>0</v>
      </c>
      <c r="DX221" s="5">
        <f t="shared" si="1632"/>
        <v>0</v>
      </c>
      <c r="DY221" s="5">
        <f t="shared" si="1633"/>
        <v>0</v>
      </c>
      <c r="DZ221" s="5">
        <f t="shared" si="1634"/>
        <v>0</v>
      </c>
      <c r="EA221" s="5">
        <f t="shared" si="1635"/>
        <v>0</v>
      </c>
      <c r="EB221" s="5">
        <f t="shared" si="1636"/>
        <v>0</v>
      </c>
      <c r="EC221" s="5">
        <f t="shared" si="1637"/>
        <v>0</v>
      </c>
      <c r="ED221" s="5">
        <f t="shared" si="1638"/>
        <v>0</v>
      </c>
      <c r="EE221" s="5">
        <f t="shared" si="1639"/>
        <v>0</v>
      </c>
      <c r="EF221" s="5">
        <f t="shared" si="1640"/>
        <v>0</v>
      </c>
      <c r="EG221" s="5">
        <f t="shared" si="1641"/>
        <v>0</v>
      </c>
      <c r="EH221" s="5">
        <f t="shared" si="1642"/>
        <v>0</v>
      </c>
      <c r="EI221" s="5">
        <f t="shared" si="1643"/>
        <v>0</v>
      </c>
      <c r="EJ221" s="5">
        <f t="shared" si="1644"/>
        <v>0</v>
      </c>
      <c r="EK221" s="5">
        <f t="shared" si="1645"/>
        <v>0</v>
      </c>
      <c r="EL221" s="5">
        <f t="shared" si="1646"/>
        <v>0</v>
      </c>
      <c r="EM221" s="5">
        <f t="shared" si="1647"/>
        <v>0</v>
      </c>
      <c r="EN221" s="5">
        <f t="shared" si="1648"/>
        <v>0</v>
      </c>
      <c r="EO221" s="5">
        <f t="shared" si="1649"/>
        <v>0</v>
      </c>
      <c r="EP221" s="5">
        <f t="shared" si="1650"/>
        <v>0</v>
      </c>
      <c r="EQ221" s="5">
        <f t="shared" si="1651"/>
        <v>0</v>
      </c>
      <c r="ER221" s="5">
        <f t="shared" si="1652"/>
        <v>0</v>
      </c>
      <c r="ES221" s="5">
        <f t="shared" si="1653"/>
        <v>0</v>
      </c>
      <c r="ET221" s="5">
        <f t="shared" si="1654"/>
        <v>0</v>
      </c>
      <c r="EU221" s="5">
        <f t="shared" si="1655"/>
        <v>0</v>
      </c>
      <c r="EV221" s="5">
        <f t="shared" si="1656"/>
        <v>0</v>
      </c>
      <c r="EW221" s="5">
        <f t="shared" si="1657"/>
        <v>0</v>
      </c>
      <c r="EX221" s="5">
        <f t="shared" si="1658"/>
        <v>0</v>
      </c>
      <c r="EY221" s="5">
        <f t="shared" si="1659"/>
        <v>0</v>
      </c>
      <c r="EZ221" s="5">
        <f t="shared" si="1660"/>
        <v>0</v>
      </c>
      <c r="FA221" s="5">
        <f t="shared" si="1661"/>
        <v>0</v>
      </c>
      <c r="FB221" s="5">
        <f t="shared" si="1662"/>
        <v>0</v>
      </c>
      <c r="FC221" s="5">
        <f t="shared" si="1663"/>
        <v>0</v>
      </c>
      <c r="FD221" s="5">
        <f t="shared" si="1664"/>
        <v>0</v>
      </c>
      <c r="FE221" s="5">
        <f t="shared" si="1665"/>
        <v>0</v>
      </c>
      <c r="FF221" s="5">
        <f t="shared" si="1666"/>
        <v>0</v>
      </c>
      <c r="FG221" s="5">
        <f t="shared" si="1667"/>
        <v>0</v>
      </c>
      <c r="FH221" s="5">
        <f t="shared" si="1668"/>
        <v>0</v>
      </c>
      <c r="FI221" s="5">
        <f t="shared" si="1669"/>
        <v>0</v>
      </c>
      <c r="FJ221" s="5">
        <f t="shared" si="1670"/>
        <v>0</v>
      </c>
      <c r="FK221" s="5">
        <f t="shared" si="1671"/>
        <v>0</v>
      </c>
      <c r="FL221" s="5">
        <f t="shared" si="1672"/>
        <v>0</v>
      </c>
      <c r="FM221" s="5">
        <f t="shared" si="1673"/>
        <v>0</v>
      </c>
      <c r="FN221" s="5">
        <f t="shared" si="1674"/>
        <v>0</v>
      </c>
      <c r="FO221" s="5">
        <f t="shared" si="1675"/>
        <v>0</v>
      </c>
      <c r="FP221" s="5">
        <f t="shared" si="1676"/>
        <v>0</v>
      </c>
    </row>
    <row r="222" spans="1:172" ht="20.100000000000001" customHeight="1" x14ac:dyDescent="0.3">
      <c r="A222" s="172">
        <f>N_L28</f>
        <v>0</v>
      </c>
      <c r="B222" s="363" t="s">
        <v>37</v>
      </c>
      <c r="C222" s="363" t="s">
        <v>37</v>
      </c>
      <c r="D222" s="363" t="s">
        <v>37</v>
      </c>
      <c r="E222" s="363" t="s">
        <v>37</v>
      </c>
      <c r="F222" s="363" t="s">
        <v>37</v>
      </c>
      <c r="G222" s="363" t="s">
        <v>37</v>
      </c>
      <c r="H222" s="363" t="s">
        <v>37</v>
      </c>
      <c r="I222" s="363" t="s">
        <v>37</v>
      </c>
      <c r="J222" s="363" t="s">
        <v>37</v>
      </c>
      <c r="K222" s="363" t="s">
        <v>37</v>
      </c>
      <c r="L222" s="363" t="s">
        <v>37</v>
      </c>
      <c r="M222" s="363" t="s">
        <v>37</v>
      </c>
    </row>
    <row r="223" spans="1:172" ht="20.100000000000001" customHeight="1" x14ac:dyDescent="0.3">
      <c r="A223" s="175" t="s">
        <v>238</v>
      </c>
      <c r="B223" s="174">
        <f>SUM(DI225:DM229)/100</f>
        <v>0</v>
      </c>
      <c r="C223" s="174">
        <f>SUM(DN225:DR229)/100</f>
        <v>0</v>
      </c>
      <c r="D223" s="174">
        <f>SUM(DS225:DW229)/100</f>
        <v>0</v>
      </c>
      <c r="E223" s="174">
        <f>SUM(DX225:EB229)/100</f>
        <v>0</v>
      </c>
      <c r="F223" s="174">
        <f>SUM(EC225:EG229)/100</f>
        <v>0</v>
      </c>
      <c r="G223" s="174">
        <f>SUM(EH225:EL229)/100</f>
        <v>0</v>
      </c>
      <c r="H223" s="174">
        <f>SUM(EM225:EQ229)/100</f>
        <v>0</v>
      </c>
      <c r="I223" s="174">
        <f>SUM(ER225:EV229)/100</f>
        <v>0</v>
      </c>
      <c r="J223" s="174">
        <f>SUM(EW225:FA229)/100</f>
        <v>0</v>
      </c>
      <c r="K223" s="174">
        <f>SUM(FB225:FF229)/100</f>
        <v>0</v>
      </c>
      <c r="L223" s="174">
        <f>SUM(FG225:FK229)/100</f>
        <v>0</v>
      </c>
      <c r="M223" s="174">
        <f>SUM(FL225:FP229)/100</f>
        <v>0</v>
      </c>
    </row>
    <row r="224" spans="1:172" ht="20.100000000000001" customHeight="1" x14ac:dyDescent="0.3">
      <c r="A224" s="151" t="s">
        <v>239</v>
      </c>
      <c r="B224" s="152" t="e">
        <f t="shared" ref="B224:M224" si="1678">B223/Lote_28</f>
        <v>#DIV/0!</v>
      </c>
      <c r="C224" s="152" t="e">
        <f t="shared" si="1678"/>
        <v>#DIV/0!</v>
      </c>
      <c r="D224" s="152" t="e">
        <f t="shared" si="1678"/>
        <v>#DIV/0!</v>
      </c>
      <c r="E224" s="152" t="e">
        <f t="shared" si="1678"/>
        <v>#DIV/0!</v>
      </c>
      <c r="F224" s="152" t="e">
        <f t="shared" si="1678"/>
        <v>#DIV/0!</v>
      </c>
      <c r="G224" s="152" t="e">
        <f t="shared" si="1678"/>
        <v>#DIV/0!</v>
      </c>
      <c r="H224" s="152" t="e">
        <f t="shared" si="1678"/>
        <v>#DIV/0!</v>
      </c>
      <c r="I224" s="152" t="e">
        <f t="shared" si="1678"/>
        <v>#DIV/0!</v>
      </c>
      <c r="J224" s="152" t="e">
        <f t="shared" si="1678"/>
        <v>#DIV/0!</v>
      </c>
      <c r="K224" s="152" t="e">
        <f t="shared" si="1678"/>
        <v>#DIV/0!</v>
      </c>
      <c r="L224" s="152" t="e">
        <f t="shared" si="1678"/>
        <v>#DIV/0!</v>
      </c>
      <c r="M224" s="152" t="e">
        <f t="shared" si="1678"/>
        <v>#DIV/0!</v>
      </c>
    </row>
    <row r="225" spans="1:172" ht="20.100000000000001" customHeight="1" x14ac:dyDescent="0.3">
      <c r="A225" s="8" t="s">
        <v>302</v>
      </c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O225" s="58">
        <f>IFERROR('6'!O$115/Ciclo,0)</f>
        <v>0</v>
      </c>
      <c r="P225" s="58">
        <f>IFERROR('6'!P$115/Ciclo,0)</f>
        <v>0</v>
      </c>
      <c r="Q225" s="58">
        <f>IFERROR('6'!Q$115/Ciclo,0)</f>
        <v>0</v>
      </c>
      <c r="R225" s="58">
        <f>IFERROR('6'!R$115/Ciclo,0)</f>
        <v>0</v>
      </c>
      <c r="S225" s="58">
        <f>IFERROR('6'!S$115/Ciclo,0)</f>
        <v>0</v>
      </c>
      <c r="T225" s="58">
        <f>IFERROR('6'!T$115/Ciclo,0)</f>
        <v>0</v>
      </c>
      <c r="U225" s="58">
        <f>IFERROR('6'!U$115/Ciclo,0)</f>
        <v>0</v>
      </c>
      <c r="V225" s="58">
        <f>IFERROR('6'!V$115/Ciclo,0)</f>
        <v>0</v>
      </c>
      <c r="W225" s="5">
        <f>IFERROR('6'!W$115/Ciclo,0)</f>
        <v>0</v>
      </c>
      <c r="X225" s="5">
        <f>IFERROR('6'!X$115/Ciclo,0)</f>
        <v>0</v>
      </c>
      <c r="Y225" s="5">
        <f>IFERROR('6'!Y$115/Ciclo,0)</f>
        <v>0</v>
      </c>
      <c r="Z225" s="5">
        <f>IFERROR('6'!Z$115/Ciclo,0)</f>
        <v>0</v>
      </c>
      <c r="AB225" s="5">
        <f>IF($B$222="Producción",IF($B225&gt;=LI_A,$O225,0),0)</f>
        <v>0</v>
      </c>
      <c r="AC225" s="5">
        <f>IF($B$222="Producción",IF($B225&gt;=LI_B,IF($B225&lt;LS_B,$O225,0),0),0)</f>
        <v>0</v>
      </c>
      <c r="AD225" s="5">
        <f>IF($B$222="Producción",IF($B225&gt;=LI_C,IF($B225&lt;LS_C,$O225,0),0),0)</f>
        <v>0</v>
      </c>
      <c r="AE225" s="5">
        <f>IF($B$222="Producción",IF($B225&lt;LS_D,$O225,0),0)</f>
        <v>0</v>
      </c>
      <c r="AF225" s="5">
        <f>IF($B$222="Crecimiento",$O225,0)</f>
        <v>0</v>
      </c>
      <c r="AG225" s="5">
        <f>IF($B222="Siembra",'6'!$O$7,0)</f>
        <v>0</v>
      </c>
      <c r="AH225" s="5">
        <f>IF($B222="Abandono",'6'!$O$7,0)</f>
        <v>0</v>
      </c>
      <c r="AI225" s="5">
        <f>IF($C$222="Producción",IF($C225&gt;=LI_A,$P225,0),0)</f>
        <v>0</v>
      </c>
      <c r="AJ225" s="5">
        <f>IF($C$222="Producción",IF($C225&gt;=LI_B,IF($C225&lt;LS_B,$P225,0),0),0)</f>
        <v>0</v>
      </c>
      <c r="AK225" s="5">
        <f>IF($C$222="Producción",IF($C225&gt;=LI_C,IF($C225&lt;LS_C,$P225,0),0),0)</f>
        <v>0</v>
      </c>
      <c r="AL225" s="5">
        <f>IF($C$222="Producción",IF($C225&lt;LS_D,$P225,0),0)</f>
        <v>0</v>
      </c>
      <c r="AM225" s="5">
        <f>IF($C$222="Crecimiento",$P225,0)</f>
        <v>0</v>
      </c>
      <c r="AN225" s="5">
        <f>IF($C222="Siembra",'6'!$P$7,0)</f>
        <v>0</v>
      </c>
      <c r="AO225" s="5">
        <f>IF($C222="Abandono",'6'!$P$7,0)</f>
        <v>0</v>
      </c>
      <c r="AP225" s="5">
        <f>IF($D$222="Producción",IF($D225&gt;=LI_A,$Q225,0),0)</f>
        <v>0</v>
      </c>
      <c r="AQ225" s="5">
        <f>IF($D$222="Producción",IF($D225&gt;=LI_B,IF($D225&lt;LS_B,$Q225,0),0),0)</f>
        <v>0</v>
      </c>
      <c r="AR225" s="5">
        <f>IF($D$222="Producción",IF($D225&gt;=LI_C,IF($D225&lt;LS_C,$Q225,0),0),0)</f>
        <v>0</v>
      </c>
      <c r="AS225" s="5">
        <f>IF($D$222="Producción",IF($D225&lt;LS_D,$Q225,0),0)</f>
        <v>0</v>
      </c>
      <c r="AT225" s="5">
        <f>IF($D$222="Crecimiento",IF($D225&gt;0,$Q225,0),0)</f>
        <v>0</v>
      </c>
      <c r="AU225" s="5">
        <f>IF($D222="Siembra",'6'!$Q$7,0)</f>
        <v>0</v>
      </c>
      <c r="AV225" s="5">
        <f>IF($D222="Abandono",'6'!$Q$7,0)</f>
        <v>0</v>
      </c>
      <c r="AW225" s="5">
        <f>IF($E$222="Producción",IF($E225&gt;=LI_A,$R225,0),0)</f>
        <v>0</v>
      </c>
      <c r="AX225" s="5">
        <f>IF($E$222="Producción",IF($E225&gt;=LI_B,IF($E225&lt;LS_B,$R225,0),0),0)</f>
        <v>0</v>
      </c>
      <c r="AY225" s="5">
        <f>IF($E$222="Producción",IF($E225&gt;=LI_C,IF($E225&lt;LS_C,$R225,0),0),0)</f>
        <v>0</v>
      </c>
      <c r="AZ225" s="5">
        <f>IF($E$222="Producción",IF($E225&lt;LS_D,$R225,0),0)</f>
        <v>0</v>
      </c>
      <c r="BA225" s="5">
        <f>IF($E$222="Crecimiento",$R225,0)</f>
        <v>0</v>
      </c>
      <c r="BB225" s="5">
        <f>IF($E222="Siembra",'6'!$R$7,0)</f>
        <v>0</v>
      </c>
      <c r="BC225" s="5">
        <f>IF($E222="Abandono",'6'!$R$7,0)</f>
        <v>0</v>
      </c>
      <c r="BD225" s="5">
        <f>IF($F$222="Producción",IF($F225&gt;=LI_A,$S225,0),0)</f>
        <v>0</v>
      </c>
      <c r="BE225" s="5">
        <f>IF($F$222="Producción",IF($F225&gt;=LI_B,IF($F225&lt;LS_B,$S225,0),0),0)</f>
        <v>0</v>
      </c>
      <c r="BF225" s="5">
        <f>IF($F$222="Producción",IF($F225&gt;=LI_C,IF($F225&lt;LS_C,$S225,0),0),0)</f>
        <v>0</v>
      </c>
      <c r="BG225" s="5">
        <f>IF($F$222="Producción",IF($F225&lt;LS_D,$S225,0),0)</f>
        <v>0</v>
      </c>
      <c r="BH225" s="5">
        <f>IF($F$222="Crecimiento",$S225,0)</f>
        <v>0</v>
      </c>
      <c r="BI225" s="5">
        <f>IF($F222="Siembra",'6'!$S$7,0)</f>
        <v>0</v>
      </c>
      <c r="BJ225" s="5">
        <f>IF($F222="Abandono",'6'!$S$7,0)</f>
        <v>0</v>
      </c>
      <c r="BK225" s="5">
        <f>IF($G$222="Producción",IF($G225&gt;=LI_A,$T225,0),0)</f>
        <v>0</v>
      </c>
      <c r="BL225" s="5">
        <f>IF($G$222="Producción",IF($G225&gt;=LI_B,IF($G225&lt;LS_B,$T225,0),0),0)</f>
        <v>0</v>
      </c>
      <c r="BM225" s="5">
        <f>IF($G$222="Producción",IF($G225&gt;=LI_C,IF($G225&lt;LS_C,$T225,0),0),0)</f>
        <v>0</v>
      </c>
      <c r="BN225" s="5">
        <f>IF($G$222="Producción",IF($G225&lt;LS_D,$T225,0),0)</f>
        <v>0</v>
      </c>
      <c r="BO225" s="5">
        <f>IF($G$222="Crecimiento",$T225,0)</f>
        <v>0</v>
      </c>
      <c r="BP225" s="5">
        <f>IF($G222="Siembra",'6'!$T$7,0)</f>
        <v>0</v>
      </c>
      <c r="BQ225" s="5">
        <f>IF($G222="Abandono",'6'!$T$7,0)</f>
        <v>0</v>
      </c>
      <c r="BR225" s="5">
        <f>IF($H$222="Producción",IF($H225&gt;=LI_A,$U225,0),0)</f>
        <v>0</v>
      </c>
      <c r="BS225" s="5">
        <f>IF($H$222="Producción",IF($H225&gt;=LI_B,IF($H225&lt;LS_B,$U225,0),0),0)</f>
        <v>0</v>
      </c>
      <c r="BT225" s="5">
        <f>IF($H$222="Producción",IF($H225&gt;=LI_C,IF($H225&lt;LS_C,$U225,0),0),0)</f>
        <v>0</v>
      </c>
      <c r="BU225" s="5">
        <f>IF($H$222="Producción",IF($H225&lt;LS_D,$U225,0),0)</f>
        <v>0</v>
      </c>
      <c r="BV225" s="5">
        <f>IF($H$222="Crecimiento",$T225,0)</f>
        <v>0</v>
      </c>
      <c r="BW225" s="5">
        <f>IF($H222="Siembra",'6'!$U$7,0)</f>
        <v>0</v>
      </c>
      <c r="BX225" s="5">
        <f>IF($H222="Abandono",'6'!$U$7,0)</f>
        <v>0</v>
      </c>
      <c r="BY225" s="5">
        <f>IF($I$222="Producción",IF($I225&gt;=LI_A,$V225,0),0)</f>
        <v>0</v>
      </c>
      <c r="BZ225" s="5">
        <f>IF($I$222="Producción",IF($I225&gt;=LI_B,IF($I225&lt;LS_B,$V225,0),0),0)</f>
        <v>0</v>
      </c>
      <c r="CA225" s="5">
        <f>IF($I$222="Producción",IF($I225&gt;=LI_C,IF($I225&lt;LS_C,$V225,0),0),0)</f>
        <v>0</v>
      </c>
      <c r="CB225" s="5">
        <f>IF($I$222="Producción",IF($I225&lt;LS_D,$V225,0),0)</f>
        <v>0</v>
      </c>
      <c r="CC225" s="5">
        <f>IF($I$222="Crecimiento",$V225,0)</f>
        <v>0</v>
      </c>
      <c r="CD225" s="5">
        <f>IF($I222="Siembra",'6'!$V$7,0)</f>
        <v>0</v>
      </c>
      <c r="CE225" s="5">
        <f>IF($I222="Abandono",'6'!$V$7,0)</f>
        <v>0</v>
      </c>
      <c r="CF225" s="5">
        <f>IF($J$222="Producción",IF($J225&gt;=LI_A,$W225,0),0)</f>
        <v>0</v>
      </c>
      <c r="CG225" s="5">
        <f>IF($J$222="Producción",IF($J225&gt;=LI_B,IF($J225&lt;LS_B,$W225,0),0),0)</f>
        <v>0</v>
      </c>
      <c r="CH225" s="5">
        <f>IF($J$222="Producción",IF($J225&gt;=LI_C,IF($J225&lt;LS_C,$W225,0),0),0)</f>
        <v>0</v>
      </c>
      <c r="CI225" s="5">
        <f>IF($J$222="Producción",IF($J225&lt;LS_D,$W225,0),0)</f>
        <v>0</v>
      </c>
      <c r="CJ225" s="5">
        <f>IF($J$222="Crecimiento",$W225,0)</f>
        <v>0</v>
      </c>
      <c r="CK225" s="5">
        <f>IF($J222="Siembra",'6'!$W$7,0)</f>
        <v>0</v>
      </c>
      <c r="CL225" s="5">
        <f>IF($J222="Abandono",'6'!$W$7,0)</f>
        <v>0</v>
      </c>
      <c r="CM225" s="5">
        <f>IF($K$222="Producción",IF($K225&gt;=LI_A,$X225,0),0)</f>
        <v>0</v>
      </c>
      <c r="CN225" s="5">
        <f>IF($K$222="Producción",IF($K225&gt;=LI_B,IF($K225&lt;LS_B,$X225,0),0),0)</f>
        <v>0</v>
      </c>
      <c r="CO225" s="5">
        <f>IF($K$222="Producción",IF($K225&gt;=LI_C,IF($K225&lt;LS_C,$X225,0),0),0)</f>
        <v>0</v>
      </c>
      <c r="CP225" s="5">
        <f>IF($K$222="Producción",IF($K225&lt;LS_D,$X225,0),0)</f>
        <v>0</v>
      </c>
      <c r="CQ225" s="5">
        <f>IF($K$222="Crecimiento",$X225,0)</f>
        <v>0</v>
      </c>
      <c r="CR225" s="5">
        <f>IF($K222="Siembra",'6'!$X$7,0)</f>
        <v>0</v>
      </c>
      <c r="CS225" s="5">
        <f>IF($K222="Abandono",'6'!$X$7,0)</f>
        <v>0</v>
      </c>
      <c r="CT225" s="5">
        <f>IF($L$222="Producción",IF($L225&gt;=LI_A,$Y225,0),0)</f>
        <v>0</v>
      </c>
      <c r="CU225" s="5">
        <f>IF($L$222="Producción",IF($L225&gt;=LI_B,IF($L225&lt;LS_B,$Y225,0),0),0)</f>
        <v>0</v>
      </c>
      <c r="CV225" s="5">
        <f>IF($L$222="Producción",IF($L225&gt;=LI_C,IF($L225&lt;LS_C,$Y225,0),0),0)</f>
        <v>0</v>
      </c>
      <c r="CW225" s="5">
        <f>IF($L$222="Producción",IF($L225&lt;LS_D,$Y225,0),0)</f>
        <v>0</v>
      </c>
      <c r="CX225" s="5">
        <f>IF($L$222="Crecimiento",$Y225,0)</f>
        <v>0</v>
      </c>
      <c r="CY225" s="5">
        <f>IF($L222="Siembra",'6'!$Y$7,0)</f>
        <v>0</v>
      </c>
      <c r="CZ225" s="5">
        <f>IF($L222="Abandono",'6'!$Y$7,0)</f>
        <v>0</v>
      </c>
      <c r="DA225" s="5">
        <f>IF($M$222="Producción",IF($M225&gt;=LI_A,$Z225,0),0)</f>
        <v>0</v>
      </c>
      <c r="DB225" s="5">
        <f>IF($M$222="Producción",IF($M225&gt;=LI_B,IF($M225&lt;LS_B,$Z225,0),0),0)</f>
        <v>0</v>
      </c>
      <c r="DC225" s="5">
        <f>IF($M$222="Producción",IF($M225&gt;=LI_C,IF($M225&lt;LS_C,$Z225,0),0),0)</f>
        <v>0</v>
      </c>
      <c r="DD225" s="5">
        <f>IF($M$222="Producción",IF($M225&lt;LS_D,$Z225,0),0)</f>
        <v>0</v>
      </c>
      <c r="DE225" s="5">
        <f>IF($M$222="Crecimiento",$Z225,0)</f>
        <v>0</v>
      </c>
      <c r="DF225" s="5">
        <f>IF($M222="Siembra",'6'!$Z$7,0)</f>
        <v>0</v>
      </c>
      <c r="DG225" s="5">
        <f>IF($M222="Abandono",'6'!$Z$7,0)</f>
        <v>0</v>
      </c>
      <c r="DI225" s="5">
        <f t="shared" ref="DI225:DI229" si="1679">AB225*$B225</f>
        <v>0</v>
      </c>
      <c r="DJ225" s="5">
        <f t="shared" ref="DJ225:DJ229" si="1680">AC225*$B225</f>
        <v>0</v>
      </c>
      <c r="DK225" s="5">
        <f t="shared" ref="DK225:DK229" si="1681">AD225*$B225</f>
        <v>0</v>
      </c>
      <c r="DL225" s="5">
        <f t="shared" ref="DL225:DL229" si="1682">AE225*$B225</f>
        <v>0</v>
      </c>
      <c r="DM225" s="5">
        <f t="shared" ref="DM225:DM229" si="1683">AF225*$B225</f>
        <v>0</v>
      </c>
      <c r="DN225" s="5">
        <f t="shared" ref="DN225:DN229" si="1684">AI225*$C225</f>
        <v>0</v>
      </c>
      <c r="DO225" s="5">
        <f t="shared" ref="DO225:DO229" si="1685">AJ225*$C225</f>
        <v>0</v>
      </c>
      <c r="DP225" s="5">
        <f t="shared" ref="DP225:DP229" si="1686">AK225*$C225</f>
        <v>0</v>
      </c>
      <c r="DQ225" s="5">
        <f t="shared" ref="DQ225:DQ229" si="1687">AL225*$C225</f>
        <v>0</v>
      </c>
      <c r="DR225" s="5">
        <f t="shared" ref="DR225:DR229" si="1688">AM225*$C225</f>
        <v>0</v>
      </c>
      <c r="DS225" s="5">
        <f t="shared" ref="DS225:DS229" si="1689">AP225*$D225</f>
        <v>0</v>
      </c>
      <c r="DT225" s="5">
        <f t="shared" ref="DT225:DT229" si="1690">AQ225*$D225</f>
        <v>0</v>
      </c>
      <c r="DU225" s="5">
        <f t="shared" ref="DU225:DU229" si="1691">AR225*$D225</f>
        <v>0</v>
      </c>
      <c r="DV225" s="5">
        <f t="shared" ref="DV225:DV229" si="1692">AS225*$D225</f>
        <v>0</v>
      </c>
      <c r="DW225" s="5">
        <f t="shared" ref="DW225:DW229" si="1693">AT225*$D225</f>
        <v>0</v>
      </c>
      <c r="DX225" s="5">
        <f t="shared" ref="DX225:DX229" si="1694">AW225*$E225</f>
        <v>0</v>
      </c>
      <c r="DY225" s="5">
        <f t="shared" ref="DY225:DY229" si="1695">AX225*$E225</f>
        <v>0</v>
      </c>
      <c r="DZ225" s="5">
        <f t="shared" ref="DZ225:DZ229" si="1696">AY225*$E225</f>
        <v>0</v>
      </c>
      <c r="EA225" s="5">
        <f t="shared" ref="EA225:EA229" si="1697">AZ225*$E225</f>
        <v>0</v>
      </c>
      <c r="EB225" s="5">
        <f t="shared" ref="EB225:EB229" si="1698">BA225*$E225</f>
        <v>0</v>
      </c>
      <c r="EC225" s="5">
        <f t="shared" ref="EC225:EC229" si="1699">BD225*$F225</f>
        <v>0</v>
      </c>
      <c r="ED225" s="5">
        <f t="shared" ref="ED225:ED229" si="1700">BE225*$F225</f>
        <v>0</v>
      </c>
      <c r="EE225" s="5">
        <f t="shared" ref="EE225:EE229" si="1701">BF225*$F225</f>
        <v>0</v>
      </c>
      <c r="EF225" s="5">
        <f t="shared" ref="EF225:EF229" si="1702">BG225*$F225</f>
        <v>0</v>
      </c>
      <c r="EG225" s="5">
        <f t="shared" ref="EG225:EG229" si="1703">BH225*$F225</f>
        <v>0</v>
      </c>
      <c r="EH225" s="5">
        <f t="shared" ref="EH225:EH229" si="1704">BK225*$G225</f>
        <v>0</v>
      </c>
      <c r="EI225" s="5">
        <f t="shared" ref="EI225:EI229" si="1705">BL225*$G225</f>
        <v>0</v>
      </c>
      <c r="EJ225" s="5">
        <f t="shared" ref="EJ225:EJ229" si="1706">BM225*$G225</f>
        <v>0</v>
      </c>
      <c r="EK225" s="5">
        <f t="shared" ref="EK225:EK229" si="1707">BN225*$G225</f>
        <v>0</v>
      </c>
      <c r="EL225" s="5">
        <f t="shared" ref="EL225:EL229" si="1708">BO225*$G225</f>
        <v>0</v>
      </c>
      <c r="EM225" s="5">
        <f t="shared" ref="EM225:EM229" si="1709">BR225*$H225</f>
        <v>0</v>
      </c>
      <c r="EN225" s="5">
        <f t="shared" ref="EN225:EN229" si="1710">BS225*$H225</f>
        <v>0</v>
      </c>
      <c r="EO225" s="5">
        <f t="shared" ref="EO225:EO229" si="1711">BT225*$H225</f>
        <v>0</v>
      </c>
      <c r="EP225" s="5">
        <f t="shared" ref="EP225:EP229" si="1712">BU225*$H225</f>
        <v>0</v>
      </c>
      <c r="EQ225" s="5">
        <f t="shared" ref="EQ225:EQ229" si="1713">BV225*$H225</f>
        <v>0</v>
      </c>
      <c r="ER225" s="5">
        <f t="shared" ref="ER225:ER229" si="1714">BY225*$I225</f>
        <v>0</v>
      </c>
      <c r="ES225" s="5">
        <f t="shared" ref="ES225:ES229" si="1715">BZ225*$I225</f>
        <v>0</v>
      </c>
      <c r="ET225" s="5">
        <f t="shared" ref="ET225:ET229" si="1716">CA225*$I225</f>
        <v>0</v>
      </c>
      <c r="EU225" s="5">
        <f t="shared" ref="EU225:EU229" si="1717">CB225*$I225</f>
        <v>0</v>
      </c>
      <c r="EV225" s="5">
        <f t="shared" ref="EV225:EV229" si="1718">CC225*$I225</f>
        <v>0</v>
      </c>
      <c r="EW225" s="5">
        <f t="shared" ref="EW225:EW229" si="1719">CF225*$J225</f>
        <v>0</v>
      </c>
      <c r="EX225" s="5">
        <f t="shared" ref="EX225:EX229" si="1720">CG225*$J225</f>
        <v>0</v>
      </c>
      <c r="EY225" s="5">
        <f t="shared" ref="EY225:EY229" si="1721">CH225*$J225</f>
        <v>0</v>
      </c>
      <c r="EZ225" s="5">
        <f t="shared" ref="EZ225:EZ229" si="1722">CI225*$J225</f>
        <v>0</v>
      </c>
      <c r="FA225" s="5">
        <f t="shared" ref="FA225:FA229" si="1723">CJ225*$J225</f>
        <v>0</v>
      </c>
      <c r="FB225" s="5">
        <f t="shared" ref="FB225:FB229" si="1724">CM225*$K225</f>
        <v>0</v>
      </c>
      <c r="FC225" s="5">
        <f t="shared" ref="FC225:FC229" si="1725">CN225*$K225</f>
        <v>0</v>
      </c>
      <c r="FD225" s="5">
        <f t="shared" ref="FD225:FD229" si="1726">CO225*$K225</f>
        <v>0</v>
      </c>
      <c r="FE225" s="5">
        <f t="shared" ref="FE225:FE229" si="1727">CP225*$K225</f>
        <v>0</v>
      </c>
      <c r="FF225" s="5">
        <f t="shared" ref="FF225:FF229" si="1728">CQ225*$K225</f>
        <v>0</v>
      </c>
      <c r="FG225" s="5">
        <f t="shared" ref="FG225:FG229" si="1729">CT225*$L225</f>
        <v>0</v>
      </c>
      <c r="FH225" s="5">
        <f t="shared" ref="FH225:FH229" si="1730">CU225*$L225</f>
        <v>0</v>
      </c>
      <c r="FI225" s="5">
        <f t="shared" ref="FI225:FI229" si="1731">CV225*$L225</f>
        <v>0</v>
      </c>
      <c r="FJ225" s="5">
        <f t="shared" ref="FJ225:FJ229" si="1732">CW225*$L225</f>
        <v>0</v>
      </c>
      <c r="FK225" s="5">
        <f t="shared" ref="FK225:FK229" si="1733">CX225*$L225</f>
        <v>0</v>
      </c>
      <c r="FL225" s="5">
        <f t="shared" ref="FL225:FL229" si="1734">DA225*$M225</f>
        <v>0</v>
      </c>
      <c r="FM225" s="5">
        <f t="shared" ref="FM225:FM229" si="1735">DB225*$M225</f>
        <v>0</v>
      </c>
      <c r="FN225" s="5">
        <f t="shared" ref="FN225:FN229" si="1736">DC225*$M225</f>
        <v>0</v>
      </c>
      <c r="FO225" s="5">
        <f t="shared" ref="FO225:FO229" si="1737">DD225*$M225</f>
        <v>0</v>
      </c>
      <c r="FP225" s="5">
        <f t="shared" ref="FP225:FP229" si="1738">DE225*$M225</f>
        <v>0</v>
      </c>
    </row>
    <row r="226" spans="1:172" ht="20.100000000000001" customHeight="1" x14ac:dyDescent="0.3">
      <c r="A226" s="8" t="s">
        <v>303</v>
      </c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O226" s="58">
        <f>IFERROR('6'!O$115/Ciclo,0)</f>
        <v>0</v>
      </c>
      <c r="P226" s="58">
        <f>IFERROR('6'!P$115/Ciclo,0)</f>
        <v>0</v>
      </c>
      <c r="Q226" s="58">
        <f>IFERROR('6'!Q$115/Ciclo,0)</f>
        <v>0</v>
      </c>
      <c r="R226" s="58">
        <f>IFERROR('6'!R$115/Ciclo,0)</f>
        <v>0</v>
      </c>
      <c r="S226" s="58">
        <f>IFERROR('6'!S$115/Ciclo,0)</f>
        <v>0</v>
      </c>
      <c r="T226" s="58">
        <f>IFERROR('6'!T$115/Ciclo,0)</f>
        <v>0</v>
      </c>
      <c r="U226" s="58">
        <f>IFERROR('6'!U$115/Ciclo,0)</f>
        <v>0</v>
      </c>
      <c r="V226" s="58">
        <f>IFERROR('6'!V$115/Ciclo,0)</f>
        <v>0</v>
      </c>
      <c r="W226" s="5">
        <f>IFERROR('6'!W$115/Ciclo,0)</f>
        <v>0</v>
      </c>
      <c r="X226" s="5">
        <f>IFERROR('6'!X$115/Ciclo,0)</f>
        <v>0</v>
      </c>
      <c r="Y226" s="5">
        <f>IFERROR('6'!Y$115/Ciclo,0)</f>
        <v>0</v>
      </c>
      <c r="Z226" s="5">
        <f>IFERROR('6'!Z$115/Ciclo,0)</f>
        <v>0</v>
      </c>
      <c r="AB226" s="5">
        <f>IF($B$222="Producción",IF($B226&gt;=LI_A,$O226,0),0)</f>
        <v>0</v>
      </c>
      <c r="AC226" s="5">
        <f>IF($B$222="Producción",IF($B226&gt;=LI_B,IF($B226&lt;LS_B,$O226,0),0),0)</f>
        <v>0</v>
      </c>
      <c r="AD226" s="5">
        <f>IF($B$222="Producción",IF($B226&gt;=LI_C,IF($B226&lt;LS_C,$O226,0),0),0)</f>
        <v>0</v>
      </c>
      <c r="AE226" s="5">
        <f>IF($B$222="Producción",IF($B226&lt;LS_D,$O226,0),0)</f>
        <v>0</v>
      </c>
      <c r="AF226" s="5">
        <f t="shared" ref="AF226:AF229" si="1739">IF($B$222="Crecimiento",$O226,0)</f>
        <v>0</v>
      </c>
      <c r="AI226" s="5">
        <f>IF($C$222="Producción",IF($C226&gt;=LI_A,$P226,0),0)</f>
        <v>0</v>
      </c>
      <c r="AJ226" s="5">
        <f>IF($C$222="Producción",IF($C226&gt;=LI_B,IF($C226&lt;LS_B,$P226,0),0),0)</f>
        <v>0</v>
      </c>
      <c r="AK226" s="5">
        <f>IF($C$222="Producción",IF($C226&gt;=LI_C,IF($C226&lt;LS_C,$P226,0),0),0)</f>
        <v>0</v>
      </c>
      <c r="AL226" s="5">
        <f>IF($C$222="Producción",IF($C226&lt;LS_D,$P226,0),0)</f>
        <v>0</v>
      </c>
      <c r="AM226" s="5">
        <f>IF($C$222="Crecimiento",$P226,0)</f>
        <v>0</v>
      </c>
      <c r="AP226" s="5">
        <f>IF($D$222="Producción",IF($D226&gt;=LI_A,$Q226,0),0)</f>
        <v>0</v>
      </c>
      <c r="AQ226" s="5">
        <f>IF($D$222="Producción",IF($D226&gt;=LI_B,IF($D226&lt;LS_B,$Q226,0),0),0)</f>
        <v>0</v>
      </c>
      <c r="AR226" s="5">
        <f>IF($D$222="Producción",IF($D226&gt;=LI_C,IF($D226&lt;LS_C,$Q226,0),0),0)</f>
        <v>0</v>
      </c>
      <c r="AS226" s="5">
        <f>IF($D$222="Producción",IF($D226&lt;LS_D,$Q226,0),0)</f>
        <v>0</v>
      </c>
      <c r="AT226" s="5">
        <f>IF($D$222="Crecimiento",IF($D226&gt;0,$Q226,0),0)</f>
        <v>0</v>
      </c>
      <c r="AW226" s="5">
        <f>IF($E$222="Producción",IF($E226&gt;=LI_A,$R226,0),0)</f>
        <v>0</v>
      </c>
      <c r="AX226" s="5">
        <f>IF($E$222="Producción",IF($E226&gt;=LI_B,IF($E226&lt;LS_B,$R226,0),0),0)</f>
        <v>0</v>
      </c>
      <c r="AY226" s="5">
        <f>IF($E$222="Producción",IF($E226&gt;=LI_C,IF($E226&lt;LS_C,$R226,0),0),0)</f>
        <v>0</v>
      </c>
      <c r="AZ226" s="5">
        <f>IF($E$222="Producción",IF($E226&lt;LS_D,$R226,0),0)</f>
        <v>0</v>
      </c>
      <c r="BA226" s="5">
        <f>IF($E$222="Crecimiento",$R226,0)</f>
        <v>0</v>
      </c>
      <c r="BD226" s="5">
        <f>IF($F$222="Producción",IF($F226&gt;=LI_A,$S226,0),0)</f>
        <v>0</v>
      </c>
      <c r="BE226" s="5">
        <f>IF($F$222="Producción",IF($F226&gt;=LI_B,IF($F226&lt;LS_B,$S226,0),0),0)</f>
        <v>0</v>
      </c>
      <c r="BF226" s="5">
        <f>IF($F$222="Producción",IF($F226&gt;=LI_C,IF($F226&lt;LS_C,$S226,0),0),0)</f>
        <v>0</v>
      </c>
      <c r="BG226" s="5">
        <f>IF($F$222="Producción",IF($F226&lt;LS_D,$S226,0),0)</f>
        <v>0</v>
      </c>
      <c r="BH226" s="5">
        <f>IF($F$222="Crecimiento",$S226,0)</f>
        <v>0</v>
      </c>
      <c r="BK226" s="5">
        <f>IF($G$222="Producción",IF($G226&gt;=LI_A,$T226,0),0)</f>
        <v>0</v>
      </c>
      <c r="BL226" s="5">
        <f>IF($G$222="Producción",IF($G226&gt;=LI_B,IF($G226&lt;LS_B,$T226,0),0),0)</f>
        <v>0</v>
      </c>
      <c r="BM226" s="5">
        <f>IF($G$222="Producción",IF($G226&gt;=LI_C,IF($G226&lt;LS_C,$T226,0),0),0)</f>
        <v>0</v>
      </c>
      <c r="BN226" s="5">
        <f>IF($G$222="Producción",IF($G226&lt;LS_D,$T226,0),0)</f>
        <v>0</v>
      </c>
      <c r="BO226" s="5">
        <f>IF($G$222="Crecimiento",$T226,0)</f>
        <v>0</v>
      </c>
      <c r="BR226" s="5">
        <f>IF($H$222="Producción",IF($H226&gt;=LI_A,$U226,0),0)</f>
        <v>0</v>
      </c>
      <c r="BS226" s="5">
        <f>IF($H$222="Producción",IF($H226&gt;=LI_B,IF($H226&lt;LS_B,$U226,0),0),0)</f>
        <v>0</v>
      </c>
      <c r="BT226" s="5">
        <f>IF($H$222="Producción",IF($H226&gt;=LI_C,IF($H226&lt;LS_C,$U226,0),0),0)</f>
        <v>0</v>
      </c>
      <c r="BU226" s="5">
        <f>IF($H$222="Producción",IF($H226&lt;LS_D,$U226,0),0)</f>
        <v>0</v>
      </c>
      <c r="BV226" s="5">
        <f>IF($H$222="Crecimiento",$T226,0)</f>
        <v>0</v>
      </c>
      <c r="BY226" s="5">
        <f>IF($I$222="Producción",IF($I226&gt;=LI_A,$V226,0),0)</f>
        <v>0</v>
      </c>
      <c r="BZ226" s="5">
        <f>IF($I$222="Producción",IF($I226&gt;=LI_B,IF($I226&lt;LS_B,$V226,0),0),0)</f>
        <v>0</v>
      </c>
      <c r="CA226" s="5">
        <f>IF($I$222="Producción",IF($I226&gt;=LI_C,IF($I226&lt;LS_C,$V226,0),0),0)</f>
        <v>0</v>
      </c>
      <c r="CB226" s="5">
        <f>IF($I$222="Producción",IF($I226&lt;LS_D,$V226,0),0)</f>
        <v>0</v>
      </c>
      <c r="CC226" s="5">
        <f>IF($I$222="Crecimiento",$V226,0)</f>
        <v>0</v>
      </c>
      <c r="CF226" s="5">
        <f>IF($J$222="Producción",IF($J226&gt;=LI_A,$W226,0),0)</f>
        <v>0</v>
      </c>
      <c r="CG226" s="5">
        <f>IF($J$222="Producción",IF($J226&gt;=LI_B,IF($J226&lt;LS_B,$W226,0),0),0)</f>
        <v>0</v>
      </c>
      <c r="CH226" s="5">
        <f>IF($J$222="Producción",IF($J226&gt;=LI_C,IF($J226&lt;LS_C,$W226,0),0),0)</f>
        <v>0</v>
      </c>
      <c r="CI226" s="5">
        <f>IF($J$222="Producción",IF($J226&lt;LS_D,$W226,0),0)</f>
        <v>0</v>
      </c>
      <c r="CJ226" s="5">
        <f>IF($J$222="Crecimiento",$W226,0)</f>
        <v>0</v>
      </c>
      <c r="CM226" s="5">
        <f>IF($K$222="Producción",IF($K226&gt;=LI_A,$X226,0),0)</f>
        <v>0</v>
      </c>
      <c r="CN226" s="5">
        <f>IF($K$222="Producción",IF($K226&gt;=LI_B,IF($K226&lt;LS_B,$X226,0),0),0)</f>
        <v>0</v>
      </c>
      <c r="CO226" s="5">
        <f>IF($K$222="Producción",IF($K226&gt;=LI_C,IF($K226&lt;LS_C,$X226,0),0),0)</f>
        <v>0</v>
      </c>
      <c r="CP226" s="5">
        <f>IF($K$222="Producción",IF($K226&lt;LS_D,$X226,0),0)</f>
        <v>0</v>
      </c>
      <c r="CQ226" s="5">
        <f>IF($K$222="Crecimiento",$X226,0)</f>
        <v>0</v>
      </c>
      <c r="CT226" s="5">
        <f>IF($L$222="Producción",IF($L226&gt;=LI_A,$Y226,0),0)</f>
        <v>0</v>
      </c>
      <c r="CU226" s="5">
        <f>IF($L$222="Producción",IF($L226&gt;=LI_B,IF($L226&lt;LS_B,$Y226,0),0),0)</f>
        <v>0</v>
      </c>
      <c r="CV226" s="5">
        <f>IF($L$222="Producción",IF($L226&gt;=LI_C,IF($L226&lt;LS_C,$Y226,0),0),0)</f>
        <v>0</v>
      </c>
      <c r="CW226" s="5">
        <f>IF($L$222="Producción",IF($L226&lt;LS_D,$Y226,0),0)</f>
        <v>0</v>
      </c>
      <c r="CX226" s="5">
        <f>IF($L$222="Crecimiento",$Y226,0)</f>
        <v>0</v>
      </c>
      <c r="DA226" s="5">
        <f>IF($M$222="Producción",IF($M226&gt;=LI_A,$Z226,0),0)</f>
        <v>0</v>
      </c>
      <c r="DB226" s="5">
        <f>IF($M$222="Producción",IF($M226&gt;=LI_B,IF($M226&lt;LS_B,$Z226,0),0),0)</f>
        <v>0</v>
      </c>
      <c r="DC226" s="5">
        <f>IF($M$222="Producción",IF($M226&gt;=LI_C,IF($M226&lt;LS_C,$Z226,0),0),0)</f>
        <v>0</v>
      </c>
      <c r="DD226" s="5">
        <f>IF($M$222="Producción",IF($M226&lt;LS_D,$Z226,0),0)</f>
        <v>0</v>
      </c>
      <c r="DE226" s="5">
        <f>IF($M$222="Crecimiento",$Z226,0)</f>
        <v>0</v>
      </c>
      <c r="DI226" s="5">
        <f t="shared" si="1679"/>
        <v>0</v>
      </c>
      <c r="DJ226" s="5">
        <f t="shared" si="1680"/>
        <v>0</v>
      </c>
      <c r="DK226" s="5">
        <f t="shared" si="1681"/>
        <v>0</v>
      </c>
      <c r="DL226" s="5">
        <f t="shared" si="1682"/>
        <v>0</v>
      </c>
      <c r="DM226" s="5">
        <f t="shared" si="1683"/>
        <v>0</v>
      </c>
      <c r="DN226" s="5">
        <f t="shared" si="1684"/>
        <v>0</v>
      </c>
      <c r="DO226" s="5">
        <f t="shared" si="1685"/>
        <v>0</v>
      </c>
      <c r="DP226" s="5">
        <f t="shared" si="1686"/>
        <v>0</v>
      </c>
      <c r="DQ226" s="5">
        <f t="shared" si="1687"/>
        <v>0</v>
      </c>
      <c r="DR226" s="5">
        <f t="shared" si="1688"/>
        <v>0</v>
      </c>
      <c r="DS226" s="5">
        <f t="shared" si="1689"/>
        <v>0</v>
      </c>
      <c r="DT226" s="5">
        <f t="shared" si="1690"/>
        <v>0</v>
      </c>
      <c r="DU226" s="5">
        <f t="shared" si="1691"/>
        <v>0</v>
      </c>
      <c r="DV226" s="5">
        <f t="shared" si="1692"/>
        <v>0</v>
      </c>
      <c r="DW226" s="5">
        <f t="shared" si="1693"/>
        <v>0</v>
      </c>
      <c r="DX226" s="5">
        <f t="shared" si="1694"/>
        <v>0</v>
      </c>
      <c r="DY226" s="5">
        <f t="shared" si="1695"/>
        <v>0</v>
      </c>
      <c r="DZ226" s="5">
        <f t="shared" si="1696"/>
        <v>0</v>
      </c>
      <c r="EA226" s="5">
        <f t="shared" si="1697"/>
        <v>0</v>
      </c>
      <c r="EB226" s="5">
        <f t="shared" si="1698"/>
        <v>0</v>
      </c>
      <c r="EC226" s="5">
        <f t="shared" si="1699"/>
        <v>0</v>
      </c>
      <c r="ED226" s="5">
        <f t="shared" si="1700"/>
        <v>0</v>
      </c>
      <c r="EE226" s="5">
        <f t="shared" si="1701"/>
        <v>0</v>
      </c>
      <c r="EF226" s="5">
        <f t="shared" si="1702"/>
        <v>0</v>
      </c>
      <c r="EG226" s="5">
        <f t="shared" si="1703"/>
        <v>0</v>
      </c>
      <c r="EH226" s="5">
        <f t="shared" si="1704"/>
        <v>0</v>
      </c>
      <c r="EI226" s="5">
        <f t="shared" si="1705"/>
        <v>0</v>
      </c>
      <c r="EJ226" s="5">
        <f t="shared" si="1706"/>
        <v>0</v>
      </c>
      <c r="EK226" s="5">
        <f t="shared" si="1707"/>
        <v>0</v>
      </c>
      <c r="EL226" s="5">
        <f t="shared" si="1708"/>
        <v>0</v>
      </c>
      <c r="EM226" s="5">
        <f t="shared" si="1709"/>
        <v>0</v>
      </c>
      <c r="EN226" s="5">
        <f t="shared" si="1710"/>
        <v>0</v>
      </c>
      <c r="EO226" s="5">
        <f t="shared" si="1711"/>
        <v>0</v>
      </c>
      <c r="EP226" s="5">
        <f t="shared" si="1712"/>
        <v>0</v>
      </c>
      <c r="EQ226" s="5">
        <f t="shared" si="1713"/>
        <v>0</v>
      </c>
      <c r="ER226" s="5">
        <f t="shared" si="1714"/>
        <v>0</v>
      </c>
      <c r="ES226" s="5">
        <f t="shared" si="1715"/>
        <v>0</v>
      </c>
      <c r="ET226" s="5">
        <f t="shared" si="1716"/>
        <v>0</v>
      </c>
      <c r="EU226" s="5">
        <f t="shared" si="1717"/>
        <v>0</v>
      </c>
      <c r="EV226" s="5">
        <f t="shared" si="1718"/>
        <v>0</v>
      </c>
      <c r="EW226" s="5">
        <f t="shared" si="1719"/>
        <v>0</v>
      </c>
      <c r="EX226" s="5">
        <f t="shared" si="1720"/>
        <v>0</v>
      </c>
      <c r="EY226" s="5">
        <f t="shared" si="1721"/>
        <v>0</v>
      </c>
      <c r="EZ226" s="5">
        <f t="shared" si="1722"/>
        <v>0</v>
      </c>
      <c r="FA226" s="5">
        <f t="shared" si="1723"/>
        <v>0</v>
      </c>
      <c r="FB226" s="5">
        <f t="shared" si="1724"/>
        <v>0</v>
      </c>
      <c r="FC226" s="5">
        <f t="shared" si="1725"/>
        <v>0</v>
      </c>
      <c r="FD226" s="5">
        <f t="shared" si="1726"/>
        <v>0</v>
      </c>
      <c r="FE226" s="5">
        <f t="shared" si="1727"/>
        <v>0</v>
      </c>
      <c r="FF226" s="5">
        <f t="shared" si="1728"/>
        <v>0</v>
      </c>
      <c r="FG226" s="5">
        <f t="shared" si="1729"/>
        <v>0</v>
      </c>
      <c r="FH226" s="5">
        <f t="shared" si="1730"/>
        <v>0</v>
      </c>
      <c r="FI226" s="5">
        <f t="shared" si="1731"/>
        <v>0</v>
      </c>
      <c r="FJ226" s="5">
        <f t="shared" si="1732"/>
        <v>0</v>
      </c>
      <c r="FK226" s="5">
        <f t="shared" si="1733"/>
        <v>0</v>
      </c>
      <c r="FL226" s="5">
        <f t="shared" si="1734"/>
        <v>0</v>
      </c>
      <c r="FM226" s="5">
        <f t="shared" si="1735"/>
        <v>0</v>
      </c>
      <c r="FN226" s="5">
        <f t="shared" si="1736"/>
        <v>0</v>
      </c>
      <c r="FO226" s="5">
        <f t="shared" si="1737"/>
        <v>0</v>
      </c>
      <c r="FP226" s="5">
        <f t="shared" si="1738"/>
        <v>0</v>
      </c>
    </row>
    <row r="227" spans="1:172" ht="20.100000000000001" customHeight="1" x14ac:dyDescent="0.3">
      <c r="A227" s="8" t="str">
        <f>IF(Ciclo&gt;2,"Surco 3","NA")</f>
        <v>Surco 3</v>
      </c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O227" s="58">
        <f>IF($A227="NA",0,IFERROR('6'!O$115/Ciclo,0))</f>
        <v>0</v>
      </c>
      <c r="P227" s="58">
        <f>IF($A227="NA",0,IFERROR('6'!P$115/Ciclo,0))</f>
        <v>0</v>
      </c>
      <c r="Q227" s="58">
        <f>IF($A227="NA",0,IFERROR('6'!Q$115/Ciclo,0))</f>
        <v>0</v>
      </c>
      <c r="R227" s="58">
        <f>IF($A227="NA",0,IFERROR('6'!R$115/Ciclo,0))</f>
        <v>0</v>
      </c>
      <c r="S227" s="58">
        <f>IF($A227="NA",0,IFERROR('6'!S$115/Ciclo,0))</f>
        <v>0</v>
      </c>
      <c r="T227" s="58">
        <f>IF($A227="NA",0,IFERROR('6'!T$115/Ciclo,0))</f>
        <v>0</v>
      </c>
      <c r="U227" s="58">
        <f>IF($A227="NA",0,IFERROR('6'!U$115/Ciclo,0))</f>
        <v>0</v>
      </c>
      <c r="V227" s="58">
        <f>IF($A227="NA",0,IFERROR('6'!V$115/Ciclo,0))</f>
        <v>0</v>
      </c>
      <c r="W227" s="5">
        <f>IF($A227="NA",0,IFERROR('6'!W$115/Ciclo,0))</f>
        <v>0</v>
      </c>
      <c r="X227" s="5">
        <f>IF($A227="NA",0,IFERROR('6'!X$115/Ciclo,0))</f>
        <v>0</v>
      </c>
      <c r="Y227" s="5">
        <f>IF($A227="NA",0,IFERROR('6'!Y$115/Ciclo,0))</f>
        <v>0</v>
      </c>
      <c r="Z227" s="5">
        <f>IF($A227="NA",0,IFERROR('6'!Z$115/Ciclo,0))</f>
        <v>0</v>
      </c>
      <c r="AB227" s="5">
        <f>IF($B$222="Producción",IF($B227&gt;=LI_A,$O227,0),0)</f>
        <v>0</v>
      </c>
      <c r="AC227" s="5">
        <f>IF($B$222="Producción",IF($B227&gt;=LI_B,IF($B227&lt;LS_B,$O227,0),0),0)</f>
        <v>0</v>
      </c>
      <c r="AD227" s="5">
        <f>IF($B$222="Producción",IF($B227&gt;=LI_C,IF($B227&lt;LS_C,$O227,0),0),0)</f>
        <v>0</v>
      </c>
      <c r="AE227" s="5">
        <f>IF($B$222="Producción",IF($B227&lt;LS_D,$O227,0),0)</f>
        <v>0</v>
      </c>
      <c r="AF227" s="5">
        <f t="shared" si="1739"/>
        <v>0</v>
      </c>
      <c r="AI227" s="5">
        <f>IF($C$222="Producción",IF($C227&gt;=LI_A,$P227,0),0)</f>
        <v>0</v>
      </c>
      <c r="AJ227" s="5">
        <f>IF($C$222="Producción",IF($C227&gt;=LI_B,IF($C227&lt;LS_B,$P227,0),0),0)</f>
        <v>0</v>
      </c>
      <c r="AK227" s="5">
        <f>IF($C$222="Producción",IF($C227&gt;=LI_C,IF($C227&lt;LS_C,$P227,0),0),0)</f>
        <v>0</v>
      </c>
      <c r="AL227" s="5">
        <f>IF($C$222="Producción",IF($C227&lt;LS_D,$P227,0),0)</f>
        <v>0</v>
      </c>
      <c r="AM227" s="5">
        <f>IF($C$222="Crecimiento",$P227,0)</f>
        <v>0</v>
      </c>
      <c r="AP227" s="5">
        <f>IF($D$222="Producción",IF($D227&gt;=LI_A,$Q227,0),0)</f>
        <v>0</v>
      </c>
      <c r="AQ227" s="5">
        <f>IF($D$222="Producción",IF($D227&gt;=LI_B,IF($D227&lt;LS_B,$Q227,0),0),0)</f>
        <v>0</v>
      </c>
      <c r="AR227" s="5">
        <f>IF($D$222="Producción",IF($D227&gt;=LI_C,IF($D227&lt;LS_C,$Q227,0),0),0)</f>
        <v>0</v>
      </c>
      <c r="AS227" s="5">
        <f>IF($D$222="Producción",IF($D227&lt;LS_D,$Q227,0),0)</f>
        <v>0</v>
      </c>
      <c r="AT227" s="5">
        <f>IF($D$222="Crecimiento",IF($D227&gt;0,$Q227,0),0)</f>
        <v>0</v>
      </c>
      <c r="AW227" s="5">
        <f>IF($E$222="Producción",IF($E227&gt;=LI_A,$R227,0),0)</f>
        <v>0</v>
      </c>
      <c r="AX227" s="5">
        <f>IF($E$222="Producción",IF($E227&gt;=LI_B,IF($E227&lt;LS_B,$R227,0),0),0)</f>
        <v>0</v>
      </c>
      <c r="AY227" s="5">
        <f>IF($E$222="Producción",IF($E227&gt;=LI_C,IF($E227&lt;LS_C,$R227,0),0),0)</f>
        <v>0</v>
      </c>
      <c r="AZ227" s="5">
        <f>IF($E$222="Producción",IF($E227&lt;LS_D,$R227,0),0)</f>
        <v>0</v>
      </c>
      <c r="BA227" s="5">
        <f>IF($E$222="Crecimiento",$R227,0)</f>
        <v>0</v>
      </c>
      <c r="BD227" s="5">
        <f>IF($F$222="Producción",IF($F227&gt;=LI_A,$S227,0),0)</f>
        <v>0</v>
      </c>
      <c r="BE227" s="5">
        <f>IF($F$222="Producción",IF($F227&gt;=LI_B,IF($F227&lt;LS_B,$S227,0),0),0)</f>
        <v>0</v>
      </c>
      <c r="BF227" s="5">
        <f>IF($F$222="Producción",IF($F227&gt;=LI_C,IF($F227&lt;LS_C,$S227,0),0),0)</f>
        <v>0</v>
      </c>
      <c r="BG227" s="5">
        <f>IF($F$222="Producción",IF($F227&lt;LS_D,$S227,0),0)</f>
        <v>0</v>
      </c>
      <c r="BH227" s="5">
        <f>IF($F$222="Crecimiento",$S227,0)</f>
        <v>0</v>
      </c>
      <c r="BK227" s="5">
        <f>IF($G$222="Producción",IF($G227&gt;=LI_A,$T227,0),0)</f>
        <v>0</v>
      </c>
      <c r="BL227" s="5">
        <f>IF($G$222="Producción",IF($G227&gt;=LI_B,IF($G227&lt;LS_B,$T227,0),0),0)</f>
        <v>0</v>
      </c>
      <c r="BM227" s="5">
        <f>IF($G$222="Producción",IF($G227&gt;=LI_C,IF($G227&lt;LS_C,$T227,0),0),0)</f>
        <v>0</v>
      </c>
      <c r="BN227" s="5">
        <f>IF($G$222="Producción",IF($G227&lt;LS_D,$T227,0),0)</f>
        <v>0</v>
      </c>
      <c r="BO227" s="5">
        <f>IF($G$222="Crecimiento",$T227,0)</f>
        <v>0</v>
      </c>
      <c r="BR227" s="5">
        <f>IF($H$222="Producción",IF($H227&gt;=LI_A,$U227,0),0)</f>
        <v>0</v>
      </c>
      <c r="BS227" s="5">
        <f>IF($H$222="Producción",IF($H227&gt;=LI_B,IF($H227&lt;LS_B,$U227,0),0),0)</f>
        <v>0</v>
      </c>
      <c r="BT227" s="5">
        <f>IF($H$222="Producción",IF($H227&gt;=LI_C,IF($H227&lt;LS_C,$U227,0),0),0)</f>
        <v>0</v>
      </c>
      <c r="BU227" s="5">
        <f>IF($H$222="Producción",IF($H227&lt;LS_D,$U227,0),0)</f>
        <v>0</v>
      </c>
      <c r="BV227" s="5">
        <f>IF($H$222="Crecimiento",$T227,0)</f>
        <v>0</v>
      </c>
      <c r="BY227" s="5">
        <f>IF($I$222="Producción",IF($I227&gt;=LI_A,$V227,0),0)</f>
        <v>0</v>
      </c>
      <c r="BZ227" s="5">
        <f>IF($I$222="Producción",IF($I227&gt;=LI_B,IF($I227&lt;LS_B,$V227,0),0),0)</f>
        <v>0</v>
      </c>
      <c r="CA227" s="5">
        <f>IF($I$222="Producción",IF($I227&gt;=LI_C,IF($I227&lt;LS_C,$V227,0),0),0)</f>
        <v>0</v>
      </c>
      <c r="CB227" s="5">
        <f>IF($I$222="Producción",IF($I227&lt;LS_D,$V227,0),0)</f>
        <v>0</v>
      </c>
      <c r="CC227" s="5">
        <f>IF($I$222="Crecimiento",$V227,0)</f>
        <v>0</v>
      </c>
      <c r="CF227" s="5">
        <f>IF($J$222="Producción",IF($J227&gt;=LI_A,$W227,0),0)</f>
        <v>0</v>
      </c>
      <c r="CG227" s="5">
        <f>IF($J$222="Producción",IF($J227&gt;=LI_B,IF($J227&lt;LS_B,$W227,0),0),0)</f>
        <v>0</v>
      </c>
      <c r="CH227" s="5">
        <f>IF($J$222="Producción",IF($J227&gt;=LI_C,IF($J227&lt;LS_C,$W227,0),0),0)</f>
        <v>0</v>
      </c>
      <c r="CI227" s="5">
        <f>IF($J$222="Producción",IF($J227&lt;LS_D,$W227,0),0)</f>
        <v>0</v>
      </c>
      <c r="CJ227" s="5">
        <f>IF($J$222="Crecimiento",$W227,0)</f>
        <v>0</v>
      </c>
      <c r="CM227" s="5">
        <f>IF($K$222="Producción",IF($K227&gt;=LI_A,$X227,0),0)</f>
        <v>0</v>
      </c>
      <c r="CN227" s="5">
        <f>IF($K$222="Producción",IF($K227&gt;=LI_B,IF($K227&lt;LS_B,$X227,0),0),0)</f>
        <v>0</v>
      </c>
      <c r="CO227" s="5">
        <f>IF($K$222="Producción",IF($K227&gt;=LI_C,IF($K227&lt;LS_C,$X227,0),0),0)</f>
        <v>0</v>
      </c>
      <c r="CP227" s="5">
        <f>IF($K$222="Producción",IF($K227&lt;LS_D,$X227,0),0)</f>
        <v>0</v>
      </c>
      <c r="CQ227" s="5">
        <f>IF($K$222="Crecimiento",$X227,0)</f>
        <v>0</v>
      </c>
      <c r="CT227" s="5">
        <f>IF($L$222="Producción",IF($L227&gt;=LI_A,$Y227,0),0)</f>
        <v>0</v>
      </c>
      <c r="CU227" s="5">
        <f>IF($L$222="Producción",IF($L227&gt;=LI_B,IF($L227&lt;LS_B,$Y227,0),0),0)</f>
        <v>0</v>
      </c>
      <c r="CV227" s="5">
        <f>IF($L$222="Producción",IF($L227&gt;=LI_C,IF($L227&lt;LS_C,$Y227,0),0),0)</f>
        <v>0</v>
      </c>
      <c r="CW227" s="5">
        <f>IF($L$222="Producción",IF($L227&lt;LS_D,$Y227,0),0)</f>
        <v>0</v>
      </c>
      <c r="CX227" s="5">
        <f>IF($L$222="Crecimiento",$Y227,0)</f>
        <v>0</v>
      </c>
      <c r="DA227" s="5">
        <f>IF($M$222="Producción",IF($M227&gt;=LI_A,$Z227,0),0)</f>
        <v>0</v>
      </c>
      <c r="DB227" s="5">
        <f>IF($M$222="Producción",IF($M227&gt;=LI_B,IF($M227&lt;LS_B,$Z227,0),0),0)</f>
        <v>0</v>
      </c>
      <c r="DC227" s="5">
        <f>IF($M$222="Producción",IF($M227&gt;=LI_C,IF($M227&lt;LS_C,$Z227,0),0),0)</f>
        <v>0</v>
      </c>
      <c r="DD227" s="5">
        <f>IF($M$222="Producción",IF($M227&lt;LS_D,$Z227,0),0)</f>
        <v>0</v>
      </c>
      <c r="DE227" s="5">
        <f>IF($M$222="Crecimiento",$Z227,0)</f>
        <v>0</v>
      </c>
      <c r="DI227" s="5">
        <f t="shared" si="1679"/>
        <v>0</v>
      </c>
      <c r="DJ227" s="5">
        <f t="shared" si="1680"/>
        <v>0</v>
      </c>
      <c r="DK227" s="5">
        <f t="shared" si="1681"/>
        <v>0</v>
      </c>
      <c r="DL227" s="5">
        <f t="shared" si="1682"/>
        <v>0</v>
      </c>
      <c r="DM227" s="5">
        <f t="shared" si="1683"/>
        <v>0</v>
      </c>
      <c r="DN227" s="5">
        <f t="shared" si="1684"/>
        <v>0</v>
      </c>
      <c r="DO227" s="5">
        <f t="shared" si="1685"/>
        <v>0</v>
      </c>
      <c r="DP227" s="5">
        <f t="shared" si="1686"/>
        <v>0</v>
      </c>
      <c r="DQ227" s="5">
        <f t="shared" si="1687"/>
        <v>0</v>
      </c>
      <c r="DR227" s="5">
        <f t="shared" si="1688"/>
        <v>0</v>
      </c>
      <c r="DS227" s="5">
        <f t="shared" si="1689"/>
        <v>0</v>
      </c>
      <c r="DT227" s="5">
        <f t="shared" si="1690"/>
        <v>0</v>
      </c>
      <c r="DU227" s="5">
        <f t="shared" si="1691"/>
        <v>0</v>
      </c>
      <c r="DV227" s="5">
        <f t="shared" si="1692"/>
        <v>0</v>
      </c>
      <c r="DW227" s="5">
        <f t="shared" si="1693"/>
        <v>0</v>
      </c>
      <c r="DX227" s="5">
        <f t="shared" si="1694"/>
        <v>0</v>
      </c>
      <c r="DY227" s="5">
        <f t="shared" si="1695"/>
        <v>0</v>
      </c>
      <c r="DZ227" s="5">
        <f t="shared" si="1696"/>
        <v>0</v>
      </c>
      <c r="EA227" s="5">
        <f t="shared" si="1697"/>
        <v>0</v>
      </c>
      <c r="EB227" s="5">
        <f t="shared" si="1698"/>
        <v>0</v>
      </c>
      <c r="EC227" s="5">
        <f t="shared" si="1699"/>
        <v>0</v>
      </c>
      <c r="ED227" s="5">
        <f t="shared" si="1700"/>
        <v>0</v>
      </c>
      <c r="EE227" s="5">
        <f t="shared" si="1701"/>
        <v>0</v>
      </c>
      <c r="EF227" s="5">
        <f t="shared" si="1702"/>
        <v>0</v>
      </c>
      <c r="EG227" s="5">
        <f t="shared" si="1703"/>
        <v>0</v>
      </c>
      <c r="EH227" s="5">
        <f t="shared" si="1704"/>
        <v>0</v>
      </c>
      <c r="EI227" s="5">
        <f t="shared" si="1705"/>
        <v>0</v>
      </c>
      <c r="EJ227" s="5">
        <f t="shared" si="1706"/>
        <v>0</v>
      </c>
      <c r="EK227" s="5">
        <f t="shared" si="1707"/>
        <v>0</v>
      </c>
      <c r="EL227" s="5">
        <f t="shared" si="1708"/>
        <v>0</v>
      </c>
      <c r="EM227" s="5">
        <f t="shared" si="1709"/>
        <v>0</v>
      </c>
      <c r="EN227" s="5">
        <f t="shared" si="1710"/>
        <v>0</v>
      </c>
      <c r="EO227" s="5">
        <f t="shared" si="1711"/>
        <v>0</v>
      </c>
      <c r="EP227" s="5">
        <f t="shared" si="1712"/>
        <v>0</v>
      </c>
      <c r="EQ227" s="5">
        <f t="shared" si="1713"/>
        <v>0</v>
      </c>
      <c r="ER227" s="5">
        <f t="shared" si="1714"/>
        <v>0</v>
      </c>
      <c r="ES227" s="5">
        <f t="shared" si="1715"/>
        <v>0</v>
      </c>
      <c r="ET227" s="5">
        <f t="shared" si="1716"/>
        <v>0</v>
      </c>
      <c r="EU227" s="5">
        <f t="shared" si="1717"/>
        <v>0</v>
      </c>
      <c r="EV227" s="5">
        <f t="shared" si="1718"/>
        <v>0</v>
      </c>
      <c r="EW227" s="5">
        <f t="shared" si="1719"/>
        <v>0</v>
      </c>
      <c r="EX227" s="5">
        <f t="shared" si="1720"/>
        <v>0</v>
      </c>
      <c r="EY227" s="5">
        <f t="shared" si="1721"/>
        <v>0</v>
      </c>
      <c r="EZ227" s="5">
        <f t="shared" si="1722"/>
        <v>0</v>
      </c>
      <c r="FA227" s="5">
        <f t="shared" si="1723"/>
        <v>0</v>
      </c>
      <c r="FB227" s="5">
        <f t="shared" si="1724"/>
        <v>0</v>
      </c>
      <c r="FC227" s="5">
        <f t="shared" si="1725"/>
        <v>0</v>
      </c>
      <c r="FD227" s="5">
        <f t="shared" si="1726"/>
        <v>0</v>
      </c>
      <c r="FE227" s="5">
        <f t="shared" si="1727"/>
        <v>0</v>
      </c>
      <c r="FF227" s="5">
        <f t="shared" si="1728"/>
        <v>0</v>
      </c>
      <c r="FG227" s="5">
        <f t="shared" si="1729"/>
        <v>0</v>
      </c>
      <c r="FH227" s="5">
        <f t="shared" si="1730"/>
        <v>0</v>
      </c>
      <c r="FI227" s="5">
        <f t="shared" si="1731"/>
        <v>0</v>
      </c>
      <c r="FJ227" s="5">
        <f t="shared" si="1732"/>
        <v>0</v>
      </c>
      <c r="FK227" s="5">
        <f t="shared" si="1733"/>
        <v>0</v>
      </c>
      <c r="FL227" s="5">
        <f t="shared" si="1734"/>
        <v>0</v>
      </c>
      <c r="FM227" s="5">
        <f t="shared" si="1735"/>
        <v>0</v>
      </c>
      <c r="FN227" s="5">
        <f t="shared" si="1736"/>
        <v>0</v>
      </c>
      <c r="FO227" s="5">
        <f t="shared" si="1737"/>
        <v>0</v>
      </c>
      <c r="FP227" s="5">
        <f t="shared" si="1738"/>
        <v>0</v>
      </c>
    </row>
    <row r="228" spans="1:172" ht="20.100000000000001" customHeight="1" x14ac:dyDescent="0.3">
      <c r="A228" s="8" t="str">
        <f>IF(Ciclo=4,"Surco 4",IF(Ciclo=5,"Surco 4","NA"))</f>
        <v>NA</v>
      </c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O228" s="58">
        <f>IF($A228="NA",0,IFERROR('6'!O$115/Ciclo,0))</f>
        <v>0</v>
      </c>
      <c r="P228" s="58">
        <f>IF($A228="NA",0,IFERROR('6'!P$115/Ciclo,0))</f>
        <v>0</v>
      </c>
      <c r="Q228" s="58">
        <f>IF($A228="NA",0,IFERROR('6'!Q$115/Ciclo,0))</f>
        <v>0</v>
      </c>
      <c r="R228" s="58">
        <f>IF($A228="NA",0,IFERROR('6'!R$115/Ciclo,0))</f>
        <v>0</v>
      </c>
      <c r="S228" s="58">
        <f>IF($A228="NA",0,IFERROR('6'!S$115/Ciclo,0))</f>
        <v>0</v>
      </c>
      <c r="T228" s="58">
        <f>IF($A228="NA",0,IFERROR('6'!T$115/Ciclo,0))</f>
        <v>0</v>
      </c>
      <c r="U228" s="58">
        <f>IF($A228="NA",0,IFERROR('6'!U$115/Ciclo,0))</f>
        <v>0</v>
      </c>
      <c r="V228" s="58">
        <f>IF($A228="NA",0,IFERROR('6'!V$115/Ciclo,0))</f>
        <v>0</v>
      </c>
      <c r="W228" s="5">
        <f>IF($A228="NA",0,IFERROR('6'!W$115/Ciclo,0))</f>
        <v>0</v>
      </c>
      <c r="X228" s="5">
        <f>IF($A228="NA",0,IFERROR('6'!X$115/Ciclo,0))</f>
        <v>0</v>
      </c>
      <c r="Y228" s="5">
        <f>IF($A228="NA",0,IFERROR('6'!Y$115/Ciclo,0))</f>
        <v>0</v>
      </c>
      <c r="Z228" s="5">
        <f>IF($A228="NA",0,IFERROR('6'!Z$115/Ciclo,0))</f>
        <v>0</v>
      </c>
      <c r="AB228" s="5">
        <f>IF($B$222="Producción",IF($B228&gt;=LI_A,$O228,0),0)</f>
        <v>0</v>
      </c>
      <c r="AC228" s="5">
        <f>IF($B$222="Producción",IF($B228&gt;=LI_B,IF($B228&lt;LS_B,$O228,0),0),0)</f>
        <v>0</v>
      </c>
      <c r="AD228" s="5">
        <f>IF($B$222="Producción",IF($B228&gt;=LI_C,IF($B228&lt;LS_C,$O228,0),0),0)</f>
        <v>0</v>
      </c>
      <c r="AE228" s="5">
        <f>IF($B$222="Producción",IF($B228&lt;LS_D,$O228,0),0)</f>
        <v>0</v>
      </c>
      <c r="AF228" s="5">
        <f t="shared" si="1739"/>
        <v>0</v>
      </c>
      <c r="AI228" s="5">
        <f>IF($C$222="Producción",IF($C228&gt;=LI_A,$P228,0),0)</f>
        <v>0</v>
      </c>
      <c r="AJ228" s="5">
        <f>IF($C$222="Producción",IF($C228&gt;=LI_B,IF($C228&lt;LS_B,$P228,0),0),0)</f>
        <v>0</v>
      </c>
      <c r="AK228" s="5">
        <f>IF($C$222="Producción",IF($C228&gt;=LI_C,IF($C228&lt;LS_C,$P228,0),0),0)</f>
        <v>0</v>
      </c>
      <c r="AL228" s="5">
        <f>IF($C$222="Producción",IF($C228&lt;LS_D,$P228,0),0)</f>
        <v>0</v>
      </c>
      <c r="AM228" s="5">
        <f>IF($C$222="Crecimiento",$P228,0)</f>
        <v>0</v>
      </c>
      <c r="AP228" s="5">
        <f>IF($D$222="Producción",IF($D228&gt;=LI_A,$Q228,0),0)</f>
        <v>0</v>
      </c>
      <c r="AQ228" s="5">
        <f>IF($D$222="Producción",IF($D228&gt;=LI_B,IF($D228&lt;LS_B,$Q228,0),0),0)</f>
        <v>0</v>
      </c>
      <c r="AR228" s="5">
        <f>IF($D$222="Producción",IF($D228&gt;=LI_C,IF($D228&lt;LS_C,$Q228,0),0),0)</f>
        <v>0</v>
      </c>
      <c r="AS228" s="5">
        <f>IF($D$222="Producción",IF($D228&lt;LS_D,$Q228,0),0)</f>
        <v>0</v>
      </c>
      <c r="AT228" s="5">
        <f>IF($D$222="Crecimiento",IF($D228&gt;0,$Q228,0),0)</f>
        <v>0</v>
      </c>
      <c r="AW228" s="5">
        <f>IF($E$222="Producción",IF($E228&gt;=LI_A,$R228,0),0)</f>
        <v>0</v>
      </c>
      <c r="AX228" s="5">
        <f>IF($E$222="Producción",IF($E228&gt;=LI_B,IF($E228&lt;LS_B,$R228,0),0),0)</f>
        <v>0</v>
      </c>
      <c r="AY228" s="5">
        <f>IF($E$222="Producción",IF($E228&gt;=LI_C,IF($E228&lt;LS_C,$R228,0),0),0)</f>
        <v>0</v>
      </c>
      <c r="AZ228" s="5">
        <f>IF($E$222="Producción",IF($E228&lt;LS_D,$R228,0),0)</f>
        <v>0</v>
      </c>
      <c r="BA228" s="5">
        <f>IF($E$222="Crecimiento",$R228,0)</f>
        <v>0</v>
      </c>
      <c r="BD228" s="5">
        <f>IF($F$222="Producción",IF($F228&gt;=LI_A,$S228,0),0)</f>
        <v>0</v>
      </c>
      <c r="BE228" s="5">
        <f>IF($F$222="Producción",IF($F228&gt;=LI_B,IF($F228&lt;LS_B,$S228,0),0),0)</f>
        <v>0</v>
      </c>
      <c r="BF228" s="5">
        <f>IF($F$222="Producción",IF($F228&gt;=LI_C,IF($F228&lt;LS_C,$S228,0),0),0)</f>
        <v>0</v>
      </c>
      <c r="BG228" s="5">
        <f>IF($F$222="Producción",IF($F228&lt;LS_D,$S228,0),0)</f>
        <v>0</v>
      </c>
      <c r="BH228" s="5">
        <f>IF($F$222="Crecimiento",$S228,0)</f>
        <v>0</v>
      </c>
      <c r="BK228" s="5">
        <f>IF($G$222="Producción",IF($G228&gt;=LI_A,$T228,0),0)</f>
        <v>0</v>
      </c>
      <c r="BL228" s="5">
        <f>IF($G$222="Producción",IF($G228&gt;=LI_B,IF($G228&lt;LS_B,$T228,0),0),0)</f>
        <v>0</v>
      </c>
      <c r="BM228" s="5">
        <f>IF($G$222="Producción",IF($G228&gt;=LI_C,IF($G228&lt;LS_C,$T228,0),0),0)</f>
        <v>0</v>
      </c>
      <c r="BN228" s="5">
        <f>IF($G$222="Producción",IF($G228&lt;LS_D,$T228,0),0)</f>
        <v>0</v>
      </c>
      <c r="BO228" s="5">
        <f>IF($G$222="Crecimiento",$T228,0)</f>
        <v>0</v>
      </c>
      <c r="BR228" s="5">
        <f>IF($H$222="Producción",IF($H228&gt;=LI_A,$U228,0),0)</f>
        <v>0</v>
      </c>
      <c r="BS228" s="5">
        <f>IF($H$222="Producción",IF($H228&gt;=LI_B,IF($H228&lt;LS_B,$U228,0),0),0)</f>
        <v>0</v>
      </c>
      <c r="BT228" s="5">
        <f>IF($H$222="Producción",IF($H228&gt;=LI_C,IF($H228&lt;LS_C,$U228,0),0),0)</f>
        <v>0</v>
      </c>
      <c r="BU228" s="5">
        <f>IF($H$222="Producción",IF($H228&lt;LS_D,$U228,0),0)</f>
        <v>0</v>
      </c>
      <c r="BV228" s="5">
        <f>IF($H$222="Crecimiento",$T228,0)</f>
        <v>0</v>
      </c>
      <c r="BY228" s="5">
        <f>IF($I$222="Producción",IF($I228&gt;=LI_A,$V228,0),0)</f>
        <v>0</v>
      </c>
      <c r="BZ228" s="5">
        <f>IF($I$222="Producción",IF($I228&gt;=LI_B,IF($I228&lt;LS_B,$V228,0),0),0)</f>
        <v>0</v>
      </c>
      <c r="CA228" s="5">
        <f>IF($I$222="Producción",IF($I228&gt;=LI_C,IF($I228&lt;LS_C,$V228,0),0),0)</f>
        <v>0</v>
      </c>
      <c r="CB228" s="5">
        <f>IF($I$222="Producción",IF($I228&lt;LS_D,$V228,0),0)</f>
        <v>0</v>
      </c>
      <c r="CC228" s="5">
        <f>IF($I$222="Crecimiento",$V228,0)</f>
        <v>0</v>
      </c>
      <c r="CF228" s="5">
        <f>IF($J$222="Producción",IF($J228&gt;=LI_A,$W228,0),0)</f>
        <v>0</v>
      </c>
      <c r="CG228" s="5">
        <f>IF($J$222="Producción",IF($J228&gt;=LI_B,IF($J228&lt;LS_B,$W228,0),0),0)</f>
        <v>0</v>
      </c>
      <c r="CH228" s="5">
        <f>IF($J$222="Producción",IF($J228&gt;=LI_C,IF($J228&lt;LS_C,$W228,0),0),0)</f>
        <v>0</v>
      </c>
      <c r="CI228" s="5">
        <f>IF($J$222="Producción",IF($J228&lt;LS_D,$W228,0),0)</f>
        <v>0</v>
      </c>
      <c r="CJ228" s="5">
        <f>IF($J$222="Crecimiento",$W228,0)</f>
        <v>0</v>
      </c>
      <c r="CM228" s="5">
        <f>IF($K$222="Producción",IF($K228&gt;=LI_A,$X228,0),0)</f>
        <v>0</v>
      </c>
      <c r="CN228" s="5">
        <f>IF($K$222="Producción",IF($K228&gt;=LI_B,IF($K228&lt;LS_B,$X228,0),0),0)</f>
        <v>0</v>
      </c>
      <c r="CO228" s="5">
        <f>IF($K$222="Producción",IF($K228&gt;=LI_C,IF($K228&lt;LS_C,$X228,0),0),0)</f>
        <v>0</v>
      </c>
      <c r="CP228" s="5">
        <f>IF($K$222="Producción",IF($K228&lt;LS_D,$X228,0),0)</f>
        <v>0</v>
      </c>
      <c r="CQ228" s="5">
        <f>IF($K$222="Crecimiento",$X228,0)</f>
        <v>0</v>
      </c>
      <c r="CT228" s="5">
        <f>IF($L$222="Producción",IF($L228&gt;=LI_A,$Y228,0),0)</f>
        <v>0</v>
      </c>
      <c r="CU228" s="5">
        <f>IF($L$222="Producción",IF($L228&gt;=LI_B,IF($L228&lt;LS_B,$Y228,0),0),0)</f>
        <v>0</v>
      </c>
      <c r="CV228" s="5">
        <f>IF($L$222="Producción",IF($L228&gt;=LI_C,IF($L228&lt;LS_C,$Y228,0),0),0)</f>
        <v>0</v>
      </c>
      <c r="CW228" s="5">
        <f>IF($L$222="Producción",IF($L228&lt;LS_D,$Y228,0),0)</f>
        <v>0</v>
      </c>
      <c r="CX228" s="5">
        <f>IF($L$222="Crecimiento",$Y228,0)</f>
        <v>0</v>
      </c>
      <c r="DA228" s="5">
        <f>IF($M$222="Producción",IF($M228&gt;=LI_A,$Z228,0),0)</f>
        <v>0</v>
      </c>
      <c r="DB228" s="5">
        <f>IF($M$222="Producción",IF($M228&gt;=LI_B,IF($M228&lt;LS_B,$Z228,0),0),0)</f>
        <v>0</v>
      </c>
      <c r="DC228" s="5">
        <f>IF($M$222="Producción",IF($M228&gt;=LI_C,IF($M228&lt;LS_C,$Z228,0),0),0)</f>
        <v>0</v>
      </c>
      <c r="DD228" s="5">
        <f>IF($M$222="Producción",IF($M228&lt;LS_D,$Z228,0),0)</f>
        <v>0</v>
      </c>
      <c r="DE228" s="5">
        <f>IF($M$222="Crecimiento",$Z228,0)</f>
        <v>0</v>
      </c>
      <c r="DI228" s="5">
        <f t="shared" si="1679"/>
        <v>0</v>
      </c>
      <c r="DJ228" s="5">
        <f t="shared" si="1680"/>
        <v>0</v>
      </c>
      <c r="DK228" s="5">
        <f t="shared" si="1681"/>
        <v>0</v>
      </c>
      <c r="DL228" s="5">
        <f t="shared" si="1682"/>
        <v>0</v>
      </c>
      <c r="DM228" s="5">
        <f t="shared" si="1683"/>
        <v>0</v>
      </c>
      <c r="DN228" s="5">
        <f t="shared" si="1684"/>
        <v>0</v>
      </c>
      <c r="DO228" s="5">
        <f t="shared" si="1685"/>
        <v>0</v>
      </c>
      <c r="DP228" s="5">
        <f t="shared" si="1686"/>
        <v>0</v>
      </c>
      <c r="DQ228" s="5">
        <f t="shared" si="1687"/>
        <v>0</v>
      </c>
      <c r="DR228" s="5">
        <f t="shared" si="1688"/>
        <v>0</v>
      </c>
      <c r="DS228" s="5">
        <f t="shared" si="1689"/>
        <v>0</v>
      </c>
      <c r="DT228" s="5">
        <f t="shared" si="1690"/>
        <v>0</v>
      </c>
      <c r="DU228" s="5">
        <f t="shared" si="1691"/>
        <v>0</v>
      </c>
      <c r="DV228" s="5">
        <f t="shared" si="1692"/>
        <v>0</v>
      </c>
      <c r="DW228" s="5">
        <f t="shared" si="1693"/>
        <v>0</v>
      </c>
      <c r="DX228" s="5">
        <f t="shared" si="1694"/>
        <v>0</v>
      </c>
      <c r="DY228" s="5">
        <f t="shared" si="1695"/>
        <v>0</v>
      </c>
      <c r="DZ228" s="5">
        <f t="shared" si="1696"/>
        <v>0</v>
      </c>
      <c r="EA228" s="5">
        <f t="shared" si="1697"/>
        <v>0</v>
      </c>
      <c r="EB228" s="5">
        <f t="shared" si="1698"/>
        <v>0</v>
      </c>
      <c r="EC228" s="5">
        <f t="shared" si="1699"/>
        <v>0</v>
      </c>
      <c r="ED228" s="5">
        <f t="shared" si="1700"/>
        <v>0</v>
      </c>
      <c r="EE228" s="5">
        <f t="shared" si="1701"/>
        <v>0</v>
      </c>
      <c r="EF228" s="5">
        <f t="shared" si="1702"/>
        <v>0</v>
      </c>
      <c r="EG228" s="5">
        <f t="shared" si="1703"/>
        <v>0</v>
      </c>
      <c r="EH228" s="5">
        <f t="shared" si="1704"/>
        <v>0</v>
      </c>
      <c r="EI228" s="5">
        <f t="shared" si="1705"/>
        <v>0</v>
      </c>
      <c r="EJ228" s="5">
        <f t="shared" si="1706"/>
        <v>0</v>
      </c>
      <c r="EK228" s="5">
        <f t="shared" si="1707"/>
        <v>0</v>
      </c>
      <c r="EL228" s="5">
        <f t="shared" si="1708"/>
        <v>0</v>
      </c>
      <c r="EM228" s="5">
        <f t="shared" si="1709"/>
        <v>0</v>
      </c>
      <c r="EN228" s="5">
        <f t="shared" si="1710"/>
        <v>0</v>
      </c>
      <c r="EO228" s="5">
        <f t="shared" si="1711"/>
        <v>0</v>
      </c>
      <c r="EP228" s="5">
        <f t="shared" si="1712"/>
        <v>0</v>
      </c>
      <c r="EQ228" s="5">
        <f t="shared" si="1713"/>
        <v>0</v>
      </c>
      <c r="ER228" s="5">
        <f t="shared" si="1714"/>
        <v>0</v>
      </c>
      <c r="ES228" s="5">
        <f t="shared" si="1715"/>
        <v>0</v>
      </c>
      <c r="ET228" s="5">
        <f t="shared" si="1716"/>
        <v>0</v>
      </c>
      <c r="EU228" s="5">
        <f t="shared" si="1717"/>
        <v>0</v>
      </c>
      <c r="EV228" s="5">
        <f t="shared" si="1718"/>
        <v>0</v>
      </c>
      <c r="EW228" s="5">
        <f t="shared" si="1719"/>
        <v>0</v>
      </c>
      <c r="EX228" s="5">
        <f t="shared" si="1720"/>
        <v>0</v>
      </c>
      <c r="EY228" s="5">
        <f t="shared" si="1721"/>
        <v>0</v>
      </c>
      <c r="EZ228" s="5">
        <f t="shared" si="1722"/>
        <v>0</v>
      </c>
      <c r="FA228" s="5">
        <f t="shared" si="1723"/>
        <v>0</v>
      </c>
      <c r="FB228" s="5">
        <f t="shared" si="1724"/>
        <v>0</v>
      </c>
      <c r="FC228" s="5">
        <f t="shared" si="1725"/>
        <v>0</v>
      </c>
      <c r="FD228" s="5">
        <f t="shared" si="1726"/>
        <v>0</v>
      </c>
      <c r="FE228" s="5">
        <f t="shared" si="1727"/>
        <v>0</v>
      </c>
      <c r="FF228" s="5">
        <f t="shared" si="1728"/>
        <v>0</v>
      </c>
      <c r="FG228" s="5">
        <f t="shared" si="1729"/>
        <v>0</v>
      </c>
      <c r="FH228" s="5">
        <f t="shared" si="1730"/>
        <v>0</v>
      </c>
      <c r="FI228" s="5">
        <f t="shared" si="1731"/>
        <v>0</v>
      </c>
      <c r="FJ228" s="5">
        <f t="shared" si="1732"/>
        <v>0</v>
      </c>
      <c r="FK228" s="5">
        <f t="shared" si="1733"/>
        <v>0</v>
      </c>
      <c r="FL228" s="5">
        <f t="shared" si="1734"/>
        <v>0</v>
      </c>
      <c r="FM228" s="5">
        <f t="shared" si="1735"/>
        <v>0</v>
      </c>
      <c r="FN228" s="5">
        <f t="shared" si="1736"/>
        <v>0</v>
      </c>
      <c r="FO228" s="5">
        <f t="shared" si="1737"/>
        <v>0</v>
      </c>
      <c r="FP228" s="5">
        <f t="shared" si="1738"/>
        <v>0</v>
      </c>
    </row>
    <row r="229" spans="1:172" ht="20.100000000000001" customHeight="1" x14ac:dyDescent="0.3">
      <c r="A229" s="9" t="str">
        <f>IF(Ciclo=5,"Surco 5","NA")</f>
        <v>NA</v>
      </c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O229" s="58">
        <f>IF($A229="NA",0,IFERROR('6'!O$115/Ciclo,0))</f>
        <v>0</v>
      </c>
      <c r="P229" s="58">
        <f>IF($A229="NA",0,IFERROR('6'!P$115/Ciclo,0))</f>
        <v>0</v>
      </c>
      <c r="Q229" s="58">
        <f>IF($A229="NA",0,IFERROR('6'!Q$115/Ciclo,0))</f>
        <v>0</v>
      </c>
      <c r="R229" s="58">
        <f>IF($A229="NA",0,IFERROR('6'!R$115/Ciclo,0))</f>
        <v>0</v>
      </c>
      <c r="S229" s="58">
        <f>IF($A229="NA",0,IFERROR('6'!S$115/Ciclo,0))</f>
        <v>0</v>
      </c>
      <c r="T229" s="58">
        <f>IF($A229="NA",0,IFERROR('6'!T$115/Ciclo,0))</f>
        <v>0</v>
      </c>
      <c r="U229" s="58">
        <f>IF($A229="NA",0,IFERROR('6'!U$115/Ciclo,0))</f>
        <v>0</v>
      </c>
      <c r="V229" s="58">
        <f>IF($A229="NA",0,IFERROR('6'!V$115/Ciclo,0))</f>
        <v>0</v>
      </c>
      <c r="W229" s="5">
        <f>IF($A229="NA",0,IFERROR('6'!W$115/Ciclo,0))</f>
        <v>0</v>
      </c>
      <c r="X229" s="5">
        <f>IF($A229="NA",0,IFERROR('6'!X$115/Ciclo,0))</f>
        <v>0</v>
      </c>
      <c r="Y229" s="5">
        <f>IF($A229="NA",0,IFERROR('6'!Y$115/Ciclo,0))</f>
        <v>0</v>
      </c>
      <c r="Z229" s="5">
        <f>IF($A229="NA",0,IFERROR('6'!Z$115/Ciclo,0))</f>
        <v>0</v>
      </c>
      <c r="AB229" s="5">
        <f>IF($B$222="Producción",IF($B229&gt;=LI_A,$O229,0),0)</f>
        <v>0</v>
      </c>
      <c r="AC229" s="5">
        <f>IF($B$222="Producción",IF($B229&gt;=LI_B,IF($B229&lt;LS_B,$O229,0),0),0)</f>
        <v>0</v>
      </c>
      <c r="AD229" s="5">
        <f>IF($B$222="Producción",IF($B229&gt;=LI_C,IF($B229&lt;LS_C,$O229,0),0),0)</f>
        <v>0</v>
      </c>
      <c r="AE229" s="5">
        <f>IF($B$222="Producción",IF($B229&lt;LS_D,$O229,0),0)</f>
        <v>0</v>
      </c>
      <c r="AF229" s="5">
        <f t="shared" si="1739"/>
        <v>0</v>
      </c>
      <c r="AI229" s="5">
        <f>IF($C$222="Producción",IF($C229&gt;=LI_A,$P229,0),0)</f>
        <v>0</v>
      </c>
      <c r="AJ229" s="5">
        <f>IF($C$222="Producción",IF($C229&gt;=LI_B,IF($C229&lt;LS_B,$P229,0),0),0)</f>
        <v>0</v>
      </c>
      <c r="AK229" s="5">
        <f>IF($C$222="Producción",IF($C229&gt;=LI_C,IF($C229&lt;LS_C,$P229,0),0),0)</f>
        <v>0</v>
      </c>
      <c r="AL229" s="5">
        <f>IF($C$222="Producción",IF($C229&lt;LS_D,$P229,0),0)</f>
        <v>0</v>
      </c>
      <c r="AM229" s="5">
        <f>IF($C$222="Crecimiento",$P229,0)</f>
        <v>0</v>
      </c>
      <c r="AP229" s="5">
        <f>IF($D$222="Producción",IF($D229&gt;=LI_A,$Q229,0),0)</f>
        <v>0</v>
      </c>
      <c r="AQ229" s="5">
        <f>IF($D$222="Producción",IF($D229&gt;=LI_B,IF($D229&lt;LS_B,$Q229,0),0),0)</f>
        <v>0</v>
      </c>
      <c r="AR229" s="5">
        <f>IF($D$222="Producción",IF($D229&gt;=LI_C,IF($D229&lt;LS_C,$Q229,0),0),0)</f>
        <v>0</v>
      </c>
      <c r="AS229" s="5">
        <f>IF($D$222="Producción",IF($D229&lt;LS_D,$Q229,0),0)</f>
        <v>0</v>
      </c>
      <c r="AT229" s="5">
        <f>IF($D$222="Crecimiento",IF($D229&gt;0,$Q229,0),0)</f>
        <v>0</v>
      </c>
      <c r="AW229" s="5">
        <f>IF($E$222="Producción",IF($E229&gt;=LI_A,$R229,0),0)</f>
        <v>0</v>
      </c>
      <c r="AX229" s="5">
        <f>IF($E$222="Producción",IF($E229&gt;=LI_B,IF($E229&lt;LS_B,$R229,0),0),0)</f>
        <v>0</v>
      </c>
      <c r="AY229" s="5">
        <f>IF($E$222="Producción",IF($E229&gt;=LI_C,IF($E229&lt;LS_C,$R229,0),0),0)</f>
        <v>0</v>
      </c>
      <c r="AZ229" s="5">
        <f>IF($E$222="Producción",IF($E229&lt;LS_D,$R229,0),0)</f>
        <v>0</v>
      </c>
      <c r="BA229" s="5">
        <f>IF($E$222="Crecimiento",$R229,0)</f>
        <v>0</v>
      </c>
      <c r="BD229" s="5">
        <f>IF($F$222="Producción",IF($F229&gt;=LI_A,$S229,0),0)</f>
        <v>0</v>
      </c>
      <c r="BE229" s="5">
        <f>IF($F$222="Producción",IF($F229&gt;=LI_B,IF($F229&lt;LS_B,$S229,0),0),0)</f>
        <v>0</v>
      </c>
      <c r="BF229" s="5">
        <f>IF($F$222="Producción",IF($F229&gt;=LI_C,IF($F229&lt;LS_C,$S229,0),0),0)</f>
        <v>0</v>
      </c>
      <c r="BG229" s="5">
        <f>IF($F$222="Producción",IF($F229&lt;LS_D,$S229,0),0)</f>
        <v>0</v>
      </c>
      <c r="BH229" s="5">
        <f>IF($F$222="Crecimiento",$S229,0)</f>
        <v>0</v>
      </c>
      <c r="BK229" s="5">
        <f>IF($G$222="Producción",IF($G229&gt;=LI_A,$T229,0),0)</f>
        <v>0</v>
      </c>
      <c r="BL229" s="5">
        <f>IF($G$222="Producción",IF($G229&gt;=LI_B,IF($G229&lt;LS_B,$T229,0),0),0)</f>
        <v>0</v>
      </c>
      <c r="BM229" s="5">
        <f>IF($G$222="Producción",IF($G229&gt;=LI_C,IF($G229&lt;LS_C,$T229,0),0),0)</f>
        <v>0</v>
      </c>
      <c r="BN229" s="5">
        <f>IF($G$222="Producción",IF($G229&lt;LS_D,$T229,0),0)</f>
        <v>0</v>
      </c>
      <c r="BO229" s="5">
        <f>IF($G$222="Crecimiento",$T229,0)</f>
        <v>0</v>
      </c>
      <c r="BR229" s="5">
        <f>IF($H$222="Producción",IF($H229&gt;=LI_A,$U229,0),0)</f>
        <v>0</v>
      </c>
      <c r="BS229" s="5">
        <f>IF($H$222="Producción",IF($H229&gt;=LI_B,IF($H229&lt;LS_B,$U229,0),0),0)</f>
        <v>0</v>
      </c>
      <c r="BT229" s="5">
        <f>IF($H$222="Producción",IF($H229&gt;=LI_C,IF($H229&lt;LS_C,$U229,0),0),0)</f>
        <v>0</v>
      </c>
      <c r="BU229" s="5">
        <f>IF($H$222="Producción",IF($H229&lt;LS_D,$U229,0),0)</f>
        <v>0</v>
      </c>
      <c r="BV229" s="5">
        <f>IF($H$222="Crecimiento",$T229,0)</f>
        <v>0</v>
      </c>
      <c r="BY229" s="5">
        <f>IF($I$222="Producción",IF($I229&gt;=LI_A,$V229,0),0)</f>
        <v>0</v>
      </c>
      <c r="BZ229" s="5">
        <f>IF($I$222="Producción",IF($I229&gt;=LI_B,IF($I229&lt;LS_B,$V229,0),0),0)</f>
        <v>0</v>
      </c>
      <c r="CA229" s="5">
        <f>IF($I$222="Producción",IF($I229&gt;=LI_C,IF($I229&lt;LS_C,$V229,0),0),0)</f>
        <v>0</v>
      </c>
      <c r="CB229" s="5">
        <f>IF($I$222="Producción",IF($I229&lt;LS_D,$V229,0),0)</f>
        <v>0</v>
      </c>
      <c r="CC229" s="5">
        <f>IF($I$222="Crecimiento",$V229,0)</f>
        <v>0</v>
      </c>
      <c r="CF229" s="5">
        <f>IF($J$222="Producción",IF($J229&gt;=LI_A,$W229,0),0)</f>
        <v>0</v>
      </c>
      <c r="CG229" s="5">
        <f>IF($J$222="Producción",IF($J229&gt;=LI_B,IF($J229&lt;LS_B,$W229,0),0),0)</f>
        <v>0</v>
      </c>
      <c r="CH229" s="5">
        <f>IF($J$222="Producción",IF($J229&gt;=LI_C,IF($J229&lt;LS_C,$W229,0),0),0)</f>
        <v>0</v>
      </c>
      <c r="CI229" s="5">
        <f>IF($J$222="Producción",IF($J229&lt;LS_D,$W229,0),0)</f>
        <v>0</v>
      </c>
      <c r="CJ229" s="5">
        <f>IF($J$222="Crecimiento",$W229,0)</f>
        <v>0</v>
      </c>
      <c r="CM229" s="5">
        <f>IF($K$222="Producción",IF($K229&gt;=LI_A,$X229,0),0)</f>
        <v>0</v>
      </c>
      <c r="CN229" s="5">
        <f>IF($K$222="Producción",IF($K229&gt;=LI_B,IF($K229&lt;LS_B,$X229,0),0),0)</f>
        <v>0</v>
      </c>
      <c r="CO229" s="5">
        <f>IF($K$222="Producción",IF($K229&gt;=LI_C,IF($K229&lt;LS_C,$X229,0),0),0)</f>
        <v>0</v>
      </c>
      <c r="CP229" s="5">
        <f>IF($K$222="Producción",IF($K229&lt;LS_D,$X229,0),0)</f>
        <v>0</v>
      </c>
      <c r="CQ229" s="5">
        <f>IF($K$222="Crecimiento",$X229,0)</f>
        <v>0</v>
      </c>
      <c r="CT229" s="5">
        <f>IF($L$222="Producción",IF($L229&gt;=LI_A,$Y229,0),0)</f>
        <v>0</v>
      </c>
      <c r="CU229" s="5">
        <f>IF($L$222="Producción",IF($L229&gt;=LI_B,IF($L229&lt;LS_B,$Y229,0),0),0)</f>
        <v>0</v>
      </c>
      <c r="CV229" s="5">
        <f>IF($L$222="Producción",IF($L229&gt;=LI_C,IF($L229&lt;LS_C,$Y229,0),0),0)</f>
        <v>0</v>
      </c>
      <c r="CW229" s="5">
        <f>IF($L$222="Producción",IF($L229&lt;LS_D,$Y229,0),0)</f>
        <v>0</v>
      </c>
      <c r="CX229" s="5">
        <f>IF($L$222="Crecimiento",$Y229,0)</f>
        <v>0</v>
      </c>
      <c r="DA229" s="5">
        <f>IF($M$222="Producción",IF($M229&gt;=LI_A,$Z229,0),0)</f>
        <v>0</v>
      </c>
      <c r="DB229" s="5">
        <f>IF($M$222="Producción",IF($M229&gt;=LI_B,IF($M229&lt;LS_B,$Z229,0),0),0)</f>
        <v>0</v>
      </c>
      <c r="DC229" s="5">
        <f>IF($M$222="Producción",IF($M229&gt;=LI_C,IF($M229&lt;LS_C,$Z229,0),0),0)</f>
        <v>0</v>
      </c>
      <c r="DD229" s="5">
        <f>IF($M$222="Producción",IF($M229&lt;LS_D,$Z229,0),0)</f>
        <v>0</v>
      </c>
      <c r="DE229" s="5">
        <f>IF($M$222="Crecimiento",$Z229,0)</f>
        <v>0</v>
      </c>
      <c r="DI229" s="5">
        <f t="shared" si="1679"/>
        <v>0</v>
      </c>
      <c r="DJ229" s="5">
        <f t="shared" si="1680"/>
        <v>0</v>
      </c>
      <c r="DK229" s="5">
        <f t="shared" si="1681"/>
        <v>0</v>
      </c>
      <c r="DL229" s="5">
        <f t="shared" si="1682"/>
        <v>0</v>
      </c>
      <c r="DM229" s="5">
        <f t="shared" si="1683"/>
        <v>0</v>
      </c>
      <c r="DN229" s="5">
        <f t="shared" si="1684"/>
        <v>0</v>
      </c>
      <c r="DO229" s="5">
        <f t="shared" si="1685"/>
        <v>0</v>
      </c>
      <c r="DP229" s="5">
        <f t="shared" si="1686"/>
        <v>0</v>
      </c>
      <c r="DQ229" s="5">
        <f t="shared" si="1687"/>
        <v>0</v>
      </c>
      <c r="DR229" s="5">
        <f t="shared" si="1688"/>
        <v>0</v>
      </c>
      <c r="DS229" s="5">
        <f t="shared" si="1689"/>
        <v>0</v>
      </c>
      <c r="DT229" s="5">
        <f t="shared" si="1690"/>
        <v>0</v>
      </c>
      <c r="DU229" s="5">
        <f t="shared" si="1691"/>
        <v>0</v>
      </c>
      <c r="DV229" s="5">
        <f t="shared" si="1692"/>
        <v>0</v>
      </c>
      <c r="DW229" s="5">
        <f t="shared" si="1693"/>
        <v>0</v>
      </c>
      <c r="DX229" s="5">
        <f t="shared" si="1694"/>
        <v>0</v>
      </c>
      <c r="DY229" s="5">
        <f t="shared" si="1695"/>
        <v>0</v>
      </c>
      <c r="DZ229" s="5">
        <f t="shared" si="1696"/>
        <v>0</v>
      </c>
      <c r="EA229" s="5">
        <f t="shared" si="1697"/>
        <v>0</v>
      </c>
      <c r="EB229" s="5">
        <f t="shared" si="1698"/>
        <v>0</v>
      </c>
      <c r="EC229" s="5">
        <f t="shared" si="1699"/>
        <v>0</v>
      </c>
      <c r="ED229" s="5">
        <f t="shared" si="1700"/>
        <v>0</v>
      </c>
      <c r="EE229" s="5">
        <f t="shared" si="1701"/>
        <v>0</v>
      </c>
      <c r="EF229" s="5">
        <f t="shared" si="1702"/>
        <v>0</v>
      </c>
      <c r="EG229" s="5">
        <f t="shared" si="1703"/>
        <v>0</v>
      </c>
      <c r="EH229" s="5">
        <f t="shared" si="1704"/>
        <v>0</v>
      </c>
      <c r="EI229" s="5">
        <f t="shared" si="1705"/>
        <v>0</v>
      </c>
      <c r="EJ229" s="5">
        <f t="shared" si="1706"/>
        <v>0</v>
      </c>
      <c r="EK229" s="5">
        <f t="shared" si="1707"/>
        <v>0</v>
      </c>
      <c r="EL229" s="5">
        <f t="shared" si="1708"/>
        <v>0</v>
      </c>
      <c r="EM229" s="5">
        <f t="shared" si="1709"/>
        <v>0</v>
      </c>
      <c r="EN229" s="5">
        <f t="shared" si="1710"/>
        <v>0</v>
      </c>
      <c r="EO229" s="5">
        <f t="shared" si="1711"/>
        <v>0</v>
      </c>
      <c r="EP229" s="5">
        <f t="shared" si="1712"/>
        <v>0</v>
      </c>
      <c r="EQ229" s="5">
        <f t="shared" si="1713"/>
        <v>0</v>
      </c>
      <c r="ER229" s="5">
        <f t="shared" si="1714"/>
        <v>0</v>
      </c>
      <c r="ES229" s="5">
        <f t="shared" si="1715"/>
        <v>0</v>
      </c>
      <c r="ET229" s="5">
        <f t="shared" si="1716"/>
        <v>0</v>
      </c>
      <c r="EU229" s="5">
        <f t="shared" si="1717"/>
        <v>0</v>
      </c>
      <c r="EV229" s="5">
        <f t="shared" si="1718"/>
        <v>0</v>
      </c>
      <c r="EW229" s="5">
        <f t="shared" si="1719"/>
        <v>0</v>
      </c>
      <c r="EX229" s="5">
        <f t="shared" si="1720"/>
        <v>0</v>
      </c>
      <c r="EY229" s="5">
        <f t="shared" si="1721"/>
        <v>0</v>
      </c>
      <c r="EZ229" s="5">
        <f t="shared" si="1722"/>
        <v>0</v>
      </c>
      <c r="FA229" s="5">
        <f t="shared" si="1723"/>
        <v>0</v>
      </c>
      <c r="FB229" s="5">
        <f t="shared" si="1724"/>
        <v>0</v>
      </c>
      <c r="FC229" s="5">
        <f t="shared" si="1725"/>
        <v>0</v>
      </c>
      <c r="FD229" s="5">
        <f t="shared" si="1726"/>
        <v>0</v>
      </c>
      <c r="FE229" s="5">
        <f t="shared" si="1727"/>
        <v>0</v>
      </c>
      <c r="FF229" s="5">
        <f t="shared" si="1728"/>
        <v>0</v>
      </c>
      <c r="FG229" s="5">
        <f t="shared" si="1729"/>
        <v>0</v>
      </c>
      <c r="FH229" s="5">
        <f t="shared" si="1730"/>
        <v>0</v>
      </c>
      <c r="FI229" s="5">
        <f t="shared" si="1731"/>
        <v>0</v>
      </c>
      <c r="FJ229" s="5">
        <f t="shared" si="1732"/>
        <v>0</v>
      </c>
      <c r="FK229" s="5">
        <f t="shared" si="1733"/>
        <v>0</v>
      </c>
      <c r="FL229" s="5">
        <f t="shared" si="1734"/>
        <v>0</v>
      </c>
      <c r="FM229" s="5">
        <f t="shared" si="1735"/>
        <v>0</v>
      </c>
      <c r="FN229" s="5">
        <f t="shared" si="1736"/>
        <v>0</v>
      </c>
      <c r="FO229" s="5">
        <f t="shared" si="1737"/>
        <v>0</v>
      </c>
      <c r="FP229" s="5">
        <f t="shared" si="1738"/>
        <v>0</v>
      </c>
    </row>
    <row r="230" spans="1:172" ht="20.100000000000001" customHeight="1" x14ac:dyDescent="0.3">
      <c r="A230" s="172">
        <f>N_L29</f>
        <v>0</v>
      </c>
      <c r="B230" s="363" t="s">
        <v>37</v>
      </c>
      <c r="C230" s="363" t="s">
        <v>37</v>
      </c>
      <c r="D230" s="363" t="s">
        <v>37</v>
      </c>
      <c r="E230" s="363" t="s">
        <v>37</v>
      </c>
      <c r="F230" s="363" t="s">
        <v>37</v>
      </c>
      <c r="G230" s="363" t="s">
        <v>37</v>
      </c>
      <c r="H230" s="363" t="s">
        <v>37</v>
      </c>
      <c r="I230" s="363" t="s">
        <v>37</v>
      </c>
      <c r="J230" s="363" t="s">
        <v>37</v>
      </c>
      <c r="K230" s="363" t="s">
        <v>37</v>
      </c>
      <c r="L230" s="363" t="s">
        <v>37</v>
      </c>
      <c r="M230" s="363" t="s">
        <v>37</v>
      </c>
    </row>
    <row r="231" spans="1:172" ht="20.100000000000001" customHeight="1" x14ac:dyDescent="0.3">
      <c r="A231" s="175" t="s">
        <v>238</v>
      </c>
      <c r="B231" s="174">
        <f>SUM(DI233:DM237)/100</f>
        <v>0</v>
      </c>
      <c r="C231" s="174">
        <f>SUM(DN233:DR237)/100</f>
        <v>0</v>
      </c>
      <c r="D231" s="174">
        <f>SUM(DS233:DW237)/100</f>
        <v>0</v>
      </c>
      <c r="E231" s="174">
        <f>SUM(DX233:EB237)/100</f>
        <v>0</v>
      </c>
      <c r="F231" s="174">
        <f>SUM(EC233:EG237)/100</f>
        <v>0</v>
      </c>
      <c r="G231" s="174">
        <f>SUM(EH233:EL237)/100</f>
        <v>0</v>
      </c>
      <c r="H231" s="174">
        <f>SUM(EM233:EQ237)/100</f>
        <v>0</v>
      </c>
      <c r="I231" s="174">
        <f>SUM(ER233:EV237)/100</f>
        <v>0</v>
      </c>
      <c r="J231" s="174">
        <f>SUM(EW233:FA237)/100</f>
        <v>0</v>
      </c>
      <c r="K231" s="174">
        <f>SUM(FB233:FF237)/100</f>
        <v>0</v>
      </c>
      <c r="L231" s="174">
        <f>SUM(FG233:FK237)/100</f>
        <v>0</v>
      </c>
      <c r="M231" s="174">
        <f>SUM(FL233:FP237)/100</f>
        <v>0</v>
      </c>
    </row>
    <row r="232" spans="1:172" ht="20.100000000000001" customHeight="1" x14ac:dyDescent="0.3">
      <c r="A232" s="151" t="s">
        <v>239</v>
      </c>
      <c r="B232" s="152" t="e">
        <f t="shared" ref="B232:M232" si="1740">B231/Lote_29</f>
        <v>#DIV/0!</v>
      </c>
      <c r="C232" s="152" t="e">
        <f t="shared" si="1740"/>
        <v>#DIV/0!</v>
      </c>
      <c r="D232" s="152" t="e">
        <f t="shared" si="1740"/>
        <v>#DIV/0!</v>
      </c>
      <c r="E232" s="152" t="e">
        <f t="shared" si="1740"/>
        <v>#DIV/0!</v>
      </c>
      <c r="F232" s="152" t="e">
        <f t="shared" si="1740"/>
        <v>#DIV/0!</v>
      </c>
      <c r="G232" s="152" t="e">
        <f t="shared" si="1740"/>
        <v>#DIV/0!</v>
      </c>
      <c r="H232" s="152" t="e">
        <f t="shared" si="1740"/>
        <v>#DIV/0!</v>
      </c>
      <c r="I232" s="152" t="e">
        <f t="shared" si="1740"/>
        <v>#DIV/0!</v>
      </c>
      <c r="J232" s="152" t="e">
        <f t="shared" si="1740"/>
        <v>#DIV/0!</v>
      </c>
      <c r="K232" s="152" t="e">
        <f t="shared" si="1740"/>
        <v>#DIV/0!</v>
      </c>
      <c r="L232" s="152" t="e">
        <f t="shared" si="1740"/>
        <v>#DIV/0!</v>
      </c>
      <c r="M232" s="152" t="e">
        <f t="shared" si="1740"/>
        <v>#DIV/0!</v>
      </c>
    </row>
    <row r="233" spans="1:172" ht="20.100000000000001" customHeight="1" x14ac:dyDescent="0.3">
      <c r="A233" s="8" t="s">
        <v>302</v>
      </c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O233" s="58">
        <f>IFERROR('6'!O$119/Ciclo,0)</f>
        <v>0</v>
      </c>
      <c r="P233" s="58">
        <f>IFERROR('6'!P$119/Ciclo,0)</f>
        <v>0</v>
      </c>
      <c r="Q233" s="58">
        <f>IFERROR('6'!Q$119/Ciclo,0)</f>
        <v>0</v>
      </c>
      <c r="R233" s="58">
        <f>IFERROR('6'!R$119/Ciclo,0)</f>
        <v>0</v>
      </c>
      <c r="S233" s="58">
        <f>IFERROR('6'!S$119/Ciclo,0)</f>
        <v>0</v>
      </c>
      <c r="T233" s="58">
        <f>IFERROR('6'!T$119/Ciclo,0)</f>
        <v>0</v>
      </c>
      <c r="U233" s="58">
        <f>IFERROR('6'!U$119/Ciclo,0)</f>
        <v>0</v>
      </c>
      <c r="V233" s="58">
        <f>IFERROR('6'!V$119/Ciclo,0)</f>
        <v>0</v>
      </c>
      <c r="W233" s="5">
        <f>IFERROR('6'!W$119/Ciclo,0)</f>
        <v>0</v>
      </c>
      <c r="X233" s="5">
        <f>IFERROR('6'!X$119/Ciclo,0)</f>
        <v>0</v>
      </c>
      <c r="Y233" s="5">
        <f>IFERROR('6'!Y$119/Ciclo,0)</f>
        <v>0</v>
      </c>
      <c r="Z233" s="5">
        <f>IFERROR('6'!Z$119/Ciclo,0)</f>
        <v>0</v>
      </c>
      <c r="AB233" s="5">
        <f>IF($B$230="Producción",IF($B233&gt;=LI_A,$O233,0),0)</f>
        <v>0</v>
      </c>
      <c r="AC233" s="5">
        <f>IF($B$230="Producción",IF($B233&gt;=LI_B,IF($B233&lt;LS_B,$O233,0),0),0)</f>
        <v>0</v>
      </c>
      <c r="AD233" s="5">
        <f>IF($B$230="Producción",IF($B233&gt;=LI_C,IF($B233&lt;LS_C,$O233,0),0),0)</f>
        <v>0</v>
      </c>
      <c r="AE233" s="5">
        <f>IF($B$230="Producción",IF($B233&lt;LS_D,$O233,0),0)</f>
        <v>0</v>
      </c>
      <c r="AF233" s="5">
        <f>IF($B$230="Crecimiento",$O233,0)</f>
        <v>0</v>
      </c>
      <c r="AG233" s="5">
        <f>IF($B230="Siembra",'6'!$O$7,0)</f>
        <v>0</v>
      </c>
      <c r="AH233" s="5">
        <f>IF($B230="Abandono",'6'!$O$7,0)</f>
        <v>0</v>
      </c>
      <c r="AI233" s="5">
        <f>IF($C$230="Producción",IF($C233&gt;=LI_A,$P233,0),0)</f>
        <v>0</v>
      </c>
      <c r="AJ233" s="5">
        <f>IF($C$230="Producción",IF($C233&gt;=LI_B,IF($C233&lt;LS_B,$P233,0),0),0)</f>
        <v>0</v>
      </c>
      <c r="AK233" s="5">
        <f>IF($C$230="Producción",IF($C233&gt;=LI_C,IF($C233&lt;LS_C,$P233,0),0),0)</f>
        <v>0</v>
      </c>
      <c r="AL233" s="5">
        <f>IF($C$230="Producción",IF($C233&lt;LS_D,$P233,0),0)</f>
        <v>0</v>
      </c>
      <c r="AM233" s="5">
        <f>IF($C$230="Crecimiento",$P233,0)</f>
        <v>0</v>
      </c>
      <c r="AN233" s="5">
        <f>IF($C230="Siembra",'6'!$P$7,0)</f>
        <v>0</v>
      </c>
      <c r="AO233" s="5">
        <f>IF($C230="Abandono",'6'!$P$7,0)</f>
        <v>0</v>
      </c>
      <c r="AP233" s="5">
        <f>IF($D$230="Producción",IF($D233&gt;=LI_A,$Q233,0),0)</f>
        <v>0</v>
      </c>
      <c r="AQ233" s="5">
        <f>IF($D$230="Producción",IF($D233&gt;=LI_B,IF($D233&lt;LS_B,$Q233,0),0),0)</f>
        <v>0</v>
      </c>
      <c r="AR233" s="5">
        <f>IF($D$230="Producción",IF($D233&gt;=LI_C,IF($D233&lt;LS_C,$Q233,0),0),0)</f>
        <v>0</v>
      </c>
      <c r="AS233" s="5">
        <f>IF($D$230="Producción",IF($D233&lt;LS_D,$Q233,0),0)</f>
        <v>0</v>
      </c>
      <c r="AT233" s="5">
        <f>IF($D$230="Crecimiento",IF($D233&gt;0,$Q233,0),0)</f>
        <v>0</v>
      </c>
      <c r="AU233" s="5">
        <f>IF($D230="Siembra",'6'!$Q$7,0)</f>
        <v>0</v>
      </c>
      <c r="AV233" s="5">
        <f>IF($D230="Abandono",'6'!$Q$7,0)</f>
        <v>0</v>
      </c>
      <c r="AW233" s="5">
        <f>IF($E$230="Producción",IF($E233&gt;=LI_A,$R233,0),0)</f>
        <v>0</v>
      </c>
      <c r="AX233" s="5">
        <f>IF($E$230="Producción",IF($E233&gt;=LI_B,IF($E233&lt;LS_B,$R233,0),0),0)</f>
        <v>0</v>
      </c>
      <c r="AY233" s="5">
        <f>IF($E$230="Producción",IF($E233&gt;=LI_C,IF($E233&lt;LS_C,$R233,0),0),0)</f>
        <v>0</v>
      </c>
      <c r="AZ233" s="5">
        <f>IF($E$230="Producción",IF($E233&lt;LS_D,$R233,0),0)</f>
        <v>0</v>
      </c>
      <c r="BA233" s="5">
        <f>IF($E$230="Crecimiento",$R233,0)</f>
        <v>0</v>
      </c>
      <c r="BB233" s="5">
        <f>IF($E230="Siembra",'6'!$R$7,0)</f>
        <v>0</v>
      </c>
      <c r="BC233" s="5">
        <f>IF($E230="Abandono",'6'!$R$7,0)</f>
        <v>0</v>
      </c>
      <c r="BD233" s="5">
        <f>IF($F$230="Producción",IF($F233&gt;=LI_A,$S233,0),0)</f>
        <v>0</v>
      </c>
      <c r="BE233" s="5">
        <f>IF($F$230="Producción",IF($F233&gt;=LI_B,IF($F233&lt;LS_B,$S233,0),0),0)</f>
        <v>0</v>
      </c>
      <c r="BF233" s="5">
        <f>IF($F$230="Producción",IF($F233&gt;=LI_C,IF($F233&lt;LS_C,$S233,0),0),0)</f>
        <v>0</v>
      </c>
      <c r="BG233" s="5">
        <f>IF($F$230="Producción",IF($F233&lt;LS_D,$S233,0),0)</f>
        <v>0</v>
      </c>
      <c r="BH233" s="5">
        <f>IF($F$230="Crecimiento",$S233,0)</f>
        <v>0</v>
      </c>
      <c r="BI233" s="5">
        <f>IF($F230="Siembra",'6'!$S$7,0)</f>
        <v>0</v>
      </c>
      <c r="BJ233" s="5">
        <f>IF($F230="Abandono",'6'!$S$7,0)</f>
        <v>0</v>
      </c>
      <c r="BK233" s="5">
        <f>IF($G$230="Producción",IF($G233&gt;=LI_A,$T233,0),0)</f>
        <v>0</v>
      </c>
      <c r="BL233" s="5">
        <f>IF($G$230="Producción",IF($G233&gt;=LI_B,IF($G233&lt;LS_B,$T233,0),0),0)</f>
        <v>0</v>
      </c>
      <c r="BM233" s="5">
        <f>IF($G$230="Producción",IF($G233&gt;=LI_C,IF($G233&lt;LS_C,$T233,0),0),0)</f>
        <v>0</v>
      </c>
      <c r="BN233" s="5">
        <f>IF($G$230="Producción",IF($G233&lt;LS_D,$T233,0),0)</f>
        <v>0</v>
      </c>
      <c r="BO233" s="5">
        <f>IF($G$230="Crecimiento",$T233,0)</f>
        <v>0</v>
      </c>
      <c r="BP233" s="5">
        <f>IF($G230="Siembra",'6'!$T$7,0)</f>
        <v>0</v>
      </c>
      <c r="BQ233" s="5">
        <f>IF($G230="Abandono",'6'!$T$7,0)</f>
        <v>0</v>
      </c>
      <c r="BR233" s="5">
        <f>IF($H$230="Producción",IF($H233&gt;=LI_A,$U233,0),0)</f>
        <v>0</v>
      </c>
      <c r="BS233" s="5">
        <f>IF($H$230="Producción",IF($H233&gt;=LI_B,IF($H233&lt;LS_B,$U233,0),0),0)</f>
        <v>0</v>
      </c>
      <c r="BT233" s="5">
        <f>IF($H$230="Producción",IF($H233&gt;=LI_C,IF($H233&lt;LS_C,$U233,0),0),0)</f>
        <v>0</v>
      </c>
      <c r="BU233" s="5">
        <f>IF($H$230="Producción",IF($H233&lt;LS_D,$U233,0),0)</f>
        <v>0</v>
      </c>
      <c r="BV233" s="5">
        <f>IF($H$230="Crecimiento",$T233,0)</f>
        <v>0</v>
      </c>
      <c r="BW233" s="5">
        <f>IF($H230="Siembra",'6'!$U$7,0)</f>
        <v>0</v>
      </c>
      <c r="BX233" s="5">
        <f>IF($H230="Abandono",'6'!$U$7,0)</f>
        <v>0</v>
      </c>
      <c r="BY233" s="5">
        <f>IF($I$230="Producción",IF($I233&gt;=LI_A,$V233,0),0)</f>
        <v>0</v>
      </c>
      <c r="BZ233" s="5">
        <f>IF($I$230="Producción",IF($I233&gt;=LI_B,IF($I233&lt;LS_B,$V233,0),0),0)</f>
        <v>0</v>
      </c>
      <c r="CA233" s="5">
        <f>IF($I$230="Producción",IF($I233&gt;=LI_C,IF($I233&lt;LS_C,$V233,0),0),0)</f>
        <v>0</v>
      </c>
      <c r="CB233" s="5">
        <f>IF($I$230="Producción",IF($I233&lt;LS_D,$V233,0),0)</f>
        <v>0</v>
      </c>
      <c r="CC233" s="5">
        <f>IF($I$230="Crecimiento",$V233,0)</f>
        <v>0</v>
      </c>
      <c r="CD233" s="5">
        <f>IF($I230="Siembra",'6'!$V$7,0)</f>
        <v>0</v>
      </c>
      <c r="CE233" s="5">
        <f>IF($I230="Abandono",'6'!$V$7,0)</f>
        <v>0</v>
      </c>
      <c r="CF233" s="5">
        <f>IF($J$230="Producción",IF($J233&gt;=LI_A,$W233,0),0)</f>
        <v>0</v>
      </c>
      <c r="CG233" s="5">
        <f>IF($J$230="Producción",IF($J233&gt;=LI_B,IF($J233&lt;LS_B,$W233,0),0),0)</f>
        <v>0</v>
      </c>
      <c r="CH233" s="5">
        <f>IF($J$230="Producción",IF($J233&gt;=LI_C,IF($J233&lt;LS_C,$W233,0),0),0)</f>
        <v>0</v>
      </c>
      <c r="CI233" s="5">
        <f>IF($J$230="Producción",IF($J233&lt;LS_D,$W233,0),0)</f>
        <v>0</v>
      </c>
      <c r="CJ233" s="5">
        <f>IF($J$230="Crecimiento",$W233,0)</f>
        <v>0</v>
      </c>
      <c r="CK233" s="5">
        <f>IF($J230="Siembra",'6'!$W$7,0)</f>
        <v>0</v>
      </c>
      <c r="CL233" s="5">
        <f>IF($J230="Abandono",'6'!$W$7,0)</f>
        <v>0</v>
      </c>
      <c r="CM233" s="5">
        <f>IF($K$230="Producción",IF($K233&gt;=LI_A,$X233,0),0)</f>
        <v>0</v>
      </c>
      <c r="CN233" s="5">
        <f>IF($K$230="Producción",IF($K233&gt;=LI_B,IF($K233&lt;LS_B,$X233,0),0),0)</f>
        <v>0</v>
      </c>
      <c r="CO233" s="5">
        <f>IF($K$230="Producción",IF($K233&gt;=LI_C,IF($K233&lt;LS_C,$X233,0),0),0)</f>
        <v>0</v>
      </c>
      <c r="CP233" s="5">
        <f>IF($K$230="Producción",IF($K233&lt;LS_D,$X233,0),0)</f>
        <v>0</v>
      </c>
      <c r="CQ233" s="5">
        <f>IF($K$230="Crecimiento",$X233,0)</f>
        <v>0</v>
      </c>
      <c r="CR233" s="5">
        <f>IF($K230="Siembra",'6'!$X$7,0)</f>
        <v>0</v>
      </c>
      <c r="CS233" s="5">
        <f>IF($K230="Abandono",'6'!$X$7,0)</f>
        <v>0</v>
      </c>
      <c r="CT233" s="5">
        <f>IF($L$230="Producción",IF($L233&gt;=LI_A,$Y233,0),0)</f>
        <v>0</v>
      </c>
      <c r="CU233" s="5">
        <f>IF($L$230="Producción",IF($L233&gt;=LI_B,IF($L233&lt;LS_B,$Y233,0),0),0)</f>
        <v>0</v>
      </c>
      <c r="CV233" s="5">
        <f>IF($L$230="Producción",IF($L233&gt;=LI_C,IF($L233&lt;LS_C,$Y233,0),0),0)</f>
        <v>0</v>
      </c>
      <c r="CW233" s="5">
        <f>IF($L$230="Producción",IF($L233&lt;LS_D,$Y233,0),0)</f>
        <v>0</v>
      </c>
      <c r="CX233" s="5">
        <f>IF($L$230="Crecimiento",$Y233,0)</f>
        <v>0</v>
      </c>
      <c r="CY233" s="5">
        <f>IF($L230="Siembra",'6'!$Y$7,0)</f>
        <v>0</v>
      </c>
      <c r="CZ233" s="5">
        <f>IF($L230="Abandono",'6'!$Y$7,0)</f>
        <v>0</v>
      </c>
      <c r="DA233" s="5">
        <f>IF($M$230="Producción",IF($M233&gt;=LI_A,$Z233,0),0)</f>
        <v>0</v>
      </c>
      <c r="DB233" s="5">
        <f>IF($M$230="Producción",IF($M233&gt;=LI_B,IF($M233&lt;LS_B,$Z233,0),0),0)</f>
        <v>0</v>
      </c>
      <c r="DC233" s="5">
        <f>IF($M$230="Producción",IF($M233&gt;=LI_C,IF($M233&lt;LS_C,$Z233,0),0),0)</f>
        <v>0</v>
      </c>
      <c r="DD233" s="5">
        <f>IF($M$230="Producción",IF($M233&lt;LS_D,$Z233,0),0)</f>
        <v>0</v>
      </c>
      <c r="DE233" s="5">
        <f>IF($M$230="Crecimiento",$Z233,0)</f>
        <v>0</v>
      </c>
      <c r="DF233" s="5">
        <f>IF($M230="Siembra",'6'!$Z$7,0)</f>
        <v>0</v>
      </c>
      <c r="DG233" s="5">
        <f>IF($M230="Abandono",'6'!$Z$7,0)</f>
        <v>0</v>
      </c>
      <c r="DI233" s="5">
        <f t="shared" ref="DI233:DI237" si="1741">AB233*$B233</f>
        <v>0</v>
      </c>
      <c r="DJ233" s="5">
        <f t="shared" ref="DJ233:DJ237" si="1742">AC233*$B233</f>
        <v>0</v>
      </c>
      <c r="DK233" s="5">
        <f t="shared" ref="DK233:DK237" si="1743">AD233*$B233</f>
        <v>0</v>
      </c>
      <c r="DL233" s="5">
        <f t="shared" ref="DL233:DL237" si="1744">AE233*$B233</f>
        <v>0</v>
      </c>
      <c r="DM233" s="5">
        <f t="shared" ref="DM233:DM237" si="1745">AF233*$B233</f>
        <v>0</v>
      </c>
      <c r="DN233" s="5">
        <f t="shared" ref="DN233:DN237" si="1746">AI233*$C233</f>
        <v>0</v>
      </c>
      <c r="DO233" s="5">
        <f t="shared" ref="DO233:DO237" si="1747">AJ233*$C233</f>
        <v>0</v>
      </c>
      <c r="DP233" s="5">
        <f t="shared" ref="DP233:DP237" si="1748">AK233*$C233</f>
        <v>0</v>
      </c>
      <c r="DQ233" s="5">
        <f t="shared" ref="DQ233:DQ237" si="1749">AL233*$C233</f>
        <v>0</v>
      </c>
      <c r="DR233" s="5">
        <f t="shared" ref="DR233:DR237" si="1750">AM233*$C233</f>
        <v>0</v>
      </c>
      <c r="DS233" s="5">
        <f t="shared" ref="DS233:DS237" si="1751">AP233*$D233</f>
        <v>0</v>
      </c>
      <c r="DT233" s="5">
        <f t="shared" ref="DT233:DT237" si="1752">AQ233*$D233</f>
        <v>0</v>
      </c>
      <c r="DU233" s="5">
        <f t="shared" ref="DU233:DU237" si="1753">AR233*$D233</f>
        <v>0</v>
      </c>
      <c r="DV233" s="5">
        <f t="shared" ref="DV233:DV237" si="1754">AS233*$D233</f>
        <v>0</v>
      </c>
      <c r="DW233" s="5">
        <f t="shared" ref="DW233:DW237" si="1755">AT233*$D233</f>
        <v>0</v>
      </c>
      <c r="DX233" s="5">
        <f t="shared" ref="DX233:DX237" si="1756">AW233*$E233</f>
        <v>0</v>
      </c>
      <c r="DY233" s="5">
        <f t="shared" ref="DY233:DY237" si="1757">AX233*$E233</f>
        <v>0</v>
      </c>
      <c r="DZ233" s="5">
        <f t="shared" ref="DZ233:DZ237" si="1758">AY233*$E233</f>
        <v>0</v>
      </c>
      <c r="EA233" s="5">
        <f t="shared" ref="EA233:EA237" si="1759">AZ233*$E233</f>
        <v>0</v>
      </c>
      <c r="EB233" s="5">
        <f t="shared" ref="EB233:EB237" si="1760">BA233*$E233</f>
        <v>0</v>
      </c>
      <c r="EC233" s="5">
        <f t="shared" ref="EC233:EC237" si="1761">BD233*$F233</f>
        <v>0</v>
      </c>
      <c r="ED233" s="5">
        <f t="shared" ref="ED233:ED237" si="1762">BE233*$F233</f>
        <v>0</v>
      </c>
      <c r="EE233" s="5">
        <f t="shared" ref="EE233:EE237" si="1763">BF233*$F233</f>
        <v>0</v>
      </c>
      <c r="EF233" s="5">
        <f t="shared" ref="EF233:EF237" si="1764">BG233*$F233</f>
        <v>0</v>
      </c>
      <c r="EG233" s="5">
        <f t="shared" ref="EG233:EG237" si="1765">BH233*$F233</f>
        <v>0</v>
      </c>
      <c r="EH233" s="5">
        <f t="shared" ref="EH233:EH237" si="1766">BK233*$G233</f>
        <v>0</v>
      </c>
      <c r="EI233" s="5">
        <f t="shared" ref="EI233:EI237" si="1767">BL233*$G233</f>
        <v>0</v>
      </c>
      <c r="EJ233" s="5">
        <f t="shared" ref="EJ233:EJ237" si="1768">BM233*$G233</f>
        <v>0</v>
      </c>
      <c r="EK233" s="5">
        <f t="shared" ref="EK233:EK237" si="1769">BN233*$G233</f>
        <v>0</v>
      </c>
      <c r="EL233" s="5">
        <f t="shared" ref="EL233:EL237" si="1770">BO233*$G233</f>
        <v>0</v>
      </c>
      <c r="EM233" s="5">
        <f t="shared" ref="EM233:EM237" si="1771">BR233*$H233</f>
        <v>0</v>
      </c>
      <c r="EN233" s="5">
        <f t="shared" ref="EN233:EN237" si="1772">BS233*$H233</f>
        <v>0</v>
      </c>
      <c r="EO233" s="5">
        <f t="shared" ref="EO233:EO237" si="1773">BT233*$H233</f>
        <v>0</v>
      </c>
      <c r="EP233" s="5">
        <f t="shared" ref="EP233:EP237" si="1774">BU233*$H233</f>
        <v>0</v>
      </c>
      <c r="EQ233" s="5">
        <f t="shared" ref="EQ233:EQ237" si="1775">BV233*$H233</f>
        <v>0</v>
      </c>
      <c r="ER233" s="5">
        <f t="shared" ref="ER233:ER237" si="1776">BY233*$I233</f>
        <v>0</v>
      </c>
      <c r="ES233" s="5">
        <f t="shared" ref="ES233:ES237" si="1777">BZ233*$I233</f>
        <v>0</v>
      </c>
      <c r="ET233" s="5">
        <f t="shared" ref="ET233:ET237" si="1778">CA233*$I233</f>
        <v>0</v>
      </c>
      <c r="EU233" s="5">
        <f t="shared" ref="EU233:EU237" si="1779">CB233*$I233</f>
        <v>0</v>
      </c>
      <c r="EV233" s="5">
        <f t="shared" ref="EV233:EV237" si="1780">CC233*$I233</f>
        <v>0</v>
      </c>
      <c r="EW233" s="5">
        <f t="shared" ref="EW233:EW237" si="1781">CF233*$J233</f>
        <v>0</v>
      </c>
      <c r="EX233" s="5">
        <f t="shared" ref="EX233:EX237" si="1782">CG233*$J233</f>
        <v>0</v>
      </c>
      <c r="EY233" s="5">
        <f t="shared" ref="EY233:EY237" si="1783">CH233*$J233</f>
        <v>0</v>
      </c>
      <c r="EZ233" s="5">
        <f t="shared" ref="EZ233:EZ237" si="1784">CI233*$J233</f>
        <v>0</v>
      </c>
      <c r="FA233" s="5">
        <f t="shared" ref="FA233:FA237" si="1785">CJ233*$J233</f>
        <v>0</v>
      </c>
      <c r="FB233" s="5">
        <f t="shared" ref="FB233:FB237" si="1786">CM233*$K233</f>
        <v>0</v>
      </c>
      <c r="FC233" s="5">
        <f t="shared" ref="FC233:FC237" si="1787">CN233*$K233</f>
        <v>0</v>
      </c>
      <c r="FD233" s="5">
        <f t="shared" ref="FD233:FD237" si="1788">CO233*$K233</f>
        <v>0</v>
      </c>
      <c r="FE233" s="5">
        <f t="shared" ref="FE233:FE237" si="1789">CP233*$K233</f>
        <v>0</v>
      </c>
      <c r="FF233" s="5">
        <f t="shared" ref="FF233:FF237" si="1790">CQ233*$K233</f>
        <v>0</v>
      </c>
      <c r="FG233" s="5">
        <f t="shared" ref="FG233:FG237" si="1791">CT233*$L233</f>
        <v>0</v>
      </c>
      <c r="FH233" s="5">
        <f t="shared" ref="FH233:FH237" si="1792">CU233*$L233</f>
        <v>0</v>
      </c>
      <c r="FI233" s="5">
        <f t="shared" ref="FI233:FI237" si="1793">CV233*$L233</f>
        <v>0</v>
      </c>
      <c r="FJ233" s="5">
        <f t="shared" ref="FJ233:FJ237" si="1794">CW233*$L233</f>
        <v>0</v>
      </c>
      <c r="FK233" s="5">
        <f t="shared" ref="FK233:FK237" si="1795">CX233*$L233</f>
        <v>0</v>
      </c>
      <c r="FL233" s="5">
        <f t="shared" ref="FL233:FL237" si="1796">DA233*$M233</f>
        <v>0</v>
      </c>
      <c r="FM233" s="5">
        <f t="shared" ref="FM233:FM237" si="1797">DB233*$M233</f>
        <v>0</v>
      </c>
      <c r="FN233" s="5">
        <f t="shared" ref="FN233:FN237" si="1798">DC233*$M233</f>
        <v>0</v>
      </c>
      <c r="FO233" s="5">
        <f t="shared" ref="FO233:FO237" si="1799">DD233*$M233</f>
        <v>0</v>
      </c>
      <c r="FP233" s="5">
        <f t="shared" ref="FP233:FP237" si="1800">DE233*$M233</f>
        <v>0</v>
      </c>
    </row>
    <row r="234" spans="1:172" ht="20.100000000000001" customHeight="1" x14ac:dyDescent="0.3">
      <c r="A234" s="8" t="s">
        <v>303</v>
      </c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O234" s="58">
        <f>IFERROR('6'!O$119/Ciclo,0)</f>
        <v>0</v>
      </c>
      <c r="P234" s="58">
        <f>IFERROR('6'!P$119/Ciclo,0)</f>
        <v>0</v>
      </c>
      <c r="Q234" s="58">
        <f>IFERROR('6'!Q$119/Ciclo,0)</f>
        <v>0</v>
      </c>
      <c r="R234" s="58">
        <f>IFERROR('6'!R$119/Ciclo,0)</f>
        <v>0</v>
      </c>
      <c r="S234" s="58">
        <f>IFERROR('6'!S$119/Ciclo,0)</f>
        <v>0</v>
      </c>
      <c r="T234" s="58">
        <f>IFERROR('6'!T$119/Ciclo,0)</f>
        <v>0</v>
      </c>
      <c r="U234" s="58">
        <f>IFERROR('6'!U$119/Ciclo,0)</f>
        <v>0</v>
      </c>
      <c r="V234" s="58">
        <f>IFERROR('6'!V$119/Ciclo,0)</f>
        <v>0</v>
      </c>
      <c r="W234" s="5">
        <f>IFERROR('6'!W$119/Ciclo,0)</f>
        <v>0</v>
      </c>
      <c r="X234" s="5">
        <f>IFERROR('6'!X$119/Ciclo,0)</f>
        <v>0</v>
      </c>
      <c r="Y234" s="5">
        <f>IFERROR('6'!Y$119/Ciclo,0)</f>
        <v>0</v>
      </c>
      <c r="Z234" s="5">
        <f>IFERROR('6'!Z$119/Ciclo,0)</f>
        <v>0</v>
      </c>
      <c r="AB234" s="5">
        <f>IF($B$230="Producción",IF($B234&gt;=LI_A,$O234,0),0)</f>
        <v>0</v>
      </c>
      <c r="AC234" s="5">
        <f>IF($B$230="Producción",IF($B234&gt;=LI_B,IF($B234&lt;LS_B,$O234,0),0),0)</f>
        <v>0</v>
      </c>
      <c r="AD234" s="5">
        <f>IF($B$230="Producción",IF($B234&gt;=LI_C,IF($B234&lt;LS_C,$O234,0),0),0)</f>
        <v>0</v>
      </c>
      <c r="AE234" s="5">
        <f>IF($B$230="Producción",IF($B234&lt;LS_D,$O234,0),0)</f>
        <v>0</v>
      </c>
      <c r="AF234" s="5">
        <f t="shared" ref="AF234:AF237" si="1801">IF($B$230="Crecimiento",$O234,0)</f>
        <v>0</v>
      </c>
      <c r="AI234" s="5">
        <f>IF($C$230="Producción",IF($C234&gt;=LI_A,$P234,0),0)</f>
        <v>0</v>
      </c>
      <c r="AJ234" s="5">
        <f>IF($C$230="Producción",IF($C234&gt;=LI_B,IF($C234&lt;LS_B,$P234,0),0),0)</f>
        <v>0</v>
      </c>
      <c r="AK234" s="5">
        <f>IF($C$230="Producción",IF($C234&gt;=LI_C,IF($C234&lt;LS_C,$P234,0),0),0)</f>
        <v>0</v>
      </c>
      <c r="AL234" s="5">
        <f>IF($C$230="Producción",IF($C234&lt;LS_D,$P234,0),0)</f>
        <v>0</v>
      </c>
      <c r="AM234" s="5">
        <f>IF($C$230="Crecimiento",$P234,0)</f>
        <v>0</v>
      </c>
      <c r="AP234" s="5">
        <f>IF($D$230="Producción",IF($D234&gt;=LI_A,$Q234,0),0)</f>
        <v>0</v>
      </c>
      <c r="AQ234" s="5">
        <f>IF($D$230="Producción",IF($D234&gt;=LI_B,IF($D234&lt;LS_B,$Q234,0),0),0)</f>
        <v>0</v>
      </c>
      <c r="AR234" s="5">
        <f>IF($D$230="Producción",IF($D234&gt;=LI_C,IF($D234&lt;LS_C,$Q234,0),0),0)</f>
        <v>0</v>
      </c>
      <c r="AS234" s="5">
        <f>IF($D$230="Producción",IF($D234&lt;LS_D,$Q234,0),0)</f>
        <v>0</v>
      </c>
      <c r="AT234" s="5">
        <f>IF($D$230="Crecimiento",IF($D234&gt;0,$Q234,0),0)</f>
        <v>0</v>
      </c>
      <c r="AW234" s="5">
        <f>IF($E$230="Producción",IF($E234&gt;=LI_A,$R234,0),0)</f>
        <v>0</v>
      </c>
      <c r="AX234" s="5">
        <f>IF($E$230="Producción",IF($E234&gt;=LI_B,IF($E234&lt;LS_B,$R234,0),0),0)</f>
        <v>0</v>
      </c>
      <c r="AY234" s="5">
        <f>IF($E$230="Producción",IF($E234&gt;=LI_C,IF($E234&lt;LS_C,$R234,0),0),0)</f>
        <v>0</v>
      </c>
      <c r="AZ234" s="5">
        <f>IF($E$230="Producción",IF($E234&lt;LS_D,$R234,0),0)</f>
        <v>0</v>
      </c>
      <c r="BA234" s="5">
        <f>IF($E$230="Crecimiento",$R234,0)</f>
        <v>0</v>
      </c>
      <c r="BD234" s="5">
        <f>IF($F$230="Producción",IF($F234&gt;=LI_A,$S234,0),0)</f>
        <v>0</v>
      </c>
      <c r="BE234" s="5">
        <f>IF($F$230="Producción",IF($F234&gt;=LI_B,IF($F234&lt;LS_B,$S234,0),0),0)</f>
        <v>0</v>
      </c>
      <c r="BF234" s="5">
        <f>IF($F$230="Producción",IF($F234&gt;=LI_C,IF($F234&lt;LS_C,$S234,0),0),0)</f>
        <v>0</v>
      </c>
      <c r="BG234" s="5">
        <f>IF($F$230="Producción",IF($F234&lt;LS_D,$S234,0),0)</f>
        <v>0</v>
      </c>
      <c r="BH234" s="5">
        <f>IF($F$230="Crecimiento",$S234,0)</f>
        <v>0</v>
      </c>
      <c r="BK234" s="5">
        <f>IF($G$230="Producción",IF($G234&gt;=LI_A,$T234,0),0)</f>
        <v>0</v>
      </c>
      <c r="BL234" s="5">
        <f>IF($G$230="Producción",IF($G234&gt;=LI_B,IF($G234&lt;LS_B,$T234,0),0),0)</f>
        <v>0</v>
      </c>
      <c r="BM234" s="5">
        <f>IF($G$230="Producción",IF($G234&gt;=LI_C,IF($G234&lt;LS_C,$T234,0),0),0)</f>
        <v>0</v>
      </c>
      <c r="BN234" s="5">
        <f>IF($G$230="Producción",IF($G234&lt;LS_D,$T234,0),0)</f>
        <v>0</v>
      </c>
      <c r="BO234" s="5">
        <f>IF($G$230="Crecimiento",$T234,0)</f>
        <v>0</v>
      </c>
      <c r="BR234" s="5">
        <f>IF($H$230="Producción",IF($H234&gt;=LI_A,$U234,0),0)</f>
        <v>0</v>
      </c>
      <c r="BS234" s="5">
        <f>IF($H$230="Producción",IF($H234&gt;=LI_B,IF($H234&lt;LS_B,$U234,0),0),0)</f>
        <v>0</v>
      </c>
      <c r="BT234" s="5">
        <f>IF($H$230="Producción",IF($H234&gt;=LI_C,IF($H234&lt;LS_C,$U234,0),0),0)</f>
        <v>0</v>
      </c>
      <c r="BU234" s="5">
        <f>IF($H$230="Producción",IF($H234&lt;LS_D,$U234,0),0)</f>
        <v>0</v>
      </c>
      <c r="BV234" s="5">
        <f>IF($H$230="Crecimiento",$T234,0)</f>
        <v>0</v>
      </c>
      <c r="BY234" s="5">
        <f>IF($I$230="Producción",IF($I234&gt;=LI_A,$V234,0),0)</f>
        <v>0</v>
      </c>
      <c r="BZ234" s="5">
        <f>IF($I$230="Producción",IF($I234&gt;=LI_B,IF($I234&lt;LS_B,$V234,0),0),0)</f>
        <v>0</v>
      </c>
      <c r="CA234" s="5">
        <f>IF($I$230="Producción",IF($I234&gt;=LI_C,IF($I234&lt;LS_C,$V234,0),0),0)</f>
        <v>0</v>
      </c>
      <c r="CB234" s="5">
        <f>IF($I$230="Producción",IF($I234&lt;LS_D,$V234,0),0)</f>
        <v>0</v>
      </c>
      <c r="CC234" s="5">
        <f>IF($I$230="Crecimiento",$V234,0)</f>
        <v>0</v>
      </c>
      <c r="CF234" s="5">
        <f>IF($J$230="Producción",IF($J234&gt;=LI_A,$W234,0),0)</f>
        <v>0</v>
      </c>
      <c r="CG234" s="5">
        <f>IF($J$230="Producción",IF($J234&gt;=LI_B,IF($J234&lt;LS_B,$W234,0),0),0)</f>
        <v>0</v>
      </c>
      <c r="CH234" s="5">
        <f>IF($J$230="Producción",IF($J234&gt;=LI_C,IF($J234&lt;LS_C,$W234,0),0),0)</f>
        <v>0</v>
      </c>
      <c r="CI234" s="5">
        <f>IF($J$230="Producción",IF($J234&lt;LS_D,$W234,0),0)</f>
        <v>0</v>
      </c>
      <c r="CJ234" s="5">
        <f>IF($J$230="Crecimiento",$W234,0)</f>
        <v>0</v>
      </c>
      <c r="CM234" s="5">
        <f>IF($K$230="Producción",IF($K234&gt;=LI_A,$X234,0),0)</f>
        <v>0</v>
      </c>
      <c r="CN234" s="5">
        <f>IF($K$230="Producción",IF($K234&gt;=LI_B,IF($K234&lt;LS_B,$X234,0),0),0)</f>
        <v>0</v>
      </c>
      <c r="CO234" s="5">
        <f>IF($K$230="Producción",IF($K234&gt;=LI_C,IF($K234&lt;LS_C,$X234,0),0),0)</f>
        <v>0</v>
      </c>
      <c r="CP234" s="5">
        <f>IF($K$230="Producción",IF($K234&lt;LS_D,$X234,0),0)</f>
        <v>0</v>
      </c>
      <c r="CQ234" s="5">
        <f>IF($K$230="Crecimiento",$X234,0)</f>
        <v>0</v>
      </c>
      <c r="CT234" s="5">
        <f>IF($L$230="Producción",IF($L234&gt;=LI_A,$Y234,0),0)</f>
        <v>0</v>
      </c>
      <c r="CU234" s="5">
        <f>IF($L$230="Producción",IF($L234&gt;=LI_B,IF($L234&lt;LS_B,$Y234,0),0),0)</f>
        <v>0</v>
      </c>
      <c r="CV234" s="5">
        <f>IF($L$230="Producción",IF($L234&gt;=LI_C,IF($L234&lt;LS_C,$Y234,0),0),0)</f>
        <v>0</v>
      </c>
      <c r="CW234" s="5">
        <f>IF($L$230="Producción",IF($L234&lt;LS_D,$Y234,0),0)</f>
        <v>0</v>
      </c>
      <c r="CX234" s="5">
        <f>IF($L$230="Crecimiento",$Y234,0)</f>
        <v>0</v>
      </c>
      <c r="DA234" s="5">
        <f>IF($M$230="Producción",IF($M234&gt;=LI_A,$Z234,0),0)</f>
        <v>0</v>
      </c>
      <c r="DB234" s="5">
        <f>IF($M$230="Producción",IF($M234&gt;=LI_B,IF($M234&lt;LS_B,$Z234,0),0),0)</f>
        <v>0</v>
      </c>
      <c r="DC234" s="5">
        <f>IF($M$230="Producción",IF($M234&gt;=LI_C,IF($M234&lt;LS_C,$Z234,0),0),0)</f>
        <v>0</v>
      </c>
      <c r="DD234" s="5">
        <f>IF($M$230="Producción",IF($M234&lt;LS_D,$Z234,0),0)</f>
        <v>0</v>
      </c>
      <c r="DE234" s="5">
        <f>IF($M$230="Crecimiento",$Z234,0)</f>
        <v>0</v>
      </c>
      <c r="DI234" s="5">
        <f t="shared" si="1741"/>
        <v>0</v>
      </c>
      <c r="DJ234" s="5">
        <f t="shared" si="1742"/>
        <v>0</v>
      </c>
      <c r="DK234" s="5">
        <f t="shared" si="1743"/>
        <v>0</v>
      </c>
      <c r="DL234" s="5">
        <f t="shared" si="1744"/>
        <v>0</v>
      </c>
      <c r="DM234" s="5">
        <f t="shared" si="1745"/>
        <v>0</v>
      </c>
      <c r="DN234" s="5">
        <f t="shared" si="1746"/>
        <v>0</v>
      </c>
      <c r="DO234" s="5">
        <f t="shared" si="1747"/>
        <v>0</v>
      </c>
      <c r="DP234" s="5">
        <f t="shared" si="1748"/>
        <v>0</v>
      </c>
      <c r="DQ234" s="5">
        <f t="shared" si="1749"/>
        <v>0</v>
      </c>
      <c r="DR234" s="5">
        <f t="shared" si="1750"/>
        <v>0</v>
      </c>
      <c r="DS234" s="5">
        <f t="shared" si="1751"/>
        <v>0</v>
      </c>
      <c r="DT234" s="5">
        <f t="shared" si="1752"/>
        <v>0</v>
      </c>
      <c r="DU234" s="5">
        <f t="shared" si="1753"/>
        <v>0</v>
      </c>
      <c r="DV234" s="5">
        <f t="shared" si="1754"/>
        <v>0</v>
      </c>
      <c r="DW234" s="5">
        <f t="shared" si="1755"/>
        <v>0</v>
      </c>
      <c r="DX234" s="5">
        <f t="shared" si="1756"/>
        <v>0</v>
      </c>
      <c r="DY234" s="5">
        <f t="shared" si="1757"/>
        <v>0</v>
      </c>
      <c r="DZ234" s="5">
        <f t="shared" si="1758"/>
        <v>0</v>
      </c>
      <c r="EA234" s="5">
        <f t="shared" si="1759"/>
        <v>0</v>
      </c>
      <c r="EB234" s="5">
        <f t="shared" si="1760"/>
        <v>0</v>
      </c>
      <c r="EC234" s="5">
        <f t="shared" si="1761"/>
        <v>0</v>
      </c>
      <c r="ED234" s="5">
        <f t="shared" si="1762"/>
        <v>0</v>
      </c>
      <c r="EE234" s="5">
        <f t="shared" si="1763"/>
        <v>0</v>
      </c>
      <c r="EF234" s="5">
        <f t="shared" si="1764"/>
        <v>0</v>
      </c>
      <c r="EG234" s="5">
        <f t="shared" si="1765"/>
        <v>0</v>
      </c>
      <c r="EH234" s="5">
        <f t="shared" si="1766"/>
        <v>0</v>
      </c>
      <c r="EI234" s="5">
        <f t="shared" si="1767"/>
        <v>0</v>
      </c>
      <c r="EJ234" s="5">
        <f t="shared" si="1768"/>
        <v>0</v>
      </c>
      <c r="EK234" s="5">
        <f t="shared" si="1769"/>
        <v>0</v>
      </c>
      <c r="EL234" s="5">
        <f t="shared" si="1770"/>
        <v>0</v>
      </c>
      <c r="EM234" s="5">
        <f t="shared" si="1771"/>
        <v>0</v>
      </c>
      <c r="EN234" s="5">
        <f t="shared" si="1772"/>
        <v>0</v>
      </c>
      <c r="EO234" s="5">
        <f t="shared" si="1773"/>
        <v>0</v>
      </c>
      <c r="EP234" s="5">
        <f t="shared" si="1774"/>
        <v>0</v>
      </c>
      <c r="EQ234" s="5">
        <f t="shared" si="1775"/>
        <v>0</v>
      </c>
      <c r="ER234" s="5">
        <f t="shared" si="1776"/>
        <v>0</v>
      </c>
      <c r="ES234" s="5">
        <f t="shared" si="1777"/>
        <v>0</v>
      </c>
      <c r="ET234" s="5">
        <f t="shared" si="1778"/>
        <v>0</v>
      </c>
      <c r="EU234" s="5">
        <f t="shared" si="1779"/>
        <v>0</v>
      </c>
      <c r="EV234" s="5">
        <f t="shared" si="1780"/>
        <v>0</v>
      </c>
      <c r="EW234" s="5">
        <f t="shared" si="1781"/>
        <v>0</v>
      </c>
      <c r="EX234" s="5">
        <f t="shared" si="1782"/>
        <v>0</v>
      </c>
      <c r="EY234" s="5">
        <f t="shared" si="1783"/>
        <v>0</v>
      </c>
      <c r="EZ234" s="5">
        <f t="shared" si="1784"/>
        <v>0</v>
      </c>
      <c r="FA234" s="5">
        <f t="shared" si="1785"/>
        <v>0</v>
      </c>
      <c r="FB234" s="5">
        <f t="shared" si="1786"/>
        <v>0</v>
      </c>
      <c r="FC234" s="5">
        <f t="shared" si="1787"/>
        <v>0</v>
      </c>
      <c r="FD234" s="5">
        <f t="shared" si="1788"/>
        <v>0</v>
      </c>
      <c r="FE234" s="5">
        <f t="shared" si="1789"/>
        <v>0</v>
      </c>
      <c r="FF234" s="5">
        <f t="shared" si="1790"/>
        <v>0</v>
      </c>
      <c r="FG234" s="5">
        <f t="shared" si="1791"/>
        <v>0</v>
      </c>
      <c r="FH234" s="5">
        <f t="shared" si="1792"/>
        <v>0</v>
      </c>
      <c r="FI234" s="5">
        <f t="shared" si="1793"/>
        <v>0</v>
      </c>
      <c r="FJ234" s="5">
        <f t="shared" si="1794"/>
        <v>0</v>
      </c>
      <c r="FK234" s="5">
        <f t="shared" si="1795"/>
        <v>0</v>
      </c>
      <c r="FL234" s="5">
        <f t="shared" si="1796"/>
        <v>0</v>
      </c>
      <c r="FM234" s="5">
        <f t="shared" si="1797"/>
        <v>0</v>
      </c>
      <c r="FN234" s="5">
        <f t="shared" si="1798"/>
        <v>0</v>
      </c>
      <c r="FO234" s="5">
        <f t="shared" si="1799"/>
        <v>0</v>
      </c>
      <c r="FP234" s="5">
        <f t="shared" si="1800"/>
        <v>0</v>
      </c>
    </row>
    <row r="235" spans="1:172" ht="20.100000000000001" customHeight="1" x14ac:dyDescent="0.3">
      <c r="A235" s="8" t="str">
        <f>IF(Ciclo&gt;2,"Surco 3","NA")</f>
        <v>Surco 3</v>
      </c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O235" s="58">
        <f>IF($A235="NA",0,IFERROR('6'!O$119/Ciclo,0))</f>
        <v>0</v>
      </c>
      <c r="P235" s="58">
        <f>IF($A235="NA",0,IFERROR('6'!P$119/Ciclo,0))</f>
        <v>0</v>
      </c>
      <c r="Q235" s="58">
        <f>IF($A235="NA",0,IFERROR('6'!Q$119/Ciclo,0))</f>
        <v>0</v>
      </c>
      <c r="R235" s="58">
        <f>IF($A235="NA",0,IFERROR('6'!R$119/Ciclo,0))</f>
        <v>0</v>
      </c>
      <c r="S235" s="58">
        <f>IF($A235="NA",0,IFERROR('6'!S$119/Ciclo,0))</f>
        <v>0</v>
      </c>
      <c r="T235" s="58">
        <f>IF($A235="NA",0,IFERROR('6'!T$119/Ciclo,0))</f>
        <v>0</v>
      </c>
      <c r="U235" s="58">
        <f>IF($A235="NA",0,IFERROR('6'!U$119/Ciclo,0))</f>
        <v>0</v>
      </c>
      <c r="V235" s="58">
        <f>IF($A235="NA",0,IFERROR('6'!V$119/Ciclo,0))</f>
        <v>0</v>
      </c>
      <c r="W235" s="5">
        <f>IF($A235="NA",0,IFERROR('6'!W$119/Ciclo,0))</f>
        <v>0</v>
      </c>
      <c r="X235" s="5">
        <f>IF($A235="NA",0,IFERROR('6'!X$119/Ciclo,0))</f>
        <v>0</v>
      </c>
      <c r="Y235" s="5">
        <f>IF($A235="NA",0,IFERROR('6'!Y$119/Ciclo,0))</f>
        <v>0</v>
      </c>
      <c r="Z235" s="5">
        <f>IF($A235="NA",0,IFERROR('6'!Z$119/Ciclo,0))</f>
        <v>0</v>
      </c>
      <c r="AB235" s="5">
        <f>IF($B$230="Producción",IF($B235&gt;=LI_A,$O235,0),0)</f>
        <v>0</v>
      </c>
      <c r="AC235" s="5">
        <f>IF($B$230="Producción",IF($B235&gt;=LI_B,IF($B235&lt;LS_B,$O235,0),0),0)</f>
        <v>0</v>
      </c>
      <c r="AD235" s="5">
        <f>IF($B$230="Producción",IF($B235&gt;=LI_C,IF($B235&lt;LS_C,$O235,0),0),0)</f>
        <v>0</v>
      </c>
      <c r="AE235" s="5">
        <f>IF($B$230="Producción",IF($B235&lt;LS_D,$O235,0),0)</f>
        <v>0</v>
      </c>
      <c r="AF235" s="5">
        <f t="shared" si="1801"/>
        <v>0</v>
      </c>
      <c r="AI235" s="5">
        <f>IF($C$230="Producción",IF($C235&gt;=LI_A,$P235,0),0)</f>
        <v>0</v>
      </c>
      <c r="AJ235" s="5">
        <f>IF($C$230="Producción",IF($C235&gt;=LI_B,IF($C235&lt;LS_B,$P235,0),0),0)</f>
        <v>0</v>
      </c>
      <c r="AK235" s="5">
        <f>IF($C$230="Producción",IF($C235&gt;=LI_C,IF($C235&lt;LS_C,$P235,0),0),0)</f>
        <v>0</v>
      </c>
      <c r="AL235" s="5">
        <f>IF($C$230="Producción",IF($C235&lt;LS_D,$P235,0),0)</f>
        <v>0</v>
      </c>
      <c r="AM235" s="5">
        <f>IF($C$230="Crecimiento",$P235,0)</f>
        <v>0</v>
      </c>
      <c r="AP235" s="5">
        <f>IF($D$230="Producción",IF($D235&gt;=LI_A,$Q235,0),0)</f>
        <v>0</v>
      </c>
      <c r="AQ235" s="5">
        <f>IF($D$230="Producción",IF($D235&gt;=LI_B,IF($D235&lt;LS_B,$Q235,0),0),0)</f>
        <v>0</v>
      </c>
      <c r="AR235" s="5">
        <f>IF($D$230="Producción",IF($D235&gt;=LI_C,IF($D235&lt;LS_C,$Q235,0),0),0)</f>
        <v>0</v>
      </c>
      <c r="AS235" s="5">
        <f>IF($D$230="Producción",IF($D235&lt;LS_D,$Q235,0),0)</f>
        <v>0</v>
      </c>
      <c r="AT235" s="5">
        <f>IF($D$230="Crecimiento",IF($D235&gt;0,$Q235,0),0)</f>
        <v>0</v>
      </c>
      <c r="AW235" s="5">
        <f>IF($E$230="Producción",IF($E235&gt;=LI_A,$R235,0),0)</f>
        <v>0</v>
      </c>
      <c r="AX235" s="5">
        <f>IF($E$230="Producción",IF($E235&gt;=LI_B,IF($E235&lt;LS_B,$R235,0),0),0)</f>
        <v>0</v>
      </c>
      <c r="AY235" s="5">
        <f>IF($E$230="Producción",IF($E235&gt;=LI_C,IF($E235&lt;LS_C,$R235,0),0),0)</f>
        <v>0</v>
      </c>
      <c r="AZ235" s="5">
        <f>IF($E$230="Producción",IF($E235&lt;LS_D,$R235,0),0)</f>
        <v>0</v>
      </c>
      <c r="BA235" s="5">
        <f>IF($E$230="Crecimiento",$R235,0)</f>
        <v>0</v>
      </c>
      <c r="BD235" s="5">
        <f>IF($F$230="Producción",IF($F235&gt;=LI_A,$S235,0),0)</f>
        <v>0</v>
      </c>
      <c r="BE235" s="5">
        <f>IF($F$230="Producción",IF($F235&gt;=LI_B,IF($F235&lt;LS_B,$S235,0),0),0)</f>
        <v>0</v>
      </c>
      <c r="BF235" s="5">
        <f>IF($F$230="Producción",IF($F235&gt;=LI_C,IF($F235&lt;LS_C,$S235,0),0),0)</f>
        <v>0</v>
      </c>
      <c r="BG235" s="5">
        <f>IF($F$230="Producción",IF($F235&lt;LS_D,$S235,0),0)</f>
        <v>0</v>
      </c>
      <c r="BH235" s="5">
        <f>IF($F$230="Crecimiento",$S235,0)</f>
        <v>0</v>
      </c>
      <c r="BK235" s="5">
        <f>IF($G$230="Producción",IF($G235&gt;=LI_A,$T235,0),0)</f>
        <v>0</v>
      </c>
      <c r="BL235" s="5">
        <f>IF($G$230="Producción",IF($G235&gt;=LI_B,IF($G235&lt;LS_B,$T235,0),0),0)</f>
        <v>0</v>
      </c>
      <c r="BM235" s="5">
        <f>IF($G$230="Producción",IF($G235&gt;=LI_C,IF($G235&lt;LS_C,$T235,0),0),0)</f>
        <v>0</v>
      </c>
      <c r="BN235" s="5">
        <f>IF($G$230="Producción",IF($G235&lt;LS_D,$T235,0),0)</f>
        <v>0</v>
      </c>
      <c r="BO235" s="5">
        <f>IF($G$230="Crecimiento",$T235,0)</f>
        <v>0</v>
      </c>
      <c r="BR235" s="5">
        <f>IF($H$230="Producción",IF($H235&gt;=LI_A,$U235,0),0)</f>
        <v>0</v>
      </c>
      <c r="BS235" s="5">
        <f>IF($H$230="Producción",IF($H235&gt;=LI_B,IF($H235&lt;LS_B,$U235,0),0),0)</f>
        <v>0</v>
      </c>
      <c r="BT235" s="5">
        <f>IF($H$230="Producción",IF($H235&gt;=LI_C,IF($H235&lt;LS_C,$U235,0),0),0)</f>
        <v>0</v>
      </c>
      <c r="BU235" s="5">
        <f>IF($H$230="Producción",IF($H235&lt;LS_D,$U235,0),0)</f>
        <v>0</v>
      </c>
      <c r="BV235" s="5">
        <f>IF($H$230="Crecimiento",$T235,0)</f>
        <v>0</v>
      </c>
      <c r="BY235" s="5">
        <f>IF($I$230="Producción",IF($I235&gt;=LI_A,$V235,0),0)</f>
        <v>0</v>
      </c>
      <c r="BZ235" s="5">
        <f>IF($I$230="Producción",IF($I235&gt;=LI_B,IF($I235&lt;LS_B,$V235,0),0),0)</f>
        <v>0</v>
      </c>
      <c r="CA235" s="5">
        <f>IF($I$230="Producción",IF($I235&gt;=LI_C,IF($I235&lt;LS_C,$V235,0),0),0)</f>
        <v>0</v>
      </c>
      <c r="CB235" s="5">
        <f>IF($I$230="Producción",IF($I235&lt;LS_D,$V235,0),0)</f>
        <v>0</v>
      </c>
      <c r="CC235" s="5">
        <f>IF($I$230="Crecimiento",$V235,0)</f>
        <v>0</v>
      </c>
      <c r="CF235" s="5">
        <f>IF($J$230="Producción",IF($J235&gt;=LI_A,$W235,0),0)</f>
        <v>0</v>
      </c>
      <c r="CG235" s="5">
        <f>IF($J$230="Producción",IF($J235&gt;=LI_B,IF($J235&lt;LS_B,$W235,0),0),0)</f>
        <v>0</v>
      </c>
      <c r="CH235" s="5">
        <f>IF($J$230="Producción",IF($J235&gt;=LI_C,IF($J235&lt;LS_C,$W235,0),0),0)</f>
        <v>0</v>
      </c>
      <c r="CI235" s="5">
        <f>IF($J$230="Producción",IF($J235&lt;LS_D,$W235,0),0)</f>
        <v>0</v>
      </c>
      <c r="CJ235" s="5">
        <f>IF($J$230="Crecimiento",$W235,0)</f>
        <v>0</v>
      </c>
      <c r="CM235" s="5">
        <f>IF($K$230="Producción",IF($K235&gt;=LI_A,$X235,0),0)</f>
        <v>0</v>
      </c>
      <c r="CN235" s="5">
        <f>IF($K$230="Producción",IF($K235&gt;=LI_B,IF($K235&lt;LS_B,$X235,0),0),0)</f>
        <v>0</v>
      </c>
      <c r="CO235" s="5">
        <f>IF($K$230="Producción",IF($K235&gt;=LI_C,IF($K235&lt;LS_C,$X235,0),0),0)</f>
        <v>0</v>
      </c>
      <c r="CP235" s="5">
        <f>IF($K$230="Producción",IF($K235&lt;LS_D,$X235,0),0)</f>
        <v>0</v>
      </c>
      <c r="CQ235" s="5">
        <f>IF($K$230="Crecimiento",$X235,0)</f>
        <v>0</v>
      </c>
      <c r="CT235" s="5">
        <f>IF($L$230="Producción",IF($L235&gt;=LI_A,$Y235,0),0)</f>
        <v>0</v>
      </c>
      <c r="CU235" s="5">
        <f>IF($L$230="Producción",IF($L235&gt;=LI_B,IF($L235&lt;LS_B,$Y235,0),0),0)</f>
        <v>0</v>
      </c>
      <c r="CV235" s="5">
        <f>IF($L$230="Producción",IF($L235&gt;=LI_C,IF($L235&lt;LS_C,$Y235,0),0),0)</f>
        <v>0</v>
      </c>
      <c r="CW235" s="5">
        <f>IF($L$230="Producción",IF($L235&lt;LS_D,$Y235,0),0)</f>
        <v>0</v>
      </c>
      <c r="CX235" s="5">
        <f>IF($L$230="Crecimiento",$Y235,0)</f>
        <v>0</v>
      </c>
      <c r="DA235" s="5">
        <f>IF($M$230="Producción",IF($M235&gt;=LI_A,$Z235,0),0)</f>
        <v>0</v>
      </c>
      <c r="DB235" s="5">
        <f>IF($M$230="Producción",IF($M235&gt;=LI_B,IF($M235&lt;LS_B,$Z235,0),0),0)</f>
        <v>0</v>
      </c>
      <c r="DC235" s="5">
        <f>IF($M$230="Producción",IF($M235&gt;=LI_C,IF($M235&lt;LS_C,$Z235,0),0),0)</f>
        <v>0</v>
      </c>
      <c r="DD235" s="5">
        <f>IF($M$230="Producción",IF($M235&lt;LS_D,$Z235,0),0)</f>
        <v>0</v>
      </c>
      <c r="DE235" s="5">
        <f>IF($M$230="Crecimiento",$Z235,0)</f>
        <v>0</v>
      </c>
      <c r="DI235" s="5">
        <f t="shared" si="1741"/>
        <v>0</v>
      </c>
      <c r="DJ235" s="5">
        <f t="shared" si="1742"/>
        <v>0</v>
      </c>
      <c r="DK235" s="5">
        <f t="shared" si="1743"/>
        <v>0</v>
      </c>
      <c r="DL235" s="5">
        <f t="shared" si="1744"/>
        <v>0</v>
      </c>
      <c r="DM235" s="5">
        <f t="shared" si="1745"/>
        <v>0</v>
      </c>
      <c r="DN235" s="5">
        <f t="shared" si="1746"/>
        <v>0</v>
      </c>
      <c r="DO235" s="5">
        <f t="shared" si="1747"/>
        <v>0</v>
      </c>
      <c r="DP235" s="5">
        <f t="shared" si="1748"/>
        <v>0</v>
      </c>
      <c r="DQ235" s="5">
        <f t="shared" si="1749"/>
        <v>0</v>
      </c>
      <c r="DR235" s="5">
        <f t="shared" si="1750"/>
        <v>0</v>
      </c>
      <c r="DS235" s="5">
        <f t="shared" si="1751"/>
        <v>0</v>
      </c>
      <c r="DT235" s="5">
        <f t="shared" si="1752"/>
        <v>0</v>
      </c>
      <c r="DU235" s="5">
        <f t="shared" si="1753"/>
        <v>0</v>
      </c>
      <c r="DV235" s="5">
        <f t="shared" si="1754"/>
        <v>0</v>
      </c>
      <c r="DW235" s="5">
        <f t="shared" si="1755"/>
        <v>0</v>
      </c>
      <c r="DX235" s="5">
        <f t="shared" si="1756"/>
        <v>0</v>
      </c>
      <c r="DY235" s="5">
        <f t="shared" si="1757"/>
        <v>0</v>
      </c>
      <c r="DZ235" s="5">
        <f t="shared" si="1758"/>
        <v>0</v>
      </c>
      <c r="EA235" s="5">
        <f t="shared" si="1759"/>
        <v>0</v>
      </c>
      <c r="EB235" s="5">
        <f t="shared" si="1760"/>
        <v>0</v>
      </c>
      <c r="EC235" s="5">
        <f t="shared" si="1761"/>
        <v>0</v>
      </c>
      <c r="ED235" s="5">
        <f t="shared" si="1762"/>
        <v>0</v>
      </c>
      <c r="EE235" s="5">
        <f t="shared" si="1763"/>
        <v>0</v>
      </c>
      <c r="EF235" s="5">
        <f t="shared" si="1764"/>
        <v>0</v>
      </c>
      <c r="EG235" s="5">
        <f t="shared" si="1765"/>
        <v>0</v>
      </c>
      <c r="EH235" s="5">
        <f t="shared" si="1766"/>
        <v>0</v>
      </c>
      <c r="EI235" s="5">
        <f t="shared" si="1767"/>
        <v>0</v>
      </c>
      <c r="EJ235" s="5">
        <f t="shared" si="1768"/>
        <v>0</v>
      </c>
      <c r="EK235" s="5">
        <f t="shared" si="1769"/>
        <v>0</v>
      </c>
      <c r="EL235" s="5">
        <f t="shared" si="1770"/>
        <v>0</v>
      </c>
      <c r="EM235" s="5">
        <f t="shared" si="1771"/>
        <v>0</v>
      </c>
      <c r="EN235" s="5">
        <f t="shared" si="1772"/>
        <v>0</v>
      </c>
      <c r="EO235" s="5">
        <f t="shared" si="1773"/>
        <v>0</v>
      </c>
      <c r="EP235" s="5">
        <f t="shared" si="1774"/>
        <v>0</v>
      </c>
      <c r="EQ235" s="5">
        <f t="shared" si="1775"/>
        <v>0</v>
      </c>
      <c r="ER235" s="5">
        <f t="shared" si="1776"/>
        <v>0</v>
      </c>
      <c r="ES235" s="5">
        <f t="shared" si="1777"/>
        <v>0</v>
      </c>
      <c r="ET235" s="5">
        <f t="shared" si="1778"/>
        <v>0</v>
      </c>
      <c r="EU235" s="5">
        <f t="shared" si="1779"/>
        <v>0</v>
      </c>
      <c r="EV235" s="5">
        <f t="shared" si="1780"/>
        <v>0</v>
      </c>
      <c r="EW235" s="5">
        <f t="shared" si="1781"/>
        <v>0</v>
      </c>
      <c r="EX235" s="5">
        <f t="shared" si="1782"/>
        <v>0</v>
      </c>
      <c r="EY235" s="5">
        <f t="shared" si="1783"/>
        <v>0</v>
      </c>
      <c r="EZ235" s="5">
        <f t="shared" si="1784"/>
        <v>0</v>
      </c>
      <c r="FA235" s="5">
        <f t="shared" si="1785"/>
        <v>0</v>
      </c>
      <c r="FB235" s="5">
        <f t="shared" si="1786"/>
        <v>0</v>
      </c>
      <c r="FC235" s="5">
        <f t="shared" si="1787"/>
        <v>0</v>
      </c>
      <c r="FD235" s="5">
        <f t="shared" si="1788"/>
        <v>0</v>
      </c>
      <c r="FE235" s="5">
        <f t="shared" si="1789"/>
        <v>0</v>
      </c>
      <c r="FF235" s="5">
        <f t="shared" si="1790"/>
        <v>0</v>
      </c>
      <c r="FG235" s="5">
        <f t="shared" si="1791"/>
        <v>0</v>
      </c>
      <c r="FH235" s="5">
        <f t="shared" si="1792"/>
        <v>0</v>
      </c>
      <c r="FI235" s="5">
        <f t="shared" si="1793"/>
        <v>0</v>
      </c>
      <c r="FJ235" s="5">
        <f t="shared" si="1794"/>
        <v>0</v>
      </c>
      <c r="FK235" s="5">
        <f t="shared" si="1795"/>
        <v>0</v>
      </c>
      <c r="FL235" s="5">
        <f t="shared" si="1796"/>
        <v>0</v>
      </c>
      <c r="FM235" s="5">
        <f t="shared" si="1797"/>
        <v>0</v>
      </c>
      <c r="FN235" s="5">
        <f t="shared" si="1798"/>
        <v>0</v>
      </c>
      <c r="FO235" s="5">
        <f t="shared" si="1799"/>
        <v>0</v>
      </c>
      <c r="FP235" s="5">
        <f t="shared" si="1800"/>
        <v>0</v>
      </c>
    </row>
    <row r="236" spans="1:172" ht="20.100000000000001" customHeight="1" x14ac:dyDescent="0.3">
      <c r="A236" s="8" t="str">
        <f>IF(Ciclo=4,"Surco 4",IF(Ciclo=5,"Surco 4","NA"))</f>
        <v>NA</v>
      </c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O236" s="58">
        <f>IF($A236="NA",0,IFERROR('6'!O$119/Ciclo,0))</f>
        <v>0</v>
      </c>
      <c r="P236" s="58">
        <f>IF($A236="NA",0,IFERROR('6'!P$119/Ciclo,0))</f>
        <v>0</v>
      </c>
      <c r="Q236" s="58">
        <f>IF($A236="NA",0,IFERROR('6'!Q$119/Ciclo,0))</f>
        <v>0</v>
      </c>
      <c r="R236" s="58">
        <f>IF($A236="NA",0,IFERROR('6'!R$119/Ciclo,0))</f>
        <v>0</v>
      </c>
      <c r="S236" s="58">
        <f>IF($A236="NA",0,IFERROR('6'!S$119/Ciclo,0))</f>
        <v>0</v>
      </c>
      <c r="T236" s="58">
        <f>IF($A236="NA",0,IFERROR('6'!T$119/Ciclo,0))</f>
        <v>0</v>
      </c>
      <c r="U236" s="58">
        <f>IF($A236="NA",0,IFERROR('6'!U$119/Ciclo,0))</f>
        <v>0</v>
      </c>
      <c r="V236" s="58">
        <f>IF($A236="NA",0,IFERROR('6'!V$119/Ciclo,0))</f>
        <v>0</v>
      </c>
      <c r="W236" s="5">
        <f>IF($A236="NA",0,IFERROR('6'!W$119/Ciclo,0))</f>
        <v>0</v>
      </c>
      <c r="X236" s="5">
        <f>IF($A236="NA",0,IFERROR('6'!X$119/Ciclo,0))</f>
        <v>0</v>
      </c>
      <c r="Y236" s="5">
        <f>IF($A236="NA",0,IFERROR('6'!Y$119/Ciclo,0))</f>
        <v>0</v>
      </c>
      <c r="Z236" s="5">
        <f>IF($A236="NA",0,IFERROR('6'!Z$119/Ciclo,0))</f>
        <v>0</v>
      </c>
      <c r="AB236" s="5">
        <f>IF($B$230="Producción",IF($B236&gt;=LI_A,$O236,0),0)</f>
        <v>0</v>
      </c>
      <c r="AC236" s="5">
        <f>IF($B$230="Producción",IF($B236&gt;=LI_B,IF($B236&lt;LS_B,$O236,0),0),0)</f>
        <v>0</v>
      </c>
      <c r="AD236" s="5">
        <f>IF($B$230="Producción",IF($B236&gt;=LI_C,IF($B236&lt;LS_C,$O236,0),0),0)</f>
        <v>0</v>
      </c>
      <c r="AE236" s="5">
        <f>IF($B$230="Producción",IF($B236&lt;LS_D,$O236,0),0)</f>
        <v>0</v>
      </c>
      <c r="AF236" s="5">
        <f t="shared" si="1801"/>
        <v>0</v>
      </c>
      <c r="AI236" s="5">
        <f>IF($C$230="Producción",IF($C236&gt;=LI_A,$P236,0),0)</f>
        <v>0</v>
      </c>
      <c r="AJ236" s="5">
        <f>IF($C$230="Producción",IF($C236&gt;=LI_B,IF($C236&lt;LS_B,$P236,0),0),0)</f>
        <v>0</v>
      </c>
      <c r="AK236" s="5">
        <f>IF($C$230="Producción",IF($C236&gt;=LI_C,IF($C236&lt;LS_C,$P236,0),0),0)</f>
        <v>0</v>
      </c>
      <c r="AL236" s="5">
        <f>IF($C$230="Producción",IF($C236&lt;LS_D,$P236,0),0)</f>
        <v>0</v>
      </c>
      <c r="AM236" s="5">
        <f>IF($C$230="Crecimiento",$P236,0)</f>
        <v>0</v>
      </c>
      <c r="AP236" s="5">
        <f>IF($D$230="Producción",IF($D236&gt;=LI_A,$Q236,0),0)</f>
        <v>0</v>
      </c>
      <c r="AQ236" s="5">
        <f>IF($D$230="Producción",IF($D236&gt;=LI_B,IF($D236&lt;LS_B,$Q236,0),0),0)</f>
        <v>0</v>
      </c>
      <c r="AR236" s="5">
        <f>IF($D$230="Producción",IF($D236&gt;=LI_C,IF($D236&lt;LS_C,$Q236,0),0),0)</f>
        <v>0</v>
      </c>
      <c r="AS236" s="5">
        <f>IF($D$230="Producción",IF($D236&lt;LS_D,$Q236,0),0)</f>
        <v>0</v>
      </c>
      <c r="AT236" s="5">
        <f>IF($D$230="Crecimiento",IF($D236&gt;0,$Q236,0),0)</f>
        <v>0</v>
      </c>
      <c r="AW236" s="5">
        <f>IF($E$230="Producción",IF($E236&gt;=LI_A,$R236,0),0)</f>
        <v>0</v>
      </c>
      <c r="AX236" s="5">
        <f>IF($E$230="Producción",IF($E236&gt;=LI_B,IF($E236&lt;LS_B,$R236,0),0),0)</f>
        <v>0</v>
      </c>
      <c r="AY236" s="5">
        <f>IF($E$230="Producción",IF($E236&gt;=LI_C,IF($E236&lt;LS_C,$R236,0),0),0)</f>
        <v>0</v>
      </c>
      <c r="AZ236" s="5">
        <f>IF($E$230="Producción",IF($E236&lt;LS_D,$R236,0),0)</f>
        <v>0</v>
      </c>
      <c r="BA236" s="5">
        <f>IF($E$230="Crecimiento",$R236,0)</f>
        <v>0</v>
      </c>
      <c r="BD236" s="5">
        <f>IF($F$230="Producción",IF($F236&gt;=LI_A,$S236,0),0)</f>
        <v>0</v>
      </c>
      <c r="BE236" s="5">
        <f>IF($F$230="Producción",IF($F236&gt;=LI_B,IF($F236&lt;LS_B,$S236,0),0),0)</f>
        <v>0</v>
      </c>
      <c r="BF236" s="5">
        <f>IF($F$230="Producción",IF($F236&gt;=LI_C,IF($F236&lt;LS_C,$S236,0),0),0)</f>
        <v>0</v>
      </c>
      <c r="BG236" s="5">
        <f>IF($F$230="Producción",IF($F236&lt;LS_D,$S236,0),0)</f>
        <v>0</v>
      </c>
      <c r="BH236" s="5">
        <f>IF($F$230="Crecimiento",$S236,0)</f>
        <v>0</v>
      </c>
      <c r="BK236" s="5">
        <f>IF($G$230="Producción",IF($G236&gt;=LI_A,$T236,0),0)</f>
        <v>0</v>
      </c>
      <c r="BL236" s="5">
        <f>IF($G$230="Producción",IF($G236&gt;=LI_B,IF($G236&lt;LS_B,$T236,0),0),0)</f>
        <v>0</v>
      </c>
      <c r="BM236" s="5">
        <f>IF($G$230="Producción",IF($G236&gt;=LI_C,IF($G236&lt;LS_C,$T236,0),0),0)</f>
        <v>0</v>
      </c>
      <c r="BN236" s="5">
        <f>IF($G$230="Producción",IF($G236&lt;LS_D,$T236,0),0)</f>
        <v>0</v>
      </c>
      <c r="BO236" s="5">
        <f>IF($G$230="Crecimiento",$T236,0)</f>
        <v>0</v>
      </c>
      <c r="BR236" s="5">
        <f>IF($H$230="Producción",IF($H236&gt;=LI_A,$U236,0),0)</f>
        <v>0</v>
      </c>
      <c r="BS236" s="5">
        <f>IF($H$230="Producción",IF($H236&gt;=LI_B,IF($H236&lt;LS_B,$U236,0),0),0)</f>
        <v>0</v>
      </c>
      <c r="BT236" s="5">
        <f>IF($H$230="Producción",IF($H236&gt;=LI_C,IF($H236&lt;LS_C,$U236,0),0),0)</f>
        <v>0</v>
      </c>
      <c r="BU236" s="5">
        <f>IF($H$230="Producción",IF($H236&lt;LS_D,$U236,0),0)</f>
        <v>0</v>
      </c>
      <c r="BV236" s="5">
        <f>IF($H$230="Crecimiento",$T236,0)</f>
        <v>0</v>
      </c>
      <c r="BY236" s="5">
        <f>IF($I$230="Producción",IF($I236&gt;=LI_A,$V236,0),0)</f>
        <v>0</v>
      </c>
      <c r="BZ236" s="5">
        <f>IF($I$230="Producción",IF($I236&gt;=LI_B,IF($I236&lt;LS_B,$V236,0),0),0)</f>
        <v>0</v>
      </c>
      <c r="CA236" s="5">
        <f>IF($I$230="Producción",IF($I236&gt;=LI_C,IF($I236&lt;LS_C,$V236,0),0),0)</f>
        <v>0</v>
      </c>
      <c r="CB236" s="5">
        <f>IF($I$230="Producción",IF($I236&lt;LS_D,$V236,0),0)</f>
        <v>0</v>
      </c>
      <c r="CC236" s="5">
        <f>IF($I$230="Crecimiento",$V236,0)</f>
        <v>0</v>
      </c>
      <c r="CF236" s="5">
        <f>IF($J$230="Producción",IF($J236&gt;=LI_A,$W236,0),0)</f>
        <v>0</v>
      </c>
      <c r="CG236" s="5">
        <f>IF($J$230="Producción",IF($J236&gt;=LI_B,IF($J236&lt;LS_B,$W236,0),0),0)</f>
        <v>0</v>
      </c>
      <c r="CH236" s="5">
        <f>IF($J$230="Producción",IF($J236&gt;=LI_C,IF($J236&lt;LS_C,$W236,0),0),0)</f>
        <v>0</v>
      </c>
      <c r="CI236" s="5">
        <f>IF($J$230="Producción",IF($J236&lt;LS_D,$W236,0),0)</f>
        <v>0</v>
      </c>
      <c r="CJ236" s="5">
        <f>IF($J$230="Crecimiento",$W236,0)</f>
        <v>0</v>
      </c>
      <c r="CM236" s="5">
        <f>IF($K$230="Producción",IF($K236&gt;=LI_A,$X236,0),0)</f>
        <v>0</v>
      </c>
      <c r="CN236" s="5">
        <f>IF($K$230="Producción",IF($K236&gt;=LI_B,IF($K236&lt;LS_B,$X236,0),0),0)</f>
        <v>0</v>
      </c>
      <c r="CO236" s="5">
        <f>IF($K$230="Producción",IF($K236&gt;=LI_C,IF($K236&lt;LS_C,$X236,0),0),0)</f>
        <v>0</v>
      </c>
      <c r="CP236" s="5">
        <f>IF($K$230="Producción",IF($K236&lt;LS_D,$X236,0),0)</f>
        <v>0</v>
      </c>
      <c r="CQ236" s="5">
        <f>IF($K$230="Crecimiento",$X236,0)</f>
        <v>0</v>
      </c>
      <c r="CT236" s="5">
        <f>IF($L$230="Producción",IF($L236&gt;=LI_A,$Y236,0),0)</f>
        <v>0</v>
      </c>
      <c r="CU236" s="5">
        <f>IF($L$230="Producción",IF($L236&gt;=LI_B,IF($L236&lt;LS_B,$Y236,0),0),0)</f>
        <v>0</v>
      </c>
      <c r="CV236" s="5">
        <f>IF($L$230="Producción",IF($L236&gt;=LI_C,IF($L236&lt;LS_C,$Y236,0),0),0)</f>
        <v>0</v>
      </c>
      <c r="CW236" s="5">
        <f>IF($L$230="Producción",IF($L236&lt;LS_D,$Y236,0),0)</f>
        <v>0</v>
      </c>
      <c r="CX236" s="5">
        <f>IF($L$230="Crecimiento",$Y236,0)</f>
        <v>0</v>
      </c>
      <c r="DA236" s="5">
        <f>IF($M$230="Producción",IF($M236&gt;=LI_A,$Z236,0),0)</f>
        <v>0</v>
      </c>
      <c r="DB236" s="5">
        <f>IF($M$230="Producción",IF($M236&gt;=LI_B,IF($M236&lt;LS_B,$Z236,0),0),0)</f>
        <v>0</v>
      </c>
      <c r="DC236" s="5">
        <f>IF($M$230="Producción",IF($M236&gt;=LI_C,IF($M236&lt;LS_C,$Z236,0),0),0)</f>
        <v>0</v>
      </c>
      <c r="DD236" s="5">
        <f>IF($M$230="Producción",IF($M236&lt;LS_D,$Z236,0),0)</f>
        <v>0</v>
      </c>
      <c r="DE236" s="5">
        <f>IF($M$230="Crecimiento",$Z236,0)</f>
        <v>0</v>
      </c>
      <c r="DI236" s="5">
        <f t="shared" si="1741"/>
        <v>0</v>
      </c>
      <c r="DJ236" s="5">
        <f t="shared" si="1742"/>
        <v>0</v>
      </c>
      <c r="DK236" s="5">
        <f t="shared" si="1743"/>
        <v>0</v>
      </c>
      <c r="DL236" s="5">
        <f t="shared" si="1744"/>
        <v>0</v>
      </c>
      <c r="DM236" s="5">
        <f t="shared" si="1745"/>
        <v>0</v>
      </c>
      <c r="DN236" s="5">
        <f t="shared" si="1746"/>
        <v>0</v>
      </c>
      <c r="DO236" s="5">
        <f t="shared" si="1747"/>
        <v>0</v>
      </c>
      <c r="DP236" s="5">
        <f t="shared" si="1748"/>
        <v>0</v>
      </c>
      <c r="DQ236" s="5">
        <f t="shared" si="1749"/>
        <v>0</v>
      </c>
      <c r="DR236" s="5">
        <f t="shared" si="1750"/>
        <v>0</v>
      </c>
      <c r="DS236" s="5">
        <f t="shared" si="1751"/>
        <v>0</v>
      </c>
      <c r="DT236" s="5">
        <f t="shared" si="1752"/>
        <v>0</v>
      </c>
      <c r="DU236" s="5">
        <f t="shared" si="1753"/>
        <v>0</v>
      </c>
      <c r="DV236" s="5">
        <f t="shared" si="1754"/>
        <v>0</v>
      </c>
      <c r="DW236" s="5">
        <f t="shared" si="1755"/>
        <v>0</v>
      </c>
      <c r="DX236" s="5">
        <f t="shared" si="1756"/>
        <v>0</v>
      </c>
      <c r="DY236" s="5">
        <f t="shared" si="1757"/>
        <v>0</v>
      </c>
      <c r="DZ236" s="5">
        <f t="shared" si="1758"/>
        <v>0</v>
      </c>
      <c r="EA236" s="5">
        <f t="shared" si="1759"/>
        <v>0</v>
      </c>
      <c r="EB236" s="5">
        <f t="shared" si="1760"/>
        <v>0</v>
      </c>
      <c r="EC236" s="5">
        <f t="shared" si="1761"/>
        <v>0</v>
      </c>
      <c r="ED236" s="5">
        <f t="shared" si="1762"/>
        <v>0</v>
      </c>
      <c r="EE236" s="5">
        <f t="shared" si="1763"/>
        <v>0</v>
      </c>
      <c r="EF236" s="5">
        <f t="shared" si="1764"/>
        <v>0</v>
      </c>
      <c r="EG236" s="5">
        <f t="shared" si="1765"/>
        <v>0</v>
      </c>
      <c r="EH236" s="5">
        <f t="shared" si="1766"/>
        <v>0</v>
      </c>
      <c r="EI236" s="5">
        <f t="shared" si="1767"/>
        <v>0</v>
      </c>
      <c r="EJ236" s="5">
        <f t="shared" si="1768"/>
        <v>0</v>
      </c>
      <c r="EK236" s="5">
        <f t="shared" si="1769"/>
        <v>0</v>
      </c>
      <c r="EL236" s="5">
        <f t="shared" si="1770"/>
        <v>0</v>
      </c>
      <c r="EM236" s="5">
        <f t="shared" si="1771"/>
        <v>0</v>
      </c>
      <c r="EN236" s="5">
        <f t="shared" si="1772"/>
        <v>0</v>
      </c>
      <c r="EO236" s="5">
        <f t="shared" si="1773"/>
        <v>0</v>
      </c>
      <c r="EP236" s="5">
        <f t="shared" si="1774"/>
        <v>0</v>
      </c>
      <c r="EQ236" s="5">
        <f t="shared" si="1775"/>
        <v>0</v>
      </c>
      <c r="ER236" s="5">
        <f t="shared" si="1776"/>
        <v>0</v>
      </c>
      <c r="ES236" s="5">
        <f t="shared" si="1777"/>
        <v>0</v>
      </c>
      <c r="ET236" s="5">
        <f t="shared" si="1778"/>
        <v>0</v>
      </c>
      <c r="EU236" s="5">
        <f t="shared" si="1779"/>
        <v>0</v>
      </c>
      <c r="EV236" s="5">
        <f t="shared" si="1780"/>
        <v>0</v>
      </c>
      <c r="EW236" s="5">
        <f t="shared" si="1781"/>
        <v>0</v>
      </c>
      <c r="EX236" s="5">
        <f t="shared" si="1782"/>
        <v>0</v>
      </c>
      <c r="EY236" s="5">
        <f t="shared" si="1783"/>
        <v>0</v>
      </c>
      <c r="EZ236" s="5">
        <f t="shared" si="1784"/>
        <v>0</v>
      </c>
      <c r="FA236" s="5">
        <f t="shared" si="1785"/>
        <v>0</v>
      </c>
      <c r="FB236" s="5">
        <f t="shared" si="1786"/>
        <v>0</v>
      </c>
      <c r="FC236" s="5">
        <f t="shared" si="1787"/>
        <v>0</v>
      </c>
      <c r="FD236" s="5">
        <f t="shared" si="1788"/>
        <v>0</v>
      </c>
      <c r="FE236" s="5">
        <f t="shared" si="1789"/>
        <v>0</v>
      </c>
      <c r="FF236" s="5">
        <f t="shared" si="1790"/>
        <v>0</v>
      </c>
      <c r="FG236" s="5">
        <f t="shared" si="1791"/>
        <v>0</v>
      </c>
      <c r="FH236" s="5">
        <f t="shared" si="1792"/>
        <v>0</v>
      </c>
      <c r="FI236" s="5">
        <f t="shared" si="1793"/>
        <v>0</v>
      </c>
      <c r="FJ236" s="5">
        <f t="shared" si="1794"/>
        <v>0</v>
      </c>
      <c r="FK236" s="5">
        <f t="shared" si="1795"/>
        <v>0</v>
      </c>
      <c r="FL236" s="5">
        <f t="shared" si="1796"/>
        <v>0</v>
      </c>
      <c r="FM236" s="5">
        <f t="shared" si="1797"/>
        <v>0</v>
      </c>
      <c r="FN236" s="5">
        <f t="shared" si="1798"/>
        <v>0</v>
      </c>
      <c r="FO236" s="5">
        <f t="shared" si="1799"/>
        <v>0</v>
      </c>
      <c r="FP236" s="5">
        <f t="shared" si="1800"/>
        <v>0</v>
      </c>
    </row>
    <row r="237" spans="1:172" ht="20.100000000000001" customHeight="1" x14ac:dyDescent="0.3">
      <c r="A237" s="9" t="str">
        <f>IF(Ciclo=5,"Surco 5","NA")</f>
        <v>NA</v>
      </c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O237" s="58">
        <f>IF($A237="NA",0,IFERROR('6'!O$119/Ciclo,0))</f>
        <v>0</v>
      </c>
      <c r="P237" s="58">
        <f>IF($A237="NA",0,IFERROR('6'!P$119/Ciclo,0))</f>
        <v>0</v>
      </c>
      <c r="Q237" s="58">
        <f>IF($A237="NA",0,IFERROR('6'!Q$119/Ciclo,0))</f>
        <v>0</v>
      </c>
      <c r="R237" s="58">
        <f>IF($A237="NA",0,IFERROR('6'!R$119/Ciclo,0))</f>
        <v>0</v>
      </c>
      <c r="S237" s="58">
        <f>IF($A237="NA",0,IFERROR('6'!S$119/Ciclo,0))</f>
        <v>0</v>
      </c>
      <c r="T237" s="58">
        <f>IF($A237="NA",0,IFERROR('6'!T$119/Ciclo,0))</f>
        <v>0</v>
      </c>
      <c r="U237" s="58">
        <f>IF($A237="NA",0,IFERROR('6'!U$119/Ciclo,0))</f>
        <v>0</v>
      </c>
      <c r="V237" s="58">
        <f>IF($A237="NA",0,IFERROR('6'!V$119/Ciclo,0))</f>
        <v>0</v>
      </c>
      <c r="W237" s="5">
        <f>IF($A237="NA",0,IFERROR('6'!W$119/Ciclo,0))</f>
        <v>0</v>
      </c>
      <c r="X237" s="5">
        <f>IF($A237="NA",0,IFERROR('6'!X$119/Ciclo,0))</f>
        <v>0</v>
      </c>
      <c r="Y237" s="5">
        <f>IF($A237="NA",0,IFERROR('6'!Y$119/Ciclo,0))</f>
        <v>0</v>
      </c>
      <c r="Z237" s="5">
        <f>IF($A237="NA",0,IFERROR('6'!Z$119/Ciclo,0))</f>
        <v>0</v>
      </c>
      <c r="AB237" s="5">
        <f>IF($B$230="Producción",IF($B237&gt;=LI_A,$O237,0),0)</f>
        <v>0</v>
      </c>
      <c r="AC237" s="5">
        <f>IF($B$230="Producción",IF($B237&gt;=LI_B,IF($B237&lt;LS_B,$O237,0),0),0)</f>
        <v>0</v>
      </c>
      <c r="AD237" s="5">
        <f>IF($B$230="Producción",IF($B237&gt;=LI_C,IF($B237&lt;LS_C,$O237,0),0),0)</f>
        <v>0</v>
      </c>
      <c r="AE237" s="5">
        <f>IF($B$230="Producción",IF($B237&lt;LS_D,$O237,0),0)</f>
        <v>0</v>
      </c>
      <c r="AF237" s="5">
        <f t="shared" si="1801"/>
        <v>0</v>
      </c>
      <c r="AI237" s="5">
        <f>IF($C$230="Producción",IF($C237&gt;=LI_A,$P237,0),0)</f>
        <v>0</v>
      </c>
      <c r="AJ237" s="5">
        <f>IF($C$230="Producción",IF($C237&gt;=LI_B,IF($C237&lt;LS_B,$P237,0),0),0)</f>
        <v>0</v>
      </c>
      <c r="AK237" s="5">
        <f>IF($C$230="Producción",IF($C237&gt;=LI_C,IF($C237&lt;LS_C,$P237,0),0),0)</f>
        <v>0</v>
      </c>
      <c r="AL237" s="5">
        <f>IF($C$230="Producción",IF($C237&lt;LS_D,$P237,0),0)</f>
        <v>0</v>
      </c>
      <c r="AM237" s="5">
        <f>IF($C$230="Crecimiento",$P237,0)</f>
        <v>0</v>
      </c>
      <c r="AP237" s="5">
        <f>IF($D$230="Producción",IF($D237&gt;=LI_A,$Q237,0),0)</f>
        <v>0</v>
      </c>
      <c r="AQ237" s="5">
        <f>IF($D$230="Producción",IF($D237&gt;=LI_B,IF($D237&lt;LS_B,$Q237,0),0),0)</f>
        <v>0</v>
      </c>
      <c r="AR237" s="5">
        <f>IF($D$230="Producción",IF($D237&gt;=LI_C,IF($D237&lt;LS_C,$Q237,0),0),0)</f>
        <v>0</v>
      </c>
      <c r="AS237" s="5">
        <f>IF($D$230="Producción",IF($D237&lt;LS_D,$Q237,0),0)</f>
        <v>0</v>
      </c>
      <c r="AT237" s="5">
        <f>IF($D$230="Crecimiento",IF($D237&gt;0,$Q237,0),0)</f>
        <v>0</v>
      </c>
      <c r="AW237" s="5">
        <f>IF($E$230="Producción",IF($E237&gt;=LI_A,$R237,0),0)</f>
        <v>0</v>
      </c>
      <c r="AX237" s="5">
        <f>IF($E$230="Producción",IF($E237&gt;=LI_B,IF($E237&lt;LS_B,$R237,0),0),0)</f>
        <v>0</v>
      </c>
      <c r="AY237" s="5">
        <f>IF($E$230="Producción",IF($E237&gt;=LI_C,IF($E237&lt;LS_C,$R237,0),0),0)</f>
        <v>0</v>
      </c>
      <c r="AZ237" s="5">
        <f>IF($E$230="Producción",IF($E237&lt;LS_D,$R237,0),0)</f>
        <v>0</v>
      </c>
      <c r="BA237" s="5">
        <f>IF($E$230="Crecimiento",$R237,0)</f>
        <v>0</v>
      </c>
      <c r="BD237" s="5">
        <f>IF($F$230="Producción",IF($F237&gt;=LI_A,$S237,0),0)</f>
        <v>0</v>
      </c>
      <c r="BE237" s="5">
        <f>IF($F$230="Producción",IF($F237&gt;=LI_B,IF($F237&lt;LS_B,$S237,0),0),0)</f>
        <v>0</v>
      </c>
      <c r="BF237" s="5">
        <f>IF($F$230="Producción",IF($F237&gt;=LI_C,IF($F237&lt;LS_C,$S237,0),0),0)</f>
        <v>0</v>
      </c>
      <c r="BG237" s="5">
        <f>IF($F$230="Producción",IF($F237&lt;LS_D,$S237,0),0)</f>
        <v>0</v>
      </c>
      <c r="BH237" s="5">
        <f>IF($F$230="Crecimiento",$S237,0)</f>
        <v>0</v>
      </c>
      <c r="BK237" s="5">
        <f>IF($G$230="Producción",IF($G237&gt;=LI_A,$T237,0),0)</f>
        <v>0</v>
      </c>
      <c r="BL237" s="5">
        <f>IF($G$230="Producción",IF($G237&gt;=LI_B,IF($G237&lt;LS_B,$T237,0),0),0)</f>
        <v>0</v>
      </c>
      <c r="BM237" s="5">
        <f>IF($G$230="Producción",IF($G237&gt;=LI_C,IF($G237&lt;LS_C,$T237,0),0),0)</f>
        <v>0</v>
      </c>
      <c r="BN237" s="5">
        <f>IF($G$230="Producción",IF($G237&lt;LS_D,$T237,0),0)</f>
        <v>0</v>
      </c>
      <c r="BO237" s="5">
        <f>IF($G$230="Crecimiento",$T237,0)</f>
        <v>0</v>
      </c>
      <c r="BR237" s="5">
        <f>IF($H$230="Producción",IF($H237&gt;=LI_A,$U237,0),0)</f>
        <v>0</v>
      </c>
      <c r="BS237" s="5">
        <f>IF($H$230="Producción",IF($H237&gt;=LI_B,IF($H237&lt;LS_B,$U237,0),0),0)</f>
        <v>0</v>
      </c>
      <c r="BT237" s="5">
        <f>IF($H$230="Producción",IF($H237&gt;=LI_C,IF($H237&lt;LS_C,$U237,0),0),0)</f>
        <v>0</v>
      </c>
      <c r="BU237" s="5">
        <f>IF($H$230="Producción",IF($H237&lt;LS_D,$U237,0),0)</f>
        <v>0</v>
      </c>
      <c r="BV237" s="5">
        <f>IF($H$230="Crecimiento",$T237,0)</f>
        <v>0</v>
      </c>
      <c r="BY237" s="5">
        <f>IF($I$230="Producción",IF($I237&gt;=LI_A,$V237,0),0)</f>
        <v>0</v>
      </c>
      <c r="BZ237" s="5">
        <f>IF($I$230="Producción",IF($I237&gt;=LI_B,IF($I237&lt;LS_B,$V237,0),0),0)</f>
        <v>0</v>
      </c>
      <c r="CA237" s="5">
        <f>IF($I$230="Producción",IF($I237&gt;=LI_C,IF($I237&lt;LS_C,$V237,0),0),0)</f>
        <v>0</v>
      </c>
      <c r="CB237" s="5">
        <f>IF($I$230="Producción",IF($I237&lt;LS_D,$V237,0),0)</f>
        <v>0</v>
      </c>
      <c r="CC237" s="5">
        <f>IF($I$230="Crecimiento",$V237,0)</f>
        <v>0</v>
      </c>
      <c r="CF237" s="5">
        <f>IF($J$230="Producción",IF($J237&gt;=LI_A,$W237,0),0)</f>
        <v>0</v>
      </c>
      <c r="CG237" s="5">
        <f>IF($J$230="Producción",IF($J237&gt;=LI_B,IF($J237&lt;LS_B,$W237,0),0),0)</f>
        <v>0</v>
      </c>
      <c r="CH237" s="5">
        <f>IF($J$230="Producción",IF($J237&gt;=LI_C,IF($J237&lt;LS_C,$W237,0),0),0)</f>
        <v>0</v>
      </c>
      <c r="CI237" s="5">
        <f>IF($J$230="Producción",IF($J237&lt;LS_D,$W237,0),0)</f>
        <v>0</v>
      </c>
      <c r="CJ237" s="5">
        <f>IF($J$230="Crecimiento",$W237,0)</f>
        <v>0</v>
      </c>
      <c r="CM237" s="5">
        <f>IF($K$230="Producción",IF($K237&gt;=LI_A,$X237,0),0)</f>
        <v>0</v>
      </c>
      <c r="CN237" s="5">
        <f>IF($K$230="Producción",IF($K237&gt;=LI_B,IF($K237&lt;LS_B,$X237,0),0),0)</f>
        <v>0</v>
      </c>
      <c r="CO237" s="5">
        <f>IF($K$230="Producción",IF($K237&gt;=LI_C,IF($K237&lt;LS_C,$X237,0),0),0)</f>
        <v>0</v>
      </c>
      <c r="CP237" s="5">
        <f>IF($K$230="Producción",IF($K237&lt;LS_D,$X237,0),0)</f>
        <v>0</v>
      </c>
      <c r="CQ237" s="5">
        <f>IF($K$230="Crecimiento",$X237,0)</f>
        <v>0</v>
      </c>
      <c r="CT237" s="5">
        <f>IF($L$230="Producción",IF($L237&gt;=LI_A,$Y237,0),0)</f>
        <v>0</v>
      </c>
      <c r="CU237" s="5">
        <f>IF($L$230="Producción",IF($L237&gt;=LI_B,IF($L237&lt;LS_B,$Y237,0),0),0)</f>
        <v>0</v>
      </c>
      <c r="CV237" s="5">
        <f>IF($L$230="Producción",IF($L237&gt;=LI_C,IF($L237&lt;LS_C,$Y237,0),0),0)</f>
        <v>0</v>
      </c>
      <c r="CW237" s="5">
        <f>IF($L$230="Producción",IF($L237&lt;LS_D,$Y237,0),0)</f>
        <v>0</v>
      </c>
      <c r="CX237" s="5">
        <f>IF($L$230="Crecimiento",$Y237,0)</f>
        <v>0</v>
      </c>
      <c r="DA237" s="5">
        <f>IF($M$230="Producción",IF($M237&gt;=LI_A,$Z237,0),0)</f>
        <v>0</v>
      </c>
      <c r="DB237" s="5">
        <f>IF($M$230="Producción",IF($M237&gt;=LI_B,IF($M237&lt;LS_B,$Z237,0),0),0)</f>
        <v>0</v>
      </c>
      <c r="DC237" s="5">
        <f>IF($M$230="Producción",IF($M237&gt;=LI_C,IF($M237&lt;LS_C,$Z237,0),0),0)</f>
        <v>0</v>
      </c>
      <c r="DD237" s="5">
        <f>IF($M$230="Producción",IF($M237&lt;LS_D,$Z237,0),0)</f>
        <v>0</v>
      </c>
      <c r="DE237" s="5">
        <f>IF($M$230="Crecimiento",$Z237,0)</f>
        <v>0</v>
      </c>
      <c r="DI237" s="5">
        <f t="shared" si="1741"/>
        <v>0</v>
      </c>
      <c r="DJ237" s="5">
        <f t="shared" si="1742"/>
        <v>0</v>
      </c>
      <c r="DK237" s="5">
        <f t="shared" si="1743"/>
        <v>0</v>
      </c>
      <c r="DL237" s="5">
        <f t="shared" si="1744"/>
        <v>0</v>
      </c>
      <c r="DM237" s="5">
        <f t="shared" si="1745"/>
        <v>0</v>
      </c>
      <c r="DN237" s="5">
        <f t="shared" si="1746"/>
        <v>0</v>
      </c>
      <c r="DO237" s="5">
        <f t="shared" si="1747"/>
        <v>0</v>
      </c>
      <c r="DP237" s="5">
        <f t="shared" si="1748"/>
        <v>0</v>
      </c>
      <c r="DQ237" s="5">
        <f t="shared" si="1749"/>
        <v>0</v>
      </c>
      <c r="DR237" s="5">
        <f t="shared" si="1750"/>
        <v>0</v>
      </c>
      <c r="DS237" s="5">
        <f t="shared" si="1751"/>
        <v>0</v>
      </c>
      <c r="DT237" s="5">
        <f t="shared" si="1752"/>
        <v>0</v>
      </c>
      <c r="DU237" s="5">
        <f t="shared" si="1753"/>
        <v>0</v>
      </c>
      <c r="DV237" s="5">
        <f t="shared" si="1754"/>
        <v>0</v>
      </c>
      <c r="DW237" s="5">
        <f t="shared" si="1755"/>
        <v>0</v>
      </c>
      <c r="DX237" s="5">
        <f t="shared" si="1756"/>
        <v>0</v>
      </c>
      <c r="DY237" s="5">
        <f t="shared" si="1757"/>
        <v>0</v>
      </c>
      <c r="DZ237" s="5">
        <f t="shared" si="1758"/>
        <v>0</v>
      </c>
      <c r="EA237" s="5">
        <f t="shared" si="1759"/>
        <v>0</v>
      </c>
      <c r="EB237" s="5">
        <f t="shared" si="1760"/>
        <v>0</v>
      </c>
      <c r="EC237" s="5">
        <f t="shared" si="1761"/>
        <v>0</v>
      </c>
      <c r="ED237" s="5">
        <f t="shared" si="1762"/>
        <v>0</v>
      </c>
      <c r="EE237" s="5">
        <f t="shared" si="1763"/>
        <v>0</v>
      </c>
      <c r="EF237" s="5">
        <f t="shared" si="1764"/>
        <v>0</v>
      </c>
      <c r="EG237" s="5">
        <f t="shared" si="1765"/>
        <v>0</v>
      </c>
      <c r="EH237" s="5">
        <f t="shared" si="1766"/>
        <v>0</v>
      </c>
      <c r="EI237" s="5">
        <f t="shared" si="1767"/>
        <v>0</v>
      </c>
      <c r="EJ237" s="5">
        <f t="shared" si="1768"/>
        <v>0</v>
      </c>
      <c r="EK237" s="5">
        <f t="shared" si="1769"/>
        <v>0</v>
      </c>
      <c r="EL237" s="5">
        <f t="shared" si="1770"/>
        <v>0</v>
      </c>
      <c r="EM237" s="5">
        <f t="shared" si="1771"/>
        <v>0</v>
      </c>
      <c r="EN237" s="5">
        <f t="shared" si="1772"/>
        <v>0</v>
      </c>
      <c r="EO237" s="5">
        <f t="shared" si="1773"/>
        <v>0</v>
      </c>
      <c r="EP237" s="5">
        <f t="shared" si="1774"/>
        <v>0</v>
      </c>
      <c r="EQ237" s="5">
        <f t="shared" si="1775"/>
        <v>0</v>
      </c>
      <c r="ER237" s="5">
        <f t="shared" si="1776"/>
        <v>0</v>
      </c>
      <c r="ES237" s="5">
        <f t="shared" si="1777"/>
        <v>0</v>
      </c>
      <c r="ET237" s="5">
        <f t="shared" si="1778"/>
        <v>0</v>
      </c>
      <c r="EU237" s="5">
        <f t="shared" si="1779"/>
        <v>0</v>
      </c>
      <c r="EV237" s="5">
        <f t="shared" si="1780"/>
        <v>0</v>
      </c>
      <c r="EW237" s="5">
        <f t="shared" si="1781"/>
        <v>0</v>
      </c>
      <c r="EX237" s="5">
        <f t="shared" si="1782"/>
        <v>0</v>
      </c>
      <c r="EY237" s="5">
        <f t="shared" si="1783"/>
        <v>0</v>
      </c>
      <c r="EZ237" s="5">
        <f t="shared" si="1784"/>
        <v>0</v>
      </c>
      <c r="FA237" s="5">
        <f t="shared" si="1785"/>
        <v>0</v>
      </c>
      <c r="FB237" s="5">
        <f t="shared" si="1786"/>
        <v>0</v>
      </c>
      <c r="FC237" s="5">
        <f t="shared" si="1787"/>
        <v>0</v>
      </c>
      <c r="FD237" s="5">
        <f t="shared" si="1788"/>
        <v>0</v>
      </c>
      <c r="FE237" s="5">
        <f t="shared" si="1789"/>
        <v>0</v>
      </c>
      <c r="FF237" s="5">
        <f t="shared" si="1790"/>
        <v>0</v>
      </c>
      <c r="FG237" s="5">
        <f t="shared" si="1791"/>
        <v>0</v>
      </c>
      <c r="FH237" s="5">
        <f t="shared" si="1792"/>
        <v>0</v>
      </c>
      <c r="FI237" s="5">
        <f t="shared" si="1793"/>
        <v>0</v>
      </c>
      <c r="FJ237" s="5">
        <f t="shared" si="1794"/>
        <v>0</v>
      </c>
      <c r="FK237" s="5">
        <f t="shared" si="1795"/>
        <v>0</v>
      </c>
      <c r="FL237" s="5">
        <f t="shared" si="1796"/>
        <v>0</v>
      </c>
      <c r="FM237" s="5">
        <f t="shared" si="1797"/>
        <v>0</v>
      </c>
      <c r="FN237" s="5">
        <f t="shared" si="1798"/>
        <v>0</v>
      </c>
      <c r="FO237" s="5">
        <f t="shared" si="1799"/>
        <v>0</v>
      </c>
      <c r="FP237" s="5">
        <f t="shared" si="1800"/>
        <v>0</v>
      </c>
    </row>
    <row r="238" spans="1:172" ht="20.100000000000001" customHeight="1" x14ac:dyDescent="0.3">
      <c r="A238" s="172">
        <f>N_L30</f>
        <v>0</v>
      </c>
      <c r="B238" s="363" t="s">
        <v>37</v>
      </c>
      <c r="C238" s="363" t="s">
        <v>37</v>
      </c>
      <c r="D238" s="363" t="s">
        <v>37</v>
      </c>
      <c r="E238" s="363" t="s">
        <v>37</v>
      </c>
      <c r="F238" s="363" t="s">
        <v>37</v>
      </c>
      <c r="G238" s="363" t="s">
        <v>37</v>
      </c>
      <c r="H238" s="363" t="s">
        <v>37</v>
      </c>
      <c r="I238" s="363" t="s">
        <v>37</v>
      </c>
      <c r="J238" s="363" t="s">
        <v>37</v>
      </c>
      <c r="K238" s="363" t="s">
        <v>37</v>
      </c>
      <c r="L238" s="363" t="s">
        <v>37</v>
      </c>
      <c r="M238" s="363" t="s">
        <v>37</v>
      </c>
    </row>
    <row r="239" spans="1:172" ht="20.100000000000001" customHeight="1" x14ac:dyDescent="0.3">
      <c r="A239" s="175" t="s">
        <v>238</v>
      </c>
      <c r="B239" s="174">
        <f>SUM(DI241:DM245)/100</f>
        <v>0</v>
      </c>
      <c r="C239" s="174">
        <f>SUM(DN241:DR245)/100</f>
        <v>0</v>
      </c>
      <c r="D239" s="174">
        <f>SUM(DS241:DW245)/100</f>
        <v>0</v>
      </c>
      <c r="E239" s="174">
        <f>SUM(DX241:EB245)/100</f>
        <v>0</v>
      </c>
      <c r="F239" s="174">
        <f>SUM(EC241:EG245)/100</f>
        <v>0</v>
      </c>
      <c r="G239" s="174">
        <f>SUM(EH241:EL245)/100</f>
        <v>0</v>
      </c>
      <c r="H239" s="174">
        <f>SUM(EM241:EQ245)/100</f>
        <v>0</v>
      </c>
      <c r="I239" s="174">
        <f>SUM(ER241:EV245)/100</f>
        <v>0</v>
      </c>
      <c r="J239" s="174">
        <f>SUM(EW241:FA245)/100</f>
        <v>0</v>
      </c>
      <c r="K239" s="174">
        <f>SUM(FB241:FF245)/100</f>
        <v>0</v>
      </c>
      <c r="L239" s="174">
        <f>SUM(FG241:FK245)/100</f>
        <v>0</v>
      </c>
      <c r="M239" s="174">
        <f>SUM(FL241:FP245)/100</f>
        <v>0</v>
      </c>
    </row>
    <row r="240" spans="1:172" ht="20.100000000000001" customHeight="1" x14ac:dyDescent="0.3">
      <c r="A240" s="151" t="s">
        <v>239</v>
      </c>
      <c r="B240" s="152" t="e">
        <f t="shared" ref="B240:M240" si="1802">B239/Lote_30</f>
        <v>#DIV/0!</v>
      </c>
      <c r="C240" s="152" t="e">
        <f t="shared" si="1802"/>
        <v>#DIV/0!</v>
      </c>
      <c r="D240" s="152" t="e">
        <f t="shared" si="1802"/>
        <v>#DIV/0!</v>
      </c>
      <c r="E240" s="152" t="e">
        <f t="shared" si="1802"/>
        <v>#DIV/0!</v>
      </c>
      <c r="F240" s="152" t="e">
        <f t="shared" si="1802"/>
        <v>#DIV/0!</v>
      </c>
      <c r="G240" s="152" t="e">
        <f t="shared" si="1802"/>
        <v>#DIV/0!</v>
      </c>
      <c r="H240" s="152" t="e">
        <f t="shared" si="1802"/>
        <v>#DIV/0!</v>
      </c>
      <c r="I240" s="152" t="e">
        <f t="shared" si="1802"/>
        <v>#DIV/0!</v>
      </c>
      <c r="J240" s="152" t="e">
        <f t="shared" si="1802"/>
        <v>#DIV/0!</v>
      </c>
      <c r="K240" s="152" t="e">
        <f t="shared" si="1802"/>
        <v>#DIV/0!</v>
      </c>
      <c r="L240" s="152" t="e">
        <f t="shared" si="1802"/>
        <v>#DIV/0!</v>
      </c>
      <c r="M240" s="152" t="e">
        <f t="shared" si="1802"/>
        <v>#DIV/0!</v>
      </c>
    </row>
    <row r="241" spans="1:172" ht="20.100000000000001" customHeight="1" x14ac:dyDescent="0.3">
      <c r="A241" s="8" t="s">
        <v>302</v>
      </c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O241" s="58">
        <f>IFERROR('6'!O$123/Ciclo,0)</f>
        <v>0</v>
      </c>
      <c r="P241" s="58">
        <f>IFERROR('6'!P$123/Ciclo,0)</f>
        <v>0</v>
      </c>
      <c r="Q241" s="58">
        <f>IFERROR('6'!Q$123/Ciclo,0)</f>
        <v>0</v>
      </c>
      <c r="R241" s="58">
        <f>IFERROR('6'!R$123/Ciclo,0)</f>
        <v>0</v>
      </c>
      <c r="S241" s="58">
        <f>IFERROR('6'!S$123/Ciclo,0)</f>
        <v>0</v>
      </c>
      <c r="T241" s="58">
        <f>IFERROR('6'!T$123/Ciclo,0)</f>
        <v>0</v>
      </c>
      <c r="U241" s="58">
        <f>IFERROR('6'!U$123/Ciclo,0)</f>
        <v>0</v>
      </c>
      <c r="V241" s="58">
        <f>IFERROR('6'!V$123/Ciclo,0)</f>
        <v>0</v>
      </c>
      <c r="W241" s="5">
        <f>IFERROR('6'!W$123/Ciclo,0)</f>
        <v>0</v>
      </c>
      <c r="X241" s="5">
        <f>IFERROR('6'!X$123/Ciclo,0)</f>
        <v>0</v>
      </c>
      <c r="Y241" s="5">
        <f>IFERROR('6'!Y$123/Ciclo,0)</f>
        <v>0</v>
      </c>
      <c r="Z241" s="5">
        <f>IFERROR('6'!Z$123/Ciclo,0)</f>
        <v>0</v>
      </c>
      <c r="AB241" s="5">
        <f>IF($B$238="Producción",IF($B241&gt;=LI_A,$O241,0),0)</f>
        <v>0</v>
      </c>
      <c r="AC241" s="5">
        <f>IF($B$238="Producción",IF($B241&gt;=LI_B,IF($B241&lt;LS_B,$O241,0),0),0)</f>
        <v>0</v>
      </c>
      <c r="AD241" s="5">
        <f>IF($B$238="Producción",IF($B241&gt;=LI_C,IF($B241&lt;LS_C,$O241,0),0),0)</f>
        <v>0</v>
      </c>
      <c r="AE241" s="5">
        <f>IF($B$238="Producción",IF($B241&lt;LS_D,$O241,0),0)</f>
        <v>0</v>
      </c>
      <c r="AF241" s="5">
        <f>IF($B$238="Crecimiento",$O241,0)</f>
        <v>0</v>
      </c>
      <c r="AG241" s="5">
        <f>IF($B238="Siembra",'6'!$O$7,0)</f>
        <v>0</v>
      </c>
      <c r="AH241" s="5">
        <f>IF($B238="Abandono",'6'!$O$7,0)</f>
        <v>0</v>
      </c>
      <c r="AI241" s="5">
        <f>IF($C$238="Producción",IF($C241&gt;=LI_A,$P241,0),0)</f>
        <v>0</v>
      </c>
      <c r="AJ241" s="5">
        <f>IF($C$238="Producción",IF($C241&gt;=LI_B,IF($C241&lt;LS_B,$P241,0),0),0)</f>
        <v>0</v>
      </c>
      <c r="AK241" s="5">
        <f>IF($C$238="Producción",IF($C241&gt;=LI_C,IF($C241&lt;LS_C,$P241,0),0),0)</f>
        <v>0</v>
      </c>
      <c r="AL241" s="5">
        <f>IF($C$238="Producción",IF($C241&lt;LS_D,$P241,0),0)</f>
        <v>0</v>
      </c>
      <c r="AM241" s="5">
        <f>IF($C$238="Crecimiento",$P241,0)</f>
        <v>0</v>
      </c>
      <c r="AN241" s="5">
        <f>IF($C238="Siembra",'6'!$P$7,0)</f>
        <v>0</v>
      </c>
      <c r="AO241" s="5">
        <f>IF($C238="Abandono",'6'!$P$7,0)</f>
        <v>0</v>
      </c>
      <c r="AP241" s="5">
        <f>IF($D$238="Producción",IF($D241&gt;=LI_A,$Q241,0),0)</f>
        <v>0</v>
      </c>
      <c r="AQ241" s="5">
        <f>IF($D$238="Producción",IF($D241&gt;=LI_B,IF($D241&lt;LS_B,$Q241,0),0),0)</f>
        <v>0</v>
      </c>
      <c r="AR241" s="5">
        <f>IF($D$238="Producción",IF($D241&gt;=LI_C,IF($D241&lt;LS_C,$Q241,0),0),0)</f>
        <v>0</v>
      </c>
      <c r="AS241" s="5">
        <f>IF($D$238="Producción",IF($D241&lt;LS_D,$Q241,0),0)</f>
        <v>0</v>
      </c>
      <c r="AT241" s="5">
        <f>IF($D$238="Crecimiento",IF($D241&gt;0,$Q241,0),0)</f>
        <v>0</v>
      </c>
      <c r="AU241" s="5">
        <f>IF($D238="Siembra",'6'!$Q$7,0)</f>
        <v>0</v>
      </c>
      <c r="AV241" s="5">
        <f>IF($D238="Abandono",'6'!$Q$7,0)</f>
        <v>0</v>
      </c>
      <c r="AW241" s="5">
        <f>IF($E$238="Producción",IF($E241&gt;=LI_A,$R241,0),0)</f>
        <v>0</v>
      </c>
      <c r="AX241" s="5">
        <f>IF($E$238="Producción",IF($E241&gt;=LI_B,IF($E241&lt;LS_B,$R241,0),0),0)</f>
        <v>0</v>
      </c>
      <c r="AY241" s="5">
        <f>IF($E$238="Producción",IF($E241&gt;=LI_C,IF($E241&lt;LS_C,$R241,0),0),0)</f>
        <v>0</v>
      </c>
      <c r="AZ241" s="5">
        <f>IF($E$238="Producción",IF($E241&lt;LS_D,$R241,0),0)</f>
        <v>0</v>
      </c>
      <c r="BA241" s="5">
        <f>IF($E$238="Crecimiento",$R241,0)</f>
        <v>0</v>
      </c>
      <c r="BB241" s="5">
        <f>IF($E238="Siembra",'6'!$R$7,0)</f>
        <v>0</v>
      </c>
      <c r="BC241" s="5">
        <f>IF($E238="Abandono",'6'!$R$7,0)</f>
        <v>0</v>
      </c>
      <c r="BD241" s="5">
        <f>IF($F$238="Producción",IF($F241&gt;=LI_A,$S241,0),0)</f>
        <v>0</v>
      </c>
      <c r="BE241" s="5">
        <f>IF($F$238="Producción",IF($F241&gt;=LI_B,IF($F241&lt;LS_B,$S241,0),0),0)</f>
        <v>0</v>
      </c>
      <c r="BF241" s="5">
        <f>IF($F$238="Producción",IF($F241&gt;=LI_C,IF($F241&lt;LS_C,$S241,0),0),0)</f>
        <v>0</v>
      </c>
      <c r="BG241" s="5">
        <f>IF($F$238="Producción",IF($F241&lt;LS_D,$S241,0),0)</f>
        <v>0</v>
      </c>
      <c r="BH241" s="5">
        <f>IF($F$238="Crecimiento",$S241,0)</f>
        <v>0</v>
      </c>
      <c r="BI241" s="5">
        <f>IF($F238="Siembra",'6'!$S$7,0)</f>
        <v>0</v>
      </c>
      <c r="BJ241" s="5">
        <f>IF($F238="Abandono",'6'!$S$7,0)</f>
        <v>0</v>
      </c>
      <c r="BK241" s="5">
        <f>IF($G$238="Producción",IF($G241&gt;=LI_A,$T241,0),0)</f>
        <v>0</v>
      </c>
      <c r="BL241" s="5">
        <f>IF($G$238="Producción",IF($G241&gt;=LI_B,IF($G241&lt;LS_B,$T241,0),0),0)</f>
        <v>0</v>
      </c>
      <c r="BM241" s="5">
        <f>IF($G$238="Producción",IF($G241&gt;=LI_C,IF($G241&lt;LS_C,$T241,0),0),0)</f>
        <v>0</v>
      </c>
      <c r="BN241" s="5">
        <f>IF($G$238="Producción",IF($G241&lt;LS_D,$T241,0),0)</f>
        <v>0</v>
      </c>
      <c r="BO241" s="5">
        <f>IF($G$238="Crecimiento",$T241,0)</f>
        <v>0</v>
      </c>
      <c r="BP241" s="5">
        <f>IF($G238="Siembra",'6'!$T$7,0)</f>
        <v>0</v>
      </c>
      <c r="BQ241" s="5">
        <f>IF($G238="Abandono",'6'!$T$7,0)</f>
        <v>0</v>
      </c>
      <c r="BR241" s="5">
        <f>IF($H$238="Producción",IF($H241&gt;=LI_A,$U241,0),0)</f>
        <v>0</v>
      </c>
      <c r="BS241" s="5">
        <f>IF($H$238="Producción",IF($H241&gt;=LI_B,IF($H241&lt;LS_B,$U241,0),0),0)</f>
        <v>0</v>
      </c>
      <c r="BT241" s="5">
        <f>IF($H$238="Producción",IF($H241&gt;=LI_C,IF($H241&lt;LS_C,$U241,0),0),0)</f>
        <v>0</v>
      </c>
      <c r="BU241" s="5">
        <f>IF($H$238="Producción",IF($H241&lt;LS_D,$U241,0),0)</f>
        <v>0</v>
      </c>
      <c r="BV241" s="5">
        <f>IF($H$238="Crecimiento",$T241,0)</f>
        <v>0</v>
      </c>
      <c r="BW241" s="5">
        <f>IF($H238="Siembra",'6'!$U$7,0)</f>
        <v>0</v>
      </c>
      <c r="BX241" s="5">
        <f>IF($H238="Abandono",'6'!$U$7,0)</f>
        <v>0</v>
      </c>
      <c r="BY241" s="5">
        <f>IF($I$238="Producción",IF($I241&gt;=LI_A,$V241,0),0)</f>
        <v>0</v>
      </c>
      <c r="BZ241" s="5">
        <f>IF($I$238="Producción",IF($I241&gt;=LI_B,IF($I241&lt;LS_B,$V241,0),0),0)</f>
        <v>0</v>
      </c>
      <c r="CA241" s="5">
        <f>IF($I$238="Producción",IF($I241&gt;=LI_C,IF($I241&lt;LS_C,$V241,0),0),0)</f>
        <v>0</v>
      </c>
      <c r="CB241" s="5">
        <f>IF($I$238="Producción",IF($I241&lt;LS_D,$V241,0),0)</f>
        <v>0</v>
      </c>
      <c r="CC241" s="5">
        <f>IF($I$238="Crecimiento",$V241,0)</f>
        <v>0</v>
      </c>
      <c r="CD241" s="5">
        <f>IF($I238="Siembra",'6'!$V$7,0)</f>
        <v>0</v>
      </c>
      <c r="CE241" s="5">
        <f>IF($I238="Abandono",'6'!$V$7,0)</f>
        <v>0</v>
      </c>
      <c r="CF241" s="5">
        <f>IF($J$238="Producción",IF($J241&gt;=LI_A,$W241,0),0)</f>
        <v>0</v>
      </c>
      <c r="CG241" s="5">
        <f>IF($J$238="Producción",IF($J241&gt;=LI_B,IF($J241&lt;LS_B,$W241,0),0),0)</f>
        <v>0</v>
      </c>
      <c r="CH241" s="5">
        <f>IF($J$238="Producción",IF($J241&gt;=LI_C,IF($J241&lt;LS_C,$W241,0),0),0)</f>
        <v>0</v>
      </c>
      <c r="CI241" s="5">
        <f>IF($J$238="Producción",IF($J241&lt;LS_D,$W241,0),0)</f>
        <v>0</v>
      </c>
      <c r="CJ241" s="5">
        <f>IF($J$238="Crecimiento",$W241,0)</f>
        <v>0</v>
      </c>
      <c r="CK241" s="5">
        <f>IF($J238="Siembra",'6'!$W$7,0)</f>
        <v>0</v>
      </c>
      <c r="CL241" s="5">
        <f>IF($J238="Abandono",'6'!$W$7,0)</f>
        <v>0</v>
      </c>
      <c r="CM241" s="5">
        <f>IF($K$238="Producción",IF($K241&gt;=LI_A,$X241,0),0)</f>
        <v>0</v>
      </c>
      <c r="CN241" s="5">
        <f>IF($K$238="Producción",IF($K241&gt;=LI_B,IF($K241&lt;LS_B,$X241,0),0),0)</f>
        <v>0</v>
      </c>
      <c r="CO241" s="5">
        <f>IF($K$238="Producción",IF($K241&gt;=LI_C,IF($K241&lt;LS_C,$X241,0),0),0)</f>
        <v>0</v>
      </c>
      <c r="CP241" s="5">
        <f>IF($K$238="Producción",IF($K241&lt;LS_D,$X241,0),0)</f>
        <v>0</v>
      </c>
      <c r="CQ241" s="5">
        <f>IF($K$238="Crecimiento",$X241,0)</f>
        <v>0</v>
      </c>
      <c r="CR241" s="5">
        <f>IF($K238="Siembra",'6'!$X$7,0)</f>
        <v>0</v>
      </c>
      <c r="CS241" s="5">
        <f>IF($K238="Abandono",'6'!$X$7,0)</f>
        <v>0</v>
      </c>
      <c r="CT241" s="5">
        <f>IF($L$238="Producción",IF($L241&gt;=LI_A,$Y241,0),0)</f>
        <v>0</v>
      </c>
      <c r="CU241" s="5">
        <f>IF($L$238="Producción",IF($L241&gt;=LI_B,IF($L241&lt;LS_B,$Y241,0),0),0)</f>
        <v>0</v>
      </c>
      <c r="CV241" s="5">
        <f>IF($L$238="Producción",IF($L241&gt;=LI_C,IF($L241&lt;LS_C,$Y241,0),0),0)</f>
        <v>0</v>
      </c>
      <c r="CW241" s="5">
        <f>IF($L$238="Producción",IF($L241&lt;LS_D,$Y241,0),0)</f>
        <v>0</v>
      </c>
      <c r="CX241" s="5">
        <f>IF($L$238="Crecimiento",$Y241,0)</f>
        <v>0</v>
      </c>
      <c r="CY241" s="5">
        <f>IF($L238="Siembra",'6'!$Y$7,0)</f>
        <v>0</v>
      </c>
      <c r="CZ241" s="5">
        <f>IF($L238="Abandono",'6'!$Y$7,0)</f>
        <v>0</v>
      </c>
      <c r="DA241" s="5">
        <f>IF($M$238="Producción",IF($M241&gt;=LI_A,$Z241,0),0)</f>
        <v>0</v>
      </c>
      <c r="DB241" s="5">
        <f>IF($M$238="Producción",IF($M241&gt;=LI_B,IF($M241&lt;LS_B,$Z241,0),0),0)</f>
        <v>0</v>
      </c>
      <c r="DC241" s="5">
        <f>IF($M$238="Producción",IF($M241&gt;=LI_C,IF($M241&lt;LS_C,$Z241,0),0),0)</f>
        <v>0</v>
      </c>
      <c r="DD241" s="5">
        <f>IF($M$238="Producción",IF($M241&lt;LS_D,$Z241,0),0)</f>
        <v>0</v>
      </c>
      <c r="DE241" s="5">
        <f>IF($M$238="Crecimiento",$Z241,0)</f>
        <v>0</v>
      </c>
      <c r="DF241" s="5">
        <f>IF($M238="Siembra",'6'!$Z$7,0)</f>
        <v>0</v>
      </c>
      <c r="DG241" s="5">
        <f>IF($M238="Abandono",'6'!$Z$7,0)</f>
        <v>0</v>
      </c>
      <c r="DI241" s="5">
        <f t="shared" ref="DI241:DI245" si="1803">AB241*$B241</f>
        <v>0</v>
      </c>
      <c r="DJ241" s="5">
        <f t="shared" ref="DJ241:DJ245" si="1804">AC241*$B241</f>
        <v>0</v>
      </c>
      <c r="DK241" s="5">
        <f t="shared" ref="DK241:DK245" si="1805">AD241*$B241</f>
        <v>0</v>
      </c>
      <c r="DL241" s="5">
        <f t="shared" ref="DL241:DL245" si="1806">AE241*$B241</f>
        <v>0</v>
      </c>
      <c r="DM241" s="5">
        <f t="shared" ref="DM241:DM245" si="1807">AF241*$B241</f>
        <v>0</v>
      </c>
      <c r="DN241" s="5">
        <f t="shared" ref="DN241:DN245" si="1808">AI241*$C241</f>
        <v>0</v>
      </c>
      <c r="DO241" s="5">
        <f t="shared" ref="DO241:DO245" si="1809">AJ241*$C241</f>
        <v>0</v>
      </c>
      <c r="DP241" s="5">
        <f t="shared" ref="DP241:DP245" si="1810">AK241*$C241</f>
        <v>0</v>
      </c>
      <c r="DQ241" s="5">
        <f t="shared" ref="DQ241:DQ245" si="1811">AL241*$C241</f>
        <v>0</v>
      </c>
      <c r="DR241" s="5">
        <f t="shared" ref="DR241:DR245" si="1812">AM241*$C241</f>
        <v>0</v>
      </c>
      <c r="DS241" s="5">
        <f t="shared" ref="DS241:DS245" si="1813">AP241*$D241</f>
        <v>0</v>
      </c>
      <c r="DT241" s="5">
        <f t="shared" ref="DT241:DT245" si="1814">AQ241*$D241</f>
        <v>0</v>
      </c>
      <c r="DU241" s="5">
        <f t="shared" ref="DU241:DU245" si="1815">AR241*$D241</f>
        <v>0</v>
      </c>
      <c r="DV241" s="5">
        <f t="shared" ref="DV241:DV245" si="1816">AS241*$D241</f>
        <v>0</v>
      </c>
      <c r="DW241" s="5">
        <f t="shared" ref="DW241:DW245" si="1817">AT241*$D241</f>
        <v>0</v>
      </c>
      <c r="DX241" s="5">
        <f t="shared" ref="DX241:DX245" si="1818">AW241*$E241</f>
        <v>0</v>
      </c>
      <c r="DY241" s="5">
        <f t="shared" ref="DY241:DY245" si="1819">AX241*$E241</f>
        <v>0</v>
      </c>
      <c r="DZ241" s="5">
        <f t="shared" ref="DZ241:DZ245" si="1820">AY241*$E241</f>
        <v>0</v>
      </c>
      <c r="EA241" s="5">
        <f t="shared" ref="EA241:EA245" si="1821">AZ241*$E241</f>
        <v>0</v>
      </c>
      <c r="EB241" s="5">
        <f t="shared" ref="EB241:EB245" si="1822">BA241*$E241</f>
        <v>0</v>
      </c>
      <c r="EC241" s="5">
        <f t="shared" ref="EC241:EC245" si="1823">BD241*$F241</f>
        <v>0</v>
      </c>
      <c r="ED241" s="5">
        <f t="shared" ref="ED241:ED245" si="1824">BE241*$F241</f>
        <v>0</v>
      </c>
      <c r="EE241" s="5">
        <f t="shared" ref="EE241:EE245" si="1825">BF241*$F241</f>
        <v>0</v>
      </c>
      <c r="EF241" s="5">
        <f t="shared" ref="EF241:EF245" si="1826">BG241*$F241</f>
        <v>0</v>
      </c>
      <c r="EG241" s="5">
        <f t="shared" ref="EG241:EG245" si="1827">BH241*$F241</f>
        <v>0</v>
      </c>
      <c r="EH241" s="5">
        <f t="shared" ref="EH241:EH245" si="1828">BK241*$G241</f>
        <v>0</v>
      </c>
      <c r="EI241" s="5">
        <f t="shared" ref="EI241:EI245" si="1829">BL241*$G241</f>
        <v>0</v>
      </c>
      <c r="EJ241" s="5">
        <f t="shared" ref="EJ241:EJ245" si="1830">BM241*$G241</f>
        <v>0</v>
      </c>
      <c r="EK241" s="5">
        <f t="shared" ref="EK241:EK245" si="1831">BN241*$G241</f>
        <v>0</v>
      </c>
      <c r="EL241" s="5">
        <f t="shared" ref="EL241:EL245" si="1832">BO241*$G241</f>
        <v>0</v>
      </c>
      <c r="EM241" s="5">
        <f t="shared" ref="EM241:EM245" si="1833">BR241*$H241</f>
        <v>0</v>
      </c>
      <c r="EN241" s="5">
        <f t="shared" ref="EN241:EN245" si="1834">BS241*$H241</f>
        <v>0</v>
      </c>
      <c r="EO241" s="5">
        <f t="shared" ref="EO241:EO245" si="1835">BT241*$H241</f>
        <v>0</v>
      </c>
      <c r="EP241" s="5">
        <f t="shared" ref="EP241:EP245" si="1836">BU241*$H241</f>
        <v>0</v>
      </c>
      <c r="EQ241" s="5">
        <f t="shared" ref="EQ241:EQ245" si="1837">BV241*$H241</f>
        <v>0</v>
      </c>
      <c r="ER241" s="5">
        <f t="shared" ref="ER241:ER245" si="1838">BY241*$I241</f>
        <v>0</v>
      </c>
      <c r="ES241" s="5">
        <f t="shared" ref="ES241:ES245" si="1839">BZ241*$I241</f>
        <v>0</v>
      </c>
      <c r="ET241" s="5">
        <f t="shared" ref="ET241:ET245" si="1840">CA241*$I241</f>
        <v>0</v>
      </c>
      <c r="EU241" s="5">
        <f t="shared" ref="EU241:EU245" si="1841">CB241*$I241</f>
        <v>0</v>
      </c>
      <c r="EV241" s="5">
        <f t="shared" ref="EV241:EV245" si="1842">CC241*$I241</f>
        <v>0</v>
      </c>
      <c r="EW241" s="5">
        <f t="shared" ref="EW241:EW245" si="1843">CF241*$J241</f>
        <v>0</v>
      </c>
      <c r="EX241" s="5">
        <f t="shared" ref="EX241:EX245" si="1844">CG241*$J241</f>
        <v>0</v>
      </c>
      <c r="EY241" s="5">
        <f t="shared" ref="EY241:EY245" si="1845">CH241*$J241</f>
        <v>0</v>
      </c>
      <c r="EZ241" s="5">
        <f t="shared" ref="EZ241:EZ245" si="1846">CI241*$J241</f>
        <v>0</v>
      </c>
      <c r="FA241" s="5">
        <f t="shared" ref="FA241:FA245" si="1847">CJ241*$J241</f>
        <v>0</v>
      </c>
      <c r="FB241" s="5">
        <f t="shared" ref="FB241:FB245" si="1848">CM241*$K241</f>
        <v>0</v>
      </c>
      <c r="FC241" s="5">
        <f t="shared" ref="FC241:FC245" si="1849">CN241*$K241</f>
        <v>0</v>
      </c>
      <c r="FD241" s="5">
        <f t="shared" ref="FD241:FD245" si="1850">CO241*$K241</f>
        <v>0</v>
      </c>
      <c r="FE241" s="5">
        <f t="shared" ref="FE241:FE245" si="1851">CP241*$K241</f>
        <v>0</v>
      </c>
      <c r="FF241" s="5">
        <f t="shared" ref="FF241:FF245" si="1852">CQ241*$K241</f>
        <v>0</v>
      </c>
      <c r="FG241" s="5">
        <f t="shared" ref="FG241:FG245" si="1853">CT241*$L241</f>
        <v>0</v>
      </c>
      <c r="FH241" s="5">
        <f t="shared" ref="FH241:FH245" si="1854">CU241*$L241</f>
        <v>0</v>
      </c>
      <c r="FI241" s="5">
        <f t="shared" ref="FI241:FI245" si="1855">CV241*$L241</f>
        <v>0</v>
      </c>
      <c r="FJ241" s="5">
        <f t="shared" ref="FJ241:FJ245" si="1856">CW241*$L241</f>
        <v>0</v>
      </c>
      <c r="FK241" s="5">
        <f t="shared" ref="FK241:FK245" si="1857">CX241*$L241</f>
        <v>0</v>
      </c>
      <c r="FL241" s="5">
        <f t="shared" ref="FL241:FL245" si="1858">DA241*$M241</f>
        <v>0</v>
      </c>
      <c r="FM241" s="5">
        <f t="shared" ref="FM241:FM245" si="1859">DB241*$M241</f>
        <v>0</v>
      </c>
      <c r="FN241" s="5">
        <f t="shared" ref="FN241:FN245" si="1860">DC241*$M241</f>
        <v>0</v>
      </c>
      <c r="FO241" s="5">
        <f t="shared" ref="FO241:FO245" si="1861">DD241*$M241</f>
        <v>0</v>
      </c>
      <c r="FP241" s="5">
        <f t="shared" ref="FP241:FP245" si="1862">DE241*$M241</f>
        <v>0</v>
      </c>
    </row>
    <row r="242" spans="1:172" ht="20.100000000000001" customHeight="1" x14ac:dyDescent="0.3">
      <c r="A242" s="8" t="s">
        <v>303</v>
      </c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O242" s="58">
        <f>IFERROR('6'!O$123/Ciclo,0)</f>
        <v>0</v>
      </c>
      <c r="P242" s="58">
        <f>IFERROR('6'!P$123/Ciclo,0)</f>
        <v>0</v>
      </c>
      <c r="Q242" s="58">
        <f>IFERROR('6'!Q$123/Ciclo,0)</f>
        <v>0</v>
      </c>
      <c r="R242" s="58">
        <f>IFERROR('6'!R$123/Ciclo,0)</f>
        <v>0</v>
      </c>
      <c r="S242" s="58">
        <f>IFERROR('6'!S$123/Ciclo,0)</f>
        <v>0</v>
      </c>
      <c r="T242" s="58">
        <f>IFERROR('6'!T$123/Ciclo,0)</f>
        <v>0</v>
      </c>
      <c r="U242" s="58">
        <f>IFERROR('6'!U$123/Ciclo,0)</f>
        <v>0</v>
      </c>
      <c r="V242" s="58">
        <f>IFERROR('6'!V$123/Ciclo,0)</f>
        <v>0</v>
      </c>
      <c r="W242" s="5">
        <f>IFERROR('6'!W$123/Ciclo,0)</f>
        <v>0</v>
      </c>
      <c r="X242" s="5">
        <f>IFERROR('6'!X$123/Ciclo,0)</f>
        <v>0</v>
      </c>
      <c r="Y242" s="5">
        <f>IFERROR('6'!Y$123/Ciclo,0)</f>
        <v>0</v>
      </c>
      <c r="Z242" s="5">
        <f>IFERROR('6'!Z$123/Ciclo,0)</f>
        <v>0</v>
      </c>
      <c r="AB242" s="5">
        <f>IF($B$238="Producción",IF($B242&gt;=LI_A,$O242,0),0)</f>
        <v>0</v>
      </c>
      <c r="AC242" s="5">
        <f>IF($B$238="Producción",IF($B242&gt;=LI_B,IF($B242&lt;LS_B,$O242,0),0),0)</f>
        <v>0</v>
      </c>
      <c r="AD242" s="5">
        <f>IF($B$238="Producción",IF($B242&gt;=LI_C,IF($B242&lt;LS_C,$O242,0),0),0)</f>
        <v>0</v>
      </c>
      <c r="AE242" s="5">
        <f>IF($B$238="Producción",IF($B242&lt;LS_D,$O242,0),0)</f>
        <v>0</v>
      </c>
      <c r="AF242" s="5">
        <f t="shared" ref="AF242:AF245" si="1863">IF($B$238="Crecimiento",$O242,0)</f>
        <v>0</v>
      </c>
      <c r="AI242" s="5">
        <f>IF($C$238="Producción",IF($C242&gt;=LI_A,$P242,0),0)</f>
        <v>0</v>
      </c>
      <c r="AJ242" s="5">
        <f>IF($C$238="Producción",IF($C242&gt;=LI_B,IF($C242&lt;LS_B,$P242,0),0),0)</f>
        <v>0</v>
      </c>
      <c r="AK242" s="5">
        <f>IF($C$238="Producción",IF($C242&gt;=LI_C,IF($C242&lt;LS_C,$P242,0),0),0)</f>
        <v>0</v>
      </c>
      <c r="AL242" s="5">
        <f>IF($C$238="Producción",IF($C242&lt;LS_D,$P242,0),0)</f>
        <v>0</v>
      </c>
      <c r="AM242" s="5">
        <f>IF($C$238="Crecimiento",$P242,0)</f>
        <v>0</v>
      </c>
      <c r="AP242" s="5">
        <f>IF($D$238="Producción",IF($D242&gt;=LI_A,$Q242,0),0)</f>
        <v>0</v>
      </c>
      <c r="AQ242" s="5">
        <f>IF($D$238="Producción",IF($D242&gt;=LI_B,IF($D242&lt;LS_B,$Q242,0),0),0)</f>
        <v>0</v>
      </c>
      <c r="AR242" s="5">
        <f>IF($D$238="Producción",IF($D242&gt;=LI_C,IF($D242&lt;LS_C,$Q242,0),0),0)</f>
        <v>0</v>
      </c>
      <c r="AS242" s="5">
        <f>IF($D$238="Producción",IF($D242&lt;LS_D,$Q242,0),0)</f>
        <v>0</v>
      </c>
      <c r="AT242" s="5">
        <f>IF($D$238="Crecimiento",IF($D242&gt;0,$Q242,0),0)</f>
        <v>0</v>
      </c>
      <c r="AW242" s="5">
        <f>IF($E$238="Producción",IF($E242&gt;=LI_A,$R242,0),0)</f>
        <v>0</v>
      </c>
      <c r="AX242" s="5">
        <f>IF($E$238="Producción",IF($E242&gt;=LI_B,IF($E242&lt;LS_B,$R242,0),0),0)</f>
        <v>0</v>
      </c>
      <c r="AY242" s="5">
        <f>IF($E$238="Producción",IF($E242&gt;=LI_C,IF($E242&lt;LS_C,$R242,0),0),0)</f>
        <v>0</v>
      </c>
      <c r="AZ242" s="5">
        <f>IF($E$238="Producción",IF($E242&lt;LS_D,$R242,0),0)</f>
        <v>0</v>
      </c>
      <c r="BA242" s="5">
        <f>IF($E$238="Crecimiento",$R242,0)</f>
        <v>0</v>
      </c>
      <c r="BD242" s="5">
        <f>IF($F$238="Producción",IF($F242&gt;=LI_A,$S242,0),0)</f>
        <v>0</v>
      </c>
      <c r="BE242" s="5">
        <f>IF($F$238="Producción",IF($F242&gt;=LI_B,IF($F242&lt;LS_B,$S242,0),0),0)</f>
        <v>0</v>
      </c>
      <c r="BF242" s="5">
        <f>IF($F$238="Producción",IF($F242&gt;=LI_C,IF($F242&lt;LS_C,$S242,0),0),0)</f>
        <v>0</v>
      </c>
      <c r="BG242" s="5">
        <f>IF($F$238="Producción",IF($F242&lt;LS_D,$S242,0),0)</f>
        <v>0</v>
      </c>
      <c r="BH242" s="5">
        <f>IF($F$238="Crecimiento",$S242,0)</f>
        <v>0</v>
      </c>
      <c r="BK242" s="5">
        <f>IF($G$238="Producción",IF($G242&gt;=LI_A,$T242,0),0)</f>
        <v>0</v>
      </c>
      <c r="BL242" s="5">
        <f>IF($G$238="Producción",IF($G242&gt;=LI_B,IF($G242&lt;LS_B,$T242,0),0),0)</f>
        <v>0</v>
      </c>
      <c r="BM242" s="5">
        <f>IF($G$238="Producción",IF($G242&gt;=LI_C,IF($G242&lt;LS_C,$T242,0),0),0)</f>
        <v>0</v>
      </c>
      <c r="BN242" s="5">
        <f>IF($G$238="Producción",IF($G242&lt;LS_D,$T242,0),0)</f>
        <v>0</v>
      </c>
      <c r="BO242" s="5">
        <f>IF($G$238="Crecimiento",$T242,0)</f>
        <v>0</v>
      </c>
      <c r="BR242" s="5">
        <f>IF($H$238="Producción",IF($H242&gt;=LI_A,$U242,0),0)</f>
        <v>0</v>
      </c>
      <c r="BS242" s="5">
        <f>IF($H$238="Producción",IF($H242&gt;=LI_B,IF($H242&lt;LS_B,$U242,0),0),0)</f>
        <v>0</v>
      </c>
      <c r="BT242" s="5">
        <f>IF($H$238="Producción",IF($H242&gt;=LI_C,IF($H242&lt;LS_C,$U242,0),0),0)</f>
        <v>0</v>
      </c>
      <c r="BU242" s="5">
        <f>IF($H$238="Producción",IF($H242&lt;LS_D,$U242,0),0)</f>
        <v>0</v>
      </c>
      <c r="BV242" s="5">
        <f>IF($H$238="Crecimiento",$T242,0)</f>
        <v>0</v>
      </c>
      <c r="BY242" s="5">
        <f>IF($I$238="Producción",IF($I242&gt;=LI_A,$V242,0),0)</f>
        <v>0</v>
      </c>
      <c r="BZ242" s="5">
        <f>IF($I$238="Producción",IF($I242&gt;=LI_B,IF($I242&lt;LS_B,$V242,0),0),0)</f>
        <v>0</v>
      </c>
      <c r="CA242" s="5">
        <f>IF($I$238="Producción",IF($I242&gt;=LI_C,IF($I242&lt;LS_C,$V242,0),0),0)</f>
        <v>0</v>
      </c>
      <c r="CB242" s="5">
        <f>IF($I$238="Producción",IF($I242&lt;LS_D,$V242,0),0)</f>
        <v>0</v>
      </c>
      <c r="CC242" s="5">
        <f>IF($I$238="Crecimiento",$V242,0)</f>
        <v>0</v>
      </c>
      <c r="CF242" s="5">
        <f>IF($J$238="Producción",IF($J242&gt;=LI_A,$W242,0),0)</f>
        <v>0</v>
      </c>
      <c r="CG242" s="5">
        <f>IF($J$238="Producción",IF($J242&gt;=LI_B,IF($J242&lt;LS_B,$W242,0),0),0)</f>
        <v>0</v>
      </c>
      <c r="CH242" s="5">
        <f>IF($J$238="Producción",IF($J242&gt;=LI_C,IF($J242&lt;LS_C,$W242,0),0),0)</f>
        <v>0</v>
      </c>
      <c r="CI242" s="5">
        <f>IF($J$238="Producción",IF($J242&lt;LS_D,$W242,0),0)</f>
        <v>0</v>
      </c>
      <c r="CJ242" s="5">
        <f>IF($J$238="Crecimiento",$W242,0)</f>
        <v>0</v>
      </c>
      <c r="CM242" s="5">
        <f>IF($K$238="Producción",IF($K242&gt;=LI_A,$X242,0),0)</f>
        <v>0</v>
      </c>
      <c r="CN242" s="5">
        <f>IF($K$238="Producción",IF($K242&gt;=LI_B,IF($K242&lt;LS_B,$X242,0),0),0)</f>
        <v>0</v>
      </c>
      <c r="CO242" s="5">
        <f>IF($K$238="Producción",IF($K242&gt;=LI_C,IF($K242&lt;LS_C,$X242,0),0),0)</f>
        <v>0</v>
      </c>
      <c r="CP242" s="5">
        <f>IF($K$238="Producción",IF($K242&lt;LS_D,$X242,0),0)</f>
        <v>0</v>
      </c>
      <c r="CQ242" s="5">
        <f>IF($K$238="Crecimiento",$X242,0)</f>
        <v>0</v>
      </c>
      <c r="CT242" s="5">
        <f>IF($L$238="Producción",IF($L242&gt;=LI_A,$Y242,0),0)</f>
        <v>0</v>
      </c>
      <c r="CU242" s="5">
        <f>IF($L$238="Producción",IF($L242&gt;=LI_B,IF($L242&lt;LS_B,$Y242,0),0),0)</f>
        <v>0</v>
      </c>
      <c r="CV242" s="5">
        <f>IF($L$238="Producción",IF($L242&gt;=LI_C,IF($L242&lt;LS_C,$Y242,0),0),0)</f>
        <v>0</v>
      </c>
      <c r="CW242" s="5">
        <f>IF($L$238="Producción",IF($L242&lt;LS_D,$Y242,0),0)</f>
        <v>0</v>
      </c>
      <c r="CX242" s="5">
        <f>IF($L$238="Crecimiento",$Y242,0)</f>
        <v>0</v>
      </c>
      <c r="DA242" s="5">
        <f>IF($M$238="Producción",IF($M242&gt;=LI_A,$Z242,0),0)</f>
        <v>0</v>
      </c>
      <c r="DB242" s="5">
        <f>IF($M$238="Producción",IF($M242&gt;=LI_B,IF($M242&lt;LS_B,$Z242,0),0),0)</f>
        <v>0</v>
      </c>
      <c r="DC242" s="5">
        <f>IF($M$238="Producción",IF($M242&gt;=LI_C,IF($M242&lt;LS_C,$Z242,0),0),0)</f>
        <v>0</v>
      </c>
      <c r="DD242" s="5">
        <f>IF($M$238="Producción",IF($M242&lt;LS_D,$Z242,0),0)</f>
        <v>0</v>
      </c>
      <c r="DE242" s="5">
        <f>IF($M$238="Crecimiento",$Z242,0)</f>
        <v>0</v>
      </c>
      <c r="DI242" s="5">
        <f t="shared" si="1803"/>
        <v>0</v>
      </c>
      <c r="DJ242" s="5">
        <f t="shared" si="1804"/>
        <v>0</v>
      </c>
      <c r="DK242" s="5">
        <f t="shared" si="1805"/>
        <v>0</v>
      </c>
      <c r="DL242" s="5">
        <f t="shared" si="1806"/>
        <v>0</v>
      </c>
      <c r="DM242" s="5">
        <f t="shared" si="1807"/>
        <v>0</v>
      </c>
      <c r="DN242" s="5">
        <f t="shared" si="1808"/>
        <v>0</v>
      </c>
      <c r="DO242" s="5">
        <f t="shared" si="1809"/>
        <v>0</v>
      </c>
      <c r="DP242" s="5">
        <f t="shared" si="1810"/>
        <v>0</v>
      </c>
      <c r="DQ242" s="5">
        <f t="shared" si="1811"/>
        <v>0</v>
      </c>
      <c r="DR242" s="5">
        <f t="shared" si="1812"/>
        <v>0</v>
      </c>
      <c r="DS242" s="5">
        <f t="shared" si="1813"/>
        <v>0</v>
      </c>
      <c r="DT242" s="5">
        <f t="shared" si="1814"/>
        <v>0</v>
      </c>
      <c r="DU242" s="5">
        <f t="shared" si="1815"/>
        <v>0</v>
      </c>
      <c r="DV242" s="5">
        <f t="shared" si="1816"/>
        <v>0</v>
      </c>
      <c r="DW242" s="5">
        <f t="shared" si="1817"/>
        <v>0</v>
      </c>
      <c r="DX242" s="5">
        <f t="shared" si="1818"/>
        <v>0</v>
      </c>
      <c r="DY242" s="5">
        <f t="shared" si="1819"/>
        <v>0</v>
      </c>
      <c r="DZ242" s="5">
        <f t="shared" si="1820"/>
        <v>0</v>
      </c>
      <c r="EA242" s="5">
        <f t="shared" si="1821"/>
        <v>0</v>
      </c>
      <c r="EB242" s="5">
        <f t="shared" si="1822"/>
        <v>0</v>
      </c>
      <c r="EC242" s="5">
        <f t="shared" si="1823"/>
        <v>0</v>
      </c>
      <c r="ED242" s="5">
        <f t="shared" si="1824"/>
        <v>0</v>
      </c>
      <c r="EE242" s="5">
        <f t="shared" si="1825"/>
        <v>0</v>
      </c>
      <c r="EF242" s="5">
        <f t="shared" si="1826"/>
        <v>0</v>
      </c>
      <c r="EG242" s="5">
        <f t="shared" si="1827"/>
        <v>0</v>
      </c>
      <c r="EH242" s="5">
        <f t="shared" si="1828"/>
        <v>0</v>
      </c>
      <c r="EI242" s="5">
        <f t="shared" si="1829"/>
        <v>0</v>
      </c>
      <c r="EJ242" s="5">
        <f t="shared" si="1830"/>
        <v>0</v>
      </c>
      <c r="EK242" s="5">
        <f t="shared" si="1831"/>
        <v>0</v>
      </c>
      <c r="EL242" s="5">
        <f t="shared" si="1832"/>
        <v>0</v>
      </c>
      <c r="EM242" s="5">
        <f t="shared" si="1833"/>
        <v>0</v>
      </c>
      <c r="EN242" s="5">
        <f t="shared" si="1834"/>
        <v>0</v>
      </c>
      <c r="EO242" s="5">
        <f t="shared" si="1835"/>
        <v>0</v>
      </c>
      <c r="EP242" s="5">
        <f t="shared" si="1836"/>
        <v>0</v>
      </c>
      <c r="EQ242" s="5">
        <f t="shared" si="1837"/>
        <v>0</v>
      </c>
      <c r="ER242" s="5">
        <f t="shared" si="1838"/>
        <v>0</v>
      </c>
      <c r="ES242" s="5">
        <f t="shared" si="1839"/>
        <v>0</v>
      </c>
      <c r="ET242" s="5">
        <f t="shared" si="1840"/>
        <v>0</v>
      </c>
      <c r="EU242" s="5">
        <f t="shared" si="1841"/>
        <v>0</v>
      </c>
      <c r="EV242" s="5">
        <f t="shared" si="1842"/>
        <v>0</v>
      </c>
      <c r="EW242" s="5">
        <f t="shared" si="1843"/>
        <v>0</v>
      </c>
      <c r="EX242" s="5">
        <f t="shared" si="1844"/>
        <v>0</v>
      </c>
      <c r="EY242" s="5">
        <f t="shared" si="1845"/>
        <v>0</v>
      </c>
      <c r="EZ242" s="5">
        <f t="shared" si="1846"/>
        <v>0</v>
      </c>
      <c r="FA242" s="5">
        <f t="shared" si="1847"/>
        <v>0</v>
      </c>
      <c r="FB242" s="5">
        <f t="shared" si="1848"/>
        <v>0</v>
      </c>
      <c r="FC242" s="5">
        <f t="shared" si="1849"/>
        <v>0</v>
      </c>
      <c r="FD242" s="5">
        <f t="shared" si="1850"/>
        <v>0</v>
      </c>
      <c r="FE242" s="5">
        <f t="shared" si="1851"/>
        <v>0</v>
      </c>
      <c r="FF242" s="5">
        <f t="shared" si="1852"/>
        <v>0</v>
      </c>
      <c r="FG242" s="5">
        <f t="shared" si="1853"/>
        <v>0</v>
      </c>
      <c r="FH242" s="5">
        <f t="shared" si="1854"/>
        <v>0</v>
      </c>
      <c r="FI242" s="5">
        <f t="shared" si="1855"/>
        <v>0</v>
      </c>
      <c r="FJ242" s="5">
        <f t="shared" si="1856"/>
        <v>0</v>
      </c>
      <c r="FK242" s="5">
        <f t="shared" si="1857"/>
        <v>0</v>
      </c>
      <c r="FL242" s="5">
        <f t="shared" si="1858"/>
        <v>0</v>
      </c>
      <c r="FM242" s="5">
        <f t="shared" si="1859"/>
        <v>0</v>
      </c>
      <c r="FN242" s="5">
        <f t="shared" si="1860"/>
        <v>0</v>
      </c>
      <c r="FO242" s="5">
        <f t="shared" si="1861"/>
        <v>0</v>
      </c>
      <c r="FP242" s="5">
        <f t="shared" si="1862"/>
        <v>0</v>
      </c>
    </row>
    <row r="243" spans="1:172" ht="20.100000000000001" customHeight="1" x14ac:dyDescent="0.3">
      <c r="A243" s="8" t="str">
        <f>IF(Ciclo&gt;2,"Surco 3","NA")</f>
        <v>Surco 3</v>
      </c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O243" s="58">
        <f>IF($A243="NA",0,IFERROR('6'!O$123/Ciclo,0))</f>
        <v>0</v>
      </c>
      <c r="P243" s="58">
        <f>IF($A243="NA",0,IFERROR('6'!P$123/Ciclo,0))</f>
        <v>0</v>
      </c>
      <c r="Q243" s="58">
        <f>IF($A243="NA",0,IFERROR('6'!Q$123/Ciclo,0))</f>
        <v>0</v>
      </c>
      <c r="R243" s="58">
        <f>IF($A243="NA",0,IFERROR('6'!R$123/Ciclo,0))</f>
        <v>0</v>
      </c>
      <c r="S243" s="58">
        <f>IF($A243="NA",0,IFERROR('6'!S$123/Ciclo,0))</f>
        <v>0</v>
      </c>
      <c r="T243" s="58">
        <f>IF($A243="NA",0,IFERROR('6'!T$123/Ciclo,0))</f>
        <v>0</v>
      </c>
      <c r="U243" s="58">
        <f>IF($A243="NA",0,IFERROR('6'!U$123/Ciclo,0))</f>
        <v>0</v>
      </c>
      <c r="V243" s="58">
        <f>IF($A243="NA",0,IFERROR('6'!V$123/Ciclo,0))</f>
        <v>0</v>
      </c>
      <c r="W243" s="5">
        <f>IF($A243="NA",0,IFERROR('6'!W$123/Ciclo,0))</f>
        <v>0</v>
      </c>
      <c r="X243" s="5">
        <f>IF($A243="NA",0,IFERROR('6'!X$123/Ciclo,0))</f>
        <v>0</v>
      </c>
      <c r="Y243" s="5">
        <f>IF($A243="NA",0,IFERROR('6'!Y$123/Ciclo,0))</f>
        <v>0</v>
      </c>
      <c r="Z243" s="5">
        <f>IF($A243="NA",0,IFERROR('6'!Z$123/Ciclo,0))</f>
        <v>0</v>
      </c>
      <c r="AB243" s="5">
        <f>IF($B$238="Producción",IF($B243&gt;=LI_A,$O243,0),0)</f>
        <v>0</v>
      </c>
      <c r="AC243" s="5">
        <f>IF($B$238="Producción",IF($B243&gt;=LI_B,IF($B243&lt;LS_B,$O243,0),0),0)</f>
        <v>0</v>
      </c>
      <c r="AD243" s="5">
        <f>IF($B$238="Producción",IF($B243&gt;=LI_C,IF($B243&lt;LS_C,$O243,0),0),0)</f>
        <v>0</v>
      </c>
      <c r="AE243" s="5">
        <f>IF($B$238="Producción",IF($B243&lt;LS_D,$O243,0),0)</f>
        <v>0</v>
      </c>
      <c r="AF243" s="5">
        <f t="shared" si="1863"/>
        <v>0</v>
      </c>
      <c r="AI243" s="5">
        <f>IF($C$238="Producción",IF($C243&gt;=LI_A,$P243,0),0)</f>
        <v>0</v>
      </c>
      <c r="AJ243" s="5">
        <f>IF($C$238="Producción",IF($C243&gt;=LI_B,IF($C243&lt;LS_B,$P243,0),0),0)</f>
        <v>0</v>
      </c>
      <c r="AK243" s="5">
        <f>IF($C$238="Producción",IF($C243&gt;=LI_C,IF($C243&lt;LS_C,$P243,0),0),0)</f>
        <v>0</v>
      </c>
      <c r="AL243" s="5">
        <f>IF($C$238="Producción",IF($C243&lt;LS_D,$P243,0),0)</f>
        <v>0</v>
      </c>
      <c r="AM243" s="5">
        <f>IF($C$238="Crecimiento",$P243,0)</f>
        <v>0</v>
      </c>
      <c r="AP243" s="5">
        <f>IF($D$238="Producción",IF($D243&gt;=LI_A,$Q243,0),0)</f>
        <v>0</v>
      </c>
      <c r="AQ243" s="5">
        <f>IF($D$238="Producción",IF($D243&gt;=LI_B,IF($D243&lt;LS_B,$Q243,0),0),0)</f>
        <v>0</v>
      </c>
      <c r="AR243" s="5">
        <f>IF($D$238="Producción",IF($D243&gt;=LI_C,IF($D243&lt;LS_C,$Q243,0),0),0)</f>
        <v>0</v>
      </c>
      <c r="AS243" s="5">
        <f>IF($D$238="Producción",IF($D243&lt;LS_D,$Q243,0),0)</f>
        <v>0</v>
      </c>
      <c r="AT243" s="5">
        <f>IF($D$238="Crecimiento",IF($D243&gt;0,$Q243,0),0)</f>
        <v>0</v>
      </c>
      <c r="AW243" s="5">
        <f>IF($E$238="Producción",IF($E243&gt;=LI_A,$R243,0),0)</f>
        <v>0</v>
      </c>
      <c r="AX243" s="5">
        <f>IF($E$238="Producción",IF($E243&gt;=LI_B,IF($E243&lt;LS_B,$R243,0),0),0)</f>
        <v>0</v>
      </c>
      <c r="AY243" s="5">
        <f>IF($E$238="Producción",IF($E243&gt;=LI_C,IF($E243&lt;LS_C,$R243,0),0),0)</f>
        <v>0</v>
      </c>
      <c r="AZ243" s="5">
        <f>IF($E$238="Producción",IF($E243&lt;LS_D,$R243,0),0)</f>
        <v>0</v>
      </c>
      <c r="BA243" s="5">
        <f>IF($E$238="Crecimiento",$R243,0)</f>
        <v>0</v>
      </c>
      <c r="BD243" s="5">
        <f>IF($F$238="Producción",IF($F243&gt;=LI_A,$S243,0),0)</f>
        <v>0</v>
      </c>
      <c r="BE243" s="5">
        <f>IF($F$238="Producción",IF($F243&gt;=LI_B,IF($F243&lt;LS_B,$S243,0),0),0)</f>
        <v>0</v>
      </c>
      <c r="BF243" s="5">
        <f>IF($F$238="Producción",IF($F243&gt;=LI_C,IF($F243&lt;LS_C,$S243,0),0),0)</f>
        <v>0</v>
      </c>
      <c r="BG243" s="5">
        <f>IF($F$238="Producción",IF($F243&lt;LS_D,$S243,0),0)</f>
        <v>0</v>
      </c>
      <c r="BH243" s="5">
        <f>IF($F$238="Crecimiento",$S243,0)</f>
        <v>0</v>
      </c>
      <c r="BK243" s="5">
        <f>IF($G$238="Producción",IF($G243&gt;=LI_A,$T243,0),0)</f>
        <v>0</v>
      </c>
      <c r="BL243" s="5">
        <f>IF($G$238="Producción",IF($G243&gt;=LI_B,IF($G243&lt;LS_B,$T243,0),0),0)</f>
        <v>0</v>
      </c>
      <c r="BM243" s="5">
        <f>IF($G$238="Producción",IF($G243&gt;=LI_C,IF($G243&lt;LS_C,$T243,0),0),0)</f>
        <v>0</v>
      </c>
      <c r="BN243" s="5">
        <f>IF($G$238="Producción",IF($G243&lt;LS_D,$T243,0),0)</f>
        <v>0</v>
      </c>
      <c r="BO243" s="5">
        <f>IF($G$238="Crecimiento",$T243,0)</f>
        <v>0</v>
      </c>
      <c r="BR243" s="5">
        <f>IF($H$238="Producción",IF($H243&gt;=LI_A,$U243,0),0)</f>
        <v>0</v>
      </c>
      <c r="BS243" s="5">
        <f>IF($H$238="Producción",IF($H243&gt;=LI_B,IF($H243&lt;LS_B,$U243,0),0),0)</f>
        <v>0</v>
      </c>
      <c r="BT243" s="5">
        <f>IF($H$238="Producción",IF($H243&gt;=LI_C,IF($H243&lt;LS_C,$U243,0),0),0)</f>
        <v>0</v>
      </c>
      <c r="BU243" s="5">
        <f>IF($H$238="Producción",IF($H243&lt;LS_D,$U243,0),0)</f>
        <v>0</v>
      </c>
      <c r="BV243" s="5">
        <f>IF($H$238="Crecimiento",$T243,0)</f>
        <v>0</v>
      </c>
      <c r="BY243" s="5">
        <f>IF($I$238="Producción",IF($I243&gt;=LI_A,$V243,0),0)</f>
        <v>0</v>
      </c>
      <c r="BZ243" s="5">
        <f>IF($I$238="Producción",IF($I243&gt;=LI_B,IF($I243&lt;LS_B,$V243,0),0),0)</f>
        <v>0</v>
      </c>
      <c r="CA243" s="5">
        <f>IF($I$238="Producción",IF($I243&gt;=LI_C,IF($I243&lt;LS_C,$V243,0),0),0)</f>
        <v>0</v>
      </c>
      <c r="CB243" s="5">
        <f>IF($I$238="Producción",IF($I243&lt;LS_D,$V243,0),0)</f>
        <v>0</v>
      </c>
      <c r="CC243" s="5">
        <f>IF($I$238="Crecimiento",$V243,0)</f>
        <v>0</v>
      </c>
      <c r="CF243" s="5">
        <f>IF($J$238="Producción",IF($J243&gt;=LI_A,$W243,0),0)</f>
        <v>0</v>
      </c>
      <c r="CG243" s="5">
        <f>IF($J$238="Producción",IF($J243&gt;=LI_B,IF($J243&lt;LS_B,$W243,0),0),0)</f>
        <v>0</v>
      </c>
      <c r="CH243" s="5">
        <f>IF($J$238="Producción",IF($J243&gt;=LI_C,IF($J243&lt;LS_C,$W243,0),0),0)</f>
        <v>0</v>
      </c>
      <c r="CI243" s="5">
        <f>IF($J$238="Producción",IF($J243&lt;LS_D,$W243,0),0)</f>
        <v>0</v>
      </c>
      <c r="CJ243" s="5">
        <f>IF($J$238="Crecimiento",$W243,0)</f>
        <v>0</v>
      </c>
      <c r="CM243" s="5">
        <f>IF($K$238="Producción",IF($K243&gt;=LI_A,$X243,0),0)</f>
        <v>0</v>
      </c>
      <c r="CN243" s="5">
        <f>IF($K$238="Producción",IF($K243&gt;=LI_B,IF($K243&lt;LS_B,$X243,0),0),0)</f>
        <v>0</v>
      </c>
      <c r="CO243" s="5">
        <f>IF($K$238="Producción",IF($K243&gt;=LI_C,IF($K243&lt;LS_C,$X243,0),0),0)</f>
        <v>0</v>
      </c>
      <c r="CP243" s="5">
        <f>IF($K$238="Producción",IF($K243&lt;LS_D,$X243,0),0)</f>
        <v>0</v>
      </c>
      <c r="CQ243" s="5">
        <f>IF($K$238="Crecimiento",$X243,0)</f>
        <v>0</v>
      </c>
      <c r="CT243" s="5">
        <f>IF($L$238="Producción",IF($L243&gt;=LI_A,$Y243,0),0)</f>
        <v>0</v>
      </c>
      <c r="CU243" s="5">
        <f>IF($L$238="Producción",IF($L243&gt;=LI_B,IF($L243&lt;LS_B,$Y243,0),0),0)</f>
        <v>0</v>
      </c>
      <c r="CV243" s="5">
        <f>IF($L$238="Producción",IF($L243&gt;=LI_C,IF($L243&lt;LS_C,$Y243,0),0),0)</f>
        <v>0</v>
      </c>
      <c r="CW243" s="5">
        <f>IF($L$238="Producción",IF($L243&lt;LS_D,$Y243,0),0)</f>
        <v>0</v>
      </c>
      <c r="CX243" s="5">
        <f>IF($L$238="Crecimiento",$Y243,0)</f>
        <v>0</v>
      </c>
      <c r="DA243" s="5">
        <f>IF($M$238="Producción",IF($M243&gt;=LI_A,$Z243,0),0)</f>
        <v>0</v>
      </c>
      <c r="DB243" s="5">
        <f>IF($M$238="Producción",IF($M243&gt;=LI_B,IF($M243&lt;LS_B,$Z243,0),0),0)</f>
        <v>0</v>
      </c>
      <c r="DC243" s="5">
        <f>IF($M$238="Producción",IF($M243&gt;=LI_C,IF($M243&lt;LS_C,$Z243,0),0),0)</f>
        <v>0</v>
      </c>
      <c r="DD243" s="5">
        <f>IF($M$238="Producción",IF($M243&lt;LS_D,$Z243,0),0)</f>
        <v>0</v>
      </c>
      <c r="DE243" s="5">
        <f>IF($M$238="Crecimiento",$Z243,0)</f>
        <v>0</v>
      </c>
      <c r="DI243" s="5">
        <f t="shared" si="1803"/>
        <v>0</v>
      </c>
      <c r="DJ243" s="5">
        <f t="shared" si="1804"/>
        <v>0</v>
      </c>
      <c r="DK243" s="5">
        <f t="shared" si="1805"/>
        <v>0</v>
      </c>
      <c r="DL243" s="5">
        <f t="shared" si="1806"/>
        <v>0</v>
      </c>
      <c r="DM243" s="5">
        <f t="shared" si="1807"/>
        <v>0</v>
      </c>
      <c r="DN243" s="5">
        <f t="shared" si="1808"/>
        <v>0</v>
      </c>
      <c r="DO243" s="5">
        <f t="shared" si="1809"/>
        <v>0</v>
      </c>
      <c r="DP243" s="5">
        <f t="shared" si="1810"/>
        <v>0</v>
      </c>
      <c r="DQ243" s="5">
        <f t="shared" si="1811"/>
        <v>0</v>
      </c>
      <c r="DR243" s="5">
        <f t="shared" si="1812"/>
        <v>0</v>
      </c>
      <c r="DS243" s="5">
        <f t="shared" si="1813"/>
        <v>0</v>
      </c>
      <c r="DT243" s="5">
        <f t="shared" si="1814"/>
        <v>0</v>
      </c>
      <c r="DU243" s="5">
        <f t="shared" si="1815"/>
        <v>0</v>
      </c>
      <c r="DV243" s="5">
        <f t="shared" si="1816"/>
        <v>0</v>
      </c>
      <c r="DW243" s="5">
        <f t="shared" si="1817"/>
        <v>0</v>
      </c>
      <c r="DX243" s="5">
        <f t="shared" si="1818"/>
        <v>0</v>
      </c>
      <c r="DY243" s="5">
        <f t="shared" si="1819"/>
        <v>0</v>
      </c>
      <c r="DZ243" s="5">
        <f t="shared" si="1820"/>
        <v>0</v>
      </c>
      <c r="EA243" s="5">
        <f t="shared" si="1821"/>
        <v>0</v>
      </c>
      <c r="EB243" s="5">
        <f t="shared" si="1822"/>
        <v>0</v>
      </c>
      <c r="EC243" s="5">
        <f t="shared" si="1823"/>
        <v>0</v>
      </c>
      <c r="ED243" s="5">
        <f t="shared" si="1824"/>
        <v>0</v>
      </c>
      <c r="EE243" s="5">
        <f t="shared" si="1825"/>
        <v>0</v>
      </c>
      <c r="EF243" s="5">
        <f t="shared" si="1826"/>
        <v>0</v>
      </c>
      <c r="EG243" s="5">
        <f t="shared" si="1827"/>
        <v>0</v>
      </c>
      <c r="EH243" s="5">
        <f t="shared" si="1828"/>
        <v>0</v>
      </c>
      <c r="EI243" s="5">
        <f t="shared" si="1829"/>
        <v>0</v>
      </c>
      <c r="EJ243" s="5">
        <f t="shared" si="1830"/>
        <v>0</v>
      </c>
      <c r="EK243" s="5">
        <f t="shared" si="1831"/>
        <v>0</v>
      </c>
      <c r="EL243" s="5">
        <f t="shared" si="1832"/>
        <v>0</v>
      </c>
      <c r="EM243" s="5">
        <f t="shared" si="1833"/>
        <v>0</v>
      </c>
      <c r="EN243" s="5">
        <f t="shared" si="1834"/>
        <v>0</v>
      </c>
      <c r="EO243" s="5">
        <f t="shared" si="1835"/>
        <v>0</v>
      </c>
      <c r="EP243" s="5">
        <f t="shared" si="1836"/>
        <v>0</v>
      </c>
      <c r="EQ243" s="5">
        <f t="shared" si="1837"/>
        <v>0</v>
      </c>
      <c r="ER243" s="5">
        <f t="shared" si="1838"/>
        <v>0</v>
      </c>
      <c r="ES243" s="5">
        <f t="shared" si="1839"/>
        <v>0</v>
      </c>
      <c r="ET243" s="5">
        <f t="shared" si="1840"/>
        <v>0</v>
      </c>
      <c r="EU243" s="5">
        <f t="shared" si="1841"/>
        <v>0</v>
      </c>
      <c r="EV243" s="5">
        <f t="shared" si="1842"/>
        <v>0</v>
      </c>
      <c r="EW243" s="5">
        <f t="shared" si="1843"/>
        <v>0</v>
      </c>
      <c r="EX243" s="5">
        <f t="shared" si="1844"/>
        <v>0</v>
      </c>
      <c r="EY243" s="5">
        <f t="shared" si="1845"/>
        <v>0</v>
      </c>
      <c r="EZ243" s="5">
        <f t="shared" si="1846"/>
        <v>0</v>
      </c>
      <c r="FA243" s="5">
        <f t="shared" si="1847"/>
        <v>0</v>
      </c>
      <c r="FB243" s="5">
        <f t="shared" si="1848"/>
        <v>0</v>
      </c>
      <c r="FC243" s="5">
        <f t="shared" si="1849"/>
        <v>0</v>
      </c>
      <c r="FD243" s="5">
        <f t="shared" si="1850"/>
        <v>0</v>
      </c>
      <c r="FE243" s="5">
        <f t="shared" si="1851"/>
        <v>0</v>
      </c>
      <c r="FF243" s="5">
        <f t="shared" si="1852"/>
        <v>0</v>
      </c>
      <c r="FG243" s="5">
        <f t="shared" si="1853"/>
        <v>0</v>
      </c>
      <c r="FH243" s="5">
        <f t="shared" si="1854"/>
        <v>0</v>
      </c>
      <c r="FI243" s="5">
        <f t="shared" si="1855"/>
        <v>0</v>
      </c>
      <c r="FJ243" s="5">
        <f t="shared" si="1856"/>
        <v>0</v>
      </c>
      <c r="FK243" s="5">
        <f t="shared" si="1857"/>
        <v>0</v>
      </c>
      <c r="FL243" s="5">
        <f t="shared" si="1858"/>
        <v>0</v>
      </c>
      <c r="FM243" s="5">
        <f t="shared" si="1859"/>
        <v>0</v>
      </c>
      <c r="FN243" s="5">
        <f t="shared" si="1860"/>
        <v>0</v>
      </c>
      <c r="FO243" s="5">
        <f t="shared" si="1861"/>
        <v>0</v>
      </c>
      <c r="FP243" s="5">
        <f t="shared" si="1862"/>
        <v>0</v>
      </c>
    </row>
    <row r="244" spans="1:172" ht="20.100000000000001" customHeight="1" x14ac:dyDescent="0.3">
      <c r="A244" s="8" t="str">
        <f>IF(Ciclo=4,"Surco 4",IF(Ciclo=5,"Surco 4","NA"))</f>
        <v>NA</v>
      </c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O244" s="58">
        <f>IF($A244="NA",0,IFERROR('6'!O$123/Ciclo,0))</f>
        <v>0</v>
      </c>
      <c r="P244" s="58">
        <f>IF($A244="NA",0,IFERROR('6'!P$123/Ciclo,0))</f>
        <v>0</v>
      </c>
      <c r="Q244" s="58">
        <f>IF($A244="NA",0,IFERROR('6'!Q$123/Ciclo,0))</f>
        <v>0</v>
      </c>
      <c r="R244" s="58">
        <f>IF($A244="NA",0,IFERROR('6'!R$123/Ciclo,0))</f>
        <v>0</v>
      </c>
      <c r="S244" s="58">
        <f>IF($A244="NA",0,IFERROR('6'!S$123/Ciclo,0))</f>
        <v>0</v>
      </c>
      <c r="T244" s="58">
        <f>IF($A244="NA",0,IFERROR('6'!T$123/Ciclo,0))</f>
        <v>0</v>
      </c>
      <c r="U244" s="58">
        <f>IF($A244="NA",0,IFERROR('6'!U$123/Ciclo,0))</f>
        <v>0</v>
      </c>
      <c r="V244" s="58">
        <f>IF($A244="NA",0,IFERROR('6'!V$123/Ciclo,0))</f>
        <v>0</v>
      </c>
      <c r="W244" s="5">
        <f>IF($A244="NA",0,IFERROR('6'!W$123/Ciclo,0))</f>
        <v>0</v>
      </c>
      <c r="X244" s="5">
        <f>IF($A244="NA",0,IFERROR('6'!X$123/Ciclo,0))</f>
        <v>0</v>
      </c>
      <c r="Y244" s="5">
        <f>IF($A244="NA",0,IFERROR('6'!Y$123/Ciclo,0))</f>
        <v>0</v>
      </c>
      <c r="Z244" s="5">
        <f>IF($A244="NA",0,IFERROR('6'!Z$123/Ciclo,0))</f>
        <v>0</v>
      </c>
      <c r="AB244" s="5">
        <f>IF($B$238="Producción",IF($B244&gt;=LI_A,$O244,0),0)</f>
        <v>0</v>
      </c>
      <c r="AC244" s="5">
        <f>IF($B$238="Producción",IF($B244&gt;=LI_B,IF($B244&lt;LS_B,$O244,0),0),0)</f>
        <v>0</v>
      </c>
      <c r="AD244" s="5">
        <f>IF($B$238="Producción",IF($B244&gt;=LI_C,IF($B244&lt;LS_C,$O244,0),0),0)</f>
        <v>0</v>
      </c>
      <c r="AE244" s="5">
        <f>IF($B$238="Producción",IF($B244&lt;LS_D,$O244,0),0)</f>
        <v>0</v>
      </c>
      <c r="AF244" s="5">
        <f t="shared" si="1863"/>
        <v>0</v>
      </c>
      <c r="AI244" s="5">
        <f>IF($C$238="Producción",IF($C244&gt;=LI_A,$P244,0),0)</f>
        <v>0</v>
      </c>
      <c r="AJ244" s="5">
        <f>IF($C$238="Producción",IF($C244&gt;=LI_B,IF($C244&lt;LS_B,$P244,0),0),0)</f>
        <v>0</v>
      </c>
      <c r="AK244" s="5">
        <f>IF($C$238="Producción",IF($C244&gt;=LI_C,IF($C244&lt;LS_C,$P244,0),0),0)</f>
        <v>0</v>
      </c>
      <c r="AL244" s="5">
        <f>IF($C$238="Producción",IF($C244&lt;LS_D,$P244,0),0)</f>
        <v>0</v>
      </c>
      <c r="AM244" s="5">
        <f>IF($C$238="Crecimiento",$P244,0)</f>
        <v>0</v>
      </c>
      <c r="AP244" s="5">
        <f>IF($D$238="Producción",IF($D244&gt;=LI_A,$Q244,0),0)</f>
        <v>0</v>
      </c>
      <c r="AQ244" s="5">
        <f>IF($D$238="Producción",IF($D244&gt;=LI_B,IF($D244&lt;LS_B,$Q244,0),0),0)</f>
        <v>0</v>
      </c>
      <c r="AR244" s="5">
        <f>IF($D$238="Producción",IF($D244&gt;=LI_C,IF($D244&lt;LS_C,$Q244,0),0),0)</f>
        <v>0</v>
      </c>
      <c r="AS244" s="5">
        <f>IF($D$238="Producción",IF($D244&lt;LS_D,$Q244,0),0)</f>
        <v>0</v>
      </c>
      <c r="AT244" s="5">
        <f>IF($D$238="Crecimiento",IF($D244&gt;0,$Q244,0),0)</f>
        <v>0</v>
      </c>
      <c r="AW244" s="5">
        <f>IF($E$238="Producción",IF($E244&gt;=LI_A,$R244,0),0)</f>
        <v>0</v>
      </c>
      <c r="AX244" s="5">
        <f>IF($E$238="Producción",IF($E244&gt;=LI_B,IF($E244&lt;LS_B,$R244,0),0),0)</f>
        <v>0</v>
      </c>
      <c r="AY244" s="5">
        <f>IF($E$238="Producción",IF($E244&gt;=LI_C,IF($E244&lt;LS_C,$R244,0),0),0)</f>
        <v>0</v>
      </c>
      <c r="AZ244" s="5">
        <f>IF($E$238="Producción",IF($E244&lt;LS_D,$R244,0),0)</f>
        <v>0</v>
      </c>
      <c r="BA244" s="5">
        <f>IF($E$238="Crecimiento",$R244,0)</f>
        <v>0</v>
      </c>
      <c r="BD244" s="5">
        <f>IF($F$238="Producción",IF($F244&gt;=LI_A,$S244,0),0)</f>
        <v>0</v>
      </c>
      <c r="BE244" s="5">
        <f>IF($F$238="Producción",IF($F244&gt;=LI_B,IF($F244&lt;LS_B,$S244,0),0),0)</f>
        <v>0</v>
      </c>
      <c r="BF244" s="5">
        <f>IF($F$238="Producción",IF($F244&gt;=LI_C,IF($F244&lt;LS_C,$S244,0),0),0)</f>
        <v>0</v>
      </c>
      <c r="BG244" s="5">
        <f>IF($F$238="Producción",IF($F244&lt;LS_D,$S244,0),0)</f>
        <v>0</v>
      </c>
      <c r="BH244" s="5">
        <f>IF($F$238="Crecimiento",$S244,0)</f>
        <v>0</v>
      </c>
      <c r="BK244" s="5">
        <f>IF($G$238="Producción",IF($G244&gt;=LI_A,$T244,0),0)</f>
        <v>0</v>
      </c>
      <c r="BL244" s="5">
        <f>IF($G$238="Producción",IF($G244&gt;=LI_B,IF($G244&lt;LS_B,$T244,0),0),0)</f>
        <v>0</v>
      </c>
      <c r="BM244" s="5">
        <f>IF($G$238="Producción",IF($G244&gt;=LI_C,IF($G244&lt;LS_C,$T244,0),0),0)</f>
        <v>0</v>
      </c>
      <c r="BN244" s="5">
        <f>IF($G$238="Producción",IF($G244&lt;LS_D,$T244,0),0)</f>
        <v>0</v>
      </c>
      <c r="BO244" s="5">
        <f>IF($G$238="Crecimiento",$T244,0)</f>
        <v>0</v>
      </c>
      <c r="BR244" s="5">
        <f>IF($H$238="Producción",IF($H244&gt;=LI_A,$U244,0),0)</f>
        <v>0</v>
      </c>
      <c r="BS244" s="5">
        <f>IF($H$238="Producción",IF($H244&gt;=LI_B,IF($H244&lt;LS_B,$U244,0),0),0)</f>
        <v>0</v>
      </c>
      <c r="BT244" s="5">
        <f>IF($H$238="Producción",IF($H244&gt;=LI_C,IF($H244&lt;LS_C,$U244,0),0),0)</f>
        <v>0</v>
      </c>
      <c r="BU244" s="5">
        <f>IF($H$238="Producción",IF($H244&lt;LS_D,$U244,0),0)</f>
        <v>0</v>
      </c>
      <c r="BV244" s="5">
        <f>IF($H$238="Crecimiento",$T244,0)</f>
        <v>0</v>
      </c>
      <c r="BY244" s="5">
        <f>IF($I$238="Producción",IF($I244&gt;=LI_A,$V244,0),0)</f>
        <v>0</v>
      </c>
      <c r="BZ244" s="5">
        <f>IF($I$238="Producción",IF($I244&gt;=LI_B,IF($I244&lt;LS_B,$V244,0),0),0)</f>
        <v>0</v>
      </c>
      <c r="CA244" s="5">
        <f>IF($I$238="Producción",IF($I244&gt;=LI_C,IF($I244&lt;LS_C,$V244,0),0),0)</f>
        <v>0</v>
      </c>
      <c r="CB244" s="5">
        <f>IF($I$238="Producción",IF($I244&lt;LS_D,$V244,0),0)</f>
        <v>0</v>
      </c>
      <c r="CC244" s="5">
        <f>IF($I$238="Crecimiento",$V244,0)</f>
        <v>0</v>
      </c>
      <c r="CF244" s="5">
        <f>IF($J$238="Producción",IF($J244&gt;=LI_A,$W244,0),0)</f>
        <v>0</v>
      </c>
      <c r="CG244" s="5">
        <f>IF($J$238="Producción",IF($J244&gt;=LI_B,IF($J244&lt;LS_B,$W244,0),0),0)</f>
        <v>0</v>
      </c>
      <c r="CH244" s="5">
        <f>IF($J$238="Producción",IF($J244&gt;=LI_C,IF($J244&lt;LS_C,$W244,0),0),0)</f>
        <v>0</v>
      </c>
      <c r="CI244" s="5">
        <f>IF($J$238="Producción",IF($J244&lt;LS_D,$W244,0),0)</f>
        <v>0</v>
      </c>
      <c r="CJ244" s="5">
        <f>IF($J$238="Crecimiento",$W244,0)</f>
        <v>0</v>
      </c>
      <c r="CM244" s="5">
        <f>IF($K$238="Producción",IF($K244&gt;=LI_A,$X244,0),0)</f>
        <v>0</v>
      </c>
      <c r="CN244" s="5">
        <f>IF($K$238="Producción",IF($K244&gt;=LI_B,IF($K244&lt;LS_B,$X244,0),0),0)</f>
        <v>0</v>
      </c>
      <c r="CO244" s="5">
        <f>IF($K$238="Producción",IF($K244&gt;=LI_C,IF($K244&lt;LS_C,$X244,0),0),0)</f>
        <v>0</v>
      </c>
      <c r="CP244" s="5">
        <f>IF($K$238="Producción",IF($K244&lt;LS_D,$X244,0),0)</f>
        <v>0</v>
      </c>
      <c r="CQ244" s="5">
        <f>IF($K$238="Crecimiento",$X244,0)</f>
        <v>0</v>
      </c>
      <c r="CT244" s="5">
        <f>IF($L$238="Producción",IF($L244&gt;=LI_A,$Y244,0),0)</f>
        <v>0</v>
      </c>
      <c r="CU244" s="5">
        <f>IF($L$238="Producción",IF($L244&gt;=LI_B,IF($L244&lt;LS_B,$Y244,0),0),0)</f>
        <v>0</v>
      </c>
      <c r="CV244" s="5">
        <f>IF($L$238="Producción",IF($L244&gt;=LI_C,IF($L244&lt;LS_C,$Y244,0),0),0)</f>
        <v>0</v>
      </c>
      <c r="CW244" s="5">
        <f>IF($L$238="Producción",IF($L244&lt;LS_D,$Y244,0),0)</f>
        <v>0</v>
      </c>
      <c r="CX244" s="5">
        <f>IF($L$238="Crecimiento",$Y244,0)</f>
        <v>0</v>
      </c>
      <c r="DA244" s="5">
        <f>IF($M$238="Producción",IF($M244&gt;=LI_A,$Z244,0),0)</f>
        <v>0</v>
      </c>
      <c r="DB244" s="5">
        <f>IF($M$238="Producción",IF($M244&gt;=LI_B,IF($M244&lt;LS_B,$Z244,0),0),0)</f>
        <v>0</v>
      </c>
      <c r="DC244" s="5">
        <f>IF($M$238="Producción",IF($M244&gt;=LI_C,IF($M244&lt;LS_C,$Z244,0),0),0)</f>
        <v>0</v>
      </c>
      <c r="DD244" s="5">
        <f>IF($M$238="Producción",IF($M244&lt;LS_D,$Z244,0),0)</f>
        <v>0</v>
      </c>
      <c r="DE244" s="5">
        <f>IF($M$238="Crecimiento",$Z244,0)</f>
        <v>0</v>
      </c>
      <c r="DI244" s="5">
        <f t="shared" si="1803"/>
        <v>0</v>
      </c>
      <c r="DJ244" s="5">
        <f t="shared" si="1804"/>
        <v>0</v>
      </c>
      <c r="DK244" s="5">
        <f t="shared" si="1805"/>
        <v>0</v>
      </c>
      <c r="DL244" s="5">
        <f t="shared" si="1806"/>
        <v>0</v>
      </c>
      <c r="DM244" s="5">
        <f t="shared" si="1807"/>
        <v>0</v>
      </c>
      <c r="DN244" s="5">
        <f t="shared" si="1808"/>
        <v>0</v>
      </c>
      <c r="DO244" s="5">
        <f t="shared" si="1809"/>
        <v>0</v>
      </c>
      <c r="DP244" s="5">
        <f t="shared" si="1810"/>
        <v>0</v>
      </c>
      <c r="DQ244" s="5">
        <f t="shared" si="1811"/>
        <v>0</v>
      </c>
      <c r="DR244" s="5">
        <f t="shared" si="1812"/>
        <v>0</v>
      </c>
      <c r="DS244" s="5">
        <f t="shared" si="1813"/>
        <v>0</v>
      </c>
      <c r="DT244" s="5">
        <f t="shared" si="1814"/>
        <v>0</v>
      </c>
      <c r="DU244" s="5">
        <f t="shared" si="1815"/>
        <v>0</v>
      </c>
      <c r="DV244" s="5">
        <f t="shared" si="1816"/>
        <v>0</v>
      </c>
      <c r="DW244" s="5">
        <f t="shared" si="1817"/>
        <v>0</v>
      </c>
      <c r="DX244" s="5">
        <f t="shared" si="1818"/>
        <v>0</v>
      </c>
      <c r="DY244" s="5">
        <f t="shared" si="1819"/>
        <v>0</v>
      </c>
      <c r="DZ244" s="5">
        <f t="shared" si="1820"/>
        <v>0</v>
      </c>
      <c r="EA244" s="5">
        <f t="shared" si="1821"/>
        <v>0</v>
      </c>
      <c r="EB244" s="5">
        <f t="shared" si="1822"/>
        <v>0</v>
      </c>
      <c r="EC244" s="5">
        <f t="shared" si="1823"/>
        <v>0</v>
      </c>
      <c r="ED244" s="5">
        <f t="shared" si="1824"/>
        <v>0</v>
      </c>
      <c r="EE244" s="5">
        <f t="shared" si="1825"/>
        <v>0</v>
      </c>
      <c r="EF244" s="5">
        <f t="shared" si="1826"/>
        <v>0</v>
      </c>
      <c r="EG244" s="5">
        <f t="shared" si="1827"/>
        <v>0</v>
      </c>
      <c r="EH244" s="5">
        <f t="shared" si="1828"/>
        <v>0</v>
      </c>
      <c r="EI244" s="5">
        <f t="shared" si="1829"/>
        <v>0</v>
      </c>
      <c r="EJ244" s="5">
        <f t="shared" si="1830"/>
        <v>0</v>
      </c>
      <c r="EK244" s="5">
        <f t="shared" si="1831"/>
        <v>0</v>
      </c>
      <c r="EL244" s="5">
        <f t="shared" si="1832"/>
        <v>0</v>
      </c>
      <c r="EM244" s="5">
        <f t="shared" si="1833"/>
        <v>0</v>
      </c>
      <c r="EN244" s="5">
        <f t="shared" si="1834"/>
        <v>0</v>
      </c>
      <c r="EO244" s="5">
        <f t="shared" si="1835"/>
        <v>0</v>
      </c>
      <c r="EP244" s="5">
        <f t="shared" si="1836"/>
        <v>0</v>
      </c>
      <c r="EQ244" s="5">
        <f t="shared" si="1837"/>
        <v>0</v>
      </c>
      <c r="ER244" s="5">
        <f t="shared" si="1838"/>
        <v>0</v>
      </c>
      <c r="ES244" s="5">
        <f t="shared" si="1839"/>
        <v>0</v>
      </c>
      <c r="ET244" s="5">
        <f t="shared" si="1840"/>
        <v>0</v>
      </c>
      <c r="EU244" s="5">
        <f t="shared" si="1841"/>
        <v>0</v>
      </c>
      <c r="EV244" s="5">
        <f t="shared" si="1842"/>
        <v>0</v>
      </c>
      <c r="EW244" s="5">
        <f t="shared" si="1843"/>
        <v>0</v>
      </c>
      <c r="EX244" s="5">
        <f t="shared" si="1844"/>
        <v>0</v>
      </c>
      <c r="EY244" s="5">
        <f t="shared" si="1845"/>
        <v>0</v>
      </c>
      <c r="EZ244" s="5">
        <f t="shared" si="1846"/>
        <v>0</v>
      </c>
      <c r="FA244" s="5">
        <f t="shared" si="1847"/>
        <v>0</v>
      </c>
      <c r="FB244" s="5">
        <f t="shared" si="1848"/>
        <v>0</v>
      </c>
      <c r="FC244" s="5">
        <f t="shared" si="1849"/>
        <v>0</v>
      </c>
      <c r="FD244" s="5">
        <f t="shared" si="1850"/>
        <v>0</v>
      </c>
      <c r="FE244" s="5">
        <f t="shared" si="1851"/>
        <v>0</v>
      </c>
      <c r="FF244" s="5">
        <f t="shared" si="1852"/>
        <v>0</v>
      </c>
      <c r="FG244" s="5">
        <f t="shared" si="1853"/>
        <v>0</v>
      </c>
      <c r="FH244" s="5">
        <f t="shared" si="1854"/>
        <v>0</v>
      </c>
      <c r="FI244" s="5">
        <f t="shared" si="1855"/>
        <v>0</v>
      </c>
      <c r="FJ244" s="5">
        <f t="shared" si="1856"/>
        <v>0</v>
      </c>
      <c r="FK244" s="5">
        <f t="shared" si="1857"/>
        <v>0</v>
      </c>
      <c r="FL244" s="5">
        <f t="shared" si="1858"/>
        <v>0</v>
      </c>
      <c r="FM244" s="5">
        <f t="shared" si="1859"/>
        <v>0</v>
      </c>
      <c r="FN244" s="5">
        <f t="shared" si="1860"/>
        <v>0</v>
      </c>
      <c r="FO244" s="5">
        <f t="shared" si="1861"/>
        <v>0</v>
      </c>
      <c r="FP244" s="5">
        <f t="shared" si="1862"/>
        <v>0</v>
      </c>
    </row>
    <row r="245" spans="1:172" ht="20.100000000000001" customHeight="1" x14ac:dyDescent="0.3">
      <c r="A245" s="9" t="str">
        <f>IF(Ciclo=5,"Surco 5","NA")</f>
        <v>NA</v>
      </c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O245" s="58">
        <f>IF($A245="NA",0,IFERROR('6'!O$123/Ciclo,0))</f>
        <v>0</v>
      </c>
      <c r="P245" s="58">
        <f>IF($A245="NA",0,IFERROR('6'!P$123/Ciclo,0))</f>
        <v>0</v>
      </c>
      <c r="Q245" s="58">
        <f>IF($A245="NA",0,IFERROR('6'!Q$123/Ciclo,0))</f>
        <v>0</v>
      </c>
      <c r="R245" s="58">
        <f>IF($A245="NA",0,IFERROR('6'!R$123/Ciclo,0))</f>
        <v>0</v>
      </c>
      <c r="S245" s="58">
        <f>IF($A245="NA",0,IFERROR('6'!S$123/Ciclo,0))</f>
        <v>0</v>
      </c>
      <c r="T245" s="58">
        <f>IF($A245="NA",0,IFERROR('6'!T$123/Ciclo,0))</f>
        <v>0</v>
      </c>
      <c r="U245" s="58">
        <f>IF($A245="NA",0,IFERROR('6'!U$123/Ciclo,0))</f>
        <v>0</v>
      </c>
      <c r="V245" s="58">
        <f>IF($A245="NA",0,IFERROR('6'!V$123/Ciclo,0))</f>
        <v>0</v>
      </c>
      <c r="W245" s="5">
        <f>IF($A245="NA",0,IFERROR('6'!W$123/Ciclo,0))</f>
        <v>0</v>
      </c>
      <c r="X245" s="5">
        <f>IF($A245="NA",0,IFERROR('6'!X$123/Ciclo,0))</f>
        <v>0</v>
      </c>
      <c r="Y245" s="5">
        <f>IF($A245="NA",0,IFERROR('6'!Y$123/Ciclo,0))</f>
        <v>0</v>
      </c>
      <c r="Z245" s="5">
        <f>IF($A245="NA",0,IFERROR('6'!Z$123/Ciclo,0))</f>
        <v>0</v>
      </c>
      <c r="AB245" s="5">
        <f>IF($B$238="Producción",IF($B245&gt;=LI_A,$O245,0),0)</f>
        <v>0</v>
      </c>
      <c r="AC245" s="5">
        <f>IF($B$238="Producción",IF($B245&gt;=LI_B,IF($B245&lt;LS_B,$O245,0),0),0)</f>
        <v>0</v>
      </c>
      <c r="AD245" s="5">
        <f>IF($B$238="Producción",IF($B245&gt;=LI_C,IF($B245&lt;LS_C,$O245,0),0),0)</f>
        <v>0</v>
      </c>
      <c r="AE245" s="5">
        <f>IF($B$238="Producción",IF($B245&lt;LS_D,$O245,0),0)</f>
        <v>0</v>
      </c>
      <c r="AF245" s="5">
        <f t="shared" si="1863"/>
        <v>0</v>
      </c>
      <c r="AI245" s="5">
        <f>IF($C$238="Producción",IF($C245&gt;=LI_A,$P245,0),0)</f>
        <v>0</v>
      </c>
      <c r="AJ245" s="5">
        <f>IF($C$238="Producción",IF($C245&gt;=LI_B,IF($C245&lt;LS_B,$P245,0),0),0)</f>
        <v>0</v>
      </c>
      <c r="AK245" s="5">
        <f>IF($C$238="Producción",IF($C245&gt;=LI_C,IF($C245&lt;LS_C,$P245,0),0),0)</f>
        <v>0</v>
      </c>
      <c r="AL245" s="5">
        <f>IF($C$238="Producción",IF($C245&lt;LS_D,$P245,0),0)</f>
        <v>0</v>
      </c>
      <c r="AM245" s="5">
        <f>IF($C$238="Crecimiento",$P245,0)</f>
        <v>0</v>
      </c>
      <c r="AP245" s="5">
        <f>IF($D$238="Producción",IF($D245&gt;=LI_A,$Q245,0),0)</f>
        <v>0</v>
      </c>
      <c r="AQ245" s="5">
        <f>IF($D$238="Producción",IF($D245&gt;=LI_B,IF($D245&lt;LS_B,$Q245,0),0),0)</f>
        <v>0</v>
      </c>
      <c r="AR245" s="5">
        <f>IF($D$238="Producción",IF($D245&gt;=LI_C,IF($D245&lt;LS_C,$Q245,0),0),0)</f>
        <v>0</v>
      </c>
      <c r="AS245" s="5">
        <f>IF($D$238="Producción",IF($D245&lt;LS_D,$Q245,0),0)</f>
        <v>0</v>
      </c>
      <c r="AT245" s="5">
        <f>IF($D$238="Crecimiento",IF($D245&gt;0,$Q245,0),0)</f>
        <v>0</v>
      </c>
      <c r="AW245" s="5">
        <f>IF($E$238="Producción",IF($E245&gt;=LI_A,$R245,0),0)</f>
        <v>0</v>
      </c>
      <c r="AX245" s="5">
        <f>IF($E$238="Producción",IF($E245&gt;=LI_B,IF($E245&lt;LS_B,$R245,0),0),0)</f>
        <v>0</v>
      </c>
      <c r="AY245" s="5">
        <f>IF($E$238="Producción",IF($E245&gt;=LI_C,IF($E245&lt;LS_C,$R245,0),0),0)</f>
        <v>0</v>
      </c>
      <c r="AZ245" s="5">
        <f>IF($E$238="Producción",IF($E245&lt;LS_D,$R245,0),0)</f>
        <v>0</v>
      </c>
      <c r="BA245" s="5">
        <f>IF($E$238="Crecimiento",$R245,0)</f>
        <v>0</v>
      </c>
      <c r="BD245" s="5">
        <f>IF($F$238="Producción",IF($F245&gt;=LI_A,$S245,0),0)</f>
        <v>0</v>
      </c>
      <c r="BE245" s="5">
        <f>IF($F$238="Producción",IF($F245&gt;=LI_B,IF($F245&lt;LS_B,$S245,0),0),0)</f>
        <v>0</v>
      </c>
      <c r="BF245" s="5">
        <f>IF($F$238="Producción",IF($F245&gt;=LI_C,IF($F245&lt;LS_C,$S245,0),0),0)</f>
        <v>0</v>
      </c>
      <c r="BG245" s="5">
        <f>IF($F$238="Producción",IF($F245&lt;LS_D,$S245,0),0)</f>
        <v>0</v>
      </c>
      <c r="BH245" s="5">
        <f>IF($F$238="Crecimiento",$S245,0)</f>
        <v>0</v>
      </c>
      <c r="BK245" s="5">
        <f>IF($G$238="Producción",IF($G245&gt;=LI_A,$T245,0),0)</f>
        <v>0</v>
      </c>
      <c r="BL245" s="5">
        <f>IF($G$238="Producción",IF($G245&gt;=LI_B,IF($G245&lt;LS_B,$T245,0),0),0)</f>
        <v>0</v>
      </c>
      <c r="BM245" s="5">
        <f>IF($G$238="Producción",IF($G245&gt;=LI_C,IF($G245&lt;LS_C,$T245,0),0),0)</f>
        <v>0</v>
      </c>
      <c r="BN245" s="5">
        <f>IF($G$238="Producción",IF($G245&lt;LS_D,$T245,0),0)</f>
        <v>0</v>
      </c>
      <c r="BO245" s="5">
        <f>IF($G$238="Crecimiento",$T245,0)</f>
        <v>0</v>
      </c>
      <c r="BR245" s="5">
        <f>IF($H$238="Producción",IF($H245&gt;=LI_A,$U245,0),0)</f>
        <v>0</v>
      </c>
      <c r="BS245" s="5">
        <f>IF($H$238="Producción",IF($H245&gt;=LI_B,IF($H245&lt;LS_B,$U245,0),0),0)</f>
        <v>0</v>
      </c>
      <c r="BT245" s="5">
        <f>IF($H$238="Producción",IF($H245&gt;=LI_C,IF($H245&lt;LS_C,$U245,0),0),0)</f>
        <v>0</v>
      </c>
      <c r="BU245" s="5">
        <f>IF($H$238="Producción",IF($H245&lt;LS_D,$U245,0),0)</f>
        <v>0</v>
      </c>
      <c r="BV245" s="5">
        <f>IF($H$238="Crecimiento",$T245,0)</f>
        <v>0</v>
      </c>
      <c r="BY245" s="5">
        <f>IF($I$238="Producción",IF($I245&gt;=LI_A,$V245,0),0)</f>
        <v>0</v>
      </c>
      <c r="BZ245" s="5">
        <f>IF($I$238="Producción",IF($I245&gt;=LI_B,IF($I245&lt;LS_B,$V245,0),0),0)</f>
        <v>0</v>
      </c>
      <c r="CA245" s="5">
        <f>IF($I$238="Producción",IF($I245&gt;=LI_C,IF($I245&lt;LS_C,$V245,0),0),0)</f>
        <v>0</v>
      </c>
      <c r="CB245" s="5">
        <f>IF($I$238="Producción",IF($I245&lt;LS_D,$V245,0),0)</f>
        <v>0</v>
      </c>
      <c r="CC245" s="5">
        <f>IF($I$238="Crecimiento",$V245,0)</f>
        <v>0</v>
      </c>
      <c r="CF245" s="5">
        <f>IF($J$238="Producción",IF($J245&gt;=LI_A,$W245,0),0)</f>
        <v>0</v>
      </c>
      <c r="CG245" s="5">
        <f>IF($J$238="Producción",IF($J245&gt;=LI_B,IF($J245&lt;LS_B,$W245,0),0),0)</f>
        <v>0</v>
      </c>
      <c r="CH245" s="5">
        <f>IF($J$238="Producción",IF($J245&gt;=LI_C,IF($J245&lt;LS_C,$W245,0),0),0)</f>
        <v>0</v>
      </c>
      <c r="CI245" s="5">
        <f>IF($J$238="Producción",IF($J245&lt;LS_D,$W245,0),0)</f>
        <v>0</v>
      </c>
      <c r="CJ245" s="5">
        <f>IF($J$238="Crecimiento",$W245,0)</f>
        <v>0</v>
      </c>
      <c r="CM245" s="5">
        <f>IF($K$238="Producción",IF($K245&gt;=LI_A,$X245,0),0)</f>
        <v>0</v>
      </c>
      <c r="CN245" s="5">
        <f>IF($K$238="Producción",IF($K245&gt;=LI_B,IF($K245&lt;LS_B,$X245,0),0),0)</f>
        <v>0</v>
      </c>
      <c r="CO245" s="5">
        <f>IF($K$238="Producción",IF($K245&gt;=LI_C,IF($K245&lt;LS_C,$X245,0),0),0)</f>
        <v>0</v>
      </c>
      <c r="CP245" s="5">
        <f>IF($K$238="Producción",IF($K245&lt;LS_D,$X245,0),0)</f>
        <v>0</v>
      </c>
      <c r="CQ245" s="5">
        <f>IF($K$238="Crecimiento",$X245,0)</f>
        <v>0</v>
      </c>
      <c r="CT245" s="5">
        <f>IF($L$238="Producción",IF($L245&gt;=LI_A,$Y245,0),0)</f>
        <v>0</v>
      </c>
      <c r="CU245" s="5">
        <f>IF($L$238="Producción",IF($L245&gt;=LI_B,IF($L245&lt;LS_B,$Y245,0),0),0)</f>
        <v>0</v>
      </c>
      <c r="CV245" s="5">
        <f>IF($L$238="Producción",IF($L245&gt;=LI_C,IF($L245&lt;LS_C,$Y245,0),0),0)</f>
        <v>0</v>
      </c>
      <c r="CW245" s="5">
        <f>IF($L$238="Producción",IF($L245&lt;LS_D,$Y245,0),0)</f>
        <v>0</v>
      </c>
      <c r="CX245" s="5">
        <f>IF($L$238="Crecimiento",$Y245,0)</f>
        <v>0</v>
      </c>
      <c r="DA245" s="5">
        <f>IF($M$238="Producción",IF($M245&gt;=LI_A,$Z245,0),0)</f>
        <v>0</v>
      </c>
      <c r="DB245" s="5">
        <f>IF($M$238="Producción",IF($M245&gt;=LI_B,IF($M245&lt;LS_B,$Z245,0),0),0)</f>
        <v>0</v>
      </c>
      <c r="DC245" s="5">
        <f>IF($M$238="Producción",IF($M245&gt;=LI_C,IF($M245&lt;LS_C,$Z245,0),0),0)</f>
        <v>0</v>
      </c>
      <c r="DD245" s="5">
        <f>IF($M$238="Producción",IF($M245&lt;LS_D,$Z245,0),0)</f>
        <v>0</v>
      </c>
      <c r="DE245" s="5">
        <f>IF($M$238="Crecimiento",$Z245,0)</f>
        <v>0</v>
      </c>
      <c r="DI245" s="5">
        <f t="shared" si="1803"/>
        <v>0</v>
      </c>
      <c r="DJ245" s="5">
        <f t="shared" si="1804"/>
        <v>0</v>
      </c>
      <c r="DK245" s="5">
        <f t="shared" si="1805"/>
        <v>0</v>
      </c>
      <c r="DL245" s="5">
        <f t="shared" si="1806"/>
        <v>0</v>
      </c>
      <c r="DM245" s="5">
        <f t="shared" si="1807"/>
        <v>0</v>
      </c>
      <c r="DN245" s="5">
        <f t="shared" si="1808"/>
        <v>0</v>
      </c>
      <c r="DO245" s="5">
        <f t="shared" si="1809"/>
        <v>0</v>
      </c>
      <c r="DP245" s="5">
        <f t="shared" si="1810"/>
        <v>0</v>
      </c>
      <c r="DQ245" s="5">
        <f t="shared" si="1811"/>
        <v>0</v>
      </c>
      <c r="DR245" s="5">
        <f t="shared" si="1812"/>
        <v>0</v>
      </c>
      <c r="DS245" s="5">
        <f t="shared" si="1813"/>
        <v>0</v>
      </c>
      <c r="DT245" s="5">
        <f t="shared" si="1814"/>
        <v>0</v>
      </c>
      <c r="DU245" s="5">
        <f t="shared" si="1815"/>
        <v>0</v>
      </c>
      <c r="DV245" s="5">
        <f t="shared" si="1816"/>
        <v>0</v>
      </c>
      <c r="DW245" s="5">
        <f t="shared" si="1817"/>
        <v>0</v>
      </c>
      <c r="DX245" s="5">
        <f t="shared" si="1818"/>
        <v>0</v>
      </c>
      <c r="DY245" s="5">
        <f t="shared" si="1819"/>
        <v>0</v>
      </c>
      <c r="DZ245" s="5">
        <f t="shared" si="1820"/>
        <v>0</v>
      </c>
      <c r="EA245" s="5">
        <f t="shared" si="1821"/>
        <v>0</v>
      </c>
      <c r="EB245" s="5">
        <f t="shared" si="1822"/>
        <v>0</v>
      </c>
      <c r="EC245" s="5">
        <f t="shared" si="1823"/>
        <v>0</v>
      </c>
      <c r="ED245" s="5">
        <f t="shared" si="1824"/>
        <v>0</v>
      </c>
      <c r="EE245" s="5">
        <f t="shared" si="1825"/>
        <v>0</v>
      </c>
      <c r="EF245" s="5">
        <f t="shared" si="1826"/>
        <v>0</v>
      </c>
      <c r="EG245" s="5">
        <f t="shared" si="1827"/>
        <v>0</v>
      </c>
      <c r="EH245" s="5">
        <f t="shared" si="1828"/>
        <v>0</v>
      </c>
      <c r="EI245" s="5">
        <f t="shared" si="1829"/>
        <v>0</v>
      </c>
      <c r="EJ245" s="5">
        <f t="shared" si="1830"/>
        <v>0</v>
      </c>
      <c r="EK245" s="5">
        <f t="shared" si="1831"/>
        <v>0</v>
      </c>
      <c r="EL245" s="5">
        <f t="shared" si="1832"/>
        <v>0</v>
      </c>
      <c r="EM245" s="5">
        <f t="shared" si="1833"/>
        <v>0</v>
      </c>
      <c r="EN245" s="5">
        <f t="shared" si="1834"/>
        <v>0</v>
      </c>
      <c r="EO245" s="5">
        <f t="shared" si="1835"/>
        <v>0</v>
      </c>
      <c r="EP245" s="5">
        <f t="shared" si="1836"/>
        <v>0</v>
      </c>
      <c r="EQ245" s="5">
        <f t="shared" si="1837"/>
        <v>0</v>
      </c>
      <c r="ER245" s="5">
        <f t="shared" si="1838"/>
        <v>0</v>
      </c>
      <c r="ES245" s="5">
        <f t="shared" si="1839"/>
        <v>0</v>
      </c>
      <c r="ET245" s="5">
        <f t="shared" si="1840"/>
        <v>0</v>
      </c>
      <c r="EU245" s="5">
        <f t="shared" si="1841"/>
        <v>0</v>
      </c>
      <c r="EV245" s="5">
        <f t="shared" si="1842"/>
        <v>0</v>
      </c>
      <c r="EW245" s="5">
        <f t="shared" si="1843"/>
        <v>0</v>
      </c>
      <c r="EX245" s="5">
        <f t="shared" si="1844"/>
        <v>0</v>
      </c>
      <c r="EY245" s="5">
        <f t="shared" si="1845"/>
        <v>0</v>
      </c>
      <c r="EZ245" s="5">
        <f t="shared" si="1846"/>
        <v>0</v>
      </c>
      <c r="FA245" s="5">
        <f t="shared" si="1847"/>
        <v>0</v>
      </c>
      <c r="FB245" s="5">
        <f t="shared" si="1848"/>
        <v>0</v>
      </c>
      <c r="FC245" s="5">
        <f t="shared" si="1849"/>
        <v>0</v>
      </c>
      <c r="FD245" s="5">
        <f t="shared" si="1850"/>
        <v>0</v>
      </c>
      <c r="FE245" s="5">
        <f t="shared" si="1851"/>
        <v>0</v>
      </c>
      <c r="FF245" s="5">
        <f t="shared" si="1852"/>
        <v>0</v>
      </c>
      <c r="FG245" s="5">
        <f t="shared" si="1853"/>
        <v>0</v>
      </c>
      <c r="FH245" s="5">
        <f t="shared" si="1854"/>
        <v>0</v>
      </c>
      <c r="FI245" s="5">
        <f t="shared" si="1855"/>
        <v>0</v>
      </c>
      <c r="FJ245" s="5">
        <f t="shared" si="1856"/>
        <v>0</v>
      </c>
      <c r="FK245" s="5">
        <f t="shared" si="1857"/>
        <v>0</v>
      </c>
      <c r="FL245" s="5">
        <f t="shared" si="1858"/>
        <v>0</v>
      </c>
      <c r="FM245" s="5">
        <f t="shared" si="1859"/>
        <v>0</v>
      </c>
      <c r="FN245" s="5">
        <f t="shared" si="1860"/>
        <v>0</v>
      </c>
      <c r="FO245" s="5">
        <f t="shared" si="1861"/>
        <v>0</v>
      </c>
      <c r="FP245" s="5">
        <f t="shared" si="1862"/>
        <v>0</v>
      </c>
    </row>
    <row r="246" spans="1:172" ht="20.100000000000001" customHeight="1" x14ac:dyDescent="0.3">
      <c r="A246" s="172">
        <f>N_L31</f>
        <v>0</v>
      </c>
      <c r="B246" s="363" t="s">
        <v>37</v>
      </c>
      <c r="C246" s="363" t="s">
        <v>37</v>
      </c>
      <c r="D246" s="363" t="s">
        <v>37</v>
      </c>
      <c r="E246" s="363" t="s">
        <v>37</v>
      </c>
      <c r="F246" s="363" t="s">
        <v>37</v>
      </c>
      <c r="G246" s="363" t="s">
        <v>37</v>
      </c>
      <c r="H246" s="363" t="s">
        <v>37</v>
      </c>
      <c r="I246" s="363" t="s">
        <v>37</v>
      </c>
      <c r="J246" s="363" t="s">
        <v>37</v>
      </c>
      <c r="K246" s="363" t="s">
        <v>37</v>
      </c>
      <c r="L246" s="363" t="s">
        <v>37</v>
      </c>
      <c r="M246" s="363" t="s">
        <v>37</v>
      </c>
    </row>
    <row r="247" spans="1:172" ht="20.100000000000001" customHeight="1" x14ac:dyDescent="0.3">
      <c r="A247" s="175" t="s">
        <v>238</v>
      </c>
      <c r="B247" s="174">
        <f>SUM(DI249:DM253)/100</f>
        <v>0</v>
      </c>
      <c r="C247" s="174">
        <f>SUM(DN249:DR253)/100</f>
        <v>0</v>
      </c>
      <c r="D247" s="174">
        <f>SUM(DS249:DW253)/100</f>
        <v>0</v>
      </c>
      <c r="E247" s="174">
        <f>SUM(DX249:EB253)/100</f>
        <v>0</v>
      </c>
      <c r="F247" s="174">
        <f>SUM(EC249:EG253)/100</f>
        <v>0</v>
      </c>
      <c r="G247" s="174">
        <f>SUM(EH249:EL253)/100</f>
        <v>0</v>
      </c>
      <c r="H247" s="174">
        <f>SUM(EM249:EQ253)/100</f>
        <v>0</v>
      </c>
      <c r="I247" s="174">
        <f>SUM(ER249:EV253)/100</f>
        <v>0</v>
      </c>
      <c r="J247" s="174">
        <f>SUM(EW249:FA253)/100</f>
        <v>0</v>
      </c>
      <c r="K247" s="174">
        <f>SUM(FB249:FF253)/100</f>
        <v>0</v>
      </c>
      <c r="L247" s="174">
        <f>SUM(FG249:FK253)/100</f>
        <v>0</v>
      </c>
      <c r="M247" s="174">
        <f>SUM(FL249:FP253)/100</f>
        <v>0</v>
      </c>
    </row>
    <row r="248" spans="1:172" ht="20.100000000000001" customHeight="1" x14ac:dyDescent="0.3">
      <c r="A248" s="151" t="s">
        <v>239</v>
      </c>
      <c r="B248" s="152" t="e">
        <f t="shared" ref="B248:M248" si="1864">B247/Lote_31</f>
        <v>#DIV/0!</v>
      </c>
      <c r="C248" s="152" t="e">
        <f t="shared" si="1864"/>
        <v>#DIV/0!</v>
      </c>
      <c r="D248" s="152" t="e">
        <f t="shared" si="1864"/>
        <v>#DIV/0!</v>
      </c>
      <c r="E248" s="152" t="e">
        <f t="shared" si="1864"/>
        <v>#DIV/0!</v>
      </c>
      <c r="F248" s="152" t="e">
        <f t="shared" si="1864"/>
        <v>#DIV/0!</v>
      </c>
      <c r="G248" s="152" t="e">
        <f t="shared" si="1864"/>
        <v>#DIV/0!</v>
      </c>
      <c r="H248" s="152" t="e">
        <f t="shared" si="1864"/>
        <v>#DIV/0!</v>
      </c>
      <c r="I248" s="152" t="e">
        <f t="shared" si="1864"/>
        <v>#DIV/0!</v>
      </c>
      <c r="J248" s="152" t="e">
        <f t="shared" si="1864"/>
        <v>#DIV/0!</v>
      </c>
      <c r="K248" s="152" t="e">
        <f t="shared" si="1864"/>
        <v>#DIV/0!</v>
      </c>
      <c r="L248" s="152" t="e">
        <f t="shared" si="1864"/>
        <v>#DIV/0!</v>
      </c>
      <c r="M248" s="152" t="e">
        <f t="shared" si="1864"/>
        <v>#DIV/0!</v>
      </c>
    </row>
    <row r="249" spans="1:172" ht="20.100000000000001" customHeight="1" x14ac:dyDescent="0.3">
      <c r="A249" s="8" t="s">
        <v>302</v>
      </c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O249" s="58">
        <f>IFERROR('6'!O$127/Ciclo,0)</f>
        <v>0</v>
      </c>
      <c r="P249" s="58">
        <f>IFERROR('6'!P$127/Ciclo,0)</f>
        <v>0</v>
      </c>
      <c r="Q249" s="58">
        <f>IFERROR('6'!Q$127/Ciclo,0)</f>
        <v>0</v>
      </c>
      <c r="R249" s="58">
        <f>IFERROR('6'!R$127/Ciclo,0)</f>
        <v>0</v>
      </c>
      <c r="S249" s="58">
        <f>IFERROR('6'!S$127/Ciclo,0)</f>
        <v>0</v>
      </c>
      <c r="T249" s="58">
        <f>IFERROR('6'!T$127/Ciclo,0)</f>
        <v>0</v>
      </c>
      <c r="U249" s="58">
        <f>IFERROR('6'!U$127/Ciclo,0)</f>
        <v>0</v>
      </c>
      <c r="V249" s="58">
        <f>IFERROR('6'!V$127/Ciclo,0)</f>
        <v>0</v>
      </c>
      <c r="W249" s="5">
        <f>IFERROR('6'!W$127/Ciclo,0)</f>
        <v>0</v>
      </c>
      <c r="X249" s="5">
        <f>IFERROR('6'!X$127/Ciclo,0)</f>
        <v>0</v>
      </c>
      <c r="Y249" s="5">
        <f>IFERROR('6'!Y$127/Ciclo,0)</f>
        <v>0</v>
      </c>
      <c r="Z249" s="5">
        <f>IFERROR('6'!Z$127/Ciclo,0)</f>
        <v>0</v>
      </c>
      <c r="AB249" s="5">
        <f>IF($B$246="Producción",IF($B249&gt;=LI_A,$O249,0),0)</f>
        <v>0</v>
      </c>
      <c r="AC249" s="5">
        <f>IF($B$246="Producción",IF($B249&gt;=LI_B,IF($B249&lt;LS_B,$O249,0),0),0)</f>
        <v>0</v>
      </c>
      <c r="AD249" s="5">
        <f>IF($B$246="Producción",IF($B249&gt;=LI_C,IF($B249&lt;LS_C,$O249,0),0),0)</f>
        <v>0</v>
      </c>
      <c r="AE249" s="5">
        <f>IF($B$246="Producción",IF($B249&lt;LS_D,$O249,0),0)</f>
        <v>0</v>
      </c>
      <c r="AF249" s="5">
        <f>IF($B$246="Crecimiento",$O249,0)</f>
        <v>0</v>
      </c>
      <c r="AG249" s="5">
        <f>IF($B246="Siembra",'6'!$O$7,0)</f>
        <v>0</v>
      </c>
      <c r="AH249" s="5">
        <f>IF($B246="Abandono",'6'!$O$7,0)</f>
        <v>0</v>
      </c>
      <c r="AI249" s="5">
        <f>IF($C$246="Producción",IF($C249&gt;=LI_A,$P249,0),0)</f>
        <v>0</v>
      </c>
      <c r="AJ249" s="5">
        <f>IF($C$246="Producción",IF($C249&gt;=LI_B,IF($C249&lt;LS_B,$P249,0),0),0)</f>
        <v>0</v>
      </c>
      <c r="AK249" s="5">
        <f>IF($C$246="Producción",IF($C249&gt;=LI_C,IF($C249&lt;LS_C,$P249,0),0),0)</f>
        <v>0</v>
      </c>
      <c r="AL249" s="5">
        <f>IF($C$246="Producción",IF($C249&lt;LS_D,$P249,0),0)</f>
        <v>0</v>
      </c>
      <c r="AM249" s="5">
        <f>IF($C$246="Crecimiento",$P249,0)</f>
        <v>0</v>
      </c>
      <c r="AN249" s="5">
        <f>IF($C246="Siembra",'6'!$P$7,0)</f>
        <v>0</v>
      </c>
      <c r="AO249" s="5">
        <f>IF($C246="Abandono",'6'!$P$7,0)</f>
        <v>0</v>
      </c>
      <c r="AP249" s="5">
        <f>IF($D$246="Producción",IF($D249&gt;=LI_A,$Q249,0),0)</f>
        <v>0</v>
      </c>
      <c r="AQ249" s="5">
        <f>IF($D$246="Producción",IF($D249&gt;=LI_B,IF($D249&lt;LS_B,$Q249,0),0),0)</f>
        <v>0</v>
      </c>
      <c r="AR249" s="5">
        <f>IF($D$246="Producción",IF($D249&gt;=LI_C,IF($D249&lt;LS_C,$Q249,0),0),0)</f>
        <v>0</v>
      </c>
      <c r="AS249" s="5">
        <f>IF($D$246="Producción",IF($D249&lt;LS_D,$Q249,0),0)</f>
        <v>0</v>
      </c>
      <c r="AT249" s="5">
        <f>IF($D$246="Crecimiento",IF($D249&gt;0,$Q249,0),0)</f>
        <v>0</v>
      </c>
      <c r="AU249" s="5">
        <f>IF($D246="Siembra",'6'!$Q$7,0)</f>
        <v>0</v>
      </c>
      <c r="AV249" s="5">
        <f>IF($D246="Abandono",'6'!$Q$7,0)</f>
        <v>0</v>
      </c>
      <c r="AW249" s="5">
        <f>IF($E$246="Producción",IF($E249&gt;=LI_A,$R249,0),0)</f>
        <v>0</v>
      </c>
      <c r="AX249" s="5">
        <f>IF($E$246="Producción",IF($E249&gt;=LI_B,IF($E249&lt;LS_B,$R249,0),0),0)</f>
        <v>0</v>
      </c>
      <c r="AY249" s="5">
        <f>IF($E$246="Producción",IF($E249&gt;=LI_C,IF($E249&lt;LS_C,$R249,0),0),0)</f>
        <v>0</v>
      </c>
      <c r="AZ249" s="5">
        <f>IF($E$246="Producción",IF($E249&lt;LS_D,$R249,0),0)</f>
        <v>0</v>
      </c>
      <c r="BA249" s="5">
        <f>IF($E$246="Crecimiento",$R249,0)</f>
        <v>0</v>
      </c>
      <c r="BB249" s="5">
        <f>IF($E246="Siembra",'6'!$R$7,0)</f>
        <v>0</v>
      </c>
      <c r="BC249" s="5">
        <f>IF($E246="Abandono",'6'!$R$7,0)</f>
        <v>0</v>
      </c>
      <c r="BD249" s="5">
        <f>IF($F$246="Producción",IF($F249&gt;=LI_A,$S249,0),0)</f>
        <v>0</v>
      </c>
      <c r="BE249" s="5">
        <f>IF($F$246="Producción",IF($F249&gt;=LI_B,IF($F249&lt;LS_B,$S249,0),0),0)</f>
        <v>0</v>
      </c>
      <c r="BF249" s="5">
        <f>IF($F$246="Producción",IF($F249&gt;=LI_C,IF($F249&lt;LS_C,$S249,0),0),0)</f>
        <v>0</v>
      </c>
      <c r="BG249" s="5">
        <f>IF($F$246="Producción",IF($F249&lt;LS_D,$S249,0),0)</f>
        <v>0</v>
      </c>
      <c r="BH249" s="5">
        <f>IF($F$246="Crecimiento",$S249,0)</f>
        <v>0</v>
      </c>
      <c r="BI249" s="5">
        <f>IF($F246="Siembra",'6'!$S$7,0)</f>
        <v>0</v>
      </c>
      <c r="BJ249" s="5">
        <f>IF($F246="Abandono",'6'!$S$7,0)</f>
        <v>0</v>
      </c>
      <c r="BK249" s="5">
        <f>IF($G$246="Producción",IF($G249&gt;=LI_A,$T249,0),0)</f>
        <v>0</v>
      </c>
      <c r="BL249" s="5">
        <f>IF($G$246="Producción",IF($G249&gt;=LI_B,IF($G249&lt;LS_B,$T249,0),0),0)</f>
        <v>0</v>
      </c>
      <c r="BM249" s="5">
        <f>IF($G$246="Producción",IF($G249&gt;=LI_C,IF($G249&lt;LS_C,$T249,0),0),0)</f>
        <v>0</v>
      </c>
      <c r="BN249" s="5">
        <f>IF($G$246="Producción",IF($G249&lt;LS_D,$T249,0),0)</f>
        <v>0</v>
      </c>
      <c r="BO249" s="5">
        <f>IF($G$246="Crecimiento",$T249,0)</f>
        <v>0</v>
      </c>
      <c r="BP249" s="5">
        <f>IF($G246="Siembra",'6'!$T$7,0)</f>
        <v>0</v>
      </c>
      <c r="BQ249" s="5">
        <f>IF($G246="Abandono",'6'!$T$7,0)</f>
        <v>0</v>
      </c>
      <c r="BR249" s="5">
        <f>IF($H$246="Producción",IF($H249&gt;=LI_A,$U249,0),0)</f>
        <v>0</v>
      </c>
      <c r="BS249" s="5">
        <f>IF($H$246="Producción",IF($H249&gt;=LI_B,IF($H249&lt;LS_B,$U249,0),0),0)</f>
        <v>0</v>
      </c>
      <c r="BT249" s="5">
        <f>IF($H$246="Producción",IF($H249&gt;=LI_C,IF($H249&lt;LS_C,$U249,0),0),0)</f>
        <v>0</v>
      </c>
      <c r="BU249" s="5">
        <f>IF($H$246="Producción",IF($H249&lt;LS_D,$U249,0),0)</f>
        <v>0</v>
      </c>
      <c r="BV249" s="5">
        <f>IF($H$246="Crecimiento",$T249,0)</f>
        <v>0</v>
      </c>
      <c r="BW249" s="5">
        <f>IF($H246="Siembra",'6'!$U$7,0)</f>
        <v>0</v>
      </c>
      <c r="BX249" s="5">
        <f>IF($H246="Abandono",'6'!$U$7,0)</f>
        <v>0</v>
      </c>
      <c r="BY249" s="5">
        <f>IF($I$246="Producción",IF($I249&gt;=LI_A,$V249,0),0)</f>
        <v>0</v>
      </c>
      <c r="BZ249" s="5">
        <f>IF($I$246="Producción",IF($I249&gt;=LI_B,IF($I249&lt;LS_B,$V249,0),0),0)</f>
        <v>0</v>
      </c>
      <c r="CA249" s="5">
        <f>IF($I$246="Producción",IF($I249&gt;=LI_C,IF($I249&lt;LS_C,$V249,0),0),0)</f>
        <v>0</v>
      </c>
      <c r="CB249" s="5">
        <f>IF($I$246="Producción",IF($I249&lt;LS_D,$V249,0),0)</f>
        <v>0</v>
      </c>
      <c r="CC249" s="5">
        <f>IF($I$246="Crecimiento",$V249,0)</f>
        <v>0</v>
      </c>
      <c r="CD249" s="5">
        <f>IF($I246="Siembra",'6'!$V$7,0)</f>
        <v>0</v>
      </c>
      <c r="CE249" s="5">
        <f>IF($I246="Abandono",'6'!$V$7,0)</f>
        <v>0</v>
      </c>
      <c r="CF249" s="5">
        <f>IF($J$246="Producción",IF($J249&gt;=LI_A,$W249,0),0)</f>
        <v>0</v>
      </c>
      <c r="CG249" s="5">
        <f>IF($J$246="Producción",IF($J249&gt;=LI_B,IF($J249&lt;LS_B,$W249,0),0),0)</f>
        <v>0</v>
      </c>
      <c r="CH249" s="5">
        <f>IF($J$246="Producción",IF($J249&gt;=LI_C,IF($J249&lt;LS_C,$W249,0),0),0)</f>
        <v>0</v>
      </c>
      <c r="CI249" s="5">
        <f>IF($J$246="Producción",IF($J249&lt;LS_D,$W249,0),0)</f>
        <v>0</v>
      </c>
      <c r="CJ249" s="5">
        <f>IF($J$246="Crecimiento",$W249,0)</f>
        <v>0</v>
      </c>
      <c r="CK249" s="5">
        <f>IF($J246="Siembra",'6'!$W$7,0)</f>
        <v>0</v>
      </c>
      <c r="CL249" s="5">
        <f>IF($J246="Abandono",'6'!$W$7,0)</f>
        <v>0</v>
      </c>
      <c r="CM249" s="5">
        <f>IF($K$246="Producción",IF($K249&gt;=LI_A,$X249,0),0)</f>
        <v>0</v>
      </c>
      <c r="CN249" s="5">
        <f>IF($K$246="Producción",IF($K249&gt;=LI_B,IF($K249&lt;LS_B,$X249,0),0),0)</f>
        <v>0</v>
      </c>
      <c r="CO249" s="5">
        <f>IF($K$246="Producción",IF($K249&gt;=LI_C,IF($K249&lt;LS_C,$X249,0),0),0)</f>
        <v>0</v>
      </c>
      <c r="CP249" s="5">
        <f>IF($K$246="Producción",IF($K249&lt;LS_D,$X249,0),0)</f>
        <v>0</v>
      </c>
      <c r="CQ249" s="5">
        <f>IF($K$246="Crecimiento",$X249,0)</f>
        <v>0</v>
      </c>
      <c r="CR249" s="5">
        <f>IF($K246="Siembra",'6'!$X$7,0)</f>
        <v>0</v>
      </c>
      <c r="CS249" s="5">
        <f>IF($K246="Abandono",'6'!$X$7,0)</f>
        <v>0</v>
      </c>
      <c r="CT249" s="5">
        <f>IF($L$246="Producción",IF($L249&gt;=LI_A,$Y249,0),0)</f>
        <v>0</v>
      </c>
      <c r="CU249" s="5">
        <f>IF($L$246="Producción",IF($L249&gt;=LI_B,IF($L249&lt;LS_B,$Y249,0),0),0)</f>
        <v>0</v>
      </c>
      <c r="CV249" s="5">
        <f>IF($L$246="Producción",IF($L249&gt;=LI_C,IF($L249&lt;LS_C,$Y249,0),0),0)</f>
        <v>0</v>
      </c>
      <c r="CW249" s="5">
        <f>IF($L$246="Producción",IF($L249&lt;LS_D,$Y249,0),0)</f>
        <v>0</v>
      </c>
      <c r="CX249" s="5">
        <f>IF($L$246="Crecimiento",$Y249,0)</f>
        <v>0</v>
      </c>
      <c r="CY249" s="5">
        <f>IF($L246="Siembra",'6'!$Y$7,0)</f>
        <v>0</v>
      </c>
      <c r="CZ249" s="5">
        <f>IF($L246="Abandono",'6'!$Y$7,0)</f>
        <v>0</v>
      </c>
      <c r="DA249" s="5">
        <f>IF($M$246="Producción",IF($M249&gt;=LI_A,$Z249,0),0)</f>
        <v>0</v>
      </c>
      <c r="DB249" s="5">
        <f>IF($M$246="Producción",IF($M249&gt;=LI_B,IF($M249&lt;LS_B,$Z249,0),0),0)</f>
        <v>0</v>
      </c>
      <c r="DC249" s="5">
        <f>IF($M$246="Producción",IF($M249&gt;=LI_C,IF($M249&lt;LS_C,$Z249,0),0),0)</f>
        <v>0</v>
      </c>
      <c r="DD249" s="5">
        <f>IF($M$246="Producción",IF($M249&lt;LS_D,$Z249,0),0)</f>
        <v>0</v>
      </c>
      <c r="DE249" s="5">
        <f>IF($M$246="Crecimiento",$Z249,0)</f>
        <v>0</v>
      </c>
      <c r="DF249" s="5">
        <f>IF($M246="Siembra",'6'!$Z$7,0)</f>
        <v>0</v>
      </c>
      <c r="DG249" s="5">
        <f>IF($M246="Abandono",'6'!$Z$7,0)</f>
        <v>0</v>
      </c>
      <c r="DI249" s="5">
        <f t="shared" ref="DI249:DI253" si="1865">AB249*$B249</f>
        <v>0</v>
      </c>
      <c r="DJ249" s="5">
        <f t="shared" ref="DJ249:DJ253" si="1866">AC249*$B249</f>
        <v>0</v>
      </c>
      <c r="DK249" s="5">
        <f t="shared" ref="DK249:DK253" si="1867">AD249*$B249</f>
        <v>0</v>
      </c>
      <c r="DL249" s="5">
        <f t="shared" ref="DL249:DL253" si="1868">AE249*$B249</f>
        <v>0</v>
      </c>
      <c r="DM249" s="5">
        <f t="shared" ref="DM249:DM253" si="1869">AF249*$B249</f>
        <v>0</v>
      </c>
      <c r="DN249" s="5">
        <f t="shared" ref="DN249:DN253" si="1870">AI249*$C249</f>
        <v>0</v>
      </c>
      <c r="DO249" s="5">
        <f t="shared" ref="DO249:DO253" si="1871">AJ249*$C249</f>
        <v>0</v>
      </c>
      <c r="DP249" s="5">
        <f t="shared" ref="DP249:DP253" si="1872">AK249*$C249</f>
        <v>0</v>
      </c>
      <c r="DQ249" s="5">
        <f t="shared" ref="DQ249:DQ253" si="1873">AL249*$C249</f>
        <v>0</v>
      </c>
      <c r="DR249" s="5">
        <f t="shared" ref="DR249:DR253" si="1874">AM249*$C249</f>
        <v>0</v>
      </c>
      <c r="DS249" s="5">
        <f t="shared" ref="DS249:DS253" si="1875">AP249*$D249</f>
        <v>0</v>
      </c>
      <c r="DT249" s="5">
        <f t="shared" ref="DT249:DT253" si="1876">AQ249*$D249</f>
        <v>0</v>
      </c>
      <c r="DU249" s="5">
        <f t="shared" ref="DU249:DU253" si="1877">AR249*$D249</f>
        <v>0</v>
      </c>
      <c r="DV249" s="5">
        <f t="shared" ref="DV249:DV253" si="1878">AS249*$D249</f>
        <v>0</v>
      </c>
      <c r="DW249" s="5">
        <f t="shared" ref="DW249:DW253" si="1879">AT249*$D249</f>
        <v>0</v>
      </c>
      <c r="DX249" s="5">
        <f t="shared" ref="DX249:DX253" si="1880">AW249*$E249</f>
        <v>0</v>
      </c>
      <c r="DY249" s="5">
        <f t="shared" ref="DY249:DY253" si="1881">AX249*$E249</f>
        <v>0</v>
      </c>
      <c r="DZ249" s="5">
        <f t="shared" ref="DZ249:DZ253" si="1882">AY249*$E249</f>
        <v>0</v>
      </c>
      <c r="EA249" s="5">
        <f t="shared" ref="EA249:EA253" si="1883">AZ249*$E249</f>
        <v>0</v>
      </c>
      <c r="EB249" s="5">
        <f t="shared" ref="EB249:EB253" si="1884">BA249*$E249</f>
        <v>0</v>
      </c>
      <c r="EC249" s="5">
        <f t="shared" ref="EC249:EC253" si="1885">BD249*$F249</f>
        <v>0</v>
      </c>
      <c r="ED249" s="5">
        <f t="shared" ref="ED249:ED253" si="1886">BE249*$F249</f>
        <v>0</v>
      </c>
      <c r="EE249" s="5">
        <f t="shared" ref="EE249:EE253" si="1887">BF249*$F249</f>
        <v>0</v>
      </c>
      <c r="EF249" s="5">
        <f t="shared" ref="EF249:EF253" si="1888">BG249*$F249</f>
        <v>0</v>
      </c>
      <c r="EG249" s="5">
        <f t="shared" ref="EG249:EG253" si="1889">BH249*$F249</f>
        <v>0</v>
      </c>
      <c r="EH249" s="5">
        <f t="shared" ref="EH249:EH253" si="1890">BK249*$G249</f>
        <v>0</v>
      </c>
      <c r="EI249" s="5">
        <f t="shared" ref="EI249:EI253" si="1891">BL249*$G249</f>
        <v>0</v>
      </c>
      <c r="EJ249" s="5">
        <f t="shared" ref="EJ249:EJ253" si="1892">BM249*$G249</f>
        <v>0</v>
      </c>
      <c r="EK249" s="5">
        <f t="shared" ref="EK249:EK253" si="1893">BN249*$G249</f>
        <v>0</v>
      </c>
      <c r="EL249" s="5">
        <f t="shared" ref="EL249:EL253" si="1894">BO249*$G249</f>
        <v>0</v>
      </c>
      <c r="EM249" s="5">
        <f t="shared" ref="EM249:EM253" si="1895">BR249*$H249</f>
        <v>0</v>
      </c>
      <c r="EN249" s="5">
        <f t="shared" ref="EN249:EN253" si="1896">BS249*$H249</f>
        <v>0</v>
      </c>
      <c r="EO249" s="5">
        <f t="shared" ref="EO249:EO253" si="1897">BT249*$H249</f>
        <v>0</v>
      </c>
      <c r="EP249" s="5">
        <f t="shared" ref="EP249:EP253" si="1898">BU249*$H249</f>
        <v>0</v>
      </c>
      <c r="EQ249" s="5">
        <f t="shared" ref="EQ249:EQ253" si="1899">BV249*$H249</f>
        <v>0</v>
      </c>
      <c r="ER249" s="5">
        <f t="shared" ref="ER249:ER253" si="1900">BY249*$I249</f>
        <v>0</v>
      </c>
      <c r="ES249" s="5">
        <f t="shared" ref="ES249:ES253" si="1901">BZ249*$I249</f>
        <v>0</v>
      </c>
      <c r="ET249" s="5">
        <f t="shared" ref="ET249:ET253" si="1902">CA249*$I249</f>
        <v>0</v>
      </c>
      <c r="EU249" s="5">
        <f t="shared" ref="EU249:EU253" si="1903">CB249*$I249</f>
        <v>0</v>
      </c>
      <c r="EV249" s="5">
        <f t="shared" ref="EV249:EV253" si="1904">CC249*$I249</f>
        <v>0</v>
      </c>
      <c r="EW249" s="5">
        <f t="shared" ref="EW249:EW253" si="1905">CF249*$J249</f>
        <v>0</v>
      </c>
      <c r="EX249" s="5">
        <f t="shared" ref="EX249:EX253" si="1906">CG249*$J249</f>
        <v>0</v>
      </c>
      <c r="EY249" s="5">
        <f t="shared" ref="EY249:EY253" si="1907">CH249*$J249</f>
        <v>0</v>
      </c>
      <c r="EZ249" s="5">
        <f t="shared" ref="EZ249:EZ253" si="1908">CI249*$J249</f>
        <v>0</v>
      </c>
      <c r="FA249" s="5">
        <f t="shared" ref="FA249:FA253" si="1909">CJ249*$J249</f>
        <v>0</v>
      </c>
      <c r="FB249" s="5">
        <f t="shared" ref="FB249:FB253" si="1910">CM249*$K249</f>
        <v>0</v>
      </c>
      <c r="FC249" s="5">
        <f t="shared" ref="FC249:FC253" si="1911">CN249*$K249</f>
        <v>0</v>
      </c>
      <c r="FD249" s="5">
        <f t="shared" ref="FD249:FD253" si="1912">CO249*$K249</f>
        <v>0</v>
      </c>
      <c r="FE249" s="5">
        <f t="shared" ref="FE249:FE253" si="1913">CP249*$K249</f>
        <v>0</v>
      </c>
      <c r="FF249" s="5">
        <f t="shared" ref="FF249:FF253" si="1914">CQ249*$K249</f>
        <v>0</v>
      </c>
      <c r="FG249" s="5">
        <f t="shared" ref="FG249:FG253" si="1915">CT249*$L249</f>
        <v>0</v>
      </c>
      <c r="FH249" s="5">
        <f t="shared" ref="FH249:FH253" si="1916">CU249*$L249</f>
        <v>0</v>
      </c>
      <c r="FI249" s="5">
        <f t="shared" ref="FI249:FI253" si="1917">CV249*$L249</f>
        <v>0</v>
      </c>
      <c r="FJ249" s="5">
        <f t="shared" ref="FJ249:FJ253" si="1918">CW249*$L249</f>
        <v>0</v>
      </c>
      <c r="FK249" s="5">
        <f t="shared" ref="FK249:FK253" si="1919">CX249*$L249</f>
        <v>0</v>
      </c>
      <c r="FL249" s="5">
        <f t="shared" ref="FL249:FL253" si="1920">DA249*$M249</f>
        <v>0</v>
      </c>
      <c r="FM249" s="5">
        <f t="shared" ref="FM249:FM253" si="1921">DB249*$M249</f>
        <v>0</v>
      </c>
      <c r="FN249" s="5">
        <f t="shared" ref="FN249:FN253" si="1922">DC249*$M249</f>
        <v>0</v>
      </c>
      <c r="FO249" s="5">
        <f t="shared" ref="FO249:FO253" si="1923">DD249*$M249</f>
        <v>0</v>
      </c>
      <c r="FP249" s="5">
        <f t="shared" ref="FP249:FP253" si="1924">DE249*$M249</f>
        <v>0</v>
      </c>
    </row>
    <row r="250" spans="1:172" ht="20.100000000000001" customHeight="1" x14ac:dyDescent="0.3">
      <c r="A250" s="8" t="s">
        <v>303</v>
      </c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O250" s="58">
        <f>IFERROR('6'!O$127/Ciclo,0)</f>
        <v>0</v>
      </c>
      <c r="P250" s="58">
        <f>IFERROR('6'!P$127/Ciclo,0)</f>
        <v>0</v>
      </c>
      <c r="Q250" s="58">
        <f>IFERROR('6'!Q$127/Ciclo,0)</f>
        <v>0</v>
      </c>
      <c r="R250" s="58">
        <f>IFERROR('6'!R$127/Ciclo,0)</f>
        <v>0</v>
      </c>
      <c r="S250" s="58">
        <f>IFERROR('6'!S$127/Ciclo,0)</f>
        <v>0</v>
      </c>
      <c r="T250" s="58">
        <f>IFERROR('6'!T$127/Ciclo,0)</f>
        <v>0</v>
      </c>
      <c r="U250" s="58">
        <f>IFERROR('6'!U$127/Ciclo,0)</f>
        <v>0</v>
      </c>
      <c r="V250" s="58">
        <f>IFERROR('6'!V$127/Ciclo,0)</f>
        <v>0</v>
      </c>
      <c r="W250" s="5">
        <f>IFERROR('6'!W$127/Ciclo,0)</f>
        <v>0</v>
      </c>
      <c r="X250" s="5">
        <f>IFERROR('6'!X$127/Ciclo,0)</f>
        <v>0</v>
      </c>
      <c r="Y250" s="5">
        <f>IFERROR('6'!Y$127/Ciclo,0)</f>
        <v>0</v>
      </c>
      <c r="Z250" s="5">
        <f>IFERROR('6'!Z$127/Ciclo,0)</f>
        <v>0</v>
      </c>
      <c r="AB250" s="5">
        <f>IF($B$246="Producción",IF($B250&gt;=LI_A,$O250,0),0)</f>
        <v>0</v>
      </c>
      <c r="AC250" s="5">
        <f>IF($B$246="Producción",IF($B250&gt;=LI_B,IF($B250&lt;LS_B,$O250,0),0),0)</f>
        <v>0</v>
      </c>
      <c r="AD250" s="5">
        <f>IF($B$246="Producción",IF($B250&gt;=LI_C,IF($B250&lt;LS_C,$O250,0),0),0)</f>
        <v>0</v>
      </c>
      <c r="AE250" s="5">
        <f>IF($B$246="Producción",IF($B250&lt;LS_D,$O250,0),0)</f>
        <v>0</v>
      </c>
      <c r="AF250" s="5">
        <f t="shared" ref="AF250:AF253" si="1925">IF($B$246="Crecimiento",$O250,0)</f>
        <v>0</v>
      </c>
      <c r="AI250" s="5">
        <f>IF($C$246="Producción",IF($C250&gt;=LI_A,$P250,0),0)</f>
        <v>0</v>
      </c>
      <c r="AJ250" s="5">
        <f>IF($C$246="Producción",IF($C250&gt;=LI_B,IF($C250&lt;LS_B,$P250,0),0),0)</f>
        <v>0</v>
      </c>
      <c r="AK250" s="5">
        <f>IF($C$246="Producción",IF($C250&gt;=LI_C,IF($C250&lt;LS_C,$P250,0),0),0)</f>
        <v>0</v>
      </c>
      <c r="AL250" s="5">
        <f>IF($C$246="Producción",IF($C250&lt;LS_D,$P250,0),0)</f>
        <v>0</v>
      </c>
      <c r="AM250" s="5">
        <f>IF($C$246="Crecimiento",$P250,0)</f>
        <v>0</v>
      </c>
      <c r="AP250" s="5">
        <f>IF($D$246="Producción",IF($D250&gt;=LI_A,$Q250,0),0)</f>
        <v>0</v>
      </c>
      <c r="AQ250" s="5">
        <f>IF($D$246="Producción",IF($D250&gt;=LI_B,IF($D250&lt;LS_B,$Q250,0),0),0)</f>
        <v>0</v>
      </c>
      <c r="AR250" s="5">
        <f>IF($D$246="Producción",IF($D250&gt;=LI_C,IF($D250&lt;LS_C,$Q250,0),0),0)</f>
        <v>0</v>
      </c>
      <c r="AS250" s="5">
        <f>IF($D$246="Producción",IF($D250&lt;LS_D,$Q250,0),0)</f>
        <v>0</v>
      </c>
      <c r="AT250" s="5">
        <f>IF($D$246="Crecimiento",IF($D250&gt;0,$Q250,0),0)</f>
        <v>0</v>
      </c>
      <c r="AW250" s="5">
        <f>IF($E$246="Producción",IF($E250&gt;=LI_A,$R250,0),0)</f>
        <v>0</v>
      </c>
      <c r="AX250" s="5">
        <f>IF($E$246="Producción",IF($E250&gt;=LI_B,IF($E250&lt;LS_B,$R250,0),0),0)</f>
        <v>0</v>
      </c>
      <c r="AY250" s="5">
        <f>IF($E$246="Producción",IF($E250&gt;=LI_C,IF($E250&lt;LS_C,$R250,0),0),0)</f>
        <v>0</v>
      </c>
      <c r="AZ250" s="5">
        <f>IF($E$246="Producción",IF($E250&lt;LS_D,$R250,0),0)</f>
        <v>0</v>
      </c>
      <c r="BA250" s="5">
        <f>IF($E$246="Crecimiento",$R250,0)</f>
        <v>0</v>
      </c>
      <c r="BD250" s="5">
        <f>IF($F$246="Producción",IF($F250&gt;=LI_A,$S250,0),0)</f>
        <v>0</v>
      </c>
      <c r="BE250" s="5">
        <f>IF($F$246="Producción",IF($F250&gt;=LI_B,IF($F250&lt;LS_B,$S250,0),0),0)</f>
        <v>0</v>
      </c>
      <c r="BF250" s="5">
        <f>IF($F$246="Producción",IF($F250&gt;=LI_C,IF($F250&lt;LS_C,$S250,0),0),0)</f>
        <v>0</v>
      </c>
      <c r="BG250" s="5">
        <f>IF($F$246="Producción",IF($F250&lt;LS_D,$S250,0),0)</f>
        <v>0</v>
      </c>
      <c r="BH250" s="5">
        <f>IF($F$246="Crecimiento",$S250,0)</f>
        <v>0</v>
      </c>
      <c r="BK250" s="5">
        <f>IF($G$246="Producción",IF($G250&gt;=LI_A,$T250,0),0)</f>
        <v>0</v>
      </c>
      <c r="BL250" s="5">
        <f>IF($G$246="Producción",IF($G250&gt;=LI_B,IF($G250&lt;LS_B,$T250,0),0),0)</f>
        <v>0</v>
      </c>
      <c r="BM250" s="5">
        <f>IF($G$246="Producción",IF($G250&gt;=LI_C,IF($G250&lt;LS_C,$T250,0),0),0)</f>
        <v>0</v>
      </c>
      <c r="BN250" s="5">
        <f>IF($G$246="Producción",IF($G250&lt;LS_D,$T250,0),0)</f>
        <v>0</v>
      </c>
      <c r="BO250" s="5">
        <f>IF($G$246="Crecimiento",$T250,0)</f>
        <v>0</v>
      </c>
      <c r="BR250" s="5">
        <f>IF($H$246="Producción",IF($H250&gt;=LI_A,$U250,0),0)</f>
        <v>0</v>
      </c>
      <c r="BS250" s="5">
        <f>IF($H$246="Producción",IF($H250&gt;=LI_B,IF($H250&lt;LS_B,$U250,0),0),0)</f>
        <v>0</v>
      </c>
      <c r="BT250" s="5">
        <f>IF($H$246="Producción",IF($H250&gt;=LI_C,IF($H250&lt;LS_C,$U250,0),0),0)</f>
        <v>0</v>
      </c>
      <c r="BU250" s="5">
        <f>IF($H$246="Producción",IF($H250&lt;LS_D,$U250,0),0)</f>
        <v>0</v>
      </c>
      <c r="BV250" s="5">
        <f>IF($H$246="Crecimiento",$T250,0)</f>
        <v>0</v>
      </c>
      <c r="BY250" s="5">
        <f>IF($I$246="Producción",IF($I250&gt;=LI_A,$V250,0),0)</f>
        <v>0</v>
      </c>
      <c r="BZ250" s="5">
        <f>IF($I$246="Producción",IF($I250&gt;=LI_B,IF($I250&lt;LS_B,$V250,0),0),0)</f>
        <v>0</v>
      </c>
      <c r="CA250" s="5">
        <f>IF($I$246="Producción",IF($I250&gt;=LI_C,IF($I250&lt;LS_C,$V250,0),0),0)</f>
        <v>0</v>
      </c>
      <c r="CB250" s="5">
        <f>IF($I$246="Producción",IF($I250&lt;LS_D,$V250,0),0)</f>
        <v>0</v>
      </c>
      <c r="CC250" s="5">
        <f>IF($I$246="Crecimiento",$V250,0)</f>
        <v>0</v>
      </c>
      <c r="CF250" s="5">
        <f>IF($J$246="Producción",IF($J250&gt;=LI_A,$W250,0),0)</f>
        <v>0</v>
      </c>
      <c r="CG250" s="5">
        <f>IF($J$246="Producción",IF($J250&gt;=LI_B,IF($J250&lt;LS_B,$W250,0),0),0)</f>
        <v>0</v>
      </c>
      <c r="CH250" s="5">
        <f>IF($J$246="Producción",IF($J250&gt;=LI_C,IF($J250&lt;LS_C,$W250,0),0),0)</f>
        <v>0</v>
      </c>
      <c r="CI250" s="5">
        <f>IF($J$246="Producción",IF($J250&lt;LS_D,$W250,0),0)</f>
        <v>0</v>
      </c>
      <c r="CJ250" s="5">
        <f>IF($J$246="Crecimiento",$W250,0)</f>
        <v>0</v>
      </c>
      <c r="CM250" s="5">
        <f>IF($K$246="Producción",IF($K250&gt;=LI_A,$X250,0),0)</f>
        <v>0</v>
      </c>
      <c r="CN250" s="5">
        <f>IF($K$246="Producción",IF($K250&gt;=LI_B,IF($K250&lt;LS_B,$X250,0),0),0)</f>
        <v>0</v>
      </c>
      <c r="CO250" s="5">
        <f>IF($K$246="Producción",IF($K250&gt;=LI_C,IF($K250&lt;LS_C,$X250,0),0),0)</f>
        <v>0</v>
      </c>
      <c r="CP250" s="5">
        <f>IF($K$246="Producción",IF($K250&lt;LS_D,$X250,0),0)</f>
        <v>0</v>
      </c>
      <c r="CQ250" s="5">
        <f>IF($K$246="Crecimiento",$X250,0)</f>
        <v>0</v>
      </c>
      <c r="CT250" s="5">
        <f>IF($L$246="Producción",IF($L250&gt;=LI_A,$Y250,0),0)</f>
        <v>0</v>
      </c>
      <c r="CU250" s="5">
        <f>IF($L$246="Producción",IF($L250&gt;=LI_B,IF($L250&lt;LS_B,$Y250,0),0),0)</f>
        <v>0</v>
      </c>
      <c r="CV250" s="5">
        <f>IF($L$246="Producción",IF($L250&gt;=LI_C,IF($L250&lt;LS_C,$Y250,0),0),0)</f>
        <v>0</v>
      </c>
      <c r="CW250" s="5">
        <f>IF($L$246="Producción",IF($L250&lt;LS_D,$Y250,0),0)</f>
        <v>0</v>
      </c>
      <c r="CX250" s="5">
        <f>IF($L$246="Crecimiento",$Y250,0)</f>
        <v>0</v>
      </c>
      <c r="DA250" s="5">
        <f>IF($M$246="Producción",IF($M250&gt;=LI_A,$Z250,0),0)</f>
        <v>0</v>
      </c>
      <c r="DB250" s="5">
        <f>IF($M$246="Producción",IF($M250&gt;=LI_B,IF($M250&lt;LS_B,$Z250,0),0),0)</f>
        <v>0</v>
      </c>
      <c r="DC250" s="5">
        <f>IF($M$246="Producción",IF($M250&gt;=LI_C,IF($M250&lt;LS_C,$Z250,0),0),0)</f>
        <v>0</v>
      </c>
      <c r="DD250" s="5">
        <f>IF($M$246="Producción",IF($M250&lt;LS_D,$Z250,0),0)</f>
        <v>0</v>
      </c>
      <c r="DE250" s="5">
        <f>IF($M$246="Crecimiento",$Z250,0)</f>
        <v>0</v>
      </c>
      <c r="DI250" s="5">
        <f t="shared" si="1865"/>
        <v>0</v>
      </c>
      <c r="DJ250" s="5">
        <f t="shared" si="1866"/>
        <v>0</v>
      </c>
      <c r="DK250" s="5">
        <f t="shared" si="1867"/>
        <v>0</v>
      </c>
      <c r="DL250" s="5">
        <f t="shared" si="1868"/>
        <v>0</v>
      </c>
      <c r="DM250" s="5">
        <f t="shared" si="1869"/>
        <v>0</v>
      </c>
      <c r="DN250" s="5">
        <f t="shared" si="1870"/>
        <v>0</v>
      </c>
      <c r="DO250" s="5">
        <f t="shared" si="1871"/>
        <v>0</v>
      </c>
      <c r="DP250" s="5">
        <f t="shared" si="1872"/>
        <v>0</v>
      </c>
      <c r="DQ250" s="5">
        <f t="shared" si="1873"/>
        <v>0</v>
      </c>
      <c r="DR250" s="5">
        <f t="shared" si="1874"/>
        <v>0</v>
      </c>
      <c r="DS250" s="5">
        <f t="shared" si="1875"/>
        <v>0</v>
      </c>
      <c r="DT250" s="5">
        <f t="shared" si="1876"/>
        <v>0</v>
      </c>
      <c r="DU250" s="5">
        <f t="shared" si="1877"/>
        <v>0</v>
      </c>
      <c r="DV250" s="5">
        <f t="shared" si="1878"/>
        <v>0</v>
      </c>
      <c r="DW250" s="5">
        <f t="shared" si="1879"/>
        <v>0</v>
      </c>
      <c r="DX250" s="5">
        <f t="shared" si="1880"/>
        <v>0</v>
      </c>
      <c r="DY250" s="5">
        <f t="shared" si="1881"/>
        <v>0</v>
      </c>
      <c r="DZ250" s="5">
        <f t="shared" si="1882"/>
        <v>0</v>
      </c>
      <c r="EA250" s="5">
        <f t="shared" si="1883"/>
        <v>0</v>
      </c>
      <c r="EB250" s="5">
        <f t="shared" si="1884"/>
        <v>0</v>
      </c>
      <c r="EC250" s="5">
        <f t="shared" si="1885"/>
        <v>0</v>
      </c>
      <c r="ED250" s="5">
        <f t="shared" si="1886"/>
        <v>0</v>
      </c>
      <c r="EE250" s="5">
        <f t="shared" si="1887"/>
        <v>0</v>
      </c>
      <c r="EF250" s="5">
        <f t="shared" si="1888"/>
        <v>0</v>
      </c>
      <c r="EG250" s="5">
        <f t="shared" si="1889"/>
        <v>0</v>
      </c>
      <c r="EH250" s="5">
        <f t="shared" si="1890"/>
        <v>0</v>
      </c>
      <c r="EI250" s="5">
        <f t="shared" si="1891"/>
        <v>0</v>
      </c>
      <c r="EJ250" s="5">
        <f t="shared" si="1892"/>
        <v>0</v>
      </c>
      <c r="EK250" s="5">
        <f t="shared" si="1893"/>
        <v>0</v>
      </c>
      <c r="EL250" s="5">
        <f t="shared" si="1894"/>
        <v>0</v>
      </c>
      <c r="EM250" s="5">
        <f t="shared" si="1895"/>
        <v>0</v>
      </c>
      <c r="EN250" s="5">
        <f t="shared" si="1896"/>
        <v>0</v>
      </c>
      <c r="EO250" s="5">
        <f t="shared" si="1897"/>
        <v>0</v>
      </c>
      <c r="EP250" s="5">
        <f t="shared" si="1898"/>
        <v>0</v>
      </c>
      <c r="EQ250" s="5">
        <f t="shared" si="1899"/>
        <v>0</v>
      </c>
      <c r="ER250" s="5">
        <f t="shared" si="1900"/>
        <v>0</v>
      </c>
      <c r="ES250" s="5">
        <f t="shared" si="1901"/>
        <v>0</v>
      </c>
      <c r="ET250" s="5">
        <f t="shared" si="1902"/>
        <v>0</v>
      </c>
      <c r="EU250" s="5">
        <f t="shared" si="1903"/>
        <v>0</v>
      </c>
      <c r="EV250" s="5">
        <f t="shared" si="1904"/>
        <v>0</v>
      </c>
      <c r="EW250" s="5">
        <f t="shared" si="1905"/>
        <v>0</v>
      </c>
      <c r="EX250" s="5">
        <f t="shared" si="1906"/>
        <v>0</v>
      </c>
      <c r="EY250" s="5">
        <f t="shared" si="1907"/>
        <v>0</v>
      </c>
      <c r="EZ250" s="5">
        <f t="shared" si="1908"/>
        <v>0</v>
      </c>
      <c r="FA250" s="5">
        <f t="shared" si="1909"/>
        <v>0</v>
      </c>
      <c r="FB250" s="5">
        <f t="shared" si="1910"/>
        <v>0</v>
      </c>
      <c r="FC250" s="5">
        <f t="shared" si="1911"/>
        <v>0</v>
      </c>
      <c r="FD250" s="5">
        <f t="shared" si="1912"/>
        <v>0</v>
      </c>
      <c r="FE250" s="5">
        <f t="shared" si="1913"/>
        <v>0</v>
      </c>
      <c r="FF250" s="5">
        <f t="shared" si="1914"/>
        <v>0</v>
      </c>
      <c r="FG250" s="5">
        <f t="shared" si="1915"/>
        <v>0</v>
      </c>
      <c r="FH250" s="5">
        <f t="shared" si="1916"/>
        <v>0</v>
      </c>
      <c r="FI250" s="5">
        <f t="shared" si="1917"/>
        <v>0</v>
      </c>
      <c r="FJ250" s="5">
        <f t="shared" si="1918"/>
        <v>0</v>
      </c>
      <c r="FK250" s="5">
        <f t="shared" si="1919"/>
        <v>0</v>
      </c>
      <c r="FL250" s="5">
        <f t="shared" si="1920"/>
        <v>0</v>
      </c>
      <c r="FM250" s="5">
        <f t="shared" si="1921"/>
        <v>0</v>
      </c>
      <c r="FN250" s="5">
        <f t="shared" si="1922"/>
        <v>0</v>
      </c>
      <c r="FO250" s="5">
        <f t="shared" si="1923"/>
        <v>0</v>
      </c>
      <c r="FP250" s="5">
        <f t="shared" si="1924"/>
        <v>0</v>
      </c>
    </row>
    <row r="251" spans="1:172" ht="20.100000000000001" customHeight="1" x14ac:dyDescent="0.3">
      <c r="A251" s="8" t="str">
        <f>IF(Ciclo&gt;2,"Surco 3","NA")</f>
        <v>Surco 3</v>
      </c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O251" s="58">
        <f>IF($A251="NA",0,IFERROR('6'!O$127/Ciclo,0))</f>
        <v>0</v>
      </c>
      <c r="P251" s="58">
        <f>IF($A251="NA",0,IFERROR('6'!P$127/Ciclo,0))</f>
        <v>0</v>
      </c>
      <c r="Q251" s="58">
        <f>IF($A251="NA",0,IFERROR('6'!Q$127/Ciclo,0))</f>
        <v>0</v>
      </c>
      <c r="R251" s="58">
        <f>IF($A251="NA",0,IFERROR('6'!R$127/Ciclo,0))</f>
        <v>0</v>
      </c>
      <c r="S251" s="58">
        <f>IF($A251="NA",0,IFERROR('6'!S$127/Ciclo,0))</f>
        <v>0</v>
      </c>
      <c r="T251" s="58">
        <f>IF($A251="NA",0,IFERROR('6'!T$127/Ciclo,0))</f>
        <v>0</v>
      </c>
      <c r="U251" s="58">
        <f>IF($A251="NA",0,IFERROR('6'!U$127/Ciclo,0))</f>
        <v>0</v>
      </c>
      <c r="V251" s="58">
        <f>IF($A251="NA",0,IFERROR('6'!V$127/Ciclo,0))</f>
        <v>0</v>
      </c>
      <c r="W251" s="5">
        <f>IF($A251="NA",0,IFERROR('6'!W$127/Ciclo,0))</f>
        <v>0</v>
      </c>
      <c r="X251" s="5">
        <f>IF($A251="NA",0,IFERROR('6'!X$127/Ciclo,0))</f>
        <v>0</v>
      </c>
      <c r="Y251" s="5">
        <f>IF($A251="NA",0,IFERROR('6'!Y$127/Ciclo,0))</f>
        <v>0</v>
      </c>
      <c r="Z251" s="5">
        <f>IF($A251="NA",0,IFERROR('6'!Z$127/Ciclo,0))</f>
        <v>0</v>
      </c>
      <c r="AB251" s="5">
        <f>IF($B$246="Producción",IF($B251&gt;=LI_A,$O251,0),0)</f>
        <v>0</v>
      </c>
      <c r="AC251" s="5">
        <f>IF($B$246="Producción",IF($B251&gt;=LI_B,IF($B251&lt;LS_B,$O251,0),0),0)</f>
        <v>0</v>
      </c>
      <c r="AD251" s="5">
        <f>IF($B$246="Producción",IF($B251&gt;=LI_C,IF($B251&lt;LS_C,$O251,0),0),0)</f>
        <v>0</v>
      </c>
      <c r="AE251" s="5">
        <f>IF($B$246="Producción",IF($B251&lt;LS_D,$O251,0),0)</f>
        <v>0</v>
      </c>
      <c r="AF251" s="5">
        <f t="shared" si="1925"/>
        <v>0</v>
      </c>
      <c r="AI251" s="5">
        <f>IF($C$246="Producción",IF($C251&gt;=LI_A,$P251,0),0)</f>
        <v>0</v>
      </c>
      <c r="AJ251" s="5">
        <f>IF($C$246="Producción",IF($C251&gt;=LI_B,IF($C251&lt;LS_B,$P251,0),0),0)</f>
        <v>0</v>
      </c>
      <c r="AK251" s="5">
        <f>IF($C$246="Producción",IF($C251&gt;=LI_C,IF($C251&lt;LS_C,$P251,0),0),0)</f>
        <v>0</v>
      </c>
      <c r="AL251" s="5">
        <f>IF($C$246="Producción",IF($C251&lt;LS_D,$P251,0),0)</f>
        <v>0</v>
      </c>
      <c r="AM251" s="5">
        <f>IF($C$246="Crecimiento",$P251,0)</f>
        <v>0</v>
      </c>
      <c r="AP251" s="5">
        <f>IF($D$246="Producción",IF($D251&gt;=LI_A,$Q251,0),0)</f>
        <v>0</v>
      </c>
      <c r="AQ251" s="5">
        <f>IF($D$246="Producción",IF($D251&gt;=LI_B,IF($D251&lt;LS_B,$Q251,0),0),0)</f>
        <v>0</v>
      </c>
      <c r="AR251" s="5">
        <f>IF($D$246="Producción",IF($D251&gt;=LI_C,IF($D251&lt;LS_C,$Q251,0),0),0)</f>
        <v>0</v>
      </c>
      <c r="AS251" s="5">
        <f>IF($D$246="Producción",IF($D251&lt;LS_D,$Q251,0),0)</f>
        <v>0</v>
      </c>
      <c r="AT251" s="5">
        <f>IF($D$246="Crecimiento",IF($D251&gt;0,$Q251,0),0)</f>
        <v>0</v>
      </c>
      <c r="AW251" s="5">
        <f>IF($E$246="Producción",IF($E251&gt;=LI_A,$R251,0),0)</f>
        <v>0</v>
      </c>
      <c r="AX251" s="5">
        <f>IF($E$246="Producción",IF($E251&gt;=LI_B,IF($E251&lt;LS_B,$R251,0),0),0)</f>
        <v>0</v>
      </c>
      <c r="AY251" s="5">
        <f>IF($E$246="Producción",IF($E251&gt;=LI_C,IF($E251&lt;LS_C,$R251,0),0),0)</f>
        <v>0</v>
      </c>
      <c r="AZ251" s="5">
        <f>IF($E$246="Producción",IF($E251&lt;LS_D,$R251,0),0)</f>
        <v>0</v>
      </c>
      <c r="BA251" s="5">
        <f>IF($E$246="Crecimiento",$R251,0)</f>
        <v>0</v>
      </c>
      <c r="BD251" s="5">
        <f>IF($F$246="Producción",IF($F251&gt;=LI_A,$S251,0),0)</f>
        <v>0</v>
      </c>
      <c r="BE251" s="5">
        <f>IF($F$246="Producción",IF($F251&gt;=LI_B,IF($F251&lt;LS_B,$S251,0),0),0)</f>
        <v>0</v>
      </c>
      <c r="BF251" s="5">
        <f>IF($F$246="Producción",IF($F251&gt;=LI_C,IF($F251&lt;LS_C,$S251,0),0),0)</f>
        <v>0</v>
      </c>
      <c r="BG251" s="5">
        <f>IF($F$246="Producción",IF($F251&lt;LS_D,$S251,0),0)</f>
        <v>0</v>
      </c>
      <c r="BH251" s="5">
        <f>IF($F$246="Crecimiento",$S251,0)</f>
        <v>0</v>
      </c>
      <c r="BK251" s="5">
        <f>IF($G$246="Producción",IF($G251&gt;=LI_A,$T251,0),0)</f>
        <v>0</v>
      </c>
      <c r="BL251" s="5">
        <f>IF($G$246="Producción",IF($G251&gt;=LI_B,IF($G251&lt;LS_B,$T251,0),0),0)</f>
        <v>0</v>
      </c>
      <c r="BM251" s="5">
        <f>IF($G$246="Producción",IF($G251&gt;=LI_C,IF($G251&lt;LS_C,$T251,0),0),0)</f>
        <v>0</v>
      </c>
      <c r="BN251" s="5">
        <f>IF($G$246="Producción",IF($G251&lt;LS_D,$T251,0),0)</f>
        <v>0</v>
      </c>
      <c r="BO251" s="5">
        <f>IF($G$246="Crecimiento",$T251,0)</f>
        <v>0</v>
      </c>
      <c r="BR251" s="5">
        <f>IF($H$246="Producción",IF($H251&gt;=LI_A,$U251,0),0)</f>
        <v>0</v>
      </c>
      <c r="BS251" s="5">
        <f>IF($H$246="Producción",IF($H251&gt;=LI_B,IF($H251&lt;LS_B,$U251,0),0),0)</f>
        <v>0</v>
      </c>
      <c r="BT251" s="5">
        <f>IF($H$246="Producción",IF($H251&gt;=LI_C,IF($H251&lt;LS_C,$U251,0),0),0)</f>
        <v>0</v>
      </c>
      <c r="BU251" s="5">
        <f>IF($H$246="Producción",IF($H251&lt;LS_D,$U251,0),0)</f>
        <v>0</v>
      </c>
      <c r="BV251" s="5">
        <f>IF($H$246="Crecimiento",$T251,0)</f>
        <v>0</v>
      </c>
      <c r="BY251" s="5">
        <f>IF($I$246="Producción",IF($I251&gt;=LI_A,$V251,0),0)</f>
        <v>0</v>
      </c>
      <c r="BZ251" s="5">
        <f>IF($I$246="Producción",IF($I251&gt;=LI_B,IF($I251&lt;LS_B,$V251,0),0),0)</f>
        <v>0</v>
      </c>
      <c r="CA251" s="5">
        <f>IF($I$246="Producción",IF($I251&gt;=LI_C,IF($I251&lt;LS_C,$V251,0),0),0)</f>
        <v>0</v>
      </c>
      <c r="CB251" s="5">
        <f>IF($I$246="Producción",IF($I251&lt;LS_D,$V251,0),0)</f>
        <v>0</v>
      </c>
      <c r="CC251" s="5">
        <f>IF($I$246="Crecimiento",$V251,0)</f>
        <v>0</v>
      </c>
      <c r="CF251" s="5">
        <f>IF($J$246="Producción",IF($J251&gt;=LI_A,$W251,0),0)</f>
        <v>0</v>
      </c>
      <c r="CG251" s="5">
        <f>IF($J$246="Producción",IF($J251&gt;=LI_B,IF($J251&lt;LS_B,$W251,0),0),0)</f>
        <v>0</v>
      </c>
      <c r="CH251" s="5">
        <f>IF($J$246="Producción",IF($J251&gt;=LI_C,IF($J251&lt;LS_C,$W251,0),0),0)</f>
        <v>0</v>
      </c>
      <c r="CI251" s="5">
        <f>IF($J$246="Producción",IF($J251&lt;LS_D,$W251,0),0)</f>
        <v>0</v>
      </c>
      <c r="CJ251" s="5">
        <f>IF($J$246="Crecimiento",$W251,0)</f>
        <v>0</v>
      </c>
      <c r="CM251" s="5">
        <f>IF($K$246="Producción",IF($K251&gt;=LI_A,$X251,0),0)</f>
        <v>0</v>
      </c>
      <c r="CN251" s="5">
        <f>IF($K$246="Producción",IF($K251&gt;=LI_B,IF($K251&lt;LS_B,$X251,0),0),0)</f>
        <v>0</v>
      </c>
      <c r="CO251" s="5">
        <f>IF($K$246="Producción",IF($K251&gt;=LI_C,IF($K251&lt;LS_C,$X251,0),0),0)</f>
        <v>0</v>
      </c>
      <c r="CP251" s="5">
        <f>IF($K$246="Producción",IF($K251&lt;LS_D,$X251,0),0)</f>
        <v>0</v>
      </c>
      <c r="CQ251" s="5">
        <f>IF($K$246="Crecimiento",$X251,0)</f>
        <v>0</v>
      </c>
      <c r="CT251" s="5">
        <f>IF($L$246="Producción",IF($L251&gt;=LI_A,$Y251,0),0)</f>
        <v>0</v>
      </c>
      <c r="CU251" s="5">
        <f>IF($L$246="Producción",IF($L251&gt;=LI_B,IF($L251&lt;LS_B,$Y251,0),0),0)</f>
        <v>0</v>
      </c>
      <c r="CV251" s="5">
        <f>IF($L$246="Producción",IF($L251&gt;=LI_C,IF($L251&lt;LS_C,$Y251,0),0),0)</f>
        <v>0</v>
      </c>
      <c r="CW251" s="5">
        <f>IF($L$246="Producción",IF($L251&lt;LS_D,$Y251,0),0)</f>
        <v>0</v>
      </c>
      <c r="CX251" s="5">
        <f>IF($L$246="Crecimiento",$Y251,0)</f>
        <v>0</v>
      </c>
      <c r="DA251" s="5">
        <f>IF($M$246="Producción",IF($M251&gt;=LI_A,$Z251,0),0)</f>
        <v>0</v>
      </c>
      <c r="DB251" s="5">
        <f>IF($M$246="Producción",IF($M251&gt;=LI_B,IF($M251&lt;LS_B,$Z251,0),0),0)</f>
        <v>0</v>
      </c>
      <c r="DC251" s="5">
        <f>IF($M$246="Producción",IF($M251&gt;=LI_C,IF($M251&lt;LS_C,$Z251,0),0),0)</f>
        <v>0</v>
      </c>
      <c r="DD251" s="5">
        <f>IF($M$246="Producción",IF($M251&lt;LS_D,$Z251,0),0)</f>
        <v>0</v>
      </c>
      <c r="DE251" s="5">
        <f>IF($M$246="Crecimiento",$Z251,0)</f>
        <v>0</v>
      </c>
      <c r="DI251" s="5">
        <f t="shared" si="1865"/>
        <v>0</v>
      </c>
      <c r="DJ251" s="5">
        <f t="shared" si="1866"/>
        <v>0</v>
      </c>
      <c r="DK251" s="5">
        <f t="shared" si="1867"/>
        <v>0</v>
      </c>
      <c r="DL251" s="5">
        <f t="shared" si="1868"/>
        <v>0</v>
      </c>
      <c r="DM251" s="5">
        <f t="shared" si="1869"/>
        <v>0</v>
      </c>
      <c r="DN251" s="5">
        <f t="shared" si="1870"/>
        <v>0</v>
      </c>
      <c r="DO251" s="5">
        <f t="shared" si="1871"/>
        <v>0</v>
      </c>
      <c r="DP251" s="5">
        <f t="shared" si="1872"/>
        <v>0</v>
      </c>
      <c r="DQ251" s="5">
        <f t="shared" si="1873"/>
        <v>0</v>
      </c>
      <c r="DR251" s="5">
        <f t="shared" si="1874"/>
        <v>0</v>
      </c>
      <c r="DS251" s="5">
        <f t="shared" si="1875"/>
        <v>0</v>
      </c>
      <c r="DT251" s="5">
        <f t="shared" si="1876"/>
        <v>0</v>
      </c>
      <c r="DU251" s="5">
        <f t="shared" si="1877"/>
        <v>0</v>
      </c>
      <c r="DV251" s="5">
        <f t="shared" si="1878"/>
        <v>0</v>
      </c>
      <c r="DW251" s="5">
        <f t="shared" si="1879"/>
        <v>0</v>
      </c>
      <c r="DX251" s="5">
        <f t="shared" si="1880"/>
        <v>0</v>
      </c>
      <c r="DY251" s="5">
        <f t="shared" si="1881"/>
        <v>0</v>
      </c>
      <c r="DZ251" s="5">
        <f t="shared" si="1882"/>
        <v>0</v>
      </c>
      <c r="EA251" s="5">
        <f t="shared" si="1883"/>
        <v>0</v>
      </c>
      <c r="EB251" s="5">
        <f t="shared" si="1884"/>
        <v>0</v>
      </c>
      <c r="EC251" s="5">
        <f t="shared" si="1885"/>
        <v>0</v>
      </c>
      <c r="ED251" s="5">
        <f t="shared" si="1886"/>
        <v>0</v>
      </c>
      <c r="EE251" s="5">
        <f t="shared" si="1887"/>
        <v>0</v>
      </c>
      <c r="EF251" s="5">
        <f t="shared" si="1888"/>
        <v>0</v>
      </c>
      <c r="EG251" s="5">
        <f t="shared" si="1889"/>
        <v>0</v>
      </c>
      <c r="EH251" s="5">
        <f t="shared" si="1890"/>
        <v>0</v>
      </c>
      <c r="EI251" s="5">
        <f t="shared" si="1891"/>
        <v>0</v>
      </c>
      <c r="EJ251" s="5">
        <f t="shared" si="1892"/>
        <v>0</v>
      </c>
      <c r="EK251" s="5">
        <f t="shared" si="1893"/>
        <v>0</v>
      </c>
      <c r="EL251" s="5">
        <f t="shared" si="1894"/>
        <v>0</v>
      </c>
      <c r="EM251" s="5">
        <f t="shared" si="1895"/>
        <v>0</v>
      </c>
      <c r="EN251" s="5">
        <f t="shared" si="1896"/>
        <v>0</v>
      </c>
      <c r="EO251" s="5">
        <f t="shared" si="1897"/>
        <v>0</v>
      </c>
      <c r="EP251" s="5">
        <f t="shared" si="1898"/>
        <v>0</v>
      </c>
      <c r="EQ251" s="5">
        <f t="shared" si="1899"/>
        <v>0</v>
      </c>
      <c r="ER251" s="5">
        <f t="shared" si="1900"/>
        <v>0</v>
      </c>
      <c r="ES251" s="5">
        <f t="shared" si="1901"/>
        <v>0</v>
      </c>
      <c r="ET251" s="5">
        <f t="shared" si="1902"/>
        <v>0</v>
      </c>
      <c r="EU251" s="5">
        <f t="shared" si="1903"/>
        <v>0</v>
      </c>
      <c r="EV251" s="5">
        <f t="shared" si="1904"/>
        <v>0</v>
      </c>
      <c r="EW251" s="5">
        <f t="shared" si="1905"/>
        <v>0</v>
      </c>
      <c r="EX251" s="5">
        <f t="shared" si="1906"/>
        <v>0</v>
      </c>
      <c r="EY251" s="5">
        <f t="shared" si="1907"/>
        <v>0</v>
      </c>
      <c r="EZ251" s="5">
        <f t="shared" si="1908"/>
        <v>0</v>
      </c>
      <c r="FA251" s="5">
        <f t="shared" si="1909"/>
        <v>0</v>
      </c>
      <c r="FB251" s="5">
        <f t="shared" si="1910"/>
        <v>0</v>
      </c>
      <c r="FC251" s="5">
        <f t="shared" si="1911"/>
        <v>0</v>
      </c>
      <c r="FD251" s="5">
        <f t="shared" si="1912"/>
        <v>0</v>
      </c>
      <c r="FE251" s="5">
        <f t="shared" si="1913"/>
        <v>0</v>
      </c>
      <c r="FF251" s="5">
        <f t="shared" si="1914"/>
        <v>0</v>
      </c>
      <c r="FG251" s="5">
        <f t="shared" si="1915"/>
        <v>0</v>
      </c>
      <c r="FH251" s="5">
        <f t="shared" si="1916"/>
        <v>0</v>
      </c>
      <c r="FI251" s="5">
        <f t="shared" si="1917"/>
        <v>0</v>
      </c>
      <c r="FJ251" s="5">
        <f t="shared" si="1918"/>
        <v>0</v>
      </c>
      <c r="FK251" s="5">
        <f t="shared" si="1919"/>
        <v>0</v>
      </c>
      <c r="FL251" s="5">
        <f t="shared" si="1920"/>
        <v>0</v>
      </c>
      <c r="FM251" s="5">
        <f t="shared" si="1921"/>
        <v>0</v>
      </c>
      <c r="FN251" s="5">
        <f t="shared" si="1922"/>
        <v>0</v>
      </c>
      <c r="FO251" s="5">
        <f t="shared" si="1923"/>
        <v>0</v>
      </c>
      <c r="FP251" s="5">
        <f t="shared" si="1924"/>
        <v>0</v>
      </c>
    </row>
    <row r="252" spans="1:172" ht="20.100000000000001" customHeight="1" x14ac:dyDescent="0.3">
      <c r="A252" s="8" t="str">
        <f>IF(Ciclo=4,"Surco 4",IF(Ciclo=5,"Surco 4","NA"))</f>
        <v>NA</v>
      </c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O252" s="58">
        <f>IF($A252="NA",0,IFERROR('6'!O$127/Ciclo,0))</f>
        <v>0</v>
      </c>
      <c r="P252" s="58">
        <f>IF($A252="NA",0,IFERROR('6'!P$127/Ciclo,0))</f>
        <v>0</v>
      </c>
      <c r="Q252" s="58">
        <f>IF($A252="NA",0,IFERROR('6'!Q$127/Ciclo,0))</f>
        <v>0</v>
      </c>
      <c r="R252" s="58">
        <f>IF($A252="NA",0,IFERROR('6'!R$127/Ciclo,0))</f>
        <v>0</v>
      </c>
      <c r="S252" s="58">
        <f>IF($A252="NA",0,IFERROR('6'!S$127/Ciclo,0))</f>
        <v>0</v>
      </c>
      <c r="T252" s="58">
        <f>IF($A252="NA",0,IFERROR('6'!T$127/Ciclo,0))</f>
        <v>0</v>
      </c>
      <c r="U252" s="58">
        <f>IF($A252="NA",0,IFERROR('6'!U$127/Ciclo,0))</f>
        <v>0</v>
      </c>
      <c r="V252" s="58">
        <f>IF($A252="NA",0,IFERROR('6'!V$127/Ciclo,0))</f>
        <v>0</v>
      </c>
      <c r="W252" s="5">
        <f>IF($A252="NA",0,IFERROR('6'!W$127/Ciclo,0))</f>
        <v>0</v>
      </c>
      <c r="X252" s="5">
        <f>IF($A252="NA",0,IFERROR('6'!X$127/Ciclo,0))</f>
        <v>0</v>
      </c>
      <c r="Y252" s="5">
        <f>IF($A252="NA",0,IFERROR('6'!Y$127/Ciclo,0))</f>
        <v>0</v>
      </c>
      <c r="Z252" s="5">
        <f>IF($A252="NA",0,IFERROR('6'!Z$127/Ciclo,0))</f>
        <v>0</v>
      </c>
      <c r="AB252" s="5">
        <f>IF($B$246="Producción",IF($B252&gt;=LI_A,$O252,0),0)</f>
        <v>0</v>
      </c>
      <c r="AC252" s="5">
        <f>IF($B$246="Producción",IF($B252&gt;=LI_B,IF($B252&lt;LS_B,$O252,0),0),0)</f>
        <v>0</v>
      </c>
      <c r="AD252" s="5">
        <f>IF($B$246="Producción",IF($B252&gt;=LI_C,IF($B252&lt;LS_C,$O252,0),0),0)</f>
        <v>0</v>
      </c>
      <c r="AE252" s="5">
        <f>IF($B$246="Producción",IF($B252&lt;LS_D,$O252,0),0)</f>
        <v>0</v>
      </c>
      <c r="AF252" s="5">
        <f t="shared" si="1925"/>
        <v>0</v>
      </c>
      <c r="AI252" s="5">
        <f>IF($C$246="Producción",IF($C252&gt;=LI_A,$P252,0),0)</f>
        <v>0</v>
      </c>
      <c r="AJ252" s="5">
        <f>IF($C$246="Producción",IF($C252&gt;=LI_B,IF($C252&lt;LS_B,$P252,0),0),0)</f>
        <v>0</v>
      </c>
      <c r="AK252" s="5">
        <f>IF($C$246="Producción",IF($C252&gt;=LI_C,IF($C252&lt;LS_C,$P252,0),0),0)</f>
        <v>0</v>
      </c>
      <c r="AL252" s="5">
        <f>IF($C$246="Producción",IF($C252&lt;LS_D,$P252,0),0)</f>
        <v>0</v>
      </c>
      <c r="AM252" s="5">
        <f>IF($C$246="Crecimiento",$P252,0)</f>
        <v>0</v>
      </c>
      <c r="AP252" s="5">
        <f>IF($D$246="Producción",IF($D252&gt;=LI_A,$Q252,0),0)</f>
        <v>0</v>
      </c>
      <c r="AQ252" s="5">
        <f>IF($D$246="Producción",IF($D252&gt;=LI_B,IF($D252&lt;LS_B,$Q252,0),0),0)</f>
        <v>0</v>
      </c>
      <c r="AR252" s="5">
        <f>IF($D$246="Producción",IF($D252&gt;=LI_C,IF($D252&lt;LS_C,$Q252,0),0),0)</f>
        <v>0</v>
      </c>
      <c r="AS252" s="5">
        <f>IF($D$246="Producción",IF($D252&lt;LS_D,$Q252,0),0)</f>
        <v>0</v>
      </c>
      <c r="AT252" s="5">
        <f>IF($D$246="Crecimiento",IF($D252&gt;0,$Q252,0),0)</f>
        <v>0</v>
      </c>
      <c r="AW252" s="5">
        <f>IF($E$246="Producción",IF($E252&gt;=LI_A,$R252,0),0)</f>
        <v>0</v>
      </c>
      <c r="AX252" s="5">
        <f>IF($E$246="Producción",IF($E252&gt;=LI_B,IF($E252&lt;LS_B,$R252,0),0),0)</f>
        <v>0</v>
      </c>
      <c r="AY252" s="5">
        <f>IF($E$246="Producción",IF($E252&gt;=LI_C,IF($E252&lt;LS_C,$R252,0),0),0)</f>
        <v>0</v>
      </c>
      <c r="AZ252" s="5">
        <f>IF($E$246="Producción",IF($E252&lt;LS_D,$R252,0),0)</f>
        <v>0</v>
      </c>
      <c r="BA252" s="5">
        <f>IF($E$246="Crecimiento",$R252,0)</f>
        <v>0</v>
      </c>
      <c r="BD252" s="5">
        <f>IF($F$246="Producción",IF($F252&gt;=LI_A,$S252,0),0)</f>
        <v>0</v>
      </c>
      <c r="BE252" s="5">
        <f>IF($F$246="Producción",IF($F252&gt;=LI_B,IF($F252&lt;LS_B,$S252,0),0),0)</f>
        <v>0</v>
      </c>
      <c r="BF252" s="5">
        <f>IF($F$246="Producción",IF($F252&gt;=LI_C,IF($F252&lt;LS_C,$S252,0),0),0)</f>
        <v>0</v>
      </c>
      <c r="BG252" s="5">
        <f>IF($F$246="Producción",IF($F252&lt;LS_D,$S252,0),0)</f>
        <v>0</v>
      </c>
      <c r="BH252" s="5">
        <f>IF($F$246="Crecimiento",$S252,0)</f>
        <v>0</v>
      </c>
      <c r="BK252" s="5">
        <f>IF($G$246="Producción",IF($G252&gt;=LI_A,$T252,0),0)</f>
        <v>0</v>
      </c>
      <c r="BL252" s="5">
        <f>IF($G$246="Producción",IF($G252&gt;=LI_B,IF($G252&lt;LS_B,$T252,0),0),0)</f>
        <v>0</v>
      </c>
      <c r="BM252" s="5">
        <f>IF($G$246="Producción",IF($G252&gt;=LI_C,IF($G252&lt;LS_C,$T252,0),0),0)</f>
        <v>0</v>
      </c>
      <c r="BN252" s="5">
        <f>IF($G$246="Producción",IF($G252&lt;LS_D,$T252,0),0)</f>
        <v>0</v>
      </c>
      <c r="BO252" s="5">
        <f>IF($G$246="Crecimiento",$T252,0)</f>
        <v>0</v>
      </c>
      <c r="BR252" s="5">
        <f>IF($H$246="Producción",IF($H252&gt;=LI_A,$U252,0),0)</f>
        <v>0</v>
      </c>
      <c r="BS252" s="5">
        <f>IF($H$246="Producción",IF($H252&gt;=LI_B,IF($H252&lt;LS_B,$U252,0),0),0)</f>
        <v>0</v>
      </c>
      <c r="BT252" s="5">
        <f>IF($H$246="Producción",IF($H252&gt;=LI_C,IF($H252&lt;LS_C,$U252,0),0),0)</f>
        <v>0</v>
      </c>
      <c r="BU252" s="5">
        <f>IF($H$246="Producción",IF($H252&lt;LS_D,$U252,0),0)</f>
        <v>0</v>
      </c>
      <c r="BV252" s="5">
        <f>IF($H$246="Crecimiento",$T252,0)</f>
        <v>0</v>
      </c>
      <c r="BY252" s="5">
        <f>IF($I$246="Producción",IF($I252&gt;=LI_A,$V252,0),0)</f>
        <v>0</v>
      </c>
      <c r="BZ252" s="5">
        <f>IF($I$246="Producción",IF($I252&gt;=LI_B,IF($I252&lt;LS_B,$V252,0),0),0)</f>
        <v>0</v>
      </c>
      <c r="CA252" s="5">
        <f>IF($I$246="Producción",IF($I252&gt;=LI_C,IF($I252&lt;LS_C,$V252,0),0),0)</f>
        <v>0</v>
      </c>
      <c r="CB252" s="5">
        <f>IF($I$246="Producción",IF($I252&lt;LS_D,$V252,0),0)</f>
        <v>0</v>
      </c>
      <c r="CC252" s="5">
        <f>IF($I$246="Crecimiento",$V252,0)</f>
        <v>0</v>
      </c>
      <c r="CF252" s="5">
        <f>IF($J$246="Producción",IF($J252&gt;=LI_A,$W252,0),0)</f>
        <v>0</v>
      </c>
      <c r="CG252" s="5">
        <f>IF($J$246="Producción",IF($J252&gt;=LI_B,IF($J252&lt;LS_B,$W252,0),0),0)</f>
        <v>0</v>
      </c>
      <c r="CH252" s="5">
        <f>IF($J$246="Producción",IF($J252&gt;=LI_C,IF($J252&lt;LS_C,$W252,0),0),0)</f>
        <v>0</v>
      </c>
      <c r="CI252" s="5">
        <f>IF($J$246="Producción",IF($J252&lt;LS_D,$W252,0),0)</f>
        <v>0</v>
      </c>
      <c r="CJ252" s="5">
        <f>IF($J$246="Crecimiento",$W252,0)</f>
        <v>0</v>
      </c>
      <c r="CM252" s="5">
        <f>IF($K$246="Producción",IF($K252&gt;=LI_A,$X252,0),0)</f>
        <v>0</v>
      </c>
      <c r="CN252" s="5">
        <f>IF($K$246="Producción",IF($K252&gt;=LI_B,IF($K252&lt;LS_B,$X252,0),0),0)</f>
        <v>0</v>
      </c>
      <c r="CO252" s="5">
        <f>IF($K$246="Producción",IF($K252&gt;=LI_C,IF($K252&lt;LS_C,$X252,0),0),0)</f>
        <v>0</v>
      </c>
      <c r="CP252" s="5">
        <f>IF($K$246="Producción",IF($K252&lt;LS_D,$X252,0),0)</f>
        <v>0</v>
      </c>
      <c r="CQ252" s="5">
        <f>IF($K$246="Crecimiento",$X252,0)</f>
        <v>0</v>
      </c>
      <c r="CT252" s="5">
        <f>IF($L$246="Producción",IF($L252&gt;=LI_A,$Y252,0),0)</f>
        <v>0</v>
      </c>
      <c r="CU252" s="5">
        <f>IF($L$246="Producción",IF($L252&gt;=LI_B,IF($L252&lt;LS_B,$Y252,0),0),0)</f>
        <v>0</v>
      </c>
      <c r="CV252" s="5">
        <f>IF($L$246="Producción",IF($L252&gt;=LI_C,IF($L252&lt;LS_C,$Y252,0),0),0)</f>
        <v>0</v>
      </c>
      <c r="CW252" s="5">
        <f>IF($L$246="Producción",IF($L252&lt;LS_D,$Y252,0),0)</f>
        <v>0</v>
      </c>
      <c r="CX252" s="5">
        <f>IF($L$246="Crecimiento",$Y252,0)</f>
        <v>0</v>
      </c>
      <c r="DA252" s="5">
        <f>IF($M$246="Producción",IF($M252&gt;=LI_A,$Z252,0),0)</f>
        <v>0</v>
      </c>
      <c r="DB252" s="5">
        <f>IF($M$246="Producción",IF($M252&gt;=LI_B,IF($M252&lt;LS_B,$Z252,0),0),0)</f>
        <v>0</v>
      </c>
      <c r="DC252" s="5">
        <f>IF($M$246="Producción",IF($M252&gt;=LI_C,IF($M252&lt;LS_C,$Z252,0),0),0)</f>
        <v>0</v>
      </c>
      <c r="DD252" s="5">
        <f>IF($M$246="Producción",IF($M252&lt;LS_D,$Z252,0),0)</f>
        <v>0</v>
      </c>
      <c r="DE252" s="5">
        <f>IF($M$246="Crecimiento",$Z252,0)</f>
        <v>0</v>
      </c>
      <c r="DI252" s="5">
        <f t="shared" si="1865"/>
        <v>0</v>
      </c>
      <c r="DJ252" s="5">
        <f t="shared" si="1866"/>
        <v>0</v>
      </c>
      <c r="DK252" s="5">
        <f t="shared" si="1867"/>
        <v>0</v>
      </c>
      <c r="DL252" s="5">
        <f t="shared" si="1868"/>
        <v>0</v>
      </c>
      <c r="DM252" s="5">
        <f t="shared" si="1869"/>
        <v>0</v>
      </c>
      <c r="DN252" s="5">
        <f t="shared" si="1870"/>
        <v>0</v>
      </c>
      <c r="DO252" s="5">
        <f t="shared" si="1871"/>
        <v>0</v>
      </c>
      <c r="DP252" s="5">
        <f t="shared" si="1872"/>
        <v>0</v>
      </c>
      <c r="DQ252" s="5">
        <f t="shared" si="1873"/>
        <v>0</v>
      </c>
      <c r="DR252" s="5">
        <f t="shared" si="1874"/>
        <v>0</v>
      </c>
      <c r="DS252" s="5">
        <f t="shared" si="1875"/>
        <v>0</v>
      </c>
      <c r="DT252" s="5">
        <f t="shared" si="1876"/>
        <v>0</v>
      </c>
      <c r="DU252" s="5">
        <f t="shared" si="1877"/>
        <v>0</v>
      </c>
      <c r="DV252" s="5">
        <f t="shared" si="1878"/>
        <v>0</v>
      </c>
      <c r="DW252" s="5">
        <f t="shared" si="1879"/>
        <v>0</v>
      </c>
      <c r="DX252" s="5">
        <f t="shared" si="1880"/>
        <v>0</v>
      </c>
      <c r="DY252" s="5">
        <f t="shared" si="1881"/>
        <v>0</v>
      </c>
      <c r="DZ252" s="5">
        <f t="shared" si="1882"/>
        <v>0</v>
      </c>
      <c r="EA252" s="5">
        <f t="shared" si="1883"/>
        <v>0</v>
      </c>
      <c r="EB252" s="5">
        <f t="shared" si="1884"/>
        <v>0</v>
      </c>
      <c r="EC252" s="5">
        <f t="shared" si="1885"/>
        <v>0</v>
      </c>
      <c r="ED252" s="5">
        <f t="shared" si="1886"/>
        <v>0</v>
      </c>
      <c r="EE252" s="5">
        <f t="shared" si="1887"/>
        <v>0</v>
      </c>
      <c r="EF252" s="5">
        <f t="shared" si="1888"/>
        <v>0</v>
      </c>
      <c r="EG252" s="5">
        <f t="shared" si="1889"/>
        <v>0</v>
      </c>
      <c r="EH252" s="5">
        <f t="shared" si="1890"/>
        <v>0</v>
      </c>
      <c r="EI252" s="5">
        <f t="shared" si="1891"/>
        <v>0</v>
      </c>
      <c r="EJ252" s="5">
        <f t="shared" si="1892"/>
        <v>0</v>
      </c>
      <c r="EK252" s="5">
        <f t="shared" si="1893"/>
        <v>0</v>
      </c>
      <c r="EL252" s="5">
        <f t="shared" si="1894"/>
        <v>0</v>
      </c>
      <c r="EM252" s="5">
        <f t="shared" si="1895"/>
        <v>0</v>
      </c>
      <c r="EN252" s="5">
        <f t="shared" si="1896"/>
        <v>0</v>
      </c>
      <c r="EO252" s="5">
        <f t="shared" si="1897"/>
        <v>0</v>
      </c>
      <c r="EP252" s="5">
        <f t="shared" si="1898"/>
        <v>0</v>
      </c>
      <c r="EQ252" s="5">
        <f t="shared" si="1899"/>
        <v>0</v>
      </c>
      <c r="ER252" s="5">
        <f t="shared" si="1900"/>
        <v>0</v>
      </c>
      <c r="ES252" s="5">
        <f t="shared" si="1901"/>
        <v>0</v>
      </c>
      <c r="ET252" s="5">
        <f t="shared" si="1902"/>
        <v>0</v>
      </c>
      <c r="EU252" s="5">
        <f t="shared" si="1903"/>
        <v>0</v>
      </c>
      <c r="EV252" s="5">
        <f t="shared" si="1904"/>
        <v>0</v>
      </c>
      <c r="EW252" s="5">
        <f t="shared" si="1905"/>
        <v>0</v>
      </c>
      <c r="EX252" s="5">
        <f t="shared" si="1906"/>
        <v>0</v>
      </c>
      <c r="EY252" s="5">
        <f t="shared" si="1907"/>
        <v>0</v>
      </c>
      <c r="EZ252" s="5">
        <f t="shared" si="1908"/>
        <v>0</v>
      </c>
      <c r="FA252" s="5">
        <f t="shared" si="1909"/>
        <v>0</v>
      </c>
      <c r="FB252" s="5">
        <f t="shared" si="1910"/>
        <v>0</v>
      </c>
      <c r="FC252" s="5">
        <f t="shared" si="1911"/>
        <v>0</v>
      </c>
      <c r="FD252" s="5">
        <f t="shared" si="1912"/>
        <v>0</v>
      </c>
      <c r="FE252" s="5">
        <f t="shared" si="1913"/>
        <v>0</v>
      </c>
      <c r="FF252" s="5">
        <f t="shared" si="1914"/>
        <v>0</v>
      </c>
      <c r="FG252" s="5">
        <f t="shared" si="1915"/>
        <v>0</v>
      </c>
      <c r="FH252" s="5">
        <f t="shared" si="1916"/>
        <v>0</v>
      </c>
      <c r="FI252" s="5">
        <f t="shared" si="1917"/>
        <v>0</v>
      </c>
      <c r="FJ252" s="5">
        <f t="shared" si="1918"/>
        <v>0</v>
      </c>
      <c r="FK252" s="5">
        <f t="shared" si="1919"/>
        <v>0</v>
      </c>
      <c r="FL252" s="5">
        <f t="shared" si="1920"/>
        <v>0</v>
      </c>
      <c r="FM252" s="5">
        <f t="shared" si="1921"/>
        <v>0</v>
      </c>
      <c r="FN252" s="5">
        <f t="shared" si="1922"/>
        <v>0</v>
      </c>
      <c r="FO252" s="5">
        <f t="shared" si="1923"/>
        <v>0</v>
      </c>
      <c r="FP252" s="5">
        <f t="shared" si="1924"/>
        <v>0</v>
      </c>
    </row>
    <row r="253" spans="1:172" ht="20.100000000000001" customHeight="1" x14ac:dyDescent="0.3">
      <c r="A253" s="9" t="str">
        <f>IF(Ciclo=5,"Surco 5","NA")</f>
        <v>NA</v>
      </c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O253" s="58">
        <f>IF($A253="NA",0,IFERROR('6'!O$127/Ciclo,0))</f>
        <v>0</v>
      </c>
      <c r="P253" s="58">
        <f>IF($A253="NA",0,IFERROR('6'!P$127/Ciclo,0))</f>
        <v>0</v>
      </c>
      <c r="Q253" s="58">
        <f>IF($A253="NA",0,IFERROR('6'!Q$127/Ciclo,0))</f>
        <v>0</v>
      </c>
      <c r="R253" s="58">
        <f>IF($A253="NA",0,IFERROR('6'!R$127/Ciclo,0))</f>
        <v>0</v>
      </c>
      <c r="S253" s="58">
        <f>IF($A253="NA",0,IFERROR('6'!S$127/Ciclo,0))</f>
        <v>0</v>
      </c>
      <c r="T253" s="58">
        <f>IF($A253="NA",0,IFERROR('6'!T$127/Ciclo,0))</f>
        <v>0</v>
      </c>
      <c r="U253" s="58">
        <f>IF($A253="NA",0,IFERROR('6'!U$127/Ciclo,0))</f>
        <v>0</v>
      </c>
      <c r="V253" s="58">
        <f>IF($A253="NA",0,IFERROR('6'!V$127/Ciclo,0))</f>
        <v>0</v>
      </c>
      <c r="W253" s="5">
        <f>IF($A253="NA",0,IFERROR('6'!W$127/Ciclo,0))</f>
        <v>0</v>
      </c>
      <c r="X253" s="5">
        <f>IF($A253="NA",0,IFERROR('6'!X$127/Ciclo,0))</f>
        <v>0</v>
      </c>
      <c r="Y253" s="5">
        <f>IF($A253="NA",0,IFERROR('6'!Y$127/Ciclo,0))</f>
        <v>0</v>
      </c>
      <c r="Z253" s="5">
        <f>IF($A253="NA",0,IFERROR('6'!Z$127/Ciclo,0))</f>
        <v>0</v>
      </c>
      <c r="AB253" s="5">
        <f>IF($B$246="Producción",IF($B253&gt;=LI_A,$O253,0),0)</f>
        <v>0</v>
      </c>
      <c r="AC253" s="5">
        <f>IF($B$246="Producción",IF($B253&gt;=LI_B,IF($B253&lt;LS_B,$O253,0),0),0)</f>
        <v>0</v>
      </c>
      <c r="AD253" s="5">
        <f>IF($B$246="Producción",IF($B253&gt;=LI_C,IF($B253&lt;LS_C,$O253,0),0),0)</f>
        <v>0</v>
      </c>
      <c r="AE253" s="5">
        <f>IF($B$246="Producción",IF($B253&lt;LS_D,$O253,0),0)</f>
        <v>0</v>
      </c>
      <c r="AF253" s="5">
        <f t="shared" si="1925"/>
        <v>0</v>
      </c>
      <c r="AI253" s="5">
        <f>IF($C$246="Producción",IF($C253&gt;=LI_A,$P253,0),0)</f>
        <v>0</v>
      </c>
      <c r="AJ253" s="5">
        <f>IF($C$246="Producción",IF($C253&gt;=LI_B,IF($C253&lt;LS_B,$P253,0),0),0)</f>
        <v>0</v>
      </c>
      <c r="AK253" s="5">
        <f>IF($C$246="Producción",IF($C253&gt;=LI_C,IF($C253&lt;LS_C,$P253,0),0),0)</f>
        <v>0</v>
      </c>
      <c r="AL253" s="5">
        <f>IF($C$246="Producción",IF($C253&lt;LS_D,$P253,0),0)</f>
        <v>0</v>
      </c>
      <c r="AM253" s="5">
        <f>IF($C$246="Crecimiento",$P253,0)</f>
        <v>0</v>
      </c>
      <c r="AP253" s="5">
        <f>IF($D$246="Producción",IF($D253&gt;=LI_A,$Q253,0),0)</f>
        <v>0</v>
      </c>
      <c r="AQ253" s="5">
        <f>IF($D$246="Producción",IF($D253&gt;=LI_B,IF($D253&lt;LS_B,$Q253,0),0),0)</f>
        <v>0</v>
      </c>
      <c r="AR253" s="5">
        <f>IF($D$246="Producción",IF($D253&gt;=LI_C,IF($D253&lt;LS_C,$Q253,0),0),0)</f>
        <v>0</v>
      </c>
      <c r="AS253" s="5">
        <f>IF($D$246="Producción",IF($D253&lt;LS_D,$Q253,0),0)</f>
        <v>0</v>
      </c>
      <c r="AT253" s="5">
        <f>IF($D$246="Crecimiento",IF($D253&gt;0,$Q253,0),0)</f>
        <v>0</v>
      </c>
      <c r="AW253" s="5">
        <f>IF($E$246="Producción",IF($E253&gt;=LI_A,$R253,0),0)</f>
        <v>0</v>
      </c>
      <c r="AX253" s="5">
        <f>IF($E$246="Producción",IF($E253&gt;=LI_B,IF($E253&lt;LS_B,$R253,0),0),0)</f>
        <v>0</v>
      </c>
      <c r="AY253" s="5">
        <f>IF($E$246="Producción",IF($E253&gt;=LI_C,IF($E253&lt;LS_C,$R253,0),0),0)</f>
        <v>0</v>
      </c>
      <c r="AZ253" s="5">
        <f>IF($E$246="Producción",IF($E253&lt;LS_D,$R253,0),0)</f>
        <v>0</v>
      </c>
      <c r="BA253" s="5">
        <f>IF($E$246="Crecimiento",$R253,0)</f>
        <v>0</v>
      </c>
      <c r="BD253" s="5">
        <f>IF($F$246="Producción",IF($F253&gt;=LI_A,$S253,0),0)</f>
        <v>0</v>
      </c>
      <c r="BE253" s="5">
        <f>IF($F$246="Producción",IF($F253&gt;=LI_B,IF($F253&lt;LS_B,$S253,0),0),0)</f>
        <v>0</v>
      </c>
      <c r="BF253" s="5">
        <f>IF($F$246="Producción",IF($F253&gt;=LI_C,IF($F253&lt;LS_C,$S253,0),0),0)</f>
        <v>0</v>
      </c>
      <c r="BG253" s="5">
        <f>IF($F$246="Producción",IF($F253&lt;LS_D,$S253,0),0)</f>
        <v>0</v>
      </c>
      <c r="BH253" s="5">
        <f>IF($F$246="Crecimiento",$S253,0)</f>
        <v>0</v>
      </c>
      <c r="BK253" s="5">
        <f>IF($G$246="Producción",IF($G253&gt;=LI_A,$T253,0),0)</f>
        <v>0</v>
      </c>
      <c r="BL253" s="5">
        <f>IF($G$246="Producción",IF($G253&gt;=LI_B,IF($G253&lt;LS_B,$T253,0),0),0)</f>
        <v>0</v>
      </c>
      <c r="BM253" s="5">
        <f>IF($G$246="Producción",IF($G253&gt;=LI_C,IF($G253&lt;LS_C,$T253,0),0),0)</f>
        <v>0</v>
      </c>
      <c r="BN253" s="5">
        <f>IF($G$246="Producción",IF($G253&lt;LS_D,$T253,0),0)</f>
        <v>0</v>
      </c>
      <c r="BO253" s="5">
        <f>IF($G$246="Crecimiento",$T253,0)</f>
        <v>0</v>
      </c>
      <c r="BR253" s="5">
        <f>IF($H$246="Producción",IF($H253&gt;=LI_A,$U253,0),0)</f>
        <v>0</v>
      </c>
      <c r="BS253" s="5">
        <f>IF($H$246="Producción",IF($H253&gt;=LI_B,IF($H253&lt;LS_B,$U253,0),0),0)</f>
        <v>0</v>
      </c>
      <c r="BT253" s="5">
        <f>IF($H$246="Producción",IF($H253&gt;=LI_C,IF($H253&lt;LS_C,$U253,0),0),0)</f>
        <v>0</v>
      </c>
      <c r="BU253" s="5">
        <f>IF($H$246="Producción",IF($H253&lt;LS_D,$U253,0),0)</f>
        <v>0</v>
      </c>
      <c r="BV253" s="5">
        <f>IF($H$246="Crecimiento",$T253,0)</f>
        <v>0</v>
      </c>
      <c r="BY253" s="5">
        <f>IF($I$246="Producción",IF($I253&gt;=LI_A,$V253,0),0)</f>
        <v>0</v>
      </c>
      <c r="BZ253" s="5">
        <f>IF($I$246="Producción",IF($I253&gt;=LI_B,IF($I253&lt;LS_B,$V253,0),0),0)</f>
        <v>0</v>
      </c>
      <c r="CA253" s="5">
        <f>IF($I$246="Producción",IF($I253&gt;=LI_C,IF($I253&lt;LS_C,$V253,0),0),0)</f>
        <v>0</v>
      </c>
      <c r="CB253" s="5">
        <f>IF($I$246="Producción",IF($I253&lt;LS_D,$V253,0),0)</f>
        <v>0</v>
      </c>
      <c r="CC253" s="5">
        <f>IF($I$246="Crecimiento",$V253,0)</f>
        <v>0</v>
      </c>
      <c r="CF253" s="5">
        <f>IF($J$246="Producción",IF($J253&gt;=LI_A,$W253,0),0)</f>
        <v>0</v>
      </c>
      <c r="CG253" s="5">
        <f>IF($J$246="Producción",IF($J253&gt;=LI_B,IF($J253&lt;LS_B,$W253,0),0),0)</f>
        <v>0</v>
      </c>
      <c r="CH253" s="5">
        <f>IF($J$246="Producción",IF($J253&gt;=LI_C,IF($J253&lt;LS_C,$W253,0),0),0)</f>
        <v>0</v>
      </c>
      <c r="CI253" s="5">
        <f>IF($J$246="Producción",IF($J253&lt;LS_D,$W253,0),0)</f>
        <v>0</v>
      </c>
      <c r="CJ253" s="5">
        <f>IF($J$246="Crecimiento",$W253,0)</f>
        <v>0</v>
      </c>
      <c r="CM253" s="5">
        <f>IF($K$246="Producción",IF($K253&gt;=LI_A,$X253,0),0)</f>
        <v>0</v>
      </c>
      <c r="CN253" s="5">
        <f>IF($K$246="Producción",IF($K253&gt;=LI_B,IF($K253&lt;LS_B,$X253,0),0),0)</f>
        <v>0</v>
      </c>
      <c r="CO253" s="5">
        <f>IF($K$246="Producción",IF($K253&gt;=LI_C,IF($K253&lt;LS_C,$X253,0),0),0)</f>
        <v>0</v>
      </c>
      <c r="CP253" s="5">
        <f>IF($K$246="Producción",IF($K253&lt;LS_D,$X253,0),0)</f>
        <v>0</v>
      </c>
      <c r="CQ253" s="5">
        <f>IF($K$246="Crecimiento",$X253,0)</f>
        <v>0</v>
      </c>
      <c r="CT253" s="5">
        <f>IF($L$246="Producción",IF($L253&gt;=LI_A,$Y253,0),0)</f>
        <v>0</v>
      </c>
      <c r="CU253" s="5">
        <f>IF($L$246="Producción",IF($L253&gt;=LI_B,IF($L253&lt;LS_B,$Y253,0),0),0)</f>
        <v>0</v>
      </c>
      <c r="CV253" s="5">
        <f>IF($L$246="Producción",IF($L253&gt;=LI_C,IF($L253&lt;LS_C,$Y253,0),0),0)</f>
        <v>0</v>
      </c>
      <c r="CW253" s="5">
        <f>IF($L$246="Producción",IF($L253&lt;LS_D,$Y253,0),0)</f>
        <v>0</v>
      </c>
      <c r="CX253" s="5">
        <f>IF($L$246="Crecimiento",$Y253,0)</f>
        <v>0</v>
      </c>
      <c r="DA253" s="5">
        <f>IF($M$246="Producción",IF($M253&gt;=LI_A,$Z253,0),0)</f>
        <v>0</v>
      </c>
      <c r="DB253" s="5">
        <f>IF($M$246="Producción",IF($M253&gt;=LI_B,IF($M253&lt;LS_B,$Z253,0),0),0)</f>
        <v>0</v>
      </c>
      <c r="DC253" s="5">
        <f>IF($M$246="Producción",IF($M253&gt;=LI_C,IF($M253&lt;LS_C,$Z253,0),0),0)</f>
        <v>0</v>
      </c>
      <c r="DD253" s="5">
        <f>IF($M$246="Producción",IF($M253&lt;LS_D,$Z253,0),0)</f>
        <v>0</v>
      </c>
      <c r="DE253" s="5">
        <f>IF($M$246="Crecimiento",$Z253,0)</f>
        <v>0</v>
      </c>
      <c r="DI253" s="5">
        <f t="shared" si="1865"/>
        <v>0</v>
      </c>
      <c r="DJ253" s="5">
        <f t="shared" si="1866"/>
        <v>0</v>
      </c>
      <c r="DK253" s="5">
        <f t="shared" si="1867"/>
        <v>0</v>
      </c>
      <c r="DL253" s="5">
        <f t="shared" si="1868"/>
        <v>0</v>
      </c>
      <c r="DM253" s="5">
        <f t="shared" si="1869"/>
        <v>0</v>
      </c>
      <c r="DN253" s="5">
        <f t="shared" si="1870"/>
        <v>0</v>
      </c>
      <c r="DO253" s="5">
        <f t="shared" si="1871"/>
        <v>0</v>
      </c>
      <c r="DP253" s="5">
        <f t="shared" si="1872"/>
        <v>0</v>
      </c>
      <c r="DQ253" s="5">
        <f t="shared" si="1873"/>
        <v>0</v>
      </c>
      <c r="DR253" s="5">
        <f t="shared" si="1874"/>
        <v>0</v>
      </c>
      <c r="DS253" s="5">
        <f t="shared" si="1875"/>
        <v>0</v>
      </c>
      <c r="DT253" s="5">
        <f t="shared" si="1876"/>
        <v>0</v>
      </c>
      <c r="DU253" s="5">
        <f t="shared" si="1877"/>
        <v>0</v>
      </c>
      <c r="DV253" s="5">
        <f t="shared" si="1878"/>
        <v>0</v>
      </c>
      <c r="DW253" s="5">
        <f t="shared" si="1879"/>
        <v>0</v>
      </c>
      <c r="DX253" s="5">
        <f t="shared" si="1880"/>
        <v>0</v>
      </c>
      <c r="DY253" s="5">
        <f t="shared" si="1881"/>
        <v>0</v>
      </c>
      <c r="DZ253" s="5">
        <f t="shared" si="1882"/>
        <v>0</v>
      </c>
      <c r="EA253" s="5">
        <f t="shared" si="1883"/>
        <v>0</v>
      </c>
      <c r="EB253" s="5">
        <f t="shared" si="1884"/>
        <v>0</v>
      </c>
      <c r="EC253" s="5">
        <f t="shared" si="1885"/>
        <v>0</v>
      </c>
      <c r="ED253" s="5">
        <f t="shared" si="1886"/>
        <v>0</v>
      </c>
      <c r="EE253" s="5">
        <f t="shared" si="1887"/>
        <v>0</v>
      </c>
      <c r="EF253" s="5">
        <f t="shared" si="1888"/>
        <v>0</v>
      </c>
      <c r="EG253" s="5">
        <f t="shared" si="1889"/>
        <v>0</v>
      </c>
      <c r="EH253" s="5">
        <f t="shared" si="1890"/>
        <v>0</v>
      </c>
      <c r="EI253" s="5">
        <f t="shared" si="1891"/>
        <v>0</v>
      </c>
      <c r="EJ253" s="5">
        <f t="shared" si="1892"/>
        <v>0</v>
      </c>
      <c r="EK253" s="5">
        <f t="shared" si="1893"/>
        <v>0</v>
      </c>
      <c r="EL253" s="5">
        <f t="shared" si="1894"/>
        <v>0</v>
      </c>
      <c r="EM253" s="5">
        <f t="shared" si="1895"/>
        <v>0</v>
      </c>
      <c r="EN253" s="5">
        <f t="shared" si="1896"/>
        <v>0</v>
      </c>
      <c r="EO253" s="5">
        <f t="shared" si="1897"/>
        <v>0</v>
      </c>
      <c r="EP253" s="5">
        <f t="shared" si="1898"/>
        <v>0</v>
      </c>
      <c r="EQ253" s="5">
        <f t="shared" si="1899"/>
        <v>0</v>
      </c>
      <c r="ER253" s="5">
        <f t="shared" si="1900"/>
        <v>0</v>
      </c>
      <c r="ES253" s="5">
        <f t="shared" si="1901"/>
        <v>0</v>
      </c>
      <c r="ET253" s="5">
        <f t="shared" si="1902"/>
        <v>0</v>
      </c>
      <c r="EU253" s="5">
        <f t="shared" si="1903"/>
        <v>0</v>
      </c>
      <c r="EV253" s="5">
        <f t="shared" si="1904"/>
        <v>0</v>
      </c>
      <c r="EW253" s="5">
        <f t="shared" si="1905"/>
        <v>0</v>
      </c>
      <c r="EX253" s="5">
        <f t="shared" si="1906"/>
        <v>0</v>
      </c>
      <c r="EY253" s="5">
        <f t="shared" si="1907"/>
        <v>0</v>
      </c>
      <c r="EZ253" s="5">
        <f t="shared" si="1908"/>
        <v>0</v>
      </c>
      <c r="FA253" s="5">
        <f t="shared" si="1909"/>
        <v>0</v>
      </c>
      <c r="FB253" s="5">
        <f t="shared" si="1910"/>
        <v>0</v>
      </c>
      <c r="FC253" s="5">
        <f t="shared" si="1911"/>
        <v>0</v>
      </c>
      <c r="FD253" s="5">
        <f t="shared" si="1912"/>
        <v>0</v>
      </c>
      <c r="FE253" s="5">
        <f t="shared" si="1913"/>
        <v>0</v>
      </c>
      <c r="FF253" s="5">
        <f t="shared" si="1914"/>
        <v>0</v>
      </c>
      <c r="FG253" s="5">
        <f t="shared" si="1915"/>
        <v>0</v>
      </c>
      <c r="FH253" s="5">
        <f t="shared" si="1916"/>
        <v>0</v>
      </c>
      <c r="FI253" s="5">
        <f t="shared" si="1917"/>
        <v>0</v>
      </c>
      <c r="FJ253" s="5">
        <f t="shared" si="1918"/>
        <v>0</v>
      </c>
      <c r="FK253" s="5">
        <f t="shared" si="1919"/>
        <v>0</v>
      </c>
      <c r="FL253" s="5">
        <f t="shared" si="1920"/>
        <v>0</v>
      </c>
      <c r="FM253" s="5">
        <f t="shared" si="1921"/>
        <v>0</v>
      </c>
      <c r="FN253" s="5">
        <f t="shared" si="1922"/>
        <v>0</v>
      </c>
      <c r="FO253" s="5">
        <f t="shared" si="1923"/>
        <v>0</v>
      </c>
      <c r="FP253" s="5">
        <f t="shared" si="1924"/>
        <v>0</v>
      </c>
    </row>
    <row r="254" spans="1:172" ht="20.100000000000001" customHeight="1" x14ac:dyDescent="0.3">
      <c r="A254" s="172">
        <f>N_L32</f>
        <v>0</v>
      </c>
      <c r="B254" s="363" t="s">
        <v>37</v>
      </c>
      <c r="C254" s="363" t="s">
        <v>37</v>
      </c>
      <c r="D254" s="363" t="s">
        <v>37</v>
      </c>
      <c r="E254" s="363" t="s">
        <v>37</v>
      </c>
      <c r="F254" s="363" t="s">
        <v>37</v>
      </c>
      <c r="G254" s="363" t="s">
        <v>37</v>
      </c>
      <c r="H254" s="363" t="s">
        <v>37</v>
      </c>
      <c r="I254" s="363" t="s">
        <v>37</v>
      </c>
      <c r="J254" s="363" t="s">
        <v>37</v>
      </c>
      <c r="K254" s="363" t="s">
        <v>37</v>
      </c>
      <c r="L254" s="363" t="s">
        <v>37</v>
      </c>
      <c r="M254" s="363" t="s">
        <v>37</v>
      </c>
    </row>
    <row r="255" spans="1:172" ht="20.100000000000001" customHeight="1" x14ac:dyDescent="0.3">
      <c r="A255" s="175" t="s">
        <v>238</v>
      </c>
      <c r="B255" s="174">
        <f>SUM(DI257:DM261)/100</f>
        <v>0</v>
      </c>
      <c r="C255" s="174">
        <f>SUM(DN257:DR261)/100</f>
        <v>0</v>
      </c>
      <c r="D255" s="174">
        <f>SUM(DS257:DW261)/100</f>
        <v>0</v>
      </c>
      <c r="E255" s="174">
        <f>SUM(DX257:EB261)/100</f>
        <v>0</v>
      </c>
      <c r="F255" s="174">
        <f>SUM(EC257:EG261)/100</f>
        <v>0</v>
      </c>
      <c r="G255" s="174">
        <f>SUM(EH257:EL261)/100</f>
        <v>0</v>
      </c>
      <c r="H255" s="174">
        <f>SUM(EM257:EQ261)/100</f>
        <v>0</v>
      </c>
      <c r="I255" s="174">
        <f>SUM(ER257:EV261)/100</f>
        <v>0</v>
      </c>
      <c r="J255" s="174">
        <f>SUM(EW257:FA261)/100</f>
        <v>0</v>
      </c>
      <c r="K255" s="174">
        <f>SUM(FB257:FF261)/100</f>
        <v>0</v>
      </c>
      <c r="L255" s="174">
        <f>SUM(FG257:FK261)/100</f>
        <v>0</v>
      </c>
      <c r="M255" s="174">
        <f>SUM(FL257:FP261)/100</f>
        <v>0</v>
      </c>
    </row>
    <row r="256" spans="1:172" ht="20.100000000000001" customHeight="1" x14ac:dyDescent="0.3">
      <c r="A256" s="151" t="s">
        <v>239</v>
      </c>
      <c r="B256" s="152" t="e">
        <f t="shared" ref="B256:M256" si="1926">B255/Lote_32</f>
        <v>#DIV/0!</v>
      </c>
      <c r="C256" s="152" t="e">
        <f t="shared" si="1926"/>
        <v>#DIV/0!</v>
      </c>
      <c r="D256" s="152" t="e">
        <f t="shared" si="1926"/>
        <v>#DIV/0!</v>
      </c>
      <c r="E256" s="152" t="e">
        <f t="shared" si="1926"/>
        <v>#DIV/0!</v>
      </c>
      <c r="F256" s="152" t="e">
        <f t="shared" si="1926"/>
        <v>#DIV/0!</v>
      </c>
      <c r="G256" s="152" t="e">
        <f t="shared" si="1926"/>
        <v>#DIV/0!</v>
      </c>
      <c r="H256" s="152" t="e">
        <f t="shared" si="1926"/>
        <v>#DIV/0!</v>
      </c>
      <c r="I256" s="152" t="e">
        <f t="shared" si="1926"/>
        <v>#DIV/0!</v>
      </c>
      <c r="J256" s="152" t="e">
        <f t="shared" si="1926"/>
        <v>#DIV/0!</v>
      </c>
      <c r="K256" s="152" t="e">
        <f t="shared" si="1926"/>
        <v>#DIV/0!</v>
      </c>
      <c r="L256" s="152" t="e">
        <f t="shared" si="1926"/>
        <v>#DIV/0!</v>
      </c>
      <c r="M256" s="152" t="e">
        <f t="shared" si="1926"/>
        <v>#DIV/0!</v>
      </c>
    </row>
    <row r="257" spans="1:172" ht="20.100000000000001" customHeight="1" x14ac:dyDescent="0.3">
      <c r="A257" s="8" t="s">
        <v>302</v>
      </c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O257" s="58">
        <f>IFERROR('6'!O$131/Ciclo,0)</f>
        <v>0</v>
      </c>
      <c r="P257" s="58">
        <f>IFERROR('6'!P$131/Ciclo,0)</f>
        <v>0</v>
      </c>
      <c r="Q257" s="58">
        <f>IFERROR('6'!Q$131/Ciclo,0)</f>
        <v>0</v>
      </c>
      <c r="R257" s="58">
        <f>IFERROR('6'!R$131/Ciclo,0)</f>
        <v>0</v>
      </c>
      <c r="S257" s="58">
        <f>IFERROR('6'!S$131/Ciclo,0)</f>
        <v>0</v>
      </c>
      <c r="T257" s="58">
        <f>IFERROR('6'!T$131/Ciclo,0)</f>
        <v>0</v>
      </c>
      <c r="U257" s="58">
        <f>IFERROR('6'!U$131/Ciclo,0)</f>
        <v>0</v>
      </c>
      <c r="V257" s="58">
        <f>IFERROR('6'!V$131/Ciclo,0)</f>
        <v>0</v>
      </c>
      <c r="W257" s="5">
        <f>IFERROR('6'!W$131/Ciclo,0)</f>
        <v>0</v>
      </c>
      <c r="X257" s="5">
        <f>IFERROR('6'!X$131/Ciclo,0)</f>
        <v>0</v>
      </c>
      <c r="Y257" s="5">
        <f>IFERROR('6'!Y$131/Ciclo,0)</f>
        <v>0</v>
      </c>
      <c r="Z257" s="5">
        <f>IFERROR('6'!Z$131/Ciclo,0)</f>
        <v>0</v>
      </c>
      <c r="AB257" s="5">
        <f>IF($B$254="Producción",IF($B257&gt;=LI_A,$O257,0),0)</f>
        <v>0</v>
      </c>
      <c r="AC257" s="5">
        <f>IF($B$254="Producción",IF($B257&gt;=LI_B,IF($B257&lt;LS_B,$O257,0),0),0)</f>
        <v>0</v>
      </c>
      <c r="AD257" s="5">
        <f>IF($B$254="Producción",IF($B257&gt;=LI_C,IF($B257&lt;LS_C,$O257,0),0),0)</f>
        <v>0</v>
      </c>
      <c r="AE257" s="5">
        <f>IF($B$254="Producción",IF($B257&lt;LS_D,$O257,0),0)</f>
        <v>0</v>
      </c>
      <c r="AF257" s="5">
        <f>IF($B$254="Crecimiento",$O257,0)</f>
        <v>0</v>
      </c>
      <c r="AG257" s="5">
        <f>IF($B254="Siembra",'6'!$O$7,0)</f>
        <v>0</v>
      </c>
      <c r="AH257" s="5">
        <f>IF($B254="Abandono",'6'!$O$7,0)</f>
        <v>0</v>
      </c>
      <c r="AI257" s="5">
        <f>IF($C$254="Producción",IF($C257&gt;=LI_A,$P257,0),0)</f>
        <v>0</v>
      </c>
      <c r="AJ257" s="5">
        <f>IF($C$254="Producción",IF($C257&gt;=LI_B,IF($C257&lt;LS_B,$P257,0),0),0)</f>
        <v>0</v>
      </c>
      <c r="AK257" s="5">
        <f>IF($C$254="Producción",IF($C257&gt;=LI_C,IF($C257&lt;LS_C,$P257,0),0),0)</f>
        <v>0</v>
      </c>
      <c r="AL257" s="5">
        <f>IF($C$254="Producción",IF($C257&lt;LS_D,$P257,0),0)</f>
        <v>0</v>
      </c>
      <c r="AM257" s="5">
        <f>IF($C$254="Crecimiento",$P257,0)</f>
        <v>0</v>
      </c>
      <c r="AN257" s="5">
        <f>IF($C254="Siembra",'6'!$P$7,0)</f>
        <v>0</v>
      </c>
      <c r="AO257" s="5">
        <f>IF($C254="Abandono",'6'!$P$7,0)</f>
        <v>0</v>
      </c>
      <c r="AP257" s="5">
        <f>IF($D$254="Producción",IF($D257&gt;=LI_A,$Q257,0),0)</f>
        <v>0</v>
      </c>
      <c r="AQ257" s="5">
        <f>IF($D$254="Producción",IF($D257&gt;=LI_B,IF($D257&lt;LS_B,$Q257,0),0),0)</f>
        <v>0</v>
      </c>
      <c r="AR257" s="5">
        <f>IF($D$254="Producción",IF($D257&gt;=LI_C,IF($D257&lt;LS_C,$Q257,0),0),0)</f>
        <v>0</v>
      </c>
      <c r="AS257" s="5">
        <f>IF($D$254="Producción",IF($D257&lt;LS_D,$Q257,0),0)</f>
        <v>0</v>
      </c>
      <c r="AT257" s="5">
        <f>IF($D$254="Crecimiento",IF($D257&gt;0,$Q257,0),0)</f>
        <v>0</v>
      </c>
      <c r="AU257" s="5">
        <f>IF($D254="Siembra",'6'!$Q$7,0)</f>
        <v>0</v>
      </c>
      <c r="AV257" s="5">
        <f>IF($D254="Abandono",'6'!$Q$7,0)</f>
        <v>0</v>
      </c>
      <c r="AW257" s="5">
        <f>IF($E$254="Producción",IF($E257&gt;=LI_A,$R257,0),0)</f>
        <v>0</v>
      </c>
      <c r="AX257" s="5">
        <f>IF($E$254="Producción",IF($E257&gt;=LI_B,IF($E257&lt;LS_B,$R257,0),0),0)</f>
        <v>0</v>
      </c>
      <c r="AY257" s="5">
        <f>IF($E$254="Producción",IF($E257&gt;=LI_C,IF($E257&lt;LS_C,$R257,0),0),0)</f>
        <v>0</v>
      </c>
      <c r="AZ257" s="5">
        <f>IF($E$254="Producción",IF($E257&lt;LS_D,$R257,0),0)</f>
        <v>0</v>
      </c>
      <c r="BA257" s="5">
        <f>IF($E$254="Crecimiento",$R257,0)</f>
        <v>0</v>
      </c>
      <c r="BB257" s="5">
        <f>IF($E254="Siembra",'6'!$R$7,0)</f>
        <v>0</v>
      </c>
      <c r="BC257" s="5">
        <f>IF($E254="Abandono",'6'!$R$7,0)</f>
        <v>0</v>
      </c>
      <c r="BD257" s="5">
        <f>IF($F$254="Producción",IF($F257&gt;=LI_A,$S257,0),0)</f>
        <v>0</v>
      </c>
      <c r="BE257" s="5">
        <f>IF($F$254="Producción",IF($F257&gt;=LI_B,IF($F257&lt;LS_B,$S257,0),0),0)</f>
        <v>0</v>
      </c>
      <c r="BF257" s="5">
        <f>IF($F$254="Producción",IF($F257&gt;=LI_C,IF($F257&lt;LS_C,$S257,0),0),0)</f>
        <v>0</v>
      </c>
      <c r="BG257" s="5">
        <f>IF($F$254="Producción",IF($F257&lt;LS_D,$S257,0),0)</f>
        <v>0</v>
      </c>
      <c r="BH257" s="5">
        <f>IF($F$254="Crecimiento",$S257,0)</f>
        <v>0</v>
      </c>
      <c r="BI257" s="5">
        <f>IF($F254="Siembra",'6'!$S$7,0)</f>
        <v>0</v>
      </c>
      <c r="BJ257" s="5">
        <f>IF($F254="Abandono",'6'!$S$7,0)</f>
        <v>0</v>
      </c>
      <c r="BK257" s="5">
        <f>IF($G$254="Producción",IF($G257&gt;=LI_A,$T257,0),0)</f>
        <v>0</v>
      </c>
      <c r="BL257" s="5">
        <f>IF($G$254="Producción",IF($G257&gt;=LI_B,IF($G257&lt;LS_B,$T257,0),0),0)</f>
        <v>0</v>
      </c>
      <c r="BM257" s="5">
        <f>IF($G$254="Producción",IF($G257&gt;=LI_C,IF($G257&lt;LS_C,$T257,0),0),0)</f>
        <v>0</v>
      </c>
      <c r="BN257" s="5">
        <f>IF($G$254="Producción",IF($G257&lt;LS_D,$T257,0),0)</f>
        <v>0</v>
      </c>
      <c r="BO257" s="5">
        <f>IF($G$254="Crecimiento",$T257,0)</f>
        <v>0</v>
      </c>
      <c r="BP257" s="5">
        <f>IF($G254="Siembra",'6'!$T$7,0)</f>
        <v>0</v>
      </c>
      <c r="BQ257" s="5">
        <f>IF($G254="Abandono",'6'!$T$7,0)</f>
        <v>0</v>
      </c>
      <c r="BR257" s="5">
        <f>IF($H$254="Producción",IF($H257&gt;=LI_A,$U257,0),0)</f>
        <v>0</v>
      </c>
      <c r="BS257" s="5">
        <f>IF($H$254="Producción",IF($H257&gt;=LI_B,IF($H257&lt;LS_B,$U257,0),0),0)</f>
        <v>0</v>
      </c>
      <c r="BT257" s="5">
        <f>IF($H$254="Producción",IF($H257&gt;=LI_C,IF($H257&lt;LS_C,$U257,0),0),0)</f>
        <v>0</v>
      </c>
      <c r="BU257" s="5">
        <f>IF($H$254="Producción",IF($H257&lt;LS_D,$U257,0),0)</f>
        <v>0</v>
      </c>
      <c r="BV257" s="5">
        <f>IF($H$254="Crecimiento",$T257,0)</f>
        <v>0</v>
      </c>
      <c r="BW257" s="5">
        <f>IF($H254="Siembra",'6'!$U$7,0)</f>
        <v>0</v>
      </c>
      <c r="BX257" s="5">
        <f>IF($H254="Abandono",'6'!$U$7,0)</f>
        <v>0</v>
      </c>
      <c r="BY257" s="5">
        <f>IF($I$254="Producción",IF($I257&gt;=LI_A,$V257,0),0)</f>
        <v>0</v>
      </c>
      <c r="BZ257" s="5">
        <f>IF($I$254="Producción",IF($I257&gt;=LI_B,IF($I257&lt;LS_B,$V257,0),0),0)</f>
        <v>0</v>
      </c>
      <c r="CA257" s="5">
        <f>IF($I$254="Producción",IF($I257&gt;=LI_C,IF($I257&lt;LS_C,$V257,0),0),0)</f>
        <v>0</v>
      </c>
      <c r="CB257" s="5">
        <f>IF($I$254="Producción",IF($I257&lt;LS_D,$V257,0),0)</f>
        <v>0</v>
      </c>
      <c r="CC257" s="5">
        <f>IF($I$254="Crecimiento",$V257,0)</f>
        <v>0</v>
      </c>
      <c r="CD257" s="5">
        <f>IF($I254="Siembra",'6'!$V$7,0)</f>
        <v>0</v>
      </c>
      <c r="CE257" s="5">
        <f>IF($I254="Abandono",'6'!$V$7,0)</f>
        <v>0</v>
      </c>
      <c r="CF257" s="5">
        <f>IF($J$254="Producción",IF($J257&gt;=LI_A,$W257,0),0)</f>
        <v>0</v>
      </c>
      <c r="CG257" s="5">
        <f>IF($J$254="Producción",IF($J257&gt;=LI_B,IF($J257&lt;LS_B,$W257,0),0),0)</f>
        <v>0</v>
      </c>
      <c r="CH257" s="5">
        <f>IF($J$254="Producción",IF($J257&gt;=LI_C,IF($J257&lt;LS_C,$W257,0),0),0)</f>
        <v>0</v>
      </c>
      <c r="CI257" s="5">
        <f>IF($J$254="Producción",IF($J257&lt;LS_D,$W257,0),0)</f>
        <v>0</v>
      </c>
      <c r="CJ257" s="5">
        <f>IF($J$254="Crecimiento",$W257,0)</f>
        <v>0</v>
      </c>
      <c r="CK257" s="5">
        <f>IF($J254="Siembra",'6'!$W$7,0)</f>
        <v>0</v>
      </c>
      <c r="CL257" s="5">
        <f>IF($J254="Abandono",'6'!$W$7,0)</f>
        <v>0</v>
      </c>
      <c r="CM257" s="5">
        <f>IF($K$254="Producción",IF($K257&gt;=LI_A,$X257,0),0)</f>
        <v>0</v>
      </c>
      <c r="CN257" s="5">
        <f>IF($K$254="Producción",IF($K257&gt;=LI_B,IF($K257&lt;LS_B,$X257,0),0),0)</f>
        <v>0</v>
      </c>
      <c r="CO257" s="5">
        <f>IF($K$254="Producción",IF($K257&gt;=LI_C,IF($K257&lt;LS_C,$X257,0),0),0)</f>
        <v>0</v>
      </c>
      <c r="CP257" s="5">
        <f>IF($K$254="Producción",IF($K257&lt;LS_D,$X257,0),0)</f>
        <v>0</v>
      </c>
      <c r="CQ257" s="5">
        <f>IF($K$254="Crecimiento",$X257,0)</f>
        <v>0</v>
      </c>
      <c r="CR257" s="5">
        <f>IF($K254="Siembra",'6'!$X$7,0)</f>
        <v>0</v>
      </c>
      <c r="CS257" s="5">
        <f>IF($K254="Abandono",'6'!$X$7,0)</f>
        <v>0</v>
      </c>
      <c r="CT257" s="5">
        <f>IF($L$254="Producción",IF($L257&gt;=LI_A,$Y257,0),0)</f>
        <v>0</v>
      </c>
      <c r="CU257" s="5">
        <f>IF($L$254="Producción",IF($L257&gt;=LI_B,IF($L257&lt;LS_B,$Y257,0),0),0)</f>
        <v>0</v>
      </c>
      <c r="CV257" s="5">
        <f>IF($L$254="Producción",IF($L257&gt;=LI_C,IF($L257&lt;LS_C,$Y257,0),0),0)</f>
        <v>0</v>
      </c>
      <c r="CW257" s="5">
        <f>IF($L$254="Producción",IF($L257&lt;LS_D,$Y257,0),0)</f>
        <v>0</v>
      </c>
      <c r="CX257" s="5">
        <f>IF($L$254="Crecimiento",$Y257,0)</f>
        <v>0</v>
      </c>
      <c r="CY257" s="5">
        <f>IF($L254="Siembra",'6'!$Y$7,0)</f>
        <v>0</v>
      </c>
      <c r="CZ257" s="5">
        <f>IF($L254="Abandono",'6'!$Y$7,0)</f>
        <v>0</v>
      </c>
      <c r="DA257" s="5">
        <f>IF($M$254="Producción",IF($M257&gt;=LI_A,$Z257,0),0)</f>
        <v>0</v>
      </c>
      <c r="DB257" s="5">
        <f>IF($M$254="Producción",IF($M257&gt;=LI_B,IF($M257&lt;LS_B,$Z257,0),0),0)</f>
        <v>0</v>
      </c>
      <c r="DC257" s="5">
        <f>IF($M$254="Producción",IF($M257&gt;=LI_C,IF($M257&lt;LS_C,$Z257,0),0),0)</f>
        <v>0</v>
      </c>
      <c r="DD257" s="5">
        <f>IF($M$254="Producción",IF($M257&lt;LS_D,$Z257,0),0)</f>
        <v>0</v>
      </c>
      <c r="DE257" s="5">
        <f>IF($M$254="Crecimiento",$Z257,0)</f>
        <v>0</v>
      </c>
      <c r="DF257" s="5">
        <f>IF($M254="Siembra",'6'!$Z$7,0)</f>
        <v>0</v>
      </c>
      <c r="DG257" s="5">
        <f>IF($M254="Abandono",'6'!$Z$7,0)</f>
        <v>0</v>
      </c>
      <c r="DI257" s="5">
        <f t="shared" ref="DI257:DI261" si="1927">AB257*$B257</f>
        <v>0</v>
      </c>
      <c r="DJ257" s="5">
        <f t="shared" ref="DJ257:DJ261" si="1928">AC257*$B257</f>
        <v>0</v>
      </c>
      <c r="DK257" s="5">
        <f t="shared" ref="DK257:DK261" si="1929">AD257*$B257</f>
        <v>0</v>
      </c>
      <c r="DL257" s="5">
        <f t="shared" ref="DL257:DL261" si="1930">AE257*$B257</f>
        <v>0</v>
      </c>
      <c r="DM257" s="5">
        <f t="shared" ref="DM257:DM261" si="1931">AF257*$B257</f>
        <v>0</v>
      </c>
      <c r="DN257" s="5">
        <f t="shared" ref="DN257:DN261" si="1932">AI257*$C257</f>
        <v>0</v>
      </c>
      <c r="DO257" s="5">
        <f t="shared" ref="DO257:DO261" si="1933">AJ257*$C257</f>
        <v>0</v>
      </c>
      <c r="DP257" s="5">
        <f t="shared" ref="DP257:DP261" si="1934">AK257*$C257</f>
        <v>0</v>
      </c>
      <c r="DQ257" s="5">
        <f t="shared" ref="DQ257:DQ261" si="1935">AL257*$C257</f>
        <v>0</v>
      </c>
      <c r="DR257" s="5">
        <f t="shared" ref="DR257:DR261" si="1936">AM257*$C257</f>
        <v>0</v>
      </c>
      <c r="DS257" s="5">
        <f t="shared" ref="DS257:DS261" si="1937">AP257*$D257</f>
        <v>0</v>
      </c>
      <c r="DT257" s="5">
        <f t="shared" ref="DT257:DT261" si="1938">AQ257*$D257</f>
        <v>0</v>
      </c>
      <c r="DU257" s="5">
        <f t="shared" ref="DU257:DU261" si="1939">AR257*$D257</f>
        <v>0</v>
      </c>
      <c r="DV257" s="5">
        <f t="shared" ref="DV257:DV261" si="1940">AS257*$D257</f>
        <v>0</v>
      </c>
      <c r="DW257" s="5">
        <f t="shared" ref="DW257:DW261" si="1941">AT257*$D257</f>
        <v>0</v>
      </c>
      <c r="DX257" s="5">
        <f t="shared" ref="DX257:DX261" si="1942">AW257*$E257</f>
        <v>0</v>
      </c>
      <c r="DY257" s="5">
        <f t="shared" ref="DY257:DY261" si="1943">AX257*$E257</f>
        <v>0</v>
      </c>
      <c r="DZ257" s="5">
        <f t="shared" ref="DZ257:DZ261" si="1944">AY257*$E257</f>
        <v>0</v>
      </c>
      <c r="EA257" s="5">
        <f t="shared" ref="EA257:EA261" si="1945">AZ257*$E257</f>
        <v>0</v>
      </c>
      <c r="EB257" s="5">
        <f t="shared" ref="EB257:EB261" si="1946">BA257*$E257</f>
        <v>0</v>
      </c>
      <c r="EC257" s="5">
        <f t="shared" ref="EC257:EC261" si="1947">BD257*$F257</f>
        <v>0</v>
      </c>
      <c r="ED257" s="5">
        <f t="shared" ref="ED257:ED261" si="1948">BE257*$F257</f>
        <v>0</v>
      </c>
      <c r="EE257" s="5">
        <f t="shared" ref="EE257:EE261" si="1949">BF257*$F257</f>
        <v>0</v>
      </c>
      <c r="EF257" s="5">
        <f t="shared" ref="EF257:EF261" si="1950">BG257*$F257</f>
        <v>0</v>
      </c>
      <c r="EG257" s="5">
        <f t="shared" ref="EG257:EG261" si="1951">BH257*$F257</f>
        <v>0</v>
      </c>
      <c r="EH257" s="5">
        <f t="shared" ref="EH257:EH261" si="1952">BK257*$G257</f>
        <v>0</v>
      </c>
      <c r="EI257" s="5">
        <f t="shared" ref="EI257:EI261" si="1953">BL257*$G257</f>
        <v>0</v>
      </c>
      <c r="EJ257" s="5">
        <f t="shared" ref="EJ257:EJ261" si="1954">BM257*$G257</f>
        <v>0</v>
      </c>
      <c r="EK257" s="5">
        <f t="shared" ref="EK257:EK261" si="1955">BN257*$G257</f>
        <v>0</v>
      </c>
      <c r="EL257" s="5">
        <f t="shared" ref="EL257:EL261" si="1956">BO257*$G257</f>
        <v>0</v>
      </c>
      <c r="EM257" s="5">
        <f t="shared" ref="EM257:EM261" si="1957">BR257*$H257</f>
        <v>0</v>
      </c>
      <c r="EN257" s="5">
        <f t="shared" ref="EN257:EN261" si="1958">BS257*$H257</f>
        <v>0</v>
      </c>
      <c r="EO257" s="5">
        <f t="shared" ref="EO257:EO261" si="1959">BT257*$H257</f>
        <v>0</v>
      </c>
      <c r="EP257" s="5">
        <f t="shared" ref="EP257:EP261" si="1960">BU257*$H257</f>
        <v>0</v>
      </c>
      <c r="EQ257" s="5">
        <f t="shared" ref="EQ257:EQ261" si="1961">BV257*$H257</f>
        <v>0</v>
      </c>
      <c r="ER257" s="5">
        <f t="shared" ref="ER257:ER261" si="1962">BY257*$I257</f>
        <v>0</v>
      </c>
      <c r="ES257" s="5">
        <f t="shared" ref="ES257:ES261" si="1963">BZ257*$I257</f>
        <v>0</v>
      </c>
      <c r="ET257" s="5">
        <f t="shared" ref="ET257:ET261" si="1964">CA257*$I257</f>
        <v>0</v>
      </c>
      <c r="EU257" s="5">
        <f t="shared" ref="EU257:EU261" si="1965">CB257*$I257</f>
        <v>0</v>
      </c>
      <c r="EV257" s="5">
        <f t="shared" ref="EV257:EV261" si="1966">CC257*$I257</f>
        <v>0</v>
      </c>
      <c r="EW257" s="5">
        <f t="shared" ref="EW257:EW261" si="1967">CF257*$J257</f>
        <v>0</v>
      </c>
      <c r="EX257" s="5">
        <f t="shared" ref="EX257:EX261" si="1968">CG257*$J257</f>
        <v>0</v>
      </c>
      <c r="EY257" s="5">
        <f t="shared" ref="EY257:EY261" si="1969">CH257*$J257</f>
        <v>0</v>
      </c>
      <c r="EZ257" s="5">
        <f t="shared" ref="EZ257:EZ261" si="1970">CI257*$J257</f>
        <v>0</v>
      </c>
      <c r="FA257" s="5">
        <f t="shared" ref="FA257:FA261" si="1971">CJ257*$J257</f>
        <v>0</v>
      </c>
      <c r="FB257" s="5">
        <f t="shared" ref="FB257:FB261" si="1972">CM257*$K257</f>
        <v>0</v>
      </c>
      <c r="FC257" s="5">
        <f t="shared" ref="FC257:FC261" si="1973">CN257*$K257</f>
        <v>0</v>
      </c>
      <c r="FD257" s="5">
        <f t="shared" ref="FD257:FD261" si="1974">CO257*$K257</f>
        <v>0</v>
      </c>
      <c r="FE257" s="5">
        <f t="shared" ref="FE257:FE261" si="1975">CP257*$K257</f>
        <v>0</v>
      </c>
      <c r="FF257" s="5">
        <f t="shared" ref="FF257:FF261" si="1976">CQ257*$K257</f>
        <v>0</v>
      </c>
      <c r="FG257" s="5">
        <f t="shared" ref="FG257:FG261" si="1977">CT257*$L257</f>
        <v>0</v>
      </c>
      <c r="FH257" s="5">
        <f t="shared" ref="FH257:FH261" si="1978">CU257*$L257</f>
        <v>0</v>
      </c>
      <c r="FI257" s="5">
        <f t="shared" ref="FI257:FI261" si="1979">CV257*$L257</f>
        <v>0</v>
      </c>
      <c r="FJ257" s="5">
        <f t="shared" ref="FJ257:FJ261" si="1980">CW257*$L257</f>
        <v>0</v>
      </c>
      <c r="FK257" s="5">
        <f t="shared" ref="FK257:FK261" si="1981">CX257*$L257</f>
        <v>0</v>
      </c>
      <c r="FL257" s="5">
        <f t="shared" ref="FL257:FL261" si="1982">DA257*$M257</f>
        <v>0</v>
      </c>
      <c r="FM257" s="5">
        <f t="shared" ref="FM257:FM261" si="1983">DB257*$M257</f>
        <v>0</v>
      </c>
      <c r="FN257" s="5">
        <f t="shared" ref="FN257:FN261" si="1984">DC257*$M257</f>
        <v>0</v>
      </c>
      <c r="FO257" s="5">
        <f t="shared" ref="FO257:FO261" si="1985">DD257*$M257</f>
        <v>0</v>
      </c>
      <c r="FP257" s="5">
        <f t="shared" ref="FP257:FP261" si="1986">DE257*$M257</f>
        <v>0</v>
      </c>
    </row>
    <row r="258" spans="1:172" ht="20.100000000000001" customHeight="1" x14ac:dyDescent="0.3">
      <c r="A258" s="8" t="s">
        <v>303</v>
      </c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O258" s="58">
        <f>IFERROR('6'!O$131/Ciclo,0)</f>
        <v>0</v>
      </c>
      <c r="P258" s="58">
        <f>IFERROR('6'!P$131/Ciclo,0)</f>
        <v>0</v>
      </c>
      <c r="Q258" s="58">
        <f>IFERROR('6'!Q$131/Ciclo,0)</f>
        <v>0</v>
      </c>
      <c r="R258" s="58">
        <f>IFERROR('6'!R$131/Ciclo,0)</f>
        <v>0</v>
      </c>
      <c r="S258" s="58">
        <f>IFERROR('6'!S$131/Ciclo,0)</f>
        <v>0</v>
      </c>
      <c r="T258" s="58">
        <f>IFERROR('6'!T$131/Ciclo,0)</f>
        <v>0</v>
      </c>
      <c r="U258" s="58">
        <f>IFERROR('6'!U$131/Ciclo,0)</f>
        <v>0</v>
      </c>
      <c r="V258" s="58">
        <f>IFERROR('6'!V$131/Ciclo,0)</f>
        <v>0</v>
      </c>
      <c r="W258" s="5">
        <f>IFERROR('6'!W$131/Ciclo,0)</f>
        <v>0</v>
      </c>
      <c r="X258" s="5">
        <f>IFERROR('6'!X$131/Ciclo,0)</f>
        <v>0</v>
      </c>
      <c r="Y258" s="5">
        <f>IFERROR('6'!Y$131/Ciclo,0)</f>
        <v>0</v>
      </c>
      <c r="Z258" s="5">
        <f>IFERROR('6'!Z$131/Ciclo,0)</f>
        <v>0</v>
      </c>
      <c r="AB258" s="5">
        <f>IF($B$254="Producción",IF($B258&gt;=LI_A,$O258,0),0)</f>
        <v>0</v>
      </c>
      <c r="AC258" s="5">
        <f>IF($B$254="Producción",IF($B258&gt;=LI_B,IF($B258&lt;LS_B,$O258,0),0),0)</f>
        <v>0</v>
      </c>
      <c r="AD258" s="5">
        <f>IF($B$254="Producción",IF($B258&gt;=LI_C,IF($B258&lt;LS_C,$O258,0),0),0)</f>
        <v>0</v>
      </c>
      <c r="AE258" s="5">
        <f>IF($B$254="Producción",IF($B258&lt;LS_D,$O258,0),0)</f>
        <v>0</v>
      </c>
      <c r="AF258" s="5">
        <f t="shared" ref="AF258:AF260" si="1987">IF($B$254="Crecimiento",$O258,0)</f>
        <v>0</v>
      </c>
      <c r="AI258" s="5">
        <f>IF($C$254="Producción",IF($C258&gt;=LI_A,$P258,0),0)</f>
        <v>0</v>
      </c>
      <c r="AJ258" s="5">
        <f>IF($C$254="Producción",IF($C258&gt;=LI_B,IF($C258&lt;LS_B,$P258,0),0),0)</f>
        <v>0</v>
      </c>
      <c r="AK258" s="5">
        <f>IF($C$254="Producción",IF($C258&gt;=LI_C,IF($C258&lt;LS_C,$P258,0),0),0)</f>
        <v>0</v>
      </c>
      <c r="AL258" s="5">
        <f>IF($C$254="Producción",IF($C258&lt;LS_D,$P258,0),0)</f>
        <v>0</v>
      </c>
      <c r="AM258" s="5">
        <f>IF($C$254="Crecimiento",$P258,0)</f>
        <v>0</v>
      </c>
      <c r="AP258" s="5">
        <f>IF($D$254="Producción",IF($D258&gt;=LI_A,$Q258,0),0)</f>
        <v>0</v>
      </c>
      <c r="AQ258" s="5">
        <f>IF($D$254="Producción",IF($D258&gt;=LI_B,IF($D258&lt;LS_B,$Q258,0),0),0)</f>
        <v>0</v>
      </c>
      <c r="AR258" s="5">
        <f>IF($D$254="Producción",IF($D258&gt;=LI_C,IF($D258&lt;LS_C,$Q258,0),0),0)</f>
        <v>0</v>
      </c>
      <c r="AS258" s="5">
        <f>IF($D$254="Producción",IF($D258&lt;LS_D,$Q258,0),0)</f>
        <v>0</v>
      </c>
      <c r="AT258" s="5">
        <f>IF($D$254="Crecimiento",IF($D258&gt;0,$Q258,0),0)</f>
        <v>0</v>
      </c>
      <c r="AW258" s="5">
        <f>IF($E$254="Producción",IF($E258&gt;=LI_A,$R258,0),0)</f>
        <v>0</v>
      </c>
      <c r="AX258" s="5">
        <f>IF($E$254="Producción",IF($E258&gt;=LI_B,IF($E258&lt;LS_B,$R258,0),0),0)</f>
        <v>0</v>
      </c>
      <c r="AY258" s="5">
        <f>IF($E$254="Producción",IF($E258&gt;=LI_C,IF($E258&lt;LS_C,$R258,0),0),0)</f>
        <v>0</v>
      </c>
      <c r="AZ258" s="5">
        <f>IF($E$254="Producción",IF($E258&lt;LS_D,$R258,0),0)</f>
        <v>0</v>
      </c>
      <c r="BA258" s="5">
        <f>IF($E$254="Crecimiento",$R258,0)</f>
        <v>0</v>
      </c>
      <c r="BD258" s="5">
        <f>IF($F$254="Producción",IF($F258&gt;=LI_A,$S258,0),0)</f>
        <v>0</v>
      </c>
      <c r="BE258" s="5">
        <f>IF($F$254="Producción",IF($F258&gt;=LI_B,IF($F258&lt;LS_B,$S258,0),0),0)</f>
        <v>0</v>
      </c>
      <c r="BF258" s="5">
        <f>IF($F$254="Producción",IF($F258&gt;=LI_C,IF($F258&lt;LS_C,$S258,0),0),0)</f>
        <v>0</v>
      </c>
      <c r="BG258" s="5">
        <f>IF($F$254="Producción",IF($F258&lt;LS_D,$S258,0),0)</f>
        <v>0</v>
      </c>
      <c r="BH258" s="5">
        <f>IF($F$254="Crecimiento",$S258,0)</f>
        <v>0</v>
      </c>
      <c r="BK258" s="5">
        <f>IF($G$254="Producción",IF($G258&gt;=LI_A,$T258,0),0)</f>
        <v>0</v>
      </c>
      <c r="BL258" s="5">
        <f>IF($G$254="Producción",IF($G258&gt;=LI_B,IF($G258&lt;LS_B,$T258,0),0),0)</f>
        <v>0</v>
      </c>
      <c r="BM258" s="5">
        <f>IF($G$254="Producción",IF($G258&gt;=LI_C,IF($G258&lt;LS_C,$T258,0),0),0)</f>
        <v>0</v>
      </c>
      <c r="BN258" s="5">
        <f>IF($G$254="Producción",IF($G258&lt;LS_D,$T258,0),0)</f>
        <v>0</v>
      </c>
      <c r="BO258" s="5">
        <f>IF($G$254="Crecimiento",$T258,0)</f>
        <v>0</v>
      </c>
      <c r="BR258" s="5">
        <f>IF($H$254="Producción",IF($H258&gt;=LI_A,$U258,0),0)</f>
        <v>0</v>
      </c>
      <c r="BS258" s="5">
        <f>IF($H$254="Producción",IF($H258&gt;=LI_B,IF($H258&lt;LS_B,$U258,0),0),0)</f>
        <v>0</v>
      </c>
      <c r="BT258" s="5">
        <f>IF($H$254="Producción",IF($H258&gt;=LI_C,IF($H258&lt;LS_C,$U258,0),0),0)</f>
        <v>0</v>
      </c>
      <c r="BU258" s="5">
        <f>IF($H$254="Producción",IF($H258&lt;LS_D,$U258,0),0)</f>
        <v>0</v>
      </c>
      <c r="BV258" s="5">
        <f>IF($H$254="Crecimiento",$T258,0)</f>
        <v>0</v>
      </c>
      <c r="BY258" s="5">
        <f>IF($I$254="Producción",IF($I258&gt;=LI_A,$V258,0),0)</f>
        <v>0</v>
      </c>
      <c r="BZ258" s="5">
        <f>IF($I$254="Producción",IF($I258&gt;=LI_B,IF($I258&lt;LS_B,$V258,0),0),0)</f>
        <v>0</v>
      </c>
      <c r="CA258" s="5">
        <f>IF($I$254="Producción",IF($I258&gt;=LI_C,IF($I258&lt;LS_C,$V258,0),0),0)</f>
        <v>0</v>
      </c>
      <c r="CB258" s="5">
        <f>IF($I$254="Producción",IF($I258&lt;LS_D,$V258,0),0)</f>
        <v>0</v>
      </c>
      <c r="CC258" s="5">
        <f>IF($I$254="Crecimiento",$V258,0)</f>
        <v>0</v>
      </c>
      <c r="CF258" s="5">
        <f>IF($J$254="Producción",IF($J258&gt;=LI_A,$W258,0),0)</f>
        <v>0</v>
      </c>
      <c r="CG258" s="5">
        <f>IF($J$254="Producción",IF($J258&gt;=LI_B,IF($J258&lt;LS_B,$W258,0),0),0)</f>
        <v>0</v>
      </c>
      <c r="CH258" s="5">
        <f>IF($J$254="Producción",IF($J258&gt;=LI_C,IF($J258&lt;LS_C,$W258,0),0),0)</f>
        <v>0</v>
      </c>
      <c r="CI258" s="5">
        <f>IF($J$254="Producción",IF($J258&lt;LS_D,$W258,0),0)</f>
        <v>0</v>
      </c>
      <c r="CJ258" s="5">
        <f>IF($J$254="Crecimiento",$W258,0)</f>
        <v>0</v>
      </c>
      <c r="CM258" s="5">
        <f>IF($K$254="Producción",IF($K258&gt;=LI_A,$X258,0),0)</f>
        <v>0</v>
      </c>
      <c r="CN258" s="5">
        <f>IF($K$254="Producción",IF($K258&gt;=LI_B,IF($K258&lt;LS_B,$X258,0),0),0)</f>
        <v>0</v>
      </c>
      <c r="CO258" s="5">
        <f>IF($K$254="Producción",IF($K258&gt;=LI_C,IF($K258&lt;LS_C,$X258,0),0),0)</f>
        <v>0</v>
      </c>
      <c r="CP258" s="5">
        <f>IF($K$254="Producción",IF($K258&lt;LS_D,$X258,0),0)</f>
        <v>0</v>
      </c>
      <c r="CQ258" s="5">
        <f>IF($K$254="Crecimiento",$X258,0)</f>
        <v>0</v>
      </c>
      <c r="CT258" s="5">
        <f>IF($L$254="Producción",IF($L258&gt;=LI_A,$Y258,0),0)</f>
        <v>0</v>
      </c>
      <c r="CU258" s="5">
        <f>IF($L$254="Producción",IF($L258&gt;=LI_B,IF($L258&lt;LS_B,$Y258,0),0),0)</f>
        <v>0</v>
      </c>
      <c r="CV258" s="5">
        <f>IF($L$254="Producción",IF($L258&gt;=LI_C,IF($L258&lt;LS_C,$Y258,0),0),0)</f>
        <v>0</v>
      </c>
      <c r="CW258" s="5">
        <f>IF($L$254="Producción",IF($L258&lt;LS_D,$Y258,0),0)</f>
        <v>0</v>
      </c>
      <c r="CX258" s="5">
        <f>IF($L$254="Crecimiento",$Y258,0)</f>
        <v>0</v>
      </c>
      <c r="DA258" s="5">
        <f>IF($M$254="Producción",IF($M258&gt;=LI_A,$Z258,0),0)</f>
        <v>0</v>
      </c>
      <c r="DB258" s="5">
        <f>IF($M$254="Producción",IF($M258&gt;=LI_B,IF($M258&lt;LS_B,$Z258,0),0),0)</f>
        <v>0</v>
      </c>
      <c r="DC258" s="5">
        <f>IF($M$254="Producción",IF($M258&gt;=LI_C,IF($M258&lt;LS_C,$Z258,0),0),0)</f>
        <v>0</v>
      </c>
      <c r="DD258" s="5">
        <f>IF($M$254="Producción",IF($M258&lt;LS_D,$Z258,0),0)</f>
        <v>0</v>
      </c>
      <c r="DE258" s="5">
        <f>IF($M$254="Crecimiento",$Z258,0)</f>
        <v>0</v>
      </c>
      <c r="DI258" s="5">
        <f t="shared" si="1927"/>
        <v>0</v>
      </c>
      <c r="DJ258" s="5">
        <f t="shared" si="1928"/>
        <v>0</v>
      </c>
      <c r="DK258" s="5">
        <f t="shared" si="1929"/>
        <v>0</v>
      </c>
      <c r="DL258" s="5">
        <f t="shared" si="1930"/>
        <v>0</v>
      </c>
      <c r="DM258" s="5">
        <f t="shared" si="1931"/>
        <v>0</v>
      </c>
      <c r="DN258" s="5">
        <f t="shared" si="1932"/>
        <v>0</v>
      </c>
      <c r="DO258" s="5">
        <f t="shared" si="1933"/>
        <v>0</v>
      </c>
      <c r="DP258" s="5">
        <f t="shared" si="1934"/>
        <v>0</v>
      </c>
      <c r="DQ258" s="5">
        <f t="shared" si="1935"/>
        <v>0</v>
      </c>
      <c r="DR258" s="5">
        <f t="shared" si="1936"/>
        <v>0</v>
      </c>
      <c r="DS258" s="5">
        <f t="shared" si="1937"/>
        <v>0</v>
      </c>
      <c r="DT258" s="5">
        <f t="shared" si="1938"/>
        <v>0</v>
      </c>
      <c r="DU258" s="5">
        <f t="shared" si="1939"/>
        <v>0</v>
      </c>
      <c r="DV258" s="5">
        <f t="shared" si="1940"/>
        <v>0</v>
      </c>
      <c r="DW258" s="5">
        <f t="shared" si="1941"/>
        <v>0</v>
      </c>
      <c r="DX258" s="5">
        <f t="shared" si="1942"/>
        <v>0</v>
      </c>
      <c r="DY258" s="5">
        <f t="shared" si="1943"/>
        <v>0</v>
      </c>
      <c r="DZ258" s="5">
        <f t="shared" si="1944"/>
        <v>0</v>
      </c>
      <c r="EA258" s="5">
        <f t="shared" si="1945"/>
        <v>0</v>
      </c>
      <c r="EB258" s="5">
        <f t="shared" si="1946"/>
        <v>0</v>
      </c>
      <c r="EC258" s="5">
        <f t="shared" si="1947"/>
        <v>0</v>
      </c>
      <c r="ED258" s="5">
        <f t="shared" si="1948"/>
        <v>0</v>
      </c>
      <c r="EE258" s="5">
        <f t="shared" si="1949"/>
        <v>0</v>
      </c>
      <c r="EF258" s="5">
        <f t="shared" si="1950"/>
        <v>0</v>
      </c>
      <c r="EG258" s="5">
        <f t="shared" si="1951"/>
        <v>0</v>
      </c>
      <c r="EH258" s="5">
        <f t="shared" si="1952"/>
        <v>0</v>
      </c>
      <c r="EI258" s="5">
        <f t="shared" si="1953"/>
        <v>0</v>
      </c>
      <c r="EJ258" s="5">
        <f t="shared" si="1954"/>
        <v>0</v>
      </c>
      <c r="EK258" s="5">
        <f t="shared" si="1955"/>
        <v>0</v>
      </c>
      <c r="EL258" s="5">
        <f t="shared" si="1956"/>
        <v>0</v>
      </c>
      <c r="EM258" s="5">
        <f t="shared" si="1957"/>
        <v>0</v>
      </c>
      <c r="EN258" s="5">
        <f t="shared" si="1958"/>
        <v>0</v>
      </c>
      <c r="EO258" s="5">
        <f t="shared" si="1959"/>
        <v>0</v>
      </c>
      <c r="EP258" s="5">
        <f t="shared" si="1960"/>
        <v>0</v>
      </c>
      <c r="EQ258" s="5">
        <f t="shared" si="1961"/>
        <v>0</v>
      </c>
      <c r="ER258" s="5">
        <f t="shared" si="1962"/>
        <v>0</v>
      </c>
      <c r="ES258" s="5">
        <f t="shared" si="1963"/>
        <v>0</v>
      </c>
      <c r="ET258" s="5">
        <f t="shared" si="1964"/>
        <v>0</v>
      </c>
      <c r="EU258" s="5">
        <f t="shared" si="1965"/>
        <v>0</v>
      </c>
      <c r="EV258" s="5">
        <f t="shared" si="1966"/>
        <v>0</v>
      </c>
      <c r="EW258" s="5">
        <f t="shared" si="1967"/>
        <v>0</v>
      </c>
      <c r="EX258" s="5">
        <f t="shared" si="1968"/>
        <v>0</v>
      </c>
      <c r="EY258" s="5">
        <f t="shared" si="1969"/>
        <v>0</v>
      </c>
      <c r="EZ258" s="5">
        <f t="shared" si="1970"/>
        <v>0</v>
      </c>
      <c r="FA258" s="5">
        <f t="shared" si="1971"/>
        <v>0</v>
      </c>
      <c r="FB258" s="5">
        <f t="shared" si="1972"/>
        <v>0</v>
      </c>
      <c r="FC258" s="5">
        <f t="shared" si="1973"/>
        <v>0</v>
      </c>
      <c r="FD258" s="5">
        <f t="shared" si="1974"/>
        <v>0</v>
      </c>
      <c r="FE258" s="5">
        <f t="shared" si="1975"/>
        <v>0</v>
      </c>
      <c r="FF258" s="5">
        <f t="shared" si="1976"/>
        <v>0</v>
      </c>
      <c r="FG258" s="5">
        <f t="shared" si="1977"/>
        <v>0</v>
      </c>
      <c r="FH258" s="5">
        <f t="shared" si="1978"/>
        <v>0</v>
      </c>
      <c r="FI258" s="5">
        <f t="shared" si="1979"/>
        <v>0</v>
      </c>
      <c r="FJ258" s="5">
        <f t="shared" si="1980"/>
        <v>0</v>
      </c>
      <c r="FK258" s="5">
        <f t="shared" si="1981"/>
        <v>0</v>
      </c>
      <c r="FL258" s="5">
        <f t="shared" si="1982"/>
        <v>0</v>
      </c>
      <c r="FM258" s="5">
        <f t="shared" si="1983"/>
        <v>0</v>
      </c>
      <c r="FN258" s="5">
        <f t="shared" si="1984"/>
        <v>0</v>
      </c>
      <c r="FO258" s="5">
        <f t="shared" si="1985"/>
        <v>0</v>
      </c>
      <c r="FP258" s="5">
        <f t="shared" si="1986"/>
        <v>0</v>
      </c>
    </row>
    <row r="259" spans="1:172" ht="20.100000000000001" customHeight="1" x14ac:dyDescent="0.3">
      <c r="A259" s="8" t="str">
        <f>IF(Ciclo&gt;2,"Surco 3","NA")</f>
        <v>Surco 3</v>
      </c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O259" s="58">
        <f>IF($A259="NA",0,IFERROR('6'!O$131/Ciclo,0))</f>
        <v>0</v>
      </c>
      <c r="P259" s="58">
        <f>IF($A259="NA",0,IFERROR('6'!P$131/Ciclo,0))</f>
        <v>0</v>
      </c>
      <c r="Q259" s="58">
        <f>IF($A259="NA",0,IFERROR('6'!Q$131/Ciclo,0))</f>
        <v>0</v>
      </c>
      <c r="R259" s="58">
        <f>IF($A259="NA",0,IFERROR('6'!R$131/Ciclo,0))</f>
        <v>0</v>
      </c>
      <c r="S259" s="58">
        <f>IF($A259="NA",0,IFERROR('6'!S$131/Ciclo,0))</f>
        <v>0</v>
      </c>
      <c r="T259" s="58">
        <f>IF($A259="NA",0,IFERROR('6'!T$131/Ciclo,0))</f>
        <v>0</v>
      </c>
      <c r="U259" s="58">
        <f>IF($A259="NA",0,IFERROR('6'!U$131/Ciclo,0))</f>
        <v>0</v>
      </c>
      <c r="V259" s="58">
        <f>IF($A259="NA",0,IFERROR('6'!V$131/Ciclo,0))</f>
        <v>0</v>
      </c>
      <c r="W259" s="5">
        <f>IF($A259="NA",0,IFERROR('6'!W$131/Ciclo,0))</f>
        <v>0</v>
      </c>
      <c r="X259" s="5">
        <f>IF($A259="NA",0,IFERROR('6'!X$131/Ciclo,0))</f>
        <v>0</v>
      </c>
      <c r="Y259" s="5">
        <f>IF($A259="NA",0,IFERROR('6'!Y$131/Ciclo,0))</f>
        <v>0</v>
      </c>
      <c r="Z259" s="5">
        <f>IF($A259="NA",0,IFERROR('6'!Z$131/Ciclo,0))</f>
        <v>0</v>
      </c>
      <c r="AB259" s="5">
        <f>IF($B$254="Producción",IF($B259&gt;=LI_A,$O259,0),0)</f>
        <v>0</v>
      </c>
      <c r="AC259" s="5">
        <f>IF($B$254="Producción",IF($B259&gt;=LI_B,IF($B259&lt;LS_B,$O259,0),0),0)</f>
        <v>0</v>
      </c>
      <c r="AD259" s="5">
        <f>IF($B$254="Producción",IF($B259&gt;=LI_C,IF($B259&lt;LS_C,$O259,0),0),0)</f>
        <v>0</v>
      </c>
      <c r="AE259" s="5">
        <f>IF($B$254="Producción",IF($B259&lt;LS_D,$O259,0),0)</f>
        <v>0</v>
      </c>
      <c r="AF259" s="5">
        <f t="shared" si="1987"/>
        <v>0</v>
      </c>
      <c r="AI259" s="5">
        <f>IF($C$254="Producción",IF($C259&gt;=LI_A,$P259,0),0)</f>
        <v>0</v>
      </c>
      <c r="AJ259" s="5">
        <f>IF($C$254="Producción",IF($C259&gt;=LI_B,IF($C259&lt;LS_B,$P259,0),0),0)</f>
        <v>0</v>
      </c>
      <c r="AK259" s="5">
        <f>IF($C$254="Producción",IF($C259&gt;=LI_C,IF($C259&lt;LS_C,$P259,0),0),0)</f>
        <v>0</v>
      </c>
      <c r="AL259" s="5">
        <f>IF($C$254="Producción",IF($C259&lt;LS_D,$P259,0),0)</f>
        <v>0</v>
      </c>
      <c r="AM259" s="5">
        <f>IF($C$254="Crecimiento",$P259,0)</f>
        <v>0</v>
      </c>
      <c r="AP259" s="5">
        <f>IF($D$254="Producción",IF($D259&gt;=LI_A,$Q259,0),0)</f>
        <v>0</v>
      </c>
      <c r="AQ259" s="5">
        <f>IF($D$254="Producción",IF($D259&gt;=LI_B,IF($D259&lt;LS_B,$Q259,0),0),0)</f>
        <v>0</v>
      </c>
      <c r="AR259" s="5">
        <f>IF($D$254="Producción",IF($D259&gt;=LI_C,IF($D259&lt;LS_C,$Q259,0),0),0)</f>
        <v>0</v>
      </c>
      <c r="AS259" s="5">
        <f>IF($D$254="Producción",IF($D259&lt;LS_D,$Q259,0),0)</f>
        <v>0</v>
      </c>
      <c r="AT259" s="5">
        <f>IF($D$254="Crecimiento",IF($D259&gt;0,$Q259,0),0)</f>
        <v>0</v>
      </c>
      <c r="AW259" s="5">
        <f>IF($E$254="Producción",IF($E259&gt;=LI_A,$R259,0),0)</f>
        <v>0</v>
      </c>
      <c r="AX259" s="5">
        <f>IF($E$254="Producción",IF($E259&gt;=LI_B,IF($E259&lt;LS_B,$R259,0),0),0)</f>
        <v>0</v>
      </c>
      <c r="AY259" s="5">
        <f>IF($E$254="Producción",IF($E259&gt;=LI_C,IF($E259&lt;LS_C,$R259,0),0),0)</f>
        <v>0</v>
      </c>
      <c r="AZ259" s="5">
        <f>IF($E$254="Producción",IF($E259&lt;LS_D,$R259,0),0)</f>
        <v>0</v>
      </c>
      <c r="BA259" s="5">
        <f>IF($E$254="Crecimiento",$R259,0)</f>
        <v>0</v>
      </c>
      <c r="BD259" s="5">
        <f>IF($F$254="Producción",IF($F259&gt;=LI_A,$S259,0),0)</f>
        <v>0</v>
      </c>
      <c r="BE259" s="5">
        <f>IF($F$254="Producción",IF($F259&gt;=LI_B,IF($F259&lt;LS_B,$S259,0),0),0)</f>
        <v>0</v>
      </c>
      <c r="BF259" s="5">
        <f>IF($F$254="Producción",IF($F259&gt;=LI_C,IF($F259&lt;LS_C,$S259,0),0),0)</f>
        <v>0</v>
      </c>
      <c r="BG259" s="5">
        <f>IF($F$254="Producción",IF($F259&lt;LS_D,$S259,0),0)</f>
        <v>0</v>
      </c>
      <c r="BH259" s="5">
        <f>IF($F$254="Crecimiento",$S259,0)</f>
        <v>0</v>
      </c>
      <c r="BK259" s="5">
        <f>IF($G$254="Producción",IF($G259&gt;=LI_A,$T259,0),0)</f>
        <v>0</v>
      </c>
      <c r="BL259" s="5">
        <f>IF($G$254="Producción",IF($G259&gt;=LI_B,IF($G259&lt;LS_B,$T259,0),0),0)</f>
        <v>0</v>
      </c>
      <c r="BM259" s="5">
        <f>IF($G$254="Producción",IF($G259&gt;=LI_C,IF($G259&lt;LS_C,$T259,0),0),0)</f>
        <v>0</v>
      </c>
      <c r="BN259" s="5">
        <f>IF($G$254="Producción",IF($G259&lt;LS_D,$T259,0),0)</f>
        <v>0</v>
      </c>
      <c r="BO259" s="5">
        <f>IF($G$254="Crecimiento",$T259,0)</f>
        <v>0</v>
      </c>
      <c r="BR259" s="5">
        <f>IF($H$254="Producción",IF($H259&gt;=LI_A,$U259,0),0)</f>
        <v>0</v>
      </c>
      <c r="BS259" s="5">
        <f>IF($H$254="Producción",IF($H259&gt;=LI_B,IF($H259&lt;LS_B,$U259,0),0),0)</f>
        <v>0</v>
      </c>
      <c r="BT259" s="5">
        <f>IF($H$254="Producción",IF($H259&gt;=LI_C,IF($H259&lt;LS_C,$U259,0),0),0)</f>
        <v>0</v>
      </c>
      <c r="BU259" s="5">
        <f>IF($H$254="Producción",IF($H259&lt;LS_D,$U259,0),0)</f>
        <v>0</v>
      </c>
      <c r="BV259" s="5">
        <f>IF($H$254="Crecimiento",$T259,0)</f>
        <v>0</v>
      </c>
      <c r="BY259" s="5">
        <f>IF($I$254="Producción",IF($I259&gt;=LI_A,$V259,0),0)</f>
        <v>0</v>
      </c>
      <c r="BZ259" s="5">
        <f>IF($I$254="Producción",IF($I259&gt;=LI_B,IF($I259&lt;LS_B,$V259,0),0),0)</f>
        <v>0</v>
      </c>
      <c r="CA259" s="5">
        <f>IF($I$254="Producción",IF($I259&gt;=LI_C,IF($I259&lt;LS_C,$V259,0),0),0)</f>
        <v>0</v>
      </c>
      <c r="CB259" s="5">
        <f>IF($I$254="Producción",IF($I259&lt;LS_D,$V259,0),0)</f>
        <v>0</v>
      </c>
      <c r="CC259" s="5">
        <f>IF($I$254="Crecimiento",$V259,0)</f>
        <v>0</v>
      </c>
      <c r="CF259" s="5">
        <f>IF($J$254="Producción",IF($J259&gt;=LI_A,$W259,0),0)</f>
        <v>0</v>
      </c>
      <c r="CG259" s="5">
        <f>IF($J$254="Producción",IF($J259&gt;=LI_B,IF($J259&lt;LS_B,$W259,0),0),0)</f>
        <v>0</v>
      </c>
      <c r="CH259" s="5">
        <f>IF($J$254="Producción",IF($J259&gt;=LI_C,IF($J259&lt;LS_C,$W259,0),0),0)</f>
        <v>0</v>
      </c>
      <c r="CI259" s="5">
        <f>IF($J$254="Producción",IF($J259&lt;LS_D,$W259,0),0)</f>
        <v>0</v>
      </c>
      <c r="CJ259" s="5">
        <f>IF($J$254="Crecimiento",$W259,0)</f>
        <v>0</v>
      </c>
      <c r="CM259" s="5">
        <f>IF($K$254="Producción",IF($K259&gt;=LI_A,$X259,0),0)</f>
        <v>0</v>
      </c>
      <c r="CN259" s="5">
        <f>IF($K$254="Producción",IF($K259&gt;=LI_B,IF($K259&lt;LS_B,$X259,0),0),0)</f>
        <v>0</v>
      </c>
      <c r="CO259" s="5">
        <f>IF($K$254="Producción",IF($K259&gt;=LI_C,IF($K259&lt;LS_C,$X259,0),0),0)</f>
        <v>0</v>
      </c>
      <c r="CP259" s="5">
        <f>IF($K$254="Producción",IF($K259&lt;LS_D,$X259,0),0)</f>
        <v>0</v>
      </c>
      <c r="CQ259" s="5">
        <f>IF($K$254="Crecimiento",$X259,0)</f>
        <v>0</v>
      </c>
      <c r="CT259" s="5">
        <f>IF($L$254="Producción",IF($L259&gt;=LI_A,$Y259,0),0)</f>
        <v>0</v>
      </c>
      <c r="CU259" s="5">
        <f>IF($L$254="Producción",IF($L259&gt;=LI_B,IF($L259&lt;LS_B,$Y259,0),0),0)</f>
        <v>0</v>
      </c>
      <c r="CV259" s="5">
        <f>IF($L$254="Producción",IF($L259&gt;=LI_C,IF($L259&lt;LS_C,$Y259,0),0),0)</f>
        <v>0</v>
      </c>
      <c r="CW259" s="5">
        <f>IF($L$254="Producción",IF($L259&lt;LS_D,$Y259,0),0)</f>
        <v>0</v>
      </c>
      <c r="CX259" s="5">
        <f>IF($L$254="Crecimiento",$Y259,0)</f>
        <v>0</v>
      </c>
      <c r="DA259" s="5">
        <f>IF($M$254="Producción",IF($M259&gt;=LI_A,$Z259,0),0)</f>
        <v>0</v>
      </c>
      <c r="DB259" s="5">
        <f>IF($M$254="Producción",IF($M259&gt;=LI_B,IF($M259&lt;LS_B,$Z259,0),0),0)</f>
        <v>0</v>
      </c>
      <c r="DC259" s="5">
        <f>IF($M$254="Producción",IF($M259&gt;=LI_C,IF($M259&lt;LS_C,$Z259,0),0),0)</f>
        <v>0</v>
      </c>
      <c r="DD259" s="5">
        <f>IF($M$254="Producción",IF($M259&lt;LS_D,$Z259,0),0)</f>
        <v>0</v>
      </c>
      <c r="DE259" s="5">
        <f>IF($M$254="Crecimiento",$Z259,0)</f>
        <v>0</v>
      </c>
      <c r="DI259" s="5">
        <f t="shared" si="1927"/>
        <v>0</v>
      </c>
      <c r="DJ259" s="5">
        <f t="shared" si="1928"/>
        <v>0</v>
      </c>
      <c r="DK259" s="5">
        <f t="shared" si="1929"/>
        <v>0</v>
      </c>
      <c r="DL259" s="5">
        <f t="shared" si="1930"/>
        <v>0</v>
      </c>
      <c r="DM259" s="5">
        <f t="shared" si="1931"/>
        <v>0</v>
      </c>
      <c r="DN259" s="5">
        <f t="shared" si="1932"/>
        <v>0</v>
      </c>
      <c r="DO259" s="5">
        <f t="shared" si="1933"/>
        <v>0</v>
      </c>
      <c r="DP259" s="5">
        <f t="shared" si="1934"/>
        <v>0</v>
      </c>
      <c r="DQ259" s="5">
        <f t="shared" si="1935"/>
        <v>0</v>
      </c>
      <c r="DR259" s="5">
        <f t="shared" si="1936"/>
        <v>0</v>
      </c>
      <c r="DS259" s="5">
        <f t="shared" si="1937"/>
        <v>0</v>
      </c>
      <c r="DT259" s="5">
        <f t="shared" si="1938"/>
        <v>0</v>
      </c>
      <c r="DU259" s="5">
        <f t="shared" si="1939"/>
        <v>0</v>
      </c>
      <c r="DV259" s="5">
        <f t="shared" si="1940"/>
        <v>0</v>
      </c>
      <c r="DW259" s="5">
        <f t="shared" si="1941"/>
        <v>0</v>
      </c>
      <c r="DX259" s="5">
        <f t="shared" si="1942"/>
        <v>0</v>
      </c>
      <c r="DY259" s="5">
        <f t="shared" si="1943"/>
        <v>0</v>
      </c>
      <c r="DZ259" s="5">
        <f t="shared" si="1944"/>
        <v>0</v>
      </c>
      <c r="EA259" s="5">
        <f t="shared" si="1945"/>
        <v>0</v>
      </c>
      <c r="EB259" s="5">
        <f t="shared" si="1946"/>
        <v>0</v>
      </c>
      <c r="EC259" s="5">
        <f t="shared" si="1947"/>
        <v>0</v>
      </c>
      <c r="ED259" s="5">
        <f t="shared" si="1948"/>
        <v>0</v>
      </c>
      <c r="EE259" s="5">
        <f t="shared" si="1949"/>
        <v>0</v>
      </c>
      <c r="EF259" s="5">
        <f t="shared" si="1950"/>
        <v>0</v>
      </c>
      <c r="EG259" s="5">
        <f t="shared" si="1951"/>
        <v>0</v>
      </c>
      <c r="EH259" s="5">
        <f t="shared" si="1952"/>
        <v>0</v>
      </c>
      <c r="EI259" s="5">
        <f t="shared" si="1953"/>
        <v>0</v>
      </c>
      <c r="EJ259" s="5">
        <f t="shared" si="1954"/>
        <v>0</v>
      </c>
      <c r="EK259" s="5">
        <f t="shared" si="1955"/>
        <v>0</v>
      </c>
      <c r="EL259" s="5">
        <f t="shared" si="1956"/>
        <v>0</v>
      </c>
      <c r="EM259" s="5">
        <f t="shared" si="1957"/>
        <v>0</v>
      </c>
      <c r="EN259" s="5">
        <f t="shared" si="1958"/>
        <v>0</v>
      </c>
      <c r="EO259" s="5">
        <f t="shared" si="1959"/>
        <v>0</v>
      </c>
      <c r="EP259" s="5">
        <f t="shared" si="1960"/>
        <v>0</v>
      </c>
      <c r="EQ259" s="5">
        <f t="shared" si="1961"/>
        <v>0</v>
      </c>
      <c r="ER259" s="5">
        <f t="shared" si="1962"/>
        <v>0</v>
      </c>
      <c r="ES259" s="5">
        <f t="shared" si="1963"/>
        <v>0</v>
      </c>
      <c r="ET259" s="5">
        <f t="shared" si="1964"/>
        <v>0</v>
      </c>
      <c r="EU259" s="5">
        <f t="shared" si="1965"/>
        <v>0</v>
      </c>
      <c r="EV259" s="5">
        <f t="shared" si="1966"/>
        <v>0</v>
      </c>
      <c r="EW259" s="5">
        <f t="shared" si="1967"/>
        <v>0</v>
      </c>
      <c r="EX259" s="5">
        <f t="shared" si="1968"/>
        <v>0</v>
      </c>
      <c r="EY259" s="5">
        <f t="shared" si="1969"/>
        <v>0</v>
      </c>
      <c r="EZ259" s="5">
        <f t="shared" si="1970"/>
        <v>0</v>
      </c>
      <c r="FA259" s="5">
        <f t="shared" si="1971"/>
        <v>0</v>
      </c>
      <c r="FB259" s="5">
        <f t="shared" si="1972"/>
        <v>0</v>
      </c>
      <c r="FC259" s="5">
        <f t="shared" si="1973"/>
        <v>0</v>
      </c>
      <c r="FD259" s="5">
        <f t="shared" si="1974"/>
        <v>0</v>
      </c>
      <c r="FE259" s="5">
        <f t="shared" si="1975"/>
        <v>0</v>
      </c>
      <c r="FF259" s="5">
        <f t="shared" si="1976"/>
        <v>0</v>
      </c>
      <c r="FG259" s="5">
        <f t="shared" si="1977"/>
        <v>0</v>
      </c>
      <c r="FH259" s="5">
        <f t="shared" si="1978"/>
        <v>0</v>
      </c>
      <c r="FI259" s="5">
        <f t="shared" si="1979"/>
        <v>0</v>
      </c>
      <c r="FJ259" s="5">
        <f t="shared" si="1980"/>
        <v>0</v>
      </c>
      <c r="FK259" s="5">
        <f t="shared" si="1981"/>
        <v>0</v>
      </c>
      <c r="FL259" s="5">
        <f t="shared" si="1982"/>
        <v>0</v>
      </c>
      <c r="FM259" s="5">
        <f t="shared" si="1983"/>
        <v>0</v>
      </c>
      <c r="FN259" s="5">
        <f t="shared" si="1984"/>
        <v>0</v>
      </c>
      <c r="FO259" s="5">
        <f t="shared" si="1985"/>
        <v>0</v>
      </c>
      <c r="FP259" s="5">
        <f t="shared" si="1986"/>
        <v>0</v>
      </c>
    </row>
    <row r="260" spans="1:172" ht="20.100000000000001" customHeight="1" x14ac:dyDescent="0.3">
      <c r="A260" s="8" t="str">
        <f>IF(Ciclo=4,"Surco 4",IF(Ciclo=5,"Surco 4","NA"))</f>
        <v>NA</v>
      </c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O260" s="58">
        <f>IF($A260="NA",0,IFERROR('6'!O$131/Ciclo,0))</f>
        <v>0</v>
      </c>
      <c r="P260" s="58">
        <f>IF($A260="NA",0,IFERROR('6'!P$131/Ciclo,0))</f>
        <v>0</v>
      </c>
      <c r="Q260" s="58">
        <f>IF($A260="NA",0,IFERROR('6'!Q$131/Ciclo,0))</f>
        <v>0</v>
      </c>
      <c r="R260" s="58">
        <f>IF($A260="NA",0,IFERROR('6'!R$131/Ciclo,0))</f>
        <v>0</v>
      </c>
      <c r="S260" s="58">
        <f>IF($A260="NA",0,IFERROR('6'!S$131/Ciclo,0))</f>
        <v>0</v>
      </c>
      <c r="T260" s="58">
        <f>IF($A260="NA",0,IFERROR('6'!T$131/Ciclo,0))</f>
        <v>0</v>
      </c>
      <c r="U260" s="58">
        <f>IF($A260="NA",0,IFERROR('6'!U$131/Ciclo,0))</f>
        <v>0</v>
      </c>
      <c r="V260" s="58">
        <f>IF($A260="NA",0,IFERROR('6'!V$131/Ciclo,0))</f>
        <v>0</v>
      </c>
      <c r="W260" s="5">
        <f>IF($A260="NA",0,IFERROR('6'!W$131/Ciclo,0))</f>
        <v>0</v>
      </c>
      <c r="X260" s="5">
        <f>IF($A260="NA",0,IFERROR('6'!X$131/Ciclo,0))</f>
        <v>0</v>
      </c>
      <c r="Y260" s="5">
        <f>IF($A260="NA",0,IFERROR('6'!Y$131/Ciclo,0))</f>
        <v>0</v>
      </c>
      <c r="Z260" s="5">
        <f>IF($A260="NA",0,IFERROR('6'!Z$131/Ciclo,0))</f>
        <v>0</v>
      </c>
      <c r="AB260" s="5">
        <f>IF($B$254="Producción",IF($B260&gt;=LI_A,$O260,0),0)</f>
        <v>0</v>
      </c>
      <c r="AC260" s="5">
        <f>IF($B$254="Producción",IF($B260&gt;=LI_B,IF($B260&lt;LS_B,$O260,0),0),0)</f>
        <v>0</v>
      </c>
      <c r="AD260" s="5">
        <f>IF($B$254="Producción",IF($B260&gt;=LI_C,IF($B260&lt;LS_C,$O260,0),0),0)</f>
        <v>0</v>
      </c>
      <c r="AE260" s="5">
        <f>IF($B$254="Producción",IF($B260&lt;LS_D,$O260,0),0)</f>
        <v>0</v>
      </c>
      <c r="AF260" s="5">
        <f t="shared" si="1987"/>
        <v>0</v>
      </c>
      <c r="AI260" s="5">
        <f>IF($C$254="Producción",IF($C260&gt;=LI_A,$P260,0),0)</f>
        <v>0</v>
      </c>
      <c r="AJ260" s="5">
        <f>IF($C$254="Producción",IF($C260&gt;=LI_B,IF($C260&lt;LS_B,$P260,0),0),0)</f>
        <v>0</v>
      </c>
      <c r="AK260" s="5">
        <f>IF($C$254="Producción",IF($C260&gt;=LI_C,IF($C260&lt;LS_C,$P260,0),0),0)</f>
        <v>0</v>
      </c>
      <c r="AL260" s="5">
        <f>IF($C$254="Producción",IF($C260&lt;LS_D,$P260,0),0)</f>
        <v>0</v>
      </c>
      <c r="AM260" s="5">
        <f>IF($C$254="Crecimiento",$P260,0)</f>
        <v>0</v>
      </c>
      <c r="AP260" s="5">
        <f>IF($D$254="Producción",IF($D260&gt;=LI_A,$Q260,0),0)</f>
        <v>0</v>
      </c>
      <c r="AQ260" s="5">
        <f>IF($D$254="Producción",IF($D260&gt;=LI_B,IF($D260&lt;LS_B,$Q260,0),0),0)</f>
        <v>0</v>
      </c>
      <c r="AR260" s="5">
        <f>IF($D$254="Producción",IF($D260&gt;=LI_C,IF($D260&lt;LS_C,$Q260,0),0),0)</f>
        <v>0</v>
      </c>
      <c r="AS260" s="5">
        <f>IF($D$254="Producción",IF($D260&lt;LS_D,$Q260,0),0)</f>
        <v>0</v>
      </c>
      <c r="AT260" s="5">
        <f>IF($D$254="Crecimiento",IF($D260&gt;0,$Q260,0),0)</f>
        <v>0</v>
      </c>
      <c r="AW260" s="5">
        <f>IF($E$254="Producción",IF($E260&gt;=LI_A,$R260,0),0)</f>
        <v>0</v>
      </c>
      <c r="AX260" s="5">
        <f>IF($E$254="Producción",IF($E260&gt;=LI_B,IF($E260&lt;LS_B,$R260,0),0),0)</f>
        <v>0</v>
      </c>
      <c r="AY260" s="5">
        <f>IF($E$254="Producción",IF($E260&gt;=LI_C,IF($E260&lt;LS_C,$R260,0),0),0)</f>
        <v>0</v>
      </c>
      <c r="AZ260" s="5">
        <f>IF($E$254="Producción",IF($E260&lt;LS_D,$R260,0),0)</f>
        <v>0</v>
      </c>
      <c r="BA260" s="5">
        <f>IF($E$254="Crecimiento",$R260,0)</f>
        <v>0</v>
      </c>
      <c r="BD260" s="5">
        <f>IF($F$254="Producción",IF($F260&gt;=LI_A,$S260,0),0)</f>
        <v>0</v>
      </c>
      <c r="BE260" s="5">
        <f>IF($F$254="Producción",IF($F260&gt;=LI_B,IF($F260&lt;LS_B,$S260,0),0),0)</f>
        <v>0</v>
      </c>
      <c r="BF260" s="5">
        <f>IF($F$254="Producción",IF($F260&gt;=LI_C,IF($F260&lt;LS_C,$S260,0),0),0)</f>
        <v>0</v>
      </c>
      <c r="BG260" s="5">
        <f>IF($F$254="Producción",IF($F260&lt;LS_D,$S260,0),0)</f>
        <v>0</v>
      </c>
      <c r="BH260" s="5">
        <f>IF($F$254="Crecimiento",$S260,0)</f>
        <v>0</v>
      </c>
      <c r="BK260" s="5">
        <f>IF($G$254="Producción",IF($G260&gt;=LI_A,$T260,0),0)</f>
        <v>0</v>
      </c>
      <c r="BL260" s="5">
        <f>IF($G$254="Producción",IF($G260&gt;=LI_B,IF($G260&lt;LS_B,$T260,0),0),0)</f>
        <v>0</v>
      </c>
      <c r="BM260" s="5">
        <f>IF($G$254="Producción",IF($G260&gt;=LI_C,IF($G260&lt;LS_C,$T260,0),0),0)</f>
        <v>0</v>
      </c>
      <c r="BN260" s="5">
        <f>IF($G$254="Producción",IF($G260&lt;LS_D,$T260,0),0)</f>
        <v>0</v>
      </c>
      <c r="BO260" s="5">
        <f>IF($G$254="Crecimiento",$T260,0)</f>
        <v>0</v>
      </c>
      <c r="BR260" s="5">
        <f>IF($H$254="Producción",IF($H260&gt;=LI_A,$U260,0),0)</f>
        <v>0</v>
      </c>
      <c r="BS260" s="5">
        <f>IF($H$254="Producción",IF($H260&gt;=LI_B,IF($H260&lt;LS_B,$U260,0),0),0)</f>
        <v>0</v>
      </c>
      <c r="BT260" s="5">
        <f>IF($H$254="Producción",IF($H260&gt;=LI_C,IF($H260&lt;LS_C,$U260,0),0),0)</f>
        <v>0</v>
      </c>
      <c r="BU260" s="5">
        <f>IF($H$254="Producción",IF($H260&lt;LS_D,$U260,0),0)</f>
        <v>0</v>
      </c>
      <c r="BV260" s="5">
        <f>IF($H$254="Crecimiento",$T260,0)</f>
        <v>0</v>
      </c>
      <c r="BY260" s="5">
        <f>IF($I$254="Producción",IF($I260&gt;=LI_A,$V260,0),0)</f>
        <v>0</v>
      </c>
      <c r="BZ260" s="5">
        <f>IF($I$254="Producción",IF($I260&gt;=LI_B,IF($I260&lt;LS_B,$V260,0),0),0)</f>
        <v>0</v>
      </c>
      <c r="CA260" s="5">
        <f>IF($I$254="Producción",IF($I260&gt;=LI_C,IF($I260&lt;LS_C,$V260,0),0),0)</f>
        <v>0</v>
      </c>
      <c r="CB260" s="5">
        <f>IF($I$254="Producción",IF($I260&lt;LS_D,$V260,0),0)</f>
        <v>0</v>
      </c>
      <c r="CC260" s="5">
        <f>IF($I$254="Crecimiento",$V260,0)</f>
        <v>0</v>
      </c>
      <c r="CF260" s="5">
        <f>IF($J$254="Producción",IF($J260&gt;=LI_A,$W260,0),0)</f>
        <v>0</v>
      </c>
      <c r="CG260" s="5">
        <f>IF($J$254="Producción",IF($J260&gt;=LI_B,IF($J260&lt;LS_B,$W260,0),0),0)</f>
        <v>0</v>
      </c>
      <c r="CH260" s="5">
        <f>IF($J$254="Producción",IF($J260&gt;=LI_C,IF($J260&lt;LS_C,$W260,0),0),0)</f>
        <v>0</v>
      </c>
      <c r="CI260" s="5">
        <f>IF($J$254="Producción",IF($J260&lt;LS_D,$W260,0),0)</f>
        <v>0</v>
      </c>
      <c r="CJ260" s="5">
        <f>IF($J$254="Crecimiento",$W260,0)</f>
        <v>0</v>
      </c>
      <c r="CM260" s="5">
        <f>IF($K$254="Producción",IF($K260&gt;=LI_A,$X260,0),0)</f>
        <v>0</v>
      </c>
      <c r="CN260" s="5">
        <f>IF($K$254="Producción",IF($K260&gt;=LI_B,IF($K260&lt;LS_B,$X260,0),0),0)</f>
        <v>0</v>
      </c>
      <c r="CO260" s="5">
        <f>IF($K$254="Producción",IF($K260&gt;=LI_C,IF($K260&lt;LS_C,$X260,0),0),0)</f>
        <v>0</v>
      </c>
      <c r="CP260" s="5">
        <f>IF($K$254="Producción",IF($K260&lt;LS_D,$X260,0),0)</f>
        <v>0</v>
      </c>
      <c r="CQ260" s="5">
        <f>IF($K$254="Crecimiento",$X260,0)</f>
        <v>0</v>
      </c>
      <c r="CT260" s="5">
        <f>IF($L$254="Producción",IF($L260&gt;=LI_A,$Y260,0),0)</f>
        <v>0</v>
      </c>
      <c r="CU260" s="5">
        <f>IF($L$254="Producción",IF($L260&gt;=LI_B,IF($L260&lt;LS_B,$Y260,0),0),0)</f>
        <v>0</v>
      </c>
      <c r="CV260" s="5">
        <f>IF($L$254="Producción",IF($L260&gt;=LI_C,IF($L260&lt;LS_C,$Y260,0),0),0)</f>
        <v>0</v>
      </c>
      <c r="CW260" s="5">
        <f>IF($L$254="Producción",IF($L260&lt;LS_D,$Y260,0),0)</f>
        <v>0</v>
      </c>
      <c r="CX260" s="5">
        <f>IF($L$254="Crecimiento",$Y260,0)</f>
        <v>0</v>
      </c>
      <c r="DA260" s="5">
        <f>IF($M$254="Producción",IF($M260&gt;=LI_A,$Z260,0),0)</f>
        <v>0</v>
      </c>
      <c r="DB260" s="5">
        <f>IF($M$254="Producción",IF($M260&gt;=LI_B,IF($M260&lt;LS_B,$Z260,0),0),0)</f>
        <v>0</v>
      </c>
      <c r="DC260" s="5">
        <f>IF($M$254="Producción",IF($M260&gt;=LI_C,IF($M260&lt;LS_C,$Z260,0),0),0)</f>
        <v>0</v>
      </c>
      <c r="DD260" s="5">
        <f>IF($M$254="Producción",IF($M260&lt;LS_D,$Z260,0),0)</f>
        <v>0</v>
      </c>
      <c r="DE260" s="5">
        <f>IF($M$254="Crecimiento",$Z260,0)</f>
        <v>0</v>
      </c>
      <c r="DI260" s="5">
        <f t="shared" si="1927"/>
        <v>0</v>
      </c>
      <c r="DJ260" s="5">
        <f t="shared" si="1928"/>
        <v>0</v>
      </c>
      <c r="DK260" s="5">
        <f t="shared" si="1929"/>
        <v>0</v>
      </c>
      <c r="DL260" s="5">
        <f t="shared" si="1930"/>
        <v>0</v>
      </c>
      <c r="DM260" s="5">
        <f t="shared" si="1931"/>
        <v>0</v>
      </c>
      <c r="DN260" s="5">
        <f t="shared" si="1932"/>
        <v>0</v>
      </c>
      <c r="DO260" s="5">
        <f t="shared" si="1933"/>
        <v>0</v>
      </c>
      <c r="DP260" s="5">
        <f t="shared" si="1934"/>
        <v>0</v>
      </c>
      <c r="DQ260" s="5">
        <f t="shared" si="1935"/>
        <v>0</v>
      </c>
      <c r="DR260" s="5">
        <f t="shared" si="1936"/>
        <v>0</v>
      </c>
      <c r="DS260" s="5">
        <f t="shared" si="1937"/>
        <v>0</v>
      </c>
      <c r="DT260" s="5">
        <f t="shared" si="1938"/>
        <v>0</v>
      </c>
      <c r="DU260" s="5">
        <f t="shared" si="1939"/>
        <v>0</v>
      </c>
      <c r="DV260" s="5">
        <f t="shared" si="1940"/>
        <v>0</v>
      </c>
      <c r="DW260" s="5">
        <f t="shared" si="1941"/>
        <v>0</v>
      </c>
      <c r="DX260" s="5">
        <f t="shared" si="1942"/>
        <v>0</v>
      </c>
      <c r="DY260" s="5">
        <f t="shared" si="1943"/>
        <v>0</v>
      </c>
      <c r="DZ260" s="5">
        <f t="shared" si="1944"/>
        <v>0</v>
      </c>
      <c r="EA260" s="5">
        <f t="shared" si="1945"/>
        <v>0</v>
      </c>
      <c r="EB260" s="5">
        <f t="shared" si="1946"/>
        <v>0</v>
      </c>
      <c r="EC260" s="5">
        <f t="shared" si="1947"/>
        <v>0</v>
      </c>
      <c r="ED260" s="5">
        <f t="shared" si="1948"/>
        <v>0</v>
      </c>
      <c r="EE260" s="5">
        <f t="shared" si="1949"/>
        <v>0</v>
      </c>
      <c r="EF260" s="5">
        <f t="shared" si="1950"/>
        <v>0</v>
      </c>
      <c r="EG260" s="5">
        <f t="shared" si="1951"/>
        <v>0</v>
      </c>
      <c r="EH260" s="5">
        <f t="shared" si="1952"/>
        <v>0</v>
      </c>
      <c r="EI260" s="5">
        <f t="shared" si="1953"/>
        <v>0</v>
      </c>
      <c r="EJ260" s="5">
        <f t="shared" si="1954"/>
        <v>0</v>
      </c>
      <c r="EK260" s="5">
        <f t="shared" si="1955"/>
        <v>0</v>
      </c>
      <c r="EL260" s="5">
        <f t="shared" si="1956"/>
        <v>0</v>
      </c>
      <c r="EM260" s="5">
        <f t="shared" si="1957"/>
        <v>0</v>
      </c>
      <c r="EN260" s="5">
        <f t="shared" si="1958"/>
        <v>0</v>
      </c>
      <c r="EO260" s="5">
        <f t="shared" si="1959"/>
        <v>0</v>
      </c>
      <c r="EP260" s="5">
        <f t="shared" si="1960"/>
        <v>0</v>
      </c>
      <c r="EQ260" s="5">
        <f t="shared" si="1961"/>
        <v>0</v>
      </c>
      <c r="ER260" s="5">
        <f t="shared" si="1962"/>
        <v>0</v>
      </c>
      <c r="ES260" s="5">
        <f t="shared" si="1963"/>
        <v>0</v>
      </c>
      <c r="ET260" s="5">
        <f t="shared" si="1964"/>
        <v>0</v>
      </c>
      <c r="EU260" s="5">
        <f t="shared" si="1965"/>
        <v>0</v>
      </c>
      <c r="EV260" s="5">
        <f t="shared" si="1966"/>
        <v>0</v>
      </c>
      <c r="EW260" s="5">
        <f t="shared" si="1967"/>
        <v>0</v>
      </c>
      <c r="EX260" s="5">
        <f t="shared" si="1968"/>
        <v>0</v>
      </c>
      <c r="EY260" s="5">
        <f t="shared" si="1969"/>
        <v>0</v>
      </c>
      <c r="EZ260" s="5">
        <f t="shared" si="1970"/>
        <v>0</v>
      </c>
      <c r="FA260" s="5">
        <f t="shared" si="1971"/>
        <v>0</v>
      </c>
      <c r="FB260" s="5">
        <f t="shared" si="1972"/>
        <v>0</v>
      </c>
      <c r="FC260" s="5">
        <f t="shared" si="1973"/>
        <v>0</v>
      </c>
      <c r="FD260" s="5">
        <f t="shared" si="1974"/>
        <v>0</v>
      </c>
      <c r="FE260" s="5">
        <f t="shared" si="1975"/>
        <v>0</v>
      </c>
      <c r="FF260" s="5">
        <f t="shared" si="1976"/>
        <v>0</v>
      </c>
      <c r="FG260" s="5">
        <f t="shared" si="1977"/>
        <v>0</v>
      </c>
      <c r="FH260" s="5">
        <f t="shared" si="1978"/>
        <v>0</v>
      </c>
      <c r="FI260" s="5">
        <f t="shared" si="1979"/>
        <v>0</v>
      </c>
      <c r="FJ260" s="5">
        <f t="shared" si="1980"/>
        <v>0</v>
      </c>
      <c r="FK260" s="5">
        <f t="shared" si="1981"/>
        <v>0</v>
      </c>
      <c r="FL260" s="5">
        <f t="shared" si="1982"/>
        <v>0</v>
      </c>
      <c r="FM260" s="5">
        <f t="shared" si="1983"/>
        <v>0</v>
      </c>
      <c r="FN260" s="5">
        <f t="shared" si="1984"/>
        <v>0</v>
      </c>
      <c r="FO260" s="5">
        <f t="shared" si="1985"/>
        <v>0</v>
      </c>
      <c r="FP260" s="5">
        <f t="shared" si="1986"/>
        <v>0</v>
      </c>
    </row>
    <row r="261" spans="1:172" ht="20.100000000000001" customHeight="1" x14ac:dyDescent="0.3">
      <c r="A261" s="9" t="str">
        <f>IF(Ciclo=5,"Surco 5","NA")</f>
        <v>NA</v>
      </c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O261" s="58">
        <f>IF($A261="NA",0,IFERROR('6'!O$131/Ciclo,0))</f>
        <v>0</v>
      </c>
      <c r="P261" s="58">
        <f>IF($A261="NA",0,IFERROR('6'!P$131/Ciclo,0))</f>
        <v>0</v>
      </c>
      <c r="Q261" s="58">
        <f>IF($A261="NA",0,IFERROR('6'!Q$131/Ciclo,0))</f>
        <v>0</v>
      </c>
      <c r="R261" s="58">
        <f>IF($A261="NA",0,IFERROR('6'!R$131/Ciclo,0))</f>
        <v>0</v>
      </c>
      <c r="S261" s="58">
        <f>IF($A261="NA",0,IFERROR('6'!S$131/Ciclo,0))</f>
        <v>0</v>
      </c>
      <c r="T261" s="58">
        <f>IF($A261="NA",0,IFERROR('6'!T$131/Ciclo,0))</f>
        <v>0</v>
      </c>
      <c r="U261" s="58">
        <f>IF($A261="NA",0,IFERROR('6'!U$131/Ciclo,0))</f>
        <v>0</v>
      </c>
      <c r="V261" s="58">
        <f>IF($A261="NA",0,IFERROR('6'!V$131/Ciclo,0))</f>
        <v>0</v>
      </c>
      <c r="W261" s="5">
        <f>IF($A261="NA",0,IFERROR('6'!W$131/Ciclo,0))</f>
        <v>0</v>
      </c>
      <c r="X261" s="5">
        <f>IF($A261="NA",0,IFERROR('6'!X$131/Ciclo,0))</f>
        <v>0</v>
      </c>
      <c r="Y261" s="5">
        <f>IF($A261="NA",0,IFERROR('6'!Y$131/Ciclo,0))</f>
        <v>0</v>
      </c>
      <c r="Z261" s="5">
        <f>IF($A261="NA",0,IFERROR('6'!Z$131/Ciclo,0))</f>
        <v>0</v>
      </c>
      <c r="AB261" s="5">
        <f>IF($B$254="Producción",IF($B261&gt;=LI_A,$O261,0),0)</f>
        <v>0</v>
      </c>
      <c r="AC261" s="5">
        <f>IF($B$254="Producción",IF($B261&gt;=LI_B,IF($B261&lt;LS_B,$O261,0),0),0)</f>
        <v>0</v>
      </c>
      <c r="AD261" s="5">
        <f>IF($B$254="Producción",IF($B261&gt;=LI_C,IF($B261&lt;LS_C,$O261,0),0),0)</f>
        <v>0</v>
      </c>
      <c r="AE261" s="5">
        <f>IF($B$254="Producción",IF($B261&lt;LS_D,$O261,0),0)</f>
        <v>0</v>
      </c>
      <c r="AF261" s="5">
        <f>IF($B$254="Crecimiento",$O261,0)</f>
        <v>0</v>
      </c>
      <c r="AI261" s="5">
        <f>IF($C$254="Producción",IF($C261&gt;=LI_A,$P261,0),0)</f>
        <v>0</v>
      </c>
      <c r="AJ261" s="5">
        <f>IF($C$254="Producción",IF($C261&gt;=LI_B,IF($C261&lt;LS_B,$P261,0),0),0)</f>
        <v>0</v>
      </c>
      <c r="AK261" s="5">
        <f>IF($C$254="Producción",IF($C261&gt;=LI_C,IF($C261&lt;LS_C,$P261,0),0),0)</f>
        <v>0</v>
      </c>
      <c r="AL261" s="5">
        <f>IF($C$254="Producción",IF($C261&lt;LS_D,$P261,0),0)</f>
        <v>0</v>
      </c>
      <c r="AM261" s="5">
        <f>IF($C$254="Crecimiento",$P261,0)</f>
        <v>0</v>
      </c>
      <c r="AP261" s="5">
        <f>IF($D$254="Producción",IF($D261&gt;=LI_A,$Q261,0),0)</f>
        <v>0</v>
      </c>
      <c r="AQ261" s="5">
        <f>IF($D$254="Producción",IF($D261&gt;=LI_B,IF($D261&lt;LS_B,$Q261,0),0),0)</f>
        <v>0</v>
      </c>
      <c r="AR261" s="5">
        <f>IF($D$254="Producción",IF($D261&gt;=LI_C,IF($D261&lt;LS_C,$Q261,0),0),0)</f>
        <v>0</v>
      </c>
      <c r="AS261" s="5">
        <f>IF($D$254="Producción",IF($D261&lt;LS_D,$Q261,0),0)</f>
        <v>0</v>
      </c>
      <c r="AT261" s="5">
        <f>IF($D$254="Crecimiento",IF($D261&gt;0,$Q261,0),0)</f>
        <v>0</v>
      </c>
      <c r="AW261" s="5">
        <f>IF($E$254="Producción",IF($E261&gt;=LI_A,$R261,0),0)</f>
        <v>0</v>
      </c>
      <c r="AX261" s="5">
        <f>IF($E$254="Producción",IF($E261&gt;=LI_B,IF($E261&lt;LS_B,$R261,0),0),0)</f>
        <v>0</v>
      </c>
      <c r="AY261" s="5">
        <f>IF($E$254="Producción",IF($E261&gt;=LI_C,IF($E261&lt;LS_C,$R261,0),0),0)</f>
        <v>0</v>
      </c>
      <c r="AZ261" s="5">
        <f>IF($E$254="Producción",IF($E261&lt;LS_D,$R261,0),0)</f>
        <v>0</v>
      </c>
      <c r="BA261" s="5">
        <f>IF($E$254="Crecimiento",$R261,0)</f>
        <v>0</v>
      </c>
      <c r="BD261" s="5">
        <f>IF($F$254="Producción",IF($F261&gt;=LI_A,$S261,0),0)</f>
        <v>0</v>
      </c>
      <c r="BE261" s="5">
        <f>IF($F$254="Producción",IF($F261&gt;=LI_B,IF($F261&lt;LS_B,$S261,0),0),0)</f>
        <v>0</v>
      </c>
      <c r="BF261" s="5">
        <f>IF($F$254="Producción",IF($F261&gt;=LI_C,IF($F261&lt;LS_C,$S261,0),0),0)</f>
        <v>0</v>
      </c>
      <c r="BG261" s="5">
        <f>IF($F$254="Producción",IF($F261&lt;LS_D,$S261,0),0)</f>
        <v>0</v>
      </c>
      <c r="BH261" s="5">
        <f>IF($F$254="Crecimiento",$S261,0)</f>
        <v>0</v>
      </c>
      <c r="BK261" s="5">
        <f>IF($G$254="Producción",IF($G261&gt;=LI_A,$T261,0),0)</f>
        <v>0</v>
      </c>
      <c r="BL261" s="5">
        <f>IF($G$254="Producción",IF($G261&gt;=LI_B,IF($G261&lt;LS_B,$T261,0),0),0)</f>
        <v>0</v>
      </c>
      <c r="BM261" s="5">
        <f>IF($G$254="Producción",IF($G261&gt;=LI_C,IF($G261&lt;LS_C,$T261,0),0),0)</f>
        <v>0</v>
      </c>
      <c r="BN261" s="5">
        <f>IF($G$254="Producción",IF($G261&lt;LS_D,$T261,0),0)</f>
        <v>0</v>
      </c>
      <c r="BO261" s="5">
        <f>IF($G$254="Crecimiento",$T261,0)</f>
        <v>0</v>
      </c>
      <c r="BR261" s="5">
        <f>IF($H$254="Producción",IF($H261&gt;=LI_A,$U261,0),0)</f>
        <v>0</v>
      </c>
      <c r="BS261" s="5">
        <f>IF($H$254="Producción",IF($H261&gt;=LI_B,IF($H261&lt;LS_B,$U261,0),0),0)</f>
        <v>0</v>
      </c>
      <c r="BT261" s="5">
        <f>IF($H$254="Producción",IF($H261&gt;=LI_C,IF($H261&lt;LS_C,$U261,0),0),0)</f>
        <v>0</v>
      </c>
      <c r="BU261" s="5">
        <f>IF($H$254="Producción",IF($H261&lt;LS_D,$U261,0),0)</f>
        <v>0</v>
      </c>
      <c r="BV261" s="5">
        <f>IF($H$254="Crecimiento",$T261,0)</f>
        <v>0</v>
      </c>
      <c r="BY261" s="5">
        <f>IF($I$254="Producción",IF($I261&gt;=LI_A,$V261,0),0)</f>
        <v>0</v>
      </c>
      <c r="BZ261" s="5">
        <f>IF($I$254="Producción",IF($I261&gt;=LI_B,IF($I261&lt;LS_B,$V261,0),0),0)</f>
        <v>0</v>
      </c>
      <c r="CA261" s="5">
        <f>IF($I$254="Producción",IF($I261&gt;=LI_C,IF($I261&lt;LS_C,$V261,0),0),0)</f>
        <v>0</v>
      </c>
      <c r="CB261" s="5">
        <f>IF($I$254="Producción",IF($I261&lt;LS_D,$V261,0),0)</f>
        <v>0</v>
      </c>
      <c r="CC261" s="5">
        <f>IF($I$254="Crecimiento",$V261,0)</f>
        <v>0</v>
      </c>
      <c r="CF261" s="5">
        <f>IF($J$254="Producción",IF($J261&gt;=LI_A,$W261,0),0)</f>
        <v>0</v>
      </c>
      <c r="CG261" s="5">
        <f>IF($J$254="Producción",IF($J261&gt;=LI_B,IF($J261&lt;LS_B,$W261,0),0),0)</f>
        <v>0</v>
      </c>
      <c r="CH261" s="5">
        <f>IF($J$254="Producción",IF($J261&gt;=LI_C,IF($J261&lt;LS_C,$W261,0),0),0)</f>
        <v>0</v>
      </c>
      <c r="CI261" s="5">
        <f>IF($J$254="Producción",IF($J261&lt;LS_D,$W261,0),0)</f>
        <v>0</v>
      </c>
      <c r="CJ261" s="5">
        <f>IF($J$254="Crecimiento",$W261,0)</f>
        <v>0</v>
      </c>
      <c r="CM261" s="5">
        <f>IF($K$254="Producción",IF($K261&gt;=LI_A,$X261,0),0)</f>
        <v>0</v>
      </c>
      <c r="CN261" s="5">
        <f>IF($K$254="Producción",IF($K261&gt;=LI_B,IF($K261&lt;LS_B,$X261,0),0),0)</f>
        <v>0</v>
      </c>
      <c r="CO261" s="5">
        <f>IF($K$254="Producción",IF($K261&gt;=LI_C,IF($K261&lt;LS_C,$X261,0),0),0)</f>
        <v>0</v>
      </c>
      <c r="CP261" s="5">
        <f>IF($K$254="Producción",IF($K261&lt;LS_D,$X261,0),0)</f>
        <v>0</v>
      </c>
      <c r="CQ261" s="5">
        <f>IF($K$254="Crecimiento",$X261,0)</f>
        <v>0</v>
      </c>
      <c r="CT261" s="5">
        <f>IF($L$254="Producción",IF($L261&gt;=LI_A,$Y261,0),0)</f>
        <v>0</v>
      </c>
      <c r="CU261" s="5">
        <f>IF($L$254="Producción",IF($L261&gt;=LI_B,IF($L261&lt;LS_B,$Y261,0),0),0)</f>
        <v>0</v>
      </c>
      <c r="CV261" s="5">
        <f>IF($L$254="Producción",IF($L261&gt;=LI_C,IF($L261&lt;LS_C,$Y261,0),0),0)</f>
        <v>0</v>
      </c>
      <c r="CW261" s="5">
        <f>IF($L$254="Producción",IF($L261&lt;LS_D,$Y261,0),0)</f>
        <v>0</v>
      </c>
      <c r="CX261" s="5">
        <f>IF($L$254="Crecimiento",$Y261,0)</f>
        <v>0</v>
      </c>
      <c r="DA261" s="5">
        <f>IF($M$254="Producción",IF($M261&gt;=LI_A,$Z261,0),0)</f>
        <v>0</v>
      </c>
      <c r="DB261" s="5">
        <f>IF($M$254="Producción",IF($M261&gt;=LI_B,IF($M261&lt;LS_B,$Z261,0),0),0)</f>
        <v>0</v>
      </c>
      <c r="DC261" s="5">
        <f>IF($M$254="Producción",IF($M261&gt;=LI_C,IF($M261&lt;LS_C,$Z261,0),0),0)</f>
        <v>0</v>
      </c>
      <c r="DD261" s="5">
        <f>IF($M$254="Producción",IF($M261&lt;LS_D,$Z261,0),0)</f>
        <v>0</v>
      </c>
      <c r="DE261" s="5">
        <f>IF($M$254="Crecimiento",$Z261,0)</f>
        <v>0</v>
      </c>
      <c r="DI261" s="5">
        <f t="shared" si="1927"/>
        <v>0</v>
      </c>
      <c r="DJ261" s="5">
        <f t="shared" si="1928"/>
        <v>0</v>
      </c>
      <c r="DK261" s="5">
        <f t="shared" si="1929"/>
        <v>0</v>
      </c>
      <c r="DL261" s="5">
        <f t="shared" si="1930"/>
        <v>0</v>
      </c>
      <c r="DM261" s="5">
        <f t="shared" si="1931"/>
        <v>0</v>
      </c>
      <c r="DN261" s="5">
        <f t="shared" si="1932"/>
        <v>0</v>
      </c>
      <c r="DO261" s="5">
        <f t="shared" si="1933"/>
        <v>0</v>
      </c>
      <c r="DP261" s="5">
        <f t="shared" si="1934"/>
        <v>0</v>
      </c>
      <c r="DQ261" s="5">
        <f t="shared" si="1935"/>
        <v>0</v>
      </c>
      <c r="DR261" s="5">
        <f t="shared" si="1936"/>
        <v>0</v>
      </c>
      <c r="DS261" s="5">
        <f t="shared" si="1937"/>
        <v>0</v>
      </c>
      <c r="DT261" s="5">
        <f t="shared" si="1938"/>
        <v>0</v>
      </c>
      <c r="DU261" s="5">
        <f t="shared" si="1939"/>
        <v>0</v>
      </c>
      <c r="DV261" s="5">
        <f t="shared" si="1940"/>
        <v>0</v>
      </c>
      <c r="DW261" s="5">
        <f t="shared" si="1941"/>
        <v>0</v>
      </c>
      <c r="DX261" s="5">
        <f t="shared" si="1942"/>
        <v>0</v>
      </c>
      <c r="DY261" s="5">
        <f t="shared" si="1943"/>
        <v>0</v>
      </c>
      <c r="DZ261" s="5">
        <f t="shared" si="1944"/>
        <v>0</v>
      </c>
      <c r="EA261" s="5">
        <f t="shared" si="1945"/>
        <v>0</v>
      </c>
      <c r="EB261" s="5">
        <f t="shared" si="1946"/>
        <v>0</v>
      </c>
      <c r="EC261" s="5">
        <f t="shared" si="1947"/>
        <v>0</v>
      </c>
      <c r="ED261" s="5">
        <f t="shared" si="1948"/>
        <v>0</v>
      </c>
      <c r="EE261" s="5">
        <f t="shared" si="1949"/>
        <v>0</v>
      </c>
      <c r="EF261" s="5">
        <f t="shared" si="1950"/>
        <v>0</v>
      </c>
      <c r="EG261" s="5">
        <f t="shared" si="1951"/>
        <v>0</v>
      </c>
      <c r="EH261" s="5">
        <f t="shared" si="1952"/>
        <v>0</v>
      </c>
      <c r="EI261" s="5">
        <f t="shared" si="1953"/>
        <v>0</v>
      </c>
      <c r="EJ261" s="5">
        <f t="shared" si="1954"/>
        <v>0</v>
      </c>
      <c r="EK261" s="5">
        <f t="shared" si="1955"/>
        <v>0</v>
      </c>
      <c r="EL261" s="5">
        <f t="shared" si="1956"/>
        <v>0</v>
      </c>
      <c r="EM261" s="5">
        <f t="shared" si="1957"/>
        <v>0</v>
      </c>
      <c r="EN261" s="5">
        <f t="shared" si="1958"/>
        <v>0</v>
      </c>
      <c r="EO261" s="5">
        <f t="shared" si="1959"/>
        <v>0</v>
      </c>
      <c r="EP261" s="5">
        <f t="shared" si="1960"/>
        <v>0</v>
      </c>
      <c r="EQ261" s="5">
        <f t="shared" si="1961"/>
        <v>0</v>
      </c>
      <c r="ER261" s="5">
        <f t="shared" si="1962"/>
        <v>0</v>
      </c>
      <c r="ES261" s="5">
        <f t="shared" si="1963"/>
        <v>0</v>
      </c>
      <c r="ET261" s="5">
        <f t="shared" si="1964"/>
        <v>0</v>
      </c>
      <c r="EU261" s="5">
        <f t="shared" si="1965"/>
        <v>0</v>
      </c>
      <c r="EV261" s="5">
        <f t="shared" si="1966"/>
        <v>0</v>
      </c>
      <c r="EW261" s="5">
        <f t="shared" si="1967"/>
        <v>0</v>
      </c>
      <c r="EX261" s="5">
        <f t="shared" si="1968"/>
        <v>0</v>
      </c>
      <c r="EY261" s="5">
        <f t="shared" si="1969"/>
        <v>0</v>
      </c>
      <c r="EZ261" s="5">
        <f t="shared" si="1970"/>
        <v>0</v>
      </c>
      <c r="FA261" s="5">
        <f t="shared" si="1971"/>
        <v>0</v>
      </c>
      <c r="FB261" s="5">
        <f t="shared" si="1972"/>
        <v>0</v>
      </c>
      <c r="FC261" s="5">
        <f t="shared" si="1973"/>
        <v>0</v>
      </c>
      <c r="FD261" s="5">
        <f t="shared" si="1974"/>
        <v>0</v>
      </c>
      <c r="FE261" s="5">
        <f t="shared" si="1975"/>
        <v>0</v>
      </c>
      <c r="FF261" s="5">
        <f t="shared" si="1976"/>
        <v>0</v>
      </c>
      <c r="FG261" s="5">
        <f t="shared" si="1977"/>
        <v>0</v>
      </c>
      <c r="FH261" s="5">
        <f t="shared" si="1978"/>
        <v>0</v>
      </c>
      <c r="FI261" s="5">
        <f t="shared" si="1979"/>
        <v>0</v>
      </c>
      <c r="FJ261" s="5">
        <f t="shared" si="1980"/>
        <v>0</v>
      </c>
      <c r="FK261" s="5">
        <f t="shared" si="1981"/>
        <v>0</v>
      </c>
      <c r="FL261" s="5">
        <f t="shared" si="1982"/>
        <v>0</v>
      </c>
      <c r="FM261" s="5">
        <f t="shared" si="1983"/>
        <v>0</v>
      </c>
      <c r="FN261" s="5">
        <f t="shared" si="1984"/>
        <v>0</v>
      </c>
      <c r="FO261" s="5">
        <f t="shared" si="1985"/>
        <v>0</v>
      </c>
      <c r="FP261" s="5">
        <f t="shared" si="1986"/>
        <v>0</v>
      </c>
    </row>
    <row r="262" spans="1:172" ht="20.100000000000001" customHeight="1" x14ac:dyDescent="0.3">
      <c r="A262" s="172">
        <f>N_L33</f>
        <v>0</v>
      </c>
      <c r="B262" s="363" t="s">
        <v>37</v>
      </c>
      <c r="C262" s="363" t="s">
        <v>37</v>
      </c>
      <c r="D262" s="363" t="s">
        <v>37</v>
      </c>
      <c r="E262" s="363" t="s">
        <v>37</v>
      </c>
      <c r="F262" s="363" t="s">
        <v>37</v>
      </c>
      <c r="G262" s="363" t="s">
        <v>37</v>
      </c>
      <c r="H262" s="363" t="s">
        <v>37</v>
      </c>
      <c r="I262" s="363" t="s">
        <v>37</v>
      </c>
      <c r="J262" s="363" t="s">
        <v>37</v>
      </c>
      <c r="K262" s="363" t="s">
        <v>37</v>
      </c>
      <c r="L262" s="363" t="s">
        <v>37</v>
      </c>
      <c r="M262" s="363" t="s">
        <v>37</v>
      </c>
    </row>
    <row r="263" spans="1:172" ht="20.100000000000001" customHeight="1" x14ac:dyDescent="0.3">
      <c r="A263" s="175" t="s">
        <v>238</v>
      </c>
      <c r="B263" s="174">
        <f>SUM(DI265:DM269)/100</f>
        <v>0</v>
      </c>
      <c r="C263" s="174">
        <f>SUM(DN265:DR269)/100</f>
        <v>0</v>
      </c>
      <c r="D263" s="174">
        <f>SUM(DS265:DW269)/100</f>
        <v>0</v>
      </c>
      <c r="E263" s="174">
        <f>SUM(DX265:EB269)/100</f>
        <v>0</v>
      </c>
      <c r="F263" s="174">
        <f>SUM(EC265:EG269)/100</f>
        <v>0</v>
      </c>
      <c r="G263" s="174">
        <f>SUM(EH265:EL269)/100</f>
        <v>0</v>
      </c>
      <c r="H263" s="174">
        <f>SUM(EM265:EQ269)/100</f>
        <v>0</v>
      </c>
      <c r="I263" s="174">
        <f>SUM(ER265:EV269)/100</f>
        <v>0</v>
      </c>
      <c r="J263" s="174">
        <f>SUM(EW265:FA269)/100</f>
        <v>0</v>
      </c>
      <c r="K263" s="174">
        <f>SUM(FB265:FF269)/100</f>
        <v>0</v>
      </c>
      <c r="L263" s="174">
        <f>SUM(FG265:FK269)/100</f>
        <v>0</v>
      </c>
      <c r="M263" s="174">
        <f>SUM(FL265:FP269)/100</f>
        <v>0</v>
      </c>
    </row>
    <row r="264" spans="1:172" ht="20.100000000000001" customHeight="1" x14ac:dyDescent="0.3">
      <c r="A264" s="151" t="s">
        <v>239</v>
      </c>
      <c r="B264" s="152" t="e">
        <f t="shared" ref="B264:M264" si="1988">B263/Lote_33</f>
        <v>#DIV/0!</v>
      </c>
      <c r="C264" s="152" t="e">
        <f t="shared" si="1988"/>
        <v>#DIV/0!</v>
      </c>
      <c r="D264" s="152" t="e">
        <f t="shared" si="1988"/>
        <v>#DIV/0!</v>
      </c>
      <c r="E264" s="152" t="e">
        <f t="shared" si="1988"/>
        <v>#DIV/0!</v>
      </c>
      <c r="F264" s="152" t="e">
        <f t="shared" si="1988"/>
        <v>#DIV/0!</v>
      </c>
      <c r="G264" s="152" t="e">
        <f t="shared" si="1988"/>
        <v>#DIV/0!</v>
      </c>
      <c r="H264" s="152" t="e">
        <f t="shared" si="1988"/>
        <v>#DIV/0!</v>
      </c>
      <c r="I264" s="152" t="e">
        <f t="shared" si="1988"/>
        <v>#DIV/0!</v>
      </c>
      <c r="J264" s="152" t="e">
        <f t="shared" si="1988"/>
        <v>#DIV/0!</v>
      </c>
      <c r="K264" s="152" t="e">
        <f t="shared" si="1988"/>
        <v>#DIV/0!</v>
      </c>
      <c r="L264" s="152" t="e">
        <f t="shared" si="1988"/>
        <v>#DIV/0!</v>
      </c>
      <c r="M264" s="152" t="e">
        <f t="shared" si="1988"/>
        <v>#DIV/0!</v>
      </c>
    </row>
    <row r="265" spans="1:172" ht="20.100000000000001" customHeight="1" x14ac:dyDescent="0.3">
      <c r="A265" s="8" t="s">
        <v>302</v>
      </c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O265" s="58">
        <f>IFERROR('6'!O$135/Ciclo,0)</f>
        <v>0</v>
      </c>
      <c r="P265" s="58">
        <f>IFERROR('6'!P$135/Ciclo,0)</f>
        <v>0</v>
      </c>
      <c r="Q265" s="58">
        <f>IFERROR('6'!Q$135/Ciclo,0)</f>
        <v>0</v>
      </c>
      <c r="R265" s="58">
        <f>IFERROR('6'!R$135/Ciclo,0)</f>
        <v>0</v>
      </c>
      <c r="S265" s="58">
        <f>IFERROR('6'!S$135/Ciclo,0)</f>
        <v>0</v>
      </c>
      <c r="T265" s="58">
        <f>IFERROR('6'!T$135/Ciclo,0)</f>
        <v>0</v>
      </c>
      <c r="U265" s="58">
        <f>IFERROR('6'!U$135/Ciclo,0)</f>
        <v>0</v>
      </c>
      <c r="V265" s="58">
        <f>IFERROR('6'!V$135/Ciclo,0)</f>
        <v>0</v>
      </c>
      <c r="W265" s="5">
        <f>IFERROR('6'!W$135/Ciclo,0)</f>
        <v>0</v>
      </c>
      <c r="X265" s="5">
        <f>IFERROR('6'!X$135/Ciclo,0)</f>
        <v>0</v>
      </c>
      <c r="Y265" s="5">
        <f>IFERROR('6'!Y$135/Ciclo,0)</f>
        <v>0</v>
      </c>
      <c r="Z265" s="5">
        <f>IFERROR('6'!Z$135/Ciclo,0)</f>
        <v>0</v>
      </c>
      <c r="AB265" s="5">
        <f>IF($B$262="Producción",IF($B265&gt;=LI_A,$O265,0),0)</f>
        <v>0</v>
      </c>
      <c r="AC265" s="5">
        <f>IF($B$262="Producción",IF($B265&gt;=LI_B,IF($B265&lt;LS_B,$O265,0),0),0)</f>
        <v>0</v>
      </c>
      <c r="AD265" s="5">
        <f>IF($B$262="Producción",IF($B265&gt;=LI_C,IF($B265&lt;LS_C,$O265,0),0),0)</f>
        <v>0</v>
      </c>
      <c r="AE265" s="5">
        <f>IF($B$262="Producción",IF($B265&lt;LS_D,$O265,0),0)</f>
        <v>0</v>
      </c>
      <c r="AF265" s="5">
        <f>IF($B$262="Crecimiento",$O265,0)</f>
        <v>0</v>
      </c>
      <c r="AG265" s="5">
        <f>IF($B262="Siembra",'6'!$O$7,0)</f>
        <v>0</v>
      </c>
      <c r="AH265" s="5">
        <f>IF($B262="Abandono",'6'!$O$7,0)</f>
        <v>0</v>
      </c>
      <c r="AI265" s="5">
        <f>IF($C$262="Producción",IF($C265&gt;=LI_A,$P265,0),0)</f>
        <v>0</v>
      </c>
      <c r="AJ265" s="5">
        <f>IF($C$262="Producción",IF($C265&gt;=LI_B,IF($C265&lt;LS_B,$P265,0),0),0)</f>
        <v>0</v>
      </c>
      <c r="AK265" s="5">
        <f>IF($C$262="Producción",IF($C265&gt;=LI_C,IF($C265&lt;LS_C,$P265,0),0),0)</f>
        <v>0</v>
      </c>
      <c r="AL265" s="5">
        <f>IF($C$262="Producción",IF($C265&lt;LS_D,$P265,0),0)</f>
        <v>0</v>
      </c>
      <c r="AM265" s="5">
        <f>IF($C$262="Crecimiento",$P265,0)</f>
        <v>0</v>
      </c>
      <c r="AN265" s="5">
        <f>IF($C262="Siembra",'6'!$P$7,0)</f>
        <v>0</v>
      </c>
      <c r="AO265" s="5">
        <f>IF($C262="Abandono",'6'!$P$7,0)</f>
        <v>0</v>
      </c>
      <c r="AP265" s="5">
        <f>IF($D$262="Producción",IF($D265&gt;=LI_A,$Q265,0),0)</f>
        <v>0</v>
      </c>
      <c r="AQ265" s="5">
        <f>IF($D$262="Producción",IF($D265&gt;=LI_B,IF($D265&lt;LS_B,$Q265,0),0),0)</f>
        <v>0</v>
      </c>
      <c r="AR265" s="5">
        <f>IF($D$262="Producción",IF($D265&gt;=LI_C,IF($D265&lt;LS_C,$Q265,0),0),0)</f>
        <v>0</v>
      </c>
      <c r="AS265" s="5">
        <f>IF($D$262="Producción",IF($D265&lt;LS_D,$Q265,0),0)</f>
        <v>0</v>
      </c>
      <c r="AT265" s="5">
        <f>IF($D$262="Crecimiento",IF($D265&gt;0,$Q265,0),0)</f>
        <v>0</v>
      </c>
      <c r="AU265" s="5">
        <f>IF($D262="Siembra",'6'!$Q$7,0)</f>
        <v>0</v>
      </c>
      <c r="AV265" s="5">
        <f>IF($D262="Abandono",'6'!$Q$7,0)</f>
        <v>0</v>
      </c>
      <c r="AW265" s="5">
        <f>IF($E$262="Producción",IF($E265&gt;=LI_A,$R265,0),0)</f>
        <v>0</v>
      </c>
      <c r="AX265" s="5">
        <f>IF($E$262="Producción",IF($E265&gt;=LI_B,IF($E265&lt;LS_B,$R265,0),0),0)</f>
        <v>0</v>
      </c>
      <c r="AY265" s="5">
        <f>IF($E$262="Producción",IF($E265&gt;=LI_C,IF($E265&lt;LS_C,$R265,0),0),0)</f>
        <v>0</v>
      </c>
      <c r="AZ265" s="5">
        <f>IF($E$262="Producción",IF($E265&lt;LS_D,$R265,0),0)</f>
        <v>0</v>
      </c>
      <c r="BA265" s="5">
        <f>IF($E$262="Crecimiento",$R265,0)</f>
        <v>0</v>
      </c>
      <c r="BB265" s="5">
        <f>IF($E262="Siembra",'6'!$R$7,0)</f>
        <v>0</v>
      </c>
      <c r="BC265" s="5">
        <f>IF($E262="Abandono",'6'!$R$7,0)</f>
        <v>0</v>
      </c>
      <c r="BD265" s="5">
        <f>IF($F$262="Producción",IF($F265&gt;=LI_A,$S265,0),0)</f>
        <v>0</v>
      </c>
      <c r="BE265" s="5">
        <f>IF($F$262="Producción",IF($F265&gt;=LI_B,IF($F265&lt;LS_B,$S265,0),0),0)</f>
        <v>0</v>
      </c>
      <c r="BF265" s="5">
        <f>IF($F$262="Producción",IF($F265&gt;=LI_C,IF($F265&lt;LS_C,$S265,0),0),0)</f>
        <v>0</v>
      </c>
      <c r="BG265" s="5">
        <f>IF($F$262="Producción",IF($F265&lt;LS_D,$S265,0),0)</f>
        <v>0</v>
      </c>
      <c r="BH265" s="5">
        <f>IF($F$262="Crecimiento",$S265,0)</f>
        <v>0</v>
      </c>
      <c r="BI265" s="5">
        <f>IF($F262="Siembra",'6'!$S$7,0)</f>
        <v>0</v>
      </c>
      <c r="BJ265" s="5">
        <f>IF($F262="Abandono",'6'!$S$7,0)</f>
        <v>0</v>
      </c>
      <c r="BK265" s="5">
        <f>IF($G$262="Producción",IF($G265&gt;=LI_A,$T265,0),0)</f>
        <v>0</v>
      </c>
      <c r="BL265" s="5">
        <f>IF($G$262="Producción",IF($G265&gt;=LI_B,IF($G265&lt;LS_B,$T265,0),0),0)</f>
        <v>0</v>
      </c>
      <c r="BM265" s="5">
        <f>IF($G$262="Producción",IF($G265&gt;=LI_C,IF($G265&lt;LS_C,$T265,0),0),0)</f>
        <v>0</v>
      </c>
      <c r="BN265" s="5">
        <f>IF($G$262="Producción",IF($G265&lt;LS_D,$T265,0),0)</f>
        <v>0</v>
      </c>
      <c r="BO265" s="5">
        <f>IF($G$262="Crecimiento",$T265,0)</f>
        <v>0</v>
      </c>
      <c r="BP265" s="5">
        <f>IF($G262="Siembra",'6'!$T$7,0)</f>
        <v>0</v>
      </c>
      <c r="BQ265" s="5">
        <f>IF($G262="Abandono",'6'!$T$7,0)</f>
        <v>0</v>
      </c>
      <c r="BR265" s="5">
        <f>IF($H$262="Producción",IF($H265&gt;=LI_A,$U265,0),0)</f>
        <v>0</v>
      </c>
      <c r="BS265" s="5">
        <f>IF($H$262="Producción",IF($H265&gt;=LI_B,IF($H265&lt;LS_B,$U265,0),0),0)</f>
        <v>0</v>
      </c>
      <c r="BT265" s="5">
        <f>IF($H$262="Producción",IF($H265&gt;=LI_C,IF($H265&lt;LS_C,$U265,0),0),0)</f>
        <v>0</v>
      </c>
      <c r="BU265" s="5">
        <f>IF($H$262="Producción",IF($H265&lt;LS_D,$U265,0),0)</f>
        <v>0</v>
      </c>
      <c r="BV265" s="5">
        <f>IF($H$262="Crecimiento",$T265,0)</f>
        <v>0</v>
      </c>
      <c r="BW265" s="5">
        <f>IF($H262="Siembra",'6'!$U$7,0)</f>
        <v>0</v>
      </c>
      <c r="BX265" s="5">
        <f>IF($H262="Abandono",'6'!$U$7,0)</f>
        <v>0</v>
      </c>
      <c r="BY265" s="5">
        <f>IF($I$262="Producción",IF($I265&gt;=LI_A,$V265,0),0)</f>
        <v>0</v>
      </c>
      <c r="BZ265" s="5">
        <f>IF($I$262="Producción",IF($I265&gt;=LI_B,IF($I265&lt;LS_B,$V265,0),0),0)</f>
        <v>0</v>
      </c>
      <c r="CA265" s="5">
        <f>IF($I$262="Producción",IF($I265&gt;=LI_C,IF($I265&lt;LS_C,$V265,0),0),0)</f>
        <v>0</v>
      </c>
      <c r="CB265" s="5">
        <f>IF($I$262="Producción",IF($I265&lt;LS_D,$V265,0),0)</f>
        <v>0</v>
      </c>
      <c r="CC265" s="5">
        <f>IF($I$262="Crecimiento",$V265,0)</f>
        <v>0</v>
      </c>
      <c r="CD265" s="5">
        <f>IF($I262="Siembra",'6'!$V$7,0)</f>
        <v>0</v>
      </c>
      <c r="CE265" s="5">
        <f>IF($I262="Abandono",'6'!$V$7,0)</f>
        <v>0</v>
      </c>
      <c r="CF265" s="5">
        <f>IF($J$262="Producción",IF($J265&gt;=LI_A,$W265,0),0)</f>
        <v>0</v>
      </c>
      <c r="CG265" s="5">
        <f>IF($J$262="Producción",IF($J265&gt;=LI_B,IF($J265&lt;LS_B,$W265,0),0),0)</f>
        <v>0</v>
      </c>
      <c r="CH265" s="5">
        <f>IF($J$262="Producción",IF($J265&gt;=LI_C,IF($J265&lt;LS_C,$W265,0),0),0)</f>
        <v>0</v>
      </c>
      <c r="CI265" s="5">
        <f>IF($J$262="Producción",IF($J265&lt;LS_D,$W265,0),0)</f>
        <v>0</v>
      </c>
      <c r="CJ265" s="5">
        <f>IF($J$262="Crecimiento",$W265,0)</f>
        <v>0</v>
      </c>
      <c r="CK265" s="5">
        <f>IF($J262="Siembra",'6'!$W$7,0)</f>
        <v>0</v>
      </c>
      <c r="CL265" s="5">
        <f>IF($J262="Abandono",'6'!$W$7,0)</f>
        <v>0</v>
      </c>
      <c r="CM265" s="5">
        <f>IF($K$262="Producción",IF($K265&gt;=LI_A,$X265,0),0)</f>
        <v>0</v>
      </c>
      <c r="CN265" s="5">
        <f>IF($K$262="Producción",IF($K265&gt;=LI_B,IF($K265&lt;LS_B,$X265,0),0),0)</f>
        <v>0</v>
      </c>
      <c r="CO265" s="5">
        <f>IF($K$262="Producción",IF($K265&gt;=LI_C,IF($K265&lt;LS_C,$X265,0),0),0)</f>
        <v>0</v>
      </c>
      <c r="CP265" s="5">
        <f>IF($K$262="Producción",IF($K265&lt;LS_D,$X265,0),0)</f>
        <v>0</v>
      </c>
      <c r="CQ265" s="5">
        <f>IF($K$262="Crecimiento",$X265,0)</f>
        <v>0</v>
      </c>
      <c r="CR265" s="5">
        <f>IF($K262="Siembra",'6'!$X$7,0)</f>
        <v>0</v>
      </c>
      <c r="CS265" s="5">
        <f>IF($K262="Abandono",'6'!$X$7,0)</f>
        <v>0</v>
      </c>
      <c r="CT265" s="5">
        <f>IF($L$262="Producción",IF($L265&gt;=LI_A,$Y265,0),0)</f>
        <v>0</v>
      </c>
      <c r="CU265" s="5">
        <f>IF($L$262="Producción",IF($L265&gt;=LI_B,IF($L265&lt;LS_B,$Y265,0),0),0)</f>
        <v>0</v>
      </c>
      <c r="CV265" s="5">
        <f>IF($L$262="Producción",IF($L265&gt;=LI_C,IF($L265&lt;LS_C,$Y265,0),0),0)</f>
        <v>0</v>
      </c>
      <c r="CW265" s="5">
        <f>IF($L$262="Producción",IF($L265&lt;LS_D,$Y265,0),0)</f>
        <v>0</v>
      </c>
      <c r="CX265" s="5">
        <f>IF($L$262="Crecimiento",$Y265,0)</f>
        <v>0</v>
      </c>
      <c r="CY265" s="5">
        <f>IF($L262="Siembra",'6'!$Y$7,0)</f>
        <v>0</v>
      </c>
      <c r="CZ265" s="5">
        <f>IF($L262="Abandono",'6'!$Y$7,0)</f>
        <v>0</v>
      </c>
      <c r="DA265" s="5">
        <f>IF($M$262="Producción",IF($M265&gt;=LI_A,$Z265,0),0)</f>
        <v>0</v>
      </c>
      <c r="DB265" s="5">
        <f>IF($M$262="Producción",IF($M265&gt;=LI_B,IF($M265&lt;LS_B,$Z265,0),0),0)</f>
        <v>0</v>
      </c>
      <c r="DC265" s="5">
        <f>IF($M$262="Producción",IF($M265&gt;=LI_C,IF($M265&lt;LS_C,$Z265,0),0),0)</f>
        <v>0</v>
      </c>
      <c r="DD265" s="5">
        <f>IF($M$262="Producción",IF($M265&lt;LS_D,$Z265,0),0)</f>
        <v>0</v>
      </c>
      <c r="DE265" s="5">
        <f>IF($M$262="Crecimiento",$Z265,0)</f>
        <v>0</v>
      </c>
      <c r="DF265" s="5">
        <f>IF($M262="Siembra",'6'!$Z$7,0)</f>
        <v>0</v>
      </c>
      <c r="DG265" s="5">
        <f>IF($M262="Abandono",'6'!$Z$7,0)</f>
        <v>0</v>
      </c>
      <c r="DI265" s="5">
        <f t="shared" ref="DI265:DI269" si="1989">AB265*$B265</f>
        <v>0</v>
      </c>
      <c r="DJ265" s="5">
        <f t="shared" ref="DJ265:DJ269" si="1990">AC265*$B265</f>
        <v>0</v>
      </c>
      <c r="DK265" s="5">
        <f t="shared" ref="DK265:DK269" si="1991">AD265*$B265</f>
        <v>0</v>
      </c>
      <c r="DL265" s="5">
        <f t="shared" ref="DL265:DL269" si="1992">AE265*$B265</f>
        <v>0</v>
      </c>
      <c r="DM265" s="5">
        <f t="shared" ref="DM265:DM269" si="1993">AF265*$B265</f>
        <v>0</v>
      </c>
      <c r="DN265" s="5">
        <f t="shared" ref="DN265:DN269" si="1994">AI265*$C265</f>
        <v>0</v>
      </c>
      <c r="DO265" s="5">
        <f t="shared" ref="DO265:DO269" si="1995">AJ265*$C265</f>
        <v>0</v>
      </c>
      <c r="DP265" s="5">
        <f t="shared" ref="DP265:DP269" si="1996">AK265*$C265</f>
        <v>0</v>
      </c>
      <c r="DQ265" s="5">
        <f t="shared" ref="DQ265:DQ269" si="1997">AL265*$C265</f>
        <v>0</v>
      </c>
      <c r="DR265" s="5">
        <f t="shared" ref="DR265:DR269" si="1998">AM265*$C265</f>
        <v>0</v>
      </c>
      <c r="DS265" s="5">
        <f t="shared" ref="DS265:DS269" si="1999">AP265*$D265</f>
        <v>0</v>
      </c>
      <c r="DT265" s="5">
        <f t="shared" ref="DT265:DT269" si="2000">AQ265*$D265</f>
        <v>0</v>
      </c>
      <c r="DU265" s="5">
        <f t="shared" ref="DU265:DU269" si="2001">AR265*$D265</f>
        <v>0</v>
      </c>
      <c r="DV265" s="5">
        <f t="shared" ref="DV265:DV269" si="2002">AS265*$D265</f>
        <v>0</v>
      </c>
      <c r="DW265" s="5">
        <f t="shared" ref="DW265:DW269" si="2003">AT265*$D265</f>
        <v>0</v>
      </c>
      <c r="DX265" s="5">
        <f t="shared" ref="DX265:DX269" si="2004">AW265*$E265</f>
        <v>0</v>
      </c>
      <c r="DY265" s="5">
        <f t="shared" ref="DY265:DY269" si="2005">AX265*$E265</f>
        <v>0</v>
      </c>
      <c r="DZ265" s="5">
        <f t="shared" ref="DZ265:DZ269" si="2006">AY265*$E265</f>
        <v>0</v>
      </c>
      <c r="EA265" s="5">
        <f t="shared" ref="EA265:EA269" si="2007">AZ265*$E265</f>
        <v>0</v>
      </c>
      <c r="EB265" s="5">
        <f t="shared" ref="EB265:EB269" si="2008">BA265*$E265</f>
        <v>0</v>
      </c>
      <c r="EC265" s="5">
        <f t="shared" ref="EC265:EC269" si="2009">BD265*$F265</f>
        <v>0</v>
      </c>
      <c r="ED265" s="5">
        <f t="shared" ref="ED265:ED269" si="2010">BE265*$F265</f>
        <v>0</v>
      </c>
      <c r="EE265" s="5">
        <f t="shared" ref="EE265:EE269" si="2011">BF265*$F265</f>
        <v>0</v>
      </c>
      <c r="EF265" s="5">
        <f t="shared" ref="EF265:EF269" si="2012">BG265*$F265</f>
        <v>0</v>
      </c>
      <c r="EG265" s="5">
        <f t="shared" ref="EG265:EG269" si="2013">BH265*$F265</f>
        <v>0</v>
      </c>
      <c r="EH265" s="5">
        <f t="shared" ref="EH265:EH269" si="2014">BK265*$G265</f>
        <v>0</v>
      </c>
      <c r="EI265" s="5">
        <f t="shared" ref="EI265:EI269" si="2015">BL265*$G265</f>
        <v>0</v>
      </c>
      <c r="EJ265" s="5">
        <f t="shared" ref="EJ265:EJ269" si="2016">BM265*$G265</f>
        <v>0</v>
      </c>
      <c r="EK265" s="5">
        <f t="shared" ref="EK265:EK269" si="2017">BN265*$G265</f>
        <v>0</v>
      </c>
      <c r="EL265" s="5">
        <f t="shared" ref="EL265:EL269" si="2018">BO265*$G265</f>
        <v>0</v>
      </c>
      <c r="EM265" s="5">
        <f t="shared" ref="EM265:EM269" si="2019">BR265*$H265</f>
        <v>0</v>
      </c>
      <c r="EN265" s="5">
        <f t="shared" ref="EN265:EN269" si="2020">BS265*$H265</f>
        <v>0</v>
      </c>
      <c r="EO265" s="5">
        <f t="shared" ref="EO265:EO269" si="2021">BT265*$H265</f>
        <v>0</v>
      </c>
      <c r="EP265" s="5">
        <f t="shared" ref="EP265:EP269" si="2022">BU265*$H265</f>
        <v>0</v>
      </c>
      <c r="EQ265" s="5">
        <f t="shared" ref="EQ265:EQ269" si="2023">BV265*$H265</f>
        <v>0</v>
      </c>
      <c r="ER265" s="5">
        <f t="shared" ref="ER265:ER269" si="2024">BY265*$I265</f>
        <v>0</v>
      </c>
      <c r="ES265" s="5">
        <f t="shared" ref="ES265:ES269" si="2025">BZ265*$I265</f>
        <v>0</v>
      </c>
      <c r="ET265" s="5">
        <f t="shared" ref="ET265:ET269" si="2026">CA265*$I265</f>
        <v>0</v>
      </c>
      <c r="EU265" s="5">
        <f t="shared" ref="EU265:EU269" si="2027">CB265*$I265</f>
        <v>0</v>
      </c>
      <c r="EV265" s="5">
        <f t="shared" ref="EV265:EV269" si="2028">CC265*$I265</f>
        <v>0</v>
      </c>
      <c r="EW265" s="5">
        <f t="shared" ref="EW265:EW269" si="2029">CF265*$J265</f>
        <v>0</v>
      </c>
      <c r="EX265" s="5">
        <f t="shared" ref="EX265:EX269" si="2030">CG265*$J265</f>
        <v>0</v>
      </c>
      <c r="EY265" s="5">
        <f t="shared" ref="EY265:EY269" si="2031">CH265*$J265</f>
        <v>0</v>
      </c>
      <c r="EZ265" s="5">
        <f t="shared" ref="EZ265:EZ269" si="2032">CI265*$J265</f>
        <v>0</v>
      </c>
      <c r="FA265" s="5">
        <f t="shared" ref="FA265:FA269" si="2033">CJ265*$J265</f>
        <v>0</v>
      </c>
      <c r="FB265" s="5">
        <f t="shared" ref="FB265:FB269" si="2034">CM265*$K265</f>
        <v>0</v>
      </c>
      <c r="FC265" s="5">
        <f t="shared" ref="FC265:FC269" si="2035">CN265*$K265</f>
        <v>0</v>
      </c>
      <c r="FD265" s="5">
        <f t="shared" ref="FD265:FD269" si="2036">CO265*$K265</f>
        <v>0</v>
      </c>
      <c r="FE265" s="5">
        <f t="shared" ref="FE265:FE269" si="2037">CP265*$K265</f>
        <v>0</v>
      </c>
      <c r="FF265" s="5">
        <f t="shared" ref="FF265:FF269" si="2038">CQ265*$K265</f>
        <v>0</v>
      </c>
      <c r="FG265" s="5">
        <f t="shared" ref="FG265:FG269" si="2039">CT265*$L265</f>
        <v>0</v>
      </c>
      <c r="FH265" s="5">
        <f t="shared" ref="FH265:FH269" si="2040">CU265*$L265</f>
        <v>0</v>
      </c>
      <c r="FI265" s="5">
        <f t="shared" ref="FI265:FI269" si="2041">CV265*$L265</f>
        <v>0</v>
      </c>
      <c r="FJ265" s="5">
        <f t="shared" ref="FJ265:FJ269" si="2042">CW265*$L265</f>
        <v>0</v>
      </c>
      <c r="FK265" s="5">
        <f t="shared" ref="FK265:FK269" si="2043">CX265*$L265</f>
        <v>0</v>
      </c>
      <c r="FL265" s="5">
        <f t="shared" ref="FL265:FL269" si="2044">DA265*$M265</f>
        <v>0</v>
      </c>
      <c r="FM265" s="5">
        <f t="shared" ref="FM265:FM269" si="2045">DB265*$M265</f>
        <v>0</v>
      </c>
      <c r="FN265" s="5">
        <f t="shared" ref="FN265:FN269" si="2046">DC265*$M265</f>
        <v>0</v>
      </c>
      <c r="FO265" s="5">
        <f t="shared" ref="FO265:FO269" si="2047">DD265*$M265</f>
        <v>0</v>
      </c>
      <c r="FP265" s="5">
        <f t="shared" ref="FP265:FP269" si="2048">DE265*$M265</f>
        <v>0</v>
      </c>
    </row>
    <row r="266" spans="1:172" ht="20.100000000000001" customHeight="1" x14ac:dyDescent="0.3">
      <c r="A266" s="8" t="s">
        <v>303</v>
      </c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O266" s="58">
        <f>IFERROR('6'!O$135/Ciclo,0)</f>
        <v>0</v>
      </c>
      <c r="P266" s="58">
        <f>IFERROR('6'!P$135/Ciclo,0)</f>
        <v>0</v>
      </c>
      <c r="Q266" s="58">
        <f>IFERROR('6'!Q$135/Ciclo,0)</f>
        <v>0</v>
      </c>
      <c r="R266" s="58">
        <f>IFERROR('6'!R$135/Ciclo,0)</f>
        <v>0</v>
      </c>
      <c r="S266" s="58">
        <f>IFERROR('6'!S$135/Ciclo,0)</f>
        <v>0</v>
      </c>
      <c r="T266" s="58">
        <f>IFERROR('6'!T$135/Ciclo,0)</f>
        <v>0</v>
      </c>
      <c r="U266" s="58">
        <f>IFERROR('6'!U$135/Ciclo,0)</f>
        <v>0</v>
      </c>
      <c r="V266" s="58">
        <f>IFERROR('6'!V$135/Ciclo,0)</f>
        <v>0</v>
      </c>
      <c r="W266" s="5">
        <f>IFERROR('6'!W$135/Ciclo,0)</f>
        <v>0</v>
      </c>
      <c r="X266" s="5">
        <f>IFERROR('6'!X$135/Ciclo,0)</f>
        <v>0</v>
      </c>
      <c r="Y266" s="5">
        <f>IFERROR('6'!Y$135/Ciclo,0)</f>
        <v>0</v>
      </c>
      <c r="Z266" s="5">
        <f>IFERROR('6'!Z$135/Ciclo,0)</f>
        <v>0</v>
      </c>
      <c r="AB266" s="5">
        <f>IF($B$262="Producción",IF($B266&gt;=LI_A,$O266,0),0)</f>
        <v>0</v>
      </c>
      <c r="AC266" s="5">
        <f>IF($B$262="Producción",IF($B266&gt;=LI_B,IF($B266&lt;LS_B,$O266,0),0),0)</f>
        <v>0</v>
      </c>
      <c r="AD266" s="5">
        <f>IF($B$262="Producción",IF($B266&gt;=LI_C,IF($B266&lt;LS_C,$O266,0),0),0)</f>
        <v>0</v>
      </c>
      <c r="AE266" s="5">
        <f>IF($B$262="Producción",IF($B266&lt;LS_D,$O266,0),0)</f>
        <v>0</v>
      </c>
      <c r="AF266" s="5">
        <f t="shared" ref="AF266:AF269" si="2049">IF($B$262="Crecimiento",$O266,0)</f>
        <v>0</v>
      </c>
      <c r="AI266" s="5">
        <f>IF($C$262="Producción",IF($C266&gt;=LI_A,$P266,0),0)</f>
        <v>0</v>
      </c>
      <c r="AJ266" s="5">
        <f>IF($C$262="Producción",IF($C266&gt;=LI_B,IF($C266&lt;LS_B,$P266,0),0),0)</f>
        <v>0</v>
      </c>
      <c r="AK266" s="5">
        <f>IF($C$262="Producción",IF($C266&gt;=LI_C,IF($C266&lt;LS_C,$P266,0),0),0)</f>
        <v>0</v>
      </c>
      <c r="AL266" s="5">
        <f>IF($C$262="Producción",IF($C266&lt;LS_D,$P266,0),0)</f>
        <v>0</v>
      </c>
      <c r="AM266" s="5">
        <f>IF($C$262="Crecimiento",$P266,0)</f>
        <v>0</v>
      </c>
      <c r="AP266" s="5">
        <f>IF($D$262="Producción",IF($D266&gt;=LI_A,$Q266,0),0)</f>
        <v>0</v>
      </c>
      <c r="AQ266" s="5">
        <f>IF($D$262="Producción",IF($D266&gt;=LI_B,IF($D266&lt;LS_B,$Q266,0),0),0)</f>
        <v>0</v>
      </c>
      <c r="AR266" s="5">
        <f>IF($D$262="Producción",IF($D266&gt;=LI_C,IF($D266&lt;LS_C,$Q266,0),0),0)</f>
        <v>0</v>
      </c>
      <c r="AS266" s="5">
        <f>IF($D$262="Producción",IF($D266&lt;LS_D,$Q266,0),0)</f>
        <v>0</v>
      </c>
      <c r="AT266" s="5">
        <f>IF($D$262="Crecimiento",IF($D266&gt;0,$Q266,0),0)</f>
        <v>0</v>
      </c>
      <c r="AW266" s="5">
        <f>IF($E$262="Producción",IF($E266&gt;=LI_A,$R266,0),0)</f>
        <v>0</v>
      </c>
      <c r="AX266" s="5">
        <f>IF($E$262="Producción",IF($E266&gt;=LI_B,IF($E266&lt;LS_B,$R266,0),0),0)</f>
        <v>0</v>
      </c>
      <c r="AY266" s="5">
        <f>IF($E$262="Producción",IF($E266&gt;=LI_C,IF($E266&lt;LS_C,$R266,0),0),0)</f>
        <v>0</v>
      </c>
      <c r="AZ266" s="5">
        <f>IF($E$262="Producción",IF($E266&lt;LS_D,$R266,0),0)</f>
        <v>0</v>
      </c>
      <c r="BA266" s="5">
        <f>IF($E$262="Crecimiento",$R266,0)</f>
        <v>0</v>
      </c>
      <c r="BD266" s="5">
        <f>IF($F$262="Producción",IF($F266&gt;=LI_A,$S266,0),0)</f>
        <v>0</v>
      </c>
      <c r="BE266" s="5">
        <f>IF($F$262="Producción",IF($F266&gt;=LI_B,IF($F266&lt;LS_B,$S266,0),0),0)</f>
        <v>0</v>
      </c>
      <c r="BF266" s="5">
        <f>IF($F$262="Producción",IF($F266&gt;=LI_C,IF($F266&lt;LS_C,$S266,0),0),0)</f>
        <v>0</v>
      </c>
      <c r="BG266" s="5">
        <f>IF($F$262="Producción",IF($F266&lt;LS_D,$S266,0),0)</f>
        <v>0</v>
      </c>
      <c r="BH266" s="5">
        <f>IF($F$262="Crecimiento",$S266,0)</f>
        <v>0</v>
      </c>
      <c r="BK266" s="5">
        <f>IF($G$262="Producción",IF($G266&gt;=LI_A,$T266,0),0)</f>
        <v>0</v>
      </c>
      <c r="BL266" s="5">
        <f>IF($G$262="Producción",IF($G266&gt;=LI_B,IF($G266&lt;LS_B,$T266,0),0),0)</f>
        <v>0</v>
      </c>
      <c r="BM266" s="5">
        <f>IF($G$262="Producción",IF($G266&gt;=LI_C,IF($G266&lt;LS_C,$T266,0),0),0)</f>
        <v>0</v>
      </c>
      <c r="BN266" s="5">
        <f>IF($G$262="Producción",IF($G266&lt;LS_D,$T266,0),0)</f>
        <v>0</v>
      </c>
      <c r="BO266" s="5">
        <f>IF($G$262="Crecimiento",$T266,0)</f>
        <v>0</v>
      </c>
      <c r="BR266" s="5">
        <f>IF($H$262="Producción",IF($H266&gt;=LI_A,$U266,0),0)</f>
        <v>0</v>
      </c>
      <c r="BS266" s="5">
        <f>IF($H$262="Producción",IF($H266&gt;=LI_B,IF($H266&lt;LS_B,$U266,0),0),0)</f>
        <v>0</v>
      </c>
      <c r="BT266" s="5">
        <f>IF($H$262="Producción",IF($H266&gt;=LI_C,IF($H266&lt;LS_C,$U266,0),0),0)</f>
        <v>0</v>
      </c>
      <c r="BU266" s="5">
        <f>IF($H$262="Producción",IF($H266&lt;LS_D,$U266,0),0)</f>
        <v>0</v>
      </c>
      <c r="BV266" s="5">
        <f>IF($H$262="Crecimiento",$T266,0)</f>
        <v>0</v>
      </c>
      <c r="BY266" s="5">
        <f>IF($I$262="Producción",IF($I266&gt;=LI_A,$V266,0),0)</f>
        <v>0</v>
      </c>
      <c r="BZ266" s="5">
        <f>IF($I$262="Producción",IF($I266&gt;=LI_B,IF($I266&lt;LS_B,$V266,0),0),0)</f>
        <v>0</v>
      </c>
      <c r="CA266" s="5">
        <f>IF($I$262="Producción",IF($I266&gt;=LI_C,IF($I266&lt;LS_C,$V266,0),0),0)</f>
        <v>0</v>
      </c>
      <c r="CB266" s="5">
        <f>IF($I$262="Producción",IF($I266&lt;LS_D,$V266,0),0)</f>
        <v>0</v>
      </c>
      <c r="CC266" s="5">
        <f>IF($I$262="Crecimiento",$V266,0)</f>
        <v>0</v>
      </c>
      <c r="CF266" s="5">
        <f>IF($J$262="Producción",IF($J266&gt;=LI_A,$W266,0),0)</f>
        <v>0</v>
      </c>
      <c r="CG266" s="5">
        <f>IF($J$262="Producción",IF($J266&gt;=LI_B,IF($J266&lt;LS_B,$W266,0),0),0)</f>
        <v>0</v>
      </c>
      <c r="CH266" s="5">
        <f>IF($J$262="Producción",IF($J266&gt;=LI_C,IF($J266&lt;LS_C,$W266,0),0),0)</f>
        <v>0</v>
      </c>
      <c r="CI266" s="5">
        <f>IF($J$262="Producción",IF($J266&lt;LS_D,$W266,0),0)</f>
        <v>0</v>
      </c>
      <c r="CJ266" s="5">
        <f>IF($J$262="Crecimiento",$W266,0)</f>
        <v>0</v>
      </c>
      <c r="CM266" s="5">
        <f>IF($K$262="Producción",IF($K266&gt;=LI_A,$X266,0),0)</f>
        <v>0</v>
      </c>
      <c r="CN266" s="5">
        <f>IF($K$262="Producción",IF($K266&gt;=LI_B,IF($K266&lt;LS_B,$X266,0),0),0)</f>
        <v>0</v>
      </c>
      <c r="CO266" s="5">
        <f>IF($K$262="Producción",IF($K266&gt;=LI_C,IF($K266&lt;LS_C,$X266,0),0),0)</f>
        <v>0</v>
      </c>
      <c r="CP266" s="5">
        <f>IF($K$262="Producción",IF($K266&lt;LS_D,$X266,0),0)</f>
        <v>0</v>
      </c>
      <c r="CQ266" s="5">
        <f>IF($K$262="Crecimiento",$X266,0)</f>
        <v>0</v>
      </c>
      <c r="CT266" s="5">
        <f>IF($L$262="Producción",IF($L266&gt;=LI_A,$Y266,0),0)</f>
        <v>0</v>
      </c>
      <c r="CU266" s="5">
        <f>IF($L$262="Producción",IF($L266&gt;=LI_B,IF($L266&lt;LS_B,$Y266,0),0),0)</f>
        <v>0</v>
      </c>
      <c r="CV266" s="5">
        <f>IF($L$262="Producción",IF($L266&gt;=LI_C,IF($L266&lt;LS_C,$Y266,0),0),0)</f>
        <v>0</v>
      </c>
      <c r="CW266" s="5">
        <f>IF($L$262="Producción",IF($L266&lt;LS_D,$Y266,0),0)</f>
        <v>0</v>
      </c>
      <c r="CX266" s="5">
        <f>IF($L$262="Crecimiento",$Y266,0)</f>
        <v>0</v>
      </c>
      <c r="DA266" s="5">
        <f>IF($M$262="Producción",IF($M266&gt;=LI_A,$Z266,0),0)</f>
        <v>0</v>
      </c>
      <c r="DB266" s="5">
        <f>IF($M$262="Producción",IF($M266&gt;=LI_B,IF($M266&lt;LS_B,$Z266,0),0),0)</f>
        <v>0</v>
      </c>
      <c r="DC266" s="5">
        <f>IF($M$262="Producción",IF($M266&gt;=LI_C,IF($M266&lt;LS_C,$Z266,0),0),0)</f>
        <v>0</v>
      </c>
      <c r="DD266" s="5">
        <f>IF($M$262="Producción",IF($M266&lt;LS_D,$Z266,0),0)</f>
        <v>0</v>
      </c>
      <c r="DE266" s="5">
        <f>IF($M$262="Crecimiento",$Z266,0)</f>
        <v>0</v>
      </c>
      <c r="DI266" s="5">
        <f t="shared" si="1989"/>
        <v>0</v>
      </c>
      <c r="DJ266" s="5">
        <f t="shared" si="1990"/>
        <v>0</v>
      </c>
      <c r="DK266" s="5">
        <f t="shared" si="1991"/>
        <v>0</v>
      </c>
      <c r="DL266" s="5">
        <f t="shared" si="1992"/>
        <v>0</v>
      </c>
      <c r="DM266" s="5">
        <f t="shared" si="1993"/>
        <v>0</v>
      </c>
      <c r="DN266" s="5">
        <f t="shared" si="1994"/>
        <v>0</v>
      </c>
      <c r="DO266" s="5">
        <f t="shared" si="1995"/>
        <v>0</v>
      </c>
      <c r="DP266" s="5">
        <f t="shared" si="1996"/>
        <v>0</v>
      </c>
      <c r="DQ266" s="5">
        <f t="shared" si="1997"/>
        <v>0</v>
      </c>
      <c r="DR266" s="5">
        <f t="shared" si="1998"/>
        <v>0</v>
      </c>
      <c r="DS266" s="5">
        <f t="shared" si="1999"/>
        <v>0</v>
      </c>
      <c r="DT266" s="5">
        <f t="shared" si="2000"/>
        <v>0</v>
      </c>
      <c r="DU266" s="5">
        <f t="shared" si="2001"/>
        <v>0</v>
      </c>
      <c r="DV266" s="5">
        <f t="shared" si="2002"/>
        <v>0</v>
      </c>
      <c r="DW266" s="5">
        <f t="shared" si="2003"/>
        <v>0</v>
      </c>
      <c r="DX266" s="5">
        <f t="shared" si="2004"/>
        <v>0</v>
      </c>
      <c r="DY266" s="5">
        <f t="shared" si="2005"/>
        <v>0</v>
      </c>
      <c r="DZ266" s="5">
        <f t="shared" si="2006"/>
        <v>0</v>
      </c>
      <c r="EA266" s="5">
        <f t="shared" si="2007"/>
        <v>0</v>
      </c>
      <c r="EB266" s="5">
        <f t="shared" si="2008"/>
        <v>0</v>
      </c>
      <c r="EC266" s="5">
        <f t="shared" si="2009"/>
        <v>0</v>
      </c>
      <c r="ED266" s="5">
        <f t="shared" si="2010"/>
        <v>0</v>
      </c>
      <c r="EE266" s="5">
        <f t="shared" si="2011"/>
        <v>0</v>
      </c>
      <c r="EF266" s="5">
        <f t="shared" si="2012"/>
        <v>0</v>
      </c>
      <c r="EG266" s="5">
        <f t="shared" si="2013"/>
        <v>0</v>
      </c>
      <c r="EH266" s="5">
        <f t="shared" si="2014"/>
        <v>0</v>
      </c>
      <c r="EI266" s="5">
        <f t="shared" si="2015"/>
        <v>0</v>
      </c>
      <c r="EJ266" s="5">
        <f t="shared" si="2016"/>
        <v>0</v>
      </c>
      <c r="EK266" s="5">
        <f t="shared" si="2017"/>
        <v>0</v>
      </c>
      <c r="EL266" s="5">
        <f t="shared" si="2018"/>
        <v>0</v>
      </c>
      <c r="EM266" s="5">
        <f t="shared" si="2019"/>
        <v>0</v>
      </c>
      <c r="EN266" s="5">
        <f t="shared" si="2020"/>
        <v>0</v>
      </c>
      <c r="EO266" s="5">
        <f t="shared" si="2021"/>
        <v>0</v>
      </c>
      <c r="EP266" s="5">
        <f t="shared" si="2022"/>
        <v>0</v>
      </c>
      <c r="EQ266" s="5">
        <f t="shared" si="2023"/>
        <v>0</v>
      </c>
      <c r="ER266" s="5">
        <f t="shared" si="2024"/>
        <v>0</v>
      </c>
      <c r="ES266" s="5">
        <f t="shared" si="2025"/>
        <v>0</v>
      </c>
      <c r="ET266" s="5">
        <f t="shared" si="2026"/>
        <v>0</v>
      </c>
      <c r="EU266" s="5">
        <f t="shared" si="2027"/>
        <v>0</v>
      </c>
      <c r="EV266" s="5">
        <f t="shared" si="2028"/>
        <v>0</v>
      </c>
      <c r="EW266" s="5">
        <f t="shared" si="2029"/>
        <v>0</v>
      </c>
      <c r="EX266" s="5">
        <f t="shared" si="2030"/>
        <v>0</v>
      </c>
      <c r="EY266" s="5">
        <f t="shared" si="2031"/>
        <v>0</v>
      </c>
      <c r="EZ266" s="5">
        <f t="shared" si="2032"/>
        <v>0</v>
      </c>
      <c r="FA266" s="5">
        <f t="shared" si="2033"/>
        <v>0</v>
      </c>
      <c r="FB266" s="5">
        <f t="shared" si="2034"/>
        <v>0</v>
      </c>
      <c r="FC266" s="5">
        <f t="shared" si="2035"/>
        <v>0</v>
      </c>
      <c r="FD266" s="5">
        <f t="shared" si="2036"/>
        <v>0</v>
      </c>
      <c r="FE266" s="5">
        <f t="shared" si="2037"/>
        <v>0</v>
      </c>
      <c r="FF266" s="5">
        <f t="shared" si="2038"/>
        <v>0</v>
      </c>
      <c r="FG266" s="5">
        <f t="shared" si="2039"/>
        <v>0</v>
      </c>
      <c r="FH266" s="5">
        <f t="shared" si="2040"/>
        <v>0</v>
      </c>
      <c r="FI266" s="5">
        <f t="shared" si="2041"/>
        <v>0</v>
      </c>
      <c r="FJ266" s="5">
        <f t="shared" si="2042"/>
        <v>0</v>
      </c>
      <c r="FK266" s="5">
        <f t="shared" si="2043"/>
        <v>0</v>
      </c>
      <c r="FL266" s="5">
        <f t="shared" si="2044"/>
        <v>0</v>
      </c>
      <c r="FM266" s="5">
        <f t="shared" si="2045"/>
        <v>0</v>
      </c>
      <c r="FN266" s="5">
        <f t="shared" si="2046"/>
        <v>0</v>
      </c>
      <c r="FO266" s="5">
        <f t="shared" si="2047"/>
        <v>0</v>
      </c>
      <c r="FP266" s="5">
        <f t="shared" si="2048"/>
        <v>0</v>
      </c>
    </row>
    <row r="267" spans="1:172" ht="20.100000000000001" customHeight="1" x14ac:dyDescent="0.3">
      <c r="A267" s="8" t="str">
        <f>IF(Ciclo&gt;2,"Surco 3","NA")</f>
        <v>Surco 3</v>
      </c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O267" s="58">
        <f>IF($A267="NA",0,IFERROR('6'!O$135/Ciclo,0))</f>
        <v>0</v>
      </c>
      <c r="P267" s="58">
        <f>IF($A267="NA",0,IFERROR('6'!P$135/Ciclo,0))</f>
        <v>0</v>
      </c>
      <c r="Q267" s="58">
        <f>IF($A267="NA",0,IFERROR('6'!Q$135/Ciclo,0))</f>
        <v>0</v>
      </c>
      <c r="R267" s="58">
        <f>IF($A267="NA",0,IFERROR('6'!R$135/Ciclo,0))</f>
        <v>0</v>
      </c>
      <c r="S267" s="58">
        <f>IF($A267="NA",0,IFERROR('6'!S$135/Ciclo,0))</f>
        <v>0</v>
      </c>
      <c r="T267" s="58">
        <f>IF($A267="NA",0,IFERROR('6'!T$135/Ciclo,0))</f>
        <v>0</v>
      </c>
      <c r="U267" s="58">
        <f>IF($A267="NA",0,IFERROR('6'!U$135/Ciclo,0))</f>
        <v>0</v>
      </c>
      <c r="V267" s="58">
        <f>IF($A267="NA",0,IFERROR('6'!V$135/Ciclo,0))</f>
        <v>0</v>
      </c>
      <c r="W267" s="5">
        <f>IF($A267="NA",0,IFERROR('6'!W$135/Ciclo,0))</f>
        <v>0</v>
      </c>
      <c r="X267" s="5">
        <f>IF($A267="NA",0,IFERROR('6'!X$135/Ciclo,0))</f>
        <v>0</v>
      </c>
      <c r="Y267" s="5">
        <f>IF($A267="NA",0,IFERROR('6'!Y$135/Ciclo,0))</f>
        <v>0</v>
      </c>
      <c r="Z267" s="5">
        <f>IF($A267="NA",0,IFERROR('6'!Z$135/Ciclo,0))</f>
        <v>0</v>
      </c>
      <c r="AB267" s="5">
        <f>IF($B$262="Producción",IF($B267&gt;=LI_A,$O267,0),0)</f>
        <v>0</v>
      </c>
      <c r="AC267" s="5">
        <f>IF($B$262="Producción",IF($B267&gt;=LI_B,IF($B267&lt;LS_B,$O267,0),0),0)</f>
        <v>0</v>
      </c>
      <c r="AD267" s="5">
        <f>IF($B$262="Producción",IF($B267&gt;=LI_C,IF($B267&lt;LS_C,$O267,0),0),0)</f>
        <v>0</v>
      </c>
      <c r="AE267" s="5">
        <f>IF($B$262="Producción",IF($B267&lt;LS_D,$O267,0),0)</f>
        <v>0</v>
      </c>
      <c r="AF267" s="5">
        <f t="shared" si="2049"/>
        <v>0</v>
      </c>
      <c r="AI267" s="5">
        <f>IF($C$262="Producción",IF($C267&gt;=LI_A,$P267,0),0)</f>
        <v>0</v>
      </c>
      <c r="AJ267" s="5">
        <f>IF($C$262="Producción",IF($C267&gt;=LI_B,IF($C267&lt;LS_B,$P267,0),0),0)</f>
        <v>0</v>
      </c>
      <c r="AK267" s="5">
        <f>IF($C$262="Producción",IF($C267&gt;=LI_C,IF($C267&lt;LS_C,$P267,0),0),0)</f>
        <v>0</v>
      </c>
      <c r="AL267" s="5">
        <f>IF($C$262="Producción",IF($C267&lt;LS_D,$P267,0),0)</f>
        <v>0</v>
      </c>
      <c r="AM267" s="5">
        <f>IF($C$262="Crecimiento",$P267,0)</f>
        <v>0</v>
      </c>
      <c r="AP267" s="5">
        <f>IF($D$262="Producción",IF($D267&gt;=LI_A,$Q267,0),0)</f>
        <v>0</v>
      </c>
      <c r="AQ267" s="5">
        <f>IF($D$262="Producción",IF($D267&gt;=LI_B,IF($D267&lt;LS_B,$Q267,0),0),0)</f>
        <v>0</v>
      </c>
      <c r="AR267" s="5">
        <f>IF($D$262="Producción",IF($D267&gt;=LI_C,IF($D267&lt;LS_C,$Q267,0),0),0)</f>
        <v>0</v>
      </c>
      <c r="AS267" s="5">
        <f>IF($D$262="Producción",IF($D267&lt;LS_D,$Q267,0),0)</f>
        <v>0</v>
      </c>
      <c r="AT267" s="5">
        <f>IF($D$262="Crecimiento",IF($D267&gt;0,$Q267,0),0)</f>
        <v>0</v>
      </c>
      <c r="AW267" s="5">
        <f>IF($E$262="Producción",IF($E267&gt;=LI_A,$R267,0),0)</f>
        <v>0</v>
      </c>
      <c r="AX267" s="5">
        <f>IF($E$262="Producción",IF($E267&gt;=LI_B,IF($E267&lt;LS_B,$R267,0),0),0)</f>
        <v>0</v>
      </c>
      <c r="AY267" s="5">
        <f>IF($E$262="Producción",IF($E267&gt;=LI_C,IF($E267&lt;LS_C,$R267,0),0),0)</f>
        <v>0</v>
      </c>
      <c r="AZ267" s="5">
        <f>IF($E$262="Producción",IF($E267&lt;LS_D,$R267,0),0)</f>
        <v>0</v>
      </c>
      <c r="BA267" s="5">
        <f>IF($E$262="Crecimiento",$R267,0)</f>
        <v>0</v>
      </c>
      <c r="BD267" s="5">
        <f>IF($F$262="Producción",IF($F267&gt;=LI_A,$S267,0),0)</f>
        <v>0</v>
      </c>
      <c r="BE267" s="5">
        <f>IF($F$262="Producción",IF($F267&gt;=LI_B,IF($F267&lt;LS_B,$S267,0),0),0)</f>
        <v>0</v>
      </c>
      <c r="BF267" s="5">
        <f>IF($F$262="Producción",IF($F267&gt;=LI_C,IF($F267&lt;LS_C,$S267,0),0),0)</f>
        <v>0</v>
      </c>
      <c r="BG267" s="5">
        <f>IF($F$262="Producción",IF($F267&lt;LS_D,$S267,0),0)</f>
        <v>0</v>
      </c>
      <c r="BH267" s="5">
        <f>IF($F$262="Crecimiento",$S267,0)</f>
        <v>0</v>
      </c>
      <c r="BK267" s="5">
        <f>IF($G$262="Producción",IF($G267&gt;=LI_A,$T267,0),0)</f>
        <v>0</v>
      </c>
      <c r="BL267" s="5">
        <f>IF($G$262="Producción",IF($G267&gt;=LI_B,IF($G267&lt;LS_B,$T267,0),0),0)</f>
        <v>0</v>
      </c>
      <c r="BM267" s="5">
        <f>IF($G$262="Producción",IF($G267&gt;=LI_C,IF($G267&lt;LS_C,$T267,0),0),0)</f>
        <v>0</v>
      </c>
      <c r="BN267" s="5">
        <f>IF($G$262="Producción",IF($G267&lt;LS_D,$T267,0),0)</f>
        <v>0</v>
      </c>
      <c r="BO267" s="5">
        <f>IF($G$262="Crecimiento",$T267,0)</f>
        <v>0</v>
      </c>
      <c r="BR267" s="5">
        <f>IF($H$262="Producción",IF($H267&gt;=LI_A,$U267,0),0)</f>
        <v>0</v>
      </c>
      <c r="BS267" s="5">
        <f>IF($H$262="Producción",IF($H267&gt;=LI_B,IF($H267&lt;LS_B,$U267,0),0),0)</f>
        <v>0</v>
      </c>
      <c r="BT267" s="5">
        <f>IF($H$262="Producción",IF($H267&gt;=LI_C,IF($H267&lt;LS_C,$U267,0),0),0)</f>
        <v>0</v>
      </c>
      <c r="BU267" s="5">
        <f>IF($H$262="Producción",IF($H267&lt;LS_D,$U267,0),0)</f>
        <v>0</v>
      </c>
      <c r="BV267" s="5">
        <f>IF($H$262="Crecimiento",$T267,0)</f>
        <v>0</v>
      </c>
      <c r="BY267" s="5">
        <f>IF($I$262="Producción",IF($I267&gt;=LI_A,$V267,0),0)</f>
        <v>0</v>
      </c>
      <c r="BZ267" s="5">
        <f>IF($I$262="Producción",IF($I267&gt;=LI_B,IF($I267&lt;LS_B,$V267,0),0),0)</f>
        <v>0</v>
      </c>
      <c r="CA267" s="5">
        <f>IF($I$262="Producción",IF($I267&gt;=LI_C,IF($I267&lt;LS_C,$V267,0),0),0)</f>
        <v>0</v>
      </c>
      <c r="CB267" s="5">
        <f>IF($I$262="Producción",IF($I267&lt;LS_D,$V267,0),0)</f>
        <v>0</v>
      </c>
      <c r="CC267" s="5">
        <f>IF($I$262="Crecimiento",$V267,0)</f>
        <v>0</v>
      </c>
      <c r="CF267" s="5">
        <f>IF($J$262="Producción",IF($J267&gt;=LI_A,$W267,0),0)</f>
        <v>0</v>
      </c>
      <c r="CG267" s="5">
        <f>IF($J$262="Producción",IF($J267&gt;=LI_B,IF($J267&lt;LS_B,$W267,0),0),0)</f>
        <v>0</v>
      </c>
      <c r="CH267" s="5">
        <f>IF($J$262="Producción",IF($J267&gt;=LI_C,IF($J267&lt;LS_C,$W267,0),0),0)</f>
        <v>0</v>
      </c>
      <c r="CI267" s="5">
        <f>IF($J$262="Producción",IF($J267&lt;LS_D,$W267,0),0)</f>
        <v>0</v>
      </c>
      <c r="CJ267" s="5">
        <f>IF($J$262="Crecimiento",$W267,0)</f>
        <v>0</v>
      </c>
      <c r="CM267" s="5">
        <f>IF($K$262="Producción",IF($K267&gt;=LI_A,$X267,0),0)</f>
        <v>0</v>
      </c>
      <c r="CN267" s="5">
        <f>IF($K$262="Producción",IF($K267&gt;=LI_B,IF($K267&lt;LS_B,$X267,0),0),0)</f>
        <v>0</v>
      </c>
      <c r="CO267" s="5">
        <f>IF($K$262="Producción",IF($K267&gt;=LI_C,IF($K267&lt;LS_C,$X267,0),0),0)</f>
        <v>0</v>
      </c>
      <c r="CP267" s="5">
        <f>IF($K$262="Producción",IF($K267&lt;LS_D,$X267,0),0)</f>
        <v>0</v>
      </c>
      <c r="CQ267" s="5">
        <f>IF($K$262="Crecimiento",$X267,0)</f>
        <v>0</v>
      </c>
      <c r="CT267" s="5">
        <f>IF($L$262="Producción",IF($L267&gt;=LI_A,$Y267,0),0)</f>
        <v>0</v>
      </c>
      <c r="CU267" s="5">
        <f>IF($L$262="Producción",IF($L267&gt;=LI_B,IF($L267&lt;LS_B,$Y267,0),0),0)</f>
        <v>0</v>
      </c>
      <c r="CV267" s="5">
        <f>IF($L$262="Producción",IF($L267&gt;=LI_C,IF($L267&lt;LS_C,$Y267,0),0),0)</f>
        <v>0</v>
      </c>
      <c r="CW267" s="5">
        <f>IF($L$262="Producción",IF($L267&lt;LS_D,$Y267,0),0)</f>
        <v>0</v>
      </c>
      <c r="CX267" s="5">
        <f>IF($L$262="Crecimiento",$Y267,0)</f>
        <v>0</v>
      </c>
      <c r="DA267" s="5">
        <f>IF($M$262="Producción",IF($M267&gt;=LI_A,$Z267,0),0)</f>
        <v>0</v>
      </c>
      <c r="DB267" s="5">
        <f>IF($M$262="Producción",IF($M267&gt;=LI_B,IF($M267&lt;LS_B,$Z267,0),0),0)</f>
        <v>0</v>
      </c>
      <c r="DC267" s="5">
        <f>IF($M$262="Producción",IF($M267&gt;=LI_C,IF($M267&lt;LS_C,$Z267,0),0),0)</f>
        <v>0</v>
      </c>
      <c r="DD267" s="5">
        <f>IF($M$262="Producción",IF($M267&lt;LS_D,$Z267,0),0)</f>
        <v>0</v>
      </c>
      <c r="DE267" s="5">
        <f>IF($M$262="Crecimiento",$Z267,0)</f>
        <v>0</v>
      </c>
      <c r="DI267" s="5">
        <f t="shared" si="1989"/>
        <v>0</v>
      </c>
      <c r="DJ267" s="5">
        <f t="shared" si="1990"/>
        <v>0</v>
      </c>
      <c r="DK267" s="5">
        <f t="shared" si="1991"/>
        <v>0</v>
      </c>
      <c r="DL267" s="5">
        <f t="shared" si="1992"/>
        <v>0</v>
      </c>
      <c r="DM267" s="5">
        <f t="shared" si="1993"/>
        <v>0</v>
      </c>
      <c r="DN267" s="5">
        <f t="shared" si="1994"/>
        <v>0</v>
      </c>
      <c r="DO267" s="5">
        <f t="shared" si="1995"/>
        <v>0</v>
      </c>
      <c r="DP267" s="5">
        <f t="shared" si="1996"/>
        <v>0</v>
      </c>
      <c r="DQ267" s="5">
        <f t="shared" si="1997"/>
        <v>0</v>
      </c>
      <c r="DR267" s="5">
        <f t="shared" si="1998"/>
        <v>0</v>
      </c>
      <c r="DS267" s="5">
        <f t="shared" si="1999"/>
        <v>0</v>
      </c>
      <c r="DT267" s="5">
        <f t="shared" si="2000"/>
        <v>0</v>
      </c>
      <c r="DU267" s="5">
        <f t="shared" si="2001"/>
        <v>0</v>
      </c>
      <c r="DV267" s="5">
        <f t="shared" si="2002"/>
        <v>0</v>
      </c>
      <c r="DW267" s="5">
        <f t="shared" si="2003"/>
        <v>0</v>
      </c>
      <c r="DX267" s="5">
        <f t="shared" si="2004"/>
        <v>0</v>
      </c>
      <c r="DY267" s="5">
        <f t="shared" si="2005"/>
        <v>0</v>
      </c>
      <c r="DZ267" s="5">
        <f t="shared" si="2006"/>
        <v>0</v>
      </c>
      <c r="EA267" s="5">
        <f t="shared" si="2007"/>
        <v>0</v>
      </c>
      <c r="EB267" s="5">
        <f t="shared" si="2008"/>
        <v>0</v>
      </c>
      <c r="EC267" s="5">
        <f t="shared" si="2009"/>
        <v>0</v>
      </c>
      <c r="ED267" s="5">
        <f t="shared" si="2010"/>
        <v>0</v>
      </c>
      <c r="EE267" s="5">
        <f t="shared" si="2011"/>
        <v>0</v>
      </c>
      <c r="EF267" s="5">
        <f t="shared" si="2012"/>
        <v>0</v>
      </c>
      <c r="EG267" s="5">
        <f t="shared" si="2013"/>
        <v>0</v>
      </c>
      <c r="EH267" s="5">
        <f t="shared" si="2014"/>
        <v>0</v>
      </c>
      <c r="EI267" s="5">
        <f t="shared" si="2015"/>
        <v>0</v>
      </c>
      <c r="EJ267" s="5">
        <f t="shared" si="2016"/>
        <v>0</v>
      </c>
      <c r="EK267" s="5">
        <f t="shared" si="2017"/>
        <v>0</v>
      </c>
      <c r="EL267" s="5">
        <f t="shared" si="2018"/>
        <v>0</v>
      </c>
      <c r="EM267" s="5">
        <f t="shared" si="2019"/>
        <v>0</v>
      </c>
      <c r="EN267" s="5">
        <f t="shared" si="2020"/>
        <v>0</v>
      </c>
      <c r="EO267" s="5">
        <f t="shared" si="2021"/>
        <v>0</v>
      </c>
      <c r="EP267" s="5">
        <f t="shared" si="2022"/>
        <v>0</v>
      </c>
      <c r="EQ267" s="5">
        <f t="shared" si="2023"/>
        <v>0</v>
      </c>
      <c r="ER267" s="5">
        <f t="shared" si="2024"/>
        <v>0</v>
      </c>
      <c r="ES267" s="5">
        <f t="shared" si="2025"/>
        <v>0</v>
      </c>
      <c r="ET267" s="5">
        <f t="shared" si="2026"/>
        <v>0</v>
      </c>
      <c r="EU267" s="5">
        <f t="shared" si="2027"/>
        <v>0</v>
      </c>
      <c r="EV267" s="5">
        <f t="shared" si="2028"/>
        <v>0</v>
      </c>
      <c r="EW267" s="5">
        <f t="shared" si="2029"/>
        <v>0</v>
      </c>
      <c r="EX267" s="5">
        <f t="shared" si="2030"/>
        <v>0</v>
      </c>
      <c r="EY267" s="5">
        <f t="shared" si="2031"/>
        <v>0</v>
      </c>
      <c r="EZ267" s="5">
        <f t="shared" si="2032"/>
        <v>0</v>
      </c>
      <c r="FA267" s="5">
        <f t="shared" si="2033"/>
        <v>0</v>
      </c>
      <c r="FB267" s="5">
        <f t="shared" si="2034"/>
        <v>0</v>
      </c>
      <c r="FC267" s="5">
        <f t="shared" si="2035"/>
        <v>0</v>
      </c>
      <c r="FD267" s="5">
        <f t="shared" si="2036"/>
        <v>0</v>
      </c>
      <c r="FE267" s="5">
        <f t="shared" si="2037"/>
        <v>0</v>
      </c>
      <c r="FF267" s="5">
        <f t="shared" si="2038"/>
        <v>0</v>
      </c>
      <c r="FG267" s="5">
        <f t="shared" si="2039"/>
        <v>0</v>
      </c>
      <c r="FH267" s="5">
        <f t="shared" si="2040"/>
        <v>0</v>
      </c>
      <c r="FI267" s="5">
        <f t="shared" si="2041"/>
        <v>0</v>
      </c>
      <c r="FJ267" s="5">
        <f t="shared" si="2042"/>
        <v>0</v>
      </c>
      <c r="FK267" s="5">
        <f t="shared" si="2043"/>
        <v>0</v>
      </c>
      <c r="FL267" s="5">
        <f t="shared" si="2044"/>
        <v>0</v>
      </c>
      <c r="FM267" s="5">
        <f t="shared" si="2045"/>
        <v>0</v>
      </c>
      <c r="FN267" s="5">
        <f t="shared" si="2046"/>
        <v>0</v>
      </c>
      <c r="FO267" s="5">
        <f t="shared" si="2047"/>
        <v>0</v>
      </c>
      <c r="FP267" s="5">
        <f t="shared" si="2048"/>
        <v>0</v>
      </c>
    </row>
    <row r="268" spans="1:172" ht="20.100000000000001" customHeight="1" x14ac:dyDescent="0.3">
      <c r="A268" s="8" t="str">
        <f>IF(Ciclo=4,"Surco 4",IF(Ciclo=5,"Surco 4","NA"))</f>
        <v>NA</v>
      </c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O268" s="58">
        <f>IF($A268="NA",0,IFERROR('6'!O$135/Ciclo,0))</f>
        <v>0</v>
      </c>
      <c r="P268" s="58">
        <f>IF($A268="NA",0,IFERROR('6'!P$135/Ciclo,0))</f>
        <v>0</v>
      </c>
      <c r="Q268" s="58">
        <f>IF($A268="NA",0,IFERROR('6'!Q$135/Ciclo,0))</f>
        <v>0</v>
      </c>
      <c r="R268" s="58">
        <f>IF($A268="NA",0,IFERROR('6'!R$135/Ciclo,0))</f>
        <v>0</v>
      </c>
      <c r="S268" s="58">
        <f>IF($A268="NA",0,IFERROR('6'!S$135/Ciclo,0))</f>
        <v>0</v>
      </c>
      <c r="T268" s="58">
        <f>IF($A268="NA",0,IFERROR('6'!T$135/Ciclo,0))</f>
        <v>0</v>
      </c>
      <c r="U268" s="58">
        <f>IF($A268="NA",0,IFERROR('6'!U$135/Ciclo,0))</f>
        <v>0</v>
      </c>
      <c r="V268" s="58">
        <f>IF($A268="NA",0,IFERROR('6'!V$135/Ciclo,0))</f>
        <v>0</v>
      </c>
      <c r="W268" s="5">
        <f>IF($A268="NA",0,IFERROR('6'!W$135/Ciclo,0))</f>
        <v>0</v>
      </c>
      <c r="X268" s="5">
        <f>IF($A268="NA",0,IFERROR('6'!X$135/Ciclo,0))</f>
        <v>0</v>
      </c>
      <c r="Y268" s="5">
        <f>IF($A268="NA",0,IFERROR('6'!Y$135/Ciclo,0))</f>
        <v>0</v>
      </c>
      <c r="Z268" s="5">
        <f>IF($A268="NA",0,IFERROR('6'!Z$135/Ciclo,0))</f>
        <v>0</v>
      </c>
      <c r="AB268" s="5">
        <f>IF($B$262="Producción",IF($B268&gt;=LI_A,$O268,0),0)</f>
        <v>0</v>
      </c>
      <c r="AC268" s="5">
        <f>IF($B$262="Producción",IF($B268&gt;=LI_B,IF($B268&lt;LS_B,$O268,0),0),0)</f>
        <v>0</v>
      </c>
      <c r="AD268" s="5">
        <f>IF($B$262="Producción",IF($B268&gt;=LI_C,IF($B268&lt;LS_C,$O268,0),0),0)</f>
        <v>0</v>
      </c>
      <c r="AE268" s="5">
        <f>IF($B$262="Producción",IF($B268&lt;LS_D,$O268,0),0)</f>
        <v>0</v>
      </c>
      <c r="AF268" s="5">
        <f t="shared" si="2049"/>
        <v>0</v>
      </c>
      <c r="AI268" s="5">
        <f>IF($C$262="Producción",IF($C268&gt;=LI_A,$P268,0),0)</f>
        <v>0</v>
      </c>
      <c r="AJ268" s="5">
        <f>IF($C$262="Producción",IF($C268&gt;=LI_B,IF($C268&lt;LS_B,$P268,0),0),0)</f>
        <v>0</v>
      </c>
      <c r="AK268" s="5">
        <f>IF($C$262="Producción",IF($C268&gt;=LI_C,IF($C268&lt;LS_C,$P268,0),0),0)</f>
        <v>0</v>
      </c>
      <c r="AL268" s="5">
        <f>IF($C$262="Producción",IF($C268&lt;LS_D,$P268,0),0)</f>
        <v>0</v>
      </c>
      <c r="AM268" s="5">
        <f>IF($C$262="Crecimiento",$P268,0)</f>
        <v>0</v>
      </c>
      <c r="AP268" s="5">
        <f>IF($D$262="Producción",IF($D268&gt;=LI_A,$Q268,0),0)</f>
        <v>0</v>
      </c>
      <c r="AQ268" s="5">
        <f>IF($D$262="Producción",IF($D268&gt;=LI_B,IF($D268&lt;LS_B,$Q268,0),0),0)</f>
        <v>0</v>
      </c>
      <c r="AR268" s="5">
        <f>IF($D$262="Producción",IF($D268&gt;=LI_C,IF($D268&lt;LS_C,$Q268,0),0),0)</f>
        <v>0</v>
      </c>
      <c r="AS268" s="5">
        <f>IF($D$262="Producción",IF($D268&lt;LS_D,$Q268,0),0)</f>
        <v>0</v>
      </c>
      <c r="AT268" s="5">
        <f>IF($D$262="Crecimiento",IF($D268&gt;0,$Q268,0),0)</f>
        <v>0</v>
      </c>
      <c r="AW268" s="5">
        <f>IF($E$262="Producción",IF($E268&gt;=LI_A,$R268,0),0)</f>
        <v>0</v>
      </c>
      <c r="AX268" s="5">
        <f>IF($E$262="Producción",IF($E268&gt;=LI_B,IF($E268&lt;LS_B,$R268,0),0),0)</f>
        <v>0</v>
      </c>
      <c r="AY268" s="5">
        <f>IF($E$262="Producción",IF($E268&gt;=LI_C,IF($E268&lt;LS_C,$R268,0),0),0)</f>
        <v>0</v>
      </c>
      <c r="AZ268" s="5">
        <f>IF($E$262="Producción",IF($E268&lt;LS_D,$R268,0),0)</f>
        <v>0</v>
      </c>
      <c r="BA268" s="5">
        <f>IF($E$262="Crecimiento",$R268,0)</f>
        <v>0</v>
      </c>
      <c r="BD268" s="5">
        <f>IF($F$262="Producción",IF($F268&gt;=LI_A,$S268,0),0)</f>
        <v>0</v>
      </c>
      <c r="BE268" s="5">
        <f>IF($F$262="Producción",IF($F268&gt;=LI_B,IF($F268&lt;LS_B,$S268,0),0),0)</f>
        <v>0</v>
      </c>
      <c r="BF268" s="5">
        <f>IF($F$262="Producción",IF($F268&gt;=LI_C,IF($F268&lt;LS_C,$S268,0),0),0)</f>
        <v>0</v>
      </c>
      <c r="BG268" s="5">
        <f>IF($F$262="Producción",IF($F268&lt;LS_D,$S268,0),0)</f>
        <v>0</v>
      </c>
      <c r="BH268" s="5">
        <f>IF($F$262="Crecimiento",$S268,0)</f>
        <v>0</v>
      </c>
      <c r="BK268" s="5">
        <f>IF($G$262="Producción",IF($G268&gt;=LI_A,$T268,0),0)</f>
        <v>0</v>
      </c>
      <c r="BL268" s="5">
        <f>IF($G$262="Producción",IF($G268&gt;=LI_B,IF($G268&lt;LS_B,$T268,0),0),0)</f>
        <v>0</v>
      </c>
      <c r="BM268" s="5">
        <f>IF($G$262="Producción",IF($G268&gt;=LI_C,IF($G268&lt;LS_C,$T268,0),0),0)</f>
        <v>0</v>
      </c>
      <c r="BN268" s="5">
        <f>IF($G$262="Producción",IF($G268&lt;LS_D,$T268,0),0)</f>
        <v>0</v>
      </c>
      <c r="BO268" s="5">
        <f>IF($G$262="Crecimiento",$T268,0)</f>
        <v>0</v>
      </c>
      <c r="BR268" s="5">
        <f>IF($H$262="Producción",IF($H268&gt;=LI_A,$U268,0),0)</f>
        <v>0</v>
      </c>
      <c r="BS268" s="5">
        <f>IF($H$262="Producción",IF($H268&gt;=LI_B,IF($H268&lt;LS_B,$U268,0),0),0)</f>
        <v>0</v>
      </c>
      <c r="BT268" s="5">
        <f>IF($H$262="Producción",IF($H268&gt;=LI_C,IF($H268&lt;LS_C,$U268,0),0),0)</f>
        <v>0</v>
      </c>
      <c r="BU268" s="5">
        <f>IF($H$262="Producción",IF($H268&lt;LS_D,$U268,0),0)</f>
        <v>0</v>
      </c>
      <c r="BV268" s="5">
        <f>IF($H$262="Crecimiento",$T268,0)</f>
        <v>0</v>
      </c>
      <c r="BY268" s="5">
        <f>IF($I$262="Producción",IF($I268&gt;=LI_A,$V268,0),0)</f>
        <v>0</v>
      </c>
      <c r="BZ268" s="5">
        <f>IF($I$262="Producción",IF($I268&gt;=LI_B,IF($I268&lt;LS_B,$V268,0),0),0)</f>
        <v>0</v>
      </c>
      <c r="CA268" s="5">
        <f>IF($I$262="Producción",IF($I268&gt;=LI_C,IF($I268&lt;LS_C,$V268,0),0),0)</f>
        <v>0</v>
      </c>
      <c r="CB268" s="5">
        <f>IF($I$262="Producción",IF($I268&lt;LS_D,$V268,0),0)</f>
        <v>0</v>
      </c>
      <c r="CC268" s="5">
        <f>IF($I$262="Crecimiento",$V268,0)</f>
        <v>0</v>
      </c>
      <c r="CF268" s="5">
        <f>IF($J$262="Producción",IF($J268&gt;=LI_A,$W268,0),0)</f>
        <v>0</v>
      </c>
      <c r="CG268" s="5">
        <f>IF($J$262="Producción",IF($J268&gt;=LI_B,IF($J268&lt;LS_B,$W268,0),0),0)</f>
        <v>0</v>
      </c>
      <c r="CH268" s="5">
        <f>IF($J$262="Producción",IF($J268&gt;=LI_C,IF($J268&lt;LS_C,$W268,0),0),0)</f>
        <v>0</v>
      </c>
      <c r="CI268" s="5">
        <f>IF($J$262="Producción",IF($J268&lt;LS_D,$W268,0),0)</f>
        <v>0</v>
      </c>
      <c r="CJ268" s="5">
        <f>IF($J$262="Crecimiento",$W268,0)</f>
        <v>0</v>
      </c>
      <c r="CM268" s="5">
        <f>IF($K$262="Producción",IF($K268&gt;=LI_A,$X268,0),0)</f>
        <v>0</v>
      </c>
      <c r="CN268" s="5">
        <f>IF($K$262="Producción",IF($K268&gt;=LI_B,IF($K268&lt;LS_B,$X268,0),0),0)</f>
        <v>0</v>
      </c>
      <c r="CO268" s="5">
        <f>IF($K$262="Producción",IF($K268&gt;=LI_C,IF($K268&lt;LS_C,$X268,0),0),0)</f>
        <v>0</v>
      </c>
      <c r="CP268" s="5">
        <f>IF($K$262="Producción",IF($K268&lt;LS_D,$X268,0),0)</f>
        <v>0</v>
      </c>
      <c r="CQ268" s="5">
        <f>IF($K$262="Crecimiento",$X268,0)</f>
        <v>0</v>
      </c>
      <c r="CT268" s="5">
        <f>IF($L$262="Producción",IF($L268&gt;=LI_A,$Y268,0),0)</f>
        <v>0</v>
      </c>
      <c r="CU268" s="5">
        <f>IF($L$262="Producción",IF($L268&gt;=LI_B,IF($L268&lt;LS_B,$Y268,0),0),0)</f>
        <v>0</v>
      </c>
      <c r="CV268" s="5">
        <f>IF($L$262="Producción",IF($L268&gt;=LI_C,IF($L268&lt;LS_C,$Y268,0),0),0)</f>
        <v>0</v>
      </c>
      <c r="CW268" s="5">
        <f>IF($L$262="Producción",IF($L268&lt;LS_D,$Y268,0),0)</f>
        <v>0</v>
      </c>
      <c r="CX268" s="5">
        <f>IF($L$262="Crecimiento",$Y268,0)</f>
        <v>0</v>
      </c>
      <c r="DA268" s="5">
        <f>IF($M$262="Producción",IF($M268&gt;=LI_A,$Z268,0),0)</f>
        <v>0</v>
      </c>
      <c r="DB268" s="5">
        <f>IF($M$262="Producción",IF($M268&gt;=LI_B,IF($M268&lt;LS_B,$Z268,0),0),0)</f>
        <v>0</v>
      </c>
      <c r="DC268" s="5">
        <f>IF($M$262="Producción",IF($M268&gt;=LI_C,IF($M268&lt;LS_C,$Z268,0),0),0)</f>
        <v>0</v>
      </c>
      <c r="DD268" s="5">
        <f>IF($M$262="Producción",IF($M268&lt;LS_D,$Z268,0),0)</f>
        <v>0</v>
      </c>
      <c r="DE268" s="5">
        <f>IF($M$262="Crecimiento",$Z268,0)</f>
        <v>0</v>
      </c>
      <c r="DI268" s="5">
        <f t="shared" si="1989"/>
        <v>0</v>
      </c>
      <c r="DJ268" s="5">
        <f t="shared" si="1990"/>
        <v>0</v>
      </c>
      <c r="DK268" s="5">
        <f t="shared" si="1991"/>
        <v>0</v>
      </c>
      <c r="DL268" s="5">
        <f t="shared" si="1992"/>
        <v>0</v>
      </c>
      <c r="DM268" s="5">
        <f t="shared" si="1993"/>
        <v>0</v>
      </c>
      <c r="DN268" s="5">
        <f t="shared" si="1994"/>
        <v>0</v>
      </c>
      <c r="DO268" s="5">
        <f t="shared" si="1995"/>
        <v>0</v>
      </c>
      <c r="DP268" s="5">
        <f t="shared" si="1996"/>
        <v>0</v>
      </c>
      <c r="DQ268" s="5">
        <f t="shared" si="1997"/>
        <v>0</v>
      </c>
      <c r="DR268" s="5">
        <f t="shared" si="1998"/>
        <v>0</v>
      </c>
      <c r="DS268" s="5">
        <f t="shared" si="1999"/>
        <v>0</v>
      </c>
      <c r="DT268" s="5">
        <f t="shared" si="2000"/>
        <v>0</v>
      </c>
      <c r="DU268" s="5">
        <f t="shared" si="2001"/>
        <v>0</v>
      </c>
      <c r="DV268" s="5">
        <f t="shared" si="2002"/>
        <v>0</v>
      </c>
      <c r="DW268" s="5">
        <f t="shared" si="2003"/>
        <v>0</v>
      </c>
      <c r="DX268" s="5">
        <f t="shared" si="2004"/>
        <v>0</v>
      </c>
      <c r="DY268" s="5">
        <f t="shared" si="2005"/>
        <v>0</v>
      </c>
      <c r="DZ268" s="5">
        <f t="shared" si="2006"/>
        <v>0</v>
      </c>
      <c r="EA268" s="5">
        <f t="shared" si="2007"/>
        <v>0</v>
      </c>
      <c r="EB268" s="5">
        <f t="shared" si="2008"/>
        <v>0</v>
      </c>
      <c r="EC268" s="5">
        <f t="shared" si="2009"/>
        <v>0</v>
      </c>
      <c r="ED268" s="5">
        <f t="shared" si="2010"/>
        <v>0</v>
      </c>
      <c r="EE268" s="5">
        <f t="shared" si="2011"/>
        <v>0</v>
      </c>
      <c r="EF268" s="5">
        <f t="shared" si="2012"/>
        <v>0</v>
      </c>
      <c r="EG268" s="5">
        <f t="shared" si="2013"/>
        <v>0</v>
      </c>
      <c r="EH268" s="5">
        <f t="shared" si="2014"/>
        <v>0</v>
      </c>
      <c r="EI268" s="5">
        <f t="shared" si="2015"/>
        <v>0</v>
      </c>
      <c r="EJ268" s="5">
        <f t="shared" si="2016"/>
        <v>0</v>
      </c>
      <c r="EK268" s="5">
        <f t="shared" si="2017"/>
        <v>0</v>
      </c>
      <c r="EL268" s="5">
        <f t="shared" si="2018"/>
        <v>0</v>
      </c>
      <c r="EM268" s="5">
        <f t="shared" si="2019"/>
        <v>0</v>
      </c>
      <c r="EN268" s="5">
        <f t="shared" si="2020"/>
        <v>0</v>
      </c>
      <c r="EO268" s="5">
        <f t="shared" si="2021"/>
        <v>0</v>
      </c>
      <c r="EP268" s="5">
        <f t="shared" si="2022"/>
        <v>0</v>
      </c>
      <c r="EQ268" s="5">
        <f t="shared" si="2023"/>
        <v>0</v>
      </c>
      <c r="ER268" s="5">
        <f t="shared" si="2024"/>
        <v>0</v>
      </c>
      <c r="ES268" s="5">
        <f t="shared" si="2025"/>
        <v>0</v>
      </c>
      <c r="ET268" s="5">
        <f t="shared" si="2026"/>
        <v>0</v>
      </c>
      <c r="EU268" s="5">
        <f t="shared" si="2027"/>
        <v>0</v>
      </c>
      <c r="EV268" s="5">
        <f t="shared" si="2028"/>
        <v>0</v>
      </c>
      <c r="EW268" s="5">
        <f t="shared" si="2029"/>
        <v>0</v>
      </c>
      <c r="EX268" s="5">
        <f t="shared" si="2030"/>
        <v>0</v>
      </c>
      <c r="EY268" s="5">
        <f t="shared" si="2031"/>
        <v>0</v>
      </c>
      <c r="EZ268" s="5">
        <f t="shared" si="2032"/>
        <v>0</v>
      </c>
      <c r="FA268" s="5">
        <f t="shared" si="2033"/>
        <v>0</v>
      </c>
      <c r="FB268" s="5">
        <f t="shared" si="2034"/>
        <v>0</v>
      </c>
      <c r="FC268" s="5">
        <f t="shared" si="2035"/>
        <v>0</v>
      </c>
      <c r="FD268" s="5">
        <f t="shared" si="2036"/>
        <v>0</v>
      </c>
      <c r="FE268" s="5">
        <f t="shared" si="2037"/>
        <v>0</v>
      </c>
      <c r="FF268" s="5">
        <f t="shared" si="2038"/>
        <v>0</v>
      </c>
      <c r="FG268" s="5">
        <f t="shared" si="2039"/>
        <v>0</v>
      </c>
      <c r="FH268" s="5">
        <f t="shared" si="2040"/>
        <v>0</v>
      </c>
      <c r="FI268" s="5">
        <f t="shared" si="2041"/>
        <v>0</v>
      </c>
      <c r="FJ268" s="5">
        <f t="shared" si="2042"/>
        <v>0</v>
      </c>
      <c r="FK268" s="5">
        <f t="shared" si="2043"/>
        <v>0</v>
      </c>
      <c r="FL268" s="5">
        <f t="shared" si="2044"/>
        <v>0</v>
      </c>
      <c r="FM268" s="5">
        <f t="shared" si="2045"/>
        <v>0</v>
      </c>
      <c r="FN268" s="5">
        <f t="shared" si="2046"/>
        <v>0</v>
      </c>
      <c r="FO268" s="5">
        <f t="shared" si="2047"/>
        <v>0</v>
      </c>
      <c r="FP268" s="5">
        <f t="shared" si="2048"/>
        <v>0</v>
      </c>
    </row>
    <row r="269" spans="1:172" ht="20.100000000000001" customHeight="1" x14ac:dyDescent="0.3">
      <c r="A269" s="9" t="str">
        <f>IF(Ciclo=5,"Surco 5","NA")</f>
        <v>NA</v>
      </c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O269" s="58">
        <f>IF($A269="NA",0,IFERROR('6'!O$135/Ciclo,0))</f>
        <v>0</v>
      </c>
      <c r="P269" s="58">
        <f>IF($A269="NA",0,IFERROR('6'!P$135/Ciclo,0))</f>
        <v>0</v>
      </c>
      <c r="Q269" s="58">
        <f>IF($A269="NA",0,IFERROR('6'!Q$135/Ciclo,0))</f>
        <v>0</v>
      </c>
      <c r="R269" s="58">
        <f>IF($A269="NA",0,IFERROR('6'!R$135/Ciclo,0))</f>
        <v>0</v>
      </c>
      <c r="S269" s="58">
        <f>IF($A269="NA",0,IFERROR('6'!S$135/Ciclo,0))</f>
        <v>0</v>
      </c>
      <c r="T269" s="58">
        <f>IF($A269="NA",0,IFERROR('6'!T$135/Ciclo,0))</f>
        <v>0</v>
      </c>
      <c r="U269" s="58">
        <f>IF($A269="NA",0,IFERROR('6'!U$135/Ciclo,0))</f>
        <v>0</v>
      </c>
      <c r="V269" s="58">
        <f>IF($A269="NA",0,IFERROR('6'!V$135/Ciclo,0))</f>
        <v>0</v>
      </c>
      <c r="W269" s="5">
        <f>IF($A269="NA",0,IFERROR('6'!W$135/Ciclo,0))</f>
        <v>0</v>
      </c>
      <c r="X269" s="5">
        <f>IF($A269="NA",0,IFERROR('6'!X$135/Ciclo,0))</f>
        <v>0</v>
      </c>
      <c r="Y269" s="5">
        <f>IF($A269="NA",0,IFERROR('6'!Y$135/Ciclo,0))</f>
        <v>0</v>
      </c>
      <c r="Z269" s="5">
        <f>IF($A269="NA",0,IFERROR('6'!Z$135/Ciclo,0))</f>
        <v>0</v>
      </c>
      <c r="AB269" s="5">
        <f>IF($B$262="Producción",IF($B269&gt;=LI_A,$O269,0),0)</f>
        <v>0</v>
      </c>
      <c r="AC269" s="5">
        <f>IF($B$262="Producción",IF($B269&gt;=LI_B,IF($B269&lt;LS_B,$O269,0),0),0)</f>
        <v>0</v>
      </c>
      <c r="AD269" s="5">
        <f>IF($B$262="Producción",IF($B269&gt;=LI_C,IF($B269&lt;LS_C,$O269,0),0),0)</f>
        <v>0</v>
      </c>
      <c r="AE269" s="5">
        <f>IF($B$262="Producción",IF($B269&lt;LS_D,$O269,0),0)</f>
        <v>0</v>
      </c>
      <c r="AF269" s="5">
        <f t="shared" si="2049"/>
        <v>0</v>
      </c>
      <c r="AI269" s="5">
        <f>IF($C$262="Producción",IF($C269&gt;=LI_A,$P269,0),0)</f>
        <v>0</v>
      </c>
      <c r="AJ269" s="5">
        <f>IF($C$262="Producción",IF($C269&gt;=LI_B,IF($C269&lt;LS_B,$P269,0),0),0)</f>
        <v>0</v>
      </c>
      <c r="AK269" s="5">
        <f>IF($C$262="Producción",IF($C269&gt;=LI_C,IF($C269&lt;LS_C,$P269,0),0),0)</f>
        <v>0</v>
      </c>
      <c r="AL269" s="5">
        <f>IF($C$262="Producción",IF($C269&lt;LS_D,$P269,0),0)</f>
        <v>0</v>
      </c>
      <c r="AM269" s="5">
        <f>IF($C$262="Crecimiento",$P269,0)</f>
        <v>0</v>
      </c>
      <c r="AP269" s="5">
        <f>IF($D$262="Producción",IF($D269&gt;=LI_A,$Q269,0),0)</f>
        <v>0</v>
      </c>
      <c r="AQ269" s="5">
        <f>IF($D$262="Producción",IF($D269&gt;=LI_B,IF($D269&lt;LS_B,$Q269,0),0),0)</f>
        <v>0</v>
      </c>
      <c r="AR269" s="5">
        <f>IF($D$262="Producción",IF($D269&gt;=LI_C,IF($D269&lt;LS_C,$Q269,0),0),0)</f>
        <v>0</v>
      </c>
      <c r="AS269" s="5">
        <f>IF($D$262="Producción",IF($D269&lt;LS_D,$Q269,0),0)</f>
        <v>0</v>
      </c>
      <c r="AT269" s="5">
        <f>IF($D$262="Crecimiento",IF($D269&gt;0,$Q269,0),0)</f>
        <v>0</v>
      </c>
      <c r="AW269" s="5">
        <f>IF($E$262="Producción",IF($E269&gt;=LI_A,$R269,0),0)</f>
        <v>0</v>
      </c>
      <c r="AX269" s="5">
        <f>IF($E$262="Producción",IF($E269&gt;=LI_B,IF($E269&lt;LS_B,$R269,0),0),0)</f>
        <v>0</v>
      </c>
      <c r="AY269" s="5">
        <f>IF($E$262="Producción",IF($E269&gt;=LI_C,IF($E269&lt;LS_C,$R269,0),0),0)</f>
        <v>0</v>
      </c>
      <c r="AZ269" s="5">
        <f>IF($E$262="Producción",IF($E269&lt;LS_D,$R269,0),0)</f>
        <v>0</v>
      </c>
      <c r="BA269" s="5">
        <f>IF($E$262="Crecimiento",$R269,0)</f>
        <v>0</v>
      </c>
      <c r="BD269" s="5">
        <f>IF($F$262="Producción",IF($F269&gt;=LI_A,$S269,0),0)</f>
        <v>0</v>
      </c>
      <c r="BE269" s="5">
        <f>IF($F$262="Producción",IF($F269&gt;=LI_B,IF($F269&lt;LS_B,$S269,0),0),0)</f>
        <v>0</v>
      </c>
      <c r="BF269" s="5">
        <f>IF($F$262="Producción",IF($F269&gt;=LI_C,IF($F269&lt;LS_C,$S269,0),0),0)</f>
        <v>0</v>
      </c>
      <c r="BG269" s="5">
        <f>IF($F$262="Producción",IF($F269&lt;LS_D,$S269,0),0)</f>
        <v>0</v>
      </c>
      <c r="BH269" s="5">
        <f>IF($F$262="Crecimiento",$S269,0)</f>
        <v>0</v>
      </c>
      <c r="BK269" s="5">
        <f>IF($G$262="Producción",IF($G269&gt;=LI_A,$T269,0),0)</f>
        <v>0</v>
      </c>
      <c r="BL269" s="5">
        <f>IF($G$262="Producción",IF($G269&gt;=LI_B,IF($G269&lt;LS_B,$T269,0),0),0)</f>
        <v>0</v>
      </c>
      <c r="BM269" s="5">
        <f>IF($G$262="Producción",IF($G269&gt;=LI_C,IF($G269&lt;LS_C,$T269,0),0),0)</f>
        <v>0</v>
      </c>
      <c r="BN269" s="5">
        <f>IF($G$262="Producción",IF($G269&lt;LS_D,$T269,0),0)</f>
        <v>0</v>
      </c>
      <c r="BO269" s="5">
        <f>IF($G$262="Crecimiento",$T269,0)</f>
        <v>0</v>
      </c>
      <c r="BR269" s="5">
        <f>IF($H$262="Producción",IF($H269&gt;=LI_A,$U269,0),0)</f>
        <v>0</v>
      </c>
      <c r="BS269" s="5">
        <f>IF($H$262="Producción",IF($H269&gt;=LI_B,IF($H269&lt;LS_B,$U269,0),0),0)</f>
        <v>0</v>
      </c>
      <c r="BT269" s="5">
        <f>IF($H$262="Producción",IF($H269&gt;=LI_C,IF($H269&lt;LS_C,$U269,0),0),0)</f>
        <v>0</v>
      </c>
      <c r="BU269" s="5">
        <f>IF($H$262="Producción",IF($H269&lt;LS_D,$U269,0),0)</f>
        <v>0</v>
      </c>
      <c r="BV269" s="5">
        <f>IF($H$262="Crecimiento",$T269,0)</f>
        <v>0</v>
      </c>
      <c r="BY269" s="5">
        <f>IF($I$262="Producción",IF($I269&gt;=LI_A,$V269,0),0)</f>
        <v>0</v>
      </c>
      <c r="BZ269" s="5">
        <f>IF($I$262="Producción",IF($I269&gt;=LI_B,IF($I269&lt;LS_B,$V269,0),0),0)</f>
        <v>0</v>
      </c>
      <c r="CA269" s="5">
        <f>IF($I$262="Producción",IF($I269&gt;=LI_C,IF($I269&lt;LS_C,$V269,0),0),0)</f>
        <v>0</v>
      </c>
      <c r="CB269" s="5">
        <f>IF($I$262="Producción",IF($I269&lt;LS_D,$V269,0),0)</f>
        <v>0</v>
      </c>
      <c r="CC269" s="5">
        <f>IF($I$262="Crecimiento",$V269,0)</f>
        <v>0</v>
      </c>
      <c r="CF269" s="5">
        <f>IF($J$262="Producción",IF($J269&gt;=LI_A,$W269,0),0)</f>
        <v>0</v>
      </c>
      <c r="CG269" s="5">
        <f>IF($J$262="Producción",IF($J269&gt;=LI_B,IF($J269&lt;LS_B,$W269,0),0),0)</f>
        <v>0</v>
      </c>
      <c r="CH269" s="5">
        <f>IF($J$262="Producción",IF($J269&gt;=LI_C,IF($J269&lt;LS_C,$W269,0),0),0)</f>
        <v>0</v>
      </c>
      <c r="CI269" s="5">
        <f>IF($J$262="Producción",IF($J269&lt;LS_D,$W269,0),0)</f>
        <v>0</v>
      </c>
      <c r="CJ269" s="5">
        <f>IF($J$262="Crecimiento",$W269,0)</f>
        <v>0</v>
      </c>
      <c r="CM269" s="5">
        <f>IF($K$262="Producción",IF($K269&gt;=LI_A,$X269,0),0)</f>
        <v>0</v>
      </c>
      <c r="CN269" s="5">
        <f>IF($K$262="Producción",IF($K269&gt;=LI_B,IF($K269&lt;LS_B,$X269,0),0),0)</f>
        <v>0</v>
      </c>
      <c r="CO269" s="5">
        <f>IF($K$262="Producción",IF($K269&gt;=LI_C,IF($K269&lt;LS_C,$X269,0),0),0)</f>
        <v>0</v>
      </c>
      <c r="CP269" s="5">
        <f>IF($K$262="Producción",IF($K269&lt;LS_D,$X269,0),0)</f>
        <v>0</v>
      </c>
      <c r="CQ269" s="5">
        <f>IF($K$262="Crecimiento",$X269,0)</f>
        <v>0</v>
      </c>
      <c r="CT269" s="5">
        <f>IF($L$262="Producción",IF($L269&gt;=LI_A,$Y269,0),0)</f>
        <v>0</v>
      </c>
      <c r="CU269" s="5">
        <f>IF($L$262="Producción",IF($L269&gt;=LI_B,IF($L269&lt;LS_B,$Y269,0),0),0)</f>
        <v>0</v>
      </c>
      <c r="CV269" s="5">
        <f>IF($L$262="Producción",IF($L269&gt;=LI_C,IF($L269&lt;LS_C,$Y269,0),0),0)</f>
        <v>0</v>
      </c>
      <c r="CW269" s="5">
        <f>IF($L$262="Producción",IF($L269&lt;LS_D,$Y269,0),0)</f>
        <v>0</v>
      </c>
      <c r="CX269" s="5">
        <f>IF($L$262="Crecimiento",$Y269,0)</f>
        <v>0</v>
      </c>
      <c r="DA269" s="5">
        <f>IF($M$262="Producción",IF($M269&gt;=LI_A,$Z269,0),0)</f>
        <v>0</v>
      </c>
      <c r="DB269" s="5">
        <f>IF($M$262="Producción",IF($M269&gt;=LI_B,IF($M269&lt;LS_B,$Z269,0),0),0)</f>
        <v>0</v>
      </c>
      <c r="DC269" s="5">
        <f>IF($M$262="Producción",IF($M269&gt;=LI_C,IF($M269&lt;LS_C,$Z269,0),0),0)</f>
        <v>0</v>
      </c>
      <c r="DD269" s="5">
        <f>IF($M$262="Producción",IF($M269&lt;LS_D,$Z269,0),0)</f>
        <v>0</v>
      </c>
      <c r="DE269" s="5">
        <f>IF($M$262="Crecimiento",$Z269,0)</f>
        <v>0</v>
      </c>
      <c r="DI269" s="5">
        <f t="shared" si="1989"/>
        <v>0</v>
      </c>
      <c r="DJ269" s="5">
        <f t="shared" si="1990"/>
        <v>0</v>
      </c>
      <c r="DK269" s="5">
        <f t="shared" si="1991"/>
        <v>0</v>
      </c>
      <c r="DL269" s="5">
        <f t="shared" si="1992"/>
        <v>0</v>
      </c>
      <c r="DM269" s="5">
        <f t="shared" si="1993"/>
        <v>0</v>
      </c>
      <c r="DN269" s="5">
        <f t="shared" si="1994"/>
        <v>0</v>
      </c>
      <c r="DO269" s="5">
        <f t="shared" si="1995"/>
        <v>0</v>
      </c>
      <c r="DP269" s="5">
        <f t="shared" si="1996"/>
        <v>0</v>
      </c>
      <c r="DQ269" s="5">
        <f t="shared" si="1997"/>
        <v>0</v>
      </c>
      <c r="DR269" s="5">
        <f t="shared" si="1998"/>
        <v>0</v>
      </c>
      <c r="DS269" s="5">
        <f t="shared" si="1999"/>
        <v>0</v>
      </c>
      <c r="DT269" s="5">
        <f t="shared" si="2000"/>
        <v>0</v>
      </c>
      <c r="DU269" s="5">
        <f t="shared" si="2001"/>
        <v>0</v>
      </c>
      <c r="DV269" s="5">
        <f t="shared" si="2002"/>
        <v>0</v>
      </c>
      <c r="DW269" s="5">
        <f t="shared" si="2003"/>
        <v>0</v>
      </c>
      <c r="DX269" s="5">
        <f t="shared" si="2004"/>
        <v>0</v>
      </c>
      <c r="DY269" s="5">
        <f t="shared" si="2005"/>
        <v>0</v>
      </c>
      <c r="DZ269" s="5">
        <f t="shared" si="2006"/>
        <v>0</v>
      </c>
      <c r="EA269" s="5">
        <f t="shared" si="2007"/>
        <v>0</v>
      </c>
      <c r="EB269" s="5">
        <f t="shared" si="2008"/>
        <v>0</v>
      </c>
      <c r="EC269" s="5">
        <f t="shared" si="2009"/>
        <v>0</v>
      </c>
      <c r="ED269" s="5">
        <f t="shared" si="2010"/>
        <v>0</v>
      </c>
      <c r="EE269" s="5">
        <f t="shared" si="2011"/>
        <v>0</v>
      </c>
      <c r="EF269" s="5">
        <f t="shared" si="2012"/>
        <v>0</v>
      </c>
      <c r="EG269" s="5">
        <f t="shared" si="2013"/>
        <v>0</v>
      </c>
      <c r="EH269" s="5">
        <f t="shared" si="2014"/>
        <v>0</v>
      </c>
      <c r="EI269" s="5">
        <f t="shared" si="2015"/>
        <v>0</v>
      </c>
      <c r="EJ269" s="5">
        <f t="shared" si="2016"/>
        <v>0</v>
      </c>
      <c r="EK269" s="5">
        <f t="shared" si="2017"/>
        <v>0</v>
      </c>
      <c r="EL269" s="5">
        <f t="shared" si="2018"/>
        <v>0</v>
      </c>
      <c r="EM269" s="5">
        <f t="shared" si="2019"/>
        <v>0</v>
      </c>
      <c r="EN269" s="5">
        <f t="shared" si="2020"/>
        <v>0</v>
      </c>
      <c r="EO269" s="5">
        <f t="shared" si="2021"/>
        <v>0</v>
      </c>
      <c r="EP269" s="5">
        <f t="shared" si="2022"/>
        <v>0</v>
      </c>
      <c r="EQ269" s="5">
        <f t="shared" si="2023"/>
        <v>0</v>
      </c>
      <c r="ER269" s="5">
        <f t="shared" si="2024"/>
        <v>0</v>
      </c>
      <c r="ES269" s="5">
        <f t="shared" si="2025"/>
        <v>0</v>
      </c>
      <c r="ET269" s="5">
        <f t="shared" si="2026"/>
        <v>0</v>
      </c>
      <c r="EU269" s="5">
        <f t="shared" si="2027"/>
        <v>0</v>
      </c>
      <c r="EV269" s="5">
        <f t="shared" si="2028"/>
        <v>0</v>
      </c>
      <c r="EW269" s="5">
        <f t="shared" si="2029"/>
        <v>0</v>
      </c>
      <c r="EX269" s="5">
        <f t="shared" si="2030"/>
        <v>0</v>
      </c>
      <c r="EY269" s="5">
        <f t="shared" si="2031"/>
        <v>0</v>
      </c>
      <c r="EZ269" s="5">
        <f t="shared" si="2032"/>
        <v>0</v>
      </c>
      <c r="FA269" s="5">
        <f t="shared" si="2033"/>
        <v>0</v>
      </c>
      <c r="FB269" s="5">
        <f t="shared" si="2034"/>
        <v>0</v>
      </c>
      <c r="FC269" s="5">
        <f t="shared" si="2035"/>
        <v>0</v>
      </c>
      <c r="FD269" s="5">
        <f t="shared" si="2036"/>
        <v>0</v>
      </c>
      <c r="FE269" s="5">
        <f t="shared" si="2037"/>
        <v>0</v>
      </c>
      <c r="FF269" s="5">
        <f t="shared" si="2038"/>
        <v>0</v>
      </c>
      <c r="FG269" s="5">
        <f t="shared" si="2039"/>
        <v>0</v>
      </c>
      <c r="FH269" s="5">
        <f t="shared" si="2040"/>
        <v>0</v>
      </c>
      <c r="FI269" s="5">
        <f t="shared" si="2041"/>
        <v>0</v>
      </c>
      <c r="FJ269" s="5">
        <f t="shared" si="2042"/>
        <v>0</v>
      </c>
      <c r="FK269" s="5">
        <f t="shared" si="2043"/>
        <v>0</v>
      </c>
      <c r="FL269" s="5">
        <f t="shared" si="2044"/>
        <v>0</v>
      </c>
      <c r="FM269" s="5">
        <f t="shared" si="2045"/>
        <v>0</v>
      </c>
      <c r="FN269" s="5">
        <f t="shared" si="2046"/>
        <v>0</v>
      </c>
      <c r="FO269" s="5">
        <f t="shared" si="2047"/>
        <v>0</v>
      </c>
      <c r="FP269" s="5">
        <f t="shared" si="2048"/>
        <v>0</v>
      </c>
    </row>
    <row r="270" spans="1:172" ht="20.100000000000001" customHeight="1" x14ac:dyDescent="0.3">
      <c r="A270" s="172">
        <f>N_L34</f>
        <v>0</v>
      </c>
      <c r="B270" s="363" t="s">
        <v>37</v>
      </c>
      <c r="C270" s="363" t="s">
        <v>37</v>
      </c>
      <c r="D270" s="363" t="s">
        <v>37</v>
      </c>
      <c r="E270" s="363" t="s">
        <v>37</v>
      </c>
      <c r="F270" s="363" t="s">
        <v>37</v>
      </c>
      <c r="G270" s="363" t="s">
        <v>37</v>
      </c>
      <c r="H270" s="363" t="s">
        <v>37</v>
      </c>
      <c r="I270" s="363" t="s">
        <v>37</v>
      </c>
      <c r="J270" s="363" t="s">
        <v>37</v>
      </c>
      <c r="K270" s="363" t="s">
        <v>37</v>
      </c>
      <c r="L270" s="363" t="s">
        <v>37</v>
      </c>
      <c r="M270" s="363" t="s">
        <v>37</v>
      </c>
    </row>
    <row r="271" spans="1:172" ht="20.100000000000001" customHeight="1" x14ac:dyDescent="0.3">
      <c r="A271" s="175" t="s">
        <v>238</v>
      </c>
      <c r="B271" s="174">
        <f>SUM(DI273:DM277)/100</f>
        <v>0</v>
      </c>
      <c r="C271" s="174">
        <f>SUM(DN273:DR277)/100</f>
        <v>0</v>
      </c>
      <c r="D271" s="174">
        <f>SUM(DS273:DW277)/100</f>
        <v>0</v>
      </c>
      <c r="E271" s="174">
        <f>SUM(DX273:EB277)/100</f>
        <v>0</v>
      </c>
      <c r="F271" s="174">
        <f>SUM(EC273:EG277)/100</f>
        <v>0</v>
      </c>
      <c r="G271" s="174">
        <f>SUM(EH273:EL277)/100</f>
        <v>0</v>
      </c>
      <c r="H271" s="174">
        <f>SUM(EM273:EQ277)/100</f>
        <v>0</v>
      </c>
      <c r="I271" s="174">
        <f>SUM(ER273:EV277)/100</f>
        <v>0</v>
      </c>
      <c r="J271" s="174">
        <f>SUM(EW273:FA277)/100</f>
        <v>0</v>
      </c>
      <c r="K271" s="174">
        <f>SUM(FB273:FF277)/100</f>
        <v>0</v>
      </c>
      <c r="L271" s="174">
        <f>SUM(FG273:FK277)/100</f>
        <v>0</v>
      </c>
      <c r="M271" s="174">
        <f>SUM(FL273:FP277)/100</f>
        <v>0</v>
      </c>
    </row>
    <row r="272" spans="1:172" ht="20.100000000000001" customHeight="1" x14ac:dyDescent="0.3">
      <c r="A272" s="151" t="s">
        <v>239</v>
      </c>
      <c r="B272" s="152" t="e">
        <f t="shared" ref="B272:M272" si="2050">B271/Lote_34</f>
        <v>#DIV/0!</v>
      </c>
      <c r="C272" s="152" t="e">
        <f t="shared" si="2050"/>
        <v>#DIV/0!</v>
      </c>
      <c r="D272" s="152" t="e">
        <f t="shared" si="2050"/>
        <v>#DIV/0!</v>
      </c>
      <c r="E272" s="152" t="e">
        <f t="shared" si="2050"/>
        <v>#DIV/0!</v>
      </c>
      <c r="F272" s="152" t="e">
        <f t="shared" si="2050"/>
        <v>#DIV/0!</v>
      </c>
      <c r="G272" s="152" t="e">
        <f t="shared" si="2050"/>
        <v>#DIV/0!</v>
      </c>
      <c r="H272" s="152" t="e">
        <f t="shared" si="2050"/>
        <v>#DIV/0!</v>
      </c>
      <c r="I272" s="152" t="e">
        <f t="shared" si="2050"/>
        <v>#DIV/0!</v>
      </c>
      <c r="J272" s="152" t="e">
        <f t="shared" si="2050"/>
        <v>#DIV/0!</v>
      </c>
      <c r="K272" s="152" t="e">
        <f t="shared" si="2050"/>
        <v>#DIV/0!</v>
      </c>
      <c r="L272" s="152" t="e">
        <f t="shared" si="2050"/>
        <v>#DIV/0!</v>
      </c>
      <c r="M272" s="152" t="e">
        <f t="shared" si="2050"/>
        <v>#DIV/0!</v>
      </c>
    </row>
    <row r="273" spans="1:172" ht="20.100000000000001" customHeight="1" x14ac:dyDescent="0.3">
      <c r="A273" s="8" t="s">
        <v>302</v>
      </c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O273" s="58">
        <f>IFERROR('6'!O$139/Ciclo,0)</f>
        <v>0</v>
      </c>
      <c r="P273" s="58">
        <f>IFERROR('6'!P$139/Ciclo,0)</f>
        <v>0</v>
      </c>
      <c r="Q273" s="58">
        <f>IFERROR('6'!Q$139/Ciclo,0)</f>
        <v>0</v>
      </c>
      <c r="R273" s="58">
        <f>IFERROR('6'!R$139/Ciclo,0)</f>
        <v>0</v>
      </c>
      <c r="S273" s="58">
        <f>IFERROR('6'!S$139/Ciclo,0)</f>
        <v>0</v>
      </c>
      <c r="T273" s="58">
        <f>IFERROR('6'!T$139/Ciclo,0)</f>
        <v>0</v>
      </c>
      <c r="U273" s="58">
        <f>IFERROR('6'!U$139/Ciclo,0)</f>
        <v>0</v>
      </c>
      <c r="V273" s="58">
        <f>IFERROR('6'!V$139/Ciclo,0)</f>
        <v>0</v>
      </c>
      <c r="W273" s="5">
        <f>IFERROR('6'!W$139/Ciclo,0)</f>
        <v>0</v>
      </c>
      <c r="X273" s="5">
        <f>IFERROR('6'!X$139/Ciclo,0)</f>
        <v>0</v>
      </c>
      <c r="Y273" s="5">
        <f>IFERROR('6'!Y$139/Ciclo,0)</f>
        <v>0</v>
      </c>
      <c r="Z273" s="5">
        <f>IFERROR('6'!Z$139/Ciclo,0)</f>
        <v>0</v>
      </c>
      <c r="AB273" s="5">
        <f>IF($B$270="Producción",IF($B273&gt;=LI_A,$O273,0),0)</f>
        <v>0</v>
      </c>
      <c r="AC273" s="5">
        <f>IF($B$270="Producción",IF($B273&gt;=LI_B,IF($B273&lt;LS_B,$O273,0),0),0)</f>
        <v>0</v>
      </c>
      <c r="AD273" s="5">
        <f>IF($B$270="Producción",IF($B273&gt;=LI_C,IF($B273&lt;LS_C,$O273,0),0),0)</f>
        <v>0</v>
      </c>
      <c r="AE273" s="5">
        <f>IF($B$270="Producción",IF($B273&lt;LS_D,$O273,0),0)</f>
        <v>0</v>
      </c>
      <c r="AF273" s="5">
        <f>IF($B$270="Crecimiento",$O273,0)</f>
        <v>0</v>
      </c>
      <c r="AG273" s="5">
        <f>IF($B270="Siembra",'6'!$O$7,0)</f>
        <v>0</v>
      </c>
      <c r="AH273" s="5">
        <f>IF($B270="Abandono",'6'!$O$7,0)</f>
        <v>0</v>
      </c>
      <c r="AI273" s="5">
        <f>IF($C$270="Producción",IF($C273&gt;=LI_A,$P273,0),0)</f>
        <v>0</v>
      </c>
      <c r="AJ273" s="5">
        <f>IF($C$270="Producción",IF($C273&gt;=LI_B,IF($C273&lt;LS_B,$P273,0),0),0)</f>
        <v>0</v>
      </c>
      <c r="AK273" s="5">
        <f>IF($C$270="Producción",IF($C273&gt;=LI_C,IF($C273&lt;LS_C,$P273,0),0),0)</f>
        <v>0</v>
      </c>
      <c r="AL273" s="5">
        <f>IF($C$270="Producción",IF($C273&lt;LS_D,$P273,0),0)</f>
        <v>0</v>
      </c>
      <c r="AM273" s="5">
        <f>IF($C$270="Crecimiento",$P273,0)</f>
        <v>0</v>
      </c>
      <c r="AN273" s="5">
        <f>IF($C270="Siembra",'6'!$P$7,0)</f>
        <v>0</v>
      </c>
      <c r="AO273" s="5">
        <f>IF($C270="Abandono",'6'!$P$7,0)</f>
        <v>0</v>
      </c>
      <c r="AP273" s="5">
        <f>IF($D$270="Producción",IF($D273&gt;=LI_A,$Q273,0),0)</f>
        <v>0</v>
      </c>
      <c r="AQ273" s="5">
        <f>IF($D$270="Producción",IF($D273&gt;=LI_B,IF($D273&lt;LS_B,$Q273,0),0),0)</f>
        <v>0</v>
      </c>
      <c r="AR273" s="5">
        <f>IF($D$270="Producción",IF($D273&gt;=LI_C,IF($D273&lt;LS_C,$Q273,0),0),0)</f>
        <v>0</v>
      </c>
      <c r="AS273" s="5">
        <f>IF($D$270="Producción",IF($D273&lt;LS_D,$Q273,0),0)</f>
        <v>0</v>
      </c>
      <c r="AT273" s="5">
        <f>IF($D$270="Crecimiento",IF($D273&gt;0,$Q273,0),0)</f>
        <v>0</v>
      </c>
      <c r="AU273" s="5">
        <f>IF($D270="Siembra",'6'!$Q$7,0)</f>
        <v>0</v>
      </c>
      <c r="AV273" s="5">
        <f>IF($D270="Abandono",'6'!$Q$7,0)</f>
        <v>0</v>
      </c>
      <c r="AW273" s="5">
        <f>IF($E$270="Producción",IF($E273&gt;=LI_A,$R273,0),0)</f>
        <v>0</v>
      </c>
      <c r="AX273" s="5">
        <f>IF($E$270="Producción",IF($E273&gt;=LI_B,IF($E273&lt;LS_B,$R273,0),0),0)</f>
        <v>0</v>
      </c>
      <c r="AY273" s="5">
        <f>IF($E$270="Producción",IF($E273&gt;=LI_C,IF($E273&lt;LS_C,$R273,0),0),0)</f>
        <v>0</v>
      </c>
      <c r="AZ273" s="5">
        <f>IF($E$270="Producción",IF($E273&lt;LS_D,$R273,0),0)</f>
        <v>0</v>
      </c>
      <c r="BA273" s="5">
        <f>IF($E$270="Crecimiento",$R273,0)</f>
        <v>0</v>
      </c>
      <c r="BB273" s="5">
        <f>IF($E270="Siembra",'6'!$R$7,0)</f>
        <v>0</v>
      </c>
      <c r="BC273" s="5">
        <f>IF($E270="Abandono",'6'!$R$7,0)</f>
        <v>0</v>
      </c>
      <c r="BD273" s="5">
        <f>IF($F$270="Producción",IF($F273&gt;=LI_A,$S273,0),0)</f>
        <v>0</v>
      </c>
      <c r="BE273" s="5">
        <f>IF($F$270="Producción",IF($F273&gt;=LI_B,IF($F273&lt;LS_B,$S273,0),0),0)</f>
        <v>0</v>
      </c>
      <c r="BF273" s="5">
        <f>IF($F$270="Producción",IF($F273&gt;=LI_C,IF($F273&lt;LS_C,$S273,0),0),0)</f>
        <v>0</v>
      </c>
      <c r="BG273" s="5">
        <f>IF($F$270="Producción",IF($F273&lt;LS_D,$S273,0),0)</f>
        <v>0</v>
      </c>
      <c r="BH273" s="5">
        <f>IF($F$270="Crecimiento",$S273,0)</f>
        <v>0</v>
      </c>
      <c r="BI273" s="5">
        <f>IF($F270="Siembra",'6'!$S$7,0)</f>
        <v>0</v>
      </c>
      <c r="BJ273" s="5">
        <f>IF($F270="Abandono",'6'!$S$7,0)</f>
        <v>0</v>
      </c>
      <c r="BK273" s="5">
        <f>IF($G$270="Producción",IF($G273&gt;=LI_A,$T273,0),0)</f>
        <v>0</v>
      </c>
      <c r="BL273" s="5">
        <f>IF($G$270="Producción",IF($G273&gt;=LI_B,IF($G273&lt;LS_B,$T273,0),0),0)</f>
        <v>0</v>
      </c>
      <c r="BM273" s="5">
        <f>IF($G$270="Producción",IF($G273&gt;=LI_C,IF($G273&lt;LS_C,$T273,0),0),0)</f>
        <v>0</v>
      </c>
      <c r="BN273" s="5">
        <f>IF($G$270="Producción",IF($G273&lt;LS_D,$T273,0),0)</f>
        <v>0</v>
      </c>
      <c r="BO273" s="5">
        <f>IF($G$270="Crecimiento",$T273,0)</f>
        <v>0</v>
      </c>
      <c r="BP273" s="5">
        <f>IF($G270="Siembra",'6'!$T$7,0)</f>
        <v>0</v>
      </c>
      <c r="BQ273" s="5">
        <f>IF($G270="Abandono",'6'!$T$7,0)</f>
        <v>0</v>
      </c>
      <c r="BR273" s="5">
        <f>IF($H$270="Producción",IF($H273&gt;=LI_A,$U273,0),0)</f>
        <v>0</v>
      </c>
      <c r="BS273" s="5">
        <f>IF($H$270="Producción",IF($H273&gt;=LI_B,IF($H273&lt;LS_B,$U273,0),0),0)</f>
        <v>0</v>
      </c>
      <c r="BT273" s="5">
        <f>IF($H$270="Producción",IF($H273&gt;=LI_C,IF($H273&lt;LS_C,$U273,0),0),0)</f>
        <v>0</v>
      </c>
      <c r="BU273" s="5">
        <f>IF($H$270="Producción",IF($H273&lt;LS_D,$U273,0),0)</f>
        <v>0</v>
      </c>
      <c r="BV273" s="5">
        <f>IF($H$270="Crecimiento",$T273,0)</f>
        <v>0</v>
      </c>
      <c r="BW273" s="5">
        <f>IF($H270="Siembra",'6'!$U$7,0)</f>
        <v>0</v>
      </c>
      <c r="BX273" s="5">
        <f>IF($H270="Abandono",'6'!$U$7,0)</f>
        <v>0</v>
      </c>
      <c r="BY273" s="5">
        <f>IF($I$270="Producción",IF($I273&gt;=LI_A,$V273,0),0)</f>
        <v>0</v>
      </c>
      <c r="BZ273" s="5">
        <f>IF($I$270="Producción",IF($I273&gt;=LI_B,IF($I273&lt;LS_B,$V273,0),0),0)</f>
        <v>0</v>
      </c>
      <c r="CA273" s="5">
        <f>IF($I$270="Producción",IF($I273&gt;=LI_C,IF($I273&lt;LS_C,$V273,0),0),0)</f>
        <v>0</v>
      </c>
      <c r="CB273" s="5">
        <f>IF($I$270="Producción",IF($I273&lt;LS_D,$V273,0),0)</f>
        <v>0</v>
      </c>
      <c r="CC273" s="5">
        <f>IF($I$270="Crecimiento",$V273,0)</f>
        <v>0</v>
      </c>
      <c r="CD273" s="5">
        <f>IF($I270="Siembra",'6'!$V$7,0)</f>
        <v>0</v>
      </c>
      <c r="CE273" s="5">
        <f>IF($I270="Abandono",'6'!$V$7,0)</f>
        <v>0</v>
      </c>
      <c r="CF273" s="5">
        <f>IF($J$270="Producción",IF($J273&gt;=LI_A,$W273,0),0)</f>
        <v>0</v>
      </c>
      <c r="CG273" s="5">
        <f>IF($J$270="Producción",IF($J273&gt;=LI_B,IF($J273&lt;LS_B,$W273,0),0),0)</f>
        <v>0</v>
      </c>
      <c r="CH273" s="5">
        <f>IF($J$270="Producción",IF($J273&gt;=LI_C,IF($J273&lt;LS_C,$W273,0),0),0)</f>
        <v>0</v>
      </c>
      <c r="CI273" s="5">
        <f>IF($J$270="Producción",IF($J273&lt;LS_D,$W273,0),0)</f>
        <v>0</v>
      </c>
      <c r="CJ273" s="5">
        <f>IF($J$270="Crecimiento",$W273,0)</f>
        <v>0</v>
      </c>
      <c r="CK273" s="5">
        <f>IF($J270="Siembra",'6'!$W$7,0)</f>
        <v>0</v>
      </c>
      <c r="CL273" s="5">
        <f>IF($J270="Abandono",'6'!$W$7,0)</f>
        <v>0</v>
      </c>
      <c r="CM273" s="5">
        <f>IF($K$270="Producción",IF($K273&gt;=LI_A,$X273,0),0)</f>
        <v>0</v>
      </c>
      <c r="CN273" s="5">
        <f>IF($K$270="Producción",IF($K273&gt;=LI_B,IF($K273&lt;LS_B,$X273,0),0),0)</f>
        <v>0</v>
      </c>
      <c r="CO273" s="5">
        <f>IF($K$270="Producción",IF($K273&gt;=LI_C,IF($K273&lt;LS_C,$X273,0),0),0)</f>
        <v>0</v>
      </c>
      <c r="CP273" s="5">
        <f>IF($K$270="Producción",IF($K273&lt;LS_D,$X273,0),0)</f>
        <v>0</v>
      </c>
      <c r="CQ273" s="5">
        <f>IF($K$270="Crecimiento",$X273,0)</f>
        <v>0</v>
      </c>
      <c r="CR273" s="5">
        <f>IF($K270="Siembra",'6'!$X$7,0)</f>
        <v>0</v>
      </c>
      <c r="CS273" s="5">
        <f>IF($K270="Abandono",'6'!$X$7,0)</f>
        <v>0</v>
      </c>
      <c r="CT273" s="5">
        <f>IF($L$270="Producción",IF($L273&gt;=LI_A,$Y273,0),0)</f>
        <v>0</v>
      </c>
      <c r="CU273" s="5">
        <f>IF($L$270="Producción",IF($L273&gt;=LI_B,IF($L273&lt;LS_B,$Y273,0),0),0)</f>
        <v>0</v>
      </c>
      <c r="CV273" s="5">
        <f>IF($L$270="Producción",IF($L273&gt;=LI_C,IF($L273&lt;LS_C,$Y273,0),0),0)</f>
        <v>0</v>
      </c>
      <c r="CW273" s="5">
        <f>IF($L$270="Producción",IF($L273&lt;LS_D,$Y273,0),0)</f>
        <v>0</v>
      </c>
      <c r="CX273" s="5">
        <f>IF($L$270="Crecimiento",$Y273,0)</f>
        <v>0</v>
      </c>
      <c r="CY273" s="5">
        <f>IF($L270="Siembra",'6'!$Y$7,0)</f>
        <v>0</v>
      </c>
      <c r="CZ273" s="5">
        <f>IF($L270="Abandono",'6'!$Y$7,0)</f>
        <v>0</v>
      </c>
      <c r="DA273" s="5">
        <f>IF($M$270="Producción",IF($M273&gt;=LI_A,$Z273,0),0)</f>
        <v>0</v>
      </c>
      <c r="DB273" s="5">
        <f>IF($M$270="Producción",IF($M273&gt;=LI_B,IF($M273&lt;LS_B,$Z273,0),0),0)</f>
        <v>0</v>
      </c>
      <c r="DC273" s="5">
        <f>IF($M$270="Producción",IF($M273&gt;=LI_C,IF($M273&lt;LS_C,$Z273,0),0),0)</f>
        <v>0</v>
      </c>
      <c r="DD273" s="5">
        <f>IF($M$270="Producción",IF($M273&lt;LS_D,$Z273,0),0)</f>
        <v>0</v>
      </c>
      <c r="DE273" s="5">
        <f>IF($M$270="Crecimiento",$Z273,0)</f>
        <v>0</v>
      </c>
      <c r="DF273" s="5">
        <f>IF($M270="Siembra",'6'!$Z$7,0)</f>
        <v>0</v>
      </c>
      <c r="DG273" s="5">
        <f>IF($M270="Abandono",'6'!$Z$7,0)</f>
        <v>0</v>
      </c>
      <c r="DI273" s="5">
        <f t="shared" ref="DI273:DI277" si="2051">AB273*$B273</f>
        <v>0</v>
      </c>
      <c r="DJ273" s="5">
        <f t="shared" ref="DJ273:DJ277" si="2052">AC273*$B273</f>
        <v>0</v>
      </c>
      <c r="DK273" s="5">
        <f t="shared" ref="DK273:DK277" si="2053">AD273*$B273</f>
        <v>0</v>
      </c>
      <c r="DL273" s="5">
        <f t="shared" ref="DL273:DL277" si="2054">AE273*$B273</f>
        <v>0</v>
      </c>
      <c r="DM273" s="5">
        <f t="shared" ref="DM273:DM277" si="2055">AF273*$B273</f>
        <v>0</v>
      </c>
      <c r="DN273" s="5">
        <f t="shared" ref="DN273:DN277" si="2056">AI273*$C273</f>
        <v>0</v>
      </c>
      <c r="DO273" s="5">
        <f t="shared" ref="DO273:DO277" si="2057">AJ273*$C273</f>
        <v>0</v>
      </c>
      <c r="DP273" s="5">
        <f t="shared" ref="DP273:DP277" si="2058">AK273*$C273</f>
        <v>0</v>
      </c>
      <c r="DQ273" s="5">
        <f t="shared" ref="DQ273:DQ277" si="2059">AL273*$C273</f>
        <v>0</v>
      </c>
      <c r="DR273" s="5">
        <f t="shared" ref="DR273:DR277" si="2060">AM273*$C273</f>
        <v>0</v>
      </c>
      <c r="DS273" s="5">
        <f t="shared" ref="DS273:DS277" si="2061">AP273*$D273</f>
        <v>0</v>
      </c>
      <c r="DT273" s="5">
        <f t="shared" ref="DT273:DT277" si="2062">AQ273*$D273</f>
        <v>0</v>
      </c>
      <c r="DU273" s="5">
        <f t="shared" ref="DU273:DU277" si="2063">AR273*$D273</f>
        <v>0</v>
      </c>
      <c r="DV273" s="5">
        <f t="shared" ref="DV273:DV277" si="2064">AS273*$D273</f>
        <v>0</v>
      </c>
      <c r="DW273" s="5">
        <f t="shared" ref="DW273:DW277" si="2065">AT273*$D273</f>
        <v>0</v>
      </c>
      <c r="DX273" s="5">
        <f t="shared" ref="DX273:DX277" si="2066">AW273*$E273</f>
        <v>0</v>
      </c>
      <c r="DY273" s="5">
        <f t="shared" ref="DY273:DY277" si="2067">AX273*$E273</f>
        <v>0</v>
      </c>
      <c r="DZ273" s="5">
        <f t="shared" ref="DZ273:DZ277" si="2068">AY273*$E273</f>
        <v>0</v>
      </c>
      <c r="EA273" s="5">
        <f t="shared" ref="EA273:EA277" si="2069">AZ273*$E273</f>
        <v>0</v>
      </c>
      <c r="EB273" s="5">
        <f t="shared" ref="EB273:EB277" si="2070">BA273*$E273</f>
        <v>0</v>
      </c>
      <c r="EC273" s="5">
        <f t="shared" ref="EC273:EC277" si="2071">BD273*$F273</f>
        <v>0</v>
      </c>
      <c r="ED273" s="5">
        <f t="shared" ref="ED273:ED277" si="2072">BE273*$F273</f>
        <v>0</v>
      </c>
      <c r="EE273" s="5">
        <f t="shared" ref="EE273:EE277" si="2073">BF273*$F273</f>
        <v>0</v>
      </c>
      <c r="EF273" s="5">
        <f t="shared" ref="EF273:EF277" si="2074">BG273*$F273</f>
        <v>0</v>
      </c>
      <c r="EG273" s="5">
        <f t="shared" ref="EG273:EG277" si="2075">BH273*$F273</f>
        <v>0</v>
      </c>
      <c r="EH273" s="5">
        <f t="shared" ref="EH273:EH277" si="2076">BK273*$G273</f>
        <v>0</v>
      </c>
      <c r="EI273" s="5">
        <f t="shared" ref="EI273:EI277" si="2077">BL273*$G273</f>
        <v>0</v>
      </c>
      <c r="EJ273" s="5">
        <f t="shared" ref="EJ273:EJ277" si="2078">BM273*$G273</f>
        <v>0</v>
      </c>
      <c r="EK273" s="5">
        <f t="shared" ref="EK273:EK277" si="2079">BN273*$G273</f>
        <v>0</v>
      </c>
      <c r="EL273" s="5">
        <f t="shared" ref="EL273:EL277" si="2080">BO273*$G273</f>
        <v>0</v>
      </c>
      <c r="EM273" s="5">
        <f t="shared" ref="EM273:EM277" si="2081">BR273*$H273</f>
        <v>0</v>
      </c>
      <c r="EN273" s="5">
        <f t="shared" ref="EN273:EN277" si="2082">BS273*$H273</f>
        <v>0</v>
      </c>
      <c r="EO273" s="5">
        <f t="shared" ref="EO273:EO277" si="2083">BT273*$H273</f>
        <v>0</v>
      </c>
      <c r="EP273" s="5">
        <f t="shared" ref="EP273:EP277" si="2084">BU273*$H273</f>
        <v>0</v>
      </c>
      <c r="EQ273" s="5">
        <f t="shared" ref="EQ273:EQ277" si="2085">BV273*$H273</f>
        <v>0</v>
      </c>
      <c r="ER273" s="5">
        <f t="shared" ref="ER273:ER277" si="2086">BY273*$I273</f>
        <v>0</v>
      </c>
      <c r="ES273" s="5">
        <f t="shared" ref="ES273:ES277" si="2087">BZ273*$I273</f>
        <v>0</v>
      </c>
      <c r="ET273" s="5">
        <f t="shared" ref="ET273:ET277" si="2088">CA273*$I273</f>
        <v>0</v>
      </c>
      <c r="EU273" s="5">
        <f t="shared" ref="EU273:EU277" si="2089">CB273*$I273</f>
        <v>0</v>
      </c>
      <c r="EV273" s="5">
        <f t="shared" ref="EV273:EV277" si="2090">CC273*$I273</f>
        <v>0</v>
      </c>
      <c r="EW273" s="5">
        <f t="shared" ref="EW273:EW277" si="2091">CF273*$J273</f>
        <v>0</v>
      </c>
      <c r="EX273" s="5">
        <f t="shared" ref="EX273:EX277" si="2092">CG273*$J273</f>
        <v>0</v>
      </c>
      <c r="EY273" s="5">
        <f t="shared" ref="EY273:EY277" si="2093">CH273*$J273</f>
        <v>0</v>
      </c>
      <c r="EZ273" s="5">
        <f t="shared" ref="EZ273:EZ277" si="2094">CI273*$J273</f>
        <v>0</v>
      </c>
      <c r="FA273" s="5">
        <f t="shared" ref="FA273:FA277" si="2095">CJ273*$J273</f>
        <v>0</v>
      </c>
      <c r="FB273" s="5">
        <f t="shared" ref="FB273:FB277" si="2096">CM273*$K273</f>
        <v>0</v>
      </c>
      <c r="FC273" s="5">
        <f t="shared" ref="FC273:FC277" si="2097">CN273*$K273</f>
        <v>0</v>
      </c>
      <c r="FD273" s="5">
        <f t="shared" ref="FD273:FD277" si="2098">CO273*$K273</f>
        <v>0</v>
      </c>
      <c r="FE273" s="5">
        <f t="shared" ref="FE273:FE277" si="2099">CP273*$K273</f>
        <v>0</v>
      </c>
      <c r="FF273" s="5">
        <f t="shared" ref="FF273:FF277" si="2100">CQ273*$K273</f>
        <v>0</v>
      </c>
      <c r="FG273" s="5">
        <f t="shared" ref="FG273:FG277" si="2101">CT273*$L273</f>
        <v>0</v>
      </c>
      <c r="FH273" s="5">
        <f t="shared" ref="FH273:FH277" si="2102">CU273*$L273</f>
        <v>0</v>
      </c>
      <c r="FI273" s="5">
        <f t="shared" ref="FI273:FI277" si="2103">CV273*$L273</f>
        <v>0</v>
      </c>
      <c r="FJ273" s="5">
        <f t="shared" ref="FJ273:FJ277" si="2104">CW273*$L273</f>
        <v>0</v>
      </c>
      <c r="FK273" s="5">
        <f t="shared" ref="FK273:FK277" si="2105">CX273*$L273</f>
        <v>0</v>
      </c>
      <c r="FL273" s="5">
        <f t="shared" ref="FL273:FL277" si="2106">DA273*$M273</f>
        <v>0</v>
      </c>
      <c r="FM273" s="5">
        <f t="shared" ref="FM273:FM277" si="2107">DB273*$M273</f>
        <v>0</v>
      </c>
      <c r="FN273" s="5">
        <f t="shared" ref="FN273:FN277" si="2108">DC273*$M273</f>
        <v>0</v>
      </c>
      <c r="FO273" s="5">
        <f t="shared" ref="FO273:FO277" si="2109">DD273*$M273</f>
        <v>0</v>
      </c>
      <c r="FP273" s="5">
        <f t="shared" ref="FP273:FP277" si="2110">DE273*$M273</f>
        <v>0</v>
      </c>
    </row>
    <row r="274" spans="1:172" ht="20.100000000000001" customHeight="1" x14ac:dyDescent="0.3">
      <c r="A274" s="8" t="s">
        <v>303</v>
      </c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O274" s="58">
        <f>IFERROR('6'!O$139/Ciclo,0)</f>
        <v>0</v>
      </c>
      <c r="P274" s="58">
        <f>IFERROR('6'!P$139/Ciclo,0)</f>
        <v>0</v>
      </c>
      <c r="Q274" s="58">
        <f>IFERROR('6'!Q$139/Ciclo,0)</f>
        <v>0</v>
      </c>
      <c r="R274" s="58">
        <f>IFERROR('6'!R$139/Ciclo,0)</f>
        <v>0</v>
      </c>
      <c r="S274" s="58">
        <f>IFERROR('6'!S$139/Ciclo,0)</f>
        <v>0</v>
      </c>
      <c r="T274" s="58">
        <f>IFERROR('6'!T$139/Ciclo,0)</f>
        <v>0</v>
      </c>
      <c r="U274" s="58">
        <f>IFERROR('6'!U$139/Ciclo,0)</f>
        <v>0</v>
      </c>
      <c r="V274" s="58">
        <f>IFERROR('6'!V$139/Ciclo,0)</f>
        <v>0</v>
      </c>
      <c r="W274" s="5">
        <f>IFERROR('6'!W$139/Ciclo,0)</f>
        <v>0</v>
      </c>
      <c r="X274" s="5">
        <f>IFERROR('6'!X$139/Ciclo,0)</f>
        <v>0</v>
      </c>
      <c r="Y274" s="5">
        <f>IFERROR('6'!Y$139/Ciclo,0)</f>
        <v>0</v>
      </c>
      <c r="Z274" s="5">
        <f>IFERROR('6'!Z$139/Ciclo,0)</f>
        <v>0</v>
      </c>
      <c r="AB274" s="5">
        <f>IF($B$270="Producción",IF($B274&gt;=LI_A,$O274,0),0)</f>
        <v>0</v>
      </c>
      <c r="AC274" s="5">
        <f>IF($B$270="Producción",IF($B274&gt;=LI_B,IF($B274&lt;LS_B,$O274,0),0),0)</f>
        <v>0</v>
      </c>
      <c r="AD274" s="5">
        <f>IF($B$270="Producción",IF($B274&gt;=LI_C,IF($B274&lt;LS_C,$O274,0),0),0)</f>
        <v>0</v>
      </c>
      <c r="AE274" s="5">
        <f>IF($B$270="Producción",IF($B274&lt;LS_D,$O274,0),0)</f>
        <v>0</v>
      </c>
      <c r="AF274" s="5">
        <f t="shared" ref="AF274:AF277" si="2111">IF($B$270="Crecimiento",$O274,0)</f>
        <v>0</v>
      </c>
      <c r="AI274" s="5">
        <f>IF($C$270="Producción",IF($C274&gt;=LI_A,$P274,0),0)</f>
        <v>0</v>
      </c>
      <c r="AJ274" s="5">
        <f>IF($C$270="Producción",IF($C274&gt;=LI_B,IF($C274&lt;LS_B,$P274,0),0),0)</f>
        <v>0</v>
      </c>
      <c r="AK274" s="5">
        <f>IF($C$270="Producción",IF($C274&gt;=LI_C,IF($C274&lt;LS_C,$P274,0),0),0)</f>
        <v>0</v>
      </c>
      <c r="AL274" s="5">
        <f>IF($C$270="Producción",IF($C274&lt;LS_D,$P274,0),0)</f>
        <v>0</v>
      </c>
      <c r="AM274" s="5">
        <f>IF($C$270="Crecimiento",$P274,0)</f>
        <v>0</v>
      </c>
      <c r="AP274" s="5">
        <f>IF($D$270="Producción",IF($D274&gt;=LI_A,$Q274,0),0)</f>
        <v>0</v>
      </c>
      <c r="AQ274" s="5">
        <f>IF($D$270="Producción",IF($D274&gt;=LI_B,IF($D274&lt;LS_B,$Q274,0),0),0)</f>
        <v>0</v>
      </c>
      <c r="AR274" s="5">
        <f>IF($D$270="Producción",IF($D274&gt;=LI_C,IF($D274&lt;LS_C,$Q274,0),0),0)</f>
        <v>0</v>
      </c>
      <c r="AS274" s="5">
        <f>IF($D$270="Producción",IF($D274&lt;LS_D,$Q274,0),0)</f>
        <v>0</v>
      </c>
      <c r="AT274" s="5">
        <f>IF($D$270="Crecimiento",IF($D274&gt;0,$Q274,0),0)</f>
        <v>0</v>
      </c>
      <c r="AW274" s="5">
        <f>IF($E$270="Producción",IF($E274&gt;=LI_A,$R274,0),0)</f>
        <v>0</v>
      </c>
      <c r="AX274" s="5">
        <f>IF($E$270="Producción",IF($E274&gt;=LI_B,IF($E274&lt;LS_B,$R274,0),0),0)</f>
        <v>0</v>
      </c>
      <c r="AY274" s="5">
        <f>IF($E$270="Producción",IF($E274&gt;=LI_C,IF($E274&lt;LS_C,$R274,0),0),0)</f>
        <v>0</v>
      </c>
      <c r="AZ274" s="5">
        <f>IF($E$270="Producción",IF($E274&lt;LS_D,$R274,0),0)</f>
        <v>0</v>
      </c>
      <c r="BA274" s="5">
        <f>IF($E$270="Crecimiento",$R274,0)</f>
        <v>0</v>
      </c>
      <c r="BD274" s="5">
        <f>IF($F$270="Producción",IF($F274&gt;=LI_A,$S274,0),0)</f>
        <v>0</v>
      </c>
      <c r="BE274" s="5">
        <f>IF($F$270="Producción",IF($F274&gt;=LI_B,IF($F274&lt;LS_B,$S274,0),0),0)</f>
        <v>0</v>
      </c>
      <c r="BF274" s="5">
        <f>IF($F$270="Producción",IF($F274&gt;=LI_C,IF($F274&lt;LS_C,$S274,0),0),0)</f>
        <v>0</v>
      </c>
      <c r="BG274" s="5">
        <f>IF($F$270="Producción",IF($F274&lt;LS_D,$S274,0),0)</f>
        <v>0</v>
      </c>
      <c r="BH274" s="5">
        <f>IF($F$270="Crecimiento",$S274,0)</f>
        <v>0</v>
      </c>
      <c r="BK274" s="5">
        <f>IF($G$270="Producción",IF($G274&gt;=LI_A,$T274,0),0)</f>
        <v>0</v>
      </c>
      <c r="BL274" s="5">
        <f>IF($G$270="Producción",IF($G274&gt;=LI_B,IF($G274&lt;LS_B,$T274,0),0),0)</f>
        <v>0</v>
      </c>
      <c r="BM274" s="5">
        <f>IF($G$270="Producción",IF($G274&gt;=LI_C,IF($G274&lt;LS_C,$T274,0),0),0)</f>
        <v>0</v>
      </c>
      <c r="BN274" s="5">
        <f>IF($G$270="Producción",IF($G274&lt;LS_D,$T274,0),0)</f>
        <v>0</v>
      </c>
      <c r="BO274" s="5">
        <f>IF($G$270="Crecimiento",$T274,0)</f>
        <v>0</v>
      </c>
      <c r="BR274" s="5">
        <f>IF($H$270="Producción",IF($H274&gt;=LI_A,$U274,0),0)</f>
        <v>0</v>
      </c>
      <c r="BS274" s="5">
        <f>IF($H$270="Producción",IF($H274&gt;=LI_B,IF($H274&lt;LS_B,$U274,0),0),0)</f>
        <v>0</v>
      </c>
      <c r="BT274" s="5">
        <f>IF($H$270="Producción",IF($H274&gt;=LI_C,IF($H274&lt;LS_C,$U274,0),0),0)</f>
        <v>0</v>
      </c>
      <c r="BU274" s="5">
        <f>IF($H$270="Producción",IF($H274&lt;LS_D,$U274,0),0)</f>
        <v>0</v>
      </c>
      <c r="BV274" s="5">
        <f>IF($H$270="Crecimiento",$T274,0)</f>
        <v>0</v>
      </c>
      <c r="BY274" s="5">
        <f>IF($I$270="Producción",IF($I274&gt;=LI_A,$V274,0),0)</f>
        <v>0</v>
      </c>
      <c r="BZ274" s="5">
        <f>IF($I$270="Producción",IF($I274&gt;=LI_B,IF($I274&lt;LS_B,$V274,0),0),0)</f>
        <v>0</v>
      </c>
      <c r="CA274" s="5">
        <f>IF($I$270="Producción",IF($I274&gt;=LI_C,IF($I274&lt;LS_C,$V274,0),0),0)</f>
        <v>0</v>
      </c>
      <c r="CB274" s="5">
        <f>IF($I$270="Producción",IF($I274&lt;LS_D,$V274,0),0)</f>
        <v>0</v>
      </c>
      <c r="CC274" s="5">
        <f>IF($I$270="Crecimiento",$V274,0)</f>
        <v>0</v>
      </c>
      <c r="CF274" s="5">
        <f>IF($J$270="Producción",IF($J274&gt;=LI_A,$W274,0),0)</f>
        <v>0</v>
      </c>
      <c r="CG274" s="5">
        <f>IF($J$270="Producción",IF($J274&gt;=LI_B,IF($J274&lt;LS_B,$W274,0),0),0)</f>
        <v>0</v>
      </c>
      <c r="CH274" s="5">
        <f>IF($J$270="Producción",IF($J274&gt;=LI_C,IF($J274&lt;LS_C,$W274,0),0),0)</f>
        <v>0</v>
      </c>
      <c r="CI274" s="5">
        <f>IF($J$270="Producción",IF($J274&lt;LS_D,$W274,0),0)</f>
        <v>0</v>
      </c>
      <c r="CJ274" s="5">
        <f>IF($J$270="Crecimiento",$W274,0)</f>
        <v>0</v>
      </c>
      <c r="CM274" s="5">
        <f>IF($K$270="Producción",IF($K274&gt;=LI_A,$X274,0),0)</f>
        <v>0</v>
      </c>
      <c r="CN274" s="5">
        <f>IF($K$270="Producción",IF($K274&gt;=LI_B,IF($K274&lt;LS_B,$X274,0),0),0)</f>
        <v>0</v>
      </c>
      <c r="CO274" s="5">
        <f>IF($K$270="Producción",IF($K274&gt;=LI_C,IF($K274&lt;LS_C,$X274,0),0),0)</f>
        <v>0</v>
      </c>
      <c r="CP274" s="5">
        <f>IF($K$270="Producción",IF($K274&lt;LS_D,$X274,0),0)</f>
        <v>0</v>
      </c>
      <c r="CQ274" s="5">
        <f>IF($K$270="Crecimiento",$X274,0)</f>
        <v>0</v>
      </c>
      <c r="CT274" s="5">
        <f>IF($L$270="Producción",IF($L274&gt;=LI_A,$Y274,0),0)</f>
        <v>0</v>
      </c>
      <c r="CU274" s="5">
        <f>IF($L$270="Producción",IF($L274&gt;=LI_B,IF($L274&lt;LS_B,$Y274,0),0),0)</f>
        <v>0</v>
      </c>
      <c r="CV274" s="5">
        <f>IF($L$270="Producción",IF($L274&gt;=LI_C,IF($L274&lt;LS_C,$Y274,0),0),0)</f>
        <v>0</v>
      </c>
      <c r="CW274" s="5">
        <f>IF($L$270="Producción",IF($L274&lt;LS_D,$Y274,0),0)</f>
        <v>0</v>
      </c>
      <c r="CX274" s="5">
        <f>IF($L$270="Crecimiento",$Y274,0)</f>
        <v>0</v>
      </c>
      <c r="DA274" s="5">
        <f>IF($M$270="Producción",IF($M274&gt;=LI_A,$Z274,0),0)</f>
        <v>0</v>
      </c>
      <c r="DB274" s="5">
        <f>IF($M$270="Producción",IF($M274&gt;=LI_B,IF($M274&lt;LS_B,$Z274,0),0),0)</f>
        <v>0</v>
      </c>
      <c r="DC274" s="5">
        <f>IF($M$270="Producción",IF($M274&gt;=LI_C,IF($M274&lt;LS_C,$Z274,0),0),0)</f>
        <v>0</v>
      </c>
      <c r="DD274" s="5">
        <f>IF($M$270="Producción",IF($M274&lt;LS_D,$Z274,0),0)</f>
        <v>0</v>
      </c>
      <c r="DE274" s="5">
        <f>IF($M$270="Crecimiento",$Z274,0)</f>
        <v>0</v>
      </c>
      <c r="DI274" s="5">
        <f t="shared" si="2051"/>
        <v>0</v>
      </c>
      <c r="DJ274" s="5">
        <f t="shared" si="2052"/>
        <v>0</v>
      </c>
      <c r="DK274" s="5">
        <f t="shared" si="2053"/>
        <v>0</v>
      </c>
      <c r="DL274" s="5">
        <f t="shared" si="2054"/>
        <v>0</v>
      </c>
      <c r="DM274" s="5">
        <f t="shared" si="2055"/>
        <v>0</v>
      </c>
      <c r="DN274" s="5">
        <f t="shared" si="2056"/>
        <v>0</v>
      </c>
      <c r="DO274" s="5">
        <f t="shared" si="2057"/>
        <v>0</v>
      </c>
      <c r="DP274" s="5">
        <f t="shared" si="2058"/>
        <v>0</v>
      </c>
      <c r="DQ274" s="5">
        <f t="shared" si="2059"/>
        <v>0</v>
      </c>
      <c r="DR274" s="5">
        <f t="shared" si="2060"/>
        <v>0</v>
      </c>
      <c r="DS274" s="5">
        <f t="shared" si="2061"/>
        <v>0</v>
      </c>
      <c r="DT274" s="5">
        <f t="shared" si="2062"/>
        <v>0</v>
      </c>
      <c r="DU274" s="5">
        <f t="shared" si="2063"/>
        <v>0</v>
      </c>
      <c r="DV274" s="5">
        <f t="shared" si="2064"/>
        <v>0</v>
      </c>
      <c r="DW274" s="5">
        <f t="shared" si="2065"/>
        <v>0</v>
      </c>
      <c r="DX274" s="5">
        <f t="shared" si="2066"/>
        <v>0</v>
      </c>
      <c r="DY274" s="5">
        <f t="shared" si="2067"/>
        <v>0</v>
      </c>
      <c r="DZ274" s="5">
        <f t="shared" si="2068"/>
        <v>0</v>
      </c>
      <c r="EA274" s="5">
        <f t="shared" si="2069"/>
        <v>0</v>
      </c>
      <c r="EB274" s="5">
        <f t="shared" si="2070"/>
        <v>0</v>
      </c>
      <c r="EC274" s="5">
        <f t="shared" si="2071"/>
        <v>0</v>
      </c>
      <c r="ED274" s="5">
        <f t="shared" si="2072"/>
        <v>0</v>
      </c>
      <c r="EE274" s="5">
        <f t="shared" si="2073"/>
        <v>0</v>
      </c>
      <c r="EF274" s="5">
        <f t="shared" si="2074"/>
        <v>0</v>
      </c>
      <c r="EG274" s="5">
        <f t="shared" si="2075"/>
        <v>0</v>
      </c>
      <c r="EH274" s="5">
        <f t="shared" si="2076"/>
        <v>0</v>
      </c>
      <c r="EI274" s="5">
        <f t="shared" si="2077"/>
        <v>0</v>
      </c>
      <c r="EJ274" s="5">
        <f t="shared" si="2078"/>
        <v>0</v>
      </c>
      <c r="EK274" s="5">
        <f t="shared" si="2079"/>
        <v>0</v>
      </c>
      <c r="EL274" s="5">
        <f t="shared" si="2080"/>
        <v>0</v>
      </c>
      <c r="EM274" s="5">
        <f t="shared" si="2081"/>
        <v>0</v>
      </c>
      <c r="EN274" s="5">
        <f t="shared" si="2082"/>
        <v>0</v>
      </c>
      <c r="EO274" s="5">
        <f t="shared" si="2083"/>
        <v>0</v>
      </c>
      <c r="EP274" s="5">
        <f t="shared" si="2084"/>
        <v>0</v>
      </c>
      <c r="EQ274" s="5">
        <f t="shared" si="2085"/>
        <v>0</v>
      </c>
      <c r="ER274" s="5">
        <f t="shared" si="2086"/>
        <v>0</v>
      </c>
      <c r="ES274" s="5">
        <f t="shared" si="2087"/>
        <v>0</v>
      </c>
      <c r="ET274" s="5">
        <f t="shared" si="2088"/>
        <v>0</v>
      </c>
      <c r="EU274" s="5">
        <f t="shared" si="2089"/>
        <v>0</v>
      </c>
      <c r="EV274" s="5">
        <f t="shared" si="2090"/>
        <v>0</v>
      </c>
      <c r="EW274" s="5">
        <f t="shared" si="2091"/>
        <v>0</v>
      </c>
      <c r="EX274" s="5">
        <f t="shared" si="2092"/>
        <v>0</v>
      </c>
      <c r="EY274" s="5">
        <f t="shared" si="2093"/>
        <v>0</v>
      </c>
      <c r="EZ274" s="5">
        <f t="shared" si="2094"/>
        <v>0</v>
      </c>
      <c r="FA274" s="5">
        <f t="shared" si="2095"/>
        <v>0</v>
      </c>
      <c r="FB274" s="5">
        <f t="shared" si="2096"/>
        <v>0</v>
      </c>
      <c r="FC274" s="5">
        <f t="shared" si="2097"/>
        <v>0</v>
      </c>
      <c r="FD274" s="5">
        <f t="shared" si="2098"/>
        <v>0</v>
      </c>
      <c r="FE274" s="5">
        <f t="shared" si="2099"/>
        <v>0</v>
      </c>
      <c r="FF274" s="5">
        <f t="shared" si="2100"/>
        <v>0</v>
      </c>
      <c r="FG274" s="5">
        <f t="shared" si="2101"/>
        <v>0</v>
      </c>
      <c r="FH274" s="5">
        <f t="shared" si="2102"/>
        <v>0</v>
      </c>
      <c r="FI274" s="5">
        <f t="shared" si="2103"/>
        <v>0</v>
      </c>
      <c r="FJ274" s="5">
        <f t="shared" si="2104"/>
        <v>0</v>
      </c>
      <c r="FK274" s="5">
        <f t="shared" si="2105"/>
        <v>0</v>
      </c>
      <c r="FL274" s="5">
        <f t="shared" si="2106"/>
        <v>0</v>
      </c>
      <c r="FM274" s="5">
        <f t="shared" si="2107"/>
        <v>0</v>
      </c>
      <c r="FN274" s="5">
        <f t="shared" si="2108"/>
        <v>0</v>
      </c>
      <c r="FO274" s="5">
        <f t="shared" si="2109"/>
        <v>0</v>
      </c>
      <c r="FP274" s="5">
        <f t="shared" si="2110"/>
        <v>0</v>
      </c>
    </row>
    <row r="275" spans="1:172" ht="20.100000000000001" customHeight="1" x14ac:dyDescent="0.3">
      <c r="A275" s="8" t="str">
        <f>IF(Ciclo&gt;2,"Surco 3","NA")</f>
        <v>Surco 3</v>
      </c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O275" s="58">
        <f>IF($A275="NA",0,IFERROR('6'!O$139/Ciclo,0))</f>
        <v>0</v>
      </c>
      <c r="P275" s="58">
        <f>IF($A275="NA",0,IFERROR('6'!P$139/Ciclo,0))</f>
        <v>0</v>
      </c>
      <c r="Q275" s="58">
        <f>IF($A275="NA",0,IFERROR('6'!Q$139/Ciclo,0))</f>
        <v>0</v>
      </c>
      <c r="R275" s="58">
        <f>IF($A275="NA",0,IFERROR('6'!R$139/Ciclo,0))</f>
        <v>0</v>
      </c>
      <c r="S275" s="58">
        <f>IF($A275="NA",0,IFERROR('6'!S$139/Ciclo,0))</f>
        <v>0</v>
      </c>
      <c r="T275" s="58">
        <f>IF($A275="NA",0,IFERROR('6'!T$139/Ciclo,0))</f>
        <v>0</v>
      </c>
      <c r="U275" s="58">
        <f>IF($A275="NA",0,IFERROR('6'!U$139/Ciclo,0))</f>
        <v>0</v>
      </c>
      <c r="V275" s="58">
        <f>IF($A275="NA",0,IFERROR('6'!V$139/Ciclo,0))</f>
        <v>0</v>
      </c>
      <c r="W275" s="5">
        <f>IF($A275="NA",0,IFERROR('6'!W$139/Ciclo,0))</f>
        <v>0</v>
      </c>
      <c r="X275" s="5">
        <f>IF($A275="NA",0,IFERROR('6'!X$139/Ciclo,0))</f>
        <v>0</v>
      </c>
      <c r="Y275" s="5">
        <f>IF($A275="NA",0,IFERROR('6'!Y$139/Ciclo,0))</f>
        <v>0</v>
      </c>
      <c r="Z275" s="5">
        <f>IF($A275="NA",0,IFERROR('6'!Z$139/Ciclo,0))</f>
        <v>0</v>
      </c>
      <c r="AB275" s="5">
        <f>IF($B$270="Producción",IF($B275&gt;=LI_A,$O275,0),0)</f>
        <v>0</v>
      </c>
      <c r="AC275" s="5">
        <f>IF($B$270="Producción",IF($B275&gt;=LI_B,IF($B275&lt;LS_B,$O275,0),0),0)</f>
        <v>0</v>
      </c>
      <c r="AD275" s="5">
        <f>IF($B$270="Producción",IF($B275&gt;=LI_C,IF($B275&lt;LS_C,$O275,0),0),0)</f>
        <v>0</v>
      </c>
      <c r="AE275" s="5">
        <f>IF($B$270="Producción",IF($B275&lt;LS_D,$O275,0),0)</f>
        <v>0</v>
      </c>
      <c r="AF275" s="5">
        <f t="shared" si="2111"/>
        <v>0</v>
      </c>
      <c r="AI275" s="5">
        <f>IF($C$270="Producción",IF($C275&gt;=LI_A,$P275,0),0)</f>
        <v>0</v>
      </c>
      <c r="AJ275" s="5">
        <f>IF($C$270="Producción",IF($C275&gt;=LI_B,IF($C275&lt;LS_B,$P275,0),0),0)</f>
        <v>0</v>
      </c>
      <c r="AK275" s="5">
        <f>IF($C$270="Producción",IF($C275&gt;=LI_C,IF($C275&lt;LS_C,$P275,0),0),0)</f>
        <v>0</v>
      </c>
      <c r="AL275" s="5">
        <f>IF($C$270="Producción",IF($C275&lt;LS_D,$P275,0),0)</f>
        <v>0</v>
      </c>
      <c r="AM275" s="5">
        <f>IF($C$270="Crecimiento",$P275,0)</f>
        <v>0</v>
      </c>
      <c r="AP275" s="5">
        <f>IF($D$270="Producción",IF($D275&gt;=LI_A,$Q275,0),0)</f>
        <v>0</v>
      </c>
      <c r="AQ275" s="5">
        <f>IF($D$270="Producción",IF($D275&gt;=LI_B,IF($D275&lt;LS_B,$Q275,0),0),0)</f>
        <v>0</v>
      </c>
      <c r="AR275" s="5">
        <f>IF($D$270="Producción",IF($D275&gt;=LI_C,IF($D275&lt;LS_C,$Q275,0),0),0)</f>
        <v>0</v>
      </c>
      <c r="AS275" s="5">
        <f>IF($D$270="Producción",IF($D275&lt;LS_D,$Q275,0),0)</f>
        <v>0</v>
      </c>
      <c r="AT275" s="5">
        <f>IF($D$270="Crecimiento",IF($D275&gt;0,$Q275,0),0)</f>
        <v>0</v>
      </c>
      <c r="AW275" s="5">
        <f>IF($E$270="Producción",IF($E275&gt;=LI_A,$R275,0),0)</f>
        <v>0</v>
      </c>
      <c r="AX275" s="5">
        <f>IF($E$270="Producción",IF($E275&gt;=LI_B,IF($E275&lt;LS_B,$R275,0),0),0)</f>
        <v>0</v>
      </c>
      <c r="AY275" s="5">
        <f>IF($E$270="Producción",IF($E275&gt;=LI_C,IF($E275&lt;LS_C,$R275,0),0),0)</f>
        <v>0</v>
      </c>
      <c r="AZ275" s="5">
        <f>IF($E$270="Producción",IF($E275&lt;LS_D,$R275,0),0)</f>
        <v>0</v>
      </c>
      <c r="BA275" s="5">
        <f>IF($E$270="Crecimiento",$R275,0)</f>
        <v>0</v>
      </c>
      <c r="BD275" s="5">
        <f>IF($F$270="Producción",IF($F275&gt;=LI_A,$S275,0),0)</f>
        <v>0</v>
      </c>
      <c r="BE275" s="5">
        <f>IF($F$270="Producción",IF($F275&gt;=LI_B,IF($F275&lt;LS_B,$S275,0),0),0)</f>
        <v>0</v>
      </c>
      <c r="BF275" s="5">
        <f>IF($F$270="Producción",IF($F275&gt;=LI_C,IF($F275&lt;LS_C,$S275,0),0),0)</f>
        <v>0</v>
      </c>
      <c r="BG275" s="5">
        <f>IF($F$270="Producción",IF($F275&lt;LS_D,$S275,0),0)</f>
        <v>0</v>
      </c>
      <c r="BH275" s="5">
        <f>IF($F$270="Crecimiento",$S275,0)</f>
        <v>0</v>
      </c>
      <c r="BK275" s="5">
        <f>IF($G$270="Producción",IF($G275&gt;=LI_A,$T275,0),0)</f>
        <v>0</v>
      </c>
      <c r="BL275" s="5">
        <f>IF($G$270="Producción",IF($G275&gt;=LI_B,IF($G275&lt;LS_B,$T275,0),0),0)</f>
        <v>0</v>
      </c>
      <c r="BM275" s="5">
        <f>IF($G$270="Producción",IF($G275&gt;=LI_C,IF($G275&lt;LS_C,$T275,0),0),0)</f>
        <v>0</v>
      </c>
      <c r="BN275" s="5">
        <f>IF($G$270="Producción",IF($G275&lt;LS_D,$T275,0),0)</f>
        <v>0</v>
      </c>
      <c r="BO275" s="5">
        <f>IF($G$270="Crecimiento",$T275,0)</f>
        <v>0</v>
      </c>
      <c r="BR275" s="5">
        <f>IF($H$270="Producción",IF($H275&gt;=LI_A,$U275,0),0)</f>
        <v>0</v>
      </c>
      <c r="BS275" s="5">
        <f>IF($H$270="Producción",IF($H275&gt;=LI_B,IF($H275&lt;LS_B,$U275,0),0),0)</f>
        <v>0</v>
      </c>
      <c r="BT275" s="5">
        <f>IF($H$270="Producción",IF($H275&gt;=LI_C,IF($H275&lt;LS_C,$U275,0),0),0)</f>
        <v>0</v>
      </c>
      <c r="BU275" s="5">
        <f>IF($H$270="Producción",IF($H275&lt;LS_D,$U275,0),0)</f>
        <v>0</v>
      </c>
      <c r="BV275" s="5">
        <f>IF($H$270="Crecimiento",$T275,0)</f>
        <v>0</v>
      </c>
      <c r="BY275" s="5">
        <f>IF($I$270="Producción",IF($I275&gt;=LI_A,$V275,0),0)</f>
        <v>0</v>
      </c>
      <c r="BZ275" s="5">
        <f>IF($I$270="Producción",IF($I275&gt;=LI_B,IF($I275&lt;LS_B,$V275,0),0),0)</f>
        <v>0</v>
      </c>
      <c r="CA275" s="5">
        <f>IF($I$270="Producción",IF($I275&gt;=LI_C,IF($I275&lt;LS_C,$V275,0),0),0)</f>
        <v>0</v>
      </c>
      <c r="CB275" s="5">
        <f>IF($I$270="Producción",IF($I275&lt;LS_D,$V275,0),0)</f>
        <v>0</v>
      </c>
      <c r="CC275" s="5">
        <f>IF($I$270="Crecimiento",$V275,0)</f>
        <v>0</v>
      </c>
      <c r="CF275" s="5">
        <f>IF($J$270="Producción",IF($J275&gt;=LI_A,$W275,0),0)</f>
        <v>0</v>
      </c>
      <c r="CG275" s="5">
        <f>IF($J$270="Producción",IF($J275&gt;=LI_B,IF($J275&lt;LS_B,$W275,0),0),0)</f>
        <v>0</v>
      </c>
      <c r="CH275" s="5">
        <f>IF($J$270="Producción",IF($J275&gt;=LI_C,IF($J275&lt;LS_C,$W275,0),0),0)</f>
        <v>0</v>
      </c>
      <c r="CI275" s="5">
        <f>IF($J$270="Producción",IF($J275&lt;LS_D,$W275,0),0)</f>
        <v>0</v>
      </c>
      <c r="CJ275" s="5">
        <f>IF($J$270="Crecimiento",$W275,0)</f>
        <v>0</v>
      </c>
      <c r="CM275" s="5">
        <f>IF($K$270="Producción",IF($K275&gt;=LI_A,$X275,0),0)</f>
        <v>0</v>
      </c>
      <c r="CN275" s="5">
        <f>IF($K$270="Producción",IF($K275&gt;=LI_B,IF($K275&lt;LS_B,$X275,0),0),0)</f>
        <v>0</v>
      </c>
      <c r="CO275" s="5">
        <f>IF($K$270="Producción",IF($K275&gt;=LI_C,IF($K275&lt;LS_C,$X275,0),0),0)</f>
        <v>0</v>
      </c>
      <c r="CP275" s="5">
        <f>IF($K$270="Producción",IF($K275&lt;LS_D,$X275,0),0)</f>
        <v>0</v>
      </c>
      <c r="CQ275" s="5">
        <f>IF($K$270="Crecimiento",$X275,0)</f>
        <v>0</v>
      </c>
      <c r="CT275" s="5">
        <f>IF($L$270="Producción",IF($L275&gt;=LI_A,$Y275,0),0)</f>
        <v>0</v>
      </c>
      <c r="CU275" s="5">
        <f>IF($L$270="Producción",IF($L275&gt;=LI_B,IF($L275&lt;LS_B,$Y275,0),0),0)</f>
        <v>0</v>
      </c>
      <c r="CV275" s="5">
        <f>IF($L$270="Producción",IF($L275&gt;=LI_C,IF($L275&lt;LS_C,$Y275,0),0),0)</f>
        <v>0</v>
      </c>
      <c r="CW275" s="5">
        <f>IF($L$270="Producción",IF($L275&lt;LS_D,$Y275,0),0)</f>
        <v>0</v>
      </c>
      <c r="CX275" s="5">
        <f>IF($L$270="Crecimiento",$Y275,0)</f>
        <v>0</v>
      </c>
      <c r="DA275" s="5">
        <f>IF($M$270="Producción",IF($M275&gt;=LI_A,$Z275,0),0)</f>
        <v>0</v>
      </c>
      <c r="DB275" s="5">
        <f>IF($M$270="Producción",IF($M275&gt;=LI_B,IF($M275&lt;LS_B,$Z275,0),0),0)</f>
        <v>0</v>
      </c>
      <c r="DC275" s="5">
        <f>IF($M$270="Producción",IF($M275&gt;=LI_C,IF($M275&lt;LS_C,$Z275,0),0),0)</f>
        <v>0</v>
      </c>
      <c r="DD275" s="5">
        <f>IF($M$270="Producción",IF($M275&lt;LS_D,$Z275,0),0)</f>
        <v>0</v>
      </c>
      <c r="DE275" s="5">
        <f>IF($M$270="Crecimiento",$Z275,0)</f>
        <v>0</v>
      </c>
      <c r="DI275" s="5">
        <f t="shared" si="2051"/>
        <v>0</v>
      </c>
      <c r="DJ275" s="5">
        <f t="shared" si="2052"/>
        <v>0</v>
      </c>
      <c r="DK275" s="5">
        <f t="shared" si="2053"/>
        <v>0</v>
      </c>
      <c r="DL275" s="5">
        <f t="shared" si="2054"/>
        <v>0</v>
      </c>
      <c r="DM275" s="5">
        <f t="shared" si="2055"/>
        <v>0</v>
      </c>
      <c r="DN275" s="5">
        <f t="shared" si="2056"/>
        <v>0</v>
      </c>
      <c r="DO275" s="5">
        <f t="shared" si="2057"/>
        <v>0</v>
      </c>
      <c r="DP275" s="5">
        <f t="shared" si="2058"/>
        <v>0</v>
      </c>
      <c r="DQ275" s="5">
        <f t="shared" si="2059"/>
        <v>0</v>
      </c>
      <c r="DR275" s="5">
        <f t="shared" si="2060"/>
        <v>0</v>
      </c>
      <c r="DS275" s="5">
        <f t="shared" si="2061"/>
        <v>0</v>
      </c>
      <c r="DT275" s="5">
        <f t="shared" si="2062"/>
        <v>0</v>
      </c>
      <c r="DU275" s="5">
        <f t="shared" si="2063"/>
        <v>0</v>
      </c>
      <c r="DV275" s="5">
        <f t="shared" si="2064"/>
        <v>0</v>
      </c>
      <c r="DW275" s="5">
        <f t="shared" si="2065"/>
        <v>0</v>
      </c>
      <c r="DX275" s="5">
        <f t="shared" si="2066"/>
        <v>0</v>
      </c>
      <c r="DY275" s="5">
        <f t="shared" si="2067"/>
        <v>0</v>
      </c>
      <c r="DZ275" s="5">
        <f t="shared" si="2068"/>
        <v>0</v>
      </c>
      <c r="EA275" s="5">
        <f t="shared" si="2069"/>
        <v>0</v>
      </c>
      <c r="EB275" s="5">
        <f t="shared" si="2070"/>
        <v>0</v>
      </c>
      <c r="EC275" s="5">
        <f t="shared" si="2071"/>
        <v>0</v>
      </c>
      <c r="ED275" s="5">
        <f t="shared" si="2072"/>
        <v>0</v>
      </c>
      <c r="EE275" s="5">
        <f t="shared" si="2073"/>
        <v>0</v>
      </c>
      <c r="EF275" s="5">
        <f t="shared" si="2074"/>
        <v>0</v>
      </c>
      <c r="EG275" s="5">
        <f t="shared" si="2075"/>
        <v>0</v>
      </c>
      <c r="EH275" s="5">
        <f t="shared" si="2076"/>
        <v>0</v>
      </c>
      <c r="EI275" s="5">
        <f t="shared" si="2077"/>
        <v>0</v>
      </c>
      <c r="EJ275" s="5">
        <f t="shared" si="2078"/>
        <v>0</v>
      </c>
      <c r="EK275" s="5">
        <f t="shared" si="2079"/>
        <v>0</v>
      </c>
      <c r="EL275" s="5">
        <f t="shared" si="2080"/>
        <v>0</v>
      </c>
      <c r="EM275" s="5">
        <f t="shared" si="2081"/>
        <v>0</v>
      </c>
      <c r="EN275" s="5">
        <f t="shared" si="2082"/>
        <v>0</v>
      </c>
      <c r="EO275" s="5">
        <f t="shared" si="2083"/>
        <v>0</v>
      </c>
      <c r="EP275" s="5">
        <f t="shared" si="2084"/>
        <v>0</v>
      </c>
      <c r="EQ275" s="5">
        <f t="shared" si="2085"/>
        <v>0</v>
      </c>
      <c r="ER275" s="5">
        <f t="shared" si="2086"/>
        <v>0</v>
      </c>
      <c r="ES275" s="5">
        <f t="shared" si="2087"/>
        <v>0</v>
      </c>
      <c r="ET275" s="5">
        <f t="shared" si="2088"/>
        <v>0</v>
      </c>
      <c r="EU275" s="5">
        <f t="shared" si="2089"/>
        <v>0</v>
      </c>
      <c r="EV275" s="5">
        <f t="shared" si="2090"/>
        <v>0</v>
      </c>
      <c r="EW275" s="5">
        <f t="shared" si="2091"/>
        <v>0</v>
      </c>
      <c r="EX275" s="5">
        <f t="shared" si="2092"/>
        <v>0</v>
      </c>
      <c r="EY275" s="5">
        <f t="shared" si="2093"/>
        <v>0</v>
      </c>
      <c r="EZ275" s="5">
        <f t="shared" si="2094"/>
        <v>0</v>
      </c>
      <c r="FA275" s="5">
        <f t="shared" si="2095"/>
        <v>0</v>
      </c>
      <c r="FB275" s="5">
        <f t="shared" si="2096"/>
        <v>0</v>
      </c>
      <c r="FC275" s="5">
        <f t="shared" si="2097"/>
        <v>0</v>
      </c>
      <c r="FD275" s="5">
        <f t="shared" si="2098"/>
        <v>0</v>
      </c>
      <c r="FE275" s="5">
        <f t="shared" si="2099"/>
        <v>0</v>
      </c>
      <c r="FF275" s="5">
        <f t="shared" si="2100"/>
        <v>0</v>
      </c>
      <c r="FG275" s="5">
        <f t="shared" si="2101"/>
        <v>0</v>
      </c>
      <c r="FH275" s="5">
        <f t="shared" si="2102"/>
        <v>0</v>
      </c>
      <c r="FI275" s="5">
        <f t="shared" si="2103"/>
        <v>0</v>
      </c>
      <c r="FJ275" s="5">
        <f t="shared" si="2104"/>
        <v>0</v>
      </c>
      <c r="FK275" s="5">
        <f t="shared" si="2105"/>
        <v>0</v>
      </c>
      <c r="FL275" s="5">
        <f t="shared" si="2106"/>
        <v>0</v>
      </c>
      <c r="FM275" s="5">
        <f t="shared" si="2107"/>
        <v>0</v>
      </c>
      <c r="FN275" s="5">
        <f t="shared" si="2108"/>
        <v>0</v>
      </c>
      <c r="FO275" s="5">
        <f t="shared" si="2109"/>
        <v>0</v>
      </c>
      <c r="FP275" s="5">
        <f t="shared" si="2110"/>
        <v>0</v>
      </c>
    </row>
    <row r="276" spans="1:172" ht="20.100000000000001" customHeight="1" x14ac:dyDescent="0.3">
      <c r="A276" s="8" t="str">
        <f>IF(Ciclo=4,"Surco 4",IF(Ciclo=5,"Surco 4","NA"))</f>
        <v>NA</v>
      </c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O276" s="58">
        <f>IF($A276="NA",0,IFERROR('6'!O$139/Ciclo,0))</f>
        <v>0</v>
      </c>
      <c r="P276" s="58">
        <f>IF($A276="NA",0,IFERROR('6'!P$139/Ciclo,0))</f>
        <v>0</v>
      </c>
      <c r="Q276" s="58">
        <f>IF($A276="NA",0,IFERROR('6'!Q$139/Ciclo,0))</f>
        <v>0</v>
      </c>
      <c r="R276" s="58">
        <f>IF($A276="NA",0,IFERROR('6'!R$139/Ciclo,0))</f>
        <v>0</v>
      </c>
      <c r="S276" s="58">
        <f>IF($A276="NA",0,IFERROR('6'!S$139/Ciclo,0))</f>
        <v>0</v>
      </c>
      <c r="T276" s="58">
        <f>IF($A276="NA",0,IFERROR('6'!T$139/Ciclo,0))</f>
        <v>0</v>
      </c>
      <c r="U276" s="58">
        <f>IF($A276="NA",0,IFERROR('6'!U$139/Ciclo,0))</f>
        <v>0</v>
      </c>
      <c r="V276" s="58">
        <f>IF($A276="NA",0,IFERROR('6'!V$139/Ciclo,0))</f>
        <v>0</v>
      </c>
      <c r="W276" s="5">
        <f>IF($A276="NA",0,IFERROR('6'!W$139/Ciclo,0))</f>
        <v>0</v>
      </c>
      <c r="X276" s="5">
        <f>IF($A276="NA",0,IFERROR('6'!X$139/Ciclo,0))</f>
        <v>0</v>
      </c>
      <c r="Y276" s="5">
        <f>IF($A276="NA",0,IFERROR('6'!Y$139/Ciclo,0))</f>
        <v>0</v>
      </c>
      <c r="Z276" s="5">
        <f>IF($A276="NA",0,IFERROR('6'!Z$139/Ciclo,0))</f>
        <v>0</v>
      </c>
      <c r="AB276" s="5">
        <f>IF($B$270="Producción",IF($B276&gt;=LI_A,$O276,0),0)</f>
        <v>0</v>
      </c>
      <c r="AC276" s="5">
        <f>IF($B$270="Producción",IF($B276&gt;=LI_B,IF($B276&lt;LS_B,$O276,0),0),0)</f>
        <v>0</v>
      </c>
      <c r="AD276" s="5">
        <f>IF($B$270="Producción",IF($B276&gt;=LI_C,IF($B276&lt;LS_C,$O276,0),0),0)</f>
        <v>0</v>
      </c>
      <c r="AE276" s="5">
        <f>IF($B$270="Producción",IF($B276&lt;LS_D,$O276,0),0)</f>
        <v>0</v>
      </c>
      <c r="AF276" s="5">
        <f t="shared" si="2111"/>
        <v>0</v>
      </c>
      <c r="AI276" s="5">
        <f>IF($C$270="Producción",IF($C276&gt;=LI_A,$P276,0),0)</f>
        <v>0</v>
      </c>
      <c r="AJ276" s="5">
        <f>IF($C$270="Producción",IF($C276&gt;=LI_B,IF($C276&lt;LS_B,$P276,0),0),0)</f>
        <v>0</v>
      </c>
      <c r="AK276" s="5">
        <f>IF($C$270="Producción",IF($C276&gt;=LI_C,IF($C276&lt;LS_C,$P276,0),0),0)</f>
        <v>0</v>
      </c>
      <c r="AL276" s="5">
        <f>IF($C$270="Producción",IF($C276&lt;LS_D,$P276,0),0)</f>
        <v>0</v>
      </c>
      <c r="AM276" s="5">
        <f>IF($C$270="Crecimiento",$P276,0)</f>
        <v>0</v>
      </c>
      <c r="AP276" s="5">
        <f>IF($D$270="Producción",IF($D276&gt;=LI_A,$Q276,0),0)</f>
        <v>0</v>
      </c>
      <c r="AQ276" s="5">
        <f>IF($D$270="Producción",IF($D276&gt;=LI_B,IF($D276&lt;LS_B,$Q276,0),0),0)</f>
        <v>0</v>
      </c>
      <c r="AR276" s="5">
        <f>IF($D$270="Producción",IF($D276&gt;=LI_C,IF($D276&lt;LS_C,$Q276,0),0),0)</f>
        <v>0</v>
      </c>
      <c r="AS276" s="5">
        <f>IF($D$270="Producción",IF($D276&lt;LS_D,$Q276,0),0)</f>
        <v>0</v>
      </c>
      <c r="AT276" s="5">
        <f>IF($D$270="Crecimiento",IF($D276&gt;0,$Q276,0),0)</f>
        <v>0</v>
      </c>
      <c r="AW276" s="5">
        <f>IF($E$270="Producción",IF($E276&gt;=LI_A,$R276,0),0)</f>
        <v>0</v>
      </c>
      <c r="AX276" s="5">
        <f>IF($E$270="Producción",IF($E276&gt;=LI_B,IF($E276&lt;LS_B,$R276,0),0),0)</f>
        <v>0</v>
      </c>
      <c r="AY276" s="5">
        <f>IF($E$270="Producción",IF($E276&gt;=LI_C,IF($E276&lt;LS_C,$R276,0),0),0)</f>
        <v>0</v>
      </c>
      <c r="AZ276" s="5">
        <f>IF($E$270="Producción",IF($E276&lt;LS_D,$R276,0),0)</f>
        <v>0</v>
      </c>
      <c r="BA276" s="5">
        <f>IF($E$270="Crecimiento",$R276,0)</f>
        <v>0</v>
      </c>
      <c r="BD276" s="5">
        <f>IF($F$270="Producción",IF($F276&gt;=LI_A,$S276,0),0)</f>
        <v>0</v>
      </c>
      <c r="BE276" s="5">
        <f>IF($F$270="Producción",IF($F276&gt;=LI_B,IF($F276&lt;LS_B,$S276,0),0),0)</f>
        <v>0</v>
      </c>
      <c r="BF276" s="5">
        <f>IF($F$270="Producción",IF($F276&gt;=LI_C,IF($F276&lt;LS_C,$S276,0),0),0)</f>
        <v>0</v>
      </c>
      <c r="BG276" s="5">
        <f>IF($F$270="Producción",IF($F276&lt;LS_D,$S276,0),0)</f>
        <v>0</v>
      </c>
      <c r="BH276" s="5">
        <f>IF($F$270="Crecimiento",$S276,0)</f>
        <v>0</v>
      </c>
      <c r="BK276" s="5">
        <f>IF($G$270="Producción",IF($G276&gt;=LI_A,$T276,0),0)</f>
        <v>0</v>
      </c>
      <c r="BL276" s="5">
        <f>IF($G$270="Producción",IF($G276&gt;=LI_B,IF($G276&lt;LS_B,$T276,0),0),0)</f>
        <v>0</v>
      </c>
      <c r="BM276" s="5">
        <f>IF($G$270="Producción",IF($G276&gt;=LI_C,IF($G276&lt;LS_C,$T276,0),0),0)</f>
        <v>0</v>
      </c>
      <c r="BN276" s="5">
        <f>IF($G$270="Producción",IF($G276&lt;LS_D,$T276,0),0)</f>
        <v>0</v>
      </c>
      <c r="BO276" s="5">
        <f>IF($G$270="Crecimiento",$T276,0)</f>
        <v>0</v>
      </c>
      <c r="BR276" s="5">
        <f>IF($H$270="Producción",IF($H276&gt;=LI_A,$U276,0),0)</f>
        <v>0</v>
      </c>
      <c r="BS276" s="5">
        <f>IF($H$270="Producción",IF($H276&gt;=LI_B,IF($H276&lt;LS_B,$U276,0),0),0)</f>
        <v>0</v>
      </c>
      <c r="BT276" s="5">
        <f>IF($H$270="Producción",IF($H276&gt;=LI_C,IF($H276&lt;LS_C,$U276,0),0),0)</f>
        <v>0</v>
      </c>
      <c r="BU276" s="5">
        <f>IF($H$270="Producción",IF($H276&lt;LS_D,$U276,0),0)</f>
        <v>0</v>
      </c>
      <c r="BV276" s="5">
        <f>IF($H$270="Crecimiento",$T276,0)</f>
        <v>0</v>
      </c>
      <c r="BY276" s="5">
        <f>IF($I$270="Producción",IF($I276&gt;=LI_A,$V276,0),0)</f>
        <v>0</v>
      </c>
      <c r="BZ276" s="5">
        <f>IF($I$270="Producción",IF($I276&gt;=LI_B,IF($I276&lt;LS_B,$V276,0),0),0)</f>
        <v>0</v>
      </c>
      <c r="CA276" s="5">
        <f>IF($I$270="Producción",IF($I276&gt;=LI_C,IF($I276&lt;LS_C,$V276,0),0),0)</f>
        <v>0</v>
      </c>
      <c r="CB276" s="5">
        <f>IF($I$270="Producción",IF($I276&lt;LS_D,$V276,0),0)</f>
        <v>0</v>
      </c>
      <c r="CC276" s="5">
        <f>IF($I$270="Crecimiento",$V276,0)</f>
        <v>0</v>
      </c>
      <c r="CF276" s="5">
        <f>IF($J$270="Producción",IF($J276&gt;=LI_A,$W276,0),0)</f>
        <v>0</v>
      </c>
      <c r="CG276" s="5">
        <f>IF($J$270="Producción",IF($J276&gt;=LI_B,IF($J276&lt;LS_B,$W276,0),0),0)</f>
        <v>0</v>
      </c>
      <c r="CH276" s="5">
        <f>IF($J$270="Producción",IF($J276&gt;=LI_C,IF($J276&lt;LS_C,$W276,0),0),0)</f>
        <v>0</v>
      </c>
      <c r="CI276" s="5">
        <f>IF($J$270="Producción",IF($J276&lt;LS_D,$W276,0),0)</f>
        <v>0</v>
      </c>
      <c r="CJ276" s="5">
        <f>IF($J$270="Crecimiento",$W276,0)</f>
        <v>0</v>
      </c>
      <c r="CM276" s="5">
        <f>IF($K$270="Producción",IF($K276&gt;=LI_A,$X276,0),0)</f>
        <v>0</v>
      </c>
      <c r="CN276" s="5">
        <f>IF($K$270="Producción",IF($K276&gt;=LI_B,IF($K276&lt;LS_B,$X276,0),0),0)</f>
        <v>0</v>
      </c>
      <c r="CO276" s="5">
        <f>IF($K$270="Producción",IF($K276&gt;=LI_C,IF($K276&lt;LS_C,$X276,0),0),0)</f>
        <v>0</v>
      </c>
      <c r="CP276" s="5">
        <f>IF($K$270="Producción",IF($K276&lt;LS_D,$X276,0),0)</f>
        <v>0</v>
      </c>
      <c r="CQ276" s="5">
        <f>IF($K$270="Crecimiento",$X276,0)</f>
        <v>0</v>
      </c>
      <c r="CT276" s="5">
        <f>IF($L$270="Producción",IF($L276&gt;=LI_A,$Y276,0),0)</f>
        <v>0</v>
      </c>
      <c r="CU276" s="5">
        <f>IF($L$270="Producción",IF($L276&gt;=LI_B,IF($L276&lt;LS_B,$Y276,0),0),0)</f>
        <v>0</v>
      </c>
      <c r="CV276" s="5">
        <f>IF($L$270="Producción",IF($L276&gt;=LI_C,IF($L276&lt;LS_C,$Y276,0),0),0)</f>
        <v>0</v>
      </c>
      <c r="CW276" s="5">
        <f>IF($L$270="Producción",IF($L276&lt;LS_D,$Y276,0),0)</f>
        <v>0</v>
      </c>
      <c r="CX276" s="5">
        <f>IF($L$270="Crecimiento",$Y276,0)</f>
        <v>0</v>
      </c>
      <c r="DA276" s="5">
        <f>IF($M$270="Producción",IF($M276&gt;=LI_A,$Z276,0),0)</f>
        <v>0</v>
      </c>
      <c r="DB276" s="5">
        <f>IF($M$270="Producción",IF($M276&gt;=LI_B,IF($M276&lt;LS_B,$Z276,0),0),0)</f>
        <v>0</v>
      </c>
      <c r="DC276" s="5">
        <f>IF($M$270="Producción",IF($M276&gt;=LI_C,IF($M276&lt;LS_C,$Z276,0),0),0)</f>
        <v>0</v>
      </c>
      <c r="DD276" s="5">
        <f>IF($M$270="Producción",IF($M276&lt;LS_D,$Z276,0),0)</f>
        <v>0</v>
      </c>
      <c r="DE276" s="5">
        <f>IF($M$270="Crecimiento",$Z276,0)</f>
        <v>0</v>
      </c>
      <c r="DI276" s="5">
        <f t="shared" si="2051"/>
        <v>0</v>
      </c>
      <c r="DJ276" s="5">
        <f t="shared" si="2052"/>
        <v>0</v>
      </c>
      <c r="DK276" s="5">
        <f t="shared" si="2053"/>
        <v>0</v>
      </c>
      <c r="DL276" s="5">
        <f t="shared" si="2054"/>
        <v>0</v>
      </c>
      <c r="DM276" s="5">
        <f t="shared" si="2055"/>
        <v>0</v>
      </c>
      <c r="DN276" s="5">
        <f t="shared" si="2056"/>
        <v>0</v>
      </c>
      <c r="DO276" s="5">
        <f t="shared" si="2057"/>
        <v>0</v>
      </c>
      <c r="DP276" s="5">
        <f t="shared" si="2058"/>
        <v>0</v>
      </c>
      <c r="DQ276" s="5">
        <f t="shared" si="2059"/>
        <v>0</v>
      </c>
      <c r="DR276" s="5">
        <f t="shared" si="2060"/>
        <v>0</v>
      </c>
      <c r="DS276" s="5">
        <f t="shared" si="2061"/>
        <v>0</v>
      </c>
      <c r="DT276" s="5">
        <f t="shared" si="2062"/>
        <v>0</v>
      </c>
      <c r="DU276" s="5">
        <f t="shared" si="2063"/>
        <v>0</v>
      </c>
      <c r="DV276" s="5">
        <f t="shared" si="2064"/>
        <v>0</v>
      </c>
      <c r="DW276" s="5">
        <f t="shared" si="2065"/>
        <v>0</v>
      </c>
      <c r="DX276" s="5">
        <f t="shared" si="2066"/>
        <v>0</v>
      </c>
      <c r="DY276" s="5">
        <f t="shared" si="2067"/>
        <v>0</v>
      </c>
      <c r="DZ276" s="5">
        <f t="shared" si="2068"/>
        <v>0</v>
      </c>
      <c r="EA276" s="5">
        <f t="shared" si="2069"/>
        <v>0</v>
      </c>
      <c r="EB276" s="5">
        <f t="shared" si="2070"/>
        <v>0</v>
      </c>
      <c r="EC276" s="5">
        <f t="shared" si="2071"/>
        <v>0</v>
      </c>
      <c r="ED276" s="5">
        <f t="shared" si="2072"/>
        <v>0</v>
      </c>
      <c r="EE276" s="5">
        <f t="shared" si="2073"/>
        <v>0</v>
      </c>
      <c r="EF276" s="5">
        <f t="shared" si="2074"/>
        <v>0</v>
      </c>
      <c r="EG276" s="5">
        <f t="shared" si="2075"/>
        <v>0</v>
      </c>
      <c r="EH276" s="5">
        <f t="shared" si="2076"/>
        <v>0</v>
      </c>
      <c r="EI276" s="5">
        <f t="shared" si="2077"/>
        <v>0</v>
      </c>
      <c r="EJ276" s="5">
        <f t="shared" si="2078"/>
        <v>0</v>
      </c>
      <c r="EK276" s="5">
        <f t="shared" si="2079"/>
        <v>0</v>
      </c>
      <c r="EL276" s="5">
        <f t="shared" si="2080"/>
        <v>0</v>
      </c>
      <c r="EM276" s="5">
        <f t="shared" si="2081"/>
        <v>0</v>
      </c>
      <c r="EN276" s="5">
        <f t="shared" si="2082"/>
        <v>0</v>
      </c>
      <c r="EO276" s="5">
        <f t="shared" si="2083"/>
        <v>0</v>
      </c>
      <c r="EP276" s="5">
        <f t="shared" si="2084"/>
        <v>0</v>
      </c>
      <c r="EQ276" s="5">
        <f t="shared" si="2085"/>
        <v>0</v>
      </c>
      <c r="ER276" s="5">
        <f t="shared" si="2086"/>
        <v>0</v>
      </c>
      <c r="ES276" s="5">
        <f t="shared" si="2087"/>
        <v>0</v>
      </c>
      <c r="ET276" s="5">
        <f t="shared" si="2088"/>
        <v>0</v>
      </c>
      <c r="EU276" s="5">
        <f t="shared" si="2089"/>
        <v>0</v>
      </c>
      <c r="EV276" s="5">
        <f t="shared" si="2090"/>
        <v>0</v>
      </c>
      <c r="EW276" s="5">
        <f t="shared" si="2091"/>
        <v>0</v>
      </c>
      <c r="EX276" s="5">
        <f t="shared" si="2092"/>
        <v>0</v>
      </c>
      <c r="EY276" s="5">
        <f t="shared" si="2093"/>
        <v>0</v>
      </c>
      <c r="EZ276" s="5">
        <f t="shared" si="2094"/>
        <v>0</v>
      </c>
      <c r="FA276" s="5">
        <f t="shared" si="2095"/>
        <v>0</v>
      </c>
      <c r="FB276" s="5">
        <f t="shared" si="2096"/>
        <v>0</v>
      </c>
      <c r="FC276" s="5">
        <f t="shared" si="2097"/>
        <v>0</v>
      </c>
      <c r="FD276" s="5">
        <f t="shared" si="2098"/>
        <v>0</v>
      </c>
      <c r="FE276" s="5">
        <f t="shared" si="2099"/>
        <v>0</v>
      </c>
      <c r="FF276" s="5">
        <f t="shared" si="2100"/>
        <v>0</v>
      </c>
      <c r="FG276" s="5">
        <f t="shared" si="2101"/>
        <v>0</v>
      </c>
      <c r="FH276" s="5">
        <f t="shared" si="2102"/>
        <v>0</v>
      </c>
      <c r="FI276" s="5">
        <f t="shared" si="2103"/>
        <v>0</v>
      </c>
      <c r="FJ276" s="5">
        <f t="shared" si="2104"/>
        <v>0</v>
      </c>
      <c r="FK276" s="5">
        <f t="shared" si="2105"/>
        <v>0</v>
      </c>
      <c r="FL276" s="5">
        <f t="shared" si="2106"/>
        <v>0</v>
      </c>
      <c r="FM276" s="5">
        <f t="shared" si="2107"/>
        <v>0</v>
      </c>
      <c r="FN276" s="5">
        <f t="shared" si="2108"/>
        <v>0</v>
      </c>
      <c r="FO276" s="5">
        <f t="shared" si="2109"/>
        <v>0</v>
      </c>
      <c r="FP276" s="5">
        <f t="shared" si="2110"/>
        <v>0</v>
      </c>
    </row>
    <row r="277" spans="1:172" ht="20.100000000000001" customHeight="1" x14ac:dyDescent="0.3">
      <c r="A277" s="9" t="str">
        <f>IF(Ciclo=5,"Surco 5","NA")</f>
        <v>NA</v>
      </c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O277" s="58">
        <f>IF($A277="NA",0,IFERROR('6'!O$139/Ciclo,0))</f>
        <v>0</v>
      </c>
      <c r="P277" s="58">
        <f>IF($A277="NA",0,IFERROR('6'!P$139/Ciclo,0))</f>
        <v>0</v>
      </c>
      <c r="Q277" s="58">
        <f>IF($A277="NA",0,IFERROR('6'!Q$139/Ciclo,0))</f>
        <v>0</v>
      </c>
      <c r="R277" s="58">
        <f>IF($A277="NA",0,IFERROR('6'!R$139/Ciclo,0))</f>
        <v>0</v>
      </c>
      <c r="S277" s="58">
        <f>IF($A277="NA",0,IFERROR('6'!S$139/Ciclo,0))</f>
        <v>0</v>
      </c>
      <c r="T277" s="58">
        <f>IF($A277="NA",0,IFERROR('6'!T$139/Ciclo,0))</f>
        <v>0</v>
      </c>
      <c r="U277" s="58">
        <f>IF($A277="NA",0,IFERROR('6'!U$139/Ciclo,0))</f>
        <v>0</v>
      </c>
      <c r="V277" s="58">
        <f>IF($A277="NA",0,IFERROR('6'!V$139/Ciclo,0))</f>
        <v>0</v>
      </c>
      <c r="W277" s="5">
        <f>IF($A277="NA",0,IFERROR('6'!W$139/Ciclo,0))</f>
        <v>0</v>
      </c>
      <c r="X277" s="5">
        <f>IF($A277="NA",0,IFERROR('6'!X$139/Ciclo,0))</f>
        <v>0</v>
      </c>
      <c r="Y277" s="5">
        <f>IF($A277="NA",0,IFERROR('6'!Y$139/Ciclo,0))</f>
        <v>0</v>
      </c>
      <c r="Z277" s="5">
        <f>IF($A277="NA",0,IFERROR('6'!Z$139/Ciclo,0))</f>
        <v>0</v>
      </c>
      <c r="AB277" s="5">
        <f>IF($B$270="Producción",IF($B277&gt;=LI_A,$O277,0),0)</f>
        <v>0</v>
      </c>
      <c r="AC277" s="5">
        <f>IF($B$270="Producción",IF($B277&gt;=LI_B,IF($B277&lt;LS_B,$O277,0),0),0)</f>
        <v>0</v>
      </c>
      <c r="AD277" s="5">
        <f>IF($B$270="Producción",IF($B277&gt;=LI_C,IF($B277&lt;LS_C,$O277,0),0),0)</f>
        <v>0</v>
      </c>
      <c r="AE277" s="5">
        <f>IF($B$270="Producción",IF($B277&lt;LS_D,$O277,0),0)</f>
        <v>0</v>
      </c>
      <c r="AF277" s="5">
        <f t="shared" si="2111"/>
        <v>0</v>
      </c>
      <c r="AI277" s="5">
        <f>IF($C$270="Producción",IF($C277&gt;=LI_A,$P277,0),0)</f>
        <v>0</v>
      </c>
      <c r="AJ277" s="5">
        <f>IF($C$270="Producción",IF($C277&gt;=LI_B,IF($C277&lt;LS_B,$P277,0),0),0)</f>
        <v>0</v>
      </c>
      <c r="AK277" s="5">
        <f>IF($C$270="Producción",IF($C277&gt;=LI_C,IF($C277&lt;LS_C,$P277,0),0),0)</f>
        <v>0</v>
      </c>
      <c r="AL277" s="5">
        <f>IF($C$270="Producción",IF($C277&lt;LS_D,$P277,0),0)</f>
        <v>0</v>
      </c>
      <c r="AM277" s="5">
        <f>IF($C$270="Crecimiento",$P277,0)</f>
        <v>0</v>
      </c>
      <c r="AP277" s="5">
        <f>IF($D$270="Producción",IF($D277&gt;=LI_A,$Q277,0),0)</f>
        <v>0</v>
      </c>
      <c r="AQ277" s="5">
        <f>IF($D$270="Producción",IF($D277&gt;=LI_B,IF($D277&lt;LS_B,$Q277,0),0),0)</f>
        <v>0</v>
      </c>
      <c r="AR277" s="5">
        <f>IF($D$270="Producción",IF($D277&gt;=LI_C,IF($D277&lt;LS_C,$Q277,0),0),0)</f>
        <v>0</v>
      </c>
      <c r="AS277" s="5">
        <f>IF($D$270="Producción",IF($D277&lt;LS_D,$Q277,0),0)</f>
        <v>0</v>
      </c>
      <c r="AT277" s="5">
        <f>IF($D$270="Crecimiento",IF($D277&gt;0,$Q277,0),0)</f>
        <v>0</v>
      </c>
      <c r="AW277" s="5">
        <f>IF($E$270="Producción",IF($E277&gt;=LI_A,$R277,0),0)</f>
        <v>0</v>
      </c>
      <c r="AX277" s="5">
        <f>IF($E$270="Producción",IF($E277&gt;=LI_B,IF($E277&lt;LS_B,$R277,0),0),0)</f>
        <v>0</v>
      </c>
      <c r="AY277" s="5">
        <f>IF($E$270="Producción",IF($E277&gt;=LI_C,IF($E277&lt;LS_C,$R277,0),0),0)</f>
        <v>0</v>
      </c>
      <c r="AZ277" s="5">
        <f>IF($E$270="Producción",IF($E277&lt;LS_D,$R277,0),0)</f>
        <v>0</v>
      </c>
      <c r="BA277" s="5">
        <f>IF($E$270="Crecimiento",$R277,0)</f>
        <v>0</v>
      </c>
      <c r="BD277" s="5">
        <f>IF($F$270="Producción",IF($F277&gt;=LI_A,$S277,0),0)</f>
        <v>0</v>
      </c>
      <c r="BE277" s="5">
        <f>IF($F$270="Producción",IF($F277&gt;=LI_B,IF($F277&lt;LS_B,$S277,0),0),0)</f>
        <v>0</v>
      </c>
      <c r="BF277" s="5">
        <f>IF($F$270="Producción",IF($F277&gt;=LI_C,IF($F277&lt;LS_C,$S277,0),0),0)</f>
        <v>0</v>
      </c>
      <c r="BG277" s="5">
        <f>IF($F$270="Producción",IF($F277&lt;LS_D,$S277,0),0)</f>
        <v>0</v>
      </c>
      <c r="BH277" s="5">
        <f>IF($F$270="Crecimiento",$S277,0)</f>
        <v>0</v>
      </c>
      <c r="BK277" s="5">
        <f>IF($G$270="Producción",IF($G277&gt;=LI_A,$T277,0),0)</f>
        <v>0</v>
      </c>
      <c r="BL277" s="5">
        <f>IF($G$270="Producción",IF($G277&gt;=LI_B,IF($G277&lt;LS_B,$T277,0),0),0)</f>
        <v>0</v>
      </c>
      <c r="BM277" s="5">
        <f>IF($G$270="Producción",IF($G277&gt;=LI_C,IF($G277&lt;LS_C,$T277,0),0),0)</f>
        <v>0</v>
      </c>
      <c r="BN277" s="5">
        <f>IF($G$270="Producción",IF($G277&lt;LS_D,$T277,0),0)</f>
        <v>0</v>
      </c>
      <c r="BO277" s="5">
        <f>IF($G$270="Crecimiento",$T277,0)</f>
        <v>0</v>
      </c>
      <c r="BR277" s="5">
        <f>IF($H$270="Producción",IF($H277&gt;=LI_A,$U277,0),0)</f>
        <v>0</v>
      </c>
      <c r="BS277" s="5">
        <f>IF($H$270="Producción",IF($H277&gt;=LI_B,IF($H277&lt;LS_B,$U277,0),0),0)</f>
        <v>0</v>
      </c>
      <c r="BT277" s="5">
        <f>IF($H$270="Producción",IF($H277&gt;=LI_C,IF($H277&lt;LS_C,$U277,0),0),0)</f>
        <v>0</v>
      </c>
      <c r="BU277" s="5">
        <f>IF($H$270="Producción",IF($H277&lt;LS_D,$U277,0),0)</f>
        <v>0</v>
      </c>
      <c r="BV277" s="5">
        <f>IF($H$270="Crecimiento",$T277,0)</f>
        <v>0</v>
      </c>
      <c r="BY277" s="5">
        <f>IF($I$270="Producción",IF($I277&gt;=LI_A,$V277,0),0)</f>
        <v>0</v>
      </c>
      <c r="BZ277" s="5">
        <f>IF($I$270="Producción",IF($I277&gt;=LI_B,IF($I277&lt;LS_B,$V277,0),0),0)</f>
        <v>0</v>
      </c>
      <c r="CA277" s="5">
        <f>IF($I$270="Producción",IF($I277&gt;=LI_C,IF($I277&lt;LS_C,$V277,0),0),0)</f>
        <v>0</v>
      </c>
      <c r="CB277" s="5">
        <f>IF($I$270="Producción",IF($I277&lt;LS_D,$V277,0),0)</f>
        <v>0</v>
      </c>
      <c r="CC277" s="5">
        <f>IF($I$270="Crecimiento",$V277,0)</f>
        <v>0</v>
      </c>
      <c r="CF277" s="5">
        <f>IF($J$270="Producción",IF($J277&gt;=LI_A,$W277,0),0)</f>
        <v>0</v>
      </c>
      <c r="CG277" s="5">
        <f>IF($J$270="Producción",IF($J277&gt;=LI_B,IF($J277&lt;LS_B,$W277,0),0),0)</f>
        <v>0</v>
      </c>
      <c r="CH277" s="5">
        <f>IF($J$270="Producción",IF($J277&gt;=LI_C,IF($J277&lt;LS_C,$W277,0),0),0)</f>
        <v>0</v>
      </c>
      <c r="CI277" s="5">
        <f>IF($J$270="Producción",IF($J277&lt;LS_D,$W277,0),0)</f>
        <v>0</v>
      </c>
      <c r="CJ277" s="5">
        <f>IF($J$270="Crecimiento",$W277,0)</f>
        <v>0</v>
      </c>
      <c r="CM277" s="5">
        <f>IF($K$270="Producción",IF($K277&gt;=LI_A,$X277,0),0)</f>
        <v>0</v>
      </c>
      <c r="CN277" s="5">
        <f>IF($K$270="Producción",IF($K277&gt;=LI_B,IF($K277&lt;LS_B,$X277,0),0),0)</f>
        <v>0</v>
      </c>
      <c r="CO277" s="5">
        <f>IF($K$270="Producción",IF($K277&gt;=LI_C,IF($K277&lt;LS_C,$X277,0),0),0)</f>
        <v>0</v>
      </c>
      <c r="CP277" s="5">
        <f>IF($K$270="Producción",IF($K277&lt;LS_D,$X277,0),0)</f>
        <v>0</v>
      </c>
      <c r="CQ277" s="5">
        <f>IF($K$270="Crecimiento",$X277,0)</f>
        <v>0</v>
      </c>
      <c r="CT277" s="5">
        <f>IF($L$270="Producción",IF($L277&gt;=LI_A,$Y277,0),0)</f>
        <v>0</v>
      </c>
      <c r="CU277" s="5">
        <f>IF($L$270="Producción",IF($L277&gt;=LI_B,IF($L277&lt;LS_B,$Y277,0),0),0)</f>
        <v>0</v>
      </c>
      <c r="CV277" s="5">
        <f>IF($L$270="Producción",IF($L277&gt;=LI_C,IF($L277&lt;LS_C,$Y277,0),0),0)</f>
        <v>0</v>
      </c>
      <c r="CW277" s="5">
        <f>IF($L$270="Producción",IF($L277&lt;LS_D,$Y277,0),0)</f>
        <v>0</v>
      </c>
      <c r="CX277" s="5">
        <f>IF($L$270="Crecimiento",$Y277,0)</f>
        <v>0</v>
      </c>
      <c r="DA277" s="5">
        <f>IF($M$270="Producción",IF($M277&gt;=LI_A,$Z277,0),0)</f>
        <v>0</v>
      </c>
      <c r="DB277" s="5">
        <f>IF($M$270="Producción",IF($M277&gt;=LI_B,IF($M277&lt;LS_B,$Z277,0),0),0)</f>
        <v>0</v>
      </c>
      <c r="DC277" s="5">
        <f>IF($M$270="Producción",IF($M277&gt;=LI_C,IF($M277&lt;LS_C,$Z277,0),0),0)</f>
        <v>0</v>
      </c>
      <c r="DD277" s="5">
        <f>IF($M$270="Producción",IF($M277&lt;LS_D,$Z277,0),0)</f>
        <v>0</v>
      </c>
      <c r="DE277" s="5">
        <f>IF($M$270="Crecimiento",$Z277,0)</f>
        <v>0</v>
      </c>
      <c r="DI277" s="5">
        <f t="shared" si="2051"/>
        <v>0</v>
      </c>
      <c r="DJ277" s="5">
        <f t="shared" si="2052"/>
        <v>0</v>
      </c>
      <c r="DK277" s="5">
        <f t="shared" si="2053"/>
        <v>0</v>
      </c>
      <c r="DL277" s="5">
        <f t="shared" si="2054"/>
        <v>0</v>
      </c>
      <c r="DM277" s="5">
        <f t="shared" si="2055"/>
        <v>0</v>
      </c>
      <c r="DN277" s="5">
        <f t="shared" si="2056"/>
        <v>0</v>
      </c>
      <c r="DO277" s="5">
        <f t="shared" si="2057"/>
        <v>0</v>
      </c>
      <c r="DP277" s="5">
        <f t="shared" si="2058"/>
        <v>0</v>
      </c>
      <c r="DQ277" s="5">
        <f t="shared" si="2059"/>
        <v>0</v>
      </c>
      <c r="DR277" s="5">
        <f t="shared" si="2060"/>
        <v>0</v>
      </c>
      <c r="DS277" s="5">
        <f t="shared" si="2061"/>
        <v>0</v>
      </c>
      <c r="DT277" s="5">
        <f t="shared" si="2062"/>
        <v>0</v>
      </c>
      <c r="DU277" s="5">
        <f t="shared" si="2063"/>
        <v>0</v>
      </c>
      <c r="DV277" s="5">
        <f t="shared" si="2064"/>
        <v>0</v>
      </c>
      <c r="DW277" s="5">
        <f t="shared" si="2065"/>
        <v>0</v>
      </c>
      <c r="DX277" s="5">
        <f t="shared" si="2066"/>
        <v>0</v>
      </c>
      <c r="DY277" s="5">
        <f t="shared" si="2067"/>
        <v>0</v>
      </c>
      <c r="DZ277" s="5">
        <f t="shared" si="2068"/>
        <v>0</v>
      </c>
      <c r="EA277" s="5">
        <f t="shared" si="2069"/>
        <v>0</v>
      </c>
      <c r="EB277" s="5">
        <f t="shared" si="2070"/>
        <v>0</v>
      </c>
      <c r="EC277" s="5">
        <f t="shared" si="2071"/>
        <v>0</v>
      </c>
      <c r="ED277" s="5">
        <f t="shared" si="2072"/>
        <v>0</v>
      </c>
      <c r="EE277" s="5">
        <f t="shared" si="2073"/>
        <v>0</v>
      </c>
      <c r="EF277" s="5">
        <f t="shared" si="2074"/>
        <v>0</v>
      </c>
      <c r="EG277" s="5">
        <f t="shared" si="2075"/>
        <v>0</v>
      </c>
      <c r="EH277" s="5">
        <f t="shared" si="2076"/>
        <v>0</v>
      </c>
      <c r="EI277" s="5">
        <f t="shared" si="2077"/>
        <v>0</v>
      </c>
      <c r="EJ277" s="5">
        <f t="shared" si="2078"/>
        <v>0</v>
      </c>
      <c r="EK277" s="5">
        <f t="shared" si="2079"/>
        <v>0</v>
      </c>
      <c r="EL277" s="5">
        <f t="shared" si="2080"/>
        <v>0</v>
      </c>
      <c r="EM277" s="5">
        <f t="shared" si="2081"/>
        <v>0</v>
      </c>
      <c r="EN277" s="5">
        <f t="shared" si="2082"/>
        <v>0</v>
      </c>
      <c r="EO277" s="5">
        <f t="shared" si="2083"/>
        <v>0</v>
      </c>
      <c r="EP277" s="5">
        <f t="shared" si="2084"/>
        <v>0</v>
      </c>
      <c r="EQ277" s="5">
        <f t="shared" si="2085"/>
        <v>0</v>
      </c>
      <c r="ER277" s="5">
        <f t="shared" si="2086"/>
        <v>0</v>
      </c>
      <c r="ES277" s="5">
        <f t="shared" si="2087"/>
        <v>0</v>
      </c>
      <c r="ET277" s="5">
        <f t="shared" si="2088"/>
        <v>0</v>
      </c>
      <c r="EU277" s="5">
        <f t="shared" si="2089"/>
        <v>0</v>
      </c>
      <c r="EV277" s="5">
        <f t="shared" si="2090"/>
        <v>0</v>
      </c>
      <c r="EW277" s="5">
        <f t="shared" si="2091"/>
        <v>0</v>
      </c>
      <c r="EX277" s="5">
        <f t="shared" si="2092"/>
        <v>0</v>
      </c>
      <c r="EY277" s="5">
        <f t="shared" si="2093"/>
        <v>0</v>
      </c>
      <c r="EZ277" s="5">
        <f t="shared" si="2094"/>
        <v>0</v>
      </c>
      <c r="FA277" s="5">
        <f t="shared" si="2095"/>
        <v>0</v>
      </c>
      <c r="FB277" s="5">
        <f t="shared" si="2096"/>
        <v>0</v>
      </c>
      <c r="FC277" s="5">
        <f t="shared" si="2097"/>
        <v>0</v>
      </c>
      <c r="FD277" s="5">
        <f t="shared" si="2098"/>
        <v>0</v>
      </c>
      <c r="FE277" s="5">
        <f t="shared" si="2099"/>
        <v>0</v>
      </c>
      <c r="FF277" s="5">
        <f t="shared" si="2100"/>
        <v>0</v>
      </c>
      <c r="FG277" s="5">
        <f t="shared" si="2101"/>
        <v>0</v>
      </c>
      <c r="FH277" s="5">
        <f t="shared" si="2102"/>
        <v>0</v>
      </c>
      <c r="FI277" s="5">
        <f t="shared" si="2103"/>
        <v>0</v>
      </c>
      <c r="FJ277" s="5">
        <f t="shared" si="2104"/>
        <v>0</v>
      </c>
      <c r="FK277" s="5">
        <f t="shared" si="2105"/>
        <v>0</v>
      </c>
      <c r="FL277" s="5">
        <f t="shared" si="2106"/>
        <v>0</v>
      </c>
      <c r="FM277" s="5">
        <f t="shared" si="2107"/>
        <v>0</v>
      </c>
      <c r="FN277" s="5">
        <f t="shared" si="2108"/>
        <v>0</v>
      </c>
      <c r="FO277" s="5">
        <f t="shared" si="2109"/>
        <v>0</v>
      </c>
      <c r="FP277" s="5">
        <f t="shared" si="2110"/>
        <v>0</v>
      </c>
    </row>
    <row r="278" spans="1:172" ht="20.100000000000001" customHeight="1" x14ac:dyDescent="0.3">
      <c r="A278" s="172">
        <f>N_L35</f>
        <v>0</v>
      </c>
      <c r="B278" s="363" t="s">
        <v>37</v>
      </c>
      <c r="C278" s="363" t="s">
        <v>37</v>
      </c>
      <c r="D278" s="363" t="s">
        <v>37</v>
      </c>
      <c r="E278" s="363" t="s">
        <v>37</v>
      </c>
      <c r="F278" s="363" t="s">
        <v>37</v>
      </c>
      <c r="G278" s="363" t="s">
        <v>37</v>
      </c>
      <c r="H278" s="363" t="s">
        <v>37</v>
      </c>
      <c r="I278" s="363" t="s">
        <v>37</v>
      </c>
      <c r="J278" s="363" t="s">
        <v>37</v>
      </c>
      <c r="K278" s="363" t="s">
        <v>37</v>
      </c>
      <c r="L278" s="363" t="s">
        <v>37</v>
      </c>
      <c r="M278" s="363" t="s">
        <v>37</v>
      </c>
    </row>
    <row r="279" spans="1:172" ht="20.100000000000001" customHeight="1" x14ac:dyDescent="0.3">
      <c r="A279" s="175" t="s">
        <v>238</v>
      </c>
      <c r="B279" s="174">
        <f>SUM(DI281:DM285)/100</f>
        <v>0</v>
      </c>
      <c r="C279" s="174">
        <f>SUM(DN281:DR285)/100</f>
        <v>0</v>
      </c>
      <c r="D279" s="174">
        <f>SUM(DS281:DW285)/100</f>
        <v>0</v>
      </c>
      <c r="E279" s="174">
        <f>SUM(DX281:EB285)/100</f>
        <v>0</v>
      </c>
      <c r="F279" s="174">
        <f>SUM(EC281:EG285)/100</f>
        <v>0</v>
      </c>
      <c r="G279" s="174">
        <f>SUM(EH281:EL285)/100</f>
        <v>0</v>
      </c>
      <c r="H279" s="174">
        <f>SUM(EM281:EQ285)/100</f>
        <v>0</v>
      </c>
      <c r="I279" s="174">
        <f>SUM(ER281:EV285)/100</f>
        <v>0</v>
      </c>
      <c r="J279" s="174">
        <f>SUM(EW281:FA285)/100</f>
        <v>0</v>
      </c>
      <c r="K279" s="174">
        <f>SUM(FB281:FF285)/100</f>
        <v>0</v>
      </c>
      <c r="L279" s="174">
        <f>SUM(FG281:FK285)/100</f>
        <v>0</v>
      </c>
      <c r="M279" s="174">
        <f>SUM(FL281:FP285)/100</f>
        <v>0</v>
      </c>
    </row>
    <row r="280" spans="1:172" ht="20.100000000000001" customHeight="1" x14ac:dyDescent="0.3">
      <c r="A280" s="151" t="s">
        <v>239</v>
      </c>
      <c r="B280" s="152" t="e">
        <f t="shared" ref="B280:M280" si="2112">B279/Lote_35</f>
        <v>#DIV/0!</v>
      </c>
      <c r="C280" s="152" t="e">
        <f t="shared" si="2112"/>
        <v>#DIV/0!</v>
      </c>
      <c r="D280" s="152" t="e">
        <f t="shared" si="2112"/>
        <v>#DIV/0!</v>
      </c>
      <c r="E280" s="152" t="e">
        <f t="shared" si="2112"/>
        <v>#DIV/0!</v>
      </c>
      <c r="F280" s="152" t="e">
        <f t="shared" si="2112"/>
        <v>#DIV/0!</v>
      </c>
      <c r="G280" s="152" t="e">
        <f t="shared" si="2112"/>
        <v>#DIV/0!</v>
      </c>
      <c r="H280" s="152" t="e">
        <f t="shared" si="2112"/>
        <v>#DIV/0!</v>
      </c>
      <c r="I280" s="152" t="e">
        <f t="shared" si="2112"/>
        <v>#DIV/0!</v>
      </c>
      <c r="J280" s="152" t="e">
        <f t="shared" si="2112"/>
        <v>#DIV/0!</v>
      </c>
      <c r="K280" s="152" t="e">
        <f t="shared" si="2112"/>
        <v>#DIV/0!</v>
      </c>
      <c r="L280" s="152" t="e">
        <f t="shared" si="2112"/>
        <v>#DIV/0!</v>
      </c>
      <c r="M280" s="152" t="e">
        <f t="shared" si="2112"/>
        <v>#DIV/0!</v>
      </c>
    </row>
    <row r="281" spans="1:172" ht="20.100000000000001" customHeight="1" x14ac:dyDescent="0.3">
      <c r="A281" s="8" t="s">
        <v>302</v>
      </c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O281" s="58">
        <f>IFERROR('6'!O$143/Ciclo,0)</f>
        <v>0</v>
      </c>
      <c r="P281" s="58">
        <f>IFERROR('6'!P$143/Ciclo,0)</f>
        <v>0</v>
      </c>
      <c r="Q281" s="58">
        <f>IFERROR('6'!Q$143/Ciclo,0)</f>
        <v>0</v>
      </c>
      <c r="R281" s="58">
        <f>IFERROR('6'!R$143/Ciclo,0)</f>
        <v>0</v>
      </c>
      <c r="S281" s="58">
        <f>IFERROR('6'!S$143/Ciclo,0)</f>
        <v>0</v>
      </c>
      <c r="T281" s="58">
        <f>IFERROR('6'!T$143/Ciclo,0)</f>
        <v>0</v>
      </c>
      <c r="U281" s="58">
        <f>IFERROR('6'!U$143/Ciclo,0)</f>
        <v>0</v>
      </c>
      <c r="V281" s="58">
        <f>IFERROR('6'!V$143/Ciclo,0)</f>
        <v>0</v>
      </c>
      <c r="W281" s="5">
        <f>IFERROR('6'!W$143/Ciclo,0)</f>
        <v>0</v>
      </c>
      <c r="X281" s="5">
        <f>IFERROR('6'!X$143/Ciclo,0)</f>
        <v>0</v>
      </c>
      <c r="Y281" s="5">
        <f>IFERROR('6'!Y$143/Ciclo,0)</f>
        <v>0</v>
      </c>
      <c r="Z281" s="5">
        <f>IFERROR('6'!Z$143/Ciclo,0)</f>
        <v>0</v>
      </c>
      <c r="AB281" s="5">
        <f>IF($B$278="Producción",IF($B281&gt;=LI_A,$O281,0),0)</f>
        <v>0</v>
      </c>
      <c r="AC281" s="5">
        <f>IF($B$278="Producción",IF($B281&gt;=LI_B,IF($B281&lt;LS_B,$O281,0),0),0)</f>
        <v>0</v>
      </c>
      <c r="AD281" s="5">
        <f>IF($B$278="Producción",IF($B281&gt;=LI_C,IF($B281&lt;LS_C,$O281,0),0),0)</f>
        <v>0</v>
      </c>
      <c r="AE281" s="5">
        <f>IF($B$278="Producción",IF($B281&lt;LS_D,$O281,0),0)</f>
        <v>0</v>
      </c>
      <c r="AF281" s="5">
        <f>IF($B$278="Crecimiento",$O281,0)</f>
        <v>0</v>
      </c>
      <c r="AG281" s="5">
        <f>IF($B278="Siembra",'6'!$O$7,0)</f>
        <v>0</v>
      </c>
      <c r="AH281" s="5">
        <f>IF($B278="Abandono",'6'!$O$7,0)</f>
        <v>0</v>
      </c>
      <c r="AI281" s="5">
        <f>IF($C$278="Producción",IF($C281&gt;=LI_A,$P281,0),0)</f>
        <v>0</v>
      </c>
      <c r="AJ281" s="5">
        <f>IF($C$278="Producción",IF($C281&gt;=LI_B,IF($C281&lt;LS_B,$P281,0),0),0)</f>
        <v>0</v>
      </c>
      <c r="AK281" s="5">
        <f>IF($C$278="Producción",IF($C281&gt;=LI_C,IF($C281&lt;LS_C,$P281,0),0),0)</f>
        <v>0</v>
      </c>
      <c r="AL281" s="5">
        <f>IF($C$278="Producción",IF($C281&lt;LS_D,$P281,0),0)</f>
        <v>0</v>
      </c>
      <c r="AM281" s="5">
        <f>IF($C$278="Crecimiento",$P281,0)</f>
        <v>0</v>
      </c>
      <c r="AN281" s="5">
        <f>IF($C278="Siembra",'6'!$P$7,0)</f>
        <v>0</v>
      </c>
      <c r="AO281" s="5">
        <f>IF($C278="Abandono",'6'!$P$7,0)</f>
        <v>0</v>
      </c>
      <c r="AP281" s="5">
        <f>IF($D$278="Producción",IF($D281&gt;=LI_A,$Q281,0),0)</f>
        <v>0</v>
      </c>
      <c r="AQ281" s="5">
        <f>IF($D$278="Producción",IF($D281&gt;=LI_B,IF($D281&lt;LS_B,$Q281,0),0),0)</f>
        <v>0</v>
      </c>
      <c r="AR281" s="5">
        <f>IF($D$278="Producción",IF($D281&gt;=LI_C,IF($D281&lt;LS_C,$Q281,0),0),0)</f>
        <v>0</v>
      </c>
      <c r="AS281" s="5">
        <f>IF($D$278="Producción",IF($D281&lt;LS_D,$Q281,0),0)</f>
        <v>0</v>
      </c>
      <c r="AT281" s="5">
        <f>IF($D$278="Crecimiento",IF($D281&gt;0,$Q281,0),0)</f>
        <v>0</v>
      </c>
      <c r="AU281" s="5">
        <f>IF($D278="Siembra",'6'!$Q$7,0)</f>
        <v>0</v>
      </c>
      <c r="AV281" s="5">
        <f>IF($D278="Abandono",'6'!$Q$7,0)</f>
        <v>0</v>
      </c>
      <c r="AW281" s="5">
        <f>IF($E$278="Producción",IF($E281&gt;=LI_A,$R281,0),0)</f>
        <v>0</v>
      </c>
      <c r="AX281" s="5">
        <f>IF($E$278="Producción",IF($E281&gt;=LI_B,IF($E281&lt;LS_B,$R281,0),0),0)</f>
        <v>0</v>
      </c>
      <c r="AY281" s="5">
        <f>IF($E$278="Producción",IF($E281&gt;=LI_C,IF($E281&lt;LS_C,$R281,0),0),0)</f>
        <v>0</v>
      </c>
      <c r="AZ281" s="5">
        <f>IF($E$278="Producción",IF($E281&lt;LS_D,$R281,0),0)</f>
        <v>0</v>
      </c>
      <c r="BA281" s="5">
        <f>IF($E$278="Crecimiento",$R281,0)</f>
        <v>0</v>
      </c>
      <c r="BB281" s="5">
        <f>IF($E278="Siembra",'6'!$R$7,0)</f>
        <v>0</v>
      </c>
      <c r="BC281" s="5">
        <f>IF($E278="Abandono",'6'!$R$7,0)</f>
        <v>0</v>
      </c>
      <c r="BD281" s="5">
        <f>IF($F$278="Producción",IF($F281&gt;=LI_A,$S281,0),0)</f>
        <v>0</v>
      </c>
      <c r="BE281" s="5">
        <f>IF($F$278="Producción",IF($F281&gt;=LI_B,IF($F281&lt;LS_B,$S281,0),0),0)</f>
        <v>0</v>
      </c>
      <c r="BF281" s="5">
        <f>IF($F$278="Producción",IF($F281&gt;=LI_C,IF($F281&lt;LS_C,$S281,0),0),0)</f>
        <v>0</v>
      </c>
      <c r="BG281" s="5">
        <f>IF($F$278="Producción",IF($F281&lt;LS_D,$S281,0),0)</f>
        <v>0</v>
      </c>
      <c r="BH281" s="5">
        <f>IF($F$278="Crecimiento",$S281,0)</f>
        <v>0</v>
      </c>
      <c r="BI281" s="5">
        <f>IF($F278="Siembra",'6'!$S$7,0)</f>
        <v>0</v>
      </c>
      <c r="BJ281" s="5">
        <f>IF($F278="Abandono",'6'!$S$7,0)</f>
        <v>0</v>
      </c>
      <c r="BK281" s="5">
        <f>IF($G$278="Producción",IF($G281&gt;=LI_A,$T281,0),0)</f>
        <v>0</v>
      </c>
      <c r="BL281" s="5">
        <f>IF($G$278="Producción",IF($G281&gt;=LI_B,IF($G281&lt;LS_B,$T281,0),0),0)</f>
        <v>0</v>
      </c>
      <c r="BM281" s="5">
        <f>IF($G$278="Producción",IF($G281&gt;=LI_C,IF($G281&lt;LS_C,$T281,0),0),0)</f>
        <v>0</v>
      </c>
      <c r="BN281" s="5">
        <f>IF($G$278="Producción",IF($G281&lt;LS_D,$T281,0),0)</f>
        <v>0</v>
      </c>
      <c r="BO281" s="5">
        <f>IF($G$278="Crecimiento",$T281,0)</f>
        <v>0</v>
      </c>
      <c r="BP281" s="5">
        <f>IF($G278="Siembra",'6'!$T$7,0)</f>
        <v>0</v>
      </c>
      <c r="BQ281" s="5">
        <f>IF($G278="Abandono",'6'!$T$7,0)</f>
        <v>0</v>
      </c>
      <c r="BR281" s="5">
        <f>IF($H$278="Producción",IF($H281&gt;=LI_A,$U281,0),0)</f>
        <v>0</v>
      </c>
      <c r="BS281" s="5">
        <f>IF($H$278="Producción",IF($H281&gt;=LI_B,IF($H281&lt;LS_B,$U281,0),0),0)</f>
        <v>0</v>
      </c>
      <c r="BT281" s="5">
        <f>IF($H$278="Producción",IF($H281&gt;=LI_C,IF($H281&lt;LS_C,$U281,0),0),0)</f>
        <v>0</v>
      </c>
      <c r="BU281" s="5">
        <f>IF($H$278="Producción",IF($H281&lt;LS_D,$U281,0),0)</f>
        <v>0</v>
      </c>
      <c r="BV281" s="5">
        <f>IF($H$278="Crecimiento",$T281,0)</f>
        <v>0</v>
      </c>
      <c r="BW281" s="5">
        <f>IF($H278="Siembra",'6'!$U$7,0)</f>
        <v>0</v>
      </c>
      <c r="BX281" s="5">
        <f>IF($H278="Abandono",'6'!$U$7,0)</f>
        <v>0</v>
      </c>
      <c r="BY281" s="5">
        <f>IF($I$278="Producción",IF($I281&gt;=LI_A,$V281,0),0)</f>
        <v>0</v>
      </c>
      <c r="BZ281" s="5">
        <f>IF($I$278="Producción",IF($I281&gt;=LI_B,IF($I281&lt;LS_B,$V281,0),0),0)</f>
        <v>0</v>
      </c>
      <c r="CA281" s="5">
        <f>IF($I$278="Producción",IF($I281&gt;=LI_C,IF($I281&lt;LS_C,$V281,0),0),0)</f>
        <v>0</v>
      </c>
      <c r="CB281" s="5">
        <f>IF($I$278="Producción",IF($I281&lt;LS_D,$V281,0),0)</f>
        <v>0</v>
      </c>
      <c r="CC281" s="5">
        <f>IF($I$278="Crecimiento",$V281,0)</f>
        <v>0</v>
      </c>
      <c r="CD281" s="5">
        <f>IF($I278="Siembra",'6'!$V$7,0)</f>
        <v>0</v>
      </c>
      <c r="CE281" s="5">
        <f>IF($I278="Abandono",'6'!$V$7,0)</f>
        <v>0</v>
      </c>
      <c r="CF281" s="5">
        <f>IF($J$278="Producción",IF($J281&gt;=LI_A,$W281,0),0)</f>
        <v>0</v>
      </c>
      <c r="CG281" s="5">
        <f>IF($J$278="Producción",IF($J281&gt;=LI_B,IF($J281&lt;LS_B,$W281,0),0),0)</f>
        <v>0</v>
      </c>
      <c r="CH281" s="5">
        <f>IF($J$278="Producción",IF($J281&gt;=LI_C,IF($J281&lt;LS_C,$W281,0),0),0)</f>
        <v>0</v>
      </c>
      <c r="CI281" s="5">
        <f>IF($J$278="Producción",IF($J281&lt;LS_D,$W281,0),0)</f>
        <v>0</v>
      </c>
      <c r="CJ281" s="5">
        <f>IF($J$278="Crecimiento",$W281,0)</f>
        <v>0</v>
      </c>
      <c r="CK281" s="5">
        <f>IF($J278="Siembra",'6'!$W$7,0)</f>
        <v>0</v>
      </c>
      <c r="CL281" s="5">
        <f>IF($J278="Abandono",'6'!$W$7,0)</f>
        <v>0</v>
      </c>
      <c r="CM281" s="5">
        <f>IF($K$278="Producción",IF($K281&gt;=LI_A,$X281,0),0)</f>
        <v>0</v>
      </c>
      <c r="CN281" s="5">
        <f>IF($K$278="Producción",IF($K281&gt;=LI_B,IF($K281&lt;LS_B,$X281,0),0),0)</f>
        <v>0</v>
      </c>
      <c r="CO281" s="5">
        <f>IF($K$278="Producción",IF($K281&gt;=LI_C,IF($K281&lt;LS_C,$X281,0),0),0)</f>
        <v>0</v>
      </c>
      <c r="CP281" s="5">
        <f>IF($K$278="Producción",IF($K281&lt;LS_D,$X281,0),0)</f>
        <v>0</v>
      </c>
      <c r="CQ281" s="5">
        <f>IF($K$278="Crecimiento",$X281,0)</f>
        <v>0</v>
      </c>
      <c r="CR281" s="5">
        <f>IF($K278="Siembra",'6'!$X$7,0)</f>
        <v>0</v>
      </c>
      <c r="CS281" s="5">
        <f>IF($K278="Abandono",'6'!$X$7,0)</f>
        <v>0</v>
      </c>
      <c r="CT281" s="5">
        <f>IF($L$278="Producción",IF($L281&gt;=LI_A,$Y281,0),0)</f>
        <v>0</v>
      </c>
      <c r="CU281" s="5">
        <f>IF($L$278="Producción",IF($L281&gt;=LI_B,IF($L281&lt;LS_B,$Y281,0),0),0)</f>
        <v>0</v>
      </c>
      <c r="CV281" s="5">
        <f>IF($L$278="Producción",IF($L281&gt;=LI_C,IF($L281&lt;LS_C,$Y281,0),0),0)</f>
        <v>0</v>
      </c>
      <c r="CW281" s="5">
        <f>IF($L$278="Producción",IF($L281&lt;LS_D,$Y281,0),0)</f>
        <v>0</v>
      </c>
      <c r="CX281" s="5">
        <f>IF($L$278="Crecimiento",$Y281,0)</f>
        <v>0</v>
      </c>
      <c r="CY281" s="5">
        <f>IF($L278="Siembra",'6'!$Y$7,0)</f>
        <v>0</v>
      </c>
      <c r="CZ281" s="5">
        <f>IF($L278="Abandono",'6'!$Y$7,0)</f>
        <v>0</v>
      </c>
      <c r="DA281" s="5">
        <f>IF($M$278="Producción",IF($M281&gt;=LI_A,$Z281,0),0)</f>
        <v>0</v>
      </c>
      <c r="DB281" s="5">
        <f>IF($M$278="Producción",IF($M281&gt;=LI_B,IF($M281&lt;LS_B,$Z281,0),0),0)</f>
        <v>0</v>
      </c>
      <c r="DC281" s="5">
        <f>IF($M$278="Producción",IF($M281&gt;=LI_C,IF($M281&lt;LS_C,$Z281,0),0),0)</f>
        <v>0</v>
      </c>
      <c r="DD281" s="5">
        <f>IF($M$278="Producción",IF($M281&lt;LS_D,$Z281,0),0)</f>
        <v>0</v>
      </c>
      <c r="DE281" s="5">
        <f>IF($M$278="Crecimiento",$Z281,0)</f>
        <v>0</v>
      </c>
      <c r="DF281" s="5">
        <f>IF($M278="Siembra",'6'!$Z$7,0)</f>
        <v>0</v>
      </c>
      <c r="DG281" s="5">
        <f>IF($M278="Abandono",'6'!$Z$7,0)</f>
        <v>0</v>
      </c>
      <c r="DI281" s="5">
        <f t="shared" ref="DI281:DI285" si="2113">AB281*$B281</f>
        <v>0</v>
      </c>
      <c r="DJ281" s="5">
        <f t="shared" ref="DJ281:DJ285" si="2114">AC281*$B281</f>
        <v>0</v>
      </c>
      <c r="DK281" s="5">
        <f t="shared" ref="DK281:DK285" si="2115">AD281*$B281</f>
        <v>0</v>
      </c>
      <c r="DL281" s="5">
        <f t="shared" ref="DL281:DL285" si="2116">AE281*$B281</f>
        <v>0</v>
      </c>
      <c r="DM281" s="5">
        <f t="shared" ref="DM281:DM285" si="2117">AF281*$B281</f>
        <v>0</v>
      </c>
      <c r="DN281" s="5">
        <f t="shared" ref="DN281:DN285" si="2118">AI281*$C281</f>
        <v>0</v>
      </c>
      <c r="DO281" s="5">
        <f t="shared" ref="DO281:DO285" si="2119">AJ281*$C281</f>
        <v>0</v>
      </c>
      <c r="DP281" s="5">
        <f t="shared" ref="DP281:DP285" si="2120">AK281*$C281</f>
        <v>0</v>
      </c>
      <c r="DQ281" s="5">
        <f t="shared" ref="DQ281:DQ285" si="2121">AL281*$C281</f>
        <v>0</v>
      </c>
      <c r="DR281" s="5">
        <f t="shared" ref="DR281:DR285" si="2122">AM281*$C281</f>
        <v>0</v>
      </c>
      <c r="DS281" s="5">
        <f t="shared" ref="DS281:DS285" si="2123">AP281*$D281</f>
        <v>0</v>
      </c>
      <c r="DT281" s="5">
        <f t="shared" ref="DT281:DT285" si="2124">AQ281*$D281</f>
        <v>0</v>
      </c>
      <c r="DU281" s="5">
        <f t="shared" ref="DU281:DU285" si="2125">AR281*$D281</f>
        <v>0</v>
      </c>
      <c r="DV281" s="5">
        <f t="shared" ref="DV281:DV285" si="2126">AS281*$D281</f>
        <v>0</v>
      </c>
      <c r="DW281" s="5">
        <f t="shared" ref="DW281:DW285" si="2127">AT281*$D281</f>
        <v>0</v>
      </c>
      <c r="DX281" s="5">
        <f t="shared" ref="DX281:DX285" si="2128">AW281*$E281</f>
        <v>0</v>
      </c>
      <c r="DY281" s="5">
        <f t="shared" ref="DY281:DY285" si="2129">AX281*$E281</f>
        <v>0</v>
      </c>
      <c r="DZ281" s="5">
        <f t="shared" ref="DZ281:DZ285" si="2130">AY281*$E281</f>
        <v>0</v>
      </c>
      <c r="EA281" s="5">
        <f t="shared" ref="EA281:EA285" si="2131">AZ281*$E281</f>
        <v>0</v>
      </c>
      <c r="EB281" s="5">
        <f t="shared" ref="EB281:EB285" si="2132">BA281*$E281</f>
        <v>0</v>
      </c>
      <c r="EC281" s="5">
        <f t="shared" ref="EC281:EC285" si="2133">BD281*$F281</f>
        <v>0</v>
      </c>
      <c r="ED281" s="5">
        <f t="shared" ref="ED281:ED285" si="2134">BE281*$F281</f>
        <v>0</v>
      </c>
      <c r="EE281" s="5">
        <f t="shared" ref="EE281:EE285" si="2135">BF281*$F281</f>
        <v>0</v>
      </c>
      <c r="EF281" s="5">
        <f t="shared" ref="EF281:EF285" si="2136">BG281*$F281</f>
        <v>0</v>
      </c>
      <c r="EG281" s="5">
        <f t="shared" ref="EG281:EG285" si="2137">BH281*$F281</f>
        <v>0</v>
      </c>
      <c r="EH281" s="5">
        <f t="shared" ref="EH281:EH285" si="2138">BK281*$G281</f>
        <v>0</v>
      </c>
      <c r="EI281" s="5">
        <f t="shared" ref="EI281:EI285" si="2139">BL281*$G281</f>
        <v>0</v>
      </c>
      <c r="EJ281" s="5">
        <f t="shared" ref="EJ281:EJ285" si="2140">BM281*$G281</f>
        <v>0</v>
      </c>
      <c r="EK281" s="5">
        <f t="shared" ref="EK281:EK285" si="2141">BN281*$G281</f>
        <v>0</v>
      </c>
      <c r="EL281" s="5">
        <f t="shared" ref="EL281:EL285" si="2142">BO281*$G281</f>
        <v>0</v>
      </c>
      <c r="EM281" s="5">
        <f t="shared" ref="EM281:EM285" si="2143">BR281*$H281</f>
        <v>0</v>
      </c>
      <c r="EN281" s="5">
        <f t="shared" ref="EN281:EN285" si="2144">BS281*$H281</f>
        <v>0</v>
      </c>
      <c r="EO281" s="5">
        <f t="shared" ref="EO281:EO285" si="2145">BT281*$H281</f>
        <v>0</v>
      </c>
      <c r="EP281" s="5">
        <f t="shared" ref="EP281:EP285" si="2146">BU281*$H281</f>
        <v>0</v>
      </c>
      <c r="EQ281" s="5">
        <f t="shared" ref="EQ281:EQ285" si="2147">BV281*$H281</f>
        <v>0</v>
      </c>
      <c r="ER281" s="5">
        <f t="shared" ref="ER281:ER285" si="2148">BY281*$I281</f>
        <v>0</v>
      </c>
      <c r="ES281" s="5">
        <f t="shared" ref="ES281:ES285" si="2149">BZ281*$I281</f>
        <v>0</v>
      </c>
      <c r="ET281" s="5">
        <f t="shared" ref="ET281:ET285" si="2150">CA281*$I281</f>
        <v>0</v>
      </c>
      <c r="EU281" s="5">
        <f t="shared" ref="EU281:EU285" si="2151">CB281*$I281</f>
        <v>0</v>
      </c>
      <c r="EV281" s="5">
        <f t="shared" ref="EV281:EV285" si="2152">CC281*$I281</f>
        <v>0</v>
      </c>
      <c r="EW281" s="5">
        <f t="shared" ref="EW281:EW285" si="2153">CF281*$J281</f>
        <v>0</v>
      </c>
      <c r="EX281" s="5">
        <f t="shared" ref="EX281:EX285" si="2154">CG281*$J281</f>
        <v>0</v>
      </c>
      <c r="EY281" s="5">
        <f t="shared" ref="EY281:EY285" si="2155">CH281*$J281</f>
        <v>0</v>
      </c>
      <c r="EZ281" s="5">
        <f t="shared" ref="EZ281:EZ285" si="2156">CI281*$J281</f>
        <v>0</v>
      </c>
      <c r="FA281" s="5">
        <f t="shared" ref="FA281:FA285" si="2157">CJ281*$J281</f>
        <v>0</v>
      </c>
      <c r="FB281" s="5">
        <f t="shared" ref="FB281:FB285" si="2158">CM281*$K281</f>
        <v>0</v>
      </c>
      <c r="FC281" s="5">
        <f t="shared" ref="FC281:FC285" si="2159">CN281*$K281</f>
        <v>0</v>
      </c>
      <c r="FD281" s="5">
        <f t="shared" ref="FD281:FD285" si="2160">CO281*$K281</f>
        <v>0</v>
      </c>
      <c r="FE281" s="5">
        <f t="shared" ref="FE281:FE285" si="2161">CP281*$K281</f>
        <v>0</v>
      </c>
      <c r="FF281" s="5">
        <f t="shared" ref="FF281:FF285" si="2162">CQ281*$K281</f>
        <v>0</v>
      </c>
      <c r="FG281" s="5">
        <f t="shared" ref="FG281:FG285" si="2163">CT281*$L281</f>
        <v>0</v>
      </c>
      <c r="FH281" s="5">
        <f t="shared" ref="FH281:FH285" si="2164">CU281*$L281</f>
        <v>0</v>
      </c>
      <c r="FI281" s="5">
        <f t="shared" ref="FI281:FI285" si="2165">CV281*$L281</f>
        <v>0</v>
      </c>
      <c r="FJ281" s="5">
        <f t="shared" ref="FJ281:FJ285" si="2166">CW281*$L281</f>
        <v>0</v>
      </c>
      <c r="FK281" s="5">
        <f t="shared" ref="FK281:FK285" si="2167">CX281*$L281</f>
        <v>0</v>
      </c>
      <c r="FL281" s="5">
        <f t="shared" ref="FL281:FL285" si="2168">DA281*$M281</f>
        <v>0</v>
      </c>
      <c r="FM281" s="5">
        <f t="shared" ref="FM281:FM285" si="2169">DB281*$M281</f>
        <v>0</v>
      </c>
      <c r="FN281" s="5">
        <f t="shared" ref="FN281:FN285" si="2170">DC281*$M281</f>
        <v>0</v>
      </c>
      <c r="FO281" s="5">
        <f t="shared" ref="FO281:FO285" si="2171">DD281*$M281</f>
        <v>0</v>
      </c>
      <c r="FP281" s="5">
        <f t="shared" ref="FP281:FP285" si="2172">DE281*$M281</f>
        <v>0</v>
      </c>
    </row>
    <row r="282" spans="1:172" ht="20.100000000000001" customHeight="1" x14ac:dyDescent="0.3">
      <c r="A282" s="8" t="s">
        <v>303</v>
      </c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O282" s="58">
        <f>IFERROR('6'!O$143/Ciclo,0)</f>
        <v>0</v>
      </c>
      <c r="P282" s="58">
        <f>IFERROR('6'!P$143/Ciclo,0)</f>
        <v>0</v>
      </c>
      <c r="Q282" s="58">
        <f>IFERROR('6'!Q$143/Ciclo,0)</f>
        <v>0</v>
      </c>
      <c r="R282" s="58">
        <f>IFERROR('6'!R$143/Ciclo,0)</f>
        <v>0</v>
      </c>
      <c r="S282" s="58">
        <f>IFERROR('6'!S$143/Ciclo,0)</f>
        <v>0</v>
      </c>
      <c r="T282" s="58">
        <f>IFERROR('6'!T$143/Ciclo,0)</f>
        <v>0</v>
      </c>
      <c r="U282" s="58">
        <f>IFERROR('6'!U$143/Ciclo,0)</f>
        <v>0</v>
      </c>
      <c r="V282" s="58">
        <f>IFERROR('6'!V$143/Ciclo,0)</f>
        <v>0</v>
      </c>
      <c r="W282" s="5">
        <f>IFERROR('6'!W$143/Ciclo,0)</f>
        <v>0</v>
      </c>
      <c r="X282" s="5">
        <f>IFERROR('6'!X$143/Ciclo,0)</f>
        <v>0</v>
      </c>
      <c r="Y282" s="5">
        <f>IFERROR('6'!Y$143/Ciclo,0)</f>
        <v>0</v>
      </c>
      <c r="Z282" s="5">
        <f>IFERROR('6'!Z$143/Ciclo,0)</f>
        <v>0</v>
      </c>
      <c r="AB282" s="5">
        <f>IF($B$278="Producción",IF($B282&gt;=LI_A,$O282,0),0)</f>
        <v>0</v>
      </c>
      <c r="AC282" s="5">
        <f>IF($B$278="Producción",IF($B282&gt;=LI_B,IF($B282&lt;LS_B,$O282,0),0),0)</f>
        <v>0</v>
      </c>
      <c r="AD282" s="5">
        <f>IF($B$278="Producción",IF($B282&gt;=LI_C,IF($B282&lt;LS_C,$O282,0),0),0)</f>
        <v>0</v>
      </c>
      <c r="AE282" s="5">
        <f>IF($B$278="Producción",IF($B282&lt;LS_D,$O282,0),0)</f>
        <v>0</v>
      </c>
      <c r="AF282" s="5">
        <f t="shared" ref="AF282:AF285" si="2173">IF($B$278="Crecimiento",$O282,0)</f>
        <v>0</v>
      </c>
      <c r="AI282" s="5">
        <f>IF($C$278="Producción",IF($C282&gt;=LI_A,$P282,0),0)</f>
        <v>0</v>
      </c>
      <c r="AJ282" s="5">
        <f>IF($C$278="Producción",IF($C282&gt;=LI_B,IF($C282&lt;LS_B,$P282,0),0),0)</f>
        <v>0</v>
      </c>
      <c r="AK282" s="5">
        <f>IF($C$278="Producción",IF($C282&gt;=LI_C,IF($C282&lt;LS_C,$P282,0),0),0)</f>
        <v>0</v>
      </c>
      <c r="AL282" s="5">
        <f>IF($C$278="Producción",IF($C282&lt;LS_D,$P282,0),0)</f>
        <v>0</v>
      </c>
      <c r="AM282" s="5">
        <f>IF($C$278="Crecimiento",$P282,0)</f>
        <v>0</v>
      </c>
      <c r="AP282" s="5">
        <f>IF($D$278="Producción",IF($D282&gt;=LI_A,$Q282,0),0)</f>
        <v>0</v>
      </c>
      <c r="AQ282" s="5">
        <f>IF($D$278="Producción",IF($D282&gt;=LI_B,IF($D282&lt;LS_B,$Q282,0),0),0)</f>
        <v>0</v>
      </c>
      <c r="AR282" s="5">
        <f>IF($D$278="Producción",IF($D282&gt;=LI_C,IF($D282&lt;LS_C,$Q282,0),0),0)</f>
        <v>0</v>
      </c>
      <c r="AS282" s="5">
        <f>IF($D$278="Producción",IF($D282&lt;LS_D,$Q282,0),0)</f>
        <v>0</v>
      </c>
      <c r="AT282" s="5">
        <f>IF($D$278="Crecimiento",IF($D282&gt;0,$Q282,0),0)</f>
        <v>0</v>
      </c>
      <c r="AW282" s="5">
        <f>IF($E$278="Producción",IF($E282&gt;=LI_A,$R282,0),0)</f>
        <v>0</v>
      </c>
      <c r="AX282" s="5">
        <f>IF($E$278="Producción",IF($E282&gt;=LI_B,IF($E282&lt;LS_B,$R282,0),0),0)</f>
        <v>0</v>
      </c>
      <c r="AY282" s="5">
        <f>IF($E$278="Producción",IF($E282&gt;=LI_C,IF($E282&lt;LS_C,$R282,0),0),0)</f>
        <v>0</v>
      </c>
      <c r="AZ282" s="5">
        <f>IF($E$278="Producción",IF($E282&lt;LS_D,$R282,0),0)</f>
        <v>0</v>
      </c>
      <c r="BA282" s="5">
        <f>IF($E$278="Crecimiento",$R282,0)</f>
        <v>0</v>
      </c>
      <c r="BD282" s="5">
        <f>IF($F$278="Producción",IF($F282&gt;=LI_A,$S282,0),0)</f>
        <v>0</v>
      </c>
      <c r="BE282" s="5">
        <f>IF($F$278="Producción",IF($F282&gt;=LI_B,IF($F282&lt;LS_B,$S282,0),0),0)</f>
        <v>0</v>
      </c>
      <c r="BF282" s="5">
        <f>IF($F$278="Producción",IF($F282&gt;=LI_C,IF($F282&lt;LS_C,$S282,0),0),0)</f>
        <v>0</v>
      </c>
      <c r="BG282" s="5">
        <f>IF($F$278="Producción",IF($F282&lt;LS_D,$S282,0),0)</f>
        <v>0</v>
      </c>
      <c r="BH282" s="5">
        <f>IF($F$278="Crecimiento",$S282,0)</f>
        <v>0</v>
      </c>
      <c r="BK282" s="5">
        <f>IF($G$278="Producción",IF($G282&gt;=LI_A,$T282,0),0)</f>
        <v>0</v>
      </c>
      <c r="BL282" s="5">
        <f>IF($G$278="Producción",IF($G282&gt;=LI_B,IF($G282&lt;LS_B,$T282,0),0),0)</f>
        <v>0</v>
      </c>
      <c r="BM282" s="5">
        <f>IF($G$278="Producción",IF($G282&gt;=LI_C,IF($G282&lt;LS_C,$T282,0),0),0)</f>
        <v>0</v>
      </c>
      <c r="BN282" s="5">
        <f>IF($G$278="Producción",IF($G282&lt;LS_D,$T282,0),0)</f>
        <v>0</v>
      </c>
      <c r="BO282" s="5">
        <f>IF($G$278="Crecimiento",$T282,0)</f>
        <v>0</v>
      </c>
      <c r="BR282" s="5">
        <f>IF($H$278="Producción",IF($H282&gt;=LI_A,$U282,0),0)</f>
        <v>0</v>
      </c>
      <c r="BS282" s="5">
        <f>IF($H$278="Producción",IF($H282&gt;=LI_B,IF($H282&lt;LS_B,$U282,0),0),0)</f>
        <v>0</v>
      </c>
      <c r="BT282" s="5">
        <f>IF($H$278="Producción",IF($H282&gt;=LI_C,IF($H282&lt;LS_C,$U282,0),0),0)</f>
        <v>0</v>
      </c>
      <c r="BU282" s="5">
        <f>IF($H$278="Producción",IF($H282&lt;LS_D,$U282,0),0)</f>
        <v>0</v>
      </c>
      <c r="BV282" s="5">
        <f>IF($H$278="Crecimiento",$T282,0)</f>
        <v>0</v>
      </c>
      <c r="BY282" s="5">
        <f>IF($I$278="Producción",IF($I282&gt;=LI_A,$V282,0),0)</f>
        <v>0</v>
      </c>
      <c r="BZ282" s="5">
        <f>IF($I$278="Producción",IF($I282&gt;=LI_B,IF($I282&lt;LS_B,$V282,0),0),0)</f>
        <v>0</v>
      </c>
      <c r="CA282" s="5">
        <f>IF($I$278="Producción",IF($I282&gt;=LI_C,IF($I282&lt;LS_C,$V282,0),0),0)</f>
        <v>0</v>
      </c>
      <c r="CB282" s="5">
        <f>IF($I$278="Producción",IF($I282&lt;LS_D,$V282,0),0)</f>
        <v>0</v>
      </c>
      <c r="CC282" s="5">
        <f>IF($I$278="Crecimiento",$V282,0)</f>
        <v>0</v>
      </c>
      <c r="CF282" s="5">
        <f>IF($J$278="Producción",IF($J282&gt;=LI_A,$W282,0),0)</f>
        <v>0</v>
      </c>
      <c r="CG282" s="5">
        <f>IF($J$278="Producción",IF($J282&gt;=LI_B,IF($J282&lt;LS_B,$W282,0),0),0)</f>
        <v>0</v>
      </c>
      <c r="CH282" s="5">
        <f>IF($J$278="Producción",IF($J282&gt;=LI_C,IF($J282&lt;LS_C,$W282,0),0),0)</f>
        <v>0</v>
      </c>
      <c r="CI282" s="5">
        <f>IF($J$278="Producción",IF($J282&lt;LS_D,$W282,0),0)</f>
        <v>0</v>
      </c>
      <c r="CJ282" s="5">
        <f>IF($J$278="Crecimiento",$W282,0)</f>
        <v>0</v>
      </c>
      <c r="CM282" s="5">
        <f>IF($K$278="Producción",IF($K282&gt;=LI_A,$X282,0),0)</f>
        <v>0</v>
      </c>
      <c r="CN282" s="5">
        <f>IF($K$278="Producción",IF($K282&gt;=LI_B,IF($K282&lt;LS_B,$X282,0),0),0)</f>
        <v>0</v>
      </c>
      <c r="CO282" s="5">
        <f>IF($K$278="Producción",IF($K282&gt;=LI_C,IF($K282&lt;LS_C,$X282,0),0),0)</f>
        <v>0</v>
      </c>
      <c r="CP282" s="5">
        <f>IF($K$278="Producción",IF($K282&lt;LS_D,$X282,0),0)</f>
        <v>0</v>
      </c>
      <c r="CQ282" s="5">
        <f>IF($K$278="Crecimiento",$X282,0)</f>
        <v>0</v>
      </c>
      <c r="CT282" s="5">
        <f>IF($L$278="Producción",IF($L282&gt;=LI_A,$Y282,0),0)</f>
        <v>0</v>
      </c>
      <c r="CU282" s="5">
        <f>IF($L$278="Producción",IF($L282&gt;=LI_B,IF($L282&lt;LS_B,$Y282,0),0),0)</f>
        <v>0</v>
      </c>
      <c r="CV282" s="5">
        <f>IF($L$278="Producción",IF($L282&gt;=LI_C,IF($L282&lt;LS_C,$Y282,0),0),0)</f>
        <v>0</v>
      </c>
      <c r="CW282" s="5">
        <f>IF($L$278="Producción",IF($L282&lt;LS_D,$Y282,0),0)</f>
        <v>0</v>
      </c>
      <c r="CX282" s="5">
        <f>IF($L$278="Crecimiento",$Y282,0)</f>
        <v>0</v>
      </c>
      <c r="DA282" s="5">
        <f>IF($M$278="Producción",IF($M282&gt;=LI_A,$Z282,0),0)</f>
        <v>0</v>
      </c>
      <c r="DB282" s="5">
        <f>IF($M$278="Producción",IF($M282&gt;=LI_B,IF($M282&lt;LS_B,$Z282,0),0),0)</f>
        <v>0</v>
      </c>
      <c r="DC282" s="5">
        <f>IF($M$278="Producción",IF($M282&gt;=LI_C,IF($M282&lt;LS_C,$Z282,0),0),0)</f>
        <v>0</v>
      </c>
      <c r="DD282" s="5">
        <f>IF($M$278="Producción",IF($M282&lt;LS_D,$Z282,0),0)</f>
        <v>0</v>
      </c>
      <c r="DE282" s="5">
        <f>IF($M$278="Crecimiento",$Z282,0)</f>
        <v>0</v>
      </c>
      <c r="DI282" s="5">
        <f t="shared" si="2113"/>
        <v>0</v>
      </c>
      <c r="DJ282" s="5">
        <f t="shared" si="2114"/>
        <v>0</v>
      </c>
      <c r="DK282" s="5">
        <f t="shared" si="2115"/>
        <v>0</v>
      </c>
      <c r="DL282" s="5">
        <f t="shared" si="2116"/>
        <v>0</v>
      </c>
      <c r="DM282" s="5">
        <f t="shared" si="2117"/>
        <v>0</v>
      </c>
      <c r="DN282" s="5">
        <f t="shared" si="2118"/>
        <v>0</v>
      </c>
      <c r="DO282" s="5">
        <f t="shared" si="2119"/>
        <v>0</v>
      </c>
      <c r="DP282" s="5">
        <f t="shared" si="2120"/>
        <v>0</v>
      </c>
      <c r="DQ282" s="5">
        <f t="shared" si="2121"/>
        <v>0</v>
      </c>
      <c r="DR282" s="5">
        <f t="shared" si="2122"/>
        <v>0</v>
      </c>
      <c r="DS282" s="5">
        <f t="shared" si="2123"/>
        <v>0</v>
      </c>
      <c r="DT282" s="5">
        <f t="shared" si="2124"/>
        <v>0</v>
      </c>
      <c r="DU282" s="5">
        <f t="shared" si="2125"/>
        <v>0</v>
      </c>
      <c r="DV282" s="5">
        <f t="shared" si="2126"/>
        <v>0</v>
      </c>
      <c r="DW282" s="5">
        <f t="shared" si="2127"/>
        <v>0</v>
      </c>
      <c r="DX282" s="5">
        <f t="shared" si="2128"/>
        <v>0</v>
      </c>
      <c r="DY282" s="5">
        <f t="shared" si="2129"/>
        <v>0</v>
      </c>
      <c r="DZ282" s="5">
        <f t="shared" si="2130"/>
        <v>0</v>
      </c>
      <c r="EA282" s="5">
        <f t="shared" si="2131"/>
        <v>0</v>
      </c>
      <c r="EB282" s="5">
        <f t="shared" si="2132"/>
        <v>0</v>
      </c>
      <c r="EC282" s="5">
        <f t="shared" si="2133"/>
        <v>0</v>
      </c>
      <c r="ED282" s="5">
        <f t="shared" si="2134"/>
        <v>0</v>
      </c>
      <c r="EE282" s="5">
        <f t="shared" si="2135"/>
        <v>0</v>
      </c>
      <c r="EF282" s="5">
        <f t="shared" si="2136"/>
        <v>0</v>
      </c>
      <c r="EG282" s="5">
        <f t="shared" si="2137"/>
        <v>0</v>
      </c>
      <c r="EH282" s="5">
        <f t="shared" si="2138"/>
        <v>0</v>
      </c>
      <c r="EI282" s="5">
        <f t="shared" si="2139"/>
        <v>0</v>
      </c>
      <c r="EJ282" s="5">
        <f t="shared" si="2140"/>
        <v>0</v>
      </c>
      <c r="EK282" s="5">
        <f t="shared" si="2141"/>
        <v>0</v>
      </c>
      <c r="EL282" s="5">
        <f t="shared" si="2142"/>
        <v>0</v>
      </c>
      <c r="EM282" s="5">
        <f t="shared" si="2143"/>
        <v>0</v>
      </c>
      <c r="EN282" s="5">
        <f t="shared" si="2144"/>
        <v>0</v>
      </c>
      <c r="EO282" s="5">
        <f t="shared" si="2145"/>
        <v>0</v>
      </c>
      <c r="EP282" s="5">
        <f t="shared" si="2146"/>
        <v>0</v>
      </c>
      <c r="EQ282" s="5">
        <f t="shared" si="2147"/>
        <v>0</v>
      </c>
      <c r="ER282" s="5">
        <f t="shared" si="2148"/>
        <v>0</v>
      </c>
      <c r="ES282" s="5">
        <f t="shared" si="2149"/>
        <v>0</v>
      </c>
      <c r="ET282" s="5">
        <f t="shared" si="2150"/>
        <v>0</v>
      </c>
      <c r="EU282" s="5">
        <f t="shared" si="2151"/>
        <v>0</v>
      </c>
      <c r="EV282" s="5">
        <f t="shared" si="2152"/>
        <v>0</v>
      </c>
      <c r="EW282" s="5">
        <f t="shared" si="2153"/>
        <v>0</v>
      </c>
      <c r="EX282" s="5">
        <f t="shared" si="2154"/>
        <v>0</v>
      </c>
      <c r="EY282" s="5">
        <f t="shared" si="2155"/>
        <v>0</v>
      </c>
      <c r="EZ282" s="5">
        <f t="shared" si="2156"/>
        <v>0</v>
      </c>
      <c r="FA282" s="5">
        <f t="shared" si="2157"/>
        <v>0</v>
      </c>
      <c r="FB282" s="5">
        <f t="shared" si="2158"/>
        <v>0</v>
      </c>
      <c r="FC282" s="5">
        <f t="shared" si="2159"/>
        <v>0</v>
      </c>
      <c r="FD282" s="5">
        <f t="shared" si="2160"/>
        <v>0</v>
      </c>
      <c r="FE282" s="5">
        <f t="shared" si="2161"/>
        <v>0</v>
      </c>
      <c r="FF282" s="5">
        <f t="shared" si="2162"/>
        <v>0</v>
      </c>
      <c r="FG282" s="5">
        <f t="shared" si="2163"/>
        <v>0</v>
      </c>
      <c r="FH282" s="5">
        <f t="shared" si="2164"/>
        <v>0</v>
      </c>
      <c r="FI282" s="5">
        <f t="shared" si="2165"/>
        <v>0</v>
      </c>
      <c r="FJ282" s="5">
        <f t="shared" si="2166"/>
        <v>0</v>
      </c>
      <c r="FK282" s="5">
        <f t="shared" si="2167"/>
        <v>0</v>
      </c>
      <c r="FL282" s="5">
        <f t="shared" si="2168"/>
        <v>0</v>
      </c>
      <c r="FM282" s="5">
        <f t="shared" si="2169"/>
        <v>0</v>
      </c>
      <c r="FN282" s="5">
        <f t="shared" si="2170"/>
        <v>0</v>
      </c>
      <c r="FO282" s="5">
        <f t="shared" si="2171"/>
        <v>0</v>
      </c>
      <c r="FP282" s="5">
        <f t="shared" si="2172"/>
        <v>0</v>
      </c>
    </row>
    <row r="283" spans="1:172" ht="20.100000000000001" customHeight="1" x14ac:dyDescent="0.3">
      <c r="A283" s="8" t="str">
        <f>IF(Ciclo&gt;2,"Surco 3","NA")</f>
        <v>Surco 3</v>
      </c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O283" s="58">
        <f>IF($A283="NA",0,IFERROR('6'!O$143/Ciclo,0))</f>
        <v>0</v>
      </c>
      <c r="P283" s="58">
        <f>IF($A283="NA",0,IFERROR('6'!P$143/Ciclo,0))</f>
        <v>0</v>
      </c>
      <c r="Q283" s="58">
        <f>IF($A283="NA",0,IFERROR('6'!Q$143/Ciclo,0))</f>
        <v>0</v>
      </c>
      <c r="R283" s="58">
        <f>IF($A283="NA",0,IFERROR('6'!R$143/Ciclo,0))</f>
        <v>0</v>
      </c>
      <c r="S283" s="58">
        <f>IF($A283="NA",0,IFERROR('6'!S$143/Ciclo,0))</f>
        <v>0</v>
      </c>
      <c r="T283" s="58">
        <f>IF($A283="NA",0,IFERROR('6'!T$143/Ciclo,0))</f>
        <v>0</v>
      </c>
      <c r="U283" s="58">
        <f>IF($A283="NA",0,IFERROR('6'!U$143/Ciclo,0))</f>
        <v>0</v>
      </c>
      <c r="V283" s="58">
        <f>IF($A283="NA",0,IFERROR('6'!V$143/Ciclo,0))</f>
        <v>0</v>
      </c>
      <c r="W283" s="5">
        <f>IF($A283="NA",0,IFERROR('6'!W$143/Ciclo,0))</f>
        <v>0</v>
      </c>
      <c r="X283" s="5">
        <f>IF($A283="NA",0,IFERROR('6'!X$143/Ciclo,0))</f>
        <v>0</v>
      </c>
      <c r="Y283" s="5">
        <f>IF($A283="NA",0,IFERROR('6'!Y$143/Ciclo,0))</f>
        <v>0</v>
      </c>
      <c r="Z283" s="5">
        <f>IF($A283="NA",0,IFERROR('6'!Z$143/Ciclo,0))</f>
        <v>0</v>
      </c>
      <c r="AB283" s="5">
        <f>IF($B$278="Producción",IF($B283&gt;=LI_A,$O283,0),0)</f>
        <v>0</v>
      </c>
      <c r="AC283" s="5">
        <f>IF($B$278="Producción",IF($B283&gt;=LI_B,IF($B283&lt;LS_B,$O283,0),0),0)</f>
        <v>0</v>
      </c>
      <c r="AD283" s="5">
        <f>IF($B$278="Producción",IF($B283&gt;=LI_C,IF($B283&lt;LS_C,$O283,0),0),0)</f>
        <v>0</v>
      </c>
      <c r="AE283" s="5">
        <f>IF($B$278="Producción",IF($B283&lt;LS_D,$O283,0),0)</f>
        <v>0</v>
      </c>
      <c r="AF283" s="5">
        <f t="shared" si="2173"/>
        <v>0</v>
      </c>
      <c r="AI283" s="5">
        <f>IF($C$278="Producción",IF($C283&gt;=LI_A,$P283,0),0)</f>
        <v>0</v>
      </c>
      <c r="AJ283" s="5">
        <f>IF($C$278="Producción",IF($C283&gt;=LI_B,IF($C283&lt;LS_B,$P283,0),0),0)</f>
        <v>0</v>
      </c>
      <c r="AK283" s="5">
        <f>IF($C$278="Producción",IF($C283&gt;=LI_C,IF($C283&lt;LS_C,$P283,0),0),0)</f>
        <v>0</v>
      </c>
      <c r="AL283" s="5">
        <f>IF($C$278="Producción",IF($C283&lt;LS_D,$P283,0),0)</f>
        <v>0</v>
      </c>
      <c r="AM283" s="5">
        <f>IF($C$278="Crecimiento",$P283,0)</f>
        <v>0</v>
      </c>
      <c r="AP283" s="5">
        <f>IF($D$278="Producción",IF($D283&gt;=LI_A,$Q283,0),0)</f>
        <v>0</v>
      </c>
      <c r="AQ283" s="5">
        <f>IF($D$278="Producción",IF($D283&gt;=LI_B,IF($D283&lt;LS_B,$Q283,0),0),0)</f>
        <v>0</v>
      </c>
      <c r="AR283" s="5">
        <f>IF($D$278="Producción",IF($D283&gt;=LI_C,IF($D283&lt;LS_C,$Q283,0),0),0)</f>
        <v>0</v>
      </c>
      <c r="AS283" s="5">
        <f>IF($D$278="Producción",IF($D283&lt;LS_D,$Q283,0),0)</f>
        <v>0</v>
      </c>
      <c r="AT283" s="5">
        <f>IF($D$278="Crecimiento",IF($D283&gt;0,$Q283,0),0)</f>
        <v>0</v>
      </c>
      <c r="AW283" s="5">
        <f>IF($E$278="Producción",IF($E283&gt;=LI_A,$R283,0),0)</f>
        <v>0</v>
      </c>
      <c r="AX283" s="5">
        <f>IF($E$278="Producción",IF($E283&gt;=LI_B,IF($E283&lt;LS_B,$R283,0),0),0)</f>
        <v>0</v>
      </c>
      <c r="AY283" s="5">
        <f>IF($E$278="Producción",IF($E283&gt;=LI_C,IF($E283&lt;LS_C,$R283,0),0),0)</f>
        <v>0</v>
      </c>
      <c r="AZ283" s="5">
        <f>IF($E$278="Producción",IF($E283&lt;LS_D,$R283,0),0)</f>
        <v>0</v>
      </c>
      <c r="BA283" s="5">
        <f>IF($E$278="Crecimiento",$R283,0)</f>
        <v>0</v>
      </c>
      <c r="BD283" s="5">
        <f>IF($F$278="Producción",IF($F283&gt;=LI_A,$S283,0),0)</f>
        <v>0</v>
      </c>
      <c r="BE283" s="5">
        <f>IF($F$278="Producción",IF($F283&gt;=LI_B,IF($F283&lt;LS_B,$S283,0),0),0)</f>
        <v>0</v>
      </c>
      <c r="BF283" s="5">
        <f>IF($F$278="Producción",IF($F283&gt;=LI_C,IF($F283&lt;LS_C,$S283,0),0),0)</f>
        <v>0</v>
      </c>
      <c r="BG283" s="5">
        <f>IF($F$278="Producción",IF($F283&lt;LS_D,$S283,0),0)</f>
        <v>0</v>
      </c>
      <c r="BH283" s="5">
        <f>IF($F$278="Crecimiento",$S283,0)</f>
        <v>0</v>
      </c>
      <c r="BK283" s="5">
        <f>IF($G$278="Producción",IF($G283&gt;=LI_A,$T283,0),0)</f>
        <v>0</v>
      </c>
      <c r="BL283" s="5">
        <f>IF($G$278="Producción",IF($G283&gt;=LI_B,IF($G283&lt;LS_B,$T283,0),0),0)</f>
        <v>0</v>
      </c>
      <c r="BM283" s="5">
        <f>IF($G$278="Producción",IF($G283&gt;=LI_C,IF($G283&lt;LS_C,$T283,0),0),0)</f>
        <v>0</v>
      </c>
      <c r="BN283" s="5">
        <f>IF($G$278="Producción",IF($G283&lt;LS_D,$T283,0),0)</f>
        <v>0</v>
      </c>
      <c r="BO283" s="5">
        <f>IF($G$278="Crecimiento",$T283,0)</f>
        <v>0</v>
      </c>
      <c r="BR283" s="5">
        <f>IF($H$278="Producción",IF($H283&gt;=LI_A,$U283,0),0)</f>
        <v>0</v>
      </c>
      <c r="BS283" s="5">
        <f>IF($H$278="Producción",IF($H283&gt;=LI_B,IF($H283&lt;LS_B,$U283,0),0),0)</f>
        <v>0</v>
      </c>
      <c r="BT283" s="5">
        <f>IF($H$278="Producción",IF($H283&gt;=LI_C,IF($H283&lt;LS_C,$U283,0),0),0)</f>
        <v>0</v>
      </c>
      <c r="BU283" s="5">
        <f>IF($H$278="Producción",IF($H283&lt;LS_D,$U283,0),0)</f>
        <v>0</v>
      </c>
      <c r="BV283" s="5">
        <f>IF($H$278="Crecimiento",$T283,0)</f>
        <v>0</v>
      </c>
      <c r="BY283" s="5">
        <f>IF($I$278="Producción",IF($I283&gt;=LI_A,$V283,0),0)</f>
        <v>0</v>
      </c>
      <c r="BZ283" s="5">
        <f>IF($I$278="Producción",IF($I283&gt;=LI_B,IF($I283&lt;LS_B,$V283,0),0),0)</f>
        <v>0</v>
      </c>
      <c r="CA283" s="5">
        <f>IF($I$278="Producción",IF($I283&gt;=LI_C,IF($I283&lt;LS_C,$V283,0),0),0)</f>
        <v>0</v>
      </c>
      <c r="CB283" s="5">
        <f>IF($I$278="Producción",IF($I283&lt;LS_D,$V283,0),0)</f>
        <v>0</v>
      </c>
      <c r="CC283" s="5">
        <f>IF($I$278="Crecimiento",$V283,0)</f>
        <v>0</v>
      </c>
      <c r="CF283" s="5">
        <f>IF($J$278="Producción",IF($J283&gt;=LI_A,$W283,0),0)</f>
        <v>0</v>
      </c>
      <c r="CG283" s="5">
        <f>IF($J$278="Producción",IF($J283&gt;=LI_B,IF($J283&lt;LS_B,$W283,0),0),0)</f>
        <v>0</v>
      </c>
      <c r="CH283" s="5">
        <f>IF($J$278="Producción",IF($J283&gt;=LI_C,IF($J283&lt;LS_C,$W283,0),0),0)</f>
        <v>0</v>
      </c>
      <c r="CI283" s="5">
        <f>IF($J$278="Producción",IF($J283&lt;LS_D,$W283,0),0)</f>
        <v>0</v>
      </c>
      <c r="CJ283" s="5">
        <f>IF($J$278="Crecimiento",$W283,0)</f>
        <v>0</v>
      </c>
      <c r="CM283" s="5">
        <f>IF($K$278="Producción",IF($K283&gt;=LI_A,$X283,0),0)</f>
        <v>0</v>
      </c>
      <c r="CN283" s="5">
        <f>IF($K$278="Producción",IF($K283&gt;=LI_B,IF($K283&lt;LS_B,$X283,0),0),0)</f>
        <v>0</v>
      </c>
      <c r="CO283" s="5">
        <f>IF($K$278="Producción",IF($K283&gt;=LI_C,IF($K283&lt;LS_C,$X283,0),0),0)</f>
        <v>0</v>
      </c>
      <c r="CP283" s="5">
        <f>IF($K$278="Producción",IF($K283&lt;LS_D,$X283,0),0)</f>
        <v>0</v>
      </c>
      <c r="CQ283" s="5">
        <f>IF($K$278="Crecimiento",$X283,0)</f>
        <v>0</v>
      </c>
      <c r="CT283" s="5">
        <f>IF($L$278="Producción",IF($L283&gt;=LI_A,$Y283,0),0)</f>
        <v>0</v>
      </c>
      <c r="CU283" s="5">
        <f>IF($L$278="Producción",IF($L283&gt;=LI_B,IF($L283&lt;LS_B,$Y283,0),0),0)</f>
        <v>0</v>
      </c>
      <c r="CV283" s="5">
        <f>IF($L$278="Producción",IF($L283&gt;=LI_C,IF($L283&lt;LS_C,$Y283,0),0),0)</f>
        <v>0</v>
      </c>
      <c r="CW283" s="5">
        <f>IF($L$278="Producción",IF($L283&lt;LS_D,$Y283,0),0)</f>
        <v>0</v>
      </c>
      <c r="CX283" s="5">
        <f>IF($L$278="Crecimiento",$Y283,0)</f>
        <v>0</v>
      </c>
      <c r="DA283" s="5">
        <f>IF($M$278="Producción",IF($M283&gt;=LI_A,$Z283,0),0)</f>
        <v>0</v>
      </c>
      <c r="DB283" s="5">
        <f>IF($M$278="Producción",IF($M283&gt;=LI_B,IF($M283&lt;LS_B,$Z283,0),0),0)</f>
        <v>0</v>
      </c>
      <c r="DC283" s="5">
        <f>IF($M$278="Producción",IF($M283&gt;=LI_C,IF($M283&lt;LS_C,$Z283,0),0),0)</f>
        <v>0</v>
      </c>
      <c r="DD283" s="5">
        <f>IF($M$278="Producción",IF($M283&lt;LS_D,$Z283,0),0)</f>
        <v>0</v>
      </c>
      <c r="DE283" s="5">
        <f>IF($M$278="Crecimiento",$Z283,0)</f>
        <v>0</v>
      </c>
      <c r="DI283" s="5">
        <f t="shared" si="2113"/>
        <v>0</v>
      </c>
      <c r="DJ283" s="5">
        <f t="shared" si="2114"/>
        <v>0</v>
      </c>
      <c r="DK283" s="5">
        <f t="shared" si="2115"/>
        <v>0</v>
      </c>
      <c r="DL283" s="5">
        <f t="shared" si="2116"/>
        <v>0</v>
      </c>
      <c r="DM283" s="5">
        <f t="shared" si="2117"/>
        <v>0</v>
      </c>
      <c r="DN283" s="5">
        <f t="shared" si="2118"/>
        <v>0</v>
      </c>
      <c r="DO283" s="5">
        <f t="shared" si="2119"/>
        <v>0</v>
      </c>
      <c r="DP283" s="5">
        <f t="shared" si="2120"/>
        <v>0</v>
      </c>
      <c r="DQ283" s="5">
        <f t="shared" si="2121"/>
        <v>0</v>
      </c>
      <c r="DR283" s="5">
        <f t="shared" si="2122"/>
        <v>0</v>
      </c>
      <c r="DS283" s="5">
        <f t="shared" si="2123"/>
        <v>0</v>
      </c>
      <c r="DT283" s="5">
        <f t="shared" si="2124"/>
        <v>0</v>
      </c>
      <c r="DU283" s="5">
        <f t="shared" si="2125"/>
        <v>0</v>
      </c>
      <c r="DV283" s="5">
        <f t="shared" si="2126"/>
        <v>0</v>
      </c>
      <c r="DW283" s="5">
        <f t="shared" si="2127"/>
        <v>0</v>
      </c>
      <c r="DX283" s="5">
        <f t="shared" si="2128"/>
        <v>0</v>
      </c>
      <c r="DY283" s="5">
        <f t="shared" si="2129"/>
        <v>0</v>
      </c>
      <c r="DZ283" s="5">
        <f t="shared" si="2130"/>
        <v>0</v>
      </c>
      <c r="EA283" s="5">
        <f t="shared" si="2131"/>
        <v>0</v>
      </c>
      <c r="EB283" s="5">
        <f t="shared" si="2132"/>
        <v>0</v>
      </c>
      <c r="EC283" s="5">
        <f t="shared" si="2133"/>
        <v>0</v>
      </c>
      <c r="ED283" s="5">
        <f t="shared" si="2134"/>
        <v>0</v>
      </c>
      <c r="EE283" s="5">
        <f t="shared" si="2135"/>
        <v>0</v>
      </c>
      <c r="EF283" s="5">
        <f t="shared" si="2136"/>
        <v>0</v>
      </c>
      <c r="EG283" s="5">
        <f t="shared" si="2137"/>
        <v>0</v>
      </c>
      <c r="EH283" s="5">
        <f t="shared" si="2138"/>
        <v>0</v>
      </c>
      <c r="EI283" s="5">
        <f t="shared" si="2139"/>
        <v>0</v>
      </c>
      <c r="EJ283" s="5">
        <f t="shared" si="2140"/>
        <v>0</v>
      </c>
      <c r="EK283" s="5">
        <f t="shared" si="2141"/>
        <v>0</v>
      </c>
      <c r="EL283" s="5">
        <f t="shared" si="2142"/>
        <v>0</v>
      </c>
      <c r="EM283" s="5">
        <f t="shared" si="2143"/>
        <v>0</v>
      </c>
      <c r="EN283" s="5">
        <f t="shared" si="2144"/>
        <v>0</v>
      </c>
      <c r="EO283" s="5">
        <f t="shared" si="2145"/>
        <v>0</v>
      </c>
      <c r="EP283" s="5">
        <f t="shared" si="2146"/>
        <v>0</v>
      </c>
      <c r="EQ283" s="5">
        <f t="shared" si="2147"/>
        <v>0</v>
      </c>
      <c r="ER283" s="5">
        <f t="shared" si="2148"/>
        <v>0</v>
      </c>
      <c r="ES283" s="5">
        <f t="shared" si="2149"/>
        <v>0</v>
      </c>
      <c r="ET283" s="5">
        <f t="shared" si="2150"/>
        <v>0</v>
      </c>
      <c r="EU283" s="5">
        <f t="shared" si="2151"/>
        <v>0</v>
      </c>
      <c r="EV283" s="5">
        <f t="shared" si="2152"/>
        <v>0</v>
      </c>
      <c r="EW283" s="5">
        <f t="shared" si="2153"/>
        <v>0</v>
      </c>
      <c r="EX283" s="5">
        <f t="shared" si="2154"/>
        <v>0</v>
      </c>
      <c r="EY283" s="5">
        <f t="shared" si="2155"/>
        <v>0</v>
      </c>
      <c r="EZ283" s="5">
        <f t="shared" si="2156"/>
        <v>0</v>
      </c>
      <c r="FA283" s="5">
        <f t="shared" si="2157"/>
        <v>0</v>
      </c>
      <c r="FB283" s="5">
        <f t="shared" si="2158"/>
        <v>0</v>
      </c>
      <c r="FC283" s="5">
        <f t="shared" si="2159"/>
        <v>0</v>
      </c>
      <c r="FD283" s="5">
        <f t="shared" si="2160"/>
        <v>0</v>
      </c>
      <c r="FE283" s="5">
        <f t="shared" si="2161"/>
        <v>0</v>
      </c>
      <c r="FF283" s="5">
        <f t="shared" si="2162"/>
        <v>0</v>
      </c>
      <c r="FG283" s="5">
        <f t="shared" si="2163"/>
        <v>0</v>
      </c>
      <c r="FH283" s="5">
        <f t="shared" si="2164"/>
        <v>0</v>
      </c>
      <c r="FI283" s="5">
        <f t="shared" si="2165"/>
        <v>0</v>
      </c>
      <c r="FJ283" s="5">
        <f t="shared" si="2166"/>
        <v>0</v>
      </c>
      <c r="FK283" s="5">
        <f t="shared" si="2167"/>
        <v>0</v>
      </c>
      <c r="FL283" s="5">
        <f t="shared" si="2168"/>
        <v>0</v>
      </c>
      <c r="FM283" s="5">
        <f t="shared" si="2169"/>
        <v>0</v>
      </c>
      <c r="FN283" s="5">
        <f t="shared" si="2170"/>
        <v>0</v>
      </c>
      <c r="FO283" s="5">
        <f t="shared" si="2171"/>
        <v>0</v>
      </c>
      <c r="FP283" s="5">
        <f t="shared" si="2172"/>
        <v>0</v>
      </c>
    </row>
    <row r="284" spans="1:172" ht="20.100000000000001" customHeight="1" x14ac:dyDescent="0.3">
      <c r="A284" s="8" t="str">
        <f>IF(Ciclo=4,"Surco 4",IF(Ciclo=5,"Surco 4","NA"))</f>
        <v>NA</v>
      </c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O284" s="58">
        <f>IF($A284="NA",0,IFERROR('6'!O$143/Ciclo,0))</f>
        <v>0</v>
      </c>
      <c r="P284" s="58">
        <f>IF($A284="NA",0,IFERROR('6'!P$143/Ciclo,0))</f>
        <v>0</v>
      </c>
      <c r="Q284" s="58">
        <f>IF($A284="NA",0,IFERROR('6'!Q$143/Ciclo,0))</f>
        <v>0</v>
      </c>
      <c r="R284" s="58">
        <f>IF($A284="NA",0,IFERROR('6'!R$143/Ciclo,0))</f>
        <v>0</v>
      </c>
      <c r="S284" s="58">
        <f>IF($A284="NA",0,IFERROR('6'!S$143/Ciclo,0))</f>
        <v>0</v>
      </c>
      <c r="T284" s="58">
        <f>IF($A284="NA",0,IFERROR('6'!T$143/Ciclo,0))</f>
        <v>0</v>
      </c>
      <c r="U284" s="58">
        <f>IF($A284="NA",0,IFERROR('6'!U$143/Ciclo,0))</f>
        <v>0</v>
      </c>
      <c r="V284" s="58">
        <f>IF($A284="NA",0,IFERROR('6'!V$143/Ciclo,0))</f>
        <v>0</v>
      </c>
      <c r="W284" s="5">
        <f>IF($A284="NA",0,IFERROR('6'!W$143/Ciclo,0))</f>
        <v>0</v>
      </c>
      <c r="X284" s="5">
        <f>IF($A284="NA",0,IFERROR('6'!X$143/Ciclo,0))</f>
        <v>0</v>
      </c>
      <c r="Y284" s="5">
        <f>IF($A284="NA",0,IFERROR('6'!Y$143/Ciclo,0))</f>
        <v>0</v>
      </c>
      <c r="Z284" s="5">
        <f>IF($A284="NA",0,IFERROR('6'!Z$143/Ciclo,0))</f>
        <v>0</v>
      </c>
      <c r="AB284" s="5">
        <f>IF($B$278="Producción",IF($B284&gt;=LI_A,$O284,0),0)</f>
        <v>0</v>
      </c>
      <c r="AC284" s="5">
        <f>IF($B$278="Producción",IF($B284&gt;=LI_B,IF($B284&lt;LS_B,$O284,0),0),0)</f>
        <v>0</v>
      </c>
      <c r="AD284" s="5">
        <f>IF($B$278="Producción",IF($B284&gt;=LI_C,IF($B284&lt;LS_C,$O284,0),0),0)</f>
        <v>0</v>
      </c>
      <c r="AE284" s="5">
        <f>IF($B$278="Producción",IF($B284&lt;LS_D,$O284,0),0)</f>
        <v>0</v>
      </c>
      <c r="AF284" s="5">
        <f t="shared" si="2173"/>
        <v>0</v>
      </c>
      <c r="AI284" s="5">
        <f>IF($C$278="Producción",IF($C284&gt;=LI_A,$P284,0),0)</f>
        <v>0</v>
      </c>
      <c r="AJ284" s="5">
        <f>IF($C$278="Producción",IF($C284&gt;=LI_B,IF($C284&lt;LS_B,$P284,0),0),0)</f>
        <v>0</v>
      </c>
      <c r="AK284" s="5">
        <f>IF($C$278="Producción",IF($C284&gt;=LI_C,IF($C284&lt;LS_C,$P284,0),0),0)</f>
        <v>0</v>
      </c>
      <c r="AL284" s="5">
        <f>IF($C$278="Producción",IF($C284&lt;LS_D,$P284,0),0)</f>
        <v>0</v>
      </c>
      <c r="AM284" s="5">
        <f>IF($C$278="Crecimiento",$P284,0)</f>
        <v>0</v>
      </c>
      <c r="AP284" s="5">
        <f>IF($D$278="Producción",IF($D284&gt;=LI_A,$Q284,0),0)</f>
        <v>0</v>
      </c>
      <c r="AQ284" s="5">
        <f>IF($D$278="Producción",IF($D284&gt;=LI_B,IF($D284&lt;LS_B,$Q284,0),0),0)</f>
        <v>0</v>
      </c>
      <c r="AR284" s="5">
        <f>IF($D$278="Producción",IF($D284&gt;=LI_C,IF($D284&lt;LS_C,$Q284,0),0),0)</f>
        <v>0</v>
      </c>
      <c r="AS284" s="5">
        <f>IF($D$278="Producción",IF($D284&lt;LS_D,$Q284,0),0)</f>
        <v>0</v>
      </c>
      <c r="AT284" s="5">
        <f>IF($D$278="Crecimiento",IF($D284&gt;0,$Q284,0),0)</f>
        <v>0</v>
      </c>
      <c r="AW284" s="5">
        <f>IF($E$278="Producción",IF($E284&gt;=LI_A,$R284,0),0)</f>
        <v>0</v>
      </c>
      <c r="AX284" s="5">
        <f>IF($E$278="Producción",IF($E284&gt;=LI_B,IF($E284&lt;LS_B,$R284,0),0),0)</f>
        <v>0</v>
      </c>
      <c r="AY284" s="5">
        <f>IF($E$278="Producción",IF($E284&gt;=LI_C,IF($E284&lt;LS_C,$R284,0),0),0)</f>
        <v>0</v>
      </c>
      <c r="AZ284" s="5">
        <f>IF($E$278="Producción",IF($E284&lt;LS_D,$R284,0),0)</f>
        <v>0</v>
      </c>
      <c r="BA284" s="5">
        <f>IF($E$278="Crecimiento",$R284,0)</f>
        <v>0</v>
      </c>
      <c r="BD284" s="5">
        <f>IF($F$278="Producción",IF($F284&gt;=LI_A,$S284,0),0)</f>
        <v>0</v>
      </c>
      <c r="BE284" s="5">
        <f>IF($F$278="Producción",IF($F284&gt;=LI_B,IF($F284&lt;LS_B,$S284,0),0),0)</f>
        <v>0</v>
      </c>
      <c r="BF284" s="5">
        <f>IF($F$278="Producción",IF($F284&gt;=LI_C,IF($F284&lt;LS_C,$S284,0),0),0)</f>
        <v>0</v>
      </c>
      <c r="BG284" s="5">
        <f>IF($F$278="Producción",IF($F284&lt;LS_D,$S284,0),0)</f>
        <v>0</v>
      </c>
      <c r="BH284" s="5">
        <f>IF($F$278="Crecimiento",$S284,0)</f>
        <v>0</v>
      </c>
      <c r="BK284" s="5">
        <f>IF($G$278="Producción",IF($G284&gt;=LI_A,$T284,0),0)</f>
        <v>0</v>
      </c>
      <c r="BL284" s="5">
        <f>IF($G$278="Producción",IF($G284&gt;=LI_B,IF($G284&lt;LS_B,$T284,0),0),0)</f>
        <v>0</v>
      </c>
      <c r="BM284" s="5">
        <f>IF($G$278="Producción",IF($G284&gt;=LI_C,IF($G284&lt;LS_C,$T284,0),0),0)</f>
        <v>0</v>
      </c>
      <c r="BN284" s="5">
        <f>IF($G$278="Producción",IF($G284&lt;LS_D,$T284,0),0)</f>
        <v>0</v>
      </c>
      <c r="BO284" s="5">
        <f>IF($G$278="Crecimiento",$T284,0)</f>
        <v>0</v>
      </c>
      <c r="BR284" s="5">
        <f>IF($H$278="Producción",IF($H284&gt;=LI_A,$U284,0),0)</f>
        <v>0</v>
      </c>
      <c r="BS284" s="5">
        <f>IF($H$278="Producción",IF($H284&gt;=LI_B,IF($H284&lt;LS_B,$U284,0),0),0)</f>
        <v>0</v>
      </c>
      <c r="BT284" s="5">
        <f>IF($H$278="Producción",IF($H284&gt;=LI_C,IF($H284&lt;LS_C,$U284,0),0),0)</f>
        <v>0</v>
      </c>
      <c r="BU284" s="5">
        <f>IF($H$278="Producción",IF($H284&lt;LS_D,$U284,0),0)</f>
        <v>0</v>
      </c>
      <c r="BV284" s="5">
        <f>IF($H$278="Crecimiento",$T284,0)</f>
        <v>0</v>
      </c>
      <c r="BY284" s="5">
        <f>IF($I$278="Producción",IF($I284&gt;=LI_A,$V284,0),0)</f>
        <v>0</v>
      </c>
      <c r="BZ284" s="5">
        <f>IF($I$278="Producción",IF($I284&gt;=LI_B,IF($I284&lt;LS_B,$V284,0),0),0)</f>
        <v>0</v>
      </c>
      <c r="CA284" s="5">
        <f>IF($I$278="Producción",IF($I284&gt;=LI_C,IF($I284&lt;LS_C,$V284,0),0),0)</f>
        <v>0</v>
      </c>
      <c r="CB284" s="5">
        <f>IF($I$278="Producción",IF($I284&lt;LS_D,$V284,0),0)</f>
        <v>0</v>
      </c>
      <c r="CC284" s="5">
        <f>IF($I$278="Crecimiento",$V284,0)</f>
        <v>0</v>
      </c>
      <c r="CF284" s="5">
        <f>IF($J$278="Producción",IF($J284&gt;=LI_A,$W284,0),0)</f>
        <v>0</v>
      </c>
      <c r="CG284" s="5">
        <f>IF($J$278="Producción",IF($J284&gt;=LI_B,IF($J284&lt;LS_B,$W284,0),0),0)</f>
        <v>0</v>
      </c>
      <c r="CH284" s="5">
        <f>IF($J$278="Producción",IF($J284&gt;=LI_C,IF($J284&lt;LS_C,$W284,0),0),0)</f>
        <v>0</v>
      </c>
      <c r="CI284" s="5">
        <f>IF($J$278="Producción",IF($J284&lt;LS_D,$W284,0),0)</f>
        <v>0</v>
      </c>
      <c r="CJ284" s="5">
        <f>IF($J$278="Crecimiento",$W284,0)</f>
        <v>0</v>
      </c>
      <c r="CM284" s="5">
        <f>IF($K$278="Producción",IF($K284&gt;=LI_A,$X284,0),0)</f>
        <v>0</v>
      </c>
      <c r="CN284" s="5">
        <f>IF($K$278="Producción",IF($K284&gt;=LI_B,IF($K284&lt;LS_B,$X284,0),0),0)</f>
        <v>0</v>
      </c>
      <c r="CO284" s="5">
        <f>IF($K$278="Producción",IF($K284&gt;=LI_C,IF($K284&lt;LS_C,$X284,0),0),0)</f>
        <v>0</v>
      </c>
      <c r="CP284" s="5">
        <f>IF($K$278="Producción",IF($K284&lt;LS_D,$X284,0),0)</f>
        <v>0</v>
      </c>
      <c r="CQ284" s="5">
        <f>IF($K$278="Crecimiento",$X284,0)</f>
        <v>0</v>
      </c>
      <c r="CT284" s="5">
        <f>IF($L$278="Producción",IF($L284&gt;=LI_A,$Y284,0),0)</f>
        <v>0</v>
      </c>
      <c r="CU284" s="5">
        <f>IF($L$278="Producción",IF($L284&gt;=LI_B,IF($L284&lt;LS_B,$Y284,0),0),0)</f>
        <v>0</v>
      </c>
      <c r="CV284" s="5">
        <f>IF($L$278="Producción",IF($L284&gt;=LI_C,IF($L284&lt;LS_C,$Y284,0),0),0)</f>
        <v>0</v>
      </c>
      <c r="CW284" s="5">
        <f>IF($L$278="Producción",IF($L284&lt;LS_D,$Y284,0),0)</f>
        <v>0</v>
      </c>
      <c r="CX284" s="5">
        <f>IF($L$278="Crecimiento",$Y284,0)</f>
        <v>0</v>
      </c>
      <c r="DA284" s="5">
        <f>IF($M$278="Producción",IF($M284&gt;=LI_A,$Z284,0),0)</f>
        <v>0</v>
      </c>
      <c r="DB284" s="5">
        <f>IF($M$278="Producción",IF($M284&gt;=LI_B,IF($M284&lt;LS_B,$Z284,0),0),0)</f>
        <v>0</v>
      </c>
      <c r="DC284" s="5">
        <f>IF($M$278="Producción",IF($M284&gt;=LI_C,IF($M284&lt;LS_C,$Z284,0),0),0)</f>
        <v>0</v>
      </c>
      <c r="DD284" s="5">
        <f>IF($M$278="Producción",IF($M284&lt;LS_D,$Z284,0),0)</f>
        <v>0</v>
      </c>
      <c r="DE284" s="5">
        <f>IF($M$278="Crecimiento",$Z284,0)</f>
        <v>0</v>
      </c>
      <c r="DI284" s="5">
        <f t="shared" si="2113"/>
        <v>0</v>
      </c>
      <c r="DJ284" s="5">
        <f t="shared" si="2114"/>
        <v>0</v>
      </c>
      <c r="DK284" s="5">
        <f t="shared" si="2115"/>
        <v>0</v>
      </c>
      <c r="DL284" s="5">
        <f t="shared" si="2116"/>
        <v>0</v>
      </c>
      <c r="DM284" s="5">
        <f t="shared" si="2117"/>
        <v>0</v>
      </c>
      <c r="DN284" s="5">
        <f t="shared" si="2118"/>
        <v>0</v>
      </c>
      <c r="DO284" s="5">
        <f t="shared" si="2119"/>
        <v>0</v>
      </c>
      <c r="DP284" s="5">
        <f t="shared" si="2120"/>
        <v>0</v>
      </c>
      <c r="DQ284" s="5">
        <f t="shared" si="2121"/>
        <v>0</v>
      </c>
      <c r="DR284" s="5">
        <f t="shared" si="2122"/>
        <v>0</v>
      </c>
      <c r="DS284" s="5">
        <f t="shared" si="2123"/>
        <v>0</v>
      </c>
      <c r="DT284" s="5">
        <f t="shared" si="2124"/>
        <v>0</v>
      </c>
      <c r="DU284" s="5">
        <f t="shared" si="2125"/>
        <v>0</v>
      </c>
      <c r="DV284" s="5">
        <f t="shared" si="2126"/>
        <v>0</v>
      </c>
      <c r="DW284" s="5">
        <f t="shared" si="2127"/>
        <v>0</v>
      </c>
      <c r="DX284" s="5">
        <f t="shared" si="2128"/>
        <v>0</v>
      </c>
      <c r="DY284" s="5">
        <f t="shared" si="2129"/>
        <v>0</v>
      </c>
      <c r="DZ284" s="5">
        <f t="shared" si="2130"/>
        <v>0</v>
      </c>
      <c r="EA284" s="5">
        <f t="shared" si="2131"/>
        <v>0</v>
      </c>
      <c r="EB284" s="5">
        <f t="shared" si="2132"/>
        <v>0</v>
      </c>
      <c r="EC284" s="5">
        <f t="shared" si="2133"/>
        <v>0</v>
      </c>
      <c r="ED284" s="5">
        <f t="shared" si="2134"/>
        <v>0</v>
      </c>
      <c r="EE284" s="5">
        <f t="shared" si="2135"/>
        <v>0</v>
      </c>
      <c r="EF284" s="5">
        <f t="shared" si="2136"/>
        <v>0</v>
      </c>
      <c r="EG284" s="5">
        <f t="shared" si="2137"/>
        <v>0</v>
      </c>
      <c r="EH284" s="5">
        <f t="shared" si="2138"/>
        <v>0</v>
      </c>
      <c r="EI284" s="5">
        <f t="shared" si="2139"/>
        <v>0</v>
      </c>
      <c r="EJ284" s="5">
        <f t="shared" si="2140"/>
        <v>0</v>
      </c>
      <c r="EK284" s="5">
        <f t="shared" si="2141"/>
        <v>0</v>
      </c>
      <c r="EL284" s="5">
        <f t="shared" si="2142"/>
        <v>0</v>
      </c>
      <c r="EM284" s="5">
        <f t="shared" si="2143"/>
        <v>0</v>
      </c>
      <c r="EN284" s="5">
        <f t="shared" si="2144"/>
        <v>0</v>
      </c>
      <c r="EO284" s="5">
        <f t="shared" si="2145"/>
        <v>0</v>
      </c>
      <c r="EP284" s="5">
        <f t="shared" si="2146"/>
        <v>0</v>
      </c>
      <c r="EQ284" s="5">
        <f t="shared" si="2147"/>
        <v>0</v>
      </c>
      <c r="ER284" s="5">
        <f t="shared" si="2148"/>
        <v>0</v>
      </c>
      <c r="ES284" s="5">
        <f t="shared" si="2149"/>
        <v>0</v>
      </c>
      <c r="ET284" s="5">
        <f t="shared" si="2150"/>
        <v>0</v>
      </c>
      <c r="EU284" s="5">
        <f t="shared" si="2151"/>
        <v>0</v>
      </c>
      <c r="EV284" s="5">
        <f t="shared" si="2152"/>
        <v>0</v>
      </c>
      <c r="EW284" s="5">
        <f t="shared" si="2153"/>
        <v>0</v>
      </c>
      <c r="EX284" s="5">
        <f t="shared" si="2154"/>
        <v>0</v>
      </c>
      <c r="EY284" s="5">
        <f t="shared" si="2155"/>
        <v>0</v>
      </c>
      <c r="EZ284" s="5">
        <f t="shared" si="2156"/>
        <v>0</v>
      </c>
      <c r="FA284" s="5">
        <f t="shared" si="2157"/>
        <v>0</v>
      </c>
      <c r="FB284" s="5">
        <f t="shared" si="2158"/>
        <v>0</v>
      </c>
      <c r="FC284" s="5">
        <f t="shared" si="2159"/>
        <v>0</v>
      </c>
      <c r="FD284" s="5">
        <f t="shared" si="2160"/>
        <v>0</v>
      </c>
      <c r="FE284" s="5">
        <f t="shared" si="2161"/>
        <v>0</v>
      </c>
      <c r="FF284" s="5">
        <f t="shared" si="2162"/>
        <v>0</v>
      </c>
      <c r="FG284" s="5">
        <f t="shared" si="2163"/>
        <v>0</v>
      </c>
      <c r="FH284" s="5">
        <f t="shared" si="2164"/>
        <v>0</v>
      </c>
      <c r="FI284" s="5">
        <f t="shared" si="2165"/>
        <v>0</v>
      </c>
      <c r="FJ284" s="5">
        <f t="shared" si="2166"/>
        <v>0</v>
      </c>
      <c r="FK284" s="5">
        <f t="shared" si="2167"/>
        <v>0</v>
      </c>
      <c r="FL284" s="5">
        <f t="shared" si="2168"/>
        <v>0</v>
      </c>
      <c r="FM284" s="5">
        <f t="shared" si="2169"/>
        <v>0</v>
      </c>
      <c r="FN284" s="5">
        <f t="shared" si="2170"/>
        <v>0</v>
      </c>
      <c r="FO284" s="5">
        <f t="shared" si="2171"/>
        <v>0</v>
      </c>
      <c r="FP284" s="5">
        <f t="shared" si="2172"/>
        <v>0</v>
      </c>
    </row>
    <row r="285" spans="1:172" ht="20.100000000000001" customHeight="1" x14ac:dyDescent="0.3">
      <c r="A285" s="9" t="str">
        <f>IF(Ciclo=5,"Surco 5","NA")</f>
        <v>NA</v>
      </c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O285" s="58">
        <f>IF($A285="NA",0,IFERROR('6'!O$143/Ciclo,0))</f>
        <v>0</v>
      </c>
      <c r="P285" s="58">
        <f>IF($A285="NA",0,IFERROR('6'!P$143/Ciclo,0))</f>
        <v>0</v>
      </c>
      <c r="Q285" s="58">
        <f>IF($A285="NA",0,IFERROR('6'!Q$143/Ciclo,0))</f>
        <v>0</v>
      </c>
      <c r="R285" s="58">
        <f>IF($A285="NA",0,IFERROR('6'!R$143/Ciclo,0))</f>
        <v>0</v>
      </c>
      <c r="S285" s="58">
        <f>IF($A285="NA",0,IFERROR('6'!S$143/Ciclo,0))</f>
        <v>0</v>
      </c>
      <c r="T285" s="58">
        <f>IF($A285="NA",0,IFERROR('6'!T$143/Ciclo,0))</f>
        <v>0</v>
      </c>
      <c r="U285" s="58">
        <f>IF($A285="NA",0,IFERROR('6'!U$143/Ciclo,0))</f>
        <v>0</v>
      </c>
      <c r="V285" s="58">
        <f>IF($A285="NA",0,IFERROR('6'!V$143/Ciclo,0))</f>
        <v>0</v>
      </c>
      <c r="W285" s="5">
        <f>IF($A285="NA",0,IFERROR('6'!W$143/Ciclo,0))</f>
        <v>0</v>
      </c>
      <c r="X285" s="5">
        <f>IF($A285="NA",0,IFERROR('6'!X$143/Ciclo,0))</f>
        <v>0</v>
      </c>
      <c r="Y285" s="5">
        <f>IF($A285="NA",0,IFERROR('6'!Y$143/Ciclo,0))</f>
        <v>0</v>
      </c>
      <c r="Z285" s="5">
        <f>IF($A285="NA",0,IFERROR('6'!Z$143/Ciclo,0))</f>
        <v>0</v>
      </c>
      <c r="AB285" s="5">
        <f>IF($B$278="Producción",IF($B285&gt;=LI_A,$O285,0),0)</f>
        <v>0</v>
      </c>
      <c r="AC285" s="5">
        <f>IF($B$278="Producción",IF($B285&gt;=LI_B,IF($B285&lt;LS_B,$O285,0),0),0)</f>
        <v>0</v>
      </c>
      <c r="AD285" s="5">
        <f>IF($B$278="Producción",IF($B285&gt;=LI_C,IF($B285&lt;LS_C,$O285,0),0),0)</f>
        <v>0</v>
      </c>
      <c r="AE285" s="5">
        <f>IF($B$278="Producción",IF($B285&lt;LS_D,$O285,0),0)</f>
        <v>0</v>
      </c>
      <c r="AF285" s="5">
        <f t="shared" si="2173"/>
        <v>0</v>
      </c>
      <c r="AI285" s="5">
        <f>IF($C$278="Producción",IF($C285&gt;=LI_A,$P285,0),0)</f>
        <v>0</v>
      </c>
      <c r="AJ285" s="5">
        <f>IF($C$278="Producción",IF($C285&gt;=LI_B,IF($C285&lt;LS_B,$P285,0),0),0)</f>
        <v>0</v>
      </c>
      <c r="AK285" s="5">
        <f>IF($C$278="Producción",IF($C285&gt;=LI_C,IF($C285&lt;LS_C,$P285,0),0),0)</f>
        <v>0</v>
      </c>
      <c r="AL285" s="5">
        <f>IF($C$278="Producción",IF($C285&lt;LS_D,$P285,0),0)</f>
        <v>0</v>
      </c>
      <c r="AM285" s="5">
        <f>IF($C$278="Crecimiento",$P285,0)</f>
        <v>0</v>
      </c>
      <c r="AP285" s="5">
        <f>IF($D$278="Producción",IF($D285&gt;=LI_A,$Q285,0),0)</f>
        <v>0</v>
      </c>
      <c r="AQ285" s="5">
        <f>IF($D$278="Producción",IF($D285&gt;=LI_B,IF($D285&lt;LS_B,$Q285,0),0),0)</f>
        <v>0</v>
      </c>
      <c r="AR285" s="5">
        <f>IF($D$278="Producción",IF($D285&gt;=LI_C,IF($D285&lt;LS_C,$Q285,0),0),0)</f>
        <v>0</v>
      </c>
      <c r="AS285" s="5">
        <f>IF($D$278="Producción",IF($D285&lt;LS_D,$Q285,0),0)</f>
        <v>0</v>
      </c>
      <c r="AT285" s="5">
        <f>IF($D$278="Crecimiento",IF($D285&gt;0,$Q285,0),0)</f>
        <v>0</v>
      </c>
      <c r="AW285" s="5">
        <f>IF($E$278="Producción",IF($E285&gt;=LI_A,$R285,0),0)</f>
        <v>0</v>
      </c>
      <c r="AX285" s="5">
        <f>IF($E$278="Producción",IF($E285&gt;=LI_B,IF($E285&lt;LS_B,$R285,0),0),0)</f>
        <v>0</v>
      </c>
      <c r="AY285" s="5">
        <f>IF($E$278="Producción",IF($E285&gt;=LI_C,IF($E285&lt;LS_C,$R285,0),0),0)</f>
        <v>0</v>
      </c>
      <c r="AZ285" s="5">
        <f>IF($E$278="Producción",IF($E285&lt;LS_D,$R285,0),0)</f>
        <v>0</v>
      </c>
      <c r="BA285" s="5">
        <f>IF($E$278="Crecimiento",$R285,0)</f>
        <v>0</v>
      </c>
      <c r="BD285" s="5">
        <f>IF($F$278="Producción",IF($F285&gt;=LI_A,$S285,0),0)</f>
        <v>0</v>
      </c>
      <c r="BE285" s="5">
        <f>IF($F$278="Producción",IF($F285&gt;=LI_B,IF($F285&lt;LS_B,$S285,0),0),0)</f>
        <v>0</v>
      </c>
      <c r="BF285" s="5">
        <f>IF($F$278="Producción",IF($F285&gt;=LI_C,IF($F285&lt;LS_C,$S285,0),0),0)</f>
        <v>0</v>
      </c>
      <c r="BG285" s="5">
        <f>IF($F$278="Producción",IF($F285&lt;LS_D,$S285,0),0)</f>
        <v>0</v>
      </c>
      <c r="BH285" s="5">
        <f>IF($F$278="Crecimiento",$S285,0)</f>
        <v>0</v>
      </c>
      <c r="BK285" s="5">
        <f>IF($G$278="Producción",IF($G285&gt;=LI_A,$T285,0),0)</f>
        <v>0</v>
      </c>
      <c r="BL285" s="5">
        <f>IF($G$278="Producción",IF($G285&gt;=LI_B,IF($G285&lt;LS_B,$T285,0),0),0)</f>
        <v>0</v>
      </c>
      <c r="BM285" s="5">
        <f>IF($G$278="Producción",IF($G285&gt;=LI_C,IF($G285&lt;LS_C,$T285,0),0),0)</f>
        <v>0</v>
      </c>
      <c r="BN285" s="5">
        <f>IF($G$278="Producción",IF($G285&lt;LS_D,$T285,0),0)</f>
        <v>0</v>
      </c>
      <c r="BO285" s="5">
        <f>IF($G$278="Crecimiento",$T285,0)</f>
        <v>0</v>
      </c>
      <c r="BR285" s="5">
        <f>IF($H$278="Producción",IF($H285&gt;=LI_A,$U285,0),0)</f>
        <v>0</v>
      </c>
      <c r="BS285" s="5">
        <f>IF($H$278="Producción",IF($H285&gt;=LI_B,IF($H285&lt;LS_B,$U285,0),0),0)</f>
        <v>0</v>
      </c>
      <c r="BT285" s="5">
        <f>IF($H$278="Producción",IF($H285&gt;=LI_C,IF($H285&lt;LS_C,$U285,0),0),0)</f>
        <v>0</v>
      </c>
      <c r="BU285" s="5">
        <f>IF($H$278="Producción",IF($H285&lt;LS_D,$U285,0),0)</f>
        <v>0</v>
      </c>
      <c r="BV285" s="5">
        <f>IF($H$278="Crecimiento",$T285,0)</f>
        <v>0</v>
      </c>
      <c r="BY285" s="5">
        <f>IF($I$278="Producción",IF($I285&gt;=LI_A,$V285,0),0)</f>
        <v>0</v>
      </c>
      <c r="BZ285" s="5">
        <f>IF($I$278="Producción",IF($I285&gt;=LI_B,IF($I285&lt;LS_B,$V285,0),0),0)</f>
        <v>0</v>
      </c>
      <c r="CA285" s="5">
        <f>IF($I$278="Producción",IF($I285&gt;=LI_C,IF($I285&lt;LS_C,$V285,0),0),0)</f>
        <v>0</v>
      </c>
      <c r="CB285" s="5">
        <f>IF($I$278="Producción",IF($I285&lt;LS_D,$V285,0),0)</f>
        <v>0</v>
      </c>
      <c r="CC285" s="5">
        <f>IF($I$278="Crecimiento",$V285,0)</f>
        <v>0</v>
      </c>
      <c r="CF285" s="5">
        <f>IF($J$278="Producción",IF($J285&gt;=LI_A,$W285,0),0)</f>
        <v>0</v>
      </c>
      <c r="CG285" s="5">
        <f>IF($J$278="Producción",IF($J285&gt;=LI_B,IF($J285&lt;LS_B,$W285,0),0),0)</f>
        <v>0</v>
      </c>
      <c r="CH285" s="5">
        <f>IF($J$278="Producción",IF($J285&gt;=LI_C,IF($J285&lt;LS_C,$W285,0),0),0)</f>
        <v>0</v>
      </c>
      <c r="CI285" s="5">
        <f>IF($J$278="Producción",IF($J285&lt;LS_D,$W285,0),0)</f>
        <v>0</v>
      </c>
      <c r="CJ285" s="5">
        <f>IF($J$278="Crecimiento",$W285,0)</f>
        <v>0</v>
      </c>
      <c r="CM285" s="5">
        <f>IF($K$278="Producción",IF($K285&gt;=LI_A,$X285,0),0)</f>
        <v>0</v>
      </c>
      <c r="CN285" s="5">
        <f>IF($K$278="Producción",IF($K285&gt;=LI_B,IF($K285&lt;LS_B,$X285,0),0),0)</f>
        <v>0</v>
      </c>
      <c r="CO285" s="5">
        <f>IF($K$278="Producción",IF($K285&gt;=LI_C,IF($K285&lt;LS_C,$X285,0),0),0)</f>
        <v>0</v>
      </c>
      <c r="CP285" s="5">
        <f>IF($K$278="Producción",IF($K285&lt;LS_D,$X285,0),0)</f>
        <v>0</v>
      </c>
      <c r="CQ285" s="5">
        <f>IF($K$278="Crecimiento",$X285,0)</f>
        <v>0</v>
      </c>
      <c r="CT285" s="5">
        <f>IF($L$278="Producción",IF($L285&gt;=LI_A,$Y285,0),0)</f>
        <v>0</v>
      </c>
      <c r="CU285" s="5">
        <f>IF($L$278="Producción",IF($L285&gt;=LI_B,IF($L285&lt;LS_B,$Y285,0),0),0)</f>
        <v>0</v>
      </c>
      <c r="CV285" s="5">
        <f>IF($L$278="Producción",IF($L285&gt;=LI_C,IF($L285&lt;LS_C,$Y285,0),0),0)</f>
        <v>0</v>
      </c>
      <c r="CW285" s="5">
        <f>IF($L$278="Producción",IF($L285&lt;LS_D,$Y285,0),0)</f>
        <v>0</v>
      </c>
      <c r="CX285" s="5">
        <f>IF($L$278="Crecimiento",$Y285,0)</f>
        <v>0</v>
      </c>
      <c r="DA285" s="5">
        <f>IF($M$278="Producción",IF($M285&gt;=LI_A,$Z285,0),0)</f>
        <v>0</v>
      </c>
      <c r="DB285" s="5">
        <f>IF($M$278="Producción",IF($M285&gt;=LI_B,IF($M285&lt;LS_B,$Z285,0),0),0)</f>
        <v>0</v>
      </c>
      <c r="DC285" s="5">
        <f>IF($M$278="Producción",IF($M285&gt;=LI_C,IF($M285&lt;LS_C,$Z285,0),0),0)</f>
        <v>0</v>
      </c>
      <c r="DD285" s="5">
        <f>IF($M$278="Producción",IF($M285&lt;LS_D,$Z285,0),0)</f>
        <v>0</v>
      </c>
      <c r="DE285" s="5">
        <f>IF($M$278="Crecimiento",$Z285,0)</f>
        <v>0</v>
      </c>
      <c r="DI285" s="5">
        <f t="shared" si="2113"/>
        <v>0</v>
      </c>
      <c r="DJ285" s="5">
        <f t="shared" si="2114"/>
        <v>0</v>
      </c>
      <c r="DK285" s="5">
        <f t="shared" si="2115"/>
        <v>0</v>
      </c>
      <c r="DL285" s="5">
        <f t="shared" si="2116"/>
        <v>0</v>
      </c>
      <c r="DM285" s="5">
        <f t="shared" si="2117"/>
        <v>0</v>
      </c>
      <c r="DN285" s="5">
        <f t="shared" si="2118"/>
        <v>0</v>
      </c>
      <c r="DO285" s="5">
        <f t="shared" si="2119"/>
        <v>0</v>
      </c>
      <c r="DP285" s="5">
        <f t="shared" si="2120"/>
        <v>0</v>
      </c>
      <c r="DQ285" s="5">
        <f t="shared" si="2121"/>
        <v>0</v>
      </c>
      <c r="DR285" s="5">
        <f t="shared" si="2122"/>
        <v>0</v>
      </c>
      <c r="DS285" s="5">
        <f t="shared" si="2123"/>
        <v>0</v>
      </c>
      <c r="DT285" s="5">
        <f t="shared" si="2124"/>
        <v>0</v>
      </c>
      <c r="DU285" s="5">
        <f t="shared" si="2125"/>
        <v>0</v>
      </c>
      <c r="DV285" s="5">
        <f t="shared" si="2126"/>
        <v>0</v>
      </c>
      <c r="DW285" s="5">
        <f t="shared" si="2127"/>
        <v>0</v>
      </c>
      <c r="DX285" s="5">
        <f t="shared" si="2128"/>
        <v>0</v>
      </c>
      <c r="DY285" s="5">
        <f t="shared" si="2129"/>
        <v>0</v>
      </c>
      <c r="DZ285" s="5">
        <f t="shared" si="2130"/>
        <v>0</v>
      </c>
      <c r="EA285" s="5">
        <f t="shared" si="2131"/>
        <v>0</v>
      </c>
      <c r="EB285" s="5">
        <f t="shared" si="2132"/>
        <v>0</v>
      </c>
      <c r="EC285" s="5">
        <f t="shared" si="2133"/>
        <v>0</v>
      </c>
      <c r="ED285" s="5">
        <f t="shared" si="2134"/>
        <v>0</v>
      </c>
      <c r="EE285" s="5">
        <f t="shared" si="2135"/>
        <v>0</v>
      </c>
      <c r="EF285" s="5">
        <f t="shared" si="2136"/>
        <v>0</v>
      </c>
      <c r="EG285" s="5">
        <f t="shared" si="2137"/>
        <v>0</v>
      </c>
      <c r="EH285" s="5">
        <f t="shared" si="2138"/>
        <v>0</v>
      </c>
      <c r="EI285" s="5">
        <f t="shared" si="2139"/>
        <v>0</v>
      </c>
      <c r="EJ285" s="5">
        <f t="shared" si="2140"/>
        <v>0</v>
      </c>
      <c r="EK285" s="5">
        <f t="shared" si="2141"/>
        <v>0</v>
      </c>
      <c r="EL285" s="5">
        <f t="shared" si="2142"/>
        <v>0</v>
      </c>
      <c r="EM285" s="5">
        <f t="shared" si="2143"/>
        <v>0</v>
      </c>
      <c r="EN285" s="5">
        <f t="shared" si="2144"/>
        <v>0</v>
      </c>
      <c r="EO285" s="5">
        <f t="shared" si="2145"/>
        <v>0</v>
      </c>
      <c r="EP285" s="5">
        <f t="shared" si="2146"/>
        <v>0</v>
      </c>
      <c r="EQ285" s="5">
        <f t="shared" si="2147"/>
        <v>0</v>
      </c>
      <c r="ER285" s="5">
        <f t="shared" si="2148"/>
        <v>0</v>
      </c>
      <c r="ES285" s="5">
        <f t="shared" si="2149"/>
        <v>0</v>
      </c>
      <c r="ET285" s="5">
        <f t="shared" si="2150"/>
        <v>0</v>
      </c>
      <c r="EU285" s="5">
        <f t="shared" si="2151"/>
        <v>0</v>
      </c>
      <c r="EV285" s="5">
        <f t="shared" si="2152"/>
        <v>0</v>
      </c>
      <c r="EW285" s="5">
        <f t="shared" si="2153"/>
        <v>0</v>
      </c>
      <c r="EX285" s="5">
        <f t="shared" si="2154"/>
        <v>0</v>
      </c>
      <c r="EY285" s="5">
        <f t="shared" si="2155"/>
        <v>0</v>
      </c>
      <c r="EZ285" s="5">
        <f t="shared" si="2156"/>
        <v>0</v>
      </c>
      <c r="FA285" s="5">
        <f t="shared" si="2157"/>
        <v>0</v>
      </c>
      <c r="FB285" s="5">
        <f t="shared" si="2158"/>
        <v>0</v>
      </c>
      <c r="FC285" s="5">
        <f t="shared" si="2159"/>
        <v>0</v>
      </c>
      <c r="FD285" s="5">
        <f t="shared" si="2160"/>
        <v>0</v>
      </c>
      <c r="FE285" s="5">
        <f t="shared" si="2161"/>
        <v>0</v>
      </c>
      <c r="FF285" s="5">
        <f t="shared" si="2162"/>
        <v>0</v>
      </c>
      <c r="FG285" s="5">
        <f t="shared" si="2163"/>
        <v>0</v>
      </c>
      <c r="FH285" s="5">
        <f t="shared" si="2164"/>
        <v>0</v>
      </c>
      <c r="FI285" s="5">
        <f t="shared" si="2165"/>
        <v>0</v>
      </c>
      <c r="FJ285" s="5">
        <f t="shared" si="2166"/>
        <v>0</v>
      </c>
      <c r="FK285" s="5">
        <f t="shared" si="2167"/>
        <v>0</v>
      </c>
      <c r="FL285" s="5">
        <f t="shared" si="2168"/>
        <v>0</v>
      </c>
      <c r="FM285" s="5">
        <f t="shared" si="2169"/>
        <v>0</v>
      </c>
      <c r="FN285" s="5">
        <f t="shared" si="2170"/>
        <v>0</v>
      </c>
      <c r="FO285" s="5">
        <f t="shared" si="2171"/>
        <v>0</v>
      </c>
      <c r="FP285" s="5">
        <f t="shared" si="2172"/>
        <v>0</v>
      </c>
    </row>
    <row r="286" spans="1:172" ht="20.100000000000001" customHeight="1" x14ac:dyDescent="0.3">
      <c r="A286" s="172">
        <f>N_L36</f>
        <v>0</v>
      </c>
      <c r="B286" s="363" t="s">
        <v>37</v>
      </c>
      <c r="C286" s="363" t="s">
        <v>37</v>
      </c>
      <c r="D286" s="363" t="s">
        <v>37</v>
      </c>
      <c r="E286" s="363" t="s">
        <v>37</v>
      </c>
      <c r="F286" s="363" t="s">
        <v>37</v>
      </c>
      <c r="G286" s="363" t="s">
        <v>37</v>
      </c>
      <c r="H286" s="363" t="s">
        <v>37</v>
      </c>
      <c r="I286" s="363" t="s">
        <v>37</v>
      </c>
      <c r="J286" s="363" t="s">
        <v>37</v>
      </c>
      <c r="K286" s="363" t="s">
        <v>37</v>
      </c>
      <c r="L286" s="363" t="s">
        <v>37</v>
      </c>
      <c r="M286" s="363" t="s">
        <v>37</v>
      </c>
    </row>
    <row r="287" spans="1:172" ht="20.100000000000001" customHeight="1" x14ac:dyDescent="0.3">
      <c r="A287" s="175" t="s">
        <v>238</v>
      </c>
      <c r="B287" s="174">
        <f>SUM(DI289:DM293)/100</f>
        <v>0</v>
      </c>
      <c r="C287" s="174">
        <f>SUM(DN289:DR293)/100</f>
        <v>0</v>
      </c>
      <c r="D287" s="174">
        <f>SUM(DS289:DW293)/100</f>
        <v>0</v>
      </c>
      <c r="E287" s="174">
        <f>SUM(DX289:EB293)/100</f>
        <v>0</v>
      </c>
      <c r="F287" s="174">
        <f>SUM(EC289:EG293)/100</f>
        <v>0</v>
      </c>
      <c r="G287" s="174">
        <f>SUM(EH289:EL293)/100</f>
        <v>0</v>
      </c>
      <c r="H287" s="174">
        <f>SUM(EM289:EQ293)/100</f>
        <v>0</v>
      </c>
      <c r="I287" s="174">
        <f>SUM(ER289:EV293)/100</f>
        <v>0</v>
      </c>
      <c r="J287" s="174">
        <f>SUM(EW289:FA293)/100</f>
        <v>0</v>
      </c>
      <c r="K287" s="174">
        <f>SUM(FB289:FF293)/100</f>
        <v>0</v>
      </c>
      <c r="L287" s="174">
        <f>SUM(FG289:FK293)/100</f>
        <v>0</v>
      </c>
      <c r="M287" s="174">
        <f>SUM(FL289:FP293)/100</f>
        <v>0</v>
      </c>
    </row>
    <row r="288" spans="1:172" ht="20.100000000000001" customHeight="1" x14ac:dyDescent="0.3">
      <c r="A288" s="151" t="s">
        <v>239</v>
      </c>
      <c r="B288" s="152" t="e">
        <f t="shared" ref="B288:M288" si="2174">B287/Lote_36</f>
        <v>#DIV/0!</v>
      </c>
      <c r="C288" s="152" t="e">
        <f t="shared" si="2174"/>
        <v>#DIV/0!</v>
      </c>
      <c r="D288" s="152" t="e">
        <f t="shared" si="2174"/>
        <v>#DIV/0!</v>
      </c>
      <c r="E288" s="152" t="e">
        <f t="shared" si="2174"/>
        <v>#DIV/0!</v>
      </c>
      <c r="F288" s="152" t="e">
        <f t="shared" si="2174"/>
        <v>#DIV/0!</v>
      </c>
      <c r="G288" s="152" t="e">
        <f t="shared" si="2174"/>
        <v>#DIV/0!</v>
      </c>
      <c r="H288" s="152" t="e">
        <f t="shared" si="2174"/>
        <v>#DIV/0!</v>
      </c>
      <c r="I288" s="152" t="e">
        <f t="shared" si="2174"/>
        <v>#DIV/0!</v>
      </c>
      <c r="J288" s="152" t="e">
        <f t="shared" si="2174"/>
        <v>#DIV/0!</v>
      </c>
      <c r="K288" s="152" t="e">
        <f t="shared" si="2174"/>
        <v>#DIV/0!</v>
      </c>
      <c r="L288" s="152" t="e">
        <f t="shared" si="2174"/>
        <v>#DIV/0!</v>
      </c>
      <c r="M288" s="152" t="e">
        <f t="shared" si="2174"/>
        <v>#DIV/0!</v>
      </c>
    </row>
    <row r="289" spans="1:172" ht="20.100000000000001" customHeight="1" x14ac:dyDescent="0.3">
      <c r="A289" s="8" t="s">
        <v>302</v>
      </c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O289" s="58">
        <f>IFERROR('6'!O$147/Ciclo,0)</f>
        <v>0</v>
      </c>
      <c r="P289" s="58">
        <f>IFERROR('6'!P$147/Ciclo,0)</f>
        <v>0</v>
      </c>
      <c r="Q289" s="58">
        <f>IFERROR('6'!Q$147/Ciclo,0)</f>
        <v>0</v>
      </c>
      <c r="R289" s="58">
        <f>IFERROR('6'!R$147/Ciclo,0)</f>
        <v>0</v>
      </c>
      <c r="S289" s="58">
        <f>IFERROR('6'!S$147/Ciclo,0)</f>
        <v>0</v>
      </c>
      <c r="T289" s="58">
        <f>IFERROR('6'!T$147/Ciclo,0)</f>
        <v>0</v>
      </c>
      <c r="U289" s="58">
        <f>IFERROR('6'!U$147/Ciclo,0)</f>
        <v>0</v>
      </c>
      <c r="V289" s="58">
        <f>IFERROR('6'!V$147/Ciclo,0)</f>
        <v>0</v>
      </c>
      <c r="W289" s="5">
        <f>IFERROR('6'!W$147/Ciclo,0)</f>
        <v>0</v>
      </c>
      <c r="X289" s="5">
        <f>IFERROR('6'!X$147/Ciclo,0)</f>
        <v>0</v>
      </c>
      <c r="Y289" s="5">
        <f>IFERROR('6'!Y$147/Ciclo,0)</f>
        <v>0</v>
      </c>
      <c r="Z289" s="5">
        <f>IFERROR('6'!Z$147/Ciclo,0)</f>
        <v>0</v>
      </c>
      <c r="AB289" s="5">
        <f>IF($B$286="Producción",IF($B289&gt;=LI_A,$O289,0),0)</f>
        <v>0</v>
      </c>
      <c r="AC289" s="5">
        <f>IF($B$286="Producción",IF($B289&gt;=LI_B,IF($B289&lt;LS_B,$O289,0),0),0)</f>
        <v>0</v>
      </c>
      <c r="AD289" s="5">
        <f>IF($B$286="Producción",IF($B289&gt;=LI_C,IF($B289&lt;LS_C,$O289,0),0),0)</f>
        <v>0</v>
      </c>
      <c r="AE289" s="5">
        <f>IF($B$286="Producción",IF($B289&lt;LS_D,$O289,0),0)</f>
        <v>0</v>
      </c>
      <c r="AF289" s="5">
        <f>IF($B$286="Crecimiento",$O289,0)</f>
        <v>0</v>
      </c>
      <c r="AG289" s="5">
        <f>IF($B286="Siembra",'6'!$O$7,0)</f>
        <v>0</v>
      </c>
      <c r="AH289" s="5">
        <f>IF($B286="Abandono",'6'!$O$7,0)</f>
        <v>0</v>
      </c>
      <c r="AI289" s="5">
        <f>IF($C$286="Producción",IF($C289&gt;=LI_A,$P289,0),0)</f>
        <v>0</v>
      </c>
      <c r="AJ289" s="5">
        <f>IF($C$286="Producción",IF($C289&gt;=LI_B,IF($C289&lt;LS_B,$P289,0),0),0)</f>
        <v>0</v>
      </c>
      <c r="AK289" s="5">
        <f>IF($C$286="Producción",IF($C289&gt;=LI_C,IF($C289&lt;LS_C,$P289,0),0),0)</f>
        <v>0</v>
      </c>
      <c r="AL289" s="5">
        <f>IF($C$286="Producción",IF($C289&lt;LS_D,$P289,0),0)</f>
        <v>0</v>
      </c>
      <c r="AM289" s="5">
        <f>IF($C$286="Crecimiento",$P289,0)</f>
        <v>0</v>
      </c>
      <c r="AN289" s="5">
        <f>IF($C286="Siembra",'6'!$P$7,0)</f>
        <v>0</v>
      </c>
      <c r="AO289" s="5">
        <f>IF($C286="Abandono",'6'!$P$7,0)</f>
        <v>0</v>
      </c>
      <c r="AP289" s="5">
        <f>IF($D$286="Producción",IF($D289&gt;=LI_A,$Q289,0),0)</f>
        <v>0</v>
      </c>
      <c r="AQ289" s="5">
        <f>IF($D$286="Producción",IF($D289&gt;=LI_B,IF($D289&lt;LS_B,$Q289,0),0),0)</f>
        <v>0</v>
      </c>
      <c r="AR289" s="5">
        <f>IF($D$286="Producción",IF($D289&gt;=LI_C,IF($D289&lt;LS_C,$Q289,0),0),0)</f>
        <v>0</v>
      </c>
      <c r="AS289" s="5">
        <f>IF($D$286="Producción",IF($D289&lt;LS_D,$Q289,0),0)</f>
        <v>0</v>
      </c>
      <c r="AT289" s="5">
        <f>IF($D$286="Crecimiento",IF($D289&gt;0,$Q289,0),0)</f>
        <v>0</v>
      </c>
      <c r="AU289" s="5">
        <f>IF($D286="Siembra",'6'!$Q$7,0)</f>
        <v>0</v>
      </c>
      <c r="AV289" s="5">
        <f>IF($D286="Abandono",'6'!$Q$7,0)</f>
        <v>0</v>
      </c>
      <c r="AW289" s="5">
        <f>IF($E$286="Producción",IF($E289&gt;=LI_A,$R289,0),0)</f>
        <v>0</v>
      </c>
      <c r="AX289" s="5">
        <f>IF($E$286="Producción",IF($E289&gt;=LI_B,IF($E289&lt;LS_B,$R289,0),0),0)</f>
        <v>0</v>
      </c>
      <c r="AY289" s="5">
        <f>IF($E$286="Producción",IF($E289&gt;=LI_C,IF($E289&lt;LS_C,$R289,0),0),0)</f>
        <v>0</v>
      </c>
      <c r="AZ289" s="5">
        <f>IF($E$286="Producción",IF($E289&lt;LS_D,$R289,0),0)</f>
        <v>0</v>
      </c>
      <c r="BA289" s="5">
        <f>IF($E$286="Crecimiento",$R289,0)</f>
        <v>0</v>
      </c>
      <c r="BB289" s="5">
        <f>IF($E286="Siembra",'6'!$R$7,0)</f>
        <v>0</v>
      </c>
      <c r="BC289" s="5">
        <f>IF($E286="Abandono",'6'!$R$7,0)</f>
        <v>0</v>
      </c>
      <c r="BD289" s="5">
        <f>IF($F$286="Producción",IF($F289&gt;=LI_A,$S289,0),0)</f>
        <v>0</v>
      </c>
      <c r="BE289" s="5">
        <f>IF($F$286="Producción",IF($F289&gt;=LI_B,IF($F289&lt;LS_B,$S289,0),0),0)</f>
        <v>0</v>
      </c>
      <c r="BF289" s="5">
        <f>IF($F$286="Producción",IF($F289&gt;=LI_C,IF($F289&lt;LS_C,$S289,0),0),0)</f>
        <v>0</v>
      </c>
      <c r="BG289" s="5">
        <f>IF($F$286="Producción",IF($F289&lt;LS_D,$S289,0),0)</f>
        <v>0</v>
      </c>
      <c r="BH289" s="5">
        <f>IF($F$286="Crecimiento",$S289,0)</f>
        <v>0</v>
      </c>
      <c r="BI289" s="5">
        <f>IF($F286="Siembra",'6'!$S$7,0)</f>
        <v>0</v>
      </c>
      <c r="BJ289" s="5">
        <f>IF($F286="Abandono",'6'!$S$7,0)</f>
        <v>0</v>
      </c>
      <c r="BK289" s="5">
        <f>IF($G$286="Producción",IF($G289&gt;=LI_A,$T289,0),0)</f>
        <v>0</v>
      </c>
      <c r="BL289" s="5">
        <f>IF($G$286="Producción",IF($G289&gt;=LI_B,IF($G289&lt;LS_B,$T289,0),0),0)</f>
        <v>0</v>
      </c>
      <c r="BM289" s="5">
        <f>IF($G$286="Producción",IF($G289&gt;=LI_C,IF($G289&lt;LS_C,$T289,0),0),0)</f>
        <v>0</v>
      </c>
      <c r="BN289" s="5">
        <f>IF($G$286="Producción",IF($G289&lt;LS_D,$T289,0),0)</f>
        <v>0</v>
      </c>
      <c r="BO289" s="5">
        <f>IF($G$286="Crecimiento",$T289,0)</f>
        <v>0</v>
      </c>
      <c r="BP289" s="5">
        <f>IF($G286="Siembra",'6'!$T$7,0)</f>
        <v>0</v>
      </c>
      <c r="BQ289" s="5">
        <f>IF($G286="Abandono",'6'!$T$7,0)</f>
        <v>0</v>
      </c>
      <c r="BR289" s="5">
        <f>IF($H$286="Producción",IF($H289&gt;=LI_A,$U289,0),0)</f>
        <v>0</v>
      </c>
      <c r="BS289" s="5">
        <f>IF($H$286="Producción",IF($H289&gt;=LI_B,IF($H289&lt;LS_B,$U289,0),0),0)</f>
        <v>0</v>
      </c>
      <c r="BT289" s="5">
        <f>IF($H$286="Producción",IF($H289&gt;=LI_C,IF($H289&lt;LS_C,$U289,0),0),0)</f>
        <v>0</v>
      </c>
      <c r="BU289" s="5">
        <f>IF($H$286="Producción",IF($H289&lt;LS_D,$U289,0),0)</f>
        <v>0</v>
      </c>
      <c r="BV289" s="5">
        <f>IF($H$286="Crecimiento",$T289,0)</f>
        <v>0</v>
      </c>
      <c r="BW289" s="5">
        <f>IF($H286="Siembra",'6'!$U$7,0)</f>
        <v>0</v>
      </c>
      <c r="BX289" s="5">
        <f>IF($H286="Abandono",'6'!$U$7,0)</f>
        <v>0</v>
      </c>
      <c r="BY289" s="5">
        <f>IF($I$286="Producción",IF($I289&gt;=LI_A,$V289,0),0)</f>
        <v>0</v>
      </c>
      <c r="BZ289" s="5">
        <f>IF($I$286="Producción",IF($I289&gt;=LI_B,IF($I289&lt;LS_B,$V289,0),0),0)</f>
        <v>0</v>
      </c>
      <c r="CA289" s="5">
        <f>IF($I$286="Producción",IF($I289&gt;=LI_C,IF($I289&lt;LS_C,$V289,0),0),0)</f>
        <v>0</v>
      </c>
      <c r="CB289" s="5">
        <f>IF($I$286="Producción",IF($I289&lt;LS_D,$V289,0),0)</f>
        <v>0</v>
      </c>
      <c r="CC289" s="5">
        <f>IF($I$286="Crecimiento",$V289,0)</f>
        <v>0</v>
      </c>
      <c r="CD289" s="5">
        <f>IF($I286="Siembra",'6'!$V$7,0)</f>
        <v>0</v>
      </c>
      <c r="CE289" s="5">
        <f>IF($I286="Abandono",'6'!$V$7,0)</f>
        <v>0</v>
      </c>
      <c r="CF289" s="5">
        <f>IF($J$286="Producción",IF($J289&gt;=LI_A,$W289,0),0)</f>
        <v>0</v>
      </c>
      <c r="CG289" s="5">
        <f>IF($J$286="Producción",IF($J289&gt;=LI_B,IF($J289&lt;LS_B,$W289,0),0),0)</f>
        <v>0</v>
      </c>
      <c r="CH289" s="5">
        <f>IF($J$286="Producción",IF($J289&gt;=LI_C,IF($J289&lt;LS_C,$W289,0),0),0)</f>
        <v>0</v>
      </c>
      <c r="CI289" s="5">
        <f>IF($J$286="Producción",IF($J289&lt;LS_D,$W289,0),0)</f>
        <v>0</v>
      </c>
      <c r="CJ289" s="5">
        <f>IF($J$286="Crecimiento",$W289,0)</f>
        <v>0</v>
      </c>
      <c r="CK289" s="5">
        <f>IF($J286="Siembra",'6'!$W$7,0)</f>
        <v>0</v>
      </c>
      <c r="CL289" s="5">
        <f>IF($J286="Abandono",'6'!$W$7,0)</f>
        <v>0</v>
      </c>
      <c r="CM289" s="5">
        <f>IF($K$286="Producción",IF($K289&gt;=LI_A,$X289,0),0)</f>
        <v>0</v>
      </c>
      <c r="CN289" s="5">
        <f>IF($K$286="Producción",IF($K289&gt;=LI_B,IF($K289&lt;LS_B,$X289,0),0),0)</f>
        <v>0</v>
      </c>
      <c r="CO289" s="5">
        <f>IF($K$286="Producción",IF($K289&gt;=LI_C,IF($K289&lt;LS_C,$X289,0),0),0)</f>
        <v>0</v>
      </c>
      <c r="CP289" s="5">
        <f>IF($K$286="Producción",IF($K289&lt;LS_D,$X289,0),0)</f>
        <v>0</v>
      </c>
      <c r="CQ289" s="5">
        <f>IF($K$286="Crecimiento",$X289,0)</f>
        <v>0</v>
      </c>
      <c r="CR289" s="5">
        <f>IF($K286="Siembra",'6'!$X$7,0)</f>
        <v>0</v>
      </c>
      <c r="CS289" s="5">
        <f>IF($K286="Abandono",'6'!$X$7,0)</f>
        <v>0</v>
      </c>
      <c r="CT289" s="5">
        <f>IF($L$286="Producción",IF($L289&gt;=LI_A,$Y289,0),0)</f>
        <v>0</v>
      </c>
      <c r="CU289" s="5">
        <f>IF($L$286="Producción",IF($L289&gt;=LI_B,IF($L289&lt;LS_B,$Y289,0),0),0)</f>
        <v>0</v>
      </c>
      <c r="CV289" s="5">
        <f>IF($L$286="Producción",IF($L289&gt;=LI_C,IF($L289&lt;LS_C,$Y289,0),0),0)</f>
        <v>0</v>
      </c>
      <c r="CW289" s="5">
        <f>IF($L$286="Producción",IF($L289&lt;LS_D,$Y289,0),0)</f>
        <v>0</v>
      </c>
      <c r="CX289" s="5">
        <f>IF($L$286="Crecimiento",$Y289,0)</f>
        <v>0</v>
      </c>
      <c r="CY289" s="5">
        <f>IF($L286="Siembra",'6'!$Y$7,0)</f>
        <v>0</v>
      </c>
      <c r="CZ289" s="5">
        <f>IF($L286="Abandono",'6'!$Y$7,0)</f>
        <v>0</v>
      </c>
      <c r="DA289" s="5">
        <f>IF($M$286="Producción",IF($M289&gt;=LI_A,$Z289,0),0)</f>
        <v>0</v>
      </c>
      <c r="DB289" s="5">
        <f>IF($M$286="Producción",IF($M289&gt;=LI_B,IF($M289&lt;LS_B,$Z289,0),0),0)</f>
        <v>0</v>
      </c>
      <c r="DC289" s="5">
        <f>IF($M$286="Producción",IF($M289&gt;=LI_C,IF($M289&lt;LS_C,$Z289,0),0),0)</f>
        <v>0</v>
      </c>
      <c r="DD289" s="5">
        <f>IF($M$286="Producción",IF($M289&lt;LS_D,$Z289,0),0)</f>
        <v>0</v>
      </c>
      <c r="DE289" s="5">
        <f>IF($M$286="Crecimiento",$Z289,0)</f>
        <v>0</v>
      </c>
      <c r="DF289" s="5">
        <f>IF($M286="Siembra",'6'!$Z$7,0)</f>
        <v>0</v>
      </c>
      <c r="DG289" s="5">
        <f>IF($M286="Abandono",'6'!$Z$7,0)</f>
        <v>0</v>
      </c>
      <c r="DI289" s="5">
        <f t="shared" ref="DI289:DI293" si="2175">AB289*$B289</f>
        <v>0</v>
      </c>
      <c r="DJ289" s="5">
        <f t="shared" ref="DJ289:DJ293" si="2176">AC289*$B289</f>
        <v>0</v>
      </c>
      <c r="DK289" s="5">
        <f t="shared" ref="DK289:DK293" si="2177">AD289*$B289</f>
        <v>0</v>
      </c>
      <c r="DL289" s="5">
        <f t="shared" ref="DL289:DL293" si="2178">AE289*$B289</f>
        <v>0</v>
      </c>
      <c r="DM289" s="5">
        <f t="shared" ref="DM289:DM293" si="2179">AF289*$B289</f>
        <v>0</v>
      </c>
      <c r="DN289" s="5">
        <f t="shared" ref="DN289:DN293" si="2180">AI289*$C289</f>
        <v>0</v>
      </c>
      <c r="DO289" s="5">
        <f t="shared" ref="DO289:DO293" si="2181">AJ289*$C289</f>
        <v>0</v>
      </c>
      <c r="DP289" s="5">
        <f t="shared" ref="DP289:DP293" si="2182">AK289*$C289</f>
        <v>0</v>
      </c>
      <c r="DQ289" s="5">
        <f t="shared" ref="DQ289:DQ293" si="2183">AL289*$C289</f>
        <v>0</v>
      </c>
      <c r="DR289" s="5">
        <f t="shared" ref="DR289:DR293" si="2184">AM289*$C289</f>
        <v>0</v>
      </c>
      <c r="DS289" s="5">
        <f t="shared" ref="DS289:DS293" si="2185">AP289*$D289</f>
        <v>0</v>
      </c>
      <c r="DT289" s="5">
        <f t="shared" ref="DT289:DT293" si="2186">AQ289*$D289</f>
        <v>0</v>
      </c>
      <c r="DU289" s="5">
        <f t="shared" ref="DU289:DU293" si="2187">AR289*$D289</f>
        <v>0</v>
      </c>
      <c r="DV289" s="5">
        <f t="shared" ref="DV289:DV293" si="2188">AS289*$D289</f>
        <v>0</v>
      </c>
      <c r="DW289" s="5">
        <f t="shared" ref="DW289:DW293" si="2189">AT289*$D289</f>
        <v>0</v>
      </c>
      <c r="DX289" s="5">
        <f t="shared" ref="DX289:DX293" si="2190">AW289*$E289</f>
        <v>0</v>
      </c>
      <c r="DY289" s="5">
        <f t="shared" ref="DY289:DY293" si="2191">AX289*$E289</f>
        <v>0</v>
      </c>
      <c r="DZ289" s="5">
        <f t="shared" ref="DZ289:DZ293" si="2192">AY289*$E289</f>
        <v>0</v>
      </c>
      <c r="EA289" s="5">
        <f t="shared" ref="EA289:EA293" si="2193">AZ289*$E289</f>
        <v>0</v>
      </c>
      <c r="EB289" s="5">
        <f t="shared" ref="EB289:EB293" si="2194">BA289*$E289</f>
        <v>0</v>
      </c>
      <c r="EC289" s="5">
        <f t="shared" ref="EC289:EC293" si="2195">BD289*$F289</f>
        <v>0</v>
      </c>
      <c r="ED289" s="5">
        <f t="shared" ref="ED289:ED293" si="2196">BE289*$F289</f>
        <v>0</v>
      </c>
      <c r="EE289" s="5">
        <f t="shared" ref="EE289:EE293" si="2197">BF289*$F289</f>
        <v>0</v>
      </c>
      <c r="EF289" s="5">
        <f t="shared" ref="EF289:EF293" si="2198">BG289*$F289</f>
        <v>0</v>
      </c>
      <c r="EG289" s="5">
        <f t="shared" ref="EG289:EG293" si="2199">BH289*$F289</f>
        <v>0</v>
      </c>
      <c r="EH289" s="5">
        <f t="shared" ref="EH289:EH293" si="2200">BK289*$G289</f>
        <v>0</v>
      </c>
      <c r="EI289" s="5">
        <f t="shared" ref="EI289:EI293" si="2201">BL289*$G289</f>
        <v>0</v>
      </c>
      <c r="EJ289" s="5">
        <f t="shared" ref="EJ289:EJ293" si="2202">BM289*$G289</f>
        <v>0</v>
      </c>
      <c r="EK289" s="5">
        <f t="shared" ref="EK289:EK293" si="2203">BN289*$G289</f>
        <v>0</v>
      </c>
      <c r="EL289" s="5">
        <f t="shared" ref="EL289:EL293" si="2204">BO289*$G289</f>
        <v>0</v>
      </c>
      <c r="EM289" s="5">
        <f t="shared" ref="EM289:EM293" si="2205">BR289*$H289</f>
        <v>0</v>
      </c>
      <c r="EN289" s="5">
        <f t="shared" ref="EN289:EN293" si="2206">BS289*$H289</f>
        <v>0</v>
      </c>
      <c r="EO289" s="5">
        <f t="shared" ref="EO289:EO293" si="2207">BT289*$H289</f>
        <v>0</v>
      </c>
      <c r="EP289" s="5">
        <f t="shared" ref="EP289:EP293" si="2208">BU289*$H289</f>
        <v>0</v>
      </c>
      <c r="EQ289" s="5">
        <f t="shared" ref="EQ289:EQ293" si="2209">BV289*$H289</f>
        <v>0</v>
      </c>
      <c r="ER289" s="5">
        <f t="shared" ref="ER289:ER293" si="2210">BY289*$I289</f>
        <v>0</v>
      </c>
      <c r="ES289" s="5">
        <f t="shared" ref="ES289:ES293" si="2211">BZ289*$I289</f>
        <v>0</v>
      </c>
      <c r="ET289" s="5">
        <f t="shared" ref="ET289:ET293" si="2212">CA289*$I289</f>
        <v>0</v>
      </c>
      <c r="EU289" s="5">
        <f t="shared" ref="EU289:EU293" si="2213">CB289*$I289</f>
        <v>0</v>
      </c>
      <c r="EV289" s="5">
        <f t="shared" ref="EV289:EV293" si="2214">CC289*$I289</f>
        <v>0</v>
      </c>
      <c r="EW289" s="5">
        <f t="shared" ref="EW289:EW293" si="2215">CF289*$J289</f>
        <v>0</v>
      </c>
      <c r="EX289" s="5">
        <f t="shared" ref="EX289:EX293" si="2216">CG289*$J289</f>
        <v>0</v>
      </c>
      <c r="EY289" s="5">
        <f t="shared" ref="EY289:EY293" si="2217">CH289*$J289</f>
        <v>0</v>
      </c>
      <c r="EZ289" s="5">
        <f t="shared" ref="EZ289:EZ293" si="2218">CI289*$J289</f>
        <v>0</v>
      </c>
      <c r="FA289" s="5">
        <f t="shared" ref="FA289:FA293" si="2219">CJ289*$J289</f>
        <v>0</v>
      </c>
      <c r="FB289" s="5">
        <f t="shared" ref="FB289:FB293" si="2220">CM289*$K289</f>
        <v>0</v>
      </c>
      <c r="FC289" s="5">
        <f t="shared" ref="FC289:FC293" si="2221">CN289*$K289</f>
        <v>0</v>
      </c>
      <c r="FD289" s="5">
        <f t="shared" ref="FD289:FD293" si="2222">CO289*$K289</f>
        <v>0</v>
      </c>
      <c r="FE289" s="5">
        <f t="shared" ref="FE289:FE293" si="2223">CP289*$K289</f>
        <v>0</v>
      </c>
      <c r="FF289" s="5">
        <f t="shared" ref="FF289:FF293" si="2224">CQ289*$K289</f>
        <v>0</v>
      </c>
      <c r="FG289" s="5">
        <f t="shared" ref="FG289:FG293" si="2225">CT289*$L289</f>
        <v>0</v>
      </c>
      <c r="FH289" s="5">
        <f t="shared" ref="FH289:FH293" si="2226">CU289*$L289</f>
        <v>0</v>
      </c>
      <c r="FI289" s="5">
        <f t="shared" ref="FI289:FI293" si="2227">CV289*$L289</f>
        <v>0</v>
      </c>
      <c r="FJ289" s="5">
        <f t="shared" ref="FJ289:FJ293" si="2228">CW289*$L289</f>
        <v>0</v>
      </c>
      <c r="FK289" s="5">
        <f t="shared" ref="FK289:FK293" si="2229">CX289*$L289</f>
        <v>0</v>
      </c>
      <c r="FL289" s="5">
        <f t="shared" ref="FL289:FL293" si="2230">DA289*$M289</f>
        <v>0</v>
      </c>
      <c r="FM289" s="5">
        <f t="shared" ref="FM289:FM293" si="2231">DB289*$M289</f>
        <v>0</v>
      </c>
      <c r="FN289" s="5">
        <f t="shared" ref="FN289:FN293" si="2232">DC289*$M289</f>
        <v>0</v>
      </c>
      <c r="FO289" s="5">
        <f t="shared" ref="FO289:FO293" si="2233">DD289*$M289</f>
        <v>0</v>
      </c>
      <c r="FP289" s="5">
        <f t="shared" ref="FP289:FP293" si="2234">DE289*$M289</f>
        <v>0</v>
      </c>
    </row>
    <row r="290" spans="1:172" ht="20.100000000000001" customHeight="1" x14ac:dyDescent="0.3">
      <c r="A290" s="8" t="s">
        <v>303</v>
      </c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O290" s="58">
        <f>IFERROR('6'!O$147/Ciclo,0)</f>
        <v>0</v>
      </c>
      <c r="P290" s="58">
        <f>IFERROR('6'!P$147/Ciclo,0)</f>
        <v>0</v>
      </c>
      <c r="Q290" s="58">
        <f>IFERROR('6'!Q$147/Ciclo,0)</f>
        <v>0</v>
      </c>
      <c r="R290" s="58">
        <f>IFERROR('6'!R$147/Ciclo,0)</f>
        <v>0</v>
      </c>
      <c r="S290" s="58">
        <f>IFERROR('6'!S$147/Ciclo,0)</f>
        <v>0</v>
      </c>
      <c r="T290" s="58">
        <f>IFERROR('6'!T$147/Ciclo,0)</f>
        <v>0</v>
      </c>
      <c r="U290" s="58">
        <f>IFERROR('6'!U$147/Ciclo,0)</f>
        <v>0</v>
      </c>
      <c r="V290" s="58">
        <f>IFERROR('6'!V$147/Ciclo,0)</f>
        <v>0</v>
      </c>
      <c r="W290" s="5">
        <f>IFERROR('6'!W$147/Ciclo,0)</f>
        <v>0</v>
      </c>
      <c r="X290" s="5">
        <f>IFERROR('6'!X$147/Ciclo,0)</f>
        <v>0</v>
      </c>
      <c r="Y290" s="5">
        <f>IFERROR('6'!Y$147/Ciclo,0)</f>
        <v>0</v>
      </c>
      <c r="Z290" s="5">
        <f>IFERROR('6'!Z$147/Ciclo,0)</f>
        <v>0</v>
      </c>
      <c r="AB290" s="5">
        <f>IF($B$286="Producción",IF($B290&gt;=LI_A,$O290,0),0)</f>
        <v>0</v>
      </c>
      <c r="AC290" s="5">
        <f>IF($B$286="Producción",IF($B290&gt;=LI_B,IF($B290&lt;LS_B,$O290,0),0),0)</f>
        <v>0</v>
      </c>
      <c r="AD290" s="5">
        <f>IF($B$286="Producción",IF($B290&gt;=LI_C,IF($B290&lt;LS_C,$O290,0),0),0)</f>
        <v>0</v>
      </c>
      <c r="AE290" s="5">
        <f>IF($B$286="Producción",IF($B290&lt;LS_D,$O290,0),0)</f>
        <v>0</v>
      </c>
      <c r="AF290" s="5">
        <f t="shared" ref="AF290:AF293" si="2235">IF($B$286="Crecimiento",$O290,0)</f>
        <v>0</v>
      </c>
      <c r="AI290" s="5">
        <f>IF($C$286="Producción",IF($C290&gt;=LI_A,$P290,0),0)</f>
        <v>0</v>
      </c>
      <c r="AJ290" s="5">
        <f>IF($C$286="Producción",IF($C290&gt;=LI_B,IF($C290&lt;LS_B,$P290,0),0),0)</f>
        <v>0</v>
      </c>
      <c r="AK290" s="5">
        <f>IF($C$286="Producción",IF($C290&gt;=LI_C,IF($C290&lt;LS_C,$P290,0),0),0)</f>
        <v>0</v>
      </c>
      <c r="AL290" s="5">
        <f>IF($C$286="Producción",IF($C290&lt;LS_D,$P290,0),0)</f>
        <v>0</v>
      </c>
      <c r="AM290" s="5">
        <f>IF($C$286="Crecimiento",$P290,0)</f>
        <v>0</v>
      </c>
      <c r="AP290" s="5">
        <f>IF($D$286="Producción",IF($D290&gt;=LI_A,$Q290,0),0)</f>
        <v>0</v>
      </c>
      <c r="AQ290" s="5">
        <f>IF($D$286="Producción",IF($D290&gt;=LI_B,IF($D290&lt;LS_B,$Q290,0),0),0)</f>
        <v>0</v>
      </c>
      <c r="AR290" s="5">
        <f>IF($D$286="Producción",IF($D290&gt;=LI_C,IF($D290&lt;LS_C,$Q290,0),0),0)</f>
        <v>0</v>
      </c>
      <c r="AS290" s="5">
        <f>IF($D$286="Producción",IF($D290&lt;LS_D,$Q290,0),0)</f>
        <v>0</v>
      </c>
      <c r="AT290" s="5">
        <f>IF($D$286="Crecimiento",IF($D290&gt;0,$Q290,0),0)</f>
        <v>0</v>
      </c>
      <c r="AW290" s="5">
        <f>IF($E$286="Producción",IF($E290&gt;=LI_A,$R290,0),0)</f>
        <v>0</v>
      </c>
      <c r="AX290" s="5">
        <f>IF($E$286="Producción",IF($E290&gt;=LI_B,IF($E290&lt;LS_B,$R290,0),0),0)</f>
        <v>0</v>
      </c>
      <c r="AY290" s="5">
        <f>IF($E$286="Producción",IF($E290&gt;=LI_C,IF($E290&lt;LS_C,$R290,0),0),0)</f>
        <v>0</v>
      </c>
      <c r="AZ290" s="5">
        <f>IF($E$286="Producción",IF($E290&lt;LS_D,$R290,0),0)</f>
        <v>0</v>
      </c>
      <c r="BA290" s="5">
        <f>IF($E$286="Crecimiento",$R290,0)</f>
        <v>0</v>
      </c>
      <c r="BD290" s="5">
        <f>IF($F$286="Producción",IF($F290&gt;=LI_A,$S290,0),0)</f>
        <v>0</v>
      </c>
      <c r="BE290" s="5">
        <f>IF($F$286="Producción",IF($F290&gt;=LI_B,IF($F290&lt;LS_B,$S290,0),0),0)</f>
        <v>0</v>
      </c>
      <c r="BF290" s="5">
        <f>IF($F$286="Producción",IF($F290&gt;=LI_C,IF($F290&lt;LS_C,$S290,0),0),0)</f>
        <v>0</v>
      </c>
      <c r="BG290" s="5">
        <f>IF($F$286="Producción",IF($F290&lt;LS_D,$S290,0),0)</f>
        <v>0</v>
      </c>
      <c r="BH290" s="5">
        <f>IF($F$286="Crecimiento",$S290,0)</f>
        <v>0</v>
      </c>
      <c r="BK290" s="5">
        <f>IF($G$286="Producción",IF($G290&gt;=LI_A,$T290,0),0)</f>
        <v>0</v>
      </c>
      <c r="BL290" s="5">
        <f>IF($G$286="Producción",IF($G290&gt;=LI_B,IF($G290&lt;LS_B,$T290,0),0),0)</f>
        <v>0</v>
      </c>
      <c r="BM290" s="5">
        <f>IF($G$286="Producción",IF($G290&gt;=LI_C,IF($G290&lt;LS_C,$T290,0),0),0)</f>
        <v>0</v>
      </c>
      <c r="BN290" s="5">
        <f>IF($G$286="Producción",IF($G290&lt;LS_D,$T290,0),0)</f>
        <v>0</v>
      </c>
      <c r="BO290" s="5">
        <f>IF($G$286="Crecimiento",$T290,0)</f>
        <v>0</v>
      </c>
      <c r="BR290" s="5">
        <f>IF($H$286="Producción",IF($H290&gt;=LI_A,$U290,0),0)</f>
        <v>0</v>
      </c>
      <c r="BS290" s="5">
        <f>IF($H$286="Producción",IF($H290&gt;=LI_B,IF($H290&lt;LS_B,$U290,0),0),0)</f>
        <v>0</v>
      </c>
      <c r="BT290" s="5">
        <f>IF($H$286="Producción",IF($H290&gt;=LI_C,IF($H290&lt;LS_C,$U290,0),0),0)</f>
        <v>0</v>
      </c>
      <c r="BU290" s="5">
        <f>IF($H$286="Producción",IF($H290&lt;LS_D,$U290,0),0)</f>
        <v>0</v>
      </c>
      <c r="BV290" s="5">
        <f>IF($H$286="Crecimiento",$T290,0)</f>
        <v>0</v>
      </c>
      <c r="BY290" s="5">
        <f>IF($I$286="Producción",IF($I290&gt;=LI_A,$V290,0),0)</f>
        <v>0</v>
      </c>
      <c r="BZ290" s="5">
        <f>IF($I$286="Producción",IF($I290&gt;=LI_B,IF($I290&lt;LS_B,$V290,0),0),0)</f>
        <v>0</v>
      </c>
      <c r="CA290" s="5">
        <f>IF($I$286="Producción",IF($I290&gt;=LI_C,IF($I290&lt;LS_C,$V290,0),0),0)</f>
        <v>0</v>
      </c>
      <c r="CB290" s="5">
        <f>IF($I$286="Producción",IF($I290&lt;LS_D,$V290,0),0)</f>
        <v>0</v>
      </c>
      <c r="CC290" s="5">
        <f>IF($I$286="Crecimiento",$V290,0)</f>
        <v>0</v>
      </c>
      <c r="CF290" s="5">
        <f>IF($J$286="Producción",IF($J290&gt;=LI_A,$W290,0),0)</f>
        <v>0</v>
      </c>
      <c r="CG290" s="5">
        <f>IF($J$286="Producción",IF($J290&gt;=LI_B,IF($J290&lt;LS_B,$W290,0),0),0)</f>
        <v>0</v>
      </c>
      <c r="CH290" s="5">
        <f>IF($J$286="Producción",IF($J290&gt;=LI_C,IF($J290&lt;LS_C,$W290,0),0),0)</f>
        <v>0</v>
      </c>
      <c r="CI290" s="5">
        <f>IF($J$286="Producción",IF($J290&lt;LS_D,$W290,0),0)</f>
        <v>0</v>
      </c>
      <c r="CJ290" s="5">
        <f>IF($J$286="Crecimiento",$W290,0)</f>
        <v>0</v>
      </c>
      <c r="CM290" s="5">
        <f>IF($K$286="Producción",IF($K290&gt;=LI_A,$X290,0),0)</f>
        <v>0</v>
      </c>
      <c r="CN290" s="5">
        <f>IF($K$286="Producción",IF($K290&gt;=LI_B,IF($K290&lt;LS_B,$X290,0),0),0)</f>
        <v>0</v>
      </c>
      <c r="CO290" s="5">
        <f>IF($K$286="Producción",IF($K290&gt;=LI_C,IF($K290&lt;LS_C,$X290,0),0),0)</f>
        <v>0</v>
      </c>
      <c r="CP290" s="5">
        <f>IF($K$286="Producción",IF($K290&lt;LS_D,$X290,0),0)</f>
        <v>0</v>
      </c>
      <c r="CQ290" s="5">
        <f>IF($K$286="Crecimiento",$X290,0)</f>
        <v>0</v>
      </c>
      <c r="CT290" s="5">
        <f>IF($L$286="Producción",IF($L290&gt;=LI_A,$Y290,0),0)</f>
        <v>0</v>
      </c>
      <c r="CU290" s="5">
        <f>IF($L$286="Producción",IF($L290&gt;=LI_B,IF($L290&lt;LS_B,$Y290,0),0),0)</f>
        <v>0</v>
      </c>
      <c r="CV290" s="5">
        <f>IF($L$286="Producción",IF($L290&gt;=LI_C,IF($L290&lt;LS_C,$Y290,0),0),0)</f>
        <v>0</v>
      </c>
      <c r="CW290" s="5">
        <f>IF($L$286="Producción",IF($L290&lt;LS_D,$Y290,0),0)</f>
        <v>0</v>
      </c>
      <c r="CX290" s="5">
        <f>IF($L$286="Crecimiento",$Y290,0)</f>
        <v>0</v>
      </c>
      <c r="DA290" s="5">
        <f>IF($M$286="Producción",IF($M290&gt;=LI_A,$Z290,0),0)</f>
        <v>0</v>
      </c>
      <c r="DB290" s="5">
        <f>IF($M$286="Producción",IF($M290&gt;=LI_B,IF($M290&lt;LS_B,$Z290,0),0),0)</f>
        <v>0</v>
      </c>
      <c r="DC290" s="5">
        <f>IF($M$286="Producción",IF($M290&gt;=LI_C,IF($M290&lt;LS_C,$Z290,0),0),0)</f>
        <v>0</v>
      </c>
      <c r="DD290" s="5">
        <f>IF($M$286="Producción",IF($M290&lt;LS_D,$Z290,0),0)</f>
        <v>0</v>
      </c>
      <c r="DE290" s="5">
        <f>IF($M$286="Crecimiento",$Z290,0)</f>
        <v>0</v>
      </c>
      <c r="DI290" s="5">
        <f t="shared" si="2175"/>
        <v>0</v>
      </c>
      <c r="DJ290" s="5">
        <f t="shared" si="2176"/>
        <v>0</v>
      </c>
      <c r="DK290" s="5">
        <f t="shared" si="2177"/>
        <v>0</v>
      </c>
      <c r="DL290" s="5">
        <f t="shared" si="2178"/>
        <v>0</v>
      </c>
      <c r="DM290" s="5">
        <f t="shared" si="2179"/>
        <v>0</v>
      </c>
      <c r="DN290" s="5">
        <f t="shared" si="2180"/>
        <v>0</v>
      </c>
      <c r="DO290" s="5">
        <f t="shared" si="2181"/>
        <v>0</v>
      </c>
      <c r="DP290" s="5">
        <f t="shared" si="2182"/>
        <v>0</v>
      </c>
      <c r="DQ290" s="5">
        <f t="shared" si="2183"/>
        <v>0</v>
      </c>
      <c r="DR290" s="5">
        <f t="shared" si="2184"/>
        <v>0</v>
      </c>
      <c r="DS290" s="5">
        <f t="shared" si="2185"/>
        <v>0</v>
      </c>
      <c r="DT290" s="5">
        <f t="shared" si="2186"/>
        <v>0</v>
      </c>
      <c r="DU290" s="5">
        <f t="shared" si="2187"/>
        <v>0</v>
      </c>
      <c r="DV290" s="5">
        <f t="shared" si="2188"/>
        <v>0</v>
      </c>
      <c r="DW290" s="5">
        <f t="shared" si="2189"/>
        <v>0</v>
      </c>
      <c r="DX290" s="5">
        <f t="shared" si="2190"/>
        <v>0</v>
      </c>
      <c r="DY290" s="5">
        <f t="shared" si="2191"/>
        <v>0</v>
      </c>
      <c r="DZ290" s="5">
        <f t="shared" si="2192"/>
        <v>0</v>
      </c>
      <c r="EA290" s="5">
        <f t="shared" si="2193"/>
        <v>0</v>
      </c>
      <c r="EB290" s="5">
        <f t="shared" si="2194"/>
        <v>0</v>
      </c>
      <c r="EC290" s="5">
        <f t="shared" si="2195"/>
        <v>0</v>
      </c>
      <c r="ED290" s="5">
        <f t="shared" si="2196"/>
        <v>0</v>
      </c>
      <c r="EE290" s="5">
        <f t="shared" si="2197"/>
        <v>0</v>
      </c>
      <c r="EF290" s="5">
        <f t="shared" si="2198"/>
        <v>0</v>
      </c>
      <c r="EG290" s="5">
        <f t="shared" si="2199"/>
        <v>0</v>
      </c>
      <c r="EH290" s="5">
        <f t="shared" si="2200"/>
        <v>0</v>
      </c>
      <c r="EI290" s="5">
        <f t="shared" si="2201"/>
        <v>0</v>
      </c>
      <c r="EJ290" s="5">
        <f t="shared" si="2202"/>
        <v>0</v>
      </c>
      <c r="EK290" s="5">
        <f t="shared" si="2203"/>
        <v>0</v>
      </c>
      <c r="EL290" s="5">
        <f t="shared" si="2204"/>
        <v>0</v>
      </c>
      <c r="EM290" s="5">
        <f t="shared" si="2205"/>
        <v>0</v>
      </c>
      <c r="EN290" s="5">
        <f t="shared" si="2206"/>
        <v>0</v>
      </c>
      <c r="EO290" s="5">
        <f t="shared" si="2207"/>
        <v>0</v>
      </c>
      <c r="EP290" s="5">
        <f t="shared" si="2208"/>
        <v>0</v>
      </c>
      <c r="EQ290" s="5">
        <f t="shared" si="2209"/>
        <v>0</v>
      </c>
      <c r="ER290" s="5">
        <f t="shared" si="2210"/>
        <v>0</v>
      </c>
      <c r="ES290" s="5">
        <f t="shared" si="2211"/>
        <v>0</v>
      </c>
      <c r="ET290" s="5">
        <f t="shared" si="2212"/>
        <v>0</v>
      </c>
      <c r="EU290" s="5">
        <f t="shared" si="2213"/>
        <v>0</v>
      </c>
      <c r="EV290" s="5">
        <f t="shared" si="2214"/>
        <v>0</v>
      </c>
      <c r="EW290" s="5">
        <f t="shared" si="2215"/>
        <v>0</v>
      </c>
      <c r="EX290" s="5">
        <f t="shared" si="2216"/>
        <v>0</v>
      </c>
      <c r="EY290" s="5">
        <f t="shared" si="2217"/>
        <v>0</v>
      </c>
      <c r="EZ290" s="5">
        <f t="shared" si="2218"/>
        <v>0</v>
      </c>
      <c r="FA290" s="5">
        <f t="shared" si="2219"/>
        <v>0</v>
      </c>
      <c r="FB290" s="5">
        <f t="shared" si="2220"/>
        <v>0</v>
      </c>
      <c r="FC290" s="5">
        <f t="shared" si="2221"/>
        <v>0</v>
      </c>
      <c r="FD290" s="5">
        <f t="shared" si="2222"/>
        <v>0</v>
      </c>
      <c r="FE290" s="5">
        <f t="shared" si="2223"/>
        <v>0</v>
      </c>
      <c r="FF290" s="5">
        <f t="shared" si="2224"/>
        <v>0</v>
      </c>
      <c r="FG290" s="5">
        <f t="shared" si="2225"/>
        <v>0</v>
      </c>
      <c r="FH290" s="5">
        <f t="shared" si="2226"/>
        <v>0</v>
      </c>
      <c r="FI290" s="5">
        <f t="shared" si="2227"/>
        <v>0</v>
      </c>
      <c r="FJ290" s="5">
        <f t="shared" si="2228"/>
        <v>0</v>
      </c>
      <c r="FK290" s="5">
        <f t="shared" si="2229"/>
        <v>0</v>
      </c>
      <c r="FL290" s="5">
        <f t="shared" si="2230"/>
        <v>0</v>
      </c>
      <c r="FM290" s="5">
        <f t="shared" si="2231"/>
        <v>0</v>
      </c>
      <c r="FN290" s="5">
        <f t="shared" si="2232"/>
        <v>0</v>
      </c>
      <c r="FO290" s="5">
        <f t="shared" si="2233"/>
        <v>0</v>
      </c>
      <c r="FP290" s="5">
        <f t="shared" si="2234"/>
        <v>0</v>
      </c>
    </row>
    <row r="291" spans="1:172" ht="20.100000000000001" customHeight="1" x14ac:dyDescent="0.3">
      <c r="A291" s="8" t="str">
        <f>IF(Ciclo&gt;2,"Surco 3","NA")</f>
        <v>Surco 3</v>
      </c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O291" s="58">
        <f>IF($A291="NA",0,IFERROR('6'!O$147/Ciclo,0))</f>
        <v>0</v>
      </c>
      <c r="P291" s="58">
        <f>IF($A291="NA",0,IFERROR('6'!P$147/Ciclo,0))</f>
        <v>0</v>
      </c>
      <c r="Q291" s="58">
        <f>IF($A291="NA",0,IFERROR('6'!Q$147/Ciclo,0))</f>
        <v>0</v>
      </c>
      <c r="R291" s="58">
        <f>IF($A291="NA",0,IFERROR('6'!R$147/Ciclo,0))</f>
        <v>0</v>
      </c>
      <c r="S291" s="58">
        <f>IF($A291="NA",0,IFERROR('6'!S$147/Ciclo,0))</f>
        <v>0</v>
      </c>
      <c r="T291" s="58">
        <f>IF($A291="NA",0,IFERROR('6'!T$147/Ciclo,0))</f>
        <v>0</v>
      </c>
      <c r="U291" s="58">
        <f>IF($A291="NA",0,IFERROR('6'!U$147/Ciclo,0))</f>
        <v>0</v>
      </c>
      <c r="V291" s="58">
        <f>IF($A291="NA",0,IFERROR('6'!V$147/Ciclo,0))</f>
        <v>0</v>
      </c>
      <c r="W291" s="5">
        <f>IF($A291="NA",0,IFERROR('6'!W$147/Ciclo,0))</f>
        <v>0</v>
      </c>
      <c r="X291" s="5">
        <f>IF($A291="NA",0,IFERROR('6'!X$147/Ciclo,0))</f>
        <v>0</v>
      </c>
      <c r="Y291" s="5">
        <f>IF($A291="NA",0,IFERROR('6'!Y$147/Ciclo,0))</f>
        <v>0</v>
      </c>
      <c r="Z291" s="5">
        <f>IF($A291="NA",0,IFERROR('6'!Z$147/Ciclo,0))</f>
        <v>0</v>
      </c>
      <c r="AB291" s="5">
        <f>IF($B$286="Producción",IF($B291&gt;=LI_A,$O291,0),0)</f>
        <v>0</v>
      </c>
      <c r="AC291" s="5">
        <f>IF($B$286="Producción",IF($B291&gt;=LI_B,IF($B291&lt;LS_B,$O291,0),0),0)</f>
        <v>0</v>
      </c>
      <c r="AD291" s="5">
        <f>IF($B$286="Producción",IF($B291&gt;=LI_C,IF($B291&lt;LS_C,$O291,0),0),0)</f>
        <v>0</v>
      </c>
      <c r="AE291" s="5">
        <f>IF($B$286="Producción",IF($B291&lt;LS_D,$O291,0),0)</f>
        <v>0</v>
      </c>
      <c r="AF291" s="5">
        <f t="shared" si="2235"/>
        <v>0</v>
      </c>
      <c r="AI291" s="5">
        <f>IF($C$286="Producción",IF($C291&gt;=LI_A,$P291,0),0)</f>
        <v>0</v>
      </c>
      <c r="AJ291" s="5">
        <f>IF($C$286="Producción",IF($C291&gt;=LI_B,IF($C291&lt;LS_B,$P291,0),0),0)</f>
        <v>0</v>
      </c>
      <c r="AK291" s="5">
        <f>IF($C$286="Producción",IF($C291&gt;=LI_C,IF($C291&lt;LS_C,$P291,0),0),0)</f>
        <v>0</v>
      </c>
      <c r="AL291" s="5">
        <f>IF($C$286="Producción",IF($C291&lt;LS_D,$P291,0),0)</f>
        <v>0</v>
      </c>
      <c r="AM291" s="5">
        <f>IF($C$286="Crecimiento",$P291,0)</f>
        <v>0</v>
      </c>
      <c r="AP291" s="5">
        <f>IF($D$286="Producción",IF($D291&gt;=LI_A,$Q291,0),0)</f>
        <v>0</v>
      </c>
      <c r="AQ291" s="5">
        <f>IF($D$286="Producción",IF($D291&gt;=LI_B,IF($D291&lt;LS_B,$Q291,0),0),0)</f>
        <v>0</v>
      </c>
      <c r="AR291" s="5">
        <f>IF($D$286="Producción",IF($D291&gt;=LI_C,IF($D291&lt;LS_C,$Q291,0),0),0)</f>
        <v>0</v>
      </c>
      <c r="AS291" s="5">
        <f>IF($D$286="Producción",IF($D291&lt;LS_D,$Q291,0),0)</f>
        <v>0</v>
      </c>
      <c r="AT291" s="5">
        <f>IF($D$286="Crecimiento",IF($D291&gt;0,$Q291,0),0)</f>
        <v>0</v>
      </c>
      <c r="AW291" s="5">
        <f>IF($E$286="Producción",IF($E291&gt;=LI_A,$R291,0),0)</f>
        <v>0</v>
      </c>
      <c r="AX291" s="5">
        <f>IF($E$286="Producción",IF($E291&gt;=LI_B,IF($E291&lt;LS_B,$R291,0),0),0)</f>
        <v>0</v>
      </c>
      <c r="AY291" s="5">
        <f>IF($E$286="Producción",IF($E291&gt;=LI_C,IF($E291&lt;LS_C,$R291,0),0),0)</f>
        <v>0</v>
      </c>
      <c r="AZ291" s="5">
        <f>IF($E$286="Producción",IF($E291&lt;LS_D,$R291,0),0)</f>
        <v>0</v>
      </c>
      <c r="BA291" s="5">
        <f>IF($E$286="Crecimiento",$R291,0)</f>
        <v>0</v>
      </c>
      <c r="BD291" s="5">
        <f>IF($F$286="Producción",IF($F291&gt;=LI_A,$S291,0),0)</f>
        <v>0</v>
      </c>
      <c r="BE291" s="5">
        <f>IF($F$286="Producción",IF($F291&gt;=LI_B,IF($F291&lt;LS_B,$S291,0),0),0)</f>
        <v>0</v>
      </c>
      <c r="BF291" s="5">
        <f>IF($F$286="Producción",IF($F291&gt;=LI_C,IF($F291&lt;LS_C,$S291,0),0),0)</f>
        <v>0</v>
      </c>
      <c r="BG291" s="5">
        <f>IF($F$286="Producción",IF($F291&lt;LS_D,$S291,0),0)</f>
        <v>0</v>
      </c>
      <c r="BH291" s="5">
        <f>IF($F$286="Crecimiento",$S291,0)</f>
        <v>0</v>
      </c>
      <c r="BK291" s="5">
        <f>IF($G$286="Producción",IF($G291&gt;=LI_A,$T291,0),0)</f>
        <v>0</v>
      </c>
      <c r="BL291" s="5">
        <f>IF($G$286="Producción",IF($G291&gt;=LI_B,IF($G291&lt;LS_B,$T291,0),0),0)</f>
        <v>0</v>
      </c>
      <c r="BM291" s="5">
        <f>IF($G$286="Producción",IF($G291&gt;=LI_C,IF($G291&lt;LS_C,$T291,0),0),0)</f>
        <v>0</v>
      </c>
      <c r="BN291" s="5">
        <f>IF($G$286="Producción",IF($G291&lt;LS_D,$T291,0),0)</f>
        <v>0</v>
      </c>
      <c r="BO291" s="5">
        <f>IF($G$286="Crecimiento",$T291,0)</f>
        <v>0</v>
      </c>
      <c r="BR291" s="5">
        <f>IF($H$286="Producción",IF($H291&gt;=LI_A,$U291,0),0)</f>
        <v>0</v>
      </c>
      <c r="BS291" s="5">
        <f>IF($H$286="Producción",IF($H291&gt;=LI_B,IF($H291&lt;LS_B,$U291,0),0),0)</f>
        <v>0</v>
      </c>
      <c r="BT291" s="5">
        <f>IF($H$286="Producción",IF($H291&gt;=LI_C,IF($H291&lt;LS_C,$U291,0),0),0)</f>
        <v>0</v>
      </c>
      <c r="BU291" s="5">
        <f>IF($H$286="Producción",IF($H291&lt;LS_D,$U291,0),0)</f>
        <v>0</v>
      </c>
      <c r="BV291" s="5">
        <f>IF($H$286="Crecimiento",$T291,0)</f>
        <v>0</v>
      </c>
      <c r="BY291" s="5">
        <f>IF($I$286="Producción",IF($I291&gt;=LI_A,$V291,0),0)</f>
        <v>0</v>
      </c>
      <c r="BZ291" s="5">
        <f>IF($I$286="Producción",IF($I291&gt;=LI_B,IF($I291&lt;LS_B,$V291,0),0),0)</f>
        <v>0</v>
      </c>
      <c r="CA291" s="5">
        <f>IF($I$286="Producción",IF($I291&gt;=LI_C,IF($I291&lt;LS_C,$V291,0),0),0)</f>
        <v>0</v>
      </c>
      <c r="CB291" s="5">
        <f>IF($I$286="Producción",IF($I291&lt;LS_D,$V291,0),0)</f>
        <v>0</v>
      </c>
      <c r="CC291" s="5">
        <f>IF($I$286="Crecimiento",$V291,0)</f>
        <v>0</v>
      </c>
      <c r="CF291" s="5">
        <f>IF($J$286="Producción",IF($J291&gt;=LI_A,$W291,0),0)</f>
        <v>0</v>
      </c>
      <c r="CG291" s="5">
        <f>IF($J$286="Producción",IF($J291&gt;=LI_B,IF($J291&lt;LS_B,$W291,0),0),0)</f>
        <v>0</v>
      </c>
      <c r="CH291" s="5">
        <f>IF($J$286="Producción",IF($J291&gt;=LI_C,IF($J291&lt;LS_C,$W291,0),0),0)</f>
        <v>0</v>
      </c>
      <c r="CI291" s="5">
        <f>IF($J$286="Producción",IF($J291&lt;LS_D,$W291,0),0)</f>
        <v>0</v>
      </c>
      <c r="CJ291" s="5">
        <f>IF($J$286="Crecimiento",$W291,0)</f>
        <v>0</v>
      </c>
      <c r="CM291" s="5">
        <f>IF($K$286="Producción",IF($K291&gt;=LI_A,$X291,0),0)</f>
        <v>0</v>
      </c>
      <c r="CN291" s="5">
        <f>IF($K$286="Producción",IF($K291&gt;=LI_B,IF($K291&lt;LS_B,$X291,0),0),0)</f>
        <v>0</v>
      </c>
      <c r="CO291" s="5">
        <f>IF($K$286="Producción",IF($K291&gt;=LI_C,IF($K291&lt;LS_C,$X291,0),0),0)</f>
        <v>0</v>
      </c>
      <c r="CP291" s="5">
        <f>IF($K$286="Producción",IF($K291&lt;LS_D,$X291,0),0)</f>
        <v>0</v>
      </c>
      <c r="CQ291" s="5">
        <f>IF($K$286="Crecimiento",$X291,0)</f>
        <v>0</v>
      </c>
      <c r="CT291" s="5">
        <f>IF($L$286="Producción",IF($L291&gt;=LI_A,$Y291,0),0)</f>
        <v>0</v>
      </c>
      <c r="CU291" s="5">
        <f>IF($L$286="Producción",IF($L291&gt;=LI_B,IF($L291&lt;LS_B,$Y291,0),0),0)</f>
        <v>0</v>
      </c>
      <c r="CV291" s="5">
        <f>IF($L$286="Producción",IF($L291&gt;=LI_C,IF($L291&lt;LS_C,$Y291,0),0),0)</f>
        <v>0</v>
      </c>
      <c r="CW291" s="5">
        <f>IF($L$286="Producción",IF($L291&lt;LS_D,$Y291,0),0)</f>
        <v>0</v>
      </c>
      <c r="CX291" s="5">
        <f>IF($L$286="Crecimiento",$Y291,0)</f>
        <v>0</v>
      </c>
      <c r="DA291" s="5">
        <f>IF($M$286="Producción",IF($M291&gt;=LI_A,$Z291,0),0)</f>
        <v>0</v>
      </c>
      <c r="DB291" s="5">
        <f>IF($M$286="Producción",IF($M291&gt;=LI_B,IF($M291&lt;LS_B,$Z291,0),0),0)</f>
        <v>0</v>
      </c>
      <c r="DC291" s="5">
        <f>IF($M$286="Producción",IF($M291&gt;=LI_C,IF($M291&lt;LS_C,$Z291,0),0),0)</f>
        <v>0</v>
      </c>
      <c r="DD291" s="5">
        <f>IF($M$286="Producción",IF($M291&lt;LS_D,$Z291,0),0)</f>
        <v>0</v>
      </c>
      <c r="DE291" s="5">
        <f>IF($M$286="Crecimiento",$Z291,0)</f>
        <v>0</v>
      </c>
      <c r="DI291" s="5">
        <f t="shared" si="2175"/>
        <v>0</v>
      </c>
      <c r="DJ291" s="5">
        <f t="shared" si="2176"/>
        <v>0</v>
      </c>
      <c r="DK291" s="5">
        <f t="shared" si="2177"/>
        <v>0</v>
      </c>
      <c r="DL291" s="5">
        <f t="shared" si="2178"/>
        <v>0</v>
      </c>
      <c r="DM291" s="5">
        <f t="shared" si="2179"/>
        <v>0</v>
      </c>
      <c r="DN291" s="5">
        <f t="shared" si="2180"/>
        <v>0</v>
      </c>
      <c r="DO291" s="5">
        <f t="shared" si="2181"/>
        <v>0</v>
      </c>
      <c r="DP291" s="5">
        <f t="shared" si="2182"/>
        <v>0</v>
      </c>
      <c r="DQ291" s="5">
        <f t="shared" si="2183"/>
        <v>0</v>
      </c>
      <c r="DR291" s="5">
        <f t="shared" si="2184"/>
        <v>0</v>
      </c>
      <c r="DS291" s="5">
        <f t="shared" si="2185"/>
        <v>0</v>
      </c>
      <c r="DT291" s="5">
        <f t="shared" si="2186"/>
        <v>0</v>
      </c>
      <c r="DU291" s="5">
        <f t="shared" si="2187"/>
        <v>0</v>
      </c>
      <c r="DV291" s="5">
        <f t="shared" si="2188"/>
        <v>0</v>
      </c>
      <c r="DW291" s="5">
        <f t="shared" si="2189"/>
        <v>0</v>
      </c>
      <c r="DX291" s="5">
        <f t="shared" si="2190"/>
        <v>0</v>
      </c>
      <c r="DY291" s="5">
        <f t="shared" si="2191"/>
        <v>0</v>
      </c>
      <c r="DZ291" s="5">
        <f t="shared" si="2192"/>
        <v>0</v>
      </c>
      <c r="EA291" s="5">
        <f t="shared" si="2193"/>
        <v>0</v>
      </c>
      <c r="EB291" s="5">
        <f t="shared" si="2194"/>
        <v>0</v>
      </c>
      <c r="EC291" s="5">
        <f t="shared" si="2195"/>
        <v>0</v>
      </c>
      <c r="ED291" s="5">
        <f t="shared" si="2196"/>
        <v>0</v>
      </c>
      <c r="EE291" s="5">
        <f t="shared" si="2197"/>
        <v>0</v>
      </c>
      <c r="EF291" s="5">
        <f t="shared" si="2198"/>
        <v>0</v>
      </c>
      <c r="EG291" s="5">
        <f t="shared" si="2199"/>
        <v>0</v>
      </c>
      <c r="EH291" s="5">
        <f t="shared" si="2200"/>
        <v>0</v>
      </c>
      <c r="EI291" s="5">
        <f t="shared" si="2201"/>
        <v>0</v>
      </c>
      <c r="EJ291" s="5">
        <f t="shared" si="2202"/>
        <v>0</v>
      </c>
      <c r="EK291" s="5">
        <f t="shared" si="2203"/>
        <v>0</v>
      </c>
      <c r="EL291" s="5">
        <f t="shared" si="2204"/>
        <v>0</v>
      </c>
      <c r="EM291" s="5">
        <f t="shared" si="2205"/>
        <v>0</v>
      </c>
      <c r="EN291" s="5">
        <f t="shared" si="2206"/>
        <v>0</v>
      </c>
      <c r="EO291" s="5">
        <f t="shared" si="2207"/>
        <v>0</v>
      </c>
      <c r="EP291" s="5">
        <f t="shared" si="2208"/>
        <v>0</v>
      </c>
      <c r="EQ291" s="5">
        <f t="shared" si="2209"/>
        <v>0</v>
      </c>
      <c r="ER291" s="5">
        <f t="shared" si="2210"/>
        <v>0</v>
      </c>
      <c r="ES291" s="5">
        <f t="shared" si="2211"/>
        <v>0</v>
      </c>
      <c r="ET291" s="5">
        <f t="shared" si="2212"/>
        <v>0</v>
      </c>
      <c r="EU291" s="5">
        <f t="shared" si="2213"/>
        <v>0</v>
      </c>
      <c r="EV291" s="5">
        <f t="shared" si="2214"/>
        <v>0</v>
      </c>
      <c r="EW291" s="5">
        <f t="shared" si="2215"/>
        <v>0</v>
      </c>
      <c r="EX291" s="5">
        <f t="shared" si="2216"/>
        <v>0</v>
      </c>
      <c r="EY291" s="5">
        <f t="shared" si="2217"/>
        <v>0</v>
      </c>
      <c r="EZ291" s="5">
        <f t="shared" si="2218"/>
        <v>0</v>
      </c>
      <c r="FA291" s="5">
        <f t="shared" si="2219"/>
        <v>0</v>
      </c>
      <c r="FB291" s="5">
        <f t="shared" si="2220"/>
        <v>0</v>
      </c>
      <c r="FC291" s="5">
        <f t="shared" si="2221"/>
        <v>0</v>
      </c>
      <c r="FD291" s="5">
        <f t="shared" si="2222"/>
        <v>0</v>
      </c>
      <c r="FE291" s="5">
        <f t="shared" si="2223"/>
        <v>0</v>
      </c>
      <c r="FF291" s="5">
        <f t="shared" si="2224"/>
        <v>0</v>
      </c>
      <c r="FG291" s="5">
        <f t="shared" si="2225"/>
        <v>0</v>
      </c>
      <c r="FH291" s="5">
        <f t="shared" si="2226"/>
        <v>0</v>
      </c>
      <c r="FI291" s="5">
        <f t="shared" si="2227"/>
        <v>0</v>
      </c>
      <c r="FJ291" s="5">
        <f t="shared" si="2228"/>
        <v>0</v>
      </c>
      <c r="FK291" s="5">
        <f t="shared" si="2229"/>
        <v>0</v>
      </c>
      <c r="FL291" s="5">
        <f t="shared" si="2230"/>
        <v>0</v>
      </c>
      <c r="FM291" s="5">
        <f t="shared" si="2231"/>
        <v>0</v>
      </c>
      <c r="FN291" s="5">
        <f t="shared" si="2232"/>
        <v>0</v>
      </c>
      <c r="FO291" s="5">
        <f t="shared" si="2233"/>
        <v>0</v>
      </c>
      <c r="FP291" s="5">
        <f t="shared" si="2234"/>
        <v>0</v>
      </c>
    </row>
    <row r="292" spans="1:172" ht="20.100000000000001" customHeight="1" x14ac:dyDescent="0.3">
      <c r="A292" s="8" t="str">
        <f>IF(Ciclo=4,"Surco 4",IF(Ciclo=5,"Surco 4","NA"))</f>
        <v>NA</v>
      </c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O292" s="58">
        <f>IF($A292="NA",0,IFERROR('6'!O$147/Ciclo,0))</f>
        <v>0</v>
      </c>
      <c r="P292" s="58">
        <f>IF($A292="NA",0,IFERROR('6'!P$147/Ciclo,0))</f>
        <v>0</v>
      </c>
      <c r="Q292" s="58">
        <f>IF($A292="NA",0,IFERROR('6'!Q$147/Ciclo,0))</f>
        <v>0</v>
      </c>
      <c r="R292" s="58">
        <f>IF($A292="NA",0,IFERROR('6'!R$147/Ciclo,0))</f>
        <v>0</v>
      </c>
      <c r="S292" s="58">
        <f>IF($A292="NA",0,IFERROR('6'!S$147/Ciclo,0))</f>
        <v>0</v>
      </c>
      <c r="T292" s="58">
        <f>IF($A292="NA",0,IFERROR('6'!T$147/Ciclo,0))</f>
        <v>0</v>
      </c>
      <c r="U292" s="58">
        <f>IF($A292="NA",0,IFERROR('6'!U$147/Ciclo,0))</f>
        <v>0</v>
      </c>
      <c r="V292" s="58">
        <f>IF($A292="NA",0,IFERROR('6'!V$147/Ciclo,0))</f>
        <v>0</v>
      </c>
      <c r="W292" s="5">
        <f>IF($A292="NA",0,IFERROR('6'!W$147/Ciclo,0))</f>
        <v>0</v>
      </c>
      <c r="X292" s="5">
        <f>IF($A292="NA",0,IFERROR('6'!X$147/Ciclo,0))</f>
        <v>0</v>
      </c>
      <c r="Y292" s="5">
        <f>IF($A292="NA",0,IFERROR('6'!Y$147/Ciclo,0))</f>
        <v>0</v>
      </c>
      <c r="Z292" s="5">
        <f>IF($A292="NA",0,IFERROR('6'!Z$147/Ciclo,0))</f>
        <v>0</v>
      </c>
      <c r="AB292" s="5">
        <f>IF($B$286="Producción",IF($B292&gt;=LI_A,$O292,0),0)</f>
        <v>0</v>
      </c>
      <c r="AC292" s="5">
        <f>IF($B$286="Producción",IF($B292&gt;=LI_B,IF($B292&lt;LS_B,$O292,0),0),0)</f>
        <v>0</v>
      </c>
      <c r="AD292" s="5">
        <f>IF($B$286="Producción",IF($B292&gt;=LI_C,IF($B292&lt;LS_C,$O292,0),0),0)</f>
        <v>0</v>
      </c>
      <c r="AE292" s="5">
        <f>IF($B$286="Producción",IF($B292&lt;LS_D,$O292,0),0)</f>
        <v>0</v>
      </c>
      <c r="AF292" s="5">
        <f t="shared" si="2235"/>
        <v>0</v>
      </c>
      <c r="AI292" s="5">
        <f>IF($C$286="Producción",IF($C292&gt;=LI_A,$P292,0),0)</f>
        <v>0</v>
      </c>
      <c r="AJ292" s="5">
        <f>IF($C$286="Producción",IF($C292&gt;=LI_B,IF($C292&lt;LS_B,$P292,0),0),0)</f>
        <v>0</v>
      </c>
      <c r="AK292" s="5">
        <f>IF($C$286="Producción",IF($C292&gt;=LI_C,IF($C292&lt;LS_C,$P292,0),0),0)</f>
        <v>0</v>
      </c>
      <c r="AL292" s="5">
        <f>IF($C$286="Producción",IF($C292&lt;LS_D,$P292,0),0)</f>
        <v>0</v>
      </c>
      <c r="AM292" s="5">
        <f>IF($C$286="Crecimiento",$P292,0)</f>
        <v>0</v>
      </c>
      <c r="AP292" s="5">
        <f>IF($D$286="Producción",IF($D292&gt;=LI_A,$Q292,0),0)</f>
        <v>0</v>
      </c>
      <c r="AQ292" s="5">
        <f>IF($D$286="Producción",IF($D292&gt;=LI_B,IF($D292&lt;LS_B,$Q292,0),0),0)</f>
        <v>0</v>
      </c>
      <c r="AR292" s="5">
        <f>IF($D$286="Producción",IF($D292&gt;=LI_C,IF($D292&lt;LS_C,$Q292,0),0),0)</f>
        <v>0</v>
      </c>
      <c r="AS292" s="5">
        <f>IF($D$286="Producción",IF($D292&lt;LS_D,$Q292,0),0)</f>
        <v>0</v>
      </c>
      <c r="AT292" s="5">
        <f>IF($D$286="Crecimiento",IF($D292&gt;0,$Q292,0),0)</f>
        <v>0</v>
      </c>
      <c r="AW292" s="5">
        <f>IF($E$286="Producción",IF($E292&gt;=LI_A,$R292,0),0)</f>
        <v>0</v>
      </c>
      <c r="AX292" s="5">
        <f>IF($E$286="Producción",IF($E292&gt;=LI_B,IF($E292&lt;LS_B,$R292,0),0),0)</f>
        <v>0</v>
      </c>
      <c r="AY292" s="5">
        <f>IF($E$286="Producción",IF($E292&gt;=LI_C,IF($E292&lt;LS_C,$R292,0),0),0)</f>
        <v>0</v>
      </c>
      <c r="AZ292" s="5">
        <f>IF($E$286="Producción",IF($E292&lt;LS_D,$R292,0),0)</f>
        <v>0</v>
      </c>
      <c r="BA292" s="5">
        <f>IF($E$286="Crecimiento",$R292,0)</f>
        <v>0</v>
      </c>
      <c r="BD292" s="5">
        <f>IF($F$286="Producción",IF($F292&gt;=LI_A,$S292,0),0)</f>
        <v>0</v>
      </c>
      <c r="BE292" s="5">
        <f>IF($F$286="Producción",IF($F292&gt;=LI_B,IF($F292&lt;LS_B,$S292,0),0),0)</f>
        <v>0</v>
      </c>
      <c r="BF292" s="5">
        <f>IF($F$286="Producción",IF($F292&gt;=LI_C,IF($F292&lt;LS_C,$S292,0),0),0)</f>
        <v>0</v>
      </c>
      <c r="BG292" s="5">
        <f>IF($F$286="Producción",IF($F292&lt;LS_D,$S292,0),0)</f>
        <v>0</v>
      </c>
      <c r="BH292" s="5">
        <f>IF($F$286="Crecimiento",$S292,0)</f>
        <v>0</v>
      </c>
      <c r="BK292" s="5">
        <f>IF($G$286="Producción",IF($G292&gt;=LI_A,$T292,0),0)</f>
        <v>0</v>
      </c>
      <c r="BL292" s="5">
        <f>IF($G$286="Producción",IF($G292&gt;=LI_B,IF($G292&lt;LS_B,$T292,0),0),0)</f>
        <v>0</v>
      </c>
      <c r="BM292" s="5">
        <f>IF($G$286="Producción",IF($G292&gt;=LI_C,IF($G292&lt;LS_C,$T292,0),0),0)</f>
        <v>0</v>
      </c>
      <c r="BN292" s="5">
        <f>IF($G$286="Producción",IF($G292&lt;LS_D,$T292,0),0)</f>
        <v>0</v>
      </c>
      <c r="BO292" s="5">
        <f>IF($G$286="Crecimiento",$T292,0)</f>
        <v>0</v>
      </c>
      <c r="BR292" s="5">
        <f>IF($H$286="Producción",IF($H292&gt;=LI_A,$U292,0),0)</f>
        <v>0</v>
      </c>
      <c r="BS292" s="5">
        <f>IF($H$286="Producción",IF($H292&gt;=LI_B,IF($H292&lt;LS_B,$U292,0),0),0)</f>
        <v>0</v>
      </c>
      <c r="BT292" s="5">
        <f>IF($H$286="Producción",IF($H292&gt;=LI_C,IF($H292&lt;LS_C,$U292,0),0),0)</f>
        <v>0</v>
      </c>
      <c r="BU292" s="5">
        <f>IF($H$286="Producción",IF($H292&lt;LS_D,$U292,0),0)</f>
        <v>0</v>
      </c>
      <c r="BV292" s="5">
        <f>IF($H$286="Crecimiento",$T292,0)</f>
        <v>0</v>
      </c>
      <c r="BY292" s="5">
        <f>IF($I$286="Producción",IF($I292&gt;=LI_A,$V292,0),0)</f>
        <v>0</v>
      </c>
      <c r="BZ292" s="5">
        <f>IF($I$286="Producción",IF($I292&gt;=LI_B,IF($I292&lt;LS_B,$V292,0),0),0)</f>
        <v>0</v>
      </c>
      <c r="CA292" s="5">
        <f>IF($I$286="Producción",IF($I292&gt;=LI_C,IF($I292&lt;LS_C,$V292,0),0),0)</f>
        <v>0</v>
      </c>
      <c r="CB292" s="5">
        <f>IF($I$286="Producción",IF($I292&lt;LS_D,$V292,0),0)</f>
        <v>0</v>
      </c>
      <c r="CC292" s="5">
        <f>IF($I$286="Crecimiento",$V292,0)</f>
        <v>0</v>
      </c>
      <c r="CF292" s="5">
        <f>IF($J$286="Producción",IF($J292&gt;=LI_A,$W292,0),0)</f>
        <v>0</v>
      </c>
      <c r="CG292" s="5">
        <f>IF($J$286="Producción",IF($J292&gt;=LI_B,IF($J292&lt;LS_B,$W292,0),0),0)</f>
        <v>0</v>
      </c>
      <c r="CH292" s="5">
        <f>IF($J$286="Producción",IF($J292&gt;=LI_C,IF($J292&lt;LS_C,$W292,0),0),0)</f>
        <v>0</v>
      </c>
      <c r="CI292" s="5">
        <f>IF($J$286="Producción",IF($J292&lt;LS_D,$W292,0),0)</f>
        <v>0</v>
      </c>
      <c r="CJ292" s="5">
        <f>IF($J$286="Crecimiento",$W292,0)</f>
        <v>0</v>
      </c>
      <c r="CM292" s="5">
        <f>IF($K$286="Producción",IF($K292&gt;=LI_A,$X292,0),0)</f>
        <v>0</v>
      </c>
      <c r="CN292" s="5">
        <f>IF($K$286="Producción",IF($K292&gt;=LI_B,IF($K292&lt;LS_B,$X292,0),0),0)</f>
        <v>0</v>
      </c>
      <c r="CO292" s="5">
        <f>IF($K$286="Producción",IF($K292&gt;=LI_C,IF($K292&lt;LS_C,$X292,0),0),0)</f>
        <v>0</v>
      </c>
      <c r="CP292" s="5">
        <f>IF($K$286="Producción",IF($K292&lt;LS_D,$X292,0),0)</f>
        <v>0</v>
      </c>
      <c r="CQ292" s="5">
        <f>IF($K$286="Crecimiento",$X292,0)</f>
        <v>0</v>
      </c>
      <c r="CT292" s="5">
        <f>IF($L$286="Producción",IF($L292&gt;=LI_A,$Y292,0),0)</f>
        <v>0</v>
      </c>
      <c r="CU292" s="5">
        <f>IF($L$286="Producción",IF($L292&gt;=LI_B,IF($L292&lt;LS_B,$Y292,0),0),0)</f>
        <v>0</v>
      </c>
      <c r="CV292" s="5">
        <f>IF($L$286="Producción",IF($L292&gt;=LI_C,IF($L292&lt;LS_C,$Y292,0),0),0)</f>
        <v>0</v>
      </c>
      <c r="CW292" s="5">
        <f>IF($L$286="Producción",IF($L292&lt;LS_D,$Y292,0),0)</f>
        <v>0</v>
      </c>
      <c r="CX292" s="5">
        <f>IF($L$286="Crecimiento",$Y292,0)</f>
        <v>0</v>
      </c>
      <c r="DA292" s="5">
        <f>IF($M$286="Producción",IF($M292&gt;=LI_A,$Z292,0),0)</f>
        <v>0</v>
      </c>
      <c r="DB292" s="5">
        <f>IF($M$286="Producción",IF($M292&gt;=LI_B,IF($M292&lt;LS_B,$Z292,0),0),0)</f>
        <v>0</v>
      </c>
      <c r="DC292" s="5">
        <f>IF($M$286="Producción",IF($M292&gt;=LI_C,IF($M292&lt;LS_C,$Z292,0),0),0)</f>
        <v>0</v>
      </c>
      <c r="DD292" s="5">
        <f>IF($M$286="Producción",IF($M292&lt;LS_D,$Z292,0),0)</f>
        <v>0</v>
      </c>
      <c r="DE292" s="5">
        <f>IF($M$286="Crecimiento",$Z292,0)</f>
        <v>0</v>
      </c>
      <c r="DI292" s="5">
        <f t="shared" si="2175"/>
        <v>0</v>
      </c>
      <c r="DJ292" s="5">
        <f t="shared" si="2176"/>
        <v>0</v>
      </c>
      <c r="DK292" s="5">
        <f t="shared" si="2177"/>
        <v>0</v>
      </c>
      <c r="DL292" s="5">
        <f t="shared" si="2178"/>
        <v>0</v>
      </c>
      <c r="DM292" s="5">
        <f t="shared" si="2179"/>
        <v>0</v>
      </c>
      <c r="DN292" s="5">
        <f t="shared" si="2180"/>
        <v>0</v>
      </c>
      <c r="DO292" s="5">
        <f t="shared" si="2181"/>
        <v>0</v>
      </c>
      <c r="DP292" s="5">
        <f t="shared" si="2182"/>
        <v>0</v>
      </c>
      <c r="DQ292" s="5">
        <f t="shared" si="2183"/>
        <v>0</v>
      </c>
      <c r="DR292" s="5">
        <f t="shared" si="2184"/>
        <v>0</v>
      </c>
      <c r="DS292" s="5">
        <f t="shared" si="2185"/>
        <v>0</v>
      </c>
      <c r="DT292" s="5">
        <f t="shared" si="2186"/>
        <v>0</v>
      </c>
      <c r="DU292" s="5">
        <f t="shared" si="2187"/>
        <v>0</v>
      </c>
      <c r="DV292" s="5">
        <f t="shared" si="2188"/>
        <v>0</v>
      </c>
      <c r="DW292" s="5">
        <f t="shared" si="2189"/>
        <v>0</v>
      </c>
      <c r="DX292" s="5">
        <f t="shared" si="2190"/>
        <v>0</v>
      </c>
      <c r="DY292" s="5">
        <f t="shared" si="2191"/>
        <v>0</v>
      </c>
      <c r="DZ292" s="5">
        <f t="shared" si="2192"/>
        <v>0</v>
      </c>
      <c r="EA292" s="5">
        <f t="shared" si="2193"/>
        <v>0</v>
      </c>
      <c r="EB292" s="5">
        <f t="shared" si="2194"/>
        <v>0</v>
      </c>
      <c r="EC292" s="5">
        <f t="shared" si="2195"/>
        <v>0</v>
      </c>
      <c r="ED292" s="5">
        <f t="shared" si="2196"/>
        <v>0</v>
      </c>
      <c r="EE292" s="5">
        <f t="shared" si="2197"/>
        <v>0</v>
      </c>
      <c r="EF292" s="5">
        <f t="shared" si="2198"/>
        <v>0</v>
      </c>
      <c r="EG292" s="5">
        <f t="shared" si="2199"/>
        <v>0</v>
      </c>
      <c r="EH292" s="5">
        <f t="shared" si="2200"/>
        <v>0</v>
      </c>
      <c r="EI292" s="5">
        <f t="shared" si="2201"/>
        <v>0</v>
      </c>
      <c r="EJ292" s="5">
        <f t="shared" si="2202"/>
        <v>0</v>
      </c>
      <c r="EK292" s="5">
        <f t="shared" si="2203"/>
        <v>0</v>
      </c>
      <c r="EL292" s="5">
        <f t="shared" si="2204"/>
        <v>0</v>
      </c>
      <c r="EM292" s="5">
        <f t="shared" si="2205"/>
        <v>0</v>
      </c>
      <c r="EN292" s="5">
        <f t="shared" si="2206"/>
        <v>0</v>
      </c>
      <c r="EO292" s="5">
        <f t="shared" si="2207"/>
        <v>0</v>
      </c>
      <c r="EP292" s="5">
        <f t="shared" si="2208"/>
        <v>0</v>
      </c>
      <c r="EQ292" s="5">
        <f t="shared" si="2209"/>
        <v>0</v>
      </c>
      <c r="ER292" s="5">
        <f t="shared" si="2210"/>
        <v>0</v>
      </c>
      <c r="ES292" s="5">
        <f t="shared" si="2211"/>
        <v>0</v>
      </c>
      <c r="ET292" s="5">
        <f t="shared" si="2212"/>
        <v>0</v>
      </c>
      <c r="EU292" s="5">
        <f t="shared" si="2213"/>
        <v>0</v>
      </c>
      <c r="EV292" s="5">
        <f t="shared" si="2214"/>
        <v>0</v>
      </c>
      <c r="EW292" s="5">
        <f t="shared" si="2215"/>
        <v>0</v>
      </c>
      <c r="EX292" s="5">
        <f t="shared" si="2216"/>
        <v>0</v>
      </c>
      <c r="EY292" s="5">
        <f t="shared" si="2217"/>
        <v>0</v>
      </c>
      <c r="EZ292" s="5">
        <f t="shared" si="2218"/>
        <v>0</v>
      </c>
      <c r="FA292" s="5">
        <f t="shared" si="2219"/>
        <v>0</v>
      </c>
      <c r="FB292" s="5">
        <f t="shared" si="2220"/>
        <v>0</v>
      </c>
      <c r="FC292" s="5">
        <f t="shared" si="2221"/>
        <v>0</v>
      </c>
      <c r="FD292" s="5">
        <f t="shared" si="2222"/>
        <v>0</v>
      </c>
      <c r="FE292" s="5">
        <f t="shared" si="2223"/>
        <v>0</v>
      </c>
      <c r="FF292" s="5">
        <f t="shared" si="2224"/>
        <v>0</v>
      </c>
      <c r="FG292" s="5">
        <f t="shared" si="2225"/>
        <v>0</v>
      </c>
      <c r="FH292" s="5">
        <f t="shared" si="2226"/>
        <v>0</v>
      </c>
      <c r="FI292" s="5">
        <f t="shared" si="2227"/>
        <v>0</v>
      </c>
      <c r="FJ292" s="5">
        <f t="shared" si="2228"/>
        <v>0</v>
      </c>
      <c r="FK292" s="5">
        <f t="shared" si="2229"/>
        <v>0</v>
      </c>
      <c r="FL292" s="5">
        <f t="shared" si="2230"/>
        <v>0</v>
      </c>
      <c r="FM292" s="5">
        <f t="shared" si="2231"/>
        <v>0</v>
      </c>
      <c r="FN292" s="5">
        <f t="shared" si="2232"/>
        <v>0</v>
      </c>
      <c r="FO292" s="5">
        <f t="shared" si="2233"/>
        <v>0</v>
      </c>
      <c r="FP292" s="5">
        <f t="shared" si="2234"/>
        <v>0</v>
      </c>
    </row>
    <row r="293" spans="1:172" ht="20.100000000000001" customHeight="1" x14ac:dyDescent="0.3">
      <c r="A293" s="9" t="str">
        <f>IF(Ciclo=5,"Surco 5","NA")</f>
        <v>NA</v>
      </c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O293" s="58">
        <f>IF($A293="NA",0,IFERROR('6'!O$147/Ciclo,0))</f>
        <v>0</v>
      </c>
      <c r="P293" s="58">
        <f>IF($A293="NA",0,IFERROR('6'!P$147/Ciclo,0))</f>
        <v>0</v>
      </c>
      <c r="Q293" s="58">
        <f>IF($A293="NA",0,IFERROR('6'!Q$147/Ciclo,0))</f>
        <v>0</v>
      </c>
      <c r="R293" s="58">
        <f>IF($A293="NA",0,IFERROR('6'!R$147/Ciclo,0))</f>
        <v>0</v>
      </c>
      <c r="S293" s="58">
        <f>IF($A293="NA",0,IFERROR('6'!S$147/Ciclo,0))</f>
        <v>0</v>
      </c>
      <c r="T293" s="58">
        <f>IF($A293="NA",0,IFERROR('6'!T$147/Ciclo,0))</f>
        <v>0</v>
      </c>
      <c r="U293" s="58">
        <f>IF($A293="NA",0,IFERROR('6'!U$147/Ciclo,0))</f>
        <v>0</v>
      </c>
      <c r="V293" s="58">
        <f>IF($A293="NA",0,IFERROR('6'!V$147/Ciclo,0))</f>
        <v>0</v>
      </c>
      <c r="W293" s="5">
        <f>IF($A293="NA",0,IFERROR('6'!W$147/Ciclo,0))</f>
        <v>0</v>
      </c>
      <c r="X293" s="5">
        <f>IF($A293="NA",0,IFERROR('6'!X$147/Ciclo,0))</f>
        <v>0</v>
      </c>
      <c r="Y293" s="5">
        <f>IF($A293="NA",0,IFERROR('6'!Y$147/Ciclo,0))</f>
        <v>0</v>
      </c>
      <c r="Z293" s="5">
        <f>IF($A293="NA",0,IFERROR('6'!Z$147/Ciclo,0))</f>
        <v>0</v>
      </c>
      <c r="AB293" s="5">
        <f>IF($B$286="Producción",IF($B293&gt;=LI_A,$O293,0),0)</f>
        <v>0</v>
      </c>
      <c r="AC293" s="5">
        <f>IF($B$286="Producción",IF($B293&gt;=LI_B,IF($B293&lt;LS_B,$O293,0),0),0)</f>
        <v>0</v>
      </c>
      <c r="AD293" s="5">
        <f>IF($B$286="Producción",IF($B293&gt;=LI_C,IF($B293&lt;LS_C,$O293,0),0),0)</f>
        <v>0</v>
      </c>
      <c r="AE293" s="5">
        <f>IF($B$286="Producción",IF($B293&lt;LS_D,$O293,0),0)</f>
        <v>0</v>
      </c>
      <c r="AF293" s="5">
        <f t="shared" si="2235"/>
        <v>0</v>
      </c>
      <c r="AI293" s="5">
        <f>IF($C$286="Producción",IF($C293&gt;=LI_A,$P293,0),0)</f>
        <v>0</v>
      </c>
      <c r="AJ293" s="5">
        <f>IF($C$286="Producción",IF($C293&gt;=LI_B,IF($C293&lt;LS_B,$P293,0),0),0)</f>
        <v>0</v>
      </c>
      <c r="AK293" s="5">
        <f>IF($C$286="Producción",IF($C293&gt;=LI_C,IF($C293&lt;LS_C,$P293,0),0),0)</f>
        <v>0</v>
      </c>
      <c r="AL293" s="5">
        <f>IF($C$286="Producción",IF($C293&lt;LS_D,$P293,0),0)</f>
        <v>0</v>
      </c>
      <c r="AM293" s="5">
        <f>IF($C$286="Crecimiento",$P293,0)</f>
        <v>0</v>
      </c>
      <c r="AP293" s="5">
        <f>IF($D$286="Producción",IF($D293&gt;=LI_A,$Q293,0),0)</f>
        <v>0</v>
      </c>
      <c r="AQ293" s="5">
        <f>IF($D$286="Producción",IF($D293&gt;=LI_B,IF($D293&lt;LS_B,$Q293,0),0),0)</f>
        <v>0</v>
      </c>
      <c r="AR293" s="5">
        <f>IF($D$286="Producción",IF($D293&gt;=LI_C,IF($D293&lt;LS_C,$Q293,0),0),0)</f>
        <v>0</v>
      </c>
      <c r="AS293" s="5">
        <f>IF($D$286="Producción",IF($D293&lt;LS_D,$Q293,0),0)</f>
        <v>0</v>
      </c>
      <c r="AT293" s="5">
        <f>IF($D$286="Crecimiento",IF($D293&gt;0,$Q293,0),0)</f>
        <v>0</v>
      </c>
      <c r="AW293" s="5">
        <f>IF($E$286="Producción",IF($E293&gt;=LI_A,$R293,0),0)</f>
        <v>0</v>
      </c>
      <c r="AX293" s="5">
        <f>IF($E$286="Producción",IF($E293&gt;=LI_B,IF($E293&lt;LS_B,$R293,0),0),0)</f>
        <v>0</v>
      </c>
      <c r="AY293" s="5">
        <f>IF($E$286="Producción",IF($E293&gt;=LI_C,IF($E293&lt;LS_C,$R293,0),0),0)</f>
        <v>0</v>
      </c>
      <c r="AZ293" s="5">
        <f>IF($E$286="Producción",IF($E293&lt;LS_D,$R293,0),0)</f>
        <v>0</v>
      </c>
      <c r="BA293" s="5">
        <f>IF($E$286="Crecimiento",$R293,0)</f>
        <v>0</v>
      </c>
      <c r="BD293" s="5">
        <f>IF($F$286="Producción",IF($F293&gt;=LI_A,$S293,0),0)</f>
        <v>0</v>
      </c>
      <c r="BE293" s="5">
        <f>IF($F$286="Producción",IF($F293&gt;=LI_B,IF($F293&lt;LS_B,$S293,0),0),0)</f>
        <v>0</v>
      </c>
      <c r="BF293" s="5">
        <f>IF($F$286="Producción",IF($F293&gt;=LI_C,IF($F293&lt;LS_C,$S293,0),0),0)</f>
        <v>0</v>
      </c>
      <c r="BG293" s="5">
        <f>IF($F$286="Producción",IF($F293&lt;LS_D,$S293,0),0)</f>
        <v>0</v>
      </c>
      <c r="BH293" s="5">
        <f>IF($F$286="Crecimiento",$S293,0)</f>
        <v>0</v>
      </c>
      <c r="BK293" s="5">
        <f>IF($G$286="Producción",IF($G293&gt;=LI_A,$T293,0),0)</f>
        <v>0</v>
      </c>
      <c r="BL293" s="5">
        <f>IF($G$286="Producción",IF($G293&gt;=LI_B,IF($G293&lt;LS_B,$T293,0),0),0)</f>
        <v>0</v>
      </c>
      <c r="BM293" s="5">
        <f>IF($G$286="Producción",IF($G293&gt;=LI_C,IF($G293&lt;LS_C,$T293,0),0),0)</f>
        <v>0</v>
      </c>
      <c r="BN293" s="5">
        <f>IF($G$286="Producción",IF($G293&lt;LS_D,$T293,0),0)</f>
        <v>0</v>
      </c>
      <c r="BO293" s="5">
        <f>IF($G$286="Crecimiento",$T293,0)</f>
        <v>0</v>
      </c>
      <c r="BR293" s="5">
        <f>IF($H$286="Producción",IF($H293&gt;=LI_A,$U293,0),0)</f>
        <v>0</v>
      </c>
      <c r="BS293" s="5">
        <f>IF($H$286="Producción",IF($H293&gt;=LI_B,IF($H293&lt;LS_B,$U293,0),0),0)</f>
        <v>0</v>
      </c>
      <c r="BT293" s="5">
        <f>IF($H$286="Producción",IF($H293&gt;=LI_C,IF($H293&lt;LS_C,$U293,0),0),0)</f>
        <v>0</v>
      </c>
      <c r="BU293" s="5">
        <f>IF($H$286="Producción",IF($H293&lt;LS_D,$U293,0),0)</f>
        <v>0</v>
      </c>
      <c r="BV293" s="5">
        <f>IF($H$286="Crecimiento",$T293,0)</f>
        <v>0</v>
      </c>
      <c r="BY293" s="5">
        <f>IF($I$286="Producción",IF($I293&gt;=LI_A,$V293,0),0)</f>
        <v>0</v>
      </c>
      <c r="BZ293" s="5">
        <f>IF($I$286="Producción",IF($I293&gt;=LI_B,IF($I293&lt;LS_B,$V293,0),0),0)</f>
        <v>0</v>
      </c>
      <c r="CA293" s="5">
        <f>IF($I$286="Producción",IF($I293&gt;=LI_C,IF($I293&lt;LS_C,$V293,0),0),0)</f>
        <v>0</v>
      </c>
      <c r="CB293" s="5">
        <f>IF($I$286="Producción",IF($I293&lt;LS_D,$V293,0),0)</f>
        <v>0</v>
      </c>
      <c r="CC293" s="5">
        <f>IF($I$286="Crecimiento",$V293,0)</f>
        <v>0</v>
      </c>
      <c r="CF293" s="5">
        <f>IF($J$286="Producción",IF($J293&gt;=LI_A,$W293,0),0)</f>
        <v>0</v>
      </c>
      <c r="CG293" s="5">
        <f>IF($J$286="Producción",IF($J293&gt;=LI_B,IF($J293&lt;LS_B,$W293,0),0),0)</f>
        <v>0</v>
      </c>
      <c r="CH293" s="5">
        <f>IF($J$286="Producción",IF($J293&gt;=LI_C,IF($J293&lt;LS_C,$W293,0),0),0)</f>
        <v>0</v>
      </c>
      <c r="CI293" s="5">
        <f>IF($J$286="Producción",IF($J293&lt;LS_D,$W293,0),0)</f>
        <v>0</v>
      </c>
      <c r="CJ293" s="5">
        <f>IF($J$286="Crecimiento",$W293,0)</f>
        <v>0</v>
      </c>
      <c r="CM293" s="5">
        <f>IF($K$286="Producción",IF($K293&gt;=LI_A,$X293,0),0)</f>
        <v>0</v>
      </c>
      <c r="CN293" s="5">
        <f>IF($K$286="Producción",IF($K293&gt;=LI_B,IF($K293&lt;LS_B,$X293,0),0),0)</f>
        <v>0</v>
      </c>
      <c r="CO293" s="5">
        <f>IF($K$286="Producción",IF($K293&gt;=LI_C,IF($K293&lt;LS_C,$X293,0),0),0)</f>
        <v>0</v>
      </c>
      <c r="CP293" s="5">
        <f>IF($K$286="Producción",IF($K293&lt;LS_D,$X293,0),0)</f>
        <v>0</v>
      </c>
      <c r="CQ293" s="5">
        <f>IF($K$286="Crecimiento",$X293,0)</f>
        <v>0</v>
      </c>
      <c r="CT293" s="5">
        <f>IF($L$286="Producción",IF($L293&gt;=LI_A,$Y293,0),0)</f>
        <v>0</v>
      </c>
      <c r="CU293" s="5">
        <f>IF($L$286="Producción",IF($L293&gt;=LI_B,IF($L293&lt;LS_B,$Y293,0),0),0)</f>
        <v>0</v>
      </c>
      <c r="CV293" s="5">
        <f>IF($L$286="Producción",IF($L293&gt;=LI_C,IF($L293&lt;LS_C,$Y293,0),0),0)</f>
        <v>0</v>
      </c>
      <c r="CW293" s="5">
        <f>IF($L$286="Producción",IF($L293&lt;LS_D,$Y293,0),0)</f>
        <v>0</v>
      </c>
      <c r="CX293" s="5">
        <f>IF($L$286="Crecimiento",$Y293,0)</f>
        <v>0</v>
      </c>
      <c r="DA293" s="5">
        <f>IF($M$286="Producción",IF($M293&gt;=LI_A,$Z293,0),0)</f>
        <v>0</v>
      </c>
      <c r="DB293" s="5">
        <f>IF($M$286="Producción",IF($M293&gt;=LI_B,IF($M293&lt;LS_B,$Z293,0),0),0)</f>
        <v>0</v>
      </c>
      <c r="DC293" s="5">
        <f>IF($M$286="Producción",IF($M293&gt;=LI_C,IF($M293&lt;LS_C,$Z293,0),0),0)</f>
        <v>0</v>
      </c>
      <c r="DD293" s="5">
        <f>IF($M$286="Producción",IF($M293&lt;LS_D,$Z293,0),0)</f>
        <v>0</v>
      </c>
      <c r="DE293" s="5">
        <f>IF($M$286="Crecimiento",$Z293,0)</f>
        <v>0</v>
      </c>
      <c r="DI293" s="5">
        <f t="shared" si="2175"/>
        <v>0</v>
      </c>
      <c r="DJ293" s="5">
        <f t="shared" si="2176"/>
        <v>0</v>
      </c>
      <c r="DK293" s="5">
        <f t="shared" si="2177"/>
        <v>0</v>
      </c>
      <c r="DL293" s="5">
        <f t="shared" si="2178"/>
        <v>0</v>
      </c>
      <c r="DM293" s="5">
        <f t="shared" si="2179"/>
        <v>0</v>
      </c>
      <c r="DN293" s="5">
        <f t="shared" si="2180"/>
        <v>0</v>
      </c>
      <c r="DO293" s="5">
        <f t="shared" si="2181"/>
        <v>0</v>
      </c>
      <c r="DP293" s="5">
        <f t="shared" si="2182"/>
        <v>0</v>
      </c>
      <c r="DQ293" s="5">
        <f t="shared" si="2183"/>
        <v>0</v>
      </c>
      <c r="DR293" s="5">
        <f t="shared" si="2184"/>
        <v>0</v>
      </c>
      <c r="DS293" s="5">
        <f t="shared" si="2185"/>
        <v>0</v>
      </c>
      <c r="DT293" s="5">
        <f t="shared" si="2186"/>
        <v>0</v>
      </c>
      <c r="DU293" s="5">
        <f t="shared" si="2187"/>
        <v>0</v>
      </c>
      <c r="DV293" s="5">
        <f t="shared" si="2188"/>
        <v>0</v>
      </c>
      <c r="DW293" s="5">
        <f t="shared" si="2189"/>
        <v>0</v>
      </c>
      <c r="DX293" s="5">
        <f t="shared" si="2190"/>
        <v>0</v>
      </c>
      <c r="DY293" s="5">
        <f t="shared" si="2191"/>
        <v>0</v>
      </c>
      <c r="DZ293" s="5">
        <f t="shared" si="2192"/>
        <v>0</v>
      </c>
      <c r="EA293" s="5">
        <f t="shared" si="2193"/>
        <v>0</v>
      </c>
      <c r="EB293" s="5">
        <f t="shared" si="2194"/>
        <v>0</v>
      </c>
      <c r="EC293" s="5">
        <f t="shared" si="2195"/>
        <v>0</v>
      </c>
      <c r="ED293" s="5">
        <f t="shared" si="2196"/>
        <v>0</v>
      </c>
      <c r="EE293" s="5">
        <f t="shared" si="2197"/>
        <v>0</v>
      </c>
      <c r="EF293" s="5">
        <f t="shared" si="2198"/>
        <v>0</v>
      </c>
      <c r="EG293" s="5">
        <f t="shared" si="2199"/>
        <v>0</v>
      </c>
      <c r="EH293" s="5">
        <f t="shared" si="2200"/>
        <v>0</v>
      </c>
      <c r="EI293" s="5">
        <f t="shared" si="2201"/>
        <v>0</v>
      </c>
      <c r="EJ293" s="5">
        <f t="shared" si="2202"/>
        <v>0</v>
      </c>
      <c r="EK293" s="5">
        <f t="shared" si="2203"/>
        <v>0</v>
      </c>
      <c r="EL293" s="5">
        <f t="shared" si="2204"/>
        <v>0</v>
      </c>
      <c r="EM293" s="5">
        <f t="shared" si="2205"/>
        <v>0</v>
      </c>
      <c r="EN293" s="5">
        <f t="shared" si="2206"/>
        <v>0</v>
      </c>
      <c r="EO293" s="5">
        <f t="shared" si="2207"/>
        <v>0</v>
      </c>
      <c r="EP293" s="5">
        <f t="shared" si="2208"/>
        <v>0</v>
      </c>
      <c r="EQ293" s="5">
        <f t="shared" si="2209"/>
        <v>0</v>
      </c>
      <c r="ER293" s="5">
        <f t="shared" si="2210"/>
        <v>0</v>
      </c>
      <c r="ES293" s="5">
        <f t="shared" si="2211"/>
        <v>0</v>
      </c>
      <c r="ET293" s="5">
        <f t="shared" si="2212"/>
        <v>0</v>
      </c>
      <c r="EU293" s="5">
        <f t="shared" si="2213"/>
        <v>0</v>
      </c>
      <c r="EV293" s="5">
        <f t="shared" si="2214"/>
        <v>0</v>
      </c>
      <c r="EW293" s="5">
        <f t="shared" si="2215"/>
        <v>0</v>
      </c>
      <c r="EX293" s="5">
        <f t="shared" si="2216"/>
        <v>0</v>
      </c>
      <c r="EY293" s="5">
        <f t="shared" si="2217"/>
        <v>0</v>
      </c>
      <c r="EZ293" s="5">
        <f t="shared" si="2218"/>
        <v>0</v>
      </c>
      <c r="FA293" s="5">
        <f t="shared" si="2219"/>
        <v>0</v>
      </c>
      <c r="FB293" s="5">
        <f t="shared" si="2220"/>
        <v>0</v>
      </c>
      <c r="FC293" s="5">
        <f t="shared" si="2221"/>
        <v>0</v>
      </c>
      <c r="FD293" s="5">
        <f t="shared" si="2222"/>
        <v>0</v>
      </c>
      <c r="FE293" s="5">
        <f t="shared" si="2223"/>
        <v>0</v>
      </c>
      <c r="FF293" s="5">
        <f t="shared" si="2224"/>
        <v>0</v>
      </c>
      <c r="FG293" s="5">
        <f t="shared" si="2225"/>
        <v>0</v>
      </c>
      <c r="FH293" s="5">
        <f t="shared" si="2226"/>
        <v>0</v>
      </c>
      <c r="FI293" s="5">
        <f t="shared" si="2227"/>
        <v>0</v>
      </c>
      <c r="FJ293" s="5">
        <f t="shared" si="2228"/>
        <v>0</v>
      </c>
      <c r="FK293" s="5">
        <f t="shared" si="2229"/>
        <v>0</v>
      </c>
      <c r="FL293" s="5">
        <f t="shared" si="2230"/>
        <v>0</v>
      </c>
      <c r="FM293" s="5">
        <f t="shared" si="2231"/>
        <v>0</v>
      </c>
      <c r="FN293" s="5">
        <f t="shared" si="2232"/>
        <v>0</v>
      </c>
      <c r="FO293" s="5">
        <f t="shared" si="2233"/>
        <v>0</v>
      </c>
      <c r="FP293" s="5">
        <f t="shared" si="2234"/>
        <v>0</v>
      </c>
    </row>
    <row r="294" spans="1:172" ht="20.100000000000001" customHeight="1" x14ac:dyDescent="0.3">
      <c r="A294" s="172">
        <f>N_L37</f>
        <v>0</v>
      </c>
      <c r="B294" s="363" t="s">
        <v>37</v>
      </c>
      <c r="C294" s="363" t="s">
        <v>37</v>
      </c>
      <c r="D294" s="363" t="s">
        <v>37</v>
      </c>
      <c r="E294" s="363" t="s">
        <v>37</v>
      </c>
      <c r="F294" s="363" t="s">
        <v>37</v>
      </c>
      <c r="G294" s="363" t="s">
        <v>37</v>
      </c>
      <c r="H294" s="363" t="s">
        <v>37</v>
      </c>
      <c r="I294" s="363" t="s">
        <v>37</v>
      </c>
      <c r="J294" s="363" t="s">
        <v>37</v>
      </c>
      <c r="K294" s="363" t="s">
        <v>37</v>
      </c>
      <c r="L294" s="363" t="s">
        <v>37</v>
      </c>
      <c r="M294" s="363" t="s">
        <v>37</v>
      </c>
    </row>
    <row r="295" spans="1:172" ht="20.100000000000001" customHeight="1" x14ac:dyDescent="0.3">
      <c r="A295" s="175" t="s">
        <v>238</v>
      </c>
      <c r="B295" s="174">
        <f>SUM(DI297:DM301)/100</f>
        <v>0</v>
      </c>
      <c r="C295" s="174">
        <f>SUM(DN297:DR301)/100</f>
        <v>0</v>
      </c>
      <c r="D295" s="174">
        <f>SUM(DS297:DW301)/100</f>
        <v>0</v>
      </c>
      <c r="E295" s="174">
        <f>SUM(DX297:EB301)/100</f>
        <v>0</v>
      </c>
      <c r="F295" s="174">
        <f>SUM(EC297:EG301)/100</f>
        <v>0</v>
      </c>
      <c r="G295" s="174">
        <f>SUM(EH297:EL301)/100</f>
        <v>0</v>
      </c>
      <c r="H295" s="174">
        <f>SUM(EM297:EQ301)/100</f>
        <v>0</v>
      </c>
      <c r="I295" s="174">
        <f>SUM(ER297:EV301)/100</f>
        <v>0</v>
      </c>
      <c r="J295" s="174">
        <f>SUM(EW297:FA301)/100</f>
        <v>0</v>
      </c>
      <c r="K295" s="174">
        <f>SUM(FB297:FF301)/100</f>
        <v>0</v>
      </c>
      <c r="L295" s="174">
        <f>SUM(FG297:FK301)/100</f>
        <v>0</v>
      </c>
      <c r="M295" s="174">
        <f>SUM(FL297:FP301)/100</f>
        <v>0</v>
      </c>
    </row>
    <row r="296" spans="1:172" ht="20.100000000000001" customHeight="1" x14ac:dyDescent="0.3">
      <c r="A296" s="151" t="s">
        <v>239</v>
      </c>
      <c r="B296" s="152" t="e">
        <f t="shared" ref="B296:M296" si="2236">B295/Lote_37</f>
        <v>#DIV/0!</v>
      </c>
      <c r="C296" s="152" t="e">
        <f t="shared" si="2236"/>
        <v>#DIV/0!</v>
      </c>
      <c r="D296" s="152" t="e">
        <f t="shared" si="2236"/>
        <v>#DIV/0!</v>
      </c>
      <c r="E296" s="152" t="e">
        <f t="shared" si="2236"/>
        <v>#DIV/0!</v>
      </c>
      <c r="F296" s="152" t="e">
        <f t="shared" si="2236"/>
        <v>#DIV/0!</v>
      </c>
      <c r="G296" s="152" t="e">
        <f t="shared" si="2236"/>
        <v>#DIV/0!</v>
      </c>
      <c r="H296" s="152" t="e">
        <f t="shared" si="2236"/>
        <v>#DIV/0!</v>
      </c>
      <c r="I296" s="152" t="e">
        <f t="shared" si="2236"/>
        <v>#DIV/0!</v>
      </c>
      <c r="J296" s="152" t="e">
        <f t="shared" si="2236"/>
        <v>#DIV/0!</v>
      </c>
      <c r="K296" s="152" t="e">
        <f t="shared" si="2236"/>
        <v>#DIV/0!</v>
      </c>
      <c r="L296" s="152" t="e">
        <f t="shared" si="2236"/>
        <v>#DIV/0!</v>
      </c>
      <c r="M296" s="152" t="e">
        <f t="shared" si="2236"/>
        <v>#DIV/0!</v>
      </c>
    </row>
    <row r="297" spans="1:172" ht="20.100000000000001" customHeight="1" x14ac:dyDescent="0.3">
      <c r="A297" s="8" t="s">
        <v>302</v>
      </c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O297" s="58">
        <f>IFERROR('6'!O$151/Ciclo,0)</f>
        <v>0</v>
      </c>
      <c r="P297" s="58">
        <f>IFERROR('6'!P$151/Ciclo,0)</f>
        <v>0</v>
      </c>
      <c r="Q297" s="58">
        <f>IFERROR('6'!Q$151/Ciclo,0)</f>
        <v>0</v>
      </c>
      <c r="R297" s="58">
        <f>IFERROR('6'!R$151/Ciclo,0)</f>
        <v>0</v>
      </c>
      <c r="S297" s="58">
        <f>IFERROR('6'!S$151/Ciclo,0)</f>
        <v>0</v>
      </c>
      <c r="T297" s="58">
        <f>IFERROR('6'!T$151/Ciclo,0)</f>
        <v>0</v>
      </c>
      <c r="U297" s="58">
        <f>IFERROR('6'!U$151/Ciclo,0)</f>
        <v>0</v>
      </c>
      <c r="V297" s="58">
        <f>IFERROR('6'!V$151/Ciclo,0)</f>
        <v>0</v>
      </c>
      <c r="W297" s="5">
        <f>IFERROR('6'!W$151/Ciclo,0)</f>
        <v>0</v>
      </c>
      <c r="X297" s="5">
        <f>IFERROR('6'!X$151/Ciclo,0)</f>
        <v>0</v>
      </c>
      <c r="Y297" s="5">
        <f>IFERROR('6'!Y$151/Ciclo,0)</f>
        <v>0</v>
      </c>
      <c r="Z297" s="5">
        <f>IFERROR('6'!Z$151/Ciclo,0)</f>
        <v>0</v>
      </c>
      <c r="AB297" s="5">
        <f>IF($B$294="Producción",IF($B297&gt;=LI_A,$O297,0),0)</f>
        <v>0</v>
      </c>
      <c r="AC297" s="5">
        <f>IF($B$294="Producción",IF($B297&gt;=LI_B,IF($B297&lt;LS_B,$O297,0),0),0)</f>
        <v>0</v>
      </c>
      <c r="AD297" s="5">
        <f>IF($B$294="Producción",IF($B297&gt;=LI_C,IF($B297&lt;LS_C,$O297,0),0),0)</f>
        <v>0</v>
      </c>
      <c r="AE297" s="5">
        <f>IF($B$294="Producción",IF($B297&lt;LS_D,$O297,0),0)</f>
        <v>0</v>
      </c>
      <c r="AF297" s="5">
        <f>IF($B$294="Crecimiento",$O297,0)</f>
        <v>0</v>
      </c>
      <c r="AG297" s="5">
        <f>IF($B294="Siembra",'6'!$O$7,0)</f>
        <v>0</v>
      </c>
      <c r="AH297" s="5">
        <f>IF($B294="Abandono",'6'!$O$7,0)</f>
        <v>0</v>
      </c>
      <c r="AI297" s="5">
        <f>IF($C$294="Producción",IF($C297&gt;=LI_A,$P297,0),0)</f>
        <v>0</v>
      </c>
      <c r="AJ297" s="5">
        <f>IF($C$294="Producción",IF($C297&gt;=LI_B,IF($C297&lt;LS_B,$P297,0),0),0)</f>
        <v>0</v>
      </c>
      <c r="AK297" s="5">
        <f>IF($C$294="Producción",IF($C297&gt;=LI_C,IF($C297&lt;LS_C,$P297,0),0),0)</f>
        <v>0</v>
      </c>
      <c r="AL297" s="5">
        <f>IF($C$294="Producción",IF($C297&lt;LS_D,$P297,0),0)</f>
        <v>0</v>
      </c>
      <c r="AM297" s="5">
        <f>IF($C$294="Crecimiento",$P297,0)</f>
        <v>0</v>
      </c>
      <c r="AN297" s="5">
        <f>IF($C294="Siembra",'6'!$P$7,0)</f>
        <v>0</v>
      </c>
      <c r="AO297" s="5">
        <f>IF($C294="Abandono",'6'!$P$7,0)</f>
        <v>0</v>
      </c>
      <c r="AP297" s="5">
        <f>IF($D$294="Producción",IF($D297&gt;=LI_A,$Q297,0),0)</f>
        <v>0</v>
      </c>
      <c r="AQ297" s="5">
        <f>IF($D$294="Producción",IF($D297&gt;=LI_B,IF($D297&lt;LS_B,$Q297,0),0),0)</f>
        <v>0</v>
      </c>
      <c r="AR297" s="5">
        <f>IF($D$294="Producción",IF($D297&gt;=LI_C,IF($D297&lt;LS_C,$Q297,0),0),0)</f>
        <v>0</v>
      </c>
      <c r="AS297" s="5">
        <f>IF($D$294="Producción",IF($D297&lt;LS_D,$Q297,0),0)</f>
        <v>0</v>
      </c>
      <c r="AT297" s="5">
        <f>IF($D$294="Crecimiento",IF($D297&gt;0,$Q297,0),0)</f>
        <v>0</v>
      </c>
      <c r="AU297" s="5">
        <f>IF($D294="Siembra",'6'!$Q$7,0)</f>
        <v>0</v>
      </c>
      <c r="AV297" s="5">
        <f>IF($D294="Abandono",'6'!$Q$7,0)</f>
        <v>0</v>
      </c>
      <c r="AW297" s="5">
        <f>IF($E$294="Producción",IF($E297&gt;=LI_A,$R297,0),0)</f>
        <v>0</v>
      </c>
      <c r="AX297" s="5">
        <f>IF($E$294="Producción",IF($E297&gt;=LI_B,IF($E297&lt;LS_B,$R297,0),0),0)</f>
        <v>0</v>
      </c>
      <c r="AY297" s="5">
        <f>IF($E$294="Producción",IF($E297&gt;=LI_C,IF($E297&lt;LS_C,$R297,0),0),0)</f>
        <v>0</v>
      </c>
      <c r="AZ297" s="5">
        <f>IF($E$294="Producción",IF($E297&lt;LS_D,$R297,0),0)</f>
        <v>0</v>
      </c>
      <c r="BA297" s="5">
        <f>IF($E$294="Crecimiento",$R297,0)</f>
        <v>0</v>
      </c>
      <c r="BB297" s="5">
        <f>IF($E294="Siembra",'6'!$R$7,0)</f>
        <v>0</v>
      </c>
      <c r="BC297" s="5">
        <f>IF($E294="Abandono",'6'!$R$7,0)</f>
        <v>0</v>
      </c>
      <c r="BD297" s="5">
        <f>IF($F$294="Producción",IF($F297&gt;=LI_A,$S297,0),0)</f>
        <v>0</v>
      </c>
      <c r="BE297" s="5">
        <f>IF($F$294="Producción",IF($F297&gt;=LI_B,IF($F297&lt;LS_B,$S297,0),0),0)</f>
        <v>0</v>
      </c>
      <c r="BF297" s="5">
        <f>IF($F$294="Producción",IF($F297&gt;=LI_C,IF($F297&lt;LS_C,$S297,0),0),0)</f>
        <v>0</v>
      </c>
      <c r="BG297" s="5">
        <f>IF($F$294="Producción",IF($F297&lt;LS_D,$S297,0),0)</f>
        <v>0</v>
      </c>
      <c r="BH297" s="5">
        <f>IF($F$294="Crecimiento",$S297,0)</f>
        <v>0</v>
      </c>
      <c r="BI297" s="5">
        <f>IF($F294="Siembra",'6'!$S$7,0)</f>
        <v>0</v>
      </c>
      <c r="BJ297" s="5">
        <f>IF($F294="Abandono",'6'!$S$7,0)</f>
        <v>0</v>
      </c>
      <c r="BK297" s="5">
        <f>IF($G$294="Producción",IF($G297&gt;=LI_A,$T297,0),0)</f>
        <v>0</v>
      </c>
      <c r="BL297" s="5">
        <f>IF($G$294="Producción",IF($G297&gt;=LI_B,IF($G297&lt;LS_B,$T297,0),0),0)</f>
        <v>0</v>
      </c>
      <c r="BM297" s="5">
        <f>IF($G$294="Producción",IF($G297&gt;=LI_C,IF($G297&lt;LS_C,$T297,0),0),0)</f>
        <v>0</v>
      </c>
      <c r="BN297" s="5">
        <f>IF($G$294="Producción",IF($G297&lt;LS_D,$T297,0),0)</f>
        <v>0</v>
      </c>
      <c r="BO297" s="5">
        <f>IF($G$294="Crecimiento",$T297,0)</f>
        <v>0</v>
      </c>
      <c r="BP297" s="5">
        <f>IF($G294="Siembra",'6'!$T$7,0)</f>
        <v>0</v>
      </c>
      <c r="BQ297" s="5">
        <f>IF($G294="Abandono",'6'!$T$7,0)</f>
        <v>0</v>
      </c>
      <c r="BR297" s="5">
        <f>IF($H$294="Producción",IF($H297&gt;=LI_A,$U297,0),0)</f>
        <v>0</v>
      </c>
      <c r="BS297" s="5">
        <f>IF($H$294="Producción",IF($H297&gt;=LI_B,IF($H297&lt;LS_B,$U297,0),0),0)</f>
        <v>0</v>
      </c>
      <c r="BT297" s="5">
        <f>IF($H$294="Producción",IF($H297&gt;=LI_C,IF($H297&lt;LS_C,$U297,0),0),0)</f>
        <v>0</v>
      </c>
      <c r="BU297" s="5">
        <f>IF($H$294="Producción",IF($H297&lt;LS_D,$U297,0),0)</f>
        <v>0</v>
      </c>
      <c r="BV297" s="5">
        <f>IF($H$294="Crecimiento",$T297,0)</f>
        <v>0</v>
      </c>
      <c r="BW297" s="5">
        <f>IF($H294="Siembra",'6'!$U$7,0)</f>
        <v>0</v>
      </c>
      <c r="BX297" s="5">
        <f>IF($H294="Abandono",'6'!$U$7,0)</f>
        <v>0</v>
      </c>
      <c r="BY297" s="5">
        <f>IF($I$294="Producción",IF($I297&gt;=LI_A,$V297,0),0)</f>
        <v>0</v>
      </c>
      <c r="BZ297" s="5">
        <f>IF($I$294="Producción",IF($I297&gt;=LI_B,IF($I297&lt;LS_B,$V297,0),0),0)</f>
        <v>0</v>
      </c>
      <c r="CA297" s="5">
        <f>IF($I$294="Producción",IF($I297&gt;=LI_C,IF($I297&lt;LS_C,$V297,0),0),0)</f>
        <v>0</v>
      </c>
      <c r="CB297" s="5">
        <f>IF($I$294="Producción",IF($I297&lt;LS_D,$V297,0),0)</f>
        <v>0</v>
      </c>
      <c r="CC297" s="5">
        <f>IF($I$294="Crecimiento",$V297,0)</f>
        <v>0</v>
      </c>
      <c r="CD297" s="5">
        <f>IF($I294="Siembra",'6'!$V$7,0)</f>
        <v>0</v>
      </c>
      <c r="CE297" s="5">
        <f>IF($I294="Abandono",'6'!$V$7,0)</f>
        <v>0</v>
      </c>
      <c r="CF297" s="5">
        <f>IF($J$294="Producción",IF($J297&gt;=LI_A,$W297,0),0)</f>
        <v>0</v>
      </c>
      <c r="CG297" s="5">
        <f>IF($J$294="Producción",IF($J297&gt;=LI_B,IF($J297&lt;LS_B,$W297,0),0),0)</f>
        <v>0</v>
      </c>
      <c r="CH297" s="5">
        <f>IF($J$294="Producción",IF($J297&gt;=LI_C,IF($J297&lt;LS_C,$W297,0),0),0)</f>
        <v>0</v>
      </c>
      <c r="CI297" s="5">
        <f>IF($J$294="Producción",IF($J297&lt;LS_D,$W297,0),0)</f>
        <v>0</v>
      </c>
      <c r="CJ297" s="5">
        <f>IF($J$294="Crecimiento",$W297,0)</f>
        <v>0</v>
      </c>
      <c r="CK297" s="5">
        <f>IF($J294="Siembra",'6'!$W$7,0)</f>
        <v>0</v>
      </c>
      <c r="CL297" s="5">
        <f>IF($J294="Abandono",'6'!$W$7,0)</f>
        <v>0</v>
      </c>
      <c r="CM297" s="5">
        <f>IF($K$294="Producción",IF($K297&gt;=LI_A,$X297,0),0)</f>
        <v>0</v>
      </c>
      <c r="CN297" s="5">
        <f>IF($K$294="Producción",IF($K297&gt;=LI_B,IF($K297&lt;LS_B,$X297,0),0),0)</f>
        <v>0</v>
      </c>
      <c r="CO297" s="5">
        <f>IF($K$294="Producción",IF($K297&gt;=LI_C,IF($K297&lt;LS_C,$X297,0),0),0)</f>
        <v>0</v>
      </c>
      <c r="CP297" s="5">
        <f>IF($K$294="Producción",IF($K297&lt;LS_D,$X297,0),0)</f>
        <v>0</v>
      </c>
      <c r="CQ297" s="5">
        <f>IF($K$294="Crecimiento",$X297,0)</f>
        <v>0</v>
      </c>
      <c r="CR297" s="5">
        <f>IF($K294="Siembra",'6'!$X$7,0)</f>
        <v>0</v>
      </c>
      <c r="CS297" s="5">
        <f>IF($K294="Abandono",'6'!$X$7,0)</f>
        <v>0</v>
      </c>
      <c r="CT297" s="5">
        <f>IF($L$294="Producción",IF($L297&gt;=LI_A,$Y297,0),0)</f>
        <v>0</v>
      </c>
      <c r="CU297" s="5">
        <f>IF($L$294="Producción",IF($L297&gt;=LI_B,IF($L297&lt;LS_B,$Y297,0),0),0)</f>
        <v>0</v>
      </c>
      <c r="CV297" s="5">
        <f>IF($L$294="Producción",IF($L297&gt;=LI_C,IF($L297&lt;LS_C,$Y297,0),0),0)</f>
        <v>0</v>
      </c>
      <c r="CW297" s="5">
        <f>IF($L$294="Producción",IF($L297&lt;LS_D,$Y297,0),0)</f>
        <v>0</v>
      </c>
      <c r="CX297" s="5">
        <f>IF($L$294="Crecimiento",$Y297,0)</f>
        <v>0</v>
      </c>
      <c r="CY297" s="5">
        <f>IF($L294="Siembra",'6'!$Y$7,0)</f>
        <v>0</v>
      </c>
      <c r="CZ297" s="5">
        <f>IF($L294="Abandono",'6'!$Y$7,0)</f>
        <v>0</v>
      </c>
      <c r="DA297" s="5">
        <f>IF($M$294="Producción",IF($M297&gt;=LI_A,$Z297,0),0)</f>
        <v>0</v>
      </c>
      <c r="DB297" s="5">
        <f>IF($M$294="Producción",IF($M297&gt;=LI_B,IF($M297&lt;LS_B,$Z297,0),0),0)</f>
        <v>0</v>
      </c>
      <c r="DC297" s="5">
        <f>IF($M$294="Producción",IF($M297&gt;=LI_C,IF($M297&lt;LS_C,$Z297,0),0),0)</f>
        <v>0</v>
      </c>
      <c r="DD297" s="5">
        <f>IF($M$294="Producción",IF($M297&lt;LS_D,$Z297,0),0)</f>
        <v>0</v>
      </c>
      <c r="DE297" s="5">
        <f>IF($M$294="Crecimiento",$Z297,0)</f>
        <v>0</v>
      </c>
      <c r="DF297" s="5">
        <f>IF($M294="Siembra",'6'!$Z$7,0)</f>
        <v>0</v>
      </c>
      <c r="DG297" s="5">
        <f>IF($M294="Abandono",'6'!$Z$7,0)</f>
        <v>0</v>
      </c>
      <c r="DI297" s="5">
        <f t="shared" ref="DI297:DI301" si="2237">AB297*$B297</f>
        <v>0</v>
      </c>
      <c r="DJ297" s="5">
        <f t="shared" ref="DJ297:DJ301" si="2238">AC297*$B297</f>
        <v>0</v>
      </c>
      <c r="DK297" s="5">
        <f t="shared" ref="DK297:DK301" si="2239">AD297*$B297</f>
        <v>0</v>
      </c>
      <c r="DL297" s="5">
        <f t="shared" ref="DL297:DL301" si="2240">AE297*$B297</f>
        <v>0</v>
      </c>
      <c r="DM297" s="5">
        <f t="shared" ref="DM297:DM301" si="2241">AF297*$B297</f>
        <v>0</v>
      </c>
      <c r="DN297" s="5">
        <f t="shared" ref="DN297:DN301" si="2242">AI297*$C297</f>
        <v>0</v>
      </c>
      <c r="DO297" s="5">
        <f t="shared" ref="DO297:DO301" si="2243">AJ297*$C297</f>
        <v>0</v>
      </c>
      <c r="DP297" s="5">
        <f t="shared" ref="DP297:DP301" si="2244">AK297*$C297</f>
        <v>0</v>
      </c>
      <c r="DQ297" s="5">
        <f t="shared" ref="DQ297:DQ301" si="2245">AL297*$C297</f>
        <v>0</v>
      </c>
      <c r="DR297" s="5">
        <f t="shared" ref="DR297:DR301" si="2246">AM297*$C297</f>
        <v>0</v>
      </c>
      <c r="DS297" s="5">
        <f t="shared" ref="DS297:DS301" si="2247">AP297*$D297</f>
        <v>0</v>
      </c>
      <c r="DT297" s="5">
        <f t="shared" ref="DT297:DT301" si="2248">AQ297*$D297</f>
        <v>0</v>
      </c>
      <c r="DU297" s="5">
        <f t="shared" ref="DU297:DU301" si="2249">AR297*$D297</f>
        <v>0</v>
      </c>
      <c r="DV297" s="5">
        <f t="shared" ref="DV297:DV301" si="2250">AS297*$D297</f>
        <v>0</v>
      </c>
      <c r="DW297" s="5">
        <f t="shared" ref="DW297:DW301" si="2251">AT297*$D297</f>
        <v>0</v>
      </c>
      <c r="DX297" s="5">
        <f t="shared" ref="DX297:DX301" si="2252">AW297*$E297</f>
        <v>0</v>
      </c>
      <c r="DY297" s="5">
        <f t="shared" ref="DY297:DY301" si="2253">AX297*$E297</f>
        <v>0</v>
      </c>
      <c r="DZ297" s="5">
        <f t="shared" ref="DZ297:DZ301" si="2254">AY297*$E297</f>
        <v>0</v>
      </c>
      <c r="EA297" s="5">
        <f t="shared" ref="EA297:EA301" si="2255">AZ297*$E297</f>
        <v>0</v>
      </c>
      <c r="EB297" s="5">
        <f t="shared" ref="EB297:EB301" si="2256">BA297*$E297</f>
        <v>0</v>
      </c>
      <c r="EC297" s="5">
        <f t="shared" ref="EC297:EC301" si="2257">BD297*$F297</f>
        <v>0</v>
      </c>
      <c r="ED297" s="5">
        <f t="shared" ref="ED297:ED301" si="2258">BE297*$F297</f>
        <v>0</v>
      </c>
      <c r="EE297" s="5">
        <f t="shared" ref="EE297:EE301" si="2259">BF297*$F297</f>
        <v>0</v>
      </c>
      <c r="EF297" s="5">
        <f t="shared" ref="EF297:EF301" si="2260">BG297*$F297</f>
        <v>0</v>
      </c>
      <c r="EG297" s="5">
        <f t="shared" ref="EG297:EG301" si="2261">BH297*$F297</f>
        <v>0</v>
      </c>
      <c r="EH297" s="5">
        <f t="shared" ref="EH297:EH301" si="2262">BK297*$G297</f>
        <v>0</v>
      </c>
      <c r="EI297" s="5">
        <f t="shared" ref="EI297:EI301" si="2263">BL297*$G297</f>
        <v>0</v>
      </c>
      <c r="EJ297" s="5">
        <f t="shared" ref="EJ297:EJ301" si="2264">BM297*$G297</f>
        <v>0</v>
      </c>
      <c r="EK297" s="5">
        <f t="shared" ref="EK297:EK301" si="2265">BN297*$G297</f>
        <v>0</v>
      </c>
      <c r="EL297" s="5">
        <f t="shared" ref="EL297:EL301" si="2266">BO297*$G297</f>
        <v>0</v>
      </c>
      <c r="EM297" s="5">
        <f t="shared" ref="EM297:EM301" si="2267">BR297*$H297</f>
        <v>0</v>
      </c>
      <c r="EN297" s="5">
        <f t="shared" ref="EN297:EN301" si="2268">BS297*$H297</f>
        <v>0</v>
      </c>
      <c r="EO297" s="5">
        <f t="shared" ref="EO297:EO301" si="2269">BT297*$H297</f>
        <v>0</v>
      </c>
      <c r="EP297" s="5">
        <f t="shared" ref="EP297:EP301" si="2270">BU297*$H297</f>
        <v>0</v>
      </c>
      <c r="EQ297" s="5">
        <f t="shared" ref="EQ297:EQ301" si="2271">BV297*$H297</f>
        <v>0</v>
      </c>
      <c r="ER297" s="5">
        <f t="shared" ref="ER297:ER301" si="2272">BY297*$I297</f>
        <v>0</v>
      </c>
      <c r="ES297" s="5">
        <f t="shared" ref="ES297:ES301" si="2273">BZ297*$I297</f>
        <v>0</v>
      </c>
      <c r="ET297" s="5">
        <f t="shared" ref="ET297:ET301" si="2274">CA297*$I297</f>
        <v>0</v>
      </c>
      <c r="EU297" s="5">
        <f t="shared" ref="EU297:EU301" si="2275">CB297*$I297</f>
        <v>0</v>
      </c>
      <c r="EV297" s="5">
        <f t="shared" ref="EV297:EV301" si="2276">CC297*$I297</f>
        <v>0</v>
      </c>
      <c r="EW297" s="5">
        <f t="shared" ref="EW297:EW301" si="2277">CF297*$J297</f>
        <v>0</v>
      </c>
      <c r="EX297" s="5">
        <f t="shared" ref="EX297:EX301" si="2278">CG297*$J297</f>
        <v>0</v>
      </c>
      <c r="EY297" s="5">
        <f t="shared" ref="EY297:EY301" si="2279">CH297*$J297</f>
        <v>0</v>
      </c>
      <c r="EZ297" s="5">
        <f t="shared" ref="EZ297:EZ301" si="2280">CI297*$J297</f>
        <v>0</v>
      </c>
      <c r="FA297" s="5">
        <f t="shared" ref="FA297:FA301" si="2281">CJ297*$J297</f>
        <v>0</v>
      </c>
      <c r="FB297" s="5">
        <f t="shared" ref="FB297:FB301" si="2282">CM297*$K297</f>
        <v>0</v>
      </c>
      <c r="FC297" s="5">
        <f t="shared" ref="FC297:FC301" si="2283">CN297*$K297</f>
        <v>0</v>
      </c>
      <c r="FD297" s="5">
        <f t="shared" ref="FD297:FD301" si="2284">CO297*$K297</f>
        <v>0</v>
      </c>
      <c r="FE297" s="5">
        <f t="shared" ref="FE297:FE301" si="2285">CP297*$K297</f>
        <v>0</v>
      </c>
      <c r="FF297" s="5">
        <f t="shared" ref="FF297:FF301" si="2286">CQ297*$K297</f>
        <v>0</v>
      </c>
      <c r="FG297" s="5">
        <f t="shared" ref="FG297:FG301" si="2287">CT297*$L297</f>
        <v>0</v>
      </c>
      <c r="FH297" s="5">
        <f t="shared" ref="FH297:FH301" si="2288">CU297*$L297</f>
        <v>0</v>
      </c>
      <c r="FI297" s="5">
        <f t="shared" ref="FI297:FI301" si="2289">CV297*$L297</f>
        <v>0</v>
      </c>
      <c r="FJ297" s="5">
        <f t="shared" ref="FJ297:FJ301" si="2290">CW297*$L297</f>
        <v>0</v>
      </c>
      <c r="FK297" s="5">
        <f t="shared" ref="FK297:FK301" si="2291">CX297*$L297</f>
        <v>0</v>
      </c>
      <c r="FL297" s="5">
        <f t="shared" ref="FL297:FL301" si="2292">DA297*$M297</f>
        <v>0</v>
      </c>
      <c r="FM297" s="5">
        <f t="shared" ref="FM297:FM301" si="2293">DB297*$M297</f>
        <v>0</v>
      </c>
      <c r="FN297" s="5">
        <f t="shared" ref="FN297:FN301" si="2294">DC297*$M297</f>
        <v>0</v>
      </c>
      <c r="FO297" s="5">
        <f t="shared" ref="FO297:FO301" si="2295">DD297*$M297</f>
        <v>0</v>
      </c>
      <c r="FP297" s="5">
        <f t="shared" ref="FP297:FP301" si="2296">DE297*$M297</f>
        <v>0</v>
      </c>
    </row>
    <row r="298" spans="1:172" ht="20.100000000000001" customHeight="1" x14ac:dyDescent="0.3">
      <c r="A298" s="8" t="s">
        <v>303</v>
      </c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O298" s="58">
        <f>IFERROR('6'!O$151/Ciclo,0)</f>
        <v>0</v>
      </c>
      <c r="P298" s="58">
        <f>IFERROR('6'!P$151/Ciclo,0)</f>
        <v>0</v>
      </c>
      <c r="Q298" s="58">
        <f>IFERROR('6'!Q$151/Ciclo,0)</f>
        <v>0</v>
      </c>
      <c r="R298" s="58">
        <f>IFERROR('6'!R$151/Ciclo,0)</f>
        <v>0</v>
      </c>
      <c r="S298" s="58">
        <f>IFERROR('6'!S$151/Ciclo,0)</f>
        <v>0</v>
      </c>
      <c r="T298" s="58">
        <f>IFERROR('6'!T$151/Ciclo,0)</f>
        <v>0</v>
      </c>
      <c r="U298" s="58">
        <f>IFERROR('6'!U$151/Ciclo,0)</f>
        <v>0</v>
      </c>
      <c r="V298" s="58">
        <f>IFERROR('6'!V$151/Ciclo,0)</f>
        <v>0</v>
      </c>
      <c r="W298" s="5">
        <f>IFERROR('6'!W$151/Ciclo,0)</f>
        <v>0</v>
      </c>
      <c r="X298" s="5">
        <f>IFERROR('6'!X$151/Ciclo,0)</f>
        <v>0</v>
      </c>
      <c r="Y298" s="5">
        <f>IFERROR('6'!Y$151/Ciclo,0)</f>
        <v>0</v>
      </c>
      <c r="Z298" s="5">
        <f>IFERROR('6'!Z$151/Ciclo,0)</f>
        <v>0</v>
      </c>
      <c r="AB298" s="5">
        <f>IF($B$294="Producción",IF($B298&gt;=LI_A,$O298,0),0)</f>
        <v>0</v>
      </c>
      <c r="AC298" s="5">
        <f>IF($B$294="Producción",IF($B298&gt;=LI_B,IF($B298&lt;LS_B,$O298,0),0),0)</f>
        <v>0</v>
      </c>
      <c r="AD298" s="5">
        <f>IF($B$294="Producción",IF($B298&gt;=LI_C,IF($B298&lt;LS_C,$O298,0),0),0)</f>
        <v>0</v>
      </c>
      <c r="AE298" s="5">
        <f>IF($B$294="Producción",IF($B298&lt;LS_D,$O298,0),0)</f>
        <v>0</v>
      </c>
      <c r="AF298" s="5">
        <f t="shared" ref="AF298:AF301" si="2297">IF($B$294="Crecimiento",$O298,0)</f>
        <v>0</v>
      </c>
      <c r="AI298" s="5">
        <f>IF($C$294="Producción",IF($C298&gt;=LI_A,$P298,0),0)</f>
        <v>0</v>
      </c>
      <c r="AJ298" s="5">
        <f>IF($C$294="Producción",IF($C298&gt;=LI_B,IF($C298&lt;LS_B,$P298,0),0),0)</f>
        <v>0</v>
      </c>
      <c r="AK298" s="5">
        <f>IF($C$294="Producción",IF($C298&gt;=LI_C,IF($C298&lt;LS_C,$P298,0),0),0)</f>
        <v>0</v>
      </c>
      <c r="AL298" s="5">
        <f>IF($C$294="Producción",IF($C298&lt;LS_D,$P298,0),0)</f>
        <v>0</v>
      </c>
      <c r="AM298" s="5">
        <f>IF($C$294="Crecimiento",$P298,0)</f>
        <v>0</v>
      </c>
      <c r="AP298" s="5">
        <f>IF($D$294="Producción",IF($D298&gt;=LI_A,$Q298,0),0)</f>
        <v>0</v>
      </c>
      <c r="AQ298" s="5">
        <f>IF($D$294="Producción",IF($D298&gt;=LI_B,IF($D298&lt;LS_B,$Q298,0),0),0)</f>
        <v>0</v>
      </c>
      <c r="AR298" s="5">
        <f>IF($D$294="Producción",IF($D298&gt;=LI_C,IF($D298&lt;LS_C,$Q298,0),0),0)</f>
        <v>0</v>
      </c>
      <c r="AS298" s="5">
        <f>IF($D$294="Producción",IF($D298&lt;LS_D,$Q298,0),0)</f>
        <v>0</v>
      </c>
      <c r="AT298" s="5">
        <f>IF($D$294="Crecimiento",IF($D298&gt;0,$Q298,0),0)</f>
        <v>0</v>
      </c>
      <c r="AW298" s="5">
        <f>IF($E$294="Producción",IF($E298&gt;=LI_A,$R298,0),0)</f>
        <v>0</v>
      </c>
      <c r="AX298" s="5">
        <f>IF($E$294="Producción",IF($E298&gt;=LI_B,IF($E298&lt;LS_B,$R298,0),0),0)</f>
        <v>0</v>
      </c>
      <c r="AY298" s="5">
        <f>IF($E$294="Producción",IF($E298&gt;=LI_C,IF($E298&lt;LS_C,$R298,0),0),0)</f>
        <v>0</v>
      </c>
      <c r="AZ298" s="5">
        <f>IF($E$294="Producción",IF($E298&lt;LS_D,$R298,0),0)</f>
        <v>0</v>
      </c>
      <c r="BA298" s="5">
        <f>IF($E$294="Crecimiento",$R298,0)</f>
        <v>0</v>
      </c>
      <c r="BD298" s="5">
        <f>IF($F$294="Producción",IF($F298&gt;=LI_A,$S298,0),0)</f>
        <v>0</v>
      </c>
      <c r="BE298" s="5">
        <f>IF($F$294="Producción",IF($F298&gt;=LI_B,IF($F298&lt;LS_B,$S298,0),0),0)</f>
        <v>0</v>
      </c>
      <c r="BF298" s="5">
        <f>IF($F$294="Producción",IF($F298&gt;=LI_C,IF($F298&lt;LS_C,$S298,0),0),0)</f>
        <v>0</v>
      </c>
      <c r="BG298" s="5">
        <f>IF($F$294="Producción",IF($F298&lt;LS_D,$S298,0),0)</f>
        <v>0</v>
      </c>
      <c r="BH298" s="5">
        <f>IF($F$294="Crecimiento",$S298,0)</f>
        <v>0</v>
      </c>
      <c r="BK298" s="5">
        <f>IF($G$294="Producción",IF($G298&gt;=LI_A,$T298,0),0)</f>
        <v>0</v>
      </c>
      <c r="BL298" s="5">
        <f>IF($G$294="Producción",IF($G298&gt;=LI_B,IF($G298&lt;LS_B,$T298,0),0),0)</f>
        <v>0</v>
      </c>
      <c r="BM298" s="5">
        <f>IF($G$294="Producción",IF($G298&gt;=LI_C,IF($G298&lt;LS_C,$T298,0),0),0)</f>
        <v>0</v>
      </c>
      <c r="BN298" s="5">
        <f>IF($G$294="Producción",IF($G298&lt;LS_D,$T298,0),0)</f>
        <v>0</v>
      </c>
      <c r="BO298" s="5">
        <f>IF($G$294="Crecimiento",$T298,0)</f>
        <v>0</v>
      </c>
      <c r="BR298" s="5">
        <f>IF($H$294="Producción",IF($H298&gt;=LI_A,$U298,0),0)</f>
        <v>0</v>
      </c>
      <c r="BS298" s="5">
        <f>IF($H$294="Producción",IF($H298&gt;=LI_B,IF($H298&lt;LS_B,$U298,0),0),0)</f>
        <v>0</v>
      </c>
      <c r="BT298" s="5">
        <f>IF($H$294="Producción",IF($H298&gt;=LI_C,IF($H298&lt;LS_C,$U298,0),0),0)</f>
        <v>0</v>
      </c>
      <c r="BU298" s="5">
        <f>IF($H$294="Producción",IF($H298&lt;LS_D,$U298,0),0)</f>
        <v>0</v>
      </c>
      <c r="BV298" s="5">
        <f>IF($H$294="Crecimiento",$T298,0)</f>
        <v>0</v>
      </c>
      <c r="BY298" s="5">
        <f>IF($I$294="Producción",IF($I298&gt;=LI_A,$V298,0),0)</f>
        <v>0</v>
      </c>
      <c r="BZ298" s="5">
        <f>IF($I$294="Producción",IF($I298&gt;=LI_B,IF($I298&lt;LS_B,$V298,0),0),0)</f>
        <v>0</v>
      </c>
      <c r="CA298" s="5">
        <f>IF($I$294="Producción",IF($I298&gt;=LI_C,IF($I298&lt;LS_C,$V298,0),0),0)</f>
        <v>0</v>
      </c>
      <c r="CB298" s="5">
        <f>IF($I$294="Producción",IF($I298&lt;LS_D,$V298,0),0)</f>
        <v>0</v>
      </c>
      <c r="CC298" s="5">
        <f>IF($I$294="Crecimiento",$V298,0)</f>
        <v>0</v>
      </c>
      <c r="CF298" s="5">
        <f>IF($J$294="Producción",IF($J298&gt;=LI_A,$W298,0),0)</f>
        <v>0</v>
      </c>
      <c r="CG298" s="5">
        <f>IF($J$294="Producción",IF($J298&gt;=LI_B,IF($J298&lt;LS_B,$W298,0),0),0)</f>
        <v>0</v>
      </c>
      <c r="CH298" s="5">
        <f>IF($J$294="Producción",IF($J298&gt;=LI_C,IF($J298&lt;LS_C,$W298,0),0),0)</f>
        <v>0</v>
      </c>
      <c r="CI298" s="5">
        <f>IF($J$294="Producción",IF($J298&lt;LS_D,$W298,0),0)</f>
        <v>0</v>
      </c>
      <c r="CJ298" s="5">
        <f>IF($J$294="Crecimiento",$W298,0)</f>
        <v>0</v>
      </c>
      <c r="CM298" s="5">
        <f>IF($K$294="Producción",IF($K298&gt;=LI_A,$X298,0),0)</f>
        <v>0</v>
      </c>
      <c r="CN298" s="5">
        <f>IF($K$294="Producción",IF($K298&gt;=LI_B,IF($K298&lt;LS_B,$X298,0),0),0)</f>
        <v>0</v>
      </c>
      <c r="CO298" s="5">
        <f>IF($K$294="Producción",IF($K298&gt;=LI_C,IF($K298&lt;LS_C,$X298,0),0),0)</f>
        <v>0</v>
      </c>
      <c r="CP298" s="5">
        <f>IF($K$294="Producción",IF($K298&lt;LS_D,$X298,0),0)</f>
        <v>0</v>
      </c>
      <c r="CQ298" s="5">
        <f>IF($K$294="Crecimiento",$X298,0)</f>
        <v>0</v>
      </c>
      <c r="CT298" s="5">
        <f>IF($L$294="Producción",IF($L298&gt;=LI_A,$Y298,0),0)</f>
        <v>0</v>
      </c>
      <c r="CU298" s="5">
        <f>IF($L$294="Producción",IF($L298&gt;=LI_B,IF($L298&lt;LS_B,$Y298,0),0),0)</f>
        <v>0</v>
      </c>
      <c r="CV298" s="5">
        <f>IF($L$294="Producción",IF($L298&gt;=LI_C,IF($L298&lt;LS_C,$Y298,0),0),0)</f>
        <v>0</v>
      </c>
      <c r="CW298" s="5">
        <f>IF($L$294="Producción",IF($L298&lt;LS_D,$Y298,0),0)</f>
        <v>0</v>
      </c>
      <c r="CX298" s="5">
        <f>IF($L$294="Crecimiento",$Y298,0)</f>
        <v>0</v>
      </c>
      <c r="DA298" s="5">
        <f>IF($M$294="Producción",IF($M298&gt;=LI_A,$Z298,0),0)</f>
        <v>0</v>
      </c>
      <c r="DB298" s="5">
        <f>IF($M$294="Producción",IF($M298&gt;=LI_B,IF($M298&lt;LS_B,$Z298,0),0),0)</f>
        <v>0</v>
      </c>
      <c r="DC298" s="5">
        <f>IF($M$294="Producción",IF($M298&gt;=LI_C,IF($M298&lt;LS_C,$Z298,0),0),0)</f>
        <v>0</v>
      </c>
      <c r="DD298" s="5">
        <f>IF($M$294="Producción",IF($M298&lt;LS_D,$Z298,0),0)</f>
        <v>0</v>
      </c>
      <c r="DE298" s="5">
        <f>IF($M$294="Crecimiento",$Z298,0)</f>
        <v>0</v>
      </c>
      <c r="DI298" s="5">
        <f t="shared" si="2237"/>
        <v>0</v>
      </c>
      <c r="DJ298" s="5">
        <f t="shared" si="2238"/>
        <v>0</v>
      </c>
      <c r="DK298" s="5">
        <f t="shared" si="2239"/>
        <v>0</v>
      </c>
      <c r="DL298" s="5">
        <f t="shared" si="2240"/>
        <v>0</v>
      </c>
      <c r="DM298" s="5">
        <f t="shared" si="2241"/>
        <v>0</v>
      </c>
      <c r="DN298" s="5">
        <f t="shared" si="2242"/>
        <v>0</v>
      </c>
      <c r="DO298" s="5">
        <f t="shared" si="2243"/>
        <v>0</v>
      </c>
      <c r="DP298" s="5">
        <f t="shared" si="2244"/>
        <v>0</v>
      </c>
      <c r="DQ298" s="5">
        <f t="shared" si="2245"/>
        <v>0</v>
      </c>
      <c r="DR298" s="5">
        <f t="shared" si="2246"/>
        <v>0</v>
      </c>
      <c r="DS298" s="5">
        <f t="shared" si="2247"/>
        <v>0</v>
      </c>
      <c r="DT298" s="5">
        <f t="shared" si="2248"/>
        <v>0</v>
      </c>
      <c r="DU298" s="5">
        <f t="shared" si="2249"/>
        <v>0</v>
      </c>
      <c r="DV298" s="5">
        <f t="shared" si="2250"/>
        <v>0</v>
      </c>
      <c r="DW298" s="5">
        <f t="shared" si="2251"/>
        <v>0</v>
      </c>
      <c r="DX298" s="5">
        <f t="shared" si="2252"/>
        <v>0</v>
      </c>
      <c r="DY298" s="5">
        <f t="shared" si="2253"/>
        <v>0</v>
      </c>
      <c r="DZ298" s="5">
        <f t="shared" si="2254"/>
        <v>0</v>
      </c>
      <c r="EA298" s="5">
        <f t="shared" si="2255"/>
        <v>0</v>
      </c>
      <c r="EB298" s="5">
        <f t="shared" si="2256"/>
        <v>0</v>
      </c>
      <c r="EC298" s="5">
        <f t="shared" si="2257"/>
        <v>0</v>
      </c>
      <c r="ED298" s="5">
        <f t="shared" si="2258"/>
        <v>0</v>
      </c>
      <c r="EE298" s="5">
        <f t="shared" si="2259"/>
        <v>0</v>
      </c>
      <c r="EF298" s="5">
        <f t="shared" si="2260"/>
        <v>0</v>
      </c>
      <c r="EG298" s="5">
        <f t="shared" si="2261"/>
        <v>0</v>
      </c>
      <c r="EH298" s="5">
        <f t="shared" si="2262"/>
        <v>0</v>
      </c>
      <c r="EI298" s="5">
        <f t="shared" si="2263"/>
        <v>0</v>
      </c>
      <c r="EJ298" s="5">
        <f t="shared" si="2264"/>
        <v>0</v>
      </c>
      <c r="EK298" s="5">
        <f t="shared" si="2265"/>
        <v>0</v>
      </c>
      <c r="EL298" s="5">
        <f t="shared" si="2266"/>
        <v>0</v>
      </c>
      <c r="EM298" s="5">
        <f t="shared" si="2267"/>
        <v>0</v>
      </c>
      <c r="EN298" s="5">
        <f t="shared" si="2268"/>
        <v>0</v>
      </c>
      <c r="EO298" s="5">
        <f t="shared" si="2269"/>
        <v>0</v>
      </c>
      <c r="EP298" s="5">
        <f t="shared" si="2270"/>
        <v>0</v>
      </c>
      <c r="EQ298" s="5">
        <f t="shared" si="2271"/>
        <v>0</v>
      </c>
      <c r="ER298" s="5">
        <f t="shared" si="2272"/>
        <v>0</v>
      </c>
      <c r="ES298" s="5">
        <f t="shared" si="2273"/>
        <v>0</v>
      </c>
      <c r="ET298" s="5">
        <f t="shared" si="2274"/>
        <v>0</v>
      </c>
      <c r="EU298" s="5">
        <f t="shared" si="2275"/>
        <v>0</v>
      </c>
      <c r="EV298" s="5">
        <f t="shared" si="2276"/>
        <v>0</v>
      </c>
      <c r="EW298" s="5">
        <f t="shared" si="2277"/>
        <v>0</v>
      </c>
      <c r="EX298" s="5">
        <f t="shared" si="2278"/>
        <v>0</v>
      </c>
      <c r="EY298" s="5">
        <f t="shared" si="2279"/>
        <v>0</v>
      </c>
      <c r="EZ298" s="5">
        <f t="shared" si="2280"/>
        <v>0</v>
      </c>
      <c r="FA298" s="5">
        <f t="shared" si="2281"/>
        <v>0</v>
      </c>
      <c r="FB298" s="5">
        <f t="shared" si="2282"/>
        <v>0</v>
      </c>
      <c r="FC298" s="5">
        <f t="shared" si="2283"/>
        <v>0</v>
      </c>
      <c r="FD298" s="5">
        <f t="shared" si="2284"/>
        <v>0</v>
      </c>
      <c r="FE298" s="5">
        <f t="shared" si="2285"/>
        <v>0</v>
      </c>
      <c r="FF298" s="5">
        <f t="shared" si="2286"/>
        <v>0</v>
      </c>
      <c r="FG298" s="5">
        <f t="shared" si="2287"/>
        <v>0</v>
      </c>
      <c r="FH298" s="5">
        <f t="shared" si="2288"/>
        <v>0</v>
      </c>
      <c r="FI298" s="5">
        <f t="shared" si="2289"/>
        <v>0</v>
      </c>
      <c r="FJ298" s="5">
        <f t="shared" si="2290"/>
        <v>0</v>
      </c>
      <c r="FK298" s="5">
        <f t="shared" si="2291"/>
        <v>0</v>
      </c>
      <c r="FL298" s="5">
        <f t="shared" si="2292"/>
        <v>0</v>
      </c>
      <c r="FM298" s="5">
        <f t="shared" si="2293"/>
        <v>0</v>
      </c>
      <c r="FN298" s="5">
        <f t="shared" si="2294"/>
        <v>0</v>
      </c>
      <c r="FO298" s="5">
        <f t="shared" si="2295"/>
        <v>0</v>
      </c>
      <c r="FP298" s="5">
        <f t="shared" si="2296"/>
        <v>0</v>
      </c>
    </row>
    <row r="299" spans="1:172" ht="20.100000000000001" customHeight="1" x14ac:dyDescent="0.3">
      <c r="A299" s="8" t="str">
        <f>IF(Ciclo&gt;2,"Surco 3","NA")</f>
        <v>Surco 3</v>
      </c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O299" s="58">
        <f>IF($A299="NA",0,IFERROR('6'!O$151/Ciclo,0))</f>
        <v>0</v>
      </c>
      <c r="P299" s="58">
        <f>IF($A299="NA",0,IFERROR('6'!P$151/Ciclo,0))</f>
        <v>0</v>
      </c>
      <c r="Q299" s="58">
        <f>IF($A299="NA",0,IFERROR('6'!Q$151/Ciclo,0))</f>
        <v>0</v>
      </c>
      <c r="R299" s="58">
        <f>IF($A299="NA",0,IFERROR('6'!R$151/Ciclo,0))</f>
        <v>0</v>
      </c>
      <c r="S299" s="58">
        <f>IF($A299="NA",0,IFERROR('6'!S$151/Ciclo,0))</f>
        <v>0</v>
      </c>
      <c r="T299" s="58">
        <f>IF($A299="NA",0,IFERROR('6'!T$151/Ciclo,0))</f>
        <v>0</v>
      </c>
      <c r="U299" s="58">
        <f>IF($A299="NA",0,IFERROR('6'!U$151/Ciclo,0))</f>
        <v>0</v>
      </c>
      <c r="V299" s="58">
        <f>IF($A299="NA",0,IFERROR('6'!V$151/Ciclo,0))</f>
        <v>0</v>
      </c>
      <c r="W299" s="5">
        <f>IF($A299="NA",0,IFERROR('6'!W$151/Ciclo,0))</f>
        <v>0</v>
      </c>
      <c r="X299" s="5">
        <f>IF($A299="NA",0,IFERROR('6'!X$151/Ciclo,0))</f>
        <v>0</v>
      </c>
      <c r="Y299" s="5">
        <f>IF($A299="NA",0,IFERROR('6'!Y$151/Ciclo,0))</f>
        <v>0</v>
      </c>
      <c r="Z299" s="5">
        <f>IF($A299="NA",0,IFERROR('6'!Z$151/Ciclo,0))</f>
        <v>0</v>
      </c>
      <c r="AB299" s="5">
        <f>IF($B$294="Producción",IF($B299&gt;=LI_A,$O299,0),0)</f>
        <v>0</v>
      </c>
      <c r="AC299" s="5">
        <f>IF($B$294="Producción",IF($B299&gt;=LI_B,IF($B299&lt;LS_B,$O299,0),0),0)</f>
        <v>0</v>
      </c>
      <c r="AD299" s="5">
        <f>IF($B$294="Producción",IF($B299&gt;=LI_C,IF($B299&lt;LS_C,$O299,0),0),0)</f>
        <v>0</v>
      </c>
      <c r="AE299" s="5">
        <f>IF($B$294="Producción",IF($B299&lt;LS_D,$O299,0),0)</f>
        <v>0</v>
      </c>
      <c r="AF299" s="5">
        <f t="shared" si="2297"/>
        <v>0</v>
      </c>
      <c r="AI299" s="5">
        <f>IF($C$294="Producción",IF($C299&gt;=LI_A,$P299,0),0)</f>
        <v>0</v>
      </c>
      <c r="AJ299" s="5">
        <f>IF($C$294="Producción",IF($C299&gt;=LI_B,IF($C299&lt;LS_B,$P299,0),0),0)</f>
        <v>0</v>
      </c>
      <c r="AK299" s="5">
        <f>IF($C$294="Producción",IF($C299&gt;=LI_C,IF($C299&lt;LS_C,$P299,0),0),0)</f>
        <v>0</v>
      </c>
      <c r="AL299" s="5">
        <f>IF($C$294="Producción",IF($C299&lt;LS_D,$P299,0),0)</f>
        <v>0</v>
      </c>
      <c r="AM299" s="5">
        <f>IF($C$294="Crecimiento",$P299,0)</f>
        <v>0</v>
      </c>
      <c r="AP299" s="5">
        <f>IF($D$294="Producción",IF($D299&gt;=LI_A,$Q299,0),0)</f>
        <v>0</v>
      </c>
      <c r="AQ299" s="5">
        <f>IF($D$294="Producción",IF($D299&gt;=LI_B,IF($D299&lt;LS_B,$Q299,0),0),0)</f>
        <v>0</v>
      </c>
      <c r="AR299" s="5">
        <f>IF($D$294="Producción",IF($D299&gt;=LI_C,IF($D299&lt;LS_C,$Q299,0),0),0)</f>
        <v>0</v>
      </c>
      <c r="AS299" s="5">
        <f>IF($D$294="Producción",IF($D299&lt;LS_D,$Q299,0),0)</f>
        <v>0</v>
      </c>
      <c r="AT299" s="5">
        <f>IF($D$294="Crecimiento",IF($D299&gt;0,$Q299,0),0)</f>
        <v>0</v>
      </c>
      <c r="AW299" s="5">
        <f>IF($E$294="Producción",IF($E299&gt;=LI_A,$R299,0),0)</f>
        <v>0</v>
      </c>
      <c r="AX299" s="5">
        <f>IF($E$294="Producción",IF($E299&gt;=LI_B,IF($E299&lt;LS_B,$R299,0),0),0)</f>
        <v>0</v>
      </c>
      <c r="AY299" s="5">
        <f>IF($E$294="Producción",IF($E299&gt;=LI_C,IF($E299&lt;LS_C,$R299,0),0),0)</f>
        <v>0</v>
      </c>
      <c r="AZ299" s="5">
        <f>IF($E$294="Producción",IF($E299&lt;LS_D,$R299,0),0)</f>
        <v>0</v>
      </c>
      <c r="BA299" s="5">
        <f>IF($E$294="Crecimiento",$R299,0)</f>
        <v>0</v>
      </c>
      <c r="BD299" s="5">
        <f>IF($F$294="Producción",IF($F299&gt;=LI_A,$S299,0),0)</f>
        <v>0</v>
      </c>
      <c r="BE299" s="5">
        <f>IF($F$294="Producción",IF($F299&gt;=LI_B,IF($F299&lt;LS_B,$S299,0),0),0)</f>
        <v>0</v>
      </c>
      <c r="BF299" s="5">
        <f>IF($F$294="Producción",IF($F299&gt;=LI_C,IF($F299&lt;LS_C,$S299,0),0),0)</f>
        <v>0</v>
      </c>
      <c r="BG299" s="5">
        <f>IF($F$294="Producción",IF($F299&lt;LS_D,$S299,0),0)</f>
        <v>0</v>
      </c>
      <c r="BH299" s="5">
        <f>IF($F$294="Crecimiento",$S299,0)</f>
        <v>0</v>
      </c>
      <c r="BK299" s="5">
        <f>IF($G$294="Producción",IF($G299&gt;=LI_A,$T299,0),0)</f>
        <v>0</v>
      </c>
      <c r="BL299" s="5">
        <f>IF($G$294="Producción",IF($G299&gt;=LI_B,IF($G299&lt;LS_B,$T299,0),0),0)</f>
        <v>0</v>
      </c>
      <c r="BM299" s="5">
        <f>IF($G$294="Producción",IF($G299&gt;=LI_C,IF($G299&lt;LS_C,$T299,0),0),0)</f>
        <v>0</v>
      </c>
      <c r="BN299" s="5">
        <f>IF($G$294="Producción",IF($G299&lt;LS_D,$T299,0),0)</f>
        <v>0</v>
      </c>
      <c r="BO299" s="5">
        <f>IF($G$294="Crecimiento",$T299,0)</f>
        <v>0</v>
      </c>
      <c r="BR299" s="5">
        <f>IF($H$294="Producción",IF($H299&gt;=LI_A,$U299,0),0)</f>
        <v>0</v>
      </c>
      <c r="BS299" s="5">
        <f>IF($H$294="Producción",IF($H299&gt;=LI_B,IF($H299&lt;LS_B,$U299,0),0),0)</f>
        <v>0</v>
      </c>
      <c r="BT299" s="5">
        <f>IF($H$294="Producción",IF($H299&gt;=LI_C,IF($H299&lt;LS_C,$U299,0),0),0)</f>
        <v>0</v>
      </c>
      <c r="BU299" s="5">
        <f>IF($H$294="Producción",IF($H299&lt;LS_D,$U299,0),0)</f>
        <v>0</v>
      </c>
      <c r="BV299" s="5">
        <f>IF($H$294="Crecimiento",$T299,0)</f>
        <v>0</v>
      </c>
      <c r="BY299" s="5">
        <f>IF($I$294="Producción",IF($I299&gt;=LI_A,$V299,0),0)</f>
        <v>0</v>
      </c>
      <c r="BZ299" s="5">
        <f>IF($I$294="Producción",IF($I299&gt;=LI_B,IF($I299&lt;LS_B,$V299,0),0),0)</f>
        <v>0</v>
      </c>
      <c r="CA299" s="5">
        <f>IF($I$294="Producción",IF($I299&gt;=LI_C,IF($I299&lt;LS_C,$V299,0),0),0)</f>
        <v>0</v>
      </c>
      <c r="CB299" s="5">
        <f>IF($I$294="Producción",IF($I299&lt;LS_D,$V299,0),0)</f>
        <v>0</v>
      </c>
      <c r="CC299" s="5">
        <f>IF($I$294="Crecimiento",$V299,0)</f>
        <v>0</v>
      </c>
      <c r="CF299" s="5">
        <f>IF($J$294="Producción",IF($J299&gt;=LI_A,$W299,0),0)</f>
        <v>0</v>
      </c>
      <c r="CG299" s="5">
        <f>IF($J$294="Producción",IF($J299&gt;=LI_B,IF($J299&lt;LS_B,$W299,0),0),0)</f>
        <v>0</v>
      </c>
      <c r="CH299" s="5">
        <f>IF($J$294="Producción",IF($J299&gt;=LI_C,IF($J299&lt;LS_C,$W299,0),0),0)</f>
        <v>0</v>
      </c>
      <c r="CI299" s="5">
        <f>IF($J$294="Producción",IF($J299&lt;LS_D,$W299,0),0)</f>
        <v>0</v>
      </c>
      <c r="CJ299" s="5">
        <f>IF($J$294="Crecimiento",$W299,0)</f>
        <v>0</v>
      </c>
      <c r="CM299" s="5">
        <f>IF($K$294="Producción",IF($K299&gt;=LI_A,$X299,0),0)</f>
        <v>0</v>
      </c>
      <c r="CN299" s="5">
        <f>IF($K$294="Producción",IF($K299&gt;=LI_B,IF($K299&lt;LS_B,$X299,0),0),0)</f>
        <v>0</v>
      </c>
      <c r="CO299" s="5">
        <f>IF($K$294="Producción",IF($K299&gt;=LI_C,IF($K299&lt;LS_C,$X299,0),0),0)</f>
        <v>0</v>
      </c>
      <c r="CP299" s="5">
        <f>IF($K$294="Producción",IF($K299&lt;LS_D,$X299,0),0)</f>
        <v>0</v>
      </c>
      <c r="CQ299" s="5">
        <f>IF($K$294="Crecimiento",$X299,0)</f>
        <v>0</v>
      </c>
      <c r="CT299" s="5">
        <f>IF($L$294="Producción",IF($L299&gt;=LI_A,$Y299,0),0)</f>
        <v>0</v>
      </c>
      <c r="CU299" s="5">
        <f>IF($L$294="Producción",IF($L299&gt;=LI_B,IF($L299&lt;LS_B,$Y299,0),0),0)</f>
        <v>0</v>
      </c>
      <c r="CV299" s="5">
        <f>IF($L$294="Producción",IF($L299&gt;=LI_C,IF($L299&lt;LS_C,$Y299,0),0),0)</f>
        <v>0</v>
      </c>
      <c r="CW299" s="5">
        <f>IF($L$294="Producción",IF($L299&lt;LS_D,$Y299,0),0)</f>
        <v>0</v>
      </c>
      <c r="CX299" s="5">
        <f>IF($L$294="Crecimiento",$Y299,0)</f>
        <v>0</v>
      </c>
      <c r="DA299" s="5">
        <f>IF($M$294="Producción",IF($M299&gt;=LI_A,$Z299,0),0)</f>
        <v>0</v>
      </c>
      <c r="DB299" s="5">
        <f>IF($M$294="Producción",IF($M299&gt;=LI_B,IF($M299&lt;LS_B,$Z299,0),0),0)</f>
        <v>0</v>
      </c>
      <c r="DC299" s="5">
        <f>IF($M$294="Producción",IF($M299&gt;=LI_C,IF($M299&lt;LS_C,$Z299,0),0),0)</f>
        <v>0</v>
      </c>
      <c r="DD299" s="5">
        <f>IF($M$294="Producción",IF($M299&lt;LS_D,$Z299,0),0)</f>
        <v>0</v>
      </c>
      <c r="DE299" s="5">
        <f>IF($M$294="Crecimiento",$Z299,0)</f>
        <v>0</v>
      </c>
      <c r="DI299" s="5">
        <f t="shared" si="2237"/>
        <v>0</v>
      </c>
      <c r="DJ299" s="5">
        <f t="shared" si="2238"/>
        <v>0</v>
      </c>
      <c r="DK299" s="5">
        <f t="shared" si="2239"/>
        <v>0</v>
      </c>
      <c r="DL299" s="5">
        <f t="shared" si="2240"/>
        <v>0</v>
      </c>
      <c r="DM299" s="5">
        <f t="shared" si="2241"/>
        <v>0</v>
      </c>
      <c r="DN299" s="5">
        <f t="shared" si="2242"/>
        <v>0</v>
      </c>
      <c r="DO299" s="5">
        <f t="shared" si="2243"/>
        <v>0</v>
      </c>
      <c r="DP299" s="5">
        <f t="shared" si="2244"/>
        <v>0</v>
      </c>
      <c r="DQ299" s="5">
        <f t="shared" si="2245"/>
        <v>0</v>
      </c>
      <c r="DR299" s="5">
        <f t="shared" si="2246"/>
        <v>0</v>
      </c>
      <c r="DS299" s="5">
        <f t="shared" si="2247"/>
        <v>0</v>
      </c>
      <c r="DT299" s="5">
        <f t="shared" si="2248"/>
        <v>0</v>
      </c>
      <c r="DU299" s="5">
        <f t="shared" si="2249"/>
        <v>0</v>
      </c>
      <c r="DV299" s="5">
        <f t="shared" si="2250"/>
        <v>0</v>
      </c>
      <c r="DW299" s="5">
        <f t="shared" si="2251"/>
        <v>0</v>
      </c>
      <c r="DX299" s="5">
        <f t="shared" si="2252"/>
        <v>0</v>
      </c>
      <c r="DY299" s="5">
        <f t="shared" si="2253"/>
        <v>0</v>
      </c>
      <c r="DZ299" s="5">
        <f t="shared" si="2254"/>
        <v>0</v>
      </c>
      <c r="EA299" s="5">
        <f t="shared" si="2255"/>
        <v>0</v>
      </c>
      <c r="EB299" s="5">
        <f t="shared" si="2256"/>
        <v>0</v>
      </c>
      <c r="EC299" s="5">
        <f t="shared" si="2257"/>
        <v>0</v>
      </c>
      <c r="ED299" s="5">
        <f t="shared" si="2258"/>
        <v>0</v>
      </c>
      <c r="EE299" s="5">
        <f t="shared" si="2259"/>
        <v>0</v>
      </c>
      <c r="EF299" s="5">
        <f t="shared" si="2260"/>
        <v>0</v>
      </c>
      <c r="EG299" s="5">
        <f t="shared" si="2261"/>
        <v>0</v>
      </c>
      <c r="EH299" s="5">
        <f t="shared" si="2262"/>
        <v>0</v>
      </c>
      <c r="EI299" s="5">
        <f t="shared" si="2263"/>
        <v>0</v>
      </c>
      <c r="EJ299" s="5">
        <f t="shared" si="2264"/>
        <v>0</v>
      </c>
      <c r="EK299" s="5">
        <f t="shared" si="2265"/>
        <v>0</v>
      </c>
      <c r="EL299" s="5">
        <f t="shared" si="2266"/>
        <v>0</v>
      </c>
      <c r="EM299" s="5">
        <f t="shared" si="2267"/>
        <v>0</v>
      </c>
      <c r="EN299" s="5">
        <f t="shared" si="2268"/>
        <v>0</v>
      </c>
      <c r="EO299" s="5">
        <f t="shared" si="2269"/>
        <v>0</v>
      </c>
      <c r="EP299" s="5">
        <f t="shared" si="2270"/>
        <v>0</v>
      </c>
      <c r="EQ299" s="5">
        <f t="shared" si="2271"/>
        <v>0</v>
      </c>
      <c r="ER299" s="5">
        <f t="shared" si="2272"/>
        <v>0</v>
      </c>
      <c r="ES299" s="5">
        <f t="shared" si="2273"/>
        <v>0</v>
      </c>
      <c r="ET299" s="5">
        <f t="shared" si="2274"/>
        <v>0</v>
      </c>
      <c r="EU299" s="5">
        <f t="shared" si="2275"/>
        <v>0</v>
      </c>
      <c r="EV299" s="5">
        <f t="shared" si="2276"/>
        <v>0</v>
      </c>
      <c r="EW299" s="5">
        <f t="shared" si="2277"/>
        <v>0</v>
      </c>
      <c r="EX299" s="5">
        <f t="shared" si="2278"/>
        <v>0</v>
      </c>
      <c r="EY299" s="5">
        <f t="shared" si="2279"/>
        <v>0</v>
      </c>
      <c r="EZ299" s="5">
        <f t="shared" si="2280"/>
        <v>0</v>
      </c>
      <c r="FA299" s="5">
        <f t="shared" si="2281"/>
        <v>0</v>
      </c>
      <c r="FB299" s="5">
        <f t="shared" si="2282"/>
        <v>0</v>
      </c>
      <c r="FC299" s="5">
        <f t="shared" si="2283"/>
        <v>0</v>
      </c>
      <c r="FD299" s="5">
        <f t="shared" si="2284"/>
        <v>0</v>
      </c>
      <c r="FE299" s="5">
        <f t="shared" si="2285"/>
        <v>0</v>
      </c>
      <c r="FF299" s="5">
        <f t="shared" si="2286"/>
        <v>0</v>
      </c>
      <c r="FG299" s="5">
        <f t="shared" si="2287"/>
        <v>0</v>
      </c>
      <c r="FH299" s="5">
        <f t="shared" si="2288"/>
        <v>0</v>
      </c>
      <c r="FI299" s="5">
        <f t="shared" si="2289"/>
        <v>0</v>
      </c>
      <c r="FJ299" s="5">
        <f t="shared" si="2290"/>
        <v>0</v>
      </c>
      <c r="FK299" s="5">
        <f t="shared" si="2291"/>
        <v>0</v>
      </c>
      <c r="FL299" s="5">
        <f t="shared" si="2292"/>
        <v>0</v>
      </c>
      <c r="FM299" s="5">
        <f t="shared" si="2293"/>
        <v>0</v>
      </c>
      <c r="FN299" s="5">
        <f t="shared" si="2294"/>
        <v>0</v>
      </c>
      <c r="FO299" s="5">
        <f t="shared" si="2295"/>
        <v>0</v>
      </c>
      <c r="FP299" s="5">
        <f t="shared" si="2296"/>
        <v>0</v>
      </c>
    </row>
    <row r="300" spans="1:172" ht="20.100000000000001" customHeight="1" x14ac:dyDescent="0.3">
      <c r="A300" s="8" t="str">
        <f>IF(Ciclo=4,"Surco 4",IF(Ciclo=5,"Surco 4","NA"))</f>
        <v>NA</v>
      </c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O300" s="58">
        <f>IF($A300="NA",0,IFERROR('6'!O$151/Ciclo,0))</f>
        <v>0</v>
      </c>
      <c r="P300" s="58">
        <f>IF($A300="NA",0,IFERROR('6'!P$151/Ciclo,0))</f>
        <v>0</v>
      </c>
      <c r="Q300" s="58">
        <f>IF($A300="NA",0,IFERROR('6'!Q$151/Ciclo,0))</f>
        <v>0</v>
      </c>
      <c r="R300" s="58">
        <f>IF($A300="NA",0,IFERROR('6'!R$151/Ciclo,0))</f>
        <v>0</v>
      </c>
      <c r="S300" s="58">
        <f>IF($A300="NA",0,IFERROR('6'!S$151/Ciclo,0))</f>
        <v>0</v>
      </c>
      <c r="T300" s="58">
        <f>IF($A300="NA",0,IFERROR('6'!T$151/Ciclo,0))</f>
        <v>0</v>
      </c>
      <c r="U300" s="58">
        <f>IF($A300="NA",0,IFERROR('6'!U$151/Ciclo,0))</f>
        <v>0</v>
      </c>
      <c r="V300" s="58">
        <f>IF($A300="NA",0,IFERROR('6'!V$151/Ciclo,0))</f>
        <v>0</v>
      </c>
      <c r="W300" s="5">
        <f>IF($A300="NA",0,IFERROR('6'!W$151/Ciclo,0))</f>
        <v>0</v>
      </c>
      <c r="X300" s="5">
        <f>IF($A300="NA",0,IFERROR('6'!X$151/Ciclo,0))</f>
        <v>0</v>
      </c>
      <c r="Y300" s="5">
        <f>IF($A300="NA",0,IFERROR('6'!Y$151/Ciclo,0))</f>
        <v>0</v>
      </c>
      <c r="Z300" s="5">
        <f>IF($A300="NA",0,IFERROR('6'!Z$151/Ciclo,0))</f>
        <v>0</v>
      </c>
      <c r="AB300" s="5">
        <f>IF($B$294="Producción",IF($B300&gt;=LI_A,$O300,0),0)</f>
        <v>0</v>
      </c>
      <c r="AC300" s="5">
        <f>IF($B$294="Producción",IF($B300&gt;=LI_B,IF($B300&lt;LS_B,$O300,0),0),0)</f>
        <v>0</v>
      </c>
      <c r="AD300" s="5">
        <f>IF($B$294="Producción",IF($B300&gt;=LI_C,IF($B300&lt;LS_C,$O300,0),0),0)</f>
        <v>0</v>
      </c>
      <c r="AE300" s="5">
        <f>IF($B$294="Producción",IF($B300&lt;LS_D,$O300,0),0)</f>
        <v>0</v>
      </c>
      <c r="AF300" s="5">
        <f t="shared" si="2297"/>
        <v>0</v>
      </c>
      <c r="AI300" s="5">
        <f>IF($C$294="Producción",IF($C300&gt;=LI_A,$P300,0),0)</f>
        <v>0</v>
      </c>
      <c r="AJ300" s="5">
        <f>IF($C$294="Producción",IF($C300&gt;=LI_B,IF($C300&lt;LS_B,$P300,0),0),0)</f>
        <v>0</v>
      </c>
      <c r="AK300" s="5">
        <f>IF($C$294="Producción",IF($C300&gt;=LI_C,IF($C300&lt;LS_C,$P300,0),0),0)</f>
        <v>0</v>
      </c>
      <c r="AL300" s="5">
        <f>IF($C$294="Producción",IF($C300&lt;LS_D,$P300,0),0)</f>
        <v>0</v>
      </c>
      <c r="AM300" s="5">
        <f>IF($C$294="Crecimiento",$P300,0)</f>
        <v>0</v>
      </c>
      <c r="AP300" s="5">
        <f>IF($D$294="Producción",IF($D300&gt;=LI_A,$Q300,0),0)</f>
        <v>0</v>
      </c>
      <c r="AQ300" s="5">
        <f>IF($D$294="Producción",IF($D300&gt;=LI_B,IF($D300&lt;LS_B,$Q300,0),0),0)</f>
        <v>0</v>
      </c>
      <c r="AR300" s="5">
        <f>IF($D$294="Producción",IF($D300&gt;=LI_C,IF($D300&lt;LS_C,$Q300,0),0),0)</f>
        <v>0</v>
      </c>
      <c r="AS300" s="5">
        <f>IF($D$294="Producción",IF($D300&lt;LS_D,$Q300,0),0)</f>
        <v>0</v>
      </c>
      <c r="AT300" s="5">
        <f>IF($D$294="Crecimiento",IF($D300&gt;0,$Q300,0),0)</f>
        <v>0</v>
      </c>
      <c r="AW300" s="5">
        <f>IF($E$294="Producción",IF($E300&gt;=LI_A,$R300,0),0)</f>
        <v>0</v>
      </c>
      <c r="AX300" s="5">
        <f>IF($E$294="Producción",IF($E300&gt;=LI_B,IF($E300&lt;LS_B,$R300,0),0),0)</f>
        <v>0</v>
      </c>
      <c r="AY300" s="5">
        <f>IF($E$294="Producción",IF($E300&gt;=LI_C,IF($E300&lt;LS_C,$R300,0),0),0)</f>
        <v>0</v>
      </c>
      <c r="AZ300" s="5">
        <f>IF($E$294="Producción",IF($E300&lt;LS_D,$R300,0),0)</f>
        <v>0</v>
      </c>
      <c r="BA300" s="5">
        <f>IF($E$294="Crecimiento",$R300,0)</f>
        <v>0</v>
      </c>
      <c r="BD300" s="5">
        <f>IF($F$294="Producción",IF($F300&gt;=LI_A,$S300,0),0)</f>
        <v>0</v>
      </c>
      <c r="BE300" s="5">
        <f>IF($F$294="Producción",IF($F300&gt;=LI_B,IF($F300&lt;LS_B,$S300,0),0),0)</f>
        <v>0</v>
      </c>
      <c r="BF300" s="5">
        <f>IF($F$294="Producción",IF($F300&gt;=LI_C,IF($F300&lt;LS_C,$S300,0),0),0)</f>
        <v>0</v>
      </c>
      <c r="BG300" s="5">
        <f>IF($F$294="Producción",IF($F300&lt;LS_D,$S300,0),0)</f>
        <v>0</v>
      </c>
      <c r="BH300" s="5">
        <f>IF($F$294="Crecimiento",$S300,0)</f>
        <v>0</v>
      </c>
      <c r="BK300" s="5">
        <f>IF($G$294="Producción",IF($G300&gt;=LI_A,$T300,0),0)</f>
        <v>0</v>
      </c>
      <c r="BL300" s="5">
        <f>IF($G$294="Producción",IF($G300&gt;=LI_B,IF($G300&lt;LS_B,$T300,0),0),0)</f>
        <v>0</v>
      </c>
      <c r="BM300" s="5">
        <f>IF($G$294="Producción",IF($G300&gt;=LI_C,IF($G300&lt;LS_C,$T300,0),0),0)</f>
        <v>0</v>
      </c>
      <c r="BN300" s="5">
        <f>IF($G$294="Producción",IF($G300&lt;LS_D,$T300,0),0)</f>
        <v>0</v>
      </c>
      <c r="BO300" s="5">
        <f>IF($G$294="Crecimiento",$T300,0)</f>
        <v>0</v>
      </c>
      <c r="BR300" s="5">
        <f>IF($H$294="Producción",IF($H300&gt;=LI_A,$U300,0),0)</f>
        <v>0</v>
      </c>
      <c r="BS300" s="5">
        <f>IF($H$294="Producción",IF($H300&gt;=LI_B,IF($H300&lt;LS_B,$U300,0),0),0)</f>
        <v>0</v>
      </c>
      <c r="BT300" s="5">
        <f>IF($H$294="Producción",IF($H300&gt;=LI_C,IF($H300&lt;LS_C,$U300,0),0),0)</f>
        <v>0</v>
      </c>
      <c r="BU300" s="5">
        <f>IF($H$294="Producción",IF($H300&lt;LS_D,$U300,0),0)</f>
        <v>0</v>
      </c>
      <c r="BV300" s="5">
        <f>IF($H$294="Crecimiento",$T300,0)</f>
        <v>0</v>
      </c>
      <c r="BY300" s="5">
        <f>IF($I$294="Producción",IF($I300&gt;=LI_A,$V300,0),0)</f>
        <v>0</v>
      </c>
      <c r="BZ300" s="5">
        <f>IF($I$294="Producción",IF($I300&gt;=LI_B,IF($I300&lt;LS_B,$V300,0),0),0)</f>
        <v>0</v>
      </c>
      <c r="CA300" s="5">
        <f>IF($I$294="Producción",IF($I300&gt;=LI_C,IF($I300&lt;LS_C,$V300,0),0),0)</f>
        <v>0</v>
      </c>
      <c r="CB300" s="5">
        <f>IF($I$294="Producción",IF($I300&lt;LS_D,$V300,0),0)</f>
        <v>0</v>
      </c>
      <c r="CC300" s="5">
        <f>IF($I$294="Crecimiento",$V300,0)</f>
        <v>0</v>
      </c>
      <c r="CF300" s="5">
        <f>IF($J$294="Producción",IF($J300&gt;=LI_A,$W300,0),0)</f>
        <v>0</v>
      </c>
      <c r="CG300" s="5">
        <f>IF($J$294="Producción",IF($J300&gt;=LI_B,IF($J300&lt;LS_B,$W300,0),0),0)</f>
        <v>0</v>
      </c>
      <c r="CH300" s="5">
        <f>IF($J$294="Producción",IF($J300&gt;=LI_C,IF($J300&lt;LS_C,$W300,0),0),0)</f>
        <v>0</v>
      </c>
      <c r="CI300" s="5">
        <f>IF($J$294="Producción",IF($J300&lt;LS_D,$W300,0),0)</f>
        <v>0</v>
      </c>
      <c r="CJ300" s="5">
        <f>IF($J$294="Crecimiento",$W300,0)</f>
        <v>0</v>
      </c>
      <c r="CM300" s="5">
        <f>IF($K$294="Producción",IF($K300&gt;=LI_A,$X300,0),0)</f>
        <v>0</v>
      </c>
      <c r="CN300" s="5">
        <f>IF($K$294="Producción",IF($K300&gt;=LI_B,IF($K300&lt;LS_B,$X300,0),0),0)</f>
        <v>0</v>
      </c>
      <c r="CO300" s="5">
        <f>IF($K$294="Producción",IF($K300&gt;=LI_C,IF($K300&lt;LS_C,$X300,0),0),0)</f>
        <v>0</v>
      </c>
      <c r="CP300" s="5">
        <f>IF($K$294="Producción",IF($K300&lt;LS_D,$X300,0),0)</f>
        <v>0</v>
      </c>
      <c r="CQ300" s="5">
        <f>IF($K$294="Crecimiento",$X300,0)</f>
        <v>0</v>
      </c>
      <c r="CT300" s="5">
        <f>IF($L$294="Producción",IF($L300&gt;=LI_A,$Y300,0),0)</f>
        <v>0</v>
      </c>
      <c r="CU300" s="5">
        <f>IF($L$294="Producción",IF($L300&gt;=LI_B,IF($L300&lt;LS_B,$Y300,0),0),0)</f>
        <v>0</v>
      </c>
      <c r="CV300" s="5">
        <f>IF($L$294="Producción",IF($L300&gt;=LI_C,IF($L300&lt;LS_C,$Y300,0),0),0)</f>
        <v>0</v>
      </c>
      <c r="CW300" s="5">
        <f>IF($L$294="Producción",IF($L300&lt;LS_D,$Y300,0),0)</f>
        <v>0</v>
      </c>
      <c r="CX300" s="5">
        <f>IF($L$294="Crecimiento",$Y300,0)</f>
        <v>0</v>
      </c>
      <c r="DA300" s="5">
        <f>IF($M$294="Producción",IF($M300&gt;=LI_A,$Z300,0),0)</f>
        <v>0</v>
      </c>
      <c r="DB300" s="5">
        <f>IF($M$294="Producción",IF($M300&gt;=LI_B,IF($M300&lt;LS_B,$Z300,0),0),0)</f>
        <v>0</v>
      </c>
      <c r="DC300" s="5">
        <f>IF($M$294="Producción",IF($M300&gt;=LI_C,IF($M300&lt;LS_C,$Z300,0),0),0)</f>
        <v>0</v>
      </c>
      <c r="DD300" s="5">
        <f>IF($M$294="Producción",IF($M300&lt;LS_D,$Z300,0),0)</f>
        <v>0</v>
      </c>
      <c r="DE300" s="5">
        <f>IF($M$294="Crecimiento",$Z300,0)</f>
        <v>0</v>
      </c>
      <c r="DI300" s="5">
        <f t="shared" si="2237"/>
        <v>0</v>
      </c>
      <c r="DJ300" s="5">
        <f t="shared" si="2238"/>
        <v>0</v>
      </c>
      <c r="DK300" s="5">
        <f t="shared" si="2239"/>
        <v>0</v>
      </c>
      <c r="DL300" s="5">
        <f t="shared" si="2240"/>
        <v>0</v>
      </c>
      <c r="DM300" s="5">
        <f t="shared" si="2241"/>
        <v>0</v>
      </c>
      <c r="DN300" s="5">
        <f t="shared" si="2242"/>
        <v>0</v>
      </c>
      <c r="DO300" s="5">
        <f t="shared" si="2243"/>
        <v>0</v>
      </c>
      <c r="DP300" s="5">
        <f t="shared" si="2244"/>
        <v>0</v>
      </c>
      <c r="DQ300" s="5">
        <f t="shared" si="2245"/>
        <v>0</v>
      </c>
      <c r="DR300" s="5">
        <f t="shared" si="2246"/>
        <v>0</v>
      </c>
      <c r="DS300" s="5">
        <f t="shared" si="2247"/>
        <v>0</v>
      </c>
      <c r="DT300" s="5">
        <f t="shared" si="2248"/>
        <v>0</v>
      </c>
      <c r="DU300" s="5">
        <f t="shared" si="2249"/>
        <v>0</v>
      </c>
      <c r="DV300" s="5">
        <f t="shared" si="2250"/>
        <v>0</v>
      </c>
      <c r="DW300" s="5">
        <f t="shared" si="2251"/>
        <v>0</v>
      </c>
      <c r="DX300" s="5">
        <f t="shared" si="2252"/>
        <v>0</v>
      </c>
      <c r="DY300" s="5">
        <f t="shared" si="2253"/>
        <v>0</v>
      </c>
      <c r="DZ300" s="5">
        <f t="shared" si="2254"/>
        <v>0</v>
      </c>
      <c r="EA300" s="5">
        <f t="shared" si="2255"/>
        <v>0</v>
      </c>
      <c r="EB300" s="5">
        <f t="shared" si="2256"/>
        <v>0</v>
      </c>
      <c r="EC300" s="5">
        <f t="shared" si="2257"/>
        <v>0</v>
      </c>
      <c r="ED300" s="5">
        <f t="shared" si="2258"/>
        <v>0</v>
      </c>
      <c r="EE300" s="5">
        <f t="shared" si="2259"/>
        <v>0</v>
      </c>
      <c r="EF300" s="5">
        <f t="shared" si="2260"/>
        <v>0</v>
      </c>
      <c r="EG300" s="5">
        <f t="shared" si="2261"/>
        <v>0</v>
      </c>
      <c r="EH300" s="5">
        <f t="shared" si="2262"/>
        <v>0</v>
      </c>
      <c r="EI300" s="5">
        <f t="shared" si="2263"/>
        <v>0</v>
      </c>
      <c r="EJ300" s="5">
        <f t="shared" si="2264"/>
        <v>0</v>
      </c>
      <c r="EK300" s="5">
        <f t="shared" si="2265"/>
        <v>0</v>
      </c>
      <c r="EL300" s="5">
        <f t="shared" si="2266"/>
        <v>0</v>
      </c>
      <c r="EM300" s="5">
        <f t="shared" si="2267"/>
        <v>0</v>
      </c>
      <c r="EN300" s="5">
        <f t="shared" si="2268"/>
        <v>0</v>
      </c>
      <c r="EO300" s="5">
        <f t="shared" si="2269"/>
        <v>0</v>
      </c>
      <c r="EP300" s="5">
        <f t="shared" si="2270"/>
        <v>0</v>
      </c>
      <c r="EQ300" s="5">
        <f t="shared" si="2271"/>
        <v>0</v>
      </c>
      <c r="ER300" s="5">
        <f t="shared" si="2272"/>
        <v>0</v>
      </c>
      <c r="ES300" s="5">
        <f t="shared" si="2273"/>
        <v>0</v>
      </c>
      <c r="ET300" s="5">
        <f t="shared" si="2274"/>
        <v>0</v>
      </c>
      <c r="EU300" s="5">
        <f t="shared" si="2275"/>
        <v>0</v>
      </c>
      <c r="EV300" s="5">
        <f t="shared" si="2276"/>
        <v>0</v>
      </c>
      <c r="EW300" s="5">
        <f t="shared" si="2277"/>
        <v>0</v>
      </c>
      <c r="EX300" s="5">
        <f t="shared" si="2278"/>
        <v>0</v>
      </c>
      <c r="EY300" s="5">
        <f t="shared" si="2279"/>
        <v>0</v>
      </c>
      <c r="EZ300" s="5">
        <f t="shared" si="2280"/>
        <v>0</v>
      </c>
      <c r="FA300" s="5">
        <f t="shared" si="2281"/>
        <v>0</v>
      </c>
      <c r="FB300" s="5">
        <f t="shared" si="2282"/>
        <v>0</v>
      </c>
      <c r="FC300" s="5">
        <f t="shared" si="2283"/>
        <v>0</v>
      </c>
      <c r="FD300" s="5">
        <f t="shared" si="2284"/>
        <v>0</v>
      </c>
      <c r="FE300" s="5">
        <f t="shared" si="2285"/>
        <v>0</v>
      </c>
      <c r="FF300" s="5">
        <f t="shared" si="2286"/>
        <v>0</v>
      </c>
      <c r="FG300" s="5">
        <f t="shared" si="2287"/>
        <v>0</v>
      </c>
      <c r="FH300" s="5">
        <f t="shared" si="2288"/>
        <v>0</v>
      </c>
      <c r="FI300" s="5">
        <f t="shared" si="2289"/>
        <v>0</v>
      </c>
      <c r="FJ300" s="5">
        <f t="shared" si="2290"/>
        <v>0</v>
      </c>
      <c r="FK300" s="5">
        <f t="shared" si="2291"/>
        <v>0</v>
      </c>
      <c r="FL300" s="5">
        <f t="shared" si="2292"/>
        <v>0</v>
      </c>
      <c r="FM300" s="5">
        <f t="shared" si="2293"/>
        <v>0</v>
      </c>
      <c r="FN300" s="5">
        <f t="shared" si="2294"/>
        <v>0</v>
      </c>
      <c r="FO300" s="5">
        <f t="shared" si="2295"/>
        <v>0</v>
      </c>
      <c r="FP300" s="5">
        <f t="shared" si="2296"/>
        <v>0</v>
      </c>
    </row>
    <row r="301" spans="1:172" ht="20.100000000000001" customHeight="1" x14ac:dyDescent="0.3">
      <c r="A301" s="9" t="str">
        <f>IF(Ciclo=5,"Surco 5","NA")</f>
        <v>NA</v>
      </c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O301" s="58">
        <f>IF($A301="NA",0,IFERROR('6'!O$151/Ciclo,0))</f>
        <v>0</v>
      </c>
      <c r="P301" s="58">
        <f>IF($A301="NA",0,IFERROR('6'!P$151/Ciclo,0))</f>
        <v>0</v>
      </c>
      <c r="Q301" s="58">
        <f>IF($A301="NA",0,IFERROR('6'!Q$151/Ciclo,0))</f>
        <v>0</v>
      </c>
      <c r="R301" s="58">
        <f>IF($A301="NA",0,IFERROR('6'!R$151/Ciclo,0))</f>
        <v>0</v>
      </c>
      <c r="S301" s="58">
        <f>IF($A301="NA",0,IFERROR('6'!S$151/Ciclo,0))</f>
        <v>0</v>
      </c>
      <c r="T301" s="58">
        <f>IF($A301="NA",0,IFERROR('6'!T$151/Ciclo,0))</f>
        <v>0</v>
      </c>
      <c r="U301" s="58">
        <f>IF($A301="NA",0,IFERROR('6'!U$151/Ciclo,0))</f>
        <v>0</v>
      </c>
      <c r="V301" s="58">
        <f>IF($A301="NA",0,IFERROR('6'!V$151/Ciclo,0))</f>
        <v>0</v>
      </c>
      <c r="W301" s="5">
        <f>IF($A301="NA",0,IFERROR('6'!W$151/Ciclo,0))</f>
        <v>0</v>
      </c>
      <c r="X301" s="5">
        <f>IF($A301="NA",0,IFERROR('6'!X$151/Ciclo,0))</f>
        <v>0</v>
      </c>
      <c r="Y301" s="5">
        <f>IF($A301="NA",0,IFERROR('6'!Y$151/Ciclo,0))</f>
        <v>0</v>
      </c>
      <c r="Z301" s="5">
        <f>IF($A301="NA",0,IFERROR('6'!Z$151/Ciclo,0))</f>
        <v>0</v>
      </c>
      <c r="AB301" s="5">
        <f>IF($B$294="Producción",IF($B301&gt;=LI_A,$O301,0),0)</f>
        <v>0</v>
      </c>
      <c r="AC301" s="5">
        <f>IF($B$294="Producción",IF($B301&gt;=LI_B,IF($B301&lt;LS_B,$O301,0),0),0)</f>
        <v>0</v>
      </c>
      <c r="AD301" s="5">
        <f>IF($B$294="Producción",IF($B301&gt;=LI_C,IF($B301&lt;LS_C,$O301,0),0),0)</f>
        <v>0</v>
      </c>
      <c r="AE301" s="5">
        <f>IF($B$294="Producción",IF($B301&lt;LS_D,$O301,0),0)</f>
        <v>0</v>
      </c>
      <c r="AF301" s="5">
        <f t="shared" si="2297"/>
        <v>0</v>
      </c>
      <c r="AI301" s="5">
        <f>IF($C$294="Producción",IF($C301&gt;=LI_A,$P301,0),0)</f>
        <v>0</v>
      </c>
      <c r="AJ301" s="5">
        <f>IF($C$294="Producción",IF($C301&gt;=LI_B,IF($C301&lt;LS_B,$P301,0),0),0)</f>
        <v>0</v>
      </c>
      <c r="AK301" s="5">
        <f>IF($C$294="Producción",IF($C301&gt;=LI_C,IF($C301&lt;LS_C,$P301,0),0),0)</f>
        <v>0</v>
      </c>
      <c r="AL301" s="5">
        <f>IF($C$294="Producción",IF($C301&lt;LS_D,$P301,0),0)</f>
        <v>0</v>
      </c>
      <c r="AM301" s="5">
        <f>IF($C$294="Crecimiento",$P301,0)</f>
        <v>0</v>
      </c>
      <c r="AP301" s="5">
        <f>IF($D$294="Producción",IF($D301&gt;=LI_A,$Q301,0),0)</f>
        <v>0</v>
      </c>
      <c r="AQ301" s="5">
        <f>IF($D$294="Producción",IF($D301&gt;=LI_B,IF($D301&lt;LS_B,$Q301,0),0),0)</f>
        <v>0</v>
      </c>
      <c r="AR301" s="5">
        <f>IF($D$294="Producción",IF($D301&gt;=LI_C,IF($D301&lt;LS_C,$Q301,0),0),0)</f>
        <v>0</v>
      </c>
      <c r="AS301" s="5">
        <f>IF($D$294="Producción",IF($D301&lt;LS_D,$Q301,0),0)</f>
        <v>0</v>
      </c>
      <c r="AT301" s="5">
        <f>IF($D$294="Crecimiento",IF($D301&gt;0,$Q301,0),0)</f>
        <v>0</v>
      </c>
      <c r="AW301" s="5">
        <f>IF($E$294="Producción",IF($E301&gt;=LI_A,$R301,0),0)</f>
        <v>0</v>
      </c>
      <c r="AX301" s="5">
        <f>IF($E$294="Producción",IF($E301&gt;=LI_B,IF($E301&lt;LS_B,$R301,0),0),0)</f>
        <v>0</v>
      </c>
      <c r="AY301" s="5">
        <f>IF($E$294="Producción",IF($E301&gt;=LI_C,IF($E301&lt;LS_C,$R301,0),0),0)</f>
        <v>0</v>
      </c>
      <c r="AZ301" s="5">
        <f>IF($E$294="Producción",IF($E301&lt;LS_D,$R301,0),0)</f>
        <v>0</v>
      </c>
      <c r="BA301" s="5">
        <f>IF($E$294="Crecimiento",$R301,0)</f>
        <v>0</v>
      </c>
      <c r="BD301" s="5">
        <f>IF($F$294="Producción",IF($F301&gt;=LI_A,$S301,0),0)</f>
        <v>0</v>
      </c>
      <c r="BE301" s="5">
        <f>IF($F$294="Producción",IF($F301&gt;=LI_B,IF($F301&lt;LS_B,$S301,0),0),0)</f>
        <v>0</v>
      </c>
      <c r="BF301" s="5">
        <f>IF($F$294="Producción",IF($F301&gt;=LI_C,IF($F301&lt;LS_C,$S301,0),0),0)</f>
        <v>0</v>
      </c>
      <c r="BG301" s="5">
        <f>IF($F$294="Producción",IF($F301&lt;LS_D,$S301,0),0)</f>
        <v>0</v>
      </c>
      <c r="BH301" s="5">
        <f>IF($F$294="Crecimiento",$S301,0)</f>
        <v>0</v>
      </c>
      <c r="BK301" s="5">
        <f>IF($G$294="Producción",IF($G301&gt;=LI_A,$T301,0),0)</f>
        <v>0</v>
      </c>
      <c r="BL301" s="5">
        <f>IF($G$294="Producción",IF($G301&gt;=LI_B,IF($G301&lt;LS_B,$T301,0),0),0)</f>
        <v>0</v>
      </c>
      <c r="BM301" s="5">
        <f>IF($G$294="Producción",IF($G301&gt;=LI_C,IF($G301&lt;LS_C,$T301,0),0),0)</f>
        <v>0</v>
      </c>
      <c r="BN301" s="5">
        <f>IF($G$294="Producción",IF($G301&lt;LS_D,$T301,0),0)</f>
        <v>0</v>
      </c>
      <c r="BO301" s="5">
        <f>IF($G$294="Crecimiento",$T301,0)</f>
        <v>0</v>
      </c>
      <c r="BR301" s="5">
        <f>IF($H$294="Producción",IF($H301&gt;=LI_A,$U301,0),0)</f>
        <v>0</v>
      </c>
      <c r="BS301" s="5">
        <f>IF($H$294="Producción",IF($H301&gt;=LI_B,IF($H301&lt;LS_B,$U301,0),0),0)</f>
        <v>0</v>
      </c>
      <c r="BT301" s="5">
        <f>IF($H$294="Producción",IF($H301&gt;=LI_C,IF($H301&lt;LS_C,$U301,0),0),0)</f>
        <v>0</v>
      </c>
      <c r="BU301" s="5">
        <f>IF($H$294="Producción",IF($H301&lt;LS_D,$U301,0),0)</f>
        <v>0</v>
      </c>
      <c r="BV301" s="5">
        <f>IF($H$294="Crecimiento",$T301,0)</f>
        <v>0</v>
      </c>
      <c r="BY301" s="5">
        <f>IF($I$294="Producción",IF($I301&gt;=LI_A,$V301,0),0)</f>
        <v>0</v>
      </c>
      <c r="BZ301" s="5">
        <f>IF($I$294="Producción",IF($I301&gt;=LI_B,IF($I301&lt;LS_B,$V301,0),0),0)</f>
        <v>0</v>
      </c>
      <c r="CA301" s="5">
        <f>IF($I$294="Producción",IF($I301&gt;=LI_C,IF($I301&lt;LS_C,$V301,0),0),0)</f>
        <v>0</v>
      </c>
      <c r="CB301" s="5">
        <f>IF($I$294="Producción",IF($I301&lt;LS_D,$V301,0),0)</f>
        <v>0</v>
      </c>
      <c r="CC301" s="5">
        <f>IF($I$294="Crecimiento",$V301,0)</f>
        <v>0</v>
      </c>
      <c r="CF301" s="5">
        <f>IF($J$294="Producción",IF($J301&gt;=LI_A,$W301,0),0)</f>
        <v>0</v>
      </c>
      <c r="CG301" s="5">
        <f>IF($J$294="Producción",IF($J301&gt;=LI_B,IF($J301&lt;LS_B,$W301,0),0),0)</f>
        <v>0</v>
      </c>
      <c r="CH301" s="5">
        <f>IF($J$294="Producción",IF($J301&gt;=LI_C,IF($J301&lt;LS_C,$W301,0),0),0)</f>
        <v>0</v>
      </c>
      <c r="CI301" s="5">
        <f>IF($J$294="Producción",IF($J301&lt;LS_D,$W301,0),0)</f>
        <v>0</v>
      </c>
      <c r="CJ301" s="5">
        <f>IF($J$294="Crecimiento",$W301,0)</f>
        <v>0</v>
      </c>
      <c r="CM301" s="5">
        <f>IF($K$294="Producción",IF($K301&gt;=LI_A,$X301,0),0)</f>
        <v>0</v>
      </c>
      <c r="CN301" s="5">
        <f>IF($K$294="Producción",IF($K301&gt;=LI_B,IF($K301&lt;LS_B,$X301,0),0),0)</f>
        <v>0</v>
      </c>
      <c r="CO301" s="5">
        <f>IF($K$294="Producción",IF($K301&gt;=LI_C,IF($K301&lt;LS_C,$X301,0),0),0)</f>
        <v>0</v>
      </c>
      <c r="CP301" s="5">
        <f>IF($K$294="Producción",IF($K301&lt;LS_D,$X301,0),0)</f>
        <v>0</v>
      </c>
      <c r="CQ301" s="5">
        <f>IF($K$294="Crecimiento",$X301,0)</f>
        <v>0</v>
      </c>
      <c r="CT301" s="5">
        <f>IF($L$294="Producción",IF($L301&gt;=LI_A,$Y301,0),0)</f>
        <v>0</v>
      </c>
      <c r="CU301" s="5">
        <f>IF($L$294="Producción",IF($L301&gt;=LI_B,IF($L301&lt;LS_B,$Y301,0),0),0)</f>
        <v>0</v>
      </c>
      <c r="CV301" s="5">
        <f>IF($L$294="Producción",IF($L301&gt;=LI_C,IF($L301&lt;LS_C,$Y301,0),0),0)</f>
        <v>0</v>
      </c>
      <c r="CW301" s="5">
        <f>IF($L$294="Producción",IF($L301&lt;LS_D,$Y301,0),0)</f>
        <v>0</v>
      </c>
      <c r="CX301" s="5">
        <f>IF($L$294="Crecimiento",$Y301,0)</f>
        <v>0</v>
      </c>
      <c r="DA301" s="5">
        <f>IF($M$294="Producción",IF($M301&gt;=LI_A,$Z301,0),0)</f>
        <v>0</v>
      </c>
      <c r="DB301" s="5">
        <f>IF($M$294="Producción",IF($M301&gt;=LI_B,IF($M301&lt;LS_B,$Z301,0),0),0)</f>
        <v>0</v>
      </c>
      <c r="DC301" s="5">
        <f>IF($M$294="Producción",IF($M301&gt;=LI_C,IF($M301&lt;LS_C,$Z301,0),0),0)</f>
        <v>0</v>
      </c>
      <c r="DD301" s="5">
        <f>IF($M$294="Producción",IF($M301&lt;LS_D,$Z301,0),0)</f>
        <v>0</v>
      </c>
      <c r="DE301" s="5">
        <f>IF($M$294="Crecimiento",$Z301,0)</f>
        <v>0</v>
      </c>
      <c r="DI301" s="5">
        <f t="shared" si="2237"/>
        <v>0</v>
      </c>
      <c r="DJ301" s="5">
        <f t="shared" si="2238"/>
        <v>0</v>
      </c>
      <c r="DK301" s="5">
        <f t="shared" si="2239"/>
        <v>0</v>
      </c>
      <c r="DL301" s="5">
        <f t="shared" si="2240"/>
        <v>0</v>
      </c>
      <c r="DM301" s="5">
        <f t="shared" si="2241"/>
        <v>0</v>
      </c>
      <c r="DN301" s="5">
        <f t="shared" si="2242"/>
        <v>0</v>
      </c>
      <c r="DO301" s="5">
        <f t="shared" si="2243"/>
        <v>0</v>
      </c>
      <c r="DP301" s="5">
        <f t="shared" si="2244"/>
        <v>0</v>
      </c>
      <c r="DQ301" s="5">
        <f t="shared" si="2245"/>
        <v>0</v>
      </c>
      <c r="DR301" s="5">
        <f t="shared" si="2246"/>
        <v>0</v>
      </c>
      <c r="DS301" s="5">
        <f t="shared" si="2247"/>
        <v>0</v>
      </c>
      <c r="DT301" s="5">
        <f t="shared" si="2248"/>
        <v>0</v>
      </c>
      <c r="DU301" s="5">
        <f t="shared" si="2249"/>
        <v>0</v>
      </c>
      <c r="DV301" s="5">
        <f t="shared" si="2250"/>
        <v>0</v>
      </c>
      <c r="DW301" s="5">
        <f t="shared" si="2251"/>
        <v>0</v>
      </c>
      <c r="DX301" s="5">
        <f t="shared" si="2252"/>
        <v>0</v>
      </c>
      <c r="DY301" s="5">
        <f t="shared" si="2253"/>
        <v>0</v>
      </c>
      <c r="DZ301" s="5">
        <f t="shared" si="2254"/>
        <v>0</v>
      </c>
      <c r="EA301" s="5">
        <f t="shared" si="2255"/>
        <v>0</v>
      </c>
      <c r="EB301" s="5">
        <f t="shared" si="2256"/>
        <v>0</v>
      </c>
      <c r="EC301" s="5">
        <f t="shared" si="2257"/>
        <v>0</v>
      </c>
      <c r="ED301" s="5">
        <f t="shared" si="2258"/>
        <v>0</v>
      </c>
      <c r="EE301" s="5">
        <f t="shared" si="2259"/>
        <v>0</v>
      </c>
      <c r="EF301" s="5">
        <f t="shared" si="2260"/>
        <v>0</v>
      </c>
      <c r="EG301" s="5">
        <f t="shared" si="2261"/>
        <v>0</v>
      </c>
      <c r="EH301" s="5">
        <f t="shared" si="2262"/>
        <v>0</v>
      </c>
      <c r="EI301" s="5">
        <f t="shared" si="2263"/>
        <v>0</v>
      </c>
      <c r="EJ301" s="5">
        <f t="shared" si="2264"/>
        <v>0</v>
      </c>
      <c r="EK301" s="5">
        <f t="shared" si="2265"/>
        <v>0</v>
      </c>
      <c r="EL301" s="5">
        <f t="shared" si="2266"/>
        <v>0</v>
      </c>
      <c r="EM301" s="5">
        <f t="shared" si="2267"/>
        <v>0</v>
      </c>
      <c r="EN301" s="5">
        <f t="shared" si="2268"/>
        <v>0</v>
      </c>
      <c r="EO301" s="5">
        <f t="shared" si="2269"/>
        <v>0</v>
      </c>
      <c r="EP301" s="5">
        <f t="shared" si="2270"/>
        <v>0</v>
      </c>
      <c r="EQ301" s="5">
        <f t="shared" si="2271"/>
        <v>0</v>
      </c>
      <c r="ER301" s="5">
        <f t="shared" si="2272"/>
        <v>0</v>
      </c>
      <c r="ES301" s="5">
        <f t="shared" si="2273"/>
        <v>0</v>
      </c>
      <c r="ET301" s="5">
        <f t="shared" si="2274"/>
        <v>0</v>
      </c>
      <c r="EU301" s="5">
        <f t="shared" si="2275"/>
        <v>0</v>
      </c>
      <c r="EV301" s="5">
        <f t="shared" si="2276"/>
        <v>0</v>
      </c>
      <c r="EW301" s="5">
        <f t="shared" si="2277"/>
        <v>0</v>
      </c>
      <c r="EX301" s="5">
        <f t="shared" si="2278"/>
        <v>0</v>
      </c>
      <c r="EY301" s="5">
        <f t="shared" si="2279"/>
        <v>0</v>
      </c>
      <c r="EZ301" s="5">
        <f t="shared" si="2280"/>
        <v>0</v>
      </c>
      <c r="FA301" s="5">
        <f t="shared" si="2281"/>
        <v>0</v>
      </c>
      <c r="FB301" s="5">
        <f t="shared" si="2282"/>
        <v>0</v>
      </c>
      <c r="FC301" s="5">
        <f t="shared" si="2283"/>
        <v>0</v>
      </c>
      <c r="FD301" s="5">
        <f t="shared" si="2284"/>
        <v>0</v>
      </c>
      <c r="FE301" s="5">
        <f t="shared" si="2285"/>
        <v>0</v>
      </c>
      <c r="FF301" s="5">
        <f t="shared" si="2286"/>
        <v>0</v>
      </c>
      <c r="FG301" s="5">
        <f t="shared" si="2287"/>
        <v>0</v>
      </c>
      <c r="FH301" s="5">
        <f t="shared" si="2288"/>
        <v>0</v>
      </c>
      <c r="FI301" s="5">
        <f t="shared" si="2289"/>
        <v>0</v>
      </c>
      <c r="FJ301" s="5">
        <f t="shared" si="2290"/>
        <v>0</v>
      </c>
      <c r="FK301" s="5">
        <f t="shared" si="2291"/>
        <v>0</v>
      </c>
      <c r="FL301" s="5">
        <f t="shared" si="2292"/>
        <v>0</v>
      </c>
      <c r="FM301" s="5">
        <f t="shared" si="2293"/>
        <v>0</v>
      </c>
      <c r="FN301" s="5">
        <f t="shared" si="2294"/>
        <v>0</v>
      </c>
      <c r="FO301" s="5">
        <f t="shared" si="2295"/>
        <v>0</v>
      </c>
      <c r="FP301" s="5">
        <f t="shared" si="2296"/>
        <v>0</v>
      </c>
    </row>
    <row r="302" spans="1:172" ht="20.100000000000001" customHeight="1" x14ac:dyDescent="0.3">
      <c r="A302" s="172">
        <f>N_L38</f>
        <v>0</v>
      </c>
      <c r="B302" s="363" t="s">
        <v>37</v>
      </c>
      <c r="C302" s="363" t="s">
        <v>37</v>
      </c>
      <c r="D302" s="363" t="s">
        <v>37</v>
      </c>
      <c r="E302" s="363" t="s">
        <v>37</v>
      </c>
      <c r="F302" s="363" t="s">
        <v>37</v>
      </c>
      <c r="G302" s="363" t="s">
        <v>37</v>
      </c>
      <c r="H302" s="363" t="s">
        <v>37</v>
      </c>
      <c r="I302" s="363" t="s">
        <v>37</v>
      </c>
      <c r="J302" s="363" t="s">
        <v>37</v>
      </c>
      <c r="K302" s="363" t="s">
        <v>37</v>
      </c>
      <c r="L302" s="363" t="s">
        <v>37</v>
      </c>
      <c r="M302" s="363" t="s">
        <v>37</v>
      </c>
    </row>
    <row r="303" spans="1:172" ht="20.100000000000001" customHeight="1" x14ac:dyDescent="0.3">
      <c r="A303" s="175" t="s">
        <v>238</v>
      </c>
      <c r="B303" s="174">
        <f>SUM(DI305:DM309)/100</f>
        <v>0</v>
      </c>
      <c r="C303" s="174">
        <f>SUM(DN305:DR309)/100</f>
        <v>0</v>
      </c>
      <c r="D303" s="174">
        <f>SUM(DS305:DW309)/100</f>
        <v>0</v>
      </c>
      <c r="E303" s="174">
        <f>SUM(DX305:EB309)/100</f>
        <v>0</v>
      </c>
      <c r="F303" s="174">
        <f>SUM(EC305:EG309)/100</f>
        <v>0</v>
      </c>
      <c r="G303" s="174">
        <f>SUM(EH305:EL309)/100</f>
        <v>0</v>
      </c>
      <c r="H303" s="174">
        <f>SUM(EM305:EQ309)/100</f>
        <v>0</v>
      </c>
      <c r="I303" s="174">
        <f>SUM(ER305:EV309)/100</f>
        <v>0</v>
      </c>
      <c r="J303" s="174">
        <f>SUM(EW305:FA309)/100</f>
        <v>0</v>
      </c>
      <c r="K303" s="174">
        <f>SUM(FB305:FF309)/100</f>
        <v>0</v>
      </c>
      <c r="L303" s="174">
        <f>SUM(FG305:FK309)/100</f>
        <v>0</v>
      </c>
      <c r="M303" s="174">
        <f>SUM(FL305:FP309)/100</f>
        <v>0</v>
      </c>
    </row>
    <row r="304" spans="1:172" ht="20.100000000000001" customHeight="1" x14ac:dyDescent="0.3">
      <c r="A304" s="151" t="s">
        <v>239</v>
      </c>
      <c r="B304" s="152" t="e">
        <f t="shared" ref="B304:M304" si="2298">B303/Lote_38</f>
        <v>#DIV/0!</v>
      </c>
      <c r="C304" s="152" t="e">
        <f t="shared" si="2298"/>
        <v>#DIV/0!</v>
      </c>
      <c r="D304" s="152" t="e">
        <f t="shared" si="2298"/>
        <v>#DIV/0!</v>
      </c>
      <c r="E304" s="152" t="e">
        <f t="shared" si="2298"/>
        <v>#DIV/0!</v>
      </c>
      <c r="F304" s="152" t="e">
        <f t="shared" si="2298"/>
        <v>#DIV/0!</v>
      </c>
      <c r="G304" s="152" t="e">
        <f t="shared" si="2298"/>
        <v>#DIV/0!</v>
      </c>
      <c r="H304" s="152" t="e">
        <f t="shared" si="2298"/>
        <v>#DIV/0!</v>
      </c>
      <c r="I304" s="152" t="e">
        <f t="shared" si="2298"/>
        <v>#DIV/0!</v>
      </c>
      <c r="J304" s="152" t="e">
        <f t="shared" si="2298"/>
        <v>#DIV/0!</v>
      </c>
      <c r="K304" s="152" t="e">
        <f t="shared" si="2298"/>
        <v>#DIV/0!</v>
      </c>
      <c r="L304" s="152" t="e">
        <f t="shared" si="2298"/>
        <v>#DIV/0!</v>
      </c>
      <c r="M304" s="152" t="e">
        <f t="shared" si="2298"/>
        <v>#DIV/0!</v>
      </c>
    </row>
    <row r="305" spans="1:172" ht="20.100000000000001" customHeight="1" x14ac:dyDescent="0.3">
      <c r="A305" s="8" t="s">
        <v>302</v>
      </c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O305" s="58">
        <f>IFERROR('6'!O$155/Ciclo,0)</f>
        <v>0</v>
      </c>
      <c r="P305" s="58">
        <f>IFERROR('6'!P$155/Ciclo,0)</f>
        <v>0</v>
      </c>
      <c r="Q305" s="58">
        <f>IFERROR('6'!Q$155/Ciclo,0)</f>
        <v>0</v>
      </c>
      <c r="R305" s="58">
        <f>IFERROR('6'!R$155/Ciclo,0)</f>
        <v>0</v>
      </c>
      <c r="S305" s="58">
        <f>IFERROR('6'!S$155/Ciclo,0)</f>
        <v>0</v>
      </c>
      <c r="T305" s="58">
        <f>IFERROR('6'!T$155/Ciclo,0)</f>
        <v>0</v>
      </c>
      <c r="U305" s="58">
        <f>IFERROR('6'!U$155/Ciclo,0)</f>
        <v>0</v>
      </c>
      <c r="V305" s="58">
        <f>IFERROR('6'!V$155/Ciclo,0)</f>
        <v>0</v>
      </c>
      <c r="W305" s="5">
        <f>IFERROR('6'!W$155/Ciclo,0)</f>
        <v>0</v>
      </c>
      <c r="X305" s="5">
        <f>IFERROR('6'!X$155/Ciclo,0)</f>
        <v>0</v>
      </c>
      <c r="Y305" s="5">
        <f>IFERROR('6'!Y$155/Ciclo,0)</f>
        <v>0</v>
      </c>
      <c r="Z305" s="5">
        <f>IFERROR('6'!Z$155/Ciclo,0)</f>
        <v>0</v>
      </c>
      <c r="AB305" s="5">
        <f>IF($B$302="Producción",IF($B305&gt;=LI_A,$O305,0),0)</f>
        <v>0</v>
      </c>
      <c r="AC305" s="5">
        <f>IF($B$302="Producción",IF($B305&gt;=LI_B,IF($B305&lt;LS_B,$O305,0),0),0)</f>
        <v>0</v>
      </c>
      <c r="AD305" s="5">
        <f>IF($B$302="Producción",IF($B305&gt;=LI_C,IF($B305&lt;LS_C,$O305,0),0),0)</f>
        <v>0</v>
      </c>
      <c r="AE305" s="5">
        <f>IF($B$302="Producción",IF($B305&lt;LS_D,$O305,0),0)</f>
        <v>0</v>
      </c>
      <c r="AF305" s="5">
        <f>IF($B$302="Crecimiento",$O305,0)</f>
        <v>0</v>
      </c>
      <c r="AG305" s="5">
        <f>IF($B302="Siembra",'6'!$O$7,0)</f>
        <v>0</v>
      </c>
      <c r="AH305" s="5">
        <f>IF($B302="Abandono",'6'!$O$7,0)</f>
        <v>0</v>
      </c>
      <c r="AI305" s="5">
        <f>IF($C$302="Producción",IF($C305&gt;=LI_A,$P305,0),0)</f>
        <v>0</v>
      </c>
      <c r="AJ305" s="5">
        <f>IF($C$302="Producción",IF($C305&gt;=LI_B,IF($C305&lt;LS_B,$P305,0),0),0)</f>
        <v>0</v>
      </c>
      <c r="AK305" s="5">
        <f>IF($C$302="Producción",IF($C305&gt;=LI_C,IF($C305&lt;LS_C,$P305,0),0),0)</f>
        <v>0</v>
      </c>
      <c r="AL305" s="5">
        <f>IF($C$302="Producción",IF($C305&lt;LS_D,$P305,0),0)</f>
        <v>0</v>
      </c>
      <c r="AM305" s="5">
        <f>IF($C$302="Crecimiento",$P305,0)</f>
        <v>0</v>
      </c>
      <c r="AN305" s="5">
        <f>IF($C302="Siembra",'6'!$P$7,0)</f>
        <v>0</v>
      </c>
      <c r="AO305" s="5">
        <f>IF($C302="Abandono",'6'!$P$7,0)</f>
        <v>0</v>
      </c>
      <c r="AP305" s="5">
        <f>IF($D$302="Producción",IF($D305&gt;=LI_A,$Q305,0),0)</f>
        <v>0</v>
      </c>
      <c r="AQ305" s="5">
        <f>IF($D$302="Producción",IF($D305&gt;=LI_B,IF($D305&lt;LS_B,$Q305,0),0),0)</f>
        <v>0</v>
      </c>
      <c r="AR305" s="5">
        <f>IF($D$302="Producción",IF($D305&gt;=LI_C,IF($D305&lt;LS_C,$Q305,0),0),0)</f>
        <v>0</v>
      </c>
      <c r="AS305" s="5">
        <f>IF($D$302="Producción",IF($D305&lt;LS_D,$Q305,0),0)</f>
        <v>0</v>
      </c>
      <c r="AT305" s="5">
        <f>IF($D$302="Crecimiento",IF($D305&gt;0,$Q305,0),0)</f>
        <v>0</v>
      </c>
      <c r="AU305" s="5">
        <f>IF($D302="Siembra",'6'!$Q$7,0)</f>
        <v>0</v>
      </c>
      <c r="AV305" s="5">
        <f>IF($D302="Abandono",'6'!$Q$7,0)</f>
        <v>0</v>
      </c>
      <c r="AW305" s="5">
        <f>IF($E$302="Producción",IF($E305&gt;=LI_A,$R305,0),0)</f>
        <v>0</v>
      </c>
      <c r="AX305" s="5">
        <f>IF($E$302="Producción",IF($E305&gt;=LI_B,IF($E305&lt;LS_B,$R305,0),0),0)</f>
        <v>0</v>
      </c>
      <c r="AY305" s="5">
        <f>IF($E$302="Producción",IF($E305&gt;=LI_C,IF($E305&lt;LS_C,$R305,0),0),0)</f>
        <v>0</v>
      </c>
      <c r="AZ305" s="5">
        <f>IF($E$302="Producción",IF($E305&lt;LS_D,$R305,0),0)</f>
        <v>0</v>
      </c>
      <c r="BA305" s="5">
        <f>IF($E$302="Crecimiento",$R305,0)</f>
        <v>0</v>
      </c>
      <c r="BB305" s="5">
        <f>IF($E302="Siembra",'6'!$R$7,0)</f>
        <v>0</v>
      </c>
      <c r="BC305" s="5">
        <f>IF($E302="Abandono",'6'!$R$7,0)</f>
        <v>0</v>
      </c>
      <c r="BD305" s="5">
        <f>IF($F$302="Producción",IF($F305&gt;=LI_A,$S305,0),0)</f>
        <v>0</v>
      </c>
      <c r="BE305" s="5">
        <f>IF($F$302="Producción",IF($F305&gt;=LI_B,IF($F305&lt;LS_B,$S305,0),0),0)</f>
        <v>0</v>
      </c>
      <c r="BF305" s="5">
        <f>IF($F$302="Producción",IF($F305&gt;=LI_C,IF($F305&lt;LS_C,$S305,0),0),0)</f>
        <v>0</v>
      </c>
      <c r="BG305" s="5">
        <f>IF($F$302="Producción",IF($F305&lt;LS_D,$S305,0),0)</f>
        <v>0</v>
      </c>
      <c r="BH305" s="5">
        <f>IF($F$302="Crecimiento",$S305,0)</f>
        <v>0</v>
      </c>
      <c r="BI305" s="5">
        <f>IF($F302="Siembra",'6'!$S$7,0)</f>
        <v>0</v>
      </c>
      <c r="BJ305" s="5">
        <f>IF($F302="Abandono",'6'!$S$7,0)</f>
        <v>0</v>
      </c>
      <c r="BK305" s="5">
        <f>IF($G$302="Producción",IF($G305&gt;=LI_A,$T305,0),0)</f>
        <v>0</v>
      </c>
      <c r="BL305" s="5">
        <f>IF($G$302="Producción",IF($G305&gt;=LI_B,IF($G305&lt;LS_B,$T305,0),0),0)</f>
        <v>0</v>
      </c>
      <c r="BM305" s="5">
        <f>IF($G$302="Producción",IF($G305&gt;=LI_C,IF($G305&lt;LS_C,$T305,0),0),0)</f>
        <v>0</v>
      </c>
      <c r="BN305" s="5">
        <f>IF($G$302="Producción",IF($G305&lt;LS_D,$T305,0),0)</f>
        <v>0</v>
      </c>
      <c r="BO305" s="5">
        <f>IF($G$302="Crecimiento",$T305,0)</f>
        <v>0</v>
      </c>
      <c r="BP305" s="5">
        <f>IF($G302="Siembra",'6'!$T$7,0)</f>
        <v>0</v>
      </c>
      <c r="BQ305" s="5">
        <f>IF($G302="Abandono",'6'!$T$7,0)</f>
        <v>0</v>
      </c>
      <c r="BR305" s="5">
        <f>IF($H$302="Producción",IF($H305&gt;=LI_A,$U305,0),0)</f>
        <v>0</v>
      </c>
      <c r="BS305" s="5">
        <f>IF($H$302="Producción",IF($H305&gt;=LI_B,IF($H305&lt;LS_B,$U305,0),0),0)</f>
        <v>0</v>
      </c>
      <c r="BT305" s="5">
        <f>IF($H$302="Producción",IF($H305&gt;=LI_C,IF($H305&lt;LS_C,$U305,0),0),0)</f>
        <v>0</v>
      </c>
      <c r="BU305" s="5">
        <f>IF($H$302="Producción",IF($H305&lt;LS_D,$U305,0),0)</f>
        <v>0</v>
      </c>
      <c r="BV305" s="5">
        <f>IF($H$302="Crecimiento",$T305,0)</f>
        <v>0</v>
      </c>
      <c r="BW305" s="5">
        <f>IF($H302="Siembra",'6'!$U$7,0)</f>
        <v>0</v>
      </c>
      <c r="BX305" s="5">
        <f>IF($H302="Abandono",'6'!$U$7,0)</f>
        <v>0</v>
      </c>
      <c r="BY305" s="5">
        <f>IF($I$302="Producción",IF($I305&gt;=LI_A,$V305,0),0)</f>
        <v>0</v>
      </c>
      <c r="BZ305" s="5">
        <f>IF($I$302="Producción",IF($I305&gt;=LI_B,IF($I305&lt;LS_B,$V305,0),0),0)</f>
        <v>0</v>
      </c>
      <c r="CA305" s="5">
        <f>IF($I$302="Producción",IF($I305&gt;=LI_C,IF($I305&lt;LS_C,$V305,0),0),0)</f>
        <v>0</v>
      </c>
      <c r="CB305" s="5">
        <f>IF($I$302="Producción",IF($I305&lt;LS_D,$V305,0),0)</f>
        <v>0</v>
      </c>
      <c r="CC305" s="5">
        <f>IF($I$302="Crecimiento",$V305,0)</f>
        <v>0</v>
      </c>
      <c r="CD305" s="5">
        <f>IF($I302="Siembra",'6'!$V$7,0)</f>
        <v>0</v>
      </c>
      <c r="CE305" s="5">
        <f>IF($I302="Abandono",'6'!$V$7,0)</f>
        <v>0</v>
      </c>
      <c r="CF305" s="5">
        <f>IF($J$302="Producción",IF($J305&gt;=LI_A,$W305,0),0)</f>
        <v>0</v>
      </c>
      <c r="CG305" s="5">
        <f>IF($J$302="Producción",IF($J305&gt;=LI_B,IF($J305&lt;LS_B,$W305,0),0),0)</f>
        <v>0</v>
      </c>
      <c r="CH305" s="5">
        <f>IF($J$302="Producción",IF($J305&gt;=LI_C,IF($J305&lt;LS_C,$W305,0),0),0)</f>
        <v>0</v>
      </c>
      <c r="CI305" s="5">
        <f>IF($J$302="Producción",IF($J305&lt;LS_D,$W305,0),0)</f>
        <v>0</v>
      </c>
      <c r="CJ305" s="5">
        <f>IF($J$302="Crecimiento",$W305,0)</f>
        <v>0</v>
      </c>
      <c r="CK305" s="5">
        <f>IF($J302="Siembra",'6'!$W$7,0)</f>
        <v>0</v>
      </c>
      <c r="CL305" s="5">
        <f>IF($J302="Abandono",'6'!$W$7,0)</f>
        <v>0</v>
      </c>
      <c r="CM305" s="5">
        <f>IF($K$302="Producción",IF($K305&gt;=LI_A,$X305,0),0)</f>
        <v>0</v>
      </c>
      <c r="CN305" s="5">
        <f>IF($K$302="Producción",IF($K305&gt;=LI_B,IF($K305&lt;LS_B,$X305,0),0),0)</f>
        <v>0</v>
      </c>
      <c r="CO305" s="5">
        <f>IF($K$302="Producción",IF($K305&gt;=LI_C,IF($K305&lt;LS_C,$X305,0),0),0)</f>
        <v>0</v>
      </c>
      <c r="CP305" s="5">
        <f>IF($K$302="Producción",IF($K305&lt;LS_D,$X305,0),0)</f>
        <v>0</v>
      </c>
      <c r="CQ305" s="5">
        <f>IF($K$302="Crecimiento",$X305,0)</f>
        <v>0</v>
      </c>
      <c r="CR305" s="5">
        <f>IF($K302="Siembra",'6'!$X$7,0)</f>
        <v>0</v>
      </c>
      <c r="CS305" s="5">
        <f>IF($K302="Abandono",'6'!$X$7,0)</f>
        <v>0</v>
      </c>
      <c r="CT305" s="5">
        <f>IF($L$302="Producción",IF($L305&gt;=LI_A,$Y305,0),0)</f>
        <v>0</v>
      </c>
      <c r="CU305" s="5">
        <f>IF($L$302="Producción",IF($L305&gt;=LI_B,IF($L305&lt;LS_B,$Y305,0),0),0)</f>
        <v>0</v>
      </c>
      <c r="CV305" s="5">
        <f>IF($L$302="Producción",IF($L305&gt;=LI_C,IF($L305&lt;LS_C,$Y305,0),0),0)</f>
        <v>0</v>
      </c>
      <c r="CW305" s="5">
        <f>IF($L$302="Producción",IF($L305&lt;LS_D,$Y305,0),0)</f>
        <v>0</v>
      </c>
      <c r="CX305" s="5">
        <f>IF($L$302="Crecimiento",$Y305,0)</f>
        <v>0</v>
      </c>
      <c r="CY305" s="5">
        <f>IF($L302="Siembra",'6'!$Y$7,0)</f>
        <v>0</v>
      </c>
      <c r="CZ305" s="5">
        <f>IF($L302="Abandono",'6'!$Y$7,0)</f>
        <v>0</v>
      </c>
      <c r="DA305" s="5">
        <f>IF($M$302="Producción",IF($M305&gt;=LI_A,$Z305,0),0)</f>
        <v>0</v>
      </c>
      <c r="DB305" s="5">
        <f>IF($M$302="Producción",IF($M305&gt;=LI_B,IF($M305&lt;LS_B,$Z305,0),0),0)</f>
        <v>0</v>
      </c>
      <c r="DC305" s="5">
        <f>IF($M$302="Producción",IF($M305&gt;=LI_C,IF($M305&lt;LS_C,$Z305,0),0),0)</f>
        <v>0</v>
      </c>
      <c r="DD305" s="5">
        <f>IF($M$302="Producción",IF($M305&lt;LS_D,$Z305,0),0)</f>
        <v>0</v>
      </c>
      <c r="DE305" s="5">
        <f>IF($M$302="Crecimiento",$Z305,0)</f>
        <v>0</v>
      </c>
      <c r="DF305" s="5">
        <f>IF($M302="Siembra",'6'!$Z$7,0)</f>
        <v>0</v>
      </c>
      <c r="DG305" s="5">
        <f>IF($M302="Abandono",'6'!$Z$7,0)</f>
        <v>0</v>
      </c>
      <c r="DI305" s="5">
        <f t="shared" ref="DI305:DI309" si="2299">AB305*$B305</f>
        <v>0</v>
      </c>
      <c r="DJ305" s="5">
        <f t="shared" ref="DJ305:DJ309" si="2300">AC305*$B305</f>
        <v>0</v>
      </c>
      <c r="DK305" s="5">
        <f t="shared" ref="DK305:DK309" si="2301">AD305*$B305</f>
        <v>0</v>
      </c>
      <c r="DL305" s="5">
        <f t="shared" ref="DL305:DL309" si="2302">AE305*$B305</f>
        <v>0</v>
      </c>
      <c r="DM305" s="5">
        <f t="shared" ref="DM305:DM309" si="2303">AF305*$B305</f>
        <v>0</v>
      </c>
      <c r="DN305" s="5">
        <f t="shared" ref="DN305:DN309" si="2304">AI305*$C305</f>
        <v>0</v>
      </c>
      <c r="DO305" s="5">
        <f t="shared" ref="DO305:DO309" si="2305">AJ305*$C305</f>
        <v>0</v>
      </c>
      <c r="DP305" s="5">
        <f t="shared" ref="DP305:DP309" si="2306">AK305*$C305</f>
        <v>0</v>
      </c>
      <c r="DQ305" s="5">
        <f t="shared" ref="DQ305:DQ309" si="2307">AL305*$C305</f>
        <v>0</v>
      </c>
      <c r="DR305" s="5">
        <f t="shared" ref="DR305:DR309" si="2308">AM305*$C305</f>
        <v>0</v>
      </c>
      <c r="DS305" s="5">
        <f t="shared" ref="DS305:DS309" si="2309">AP305*$D305</f>
        <v>0</v>
      </c>
      <c r="DT305" s="5">
        <f t="shared" ref="DT305:DT309" si="2310">AQ305*$D305</f>
        <v>0</v>
      </c>
      <c r="DU305" s="5">
        <f t="shared" ref="DU305:DU309" si="2311">AR305*$D305</f>
        <v>0</v>
      </c>
      <c r="DV305" s="5">
        <f t="shared" ref="DV305:DV309" si="2312">AS305*$D305</f>
        <v>0</v>
      </c>
      <c r="DW305" s="5">
        <f t="shared" ref="DW305:DW309" si="2313">AT305*$D305</f>
        <v>0</v>
      </c>
      <c r="DX305" s="5">
        <f t="shared" ref="DX305:DX309" si="2314">AW305*$E305</f>
        <v>0</v>
      </c>
      <c r="DY305" s="5">
        <f t="shared" ref="DY305:DY309" si="2315">AX305*$E305</f>
        <v>0</v>
      </c>
      <c r="DZ305" s="5">
        <f t="shared" ref="DZ305:DZ309" si="2316">AY305*$E305</f>
        <v>0</v>
      </c>
      <c r="EA305" s="5">
        <f t="shared" ref="EA305:EA309" si="2317">AZ305*$E305</f>
        <v>0</v>
      </c>
      <c r="EB305" s="5">
        <f t="shared" ref="EB305:EB309" si="2318">BA305*$E305</f>
        <v>0</v>
      </c>
      <c r="EC305" s="5">
        <f t="shared" ref="EC305:EC309" si="2319">BD305*$F305</f>
        <v>0</v>
      </c>
      <c r="ED305" s="5">
        <f t="shared" ref="ED305:ED309" si="2320">BE305*$F305</f>
        <v>0</v>
      </c>
      <c r="EE305" s="5">
        <f t="shared" ref="EE305:EE309" si="2321">BF305*$F305</f>
        <v>0</v>
      </c>
      <c r="EF305" s="5">
        <f t="shared" ref="EF305:EF309" si="2322">BG305*$F305</f>
        <v>0</v>
      </c>
      <c r="EG305" s="5">
        <f t="shared" ref="EG305:EG309" si="2323">BH305*$F305</f>
        <v>0</v>
      </c>
      <c r="EH305" s="5">
        <f t="shared" ref="EH305:EH309" si="2324">BK305*$G305</f>
        <v>0</v>
      </c>
      <c r="EI305" s="5">
        <f t="shared" ref="EI305:EI309" si="2325">BL305*$G305</f>
        <v>0</v>
      </c>
      <c r="EJ305" s="5">
        <f t="shared" ref="EJ305:EJ309" si="2326">BM305*$G305</f>
        <v>0</v>
      </c>
      <c r="EK305" s="5">
        <f t="shared" ref="EK305:EK309" si="2327">BN305*$G305</f>
        <v>0</v>
      </c>
      <c r="EL305" s="5">
        <f t="shared" ref="EL305:EL309" si="2328">BO305*$G305</f>
        <v>0</v>
      </c>
      <c r="EM305" s="5">
        <f t="shared" ref="EM305:EM309" si="2329">BR305*$H305</f>
        <v>0</v>
      </c>
      <c r="EN305" s="5">
        <f t="shared" ref="EN305:EN309" si="2330">BS305*$H305</f>
        <v>0</v>
      </c>
      <c r="EO305" s="5">
        <f t="shared" ref="EO305:EO309" si="2331">BT305*$H305</f>
        <v>0</v>
      </c>
      <c r="EP305" s="5">
        <f t="shared" ref="EP305:EP309" si="2332">BU305*$H305</f>
        <v>0</v>
      </c>
      <c r="EQ305" s="5">
        <f t="shared" ref="EQ305:EQ309" si="2333">BV305*$H305</f>
        <v>0</v>
      </c>
      <c r="ER305" s="5">
        <f t="shared" ref="ER305:ER309" si="2334">BY305*$I305</f>
        <v>0</v>
      </c>
      <c r="ES305" s="5">
        <f t="shared" ref="ES305:ES309" si="2335">BZ305*$I305</f>
        <v>0</v>
      </c>
      <c r="ET305" s="5">
        <f t="shared" ref="ET305:ET309" si="2336">CA305*$I305</f>
        <v>0</v>
      </c>
      <c r="EU305" s="5">
        <f t="shared" ref="EU305:EU309" si="2337">CB305*$I305</f>
        <v>0</v>
      </c>
      <c r="EV305" s="5">
        <f t="shared" ref="EV305:EV309" si="2338">CC305*$I305</f>
        <v>0</v>
      </c>
      <c r="EW305" s="5">
        <f t="shared" ref="EW305:EW309" si="2339">CF305*$J305</f>
        <v>0</v>
      </c>
      <c r="EX305" s="5">
        <f t="shared" ref="EX305:EX309" si="2340">CG305*$J305</f>
        <v>0</v>
      </c>
      <c r="EY305" s="5">
        <f t="shared" ref="EY305:EY309" si="2341">CH305*$J305</f>
        <v>0</v>
      </c>
      <c r="EZ305" s="5">
        <f t="shared" ref="EZ305:EZ309" si="2342">CI305*$J305</f>
        <v>0</v>
      </c>
      <c r="FA305" s="5">
        <f t="shared" ref="FA305:FA309" si="2343">CJ305*$J305</f>
        <v>0</v>
      </c>
      <c r="FB305" s="5">
        <f t="shared" ref="FB305:FB309" si="2344">CM305*$K305</f>
        <v>0</v>
      </c>
      <c r="FC305" s="5">
        <f t="shared" ref="FC305:FC309" si="2345">CN305*$K305</f>
        <v>0</v>
      </c>
      <c r="FD305" s="5">
        <f t="shared" ref="FD305:FD309" si="2346">CO305*$K305</f>
        <v>0</v>
      </c>
      <c r="FE305" s="5">
        <f t="shared" ref="FE305:FE309" si="2347">CP305*$K305</f>
        <v>0</v>
      </c>
      <c r="FF305" s="5">
        <f t="shared" ref="FF305:FF309" si="2348">CQ305*$K305</f>
        <v>0</v>
      </c>
      <c r="FG305" s="5">
        <f t="shared" ref="FG305:FG309" si="2349">CT305*$L305</f>
        <v>0</v>
      </c>
      <c r="FH305" s="5">
        <f t="shared" ref="FH305:FH309" si="2350">CU305*$L305</f>
        <v>0</v>
      </c>
      <c r="FI305" s="5">
        <f t="shared" ref="FI305:FI309" si="2351">CV305*$L305</f>
        <v>0</v>
      </c>
      <c r="FJ305" s="5">
        <f t="shared" ref="FJ305:FJ309" si="2352">CW305*$L305</f>
        <v>0</v>
      </c>
      <c r="FK305" s="5">
        <f t="shared" ref="FK305:FK309" si="2353">CX305*$L305</f>
        <v>0</v>
      </c>
      <c r="FL305" s="5">
        <f t="shared" ref="FL305:FL309" si="2354">DA305*$M305</f>
        <v>0</v>
      </c>
      <c r="FM305" s="5">
        <f t="shared" ref="FM305:FM309" si="2355">DB305*$M305</f>
        <v>0</v>
      </c>
      <c r="FN305" s="5">
        <f t="shared" ref="FN305:FN309" si="2356">DC305*$M305</f>
        <v>0</v>
      </c>
      <c r="FO305" s="5">
        <f t="shared" ref="FO305:FO309" si="2357">DD305*$M305</f>
        <v>0</v>
      </c>
      <c r="FP305" s="5">
        <f t="shared" ref="FP305:FP309" si="2358">DE305*$M305</f>
        <v>0</v>
      </c>
    </row>
    <row r="306" spans="1:172" ht="20.100000000000001" customHeight="1" x14ac:dyDescent="0.3">
      <c r="A306" s="8" t="s">
        <v>303</v>
      </c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O306" s="58">
        <f>IFERROR('6'!O$155/Ciclo,0)</f>
        <v>0</v>
      </c>
      <c r="P306" s="58">
        <f>IFERROR('6'!P$155/Ciclo,0)</f>
        <v>0</v>
      </c>
      <c r="Q306" s="58">
        <f>IFERROR('6'!Q$155/Ciclo,0)</f>
        <v>0</v>
      </c>
      <c r="R306" s="58">
        <f>IFERROR('6'!R$155/Ciclo,0)</f>
        <v>0</v>
      </c>
      <c r="S306" s="58">
        <f>IFERROR('6'!S$155/Ciclo,0)</f>
        <v>0</v>
      </c>
      <c r="T306" s="58">
        <f>IFERROR('6'!T$155/Ciclo,0)</f>
        <v>0</v>
      </c>
      <c r="U306" s="58">
        <f>IFERROR('6'!U$155/Ciclo,0)</f>
        <v>0</v>
      </c>
      <c r="V306" s="58">
        <f>IFERROR('6'!V$155/Ciclo,0)</f>
        <v>0</v>
      </c>
      <c r="W306" s="5">
        <f>IFERROR('6'!W$155/Ciclo,0)</f>
        <v>0</v>
      </c>
      <c r="X306" s="5">
        <f>IFERROR('6'!X$155/Ciclo,0)</f>
        <v>0</v>
      </c>
      <c r="Y306" s="5">
        <f>IFERROR('6'!Y$155/Ciclo,0)</f>
        <v>0</v>
      </c>
      <c r="Z306" s="5">
        <f>IFERROR('6'!Z$155/Ciclo,0)</f>
        <v>0</v>
      </c>
      <c r="AB306" s="5">
        <f>IF($B$302="Producción",IF($B306&gt;=LI_A,$O306,0),0)</f>
        <v>0</v>
      </c>
      <c r="AC306" s="5">
        <f>IF($B$302="Producción",IF($B306&gt;=LI_B,IF($B306&lt;LS_B,$O306,0),0),0)</f>
        <v>0</v>
      </c>
      <c r="AD306" s="5">
        <f>IF($B$302="Producción",IF($B306&gt;=LI_C,IF($B306&lt;LS_C,$O306,0),0),0)</f>
        <v>0</v>
      </c>
      <c r="AE306" s="5">
        <f>IF($B$302="Producción",IF($B306&lt;LS_D,$O306,0),0)</f>
        <v>0</v>
      </c>
      <c r="AF306" s="5">
        <f t="shared" ref="AF306:AF309" si="2359">IF($B$302="Crecimiento",$O306,0)</f>
        <v>0</v>
      </c>
      <c r="AI306" s="5">
        <f>IF($C$302="Producción",IF($C306&gt;=LI_A,$P306,0),0)</f>
        <v>0</v>
      </c>
      <c r="AJ306" s="5">
        <f>IF($C$302="Producción",IF($C306&gt;=LI_B,IF($C306&lt;LS_B,$P306,0),0),0)</f>
        <v>0</v>
      </c>
      <c r="AK306" s="5">
        <f>IF($C$302="Producción",IF($C306&gt;=LI_C,IF($C306&lt;LS_C,$P306,0),0),0)</f>
        <v>0</v>
      </c>
      <c r="AL306" s="5">
        <f>IF($C$302="Producción",IF($C306&lt;LS_D,$P306,0),0)</f>
        <v>0</v>
      </c>
      <c r="AM306" s="5">
        <f>IF($C$302="Crecimiento",$P306,0)</f>
        <v>0</v>
      </c>
      <c r="AP306" s="5">
        <f>IF($D$302="Producción",IF($D306&gt;=LI_A,$Q306,0),0)</f>
        <v>0</v>
      </c>
      <c r="AQ306" s="5">
        <f>IF($D$302="Producción",IF($D306&gt;=LI_B,IF($D306&lt;LS_B,$Q306,0),0),0)</f>
        <v>0</v>
      </c>
      <c r="AR306" s="5">
        <f>IF($D$302="Producción",IF($D306&gt;=LI_C,IF($D306&lt;LS_C,$Q306,0),0),0)</f>
        <v>0</v>
      </c>
      <c r="AS306" s="5">
        <f>IF($D$302="Producción",IF($D306&lt;LS_D,$Q306,0),0)</f>
        <v>0</v>
      </c>
      <c r="AT306" s="5">
        <f>IF($D$302="Crecimiento",IF($D306&gt;0,$Q306,0),0)</f>
        <v>0</v>
      </c>
      <c r="AW306" s="5">
        <f>IF($E$302="Producción",IF($E306&gt;=LI_A,$R306,0),0)</f>
        <v>0</v>
      </c>
      <c r="AX306" s="5">
        <f>IF($E$302="Producción",IF($E306&gt;=LI_B,IF($E306&lt;LS_B,$R306,0),0),0)</f>
        <v>0</v>
      </c>
      <c r="AY306" s="5">
        <f>IF($E$302="Producción",IF($E306&gt;=LI_C,IF($E306&lt;LS_C,$R306,0),0),0)</f>
        <v>0</v>
      </c>
      <c r="AZ306" s="5">
        <f>IF($E$302="Producción",IF($E306&lt;LS_D,$R306,0),0)</f>
        <v>0</v>
      </c>
      <c r="BA306" s="5">
        <f>IF($E$302="Crecimiento",$R306,0)</f>
        <v>0</v>
      </c>
      <c r="BD306" s="5">
        <f>IF($F$302="Producción",IF($F306&gt;=LI_A,$S306,0),0)</f>
        <v>0</v>
      </c>
      <c r="BE306" s="5">
        <f>IF($F$302="Producción",IF($F306&gt;=LI_B,IF($F306&lt;LS_B,$S306,0),0),0)</f>
        <v>0</v>
      </c>
      <c r="BF306" s="5">
        <f>IF($F$302="Producción",IF($F306&gt;=LI_C,IF($F306&lt;LS_C,$S306,0),0),0)</f>
        <v>0</v>
      </c>
      <c r="BG306" s="5">
        <f>IF($F$302="Producción",IF($F306&lt;LS_D,$S306,0),0)</f>
        <v>0</v>
      </c>
      <c r="BH306" s="5">
        <f>IF($F$302="Crecimiento",$S306,0)</f>
        <v>0</v>
      </c>
      <c r="BK306" s="5">
        <f>IF($G$302="Producción",IF($G306&gt;=LI_A,$T306,0),0)</f>
        <v>0</v>
      </c>
      <c r="BL306" s="5">
        <f>IF($G$302="Producción",IF($G306&gt;=LI_B,IF($G306&lt;LS_B,$T306,0),0),0)</f>
        <v>0</v>
      </c>
      <c r="BM306" s="5">
        <f>IF($G$302="Producción",IF($G306&gt;=LI_C,IF($G306&lt;LS_C,$T306,0),0),0)</f>
        <v>0</v>
      </c>
      <c r="BN306" s="5">
        <f>IF($G$302="Producción",IF($G306&lt;LS_D,$T306,0),0)</f>
        <v>0</v>
      </c>
      <c r="BO306" s="5">
        <f>IF($G$302="Crecimiento",$T306,0)</f>
        <v>0</v>
      </c>
      <c r="BR306" s="5">
        <f>IF($H$302="Producción",IF($H306&gt;=LI_A,$U306,0),0)</f>
        <v>0</v>
      </c>
      <c r="BS306" s="5">
        <f>IF($H$302="Producción",IF($H306&gt;=LI_B,IF($H306&lt;LS_B,$U306,0),0),0)</f>
        <v>0</v>
      </c>
      <c r="BT306" s="5">
        <f>IF($H$302="Producción",IF($H306&gt;=LI_C,IF($H306&lt;LS_C,$U306,0),0),0)</f>
        <v>0</v>
      </c>
      <c r="BU306" s="5">
        <f>IF($H$302="Producción",IF($H306&lt;LS_D,$U306,0),0)</f>
        <v>0</v>
      </c>
      <c r="BV306" s="5">
        <f>IF($H$302="Crecimiento",$T306,0)</f>
        <v>0</v>
      </c>
      <c r="BY306" s="5">
        <f>IF($I$302="Producción",IF($I306&gt;=LI_A,$V306,0),0)</f>
        <v>0</v>
      </c>
      <c r="BZ306" s="5">
        <f>IF($I$302="Producción",IF($I306&gt;=LI_B,IF($I306&lt;LS_B,$V306,0),0),0)</f>
        <v>0</v>
      </c>
      <c r="CA306" s="5">
        <f>IF($I$302="Producción",IF($I306&gt;=LI_C,IF($I306&lt;LS_C,$V306,0),0),0)</f>
        <v>0</v>
      </c>
      <c r="CB306" s="5">
        <f>IF($I$302="Producción",IF($I306&lt;LS_D,$V306,0),0)</f>
        <v>0</v>
      </c>
      <c r="CC306" s="5">
        <f>IF($I$302="Crecimiento",$V306,0)</f>
        <v>0</v>
      </c>
      <c r="CF306" s="5">
        <f>IF($J$302="Producción",IF($J306&gt;=LI_A,$W306,0),0)</f>
        <v>0</v>
      </c>
      <c r="CG306" s="5">
        <f>IF($J$302="Producción",IF($J306&gt;=LI_B,IF($J306&lt;LS_B,$W306,0),0),0)</f>
        <v>0</v>
      </c>
      <c r="CH306" s="5">
        <f>IF($J$302="Producción",IF($J306&gt;=LI_C,IF($J306&lt;LS_C,$W306,0),0),0)</f>
        <v>0</v>
      </c>
      <c r="CI306" s="5">
        <f>IF($J$302="Producción",IF($J306&lt;LS_D,$W306,0),0)</f>
        <v>0</v>
      </c>
      <c r="CJ306" s="5">
        <f>IF($J$302="Crecimiento",$W306,0)</f>
        <v>0</v>
      </c>
      <c r="CM306" s="5">
        <f>IF($K$302="Producción",IF($K306&gt;=LI_A,$X306,0),0)</f>
        <v>0</v>
      </c>
      <c r="CN306" s="5">
        <f>IF($K$302="Producción",IF($K306&gt;=LI_B,IF($K306&lt;LS_B,$X306,0),0),0)</f>
        <v>0</v>
      </c>
      <c r="CO306" s="5">
        <f>IF($K$302="Producción",IF($K306&gt;=LI_C,IF($K306&lt;LS_C,$X306,0),0),0)</f>
        <v>0</v>
      </c>
      <c r="CP306" s="5">
        <f>IF($K$302="Producción",IF($K306&lt;LS_D,$X306,0),0)</f>
        <v>0</v>
      </c>
      <c r="CQ306" s="5">
        <f>IF($K$302="Crecimiento",$X306,0)</f>
        <v>0</v>
      </c>
      <c r="CT306" s="5">
        <f>IF($L$302="Producción",IF($L306&gt;=LI_A,$Y306,0),0)</f>
        <v>0</v>
      </c>
      <c r="CU306" s="5">
        <f>IF($L$302="Producción",IF($L306&gt;=LI_B,IF($L306&lt;LS_B,$Y306,0),0),0)</f>
        <v>0</v>
      </c>
      <c r="CV306" s="5">
        <f>IF($L$302="Producción",IF($L306&gt;=LI_C,IF($L306&lt;LS_C,$Y306,0),0),0)</f>
        <v>0</v>
      </c>
      <c r="CW306" s="5">
        <f>IF($L$302="Producción",IF($L306&lt;LS_D,$Y306,0),0)</f>
        <v>0</v>
      </c>
      <c r="CX306" s="5">
        <f>IF($L$302="Crecimiento",$Y306,0)</f>
        <v>0</v>
      </c>
      <c r="DA306" s="5">
        <f>IF($M$302="Producción",IF($M306&gt;=LI_A,$Z306,0),0)</f>
        <v>0</v>
      </c>
      <c r="DB306" s="5">
        <f>IF($M$302="Producción",IF($M306&gt;=LI_B,IF($M306&lt;LS_B,$Z306,0),0),0)</f>
        <v>0</v>
      </c>
      <c r="DC306" s="5">
        <f>IF($M$302="Producción",IF($M306&gt;=LI_C,IF($M306&lt;LS_C,$Z306,0),0),0)</f>
        <v>0</v>
      </c>
      <c r="DD306" s="5">
        <f>IF($M$302="Producción",IF($M306&lt;LS_D,$Z306,0),0)</f>
        <v>0</v>
      </c>
      <c r="DE306" s="5">
        <f>IF($M$302="Crecimiento",$Z306,0)</f>
        <v>0</v>
      </c>
      <c r="DI306" s="5">
        <f t="shared" si="2299"/>
        <v>0</v>
      </c>
      <c r="DJ306" s="5">
        <f t="shared" si="2300"/>
        <v>0</v>
      </c>
      <c r="DK306" s="5">
        <f t="shared" si="2301"/>
        <v>0</v>
      </c>
      <c r="DL306" s="5">
        <f t="shared" si="2302"/>
        <v>0</v>
      </c>
      <c r="DM306" s="5">
        <f t="shared" si="2303"/>
        <v>0</v>
      </c>
      <c r="DN306" s="5">
        <f t="shared" si="2304"/>
        <v>0</v>
      </c>
      <c r="DO306" s="5">
        <f t="shared" si="2305"/>
        <v>0</v>
      </c>
      <c r="DP306" s="5">
        <f t="shared" si="2306"/>
        <v>0</v>
      </c>
      <c r="DQ306" s="5">
        <f t="shared" si="2307"/>
        <v>0</v>
      </c>
      <c r="DR306" s="5">
        <f t="shared" si="2308"/>
        <v>0</v>
      </c>
      <c r="DS306" s="5">
        <f t="shared" si="2309"/>
        <v>0</v>
      </c>
      <c r="DT306" s="5">
        <f t="shared" si="2310"/>
        <v>0</v>
      </c>
      <c r="DU306" s="5">
        <f t="shared" si="2311"/>
        <v>0</v>
      </c>
      <c r="DV306" s="5">
        <f t="shared" si="2312"/>
        <v>0</v>
      </c>
      <c r="DW306" s="5">
        <f t="shared" si="2313"/>
        <v>0</v>
      </c>
      <c r="DX306" s="5">
        <f t="shared" si="2314"/>
        <v>0</v>
      </c>
      <c r="DY306" s="5">
        <f t="shared" si="2315"/>
        <v>0</v>
      </c>
      <c r="DZ306" s="5">
        <f t="shared" si="2316"/>
        <v>0</v>
      </c>
      <c r="EA306" s="5">
        <f t="shared" si="2317"/>
        <v>0</v>
      </c>
      <c r="EB306" s="5">
        <f t="shared" si="2318"/>
        <v>0</v>
      </c>
      <c r="EC306" s="5">
        <f t="shared" si="2319"/>
        <v>0</v>
      </c>
      <c r="ED306" s="5">
        <f t="shared" si="2320"/>
        <v>0</v>
      </c>
      <c r="EE306" s="5">
        <f t="shared" si="2321"/>
        <v>0</v>
      </c>
      <c r="EF306" s="5">
        <f t="shared" si="2322"/>
        <v>0</v>
      </c>
      <c r="EG306" s="5">
        <f t="shared" si="2323"/>
        <v>0</v>
      </c>
      <c r="EH306" s="5">
        <f t="shared" si="2324"/>
        <v>0</v>
      </c>
      <c r="EI306" s="5">
        <f t="shared" si="2325"/>
        <v>0</v>
      </c>
      <c r="EJ306" s="5">
        <f t="shared" si="2326"/>
        <v>0</v>
      </c>
      <c r="EK306" s="5">
        <f t="shared" si="2327"/>
        <v>0</v>
      </c>
      <c r="EL306" s="5">
        <f t="shared" si="2328"/>
        <v>0</v>
      </c>
      <c r="EM306" s="5">
        <f t="shared" si="2329"/>
        <v>0</v>
      </c>
      <c r="EN306" s="5">
        <f t="shared" si="2330"/>
        <v>0</v>
      </c>
      <c r="EO306" s="5">
        <f t="shared" si="2331"/>
        <v>0</v>
      </c>
      <c r="EP306" s="5">
        <f t="shared" si="2332"/>
        <v>0</v>
      </c>
      <c r="EQ306" s="5">
        <f t="shared" si="2333"/>
        <v>0</v>
      </c>
      <c r="ER306" s="5">
        <f t="shared" si="2334"/>
        <v>0</v>
      </c>
      <c r="ES306" s="5">
        <f t="shared" si="2335"/>
        <v>0</v>
      </c>
      <c r="ET306" s="5">
        <f t="shared" si="2336"/>
        <v>0</v>
      </c>
      <c r="EU306" s="5">
        <f t="shared" si="2337"/>
        <v>0</v>
      </c>
      <c r="EV306" s="5">
        <f t="shared" si="2338"/>
        <v>0</v>
      </c>
      <c r="EW306" s="5">
        <f t="shared" si="2339"/>
        <v>0</v>
      </c>
      <c r="EX306" s="5">
        <f t="shared" si="2340"/>
        <v>0</v>
      </c>
      <c r="EY306" s="5">
        <f t="shared" si="2341"/>
        <v>0</v>
      </c>
      <c r="EZ306" s="5">
        <f t="shared" si="2342"/>
        <v>0</v>
      </c>
      <c r="FA306" s="5">
        <f t="shared" si="2343"/>
        <v>0</v>
      </c>
      <c r="FB306" s="5">
        <f t="shared" si="2344"/>
        <v>0</v>
      </c>
      <c r="FC306" s="5">
        <f t="shared" si="2345"/>
        <v>0</v>
      </c>
      <c r="FD306" s="5">
        <f t="shared" si="2346"/>
        <v>0</v>
      </c>
      <c r="FE306" s="5">
        <f t="shared" si="2347"/>
        <v>0</v>
      </c>
      <c r="FF306" s="5">
        <f t="shared" si="2348"/>
        <v>0</v>
      </c>
      <c r="FG306" s="5">
        <f t="shared" si="2349"/>
        <v>0</v>
      </c>
      <c r="FH306" s="5">
        <f t="shared" si="2350"/>
        <v>0</v>
      </c>
      <c r="FI306" s="5">
        <f t="shared" si="2351"/>
        <v>0</v>
      </c>
      <c r="FJ306" s="5">
        <f t="shared" si="2352"/>
        <v>0</v>
      </c>
      <c r="FK306" s="5">
        <f t="shared" si="2353"/>
        <v>0</v>
      </c>
      <c r="FL306" s="5">
        <f t="shared" si="2354"/>
        <v>0</v>
      </c>
      <c r="FM306" s="5">
        <f t="shared" si="2355"/>
        <v>0</v>
      </c>
      <c r="FN306" s="5">
        <f t="shared" si="2356"/>
        <v>0</v>
      </c>
      <c r="FO306" s="5">
        <f t="shared" si="2357"/>
        <v>0</v>
      </c>
      <c r="FP306" s="5">
        <f t="shared" si="2358"/>
        <v>0</v>
      </c>
    </row>
    <row r="307" spans="1:172" ht="20.100000000000001" customHeight="1" x14ac:dyDescent="0.3">
      <c r="A307" s="8" t="str">
        <f>IF(Ciclo&gt;2,"Surco 3","NA")</f>
        <v>Surco 3</v>
      </c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O307" s="58">
        <f>IF($A307="NA",0,IFERROR('6'!O$155/Ciclo,0))</f>
        <v>0</v>
      </c>
      <c r="P307" s="58">
        <f>IF($A307="NA",0,IFERROR('6'!P$155/Ciclo,0))</f>
        <v>0</v>
      </c>
      <c r="Q307" s="58">
        <f>IF($A307="NA",0,IFERROR('6'!Q$155/Ciclo,0))</f>
        <v>0</v>
      </c>
      <c r="R307" s="58">
        <f>IF($A307="NA",0,IFERROR('6'!R$155/Ciclo,0))</f>
        <v>0</v>
      </c>
      <c r="S307" s="58">
        <f>IF($A307="NA",0,IFERROR('6'!S$155/Ciclo,0))</f>
        <v>0</v>
      </c>
      <c r="T307" s="58">
        <f>IF($A307="NA",0,IFERROR('6'!T$155/Ciclo,0))</f>
        <v>0</v>
      </c>
      <c r="U307" s="58">
        <f>IF($A307="NA",0,IFERROR('6'!U$155/Ciclo,0))</f>
        <v>0</v>
      </c>
      <c r="V307" s="58">
        <f>IF($A307="NA",0,IFERROR('6'!V$155/Ciclo,0))</f>
        <v>0</v>
      </c>
      <c r="W307" s="5">
        <f>IF($A307="NA",0,IFERROR('6'!W$155/Ciclo,0))</f>
        <v>0</v>
      </c>
      <c r="X307" s="5">
        <f>IF($A307="NA",0,IFERROR('6'!X$155/Ciclo,0))</f>
        <v>0</v>
      </c>
      <c r="Y307" s="5">
        <f>IF($A307="NA",0,IFERROR('6'!Y$155/Ciclo,0))</f>
        <v>0</v>
      </c>
      <c r="Z307" s="5">
        <f>IF($A307="NA",0,IFERROR('6'!Z$155/Ciclo,0))</f>
        <v>0</v>
      </c>
      <c r="AB307" s="5">
        <f>IF($B$302="Producción",IF($B307&gt;=LI_A,$O307,0),0)</f>
        <v>0</v>
      </c>
      <c r="AC307" s="5">
        <f>IF($B$302="Producción",IF($B307&gt;=LI_B,IF($B307&lt;LS_B,$O307,0),0),0)</f>
        <v>0</v>
      </c>
      <c r="AD307" s="5">
        <f>IF($B$302="Producción",IF($B307&gt;=LI_C,IF($B307&lt;LS_C,$O307,0),0),0)</f>
        <v>0</v>
      </c>
      <c r="AE307" s="5">
        <f>IF($B$302="Producción",IF($B307&lt;LS_D,$O307,0),0)</f>
        <v>0</v>
      </c>
      <c r="AF307" s="5">
        <f t="shared" si="2359"/>
        <v>0</v>
      </c>
      <c r="AI307" s="5">
        <f>IF($C$302="Producción",IF($C307&gt;=LI_A,$P307,0),0)</f>
        <v>0</v>
      </c>
      <c r="AJ307" s="5">
        <f>IF($C$302="Producción",IF($C307&gt;=LI_B,IF($C307&lt;LS_B,$P307,0),0),0)</f>
        <v>0</v>
      </c>
      <c r="AK307" s="5">
        <f>IF($C$302="Producción",IF($C307&gt;=LI_C,IF($C307&lt;LS_C,$P307,0),0),0)</f>
        <v>0</v>
      </c>
      <c r="AL307" s="5">
        <f>IF($C$302="Producción",IF($C307&lt;LS_D,$P307,0),0)</f>
        <v>0</v>
      </c>
      <c r="AM307" s="5">
        <f>IF($C$302="Crecimiento",$P307,0)</f>
        <v>0</v>
      </c>
      <c r="AP307" s="5">
        <f>IF($D$302="Producción",IF($D307&gt;=LI_A,$Q307,0),0)</f>
        <v>0</v>
      </c>
      <c r="AQ307" s="5">
        <f>IF($D$302="Producción",IF($D307&gt;=LI_B,IF($D307&lt;LS_B,$Q307,0),0),0)</f>
        <v>0</v>
      </c>
      <c r="AR307" s="5">
        <f>IF($D$302="Producción",IF($D307&gt;=LI_C,IF($D307&lt;LS_C,$Q307,0),0),0)</f>
        <v>0</v>
      </c>
      <c r="AS307" s="5">
        <f>IF($D$302="Producción",IF($D307&lt;LS_D,$Q307,0),0)</f>
        <v>0</v>
      </c>
      <c r="AT307" s="5">
        <f>IF($D$302="Crecimiento",IF($D307&gt;0,$Q307,0),0)</f>
        <v>0</v>
      </c>
      <c r="AW307" s="5">
        <f>IF($E$302="Producción",IF($E307&gt;=LI_A,$R307,0),0)</f>
        <v>0</v>
      </c>
      <c r="AX307" s="5">
        <f>IF($E$302="Producción",IF($E307&gt;=LI_B,IF($E307&lt;LS_B,$R307,0),0),0)</f>
        <v>0</v>
      </c>
      <c r="AY307" s="5">
        <f>IF($E$302="Producción",IF($E307&gt;=LI_C,IF($E307&lt;LS_C,$R307,0),0),0)</f>
        <v>0</v>
      </c>
      <c r="AZ307" s="5">
        <f>IF($E$302="Producción",IF($E307&lt;LS_D,$R307,0),0)</f>
        <v>0</v>
      </c>
      <c r="BA307" s="5">
        <f>IF($E$302="Crecimiento",$R307,0)</f>
        <v>0</v>
      </c>
      <c r="BD307" s="5">
        <f>IF($F$302="Producción",IF($F307&gt;=LI_A,$S307,0),0)</f>
        <v>0</v>
      </c>
      <c r="BE307" s="5">
        <f>IF($F$302="Producción",IF($F307&gt;=LI_B,IF($F307&lt;LS_B,$S307,0),0),0)</f>
        <v>0</v>
      </c>
      <c r="BF307" s="5">
        <f>IF($F$302="Producción",IF($F307&gt;=LI_C,IF($F307&lt;LS_C,$S307,0),0),0)</f>
        <v>0</v>
      </c>
      <c r="BG307" s="5">
        <f>IF($F$302="Producción",IF($F307&lt;LS_D,$S307,0),0)</f>
        <v>0</v>
      </c>
      <c r="BH307" s="5">
        <f>IF($F$302="Crecimiento",$S307,0)</f>
        <v>0</v>
      </c>
      <c r="BK307" s="5">
        <f>IF($G$302="Producción",IF($G307&gt;=LI_A,$T307,0),0)</f>
        <v>0</v>
      </c>
      <c r="BL307" s="5">
        <f>IF($G$302="Producción",IF($G307&gt;=LI_B,IF($G307&lt;LS_B,$T307,0),0),0)</f>
        <v>0</v>
      </c>
      <c r="BM307" s="5">
        <f>IF($G$302="Producción",IF($G307&gt;=LI_C,IF($G307&lt;LS_C,$T307,0),0),0)</f>
        <v>0</v>
      </c>
      <c r="BN307" s="5">
        <f>IF($G$302="Producción",IF($G307&lt;LS_D,$T307,0),0)</f>
        <v>0</v>
      </c>
      <c r="BO307" s="5">
        <f>IF($G$302="Crecimiento",$T307,0)</f>
        <v>0</v>
      </c>
      <c r="BR307" s="5">
        <f>IF($H$302="Producción",IF($H307&gt;=LI_A,$U307,0),0)</f>
        <v>0</v>
      </c>
      <c r="BS307" s="5">
        <f>IF($H$302="Producción",IF($H307&gt;=LI_B,IF($H307&lt;LS_B,$U307,0),0),0)</f>
        <v>0</v>
      </c>
      <c r="BT307" s="5">
        <f>IF($H$302="Producción",IF($H307&gt;=LI_C,IF($H307&lt;LS_C,$U307,0),0),0)</f>
        <v>0</v>
      </c>
      <c r="BU307" s="5">
        <f>IF($H$302="Producción",IF($H307&lt;LS_D,$U307,0),0)</f>
        <v>0</v>
      </c>
      <c r="BV307" s="5">
        <f>IF($H$302="Crecimiento",$T307,0)</f>
        <v>0</v>
      </c>
      <c r="BY307" s="5">
        <f>IF($I$302="Producción",IF($I307&gt;=LI_A,$V307,0),0)</f>
        <v>0</v>
      </c>
      <c r="BZ307" s="5">
        <f>IF($I$302="Producción",IF($I307&gt;=LI_B,IF($I307&lt;LS_B,$V307,0),0),0)</f>
        <v>0</v>
      </c>
      <c r="CA307" s="5">
        <f>IF($I$302="Producción",IF($I307&gt;=LI_C,IF($I307&lt;LS_C,$V307,0),0),0)</f>
        <v>0</v>
      </c>
      <c r="CB307" s="5">
        <f>IF($I$302="Producción",IF($I307&lt;LS_D,$V307,0),0)</f>
        <v>0</v>
      </c>
      <c r="CC307" s="5">
        <f>IF($I$302="Crecimiento",$V307,0)</f>
        <v>0</v>
      </c>
      <c r="CF307" s="5">
        <f>IF($J$302="Producción",IF($J307&gt;=LI_A,$W307,0),0)</f>
        <v>0</v>
      </c>
      <c r="CG307" s="5">
        <f>IF($J$302="Producción",IF($J307&gt;=LI_B,IF($J307&lt;LS_B,$W307,0),0),0)</f>
        <v>0</v>
      </c>
      <c r="CH307" s="5">
        <f>IF($J$302="Producción",IF($J307&gt;=LI_C,IF($J307&lt;LS_C,$W307,0),0),0)</f>
        <v>0</v>
      </c>
      <c r="CI307" s="5">
        <f>IF($J$302="Producción",IF($J307&lt;LS_D,$W307,0),0)</f>
        <v>0</v>
      </c>
      <c r="CJ307" s="5">
        <f>IF($J$302="Crecimiento",$W307,0)</f>
        <v>0</v>
      </c>
      <c r="CM307" s="5">
        <f>IF($K$302="Producción",IF($K307&gt;=LI_A,$X307,0),0)</f>
        <v>0</v>
      </c>
      <c r="CN307" s="5">
        <f>IF($K$302="Producción",IF($K307&gt;=LI_B,IF($K307&lt;LS_B,$X307,0),0),0)</f>
        <v>0</v>
      </c>
      <c r="CO307" s="5">
        <f>IF($K$302="Producción",IF($K307&gt;=LI_C,IF($K307&lt;LS_C,$X307,0),0),0)</f>
        <v>0</v>
      </c>
      <c r="CP307" s="5">
        <f>IF($K$302="Producción",IF($K307&lt;LS_D,$X307,0),0)</f>
        <v>0</v>
      </c>
      <c r="CQ307" s="5">
        <f>IF($K$302="Crecimiento",$X307,0)</f>
        <v>0</v>
      </c>
      <c r="CT307" s="5">
        <f>IF($L$302="Producción",IF($L307&gt;=LI_A,$Y307,0),0)</f>
        <v>0</v>
      </c>
      <c r="CU307" s="5">
        <f>IF($L$302="Producción",IF($L307&gt;=LI_B,IF($L307&lt;LS_B,$Y307,0),0),0)</f>
        <v>0</v>
      </c>
      <c r="CV307" s="5">
        <f>IF($L$302="Producción",IF($L307&gt;=LI_C,IF($L307&lt;LS_C,$Y307,0),0),0)</f>
        <v>0</v>
      </c>
      <c r="CW307" s="5">
        <f>IF($L$302="Producción",IF($L307&lt;LS_D,$Y307,0),0)</f>
        <v>0</v>
      </c>
      <c r="CX307" s="5">
        <f>IF($L$302="Crecimiento",$Y307,0)</f>
        <v>0</v>
      </c>
      <c r="DA307" s="5">
        <f>IF($M$302="Producción",IF($M307&gt;=LI_A,$Z307,0),0)</f>
        <v>0</v>
      </c>
      <c r="DB307" s="5">
        <f>IF($M$302="Producción",IF($M307&gt;=LI_B,IF($M307&lt;LS_B,$Z307,0),0),0)</f>
        <v>0</v>
      </c>
      <c r="DC307" s="5">
        <f>IF($M$302="Producción",IF($M307&gt;=LI_C,IF($M307&lt;LS_C,$Z307,0),0),0)</f>
        <v>0</v>
      </c>
      <c r="DD307" s="5">
        <f>IF($M$302="Producción",IF($M307&lt;LS_D,$Z307,0),0)</f>
        <v>0</v>
      </c>
      <c r="DE307" s="5">
        <f>IF($M$302="Crecimiento",$Z307,0)</f>
        <v>0</v>
      </c>
      <c r="DI307" s="5">
        <f t="shared" si="2299"/>
        <v>0</v>
      </c>
      <c r="DJ307" s="5">
        <f t="shared" si="2300"/>
        <v>0</v>
      </c>
      <c r="DK307" s="5">
        <f t="shared" si="2301"/>
        <v>0</v>
      </c>
      <c r="DL307" s="5">
        <f t="shared" si="2302"/>
        <v>0</v>
      </c>
      <c r="DM307" s="5">
        <f t="shared" si="2303"/>
        <v>0</v>
      </c>
      <c r="DN307" s="5">
        <f t="shared" si="2304"/>
        <v>0</v>
      </c>
      <c r="DO307" s="5">
        <f t="shared" si="2305"/>
        <v>0</v>
      </c>
      <c r="DP307" s="5">
        <f t="shared" si="2306"/>
        <v>0</v>
      </c>
      <c r="DQ307" s="5">
        <f t="shared" si="2307"/>
        <v>0</v>
      </c>
      <c r="DR307" s="5">
        <f t="shared" si="2308"/>
        <v>0</v>
      </c>
      <c r="DS307" s="5">
        <f t="shared" si="2309"/>
        <v>0</v>
      </c>
      <c r="DT307" s="5">
        <f t="shared" si="2310"/>
        <v>0</v>
      </c>
      <c r="DU307" s="5">
        <f t="shared" si="2311"/>
        <v>0</v>
      </c>
      <c r="DV307" s="5">
        <f t="shared" si="2312"/>
        <v>0</v>
      </c>
      <c r="DW307" s="5">
        <f t="shared" si="2313"/>
        <v>0</v>
      </c>
      <c r="DX307" s="5">
        <f t="shared" si="2314"/>
        <v>0</v>
      </c>
      <c r="DY307" s="5">
        <f t="shared" si="2315"/>
        <v>0</v>
      </c>
      <c r="DZ307" s="5">
        <f t="shared" si="2316"/>
        <v>0</v>
      </c>
      <c r="EA307" s="5">
        <f t="shared" si="2317"/>
        <v>0</v>
      </c>
      <c r="EB307" s="5">
        <f t="shared" si="2318"/>
        <v>0</v>
      </c>
      <c r="EC307" s="5">
        <f t="shared" si="2319"/>
        <v>0</v>
      </c>
      <c r="ED307" s="5">
        <f t="shared" si="2320"/>
        <v>0</v>
      </c>
      <c r="EE307" s="5">
        <f t="shared" si="2321"/>
        <v>0</v>
      </c>
      <c r="EF307" s="5">
        <f t="shared" si="2322"/>
        <v>0</v>
      </c>
      <c r="EG307" s="5">
        <f t="shared" si="2323"/>
        <v>0</v>
      </c>
      <c r="EH307" s="5">
        <f t="shared" si="2324"/>
        <v>0</v>
      </c>
      <c r="EI307" s="5">
        <f t="shared" si="2325"/>
        <v>0</v>
      </c>
      <c r="EJ307" s="5">
        <f t="shared" si="2326"/>
        <v>0</v>
      </c>
      <c r="EK307" s="5">
        <f t="shared" si="2327"/>
        <v>0</v>
      </c>
      <c r="EL307" s="5">
        <f t="shared" si="2328"/>
        <v>0</v>
      </c>
      <c r="EM307" s="5">
        <f t="shared" si="2329"/>
        <v>0</v>
      </c>
      <c r="EN307" s="5">
        <f t="shared" si="2330"/>
        <v>0</v>
      </c>
      <c r="EO307" s="5">
        <f t="shared" si="2331"/>
        <v>0</v>
      </c>
      <c r="EP307" s="5">
        <f t="shared" si="2332"/>
        <v>0</v>
      </c>
      <c r="EQ307" s="5">
        <f t="shared" si="2333"/>
        <v>0</v>
      </c>
      <c r="ER307" s="5">
        <f t="shared" si="2334"/>
        <v>0</v>
      </c>
      <c r="ES307" s="5">
        <f t="shared" si="2335"/>
        <v>0</v>
      </c>
      <c r="ET307" s="5">
        <f t="shared" si="2336"/>
        <v>0</v>
      </c>
      <c r="EU307" s="5">
        <f t="shared" si="2337"/>
        <v>0</v>
      </c>
      <c r="EV307" s="5">
        <f t="shared" si="2338"/>
        <v>0</v>
      </c>
      <c r="EW307" s="5">
        <f t="shared" si="2339"/>
        <v>0</v>
      </c>
      <c r="EX307" s="5">
        <f t="shared" si="2340"/>
        <v>0</v>
      </c>
      <c r="EY307" s="5">
        <f t="shared" si="2341"/>
        <v>0</v>
      </c>
      <c r="EZ307" s="5">
        <f t="shared" si="2342"/>
        <v>0</v>
      </c>
      <c r="FA307" s="5">
        <f t="shared" si="2343"/>
        <v>0</v>
      </c>
      <c r="FB307" s="5">
        <f t="shared" si="2344"/>
        <v>0</v>
      </c>
      <c r="FC307" s="5">
        <f t="shared" si="2345"/>
        <v>0</v>
      </c>
      <c r="FD307" s="5">
        <f t="shared" si="2346"/>
        <v>0</v>
      </c>
      <c r="FE307" s="5">
        <f t="shared" si="2347"/>
        <v>0</v>
      </c>
      <c r="FF307" s="5">
        <f t="shared" si="2348"/>
        <v>0</v>
      </c>
      <c r="FG307" s="5">
        <f t="shared" si="2349"/>
        <v>0</v>
      </c>
      <c r="FH307" s="5">
        <f t="shared" si="2350"/>
        <v>0</v>
      </c>
      <c r="FI307" s="5">
        <f t="shared" si="2351"/>
        <v>0</v>
      </c>
      <c r="FJ307" s="5">
        <f t="shared" si="2352"/>
        <v>0</v>
      </c>
      <c r="FK307" s="5">
        <f t="shared" si="2353"/>
        <v>0</v>
      </c>
      <c r="FL307" s="5">
        <f t="shared" si="2354"/>
        <v>0</v>
      </c>
      <c r="FM307" s="5">
        <f t="shared" si="2355"/>
        <v>0</v>
      </c>
      <c r="FN307" s="5">
        <f t="shared" si="2356"/>
        <v>0</v>
      </c>
      <c r="FO307" s="5">
        <f t="shared" si="2357"/>
        <v>0</v>
      </c>
      <c r="FP307" s="5">
        <f t="shared" si="2358"/>
        <v>0</v>
      </c>
    </row>
    <row r="308" spans="1:172" ht="20.100000000000001" customHeight="1" x14ac:dyDescent="0.3">
      <c r="A308" s="8" t="str">
        <f>IF(Ciclo=4,"Surco 4",IF(Ciclo=5,"Surco 4","NA"))</f>
        <v>NA</v>
      </c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O308" s="58">
        <f>IF($A308="NA",0,IFERROR('6'!O$155/Ciclo,0))</f>
        <v>0</v>
      </c>
      <c r="P308" s="58">
        <f>IF($A308="NA",0,IFERROR('6'!P$155/Ciclo,0))</f>
        <v>0</v>
      </c>
      <c r="Q308" s="58">
        <f>IF($A308="NA",0,IFERROR('6'!Q$155/Ciclo,0))</f>
        <v>0</v>
      </c>
      <c r="R308" s="58">
        <f>IF($A308="NA",0,IFERROR('6'!R$155/Ciclo,0))</f>
        <v>0</v>
      </c>
      <c r="S308" s="58">
        <f>IF($A308="NA",0,IFERROR('6'!S$155/Ciclo,0))</f>
        <v>0</v>
      </c>
      <c r="T308" s="58">
        <f>IF($A308="NA",0,IFERROR('6'!T$155/Ciclo,0))</f>
        <v>0</v>
      </c>
      <c r="U308" s="58">
        <f>IF($A308="NA",0,IFERROR('6'!U$155/Ciclo,0))</f>
        <v>0</v>
      </c>
      <c r="V308" s="58">
        <f>IF($A308="NA",0,IFERROR('6'!V$155/Ciclo,0))</f>
        <v>0</v>
      </c>
      <c r="W308" s="5">
        <f>IF($A308="NA",0,IFERROR('6'!W$155/Ciclo,0))</f>
        <v>0</v>
      </c>
      <c r="X308" s="5">
        <f>IF($A308="NA",0,IFERROR('6'!X$155/Ciclo,0))</f>
        <v>0</v>
      </c>
      <c r="Y308" s="5">
        <f>IF($A308="NA",0,IFERROR('6'!Y$155/Ciclo,0))</f>
        <v>0</v>
      </c>
      <c r="Z308" s="5">
        <f>IF($A308="NA",0,IFERROR('6'!Z$155/Ciclo,0))</f>
        <v>0</v>
      </c>
      <c r="AB308" s="5">
        <f>IF($B$302="Producción",IF($B308&gt;=LI_A,$O308,0),0)</f>
        <v>0</v>
      </c>
      <c r="AC308" s="5">
        <f>IF($B$302="Producción",IF($B308&gt;=LI_B,IF($B308&lt;LS_B,$O308,0),0),0)</f>
        <v>0</v>
      </c>
      <c r="AD308" s="5">
        <f>IF($B$302="Producción",IF($B308&gt;=LI_C,IF($B308&lt;LS_C,$O308,0),0),0)</f>
        <v>0</v>
      </c>
      <c r="AE308" s="5">
        <f>IF($B$302="Producción",IF($B308&lt;LS_D,$O308,0),0)</f>
        <v>0</v>
      </c>
      <c r="AF308" s="5">
        <f t="shared" si="2359"/>
        <v>0</v>
      </c>
      <c r="AI308" s="5">
        <f>IF($C$302="Producción",IF($C308&gt;=LI_A,$P308,0),0)</f>
        <v>0</v>
      </c>
      <c r="AJ308" s="5">
        <f>IF($C$302="Producción",IF($C308&gt;=LI_B,IF($C308&lt;LS_B,$P308,0),0),0)</f>
        <v>0</v>
      </c>
      <c r="AK308" s="5">
        <f>IF($C$302="Producción",IF($C308&gt;=LI_C,IF($C308&lt;LS_C,$P308,0),0),0)</f>
        <v>0</v>
      </c>
      <c r="AL308" s="5">
        <f>IF($C$302="Producción",IF($C308&lt;LS_D,$P308,0),0)</f>
        <v>0</v>
      </c>
      <c r="AM308" s="5">
        <f>IF($C$302="Crecimiento",$P308,0)</f>
        <v>0</v>
      </c>
      <c r="AP308" s="5">
        <f>IF($D$302="Producción",IF($D308&gt;=LI_A,$Q308,0),0)</f>
        <v>0</v>
      </c>
      <c r="AQ308" s="5">
        <f>IF($D$302="Producción",IF($D308&gt;=LI_B,IF($D308&lt;LS_B,$Q308,0),0),0)</f>
        <v>0</v>
      </c>
      <c r="AR308" s="5">
        <f>IF($D$302="Producción",IF($D308&gt;=LI_C,IF($D308&lt;LS_C,$Q308,0),0),0)</f>
        <v>0</v>
      </c>
      <c r="AS308" s="5">
        <f>IF($D$302="Producción",IF($D308&lt;LS_D,$Q308,0),0)</f>
        <v>0</v>
      </c>
      <c r="AT308" s="5">
        <f>IF($D$302="Crecimiento",IF($D308&gt;0,$Q308,0),0)</f>
        <v>0</v>
      </c>
      <c r="AW308" s="5">
        <f>IF($E$302="Producción",IF($E308&gt;=LI_A,$R308,0),0)</f>
        <v>0</v>
      </c>
      <c r="AX308" s="5">
        <f>IF($E$302="Producción",IF($E308&gt;=LI_B,IF($E308&lt;LS_B,$R308,0),0),0)</f>
        <v>0</v>
      </c>
      <c r="AY308" s="5">
        <f>IF($E$302="Producción",IF($E308&gt;=LI_C,IF($E308&lt;LS_C,$R308,0),0),0)</f>
        <v>0</v>
      </c>
      <c r="AZ308" s="5">
        <f>IF($E$302="Producción",IF($E308&lt;LS_D,$R308,0),0)</f>
        <v>0</v>
      </c>
      <c r="BA308" s="5">
        <f>IF($E$302="Crecimiento",$R308,0)</f>
        <v>0</v>
      </c>
      <c r="BD308" s="5">
        <f>IF($F$302="Producción",IF($F308&gt;=LI_A,$S308,0),0)</f>
        <v>0</v>
      </c>
      <c r="BE308" s="5">
        <f>IF($F$302="Producción",IF($F308&gt;=LI_B,IF($F308&lt;LS_B,$S308,0),0),0)</f>
        <v>0</v>
      </c>
      <c r="BF308" s="5">
        <f>IF($F$302="Producción",IF($F308&gt;=LI_C,IF($F308&lt;LS_C,$S308,0),0),0)</f>
        <v>0</v>
      </c>
      <c r="BG308" s="5">
        <f>IF($F$302="Producción",IF($F308&lt;LS_D,$S308,0),0)</f>
        <v>0</v>
      </c>
      <c r="BH308" s="5">
        <f>IF($F$302="Crecimiento",$S308,0)</f>
        <v>0</v>
      </c>
      <c r="BK308" s="5">
        <f>IF($G$302="Producción",IF($G308&gt;=LI_A,$T308,0),0)</f>
        <v>0</v>
      </c>
      <c r="BL308" s="5">
        <f>IF($G$302="Producción",IF($G308&gt;=LI_B,IF($G308&lt;LS_B,$T308,0),0),0)</f>
        <v>0</v>
      </c>
      <c r="BM308" s="5">
        <f>IF($G$302="Producción",IF($G308&gt;=LI_C,IF($G308&lt;LS_C,$T308,0),0),0)</f>
        <v>0</v>
      </c>
      <c r="BN308" s="5">
        <f>IF($G$302="Producción",IF($G308&lt;LS_D,$T308,0),0)</f>
        <v>0</v>
      </c>
      <c r="BO308" s="5">
        <f>IF($G$302="Crecimiento",$T308,0)</f>
        <v>0</v>
      </c>
      <c r="BR308" s="5">
        <f>IF($H$302="Producción",IF($H308&gt;=LI_A,$U308,0),0)</f>
        <v>0</v>
      </c>
      <c r="BS308" s="5">
        <f>IF($H$302="Producción",IF($H308&gt;=LI_B,IF($H308&lt;LS_B,$U308,0),0),0)</f>
        <v>0</v>
      </c>
      <c r="BT308" s="5">
        <f>IF($H$302="Producción",IF($H308&gt;=LI_C,IF($H308&lt;LS_C,$U308,0),0),0)</f>
        <v>0</v>
      </c>
      <c r="BU308" s="5">
        <f>IF($H$302="Producción",IF($H308&lt;LS_D,$U308,0),0)</f>
        <v>0</v>
      </c>
      <c r="BV308" s="5">
        <f>IF($H$302="Crecimiento",$T308,0)</f>
        <v>0</v>
      </c>
      <c r="BY308" s="5">
        <f>IF($I$302="Producción",IF($I308&gt;=LI_A,$V308,0),0)</f>
        <v>0</v>
      </c>
      <c r="BZ308" s="5">
        <f>IF($I$302="Producción",IF($I308&gt;=LI_B,IF($I308&lt;LS_B,$V308,0),0),0)</f>
        <v>0</v>
      </c>
      <c r="CA308" s="5">
        <f>IF($I$302="Producción",IF($I308&gt;=LI_C,IF($I308&lt;LS_C,$V308,0),0),0)</f>
        <v>0</v>
      </c>
      <c r="CB308" s="5">
        <f>IF($I$302="Producción",IF($I308&lt;LS_D,$V308,0),0)</f>
        <v>0</v>
      </c>
      <c r="CC308" s="5">
        <f>IF($I$302="Crecimiento",$V308,0)</f>
        <v>0</v>
      </c>
      <c r="CF308" s="5">
        <f>IF($J$302="Producción",IF($J308&gt;=LI_A,$W308,0),0)</f>
        <v>0</v>
      </c>
      <c r="CG308" s="5">
        <f>IF($J$302="Producción",IF($J308&gt;=LI_B,IF($J308&lt;LS_B,$W308,0),0),0)</f>
        <v>0</v>
      </c>
      <c r="CH308" s="5">
        <f>IF($J$302="Producción",IF($J308&gt;=LI_C,IF($J308&lt;LS_C,$W308,0),0),0)</f>
        <v>0</v>
      </c>
      <c r="CI308" s="5">
        <f>IF($J$302="Producción",IF($J308&lt;LS_D,$W308,0),0)</f>
        <v>0</v>
      </c>
      <c r="CJ308" s="5">
        <f>IF($J$302="Crecimiento",$W308,0)</f>
        <v>0</v>
      </c>
      <c r="CM308" s="5">
        <f>IF($K$302="Producción",IF($K308&gt;=LI_A,$X308,0),0)</f>
        <v>0</v>
      </c>
      <c r="CN308" s="5">
        <f>IF($K$302="Producción",IF($K308&gt;=LI_B,IF($K308&lt;LS_B,$X308,0),0),0)</f>
        <v>0</v>
      </c>
      <c r="CO308" s="5">
        <f>IF($K$302="Producción",IF($K308&gt;=LI_C,IF($K308&lt;LS_C,$X308,0),0),0)</f>
        <v>0</v>
      </c>
      <c r="CP308" s="5">
        <f>IF($K$302="Producción",IF($K308&lt;LS_D,$X308,0),0)</f>
        <v>0</v>
      </c>
      <c r="CQ308" s="5">
        <f>IF($K$302="Crecimiento",$X308,0)</f>
        <v>0</v>
      </c>
      <c r="CT308" s="5">
        <f>IF($L$302="Producción",IF($L308&gt;=LI_A,$Y308,0),0)</f>
        <v>0</v>
      </c>
      <c r="CU308" s="5">
        <f>IF($L$302="Producción",IF($L308&gt;=LI_B,IF($L308&lt;LS_B,$Y308,0),0),0)</f>
        <v>0</v>
      </c>
      <c r="CV308" s="5">
        <f>IF($L$302="Producción",IF($L308&gt;=LI_C,IF($L308&lt;LS_C,$Y308,0),0),0)</f>
        <v>0</v>
      </c>
      <c r="CW308" s="5">
        <f>IF($L$302="Producción",IF($L308&lt;LS_D,$Y308,0),0)</f>
        <v>0</v>
      </c>
      <c r="CX308" s="5">
        <f>IF($L$302="Crecimiento",$Y308,0)</f>
        <v>0</v>
      </c>
      <c r="DA308" s="5">
        <f>IF($M$302="Producción",IF($M308&gt;=LI_A,$Z308,0),0)</f>
        <v>0</v>
      </c>
      <c r="DB308" s="5">
        <f>IF($M$302="Producción",IF($M308&gt;=LI_B,IF($M308&lt;LS_B,$Z308,0),0),0)</f>
        <v>0</v>
      </c>
      <c r="DC308" s="5">
        <f>IF($M$302="Producción",IF($M308&gt;=LI_C,IF($M308&lt;LS_C,$Z308,0),0),0)</f>
        <v>0</v>
      </c>
      <c r="DD308" s="5">
        <f>IF($M$302="Producción",IF($M308&lt;LS_D,$Z308,0),0)</f>
        <v>0</v>
      </c>
      <c r="DE308" s="5">
        <f>IF($M$302="Crecimiento",$Z308,0)</f>
        <v>0</v>
      </c>
      <c r="DI308" s="5">
        <f t="shared" si="2299"/>
        <v>0</v>
      </c>
      <c r="DJ308" s="5">
        <f t="shared" si="2300"/>
        <v>0</v>
      </c>
      <c r="DK308" s="5">
        <f t="shared" si="2301"/>
        <v>0</v>
      </c>
      <c r="DL308" s="5">
        <f t="shared" si="2302"/>
        <v>0</v>
      </c>
      <c r="DM308" s="5">
        <f t="shared" si="2303"/>
        <v>0</v>
      </c>
      <c r="DN308" s="5">
        <f t="shared" si="2304"/>
        <v>0</v>
      </c>
      <c r="DO308" s="5">
        <f t="shared" si="2305"/>
        <v>0</v>
      </c>
      <c r="DP308" s="5">
        <f t="shared" si="2306"/>
        <v>0</v>
      </c>
      <c r="DQ308" s="5">
        <f t="shared" si="2307"/>
        <v>0</v>
      </c>
      <c r="DR308" s="5">
        <f t="shared" si="2308"/>
        <v>0</v>
      </c>
      <c r="DS308" s="5">
        <f t="shared" si="2309"/>
        <v>0</v>
      </c>
      <c r="DT308" s="5">
        <f t="shared" si="2310"/>
        <v>0</v>
      </c>
      <c r="DU308" s="5">
        <f t="shared" si="2311"/>
        <v>0</v>
      </c>
      <c r="DV308" s="5">
        <f t="shared" si="2312"/>
        <v>0</v>
      </c>
      <c r="DW308" s="5">
        <f t="shared" si="2313"/>
        <v>0</v>
      </c>
      <c r="DX308" s="5">
        <f t="shared" si="2314"/>
        <v>0</v>
      </c>
      <c r="DY308" s="5">
        <f t="shared" si="2315"/>
        <v>0</v>
      </c>
      <c r="DZ308" s="5">
        <f t="shared" si="2316"/>
        <v>0</v>
      </c>
      <c r="EA308" s="5">
        <f t="shared" si="2317"/>
        <v>0</v>
      </c>
      <c r="EB308" s="5">
        <f t="shared" si="2318"/>
        <v>0</v>
      </c>
      <c r="EC308" s="5">
        <f t="shared" si="2319"/>
        <v>0</v>
      </c>
      <c r="ED308" s="5">
        <f t="shared" si="2320"/>
        <v>0</v>
      </c>
      <c r="EE308" s="5">
        <f t="shared" si="2321"/>
        <v>0</v>
      </c>
      <c r="EF308" s="5">
        <f t="shared" si="2322"/>
        <v>0</v>
      </c>
      <c r="EG308" s="5">
        <f t="shared" si="2323"/>
        <v>0</v>
      </c>
      <c r="EH308" s="5">
        <f t="shared" si="2324"/>
        <v>0</v>
      </c>
      <c r="EI308" s="5">
        <f t="shared" si="2325"/>
        <v>0</v>
      </c>
      <c r="EJ308" s="5">
        <f t="shared" si="2326"/>
        <v>0</v>
      </c>
      <c r="EK308" s="5">
        <f t="shared" si="2327"/>
        <v>0</v>
      </c>
      <c r="EL308" s="5">
        <f t="shared" si="2328"/>
        <v>0</v>
      </c>
      <c r="EM308" s="5">
        <f t="shared" si="2329"/>
        <v>0</v>
      </c>
      <c r="EN308" s="5">
        <f t="shared" si="2330"/>
        <v>0</v>
      </c>
      <c r="EO308" s="5">
        <f t="shared" si="2331"/>
        <v>0</v>
      </c>
      <c r="EP308" s="5">
        <f t="shared" si="2332"/>
        <v>0</v>
      </c>
      <c r="EQ308" s="5">
        <f t="shared" si="2333"/>
        <v>0</v>
      </c>
      <c r="ER308" s="5">
        <f t="shared" si="2334"/>
        <v>0</v>
      </c>
      <c r="ES308" s="5">
        <f t="shared" si="2335"/>
        <v>0</v>
      </c>
      <c r="ET308" s="5">
        <f t="shared" si="2336"/>
        <v>0</v>
      </c>
      <c r="EU308" s="5">
        <f t="shared" si="2337"/>
        <v>0</v>
      </c>
      <c r="EV308" s="5">
        <f t="shared" si="2338"/>
        <v>0</v>
      </c>
      <c r="EW308" s="5">
        <f t="shared" si="2339"/>
        <v>0</v>
      </c>
      <c r="EX308" s="5">
        <f t="shared" si="2340"/>
        <v>0</v>
      </c>
      <c r="EY308" s="5">
        <f t="shared" si="2341"/>
        <v>0</v>
      </c>
      <c r="EZ308" s="5">
        <f t="shared" si="2342"/>
        <v>0</v>
      </c>
      <c r="FA308" s="5">
        <f t="shared" si="2343"/>
        <v>0</v>
      </c>
      <c r="FB308" s="5">
        <f t="shared" si="2344"/>
        <v>0</v>
      </c>
      <c r="FC308" s="5">
        <f t="shared" si="2345"/>
        <v>0</v>
      </c>
      <c r="FD308" s="5">
        <f t="shared" si="2346"/>
        <v>0</v>
      </c>
      <c r="FE308" s="5">
        <f t="shared" si="2347"/>
        <v>0</v>
      </c>
      <c r="FF308" s="5">
        <f t="shared" si="2348"/>
        <v>0</v>
      </c>
      <c r="FG308" s="5">
        <f t="shared" si="2349"/>
        <v>0</v>
      </c>
      <c r="FH308" s="5">
        <f t="shared" si="2350"/>
        <v>0</v>
      </c>
      <c r="FI308" s="5">
        <f t="shared" si="2351"/>
        <v>0</v>
      </c>
      <c r="FJ308" s="5">
        <f t="shared" si="2352"/>
        <v>0</v>
      </c>
      <c r="FK308" s="5">
        <f t="shared" si="2353"/>
        <v>0</v>
      </c>
      <c r="FL308" s="5">
        <f t="shared" si="2354"/>
        <v>0</v>
      </c>
      <c r="FM308" s="5">
        <f t="shared" si="2355"/>
        <v>0</v>
      </c>
      <c r="FN308" s="5">
        <f t="shared" si="2356"/>
        <v>0</v>
      </c>
      <c r="FO308" s="5">
        <f t="shared" si="2357"/>
        <v>0</v>
      </c>
      <c r="FP308" s="5">
        <f t="shared" si="2358"/>
        <v>0</v>
      </c>
    </row>
    <row r="309" spans="1:172" ht="20.100000000000001" customHeight="1" x14ac:dyDescent="0.3">
      <c r="A309" s="9" t="str">
        <f>IF(Ciclo=5,"Surco 5","NA")</f>
        <v>NA</v>
      </c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O309" s="58">
        <f>IF($A309="NA",0,IFERROR('6'!O$155/Ciclo,0))</f>
        <v>0</v>
      </c>
      <c r="P309" s="58">
        <f>IF($A309="NA",0,IFERROR('6'!P$155/Ciclo,0))</f>
        <v>0</v>
      </c>
      <c r="Q309" s="58">
        <f>IF($A309="NA",0,IFERROR('6'!Q$155/Ciclo,0))</f>
        <v>0</v>
      </c>
      <c r="R309" s="58">
        <f>IF($A309="NA",0,IFERROR('6'!R$155/Ciclo,0))</f>
        <v>0</v>
      </c>
      <c r="S309" s="58">
        <f>IF($A309="NA",0,IFERROR('6'!S$155/Ciclo,0))</f>
        <v>0</v>
      </c>
      <c r="T309" s="58">
        <f>IF($A309="NA",0,IFERROR('6'!T$155/Ciclo,0))</f>
        <v>0</v>
      </c>
      <c r="U309" s="58">
        <f>IF($A309="NA",0,IFERROR('6'!U$155/Ciclo,0))</f>
        <v>0</v>
      </c>
      <c r="V309" s="58">
        <f>IF($A309="NA",0,IFERROR('6'!V$155/Ciclo,0))</f>
        <v>0</v>
      </c>
      <c r="W309" s="5">
        <f>IF($A309="NA",0,IFERROR('6'!W$155/Ciclo,0))</f>
        <v>0</v>
      </c>
      <c r="X309" s="5">
        <f>IF($A309="NA",0,IFERROR('6'!X$155/Ciclo,0))</f>
        <v>0</v>
      </c>
      <c r="Y309" s="5">
        <f>IF($A309="NA",0,IFERROR('6'!Y$155/Ciclo,0))</f>
        <v>0</v>
      </c>
      <c r="Z309" s="5">
        <f>IF($A309="NA",0,IFERROR('6'!Z$155/Ciclo,0))</f>
        <v>0</v>
      </c>
      <c r="AB309" s="5">
        <f>IF($B$302="Producción",IF($B309&gt;=LI_A,$O309,0),0)</f>
        <v>0</v>
      </c>
      <c r="AC309" s="5">
        <f>IF($B$302="Producción",IF($B309&gt;=LI_B,IF($B309&lt;LS_B,$O309,0),0),0)</f>
        <v>0</v>
      </c>
      <c r="AD309" s="5">
        <f>IF($B$302="Producción",IF($B309&gt;=LI_C,IF($B309&lt;LS_C,$O309,0),0),0)</f>
        <v>0</v>
      </c>
      <c r="AE309" s="5">
        <f>IF($B$302="Producción",IF($B309&lt;LS_D,$O309,0),0)</f>
        <v>0</v>
      </c>
      <c r="AF309" s="5">
        <f t="shared" si="2359"/>
        <v>0</v>
      </c>
      <c r="AI309" s="5">
        <f>IF($C$302="Producción",IF($C309&gt;=LI_A,$P309,0),0)</f>
        <v>0</v>
      </c>
      <c r="AJ309" s="5">
        <f>IF($C$302="Producción",IF($C309&gt;=LI_B,IF($C309&lt;LS_B,$P309,0),0),0)</f>
        <v>0</v>
      </c>
      <c r="AK309" s="5">
        <f>IF($C$302="Producción",IF($C309&gt;=LI_C,IF($C309&lt;LS_C,$P309,0),0),0)</f>
        <v>0</v>
      </c>
      <c r="AL309" s="5">
        <f>IF($C$302="Producción",IF($C309&lt;LS_D,$P309,0),0)</f>
        <v>0</v>
      </c>
      <c r="AM309" s="5">
        <f>IF($C$302="Crecimiento",$P309,0)</f>
        <v>0</v>
      </c>
      <c r="AP309" s="5">
        <f>IF($D$302="Producción",IF($D309&gt;=LI_A,$Q309,0),0)</f>
        <v>0</v>
      </c>
      <c r="AQ309" s="5">
        <f>IF($D$302="Producción",IF($D309&gt;=LI_B,IF($D309&lt;LS_B,$Q309,0),0),0)</f>
        <v>0</v>
      </c>
      <c r="AR309" s="5">
        <f>IF($D$302="Producción",IF($D309&gt;=LI_C,IF($D309&lt;LS_C,$Q309,0),0),0)</f>
        <v>0</v>
      </c>
      <c r="AS309" s="5">
        <f>IF($D$302="Producción",IF($D309&lt;LS_D,$Q309,0),0)</f>
        <v>0</v>
      </c>
      <c r="AT309" s="5">
        <f>IF($D$302="Crecimiento",IF($D309&gt;0,$Q309,0),0)</f>
        <v>0</v>
      </c>
      <c r="AW309" s="5">
        <f>IF($E$302="Producción",IF($E309&gt;=LI_A,$R309,0),0)</f>
        <v>0</v>
      </c>
      <c r="AX309" s="5">
        <f>IF($E$302="Producción",IF($E309&gt;=LI_B,IF($E309&lt;LS_B,$R309,0),0),0)</f>
        <v>0</v>
      </c>
      <c r="AY309" s="5">
        <f>IF($E$302="Producción",IF($E309&gt;=LI_C,IF($E309&lt;LS_C,$R309,0),0),0)</f>
        <v>0</v>
      </c>
      <c r="AZ309" s="5">
        <f>IF($E$302="Producción",IF($E309&lt;LS_D,$R309,0),0)</f>
        <v>0</v>
      </c>
      <c r="BA309" s="5">
        <f>IF($E$302="Crecimiento",$R309,0)</f>
        <v>0</v>
      </c>
      <c r="BD309" s="5">
        <f>IF($F$302="Producción",IF($F309&gt;=LI_A,$S309,0),0)</f>
        <v>0</v>
      </c>
      <c r="BE309" s="5">
        <f>IF($F$302="Producción",IF($F309&gt;=LI_B,IF($F309&lt;LS_B,$S309,0),0),0)</f>
        <v>0</v>
      </c>
      <c r="BF309" s="5">
        <f>IF($F$302="Producción",IF($F309&gt;=LI_C,IF($F309&lt;LS_C,$S309,0),0),0)</f>
        <v>0</v>
      </c>
      <c r="BG309" s="5">
        <f>IF($F$302="Producción",IF($F309&lt;LS_D,$S309,0),0)</f>
        <v>0</v>
      </c>
      <c r="BH309" s="5">
        <f>IF($F$302="Crecimiento",$S309,0)</f>
        <v>0</v>
      </c>
      <c r="BK309" s="5">
        <f>IF($G$302="Producción",IF($G309&gt;=LI_A,$T309,0),0)</f>
        <v>0</v>
      </c>
      <c r="BL309" s="5">
        <f>IF($G$302="Producción",IF($G309&gt;=LI_B,IF($G309&lt;LS_B,$T309,0),0),0)</f>
        <v>0</v>
      </c>
      <c r="BM309" s="5">
        <f>IF($G$302="Producción",IF($G309&gt;=LI_C,IF($G309&lt;LS_C,$T309,0),0),0)</f>
        <v>0</v>
      </c>
      <c r="BN309" s="5">
        <f>IF($G$302="Producción",IF($G309&lt;LS_D,$T309,0),0)</f>
        <v>0</v>
      </c>
      <c r="BO309" s="5">
        <f>IF($G$302="Crecimiento",$T309,0)</f>
        <v>0</v>
      </c>
      <c r="BR309" s="5">
        <f>IF($H$302="Producción",IF($H309&gt;=LI_A,$U309,0),0)</f>
        <v>0</v>
      </c>
      <c r="BS309" s="5">
        <f>IF($H$302="Producción",IF($H309&gt;=LI_B,IF($H309&lt;LS_B,$U309,0),0),0)</f>
        <v>0</v>
      </c>
      <c r="BT309" s="5">
        <f>IF($H$302="Producción",IF($H309&gt;=LI_C,IF($H309&lt;LS_C,$U309,0),0),0)</f>
        <v>0</v>
      </c>
      <c r="BU309" s="5">
        <f>IF($H$302="Producción",IF($H309&lt;LS_D,$U309,0),0)</f>
        <v>0</v>
      </c>
      <c r="BV309" s="5">
        <f>IF($H$302="Crecimiento",$T309,0)</f>
        <v>0</v>
      </c>
      <c r="BY309" s="5">
        <f>IF($I$302="Producción",IF($I309&gt;=LI_A,$V309,0),0)</f>
        <v>0</v>
      </c>
      <c r="BZ309" s="5">
        <f>IF($I$302="Producción",IF($I309&gt;=LI_B,IF($I309&lt;LS_B,$V309,0),0),0)</f>
        <v>0</v>
      </c>
      <c r="CA309" s="5">
        <f>IF($I$302="Producción",IF($I309&gt;=LI_C,IF($I309&lt;LS_C,$V309,0),0),0)</f>
        <v>0</v>
      </c>
      <c r="CB309" s="5">
        <f>IF($I$302="Producción",IF($I309&lt;LS_D,$V309,0),0)</f>
        <v>0</v>
      </c>
      <c r="CC309" s="5">
        <f>IF($I$302="Crecimiento",$V309,0)</f>
        <v>0</v>
      </c>
      <c r="CF309" s="5">
        <f>IF($J$302="Producción",IF($J309&gt;=LI_A,$W309,0),0)</f>
        <v>0</v>
      </c>
      <c r="CG309" s="5">
        <f>IF($J$302="Producción",IF($J309&gt;=LI_B,IF($J309&lt;LS_B,$W309,0),0),0)</f>
        <v>0</v>
      </c>
      <c r="CH309" s="5">
        <f>IF($J$302="Producción",IF($J309&gt;=LI_C,IF($J309&lt;LS_C,$W309,0),0),0)</f>
        <v>0</v>
      </c>
      <c r="CI309" s="5">
        <f>IF($J$302="Producción",IF($J309&lt;LS_D,$W309,0),0)</f>
        <v>0</v>
      </c>
      <c r="CJ309" s="5">
        <f>IF($J$302="Crecimiento",$W309,0)</f>
        <v>0</v>
      </c>
      <c r="CM309" s="5">
        <f>IF($K$302="Producción",IF($K309&gt;=LI_A,$X309,0),0)</f>
        <v>0</v>
      </c>
      <c r="CN309" s="5">
        <f>IF($K$302="Producción",IF($K309&gt;=LI_B,IF($K309&lt;LS_B,$X309,0),0),0)</f>
        <v>0</v>
      </c>
      <c r="CO309" s="5">
        <f>IF($K$302="Producción",IF($K309&gt;=LI_C,IF($K309&lt;LS_C,$X309,0),0),0)</f>
        <v>0</v>
      </c>
      <c r="CP309" s="5">
        <f>IF($K$302="Producción",IF($K309&lt;LS_D,$X309,0),0)</f>
        <v>0</v>
      </c>
      <c r="CQ309" s="5">
        <f>IF($K$302="Crecimiento",$X309,0)</f>
        <v>0</v>
      </c>
      <c r="CT309" s="5">
        <f>IF($L$302="Producción",IF($L309&gt;=LI_A,$Y309,0),0)</f>
        <v>0</v>
      </c>
      <c r="CU309" s="5">
        <f>IF($L$302="Producción",IF($L309&gt;=LI_B,IF($L309&lt;LS_B,$Y309,0),0),0)</f>
        <v>0</v>
      </c>
      <c r="CV309" s="5">
        <f>IF($L$302="Producción",IF($L309&gt;=LI_C,IF($L309&lt;LS_C,$Y309,0),0),0)</f>
        <v>0</v>
      </c>
      <c r="CW309" s="5">
        <f>IF($L$302="Producción",IF($L309&lt;LS_D,$Y309,0),0)</f>
        <v>0</v>
      </c>
      <c r="CX309" s="5">
        <f>IF($L$302="Crecimiento",$Y309,0)</f>
        <v>0</v>
      </c>
      <c r="DA309" s="5">
        <f>IF($M$302="Producción",IF($M309&gt;=LI_A,$Z309,0),0)</f>
        <v>0</v>
      </c>
      <c r="DB309" s="5">
        <f>IF($M$302="Producción",IF($M309&gt;=LI_B,IF($M309&lt;LS_B,$Z309,0),0),0)</f>
        <v>0</v>
      </c>
      <c r="DC309" s="5">
        <f>IF($M$302="Producción",IF($M309&gt;=LI_C,IF($M309&lt;LS_C,$Z309,0),0),0)</f>
        <v>0</v>
      </c>
      <c r="DD309" s="5">
        <f>IF($M$302="Producción",IF($M309&lt;LS_D,$Z309,0),0)</f>
        <v>0</v>
      </c>
      <c r="DE309" s="5">
        <f>IF($M$302="Crecimiento",$Z309,0)</f>
        <v>0</v>
      </c>
      <c r="DI309" s="5">
        <f t="shared" si="2299"/>
        <v>0</v>
      </c>
      <c r="DJ309" s="5">
        <f t="shared" si="2300"/>
        <v>0</v>
      </c>
      <c r="DK309" s="5">
        <f t="shared" si="2301"/>
        <v>0</v>
      </c>
      <c r="DL309" s="5">
        <f t="shared" si="2302"/>
        <v>0</v>
      </c>
      <c r="DM309" s="5">
        <f t="shared" si="2303"/>
        <v>0</v>
      </c>
      <c r="DN309" s="5">
        <f t="shared" si="2304"/>
        <v>0</v>
      </c>
      <c r="DO309" s="5">
        <f t="shared" si="2305"/>
        <v>0</v>
      </c>
      <c r="DP309" s="5">
        <f t="shared" si="2306"/>
        <v>0</v>
      </c>
      <c r="DQ309" s="5">
        <f t="shared" si="2307"/>
        <v>0</v>
      </c>
      <c r="DR309" s="5">
        <f t="shared" si="2308"/>
        <v>0</v>
      </c>
      <c r="DS309" s="5">
        <f t="shared" si="2309"/>
        <v>0</v>
      </c>
      <c r="DT309" s="5">
        <f t="shared" si="2310"/>
        <v>0</v>
      </c>
      <c r="DU309" s="5">
        <f t="shared" si="2311"/>
        <v>0</v>
      </c>
      <c r="DV309" s="5">
        <f t="shared" si="2312"/>
        <v>0</v>
      </c>
      <c r="DW309" s="5">
        <f t="shared" si="2313"/>
        <v>0</v>
      </c>
      <c r="DX309" s="5">
        <f t="shared" si="2314"/>
        <v>0</v>
      </c>
      <c r="DY309" s="5">
        <f t="shared" si="2315"/>
        <v>0</v>
      </c>
      <c r="DZ309" s="5">
        <f t="shared" si="2316"/>
        <v>0</v>
      </c>
      <c r="EA309" s="5">
        <f t="shared" si="2317"/>
        <v>0</v>
      </c>
      <c r="EB309" s="5">
        <f t="shared" si="2318"/>
        <v>0</v>
      </c>
      <c r="EC309" s="5">
        <f t="shared" si="2319"/>
        <v>0</v>
      </c>
      <c r="ED309" s="5">
        <f t="shared" si="2320"/>
        <v>0</v>
      </c>
      <c r="EE309" s="5">
        <f t="shared" si="2321"/>
        <v>0</v>
      </c>
      <c r="EF309" s="5">
        <f t="shared" si="2322"/>
        <v>0</v>
      </c>
      <c r="EG309" s="5">
        <f t="shared" si="2323"/>
        <v>0</v>
      </c>
      <c r="EH309" s="5">
        <f t="shared" si="2324"/>
        <v>0</v>
      </c>
      <c r="EI309" s="5">
        <f t="shared" si="2325"/>
        <v>0</v>
      </c>
      <c r="EJ309" s="5">
        <f t="shared" si="2326"/>
        <v>0</v>
      </c>
      <c r="EK309" s="5">
        <f t="shared" si="2327"/>
        <v>0</v>
      </c>
      <c r="EL309" s="5">
        <f t="shared" si="2328"/>
        <v>0</v>
      </c>
      <c r="EM309" s="5">
        <f t="shared" si="2329"/>
        <v>0</v>
      </c>
      <c r="EN309" s="5">
        <f t="shared" si="2330"/>
        <v>0</v>
      </c>
      <c r="EO309" s="5">
        <f t="shared" si="2331"/>
        <v>0</v>
      </c>
      <c r="EP309" s="5">
        <f t="shared" si="2332"/>
        <v>0</v>
      </c>
      <c r="EQ309" s="5">
        <f t="shared" si="2333"/>
        <v>0</v>
      </c>
      <c r="ER309" s="5">
        <f t="shared" si="2334"/>
        <v>0</v>
      </c>
      <c r="ES309" s="5">
        <f t="shared" si="2335"/>
        <v>0</v>
      </c>
      <c r="ET309" s="5">
        <f t="shared" si="2336"/>
        <v>0</v>
      </c>
      <c r="EU309" s="5">
        <f t="shared" si="2337"/>
        <v>0</v>
      </c>
      <c r="EV309" s="5">
        <f t="shared" si="2338"/>
        <v>0</v>
      </c>
      <c r="EW309" s="5">
        <f t="shared" si="2339"/>
        <v>0</v>
      </c>
      <c r="EX309" s="5">
        <f t="shared" si="2340"/>
        <v>0</v>
      </c>
      <c r="EY309" s="5">
        <f t="shared" si="2341"/>
        <v>0</v>
      </c>
      <c r="EZ309" s="5">
        <f t="shared" si="2342"/>
        <v>0</v>
      </c>
      <c r="FA309" s="5">
        <f t="shared" si="2343"/>
        <v>0</v>
      </c>
      <c r="FB309" s="5">
        <f t="shared" si="2344"/>
        <v>0</v>
      </c>
      <c r="FC309" s="5">
        <f t="shared" si="2345"/>
        <v>0</v>
      </c>
      <c r="FD309" s="5">
        <f t="shared" si="2346"/>
        <v>0</v>
      </c>
      <c r="FE309" s="5">
        <f t="shared" si="2347"/>
        <v>0</v>
      </c>
      <c r="FF309" s="5">
        <f t="shared" si="2348"/>
        <v>0</v>
      </c>
      <c r="FG309" s="5">
        <f t="shared" si="2349"/>
        <v>0</v>
      </c>
      <c r="FH309" s="5">
        <f t="shared" si="2350"/>
        <v>0</v>
      </c>
      <c r="FI309" s="5">
        <f t="shared" si="2351"/>
        <v>0</v>
      </c>
      <c r="FJ309" s="5">
        <f t="shared" si="2352"/>
        <v>0</v>
      </c>
      <c r="FK309" s="5">
        <f t="shared" si="2353"/>
        <v>0</v>
      </c>
      <c r="FL309" s="5">
        <f t="shared" si="2354"/>
        <v>0</v>
      </c>
      <c r="FM309" s="5">
        <f t="shared" si="2355"/>
        <v>0</v>
      </c>
      <c r="FN309" s="5">
        <f t="shared" si="2356"/>
        <v>0</v>
      </c>
      <c r="FO309" s="5">
        <f t="shared" si="2357"/>
        <v>0</v>
      </c>
      <c r="FP309" s="5">
        <f t="shared" si="2358"/>
        <v>0</v>
      </c>
    </row>
    <row r="310" spans="1:172" ht="20.100000000000001" customHeight="1" x14ac:dyDescent="0.3">
      <c r="A310" s="172">
        <f>N_L39</f>
        <v>0</v>
      </c>
      <c r="B310" s="363" t="s">
        <v>37</v>
      </c>
      <c r="C310" s="363" t="s">
        <v>37</v>
      </c>
      <c r="D310" s="363" t="s">
        <v>37</v>
      </c>
      <c r="E310" s="363" t="s">
        <v>37</v>
      </c>
      <c r="F310" s="363" t="s">
        <v>37</v>
      </c>
      <c r="G310" s="363" t="s">
        <v>37</v>
      </c>
      <c r="H310" s="363" t="s">
        <v>37</v>
      </c>
      <c r="I310" s="363" t="s">
        <v>37</v>
      </c>
      <c r="J310" s="363" t="s">
        <v>37</v>
      </c>
      <c r="K310" s="363" t="s">
        <v>37</v>
      </c>
      <c r="L310" s="363" t="s">
        <v>37</v>
      </c>
      <c r="M310" s="363" t="s">
        <v>37</v>
      </c>
    </row>
    <row r="311" spans="1:172" ht="20.100000000000001" customHeight="1" x14ac:dyDescent="0.3">
      <c r="A311" s="175" t="s">
        <v>238</v>
      </c>
      <c r="B311" s="174">
        <f>SUM(DI313:DM317)/100</f>
        <v>0</v>
      </c>
      <c r="C311" s="174">
        <f>SUM(DN313:DR317)/100</f>
        <v>0</v>
      </c>
      <c r="D311" s="174">
        <f>SUM(DS313:DW317)/100</f>
        <v>0</v>
      </c>
      <c r="E311" s="174">
        <f>SUM(DX313:EB317)/100</f>
        <v>0</v>
      </c>
      <c r="F311" s="174">
        <f>SUM(EC313:EG317)/100</f>
        <v>0</v>
      </c>
      <c r="G311" s="174">
        <f>SUM(EH313:EL317)/100</f>
        <v>0</v>
      </c>
      <c r="H311" s="174">
        <f>SUM(EM313:EQ317)/100</f>
        <v>0</v>
      </c>
      <c r="I311" s="174">
        <f>SUM(ER313:EV317)/100</f>
        <v>0</v>
      </c>
      <c r="J311" s="174">
        <f>SUM(EW313:FA317)/100</f>
        <v>0</v>
      </c>
      <c r="K311" s="174">
        <f>SUM(FB313:FF317)/100</f>
        <v>0</v>
      </c>
      <c r="L311" s="174">
        <f>SUM(FG313:FK317)/100</f>
        <v>0</v>
      </c>
      <c r="M311" s="174">
        <f>SUM(FL313:FP317)/100</f>
        <v>0</v>
      </c>
    </row>
    <row r="312" spans="1:172" ht="20.100000000000001" customHeight="1" x14ac:dyDescent="0.3">
      <c r="A312" s="151" t="s">
        <v>239</v>
      </c>
      <c r="B312" s="152" t="e">
        <f t="shared" ref="B312:M312" si="2360">B311/Lote_39</f>
        <v>#DIV/0!</v>
      </c>
      <c r="C312" s="152" t="e">
        <f t="shared" si="2360"/>
        <v>#DIV/0!</v>
      </c>
      <c r="D312" s="152" t="e">
        <f t="shared" si="2360"/>
        <v>#DIV/0!</v>
      </c>
      <c r="E312" s="152" t="e">
        <f t="shared" si="2360"/>
        <v>#DIV/0!</v>
      </c>
      <c r="F312" s="152" t="e">
        <f t="shared" si="2360"/>
        <v>#DIV/0!</v>
      </c>
      <c r="G312" s="152" t="e">
        <f t="shared" si="2360"/>
        <v>#DIV/0!</v>
      </c>
      <c r="H312" s="152" t="e">
        <f t="shared" si="2360"/>
        <v>#DIV/0!</v>
      </c>
      <c r="I312" s="152" t="e">
        <f t="shared" si="2360"/>
        <v>#DIV/0!</v>
      </c>
      <c r="J312" s="152" t="e">
        <f t="shared" si="2360"/>
        <v>#DIV/0!</v>
      </c>
      <c r="K312" s="152" t="e">
        <f t="shared" si="2360"/>
        <v>#DIV/0!</v>
      </c>
      <c r="L312" s="152" t="e">
        <f t="shared" si="2360"/>
        <v>#DIV/0!</v>
      </c>
      <c r="M312" s="152" t="e">
        <f t="shared" si="2360"/>
        <v>#DIV/0!</v>
      </c>
    </row>
    <row r="313" spans="1:172" ht="20.100000000000001" customHeight="1" x14ac:dyDescent="0.3">
      <c r="A313" s="8" t="s">
        <v>302</v>
      </c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O313" s="58">
        <f>IFERROR('6'!O$159/Ciclo,0)</f>
        <v>0</v>
      </c>
      <c r="P313" s="58">
        <f>IFERROR('6'!P$159/Ciclo,0)</f>
        <v>0</v>
      </c>
      <c r="Q313" s="58">
        <f>IFERROR('6'!Q$159/Ciclo,0)</f>
        <v>0</v>
      </c>
      <c r="R313" s="58">
        <f>IFERROR('6'!R$159/Ciclo,0)</f>
        <v>0</v>
      </c>
      <c r="S313" s="58">
        <f>IFERROR('6'!S$159/Ciclo,0)</f>
        <v>0</v>
      </c>
      <c r="T313" s="58">
        <f>IFERROR('6'!T$159/Ciclo,0)</f>
        <v>0</v>
      </c>
      <c r="U313" s="58">
        <f>IFERROR('6'!U$159/Ciclo,0)</f>
        <v>0</v>
      </c>
      <c r="V313" s="58">
        <f>IFERROR('6'!V$159/Ciclo,0)</f>
        <v>0</v>
      </c>
      <c r="W313" s="5">
        <f>IFERROR('6'!W$159/Ciclo,0)</f>
        <v>0</v>
      </c>
      <c r="X313" s="5">
        <f>IFERROR('6'!X$159/Ciclo,0)</f>
        <v>0</v>
      </c>
      <c r="Y313" s="5">
        <f>IFERROR('6'!Y$159/Ciclo,0)</f>
        <v>0</v>
      </c>
      <c r="Z313" s="5">
        <f>IFERROR('6'!Z$159/Ciclo,0)</f>
        <v>0</v>
      </c>
      <c r="AB313" s="5">
        <f>IF($B$310="Producción",IF($B313&gt;=LI_A,$O313,0),0)</f>
        <v>0</v>
      </c>
      <c r="AC313" s="5">
        <f>IF($B$310="Producción",IF($B313&gt;=LI_B,IF($B313&lt;LS_B,$O313,0),0),0)</f>
        <v>0</v>
      </c>
      <c r="AD313" s="5">
        <f>IF($B$310="Producción",IF($B313&gt;=LI_C,IF($B313&lt;LS_C,$O313,0),0),0)</f>
        <v>0</v>
      </c>
      <c r="AE313" s="5">
        <f>IF($B$310="Producción",IF($B313&lt;LS_D,$O313,0),0)</f>
        <v>0</v>
      </c>
      <c r="AF313" s="5">
        <f>IF($B$310="Crecimiento",$O313,0)</f>
        <v>0</v>
      </c>
      <c r="AG313" s="5">
        <f>IF($B310="Siembra",'6'!$O$7,0)</f>
        <v>0</v>
      </c>
      <c r="AH313" s="5">
        <f>IF($B310="Abandono",'6'!$O$7,0)</f>
        <v>0</v>
      </c>
      <c r="AI313" s="5">
        <f>IF($C$310="Producción",IF($C313&gt;=LI_A,$P313,0),0)</f>
        <v>0</v>
      </c>
      <c r="AJ313" s="5">
        <f>IF($C$310="Producción",IF($C313&gt;=LI_B,IF($C313&lt;LS_B,$P313,0),0),0)</f>
        <v>0</v>
      </c>
      <c r="AK313" s="5">
        <f>IF($C$310="Producción",IF($C313&gt;=LI_C,IF($C313&lt;LS_C,$P313,0),0),0)</f>
        <v>0</v>
      </c>
      <c r="AL313" s="5">
        <f>IF($C$310="Producción",IF($C313&lt;LS_D,$P313,0),0)</f>
        <v>0</v>
      </c>
      <c r="AM313" s="5">
        <f>IF($C$310="Crecimiento",$P313,0)</f>
        <v>0</v>
      </c>
      <c r="AN313" s="5">
        <f>IF($C310="Siembra",'6'!$P$7,0)</f>
        <v>0</v>
      </c>
      <c r="AO313" s="5">
        <f>IF($C310="Abandono",'6'!$P$7,0)</f>
        <v>0</v>
      </c>
      <c r="AP313" s="5">
        <f>IF($D$310="Producción",IF($D313&gt;=LI_A,$Q313,0),0)</f>
        <v>0</v>
      </c>
      <c r="AQ313" s="5">
        <f>IF($D$310="Producción",IF($D313&gt;=LI_B,IF($D313&lt;LS_B,$Q313,0),0),0)</f>
        <v>0</v>
      </c>
      <c r="AR313" s="5">
        <f>IF($D$310="Producción",IF($D313&gt;=LI_C,IF($D313&lt;LS_C,$Q313,0),0),0)</f>
        <v>0</v>
      </c>
      <c r="AS313" s="5">
        <f>IF($D$310="Producción",IF($D313&lt;LS_D,$Q313,0),0)</f>
        <v>0</v>
      </c>
      <c r="AT313" s="5">
        <f>IF($D$310="Crecimiento",IF($D313&gt;0,$Q313,0),0)</f>
        <v>0</v>
      </c>
      <c r="AU313" s="5">
        <f>IF($D310="Siembra",'6'!$Q$7,0)</f>
        <v>0</v>
      </c>
      <c r="AV313" s="5">
        <f>IF($D310="Abandono",'6'!$Q$7,0)</f>
        <v>0</v>
      </c>
      <c r="AW313" s="5">
        <f>IF($E$310="Producción",IF($E313&gt;=LI_A,$R313,0),0)</f>
        <v>0</v>
      </c>
      <c r="AX313" s="5">
        <f>IF($E$310="Producción",IF($E313&gt;=LI_B,IF($E313&lt;LS_B,$R313,0),0),0)</f>
        <v>0</v>
      </c>
      <c r="AY313" s="5">
        <f>IF($E$310="Producción",IF($E313&gt;=LI_C,IF($E313&lt;LS_C,$R313,0),0),0)</f>
        <v>0</v>
      </c>
      <c r="AZ313" s="5">
        <f>IF($E$310="Producción",IF($E313&lt;LS_D,$R313,0),0)</f>
        <v>0</v>
      </c>
      <c r="BA313" s="5">
        <f>IF($E$310="Crecimiento",$R313,0)</f>
        <v>0</v>
      </c>
      <c r="BB313" s="5">
        <f>IF($E310="Siembra",'6'!$R$7,0)</f>
        <v>0</v>
      </c>
      <c r="BC313" s="5">
        <f>IF($E310="Abandono",'6'!$R$7,0)</f>
        <v>0</v>
      </c>
      <c r="BD313" s="5">
        <f>IF($F$310="Producción",IF($F313&gt;=LI_A,$S313,0),0)</f>
        <v>0</v>
      </c>
      <c r="BE313" s="5">
        <f>IF($F$310="Producción",IF($F313&gt;=LI_B,IF($F313&lt;LS_B,$S313,0),0),0)</f>
        <v>0</v>
      </c>
      <c r="BF313" s="5">
        <f>IF($F$310="Producción",IF($F313&gt;=LI_C,IF($F313&lt;LS_C,$S313,0),0),0)</f>
        <v>0</v>
      </c>
      <c r="BG313" s="5">
        <f>IF($F$310="Producción",IF($F313&lt;LS_D,$S313,0),0)</f>
        <v>0</v>
      </c>
      <c r="BH313" s="5">
        <f>IF($F$310="Crecimiento",$S313,0)</f>
        <v>0</v>
      </c>
      <c r="BI313" s="5">
        <f>IF($F310="Siembra",'6'!$S$7,0)</f>
        <v>0</v>
      </c>
      <c r="BJ313" s="5">
        <f>IF($F310="Abandono",'6'!$S$7,0)</f>
        <v>0</v>
      </c>
      <c r="BK313" s="5">
        <f>IF($G$310="Producción",IF($G313&gt;=LI_A,$T313,0),0)</f>
        <v>0</v>
      </c>
      <c r="BL313" s="5">
        <f>IF($G$310="Producción",IF($G313&gt;=LI_B,IF($G313&lt;LS_B,$T313,0),0),0)</f>
        <v>0</v>
      </c>
      <c r="BM313" s="5">
        <f>IF($G$310="Producción",IF($G313&gt;=LI_C,IF($G313&lt;LS_C,$T313,0),0),0)</f>
        <v>0</v>
      </c>
      <c r="BN313" s="5">
        <f>IF($G$310="Producción",IF($G313&lt;LS_D,$T313,0),0)</f>
        <v>0</v>
      </c>
      <c r="BO313" s="5">
        <f>IF($G$310="Crecimiento",$T313,0)</f>
        <v>0</v>
      </c>
      <c r="BP313" s="5">
        <f>IF($G310="Siembra",'6'!$T$7,0)</f>
        <v>0</v>
      </c>
      <c r="BQ313" s="5">
        <f>IF($G310="Abandono",'6'!$T$7,0)</f>
        <v>0</v>
      </c>
      <c r="BR313" s="5">
        <f>IF($H$310="Producción",IF($H313&gt;=LI_A,$U313,0),0)</f>
        <v>0</v>
      </c>
      <c r="BS313" s="5">
        <f>IF($H$310="Producción",IF($H313&gt;=LI_B,IF($H313&lt;LS_B,$U313,0),0),0)</f>
        <v>0</v>
      </c>
      <c r="BT313" s="5">
        <f>IF($H$310="Producción",IF($H313&gt;=LI_C,IF($H313&lt;LS_C,$U313,0),0),0)</f>
        <v>0</v>
      </c>
      <c r="BU313" s="5">
        <f>IF($H$310="Producción",IF($H313&lt;LS_D,$U313,0),0)</f>
        <v>0</v>
      </c>
      <c r="BV313" s="5">
        <f>IF($H$310="Crecimiento",$T313,0)</f>
        <v>0</v>
      </c>
      <c r="BW313" s="5">
        <f>IF($H310="Siembra",'6'!$U$7,0)</f>
        <v>0</v>
      </c>
      <c r="BX313" s="5">
        <f>IF($H310="Abandono",'6'!$U$7,0)</f>
        <v>0</v>
      </c>
      <c r="BY313" s="5">
        <f>IF($I$310="Producción",IF($I313&gt;=LI_A,$V313,0),0)</f>
        <v>0</v>
      </c>
      <c r="BZ313" s="5">
        <f>IF($I$310="Producción",IF($I313&gt;=LI_B,IF($I313&lt;LS_B,$V313,0),0),0)</f>
        <v>0</v>
      </c>
      <c r="CA313" s="5">
        <f>IF($I$310="Producción",IF($I313&gt;=LI_C,IF($I313&lt;LS_C,$V313,0),0),0)</f>
        <v>0</v>
      </c>
      <c r="CB313" s="5">
        <f>IF($I$310="Producción",IF($I313&lt;LS_D,$V313,0),0)</f>
        <v>0</v>
      </c>
      <c r="CC313" s="5">
        <f>IF($I$310="Crecimiento",$V313,0)</f>
        <v>0</v>
      </c>
      <c r="CD313" s="5">
        <f>IF($I310="Siembra",'6'!$V$7,0)</f>
        <v>0</v>
      </c>
      <c r="CE313" s="5">
        <f>IF($I310="Abandono",'6'!$V$7,0)</f>
        <v>0</v>
      </c>
      <c r="CF313" s="5">
        <f>IF($J$310="Producción",IF($J313&gt;=LI_A,$W313,0),0)</f>
        <v>0</v>
      </c>
      <c r="CG313" s="5">
        <f>IF($J$310="Producción",IF($J313&gt;=LI_B,IF($J313&lt;LS_B,$W313,0),0),0)</f>
        <v>0</v>
      </c>
      <c r="CH313" s="5">
        <f>IF($J$310="Producción",IF($J313&gt;=LI_C,IF($J313&lt;LS_C,$W313,0),0),0)</f>
        <v>0</v>
      </c>
      <c r="CI313" s="5">
        <f>IF($J$310="Producción",IF($J313&lt;LS_D,$W313,0),0)</f>
        <v>0</v>
      </c>
      <c r="CJ313" s="5">
        <f>IF($J$310="Crecimiento",$W313,0)</f>
        <v>0</v>
      </c>
      <c r="CK313" s="5">
        <f>IF($J310="Siembra",'6'!$W$7,0)</f>
        <v>0</v>
      </c>
      <c r="CL313" s="5">
        <f>IF($J310="Abandono",'6'!$W$7,0)</f>
        <v>0</v>
      </c>
      <c r="CM313" s="5">
        <f>IF($K$310="Producción",IF($K313&gt;=LI_A,$X313,0),0)</f>
        <v>0</v>
      </c>
      <c r="CN313" s="5">
        <f>IF($K$310="Producción",IF($K313&gt;=LI_B,IF($K313&lt;LS_B,$X313,0),0),0)</f>
        <v>0</v>
      </c>
      <c r="CO313" s="5">
        <f>IF($K$310="Producción",IF($K313&gt;=LI_C,IF($K313&lt;LS_C,$X313,0),0),0)</f>
        <v>0</v>
      </c>
      <c r="CP313" s="5">
        <f>IF($K$310="Producción",IF($K313&lt;LS_D,$X313,0),0)</f>
        <v>0</v>
      </c>
      <c r="CQ313" s="5">
        <f>IF($K$310="Crecimiento",$X313,0)</f>
        <v>0</v>
      </c>
      <c r="CR313" s="5">
        <f>IF($K310="Siembra",'6'!$X$7,0)</f>
        <v>0</v>
      </c>
      <c r="CS313" s="5">
        <f>IF($K310="Abandono",'6'!$X$7,0)</f>
        <v>0</v>
      </c>
      <c r="CT313" s="5">
        <f>IF($L$310="Producción",IF($L313&gt;=LI_A,$Y313,0),0)</f>
        <v>0</v>
      </c>
      <c r="CU313" s="5">
        <f>IF($L$310="Producción",IF($L313&gt;=LI_B,IF($L313&lt;LS_B,$Y313,0),0),0)</f>
        <v>0</v>
      </c>
      <c r="CV313" s="5">
        <f>IF($L$310="Producción",IF($L313&gt;=LI_C,IF($L313&lt;LS_C,$Y313,0),0),0)</f>
        <v>0</v>
      </c>
      <c r="CW313" s="5">
        <f>IF($L$310="Producción",IF($L313&lt;LS_D,$Y313,0),0)</f>
        <v>0</v>
      </c>
      <c r="CX313" s="5">
        <f>IF($L$310="Crecimiento",$Y313,0)</f>
        <v>0</v>
      </c>
      <c r="CY313" s="5">
        <f>IF($L310="Siembra",'6'!$Y$7,0)</f>
        <v>0</v>
      </c>
      <c r="CZ313" s="5">
        <f>IF($L310="Abandono",'6'!$Y$7,0)</f>
        <v>0</v>
      </c>
      <c r="DA313" s="5">
        <f>IF($M$310="Producción",IF($M313&gt;=LI_A,$Z313,0),0)</f>
        <v>0</v>
      </c>
      <c r="DB313" s="5">
        <f>IF($M$310="Producción",IF($M313&gt;=LI_B,IF($M313&lt;LS_B,$Z313,0),0),0)</f>
        <v>0</v>
      </c>
      <c r="DC313" s="5">
        <f>IF($M$310="Producción",IF($M313&gt;=LI_C,IF($M313&lt;LS_C,$Z313,0),0),0)</f>
        <v>0</v>
      </c>
      <c r="DD313" s="5">
        <f>IF($M$310="Producción",IF($M313&lt;LS_D,$Z313,0),0)</f>
        <v>0</v>
      </c>
      <c r="DE313" s="5">
        <f>IF($M$310="Crecimiento",$Z313,0)</f>
        <v>0</v>
      </c>
      <c r="DF313" s="5">
        <f>IF($M310="Siembra",'6'!$Z$7,0)</f>
        <v>0</v>
      </c>
      <c r="DG313" s="5">
        <f>IF($M310="Abandono",'6'!$Z$7,0)</f>
        <v>0</v>
      </c>
      <c r="DI313" s="5">
        <f t="shared" ref="DI313:DI317" si="2361">AB313*$B313</f>
        <v>0</v>
      </c>
      <c r="DJ313" s="5">
        <f t="shared" ref="DJ313:DJ317" si="2362">AC313*$B313</f>
        <v>0</v>
      </c>
      <c r="DK313" s="5">
        <f t="shared" ref="DK313:DK317" si="2363">AD313*$B313</f>
        <v>0</v>
      </c>
      <c r="DL313" s="5">
        <f t="shared" ref="DL313:DL317" si="2364">AE313*$B313</f>
        <v>0</v>
      </c>
      <c r="DM313" s="5">
        <f t="shared" ref="DM313:DM317" si="2365">AF313*$B313</f>
        <v>0</v>
      </c>
      <c r="DN313" s="5">
        <f t="shared" ref="DN313:DN317" si="2366">AI313*$C313</f>
        <v>0</v>
      </c>
      <c r="DO313" s="5">
        <f t="shared" ref="DO313:DO317" si="2367">AJ313*$C313</f>
        <v>0</v>
      </c>
      <c r="DP313" s="5">
        <f t="shared" ref="DP313:DP317" si="2368">AK313*$C313</f>
        <v>0</v>
      </c>
      <c r="DQ313" s="5">
        <f t="shared" ref="DQ313:DQ317" si="2369">AL313*$C313</f>
        <v>0</v>
      </c>
      <c r="DR313" s="5">
        <f t="shared" ref="DR313:DR317" si="2370">AM313*$C313</f>
        <v>0</v>
      </c>
      <c r="DS313" s="5">
        <f t="shared" ref="DS313:DS317" si="2371">AP313*$D313</f>
        <v>0</v>
      </c>
      <c r="DT313" s="5">
        <f t="shared" ref="DT313:DT317" si="2372">AQ313*$D313</f>
        <v>0</v>
      </c>
      <c r="DU313" s="5">
        <f t="shared" ref="DU313:DU317" si="2373">AR313*$D313</f>
        <v>0</v>
      </c>
      <c r="DV313" s="5">
        <f t="shared" ref="DV313:DV317" si="2374">AS313*$D313</f>
        <v>0</v>
      </c>
      <c r="DW313" s="5">
        <f t="shared" ref="DW313:DW317" si="2375">AT313*$D313</f>
        <v>0</v>
      </c>
      <c r="DX313" s="5">
        <f t="shared" ref="DX313:DX317" si="2376">AW313*$E313</f>
        <v>0</v>
      </c>
      <c r="DY313" s="5">
        <f t="shared" ref="DY313:DY317" si="2377">AX313*$E313</f>
        <v>0</v>
      </c>
      <c r="DZ313" s="5">
        <f t="shared" ref="DZ313:DZ317" si="2378">AY313*$E313</f>
        <v>0</v>
      </c>
      <c r="EA313" s="5">
        <f t="shared" ref="EA313:EA317" si="2379">AZ313*$E313</f>
        <v>0</v>
      </c>
      <c r="EB313" s="5">
        <f t="shared" ref="EB313:EB317" si="2380">BA313*$E313</f>
        <v>0</v>
      </c>
      <c r="EC313" s="5">
        <f t="shared" ref="EC313:EC317" si="2381">BD313*$F313</f>
        <v>0</v>
      </c>
      <c r="ED313" s="5">
        <f t="shared" ref="ED313:ED317" si="2382">BE313*$F313</f>
        <v>0</v>
      </c>
      <c r="EE313" s="5">
        <f t="shared" ref="EE313:EE317" si="2383">BF313*$F313</f>
        <v>0</v>
      </c>
      <c r="EF313" s="5">
        <f t="shared" ref="EF313:EF317" si="2384">BG313*$F313</f>
        <v>0</v>
      </c>
      <c r="EG313" s="5">
        <f t="shared" ref="EG313:EG317" si="2385">BH313*$F313</f>
        <v>0</v>
      </c>
      <c r="EH313" s="5">
        <f t="shared" ref="EH313:EH317" si="2386">BK313*$G313</f>
        <v>0</v>
      </c>
      <c r="EI313" s="5">
        <f t="shared" ref="EI313:EI317" si="2387">BL313*$G313</f>
        <v>0</v>
      </c>
      <c r="EJ313" s="5">
        <f t="shared" ref="EJ313:EJ317" si="2388">BM313*$G313</f>
        <v>0</v>
      </c>
      <c r="EK313" s="5">
        <f t="shared" ref="EK313:EK317" si="2389">BN313*$G313</f>
        <v>0</v>
      </c>
      <c r="EL313" s="5">
        <f t="shared" ref="EL313:EL317" si="2390">BO313*$G313</f>
        <v>0</v>
      </c>
      <c r="EM313" s="5">
        <f t="shared" ref="EM313:EM317" si="2391">BR313*$H313</f>
        <v>0</v>
      </c>
      <c r="EN313" s="5">
        <f t="shared" ref="EN313:EN317" si="2392">BS313*$H313</f>
        <v>0</v>
      </c>
      <c r="EO313" s="5">
        <f t="shared" ref="EO313:EO317" si="2393">BT313*$H313</f>
        <v>0</v>
      </c>
      <c r="EP313" s="5">
        <f t="shared" ref="EP313:EP317" si="2394">BU313*$H313</f>
        <v>0</v>
      </c>
      <c r="EQ313" s="5">
        <f t="shared" ref="EQ313:EQ317" si="2395">BV313*$H313</f>
        <v>0</v>
      </c>
      <c r="ER313" s="5">
        <f t="shared" ref="ER313:ER317" si="2396">BY313*$I313</f>
        <v>0</v>
      </c>
      <c r="ES313" s="5">
        <f t="shared" ref="ES313:ES317" si="2397">BZ313*$I313</f>
        <v>0</v>
      </c>
      <c r="ET313" s="5">
        <f t="shared" ref="ET313:ET317" si="2398">CA313*$I313</f>
        <v>0</v>
      </c>
      <c r="EU313" s="5">
        <f t="shared" ref="EU313:EU317" si="2399">CB313*$I313</f>
        <v>0</v>
      </c>
      <c r="EV313" s="5">
        <f t="shared" ref="EV313:EV317" si="2400">CC313*$I313</f>
        <v>0</v>
      </c>
      <c r="EW313" s="5">
        <f t="shared" ref="EW313:EW317" si="2401">CF313*$J313</f>
        <v>0</v>
      </c>
      <c r="EX313" s="5">
        <f t="shared" ref="EX313:EX317" si="2402">CG313*$J313</f>
        <v>0</v>
      </c>
      <c r="EY313" s="5">
        <f t="shared" ref="EY313:EY317" si="2403">CH313*$J313</f>
        <v>0</v>
      </c>
      <c r="EZ313" s="5">
        <f t="shared" ref="EZ313:EZ317" si="2404">CI313*$J313</f>
        <v>0</v>
      </c>
      <c r="FA313" s="5">
        <f t="shared" ref="FA313:FA317" si="2405">CJ313*$J313</f>
        <v>0</v>
      </c>
      <c r="FB313" s="5">
        <f t="shared" ref="FB313:FB317" si="2406">CM313*$K313</f>
        <v>0</v>
      </c>
      <c r="FC313" s="5">
        <f t="shared" ref="FC313:FC317" si="2407">CN313*$K313</f>
        <v>0</v>
      </c>
      <c r="FD313" s="5">
        <f t="shared" ref="FD313:FD317" si="2408">CO313*$K313</f>
        <v>0</v>
      </c>
      <c r="FE313" s="5">
        <f t="shared" ref="FE313:FE317" si="2409">CP313*$K313</f>
        <v>0</v>
      </c>
      <c r="FF313" s="5">
        <f t="shared" ref="FF313:FF317" si="2410">CQ313*$K313</f>
        <v>0</v>
      </c>
      <c r="FG313" s="5">
        <f t="shared" ref="FG313:FG317" si="2411">CT313*$L313</f>
        <v>0</v>
      </c>
      <c r="FH313" s="5">
        <f t="shared" ref="FH313:FH317" si="2412">CU313*$L313</f>
        <v>0</v>
      </c>
      <c r="FI313" s="5">
        <f t="shared" ref="FI313:FI317" si="2413">CV313*$L313</f>
        <v>0</v>
      </c>
      <c r="FJ313" s="5">
        <f t="shared" ref="FJ313:FJ317" si="2414">CW313*$L313</f>
        <v>0</v>
      </c>
      <c r="FK313" s="5">
        <f t="shared" ref="FK313:FK317" si="2415">CX313*$L313</f>
        <v>0</v>
      </c>
      <c r="FL313" s="5">
        <f t="shared" ref="FL313:FL317" si="2416">DA313*$M313</f>
        <v>0</v>
      </c>
      <c r="FM313" s="5">
        <f t="shared" ref="FM313:FM317" si="2417">DB313*$M313</f>
        <v>0</v>
      </c>
      <c r="FN313" s="5">
        <f t="shared" ref="FN313:FN317" si="2418">DC313*$M313</f>
        <v>0</v>
      </c>
      <c r="FO313" s="5">
        <f t="shared" ref="FO313:FO317" si="2419">DD313*$M313</f>
        <v>0</v>
      </c>
      <c r="FP313" s="5">
        <f t="shared" ref="FP313:FP317" si="2420">DE313*$M313</f>
        <v>0</v>
      </c>
    </row>
    <row r="314" spans="1:172" ht="20.100000000000001" customHeight="1" x14ac:dyDescent="0.3">
      <c r="A314" s="8" t="s">
        <v>303</v>
      </c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O314" s="58">
        <f>IFERROR('6'!O$159/Ciclo,0)</f>
        <v>0</v>
      </c>
      <c r="P314" s="58">
        <f>IFERROR('6'!P$159/Ciclo,0)</f>
        <v>0</v>
      </c>
      <c r="Q314" s="58">
        <f>IFERROR('6'!Q$159/Ciclo,0)</f>
        <v>0</v>
      </c>
      <c r="R314" s="58">
        <f>IFERROR('6'!R$159/Ciclo,0)</f>
        <v>0</v>
      </c>
      <c r="S314" s="58">
        <f>IFERROR('6'!S$159/Ciclo,0)</f>
        <v>0</v>
      </c>
      <c r="T314" s="58">
        <f>IFERROR('6'!T$159/Ciclo,0)</f>
        <v>0</v>
      </c>
      <c r="U314" s="58">
        <f>IFERROR('6'!U$159/Ciclo,0)</f>
        <v>0</v>
      </c>
      <c r="V314" s="58">
        <f>IFERROR('6'!V$159/Ciclo,0)</f>
        <v>0</v>
      </c>
      <c r="W314" s="5">
        <f>IFERROR('6'!W$159/Ciclo,0)</f>
        <v>0</v>
      </c>
      <c r="X314" s="5">
        <f>IFERROR('6'!X$159/Ciclo,0)</f>
        <v>0</v>
      </c>
      <c r="Y314" s="5">
        <f>IFERROR('6'!Y$159/Ciclo,0)</f>
        <v>0</v>
      </c>
      <c r="Z314" s="5">
        <f>IFERROR('6'!Z$159/Ciclo,0)</f>
        <v>0</v>
      </c>
      <c r="AB314" s="5">
        <f>IF($B$310="Producción",IF($B314&gt;=LI_A,$O314,0),0)</f>
        <v>0</v>
      </c>
      <c r="AC314" s="5">
        <f>IF($B$310="Producción",IF($B314&gt;=LI_B,IF($B314&lt;LS_B,$O314,0),0),0)</f>
        <v>0</v>
      </c>
      <c r="AD314" s="5">
        <f>IF($B$310="Producción",IF($B314&gt;=LI_C,IF($B314&lt;LS_C,$O314,0),0),0)</f>
        <v>0</v>
      </c>
      <c r="AE314" s="5">
        <f>IF($B$310="Producción",IF($B314&lt;LS_D,$O314,0),0)</f>
        <v>0</v>
      </c>
      <c r="AF314" s="5">
        <f t="shared" ref="AF314:AF317" si="2421">IF($B$310="Crecimiento",$O314,0)</f>
        <v>0</v>
      </c>
      <c r="AI314" s="5">
        <f>IF($C$310="Producción",IF($C314&gt;=LI_A,$P314,0),0)</f>
        <v>0</v>
      </c>
      <c r="AJ314" s="5">
        <f>IF($C$310="Producción",IF($C314&gt;=LI_B,IF($C314&lt;LS_B,$P314,0),0),0)</f>
        <v>0</v>
      </c>
      <c r="AK314" s="5">
        <f>IF($C$310="Producción",IF($C314&gt;=LI_C,IF($C314&lt;LS_C,$P314,0),0),0)</f>
        <v>0</v>
      </c>
      <c r="AL314" s="5">
        <f>IF($C$310="Producción",IF($C314&lt;LS_D,$P314,0),0)</f>
        <v>0</v>
      </c>
      <c r="AM314" s="5">
        <f>IF($C$310="Crecimiento",$P314,0)</f>
        <v>0</v>
      </c>
      <c r="AP314" s="5">
        <f>IF($D$310="Producción",IF($D314&gt;=LI_A,$Q314,0),0)</f>
        <v>0</v>
      </c>
      <c r="AQ314" s="5">
        <f>IF($D$310="Producción",IF($D314&gt;=LI_B,IF($D314&lt;LS_B,$Q314,0),0),0)</f>
        <v>0</v>
      </c>
      <c r="AR314" s="5">
        <f>IF($D$310="Producción",IF($D314&gt;=LI_C,IF($D314&lt;LS_C,$Q314,0),0),0)</f>
        <v>0</v>
      </c>
      <c r="AS314" s="5">
        <f>IF($D$310="Producción",IF($D314&lt;LS_D,$Q314,0),0)</f>
        <v>0</v>
      </c>
      <c r="AT314" s="5">
        <f>IF($D$310="Crecimiento",IF($D314&gt;0,$Q314,0),0)</f>
        <v>0</v>
      </c>
      <c r="AW314" s="5">
        <f>IF($E$310="Producción",IF($E314&gt;=LI_A,$R314,0),0)</f>
        <v>0</v>
      </c>
      <c r="AX314" s="5">
        <f>IF($E$310="Producción",IF($E314&gt;=LI_B,IF($E314&lt;LS_B,$R314,0),0),0)</f>
        <v>0</v>
      </c>
      <c r="AY314" s="5">
        <f>IF($E$310="Producción",IF($E314&gt;=LI_C,IF($E314&lt;LS_C,$R314,0),0),0)</f>
        <v>0</v>
      </c>
      <c r="AZ314" s="5">
        <f>IF($E$310="Producción",IF($E314&lt;LS_D,$R314,0),0)</f>
        <v>0</v>
      </c>
      <c r="BA314" s="5">
        <f>IF($E$310="Crecimiento",$R314,0)</f>
        <v>0</v>
      </c>
      <c r="BD314" s="5">
        <f>IF($F$310="Producción",IF($F314&gt;=LI_A,$S314,0),0)</f>
        <v>0</v>
      </c>
      <c r="BE314" s="5">
        <f>IF($F$310="Producción",IF($F314&gt;=LI_B,IF($F314&lt;LS_B,$S314,0),0),0)</f>
        <v>0</v>
      </c>
      <c r="BF314" s="5">
        <f>IF($F$310="Producción",IF($F314&gt;=LI_C,IF($F314&lt;LS_C,$S314,0),0),0)</f>
        <v>0</v>
      </c>
      <c r="BG314" s="5">
        <f>IF($F$310="Producción",IF($F314&lt;LS_D,$S314,0),0)</f>
        <v>0</v>
      </c>
      <c r="BH314" s="5">
        <f>IF($F$310="Crecimiento",$S314,0)</f>
        <v>0</v>
      </c>
      <c r="BK314" s="5">
        <f>IF($G$310="Producción",IF($G314&gt;=LI_A,$T314,0),0)</f>
        <v>0</v>
      </c>
      <c r="BL314" s="5">
        <f>IF($G$310="Producción",IF($G314&gt;=LI_B,IF($G314&lt;LS_B,$T314,0),0),0)</f>
        <v>0</v>
      </c>
      <c r="BM314" s="5">
        <f>IF($G$310="Producción",IF($G314&gt;=LI_C,IF($G314&lt;LS_C,$T314,0),0),0)</f>
        <v>0</v>
      </c>
      <c r="BN314" s="5">
        <f>IF($G$310="Producción",IF($G314&lt;LS_D,$T314,0),0)</f>
        <v>0</v>
      </c>
      <c r="BO314" s="5">
        <f>IF($G$310="Crecimiento",$T314,0)</f>
        <v>0</v>
      </c>
      <c r="BR314" s="5">
        <f>IF($H$310="Producción",IF($H314&gt;=LI_A,$U314,0),0)</f>
        <v>0</v>
      </c>
      <c r="BS314" s="5">
        <f>IF($H$310="Producción",IF($H314&gt;=LI_B,IF($H314&lt;LS_B,$U314,0),0),0)</f>
        <v>0</v>
      </c>
      <c r="BT314" s="5">
        <f>IF($H$310="Producción",IF($H314&gt;=LI_C,IF($H314&lt;LS_C,$U314,0),0),0)</f>
        <v>0</v>
      </c>
      <c r="BU314" s="5">
        <f>IF($H$310="Producción",IF($H314&lt;LS_D,$U314,0),0)</f>
        <v>0</v>
      </c>
      <c r="BV314" s="5">
        <f>IF($H$310="Crecimiento",$T314,0)</f>
        <v>0</v>
      </c>
      <c r="BY314" s="5">
        <f>IF($I$310="Producción",IF($I314&gt;=LI_A,$V314,0),0)</f>
        <v>0</v>
      </c>
      <c r="BZ314" s="5">
        <f>IF($I$310="Producción",IF($I314&gt;=LI_B,IF($I314&lt;LS_B,$V314,0),0),0)</f>
        <v>0</v>
      </c>
      <c r="CA314" s="5">
        <f>IF($I$310="Producción",IF($I314&gt;=LI_C,IF($I314&lt;LS_C,$V314,0),0),0)</f>
        <v>0</v>
      </c>
      <c r="CB314" s="5">
        <f>IF($I$310="Producción",IF($I314&lt;LS_D,$V314,0),0)</f>
        <v>0</v>
      </c>
      <c r="CC314" s="5">
        <f>IF($I$310="Crecimiento",$V314,0)</f>
        <v>0</v>
      </c>
      <c r="CF314" s="5">
        <f>IF($J$310="Producción",IF($J314&gt;=LI_A,$W314,0),0)</f>
        <v>0</v>
      </c>
      <c r="CG314" s="5">
        <f>IF($J$310="Producción",IF($J314&gt;=LI_B,IF($J314&lt;LS_B,$W314,0),0),0)</f>
        <v>0</v>
      </c>
      <c r="CH314" s="5">
        <f>IF($J$310="Producción",IF($J314&gt;=LI_C,IF($J314&lt;LS_C,$W314,0),0),0)</f>
        <v>0</v>
      </c>
      <c r="CI314" s="5">
        <f>IF($J$310="Producción",IF($J314&lt;LS_D,$W314,0),0)</f>
        <v>0</v>
      </c>
      <c r="CJ314" s="5">
        <f>IF($J$310="Crecimiento",$W314,0)</f>
        <v>0</v>
      </c>
      <c r="CM314" s="5">
        <f>IF($K$310="Producción",IF($K314&gt;=LI_A,$X314,0),0)</f>
        <v>0</v>
      </c>
      <c r="CN314" s="5">
        <f>IF($K$310="Producción",IF($K314&gt;=LI_B,IF($K314&lt;LS_B,$X314,0),0),0)</f>
        <v>0</v>
      </c>
      <c r="CO314" s="5">
        <f>IF($K$310="Producción",IF($K314&gt;=LI_C,IF($K314&lt;LS_C,$X314,0),0),0)</f>
        <v>0</v>
      </c>
      <c r="CP314" s="5">
        <f>IF($K$310="Producción",IF($K314&lt;LS_D,$X314,0),0)</f>
        <v>0</v>
      </c>
      <c r="CQ314" s="5">
        <f>IF($K$310="Crecimiento",$X314,0)</f>
        <v>0</v>
      </c>
      <c r="CT314" s="5">
        <f>IF($L$310="Producción",IF($L314&gt;=LI_A,$Y314,0),0)</f>
        <v>0</v>
      </c>
      <c r="CU314" s="5">
        <f>IF($L$310="Producción",IF($L314&gt;=LI_B,IF($L314&lt;LS_B,$Y314,0),0),0)</f>
        <v>0</v>
      </c>
      <c r="CV314" s="5">
        <f>IF($L$310="Producción",IF($L314&gt;=LI_C,IF($L314&lt;LS_C,$Y314,0),0),0)</f>
        <v>0</v>
      </c>
      <c r="CW314" s="5">
        <f>IF($L$310="Producción",IF($L314&lt;LS_D,$Y314,0),0)</f>
        <v>0</v>
      </c>
      <c r="CX314" s="5">
        <f>IF($L$310="Crecimiento",$Y314,0)</f>
        <v>0</v>
      </c>
      <c r="DA314" s="5">
        <f>IF($M$310="Producción",IF($M314&gt;=LI_A,$Z314,0),0)</f>
        <v>0</v>
      </c>
      <c r="DB314" s="5">
        <f>IF($M$310="Producción",IF($M314&gt;=LI_B,IF($M314&lt;LS_B,$Z314,0),0),0)</f>
        <v>0</v>
      </c>
      <c r="DC314" s="5">
        <f>IF($M$310="Producción",IF($M314&gt;=LI_C,IF($M314&lt;LS_C,$Z314,0),0),0)</f>
        <v>0</v>
      </c>
      <c r="DD314" s="5">
        <f>IF($M$310="Producción",IF($M314&lt;LS_D,$Z314,0),0)</f>
        <v>0</v>
      </c>
      <c r="DE314" s="5">
        <f>IF($M$310="Crecimiento",$Z314,0)</f>
        <v>0</v>
      </c>
      <c r="DI314" s="5">
        <f t="shared" si="2361"/>
        <v>0</v>
      </c>
      <c r="DJ314" s="5">
        <f t="shared" si="2362"/>
        <v>0</v>
      </c>
      <c r="DK314" s="5">
        <f t="shared" si="2363"/>
        <v>0</v>
      </c>
      <c r="DL314" s="5">
        <f t="shared" si="2364"/>
        <v>0</v>
      </c>
      <c r="DM314" s="5">
        <f t="shared" si="2365"/>
        <v>0</v>
      </c>
      <c r="DN314" s="5">
        <f t="shared" si="2366"/>
        <v>0</v>
      </c>
      <c r="DO314" s="5">
        <f t="shared" si="2367"/>
        <v>0</v>
      </c>
      <c r="DP314" s="5">
        <f t="shared" si="2368"/>
        <v>0</v>
      </c>
      <c r="DQ314" s="5">
        <f t="shared" si="2369"/>
        <v>0</v>
      </c>
      <c r="DR314" s="5">
        <f t="shared" si="2370"/>
        <v>0</v>
      </c>
      <c r="DS314" s="5">
        <f t="shared" si="2371"/>
        <v>0</v>
      </c>
      <c r="DT314" s="5">
        <f t="shared" si="2372"/>
        <v>0</v>
      </c>
      <c r="DU314" s="5">
        <f t="shared" si="2373"/>
        <v>0</v>
      </c>
      <c r="DV314" s="5">
        <f t="shared" si="2374"/>
        <v>0</v>
      </c>
      <c r="DW314" s="5">
        <f t="shared" si="2375"/>
        <v>0</v>
      </c>
      <c r="DX314" s="5">
        <f t="shared" si="2376"/>
        <v>0</v>
      </c>
      <c r="DY314" s="5">
        <f t="shared" si="2377"/>
        <v>0</v>
      </c>
      <c r="DZ314" s="5">
        <f t="shared" si="2378"/>
        <v>0</v>
      </c>
      <c r="EA314" s="5">
        <f t="shared" si="2379"/>
        <v>0</v>
      </c>
      <c r="EB314" s="5">
        <f t="shared" si="2380"/>
        <v>0</v>
      </c>
      <c r="EC314" s="5">
        <f t="shared" si="2381"/>
        <v>0</v>
      </c>
      <c r="ED314" s="5">
        <f t="shared" si="2382"/>
        <v>0</v>
      </c>
      <c r="EE314" s="5">
        <f t="shared" si="2383"/>
        <v>0</v>
      </c>
      <c r="EF314" s="5">
        <f t="shared" si="2384"/>
        <v>0</v>
      </c>
      <c r="EG314" s="5">
        <f t="shared" si="2385"/>
        <v>0</v>
      </c>
      <c r="EH314" s="5">
        <f t="shared" si="2386"/>
        <v>0</v>
      </c>
      <c r="EI314" s="5">
        <f t="shared" si="2387"/>
        <v>0</v>
      </c>
      <c r="EJ314" s="5">
        <f t="shared" si="2388"/>
        <v>0</v>
      </c>
      <c r="EK314" s="5">
        <f t="shared" si="2389"/>
        <v>0</v>
      </c>
      <c r="EL314" s="5">
        <f t="shared" si="2390"/>
        <v>0</v>
      </c>
      <c r="EM314" s="5">
        <f t="shared" si="2391"/>
        <v>0</v>
      </c>
      <c r="EN314" s="5">
        <f t="shared" si="2392"/>
        <v>0</v>
      </c>
      <c r="EO314" s="5">
        <f t="shared" si="2393"/>
        <v>0</v>
      </c>
      <c r="EP314" s="5">
        <f t="shared" si="2394"/>
        <v>0</v>
      </c>
      <c r="EQ314" s="5">
        <f t="shared" si="2395"/>
        <v>0</v>
      </c>
      <c r="ER314" s="5">
        <f t="shared" si="2396"/>
        <v>0</v>
      </c>
      <c r="ES314" s="5">
        <f t="shared" si="2397"/>
        <v>0</v>
      </c>
      <c r="ET314" s="5">
        <f t="shared" si="2398"/>
        <v>0</v>
      </c>
      <c r="EU314" s="5">
        <f t="shared" si="2399"/>
        <v>0</v>
      </c>
      <c r="EV314" s="5">
        <f t="shared" si="2400"/>
        <v>0</v>
      </c>
      <c r="EW314" s="5">
        <f t="shared" si="2401"/>
        <v>0</v>
      </c>
      <c r="EX314" s="5">
        <f t="shared" si="2402"/>
        <v>0</v>
      </c>
      <c r="EY314" s="5">
        <f t="shared" si="2403"/>
        <v>0</v>
      </c>
      <c r="EZ314" s="5">
        <f t="shared" si="2404"/>
        <v>0</v>
      </c>
      <c r="FA314" s="5">
        <f t="shared" si="2405"/>
        <v>0</v>
      </c>
      <c r="FB314" s="5">
        <f t="shared" si="2406"/>
        <v>0</v>
      </c>
      <c r="FC314" s="5">
        <f t="shared" si="2407"/>
        <v>0</v>
      </c>
      <c r="FD314" s="5">
        <f t="shared" si="2408"/>
        <v>0</v>
      </c>
      <c r="FE314" s="5">
        <f t="shared" si="2409"/>
        <v>0</v>
      </c>
      <c r="FF314" s="5">
        <f t="shared" si="2410"/>
        <v>0</v>
      </c>
      <c r="FG314" s="5">
        <f t="shared" si="2411"/>
        <v>0</v>
      </c>
      <c r="FH314" s="5">
        <f t="shared" si="2412"/>
        <v>0</v>
      </c>
      <c r="FI314" s="5">
        <f t="shared" si="2413"/>
        <v>0</v>
      </c>
      <c r="FJ314" s="5">
        <f t="shared" si="2414"/>
        <v>0</v>
      </c>
      <c r="FK314" s="5">
        <f t="shared" si="2415"/>
        <v>0</v>
      </c>
      <c r="FL314" s="5">
        <f t="shared" si="2416"/>
        <v>0</v>
      </c>
      <c r="FM314" s="5">
        <f t="shared" si="2417"/>
        <v>0</v>
      </c>
      <c r="FN314" s="5">
        <f t="shared" si="2418"/>
        <v>0</v>
      </c>
      <c r="FO314" s="5">
        <f t="shared" si="2419"/>
        <v>0</v>
      </c>
      <c r="FP314" s="5">
        <f t="shared" si="2420"/>
        <v>0</v>
      </c>
    </row>
    <row r="315" spans="1:172" ht="20.100000000000001" customHeight="1" x14ac:dyDescent="0.3">
      <c r="A315" s="8" t="str">
        <f>IF(Ciclo&gt;2,"Surco 3","NA")</f>
        <v>Surco 3</v>
      </c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O315" s="58">
        <f>IF($A315="NA",0,IFERROR('6'!O$159/Ciclo,0))</f>
        <v>0</v>
      </c>
      <c r="P315" s="58">
        <f>IF($A315="NA",0,IFERROR('6'!P$159/Ciclo,0))</f>
        <v>0</v>
      </c>
      <c r="Q315" s="58">
        <f>IF($A315="NA",0,IFERROR('6'!Q$159/Ciclo,0))</f>
        <v>0</v>
      </c>
      <c r="R315" s="58">
        <f>IF($A315="NA",0,IFERROR('6'!R$159/Ciclo,0))</f>
        <v>0</v>
      </c>
      <c r="S315" s="58">
        <f>IF($A315="NA",0,IFERROR('6'!S$159/Ciclo,0))</f>
        <v>0</v>
      </c>
      <c r="T315" s="58">
        <f>IF($A315="NA",0,IFERROR('6'!T$159/Ciclo,0))</f>
        <v>0</v>
      </c>
      <c r="U315" s="58">
        <f>IF($A315="NA",0,IFERROR('6'!U$159/Ciclo,0))</f>
        <v>0</v>
      </c>
      <c r="V315" s="58">
        <f>IF($A315="NA",0,IFERROR('6'!V$159/Ciclo,0))</f>
        <v>0</v>
      </c>
      <c r="W315" s="5">
        <f>IF($A315="NA",0,IFERROR('6'!W$159/Ciclo,0))</f>
        <v>0</v>
      </c>
      <c r="X315" s="5">
        <f>IF($A315="NA",0,IFERROR('6'!X$159/Ciclo,0))</f>
        <v>0</v>
      </c>
      <c r="Y315" s="5">
        <f>IF($A315="NA",0,IFERROR('6'!Y$159/Ciclo,0))</f>
        <v>0</v>
      </c>
      <c r="Z315" s="5">
        <f>IF($A315="NA",0,IFERROR('6'!Z$159/Ciclo,0))</f>
        <v>0</v>
      </c>
      <c r="AB315" s="5">
        <f>IF($B$310="Producción",IF($B315&gt;=LI_A,$O315,0),0)</f>
        <v>0</v>
      </c>
      <c r="AC315" s="5">
        <f>IF($B$310="Producción",IF($B315&gt;=LI_B,IF($B315&lt;LS_B,$O315,0),0),0)</f>
        <v>0</v>
      </c>
      <c r="AD315" s="5">
        <f>IF($B$310="Producción",IF($B315&gt;=LI_C,IF($B315&lt;LS_C,$O315,0),0),0)</f>
        <v>0</v>
      </c>
      <c r="AE315" s="5">
        <f>IF($B$310="Producción",IF($B315&lt;LS_D,$O315,0),0)</f>
        <v>0</v>
      </c>
      <c r="AF315" s="5">
        <f t="shared" si="2421"/>
        <v>0</v>
      </c>
      <c r="AI315" s="5">
        <f>IF($C$310="Producción",IF($C315&gt;=LI_A,$P315,0),0)</f>
        <v>0</v>
      </c>
      <c r="AJ315" s="5">
        <f>IF($C$310="Producción",IF($C315&gt;=LI_B,IF($C315&lt;LS_B,$P315,0),0),0)</f>
        <v>0</v>
      </c>
      <c r="AK315" s="5">
        <f>IF($C$310="Producción",IF($C315&gt;=LI_C,IF($C315&lt;LS_C,$P315,0),0),0)</f>
        <v>0</v>
      </c>
      <c r="AL315" s="5">
        <f>IF($C$310="Producción",IF($C315&lt;LS_D,$P315,0),0)</f>
        <v>0</v>
      </c>
      <c r="AM315" s="5">
        <f>IF($C$310="Crecimiento",$P315,0)</f>
        <v>0</v>
      </c>
      <c r="AP315" s="5">
        <f>IF($D$310="Producción",IF($D315&gt;=LI_A,$Q315,0),0)</f>
        <v>0</v>
      </c>
      <c r="AQ315" s="5">
        <f>IF($D$310="Producción",IF($D315&gt;=LI_B,IF($D315&lt;LS_B,$Q315,0),0),0)</f>
        <v>0</v>
      </c>
      <c r="AR315" s="5">
        <f>IF($D$310="Producción",IF($D315&gt;=LI_C,IF($D315&lt;LS_C,$Q315,0),0),0)</f>
        <v>0</v>
      </c>
      <c r="AS315" s="5">
        <f>IF($D$310="Producción",IF($D315&lt;LS_D,$Q315,0),0)</f>
        <v>0</v>
      </c>
      <c r="AT315" s="5">
        <f>IF($D$310="Crecimiento",IF($D315&gt;0,$Q315,0),0)</f>
        <v>0</v>
      </c>
      <c r="AW315" s="5">
        <f>IF($E$310="Producción",IF($E315&gt;=LI_A,$R315,0),0)</f>
        <v>0</v>
      </c>
      <c r="AX315" s="5">
        <f>IF($E$310="Producción",IF($E315&gt;=LI_B,IF($E315&lt;LS_B,$R315,0),0),0)</f>
        <v>0</v>
      </c>
      <c r="AY315" s="5">
        <f>IF($E$310="Producción",IF($E315&gt;=LI_C,IF($E315&lt;LS_C,$R315,0),0),0)</f>
        <v>0</v>
      </c>
      <c r="AZ315" s="5">
        <f>IF($E$310="Producción",IF($E315&lt;LS_D,$R315,0),0)</f>
        <v>0</v>
      </c>
      <c r="BA315" s="5">
        <f>IF($E$310="Crecimiento",$R315,0)</f>
        <v>0</v>
      </c>
      <c r="BD315" s="5">
        <f>IF($F$310="Producción",IF($F315&gt;=LI_A,$S315,0),0)</f>
        <v>0</v>
      </c>
      <c r="BE315" s="5">
        <f>IF($F$310="Producción",IF($F315&gt;=LI_B,IF($F315&lt;LS_B,$S315,0),0),0)</f>
        <v>0</v>
      </c>
      <c r="BF315" s="5">
        <f>IF($F$310="Producción",IF($F315&gt;=LI_C,IF($F315&lt;LS_C,$S315,0),0),0)</f>
        <v>0</v>
      </c>
      <c r="BG315" s="5">
        <f>IF($F$310="Producción",IF($F315&lt;LS_D,$S315,0),0)</f>
        <v>0</v>
      </c>
      <c r="BH315" s="5">
        <f>IF($F$310="Crecimiento",$S315,0)</f>
        <v>0</v>
      </c>
      <c r="BK315" s="5">
        <f>IF($G$310="Producción",IF($G315&gt;=LI_A,$T315,0),0)</f>
        <v>0</v>
      </c>
      <c r="BL315" s="5">
        <f>IF($G$310="Producción",IF($G315&gt;=LI_B,IF($G315&lt;LS_B,$T315,0),0),0)</f>
        <v>0</v>
      </c>
      <c r="BM315" s="5">
        <f>IF($G$310="Producción",IF($G315&gt;=LI_C,IF($G315&lt;LS_C,$T315,0),0),0)</f>
        <v>0</v>
      </c>
      <c r="BN315" s="5">
        <f>IF($G$310="Producción",IF($G315&lt;LS_D,$T315,0),0)</f>
        <v>0</v>
      </c>
      <c r="BO315" s="5">
        <f>IF($G$310="Crecimiento",$T315,0)</f>
        <v>0</v>
      </c>
      <c r="BR315" s="5">
        <f>IF($H$310="Producción",IF($H315&gt;=LI_A,$U315,0),0)</f>
        <v>0</v>
      </c>
      <c r="BS315" s="5">
        <f>IF($H$310="Producción",IF($H315&gt;=LI_B,IF($H315&lt;LS_B,$U315,0),0),0)</f>
        <v>0</v>
      </c>
      <c r="BT315" s="5">
        <f>IF($H$310="Producción",IF($H315&gt;=LI_C,IF($H315&lt;LS_C,$U315,0),0),0)</f>
        <v>0</v>
      </c>
      <c r="BU315" s="5">
        <f>IF($H$310="Producción",IF($H315&lt;LS_D,$U315,0),0)</f>
        <v>0</v>
      </c>
      <c r="BV315" s="5">
        <f>IF($H$310="Crecimiento",$T315,0)</f>
        <v>0</v>
      </c>
      <c r="BY315" s="5">
        <f>IF($I$310="Producción",IF($I315&gt;=LI_A,$V315,0),0)</f>
        <v>0</v>
      </c>
      <c r="BZ315" s="5">
        <f>IF($I$310="Producción",IF($I315&gt;=LI_B,IF($I315&lt;LS_B,$V315,0),0),0)</f>
        <v>0</v>
      </c>
      <c r="CA315" s="5">
        <f>IF($I$310="Producción",IF($I315&gt;=LI_C,IF($I315&lt;LS_C,$V315,0),0),0)</f>
        <v>0</v>
      </c>
      <c r="CB315" s="5">
        <f>IF($I$310="Producción",IF($I315&lt;LS_D,$V315,0),0)</f>
        <v>0</v>
      </c>
      <c r="CC315" s="5">
        <f>IF($I$310="Crecimiento",$V315,0)</f>
        <v>0</v>
      </c>
      <c r="CF315" s="5">
        <f>IF($J$310="Producción",IF($J315&gt;=LI_A,$W315,0),0)</f>
        <v>0</v>
      </c>
      <c r="CG315" s="5">
        <f>IF($J$310="Producción",IF($J315&gt;=LI_B,IF($J315&lt;LS_B,$W315,0),0),0)</f>
        <v>0</v>
      </c>
      <c r="CH315" s="5">
        <f>IF($J$310="Producción",IF($J315&gt;=LI_C,IF($J315&lt;LS_C,$W315,0),0),0)</f>
        <v>0</v>
      </c>
      <c r="CI315" s="5">
        <f>IF($J$310="Producción",IF($J315&lt;LS_D,$W315,0),0)</f>
        <v>0</v>
      </c>
      <c r="CJ315" s="5">
        <f>IF($J$310="Crecimiento",$W315,0)</f>
        <v>0</v>
      </c>
      <c r="CM315" s="5">
        <f>IF($K$310="Producción",IF($K315&gt;=LI_A,$X315,0),0)</f>
        <v>0</v>
      </c>
      <c r="CN315" s="5">
        <f>IF($K$310="Producción",IF($K315&gt;=LI_B,IF($K315&lt;LS_B,$X315,0),0),0)</f>
        <v>0</v>
      </c>
      <c r="CO315" s="5">
        <f>IF($K$310="Producción",IF($K315&gt;=LI_C,IF($K315&lt;LS_C,$X315,0),0),0)</f>
        <v>0</v>
      </c>
      <c r="CP315" s="5">
        <f>IF($K$310="Producción",IF($K315&lt;LS_D,$X315,0),0)</f>
        <v>0</v>
      </c>
      <c r="CQ315" s="5">
        <f>IF($K$310="Crecimiento",$X315,0)</f>
        <v>0</v>
      </c>
      <c r="CT315" s="5">
        <f>IF($L$310="Producción",IF($L315&gt;=LI_A,$Y315,0),0)</f>
        <v>0</v>
      </c>
      <c r="CU315" s="5">
        <f>IF($L$310="Producción",IF($L315&gt;=LI_B,IF($L315&lt;LS_B,$Y315,0),0),0)</f>
        <v>0</v>
      </c>
      <c r="CV315" s="5">
        <f>IF($L$310="Producción",IF($L315&gt;=LI_C,IF($L315&lt;LS_C,$Y315,0),0),0)</f>
        <v>0</v>
      </c>
      <c r="CW315" s="5">
        <f>IF($L$310="Producción",IF($L315&lt;LS_D,$Y315,0),0)</f>
        <v>0</v>
      </c>
      <c r="CX315" s="5">
        <f>IF($L$310="Crecimiento",$Y315,0)</f>
        <v>0</v>
      </c>
      <c r="DA315" s="5">
        <f>IF($M$310="Producción",IF($M315&gt;=LI_A,$Z315,0),0)</f>
        <v>0</v>
      </c>
      <c r="DB315" s="5">
        <f>IF($M$310="Producción",IF($M315&gt;=LI_B,IF($M315&lt;LS_B,$Z315,0),0),0)</f>
        <v>0</v>
      </c>
      <c r="DC315" s="5">
        <f>IF($M$310="Producción",IF($M315&gt;=LI_C,IF($M315&lt;LS_C,$Z315,0),0),0)</f>
        <v>0</v>
      </c>
      <c r="DD315" s="5">
        <f>IF($M$310="Producción",IF($M315&lt;LS_D,$Z315,0),0)</f>
        <v>0</v>
      </c>
      <c r="DE315" s="5">
        <f>IF($M$310="Crecimiento",$Z315,0)</f>
        <v>0</v>
      </c>
      <c r="DI315" s="5">
        <f t="shared" si="2361"/>
        <v>0</v>
      </c>
      <c r="DJ315" s="5">
        <f t="shared" si="2362"/>
        <v>0</v>
      </c>
      <c r="DK315" s="5">
        <f t="shared" si="2363"/>
        <v>0</v>
      </c>
      <c r="DL315" s="5">
        <f t="shared" si="2364"/>
        <v>0</v>
      </c>
      <c r="DM315" s="5">
        <f t="shared" si="2365"/>
        <v>0</v>
      </c>
      <c r="DN315" s="5">
        <f t="shared" si="2366"/>
        <v>0</v>
      </c>
      <c r="DO315" s="5">
        <f t="shared" si="2367"/>
        <v>0</v>
      </c>
      <c r="DP315" s="5">
        <f t="shared" si="2368"/>
        <v>0</v>
      </c>
      <c r="DQ315" s="5">
        <f t="shared" si="2369"/>
        <v>0</v>
      </c>
      <c r="DR315" s="5">
        <f t="shared" si="2370"/>
        <v>0</v>
      </c>
      <c r="DS315" s="5">
        <f t="shared" si="2371"/>
        <v>0</v>
      </c>
      <c r="DT315" s="5">
        <f t="shared" si="2372"/>
        <v>0</v>
      </c>
      <c r="DU315" s="5">
        <f t="shared" si="2373"/>
        <v>0</v>
      </c>
      <c r="DV315" s="5">
        <f t="shared" si="2374"/>
        <v>0</v>
      </c>
      <c r="DW315" s="5">
        <f t="shared" si="2375"/>
        <v>0</v>
      </c>
      <c r="DX315" s="5">
        <f t="shared" si="2376"/>
        <v>0</v>
      </c>
      <c r="DY315" s="5">
        <f t="shared" si="2377"/>
        <v>0</v>
      </c>
      <c r="DZ315" s="5">
        <f t="shared" si="2378"/>
        <v>0</v>
      </c>
      <c r="EA315" s="5">
        <f t="shared" si="2379"/>
        <v>0</v>
      </c>
      <c r="EB315" s="5">
        <f t="shared" si="2380"/>
        <v>0</v>
      </c>
      <c r="EC315" s="5">
        <f t="shared" si="2381"/>
        <v>0</v>
      </c>
      <c r="ED315" s="5">
        <f t="shared" si="2382"/>
        <v>0</v>
      </c>
      <c r="EE315" s="5">
        <f t="shared" si="2383"/>
        <v>0</v>
      </c>
      <c r="EF315" s="5">
        <f t="shared" si="2384"/>
        <v>0</v>
      </c>
      <c r="EG315" s="5">
        <f t="shared" si="2385"/>
        <v>0</v>
      </c>
      <c r="EH315" s="5">
        <f t="shared" si="2386"/>
        <v>0</v>
      </c>
      <c r="EI315" s="5">
        <f t="shared" si="2387"/>
        <v>0</v>
      </c>
      <c r="EJ315" s="5">
        <f t="shared" si="2388"/>
        <v>0</v>
      </c>
      <c r="EK315" s="5">
        <f t="shared" si="2389"/>
        <v>0</v>
      </c>
      <c r="EL315" s="5">
        <f t="shared" si="2390"/>
        <v>0</v>
      </c>
      <c r="EM315" s="5">
        <f t="shared" si="2391"/>
        <v>0</v>
      </c>
      <c r="EN315" s="5">
        <f t="shared" si="2392"/>
        <v>0</v>
      </c>
      <c r="EO315" s="5">
        <f t="shared" si="2393"/>
        <v>0</v>
      </c>
      <c r="EP315" s="5">
        <f t="shared" si="2394"/>
        <v>0</v>
      </c>
      <c r="EQ315" s="5">
        <f t="shared" si="2395"/>
        <v>0</v>
      </c>
      <c r="ER315" s="5">
        <f t="shared" si="2396"/>
        <v>0</v>
      </c>
      <c r="ES315" s="5">
        <f t="shared" si="2397"/>
        <v>0</v>
      </c>
      <c r="ET315" s="5">
        <f t="shared" si="2398"/>
        <v>0</v>
      </c>
      <c r="EU315" s="5">
        <f t="shared" si="2399"/>
        <v>0</v>
      </c>
      <c r="EV315" s="5">
        <f t="shared" si="2400"/>
        <v>0</v>
      </c>
      <c r="EW315" s="5">
        <f t="shared" si="2401"/>
        <v>0</v>
      </c>
      <c r="EX315" s="5">
        <f t="shared" si="2402"/>
        <v>0</v>
      </c>
      <c r="EY315" s="5">
        <f t="shared" si="2403"/>
        <v>0</v>
      </c>
      <c r="EZ315" s="5">
        <f t="shared" si="2404"/>
        <v>0</v>
      </c>
      <c r="FA315" s="5">
        <f t="shared" si="2405"/>
        <v>0</v>
      </c>
      <c r="FB315" s="5">
        <f t="shared" si="2406"/>
        <v>0</v>
      </c>
      <c r="FC315" s="5">
        <f t="shared" si="2407"/>
        <v>0</v>
      </c>
      <c r="FD315" s="5">
        <f t="shared" si="2408"/>
        <v>0</v>
      </c>
      <c r="FE315" s="5">
        <f t="shared" si="2409"/>
        <v>0</v>
      </c>
      <c r="FF315" s="5">
        <f t="shared" si="2410"/>
        <v>0</v>
      </c>
      <c r="FG315" s="5">
        <f t="shared" si="2411"/>
        <v>0</v>
      </c>
      <c r="FH315" s="5">
        <f t="shared" si="2412"/>
        <v>0</v>
      </c>
      <c r="FI315" s="5">
        <f t="shared" si="2413"/>
        <v>0</v>
      </c>
      <c r="FJ315" s="5">
        <f t="shared" si="2414"/>
        <v>0</v>
      </c>
      <c r="FK315" s="5">
        <f t="shared" si="2415"/>
        <v>0</v>
      </c>
      <c r="FL315" s="5">
        <f t="shared" si="2416"/>
        <v>0</v>
      </c>
      <c r="FM315" s="5">
        <f t="shared" si="2417"/>
        <v>0</v>
      </c>
      <c r="FN315" s="5">
        <f t="shared" si="2418"/>
        <v>0</v>
      </c>
      <c r="FO315" s="5">
        <f t="shared" si="2419"/>
        <v>0</v>
      </c>
      <c r="FP315" s="5">
        <f t="shared" si="2420"/>
        <v>0</v>
      </c>
    </row>
    <row r="316" spans="1:172" ht="20.100000000000001" customHeight="1" x14ac:dyDescent="0.3">
      <c r="A316" s="8" t="str">
        <f>IF(Ciclo=4,"Surco 4",IF(Ciclo=5,"Surco 4","NA"))</f>
        <v>NA</v>
      </c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O316" s="58">
        <f>IF($A316="NA",0,IFERROR('6'!O$159/Ciclo,0))</f>
        <v>0</v>
      </c>
      <c r="P316" s="58">
        <f>IF($A316="NA",0,IFERROR('6'!P$159/Ciclo,0))</f>
        <v>0</v>
      </c>
      <c r="Q316" s="58">
        <f>IF($A316="NA",0,IFERROR('6'!Q$159/Ciclo,0))</f>
        <v>0</v>
      </c>
      <c r="R316" s="58">
        <f>IF($A316="NA",0,IFERROR('6'!R$159/Ciclo,0))</f>
        <v>0</v>
      </c>
      <c r="S316" s="58">
        <f>IF($A316="NA",0,IFERROR('6'!S$159/Ciclo,0))</f>
        <v>0</v>
      </c>
      <c r="T316" s="58">
        <f>IF($A316="NA",0,IFERROR('6'!T$159/Ciclo,0))</f>
        <v>0</v>
      </c>
      <c r="U316" s="58">
        <f>IF($A316="NA",0,IFERROR('6'!U$159/Ciclo,0))</f>
        <v>0</v>
      </c>
      <c r="V316" s="58">
        <f>IF($A316="NA",0,IFERROR('6'!V$159/Ciclo,0))</f>
        <v>0</v>
      </c>
      <c r="W316" s="5">
        <f>IF($A316="NA",0,IFERROR('6'!W$159/Ciclo,0))</f>
        <v>0</v>
      </c>
      <c r="X316" s="5">
        <f>IF($A316="NA",0,IFERROR('6'!X$159/Ciclo,0))</f>
        <v>0</v>
      </c>
      <c r="Y316" s="5">
        <f>IF($A316="NA",0,IFERROR('6'!Y$159/Ciclo,0))</f>
        <v>0</v>
      </c>
      <c r="Z316" s="5">
        <f>IF($A316="NA",0,IFERROR('6'!Z$159/Ciclo,0))</f>
        <v>0</v>
      </c>
      <c r="AB316" s="5">
        <f>IF($B$310="Producción",IF($B316&gt;=LI_A,$O316,0),0)</f>
        <v>0</v>
      </c>
      <c r="AC316" s="5">
        <f>IF($B$310="Producción",IF($B316&gt;=LI_B,IF($B316&lt;LS_B,$O316,0),0),0)</f>
        <v>0</v>
      </c>
      <c r="AD316" s="5">
        <f>IF($B$310="Producción",IF($B316&gt;=LI_C,IF($B316&lt;LS_C,$O316,0),0),0)</f>
        <v>0</v>
      </c>
      <c r="AE316" s="5">
        <f>IF($B$310="Producción",IF($B316&lt;LS_D,$O316,0),0)</f>
        <v>0</v>
      </c>
      <c r="AF316" s="5">
        <f t="shared" si="2421"/>
        <v>0</v>
      </c>
      <c r="AI316" s="5">
        <f>IF($C$310="Producción",IF($C316&gt;=LI_A,$P316,0),0)</f>
        <v>0</v>
      </c>
      <c r="AJ316" s="5">
        <f>IF($C$310="Producción",IF($C316&gt;=LI_B,IF($C316&lt;LS_B,$P316,0),0),0)</f>
        <v>0</v>
      </c>
      <c r="AK316" s="5">
        <f>IF($C$310="Producción",IF($C316&gt;=LI_C,IF($C316&lt;LS_C,$P316,0),0),0)</f>
        <v>0</v>
      </c>
      <c r="AL316" s="5">
        <f>IF($C$310="Producción",IF($C316&lt;LS_D,$P316,0),0)</f>
        <v>0</v>
      </c>
      <c r="AM316" s="5">
        <f>IF($C$310="Crecimiento",$P316,0)</f>
        <v>0</v>
      </c>
      <c r="AP316" s="5">
        <f>IF($D$310="Producción",IF($D316&gt;=LI_A,$Q316,0),0)</f>
        <v>0</v>
      </c>
      <c r="AQ316" s="5">
        <f>IF($D$310="Producción",IF($D316&gt;=LI_B,IF($D316&lt;LS_B,$Q316,0),0),0)</f>
        <v>0</v>
      </c>
      <c r="AR316" s="5">
        <f>IF($D$310="Producción",IF($D316&gt;=LI_C,IF($D316&lt;LS_C,$Q316,0),0),0)</f>
        <v>0</v>
      </c>
      <c r="AS316" s="5">
        <f>IF($D$310="Producción",IF($D316&lt;LS_D,$Q316,0),0)</f>
        <v>0</v>
      </c>
      <c r="AT316" s="5">
        <f>IF($D$310="Crecimiento",IF($D316&gt;0,$Q316,0),0)</f>
        <v>0</v>
      </c>
      <c r="AW316" s="5">
        <f>IF($E$310="Producción",IF($E316&gt;=LI_A,$R316,0),0)</f>
        <v>0</v>
      </c>
      <c r="AX316" s="5">
        <f>IF($E$310="Producción",IF($E316&gt;=LI_B,IF($E316&lt;LS_B,$R316,0),0),0)</f>
        <v>0</v>
      </c>
      <c r="AY316" s="5">
        <f>IF($E$310="Producción",IF($E316&gt;=LI_C,IF($E316&lt;LS_C,$R316,0),0),0)</f>
        <v>0</v>
      </c>
      <c r="AZ316" s="5">
        <f>IF($E$310="Producción",IF($E316&lt;LS_D,$R316,0),0)</f>
        <v>0</v>
      </c>
      <c r="BA316" s="5">
        <f>IF($E$310="Crecimiento",$R316,0)</f>
        <v>0</v>
      </c>
      <c r="BD316" s="5">
        <f>IF($F$310="Producción",IF($F316&gt;=LI_A,$S316,0),0)</f>
        <v>0</v>
      </c>
      <c r="BE316" s="5">
        <f>IF($F$310="Producción",IF($F316&gt;=LI_B,IF($F316&lt;LS_B,$S316,0),0),0)</f>
        <v>0</v>
      </c>
      <c r="BF316" s="5">
        <f>IF($F$310="Producción",IF($F316&gt;=LI_C,IF($F316&lt;LS_C,$S316,0),0),0)</f>
        <v>0</v>
      </c>
      <c r="BG316" s="5">
        <f>IF($F$310="Producción",IF($F316&lt;LS_D,$S316,0),0)</f>
        <v>0</v>
      </c>
      <c r="BH316" s="5">
        <f>IF($F$310="Crecimiento",$S316,0)</f>
        <v>0</v>
      </c>
      <c r="BK316" s="5">
        <f>IF($G$310="Producción",IF($G316&gt;=LI_A,$T316,0),0)</f>
        <v>0</v>
      </c>
      <c r="BL316" s="5">
        <f>IF($G$310="Producción",IF($G316&gt;=LI_B,IF($G316&lt;LS_B,$T316,0),0),0)</f>
        <v>0</v>
      </c>
      <c r="BM316" s="5">
        <f>IF($G$310="Producción",IF($G316&gt;=LI_C,IF($G316&lt;LS_C,$T316,0),0),0)</f>
        <v>0</v>
      </c>
      <c r="BN316" s="5">
        <f>IF($G$310="Producción",IF($G316&lt;LS_D,$T316,0),0)</f>
        <v>0</v>
      </c>
      <c r="BO316" s="5">
        <f>IF($G$310="Crecimiento",$T316,0)</f>
        <v>0</v>
      </c>
      <c r="BR316" s="5">
        <f>IF($H$310="Producción",IF($H316&gt;=LI_A,$U316,0),0)</f>
        <v>0</v>
      </c>
      <c r="BS316" s="5">
        <f>IF($H$310="Producción",IF($H316&gt;=LI_B,IF($H316&lt;LS_B,$U316,0),0),0)</f>
        <v>0</v>
      </c>
      <c r="BT316" s="5">
        <f>IF($H$310="Producción",IF($H316&gt;=LI_C,IF($H316&lt;LS_C,$U316,0),0),0)</f>
        <v>0</v>
      </c>
      <c r="BU316" s="5">
        <f>IF($H$310="Producción",IF($H316&lt;LS_D,$U316,0),0)</f>
        <v>0</v>
      </c>
      <c r="BV316" s="5">
        <f>IF($H$310="Crecimiento",$T316,0)</f>
        <v>0</v>
      </c>
      <c r="BY316" s="5">
        <f>IF($I$310="Producción",IF($I316&gt;=LI_A,$V316,0),0)</f>
        <v>0</v>
      </c>
      <c r="BZ316" s="5">
        <f>IF($I$310="Producción",IF($I316&gt;=LI_B,IF($I316&lt;LS_B,$V316,0),0),0)</f>
        <v>0</v>
      </c>
      <c r="CA316" s="5">
        <f>IF($I$310="Producción",IF($I316&gt;=LI_C,IF($I316&lt;LS_C,$V316,0),0),0)</f>
        <v>0</v>
      </c>
      <c r="CB316" s="5">
        <f>IF($I$310="Producción",IF($I316&lt;LS_D,$V316,0),0)</f>
        <v>0</v>
      </c>
      <c r="CC316" s="5">
        <f>IF($I$310="Crecimiento",$V316,0)</f>
        <v>0</v>
      </c>
      <c r="CF316" s="5">
        <f>IF($J$310="Producción",IF($J316&gt;=LI_A,$W316,0),0)</f>
        <v>0</v>
      </c>
      <c r="CG316" s="5">
        <f>IF($J$310="Producción",IF($J316&gt;=LI_B,IF($J316&lt;LS_B,$W316,0),0),0)</f>
        <v>0</v>
      </c>
      <c r="CH316" s="5">
        <f>IF($J$310="Producción",IF($J316&gt;=LI_C,IF($J316&lt;LS_C,$W316,0),0),0)</f>
        <v>0</v>
      </c>
      <c r="CI316" s="5">
        <f>IF($J$310="Producción",IF($J316&lt;LS_D,$W316,0),0)</f>
        <v>0</v>
      </c>
      <c r="CJ316" s="5">
        <f>IF($J$310="Crecimiento",$W316,0)</f>
        <v>0</v>
      </c>
      <c r="CM316" s="5">
        <f>IF($K$310="Producción",IF($K316&gt;=LI_A,$X316,0),0)</f>
        <v>0</v>
      </c>
      <c r="CN316" s="5">
        <f>IF($K$310="Producción",IF($K316&gt;=LI_B,IF($K316&lt;LS_B,$X316,0),0),0)</f>
        <v>0</v>
      </c>
      <c r="CO316" s="5">
        <f>IF($K$310="Producción",IF($K316&gt;=LI_C,IF($K316&lt;LS_C,$X316,0),0),0)</f>
        <v>0</v>
      </c>
      <c r="CP316" s="5">
        <f>IF($K$310="Producción",IF($K316&lt;LS_D,$X316,0),0)</f>
        <v>0</v>
      </c>
      <c r="CQ316" s="5">
        <f>IF($K$310="Crecimiento",$X316,0)</f>
        <v>0</v>
      </c>
      <c r="CT316" s="5">
        <f>IF($L$310="Producción",IF($L316&gt;=LI_A,$Y316,0),0)</f>
        <v>0</v>
      </c>
      <c r="CU316" s="5">
        <f>IF($L$310="Producción",IF($L316&gt;=LI_B,IF($L316&lt;LS_B,$Y316,0),0),0)</f>
        <v>0</v>
      </c>
      <c r="CV316" s="5">
        <f>IF($L$310="Producción",IF($L316&gt;=LI_C,IF($L316&lt;LS_C,$Y316,0),0),0)</f>
        <v>0</v>
      </c>
      <c r="CW316" s="5">
        <f>IF($L$310="Producción",IF($L316&lt;LS_D,$Y316,0),0)</f>
        <v>0</v>
      </c>
      <c r="CX316" s="5">
        <f>IF($L$310="Crecimiento",$Y316,0)</f>
        <v>0</v>
      </c>
      <c r="DA316" s="5">
        <f>IF($M$310="Producción",IF($M316&gt;=LI_A,$Z316,0),0)</f>
        <v>0</v>
      </c>
      <c r="DB316" s="5">
        <f>IF($M$310="Producción",IF($M316&gt;=LI_B,IF($M316&lt;LS_B,$Z316,0),0),0)</f>
        <v>0</v>
      </c>
      <c r="DC316" s="5">
        <f>IF($M$310="Producción",IF($M316&gt;=LI_C,IF($M316&lt;LS_C,$Z316,0),0),0)</f>
        <v>0</v>
      </c>
      <c r="DD316" s="5">
        <f>IF($M$310="Producción",IF($M316&lt;LS_D,$Z316,0),0)</f>
        <v>0</v>
      </c>
      <c r="DE316" s="5">
        <f>IF($M$310="Crecimiento",$Z316,0)</f>
        <v>0</v>
      </c>
      <c r="DI316" s="5">
        <f t="shared" si="2361"/>
        <v>0</v>
      </c>
      <c r="DJ316" s="5">
        <f t="shared" si="2362"/>
        <v>0</v>
      </c>
      <c r="DK316" s="5">
        <f t="shared" si="2363"/>
        <v>0</v>
      </c>
      <c r="DL316" s="5">
        <f t="shared" si="2364"/>
        <v>0</v>
      </c>
      <c r="DM316" s="5">
        <f t="shared" si="2365"/>
        <v>0</v>
      </c>
      <c r="DN316" s="5">
        <f t="shared" si="2366"/>
        <v>0</v>
      </c>
      <c r="DO316" s="5">
        <f t="shared" si="2367"/>
        <v>0</v>
      </c>
      <c r="DP316" s="5">
        <f t="shared" si="2368"/>
        <v>0</v>
      </c>
      <c r="DQ316" s="5">
        <f t="shared" si="2369"/>
        <v>0</v>
      </c>
      <c r="DR316" s="5">
        <f t="shared" si="2370"/>
        <v>0</v>
      </c>
      <c r="DS316" s="5">
        <f t="shared" si="2371"/>
        <v>0</v>
      </c>
      <c r="DT316" s="5">
        <f t="shared" si="2372"/>
        <v>0</v>
      </c>
      <c r="DU316" s="5">
        <f t="shared" si="2373"/>
        <v>0</v>
      </c>
      <c r="DV316" s="5">
        <f t="shared" si="2374"/>
        <v>0</v>
      </c>
      <c r="DW316" s="5">
        <f t="shared" si="2375"/>
        <v>0</v>
      </c>
      <c r="DX316" s="5">
        <f t="shared" si="2376"/>
        <v>0</v>
      </c>
      <c r="DY316" s="5">
        <f t="shared" si="2377"/>
        <v>0</v>
      </c>
      <c r="DZ316" s="5">
        <f t="shared" si="2378"/>
        <v>0</v>
      </c>
      <c r="EA316" s="5">
        <f t="shared" si="2379"/>
        <v>0</v>
      </c>
      <c r="EB316" s="5">
        <f t="shared" si="2380"/>
        <v>0</v>
      </c>
      <c r="EC316" s="5">
        <f t="shared" si="2381"/>
        <v>0</v>
      </c>
      <c r="ED316" s="5">
        <f t="shared" si="2382"/>
        <v>0</v>
      </c>
      <c r="EE316" s="5">
        <f t="shared" si="2383"/>
        <v>0</v>
      </c>
      <c r="EF316" s="5">
        <f t="shared" si="2384"/>
        <v>0</v>
      </c>
      <c r="EG316" s="5">
        <f t="shared" si="2385"/>
        <v>0</v>
      </c>
      <c r="EH316" s="5">
        <f t="shared" si="2386"/>
        <v>0</v>
      </c>
      <c r="EI316" s="5">
        <f t="shared" si="2387"/>
        <v>0</v>
      </c>
      <c r="EJ316" s="5">
        <f t="shared" si="2388"/>
        <v>0</v>
      </c>
      <c r="EK316" s="5">
        <f t="shared" si="2389"/>
        <v>0</v>
      </c>
      <c r="EL316" s="5">
        <f t="shared" si="2390"/>
        <v>0</v>
      </c>
      <c r="EM316" s="5">
        <f t="shared" si="2391"/>
        <v>0</v>
      </c>
      <c r="EN316" s="5">
        <f t="shared" si="2392"/>
        <v>0</v>
      </c>
      <c r="EO316" s="5">
        <f t="shared" si="2393"/>
        <v>0</v>
      </c>
      <c r="EP316" s="5">
        <f t="shared" si="2394"/>
        <v>0</v>
      </c>
      <c r="EQ316" s="5">
        <f t="shared" si="2395"/>
        <v>0</v>
      </c>
      <c r="ER316" s="5">
        <f t="shared" si="2396"/>
        <v>0</v>
      </c>
      <c r="ES316" s="5">
        <f t="shared" si="2397"/>
        <v>0</v>
      </c>
      <c r="ET316" s="5">
        <f t="shared" si="2398"/>
        <v>0</v>
      </c>
      <c r="EU316" s="5">
        <f t="shared" si="2399"/>
        <v>0</v>
      </c>
      <c r="EV316" s="5">
        <f t="shared" si="2400"/>
        <v>0</v>
      </c>
      <c r="EW316" s="5">
        <f t="shared" si="2401"/>
        <v>0</v>
      </c>
      <c r="EX316" s="5">
        <f t="shared" si="2402"/>
        <v>0</v>
      </c>
      <c r="EY316" s="5">
        <f t="shared" si="2403"/>
        <v>0</v>
      </c>
      <c r="EZ316" s="5">
        <f t="shared" si="2404"/>
        <v>0</v>
      </c>
      <c r="FA316" s="5">
        <f t="shared" si="2405"/>
        <v>0</v>
      </c>
      <c r="FB316" s="5">
        <f t="shared" si="2406"/>
        <v>0</v>
      </c>
      <c r="FC316" s="5">
        <f t="shared" si="2407"/>
        <v>0</v>
      </c>
      <c r="FD316" s="5">
        <f t="shared" si="2408"/>
        <v>0</v>
      </c>
      <c r="FE316" s="5">
        <f t="shared" si="2409"/>
        <v>0</v>
      </c>
      <c r="FF316" s="5">
        <f t="shared" si="2410"/>
        <v>0</v>
      </c>
      <c r="FG316" s="5">
        <f t="shared" si="2411"/>
        <v>0</v>
      </c>
      <c r="FH316" s="5">
        <f t="shared" si="2412"/>
        <v>0</v>
      </c>
      <c r="FI316" s="5">
        <f t="shared" si="2413"/>
        <v>0</v>
      </c>
      <c r="FJ316" s="5">
        <f t="shared" si="2414"/>
        <v>0</v>
      </c>
      <c r="FK316" s="5">
        <f t="shared" si="2415"/>
        <v>0</v>
      </c>
      <c r="FL316" s="5">
        <f t="shared" si="2416"/>
        <v>0</v>
      </c>
      <c r="FM316" s="5">
        <f t="shared" si="2417"/>
        <v>0</v>
      </c>
      <c r="FN316" s="5">
        <f t="shared" si="2418"/>
        <v>0</v>
      </c>
      <c r="FO316" s="5">
        <f t="shared" si="2419"/>
        <v>0</v>
      </c>
      <c r="FP316" s="5">
        <f t="shared" si="2420"/>
        <v>0</v>
      </c>
    </row>
    <row r="317" spans="1:172" ht="20.100000000000001" customHeight="1" x14ac:dyDescent="0.3">
      <c r="A317" s="9" t="str">
        <f>IF(Ciclo=5,"Surco 5","NA")</f>
        <v>NA</v>
      </c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O317" s="58">
        <f>IF($A317="NA",0,IFERROR('6'!O$159/Ciclo,0))</f>
        <v>0</v>
      </c>
      <c r="P317" s="58">
        <f>IF($A317="NA",0,IFERROR('6'!P$159/Ciclo,0))</f>
        <v>0</v>
      </c>
      <c r="Q317" s="58">
        <f>IF($A317="NA",0,IFERROR('6'!Q$159/Ciclo,0))</f>
        <v>0</v>
      </c>
      <c r="R317" s="58">
        <f>IF($A317="NA",0,IFERROR('6'!R$159/Ciclo,0))</f>
        <v>0</v>
      </c>
      <c r="S317" s="58">
        <f>IF($A317="NA",0,IFERROR('6'!S$159/Ciclo,0))</f>
        <v>0</v>
      </c>
      <c r="T317" s="58">
        <f>IF($A317="NA",0,IFERROR('6'!T$159/Ciclo,0))</f>
        <v>0</v>
      </c>
      <c r="U317" s="58">
        <f>IF($A317="NA",0,IFERROR('6'!U$159/Ciclo,0))</f>
        <v>0</v>
      </c>
      <c r="V317" s="58">
        <f>IF($A317="NA",0,IFERROR('6'!V$159/Ciclo,0))</f>
        <v>0</v>
      </c>
      <c r="W317" s="5">
        <f>IF($A317="NA",0,IFERROR('6'!W$159/Ciclo,0))</f>
        <v>0</v>
      </c>
      <c r="X317" s="5">
        <f>IF($A317="NA",0,IFERROR('6'!X$159/Ciclo,0))</f>
        <v>0</v>
      </c>
      <c r="Y317" s="5">
        <f>IF($A317="NA",0,IFERROR('6'!Y$159/Ciclo,0))</f>
        <v>0</v>
      </c>
      <c r="Z317" s="5">
        <f>IF($A317="NA",0,IFERROR('6'!Z$159/Ciclo,0))</f>
        <v>0</v>
      </c>
      <c r="AB317" s="5">
        <f>IF($B$310="Producción",IF($B317&gt;=LI_A,$O317,0),0)</f>
        <v>0</v>
      </c>
      <c r="AC317" s="5">
        <f>IF($B$310="Producción",IF($B317&gt;=LI_B,IF($B317&lt;LS_B,$O317,0),0),0)</f>
        <v>0</v>
      </c>
      <c r="AD317" s="5">
        <f>IF($B$310="Producción",IF($B317&gt;=LI_C,IF($B317&lt;LS_C,$O317,0),0),0)</f>
        <v>0</v>
      </c>
      <c r="AE317" s="5">
        <f>IF($B$310="Producción",IF($B317&lt;LS_D,$O317,0),0)</f>
        <v>0</v>
      </c>
      <c r="AF317" s="5">
        <f t="shared" si="2421"/>
        <v>0</v>
      </c>
      <c r="AI317" s="5">
        <f>IF($C$310="Producción",IF($C317&gt;=LI_A,$P317,0),0)</f>
        <v>0</v>
      </c>
      <c r="AJ317" s="5">
        <f>IF($C$310="Producción",IF($C317&gt;=LI_B,IF($C317&lt;LS_B,$P317,0),0),0)</f>
        <v>0</v>
      </c>
      <c r="AK317" s="5">
        <f>IF($C$310="Producción",IF($C317&gt;=LI_C,IF($C317&lt;LS_C,$P317,0),0),0)</f>
        <v>0</v>
      </c>
      <c r="AL317" s="5">
        <f>IF($C$310="Producción",IF($C317&lt;LS_D,$P317,0),0)</f>
        <v>0</v>
      </c>
      <c r="AM317" s="5">
        <f>IF($C$310="Crecimiento",$P317,0)</f>
        <v>0</v>
      </c>
      <c r="AP317" s="5">
        <f>IF($D$310="Producción",IF($D317&gt;=LI_A,$Q317,0),0)</f>
        <v>0</v>
      </c>
      <c r="AQ317" s="5">
        <f>IF($D$310="Producción",IF($D317&gt;=LI_B,IF($D317&lt;LS_B,$Q317,0),0),0)</f>
        <v>0</v>
      </c>
      <c r="AR317" s="5">
        <f>IF($D$310="Producción",IF($D317&gt;=LI_C,IF($D317&lt;LS_C,$Q317,0),0),0)</f>
        <v>0</v>
      </c>
      <c r="AS317" s="5">
        <f>IF($D$310="Producción",IF($D317&lt;LS_D,$Q317,0),0)</f>
        <v>0</v>
      </c>
      <c r="AT317" s="5">
        <f>IF($D$310="Crecimiento",IF($D317&gt;0,$Q317,0),0)</f>
        <v>0</v>
      </c>
      <c r="AW317" s="5">
        <f>IF($E$310="Producción",IF($E317&gt;=LI_A,$R317,0),0)</f>
        <v>0</v>
      </c>
      <c r="AX317" s="5">
        <f>IF($E$310="Producción",IF($E317&gt;=LI_B,IF($E317&lt;LS_B,$R317,0),0),0)</f>
        <v>0</v>
      </c>
      <c r="AY317" s="5">
        <f>IF($E$310="Producción",IF($E317&gt;=LI_C,IF($E317&lt;LS_C,$R317,0),0),0)</f>
        <v>0</v>
      </c>
      <c r="AZ317" s="5">
        <f>IF($E$310="Producción",IF($E317&lt;LS_D,$R317,0),0)</f>
        <v>0</v>
      </c>
      <c r="BA317" s="5">
        <f>IF($E$310="Crecimiento",$R317,0)</f>
        <v>0</v>
      </c>
      <c r="BD317" s="5">
        <f>IF($F$310="Producción",IF($F317&gt;=LI_A,$S317,0),0)</f>
        <v>0</v>
      </c>
      <c r="BE317" s="5">
        <f>IF($F$310="Producción",IF($F317&gt;=LI_B,IF($F317&lt;LS_B,$S317,0),0),0)</f>
        <v>0</v>
      </c>
      <c r="BF317" s="5">
        <f>IF($F$310="Producción",IF($F317&gt;=LI_C,IF($F317&lt;LS_C,$S317,0),0),0)</f>
        <v>0</v>
      </c>
      <c r="BG317" s="5">
        <f>IF($F$310="Producción",IF($F317&lt;LS_D,$S317,0),0)</f>
        <v>0</v>
      </c>
      <c r="BH317" s="5">
        <f>IF($F$310="Crecimiento",$S317,0)</f>
        <v>0</v>
      </c>
      <c r="BK317" s="5">
        <f>IF($G$310="Producción",IF($G317&gt;=LI_A,$T317,0),0)</f>
        <v>0</v>
      </c>
      <c r="BL317" s="5">
        <f>IF($G$310="Producción",IF($G317&gt;=LI_B,IF($G317&lt;LS_B,$T317,0),0),0)</f>
        <v>0</v>
      </c>
      <c r="BM317" s="5">
        <f>IF($G$310="Producción",IF($G317&gt;=LI_C,IF($G317&lt;LS_C,$T317,0),0),0)</f>
        <v>0</v>
      </c>
      <c r="BN317" s="5">
        <f>IF($G$310="Producción",IF($G317&lt;LS_D,$T317,0),0)</f>
        <v>0</v>
      </c>
      <c r="BO317" s="5">
        <f>IF($G$310="Crecimiento",$T317,0)</f>
        <v>0</v>
      </c>
      <c r="BR317" s="5">
        <f>IF($H$310="Producción",IF($H317&gt;=LI_A,$U317,0),0)</f>
        <v>0</v>
      </c>
      <c r="BS317" s="5">
        <f>IF($H$310="Producción",IF($H317&gt;=LI_B,IF($H317&lt;LS_B,$U317,0),0),0)</f>
        <v>0</v>
      </c>
      <c r="BT317" s="5">
        <f>IF($H$310="Producción",IF($H317&gt;=LI_C,IF($H317&lt;LS_C,$U317,0),0),0)</f>
        <v>0</v>
      </c>
      <c r="BU317" s="5">
        <f>IF($H$310="Producción",IF($H317&lt;LS_D,$U317,0),0)</f>
        <v>0</v>
      </c>
      <c r="BV317" s="5">
        <f>IF($H$310="Crecimiento",$T317,0)</f>
        <v>0</v>
      </c>
      <c r="BY317" s="5">
        <f>IF($I$310="Producción",IF($I317&gt;=LI_A,$V317,0),0)</f>
        <v>0</v>
      </c>
      <c r="BZ317" s="5">
        <f>IF($I$310="Producción",IF($I317&gt;=LI_B,IF($I317&lt;LS_B,$V317,0),0),0)</f>
        <v>0</v>
      </c>
      <c r="CA317" s="5">
        <f>IF($I$310="Producción",IF($I317&gt;=LI_C,IF($I317&lt;LS_C,$V317,0),0),0)</f>
        <v>0</v>
      </c>
      <c r="CB317" s="5">
        <f>IF($I$310="Producción",IF($I317&lt;LS_D,$V317,0),0)</f>
        <v>0</v>
      </c>
      <c r="CC317" s="5">
        <f>IF($I$310="Crecimiento",$V317,0)</f>
        <v>0</v>
      </c>
      <c r="CF317" s="5">
        <f>IF($J$310="Producción",IF($J317&gt;=LI_A,$W317,0),0)</f>
        <v>0</v>
      </c>
      <c r="CG317" s="5">
        <f>IF($J$310="Producción",IF($J317&gt;=LI_B,IF($J317&lt;LS_B,$W317,0),0),0)</f>
        <v>0</v>
      </c>
      <c r="CH317" s="5">
        <f>IF($J$310="Producción",IF($J317&gt;=LI_C,IF($J317&lt;LS_C,$W317,0),0),0)</f>
        <v>0</v>
      </c>
      <c r="CI317" s="5">
        <f>IF($J$310="Producción",IF($J317&lt;LS_D,$W317,0),0)</f>
        <v>0</v>
      </c>
      <c r="CJ317" s="5">
        <f>IF($J$310="Crecimiento",$W317,0)</f>
        <v>0</v>
      </c>
      <c r="CM317" s="5">
        <f>IF($K$310="Producción",IF($K317&gt;=LI_A,$X317,0),0)</f>
        <v>0</v>
      </c>
      <c r="CN317" s="5">
        <f>IF($K$310="Producción",IF($K317&gt;=LI_B,IF($K317&lt;LS_B,$X317,0),0),0)</f>
        <v>0</v>
      </c>
      <c r="CO317" s="5">
        <f>IF($K$310="Producción",IF($K317&gt;=LI_C,IF($K317&lt;LS_C,$X317,0),0),0)</f>
        <v>0</v>
      </c>
      <c r="CP317" s="5">
        <f>IF($K$310="Producción",IF($K317&lt;LS_D,$X317,0),0)</f>
        <v>0</v>
      </c>
      <c r="CQ317" s="5">
        <f>IF($K$310="Crecimiento",$X317,0)</f>
        <v>0</v>
      </c>
      <c r="CT317" s="5">
        <f>IF($L$310="Producción",IF($L317&gt;=LI_A,$Y317,0),0)</f>
        <v>0</v>
      </c>
      <c r="CU317" s="5">
        <f>IF($L$310="Producción",IF($L317&gt;=LI_B,IF($L317&lt;LS_B,$Y317,0),0),0)</f>
        <v>0</v>
      </c>
      <c r="CV317" s="5">
        <f>IF($L$310="Producción",IF($L317&gt;=LI_C,IF($L317&lt;LS_C,$Y317,0),0),0)</f>
        <v>0</v>
      </c>
      <c r="CW317" s="5">
        <f>IF($L$310="Producción",IF($L317&lt;LS_D,$Y317,0),0)</f>
        <v>0</v>
      </c>
      <c r="CX317" s="5">
        <f>IF($L$310="Crecimiento",$Y317,0)</f>
        <v>0</v>
      </c>
      <c r="DA317" s="5">
        <f>IF($M$310="Producción",IF($M317&gt;=LI_A,$Z317,0),0)</f>
        <v>0</v>
      </c>
      <c r="DB317" s="5">
        <f>IF($M$310="Producción",IF($M317&gt;=LI_B,IF($M317&lt;LS_B,$Z317,0),0),0)</f>
        <v>0</v>
      </c>
      <c r="DC317" s="5">
        <f>IF($M$310="Producción",IF($M317&gt;=LI_C,IF($M317&lt;LS_C,$Z317,0),0),0)</f>
        <v>0</v>
      </c>
      <c r="DD317" s="5">
        <f>IF($M$310="Producción",IF($M317&lt;LS_D,$Z317,0),0)</f>
        <v>0</v>
      </c>
      <c r="DE317" s="5">
        <f>IF($M$310="Crecimiento",$Z317,0)</f>
        <v>0</v>
      </c>
      <c r="DI317" s="5">
        <f t="shared" si="2361"/>
        <v>0</v>
      </c>
      <c r="DJ317" s="5">
        <f t="shared" si="2362"/>
        <v>0</v>
      </c>
      <c r="DK317" s="5">
        <f t="shared" si="2363"/>
        <v>0</v>
      </c>
      <c r="DL317" s="5">
        <f t="shared" si="2364"/>
        <v>0</v>
      </c>
      <c r="DM317" s="5">
        <f t="shared" si="2365"/>
        <v>0</v>
      </c>
      <c r="DN317" s="5">
        <f t="shared" si="2366"/>
        <v>0</v>
      </c>
      <c r="DO317" s="5">
        <f t="shared" si="2367"/>
        <v>0</v>
      </c>
      <c r="DP317" s="5">
        <f t="shared" si="2368"/>
        <v>0</v>
      </c>
      <c r="DQ317" s="5">
        <f t="shared" si="2369"/>
        <v>0</v>
      </c>
      <c r="DR317" s="5">
        <f t="shared" si="2370"/>
        <v>0</v>
      </c>
      <c r="DS317" s="5">
        <f t="shared" si="2371"/>
        <v>0</v>
      </c>
      <c r="DT317" s="5">
        <f t="shared" si="2372"/>
        <v>0</v>
      </c>
      <c r="DU317" s="5">
        <f t="shared" si="2373"/>
        <v>0</v>
      </c>
      <c r="DV317" s="5">
        <f t="shared" si="2374"/>
        <v>0</v>
      </c>
      <c r="DW317" s="5">
        <f t="shared" si="2375"/>
        <v>0</v>
      </c>
      <c r="DX317" s="5">
        <f t="shared" si="2376"/>
        <v>0</v>
      </c>
      <c r="DY317" s="5">
        <f t="shared" si="2377"/>
        <v>0</v>
      </c>
      <c r="DZ317" s="5">
        <f t="shared" si="2378"/>
        <v>0</v>
      </c>
      <c r="EA317" s="5">
        <f t="shared" si="2379"/>
        <v>0</v>
      </c>
      <c r="EB317" s="5">
        <f t="shared" si="2380"/>
        <v>0</v>
      </c>
      <c r="EC317" s="5">
        <f t="shared" si="2381"/>
        <v>0</v>
      </c>
      <c r="ED317" s="5">
        <f t="shared" si="2382"/>
        <v>0</v>
      </c>
      <c r="EE317" s="5">
        <f t="shared" si="2383"/>
        <v>0</v>
      </c>
      <c r="EF317" s="5">
        <f t="shared" si="2384"/>
        <v>0</v>
      </c>
      <c r="EG317" s="5">
        <f t="shared" si="2385"/>
        <v>0</v>
      </c>
      <c r="EH317" s="5">
        <f t="shared" si="2386"/>
        <v>0</v>
      </c>
      <c r="EI317" s="5">
        <f t="shared" si="2387"/>
        <v>0</v>
      </c>
      <c r="EJ317" s="5">
        <f t="shared" si="2388"/>
        <v>0</v>
      </c>
      <c r="EK317" s="5">
        <f t="shared" si="2389"/>
        <v>0</v>
      </c>
      <c r="EL317" s="5">
        <f t="shared" si="2390"/>
        <v>0</v>
      </c>
      <c r="EM317" s="5">
        <f t="shared" si="2391"/>
        <v>0</v>
      </c>
      <c r="EN317" s="5">
        <f t="shared" si="2392"/>
        <v>0</v>
      </c>
      <c r="EO317" s="5">
        <f t="shared" si="2393"/>
        <v>0</v>
      </c>
      <c r="EP317" s="5">
        <f t="shared" si="2394"/>
        <v>0</v>
      </c>
      <c r="EQ317" s="5">
        <f t="shared" si="2395"/>
        <v>0</v>
      </c>
      <c r="ER317" s="5">
        <f t="shared" si="2396"/>
        <v>0</v>
      </c>
      <c r="ES317" s="5">
        <f t="shared" si="2397"/>
        <v>0</v>
      </c>
      <c r="ET317" s="5">
        <f t="shared" si="2398"/>
        <v>0</v>
      </c>
      <c r="EU317" s="5">
        <f t="shared" si="2399"/>
        <v>0</v>
      </c>
      <c r="EV317" s="5">
        <f t="shared" si="2400"/>
        <v>0</v>
      </c>
      <c r="EW317" s="5">
        <f t="shared" si="2401"/>
        <v>0</v>
      </c>
      <c r="EX317" s="5">
        <f t="shared" si="2402"/>
        <v>0</v>
      </c>
      <c r="EY317" s="5">
        <f t="shared" si="2403"/>
        <v>0</v>
      </c>
      <c r="EZ317" s="5">
        <f t="shared" si="2404"/>
        <v>0</v>
      </c>
      <c r="FA317" s="5">
        <f t="shared" si="2405"/>
        <v>0</v>
      </c>
      <c r="FB317" s="5">
        <f t="shared" si="2406"/>
        <v>0</v>
      </c>
      <c r="FC317" s="5">
        <f t="shared" si="2407"/>
        <v>0</v>
      </c>
      <c r="FD317" s="5">
        <f t="shared" si="2408"/>
        <v>0</v>
      </c>
      <c r="FE317" s="5">
        <f t="shared" si="2409"/>
        <v>0</v>
      </c>
      <c r="FF317" s="5">
        <f t="shared" si="2410"/>
        <v>0</v>
      </c>
      <c r="FG317" s="5">
        <f t="shared" si="2411"/>
        <v>0</v>
      </c>
      <c r="FH317" s="5">
        <f t="shared" si="2412"/>
        <v>0</v>
      </c>
      <c r="FI317" s="5">
        <f t="shared" si="2413"/>
        <v>0</v>
      </c>
      <c r="FJ317" s="5">
        <f t="shared" si="2414"/>
        <v>0</v>
      </c>
      <c r="FK317" s="5">
        <f t="shared" si="2415"/>
        <v>0</v>
      </c>
      <c r="FL317" s="5">
        <f t="shared" si="2416"/>
        <v>0</v>
      </c>
      <c r="FM317" s="5">
        <f t="shared" si="2417"/>
        <v>0</v>
      </c>
      <c r="FN317" s="5">
        <f t="shared" si="2418"/>
        <v>0</v>
      </c>
      <c r="FO317" s="5">
        <f t="shared" si="2419"/>
        <v>0</v>
      </c>
      <c r="FP317" s="5">
        <f t="shared" si="2420"/>
        <v>0</v>
      </c>
    </row>
    <row r="318" spans="1:172" ht="20.100000000000001" customHeight="1" x14ac:dyDescent="0.3">
      <c r="A318" s="172">
        <f>N_L40</f>
        <v>0</v>
      </c>
      <c r="B318" s="363" t="s">
        <v>37</v>
      </c>
      <c r="C318" s="363" t="s">
        <v>37</v>
      </c>
      <c r="D318" s="363" t="s">
        <v>37</v>
      </c>
      <c r="E318" s="363" t="s">
        <v>37</v>
      </c>
      <c r="F318" s="363" t="s">
        <v>37</v>
      </c>
      <c r="G318" s="363" t="s">
        <v>37</v>
      </c>
      <c r="H318" s="363" t="s">
        <v>37</v>
      </c>
      <c r="I318" s="363" t="s">
        <v>37</v>
      </c>
      <c r="J318" s="363" t="s">
        <v>37</v>
      </c>
      <c r="K318" s="363" t="s">
        <v>37</v>
      </c>
      <c r="L318" s="363" t="s">
        <v>37</v>
      </c>
      <c r="M318" s="363" t="s">
        <v>37</v>
      </c>
    </row>
    <row r="319" spans="1:172" ht="20.100000000000001" customHeight="1" x14ac:dyDescent="0.3">
      <c r="A319" s="175" t="s">
        <v>238</v>
      </c>
      <c r="B319" s="174">
        <f>SUM(DI321:DM325)/100</f>
        <v>0</v>
      </c>
      <c r="C319" s="174">
        <f>SUM(DN321:DR325)/100</f>
        <v>0</v>
      </c>
      <c r="D319" s="174">
        <f>SUM(DS321:DW325)/100</f>
        <v>0</v>
      </c>
      <c r="E319" s="174">
        <f>SUM(DX321:EB325)/100</f>
        <v>0</v>
      </c>
      <c r="F319" s="174">
        <f>SUM(EC321:EG325)/100</f>
        <v>0</v>
      </c>
      <c r="G319" s="174">
        <f>SUM(EH321:EL325)/100</f>
        <v>0</v>
      </c>
      <c r="H319" s="174">
        <f>SUM(EM321:EQ325)/100</f>
        <v>0</v>
      </c>
      <c r="I319" s="174">
        <f>SUM(ER321:EV325)/100</f>
        <v>0</v>
      </c>
      <c r="J319" s="174">
        <f>SUM(EW321:FA325)/100</f>
        <v>0</v>
      </c>
      <c r="K319" s="174">
        <f>SUM(FB321:FF325)/100</f>
        <v>0</v>
      </c>
      <c r="L319" s="174">
        <f>SUM(FG321:FK325)/100</f>
        <v>0</v>
      </c>
      <c r="M319" s="174">
        <f>SUM(FL321:FP325)/100</f>
        <v>0</v>
      </c>
    </row>
    <row r="320" spans="1:172" ht="20.100000000000001" customHeight="1" x14ac:dyDescent="0.3">
      <c r="A320" s="151" t="s">
        <v>239</v>
      </c>
      <c r="B320" s="152" t="e">
        <f t="shared" ref="B320:M320" si="2422">B319/Lote_40</f>
        <v>#DIV/0!</v>
      </c>
      <c r="C320" s="152" t="e">
        <f t="shared" si="2422"/>
        <v>#DIV/0!</v>
      </c>
      <c r="D320" s="152" t="e">
        <f t="shared" si="2422"/>
        <v>#DIV/0!</v>
      </c>
      <c r="E320" s="152" t="e">
        <f t="shared" si="2422"/>
        <v>#DIV/0!</v>
      </c>
      <c r="F320" s="152" t="e">
        <f t="shared" si="2422"/>
        <v>#DIV/0!</v>
      </c>
      <c r="G320" s="152" t="e">
        <f t="shared" si="2422"/>
        <v>#DIV/0!</v>
      </c>
      <c r="H320" s="152" t="e">
        <f t="shared" si="2422"/>
        <v>#DIV/0!</v>
      </c>
      <c r="I320" s="152" t="e">
        <f t="shared" si="2422"/>
        <v>#DIV/0!</v>
      </c>
      <c r="J320" s="152" t="e">
        <f t="shared" si="2422"/>
        <v>#DIV/0!</v>
      </c>
      <c r="K320" s="152" t="e">
        <f t="shared" si="2422"/>
        <v>#DIV/0!</v>
      </c>
      <c r="L320" s="152" t="e">
        <f t="shared" si="2422"/>
        <v>#DIV/0!</v>
      </c>
      <c r="M320" s="152" t="e">
        <f t="shared" si="2422"/>
        <v>#DIV/0!</v>
      </c>
    </row>
    <row r="321" spans="1:172" ht="20.100000000000001" customHeight="1" x14ac:dyDescent="0.3">
      <c r="A321" s="8" t="s">
        <v>302</v>
      </c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O321" s="58">
        <f>IFERROR('6'!O$163/Ciclo,0)</f>
        <v>0</v>
      </c>
      <c r="P321" s="58">
        <f>IFERROR('6'!P$163/Ciclo,0)</f>
        <v>0</v>
      </c>
      <c r="Q321" s="58">
        <f>IFERROR('6'!Q$163/Ciclo,0)</f>
        <v>0</v>
      </c>
      <c r="R321" s="58">
        <f>IFERROR('6'!R$163/Ciclo,0)</f>
        <v>0</v>
      </c>
      <c r="S321" s="58">
        <f>IFERROR('6'!S$163/Ciclo,0)</f>
        <v>0</v>
      </c>
      <c r="T321" s="58">
        <f>IFERROR('6'!T$163/Ciclo,0)</f>
        <v>0</v>
      </c>
      <c r="U321" s="58">
        <f>IFERROR('6'!U$163/Ciclo,0)</f>
        <v>0</v>
      </c>
      <c r="V321" s="58">
        <f>IFERROR('6'!V$163/Ciclo,0)</f>
        <v>0</v>
      </c>
      <c r="W321" s="5">
        <f>IFERROR('6'!W$163/Ciclo,0)</f>
        <v>0</v>
      </c>
      <c r="X321" s="5">
        <f>IFERROR('6'!X$163/Ciclo,0)</f>
        <v>0</v>
      </c>
      <c r="Y321" s="5">
        <f>IFERROR('6'!Y$163/Ciclo,0)</f>
        <v>0</v>
      </c>
      <c r="Z321" s="5">
        <f>IFERROR('6'!Z$163/Ciclo,0)</f>
        <v>0</v>
      </c>
      <c r="AB321" s="5">
        <f>IF($B$318="Producción",IF($B321&gt;=LI_A,$O321,0),0)</f>
        <v>0</v>
      </c>
      <c r="AC321" s="5">
        <f>IF($B$318="Producción",IF($B321&gt;=LI_B,IF($B321&lt;LS_B,$O321,0),0),0)</f>
        <v>0</v>
      </c>
      <c r="AD321" s="5">
        <f>IF($B$318="Producción",IF($B321&gt;=LI_C,IF($B321&lt;LS_C,$O321,0),0),0)</f>
        <v>0</v>
      </c>
      <c r="AE321" s="5">
        <f>IF($B$318="Producción",IF($B321&lt;LS_D,$O321,0),0)</f>
        <v>0</v>
      </c>
      <c r="AF321" s="5">
        <f>IF($B$318="Crecimiento",$O321,0)</f>
        <v>0</v>
      </c>
      <c r="AG321" s="5">
        <f>IF($B318="Siembra",'6'!$O$7,0)</f>
        <v>0</v>
      </c>
      <c r="AH321" s="5">
        <f>IF($B318="Abandono",'6'!$O$7,0)</f>
        <v>0</v>
      </c>
      <c r="AI321" s="5">
        <f>IF($C$318="Producción",IF($C321&gt;=LI_A,$P321,0),0)</f>
        <v>0</v>
      </c>
      <c r="AJ321" s="5">
        <f>IF($C$318="Producción",IF($C321&gt;=LI_B,IF($C321&lt;LS_B,$P321,0),0),0)</f>
        <v>0</v>
      </c>
      <c r="AK321" s="5">
        <f>IF($C$318="Producción",IF($C321&gt;=LI_C,IF($C321&lt;LS_C,$P321,0),0),0)</f>
        <v>0</v>
      </c>
      <c r="AL321" s="5">
        <f>IF($C$318="Producción",IF($C321&lt;LS_D,$P321,0),0)</f>
        <v>0</v>
      </c>
      <c r="AM321" s="5">
        <f>IF($C$318="Crecimiento",$P321,0)</f>
        <v>0</v>
      </c>
      <c r="AN321" s="5">
        <f>IF($C318="Siembra",'6'!$P$7,0)</f>
        <v>0</v>
      </c>
      <c r="AO321" s="5">
        <f>IF($C318="Abandono",'6'!$P$7,0)</f>
        <v>0</v>
      </c>
      <c r="AP321" s="5">
        <f>IF($D$318="Producción",IF($D321&gt;=LI_A,$Q321,0),0)</f>
        <v>0</v>
      </c>
      <c r="AQ321" s="5">
        <f>IF($D$318="Producción",IF($D321&gt;=LI_B,IF($D321&lt;LS_B,$Q321,0),0),0)</f>
        <v>0</v>
      </c>
      <c r="AR321" s="5">
        <f>IF($D$318="Producción",IF($D321&gt;=LI_C,IF($D321&lt;LS_C,$Q321,0),0),0)</f>
        <v>0</v>
      </c>
      <c r="AS321" s="5">
        <f>IF($D$318="Producción",IF($D321&lt;LS_D,$Q321,0),0)</f>
        <v>0</v>
      </c>
      <c r="AT321" s="5">
        <f>IF($D$318="Crecimiento",IF($D321&gt;0,$Q321,0),0)</f>
        <v>0</v>
      </c>
      <c r="AU321" s="5">
        <f>IF($D318="Siembra",'6'!$Q$7,0)</f>
        <v>0</v>
      </c>
      <c r="AV321" s="5">
        <f>IF($D318="Abandono",'6'!$Q$7,0)</f>
        <v>0</v>
      </c>
      <c r="AW321" s="5">
        <f>IF($E$318="Producción",IF($E321&gt;=LI_A,$R321,0),0)</f>
        <v>0</v>
      </c>
      <c r="AX321" s="5">
        <f>IF($E$318="Producción",IF($E321&gt;=LI_B,IF($E321&lt;LS_B,$R321,0),0),0)</f>
        <v>0</v>
      </c>
      <c r="AY321" s="5">
        <f>IF($E$318="Producción",IF($E321&gt;=LI_C,IF($E321&lt;LS_C,$R321,0),0),0)</f>
        <v>0</v>
      </c>
      <c r="AZ321" s="5">
        <f>IF($E$318="Producción",IF($E321&lt;LS_D,$R321,0),0)</f>
        <v>0</v>
      </c>
      <c r="BA321" s="5">
        <f>IF($E$318="Crecimiento",$R321,0)</f>
        <v>0</v>
      </c>
      <c r="BB321" s="5">
        <f>IF($E318="Siembra",'6'!$R$7,0)</f>
        <v>0</v>
      </c>
      <c r="BC321" s="5">
        <f>IF($E318="Abandono",'6'!$R$7,0)</f>
        <v>0</v>
      </c>
      <c r="BD321" s="5">
        <f>IF($F$318="Producción",IF($F321&gt;=LI_A,$S321,0),0)</f>
        <v>0</v>
      </c>
      <c r="BE321" s="5">
        <f>IF($F$318="Producción",IF($F321&gt;=LI_B,IF($F321&lt;LS_B,$S321,0),0),0)</f>
        <v>0</v>
      </c>
      <c r="BF321" s="5">
        <f>IF($F$318="Producción",IF($F321&gt;=LI_C,IF($F321&lt;LS_C,$S321,0),0),0)</f>
        <v>0</v>
      </c>
      <c r="BG321" s="5">
        <f>IF($F$318="Producción",IF($F321&lt;LS_D,$S321,0),0)</f>
        <v>0</v>
      </c>
      <c r="BH321" s="5">
        <f>IF($F$318="Crecimiento",$S321,0)</f>
        <v>0</v>
      </c>
      <c r="BI321" s="5">
        <f>IF($F318="Siembra",'6'!$S$7,0)</f>
        <v>0</v>
      </c>
      <c r="BJ321" s="5">
        <f>IF($F318="Abandono",'6'!$S$7,0)</f>
        <v>0</v>
      </c>
      <c r="BK321" s="5">
        <f>IF($G$318="Producción",IF($G321&gt;=LI_A,$T321,0),0)</f>
        <v>0</v>
      </c>
      <c r="BL321" s="5">
        <f>IF($G$318="Producción",IF($G321&gt;=LI_B,IF($G321&lt;LS_B,$T321,0),0),0)</f>
        <v>0</v>
      </c>
      <c r="BM321" s="5">
        <f>IF($G$318="Producción",IF($G321&gt;=LI_C,IF($G321&lt;LS_C,$T321,0),0),0)</f>
        <v>0</v>
      </c>
      <c r="BN321" s="5">
        <f>IF($G$318="Producción",IF($G321&lt;LS_D,$T321,0),0)</f>
        <v>0</v>
      </c>
      <c r="BO321" s="5">
        <f>IF($G$318="Crecimiento",$T321,0)</f>
        <v>0</v>
      </c>
      <c r="BP321" s="5">
        <f>IF($G318="Siembra",'6'!$T$7,0)</f>
        <v>0</v>
      </c>
      <c r="BQ321" s="5">
        <f>IF($G318="Abandono",'6'!$T$7,0)</f>
        <v>0</v>
      </c>
      <c r="BR321" s="5">
        <f>IF($H$318="Producción",IF($H321&gt;=LI_A,$U321,0),0)</f>
        <v>0</v>
      </c>
      <c r="BS321" s="5">
        <f>IF($H$318="Producción",IF($H321&gt;=LI_B,IF($H321&lt;LS_B,$U321,0),0),0)</f>
        <v>0</v>
      </c>
      <c r="BT321" s="5">
        <f>IF($H$318="Producción",IF($H321&gt;=LI_C,IF($H321&lt;LS_C,$U321,0),0),0)</f>
        <v>0</v>
      </c>
      <c r="BU321" s="5">
        <f>IF($H$318="Producción",IF($H321&lt;LS_D,$U321,0),0)</f>
        <v>0</v>
      </c>
      <c r="BV321" s="5">
        <f>IF($H$318="Crecimiento",$T321,0)</f>
        <v>0</v>
      </c>
      <c r="BW321" s="5">
        <f>IF($H318="Siembra",'6'!$U$7,0)</f>
        <v>0</v>
      </c>
      <c r="BX321" s="5">
        <f>IF($H318="Abandono",'6'!$U$7,0)</f>
        <v>0</v>
      </c>
      <c r="BY321" s="5">
        <f>IF($I$318="Producción",IF($I321&gt;=LI_A,$V321,0),0)</f>
        <v>0</v>
      </c>
      <c r="BZ321" s="5">
        <f>IF($I$318="Producción",IF($I321&gt;=LI_B,IF($I321&lt;LS_B,$V321,0),0),0)</f>
        <v>0</v>
      </c>
      <c r="CA321" s="5">
        <f>IF($I$318="Producción",IF($I321&gt;=LI_C,IF($I321&lt;LS_C,$V321,0),0),0)</f>
        <v>0</v>
      </c>
      <c r="CB321" s="5">
        <f>IF($I$318="Producción",IF($I321&lt;LS_D,$V321,0),0)</f>
        <v>0</v>
      </c>
      <c r="CC321" s="5">
        <f>IF($I$318="Crecimiento",$V321,0)</f>
        <v>0</v>
      </c>
      <c r="CD321" s="5">
        <f>IF($I318="Siembra",'6'!$V$7,0)</f>
        <v>0</v>
      </c>
      <c r="CE321" s="5">
        <f>IF($I318="Abandono",'6'!$V$7,0)</f>
        <v>0</v>
      </c>
      <c r="CF321" s="5">
        <f>IF($J$318="Producción",IF($J321&gt;=LI_A,$W321,0),0)</f>
        <v>0</v>
      </c>
      <c r="CG321" s="5">
        <f>IF($J$318="Producción",IF($J321&gt;=LI_B,IF($J321&lt;LS_B,$W321,0),0),0)</f>
        <v>0</v>
      </c>
      <c r="CH321" s="5">
        <f>IF($J$318="Producción",IF($J321&gt;=LI_C,IF($J321&lt;LS_C,$W321,0),0),0)</f>
        <v>0</v>
      </c>
      <c r="CI321" s="5">
        <f>IF($J$318="Producción",IF($J321&lt;LS_D,$W321,0),0)</f>
        <v>0</v>
      </c>
      <c r="CJ321" s="5">
        <f>IF($J$318="Crecimiento",$W321,0)</f>
        <v>0</v>
      </c>
      <c r="CK321" s="5">
        <f>IF($J318="Siembra",'6'!$W$7,0)</f>
        <v>0</v>
      </c>
      <c r="CL321" s="5">
        <f>IF($J318="Abandono",'6'!$W$7,0)</f>
        <v>0</v>
      </c>
      <c r="CM321" s="5">
        <f>IF($K$318="Producción",IF($K321&gt;=LI_A,$X321,0),0)</f>
        <v>0</v>
      </c>
      <c r="CN321" s="5">
        <f>IF($K$318="Producción",IF($K321&gt;=LI_B,IF($K321&lt;LS_B,$X321,0),0),0)</f>
        <v>0</v>
      </c>
      <c r="CO321" s="5">
        <f>IF($K$318="Producción",IF($K321&gt;=LI_C,IF($K321&lt;LS_C,$X321,0),0),0)</f>
        <v>0</v>
      </c>
      <c r="CP321" s="5">
        <f>IF($K$318="Producción",IF($K321&lt;LS_D,$X321,0),0)</f>
        <v>0</v>
      </c>
      <c r="CQ321" s="5">
        <f>IF($K$318="Crecimiento",$X321,0)</f>
        <v>0</v>
      </c>
      <c r="CR321" s="5">
        <f>IF($K318="Siembra",'6'!$X$7,0)</f>
        <v>0</v>
      </c>
      <c r="CS321" s="5">
        <f>IF($K318="Abandono",'6'!$X$7,0)</f>
        <v>0</v>
      </c>
      <c r="CT321" s="5">
        <f>IF($L$318="Producción",IF($L321&gt;=LI_A,$Y321,0),0)</f>
        <v>0</v>
      </c>
      <c r="CU321" s="5">
        <f>IF($L$318="Producción",IF($L321&gt;=LI_B,IF($L321&lt;LS_B,$Y321,0),0),0)</f>
        <v>0</v>
      </c>
      <c r="CV321" s="5">
        <f>IF($L$318="Producción",IF($L321&gt;=LI_C,IF($L321&lt;LS_C,$Y321,0),0),0)</f>
        <v>0</v>
      </c>
      <c r="CW321" s="5">
        <f>IF($L$318="Producción",IF($L321&lt;LS_D,$Y321,0),0)</f>
        <v>0</v>
      </c>
      <c r="CX321" s="5">
        <f>IF($L$318="Crecimiento",$Y321,0)</f>
        <v>0</v>
      </c>
      <c r="CY321" s="5">
        <f>IF($L318="Siembra",'6'!$Y$7,0)</f>
        <v>0</v>
      </c>
      <c r="CZ321" s="5">
        <f>IF($L318="Abandono",'6'!$Y$7,0)</f>
        <v>0</v>
      </c>
      <c r="DA321" s="5">
        <f>IF($M$318="Producción",IF($M321&gt;=LI_A,$Z321,0),0)</f>
        <v>0</v>
      </c>
      <c r="DB321" s="5">
        <f>IF($M$318="Producción",IF($M321&gt;=LI_B,IF($M321&lt;LS_B,$Z321,0),0),0)</f>
        <v>0</v>
      </c>
      <c r="DC321" s="5">
        <f>IF($M$318="Producción",IF($M321&gt;=LI_C,IF($M321&lt;LS_C,$Z321,0),0),0)</f>
        <v>0</v>
      </c>
      <c r="DD321" s="5">
        <f>IF($M$318="Producción",IF($M321&lt;LS_D,$Z321,0),0)</f>
        <v>0</v>
      </c>
      <c r="DE321" s="5">
        <f>IF($M$318="Crecimiento",$Z321,0)</f>
        <v>0</v>
      </c>
      <c r="DF321" s="5">
        <f>IF($M318="Siembra",'6'!$Z$7,0)</f>
        <v>0</v>
      </c>
      <c r="DG321" s="5">
        <f>IF($M318="Abandono",'6'!$Z$7,0)</f>
        <v>0</v>
      </c>
      <c r="DI321" s="5">
        <f t="shared" ref="DI321:DI325" si="2423">AB321*$B321</f>
        <v>0</v>
      </c>
      <c r="DJ321" s="5">
        <f t="shared" ref="DJ321:DJ325" si="2424">AC321*$B321</f>
        <v>0</v>
      </c>
      <c r="DK321" s="5">
        <f t="shared" ref="DK321:DK325" si="2425">AD321*$B321</f>
        <v>0</v>
      </c>
      <c r="DL321" s="5">
        <f t="shared" ref="DL321:DL325" si="2426">AE321*$B321</f>
        <v>0</v>
      </c>
      <c r="DM321" s="5">
        <f t="shared" ref="DM321:DM325" si="2427">AF321*$B321</f>
        <v>0</v>
      </c>
      <c r="DN321" s="5">
        <f t="shared" ref="DN321:DN325" si="2428">AI321*$C321</f>
        <v>0</v>
      </c>
      <c r="DO321" s="5">
        <f t="shared" ref="DO321:DO325" si="2429">AJ321*$C321</f>
        <v>0</v>
      </c>
      <c r="DP321" s="5">
        <f t="shared" ref="DP321:DP325" si="2430">AK321*$C321</f>
        <v>0</v>
      </c>
      <c r="DQ321" s="5">
        <f t="shared" ref="DQ321:DQ325" si="2431">AL321*$C321</f>
        <v>0</v>
      </c>
      <c r="DR321" s="5">
        <f t="shared" ref="DR321:DR325" si="2432">AM321*$C321</f>
        <v>0</v>
      </c>
      <c r="DS321" s="5">
        <f t="shared" ref="DS321:DS325" si="2433">AP321*$D321</f>
        <v>0</v>
      </c>
      <c r="DT321" s="5">
        <f t="shared" ref="DT321:DT325" si="2434">AQ321*$D321</f>
        <v>0</v>
      </c>
      <c r="DU321" s="5">
        <f t="shared" ref="DU321:DU325" si="2435">AR321*$D321</f>
        <v>0</v>
      </c>
      <c r="DV321" s="5">
        <f t="shared" ref="DV321:DV325" si="2436">AS321*$D321</f>
        <v>0</v>
      </c>
      <c r="DW321" s="5">
        <f t="shared" ref="DW321:DW325" si="2437">AT321*$D321</f>
        <v>0</v>
      </c>
      <c r="DX321" s="5">
        <f t="shared" ref="DX321:DX325" si="2438">AW321*$E321</f>
        <v>0</v>
      </c>
      <c r="DY321" s="5">
        <f t="shared" ref="DY321:DY325" si="2439">AX321*$E321</f>
        <v>0</v>
      </c>
      <c r="DZ321" s="5">
        <f t="shared" ref="DZ321:DZ325" si="2440">AY321*$E321</f>
        <v>0</v>
      </c>
      <c r="EA321" s="5">
        <f t="shared" ref="EA321:EA325" si="2441">AZ321*$E321</f>
        <v>0</v>
      </c>
      <c r="EB321" s="5">
        <f t="shared" ref="EB321:EB325" si="2442">BA321*$E321</f>
        <v>0</v>
      </c>
      <c r="EC321" s="5">
        <f t="shared" ref="EC321:EC325" si="2443">BD321*$F321</f>
        <v>0</v>
      </c>
      <c r="ED321" s="5">
        <f t="shared" ref="ED321:ED325" si="2444">BE321*$F321</f>
        <v>0</v>
      </c>
      <c r="EE321" s="5">
        <f t="shared" ref="EE321:EE325" si="2445">BF321*$F321</f>
        <v>0</v>
      </c>
      <c r="EF321" s="5">
        <f t="shared" ref="EF321:EF325" si="2446">BG321*$F321</f>
        <v>0</v>
      </c>
      <c r="EG321" s="5">
        <f t="shared" ref="EG321:EG325" si="2447">BH321*$F321</f>
        <v>0</v>
      </c>
      <c r="EH321" s="5">
        <f t="shared" ref="EH321:EH325" si="2448">BK321*$G321</f>
        <v>0</v>
      </c>
      <c r="EI321" s="5">
        <f t="shared" ref="EI321:EI325" si="2449">BL321*$G321</f>
        <v>0</v>
      </c>
      <c r="EJ321" s="5">
        <f t="shared" ref="EJ321:EJ325" si="2450">BM321*$G321</f>
        <v>0</v>
      </c>
      <c r="EK321" s="5">
        <f t="shared" ref="EK321:EK325" si="2451">BN321*$G321</f>
        <v>0</v>
      </c>
      <c r="EL321" s="5">
        <f t="shared" ref="EL321:EL325" si="2452">BO321*$G321</f>
        <v>0</v>
      </c>
      <c r="EM321" s="5">
        <f t="shared" ref="EM321:EM325" si="2453">BR321*$H321</f>
        <v>0</v>
      </c>
      <c r="EN321" s="5">
        <f t="shared" ref="EN321:EN325" si="2454">BS321*$H321</f>
        <v>0</v>
      </c>
      <c r="EO321" s="5">
        <f t="shared" ref="EO321:EO325" si="2455">BT321*$H321</f>
        <v>0</v>
      </c>
      <c r="EP321" s="5">
        <f t="shared" ref="EP321:EP325" si="2456">BU321*$H321</f>
        <v>0</v>
      </c>
      <c r="EQ321" s="5">
        <f t="shared" ref="EQ321:EQ325" si="2457">BV321*$H321</f>
        <v>0</v>
      </c>
      <c r="ER321" s="5">
        <f t="shared" ref="ER321:ER325" si="2458">BY321*$I321</f>
        <v>0</v>
      </c>
      <c r="ES321" s="5">
        <f t="shared" ref="ES321:ES325" si="2459">BZ321*$I321</f>
        <v>0</v>
      </c>
      <c r="ET321" s="5">
        <f t="shared" ref="ET321:ET325" si="2460">CA321*$I321</f>
        <v>0</v>
      </c>
      <c r="EU321" s="5">
        <f t="shared" ref="EU321:EU325" si="2461">CB321*$I321</f>
        <v>0</v>
      </c>
      <c r="EV321" s="5">
        <f t="shared" ref="EV321:EV325" si="2462">CC321*$I321</f>
        <v>0</v>
      </c>
      <c r="EW321" s="5">
        <f t="shared" ref="EW321:EW325" si="2463">CF321*$J321</f>
        <v>0</v>
      </c>
      <c r="EX321" s="5">
        <f t="shared" ref="EX321:EX325" si="2464">CG321*$J321</f>
        <v>0</v>
      </c>
      <c r="EY321" s="5">
        <f t="shared" ref="EY321:EY325" si="2465">CH321*$J321</f>
        <v>0</v>
      </c>
      <c r="EZ321" s="5">
        <f t="shared" ref="EZ321:EZ325" si="2466">CI321*$J321</f>
        <v>0</v>
      </c>
      <c r="FA321" s="5">
        <f t="shared" ref="FA321:FA325" si="2467">CJ321*$J321</f>
        <v>0</v>
      </c>
      <c r="FB321" s="5">
        <f t="shared" ref="FB321:FB325" si="2468">CM321*$K321</f>
        <v>0</v>
      </c>
      <c r="FC321" s="5">
        <f t="shared" ref="FC321:FC325" si="2469">CN321*$K321</f>
        <v>0</v>
      </c>
      <c r="FD321" s="5">
        <f t="shared" ref="FD321:FD325" si="2470">CO321*$K321</f>
        <v>0</v>
      </c>
      <c r="FE321" s="5">
        <f t="shared" ref="FE321:FE325" si="2471">CP321*$K321</f>
        <v>0</v>
      </c>
      <c r="FF321" s="5">
        <f t="shared" ref="FF321:FF325" si="2472">CQ321*$K321</f>
        <v>0</v>
      </c>
      <c r="FG321" s="5">
        <f t="shared" ref="FG321:FG325" si="2473">CT321*$L321</f>
        <v>0</v>
      </c>
      <c r="FH321" s="5">
        <f t="shared" ref="FH321:FH325" si="2474">CU321*$L321</f>
        <v>0</v>
      </c>
      <c r="FI321" s="5">
        <f t="shared" ref="FI321:FI325" si="2475">CV321*$L321</f>
        <v>0</v>
      </c>
      <c r="FJ321" s="5">
        <f t="shared" ref="FJ321:FJ325" si="2476">CW321*$L321</f>
        <v>0</v>
      </c>
      <c r="FK321" s="5">
        <f t="shared" ref="FK321:FK325" si="2477">CX321*$L321</f>
        <v>0</v>
      </c>
      <c r="FL321" s="5">
        <f t="shared" ref="FL321:FL325" si="2478">DA321*$M321</f>
        <v>0</v>
      </c>
      <c r="FM321" s="5">
        <f t="shared" ref="FM321:FM325" si="2479">DB321*$M321</f>
        <v>0</v>
      </c>
      <c r="FN321" s="5">
        <f t="shared" ref="FN321:FN325" si="2480">DC321*$M321</f>
        <v>0</v>
      </c>
      <c r="FO321" s="5">
        <f t="shared" ref="FO321:FO325" si="2481">DD321*$M321</f>
        <v>0</v>
      </c>
      <c r="FP321" s="5">
        <f t="shared" ref="FP321:FP325" si="2482">DE321*$M321</f>
        <v>0</v>
      </c>
    </row>
    <row r="322" spans="1:172" ht="20.100000000000001" customHeight="1" x14ac:dyDescent="0.3">
      <c r="A322" s="8" t="s">
        <v>303</v>
      </c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O322" s="58">
        <f>IFERROR('6'!O$163/Ciclo,0)</f>
        <v>0</v>
      </c>
      <c r="P322" s="58">
        <f>IFERROR('6'!P$163/Ciclo,0)</f>
        <v>0</v>
      </c>
      <c r="Q322" s="58">
        <f>IFERROR('6'!Q$163/Ciclo,0)</f>
        <v>0</v>
      </c>
      <c r="R322" s="58">
        <f>IFERROR('6'!R$163/Ciclo,0)</f>
        <v>0</v>
      </c>
      <c r="S322" s="58">
        <f>IFERROR('6'!S$163/Ciclo,0)</f>
        <v>0</v>
      </c>
      <c r="T322" s="58">
        <f>IFERROR('6'!T$163/Ciclo,0)</f>
        <v>0</v>
      </c>
      <c r="U322" s="58">
        <f>IFERROR('6'!U$163/Ciclo,0)</f>
        <v>0</v>
      </c>
      <c r="V322" s="58">
        <f>IFERROR('6'!V$163/Ciclo,0)</f>
        <v>0</v>
      </c>
      <c r="W322" s="5">
        <f>IFERROR('6'!W$163/Ciclo,0)</f>
        <v>0</v>
      </c>
      <c r="X322" s="5">
        <f>IFERROR('6'!X$163/Ciclo,0)</f>
        <v>0</v>
      </c>
      <c r="Y322" s="5">
        <f>IFERROR('6'!Y$163/Ciclo,0)</f>
        <v>0</v>
      </c>
      <c r="Z322" s="5">
        <f>IFERROR('6'!Z$163/Ciclo,0)</f>
        <v>0</v>
      </c>
      <c r="AB322" s="5">
        <f>IF($B$318="Producción",IF($B322&gt;=LI_A,$O322,0),0)</f>
        <v>0</v>
      </c>
      <c r="AC322" s="5">
        <f>IF($B$318="Producción",IF($B322&gt;=LI_B,IF($B322&lt;LS_B,$O322,0),0),0)</f>
        <v>0</v>
      </c>
      <c r="AD322" s="5">
        <f>IF($B$318="Producción",IF($B322&gt;=LI_C,IF($B322&lt;LS_C,$O322,0),0),0)</f>
        <v>0</v>
      </c>
      <c r="AE322" s="5">
        <f>IF($B$318="Producción",IF($B322&lt;LS_D,$O322,0),0)</f>
        <v>0</v>
      </c>
      <c r="AF322" s="5">
        <f t="shared" ref="AF322:AF325" si="2483">IF($B$318="Crecimiento",$O322,0)</f>
        <v>0</v>
      </c>
      <c r="AI322" s="5">
        <f>IF($C$318="Producción",IF($C322&gt;=LI_A,$P322,0),0)</f>
        <v>0</v>
      </c>
      <c r="AJ322" s="5">
        <f>IF($C$318="Producción",IF($C322&gt;=LI_B,IF($C322&lt;LS_B,$P322,0),0),0)</f>
        <v>0</v>
      </c>
      <c r="AK322" s="5">
        <f>IF($C$318="Producción",IF($C322&gt;=LI_C,IF($C322&lt;LS_C,$P322,0),0),0)</f>
        <v>0</v>
      </c>
      <c r="AL322" s="5">
        <f>IF($C$318="Producción",IF($C322&lt;LS_D,$P322,0),0)</f>
        <v>0</v>
      </c>
      <c r="AM322" s="5">
        <f>IF($C$318="Crecimiento",$P322,0)</f>
        <v>0</v>
      </c>
      <c r="AP322" s="5">
        <f>IF($D$318="Producción",IF($D322&gt;=LI_A,$Q322,0),0)</f>
        <v>0</v>
      </c>
      <c r="AQ322" s="5">
        <f>IF($D$318="Producción",IF($D322&gt;=LI_B,IF($D322&lt;LS_B,$Q322,0),0),0)</f>
        <v>0</v>
      </c>
      <c r="AR322" s="5">
        <f>IF($D$318="Producción",IF($D322&gt;=LI_C,IF($D322&lt;LS_C,$Q322,0),0),0)</f>
        <v>0</v>
      </c>
      <c r="AS322" s="5">
        <f>IF($D$318="Producción",IF($D322&lt;LS_D,$Q322,0),0)</f>
        <v>0</v>
      </c>
      <c r="AT322" s="5">
        <f>IF($D$318="Crecimiento",IF($D322&gt;0,$Q322,0),0)</f>
        <v>0</v>
      </c>
      <c r="AW322" s="5">
        <f>IF($E$318="Producción",IF($E322&gt;=LI_A,$R322,0),0)</f>
        <v>0</v>
      </c>
      <c r="AX322" s="5">
        <f>IF($E$318="Producción",IF($E322&gt;=LI_B,IF($E322&lt;LS_B,$R322,0),0),0)</f>
        <v>0</v>
      </c>
      <c r="AY322" s="5">
        <f>IF($E$318="Producción",IF($E322&gt;=LI_C,IF($E322&lt;LS_C,$R322,0),0),0)</f>
        <v>0</v>
      </c>
      <c r="AZ322" s="5">
        <f>IF($E$318="Producción",IF($E322&lt;LS_D,$R322,0),0)</f>
        <v>0</v>
      </c>
      <c r="BA322" s="5">
        <f>IF($E$318="Crecimiento",$R322,0)</f>
        <v>0</v>
      </c>
      <c r="BD322" s="5">
        <f>IF($F$318="Producción",IF($F322&gt;=LI_A,$S322,0),0)</f>
        <v>0</v>
      </c>
      <c r="BE322" s="5">
        <f>IF($F$318="Producción",IF($F322&gt;=LI_B,IF($F322&lt;LS_B,$S322,0),0),0)</f>
        <v>0</v>
      </c>
      <c r="BF322" s="5">
        <f>IF($F$318="Producción",IF($F322&gt;=LI_C,IF($F322&lt;LS_C,$S322,0),0),0)</f>
        <v>0</v>
      </c>
      <c r="BG322" s="5">
        <f>IF($F$318="Producción",IF($F322&lt;LS_D,$S322,0),0)</f>
        <v>0</v>
      </c>
      <c r="BH322" s="5">
        <f>IF($F$318="Crecimiento",$S322,0)</f>
        <v>0</v>
      </c>
      <c r="BK322" s="5">
        <f>IF($G$318="Producción",IF($G322&gt;=LI_A,$T322,0),0)</f>
        <v>0</v>
      </c>
      <c r="BL322" s="5">
        <f>IF($G$318="Producción",IF($G322&gt;=LI_B,IF($G322&lt;LS_B,$T322,0),0),0)</f>
        <v>0</v>
      </c>
      <c r="BM322" s="5">
        <f>IF($G$318="Producción",IF($G322&gt;=LI_C,IF($G322&lt;LS_C,$T322,0),0),0)</f>
        <v>0</v>
      </c>
      <c r="BN322" s="5">
        <f>IF($G$318="Producción",IF($G322&lt;LS_D,$T322,0),0)</f>
        <v>0</v>
      </c>
      <c r="BO322" s="5">
        <f>IF($G$318="Crecimiento",$T322,0)</f>
        <v>0</v>
      </c>
      <c r="BR322" s="5">
        <f>IF($H$318="Producción",IF($H322&gt;=LI_A,$U322,0),0)</f>
        <v>0</v>
      </c>
      <c r="BS322" s="5">
        <f>IF($H$318="Producción",IF($H322&gt;=LI_B,IF($H322&lt;LS_B,$U322,0),0),0)</f>
        <v>0</v>
      </c>
      <c r="BT322" s="5">
        <f>IF($H$318="Producción",IF($H322&gt;=LI_C,IF($H322&lt;LS_C,$U322,0),0),0)</f>
        <v>0</v>
      </c>
      <c r="BU322" s="5">
        <f>IF($H$318="Producción",IF($H322&lt;LS_D,$U322,0),0)</f>
        <v>0</v>
      </c>
      <c r="BV322" s="5">
        <f>IF($H$318="Crecimiento",$T322,0)</f>
        <v>0</v>
      </c>
      <c r="BY322" s="5">
        <f>IF($I$318="Producción",IF($I322&gt;=LI_A,$V322,0),0)</f>
        <v>0</v>
      </c>
      <c r="BZ322" s="5">
        <f>IF($I$318="Producción",IF($I322&gt;=LI_B,IF($I322&lt;LS_B,$V322,0),0),0)</f>
        <v>0</v>
      </c>
      <c r="CA322" s="5">
        <f>IF($I$318="Producción",IF($I322&gt;=LI_C,IF($I322&lt;LS_C,$V322,0),0),0)</f>
        <v>0</v>
      </c>
      <c r="CB322" s="5">
        <f>IF($I$318="Producción",IF($I322&lt;LS_D,$V322,0),0)</f>
        <v>0</v>
      </c>
      <c r="CC322" s="5">
        <f>IF($I$318="Crecimiento",$V322,0)</f>
        <v>0</v>
      </c>
      <c r="CF322" s="5">
        <f>IF($J$318="Producción",IF($J322&gt;=LI_A,$W322,0),0)</f>
        <v>0</v>
      </c>
      <c r="CG322" s="5">
        <f>IF($J$318="Producción",IF($J322&gt;=LI_B,IF($J322&lt;LS_B,$W322,0),0),0)</f>
        <v>0</v>
      </c>
      <c r="CH322" s="5">
        <f>IF($J$318="Producción",IF($J322&gt;=LI_C,IF($J322&lt;LS_C,$W322,0),0),0)</f>
        <v>0</v>
      </c>
      <c r="CI322" s="5">
        <f>IF($J$318="Producción",IF($J322&lt;LS_D,$W322,0),0)</f>
        <v>0</v>
      </c>
      <c r="CJ322" s="5">
        <f>IF($J$318="Crecimiento",$W322,0)</f>
        <v>0</v>
      </c>
      <c r="CM322" s="5">
        <f>IF($K$318="Producción",IF($K322&gt;=LI_A,$X322,0),0)</f>
        <v>0</v>
      </c>
      <c r="CN322" s="5">
        <f>IF($K$318="Producción",IF($K322&gt;=LI_B,IF($K322&lt;LS_B,$X322,0),0),0)</f>
        <v>0</v>
      </c>
      <c r="CO322" s="5">
        <f>IF($K$318="Producción",IF($K322&gt;=LI_C,IF($K322&lt;LS_C,$X322,0),0),0)</f>
        <v>0</v>
      </c>
      <c r="CP322" s="5">
        <f>IF($K$318="Producción",IF($K322&lt;LS_D,$X322,0),0)</f>
        <v>0</v>
      </c>
      <c r="CQ322" s="5">
        <f>IF($K$318="Crecimiento",$X322,0)</f>
        <v>0</v>
      </c>
      <c r="CT322" s="5">
        <f>IF($L$318="Producción",IF($L322&gt;=LI_A,$Y322,0),0)</f>
        <v>0</v>
      </c>
      <c r="CU322" s="5">
        <f>IF($L$318="Producción",IF($L322&gt;=LI_B,IF($L322&lt;LS_B,$Y322,0),0),0)</f>
        <v>0</v>
      </c>
      <c r="CV322" s="5">
        <f>IF($L$318="Producción",IF($L322&gt;=LI_C,IF($L322&lt;LS_C,$Y322,0),0),0)</f>
        <v>0</v>
      </c>
      <c r="CW322" s="5">
        <f>IF($L$318="Producción",IF($L322&lt;LS_D,$Y322,0),0)</f>
        <v>0</v>
      </c>
      <c r="CX322" s="5">
        <f>IF($L$318="Crecimiento",$Y322,0)</f>
        <v>0</v>
      </c>
      <c r="DA322" s="5">
        <f>IF($M$318="Producción",IF($M322&gt;=LI_A,$Z322,0),0)</f>
        <v>0</v>
      </c>
      <c r="DB322" s="5">
        <f>IF($M$318="Producción",IF($M322&gt;=LI_B,IF($M322&lt;LS_B,$Z322,0),0),0)</f>
        <v>0</v>
      </c>
      <c r="DC322" s="5">
        <f>IF($M$318="Producción",IF($M322&gt;=LI_C,IF($M322&lt;LS_C,$Z322,0),0),0)</f>
        <v>0</v>
      </c>
      <c r="DD322" s="5">
        <f>IF($M$318="Producción",IF($M322&lt;LS_D,$Z322,0),0)</f>
        <v>0</v>
      </c>
      <c r="DE322" s="5">
        <f>IF($M$318="Crecimiento",$Z322,0)</f>
        <v>0</v>
      </c>
      <c r="DI322" s="5">
        <f t="shared" si="2423"/>
        <v>0</v>
      </c>
      <c r="DJ322" s="5">
        <f t="shared" si="2424"/>
        <v>0</v>
      </c>
      <c r="DK322" s="5">
        <f t="shared" si="2425"/>
        <v>0</v>
      </c>
      <c r="DL322" s="5">
        <f t="shared" si="2426"/>
        <v>0</v>
      </c>
      <c r="DM322" s="5">
        <f t="shared" si="2427"/>
        <v>0</v>
      </c>
      <c r="DN322" s="5">
        <f t="shared" si="2428"/>
        <v>0</v>
      </c>
      <c r="DO322" s="5">
        <f t="shared" si="2429"/>
        <v>0</v>
      </c>
      <c r="DP322" s="5">
        <f t="shared" si="2430"/>
        <v>0</v>
      </c>
      <c r="DQ322" s="5">
        <f t="shared" si="2431"/>
        <v>0</v>
      </c>
      <c r="DR322" s="5">
        <f t="shared" si="2432"/>
        <v>0</v>
      </c>
      <c r="DS322" s="5">
        <f t="shared" si="2433"/>
        <v>0</v>
      </c>
      <c r="DT322" s="5">
        <f t="shared" si="2434"/>
        <v>0</v>
      </c>
      <c r="DU322" s="5">
        <f t="shared" si="2435"/>
        <v>0</v>
      </c>
      <c r="DV322" s="5">
        <f t="shared" si="2436"/>
        <v>0</v>
      </c>
      <c r="DW322" s="5">
        <f t="shared" si="2437"/>
        <v>0</v>
      </c>
      <c r="DX322" s="5">
        <f t="shared" si="2438"/>
        <v>0</v>
      </c>
      <c r="DY322" s="5">
        <f t="shared" si="2439"/>
        <v>0</v>
      </c>
      <c r="DZ322" s="5">
        <f t="shared" si="2440"/>
        <v>0</v>
      </c>
      <c r="EA322" s="5">
        <f t="shared" si="2441"/>
        <v>0</v>
      </c>
      <c r="EB322" s="5">
        <f t="shared" si="2442"/>
        <v>0</v>
      </c>
      <c r="EC322" s="5">
        <f t="shared" si="2443"/>
        <v>0</v>
      </c>
      <c r="ED322" s="5">
        <f t="shared" si="2444"/>
        <v>0</v>
      </c>
      <c r="EE322" s="5">
        <f t="shared" si="2445"/>
        <v>0</v>
      </c>
      <c r="EF322" s="5">
        <f t="shared" si="2446"/>
        <v>0</v>
      </c>
      <c r="EG322" s="5">
        <f t="shared" si="2447"/>
        <v>0</v>
      </c>
      <c r="EH322" s="5">
        <f t="shared" si="2448"/>
        <v>0</v>
      </c>
      <c r="EI322" s="5">
        <f t="shared" si="2449"/>
        <v>0</v>
      </c>
      <c r="EJ322" s="5">
        <f t="shared" si="2450"/>
        <v>0</v>
      </c>
      <c r="EK322" s="5">
        <f t="shared" si="2451"/>
        <v>0</v>
      </c>
      <c r="EL322" s="5">
        <f t="shared" si="2452"/>
        <v>0</v>
      </c>
      <c r="EM322" s="5">
        <f t="shared" si="2453"/>
        <v>0</v>
      </c>
      <c r="EN322" s="5">
        <f t="shared" si="2454"/>
        <v>0</v>
      </c>
      <c r="EO322" s="5">
        <f t="shared" si="2455"/>
        <v>0</v>
      </c>
      <c r="EP322" s="5">
        <f t="shared" si="2456"/>
        <v>0</v>
      </c>
      <c r="EQ322" s="5">
        <f t="shared" si="2457"/>
        <v>0</v>
      </c>
      <c r="ER322" s="5">
        <f t="shared" si="2458"/>
        <v>0</v>
      </c>
      <c r="ES322" s="5">
        <f t="shared" si="2459"/>
        <v>0</v>
      </c>
      <c r="ET322" s="5">
        <f t="shared" si="2460"/>
        <v>0</v>
      </c>
      <c r="EU322" s="5">
        <f t="shared" si="2461"/>
        <v>0</v>
      </c>
      <c r="EV322" s="5">
        <f t="shared" si="2462"/>
        <v>0</v>
      </c>
      <c r="EW322" s="5">
        <f t="shared" si="2463"/>
        <v>0</v>
      </c>
      <c r="EX322" s="5">
        <f t="shared" si="2464"/>
        <v>0</v>
      </c>
      <c r="EY322" s="5">
        <f t="shared" si="2465"/>
        <v>0</v>
      </c>
      <c r="EZ322" s="5">
        <f t="shared" si="2466"/>
        <v>0</v>
      </c>
      <c r="FA322" s="5">
        <f t="shared" si="2467"/>
        <v>0</v>
      </c>
      <c r="FB322" s="5">
        <f t="shared" si="2468"/>
        <v>0</v>
      </c>
      <c r="FC322" s="5">
        <f t="shared" si="2469"/>
        <v>0</v>
      </c>
      <c r="FD322" s="5">
        <f t="shared" si="2470"/>
        <v>0</v>
      </c>
      <c r="FE322" s="5">
        <f t="shared" si="2471"/>
        <v>0</v>
      </c>
      <c r="FF322" s="5">
        <f t="shared" si="2472"/>
        <v>0</v>
      </c>
      <c r="FG322" s="5">
        <f t="shared" si="2473"/>
        <v>0</v>
      </c>
      <c r="FH322" s="5">
        <f t="shared" si="2474"/>
        <v>0</v>
      </c>
      <c r="FI322" s="5">
        <f t="shared" si="2475"/>
        <v>0</v>
      </c>
      <c r="FJ322" s="5">
        <f t="shared" si="2476"/>
        <v>0</v>
      </c>
      <c r="FK322" s="5">
        <f t="shared" si="2477"/>
        <v>0</v>
      </c>
      <c r="FL322" s="5">
        <f t="shared" si="2478"/>
        <v>0</v>
      </c>
      <c r="FM322" s="5">
        <f t="shared" si="2479"/>
        <v>0</v>
      </c>
      <c r="FN322" s="5">
        <f t="shared" si="2480"/>
        <v>0</v>
      </c>
      <c r="FO322" s="5">
        <f t="shared" si="2481"/>
        <v>0</v>
      </c>
      <c r="FP322" s="5">
        <f t="shared" si="2482"/>
        <v>0</v>
      </c>
    </row>
    <row r="323" spans="1:172" ht="20.100000000000001" customHeight="1" x14ac:dyDescent="0.3">
      <c r="A323" s="8" t="str">
        <f>IF(Ciclo&gt;2,"Surco 3","NA")</f>
        <v>Surco 3</v>
      </c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O323" s="58">
        <f>IF($A323="NA",0,IFERROR('6'!O$163/Ciclo,0))</f>
        <v>0</v>
      </c>
      <c r="P323" s="58">
        <f>IF($A323="NA",0,IFERROR('6'!P$163/Ciclo,0))</f>
        <v>0</v>
      </c>
      <c r="Q323" s="58">
        <f>IF($A323="NA",0,IFERROR('6'!Q$163/Ciclo,0))</f>
        <v>0</v>
      </c>
      <c r="R323" s="58">
        <f>IF($A323="NA",0,IFERROR('6'!R$163/Ciclo,0))</f>
        <v>0</v>
      </c>
      <c r="S323" s="58">
        <f>IF($A323="NA",0,IFERROR('6'!S$163/Ciclo,0))</f>
        <v>0</v>
      </c>
      <c r="T323" s="58">
        <f>IF($A323="NA",0,IFERROR('6'!T$163/Ciclo,0))</f>
        <v>0</v>
      </c>
      <c r="U323" s="58">
        <f>IF($A323="NA",0,IFERROR('6'!U$163/Ciclo,0))</f>
        <v>0</v>
      </c>
      <c r="V323" s="58">
        <f>IF($A323="NA",0,IFERROR('6'!V$163/Ciclo,0))</f>
        <v>0</v>
      </c>
      <c r="W323" s="5">
        <f>IF($A323="NA",0,IFERROR('6'!W$163/Ciclo,0))</f>
        <v>0</v>
      </c>
      <c r="X323" s="5">
        <f>IF($A323="NA",0,IFERROR('6'!X$163/Ciclo,0))</f>
        <v>0</v>
      </c>
      <c r="Y323" s="5">
        <f>IF($A323="NA",0,IFERROR('6'!Y$163/Ciclo,0))</f>
        <v>0</v>
      </c>
      <c r="Z323" s="5">
        <f>IF($A323="NA",0,IFERROR('6'!Z$163/Ciclo,0))</f>
        <v>0</v>
      </c>
      <c r="AB323" s="5">
        <f>IF($B$318="Producción",IF($B323&gt;=LI_A,$O323,0),0)</f>
        <v>0</v>
      </c>
      <c r="AC323" s="5">
        <f>IF($B$318="Producción",IF($B323&gt;=LI_B,IF($B323&lt;LS_B,$O323,0),0),0)</f>
        <v>0</v>
      </c>
      <c r="AD323" s="5">
        <f>IF($B$318="Producción",IF($B323&gt;=LI_C,IF($B323&lt;LS_C,$O323,0),0),0)</f>
        <v>0</v>
      </c>
      <c r="AE323" s="5">
        <f>IF($B$318="Producción",IF($B323&lt;LS_D,$O323,0),0)</f>
        <v>0</v>
      </c>
      <c r="AF323" s="5">
        <f t="shared" si="2483"/>
        <v>0</v>
      </c>
      <c r="AI323" s="5">
        <f>IF($C$318="Producción",IF($C323&gt;=LI_A,$P323,0),0)</f>
        <v>0</v>
      </c>
      <c r="AJ323" s="5">
        <f>IF($C$318="Producción",IF($C323&gt;=LI_B,IF($C323&lt;LS_B,$P323,0),0),0)</f>
        <v>0</v>
      </c>
      <c r="AK323" s="5">
        <f>IF($C$318="Producción",IF($C323&gt;=LI_C,IF($C323&lt;LS_C,$P323,0),0),0)</f>
        <v>0</v>
      </c>
      <c r="AL323" s="5">
        <f>IF($C$318="Producción",IF($C323&lt;LS_D,$P323,0),0)</f>
        <v>0</v>
      </c>
      <c r="AM323" s="5">
        <f>IF($C$318="Crecimiento",$P323,0)</f>
        <v>0</v>
      </c>
      <c r="AP323" s="5">
        <f>IF($D$318="Producción",IF($D323&gt;=LI_A,$Q323,0),0)</f>
        <v>0</v>
      </c>
      <c r="AQ323" s="5">
        <f>IF($D$318="Producción",IF($D323&gt;=LI_B,IF($D323&lt;LS_B,$Q323,0),0),0)</f>
        <v>0</v>
      </c>
      <c r="AR323" s="5">
        <f>IF($D$318="Producción",IF($D323&gt;=LI_C,IF($D323&lt;LS_C,$Q323,0),0),0)</f>
        <v>0</v>
      </c>
      <c r="AS323" s="5">
        <f>IF($D$318="Producción",IF($D323&lt;LS_D,$Q323,0),0)</f>
        <v>0</v>
      </c>
      <c r="AT323" s="5">
        <f>IF($D$318="Crecimiento",IF($D323&gt;0,$Q323,0),0)</f>
        <v>0</v>
      </c>
      <c r="AW323" s="5">
        <f>IF($E$318="Producción",IF($E323&gt;=LI_A,$R323,0),0)</f>
        <v>0</v>
      </c>
      <c r="AX323" s="5">
        <f>IF($E$318="Producción",IF($E323&gt;=LI_B,IF($E323&lt;LS_B,$R323,0),0),0)</f>
        <v>0</v>
      </c>
      <c r="AY323" s="5">
        <f>IF($E$318="Producción",IF($E323&gt;=LI_C,IF($E323&lt;LS_C,$R323,0),0),0)</f>
        <v>0</v>
      </c>
      <c r="AZ323" s="5">
        <f>IF($E$318="Producción",IF($E323&lt;LS_D,$R323,0),0)</f>
        <v>0</v>
      </c>
      <c r="BA323" s="5">
        <f>IF($E$318="Crecimiento",$R323,0)</f>
        <v>0</v>
      </c>
      <c r="BD323" s="5">
        <f>IF($F$318="Producción",IF($F323&gt;=LI_A,$S323,0),0)</f>
        <v>0</v>
      </c>
      <c r="BE323" s="5">
        <f>IF($F$318="Producción",IF($F323&gt;=LI_B,IF($F323&lt;LS_B,$S323,0),0),0)</f>
        <v>0</v>
      </c>
      <c r="BF323" s="5">
        <f>IF($F$318="Producción",IF($F323&gt;=LI_C,IF($F323&lt;LS_C,$S323,0),0),0)</f>
        <v>0</v>
      </c>
      <c r="BG323" s="5">
        <f>IF($F$318="Producción",IF($F323&lt;LS_D,$S323,0),0)</f>
        <v>0</v>
      </c>
      <c r="BH323" s="5">
        <f>IF($F$318="Crecimiento",$S323,0)</f>
        <v>0</v>
      </c>
      <c r="BK323" s="5">
        <f>IF($G$318="Producción",IF($G323&gt;=LI_A,$T323,0),0)</f>
        <v>0</v>
      </c>
      <c r="BL323" s="5">
        <f>IF($G$318="Producción",IF($G323&gt;=LI_B,IF($G323&lt;LS_B,$T323,0),0),0)</f>
        <v>0</v>
      </c>
      <c r="BM323" s="5">
        <f>IF($G$318="Producción",IF($G323&gt;=LI_C,IF($G323&lt;LS_C,$T323,0),0),0)</f>
        <v>0</v>
      </c>
      <c r="BN323" s="5">
        <f>IF($G$318="Producción",IF($G323&lt;LS_D,$T323,0),0)</f>
        <v>0</v>
      </c>
      <c r="BO323" s="5">
        <f>IF($G$318="Crecimiento",$T323,0)</f>
        <v>0</v>
      </c>
      <c r="BR323" s="5">
        <f>IF($H$318="Producción",IF($H323&gt;=LI_A,$U323,0),0)</f>
        <v>0</v>
      </c>
      <c r="BS323" s="5">
        <f>IF($H$318="Producción",IF($H323&gt;=LI_B,IF($H323&lt;LS_B,$U323,0),0),0)</f>
        <v>0</v>
      </c>
      <c r="BT323" s="5">
        <f>IF($H$318="Producción",IF($H323&gt;=LI_C,IF($H323&lt;LS_C,$U323,0),0),0)</f>
        <v>0</v>
      </c>
      <c r="BU323" s="5">
        <f>IF($H$318="Producción",IF($H323&lt;LS_D,$U323,0),0)</f>
        <v>0</v>
      </c>
      <c r="BV323" s="5">
        <f>IF($H$318="Crecimiento",$T323,0)</f>
        <v>0</v>
      </c>
      <c r="BY323" s="5">
        <f>IF($I$318="Producción",IF($I323&gt;=LI_A,$V323,0),0)</f>
        <v>0</v>
      </c>
      <c r="BZ323" s="5">
        <f>IF($I$318="Producción",IF($I323&gt;=LI_B,IF($I323&lt;LS_B,$V323,0),0),0)</f>
        <v>0</v>
      </c>
      <c r="CA323" s="5">
        <f>IF($I$318="Producción",IF($I323&gt;=LI_C,IF($I323&lt;LS_C,$V323,0),0),0)</f>
        <v>0</v>
      </c>
      <c r="CB323" s="5">
        <f>IF($I$318="Producción",IF($I323&lt;LS_D,$V323,0),0)</f>
        <v>0</v>
      </c>
      <c r="CC323" s="5">
        <f>IF($I$318="Crecimiento",$V323,0)</f>
        <v>0</v>
      </c>
      <c r="CF323" s="5">
        <f>IF($J$318="Producción",IF($J323&gt;=LI_A,$W323,0),0)</f>
        <v>0</v>
      </c>
      <c r="CG323" s="5">
        <f>IF($J$318="Producción",IF($J323&gt;=LI_B,IF($J323&lt;LS_B,$W323,0),0),0)</f>
        <v>0</v>
      </c>
      <c r="CH323" s="5">
        <f>IF($J$318="Producción",IF($J323&gt;=LI_C,IF($J323&lt;LS_C,$W323,0),0),0)</f>
        <v>0</v>
      </c>
      <c r="CI323" s="5">
        <f>IF($J$318="Producción",IF($J323&lt;LS_D,$W323,0),0)</f>
        <v>0</v>
      </c>
      <c r="CJ323" s="5">
        <f>IF($J$318="Crecimiento",$W323,0)</f>
        <v>0</v>
      </c>
      <c r="CM323" s="5">
        <f>IF($K$318="Producción",IF($K323&gt;=LI_A,$X323,0),0)</f>
        <v>0</v>
      </c>
      <c r="CN323" s="5">
        <f>IF($K$318="Producción",IF($K323&gt;=LI_B,IF($K323&lt;LS_B,$X323,0),0),0)</f>
        <v>0</v>
      </c>
      <c r="CO323" s="5">
        <f>IF($K$318="Producción",IF($K323&gt;=LI_C,IF($K323&lt;LS_C,$X323,0),0),0)</f>
        <v>0</v>
      </c>
      <c r="CP323" s="5">
        <f>IF($K$318="Producción",IF($K323&lt;LS_D,$X323,0),0)</f>
        <v>0</v>
      </c>
      <c r="CQ323" s="5">
        <f>IF($K$318="Crecimiento",$X323,0)</f>
        <v>0</v>
      </c>
      <c r="CT323" s="5">
        <f>IF($L$318="Producción",IF($L323&gt;=LI_A,$Y323,0),0)</f>
        <v>0</v>
      </c>
      <c r="CU323" s="5">
        <f>IF($L$318="Producción",IF($L323&gt;=LI_B,IF($L323&lt;LS_B,$Y323,0),0),0)</f>
        <v>0</v>
      </c>
      <c r="CV323" s="5">
        <f>IF($L$318="Producción",IF($L323&gt;=LI_C,IF($L323&lt;LS_C,$Y323,0),0),0)</f>
        <v>0</v>
      </c>
      <c r="CW323" s="5">
        <f>IF($L$318="Producción",IF($L323&lt;LS_D,$Y323,0),0)</f>
        <v>0</v>
      </c>
      <c r="CX323" s="5">
        <f>IF($L$318="Crecimiento",$Y323,0)</f>
        <v>0</v>
      </c>
      <c r="DA323" s="5">
        <f>IF($M$318="Producción",IF($M323&gt;=LI_A,$Z323,0),0)</f>
        <v>0</v>
      </c>
      <c r="DB323" s="5">
        <f>IF($M$318="Producción",IF($M323&gt;=LI_B,IF($M323&lt;LS_B,$Z323,0),0),0)</f>
        <v>0</v>
      </c>
      <c r="DC323" s="5">
        <f>IF($M$318="Producción",IF($M323&gt;=LI_C,IF($M323&lt;LS_C,$Z323,0),0),0)</f>
        <v>0</v>
      </c>
      <c r="DD323" s="5">
        <f>IF($M$318="Producción",IF($M323&lt;LS_D,$Z323,0),0)</f>
        <v>0</v>
      </c>
      <c r="DE323" s="5">
        <f>IF($M$318="Crecimiento",$Z323,0)</f>
        <v>0</v>
      </c>
      <c r="DI323" s="5">
        <f t="shared" si="2423"/>
        <v>0</v>
      </c>
      <c r="DJ323" s="5">
        <f t="shared" si="2424"/>
        <v>0</v>
      </c>
      <c r="DK323" s="5">
        <f t="shared" si="2425"/>
        <v>0</v>
      </c>
      <c r="DL323" s="5">
        <f t="shared" si="2426"/>
        <v>0</v>
      </c>
      <c r="DM323" s="5">
        <f t="shared" si="2427"/>
        <v>0</v>
      </c>
      <c r="DN323" s="5">
        <f t="shared" si="2428"/>
        <v>0</v>
      </c>
      <c r="DO323" s="5">
        <f t="shared" si="2429"/>
        <v>0</v>
      </c>
      <c r="DP323" s="5">
        <f t="shared" si="2430"/>
        <v>0</v>
      </c>
      <c r="DQ323" s="5">
        <f t="shared" si="2431"/>
        <v>0</v>
      </c>
      <c r="DR323" s="5">
        <f t="shared" si="2432"/>
        <v>0</v>
      </c>
      <c r="DS323" s="5">
        <f t="shared" si="2433"/>
        <v>0</v>
      </c>
      <c r="DT323" s="5">
        <f t="shared" si="2434"/>
        <v>0</v>
      </c>
      <c r="DU323" s="5">
        <f t="shared" si="2435"/>
        <v>0</v>
      </c>
      <c r="DV323" s="5">
        <f t="shared" si="2436"/>
        <v>0</v>
      </c>
      <c r="DW323" s="5">
        <f t="shared" si="2437"/>
        <v>0</v>
      </c>
      <c r="DX323" s="5">
        <f t="shared" si="2438"/>
        <v>0</v>
      </c>
      <c r="DY323" s="5">
        <f t="shared" si="2439"/>
        <v>0</v>
      </c>
      <c r="DZ323" s="5">
        <f t="shared" si="2440"/>
        <v>0</v>
      </c>
      <c r="EA323" s="5">
        <f t="shared" si="2441"/>
        <v>0</v>
      </c>
      <c r="EB323" s="5">
        <f t="shared" si="2442"/>
        <v>0</v>
      </c>
      <c r="EC323" s="5">
        <f t="shared" si="2443"/>
        <v>0</v>
      </c>
      <c r="ED323" s="5">
        <f t="shared" si="2444"/>
        <v>0</v>
      </c>
      <c r="EE323" s="5">
        <f t="shared" si="2445"/>
        <v>0</v>
      </c>
      <c r="EF323" s="5">
        <f t="shared" si="2446"/>
        <v>0</v>
      </c>
      <c r="EG323" s="5">
        <f t="shared" si="2447"/>
        <v>0</v>
      </c>
      <c r="EH323" s="5">
        <f t="shared" si="2448"/>
        <v>0</v>
      </c>
      <c r="EI323" s="5">
        <f t="shared" si="2449"/>
        <v>0</v>
      </c>
      <c r="EJ323" s="5">
        <f t="shared" si="2450"/>
        <v>0</v>
      </c>
      <c r="EK323" s="5">
        <f t="shared" si="2451"/>
        <v>0</v>
      </c>
      <c r="EL323" s="5">
        <f t="shared" si="2452"/>
        <v>0</v>
      </c>
      <c r="EM323" s="5">
        <f t="shared" si="2453"/>
        <v>0</v>
      </c>
      <c r="EN323" s="5">
        <f t="shared" si="2454"/>
        <v>0</v>
      </c>
      <c r="EO323" s="5">
        <f t="shared" si="2455"/>
        <v>0</v>
      </c>
      <c r="EP323" s="5">
        <f t="shared" si="2456"/>
        <v>0</v>
      </c>
      <c r="EQ323" s="5">
        <f t="shared" si="2457"/>
        <v>0</v>
      </c>
      <c r="ER323" s="5">
        <f t="shared" si="2458"/>
        <v>0</v>
      </c>
      <c r="ES323" s="5">
        <f t="shared" si="2459"/>
        <v>0</v>
      </c>
      <c r="ET323" s="5">
        <f t="shared" si="2460"/>
        <v>0</v>
      </c>
      <c r="EU323" s="5">
        <f t="shared" si="2461"/>
        <v>0</v>
      </c>
      <c r="EV323" s="5">
        <f t="shared" si="2462"/>
        <v>0</v>
      </c>
      <c r="EW323" s="5">
        <f t="shared" si="2463"/>
        <v>0</v>
      </c>
      <c r="EX323" s="5">
        <f t="shared" si="2464"/>
        <v>0</v>
      </c>
      <c r="EY323" s="5">
        <f t="shared" si="2465"/>
        <v>0</v>
      </c>
      <c r="EZ323" s="5">
        <f t="shared" si="2466"/>
        <v>0</v>
      </c>
      <c r="FA323" s="5">
        <f t="shared" si="2467"/>
        <v>0</v>
      </c>
      <c r="FB323" s="5">
        <f t="shared" si="2468"/>
        <v>0</v>
      </c>
      <c r="FC323" s="5">
        <f t="shared" si="2469"/>
        <v>0</v>
      </c>
      <c r="FD323" s="5">
        <f t="shared" si="2470"/>
        <v>0</v>
      </c>
      <c r="FE323" s="5">
        <f t="shared" si="2471"/>
        <v>0</v>
      </c>
      <c r="FF323" s="5">
        <f t="shared" si="2472"/>
        <v>0</v>
      </c>
      <c r="FG323" s="5">
        <f t="shared" si="2473"/>
        <v>0</v>
      </c>
      <c r="FH323" s="5">
        <f t="shared" si="2474"/>
        <v>0</v>
      </c>
      <c r="FI323" s="5">
        <f t="shared" si="2475"/>
        <v>0</v>
      </c>
      <c r="FJ323" s="5">
        <f t="shared" si="2476"/>
        <v>0</v>
      </c>
      <c r="FK323" s="5">
        <f t="shared" si="2477"/>
        <v>0</v>
      </c>
      <c r="FL323" s="5">
        <f t="shared" si="2478"/>
        <v>0</v>
      </c>
      <c r="FM323" s="5">
        <f t="shared" si="2479"/>
        <v>0</v>
      </c>
      <c r="FN323" s="5">
        <f t="shared" si="2480"/>
        <v>0</v>
      </c>
      <c r="FO323" s="5">
        <f t="shared" si="2481"/>
        <v>0</v>
      </c>
      <c r="FP323" s="5">
        <f t="shared" si="2482"/>
        <v>0</v>
      </c>
    </row>
    <row r="324" spans="1:172" ht="20.100000000000001" customHeight="1" x14ac:dyDescent="0.3">
      <c r="A324" s="8" t="str">
        <f>IF(Ciclo=4,"Surco 4",IF(Ciclo=5,"Surco 4","NA"))</f>
        <v>NA</v>
      </c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O324" s="58">
        <f>IF($A324="NA",0,IFERROR('6'!O$163/Ciclo,0))</f>
        <v>0</v>
      </c>
      <c r="P324" s="58">
        <f>IF($A324="NA",0,IFERROR('6'!P$163/Ciclo,0))</f>
        <v>0</v>
      </c>
      <c r="Q324" s="58">
        <f>IF($A324="NA",0,IFERROR('6'!Q$163/Ciclo,0))</f>
        <v>0</v>
      </c>
      <c r="R324" s="58">
        <f>IF($A324="NA",0,IFERROR('6'!R$163/Ciclo,0))</f>
        <v>0</v>
      </c>
      <c r="S324" s="58">
        <f>IF($A324="NA",0,IFERROR('6'!S$163/Ciclo,0))</f>
        <v>0</v>
      </c>
      <c r="T324" s="58">
        <f>IF($A324="NA",0,IFERROR('6'!T$163/Ciclo,0))</f>
        <v>0</v>
      </c>
      <c r="U324" s="58">
        <f>IF($A324="NA",0,IFERROR('6'!U$163/Ciclo,0))</f>
        <v>0</v>
      </c>
      <c r="V324" s="58">
        <f>IF($A324="NA",0,IFERROR('6'!V$163/Ciclo,0))</f>
        <v>0</v>
      </c>
      <c r="W324" s="5">
        <f>IF($A324="NA",0,IFERROR('6'!W$163/Ciclo,0))</f>
        <v>0</v>
      </c>
      <c r="X324" s="5">
        <f>IF($A324="NA",0,IFERROR('6'!X$163/Ciclo,0))</f>
        <v>0</v>
      </c>
      <c r="Y324" s="5">
        <f>IF($A324="NA",0,IFERROR('6'!Y$163/Ciclo,0))</f>
        <v>0</v>
      </c>
      <c r="Z324" s="5">
        <f>IF($A324="NA",0,IFERROR('6'!Z$163/Ciclo,0))</f>
        <v>0</v>
      </c>
      <c r="AB324" s="5">
        <f>IF($B$318="Producción",IF($B324&gt;=LI_A,$O324,0),0)</f>
        <v>0</v>
      </c>
      <c r="AC324" s="5">
        <f>IF($B$318="Producción",IF($B324&gt;=LI_B,IF($B324&lt;LS_B,$O324,0),0),0)</f>
        <v>0</v>
      </c>
      <c r="AD324" s="5">
        <f>IF($B$318="Producción",IF($B324&gt;=LI_C,IF($B324&lt;LS_C,$O324,0),0),0)</f>
        <v>0</v>
      </c>
      <c r="AE324" s="5">
        <f>IF($B$318="Producción",IF($B324&lt;LS_D,$O324,0),0)</f>
        <v>0</v>
      </c>
      <c r="AF324" s="5">
        <f t="shared" si="2483"/>
        <v>0</v>
      </c>
      <c r="AI324" s="5">
        <f>IF($C$318="Producción",IF($C324&gt;=LI_A,$P324,0),0)</f>
        <v>0</v>
      </c>
      <c r="AJ324" s="5">
        <f>IF($C$318="Producción",IF($C324&gt;=LI_B,IF($C324&lt;LS_B,$P324,0),0),0)</f>
        <v>0</v>
      </c>
      <c r="AK324" s="5">
        <f>IF($C$318="Producción",IF($C324&gt;=LI_C,IF($C324&lt;LS_C,$P324,0),0),0)</f>
        <v>0</v>
      </c>
      <c r="AL324" s="5">
        <f>IF($C$318="Producción",IF($C324&lt;LS_D,$P324,0),0)</f>
        <v>0</v>
      </c>
      <c r="AM324" s="5">
        <f>IF($C$318="Crecimiento",$P324,0)</f>
        <v>0</v>
      </c>
      <c r="AP324" s="5">
        <f>IF($D$318="Producción",IF($D324&gt;=LI_A,$Q324,0),0)</f>
        <v>0</v>
      </c>
      <c r="AQ324" s="5">
        <f>IF($D$318="Producción",IF($D324&gt;=LI_B,IF($D324&lt;LS_B,$Q324,0),0),0)</f>
        <v>0</v>
      </c>
      <c r="AR324" s="5">
        <f>IF($D$318="Producción",IF($D324&gt;=LI_C,IF($D324&lt;LS_C,$Q324,0),0),0)</f>
        <v>0</v>
      </c>
      <c r="AS324" s="5">
        <f>IF($D$318="Producción",IF($D324&lt;LS_D,$Q324,0),0)</f>
        <v>0</v>
      </c>
      <c r="AT324" s="5">
        <f>IF($D$318="Crecimiento",IF($D324&gt;0,$Q324,0),0)</f>
        <v>0</v>
      </c>
      <c r="AW324" s="5">
        <f>IF($E$318="Producción",IF($E324&gt;=LI_A,$R324,0),0)</f>
        <v>0</v>
      </c>
      <c r="AX324" s="5">
        <f>IF($E$318="Producción",IF($E324&gt;=LI_B,IF($E324&lt;LS_B,$R324,0),0),0)</f>
        <v>0</v>
      </c>
      <c r="AY324" s="5">
        <f>IF($E$318="Producción",IF($E324&gt;=LI_C,IF($E324&lt;LS_C,$R324,0),0),0)</f>
        <v>0</v>
      </c>
      <c r="AZ324" s="5">
        <f>IF($E$318="Producción",IF($E324&lt;LS_D,$R324,0),0)</f>
        <v>0</v>
      </c>
      <c r="BA324" s="5">
        <f>IF($E$318="Crecimiento",$R324,0)</f>
        <v>0</v>
      </c>
      <c r="BD324" s="5">
        <f>IF($F$318="Producción",IF($F324&gt;=LI_A,$S324,0),0)</f>
        <v>0</v>
      </c>
      <c r="BE324" s="5">
        <f>IF($F$318="Producción",IF($F324&gt;=LI_B,IF($F324&lt;LS_B,$S324,0),0),0)</f>
        <v>0</v>
      </c>
      <c r="BF324" s="5">
        <f>IF($F$318="Producción",IF($F324&gt;=LI_C,IF($F324&lt;LS_C,$S324,0),0),0)</f>
        <v>0</v>
      </c>
      <c r="BG324" s="5">
        <f>IF($F$318="Producción",IF($F324&lt;LS_D,$S324,0),0)</f>
        <v>0</v>
      </c>
      <c r="BH324" s="5">
        <f>IF($F$318="Crecimiento",$S324,0)</f>
        <v>0</v>
      </c>
      <c r="BK324" s="5">
        <f>IF($G$318="Producción",IF($G324&gt;=LI_A,$T324,0),0)</f>
        <v>0</v>
      </c>
      <c r="BL324" s="5">
        <f>IF($G$318="Producción",IF($G324&gt;=LI_B,IF($G324&lt;LS_B,$T324,0),0),0)</f>
        <v>0</v>
      </c>
      <c r="BM324" s="5">
        <f>IF($G$318="Producción",IF($G324&gt;=LI_C,IF($G324&lt;LS_C,$T324,0),0),0)</f>
        <v>0</v>
      </c>
      <c r="BN324" s="5">
        <f>IF($G$318="Producción",IF($G324&lt;LS_D,$T324,0),0)</f>
        <v>0</v>
      </c>
      <c r="BO324" s="5">
        <f>IF($G$318="Crecimiento",$T324,0)</f>
        <v>0</v>
      </c>
      <c r="BR324" s="5">
        <f>IF($H$318="Producción",IF($H324&gt;=LI_A,$U324,0),0)</f>
        <v>0</v>
      </c>
      <c r="BS324" s="5">
        <f>IF($H$318="Producción",IF($H324&gt;=LI_B,IF($H324&lt;LS_B,$U324,0),0),0)</f>
        <v>0</v>
      </c>
      <c r="BT324" s="5">
        <f>IF($H$318="Producción",IF($H324&gt;=LI_C,IF($H324&lt;LS_C,$U324,0),0),0)</f>
        <v>0</v>
      </c>
      <c r="BU324" s="5">
        <f>IF($H$318="Producción",IF($H324&lt;LS_D,$U324,0),0)</f>
        <v>0</v>
      </c>
      <c r="BV324" s="5">
        <f>IF($H$318="Crecimiento",$T324,0)</f>
        <v>0</v>
      </c>
      <c r="BY324" s="5">
        <f>IF($I$318="Producción",IF($I324&gt;=LI_A,$V324,0),0)</f>
        <v>0</v>
      </c>
      <c r="BZ324" s="5">
        <f>IF($I$318="Producción",IF($I324&gt;=LI_B,IF($I324&lt;LS_B,$V324,0),0),0)</f>
        <v>0</v>
      </c>
      <c r="CA324" s="5">
        <f>IF($I$318="Producción",IF($I324&gt;=LI_C,IF($I324&lt;LS_C,$V324,0),0),0)</f>
        <v>0</v>
      </c>
      <c r="CB324" s="5">
        <f>IF($I$318="Producción",IF($I324&lt;LS_D,$V324,0),0)</f>
        <v>0</v>
      </c>
      <c r="CC324" s="5">
        <f>IF($I$318="Crecimiento",$V324,0)</f>
        <v>0</v>
      </c>
      <c r="CF324" s="5">
        <f>IF($J$318="Producción",IF($J324&gt;=LI_A,$W324,0),0)</f>
        <v>0</v>
      </c>
      <c r="CG324" s="5">
        <f>IF($J$318="Producción",IF($J324&gt;=LI_B,IF($J324&lt;LS_B,$W324,0),0),0)</f>
        <v>0</v>
      </c>
      <c r="CH324" s="5">
        <f>IF($J$318="Producción",IF($J324&gt;=LI_C,IF($J324&lt;LS_C,$W324,0),0),0)</f>
        <v>0</v>
      </c>
      <c r="CI324" s="5">
        <f>IF($J$318="Producción",IF($J324&lt;LS_D,$W324,0),0)</f>
        <v>0</v>
      </c>
      <c r="CJ324" s="5">
        <f>IF($J$318="Crecimiento",$W324,0)</f>
        <v>0</v>
      </c>
      <c r="CM324" s="5">
        <f>IF($K$318="Producción",IF($K324&gt;=LI_A,$X324,0),0)</f>
        <v>0</v>
      </c>
      <c r="CN324" s="5">
        <f>IF($K$318="Producción",IF($K324&gt;=LI_B,IF($K324&lt;LS_B,$X324,0),0),0)</f>
        <v>0</v>
      </c>
      <c r="CO324" s="5">
        <f>IF($K$318="Producción",IF($K324&gt;=LI_C,IF($K324&lt;LS_C,$X324,0),0),0)</f>
        <v>0</v>
      </c>
      <c r="CP324" s="5">
        <f>IF($K$318="Producción",IF($K324&lt;LS_D,$X324,0),0)</f>
        <v>0</v>
      </c>
      <c r="CQ324" s="5">
        <f>IF($K$318="Crecimiento",$X324,0)</f>
        <v>0</v>
      </c>
      <c r="CT324" s="5">
        <f>IF($L$318="Producción",IF($L324&gt;=LI_A,$Y324,0),0)</f>
        <v>0</v>
      </c>
      <c r="CU324" s="5">
        <f>IF($L$318="Producción",IF($L324&gt;=LI_B,IF($L324&lt;LS_B,$Y324,0),0),0)</f>
        <v>0</v>
      </c>
      <c r="CV324" s="5">
        <f>IF($L$318="Producción",IF($L324&gt;=LI_C,IF($L324&lt;LS_C,$Y324,0),0),0)</f>
        <v>0</v>
      </c>
      <c r="CW324" s="5">
        <f>IF($L$318="Producción",IF($L324&lt;LS_D,$Y324,0),0)</f>
        <v>0</v>
      </c>
      <c r="CX324" s="5">
        <f>IF($L$318="Crecimiento",$Y324,0)</f>
        <v>0</v>
      </c>
      <c r="DA324" s="5">
        <f>IF($M$318="Producción",IF($M324&gt;=LI_A,$Z324,0),0)</f>
        <v>0</v>
      </c>
      <c r="DB324" s="5">
        <f>IF($M$318="Producción",IF($M324&gt;=LI_B,IF($M324&lt;LS_B,$Z324,0),0),0)</f>
        <v>0</v>
      </c>
      <c r="DC324" s="5">
        <f>IF($M$318="Producción",IF($M324&gt;=LI_C,IF($M324&lt;LS_C,$Z324,0),0),0)</f>
        <v>0</v>
      </c>
      <c r="DD324" s="5">
        <f>IF($M$318="Producción",IF($M324&lt;LS_D,$Z324,0),0)</f>
        <v>0</v>
      </c>
      <c r="DE324" s="5">
        <f>IF($M$318="Crecimiento",$Z324,0)</f>
        <v>0</v>
      </c>
      <c r="DI324" s="5">
        <f t="shared" si="2423"/>
        <v>0</v>
      </c>
      <c r="DJ324" s="5">
        <f t="shared" si="2424"/>
        <v>0</v>
      </c>
      <c r="DK324" s="5">
        <f t="shared" si="2425"/>
        <v>0</v>
      </c>
      <c r="DL324" s="5">
        <f t="shared" si="2426"/>
        <v>0</v>
      </c>
      <c r="DM324" s="5">
        <f t="shared" si="2427"/>
        <v>0</v>
      </c>
      <c r="DN324" s="5">
        <f t="shared" si="2428"/>
        <v>0</v>
      </c>
      <c r="DO324" s="5">
        <f t="shared" si="2429"/>
        <v>0</v>
      </c>
      <c r="DP324" s="5">
        <f t="shared" si="2430"/>
        <v>0</v>
      </c>
      <c r="DQ324" s="5">
        <f t="shared" si="2431"/>
        <v>0</v>
      </c>
      <c r="DR324" s="5">
        <f t="shared" si="2432"/>
        <v>0</v>
      </c>
      <c r="DS324" s="5">
        <f t="shared" si="2433"/>
        <v>0</v>
      </c>
      <c r="DT324" s="5">
        <f t="shared" si="2434"/>
        <v>0</v>
      </c>
      <c r="DU324" s="5">
        <f t="shared" si="2435"/>
        <v>0</v>
      </c>
      <c r="DV324" s="5">
        <f t="shared" si="2436"/>
        <v>0</v>
      </c>
      <c r="DW324" s="5">
        <f t="shared" si="2437"/>
        <v>0</v>
      </c>
      <c r="DX324" s="5">
        <f t="shared" si="2438"/>
        <v>0</v>
      </c>
      <c r="DY324" s="5">
        <f t="shared" si="2439"/>
        <v>0</v>
      </c>
      <c r="DZ324" s="5">
        <f t="shared" si="2440"/>
        <v>0</v>
      </c>
      <c r="EA324" s="5">
        <f t="shared" si="2441"/>
        <v>0</v>
      </c>
      <c r="EB324" s="5">
        <f t="shared" si="2442"/>
        <v>0</v>
      </c>
      <c r="EC324" s="5">
        <f t="shared" si="2443"/>
        <v>0</v>
      </c>
      <c r="ED324" s="5">
        <f t="shared" si="2444"/>
        <v>0</v>
      </c>
      <c r="EE324" s="5">
        <f t="shared" si="2445"/>
        <v>0</v>
      </c>
      <c r="EF324" s="5">
        <f t="shared" si="2446"/>
        <v>0</v>
      </c>
      <c r="EG324" s="5">
        <f t="shared" si="2447"/>
        <v>0</v>
      </c>
      <c r="EH324" s="5">
        <f t="shared" si="2448"/>
        <v>0</v>
      </c>
      <c r="EI324" s="5">
        <f t="shared" si="2449"/>
        <v>0</v>
      </c>
      <c r="EJ324" s="5">
        <f t="shared" si="2450"/>
        <v>0</v>
      </c>
      <c r="EK324" s="5">
        <f t="shared" si="2451"/>
        <v>0</v>
      </c>
      <c r="EL324" s="5">
        <f t="shared" si="2452"/>
        <v>0</v>
      </c>
      <c r="EM324" s="5">
        <f t="shared" si="2453"/>
        <v>0</v>
      </c>
      <c r="EN324" s="5">
        <f t="shared" si="2454"/>
        <v>0</v>
      </c>
      <c r="EO324" s="5">
        <f t="shared" si="2455"/>
        <v>0</v>
      </c>
      <c r="EP324" s="5">
        <f t="shared" si="2456"/>
        <v>0</v>
      </c>
      <c r="EQ324" s="5">
        <f t="shared" si="2457"/>
        <v>0</v>
      </c>
      <c r="ER324" s="5">
        <f t="shared" si="2458"/>
        <v>0</v>
      </c>
      <c r="ES324" s="5">
        <f t="shared" si="2459"/>
        <v>0</v>
      </c>
      <c r="ET324" s="5">
        <f t="shared" si="2460"/>
        <v>0</v>
      </c>
      <c r="EU324" s="5">
        <f t="shared" si="2461"/>
        <v>0</v>
      </c>
      <c r="EV324" s="5">
        <f t="shared" si="2462"/>
        <v>0</v>
      </c>
      <c r="EW324" s="5">
        <f t="shared" si="2463"/>
        <v>0</v>
      </c>
      <c r="EX324" s="5">
        <f t="shared" si="2464"/>
        <v>0</v>
      </c>
      <c r="EY324" s="5">
        <f t="shared" si="2465"/>
        <v>0</v>
      </c>
      <c r="EZ324" s="5">
        <f t="shared" si="2466"/>
        <v>0</v>
      </c>
      <c r="FA324" s="5">
        <f t="shared" si="2467"/>
        <v>0</v>
      </c>
      <c r="FB324" s="5">
        <f t="shared" si="2468"/>
        <v>0</v>
      </c>
      <c r="FC324" s="5">
        <f t="shared" si="2469"/>
        <v>0</v>
      </c>
      <c r="FD324" s="5">
        <f t="shared" si="2470"/>
        <v>0</v>
      </c>
      <c r="FE324" s="5">
        <f t="shared" si="2471"/>
        <v>0</v>
      </c>
      <c r="FF324" s="5">
        <f t="shared" si="2472"/>
        <v>0</v>
      </c>
      <c r="FG324" s="5">
        <f t="shared" si="2473"/>
        <v>0</v>
      </c>
      <c r="FH324" s="5">
        <f t="shared" si="2474"/>
        <v>0</v>
      </c>
      <c r="FI324" s="5">
        <f t="shared" si="2475"/>
        <v>0</v>
      </c>
      <c r="FJ324" s="5">
        <f t="shared" si="2476"/>
        <v>0</v>
      </c>
      <c r="FK324" s="5">
        <f t="shared" si="2477"/>
        <v>0</v>
      </c>
      <c r="FL324" s="5">
        <f t="shared" si="2478"/>
        <v>0</v>
      </c>
      <c r="FM324" s="5">
        <f t="shared" si="2479"/>
        <v>0</v>
      </c>
      <c r="FN324" s="5">
        <f t="shared" si="2480"/>
        <v>0</v>
      </c>
      <c r="FO324" s="5">
        <f t="shared" si="2481"/>
        <v>0</v>
      </c>
      <c r="FP324" s="5">
        <f t="shared" si="2482"/>
        <v>0</v>
      </c>
    </row>
    <row r="325" spans="1:172" ht="20.100000000000001" customHeight="1" x14ac:dyDescent="0.3">
      <c r="A325" s="9" t="str">
        <f>IF(Ciclo=5,"Surco 5","NA")</f>
        <v>NA</v>
      </c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O325" s="58">
        <f>IF($A325="NA",0,IFERROR('6'!O$163/Ciclo,0))</f>
        <v>0</v>
      </c>
      <c r="P325" s="58">
        <f>IF($A325="NA",0,IFERROR('6'!P$163/Ciclo,0))</f>
        <v>0</v>
      </c>
      <c r="Q325" s="58">
        <f>IF($A325="NA",0,IFERROR('6'!Q$163/Ciclo,0))</f>
        <v>0</v>
      </c>
      <c r="R325" s="58">
        <f>IF($A325="NA",0,IFERROR('6'!R$163/Ciclo,0))</f>
        <v>0</v>
      </c>
      <c r="S325" s="58">
        <f>IF($A325="NA",0,IFERROR('6'!S$163/Ciclo,0))</f>
        <v>0</v>
      </c>
      <c r="T325" s="58">
        <f>IF($A325="NA",0,IFERROR('6'!T$163/Ciclo,0))</f>
        <v>0</v>
      </c>
      <c r="U325" s="58">
        <f>IF($A325="NA",0,IFERROR('6'!U$163/Ciclo,0))</f>
        <v>0</v>
      </c>
      <c r="V325" s="58">
        <f>IF($A325="NA",0,IFERROR('6'!V$163/Ciclo,0))</f>
        <v>0</v>
      </c>
      <c r="W325" s="5">
        <f>IF($A325="NA",0,IFERROR('6'!W$163/Ciclo,0))</f>
        <v>0</v>
      </c>
      <c r="X325" s="5">
        <f>IF($A325="NA",0,IFERROR('6'!X$163/Ciclo,0))</f>
        <v>0</v>
      </c>
      <c r="Y325" s="5">
        <f>IF($A325="NA",0,IFERROR('6'!Y$163/Ciclo,0))</f>
        <v>0</v>
      </c>
      <c r="Z325" s="5">
        <f>IF($A325="NA",0,IFERROR('6'!Z$163/Ciclo,0))</f>
        <v>0</v>
      </c>
      <c r="AB325" s="5">
        <f>IF($B$318="Producción",IF($B325&gt;=LI_A,$O325,0),0)</f>
        <v>0</v>
      </c>
      <c r="AC325" s="5">
        <f>IF($B$318="Producción",IF($B325&gt;=LI_B,IF($B325&lt;LS_B,$O325,0),0),0)</f>
        <v>0</v>
      </c>
      <c r="AD325" s="5">
        <f>IF($B$318="Producción",IF($B325&gt;=LI_C,IF($B325&lt;LS_C,$O325,0),0),0)</f>
        <v>0</v>
      </c>
      <c r="AE325" s="5">
        <f>IF($B$318="Producción",IF($B325&lt;LS_D,$O325,0),0)</f>
        <v>0</v>
      </c>
      <c r="AF325" s="5">
        <f t="shared" si="2483"/>
        <v>0</v>
      </c>
      <c r="AI325" s="5">
        <f>IF($C$318="Producción",IF($C325&gt;=LI_A,$P325,0),0)</f>
        <v>0</v>
      </c>
      <c r="AJ325" s="5">
        <f>IF($C$318="Producción",IF($C325&gt;=LI_B,IF($C325&lt;LS_B,$P325,0),0),0)</f>
        <v>0</v>
      </c>
      <c r="AK325" s="5">
        <f>IF($C$318="Producción",IF($C325&gt;=LI_C,IF($C325&lt;LS_C,$P325,0),0),0)</f>
        <v>0</v>
      </c>
      <c r="AL325" s="5">
        <f>IF($C$318="Producción",IF($C325&lt;LS_D,$P325,0),0)</f>
        <v>0</v>
      </c>
      <c r="AM325" s="5">
        <f>IF($C$318="Crecimiento",$P325,0)</f>
        <v>0</v>
      </c>
      <c r="AP325" s="5">
        <f>IF($D$318="Producción",IF($D325&gt;=LI_A,$Q325,0),0)</f>
        <v>0</v>
      </c>
      <c r="AQ325" s="5">
        <f>IF($D$318="Producción",IF($D325&gt;=LI_B,IF($D325&lt;LS_B,$Q325,0),0),0)</f>
        <v>0</v>
      </c>
      <c r="AR325" s="5">
        <f>IF($D$318="Producción",IF($D325&gt;=LI_C,IF($D325&lt;LS_C,$Q325,0),0),0)</f>
        <v>0</v>
      </c>
      <c r="AS325" s="5">
        <f>IF($D$318="Producción",IF($D325&lt;LS_D,$Q325,0),0)</f>
        <v>0</v>
      </c>
      <c r="AT325" s="5">
        <f>IF($D$318="Crecimiento",IF($D325&gt;0,$Q325,0),0)</f>
        <v>0</v>
      </c>
      <c r="AW325" s="5">
        <f>IF($E$318="Producción",IF($E325&gt;=LI_A,$R325,0),0)</f>
        <v>0</v>
      </c>
      <c r="AX325" s="5">
        <f>IF($E$318="Producción",IF($E325&gt;=LI_B,IF($E325&lt;LS_B,$R325,0),0),0)</f>
        <v>0</v>
      </c>
      <c r="AY325" s="5">
        <f>IF($E$318="Producción",IF($E325&gt;=LI_C,IF($E325&lt;LS_C,$R325,0),0),0)</f>
        <v>0</v>
      </c>
      <c r="AZ325" s="5">
        <f>IF($E$318="Producción",IF($E325&lt;LS_D,$R325,0),0)</f>
        <v>0</v>
      </c>
      <c r="BA325" s="5">
        <f>IF($E$318="Crecimiento",$R325,0)</f>
        <v>0</v>
      </c>
      <c r="BD325" s="5">
        <f>IF($F$318="Producción",IF($F325&gt;=LI_A,$S325,0),0)</f>
        <v>0</v>
      </c>
      <c r="BE325" s="5">
        <f>IF($F$318="Producción",IF($F325&gt;=LI_B,IF($F325&lt;LS_B,$S325,0),0),0)</f>
        <v>0</v>
      </c>
      <c r="BF325" s="5">
        <f>IF($F$318="Producción",IF($F325&gt;=LI_C,IF($F325&lt;LS_C,$S325,0),0),0)</f>
        <v>0</v>
      </c>
      <c r="BG325" s="5">
        <f>IF($F$318="Producción",IF($F325&lt;LS_D,$S325,0),0)</f>
        <v>0</v>
      </c>
      <c r="BH325" s="5">
        <f>IF($F$318="Crecimiento",$S325,0)</f>
        <v>0</v>
      </c>
      <c r="BK325" s="5">
        <f>IF($G$318="Producción",IF($G325&gt;=LI_A,$T325,0),0)</f>
        <v>0</v>
      </c>
      <c r="BL325" s="5">
        <f>IF($G$318="Producción",IF($G325&gt;=LI_B,IF($G325&lt;LS_B,$T325,0),0),0)</f>
        <v>0</v>
      </c>
      <c r="BM325" s="5">
        <f>IF($G$318="Producción",IF($G325&gt;=LI_C,IF($G325&lt;LS_C,$T325,0),0),0)</f>
        <v>0</v>
      </c>
      <c r="BN325" s="5">
        <f>IF($G$318="Producción",IF($G325&lt;LS_D,$T325,0),0)</f>
        <v>0</v>
      </c>
      <c r="BO325" s="5">
        <f>IF($G$318="Crecimiento",$T325,0)</f>
        <v>0</v>
      </c>
      <c r="BR325" s="5">
        <f>IF($H$318="Producción",IF($H325&gt;=LI_A,$U325,0),0)</f>
        <v>0</v>
      </c>
      <c r="BS325" s="5">
        <f>IF($H$318="Producción",IF($H325&gt;=LI_B,IF($H325&lt;LS_B,$U325,0),0),0)</f>
        <v>0</v>
      </c>
      <c r="BT325" s="5">
        <f>IF($H$318="Producción",IF($H325&gt;=LI_C,IF($H325&lt;LS_C,$U325,0),0),0)</f>
        <v>0</v>
      </c>
      <c r="BU325" s="5">
        <f>IF($H$318="Producción",IF($H325&lt;LS_D,$U325,0),0)</f>
        <v>0</v>
      </c>
      <c r="BV325" s="5">
        <f>IF($H$318="Crecimiento",$T325,0)</f>
        <v>0</v>
      </c>
      <c r="BY325" s="5">
        <f>IF($I$318="Producción",IF($I325&gt;=LI_A,$V325,0),0)</f>
        <v>0</v>
      </c>
      <c r="BZ325" s="5">
        <f>IF($I$318="Producción",IF($I325&gt;=LI_B,IF($I325&lt;LS_B,$V325,0),0),0)</f>
        <v>0</v>
      </c>
      <c r="CA325" s="5">
        <f>IF($I$318="Producción",IF($I325&gt;=LI_C,IF($I325&lt;LS_C,$V325,0),0),0)</f>
        <v>0</v>
      </c>
      <c r="CB325" s="5">
        <f>IF($I$318="Producción",IF($I325&lt;LS_D,$V325,0),0)</f>
        <v>0</v>
      </c>
      <c r="CC325" s="5">
        <f>IF($I$318="Crecimiento",$V325,0)</f>
        <v>0</v>
      </c>
      <c r="CF325" s="5">
        <f>IF($J$318="Producción",IF($J325&gt;=LI_A,$W325,0),0)</f>
        <v>0</v>
      </c>
      <c r="CG325" s="5">
        <f>IF($J$318="Producción",IF($J325&gt;=LI_B,IF($J325&lt;LS_B,$W325,0),0),0)</f>
        <v>0</v>
      </c>
      <c r="CH325" s="5">
        <f>IF($J$318="Producción",IF($J325&gt;=LI_C,IF($J325&lt;LS_C,$W325,0),0),0)</f>
        <v>0</v>
      </c>
      <c r="CI325" s="5">
        <f>IF($J$318="Producción",IF($J325&lt;LS_D,$W325,0),0)</f>
        <v>0</v>
      </c>
      <c r="CJ325" s="5">
        <f>IF($J$318="Crecimiento",$W325,0)</f>
        <v>0</v>
      </c>
      <c r="CM325" s="5">
        <f>IF($K$318="Producción",IF($K325&gt;=LI_A,$X325,0),0)</f>
        <v>0</v>
      </c>
      <c r="CN325" s="5">
        <f>IF($K$318="Producción",IF($K325&gt;=LI_B,IF($K325&lt;LS_B,$X325,0),0),0)</f>
        <v>0</v>
      </c>
      <c r="CO325" s="5">
        <f>IF($K$318="Producción",IF($K325&gt;=LI_C,IF($K325&lt;LS_C,$X325,0),0),0)</f>
        <v>0</v>
      </c>
      <c r="CP325" s="5">
        <f>IF($K$318="Producción",IF($K325&lt;LS_D,$X325,0),0)</f>
        <v>0</v>
      </c>
      <c r="CQ325" s="5">
        <f>IF($K$318="Crecimiento",$X325,0)</f>
        <v>0</v>
      </c>
      <c r="CT325" s="5">
        <f>IF($L$318="Producción",IF($L325&gt;=LI_A,$Y325,0),0)</f>
        <v>0</v>
      </c>
      <c r="CU325" s="5">
        <f>IF($L$318="Producción",IF($L325&gt;=LI_B,IF($L325&lt;LS_B,$Y325,0),0),0)</f>
        <v>0</v>
      </c>
      <c r="CV325" s="5">
        <f>IF($L$318="Producción",IF($L325&gt;=LI_C,IF($L325&lt;LS_C,$Y325,0),0),0)</f>
        <v>0</v>
      </c>
      <c r="CW325" s="5">
        <f>IF($L$318="Producción",IF($L325&lt;LS_D,$Y325,0),0)</f>
        <v>0</v>
      </c>
      <c r="CX325" s="5">
        <f>IF($L$318="Crecimiento",$Y325,0)</f>
        <v>0</v>
      </c>
      <c r="DA325" s="5">
        <f>IF($M$318="Producción",IF($M325&gt;=LI_A,$Z325,0),0)</f>
        <v>0</v>
      </c>
      <c r="DB325" s="5">
        <f>IF($M$318="Producción",IF($M325&gt;=LI_B,IF($M325&lt;LS_B,$Z325,0),0),0)</f>
        <v>0</v>
      </c>
      <c r="DC325" s="5">
        <f>IF($M$318="Producción",IF($M325&gt;=LI_C,IF($M325&lt;LS_C,$Z325,0),0),0)</f>
        <v>0</v>
      </c>
      <c r="DD325" s="5">
        <f>IF($M$318="Producción",IF($M325&lt;LS_D,$Z325,0),0)</f>
        <v>0</v>
      </c>
      <c r="DE325" s="5">
        <f>IF($M$318="Crecimiento",$Z325,0)</f>
        <v>0</v>
      </c>
      <c r="DI325" s="5">
        <f t="shared" si="2423"/>
        <v>0</v>
      </c>
      <c r="DJ325" s="5">
        <f t="shared" si="2424"/>
        <v>0</v>
      </c>
      <c r="DK325" s="5">
        <f t="shared" si="2425"/>
        <v>0</v>
      </c>
      <c r="DL325" s="5">
        <f t="shared" si="2426"/>
        <v>0</v>
      </c>
      <c r="DM325" s="5">
        <f t="shared" si="2427"/>
        <v>0</v>
      </c>
      <c r="DN325" s="5">
        <f t="shared" si="2428"/>
        <v>0</v>
      </c>
      <c r="DO325" s="5">
        <f t="shared" si="2429"/>
        <v>0</v>
      </c>
      <c r="DP325" s="5">
        <f t="shared" si="2430"/>
        <v>0</v>
      </c>
      <c r="DQ325" s="5">
        <f t="shared" si="2431"/>
        <v>0</v>
      </c>
      <c r="DR325" s="5">
        <f t="shared" si="2432"/>
        <v>0</v>
      </c>
      <c r="DS325" s="5">
        <f t="shared" si="2433"/>
        <v>0</v>
      </c>
      <c r="DT325" s="5">
        <f t="shared" si="2434"/>
        <v>0</v>
      </c>
      <c r="DU325" s="5">
        <f t="shared" si="2435"/>
        <v>0</v>
      </c>
      <c r="DV325" s="5">
        <f t="shared" si="2436"/>
        <v>0</v>
      </c>
      <c r="DW325" s="5">
        <f t="shared" si="2437"/>
        <v>0</v>
      </c>
      <c r="DX325" s="5">
        <f t="shared" si="2438"/>
        <v>0</v>
      </c>
      <c r="DY325" s="5">
        <f t="shared" si="2439"/>
        <v>0</v>
      </c>
      <c r="DZ325" s="5">
        <f t="shared" si="2440"/>
        <v>0</v>
      </c>
      <c r="EA325" s="5">
        <f t="shared" si="2441"/>
        <v>0</v>
      </c>
      <c r="EB325" s="5">
        <f t="shared" si="2442"/>
        <v>0</v>
      </c>
      <c r="EC325" s="5">
        <f t="shared" si="2443"/>
        <v>0</v>
      </c>
      <c r="ED325" s="5">
        <f t="shared" si="2444"/>
        <v>0</v>
      </c>
      <c r="EE325" s="5">
        <f t="shared" si="2445"/>
        <v>0</v>
      </c>
      <c r="EF325" s="5">
        <f t="shared" si="2446"/>
        <v>0</v>
      </c>
      <c r="EG325" s="5">
        <f t="shared" si="2447"/>
        <v>0</v>
      </c>
      <c r="EH325" s="5">
        <f t="shared" si="2448"/>
        <v>0</v>
      </c>
      <c r="EI325" s="5">
        <f t="shared" si="2449"/>
        <v>0</v>
      </c>
      <c r="EJ325" s="5">
        <f t="shared" si="2450"/>
        <v>0</v>
      </c>
      <c r="EK325" s="5">
        <f t="shared" si="2451"/>
        <v>0</v>
      </c>
      <c r="EL325" s="5">
        <f t="shared" si="2452"/>
        <v>0</v>
      </c>
      <c r="EM325" s="5">
        <f t="shared" si="2453"/>
        <v>0</v>
      </c>
      <c r="EN325" s="5">
        <f t="shared" si="2454"/>
        <v>0</v>
      </c>
      <c r="EO325" s="5">
        <f t="shared" si="2455"/>
        <v>0</v>
      </c>
      <c r="EP325" s="5">
        <f t="shared" si="2456"/>
        <v>0</v>
      </c>
      <c r="EQ325" s="5">
        <f t="shared" si="2457"/>
        <v>0</v>
      </c>
      <c r="ER325" s="5">
        <f t="shared" si="2458"/>
        <v>0</v>
      </c>
      <c r="ES325" s="5">
        <f t="shared" si="2459"/>
        <v>0</v>
      </c>
      <c r="ET325" s="5">
        <f t="shared" si="2460"/>
        <v>0</v>
      </c>
      <c r="EU325" s="5">
        <f t="shared" si="2461"/>
        <v>0</v>
      </c>
      <c r="EV325" s="5">
        <f t="shared" si="2462"/>
        <v>0</v>
      </c>
      <c r="EW325" s="5">
        <f t="shared" si="2463"/>
        <v>0</v>
      </c>
      <c r="EX325" s="5">
        <f t="shared" si="2464"/>
        <v>0</v>
      </c>
      <c r="EY325" s="5">
        <f t="shared" si="2465"/>
        <v>0</v>
      </c>
      <c r="EZ325" s="5">
        <f t="shared" si="2466"/>
        <v>0</v>
      </c>
      <c r="FA325" s="5">
        <f t="shared" si="2467"/>
        <v>0</v>
      </c>
      <c r="FB325" s="5">
        <f t="shared" si="2468"/>
        <v>0</v>
      </c>
      <c r="FC325" s="5">
        <f t="shared" si="2469"/>
        <v>0</v>
      </c>
      <c r="FD325" s="5">
        <f t="shared" si="2470"/>
        <v>0</v>
      </c>
      <c r="FE325" s="5">
        <f t="shared" si="2471"/>
        <v>0</v>
      </c>
      <c r="FF325" s="5">
        <f t="shared" si="2472"/>
        <v>0</v>
      </c>
      <c r="FG325" s="5">
        <f t="shared" si="2473"/>
        <v>0</v>
      </c>
      <c r="FH325" s="5">
        <f t="shared" si="2474"/>
        <v>0</v>
      </c>
      <c r="FI325" s="5">
        <f t="shared" si="2475"/>
        <v>0</v>
      </c>
      <c r="FJ325" s="5">
        <f t="shared" si="2476"/>
        <v>0</v>
      </c>
      <c r="FK325" s="5">
        <f t="shared" si="2477"/>
        <v>0</v>
      </c>
      <c r="FL325" s="5">
        <f t="shared" si="2478"/>
        <v>0</v>
      </c>
      <c r="FM325" s="5">
        <f t="shared" si="2479"/>
        <v>0</v>
      </c>
      <c r="FN325" s="5">
        <f t="shared" si="2480"/>
        <v>0</v>
      </c>
      <c r="FO325" s="5">
        <f t="shared" si="2481"/>
        <v>0</v>
      </c>
      <c r="FP325" s="5">
        <f t="shared" si="2482"/>
        <v>0</v>
      </c>
    </row>
    <row r="326" spans="1:172" ht="17.25" customHeight="1" x14ac:dyDescent="0.3">
      <c r="A326" s="457" t="s">
        <v>85</v>
      </c>
      <c r="B326" s="457"/>
      <c r="C326" s="457"/>
      <c r="D326" s="457"/>
      <c r="E326" s="457"/>
      <c r="F326" s="457"/>
    </row>
  </sheetData>
  <sheetProtection algorithmName="SHA-512" hashValue="HzAmnf7kX2Y946IK6pi2cKL4Tc2K/++v1tT1cuy/UBjygQ0RY3VTilaj19yCNvrFYbBP1X2J6xzqvkXXGa7+Uw==" saltValue="qO2ithdFGcqmFRg8fjtyEw==" spinCount="100000" sheet="1" autoFilter="0"/>
  <autoFilter ref="A4:M326" xr:uid="{979B654B-5640-471C-84D4-1C0968B90EDC}"/>
  <mergeCells count="3">
    <mergeCell ref="A2:M2"/>
    <mergeCell ref="O4:Z4"/>
    <mergeCell ref="A326:F326"/>
  </mergeCells>
  <phoneticPr fontId="4" type="noConversion"/>
  <hyperlinks>
    <hyperlink ref="A1:M1" location="Inicio!A11" display="Regresar" xr:uid="{2F47BB1C-C1A4-4097-BDD4-AD29A558FEDA}"/>
  </hyperlinks>
  <pageMargins left="0.7" right="0.7" top="0.75" bottom="0.75" header="0.3" footer="0.3"/>
  <pageSetup scale="1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56" id="{4C4FFFF2-8790-4764-9ACC-BD5B3DFAFB20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B11:M11</xm:sqref>
        </x14:conditionalFormatting>
        <x14:conditionalFormatting xmlns:xm="http://schemas.microsoft.com/office/excel/2006/main">
          <x14:cfRule type="expression" priority="357" id="{298282FE-3AC0-4683-8E77-6099A294087F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B12:M12</xm:sqref>
        </x14:conditionalFormatting>
        <x14:conditionalFormatting xmlns:xm="http://schemas.microsoft.com/office/excel/2006/main">
          <x14:cfRule type="expression" priority="355" id="{41EAA288-751A-499C-8955-C5F5D33A725B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B13:M13</xm:sqref>
        </x14:conditionalFormatting>
        <x14:conditionalFormatting xmlns:xm="http://schemas.microsoft.com/office/excel/2006/main">
          <x14:cfRule type="expression" priority="113" id="{87D024FF-AD87-47CB-967E-69F15D3DF2D6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B19:M19</xm:sqref>
        </x14:conditionalFormatting>
        <x14:conditionalFormatting xmlns:xm="http://schemas.microsoft.com/office/excel/2006/main">
          <x14:cfRule type="expression" priority="114" id="{84DACDFD-1155-4C2B-AF78-19B3934A1929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B20:M20</xm:sqref>
        </x14:conditionalFormatting>
        <x14:conditionalFormatting xmlns:xm="http://schemas.microsoft.com/office/excel/2006/main">
          <x14:cfRule type="expression" priority="112" id="{B51DA85E-C4BF-4D44-829E-A923D0B117DB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B21:M21</xm:sqref>
        </x14:conditionalFormatting>
        <x14:conditionalFormatting xmlns:xm="http://schemas.microsoft.com/office/excel/2006/main">
          <x14:cfRule type="expression" priority="110" id="{93A1CD58-E1D4-4EF8-8A0D-9EC192169796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B27:M27</xm:sqref>
        </x14:conditionalFormatting>
        <x14:conditionalFormatting xmlns:xm="http://schemas.microsoft.com/office/excel/2006/main">
          <x14:cfRule type="expression" priority="111" id="{58167A23-EB6D-41F2-88F1-E15224E70AC1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B28:M28</xm:sqref>
        </x14:conditionalFormatting>
        <x14:conditionalFormatting xmlns:xm="http://schemas.microsoft.com/office/excel/2006/main">
          <x14:cfRule type="expression" priority="109" id="{00B6AA68-C2A0-436D-AEAB-62098645EEB4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B29:M29</xm:sqref>
        </x14:conditionalFormatting>
        <x14:conditionalFormatting xmlns:xm="http://schemas.microsoft.com/office/excel/2006/main">
          <x14:cfRule type="expression" priority="107" id="{E0FF9DCA-31E2-4A26-8BCA-3789995549F3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B35:M35</xm:sqref>
        </x14:conditionalFormatting>
        <x14:conditionalFormatting xmlns:xm="http://schemas.microsoft.com/office/excel/2006/main">
          <x14:cfRule type="expression" priority="108" id="{C5F96F8E-1985-4F21-A81F-E27CE8719E3B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B36:M36</xm:sqref>
        </x14:conditionalFormatting>
        <x14:conditionalFormatting xmlns:xm="http://schemas.microsoft.com/office/excel/2006/main">
          <x14:cfRule type="expression" priority="106" id="{42FC923E-BCAB-47BD-848B-A333B0A40929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B37:M37</xm:sqref>
        </x14:conditionalFormatting>
        <x14:conditionalFormatting xmlns:xm="http://schemas.microsoft.com/office/excel/2006/main">
          <x14:cfRule type="expression" priority="104" id="{A0EED63C-A3C2-4DE4-9778-C727CD7A882D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B43:M43</xm:sqref>
        </x14:conditionalFormatting>
        <x14:conditionalFormatting xmlns:xm="http://schemas.microsoft.com/office/excel/2006/main">
          <x14:cfRule type="expression" priority="105" id="{A4252293-EF57-453D-87D3-6AC2B68404E9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B44:M44</xm:sqref>
        </x14:conditionalFormatting>
        <x14:conditionalFormatting xmlns:xm="http://schemas.microsoft.com/office/excel/2006/main">
          <x14:cfRule type="expression" priority="103" id="{CEFCD5F0-3188-479C-9238-C073DF9F2D36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B45:M45</xm:sqref>
        </x14:conditionalFormatting>
        <x14:conditionalFormatting xmlns:xm="http://schemas.microsoft.com/office/excel/2006/main">
          <x14:cfRule type="expression" priority="101" id="{C24C479D-3207-4CB2-97B1-F7EEDFEC59C2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B51:M51</xm:sqref>
        </x14:conditionalFormatting>
        <x14:conditionalFormatting xmlns:xm="http://schemas.microsoft.com/office/excel/2006/main">
          <x14:cfRule type="expression" priority="102" id="{8CA19CD9-501C-4BE4-AE36-40FB88FA32C4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B52:M52</xm:sqref>
        </x14:conditionalFormatting>
        <x14:conditionalFormatting xmlns:xm="http://schemas.microsoft.com/office/excel/2006/main">
          <x14:cfRule type="expression" priority="100" id="{CCA8BF93-22F6-4A84-A302-94E9AC010DC0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B53:M53</xm:sqref>
        </x14:conditionalFormatting>
        <x14:conditionalFormatting xmlns:xm="http://schemas.microsoft.com/office/excel/2006/main">
          <x14:cfRule type="expression" priority="98" id="{8325F3FB-1400-4FC1-9DF5-137C1A56AD0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B59:M59</xm:sqref>
        </x14:conditionalFormatting>
        <x14:conditionalFormatting xmlns:xm="http://schemas.microsoft.com/office/excel/2006/main">
          <x14:cfRule type="expression" priority="99" id="{4336DA48-5914-4221-8700-42D9BB8FF98F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B60:M60</xm:sqref>
        </x14:conditionalFormatting>
        <x14:conditionalFormatting xmlns:xm="http://schemas.microsoft.com/office/excel/2006/main">
          <x14:cfRule type="expression" priority="97" id="{97480C97-3B54-439F-BBDD-A72850BB03D3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B61:M61</xm:sqref>
        </x14:conditionalFormatting>
        <x14:conditionalFormatting xmlns:xm="http://schemas.microsoft.com/office/excel/2006/main">
          <x14:cfRule type="expression" priority="216" id="{0F0FEEB3-B403-DD47-81E9-556EF062D8E8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B67:M67</xm:sqref>
        </x14:conditionalFormatting>
        <x14:conditionalFormatting xmlns:xm="http://schemas.microsoft.com/office/excel/2006/main">
          <x14:cfRule type="expression" priority="217" id="{B1F567DD-6DF8-194E-95BE-A1CCB7A055CE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B68:M68</xm:sqref>
        </x14:conditionalFormatting>
        <x14:conditionalFormatting xmlns:xm="http://schemas.microsoft.com/office/excel/2006/main">
          <x14:cfRule type="expression" priority="215" id="{AD3C53BE-0807-4546-8673-202D12A05921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B69:M69</xm:sqref>
        </x14:conditionalFormatting>
        <x14:conditionalFormatting xmlns:xm="http://schemas.microsoft.com/office/excel/2006/main">
          <x14:cfRule type="expression" priority="95" id="{780AB64A-85DE-4298-878D-4301E35C4E7F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B75:M75</xm:sqref>
        </x14:conditionalFormatting>
        <x14:conditionalFormatting xmlns:xm="http://schemas.microsoft.com/office/excel/2006/main">
          <x14:cfRule type="expression" priority="96" id="{FC7C04A9-ECC3-4970-AFEA-E0537BCD8693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B76:M76</xm:sqref>
        </x14:conditionalFormatting>
        <x14:conditionalFormatting xmlns:xm="http://schemas.microsoft.com/office/excel/2006/main">
          <x14:cfRule type="expression" priority="94" id="{3A8BBC47-FE88-476E-9F2F-5AB641EB0F8B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B77:M77</xm:sqref>
        </x14:conditionalFormatting>
        <x14:conditionalFormatting xmlns:xm="http://schemas.microsoft.com/office/excel/2006/main">
          <x14:cfRule type="expression" priority="92" id="{46C64E54-8A74-42BB-B0AD-23DF32F3A978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B83:M83</xm:sqref>
        </x14:conditionalFormatting>
        <x14:conditionalFormatting xmlns:xm="http://schemas.microsoft.com/office/excel/2006/main">
          <x14:cfRule type="expression" priority="93" id="{FCFD6E61-5B18-480D-8A17-25DD1697E531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B84:M84</xm:sqref>
        </x14:conditionalFormatting>
        <x14:conditionalFormatting xmlns:xm="http://schemas.microsoft.com/office/excel/2006/main">
          <x14:cfRule type="expression" priority="91" id="{78125642-29EA-492D-808F-9F405FC08397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B85:M85</xm:sqref>
        </x14:conditionalFormatting>
        <x14:conditionalFormatting xmlns:xm="http://schemas.microsoft.com/office/excel/2006/main">
          <x14:cfRule type="expression" priority="89" id="{BED953F7-1E30-4234-8EED-6EC48C206977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B91:M91</xm:sqref>
        </x14:conditionalFormatting>
        <x14:conditionalFormatting xmlns:xm="http://schemas.microsoft.com/office/excel/2006/main">
          <x14:cfRule type="expression" priority="90" id="{543D1E76-5108-4B2E-B1B1-8CBB9DD482B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B92:M92</xm:sqref>
        </x14:conditionalFormatting>
        <x14:conditionalFormatting xmlns:xm="http://schemas.microsoft.com/office/excel/2006/main">
          <x14:cfRule type="expression" priority="88" id="{10F3BF89-7F2C-4C66-AF6A-A1CCBEDC3E25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B93:M93</xm:sqref>
        </x14:conditionalFormatting>
        <x14:conditionalFormatting xmlns:xm="http://schemas.microsoft.com/office/excel/2006/main">
          <x14:cfRule type="expression" priority="86" id="{DB4D121D-263F-49C8-950A-4DBCC73E11BA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B99:M99</xm:sqref>
        </x14:conditionalFormatting>
        <x14:conditionalFormatting xmlns:xm="http://schemas.microsoft.com/office/excel/2006/main">
          <x14:cfRule type="expression" priority="87" id="{920F9720-9621-49C9-B9AC-2A852CED45F5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B100:M100</xm:sqref>
        </x14:conditionalFormatting>
        <x14:conditionalFormatting xmlns:xm="http://schemas.microsoft.com/office/excel/2006/main">
          <x14:cfRule type="expression" priority="85" id="{66F3796D-C988-42B5-BC75-F11EDB9746C1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B101:M101</xm:sqref>
        </x14:conditionalFormatting>
        <x14:conditionalFormatting xmlns:xm="http://schemas.microsoft.com/office/excel/2006/main">
          <x14:cfRule type="expression" priority="83" id="{04821009-C1C7-456F-9AFA-19025CC47DD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B107:M107</xm:sqref>
        </x14:conditionalFormatting>
        <x14:conditionalFormatting xmlns:xm="http://schemas.microsoft.com/office/excel/2006/main">
          <x14:cfRule type="expression" priority="84" id="{05891365-26D2-4D7C-8C55-1CA65E768F5F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B108:M108</xm:sqref>
        </x14:conditionalFormatting>
        <x14:conditionalFormatting xmlns:xm="http://schemas.microsoft.com/office/excel/2006/main">
          <x14:cfRule type="expression" priority="82" id="{257908C3-1DDF-4F1D-B73D-89D1A5A9D37E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B109:M109</xm:sqref>
        </x14:conditionalFormatting>
        <x14:conditionalFormatting xmlns:xm="http://schemas.microsoft.com/office/excel/2006/main">
          <x14:cfRule type="expression" priority="80" id="{427A0851-DB49-4FD6-AA0A-B710D0C6B5EF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B115:M115</xm:sqref>
        </x14:conditionalFormatting>
        <x14:conditionalFormatting xmlns:xm="http://schemas.microsoft.com/office/excel/2006/main">
          <x14:cfRule type="expression" priority="81" id="{EB8C17C0-9DCF-42F0-A35E-3977C9D0F51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B116:M116</xm:sqref>
        </x14:conditionalFormatting>
        <x14:conditionalFormatting xmlns:xm="http://schemas.microsoft.com/office/excel/2006/main">
          <x14:cfRule type="expression" priority="79" id="{6108F62E-3221-4FED-883B-6204CDE370F8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B117:M117</xm:sqref>
        </x14:conditionalFormatting>
        <x14:conditionalFormatting xmlns:xm="http://schemas.microsoft.com/office/excel/2006/main">
          <x14:cfRule type="expression" priority="77" id="{978234B6-1B49-47B4-AD4F-61990F8B6B3C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B123:M123</xm:sqref>
        </x14:conditionalFormatting>
        <x14:conditionalFormatting xmlns:xm="http://schemas.microsoft.com/office/excel/2006/main">
          <x14:cfRule type="expression" priority="78" id="{F4F73DD4-3934-47BB-AA53-CB9F123B0E77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B124:M124</xm:sqref>
        </x14:conditionalFormatting>
        <x14:conditionalFormatting xmlns:xm="http://schemas.microsoft.com/office/excel/2006/main">
          <x14:cfRule type="expression" priority="76" id="{EBCB4386-9972-4FBF-8546-D08AB72DAB75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B125:M125</xm:sqref>
        </x14:conditionalFormatting>
        <x14:conditionalFormatting xmlns:xm="http://schemas.microsoft.com/office/excel/2006/main">
          <x14:cfRule type="expression" priority="74" id="{640593AA-09A7-4CDA-9998-151F597E4C47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B131:M131</xm:sqref>
        </x14:conditionalFormatting>
        <x14:conditionalFormatting xmlns:xm="http://schemas.microsoft.com/office/excel/2006/main">
          <x14:cfRule type="expression" priority="75" id="{24A4FB81-D1A1-44B4-98B6-05CA92EB7D17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B132:M132</xm:sqref>
        </x14:conditionalFormatting>
        <x14:conditionalFormatting xmlns:xm="http://schemas.microsoft.com/office/excel/2006/main">
          <x14:cfRule type="expression" priority="73" id="{FD6B7E80-65DC-4BFA-8D95-A4DBA5EE3E9C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B133:M133</xm:sqref>
        </x14:conditionalFormatting>
        <x14:conditionalFormatting xmlns:xm="http://schemas.microsoft.com/office/excel/2006/main">
          <x14:cfRule type="expression" priority="71" id="{2366B20E-CFCB-472E-9D65-C888ED8E6A9F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B139:M139</xm:sqref>
        </x14:conditionalFormatting>
        <x14:conditionalFormatting xmlns:xm="http://schemas.microsoft.com/office/excel/2006/main">
          <x14:cfRule type="expression" priority="72" id="{630FBF1B-C0D9-4314-8D14-851A89DAC3D8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B140:M140</xm:sqref>
        </x14:conditionalFormatting>
        <x14:conditionalFormatting xmlns:xm="http://schemas.microsoft.com/office/excel/2006/main">
          <x14:cfRule type="expression" priority="70" id="{7D722F3D-4C77-4089-9D79-58AC65E442CA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B141:M141</xm:sqref>
        </x14:conditionalFormatting>
        <x14:conditionalFormatting xmlns:xm="http://schemas.microsoft.com/office/excel/2006/main">
          <x14:cfRule type="expression" priority="68" id="{A9CF3CBD-065B-4CE2-95EA-0216E8A499EF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B147:M147</xm:sqref>
        </x14:conditionalFormatting>
        <x14:conditionalFormatting xmlns:xm="http://schemas.microsoft.com/office/excel/2006/main">
          <x14:cfRule type="expression" priority="69" id="{0635E747-F7BE-41F3-A721-F11C924CF547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B148:M148</xm:sqref>
        </x14:conditionalFormatting>
        <x14:conditionalFormatting xmlns:xm="http://schemas.microsoft.com/office/excel/2006/main">
          <x14:cfRule type="expression" priority="67" id="{E4B86A10-97DB-48E6-9FB6-67E0A652079A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B149:M149</xm:sqref>
        </x14:conditionalFormatting>
        <x14:conditionalFormatting xmlns:xm="http://schemas.microsoft.com/office/excel/2006/main">
          <x14:cfRule type="expression" priority="65" id="{779EDEA3-3948-4E38-A7A3-DA1BAC7660C8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B155:M155</xm:sqref>
        </x14:conditionalFormatting>
        <x14:conditionalFormatting xmlns:xm="http://schemas.microsoft.com/office/excel/2006/main">
          <x14:cfRule type="expression" priority="66" id="{F9E3C5CA-AB55-40FE-91C8-1F0FB55EC614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B156:M156</xm:sqref>
        </x14:conditionalFormatting>
        <x14:conditionalFormatting xmlns:xm="http://schemas.microsoft.com/office/excel/2006/main">
          <x14:cfRule type="expression" priority="64" id="{7218F68B-7034-41EA-83F9-6096895E1FFF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B157:M157</xm:sqref>
        </x14:conditionalFormatting>
        <x14:conditionalFormatting xmlns:xm="http://schemas.microsoft.com/office/excel/2006/main">
          <x14:cfRule type="expression" priority="62" id="{F7693EB5-46D3-4E43-82CF-DB18BEAF312C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B163:M163</xm:sqref>
        </x14:conditionalFormatting>
        <x14:conditionalFormatting xmlns:xm="http://schemas.microsoft.com/office/excel/2006/main">
          <x14:cfRule type="expression" priority="63" id="{3CE43E3F-0777-44DA-9EE5-DE4D2A2BA48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B164:M164</xm:sqref>
        </x14:conditionalFormatting>
        <x14:conditionalFormatting xmlns:xm="http://schemas.microsoft.com/office/excel/2006/main">
          <x14:cfRule type="expression" priority="61" id="{FD93BD20-232D-4440-A6C7-B789966E44AE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B165:M165</xm:sqref>
        </x14:conditionalFormatting>
        <x14:conditionalFormatting xmlns:xm="http://schemas.microsoft.com/office/excel/2006/main">
          <x14:cfRule type="expression" priority="59" id="{04133E9A-16B2-4888-B90C-A3C82100E935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B171:M171</xm:sqref>
        </x14:conditionalFormatting>
        <x14:conditionalFormatting xmlns:xm="http://schemas.microsoft.com/office/excel/2006/main">
          <x14:cfRule type="expression" priority="60" id="{E038352C-D43B-43E1-99E2-1BEAC4BD1A5F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B172:M172</xm:sqref>
        </x14:conditionalFormatting>
        <x14:conditionalFormatting xmlns:xm="http://schemas.microsoft.com/office/excel/2006/main">
          <x14:cfRule type="expression" priority="58" id="{8B6B27D1-A2EC-4892-AA95-A67F8C033860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B173:M173</xm:sqref>
        </x14:conditionalFormatting>
        <x14:conditionalFormatting xmlns:xm="http://schemas.microsoft.com/office/excel/2006/main">
          <x14:cfRule type="expression" priority="56" id="{F540C5C5-E811-4BAE-98E4-DF95960FE2EE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B179:M179</xm:sqref>
        </x14:conditionalFormatting>
        <x14:conditionalFormatting xmlns:xm="http://schemas.microsoft.com/office/excel/2006/main">
          <x14:cfRule type="expression" priority="57" id="{7C99FE62-A8B0-4A44-9B93-DAD00E5FB84D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B180:M180</xm:sqref>
        </x14:conditionalFormatting>
        <x14:conditionalFormatting xmlns:xm="http://schemas.microsoft.com/office/excel/2006/main">
          <x14:cfRule type="expression" priority="55" id="{8694EC76-D479-4302-80C7-E53506283CD7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B181:M181</xm:sqref>
        </x14:conditionalFormatting>
        <x14:conditionalFormatting xmlns:xm="http://schemas.microsoft.com/office/excel/2006/main">
          <x14:cfRule type="expression" priority="53" id="{A3ACF271-7D71-49D7-B866-A09686ADFC68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B187:M187</xm:sqref>
        </x14:conditionalFormatting>
        <x14:conditionalFormatting xmlns:xm="http://schemas.microsoft.com/office/excel/2006/main">
          <x14:cfRule type="expression" priority="54" id="{3F5B38A3-7B98-448C-99DE-49A25A374C9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B188:M188</xm:sqref>
        </x14:conditionalFormatting>
        <x14:conditionalFormatting xmlns:xm="http://schemas.microsoft.com/office/excel/2006/main">
          <x14:cfRule type="expression" priority="52" id="{5BB4E962-EE3A-40AD-B4A3-B5C5F069C68C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B189:M189</xm:sqref>
        </x14:conditionalFormatting>
        <x14:conditionalFormatting xmlns:xm="http://schemas.microsoft.com/office/excel/2006/main">
          <x14:cfRule type="expression" priority="50" id="{7A5DB122-A544-4C4E-B334-A62BEE3F04ED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B195:M195</xm:sqref>
        </x14:conditionalFormatting>
        <x14:conditionalFormatting xmlns:xm="http://schemas.microsoft.com/office/excel/2006/main">
          <x14:cfRule type="expression" priority="51" id="{2D5EA71E-BE6B-49BD-B9BF-B551465700DB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B196:M196</xm:sqref>
        </x14:conditionalFormatting>
        <x14:conditionalFormatting xmlns:xm="http://schemas.microsoft.com/office/excel/2006/main">
          <x14:cfRule type="expression" priority="49" id="{49AC7CA9-C618-4F57-A8CE-3A278F42A276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B197:M197</xm:sqref>
        </x14:conditionalFormatting>
        <x14:conditionalFormatting xmlns:xm="http://schemas.microsoft.com/office/excel/2006/main">
          <x14:cfRule type="expression" priority="47" id="{871A85D4-36DF-42B0-B876-A62295DD5EF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B203:M203</xm:sqref>
        </x14:conditionalFormatting>
        <x14:conditionalFormatting xmlns:xm="http://schemas.microsoft.com/office/excel/2006/main">
          <x14:cfRule type="expression" priority="48" id="{D1E40898-CCD9-4A79-A95F-38FC8058093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B204:M204</xm:sqref>
        </x14:conditionalFormatting>
        <x14:conditionalFormatting xmlns:xm="http://schemas.microsoft.com/office/excel/2006/main">
          <x14:cfRule type="expression" priority="46" id="{D9312F81-8063-4F7F-BEA4-A1F846BA270F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B205:M205</xm:sqref>
        </x14:conditionalFormatting>
        <x14:conditionalFormatting xmlns:xm="http://schemas.microsoft.com/office/excel/2006/main">
          <x14:cfRule type="expression" priority="44" id="{D5D8E7EC-E43C-4EBF-948D-8DBA780D4686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B211:M211</xm:sqref>
        </x14:conditionalFormatting>
        <x14:conditionalFormatting xmlns:xm="http://schemas.microsoft.com/office/excel/2006/main">
          <x14:cfRule type="expression" priority="45" id="{C00147D0-30D0-433C-B838-C9DC17F44801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B212:M212</xm:sqref>
        </x14:conditionalFormatting>
        <x14:conditionalFormatting xmlns:xm="http://schemas.microsoft.com/office/excel/2006/main">
          <x14:cfRule type="expression" priority="43" id="{FF8D4A4C-CAA1-4E12-A7CB-89CD0F2E49A6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B213:M213</xm:sqref>
        </x14:conditionalFormatting>
        <x14:conditionalFormatting xmlns:xm="http://schemas.microsoft.com/office/excel/2006/main">
          <x14:cfRule type="expression" priority="41" id="{B9AB76CB-E1BB-4D6F-A596-288683B73A7E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B219:M219</xm:sqref>
        </x14:conditionalFormatting>
        <x14:conditionalFormatting xmlns:xm="http://schemas.microsoft.com/office/excel/2006/main">
          <x14:cfRule type="expression" priority="42" id="{32A5ECEF-00F1-47FC-867E-1EB1B24D1112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B220:M220</xm:sqref>
        </x14:conditionalFormatting>
        <x14:conditionalFormatting xmlns:xm="http://schemas.microsoft.com/office/excel/2006/main">
          <x14:cfRule type="expression" priority="40" id="{50D0DDA6-C28A-4585-B7D9-DC204494E2DB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B221:M221</xm:sqref>
        </x14:conditionalFormatting>
        <x14:conditionalFormatting xmlns:xm="http://schemas.microsoft.com/office/excel/2006/main">
          <x14:cfRule type="expression" priority="38" id="{0FEC6693-94FE-41B5-912A-0C872B4295E6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B227:M227</xm:sqref>
        </x14:conditionalFormatting>
        <x14:conditionalFormatting xmlns:xm="http://schemas.microsoft.com/office/excel/2006/main">
          <x14:cfRule type="expression" priority="39" id="{C6FBDE16-DFAB-486F-A4D1-D56F376C5B60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B228:M228</xm:sqref>
        </x14:conditionalFormatting>
        <x14:conditionalFormatting xmlns:xm="http://schemas.microsoft.com/office/excel/2006/main">
          <x14:cfRule type="expression" priority="37" id="{B755FC82-E40E-41D0-B3DD-14C3DADC503C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B229:M229</xm:sqref>
        </x14:conditionalFormatting>
        <x14:conditionalFormatting xmlns:xm="http://schemas.microsoft.com/office/excel/2006/main">
          <x14:cfRule type="expression" priority="35" id="{54137C9A-AA39-4841-ADFE-40615793B2BD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B235:M235</xm:sqref>
        </x14:conditionalFormatting>
        <x14:conditionalFormatting xmlns:xm="http://schemas.microsoft.com/office/excel/2006/main">
          <x14:cfRule type="expression" priority="36" id="{6E99107E-71E0-4273-AE90-1A7EA5A58169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B236:M236</xm:sqref>
        </x14:conditionalFormatting>
        <x14:conditionalFormatting xmlns:xm="http://schemas.microsoft.com/office/excel/2006/main">
          <x14:cfRule type="expression" priority="34" id="{39F71593-DB8C-4998-9E87-5D2BFD57553C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B237:M237</xm:sqref>
        </x14:conditionalFormatting>
        <x14:conditionalFormatting xmlns:xm="http://schemas.microsoft.com/office/excel/2006/main">
          <x14:cfRule type="expression" priority="32" id="{4CA061C7-400D-4859-9EA8-197B77287437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B243:M243</xm:sqref>
        </x14:conditionalFormatting>
        <x14:conditionalFormatting xmlns:xm="http://schemas.microsoft.com/office/excel/2006/main">
          <x14:cfRule type="expression" priority="33" id="{5FDA8373-BB32-46C4-B148-0B595EDD0563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B244:M244</xm:sqref>
        </x14:conditionalFormatting>
        <x14:conditionalFormatting xmlns:xm="http://schemas.microsoft.com/office/excel/2006/main">
          <x14:cfRule type="expression" priority="31" id="{4796E8CC-CE99-44FC-922F-AA2E7B92859F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B245:M245</xm:sqref>
        </x14:conditionalFormatting>
        <x14:conditionalFormatting xmlns:xm="http://schemas.microsoft.com/office/excel/2006/main">
          <x14:cfRule type="expression" priority="29" id="{0458D973-B33D-4EED-A1D1-E202D622AEA1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B251:M251</xm:sqref>
        </x14:conditionalFormatting>
        <x14:conditionalFormatting xmlns:xm="http://schemas.microsoft.com/office/excel/2006/main">
          <x14:cfRule type="expression" priority="30" id="{2E8422D5-F45B-4D53-A770-872336B98C10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B252:M252</xm:sqref>
        </x14:conditionalFormatting>
        <x14:conditionalFormatting xmlns:xm="http://schemas.microsoft.com/office/excel/2006/main">
          <x14:cfRule type="expression" priority="28" id="{10CD5ED1-E08A-4424-AF6F-0CC899E142B7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B253:M253</xm:sqref>
        </x14:conditionalFormatting>
        <x14:conditionalFormatting xmlns:xm="http://schemas.microsoft.com/office/excel/2006/main">
          <x14:cfRule type="expression" priority="26" id="{3D82A691-4A06-4F13-91D6-1AD042085192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B259:M259</xm:sqref>
        </x14:conditionalFormatting>
        <x14:conditionalFormatting xmlns:xm="http://schemas.microsoft.com/office/excel/2006/main">
          <x14:cfRule type="expression" priority="27" id="{98524872-4F64-4A87-9044-1D67DC55F1D8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B260:M260</xm:sqref>
        </x14:conditionalFormatting>
        <x14:conditionalFormatting xmlns:xm="http://schemas.microsoft.com/office/excel/2006/main">
          <x14:cfRule type="expression" priority="25" id="{0B694F9D-187F-40D0-BCAA-875CCB44B7C2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B261:M261</xm:sqref>
        </x14:conditionalFormatting>
        <x14:conditionalFormatting xmlns:xm="http://schemas.microsoft.com/office/excel/2006/main">
          <x14:cfRule type="expression" priority="23" id="{1473CF83-0801-4353-AC59-DFD89A8C011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B267:M267</xm:sqref>
        </x14:conditionalFormatting>
        <x14:conditionalFormatting xmlns:xm="http://schemas.microsoft.com/office/excel/2006/main">
          <x14:cfRule type="expression" priority="24" id="{D3E2AD6A-24AF-4EFD-9A21-81E91A88900D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B268:M268</xm:sqref>
        </x14:conditionalFormatting>
        <x14:conditionalFormatting xmlns:xm="http://schemas.microsoft.com/office/excel/2006/main">
          <x14:cfRule type="expression" priority="22" id="{F7514273-4F86-4253-A033-CF7CD5A5DA0F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B269:M269</xm:sqref>
        </x14:conditionalFormatting>
        <x14:conditionalFormatting xmlns:xm="http://schemas.microsoft.com/office/excel/2006/main">
          <x14:cfRule type="expression" priority="20" id="{E7496F45-C57E-4B3E-A6F6-2C5C27D994C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B275:M275</xm:sqref>
        </x14:conditionalFormatting>
        <x14:conditionalFormatting xmlns:xm="http://schemas.microsoft.com/office/excel/2006/main">
          <x14:cfRule type="expression" priority="21" id="{F7558E8F-C80C-4B0F-9AD6-10FF3AA405B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B276:M276</xm:sqref>
        </x14:conditionalFormatting>
        <x14:conditionalFormatting xmlns:xm="http://schemas.microsoft.com/office/excel/2006/main">
          <x14:cfRule type="expression" priority="19" id="{48F698D6-E9B9-4CD1-8B48-F49F56EBDF93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B277:M277</xm:sqref>
        </x14:conditionalFormatting>
        <x14:conditionalFormatting xmlns:xm="http://schemas.microsoft.com/office/excel/2006/main">
          <x14:cfRule type="expression" priority="17" id="{2511A8AB-6989-474A-BCB6-2AD56928E844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B283:M283</xm:sqref>
        </x14:conditionalFormatting>
        <x14:conditionalFormatting xmlns:xm="http://schemas.microsoft.com/office/excel/2006/main">
          <x14:cfRule type="expression" priority="18" id="{8C7FCE89-836E-4C8E-850F-95BE453C25DA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B284:M284</xm:sqref>
        </x14:conditionalFormatting>
        <x14:conditionalFormatting xmlns:xm="http://schemas.microsoft.com/office/excel/2006/main">
          <x14:cfRule type="expression" priority="16" id="{8D155A44-87AD-4203-AB8A-71DD02B2D5CD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B285:M285</xm:sqref>
        </x14:conditionalFormatting>
        <x14:conditionalFormatting xmlns:xm="http://schemas.microsoft.com/office/excel/2006/main">
          <x14:cfRule type="expression" priority="14" id="{E51D3FB0-DD6C-47B5-9844-9FCF23954F65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B291:M291</xm:sqref>
        </x14:conditionalFormatting>
        <x14:conditionalFormatting xmlns:xm="http://schemas.microsoft.com/office/excel/2006/main">
          <x14:cfRule type="expression" priority="15" id="{4F2FA101-E479-48D1-9FD5-3D53E7279FD2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B292:M292</xm:sqref>
        </x14:conditionalFormatting>
        <x14:conditionalFormatting xmlns:xm="http://schemas.microsoft.com/office/excel/2006/main">
          <x14:cfRule type="expression" priority="13" id="{4A39D903-EF6C-4070-90F4-3A596F78D4A2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B293:M293</xm:sqref>
        </x14:conditionalFormatting>
        <x14:conditionalFormatting xmlns:xm="http://schemas.microsoft.com/office/excel/2006/main">
          <x14:cfRule type="expression" priority="11" id="{933AC212-211F-4E5E-BD83-87EF7A823B7E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B299:M299</xm:sqref>
        </x14:conditionalFormatting>
        <x14:conditionalFormatting xmlns:xm="http://schemas.microsoft.com/office/excel/2006/main">
          <x14:cfRule type="expression" priority="12" id="{DCD22066-8DEE-4E0B-B7EB-FF26007DCA36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B300:M300</xm:sqref>
        </x14:conditionalFormatting>
        <x14:conditionalFormatting xmlns:xm="http://schemas.microsoft.com/office/excel/2006/main">
          <x14:cfRule type="expression" priority="10" id="{E48617C4-8837-4B2E-BC8B-3B7636343497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B301:M301</xm:sqref>
        </x14:conditionalFormatting>
        <x14:conditionalFormatting xmlns:xm="http://schemas.microsoft.com/office/excel/2006/main">
          <x14:cfRule type="expression" priority="8" id="{BDC42703-2A19-4A08-BCC5-CE4C86E4D993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B307:M307</xm:sqref>
        </x14:conditionalFormatting>
        <x14:conditionalFormatting xmlns:xm="http://schemas.microsoft.com/office/excel/2006/main">
          <x14:cfRule type="expression" priority="9" id="{410377DD-0DD0-4528-BC9E-4038596B6265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B308:M308</xm:sqref>
        </x14:conditionalFormatting>
        <x14:conditionalFormatting xmlns:xm="http://schemas.microsoft.com/office/excel/2006/main">
          <x14:cfRule type="expression" priority="7" id="{5E99A6F5-8299-48EB-B403-F3290C36CC56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B309:M309</xm:sqref>
        </x14:conditionalFormatting>
        <x14:conditionalFormatting xmlns:xm="http://schemas.microsoft.com/office/excel/2006/main">
          <x14:cfRule type="expression" priority="5" id="{F9C98F8A-1672-41A2-8953-87EBA77FD2F9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B315:M315</xm:sqref>
        </x14:conditionalFormatting>
        <x14:conditionalFormatting xmlns:xm="http://schemas.microsoft.com/office/excel/2006/main">
          <x14:cfRule type="expression" priority="6" id="{B736CE0A-353F-4591-8BD7-DF78CF1041A9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B316:M316</xm:sqref>
        </x14:conditionalFormatting>
        <x14:conditionalFormatting xmlns:xm="http://schemas.microsoft.com/office/excel/2006/main">
          <x14:cfRule type="expression" priority="4" id="{7F519B8E-A56D-4A71-BD45-90B0355B4BA9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B317:M317</xm:sqref>
        </x14:conditionalFormatting>
        <x14:conditionalFormatting xmlns:xm="http://schemas.microsoft.com/office/excel/2006/main">
          <x14:cfRule type="expression" priority="2" id="{EBE2D50E-43CF-4902-A0CA-70399BE82309}">
            <xm:f>Inicio!$B$5&lt;3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B323:M323</xm:sqref>
        </x14:conditionalFormatting>
        <x14:conditionalFormatting xmlns:xm="http://schemas.microsoft.com/office/excel/2006/main">
          <x14:cfRule type="expression" priority="3" id="{99E678EE-AB4C-489F-9229-20BF4B92EA25}">
            <xm:f>Inicio!$B$5&lt;4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B324:M324</xm:sqref>
        </x14:conditionalFormatting>
        <x14:conditionalFormatting xmlns:xm="http://schemas.microsoft.com/office/excel/2006/main">
          <x14:cfRule type="expression" priority="1" id="{AE407256-71B9-4EE7-BE5C-0BEBC044696D}">
            <xm:f>Inicio!$B$5&lt;5</xm:f>
            <x14:dxf>
              <font>
                <color rgb="FF10312B"/>
              </font>
              <fill>
                <patternFill>
                  <bgColor rgb="FF10312B"/>
                </patternFill>
              </fill>
            </x14:dxf>
          </x14:cfRule>
          <xm:sqref>B325:M325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7C988B2-D25A-A84D-AFA2-0F46929057AF}">
          <x14:formula1>
            <xm:f>'1'!$U$5:$U$8</xm:f>
          </x14:formula1>
          <xm:sqref>B6:M6 B310:M310 B14:M14 B22:M22 B30:M30 B38:M38 B46:M46 B54:M54 B62:M62 B70:M70 B78:M78 B86:M86 B94:M94 B102:M102 B110:M110 B118:M118 B126:M126 B134:M134 B142:M142 B150:M150 B158:M158 B166:M166 B174:M174 B182:M182 B190:M190 B198:M198 B206:M206 B214:M214 B222:M222 B230:M230 B238:M238 B246:M246 B254:M254 B262:M262 B270:M270 B278:M278 B286:M286 B294:M294 B302:M302 B318:M318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4651B-861E-4AD5-BF88-9542D07C1AA4}">
  <sheetPr codeName="Hoja16"/>
  <dimension ref="A1:C32"/>
  <sheetViews>
    <sheetView showGridLines="0" tabSelected="1" zoomScaleNormal="80" workbookViewId="0">
      <pane ySplit="4" topLeftCell="A5" activePane="bottomLeft" state="frozen"/>
      <selection activeCell="C5" sqref="C5"/>
      <selection pane="bottomLeft" activeCell="B6" sqref="B6"/>
    </sheetView>
  </sheetViews>
  <sheetFormatPr baseColWidth="10" defaultColWidth="11" defaultRowHeight="17.25" x14ac:dyDescent="0.3"/>
  <cols>
    <col min="1" max="1" width="23.625" style="4" customWidth="1"/>
    <col min="2" max="2" width="52.125" style="4" customWidth="1"/>
    <col min="3" max="3" width="33.125" style="4" customWidth="1"/>
    <col min="4" max="16384" width="11" style="4"/>
  </cols>
  <sheetData>
    <row r="1" spans="1:3" ht="35.1" customHeight="1" x14ac:dyDescent="0.3">
      <c r="A1" s="332" t="s">
        <v>21</v>
      </c>
      <c r="B1" s="255"/>
      <c r="C1" s="256"/>
    </row>
    <row r="2" spans="1:3" ht="50.1" customHeight="1" x14ac:dyDescent="0.3">
      <c r="A2" s="466" t="str">
        <f>CONCATENATE("Planificación financiera ",Up," | Plan de inversiones")</f>
        <v>Planificación financiera  | Plan de inversiones</v>
      </c>
      <c r="B2" s="467"/>
      <c r="C2" s="468"/>
    </row>
    <row r="3" spans="1:3" ht="8.1" customHeight="1" thickBot="1" x14ac:dyDescent="0.35">
      <c r="A3" s="257"/>
      <c r="B3" s="258"/>
      <c r="C3" s="259"/>
    </row>
    <row r="4" spans="1:3" ht="24.95" customHeight="1" thickBot="1" x14ac:dyDescent="0.35">
      <c r="A4" s="260" t="s">
        <v>231</v>
      </c>
      <c r="B4" s="261" t="s">
        <v>101</v>
      </c>
      <c r="C4" s="262" t="s">
        <v>146</v>
      </c>
    </row>
    <row r="5" spans="1:3" ht="18.95" customHeight="1" x14ac:dyDescent="0.3">
      <c r="A5" s="263"/>
      <c r="B5" s="264"/>
      <c r="C5" s="366"/>
    </row>
    <row r="6" spans="1:3" ht="18.95" customHeight="1" x14ac:dyDescent="0.3">
      <c r="A6" s="263"/>
      <c r="B6" s="264"/>
      <c r="C6" s="366"/>
    </row>
    <row r="7" spans="1:3" ht="18.95" customHeight="1" x14ac:dyDescent="0.3">
      <c r="A7" s="263"/>
      <c r="B7" s="264"/>
      <c r="C7" s="366"/>
    </row>
    <row r="8" spans="1:3" ht="18.95" customHeight="1" x14ac:dyDescent="0.3">
      <c r="A8" s="263"/>
      <c r="B8" s="264"/>
      <c r="C8" s="366"/>
    </row>
    <row r="9" spans="1:3" ht="18.95" customHeight="1" x14ac:dyDescent="0.3">
      <c r="A9" s="263"/>
      <c r="B9" s="264"/>
      <c r="C9" s="366"/>
    </row>
    <row r="10" spans="1:3" ht="18.95" customHeight="1" x14ac:dyDescent="0.3">
      <c r="A10" s="263"/>
      <c r="B10" s="264"/>
      <c r="C10" s="366"/>
    </row>
    <row r="11" spans="1:3" ht="18.95" customHeight="1" x14ac:dyDescent="0.3">
      <c r="A11" s="263"/>
      <c r="B11" s="264"/>
      <c r="C11" s="366"/>
    </row>
    <row r="12" spans="1:3" ht="18.95" customHeight="1" x14ac:dyDescent="0.3">
      <c r="A12" s="263"/>
      <c r="B12" s="264"/>
      <c r="C12" s="366"/>
    </row>
    <row r="13" spans="1:3" ht="18.95" customHeight="1" x14ac:dyDescent="0.3">
      <c r="A13" s="263"/>
      <c r="B13" s="264"/>
      <c r="C13" s="366"/>
    </row>
    <row r="14" spans="1:3" ht="18.95" customHeight="1" x14ac:dyDescent="0.3">
      <c r="A14" s="263"/>
      <c r="B14" s="264"/>
      <c r="C14" s="366"/>
    </row>
    <row r="15" spans="1:3" ht="18.95" customHeight="1" x14ac:dyDescent="0.3">
      <c r="A15" s="263"/>
      <c r="B15" s="264"/>
      <c r="C15" s="366"/>
    </row>
    <row r="16" spans="1:3" ht="18.95" customHeight="1" x14ac:dyDescent="0.3">
      <c r="A16" s="263"/>
      <c r="B16" s="264"/>
      <c r="C16" s="366"/>
    </row>
    <row r="17" spans="1:3" ht="18.95" customHeight="1" x14ac:dyDescent="0.3">
      <c r="A17" s="263"/>
      <c r="B17" s="264"/>
      <c r="C17" s="366"/>
    </row>
    <row r="18" spans="1:3" ht="18.95" customHeight="1" x14ac:dyDescent="0.3">
      <c r="A18" s="263"/>
      <c r="B18" s="264"/>
      <c r="C18" s="366"/>
    </row>
    <row r="19" spans="1:3" ht="18.95" customHeight="1" x14ac:dyDescent="0.3">
      <c r="A19" s="263"/>
      <c r="B19" s="264"/>
      <c r="C19" s="366"/>
    </row>
    <row r="20" spans="1:3" ht="18.95" customHeight="1" x14ac:dyDescent="0.3">
      <c r="A20" s="263"/>
      <c r="B20" s="264"/>
      <c r="C20" s="366"/>
    </row>
    <row r="21" spans="1:3" ht="18.95" customHeight="1" x14ac:dyDescent="0.3">
      <c r="A21" s="263"/>
      <c r="B21" s="264"/>
      <c r="C21" s="366"/>
    </row>
    <row r="22" spans="1:3" ht="18.95" customHeight="1" x14ac:dyDescent="0.3">
      <c r="A22" s="263"/>
      <c r="B22" s="264"/>
      <c r="C22" s="366"/>
    </row>
    <row r="23" spans="1:3" ht="18.95" customHeight="1" x14ac:dyDescent="0.3">
      <c r="A23" s="263"/>
      <c r="B23" s="264"/>
      <c r="C23" s="366"/>
    </row>
    <row r="24" spans="1:3" ht="18.95" customHeight="1" x14ac:dyDescent="0.3">
      <c r="A24" s="263"/>
      <c r="B24" s="264"/>
      <c r="C24" s="366"/>
    </row>
    <row r="25" spans="1:3" ht="18.95" customHeight="1" x14ac:dyDescent="0.3">
      <c r="A25" s="263"/>
      <c r="B25" s="264"/>
      <c r="C25" s="366"/>
    </row>
    <row r="26" spans="1:3" ht="18.95" customHeight="1" x14ac:dyDescent="0.3">
      <c r="A26" s="263"/>
      <c r="B26" s="264"/>
      <c r="C26" s="366"/>
    </row>
    <row r="27" spans="1:3" ht="18.95" customHeight="1" x14ac:dyDescent="0.3">
      <c r="A27" s="263"/>
      <c r="B27" s="264"/>
      <c r="C27" s="366"/>
    </row>
    <row r="28" spans="1:3" ht="18.95" customHeight="1" x14ac:dyDescent="0.3">
      <c r="A28" s="263"/>
      <c r="B28" s="264"/>
      <c r="C28" s="366"/>
    </row>
    <row r="29" spans="1:3" ht="18.95" customHeight="1" x14ac:dyDescent="0.3">
      <c r="A29" s="263"/>
      <c r="B29" s="264"/>
      <c r="C29" s="366"/>
    </row>
    <row r="30" spans="1:3" ht="18.95" customHeight="1" thickBot="1" x14ac:dyDescent="0.35">
      <c r="A30" s="266"/>
      <c r="B30" s="267"/>
      <c r="C30" s="367"/>
    </row>
    <row r="31" spans="1:3" x14ac:dyDescent="0.3">
      <c r="A31" s="424" t="s">
        <v>85</v>
      </c>
      <c r="B31" s="424"/>
      <c r="C31" s="424"/>
    </row>
    <row r="32" spans="1:3" x14ac:dyDescent="0.3">
      <c r="A32" s="241"/>
    </row>
  </sheetData>
  <sheetProtection algorithmName="SHA-512" hashValue="wLj4YdXFH8vD+a6OOmzlywU/bxUNuX7RhIZsHzOm3rd567WIAcl6f1vWlk2EPOXkuTgmkvhG8ObGmD/oyLx5LQ==" saltValue="7IW/uze4xqgL6ruahxAomA==" spinCount="100000" sheet="1" objects="1" scenarios="1"/>
  <mergeCells count="2">
    <mergeCell ref="A2:C2"/>
    <mergeCell ref="A31:C31"/>
  </mergeCells>
  <dataValidations count="1">
    <dataValidation type="list" allowBlank="1" showInputMessage="1" showErrorMessage="1" sqref="A5:A30" xr:uid="{2931F7FB-7EF1-4917-AECF-8A4DC3D4A994}">
      <formula1>Años</formula1>
    </dataValidation>
  </dataValidations>
  <hyperlinks>
    <hyperlink ref="A1" location="Inicio!C11" display="Regresar" xr:uid="{EDC442CB-A843-3248-9550-39D0363FC740}"/>
    <hyperlink ref="A1:C1" location="Inicio!C11" display="Regresar" xr:uid="{1430D7C9-D96E-4126-8CAB-C5496CB12662}"/>
  </hyperlinks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f47b9fb0-7149-4fd9-9c76-453e83d2c205">
      <Terms xmlns="http://schemas.microsoft.com/office/infopath/2007/PartnerControls"/>
    </lcf76f155ced4ddcb4097134ff3c332f>
    <TaxCatchAll xmlns="901d57b1-4339-4dee-a822-a4ea84590142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904FD40F88E8BE4B95FAAFB8ABA7CC57" ma:contentTypeVersion="15" ma:contentTypeDescription="Crear nuevo documento." ma:contentTypeScope="" ma:versionID="73d38a09f41abc54bfa05d1d6726b948">
  <xsd:schema xmlns:xsd="http://www.w3.org/2001/XMLSchema" xmlns:xs="http://www.w3.org/2001/XMLSchema" xmlns:p="http://schemas.microsoft.com/office/2006/metadata/properties" xmlns:ns2="f47b9fb0-7149-4fd9-9c76-453e83d2c205" xmlns:ns3="901d57b1-4339-4dee-a822-a4ea84590142" targetNamespace="http://schemas.microsoft.com/office/2006/metadata/properties" ma:root="true" ma:fieldsID="50e93683e7f5a0c435e470206aa3705c" ns2:_="" ns3:_="">
    <xsd:import namespace="f47b9fb0-7149-4fd9-9c76-453e83d2c205"/>
    <xsd:import namespace="901d57b1-4339-4dee-a822-a4ea845901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2:lcf76f155ced4ddcb4097134ff3c332f" minOccurs="0"/>
                <xsd:element ref="ns3:TaxCatchAll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47b9fb0-7149-4fd9-9c76-453e83d2c20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3" nillable="true" ma:displayName="Length (seconds)" ma:internalName="MediaLengthInSeconds" ma:readOnly="true">
      <xsd:simpleType>
        <xsd:restriction base="dms:Unknown"/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0" nillable="true" ma:taxonomy="true" ma:internalName="lcf76f155ced4ddcb4097134ff3c332f" ma:taxonomyFieldName="MediaServiceImageTags" ma:displayName="Etiquetas de imagen" ma:readOnly="false" ma:fieldId="{5cf76f15-5ced-4ddc-b409-7134ff3c332f}" ma:taxonomyMulti="true" ma:sspId="b97c578c-cad8-4343-8e96-81cc53110eb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01d57b1-4339-4dee-a822-a4ea84590142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3df17807-b08d-4894-9b26-9b666e533762}" ma:internalName="TaxCatchAll" ma:showField="CatchAllData" ma:web="901d57b1-4339-4dee-a822-a4ea845901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4C31E20-203B-42C5-B3B9-A03E13FE90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D957267-A91C-4816-9518-CC246F548D7F}">
  <ds:schemaRefs>
    <ds:schemaRef ds:uri="f47b9fb0-7149-4fd9-9c76-453e83d2c205"/>
    <ds:schemaRef ds:uri="http://purl.org/dc/terms/"/>
    <ds:schemaRef ds:uri="http://purl.org/dc/dcmitype/"/>
    <ds:schemaRef ds:uri="http://www.w3.org/XML/1998/namespace"/>
    <ds:schemaRef ds:uri="http://schemas.openxmlformats.org/package/2006/metadata/core-properties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901d57b1-4339-4dee-a822-a4ea84590142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C914F3B6-C462-44E6-A313-158399FCB78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47b9fb0-7149-4fd9-9c76-453e83d2c205"/>
    <ds:schemaRef ds:uri="901d57b1-4339-4dee-a822-a4ea845901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23</vt:i4>
      </vt:variant>
      <vt:variant>
        <vt:lpstr>Rangos con nombre</vt:lpstr>
      </vt:variant>
      <vt:variant>
        <vt:i4>5041</vt:i4>
      </vt:variant>
    </vt:vector>
  </HeadingPairs>
  <TitlesOfParts>
    <vt:vector size="5064" baseType="lpstr">
      <vt:lpstr>Inicio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A1_A</vt:lpstr>
      <vt:lpstr>A1_A_L1</vt:lpstr>
      <vt:lpstr>A1_A_L10</vt:lpstr>
      <vt:lpstr>A1_A_L11</vt:lpstr>
      <vt:lpstr>A1_A_L12</vt:lpstr>
      <vt:lpstr>A1_A_L13</vt:lpstr>
      <vt:lpstr>A1_A_L14</vt:lpstr>
      <vt:lpstr>A1_A_L15</vt:lpstr>
      <vt:lpstr>A1_A_L16</vt:lpstr>
      <vt:lpstr>A1_A_L17</vt:lpstr>
      <vt:lpstr>A1_A_L18</vt:lpstr>
      <vt:lpstr>A1_A_L19</vt:lpstr>
      <vt:lpstr>A1_A_L2</vt:lpstr>
      <vt:lpstr>A1_A_L20</vt:lpstr>
      <vt:lpstr>A1_A_L21</vt:lpstr>
      <vt:lpstr>A1_A_L22</vt:lpstr>
      <vt:lpstr>A1_A_L23</vt:lpstr>
      <vt:lpstr>A1_A_L24</vt:lpstr>
      <vt:lpstr>A1_A_L25</vt:lpstr>
      <vt:lpstr>A1_A_L26</vt:lpstr>
      <vt:lpstr>A1_A_L27</vt:lpstr>
      <vt:lpstr>A1_A_L28</vt:lpstr>
      <vt:lpstr>A1_A_L29</vt:lpstr>
      <vt:lpstr>A1_A_L3</vt:lpstr>
      <vt:lpstr>A1_A_L30</vt:lpstr>
      <vt:lpstr>A1_A_L31</vt:lpstr>
      <vt:lpstr>A1_A_L32</vt:lpstr>
      <vt:lpstr>A1_A_L33</vt:lpstr>
      <vt:lpstr>A1_A_L34</vt:lpstr>
      <vt:lpstr>A1_A_L35</vt:lpstr>
      <vt:lpstr>A1_A_L36</vt:lpstr>
      <vt:lpstr>A1_A_L37</vt:lpstr>
      <vt:lpstr>A1_A_L38</vt:lpstr>
      <vt:lpstr>A1_A_L39</vt:lpstr>
      <vt:lpstr>A1_A_L4</vt:lpstr>
      <vt:lpstr>A1_A_L40</vt:lpstr>
      <vt:lpstr>A1_A_L5</vt:lpstr>
      <vt:lpstr>A1_A_L6</vt:lpstr>
      <vt:lpstr>A1_A_L7</vt:lpstr>
      <vt:lpstr>A1_A_L8</vt:lpstr>
      <vt:lpstr>A1_A_L9</vt:lpstr>
      <vt:lpstr>A1_B</vt:lpstr>
      <vt:lpstr>A1_B_L1</vt:lpstr>
      <vt:lpstr>A1_B_L10</vt:lpstr>
      <vt:lpstr>A1_B_L11</vt:lpstr>
      <vt:lpstr>A1_B_L12</vt:lpstr>
      <vt:lpstr>A1_B_L13</vt:lpstr>
      <vt:lpstr>A1_B_L14</vt:lpstr>
      <vt:lpstr>A1_B_L15</vt:lpstr>
      <vt:lpstr>A1_B_L16</vt:lpstr>
      <vt:lpstr>A1_B_L17</vt:lpstr>
      <vt:lpstr>A1_B_L18</vt:lpstr>
      <vt:lpstr>A1_B_L19</vt:lpstr>
      <vt:lpstr>A1_B_L2</vt:lpstr>
      <vt:lpstr>A1_B_L20</vt:lpstr>
      <vt:lpstr>A1_B_L21</vt:lpstr>
      <vt:lpstr>A1_B_L22</vt:lpstr>
      <vt:lpstr>A1_B_L23</vt:lpstr>
      <vt:lpstr>A1_B_L24</vt:lpstr>
      <vt:lpstr>A1_B_L25</vt:lpstr>
      <vt:lpstr>A1_B_L26</vt:lpstr>
      <vt:lpstr>A1_B_L27</vt:lpstr>
      <vt:lpstr>A1_B_L28</vt:lpstr>
      <vt:lpstr>A1_B_L29</vt:lpstr>
      <vt:lpstr>A1_B_L3</vt:lpstr>
      <vt:lpstr>A1_B_L30</vt:lpstr>
      <vt:lpstr>A1_B_L31</vt:lpstr>
      <vt:lpstr>A1_B_L32</vt:lpstr>
      <vt:lpstr>A1_B_L33</vt:lpstr>
      <vt:lpstr>A1_B_L34</vt:lpstr>
      <vt:lpstr>A1_B_L35</vt:lpstr>
      <vt:lpstr>A1_B_L36</vt:lpstr>
      <vt:lpstr>A1_B_L37</vt:lpstr>
      <vt:lpstr>A1_B_L38</vt:lpstr>
      <vt:lpstr>A1_B_L39</vt:lpstr>
      <vt:lpstr>A1_B_L4</vt:lpstr>
      <vt:lpstr>A1_B_L40</vt:lpstr>
      <vt:lpstr>A1_B_L5</vt:lpstr>
      <vt:lpstr>A1_B_L6</vt:lpstr>
      <vt:lpstr>A1_B_L7</vt:lpstr>
      <vt:lpstr>A1_B_L8</vt:lpstr>
      <vt:lpstr>A1_B_L9</vt:lpstr>
      <vt:lpstr>A1_C</vt:lpstr>
      <vt:lpstr>A1_C_L1</vt:lpstr>
      <vt:lpstr>A1_C_L10</vt:lpstr>
      <vt:lpstr>A1_C_L11</vt:lpstr>
      <vt:lpstr>A1_C_L12</vt:lpstr>
      <vt:lpstr>A1_C_L13</vt:lpstr>
      <vt:lpstr>A1_C_L14</vt:lpstr>
      <vt:lpstr>A1_C_L15</vt:lpstr>
      <vt:lpstr>A1_C_L16</vt:lpstr>
      <vt:lpstr>A1_C_L17</vt:lpstr>
      <vt:lpstr>A1_C_L18</vt:lpstr>
      <vt:lpstr>A1_C_L19</vt:lpstr>
      <vt:lpstr>A1_C_L2</vt:lpstr>
      <vt:lpstr>A1_C_L20</vt:lpstr>
      <vt:lpstr>A1_C_L21</vt:lpstr>
      <vt:lpstr>A1_C_L22</vt:lpstr>
      <vt:lpstr>A1_C_L23</vt:lpstr>
      <vt:lpstr>A1_C_L24</vt:lpstr>
      <vt:lpstr>A1_C_L25</vt:lpstr>
      <vt:lpstr>A1_C_L26</vt:lpstr>
      <vt:lpstr>A1_C_L27</vt:lpstr>
      <vt:lpstr>A1_C_L28</vt:lpstr>
      <vt:lpstr>A1_C_L29</vt:lpstr>
      <vt:lpstr>A1_C_L3</vt:lpstr>
      <vt:lpstr>A1_C_L30</vt:lpstr>
      <vt:lpstr>A1_C_L31</vt:lpstr>
      <vt:lpstr>A1_C_L32</vt:lpstr>
      <vt:lpstr>A1_C_L33</vt:lpstr>
      <vt:lpstr>A1_C_L34</vt:lpstr>
      <vt:lpstr>A1_C_L35</vt:lpstr>
      <vt:lpstr>A1_C_L36</vt:lpstr>
      <vt:lpstr>A1_C_L37</vt:lpstr>
      <vt:lpstr>A1_C_L38</vt:lpstr>
      <vt:lpstr>A1_C_L39</vt:lpstr>
      <vt:lpstr>A1_C_L4</vt:lpstr>
      <vt:lpstr>A1_C_L40</vt:lpstr>
      <vt:lpstr>A1_C_L5</vt:lpstr>
      <vt:lpstr>A1_C_L6</vt:lpstr>
      <vt:lpstr>A1_C_L7</vt:lpstr>
      <vt:lpstr>A1_C_L8</vt:lpstr>
      <vt:lpstr>A1_C_L9</vt:lpstr>
      <vt:lpstr>A1_D</vt:lpstr>
      <vt:lpstr>A1_D_L1</vt:lpstr>
      <vt:lpstr>A1_D_L10</vt:lpstr>
      <vt:lpstr>A1_D_L11</vt:lpstr>
      <vt:lpstr>A1_D_L12</vt:lpstr>
      <vt:lpstr>A1_D_L13</vt:lpstr>
      <vt:lpstr>A1_D_L14</vt:lpstr>
      <vt:lpstr>A1_D_L15</vt:lpstr>
      <vt:lpstr>A1_D_L16</vt:lpstr>
      <vt:lpstr>A1_D_L17</vt:lpstr>
      <vt:lpstr>A1_D_L18</vt:lpstr>
      <vt:lpstr>A1_D_L19</vt:lpstr>
      <vt:lpstr>A1_D_L2</vt:lpstr>
      <vt:lpstr>A1_D_L20</vt:lpstr>
      <vt:lpstr>A1_D_L21</vt:lpstr>
      <vt:lpstr>A1_D_L22</vt:lpstr>
      <vt:lpstr>A1_D_L23</vt:lpstr>
      <vt:lpstr>A1_D_L24</vt:lpstr>
      <vt:lpstr>A1_D_L25</vt:lpstr>
      <vt:lpstr>A1_D_L26</vt:lpstr>
      <vt:lpstr>A1_D_L27</vt:lpstr>
      <vt:lpstr>A1_D_L28</vt:lpstr>
      <vt:lpstr>A1_D_L29</vt:lpstr>
      <vt:lpstr>A1_D_L3</vt:lpstr>
      <vt:lpstr>A1_D_L30</vt:lpstr>
      <vt:lpstr>A1_D_L31</vt:lpstr>
      <vt:lpstr>A1_D_L32</vt:lpstr>
      <vt:lpstr>A1_D_L33</vt:lpstr>
      <vt:lpstr>A1_D_L34</vt:lpstr>
      <vt:lpstr>A1_D_L35</vt:lpstr>
      <vt:lpstr>A1_D_L36</vt:lpstr>
      <vt:lpstr>A1_D_L37</vt:lpstr>
      <vt:lpstr>A1_D_L38</vt:lpstr>
      <vt:lpstr>A1_D_L39</vt:lpstr>
      <vt:lpstr>A1_D_L4</vt:lpstr>
      <vt:lpstr>A1_D_L40</vt:lpstr>
      <vt:lpstr>A1_D_L5</vt:lpstr>
      <vt:lpstr>A1_D_L6</vt:lpstr>
      <vt:lpstr>A1_D_L7</vt:lpstr>
      <vt:lpstr>A1_D_L8</vt:lpstr>
      <vt:lpstr>A1_D_L9</vt:lpstr>
      <vt:lpstr>A1_L1</vt:lpstr>
      <vt:lpstr>A1_L10</vt:lpstr>
      <vt:lpstr>A1_L11</vt:lpstr>
      <vt:lpstr>A1_L12</vt:lpstr>
      <vt:lpstr>A1_L13</vt:lpstr>
      <vt:lpstr>A1_L14</vt:lpstr>
      <vt:lpstr>A1_L15</vt:lpstr>
      <vt:lpstr>A1_L16</vt:lpstr>
      <vt:lpstr>A1_L17</vt:lpstr>
      <vt:lpstr>A1_L18</vt:lpstr>
      <vt:lpstr>A1_L19</vt:lpstr>
      <vt:lpstr>A1_L2</vt:lpstr>
      <vt:lpstr>A1_L20</vt:lpstr>
      <vt:lpstr>A1_L21</vt:lpstr>
      <vt:lpstr>A1_L22</vt:lpstr>
      <vt:lpstr>A1_L23</vt:lpstr>
      <vt:lpstr>A1_L24</vt:lpstr>
      <vt:lpstr>A1_L25</vt:lpstr>
      <vt:lpstr>A1_L26</vt:lpstr>
      <vt:lpstr>A1_L27</vt:lpstr>
      <vt:lpstr>A1_L28</vt:lpstr>
      <vt:lpstr>A1_L29</vt:lpstr>
      <vt:lpstr>A1_L3</vt:lpstr>
      <vt:lpstr>A1_L30</vt:lpstr>
      <vt:lpstr>A1_L31</vt:lpstr>
      <vt:lpstr>A1_L32</vt:lpstr>
      <vt:lpstr>A1_L33</vt:lpstr>
      <vt:lpstr>A1_L34</vt:lpstr>
      <vt:lpstr>A1_L35</vt:lpstr>
      <vt:lpstr>A1_L36</vt:lpstr>
      <vt:lpstr>A1_L37</vt:lpstr>
      <vt:lpstr>A1_L38</vt:lpstr>
      <vt:lpstr>A1_L39</vt:lpstr>
      <vt:lpstr>A1_L4</vt:lpstr>
      <vt:lpstr>A1_L40</vt:lpstr>
      <vt:lpstr>A1_L5</vt:lpstr>
      <vt:lpstr>A1_L6</vt:lpstr>
      <vt:lpstr>A1_L7</vt:lpstr>
      <vt:lpstr>A1_L8</vt:lpstr>
      <vt:lpstr>A1_L9</vt:lpstr>
      <vt:lpstr>A1_X</vt:lpstr>
      <vt:lpstr>A1_X_L1</vt:lpstr>
      <vt:lpstr>A1_X_L10</vt:lpstr>
      <vt:lpstr>A1_X_L11</vt:lpstr>
      <vt:lpstr>A1_X_L12</vt:lpstr>
      <vt:lpstr>A1_X_L13</vt:lpstr>
      <vt:lpstr>A1_X_L14</vt:lpstr>
      <vt:lpstr>A1_X_L15</vt:lpstr>
      <vt:lpstr>A1_X_L16</vt:lpstr>
      <vt:lpstr>A1_X_L17</vt:lpstr>
      <vt:lpstr>A1_X_L18</vt:lpstr>
      <vt:lpstr>A1_X_L19</vt:lpstr>
      <vt:lpstr>A1_X_L2</vt:lpstr>
      <vt:lpstr>A1_X_L20</vt:lpstr>
      <vt:lpstr>A1_X_L21</vt:lpstr>
      <vt:lpstr>A1_X_L22</vt:lpstr>
      <vt:lpstr>A1_X_L23</vt:lpstr>
      <vt:lpstr>A1_X_L24</vt:lpstr>
      <vt:lpstr>A1_X_L25</vt:lpstr>
      <vt:lpstr>A1_X_L26</vt:lpstr>
      <vt:lpstr>A1_X_L27</vt:lpstr>
      <vt:lpstr>A1_X_L28</vt:lpstr>
      <vt:lpstr>A1_X_L29</vt:lpstr>
      <vt:lpstr>A1_X_L3</vt:lpstr>
      <vt:lpstr>A1_X_L30</vt:lpstr>
      <vt:lpstr>A1_X_L31</vt:lpstr>
      <vt:lpstr>A1_X_L32</vt:lpstr>
      <vt:lpstr>A1_X_L33</vt:lpstr>
      <vt:lpstr>A1_X_L34</vt:lpstr>
      <vt:lpstr>A1_X_L35</vt:lpstr>
      <vt:lpstr>A1_X_L36</vt:lpstr>
      <vt:lpstr>A1_X_L37</vt:lpstr>
      <vt:lpstr>A1_X_L38</vt:lpstr>
      <vt:lpstr>A1_X_L39</vt:lpstr>
      <vt:lpstr>A1_X_L4</vt:lpstr>
      <vt:lpstr>A1_X_L40</vt:lpstr>
      <vt:lpstr>A1_X_L5</vt:lpstr>
      <vt:lpstr>A1_X_L6</vt:lpstr>
      <vt:lpstr>A1_X_L7</vt:lpstr>
      <vt:lpstr>A1_X_L8</vt:lpstr>
      <vt:lpstr>A1_X_L9</vt:lpstr>
      <vt:lpstr>A1_Y</vt:lpstr>
      <vt:lpstr>A1_Y_L1</vt:lpstr>
      <vt:lpstr>A1_Y_L10</vt:lpstr>
      <vt:lpstr>A1_Y_L11</vt:lpstr>
      <vt:lpstr>A1_Y_L12</vt:lpstr>
      <vt:lpstr>A1_Y_L13</vt:lpstr>
      <vt:lpstr>A1_Y_L14</vt:lpstr>
      <vt:lpstr>A1_Y_L15</vt:lpstr>
      <vt:lpstr>A1_Y_L16</vt:lpstr>
      <vt:lpstr>A1_Y_L17</vt:lpstr>
      <vt:lpstr>A1_Y_L18</vt:lpstr>
      <vt:lpstr>A1_Y_L19</vt:lpstr>
      <vt:lpstr>A1_Y_L2</vt:lpstr>
      <vt:lpstr>A1_Y_L20</vt:lpstr>
      <vt:lpstr>A1_Y_L21</vt:lpstr>
      <vt:lpstr>A1_Y_L22</vt:lpstr>
      <vt:lpstr>A1_Y_L23</vt:lpstr>
      <vt:lpstr>A1_Y_L24</vt:lpstr>
      <vt:lpstr>A1_Y_L25</vt:lpstr>
      <vt:lpstr>A1_Y_L26</vt:lpstr>
      <vt:lpstr>A1_Y_L27</vt:lpstr>
      <vt:lpstr>A1_Y_L28</vt:lpstr>
      <vt:lpstr>A1_Y_L29</vt:lpstr>
      <vt:lpstr>A1_Y_L3</vt:lpstr>
      <vt:lpstr>A1_Y_L30</vt:lpstr>
      <vt:lpstr>A1_Y_L31</vt:lpstr>
      <vt:lpstr>A1_Y_L32</vt:lpstr>
      <vt:lpstr>A1_Y_L33</vt:lpstr>
      <vt:lpstr>A1_Y_L34</vt:lpstr>
      <vt:lpstr>A1_Y_L35</vt:lpstr>
      <vt:lpstr>A1_Y_L36</vt:lpstr>
      <vt:lpstr>A1_Y_L37</vt:lpstr>
      <vt:lpstr>A1_Y_L38</vt:lpstr>
      <vt:lpstr>A1_Y_L39</vt:lpstr>
      <vt:lpstr>A1_Y_L4</vt:lpstr>
      <vt:lpstr>A1_Y_L40</vt:lpstr>
      <vt:lpstr>A1_Y_L5</vt:lpstr>
      <vt:lpstr>A1_Y_L6</vt:lpstr>
      <vt:lpstr>A1_Y_L7</vt:lpstr>
      <vt:lpstr>A1_Y_L8</vt:lpstr>
      <vt:lpstr>A1_Y_L9</vt:lpstr>
      <vt:lpstr>A1_Z</vt:lpstr>
      <vt:lpstr>A1_Z_L1</vt:lpstr>
      <vt:lpstr>A1_Z_L10</vt:lpstr>
      <vt:lpstr>A1_Z_L11</vt:lpstr>
      <vt:lpstr>A1_Z_L12</vt:lpstr>
      <vt:lpstr>A1_Z_L13</vt:lpstr>
      <vt:lpstr>A1_Z_L14</vt:lpstr>
      <vt:lpstr>A1_Z_L15</vt:lpstr>
      <vt:lpstr>A1_Z_L16</vt:lpstr>
      <vt:lpstr>A1_Z_L17</vt:lpstr>
      <vt:lpstr>A1_Z_L18</vt:lpstr>
      <vt:lpstr>A1_Z_L19</vt:lpstr>
      <vt:lpstr>A1_Z_L2</vt:lpstr>
      <vt:lpstr>A1_Z_L20</vt:lpstr>
      <vt:lpstr>A1_Z_L21</vt:lpstr>
      <vt:lpstr>A1_Z_L22</vt:lpstr>
      <vt:lpstr>A1_Z_L23</vt:lpstr>
      <vt:lpstr>A1_Z_L24</vt:lpstr>
      <vt:lpstr>A1_Z_L25</vt:lpstr>
      <vt:lpstr>A1_Z_L26</vt:lpstr>
      <vt:lpstr>A1_Z_L27</vt:lpstr>
      <vt:lpstr>A1_Z_L28</vt:lpstr>
      <vt:lpstr>A1_Z_L29</vt:lpstr>
      <vt:lpstr>A1_Z_L3</vt:lpstr>
      <vt:lpstr>A1_Z_L30</vt:lpstr>
      <vt:lpstr>A1_Z_L31</vt:lpstr>
      <vt:lpstr>A1_Z_L32</vt:lpstr>
      <vt:lpstr>A1_Z_L33</vt:lpstr>
      <vt:lpstr>A1_Z_L34</vt:lpstr>
      <vt:lpstr>A1_Z_L35</vt:lpstr>
      <vt:lpstr>A1_Z_L36</vt:lpstr>
      <vt:lpstr>A1_Z_L37</vt:lpstr>
      <vt:lpstr>A1_Z_L38</vt:lpstr>
      <vt:lpstr>A1_Z_L39</vt:lpstr>
      <vt:lpstr>A1_Z_L4</vt:lpstr>
      <vt:lpstr>A1_Z_L40</vt:lpstr>
      <vt:lpstr>A1_Z_L5</vt:lpstr>
      <vt:lpstr>A1_Z_L6</vt:lpstr>
      <vt:lpstr>A1_Z_L7</vt:lpstr>
      <vt:lpstr>A1_Z_L8</vt:lpstr>
      <vt:lpstr>A1_Z_L9</vt:lpstr>
      <vt:lpstr>A10_A</vt:lpstr>
      <vt:lpstr>A10_A_L1</vt:lpstr>
      <vt:lpstr>A10_A_L10</vt:lpstr>
      <vt:lpstr>A10_A_L11</vt:lpstr>
      <vt:lpstr>A10_A_L12</vt:lpstr>
      <vt:lpstr>A10_A_L13</vt:lpstr>
      <vt:lpstr>A10_A_L14</vt:lpstr>
      <vt:lpstr>A10_A_L15</vt:lpstr>
      <vt:lpstr>A10_A_L16</vt:lpstr>
      <vt:lpstr>A10_A_L17</vt:lpstr>
      <vt:lpstr>A10_A_L18</vt:lpstr>
      <vt:lpstr>A10_A_L19</vt:lpstr>
      <vt:lpstr>A10_A_L2</vt:lpstr>
      <vt:lpstr>A10_A_L20</vt:lpstr>
      <vt:lpstr>A10_A_L21</vt:lpstr>
      <vt:lpstr>A10_A_L22</vt:lpstr>
      <vt:lpstr>A10_A_L23</vt:lpstr>
      <vt:lpstr>A10_A_L24</vt:lpstr>
      <vt:lpstr>A10_A_L25</vt:lpstr>
      <vt:lpstr>A10_A_L26</vt:lpstr>
      <vt:lpstr>A10_A_L27</vt:lpstr>
      <vt:lpstr>A10_A_L28</vt:lpstr>
      <vt:lpstr>A10_A_L29</vt:lpstr>
      <vt:lpstr>A10_A_L3</vt:lpstr>
      <vt:lpstr>A10_A_L30</vt:lpstr>
      <vt:lpstr>A10_A_L31</vt:lpstr>
      <vt:lpstr>A10_A_L32</vt:lpstr>
      <vt:lpstr>A10_A_L33</vt:lpstr>
      <vt:lpstr>A10_A_L34</vt:lpstr>
      <vt:lpstr>A10_A_L35</vt:lpstr>
      <vt:lpstr>A10_A_L36</vt:lpstr>
      <vt:lpstr>A10_A_L37</vt:lpstr>
      <vt:lpstr>A10_A_L38</vt:lpstr>
      <vt:lpstr>A10_A_L39</vt:lpstr>
      <vt:lpstr>A10_A_L4</vt:lpstr>
      <vt:lpstr>A10_A_L40</vt:lpstr>
      <vt:lpstr>A10_A_L5</vt:lpstr>
      <vt:lpstr>A10_A_L6</vt:lpstr>
      <vt:lpstr>A10_A_L7</vt:lpstr>
      <vt:lpstr>A10_A_L8</vt:lpstr>
      <vt:lpstr>A10_A_L9</vt:lpstr>
      <vt:lpstr>A10_B</vt:lpstr>
      <vt:lpstr>A10_B_L1</vt:lpstr>
      <vt:lpstr>A10_B_L10</vt:lpstr>
      <vt:lpstr>A10_B_L11</vt:lpstr>
      <vt:lpstr>A10_B_L12</vt:lpstr>
      <vt:lpstr>A10_B_L13</vt:lpstr>
      <vt:lpstr>A10_B_L14</vt:lpstr>
      <vt:lpstr>A10_B_L15</vt:lpstr>
      <vt:lpstr>A10_B_L16</vt:lpstr>
      <vt:lpstr>A10_B_L17</vt:lpstr>
      <vt:lpstr>A10_B_L18</vt:lpstr>
      <vt:lpstr>A10_B_L19</vt:lpstr>
      <vt:lpstr>A10_B_L2</vt:lpstr>
      <vt:lpstr>A10_B_L20</vt:lpstr>
      <vt:lpstr>A10_B_L21</vt:lpstr>
      <vt:lpstr>A10_B_L22</vt:lpstr>
      <vt:lpstr>A10_B_L23</vt:lpstr>
      <vt:lpstr>A10_B_L24</vt:lpstr>
      <vt:lpstr>A10_B_L25</vt:lpstr>
      <vt:lpstr>A10_B_L26</vt:lpstr>
      <vt:lpstr>A10_B_L27</vt:lpstr>
      <vt:lpstr>A10_B_L28</vt:lpstr>
      <vt:lpstr>A10_B_L29</vt:lpstr>
      <vt:lpstr>A10_B_L3</vt:lpstr>
      <vt:lpstr>A10_B_L30</vt:lpstr>
      <vt:lpstr>A10_B_L31</vt:lpstr>
      <vt:lpstr>A10_B_L32</vt:lpstr>
      <vt:lpstr>A10_B_L33</vt:lpstr>
      <vt:lpstr>A10_B_L34</vt:lpstr>
      <vt:lpstr>A10_B_L35</vt:lpstr>
      <vt:lpstr>A10_B_L36</vt:lpstr>
      <vt:lpstr>A10_B_L37</vt:lpstr>
      <vt:lpstr>A10_B_L38</vt:lpstr>
      <vt:lpstr>A10_B_L39</vt:lpstr>
      <vt:lpstr>A10_B_L4</vt:lpstr>
      <vt:lpstr>A10_B_L40</vt:lpstr>
      <vt:lpstr>A10_B_L5</vt:lpstr>
      <vt:lpstr>A10_B_L6</vt:lpstr>
      <vt:lpstr>A10_B_L7</vt:lpstr>
      <vt:lpstr>A10_B_L8</vt:lpstr>
      <vt:lpstr>A10_B_L9</vt:lpstr>
      <vt:lpstr>A10_C</vt:lpstr>
      <vt:lpstr>A10_C_L1</vt:lpstr>
      <vt:lpstr>A10_C_L10</vt:lpstr>
      <vt:lpstr>A10_C_L11</vt:lpstr>
      <vt:lpstr>A10_C_L12</vt:lpstr>
      <vt:lpstr>A10_C_L13</vt:lpstr>
      <vt:lpstr>A10_C_L14</vt:lpstr>
      <vt:lpstr>A10_C_L15</vt:lpstr>
      <vt:lpstr>A10_C_L16</vt:lpstr>
      <vt:lpstr>A10_C_L17</vt:lpstr>
      <vt:lpstr>A10_C_L18</vt:lpstr>
      <vt:lpstr>A10_C_L19</vt:lpstr>
      <vt:lpstr>A10_C_L2</vt:lpstr>
      <vt:lpstr>A10_C_L20</vt:lpstr>
      <vt:lpstr>A10_C_L21</vt:lpstr>
      <vt:lpstr>A10_C_L22</vt:lpstr>
      <vt:lpstr>A10_C_L23</vt:lpstr>
      <vt:lpstr>A10_C_L24</vt:lpstr>
      <vt:lpstr>A10_C_L25</vt:lpstr>
      <vt:lpstr>A10_C_L26</vt:lpstr>
      <vt:lpstr>A10_C_L27</vt:lpstr>
      <vt:lpstr>A10_C_L28</vt:lpstr>
      <vt:lpstr>A10_C_L29</vt:lpstr>
      <vt:lpstr>A10_C_L3</vt:lpstr>
      <vt:lpstr>A10_C_L30</vt:lpstr>
      <vt:lpstr>A10_C_L31</vt:lpstr>
      <vt:lpstr>A10_C_L32</vt:lpstr>
      <vt:lpstr>A10_C_L33</vt:lpstr>
      <vt:lpstr>A10_C_L34</vt:lpstr>
      <vt:lpstr>A10_C_L35</vt:lpstr>
      <vt:lpstr>A10_C_L36</vt:lpstr>
      <vt:lpstr>A10_C_L37</vt:lpstr>
      <vt:lpstr>A10_C_L38</vt:lpstr>
      <vt:lpstr>A10_C_L39</vt:lpstr>
      <vt:lpstr>A10_C_L4</vt:lpstr>
      <vt:lpstr>A10_C_L40</vt:lpstr>
      <vt:lpstr>A10_C_L5</vt:lpstr>
      <vt:lpstr>A10_C_L6</vt:lpstr>
      <vt:lpstr>A10_C_L7</vt:lpstr>
      <vt:lpstr>A10_C_L8</vt:lpstr>
      <vt:lpstr>A10_C_L9</vt:lpstr>
      <vt:lpstr>A10_D</vt:lpstr>
      <vt:lpstr>A10_D_L1</vt:lpstr>
      <vt:lpstr>A10_D_L10</vt:lpstr>
      <vt:lpstr>A10_D_L11</vt:lpstr>
      <vt:lpstr>A10_D_L12</vt:lpstr>
      <vt:lpstr>A10_D_L13</vt:lpstr>
      <vt:lpstr>A10_D_L14</vt:lpstr>
      <vt:lpstr>A10_D_L15</vt:lpstr>
      <vt:lpstr>A10_D_L16</vt:lpstr>
      <vt:lpstr>A10_D_L17</vt:lpstr>
      <vt:lpstr>A10_D_L18</vt:lpstr>
      <vt:lpstr>A10_D_L19</vt:lpstr>
      <vt:lpstr>A10_D_L2</vt:lpstr>
      <vt:lpstr>A10_D_L20</vt:lpstr>
      <vt:lpstr>A10_D_L21</vt:lpstr>
      <vt:lpstr>A10_D_L22</vt:lpstr>
      <vt:lpstr>A10_D_L23</vt:lpstr>
      <vt:lpstr>A10_D_L24</vt:lpstr>
      <vt:lpstr>A10_D_L25</vt:lpstr>
      <vt:lpstr>A10_D_L26</vt:lpstr>
      <vt:lpstr>A10_D_L27</vt:lpstr>
      <vt:lpstr>A10_D_L28</vt:lpstr>
      <vt:lpstr>A10_D_L29</vt:lpstr>
      <vt:lpstr>A10_D_L3</vt:lpstr>
      <vt:lpstr>A10_D_L30</vt:lpstr>
      <vt:lpstr>A10_D_L31</vt:lpstr>
      <vt:lpstr>A10_D_L32</vt:lpstr>
      <vt:lpstr>A10_D_L33</vt:lpstr>
      <vt:lpstr>A10_D_L34</vt:lpstr>
      <vt:lpstr>A10_D_L35</vt:lpstr>
      <vt:lpstr>A10_D_L36</vt:lpstr>
      <vt:lpstr>A10_D_L37</vt:lpstr>
      <vt:lpstr>A10_D_L38</vt:lpstr>
      <vt:lpstr>A10_D_L39</vt:lpstr>
      <vt:lpstr>A10_D_L4</vt:lpstr>
      <vt:lpstr>A10_D_L40</vt:lpstr>
      <vt:lpstr>A10_D_L5</vt:lpstr>
      <vt:lpstr>A10_D_L6</vt:lpstr>
      <vt:lpstr>A10_D_L7</vt:lpstr>
      <vt:lpstr>A10_D_L8</vt:lpstr>
      <vt:lpstr>A10_D_L9</vt:lpstr>
      <vt:lpstr>A10_L1</vt:lpstr>
      <vt:lpstr>A10_L10</vt:lpstr>
      <vt:lpstr>A10_L11</vt:lpstr>
      <vt:lpstr>A10_L12</vt:lpstr>
      <vt:lpstr>A10_L13</vt:lpstr>
      <vt:lpstr>A10_L14</vt:lpstr>
      <vt:lpstr>A10_L15</vt:lpstr>
      <vt:lpstr>A10_L16</vt:lpstr>
      <vt:lpstr>A10_L17</vt:lpstr>
      <vt:lpstr>A10_L18</vt:lpstr>
      <vt:lpstr>A10_L19</vt:lpstr>
      <vt:lpstr>A10_L2</vt:lpstr>
      <vt:lpstr>A10_L20</vt:lpstr>
      <vt:lpstr>A10_L21</vt:lpstr>
      <vt:lpstr>A10_L22</vt:lpstr>
      <vt:lpstr>A10_L23</vt:lpstr>
      <vt:lpstr>A10_L24</vt:lpstr>
      <vt:lpstr>A10_L25</vt:lpstr>
      <vt:lpstr>A10_L26</vt:lpstr>
      <vt:lpstr>A10_L27</vt:lpstr>
      <vt:lpstr>A10_L28</vt:lpstr>
      <vt:lpstr>A10_L29</vt:lpstr>
      <vt:lpstr>A10_L3</vt:lpstr>
      <vt:lpstr>A10_L30</vt:lpstr>
      <vt:lpstr>A10_L31</vt:lpstr>
      <vt:lpstr>A10_L32</vt:lpstr>
      <vt:lpstr>A10_L33</vt:lpstr>
      <vt:lpstr>A10_L34</vt:lpstr>
      <vt:lpstr>A10_L35</vt:lpstr>
      <vt:lpstr>A10_L36</vt:lpstr>
      <vt:lpstr>A10_L37</vt:lpstr>
      <vt:lpstr>A10_L38</vt:lpstr>
      <vt:lpstr>A10_L39</vt:lpstr>
      <vt:lpstr>A10_L4</vt:lpstr>
      <vt:lpstr>A10_L40</vt:lpstr>
      <vt:lpstr>A10_L5</vt:lpstr>
      <vt:lpstr>A10_L6</vt:lpstr>
      <vt:lpstr>A10_L7</vt:lpstr>
      <vt:lpstr>A10_L8</vt:lpstr>
      <vt:lpstr>A10_L9</vt:lpstr>
      <vt:lpstr>A10_X</vt:lpstr>
      <vt:lpstr>A10_X_L1</vt:lpstr>
      <vt:lpstr>A10_X_L10</vt:lpstr>
      <vt:lpstr>A10_X_L11</vt:lpstr>
      <vt:lpstr>A10_X_L12</vt:lpstr>
      <vt:lpstr>A10_X_L13</vt:lpstr>
      <vt:lpstr>A10_X_L14</vt:lpstr>
      <vt:lpstr>A10_X_L15</vt:lpstr>
      <vt:lpstr>A10_X_L16</vt:lpstr>
      <vt:lpstr>A10_X_L17</vt:lpstr>
      <vt:lpstr>A10_X_L18</vt:lpstr>
      <vt:lpstr>A10_X_L19</vt:lpstr>
      <vt:lpstr>A10_X_L2</vt:lpstr>
      <vt:lpstr>A10_X_L20</vt:lpstr>
      <vt:lpstr>A10_X_L21</vt:lpstr>
      <vt:lpstr>A10_X_L22</vt:lpstr>
      <vt:lpstr>A10_X_L23</vt:lpstr>
      <vt:lpstr>A10_X_L24</vt:lpstr>
      <vt:lpstr>A10_X_L25</vt:lpstr>
      <vt:lpstr>A10_X_L26</vt:lpstr>
      <vt:lpstr>A10_X_L27</vt:lpstr>
      <vt:lpstr>A10_X_L28</vt:lpstr>
      <vt:lpstr>A10_X_L29</vt:lpstr>
      <vt:lpstr>A10_X_L3</vt:lpstr>
      <vt:lpstr>A10_X_L30</vt:lpstr>
      <vt:lpstr>A10_X_L31</vt:lpstr>
      <vt:lpstr>A10_X_L32</vt:lpstr>
      <vt:lpstr>A10_X_L33</vt:lpstr>
      <vt:lpstr>A10_X_L34</vt:lpstr>
      <vt:lpstr>A10_X_L35</vt:lpstr>
      <vt:lpstr>A10_X_L36</vt:lpstr>
      <vt:lpstr>A10_X_L37</vt:lpstr>
      <vt:lpstr>A10_X_L38</vt:lpstr>
      <vt:lpstr>A10_X_L39</vt:lpstr>
      <vt:lpstr>A10_X_L4</vt:lpstr>
      <vt:lpstr>A10_X_L40</vt:lpstr>
      <vt:lpstr>A10_X_L5</vt:lpstr>
      <vt:lpstr>A10_X_L6</vt:lpstr>
      <vt:lpstr>A10_X_L7</vt:lpstr>
      <vt:lpstr>A10_X_L8</vt:lpstr>
      <vt:lpstr>A10_X_L9</vt:lpstr>
      <vt:lpstr>A10_Y</vt:lpstr>
      <vt:lpstr>A10_Y_L1</vt:lpstr>
      <vt:lpstr>A10_Y_L10</vt:lpstr>
      <vt:lpstr>A10_Y_L11</vt:lpstr>
      <vt:lpstr>A10_Y_L12</vt:lpstr>
      <vt:lpstr>A10_Y_L13</vt:lpstr>
      <vt:lpstr>A10_Y_L14</vt:lpstr>
      <vt:lpstr>A10_Y_L15</vt:lpstr>
      <vt:lpstr>A10_Y_L16</vt:lpstr>
      <vt:lpstr>A10_Y_L17</vt:lpstr>
      <vt:lpstr>A10_Y_L18</vt:lpstr>
      <vt:lpstr>A10_Y_L19</vt:lpstr>
      <vt:lpstr>A10_Y_L2</vt:lpstr>
      <vt:lpstr>A10_Y_L20</vt:lpstr>
      <vt:lpstr>A10_Y_L21</vt:lpstr>
      <vt:lpstr>A10_Y_L22</vt:lpstr>
      <vt:lpstr>A10_Y_L23</vt:lpstr>
      <vt:lpstr>A10_Y_L24</vt:lpstr>
      <vt:lpstr>A10_Y_L25</vt:lpstr>
      <vt:lpstr>A10_Y_L26</vt:lpstr>
      <vt:lpstr>A10_Y_L27</vt:lpstr>
      <vt:lpstr>A10_Y_L28</vt:lpstr>
      <vt:lpstr>A10_Y_L29</vt:lpstr>
      <vt:lpstr>A10_Y_L3</vt:lpstr>
      <vt:lpstr>A10_Y_L30</vt:lpstr>
      <vt:lpstr>A10_Y_L31</vt:lpstr>
      <vt:lpstr>A10_Y_L32</vt:lpstr>
      <vt:lpstr>A10_Y_L33</vt:lpstr>
      <vt:lpstr>A10_Y_L34</vt:lpstr>
      <vt:lpstr>A10_Y_L35</vt:lpstr>
      <vt:lpstr>A10_Y_L36</vt:lpstr>
      <vt:lpstr>A10_Y_L37</vt:lpstr>
      <vt:lpstr>A10_Y_L38</vt:lpstr>
      <vt:lpstr>A10_Y_L39</vt:lpstr>
      <vt:lpstr>A10_Y_L4</vt:lpstr>
      <vt:lpstr>A10_Y_L40</vt:lpstr>
      <vt:lpstr>A10_Y_L5</vt:lpstr>
      <vt:lpstr>A10_Y_L6</vt:lpstr>
      <vt:lpstr>A10_Y_L7</vt:lpstr>
      <vt:lpstr>A10_Y_L8</vt:lpstr>
      <vt:lpstr>A10_Y_L9</vt:lpstr>
      <vt:lpstr>A10_Z</vt:lpstr>
      <vt:lpstr>A10_Z_L1</vt:lpstr>
      <vt:lpstr>A10_Z_L10</vt:lpstr>
      <vt:lpstr>A10_Z_L11</vt:lpstr>
      <vt:lpstr>A10_Z_L12</vt:lpstr>
      <vt:lpstr>A10_Z_L13</vt:lpstr>
      <vt:lpstr>A10_Z_L14</vt:lpstr>
      <vt:lpstr>A10_Z_L15</vt:lpstr>
      <vt:lpstr>A10_Z_L16</vt:lpstr>
      <vt:lpstr>A10_Z_L17</vt:lpstr>
      <vt:lpstr>A10_Z_L18</vt:lpstr>
      <vt:lpstr>A10_Z_L19</vt:lpstr>
      <vt:lpstr>A10_Z_L2</vt:lpstr>
      <vt:lpstr>A10_Z_L20</vt:lpstr>
      <vt:lpstr>A10_Z_L21</vt:lpstr>
      <vt:lpstr>A10_Z_L22</vt:lpstr>
      <vt:lpstr>A10_Z_L23</vt:lpstr>
      <vt:lpstr>A10_Z_L24</vt:lpstr>
      <vt:lpstr>A10_Z_L25</vt:lpstr>
      <vt:lpstr>A10_Z_L26</vt:lpstr>
      <vt:lpstr>A10_Z_L27</vt:lpstr>
      <vt:lpstr>A10_Z_L28</vt:lpstr>
      <vt:lpstr>A10_Z_L29</vt:lpstr>
      <vt:lpstr>A10_Z_L3</vt:lpstr>
      <vt:lpstr>A10_Z_L30</vt:lpstr>
      <vt:lpstr>A10_Z_L31</vt:lpstr>
      <vt:lpstr>A10_Z_L32</vt:lpstr>
      <vt:lpstr>A10_Z_L33</vt:lpstr>
      <vt:lpstr>A10_Z_L34</vt:lpstr>
      <vt:lpstr>A10_Z_L35</vt:lpstr>
      <vt:lpstr>A10_Z_L36</vt:lpstr>
      <vt:lpstr>A10_Z_L37</vt:lpstr>
      <vt:lpstr>A10_Z_L38</vt:lpstr>
      <vt:lpstr>A10_Z_L39</vt:lpstr>
      <vt:lpstr>A10_Z_L4</vt:lpstr>
      <vt:lpstr>A10_Z_L40</vt:lpstr>
      <vt:lpstr>A10_Z_L5</vt:lpstr>
      <vt:lpstr>A10_Z_L6</vt:lpstr>
      <vt:lpstr>A10_Z_L7</vt:lpstr>
      <vt:lpstr>A10_Z_L8</vt:lpstr>
      <vt:lpstr>A10_Z_L9</vt:lpstr>
      <vt:lpstr>A11_A</vt:lpstr>
      <vt:lpstr>A11_A_L1</vt:lpstr>
      <vt:lpstr>A11_A_L10</vt:lpstr>
      <vt:lpstr>A11_A_L11</vt:lpstr>
      <vt:lpstr>A11_A_L12</vt:lpstr>
      <vt:lpstr>A11_A_L13</vt:lpstr>
      <vt:lpstr>A11_A_L14</vt:lpstr>
      <vt:lpstr>A11_A_L15</vt:lpstr>
      <vt:lpstr>A11_A_L16</vt:lpstr>
      <vt:lpstr>A11_A_L17</vt:lpstr>
      <vt:lpstr>A11_A_L18</vt:lpstr>
      <vt:lpstr>A11_A_L19</vt:lpstr>
      <vt:lpstr>A11_A_L2</vt:lpstr>
      <vt:lpstr>A11_A_L20</vt:lpstr>
      <vt:lpstr>A11_A_L21</vt:lpstr>
      <vt:lpstr>A11_A_L22</vt:lpstr>
      <vt:lpstr>A11_A_L23</vt:lpstr>
      <vt:lpstr>A11_A_L24</vt:lpstr>
      <vt:lpstr>A11_A_L25</vt:lpstr>
      <vt:lpstr>A11_A_L26</vt:lpstr>
      <vt:lpstr>A11_A_L27</vt:lpstr>
      <vt:lpstr>A11_A_L28</vt:lpstr>
      <vt:lpstr>A11_A_L29</vt:lpstr>
      <vt:lpstr>A11_A_L3</vt:lpstr>
      <vt:lpstr>A11_A_L30</vt:lpstr>
      <vt:lpstr>A11_A_L31</vt:lpstr>
      <vt:lpstr>A11_A_L32</vt:lpstr>
      <vt:lpstr>A11_A_L33</vt:lpstr>
      <vt:lpstr>A11_A_L34</vt:lpstr>
      <vt:lpstr>A11_A_L35</vt:lpstr>
      <vt:lpstr>A11_A_L36</vt:lpstr>
      <vt:lpstr>A11_A_L37</vt:lpstr>
      <vt:lpstr>A11_A_L38</vt:lpstr>
      <vt:lpstr>A11_A_L39</vt:lpstr>
      <vt:lpstr>A11_A_L4</vt:lpstr>
      <vt:lpstr>A11_A_L40</vt:lpstr>
      <vt:lpstr>A11_A_L5</vt:lpstr>
      <vt:lpstr>A11_A_L6</vt:lpstr>
      <vt:lpstr>A11_A_L7</vt:lpstr>
      <vt:lpstr>A11_A_L8</vt:lpstr>
      <vt:lpstr>A11_A_L9</vt:lpstr>
      <vt:lpstr>A11_B</vt:lpstr>
      <vt:lpstr>A11_B_L1</vt:lpstr>
      <vt:lpstr>A11_B_L10</vt:lpstr>
      <vt:lpstr>A11_B_L11</vt:lpstr>
      <vt:lpstr>A11_B_L12</vt:lpstr>
      <vt:lpstr>A11_B_L13</vt:lpstr>
      <vt:lpstr>A11_B_L14</vt:lpstr>
      <vt:lpstr>A11_B_L15</vt:lpstr>
      <vt:lpstr>A11_B_L16</vt:lpstr>
      <vt:lpstr>A11_B_L17</vt:lpstr>
      <vt:lpstr>A11_B_L18</vt:lpstr>
      <vt:lpstr>A11_B_L19</vt:lpstr>
      <vt:lpstr>A11_B_L2</vt:lpstr>
      <vt:lpstr>A11_B_L20</vt:lpstr>
      <vt:lpstr>A11_B_L21</vt:lpstr>
      <vt:lpstr>A11_B_L22</vt:lpstr>
      <vt:lpstr>A11_B_L23</vt:lpstr>
      <vt:lpstr>A11_B_L24</vt:lpstr>
      <vt:lpstr>A11_B_L25</vt:lpstr>
      <vt:lpstr>A11_B_L26</vt:lpstr>
      <vt:lpstr>A11_B_L27</vt:lpstr>
      <vt:lpstr>A11_B_L28</vt:lpstr>
      <vt:lpstr>A11_B_L29</vt:lpstr>
      <vt:lpstr>A11_B_L3</vt:lpstr>
      <vt:lpstr>A11_B_L30</vt:lpstr>
      <vt:lpstr>A11_B_L31</vt:lpstr>
      <vt:lpstr>A11_B_L32</vt:lpstr>
      <vt:lpstr>A11_B_L33</vt:lpstr>
      <vt:lpstr>A11_B_L34</vt:lpstr>
      <vt:lpstr>A11_B_L35</vt:lpstr>
      <vt:lpstr>A11_B_L36</vt:lpstr>
      <vt:lpstr>A11_B_L37</vt:lpstr>
      <vt:lpstr>A11_B_L38</vt:lpstr>
      <vt:lpstr>A11_B_L39</vt:lpstr>
      <vt:lpstr>A11_B_L4</vt:lpstr>
      <vt:lpstr>A11_B_L40</vt:lpstr>
      <vt:lpstr>A11_B_L5</vt:lpstr>
      <vt:lpstr>A11_B_L6</vt:lpstr>
      <vt:lpstr>A11_B_L7</vt:lpstr>
      <vt:lpstr>A11_B_L8</vt:lpstr>
      <vt:lpstr>A11_B_L9</vt:lpstr>
      <vt:lpstr>A11_C</vt:lpstr>
      <vt:lpstr>A11_C_L1</vt:lpstr>
      <vt:lpstr>A11_C_L10</vt:lpstr>
      <vt:lpstr>A11_C_L11</vt:lpstr>
      <vt:lpstr>A11_C_L12</vt:lpstr>
      <vt:lpstr>A11_C_L13</vt:lpstr>
      <vt:lpstr>A11_C_L14</vt:lpstr>
      <vt:lpstr>A11_C_L15</vt:lpstr>
      <vt:lpstr>A11_C_L16</vt:lpstr>
      <vt:lpstr>A11_C_L17</vt:lpstr>
      <vt:lpstr>A11_C_L18</vt:lpstr>
      <vt:lpstr>A11_C_L19</vt:lpstr>
      <vt:lpstr>A11_C_L2</vt:lpstr>
      <vt:lpstr>A11_C_L20</vt:lpstr>
      <vt:lpstr>A11_C_L21</vt:lpstr>
      <vt:lpstr>A11_C_L22</vt:lpstr>
      <vt:lpstr>A11_C_L23</vt:lpstr>
      <vt:lpstr>A11_C_L24</vt:lpstr>
      <vt:lpstr>A11_C_L25</vt:lpstr>
      <vt:lpstr>A11_C_L26</vt:lpstr>
      <vt:lpstr>A11_C_L27</vt:lpstr>
      <vt:lpstr>A11_C_L28</vt:lpstr>
      <vt:lpstr>A11_C_L29</vt:lpstr>
      <vt:lpstr>A11_C_L3</vt:lpstr>
      <vt:lpstr>A11_C_L30</vt:lpstr>
      <vt:lpstr>A11_C_L31</vt:lpstr>
      <vt:lpstr>A11_C_L32</vt:lpstr>
      <vt:lpstr>A11_C_L33</vt:lpstr>
      <vt:lpstr>A11_C_L34</vt:lpstr>
      <vt:lpstr>A11_C_L35</vt:lpstr>
      <vt:lpstr>A11_C_L36</vt:lpstr>
      <vt:lpstr>A11_C_L37</vt:lpstr>
      <vt:lpstr>A11_C_L38</vt:lpstr>
      <vt:lpstr>A11_C_L39</vt:lpstr>
      <vt:lpstr>A11_C_L4</vt:lpstr>
      <vt:lpstr>A11_C_L40</vt:lpstr>
      <vt:lpstr>A11_C_L5</vt:lpstr>
      <vt:lpstr>A11_C_L6</vt:lpstr>
      <vt:lpstr>A11_C_L7</vt:lpstr>
      <vt:lpstr>A11_C_L8</vt:lpstr>
      <vt:lpstr>A11_C_L9</vt:lpstr>
      <vt:lpstr>A11_D</vt:lpstr>
      <vt:lpstr>A11_D_L1</vt:lpstr>
      <vt:lpstr>A11_D_L10</vt:lpstr>
      <vt:lpstr>A11_D_L11</vt:lpstr>
      <vt:lpstr>A11_D_L12</vt:lpstr>
      <vt:lpstr>A11_D_L13</vt:lpstr>
      <vt:lpstr>A11_D_L14</vt:lpstr>
      <vt:lpstr>A11_D_L15</vt:lpstr>
      <vt:lpstr>A11_D_L16</vt:lpstr>
      <vt:lpstr>A11_D_L17</vt:lpstr>
      <vt:lpstr>A11_D_L18</vt:lpstr>
      <vt:lpstr>A11_D_L19</vt:lpstr>
      <vt:lpstr>A11_D_L2</vt:lpstr>
      <vt:lpstr>A11_D_L20</vt:lpstr>
      <vt:lpstr>A11_D_L21</vt:lpstr>
      <vt:lpstr>A11_D_L22</vt:lpstr>
      <vt:lpstr>A11_D_L23</vt:lpstr>
      <vt:lpstr>A11_D_L24</vt:lpstr>
      <vt:lpstr>A11_D_L25</vt:lpstr>
      <vt:lpstr>A11_D_L26</vt:lpstr>
      <vt:lpstr>A11_D_L27</vt:lpstr>
      <vt:lpstr>A11_D_L28</vt:lpstr>
      <vt:lpstr>A11_D_L29</vt:lpstr>
      <vt:lpstr>A11_D_L3</vt:lpstr>
      <vt:lpstr>A11_D_L30</vt:lpstr>
      <vt:lpstr>A11_D_L31</vt:lpstr>
      <vt:lpstr>A11_D_L32</vt:lpstr>
      <vt:lpstr>A11_D_L33</vt:lpstr>
      <vt:lpstr>A11_D_L34</vt:lpstr>
      <vt:lpstr>A11_D_L35</vt:lpstr>
      <vt:lpstr>A11_D_L36</vt:lpstr>
      <vt:lpstr>A11_D_L37</vt:lpstr>
      <vt:lpstr>A11_D_L38</vt:lpstr>
      <vt:lpstr>A11_D_L39</vt:lpstr>
      <vt:lpstr>A11_D_L4</vt:lpstr>
      <vt:lpstr>A11_D_L40</vt:lpstr>
      <vt:lpstr>A11_D_L5</vt:lpstr>
      <vt:lpstr>A11_D_L6</vt:lpstr>
      <vt:lpstr>A11_D_L7</vt:lpstr>
      <vt:lpstr>A11_D_L8</vt:lpstr>
      <vt:lpstr>A11_D_L9</vt:lpstr>
      <vt:lpstr>A11_L1</vt:lpstr>
      <vt:lpstr>A11_L10</vt:lpstr>
      <vt:lpstr>A11_L11</vt:lpstr>
      <vt:lpstr>A11_L12</vt:lpstr>
      <vt:lpstr>A11_L13</vt:lpstr>
      <vt:lpstr>A11_L14</vt:lpstr>
      <vt:lpstr>A11_L15</vt:lpstr>
      <vt:lpstr>A11_L16</vt:lpstr>
      <vt:lpstr>A11_L17</vt:lpstr>
      <vt:lpstr>A11_L18</vt:lpstr>
      <vt:lpstr>A11_L19</vt:lpstr>
      <vt:lpstr>A11_L2</vt:lpstr>
      <vt:lpstr>A11_L20</vt:lpstr>
      <vt:lpstr>A11_L21</vt:lpstr>
      <vt:lpstr>A11_L22</vt:lpstr>
      <vt:lpstr>A11_L23</vt:lpstr>
      <vt:lpstr>A11_L24</vt:lpstr>
      <vt:lpstr>A11_L25</vt:lpstr>
      <vt:lpstr>A11_L26</vt:lpstr>
      <vt:lpstr>A11_L27</vt:lpstr>
      <vt:lpstr>A11_L28</vt:lpstr>
      <vt:lpstr>A11_L29</vt:lpstr>
      <vt:lpstr>A11_L3</vt:lpstr>
      <vt:lpstr>A11_L30</vt:lpstr>
      <vt:lpstr>A11_L31</vt:lpstr>
      <vt:lpstr>A11_L32</vt:lpstr>
      <vt:lpstr>A11_L33</vt:lpstr>
      <vt:lpstr>A11_L34</vt:lpstr>
      <vt:lpstr>A11_L35</vt:lpstr>
      <vt:lpstr>A11_L36</vt:lpstr>
      <vt:lpstr>A11_L37</vt:lpstr>
      <vt:lpstr>A11_L38</vt:lpstr>
      <vt:lpstr>A11_L39</vt:lpstr>
      <vt:lpstr>A11_L4</vt:lpstr>
      <vt:lpstr>A11_L40</vt:lpstr>
      <vt:lpstr>A11_L5</vt:lpstr>
      <vt:lpstr>A11_L6</vt:lpstr>
      <vt:lpstr>A11_L7</vt:lpstr>
      <vt:lpstr>A11_L8</vt:lpstr>
      <vt:lpstr>A11_L9</vt:lpstr>
      <vt:lpstr>A11_X</vt:lpstr>
      <vt:lpstr>A11_X_L1</vt:lpstr>
      <vt:lpstr>A11_X_L10</vt:lpstr>
      <vt:lpstr>A11_X_L11</vt:lpstr>
      <vt:lpstr>A11_X_L12</vt:lpstr>
      <vt:lpstr>A11_X_L13</vt:lpstr>
      <vt:lpstr>A11_X_L14</vt:lpstr>
      <vt:lpstr>A11_X_L15</vt:lpstr>
      <vt:lpstr>A11_X_L16</vt:lpstr>
      <vt:lpstr>A11_X_L17</vt:lpstr>
      <vt:lpstr>A11_X_L18</vt:lpstr>
      <vt:lpstr>A11_X_L19</vt:lpstr>
      <vt:lpstr>A11_X_L2</vt:lpstr>
      <vt:lpstr>A11_X_L20</vt:lpstr>
      <vt:lpstr>A11_X_L21</vt:lpstr>
      <vt:lpstr>A11_X_L22</vt:lpstr>
      <vt:lpstr>A11_X_L23</vt:lpstr>
      <vt:lpstr>A11_X_L24</vt:lpstr>
      <vt:lpstr>A11_X_L25</vt:lpstr>
      <vt:lpstr>A11_X_L26</vt:lpstr>
      <vt:lpstr>A11_X_L27</vt:lpstr>
      <vt:lpstr>A11_X_L28</vt:lpstr>
      <vt:lpstr>A11_X_L29</vt:lpstr>
      <vt:lpstr>A11_X_L3</vt:lpstr>
      <vt:lpstr>A11_X_L30</vt:lpstr>
      <vt:lpstr>A11_X_L31</vt:lpstr>
      <vt:lpstr>A11_X_L32</vt:lpstr>
      <vt:lpstr>A11_X_L33</vt:lpstr>
      <vt:lpstr>A11_X_L34</vt:lpstr>
      <vt:lpstr>A11_X_L35</vt:lpstr>
      <vt:lpstr>A11_X_L36</vt:lpstr>
      <vt:lpstr>A11_X_L37</vt:lpstr>
      <vt:lpstr>A11_X_L38</vt:lpstr>
      <vt:lpstr>A11_X_L39</vt:lpstr>
      <vt:lpstr>A11_X_L4</vt:lpstr>
      <vt:lpstr>A11_X_L40</vt:lpstr>
      <vt:lpstr>A11_X_L5</vt:lpstr>
      <vt:lpstr>A11_X_L6</vt:lpstr>
      <vt:lpstr>A11_X_L7</vt:lpstr>
      <vt:lpstr>A11_X_L8</vt:lpstr>
      <vt:lpstr>A11_X_L9</vt:lpstr>
      <vt:lpstr>A11_Y</vt:lpstr>
      <vt:lpstr>A11_Y_L1</vt:lpstr>
      <vt:lpstr>A11_Y_L10</vt:lpstr>
      <vt:lpstr>A11_Y_L11</vt:lpstr>
      <vt:lpstr>A11_Y_L12</vt:lpstr>
      <vt:lpstr>A11_Y_L13</vt:lpstr>
      <vt:lpstr>A11_Y_L14</vt:lpstr>
      <vt:lpstr>A11_Y_L15</vt:lpstr>
      <vt:lpstr>A11_Y_L16</vt:lpstr>
      <vt:lpstr>A11_Y_L17</vt:lpstr>
      <vt:lpstr>A11_Y_L18</vt:lpstr>
      <vt:lpstr>A11_Y_L19</vt:lpstr>
      <vt:lpstr>A11_Y_L2</vt:lpstr>
      <vt:lpstr>A11_Y_L20</vt:lpstr>
      <vt:lpstr>A11_Y_L21</vt:lpstr>
      <vt:lpstr>A11_Y_L22</vt:lpstr>
      <vt:lpstr>A11_Y_L23</vt:lpstr>
      <vt:lpstr>A11_Y_L24</vt:lpstr>
      <vt:lpstr>A11_Y_L25</vt:lpstr>
      <vt:lpstr>A11_Y_L26</vt:lpstr>
      <vt:lpstr>A11_Y_L27</vt:lpstr>
      <vt:lpstr>A11_Y_L28</vt:lpstr>
      <vt:lpstr>A11_Y_L29</vt:lpstr>
      <vt:lpstr>A11_Y_L3</vt:lpstr>
      <vt:lpstr>A11_Y_L30</vt:lpstr>
      <vt:lpstr>A11_Y_L31</vt:lpstr>
      <vt:lpstr>A11_Y_L32</vt:lpstr>
      <vt:lpstr>A11_Y_L33</vt:lpstr>
      <vt:lpstr>A11_Y_L34</vt:lpstr>
      <vt:lpstr>A11_Y_L35</vt:lpstr>
      <vt:lpstr>A11_Y_L36</vt:lpstr>
      <vt:lpstr>A11_Y_L37</vt:lpstr>
      <vt:lpstr>A11_Y_L38</vt:lpstr>
      <vt:lpstr>A11_Y_L39</vt:lpstr>
      <vt:lpstr>A11_Y_L4</vt:lpstr>
      <vt:lpstr>A11_Y_L40</vt:lpstr>
      <vt:lpstr>A11_Y_L5</vt:lpstr>
      <vt:lpstr>A11_Y_L6</vt:lpstr>
      <vt:lpstr>A11_Y_L7</vt:lpstr>
      <vt:lpstr>A11_Y_L8</vt:lpstr>
      <vt:lpstr>A11_Y_L9</vt:lpstr>
      <vt:lpstr>A11_Z</vt:lpstr>
      <vt:lpstr>A11_Z_L1</vt:lpstr>
      <vt:lpstr>A11_Z_L10</vt:lpstr>
      <vt:lpstr>A11_Z_L11</vt:lpstr>
      <vt:lpstr>A11_Z_L12</vt:lpstr>
      <vt:lpstr>A11_Z_L13</vt:lpstr>
      <vt:lpstr>A11_Z_L14</vt:lpstr>
      <vt:lpstr>A11_Z_L15</vt:lpstr>
      <vt:lpstr>A11_Z_L16</vt:lpstr>
      <vt:lpstr>A11_Z_L17</vt:lpstr>
      <vt:lpstr>A11_Z_L18</vt:lpstr>
      <vt:lpstr>A11_Z_L19</vt:lpstr>
      <vt:lpstr>A11_Z_L2</vt:lpstr>
      <vt:lpstr>A11_Z_L20</vt:lpstr>
      <vt:lpstr>A11_Z_L21</vt:lpstr>
      <vt:lpstr>A11_Z_L22</vt:lpstr>
      <vt:lpstr>A11_Z_L23</vt:lpstr>
      <vt:lpstr>A11_Z_L24</vt:lpstr>
      <vt:lpstr>A11_Z_L25</vt:lpstr>
      <vt:lpstr>A11_Z_L26</vt:lpstr>
      <vt:lpstr>A11_Z_L27</vt:lpstr>
      <vt:lpstr>A11_Z_L28</vt:lpstr>
      <vt:lpstr>A11_Z_L29</vt:lpstr>
      <vt:lpstr>A11_Z_L3</vt:lpstr>
      <vt:lpstr>A11_Z_L30</vt:lpstr>
      <vt:lpstr>A11_Z_L31</vt:lpstr>
      <vt:lpstr>A11_Z_L32</vt:lpstr>
      <vt:lpstr>A11_Z_L33</vt:lpstr>
      <vt:lpstr>A11_Z_L34</vt:lpstr>
      <vt:lpstr>A11_Z_L35</vt:lpstr>
      <vt:lpstr>A11_Z_L36</vt:lpstr>
      <vt:lpstr>A11_Z_L37</vt:lpstr>
      <vt:lpstr>A11_Z_L38</vt:lpstr>
      <vt:lpstr>A11_Z_L39</vt:lpstr>
      <vt:lpstr>A11_Z_L4</vt:lpstr>
      <vt:lpstr>A11_Z_L40</vt:lpstr>
      <vt:lpstr>A11_Z_L5</vt:lpstr>
      <vt:lpstr>A11_Z_L6</vt:lpstr>
      <vt:lpstr>A11_Z_L7</vt:lpstr>
      <vt:lpstr>A11_Z_L8</vt:lpstr>
      <vt:lpstr>A11_Z_L9</vt:lpstr>
      <vt:lpstr>A12_A</vt:lpstr>
      <vt:lpstr>A12_A_L1</vt:lpstr>
      <vt:lpstr>A12_A_L10</vt:lpstr>
      <vt:lpstr>A12_A_L11</vt:lpstr>
      <vt:lpstr>A12_A_L12</vt:lpstr>
      <vt:lpstr>A12_A_L13</vt:lpstr>
      <vt:lpstr>A12_A_L14</vt:lpstr>
      <vt:lpstr>A12_A_L15</vt:lpstr>
      <vt:lpstr>A12_A_L16</vt:lpstr>
      <vt:lpstr>A12_A_L17</vt:lpstr>
      <vt:lpstr>A12_A_L18</vt:lpstr>
      <vt:lpstr>A12_A_L19</vt:lpstr>
      <vt:lpstr>A12_A_L2</vt:lpstr>
      <vt:lpstr>A12_A_L20</vt:lpstr>
      <vt:lpstr>A12_A_L21</vt:lpstr>
      <vt:lpstr>A12_A_L22</vt:lpstr>
      <vt:lpstr>A12_A_L23</vt:lpstr>
      <vt:lpstr>A12_A_L24</vt:lpstr>
      <vt:lpstr>A12_A_L25</vt:lpstr>
      <vt:lpstr>A12_A_L26</vt:lpstr>
      <vt:lpstr>A12_A_L27</vt:lpstr>
      <vt:lpstr>A12_A_L28</vt:lpstr>
      <vt:lpstr>A12_A_L29</vt:lpstr>
      <vt:lpstr>A12_A_L3</vt:lpstr>
      <vt:lpstr>A12_A_L30</vt:lpstr>
      <vt:lpstr>A12_A_L31</vt:lpstr>
      <vt:lpstr>A12_A_L32</vt:lpstr>
      <vt:lpstr>A12_A_L33</vt:lpstr>
      <vt:lpstr>A12_A_L34</vt:lpstr>
      <vt:lpstr>A12_A_L35</vt:lpstr>
      <vt:lpstr>A12_A_L36</vt:lpstr>
      <vt:lpstr>A12_A_L37</vt:lpstr>
      <vt:lpstr>A12_A_L38</vt:lpstr>
      <vt:lpstr>A12_A_L39</vt:lpstr>
      <vt:lpstr>A12_A_L4</vt:lpstr>
      <vt:lpstr>A12_A_L40</vt:lpstr>
      <vt:lpstr>A12_A_L5</vt:lpstr>
      <vt:lpstr>A12_A_L6</vt:lpstr>
      <vt:lpstr>A12_A_L7</vt:lpstr>
      <vt:lpstr>A12_A_L8</vt:lpstr>
      <vt:lpstr>A12_A_L9</vt:lpstr>
      <vt:lpstr>A12_B</vt:lpstr>
      <vt:lpstr>A12_B_L1</vt:lpstr>
      <vt:lpstr>A12_B_L10</vt:lpstr>
      <vt:lpstr>A12_B_L11</vt:lpstr>
      <vt:lpstr>A12_B_L12</vt:lpstr>
      <vt:lpstr>A12_B_L13</vt:lpstr>
      <vt:lpstr>A12_B_L14</vt:lpstr>
      <vt:lpstr>A12_B_L15</vt:lpstr>
      <vt:lpstr>A12_B_L16</vt:lpstr>
      <vt:lpstr>A12_B_L17</vt:lpstr>
      <vt:lpstr>A12_B_L18</vt:lpstr>
      <vt:lpstr>A12_B_L19</vt:lpstr>
      <vt:lpstr>A12_B_L2</vt:lpstr>
      <vt:lpstr>A12_B_L20</vt:lpstr>
      <vt:lpstr>A12_B_L21</vt:lpstr>
      <vt:lpstr>A12_B_L22</vt:lpstr>
      <vt:lpstr>A12_B_L23</vt:lpstr>
      <vt:lpstr>A12_B_L24</vt:lpstr>
      <vt:lpstr>A12_B_L25</vt:lpstr>
      <vt:lpstr>A12_B_L26</vt:lpstr>
      <vt:lpstr>A12_B_L27</vt:lpstr>
      <vt:lpstr>A12_B_L28</vt:lpstr>
      <vt:lpstr>A12_B_L29</vt:lpstr>
      <vt:lpstr>A12_B_L3</vt:lpstr>
      <vt:lpstr>A12_B_L30</vt:lpstr>
      <vt:lpstr>A12_B_L31</vt:lpstr>
      <vt:lpstr>A12_B_L32</vt:lpstr>
      <vt:lpstr>A12_B_L33</vt:lpstr>
      <vt:lpstr>A12_B_L34</vt:lpstr>
      <vt:lpstr>A12_B_L35</vt:lpstr>
      <vt:lpstr>A12_B_L36</vt:lpstr>
      <vt:lpstr>A12_B_L37</vt:lpstr>
      <vt:lpstr>A12_B_L38</vt:lpstr>
      <vt:lpstr>A12_B_L39</vt:lpstr>
      <vt:lpstr>A12_B_L4</vt:lpstr>
      <vt:lpstr>A12_B_L40</vt:lpstr>
      <vt:lpstr>A12_B_L5</vt:lpstr>
      <vt:lpstr>A12_B_L6</vt:lpstr>
      <vt:lpstr>A12_B_L7</vt:lpstr>
      <vt:lpstr>A12_B_L8</vt:lpstr>
      <vt:lpstr>A12_B_L9</vt:lpstr>
      <vt:lpstr>A12_C</vt:lpstr>
      <vt:lpstr>A12_C_L1</vt:lpstr>
      <vt:lpstr>A12_C_L10</vt:lpstr>
      <vt:lpstr>A12_C_L11</vt:lpstr>
      <vt:lpstr>A12_C_L12</vt:lpstr>
      <vt:lpstr>A12_C_L13</vt:lpstr>
      <vt:lpstr>A12_C_L14</vt:lpstr>
      <vt:lpstr>A12_C_L15</vt:lpstr>
      <vt:lpstr>A12_C_L16</vt:lpstr>
      <vt:lpstr>A12_C_L17</vt:lpstr>
      <vt:lpstr>A12_C_L18</vt:lpstr>
      <vt:lpstr>A12_C_L19</vt:lpstr>
      <vt:lpstr>A12_C_L2</vt:lpstr>
      <vt:lpstr>A12_C_L20</vt:lpstr>
      <vt:lpstr>A12_C_L21</vt:lpstr>
      <vt:lpstr>A12_C_L22</vt:lpstr>
      <vt:lpstr>A12_C_L23</vt:lpstr>
      <vt:lpstr>A12_C_L24</vt:lpstr>
      <vt:lpstr>A12_C_L25</vt:lpstr>
      <vt:lpstr>A12_C_L26</vt:lpstr>
      <vt:lpstr>A12_C_L27</vt:lpstr>
      <vt:lpstr>A12_C_L28</vt:lpstr>
      <vt:lpstr>A12_C_L29</vt:lpstr>
      <vt:lpstr>A12_C_L3</vt:lpstr>
      <vt:lpstr>A12_C_L30</vt:lpstr>
      <vt:lpstr>A12_C_L31</vt:lpstr>
      <vt:lpstr>A12_C_L32</vt:lpstr>
      <vt:lpstr>A12_C_L33</vt:lpstr>
      <vt:lpstr>A12_C_L34</vt:lpstr>
      <vt:lpstr>A12_C_L35</vt:lpstr>
      <vt:lpstr>A12_C_L36</vt:lpstr>
      <vt:lpstr>A12_C_L37</vt:lpstr>
      <vt:lpstr>A12_C_L38</vt:lpstr>
      <vt:lpstr>A12_C_L39</vt:lpstr>
      <vt:lpstr>A12_C_L4</vt:lpstr>
      <vt:lpstr>A12_C_L40</vt:lpstr>
      <vt:lpstr>A12_C_L5</vt:lpstr>
      <vt:lpstr>A12_C_L6</vt:lpstr>
      <vt:lpstr>A12_C_L7</vt:lpstr>
      <vt:lpstr>A12_C_L8</vt:lpstr>
      <vt:lpstr>A12_C_L9</vt:lpstr>
      <vt:lpstr>A12_D</vt:lpstr>
      <vt:lpstr>A12_D_L1</vt:lpstr>
      <vt:lpstr>A12_D_L10</vt:lpstr>
      <vt:lpstr>A12_D_L11</vt:lpstr>
      <vt:lpstr>A12_D_L12</vt:lpstr>
      <vt:lpstr>A12_D_L13</vt:lpstr>
      <vt:lpstr>A12_D_L14</vt:lpstr>
      <vt:lpstr>A12_D_L15</vt:lpstr>
      <vt:lpstr>A12_D_L16</vt:lpstr>
      <vt:lpstr>A12_D_L17</vt:lpstr>
      <vt:lpstr>A12_D_L18</vt:lpstr>
      <vt:lpstr>A12_D_L19</vt:lpstr>
      <vt:lpstr>A12_D_L2</vt:lpstr>
      <vt:lpstr>A12_D_L20</vt:lpstr>
      <vt:lpstr>A12_D_L21</vt:lpstr>
      <vt:lpstr>A12_D_L22</vt:lpstr>
      <vt:lpstr>A12_D_L23</vt:lpstr>
      <vt:lpstr>A12_D_L24</vt:lpstr>
      <vt:lpstr>A12_D_L25</vt:lpstr>
      <vt:lpstr>A12_D_L26</vt:lpstr>
      <vt:lpstr>A12_D_L27</vt:lpstr>
      <vt:lpstr>A12_D_L28</vt:lpstr>
      <vt:lpstr>A12_D_L29</vt:lpstr>
      <vt:lpstr>A12_D_L3</vt:lpstr>
      <vt:lpstr>A12_D_L30</vt:lpstr>
      <vt:lpstr>A12_D_L31</vt:lpstr>
      <vt:lpstr>A12_D_L32</vt:lpstr>
      <vt:lpstr>A12_D_L33</vt:lpstr>
      <vt:lpstr>A12_D_L34</vt:lpstr>
      <vt:lpstr>A12_D_L35</vt:lpstr>
      <vt:lpstr>A12_D_L36</vt:lpstr>
      <vt:lpstr>A12_D_L37</vt:lpstr>
      <vt:lpstr>A12_D_L38</vt:lpstr>
      <vt:lpstr>A12_D_L39</vt:lpstr>
      <vt:lpstr>A12_D_L4</vt:lpstr>
      <vt:lpstr>A12_D_L40</vt:lpstr>
      <vt:lpstr>A12_D_L5</vt:lpstr>
      <vt:lpstr>A12_D_L6</vt:lpstr>
      <vt:lpstr>A12_D_L7</vt:lpstr>
      <vt:lpstr>A12_D_L8</vt:lpstr>
      <vt:lpstr>A12_D_L9</vt:lpstr>
      <vt:lpstr>A12_L1</vt:lpstr>
      <vt:lpstr>A12_L10</vt:lpstr>
      <vt:lpstr>A12_L11</vt:lpstr>
      <vt:lpstr>A12_L12</vt:lpstr>
      <vt:lpstr>A12_L13</vt:lpstr>
      <vt:lpstr>A12_L14</vt:lpstr>
      <vt:lpstr>A12_L15</vt:lpstr>
      <vt:lpstr>A12_L16</vt:lpstr>
      <vt:lpstr>A12_L17</vt:lpstr>
      <vt:lpstr>A12_L18</vt:lpstr>
      <vt:lpstr>A12_L19</vt:lpstr>
      <vt:lpstr>A12_L2</vt:lpstr>
      <vt:lpstr>A12_L20</vt:lpstr>
      <vt:lpstr>A12_L21</vt:lpstr>
      <vt:lpstr>A12_L22</vt:lpstr>
      <vt:lpstr>A12_L23</vt:lpstr>
      <vt:lpstr>A12_L24</vt:lpstr>
      <vt:lpstr>A12_L25</vt:lpstr>
      <vt:lpstr>A12_L26</vt:lpstr>
      <vt:lpstr>A12_L27</vt:lpstr>
      <vt:lpstr>A12_L28</vt:lpstr>
      <vt:lpstr>A12_L29</vt:lpstr>
      <vt:lpstr>A12_L3</vt:lpstr>
      <vt:lpstr>A12_L30</vt:lpstr>
      <vt:lpstr>A12_L31</vt:lpstr>
      <vt:lpstr>A12_L32</vt:lpstr>
      <vt:lpstr>A12_L33</vt:lpstr>
      <vt:lpstr>A12_L34</vt:lpstr>
      <vt:lpstr>A12_L35</vt:lpstr>
      <vt:lpstr>A12_L36</vt:lpstr>
      <vt:lpstr>A12_L37</vt:lpstr>
      <vt:lpstr>A12_L38</vt:lpstr>
      <vt:lpstr>A12_L39</vt:lpstr>
      <vt:lpstr>A12_L4</vt:lpstr>
      <vt:lpstr>A12_L40</vt:lpstr>
      <vt:lpstr>A12_L5</vt:lpstr>
      <vt:lpstr>A12_L6</vt:lpstr>
      <vt:lpstr>A12_L7</vt:lpstr>
      <vt:lpstr>A12_L8</vt:lpstr>
      <vt:lpstr>A12_L9</vt:lpstr>
      <vt:lpstr>A12_X</vt:lpstr>
      <vt:lpstr>A12_X_L1</vt:lpstr>
      <vt:lpstr>A12_X_L10</vt:lpstr>
      <vt:lpstr>A12_X_L11</vt:lpstr>
      <vt:lpstr>A12_X_L12</vt:lpstr>
      <vt:lpstr>A12_X_L13</vt:lpstr>
      <vt:lpstr>A12_X_L14</vt:lpstr>
      <vt:lpstr>A12_X_L15</vt:lpstr>
      <vt:lpstr>A12_X_L16</vt:lpstr>
      <vt:lpstr>A12_X_L17</vt:lpstr>
      <vt:lpstr>A12_X_L18</vt:lpstr>
      <vt:lpstr>A12_X_L19</vt:lpstr>
      <vt:lpstr>A12_X_L2</vt:lpstr>
      <vt:lpstr>A12_X_L20</vt:lpstr>
      <vt:lpstr>A12_X_L21</vt:lpstr>
      <vt:lpstr>A12_X_L22</vt:lpstr>
      <vt:lpstr>A12_X_L23</vt:lpstr>
      <vt:lpstr>A12_X_L24</vt:lpstr>
      <vt:lpstr>A12_X_L25</vt:lpstr>
      <vt:lpstr>A12_X_L26</vt:lpstr>
      <vt:lpstr>A12_X_L27</vt:lpstr>
      <vt:lpstr>A12_X_L28</vt:lpstr>
      <vt:lpstr>A12_X_L29</vt:lpstr>
      <vt:lpstr>A12_X_L3</vt:lpstr>
      <vt:lpstr>A12_X_L30</vt:lpstr>
      <vt:lpstr>A12_X_L31</vt:lpstr>
      <vt:lpstr>A12_X_L32</vt:lpstr>
      <vt:lpstr>A12_X_L33</vt:lpstr>
      <vt:lpstr>A12_X_L34</vt:lpstr>
      <vt:lpstr>A12_X_L35</vt:lpstr>
      <vt:lpstr>A12_X_L36</vt:lpstr>
      <vt:lpstr>A12_X_L37</vt:lpstr>
      <vt:lpstr>A12_X_L38</vt:lpstr>
      <vt:lpstr>A12_X_L39</vt:lpstr>
      <vt:lpstr>A12_X_L4</vt:lpstr>
      <vt:lpstr>A12_X_L40</vt:lpstr>
      <vt:lpstr>A12_X_L5</vt:lpstr>
      <vt:lpstr>A12_X_L6</vt:lpstr>
      <vt:lpstr>A12_X_L7</vt:lpstr>
      <vt:lpstr>A12_X_L8</vt:lpstr>
      <vt:lpstr>A12_X_L9</vt:lpstr>
      <vt:lpstr>A12_Y</vt:lpstr>
      <vt:lpstr>A12_Y_L1</vt:lpstr>
      <vt:lpstr>A12_Y_L10</vt:lpstr>
      <vt:lpstr>A12_Y_L11</vt:lpstr>
      <vt:lpstr>A12_Y_L12</vt:lpstr>
      <vt:lpstr>A12_Y_L13</vt:lpstr>
      <vt:lpstr>A12_Y_L14</vt:lpstr>
      <vt:lpstr>A12_Y_L15</vt:lpstr>
      <vt:lpstr>A12_Y_L16</vt:lpstr>
      <vt:lpstr>A12_Y_L17</vt:lpstr>
      <vt:lpstr>A12_Y_L18</vt:lpstr>
      <vt:lpstr>A12_Y_L19</vt:lpstr>
      <vt:lpstr>A12_Y_L2</vt:lpstr>
      <vt:lpstr>A12_Y_L20</vt:lpstr>
      <vt:lpstr>A12_Y_L21</vt:lpstr>
      <vt:lpstr>A12_Y_L22</vt:lpstr>
      <vt:lpstr>A12_Y_L23</vt:lpstr>
      <vt:lpstr>A12_Y_L24</vt:lpstr>
      <vt:lpstr>A12_Y_L25</vt:lpstr>
      <vt:lpstr>A12_Y_L26</vt:lpstr>
      <vt:lpstr>A12_Y_L27</vt:lpstr>
      <vt:lpstr>A12_Y_L28</vt:lpstr>
      <vt:lpstr>A12_Y_L29</vt:lpstr>
      <vt:lpstr>A12_Y_L3</vt:lpstr>
      <vt:lpstr>A12_Y_L30</vt:lpstr>
      <vt:lpstr>A12_Y_L31</vt:lpstr>
      <vt:lpstr>A12_Y_L32</vt:lpstr>
      <vt:lpstr>A12_Y_L33</vt:lpstr>
      <vt:lpstr>A12_Y_L34</vt:lpstr>
      <vt:lpstr>A12_Y_L35</vt:lpstr>
      <vt:lpstr>A12_Y_L36</vt:lpstr>
      <vt:lpstr>A12_Y_L37</vt:lpstr>
      <vt:lpstr>A12_Y_L38</vt:lpstr>
      <vt:lpstr>A12_Y_L39</vt:lpstr>
      <vt:lpstr>A12_Y_L4</vt:lpstr>
      <vt:lpstr>A12_Y_L40</vt:lpstr>
      <vt:lpstr>A12_Y_L5</vt:lpstr>
      <vt:lpstr>A12_Y_L6</vt:lpstr>
      <vt:lpstr>A12_Y_L7</vt:lpstr>
      <vt:lpstr>A12_Y_L8</vt:lpstr>
      <vt:lpstr>A12_Y_L9</vt:lpstr>
      <vt:lpstr>A12_Z</vt:lpstr>
      <vt:lpstr>A12_Z_L1</vt:lpstr>
      <vt:lpstr>A12_Z_L10</vt:lpstr>
      <vt:lpstr>A12_Z_L11</vt:lpstr>
      <vt:lpstr>A12_Z_L12</vt:lpstr>
      <vt:lpstr>A12_Z_L13</vt:lpstr>
      <vt:lpstr>A12_Z_L14</vt:lpstr>
      <vt:lpstr>A12_Z_L15</vt:lpstr>
      <vt:lpstr>A12_Z_L16</vt:lpstr>
      <vt:lpstr>A12_Z_L17</vt:lpstr>
      <vt:lpstr>A12_Z_L18</vt:lpstr>
      <vt:lpstr>A12_Z_L19</vt:lpstr>
      <vt:lpstr>A12_Z_L2</vt:lpstr>
      <vt:lpstr>A12_Z_L20</vt:lpstr>
      <vt:lpstr>A12_Z_L21</vt:lpstr>
      <vt:lpstr>A12_Z_L22</vt:lpstr>
      <vt:lpstr>A12_Z_L23</vt:lpstr>
      <vt:lpstr>A12_Z_L24</vt:lpstr>
      <vt:lpstr>A12_Z_L25</vt:lpstr>
      <vt:lpstr>A12_Z_L26</vt:lpstr>
      <vt:lpstr>A12_Z_L27</vt:lpstr>
      <vt:lpstr>A12_Z_L28</vt:lpstr>
      <vt:lpstr>A12_Z_L29</vt:lpstr>
      <vt:lpstr>A12_Z_L3</vt:lpstr>
      <vt:lpstr>A12_Z_L30</vt:lpstr>
      <vt:lpstr>A12_Z_L31</vt:lpstr>
      <vt:lpstr>A12_Z_L32</vt:lpstr>
      <vt:lpstr>A12_Z_L33</vt:lpstr>
      <vt:lpstr>A12_Z_L34</vt:lpstr>
      <vt:lpstr>A12_Z_L35</vt:lpstr>
      <vt:lpstr>A12_Z_L36</vt:lpstr>
      <vt:lpstr>A12_Z_L37</vt:lpstr>
      <vt:lpstr>A12_Z_L38</vt:lpstr>
      <vt:lpstr>A12_Z_L39</vt:lpstr>
      <vt:lpstr>A12_Z_L4</vt:lpstr>
      <vt:lpstr>A12_Z_L40</vt:lpstr>
      <vt:lpstr>A12_Z_L5</vt:lpstr>
      <vt:lpstr>A12_Z_L6</vt:lpstr>
      <vt:lpstr>A12_Z_L7</vt:lpstr>
      <vt:lpstr>A12_Z_L8</vt:lpstr>
      <vt:lpstr>A12_Z_L9</vt:lpstr>
      <vt:lpstr>A2_A</vt:lpstr>
      <vt:lpstr>A2_A_L1</vt:lpstr>
      <vt:lpstr>A2_A_L10</vt:lpstr>
      <vt:lpstr>A2_A_L11</vt:lpstr>
      <vt:lpstr>A2_A_L12</vt:lpstr>
      <vt:lpstr>A2_A_L13</vt:lpstr>
      <vt:lpstr>A2_A_L14</vt:lpstr>
      <vt:lpstr>A2_A_L15</vt:lpstr>
      <vt:lpstr>A2_A_L16</vt:lpstr>
      <vt:lpstr>A2_A_L17</vt:lpstr>
      <vt:lpstr>A2_A_L18</vt:lpstr>
      <vt:lpstr>A2_A_L19</vt:lpstr>
      <vt:lpstr>A2_A_L2</vt:lpstr>
      <vt:lpstr>A2_A_L20</vt:lpstr>
      <vt:lpstr>A2_A_L21</vt:lpstr>
      <vt:lpstr>A2_A_L22</vt:lpstr>
      <vt:lpstr>A2_A_L23</vt:lpstr>
      <vt:lpstr>A2_A_L24</vt:lpstr>
      <vt:lpstr>A2_A_L25</vt:lpstr>
      <vt:lpstr>A2_A_L26</vt:lpstr>
      <vt:lpstr>A2_A_L27</vt:lpstr>
      <vt:lpstr>A2_A_L28</vt:lpstr>
      <vt:lpstr>A2_A_L29</vt:lpstr>
      <vt:lpstr>A2_A_L3</vt:lpstr>
      <vt:lpstr>A2_A_L30</vt:lpstr>
      <vt:lpstr>A2_A_L31</vt:lpstr>
      <vt:lpstr>A2_A_L32</vt:lpstr>
      <vt:lpstr>A2_A_L33</vt:lpstr>
      <vt:lpstr>A2_A_L34</vt:lpstr>
      <vt:lpstr>A2_A_L35</vt:lpstr>
      <vt:lpstr>A2_A_L36</vt:lpstr>
      <vt:lpstr>A2_A_L37</vt:lpstr>
      <vt:lpstr>A2_A_L38</vt:lpstr>
      <vt:lpstr>A2_A_L39</vt:lpstr>
      <vt:lpstr>A2_A_L4</vt:lpstr>
      <vt:lpstr>A2_A_L40</vt:lpstr>
      <vt:lpstr>A2_A_L5</vt:lpstr>
      <vt:lpstr>A2_A_L6</vt:lpstr>
      <vt:lpstr>A2_A_L7</vt:lpstr>
      <vt:lpstr>A2_A_L8</vt:lpstr>
      <vt:lpstr>A2_A_L9</vt:lpstr>
      <vt:lpstr>A2_B</vt:lpstr>
      <vt:lpstr>A2_B_L1</vt:lpstr>
      <vt:lpstr>A2_B_L10</vt:lpstr>
      <vt:lpstr>A2_B_L11</vt:lpstr>
      <vt:lpstr>A2_B_L12</vt:lpstr>
      <vt:lpstr>A2_B_L13</vt:lpstr>
      <vt:lpstr>A2_B_L14</vt:lpstr>
      <vt:lpstr>A2_B_L15</vt:lpstr>
      <vt:lpstr>A2_B_L16</vt:lpstr>
      <vt:lpstr>A2_B_L17</vt:lpstr>
      <vt:lpstr>A2_B_L18</vt:lpstr>
      <vt:lpstr>A2_B_L19</vt:lpstr>
      <vt:lpstr>A2_B_L2</vt:lpstr>
      <vt:lpstr>A2_B_L20</vt:lpstr>
      <vt:lpstr>A2_B_L21</vt:lpstr>
      <vt:lpstr>A2_B_L22</vt:lpstr>
      <vt:lpstr>A2_B_L23</vt:lpstr>
      <vt:lpstr>A2_B_L24</vt:lpstr>
      <vt:lpstr>A2_B_L25</vt:lpstr>
      <vt:lpstr>A2_B_L26</vt:lpstr>
      <vt:lpstr>A2_B_L27</vt:lpstr>
      <vt:lpstr>A2_B_L28</vt:lpstr>
      <vt:lpstr>A2_B_L29</vt:lpstr>
      <vt:lpstr>A2_B_L3</vt:lpstr>
      <vt:lpstr>A2_B_L30</vt:lpstr>
      <vt:lpstr>A2_B_L31</vt:lpstr>
      <vt:lpstr>A2_B_L32</vt:lpstr>
      <vt:lpstr>A2_B_L33</vt:lpstr>
      <vt:lpstr>A2_B_L34</vt:lpstr>
      <vt:lpstr>A2_B_L35</vt:lpstr>
      <vt:lpstr>A2_B_L36</vt:lpstr>
      <vt:lpstr>A2_B_L37</vt:lpstr>
      <vt:lpstr>A2_B_L38</vt:lpstr>
      <vt:lpstr>A2_B_L39</vt:lpstr>
      <vt:lpstr>A2_B_L4</vt:lpstr>
      <vt:lpstr>A2_B_L40</vt:lpstr>
      <vt:lpstr>A2_B_L5</vt:lpstr>
      <vt:lpstr>A2_B_L6</vt:lpstr>
      <vt:lpstr>A2_B_L7</vt:lpstr>
      <vt:lpstr>A2_B_L8</vt:lpstr>
      <vt:lpstr>A2_B_L9</vt:lpstr>
      <vt:lpstr>A2_C</vt:lpstr>
      <vt:lpstr>A2_C_L1</vt:lpstr>
      <vt:lpstr>A2_C_L10</vt:lpstr>
      <vt:lpstr>A2_C_L11</vt:lpstr>
      <vt:lpstr>A2_C_L12</vt:lpstr>
      <vt:lpstr>A2_C_L13</vt:lpstr>
      <vt:lpstr>A2_C_L14</vt:lpstr>
      <vt:lpstr>A2_C_L15</vt:lpstr>
      <vt:lpstr>A2_C_L16</vt:lpstr>
      <vt:lpstr>A2_C_L17</vt:lpstr>
      <vt:lpstr>A2_C_L18</vt:lpstr>
      <vt:lpstr>A2_C_L19</vt:lpstr>
      <vt:lpstr>A2_C_L2</vt:lpstr>
      <vt:lpstr>A2_C_L20</vt:lpstr>
      <vt:lpstr>A2_C_L21</vt:lpstr>
      <vt:lpstr>A2_C_L22</vt:lpstr>
      <vt:lpstr>A2_C_L23</vt:lpstr>
      <vt:lpstr>A2_C_L24</vt:lpstr>
      <vt:lpstr>A2_C_L25</vt:lpstr>
      <vt:lpstr>A2_C_L26</vt:lpstr>
      <vt:lpstr>A2_C_L27</vt:lpstr>
      <vt:lpstr>A2_C_L28</vt:lpstr>
      <vt:lpstr>A2_C_L29</vt:lpstr>
      <vt:lpstr>A2_C_L3</vt:lpstr>
      <vt:lpstr>A2_C_L30</vt:lpstr>
      <vt:lpstr>A2_C_L31</vt:lpstr>
      <vt:lpstr>A2_C_L32</vt:lpstr>
      <vt:lpstr>A2_C_L33</vt:lpstr>
      <vt:lpstr>A2_C_L34</vt:lpstr>
      <vt:lpstr>A2_C_L35</vt:lpstr>
      <vt:lpstr>A2_C_L36</vt:lpstr>
      <vt:lpstr>A2_C_L37</vt:lpstr>
      <vt:lpstr>A2_C_L38</vt:lpstr>
      <vt:lpstr>A2_C_L39</vt:lpstr>
      <vt:lpstr>A2_C_L4</vt:lpstr>
      <vt:lpstr>A2_C_L40</vt:lpstr>
      <vt:lpstr>A2_C_L5</vt:lpstr>
      <vt:lpstr>A2_C_L6</vt:lpstr>
      <vt:lpstr>A2_C_L7</vt:lpstr>
      <vt:lpstr>A2_C_L8</vt:lpstr>
      <vt:lpstr>A2_C_L9</vt:lpstr>
      <vt:lpstr>A2_D</vt:lpstr>
      <vt:lpstr>A2_D_L1</vt:lpstr>
      <vt:lpstr>A2_D_L10</vt:lpstr>
      <vt:lpstr>A2_D_L11</vt:lpstr>
      <vt:lpstr>A2_D_L12</vt:lpstr>
      <vt:lpstr>A2_D_L13</vt:lpstr>
      <vt:lpstr>A2_D_L14</vt:lpstr>
      <vt:lpstr>A2_D_L15</vt:lpstr>
      <vt:lpstr>A2_D_L16</vt:lpstr>
      <vt:lpstr>A2_D_L17</vt:lpstr>
      <vt:lpstr>A2_D_L18</vt:lpstr>
      <vt:lpstr>A2_D_L19</vt:lpstr>
      <vt:lpstr>A2_D_L2</vt:lpstr>
      <vt:lpstr>A2_D_L20</vt:lpstr>
      <vt:lpstr>A2_D_L21</vt:lpstr>
      <vt:lpstr>A2_D_L22</vt:lpstr>
      <vt:lpstr>A2_D_L23</vt:lpstr>
      <vt:lpstr>A2_D_L24</vt:lpstr>
      <vt:lpstr>A2_D_L25</vt:lpstr>
      <vt:lpstr>A2_D_L26</vt:lpstr>
      <vt:lpstr>A2_D_L27</vt:lpstr>
      <vt:lpstr>A2_D_L28</vt:lpstr>
      <vt:lpstr>A2_D_L29</vt:lpstr>
      <vt:lpstr>A2_D_L3</vt:lpstr>
      <vt:lpstr>A2_D_L30</vt:lpstr>
      <vt:lpstr>A2_D_L31</vt:lpstr>
      <vt:lpstr>A2_D_L32</vt:lpstr>
      <vt:lpstr>A2_D_L33</vt:lpstr>
      <vt:lpstr>A2_D_L34</vt:lpstr>
      <vt:lpstr>A2_D_L35</vt:lpstr>
      <vt:lpstr>A2_D_L36</vt:lpstr>
      <vt:lpstr>A2_D_L37</vt:lpstr>
      <vt:lpstr>A2_D_L38</vt:lpstr>
      <vt:lpstr>A2_D_L39</vt:lpstr>
      <vt:lpstr>A2_D_L4</vt:lpstr>
      <vt:lpstr>A2_D_L40</vt:lpstr>
      <vt:lpstr>A2_D_L5</vt:lpstr>
      <vt:lpstr>A2_D_L6</vt:lpstr>
      <vt:lpstr>A2_D_L7</vt:lpstr>
      <vt:lpstr>A2_D_L8</vt:lpstr>
      <vt:lpstr>A2_D_L9</vt:lpstr>
      <vt:lpstr>A2_L1</vt:lpstr>
      <vt:lpstr>A2_L10</vt:lpstr>
      <vt:lpstr>A2_L11</vt:lpstr>
      <vt:lpstr>A2_L12</vt:lpstr>
      <vt:lpstr>A2_L13</vt:lpstr>
      <vt:lpstr>A2_L14</vt:lpstr>
      <vt:lpstr>A2_L15</vt:lpstr>
      <vt:lpstr>A2_L16</vt:lpstr>
      <vt:lpstr>A2_L17</vt:lpstr>
      <vt:lpstr>A2_L18</vt:lpstr>
      <vt:lpstr>A2_L19</vt:lpstr>
      <vt:lpstr>A2_L2</vt:lpstr>
      <vt:lpstr>A2_L20</vt:lpstr>
      <vt:lpstr>A2_L21</vt:lpstr>
      <vt:lpstr>A2_L22</vt:lpstr>
      <vt:lpstr>A2_L23</vt:lpstr>
      <vt:lpstr>A2_L24</vt:lpstr>
      <vt:lpstr>A2_L25</vt:lpstr>
      <vt:lpstr>A2_L26</vt:lpstr>
      <vt:lpstr>A2_L27</vt:lpstr>
      <vt:lpstr>A2_L28</vt:lpstr>
      <vt:lpstr>A2_L29</vt:lpstr>
      <vt:lpstr>A2_L3</vt:lpstr>
      <vt:lpstr>A2_L30</vt:lpstr>
      <vt:lpstr>A2_L31</vt:lpstr>
      <vt:lpstr>A2_L32</vt:lpstr>
      <vt:lpstr>A2_L33</vt:lpstr>
      <vt:lpstr>A2_L34</vt:lpstr>
      <vt:lpstr>A2_L35</vt:lpstr>
      <vt:lpstr>A2_L36</vt:lpstr>
      <vt:lpstr>A2_L37</vt:lpstr>
      <vt:lpstr>A2_L38</vt:lpstr>
      <vt:lpstr>A2_L39</vt:lpstr>
      <vt:lpstr>A2_L4</vt:lpstr>
      <vt:lpstr>A2_L40</vt:lpstr>
      <vt:lpstr>A2_L5</vt:lpstr>
      <vt:lpstr>A2_L6</vt:lpstr>
      <vt:lpstr>A2_L7</vt:lpstr>
      <vt:lpstr>A2_L8</vt:lpstr>
      <vt:lpstr>A2_L9</vt:lpstr>
      <vt:lpstr>A2_X</vt:lpstr>
      <vt:lpstr>A2_X_L1</vt:lpstr>
      <vt:lpstr>A2_X_L10</vt:lpstr>
      <vt:lpstr>A2_X_L11</vt:lpstr>
      <vt:lpstr>A2_X_L12</vt:lpstr>
      <vt:lpstr>A2_X_L13</vt:lpstr>
      <vt:lpstr>A2_X_L14</vt:lpstr>
      <vt:lpstr>A2_X_L15</vt:lpstr>
      <vt:lpstr>A2_X_L16</vt:lpstr>
      <vt:lpstr>A2_X_L17</vt:lpstr>
      <vt:lpstr>A2_X_L18</vt:lpstr>
      <vt:lpstr>A2_X_L19</vt:lpstr>
      <vt:lpstr>A2_X_L2</vt:lpstr>
      <vt:lpstr>A2_X_L20</vt:lpstr>
      <vt:lpstr>A2_X_L21</vt:lpstr>
      <vt:lpstr>A2_X_L22</vt:lpstr>
      <vt:lpstr>A2_X_L23</vt:lpstr>
      <vt:lpstr>A2_X_L24</vt:lpstr>
      <vt:lpstr>A2_X_L25</vt:lpstr>
      <vt:lpstr>A2_X_L26</vt:lpstr>
      <vt:lpstr>A2_X_L27</vt:lpstr>
      <vt:lpstr>A2_X_L28</vt:lpstr>
      <vt:lpstr>A2_X_L29</vt:lpstr>
      <vt:lpstr>A2_X_L3</vt:lpstr>
      <vt:lpstr>A2_X_L30</vt:lpstr>
      <vt:lpstr>A2_X_L31</vt:lpstr>
      <vt:lpstr>A2_X_L32</vt:lpstr>
      <vt:lpstr>A2_X_L33</vt:lpstr>
      <vt:lpstr>A2_X_L34</vt:lpstr>
      <vt:lpstr>A2_X_L35</vt:lpstr>
      <vt:lpstr>A2_X_L36</vt:lpstr>
      <vt:lpstr>A2_X_L37</vt:lpstr>
      <vt:lpstr>A2_X_L38</vt:lpstr>
      <vt:lpstr>A2_X_L39</vt:lpstr>
      <vt:lpstr>A2_X_L4</vt:lpstr>
      <vt:lpstr>A2_X_L40</vt:lpstr>
      <vt:lpstr>A2_X_L5</vt:lpstr>
      <vt:lpstr>A2_X_L6</vt:lpstr>
      <vt:lpstr>A2_X_L7</vt:lpstr>
      <vt:lpstr>A2_X_L8</vt:lpstr>
      <vt:lpstr>A2_X_L9</vt:lpstr>
      <vt:lpstr>A2_Y</vt:lpstr>
      <vt:lpstr>A2_Y_L1</vt:lpstr>
      <vt:lpstr>A2_Y_L10</vt:lpstr>
      <vt:lpstr>A2_Y_L11</vt:lpstr>
      <vt:lpstr>A2_Y_L12</vt:lpstr>
      <vt:lpstr>A2_Y_L13</vt:lpstr>
      <vt:lpstr>A2_Y_L14</vt:lpstr>
      <vt:lpstr>A2_Y_L15</vt:lpstr>
      <vt:lpstr>A2_Y_L16</vt:lpstr>
      <vt:lpstr>A2_Y_L17</vt:lpstr>
      <vt:lpstr>A2_Y_L18</vt:lpstr>
      <vt:lpstr>A2_Y_L19</vt:lpstr>
      <vt:lpstr>A2_Y_L2</vt:lpstr>
      <vt:lpstr>A2_Y_L20</vt:lpstr>
      <vt:lpstr>A2_Y_L21</vt:lpstr>
      <vt:lpstr>A2_Y_L22</vt:lpstr>
      <vt:lpstr>A2_Y_L23</vt:lpstr>
      <vt:lpstr>A2_Y_L24</vt:lpstr>
      <vt:lpstr>A2_Y_L25</vt:lpstr>
      <vt:lpstr>A2_Y_L26</vt:lpstr>
      <vt:lpstr>A2_Y_L27</vt:lpstr>
      <vt:lpstr>A2_Y_L28</vt:lpstr>
      <vt:lpstr>A2_Y_L29</vt:lpstr>
      <vt:lpstr>A2_Y_L3</vt:lpstr>
      <vt:lpstr>A2_Y_L30</vt:lpstr>
      <vt:lpstr>A2_Y_L31</vt:lpstr>
      <vt:lpstr>A2_Y_L32</vt:lpstr>
      <vt:lpstr>A2_Y_L33</vt:lpstr>
      <vt:lpstr>A2_Y_L34</vt:lpstr>
      <vt:lpstr>A2_Y_L35</vt:lpstr>
      <vt:lpstr>A2_Y_L36</vt:lpstr>
      <vt:lpstr>A2_Y_L37</vt:lpstr>
      <vt:lpstr>A2_Y_L38</vt:lpstr>
      <vt:lpstr>A2_Y_L39</vt:lpstr>
      <vt:lpstr>A2_Y_L4</vt:lpstr>
      <vt:lpstr>A2_Y_L40</vt:lpstr>
      <vt:lpstr>A2_Y_L5</vt:lpstr>
      <vt:lpstr>A2_Y_L6</vt:lpstr>
      <vt:lpstr>A2_Y_L7</vt:lpstr>
      <vt:lpstr>A2_Y_L8</vt:lpstr>
      <vt:lpstr>A2_Y_L9</vt:lpstr>
      <vt:lpstr>A2_Z</vt:lpstr>
      <vt:lpstr>A2_Z_L1</vt:lpstr>
      <vt:lpstr>A2_Z_L10</vt:lpstr>
      <vt:lpstr>A2_Z_L11</vt:lpstr>
      <vt:lpstr>A2_Z_L12</vt:lpstr>
      <vt:lpstr>A2_Z_L13</vt:lpstr>
      <vt:lpstr>A2_Z_L14</vt:lpstr>
      <vt:lpstr>A2_Z_L15</vt:lpstr>
      <vt:lpstr>A2_Z_L16</vt:lpstr>
      <vt:lpstr>A2_Z_L17</vt:lpstr>
      <vt:lpstr>A2_Z_L18</vt:lpstr>
      <vt:lpstr>A2_Z_L19</vt:lpstr>
      <vt:lpstr>A2_Z_L2</vt:lpstr>
      <vt:lpstr>A2_Z_L20</vt:lpstr>
      <vt:lpstr>A2_Z_L21</vt:lpstr>
      <vt:lpstr>A2_Z_L22</vt:lpstr>
      <vt:lpstr>A2_Z_L23</vt:lpstr>
      <vt:lpstr>A2_Z_L24</vt:lpstr>
      <vt:lpstr>A2_Z_L25</vt:lpstr>
      <vt:lpstr>A2_Z_L26</vt:lpstr>
      <vt:lpstr>A2_Z_L27</vt:lpstr>
      <vt:lpstr>A2_Z_L28</vt:lpstr>
      <vt:lpstr>A2_Z_L29</vt:lpstr>
      <vt:lpstr>A2_Z_L3</vt:lpstr>
      <vt:lpstr>A2_Z_L30</vt:lpstr>
      <vt:lpstr>A2_Z_L31</vt:lpstr>
      <vt:lpstr>A2_Z_L32</vt:lpstr>
      <vt:lpstr>A2_Z_L33</vt:lpstr>
      <vt:lpstr>A2_Z_L34</vt:lpstr>
      <vt:lpstr>A2_Z_L35</vt:lpstr>
      <vt:lpstr>A2_Z_L36</vt:lpstr>
      <vt:lpstr>A2_Z_L37</vt:lpstr>
      <vt:lpstr>A2_Z_L38</vt:lpstr>
      <vt:lpstr>A2_Z_L39</vt:lpstr>
      <vt:lpstr>A2_Z_L4</vt:lpstr>
      <vt:lpstr>A2_Z_L40</vt:lpstr>
      <vt:lpstr>A2_Z_L5</vt:lpstr>
      <vt:lpstr>A2_Z_L6</vt:lpstr>
      <vt:lpstr>A2_Z_L7</vt:lpstr>
      <vt:lpstr>A2_Z_L8</vt:lpstr>
      <vt:lpstr>A2_Z_L9</vt:lpstr>
      <vt:lpstr>A3_A</vt:lpstr>
      <vt:lpstr>A3_A_L1</vt:lpstr>
      <vt:lpstr>A3_A_L10</vt:lpstr>
      <vt:lpstr>A3_A_L11</vt:lpstr>
      <vt:lpstr>A3_A_L12</vt:lpstr>
      <vt:lpstr>A3_A_L13</vt:lpstr>
      <vt:lpstr>A3_A_L14</vt:lpstr>
      <vt:lpstr>A3_A_L15</vt:lpstr>
      <vt:lpstr>A3_A_L16</vt:lpstr>
      <vt:lpstr>A3_A_L17</vt:lpstr>
      <vt:lpstr>A3_A_L18</vt:lpstr>
      <vt:lpstr>A3_A_L19</vt:lpstr>
      <vt:lpstr>A3_A_L2</vt:lpstr>
      <vt:lpstr>A3_A_L20</vt:lpstr>
      <vt:lpstr>A3_A_L21</vt:lpstr>
      <vt:lpstr>A3_A_L22</vt:lpstr>
      <vt:lpstr>A3_A_L23</vt:lpstr>
      <vt:lpstr>A3_A_L24</vt:lpstr>
      <vt:lpstr>A3_A_L25</vt:lpstr>
      <vt:lpstr>A3_A_L26</vt:lpstr>
      <vt:lpstr>A3_A_L27</vt:lpstr>
      <vt:lpstr>A3_A_L28</vt:lpstr>
      <vt:lpstr>A3_A_L29</vt:lpstr>
      <vt:lpstr>A3_A_L3</vt:lpstr>
      <vt:lpstr>A3_A_L30</vt:lpstr>
      <vt:lpstr>A3_A_L31</vt:lpstr>
      <vt:lpstr>A3_A_L32</vt:lpstr>
      <vt:lpstr>A3_A_L33</vt:lpstr>
      <vt:lpstr>A3_A_L34</vt:lpstr>
      <vt:lpstr>A3_A_L35</vt:lpstr>
      <vt:lpstr>A3_A_L36</vt:lpstr>
      <vt:lpstr>A3_A_L37</vt:lpstr>
      <vt:lpstr>A3_A_L38</vt:lpstr>
      <vt:lpstr>A3_A_L39</vt:lpstr>
      <vt:lpstr>A3_A_L4</vt:lpstr>
      <vt:lpstr>A3_A_L40</vt:lpstr>
      <vt:lpstr>A3_A_L5</vt:lpstr>
      <vt:lpstr>A3_A_L6</vt:lpstr>
      <vt:lpstr>A3_A_L7</vt:lpstr>
      <vt:lpstr>A3_A_L8</vt:lpstr>
      <vt:lpstr>A3_A_L9</vt:lpstr>
      <vt:lpstr>A3_B</vt:lpstr>
      <vt:lpstr>A3_B_L1</vt:lpstr>
      <vt:lpstr>A3_B_L10</vt:lpstr>
      <vt:lpstr>A3_B_L11</vt:lpstr>
      <vt:lpstr>A3_B_L12</vt:lpstr>
      <vt:lpstr>A3_B_L13</vt:lpstr>
      <vt:lpstr>A3_B_L14</vt:lpstr>
      <vt:lpstr>A3_B_L15</vt:lpstr>
      <vt:lpstr>A3_B_L16</vt:lpstr>
      <vt:lpstr>A3_B_L17</vt:lpstr>
      <vt:lpstr>A3_B_L18</vt:lpstr>
      <vt:lpstr>A3_B_L19</vt:lpstr>
      <vt:lpstr>A3_B_L2</vt:lpstr>
      <vt:lpstr>A3_B_L20</vt:lpstr>
      <vt:lpstr>A3_B_L21</vt:lpstr>
      <vt:lpstr>A3_B_L22</vt:lpstr>
      <vt:lpstr>A3_B_L23</vt:lpstr>
      <vt:lpstr>A3_B_L24</vt:lpstr>
      <vt:lpstr>A3_B_L25</vt:lpstr>
      <vt:lpstr>A3_B_L26</vt:lpstr>
      <vt:lpstr>A3_B_L27</vt:lpstr>
      <vt:lpstr>A3_B_L28</vt:lpstr>
      <vt:lpstr>A3_B_L29</vt:lpstr>
      <vt:lpstr>A3_B_L3</vt:lpstr>
      <vt:lpstr>A3_B_L30</vt:lpstr>
      <vt:lpstr>A3_B_L31</vt:lpstr>
      <vt:lpstr>A3_B_L32</vt:lpstr>
      <vt:lpstr>A3_B_L33</vt:lpstr>
      <vt:lpstr>A3_B_L34</vt:lpstr>
      <vt:lpstr>A3_B_L35</vt:lpstr>
      <vt:lpstr>A3_B_L36</vt:lpstr>
      <vt:lpstr>A3_B_L37</vt:lpstr>
      <vt:lpstr>A3_B_L38</vt:lpstr>
      <vt:lpstr>A3_B_L39</vt:lpstr>
      <vt:lpstr>A3_B_L4</vt:lpstr>
      <vt:lpstr>A3_B_L40</vt:lpstr>
      <vt:lpstr>A3_B_L5</vt:lpstr>
      <vt:lpstr>A3_B_L6</vt:lpstr>
      <vt:lpstr>A3_B_L7</vt:lpstr>
      <vt:lpstr>A3_B_L8</vt:lpstr>
      <vt:lpstr>A3_B_L9</vt:lpstr>
      <vt:lpstr>A3_C</vt:lpstr>
      <vt:lpstr>A3_C_L1</vt:lpstr>
      <vt:lpstr>A3_C_L10</vt:lpstr>
      <vt:lpstr>A3_C_L11</vt:lpstr>
      <vt:lpstr>A3_C_L12</vt:lpstr>
      <vt:lpstr>A3_C_L13</vt:lpstr>
      <vt:lpstr>A3_C_L14</vt:lpstr>
      <vt:lpstr>A3_C_L15</vt:lpstr>
      <vt:lpstr>A3_C_L16</vt:lpstr>
      <vt:lpstr>A3_C_L17</vt:lpstr>
      <vt:lpstr>A3_C_L18</vt:lpstr>
      <vt:lpstr>A3_C_L19</vt:lpstr>
      <vt:lpstr>A3_C_L2</vt:lpstr>
      <vt:lpstr>A3_C_L20</vt:lpstr>
      <vt:lpstr>A3_C_L21</vt:lpstr>
      <vt:lpstr>A3_C_L22</vt:lpstr>
      <vt:lpstr>A3_C_L23</vt:lpstr>
      <vt:lpstr>A3_C_L24</vt:lpstr>
      <vt:lpstr>A3_C_L25</vt:lpstr>
      <vt:lpstr>A3_C_L26</vt:lpstr>
      <vt:lpstr>A3_C_L27</vt:lpstr>
      <vt:lpstr>A3_C_L28</vt:lpstr>
      <vt:lpstr>A3_C_L29</vt:lpstr>
      <vt:lpstr>A3_C_L3</vt:lpstr>
      <vt:lpstr>A3_C_L30</vt:lpstr>
      <vt:lpstr>A3_C_L31</vt:lpstr>
      <vt:lpstr>A3_C_L32</vt:lpstr>
      <vt:lpstr>A3_C_L33</vt:lpstr>
      <vt:lpstr>A3_C_L34</vt:lpstr>
      <vt:lpstr>A3_C_L35</vt:lpstr>
      <vt:lpstr>A3_C_L36</vt:lpstr>
      <vt:lpstr>A3_C_L37</vt:lpstr>
      <vt:lpstr>A3_C_L38</vt:lpstr>
      <vt:lpstr>A3_C_L39</vt:lpstr>
      <vt:lpstr>A3_C_L4</vt:lpstr>
      <vt:lpstr>A3_C_L40</vt:lpstr>
      <vt:lpstr>A3_C_L5</vt:lpstr>
      <vt:lpstr>A3_C_L6</vt:lpstr>
      <vt:lpstr>A3_C_L7</vt:lpstr>
      <vt:lpstr>A3_C_L8</vt:lpstr>
      <vt:lpstr>A3_C_L9</vt:lpstr>
      <vt:lpstr>A3_D</vt:lpstr>
      <vt:lpstr>A3_D_L1</vt:lpstr>
      <vt:lpstr>A3_D_L10</vt:lpstr>
      <vt:lpstr>A3_D_L11</vt:lpstr>
      <vt:lpstr>A3_D_L12</vt:lpstr>
      <vt:lpstr>A3_D_L13</vt:lpstr>
      <vt:lpstr>A3_D_L14</vt:lpstr>
      <vt:lpstr>A3_D_L15</vt:lpstr>
      <vt:lpstr>A3_D_L16</vt:lpstr>
      <vt:lpstr>A3_D_L17</vt:lpstr>
      <vt:lpstr>A3_D_L18</vt:lpstr>
      <vt:lpstr>A3_D_L19</vt:lpstr>
      <vt:lpstr>A3_D_L2</vt:lpstr>
      <vt:lpstr>A3_D_L20</vt:lpstr>
      <vt:lpstr>A3_D_L21</vt:lpstr>
      <vt:lpstr>A3_D_L22</vt:lpstr>
      <vt:lpstr>A3_D_L23</vt:lpstr>
      <vt:lpstr>A3_D_L24</vt:lpstr>
      <vt:lpstr>A3_D_L25</vt:lpstr>
      <vt:lpstr>A3_D_L26</vt:lpstr>
      <vt:lpstr>A3_D_L27</vt:lpstr>
      <vt:lpstr>A3_D_L28</vt:lpstr>
      <vt:lpstr>A3_D_L29</vt:lpstr>
      <vt:lpstr>A3_D_L3</vt:lpstr>
      <vt:lpstr>A3_D_L30</vt:lpstr>
      <vt:lpstr>A3_D_L31</vt:lpstr>
      <vt:lpstr>A3_D_L32</vt:lpstr>
      <vt:lpstr>A3_D_L33</vt:lpstr>
      <vt:lpstr>A3_D_L34</vt:lpstr>
      <vt:lpstr>A3_D_L35</vt:lpstr>
      <vt:lpstr>A3_D_L36</vt:lpstr>
      <vt:lpstr>A3_D_L37</vt:lpstr>
      <vt:lpstr>A3_D_L38</vt:lpstr>
      <vt:lpstr>A3_D_L39</vt:lpstr>
      <vt:lpstr>A3_D_L4</vt:lpstr>
      <vt:lpstr>A3_D_L40</vt:lpstr>
      <vt:lpstr>A3_D_L5</vt:lpstr>
      <vt:lpstr>A3_D_L6</vt:lpstr>
      <vt:lpstr>A3_D_L7</vt:lpstr>
      <vt:lpstr>A3_D_L8</vt:lpstr>
      <vt:lpstr>A3_D_L9</vt:lpstr>
      <vt:lpstr>A3_L1</vt:lpstr>
      <vt:lpstr>A3_L10</vt:lpstr>
      <vt:lpstr>A3_L11</vt:lpstr>
      <vt:lpstr>A3_L12</vt:lpstr>
      <vt:lpstr>A3_L13</vt:lpstr>
      <vt:lpstr>A3_L14</vt:lpstr>
      <vt:lpstr>A3_L15</vt:lpstr>
      <vt:lpstr>A3_L16</vt:lpstr>
      <vt:lpstr>A3_L17</vt:lpstr>
      <vt:lpstr>A3_L18</vt:lpstr>
      <vt:lpstr>A3_L19</vt:lpstr>
      <vt:lpstr>A3_L2</vt:lpstr>
      <vt:lpstr>A3_L20</vt:lpstr>
      <vt:lpstr>A3_L21</vt:lpstr>
      <vt:lpstr>A3_L22</vt:lpstr>
      <vt:lpstr>A3_L23</vt:lpstr>
      <vt:lpstr>A3_L24</vt:lpstr>
      <vt:lpstr>A3_L25</vt:lpstr>
      <vt:lpstr>A3_L26</vt:lpstr>
      <vt:lpstr>A3_L27</vt:lpstr>
      <vt:lpstr>A3_L28</vt:lpstr>
      <vt:lpstr>A3_L29</vt:lpstr>
      <vt:lpstr>A3_L3</vt:lpstr>
      <vt:lpstr>A3_L30</vt:lpstr>
      <vt:lpstr>A3_L31</vt:lpstr>
      <vt:lpstr>A3_L32</vt:lpstr>
      <vt:lpstr>A3_L33</vt:lpstr>
      <vt:lpstr>A3_L34</vt:lpstr>
      <vt:lpstr>A3_L35</vt:lpstr>
      <vt:lpstr>A3_L36</vt:lpstr>
      <vt:lpstr>A3_L37</vt:lpstr>
      <vt:lpstr>A3_L38</vt:lpstr>
      <vt:lpstr>A3_L39</vt:lpstr>
      <vt:lpstr>A3_L4</vt:lpstr>
      <vt:lpstr>A3_L40</vt:lpstr>
      <vt:lpstr>A3_L5</vt:lpstr>
      <vt:lpstr>A3_L6</vt:lpstr>
      <vt:lpstr>A3_L7</vt:lpstr>
      <vt:lpstr>A3_L8</vt:lpstr>
      <vt:lpstr>A3_L9</vt:lpstr>
      <vt:lpstr>A3_X</vt:lpstr>
      <vt:lpstr>A3_X_L1</vt:lpstr>
      <vt:lpstr>A3_X_L10</vt:lpstr>
      <vt:lpstr>A3_X_L11</vt:lpstr>
      <vt:lpstr>A3_X_L12</vt:lpstr>
      <vt:lpstr>A3_X_L13</vt:lpstr>
      <vt:lpstr>A3_X_L14</vt:lpstr>
      <vt:lpstr>A3_X_L15</vt:lpstr>
      <vt:lpstr>A3_X_L16</vt:lpstr>
      <vt:lpstr>A3_X_L17</vt:lpstr>
      <vt:lpstr>A3_X_L18</vt:lpstr>
      <vt:lpstr>A3_X_L19</vt:lpstr>
      <vt:lpstr>A3_X_L2</vt:lpstr>
      <vt:lpstr>A3_X_L20</vt:lpstr>
      <vt:lpstr>A3_X_L21</vt:lpstr>
      <vt:lpstr>A3_X_L22</vt:lpstr>
      <vt:lpstr>A3_X_L23</vt:lpstr>
      <vt:lpstr>A3_X_L24</vt:lpstr>
      <vt:lpstr>A3_X_L25</vt:lpstr>
      <vt:lpstr>A3_X_L26</vt:lpstr>
      <vt:lpstr>A3_X_L27</vt:lpstr>
      <vt:lpstr>A3_X_L28</vt:lpstr>
      <vt:lpstr>A3_X_L29</vt:lpstr>
      <vt:lpstr>A3_X_L3</vt:lpstr>
      <vt:lpstr>A3_X_L30</vt:lpstr>
      <vt:lpstr>A3_X_L31</vt:lpstr>
      <vt:lpstr>A3_X_L32</vt:lpstr>
      <vt:lpstr>A3_X_L33</vt:lpstr>
      <vt:lpstr>A3_X_L34</vt:lpstr>
      <vt:lpstr>A3_X_L35</vt:lpstr>
      <vt:lpstr>A3_X_L36</vt:lpstr>
      <vt:lpstr>A3_X_L37</vt:lpstr>
      <vt:lpstr>A3_X_L38</vt:lpstr>
      <vt:lpstr>A3_X_L39</vt:lpstr>
      <vt:lpstr>A3_X_L4</vt:lpstr>
      <vt:lpstr>A3_X_L40</vt:lpstr>
      <vt:lpstr>A3_X_L5</vt:lpstr>
      <vt:lpstr>A3_X_L6</vt:lpstr>
      <vt:lpstr>A3_X_L7</vt:lpstr>
      <vt:lpstr>A3_X_L8</vt:lpstr>
      <vt:lpstr>A3_X_L9</vt:lpstr>
      <vt:lpstr>A3_Y</vt:lpstr>
      <vt:lpstr>A3_Y_L1</vt:lpstr>
      <vt:lpstr>A3_Y_L10</vt:lpstr>
      <vt:lpstr>A3_Y_L11</vt:lpstr>
      <vt:lpstr>A3_Y_L12</vt:lpstr>
      <vt:lpstr>A3_Y_L13</vt:lpstr>
      <vt:lpstr>A3_Y_L14</vt:lpstr>
      <vt:lpstr>A3_Y_L15</vt:lpstr>
      <vt:lpstr>A3_Y_L16</vt:lpstr>
      <vt:lpstr>A3_Y_L17</vt:lpstr>
      <vt:lpstr>A3_Y_L18</vt:lpstr>
      <vt:lpstr>A3_Y_L19</vt:lpstr>
      <vt:lpstr>A3_Y_L2</vt:lpstr>
      <vt:lpstr>A3_Y_L20</vt:lpstr>
      <vt:lpstr>A3_Y_L21</vt:lpstr>
      <vt:lpstr>A3_Y_L22</vt:lpstr>
      <vt:lpstr>A3_Y_L23</vt:lpstr>
      <vt:lpstr>A3_Y_L24</vt:lpstr>
      <vt:lpstr>A3_Y_L25</vt:lpstr>
      <vt:lpstr>A3_Y_L26</vt:lpstr>
      <vt:lpstr>A3_Y_L27</vt:lpstr>
      <vt:lpstr>A3_Y_L28</vt:lpstr>
      <vt:lpstr>A3_Y_L29</vt:lpstr>
      <vt:lpstr>A3_Y_L3</vt:lpstr>
      <vt:lpstr>A3_Y_L30</vt:lpstr>
      <vt:lpstr>A3_Y_L31</vt:lpstr>
      <vt:lpstr>A3_Y_L32</vt:lpstr>
      <vt:lpstr>A3_Y_L33</vt:lpstr>
      <vt:lpstr>A3_Y_L34</vt:lpstr>
      <vt:lpstr>A3_Y_L35</vt:lpstr>
      <vt:lpstr>A3_Y_L36</vt:lpstr>
      <vt:lpstr>A3_Y_L37</vt:lpstr>
      <vt:lpstr>A3_Y_L38</vt:lpstr>
      <vt:lpstr>A3_Y_L39</vt:lpstr>
      <vt:lpstr>A3_Y_L4</vt:lpstr>
      <vt:lpstr>A3_Y_L40</vt:lpstr>
      <vt:lpstr>A3_Y_L5</vt:lpstr>
      <vt:lpstr>A3_Y_L6</vt:lpstr>
      <vt:lpstr>A3_Y_L7</vt:lpstr>
      <vt:lpstr>A3_Y_L8</vt:lpstr>
      <vt:lpstr>A3_Y_L9</vt:lpstr>
      <vt:lpstr>A3_Z</vt:lpstr>
      <vt:lpstr>A3_Z_L1</vt:lpstr>
      <vt:lpstr>A3_Z_L10</vt:lpstr>
      <vt:lpstr>A3_Z_L11</vt:lpstr>
      <vt:lpstr>A3_Z_L12</vt:lpstr>
      <vt:lpstr>A3_Z_L13</vt:lpstr>
      <vt:lpstr>A3_Z_L14</vt:lpstr>
      <vt:lpstr>A3_Z_L15</vt:lpstr>
      <vt:lpstr>A3_Z_L16</vt:lpstr>
      <vt:lpstr>A3_Z_L17</vt:lpstr>
      <vt:lpstr>A3_Z_L18</vt:lpstr>
      <vt:lpstr>A3_Z_L19</vt:lpstr>
      <vt:lpstr>A3_Z_L2</vt:lpstr>
      <vt:lpstr>A3_Z_L20</vt:lpstr>
      <vt:lpstr>A3_Z_L21</vt:lpstr>
      <vt:lpstr>A3_Z_L22</vt:lpstr>
      <vt:lpstr>A3_Z_L23</vt:lpstr>
      <vt:lpstr>A3_Z_L24</vt:lpstr>
      <vt:lpstr>A3_Z_L25</vt:lpstr>
      <vt:lpstr>A3_Z_L26</vt:lpstr>
      <vt:lpstr>A3_Z_L27</vt:lpstr>
      <vt:lpstr>A3_Z_L28</vt:lpstr>
      <vt:lpstr>A3_Z_L29</vt:lpstr>
      <vt:lpstr>A3_Z_L3</vt:lpstr>
      <vt:lpstr>A3_Z_L30</vt:lpstr>
      <vt:lpstr>A3_Z_L31</vt:lpstr>
      <vt:lpstr>A3_Z_L32</vt:lpstr>
      <vt:lpstr>A3_Z_L33</vt:lpstr>
      <vt:lpstr>A3_Z_L34</vt:lpstr>
      <vt:lpstr>A3_Z_L35</vt:lpstr>
      <vt:lpstr>A3_Z_L36</vt:lpstr>
      <vt:lpstr>A3_Z_L37</vt:lpstr>
      <vt:lpstr>A3_Z_L38</vt:lpstr>
      <vt:lpstr>A3_Z_L39</vt:lpstr>
      <vt:lpstr>A3_Z_L4</vt:lpstr>
      <vt:lpstr>A3_Z_L40</vt:lpstr>
      <vt:lpstr>A3_Z_L5</vt:lpstr>
      <vt:lpstr>A3_Z_L6</vt:lpstr>
      <vt:lpstr>A3_Z_L7</vt:lpstr>
      <vt:lpstr>A3_Z_L8</vt:lpstr>
      <vt:lpstr>A3_Z_L9</vt:lpstr>
      <vt:lpstr>A4_A</vt:lpstr>
      <vt:lpstr>A4_A_L1</vt:lpstr>
      <vt:lpstr>A4_A_L10</vt:lpstr>
      <vt:lpstr>A4_A_L11</vt:lpstr>
      <vt:lpstr>A4_A_L12</vt:lpstr>
      <vt:lpstr>A4_A_L13</vt:lpstr>
      <vt:lpstr>A4_A_L14</vt:lpstr>
      <vt:lpstr>A4_A_L15</vt:lpstr>
      <vt:lpstr>A4_A_L16</vt:lpstr>
      <vt:lpstr>A4_A_L17</vt:lpstr>
      <vt:lpstr>A4_A_L18</vt:lpstr>
      <vt:lpstr>A4_A_L19</vt:lpstr>
      <vt:lpstr>A4_A_L2</vt:lpstr>
      <vt:lpstr>A4_A_L20</vt:lpstr>
      <vt:lpstr>A4_A_L21</vt:lpstr>
      <vt:lpstr>A4_A_L22</vt:lpstr>
      <vt:lpstr>A4_A_L23</vt:lpstr>
      <vt:lpstr>A4_A_L24</vt:lpstr>
      <vt:lpstr>A4_A_L25</vt:lpstr>
      <vt:lpstr>A4_A_L26</vt:lpstr>
      <vt:lpstr>A4_A_L27</vt:lpstr>
      <vt:lpstr>A4_A_L28</vt:lpstr>
      <vt:lpstr>A4_A_L29</vt:lpstr>
      <vt:lpstr>A4_A_L3</vt:lpstr>
      <vt:lpstr>A4_A_L30</vt:lpstr>
      <vt:lpstr>A4_A_L31</vt:lpstr>
      <vt:lpstr>A4_A_L32</vt:lpstr>
      <vt:lpstr>A4_A_L33</vt:lpstr>
      <vt:lpstr>A4_A_L34</vt:lpstr>
      <vt:lpstr>A4_A_L35</vt:lpstr>
      <vt:lpstr>A4_A_L36</vt:lpstr>
      <vt:lpstr>A4_A_L37</vt:lpstr>
      <vt:lpstr>A4_A_L38</vt:lpstr>
      <vt:lpstr>A4_A_L39</vt:lpstr>
      <vt:lpstr>A4_A_L4</vt:lpstr>
      <vt:lpstr>A4_A_L40</vt:lpstr>
      <vt:lpstr>A4_A_L5</vt:lpstr>
      <vt:lpstr>A4_A_L6</vt:lpstr>
      <vt:lpstr>A4_A_L7</vt:lpstr>
      <vt:lpstr>A4_A_L8</vt:lpstr>
      <vt:lpstr>A4_A_L9</vt:lpstr>
      <vt:lpstr>A4_B</vt:lpstr>
      <vt:lpstr>A4_B_L1</vt:lpstr>
      <vt:lpstr>A4_B_L10</vt:lpstr>
      <vt:lpstr>A4_B_L11</vt:lpstr>
      <vt:lpstr>A4_B_L12</vt:lpstr>
      <vt:lpstr>A4_B_L13</vt:lpstr>
      <vt:lpstr>A4_B_L14</vt:lpstr>
      <vt:lpstr>A4_B_L15</vt:lpstr>
      <vt:lpstr>A4_B_L16</vt:lpstr>
      <vt:lpstr>A4_B_L17</vt:lpstr>
      <vt:lpstr>A4_B_L18</vt:lpstr>
      <vt:lpstr>A4_B_L19</vt:lpstr>
      <vt:lpstr>A4_B_L2</vt:lpstr>
      <vt:lpstr>A4_B_L20</vt:lpstr>
      <vt:lpstr>A4_B_L21</vt:lpstr>
      <vt:lpstr>A4_B_L22</vt:lpstr>
      <vt:lpstr>A4_B_L23</vt:lpstr>
      <vt:lpstr>A4_B_L24</vt:lpstr>
      <vt:lpstr>A4_B_L25</vt:lpstr>
      <vt:lpstr>A4_B_L26</vt:lpstr>
      <vt:lpstr>A4_B_L27</vt:lpstr>
      <vt:lpstr>A4_B_L28</vt:lpstr>
      <vt:lpstr>A4_B_L29</vt:lpstr>
      <vt:lpstr>A4_B_L3</vt:lpstr>
      <vt:lpstr>A4_B_L30</vt:lpstr>
      <vt:lpstr>A4_B_L31</vt:lpstr>
      <vt:lpstr>A4_B_L32</vt:lpstr>
      <vt:lpstr>A4_B_L33</vt:lpstr>
      <vt:lpstr>A4_B_L34</vt:lpstr>
      <vt:lpstr>A4_B_L35</vt:lpstr>
      <vt:lpstr>A4_B_L36</vt:lpstr>
      <vt:lpstr>A4_B_L37</vt:lpstr>
      <vt:lpstr>A4_B_L38</vt:lpstr>
      <vt:lpstr>A4_B_L39</vt:lpstr>
      <vt:lpstr>A4_B_L4</vt:lpstr>
      <vt:lpstr>A4_B_L40</vt:lpstr>
      <vt:lpstr>A4_B_L5</vt:lpstr>
      <vt:lpstr>A4_B_L6</vt:lpstr>
      <vt:lpstr>A4_B_L7</vt:lpstr>
      <vt:lpstr>A4_B_L8</vt:lpstr>
      <vt:lpstr>A4_B_L9</vt:lpstr>
      <vt:lpstr>A4_C</vt:lpstr>
      <vt:lpstr>A4_C_L1</vt:lpstr>
      <vt:lpstr>A4_C_L10</vt:lpstr>
      <vt:lpstr>A4_C_L11</vt:lpstr>
      <vt:lpstr>A4_C_L12</vt:lpstr>
      <vt:lpstr>A4_C_L13</vt:lpstr>
      <vt:lpstr>A4_C_L14</vt:lpstr>
      <vt:lpstr>A4_C_L15</vt:lpstr>
      <vt:lpstr>A4_C_L16</vt:lpstr>
      <vt:lpstr>A4_C_L17</vt:lpstr>
      <vt:lpstr>A4_C_L18</vt:lpstr>
      <vt:lpstr>A4_C_L19</vt:lpstr>
      <vt:lpstr>A4_C_L2</vt:lpstr>
      <vt:lpstr>A4_C_L20</vt:lpstr>
      <vt:lpstr>A4_C_L21</vt:lpstr>
      <vt:lpstr>A4_C_L22</vt:lpstr>
      <vt:lpstr>A4_C_L23</vt:lpstr>
      <vt:lpstr>A4_C_L24</vt:lpstr>
      <vt:lpstr>A4_C_L25</vt:lpstr>
      <vt:lpstr>A4_C_L26</vt:lpstr>
      <vt:lpstr>A4_C_L27</vt:lpstr>
      <vt:lpstr>A4_C_L28</vt:lpstr>
      <vt:lpstr>A4_C_L29</vt:lpstr>
      <vt:lpstr>A4_C_L3</vt:lpstr>
      <vt:lpstr>A4_C_L30</vt:lpstr>
      <vt:lpstr>A4_C_L31</vt:lpstr>
      <vt:lpstr>A4_C_L32</vt:lpstr>
      <vt:lpstr>A4_C_L33</vt:lpstr>
      <vt:lpstr>A4_C_L34</vt:lpstr>
      <vt:lpstr>A4_C_L35</vt:lpstr>
      <vt:lpstr>A4_C_L36</vt:lpstr>
      <vt:lpstr>A4_C_L37</vt:lpstr>
      <vt:lpstr>A4_C_L38</vt:lpstr>
      <vt:lpstr>A4_C_L39</vt:lpstr>
      <vt:lpstr>A4_C_L4</vt:lpstr>
      <vt:lpstr>A4_C_L40</vt:lpstr>
      <vt:lpstr>A4_C_L5</vt:lpstr>
      <vt:lpstr>A4_C_L6</vt:lpstr>
      <vt:lpstr>A4_C_L7</vt:lpstr>
      <vt:lpstr>A4_C_L8</vt:lpstr>
      <vt:lpstr>A4_C_L9</vt:lpstr>
      <vt:lpstr>A4_D</vt:lpstr>
      <vt:lpstr>A4_D_L1</vt:lpstr>
      <vt:lpstr>A4_D_L10</vt:lpstr>
      <vt:lpstr>A4_D_L11</vt:lpstr>
      <vt:lpstr>A4_D_L12</vt:lpstr>
      <vt:lpstr>A4_D_L13</vt:lpstr>
      <vt:lpstr>A4_D_L14</vt:lpstr>
      <vt:lpstr>A4_D_L15</vt:lpstr>
      <vt:lpstr>A4_D_L16</vt:lpstr>
      <vt:lpstr>A4_D_L17</vt:lpstr>
      <vt:lpstr>A4_D_L18</vt:lpstr>
      <vt:lpstr>A4_D_L19</vt:lpstr>
      <vt:lpstr>A4_D_L2</vt:lpstr>
      <vt:lpstr>A4_D_L20</vt:lpstr>
      <vt:lpstr>A4_D_L21</vt:lpstr>
      <vt:lpstr>A4_D_L22</vt:lpstr>
      <vt:lpstr>A4_D_L23</vt:lpstr>
      <vt:lpstr>A4_D_L24</vt:lpstr>
      <vt:lpstr>A4_D_L25</vt:lpstr>
      <vt:lpstr>A4_D_L26</vt:lpstr>
      <vt:lpstr>A4_D_L27</vt:lpstr>
      <vt:lpstr>A4_D_L28</vt:lpstr>
      <vt:lpstr>A4_D_L29</vt:lpstr>
      <vt:lpstr>A4_D_L3</vt:lpstr>
      <vt:lpstr>A4_D_L30</vt:lpstr>
      <vt:lpstr>A4_D_L31</vt:lpstr>
      <vt:lpstr>A4_D_L32</vt:lpstr>
      <vt:lpstr>A4_D_L33</vt:lpstr>
      <vt:lpstr>A4_D_L34</vt:lpstr>
      <vt:lpstr>A4_D_L35</vt:lpstr>
      <vt:lpstr>A4_D_L36</vt:lpstr>
      <vt:lpstr>A4_D_L37</vt:lpstr>
      <vt:lpstr>A4_D_L38</vt:lpstr>
      <vt:lpstr>A4_D_L39</vt:lpstr>
      <vt:lpstr>A4_D_L4</vt:lpstr>
      <vt:lpstr>A4_D_L40</vt:lpstr>
      <vt:lpstr>A4_D_L5</vt:lpstr>
      <vt:lpstr>A4_D_L6</vt:lpstr>
      <vt:lpstr>A4_D_L7</vt:lpstr>
      <vt:lpstr>A4_D_L8</vt:lpstr>
      <vt:lpstr>A4_D_L9</vt:lpstr>
      <vt:lpstr>A4_L1</vt:lpstr>
      <vt:lpstr>A4_L10</vt:lpstr>
      <vt:lpstr>A4_L11</vt:lpstr>
      <vt:lpstr>A4_L12</vt:lpstr>
      <vt:lpstr>A4_L13</vt:lpstr>
      <vt:lpstr>A4_L14</vt:lpstr>
      <vt:lpstr>A4_L15</vt:lpstr>
      <vt:lpstr>A4_L16</vt:lpstr>
      <vt:lpstr>A4_L17</vt:lpstr>
      <vt:lpstr>A4_L18</vt:lpstr>
      <vt:lpstr>A4_L19</vt:lpstr>
      <vt:lpstr>A4_L2</vt:lpstr>
      <vt:lpstr>A4_L20</vt:lpstr>
      <vt:lpstr>A4_L21</vt:lpstr>
      <vt:lpstr>A4_L22</vt:lpstr>
      <vt:lpstr>A4_L23</vt:lpstr>
      <vt:lpstr>A4_L24</vt:lpstr>
      <vt:lpstr>A4_L25</vt:lpstr>
      <vt:lpstr>A4_L26</vt:lpstr>
      <vt:lpstr>A4_L27</vt:lpstr>
      <vt:lpstr>A4_L28</vt:lpstr>
      <vt:lpstr>A4_L29</vt:lpstr>
      <vt:lpstr>A4_L3</vt:lpstr>
      <vt:lpstr>A4_L30</vt:lpstr>
      <vt:lpstr>A4_L31</vt:lpstr>
      <vt:lpstr>A4_L32</vt:lpstr>
      <vt:lpstr>A4_L33</vt:lpstr>
      <vt:lpstr>A4_L34</vt:lpstr>
      <vt:lpstr>A4_L35</vt:lpstr>
      <vt:lpstr>A4_L36</vt:lpstr>
      <vt:lpstr>A4_L37</vt:lpstr>
      <vt:lpstr>A4_L38</vt:lpstr>
      <vt:lpstr>A4_L39</vt:lpstr>
      <vt:lpstr>A4_L4</vt:lpstr>
      <vt:lpstr>A4_L40</vt:lpstr>
      <vt:lpstr>A4_L5</vt:lpstr>
      <vt:lpstr>A4_L6</vt:lpstr>
      <vt:lpstr>A4_L7</vt:lpstr>
      <vt:lpstr>A4_L8</vt:lpstr>
      <vt:lpstr>A4_L9</vt:lpstr>
      <vt:lpstr>A4_X</vt:lpstr>
      <vt:lpstr>A4_X_L1</vt:lpstr>
      <vt:lpstr>A4_X_L10</vt:lpstr>
      <vt:lpstr>A4_X_L11</vt:lpstr>
      <vt:lpstr>A4_X_L12</vt:lpstr>
      <vt:lpstr>A4_X_L13</vt:lpstr>
      <vt:lpstr>A4_X_L14</vt:lpstr>
      <vt:lpstr>A4_X_L15</vt:lpstr>
      <vt:lpstr>A4_X_L16</vt:lpstr>
      <vt:lpstr>A4_X_L17</vt:lpstr>
      <vt:lpstr>A4_X_L18</vt:lpstr>
      <vt:lpstr>A4_X_L19</vt:lpstr>
      <vt:lpstr>A4_X_L2</vt:lpstr>
      <vt:lpstr>A4_X_L20</vt:lpstr>
      <vt:lpstr>A4_X_L21</vt:lpstr>
      <vt:lpstr>A4_X_L22</vt:lpstr>
      <vt:lpstr>A4_X_L23</vt:lpstr>
      <vt:lpstr>A4_X_L24</vt:lpstr>
      <vt:lpstr>A4_X_L25</vt:lpstr>
      <vt:lpstr>A4_X_L26</vt:lpstr>
      <vt:lpstr>A4_X_L27</vt:lpstr>
      <vt:lpstr>A4_X_L28</vt:lpstr>
      <vt:lpstr>A4_X_L29</vt:lpstr>
      <vt:lpstr>A4_X_L3</vt:lpstr>
      <vt:lpstr>A4_X_L30</vt:lpstr>
      <vt:lpstr>A4_X_L31</vt:lpstr>
      <vt:lpstr>A4_X_L32</vt:lpstr>
      <vt:lpstr>A4_X_L33</vt:lpstr>
      <vt:lpstr>A4_X_L34</vt:lpstr>
      <vt:lpstr>A4_X_L35</vt:lpstr>
      <vt:lpstr>A4_X_L36</vt:lpstr>
      <vt:lpstr>A4_X_L37</vt:lpstr>
      <vt:lpstr>A4_X_L38</vt:lpstr>
      <vt:lpstr>A4_X_L39</vt:lpstr>
      <vt:lpstr>A4_X_L4</vt:lpstr>
      <vt:lpstr>A4_X_L40</vt:lpstr>
      <vt:lpstr>A4_X_L5</vt:lpstr>
      <vt:lpstr>A4_X_L6</vt:lpstr>
      <vt:lpstr>A4_X_L7</vt:lpstr>
      <vt:lpstr>A4_X_L8</vt:lpstr>
      <vt:lpstr>A4_X_L9</vt:lpstr>
      <vt:lpstr>A4_Y</vt:lpstr>
      <vt:lpstr>A4_Y_L1</vt:lpstr>
      <vt:lpstr>A4_Y_L10</vt:lpstr>
      <vt:lpstr>A4_Y_L11</vt:lpstr>
      <vt:lpstr>A4_Y_L12</vt:lpstr>
      <vt:lpstr>A4_Y_L13</vt:lpstr>
      <vt:lpstr>A4_Y_L14</vt:lpstr>
      <vt:lpstr>A4_Y_L15</vt:lpstr>
      <vt:lpstr>A4_Y_L16</vt:lpstr>
      <vt:lpstr>A4_Y_L17</vt:lpstr>
      <vt:lpstr>A4_Y_L18</vt:lpstr>
      <vt:lpstr>A4_Y_L19</vt:lpstr>
      <vt:lpstr>A4_Y_L2</vt:lpstr>
      <vt:lpstr>A4_Y_L20</vt:lpstr>
      <vt:lpstr>A4_Y_L21</vt:lpstr>
      <vt:lpstr>A4_Y_L22</vt:lpstr>
      <vt:lpstr>A4_Y_L23</vt:lpstr>
      <vt:lpstr>A4_Y_L24</vt:lpstr>
      <vt:lpstr>A4_Y_L25</vt:lpstr>
      <vt:lpstr>A4_Y_L26</vt:lpstr>
      <vt:lpstr>A4_Y_L27</vt:lpstr>
      <vt:lpstr>A4_Y_L28</vt:lpstr>
      <vt:lpstr>A4_Y_L29</vt:lpstr>
      <vt:lpstr>A4_Y_L3</vt:lpstr>
      <vt:lpstr>A4_Y_L30</vt:lpstr>
      <vt:lpstr>A4_Y_L31</vt:lpstr>
      <vt:lpstr>A4_Y_L32</vt:lpstr>
      <vt:lpstr>A4_Y_L33</vt:lpstr>
      <vt:lpstr>A4_Y_L34</vt:lpstr>
      <vt:lpstr>A4_Y_L35</vt:lpstr>
      <vt:lpstr>A4_Y_L36</vt:lpstr>
      <vt:lpstr>A4_Y_L37</vt:lpstr>
      <vt:lpstr>A4_Y_L38</vt:lpstr>
      <vt:lpstr>A4_Y_L39</vt:lpstr>
      <vt:lpstr>A4_Y_L4</vt:lpstr>
      <vt:lpstr>A4_Y_L40</vt:lpstr>
      <vt:lpstr>A4_Y_L5</vt:lpstr>
      <vt:lpstr>A4_Y_L6</vt:lpstr>
      <vt:lpstr>A4_Y_L7</vt:lpstr>
      <vt:lpstr>A4_Y_L8</vt:lpstr>
      <vt:lpstr>A4_Y_L9</vt:lpstr>
      <vt:lpstr>A4_Z</vt:lpstr>
      <vt:lpstr>A4_Z_L1</vt:lpstr>
      <vt:lpstr>A4_Z_L10</vt:lpstr>
      <vt:lpstr>A4_Z_L11</vt:lpstr>
      <vt:lpstr>A4_Z_L12</vt:lpstr>
      <vt:lpstr>A4_Z_L13</vt:lpstr>
      <vt:lpstr>A4_Z_L14</vt:lpstr>
      <vt:lpstr>A4_Z_L15</vt:lpstr>
      <vt:lpstr>A4_Z_L16</vt:lpstr>
      <vt:lpstr>A4_Z_L17</vt:lpstr>
      <vt:lpstr>A4_Z_L18</vt:lpstr>
      <vt:lpstr>A4_Z_L19</vt:lpstr>
      <vt:lpstr>A4_Z_L2</vt:lpstr>
      <vt:lpstr>A4_Z_L20</vt:lpstr>
      <vt:lpstr>A4_Z_L21</vt:lpstr>
      <vt:lpstr>A4_Z_L22</vt:lpstr>
      <vt:lpstr>A4_Z_L23</vt:lpstr>
      <vt:lpstr>A4_Z_L24</vt:lpstr>
      <vt:lpstr>A4_Z_L25</vt:lpstr>
      <vt:lpstr>A4_Z_L26</vt:lpstr>
      <vt:lpstr>A4_Z_L27</vt:lpstr>
      <vt:lpstr>A4_Z_L28</vt:lpstr>
      <vt:lpstr>A4_Z_L29</vt:lpstr>
      <vt:lpstr>A4_Z_L3</vt:lpstr>
      <vt:lpstr>A4_Z_L30</vt:lpstr>
      <vt:lpstr>A4_Z_L31</vt:lpstr>
      <vt:lpstr>A4_Z_L32</vt:lpstr>
      <vt:lpstr>A4_Z_L33</vt:lpstr>
      <vt:lpstr>A4_Z_L34</vt:lpstr>
      <vt:lpstr>A4_Z_L35</vt:lpstr>
      <vt:lpstr>A4_Z_L36</vt:lpstr>
      <vt:lpstr>A4_Z_L37</vt:lpstr>
      <vt:lpstr>A4_Z_L38</vt:lpstr>
      <vt:lpstr>A4_Z_L39</vt:lpstr>
      <vt:lpstr>A4_Z_L4</vt:lpstr>
      <vt:lpstr>A4_Z_L40</vt:lpstr>
      <vt:lpstr>A4_Z_L5</vt:lpstr>
      <vt:lpstr>A4_Z_L6</vt:lpstr>
      <vt:lpstr>A4_Z_L7</vt:lpstr>
      <vt:lpstr>A4_Z_L8</vt:lpstr>
      <vt:lpstr>A4_Z_L9</vt:lpstr>
      <vt:lpstr>A5_A</vt:lpstr>
      <vt:lpstr>A5_A_L1</vt:lpstr>
      <vt:lpstr>A5_A_L10</vt:lpstr>
      <vt:lpstr>A5_A_L11</vt:lpstr>
      <vt:lpstr>A5_A_L12</vt:lpstr>
      <vt:lpstr>A5_A_L13</vt:lpstr>
      <vt:lpstr>A5_A_L14</vt:lpstr>
      <vt:lpstr>A5_A_L15</vt:lpstr>
      <vt:lpstr>A5_A_L16</vt:lpstr>
      <vt:lpstr>A5_A_L17</vt:lpstr>
      <vt:lpstr>A5_A_L18</vt:lpstr>
      <vt:lpstr>A5_A_L19</vt:lpstr>
      <vt:lpstr>A5_A_L2</vt:lpstr>
      <vt:lpstr>A5_A_L20</vt:lpstr>
      <vt:lpstr>A5_A_L21</vt:lpstr>
      <vt:lpstr>A5_A_L22</vt:lpstr>
      <vt:lpstr>A5_A_L23</vt:lpstr>
      <vt:lpstr>A5_A_L24</vt:lpstr>
      <vt:lpstr>A5_A_L25</vt:lpstr>
      <vt:lpstr>A5_A_L26</vt:lpstr>
      <vt:lpstr>A5_A_L27</vt:lpstr>
      <vt:lpstr>A5_A_L28</vt:lpstr>
      <vt:lpstr>A5_A_L29</vt:lpstr>
      <vt:lpstr>A5_A_L3</vt:lpstr>
      <vt:lpstr>A5_A_L30</vt:lpstr>
      <vt:lpstr>A5_A_L31</vt:lpstr>
      <vt:lpstr>A5_A_L32</vt:lpstr>
      <vt:lpstr>A5_A_L33</vt:lpstr>
      <vt:lpstr>A5_A_L34</vt:lpstr>
      <vt:lpstr>A5_A_L35</vt:lpstr>
      <vt:lpstr>A5_A_L36</vt:lpstr>
      <vt:lpstr>A5_A_L37</vt:lpstr>
      <vt:lpstr>A5_A_L38</vt:lpstr>
      <vt:lpstr>A5_A_L39</vt:lpstr>
      <vt:lpstr>A5_A_L4</vt:lpstr>
      <vt:lpstr>A5_A_L40</vt:lpstr>
      <vt:lpstr>A5_A_L5</vt:lpstr>
      <vt:lpstr>A5_A_L6</vt:lpstr>
      <vt:lpstr>A5_A_L7</vt:lpstr>
      <vt:lpstr>A5_A_L8</vt:lpstr>
      <vt:lpstr>A5_A_L9</vt:lpstr>
      <vt:lpstr>A5_B</vt:lpstr>
      <vt:lpstr>A5_B_L1</vt:lpstr>
      <vt:lpstr>A5_B_L10</vt:lpstr>
      <vt:lpstr>A5_B_L11</vt:lpstr>
      <vt:lpstr>A5_B_L12</vt:lpstr>
      <vt:lpstr>A5_B_L13</vt:lpstr>
      <vt:lpstr>A5_B_L14</vt:lpstr>
      <vt:lpstr>A5_B_L15</vt:lpstr>
      <vt:lpstr>A5_B_L16</vt:lpstr>
      <vt:lpstr>A5_B_L17</vt:lpstr>
      <vt:lpstr>A5_B_L18</vt:lpstr>
      <vt:lpstr>A5_B_L19</vt:lpstr>
      <vt:lpstr>A5_B_L2</vt:lpstr>
      <vt:lpstr>A5_B_L20</vt:lpstr>
      <vt:lpstr>A5_B_L21</vt:lpstr>
      <vt:lpstr>A5_B_L22</vt:lpstr>
      <vt:lpstr>A5_B_L23</vt:lpstr>
      <vt:lpstr>A5_B_L24</vt:lpstr>
      <vt:lpstr>A5_B_L25</vt:lpstr>
      <vt:lpstr>A5_B_L26</vt:lpstr>
      <vt:lpstr>A5_B_L27</vt:lpstr>
      <vt:lpstr>A5_B_L28</vt:lpstr>
      <vt:lpstr>A5_B_L29</vt:lpstr>
      <vt:lpstr>A5_B_L3</vt:lpstr>
      <vt:lpstr>A5_B_L30</vt:lpstr>
      <vt:lpstr>A5_B_L31</vt:lpstr>
      <vt:lpstr>A5_B_L32</vt:lpstr>
      <vt:lpstr>A5_B_L33</vt:lpstr>
      <vt:lpstr>A5_B_L34</vt:lpstr>
      <vt:lpstr>A5_B_L35</vt:lpstr>
      <vt:lpstr>A5_B_L36</vt:lpstr>
      <vt:lpstr>A5_B_L37</vt:lpstr>
      <vt:lpstr>A5_B_L38</vt:lpstr>
      <vt:lpstr>A5_B_L39</vt:lpstr>
      <vt:lpstr>A5_B_L4</vt:lpstr>
      <vt:lpstr>A5_B_L40</vt:lpstr>
      <vt:lpstr>A5_B_L5</vt:lpstr>
      <vt:lpstr>A5_B_L6</vt:lpstr>
      <vt:lpstr>A5_B_L7</vt:lpstr>
      <vt:lpstr>A5_B_L8</vt:lpstr>
      <vt:lpstr>A5_B_L9</vt:lpstr>
      <vt:lpstr>A5_C</vt:lpstr>
      <vt:lpstr>A5_C_L1</vt:lpstr>
      <vt:lpstr>A5_C_L10</vt:lpstr>
      <vt:lpstr>A5_C_L11</vt:lpstr>
      <vt:lpstr>A5_C_L12</vt:lpstr>
      <vt:lpstr>A5_C_L13</vt:lpstr>
      <vt:lpstr>A5_C_L14</vt:lpstr>
      <vt:lpstr>A5_C_L15</vt:lpstr>
      <vt:lpstr>A5_C_L16</vt:lpstr>
      <vt:lpstr>A5_C_L17</vt:lpstr>
      <vt:lpstr>A5_C_L18</vt:lpstr>
      <vt:lpstr>A5_C_L19</vt:lpstr>
      <vt:lpstr>A5_C_L2</vt:lpstr>
      <vt:lpstr>A5_C_L20</vt:lpstr>
      <vt:lpstr>A5_C_L21</vt:lpstr>
      <vt:lpstr>A5_C_L22</vt:lpstr>
      <vt:lpstr>A5_C_L23</vt:lpstr>
      <vt:lpstr>A5_C_L24</vt:lpstr>
      <vt:lpstr>A5_C_L25</vt:lpstr>
      <vt:lpstr>A5_C_L26</vt:lpstr>
      <vt:lpstr>A5_C_L27</vt:lpstr>
      <vt:lpstr>A5_C_L28</vt:lpstr>
      <vt:lpstr>A5_C_L29</vt:lpstr>
      <vt:lpstr>A5_C_L3</vt:lpstr>
      <vt:lpstr>A5_C_L30</vt:lpstr>
      <vt:lpstr>A5_C_L31</vt:lpstr>
      <vt:lpstr>A5_C_L32</vt:lpstr>
      <vt:lpstr>A5_C_L33</vt:lpstr>
      <vt:lpstr>A5_C_L34</vt:lpstr>
      <vt:lpstr>A5_C_L35</vt:lpstr>
      <vt:lpstr>A5_C_L36</vt:lpstr>
      <vt:lpstr>A5_C_L37</vt:lpstr>
      <vt:lpstr>A5_C_L38</vt:lpstr>
      <vt:lpstr>A5_C_L39</vt:lpstr>
      <vt:lpstr>A5_C_L4</vt:lpstr>
      <vt:lpstr>A5_C_L40</vt:lpstr>
      <vt:lpstr>A5_C_L5</vt:lpstr>
      <vt:lpstr>A5_C_L6</vt:lpstr>
      <vt:lpstr>A5_C_L7</vt:lpstr>
      <vt:lpstr>A5_C_L8</vt:lpstr>
      <vt:lpstr>A5_C_L9</vt:lpstr>
      <vt:lpstr>A5_D</vt:lpstr>
      <vt:lpstr>A5_D_L1</vt:lpstr>
      <vt:lpstr>A5_D_L10</vt:lpstr>
      <vt:lpstr>A5_D_L11</vt:lpstr>
      <vt:lpstr>A5_D_L12</vt:lpstr>
      <vt:lpstr>A5_D_L13</vt:lpstr>
      <vt:lpstr>A5_D_L14</vt:lpstr>
      <vt:lpstr>A5_D_L15</vt:lpstr>
      <vt:lpstr>A5_D_L16</vt:lpstr>
      <vt:lpstr>A5_D_L17</vt:lpstr>
      <vt:lpstr>A5_D_L18</vt:lpstr>
      <vt:lpstr>A5_D_L19</vt:lpstr>
      <vt:lpstr>A5_D_L2</vt:lpstr>
      <vt:lpstr>A5_D_L20</vt:lpstr>
      <vt:lpstr>A5_D_L21</vt:lpstr>
      <vt:lpstr>A5_D_L22</vt:lpstr>
      <vt:lpstr>A5_D_L23</vt:lpstr>
      <vt:lpstr>A5_D_L24</vt:lpstr>
      <vt:lpstr>A5_D_L25</vt:lpstr>
      <vt:lpstr>A5_D_L26</vt:lpstr>
      <vt:lpstr>A5_D_L27</vt:lpstr>
      <vt:lpstr>A5_D_L28</vt:lpstr>
      <vt:lpstr>A5_D_L29</vt:lpstr>
      <vt:lpstr>A5_D_L3</vt:lpstr>
      <vt:lpstr>A5_D_L30</vt:lpstr>
      <vt:lpstr>A5_D_L31</vt:lpstr>
      <vt:lpstr>A5_D_L32</vt:lpstr>
      <vt:lpstr>A5_D_L33</vt:lpstr>
      <vt:lpstr>A5_D_L34</vt:lpstr>
      <vt:lpstr>A5_D_L35</vt:lpstr>
      <vt:lpstr>A5_D_L36</vt:lpstr>
      <vt:lpstr>A5_D_L37</vt:lpstr>
      <vt:lpstr>A5_D_L38</vt:lpstr>
      <vt:lpstr>A5_D_L39</vt:lpstr>
      <vt:lpstr>A5_D_L4</vt:lpstr>
      <vt:lpstr>A5_D_L40</vt:lpstr>
      <vt:lpstr>A5_D_L5</vt:lpstr>
      <vt:lpstr>A5_D_L6</vt:lpstr>
      <vt:lpstr>A5_D_L7</vt:lpstr>
      <vt:lpstr>A5_D_L8</vt:lpstr>
      <vt:lpstr>A5_D_L9</vt:lpstr>
      <vt:lpstr>A5_L1</vt:lpstr>
      <vt:lpstr>A5_L10</vt:lpstr>
      <vt:lpstr>A5_L11</vt:lpstr>
      <vt:lpstr>A5_L12</vt:lpstr>
      <vt:lpstr>A5_L13</vt:lpstr>
      <vt:lpstr>A5_L14</vt:lpstr>
      <vt:lpstr>A5_L15</vt:lpstr>
      <vt:lpstr>A5_L16</vt:lpstr>
      <vt:lpstr>A5_L17</vt:lpstr>
      <vt:lpstr>A5_L18</vt:lpstr>
      <vt:lpstr>A5_L19</vt:lpstr>
      <vt:lpstr>A5_L2</vt:lpstr>
      <vt:lpstr>A5_L20</vt:lpstr>
      <vt:lpstr>A5_L21</vt:lpstr>
      <vt:lpstr>A5_L22</vt:lpstr>
      <vt:lpstr>A5_L23</vt:lpstr>
      <vt:lpstr>A5_L24</vt:lpstr>
      <vt:lpstr>A5_L25</vt:lpstr>
      <vt:lpstr>A5_L26</vt:lpstr>
      <vt:lpstr>A5_L27</vt:lpstr>
      <vt:lpstr>A5_L28</vt:lpstr>
      <vt:lpstr>A5_L29</vt:lpstr>
      <vt:lpstr>A5_L3</vt:lpstr>
      <vt:lpstr>A5_L30</vt:lpstr>
      <vt:lpstr>A5_L31</vt:lpstr>
      <vt:lpstr>A5_L32</vt:lpstr>
      <vt:lpstr>A5_L33</vt:lpstr>
      <vt:lpstr>A5_L34</vt:lpstr>
      <vt:lpstr>A5_L35</vt:lpstr>
      <vt:lpstr>A5_L36</vt:lpstr>
      <vt:lpstr>A5_L37</vt:lpstr>
      <vt:lpstr>A5_L38</vt:lpstr>
      <vt:lpstr>A5_L39</vt:lpstr>
      <vt:lpstr>A5_L4</vt:lpstr>
      <vt:lpstr>A5_L40</vt:lpstr>
      <vt:lpstr>A5_L5</vt:lpstr>
      <vt:lpstr>A5_L6</vt:lpstr>
      <vt:lpstr>A5_L7</vt:lpstr>
      <vt:lpstr>A5_L8</vt:lpstr>
      <vt:lpstr>A5_L9</vt:lpstr>
      <vt:lpstr>A5_X</vt:lpstr>
      <vt:lpstr>A5_X_L1</vt:lpstr>
      <vt:lpstr>A5_X_L10</vt:lpstr>
      <vt:lpstr>A5_X_L11</vt:lpstr>
      <vt:lpstr>A5_X_L12</vt:lpstr>
      <vt:lpstr>A5_X_L13</vt:lpstr>
      <vt:lpstr>A5_X_L14</vt:lpstr>
      <vt:lpstr>A5_X_L15</vt:lpstr>
      <vt:lpstr>A5_X_L16</vt:lpstr>
      <vt:lpstr>A5_X_L17</vt:lpstr>
      <vt:lpstr>A5_X_L18</vt:lpstr>
      <vt:lpstr>A5_X_L19</vt:lpstr>
      <vt:lpstr>A5_X_L2</vt:lpstr>
      <vt:lpstr>A5_X_L20</vt:lpstr>
      <vt:lpstr>A5_X_L21</vt:lpstr>
      <vt:lpstr>A5_X_L22</vt:lpstr>
      <vt:lpstr>A5_X_L23</vt:lpstr>
      <vt:lpstr>A5_X_L24</vt:lpstr>
      <vt:lpstr>A5_X_L25</vt:lpstr>
      <vt:lpstr>A5_X_L26</vt:lpstr>
      <vt:lpstr>A5_X_L27</vt:lpstr>
      <vt:lpstr>A5_X_L28</vt:lpstr>
      <vt:lpstr>A5_X_L29</vt:lpstr>
      <vt:lpstr>A5_X_L3</vt:lpstr>
      <vt:lpstr>A5_X_L30</vt:lpstr>
      <vt:lpstr>A5_X_L31</vt:lpstr>
      <vt:lpstr>A5_X_L32</vt:lpstr>
      <vt:lpstr>A5_X_L33</vt:lpstr>
      <vt:lpstr>A5_X_L34</vt:lpstr>
      <vt:lpstr>A5_X_L35</vt:lpstr>
      <vt:lpstr>A5_X_L36</vt:lpstr>
      <vt:lpstr>A5_X_L37</vt:lpstr>
      <vt:lpstr>A5_X_L38</vt:lpstr>
      <vt:lpstr>A5_X_L39</vt:lpstr>
      <vt:lpstr>A5_X_L4</vt:lpstr>
      <vt:lpstr>A5_X_L40</vt:lpstr>
      <vt:lpstr>A5_X_L5</vt:lpstr>
      <vt:lpstr>A5_X_L6</vt:lpstr>
      <vt:lpstr>A5_X_L7</vt:lpstr>
      <vt:lpstr>A5_X_L8</vt:lpstr>
      <vt:lpstr>A5_X_L9</vt:lpstr>
      <vt:lpstr>A5_Y</vt:lpstr>
      <vt:lpstr>A5_Y_L1</vt:lpstr>
      <vt:lpstr>A5_Y_L10</vt:lpstr>
      <vt:lpstr>A5_Y_L11</vt:lpstr>
      <vt:lpstr>A5_Y_L12</vt:lpstr>
      <vt:lpstr>A5_Y_L13</vt:lpstr>
      <vt:lpstr>A5_Y_L14</vt:lpstr>
      <vt:lpstr>A5_Y_L15</vt:lpstr>
      <vt:lpstr>A5_Y_L16</vt:lpstr>
      <vt:lpstr>A5_Y_L17</vt:lpstr>
      <vt:lpstr>A5_Y_L18</vt:lpstr>
      <vt:lpstr>A5_Y_L19</vt:lpstr>
      <vt:lpstr>A5_Y_L2</vt:lpstr>
      <vt:lpstr>A5_Y_L20</vt:lpstr>
      <vt:lpstr>A5_Y_L21</vt:lpstr>
      <vt:lpstr>A5_Y_L22</vt:lpstr>
      <vt:lpstr>A5_Y_L23</vt:lpstr>
      <vt:lpstr>A5_Y_L24</vt:lpstr>
      <vt:lpstr>A5_Y_L25</vt:lpstr>
      <vt:lpstr>A5_Y_L26</vt:lpstr>
      <vt:lpstr>A5_Y_L27</vt:lpstr>
      <vt:lpstr>A5_Y_L28</vt:lpstr>
      <vt:lpstr>A5_Y_L29</vt:lpstr>
      <vt:lpstr>A5_Y_L3</vt:lpstr>
      <vt:lpstr>A5_Y_L30</vt:lpstr>
      <vt:lpstr>A5_Y_L31</vt:lpstr>
      <vt:lpstr>A5_Y_L32</vt:lpstr>
      <vt:lpstr>A5_Y_L33</vt:lpstr>
      <vt:lpstr>A5_Y_L34</vt:lpstr>
      <vt:lpstr>A5_Y_L35</vt:lpstr>
      <vt:lpstr>A5_Y_L36</vt:lpstr>
      <vt:lpstr>A5_Y_L37</vt:lpstr>
      <vt:lpstr>A5_Y_L38</vt:lpstr>
      <vt:lpstr>A5_Y_L39</vt:lpstr>
      <vt:lpstr>A5_Y_L4</vt:lpstr>
      <vt:lpstr>A5_Y_L40</vt:lpstr>
      <vt:lpstr>A5_Y_L5</vt:lpstr>
      <vt:lpstr>A5_Y_L6</vt:lpstr>
      <vt:lpstr>A5_Y_L7</vt:lpstr>
      <vt:lpstr>A5_Y_L8</vt:lpstr>
      <vt:lpstr>A5_Y_L9</vt:lpstr>
      <vt:lpstr>A5_Z</vt:lpstr>
      <vt:lpstr>A5_Z_L1</vt:lpstr>
      <vt:lpstr>A5_Z_L10</vt:lpstr>
      <vt:lpstr>A5_Z_L11</vt:lpstr>
      <vt:lpstr>A5_Z_L12</vt:lpstr>
      <vt:lpstr>A5_Z_L13</vt:lpstr>
      <vt:lpstr>A5_Z_L14</vt:lpstr>
      <vt:lpstr>A5_Z_L15</vt:lpstr>
      <vt:lpstr>A5_Z_L16</vt:lpstr>
      <vt:lpstr>A5_Z_L17</vt:lpstr>
      <vt:lpstr>A5_Z_L18</vt:lpstr>
      <vt:lpstr>A5_Z_L19</vt:lpstr>
      <vt:lpstr>A5_Z_L2</vt:lpstr>
      <vt:lpstr>A5_Z_L20</vt:lpstr>
      <vt:lpstr>A5_Z_L21</vt:lpstr>
      <vt:lpstr>A5_Z_L22</vt:lpstr>
      <vt:lpstr>A5_Z_L23</vt:lpstr>
      <vt:lpstr>A5_Z_L24</vt:lpstr>
      <vt:lpstr>A5_Z_L25</vt:lpstr>
      <vt:lpstr>A5_Z_L26</vt:lpstr>
      <vt:lpstr>A5_Z_L27</vt:lpstr>
      <vt:lpstr>A5_Z_L28</vt:lpstr>
      <vt:lpstr>A5_Z_L29</vt:lpstr>
      <vt:lpstr>A5_Z_L3</vt:lpstr>
      <vt:lpstr>A5_Z_L30</vt:lpstr>
      <vt:lpstr>A5_Z_L31</vt:lpstr>
      <vt:lpstr>A5_Z_L32</vt:lpstr>
      <vt:lpstr>A5_Z_L33</vt:lpstr>
      <vt:lpstr>A5_Z_L34</vt:lpstr>
      <vt:lpstr>A5_Z_L35</vt:lpstr>
      <vt:lpstr>A5_Z_L36</vt:lpstr>
      <vt:lpstr>A5_Z_L37</vt:lpstr>
      <vt:lpstr>A5_Z_L38</vt:lpstr>
      <vt:lpstr>A5_Z_L39</vt:lpstr>
      <vt:lpstr>A5_Z_L4</vt:lpstr>
      <vt:lpstr>A5_Z_L40</vt:lpstr>
      <vt:lpstr>A5_Z_L5</vt:lpstr>
      <vt:lpstr>A5_Z_L6</vt:lpstr>
      <vt:lpstr>A5_Z_L7</vt:lpstr>
      <vt:lpstr>A5_Z_L8</vt:lpstr>
      <vt:lpstr>A5_Z_L9</vt:lpstr>
      <vt:lpstr>A6_A</vt:lpstr>
      <vt:lpstr>A6_A_L1</vt:lpstr>
      <vt:lpstr>A6_A_L10</vt:lpstr>
      <vt:lpstr>A6_A_L11</vt:lpstr>
      <vt:lpstr>A6_A_L12</vt:lpstr>
      <vt:lpstr>A6_A_L13</vt:lpstr>
      <vt:lpstr>A6_A_L14</vt:lpstr>
      <vt:lpstr>A6_A_L15</vt:lpstr>
      <vt:lpstr>A6_A_L16</vt:lpstr>
      <vt:lpstr>A6_A_L17</vt:lpstr>
      <vt:lpstr>A6_A_L18</vt:lpstr>
      <vt:lpstr>A6_A_L19</vt:lpstr>
      <vt:lpstr>A6_A_L2</vt:lpstr>
      <vt:lpstr>A6_A_L20</vt:lpstr>
      <vt:lpstr>A6_A_L21</vt:lpstr>
      <vt:lpstr>A6_A_L22</vt:lpstr>
      <vt:lpstr>A6_A_L23</vt:lpstr>
      <vt:lpstr>A6_A_L24</vt:lpstr>
      <vt:lpstr>A6_A_L25</vt:lpstr>
      <vt:lpstr>A6_A_L26</vt:lpstr>
      <vt:lpstr>A6_A_L27</vt:lpstr>
      <vt:lpstr>A6_A_L28</vt:lpstr>
      <vt:lpstr>A6_A_L29</vt:lpstr>
      <vt:lpstr>A6_A_L3</vt:lpstr>
      <vt:lpstr>A6_A_L30</vt:lpstr>
      <vt:lpstr>A6_A_L31</vt:lpstr>
      <vt:lpstr>A6_A_L32</vt:lpstr>
      <vt:lpstr>A6_A_L33</vt:lpstr>
      <vt:lpstr>A6_A_L34</vt:lpstr>
      <vt:lpstr>A6_A_L35</vt:lpstr>
      <vt:lpstr>A6_A_L36</vt:lpstr>
      <vt:lpstr>A6_A_L37</vt:lpstr>
      <vt:lpstr>A6_A_L38</vt:lpstr>
      <vt:lpstr>A6_A_L39</vt:lpstr>
      <vt:lpstr>A6_A_L4</vt:lpstr>
      <vt:lpstr>A6_A_L40</vt:lpstr>
      <vt:lpstr>A6_A_L5</vt:lpstr>
      <vt:lpstr>A6_A_L6</vt:lpstr>
      <vt:lpstr>A6_A_L7</vt:lpstr>
      <vt:lpstr>A6_A_L8</vt:lpstr>
      <vt:lpstr>A6_A_L9</vt:lpstr>
      <vt:lpstr>A6_B</vt:lpstr>
      <vt:lpstr>A6_B_L1</vt:lpstr>
      <vt:lpstr>A6_B_L10</vt:lpstr>
      <vt:lpstr>A6_B_L11</vt:lpstr>
      <vt:lpstr>A6_B_L12</vt:lpstr>
      <vt:lpstr>A6_B_L13</vt:lpstr>
      <vt:lpstr>A6_B_L14</vt:lpstr>
      <vt:lpstr>A6_B_L15</vt:lpstr>
      <vt:lpstr>A6_B_L16</vt:lpstr>
      <vt:lpstr>A6_B_L17</vt:lpstr>
      <vt:lpstr>A6_B_L18</vt:lpstr>
      <vt:lpstr>A6_B_L19</vt:lpstr>
      <vt:lpstr>A6_B_L2</vt:lpstr>
      <vt:lpstr>A6_B_L20</vt:lpstr>
      <vt:lpstr>A6_B_L21</vt:lpstr>
      <vt:lpstr>A6_B_L22</vt:lpstr>
      <vt:lpstr>A6_B_L23</vt:lpstr>
      <vt:lpstr>A6_B_L24</vt:lpstr>
      <vt:lpstr>A6_B_L25</vt:lpstr>
      <vt:lpstr>A6_B_L26</vt:lpstr>
      <vt:lpstr>A6_B_L27</vt:lpstr>
      <vt:lpstr>A6_B_L28</vt:lpstr>
      <vt:lpstr>A6_B_L29</vt:lpstr>
      <vt:lpstr>A6_B_L3</vt:lpstr>
      <vt:lpstr>A6_B_L30</vt:lpstr>
      <vt:lpstr>A6_B_L31</vt:lpstr>
      <vt:lpstr>A6_B_L32</vt:lpstr>
      <vt:lpstr>A6_B_L33</vt:lpstr>
      <vt:lpstr>A6_B_L34</vt:lpstr>
      <vt:lpstr>A6_B_L35</vt:lpstr>
      <vt:lpstr>A6_B_L36</vt:lpstr>
      <vt:lpstr>A6_B_L37</vt:lpstr>
      <vt:lpstr>A6_B_L38</vt:lpstr>
      <vt:lpstr>A6_B_L39</vt:lpstr>
      <vt:lpstr>A6_B_L4</vt:lpstr>
      <vt:lpstr>A6_B_L40</vt:lpstr>
      <vt:lpstr>A6_B_L5</vt:lpstr>
      <vt:lpstr>A6_B_L6</vt:lpstr>
      <vt:lpstr>A6_B_L7</vt:lpstr>
      <vt:lpstr>A6_B_L8</vt:lpstr>
      <vt:lpstr>A6_B_L9</vt:lpstr>
      <vt:lpstr>A6_C</vt:lpstr>
      <vt:lpstr>A6_C_L1</vt:lpstr>
      <vt:lpstr>A6_C_L10</vt:lpstr>
      <vt:lpstr>A6_C_L11</vt:lpstr>
      <vt:lpstr>A6_C_L12</vt:lpstr>
      <vt:lpstr>A6_C_L13</vt:lpstr>
      <vt:lpstr>A6_C_L14</vt:lpstr>
      <vt:lpstr>A6_C_L15</vt:lpstr>
      <vt:lpstr>A6_C_L16</vt:lpstr>
      <vt:lpstr>A6_C_L17</vt:lpstr>
      <vt:lpstr>A6_C_L18</vt:lpstr>
      <vt:lpstr>A6_C_L19</vt:lpstr>
      <vt:lpstr>A6_C_L2</vt:lpstr>
      <vt:lpstr>A6_C_L20</vt:lpstr>
      <vt:lpstr>A6_C_L21</vt:lpstr>
      <vt:lpstr>A6_C_L22</vt:lpstr>
      <vt:lpstr>A6_C_L23</vt:lpstr>
      <vt:lpstr>A6_C_L24</vt:lpstr>
      <vt:lpstr>A6_C_L25</vt:lpstr>
      <vt:lpstr>A6_C_L26</vt:lpstr>
      <vt:lpstr>A6_C_L27</vt:lpstr>
      <vt:lpstr>A6_C_L28</vt:lpstr>
      <vt:lpstr>A6_C_L29</vt:lpstr>
      <vt:lpstr>A6_C_L3</vt:lpstr>
      <vt:lpstr>A6_C_L30</vt:lpstr>
      <vt:lpstr>A6_C_L31</vt:lpstr>
      <vt:lpstr>A6_C_L32</vt:lpstr>
      <vt:lpstr>A6_C_L33</vt:lpstr>
      <vt:lpstr>A6_C_L34</vt:lpstr>
      <vt:lpstr>A6_C_L35</vt:lpstr>
      <vt:lpstr>A6_C_L36</vt:lpstr>
      <vt:lpstr>A6_C_L37</vt:lpstr>
      <vt:lpstr>A6_C_L38</vt:lpstr>
      <vt:lpstr>A6_C_L39</vt:lpstr>
      <vt:lpstr>A6_C_L4</vt:lpstr>
      <vt:lpstr>A6_C_L40</vt:lpstr>
      <vt:lpstr>A6_C_L5</vt:lpstr>
      <vt:lpstr>A6_C_L6</vt:lpstr>
      <vt:lpstr>A6_C_L7</vt:lpstr>
      <vt:lpstr>A6_C_L8</vt:lpstr>
      <vt:lpstr>A6_C_L9</vt:lpstr>
      <vt:lpstr>A6_D</vt:lpstr>
      <vt:lpstr>A6_D_L1</vt:lpstr>
      <vt:lpstr>A6_D_L10</vt:lpstr>
      <vt:lpstr>A6_D_L11</vt:lpstr>
      <vt:lpstr>A6_D_L12</vt:lpstr>
      <vt:lpstr>A6_D_L13</vt:lpstr>
      <vt:lpstr>A6_D_L14</vt:lpstr>
      <vt:lpstr>A6_D_L15</vt:lpstr>
      <vt:lpstr>A6_D_L16</vt:lpstr>
      <vt:lpstr>A6_D_L17</vt:lpstr>
      <vt:lpstr>A6_D_L18</vt:lpstr>
      <vt:lpstr>A6_D_L19</vt:lpstr>
      <vt:lpstr>A6_D_L2</vt:lpstr>
      <vt:lpstr>A6_D_L20</vt:lpstr>
      <vt:lpstr>A6_D_L21</vt:lpstr>
      <vt:lpstr>A6_D_L22</vt:lpstr>
      <vt:lpstr>A6_D_L23</vt:lpstr>
      <vt:lpstr>A6_D_L24</vt:lpstr>
      <vt:lpstr>A6_D_L25</vt:lpstr>
      <vt:lpstr>A6_D_L26</vt:lpstr>
      <vt:lpstr>A6_D_L27</vt:lpstr>
      <vt:lpstr>A6_D_L28</vt:lpstr>
      <vt:lpstr>A6_D_L29</vt:lpstr>
      <vt:lpstr>A6_D_L3</vt:lpstr>
      <vt:lpstr>A6_D_L30</vt:lpstr>
      <vt:lpstr>A6_D_L31</vt:lpstr>
      <vt:lpstr>A6_D_L32</vt:lpstr>
      <vt:lpstr>A6_D_L33</vt:lpstr>
      <vt:lpstr>A6_D_L34</vt:lpstr>
      <vt:lpstr>A6_D_L35</vt:lpstr>
      <vt:lpstr>A6_D_L36</vt:lpstr>
      <vt:lpstr>A6_D_L37</vt:lpstr>
      <vt:lpstr>A6_D_L38</vt:lpstr>
      <vt:lpstr>A6_D_L39</vt:lpstr>
      <vt:lpstr>A6_D_L4</vt:lpstr>
      <vt:lpstr>A6_D_L40</vt:lpstr>
      <vt:lpstr>A6_D_L5</vt:lpstr>
      <vt:lpstr>A6_D_L6</vt:lpstr>
      <vt:lpstr>A6_D_L7</vt:lpstr>
      <vt:lpstr>A6_D_L8</vt:lpstr>
      <vt:lpstr>A6_D_L9</vt:lpstr>
      <vt:lpstr>A6_L1</vt:lpstr>
      <vt:lpstr>A6_L10</vt:lpstr>
      <vt:lpstr>A6_L11</vt:lpstr>
      <vt:lpstr>A6_L12</vt:lpstr>
      <vt:lpstr>A6_L13</vt:lpstr>
      <vt:lpstr>A6_L14</vt:lpstr>
      <vt:lpstr>A6_L15</vt:lpstr>
      <vt:lpstr>A6_L16</vt:lpstr>
      <vt:lpstr>A6_L17</vt:lpstr>
      <vt:lpstr>A6_L18</vt:lpstr>
      <vt:lpstr>A6_L19</vt:lpstr>
      <vt:lpstr>A6_L2</vt:lpstr>
      <vt:lpstr>A6_L20</vt:lpstr>
      <vt:lpstr>A6_L21</vt:lpstr>
      <vt:lpstr>A6_L22</vt:lpstr>
      <vt:lpstr>A6_L23</vt:lpstr>
      <vt:lpstr>A6_L24</vt:lpstr>
      <vt:lpstr>A6_L25</vt:lpstr>
      <vt:lpstr>A6_L26</vt:lpstr>
      <vt:lpstr>A6_L27</vt:lpstr>
      <vt:lpstr>A6_L28</vt:lpstr>
      <vt:lpstr>A6_L29</vt:lpstr>
      <vt:lpstr>A6_L3</vt:lpstr>
      <vt:lpstr>A6_L30</vt:lpstr>
      <vt:lpstr>A6_L31</vt:lpstr>
      <vt:lpstr>A6_L32</vt:lpstr>
      <vt:lpstr>A6_L33</vt:lpstr>
      <vt:lpstr>A6_L34</vt:lpstr>
      <vt:lpstr>A6_L35</vt:lpstr>
      <vt:lpstr>A6_L36</vt:lpstr>
      <vt:lpstr>A6_L37</vt:lpstr>
      <vt:lpstr>A6_L38</vt:lpstr>
      <vt:lpstr>A6_L39</vt:lpstr>
      <vt:lpstr>A6_L4</vt:lpstr>
      <vt:lpstr>A6_L40</vt:lpstr>
      <vt:lpstr>A6_L5</vt:lpstr>
      <vt:lpstr>A6_L6</vt:lpstr>
      <vt:lpstr>A6_L7</vt:lpstr>
      <vt:lpstr>A6_L8</vt:lpstr>
      <vt:lpstr>A6_L9</vt:lpstr>
      <vt:lpstr>A6_X</vt:lpstr>
      <vt:lpstr>A6_X_L1</vt:lpstr>
      <vt:lpstr>A6_X_L10</vt:lpstr>
      <vt:lpstr>A6_X_L11</vt:lpstr>
      <vt:lpstr>A6_X_L12</vt:lpstr>
      <vt:lpstr>A6_X_L13</vt:lpstr>
      <vt:lpstr>A6_X_L14</vt:lpstr>
      <vt:lpstr>A6_X_L15</vt:lpstr>
      <vt:lpstr>A6_X_L16</vt:lpstr>
      <vt:lpstr>A6_X_L17</vt:lpstr>
      <vt:lpstr>A6_X_L18</vt:lpstr>
      <vt:lpstr>A6_X_L19</vt:lpstr>
      <vt:lpstr>A6_X_L2</vt:lpstr>
      <vt:lpstr>A6_X_L20</vt:lpstr>
      <vt:lpstr>A6_X_L21</vt:lpstr>
      <vt:lpstr>A6_X_L22</vt:lpstr>
      <vt:lpstr>A6_X_L23</vt:lpstr>
      <vt:lpstr>A6_X_L24</vt:lpstr>
      <vt:lpstr>A6_X_L25</vt:lpstr>
      <vt:lpstr>A6_X_L26</vt:lpstr>
      <vt:lpstr>A6_X_L27</vt:lpstr>
      <vt:lpstr>A6_X_L28</vt:lpstr>
      <vt:lpstr>A6_X_L29</vt:lpstr>
      <vt:lpstr>A6_X_L3</vt:lpstr>
      <vt:lpstr>A6_X_L30</vt:lpstr>
      <vt:lpstr>A6_X_L31</vt:lpstr>
      <vt:lpstr>A6_X_L32</vt:lpstr>
      <vt:lpstr>A6_X_L33</vt:lpstr>
      <vt:lpstr>A6_X_L34</vt:lpstr>
      <vt:lpstr>A6_X_L35</vt:lpstr>
      <vt:lpstr>A6_X_L36</vt:lpstr>
      <vt:lpstr>A6_X_L37</vt:lpstr>
      <vt:lpstr>A6_X_L38</vt:lpstr>
      <vt:lpstr>A6_X_L39</vt:lpstr>
      <vt:lpstr>A6_X_L4</vt:lpstr>
      <vt:lpstr>A6_X_L40</vt:lpstr>
      <vt:lpstr>A6_X_L5</vt:lpstr>
      <vt:lpstr>A6_X_L6</vt:lpstr>
      <vt:lpstr>A6_X_L7</vt:lpstr>
      <vt:lpstr>A6_X_L8</vt:lpstr>
      <vt:lpstr>A6_X_L9</vt:lpstr>
      <vt:lpstr>A6_Y</vt:lpstr>
      <vt:lpstr>A6_Y_L1</vt:lpstr>
      <vt:lpstr>A6_Y_L10</vt:lpstr>
      <vt:lpstr>A6_Y_L11</vt:lpstr>
      <vt:lpstr>A6_Y_L12</vt:lpstr>
      <vt:lpstr>A6_Y_L13</vt:lpstr>
      <vt:lpstr>A6_Y_L14</vt:lpstr>
      <vt:lpstr>A6_Y_L15</vt:lpstr>
      <vt:lpstr>A6_Y_L16</vt:lpstr>
      <vt:lpstr>A6_Y_L17</vt:lpstr>
      <vt:lpstr>A6_Y_L18</vt:lpstr>
      <vt:lpstr>A6_Y_L19</vt:lpstr>
      <vt:lpstr>A6_Y_L2</vt:lpstr>
      <vt:lpstr>A6_Y_L20</vt:lpstr>
      <vt:lpstr>A6_Y_L21</vt:lpstr>
      <vt:lpstr>A6_Y_L22</vt:lpstr>
      <vt:lpstr>A6_Y_L23</vt:lpstr>
      <vt:lpstr>A6_Y_L24</vt:lpstr>
      <vt:lpstr>A6_Y_L25</vt:lpstr>
      <vt:lpstr>A6_Y_L26</vt:lpstr>
      <vt:lpstr>A6_Y_L27</vt:lpstr>
      <vt:lpstr>A6_Y_L28</vt:lpstr>
      <vt:lpstr>A6_Y_L29</vt:lpstr>
      <vt:lpstr>A6_Y_L3</vt:lpstr>
      <vt:lpstr>A6_Y_L30</vt:lpstr>
      <vt:lpstr>A6_Y_L31</vt:lpstr>
      <vt:lpstr>A6_Y_L32</vt:lpstr>
      <vt:lpstr>A6_Y_L33</vt:lpstr>
      <vt:lpstr>A6_Y_L34</vt:lpstr>
      <vt:lpstr>A6_Y_L35</vt:lpstr>
      <vt:lpstr>A6_Y_L36</vt:lpstr>
      <vt:lpstr>A6_Y_L37</vt:lpstr>
      <vt:lpstr>A6_Y_L38</vt:lpstr>
      <vt:lpstr>A6_Y_L39</vt:lpstr>
      <vt:lpstr>A6_Y_L4</vt:lpstr>
      <vt:lpstr>A6_Y_L40</vt:lpstr>
      <vt:lpstr>A6_Y_L5</vt:lpstr>
      <vt:lpstr>A6_Y_L6</vt:lpstr>
      <vt:lpstr>A6_Y_L7</vt:lpstr>
      <vt:lpstr>A6_Y_L8</vt:lpstr>
      <vt:lpstr>A6_Y_L9</vt:lpstr>
      <vt:lpstr>A6_Z</vt:lpstr>
      <vt:lpstr>A6_Z_L1</vt:lpstr>
      <vt:lpstr>A6_Z_L10</vt:lpstr>
      <vt:lpstr>A6_Z_L11</vt:lpstr>
      <vt:lpstr>A6_Z_L12</vt:lpstr>
      <vt:lpstr>A6_Z_L13</vt:lpstr>
      <vt:lpstr>A6_Z_L14</vt:lpstr>
      <vt:lpstr>A6_Z_L15</vt:lpstr>
      <vt:lpstr>A6_Z_L16</vt:lpstr>
      <vt:lpstr>A6_Z_L17</vt:lpstr>
      <vt:lpstr>A6_Z_L18</vt:lpstr>
      <vt:lpstr>A6_Z_L19</vt:lpstr>
      <vt:lpstr>A6_Z_L2</vt:lpstr>
      <vt:lpstr>A6_Z_L20</vt:lpstr>
      <vt:lpstr>A6_Z_L21</vt:lpstr>
      <vt:lpstr>A6_Z_L22</vt:lpstr>
      <vt:lpstr>A6_Z_L23</vt:lpstr>
      <vt:lpstr>A6_Z_L24</vt:lpstr>
      <vt:lpstr>A6_Z_L25</vt:lpstr>
      <vt:lpstr>A6_Z_L26</vt:lpstr>
      <vt:lpstr>A6_Z_L27</vt:lpstr>
      <vt:lpstr>A6_Z_L28</vt:lpstr>
      <vt:lpstr>A6_Z_L29</vt:lpstr>
      <vt:lpstr>A6_Z_L3</vt:lpstr>
      <vt:lpstr>A6_Z_L30</vt:lpstr>
      <vt:lpstr>A6_Z_L31</vt:lpstr>
      <vt:lpstr>A6_Z_L32</vt:lpstr>
      <vt:lpstr>A6_Z_L33</vt:lpstr>
      <vt:lpstr>A6_Z_L34</vt:lpstr>
      <vt:lpstr>A6_Z_L35</vt:lpstr>
      <vt:lpstr>A6_Z_L36</vt:lpstr>
      <vt:lpstr>A6_Z_L37</vt:lpstr>
      <vt:lpstr>A6_Z_L38</vt:lpstr>
      <vt:lpstr>A6_Z_L39</vt:lpstr>
      <vt:lpstr>A6_Z_L4</vt:lpstr>
      <vt:lpstr>A6_Z_L40</vt:lpstr>
      <vt:lpstr>A6_Z_L5</vt:lpstr>
      <vt:lpstr>A6_Z_L6</vt:lpstr>
      <vt:lpstr>A6_Z_L7</vt:lpstr>
      <vt:lpstr>A6_Z_L8</vt:lpstr>
      <vt:lpstr>A6_Z_L9</vt:lpstr>
      <vt:lpstr>A7_A</vt:lpstr>
      <vt:lpstr>A7_A_L1</vt:lpstr>
      <vt:lpstr>A7_A_L10</vt:lpstr>
      <vt:lpstr>A7_A_L11</vt:lpstr>
      <vt:lpstr>A7_A_L12</vt:lpstr>
      <vt:lpstr>A7_A_L13</vt:lpstr>
      <vt:lpstr>A7_A_L14</vt:lpstr>
      <vt:lpstr>A7_A_L15</vt:lpstr>
      <vt:lpstr>A7_A_L16</vt:lpstr>
      <vt:lpstr>A7_A_L17</vt:lpstr>
      <vt:lpstr>A7_A_L18</vt:lpstr>
      <vt:lpstr>A7_A_L19</vt:lpstr>
      <vt:lpstr>A7_A_L2</vt:lpstr>
      <vt:lpstr>A7_A_L20</vt:lpstr>
      <vt:lpstr>A7_A_L21</vt:lpstr>
      <vt:lpstr>A7_A_L22</vt:lpstr>
      <vt:lpstr>A7_A_L23</vt:lpstr>
      <vt:lpstr>A7_A_L24</vt:lpstr>
      <vt:lpstr>A7_A_L25</vt:lpstr>
      <vt:lpstr>A7_A_L26</vt:lpstr>
      <vt:lpstr>A7_A_L27</vt:lpstr>
      <vt:lpstr>A7_A_L28</vt:lpstr>
      <vt:lpstr>A7_A_L29</vt:lpstr>
      <vt:lpstr>A7_A_L3</vt:lpstr>
      <vt:lpstr>A7_A_L30</vt:lpstr>
      <vt:lpstr>A7_A_L31</vt:lpstr>
      <vt:lpstr>A7_A_L32</vt:lpstr>
      <vt:lpstr>A7_A_L33</vt:lpstr>
      <vt:lpstr>A7_A_L34</vt:lpstr>
      <vt:lpstr>A7_A_L35</vt:lpstr>
      <vt:lpstr>A7_A_L36</vt:lpstr>
      <vt:lpstr>A7_A_L37</vt:lpstr>
      <vt:lpstr>A7_A_L38</vt:lpstr>
      <vt:lpstr>A7_A_L39</vt:lpstr>
      <vt:lpstr>A7_A_L4</vt:lpstr>
      <vt:lpstr>A7_A_L40</vt:lpstr>
      <vt:lpstr>A7_A_L5</vt:lpstr>
      <vt:lpstr>A7_A_L6</vt:lpstr>
      <vt:lpstr>A7_A_L7</vt:lpstr>
      <vt:lpstr>A7_A_L8</vt:lpstr>
      <vt:lpstr>A7_A_L9</vt:lpstr>
      <vt:lpstr>A7_B</vt:lpstr>
      <vt:lpstr>A7_B_L1</vt:lpstr>
      <vt:lpstr>A7_B_L10</vt:lpstr>
      <vt:lpstr>A7_B_L11</vt:lpstr>
      <vt:lpstr>A7_B_L12</vt:lpstr>
      <vt:lpstr>A7_B_L13</vt:lpstr>
      <vt:lpstr>A7_B_L14</vt:lpstr>
      <vt:lpstr>A7_B_L15</vt:lpstr>
      <vt:lpstr>A7_B_L16</vt:lpstr>
      <vt:lpstr>A7_B_L17</vt:lpstr>
      <vt:lpstr>A7_B_L18</vt:lpstr>
      <vt:lpstr>A7_B_L19</vt:lpstr>
      <vt:lpstr>A7_B_L2</vt:lpstr>
      <vt:lpstr>A7_B_L20</vt:lpstr>
      <vt:lpstr>A7_B_L21</vt:lpstr>
      <vt:lpstr>A7_B_L22</vt:lpstr>
      <vt:lpstr>A7_B_L23</vt:lpstr>
      <vt:lpstr>A7_B_L24</vt:lpstr>
      <vt:lpstr>A7_B_L25</vt:lpstr>
      <vt:lpstr>A7_B_L26</vt:lpstr>
      <vt:lpstr>A7_B_L27</vt:lpstr>
      <vt:lpstr>A7_B_L28</vt:lpstr>
      <vt:lpstr>A7_B_L29</vt:lpstr>
      <vt:lpstr>A7_B_L3</vt:lpstr>
      <vt:lpstr>A7_B_L30</vt:lpstr>
      <vt:lpstr>A7_B_L31</vt:lpstr>
      <vt:lpstr>A7_B_L32</vt:lpstr>
      <vt:lpstr>A7_B_L33</vt:lpstr>
      <vt:lpstr>A7_B_L34</vt:lpstr>
      <vt:lpstr>A7_B_L35</vt:lpstr>
      <vt:lpstr>A7_B_L36</vt:lpstr>
      <vt:lpstr>A7_B_L37</vt:lpstr>
      <vt:lpstr>A7_B_L38</vt:lpstr>
      <vt:lpstr>A7_B_L39</vt:lpstr>
      <vt:lpstr>A7_B_L4</vt:lpstr>
      <vt:lpstr>A7_B_L40</vt:lpstr>
      <vt:lpstr>A7_B_L5</vt:lpstr>
      <vt:lpstr>A7_B_L6</vt:lpstr>
      <vt:lpstr>A7_B_L7</vt:lpstr>
      <vt:lpstr>A7_B_L8</vt:lpstr>
      <vt:lpstr>A7_B_L9</vt:lpstr>
      <vt:lpstr>A7_C</vt:lpstr>
      <vt:lpstr>A7_C_L1</vt:lpstr>
      <vt:lpstr>A7_C_L10</vt:lpstr>
      <vt:lpstr>A7_C_L11</vt:lpstr>
      <vt:lpstr>A7_C_L12</vt:lpstr>
      <vt:lpstr>A7_C_L13</vt:lpstr>
      <vt:lpstr>A7_C_L14</vt:lpstr>
      <vt:lpstr>A7_C_L15</vt:lpstr>
      <vt:lpstr>A7_C_L16</vt:lpstr>
      <vt:lpstr>A7_C_L17</vt:lpstr>
      <vt:lpstr>A7_C_L18</vt:lpstr>
      <vt:lpstr>A7_C_L19</vt:lpstr>
      <vt:lpstr>A7_C_L2</vt:lpstr>
      <vt:lpstr>A7_C_L20</vt:lpstr>
      <vt:lpstr>A7_C_L21</vt:lpstr>
      <vt:lpstr>A7_C_L22</vt:lpstr>
      <vt:lpstr>A7_C_L23</vt:lpstr>
      <vt:lpstr>A7_C_L24</vt:lpstr>
      <vt:lpstr>A7_C_L25</vt:lpstr>
      <vt:lpstr>A7_C_L26</vt:lpstr>
      <vt:lpstr>A7_C_L27</vt:lpstr>
      <vt:lpstr>A7_C_L28</vt:lpstr>
      <vt:lpstr>A7_C_L29</vt:lpstr>
      <vt:lpstr>A7_C_L3</vt:lpstr>
      <vt:lpstr>A7_C_L30</vt:lpstr>
      <vt:lpstr>A7_C_L31</vt:lpstr>
      <vt:lpstr>A7_C_L32</vt:lpstr>
      <vt:lpstr>A7_C_L33</vt:lpstr>
      <vt:lpstr>A7_C_L34</vt:lpstr>
      <vt:lpstr>A7_C_L35</vt:lpstr>
      <vt:lpstr>A7_C_L36</vt:lpstr>
      <vt:lpstr>A7_C_L37</vt:lpstr>
      <vt:lpstr>A7_C_L38</vt:lpstr>
      <vt:lpstr>A7_C_L39</vt:lpstr>
      <vt:lpstr>A7_C_L4</vt:lpstr>
      <vt:lpstr>A7_C_L40</vt:lpstr>
      <vt:lpstr>A7_C_L5</vt:lpstr>
      <vt:lpstr>A7_C_L6</vt:lpstr>
      <vt:lpstr>A7_C_L7</vt:lpstr>
      <vt:lpstr>A7_C_L8</vt:lpstr>
      <vt:lpstr>A7_C_L9</vt:lpstr>
      <vt:lpstr>A7_D</vt:lpstr>
      <vt:lpstr>A7_D_L1</vt:lpstr>
      <vt:lpstr>A7_D_L10</vt:lpstr>
      <vt:lpstr>A7_D_L11</vt:lpstr>
      <vt:lpstr>A7_D_L12</vt:lpstr>
      <vt:lpstr>A7_D_L13</vt:lpstr>
      <vt:lpstr>A7_D_L14</vt:lpstr>
      <vt:lpstr>A7_D_L15</vt:lpstr>
      <vt:lpstr>A7_D_L16</vt:lpstr>
      <vt:lpstr>A7_D_L17</vt:lpstr>
      <vt:lpstr>A7_D_L18</vt:lpstr>
      <vt:lpstr>A7_D_L19</vt:lpstr>
      <vt:lpstr>A7_D_L2</vt:lpstr>
      <vt:lpstr>A7_D_L20</vt:lpstr>
      <vt:lpstr>A7_D_L21</vt:lpstr>
      <vt:lpstr>A7_D_L22</vt:lpstr>
      <vt:lpstr>A7_D_L23</vt:lpstr>
      <vt:lpstr>A7_D_L24</vt:lpstr>
      <vt:lpstr>A7_D_L25</vt:lpstr>
      <vt:lpstr>A7_D_L26</vt:lpstr>
      <vt:lpstr>A7_D_L27</vt:lpstr>
      <vt:lpstr>A7_D_L28</vt:lpstr>
      <vt:lpstr>A7_D_L29</vt:lpstr>
      <vt:lpstr>A7_D_L3</vt:lpstr>
      <vt:lpstr>A7_D_L30</vt:lpstr>
      <vt:lpstr>A7_D_L31</vt:lpstr>
      <vt:lpstr>A7_D_L32</vt:lpstr>
      <vt:lpstr>A7_D_L33</vt:lpstr>
      <vt:lpstr>A7_D_L34</vt:lpstr>
      <vt:lpstr>A7_D_L35</vt:lpstr>
      <vt:lpstr>A7_D_L36</vt:lpstr>
      <vt:lpstr>A7_D_L37</vt:lpstr>
      <vt:lpstr>A7_D_L38</vt:lpstr>
      <vt:lpstr>A7_D_L39</vt:lpstr>
      <vt:lpstr>A7_D_L4</vt:lpstr>
      <vt:lpstr>A7_D_L40</vt:lpstr>
      <vt:lpstr>A7_D_L5</vt:lpstr>
      <vt:lpstr>A7_D_L6</vt:lpstr>
      <vt:lpstr>A7_D_L7</vt:lpstr>
      <vt:lpstr>A7_D_L8</vt:lpstr>
      <vt:lpstr>A7_D_L9</vt:lpstr>
      <vt:lpstr>A7_L1</vt:lpstr>
      <vt:lpstr>A7_L10</vt:lpstr>
      <vt:lpstr>A7_L11</vt:lpstr>
      <vt:lpstr>A7_L12</vt:lpstr>
      <vt:lpstr>A7_L13</vt:lpstr>
      <vt:lpstr>A7_L14</vt:lpstr>
      <vt:lpstr>A7_L15</vt:lpstr>
      <vt:lpstr>A7_L16</vt:lpstr>
      <vt:lpstr>A7_L17</vt:lpstr>
      <vt:lpstr>A7_L18</vt:lpstr>
      <vt:lpstr>A7_L19</vt:lpstr>
      <vt:lpstr>A7_L2</vt:lpstr>
      <vt:lpstr>A7_L20</vt:lpstr>
      <vt:lpstr>A7_L21</vt:lpstr>
      <vt:lpstr>A7_L22</vt:lpstr>
      <vt:lpstr>A7_L23</vt:lpstr>
      <vt:lpstr>A7_L24</vt:lpstr>
      <vt:lpstr>A7_L25</vt:lpstr>
      <vt:lpstr>A7_L26</vt:lpstr>
      <vt:lpstr>A7_L27</vt:lpstr>
      <vt:lpstr>A7_L28</vt:lpstr>
      <vt:lpstr>A7_L29</vt:lpstr>
      <vt:lpstr>A7_L3</vt:lpstr>
      <vt:lpstr>A7_L30</vt:lpstr>
      <vt:lpstr>A7_L31</vt:lpstr>
      <vt:lpstr>A7_L32</vt:lpstr>
      <vt:lpstr>A7_L33</vt:lpstr>
      <vt:lpstr>A7_L34</vt:lpstr>
      <vt:lpstr>A7_L35</vt:lpstr>
      <vt:lpstr>A7_L36</vt:lpstr>
      <vt:lpstr>A7_L37</vt:lpstr>
      <vt:lpstr>A7_L38</vt:lpstr>
      <vt:lpstr>A7_L39</vt:lpstr>
      <vt:lpstr>A7_L4</vt:lpstr>
      <vt:lpstr>A7_L40</vt:lpstr>
      <vt:lpstr>A7_L5</vt:lpstr>
      <vt:lpstr>A7_L6</vt:lpstr>
      <vt:lpstr>A7_L7</vt:lpstr>
      <vt:lpstr>A7_L8</vt:lpstr>
      <vt:lpstr>A7_L9</vt:lpstr>
      <vt:lpstr>A7_X</vt:lpstr>
      <vt:lpstr>A7_X_L1</vt:lpstr>
      <vt:lpstr>A7_X_L10</vt:lpstr>
      <vt:lpstr>A7_X_L11</vt:lpstr>
      <vt:lpstr>A7_X_L12</vt:lpstr>
      <vt:lpstr>A7_X_L13</vt:lpstr>
      <vt:lpstr>A7_X_L14</vt:lpstr>
      <vt:lpstr>A7_X_L15</vt:lpstr>
      <vt:lpstr>A7_X_L16</vt:lpstr>
      <vt:lpstr>A7_X_L17</vt:lpstr>
      <vt:lpstr>A7_X_L18</vt:lpstr>
      <vt:lpstr>A7_X_L19</vt:lpstr>
      <vt:lpstr>A7_X_L2</vt:lpstr>
      <vt:lpstr>A7_X_L20</vt:lpstr>
      <vt:lpstr>A7_X_L21</vt:lpstr>
      <vt:lpstr>A7_X_L22</vt:lpstr>
      <vt:lpstr>A7_X_L23</vt:lpstr>
      <vt:lpstr>A7_X_L24</vt:lpstr>
      <vt:lpstr>A7_X_L25</vt:lpstr>
      <vt:lpstr>A7_X_L26</vt:lpstr>
      <vt:lpstr>A7_X_L27</vt:lpstr>
      <vt:lpstr>A7_X_L28</vt:lpstr>
      <vt:lpstr>A7_X_L29</vt:lpstr>
      <vt:lpstr>A7_X_L3</vt:lpstr>
      <vt:lpstr>A7_X_L30</vt:lpstr>
      <vt:lpstr>A7_X_L31</vt:lpstr>
      <vt:lpstr>A7_X_L32</vt:lpstr>
      <vt:lpstr>A7_X_L33</vt:lpstr>
      <vt:lpstr>A7_X_L34</vt:lpstr>
      <vt:lpstr>A7_X_L35</vt:lpstr>
      <vt:lpstr>A7_X_L36</vt:lpstr>
      <vt:lpstr>A7_X_L37</vt:lpstr>
      <vt:lpstr>A7_X_L38</vt:lpstr>
      <vt:lpstr>A7_X_L39</vt:lpstr>
      <vt:lpstr>A7_X_L4</vt:lpstr>
      <vt:lpstr>A7_X_L40</vt:lpstr>
      <vt:lpstr>A7_X_L5</vt:lpstr>
      <vt:lpstr>A7_X_L6</vt:lpstr>
      <vt:lpstr>A7_X_L7</vt:lpstr>
      <vt:lpstr>A7_X_L8</vt:lpstr>
      <vt:lpstr>A7_X_L9</vt:lpstr>
      <vt:lpstr>A7_Y</vt:lpstr>
      <vt:lpstr>A7_Y_L1</vt:lpstr>
      <vt:lpstr>A7_Y_L10</vt:lpstr>
      <vt:lpstr>A7_Y_L11</vt:lpstr>
      <vt:lpstr>A7_Y_L12</vt:lpstr>
      <vt:lpstr>A7_Y_L13</vt:lpstr>
      <vt:lpstr>A7_Y_L14</vt:lpstr>
      <vt:lpstr>A7_Y_L15</vt:lpstr>
      <vt:lpstr>A7_Y_L16</vt:lpstr>
      <vt:lpstr>A7_Y_L17</vt:lpstr>
      <vt:lpstr>A7_Y_L18</vt:lpstr>
      <vt:lpstr>A7_Y_L19</vt:lpstr>
      <vt:lpstr>A7_Y_L2</vt:lpstr>
      <vt:lpstr>A7_Y_L20</vt:lpstr>
      <vt:lpstr>A7_Y_L21</vt:lpstr>
      <vt:lpstr>A7_Y_L22</vt:lpstr>
      <vt:lpstr>A7_Y_L23</vt:lpstr>
      <vt:lpstr>A7_Y_L24</vt:lpstr>
      <vt:lpstr>A7_Y_L25</vt:lpstr>
      <vt:lpstr>A7_Y_L26</vt:lpstr>
      <vt:lpstr>A7_Y_L27</vt:lpstr>
      <vt:lpstr>A7_Y_L28</vt:lpstr>
      <vt:lpstr>A7_Y_L29</vt:lpstr>
      <vt:lpstr>A7_Y_L3</vt:lpstr>
      <vt:lpstr>A7_Y_L30</vt:lpstr>
      <vt:lpstr>A7_Y_L31</vt:lpstr>
      <vt:lpstr>A7_Y_L32</vt:lpstr>
      <vt:lpstr>A7_Y_L33</vt:lpstr>
      <vt:lpstr>A7_Y_L34</vt:lpstr>
      <vt:lpstr>A7_Y_L35</vt:lpstr>
      <vt:lpstr>A7_Y_L36</vt:lpstr>
      <vt:lpstr>A7_Y_L37</vt:lpstr>
      <vt:lpstr>A7_Y_L38</vt:lpstr>
      <vt:lpstr>A7_Y_L39</vt:lpstr>
      <vt:lpstr>A7_Y_L4</vt:lpstr>
      <vt:lpstr>A7_Y_L40</vt:lpstr>
      <vt:lpstr>A7_Y_L5</vt:lpstr>
      <vt:lpstr>A7_Y_L6</vt:lpstr>
      <vt:lpstr>A7_Y_L7</vt:lpstr>
      <vt:lpstr>A7_Y_L8</vt:lpstr>
      <vt:lpstr>A7_Y_L9</vt:lpstr>
      <vt:lpstr>A7_Z</vt:lpstr>
      <vt:lpstr>A7_Z_L1</vt:lpstr>
      <vt:lpstr>A7_Z_L10</vt:lpstr>
      <vt:lpstr>A7_Z_L11</vt:lpstr>
      <vt:lpstr>A7_Z_L12</vt:lpstr>
      <vt:lpstr>A7_Z_L13</vt:lpstr>
      <vt:lpstr>A7_Z_L14</vt:lpstr>
      <vt:lpstr>A7_Z_L15</vt:lpstr>
      <vt:lpstr>A7_Z_L16</vt:lpstr>
      <vt:lpstr>A7_Z_L17</vt:lpstr>
      <vt:lpstr>A7_Z_L18</vt:lpstr>
      <vt:lpstr>A7_Z_L19</vt:lpstr>
      <vt:lpstr>A7_Z_L2</vt:lpstr>
      <vt:lpstr>A7_Z_L20</vt:lpstr>
      <vt:lpstr>A7_Z_L21</vt:lpstr>
      <vt:lpstr>A7_Z_L22</vt:lpstr>
      <vt:lpstr>A7_Z_L23</vt:lpstr>
      <vt:lpstr>A7_Z_L24</vt:lpstr>
      <vt:lpstr>A7_Z_L25</vt:lpstr>
      <vt:lpstr>A7_Z_L26</vt:lpstr>
      <vt:lpstr>A7_Z_L27</vt:lpstr>
      <vt:lpstr>A7_Z_L28</vt:lpstr>
      <vt:lpstr>A7_Z_L29</vt:lpstr>
      <vt:lpstr>A7_Z_L3</vt:lpstr>
      <vt:lpstr>A7_Z_L30</vt:lpstr>
      <vt:lpstr>A7_Z_L31</vt:lpstr>
      <vt:lpstr>A7_Z_L32</vt:lpstr>
      <vt:lpstr>A7_Z_L33</vt:lpstr>
      <vt:lpstr>A7_Z_L34</vt:lpstr>
      <vt:lpstr>A7_Z_L35</vt:lpstr>
      <vt:lpstr>A7_Z_L36</vt:lpstr>
      <vt:lpstr>A7_Z_L37</vt:lpstr>
      <vt:lpstr>A7_Z_L38</vt:lpstr>
      <vt:lpstr>A7_Z_L39</vt:lpstr>
      <vt:lpstr>A7_Z_L4</vt:lpstr>
      <vt:lpstr>A7_Z_L40</vt:lpstr>
      <vt:lpstr>A7_Z_L5</vt:lpstr>
      <vt:lpstr>A7_Z_L6</vt:lpstr>
      <vt:lpstr>A7_Z_L7</vt:lpstr>
      <vt:lpstr>A7_Z_L8</vt:lpstr>
      <vt:lpstr>A7_Z_L9</vt:lpstr>
      <vt:lpstr>A8_A</vt:lpstr>
      <vt:lpstr>A8_A_L1</vt:lpstr>
      <vt:lpstr>A8_A_L10</vt:lpstr>
      <vt:lpstr>A8_A_L11</vt:lpstr>
      <vt:lpstr>A8_A_L12</vt:lpstr>
      <vt:lpstr>A8_A_L13</vt:lpstr>
      <vt:lpstr>A8_A_L14</vt:lpstr>
      <vt:lpstr>A8_A_L15</vt:lpstr>
      <vt:lpstr>A8_A_L16</vt:lpstr>
      <vt:lpstr>A8_A_L17</vt:lpstr>
      <vt:lpstr>A8_A_L18</vt:lpstr>
      <vt:lpstr>A8_A_L19</vt:lpstr>
      <vt:lpstr>A8_A_L2</vt:lpstr>
      <vt:lpstr>A8_A_L20</vt:lpstr>
      <vt:lpstr>A8_A_L21</vt:lpstr>
      <vt:lpstr>A8_A_L22</vt:lpstr>
      <vt:lpstr>A8_A_L23</vt:lpstr>
      <vt:lpstr>A8_A_L24</vt:lpstr>
      <vt:lpstr>A8_A_L25</vt:lpstr>
      <vt:lpstr>A8_A_L26</vt:lpstr>
      <vt:lpstr>A8_A_L27</vt:lpstr>
      <vt:lpstr>A8_A_L28</vt:lpstr>
      <vt:lpstr>A8_A_L29</vt:lpstr>
      <vt:lpstr>A8_A_L3</vt:lpstr>
      <vt:lpstr>A8_A_L30</vt:lpstr>
      <vt:lpstr>A8_A_L31</vt:lpstr>
      <vt:lpstr>A8_A_L32</vt:lpstr>
      <vt:lpstr>A8_A_L33</vt:lpstr>
      <vt:lpstr>A8_A_L34</vt:lpstr>
      <vt:lpstr>A8_A_L35</vt:lpstr>
      <vt:lpstr>A8_A_L36</vt:lpstr>
      <vt:lpstr>A8_A_L37</vt:lpstr>
      <vt:lpstr>A8_A_L38</vt:lpstr>
      <vt:lpstr>A8_A_L39</vt:lpstr>
      <vt:lpstr>A8_A_L4</vt:lpstr>
      <vt:lpstr>A8_A_L40</vt:lpstr>
      <vt:lpstr>A8_A_L5</vt:lpstr>
      <vt:lpstr>A8_A_L6</vt:lpstr>
      <vt:lpstr>A8_A_L7</vt:lpstr>
      <vt:lpstr>A8_A_L8</vt:lpstr>
      <vt:lpstr>A8_A_L9</vt:lpstr>
      <vt:lpstr>A8_B</vt:lpstr>
      <vt:lpstr>A8_B_L1</vt:lpstr>
      <vt:lpstr>A8_B_L10</vt:lpstr>
      <vt:lpstr>A8_B_L11</vt:lpstr>
      <vt:lpstr>A8_B_L12</vt:lpstr>
      <vt:lpstr>A8_B_L13</vt:lpstr>
      <vt:lpstr>A8_B_L14</vt:lpstr>
      <vt:lpstr>A8_B_L15</vt:lpstr>
      <vt:lpstr>A8_B_L16</vt:lpstr>
      <vt:lpstr>A8_B_L17</vt:lpstr>
      <vt:lpstr>A8_B_L18</vt:lpstr>
      <vt:lpstr>A8_B_L19</vt:lpstr>
      <vt:lpstr>A8_B_L2</vt:lpstr>
      <vt:lpstr>A8_B_L20</vt:lpstr>
      <vt:lpstr>A8_B_L21</vt:lpstr>
      <vt:lpstr>A8_B_L22</vt:lpstr>
      <vt:lpstr>A8_B_L23</vt:lpstr>
      <vt:lpstr>A8_B_L24</vt:lpstr>
      <vt:lpstr>A8_B_L25</vt:lpstr>
      <vt:lpstr>A8_B_L26</vt:lpstr>
      <vt:lpstr>A8_B_L27</vt:lpstr>
      <vt:lpstr>A8_B_L28</vt:lpstr>
      <vt:lpstr>A8_B_L29</vt:lpstr>
      <vt:lpstr>A8_B_L3</vt:lpstr>
      <vt:lpstr>A8_B_L30</vt:lpstr>
      <vt:lpstr>A8_B_L31</vt:lpstr>
      <vt:lpstr>A8_B_L32</vt:lpstr>
      <vt:lpstr>A8_B_L33</vt:lpstr>
      <vt:lpstr>A8_B_L34</vt:lpstr>
      <vt:lpstr>A8_B_L35</vt:lpstr>
      <vt:lpstr>A8_B_L36</vt:lpstr>
      <vt:lpstr>A8_B_L37</vt:lpstr>
      <vt:lpstr>A8_B_L38</vt:lpstr>
      <vt:lpstr>A8_B_L39</vt:lpstr>
      <vt:lpstr>A8_B_L4</vt:lpstr>
      <vt:lpstr>A8_B_L40</vt:lpstr>
      <vt:lpstr>A8_B_L5</vt:lpstr>
      <vt:lpstr>A8_B_L6</vt:lpstr>
      <vt:lpstr>A8_B_L7</vt:lpstr>
      <vt:lpstr>A8_B_L8</vt:lpstr>
      <vt:lpstr>A8_B_L9</vt:lpstr>
      <vt:lpstr>A8_C</vt:lpstr>
      <vt:lpstr>A8_C_L1</vt:lpstr>
      <vt:lpstr>A8_C_L10</vt:lpstr>
      <vt:lpstr>A8_C_L11</vt:lpstr>
      <vt:lpstr>A8_C_L12</vt:lpstr>
      <vt:lpstr>A8_C_L13</vt:lpstr>
      <vt:lpstr>A8_C_L14</vt:lpstr>
      <vt:lpstr>A8_C_L15</vt:lpstr>
      <vt:lpstr>A8_C_L16</vt:lpstr>
      <vt:lpstr>A8_C_L17</vt:lpstr>
      <vt:lpstr>A8_C_L18</vt:lpstr>
      <vt:lpstr>A8_C_L19</vt:lpstr>
      <vt:lpstr>A8_C_L2</vt:lpstr>
      <vt:lpstr>A8_C_L20</vt:lpstr>
      <vt:lpstr>A8_C_L21</vt:lpstr>
      <vt:lpstr>A8_C_L22</vt:lpstr>
      <vt:lpstr>A8_C_L23</vt:lpstr>
      <vt:lpstr>A8_C_L24</vt:lpstr>
      <vt:lpstr>A8_C_L25</vt:lpstr>
      <vt:lpstr>A8_C_L26</vt:lpstr>
      <vt:lpstr>A8_C_L27</vt:lpstr>
      <vt:lpstr>A8_C_L28</vt:lpstr>
      <vt:lpstr>A8_C_L29</vt:lpstr>
      <vt:lpstr>A8_C_L3</vt:lpstr>
      <vt:lpstr>A8_C_L30</vt:lpstr>
      <vt:lpstr>A8_C_L31</vt:lpstr>
      <vt:lpstr>A8_C_L32</vt:lpstr>
      <vt:lpstr>A8_C_L33</vt:lpstr>
      <vt:lpstr>A8_C_L34</vt:lpstr>
      <vt:lpstr>A8_C_L35</vt:lpstr>
      <vt:lpstr>A8_C_L36</vt:lpstr>
      <vt:lpstr>A8_C_L37</vt:lpstr>
      <vt:lpstr>A8_C_L38</vt:lpstr>
      <vt:lpstr>A8_C_L39</vt:lpstr>
      <vt:lpstr>A8_C_L4</vt:lpstr>
      <vt:lpstr>A8_C_L40</vt:lpstr>
      <vt:lpstr>A8_C_L5</vt:lpstr>
      <vt:lpstr>A8_C_L6</vt:lpstr>
      <vt:lpstr>A8_C_L7</vt:lpstr>
      <vt:lpstr>A8_C_L8</vt:lpstr>
      <vt:lpstr>A8_C_L9</vt:lpstr>
      <vt:lpstr>A8_D</vt:lpstr>
      <vt:lpstr>A8_D_L1</vt:lpstr>
      <vt:lpstr>A8_D_L10</vt:lpstr>
      <vt:lpstr>A8_D_L11</vt:lpstr>
      <vt:lpstr>A8_D_L12</vt:lpstr>
      <vt:lpstr>A8_D_L13</vt:lpstr>
      <vt:lpstr>A8_D_L14</vt:lpstr>
      <vt:lpstr>A8_D_L15</vt:lpstr>
      <vt:lpstr>A8_D_L16</vt:lpstr>
      <vt:lpstr>A8_D_L17</vt:lpstr>
      <vt:lpstr>A8_D_L18</vt:lpstr>
      <vt:lpstr>A8_D_L19</vt:lpstr>
      <vt:lpstr>A8_D_L2</vt:lpstr>
      <vt:lpstr>A8_D_L20</vt:lpstr>
      <vt:lpstr>A8_D_L21</vt:lpstr>
      <vt:lpstr>A8_D_L22</vt:lpstr>
      <vt:lpstr>A8_D_L23</vt:lpstr>
      <vt:lpstr>A8_D_L24</vt:lpstr>
      <vt:lpstr>A8_D_L25</vt:lpstr>
      <vt:lpstr>A8_D_L26</vt:lpstr>
      <vt:lpstr>A8_D_L27</vt:lpstr>
      <vt:lpstr>A8_D_L28</vt:lpstr>
      <vt:lpstr>A8_D_L29</vt:lpstr>
      <vt:lpstr>A8_D_L3</vt:lpstr>
      <vt:lpstr>A8_D_L30</vt:lpstr>
      <vt:lpstr>A8_D_L31</vt:lpstr>
      <vt:lpstr>A8_D_L32</vt:lpstr>
      <vt:lpstr>A8_D_L33</vt:lpstr>
      <vt:lpstr>A8_D_L34</vt:lpstr>
      <vt:lpstr>A8_D_L35</vt:lpstr>
      <vt:lpstr>A8_D_L36</vt:lpstr>
      <vt:lpstr>A8_D_L37</vt:lpstr>
      <vt:lpstr>A8_D_L38</vt:lpstr>
      <vt:lpstr>A8_D_L39</vt:lpstr>
      <vt:lpstr>A8_D_L4</vt:lpstr>
      <vt:lpstr>A8_D_L40</vt:lpstr>
      <vt:lpstr>A8_D_L5</vt:lpstr>
      <vt:lpstr>A8_D_L6</vt:lpstr>
      <vt:lpstr>A8_D_L7</vt:lpstr>
      <vt:lpstr>A8_D_L8</vt:lpstr>
      <vt:lpstr>A8_D_L9</vt:lpstr>
      <vt:lpstr>A8_L1</vt:lpstr>
      <vt:lpstr>A8_L10</vt:lpstr>
      <vt:lpstr>A8_L11</vt:lpstr>
      <vt:lpstr>A8_L12</vt:lpstr>
      <vt:lpstr>A8_L13</vt:lpstr>
      <vt:lpstr>A8_L14</vt:lpstr>
      <vt:lpstr>A8_L15</vt:lpstr>
      <vt:lpstr>A8_L16</vt:lpstr>
      <vt:lpstr>A8_L17</vt:lpstr>
      <vt:lpstr>A8_L18</vt:lpstr>
      <vt:lpstr>A8_L19</vt:lpstr>
      <vt:lpstr>A8_L2</vt:lpstr>
      <vt:lpstr>A8_L20</vt:lpstr>
      <vt:lpstr>A8_L21</vt:lpstr>
      <vt:lpstr>A8_L22</vt:lpstr>
      <vt:lpstr>A8_L23</vt:lpstr>
      <vt:lpstr>A8_L24</vt:lpstr>
      <vt:lpstr>A8_L25</vt:lpstr>
      <vt:lpstr>A8_L26</vt:lpstr>
      <vt:lpstr>A8_L27</vt:lpstr>
      <vt:lpstr>A8_L28</vt:lpstr>
      <vt:lpstr>A8_L29</vt:lpstr>
      <vt:lpstr>A8_L3</vt:lpstr>
      <vt:lpstr>A8_L30</vt:lpstr>
      <vt:lpstr>A8_L31</vt:lpstr>
      <vt:lpstr>A8_L32</vt:lpstr>
      <vt:lpstr>A8_L33</vt:lpstr>
      <vt:lpstr>A8_L34</vt:lpstr>
      <vt:lpstr>A8_L35</vt:lpstr>
      <vt:lpstr>A8_L36</vt:lpstr>
      <vt:lpstr>A8_L37</vt:lpstr>
      <vt:lpstr>A8_L38</vt:lpstr>
      <vt:lpstr>A8_L39</vt:lpstr>
      <vt:lpstr>A8_L4</vt:lpstr>
      <vt:lpstr>A8_L40</vt:lpstr>
      <vt:lpstr>A8_L5</vt:lpstr>
      <vt:lpstr>A8_L6</vt:lpstr>
      <vt:lpstr>A8_L7</vt:lpstr>
      <vt:lpstr>A8_L8</vt:lpstr>
      <vt:lpstr>A8_L9</vt:lpstr>
      <vt:lpstr>A8_X</vt:lpstr>
      <vt:lpstr>A8_X_L1</vt:lpstr>
      <vt:lpstr>A8_X_L10</vt:lpstr>
      <vt:lpstr>A8_X_L11</vt:lpstr>
      <vt:lpstr>A8_X_L12</vt:lpstr>
      <vt:lpstr>A8_X_L13</vt:lpstr>
      <vt:lpstr>A8_X_L14</vt:lpstr>
      <vt:lpstr>A8_X_L15</vt:lpstr>
      <vt:lpstr>A8_X_L16</vt:lpstr>
      <vt:lpstr>A8_X_L17</vt:lpstr>
      <vt:lpstr>A8_X_L18</vt:lpstr>
      <vt:lpstr>A8_X_L19</vt:lpstr>
      <vt:lpstr>A8_X_L2</vt:lpstr>
      <vt:lpstr>A8_X_L20</vt:lpstr>
      <vt:lpstr>A8_X_L21</vt:lpstr>
      <vt:lpstr>A8_X_L22</vt:lpstr>
      <vt:lpstr>A8_X_L23</vt:lpstr>
      <vt:lpstr>A8_X_L24</vt:lpstr>
      <vt:lpstr>A8_X_L25</vt:lpstr>
      <vt:lpstr>A8_X_L26</vt:lpstr>
      <vt:lpstr>A8_X_L27</vt:lpstr>
      <vt:lpstr>A8_X_L28</vt:lpstr>
      <vt:lpstr>A8_X_L29</vt:lpstr>
      <vt:lpstr>A8_X_L3</vt:lpstr>
      <vt:lpstr>A8_X_L30</vt:lpstr>
      <vt:lpstr>A8_X_L31</vt:lpstr>
      <vt:lpstr>A8_X_L32</vt:lpstr>
      <vt:lpstr>A8_X_L33</vt:lpstr>
      <vt:lpstr>A8_X_L34</vt:lpstr>
      <vt:lpstr>A8_X_L35</vt:lpstr>
      <vt:lpstr>A8_X_L36</vt:lpstr>
      <vt:lpstr>A8_X_L37</vt:lpstr>
      <vt:lpstr>A8_X_L38</vt:lpstr>
      <vt:lpstr>A8_X_L39</vt:lpstr>
      <vt:lpstr>A8_X_L4</vt:lpstr>
      <vt:lpstr>A8_X_L40</vt:lpstr>
      <vt:lpstr>A8_X_L5</vt:lpstr>
      <vt:lpstr>A8_X_L6</vt:lpstr>
      <vt:lpstr>A8_X_L7</vt:lpstr>
      <vt:lpstr>A8_X_L8</vt:lpstr>
      <vt:lpstr>A8_X_L9</vt:lpstr>
      <vt:lpstr>A8_Y</vt:lpstr>
      <vt:lpstr>A8_Y_L1</vt:lpstr>
      <vt:lpstr>A8_Y_L10</vt:lpstr>
      <vt:lpstr>A8_Y_L11</vt:lpstr>
      <vt:lpstr>A8_Y_L12</vt:lpstr>
      <vt:lpstr>A8_Y_L13</vt:lpstr>
      <vt:lpstr>A8_Y_L14</vt:lpstr>
      <vt:lpstr>A8_Y_L15</vt:lpstr>
      <vt:lpstr>A8_Y_L16</vt:lpstr>
      <vt:lpstr>A8_Y_L17</vt:lpstr>
      <vt:lpstr>A8_Y_L18</vt:lpstr>
      <vt:lpstr>A8_Y_L19</vt:lpstr>
      <vt:lpstr>A8_Y_L2</vt:lpstr>
      <vt:lpstr>A8_Y_L20</vt:lpstr>
      <vt:lpstr>A8_Y_L21</vt:lpstr>
      <vt:lpstr>A8_Y_L22</vt:lpstr>
      <vt:lpstr>A8_Y_L23</vt:lpstr>
      <vt:lpstr>A8_Y_L24</vt:lpstr>
      <vt:lpstr>A8_Y_L25</vt:lpstr>
      <vt:lpstr>A8_Y_L26</vt:lpstr>
      <vt:lpstr>A8_Y_L27</vt:lpstr>
      <vt:lpstr>A8_Y_L28</vt:lpstr>
      <vt:lpstr>A8_Y_L29</vt:lpstr>
      <vt:lpstr>A8_Y_L3</vt:lpstr>
      <vt:lpstr>A8_Y_L30</vt:lpstr>
      <vt:lpstr>A8_Y_L31</vt:lpstr>
      <vt:lpstr>A8_Y_L32</vt:lpstr>
      <vt:lpstr>A8_Y_L33</vt:lpstr>
      <vt:lpstr>A8_Y_L34</vt:lpstr>
      <vt:lpstr>A8_Y_L35</vt:lpstr>
      <vt:lpstr>A8_Y_L36</vt:lpstr>
      <vt:lpstr>A8_Y_L37</vt:lpstr>
      <vt:lpstr>A8_Y_L38</vt:lpstr>
      <vt:lpstr>A8_Y_L39</vt:lpstr>
      <vt:lpstr>A8_Y_L4</vt:lpstr>
      <vt:lpstr>A8_Y_L40</vt:lpstr>
      <vt:lpstr>A8_Y_L5</vt:lpstr>
      <vt:lpstr>A8_Y_L6</vt:lpstr>
      <vt:lpstr>A8_Y_L7</vt:lpstr>
      <vt:lpstr>A8_Y_L8</vt:lpstr>
      <vt:lpstr>A8_Y_L9</vt:lpstr>
      <vt:lpstr>A8_Z</vt:lpstr>
      <vt:lpstr>A8_Z_L1</vt:lpstr>
      <vt:lpstr>A8_Z_L10</vt:lpstr>
      <vt:lpstr>A8_Z_L11</vt:lpstr>
      <vt:lpstr>A8_Z_L12</vt:lpstr>
      <vt:lpstr>A8_Z_L13</vt:lpstr>
      <vt:lpstr>A8_Z_L14</vt:lpstr>
      <vt:lpstr>A8_Z_L15</vt:lpstr>
      <vt:lpstr>A8_Z_L16</vt:lpstr>
      <vt:lpstr>A8_Z_L17</vt:lpstr>
      <vt:lpstr>A8_Z_L18</vt:lpstr>
      <vt:lpstr>A8_Z_L19</vt:lpstr>
      <vt:lpstr>A8_Z_L2</vt:lpstr>
      <vt:lpstr>A8_Z_L20</vt:lpstr>
      <vt:lpstr>A8_Z_L21</vt:lpstr>
      <vt:lpstr>A8_Z_L22</vt:lpstr>
      <vt:lpstr>A8_Z_L23</vt:lpstr>
      <vt:lpstr>A8_Z_L24</vt:lpstr>
      <vt:lpstr>A8_Z_L25</vt:lpstr>
      <vt:lpstr>A8_Z_L26</vt:lpstr>
      <vt:lpstr>A8_Z_L27</vt:lpstr>
      <vt:lpstr>A8_Z_L28</vt:lpstr>
      <vt:lpstr>A8_Z_L29</vt:lpstr>
      <vt:lpstr>A8_Z_L3</vt:lpstr>
      <vt:lpstr>A8_Z_L30</vt:lpstr>
      <vt:lpstr>A8_Z_L31</vt:lpstr>
      <vt:lpstr>A8_Z_L32</vt:lpstr>
      <vt:lpstr>A8_Z_L33</vt:lpstr>
      <vt:lpstr>A8_Z_L34</vt:lpstr>
      <vt:lpstr>A8_Z_L35</vt:lpstr>
      <vt:lpstr>A8_Z_L36</vt:lpstr>
      <vt:lpstr>A8_Z_L37</vt:lpstr>
      <vt:lpstr>A8_Z_L38</vt:lpstr>
      <vt:lpstr>A8_Z_L39</vt:lpstr>
      <vt:lpstr>A8_Z_L4</vt:lpstr>
      <vt:lpstr>A8_Z_L40</vt:lpstr>
      <vt:lpstr>A8_Z_L5</vt:lpstr>
      <vt:lpstr>A8_Z_L6</vt:lpstr>
      <vt:lpstr>A8_Z_L7</vt:lpstr>
      <vt:lpstr>A8_Z_L8</vt:lpstr>
      <vt:lpstr>A8_Z_L9</vt:lpstr>
      <vt:lpstr>A9_A</vt:lpstr>
      <vt:lpstr>A9_A_L1</vt:lpstr>
      <vt:lpstr>A9_A_L10</vt:lpstr>
      <vt:lpstr>A9_A_L11</vt:lpstr>
      <vt:lpstr>A9_A_L12</vt:lpstr>
      <vt:lpstr>A9_A_L13</vt:lpstr>
      <vt:lpstr>A9_A_L14</vt:lpstr>
      <vt:lpstr>A9_A_L15</vt:lpstr>
      <vt:lpstr>A9_A_L16</vt:lpstr>
      <vt:lpstr>A9_A_L17</vt:lpstr>
      <vt:lpstr>A9_A_L18</vt:lpstr>
      <vt:lpstr>A9_A_L19</vt:lpstr>
      <vt:lpstr>A9_A_L2</vt:lpstr>
      <vt:lpstr>A9_A_L20</vt:lpstr>
      <vt:lpstr>A9_A_L21</vt:lpstr>
      <vt:lpstr>A9_A_L22</vt:lpstr>
      <vt:lpstr>A9_A_L23</vt:lpstr>
      <vt:lpstr>A9_A_L24</vt:lpstr>
      <vt:lpstr>A9_A_L25</vt:lpstr>
      <vt:lpstr>A9_A_L26</vt:lpstr>
      <vt:lpstr>A9_A_L27</vt:lpstr>
      <vt:lpstr>A9_A_L28</vt:lpstr>
      <vt:lpstr>A9_A_L29</vt:lpstr>
      <vt:lpstr>A9_A_L3</vt:lpstr>
      <vt:lpstr>A9_A_L30</vt:lpstr>
      <vt:lpstr>A9_A_L31</vt:lpstr>
      <vt:lpstr>A9_A_L32</vt:lpstr>
      <vt:lpstr>A9_A_L33</vt:lpstr>
      <vt:lpstr>A9_A_L34</vt:lpstr>
      <vt:lpstr>A9_A_L35</vt:lpstr>
      <vt:lpstr>A9_A_L36</vt:lpstr>
      <vt:lpstr>A9_A_L37</vt:lpstr>
      <vt:lpstr>A9_A_L38</vt:lpstr>
      <vt:lpstr>A9_A_L39</vt:lpstr>
      <vt:lpstr>A9_A_L4</vt:lpstr>
      <vt:lpstr>A9_A_L40</vt:lpstr>
      <vt:lpstr>A9_A_L5</vt:lpstr>
      <vt:lpstr>A9_A_L6</vt:lpstr>
      <vt:lpstr>A9_A_L7</vt:lpstr>
      <vt:lpstr>A9_A_L8</vt:lpstr>
      <vt:lpstr>A9_A_L9</vt:lpstr>
      <vt:lpstr>A9_B</vt:lpstr>
      <vt:lpstr>A9_B_L1</vt:lpstr>
      <vt:lpstr>A9_B_L10</vt:lpstr>
      <vt:lpstr>A9_B_L11</vt:lpstr>
      <vt:lpstr>A9_B_L12</vt:lpstr>
      <vt:lpstr>A9_B_L13</vt:lpstr>
      <vt:lpstr>A9_B_L14</vt:lpstr>
      <vt:lpstr>A9_B_L15</vt:lpstr>
      <vt:lpstr>A9_B_L16</vt:lpstr>
      <vt:lpstr>A9_B_L17</vt:lpstr>
      <vt:lpstr>A9_B_L18</vt:lpstr>
      <vt:lpstr>A9_B_L19</vt:lpstr>
      <vt:lpstr>A9_B_L2</vt:lpstr>
      <vt:lpstr>A9_B_L20</vt:lpstr>
      <vt:lpstr>A9_B_L21</vt:lpstr>
      <vt:lpstr>A9_B_L22</vt:lpstr>
      <vt:lpstr>A9_B_L23</vt:lpstr>
      <vt:lpstr>A9_B_L24</vt:lpstr>
      <vt:lpstr>A9_B_L25</vt:lpstr>
      <vt:lpstr>A9_B_L26</vt:lpstr>
      <vt:lpstr>A9_B_L27</vt:lpstr>
      <vt:lpstr>A9_B_L28</vt:lpstr>
      <vt:lpstr>A9_B_L29</vt:lpstr>
      <vt:lpstr>A9_B_L3</vt:lpstr>
      <vt:lpstr>A9_B_L30</vt:lpstr>
      <vt:lpstr>A9_B_L31</vt:lpstr>
      <vt:lpstr>A9_B_L32</vt:lpstr>
      <vt:lpstr>A9_B_L33</vt:lpstr>
      <vt:lpstr>A9_B_L34</vt:lpstr>
      <vt:lpstr>A9_B_L35</vt:lpstr>
      <vt:lpstr>A9_B_L36</vt:lpstr>
      <vt:lpstr>A9_B_L37</vt:lpstr>
      <vt:lpstr>A9_B_L38</vt:lpstr>
      <vt:lpstr>A9_B_L39</vt:lpstr>
      <vt:lpstr>A9_B_L4</vt:lpstr>
      <vt:lpstr>A9_B_L40</vt:lpstr>
      <vt:lpstr>A9_B_L5</vt:lpstr>
      <vt:lpstr>A9_B_L6</vt:lpstr>
      <vt:lpstr>A9_B_L7</vt:lpstr>
      <vt:lpstr>A9_B_L8</vt:lpstr>
      <vt:lpstr>A9_B_L9</vt:lpstr>
      <vt:lpstr>A9_C</vt:lpstr>
      <vt:lpstr>A9_C_L1</vt:lpstr>
      <vt:lpstr>A9_C_L10</vt:lpstr>
      <vt:lpstr>A9_C_L11</vt:lpstr>
      <vt:lpstr>A9_C_L12</vt:lpstr>
      <vt:lpstr>A9_C_L13</vt:lpstr>
      <vt:lpstr>A9_C_L14</vt:lpstr>
      <vt:lpstr>A9_C_L15</vt:lpstr>
      <vt:lpstr>A9_C_L16</vt:lpstr>
      <vt:lpstr>A9_C_L17</vt:lpstr>
      <vt:lpstr>A9_C_L18</vt:lpstr>
      <vt:lpstr>A9_C_L19</vt:lpstr>
      <vt:lpstr>A9_C_L2</vt:lpstr>
      <vt:lpstr>A9_C_L20</vt:lpstr>
      <vt:lpstr>A9_C_L21</vt:lpstr>
      <vt:lpstr>A9_C_L22</vt:lpstr>
      <vt:lpstr>A9_C_L23</vt:lpstr>
      <vt:lpstr>A9_C_L24</vt:lpstr>
      <vt:lpstr>A9_C_L25</vt:lpstr>
      <vt:lpstr>A9_C_L26</vt:lpstr>
      <vt:lpstr>A9_C_L27</vt:lpstr>
      <vt:lpstr>A9_C_L28</vt:lpstr>
      <vt:lpstr>A9_C_L29</vt:lpstr>
      <vt:lpstr>A9_C_L3</vt:lpstr>
      <vt:lpstr>A9_C_L30</vt:lpstr>
      <vt:lpstr>A9_C_L31</vt:lpstr>
      <vt:lpstr>A9_C_L32</vt:lpstr>
      <vt:lpstr>A9_C_L33</vt:lpstr>
      <vt:lpstr>A9_C_L34</vt:lpstr>
      <vt:lpstr>A9_C_L35</vt:lpstr>
      <vt:lpstr>A9_C_L36</vt:lpstr>
      <vt:lpstr>A9_C_L37</vt:lpstr>
      <vt:lpstr>A9_C_L38</vt:lpstr>
      <vt:lpstr>A9_C_L39</vt:lpstr>
      <vt:lpstr>A9_C_L4</vt:lpstr>
      <vt:lpstr>A9_C_L40</vt:lpstr>
      <vt:lpstr>A9_C_L5</vt:lpstr>
      <vt:lpstr>A9_C_L6</vt:lpstr>
      <vt:lpstr>A9_C_L7</vt:lpstr>
      <vt:lpstr>A9_C_L8</vt:lpstr>
      <vt:lpstr>A9_C_L9</vt:lpstr>
      <vt:lpstr>A9_D</vt:lpstr>
      <vt:lpstr>A9_D_L1</vt:lpstr>
      <vt:lpstr>A9_D_L10</vt:lpstr>
      <vt:lpstr>A9_D_L11</vt:lpstr>
      <vt:lpstr>A9_D_L12</vt:lpstr>
      <vt:lpstr>A9_D_L13</vt:lpstr>
      <vt:lpstr>A9_D_L14</vt:lpstr>
      <vt:lpstr>A9_D_L15</vt:lpstr>
      <vt:lpstr>A9_D_L16</vt:lpstr>
      <vt:lpstr>A9_D_L17</vt:lpstr>
      <vt:lpstr>A9_D_L18</vt:lpstr>
      <vt:lpstr>A9_D_L19</vt:lpstr>
      <vt:lpstr>A9_D_L2</vt:lpstr>
      <vt:lpstr>A9_D_L20</vt:lpstr>
      <vt:lpstr>A9_D_L21</vt:lpstr>
      <vt:lpstr>A9_D_L22</vt:lpstr>
      <vt:lpstr>A9_D_L23</vt:lpstr>
      <vt:lpstr>A9_D_L24</vt:lpstr>
      <vt:lpstr>A9_D_L25</vt:lpstr>
      <vt:lpstr>A9_D_L26</vt:lpstr>
      <vt:lpstr>A9_D_L27</vt:lpstr>
      <vt:lpstr>A9_D_L28</vt:lpstr>
      <vt:lpstr>A9_D_L29</vt:lpstr>
      <vt:lpstr>A9_D_L3</vt:lpstr>
      <vt:lpstr>A9_D_L30</vt:lpstr>
      <vt:lpstr>A9_D_L31</vt:lpstr>
      <vt:lpstr>A9_D_L32</vt:lpstr>
      <vt:lpstr>A9_D_L33</vt:lpstr>
      <vt:lpstr>A9_D_L34</vt:lpstr>
      <vt:lpstr>A9_D_L35</vt:lpstr>
      <vt:lpstr>A9_D_L36</vt:lpstr>
      <vt:lpstr>A9_D_L37</vt:lpstr>
      <vt:lpstr>A9_D_L38</vt:lpstr>
      <vt:lpstr>A9_D_L39</vt:lpstr>
      <vt:lpstr>A9_D_L4</vt:lpstr>
      <vt:lpstr>A9_D_L40</vt:lpstr>
      <vt:lpstr>A9_D_L5</vt:lpstr>
      <vt:lpstr>A9_D_L6</vt:lpstr>
      <vt:lpstr>A9_D_L7</vt:lpstr>
      <vt:lpstr>A9_D_L8</vt:lpstr>
      <vt:lpstr>A9_D_L9</vt:lpstr>
      <vt:lpstr>A9_L1</vt:lpstr>
      <vt:lpstr>A9_L10</vt:lpstr>
      <vt:lpstr>A9_L11</vt:lpstr>
      <vt:lpstr>A9_L12</vt:lpstr>
      <vt:lpstr>A9_L13</vt:lpstr>
      <vt:lpstr>A9_L14</vt:lpstr>
      <vt:lpstr>A9_L15</vt:lpstr>
      <vt:lpstr>A9_L16</vt:lpstr>
      <vt:lpstr>A9_L17</vt:lpstr>
      <vt:lpstr>A9_L18</vt:lpstr>
      <vt:lpstr>A9_L19</vt:lpstr>
      <vt:lpstr>A9_L2</vt:lpstr>
      <vt:lpstr>A9_L20</vt:lpstr>
      <vt:lpstr>A9_L21</vt:lpstr>
      <vt:lpstr>A9_L22</vt:lpstr>
      <vt:lpstr>A9_L23</vt:lpstr>
      <vt:lpstr>A9_L24</vt:lpstr>
      <vt:lpstr>A9_L25</vt:lpstr>
      <vt:lpstr>A9_L26</vt:lpstr>
      <vt:lpstr>A9_L27</vt:lpstr>
      <vt:lpstr>A9_L28</vt:lpstr>
      <vt:lpstr>A9_L29</vt:lpstr>
      <vt:lpstr>A9_L3</vt:lpstr>
      <vt:lpstr>A9_L30</vt:lpstr>
      <vt:lpstr>A9_L31</vt:lpstr>
      <vt:lpstr>A9_L32</vt:lpstr>
      <vt:lpstr>A9_L33</vt:lpstr>
      <vt:lpstr>A9_L34</vt:lpstr>
      <vt:lpstr>A9_L35</vt:lpstr>
      <vt:lpstr>A9_L36</vt:lpstr>
      <vt:lpstr>A9_L37</vt:lpstr>
      <vt:lpstr>A9_L38</vt:lpstr>
      <vt:lpstr>A9_L39</vt:lpstr>
      <vt:lpstr>A9_L4</vt:lpstr>
      <vt:lpstr>A9_L40</vt:lpstr>
      <vt:lpstr>A9_L5</vt:lpstr>
      <vt:lpstr>A9_L6</vt:lpstr>
      <vt:lpstr>A9_L7</vt:lpstr>
      <vt:lpstr>A9_L8</vt:lpstr>
      <vt:lpstr>A9_L9</vt:lpstr>
      <vt:lpstr>A9_X</vt:lpstr>
      <vt:lpstr>A9_X_L1</vt:lpstr>
      <vt:lpstr>A9_X_L10</vt:lpstr>
      <vt:lpstr>A9_X_L11</vt:lpstr>
      <vt:lpstr>A9_X_L12</vt:lpstr>
      <vt:lpstr>A9_X_L13</vt:lpstr>
      <vt:lpstr>A9_X_L14</vt:lpstr>
      <vt:lpstr>A9_X_L15</vt:lpstr>
      <vt:lpstr>A9_X_L16</vt:lpstr>
      <vt:lpstr>A9_X_L17</vt:lpstr>
      <vt:lpstr>A9_X_L18</vt:lpstr>
      <vt:lpstr>A9_X_L19</vt:lpstr>
      <vt:lpstr>A9_X_L2</vt:lpstr>
      <vt:lpstr>A9_X_L20</vt:lpstr>
      <vt:lpstr>A9_X_L21</vt:lpstr>
      <vt:lpstr>A9_X_L22</vt:lpstr>
      <vt:lpstr>A9_X_L23</vt:lpstr>
      <vt:lpstr>A9_X_L24</vt:lpstr>
      <vt:lpstr>A9_X_L25</vt:lpstr>
      <vt:lpstr>A9_X_L26</vt:lpstr>
      <vt:lpstr>A9_X_L27</vt:lpstr>
      <vt:lpstr>A9_X_L28</vt:lpstr>
      <vt:lpstr>A9_X_L29</vt:lpstr>
      <vt:lpstr>A9_X_L3</vt:lpstr>
      <vt:lpstr>A9_X_L30</vt:lpstr>
      <vt:lpstr>A9_X_L31</vt:lpstr>
      <vt:lpstr>A9_X_L32</vt:lpstr>
      <vt:lpstr>A9_X_L33</vt:lpstr>
      <vt:lpstr>A9_X_L34</vt:lpstr>
      <vt:lpstr>A9_X_L35</vt:lpstr>
      <vt:lpstr>A9_X_L36</vt:lpstr>
      <vt:lpstr>A9_X_L37</vt:lpstr>
      <vt:lpstr>A9_X_L38</vt:lpstr>
      <vt:lpstr>A9_X_L39</vt:lpstr>
      <vt:lpstr>A9_X_L4</vt:lpstr>
      <vt:lpstr>A9_X_L40</vt:lpstr>
      <vt:lpstr>A9_X_L5</vt:lpstr>
      <vt:lpstr>A9_X_L6</vt:lpstr>
      <vt:lpstr>A9_X_L7</vt:lpstr>
      <vt:lpstr>A9_X_L8</vt:lpstr>
      <vt:lpstr>A9_X_L9</vt:lpstr>
      <vt:lpstr>A9_Y</vt:lpstr>
      <vt:lpstr>A9_Y_L1</vt:lpstr>
      <vt:lpstr>A9_Y_L10</vt:lpstr>
      <vt:lpstr>A9_Y_L11</vt:lpstr>
      <vt:lpstr>A9_Y_L12</vt:lpstr>
      <vt:lpstr>A9_Y_L13</vt:lpstr>
      <vt:lpstr>A9_Y_L14</vt:lpstr>
      <vt:lpstr>A9_Y_L15</vt:lpstr>
      <vt:lpstr>A9_Y_L16</vt:lpstr>
      <vt:lpstr>A9_Y_L17</vt:lpstr>
      <vt:lpstr>A9_Y_L18</vt:lpstr>
      <vt:lpstr>A9_Y_L19</vt:lpstr>
      <vt:lpstr>A9_Y_L2</vt:lpstr>
      <vt:lpstr>A9_Y_L20</vt:lpstr>
      <vt:lpstr>A9_Y_L21</vt:lpstr>
      <vt:lpstr>A9_Y_L22</vt:lpstr>
      <vt:lpstr>A9_Y_L23</vt:lpstr>
      <vt:lpstr>A9_Y_L24</vt:lpstr>
      <vt:lpstr>A9_Y_L25</vt:lpstr>
      <vt:lpstr>A9_Y_L26</vt:lpstr>
      <vt:lpstr>A9_Y_L27</vt:lpstr>
      <vt:lpstr>A9_Y_L28</vt:lpstr>
      <vt:lpstr>A9_Y_L29</vt:lpstr>
      <vt:lpstr>A9_Y_L3</vt:lpstr>
      <vt:lpstr>A9_Y_L30</vt:lpstr>
      <vt:lpstr>A9_Y_L31</vt:lpstr>
      <vt:lpstr>A9_Y_L32</vt:lpstr>
      <vt:lpstr>A9_Y_L33</vt:lpstr>
      <vt:lpstr>A9_Y_L34</vt:lpstr>
      <vt:lpstr>A9_Y_L35</vt:lpstr>
      <vt:lpstr>A9_Y_L36</vt:lpstr>
      <vt:lpstr>A9_Y_L37</vt:lpstr>
      <vt:lpstr>A9_Y_L38</vt:lpstr>
      <vt:lpstr>A9_Y_L39</vt:lpstr>
      <vt:lpstr>A9_Y_L4</vt:lpstr>
      <vt:lpstr>A9_Y_L40</vt:lpstr>
      <vt:lpstr>A9_Y_L5</vt:lpstr>
      <vt:lpstr>A9_Y_L6</vt:lpstr>
      <vt:lpstr>A9_Y_L7</vt:lpstr>
      <vt:lpstr>A9_Y_L8</vt:lpstr>
      <vt:lpstr>A9_Y_L9</vt:lpstr>
      <vt:lpstr>A9_Z</vt:lpstr>
      <vt:lpstr>A9_Z_L1</vt:lpstr>
      <vt:lpstr>A9_Z_L10</vt:lpstr>
      <vt:lpstr>A9_Z_L11</vt:lpstr>
      <vt:lpstr>A9_Z_L12</vt:lpstr>
      <vt:lpstr>A9_Z_L13</vt:lpstr>
      <vt:lpstr>A9_Z_L14</vt:lpstr>
      <vt:lpstr>A9_Z_L15</vt:lpstr>
      <vt:lpstr>A9_Z_L16</vt:lpstr>
      <vt:lpstr>A9_Z_L17</vt:lpstr>
      <vt:lpstr>A9_Z_L18</vt:lpstr>
      <vt:lpstr>A9_Z_L19</vt:lpstr>
      <vt:lpstr>A9_Z_L2</vt:lpstr>
      <vt:lpstr>A9_Z_L20</vt:lpstr>
      <vt:lpstr>A9_Z_L21</vt:lpstr>
      <vt:lpstr>A9_Z_L22</vt:lpstr>
      <vt:lpstr>A9_Z_L23</vt:lpstr>
      <vt:lpstr>A9_Z_L24</vt:lpstr>
      <vt:lpstr>A9_Z_L25</vt:lpstr>
      <vt:lpstr>A9_Z_L26</vt:lpstr>
      <vt:lpstr>A9_Z_L27</vt:lpstr>
      <vt:lpstr>A9_Z_L28</vt:lpstr>
      <vt:lpstr>A9_Z_L29</vt:lpstr>
      <vt:lpstr>A9_Z_L3</vt:lpstr>
      <vt:lpstr>A9_Z_L30</vt:lpstr>
      <vt:lpstr>A9_Z_L31</vt:lpstr>
      <vt:lpstr>A9_Z_L32</vt:lpstr>
      <vt:lpstr>A9_Z_L33</vt:lpstr>
      <vt:lpstr>A9_Z_L34</vt:lpstr>
      <vt:lpstr>A9_Z_L35</vt:lpstr>
      <vt:lpstr>A9_Z_L36</vt:lpstr>
      <vt:lpstr>A9_Z_L37</vt:lpstr>
      <vt:lpstr>A9_Z_L38</vt:lpstr>
      <vt:lpstr>A9_Z_L39</vt:lpstr>
      <vt:lpstr>A9_Z_L4</vt:lpstr>
      <vt:lpstr>A9_Z_L40</vt:lpstr>
      <vt:lpstr>A9_Z_L5</vt:lpstr>
      <vt:lpstr>A9_Z_L6</vt:lpstr>
      <vt:lpstr>A9_Z_L7</vt:lpstr>
      <vt:lpstr>A9_Z_L8</vt:lpstr>
      <vt:lpstr>A9_Z_L9</vt:lpstr>
      <vt:lpstr>Admin_1</vt:lpstr>
      <vt:lpstr>Admin_10</vt:lpstr>
      <vt:lpstr>Admin_11</vt:lpstr>
      <vt:lpstr>Admin_12</vt:lpstr>
      <vt:lpstr>Admin_2</vt:lpstr>
      <vt:lpstr>Admin_3</vt:lpstr>
      <vt:lpstr>Admin_4</vt:lpstr>
      <vt:lpstr>Admin_5</vt:lpstr>
      <vt:lpstr>Admin_6</vt:lpstr>
      <vt:lpstr>Admin_7</vt:lpstr>
      <vt:lpstr>Admin_8</vt:lpstr>
      <vt:lpstr>Admin_9</vt:lpstr>
      <vt:lpstr>AE</vt:lpstr>
      <vt:lpstr>Año_Inicial</vt:lpstr>
      <vt:lpstr>Años</vt:lpstr>
      <vt:lpstr>Area</vt:lpstr>
      <vt:lpstr>Área_L1</vt:lpstr>
      <vt:lpstr>Área_L10</vt:lpstr>
      <vt:lpstr>Área_L11</vt:lpstr>
      <vt:lpstr>Área_L12</vt:lpstr>
      <vt:lpstr>Área_L13</vt:lpstr>
      <vt:lpstr>Área_L14</vt:lpstr>
      <vt:lpstr>Área_L15</vt:lpstr>
      <vt:lpstr>Área_L16</vt:lpstr>
      <vt:lpstr>Área_L17</vt:lpstr>
      <vt:lpstr>Área_L18</vt:lpstr>
      <vt:lpstr>Área_L19</vt:lpstr>
      <vt:lpstr>Área_L2</vt:lpstr>
      <vt:lpstr>Área_L20</vt:lpstr>
      <vt:lpstr>Área_L21</vt:lpstr>
      <vt:lpstr>Área_L22</vt:lpstr>
      <vt:lpstr>Área_L23</vt:lpstr>
      <vt:lpstr>Área_L24</vt:lpstr>
      <vt:lpstr>Área_L25</vt:lpstr>
      <vt:lpstr>Área_L26</vt:lpstr>
      <vt:lpstr>Área_L27</vt:lpstr>
      <vt:lpstr>Área_L28</vt:lpstr>
      <vt:lpstr>Área_L29</vt:lpstr>
      <vt:lpstr>Área_L3</vt:lpstr>
      <vt:lpstr>Área_L30</vt:lpstr>
      <vt:lpstr>Área_L31</vt:lpstr>
      <vt:lpstr>Área_L32</vt:lpstr>
      <vt:lpstr>Área_L33</vt:lpstr>
      <vt:lpstr>Área_L34</vt:lpstr>
      <vt:lpstr>Área_L35</vt:lpstr>
      <vt:lpstr>Área_L36</vt:lpstr>
      <vt:lpstr>Área_L37</vt:lpstr>
      <vt:lpstr>Área_L38</vt:lpstr>
      <vt:lpstr>Área_L39</vt:lpstr>
      <vt:lpstr>Área_L4</vt:lpstr>
      <vt:lpstr>Área_L40</vt:lpstr>
      <vt:lpstr>Área_L5</vt:lpstr>
      <vt:lpstr>Área_L6</vt:lpstr>
      <vt:lpstr>Área_L7</vt:lpstr>
      <vt:lpstr>Área_L8</vt:lpstr>
      <vt:lpstr>Área_L9</vt:lpstr>
      <vt:lpstr>Bloque_A1_A</vt:lpstr>
      <vt:lpstr>Bloque_A1_B</vt:lpstr>
      <vt:lpstr>Bloque_A1_C</vt:lpstr>
      <vt:lpstr>Bloque_A1_D</vt:lpstr>
      <vt:lpstr>Bloque_A1_Y</vt:lpstr>
      <vt:lpstr>Bloque_A10_A</vt:lpstr>
      <vt:lpstr>Bloque_A10_B</vt:lpstr>
      <vt:lpstr>Bloque_A10_C</vt:lpstr>
      <vt:lpstr>Bloque_A10_D</vt:lpstr>
      <vt:lpstr>Bloque_A10_Y</vt:lpstr>
      <vt:lpstr>Bloque_A11_A</vt:lpstr>
      <vt:lpstr>Bloque_A11_B</vt:lpstr>
      <vt:lpstr>Bloque_A11_C</vt:lpstr>
      <vt:lpstr>Bloque_A11_D</vt:lpstr>
      <vt:lpstr>Bloque_A11_Y</vt:lpstr>
      <vt:lpstr>Bloque_A12_A</vt:lpstr>
      <vt:lpstr>Bloque_A12_B</vt:lpstr>
      <vt:lpstr>Bloque_A12_C</vt:lpstr>
      <vt:lpstr>Bloque_A12_D</vt:lpstr>
      <vt:lpstr>Bloque_A12_Y</vt:lpstr>
      <vt:lpstr>Bloque_A2_A</vt:lpstr>
      <vt:lpstr>Bloque_A2_B</vt:lpstr>
      <vt:lpstr>Bloque_A2_C</vt:lpstr>
      <vt:lpstr>Bloque_A2_D</vt:lpstr>
      <vt:lpstr>Bloque_A2_Y</vt:lpstr>
      <vt:lpstr>Bloque_A3_A</vt:lpstr>
      <vt:lpstr>Bloque_A3_B</vt:lpstr>
      <vt:lpstr>Bloque_A3_C</vt:lpstr>
      <vt:lpstr>Bloque_A3_D</vt:lpstr>
      <vt:lpstr>Bloque_A3_Y</vt:lpstr>
      <vt:lpstr>Bloque_A4_A</vt:lpstr>
      <vt:lpstr>Bloque_A4_B</vt:lpstr>
      <vt:lpstr>Bloque_A4_C</vt:lpstr>
      <vt:lpstr>Bloque_A4_D</vt:lpstr>
      <vt:lpstr>Bloque_A4_Y</vt:lpstr>
      <vt:lpstr>Bloque_A5_A</vt:lpstr>
      <vt:lpstr>Bloque_A5_B</vt:lpstr>
      <vt:lpstr>Bloque_A5_C</vt:lpstr>
      <vt:lpstr>Bloque_A5_D</vt:lpstr>
      <vt:lpstr>Bloque_A5_Y</vt:lpstr>
      <vt:lpstr>Bloque_A6_A</vt:lpstr>
      <vt:lpstr>Bloque_A6_B</vt:lpstr>
      <vt:lpstr>Bloque_A6_C</vt:lpstr>
      <vt:lpstr>Bloque_A6_D</vt:lpstr>
      <vt:lpstr>Bloque_A6_Y</vt:lpstr>
      <vt:lpstr>Bloque_A7_A</vt:lpstr>
      <vt:lpstr>Bloque_A7_B</vt:lpstr>
      <vt:lpstr>Bloque_A7_C</vt:lpstr>
      <vt:lpstr>Bloque_A7_D</vt:lpstr>
      <vt:lpstr>Bloque_A7_Y</vt:lpstr>
      <vt:lpstr>Bloque_A8_A</vt:lpstr>
      <vt:lpstr>Bloque_A8_B</vt:lpstr>
      <vt:lpstr>Bloque_A8_C</vt:lpstr>
      <vt:lpstr>Bloque_A8_D</vt:lpstr>
      <vt:lpstr>Bloque_A8_Y</vt:lpstr>
      <vt:lpstr>Bloque_A9_A</vt:lpstr>
      <vt:lpstr>Bloque_A9_B</vt:lpstr>
      <vt:lpstr>Bloque_A9_C</vt:lpstr>
      <vt:lpstr>Bloque_A9_D</vt:lpstr>
      <vt:lpstr>Bloque_A9_Y</vt:lpstr>
      <vt:lpstr>Ciclo</vt:lpstr>
      <vt:lpstr>Coad_A</vt:lpstr>
      <vt:lpstr>Coad_B</vt:lpstr>
      <vt:lpstr>Coad_C</vt:lpstr>
      <vt:lpstr>Coad_D</vt:lpstr>
      <vt:lpstr>Coad_Y</vt:lpstr>
      <vt:lpstr>Conservación_A</vt:lpstr>
      <vt:lpstr>Conservación_B</vt:lpstr>
      <vt:lpstr>Conservación_C</vt:lpstr>
      <vt:lpstr>Conservación_D</vt:lpstr>
      <vt:lpstr>Conservación_Y</vt:lpstr>
      <vt:lpstr>'12'!Cosecha_y_Poscosecha</vt:lpstr>
      <vt:lpstr>'13'!Cosecha_y_Poscosecha</vt:lpstr>
      <vt:lpstr>'14'!Cosecha_y_Poscosecha</vt:lpstr>
      <vt:lpstr>'15'!Cosecha_y_Poscosecha</vt:lpstr>
      <vt:lpstr>'16'!Cosecha_y_Poscosecha</vt:lpstr>
      <vt:lpstr>'17'!Cosecha_y_Poscosecha</vt:lpstr>
      <vt:lpstr>'18'!Cosecha_y_Poscosecha</vt:lpstr>
      <vt:lpstr>'19'!Cosecha_y_Poscosecha</vt:lpstr>
      <vt:lpstr>'20'!Cosecha_y_Poscosecha</vt:lpstr>
      <vt:lpstr>'21'!Cosecha_y_Poscosecha</vt:lpstr>
      <vt:lpstr>'22'!Cosecha_y_Poscosecha</vt:lpstr>
      <vt:lpstr>Cosecha_y_Poscosecha</vt:lpstr>
      <vt:lpstr>CUI_Coadyuvantes</vt:lpstr>
      <vt:lpstr>CUI_Corte</vt:lpstr>
      <vt:lpstr>CUI_Enmienda</vt:lpstr>
      <vt:lpstr>CUI_Fertilizante</vt:lpstr>
      <vt:lpstr>CUI_Fungicida</vt:lpstr>
      <vt:lpstr>CUI_Herbicida</vt:lpstr>
      <vt:lpstr>CUI_Insecticida</vt:lpstr>
      <vt:lpstr>CUI_Jornal</vt:lpstr>
      <vt:lpstr>CUI_Otro_1</vt:lpstr>
      <vt:lpstr>CUI_Otro_2</vt:lpstr>
      <vt:lpstr>CUI_Otro_3</vt:lpstr>
      <vt:lpstr>CUI_Poscosecha</vt:lpstr>
      <vt:lpstr>D_L1</vt:lpstr>
      <vt:lpstr>D_L10</vt:lpstr>
      <vt:lpstr>D_L11</vt:lpstr>
      <vt:lpstr>D_L12</vt:lpstr>
      <vt:lpstr>D_L13</vt:lpstr>
      <vt:lpstr>D_L14</vt:lpstr>
      <vt:lpstr>D_L15</vt:lpstr>
      <vt:lpstr>D_L16</vt:lpstr>
      <vt:lpstr>D_L17</vt:lpstr>
      <vt:lpstr>D_L18</vt:lpstr>
      <vt:lpstr>D_L19</vt:lpstr>
      <vt:lpstr>D_L2</vt:lpstr>
      <vt:lpstr>D_L20</vt:lpstr>
      <vt:lpstr>D_L21</vt:lpstr>
      <vt:lpstr>D_L22</vt:lpstr>
      <vt:lpstr>D_L23</vt:lpstr>
      <vt:lpstr>D_L24</vt:lpstr>
      <vt:lpstr>D_L25</vt:lpstr>
      <vt:lpstr>D_L26</vt:lpstr>
      <vt:lpstr>D_L27</vt:lpstr>
      <vt:lpstr>D_L28</vt:lpstr>
      <vt:lpstr>D_L29</vt:lpstr>
      <vt:lpstr>D_L3</vt:lpstr>
      <vt:lpstr>D_L30</vt:lpstr>
      <vt:lpstr>D_L31</vt:lpstr>
      <vt:lpstr>D_L32</vt:lpstr>
      <vt:lpstr>D_L33</vt:lpstr>
      <vt:lpstr>D_L34</vt:lpstr>
      <vt:lpstr>D_L35</vt:lpstr>
      <vt:lpstr>D_L36</vt:lpstr>
      <vt:lpstr>D_L37</vt:lpstr>
      <vt:lpstr>D_L38</vt:lpstr>
      <vt:lpstr>D_L39</vt:lpstr>
      <vt:lpstr>D_L4</vt:lpstr>
      <vt:lpstr>D_L40</vt:lpstr>
      <vt:lpstr>D_L5</vt:lpstr>
      <vt:lpstr>D_L6</vt:lpstr>
      <vt:lpstr>D_L7</vt:lpstr>
      <vt:lpstr>D_L8</vt:lpstr>
      <vt:lpstr>D_L9</vt:lpstr>
      <vt:lpstr>Deshije_A</vt:lpstr>
      <vt:lpstr>Deshije_B</vt:lpstr>
      <vt:lpstr>Deshije_C</vt:lpstr>
      <vt:lpstr>Deshije_D</vt:lpstr>
      <vt:lpstr>Deshije_Y</vt:lpstr>
      <vt:lpstr>Detalle</vt:lpstr>
      <vt:lpstr>Diseño</vt:lpstr>
      <vt:lpstr>Enfermedades_A</vt:lpstr>
      <vt:lpstr>Enfermedades_B</vt:lpstr>
      <vt:lpstr>Enfermedades_C</vt:lpstr>
      <vt:lpstr>Enfermedades_D</vt:lpstr>
      <vt:lpstr>Enfermedades_Y</vt:lpstr>
      <vt:lpstr>Enmienda_A</vt:lpstr>
      <vt:lpstr>Enmienda_B</vt:lpstr>
      <vt:lpstr>Enmienda_C</vt:lpstr>
      <vt:lpstr>Enmienda_D</vt:lpstr>
      <vt:lpstr>Enmienda_Y</vt:lpstr>
      <vt:lpstr>Enmiendas_A</vt:lpstr>
      <vt:lpstr>Enmiendas_B</vt:lpstr>
      <vt:lpstr>Enmiendas_C</vt:lpstr>
      <vt:lpstr>Enmiendas_D</vt:lpstr>
      <vt:lpstr>Enmiendas_Y</vt:lpstr>
      <vt:lpstr>Fertilizante_A</vt:lpstr>
      <vt:lpstr>Fertilizante_B</vt:lpstr>
      <vt:lpstr>Fertilizante_C</vt:lpstr>
      <vt:lpstr>Fertilizante_D</vt:lpstr>
      <vt:lpstr>Fertilizante_Y</vt:lpstr>
      <vt:lpstr>Financiado</vt:lpstr>
      <vt:lpstr>Financiamiento</vt:lpstr>
      <vt:lpstr>Fungicida_A</vt:lpstr>
      <vt:lpstr>Fungicida_B</vt:lpstr>
      <vt:lpstr>Fungicida_C</vt:lpstr>
      <vt:lpstr>Fungicida_D</vt:lpstr>
      <vt:lpstr>Fungicida_Y</vt:lpstr>
      <vt:lpstr>Gracia</vt:lpstr>
      <vt:lpstr>Ha</vt:lpstr>
      <vt:lpstr>Herbicida_A</vt:lpstr>
      <vt:lpstr>Herbicida_B</vt:lpstr>
      <vt:lpstr>Herbicida_C</vt:lpstr>
      <vt:lpstr>Herbicida_D</vt:lpstr>
      <vt:lpstr>Herbicida_Y</vt:lpstr>
      <vt:lpstr>Inferior</vt:lpstr>
      <vt:lpstr>Inflación_10</vt:lpstr>
      <vt:lpstr>Inflación_11</vt:lpstr>
      <vt:lpstr>Inflación_12</vt:lpstr>
      <vt:lpstr>Inflación_2</vt:lpstr>
      <vt:lpstr>Inflación_3</vt:lpstr>
      <vt:lpstr>Inflación_4</vt:lpstr>
      <vt:lpstr>Inflación_5</vt:lpstr>
      <vt:lpstr>Inflación_6</vt:lpstr>
      <vt:lpstr>Inflación_7</vt:lpstr>
      <vt:lpstr>Inflación_8</vt:lpstr>
      <vt:lpstr>Inflación_9</vt:lpstr>
      <vt:lpstr>Insecticida_A</vt:lpstr>
      <vt:lpstr>Insecticida_B</vt:lpstr>
      <vt:lpstr>Insecticida_C</vt:lpstr>
      <vt:lpstr>Insecticida_D</vt:lpstr>
      <vt:lpstr>Insecticida_Y</vt:lpstr>
      <vt:lpstr>LI_A</vt:lpstr>
      <vt:lpstr>LI_B</vt:lpstr>
      <vt:lpstr>LI_C</vt:lpstr>
      <vt:lpstr>LI_D</vt:lpstr>
      <vt:lpstr>Limpias_A</vt:lpstr>
      <vt:lpstr>Limpias_B</vt:lpstr>
      <vt:lpstr>Limpias_C</vt:lpstr>
      <vt:lpstr>Limpias_D</vt:lpstr>
      <vt:lpstr>Limpias_Y</vt:lpstr>
      <vt:lpstr>Lote</vt:lpstr>
      <vt:lpstr>Lote_1</vt:lpstr>
      <vt:lpstr>Lote_10</vt:lpstr>
      <vt:lpstr>Lote_11</vt:lpstr>
      <vt:lpstr>Lote_12</vt:lpstr>
      <vt:lpstr>Lote_13</vt:lpstr>
      <vt:lpstr>Lote_14</vt:lpstr>
      <vt:lpstr>Lote_15</vt:lpstr>
      <vt:lpstr>Lote_16</vt:lpstr>
      <vt:lpstr>Lote_17</vt:lpstr>
      <vt:lpstr>Lote_18</vt:lpstr>
      <vt:lpstr>Lote_19</vt:lpstr>
      <vt:lpstr>Lote_2</vt:lpstr>
      <vt:lpstr>Lote_20</vt:lpstr>
      <vt:lpstr>Lote_21</vt:lpstr>
      <vt:lpstr>Lote_22</vt:lpstr>
      <vt:lpstr>Lote_23</vt:lpstr>
      <vt:lpstr>Lote_24</vt:lpstr>
      <vt:lpstr>Lote_25</vt:lpstr>
      <vt:lpstr>Lote_26</vt:lpstr>
      <vt:lpstr>Lote_27</vt:lpstr>
      <vt:lpstr>Lote_28</vt:lpstr>
      <vt:lpstr>Lote_29</vt:lpstr>
      <vt:lpstr>Lote_3</vt:lpstr>
      <vt:lpstr>Lote_30</vt:lpstr>
      <vt:lpstr>Lote_31</vt:lpstr>
      <vt:lpstr>Lote_32</vt:lpstr>
      <vt:lpstr>Lote_33</vt:lpstr>
      <vt:lpstr>Lote_34</vt:lpstr>
      <vt:lpstr>Lote_35</vt:lpstr>
      <vt:lpstr>Lote_36</vt:lpstr>
      <vt:lpstr>Lote_37</vt:lpstr>
      <vt:lpstr>Lote_38</vt:lpstr>
      <vt:lpstr>Lote_39</vt:lpstr>
      <vt:lpstr>Lote_4</vt:lpstr>
      <vt:lpstr>Lote_40</vt:lpstr>
      <vt:lpstr>Lote_5</vt:lpstr>
      <vt:lpstr>Lote_6</vt:lpstr>
      <vt:lpstr>Lote_7</vt:lpstr>
      <vt:lpstr>Lote_8</vt:lpstr>
      <vt:lpstr>Lote_9</vt:lpstr>
      <vt:lpstr>Lote_Ex</vt:lpstr>
      <vt:lpstr>Lotes</vt:lpstr>
      <vt:lpstr>Lotes_Cant.</vt:lpstr>
      <vt:lpstr>LS_B</vt:lpstr>
      <vt:lpstr>LS_C</vt:lpstr>
      <vt:lpstr>LS_D</vt:lpstr>
      <vt:lpstr>Malezas_A</vt:lpstr>
      <vt:lpstr>Malezas_B</vt:lpstr>
      <vt:lpstr>Malezas_C</vt:lpstr>
      <vt:lpstr>Malezas_D</vt:lpstr>
      <vt:lpstr>Malezas_Y</vt:lpstr>
      <vt:lpstr>MO_Conservación_A</vt:lpstr>
      <vt:lpstr>MO_Conservación_B</vt:lpstr>
      <vt:lpstr>MO_Conservación_C</vt:lpstr>
      <vt:lpstr>MO_Conservación_D</vt:lpstr>
      <vt:lpstr>MO_Conservación_Y</vt:lpstr>
      <vt:lpstr>MO_Deshije_A</vt:lpstr>
      <vt:lpstr>MO_Deshije_B</vt:lpstr>
      <vt:lpstr>MO_Deshije_C</vt:lpstr>
      <vt:lpstr>MO_Deshije_D</vt:lpstr>
      <vt:lpstr>MO_Deshije_Y</vt:lpstr>
      <vt:lpstr>MO_Enfermedades_A</vt:lpstr>
      <vt:lpstr>MO_Enfermedades_B</vt:lpstr>
      <vt:lpstr>MO_Enfermedades_C</vt:lpstr>
      <vt:lpstr>MO_Enfermedades_D</vt:lpstr>
      <vt:lpstr>MO_Enfermedades_Y</vt:lpstr>
      <vt:lpstr>MO_Enmiendas_A</vt:lpstr>
      <vt:lpstr>MO_Enmiendas_B</vt:lpstr>
      <vt:lpstr>MO_Enmiendas_C</vt:lpstr>
      <vt:lpstr>MO_Enmiendas_D</vt:lpstr>
      <vt:lpstr>MO_Enmiendas_Y</vt:lpstr>
      <vt:lpstr>MO_Limpias_A</vt:lpstr>
      <vt:lpstr>MO_Limpias_B</vt:lpstr>
      <vt:lpstr>MO_Limpias_C</vt:lpstr>
      <vt:lpstr>MO_Limpias_D</vt:lpstr>
      <vt:lpstr>MO_Limpias_Y</vt:lpstr>
      <vt:lpstr>MO_Nutrición_A</vt:lpstr>
      <vt:lpstr>MO_Nutrición_B</vt:lpstr>
      <vt:lpstr>MO_Nutrición_C</vt:lpstr>
      <vt:lpstr>MO_Nutrición_D</vt:lpstr>
      <vt:lpstr>MO_Nutrición_Y</vt:lpstr>
      <vt:lpstr>MO_Otros_A</vt:lpstr>
      <vt:lpstr>MO_Otros_B</vt:lpstr>
      <vt:lpstr>MO_Otros_C</vt:lpstr>
      <vt:lpstr>MO_Otros_D</vt:lpstr>
      <vt:lpstr>MO_Otros_Y</vt:lpstr>
      <vt:lpstr>MO_Plagas_A</vt:lpstr>
      <vt:lpstr>MO_Plagas_B</vt:lpstr>
      <vt:lpstr>MO_Plagas_C</vt:lpstr>
      <vt:lpstr>MO_Plagas_D</vt:lpstr>
      <vt:lpstr>MO_Poda_A</vt:lpstr>
      <vt:lpstr>MO_Poda_B</vt:lpstr>
      <vt:lpstr>MO_Poda_C</vt:lpstr>
      <vt:lpstr>MO_Poda_D</vt:lpstr>
      <vt:lpstr>MO_Poda_Y</vt:lpstr>
      <vt:lpstr>MO_Químico_A</vt:lpstr>
      <vt:lpstr>MO_Químico_B</vt:lpstr>
      <vt:lpstr>MO_Químico_C</vt:lpstr>
      <vt:lpstr>MO_Químico_D</vt:lpstr>
      <vt:lpstr>MO_Químico_Y</vt:lpstr>
      <vt:lpstr>MO_Sombra_A</vt:lpstr>
      <vt:lpstr>MO_Sombra_B</vt:lpstr>
      <vt:lpstr>MO_Sombra_C</vt:lpstr>
      <vt:lpstr>MO_Sombra_D</vt:lpstr>
      <vt:lpstr>MO_Sombra_Y</vt:lpstr>
      <vt:lpstr>Mz</vt:lpstr>
      <vt:lpstr>N_L1</vt:lpstr>
      <vt:lpstr>N_L10</vt:lpstr>
      <vt:lpstr>N_L11</vt:lpstr>
      <vt:lpstr>N_L12</vt:lpstr>
      <vt:lpstr>N_L13</vt:lpstr>
      <vt:lpstr>N_L14</vt:lpstr>
      <vt:lpstr>N_L15</vt:lpstr>
      <vt:lpstr>N_L16</vt:lpstr>
      <vt:lpstr>N_L17</vt:lpstr>
      <vt:lpstr>N_L18</vt:lpstr>
      <vt:lpstr>N_L19</vt:lpstr>
      <vt:lpstr>N_L2</vt:lpstr>
      <vt:lpstr>N_L20</vt:lpstr>
      <vt:lpstr>N_L21</vt:lpstr>
      <vt:lpstr>N_L22</vt:lpstr>
      <vt:lpstr>N_L23</vt:lpstr>
      <vt:lpstr>N_L24</vt:lpstr>
      <vt:lpstr>N_L25</vt:lpstr>
      <vt:lpstr>N_L26</vt:lpstr>
      <vt:lpstr>N_L27</vt:lpstr>
      <vt:lpstr>N_L28</vt:lpstr>
      <vt:lpstr>N_L29</vt:lpstr>
      <vt:lpstr>N_L3</vt:lpstr>
      <vt:lpstr>N_L30</vt:lpstr>
      <vt:lpstr>N_L31</vt:lpstr>
      <vt:lpstr>N_L32</vt:lpstr>
      <vt:lpstr>N_L33</vt:lpstr>
      <vt:lpstr>N_L34</vt:lpstr>
      <vt:lpstr>N_L35</vt:lpstr>
      <vt:lpstr>N_L36</vt:lpstr>
      <vt:lpstr>N_L37</vt:lpstr>
      <vt:lpstr>N_L38</vt:lpstr>
      <vt:lpstr>N_L39</vt:lpstr>
      <vt:lpstr>N_L4</vt:lpstr>
      <vt:lpstr>N_L40</vt:lpstr>
      <vt:lpstr>N_L5</vt:lpstr>
      <vt:lpstr>N_L6</vt:lpstr>
      <vt:lpstr>N_L7</vt:lpstr>
      <vt:lpstr>N_L8</vt:lpstr>
      <vt:lpstr>N_L9</vt:lpstr>
      <vt:lpstr>Nutrición_A</vt:lpstr>
      <vt:lpstr>Nutrición_B</vt:lpstr>
      <vt:lpstr>Nutrición_C</vt:lpstr>
      <vt:lpstr>Nutrición_D</vt:lpstr>
      <vt:lpstr>Nutrición_Y</vt:lpstr>
      <vt:lpstr>Oro</vt:lpstr>
      <vt:lpstr>Otras_A</vt:lpstr>
      <vt:lpstr>Otras_B</vt:lpstr>
      <vt:lpstr>Otras_C</vt:lpstr>
      <vt:lpstr>Otras_D</vt:lpstr>
      <vt:lpstr>Otras_Y</vt:lpstr>
      <vt:lpstr>Otro_Insumo_2</vt:lpstr>
      <vt:lpstr>Otro_Insumo_3</vt:lpstr>
      <vt:lpstr>Otro1_A</vt:lpstr>
      <vt:lpstr>Otro1_B</vt:lpstr>
      <vt:lpstr>Otro1_C</vt:lpstr>
      <vt:lpstr>Otro1_D</vt:lpstr>
      <vt:lpstr>Otro1_Y</vt:lpstr>
      <vt:lpstr>Otro2_A</vt:lpstr>
      <vt:lpstr>Otro2_B</vt:lpstr>
      <vt:lpstr>Otro2_C</vt:lpstr>
      <vt:lpstr>Otro2_D</vt:lpstr>
      <vt:lpstr>Otro2_Y</vt:lpstr>
      <vt:lpstr>Otro3_A</vt:lpstr>
      <vt:lpstr>Otro3_B</vt:lpstr>
      <vt:lpstr>Otro3_C</vt:lpstr>
      <vt:lpstr>Otro3_D</vt:lpstr>
      <vt:lpstr>Otro3_Y</vt:lpstr>
      <vt:lpstr>P_A1</vt:lpstr>
      <vt:lpstr>P_A1_L1</vt:lpstr>
      <vt:lpstr>P_A1_L10</vt:lpstr>
      <vt:lpstr>P_A1_L11</vt:lpstr>
      <vt:lpstr>P_A1_L12</vt:lpstr>
      <vt:lpstr>P_A1_L13</vt:lpstr>
      <vt:lpstr>P_A1_L14</vt:lpstr>
      <vt:lpstr>P_A1_L15</vt:lpstr>
      <vt:lpstr>P_A1_L16</vt:lpstr>
      <vt:lpstr>P_A1_L17</vt:lpstr>
      <vt:lpstr>P_A1_L18</vt:lpstr>
      <vt:lpstr>P_A1_L19</vt:lpstr>
      <vt:lpstr>P_A1_L2</vt:lpstr>
      <vt:lpstr>P_A1_L20</vt:lpstr>
      <vt:lpstr>P_A1_L21</vt:lpstr>
      <vt:lpstr>P_A1_L22</vt:lpstr>
      <vt:lpstr>P_A1_L23</vt:lpstr>
      <vt:lpstr>P_A1_L24</vt:lpstr>
      <vt:lpstr>P_A1_L25</vt:lpstr>
      <vt:lpstr>P_A1_L26</vt:lpstr>
      <vt:lpstr>P_A1_L27</vt:lpstr>
      <vt:lpstr>P_A1_L28</vt:lpstr>
      <vt:lpstr>P_A1_L29</vt:lpstr>
      <vt:lpstr>P_A1_L3</vt:lpstr>
      <vt:lpstr>P_A1_L30</vt:lpstr>
      <vt:lpstr>P_A1_L31</vt:lpstr>
      <vt:lpstr>P_A1_L32</vt:lpstr>
      <vt:lpstr>P_A1_L33</vt:lpstr>
      <vt:lpstr>P_A1_L34</vt:lpstr>
      <vt:lpstr>P_A1_L35</vt:lpstr>
      <vt:lpstr>P_A1_L36</vt:lpstr>
      <vt:lpstr>P_A1_L37</vt:lpstr>
      <vt:lpstr>P_A1_L38</vt:lpstr>
      <vt:lpstr>P_A1_L39</vt:lpstr>
      <vt:lpstr>P_A1_L4</vt:lpstr>
      <vt:lpstr>P_A1_L40</vt:lpstr>
      <vt:lpstr>P_A1_L5</vt:lpstr>
      <vt:lpstr>P_A1_L6</vt:lpstr>
      <vt:lpstr>P_A1_L7</vt:lpstr>
      <vt:lpstr>P_A1_L8</vt:lpstr>
      <vt:lpstr>P_A1_L9</vt:lpstr>
      <vt:lpstr>P_A10</vt:lpstr>
      <vt:lpstr>P_A10_L1</vt:lpstr>
      <vt:lpstr>P_A10_L10</vt:lpstr>
      <vt:lpstr>P_A10_L11</vt:lpstr>
      <vt:lpstr>P_A10_L12</vt:lpstr>
      <vt:lpstr>P_A10_L13</vt:lpstr>
      <vt:lpstr>P_A10_L14</vt:lpstr>
      <vt:lpstr>P_A10_L15</vt:lpstr>
      <vt:lpstr>P_A10_L16</vt:lpstr>
      <vt:lpstr>P_A10_L17</vt:lpstr>
      <vt:lpstr>P_A10_L18</vt:lpstr>
      <vt:lpstr>P_A10_L19</vt:lpstr>
      <vt:lpstr>P_A10_L2</vt:lpstr>
      <vt:lpstr>P_A10_L20</vt:lpstr>
      <vt:lpstr>P_A10_L21</vt:lpstr>
      <vt:lpstr>P_A10_L22</vt:lpstr>
      <vt:lpstr>P_A10_L23</vt:lpstr>
      <vt:lpstr>P_A10_L24</vt:lpstr>
      <vt:lpstr>P_A10_L25</vt:lpstr>
      <vt:lpstr>P_A10_L26</vt:lpstr>
      <vt:lpstr>P_A10_L27</vt:lpstr>
      <vt:lpstr>P_A10_L28</vt:lpstr>
      <vt:lpstr>P_A10_L29</vt:lpstr>
      <vt:lpstr>P_A10_L3</vt:lpstr>
      <vt:lpstr>P_A10_L30</vt:lpstr>
      <vt:lpstr>P_A10_L31</vt:lpstr>
      <vt:lpstr>P_A10_L32</vt:lpstr>
      <vt:lpstr>P_A10_L33</vt:lpstr>
      <vt:lpstr>P_A10_L34</vt:lpstr>
      <vt:lpstr>P_A10_L35</vt:lpstr>
      <vt:lpstr>P_A10_L36</vt:lpstr>
      <vt:lpstr>P_A10_L37</vt:lpstr>
      <vt:lpstr>P_A10_L38</vt:lpstr>
      <vt:lpstr>P_A10_L39</vt:lpstr>
      <vt:lpstr>P_A10_L4</vt:lpstr>
      <vt:lpstr>P_A10_L40</vt:lpstr>
      <vt:lpstr>P_A10_L5</vt:lpstr>
      <vt:lpstr>P_A10_L6</vt:lpstr>
      <vt:lpstr>P_A10_L7</vt:lpstr>
      <vt:lpstr>P_A10_L8</vt:lpstr>
      <vt:lpstr>P_A10_L9</vt:lpstr>
      <vt:lpstr>P_A11</vt:lpstr>
      <vt:lpstr>P_A11_L1</vt:lpstr>
      <vt:lpstr>P_A11_L10</vt:lpstr>
      <vt:lpstr>P_A11_L11</vt:lpstr>
      <vt:lpstr>P_A11_L12</vt:lpstr>
      <vt:lpstr>P_A11_L13</vt:lpstr>
      <vt:lpstr>P_A11_L14</vt:lpstr>
      <vt:lpstr>P_A11_L15</vt:lpstr>
      <vt:lpstr>P_A11_L16</vt:lpstr>
      <vt:lpstr>P_A11_L17</vt:lpstr>
      <vt:lpstr>P_A11_L18</vt:lpstr>
      <vt:lpstr>P_A11_L19</vt:lpstr>
      <vt:lpstr>P_A11_L2</vt:lpstr>
      <vt:lpstr>P_A11_L20</vt:lpstr>
      <vt:lpstr>P_A11_L21</vt:lpstr>
      <vt:lpstr>P_A11_L22</vt:lpstr>
      <vt:lpstr>P_A11_L23</vt:lpstr>
      <vt:lpstr>P_A11_L24</vt:lpstr>
      <vt:lpstr>P_A11_L25</vt:lpstr>
      <vt:lpstr>P_A11_L26</vt:lpstr>
      <vt:lpstr>P_A11_L27</vt:lpstr>
      <vt:lpstr>P_A11_L28</vt:lpstr>
      <vt:lpstr>P_A11_L29</vt:lpstr>
      <vt:lpstr>P_A11_L3</vt:lpstr>
      <vt:lpstr>P_A11_L30</vt:lpstr>
      <vt:lpstr>P_A11_L31</vt:lpstr>
      <vt:lpstr>P_A11_L32</vt:lpstr>
      <vt:lpstr>P_A11_L33</vt:lpstr>
      <vt:lpstr>P_A11_L34</vt:lpstr>
      <vt:lpstr>P_A11_L35</vt:lpstr>
      <vt:lpstr>P_A11_L36</vt:lpstr>
      <vt:lpstr>P_A11_L37</vt:lpstr>
      <vt:lpstr>P_A11_L38</vt:lpstr>
      <vt:lpstr>P_A11_L39</vt:lpstr>
      <vt:lpstr>P_A11_L4</vt:lpstr>
      <vt:lpstr>P_A11_L40</vt:lpstr>
      <vt:lpstr>P_A11_L5</vt:lpstr>
      <vt:lpstr>P_A11_L6</vt:lpstr>
      <vt:lpstr>P_A11_L7</vt:lpstr>
      <vt:lpstr>P_A11_L8</vt:lpstr>
      <vt:lpstr>P_A11_L9</vt:lpstr>
      <vt:lpstr>P_A12</vt:lpstr>
      <vt:lpstr>P_A12_L1</vt:lpstr>
      <vt:lpstr>P_A12_L10</vt:lpstr>
      <vt:lpstr>P_A12_L11</vt:lpstr>
      <vt:lpstr>P_A12_L12</vt:lpstr>
      <vt:lpstr>P_A12_L13</vt:lpstr>
      <vt:lpstr>P_A12_L14</vt:lpstr>
      <vt:lpstr>P_A12_L15</vt:lpstr>
      <vt:lpstr>P_A12_L16</vt:lpstr>
      <vt:lpstr>P_A12_L17</vt:lpstr>
      <vt:lpstr>P_A12_L18</vt:lpstr>
      <vt:lpstr>P_A12_L19</vt:lpstr>
      <vt:lpstr>P_A12_L2</vt:lpstr>
      <vt:lpstr>P_A12_L20</vt:lpstr>
      <vt:lpstr>P_A12_L21</vt:lpstr>
      <vt:lpstr>P_A12_L22</vt:lpstr>
      <vt:lpstr>P_A12_L23</vt:lpstr>
      <vt:lpstr>P_A12_L24</vt:lpstr>
      <vt:lpstr>P_A12_L25</vt:lpstr>
      <vt:lpstr>P_A12_L26</vt:lpstr>
      <vt:lpstr>P_A12_L27</vt:lpstr>
      <vt:lpstr>P_A12_L28</vt:lpstr>
      <vt:lpstr>P_A12_L29</vt:lpstr>
      <vt:lpstr>P_A12_L3</vt:lpstr>
      <vt:lpstr>P_A12_L30</vt:lpstr>
      <vt:lpstr>P_A12_L31</vt:lpstr>
      <vt:lpstr>P_A12_L32</vt:lpstr>
      <vt:lpstr>P_A12_L33</vt:lpstr>
      <vt:lpstr>P_A12_L34</vt:lpstr>
      <vt:lpstr>P_A12_L35</vt:lpstr>
      <vt:lpstr>P_A12_L36</vt:lpstr>
      <vt:lpstr>P_A12_L37</vt:lpstr>
      <vt:lpstr>P_A12_L38</vt:lpstr>
      <vt:lpstr>P_A12_L39</vt:lpstr>
      <vt:lpstr>P_A12_L4</vt:lpstr>
      <vt:lpstr>P_A12_L40</vt:lpstr>
      <vt:lpstr>P_A12_L5</vt:lpstr>
      <vt:lpstr>P_A12_L6</vt:lpstr>
      <vt:lpstr>P_A12_L7</vt:lpstr>
      <vt:lpstr>P_A12_L8</vt:lpstr>
      <vt:lpstr>P_A12_L9</vt:lpstr>
      <vt:lpstr>P_A2</vt:lpstr>
      <vt:lpstr>P_A2_L1</vt:lpstr>
      <vt:lpstr>P_A2_L10</vt:lpstr>
      <vt:lpstr>P_A2_L11</vt:lpstr>
      <vt:lpstr>P_A2_L12</vt:lpstr>
      <vt:lpstr>P_A2_L13</vt:lpstr>
      <vt:lpstr>P_A2_L14</vt:lpstr>
      <vt:lpstr>P_A2_L15</vt:lpstr>
      <vt:lpstr>P_A2_L16</vt:lpstr>
      <vt:lpstr>P_A2_L17</vt:lpstr>
      <vt:lpstr>P_A2_L18</vt:lpstr>
      <vt:lpstr>P_A2_L19</vt:lpstr>
      <vt:lpstr>P_A2_L2</vt:lpstr>
      <vt:lpstr>P_A2_L20</vt:lpstr>
      <vt:lpstr>P_A2_L21</vt:lpstr>
      <vt:lpstr>P_A2_L22</vt:lpstr>
      <vt:lpstr>P_A2_L23</vt:lpstr>
      <vt:lpstr>P_A2_L24</vt:lpstr>
      <vt:lpstr>P_A2_L25</vt:lpstr>
      <vt:lpstr>P_A2_L26</vt:lpstr>
      <vt:lpstr>P_A2_L27</vt:lpstr>
      <vt:lpstr>P_A2_L28</vt:lpstr>
      <vt:lpstr>P_A2_L29</vt:lpstr>
      <vt:lpstr>P_A2_L3</vt:lpstr>
      <vt:lpstr>P_A2_L30</vt:lpstr>
      <vt:lpstr>P_A2_L31</vt:lpstr>
      <vt:lpstr>P_A2_L32</vt:lpstr>
      <vt:lpstr>P_A2_L33</vt:lpstr>
      <vt:lpstr>P_A2_L34</vt:lpstr>
      <vt:lpstr>P_A2_L35</vt:lpstr>
      <vt:lpstr>P_A2_L36</vt:lpstr>
      <vt:lpstr>P_A2_L37</vt:lpstr>
      <vt:lpstr>P_A2_L38</vt:lpstr>
      <vt:lpstr>P_A2_L39</vt:lpstr>
      <vt:lpstr>P_A2_L4</vt:lpstr>
      <vt:lpstr>P_A2_L40</vt:lpstr>
      <vt:lpstr>P_A2_L5</vt:lpstr>
      <vt:lpstr>P_A2_L6</vt:lpstr>
      <vt:lpstr>P_A2_L7</vt:lpstr>
      <vt:lpstr>P_A2_L8</vt:lpstr>
      <vt:lpstr>P_A2_L9</vt:lpstr>
      <vt:lpstr>P_A3</vt:lpstr>
      <vt:lpstr>P_A3_L1</vt:lpstr>
      <vt:lpstr>P_A3_L10</vt:lpstr>
      <vt:lpstr>P_A3_L11</vt:lpstr>
      <vt:lpstr>P_A3_L12</vt:lpstr>
      <vt:lpstr>P_A3_L13</vt:lpstr>
      <vt:lpstr>P_A3_L14</vt:lpstr>
      <vt:lpstr>P_A3_L15</vt:lpstr>
      <vt:lpstr>P_A3_L16</vt:lpstr>
      <vt:lpstr>P_A3_L17</vt:lpstr>
      <vt:lpstr>P_A3_L18</vt:lpstr>
      <vt:lpstr>P_A3_L19</vt:lpstr>
      <vt:lpstr>P_A3_L2</vt:lpstr>
      <vt:lpstr>P_A3_L20</vt:lpstr>
      <vt:lpstr>P_A3_L21</vt:lpstr>
      <vt:lpstr>P_A3_L22</vt:lpstr>
      <vt:lpstr>P_A3_L23</vt:lpstr>
      <vt:lpstr>P_A3_L24</vt:lpstr>
      <vt:lpstr>P_A3_L25</vt:lpstr>
      <vt:lpstr>P_A3_L26</vt:lpstr>
      <vt:lpstr>P_A3_L27</vt:lpstr>
      <vt:lpstr>P_A3_L28</vt:lpstr>
      <vt:lpstr>P_A3_L29</vt:lpstr>
      <vt:lpstr>P_A3_L3</vt:lpstr>
      <vt:lpstr>P_A3_L30</vt:lpstr>
      <vt:lpstr>P_A3_L31</vt:lpstr>
      <vt:lpstr>P_A3_L32</vt:lpstr>
      <vt:lpstr>P_A3_L33</vt:lpstr>
      <vt:lpstr>P_A3_L34</vt:lpstr>
      <vt:lpstr>P_A3_L35</vt:lpstr>
      <vt:lpstr>P_A3_L36</vt:lpstr>
      <vt:lpstr>P_A3_L37</vt:lpstr>
      <vt:lpstr>P_A3_L38</vt:lpstr>
      <vt:lpstr>P_A3_L39</vt:lpstr>
      <vt:lpstr>P_A3_L4</vt:lpstr>
      <vt:lpstr>P_A3_L40</vt:lpstr>
      <vt:lpstr>P_A3_L5</vt:lpstr>
      <vt:lpstr>P_A3_L6</vt:lpstr>
      <vt:lpstr>P_A3_L7</vt:lpstr>
      <vt:lpstr>P_A3_L8</vt:lpstr>
      <vt:lpstr>P_A3_L9</vt:lpstr>
      <vt:lpstr>P_A4</vt:lpstr>
      <vt:lpstr>P_A4_L1</vt:lpstr>
      <vt:lpstr>P_A4_L10</vt:lpstr>
      <vt:lpstr>P_A4_L11</vt:lpstr>
      <vt:lpstr>P_A4_L12</vt:lpstr>
      <vt:lpstr>P_A4_L13</vt:lpstr>
      <vt:lpstr>P_A4_L14</vt:lpstr>
      <vt:lpstr>P_A4_L15</vt:lpstr>
      <vt:lpstr>P_A4_L16</vt:lpstr>
      <vt:lpstr>P_A4_L17</vt:lpstr>
      <vt:lpstr>P_A4_L18</vt:lpstr>
      <vt:lpstr>P_A4_L19</vt:lpstr>
      <vt:lpstr>P_A4_L2</vt:lpstr>
      <vt:lpstr>P_A4_L20</vt:lpstr>
      <vt:lpstr>P_A4_L21</vt:lpstr>
      <vt:lpstr>P_A4_L22</vt:lpstr>
      <vt:lpstr>P_A4_L23</vt:lpstr>
      <vt:lpstr>P_A4_L24</vt:lpstr>
      <vt:lpstr>P_A4_L25</vt:lpstr>
      <vt:lpstr>P_A4_L26</vt:lpstr>
      <vt:lpstr>P_A4_L27</vt:lpstr>
      <vt:lpstr>P_A4_L28</vt:lpstr>
      <vt:lpstr>P_A4_L29</vt:lpstr>
      <vt:lpstr>P_A4_L3</vt:lpstr>
      <vt:lpstr>P_A4_L30</vt:lpstr>
      <vt:lpstr>P_A4_L31</vt:lpstr>
      <vt:lpstr>P_A4_L32</vt:lpstr>
      <vt:lpstr>P_A4_L33</vt:lpstr>
      <vt:lpstr>P_A4_L34</vt:lpstr>
      <vt:lpstr>P_A4_L35</vt:lpstr>
      <vt:lpstr>P_A4_L36</vt:lpstr>
      <vt:lpstr>P_A4_L37</vt:lpstr>
      <vt:lpstr>P_A4_L38</vt:lpstr>
      <vt:lpstr>P_A4_L39</vt:lpstr>
      <vt:lpstr>P_A4_L4</vt:lpstr>
      <vt:lpstr>P_A4_L40</vt:lpstr>
      <vt:lpstr>P_A4_L5</vt:lpstr>
      <vt:lpstr>P_A4_L6</vt:lpstr>
      <vt:lpstr>P_A4_L7</vt:lpstr>
      <vt:lpstr>P_A4_L8</vt:lpstr>
      <vt:lpstr>P_A4_L9</vt:lpstr>
      <vt:lpstr>P_A5</vt:lpstr>
      <vt:lpstr>P_A5_L1</vt:lpstr>
      <vt:lpstr>P_A5_L10</vt:lpstr>
      <vt:lpstr>P_A5_L11</vt:lpstr>
      <vt:lpstr>P_A5_L12</vt:lpstr>
      <vt:lpstr>P_A5_L13</vt:lpstr>
      <vt:lpstr>P_A5_L14</vt:lpstr>
      <vt:lpstr>P_A5_L15</vt:lpstr>
      <vt:lpstr>P_A5_L16</vt:lpstr>
      <vt:lpstr>P_A5_L17</vt:lpstr>
      <vt:lpstr>P_A5_L18</vt:lpstr>
      <vt:lpstr>P_A5_L19</vt:lpstr>
      <vt:lpstr>P_A5_L2</vt:lpstr>
      <vt:lpstr>P_A5_L20</vt:lpstr>
      <vt:lpstr>P_A5_L21</vt:lpstr>
      <vt:lpstr>P_A5_L22</vt:lpstr>
      <vt:lpstr>P_A5_L23</vt:lpstr>
      <vt:lpstr>P_A5_L24</vt:lpstr>
      <vt:lpstr>P_A5_L25</vt:lpstr>
      <vt:lpstr>P_A5_L26</vt:lpstr>
      <vt:lpstr>P_A5_L27</vt:lpstr>
      <vt:lpstr>P_A5_L28</vt:lpstr>
      <vt:lpstr>P_A5_L29</vt:lpstr>
      <vt:lpstr>P_A5_L3</vt:lpstr>
      <vt:lpstr>P_A5_L30</vt:lpstr>
      <vt:lpstr>P_A5_L31</vt:lpstr>
      <vt:lpstr>P_A5_L32</vt:lpstr>
      <vt:lpstr>P_A5_L33</vt:lpstr>
      <vt:lpstr>P_A5_L34</vt:lpstr>
      <vt:lpstr>P_A5_L35</vt:lpstr>
      <vt:lpstr>P_A5_L36</vt:lpstr>
      <vt:lpstr>P_A5_L37</vt:lpstr>
      <vt:lpstr>P_A5_L38</vt:lpstr>
      <vt:lpstr>P_A5_L39</vt:lpstr>
      <vt:lpstr>P_A5_L4</vt:lpstr>
      <vt:lpstr>P_A5_L40</vt:lpstr>
      <vt:lpstr>P_A5_L5</vt:lpstr>
      <vt:lpstr>P_A5_L6</vt:lpstr>
      <vt:lpstr>P_A5_L7</vt:lpstr>
      <vt:lpstr>P_A5_L8</vt:lpstr>
      <vt:lpstr>P_A5_L9</vt:lpstr>
      <vt:lpstr>P_A6</vt:lpstr>
      <vt:lpstr>P_A6_L1</vt:lpstr>
      <vt:lpstr>P_A6_L10</vt:lpstr>
      <vt:lpstr>P_A6_L11</vt:lpstr>
      <vt:lpstr>P_A6_L12</vt:lpstr>
      <vt:lpstr>P_A6_L13</vt:lpstr>
      <vt:lpstr>P_A6_L14</vt:lpstr>
      <vt:lpstr>P_A6_L15</vt:lpstr>
      <vt:lpstr>P_A6_L16</vt:lpstr>
      <vt:lpstr>P_A6_L17</vt:lpstr>
      <vt:lpstr>P_A6_L18</vt:lpstr>
      <vt:lpstr>P_A6_L19</vt:lpstr>
      <vt:lpstr>P_A6_L2</vt:lpstr>
      <vt:lpstr>P_A6_L20</vt:lpstr>
      <vt:lpstr>P_A6_L21</vt:lpstr>
      <vt:lpstr>P_A6_L22</vt:lpstr>
      <vt:lpstr>P_A6_L23</vt:lpstr>
      <vt:lpstr>P_A6_L24</vt:lpstr>
      <vt:lpstr>P_A6_L25</vt:lpstr>
      <vt:lpstr>P_A6_L26</vt:lpstr>
      <vt:lpstr>P_A6_L27</vt:lpstr>
      <vt:lpstr>P_A6_L28</vt:lpstr>
      <vt:lpstr>P_A6_L29</vt:lpstr>
      <vt:lpstr>P_A6_L3</vt:lpstr>
      <vt:lpstr>P_A6_L30</vt:lpstr>
      <vt:lpstr>P_A6_L31</vt:lpstr>
      <vt:lpstr>P_A6_L32</vt:lpstr>
      <vt:lpstr>P_A6_L33</vt:lpstr>
      <vt:lpstr>P_A6_L34</vt:lpstr>
      <vt:lpstr>P_A6_L35</vt:lpstr>
      <vt:lpstr>P_A6_L36</vt:lpstr>
      <vt:lpstr>P_A6_L37</vt:lpstr>
      <vt:lpstr>P_A6_L38</vt:lpstr>
      <vt:lpstr>P_A6_L39</vt:lpstr>
      <vt:lpstr>P_A6_L4</vt:lpstr>
      <vt:lpstr>P_A6_L40</vt:lpstr>
      <vt:lpstr>P_A6_L5</vt:lpstr>
      <vt:lpstr>P_A6_L6</vt:lpstr>
      <vt:lpstr>P_A6_L7</vt:lpstr>
      <vt:lpstr>P_A6_L8</vt:lpstr>
      <vt:lpstr>P_A6_L9</vt:lpstr>
      <vt:lpstr>P_A7</vt:lpstr>
      <vt:lpstr>P_A7_L1</vt:lpstr>
      <vt:lpstr>P_A7_L10</vt:lpstr>
      <vt:lpstr>P_A7_L11</vt:lpstr>
      <vt:lpstr>P_A7_L12</vt:lpstr>
      <vt:lpstr>P_A7_L13</vt:lpstr>
      <vt:lpstr>P_A7_L14</vt:lpstr>
      <vt:lpstr>P_A7_L15</vt:lpstr>
      <vt:lpstr>P_A7_L16</vt:lpstr>
      <vt:lpstr>P_A7_L17</vt:lpstr>
      <vt:lpstr>P_A7_L18</vt:lpstr>
      <vt:lpstr>P_A7_L19</vt:lpstr>
      <vt:lpstr>P_A7_L2</vt:lpstr>
      <vt:lpstr>P_A7_L20</vt:lpstr>
      <vt:lpstr>P_A7_L21</vt:lpstr>
      <vt:lpstr>P_A7_L22</vt:lpstr>
      <vt:lpstr>P_A7_L23</vt:lpstr>
      <vt:lpstr>P_A7_L24</vt:lpstr>
      <vt:lpstr>P_A7_L25</vt:lpstr>
      <vt:lpstr>P_A7_L26</vt:lpstr>
      <vt:lpstr>P_A7_L27</vt:lpstr>
      <vt:lpstr>P_A7_L28</vt:lpstr>
      <vt:lpstr>P_A7_L29</vt:lpstr>
      <vt:lpstr>P_A7_L3</vt:lpstr>
      <vt:lpstr>P_A7_L30</vt:lpstr>
      <vt:lpstr>P_A7_L31</vt:lpstr>
      <vt:lpstr>P_A7_L32</vt:lpstr>
      <vt:lpstr>P_A7_L33</vt:lpstr>
      <vt:lpstr>P_A7_L34</vt:lpstr>
      <vt:lpstr>P_A7_L35</vt:lpstr>
      <vt:lpstr>P_A7_L36</vt:lpstr>
      <vt:lpstr>P_A7_L37</vt:lpstr>
      <vt:lpstr>P_A7_L38</vt:lpstr>
      <vt:lpstr>P_A7_L39</vt:lpstr>
      <vt:lpstr>P_A7_L4</vt:lpstr>
      <vt:lpstr>P_A7_L40</vt:lpstr>
      <vt:lpstr>P_A7_L5</vt:lpstr>
      <vt:lpstr>P_A7_L6</vt:lpstr>
      <vt:lpstr>P_A7_L7</vt:lpstr>
      <vt:lpstr>P_A7_L8</vt:lpstr>
      <vt:lpstr>P_A7_L9</vt:lpstr>
      <vt:lpstr>P_A8</vt:lpstr>
      <vt:lpstr>P_A8_L1</vt:lpstr>
      <vt:lpstr>P_A8_L10</vt:lpstr>
      <vt:lpstr>P_A8_L11</vt:lpstr>
      <vt:lpstr>P_A8_L12</vt:lpstr>
      <vt:lpstr>P_A8_L13</vt:lpstr>
      <vt:lpstr>P_A8_L14</vt:lpstr>
      <vt:lpstr>P_A8_L15</vt:lpstr>
      <vt:lpstr>P_A8_L16</vt:lpstr>
      <vt:lpstr>P_A8_L17</vt:lpstr>
      <vt:lpstr>P_A8_L18</vt:lpstr>
      <vt:lpstr>P_A8_L19</vt:lpstr>
      <vt:lpstr>P_A8_L2</vt:lpstr>
      <vt:lpstr>P_A8_L20</vt:lpstr>
      <vt:lpstr>P_A8_L21</vt:lpstr>
      <vt:lpstr>P_A8_L22</vt:lpstr>
      <vt:lpstr>P_A8_L23</vt:lpstr>
      <vt:lpstr>P_A8_L24</vt:lpstr>
      <vt:lpstr>P_A8_L25</vt:lpstr>
      <vt:lpstr>P_A8_L26</vt:lpstr>
      <vt:lpstr>P_A8_L27</vt:lpstr>
      <vt:lpstr>P_A8_L28</vt:lpstr>
      <vt:lpstr>P_A8_L29</vt:lpstr>
      <vt:lpstr>P_A8_L3</vt:lpstr>
      <vt:lpstr>P_A8_L30</vt:lpstr>
      <vt:lpstr>P_A8_L31</vt:lpstr>
      <vt:lpstr>P_A8_L32</vt:lpstr>
      <vt:lpstr>P_A8_L33</vt:lpstr>
      <vt:lpstr>P_A8_L34</vt:lpstr>
      <vt:lpstr>P_A8_L35</vt:lpstr>
      <vt:lpstr>P_A8_L36</vt:lpstr>
      <vt:lpstr>P_A8_L37</vt:lpstr>
      <vt:lpstr>P_A8_L38</vt:lpstr>
      <vt:lpstr>P_A8_L39</vt:lpstr>
      <vt:lpstr>P_A8_L4</vt:lpstr>
      <vt:lpstr>P_A8_L40</vt:lpstr>
      <vt:lpstr>P_A8_L5</vt:lpstr>
      <vt:lpstr>P_A8_L6</vt:lpstr>
      <vt:lpstr>P_A8_L7</vt:lpstr>
      <vt:lpstr>P_A8_L8</vt:lpstr>
      <vt:lpstr>P_A8_L9</vt:lpstr>
      <vt:lpstr>P_A9</vt:lpstr>
      <vt:lpstr>P_A9_L1</vt:lpstr>
      <vt:lpstr>P_A9_L10</vt:lpstr>
      <vt:lpstr>P_A9_L11</vt:lpstr>
      <vt:lpstr>P_A9_L12</vt:lpstr>
      <vt:lpstr>P_A9_L13</vt:lpstr>
      <vt:lpstr>P_A9_L14</vt:lpstr>
      <vt:lpstr>P_A9_L15</vt:lpstr>
      <vt:lpstr>P_A9_L16</vt:lpstr>
      <vt:lpstr>P_A9_L17</vt:lpstr>
      <vt:lpstr>P_A9_L18</vt:lpstr>
      <vt:lpstr>P_A9_L19</vt:lpstr>
      <vt:lpstr>P_A9_L2</vt:lpstr>
      <vt:lpstr>P_A9_L20</vt:lpstr>
      <vt:lpstr>P_A9_L21</vt:lpstr>
      <vt:lpstr>P_A9_L22</vt:lpstr>
      <vt:lpstr>P_A9_L23</vt:lpstr>
      <vt:lpstr>P_A9_L24</vt:lpstr>
      <vt:lpstr>P_A9_L25</vt:lpstr>
      <vt:lpstr>P_A9_L26</vt:lpstr>
      <vt:lpstr>P_A9_L27</vt:lpstr>
      <vt:lpstr>P_A9_L28</vt:lpstr>
      <vt:lpstr>P_A9_L29</vt:lpstr>
      <vt:lpstr>P_A9_L3</vt:lpstr>
      <vt:lpstr>P_A9_L30</vt:lpstr>
      <vt:lpstr>P_A9_L31</vt:lpstr>
      <vt:lpstr>P_A9_L32</vt:lpstr>
      <vt:lpstr>P_A9_L33</vt:lpstr>
      <vt:lpstr>P_A9_L34</vt:lpstr>
      <vt:lpstr>P_A9_L35</vt:lpstr>
      <vt:lpstr>P_A9_L36</vt:lpstr>
      <vt:lpstr>P_A9_L37</vt:lpstr>
      <vt:lpstr>P_A9_L38</vt:lpstr>
      <vt:lpstr>P_A9_L39</vt:lpstr>
      <vt:lpstr>P_A9_L4</vt:lpstr>
      <vt:lpstr>P_A9_L40</vt:lpstr>
      <vt:lpstr>P_A9_L5</vt:lpstr>
      <vt:lpstr>P_A9_L6</vt:lpstr>
      <vt:lpstr>P_A9_L7</vt:lpstr>
      <vt:lpstr>P_A9_L8</vt:lpstr>
      <vt:lpstr>P_A9_L9</vt:lpstr>
      <vt:lpstr>P_Inferior</vt:lpstr>
      <vt:lpstr>P_Primera</vt:lpstr>
      <vt:lpstr>P_Segunda</vt:lpstr>
      <vt:lpstr>Pergo</vt:lpstr>
      <vt:lpstr>Plagas_A</vt:lpstr>
      <vt:lpstr>Plagas_B</vt:lpstr>
      <vt:lpstr>Plagas_C</vt:lpstr>
      <vt:lpstr>Plagas_D</vt:lpstr>
      <vt:lpstr>Plagas_Y</vt:lpstr>
      <vt:lpstr>Planta_A</vt:lpstr>
      <vt:lpstr>Planta_B</vt:lpstr>
      <vt:lpstr>Planta_C</vt:lpstr>
      <vt:lpstr>Planta_D</vt:lpstr>
      <vt:lpstr>Planta_Y</vt:lpstr>
      <vt:lpstr>Planta_Z</vt:lpstr>
      <vt:lpstr>PlantaN</vt:lpstr>
      <vt:lpstr>Plantas_A_A1</vt:lpstr>
      <vt:lpstr>Plantas_A_A10</vt:lpstr>
      <vt:lpstr>Plantas_A_A11</vt:lpstr>
      <vt:lpstr>Plantas_A_A12</vt:lpstr>
      <vt:lpstr>Plantas_A_A2</vt:lpstr>
      <vt:lpstr>Plantas_A_A3</vt:lpstr>
      <vt:lpstr>Plantas_A_A4</vt:lpstr>
      <vt:lpstr>Plantas_A_A5</vt:lpstr>
      <vt:lpstr>Plantas_A_A6</vt:lpstr>
      <vt:lpstr>Plantas_A_A7</vt:lpstr>
      <vt:lpstr>Plantas_A_A8</vt:lpstr>
      <vt:lpstr>Plantas_A_A9</vt:lpstr>
      <vt:lpstr>Plantas_B_A1</vt:lpstr>
      <vt:lpstr>Plantas_B_A10</vt:lpstr>
      <vt:lpstr>Plantas_B_A11</vt:lpstr>
      <vt:lpstr>Plantas_B_A12</vt:lpstr>
      <vt:lpstr>Plantas_B_A2</vt:lpstr>
      <vt:lpstr>Plantas_B_A3</vt:lpstr>
      <vt:lpstr>Plantas_B_A4</vt:lpstr>
      <vt:lpstr>Plantas_B_A5</vt:lpstr>
      <vt:lpstr>Plantas_B_A6</vt:lpstr>
      <vt:lpstr>Plantas_B_A7</vt:lpstr>
      <vt:lpstr>Plantas_B_A8</vt:lpstr>
      <vt:lpstr>Plantas_B_A9</vt:lpstr>
      <vt:lpstr>Plantas_C_A1</vt:lpstr>
      <vt:lpstr>Plantas_C_A10</vt:lpstr>
      <vt:lpstr>Plantas_C_A11</vt:lpstr>
      <vt:lpstr>Plantas_C_A12</vt:lpstr>
      <vt:lpstr>Plantas_C_A2</vt:lpstr>
      <vt:lpstr>Plantas_C_A3</vt:lpstr>
      <vt:lpstr>Plantas_C_A4</vt:lpstr>
      <vt:lpstr>Plantas_C_A5</vt:lpstr>
      <vt:lpstr>Plantas_C_A6</vt:lpstr>
      <vt:lpstr>Plantas_C_A7</vt:lpstr>
      <vt:lpstr>Plantas_C_A8</vt:lpstr>
      <vt:lpstr>Plantas_C_A9</vt:lpstr>
      <vt:lpstr>Plantas_D_A1</vt:lpstr>
      <vt:lpstr>Plantas_D_A10</vt:lpstr>
      <vt:lpstr>Plantas_D_A11</vt:lpstr>
      <vt:lpstr>Plantas_D_A12</vt:lpstr>
      <vt:lpstr>Plantas_D_A2</vt:lpstr>
      <vt:lpstr>Plantas_D_A3</vt:lpstr>
      <vt:lpstr>Plantas_D_A4</vt:lpstr>
      <vt:lpstr>Plantas_D_A5</vt:lpstr>
      <vt:lpstr>Plantas_D_A6</vt:lpstr>
      <vt:lpstr>Plantas_D_A7</vt:lpstr>
      <vt:lpstr>Plantas_D_A8</vt:lpstr>
      <vt:lpstr>Plantas_D_A9</vt:lpstr>
      <vt:lpstr>Plantas_X_A1</vt:lpstr>
      <vt:lpstr>Plantas_X_A10</vt:lpstr>
      <vt:lpstr>Plantas_X_A11</vt:lpstr>
      <vt:lpstr>Plantas_X_A12</vt:lpstr>
      <vt:lpstr>Plantas_X_A2</vt:lpstr>
      <vt:lpstr>Plantas_X_A3</vt:lpstr>
      <vt:lpstr>Plantas_X_A4</vt:lpstr>
      <vt:lpstr>Plantas_X_A5</vt:lpstr>
      <vt:lpstr>Plantas_X_A6</vt:lpstr>
      <vt:lpstr>Plantas_X_A7</vt:lpstr>
      <vt:lpstr>Plantas_X_A8</vt:lpstr>
      <vt:lpstr>Plantas_X_A9</vt:lpstr>
      <vt:lpstr>Plantas_Y_A1</vt:lpstr>
      <vt:lpstr>Plantas_Y_A10</vt:lpstr>
      <vt:lpstr>Plantas_Y_A11</vt:lpstr>
      <vt:lpstr>Plantas_Y_A12</vt:lpstr>
      <vt:lpstr>Plantas_Y_A2</vt:lpstr>
      <vt:lpstr>Plantas_Y_A3</vt:lpstr>
      <vt:lpstr>Plantas_Y_A4</vt:lpstr>
      <vt:lpstr>Plantas_Y_A5</vt:lpstr>
      <vt:lpstr>Plantas_Y_A6</vt:lpstr>
      <vt:lpstr>Plantas_Y_A7</vt:lpstr>
      <vt:lpstr>Plantas_Y_A8</vt:lpstr>
      <vt:lpstr>Plantas_Y_A9</vt:lpstr>
      <vt:lpstr>Plantas_Z_A1</vt:lpstr>
      <vt:lpstr>Plantas_Z_A10</vt:lpstr>
      <vt:lpstr>Plantas_Z_A11</vt:lpstr>
      <vt:lpstr>Plantas_Z_A12</vt:lpstr>
      <vt:lpstr>Plantas_Z_A2</vt:lpstr>
      <vt:lpstr>Plantas_Z_A3</vt:lpstr>
      <vt:lpstr>Plantas_Z_A4</vt:lpstr>
      <vt:lpstr>Plantas_Z_A5</vt:lpstr>
      <vt:lpstr>Plantas_Z_A6</vt:lpstr>
      <vt:lpstr>Plantas_Z_A7</vt:lpstr>
      <vt:lpstr>Plantas_Z_A8</vt:lpstr>
      <vt:lpstr>Plantas_Z_A9</vt:lpstr>
      <vt:lpstr>Plazo</vt:lpstr>
      <vt:lpstr>Poda_A</vt:lpstr>
      <vt:lpstr>Poda_B</vt:lpstr>
      <vt:lpstr>Poda_C</vt:lpstr>
      <vt:lpstr>Poda_D</vt:lpstr>
      <vt:lpstr>Poda_Y</vt:lpstr>
      <vt:lpstr>Precio_A1</vt:lpstr>
      <vt:lpstr>Precio_A10</vt:lpstr>
      <vt:lpstr>Precio_A11</vt:lpstr>
      <vt:lpstr>Precio_A12</vt:lpstr>
      <vt:lpstr>Precio_A2</vt:lpstr>
      <vt:lpstr>Precio_A3</vt:lpstr>
      <vt:lpstr>Precio_A4</vt:lpstr>
      <vt:lpstr>Precio_A5</vt:lpstr>
      <vt:lpstr>Precio_A6</vt:lpstr>
      <vt:lpstr>Precio_A7</vt:lpstr>
      <vt:lpstr>Precio_A8</vt:lpstr>
      <vt:lpstr>Precio_A9</vt:lpstr>
      <vt:lpstr>Prod</vt:lpstr>
      <vt:lpstr>Segunda</vt:lpstr>
      <vt:lpstr>Siembra_nueva</vt:lpstr>
      <vt:lpstr>Sombra_A</vt:lpstr>
      <vt:lpstr>Sombra_B</vt:lpstr>
      <vt:lpstr>Sombra_C</vt:lpstr>
      <vt:lpstr>Sombra_D</vt:lpstr>
      <vt:lpstr>Sombra_Y</vt:lpstr>
      <vt:lpstr>Surco_A1_A</vt:lpstr>
      <vt:lpstr>Surco_A1_B</vt:lpstr>
      <vt:lpstr>Surco_A1_C</vt:lpstr>
      <vt:lpstr>Surco_A1_D</vt:lpstr>
      <vt:lpstr>Surco_A1_Y</vt:lpstr>
      <vt:lpstr>Surco_A10_A</vt:lpstr>
      <vt:lpstr>Surco_A10_B</vt:lpstr>
      <vt:lpstr>Surco_A10_C</vt:lpstr>
      <vt:lpstr>Surco_A10_D</vt:lpstr>
      <vt:lpstr>Surco_A10_Y</vt:lpstr>
      <vt:lpstr>Surco_A11_A</vt:lpstr>
      <vt:lpstr>Surco_A11_B</vt:lpstr>
      <vt:lpstr>Surco_A11_C</vt:lpstr>
      <vt:lpstr>Surco_A11_D</vt:lpstr>
      <vt:lpstr>Surco_A11_Y</vt:lpstr>
      <vt:lpstr>Surco_A12_A</vt:lpstr>
      <vt:lpstr>Surco_A12_B</vt:lpstr>
      <vt:lpstr>Surco_A12_C</vt:lpstr>
      <vt:lpstr>Surco_A12_D</vt:lpstr>
      <vt:lpstr>Surco_A12_Y</vt:lpstr>
      <vt:lpstr>Surco_A2_A</vt:lpstr>
      <vt:lpstr>Surco_A2_B</vt:lpstr>
      <vt:lpstr>Surco_A2_C</vt:lpstr>
      <vt:lpstr>Surco_A2_D</vt:lpstr>
      <vt:lpstr>Surco_A2_Y</vt:lpstr>
      <vt:lpstr>Surco_A3_A</vt:lpstr>
      <vt:lpstr>Surco_A3_B</vt:lpstr>
      <vt:lpstr>Surco_A3_C</vt:lpstr>
      <vt:lpstr>Surco_A3_D</vt:lpstr>
      <vt:lpstr>Surco_A3_Y</vt:lpstr>
      <vt:lpstr>Surco_A4_A</vt:lpstr>
      <vt:lpstr>Surco_A4_B</vt:lpstr>
      <vt:lpstr>Surco_A4_C</vt:lpstr>
      <vt:lpstr>Surco_A4_D</vt:lpstr>
      <vt:lpstr>Surco_A4_Y</vt:lpstr>
      <vt:lpstr>Surco_A5_A</vt:lpstr>
      <vt:lpstr>Surco_A5_B</vt:lpstr>
      <vt:lpstr>Surco_A5_C</vt:lpstr>
      <vt:lpstr>Surco_A5_D</vt:lpstr>
      <vt:lpstr>Surco_A5_Y</vt:lpstr>
      <vt:lpstr>Surco_A6_A</vt:lpstr>
      <vt:lpstr>Surco_A6_B</vt:lpstr>
      <vt:lpstr>Surco_A6_C</vt:lpstr>
      <vt:lpstr>Surco_A6_D</vt:lpstr>
      <vt:lpstr>Surco_A6_Y</vt:lpstr>
      <vt:lpstr>Surco_A7_A</vt:lpstr>
      <vt:lpstr>Surco_A7_B</vt:lpstr>
      <vt:lpstr>Surco_A7_C</vt:lpstr>
      <vt:lpstr>Surco_A7_D</vt:lpstr>
      <vt:lpstr>Surco_A7_Y</vt:lpstr>
      <vt:lpstr>Surco_A8_A</vt:lpstr>
      <vt:lpstr>Surco_A8_B</vt:lpstr>
      <vt:lpstr>Surco_A8_C</vt:lpstr>
      <vt:lpstr>Surco_A8_D</vt:lpstr>
      <vt:lpstr>Surco_A8_Y</vt:lpstr>
      <vt:lpstr>Surco_A9_A</vt:lpstr>
      <vt:lpstr>Surco_A9_B</vt:lpstr>
      <vt:lpstr>Surco_A9_C</vt:lpstr>
      <vt:lpstr>Surco_A9_D</vt:lpstr>
      <vt:lpstr>Surco_A9_Y</vt:lpstr>
      <vt:lpstr>Tasa</vt:lpstr>
      <vt:lpstr>Tipo</vt:lpstr>
      <vt:lpstr>UM</vt:lpstr>
      <vt:lpstr>UMp</vt:lpstr>
      <vt:lpstr>UMs</vt:lpstr>
      <vt:lpstr>Up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Oscar Orlando Orozco Orozco</dc:creator>
  <cp:keywords/>
  <dc:description/>
  <cp:lastModifiedBy>Manuel  Ixbalán Ixbalàn</cp:lastModifiedBy>
  <cp:revision/>
  <dcterms:created xsi:type="dcterms:W3CDTF">2021-08-03T17:29:05Z</dcterms:created>
  <dcterms:modified xsi:type="dcterms:W3CDTF">2023-09-06T16:41:18Z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0x010100904FD40F88E8BE4B95FAAFB8ABA7CC57</vt:lpwstr>
  </property>
  <property fmtid="{D5CDD505-2E9C-101B-9397-08002B2CF9AE}" pid="3" name="MediaServiceImageTags">
    <vt:lpwstr/>
  </property>
</Properties>
</file>